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3.xml"/>
  <Override ContentType="application/vnd.openxmlformats-officedocument.spreadsheetml.table+xml" PartName="/xl/tables/table4.xml"/>
  <Override ContentType="application/vnd.openxmlformats-officedocument.spreadsheetml.table+xml" PartName="/xl/tables/table5.xml"/>
  <Override ContentType="application/vnd.openxmlformats-officedocument.spreadsheetml.table+xml" PartName="/xl/tables/table6.xml"/>
  <Override ContentType="application/vnd.openxmlformats-officedocument.spreadsheetml.table+xml" PartName="/xl/tables/table7.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table+xml" PartName="/xl/tables/table10.xml"/>
  <Override ContentType="application/vnd.openxmlformats-officedocument.spreadsheetml.table+xml" PartName="/xl/tables/table11.xml"/>
  <Override ContentType="application/vnd.openxmlformats-officedocument.spreadsheetml.table+xml" PartName="/xl/tables/table12.xml"/>
  <Override ContentType="application/vnd.openxmlformats-officedocument.spreadsheetml.table+xml" PartName="/xl/tables/table13.xml"/>
  <Override ContentType="application/vnd.openxmlformats-officedocument.spreadsheetml.table+xml" PartName="/xl/tables/table14.xml"/>
  <Override ContentType="application/vnd.openxmlformats-officedocument.spreadsheetml.table+xml" PartName="/xl/tables/table15.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4"/>
  </bookViews>
  <sheets>
    <sheet r:id="rId1" sheetId="1" name="Modelo_aPreencher"/>
    <sheet r:id="rId2" sheetId="2" name="Atividades"/>
    <sheet r:id="rId3" sheetId="3" name="Planilha1"/>
    <sheet r:id="rId4" sheetId="4" name="Grupo"/>
    <sheet r:id="rId5" sheetId="5" name="Consolidado-Eletronorte"/>
    <sheet r:id="rId6" sheetId="6" name="Carga do orçamento"/>
    <sheet r:id="rId7" sheetId="7" name="Planilha9"/>
    <sheet r:id="rId8" sheetId="8" name="Valor divido por 1000"/>
    <sheet r:id="rId9" sheetId="9" name="Planilha8"/>
    <sheet r:id="rId10" sheetId="10" name="Planilha3"/>
    <sheet r:id="rId11" sheetId="11" name="Anotações gerais"/>
    <sheet r:id="rId12" sheetId="12" name="Status contratação"/>
    <sheet r:id="rId13" sheetId="13" name="PEP"/>
    <sheet r:id="rId14" sheetId="14" name="Usina"/>
    <sheet r:id="rId15" sheetId="15" name="Planilha5"/>
    <sheet r:id="rId16" sheetId="16" name="Tabelas Dinâmicas"/>
    <sheet r:id="rId17" sheetId="17" name="Planilha2"/>
    <sheet r:id="rId18" sheetId="18" name="ModeloFinal-CGT Eletrosul"/>
    <sheet r:id="rId19" sheetId="19" name="ModeloFinal-Eletronorte"/>
    <sheet r:id="rId20" sheetId="20" name="ModeloFinal-Operação Sudeste"/>
    <sheet r:id="rId21" sheetId="21" name="ModeloFinal-Chesf"/>
    <sheet r:id="rId22" sheetId="22" name="LO"/>
    <sheet r:id="rId23" sheetId="23" name="R&amp;amp;M"/>
    <sheet r:id="rId24" sheetId="24" name="SGPMR"/>
    <sheet r:id="rId25" sheetId="25" name="_Config"/>
  </sheets>
  <definedNames>
    <definedName name="_">#REF!</definedName>
    <definedName name="___________________________________________________CRM2" localSheetId="20">{#N/A,#N/A,FALSE,"ANEXO3 99 ERA";#N/A,#N/A,FALSE,"ANEXO3 99 UBÁ2";#N/A,#N/A,FALSE,"ANEXO3 99 DTU";#N/A,#N/A,FALSE,"ANEXO3 99 RDR";#N/A,#N/A,FALSE,"ANEXO3 99 UBÁ4";#N/A,#N/A,FALSE,"ANEXO3 99 UBÁ6"}</definedName>
    <definedName name="___________________________________________________CRM2">{#N/A,#N/A,FALSE,"ANEXO3 99 ERA";#N/A,#N/A,FALSE,"ANEXO3 99 UBÁ2";#N/A,#N/A,FALSE,"ANEXO3 99 DTU";#N/A,#N/A,FALSE,"ANEXO3 99 RDR";#N/A,#N/A,FALSE,"ANEXO3 99 UBÁ4";#N/A,#N/A,FALSE,"ANEXO3 99 UBÁ6"}</definedName>
    <definedName name="___________________________________________________CRM3" localSheetId="20">{#N/A,#N/A,FALSE,"ANEXO3 99 ERA";#N/A,#N/A,FALSE,"ANEXO3 99 UBÁ2";#N/A,#N/A,FALSE,"ANEXO3 99 DTU";#N/A,#N/A,FALSE,"ANEXO3 99 RDR";#N/A,#N/A,FALSE,"ANEXO3 99 UBÁ4";#N/A,#N/A,FALSE,"ANEXO3 99 UBÁ6"}</definedName>
    <definedName name="___________________________________________________CRM3">{#N/A,#N/A,FALSE,"ANEXO3 99 ERA";#N/A,#N/A,FALSE,"ANEXO3 99 UBÁ2";#N/A,#N/A,FALSE,"ANEXO3 99 DTU";#N/A,#N/A,FALSE,"ANEXO3 99 RDR";#N/A,#N/A,FALSE,"ANEXO3 99 UBÁ4";#N/A,#N/A,FALSE,"ANEXO3 99 UBÁ6"}</definedName>
    <definedName name="___________________________________________________CRM4" localSheetId="20">{#N/A,#N/A,FALSE,"ANEXO3 99 ERA";#N/A,#N/A,FALSE,"ANEXO3 99 UBÁ2";#N/A,#N/A,FALSE,"ANEXO3 99 DTU";#N/A,#N/A,FALSE,"ANEXO3 99 RDR";#N/A,#N/A,FALSE,"ANEXO3 99 UBÁ4";#N/A,#N/A,FALSE,"ANEXO3 99 UBÁ6"}</definedName>
    <definedName name="___________________________________________________CRM4">{#N/A,#N/A,FALSE,"ANEXO3 99 ERA";#N/A,#N/A,FALSE,"ANEXO3 99 UBÁ2";#N/A,#N/A,FALSE,"ANEXO3 99 DTU";#N/A,#N/A,FALSE,"ANEXO3 99 RDR";#N/A,#N/A,FALSE,"ANEXO3 99 UBÁ4";#N/A,#N/A,FALSE,"ANEXO3 99 UBÁ6"}</definedName>
    <definedName name="_________________________________________________CRM2" localSheetId="20">{#N/A,#N/A,FALSE,"ANEXO3 99 ERA";#N/A,#N/A,FALSE,"ANEXO3 99 UBÁ2";#N/A,#N/A,FALSE,"ANEXO3 99 DTU";#N/A,#N/A,FALSE,"ANEXO3 99 RDR";#N/A,#N/A,FALSE,"ANEXO3 99 UBÁ4";#N/A,#N/A,FALSE,"ANEXO3 99 UBÁ6"}</definedName>
    <definedName name="_________________________________________________CRM2">{#N/A,#N/A,FALSE,"ANEXO3 99 ERA";#N/A,#N/A,FALSE,"ANEXO3 99 UBÁ2";#N/A,#N/A,FALSE,"ANEXO3 99 DTU";#N/A,#N/A,FALSE,"ANEXO3 99 RDR";#N/A,#N/A,FALSE,"ANEXO3 99 UBÁ4";#N/A,#N/A,FALSE,"ANEXO3 99 UBÁ6"}</definedName>
    <definedName name="_________________________________________________CRM3" localSheetId="20">{#N/A,#N/A,FALSE,"ANEXO3 99 ERA";#N/A,#N/A,FALSE,"ANEXO3 99 UBÁ2";#N/A,#N/A,FALSE,"ANEXO3 99 DTU";#N/A,#N/A,FALSE,"ANEXO3 99 RDR";#N/A,#N/A,FALSE,"ANEXO3 99 UBÁ4";#N/A,#N/A,FALSE,"ANEXO3 99 UBÁ6"}</definedName>
    <definedName name="_________________________________________________CRM3">{#N/A,#N/A,FALSE,"ANEXO3 99 ERA";#N/A,#N/A,FALSE,"ANEXO3 99 UBÁ2";#N/A,#N/A,FALSE,"ANEXO3 99 DTU";#N/A,#N/A,FALSE,"ANEXO3 99 RDR";#N/A,#N/A,FALSE,"ANEXO3 99 UBÁ4";#N/A,#N/A,FALSE,"ANEXO3 99 UBÁ6"}</definedName>
    <definedName name="_________________________________________________CRM4" localSheetId="20">{#N/A,#N/A,FALSE,"ANEXO3 99 ERA";#N/A,#N/A,FALSE,"ANEXO3 99 UBÁ2";#N/A,#N/A,FALSE,"ANEXO3 99 DTU";#N/A,#N/A,FALSE,"ANEXO3 99 RDR";#N/A,#N/A,FALSE,"ANEXO3 99 UBÁ4";#N/A,#N/A,FALSE,"ANEXO3 99 UBÁ6"}</definedName>
    <definedName name="_________________________________________________CRM4">{#N/A,#N/A,FALSE,"ANEXO3 99 ERA";#N/A,#N/A,FALSE,"ANEXO3 99 UBÁ2";#N/A,#N/A,FALSE,"ANEXO3 99 DTU";#N/A,#N/A,FALSE,"ANEXO3 99 RDR";#N/A,#N/A,FALSE,"ANEXO3 99 UBÁ4";#N/A,#N/A,FALSE,"ANEXO3 99 UBÁ6"}</definedName>
    <definedName name="________________________________________________CRM2" localSheetId="20">{#N/A,#N/A,FALSE,"ANEXO3 99 ERA";#N/A,#N/A,FALSE,"ANEXO3 99 UBÁ2";#N/A,#N/A,FALSE,"ANEXO3 99 DTU";#N/A,#N/A,FALSE,"ANEXO3 99 RDR";#N/A,#N/A,FALSE,"ANEXO3 99 UBÁ4";#N/A,#N/A,FALSE,"ANEXO3 99 UBÁ6"}</definedName>
    <definedName name="________________________________________________CRM2">{#N/A,#N/A,FALSE,"ANEXO3 99 ERA";#N/A,#N/A,FALSE,"ANEXO3 99 UBÁ2";#N/A,#N/A,FALSE,"ANEXO3 99 DTU";#N/A,#N/A,FALSE,"ANEXO3 99 RDR";#N/A,#N/A,FALSE,"ANEXO3 99 UBÁ4";#N/A,#N/A,FALSE,"ANEXO3 99 UBÁ6"}</definedName>
    <definedName name="________________________________________________CRM3" localSheetId="20">{#N/A,#N/A,FALSE,"ANEXO3 99 ERA";#N/A,#N/A,FALSE,"ANEXO3 99 UBÁ2";#N/A,#N/A,FALSE,"ANEXO3 99 DTU";#N/A,#N/A,FALSE,"ANEXO3 99 RDR";#N/A,#N/A,FALSE,"ANEXO3 99 UBÁ4";#N/A,#N/A,FALSE,"ANEXO3 99 UBÁ6"}</definedName>
    <definedName name="________________________________________________CRM3">{#N/A,#N/A,FALSE,"ANEXO3 99 ERA";#N/A,#N/A,FALSE,"ANEXO3 99 UBÁ2";#N/A,#N/A,FALSE,"ANEXO3 99 DTU";#N/A,#N/A,FALSE,"ANEXO3 99 RDR";#N/A,#N/A,FALSE,"ANEXO3 99 UBÁ4";#N/A,#N/A,FALSE,"ANEXO3 99 UBÁ6"}</definedName>
    <definedName name="________________________________________________CRM4" localSheetId="20">{#N/A,#N/A,FALSE,"ANEXO3 99 ERA";#N/A,#N/A,FALSE,"ANEXO3 99 UBÁ2";#N/A,#N/A,FALSE,"ANEXO3 99 DTU";#N/A,#N/A,FALSE,"ANEXO3 99 RDR";#N/A,#N/A,FALSE,"ANEXO3 99 UBÁ4";#N/A,#N/A,FALSE,"ANEXO3 99 UBÁ6"}</definedName>
    <definedName name="________________________________________________CRM4">{#N/A,#N/A,FALSE,"ANEXO3 99 ERA";#N/A,#N/A,FALSE,"ANEXO3 99 UBÁ2";#N/A,#N/A,FALSE,"ANEXO3 99 DTU";#N/A,#N/A,FALSE,"ANEXO3 99 RDR";#N/A,#N/A,FALSE,"ANEXO3 99 UBÁ4";#N/A,#N/A,FALSE,"ANEXO3 99 UBÁ6"}</definedName>
    <definedName name="_______________________________________________CRM2" localSheetId="20">{#N/A,#N/A,FALSE,"ANEXO3 99 ERA";#N/A,#N/A,FALSE,"ANEXO3 99 UBÁ2";#N/A,#N/A,FALSE,"ANEXO3 99 DTU";#N/A,#N/A,FALSE,"ANEXO3 99 RDR";#N/A,#N/A,FALSE,"ANEXO3 99 UBÁ4";#N/A,#N/A,FALSE,"ANEXO3 99 UBÁ6"}</definedName>
    <definedName name="_______________________________________________CRM2">{#N/A,#N/A,FALSE,"ANEXO3 99 ERA";#N/A,#N/A,FALSE,"ANEXO3 99 UBÁ2";#N/A,#N/A,FALSE,"ANEXO3 99 DTU";#N/A,#N/A,FALSE,"ANEXO3 99 RDR";#N/A,#N/A,FALSE,"ANEXO3 99 UBÁ4";#N/A,#N/A,FALSE,"ANEXO3 99 UBÁ6"}</definedName>
    <definedName name="_______________________________________________CRM3" localSheetId="20">{#N/A,#N/A,FALSE,"ANEXO3 99 ERA";#N/A,#N/A,FALSE,"ANEXO3 99 UBÁ2";#N/A,#N/A,FALSE,"ANEXO3 99 DTU";#N/A,#N/A,FALSE,"ANEXO3 99 RDR";#N/A,#N/A,FALSE,"ANEXO3 99 UBÁ4";#N/A,#N/A,FALSE,"ANEXO3 99 UBÁ6"}</definedName>
    <definedName name="_______________________________________________CRM3">{#N/A,#N/A,FALSE,"ANEXO3 99 ERA";#N/A,#N/A,FALSE,"ANEXO3 99 UBÁ2";#N/A,#N/A,FALSE,"ANEXO3 99 DTU";#N/A,#N/A,FALSE,"ANEXO3 99 RDR";#N/A,#N/A,FALSE,"ANEXO3 99 UBÁ4";#N/A,#N/A,FALSE,"ANEXO3 99 UBÁ6"}</definedName>
    <definedName name="_______________________________________________CRM4" localSheetId="20">{#N/A,#N/A,FALSE,"ANEXO3 99 ERA";#N/A,#N/A,FALSE,"ANEXO3 99 UBÁ2";#N/A,#N/A,FALSE,"ANEXO3 99 DTU";#N/A,#N/A,FALSE,"ANEXO3 99 RDR";#N/A,#N/A,FALSE,"ANEXO3 99 UBÁ4";#N/A,#N/A,FALSE,"ANEXO3 99 UBÁ6"}</definedName>
    <definedName name="_______________________________________________CRM4">{#N/A,#N/A,FALSE,"ANEXO3 99 ERA";#N/A,#N/A,FALSE,"ANEXO3 99 UBÁ2";#N/A,#N/A,FALSE,"ANEXO3 99 DTU";#N/A,#N/A,FALSE,"ANEXO3 99 RDR";#N/A,#N/A,FALSE,"ANEXO3 99 UBÁ4";#N/A,#N/A,FALSE,"ANEXO3 99 UBÁ6"}</definedName>
    <definedName name="______________________________________________CRM2" localSheetId="20">{#N/A,#N/A,FALSE,"ANEXO3 99 ERA";#N/A,#N/A,FALSE,"ANEXO3 99 UBÁ2";#N/A,#N/A,FALSE,"ANEXO3 99 DTU";#N/A,#N/A,FALSE,"ANEXO3 99 RDR";#N/A,#N/A,FALSE,"ANEXO3 99 UBÁ4";#N/A,#N/A,FALSE,"ANEXO3 99 UBÁ6"}</definedName>
    <definedName name="______________________________________________CRM2">{#N/A,#N/A,FALSE,"ANEXO3 99 ERA";#N/A,#N/A,FALSE,"ANEXO3 99 UBÁ2";#N/A,#N/A,FALSE,"ANEXO3 99 DTU";#N/A,#N/A,FALSE,"ANEXO3 99 RDR";#N/A,#N/A,FALSE,"ANEXO3 99 UBÁ4";#N/A,#N/A,FALSE,"ANEXO3 99 UBÁ6"}</definedName>
    <definedName name="______________________________________________CRM3" localSheetId="20">{#N/A,#N/A,FALSE,"ANEXO3 99 ERA";#N/A,#N/A,FALSE,"ANEXO3 99 UBÁ2";#N/A,#N/A,FALSE,"ANEXO3 99 DTU";#N/A,#N/A,FALSE,"ANEXO3 99 RDR";#N/A,#N/A,FALSE,"ANEXO3 99 UBÁ4";#N/A,#N/A,FALSE,"ANEXO3 99 UBÁ6"}</definedName>
    <definedName name="______________________________________________CRM3">{#N/A,#N/A,FALSE,"ANEXO3 99 ERA";#N/A,#N/A,FALSE,"ANEXO3 99 UBÁ2";#N/A,#N/A,FALSE,"ANEXO3 99 DTU";#N/A,#N/A,FALSE,"ANEXO3 99 RDR";#N/A,#N/A,FALSE,"ANEXO3 99 UBÁ4";#N/A,#N/A,FALSE,"ANEXO3 99 UBÁ6"}</definedName>
    <definedName name="______________________________________________CRM4" localSheetId="20">{#N/A,#N/A,FALSE,"ANEXO3 99 ERA";#N/A,#N/A,FALSE,"ANEXO3 99 UBÁ2";#N/A,#N/A,FALSE,"ANEXO3 99 DTU";#N/A,#N/A,FALSE,"ANEXO3 99 RDR";#N/A,#N/A,FALSE,"ANEXO3 99 UBÁ4";#N/A,#N/A,FALSE,"ANEXO3 99 UBÁ6"}</definedName>
    <definedName name="______________________________________________CRM4">{#N/A,#N/A,FALSE,"ANEXO3 99 ERA";#N/A,#N/A,FALSE,"ANEXO3 99 UBÁ2";#N/A,#N/A,FALSE,"ANEXO3 99 DTU";#N/A,#N/A,FALSE,"ANEXO3 99 RDR";#N/A,#N/A,FALSE,"ANEXO3 99 UBÁ4";#N/A,#N/A,FALSE,"ANEXO3 99 UBÁ6"}</definedName>
    <definedName name="_____________________________________________CRM2" localSheetId="20">{#N/A,#N/A,FALSE,"ANEXO3 99 ERA";#N/A,#N/A,FALSE,"ANEXO3 99 UBÁ2";#N/A,#N/A,FALSE,"ANEXO3 99 DTU";#N/A,#N/A,FALSE,"ANEXO3 99 RDR";#N/A,#N/A,FALSE,"ANEXO3 99 UBÁ4";#N/A,#N/A,FALSE,"ANEXO3 99 UBÁ6"}</definedName>
    <definedName name="_____________________________________________CRM2">{#N/A,#N/A,FALSE,"ANEXO3 99 ERA";#N/A,#N/A,FALSE,"ANEXO3 99 UBÁ2";#N/A,#N/A,FALSE,"ANEXO3 99 DTU";#N/A,#N/A,FALSE,"ANEXO3 99 RDR";#N/A,#N/A,FALSE,"ANEXO3 99 UBÁ4";#N/A,#N/A,FALSE,"ANEXO3 99 UBÁ6"}</definedName>
    <definedName name="_____________________________________________CRM3" localSheetId="20">{#N/A,#N/A,FALSE,"ANEXO3 99 ERA";#N/A,#N/A,FALSE,"ANEXO3 99 UBÁ2";#N/A,#N/A,FALSE,"ANEXO3 99 DTU";#N/A,#N/A,FALSE,"ANEXO3 99 RDR";#N/A,#N/A,FALSE,"ANEXO3 99 UBÁ4";#N/A,#N/A,FALSE,"ANEXO3 99 UBÁ6"}</definedName>
    <definedName name="_____________________________________________CRM3">{#N/A,#N/A,FALSE,"ANEXO3 99 ERA";#N/A,#N/A,FALSE,"ANEXO3 99 UBÁ2";#N/A,#N/A,FALSE,"ANEXO3 99 DTU";#N/A,#N/A,FALSE,"ANEXO3 99 RDR";#N/A,#N/A,FALSE,"ANEXO3 99 UBÁ4";#N/A,#N/A,FALSE,"ANEXO3 99 UBÁ6"}</definedName>
    <definedName name="_____________________________________________CRM4" localSheetId="20">{#N/A,#N/A,FALSE,"ANEXO3 99 ERA";#N/A,#N/A,FALSE,"ANEXO3 99 UBÁ2";#N/A,#N/A,FALSE,"ANEXO3 99 DTU";#N/A,#N/A,FALSE,"ANEXO3 99 RDR";#N/A,#N/A,FALSE,"ANEXO3 99 UBÁ4";#N/A,#N/A,FALSE,"ANEXO3 99 UBÁ6"}</definedName>
    <definedName name="_____________________________________________CRM4">{#N/A,#N/A,FALSE,"ANEXO3 99 ERA";#N/A,#N/A,FALSE,"ANEXO3 99 UBÁ2";#N/A,#N/A,FALSE,"ANEXO3 99 DTU";#N/A,#N/A,FALSE,"ANEXO3 99 RDR";#N/A,#N/A,FALSE,"ANEXO3 99 UBÁ4";#N/A,#N/A,FALSE,"ANEXO3 99 UBÁ6"}</definedName>
    <definedName name="____________________________________________CRM2" localSheetId="20">{#N/A,#N/A,FALSE,"ANEXO3 99 ERA";#N/A,#N/A,FALSE,"ANEXO3 99 UBÁ2";#N/A,#N/A,FALSE,"ANEXO3 99 DTU";#N/A,#N/A,FALSE,"ANEXO3 99 RDR";#N/A,#N/A,FALSE,"ANEXO3 99 UBÁ4";#N/A,#N/A,FALSE,"ANEXO3 99 UBÁ6"}</definedName>
    <definedName name="____________________________________________CRM2">{#N/A,#N/A,FALSE,"ANEXO3 99 ERA";#N/A,#N/A,FALSE,"ANEXO3 99 UBÁ2";#N/A,#N/A,FALSE,"ANEXO3 99 DTU";#N/A,#N/A,FALSE,"ANEXO3 99 RDR";#N/A,#N/A,FALSE,"ANEXO3 99 UBÁ4";#N/A,#N/A,FALSE,"ANEXO3 99 UBÁ6"}</definedName>
    <definedName name="____________________________________________CRM3" localSheetId="20">{#N/A,#N/A,FALSE,"ANEXO3 99 ERA";#N/A,#N/A,FALSE,"ANEXO3 99 UBÁ2";#N/A,#N/A,FALSE,"ANEXO3 99 DTU";#N/A,#N/A,FALSE,"ANEXO3 99 RDR";#N/A,#N/A,FALSE,"ANEXO3 99 UBÁ4";#N/A,#N/A,FALSE,"ANEXO3 99 UBÁ6"}</definedName>
    <definedName name="____________________________________________CRM3">{#N/A,#N/A,FALSE,"ANEXO3 99 ERA";#N/A,#N/A,FALSE,"ANEXO3 99 UBÁ2";#N/A,#N/A,FALSE,"ANEXO3 99 DTU";#N/A,#N/A,FALSE,"ANEXO3 99 RDR";#N/A,#N/A,FALSE,"ANEXO3 99 UBÁ4";#N/A,#N/A,FALSE,"ANEXO3 99 UBÁ6"}</definedName>
    <definedName name="____________________________________________CRM4" localSheetId="20">{#N/A,#N/A,FALSE,"ANEXO3 99 ERA";#N/A,#N/A,FALSE,"ANEXO3 99 UBÁ2";#N/A,#N/A,FALSE,"ANEXO3 99 DTU";#N/A,#N/A,FALSE,"ANEXO3 99 RDR";#N/A,#N/A,FALSE,"ANEXO3 99 UBÁ4";#N/A,#N/A,FALSE,"ANEXO3 99 UBÁ6"}</definedName>
    <definedName name="____________________________________________CRM4">{#N/A,#N/A,FALSE,"ANEXO3 99 ERA";#N/A,#N/A,FALSE,"ANEXO3 99 UBÁ2";#N/A,#N/A,FALSE,"ANEXO3 99 DTU";#N/A,#N/A,FALSE,"ANEXO3 99 RDR";#N/A,#N/A,FALSE,"ANEXO3 99 UBÁ4";#N/A,#N/A,FALSE,"ANEXO3 99 UBÁ6"}</definedName>
    <definedName name="__________________________________________CRM2" localSheetId="20">{#N/A,#N/A,FALSE,"ANEXO3 99 ERA";#N/A,#N/A,FALSE,"ANEXO3 99 UBÁ2";#N/A,#N/A,FALSE,"ANEXO3 99 DTU";#N/A,#N/A,FALSE,"ANEXO3 99 RDR";#N/A,#N/A,FALSE,"ANEXO3 99 UBÁ4";#N/A,#N/A,FALSE,"ANEXO3 99 UBÁ6"}</definedName>
    <definedName name="__________________________________________CRM2">{#N/A,#N/A,FALSE,"ANEXO3 99 ERA";#N/A,#N/A,FALSE,"ANEXO3 99 UBÁ2";#N/A,#N/A,FALSE,"ANEXO3 99 DTU";#N/A,#N/A,FALSE,"ANEXO3 99 RDR";#N/A,#N/A,FALSE,"ANEXO3 99 UBÁ4";#N/A,#N/A,FALSE,"ANEXO3 99 UBÁ6"}</definedName>
    <definedName name="__________________________________________CRM3" localSheetId="20">{#N/A,#N/A,FALSE,"ANEXO3 99 ERA";#N/A,#N/A,FALSE,"ANEXO3 99 UBÁ2";#N/A,#N/A,FALSE,"ANEXO3 99 DTU";#N/A,#N/A,FALSE,"ANEXO3 99 RDR";#N/A,#N/A,FALSE,"ANEXO3 99 UBÁ4";#N/A,#N/A,FALSE,"ANEXO3 99 UBÁ6"}</definedName>
    <definedName name="__________________________________________CRM3">{#N/A,#N/A,FALSE,"ANEXO3 99 ERA";#N/A,#N/A,FALSE,"ANEXO3 99 UBÁ2";#N/A,#N/A,FALSE,"ANEXO3 99 DTU";#N/A,#N/A,FALSE,"ANEXO3 99 RDR";#N/A,#N/A,FALSE,"ANEXO3 99 UBÁ4";#N/A,#N/A,FALSE,"ANEXO3 99 UBÁ6"}</definedName>
    <definedName name="__________________________________________CRM4" localSheetId="20">{#N/A,#N/A,FALSE,"ANEXO3 99 ERA";#N/A,#N/A,FALSE,"ANEXO3 99 UBÁ2";#N/A,#N/A,FALSE,"ANEXO3 99 DTU";#N/A,#N/A,FALSE,"ANEXO3 99 RDR";#N/A,#N/A,FALSE,"ANEXO3 99 UBÁ4";#N/A,#N/A,FALSE,"ANEXO3 99 UBÁ6"}</definedName>
    <definedName name="__________________________________________CRM4">{#N/A,#N/A,FALSE,"ANEXO3 99 ERA";#N/A,#N/A,FALSE,"ANEXO3 99 UBÁ2";#N/A,#N/A,FALSE,"ANEXO3 99 DTU";#N/A,#N/A,FALSE,"ANEXO3 99 RDR";#N/A,#N/A,FALSE,"ANEXO3 99 UBÁ4";#N/A,#N/A,FALSE,"ANEXO3 99 UBÁ6"}</definedName>
    <definedName name="_________________________________________CRM2" localSheetId="20">{#N/A,#N/A,FALSE,"ANEXO3 99 ERA";#N/A,#N/A,FALSE,"ANEXO3 99 UBÁ2";#N/A,#N/A,FALSE,"ANEXO3 99 DTU";#N/A,#N/A,FALSE,"ANEXO3 99 RDR";#N/A,#N/A,FALSE,"ANEXO3 99 UBÁ4";#N/A,#N/A,FALSE,"ANEXO3 99 UBÁ6"}</definedName>
    <definedName name="_________________________________________CRM2">{#N/A,#N/A,FALSE,"ANEXO3 99 ERA";#N/A,#N/A,FALSE,"ANEXO3 99 UBÁ2";#N/A,#N/A,FALSE,"ANEXO3 99 DTU";#N/A,#N/A,FALSE,"ANEXO3 99 RDR";#N/A,#N/A,FALSE,"ANEXO3 99 UBÁ4";#N/A,#N/A,FALSE,"ANEXO3 99 UBÁ6"}</definedName>
    <definedName name="_________________________________________CRM3" localSheetId="20">{#N/A,#N/A,FALSE,"ANEXO3 99 ERA";#N/A,#N/A,FALSE,"ANEXO3 99 UBÁ2";#N/A,#N/A,FALSE,"ANEXO3 99 DTU";#N/A,#N/A,FALSE,"ANEXO3 99 RDR";#N/A,#N/A,FALSE,"ANEXO3 99 UBÁ4";#N/A,#N/A,FALSE,"ANEXO3 99 UBÁ6"}</definedName>
    <definedName name="_________________________________________CRM3">{#N/A,#N/A,FALSE,"ANEXO3 99 ERA";#N/A,#N/A,FALSE,"ANEXO3 99 UBÁ2";#N/A,#N/A,FALSE,"ANEXO3 99 DTU";#N/A,#N/A,FALSE,"ANEXO3 99 RDR";#N/A,#N/A,FALSE,"ANEXO3 99 UBÁ4";#N/A,#N/A,FALSE,"ANEXO3 99 UBÁ6"}</definedName>
    <definedName name="_________________________________________CRM4" localSheetId="20">{#N/A,#N/A,FALSE,"ANEXO3 99 ERA";#N/A,#N/A,FALSE,"ANEXO3 99 UBÁ2";#N/A,#N/A,FALSE,"ANEXO3 99 DTU";#N/A,#N/A,FALSE,"ANEXO3 99 RDR";#N/A,#N/A,FALSE,"ANEXO3 99 UBÁ4";#N/A,#N/A,FALSE,"ANEXO3 99 UBÁ6"}</definedName>
    <definedName name="_________________________________________CRM4">{#N/A,#N/A,FALSE,"ANEXO3 99 ERA";#N/A,#N/A,FALSE,"ANEXO3 99 UBÁ2";#N/A,#N/A,FALSE,"ANEXO3 99 DTU";#N/A,#N/A,FALSE,"ANEXO3 99 RDR";#N/A,#N/A,FALSE,"ANEXO3 99 UBÁ4";#N/A,#N/A,FALSE,"ANEXO3 99 UBÁ6"}</definedName>
    <definedName name="________________________________________CRM2" localSheetId="20">{#N/A,#N/A,FALSE,"ANEXO3 99 ERA";#N/A,#N/A,FALSE,"ANEXO3 99 UBÁ2";#N/A,#N/A,FALSE,"ANEXO3 99 DTU";#N/A,#N/A,FALSE,"ANEXO3 99 RDR";#N/A,#N/A,FALSE,"ANEXO3 99 UBÁ4";#N/A,#N/A,FALSE,"ANEXO3 99 UBÁ6"}</definedName>
    <definedName name="________________________________________CRM2">{#N/A,#N/A,FALSE,"ANEXO3 99 ERA";#N/A,#N/A,FALSE,"ANEXO3 99 UBÁ2";#N/A,#N/A,FALSE,"ANEXO3 99 DTU";#N/A,#N/A,FALSE,"ANEXO3 99 RDR";#N/A,#N/A,FALSE,"ANEXO3 99 UBÁ4";#N/A,#N/A,FALSE,"ANEXO3 99 UBÁ6"}</definedName>
    <definedName name="________________________________________CRM3" localSheetId="20">{#N/A,#N/A,FALSE,"ANEXO3 99 ERA";#N/A,#N/A,FALSE,"ANEXO3 99 UBÁ2";#N/A,#N/A,FALSE,"ANEXO3 99 DTU";#N/A,#N/A,FALSE,"ANEXO3 99 RDR";#N/A,#N/A,FALSE,"ANEXO3 99 UBÁ4";#N/A,#N/A,FALSE,"ANEXO3 99 UBÁ6"}</definedName>
    <definedName name="________________________________________CRM3">{#N/A,#N/A,FALSE,"ANEXO3 99 ERA";#N/A,#N/A,FALSE,"ANEXO3 99 UBÁ2";#N/A,#N/A,FALSE,"ANEXO3 99 DTU";#N/A,#N/A,FALSE,"ANEXO3 99 RDR";#N/A,#N/A,FALSE,"ANEXO3 99 UBÁ4";#N/A,#N/A,FALSE,"ANEXO3 99 UBÁ6"}</definedName>
    <definedName name="________________________________________CRM4" localSheetId="20">{#N/A,#N/A,FALSE,"ANEXO3 99 ERA";#N/A,#N/A,FALSE,"ANEXO3 99 UBÁ2";#N/A,#N/A,FALSE,"ANEXO3 99 DTU";#N/A,#N/A,FALSE,"ANEXO3 99 RDR";#N/A,#N/A,FALSE,"ANEXO3 99 UBÁ4";#N/A,#N/A,FALSE,"ANEXO3 99 UBÁ6"}</definedName>
    <definedName name="________________________________________CRM4">{#N/A,#N/A,FALSE,"ANEXO3 99 ERA";#N/A,#N/A,FALSE,"ANEXO3 99 UBÁ2";#N/A,#N/A,FALSE,"ANEXO3 99 DTU";#N/A,#N/A,FALSE,"ANEXO3 99 RDR";#N/A,#N/A,FALSE,"ANEXO3 99 UBÁ4";#N/A,#N/A,FALSE,"ANEXO3 99 UBÁ6"}</definedName>
    <definedName name="_______________________________________CRM2" localSheetId="20">{#N/A,#N/A,FALSE,"ANEXO3 99 ERA";#N/A,#N/A,FALSE,"ANEXO3 99 UBÁ2";#N/A,#N/A,FALSE,"ANEXO3 99 DTU";#N/A,#N/A,FALSE,"ANEXO3 99 RDR";#N/A,#N/A,FALSE,"ANEXO3 99 UBÁ4";#N/A,#N/A,FALSE,"ANEXO3 99 UBÁ6"}</definedName>
    <definedName name="_______________________________________CRM2">{#N/A,#N/A,FALSE,"ANEXO3 99 ERA";#N/A,#N/A,FALSE,"ANEXO3 99 UBÁ2";#N/A,#N/A,FALSE,"ANEXO3 99 DTU";#N/A,#N/A,FALSE,"ANEXO3 99 RDR";#N/A,#N/A,FALSE,"ANEXO3 99 UBÁ4";#N/A,#N/A,FALSE,"ANEXO3 99 UBÁ6"}</definedName>
    <definedName name="_______________________________________CRM3" localSheetId="20">{#N/A,#N/A,FALSE,"ANEXO3 99 ERA";#N/A,#N/A,FALSE,"ANEXO3 99 UBÁ2";#N/A,#N/A,FALSE,"ANEXO3 99 DTU";#N/A,#N/A,FALSE,"ANEXO3 99 RDR";#N/A,#N/A,FALSE,"ANEXO3 99 UBÁ4";#N/A,#N/A,FALSE,"ANEXO3 99 UBÁ6"}</definedName>
    <definedName name="_______________________________________CRM3">{#N/A,#N/A,FALSE,"ANEXO3 99 ERA";#N/A,#N/A,FALSE,"ANEXO3 99 UBÁ2";#N/A,#N/A,FALSE,"ANEXO3 99 DTU";#N/A,#N/A,FALSE,"ANEXO3 99 RDR";#N/A,#N/A,FALSE,"ANEXO3 99 UBÁ4";#N/A,#N/A,FALSE,"ANEXO3 99 UBÁ6"}</definedName>
    <definedName name="_______________________________________CRM4" localSheetId="20">{#N/A,#N/A,FALSE,"ANEXO3 99 ERA";#N/A,#N/A,FALSE,"ANEXO3 99 UBÁ2";#N/A,#N/A,FALSE,"ANEXO3 99 DTU";#N/A,#N/A,FALSE,"ANEXO3 99 RDR";#N/A,#N/A,FALSE,"ANEXO3 99 UBÁ4";#N/A,#N/A,FALSE,"ANEXO3 99 UBÁ6"}</definedName>
    <definedName name="_______________________________________CRM4">{#N/A,#N/A,FALSE,"ANEXO3 99 ERA";#N/A,#N/A,FALSE,"ANEXO3 99 UBÁ2";#N/A,#N/A,FALSE,"ANEXO3 99 DTU";#N/A,#N/A,FALSE,"ANEXO3 99 RDR";#N/A,#N/A,FALSE,"ANEXO3 99 UBÁ4";#N/A,#N/A,FALSE,"ANEXO3 99 UBÁ6"}</definedName>
    <definedName name="______________________________________CRM2" localSheetId="20">{#N/A,#N/A,FALSE,"ANEXO3 99 ERA";#N/A,#N/A,FALSE,"ANEXO3 99 UBÁ2";#N/A,#N/A,FALSE,"ANEXO3 99 DTU";#N/A,#N/A,FALSE,"ANEXO3 99 RDR";#N/A,#N/A,FALSE,"ANEXO3 99 UBÁ4";#N/A,#N/A,FALSE,"ANEXO3 99 UBÁ6"}</definedName>
    <definedName name="______________________________________CRM2">{#N/A,#N/A,FALSE,"ANEXO3 99 ERA";#N/A,#N/A,FALSE,"ANEXO3 99 UBÁ2";#N/A,#N/A,FALSE,"ANEXO3 99 DTU";#N/A,#N/A,FALSE,"ANEXO3 99 RDR";#N/A,#N/A,FALSE,"ANEXO3 99 UBÁ4";#N/A,#N/A,FALSE,"ANEXO3 99 UBÁ6"}</definedName>
    <definedName name="______________________________________CRM3" localSheetId="20">{#N/A,#N/A,FALSE,"ANEXO3 99 ERA";#N/A,#N/A,FALSE,"ANEXO3 99 UBÁ2";#N/A,#N/A,FALSE,"ANEXO3 99 DTU";#N/A,#N/A,FALSE,"ANEXO3 99 RDR";#N/A,#N/A,FALSE,"ANEXO3 99 UBÁ4";#N/A,#N/A,FALSE,"ANEXO3 99 UBÁ6"}</definedName>
    <definedName name="______________________________________CRM3">{#N/A,#N/A,FALSE,"ANEXO3 99 ERA";#N/A,#N/A,FALSE,"ANEXO3 99 UBÁ2";#N/A,#N/A,FALSE,"ANEXO3 99 DTU";#N/A,#N/A,FALSE,"ANEXO3 99 RDR";#N/A,#N/A,FALSE,"ANEXO3 99 UBÁ4";#N/A,#N/A,FALSE,"ANEXO3 99 UBÁ6"}</definedName>
    <definedName name="______________________________________CRM4" localSheetId="20">{#N/A,#N/A,FALSE,"ANEXO3 99 ERA";#N/A,#N/A,FALSE,"ANEXO3 99 UBÁ2";#N/A,#N/A,FALSE,"ANEXO3 99 DTU";#N/A,#N/A,FALSE,"ANEXO3 99 RDR";#N/A,#N/A,FALSE,"ANEXO3 99 UBÁ4";#N/A,#N/A,FALSE,"ANEXO3 99 UBÁ6"}</definedName>
    <definedName name="______________________________________CRM4">{#N/A,#N/A,FALSE,"ANEXO3 99 ERA";#N/A,#N/A,FALSE,"ANEXO3 99 UBÁ2";#N/A,#N/A,FALSE,"ANEXO3 99 DTU";#N/A,#N/A,FALSE,"ANEXO3 99 RDR";#N/A,#N/A,FALSE,"ANEXO3 99 UBÁ4";#N/A,#N/A,FALSE,"ANEXO3 99 UBÁ6"}</definedName>
    <definedName name="_____________________________________CRM2" localSheetId="20">{#N/A,#N/A,FALSE,"ANEXO3 99 ERA";#N/A,#N/A,FALSE,"ANEXO3 99 UBÁ2";#N/A,#N/A,FALSE,"ANEXO3 99 DTU";#N/A,#N/A,FALSE,"ANEXO3 99 RDR";#N/A,#N/A,FALSE,"ANEXO3 99 UBÁ4";#N/A,#N/A,FALSE,"ANEXO3 99 UBÁ6"}</definedName>
    <definedName name="_____________________________________CRM2">{#N/A,#N/A,FALSE,"ANEXO3 99 ERA";#N/A,#N/A,FALSE,"ANEXO3 99 UBÁ2";#N/A,#N/A,FALSE,"ANEXO3 99 DTU";#N/A,#N/A,FALSE,"ANEXO3 99 RDR";#N/A,#N/A,FALSE,"ANEXO3 99 UBÁ4";#N/A,#N/A,FALSE,"ANEXO3 99 UBÁ6"}</definedName>
    <definedName name="_____________________________________CRM3" localSheetId="20">{#N/A,#N/A,FALSE,"ANEXO3 99 ERA";#N/A,#N/A,FALSE,"ANEXO3 99 UBÁ2";#N/A,#N/A,FALSE,"ANEXO3 99 DTU";#N/A,#N/A,FALSE,"ANEXO3 99 RDR";#N/A,#N/A,FALSE,"ANEXO3 99 UBÁ4";#N/A,#N/A,FALSE,"ANEXO3 99 UBÁ6"}</definedName>
    <definedName name="_____________________________________CRM3">{#N/A,#N/A,FALSE,"ANEXO3 99 ERA";#N/A,#N/A,FALSE,"ANEXO3 99 UBÁ2";#N/A,#N/A,FALSE,"ANEXO3 99 DTU";#N/A,#N/A,FALSE,"ANEXO3 99 RDR";#N/A,#N/A,FALSE,"ANEXO3 99 UBÁ4";#N/A,#N/A,FALSE,"ANEXO3 99 UBÁ6"}</definedName>
    <definedName name="_____________________________________CRM4" localSheetId="20">{#N/A,#N/A,FALSE,"ANEXO3 99 ERA";#N/A,#N/A,FALSE,"ANEXO3 99 UBÁ2";#N/A,#N/A,FALSE,"ANEXO3 99 DTU";#N/A,#N/A,FALSE,"ANEXO3 99 RDR";#N/A,#N/A,FALSE,"ANEXO3 99 UBÁ4";#N/A,#N/A,FALSE,"ANEXO3 99 UBÁ6"}</definedName>
    <definedName name="_____________________________________CRM4">{#N/A,#N/A,FALSE,"ANEXO3 99 ERA";#N/A,#N/A,FALSE,"ANEXO3 99 UBÁ2";#N/A,#N/A,FALSE,"ANEXO3 99 DTU";#N/A,#N/A,FALSE,"ANEXO3 99 RDR";#N/A,#N/A,FALSE,"ANEXO3 99 UBÁ4";#N/A,#N/A,FALSE,"ANEXO3 99 UBÁ6"}</definedName>
    <definedName name="___________________________________CRM2" localSheetId="20">{#N/A,#N/A,FALSE,"ANEXO3 99 ERA";#N/A,#N/A,FALSE,"ANEXO3 99 UBÁ2";#N/A,#N/A,FALSE,"ANEXO3 99 DTU";#N/A,#N/A,FALSE,"ANEXO3 99 RDR";#N/A,#N/A,FALSE,"ANEXO3 99 UBÁ4";#N/A,#N/A,FALSE,"ANEXO3 99 UBÁ6"}</definedName>
    <definedName name="___________________________________CRM2">{#N/A,#N/A,FALSE,"ANEXO3 99 ERA";#N/A,#N/A,FALSE,"ANEXO3 99 UBÁ2";#N/A,#N/A,FALSE,"ANEXO3 99 DTU";#N/A,#N/A,FALSE,"ANEXO3 99 RDR";#N/A,#N/A,FALSE,"ANEXO3 99 UBÁ4";#N/A,#N/A,FALSE,"ANEXO3 99 UBÁ6"}</definedName>
    <definedName name="___________________________________CRM3" localSheetId="20">{#N/A,#N/A,FALSE,"ANEXO3 99 ERA";#N/A,#N/A,FALSE,"ANEXO3 99 UBÁ2";#N/A,#N/A,FALSE,"ANEXO3 99 DTU";#N/A,#N/A,FALSE,"ANEXO3 99 RDR";#N/A,#N/A,FALSE,"ANEXO3 99 UBÁ4";#N/A,#N/A,FALSE,"ANEXO3 99 UBÁ6"}</definedName>
    <definedName name="___________________________________CRM3">{#N/A,#N/A,FALSE,"ANEXO3 99 ERA";#N/A,#N/A,FALSE,"ANEXO3 99 UBÁ2";#N/A,#N/A,FALSE,"ANEXO3 99 DTU";#N/A,#N/A,FALSE,"ANEXO3 99 RDR";#N/A,#N/A,FALSE,"ANEXO3 99 UBÁ4";#N/A,#N/A,FALSE,"ANEXO3 99 UBÁ6"}</definedName>
    <definedName name="___________________________________CRM4" localSheetId="20">{#N/A,#N/A,FALSE,"ANEXO3 99 ERA";#N/A,#N/A,FALSE,"ANEXO3 99 UBÁ2";#N/A,#N/A,FALSE,"ANEXO3 99 DTU";#N/A,#N/A,FALSE,"ANEXO3 99 RDR";#N/A,#N/A,FALSE,"ANEXO3 99 UBÁ4";#N/A,#N/A,FALSE,"ANEXO3 99 UBÁ6"}</definedName>
    <definedName name="___________________________________CRM4">{#N/A,#N/A,FALSE,"ANEXO3 99 ERA";#N/A,#N/A,FALSE,"ANEXO3 99 UBÁ2";#N/A,#N/A,FALSE,"ANEXO3 99 DTU";#N/A,#N/A,FALSE,"ANEXO3 99 RDR";#N/A,#N/A,FALSE,"ANEXO3 99 UBÁ4";#N/A,#N/A,FALSE,"ANEXO3 99 UBÁ6"}</definedName>
    <definedName name="__________________________________CRM2" localSheetId="20">{#N/A,#N/A,FALSE,"ANEXO3 99 ERA";#N/A,#N/A,FALSE,"ANEXO3 99 UBÁ2";#N/A,#N/A,FALSE,"ANEXO3 99 DTU";#N/A,#N/A,FALSE,"ANEXO3 99 RDR";#N/A,#N/A,FALSE,"ANEXO3 99 UBÁ4";#N/A,#N/A,FALSE,"ANEXO3 99 UBÁ6"}</definedName>
    <definedName name="__________________________________CRM2">{#N/A,#N/A,FALSE,"ANEXO3 99 ERA";#N/A,#N/A,FALSE,"ANEXO3 99 UBÁ2";#N/A,#N/A,FALSE,"ANEXO3 99 DTU";#N/A,#N/A,FALSE,"ANEXO3 99 RDR";#N/A,#N/A,FALSE,"ANEXO3 99 UBÁ4";#N/A,#N/A,FALSE,"ANEXO3 99 UBÁ6"}</definedName>
    <definedName name="__________________________________CRM3" localSheetId="20">{#N/A,#N/A,FALSE,"ANEXO3 99 ERA";#N/A,#N/A,FALSE,"ANEXO3 99 UBÁ2";#N/A,#N/A,FALSE,"ANEXO3 99 DTU";#N/A,#N/A,FALSE,"ANEXO3 99 RDR";#N/A,#N/A,FALSE,"ANEXO3 99 UBÁ4";#N/A,#N/A,FALSE,"ANEXO3 99 UBÁ6"}</definedName>
    <definedName name="__________________________________CRM3">{#N/A,#N/A,FALSE,"ANEXO3 99 ERA";#N/A,#N/A,FALSE,"ANEXO3 99 UBÁ2";#N/A,#N/A,FALSE,"ANEXO3 99 DTU";#N/A,#N/A,FALSE,"ANEXO3 99 RDR";#N/A,#N/A,FALSE,"ANEXO3 99 UBÁ4";#N/A,#N/A,FALSE,"ANEXO3 99 UBÁ6"}</definedName>
    <definedName name="__________________________________CRM4" localSheetId="20">{#N/A,#N/A,FALSE,"ANEXO3 99 ERA";#N/A,#N/A,FALSE,"ANEXO3 99 UBÁ2";#N/A,#N/A,FALSE,"ANEXO3 99 DTU";#N/A,#N/A,FALSE,"ANEXO3 99 RDR";#N/A,#N/A,FALSE,"ANEXO3 99 UBÁ4";#N/A,#N/A,FALSE,"ANEXO3 99 UBÁ6"}</definedName>
    <definedName name="__________________________________CRM4">{#N/A,#N/A,FALSE,"ANEXO3 99 ERA";#N/A,#N/A,FALSE,"ANEXO3 99 UBÁ2";#N/A,#N/A,FALSE,"ANEXO3 99 DTU";#N/A,#N/A,FALSE,"ANEXO3 99 RDR";#N/A,#N/A,FALSE,"ANEXO3 99 UBÁ4";#N/A,#N/A,FALSE,"ANEXO3 99 UBÁ6"}</definedName>
    <definedName name="_________________________________CRM2" localSheetId="20">{#N/A,#N/A,FALSE,"ANEXO3 99 ERA";#N/A,#N/A,FALSE,"ANEXO3 99 UBÁ2";#N/A,#N/A,FALSE,"ANEXO3 99 DTU";#N/A,#N/A,FALSE,"ANEXO3 99 RDR";#N/A,#N/A,FALSE,"ANEXO3 99 UBÁ4";#N/A,#N/A,FALSE,"ANEXO3 99 UBÁ6"}</definedName>
    <definedName name="_________________________________CRM2">{#N/A,#N/A,FALSE,"ANEXO3 99 ERA";#N/A,#N/A,FALSE,"ANEXO3 99 UBÁ2";#N/A,#N/A,FALSE,"ANEXO3 99 DTU";#N/A,#N/A,FALSE,"ANEXO3 99 RDR";#N/A,#N/A,FALSE,"ANEXO3 99 UBÁ4";#N/A,#N/A,FALSE,"ANEXO3 99 UBÁ6"}</definedName>
    <definedName name="_________________________________CRM3" localSheetId="20">{#N/A,#N/A,FALSE,"ANEXO3 99 ERA";#N/A,#N/A,FALSE,"ANEXO3 99 UBÁ2";#N/A,#N/A,FALSE,"ANEXO3 99 DTU";#N/A,#N/A,FALSE,"ANEXO3 99 RDR";#N/A,#N/A,FALSE,"ANEXO3 99 UBÁ4";#N/A,#N/A,FALSE,"ANEXO3 99 UBÁ6"}</definedName>
    <definedName name="_________________________________CRM3">{#N/A,#N/A,FALSE,"ANEXO3 99 ERA";#N/A,#N/A,FALSE,"ANEXO3 99 UBÁ2";#N/A,#N/A,FALSE,"ANEXO3 99 DTU";#N/A,#N/A,FALSE,"ANEXO3 99 RDR";#N/A,#N/A,FALSE,"ANEXO3 99 UBÁ4";#N/A,#N/A,FALSE,"ANEXO3 99 UBÁ6"}</definedName>
    <definedName name="_________________________________CRM4" localSheetId="20">{#N/A,#N/A,FALSE,"ANEXO3 99 ERA";#N/A,#N/A,FALSE,"ANEXO3 99 UBÁ2";#N/A,#N/A,FALSE,"ANEXO3 99 DTU";#N/A,#N/A,FALSE,"ANEXO3 99 RDR";#N/A,#N/A,FALSE,"ANEXO3 99 UBÁ4";#N/A,#N/A,FALSE,"ANEXO3 99 UBÁ6"}</definedName>
    <definedName name="_________________________________CRM4">{#N/A,#N/A,FALSE,"ANEXO3 99 ERA";#N/A,#N/A,FALSE,"ANEXO3 99 UBÁ2";#N/A,#N/A,FALSE,"ANEXO3 99 DTU";#N/A,#N/A,FALSE,"ANEXO3 99 RDR";#N/A,#N/A,FALSE,"ANEXO3 99 UBÁ4";#N/A,#N/A,FALSE,"ANEXO3 99 UBÁ6"}</definedName>
    <definedName name="________________________________CRM2" localSheetId="20">{#N/A,#N/A,FALSE,"ANEXO3 99 ERA";#N/A,#N/A,FALSE,"ANEXO3 99 UBÁ2";#N/A,#N/A,FALSE,"ANEXO3 99 DTU";#N/A,#N/A,FALSE,"ANEXO3 99 RDR";#N/A,#N/A,FALSE,"ANEXO3 99 UBÁ4";#N/A,#N/A,FALSE,"ANEXO3 99 UBÁ6"}</definedName>
    <definedName name="________________________________CRM2">{#N/A,#N/A,FALSE,"ANEXO3 99 ERA";#N/A,#N/A,FALSE,"ANEXO3 99 UBÁ2";#N/A,#N/A,FALSE,"ANEXO3 99 DTU";#N/A,#N/A,FALSE,"ANEXO3 99 RDR";#N/A,#N/A,FALSE,"ANEXO3 99 UBÁ4";#N/A,#N/A,FALSE,"ANEXO3 99 UBÁ6"}</definedName>
    <definedName name="________________________________CRM3" localSheetId="20">{#N/A,#N/A,FALSE,"ANEXO3 99 ERA";#N/A,#N/A,FALSE,"ANEXO3 99 UBÁ2";#N/A,#N/A,FALSE,"ANEXO3 99 DTU";#N/A,#N/A,FALSE,"ANEXO3 99 RDR";#N/A,#N/A,FALSE,"ANEXO3 99 UBÁ4";#N/A,#N/A,FALSE,"ANEXO3 99 UBÁ6"}</definedName>
    <definedName name="________________________________CRM3">{#N/A,#N/A,FALSE,"ANEXO3 99 ERA";#N/A,#N/A,FALSE,"ANEXO3 99 UBÁ2";#N/A,#N/A,FALSE,"ANEXO3 99 DTU";#N/A,#N/A,FALSE,"ANEXO3 99 RDR";#N/A,#N/A,FALSE,"ANEXO3 99 UBÁ4";#N/A,#N/A,FALSE,"ANEXO3 99 UBÁ6"}</definedName>
    <definedName name="________________________________CRM4" localSheetId="20">{#N/A,#N/A,FALSE,"ANEXO3 99 ERA";#N/A,#N/A,FALSE,"ANEXO3 99 UBÁ2";#N/A,#N/A,FALSE,"ANEXO3 99 DTU";#N/A,#N/A,FALSE,"ANEXO3 99 RDR";#N/A,#N/A,FALSE,"ANEXO3 99 UBÁ4";#N/A,#N/A,FALSE,"ANEXO3 99 UBÁ6"}</definedName>
    <definedName name="________________________________CRM4">{#N/A,#N/A,FALSE,"ANEXO3 99 ERA";#N/A,#N/A,FALSE,"ANEXO3 99 UBÁ2";#N/A,#N/A,FALSE,"ANEXO3 99 DTU";#N/A,#N/A,FALSE,"ANEXO3 99 RDR";#N/A,#N/A,FALSE,"ANEXO3 99 UBÁ4";#N/A,#N/A,FALSE,"ANEXO3 99 UBÁ6"}</definedName>
    <definedName name="_______________________________CRM2" localSheetId="20">{#N/A,#N/A,FALSE,"ANEXO3 99 ERA";#N/A,#N/A,FALSE,"ANEXO3 99 UBÁ2";#N/A,#N/A,FALSE,"ANEXO3 99 DTU";#N/A,#N/A,FALSE,"ANEXO3 99 RDR";#N/A,#N/A,FALSE,"ANEXO3 99 UBÁ4";#N/A,#N/A,FALSE,"ANEXO3 99 UBÁ6"}</definedName>
    <definedName name="_______________________________CRM2">{#N/A,#N/A,FALSE,"ANEXO3 99 ERA";#N/A,#N/A,FALSE,"ANEXO3 99 UBÁ2";#N/A,#N/A,FALSE,"ANEXO3 99 DTU";#N/A,#N/A,FALSE,"ANEXO3 99 RDR";#N/A,#N/A,FALSE,"ANEXO3 99 UBÁ4";#N/A,#N/A,FALSE,"ANEXO3 99 UBÁ6"}</definedName>
    <definedName name="_______________________________CRM3" localSheetId="20">{#N/A,#N/A,FALSE,"ANEXO3 99 ERA";#N/A,#N/A,FALSE,"ANEXO3 99 UBÁ2";#N/A,#N/A,FALSE,"ANEXO3 99 DTU";#N/A,#N/A,FALSE,"ANEXO3 99 RDR";#N/A,#N/A,FALSE,"ANEXO3 99 UBÁ4";#N/A,#N/A,FALSE,"ANEXO3 99 UBÁ6"}</definedName>
    <definedName name="_______________________________CRM3">{#N/A,#N/A,FALSE,"ANEXO3 99 ERA";#N/A,#N/A,FALSE,"ANEXO3 99 UBÁ2";#N/A,#N/A,FALSE,"ANEXO3 99 DTU";#N/A,#N/A,FALSE,"ANEXO3 99 RDR";#N/A,#N/A,FALSE,"ANEXO3 99 UBÁ4";#N/A,#N/A,FALSE,"ANEXO3 99 UBÁ6"}</definedName>
    <definedName name="_______________________________CRM4" localSheetId="20">{#N/A,#N/A,FALSE,"ANEXO3 99 ERA";#N/A,#N/A,FALSE,"ANEXO3 99 UBÁ2";#N/A,#N/A,FALSE,"ANEXO3 99 DTU";#N/A,#N/A,FALSE,"ANEXO3 99 RDR";#N/A,#N/A,FALSE,"ANEXO3 99 UBÁ4";#N/A,#N/A,FALSE,"ANEXO3 99 UBÁ6"}</definedName>
    <definedName name="_______________________________CRM4">{#N/A,#N/A,FALSE,"ANEXO3 99 ERA";#N/A,#N/A,FALSE,"ANEXO3 99 UBÁ2";#N/A,#N/A,FALSE,"ANEXO3 99 DTU";#N/A,#N/A,FALSE,"ANEXO3 99 RDR";#N/A,#N/A,FALSE,"ANEXO3 99 UBÁ4";#N/A,#N/A,FALSE,"ANEXO3 99 UBÁ6"}</definedName>
    <definedName name="______________________________CRM2" localSheetId="20">{#N/A,#N/A,FALSE,"ANEXO3 99 ERA";#N/A,#N/A,FALSE,"ANEXO3 99 UBÁ2";#N/A,#N/A,FALSE,"ANEXO3 99 DTU";#N/A,#N/A,FALSE,"ANEXO3 99 RDR";#N/A,#N/A,FALSE,"ANEXO3 99 UBÁ4";#N/A,#N/A,FALSE,"ANEXO3 99 UBÁ6"}</definedName>
    <definedName name="______________________________CRM2">{#N/A,#N/A,FALSE,"ANEXO3 99 ERA";#N/A,#N/A,FALSE,"ANEXO3 99 UBÁ2";#N/A,#N/A,FALSE,"ANEXO3 99 DTU";#N/A,#N/A,FALSE,"ANEXO3 99 RDR";#N/A,#N/A,FALSE,"ANEXO3 99 UBÁ4";#N/A,#N/A,FALSE,"ANEXO3 99 UBÁ6"}</definedName>
    <definedName name="______________________________CRM3" localSheetId="20">{#N/A,#N/A,FALSE,"ANEXO3 99 ERA";#N/A,#N/A,FALSE,"ANEXO3 99 UBÁ2";#N/A,#N/A,FALSE,"ANEXO3 99 DTU";#N/A,#N/A,FALSE,"ANEXO3 99 RDR";#N/A,#N/A,FALSE,"ANEXO3 99 UBÁ4";#N/A,#N/A,FALSE,"ANEXO3 99 UBÁ6"}</definedName>
    <definedName name="______________________________CRM3">{#N/A,#N/A,FALSE,"ANEXO3 99 ERA";#N/A,#N/A,FALSE,"ANEXO3 99 UBÁ2";#N/A,#N/A,FALSE,"ANEXO3 99 DTU";#N/A,#N/A,FALSE,"ANEXO3 99 RDR";#N/A,#N/A,FALSE,"ANEXO3 99 UBÁ4";#N/A,#N/A,FALSE,"ANEXO3 99 UBÁ6"}</definedName>
    <definedName name="______________________________CRM4" localSheetId="20">{#N/A,#N/A,FALSE,"ANEXO3 99 ERA";#N/A,#N/A,FALSE,"ANEXO3 99 UBÁ2";#N/A,#N/A,FALSE,"ANEXO3 99 DTU";#N/A,#N/A,FALSE,"ANEXO3 99 RDR";#N/A,#N/A,FALSE,"ANEXO3 99 UBÁ4";#N/A,#N/A,FALSE,"ANEXO3 99 UBÁ6"}</definedName>
    <definedName name="______________________________CRM4">{#N/A,#N/A,FALSE,"ANEXO3 99 ERA";#N/A,#N/A,FALSE,"ANEXO3 99 UBÁ2";#N/A,#N/A,FALSE,"ANEXO3 99 DTU";#N/A,#N/A,FALSE,"ANEXO3 99 RDR";#N/A,#N/A,FALSE,"ANEXO3 99 UBÁ4";#N/A,#N/A,FALSE,"ANEXO3 99 UBÁ6"}</definedName>
    <definedName name="_____________________________CRM2" localSheetId="20">{#N/A,#N/A,FALSE,"ANEXO3 99 ERA";#N/A,#N/A,FALSE,"ANEXO3 99 UBÁ2";#N/A,#N/A,FALSE,"ANEXO3 99 DTU";#N/A,#N/A,FALSE,"ANEXO3 99 RDR";#N/A,#N/A,FALSE,"ANEXO3 99 UBÁ4";#N/A,#N/A,FALSE,"ANEXO3 99 UBÁ6"}</definedName>
    <definedName name="_____________________________CRM2">{#N/A,#N/A,FALSE,"ANEXO3 99 ERA";#N/A,#N/A,FALSE,"ANEXO3 99 UBÁ2";#N/A,#N/A,FALSE,"ANEXO3 99 DTU";#N/A,#N/A,FALSE,"ANEXO3 99 RDR";#N/A,#N/A,FALSE,"ANEXO3 99 UBÁ4";#N/A,#N/A,FALSE,"ANEXO3 99 UBÁ6"}</definedName>
    <definedName name="_____________________________CRM3" localSheetId="20">{#N/A,#N/A,FALSE,"ANEXO3 99 ERA";#N/A,#N/A,FALSE,"ANEXO3 99 UBÁ2";#N/A,#N/A,FALSE,"ANEXO3 99 DTU";#N/A,#N/A,FALSE,"ANEXO3 99 RDR";#N/A,#N/A,FALSE,"ANEXO3 99 UBÁ4";#N/A,#N/A,FALSE,"ANEXO3 99 UBÁ6"}</definedName>
    <definedName name="_____________________________CRM3">{#N/A,#N/A,FALSE,"ANEXO3 99 ERA";#N/A,#N/A,FALSE,"ANEXO3 99 UBÁ2";#N/A,#N/A,FALSE,"ANEXO3 99 DTU";#N/A,#N/A,FALSE,"ANEXO3 99 RDR";#N/A,#N/A,FALSE,"ANEXO3 99 UBÁ4";#N/A,#N/A,FALSE,"ANEXO3 99 UBÁ6"}</definedName>
    <definedName name="_____________________________CRM4" localSheetId="20">{#N/A,#N/A,FALSE,"ANEXO3 99 ERA";#N/A,#N/A,FALSE,"ANEXO3 99 UBÁ2";#N/A,#N/A,FALSE,"ANEXO3 99 DTU";#N/A,#N/A,FALSE,"ANEXO3 99 RDR";#N/A,#N/A,FALSE,"ANEXO3 99 UBÁ4";#N/A,#N/A,FALSE,"ANEXO3 99 UBÁ6"}</definedName>
    <definedName name="_____________________________CRM4">{#N/A,#N/A,FALSE,"ANEXO3 99 ERA";#N/A,#N/A,FALSE,"ANEXO3 99 UBÁ2";#N/A,#N/A,FALSE,"ANEXO3 99 DTU";#N/A,#N/A,FALSE,"ANEXO3 99 RDR";#N/A,#N/A,FALSE,"ANEXO3 99 UBÁ4";#N/A,#N/A,FALSE,"ANEXO3 99 UBÁ6"}</definedName>
    <definedName name="____________________________CRM2" localSheetId="20">{#N/A,#N/A,FALSE,"ANEXO3 99 ERA";#N/A,#N/A,FALSE,"ANEXO3 99 UBÁ2";#N/A,#N/A,FALSE,"ANEXO3 99 DTU";#N/A,#N/A,FALSE,"ANEXO3 99 RDR";#N/A,#N/A,FALSE,"ANEXO3 99 UBÁ4";#N/A,#N/A,FALSE,"ANEXO3 99 UBÁ6"}</definedName>
    <definedName name="____________________________CRM2">{#N/A,#N/A,FALSE,"ANEXO3 99 ERA";#N/A,#N/A,FALSE,"ANEXO3 99 UBÁ2";#N/A,#N/A,FALSE,"ANEXO3 99 DTU";#N/A,#N/A,FALSE,"ANEXO3 99 RDR";#N/A,#N/A,FALSE,"ANEXO3 99 UBÁ4";#N/A,#N/A,FALSE,"ANEXO3 99 UBÁ6"}</definedName>
    <definedName name="___________________________CRM2" localSheetId="20">{#N/A,#N/A,FALSE,"ANEXO3 99 ERA";#N/A,#N/A,FALSE,"ANEXO3 99 UBÁ2";#N/A,#N/A,FALSE,"ANEXO3 99 DTU";#N/A,#N/A,FALSE,"ANEXO3 99 RDR";#N/A,#N/A,FALSE,"ANEXO3 99 UBÁ4";#N/A,#N/A,FALSE,"ANEXO3 99 UBÁ6"}</definedName>
    <definedName name="___________________________CRM2">{#N/A,#N/A,FALSE,"ANEXO3 99 ERA";#N/A,#N/A,FALSE,"ANEXO3 99 UBÁ2";#N/A,#N/A,FALSE,"ANEXO3 99 DTU";#N/A,#N/A,FALSE,"ANEXO3 99 RDR";#N/A,#N/A,FALSE,"ANEXO3 99 UBÁ4";#N/A,#N/A,FALSE,"ANEXO3 99 UBÁ6"}</definedName>
    <definedName name="___________________________CRM3" localSheetId="20">{#N/A,#N/A,FALSE,"ANEXO3 99 ERA";#N/A,#N/A,FALSE,"ANEXO3 99 UBÁ2";#N/A,#N/A,FALSE,"ANEXO3 99 DTU";#N/A,#N/A,FALSE,"ANEXO3 99 RDR";#N/A,#N/A,FALSE,"ANEXO3 99 UBÁ4";#N/A,#N/A,FALSE,"ANEXO3 99 UBÁ6"}</definedName>
    <definedName name="___________________________CRM3">{#N/A,#N/A,FALSE,"ANEXO3 99 ERA";#N/A,#N/A,FALSE,"ANEXO3 99 UBÁ2";#N/A,#N/A,FALSE,"ANEXO3 99 DTU";#N/A,#N/A,FALSE,"ANEXO3 99 RDR";#N/A,#N/A,FALSE,"ANEXO3 99 UBÁ4";#N/A,#N/A,FALSE,"ANEXO3 99 UBÁ6"}</definedName>
    <definedName name="___________________________CRM4" localSheetId="20">{#N/A,#N/A,FALSE,"ANEXO3 99 ERA";#N/A,#N/A,FALSE,"ANEXO3 99 UBÁ2";#N/A,#N/A,FALSE,"ANEXO3 99 DTU";#N/A,#N/A,FALSE,"ANEXO3 99 RDR";#N/A,#N/A,FALSE,"ANEXO3 99 UBÁ4";#N/A,#N/A,FALSE,"ANEXO3 99 UBÁ6"}</definedName>
    <definedName name="___________________________CRM4">{#N/A,#N/A,FALSE,"ANEXO3 99 ERA";#N/A,#N/A,FALSE,"ANEXO3 99 UBÁ2";#N/A,#N/A,FALSE,"ANEXO3 99 DTU";#N/A,#N/A,FALSE,"ANEXO3 99 RDR";#N/A,#N/A,FALSE,"ANEXO3 99 UBÁ4";#N/A,#N/A,FALSE,"ANEXO3 99 UBÁ6"}</definedName>
    <definedName name="__________________________CRM2" localSheetId="20">{#N/A,#N/A,FALSE,"ANEXO3 99 ERA";#N/A,#N/A,FALSE,"ANEXO3 99 UBÁ2";#N/A,#N/A,FALSE,"ANEXO3 99 DTU";#N/A,#N/A,FALSE,"ANEXO3 99 RDR";#N/A,#N/A,FALSE,"ANEXO3 99 UBÁ4";#N/A,#N/A,FALSE,"ANEXO3 99 UBÁ6"}</definedName>
    <definedName name="__________________________CRM2">{#N/A,#N/A,FALSE,"ANEXO3 99 ERA";#N/A,#N/A,FALSE,"ANEXO3 99 UBÁ2";#N/A,#N/A,FALSE,"ANEXO3 99 DTU";#N/A,#N/A,FALSE,"ANEXO3 99 RDR";#N/A,#N/A,FALSE,"ANEXO3 99 UBÁ4";#N/A,#N/A,FALSE,"ANEXO3 99 UBÁ6"}</definedName>
    <definedName name="__________________________CRM3" localSheetId="20">{#N/A,#N/A,FALSE,"ANEXO3 99 ERA";#N/A,#N/A,FALSE,"ANEXO3 99 UBÁ2";#N/A,#N/A,FALSE,"ANEXO3 99 DTU";#N/A,#N/A,FALSE,"ANEXO3 99 RDR";#N/A,#N/A,FALSE,"ANEXO3 99 UBÁ4";#N/A,#N/A,FALSE,"ANEXO3 99 UBÁ6"}</definedName>
    <definedName name="__________________________CRM3">{#N/A,#N/A,FALSE,"ANEXO3 99 ERA";#N/A,#N/A,FALSE,"ANEXO3 99 UBÁ2";#N/A,#N/A,FALSE,"ANEXO3 99 DTU";#N/A,#N/A,FALSE,"ANEXO3 99 RDR";#N/A,#N/A,FALSE,"ANEXO3 99 UBÁ4";#N/A,#N/A,FALSE,"ANEXO3 99 UBÁ6"}</definedName>
    <definedName name="__________________________CRM4" localSheetId="20">{#N/A,#N/A,FALSE,"ANEXO3 99 ERA";#N/A,#N/A,FALSE,"ANEXO3 99 UBÁ2";#N/A,#N/A,FALSE,"ANEXO3 99 DTU";#N/A,#N/A,FALSE,"ANEXO3 99 RDR";#N/A,#N/A,FALSE,"ANEXO3 99 UBÁ4";#N/A,#N/A,FALSE,"ANEXO3 99 UBÁ6"}</definedName>
    <definedName name="__________________________CRM4">{#N/A,#N/A,FALSE,"ANEXO3 99 ERA";#N/A,#N/A,FALSE,"ANEXO3 99 UBÁ2";#N/A,#N/A,FALSE,"ANEXO3 99 DTU";#N/A,#N/A,FALSE,"ANEXO3 99 RDR";#N/A,#N/A,FALSE,"ANEXO3 99 UBÁ4";#N/A,#N/A,FALSE,"ANEXO3 99 UBÁ6"}</definedName>
    <definedName name="_________________________CRM2" localSheetId="20">{#N/A,#N/A,FALSE,"ANEXO3 99 ERA";#N/A,#N/A,FALSE,"ANEXO3 99 UBÁ2";#N/A,#N/A,FALSE,"ANEXO3 99 DTU";#N/A,#N/A,FALSE,"ANEXO3 99 RDR";#N/A,#N/A,FALSE,"ANEXO3 99 UBÁ4";#N/A,#N/A,FALSE,"ANEXO3 99 UBÁ6"}</definedName>
    <definedName name="_________________________CRM2">{#N/A,#N/A,FALSE,"ANEXO3 99 ERA";#N/A,#N/A,FALSE,"ANEXO3 99 UBÁ2";#N/A,#N/A,FALSE,"ANEXO3 99 DTU";#N/A,#N/A,FALSE,"ANEXO3 99 RDR";#N/A,#N/A,FALSE,"ANEXO3 99 UBÁ4";#N/A,#N/A,FALSE,"ANEXO3 99 UBÁ6"}</definedName>
    <definedName name="_________________________CRM3" localSheetId="20">{#N/A,#N/A,FALSE,"ANEXO3 99 ERA";#N/A,#N/A,FALSE,"ANEXO3 99 UBÁ2";#N/A,#N/A,FALSE,"ANEXO3 99 DTU";#N/A,#N/A,FALSE,"ANEXO3 99 RDR";#N/A,#N/A,FALSE,"ANEXO3 99 UBÁ4";#N/A,#N/A,FALSE,"ANEXO3 99 UBÁ6"}</definedName>
    <definedName name="_________________________CRM3">{#N/A,#N/A,FALSE,"ANEXO3 99 ERA";#N/A,#N/A,FALSE,"ANEXO3 99 UBÁ2";#N/A,#N/A,FALSE,"ANEXO3 99 DTU";#N/A,#N/A,FALSE,"ANEXO3 99 RDR";#N/A,#N/A,FALSE,"ANEXO3 99 UBÁ4";#N/A,#N/A,FALSE,"ANEXO3 99 UBÁ6"}</definedName>
    <definedName name="_________________________CRM4" localSheetId="20">{#N/A,#N/A,FALSE,"ANEXO3 99 ERA";#N/A,#N/A,FALSE,"ANEXO3 99 UBÁ2";#N/A,#N/A,FALSE,"ANEXO3 99 DTU";#N/A,#N/A,FALSE,"ANEXO3 99 RDR";#N/A,#N/A,FALSE,"ANEXO3 99 UBÁ4";#N/A,#N/A,FALSE,"ANEXO3 99 UBÁ6"}</definedName>
    <definedName name="_________________________CRM4">{#N/A,#N/A,FALSE,"ANEXO3 99 ERA";#N/A,#N/A,FALSE,"ANEXO3 99 UBÁ2";#N/A,#N/A,FALSE,"ANEXO3 99 DTU";#N/A,#N/A,FALSE,"ANEXO3 99 RDR";#N/A,#N/A,FALSE,"ANEXO3 99 UBÁ4";#N/A,#N/A,FALSE,"ANEXO3 99 UBÁ6"}</definedName>
    <definedName name="________________________CRM2" localSheetId="20">{#N/A,#N/A,FALSE,"ANEXO3 99 ERA";#N/A,#N/A,FALSE,"ANEXO3 99 UBÁ2";#N/A,#N/A,FALSE,"ANEXO3 99 DTU";#N/A,#N/A,FALSE,"ANEXO3 99 RDR";#N/A,#N/A,FALSE,"ANEXO3 99 UBÁ4";#N/A,#N/A,FALSE,"ANEXO3 99 UBÁ6"}</definedName>
    <definedName name="________________________CRM2">{#N/A,#N/A,FALSE,"ANEXO3 99 ERA";#N/A,#N/A,FALSE,"ANEXO3 99 UBÁ2";#N/A,#N/A,FALSE,"ANEXO3 99 DTU";#N/A,#N/A,FALSE,"ANEXO3 99 RDR";#N/A,#N/A,FALSE,"ANEXO3 99 UBÁ4";#N/A,#N/A,FALSE,"ANEXO3 99 UBÁ6"}</definedName>
    <definedName name="________________________CRM3" localSheetId="20">{#N/A,#N/A,FALSE,"ANEXO3 99 ERA";#N/A,#N/A,FALSE,"ANEXO3 99 UBÁ2";#N/A,#N/A,FALSE,"ANEXO3 99 DTU";#N/A,#N/A,FALSE,"ANEXO3 99 RDR";#N/A,#N/A,FALSE,"ANEXO3 99 UBÁ4";#N/A,#N/A,FALSE,"ANEXO3 99 UBÁ6"}</definedName>
    <definedName name="________________________CRM3">{#N/A,#N/A,FALSE,"ANEXO3 99 ERA";#N/A,#N/A,FALSE,"ANEXO3 99 UBÁ2";#N/A,#N/A,FALSE,"ANEXO3 99 DTU";#N/A,#N/A,FALSE,"ANEXO3 99 RDR";#N/A,#N/A,FALSE,"ANEXO3 99 UBÁ4";#N/A,#N/A,FALSE,"ANEXO3 99 UBÁ6"}</definedName>
    <definedName name="________________________CRM4" localSheetId="20">{#N/A,#N/A,FALSE,"ANEXO3 99 ERA";#N/A,#N/A,FALSE,"ANEXO3 99 UBÁ2";#N/A,#N/A,FALSE,"ANEXO3 99 DTU";#N/A,#N/A,FALSE,"ANEXO3 99 RDR";#N/A,#N/A,FALSE,"ANEXO3 99 UBÁ4";#N/A,#N/A,FALSE,"ANEXO3 99 UBÁ6"}</definedName>
    <definedName name="________________________CRM4">{#N/A,#N/A,FALSE,"ANEXO3 99 ERA";#N/A,#N/A,FALSE,"ANEXO3 99 UBÁ2";#N/A,#N/A,FALSE,"ANEXO3 99 DTU";#N/A,#N/A,FALSE,"ANEXO3 99 RDR";#N/A,#N/A,FALSE,"ANEXO3 99 UBÁ4";#N/A,#N/A,FALSE,"ANEXO3 99 UBÁ6"}</definedName>
    <definedName name="_______________________CRM2" localSheetId="20">{#N/A,#N/A,FALSE,"ANEXO3 99 ERA";#N/A,#N/A,FALSE,"ANEXO3 99 UBÁ2";#N/A,#N/A,FALSE,"ANEXO3 99 DTU";#N/A,#N/A,FALSE,"ANEXO3 99 RDR";#N/A,#N/A,FALSE,"ANEXO3 99 UBÁ4";#N/A,#N/A,FALSE,"ANEXO3 99 UBÁ6"}</definedName>
    <definedName name="_______________________CRM2">{#N/A,#N/A,FALSE,"ANEXO3 99 ERA";#N/A,#N/A,FALSE,"ANEXO3 99 UBÁ2";#N/A,#N/A,FALSE,"ANEXO3 99 DTU";#N/A,#N/A,FALSE,"ANEXO3 99 RDR";#N/A,#N/A,FALSE,"ANEXO3 99 UBÁ4";#N/A,#N/A,FALSE,"ANEXO3 99 UBÁ6"}</definedName>
    <definedName name="_______________________CRM3" localSheetId="20">{#N/A,#N/A,FALSE,"ANEXO3 99 ERA";#N/A,#N/A,FALSE,"ANEXO3 99 UBÁ2";#N/A,#N/A,FALSE,"ANEXO3 99 DTU";#N/A,#N/A,FALSE,"ANEXO3 99 RDR";#N/A,#N/A,FALSE,"ANEXO3 99 UBÁ4";#N/A,#N/A,FALSE,"ANEXO3 99 UBÁ6"}</definedName>
    <definedName name="_______________________CRM3">{#N/A,#N/A,FALSE,"ANEXO3 99 ERA";#N/A,#N/A,FALSE,"ANEXO3 99 UBÁ2";#N/A,#N/A,FALSE,"ANEXO3 99 DTU";#N/A,#N/A,FALSE,"ANEXO3 99 RDR";#N/A,#N/A,FALSE,"ANEXO3 99 UBÁ4";#N/A,#N/A,FALSE,"ANEXO3 99 UBÁ6"}</definedName>
    <definedName name="_______________________CRM4" localSheetId="20">{#N/A,#N/A,FALSE,"ANEXO3 99 ERA";#N/A,#N/A,FALSE,"ANEXO3 99 UBÁ2";#N/A,#N/A,FALSE,"ANEXO3 99 DTU";#N/A,#N/A,FALSE,"ANEXO3 99 RDR";#N/A,#N/A,FALSE,"ANEXO3 99 UBÁ4";#N/A,#N/A,FALSE,"ANEXO3 99 UBÁ6"}</definedName>
    <definedName name="_______________________CRM4">{#N/A,#N/A,FALSE,"ANEXO3 99 ERA";#N/A,#N/A,FALSE,"ANEXO3 99 UBÁ2";#N/A,#N/A,FALSE,"ANEXO3 99 DTU";#N/A,#N/A,FALSE,"ANEXO3 99 RDR";#N/A,#N/A,FALSE,"ANEXO3 99 UBÁ4";#N/A,#N/A,FALSE,"ANEXO3 99 UBÁ6"}</definedName>
    <definedName name="______________________CRM2" localSheetId="20">{#N/A,#N/A,FALSE,"ANEXO3 99 ERA";#N/A,#N/A,FALSE,"ANEXO3 99 UBÁ2";#N/A,#N/A,FALSE,"ANEXO3 99 DTU";#N/A,#N/A,FALSE,"ANEXO3 99 RDR";#N/A,#N/A,FALSE,"ANEXO3 99 UBÁ4";#N/A,#N/A,FALSE,"ANEXO3 99 UBÁ6"}</definedName>
    <definedName name="______________________CRM2">{#N/A,#N/A,FALSE,"ANEXO3 99 ERA";#N/A,#N/A,FALSE,"ANEXO3 99 UBÁ2";#N/A,#N/A,FALSE,"ANEXO3 99 DTU";#N/A,#N/A,FALSE,"ANEXO3 99 RDR";#N/A,#N/A,FALSE,"ANEXO3 99 UBÁ4";#N/A,#N/A,FALSE,"ANEXO3 99 UBÁ6"}</definedName>
    <definedName name="______________________CRM3" localSheetId="20">{#N/A,#N/A,FALSE,"ANEXO3 99 ERA";#N/A,#N/A,FALSE,"ANEXO3 99 UBÁ2";#N/A,#N/A,FALSE,"ANEXO3 99 DTU";#N/A,#N/A,FALSE,"ANEXO3 99 RDR";#N/A,#N/A,FALSE,"ANEXO3 99 UBÁ4";#N/A,#N/A,FALSE,"ANEXO3 99 UBÁ6"}</definedName>
    <definedName name="______________________CRM3">{#N/A,#N/A,FALSE,"ANEXO3 99 ERA";#N/A,#N/A,FALSE,"ANEXO3 99 UBÁ2";#N/A,#N/A,FALSE,"ANEXO3 99 DTU";#N/A,#N/A,FALSE,"ANEXO3 99 RDR";#N/A,#N/A,FALSE,"ANEXO3 99 UBÁ4";#N/A,#N/A,FALSE,"ANEXO3 99 UBÁ6"}</definedName>
    <definedName name="______________________CRM4" localSheetId="20">{#N/A,#N/A,FALSE,"ANEXO3 99 ERA";#N/A,#N/A,FALSE,"ANEXO3 99 UBÁ2";#N/A,#N/A,FALSE,"ANEXO3 99 DTU";#N/A,#N/A,FALSE,"ANEXO3 99 RDR";#N/A,#N/A,FALSE,"ANEXO3 99 UBÁ4";#N/A,#N/A,FALSE,"ANEXO3 99 UBÁ6"}</definedName>
    <definedName name="______________________CRM4">{#N/A,#N/A,FALSE,"ANEXO3 99 ERA";#N/A,#N/A,FALSE,"ANEXO3 99 UBÁ2";#N/A,#N/A,FALSE,"ANEXO3 99 DTU";#N/A,#N/A,FALSE,"ANEXO3 99 RDR";#N/A,#N/A,FALSE,"ANEXO3 99 UBÁ4";#N/A,#N/A,FALSE,"ANEXO3 99 UBÁ6"}</definedName>
    <definedName name="_____________________CRM2" localSheetId="20">{#N/A,#N/A,FALSE,"ANEXO3 99 ERA";#N/A,#N/A,FALSE,"ANEXO3 99 UBÁ2";#N/A,#N/A,FALSE,"ANEXO3 99 DTU";#N/A,#N/A,FALSE,"ANEXO3 99 RDR";#N/A,#N/A,FALSE,"ANEXO3 99 UBÁ4";#N/A,#N/A,FALSE,"ANEXO3 99 UBÁ6"}</definedName>
    <definedName name="_____________________CRM2">{#N/A,#N/A,FALSE,"ANEXO3 99 ERA";#N/A,#N/A,FALSE,"ANEXO3 99 UBÁ2";#N/A,#N/A,FALSE,"ANEXO3 99 DTU";#N/A,#N/A,FALSE,"ANEXO3 99 RDR";#N/A,#N/A,FALSE,"ANEXO3 99 UBÁ4";#N/A,#N/A,FALSE,"ANEXO3 99 UBÁ6"}</definedName>
    <definedName name="_____________________CRM3" localSheetId="20">{#N/A,#N/A,FALSE,"ANEXO3 99 ERA";#N/A,#N/A,FALSE,"ANEXO3 99 UBÁ2";#N/A,#N/A,FALSE,"ANEXO3 99 DTU";#N/A,#N/A,FALSE,"ANEXO3 99 RDR";#N/A,#N/A,FALSE,"ANEXO3 99 UBÁ4";#N/A,#N/A,FALSE,"ANEXO3 99 UBÁ6"}</definedName>
    <definedName name="_____________________CRM3">{#N/A,#N/A,FALSE,"ANEXO3 99 ERA";#N/A,#N/A,FALSE,"ANEXO3 99 UBÁ2";#N/A,#N/A,FALSE,"ANEXO3 99 DTU";#N/A,#N/A,FALSE,"ANEXO3 99 RDR";#N/A,#N/A,FALSE,"ANEXO3 99 UBÁ4";#N/A,#N/A,FALSE,"ANEXO3 99 UBÁ6"}</definedName>
    <definedName name="_____________________CRM4" localSheetId="20">{#N/A,#N/A,FALSE,"ANEXO3 99 ERA";#N/A,#N/A,FALSE,"ANEXO3 99 UBÁ2";#N/A,#N/A,FALSE,"ANEXO3 99 DTU";#N/A,#N/A,FALSE,"ANEXO3 99 RDR";#N/A,#N/A,FALSE,"ANEXO3 99 UBÁ4";#N/A,#N/A,FALSE,"ANEXO3 99 UBÁ6"}</definedName>
    <definedName name="_____________________CRM4">{#N/A,#N/A,FALSE,"ANEXO3 99 ERA";#N/A,#N/A,FALSE,"ANEXO3 99 UBÁ2";#N/A,#N/A,FALSE,"ANEXO3 99 DTU";#N/A,#N/A,FALSE,"ANEXO3 99 RDR";#N/A,#N/A,FALSE,"ANEXO3 99 UBÁ4";#N/A,#N/A,FALSE,"ANEXO3 99 UBÁ6"}</definedName>
    <definedName name="____________________CRM2" localSheetId="20">{#N/A,#N/A,FALSE,"ANEXO3 99 ERA";#N/A,#N/A,FALSE,"ANEXO3 99 UBÁ2";#N/A,#N/A,FALSE,"ANEXO3 99 DTU";#N/A,#N/A,FALSE,"ANEXO3 99 RDR";#N/A,#N/A,FALSE,"ANEXO3 99 UBÁ4";#N/A,#N/A,FALSE,"ANEXO3 99 UBÁ6"}</definedName>
    <definedName name="____________________CRM2">{#N/A,#N/A,FALSE,"ANEXO3 99 ERA";#N/A,#N/A,FALSE,"ANEXO3 99 UBÁ2";#N/A,#N/A,FALSE,"ANEXO3 99 DTU";#N/A,#N/A,FALSE,"ANEXO3 99 RDR";#N/A,#N/A,FALSE,"ANEXO3 99 UBÁ4";#N/A,#N/A,FALSE,"ANEXO3 99 UBÁ6"}</definedName>
    <definedName name="____________________CRM3" localSheetId="20">{#N/A,#N/A,FALSE,"ANEXO3 99 ERA";#N/A,#N/A,FALSE,"ANEXO3 99 UBÁ2";#N/A,#N/A,FALSE,"ANEXO3 99 DTU";#N/A,#N/A,FALSE,"ANEXO3 99 RDR";#N/A,#N/A,FALSE,"ANEXO3 99 UBÁ4";#N/A,#N/A,FALSE,"ANEXO3 99 UBÁ6"}</definedName>
    <definedName name="____________________CRM3">{#N/A,#N/A,FALSE,"ANEXO3 99 ERA";#N/A,#N/A,FALSE,"ANEXO3 99 UBÁ2";#N/A,#N/A,FALSE,"ANEXO3 99 DTU";#N/A,#N/A,FALSE,"ANEXO3 99 RDR";#N/A,#N/A,FALSE,"ANEXO3 99 UBÁ4";#N/A,#N/A,FALSE,"ANEXO3 99 UBÁ6"}</definedName>
    <definedName name="____________________CRM4" localSheetId="20">{#N/A,#N/A,FALSE,"ANEXO3 99 ERA";#N/A,#N/A,FALSE,"ANEXO3 99 UBÁ2";#N/A,#N/A,FALSE,"ANEXO3 99 DTU";#N/A,#N/A,FALSE,"ANEXO3 99 RDR";#N/A,#N/A,FALSE,"ANEXO3 99 UBÁ4";#N/A,#N/A,FALSE,"ANEXO3 99 UBÁ6"}</definedName>
    <definedName name="____________________CRM4">{#N/A,#N/A,FALSE,"ANEXO3 99 ERA";#N/A,#N/A,FALSE,"ANEXO3 99 UBÁ2";#N/A,#N/A,FALSE,"ANEXO3 99 DTU";#N/A,#N/A,FALSE,"ANEXO3 99 RDR";#N/A,#N/A,FALSE,"ANEXO3 99 UBÁ4";#N/A,#N/A,FALSE,"ANEXO3 99 UBÁ6"}</definedName>
    <definedName name="___________________CRM2" localSheetId="20">{#N/A,#N/A,FALSE,"ANEXO3 99 ERA";#N/A,#N/A,FALSE,"ANEXO3 99 UBÁ2";#N/A,#N/A,FALSE,"ANEXO3 99 DTU";#N/A,#N/A,FALSE,"ANEXO3 99 RDR";#N/A,#N/A,FALSE,"ANEXO3 99 UBÁ4";#N/A,#N/A,FALSE,"ANEXO3 99 UBÁ6"}</definedName>
    <definedName name="___________________CRM2">{#N/A,#N/A,FALSE,"ANEXO3 99 ERA";#N/A,#N/A,FALSE,"ANEXO3 99 UBÁ2";#N/A,#N/A,FALSE,"ANEXO3 99 DTU";#N/A,#N/A,FALSE,"ANEXO3 99 RDR";#N/A,#N/A,FALSE,"ANEXO3 99 UBÁ4";#N/A,#N/A,FALSE,"ANEXO3 99 UBÁ6"}</definedName>
    <definedName name="___________________CRM3" localSheetId="20">{#N/A,#N/A,FALSE,"ANEXO3 99 ERA";#N/A,#N/A,FALSE,"ANEXO3 99 UBÁ2";#N/A,#N/A,FALSE,"ANEXO3 99 DTU";#N/A,#N/A,FALSE,"ANEXO3 99 RDR";#N/A,#N/A,FALSE,"ANEXO3 99 UBÁ4";#N/A,#N/A,FALSE,"ANEXO3 99 UBÁ6"}</definedName>
    <definedName name="___________________CRM3">{#N/A,#N/A,FALSE,"ANEXO3 99 ERA";#N/A,#N/A,FALSE,"ANEXO3 99 UBÁ2";#N/A,#N/A,FALSE,"ANEXO3 99 DTU";#N/A,#N/A,FALSE,"ANEXO3 99 RDR";#N/A,#N/A,FALSE,"ANEXO3 99 UBÁ4";#N/A,#N/A,FALSE,"ANEXO3 99 UBÁ6"}</definedName>
    <definedName name="___________________CRM4" localSheetId="20">{#N/A,#N/A,FALSE,"ANEXO3 99 ERA";#N/A,#N/A,FALSE,"ANEXO3 99 UBÁ2";#N/A,#N/A,FALSE,"ANEXO3 99 DTU";#N/A,#N/A,FALSE,"ANEXO3 99 RDR";#N/A,#N/A,FALSE,"ANEXO3 99 UBÁ4";#N/A,#N/A,FALSE,"ANEXO3 99 UBÁ6"}</definedName>
    <definedName name="___________________CRM4">{#N/A,#N/A,FALSE,"ANEXO3 99 ERA";#N/A,#N/A,FALSE,"ANEXO3 99 UBÁ2";#N/A,#N/A,FALSE,"ANEXO3 99 DTU";#N/A,#N/A,FALSE,"ANEXO3 99 RDR";#N/A,#N/A,FALSE,"ANEXO3 99 UBÁ4";#N/A,#N/A,FALSE,"ANEXO3 99 UBÁ6"}</definedName>
    <definedName name="__________________CRM2" localSheetId="20">{#N/A,#N/A,FALSE,"ANEXO3 99 ERA";#N/A,#N/A,FALSE,"ANEXO3 99 UBÁ2";#N/A,#N/A,FALSE,"ANEXO3 99 DTU";#N/A,#N/A,FALSE,"ANEXO3 99 RDR";#N/A,#N/A,FALSE,"ANEXO3 99 UBÁ4";#N/A,#N/A,FALSE,"ANEXO3 99 UBÁ6"}</definedName>
    <definedName name="__________________CRM2">{#N/A,#N/A,FALSE,"ANEXO3 99 ERA";#N/A,#N/A,FALSE,"ANEXO3 99 UBÁ2";#N/A,#N/A,FALSE,"ANEXO3 99 DTU";#N/A,#N/A,FALSE,"ANEXO3 99 RDR";#N/A,#N/A,FALSE,"ANEXO3 99 UBÁ4";#N/A,#N/A,FALSE,"ANEXO3 99 UBÁ6"}</definedName>
    <definedName name="__________________CRM3" localSheetId="20">{#N/A,#N/A,FALSE,"ANEXO3 99 ERA";#N/A,#N/A,FALSE,"ANEXO3 99 UBÁ2";#N/A,#N/A,FALSE,"ANEXO3 99 DTU";#N/A,#N/A,FALSE,"ANEXO3 99 RDR";#N/A,#N/A,FALSE,"ANEXO3 99 UBÁ4";#N/A,#N/A,FALSE,"ANEXO3 99 UBÁ6"}</definedName>
    <definedName name="__________________CRM3">{#N/A,#N/A,FALSE,"ANEXO3 99 ERA";#N/A,#N/A,FALSE,"ANEXO3 99 UBÁ2";#N/A,#N/A,FALSE,"ANEXO3 99 DTU";#N/A,#N/A,FALSE,"ANEXO3 99 RDR";#N/A,#N/A,FALSE,"ANEXO3 99 UBÁ4";#N/A,#N/A,FALSE,"ANEXO3 99 UBÁ6"}</definedName>
    <definedName name="__________________CRM4" localSheetId="20">{#N/A,#N/A,FALSE,"ANEXO3 99 ERA";#N/A,#N/A,FALSE,"ANEXO3 99 UBÁ2";#N/A,#N/A,FALSE,"ANEXO3 99 DTU";#N/A,#N/A,FALSE,"ANEXO3 99 RDR";#N/A,#N/A,FALSE,"ANEXO3 99 UBÁ4";#N/A,#N/A,FALSE,"ANEXO3 99 UBÁ6"}</definedName>
    <definedName name="__________________CRM4">{#N/A,#N/A,FALSE,"ANEXO3 99 ERA";#N/A,#N/A,FALSE,"ANEXO3 99 UBÁ2";#N/A,#N/A,FALSE,"ANEXO3 99 DTU";#N/A,#N/A,FALSE,"ANEXO3 99 RDR";#N/A,#N/A,FALSE,"ANEXO3 99 UBÁ4";#N/A,#N/A,FALSE,"ANEXO3 99 UBÁ6"}</definedName>
    <definedName name="_________________CRM3" localSheetId="20">{#N/A,#N/A,FALSE,"ANEXO3 99 ERA";#N/A,#N/A,FALSE,"ANEXO3 99 UBÁ2";#N/A,#N/A,FALSE,"ANEXO3 99 DTU";#N/A,#N/A,FALSE,"ANEXO3 99 RDR";#N/A,#N/A,FALSE,"ANEXO3 99 UBÁ4";#N/A,#N/A,FALSE,"ANEXO3 99 UBÁ6"}</definedName>
    <definedName name="_________________CRM3">{#N/A,#N/A,FALSE,"ANEXO3 99 ERA";#N/A,#N/A,FALSE,"ANEXO3 99 UBÁ2";#N/A,#N/A,FALSE,"ANEXO3 99 DTU";#N/A,#N/A,FALSE,"ANEXO3 99 RDR";#N/A,#N/A,FALSE,"ANEXO3 99 UBÁ4";#N/A,#N/A,FALSE,"ANEXO3 99 UBÁ6"}</definedName>
    <definedName name="________________CRM2" localSheetId="20">{#N/A,#N/A,FALSE,"ANEXO3 99 ERA";#N/A,#N/A,FALSE,"ANEXO3 99 UBÁ2";#N/A,#N/A,FALSE,"ANEXO3 99 DTU";#N/A,#N/A,FALSE,"ANEXO3 99 RDR";#N/A,#N/A,FALSE,"ANEXO3 99 UBÁ4";#N/A,#N/A,FALSE,"ANEXO3 99 UBÁ6"}</definedName>
    <definedName name="________________CRM2">{#N/A,#N/A,FALSE,"ANEXO3 99 ERA";#N/A,#N/A,FALSE,"ANEXO3 99 UBÁ2";#N/A,#N/A,FALSE,"ANEXO3 99 DTU";#N/A,#N/A,FALSE,"ANEXO3 99 RDR";#N/A,#N/A,FALSE,"ANEXO3 99 UBÁ4";#N/A,#N/A,FALSE,"ANEXO3 99 UBÁ6"}</definedName>
    <definedName name="________________CRM3" localSheetId="20">{#N/A,#N/A,FALSE,"ANEXO3 99 ERA";#N/A,#N/A,FALSE,"ANEXO3 99 UBÁ2";#N/A,#N/A,FALSE,"ANEXO3 99 DTU";#N/A,#N/A,FALSE,"ANEXO3 99 RDR";#N/A,#N/A,FALSE,"ANEXO3 99 UBÁ4";#N/A,#N/A,FALSE,"ANEXO3 99 UBÁ6"}</definedName>
    <definedName name="________________CRM3">{#N/A,#N/A,FALSE,"ANEXO3 99 ERA";#N/A,#N/A,FALSE,"ANEXO3 99 UBÁ2";#N/A,#N/A,FALSE,"ANEXO3 99 DTU";#N/A,#N/A,FALSE,"ANEXO3 99 RDR";#N/A,#N/A,FALSE,"ANEXO3 99 UBÁ4";#N/A,#N/A,FALSE,"ANEXO3 99 UBÁ6"}</definedName>
    <definedName name="________________CRM4" localSheetId="20">{#N/A,#N/A,FALSE,"ANEXO3 99 ERA";#N/A,#N/A,FALSE,"ANEXO3 99 UBÁ2";#N/A,#N/A,FALSE,"ANEXO3 99 DTU";#N/A,#N/A,FALSE,"ANEXO3 99 RDR";#N/A,#N/A,FALSE,"ANEXO3 99 UBÁ4";#N/A,#N/A,FALSE,"ANEXO3 99 UBÁ6"}</definedName>
    <definedName name="________________CRM4">{#N/A,#N/A,FALSE,"ANEXO3 99 ERA";#N/A,#N/A,FALSE,"ANEXO3 99 UBÁ2";#N/A,#N/A,FALSE,"ANEXO3 99 DTU";#N/A,#N/A,FALSE,"ANEXO3 99 RDR";#N/A,#N/A,FALSE,"ANEXO3 99 UBÁ4";#N/A,#N/A,FALSE,"ANEXO3 99 UBÁ6"}</definedName>
    <definedName name="_______________CRM2" localSheetId="20">{#N/A,#N/A,FALSE,"ANEXO3 99 ERA";#N/A,#N/A,FALSE,"ANEXO3 99 UBÁ2";#N/A,#N/A,FALSE,"ANEXO3 99 DTU";#N/A,#N/A,FALSE,"ANEXO3 99 RDR";#N/A,#N/A,FALSE,"ANEXO3 99 UBÁ4";#N/A,#N/A,FALSE,"ANEXO3 99 UBÁ6"}</definedName>
    <definedName name="_______________CRM2">{#N/A,#N/A,FALSE,"ANEXO3 99 ERA";#N/A,#N/A,FALSE,"ANEXO3 99 UBÁ2";#N/A,#N/A,FALSE,"ANEXO3 99 DTU";#N/A,#N/A,FALSE,"ANEXO3 99 RDR";#N/A,#N/A,FALSE,"ANEXO3 99 UBÁ4";#N/A,#N/A,FALSE,"ANEXO3 99 UBÁ6"}</definedName>
    <definedName name="_______________CRM3" localSheetId="20">{#N/A,#N/A,FALSE,"ANEXO3 99 ERA";#N/A,#N/A,FALSE,"ANEXO3 99 UBÁ2";#N/A,#N/A,FALSE,"ANEXO3 99 DTU";#N/A,#N/A,FALSE,"ANEXO3 99 RDR";#N/A,#N/A,FALSE,"ANEXO3 99 UBÁ4";#N/A,#N/A,FALSE,"ANEXO3 99 UBÁ6"}</definedName>
    <definedName name="_______________CRM3">{#N/A,#N/A,FALSE,"ANEXO3 99 ERA";#N/A,#N/A,FALSE,"ANEXO3 99 UBÁ2";#N/A,#N/A,FALSE,"ANEXO3 99 DTU";#N/A,#N/A,FALSE,"ANEXO3 99 RDR";#N/A,#N/A,FALSE,"ANEXO3 99 UBÁ4";#N/A,#N/A,FALSE,"ANEXO3 99 UBÁ6"}</definedName>
    <definedName name="_______________CRM4" localSheetId="20">{#N/A,#N/A,FALSE,"ANEXO3 99 ERA";#N/A,#N/A,FALSE,"ANEXO3 99 UBÁ2";#N/A,#N/A,FALSE,"ANEXO3 99 DTU";#N/A,#N/A,FALSE,"ANEXO3 99 RDR";#N/A,#N/A,FALSE,"ANEXO3 99 UBÁ4";#N/A,#N/A,FALSE,"ANEXO3 99 UBÁ6"}</definedName>
    <definedName name="_______________CRM4">{#N/A,#N/A,FALSE,"ANEXO3 99 ERA";#N/A,#N/A,FALSE,"ANEXO3 99 UBÁ2";#N/A,#N/A,FALSE,"ANEXO3 99 DTU";#N/A,#N/A,FALSE,"ANEXO3 99 RDR";#N/A,#N/A,FALSE,"ANEXO3 99 UBÁ4";#N/A,#N/A,FALSE,"ANEXO3 99 UBÁ6"}</definedName>
    <definedName name="______________CRM2" localSheetId="20">{#N/A,#N/A,FALSE,"ANEXO3 99 ERA";#N/A,#N/A,FALSE,"ANEXO3 99 UBÁ2";#N/A,#N/A,FALSE,"ANEXO3 99 DTU";#N/A,#N/A,FALSE,"ANEXO3 99 RDR";#N/A,#N/A,FALSE,"ANEXO3 99 UBÁ4";#N/A,#N/A,FALSE,"ANEXO3 99 UBÁ6"}</definedName>
    <definedName name="______________CRM2">{#N/A,#N/A,FALSE,"ANEXO3 99 ERA";#N/A,#N/A,FALSE,"ANEXO3 99 UBÁ2";#N/A,#N/A,FALSE,"ANEXO3 99 DTU";#N/A,#N/A,FALSE,"ANEXO3 99 RDR";#N/A,#N/A,FALSE,"ANEXO3 99 UBÁ4";#N/A,#N/A,FALSE,"ANEXO3 99 UBÁ6"}</definedName>
    <definedName name="______________CRM3" localSheetId="20">{#N/A,#N/A,FALSE,"ANEXO3 99 ERA";#N/A,#N/A,FALSE,"ANEXO3 99 UBÁ2";#N/A,#N/A,FALSE,"ANEXO3 99 DTU";#N/A,#N/A,FALSE,"ANEXO3 99 RDR";#N/A,#N/A,FALSE,"ANEXO3 99 UBÁ4";#N/A,#N/A,FALSE,"ANEXO3 99 UBÁ6"}</definedName>
    <definedName name="______________CRM3">{#N/A,#N/A,FALSE,"ANEXO3 99 ERA";#N/A,#N/A,FALSE,"ANEXO3 99 UBÁ2";#N/A,#N/A,FALSE,"ANEXO3 99 DTU";#N/A,#N/A,FALSE,"ANEXO3 99 RDR";#N/A,#N/A,FALSE,"ANEXO3 99 UBÁ4";#N/A,#N/A,FALSE,"ANEXO3 99 UBÁ6"}</definedName>
    <definedName name="______________CRM4" localSheetId="20">{#N/A,#N/A,FALSE,"ANEXO3 99 ERA";#N/A,#N/A,FALSE,"ANEXO3 99 UBÁ2";#N/A,#N/A,FALSE,"ANEXO3 99 DTU";#N/A,#N/A,FALSE,"ANEXO3 99 RDR";#N/A,#N/A,FALSE,"ANEXO3 99 UBÁ4";#N/A,#N/A,FALSE,"ANEXO3 99 UBÁ6"}</definedName>
    <definedName name="______________CRM4">{#N/A,#N/A,FALSE,"ANEXO3 99 ERA";#N/A,#N/A,FALSE,"ANEXO3 99 UBÁ2";#N/A,#N/A,FALSE,"ANEXO3 99 DTU";#N/A,#N/A,FALSE,"ANEXO3 99 RDR";#N/A,#N/A,FALSE,"ANEXO3 99 UBÁ4";#N/A,#N/A,FALSE,"ANEXO3 99 UBÁ6"}</definedName>
    <definedName name="_____________CRM2" localSheetId="20">{#N/A,#N/A,FALSE,"ANEXO3 99 ERA";#N/A,#N/A,FALSE,"ANEXO3 99 UBÁ2";#N/A,#N/A,FALSE,"ANEXO3 99 DTU";#N/A,#N/A,FALSE,"ANEXO3 99 RDR";#N/A,#N/A,FALSE,"ANEXO3 99 UBÁ4";#N/A,#N/A,FALSE,"ANEXO3 99 UBÁ6"}</definedName>
    <definedName name="_____________CRM2">{#N/A,#N/A,FALSE,"ANEXO3 99 ERA";#N/A,#N/A,FALSE,"ANEXO3 99 UBÁ2";#N/A,#N/A,FALSE,"ANEXO3 99 DTU";#N/A,#N/A,FALSE,"ANEXO3 99 RDR";#N/A,#N/A,FALSE,"ANEXO3 99 UBÁ4";#N/A,#N/A,FALSE,"ANEXO3 99 UBÁ6"}</definedName>
    <definedName name="_____________CRM3" localSheetId="20">{#N/A,#N/A,FALSE,"ANEXO3 99 ERA";#N/A,#N/A,FALSE,"ANEXO3 99 UBÁ2";#N/A,#N/A,FALSE,"ANEXO3 99 DTU";#N/A,#N/A,FALSE,"ANEXO3 99 RDR";#N/A,#N/A,FALSE,"ANEXO3 99 UBÁ4";#N/A,#N/A,FALSE,"ANEXO3 99 UBÁ6"}</definedName>
    <definedName name="_____________CRM3">{#N/A,#N/A,FALSE,"ANEXO3 99 ERA";#N/A,#N/A,FALSE,"ANEXO3 99 UBÁ2";#N/A,#N/A,FALSE,"ANEXO3 99 DTU";#N/A,#N/A,FALSE,"ANEXO3 99 RDR";#N/A,#N/A,FALSE,"ANEXO3 99 UBÁ4";#N/A,#N/A,FALSE,"ANEXO3 99 UBÁ6"}</definedName>
    <definedName name="_____________CRM4" localSheetId="20">{#N/A,#N/A,FALSE,"ANEXO3 99 ERA";#N/A,#N/A,FALSE,"ANEXO3 99 UBÁ2";#N/A,#N/A,FALSE,"ANEXO3 99 DTU";#N/A,#N/A,FALSE,"ANEXO3 99 RDR";#N/A,#N/A,FALSE,"ANEXO3 99 UBÁ4";#N/A,#N/A,FALSE,"ANEXO3 99 UBÁ6"}</definedName>
    <definedName name="_____________CRM4">{#N/A,#N/A,FALSE,"ANEXO3 99 ERA";#N/A,#N/A,FALSE,"ANEXO3 99 UBÁ2";#N/A,#N/A,FALSE,"ANEXO3 99 DTU";#N/A,#N/A,FALSE,"ANEXO3 99 RDR";#N/A,#N/A,FALSE,"ANEXO3 99 UBÁ4";#N/A,#N/A,FALSE,"ANEXO3 99 UBÁ6"}</definedName>
    <definedName name="____________CRM2" localSheetId="20">{#N/A,#N/A,FALSE,"ANEXO3 99 ERA";#N/A,#N/A,FALSE,"ANEXO3 99 UBÁ2";#N/A,#N/A,FALSE,"ANEXO3 99 DTU";#N/A,#N/A,FALSE,"ANEXO3 99 RDR";#N/A,#N/A,FALSE,"ANEXO3 99 UBÁ4";#N/A,#N/A,FALSE,"ANEXO3 99 UBÁ6"}</definedName>
    <definedName name="____________CRM2">{#N/A,#N/A,FALSE,"ANEXO3 99 ERA";#N/A,#N/A,FALSE,"ANEXO3 99 UBÁ2";#N/A,#N/A,FALSE,"ANEXO3 99 DTU";#N/A,#N/A,FALSE,"ANEXO3 99 RDR";#N/A,#N/A,FALSE,"ANEXO3 99 UBÁ4";#N/A,#N/A,FALSE,"ANEXO3 99 UBÁ6"}</definedName>
    <definedName name="____________CRM3" localSheetId="20">{#N/A,#N/A,FALSE,"ANEXO3 99 ERA";#N/A,#N/A,FALSE,"ANEXO3 99 UBÁ2";#N/A,#N/A,FALSE,"ANEXO3 99 DTU";#N/A,#N/A,FALSE,"ANEXO3 99 RDR";#N/A,#N/A,FALSE,"ANEXO3 99 UBÁ4";#N/A,#N/A,FALSE,"ANEXO3 99 UBÁ6"}</definedName>
    <definedName name="____________CRM3">{#N/A,#N/A,FALSE,"ANEXO3 99 ERA";#N/A,#N/A,FALSE,"ANEXO3 99 UBÁ2";#N/A,#N/A,FALSE,"ANEXO3 99 DTU";#N/A,#N/A,FALSE,"ANEXO3 99 RDR";#N/A,#N/A,FALSE,"ANEXO3 99 UBÁ4";#N/A,#N/A,FALSE,"ANEXO3 99 UBÁ6"}</definedName>
    <definedName name="____________CRM4" localSheetId="20">{#N/A,#N/A,FALSE,"ANEXO3 99 ERA";#N/A,#N/A,FALSE,"ANEXO3 99 UBÁ2";#N/A,#N/A,FALSE,"ANEXO3 99 DTU";#N/A,#N/A,FALSE,"ANEXO3 99 RDR";#N/A,#N/A,FALSE,"ANEXO3 99 UBÁ4";#N/A,#N/A,FALSE,"ANEXO3 99 UBÁ6"}</definedName>
    <definedName name="____________CRM4">{#N/A,#N/A,FALSE,"ANEXO3 99 ERA";#N/A,#N/A,FALSE,"ANEXO3 99 UBÁ2";#N/A,#N/A,FALSE,"ANEXO3 99 DTU";#N/A,#N/A,FALSE,"ANEXO3 99 RDR";#N/A,#N/A,FALSE,"ANEXO3 99 UBÁ4";#N/A,#N/A,FALSE,"ANEXO3 99 UBÁ6"}</definedName>
    <definedName name="___________CRM2" localSheetId="20">{#N/A,#N/A,FALSE,"ANEXO3 99 ERA";#N/A,#N/A,FALSE,"ANEXO3 99 UBÁ2";#N/A,#N/A,FALSE,"ANEXO3 99 DTU";#N/A,#N/A,FALSE,"ANEXO3 99 RDR";#N/A,#N/A,FALSE,"ANEXO3 99 UBÁ4";#N/A,#N/A,FALSE,"ANEXO3 99 UBÁ6"}</definedName>
    <definedName name="___________CRM2">{#N/A,#N/A,FALSE,"ANEXO3 99 ERA";#N/A,#N/A,FALSE,"ANEXO3 99 UBÁ2";#N/A,#N/A,FALSE,"ANEXO3 99 DTU";#N/A,#N/A,FALSE,"ANEXO3 99 RDR";#N/A,#N/A,FALSE,"ANEXO3 99 UBÁ4";#N/A,#N/A,FALSE,"ANEXO3 99 UBÁ6"}</definedName>
    <definedName name="___________CRM3" localSheetId="20">{#N/A,#N/A,FALSE,"ANEXO3 99 ERA";#N/A,#N/A,FALSE,"ANEXO3 99 UBÁ2";#N/A,#N/A,FALSE,"ANEXO3 99 DTU";#N/A,#N/A,FALSE,"ANEXO3 99 RDR";#N/A,#N/A,FALSE,"ANEXO3 99 UBÁ4";#N/A,#N/A,FALSE,"ANEXO3 99 UBÁ6"}</definedName>
    <definedName name="___________CRM3">{#N/A,#N/A,FALSE,"ANEXO3 99 ERA";#N/A,#N/A,FALSE,"ANEXO3 99 UBÁ2";#N/A,#N/A,FALSE,"ANEXO3 99 DTU";#N/A,#N/A,FALSE,"ANEXO3 99 RDR";#N/A,#N/A,FALSE,"ANEXO3 99 UBÁ4";#N/A,#N/A,FALSE,"ANEXO3 99 UBÁ6"}</definedName>
    <definedName name="___________CRM4" localSheetId="20">{#N/A,#N/A,FALSE,"ANEXO3 99 ERA";#N/A,#N/A,FALSE,"ANEXO3 99 UBÁ2";#N/A,#N/A,FALSE,"ANEXO3 99 DTU";#N/A,#N/A,FALSE,"ANEXO3 99 RDR";#N/A,#N/A,FALSE,"ANEXO3 99 UBÁ4";#N/A,#N/A,FALSE,"ANEXO3 99 UBÁ6"}</definedName>
    <definedName name="___________CRM4">{#N/A,#N/A,FALSE,"ANEXO3 99 ERA";#N/A,#N/A,FALSE,"ANEXO3 99 UBÁ2";#N/A,#N/A,FALSE,"ANEXO3 99 DTU";#N/A,#N/A,FALSE,"ANEXO3 99 RDR";#N/A,#N/A,FALSE,"ANEXO3 99 UBÁ4";#N/A,#N/A,FALSE,"ANEXO3 99 UBÁ6"}</definedName>
    <definedName name="__________CRM2" localSheetId="20">{#N/A,#N/A,FALSE,"ANEXO3 99 ERA";#N/A,#N/A,FALSE,"ANEXO3 99 UBÁ2";#N/A,#N/A,FALSE,"ANEXO3 99 DTU";#N/A,#N/A,FALSE,"ANEXO3 99 RDR";#N/A,#N/A,FALSE,"ANEXO3 99 UBÁ4";#N/A,#N/A,FALSE,"ANEXO3 99 UBÁ6"}</definedName>
    <definedName name="__________CRM2">{#N/A,#N/A,FALSE,"ANEXO3 99 ERA";#N/A,#N/A,FALSE,"ANEXO3 99 UBÁ2";#N/A,#N/A,FALSE,"ANEXO3 99 DTU";#N/A,#N/A,FALSE,"ANEXO3 99 RDR";#N/A,#N/A,FALSE,"ANEXO3 99 UBÁ4";#N/A,#N/A,FALSE,"ANEXO3 99 UBÁ6"}</definedName>
    <definedName name="__________CRM3" localSheetId="20">{#N/A,#N/A,FALSE,"ANEXO3 99 ERA";#N/A,#N/A,FALSE,"ANEXO3 99 UBÁ2";#N/A,#N/A,FALSE,"ANEXO3 99 DTU";#N/A,#N/A,FALSE,"ANEXO3 99 RDR";#N/A,#N/A,FALSE,"ANEXO3 99 UBÁ4";#N/A,#N/A,FALSE,"ANEXO3 99 UBÁ6"}</definedName>
    <definedName name="__________CRM3">{#N/A,#N/A,FALSE,"ANEXO3 99 ERA";#N/A,#N/A,FALSE,"ANEXO3 99 UBÁ2";#N/A,#N/A,FALSE,"ANEXO3 99 DTU";#N/A,#N/A,FALSE,"ANEXO3 99 RDR";#N/A,#N/A,FALSE,"ANEXO3 99 UBÁ4";#N/A,#N/A,FALSE,"ANEXO3 99 UBÁ6"}</definedName>
    <definedName name="__________CRM4" localSheetId="20">{#N/A,#N/A,FALSE,"ANEXO3 99 ERA";#N/A,#N/A,FALSE,"ANEXO3 99 UBÁ2";#N/A,#N/A,FALSE,"ANEXO3 99 DTU";#N/A,#N/A,FALSE,"ANEXO3 99 RDR";#N/A,#N/A,FALSE,"ANEXO3 99 UBÁ4";#N/A,#N/A,FALSE,"ANEXO3 99 UBÁ6"}</definedName>
    <definedName name="__________CRM4">{#N/A,#N/A,FALSE,"ANEXO3 99 ERA";#N/A,#N/A,FALSE,"ANEXO3 99 UBÁ2";#N/A,#N/A,FALSE,"ANEXO3 99 DTU";#N/A,#N/A,FALSE,"ANEXO3 99 RDR";#N/A,#N/A,FALSE,"ANEXO3 99 UBÁ4";#N/A,#N/A,FALSE,"ANEXO3 99 UBÁ6"}</definedName>
    <definedName name="_________CRM2" localSheetId="20">{#N/A,#N/A,FALSE,"ANEXO3 99 ERA";#N/A,#N/A,FALSE,"ANEXO3 99 UBÁ2";#N/A,#N/A,FALSE,"ANEXO3 99 DTU";#N/A,#N/A,FALSE,"ANEXO3 99 RDR";#N/A,#N/A,FALSE,"ANEXO3 99 UBÁ4";#N/A,#N/A,FALSE,"ANEXO3 99 UBÁ6"}</definedName>
    <definedName name="_________CRM2">{#N/A,#N/A,FALSE,"ANEXO3 99 ERA";#N/A,#N/A,FALSE,"ANEXO3 99 UBÁ2";#N/A,#N/A,FALSE,"ANEXO3 99 DTU";#N/A,#N/A,FALSE,"ANEXO3 99 RDR";#N/A,#N/A,FALSE,"ANEXO3 99 UBÁ4";#N/A,#N/A,FALSE,"ANEXO3 99 UBÁ6"}</definedName>
    <definedName name="_________CRM3" localSheetId="20">{#N/A,#N/A,FALSE,"ANEXO3 99 ERA";#N/A,#N/A,FALSE,"ANEXO3 99 UBÁ2";#N/A,#N/A,FALSE,"ANEXO3 99 DTU";#N/A,#N/A,FALSE,"ANEXO3 99 RDR";#N/A,#N/A,FALSE,"ANEXO3 99 UBÁ4";#N/A,#N/A,FALSE,"ANEXO3 99 UBÁ6"}</definedName>
    <definedName name="_________CRM3">{#N/A,#N/A,FALSE,"ANEXO3 99 ERA";#N/A,#N/A,FALSE,"ANEXO3 99 UBÁ2";#N/A,#N/A,FALSE,"ANEXO3 99 DTU";#N/A,#N/A,FALSE,"ANEXO3 99 RDR";#N/A,#N/A,FALSE,"ANEXO3 99 UBÁ4";#N/A,#N/A,FALSE,"ANEXO3 99 UBÁ6"}</definedName>
    <definedName name="_________CRM4" localSheetId="20">{#N/A,#N/A,FALSE,"ANEXO3 99 ERA";#N/A,#N/A,FALSE,"ANEXO3 99 UBÁ2";#N/A,#N/A,FALSE,"ANEXO3 99 DTU";#N/A,#N/A,FALSE,"ANEXO3 99 RDR";#N/A,#N/A,FALSE,"ANEXO3 99 UBÁ4";#N/A,#N/A,FALSE,"ANEXO3 99 UBÁ6"}</definedName>
    <definedName name="_________CRM4">{#N/A,#N/A,FALSE,"ANEXO3 99 ERA";#N/A,#N/A,FALSE,"ANEXO3 99 UBÁ2";#N/A,#N/A,FALSE,"ANEXO3 99 DTU";#N/A,#N/A,FALSE,"ANEXO3 99 RDR";#N/A,#N/A,FALSE,"ANEXO3 99 UBÁ4";#N/A,#N/A,FALSE,"ANEXO3 99 UBÁ6"}</definedName>
    <definedName name="________CRM2" localSheetId="20">{#N/A,#N/A,FALSE,"ANEXO3 99 ERA";#N/A,#N/A,FALSE,"ANEXO3 99 UBÁ2";#N/A,#N/A,FALSE,"ANEXO3 99 DTU";#N/A,#N/A,FALSE,"ANEXO3 99 RDR";#N/A,#N/A,FALSE,"ANEXO3 99 UBÁ4";#N/A,#N/A,FALSE,"ANEXO3 99 UBÁ6"}</definedName>
    <definedName name="________CRM2">{#N/A,#N/A,FALSE,"ANEXO3 99 ERA";#N/A,#N/A,FALSE,"ANEXO3 99 UBÁ2";#N/A,#N/A,FALSE,"ANEXO3 99 DTU";#N/A,#N/A,FALSE,"ANEXO3 99 RDR";#N/A,#N/A,FALSE,"ANEXO3 99 UBÁ4";#N/A,#N/A,FALSE,"ANEXO3 99 UBÁ6"}</definedName>
    <definedName name="________CRM3" localSheetId="20">{#N/A,#N/A,FALSE,"ANEXO3 99 ERA";#N/A,#N/A,FALSE,"ANEXO3 99 UBÁ2";#N/A,#N/A,FALSE,"ANEXO3 99 DTU";#N/A,#N/A,FALSE,"ANEXO3 99 RDR";#N/A,#N/A,FALSE,"ANEXO3 99 UBÁ4";#N/A,#N/A,FALSE,"ANEXO3 99 UBÁ6"}</definedName>
    <definedName name="________CRM3">{#N/A,#N/A,FALSE,"ANEXO3 99 ERA";#N/A,#N/A,FALSE,"ANEXO3 99 UBÁ2";#N/A,#N/A,FALSE,"ANEXO3 99 DTU";#N/A,#N/A,FALSE,"ANEXO3 99 RDR";#N/A,#N/A,FALSE,"ANEXO3 99 UBÁ4";#N/A,#N/A,FALSE,"ANEXO3 99 UBÁ6"}</definedName>
    <definedName name="________CRM4" localSheetId="20">{#N/A,#N/A,FALSE,"ANEXO3 99 ERA";#N/A,#N/A,FALSE,"ANEXO3 99 UBÁ2";#N/A,#N/A,FALSE,"ANEXO3 99 DTU";#N/A,#N/A,FALSE,"ANEXO3 99 RDR";#N/A,#N/A,FALSE,"ANEXO3 99 UBÁ4";#N/A,#N/A,FALSE,"ANEXO3 99 UBÁ6"}</definedName>
    <definedName name="________CRM4">{#N/A,#N/A,FALSE,"ANEXO3 99 ERA";#N/A,#N/A,FALSE,"ANEXO3 99 UBÁ2";#N/A,#N/A,FALSE,"ANEXO3 99 DTU";#N/A,#N/A,FALSE,"ANEXO3 99 RDR";#N/A,#N/A,FALSE,"ANEXO3 99 UBÁ4";#N/A,#N/A,FALSE,"ANEXO3 99 UBÁ6"}</definedName>
    <definedName name="_______CRM2" localSheetId="20">{#N/A,#N/A,FALSE,"ANEXO3 99 ERA";#N/A,#N/A,FALSE,"ANEXO3 99 UBÁ2";#N/A,#N/A,FALSE,"ANEXO3 99 DTU";#N/A,#N/A,FALSE,"ANEXO3 99 RDR";#N/A,#N/A,FALSE,"ANEXO3 99 UBÁ4";#N/A,#N/A,FALSE,"ANEXO3 99 UBÁ6"}</definedName>
    <definedName name="_______CRM2">{#N/A,#N/A,FALSE,"ANEXO3 99 ERA";#N/A,#N/A,FALSE,"ANEXO3 99 UBÁ2";#N/A,#N/A,FALSE,"ANEXO3 99 DTU";#N/A,#N/A,FALSE,"ANEXO3 99 RDR";#N/A,#N/A,FALSE,"ANEXO3 99 UBÁ4";#N/A,#N/A,FALSE,"ANEXO3 99 UBÁ6"}</definedName>
    <definedName name="_______CRM3" localSheetId="20">{#N/A,#N/A,FALSE,"ANEXO3 99 ERA";#N/A,#N/A,FALSE,"ANEXO3 99 UBÁ2";#N/A,#N/A,FALSE,"ANEXO3 99 DTU";#N/A,#N/A,FALSE,"ANEXO3 99 RDR";#N/A,#N/A,FALSE,"ANEXO3 99 UBÁ4";#N/A,#N/A,FALSE,"ANEXO3 99 UBÁ6"}</definedName>
    <definedName name="_______CRM3">{#N/A,#N/A,FALSE,"ANEXO3 99 ERA";#N/A,#N/A,FALSE,"ANEXO3 99 UBÁ2";#N/A,#N/A,FALSE,"ANEXO3 99 DTU";#N/A,#N/A,FALSE,"ANEXO3 99 RDR";#N/A,#N/A,FALSE,"ANEXO3 99 UBÁ4";#N/A,#N/A,FALSE,"ANEXO3 99 UBÁ6"}</definedName>
    <definedName name="_______CRM4" localSheetId="20">{#N/A,#N/A,FALSE,"ANEXO3 99 ERA";#N/A,#N/A,FALSE,"ANEXO3 99 UBÁ2";#N/A,#N/A,FALSE,"ANEXO3 99 DTU";#N/A,#N/A,FALSE,"ANEXO3 99 RDR";#N/A,#N/A,FALSE,"ANEXO3 99 UBÁ4";#N/A,#N/A,FALSE,"ANEXO3 99 UBÁ6"}</definedName>
    <definedName name="_______CRM4">{#N/A,#N/A,FALSE,"ANEXO3 99 ERA";#N/A,#N/A,FALSE,"ANEXO3 99 UBÁ2";#N/A,#N/A,FALSE,"ANEXO3 99 DTU";#N/A,#N/A,FALSE,"ANEXO3 99 RDR";#N/A,#N/A,FALSE,"ANEXO3 99 UBÁ4";#N/A,#N/A,FALSE,"ANEXO3 99 UBÁ6"}</definedName>
    <definedName name="______CRM2" localSheetId="20">{#N/A,#N/A,FALSE,"ANEXO3 99 ERA";#N/A,#N/A,FALSE,"ANEXO3 99 UBÁ2";#N/A,#N/A,FALSE,"ANEXO3 99 DTU";#N/A,#N/A,FALSE,"ANEXO3 99 RDR";#N/A,#N/A,FALSE,"ANEXO3 99 UBÁ4";#N/A,#N/A,FALSE,"ANEXO3 99 UBÁ6"}</definedName>
    <definedName name="______CRM2">{#N/A,#N/A,FALSE,"ANEXO3 99 ERA";#N/A,#N/A,FALSE,"ANEXO3 99 UBÁ2";#N/A,#N/A,FALSE,"ANEXO3 99 DTU";#N/A,#N/A,FALSE,"ANEXO3 99 RDR";#N/A,#N/A,FALSE,"ANEXO3 99 UBÁ4";#N/A,#N/A,FALSE,"ANEXO3 99 UBÁ6"}</definedName>
    <definedName name="______CRM3" localSheetId="20">{#N/A,#N/A,FALSE,"ANEXO3 99 ERA";#N/A,#N/A,FALSE,"ANEXO3 99 UBÁ2";#N/A,#N/A,FALSE,"ANEXO3 99 DTU";#N/A,#N/A,FALSE,"ANEXO3 99 RDR";#N/A,#N/A,FALSE,"ANEXO3 99 UBÁ4";#N/A,#N/A,FALSE,"ANEXO3 99 UBÁ6"}</definedName>
    <definedName name="______CRM3">{#N/A,#N/A,FALSE,"ANEXO3 99 ERA";#N/A,#N/A,FALSE,"ANEXO3 99 UBÁ2";#N/A,#N/A,FALSE,"ANEXO3 99 DTU";#N/A,#N/A,FALSE,"ANEXO3 99 RDR";#N/A,#N/A,FALSE,"ANEXO3 99 UBÁ4";#N/A,#N/A,FALSE,"ANEXO3 99 UBÁ6"}</definedName>
    <definedName name="______CRM4" localSheetId="20">{#N/A,#N/A,FALSE,"ANEXO3 99 ERA";#N/A,#N/A,FALSE,"ANEXO3 99 UBÁ2";#N/A,#N/A,FALSE,"ANEXO3 99 DTU";#N/A,#N/A,FALSE,"ANEXO3 99 RDR";#N/A,#N/A,FALSE,"ANEXO3 99 UBÁ4";#N/A,#N/A,FALSE,"ANEXO3 99 UBÁ6"}</definedName>
    <definedName name="______CRM4">{#N/A,#N/A,FALSE,"ANEXO3 99 ERA";#N/A,#N/A,FALSE,"ANEXO3 99 UBÁ2";#N/A,#N/A,FALSE,"ANEXO3 99 DTU";#N/A,#N/A,FALSE,"ANEXO3 99 RDR";#N/A,#N/A,FALSE,"ANEXO3 99 UBÁ4";#N/A,#N/A,FALSE,"ANEXO3 99 UBÁ6"}</definedName>
    <definedName name="_____CRM2" localSheetId="20">{#N/A,#N/A,FALSE,"ANEXO3 99 ERA";#N/A,#N/A,FALSE,"ANEXO3 99 UBÁ2";#N/A,#N/A,FALSE,"ANEXO3 99 DTU";#N/A,#N/A,FALSE,"ANEXO3 99 RDR";#N/A,#N/A,FALSE,"ANEXO3 99 UBÁ4";#N/A,#N/A,FALSE,"ANEXO3 99 UBÁ6"}</definedName>
    <definedName name="_____CRM2">{#N/A,#N/A,FALSE,"ANEXO3 99 ERA";#N/A,#N/A,FALSE,"ANEXO3 99 UBÁ2";#N/A,#N/A,FALSE,"ANEXO3 99 DTU";#N/A,#N/A,FALSE,"ANEXO3 99 RDR";#N/A,#N/A,FALSE,"ANEXO3 99 UBÁ4";#N/A,#N/A,FALSE,"ANEXO3 99 UBÁ6"}</definedName>
    <definedName name="_____CRM3" localSheetId="20">{#N/A,#N/A,FALSE,"ANEXO3 99 ERA";#N/A,#N/A,FALSE,"ANEXO3 99 UBÁ2";#N/A,#N/A,FALSE,"ANEXO3 99 DTU";#N/A,#N/A,FALSE,"ANEXO3 99 RDR";#N/A,#N/A,FALSE,"ANEXO3 99 UBÁ4";#N/A,#N/A,FALSE,"ANEXO3 99 UBÁ6"}</definedName>
    <definedName name="_____CRM3">{#N/A,#N/A,FALSE,"ANEXO3 99 ERA";#N/A,#N/A,FALSE,"ANEXO3 99 UBÁ2";#N/A,#N/A,FALSE,"ANEXO3 99 DTU";#N/A,#N/A,FALSE,"ANEXO3 99 RDR";#N/A,#N/A,FALSE,"ANEXO3 99 UBÁ4";#N/A,#N/A,FALSE,"ANEXO3 99 UBÁ6"}</definedName>
    <definedName name="_____CRM4" localSheetId="20">{#N/A,#N/A,FALSE,"ANEXO3 99 ERA";#N/A,#N/A,FALSE,"ANEXO3 99 UBÁ2";#N/A,#N/A,FALSE,"ANEXO3 99 DTU";#N/A,#N/A,FALSE,"ANEXO3 99 RDR";#N/A,#N/A,FALSE,"ANEXO3 99 UBÁ4";#N/A,#N/A,FALSE,"ANEXO3 99 UBÁ6"}</definedName>
    <definedName name="_____CRM4">{#N/A,#N/A,FALSE,"ANEXO3 99 ERA";#N/A,#N/A,FALSE,"ANEXO3 99 UBÁ2";#N/A,#N/A,FALSE,"ANEXO3 99 DTU";#N/A,#N/A,FALSE,"ANEXO3 99 RDR";#N/A,#N/A,FALSE,"ANEXO3 99 UBÁ4";#N/A,#N/A,FALSE,"ANEXO3 99 UBÁ6"}</definedName>
    <definedName name="____ASS2" localSheetId="20">{#N/A,#N/A,TRUE,"UTI"}</definedName>
    <definedName name="____ASS2">{#N/A,#N/A,TRUE,"UTI"}</definedName>
    <definedName name="____CRM2" localSheetId="20">{#N/A,#N/A,FALSE,"ANEXO3 99 ERA";#N/A,#N/A,FALSE,"ANEXO3 99 UBÁ2";#N/A,#N/A,FALSE,"ANEXO3 99 DTU";#N/A,#N/A,FALSE,"ANEXO3 99 RDR";#N/A,#N/A,FALSE,"ANEXO3 99 UBÁ4";#N/A,#N/A,FALSE,"ANEXO3 99 UBÁ6"}</definedName>
    <definedName name="____CRM2">{#N/A,#N/A,FALSE,"ANEXO3 99 ERA";#N/A,#N/A,FALSE,"ANEXO3 99 UBÁ2";#N/A,#N/A,FALSE,"ANEXO3 99 DTU";#N/A,#N/A,FALSE,"ANEXO3 99 RDR";#N/A,#N/A,FALSE,"ANEXO3 99 UBÁ4";#N/A,#N/A,FALSE,"ANEXO3 99 UBÁ6"}</definedName>
    <definedName name="____CRM3" localSheetId="20">{#N/A,#N/A,FALSE,"ANEXO3 99 ERA";#N/A,#N/A,FALSE,"ANEXO3 99 UBÁ2";#N/A,#N/A,FALSE,"ANEXO3 99 DTU";#N/A,#N/A,FALSE,"ANEXO3 99 RDR";#N/A,#N/A,FALSE,"ANEXO3 99 UBÁ4";#N/A,#N/A,FALSE,"ANEXO3 99 UBÁ6"}</definedName>
    <definedName name="____CRM3">{#N/A,#N/A,FALSE,"ANEXO3 99 ERA";#N/A,#N/A,FALSE,"ANEXO3 99 UBÁ2";#N/A,#N/A,FALSE,"ANEXO3 99 DTU";#N/A,#N/A,FALSE,"ANEXO3 99 RDR";#N/A,#N/A,FALSE,"ANEXO3 99 UBÁ4";#N/A,#N/A,FALSE,"ANEXO3 99 UBÁ6"}</definedName>
    <definedName name="____CRM4" localSheetId="20">{#N/A,#N/A,FALSE,"ANEXO3 99 ERA";#N/A,#N/A,FALSE,"ANEXO3 99 UBÁ2";#N/A,#N/A,FALSE,"ANEXO3 99 DTU";#N/A,#N/A,FALSE,"ANEXO3 99 RDR";#N/A,#N/A,FALSE,"ANEXO3 99 UBÁ4";#N/A,#N/A,FALSE,"ANEXO3 99 UBÁ6"}</definedName>
    <definedName name="____CRM4">{#N/A,#N/A,FALSE,"ANEXO3 99 ERA";#N/A,#N/A,FALSE,"ANEXO3 99 UBÁ2";#N/A,#N/A,FALSE,"ANEXO3 99 DTU";#N/A,#N/A,FALSE,"ANEXO3 99 RDR";#N/A,#N/A,FALSE,"ANEXO3 99 UBÁ4";#N/A,#N/A,FALSE,"ANEXO3 99 UBÁ6"}</definedName>
    <definedName name="___ASS2" localSheetId="20">{#N/A,#N/A,TRUE,"UTI"}</definedName>
    <definedName name="___ASS2">{#N/A,#N/A,TRUE,"UTI"}</definedName>
    <definedName name="___CRM2" localSheetId="20">{#N/A,#N/A,FALSE,"ANEXO3 99 ERA";#N/A,#N/A,FALSE,"ANEXO3 99 UBÁ2";#N/A,#N/A,FALSE,"ANEXO3 99 DTU";#N/A,#N/A,FALSE,"ANEXO3 99 RDR";#N/A,#N/A,FALSE,"ANEXO3 99 UBÁ4";#N/A,#N/A,FALSE,"ANEXO3 99 UBÁ6"}</definedName>
    <definedName name="___CRM2">{#N/A,#N/A,FALSE,"ANEXO3 99 ERA";#N/A,#N/A,FALSE,"ANEXO3 99 UBÁ2";#N/A,#N/A,FALSE,"ANEXO3 99 DTU";#N/A,#N/A,FALSE,"ANEXO3 99 RDR";#N/A,#N/A,FALSE,"ANEXO3 99 UBÁ4";#N/A,#N/A,FALSE,"ANEXO3 99 UBÁ6"}</definedName>
    <definedName name="___CRM3" localSheetId="20">{#N/A,#N/A,FALSE,"ANEXO3 99 ERA";#N/A,#N/A,FALSE,"ANEXO3 99 UBÁ2";#N/A,#N/A,FALSE,"ANEXO3 99 DTU";#N/A,#N/A,FALSE,"ANEXO3 99 RDR";#N/A,#N/A,FALSE,"ANEXO3 99 UBÁ4";#N/A,#N/A,FALSE,"ANEXO3 99 UBÁ6"}</definedName>
    <definedName name="___CRM3">{#N/A,#N/A,FALSE,"ANEXO3 99 ERA";#N/A,#N/A,FALSE,"ANEXO3 99 UBÁ2";#N/A,#N/A,FALSE,"ANEXO3 99 DTU";#N/A,#N/A,FALSE,"ANEXO3 99 RDR";#N/A,#N/A,FALSE,"ANEXO3 99 UBÁ4";#N/A,#N/A,FALSE,"ANEXO3 99 UBÁ6"}</definedName>
    <definedName name="___CRM4" localSheetId="20">{#N/A,#N/A,FALSE,"ANEXO3 99 ERA";#N/A,#N/A,FALSE,"ANEXO3 99 UBÁ2";#N/A,#N/A,FALSE,"ANEXO3 99 DTU";#N/A,#N/A,FALSE,"ANEXO3 99 RDR";#N/A,#N/A,FALSE,"ANEXO3 99 UBÁ4";#N/A,#N/A,FALSE,"ANEXO3 99 UBÁ6"}</definedName>
    <definedName name="___CRM4">{#N/A,#N/A,FALSE,"ANEXO3 99 ERA";#N/A,#N/A,FALSE,"ANEXO3 99 UBÁ2";#N/A,#N/A,FALSE,"ANEXO3 99 DTU";#N/A,#N/A,FALSE,"ANEXO3 99 RDR";#N/A,#N/A,FALSE,"ANEXO3 99 UBÁ4";#N/A,#N/A,FALSE,"ANEXO3 99 UBÁ6"}</definedName>
    <definedName name="__123">#REF!</definedName>
    <definedName name="__123Graph_A">#REF!</definedName>
    <definedName name="__123Graph_ACHART1">#REF!</definedName>
    <definedName name="__123Graph_ACHART10">#REF!</definedName>
    <definedName name="__123Graph_ACHART11">#REF!</definedName>
    <definedName name="__123Graph_ACHART12">#REF!</definedName>
    <definedName name="__123Graph_ACHART13">#REF!</definedName>
    <definedName name="__123Graph_ACHART14">#REF!</definedName>
    <definedName name="__123Graph_ACHART15">#REF!</definedName>
    <definedName name="__123Graph_ACHART16">#REF!</definedName>
    <definedName name="__123Graph_ACHART17">#REF!</definedName>
    <definedName name="__123Graph_ACHART18">#REF!</definedName>
    <definedName name="__123Graph_ACHART19">#REF!</definedName>
    <definedName name="__123Graph_ACHART2">#REF!</definedName>
    <definedName name="__123Graph_ACHART20">#REF!</definedName>
    <definedName name="__123Graph_ACHART21">#REF!</definedName>
    <definedName name="__123Graph_ACHART22">#REF!</definedName>
    <definedName name="__123Graph_ACHART3">#REF!</definedName>
    <definedName name="__123Graph_ACHART4">#REF!</definedName>
    <definedName name="__123Graph_ACHART5">#REF!</definedName>
    <definedName name="__123Graph_ACHART6">#REF!</definedName>
    <definedName name="__123Graph_ACHART7">#REF!</definedName>
    <definedName name="__123Graph_ACHART8">#REF!</definedName>
    <definedName name="__123Graph_ACHART9">#REF!</definedName>
    <definedName name="__123Graph_ACOMPARA">#REF!</definedName>
    <definedName name="__123Graph_ACONSMED">#REF!</definedName>
    <definedName name="__123Graph_ADIESEL">#REF!</definedName>
    <definedName name="__123Graph_ADM">#REF!</definedName>
    <definedName name="__123Graph_ADY">#REF!</definedName>
    <definedName name="__123Graph_AESTRUT">#REF!</definedName>
    <definedName name="__123Graph_AGRAF1">#REF!</definedName>
    <definedName name="__123Graph_AGRAF2">#REF!</definedName>
    <definedName name="__123Graph_AGRAF3">#REF!</definedName>
    <definedName name="__123Graph_AGRAF4">#REF!</definedName>
    <definedName name="__123Graph_AGRAFIND">#N/A</definedName>
    <definedName name="__123Graph_AGRAFTOT">#N/A</definedName>
    <definedName name="__123Graph_AGraph17">#REF!</definedName>
    <definedName name="__123Graph_AOCCUP">#REF!</definedName>
    <definedName name="__123Graph_APREVRCOM">#REF!</definedName>
    <definedName name="__123Graph_APREVREALI">#REF!</definedName>
    <definedName name="__123Graph_APREVRIND">#REF!</definedName>
    <definedName name="__123Graph_APREVROUT">#REF!</definedName>
    <definedName name="__123Graph_APREVRRES">#REF!</definedName>
    <definedName name="__123Graph_APREVRTOT">#REF!</definedName>
    <definedName name="__123Graph_APRODNVOL">#REF!</definedName>
    <definedName name="__123Graph_ASLIDE17">#REF!</definedName>
    <definedName name="__123Graph_ASLIDEIII15">#REF!</definedName>
    <definedName name="__123Graph_ASLIDEIII25">#REF!</definedName>
    <definedName name="__123Graph_ASLIDEIII26">#REF!</definedName>
    <definedName name="__123Graph_AWRTQ">#REF!</definedName>
    <definedName name="__123Graph_B">#REF!</definedName>
    <definedName name="__123Graph_BCHART1">#REF!</definedName>
    <definedName name="__123Graph_BCHART10">#REF!</definedName>
    <definedName name="__123Graph_BCHART11">#REF!</definedName>
    <definedName name="__123Graph_BCHART12">#REF!</definedName>
    <definedName name="__123Graph_BCHART13">#REF!</definedName>
    <definedName name="__123Graph_BCHART14">#REF!</definedName>
    <definedName name="__123Graph_BCHART15">#REF!</definedName>
    <definedName name="__123Graph_BCHART16">#REF!</definedName>
    <definedName name="__123Graph_BCHART17">#REF!</definedName>
    <definedName name="__123Graph_BCHART18">#REF!</definedName>
    <definedName name="__123Graph_BCHART19">#REF!</definedName>
    <definedName name="__123Graph_BCHART2">#REF!</definedName>
    <definedName name="__123Graph_BCHART20">#REF!</definedName>
    <definedName name="__123Graph_BCHART22">#REF!</definedName>
    <definedName name="__123Graph_BCHART3">#REF!</definedName>
    <definedName name="__123Graph_BCHART4">#REF!</definedName>
    <definedName name="__123Graph_BCHART6">#REF!</definedName>
    <definedName name="__123Graph_BCHART7">#REF!</definedName>
    <definedName name="__123Graph_BCHART8">#REF!</definedName>
    <definedName name="__123Graph_BCHART9">#REF!</definedName>
    <definedName name="__123Graph_BCOMPARA">#REF!</definedName>
    <definedName name="__123Graph_BCOSTDIST">#REF!</definedName>
    <definedName name="__123Graph_BDM">#REF!</definedName>
    <definedName name="__123Graph_BGRAF1">#REF!</definedName>
    <definedName name="__123Graph_BGRAF2">#REF!</definedName>
    <definedName name="__123Graph_BGRAF3">#REF!</definedName>
    <definedName name="__123Graph_BGRAF4">#REF!</definedName>
    <definedName name="__123Graph_BGRAFIND">#N/A</definedName>
    <definedName name="__123Graph_BGRAFTOT">#N/A</definedName>
    <definedName name="__123Graph_BGraph17">#REF!</definedName>
    <definedName name="__123Graph_BOCCUP">#REF!</definedName>
    <definedName name="__123Graph_BPREVREALI">#REF!</definedName>
    <definedName name="__123Graph_BSLIDE17">#REF!</definedName>
    <definedName name="__123Graph_BSLIDEIII15">#REF!</definedName>
    <definedName name="__123Graph_BSLIDEIII25">#REF!</definedName>
    <definedName name="__123Graph_BSLIDEIII26">#REF!</definedName>
    <definedName name="__123Graph_BWRTQ">#REF!</definedName>
    <definedName name="__123Graph_C">#REF!</definedName>
    <definedName name="__123Graph_CCHART1">#REF!</definedName>
    <definedName name="__123Graph_CCHART10">#REF!</definedName>
    <definedName name="__123Graph_CCHART11">#REF!</definedName>
    <definedName name="__123Graph_CCHART14">#REF!</definedName>
    <definedName name="__123Graph_CCHART15">#REF!</definedName>
    <definedName name="__123Graph_CCHART2">#REF!</definedName>
    <definedName name="__123Graph_CCHART22">#REF!</definedName>
    <definedName name="__123Graph_CCHART3">#REF!</definedName>
    <definedName name="__123Graph_CCHART6">#REF!</definedName>
    <definedName name="__123Graph_CCHART7">#REF!</definedName>
    <definedName name="__123Graph_CCHART8">#REF!</definedName>
    <definedName name="__123Graph_CGRAF3">#REF!</definedName>
    <definedName name="__123Graph_CGRAF4">#REF!</definedName>
    <definedName name="__123Graph_CGraph17">#REF!</definedName>
    <definedName name="__123Graph_CPREVREALI">#REF!</definedName>
    <definedName name="__123Graph_CSLIDEIII25">#REF!</definedName>
    <definedName name="__123Graph_CSLIDEIII26">#REF!</definedName>
    <definedName name="__123Graph_D">#REF!</definedName>
    <definedName name="__123Graph_DCHART10">#REF!</definedName>
    <definedName name="__123Graph_DCHART14">#REF!</definedName>
    <definedName name="__123Graph_DCOMPARA">#REF!</definedName>
    <definedName name="__123Graph_DGRAF3">#REF!</definedName>
    <definedName name="__123Graph_DGRAF4">#REF!</definedName>
    <definedName name="__123Graph_DGraph17">#REF!</definedName>
    <definedName name="__123Graph_DPREVREALI">#REF!</definedName>
    <definedName name="__123Graph_DSLIDEIII25">#REF!</definedName>
    <definedName name="__123Graph_E">#REF!</definedName>
    <definedName name="__123Graph_EGRAF3">#REF!</definedName>
    <definedName name="__123Graph_EGRAF4">#REF!</definedName>
    <definedName name="__123Graph_EGraph17">#REF!</definedName>
    <definedName name="__123Graph_EPREVREALI">#REF!</definedName>
    <definedName name="__123Graph_F">#REF!</definedName>
    <definedName name="__123Graph_FCOMPARA">#REF!</definedName>
    <definedName name="__123Graph_LBL_A">#REF!</definedName>
    <definedName name="__123Graph_LBL_ADIESEL">#REF!</definedName>
    <definedName name="__123Graph_LBL_AGRAF4">#REF!</definedName>
    <definedName name="__123Graph_LBL_AMONTH">#REF!</definedName>
    <definedName name="__123Graph_LBL_ATREND">#REF!</definedName>
    <definedName name="__123Graph_LBL_AYEAR">#REF!</definedName>
    <definedName name="__123Graph_LBL_B">#REF!</definedName>
    <definedName name="__123Graph_LBL_BGRAF4">#REF!</definedName>
    <definedName name="__123Graph_LBL_BMONTH">#REF!</definedName>
    <definedName name="__123Graph_LBL_BTREND">#REF!</definedName>
    <definedName name="__123Graph_LBL_BYEAR">#REF!</definedName>
    <definedName name="__123Graph_LBL_CCHART22">#REF!</definedName>
    <definedName name="__123Graph_LBL_CGRAF4">#REF!</definedName>
    <definedName name="__123Graph_LBL_DGRAF4">#REF!</definedName>
    <definedName name="__123Graph_LBL_EGRAF4">#REF!</definedName>
    <definedName name="__123Graph_LBL_FGRAF4">#REF!</definedName>
    <definedName name="__123Graph_X">#REF!</definedName>
    <definedName name="__123Graph_XCHART1">#REF!</definedName>
    <definedName name="__123Graph_XCHART10">#REF!</definedName>
    <definedName name="__123Graph_XCHART11">#REF!</definedName>
    <definedName name="__123Graph_XCHART12">#REF!</definedName>
    <definedName name="__123Graph_XCHART13">#REF!</definedName>
    <definedName name="__123Graph_XCHART14">#REF!</definedName>
    <definedName name="__123Graph_XCHART15">#REF!</definedName>
    <definedName name="__123Graph_XCHART16">#REF!</definedName>
    <definedName name="__123Graph_XCHART17">#REF!</definedName>
    <definedName name="__123Graph_XCHART18">#REF!</definedName>
    <definedName name="__123Graph_XCHART19">#REF!</definedName>
    <definedName name="__123Graph_XCHART2">#REF!</definedName>
    <definedName name="__123Graph_XCHART20">#REF!</definedName>
    <definedName name="__123Graph_XCHART21">#REF!</definedName>
    <definedName name="__123Graph_XCHART22">#REF!</definedName>
    <definedName name="__123Graph_XCHART3">#REF!</definedName>
    <definedName name="__123Graph_XCHART4">#REF!</definedName>
    <definedName name="__123Graph_XCHART5">#REF!</definedName>
    <definedName name="__123Graph_XCHART6">#REF!</definedName>
    <definedName name="__123Graph_XCHART7">#REF!</definedName>
    <definedName name="__123Graph_XCHART8">#REF!</definedName>
    <definedName name="__123Graph_XCHART9">#REF!</definedName>
    <definedName name="__123Graph_XCONSMED">#REF!</definedName>
    <definedName name="__123Graph_XCOSTSECT">#REF!</definedName>
    <definedName name="__123Graph_XDM">#REF!</definedName>
    <definedName name="__123Graph_XDY">#REF!</definedName>
    <definedName name="__123Graph_XELASTIC">#REF!</definedName>
    <definedName name="__123Graph_XESTRUT">#REF!</definedName>
    <definedName name="__123Graph_XGRAF1">#REF!</definedName>
    <definedName name="__123Graph_XGRAF2">#REF!</definedName>
    <definedName name="__123Graph_XGRAF3">#REF!</definedName>
    <definedName name="__123Graph_XGRAF4">#REF!</definedName>
    <definedName name="__123Graph_XOCCUP">#REF!</definedName>
    <definedName name="__123Graph_XPREVRCOM">#REF!</definedName>
    <definedName name="__123Graph_XPREVREALI">#REF!</definedName>
    <definedName name="__123Graph_XPREVRIND">#REF!</definedName>
    <definedName name="__123Graph_XPREVROUT">#REF!</definedName>
    <definedName name="__123Graph_XPREVRRES">#REF!</definedName>
    <definedName name="__123Graph_XPREVRTOT">#REF!</definedName>
    <definedName name="__123Graph_XSLIDE17">#REF!</definedName>
    <definedName name="__123Graph_XSLIDEIII15">#REF!</definedName>
    <definedName name="__123Graph_XSLIDEIII25">#REF!</definedName>
    <definedName name="__123Graph_XSLIDEIII26">#REF!</definedName>
    <definedName name="__123Graph_XWRTQ">#REF!</definedName>
    <definedName name="__12Graph_XPREVRRES1">#REF!</definedName>
    <definedName name="__2__123Graph_AMKT_YTD">#REF!</definedName>
    <definedName name="__3__123Graph_BMKT_MONTH">#REF!</definedName>
    <definedName name="__4__123Graph_BMKT_YTD">#REF!</definedName>
    <definedName name="__5__123Graph_LBL_AMKT_MONTH">#REF!</definedName>
    <definedName name="__6__123Graph_LBL_AMKT_YTD">#REF!</definedName>
    <definedName name="__7__123Graph_LBL_BMKT_MONTH">#REF!</definedName>
    <definedName name="__8__123Graph_LBL_BMKT_YTD">#REF!</definedName>
    <definedName name="__9__123Graph_XMKT_MONTH">#REF!</definedName>
    <definedName name="__B1" localSheetId="20">{#N/A,#N/A,FALSE,"LLAVE";#N/A,#N/A,FALSE,"EERR";#N/A,#N/A,FALSE,"ESP";#N/A,#N/A,FALSE,"EOAF";#N/A,#N/A,FALSE,"CASH";#N/A,#N/A,FALSE,"FINANZAS";#N/A,#N/A,FALSE,"DEUDA";#N/A,#N/A,FALSE,"INVERSION";#N/A,#N/A,FALSE,"PERSONAL"}</definedName>
    <definedName name="__B1">{#N/A,#N/A,FALSE,"LLAVE";#N/A,#N/A,FALSE,"EERR";#N/A,#N/A,FALSE,"ESP";#N/A,#N/A,FALSE,"EOAF";#N/A,#N/A,FALSE,"CASH";#N/A,#N/A,FALSE,"FINANZAS";#N/A,#N/A,FALSE,"DEUDA";#N/A,#N/A,FALSE,"INVERSION";#N/A,#N/A,FALSE,"PERSONAL"}</definedName>
    <definedName name="__bb1" localSheetId="20">{#N/A,#N/A,FALSE,"ENERGIA";#N/A,#N/A,FALSE,"PERDIDAS";#N/A,#N/A,FALSE,"CLIENTES";#N/A,#N/A,FALSE,"ESTADO";#N/A,#N/A,FALSE,"TECNICA"}</definedName>
    <definedName name="__bb1">{#N/A,#N/A,FALSE,"ENERGIA";#N/A,#N/A,FALSE,"PERDIDAS";#N/A,#N/A,FALSE,"CLIENTES";#N/A,#N/A,FALSE,"ESTADO";#N/A,#N/A,FALSE,"TECNICA"}</definedName>
    <definedName name="__bbb1" localSheetId="20">{#N/A,#N/A,FALSE,"LLAVE";#N/A,#N/A,FALSE,"EERR";#N/A,#N/A,FALSE,"ESP";#N/A,#N/A,FALSE,"EOAF";#N/A,#N/A,FALSE,"CASH";#N/A,#N/A,FALSE,"FINANZAS";#N/A,#N/A,FALSE,"DEUDA";#N/A,#N/A,FALSE,"INVERSION";#N/A,#N/A,FALSE,"PERSONAL"}</definedName>
    <definedName name="__bbb1">{#N/A,#N/A,FALSE,"LLAVE";#N/A,#N/A,FALSE,"EERR";#N/A,#N/A,FALSE,"ESP";#N/A,#N/A,FALSE,"EOAF";#N/A,#N/A,FALSE,"CASH";#N/A,#N/A,FALSE,"FINANZAS";#N/A,#N/A,FALSE,"DEUDA";#N/A,#N/A,FALSE,"INVERSION";#N/A,#N/A,FALSE,"PERSONAL"}</definedName>
    <definedName name="__bx1" localSheetId="20">{#N/A,#N/A,FALSE,"LLAVE";#N/A,#N/A,FALSE,"EERR";#N/A,#N/A,FALSE,"ESP";#N/A,#N/A,FALSE,"EOAF";#N/A,#N/A,FALSE,"CASH";#N/A,#N/A,FALSE,"FINANZAS";#N/A,#N/A,FALSE,"DEUDA";#N/A,#N/A,FALSE,"INVERSION";#N/A,#N/A,FALSE,"PERSONAL"}</definedName>
    <definedName name="__bx1">{#N/A,#N/A,FALSE,"LLAVE";#N/A,#N/A,FALSE,"EERR";#N/A,#N/A,FALSE,"ESP";#N/A,#N/A,FALSE,"EOAF";#N/A,#N/A,FALSE,"CASH";#N/A,#N/A,FALSE,"FINANZAS";#N/A,#N/A,FALSE,"DEUDA";#N/A,#N/A,FALSE,"INVERSION";#N/A,#N/A,FALSE,"PERSONAL"}</definedName>
    <definedName name="__CD1" localSheetId="20">{#N/A,#N/A,FALSE,"LLAVE";#N/A,#N/A,FALSE,"EERR";#N/A,#N/A,FALSE,"ESP";#N/A,#N/A,FALSE,"EOAF";#N/A,#N/A,FALSE,"CASH";#N/A,#N/A,FALSE,"FINANZAS";#N/A,#N/A,FALSE,"DEUDA";#N/A,#N/A,FALSE,"INVERSION";#N/A,#N/A,FALSE,"PERSONAL"}</definedName>
    <definedName name="__CD1">{#N/A,#N/A,FALSE,"LLAVE";#N/A,#N/A,FALSE,"EERR";#N/A,#N/A,FALSE,"ESP";#N/A,#N/A,FALSE,"EOAF";#N/A,#N/A,FALSE,"CASH";#N/A,#N/A,FALSE,"FINANZAS";#N/A,#N/A,FALSE,"DEUDA";#N/A,#N/A,FALSE,"INVERSION";#N/A,#N/A,FALSE,"PERSONAL"}</definedName>
    <definedName name="__cdx1" localSheetId="20">{#N/A,#N/A,FALSE,"LLAVE";#N/A,#N/A,FALSE,"EERR";#N/A,#N/A,FALSE,"ESP";#N/A,#N/A,FALSE,"EOAF";#N/A,#N/A,FALSE,"CASH";#N/A,#N/A,FALSE,"FINANZAS";#N/A,#N/A,FALSE,"DEUDA";#N/A,#N/A,FALSE,"INVERSION";#N/A,#N/A,FALSE,"PERSONAL"}</definedName>
    <definedName name="__cdx1">{#N/A,#N/A,FALSE,"LLAVE";#N/A,#N/A,FALSE,"EERR";#N/A,#N/A,FALSE,"ESP";#N/A,#N/A,FALSE,"EOAF";#N/A,#N/A,FALSE,"CASH";#N/A,#N/A,FALSE,"FINANZAS";#N/A,#N/A,FALSE,"DEUDA";#N/A,#N/A,FALSE,"INVERSION";#N/A,#N/A,FALSE,"PERSONAL"}</definedName>
    <definedName name="__CRM2" localSheetId="20">{#N/A,#N/A,FALSE,"ANEXO3 99 ERA";#N/A,#N/A,FALSE,"ANEXO3 99 UBÁ2";#N/A,#N/A,FALSE,"ANEXO3 99 DTU";#N/A,#N/A,FALSE,"ANEXO3 99 RDR";#N/A,#N/A,FALSE,"ANEXO3 99 UBÁ4";#N/A,#N/A,FALSE,"ANEXO3 99 UBÁ6"}</definedName>
    <definedName name="__CRM2">{#N/A,#N/A,FALSE,"ANEXO3 99 ERA";#N/A,#N/A,FALSE,"ANEXO3 99 UBÁ2";#N/A,#N/A,FALSE,"ANEXO3 99 DTU";#N/A,#N/A,FALSE,"ANEXO3 99 RDR";#N/A,#N/A,FALSE,"ANEXO3 99 UBÁ4";#N/A,#N/A,FALSE,"ANEXO3 99 UBÁ6"}</definedName>
    <definedName name="__CRM3" localSheetId="20">{#N/A,#N/A,FALSE,"ANEXO3 99 ERA";#N/A,#N/A,FALSE,"ANEXO3 99 UBÁ2";#N/A,#N/A,FALSE,"ANEXO3 99 DTU";#N/A,#N/A,FALSE,"ANEXO3 99 RDR";#N/A,#N/A,FALSE,"ANEXO3 99 UBÁ4";#N/A,#N/A,FALSE,"ANEXO3 99 UBÁ6"}</definedName>
    <definedName name="__CRM3">{#N/A,#N/A,FALSE,"ANEXO3 99 ERA";#N/A,#N/A,FALSE,"ANEXO3 99 UBÁ2";#N/A,#N/A,FALSE,"ANEXO3 99 DTU";#N/A,#N/A,FALSE,"ANEXO3 99 RDR";#N/A,#N/A,FALSE,"ANEXO3 99 UBÁ4";#N/A,#N/A,FALSE,"ANEXO3 99 UBÁ6"}</definedName>
    <definedName name="__CRM4" localSheetId="20">{#N/A,#N/A,FALSE,"ANEXO3 99 ERA";#N/A,#N/A,FALSE,"ANEXO3 99 UBÁ2";#N/A,#N/A,FALSE,"ANEXO3 99 DTU";#N/A,#N/A,FALSE,"ANEXO3 99 RDR";#N/A,#N/A,FALSE,"ANEXO3 99 UBÁ4";#N/A,#N/A,FALSE,"ANEXO3 99 UBÁ6"}</definedName>
    <definedName name="__CRM4">{#N/A,#N/A,FALSE,"ANEXO3 99 ERA";#N/A,#N/A,FALSE,"ANEXO3 99 UBÁ2";#N/A,#N/A,FALSE,"ANEXO3 99 DTU";#N/A,#N/A,FALSE,"ANEXO3 99 RDR";#N/A,#N/A,FALSE,"ANEXO3 99 UBÁ4";#N/A,#N/A,FALSE,"ANEXO3 99 UBÁ6"}</definedName>
    <definedName name="__df1" localSheetId="20">{#N/A,#N/A,FALSE,"LLAVE";#N/A,#N/A,FALSE,"EERR";#N/A,#N/A,FALSE,"ESP";#N/A,#N/A,FALSE,"EOAF";#N/A,#N/A,FALSE,"CASH";#N/A,#N/A,FALSE,"FINANZAS";#N/A,#N/A,FALSE,"DEUDA";#N/A,#N/A,FALSE,"INVERSION";#N/A,#N/A,FALSE,"PERSONAL"}</definedName>
    <definedName name="__df1">{#N/A,#N/A,FALSE,"LLAVE";#N/A,#N/A,FALSE,"EERR";#N/A,#N/A,FALSE,"ESP";#N/A,#N/A,FALSE,"EOAF";#N/A,#N/A,FALSE,"CASH";#N/A,#N/A,FALSE,"FINANZAS";#N/A,#N/A,FALSE,"DEUDA";#N/A,#N/A,FALSE,"INVERSION";#N/A,#N/A,FALSE,"PERSONAL"}</definedName>
    <definedName name="__e1" localSheetId="20">{#N/A,#N/A,FALSE,"ENERGIA";#N/A,#N/A,FALSE,"PERDIDAS";#N/A,#N/A,FALSE,"CLIENTES";#N/A,#N/A,FALSE,"ESTADO";#N/A,#N/A,FALSE,"TECNICA"}</definedName>
    <definedName name="__e1">{#N/A,#N/A,FALSE,"ENERGIA";#N/A,#N/A,FALSE,"PERDIDAS";#N/A,#N/A,FALSE,"CLIENTES";#N/A,#N/A,FALSE,"ESTADO";#N/A,#N/A,FALSE,"TECNICA"}</definedName>
    <definedName name="__FDS_HYPERLINK_TOGGLE_STATE__">"ON"</definedName>
    <definedName name="__IntlFixup">TRUE</definedName>
    <definedName name="__IntlFixupTable">#REF!</definedName>
    <definedName name="__key2">#REF!</definedName>
    <definedName name="__NWC2" localSheetId="20">{"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__NWC2">{"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__xlfn.BAHTTEXT">#NAME?</definedName>
    <definedName name="_1__123Graph_ACHART_1">#REF!</definedName>
    <definedName name="_1__123Graph_ACHART_1A">#REF!</definedName>
    <definedName name="_1__123Graph_AR_M_MARG">#REF!</definedName>
    <definedName name="_1__123Graph_XCHART_2">#REF!</definedName>
    <definedName name="_10__123Graph_ACHART_17">#REF!</definedName>
    <definedName name="_10__123Graph_ACHART_18">#REF!</definedName>
    <definedName name="_10__123Graph_BCHART_3A">#REF!</definedName>
    <definedName name="_10__123Graph_CCHART_3A">#REF!</definedName>
    <definedName name="_108__123Graph_DCHART_1A">#REF!</definedName>
    <definedName name="_11__123Graph_ACHART_18">#REF!</definedName>
    <definedName name="_11__123Graph_ACHART_2">#REF!</definedName>
    <definedName name="_11__123Graph_BCHART_4A">#REF!</definedName>
    <definedName name="_11__123Graph_DCHART_1A">#REF!</definedName>
    <definedName name="_12__123Graph_ACHART_11">#REF!</definedName>
    <definedName name="_12__123Graph_ACHART_2">#REF!</definedName>
    <definedName name="_12__123Graph_ACHART_22">#REF!</definedName>
    <definedName name="_12__123Graph_DCHART_2A">#REF!</definedName>
    <definedName name="_123Graph_XPREREALI1">#REF!</definedName>
    <definedName name="_126__123Graph_XCHART_1A">#REF!</definedName>
    <definedName name="_13__123Graph_ACHART_12">#REF!</definedName>
    <definedName name="_13__123Graph_ACHART_22">#REF!</definedName>
    <definedName name="_13__123Graph_ACHART_23">#REF!</definedName>
    <definedName name="_13__123Graph_CCHART_1A">#REF!</definedName>
    <definedName name="_13__123Graph_DCHART_3A">#REF!</definedName>
    <definedName name="_14__123Graph_ACHART_13">#REF!</definedName>
    <definedName name="_14__123Graph_ACHART_23">#REF!</definedName>
    <definedName name="_14__123Graph_ACHART_24">#REF!</definedName>
    <definedName name="_14__123Graph_CCHART_2A">#REF!</definedName>
    <definedName name="_14__123Graph_XCHART_1A">#REF!</definedName>
    <definedName name="_144__123Graph_XCHART_2A">#REF!</definedName>
    <definedName name="_15__123Graph_ACHART_14">#REF!</definedName>
    <definedName name="_15__123Graph_ACHART_24">#REF!</definedName>
    <definedName name="_15__123Graph_ACHART_25">#REF!</definedName>
    <definedName name="_15__123Graph_CCHART_3A">#REF!</definedName>
    <definedName name="_15__123Graph_XCHART_2A">#REF!</definedName>
    <definedName name="_16__123Graph_ACHART_15">#REF!</definedName>
    <definedName name="_16__123Graph_ACHART_25">#REF!</definedName>
    <definedName name="_16__123Graph_ACHART_26">#REF!</definedName>
    <definedName name="_16__123Graph_XCHART_3A">#REF!</definedName>
    <definedName name="_17__123Graph_ACHART_16">#REF!</definedName>
    <definedName name="_17__123Graph_ACHART_26">#REF!</definedName>
    <definedName name="_17__123Graph_ACHART_27">#REF!</definedName>
    <definedName name="_17__123Graph_DCHART_1A">#REF!</definedName>
    <definedName name="_17__123Graph_XCHART_4A">#REF!</definedName>
    <definedName name="_18__123Graph_ACHART_17">#REF!</definedName>
    <definedName name="_18__123Graph_ACHART_1A">#REF!</definedName>
    <definedName name="_18__123Graph_ACHART_27">#REF!</definedName>
    <definedName name="_18__123Graph_ACHART_28">#REF!</definedName>
    <definedName name="_18__123Graph_ACHART_2A">#REF!</definedName>
    <definedName name="_18__123Graph_DCHART_2A">#REF!</definedName>
    <definedName name="_19__123Graph_ACHART_18">#REF!</definedName>
    <definedName name="_19__123Graph_ACHART_28">#REF!</definedName>
    <definedName name="_19__123Graph_ACHART_29">#REF!</definedName>
    <definedName name="_19__123Graph_ACHART_3A">#REF!</definedName>
    <definedName name="_19__123Graph_DCHART_3A">#REF!</definedName>
    <definedName name="_2__123Graph_ACHART_1">#REF!</definedName>
    <definedName name="_2__123Graph_ACHART_10">#REF!</definedName>
    <definedName name="_2__123Graph_ACHART_1A">#REF!</definedName>
    <definedName name="_2__123Graph_ACHART_2A">#REF!</definedName>
    <definedName name="_2__123Graph_AR_M_MARGINS">#REF!</definedName>
    <definedName name="_20__123Graph_ACHART_2">#REF!</definedName>
    <definedName name="_20__123Graph_ACHART_29">#REF!</definedName>
    <definedName name="_20__123Graph_ACHART_3">#REF!</definedName>
    <definedName name="_21__123Graph_ACHART_22">#REF!</definedName>
    <definedName name="_21__123Graph_ACHART_3">#REF!</definedName>
    <definedName name="_21__123Graph_ACHART_30">#REF!</definedName>
    <definedName name="_21__123Graph_XCHART_1A">#REF!</definedName>
    <definedName name="_22__123Graph_ACHART_23">#REF!</definedName>
    <definedName name="_22__123Graph_ACHART_30">#REF!</definedName>
    <definedName name="_22__123Graph_ACHART_4">#REF!</definedName>
    <definedName name="_23__123Graph_ACHART_24">#REF!</definedName>
    <definedName name="_23__123Graph_ACHART_4">#REF!</definedName>
    <definedName name="_23__123Graph_ACHART_5">#REF!</definedName>
    <definedName name="_23__123Graph_XCHART_2A">#REF!</definedName>
    <definedName name="_24__123Graph_ACHART_25">#REF!</definedName>
    <definedName name="_24__123Graph_ACHART_5">#REF!</definedName>
    <definedName name="_24__123Graph_ACHART_6">#REF!</definedName>
    <definedName name="_24__123Graph_XCHART_3A">#REF!</definedName>
    <definedName name="_25__123Graph_ACHART_26">#REF!</definedName>
    <definedName name="_25__123Graph_ACHART_6">#REF!</definedName>
    <definedName name="_25__123Graph_ACHART_7">#REF!</definedName>
    <definedName name="_25__123Graph_XCHART_4A">#REF!</definedName>
    <definedName name="_26__123Graph_ACHART_27">#REF!</definedName>
    <definedName name="_26__123Graph_ACHART_7">#REF!</definedName>
    <definedName name="_26__123Graph_ACHART_8">#REF!</definedName>
    <definedName name="_27__123Graph_ACHART_28">#REF!</definedName>
    <definedName name="_27__123Graph_ACHART_8">#REF!</definedName>
    <definedName name="_27__123Graph_ACHART_9">#REF!</definedName>
    <definedName name="_28__123Graph_ACHART_29">#REF!</definedName>
    <definedName name="_28__123Graph_ACHART_9">#REF!</definedName>
    <definedName name="_28__123Graph_BCHART_1">#REF!</definedName>
    <definedName name="_28__123Graph_BCHART_1A">#REF!</definedName>
    <definedName name="_29__123Graph_ACHART_3">#REF!</definedName>
    <definedName name="_29__123Graph_BCHART_1">#REF!</definedName>
    <definedName name="_29__123Graph_BCHART_10">#REF!</definedName>
    <definedName name="_3__123Graph_ACHART_10">#REF!</definedName>
    <definedName name="_3__123Graph_ACHART_11">#REF!</definedName>
    <definedName name="_3__123Graph_ACHART_3">#N/A</definedName>
    <definedName name="_3__123Graph_ACHART_3A">#REF!</definedName>
    <definedName name="_3__123Graph_AR_M_VOLUMES">#REF!</definedName>
    <definedName name="_3__123Graph_BCHART_1A">#REF!</definedName>
    <definedName name="_30__123Graph_ACHART_30">#REF!</definedName>
    <definedName name="_30__123Graph_BCHART_10">#REF!</definedName>
    <definedName name="_30__123Graph_BCHART_11">#REF!</definedName>
    <definedName name="_31__123Graph_ACHART_4">#REF!</definedName>
    <definedName name="_31__123Graph_BCHART_11">#REF!</definedName>
    <definedName name="_31__123Graph_BCHART_12">#REF!</definedName>
    <definedName name="_32__123Graph_ACHART_5">#REF!</definedName>
    <definedName name="_32__123Graph_BCHART_12">#REF!</definedName>
    <definedName name="_32__123Graph_BCHART_13">#REF!</definedName>
    <definedName name="_33__123Graph_ACHART_6">#REF!</definedName>
    <definedName name="_33__123Graph_BCHART_13">#REF!</definedName>
    <definedName name="_33__123Graph_BCHART_14">#REF!</definedName>
    <definedName name="_34__123Graph_ACHART_7">#REF!</definedName>
    <definedName name="_34__123Graph_BCHART_14">#REF!</definedName>
    <definedName name="_34__123Graph_BCHART_15">#REF!</definedName>
    <definedName name="_35__123Graph_ACHART_8">#REF!</definedName>
    <definedName name="_35__123Graph_BCHART_15">#REF!</definedName>
    <definedName name="_35__123Graph_BCHART_16">#REF!</definedName>
    <definedName name="_36__123Graph_ACHART_2A">#REF!</definedName>
    <definedName name="_36__123Graph_ACHART_9">#REF!</definedName>
    <definedName name="_36__123Graph_BCHART_16">#REF!</definedName>
    <definedName name="_36__123Graph_BCHART_17">#REF!</definedName>
    <definedName name="_37__123Graph_BCHART_1">#REF!</definedName>
    <definedName name="_37__123Graph_BCHART_17">#REF!</definedName>
    <definedName name="_37__123Graph_BCHART_18">#REF!</definedName>
    <definedName name="_37__123Graph_BCHART_2A">#REF!</definedName>
    <definedName name="_38__123Graph_BCHART_10">#REF!</definedName>
    <definedName name="_38__123Graph_BCHART_18">#REF!</definedName>
    <definedName name="_38__123Graph_BCHART_2">#REF!</definedName>
    <definedName name="_38__123Graph_BCHART_3A">#REF!</definedName>
    <definedName name="_39__123Graph_BCHART_11">#REF!</definedName>
    <definedName name="_39__123Graph_BCHART_2">#REF!</definedName>
    <definedName name="_39__123Graph_BCHART_22">#REF!</definedName>
    <definedName name="_39__123Graph_BCHART_4A">#REF!</definedName>
    <definedName name="_4__123Graph_ACHART_11">#REF!</definedName>
    <definedName name="_4__123Graph_ACHART_12">#REF!</definedName>
    <definedName name="_4__123Graph_ACHART_2A">#REF!</definedName>
    <definedName name="_4__123Graph_BCHART_1">#N/A</definedName>
    <definedName name="_4__123Graph_BCHART_1A">#REF!</definedName>
    <definedName name="_4__123Graph_BCHART_2A">#REF!</definedName>
    <definedName name="_40__123Graph_BCHART_12">#REF!</definedName>
    <definedName name="_40__123Graph_BCHART_22">#REF!</definedName>
    <definedName name="_40__123Graph_BCHART_23">#REF!</definedName>
    <definedName name="_41__123Graph_BCHART_13">#REF!</definedName>
    <definedName name="_41__123Graph_BCHART_23">#REF!</definedName>
    <definedName name="_41__123Graph_BCHART_24">#REF!</definedName>
    <definedName name="_42__123Graph_BCHART_14">#REF!</definedName>
    <definedName name="_42__123Graph_BCHART_24">#REF!</definedName>
    <definedName name="_42__123Graph_BCHART_25">#REF!</definedName>
    <definedName name="_43__123Graph_BCHART_15">#REF!</definedName>
    <definedName name="_43__123Graph_BCHART_25">#REF!</definedName>
    <definedName name="_43__123Graph_BCHART_26">#REF!</definedName>
    <definedName name="_44__123Graph_BCHART_16">#REF!</definedName>
    <definedName name="_44__123Graph_BCHART_26">#REF!</definedName>
    <definedName name="_44__123Graph_BCHART_27">#REF!</definedName>
    <definedName name="_45__123Graph_BCHART_17">#REF!</definedName>
    <definedName name="_45__123Graph_BCHART_27">#REF!</definedName>
    <definedName name="_45__123Graph_BCHART_28">#REF!</definedName>
    <definedName name="_46__123Graph_BCHART_18">#REF!</definedName>
    <definedName name="_46__123Graph_BCHART_28">#REF!</definedName>
    <definedName name="_46__123Graph_BCHART_29">#REF!</definedName>
    <definedName name="_46__123Graph_CCHART_1A">#REF!</definedName>
    <definedName name="_47__123Graph_BCHART_2">#REF!</definedName>
    <definedName name="_47__123Graph_BCHART_29">#REF!</definedName>
    <definedName name="_47__123Graph_BCHART_3">#REF!</definedName>
    <definedName name="_47__123Graph_CCHART_2A">#REF!</definedName>
    <definedName name="_48__123Graph_BCHART_22">#REF!</definedName>
    <definedName name="_48__123Graph_BCHART_3">#REF!</definedName>
    <definedName name="_48__123Graph_BCHART_30">#REF!</definedName>
    <definedName name="_48__123Graph_CCHART_3A">#REF!</definedName>
    <definedName name="_49__123Graph_BCHART_23">#REF!</definedName>
    <definedName name="_49__123Graph_BCHART_30">#REF!</definedName>
    <definedName name="_49__123Graph_BCHART_4">#REF!</definedName>
    <definedName name="_5__123Graph_ACHART_12">#REF!</definedName>
    <definedName name="_5__123Graph_ACHART_13">#REF!</definedName>
    <definedName name="_5__123Graph_ACHART_3A">#REF!</definedName>
    <definedName name="_5__123Graph_BCHART_2A">#REF!</definedName>
    <definedName name="_5__123Graph_BCHART_3">#N/A</definedName>
    <definedName name="_5__123Graph_CCHART_1A">#REF!</definedName>
    <definedName name="_50__123Graph_BCHART_24">#REF!</definedName>
    <definedName name="_50__123Graph_BCHART_4">#REF!</definedName>
    <definedName name="_50__123Graph_BCHART_5">#REF!</definedName>
    <definedName name="_51__123Graph_BCHART_25">#REF!</definedName>
    <definedName name="_51__123Graph_BCHART_5">#REF!</definedName>
    <definedName name="_51__123Graph_BCHART_6">#REF!</definedName>
    <definedName name="_52__123Graph_BCHART_26">#REF!</definedName>
    <definedName name="_52__123Graph_BCHART_6">#REF!</definedName>
    <definedName name="_52__123Graph_BCHART_7">#REF!</definedName>
    <definedName name="_53__123Graph_BCHART_27">#REF!</definedName>
    <definedName name="_53__123Graph_BCHART_7">#REF!</definedName>
    <definedName name="_53__123Graph_BCHART_8">#REF!</definedName>
    <definedName name="_54__123Graph_BCHART_1A">#REF!</definedName>
    <definedName name="_54__123Graph_BCHART_28">#REF!</definedName>
    <definedName name="_54__123Graph_BCHART_8">#REF!</definedName>
    <definedName name="_54__123Graph_BCHART_9">#REF!</definedName>
    <definedName name="_55__123Graph_BCHART_29">#REF!</definedName>
    <definedName name="_55__123Graph_BCHART_9">#REF!</definedName>
    <definedName name="_55__123Graph_CCHART_25">#REF!</definedName>
    <definedName name="_55__123Graph_DCHART_1A">#REF!</definedName>
    <definedName name="_56__123Graph_BCHART_3">#REF!</definedName>
    <definedName name="_56__123Graph_CCHART_25">#REF!</definedName>
    <definedName name="_56__123Graph_CCHART_26">#REF!</definedName>
    <definedName name="_56__123Graph_DCHART_2A">#REF!</definedName>
    <definedName name="_57__123Graph_BCHART_30">#REF!</definedName>
    <definedName name="_57__123Graph_CCHART_26">#REF!</definedName>
    <definedName name="_57__123Graph_CCHART_27">#REF!</definedName>
    <definedName name="_57__123Graph_DCHART_3A">#REF!</definedName>
    <definedName name="_58__123Graph_BCHART_4">#REF!</definedName>
    <definedName name="_58__123Graph_CCHART_27">#REF!</definedName>
    <definedName name="_58__123Graph_CCHART_28">#REF!</definedName>
    <definedName name="_59__123Graph_BCHART_5">#REF!</definedName>
    <definedName name="_59__123Graph_CCHART_28">#REF!</definedName>
    <definedName name="_59__123Graph_CCHART_29">#REF!</definedName>
    <definedName name="_6__123Graph_ACHART_13">#REF!</definedName>
    <definedName name="_6__123Graph_ACHART_14">#REF!</definedName>
    <definedName name="_6__123Graph_BCHART_3A">#REF!</definedName>
    <definedName name="_6__123Graph_DCHART_1">#N/A</definedName>
    <definedName name="_6__123Graph_DCHART_1A">#REF!</definedName>
    <definedName name="_60__123Graph_BCHART_6">#REF!</definedName>
    <definedName name="_60__123Graph_CCHART_29">#REF!</definedName>
    <definedName name="_60__123Graph_CCHART_30">#REF!</definedName>
    <definedName name="_61__123Graph_BCHART_7">#REF!</definedName>
    <definedName name="_61__123Graph_CCHART_30">#REF!</definedName>
    <definedName name="_61__123Graph_DCHART_25">#REF!</definedName>
    <definedName name="_62__123Graph_BCHART_8">#REF!</definedName>
    <definedName name="_62__123Graph_DCHART_25">#REF!</definedName>
    <definedName name="_62__123Graph_DCHART_26">#REF!</definedName>
    <definedName name="_63__123Graph_BCHART_9">#REF!</definedName>
    <definedName name="_63__123Graph_DCHART_26">#REF!</definedName>
    <definedName name="_63__123Graph_DCHART_27">#REF!</definedName>
    <definedName name="_64__123Graph_CCHART_25">#REF!</definedName>
    <definedName name="_64__123Graph_DCHART_27">#REF!</definedName>
    <definedName name="_64__123Graph_DCHART_28">#REF!</definedName>
    <definedName name="_65__123Graph_CCHART_26">#REF!</definedName>
    <definedName name="_65__123Graph_DCHART_28">#REF!</definedName>
    <definedName name="_65__123Graph_DCHART_29">#REF!</definedName>
    <definedName name="_66__123Graph_CCHART_27">#REF!</definedName>
    <definedName name="_66__123Graph_DCHART_29">#REF!</definedName>
    <definedName name="_66__123Graph_DCHART_30">#REF!</definedName>
    <definedName name="_66__123Graph_XCHART_1A">#REF!</definedName>
    <definedName name="_67__123Graph_CCHART_28">#REF!</definedName>
    <definedName name="_67__123Graph_DCHART_30">#REF!</definedName>
    <definedName name="_67__123Graph_XCHART_10">#REF!</definedName>
    <definedName name="_68__123Graph_CCHART_29">#REF!</definedName>
    <definedName name="_68__123Graph_XCHART_10">#REF!</definedName>
    <definedName name="_68__123Graph_XCHART_11">#REF!</definedName>
    <definedName name="_69__123Graph_CCHART_30">#REF!</definedName>
    <definedName name="_69__123Graph_XCHART_11">#REF!</definedName>
    <definedName name="_69__123Graph_XCHART_12">#REF!</definedName>
    <definedName name="_7__123Graph_ACHART_14">#REF!</definedName>
    <definedName name="_7__123Graph_ACHART_15">#REF!</definedName>
    <definedName name="_7__123Graph_BCHART_1A">#REF!</definedName>
    <definedName name="_7__123Graph_BCHART_4A">#REF!</definedName>
    <definedName name="_7__123Graph_LBL_ACHART_1">#N/A</definedName>
    <definedName name="_7__123Graph_XCHART_1A">#REF!</definedName>
    <definedName name="_70__123Graph_DCHART_25">#REF!</definedName>
    <definedName name="_70__123Graph_XCHART_12">#REF!</definedName>
    <definedName name="_70__123Graph_XCHART_13">#REF!</definedName>
    <definedName name="_71__123Graph_DCHART_26">#REF!</definedName>
    <definedName name="_71__123Graph_XCHART_13">#REF!</definedName>
    <definedName name="_71__123Graph_XCHART_14">#REF!</definedName>
    <definedName name="_72__123Graph_BCHART_2A">#REF!</definedName>
    <definedName name="_72__123Graph_DCHART_27">#REF!</definedName>
    <definedName name="_72__123Graph_XCHART_14">#REF!</definedName>
    <definedName name="_72__123Graph_XCHART_15">#REF!</definedName>
    <definedName name="_73__123Graph_DCHART_28">#REF!</definedName>
    <definedName name="_73__123Graph_XCHART_15">#REF!</definedName>
    <definedName name="_73__123Graph_XCHART_16">#REF!</definedName>
    <definedName name="_74__123Graph_DCHART_29">#REF!</definedName>
    <definedName name="_74__123Graph_XCHART_16">#REF!</definedName>
    <definedName name="_74__123Graph_XCHART_2">#REF!</definedName>
    <definedName name="_75__123Graph_DCHART_30">#REF!</definedName>
    <definedName name="_75__123Graph_XCHART_2">#REF!</definedName>
    <definedName name="_75__123Graph_XCHART_2A">#REF!</definedName>
    <definedName name="_75__123Graph_XCHART_3">#REF!</definedName>
    <definedName name="_76__123Graph_XCHART_10">#REF!</definedName>
    <definedName name="_76__123Graph_XCHART_3">#REF!</definedName>
    <definedName name="_76__123Graph_XCHART_3A">#REF!</definedName>
    <definedName name="_76__123Graph_XCHART_4">#REF!</definedName>
    <definedName name="_77__123Graph_XCHART_11">#REF!</definedName>
    <definedName name="_77__123Graph_XCHART_4">#REF!</definedName>
    <definedName name="_77__123Graph_XCHART_4A">#REF!</definedName>
    <definedName name="_77__123Graph_XCHART_5">#REF!</definedName>
    <definedName name="_78__123Graph_XCHART_12">#REF!</definedName>
    <definedName name="_78__123Graph_XCHART_5">#REF!</definedName>
    <definedName name="_78__123Graph_XCHART_6">#REF!</definedName>
    <definedName name="_79__123Graph_XCHART_13">#REF!</definedName>
    <definedName name="_79__123Graph_XCHART_6">#REF!</definedName>
    <definedName name="_79__123Graph_XCHART_7">#REF!</definedName>
    <definedName name="_8__123Graph_ACHART_15">#REF!</definedName>
    <definedName name="_8__123Graph_ACHART_16">#REF!</definedName>
    <definedName name="_8__123Graph_CCHART_1A">#REF!</definedName>
    <definedName name="_8__123Graph_LBL_ACHART_3">#N/A</definedName>
    <definedName name="_8__123Graph_XCHART_2A">#REF!</definedName>
    <definedName name="_80__123Graph_XCHART_14">#REF!</definedName>
    <definedName name="_80__123Graph_XCHART_7">#REF!</definedName>
    <definedName name="_80__123Graph_XCHART_8">#REF!</definedName>
    <definedName name="_81__123Graph_XCHART_15">#REF!</definedName>
    <definedName name="_81__123Graph_XCHART_8">#REF!</definedName>
    <definedName name="_81__123Graph_XCHART_9">#REF!</definedName>
    <definedName name="_82__123Graph_XCHART_16">#REF!</definedName>
    <definedName name="_82__123Graph_XCHART_9">#REF!</definedName>
    <definedName name="_83__123Graph_XCHART_2">#REF!</definedName>
    <definedName name="_84__123Graph_XCHART_3">#REF!</definedName>
    <definedName name="_85__123Graph_XCHART_4">#REF!</definedName>
    <definedName name="_86__123Graph_XCHART_5">#REF!</definedName>
    <definedName name="_87__123Graph_XCHART_6">#REF!</definedName>
    <definedName name="_88__123Graph_XCHART_7">#REF!</definedName>
    <definedName name="_89__123Graph_XCHART_8">#REF!</definedName>
    <definedName name="_9__123Graph_ACHART_16">#REF!</definedName>
    <definedName name="_9__123Graph_ACHART_17">#REF!</definedName>
    <definedName name="_9__123Graph_ACHART_1A">#REF!</definedName>
    <definedName name="_9__123Graph_BCHART_2A">#REF!</definedName>
    <definedName name="_9__123Graph_CCHART_2A">#REF!</definedName>
    <definedName name="_9__123Graph_LBL_DCHART_1">#N/A</definedName>
    <definedName name="_90__123Graph_CCHART_1A">#REF!</definedName>
    <definedName name="_90__123Graph_XCHART_9">#REF!</definedName>
    <definedName name="_a88" localSheetId="20">{#N/A,#N/A,FALSE,"CONTROLE";#N/A,#N/A,FALSE,"CONTROLE"}</definedName>
    <definedName name="_a88">{#N/A,#N/A,FALSE,"CONTROLE";#N/A,#N/A,FALSE,"CONTROLE"}</definedName>
    <definedName name="_AMO_UniqueIdentifier">"'c7bddf54-8521-417b-ae8d-d0bd6e8672cb'"</definedName>
    <definedName name="_ASS2" localSheetId="20">{#N/A,#N/A,TRUE,"UTI"}</definedName>
    <definedName name="_ASS2">{#N/A,#N/A,TRUE,"UTI"}</definedName>
    <definedName name="_ATPRegress_Dlg_Results" localSheetId="20">{2;#N/A;"R13C16:R17C16";#N/A;"R13C14:R17C15";FALSE;FALSE;FALSE;95;#N/A;#N/A;"R13C19";#N/A;FALSE;FALSE;FALSE;FALSE;#N/A;"";#N/A;FALSE;"";"";#N/A;#N/A;#N/A}</definedName>
    <definedName name="_ATPRegress_Dlg_Results">{2;#N/A;"R13C16:R17C16";#N/A;"R13C14:R17C15";FALSE;FALSE;FALSE;95;#N/A;#N/A;"R13C19";#N/A;FALSE;FALSE;FALSE;FALSE;#N/A;"";#N/A;FALSE;"";"";#N/A;#N/A;#N/A}</definedName>
    <definedName name="_ATPRegress_Dlg_Types" localSheetId="20">{"EXCELHLP.HLP!1802";5;10;5;10;13;13;13;8;5;5;10;14;13;13;13;13;5;10;14;13;5;10;1;2;24}</definedName>
    <definedName name="_ATPRegress_Dlg_Types">{"EXCELHLP.HLP!1802";5;10;5;10;13;13;13;8;5;5;10;14;13;13;13;13;5;10;14;13;5;10;1;2;24}</definedName>
    <definedName name="_ATPRegress_Range1">#REF!</definedName>
    <definedName name="_ATPRegress_Range2">#REF!</definedName>
    <definedName name="_ATPRegress_Range3">#REF!</definedName>
    <definedName name="_ATPRegress_Range4">"="</definedName>
    <definedName name="_ATPRegress_Range5">"="</definedName>
    <definedName name="_AtRisk_SimSetting_AutomaticallyGenerateReports">FALSE</definedName>
    <definedName name="_AtRisk_SimSetting_AutomaticResultsDisplayMode">0</definedName>
    <definedName name="_AtRisk_SimSetting_ConvergenceConfidenceLevel">0.95</definedName>
    <definedName name="_AtRisk_SimSetting_ConvergencePercentileToTest">0.9</definedName>
    <definedName name="_AtRisk_SimSetting_ConvergencePerformMeanTest">TRUE</definedName>
    <definedName name="_AtRisk_SimSetting_ConvergencePerformPercentileTest">FALSE</definedName>
    <definedName name="_AtRisk_SimSetting_ConvergencePerformStdDeviationTest">FALSE</definedName>
    <definedName name="_AtRisk_SimSetting_ConvergenceTestAllOutputs">TRUE</definedName>
    <definedName name="_AtRisk_SimSetting_ConvergenceTestingPeriod">100</definedName>
    <definedName name="_AtRisk_SimSetting_ConvergenceTolerance">0.03</definedName>
    <definedName name="_AtRisk_SimSetting_CorrelationEnabledState">1</definedName>
    <definedName name="_AtRisk_SimSetting_GoalSeekTargetValue">0</definedName>
    <definedName name="_AtRisk_SimSetting_LiveUpdate">TRUE</definedName>
    <definedName name="_AtRisk_SimSetting_LiveUpdatePeriod">-1</definedName>
    <definedName name="_AtRisk_SimSetting_MacroMode">0</definedName>
    <definedName name="_AtRisk_SimSetting_MacroRecalculationBehavior">0</definedName>
    <definedName name="_AtRisk_SimSetting_MaxAutoIterations">50000</definedName>
    <definedName name="_AtRisk_SimSetting_MultipleCPUCount">-1</definedName>
    <definedName name="_AtRisk_SimSetting_MultipleCPUMode">2</definedName>
    <definedName name="_AtRisk_SimSetting_MultipleCPUModeV8">2</definedName>
    <definedName name="_AtRisk_SimSetting_RandomNumberGenerator">0</definedName>
    <definedName name="_AtRisk_SimSetting_ReportsList">0</definedName>
    <definedName name="_AtRisk_SimSetting_ShowSimulationProgressWindow">TRUE</definedName>
    <definedName name="_AtRisk_SimSetting_SimNameCount">0</definedName>
    <definedName name="_AtRisk_SimSetting_SmartSensitivityAnalysisEnabled">TRUE</definedName>
    <definedName name="_AtRisk_SimSetting_StatisticFunctionUpdating">1</definedName>
    <definedName name="_AtRisk_SimSetting_StdRecalcActiveSimulationNumber">1</definedName>
    <definedName name="_AtRisk_SimSetting_StdRecalcBehavior">0</definedName>
    <definedName name="_AtRisk_SimSetting_StdRecalcWithoutRiskStatic">0</definedName>
    <definedName name="_AtRisk_SimSetting_StdRecalcWithoutRiskStaticPercentile">0.5</definedName>
    <definedName name="_B1" localSheetId="20">{#N/A,#N/A,FALSE,"LLAVE";#N/A,#N/A,FALSE,"EERR";#N/A,#N/A,FALSE,"ESP";#N/A,#N/A,FALSE,"EOAF";#N/A,#N/A,FALSE,"CASH";#N/A,#N/A,FALSE,"FINANZAS";#N/A,#N/A,FALSE,"DEUDA";#N/A,#N/A,FALSE,"INVERSION";#N/A,#N/A,FALSE,"PERSONAL"}</definedName>
    <definedName name="_B1">{#N/A,#N/A,FALSE,"LLAVE";#N/A,#N/A,FALSE,"EERR";#N/A,#N/A,FALSE,"ESP";#N/A,#N/A,FALSE,"EOAF";#N/A,#N/A,FALSE,"CASH";#N/A,#N/A,FALSE,"FINANZAS";#N/A,#N/A,FALSE,"DEUDA";#N/A,#N/A,FALSE,"INVERSION";#N/A,#N/A,FALSE,"PERSONAL"}</definedName>
    <definedName name="_bb1" localSheetId="20">{#N/A,#N/A,FALSE,"ENERGIA";#N/A,#N/A,FALSE,"PERDIDAS";#N/A,#N/A,FALSE,"CLIENTES";#N/A,#N/A,FALSE,"ESTADO";#N/A,#N/A,FALSE,"TECNICA"}</definedName>
    <definedName name="_bb1">{#N/A,#N/A,FALSE,"ENERGIA";#N/A,#N/A,FALSE,"PERDIDAS";#N/A,#N/A,FALSE,"CLIENTES";#N/A,#N/A,FALSE,"ESTADO";#N/A,#N/A,FALSE,"TECNICA"}</definedName>
    <definedName name="_bbb1" localSheetId="20">{#N/A,#N/A,FALSE,"LLAVE";#N/A,#N/A,FALSE,"EERR";#N/A,#N/A,FALSE,"ESP";#N/A,#N/A,FALSE,"EOAF";#N/A,#N/A,FALSE,"CASH";#N/A,#N/A,FALSE,"FINANZAS";#N/A,#N/A,FALSE,"DEUDA";#N/A,#N/A,FALSE,"INVERSION";#N/A,#N/A,FALSE,"PERSONAL"}</definedName>
    <definedName name="_bbb1">{#N/A,#N/A,FALSE,"LLAVE";#N/A,#N/A,FALSE,"EERR";#N/A,#N/A,FALSE,"ESP";#N/A,#N/A,FALSE,"EOAF";#N/A,#N/A,FALSE,"CASH";#N/A,#N/A,FALSE,"FINANZAS";#N/A,#N/A,FALSE,"DEUDA";#N/A,#N/A,FALSE,"INVERSION";#N/A,#N/A,FALSE,"PERSONAL"}</definedName>
    <definedName name="_bdm.2.edm">#REF!</definedName>
    <definedName name="_bdm.2B2810A7FA344741B43C0EBBFE7B8878.edm">#REF!</definedName>
    <definedName name="_bdm.2CF0F5E541B84BA9A763D02541200425.edm">#N/A</definedName>
    <definedName name="_bdm.3B51E0F51BD04729AD65A957035DA53D.edm">#REF!</definedName>
    <definedName name="_bdm.52168FE038CF49D8AFC91AA398CA57F9.edm">#REF!</definedName>
    <definedName name="_bdm.59A2B09A87244712842B254750D21769.edm">#REF!</definedName>
    <definedName name="_bdm.59B4D989D12D4E3E96E5209B7EDA9B9F.edm">#REF!</definedName>
    <definedName name="_bdm.5AE389B279314541A39A1D7D46611C79.edm">#REF!</definedName>
    <definedName name="_bdm.66E24B06FDE644CF98E05FEE93673F82.edm">#REF!</definedName>
    <definedName name="_bdm.6E0AC289CA324643A6B8D0F0EC334874.edm">#REF!</definedName>
    <definedName name="_bdm.8013CB6D54FD4D2C956CBD1041CEC3FF.edm">#REF!</definedName>
    <definedName name="_bdm.9984D1F33F38468499CD7E00BAFE7CB5.edm">#REF!</definedName>
    <definedName name="_bdm.9AECB58EDC344D8989E5CFDFCB77697A.edm">#REF!</definedName>
    <definedName name="_bdm.9B7A9F7B547E4539BB7F39354A5C72B0.edm">#REF!</definedName>
    <definedName name="_bdm.BD267AE139784E3CB9E5B7FE9DBC5615.edm">#REF!</definedName>
    <definedName name="_bdm.C783EC1A8B314C00AFFB77B48FEF1B9E.edm">#N/A</definedName>
    <definedName name="_bdm.C9D0A5B26714462FB0E7B40861342A02.edm">#REF!</definedName>
    <definedName name="_bdm.CF12D9AC23CA4135BF8D6D082A7C72D5.edm">#N/A</definedName>
    <definedName name="_bdm.E0BA8578CDA84A7392AB05F6FABA06DA.edm">#REF!</definedName>
    <definedName name="_bx1" localSheetId="20">{#N/A,#N/A,FALSE,"LLAVE";#N/A,#N/A,FALSE,"EERR";#N/A,#N/A,FALSE,"ESP";#N/A,#N/A,FALSE,"EOAF";#N/A,#N/A,FALSE,"CASH";#N/A,#N/A,FALSE,"FINANZAS";#N/A,#N/A,FALSE,"DEUDA";#N/A,#N/A,FALSE,"INVERSION";#N/A,#N/A,FALSE,"PERSONAL"}</definedName>
    <definedName name="_bx1">{#N/A,#N/A,FALSE,"LLAVE";#N/A,#N/A,FALSE,"EERR";#N/A,#N/A,FALSE,"ESP";#N/A,#N/A,FALSE,"EOAF";#N/A,#N/A,FALSE,"CASH";#N/A,#N/A,FALSE,"FINANZAS";#N/A,#N/A,FALSE,"DEUDA";#N/A,#N/A,FALSE,"INVERSION";#N/A,#N/A,FALSE,"PERSONAL"}</definedName>
    <definedName name="_CD1" localSheetId="20">{#N/A,#N/A,FALSE,"LLAVE";#N/A,#N/A,FALSE,"EERR";#N/A,#N/A,FALSE,"ESP";#N/A,#N/A,FALSE,"EOAF";#N/A,#N/A,FALSE,"CASH";#N/A,#N/A,FALSE,"FINANZAS";#N/A,#N/A,FALSE,"DEUDA";#N/A,#N/A,FALSE,"INVERSION";#N/A,#N/A,FALSE,"PERSONAL"}</definedName>
    <definedName name="_CD1">{#N/A,#N/A,FALSE,"LLAVE";#N/A,#N/A,FALSE,"EERR";#N/A,#N/A,FALSE,"ESP";#N/A,#N/A,FALSE,"EOAF";#N/A,#N/A,FALSE,"CASH";#N/A,#N/A,FALSE,"FINANZAS";#N/A,#N/A,FALSE,"DEUDA";#N/A,#N/A,FALSE,"INVERSION";#N/A,#N/A,FALSE,"PERSONAL"}</definedName>
    <definedName name="_cdx1" localSheetId="20">{#N/A,#N/A,FALSE,"LLAVE";#N/A,#N/A,FALSE,"EERR";#N/A,#N/A,FALSE,"ESP";#N/A,#N/A,FALSE,"EOAF";#N/A,#N/A,FALSE,"CASH";#N/A,#N/A,FALSE,"FINANZAS";#N/A,#N/A,FALSE,"DEUDA";#N/A,#N/A,FALSE,"INVERSION";#N/A,#N/A,FALSE,"PERSONAL"}</definedName>
    <definedName name="_cdx1">{#N/A,#N/A,FALSE,"LLAVE";#N/A,#N/A,FALSE,"EERR";#N/A,#N/A,FALSE,"ESP";#N/A,#N/A,FALSE,"EOAF";#N/A,#N/A,FALSE,"CASH";#N/A,#N/A,FALSE,"FINANZAS";#N/A,#N/A,FALSE,"DEUDA";#N/A,#N/A,FALSE,"INVERSION";#N/A,#N/A,FALSE,"PERSONAL"}</definedName>
    <definedName name="_Corporativo_SPE" localSheetId="17">_tCorporativo[Corporativo_SPE]</definedName>
    <definedName name="_Corporativo_SPE" localSheetId="18">_tCorporativo[Corporativo_SPE]</definedName>
    <definedName name="_Corporativo_SPE" localSheetId="19">_tCorporativo[Corporativo_SPE]</definedName>
    <definedName name="_Corporativo_SPE">_tCorporativo[Corporativo_SPE]</definedName>
    <definedName name="_CRM2" localSheetId="20">{#N/A,#N/A,FALSE,"ANEXO3 99 ERA";#N/A,#N/A,FALSE,"ANEXO3 99 UBÁ2";#N/A,#N/A,FALSE,"ANEXO3 99 DTU";#N/A,#N/A,FALSE,"ANEXO3 99 RDR";#N/A,#N/A,FALSE,"ANEXO3 99 UBÁ4";#N/A,#N/A,FALSE,"ANEXO3 99 UBÁ6"}</definedName>
    <definedName name="_CRM2">{#N/A,#N/A,FALSE,"ANEXO3 99 ERA";#N/A,#N/A,FALSE,"ANEXO3 99 UBÁ2";#N/A,#N/A,FALSE,"ANEXO3 99 DTU";#N/A,#N/A,FALSE,"ANEXO3 99 RDR";#N/A,#N/A,FALSE,"ANEXO3 99 UBÁ4";#N/A,#N/A,FALSE,"ANEXO3 99 UBÁ6"}</definedName>
    <definedName name="_CRM3" localSheetId="20">{#N/A,#N/A,FALSE,"ANEXO3 99 ERA";#N/A,#N/A,FALSE,"ANEXO3 99 UBÁ2";#N/A,#N/A,FALSE,"ANEXO3 99 DTU";#N/A,#N/A,FALSE,"ANEXO3 99 RDR";#N/A,#N/A,FALSE,"ANEXO3 99 UBÁ4";#N/A,#N/A,FALSE,"ANEXO3 99 UBÁ6"}</definedName>
    <definedName name="_CRM3">{#N/A,#N/A,FALSE,"ANEXO3 99 ERA";#N/A,#N/A,FALSE,"ANEXO3 99 UBÁ2";#N/A,#N/A,FALSE,"ANEXO3 99 DTU";#N/A,#N/A,FALSE,"ANEXO3 99 RDR";#N/A,#N/A,FALSE,"ANEXO3 99 UBÁ4";#N/A,#N/A,FALSE,"ANEXO3 99 UBÁ6"}</definedName>
    <definedName name="_CRM4" localSheetId="20">{#N/A,#N/A,FALSE,"ANEXO3 99 ERA";#N/A,#N/A,FALSE,"ANEXO3 99 UBÁ2";#N/A,#N/A,FALSE,"ANEXO3 99 DTU";#N/A,#N/A,FALSE,"ANEXO3 99 RDR";#N/A,#N/A,FALSE,"ANEXO3 99 UBÁ4";#N/A,#N/A,FALSE,"ANEXO3 99 UBÁ6"}</definedName>
    <definedName name="_CRM4">{#N/A,#N/A,FALSE,"ANEXO3 99 ERA";#N/A,#N/A,FALSE,"ANEXO3 99 UBÁ2";#N/A,#N/A,FALSE,"ANEXO3 99 DTU";#N/A,#N/A,FALSE,"ANEXO3 99 RDR";#N/A,#N/A,FALSE,"ANEXO3 99 UBÁ4";#N/A,#N/A,FALSE,"ANEXO3 99 UBÁ6"}</definedName>
    <definedName name="_df1" localSheetId="20">{#N/A,#N/A,FALSE,"LLAVE";#N/A,#N/A,FALSE,"EERR";#N/A,#N/A,FALSE,"ESP";#N/A,#N/A,FALSE,"EOAF";#N/A,#N/A,FALSE,"CASH";#N/A,#N/A,FALSE,"FINANZAS";#N/A,#N/A,FALSE,"DEUDA";#N/A,#N/A,FALSE,"INVERSION";#N/A,#N/A,FALSE,"PERSONAL"}</definedName>
    <definedName name="_df1">{#N/A,#N/A,FALSE,"LLAVE";#N/A,#N/A,FALSE,"EERR";#N/A,#N/A,FALSE,"ESP";#N/A,#N/A,FALSE,"EOAF";#N/A,#N/A,FALSE,"CASH";#N/A,#N/A,FALSE,"FINANZAS";#N/A,#N/A,FALSE,"DEUDA";#N/A,#N/A,FALSE,"INVERSION";#N/A,#N/A,FALSE,"PERSONAL"}</definedName>
    <definedName name="_e1" localSheetId="20">{#N/A,#N/A,FALSE,"ENERGIA";#N/A,#N/A,FALSE,"PERDIDAS";#N/A,#N/A,FALSE,"CLIENTES";#N/A,#N/A,FALSE,"ESTADO";#N/A,#N/A,FALSE,"TECNICA"}</definedName>
    <definedName name="_e1">{#N/A,#N/A,FALSE,"ENERGIA";#N/A,#N/A,FALSE,"PERDIDAS";#N/A,#N/A,FALSE,"CLIENTES";#N/A,#N/A,FALSE,"ESTADO";#N/A,#N/A,FALSE,"TECNICA"}</definedName>
    <definedName name="_ep1" localSheetId="20">{#N/A,#N/A,FALSE,"CONTROLE"}</definedName>
    <definedName name="_ep1">{#N/A,#N/A,FALSE,"CONTROLE"}</definedName>
    <definedName name="_ev4" localSheetId="20">{#N/A,#N/A,FALSE,"CONTROLE"}</definedName>
    <definedName name="_ev4">{#N/A,#N/A,FALSE,"CONTROLE"}</definedName>
    <definedName name="_Fill">#REF!</definedName>
    <definedName name="_FilterDatabase1">#REF!</definedName>
    <definedName name="_xlnm._FilterDatabase" localSheetId="3">Grupo!$A$1:$K$124</definedName>
    <definedName name="_xlnm._FilterDatabase" localSheetId="22">'R&amp;M'!$B$3:$H$335</definedName>
    <definedName name="_xlnm._FilterDatabase" localSheetId="23">SGPMR!$A$1:$M$11175</definedName>
    <definedName name="_xlnm._FilterDatabase">#REF!</definedName>
    <definedName name="_fpp07" localSheetId="20">{"TotalGeralDespesasPorArea",#N/A,FALSE,"VinculosAccessEfetivo"}</definedName>
    <definedName name="_fpp07">{"TotalGeralDespesasPorArea",#N/A,FALSE,"VinculosAccessEfetivo"}</definedName>
    <definedName name="_FT08">"3OYHDJRF05V1IN1D1R6C32J5E"</definedName>
    <definedName name="_InvContratado" localSheetId="17">Tabela24[Investimento Contratado]</definedName>
    <definedName name="_InvContratado" localSheetId="18">Tabela24[Investimento Contratado]</definedName>
    <definedName name="_InvContratado" localSheetId="19">Tabela24[Investimento Contratado]</definedName>
    <definedName name="_InvContratado">Tabela24[Investimento Contratado]</definedName>
    <definedName name="_Investimento_Novo" localSheetId="17">Tabela22[Investimento Novo]</definedName>
    <definedName name="_Investimento_Novo" localSheetId="18">Tabela22[Investimento Novo]</definedName>
    <definedName name="_Investimento_Novo" localSheetId="19">Tabela22[Investimento Novo]</definedName>
    <definedName name="_Investimento_Novo">Tabela22[Investimento Novo]</definedName>
    <definedName name="_Key1">#REF!</definedName>
    <definedName name="_key2">#REF!</definedName>
    <definedName name="_new2" localSheetId="20">{"'pg(12)'!$B$1:$N$16"}</definedName>
    <definedName name="_new2">{"'pg(12)'!$B$1:$N$16"}</definedName>
    <definedName name="_new2002" localSheetId="20">{"'pg(12)'!$B$1:$N$16"}</definedName>
    <definedName name="_new2002">{"'pg(12)'!$B$1:$N$16"}</definedName>
    <definedName name="_new3" localSheetId="20">{"'pg(12)'!$B$1:$N$16"}</definedName>
    <definedName name="_new3">{"'pg(12)'!$B$1:$N$16"}</definedName>
    <definedName name="_NWC2" localSheetId="20">{"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_NWC2">{"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_o022" localSheetId="20">{#N/A,#N/A,FALSE,"CONTROLE";#N/A,#N/A,FALSE,"CONTROLE"}</definedName>
    <definedName name="_o022">{#N/A,#N/A,FALSE,"CONTROLE";#N/A,#N/A,FALSE,"CONTROLE"}</definedName>
    <definedName name="_o023" localSheetId="20">{#N/A,#N/A,FALSE,"CONTROLE"}</definedName>
    <definedName name="_o023">{#N/A,#N/A,FALSE,"CONTROLE"}</definedName>
    <definedName name="_o1"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o1">{#N/A,#N/A,TRUE,"Récap.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o10" localSheetId="20">{"TotalGeralDespesasPorArea",#N/A,FALSE,"VinculosAccessEfetivo"}</definedName>
    <definedName name="_o10">{"TotalGeralDespesasPorArea",#N/A,FALSE,"VinculosAccessEfetivo"}</definedName>
    <definedName name="_o11"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o11">{#N/A,#N/A,TRUE,"Récap.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o13" localSheetId="20">{"TotalGeralDespesasPorArea",#N/A,FALSE,"VinculosAccessEfetivo"}</definedName>
    <definedName name="_o13">{"TotalGeralDespesasPorArea",#N/A,FALSE,"VinculosAccessEfetivo"}</definedName>
    <definedName name="_o14" localSheetId="20">{#N/A,#N/A,FALSE,"CONTROLE"}</definedName>
    <definedName name="_o14">{#N/A,#N/A,FALSE,"CONTROLE"}</definedName>
    <definedName name="_o15" localSheetId="20">{#N/A,#N/A,FALSE,"CONTROLE"}</definedName>
    <definedName name="_o15">{#N/A,#N/A,FALSE,"CONTROLE"}</definedName>
    <definedName name="_o16" localSheetId="20">{"TotalGeralDespesasPorArea",#N/A,FALSE,"VinculosAccessEfetivo"}</definedName>
    <definedName name="_o16">{"TotalGeralDespesasPorArea",#N/A,FALSE,"VinculosAccessEfetivo"}</definedName>
    <definedName name="_o17"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o17">{#N/A,#N/A,TRUE,"Récap.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o19" localSheetId="20">{#N/A,#N/A,FALSE,"CONTROLE"}</definedName>
    <definedName name="_o19">{#N/A,#N/A,FALSE,"CONTROLE"}</definedName>
    <definedName name="_o2"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o2">{#N/A,#N/A,TRUE,"Récap.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o20"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o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o21" localSheetId="20">{"TotalGeralDespesasPorArea",#N/A,FALSE,"VinculosAccessEfetivo"}</definedName>
    <definedName name="_o21">{"TotalGeralDespesasPorArea",#N/A,FALSE,"VinculosAccessEfetivo"}</definedName>
    <definedName name="_o24"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o24">{#N/A,#N/A,TRUE,"Récap.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o25" localSheetId="20">{"TotalGeralDespesasPorArea",#N/A,FALSE,"VinculosAccessEfetivo"}</definedName>
    <definedName name="_o25">{"TotalGeralDespesasPorArea",#N/A,FALSE,"VinculosAccessEfetivo"}</definedName>
    <definedName name="_o26"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o26">{#N/A,#N/A,TRUE,"Récap.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o28" localSheetId="20">{"TotalGeralDespesasPorArea",#N/A,FALSE,"VinculosAccessEfetivo"}</definedName>
    <definedName name="_o28">{"TotalGeralDespesasPorArea",#N/A,FALSE,"VinculosAccessEfetivo"}</definedName>
    <definedName name="_o29" localSheetId="20">{#N/A,#N/A,FALSE,"CONTROLE"}</definedName>
    <definedName name="_o29">{#N/A,#N/A,FALSE,"CONTROLE"}</definedName>
    <definedName name="_o3" localSheetId="20">{"TotalGeralDespesasPorArea",#N/A,FALSE,"VinculosAccessEfetivo"}</definedName>
    <definedName name="_o3">{"TotalGeralDespesasPorArea",#N/A,FALSE,"VinculosAccessEfetivo"}</definedName>
    <definedName name="_o30" localSheetId="20">{#N/A,#N/A,FALSE,"CONTROLE"}</definedName>
    <definedName name="_o30">{#N/A,#N/A,FALSE,"CONTROLE"}</definedName>
    <definedName name="_o31"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o31">{#N/A,#N/A,TRUE,"Récap.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o33" localSheetId="20">{#N/A,#N/A,FALSE,"CONTROLE"}</definedName>
    <definedName name="_o33">{#N/A,#N/A,FALSE,"CONTROLE"}</definedName>
    <definedName name="_o34"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o34">{#N/A,#N/A,TRUE,"Récap.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o35"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o35">{#N/A,#N/A,TRUE,"Récap.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o36" localSheetId="20">{"TotalGeralDespesasPorArea",#N/A,FALSE,"VinculosAccessEfetivo"}</definedName>
    <definedName name="_o36">{"TotalGeralDespesasPorArea",#N/A,FALSE,"VinculosAccessEfetivo"}</definedName>
    <definedName name="_o37" localSheetId="20">{#N/A,#N/A,FALSE,"CONTROLE";#N/A,#N/A,FALSE,"CONTROLE"}</definedName>
    <definedName name="_o37">{#N/A,#N/A,FALSE,"CONTROLE";#N/A,#N/A,FALSE,"CONTROLE"}</definedName>
    <definedName name="_o38" localSheetId="20">{#N/A,#N/A,FALSE,"CONTROLE"}</definedName>
    <definedName name="_o38">{#N/A,#N/A,FALSE,"CONTROLE"}</definedName>
    <definedName name="_o39" localSheetId="20">{"TotalGeralDespesasPorArea",#N/A,FALSE,"VinculosAccessEfetivo"}</definedName>
    <definedName name="_o39">{"TotalGeralDespesasPorArea",#N/A,FALSE,"VinculosAccessEfetivo"}</definedName>
    <definedName name="_o4" localSheetId="20">{"TotalGeralDespesasPorArea",#N/A,FALSE,"VinculosAccessEfetivo"}</definedName>
    <definedName name="_o4">{"TotalGeralDespesasPorArea",#N/A,FALSE,"VinculosAccessEfetivo"}</definedName>
    <definedName name="_o45" localSheetId="20">{"TotalGeralDespesasPorArea",#N/A,FALSE,"VinculosAccessEfetivo"}</definedName>
    <definedName name="_o45">{"TotalGeralDespesasPorArea",#N/A,FALSE,"VinculosAccessEfetivo"}</definedName>
    <definedName name="_o5" localSheetId="20">{"TotalGeralDespesasPorArea",#N/A,FALSE,"VinculosAccessEfetivo"}</definedName>
    <definedName name="_o5">{"TotalGeralDespesasPorArea",#N/A,FALSE,"VinculosAccessEfetivo"}</definedName>
    <definedName name="_o6" localSheetId="20">{"TotalGeralDespesasPorArea",#N/A,FALSE,"VinculosAccessEfetivo"}</definedName>
    <definedName name="_o6">{"TotalGeralDespesasPorArea",#N/A,FALSE,"VinculosAccessEfetivo"}</definedName>
    <definedName name="_o60" localSheetId="20">{"TotalGeralDespesasPorArea",#N/A,FALSE,"VinculosAccessEfetivo"}</definedName>
    <definedName name="_o60">{"TotalGeralDespesasPorArea",#N/A,FALSE,"VinculosAccessEfetivo"}</definedName>
    <definedName name="_o7" localSheetId="20">{"TotalGeralDespesasPorArea",#N/A,FALSE,"VinculosAccessEfetivo"}</definedName>
    <definedName name="_o7">{"TotalGeralDespesasPorArea",#N/A,FALSE,"VinculosAccessEfetivo"}</definedName>
    <definedName name="_o8" localSheetId="20">{"TotalGeralDespesasPorArea",#N/A,FALSE,"VinculosAccessEfetivo"}</definedName>
    <definedName name="_o8">{"TotalGeralDespesasPorArea",#N/A,FALSE,"VinculosAccessEfetivo"}</definedName>
    <definedName name="_o840" localSheetId="20">{"TotalGeralDespesasPorArea",#N/A,FALSE,"VinculosAccessEfetivo"}</definedName>
    <definedName name="_o840">{"TotalGeralDespesasPorArea",#N/A,FALSE,"VinculosAccessEfetivo"}</definedName>
    <definedName name="_o841" localSheetId="20">{"TotalGeralDespesasPorArea",#N/A,FALSE,"VinculosAccessEfetivo"}</definedName>
    <definedName name="_o841">{"TotalGeralDespesasPorArea",#N/A,FALSE,"VinculosAccessEfetivo"}</definedName>
    <definedName name="_o847" localSheetId="20">{"TotalGeralDespesasPorArea",#N/A,FALSE,"VinculosAccessEfetivo"}</definedName>
    <definedName name="_o847">{"TotalGeralDespesasPorArea",#N/A,FALSE,"VinculosAccessEfetivo"}</definedName>
    <definedName name="_o9" localSheetId="20">{"TotalGeralDespesasPorArea",#N/A,FALSE,"VinculosAccessEfetivo"}</definedName>
    <definedName name="_o9">{"TotalGeralDespesasPorArea",#N/A,FALSE,"VinculosAccessEfetivo"}</definedName>
    <definedName name="_Order1">255</definedName>
    <definedName name="_Order1_1">255</definedName>
    <definedName name="_Order2">255</definedName>
    <definedName name="_p1"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p1">{#N/A,#N/A,TRUE,"Récap.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p10" localSheetId="20">{"TotalGeralDespesasPorArea",#N/A,FALSE,"VinculosAccessEfetivo"}</definedName>
    <definedName name="_p10">{"TotalGeralDespesasPorArea",#N/A,FALSE,"VinculosAccessEfetivo"}</definedName>
    <definedName name="_p11"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p11">{#N/A,#N/A,TRUE,"Récap.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p13" localSheetId="20">{"TotalGeralDespesasPorArea",#N/A,FALSE,"VinculosAccessEfetivo"}</definedName>
    <definedName name="_p13">{"TotalGeralDespesasPorArea",#N/A,FALSE,"VinculosAccessEfetivo"}</definedName>
    <definedName name="_p14" localSheetId="20">{#N/A,#N/A,FALSE,"CONTROLE"}</definedName>
    <definedName name="_p14">{#N/A,#N/A,FALSE,"CONTROLE"}</definedName>
    <definedName name="_p15" localSheetId="20">{#N/A,#N/A,FALSE,"CONTROLE"}</definedName>
    <definedName name="_p15">{#N/A,#N/A,FALSE,"CONTROLE"}</definedName>
    <definedName name="_p16" localSheetId="20">{"TotalGeralDespesasPorArea",#N/A,FALSE,"VinculosAccessEfetivo"}</definedName>
    <definedName name="_p16">{"TotalGeralDespesasPorArea",#N/A,FALSE,"VinculosAccessEfetivo"}</definedName>
    <definedName name="_p17"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p17">{#N/A,#N/A,TRUE,"Récap.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p19" localSheetId="20">{#N/A,#N/A,FALSE,"CONTROLE"}</definedName>
    <definedName name="_p19">{#N/A,#N/A,FALSE,"CONTROLE"}</definedName>
    <definedName name="_p2"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p2">{#N/A,#N/A,TRUE,"Récap.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p20"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p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p21" localSheetId="20">{"TotalGeralDespesasPorArea",#N/A,FALSE,"VinculosAccessEfetivo"}</definedName>
    <definedName name="_p21">{"TotalGeralDespesasPorArea",#N/A,FALSE,"VinculosAccessEfetivo"}</definedName>
    <definedName name="_p22" localSheetId="20">{#N/A,#N/A,FALSE,"CONTROLE";#N/A,#N/A,FALSE,"CONTROLE"}</definedName>
    <definedName name="_p22">{#N/A,#N/A,FALSE,"CONTROLE";#N/A,#N/A,FALSE,"CONTROLE"}</definedName>
    <definedName name="_p23" localSheetId="20">{#N/A,#N/A,FALSE,"CONTROLE"}</definedName>
    <definedName name="_p23">{#N/A,#N/A,FALSE,"CONTROLE"}</definedName>
    <definedName name="_p3" localSheetId="20">{"TotalGeralDespesasPorArea",#N/A,FALSE,"VinculosAccessEfetivo"}</definedName>
    <definedName name="_p3">{"TotalGeralDespesasPorArea",#N/A,FALSE,"VinculosAccessEfetivo"}</definedName>
    <definedName name="_p4" localSheetId="20">{"TotalGeralDespesasPorArea",#N/A,FALSE,"VinculosAccessEfetivo"}</definedName>
    <definedName name="_p4">{"TotalGeralDespesasPorArea",#N/A,FALSE,"VinculosAccessEfetivo"}</definedName>
    <definedName name="_p5" localSheetId="20">{"TotalGeralDespesasPorArea",#N/A,FALSE,"VinculosAccessEfetivo"}</definedName>
    <definedName name="_p5">{"TotalGeralDespesasPorArea",#N/A,FALSE,"VinculosAccessEfetivo"}</definedName>
    <definedName name="_p6" localSheetId="20">{"TotalGeralDespesasPorArea",#N/A,FALSE,"VinculosAccessEfetivo"}</definedName>
    <definedName name="_p6">{"TotalGeralDespesasPorArea",#N/A,FALSE,"VinculosAccessEfetivo"}</definedName>
    <definedName name="_p7" localSheetId="20">{"TotalGeralDespesasPorArea",#N/A,FALSE,"VinculosAccessEfetivo"}</definedName>
    <definedName name="_p7">{"TotalGeralDespesasPorArea",#N/A,FALSE,"VinculosAccessEfetivo"}</definedName>
    <definedName name="_p8" localSheetId="20">{"TotalGeralDespesasPorArea",#N/A,FALSE,"VinculosAccessEfetivo"}</definedName>
    <definedName name="_p8">{"TotalGeralDespesasPorArea",#N/A,FALSE,"VinculosAccessEfetivo"}</definedName>
    <definedName name="_p9" localSheetId="20">{"TotalGeralDespesasPorArea",#N/A,FALSE,"VinculosAccessEfetivo"}</definedName>
    <definedName name="_p9">{"TotalGeralDespesasPorArea",#N/A,FALSE,"VinculosAccessEfetivo"}</definedName>
    <definedName name="_r" localSheetId="20">{"consolidated",#N/A,FALSE,"Sheet1";"cms",#N/A,FALSE,"Sheet1";"fse",#N/A,FALSE,"Sheet1"}</definedName>
    <definedName name="_r">{"consolidated",#N/A,FALSE,"Sheet1";"cms",#N/A,FALSE,"Sheet1";"fse",#N/A,FALSE,"Sheet1"}</definedName>
    <definedName name="_Regression_Int">1</definedName>
    <definedName name="_Regression_Out">#REF!</definedName>
    <definedName name="_Regression_out1">#REF!</definedName>
    <definedName name="_Regression_X">#REF!</definedName>
    <definedName name="_Regression_Y">#REF!</definedName>
    <definedName name="_S">#REF!</definedName>
    <definedName name="_Segmento" localSheetId="17">Tabela19[Segmento]</definedName>
    <definedName name="_Segmento" localSheetId="18">Tabela19[Segmento]</definedName>
    <definedName name="_Segmento" localSheetId="19">Tabela19[Segmento]</definedName>
    <definedName name="_Segmento">Tabela19[Segmento]</definedName>
    <definedName name="_Sort">#REF!</definedName>
    <definedName name="_Table1_In1">#N/A</definedName>
    <definedName name="_Table1_Out">#N/A</definedName>
    <definedName name="_Table2_In1">#N/A</definedName>
    <definedName name="_Table2_In2">#N/A</definedName>
    <definedName name="_Table2_Out">#N/A</definedName>
    <definedName name="_VP" localSheetId="17">_tVP[VP]</definedName>
    <definedName name="_VP" localSheetId="18">_tVP[VP]</definedName>
    <definedName name="_VP" localSheetId="19">_tVP[VP]</definedName>
    <definedName name="_VP">_tVP[VP]</definedName>
    <definedName name="_wrn1" localSheetId="20">{#N/A,#N/A,FALSE,"DCF";#N/A,#N/A,FALSE,"WACC";#N/A,#N/A,FALSE,"Sales_EBIT";#N/A,#N/A,FALSE,"Capex_Depreciation";#N/A,#N/A,FALSE,"WC";#N/A,#N/A,FALSE,"Interest";#N/A,#N/A,FALSE,"Assumptions"}</definedName>
    <definedName name="_wrn1">{#N/A,#N/A,FALSE,"DCF";#N/A,#N/A,FALSE,"WACC";#N/A,#N/A,FALSE,"Sales_EBIT";#N/A,#N/A,FALSE,"Capex_Depreciation";#N/A,#N/A,FALSE,"WC";#N/A,#N/A,FALSE,"Interest";#N/A,#N/A,FALSE,"Assumptions"}</definedName>
    <definedName name="_xlchart.v1.0">'Tabelas Dinâmicas'!$F$105:$F$109</definedName>
    <definedName name="_xlchart.v1.1">'Tabelas Dinâmicas'!$G$105:$G$109</definedName>
    <definedName name="_xlchart.v1.2">'Tabelas Dinâmicas'!$F$96:$F$99</definedName>
    <definedName name="_xlchart.v1.3">'Tabelas Dinâmicas'!$G$95</definedName>
    <definedName name="_xlchart.v1.4">'Tabelas Dinâmicas'!$G$96:$G$99</definedName>
    <definedName name="_z1"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z1">{#N/A,#N/A,TRUE,"Récap.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z10" localSheetId="20">{"TotalGeralDespesasPorArea",#N/A,FALSE,"VinculosAccessEfetivo"}</definedName>
    <definedName name="_z10">{"TotalGeralDespesasPorArea",#N/A,FALSE,"VinculosAccessEfetivo"}</definedName>
    <definedName name="_z11"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z11">{#N/A,#N/A,TRUE,"Récap.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z13" localSheetId="20">{"TotalGeralDespesasPorArea",#N/A,FALSE,"VinculosAccessEfetivo"}</definedName>
    <definedName name="_z13">{"TotalGeralDespesasPorArea",#N/A,FALSE,"VinculosAccessEfetivo"}</definedName>
    <definedName name="_z14" localSheetId="20">{#N/A,#N/A,FALSE,"CONTROLE"}</definedName>
    <definedName name="_z14">{#N/A,#N/A,FALSE,"CONTROLE"}</definedName>
    <definedName name="_z15" localSheetId="20">{#N/A,#N/A,FALSE,"CONTROLE"}</definedName>
    <definedName name="_z15">{#N/A,#N/A,FALSE,"CONTROLE"}</definedName>
    <definedName name="_z16" localSheetId="20">{"TotalGeralDespesasPorArea",#N/A,FALSE,"VinculosAccessEfetivo"}</definedName>
    <definedName name="_z16">{"TotalGeralDespesasPorArea",#N/A,FALSE,"VinculosAccessEfetivo"}</definedName>
    <definedName name="_z17"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z17">{#N/A,#N/A,TRUE,"Récap.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z19" localSheetId="20">{#N/A,#N/A,FALSE,"CONTROLE"}</definedName>
    <definedName name="_z19">{#N/A,#N/A,FALSE,"CONTROLE"}</definedName>
    <definedName name="_z2"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z2">{#N/A,#N/A,TRUE,"Récap.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z20"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z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z21" localSheetId="20">{"TotalGeralDespesasPorArea",#N/A,FALSE,"VinculosAccessEfetivo"}</definedName>
    <definedName name="_z21">{"TotalGeralDespesasPorArea",#N/A,FALSE,"VinculosAccessEfetivo"}</definedName>
    <definedName name="_z22" localSheetId="20">{#N/A,#N/A,FALSE,"CONTROLE";#N/A,#N/A,FALSE,"CONTROLE"}</definedName>
    <definedName name="_z22">{#N/A,#N/A,FALSE,"CONTROLE";#N/A,#N/A,FALSE,"CONTROLE"}</definedName>
    <definedName name="_z23" localSheetId="20">{#N/A,#N/A,FALSE,"CONTROLE"}</definedName>
    <definedName name="_z23">{#N/A,#N/A,FALSE,"CONTROLE"}</definedName>
    <definedName name="_z3" localSheetId="20">{"TotalGeralDespesasPorArea",#N/A,FALSE,"VinculosAccessEfetivo"}</definedName>
    <definedName name="_z3">{"TotalGeralDespesasPorArea",#N/A,FALSE,"VinculosAccessEfetivo"}</definedName>
    <definedName name="_z4" localSheetId="20">{"TotalGeralDespesasPorArea",#N/A,FALSE,"VinculosAccessEfetivo"}</definedName>
    <definedName name="_z4">{"TotalGeralDespesasPorArea",#N/A,FALSE,"VinculosAccessEfetivo"}</definedName>
    <definedName name="_z5" localSheetId="20">{"TotalGeralDespesasPorArea",#N/A,FALSE,"VinculosAccessEfetivo"}</definedName>
    <definedName name="_z5">{"TotalGeralDespesasPorArea",#N/A,FALSE,"VinculosAccessEfetivo"}</definedName>
    <definedName name="_z6" localSheetId="20">{"TotalGeralDespesasPorArea",#N/A,FALSE,"VinculosAccessEfetivo"}</definedName>
    <definedName name="_z6">{"TotalGeralDespesasPorArea",#N/A,FALSE,"VinculosAccessEfetivo"}</definedName>
    <definedName name="_z7" localSheetId="20">{"TotalGeralDespesasPorArea",#N/A,FALSE,"VinculosAccessEfetivo"}</definedName>
    <definedName name="_z7">{"TotalGeralDespesasPorArea",#N/A,FALSE,"VinculosAccessEfetivo"}</definedName>
    <definedName name="_z8" localSheetId="20">{"TotalGeralDespesasPorArea",#N/A,FALSE,"VinculosAccessEfetivo"}</definedName>
    <definedName name="_z8">{"TotalGeralDespesasPorArea",#N/A,FALSE,"VinculosAccessEfetivo"}</definedName>
    <definedName name="_z9" localSheetId="20">{"TotalGeralDespesasPorArea",#N/A,FALSE,"VinculosAccessEfetivo"}</definedName>
    <definedName name="_z9">{"TotalGeralDespesasPorArea",#N/A,FALSE,"VinculosAccessEfetivo"}</definedName>
    <definedName name="AAA" localSheetId="20">{#N/A,#N/A,FALSE,"MONTHDET";#N/A,#N/A,FALSE,"ACTUAL"}</definedName>
    <definedName name="AAA">{#N/A,#N/A,FALSE,"MONTHDET";#N/A,#N/A,FALSE,"ACTUAL"}</definedName>
    <definedName name="AAA_DOCTOPS">"AAA_SET"</definedName>
    <definedName name="AAA_duser">"OFF"</definedName>
    <definedName name="aaaa_1" localSheetId="20">{#N/A,#N/A,FALSE,"CONTROLE"}</definedName>
    <definedName name="aaaa_1">{#N/A,#N/A,FALSE,"CONTROLE"}</definedName>
    <definedName name="aaaaaa_1" localSheetId="20">{#N/A,#N/A,FALSE,"CONTROLE"}</definedName>
    <definedName name="aaaaaa_1">{#N/A,#N/A,FALSE,"CONTROLE"}</definedName>
    <definedName name="aaaaaaaaa" localSheetId="20">{#N/A,#N/A,FALSE,"ANEXO3 99 ERA";#N/A,#N/A,FALSE,"ANEXO3 99 UBÁ2";#N/A,#N/A,FALSE,"ANEXO3 99 DTU";#N/A,#N/A,FALSE,"ANEXO3 99 RDR";#N/A,#N/A,FALSE,"ANEXO3 99 UBÁ4";#N/A,#N/A,FALSE,"ANEXO3 99 UBÁ6"}</definedName>
    <definedName name="aaaaaaaaa">{#N/A,#N/A,FALSE,"ANEXO3 99 ERA";#N/A,#N/A,FALSE,"ANEXO3 99 UBÁ2";#N/A,#N/A,FALSE,"ANEXO3 99 DTU";#N/A,#N/A,FALSE,"ANEXO3 99 RDR";#N/A,#N/A,FALSE,"ANEXO3 99 UBÁ4";#N/A,#N/A,FALSE,"ANEXO3 99 UBÁ6"}</definedName>
    <definedName name="aaaaaaaaaaa" localSheetId="20">{"CONS_RAFF2",#N/A,FALSE,"CONS.RAFF2"}</definedName>
    <definedName name="aaaaaaaaaaa">{"CONS_RAFF2",#N/A,FALSE,"CONS.RAFF2"}</definedName>
    <definedName name="AAAAAAAAAAAA" localSheetId="20">{#N/A,#N/A,FALSE,"Tabl. A1";#N/A,#N/A,FALSE,"Tabl. A1 b";#N/A,#N/A,FALSE,"Tabl. A2";#N/A,#N/A,FALSE,"Tabl. A2-1";#N/A,#N/A,FALSE,"Tabl. A2-2"}</definedName>
    <definedName name="AAAAAAAAAAAA">{#N/A,#N/A,FALSE,"Tabl. A1";#N/A,#N/A,FALSE,"Tabl. A1 b";#N/A,#N/A,FALSE,"Tabl. A2";#N/A,#N/A,FALSE,"Tabl. A2-1";#N/A,#N/A,FALSE,"Tabl. A2-2"}</definedName>
    <definedName name="aaaaaaaaaaaaaaaa" localSheetId="20">{#N/A,#N/A,FALSE,"RIEP"}</definedName>
    <definedName name="aaaaaaaaaaaaaaaa">{#N/A,#N/A,FALSE,"RIEP"}</definedName>
    <definedName name="aab" localSheetId="20">{#N/A,#N/A,FALSE,"MONTHDET";#N/A,#N/A,FALSE,"ACTUAL"}</definedName>
    <definedName name="aab">{#N/A,#N/A,FALSE,"MONTHDET";#N/A,#N/A,FALSE,"ACTUAL"}</definedName>
    <definedName name="AAB_Addin5">"AAB_Description for addin 5,Description for addin 5,Description for addin 5,Description for addin 5,Description for addin 5,Description for addin 5"</definedName>
    <definedName name="AASAS" localSheetId="20">{"QQQ",#N/A,FALSE,"RIEP"}</definedName>
    <definedName name="AASAS">{"QQQ",#N/A,FALSE,"RIEP"}</definedName>
    <definedName name="AAZAZER" localSheetId="20">{#N/A,#N/A,FALSE,"Tabl. A1";#N/A,#N/A,FALSE,"Tabl. A1 b";#N/A,#N/A,FALSE,"Tabl. A2";#N/A,#N/A,FALSE,"Tabl. A2-1";#N/A,#N/A,FALSE,"Tabl. A2-2"}</definedName>
    <definedName name="AAZAZER">{#N/A,#N/A,FALSE,"Tabl. A1";#N/A,#N/A,FALSE,"Tabl. A1 b";#N/A,#N/A,FALSE,"Tabl. A2";#N/A,#N/A,FALSE,"Tabl. A2-1";#N/A,#N/A,FALSE,"Tabl. A2-2"}</definedName>
    <definedName name="ab"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ab">{#N/A,#N/A,TRUE,"Récap.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abang">#REF!</definedName>
    <definedName name="abc_1"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abc_1">{#N/A,#N/A,TRUE,"Récap.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abcd" localSheetId="20">{#N/A,#N/A,FALSE,"ANEXO3 99 ERA";#N/A,#N/A,FALSE,"ANEXO3 99 UBÁ2";#N/A,#N/A,FALSE,"ANEXO3 99 DTU";#N/A,#N/A,FALSE,"ANEXO3 99 RDR";#N/A,#N/A,FALSE,"ANEXO3 99 UBÁ4";#N/A,#N/A,FALSE,"ANEXO3 99 UBÁ6"}</definedName>
    <definedName name="abcd">{#N/A,#N/A,FALSE,"ANEXO3 99 ERA";#N/A,#N/A,FALSE,"ANEXO3 99 UBÁ2";#N/A,#N/A,FALSE,"ANEXO3 99 DTU";#N/A,#N/A,FALSE,"ANEXO3 99 RDR";#N/A,#N/A,FALSE,"ANEXO3 99 UBÁ4";#N/A,#N/A,FALSE,"ANEXO3 99 UBÁ6"}</definedName>
    <definedName name="ABN" localSheetId="20">{#N/A,#N/A,FALSE,"Tabl. FB300";#N/A,#N/A,FALSE,"Tabl. FB350";#N/A,#N/A,FALSE,"Tabl. FB400";#N/A,#N/A,FALSE,"Tabl. FB500";#N/A,#N/A,FALSE,"Tabl. FS090"}</definedName>
    <definedName name="ABN">{#N/A,#N/A,FALSE,"Tabl. FB300";#N/A,#N/A,FALSE,"Tabl. FB350";#N/A,#N/A,FALSE,"Tabl. FB400";#N/A,#N/A,FALSE,"Tabl. FB500";#N/A,#N/A,FALSE,"Tabl. FS090"}</definedName>
    <definedName name="ac" localSheetId="20">{#N/A,#N/A,FALSE,"CONTROLE";#N/A,#N/A,FALSE,"CONTROLE"}</definedName>
    <definedName name="ac">{#N/A,#N/A,FALSE,"CONTROLE";#N/A,#N/A,FALSE,"CONTROLE"}</definedName>
    <definedName name="AccessDatabase">"C:\My Documents\fabio\LAVORO\MAGAZZ.mdb"</definedName>
    <definedName name="ACCOUNT_CHANGE">"ACCOUNT_CHANGE"</definedName>
    <definedName name="ACCOUNTS_PAY">"ACCOUNTS_PAY"</definedName>
    <definedName name="ACCRUED_EXP">"ACCRUED_EXP"</definedName>
    <definedName name="ADD_PAID_IN">"ADD_PAID_IN"</definedName>
    <definedName name="adeletar" localSheetId="20">{"TotalGeralDespesasPorArea",#N/A,FALSE,"VinculosAccessEfetivo"}</definedName>
    <definedName name="adeletar">{"TotalGeralDespesasPorArea",#N/A,FALSE,"VinculosAccessEfetivo"}</definedName>
    <definedName name="adeletar1" localSheetId="20">{"TotalGeralDespesasPorArea",#N/A,FALSE,"VinculosAccessEfetivo"}</definedName>
    <definedName name="adeletar1">{"TotalGeralDespesasPorArea",#N/A,FALSE,"VinculosAccessEfetivo"}</definedName>
    <definedName name="adeletar10" localSheetId="20">{"TotalGeralDespesasPorArea",#N/A,FALSE,"VinculosAccessEfetivo"}</definedName>
    <definedName name="adeletar10">{"TotalGeralDespesasPorArea",#N/A,FALSE,"VinculosAccessEfetivo"}</definedName>
    <definedName name="adeletar2" localSheetId="20">{"TotalGeralDespesasPorArea",#N/A,FALSE,"VinculosAccessEfetivo"}</definedName>
    <definedName name="adeletar2">{"TotalGeralDespesasPorArea",#N/A,FALSE,"VinculosAccessEfetivo"}</definedName>
    <definedName name="adeletar20" localSheetId="20">{"TotalGeralDespesasPorArea",#N/A,FALSE,"VinculosAccessEfetivo"}</definedName>
    <definedName name="adeletar20">{"TotalGeralDespesasPorArea",#N/A,FALSE,"VinculosAccessEfetivo"}</definedName>
    <definedName name="adeletar21" localSheetId="20">{"TotalGeralDespesasPorArea",#N/A,FALSE,"VinculosAccessEfetivo"}</definedName>
    <definedName name="adeletar21">{"TotalGeralDespesasPorArea",#N/A,FALSE,"VinculosAccessEfetivo"}</definedName>
    <definedName name="adeletar4" localSheetId="20">{"TotalGeralDespesasPorArea",#N/A,FALSE,"VinculosAccessEfetivo"}</definedName>
    <definedName name="adeletar4">{"TotalGeralDespesasPorArea",#N/A,FALSE,"VinculosAccessEfetivo"}</definedName>
    <definedName name="adeletar50" localSheetId="20">{"TotalGeralDespesasPorArea",#N/A,FALSE,"VinculosAccessEfetivo"}</definedName>
    <definedName name="adeletar50">{"TotalGeralDespesasPorArea",#N/A,FALSE,"VinculosAccessEfetivo"}</definedName>
    <definedName name="adeletar51" localSheetId="20">{"TotalGeralDespesasPorArea",#N/A,FALSE,"VinculosAccessEfetivo"}</definedName>
    <definedName name="adeletar51">{"TotalGeralDespesasPorArea",#N/A,FALSE,"VinculosAccessEfetivo"}</definedName>
    <definedName name="ADV" localSheetId="20">{#N/A,#N/A,TRUE,"ANALYSE";#N/A,#N/A,TRUE,"PM VOLUME";#N/A,#N/A,TRUE,"PM VALEUR";#N/A,#N/A,TRUE,"AR1";#N/A,#N/A,TRUE,"AR2";#N/A,#N/A,TRUE,"RAF";#N/A,#N/A,TRUE,"BILAN";#N/A,#N/A,TRUE,"CASH FLOW";#N/A,#N/A,TRUE,"ETAT FI"}</definedName>
    <definedName name="ADV">{#N/A,#N/A,TRUE,"ANALYSE";#N/A,#N/A,TRUE,"PM VOLUME";#N/A,#N/A,TRUE,"PM VALEUR";#N/A,#N/A,TRUE,"AR1";#N/A,#N/A,TRUE,"AR2";#N/A,#N/A,TRUE,"RAF";#N/A,#N/A,TRUE,"BILAN";#N/A,#N/A,TRUE,"CASH FLOW";#N/A,#N/A,TRUE,"ETAT FI"}</definedName>
    <definedName name="aesreport2" localSheetId="20">{#N/A,#N/A,FALSE,"Table of content";#N/A,#N/A,FALSE,"Assumptions";#N/A,#N/A,FALSE,"Economy";#N/A,#N/A,FALSE,"Revenue Detail";#N/A,#N/A,FALSE,"Energy fee";#N/A,#N/A,FALSE,"Capacity fee";#N/A,#N/A,FALSE,"Production Income";#N/A,#N/A,FALSE,"Fuel Costs";#N/A,#N/A,FALSE,"O&amp;M Cost";#N/A,#N/A,FALSE,"Profit Loss";#N/A,#N/A,FALSE,"Financing";#N/A,#N/A,FALSE,"Cash Flow";#N/A,#N/A,FALSE,"Sources&amp;Uses";#N/A,#N/A,FALSE,"Balance";#N/A,#N/A,FALSE,"Investment";#N/A,#N/A,FALSE,"Investment Cost";#N/A,#N/A,FALSE,"Investment Financing";#N/A,#N/A,FALSE,"Assets";#N/A,#N/A,FALSE,"IRR"}</definedName>
    <definedName name="aesreport2">{#N/A,#N/A,FALSE,"Table of content";#N/A,#N/A,FALSE,"Assumptions";#N/A,#N/A,FALSE,"Economy";#N/A,#N/A,FALSE,"Revenue Detail";#N/A,#N/A,FALSE,"Energy fee";#N/A,#N/A,FALSE,"Capacity fee";#N/A,#N/A,FALSE,"Production Income";#N/A,#N/A,FALSE,"Fuel Costs";#N/A,#N/A,FALSE,"O&amp;M Cost";#N/A,#N/A,FALSE,"Profit Loss";#N/A,#N/A,FALSE,"Financing";#N/A,#N/A,FALSE,"Cash Flow";#N/A,#N/A,FALSE,"Sources&amp;Uses";#N/A,#N/A,FALSE,"Balance";#N/A,#N/A,FALSE,"Investment";#N/A,#N/A,FALSE,"Investment Cost";#N/A,#N/A,FALSE,"Investment Financing";#N/A,#N/A,FALSE,"Assets";#N/A,#N/A,FALSE,"IRR"}</definedName>
    <definedName name="AFECLKZE" localSheetId="20">{#N/A,#N/A,FALSE,"Tabl. A1";#N/A,#N/A,FALSE,"Tabl. A1 b";#N/A,#N/A,FALSE,"Tabl. A2";#N/A,#N/A,FALSE,"Tabl. A2-1";#N/A,#N/A,FALSE,"Tabl. A2-2"}</definedName>
    <definedName name="AFECLKZE">{#N/A,#N/A,FALSE,"Tabl. A1";#N/A,#N/A,FALSE,"Tabl. A1 b";#N/A,#N/A,FALSE,"Tabl. A2";#N/A,#N/A,FALSE,"Tabl. A2-1";#N/A,#N/A,FALSE,"Tabl. A2-2"}</definedName>
    <definedName name="AFGGF" localSheetId="20">{#N/A,#N/A,FALSE,"Tabl. D1";#N/A,#N/A,FALSE,"Tabl. D1 b";#N/A,#N/A,FALSE,"Tabl. D2";#N/A,#N/A,FALSE,"Tabl. D2 b";#N/A,#N/A,FALSE,"Tabl. D3";#N/A,#N/A,FALSE,"Tabl. D4";#N/A,#N/A,FALSE,"Tabl. D5"}</definedName>
    <definedName name="AFGGF">{#N/A,#N/A,FALSE,"Tabl. D1";#N/A,#N/A,FALSE,"Tabl. D1 b";#N/A,#N/A,FALSE,"Tabl. D2";#N/A,#N/A,FALSE,"Tabl. D2 b";#N/A,#N/A,FALSE,"Tabl. D3";#N/A,#N/A,FALSE,"Tabl. D4";#N/A,#N/A,FALSE,"Tabl. D5"}</definedName>
    <definedName name="Ambiental">_Config!$J$5</definedName>
    <definedName name="AmbientalAmbiental">_Config!$U$16:$U$18</definedName>
    <definedName name="amin1" localSheetId="20">{"'pg(12)'!$B$1:$N$16"}</definedName>
    <definedName name="amin1">{"'pg(12)'!$B$1:$N$16"}</definedName>
    <definedName name="amina" localSheetId="20">{"'pg(12)'!$B$1:$N$16"}</definedName>
    <definedName name="amina">{"'pg(12)'!$B$1:$N$16"}</definedName>
    <definedName name="amina_1" localSheetId="20">{"'pg(12)'!$B$1:$N$16"}</definedName>
    <definedName name="amina_1">{"'pg(12)'!$B$1:$N$16"}</definedName>
    <definedName name="amina_mustafa" localSheetId="20">{"'pg(12)'!$B$1:$N$16"}</definedName>
    <definedName name="amina_mustafa">{"'pg(12)'!$B$1:$N$16"}</definedName>
    <definedName name="amina2" localSheetId="20">{"'pg(12)'!$B$1:$N$16"}</definedName>
    <definedName name="amina2">{"'pg(12)'!$B$1:$N$16"}</definedName>
    <definedName name="AMORTIZATION">"AMORTIZATION"</definedName>
    <definedName name="ana" localSheetId="20">{#N/A,#N/A,TRUE,"EC COMM-t";#N/A,#N/A,TRUE,"EC PAR PDTS-t";#N/A,#N/A,TRUE,"EC MAT-t";#N/A,#N/A,TRUE,"SUIVI HAUSSES-t"}</definedName>
    <definedName name="ana">{#N/A,#N/A,TRUE,"EC COMM-t";#N/A,#N/A,TRUE,"EC PAR PDTS-t";#N/A,#N/A,TRUE,"EC MAT-t";#N/A,#N/A,TRUE,"SUIVI HAUSSES-t"}</definedName>
    <definedName name="annual_report2" localSheetId="20">{"ARPandL",#N/A,FALSE,"Report Annual";"ARCashflow",#N/A,FALSE,"Report Annual";"ARBalanceSheet",#N/A,FALSE,"Report Annual";"ARRatios",#N/A,FALSE,"Report Annual"}</definedName>
    <definedName name="annual_report2">{"ARPandL",#N/A,FALSE,"Report Annual";"ARCashflow",#N/A,FALSE,"Report Annual";"ARBalanceSheet",#N/A,FALSE,"Report Annual";"ARRatios",#N/A,FALSE,"Report Annual"}</definedName>
    <definedName name="anscount">1</definedName>
    <definedName name="aplicação" localSheetId="20">{#N/A,#N/A,FALSE,"CONTROLE"}</definedName>
    <definedName name="aplicação">{#N/A,#N/A,FALSE,"CONTROLE"}</definedName>
    <definedName name="app" localSheetId="20">{"BUTENE1_PR",#N/A,FALSE,"CONS.RAFF2"}</definedName>
    <definedName name="app">{"BUTENE1_PR",#N/A,FALSE,"CONS.RAFF2"}</definedName>
    <definedName name="ARG" localSheetId="20">{#N/A,#N/A,FALSE,"DEA Report";#N/A,#N/A,FALSE,"Veba Report";#N/A,#N/A,FALSE,"Wintershall Report";#N/A,#N/A,FALSE,"Fina Report"}</definedName>
    <definedName name="ARG">{#N/A,#N/A,FALSE,"DEA Report";#N/A,#N/A,FALSE,"Veba Report";#N/A,#N/A,FALSE,"Wintershall Report";#N/A,#N/A,FALSE,"Fina Report"}</definedName>
    <definedName name="ARG_1" localSheetId="20">{#N/A,#N/A,FALSE,"DEA Report";#N/A,#N/A,FALSE,"Veba Report";#N/A,#N/A,FALSE,"Wintershall Report";#N/A,#N/A,FALSE,"Fina Report"}</definedName>
    <definedName name="ARG_1">{#N/A,#N/A,FALSE,"DEA Report";#N/A,#N/A,FALSE,"Veba Report";#N/A,#N/A,FALSE,"Wintershall Report";#N/A,#N/A,FALSE,"Fina Report"}</definedName>
    <definedName name="Arthur" localSheetId="20">{#N/A,#N/A,FALSE,"ANEXO3 99 ERA";#N/A,#N/A,FALSE,"ANEXO3 99 UBÁ2";#N/A,#N/A,FALSE,"ANEXO3 99 DTU";#N/A,#N/A,FALSE,"ANEXO3 99 RDR";#N/A,#N/A,FALSE,"ANEXO3 99 UBÁ4";#N/A,#N/A,FALSE,"ANEXO3 99 UBÁ6"}</definedName>
    <definedName name="Arthur">{#N/A,#N/A,FALSE,"ANEXO3 99 ERA";#N/A,#N/A,FALSE,"ANEXO3 99 UBÁ2";#N/A,#N/A,FALSE,"ANEXO3 99 DTU";#N/A,#N/A,FALSE,"ANEXO3 99 RDR";#N/A,#N/A,FALSE,"ANEXO3 99 UBÁ4";#N/A,#N/A,FALSE,"ANEXO3 99 UBÁ6"}</definedName>
    <definedName name="Arthurer" localSheetId="20">{#N/A,#N/A,FALSE,"ANEXO3 99 ERA";#N/A,#N/A,FALSE,"ANEXO3 99 UBÁ2";#N/A,#N/A,FALSE,"ANEXO3 99 DTU";#N/A,#N/A,FALSE,"ANEXO3 99 RDR";#N/A,#N/A,FALSE,"ANEXO3 99 UBÁ4";#N/A,#N/A,FALSE,"ANEXO3 99 UBÁ6"}</definedName>
    <definedName name="Arthurer">{#N/A,#N/A,FALSE,"ANEXO3 99 ERA";#N/A,#N/A,FALSE,"ANEXO3 99 UBÁ2";#N/A,#N/A,FALSE,"ANEXO3 99 DTU";#N/A,#N/A,FALSE,"ANEXO3 99 RDR";#N/A,#N/A,FALSE,"ANEXO3 99 UBÁ4";#N/A,#N/A,FALSE,"ANEXO3 99 UBÁ6"}</definedName>
    <definedName name="Artrhuet" localSheetId="20">{#N/A,#N/A,FALSE,"ANEXO3 99 ERA";#N/A,#N/A,FALSE,"ANEXO3 99 UBÁ2";#N/A,#N/A,FALSE,"ANEXO3 99 DTU";#N/A,#N/A,FALSE,"ANEXO3 99 RDR";#N/A,#N/A,FALSE,"ANEXO3 99 UBÁ4";#N/A,#N/A,FALSE,"ANEXO3 99 UBÁ6"}</definedName>
    <definedName name="Artrhuet">{#N/A,#N/A,FALSE,"ANEXO3 99 ERA";#N/A,#N/A,FALSE,"ANEXO3 99 UBÁ2";#N/A,#N/A,FALSE,"ANEXO3 99 DTU";#N/A,#N/A,FALSE,"ANEXO3 99 RDR";#N/A,#N/A,FALSE,"ANEXO3 99 UBÁ4";#N/A,#N/A,FALSE,"ANEXO3 99 UBÁ6"}</definedName>
    <definedName name="as" localSheetId="20">{#N/A,#N/A,FALSE,"Table of content";#N/A,#N/A,FALSE,"Assumptions";#N/A,#N/A,FALSE,"Economy";#N/A,#N/A,FALSE,"Revenue Detail";#N/A,#N/A,FALSE,"Energy fee";#N/A,#N/A,FALSE,"Capacity fee";#N/A,#N/A,FALSE,"Production Income";#N/A,#N/A,FALSE,"Fuel Costs";#N/A,#N/A,FALSE,"O&amp;M Cost";#N/A,#N/A,FALSE,"Profit Loss";#N/A,#N/A,FALSE,"Financing";#N/A,#N/A,FALSE,"Cash Flow";#N/A,#N/A,FALSE,"Sources&amp;Uses";#N/A,#N/A,FALSE,"Balance";#N/A,#N/A,FALSE,"Investment";#N/A,#N/A,FALSE,"Investment Cost";#N/A,#N/A,FALSE,"Investment Financing";#N/A,#N/A,FALSE,"Assets";#N/A,#N/A,FALSE,"IRR"}</definedName>
    <definedName name="as">{#N/A,#N/A,FALSE,"Table of content";#N/A,#N/A,FALSE,"Assumptions";#N/A,#N/A,FALSE,"Economy";#N/A,#N/A,FALSE,"Revenue Detail";#N/A,#N/A,FALSE,"Energy fee";#N/A,#N/A,FALSE,"Capacity fee";#N/A,#N/A,FALSE,"Production Income";#N/A,#N/A,FALSE,"Fuel Costs";#N/A,#N/A,FALSE,"O&amp;M Cost";#N/A,#N/A,FALSE,"Profit Loss";#N/A,#N/A,FALSE,"Financing";#N/A,#N/A,FALSE,"Cash Flow";#N/A,#N/A,FALSE,"Sources&amp;Uses";#N/A,#N/A,FALSE,"Balance";#N/A,#N/A,FALSE,"Investment";#N/A,#N/A,FALSE,"Investment Cost";#N/A,#N/A,FALSE,"Investment Financing";#N/A,#N/A,FALSE,"Assets";#N/A,#N/A,FALSE,"IRR"}</definedName>
    <definedName name="AS2DocOpenMode">"AS2DocumentEdit"</definedName>
    <definedName name="AS2DocOpenMode_1">"AS2DocumentBrowse"</definedName>
    <definedName name="AS2ReportLS">1</definedName>
    <definedName name="AS2StaticLS">#REF!</definedName>
    <definedName name="AS2SyncStepLS">0</definedName>
    <definedName name="AS2TickmarkLS">#REF!</definedName>
    <definedName name="AS2VersionLS">300</definedName>
    <definedName name="ASCVBN" localSheetId="20">{#N/A,#N/A,FALSE,"Tabl. D1";#N/A,#N/A,FALSE,"Tabl. D1 b";#N/A,#N/A,FALSE,"Tabl. D2";#N/A,#N/A,FALSE,"Tabl. D2 b";#N/A,#N/A,FALSE,"Tabl. D3";#N/A,#N/A,FALSE,"Tabl. D4";#N/A,#N/A,FALSE,"Tabl. D5"}</definedName>
    <definedName name="ASCVBN">{#N/A,#N/A,FALSE,"Tabl. D1";#N/A,#N/A,FALSE,"Tabl. D1 b";#N/A,#N/A,FALSE,"Tabl. D2";#N/A,#N/A,FALSE,"Tabl. D2 b";#N/A,#N/A,FALSE,"Tabl. D3";#N/A,#N/A,FALSE,"Tabl. D4";#N/A,#N/A,FALSE,"Tabl. D5"}</definedName>
    <definedName name="asd" localSheetId="20">{2;#N/A;"R13C16:R17C16";#N/A;"R13C14:R17C15";FALSE;FALSE;FALSE;95;#N/A;#N/A;"R13C19";#N/A;FALSE;FALSE;FALSE;FALSE;#N/A;"";#N/A;FALSE;"";"";#N/A;#N/A;#N/A}</definedName>
    <definedName name="asd">{2;#N/A;"R13C16:R17C16";#N/A;"R13C14:R17C15";FALSE;FALSE;FALSE;95;#N/A;#N/A;"R13C19";#N/A;FALSE;FALSE;FALSE;FALSE;#N/A;"";#N/A;FALSE;"";"";#N/A;#N/A;#N/A}</definedName>
    <definedName name="asde"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asde">{#N/A,#N/A,TRUE,"Récap.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ASDF" localSheetId="20">{#N/A,#N/A,FALSE,"RIEP"}</definedName>
    <definedName name="ASDF">{#N/A,#N/A,FALSE,"RIEP"}</definedName>
    <definedName name="ass" localSheetId="20">{#N/A,#N/A,TRUE,"UTI"}</definedName>
    <definedName name="ass">{#N/A,#N/A,TRUE,"UTI"}</definedName>
    <definedName name="ASSET_TURNS">"ASSET_TURNS"</definedName>
    <definedName name="aùsw" localSheetId="20">{"SPM1",#N/A,FALSE,"RIEP"}</definedName>
    <definedName name="aùsw">{"SPM1",#N/A,FALSE,"RIEP"}</definedName>
    <definedName name="AXCHUT" localSheetId="20">{#N/A,#N/A,FALSE,"Tabl. H1";#N/A,#N/A,FALSE,"Tabl. H2"}</definedName>
    <definedName name="AXCHUT">{#N/A,#N/A,FALSE,"Tabl. H1";#N/A,#N/A,FALSE,"Tabl. H2"}</definedName>
    <definedName name="AZXC" localSheetId="20">{#N/A,#N/A,FALSE,"Tabl. H1";#N/A,#N/A,FALSE,"Tabl. H2"}</definedName>
    <definedName name="AZXC">{#N/A,#N/A,FALSE,"Tabl. H1";#N/A,#N/A,FALSE,"Tabl. H2"}</definedName>
    <definedName name="BANCO1">#REF!</definedName>
    <definedName name="Barbosa">#REF!</definedName>
    <definedName name="BASIC_EPS_EXCL">"BASIC_EPS_EXCL"</definedName>
    <definedName name="BASIC_EPS_INCL">"BASIC_EPS_INCL"</definedName>
    <definedName name="BASIC_NORMAL_EPS">"BASIC_NORMAL_EPS"</definedName>
    <definedName name="BASIC_WEIGHT">"BASIC_WEIGHT"</definedName>
    <definedName name="Battery">#REF!</definedName>
    <definedName name="bb" localSheetId="20">{#N/A,#N/A,FALSE,"ENERGIA";#N/A,#N/A,FALSE,"PERDIDAS";#N/A,#N/A,FALSE,"CLIENTES";#N/A,#N/A,FALSE,"ESTADO";#N/A,#N/A,FALSE,"TECNICA"}</definedName>
    <definedName name="bb">{#N/A,#N/A,FALSE,"ENERGIA";#N/A,#N/A,FALSE,"PERDIDAS";#N/A,#N/A,FALSE,"CLIENTES";#N/A,#N/A,FALSE,"ESTADO";#N/A,#N/A,FALSE,"TECNICA"}</definedName>
    <definedName name="bb_1" localSheetId="20">{#N/A,#N/A,FALSE,"ENERGIA";#N/A,#N/A,FALSE,"PERDIDAS";#N/A,#N/A,FALSE,"CLIENTES";#N/A,#N/A,FALSE,"ESTADO";#N/A,#N/A,FALSE,"TECNICA"}</definedName>
    <definedName name="bb_1">{#N/A,#N/A,FALSE,"ENERGIA";#N/A,#N/A,FALSE,"PERDIDAS";#N/A,#N/A,FALSE,"CLIENTES";#N/A,#N/A,FALSE,"ESTADO";#N/A,#N/A,FALSE,"TECNICA"}</definedName>
    <definedName name="bbb" localSheetId="20">{#N/A,#N/A,FALSE,"LLAVE";#N/A,#N/A,FALSE,"EERR";#N/A,#N/A,FALSE,"ESP";#N/A,#N/A,FALSE,"EOAF";#N/A,#N/A,FALSE,"CASH";#N/A,#N/A,FALSE,"FINANZAS";#N/A,#N/A,FALSE,"DEUDA";#N/A,#N/A,FALSE,"INVERSION";#N/A,#N/A,FALSE,"PERSONAL"}</definedName>
    <definedName name="bbb">{#N/A,#N/A,FALSE,"LLAVE";#N/A,#N/A,FALSE,"EERR";#N/A,#N/A,FALSE,"ESP";#N/A,#N/A,FALSE,"EOAF";#N/A,#N/A,FALSE,"CASH";#N/A,#N/A,FALSE,"FINANZAS";#N/A,#N/A,FALSE,"DEUDA";#N/A,#N/A,FALSE,"INVERSION";#N/A,#N/A,FALSE,"PERSONAL"}</definedName>
    <definedName name="bbb_1" localSheetId="20">{#N/A,#N/A,FALSE,"LLAVE";#N/A,#N/A,FALSE,"EERR";#N/A,#N/A,FALSE,"ESP";#N/A,#N/A,FALSE,"EOAF";#N/A,#N/A,FALSE,"CASH";#N/A,#N/A,FALSE,"FINANZAS";#N/A,#N/A,FALSE,"DEUDA";#N/A,#N/A,FALSE,"INVERSION";#N/A,#N/A,FALSE,"PERSONAL"}</definedName>
    <definedName name="bbb_1">{#N/A,#N/A,FALSE,"LLAVE";#N/A,#N/A,FALSE,"EERR";#N/A,#N/A,FALSE,"ESP";#N/A,#N/A,FALSE,"EOAF";#N/A,#N/A,FALSE,"CASH";#N/A,#N/A,FALSE,"FINANZAS";#N/A,#N/A,FALSE,"DEUDA";#N/A,#N/A,FALSE,"INVERSION";#N/A,#N/A,FALSE,"PERSONAL"}</definedName>
    <definedName name="BBBBBBBBB" localSheetId="20">{#N/A,#N/A,FALSE,"Tabl. A1";#N/A,#N/A,FALSE,"Tabl. A1 b";#N/A,#N/A,FALSE,"Tabl. A2";#N/A,#N/A,FALSE,"Tabl. A2-1";#N/A,#N/A,FALSE,"Tabl. A2-2"}</definedName>
    <definedName name="BBBBBBBBB">{#N/A,#N/A,FALSE,"Tabl. A1";#N/A,#N/A,FALSE,"Tabl. A1 b";#N/A,#N/A,FALSE,"Tabl. A2";#N/A,#N/A,FALSE,"Tabl. A2-1";#N/A,#N/A,FALSE,"Tabl. A2-2"}</definedName>
    <definedName name="bbbbbbbbbbbbbbbbbbbbbbbbbbbbbbbbb" localSheetId="20">{#N/A,#N/A,FALSE,"LLAVE";#N/A,#N/A,FALSE,"EERR";#N/A,#N/A,FALSE,"ESP";#N/A,#N/A,FALSE,"EOAF";#N/A,#N/A,FALSE,"CASH";#N/A,#N/A,FALSE,"FINANZAS";#N/A,#N/A,FALSE,"DEUDA";#N/A,#N/A,FALSE,"INVERSION";#N/A,#N/A,FALSE,"PERSONAL"}</definedName>
    <definedName name="bbbbbbbbbbbbbbbbbbbbbbbbbbbbbbbbb">{#N/A,#N/A,FALSE,"LLAVE";#N/A,#N/A,FALSE,"EERR";#N/A,#N/A,FALSE,"ESP";#N/A,#N/A,FALSE,"EOAF";#N/A,#N/A,FALSE,"CASH";#N/A,#N/A,FALSE,"FINANZAS";#N/A,#N/A,FALSE,"DEUDA";#N/A,#N/A,FALSE,"INVERSION";#N/A,#N/A,FALSE,"PERSONAL"}</definedName>
    <definedName name="bbbosta" localSheetId="20">{#N/A,#N/A,FALSE,"LLAVE";#N/A,#N/A,FALSE,"EERR";#N/A,#N/A,FALSE,"ESP";#N/A,#N/A,FALSE,"EOAF";#N/A,#N/A,FALSE,"CASH";#N/A,#N/A,FALSE,"FINANZAS";#N/A,#N/A,FALSE,"DEUDA";#N/A,#N/A,FALSE,"INVERSION";#N/A,#N/A,FALSE,"PERSONAL"}</definedName>
    <definedName name="bbbosta">{#N/A,#N/A,FALSE,"LLAVE";#N/A,#N/A,FALSE,"EERR";#N/A,#N/A,FALSE,"ESP";#N/A,#N/A,FALSE,"EOAF";#N/A,#N/A,FALSE,"CASH";#N/A,#N/A,FALSE,"FINANZAS";#N/A,#N/A,FALSE,"DEUDA";#N/A,#N/A,FALSE,"INVERSION";#N/A,#N/A,FALSE,"PERSONAL"}</definedName>
    <definedName name="bbosta" localSheetId="20">{#N/A,#N/A,FALSE,"ENERGIA";#N/A,#N/A,FALSE,"PERDIDAS";#N/A,#N/A,FALSE,"CLIENTES";#N/A,#N/A,FALSE,"ESTADO";#N/A,#N/A,FALSE,"TECNICA"}</definedName>
    <definedName name="bbosta">{#N/A,#N/A,FALSE,"ENERGIA";#N/A,#N/A,FALSE,"PERDIDAS";#N/A,#N/A,FALSE,"CLIENTES";#N/A,#N/A,FALSE,"ESTADO";#N/A,#N/A,FALSE,"TECNICA"}</definedName>
    <definedName name="bc"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bc">{#N/A,#N/A,TRUE,"Récap.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BE" localSheetId="20">{#N/A,#N/A,FALSE,"PRESENT";#N/A,#N/A,FALSE,"INDICE";#N/A,#N/A,FALSE,"DIV_CONS";#N/A,#N/A,FALSE,"DIV_GRUP";#N/A,#N/A,FALSE,"DIV_BIM";#N/A,#N/A,FALSE,"DIV_UMPL";#N/A,#N/A,FALSE,"DIV_BDBAS";#N/A,#N/A,FALSE,"B_SRL";#N/A,#N/A,FALSE,"MQ_SRL"}</definedName>
    <definedName name="BE">{#N/A,#N/A,FALSE,"PRESENT";#N/A,#N/A,FALSE,"INDICE";#N/A,#N/A,FALSE,"DIV_CONS";#N/A,#N/A,FALSE,"DIV_GRUP";#N/A,#N/A,FALSE,"DIV_BIM";#N/A,#N/A,FALSE,"DIV_UMPL";#N/A,#N/A,FALSE,"DIV_BDBAS";#N/A,#N/A,FALSE,"B_SRL";#N/A,#N/A,FALSE,"MQ_SRL"}</definedName>
    <definedName name="BG_Del">15</definedName>
    <definedName name="BG_Ins">4</definedName>
    <definedName name="BG_Mod">6</definedName>
    <definedName name="bil" localSheetId="20">{#N/A,#N/A,FALSE,"Tabl. D1";#N/A,#N/A,FALSE,"Tabl. D1 b";#N/A,#N/A,FALSE,"Tabl. D2";#N/A,#N/A,FALSE,"Tabl. D2 b";#N/A,#N/A,FALSE,"Tabl. D3";#N/A,#N/A,FALSE,"Tabl. D4";#N/A,#N/A,FALSE,"Tabl. D5"}</definedName>
    <definedName name="bil">{#N/A,#N/A,FALSE,"Tabl. D1";#N/A,#N/A,FALSE,"Tabl. D1 b";#N/A,#N/A,FALSE,"Tabl. D2";#N/A,#N/A,FALSE,"Tabl. D2 b";#N/A,#N/A,FALSE,"Tabl. D3";#N/A,#N/A,FALSE,"Tabl. D4";#N/A,#N/A,FALSE,"Tabl. D5"}</definedName>
    <definedName name="blabla" localSheetId="20">{#N/A,#N/A,FALSE,"Tabl. H1";#N/A,#N/A,FALSE,"Tabl. H2"}</definedName>
    <definedName name="blabla">{#N/A,#N/A,FALSE,"Tabl. H1";#N/A,#N/A,FALSE,"Tabl. H2"}</definedName>
    <definedName name="BLPH1">#REF!</definedName>
    <definedName name="BLPH10">#REF!</definedName>
    <definedName name="BLPH11">#REF!</definedName>
    <definedName name="BLPH12">#REF!</definedName>
    <definedName name="BLPH13">#REF!</definedName>
    <definedName name="BLPH14">#REF!</definedName>
    <definedName name="BLPH15">#REF!</definedName>
    <definedName name="BLPH16">#REF!</definedName>
    <definedName name="BLPH17">#REF!</definedName>
    <definedName name="BLPH18">#REF!</definedName>
    <definedName name="BLPH19">#REF!</definedName>
    <definedName name="BLPH2">#REF!</definedName>
    <definedName name="BLPH20">#REF!</definedName>
    <definedName name="BLPH21">#REF!</definedName>
    <definedName name="BLPH22">#REF!</definedName>
    <definedName name="BLPH23">#REF!</definedName>
    <definedName name="BLPH3">#REF!</definedName>
    <definedName name="BLPH4">#REF!</definedName>
    <definedName name="BLPH5">#REF!</definedName>
    <definedName name="BLPH6">#REF!</definedName>
    <definedName name="BLPH7">#REF!</definedName>
    <definedName name="BLPH8">#REF!</definedName>
    <definedName name="BLPH9">#REF!</definedName>
    <definedName name="bnnn" localSheetId="20">{"consolidated",#N/A,FALSE,"Sheet1";"cms",#N/A,FALSE,"Sheet1";"fse",#N/A,FALSE,"Sheet1"}</definedName>
    <definedName name="bnnn">{"consolidated",#N/A,FALSE,"Sheet1";"cms",#N/A,FALSE,"Sheet1";"fse",#N/A,FALSE,"Sheet1"}</definedName>
    <definedName name="booby" localSheetId="20">{#N/A,#N/A,TRUE,"TOTAL DISTRIBUTION";#N/A,#N/A,TRUE,"SOUTH";#N/A,#N/A,TRUE,"NORTHEAST";#N/A,#N/A,TRUE,"WEST"}</definedName>
    <definedName name="booby">{#N/A,#N/A,TRUE,"TOTAL DISTRIBUTION";#N/A,#N/A,TRUE,"SOUTH";#N/A,#N/A,TRUE,"NORTHEAST";#N/A,#N/A,TRUE,"WEST"}</definedName>
    <definedName name="booby2" localSheetId="20">{#N/A,#N/A,TRUE,"TOTAL DSBN";#N/A,#N/A,TRUE,"WEST";#N/A,#N/A,TRUE,"SOUTH";#N/A,#N/A,TRUE,"NORTHEAST"}</definedName>
    <definedName name="booby2">{#N/A,#N/A,TRUE,"TOTAL DSBN";#N/A,#N/A,TRUE,"WEST";#N/A,#N/A,TRUE,"SOUTH";#N/A,#N/A,TRUE,"NORTHEAST"}</definedName>
    <definedName name="BOOK_VALUE">"BOOK_VALUE"</definedName>
    <definedName name="bosta" localSheetId="20">{#N/A,#N/A,FALSE,"LLAVE";#N/A,#N/A,FALSE,"EERR";#N/A,#N/A,FALSE,"ESP";#N/A,#N/A,FALSE,"EOAF";#N/A,#N/A,FALSE,"CASH";#N/A,#N/A,FALSE,"FINANZAS";#N/A,#N/A,FALSE,"DEUDA";#N/A,#N/A,FALSE,"INVERSION";#N/A,#N/A,FALSE,"PERSONAL"}</definedName>
    <definedName name="bosta">{#N/A,#N/A,FALSE,"LLAVE";#N/A,#N/A,FALSE,"EERR";#N/A,#N/A,FALSE,"ESP";#N/A,#N/A,FALSE,"EOAF";#N/A,#N/A,FALSE,"CASH";#N/A,#N/A,FALSE,"FINANZAS";#N/A,#N/A,FALSE,"DEUDA";#N/A,#N/A,FALSE,"INVERSION";#N/A,#N/A,FALSE,"PERSONAL"}</definedName>
    <definedName name="boston" localSheetId="20">{"TotalGeralDespesasPorArea",#N/A,FALSE,"VinculosAccessEfetivo"}</definedName>
    <definedName name="boston">{"TotalGeralDespesasPorArea",#N/A,FALSE,"VinculosAccessEfetivo"}</definedName>
    <definedName name="boston1" localSheetId="20">{"TotalGeralDespesasPorArea",#N/A,FALSE,"VinculosAccessEfetivo"}</definedName>
    <definedName name="boston1">{"TotalGeralDespesasPorArea",#N/A,FALSE,"VinculosAccessEfetivo"}</definedName>
    <definedName name="brtbbbr" localSheetId="20">{#N/A,#N/A,FALSE,"RIEP"}</definedName>
    <definedName name="brtbbbr">{#N/A,#N/A,FALSE,"RIEP"}</definedName>
    <definedName name="BSIWhichPageSetup">1</definedName>
    <definedName name="BSIWhichPageSetup_0">"0þ"</definedName>
    <definedName name="BTOI" localSheetId="20">{#N/A,#N/A,FALSE,"Tabl. FB300";#N/A,#N/A,FALSE,"Tabl. FB350";#N/A,#N/A,FALSE,"Tabl. FB400";#N/A,#N/A,FALSE,"Tabl. FB500";#N/A,#N/A,FALSE,"Tabl. FS090"}</definedName>
    <definedName name="BTOI">{#N/A,#N/A,FALSE,"Tabl. FB300";#N/A,#N/A,FALSE,"Tabl. FB350";#N/A,#N/A,FALSE,"Tabl. FB400";#N/A,#N/A,FALSE,"Tabl. FB500";#N/A,#N/A,FALSE,"Tabl. FS090"}</definedName>
    <definedName name="btrbebt" localSheetId="20">{"QQQ",#N/A,FALSE,"RIEP"}</definedName>
    <definedName name="btrbebt">{"QQQ",#N/A,FALSE,"RIEP"}</definedName>
    <definedName name="btyebt" localSheetId="20">{#N/A,#N/A,FALSE,"Tabl. FB300";#N/A,#N/A,FALSE,"Tabl. FB350";#N/A,#N/A,FALSE,"Tabl. FB400";#N/A,#N/A,FALSE,"Tabl. FB500";#N/A,#N/A,FALSE,"Tabl. FS090"}</definedName>
    <definedName name="btyebt">{#N/A,#N/A,FALSE,"Tabl. FB300";#N/A,#N/A,FALSE,"Tabl. FB350";#N/A,#N/A,FALSE,"Tabl. FB400";#N/A,#N/A,FALSE,"Tabl. FB500";#N/A,#N/A,FALSE,"Tabl. FS090"}</definedName>
    <definedName name="bud" localSheetId="20">{"summary",#N/A,FALSE,"PCR DIRECTORY"}</definedName>
    <definedName name="bud">{"summary",#N/A,FALSE,"PCR DIRECTORY"}</definedName>
    <definedName name="BV_OVER_SHARES">"BV_OVER_SHARES"</definedName>
    <definedName name="bvcx" localSheetId="20">{#N/A,#N/A,FALSE,"Baltimore";#N/A,#N/A,FALSE,"Barrington";#N/A,#N/A,FALSE,"Butler";#N/A,#N/A,FALSE,"Cleveland";#N/A,#N/A,FALSE,"Closter";#N/A,#N/A,FALSE,"Eaton";#N/A,#N/A,FALSE,"Meriden";#N/A,#N/A,FALSE,"Mt. Vernon";#N/A,#N/A,FALSE,"Rochester";#N/A,#N/A,FALSE,"Three Rivers";#N/A,#N/A,FALSE,"Warren"}</definedName>
    <definedName name="bvcx">{#N/A,#N/A,FALSE,"Baltimore";#N/A,#N/A,FALSE,"Barrington";#N/A,#N/A,FALSE,"Butler";#N/A,#N/A,FALSE,"Cleveland";#N/A,#N/A,FALSE,"Closter";#N/A,#N/A,FALSE,"Eaton";#N/A,#N/A,FALSE,"Meriden";#N/A,#N/A,FALSE,"Mt. Vernon";#N/A,#N/A,FALSE,"Rochester";#N/A,#N/A,FALSE,"Three Rivers";#N/A,#N/A,FALSE,"Warren"}</definedName>
    <definedName name="bx" localSheetId="20">{#N/A,#N/A,FALSE,"LLAVE";#N/A,#N/A,FALSE,"EERR";#N/A,#N/A,FALSE,"ESP";#N/A,#N/A,FALSE,"EOAF";#N/A,#N/A,FALSE,"CASH";#N/A,#N/A,FALSE,"FINANZAS";#N/A,#N/A,FALSE,"DEUDA";#N/A,#N/A,FALSE,"INVERSION";#N/A,#N/A,FALSE,"PERSONAL"}</definedName>
    <definedName name="bx">{#N/A,#N/A,FALSE,"LLAVE";#N/A,#N/A,FALSE,"EERR";#N/A,#N/A,FALSE,"ESP";#N/A,#N/A,FALSE,"EOAF";#N/A,#N/A,FALSE,"CASH";#N/A,#N/A,FALSE,"FINANZAS";#N/A,#N/A,FALSE,"DEUDA";#N/A,#N/A,FALSE,"INVERSION";#N/A,#N/A,FALSE,"PERSONAL"}</definedName>
    <definedName name="bx_1" localSheetId="20">{#N/A,#N/A,FALSE,"LLAVE";#N/A,#N/A,FALSE,"EERR";#N/A,#N/A,FALSE,"ESP";#N/A,#N/A,FALSE,"EOAF";#N/A,#N/A,FALSE,"CASH";#N/A,#N/A,FALSE,"FINANZAS";#N/A,#N/A,FALSE,"DEUDA";#N/A,#N/A,FALSE,"INVERSION";#N/A,#N/A,FALSE,"PERSONAL"}</definedName>
    <definedName name="bx_1">{#N/A,#N/A,FALSE,"LLAVE";#N/A,#N/A,FALSE,"EERR";#N/A,#N/A,FALSE,"ESP";#N/A,#N/A,FALSE,"EOAF";#N/A,#N/A,FALSE,"CASH";#N/A,#N/A,FALSE,"FINANZAS";#N/A,#N/A,FALSE,"DEUDA";#N/A,#N/A,FALSE,"INVERSION";#N/A,#N/A,FALSE,"PERSONAL"}</definedName>
    <definedName name="byikbyuj" localSheetId="20">{"SPM1",#N/A,FALSE,"RIEP"}</definedName>
    <definedName name="byikbyuj">{"SPM1",#N/A,FALSE,"RIEP"}</definedName>
    <definedName name="byubtyuj" localSheetId="20">{"QQQ",#N/A,FALSE,"RIEP"}</definedName>
    <definedName name="byubtyuj">{"QQQ",#N/A,FALSE,"RIEP"}</definedName>
    <definedName name="byukkty" localSheetId="20">{#N/A,#N/A,FALSE,"RIEP"}</definedName>
    <definedName name="byukkty">{#N/A,#N/A,FALSE,"RIEP"}</definedName>
    <definedName name="byuku" localSheetId="20">{#N/A,#N/A,FALSE,"RIEP"}</definedName>
    <definedName name="byuku">{#N/A,#N/A,FALSE,"RIEP"}</definedName>
    <definedName name="CA" localSheetId="20">{"'Hoja1'!$A$1:$N$27"}</definedName>
    <definedName name="CA">{"'Hoja1'!$A$1:$N$27"}</definedName>
    <definedName name="cac" localSheetId="20">{#N/A,#N/A,TRUE,"covmen";#N/A,#N/A,TRUE,"ECORID";#N/A,#N/A,TRUE,"ECOTRA";#N/A,#N/A,TRUE,"ECOTOT";#N/A,#N/A,TRUE,"FATSOC";#N/A,#N/A,TRUE,"FATDIV";#N/A,#N/A,TRUE,"FATGEO";#N/A,#N/A,TRUE,"ORDINI";#N/A,#N/A,TRUE,"TESORI";#N/A,#N/A,TRUE,"RENDFIN"}</definedName>
    <definedName name="cac">{#N/A,#N/A,TRUE,"covmen";#N/A,#N/A,TRUE,"ECORID";#N/A,#N/A,TRUE,"ECOTRA";#N/A,#N/A,TRUE,"ECOTOT";#N/A,#N/A,TRUE,"FATSOC";#N/A,#N/A,TRUE,"FATDIV";#N/A,#N/A,TRUE,"FATGEO";#N/A,#N/A,TRUE,"ORDINI";#N/A,#N/A,TRUE,"TESORI";#N/A,#N/A,TRUE,"RENDFIN"}</definedName>
    <definedName name="caino" localSheetId="20">{"CECons",#N/A,FALSE,"CE"}</definedName>
    <definedName name="caino">{"CECons",#N/A,FALSE,"CE"}</definedName>
    <definedName name="CAIO" localSheetId="20">{"CECons",#N/A,FALSE,"CE"}</definedName>
    <definedName name="CAIO">{"CECons",#N/A,FALSE,"CE"}</definedName>
    <definedName name="calculations2" localSheetId="20">{"Calc 1",#N/A,FALSE,"CAL";"Calc 2",#N/A,FALSE,"CAL";"Calc 3",#N/A,FALSE,"CAL";"Calc 4",#N/A,FALSE,"CAL";"Calc 5",#N/A,FALSE,"CAL";"Calc 6",#N/A,FALSE,"CAL";"Calc 7",#N/A,FALSE,"CAL";"Calc 8",#N/A,FALSE,"CAL";"Calc 9",#N/A,FALSE,"CAL";"Calc 10",#N/A,FALSE,"CAL";"Calc 11",#N/A,FALSE,"CAL";"Calc 12",#N/A,FALSE,"CAL";"Calc 13",#N/A,FALSE,"CAL";"Calc 14",#N/A,FALSE,"CAL";"Calc 15",#N/A,FALSE,"CAL";"Calc 16",#N/A,FALSE,"CAL";"Calc 17",#N/A,FALSE,"CAL";"Calc 18",#N/A,FALSE,"CAL"}</definedName>
    <definedName name="calculations2">{"Calc 1",#N/A,FALSE,"CAL";"Calc 2",#N/A,FALSE,"CAL";"Calc 3",#N/A,FALSE,"CAL";"Calc 4",#N/A,FALSE,"CAL";"Calc 5",#N/A,FALSE,"CAL";"Calc 6",#N/A,FALSE,"CAL";"Calc 7",#N/A,FALSE,"CAL";"Calc 8",#N/A,FALSE,"CAL";"Calc 9",#N/A,FALSE,"CAL";"Calc 10",#N/A,FALSE,"CAL";"Calc 11",#N/A,FALSE,"CAL";"Calc 12",#N/A,FALSE,"CAL";"Calc 13",#N/A,FALSE,"CAL";"Calc 14",#N/A,FALSE,"CAL";"Calc 15",#N/A,FALSE,"CAL";"Calc 16",#N/A,FALSE,"CAL";"Calc 17",#N/A,FALSE,"CAL";"Calc 18",#N/A,FALSE,"CAL"}</definedName>
    <definedName name="capa" localSheetId="20">{#N/A,#N/A,FALSE,"CONTROLE"}</definedName>
    <definedName name="capa">{#N/A,#N/A,FALSE,"CONTROLE"}</definedName>
    <definedName name="capa2" localSheetId="20">{"TotalGeralDespesasPorArea",#N/A,FALSE,"VinculosAccessEfetivo"}</definedName>
    <definedName name="capa2">{"TotalGeralDespesasPorArea",#N/A,FALSE,"VinculosAccessEfetivo"}</definedName>
    <definedName name="capaci" localSheetId="20">{"'Hoja1'!$A$1:$N$27"}</definedName>
    <definedName name="capaci">{"'Hoja1'!$A$1:$N$27"}</definedName>
    <definedName name="capacidad1" localSheetId="20">{"'Hoja1'!$A$1:$N$27"}</definedName>
    <definedName name="capacidad1">{"'Hoja1'!$A$1:$N$27"}</definedName>
    <definedName name="CAPITAL_EXPEN">"CAPITAL_EXPEN"</definedName>
    <definedName name="CAPITAL_LEASE">"CAPITAL_LEASE"</definedName>
    <definedName name="CASH_DUE_BANKS">"CASH_DUE_BANKS"</definedName>
    <definedName name="CASH_EQUIV">"CASH_EQUIV"</definedName>
    <definedName name="CASH_INTEREST">"CASH_INTEREST"</definedName>
    <definedName name="CASH_ST">"CASH_ST"</definedName>
    <definedName name="CASH_TAXES">"CASH_TAXES"</definedName>
    <definedName name="CBWorkbookPriority">-988078685</definedName>
    <definedName name="CC" localSheetId="20">{#N/A,#N/A,FALSE,"CONTROLE"}</definedName>
    <definedName name="CC">{#N/A,#N/A,FALSE,"CONTROLE"}</definedName>
    <definedName name="çç"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çç">{#N/A,#N/A,TRUE,"Récap.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CCC" localSheetId="20">{#N/A,#N/A,FALSE,"CONTROLE"}</definedName>
    <definedName name="CCC">{#N/A,#N/A,FALSE,"CONTROLE"}</definedName>
    <definedName name="cccc" localSheetId="20">{"SPM1",#N/A,FALSE,"RIEP"}</definedName>
    <definedName name="cccc">{"SPM1",#N/A,FALSE,"RIEP"}</definedName>
    <definedName name="ÇÇÇÇ"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ÇÇÇÇ">{#N/A,#N/A,TRUE,"Récap.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cccc1" localSheetId="20">{#N/A,#N/A,FALSE,"CONTROLE"}</definedName>
    <definedName name="cccc1">{#N/A,#N/A,FALSE,"CONTROLE"}</definedName>
    <definedName name="çççç1"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çççç1">{#N/A,#N/A,TRUE,"Récap.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CCSFDFRDF" localSheetId="20">{"SPM1",#N/A,FALSE,"RIEP"}</definedName>
    <definedName name="CCSFDFRDF">{"SPM1",#N/A,FALSE,"RIEP"}</definedName>
    <definedName name="CD" localSheetId="20">{#N/A,#N/A,FALSE,"LLAVE";#N/A,#N/A,FALSE,"EERR";#N/A,#N/A,FALSE,"ESP";#N/A,#N/A,FALSE,"EOAF";#N/A,#N/A,FALSE,"CASH";#N/A,#N/A,FALSE,"FINANZAS";#N/A,#N/A,FALSE,"DEUDA";#N/A,#N/A,FALSE,"INVERSION";#N/A,#N/A,FALSE,"PERSONAL"}</definedName>
    <definedName name="CD">{#N/A,#N/A,FALSE,"LLAVE";#N/A,#N/A,FALSE,"EERR";#N/A,#N/A,FALSE,"ESP";#N/A,#N/A,FALSE,"EOAF";#N/A,#N/A,FALSE,"CASH";#N/A,#N/A,FALSE,"FINANZAS";#N/A,#N/A,FALSE,"DEUDA";#N/A,#N/A,FALSE,"INVERSION";#N/A,#N/A,FALSE,"PERSONAL"}</definedName>
    <definedName name="cd_1"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cd_1">{#N/A,#N/A,TRUE,"Récap.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cdf" localSheetId="20">{"SPM1",#N/A,FALSE,"RIEP"}</definedName>
    <definedName name="cdf">{"SPM1",#N/A,FALSE,"RIEP"}</definedName>
    <definedName name="CDVF" localSheetId="20">{"SPM1",#N/A,FALSE,"RIEP"}</definedName>
    <definedName name="CDVF">{"SPM1",#N/A,FALSE,"RIEP"}</definedName>
    <definedName name="cdx" localSheetId="20">{#N/A,#N/A,FALSE,"LLAVE";#N/A,#N/A,FALSE,"EERR";#N/A,#N/A,FALSE,"ESP";#N/A,#N/A,FALSE,"EOAF";#N/A,#N/A,FALSE,"CASH";#N/A,#N/A,FALSE,"FINANZAS";#N/A,#N/A,FALSE,"DEUDA";#N/A,#N/A,FALSE,"INVERSION";#N/A,#N/A,FALSE,"PERSONAL"}</definedName>
    <definedName name="cdx">{#N/A,#N/A,FALSE,"LLAVE";#N/A,#N/A,FALSE,"EERR";#N/A,#N/A,FALSE,"ESP";#N/A,#N/A,FALSE,"EOAF";#N/A,#N/A,FALSE,"CASH";#N/A,#N/A,FALSE,"FINANZAS";#N/A,#N/A,FALSE,"DEUDA";#N/A,#N/A,FALSE,"INVERSION";#N/A,#N/A,FALSE,"PERSONAL"}</definedName>
    <definedName name="cdx_1" localSheetId="20">{#N/A,#N/A,FALSE,"LLAVE";#N/A,#N/A,FALSE,"EERR";#N/A,#N/A,FALSE,"ESP";#N/A,#N/A,FALSE,"EOAF";#N/A,#N/A,FALSE,"CASH";#N/A,#N/A,FALSE,"FINANZAS";#N/A,#N/A,FALSE,"DEUDA";#N/A,#N/A,FALSE,"INVERSION";#N/A,#N/A,FALSE,"PERSONAL"}</definedName>
    <definedName name="cdx_1">{#N/A,#N/A,FALSE,"LLAVE";#N/A,#N/A,FALSE,"EERR";#N/A,#N/A,FALSE,"ESP";#N/A,#N/A,FALSE,"EOAF";#N/A,#N/A,FALSE,"CASH";#N/A,#N/A,FALSE,"FINANZAS";#N/A,#N/A,FALSE,"DEUDA";#N/A,#N/A,FALSE,"INVERSION";#N/A,#N/A,FALSE,"PERSONAL"}</definedName>
    <definedName name="celine" localSheetId="20">{#N/A,#N/A,FALSE,"Tabl. G1";#N/A,#N/A,FALSE,"Tabl. G2"}</definedName>
    <definedName name="celine">{#N/A,#N/A,FALSE,"Tabl. G1";#N/A,#N/A,FALSE,"Tabl. G2"}</definedName>
    <definedName name="cgico" localSheetId="20">{#N/A,#N/A,FALSE,"CONTROLE"}</definedName>
    <definedName name="cgico">{#N/A,#N/A,FALSE,"CONTROLE"}</definedName>
    <definedName name="ChangeRange">#N/A</definedName>
    <definedName name="CHANGES_WORK_CAP">"CHANGES_WORK_CAP"</definedName>
    <definedName name="Chico" localSheetId="20">{#N/A,#N/A,FALSE,"CONTROLE"}</definedName>
    <definedName name="Chico">{#N/A,#N/A,FALSE,"CONTROLE"}</definedName>
    <definedName name="Chico_" localSheetId="20">{#N/A,#N/A,FALSE,"CONTROLE"}</definedName>
    <definedName name="Chico_">{#N/A,#N/A,FALSE,"CONTROLE"}</definedName>
    <definedName name="Chico__" localSheetId="20">{#N/A,#N/A,FALSE,"CONTROLE"}</definedName>
    <definedName name="Chico__">{#N/A,#N/A,FALSE,"CONTROLE"}</definedName>
    <definedName name="Chico___" localSheetId="20">{#N/A,#N/A,FALSE,"CONTROLE";#N/A,#N/A,FALSE,"CONTROLE"}</definedName>
    <definedName name="Chico___">{#N/A,#N/A,FALSE,"CONTROLE";#N/A,#N/A,FALSE,"CONTROLE"}</definedName>
    <definedName name="CIQWBGuid">"6b5d2087-5424-4cc4-80cc-1310d94ce940"</definedName>
    <definedName name="CIQWBInfo">"{ ""CIQVersion"":""9.49.2423.4439"" }"</definedName>
    <definedName name="CITY">"CITY"</definedName>
    <definedName name="Clau" localSheetId="20">{#N/A,#N/A,FALSE,"CONTROLE"}</definedName>
    <definedName name="Clau">{#N/A,#N/A,FALSE,"CONTROLE"}</definedName>
    <definedName name="Claudi" localSheetId="20">{#N/A,#N/A,FALSE,"CONTROLE"}</definedName>
    <definedName name="Claudi">{#N/A,#N/A,FALSE,"CONTROLE"}</definedName>
    <definedName name="Claudia">#REF!</definedName>
    <definedName name="COMMON_STOCK">"COMMON_STOCK"</definedName>
    <definedName name="comp.SP.pag.4.PIRA" localSheetId="20">{#N/A,#N/A,FALSE,"CONTROLE";#N/A,#N/A,FALSE,"CONTROLE"}</definedName>
    <definedName name="comp.SP.pag.4.PIRA">{#N/A,#N/A,FALSE,"CONTROLE";#N/A,#N/A,FALSE,"CONTROLE"}</definedName>
    <definedName name="COMPANY_ADDRESS">"COMPANY_ADDRESS"</definedName>
    <definedName name="COMPANY_NAME">"COMPANY_NAME"</definedName>
    <definedName name="COMPANY_PHONE">"COMPANY_PHONE"</definedName>
    <definedName name="COMPANY_STREET1">"COMPANY_STREET1"</definedName>
    <definedName name="COMPANY_STREET2">"COMPANY_STREET2"</definedName>
    <definedName name="COMPANY_TICKER">"COMPANY_TICKER"</definedName>
    <definedName name="COMPANY_WEBSITE">"COMPANY_WEBSITE"</definedName>
    <definedName name="COMPANY_ZIP">"COMPANY_ZIP"</definedName>
    <definedName name="conjunto" localSheetId="20">{#N/A,#N/A,FALSE,"ANEXO3 99 ERA";#N/A,#N/A,FALSE,"ANEXO3 99 UBÁ2";#N/A,#N/A,FALSE,"ANEXO3 99 DTU";#N/A,#N/A,FALSE,"ANEXO3 99 RDR";#N/A,#N/A,FALSE,"ANEXO3 99 UBÁ4";#N/A,#N/A,FALSE,"ANEXO3 99 UBÁ6"}</definedName>
    <definedName name="conjunto">{#N/A,#N/A,FALSE,"ANEXO3 99 ERA";#N/A,#N/A,FALSE,"ANEXO3 99 UBÁ2";#N/A,#N/A,FALSE,"ANEXO3 99 DTU";#N/A,#N/A,FALSE,"ANEXO3 99 RDR";#N/A,#N/A,FALSE,"ANEXO3 99 UBÁ4";#N/A,#N/A,FALSE,"ANEXO3 99 UBÁ6"}</definedName>
    <definedName name="Consol." localSheetId="20">{#N/A,#N/A,FALSE,"CONTROLE"}</definedName>
    <definedName name="Consol.">{#N/A,#N/A,FALSE,"CONTROLE"}</definedName>
    <definedName name="consol.1" localSheetId="20">{#N/A,#N/A,FALSE,"CONTROLE"}</definedName>
    <definedName name="consol.1">{#N/A,#N/A,FALSE,"CONTROLE"}</definedName>
    <definedName name="COPEN" localSheetId="20">{"margo-03",#N/A,FALSE,"RGR 2003";"margo-02",#N/A,FALSE,"RGR 2003";"margo-01",#N/A,FALSE,"RGR 2003"}</definedName>
    <definedName name="COPEN">{"margo-03",#N/A,FALSE,"RGR 2003";"margo-02",#N/A,FALSE,"RGR 2003";"margo-01",#N/A,FALSE,"RGR 2003"}</definedName>
    <definedName name="COPIA" localSheetId="20">{#N/A,#N/A,FALSE,"CONTROLE"}</definedName>
    <definedName name="COPIA">{#N/A,#N/A,FALSE,"CONTROLE"}</definedName>
    <definedName name="COPIA1" localSheetId="20">{#N/A,#N/A,FALSE,"CONTROLE"}</definedName>
    <definedName name="COPIA1">{#N/A,#N/A,FALSE,"CONTROLE"}</definedName>
    <definedName name="copie" localSheetId="20">{#N/A,#N/A,TRUE,"ANALYSE";#N/A,#N/A,TRUE,"PM VOLUME";#N/A,#N/A,TRUE,"PM VALEUR";#N/A,#N/A,TRUE,"AR1";#N/A,#N/A,TRUE,"AR2";#N/A,#N/A,TRUE,"RAF";#N/A,#N/A,TRUE,"BILAN";#N/A,#N/A,TRUE,"CASH FLOW";#N/A,#N/A,TRUE,"ETAT FI"}</definedName>
    <definedName name="copie">{#N/A,#N/A,TRUE,"ANALYSE";#N/A,#N/A,TRUE,"PM VOLUME";#N/A,#N/A,TRUE,"PM VALEUR";#N/A,#N/A,TRUE,"AR1";#N/A,#N/A,TRUE,"AR2";#N/A,#N/A,TRUE,"RAF";#N/A,#N/A,TRUE,"BILAN";#N/A,#N/A,TRUE,"CASH FLOW";#N/A,#N/A,TRUE,"ETAT FI"}</definedName>
    <definedName name="Corporativo">_Config!$F$24:$F$27</definedName>
    <definedName name="COST_REVENUE">"COST_REVENUE"</definedName>
    <definedName name="costos" localSheetId="20">{"'Hoja1'!$A$1:$N$27"}</definedName>
    <definedName name="costos">{"'Hoja1'!$A$1:$N$27"}</definedName>
    <definedName name="COUNTRY_NAME">"COUNTRY_NAME"</definedName>
    <definedName name="çp" localSheetId="20">{"TotalGeralDespesasPorArea",#N/A,FALSE,"VinculosAccessEfetivo"}</definedName>
    <definedName name="çp">{"TotalGeralDespesasPorArea",#N/A,FALSE,"VinculosAccessEfetivo"}</definedName>
    <definedName name="crema">#REF!</definedName>
    <definedName name="CREMA_1">#REF!</definedName>
    <definedName name="CREMA_2">#REF!</definedName>
    <definedName name="CRM" localSheetId="20">{#N/A,#N/A,FALSE,"ANEXO3 99 ERA";#N/A,#N/A,FALSE,"ANEXO3 99 UBÁ2";#N/A,#N/A,FALSE,"ANEXO3 99 DTU";#N/A,#N/A,FALSE,"ANEXO3 99 RDR";#N/A,#N/A,FALSE,"ANEXO3 99 UBÁ4";#N/A,#N/A,FALSE,"ANEXO3 99 UBÁ6"}</definedName>
    <definedName name="CRM">{#N/A,#N/A,FALSE,"ANEXO3 99 ERA";#N/A,#N/A,FALSE,"ANEXO3 99 UBÁ2";#N/A,#N/A,FALSE,"ANEXO3 99 DTU";#N/A,#N/A,FALSE,"ANEXO3 99 RDR";#N/A,#N/A,FALSE,"ANEXO3 99 UBÁ4";#N/A,#N/A,FALSE,"ANEXO3 99 UBÁ6"}</definedName>
    <definedName name="CRM3.1" localSheetId="20">{#N/A,#N/A,FALSE,"ANEXO3 99 ERA";#N/A,#N/A,FALSE,"ANEXO3 99 UBÁ2";#N/A,#N/A,FALSE,"ANEXO3 99 DTU";#N/A,#N/A,FALSE,"ANEXO3 99 RDR";#N/A,#N/A,FALSE,"ANEXO3 99 UBÁ4";#N/A,#N/A,FALSE,"ANEXO3 99 UBÁ6"}</definedName>
    <definedName name="CRM3.1">{#N/A,#N/A,FALSE,"ANEXO3 99 ERA";#N/A,#N/A,FALSE,"ANEXO3 99 UBÁ2";#N/A,#N/A,FALSE,"ANEXO3 99 DTU";#N/A,#N/A,FALSE,"ANEXO3 99 RDR";#N/A,#N/A,FALSE,"ANEXO3 99 UBÁ4";#N/A,#N/A,FALSE,"ANEXO3 99 UBÁ6"}</definedName>
    <definedName name="CronogramadeExecução2003" localSheetId="20">{#N/A,#N/A,FALSE,"ANEXO3 99 ERA";#N/A,#N/A,FALSE,"ANEXO3 99 UBÁ2";#N/A,#N/A,FALSE,"ANEXO3 99 DTU";#N/A,#N/A,FALSE,"ANEXO3 99 RDR";#N/A,#N/A,FALSE,"ANEXO3 99 UBÁ4";#N/A,#N/A,FALSE,"ANEXO3 99 UBÁ6"}</definedName>
    <definedName name="CronogramadeExecução2003">{#N/A,#N/A,FALSE,"ANEXO3 99 ERA";#N/A,#N/A,FALSE,"ANEXO3 99 UBÁ2";#N/A,#N/A,FALSE,"ANEXO3 99 DTU";#N/A,#N/A,FALSE,"ANEXO3 99 RDR";#N/A,#N/A,FALSE,"ANEXO3 99 UBÁ4";#N/A,#N/A,FALSE,"ANEXO3 99 UBÁ6"}</definedName>
    <definedName name="CronogramadeExecuçãp2003" localSheetId="20">{#N/A,#N/A,FALSE,"ANEXO3 99 ERA";#N/A,#N/A,FALSE,"ANEXO3 99 UBÁ2";#N/A,#N/A,FALSE,"ANEXO3 99 DTU";#N/A,#N/A,FALSE,"ANEXO3 99 RDR";#N/A,#N/A,FALSE,"ANEXO3 99 UBÁ4";#N/A,#N/A,FALSE,"ANEXO3 99 UBÁ6"}</definedName>
    <definedName name="CronogramadeExecuçãp2003">{#N/A,#N/A,FALSE,"ANEXO3 99 ERA";#N/A,#N/A,FALSE,"ANEXO3 99 UBÁ2";#N/A,#N/A,FALSE,"ANEXO3 99 DTU";#N/A,#N/A,FALSE,"ANEXO3 99 RDR";#N/A,#N/A,FALSE,"ANEXO3 99 UBÁ4";#N/A,#N/A,FALSE,"ANEXO3 99 UBÁ6"}</definedName>
    <definedName name="CronogramadeExecuçãp20033" localSheetId="20">{#N/A,#N/A,FALSE,"ANEXO3 99 ERA";#N/A,#N/A,FALSE,"ANEXO3 99 UBÁ2";#N/A,#N/A,FALSE,"ANEXO3 99 DTU";#N/A,#N/A,FALSE,"ANEXO3 99 RDR";#N/A,#N/A,FALSE,"ANEXO3 99 UBÁ4";#N/A,#N/A,FALSE,"ANEXO3 99 UBÁ6"}</definedName>
    <definedName name="CronogramadeExecuçãp20033">{#N/A,#N/A,FALSE,"ANEXO3 99 ERA";#N/A,#N/A,FALSE,"ANEXO3 99 UBÁ2";#N/A,#N/A,FALSE,"ANEXO3 99 DTU";#N/A,#N/A,FALSE,"ANEXO3 99 RDR";#N/A,#N/A,FALSE,"ANEXO3 99 UBÁ4";#N/A,#N/A,FALSE,"ANEXO3 99 UBÁ6"}</definedName>
    <definedName name="CURRENT_PORT">"CURRENT_PORT"</definedName>
    <definedName name="CURRENT_RATIO">"CURRENT_RATIO"</definedName>
    <definedName name="cv" localSheetId="20">{#N/A,#N/A,FALSE,"CONTROLE"}</definedName>
    <definedName name="cv">{#N/A,#N/A,FALSE,"CONTROLE"}</definedName>
    <definedName name="cvcvxvxcvxcvxcv" localSheetId="20">{#N/A,#N/A,FALSE,"LLAVE";#N/A,#N/A,FALSE,"EERR";#N/A,#N/A,FALSE,"ESP";#N/A,#N/A,FALSE,"EOAF";#N/A,#N/A,FALSE,"CASH";#N/A,#N/A,FALSE,"FINANZAS";#N/A,#N/A,FALSE,"DEUDA";#N/A,#N/A,FALSE,"INVERSION";#N/A,#N/A,FALSE,"PERSONAL"}</definedName>
    <definedName name="cvcvxvxcvxcvxcv">{#N/A,#N/A,FALSE,"LLAVE";#N/A,#N/A,FALSE,"EERR";#N/A,#N/A,FALSE,"ESP";#N/A,#N/A,FALSE,"EOAF";#N/A,#N/A,FALSE,"CASH";#N/A,#N/A,FALSE,"FINANZAS";#N/A,#N/A,FALSE,"DEUDA";#N/A,#N/A,FALSE,"INVERSION";#N/A,#N/A,FALSE,"PERSONAL"}</definedName>
    <definedName name="Cwvu.GREY_ALL.">#REF!</definedName>
    <definedName name="cxv" localSheetId="20">{"'pg(12)'!$B$1:$N$16"}</definedName>
    <definedName name="cxv">{"'pg(12)'!$B$1:$N$16"}</definedName>
    <definedName name="d" localSheetId="20">{#N/A,#N/A,FALSE,"ANEXO3 99 ERA";#N/A,#N/A,FALSE,"ANEXO3 99 UBÁ2";#N/A,#N/A,FALSE,"ANEXO3 99 DTU";#N/A,#N/A,FALSE,"ANEXO3 99 RDR";#N/A,#N/A,FALSE,"ANEXO3 99 UBÁ4";#N/A,#N/A,FALSE,"ANEXO3 99 UBÁ6"}</definedName>
    <definedName name="d">{#N/A,#N/A,FALSE,"ANEXO3 99 ERA";#N/A,#N/A,FALSE,"ANEXO3 99 UBÁ2";#N/A,#N/A,FALSE,"ANEXO3 99 DTU";#N/A,#N/A,FALSE,"ANEXO3 99 RDR";#N/A,#N/A,FALSE,"ANEXO3 99 UBÁ4";#N/A,#N/A,FALSE,"ANEXO3 99 UBÁ6"}</definedName>
    <definedName name="d_1">48</definedName>
    <definedName name="dad" localSheetId="20">{#N/A,#N/A,FALSE,"ENERGIA";#N/A,#N/A,FALSE,"PERDIDAS";#N/A,#N/A,FALSE,"CLIENTES";#N/A,#N/A,FALSE,"ESTADO";#N/A,#N/A,FALSE,"TECNICA"}</definedName>
    <definedName name="dad">{#N/A,#N/A,FALSE,"ENERGIA";#N/A,#N/A,FALSE,"PERDIDAS";#N/A,#N/A,FALSE,"CLIENTES";#N/A,#N/A,FALSE,"ESTADO";#N/A,#N/A,FALSE,"TECNICA"}</definedName>
    <definedName name="DAFreofè0eirfh" localSheetId="20">{"SPM1",#N/A,FALSE,"RIEP"}</definedName>
    <definedName name="DAFreofè0eirfh">{"SPM1",#N/A,FALSE,"RIEP"}</definedName>
    <definedName name="DAYS_PAY_OUTST">"DAYS_PAY_OUTST"</definedName>
    <definedName name="DAYS_SALES_OUTST">"DAYS_SALES_OUTST"</definedName>
    <definedName name="DCC" localSheetId="20">{#N/A,#N/A,FALSE,"CONTROLE"}</definedName>
    <definedName name="DCC">{#N/A,#N/A,FALSE,"CONTROLE"}</definedName>
    <definedName name="DCF_" localSheetId="20">{"rawdata",#N/A,TRUE,"HKT";"in",#N/A,TRUE,"HKT";"rawdata",#N/A,TRUE,"PTInd";"in",#N/A,TRUE,"PTInd";"rawdata",#N/A,TRUE,"NTT";"in",#N/A,TRUE,"NTT";"rawdata",#N/A,TRUE,"PLD";"in",#N/A,TRUE,"PLD";"rawdata",#N/A,TRUE,"PTTelk";"in",#N/A,TRUE,"PTTelk";"rawdata",#N/A,TRUE,"ST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DD" localSheetId="20">{"TotalGeralDespesasPorArea",#N/A,FALSE,"VinculosAccessEfetivo"}</definedName>
    <definedName name="DDD">{"TotalGeralDespesasPorArea",#N/A,FALSE,"VinculosAccessEfetivo"}</definedName>
    <definedName name="ddddd">"B1XOH6I4W1OIIVX7OZHT4J34Q"</definedName>
    <definedName name="ddddddd" localSheetId="20">{#N/A,#N/A,FALSE,"RIEP"}</definedName>
    <definedName name="ddddddd">{#N/A,#N/A,FALSE,"RIEP"}</definedName>
    <definedName name="DEC" localSheetId="20">{#N/A,#N/A,FALSE,"Tabl. H1";#N/A,#N/A,FALSE,"Tabl. H2"}</definedName>
    <definedName name="DEC">{#N/A,#N/A,FALSE,"Tabl. H1";#N/A,#N/A,FALSE,"Tabl. H2"}</definedName>
    <definedName name="def" localSheetId="20">{#N/A,#N/A,FALSE,"Tabl. A1";#N/A,#N/A,FALSE,"Tabl. A1 b";#N/A,#N/A,FALSE,"Tabl. A2";#N/A,#N/A,FALSE,"Tabl. A2-1";#N/A,#N/A,FALSE,"Tabl. A2-2"}</definedName>
    <definedName name="def">{#N/A,#N/A,FALSE,"Tabl. A1";#N/A,#N/A,FALSE,"Tabl. A1 b";#N/A,#N/A,FALSE,"Tabl. A2";#N/A,#N/A,FALSE,"Tabl. A2-1";#N/A,#N/A,FALSE,"Tabl. A2-2"}</definedName>
    <definedName name="DEFERRED_INC_TAX">"DEFERRED_INC_TAX"</definedName>
    <definedName name="DEFERRED_TAXES">"DEFERRED_TAXES"</definedName>
    <definedName name="delete" localSheetId="20">{"summary",#N/A,FALSE,"PCR DIRECTORY"}</definedName>
    <definedName name="delete">{"summary",#N/A,FALSE,"PCR DIRECTORY"}</definedName>
    <definedName name="departamentos" localSheetId="20">{#N/A,#N/A,FALSE,"CONTROLE";#N/A,#N/A,FALSE,"CONTROLE"}</definedName>
    <definedName name="departamentos">{#N/A,#N/A,FALSE,"CONTROLE";#N/A,#N/A,FALSE,"CONTROLE"}</definedName>
    <definedName name="DEPRE_AMORT">"DEPRE_AMORT"</definedName>
    <definedName name="DEPRE_AMORT_SUPPL">"DEPRE_AMORT_SUPPL"</definedName>
    <definedName name="DEPRE_DEPLE">"DEPRE_DEPLE"</definedName>
    <definedName name="DEPRE_SUPP">"DEPRE_SUPP"</definedName>
    <definedName name="DESCRIPTION_LONG">"DESCRIPTION_LONG"</definedName>
    <definedName name="df" localSheetId="20">{#N/A,#N/A,FALSE,"LLAVE";#N/A,#N/A,FALSE,"EERR";#N/A,#N/A,FALSE,"ESP";#N/A,#N/A,FALSE,"EOAF";#N/A,#N/A,FALSE,"CASH";#N/A,#N/A,FALSE,"FINANZAS";#N/A,#N/A,FALSE,"DEUDA";#N/A,#N/A,FALSE,"INVERSION";#N/A,#N/A,FALSE,"PERSONAL"}</definedName>
    <definedName name="df">{#N/A,#N/A,FALSE,"LLAVE";#N/A,#N/A,FALSE,"EERR";#N/A,#N/A,FALSE,"ESP";#N/A,#N/A,FALSE,"EOAF";#N/A,#N/A,FALSE,"CASH";#N/A,#N/A,FALSE,"FINANZAS";#N/A,#N/A,FALSE,"DEUDA";#N/A,#N/A,FALSE,"INVERSION";#N/A,#N/A,FALSE,"PERSONAL"}</definedName>
    <definedName name="df_1" localSheetId="20">{#N/A,#N/A,FALSE,"LLAVE";#N/A,#N/A,FALSE,"EERR";#N/A,#N/A,FALSE,"ESP";#N/A,#N/A,FALSE,"EOAF";#N/A,#N/A,FALSE,"CASH";#N/A,#N/A,FALSE,"FINANZAS";#N/A,#N/A,FALSE,"DEUDA";#N/A,#N/A,FALSE,"INVERSION";#N/A,#N/A,FALSE,"PERSONAL"}</definedName>
    <definedName name="df_1">{#N/A,#N/A,FALSE,"LLAVE";#N/A,#N/A,FALSE,"EERR";#N/A,#N/A,FALSE,"ESP";#N/A,#N/A,FALSE,"EOAF";#N/A,#N/A,FALSE,"CASH";#N/A,#N/A,FALSE,"FINANZAS";#N/A,#N/A,FALSE,"DEUDA";#N/A,#N/A,FALSE,"INVERSION";#N/A,#N/A,FALSE,"PERSONAL"}</definedName>
    <definedName name="dfaa">#REF!</definedName>
    <definedName name="DFda" localSheetId="20">{#N/A,#N/A,FALSE,"RIEP"}</definedName>
    <definedName name="DFda">{#N/A,#N/A,FALSE,"RIEP"}</definedName>
    <definedName name="dfdaf">15</definedName>
    <definedName name="DFRSFG" localSheetId="20">{"SPM1",#N/A,FALSE,"RIEP"}</definedName>
    <definedName name="DFRSFG">{"SPM1",#N/A,FALSE,"RIEP"}</definedName>
    <definedName name="dfsagasgdfagadfgdaf" localSheetId="20">{#N/A,#N/A,FALSE,"ENERGIA";#N/A,#N/A,FALSE,"PERDIDAS";#N/A,#N/A,FALSE,"CLIENTES";#N/A,#N/A,FALSE,"ESTADO";#N/A,#N/A,FALSE,"TECNICA"}</definedName>
    <definedName name="dfsagasgdfagadfgdaf">{#N/A,#N/A,FALSE,"ENERGIA";#N/A,#N/A,FALSE,"PERDIDAS";#N/A,#N/A,FALSE,"CLIENTES";#N/A,#N/A,FALSE,"ESTADO";#N/A,#N/A,FALSE,"TECNICA"}</definedName>
    <definedName name="dgdg" localSheetId="20">{#N/A,#N/A,FALSE,"Calc";#N/A,#N/A,FALSE,"Sensitivity";#N/A,#N/A,FALSE,"LT Earn.Dil.";#N/A,#N/A,FALSE,"Dil. AVP"}</definedName>
    <definedName name="dgdg">{#N/A,#N/A,FALSE,"Calc";#N/A,#N/A,FALSE,"Sensitivity";#N/A,#N/A,FALSE,"LT Earn.Dil.";#N/A,#N/A,FALSE,"Dil. AVP"}</definedName>
    <definedName name="dgdgss" localSheetId="20">{"consolidated",#N/A,FALSE,"Sheet1";"cms",#N/A,FALSE,"Sheet1";"fse",#N/A,FALSE,"Sheet1"}</definedName>
    <definedName name="dgdgss">{"consolidated",#N/A,FALSE,"Sheet1";"cms",#N/A,FALSE,"Sheet1";"fse",#N/A,FALSE,"Sheet1"}</definedName>
    <definedName name="DILUT_ADJUST">"DILUT_ADJUST"</definedName>
    <definedName name="DILUT_EPS_EXCL">"DILUT_EPS_EXCL"</definedName>
    <definedName name="DILUT_EPS_INCL">"DILUT_EPS_INCL"</definedName>
    <definedName name="DILUT_NORMAL_EPS">"DILUT_NORMAL_EPS"</definedName>
    <definedName name="DILUT_WEIGHT">"DILUT_WEIGHT"</definedName>
    <definedName name="dimac" localSheetId="20">{#N/A,#N/A,FALSE,"Tabl. D1";#N/A,#N/A,FALSE,"Tabl. D1 b";#N/A,#N/A,FALSE,"Tabl. D2";#N/A,#N/A,FALSE,"Tabl. D2 b";#N/A,#N/A,FALSE,"Tabl. D3";#N/A,#N/A,FALSE,"Tabl. D4";#N/A,#N/A,FALSE,"Tabl. D5"}</definedName>
    <definedName name="dimac">{#N/A,#N/A,FALSE,"Tabl. D1";#N/A,#N/A,FALSE,"Tabl. D1 b";#N/A,#N/A,FALSE,"Tabl. D2";#N/A,#N/A,FALSE,"Tabl. D2 b";#N/A,#N/A,FALSE,"Tabl. D3";#N/A,#N/A,FALSE,"Tabl. D4";#N/A,#N/A,FALSE,"Tabl. D5"}</definedName>
    <definedName name="dirk1" localSheetId="20">{#N/A,#N/A,TRUE,"cover";#N/A,#N/A,TRUE,"PRI";#N/A,#N/A,TRUE,"BDG";#N/A,#N/A,TRUE,"FOR";#N/A,#N/A,TRUE,"PER";#N/A,#N/A,TRUE,"ORD";#N/A,#N/A,TRUE,"INV";#N/A,#N/A,TRUE,"CASH";#N/A,#N/A,TRUE,"TAX";#N/A,#N/A,TRUE,"rev_bdg";#N/A,#N/A,TRUE,"sales";#N/A,#N/A,TRUE,"interest"}</definedName>
    <definedName name="dirk1">{#N/A,#N/A,TRUE,"cover";#N/A,#N/A,TRUE,"PRI";#N/A,#N/A,TRUE,"BDG";#N/A,#N/A,TRUE,"FOR";#N/A,#N/A,TRUE,"PER";#N/A,#N/A,TRUE,"ORD";#N/A,#N/A,TRUE,"INV";#N/A,#N/A,TRUE,"CASH";#N/A,#N/A,TRUE,"TAX";#N/A,#N/A,TRUE,"rev_bdg";#N/A,#N/A,TRUE,"sales";#N/A,#N/A,TRUE,"interest"}</definedName>
    <definedName name="DISCONT_OPER">"DISCONT_OPER"</definedName>
    <definedName name="distribucion" localSheetId="20">{"'Hoja1'!$A$1:$N$27"}</definedName>
    <definedName name="distribucion">{"'Hoja1'!$A$1:$N$27"}</definedName>
    <definedName name="distribuição" localSheetId="20">{#N/A,#N/A,FALSE,"ANEXO3 99 ERA";#N/A,#N/A,FALSE,"ANEXO3 99 UBÁ2";#N/A,#N/A,FALSE,"ANEXO3 99 DTU";#N/A,#N/A,FALSE,"ANEXO3 99 RDR";#N/A,#N/A,FALSE,"ANEXO3 99 UBÁ4";#N/A,#N/A,FALSE,"ANEXO3 99 UBÁ6"}</definedName>
    <definedName name="distribuição">{#N/A,#N/A,FALSE,"ANEXO3 99 ERA";#N/A,#N/A,FALSE,"ANEXO3 99 UBÁ2";#N/A,#N/A,FALSE,"ANEXO3 99 DTU";#N/A,#N/A,FALSE,"ANEXO3 99 RDR";#N/A,#N/A,FALSE,"ANEXO3 99 UBÁ4";#N/A,#N/A,FALSE,"ANEXO3 99 UBÁ6"}</definedName>
    <definedName name="divcms" localSheetId="20">{"TotalGeralDespesasPorArea",#N/A,FALSE,"VinculosAccessEfetivo"}</definedName>
    <definedName name="divcms">{"TotalGeralDespesasPorArea",#N/A,FALSE,"VinculosAccessEfetivo"}</definedName>
    <definedName name="DIVID_SHARE">"DIVID_SHARE"</definedName>
    <definedName name="DME_BeforeCloseCompleted">"False"</definedName>
    <definedName name="DME_Dirty">"False"</definedName>
    <definedName name="DME_LocalFile">"True"</definedName>
    <definedName name="DME_ODMALinks1">"::ODMA\DME-MSE\London-50880=C:\TEMP\Dme\London-50880.xls"</definedName>
    <definedName name="DME_ODMALinks2">"::ODMA\DME-MSE\London-48564=C:\TEMP\Dme\London-48564.xls"</definedName>
    <definedName name="DME_ODMALinks3">"::ODMA\DME-MSE\London-48461=C:\TEMP\Dme\London-48461.xls"</definedName>
    <definedName name="DME_ODMALinks4">"::ODMA\DME-MSE\London-50894=C:\TEMP\Dme\London-50894.xls"</definedName>
    <definedName name="DME_ODMALinksCount">"4"</definedName>
    <definedName name="DSFSDGFG" localSheetId="20">{"SPM1",#N/A,FALSE,"RIEP"}</definedName>
    <definedName name="DSFSDGFG">{"SPM1",#N/A,FALSE,"RIEP"}</definedName>
    <definedName name="dsg" localSheetId="20">{#N/A,#N/A,FALSE,"Calc";#N/A,#N/A,FALSE,"Sensitivity";#N/A,#N/A,FALSE,"LT Earn.Dil.";#N/A,#N/A,FALSE,"Dil. AVP"}</definedName>
    <definedName name="dsg">{#N/A,#N/A,FALSE,"Calc";#N/A,#N/A,FALSE,"Sensitivity";#N/A,#N/A,FALSE,"LT Earn.Dil.";#N/A,#N/A,FALSE,"Dil. AVP"}</definedName>
    <definedName name="dthrrr" localSheetId="20">{"SPM1",#N/A,FALSE,"RIEP"}</definedName>
    <definedName name="dthrrr">{"SPM1",#N/A,FALSE,"RIEP"}</definedName>
    <definedName name="dxvz">#REF!</definedName>
    <definedName name="e" localSheetId="20">{#N/A,#N/A,FALSE,"ANEXO3 99 ERA";#N/A,#N/A,FALSE,"ANEXO3 99 UBÁ2";#N/A,#N/A,FALSE,"ANEXO3 99 DTU";#N/A,#N/A,FALSE,"ANEXO3 99 RDR";#N/A,#N/A,FALSE,"ANEXO3 99 UBÁ4";#N/A,#N/A,FALSE,"ANEXO3 99 UBÁ6"}</definedName>
    <definedName name="e">{#N/A,#N/A,FALSE,"ANEXO3 99 ERA";#N/A,#N/A,FALSE,"ANEXO3 99 UBÁ2";#N/A,#N/A,FALSE,"ANEXO3 99 DTU";#N/A,#N/A,FALSE,"ANEXO3 99 RDR";#N/A,#N/A,FALSE,"ANEXO3 99 UBÁ4";#N/A,#N/A,FALSE,"ANEXO3 99 UBÁ6"}</definedName>
    <definedName name="e_1" localSheetId="20">{#N/A,#N/A,FALSE,"CONTROLE"}</definedName>
    <definedName name="e_1">{#N/A,#N/A,FALSE,"CONTROLE"}</definedName>
    <definedName name="EAEEE" localSheetId="20">{#N/A,#N/A,FALSE,"CONTROLE";#N/A,#N/A,FALSE,"CONTROLE"}</definedName>
    <definedName name="EAEEE">{#N/A,#N/A,FALSE,"CONTROLE";#N/A,#N/A,FALSE,"CONTROLE"}</definedName>
    <definedName name="EBIT">"EBIT"</definedName>
    <definedName name="EBIT_10K">"EBIT_10K"</definedName>
    <definedName name="EBIT_10Q">"EBIT_10Q"</definedName>
    <definedName name="EBIT_10Q1">"EBIT_10Q1"</definedName>
    <definedName name="EBIT_GROWTH_1">"EBIT_GROWTH_1"</definedName>
    <definedName name="EBIT_GROWTH_2">"EBIT_GROWTH_2"</definedName>
    <definedName name="EBIT_MARGIN">"EBIT_MARGIN"</definedName>
    <definedName name="EBIT_OVER_IE">"EBIT_OVER_IE"</definedName>
    <definedName name="EBITDA">"EBITDA"</definedName>
    <definedName name="EBITDA_10K">"EBITDA_10K"</definedName>
    <definedName name="EBITDA_10Q">"EBITDA_10Q"</definedName>
    <definedName name="EBITDA_10Q1">"EBITDA_10Q1"</definedName>
    <definedName name="EBITDA_CAPEX_OVER_TOTAL_IE">"EBITDA_CAPEX_OVER_TOTAL_IE"</definedName>
    <definedName name="EBITDA_GROWTH_1">"EBITDA_GROWTH_1"</definedName>
    <definedName name="EBITDA_GROWTH_2">"EBITDA_GROWTH_2"</definedName>
    <definedName name="EBITDA_MARGIN">"EBITDA_MARGIN"</definedName>
    <definedName name="EBITDA_OVER_TOTAL_IE">"EBITDA_OVER_TOTAL_IE"</definedName>
    <definedName name="ECA" localSheetId="20">{#N/A,#N/A,FALSE,"ANALYSE";#N/A,#N/A,FALSE,"PM VALEUR"}</definedName>
    <definedName name="ECA">{#N/A,#N/A,FALSE,"ANALYSE";#N/A,#N/A,FALSE,"PM VALEUR"}</definedName>
    <definedName name="ecco" localSheetId="20">{"CECons",#N/A,FALSE,"CE"}</definedName>
    <definedName name="ecco">{"CECons",#N/A,FALSE,"CE"}</definedName>
    <definedName name="eccolo" localSheetId="20">{"CECons",#N/A,FALSE,"CE"}</definedName>
    <definedName name="eccolo">{"CECons",#N/A,FALSE,"CE"}</definedName>
    <definedName name="edificios" localSheetId="20">{"HOJA100",#N/A,FALSE,"HOJA_100";"HOJA200",#N/A,FALSE,"HOJA_200";"HOJA300",#N/A,FALSE,"HOJA_300";"HOJA400",#N/A,FALSE,"HOJA_400"}</definedName>
    <definedName name="edificios">{"HOJA100",#N/A,FALSE,"HOJA_100";"HOJA200",#N/A,FALSE,"HOJA_200";"HOJA300",#N/A,FALSE,"HOJA_300";"HOJA400",#N/A,FALSE,"HOJA_400"}</definedName>
    <definedName name="ee" localSheetId="20">{"HOJA100",#N/A,FALSE,"HOJA_100";"HOJA200",#N/A,FALSE,"HOJA_200";"HOJA300",#N/A,FALSE,"HOJA_300";"HOJA400",#N/A,FALSE,"HOJA_400"}</definedName>
    <definedName name="ee">{"HOJA100",#N/A,FALSE,"HOJA_100";"HOJA200",#N/A,FALSE,"HOJA_200";"HOJA300",#N/A,FALSE,"HOJA_300";"HOJA400",#N/A,FALSE,"HOJA_400"}</definedName>
    <definedName name="EEE" localSheetId="20">{#N/A,#N/A,FALSE,"Tabl. H1";#N/A,#N/A,FALSE,"Tabl. H2"}</definedName>
    <definedName name="EEE">{#N/A,#N/A,FALSE,"Tabl. H1";#N/A,#N/A,FALSE,"Tabl. H2"}</definedName>
    <definedName name="eeeeeeeeeeee">#REF!</definedName>
    <definedName name="EFFECT_SPECIAL_CHARGE">"EFFECT_SPECIAL_CHARGE"</definedName>
    <definedName name="efi" localSheetId="20">{#N/A,#N/A,FALSE,"CONTROLE"}</definedName>
    <definedName name="efi">{#N/A,#N/A,FALSE,"CONTROLE"}</definedName>
    <definedName name="eficiencia" localSheetId="20">{#N/A,#N/A,FALSE,"CONTROLE"}</definedName>
    <definedName name="eficiencia">{#N/A,#N/A,FALSE,"CONTROLE"}</definedName>
    <definedName name="emily" localSheetId="20">{#N/A,#N/A,FALSE,"Calc";#N/A,#N/A,FALSE,"Sensitivity";#N/A,#N/A,FALSE,"LT Earn.Dil.";#N/A,#N/A,FALSE,"Dil. AVP"}</definedName>
    <definedName name="emily">{#N/A,#N/A,FALSE,"Calc";#N/A,#N/A,FALSE,"Sensitivity";#N/A,#N/A,FALSE,"LT Earn.Dil.";#N/A,#N/A,FALSE,"Dil. AVP"}</definedName>
    <definedName name="EMPLOYEES">"EMPLOYEES"</definedName>
    <definedName name="EPMWorkbookOptions_1">"EjoAAB+LCAAAAAAABADtm2uPmkwUgL836X8wflcGxNuGtWERL4kKQbRtNhuDMq6kCLwDrrv/viOIAqK1W14jaKKJzpxzZuaZcwF0mG/vSz33BpGtmcZjniyCfA4aM1PVjNfH/MqZF8hK/lvj6xfmu4l+TU3zl2A5WNTOYT3Dfni31cf8wnGsB4JYr9fFdalooleCAoAkfvR7w9kCLpX8Tlj7s3BBM2xHMWYwj0fN5RjONAw424wpm9wKIWg4"</definedName>
    <definedName name="EPMWorkbookOptions_2">"Yw2u3c5Qd1NxlG0rbh8oS+gNuxvSgUtrhTR3zJENkYjgHGJ7M1jEy8g3Ji2xP3kSucF3Ekyet0pklSpSlSJJ00WSeiBBDRC2YhFTa0a8TJ7baGWZPW2KFPwFT8U2dU1VZoqJv84V3YYvDLGZyX5erGXp2kwJMDx7fr6NsJVA83bZDU4YDIVet8lyrBAZ32O2x5gjjnZ1NFWFRlNbQsN2Z3tcdD9TOySDpYYLc72zwZm6iRoOWkGGiOk4pequ"</definedName>
    <definedName name="EPMWorkbookOptions_3">"IkbzYHVbRbwZDnx3WsqbiTQHz8vdDk/5oC+i39FeFzp+O0OoY9+CakeDSEGzhba3c1LmjPm0NGQ7gQXF90cM7VZ9HPi5UkG5kaH9t4IuSXbU7MqC1GUZIq77lBVvD3G+KAOyVCMDBuJ219UVkApRAzCE9yHWum3pyoeITAsi56NBlivlOZzOC+WKShdoal4v1MoQFoACKVqdVunqtLQZOawVY7in2Lut68PlFGfAGLGwm8cKYBFPP4DpeYfx"</definedName>
    <definedName name="EPMWorkbookOptions_4">"pfgsshI/kDsk/ihP9h0McaB2xLzvWR970RxOpQ+Gpj/mNx6Uj4Tm6T0+T5ch/rTwhMlwrNROPRWGOMevAqHxvwUyN8FVQP6HMAaArgFwfhST2YviLcOwpz6JgKSoeto9NXEm5J1IlAh9ZxJlcgcSTSUlkHYm11P0+L4o8cPPF71SqVymafr8okdlr+htGYY9tT1pcfzNBm8sErktdKnaHUkASWfC93j5jiSY4sf83UvCSLKQSa6n5LWlkSh8"</definedName>
    <definedName name="EPMWorkbookOptions_5">"uuBVqiSo1arnF7xS9gqeSzBa7gbCgE+7kyYKJAtRmyCQbJS660lj3YHMS9znExkJQKVSKv3F8yo6e5lsCzFynSrIbC/tjposkYnffKeyp9LNRIq/nowm8lJXaP5DRvvr39HK2ctoW4hhT6UAWSuCm30Cf5zJTaf6E65ys/ffx5nc7s81J/yETjuT66l+kij3Bb55yb+RVLJX/nyK2EPxq8el3T+T4fAkpb7IXU+gDvl2H2fBS16nVrMXqD7F"</definedName>
    <definedName name="EPMWorkbookOptions_6">"DN56X4+ryl1R6Avji/pqLXu+usMYfSoiC2LanTVhJvX6zd5lHiHSmtyTWqJJbcxLQ/aSGa2evYzmMfQuDiU+/d6ZFAdw/2tZ/DQ/Ead9nh2OJH54wUglM3gwwsfoOelPuZl2D00GhPdQqpv6G/wE4/UModBs4oUYIu6oXKjVF8fWDs8SBhsPzx8yEpwjaC8EQ7Cg4R8NCze6cpwOFbQxKhhD5c0/yBZtdUX9c5Y4Rh2Xom/2sCMsv1a3m8Z0"</definedName>
    <definedName name="EPMWorkbookOptions_7">"7bGCNGWqwz5Er3sLB+1fv+zNbs91Nn4DWDtOwhI6AAA="</definedName>
    <definedName name="EPS">"EPS"</definedName>
    <definedName name="EPS_10K">"EPS_10K"</definedName>
    <definedName name="EPS_10Q">"EPS_10Q"</definedName>
    <definedName name="EPS_10Q1">"EPS_10Q1"</definedName>
    <definedName name="EPS_EST">"EPS_EST"</definedName>
    <definedName name="EPS_EST_1">"EPS_EST_1"</definedName>
    <definedName name="EQUITY_AFFIL">"EQUITY_AFFIL"</definedName>
    <definedName name="EQUITY_MARKET_VAL">"EQUITY_MARKET_VAL"</definedName>
    <definedName name="equity2" localSheetId="20">{"SPM1",#N/A,FALSE,"RIEP"}</definedName>
    <definedName name="equity2">{"SPM1",#N/A,FALSE,"RIEP"}</definedName>
    <definedName name="EQV_OVER_BV">"EQV_OVER_BV"</definedName>
    <definedName name="EQV_OVER_LTM_PRETAX_INC">"EQV_OVER_LTM_PRETAX_INC"</definedName>
    <definedName name="erer" localSheetId="20">{#N/A,#N/A,FALSE,"ANEXO3 99 ERA";#N/A,#N/A,FALSE,"ANEXO3 99 UBÁ2";#N/A,#N/A,FALSE,"ANEXO3 99 DTU";#N/A,#N/A,FALSE,"ANEXO3 99 RDR";#N/A,#N/A,FALSE,"ANEXO3 99 UBÁ4";#N/A,#N/A,FALSE,"ANEXO3 99 UBÁ6"}</definedName>
    <definedName name="erer">{#N/A,#N/A,FALSE,"ANEXO3 99 ERA";#N/A,#N/A,FALSE,"ANEXO3 99 UBÁ2";#N/A,#N/A,FALSE,"ANEXO3 99 DTU";#N/A,#N/A,FALSE,"ANEXO3 99 RDR";#N/A,#N/A,FALSE,"ANEXO3 99 UBÁ4";#N/A,#N/A,FALSE,"ANEXO3 99 UBÁ6"}</definedName>
    <definedName name="ergcvbgb" localSheetId="20">{#N/A,#N/A,FALSE,"Tabl. H1";#N/A,#N/A,FALSE,"Tabl. H2"}</definedName>
    <definedName name="ergcvbgb">{#N/A,#N/A,FALSE,"Tabl. H1";#N/A,#N/A,FALSE,"Tabl. H2"}</definedName>
    <definedName name="ESOP_DEBT">"ESOP_DEBT"</definedName>
    <definedName name="etet" localSheetId="20">{#N/A,#N/A,FALSE,"Calc";#N/A,#N/A,FALSE,"Sensitivity";#N/A,#N/A,FALSE,"LT Earn.Dil.";#N/A,#N/A,FALSE,"Dil. AVP"}</definedName>
    <definedName name="etet">{#N/A,#N/A,FALSE,"Calc";#N/A,#N/A,FALSE,"Sensitivity";#N/A,#N/A,FALSE,"LT Earn.Dil.";#N/A,#N/A,FALSE,"Dil. AVP"}</definedName>
    <definedName name="ethth" localSheetId="20">{"'Hoja1'!$A$1:$N$27"}</definedName>
    <definedName name="ethth">{"'Hoja1'!$A$1:$N$27"}</definedName>
    <definedName name="EV__DECIMALSYMBOL__">"."</definedName>
    <definedName name="EV__EVCOM_OPTIONS__">8</definedName>
    <definedName name="EV__EXPOPTIONS__">0</definedName>
    <definedName name="EV__LASTREFTIME__">41830.6256481481</definedName>
    <definedName name="EV__LOCKEDCVW__LEGALAPP">"TrialBalance,F_TOP,ACTUAL,ALL_DATASRCS,D_NONE,Mg_M_Brazil,All_Interco,BR34,USD,2012.DEC,YTD,"</definedName>
    <definedName name="EV__LOCKEDCVW__NEWSPAPER">"TBPL,PRELIMNYP,TOTDEPT,ALLPROD,MNEWSGRP,ALLSD,2012.TOTAL,YTD,"</definedName>
    <definedName name="EV__LOCKEDCVW__USAT">"ADVREV,ACTUAL,D95,ALLPF,ALLPROD,C8872,ALLSD,2011.OCT,Periodic,"</definedName>
    <definedName name="EV__LOCKSTATUS__">4</definedName>
    <definedName name="EV__MAXEXPCOLS__">100</definedName>
    <definedName name="EV__MAXEXPROWS__">1000</definedName>
    <definedName name="EV__MEMORYCVW__">0</definedName>
    <definedName name="EV__WBEVMODE__">0</definedName>
    <definedName name="EV__WBREFOPTIONS__">134217751</definedName>
    <definedName name="EV__WBVERSION__">0</definedName>
    <definedName name="EV_OVER_EMPLOYEE">"EV_OVER_EMPLOYEE"</definedName>
    <definedName name="EV_OVER_LTM_EBIT">"EV_OVER_LTM_EBIT"</definedName>
    <definedName name="EV_OVER_LTM_EBITDA">"EV_OVER_LTM_EBITDA"</definedName>
    <definedName name="EV_OVER_LTM_REVENUE">"EV_OVER_LTM_REVENUE"</definedName>
    <definedName name="EV_OVER_REVENUE_EST">"EV_OVER_REVENUE_EST"</definedName>
    <definedName name="EV_OVER_REVENUE_EST_1">"EV_OVER_REVENUE_EST_1"</definedName>
    <definedName name="EXCHANGE">"EXCHANGE"</definedName>
    <definedName name="EXTRA_ITEMS">"EXTRA_ITEMS"</definedName>
    <definedName name="f" localSheetId="20">{#N/A,#N/A,FALSE,"ANEXO3 99 ERA";#N/A,#N/A,FALSE,"ANEXO3 99 UBÁ2";#N/A,#N/A,FALSE,"ANEXO3 99 DTU";#N/A,#N/A,FALSE,"ANEXO3 99 RDR";#N/A,#N/A,FALSE,"ANEXO3 99 UBÁ4";#N/A,#N/A,FALSE,"ANEXO3 99 UBÁ6"}</definedName>
    <definedName name="f">{#N/A,#N/A,FALSE,"ANEXO3 99 ERA";#N/A,#N/A,FALSE,"ANEXO3 99 UBÁ2";#N/A,#N/A,FALSE,"ANEXO3 99 DTU";#N/A,#N/A,FALSE,"ANEXO3 99 RDR";#N/A,#N/A,FALSE,"ANEXO3 99 UBÁ4";#N/A,#N/A,FALSE,"ANEXO3 99 UBÁ6"}</definedName>
    <definedName name="f_1" localSheetId="20">{#N/A,#N/A,FALSE,"CONTROLE"}</definedName>
    <definedName name="f_1">{#N/A,#N/A,FALSE,"CONTROLE"}</definedName>
    <definedName name="fa" localSheetId="20">{#N/A,#N/A,FALSE,"CONTROLE"}</definedName>
    <definedName name="fa">{#N/A,#N/A,FALSE,"CONTROLE"}</definedName>
    <definedName name="farida" localSheetId="20">{"'pg(12)'!$B$1:$N$16"}</definedName>
    <definedName name="farida">{"'pg(12)'!$B$1:$N$16"}</definedName>
    <definedName name="FDDSFDSGF" localSheetId="20">{#N/A,#N/A,FALSE,"RIEP"}</definedName>
    <definedName name="FDDSFDSGF">{#N/A,#N/A,FALSE,"RIEP"}</definedName>
    <definedName name="fevcpflr" localSheetId="20">{#N/A,#N/A,FALSE,"CONTROLE";#N/A,#N/A,FALSE,"CONTROLE"}</definedName>
    <definedName name="fevcpflr">{#N/A,#N/A,FALSE,"CONTROLE";#N/A,#N/A,FALSE,"CONTROLE"}</definedName>
    <definedName name="ff" localSheetId="20">{#N/A,#N/A,FALSE,"ENERGIA";#N/A,#N/A,FALSE,"PERDIDAS";#N/A,#N/A,FALSE,"CLIENTES";#N/A,#N/A,FALSE,"ESTADO";#N/A,#N/A,FALSE,"TECNICA"}</definedName>
    <definedName name="ff">{#N/A,#N/A,FALSE,"ENERGIA";#N/A,#N/A,FALSE,"PERDIDAS";#N/A,#N/A,FALSE,"CLIENTES";#N/A,#N/A,FALSE,"ESTADO";#N/A,#N/A,FALSE,"TECNICA"}</definedName>
    <definedName name="ff_1" localSheetId="20">{#N/A,#N/A,FALSE,"ENERGIA";#N/A,#N/A,FALSE,"PERDIDAS";#N/A,#N/A,FALSE,"CLIENTES";#N/A,#N/A,FALSE,"ESTADO";#N/A,#N/A,FALSE,"TECNICA"}</definedName>
    <definedName name="ff_1">{#N/A,#N/A,FALSE,"ENERGIA";#N/A,#N/A,FALSE,"PERDIDAS";#N/A,#N/A,FALSE,"CLIENTES";#N/A,#N/A,FALSE,"ESTADO";#N/A,#N/A,FALSE,"TECNICA"}</definedName>
    <definedName name="fff">11</definedName>
    <definedName name="ffffffffff" localSheetId="20">{"QQQ",#N/A,FALSE,"RIEP"}</definedName>
    <definedName name="ffffffffff">{"QQQ",#N/A,FALSE,"RIEP"}</definedName>
    <definedName name="fgffg" localSheetId="20">{#N/A,#N/A,FALSE,"RIEP"}</definedName>
    <definedName name="fgffg">{#N/A,#N/A,FALSE,"RIEP"}</definedName>
    <definedName name="FGFG" localSheetId="20">{#N/A,#N/A,FALSE,"Tabl. A1";#N/A,#N/A,FALSE,"Tabl. A1 b";#N/A,#N/A,FALSE,"Tabl. A2";#N/A,#N/A,FALSE,"Tabl. A2-1";#N/A,#N/A,FALSE,"Tabl. A2-2"}</definedName>
    <definedName name="FGFG">{#N/A,#N/A,FALSE,"Tabl. A1";#N/A,#N/A,FALSE,"Tabl. A1 b";#N/A,#N/A,FALSE,"Tabl. A2";#N/A,#N/A,FALSE,"Tabl. A2-1";#N/A,#N/A,FALSE,"Tabl. A2-2"}</definedName>
    <definedName name="fgfghtfhjgh" localSheetId="20">{#N/A,#N/A,FALSE,"CONTROLE"}</definedName>
    <definedName name="fgfghtfhjgh">{#N/A,#N/A,FALSE,"CONTROLE"}</definedName>
    <definedName name="fgh"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fgh">{#N/A,#N/A,TRUE,"Récap.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fgreggeg" localSheetId="20">{#N/A,#N/A,FALSE,"FY97";#N/A,#N/A,FALSE,"FY98";#N/A,#N/A,FALSE,"FY99";#N/A,#N/A,FALSE,"FY00";#N/A,#N/A,FALSE,"FY01"}</definedName>
    <definedName name="fgreggeg">{#N/A,#N/A,FALSE,"FY97";#N/A,#N/A,FALSE,"FY98";#N/A,#N/A,FALSE,"FY99";#N/A,#N/A,FALSE,"FY00";#N/A,#N/A,FALSE,"FY01"}</definedName>
    <definedName name="fgsg" localSheetId="20">{"consolidated",#N/A,FALSE,"Sheet1";"cms",#N/A,FALSE,"Sheet1";"fse",#N/A,FALSE,"Sheet1"}</definedName>
    <definedName name="fgsg">{"consolidated",#N/A,FALSE,"Sheet1";"cms",#N/A,FALSE,"Sheet1";"fse",#N/A,FALSE,"Sheet1"}</definedName>
    <definedName name="Finance">#REF!</definedName>
    <definedName name="FINANCING_CASH">"FINANCING_CASH"</definedName>
    <definedName name="FOREIGN_EXCHANGE">"FOREIGN_EXCHANGE"</definedName>
    <definedName name="fornecimento" localSheetId="20">{#N/A,#N/A,FALSE,"CONTROLE"}</definedName>
    <definedName name="fornecimento">{#N/A,#N/A,FALSE,"CONTROLE"}</definedName>
    <definedName name="FSDG" localSheetId="20">{#N/A,#N/A,FALSE,"RIEP"}</definedName>
    <definedName name="FSDG">{#N/A,#N/A,FALSE,"RIEP"}</definedName>
    <definedName name="fsfs" localSheetId="20">{#N/A,#N/A,FALSE,"Calc";#N/A,#N/A,FALSE,"Sensitivity";#N/A,#N/A,FALSE,"LT Earn.Dil.";#N/A,#N/A,FALSE,"Dil. AVP"}</definedName>
    <definedName name="fsfs">{#N/A,#N/A,FALSE,"Calc";#N/A,#N/A,FALSE,"Sensitivity";#N/A,#N/A,FALSE,"LT Earn.Dil.";#N/A,#N/A,FALSE,"Dil. AVP"}</definedName>
    <definedName name="Fuel">#REF!</definedName>
    <definedName name="Furnas">#REF!</definedName>
    <definedName name="fx" localSheetId="20">{#N/A,#N/A,FALSE,"ENERGIA";#N/A,#N/A,FALSE,"PERDIDAS";#N/A,#N/A,FALSE,"CLIENTES";#N/A,#N/A,FALSE,"ESTADO";#N/A,#N/A,FALSE,"TECNICA"}</definedName>
    <definedName name="fx">{#N/A,#N/A,FALSE,"ENERGIA";#N/A,#N/A,FALSE,"PERDIDAS";#N/A,#N/A,FALSE,"CLIENTES";#N/A,#N/A,FALSE,"ESTADO";#N/A,#N/A,FALSE,"TECNICA"}</definedName>
    <definedName name="fx_1" localSheetId="20">{#N/A,#N/A,FALSE,"ENERGIA";#N/A,#N/A,FALSE,"PERDIDAS";#N/A,#N/A,FALSE,"CLIENTES";#N/A,#N/A,FALSE,"ESTADO";#N/A,#N/A,FALSE,"TECNICA"}</definedName>
    <definedName name="fx_1">{#N/A,#N/A,FALSE,"ENERGIA";#N/A,#N/A,FALSE,"PERDIDAS";#N/A,#N/A,FALSE,"CLIENTES";#N/A,#N/A,FALSE,"ESTADO";#N/A,#N/A,FALSE,"TECNICA"}</definedName>
    <definedName name="FY_DATE">"FY_DATE"</definedName>
    <definedName name="g" localSheetId="20">{#N/A,#N/A,FALSE,"ANEXO3 99 ERA";#N/A,#N/A,FALSE,"ANEXO3 99 UBÁ2";#N/A,#N/A,FALSE,"ANEXO3 99 DTU";#N/A,#N/A,FALSE,"ANEXO3 99 RDR";#N/A,#N/A,FALSE,"ANEXO3 99 UBÁ4";#N/A,#N/A,FALSE,"ANEXO3 99 UBÁ6"}</definedName>
    <definedName name="g">{#N/A,#N/A,FALSE,"ANEXO3 99 ERA";#N/A,#N/A,FALSE,"ANEXO3 99 UBÁ2";#N/A,#N/A,FALSE,"ANEXO3 99 DTU";#N/A,#N/A,FALSE,"ANEXO3 99 RDR";#N/A,#N/A,FALSE,"ANEXO3 99 UBÁ4";#N/A,#N/A,FALSE,"ANEXO3 99 UBÁ6"}</definedName>
    <definedName name="GAIN_SALE_ASSETS">"GAIN_SALE_ASSETS"</definedName>
    <definedName name="georges" localSheetId="20">{#N/A,#N/A,FALSE,"Tabl. FB300";#N/A,#N/A,FALSE,"Tabl. FB350";#N/A,#N/A,FALSE,"Tabl. FB400";#N/A,#N/A,FALSE,"Tabl. FB500";#N/A,#N/A,FALSE,"Tabl. FS090"}</definedName>
    <definedName name="georges">{#N/A,#N/A,FALSE,"Tabl. FB300";#N/A,#N/A,FALSE,"Tabl. FB350";#N/A,#N/A,FALSE,"Tabl. FB400";#N/A,#N/A,FALSE,"Tabl. FB500";#N/A,#N/A,FALSE,"Tabl. FS090"}</definedName>
    <definedName name="ger" localSheetId="20">{#N/A,#N/A,FALSE,"CONTROLE"}</definedName>
    <definedName name="ger">{#N/A,#N/A,FALSE,"CONTROLE"}</definedName>
    <definedName name="Geração">_Config!$K$5:$K$8</definedName>
    <definedName name="GeraçãoAmpliação">_Config!$J$16</definedName>
    <definedName name="GeraçãoMelhoriaPequenoPorte">_Config!$P$16:$P$19</definedName>
    <definedName name="GeraçãoModernização">_Config!$T$16:$T$18</definedName>
    <definedName name="GeraçãoSegurançadeBarragem">_Config!$S$16</definedName>
    <definedName name="gerencial" localSheetId="20">{#N/A,#N/A,FALSE,"CONTROLE"}</definedName>
    <definedName name="gerencial">{#N/A,#N/A,FALSE,"CONTROLE"}</definedName>
    <definedName name="gfhkkmh" localSheetId="20">{#N/A,#N/A,FALSE,"RIEP"}</definedName>
    <definedName name="gfhkkmh">{#N/A,#N/A,FALSE,"RIEP"}</definedName>
    <definedName name="gg" localSheetId="20">{"TotalGeralDespesasPorArea",#N/A,FALSE,"VinculosAccessEfetivo"}</definedName>
    <definedName name="gg">{"TotalGeralDespesasPorArea",#N/A,FALSE,"VinculosAccessEfetivo"}</definedName>
    <definedName name="GGG" localSheetId="20">{#N/A,#N/A,FALSE,"CONTROLE"}</definedName>
    <definedName name="GGG">{#N/A,#N/A,FALSE,"CONTROLE"}</definedName>
    <definedName name="GGGG" localSheetId="20">{"SPM1",#N/A,FALSE,"RIEP"}</definedName>
    <definedName name="GGGG">{"SPM1",#N/A,FALSE,"RIEP"}</definedName>
    <definedName name="ggggggggggg" localSheetId="20">{"QQQ",#N/A,FALSE,"RIEP"}</definedName>
    <definedName name="ggggggggggg">{"QQQ",#N/A,FALSE,"RIEP"}</definedName>
    <definedName name="ghi" localSheetId="20">{#N/A,#N/A,FALSE,"Tabl. FB300";#N/A,#N/A,FALSE,"Tabl. FB350";#N/A,#N/A,FALSE,"Tabl. FB400";#N/A,#N/A,FALSE,"Tabl. FB500";#N/A,#N/A,FALSE,"Tabl. FS090"}</definedName>
    <definedName name="ghi">{#N/A,#N/A,FALSE,"Tabl. FB300";#N/A,#N/A,FALSE,"Tabl. FB350";#N/A,#N/A,FALSE,"Tabl. FB400";#N/A,#N/A,FALSE,"Tabl. FB500";#N/A,#N/A,FALSE,"Tabl. FS090"}</definedName>
    <definedName name="GOODWILL_NET">"GOODWILL_NET"</definedName>
    <definedName name="graph" localSheetId="20">{"monthly",#N/A,FALSE,"GASODEM";"qtr to yr",#N/A,FALSE,"GASODEM"}</definedName>
    <definedName name="graph">{"monthly",#N/A,FALSE,"GASODEM";"qtr to yr",#N/A,FALSE,"GASODEM"}</definedName>
    <definedName name="graph1">#REF!</definedName>
    <definedName name="grgreg" localSheetId="20">{#N/A,#N/A,FALSE,"Tabl. G1";#N/A,#N/A,FALSE,"Tabl. G2"}</definedName>
    <definedName name="grgreg">{#N/A,#N/A,FALSE,"Tabl. G1";#N/A,#N/A,FALSE,"Tabl. G2"}</definedName>
    <definedName name="GROSS_DIVID">"GROSS_DIVID"</definedName>
    <definedName name="GROSS_MARGIN">"GROSS_MARGIN"</definedName>
    <definedName name="GROSS_PROFIT">"GROSS_PROFIT"</definedName>
    <definedName name="Guaraniana">#REF!</definedName>
    <definedName name="GUILLAU" localSheetId="20">{#N/A,#N/A,FALSE,"Tabl. D1";#N/A,#N/A,FALSE,"Tabl. D1 b";#N/A,#N/A,FALSE,"Tabl. D2";#N/A,#N/A,FALSE,"Tabl. D2 b";#N/A,#N/A,FALSE,"Tabl. D3";#N/A,#N/A,FALSE,"Tabl. D4";#N/A,#N/A,FALSE,"Tabl. D5"}</definedName>
    <definedName name="GUILLAU">{#N/A,#N/A,FALSE,"Tabl. D1";#N/A,#N/A,FALSE,"Tabl. D1 b";#N/A,#N/A,FALSE,"Tabl. D2";#N/A,#N/A,FALSE,"Tabl. D2 b";#N/A,#N/A,FALSE,"Tabl. D3";#N/A,#N/A,FALSE,"Tabl. D4";#N/A,#N/A,FALSE,"Tabl. D5"}</definedName>
    <definedName name="gzdfs" localSheetId="20">{"'pg(12)'!$B$1:$N$16"}</definedName>
    <definedName name="gzdfs">{"'pg(12)'!$B$1:$N$16"}</definedName>
    <definedName name="h" localSheetId="20">{#N/A,#N/A,FALSE,"ANEXO3 99 ERA";#N/A,#N/A,FALSE,"ANEXO3 99 UBÁ2";#N/A,#N/A,FALSE,"ANEXO3 99 DTU";#N/A,#N/A,FALSE,"ANEXO3 99 RDR";#N/A,#N/A,FALSE,"ANEXO3 99 UBÁ4";#N/A,#N/A,FALSE,"ANEXO3 99 UBÁ6"}</definedName>
    <definedName name="h">{#N/A,#N/A,FALSE,"ANEXO3 99 ERA";#N/A,#N/A,FALSE,"ANEXO3 99 UBÁ2";#N/A,#N/A,FALSE,"ANEXO3 99 DTU";#N/A,#N/A,FALSE,"ANEXO3 99 RDR";#N/A,#N/A,FALSE,"ANEXO3 99 UBÁ4";#N/A,#N/A,FALSE,"ANEXO3 99 UBÁ6"}</definedName>
    <definedName name="hbhajx" localSheetId="20">{"SPM1",#N/A,FALSE,"RIEP"}</definedName>
    <definedName name="hbhajx">{"SPM1",#N/A,FALSE,"RIEP"}</definedName>
    <definedName name="hdethteh" localSheetId="20">{#N/A,#N/A,FALSE,"ANEXO3 99 ERA";#N/A,#N/A,FALSE,"ANEXO3 99 UBÁ2";#N/A,#N/A,FALSE,"ANEXO3 99 DTU";#N/A,#N/A,FALSE,"ANEXO3 99 RDR";#N/A,#N/A,FALSE,"ANEXO3 99 UBÁ4";#N/A,#N/A,FALSE,"ANEXO3 99 UBÁ6"}</definedName>
    <definedName name="hdethteh">{#N/A,#N/A,FALSE,"ANEXO3 99 ERA";#N/A,#N/A,FALSE,"ANEXO3 99 UBÁ2";#N/A,#N/A,FALSE,"ANEXO3 99 DTU";#N/A,#N/A,FALSE,"ANEXO3 99 RDR";#N/A,#N/A,FALSE,"ANEXO3 99 UBÁ4";#N/A,#N/A,FALSE,"ANEXO3 99 UBÁ6"}</definedName>
    <definedName name="hdhddshds" localSheetId="20">{#N/A,#N/A,FALSE,"ANEXO3 99 ERA";#N/A,#N/A,FALSE,"ANEXO3 99 UBÁ2";#N/A,#N/A,FALSE,"ANEXO3 99 DTU";#N/A,#N/A,FALSE,"ANEXO3 99 RDR";#N/A,#N/A,FALSE,"ANEXO3 99 UBÁ4";#N/A,#N/A,FALSE,"ANEXO3 99 UBÁ6"}</definedName>
    <definedName name="hdhddshds">{#N/A,#N/A,FALSE,"ANEXO3 99 ERA";#N/A,#N/A,FALSE,"ANEXO3 99 UBÁ2";#N/A,#N/A,FALSE,"ANEXO3 99 DTU";#N/A,#N/A,FALSE,"ANEXO3 99 RDR";#N/A,#N/A,FALSE,"ANEXO3 99 UBÁ4";#N/A,#N/A,FALSE,"ANEXO3 99 UBÁ6"}</definedName>
    <definedName name="hehehewhewhtew" localSheetId="20">{#N/A,#N/A,FALSE,"ANEXO3 99 ERA";#N/A,#N/A,FALSE,"ANEXO3 99 UBÁ2";#N/A,#N/A,FALSE,"ANEXO3 99 DTU";#N/A,#N/A,FALSE,"ANEXO3 99 RDR";#N/A,#N/A,FALSE,"ANEXO3 99 UBÁ4";#N/A,#N/A,FALSE,"ANEXO3 99 UBÁ6"}</definedName>
    <definedName name="hehehewhewhtew">{#N/A,#N/A,FALSE,"ANEXO3 99 ERA";#N/A,#N/A,FALSE,"ANEXO3 99 UBÁ2";#N/A,#N/A,FALSE,"ANEXO3 99 DTU";#N/A,#N/A,FALSE,"ANEXO3 99 RDR";#N/A,#N/A,FALSE,"ANEXO3 99 UBÁ4";#N/A,#N/A,FALSE,"ANEXO3 99 UBÁ6"}</definedName>
    <definedName name="HEKIE?." localSheetId="20">{#N/A,#N/A,FALSE,"Tabl. FB300";#N/A,#N/A,FALSE,"Tabl. FB350";#N/A,#N/A,FALSE,"Tabl. FB400";#N/A,#N/A,FALSE,"Tabl. FB500";#N/A,#N/A,FALSE,"Tabl. FS090"}</definedName>
    <definedName name="HEKIE?.">{#N/A,#N/A,FALSE,"Tabl. FB300";#N/A,#N/A,FALSE,"Tabl. FB350";#N/A,#N/A,FALSE,"Tabl. FB400";#N/A,#N/A,FALSE,"Tabl. FB500";#N/A,#N/A,FALSE,"Tabl. FS090"}</definedName>
    <definedName name="hfderfPOURE" localSheetId="20">{#N/A,#N/A,FALSE,"RIEP"}</definedName>
    <definedName name="hfderfPOURE">{#N/A,#N/A,FALSE,"RIEP"}</definedName>
    <definedName name="hhh" localSheetId="20">{"CECons",#N/A,FALSE,"CE"}</definedName>
    <definedName name="hhh">{"CECons",#N/A,FALSE,"CE"}</definedName>
    <definedName name="HHHH" localSheetId="20">{"TotalGeralDespesasPorArea",#N/A,FALSE,"VinculosAccessEfetivo"}</definedName>
    <definedName name="HHHH">{"TotalGeralDespesasPorArea",#N/A,FALSE,"VinculosAccessEfetivo"}</definedName>
    <definedName name="hhhhh" localSheetId="20">{#N/A,#N/A,FALSE,"CONTROLE"}</definedName>
    <definedName name="hhhhh">{#N/A,#N/A,FALSE,"CONTROLE"}</definedName>
    <definedName name="hhhhhhh" localSheetId="20">{"SPM1",#N/A,FALSE,"RIEP"}</definedName>
    <definedName name="hhhhhhh">{"SPM1",#N/A,FALSE,"RIEP"}</definedName>
    <definedName name="hhhhhhhh" localSheetId="20">{#N/A,#N/A,FALSE,"CONTROLE"}</definedName>
    <definedName name="hhhhhhhh">{#N/A,#N/A,FALSE,"CONTROLE"}</definedName>
    <definedName name="hhhhhhhhh" localSheetId="20">{#N/A,#N/A,FALSE,"CONTROLE"}</definedName>
    <definedName name="hhhhhhhhh">{#N/A,#N/A,FALSE,"CONTROLE"}</definedName>
    <definedName name="HIGHPRICE">"HIGHPRICE"</definedName>
    <definedName name="hjk"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hjk">{#N/A,#N/A,TRUE,"Récap.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ht" localSheetId="20">{"'DEC ou FEC'!$A$1:$O$132"}</definedName>
    <definedName name="ht">{"'DEC ou FEC'!$A$1:$O$132"}</definedName>
    <definedName name="HTML_CodePage">1252</definedName>
    <definedName name="HTML_Control" localSheetId="20">{"'Sheet1'!$A$1:$H$145"}</definedName>
    <definedName name="HTML_Control">{"'Sheet1'!$A$1:$H$145"}</definedName>
    <definedName name="HTML_Control2" localSheetId="20">{"'DEC ou FEC'!$A$1:$O$132"}</definedName>
    <definedName name="HTML_Control2">{"'DEC ou FEC'!$A$1:$O$132"}</definedName>
    <definedName name="HTML_Control3" localSheetId="20">{"'DEC ou FEC'!$A$1:$O$132"}</definedName>
    <definedName name="HTML_Control3">{"'DEC ou FEC'!$A$1:$O$132"}</definedName>
    <definedName name="HTML_Control4" localSheetId="20">{"'DEC ou FEC'!$A$1:$O$132"}</definedName>
    <definedName name="HTML_Control4">{"'DEC ou FEC'!$A$1:$O$132"}</definedName>
    <definedName name="HTML_Control5" localSheetId="20">{"'DEC ou FEC'!$A$1:$O$132"}</definedName>
    <definedName name="HTML_Control5">{"'DEC ou FEC'!$A$1:$O$132"}</definedName>
    <definedName name="HTML_Control6" localSheetId="20">{"'DEC ou FEC'!$A$1:$O$132"}</definedName>
    <definedName name="HTML_Control6">{"'DEC ou FEC'!$A$1:$O$132"}</definedName>
    <definedName name="HTML_Control7" localSheetId="20">{"'DEC ou FEC'!$A$1:$O$132"}</definedName>
    <definedName name="HTML_Control7">{"'DEC ou FEC'!$A$1:$O$132"}</definedName>
    <definedName name="HTML_Control8" localSheetId="20">{"'DEC ou FEC'!$A$1:$O$132"}</definedName>
    <definedName name="HTML_Control8">{"'DEC ou FEC'!$A$1:$O$132"}</definedName>
    <definedName name="HTML_Description">""</definedName>
    <definedName name="HTML_Email">""</definedName>
    <definedName name="HTML_Header">""</definedName>
    <definedName name="HTML_LastUpdate">""</definedName>
    <definedName name="HTML_LineAfter">FALSE</definedName>
    <definedName name="HTML_LineBefore">FALSE</definedName>
    <definedName name="HTML_Name">""</definedName>
    <definedName name="HTML_OBDlg2">TRUE</definedName>
    <definedName name="HTML_OBDlg4">TRUE</definedName>
    <definedName name="HTML_OS">0</definedName>
    <definedName name="HTML_PathFile">"D:\FrontPage Webs\Content\isa98\CND\capitulo4\Tabla4.4.98.htm"</definedName>
    <definedName name="HTML_PathFileMac">"Macintosh HD:HomePageStuff:New_Home_Page:datafile:ctryprem.html"</definedName>
    <definedName name="HTML_Title">"Tabla4.4.98"</definedName>
    <definedName name="HTML1_1">"[APU97.XLS]INTRA!$A$1:$B$93"</definedName>
    <definedName name="HTML1_10">""</definedName>
    <definedName name="HTML1_11">1</definedName>
    <definedName name="HTML1_12">"\\NT_ECON\InetPub\wwwroot\Fiscal\Impostos\CSIRADI.htm"</definedName>
    <definedName name="HTML1_2">1</definedName>
    <definedName name="HTML1_3">""</definedName>
    <definedName name="HTML1_4">""</definedName>
    <definedName name="HTML1_5">""</definedName>
    <definedName name="HTML1_6">-4146</definedName>
    <definedName name="HTML1_7">-4146</definedName>
    <definedName name="HTML1_8">"3/17/97"</definedName>
    <definedName name="HTML1_9">"Aswath Damodaran"</definedName>
    <definedName name="HTML2_1">"[histret.xls]Sheet1!$A$1:$G$85"</definedName>
    <definedName name="HTML2_10">""</definedName>
    <definedName name="HTML2_11">1</definedName>
    <definedName name="HTML2_12">"Macintosh HD:New_Home_Page:datafile:histret.html"</definedName>
    <definedName name="HTML2_2">1</definedName>
    <definedName name="HTML2_3">"Historical Returns"</definedName>
    <definedName name="HTML2_4">"Historical Returns on Stocks, Bonds and Bills"</definedName>
    <definedName name="HTML2_5">""</definedName>
    <definedName name="HTML2_6">1</definedName>
    <definedName name="HTML2_7">1</definedName>
    <definedName name="HTML2_8">"2/3/98"</definedName>
    <definedName name="HTML2_9">"Aswath Damodaran"</definedName>
    <definedName name="HTML3_1">"[APU97.XLS]INTRA!$A$2:$B$92"</definedName>
    <definedName name="HTML3_10">""</definedName>
    <definedName name="HTML3_11">1</definedName>
    <definedName name="HTML3_12">"C:\Meus Documentos\IR1997\csiradi.htm"</definedName>
    <definedName name="HTML3_2">1</definedName>
    <definedName name="HTML3_3">""</definedName>
    <definedName name="HTML3_4">""</definedName>
    <definedName name="HTML3_5">""</definedName>
    <definedName name="HTML3_6">-4146</definedName>
    <definedName name="HTML3_7">-4146</definedName>
    <definedName name="HTML3_8">"21/08/97"</definedName>
    <definedName name="HTML3_9">""</definedName>
    <definedName name="HTML4_1">"[APU97.XLS]INTRA!$A$1:$B$91"</definedName>
    <definedName name="HTML4_10">""</definedName>
    <definedName name="HTML4_11">1</definedName>
    <definedName name="HTML4_12">"\\NT_ECON\InetPub\wwwroot\Fiscal\Impostos\CSIRADI.htm"</definedName>
    <definedName name="HTML4_2">1</definedName>
    <definedName name="HTML4_3">""</definedName>
    <definedName name="HTML4_4">""</definedName>
    <definedName name="HTML4_5">""</definedName>
    <definedName name="HTML4_6">-4146</definedName>
    <definedName name="HTML4_7">-4146</definedName>
    <definedName name="HTML4_8">"08/08/97"</definedName>
    <definedName name="HTML4_9">""</definedName>
    <definedName name="HTML5_1">"[APU97.XLS]INTRA!$D$2:$E$92"</definedName>
    <definedName name="HTML5_10">""</definedName>
    <definedName name="HTML5_11">1</definedName>
    <definedName name="HTML5_12">"C:\Meus Documentos\IR1997\csirinfo.htm"</definedName>
    <definedName name="HTML5_2">1</definedName>
    <definedName name="HTML5_3">""</definedName>
    <definedName name="HTML5_4">""</definedName>
    <definedName name="HTML5_5">""</definedName>
    <definedName name="HTML5_6">-4146</definedName>
    <definedName name="HTML5_7">-4146</definedName>
    <definedName name="HTML5_8">"21/08/97"</definedName>
    <definedName name="HTML5_9">""</definedName>
    <definedName name="HTML6_1">"[APU97.XLS]INTRA!$G$2:$H$92"</definedName>
    <definedName name="HTML6_10">""</definedName>
    <definedName name="HTML6_11">1</definedName>
    <definedName name="HTML6_12">"C:\Meus Documentos\IR1997\csiritph.htm"</definedName>
    <definedName name="HTML6_2">1</definedName>
    <definedName name="HTML6_3">""</definedName>
    <definedName name="HTML6_4">""</definedName>
    <definedName name="HTML6_5">""</definedName>
    <definedName name="HTML6_6">-4146</definedName>
    <definedName name="HTML6_7">-4146</definedName>
    <definedName name="HTML6_8">"21/08/97"</definedName>
    <definedName name="HTML6_9">""</definedName>
    <definedName name="HTML7_1">"[APU97.XLS]INTRA!$J$2:$K$92"</definedName>
    <definedName name="HTML7_10">""</definedName>
    <definedName name="HTML7_11">1</definedName>
    <definedName name="HTML7_12">"C:\Meus Documentos\IR1997\csircom.htm"</definedName>
    <definedName name="HTML7_2">1</definedName>
    <definedName name="HTML7_3">""</definedName>
    <definedName name="HTML7_4">""</definedName>
    <definedName name="HTML7_5">""</definedName>
    <definedName name="HTML7_6">-4146</definedName>
    <definedName name="HTML7_7">-4146</definedName>
    <definedName name="HTML7_8">"21/08/97"</definedName>
    <definedName name="HTML7_9">""</definedName>
    <definedName name="HTML8_1">"[APU97.XLS]INTRA!$M$2:$N$92"</definedName>
    <definedName name="HTML8_10">""</definedName>
    <definedName name="HTML8_11">1</definedName>
    <definedName name="HTML8_12">"C:\Meus Documentos\IR1997\csiripp.htm"</definedName>
    <definedName name="HTML8_2">1</definedName>
    <definedName name="HTML8_3">""</definedName>
    <definedName name="HTML8_4">""</definedName>
    <definedName name="HTML8_5">""</definedName>
    <definedName name="HTML8_6">-4146</definedName>
    <definedName name="HTML8_7">-4146</definedName>
    <definedName name="HTML8_8">"21/08/97"</definedName>
    <definedName name="HTML8_9">""</definedName>
    <definedName name="HTMLCount">2</definedName>
    <definedName name="ICE">#REF!</definedName>
    <definedName name="ihb" localSheetId="20">{#N/A,#N/A,FALSE,"Tabl. D1";#N/A,#N/A,FALSE,"Tabl. D1 b";#N/A,#N/A,FALSE,"Tabl. D2";#N/A,#N/A,FALSE,"Tabl. D2 b";#N/A,#N/A,FALSE,"Tabl. D3";#N/A,#N/A,FALSE,"Tabl. D4";#N/A,#N/A,FALSE,"Tabl. D5"}</definedName>
    <definedName name="ihb">{#N/A,#N/A,FALSE,"Tabl. D1";#N/A,#N/A,FALSE,"Tabl. D1 b";#N/A,#N/A,FALSE,"Tabl. D2";#N/A,#N/A,FALSE,"Tabl. D2 b";#N/A,#N/A,FALSE,"Tabl. D3";#N/A,#N/A,FALSE,"Tabl. D4";#N/A,#N/A,FALSE,"Tabl. D5"}</definedName>
    <definedName name="II" localSheetId="20">{"TotalGeralDespesasPorArea",#N/A,FALSE,"VinculosAccessEfetivo"}</definedName>
    <definedName name="II">{"TotalGeralDespesasPorArea",#N/A,FALSE,"VinculosAccessEfetivo"}</definedName>
    <definedName name="iiiii" localSheetId="20">{#N/A,#N/A,FALSE,"Calc";#N/A,#N/A,FALSE,"Sensitivity";#N/A,#N/A,FALSE,"LT Earn.Dil.";#N/A,#N/A,FALSE,"Dil. AVP"}</definedName>
    <definedName name="iiiii">{#N/A,#N/A,FALSE,"Calc";#N/A,#N/A,FALSE,"Sensitivity";#N/A,#N/A,FALSE,"LT Earn.Dil.";#N/A,#N/A,FALSE,"Dil. AVP"}</definedName>
    <definedName name="iLUMINAÇÃO" localSheetId="20">{#N/A,#N/A,FALSE,"ANEXO3 99 ERA";#N/A,#N/A,FALSE,"ANEXO3 99 UBÁ2";#N/A,#N/A,FALSE,"ANEXO3 99 DTU";#N/A,#N/A,FALSE,"ANEXO3 99 RDR";#N/A,#N/A,FALSE,"ANEXO3 99 UBÁ4";#N/A,#N/A,FALSE,"ANEXO3 99 UBÁ6"}</definedName>
    <definedName name="iLUMINAÇÃO">{#N/A,#N/A,FALSE,"ANEXO3 99 ERA";#N/A,#N/A,FALSE,"ANEXO3 99 UBÁ2";#N/A,#N/A,FALSE,"ANEXO3 99 DTU";#N/A,#N/A,FALSE,"ANEXO3 99 RDR";#N/A,#N/A,FALSE,"ANEXO3 99 UBÁ4";#N/A,#N/A,FALSE,"ANEXO3 99 UBÁ6"}</definedName>
    <definedName name="im" localSheetId="20">{#N/A,#N/A,FALSE,"ENERGIA";#N/A,#N/A,FALSE,"PERDIDAS";#N/A,#N/A,FALSE,"CLIENTES";#N/A,#N/A,FALSE,"ESTADO";#N/A,#N/A,FALSE,"TECNICA"}</definedName>
    <definedName name="im">{#N/A,#N/A,FALSE,"ENERGIA";#N/A,#N/A,FALSE,"PERDIDAS";#N/A,#N/A,FALSE,"CLIENTES";#N/A,#N/A,FALSE,"ESTADO";#N/A,#N/A,FALSE,"TECNICA"}</definedName>
    <definedName name="im_1" localSheetId="20">{#N/A,#N/A,FALSE,"ENERGIA";#N/A,#N/A,FALSE,"PERDIDAS";#N/A,#N/A,FALSE,"CLIENTES";#N/A,#N/A,FALSE,"ESTADO";#N/A,#N/A,FALSE,"TECNICA"}</definedName>
    <definedName name="im_1">{#N/A,#N/A,FALSE,"ENERGIA";#N/A,#N/A,FALSE,"PERDIDAS";#N/A,#N/A,FALSE,"CLIENTES";#N/A,#N/A,FALSE,"ESTADO";#N/A,#N/A,FALSE,"TECNICA"}</definedName>
    <definedName name="ime" localSheetId="20">{#N/A,#N/A,FALSE,"LLAVE";#N/A,#N/A,FALSE,"EERR";#N/A,#N/A,FALSE,"ESP";#N/A,#N/A,FALSE,"EOAF";#N/A,#N/A,FALSE,"CASH";#N/A,#N/A,FALSE,"FINANZAS";#N/A,#N/A,FALSE,"DEUDA";#N/A,#N/A,FALSE,"INVERSION";#N/A,#N/A,FALSE,"PERSONAL"}</definedName>
    <definedName name="ime">{#N/A,#N/A,FALSE,"LLAVE";#N/A,#N/A,FALSE,"EERR";#N/A,#N/A,FALSE,"ESP";#N/A,#N/A,FALSE,"EOAF";#N/A,#N/A,FALSE,"CASH";#N/A,#N/A,FALSE,"FINANZAS";#N/A,#N/A,FALSE,"DEUDA";#N/A,#N/A,FALSE,"INVERSION";#N/A,#N/A,FALSE,"PERSONAL"}</definedName>
    <definedName name="ime_1" localSheetId="20">{#N/A,#N/A,FALSE,"LLAVE";#N/A,#N/A,FALSE,"EERR";#N/A,#N/A,FALSE,"ESP";#N/A,#N/A,FALSE,"EOAF";#N/A,#N/A,FALSE,"CASH";#N/A,#N/A,FALSE,"FINANZAS";#N/A,#N/A,FALSE,"DEUDA";#N/A,#N/A,FALSE,"INVERSION";#N/A,#N/A,FALSE,"PERSONAL"}</definedName>
    <definedName name="ime_1">{#N/A,#N/A,FALSE,"LLAVE";#N/A,#N/A,FALSE,"EERR";#N/A,#N/A,FALSE,"ESP";#N/A,#N/A,FALSE,"EOAF";#N/A,#N/A,FALSE,"CASH";#N/A,#N/A,FALSE,"FINANZAS";#N/A,#N/A,FALSE,"DEUDA";#N/A,#N/A,FALSE,"INVERSION";#N/A,#N/A,FALSE,"PERSONAL"}</definedName>
    <definedName name="Inad">49</definedName>
    <definedName name="INC_AFTER_TAX">"INC_AFTER_TAX"</definedName>
    <definedName name="INC_AVAIL_EXCL">"INC_AVAIL_EXCL"</definedName>
    <definedName name="INC_AVAIL_INCL">"INC_AVAIL_INCL"</definedName>
    <definedName name="INC_BEFORE_TAX">"INC_BEFORE_TAX"</definedName>
    <definedName name="INC_TAX">"INC_TAX"</definedName>
    <definedName name="INC_TAX_EXCL">"INC_TAX_EXCL"</definedName>
    <definedName name="Incentive">#REF!</definedName>
    <definedName name="Infraestrutura">_Config!$L$5:$L$7</definedName>
    <definedName name="Infraestrutura_ajustada_26012025">#REF!</definedName>
    <definedName name="InfraestruturaBensImóveis">_Config!$W$16:$W$17</definedName>
    <definedName name="InfraestruturaBensMóveis">_Config!$V$16:$V$19</definedName>
    <definedName name="InfraestruturaTecnologiadaInformação">_Config!$X$16:$X$19</definedName>
    <definedName name="inputs" localSheetId="20">{"Inputs 1","Base",FALSE,"INPUTS";"Inputs 2","Base",FALSE,"INPUTS";"Inputs 3","Base",FALSE,"INPUTS";"Inputs 4","Base",FALSE,"INPUTS";"Inputs 5","Base",FALSE,"INPUTS"}</definedName>
    <definedName name="inputs">{"Inputs 1","Base",FALSE,"INPUTS";"Inputs 2","Base",FALSE,"INPUTS";"Inputs 3","Base",FALSE,"INPUTS";"Inputs 4","Base",FALSE,"INPUTS";"Inputs 5","Base",FALSE,"INPUTS"}</definedName>
    <definedName name="INTANGIBLES_NET">"INTANGIBLES_NET"</definedName>
    <definedName name="INTEREST_EXP_NET">"INTEREST_EXP_NET"</definedName>
    <definedName name="INTEREST_EXP_NON">"INTEREST_EXP_NON"</definedName>
    <definedName name="INTEREST_EXP_SUPPL">"INTEREST_EXP_SUPPL"</definedName>
    <definedName name="INTEREST_INC">"INTEREST_INC"</definedName>
    <definedName name="INTEREST_INC_10K">"INTEREST_INC_10K"</definedName>
    <definedName name="INTEREST_INC_10Q">"INTEREST_INC_10Q"</definedName>
    <definedName name="INTEREST_INC_10Q1">"INTEREST_INC_10Q1"</definedName>
    <definedName name="INTEREST_INC_NON">"INTEREST_INC_NON"</definedName>
    <definedName name="INVENTORY_TURNS">"INVENTORY_TURNS"</definedName>
    <definedName name="io" localSheetId="20">{"CECons",#N/A,FALSE,"CE"}</definedName>
    <definedName name="io">{"CECons",#N/A,FALSE,"CE"}</definedName>
    <definedName name="IQ_ABS_PERIOD_EST">"c16122"</definedName>
    <definedName name="IQ_ACCOUNT_CHANGE">"c1449"</definedName>
    <definedName name="IQ_ACCOUNT_CODE_INTEREST_PENALTIES">"c15741"</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GROWTH">"c1924"</definedName>
    <definedName name="IQ_ACCT_RECV_1YR_ANN_GROWTH">"c1919"</definedName>
    <definedName name="IQ_ACCT_RECV_2YR_ANN_GROWTH">"c1920"</definedName>
    <definedName name="IQ_ACCT_RECV_3YR_ANN_GROWTH">"c1921"</definedName>
    <definedName name="IQ_ACCT_RECV_5YR_ANN_GROWTH">"c1922"</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_WIRELESS_SUB">"c2125"</definedName>
    <definedName name="IQ_ACQ_COSTS_CAPITALIZED">"c5"</definedName>
    <definedName name="IQ_ACQUIRE_REAL_ESTATE_CF">"c6"</definedName>
    <definedName name="IQ_ACQUISITION_COST_SUB">"c15807"</definedName>
    <definedName name="IQ_ACQUISITION_RE_ASSETS">"c1628"</definedName>
    <definedName name="IQ_AD">"c7"</definedName>
    <definedName name="IQ_ADD_PAID_IN">"c1344"</definedName>
    <definedName name="IQ_ADD_TAX_POSITIONS_CURRENT_YR">"c15733"</definedName>
    <definedName name="IQ_ADD_TAX_POSITIONS_PRIOR_YRS">"c15735"</definedName>
    <definedName name="IQ_ADDIN">"AUTO"</definedName>
    <definedName name="IQ_ADJ_AVG_BANK_ASSETS">"c2671"</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IT">"c13"</definedName>
    <definedName name="IQ_AE_UTI">"c14"</definedName>
    <definedName name="IQ_AFFO_DILUTED">"c16188"</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GROWTH">"c18"</definedName>
    <definedName name="IQ_ALLOWANCE_1YR_ANN_GROWTH">"c19"</definedName>
    <definedName name="IQ_ALLOWANCE_2YR_ANN_GROWTH">"c20"</definedName>
    <definedName name="IQ_ALLOWANCE_3YR_ANN_GROWTH">"c21"</definedName>
    <definedName name="IQ_ALLOWANCE_5YR_ANN_GROWTH">"c22"</definedName>
    <definedName name="IQ_ALLOWANCE_7YR_ANN_GROWTH">"c23"</definedName>
    <definedName name="IQ_ALLOWANCE_CHARGE_OFFS">"c24"</definedName>
    <definedName name="IQ_ALLOWANCE_NON_PERF_LOANS">"c25"</definedName>
    <definedName name="IQ_ALLOWANCE_TOTAL_LOANS">"c26"</definedName>
    <definedName name="IQ_AMORTIZATION">"c1591"</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IT">"c37"</definedName>
    <definedName name="IQ_AP_UTI">"c38"</definedName>
    <definedName name="IQ_APIC">"c39"</definedName>
    <definedName name="IQ_AR">"c40"</definedName>
    <definedName name="IQ_AR_BR">"c41"</definedName>
    <definedName name="IQ_AR_LT">"c42"</definedName>
    <definedName name="IQ_AR_REIT">"c43"</definedName>
    <definedName name="IQ_AR_TURNS">"c44"</definedName>
    <definedName name="IQ_AR_UTI">"c45"</definedName>
    <definedName name="IQ_ARPU">"c2126"</definedName>
    <definedName name="IQ_ARPU_ANALOG_CABLE">"c2864"</definedName>
    <definedName name="IQ_ARPU_BASIC_CABLE">"c2866"</definedName>
    <definedName name="IQ_ARPU_BBAND">"c2867"</definedName>
    <definedName name="IQ_ARPU_DIG_CABLE">"c2865"</definedName>
    <definedName name="IQ_ARPU_PHONE">"c2868"</definedName>
    <definedName name="IQ_ARPU_POSTPAID_WIRELESS">"c15758"</definedName>
    <definedName name="IQ_ARPU_PREPAID_WIRELESS">"c15759"</definedName>
    <definedName name="IQ_ARPU_RETAIL_WIRELESS">"c15760"</definedName>
    <definedName name="IQ_ARPU_SATELLITE">"c15790"</definedName>
    <definedName name="IQ_ARPU_TOTAL">"c2869"</definedName>
    <definedName name="IQ_ARPU_WHOLESALE_WIRELESS">"c15761"</definedName>
    <definedName name="IQ_ARPU_WIRELESS">"c2126"</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IT">"c56"</definedName>
    <definedName name="IQ_ASSET_WRITEDOWN_CF_UTI">"c57"</definedName>
    <definedName name="IQ_ASSET_WRITEDOWN_FIN">"c58"</definedName>
    <definedName name="IQ_ASSET_WRITEDOWN_INS">"c59"</definedName>
    <definedName name="IQ_ASSET_WRITEDOWN_REIT">"c60"</definedName>
    <definedName name="IQ_ASSET_WRITEDOWN_UTI">"c61"</definedName>
    <definedName name="IQ_ASSETS_CAP_LEASE_DEPR">"c2068"</definedName>
    <definedName name="IQ_ASSETS_CAP_LEASE_GROSS">"c2069"</definedName>
    <definedName name="IQ_ASSETS_OPER_LEASE_DEPR">"c2070"</definedName>
    <definedName name="IQ_ASSETS_OPER_LEASE_GROSS">"c2071"</definedName>
    <definedName name="IQ_ASSIGNED_RESERVES_COAL">"c15912"</definedName>
    <definedName name="IQ_ASSIGNED_RESERVES_TO_TOTAL_RESERVES_COAL">"c15955"</definedName>
    <definedName name="IQ_ASSUMED_AH_EARNED">"c2741"</definedName>
    <definedName name="IQ_ASSUMED_EARNED">"c2731"</definedName>
    <definedName name="IQ_ASSUMED_LIFE_EARNED">"c2736"</definedName>
    <definedName name="IQ_ASSUMED_LIFE_IN_FORCE">"c2766"</definedName>
    <definedName name="IQ_ASSUMED_LOSSES">"c15870"</definedName>
    <definedName name="IQ_ASSUMED_PC_EARNED">"c2746"</definedName>
    <definedName name="IQ_ASSUMED_PREMIUMS_EARNED_GROSS_PREMIUMS_EARNED">"c15886"</definedName>
    <definedName name="IQ_ASSUMED_PREMIUMS_WRITTEN_GROSS_PREMIUMS_WRITTEN">"c15884"</definedName>
    <definedName name="IQ_ASSUMED_WRITTEN">"c2725"</definedName>
    <definedName name="IQ_AUDITOR_NAME">"c1539"</definedName>
    <definedName name="IQ_AUDITOR_OPINION">"c1540"</definedName>
    <definedName name="IQ_AUTO_LOANS_TOTAL_LOANS">"c15713"</definedName>
    <definedName name="IQ_AUTO_WRITTEN">"c62"</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INT_BEAR_LIAB">"c66"</definedName>
    <definedName name="IQ_AVG_INT_BEAR_LIAB_10YR_ANN_GROWTH">"c67"</definedName>
    <definedName name="IQ_AVG_INT_BEAR_LIAB_1YR_ANN_GROWTH">"c68"</definedName>
    <definedName name="IQ_AVG_INT_BEAR_LIAB_2YR_ANN_GROWTH">"c69"</definedName>
    <definedName name="IQ_AVG_INT_BEAR_LIAB_3YR_ANN_GROWTH">"c70"</definedName>
    <definedName name="IQ_AVG_INT_BEAR_LIAB_5YR_ANN_GROWTH">"c71"</definedName>
    <definedName name="IQ_AVG_INT_BEAR_LIAB_7YR_ANN_GROWTH">"c72"</definedName>
    <definedName name="IQ_AVG_INT_EARN_ASSETS">"c73"</definedName>
    <definedName name="IQ_AVG_INT_EARN_ASSETS_10YR_ANN_GROWTH">"c74"</definedName>
    <definedName name="IQ_AVG_INT_EARN_ASSETS_1YR_ANN_GROWTH">"c75"</definedName>
    <definedName name="IQ_AVG_INT_EARN_ASSETS_2YR_ANN_GROWTH">"c76"</definedName>
    <definedName name="IQ_AVG_INT_EARN_ASSETS_3YR_ANN_GROWTH">"c77"</definedName>
    <definedName name="IQ_AVG_INT_EARN_ASSETS_5YR_ANN_GROWTH">"c78"</definedName>
    <definedName name="IQ_AVG_INT_EARN_ASSETS_7YR_ANN_GROWTH">"c79"</definedName>
    <definedName name="IQ_AVG_INV_HOMEBUILDING">"c15812"</definedName>
    <definedName name="IQ_AVG_INV_HOMES">"c15810"</definedName>
    <definedName name="IQ_AVG_INV_LAND_LOTS">"c15811"</definedName>
    <definedName name="IQ_AVG_MKTCAP">"c80"</definedName>
    <definedName name="IQ_AVG_PRICE">"c81"</definedName>
    <definedName name="IQ_AVG_PRICE_TARGET">"c82"</definedName>
    <definedName name="IQ_AVG_SHAREOUTSTANDING">"c83"</definedName>
    <definedName name="IQ_AVG_TEV">"c84"</definedName>
    <definedName name="IQ_AVG_VOLUME">"c1346"</definedName>
    <definedName name="IQ_BALANCE_GOODS_APR_FC_UNUSED_UNUSED_UNUSED">"c8353"</definedName>
    <definedName name="IQ_BALANCE_GOODS_APR_UNUSED_UNUSED_UNUSED">"c7473"</definedName>
    <definedName name="IQ_BALANCE_GOODS_FC_UNUSED_UNUSED_UNUSED">"c7693"</definedName>
    <definedName name="IQ_BALANCE_GOODS_POP_FC_UNUSED_UNUSED_UNUSED">"c7913"</definedName>
    <definedName name="IQ_BALANCE_GOODS_POP_UNUSED_UNUSED_UNUSED">"c7033"</definedName>
    <definedName name="IQ_BALANCE_GOODS_UNUSED_UNUSED_UNUSED">"c6813"</definedName>
    <definedName name="IQ_BALANCE_GOODS_YOY_FC_UNUSED_UNUSED_UNUSED">"c8133"</definedName>
    <definedName name="IQ_BALANCE_GOODS_YOY_UNUSED_UNUSED_UNUSED">"c7253"</definedName>
    <definedName name="IQ_BALANCE_SERV_APR_FC_UNUSED_UNUSED_UNUSED">"c8355"</definedName>
    <definedName name="IQ_BALANCE_SERV_APR_UNUSED_UNUSED_UNUSED">"c7475"</definedName>
    <definedName name="IQ_BALANCE_SERV_FC_UNUSED_UNUSED_UNUSED">"c7695"</definedName>
    <definedName name="IQ_BALANCE_SERV_POP_FC_UNUSED_UNUSED_UNUSED">"c7915"</definedName>
    <definedName name="IQ_BALANCE_SERV_POP_UNUSED_UNUSED_UNUSED">"c7035"</definedName>
    <definedName name="IQ_BALANCE_SERV_UNUSED_UNUSED_UNUSED">"c6815"</definedName>
    <definedName name="IQ_BALANCE_SERV_YOY_FC_UNUSED_UNUSED_UNUSED">"c8135"</definedName>
    <definedName name="IQ_BALANCE_SERV_YOY_UNUSED_UNUSED_UNUSED">"c7255"</definedName>
    <definedName name="IQ_BALANCE_TRADE_APR_FC_UNUSED_UNUSED_UNUSED">"c8357"</definedName>
    <definedName name="IQ_BALANCE_TRADE_APR_UNUSED_UNUSED_UNUSED">"c7477"</definedName>
    <definedName name="IQ_BALANCE_TRADE_FC_UNUSED_UNUSED_UNUSED">"c7697"</definedName>
    <definedName name="IQ_BALANCE_TRADE_POP_FC_UNUSED_UNUSED_UNUSED">"c7917"</definedName>
    <definedName name="IQ_BALANCE_TRADE_POP_UNUSED_UNUSED_UNUSED">"c7037"</definedName>
    <definedName name="IQ_BALANCE_TRADE_UNUSED_UNUSED_UNUSED">"c6817"</definedName>
    <definedName name="IQ_BALANCE_TRADE_YOY_FC_UNUSED_UNUSED_UNUSED">"c8137"</definedName>
    <definedName name="IQ_BALANCE_TRADE_YOY_UNUSED_UNUSED_UNUSED">"c7257"</definedName>
    <definedName name="IQ_BANK_DEBT">"c2544"</definedName>
    <definedName name="IQ_BANK_DEBT_PCT">"c2545"</definedName>
    <definedName name="IQ_BASE_RENT">"c16017"</definedName>
    <definedName name="IQ_BASE_RENT_OPERATING_LEASE_EXPIRING_AFTER_FIVE">"c16107"</definedName>
    <definedName name="IQ_BASE_RENT_OPERATING_LEASE_EXPIRING_CY">"c16101"</definedName>
    <definedName name="IQ_BASE_RENT_OPERATING_LEASE_EXPIRING_CY1">"c16102"</definedName>
    <definedName name="IQ_BASE_RENT_OPERATING_LEASE_EXPIRING_CY2">"c16103"</definedName>
    <definedName name="IQ_BASE_RENT_OPERATING_LEASE_EXPIRING_CY3">"c16104"</definedName>
    <definedName name="IQ_BASE_RENT_OPERATING_LEASE_EXPIRING_CY4">"c16105"</definedName>
    <definedName name="IQ_BASE_RENT_OPERATING_LEASE_EXPIRING_NEXT_FIVE">"c16106"</definedName>
    <definedName name="IQ_BASE_RENT_OPERATING_LEASE_EXPIRING_TOTAL">"c16108"</definedName>
    <definedName name="IQ_BASE_RENT_RENTAL_REVENUE">"c16062"</definedName>
    <definedName name="IQ_BASIC_EPS_EXCL">"c85"</definedName>
    <definedName name="IQ_BASIC_EPS_INCL">"c86"</definedName>
    <definedName name="IQ_BASIC_NAV_SHARES">"c16012"</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ALL_OTHER_COMP">"c18992"</definedName>
    <definedName name="IQ_BOARD_MEMBER_ANNUAL_CASH_COMP">"c18993"</definedName>
    <definedName name="IQ_BOARD_MEMBER_AS_REPORTED_COMP">"c18997"</definedName>
    <definedName name="IQ_BOARD_MEMBER_AS_REPORTED_DIRECTOR_COMP">"c19009"</definedName>
    <definedName name="IQ_BOARD_MEMBER_BACKGROUND">"c2101"</definedName>
    <definedName name="IQ_BOARD_MEMBER_BONUS">"c18988"</definedName>
    <definedName name="IQ_BOARD_MEMBER_CALCULATED_COMP">"c18995"</definedName>
    <definedName name="IQ_BOARD_MEMBER_CHANGE_PENSION">"c19010"</definedName>
    <definedName name="IQ_BOARD_MEMBER_DIRECTOR_BONUS">"c19004"</definedName>
    <definedName name="IQ_BOARD_MEMBER_DIRECTOR_CHANGE_PENSION">"c19005"</definedName>
    <definedName name="IQ_BOARD_MEMBER_DIRECTOR_FEE">"c19001"</definedName>
    <definedName name="IQ_BOARD_MEMBER_DIRECTOR_NON_EQUITY_COMP">"c19006"</definedName>
    <definedName name="IQ_BOARD_MEMBER_DIRECTOR_OPTION_AWARDS">"c19002"</definedName>
    <definedName name="IQ_BOARD_MEMBER_DIRECTOR_OTHER">"c19003"</definedName>
    <definedName name="IQ_BOARD_MEMBER_DIRECTOR_STOCK_AWARDS">"c19007"</definedName>
    <definedName name="IQ_BOARD_MEMBER_DIRECTOR_STOCK_GRANTS">"c19034"</definedName>
    <definedName name="IQ_BOARD_MEMBER_DIRECTOR_STOCK_OPTIONS">"c19008"</definedName>
    <definedName name="IQ_BOARD_MEMBER_EQUITY_INCENTIVE">"c19030"</definedName>
    <definedName name="IQ_BOARD_MEMBER_EST_PAYMENTS_CHANGE_CONTROL">"c18999"</definedName>
    <definedName name="IQ_BOARD_MEMBER_EST_PAYMENTS_TERMINATION">"c19011"</definedName>
    <definedName name="IQ_BOARD_MEMBER_EXERCISABLE_OPTIONS">"c19014"</definedName>
    <definedName name="IQ_BOARD_MEMBER_EXERCISABLE_VALUES">"c19015"</definedName>
    <definedName name="IQ_BOARD_MEMBER_EXERCISED_OPTIONS">"c19012"</definedName>
    <definedName name="IQ_BOARD_MEMBER_EXERCISED_VALUES">"c19013"</definedName>
    <definedName name="IQ_BOARD_MEMBER_LT_INCENTIVE">"c18991"</definedName>
    <definedName name="IQ_BOARD_MEMBER_MARKET_VALUE_SHARES_NOT_VESTED">"c19029"</definedName>
    <definedName name="IQ_BOARD_MEMBER_NON_EQUITY_INCENTIVE">"c19000"</definedName>
    <definedName name="IQ_BOARD_MEMBER_NUM_SHARED_NOT_VESTED">"c19028"</definedName>
    <definedName name="IQ_BOARD_MEMBER_NUM_SHARES_ACQUIRED">"c19026"</definedName>
    <definedName name="IQ_BOARD_MEMBER_OPTION_AWARDS">"c18996"</definedName>
    <definedName name="IQ_BOARD_MEMBER_OPTION_MARKET_PRICE">"c19025"</definedName>
    <definedName name="IQ_BOARD_MEMBER_OPTION_PRICE">"c19024"</definedName>
    <definedName name="IQ_BOARD_MEMBER_OTHER_ANNUAL_COMP">"c18989"</definedName>
    <definedName name="IQ_BOARD_MEMBER_OTHER_COMP">"c18998"</definedName>
    <definedName name="IQ_BOARD_MEMBER_RESTRICTED_STOCK_COMP">"c18990"</definedName>
    <definedName name="IQ_BOARD_MEMBER_SALARY">"c18987"</definedName>
    <definedName name="IQ_BOARD_MEMBER_ST_COMP">"c18994"</definedName>
    <definedName name="IQ_BOARD_MEMBER_TITLE">"c97"</definedName>
    <definedName name="IQ_BOARD_MEMBER_TOTAL_NUM_STOCK_AWARDS">"c19033"</definedName>
    <definedName name="IQ_BOARD_MEMBER_TOTAL_OPTIONS">"c19022"</definedName>
    <definedName name="IQ_BOARD_MEMBER_TOTAL_STOCK_VALUE">"c19032"</definedName>
    <definedName name="IQ_BOARD_MEMBER_TOTAL_VALUE_OPTIONS">"c19023"</definedName>
    <definedName name="IQ_BOARD_MEMBER_UNCLASSIFIED_OPTIONS">"c19018"</definedName>
    <definedName name="IQ_BOARD_MEMBER_UNCLASSIFIED_OPTIONS_VALUE">"c19019"</definedName>
    <definedName name="IQ_BOARD_MEMBER_UNEARNED_STOCK_VALUE">"c19031"</definedName>
    <definedName name="IQ_BOARD_MEMBER_UNEXERCISABLE_OPTIONS">"c19016"</definedName>
    <definedName name="IQ_BOARD_MEMBER_UNEXERCISABLE_VALUES">"c19017"</definedName>
    <definedName name="IQ_BOARD_MEMBER_UNEXERCISED_UNEARNED_OPTIONS">"c19020"</definedName>
    <definedName name="IQ_BOARD_MEMBER_UNEXERCISED_UNEARNED_OPTIONS_VALUE">"c19021"</definedName>
    <definedName name="IQ_BOARD_MEMBER_VALUE_VESTING">"c19027"</definedName>
    <definedName name="IQ_BOND_COUPON">"c2183"</definedName>
    <definedName name="IQ_BOND_COUPON_TYPE">"c2184"</definedName>
    <definedName name="IQ_BOND_PRICE">"c2162"</definedName>
    <definedName name="IQ_BONDRATING_FITCH">"IQ_BONDRATING_FITCH"</definedName>
    <definedName name="IQ_BONDRATING_SP">"IQ_BONDRATING_SP"</definedName>
    <definedName name="IQ_BOOK_VALUE">"IQ_BOOK_VALUE"</definedName>
    <definedName name="IQ_BROK_COMISSION">"c98"</definedName>
    <definedName name="IQ_BROK_COMMISSION">"c3514"</definedName>
    <definedName name="IQ_BUDGET_BALANCE_APR_FC_UNUSED_UNUSED_UNUSED">"c8359"</definedName>
    <definedName name="IQ_BUDGET_BALANCE_APR_UNUSED_UNUSED_UNUSED">"c7479"</definedName>
    <definedName name="IQ_BUDGET_BALANCE_FC_UNUSED_UNUSED_UNUSED">"c7699"</definedName>
    <definedName name="IQ_BUDGET_BALANCE_POP_FC_UNUSED_UNUSED_UNUSED">"c7919"</definedName>
    <definedName name="IQ_BUDGET_BALANCE_POP_UNUSED_UNUSED_UNUSED">"c7039"</definedName>
    <definedName name="IQ_BUDGET_BALANCE_UNUSED_UNUSED_UNUSED">"c6819"</definedName>
    <definedName name="IQ_BUDGET_BALANCE_YOY_FC_UNUSED_UNUSED_UNUSED">"c8139"</definedName>
    <definedName name="IQ_BUDGET_BALANCE_YOY_UNUSED_UNUSED_UNUSED">"c7259"</definedName>
    <definedName name="IQ_BUDGET_RECEIPTS_APR_FC_UNUSED_UNUSED_UNUSED">"c8361"</definedName>
    <definedName name="IQ_BUDGET_RECEIPTS_APR_UNUSED_UNUSED_UNUSED">"c7481"</definedName>
    <definedName name="IQ_BUDGET_RECEIPTS_FC_UNUSED_UNUSED_UNUSED">"c7701"</definedName>
    <definedName name="IQ_BUDGET_RECEIPTS_POP_FC_UNUSED_UNUSED_UNUSED">"c7921"</definedName>
    <definedName name="IQ_BUDGET_RECEIPTS_POP_UNUSED_UNUSED_UNUSED">"c7041"</definedName>
    <definedName name="IQ_BUDGET_RECEIPTS_UNUSED_UNUSED_UNUSED">"c6821"</definedName>
    <definedName name="IQ_BUDGET_RECEIPTS_YOY_FC_UNUSED_UNUSED_UNUSED">"c8141"</definedName>
    <definedName name="IQ_BUDGET_RECEIPTS_YOY_UNUSED_UNUSED_UNUSED">"c7261"</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DESCRIPTION">"c15589"</definedName>
    <definedName name="IQ_BUS_SEG_DESCRIPTION_ABS">"c15577"</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IC">"c15588"</definedName>
    <definedName name="IQ_BUS_SEG_NAIC_ABS">"c15576"</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PRIMARY_GIC">"c15584"</definedName>
    <definedName name="IQ_BUS_SEG_PRIMARY_GIC_ABS">"c15572"</definedName>
    <definedName name="IQ_BUS_SEG_PRIMARY_SIC">"c15586"</definedName>
    <definedName name="IQ_BUS_SEG_PRIMARY_SIC_ABS">"c15574"</definedName>
    <definedName name="IQ_BUS_SEG_REV">"c4068"</definedName>
    <definedName name="IQ_BUS_SEG_REV_ABS">"c4090"</definedName>
    <definedName name="IQ_BUS_SEG_REV_TOTAL">"c4106"</definedName>
    <definedName name="IQ_BUS_SEG_SECONDARY_GIC">"c15585"</definedName>
    <definedName name="IQ_BUS_SEG_SECONDARY_GIC_ABS">"c15573"</definedName>
    <definedName name="IQ_BUS_SEG_SECONDARY_SIC">"c15587"</definedName>
    <definedName name="IQ_BUS_SEG_SECONDARY_SIC_ABS">"c15575"</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BUS_PHONE">"c15773"</definedName>
    <definedName name="IQ_CABLE_SUBS_DIG">"c2856"</definedName>
    <definedName name="IQ_CABLE_SUBS_LONG_DIST_PHONE">"c15775"</definedName>
    <definedName name="IQ_CABLE_SUBS_NON_VIDEO">"c2860"</definedName>
    <definedName name="IQ_CABLE_SUBS_PHONE">"c2859"</definedName>
    <definedName name="IQ_CABLE_SUBS_RES_PHONE">"c15772"</definedName>
    <definedName name="IQ_CABLE_SUBS_SATELITE">"c15771"</definedName>
    <definedName name="IQ_CABLE_SUBS_TOTAL">"c2862"</definedName>
    <definedName name="IQ_CABLE_SUBS_WHOLE_PHONE">"c15774"</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INVEST_CABLE">"c15794"</definedName>
    <definedName name="IQ_CAP_INVEST_COMMERCIAL">"c15800"</definedName>
    <definedName name="IQ_CAP_INVEST_CUST_PREMISE_EQUIP">"c15795"</definedName>
    <definedName name="IQ_CAP_INVEST_LINE_EXTENSIONS">"c15797"</definedName>
    <definedName name="IQ_CAP_INVEST_SCALABLE_INFRASTRUCTURE">"c15796"</definedName>
    <definedName name="IQ_CAP_INVEST_SUPPORT">"c15799"</definedName>
    <definedName name="IQ_CAP_INVEST_UPGRADE_REBUILD">"c15798"</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GROWTH">"c104"</definedName>
    <definedName name="IQ_CAPEX_1YR_ANN_GROWTH">"c105"</definedName>
    <definedName name="IQ_CAPEX_2YR_ANN_GROWTH">"c106"</definedName>
    <definedName name="IQ_CAPEX_3YR_ANN_GROWTH">"c107"</definedName>
    <definedName name="IQ_CAPEX_5YR_ANN_GROWTH">"c108"</definedName>
    <definedName name="IQ_CAPEX_7YR_ANN_GROWTH">"c109"</definedName>
    <definedName name="IQ_CAPEX_BNK">"c110"</definedName>
    <definedName name="IQ_CAPEX_BR">"c111"</definedName>
    <definedName name="IQ_CAPEX_FIN">"c112"</definedName>
    <definedName name="IQ_CAPEX_INS">"c113"</definedName>
    <definedName name="IQ_CAPEX_PCT_REV">"c19144"</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_UNDER_MANAGE">"c18929"</definedName>
    <definedName name="IQ_CAPITAL_UNDER_MANAGE_CURRENCY">"c19171"</definedName>
    <definedName name="IQ_CAPITAL_UNDER_MANAGE_DATE">"c18930"</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COST_PER_SUB">"c15763"</definedName>
    <definedName name="IQ_CASH_DUE_BANKS">"c1351"</definedName>
    <definedName name="IQ_CASH_EQUIV">"c118"</definedName>
    <definedName name="IQ_CASH_FINAN">"c119"</definedName>
    <definedName name="IQ_CASH_INTEREST">"c120"</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TASTROPHIC_LOSS_RATIO">"c15881"</definedName>
    <definedName name="IQ_CEDED_AH_EARNED">"c2743"</definedName>
    <definedName name="IQ_CEDED_CLAIM_ADJ_EXP_RESERVE_BOP">"c15875"</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LOSSES">"c15872"</definedName>
    <definedName name="IQ_CEDED_PC_EARNED">"c2748"</definedName>
    <definedName name="IQ_CEDED_PREMIUMS_EARNED_GROSS_PREMIUMS_EARNED">"c15887"</definedName>
    <definedName name="IQ_CEDED_PREMIUMS_WRITTEN_GROSS_PREMIUMS_WRITTEN">"c15885"</definedName>
    <definedName name="IQ_CEDED_WRITTEN">"c2727"</definedName>
    <definedName name="IQ_CFO_10YR_ANN_GROWTH">"c126"</definedName>
    <definedName name="IQ_CFO_1YR_ANN_GROWTH">"c127"</definedName>
    <definedName name="IQ_CFO_2YR_ANN_GROWTH">"c128"</definedName>
    <definedName name="IQ_CFO_3YR_ANN_GROWTH">"c129"</definedName>
    <definedName name="IQ_CFO_5YR_ANN_GROWTH">"c130"</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ANGE_AP">"c133"</definedName>
    <definedName name="IQ_CHANGE_AP_BNK">"c134"</definedName>
    <definedName name="IQ_CHANGE_AP_BR">"c135"</definedName>
    <definedName name="IQ_CHANGE_AP_FIN">"c136"</definedName>
    <definedName name="IQ_CHANGE_AP_INS">"c137"</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_REAL_APR_FC_UNUSED_UNUSED_UNUSED">"c8500"</definedName>
    <definedName name="IQ_CHANGE_INVENT_REAL_APR_UNUSED_UNUSED_UNUSED">"c7620"</definedName>
    <definedName name="IQ_CHANGE_INVENT_REAL_FC_UNUSED_UNUSED_UNUSED">"c7840"</definedName>
    <definedName name="IQ_CHANGE_INVENT_REAL_POP_FC_UNUSED_UNUSED_UNUSED">"c8060"</definedName>
    <definedName name="IQ_CHANGE_INVENT_REAL_POP_UNUSED_UNUSED_UNUSED">"c7180"</definedName>
    <definedName name="IQ_CHANGE_INVENT_REAL_UNUSED_UNUSED_UNUSED">"c6960"</definedName>
    <definedName name="IQ_CHANGE_INVENT_REAL_YOY_FC_UNUSED_UNUSED_UNUSED">"c8280"</definedName>
    <definedName name="IQ_CHANGE_INVENT_REAL_YOY_UNUSED_UNUSED_UNUSED">"c7400"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UNRECOG_TAX_BENEFIT_1_YR_MAX">"c15747"</definedName>
    <definedName name="IQ_CHANGE_UNRECOG_TAX_BENEFIT_1_YR_MIN">"c15746"</definedName>
    <definedName name="IQ_CHANGE_WORK_CAP">"c161"</definedName>
    <definedName name="IQ_CHANGES_WORK_CAP">"c1357"</definedName>
    <definedName name="IQ_CHARGE_OFFS_GROSS">"c162"</definedName>
    <definedName name="IQ_CHARGE_OFFS_NET">"c163"</definedName>
    <definedName name="IQ_CHARGE_OFFS_RECOVERED">"c164"</definedName>
    <definedName name="IQ_CHARGE_OFFS_TOTAL_AVG_LOANS">"c165"</definedName>
    <definedName name="IQ_CHURN_BASIC_CABLE">"c2871"</definedName>
    <definedName name="IQ_CHURN_BBAND">"c2872"</definedName>
    <definedName name="IQ_CHURN_DIG_CABLE">"c2870"</definedName>
    <definedName name="IQ_CHURN_PHONE">"c2873"</definedName>
    <definedName name="IQ_CHURN_POSTPAID_WIRELESS">"c2121"</definedName>
    <definedName name="IQ_CHURN_PREPAID_WIRELESS">"c2120"</definedName>
    <definedName name="IQ_CHURN_SATELLITE">"c15791"</definedName>
    <definedName name="IQ_CHURN_TOTAL">"c2874"</definedName>
    <definedName name="IQ_CHURN_TOTAL_WIRELESS">"c2122"</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ED">"c2681"</definedName>
    <definedName name="IQ_CLASSA_OPTIONS_GRANTED">"c2680"</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O_INVESTORS">"c18910"</definedName>
    <definedName name="IQ_CO_INVESTORS_ID">"c18911"</definedName>
    <definedName name="IQ_CO_INVESTORS_INVESTMENT">"c19113"</definedName>
    <definedName name="IQ_CO_INVESTORS_NUM_INVESTMENTS">"c19170"</definedName>
    <definedName name="IQ_COAL_SALES_TO_OPERATING_REVENUE_COAL">"c15954"</definedName>
    <definedName name="IQ_COGS">"c175"</definedName>
    <definedName name="IQ_COMBINED_RATIO">"c176"</definedName>
    <definedName name="IQ_COMM_INDUSTRIAL_LL_REC_FFIEC">"c18880"</definedName>
    <definedName name="IQ_COMMERCIAL_DOM">"c177"</definedName>
    <definedName name="IQ_COMMERCIAL_FIRE_WRITTEN">"c178"</definedName>
    <definedName name="IQ_COMMERCIAL_INVEST_CABLE_INVEST">"c15806"</definedName>
    <definedName name="IQ_COMMERCIAL_LOANS_TOTAL_LOANS">"c15709"</definedName>
    <definedName name="IQ_COMMERCIAL_MORT">"c179"</definedName>
    <definedName name="IQ_COMMERCIAL_RE_LOANS_TOTAL_LOANS">"c15710"</definedName>
    <definedName name="IQ_COMMISS_FEES">"c180"</definedName>
    <definedName name="IQ_COMMISSION_DEF">"c181"</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IT">"c188"</definedName>
    <definedName name="IQ_COMMON_APIC_UTI">"c189"</definedName>
    <definedName name="IQ_COMMON_DIV">"c3006"</definedName>
    <definedName name="IQ_COMMON_DIV_CF">"c190"</definedName>
    <definedName name="IQ_COMMON_EQUITY_10YR_ANN_GROWTH">"c191"</definedName>
    <definedName name="IQ_COMMON_EQUITY_1YR_ANN_GROWTH">"c192"</definedName>
    <definedName name="IQ_COMMON_EQUITY_2YR_ANN_GROWTH">"c193"</definedName>
    <definedName name="IQ_COMMON_EQUITY_3YR_ANN_GROWTH">"c194"</definedName>
    <definedName name="IQ_COMMON_EQUITY_5YR_ANN_GROWTH">"c195"</definedName>
    <definedName name="IQ_COMMON_EQUITY_7YR_ANN_GROWTH">"c196"</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ITUENTS">"c19169"</definedName>
    <definedName name="IQ_CONSTRUCTION_LOANS">"c222"</definedName>
    <definedName name="IQ_CONSTRUCTION_LOANS_TOTAL_LOANS">"c15711"</definedName>
    <definedName name="IQ_CONSUMER_LOANS">"c223"</definedName>
    <definedName name="IQ_CONSUMER_LOANS_TOTAL_LOANS">"c15712"</definedName>
    <definedName name="IQ_CONTINGENT_LIABILITIES">"c18873"</definedName>
    <definedName name="IQ_CONTRACT_OBLIGATION_AFTER_FIVE">"c15691"</definedName>
    <definedName name="IQ_CONTRACT_OBLIGATION_CY">"c15685"</definedName>
    <definedName name="IQ_CONTRACT_OBLIGATION_CY1">"c15686"</definedName>
    <definedName name="IQ_CONTRACT_OBLIGATION_CY2">"c15687"</definedName>
    <definedName name="IQ_CONTRACT_OBLIGATION_CY3">"c15688"</definedName>
    <definedName name="IQ_CONTRACT_OBLIGATION_CY4">"c15689"</definedName>
    <definedName name="IQ_CONTRACT_OBLIGATION_NEXT_FIVE">"c15690"</definedName>
    <definedName name="IQ_CONTRACT_OBLIGATION_TOTAL">"c15692"</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RP_GOODS_PRICE_INDEX_APR_FC_UNUSED_UNUSED_UNUSED">"c8381"</definedName>
    <definedName name="IQ_CORP_GOODS_PRICE_INDEX_APR_UNUSED_UNUSED_UNUSED">"c7501"</definedName>
    <definedName name="IQ_CORP_GOODS_PRICE_INDEX_FC_UNUSED_UNUSED_UNUSED">"c7721"</definedName>
    <definedName name="IQ_CORP_GOODS_PRICE_INDEX_POP_FC_UNUSED_UNUSED_UNUSED">"c7941"</definedName>
    <definedName name="IQ_CORP_GOODS_PRICE_INDEX_POP_UNUSED_UNUSED_UNUSED">"c7061"</definedName>
    <definedName name="IQ_CORP_GOODS_PRICE_INDEX_UNUSED_UNUSED_UNUSED">"c6841"</definedName>
    <definedName name="IQ_CORP_GOODS_PRICE_INDEX_YOY_FC_UNUSED_UNUSED_UNUSED">"c8161"</definedName>
    <definedName name="IQ_CORP_GOODS_PRICE_INDEX_YOY_UNUSED_UNUSED_UNUSED">"c7281"</definedName>
    <definedName name="IQ_COST_BORROWING">"c2936"</definedName>
    <definedName name="IQ_COST_BORROWINGS">"c225"</definedName>
    <definedName name="IQ_COST_FUNDS">"c15726"</definedName>
    <definedName name="IQ_COST_REV">"c226"</definedName>
    <definedName name="IQ_COST_REVENUE">"c1359"</definedName>
    <definedName name="IQ_COST_SALES_COAL">"c15933"</definedName>
    <definedName name="IQ_COST_SALES_PER_UNIT_SOLD_COAL">"c15944"</definedName>
    <definedName name="IQ_COST_SALES_TO_SALES_COAL">"c15951"</definedName>
    <definedName name="IQ_COST_SAVINGS">"c227"</definedName>
    <definedName name="IQ_COST_SERVICE">"c228"</definedName>
    <definedName name="IQ_COST_TOTAL_BORROWINGS">"c229"</definedName>
    <definedName name="IQ_COUNTRY_NAME">"c230"</definedName>
    <definedName name="IQ_COVERED_POPS">"c2124"</definedName>
    <definedName name="IQ_COVERED_WIRELESS_POPS">"c2124"</definedName>
    <definedName name="IQ_CP">"c2495"</definedName>
    <definedName name="IQ_CP_PCT">"c2496"</definedName>
    <definedName name="IQ_CREDIT_CARD_FEE_BNK">"c231"</definedName>
    <definedName name="IQ_CREDIT_CARD_FEE_FIN">"c1583"</definedName>
    <definedName name="IQ_CREDIT_LOSS_CF">"c232"</definedName>
    <definedName name="IQ_CUMULATIVE_SPLIT_FACTOR">"c2094"</definedName>
    <definedName name="IQ_CURR_ACCT_BALANCE_APR_FC_UNUSED_UNUSED_UNUSED">"c8387"</definedName>
    <definedName name="IQ_CURR_ACCT_BALANCE_APR_UNUSED_UNUSED_UNUSED">"c7507"</definedName>
    <definedName name="IQ_CURR_ACCT_BALANCE_FC_UNUSED_UNUSED_UNUSED">"c7727"</definedName>
    <definedName name="IQ_CURR_ACCT_BALANCE_POP_FC_UNUSED_UNUSED_UNUSED">"c7947"</definedName>
    <definedName name="IQ_CURR_ACCT_BALANCE_POP_UNUSED_UNUSED_UNUSED">"c7067"</definedName>
    <definedName name="IQ_CURR_ACCT_BALANCE_UNUSED_UNUSED_UNUSED">"c6847"</definedName>
    <definedName name="IQ_CURR_ACCT_BALANCE_YOY_FC_UNUSED_UNUSED_UNUSED">"c8167"</definedName>
    <definedName name="IQ_CURR_ACCT_BALANCE_YOY_UNUSED_UNUSED_UNUSED">"c7287"</definedName>
    <definedName name="IQ_CURR_DOMESTIC_TAXES">"c2074"</definedName>
    <definedName name="IQ_CURR_FOREIGN_TAXES">"c2075"</definedName>
    <definedName name="IQ_CURR_TAXES">"c19141"</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IT">"c239"</definedName>
    <definedName name="IQ_CURRENCY_GAIN_UTI">"c240"</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IT">"c1570"</definedName>
    <definedName name="IQ_CURRENT_PORT_DEBT_UTI">"c1571"</definedName>
    <definedName name="IQ_CURRENT_PORT_LEASES">"c245"</definedName>
    <definedName name="IQ_CURRENT_PORT_PCT">"c2541"</definedName>
    <definedName name="IQ_CURRENT_RATIO">"c246"</definedName>
    <definedName name="IQ_CUST_PREMISE_EQUIP_CABLE_INVEST">"c15801"</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IT">"c254"</definedName>
    <definedName name="IQ_DA_CF_UTI">"c255"</definedName>
    <definedName name="IQ_DA_EBITDA">"c5528"</definedName>
    <definedName name="IQ_DA_FIN">"c256"</definedName>
    <definedName name="IQ_DA_INS">"c257"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IT">"c266"</definedName>
    <definedName name="IQ_DA_SUPPL_CF_UTI">"c267"</definedName>
    <definedName name="IQ_DA_SUPPL_FIN">"c268"</definedName>
    <definedName name="IQ_DA_SUPPL_INS">"c269"</definedName>
    <definedName name="IQ_DA_SUPPL_REIT">"c270"</definedName>
    <definedName name="IQ_DA_SUPPL_UTI">"c271"</definedName>
    <definedName name="IQ_DA_UTI">"c272"</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IT">"c297"</definedName>
    <definedName name="IQ_DEF_CHARGES_LT_UTI">"c298"</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IT">"c318"</definedName>
    <definedName name="IQ_DEF_TAX_LIAB_LT_UTI">"c319"</definedName>
    <definedName name="IQ_DEFERRED_CONTINGENT_RENT">"c16181"</definedName>
    <definedName name="IQ_DEFERRED_DOMESTIC_TAXES">"c2077"</definedName>
    <definedName name="IQ_DEFERRED_FOREIGN_TAXES">"c2078"</definedName>
    <definedName name="IQ_DEFERRED_INC_TAX">"c1447"</definedName>
    <definedName name="IQ_DEFERRED_TAX_NAV">"c16003"</definedName>
    <definedName name="IQ_DEFERRED_TAX_NNAV">"c16008"</definedName>
    <definedName name="IQ_DEFERRED_TAXES">"c1356"</definedName>
    <definedName name="IQ_DEFERRED_TAXES_TOTAL">"c19142"</definedName>
    <definedName name="IQ_DELIVERED_HOMES_NEW_ORDERS">"c15821"</definedName>
    <definedName name="IQ_DELIVERED_HOMES_PRICE_NEW_ORDER_PRICE">"c15822"</definedName>
    <definedName name="IQ_DEMAND_DEP">"c320"</definedName>
    <definedName name="IQ_DEPOSITS_FIN">"c321"</definedName>
    <definedName name="IQ_DEPOSITS_INTEREST_SECURITIES">"c5509"</definedName>
    <definedName name="IQ_DEPRE_AMORT">"c1360"</definedName>
    <definedName name="IQ_DEPRE_AMORT_SUPPL">"c1593"</definedName>
    <definedName name="IQ_DEPRE_DEPLE">"c1361"</definedName>
    <definedName name="IQ_DEPRE_SUPP">"c1443"</definedName>
    <definedName name="IQ_DESCRIPTION_LONG">"c1520"</definedName>
    <definedName name="IQ_DEVELOP_LAND">"c323"</definedName>
    <definedName name="IQ_DEVELOPMENT_EXPENSE">"c16040"</definedName>
    <definedName name="IQ_DEVELOPMENT_REVENUE">"c16024"</definedName>
    <definedName name="IQ_DIFF_LASTCLOSE_TARGET_PRICE">"c1854"</definedName>
    <definedName name="IQ_DIG_SUB_BASIC_SUB">"c16202"</definedName>
    <definedName name="IQ_DIG_SUB_VIDEO_SUB">"c15788"</definedName>
    <definedName name="IQ_DIGITAL_SUB_TOTAL_HOMES_PASSED">"c15769"</definedName>
    <definedName name="IQ_DIGITAL_VIDEO_PENETRATION">"c15768"</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LUTED_EPRA_NAV">"c16005"</definedName>
    <definedName name="IQ_DILUTED_EPRA_NAV_SHARE_RE">"c16014"</definedName>
    <definedName name="IQ_DILUTED_EPRA_NNAV">"c16010"</definedName>
    <definedName name="IQ_DILUTED_EPRA_NNAV_SHARE_RE">"c16015"</definedName>
    <definedName name="IQ_DILUTED_NAV_RE">"c15998"</definedName>
    <definedName name="IQ_DILUTED_NAV_SHARE_RE">"c16013"</definedName>
    <definedName name="IQ_DILUTED_NAV_SHARES">"c16016"</definedName>
    <definedName name="IQ_DILUTION_EFFECT_NAV">"c15997"</definedName>
    <definedName name="IQ_DIRECT_AH_EARNED">"c2740"</definedName>
    <definedName name="IQ_DIRECT_EARNED">"c2730"</definedName>
    <definedName name="IQ_DIRECT_LIFE_EARNED">"c2735"</definedName>
    <definedName name="IQ_DIRECT_LIFE_IN_FORCE">"c2765"</definedName>
    <definedName name="IQ_DIRECT_LOSSES">"c15869"</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CRETIONARY_CAPEX">"c16183"</definedName>
    <definedName name="IQ_DISTR_EXCESS_EARN">"c329"</definedName>
    <definedName name="IQ_DISTRIBUTABLE_CASH">"c3002"</definedName>
    <definedName name="IQ_DISTRIBUTABLE_CASH_PAYOUT">"c3005"</definedName>
    <definedName name="IQ_DISTRIBUTABLE_CASH_PER_SHARE_DILUTED">"c16191"</definedName>
    <definedName name="IQ_DISTRIBUTABLE_CASH_SHARE">"c3003"</definedName>
    <definedName name="IQ_DISTRIBUTABLE_CASH_SHARES_BASIC">"c16189"</definedName>
    <definedName name="IQ_DISTRIBUTABLE_CASH_SHARES_DILUTED">"c16190"</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NTM">700000</definedName>
    <definedName name="IQ_DO">"c333"</definedName>
    <definedName name="IQ_DO_ASSETS_CURRENT">"c334"</definedName>
    <definedName name="IQ_DO_ASSETS_LT">"c335"</definedName>
    <definedName name="IQ_DO_CF">"c336"</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GROWTH">"c337"</definedName>
    <definedName name="IQ_DPS_1YR_ANN_GROWTH">"c338"</definedName>
    <definedName name="IQ_DPS_2YR_ANN_GROWTH">"c339"</definedName>
    <definedName name="IQ_DPS_3YR_ANN_GROWTH">"c340"</definedName>
    <definedName name="IQ_DPS_5YR_ANN_GROWTH">"c341"</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INT_BEAR_LIABILITIES">"c15703"</definedName>
    <definedName name="IQ_EARNING_ASSET_YIELD">"c343"</definedName>
    <definedName name="IQ_EARNING_CO">"c344"</definedName>
    <definedName name="IQ_EARNING_CO_10YR_ANN_GROWTH">"c345"</definedName>
    <definedName name="IQ_EARNING_CO_1YR_ANN_GROWTH">"c346"</definedName>
    <definedName name="IQ_EARNING_CO_2YR_ANN_GROWTH">"c347"</definedName>
    <definedName name="IQ_EARNING_CO_3YR_ANN_GROWTH">"c348"</definedName>
    <definedName name="IQ_EARNING_CO_5YR_ANN_GROWTH">"c349"</definedName>
    <definedName name="IQ_EARNING_CO_7YR_ANN_GROWTH">"c350"</definedName>
    <definedName name="IQ_EARNING_CO_MARGIN">"c351"</definedName>
    <definedName name="IQ_EARNINGS_ANNOUNCE_DATE">"c1649"</definedName>
    <definedName name="IQ_EARNINGS_CONT_OPS_HOMEBUILDING_SALES">"c15817"</definedName>
    <definedName name="IQ_EBIT">"c352"</definedName>
    <definedName name="IQ_EBIT_10K">"IQ_EBIT_10K"</definedName>
    <definedName name="IQ_EBIT_10Q">"IQ_EBIT_10Q"</definedName>
    <definedName name="IQ_EBIT_10Q1">"IQ_EBIT_10Q1"</definedName>
    <definedName name="IQ_EBIT_10YR_ANN_GROWTH">"c353"</definedName>
    <definedName name="IQ_EBIT_1YR_ANN_GROWTH">"c354"</definedName>
    <definedName name="IQ_EBIT_2YR_ANN_GROWTH">"c355"</definedName>
    <definedName name="IQ_EBIT_3YR_ANN_GROWTH">"c356"</definedName>
    <definedName name="IQ_EBIT_5YR_ANN_GROWTH">"c357"</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GROWTH_1">"IQ_EBIT_GROWTH_1"</definedName>
    <definedName name="IQ_EBIT_GROWTH_2">"IQ_EBIT_GROWTH_2"</definedName>
    <definedName name="IQ_EBIT_HIGH_EST">"c1683"</definedName>
    <definedName name="IQ_EBIT_HOMEBUILDING_SALES">"c15815"</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GROWTH">"c1954"</definedName>
    <definedName name="IQ_EBITA_1YR_ANN_GROWTH">"c1949"</definedName>
    <definedName name="IQ_EBITA_2YR_ANN_GROWTH">"c1950"</definedName>
    <definedName name="IQ_EBITA_3YR_ANN_GROWTH">"c1951"</definedName>
    <definedName name="IQ_EBITA_5YR_ANN_GROWTH">"c1952"</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K">"IQ_EBITDA_10K"</definedName>
    <definedName name="IQ_EBITDA_10Q">"IQ_EBITDA_10Q"</definedName>
    <definedName name="IQ_EBITDA_10Q1">"IQ_EBITDA_10Q1"</definedName>
    <definedName name="IQ_EBITDA_10YR_ANN_GROWTH">"c362"</definedName>
    <definedName name="IQ_EBITDA_1YR_ANN_GROWTH">"c363"</definedName>
    <definedName name="IQ_EBITDA_2YR_ANN_GROWTH">"c364"</definedName>
    <definedName name="IQ_EBITDA_3YR_ANN_GROWTH">"c365"</definedName>
    <definedName name="IQ_EBITDA_5YR_ANN_GROWTH">"c366"</definedName>
    <definedName name="IQ_EBITDA_7YR_ANN_GROWTH">"c367"</definedName>
    <definedName name="IQ_EBITDA_ACT_OR_EST">"c2215"</definedName>
    <definedName name="IQ_EBITDA_CAPEX">"c19143"</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GROWTH_1">"IQ_EBITDA_GROWTH_1"</definedName>
    <definedName name="IQ_EBITDA_GROWTH_2">"IQ_EBITDA_GROWTH_2"</definedName>
    <definedName name="IQ_EBITDA_HIGH_EST">"c370"</definedName>
    <definedName name="IQ_EBITDA_HOMEBUILDING_SALES">"c15814"</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IT">"c384"</definedName>
    <definedName name="IQ_EBT_EXCL_UTI">"c385"</definedName>
    <definedName name="IQ_EBT_FIN">"c386"</definedName>
    <definedName name="IQ_EBT_HOMEBUILDING_SALES">"c15816"</definedName>
    <definedName name="IQ_EBT_INCL_MARGIN">"c387"</definedName>
    <definedName name="IQ_EBT_INS">"c388"</definedName>
    <definedName name="IQ_EBT_REIT">"c389"</definedName>
    <definedName name="IQ_EBT_UTI">"c390"</definedName>
    <definedName name="IQ_ECO_METRIC_6825_UNUSED_UNUSED_UNUSED">"c6825"</definedName>
    <definedName name="IQ_ECO_METRIC_6839_UNUSED_UNUSED_UNUSED">"c6839"</definedName>
    <definedName name="IQ_ECO_METRIC_6896_UNUSED_UNUSED_UNUSED">"c6896"</definedName>
    <definedName name="IQ_ECO_METRIC_6897_UNUSED_UNUSED_UNUSED">"c6897"</definedName>
    <definedName name="IQ_ECO_METRIC_6988_UNUSED_UNUSED_UNUSED">"c6988"</definedName>
    <definedName name="IQ_ECO_METRIC_7045_UNUSED_UNUSED_UNUSED">"c7045"</definedName>
    <definedName name="IQ_ECO_METRIC_7059_UNUSED_UNUSED_UNUSED">"c7059"</definedName>
    <definedName name="IQ_ECO_METRIC_7116_UNUSED_UNUSED_UNUSED">"c7116"</definedName>
    <definedName name="IQ_ECO_METRIC_7117_UNUSED_UNUSED_UNUSED">"c7117"</definedName>
    <definedName name="IQ_ECO_METRIC_7208_UNUSED_UNUSED_UNUSED">"c7208"</definedName>
    <definedName name="IQ_ECO_METRIC_7265_UNUSED_UNUSED_UNUSED">"c7265"</definedName>
    <definedName name="IQ_ECO_METRIC_7279_UNUSED_UNUSED_UNUSED">"c7279"</definedName>
    <definedName name="IQ_ECO_METRIC_7336_UNUSED_UNUSED_UNUSED">"c7336"</definedName>
    <definedName name="IQ_ECO_METRIC_7337_UNUSED_UNUSED_UNUSED">"c7337"</definedName>
    <definedName name="IQ_ECO_METRIC_7428_UNUSED_UNUSED_UNUSED">"c7428"</definedName>
    <definedName name="IQ_ECO_METRIC_7556_UNUSED_UNUSED_UNUSED">"c7556"</definedName>
    <definedName name="IQ_ECO_METRIC_7557_UNUSED_UNUSED_UNUSED">"c7557"</definedName>
    <definedName name="IQ_ECO_METRIC_7648_UNUSED_UNUSED_UNUSED">"c7648"</definedName>
    <definedName name="IQ_ECO_METRIC_7705_UNUSED_UNUSED_UNUSED">"c7705"</definedName>
    <definedName name="IQ_ECO_METRIC_7719_UNUSED_UNUSED_UNUSED">"c7719"</definedName>
    <definedName name="IQ_ECO_METRIC_7776_UNUSED_UNUSED_UNUSED">"c7776"</definedName>
    <definedName name="IQ_ECO_METRIC_7777_UNUSED_UNUSED_UNUSED">"c7777"</definedName>
    <definedName name="IQ_ECO_METRIC_7868_UNUSED_UNUSED_UNUSED">"c7868"</definedName>
    <definedName name="IQ_ECO_METRIC_7925_UNUSED_UNUSED_UNUSED">"c7925"</definedName>
    <definedName name="IQ_ECO_METRIC_7939_UNUSED_UNUSED_UNUSED">"c7939"</definedName>
    <definedName name="IQ_ECO_METRIC_7996_UNUSED_UNUSED_UNUSED">"c7996"</definedName>
    <definedName name="IQ_ECO_METRIC_7997_UNUSED_UNUSED_UNUSED">"c7997"</definedName>
    <definedName name="IQ_ECO_METRIC_8088_UNUSED_UNUSED_UNUSED">"c8088"</definedName>
    <definedName name="IQ_ECO_METRIC_8145_UNUSED_UNUSED_UNUSED">"c8145"</definedName>
    <definedName name="IQ_ECO_METRIC_8159_UNUSED_UNUSED_UNUSED">"c8159"</definedName>
    <definedName name="IQ_ECO_METRIC_8216_UNUSED_UNUSED_UNUSED">"c8216"</definedName>
    <definedName name="IQ_ECO_METRIC_8217_UNUSED_UNUSED_UNUSED">"c8217"</definedName>
    <definedName name="IQ_ECO_METRIC_8308_UNUSED_UNUSED_UNUSED">"c8308"</definedName>
    <definedName name="IQ_ECO_METRIC_8436_UNUSED_UNUSED_UNUSED">"c8436"</definedName>
    <definedName name="IQ_ECO_METRIC_8437_UNUSED_UNUSED_UNUSED">"c8437"</definedName>
    <definedName name="IQ_ECO_METRIC_8528_UNUSED_UNUSED_UNUSED">"c8528"</definedName>
    <definedName name="IQ_ECS_AUTHORIZED_SHARES_OTHER">"c15613"</definedName>
    <definedName name="IQ_ECS_AUTHORIZED_SHARES_OTHER_ABS">"c15630"</definedName>
    <definedName name="IQ_ECS_CONVERT_FACTOR_OTHER">"c15611"</definedName>
    <definedName name="IQ_ECS_CONVERT_FACTOR_OTHER_ABS">"c15628"</definedName>
    <definedName name="IQ_ECS_CONVERT_INTO_OTHER">"c15610"</definedName>
    <definedName name="IQ_ECS_CONVERT_INTO_OTHER_ABS">"c15627"</definedName>
    <definedName name="IQ_ECS_CONVERT_PRIMARY_FACTOR">"c15592"</definedName>
    <definedName name="IQ_ECS_CONVERT_PRIMARY_FACTOR_ABS">"c15596"</definedName>
    <definedName name="IQ_ECS_CONVERT_TYPE_OTHER">"c15609"</definedName>
    <definedName name="IQ_ECS_CONVERT_TYPE_OTHER_ABS">"c15626"</definedName>
    <definedName name="IQ_ECS_INACTIVE_DATE_OTHER">"c15606"</definedName>
    <definedName name="IQ_ECS_INACTIVE_DATE_OTHER_ABS">"c15623"</definedName>
    <definedName name="IQ_ECS_NAME_OTHER">"c15599"</definedName>
    <definedName name="IQ_ECS_NAME_OTHER_ABS">"c15616"</definedName>
    <definedName name="IQ_ECS_NUM_SHAREHOLDERS_OTHER">"c15615"</definedName>
    <definedName name="IQ_ECS_NUM_SHAREHOLDERS_OTHER_ABS">"c15632"</definedName>
    <definedName name="IQ_ECS_PAR_VALUE_CURRENCY_OTHER">"c15608"</definedName>
    <definedName name="IQ_ECS_PAR_VALUE_CURRENCY_OTHER_ABS">"c15625"</definedName>
    <definedName name="IQ_ECS_PAR_VALUE_OTHER">"c15607"</definedName>
    <definedName name="IQ_ECS_PAR_VALUE_OTHER_ABS">"c15624"</definedName>
    <definedName name="IQ_ECS_PARTICIPATE_FLAG">"c15591"</definedName>
    <definedName name="IQ_ECS_PARTICIPATE_FLAG_ABS">"c15595"</definedName>
    <definedName name="IQ_ECS_PARTICIPATE_FLAG_OTHER">"c15614"</definedName>
    <definedName name="IQ_ECS_PARTICIPATE_FLAG_OTHER_ABS">"c15631"</definedName>
    <definedName name="IQ_ECS_SHARES_OUT_BS_DATE_OTHER">"c15600"</definedName>
    <definedName name="IQ_ECS_SHARES_OUT_BS_DATE_OTHER_ABS">"c15617"</definedName>
    <definedName name="IQ_ECS_SHARES_OUT_FILING_DATE_OTHER">"c15601"</definedName>
    <definedName name="IQ_ECS_SHARES_OUT_FILING_DATE_OTHER_ABS">"c15618"</definedName>
    <definedName name="IQ_ECS_START_DATE_OTHER">"c15605"</definedName>
    <definedName name="IQ_ECS_START_DATE_OTHER_ABS">"c15622"</definedName>
    <definedName name="IQ_ECS_TICKER">"c15594"</definedName>
    <definedName name="IQ_ECS_TICKER_ABS">"c15598"</definedName>
    <definedName name="IQ_ECS_TICKER_OTHER">"c15603"</definedName>
    <definedName name="IQ_ECS_TICKER_OTHER_ABS">"c15620"</definedName>
    <definedName name="IQ_ECS_TRADING_ITEM_CIQID">"c15593"</definedName>
    <definedName name="IQ_ECS_TRADING_ITEM_CIQID_ABS">"c15597"</definedName>
    <definedName name="IQ_ECS_TRADING_ITEM_CIQID_OTHER">"c15602"</definedName>
    <definedName name="IQ_ECS_TRADING_ITEM_CIQID_OTHER_ABS">"c15619"</definedName>
    <definedName name="IQ_ECS_TYPE_OTHER">"c15604"</definedName>
    <definedName name="IQ_ECS_TYPE_OTHER_ABS">"c15621"</definedName>
    <definedName name="IQ_ECS_VOTING_OTHER">"c15612"</definedName>
    <definedName name="IQ_ECS_VOTING_OTHER_ABS">"c15629"</definedName>
    <definedName name="IQ_EFFECT_SPECIAL_CHARGE">"c1595"</definedName>
    <definedName name="IQ_EFFECT_TAX_RATE">"c1899"</definedName>
    <definedName name="IQ_EFFICIENCY_RATIO">"c391"</definedName>
    <definedName name="IQ_EMPLOYEES">"c392"</definedName>
    <definedName name="IQ_EMPLOYEES_UNDER_UNION_CONTRACTS">"c16109"</definedName>
    <definedName name="IQ_ENTERPRISE_VALUE">"c1348"</definedName>
    <definedName name="IQ_EPS">"IQ_EPS"</definedName>
    <definedName name="IQ_EPS_10K">"IQ_EPS_10K"</definedName>
    <definedName name="IQ_EPS_10Q">"IQ_EPS_10Q"</definedName>
    <definedName name="IQ_EPS_10Q1">"IQ_EPS_10Q1"</definedName>
    <definedName name="IQ_EPS_10YR_ANN_GROWTH">"c393"</definedName>
    <definedName name="IQ_EPS_1YR_ANN_GROWTH">"c394"</definedName>
    <definedName name="IQ_EPS_2YR_ANN_GROWTH">"c395"</definedName>
    <definedName name="IQ_EPS_3YR_ANN_GROWTH">"c396"</definedName>
    <definedName name="IQ_EPS_5YR_ANN_GROWTH">"c397"</definedName>
    <definedName name="IQ_EPS_7YR_ANN_GROWTH">"c398"</definedName>
    <definedName name="IQ_EPS_ACT_OR_EST">"c2213"</definedName>
    <definedName name="IQ_EPS_EST">"c399"</definedName>
    <definedName name="IQ_EPS_EST_1">"IQ_EPS_EST_1"</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METHOD">"c404"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"c1635"</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V_OVER_EMPLOYEE">"c1428"</definedName>
    <definedName name="IQ_EV_OVER_LTM_EBIT">"c1426"</definedName>
    <definedName name="IQ_EV_OVER_LTM_EBITDA">"c1427"</definedName>
    <definedName name="IQ_EV_OVER_LTM_REVENUE">"c1429"</definedName>
    <definedName name="IQ_EV_OVER_REVENUE_EST">"IQ_EV_OVER_REVENUE_EST"</definedName>
    <definedName name="IQ_EV_OVER_REVENUE_EST_1">"IQ_EV_OVER_REVENUE_EST_1"</definedName>
    <definedName name="IQ_EVAL_DATE">"c2180"</definedName>
    <definedName name="IQ_EVENT_ADDRESS">"c19167"</definedName>
    <definedName name="IQ_EVENT_ADVISORS">"c19147"</definedName>
    <definedName name="IQ_EVENT_AGENDA">"c19168"</definedName>
    <definedName name="IQ_EVENT_CALL_DESCRIPTION">"c19154"</definedName>
    <definedName name="IQ_EVENT_CONTACT">"c19160"</definedName>
    <definedName name="IQ_EVENT_EMAIL">"c19162"</definedName>
    <definedName name="IQ_EVENT_LIVE_AUDIO_DETAILS_WEBCAST_URL">"c19153"</definedName>
    <definedName name="IQ_EVENT_LIVE_OTHER_PASSCODE">"c19152"</definedName>
    <definedName name="IQ_EVENT_LIVE_OTHER_PHONE_NUMBER">"c19151"</definedName>
    <definedName name="IQ_EVENT_LIVE_PASSCODE">"c19150"</definedName>
    <definedName name="IQ_EVENT_LIVE_PHONE_NUMBER">"c19149"</definedName>
    <definedName name="IQ_EVENT_MARKETINDICATOR">"c19166"</definedName>
    <definedName name="IQ_EVENT_OTHER_CONTACT">"c19163"</definedName>
    <definedName name="IQ_EVENT_OTHER_CONTACT_EMAIL">"c19165"</definedName>
    <definedName name="IQ_EVENT_OTHER_CONTACT_PHONE">"c19164"</definedName>
    <definedName name="IQ_EVENT_PHONE">"c19161"</definedName>
    <definedName name="IQ_EVENT_REPLAY_AUDIO_DETAILS_WEBCAST_URL">"c19159"</definedName>
    <definedName name="IQ_EVENT_REPLAY_BEGINS">"c19157"</definedName>
    <definedName name="IQ_EVENT_REPLAY_ENDS">"c19158"</definedName>
    <definedName name="IQ_EVENT_REPLAY_PASSCODE">"c19156"</definedName>
    <definedName name="IQ_EVENT_REPLAY_PHONE_NUMBER">"c19155"</definedName>
    <definedName name="IQ_EVENT_SITUATION">"c19148"</definedName>
    <definedName name="IQ_EVENT_SOURCE">"c19146"</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IMBURSE_RENTAL_REVENUE">"c16064"</definedName>
    <definedName name="IQ_EXP_RETURN_PENSION_DOMESTIC">"c407"</definedName>
    <definedName name="IQ_EXP_RETURN_PENSION_FOREIGN">"c408"</definedName>
    <definedName name="IQ_EXPENSE_REIMBURSEMENTS">"c16020"</definedName>
    <definedName name="IQ_EXPLORE_DRILL">"c409"</definedName>
    <definedName name="IQ_EXPORTS_APR_FC_UNUSED_UNUSED_UNUSED">"c8401"</definedName>
    <definedName name="IQ_EXPORTS_APR_UNUSED_UNUSED_UNUSED">"c7521"</definedName>
    <definedName name="IQ_EXPORTS_FC_UNUSED_UNUSED_UNUSED">"c7741"</definedName>
    <definedName name="IQ_EXPORTS_GOODS_REAL_SAAR_APR_FC_UNUSED_UNUSED_UNUSED">"c8512"</definedName>
    <definedName name="IQ_EXPORTS_GOODS_REAL_SAAR_APR_UNUSED_UNUSED_UNUSED">"c7632"</definedName>
    <definedName name="IQ_EXPORTS_GOODS_REAL_SAAR_FC_UNUSED_UNUSED_UNUSED">"c7852"</definedName>
    <definedName name="IQ_EXPORTS_GOODS_REAL_SAAR_POP_FC_UNUSED_UNUSED_UNUSED">"c8072"</definedName>
    <definedName name="IQ_EXPORTS_GOODS_REAL_SAAR_POP_UNUSED_UNUSED_UNUSED">"c7192"</definedName>
    <definedName name="IQ_EXPORTS_GOODS_REAL_SAAR_UNUSED_UNUSED_UNUSED">"c6972"</definedName>
    <definedName name="IQ_EXPORTS_GOODS_REAL_SAAR_YOY_FC_UNUSED_UNUSED_UNUSED">"c8292"</definedName>
    <definedName name="IQ_EXPORTS_GOODS_REAL_SAAR_YOY_UNUSED_UNUSED_UNUSED">"c7412"</definedName>
    <definedName name="IQ_EXPORTS_POP_FC_UNUSED_UNUSED_UNUSED">"c7961"</definedName>
    <definedName name="IQ_EXPORTS_POP_UNUSED_UNUSED_UNUSED">"c7081"</definedName>
    <definedName name="IQ_EXPORTS_SERVICES_REAL_SAAR_APR_FC_UNUSED_UNUSED_UNUSED">"c8516"</definedName>
    <definedName name="IQ_EXPORTS_SERVICES_REAL_SAAR_APR_UNUSED_UNUSED_UNUSED">"c7636"</definedName>
    <definedName name="IQ_EXPORTS_SERVICES_REAL_SAAR_FC_UNUSED_UNUSED_UNUSED">"c7856"</definedName>
    <definedName name="IQ_EXPORTS_SERVICES_REAL_SAAR_POP_FC_UNUSED_UNUSED_UNUSED">"c8076"</definedName>
    <definedName name="IQ_EXPORTS_SERVICES_REAL_SAAR_POP_UNUSED_UNUSED_UNUSED">"c7196"</definedName>
    <definedName name="IQ_EXPORTS_SERVICES_REAL_SAAR_UNUSED_UNUSED_UNUSED">"c6976"</definedName>
    <definedName name="IQ_EXPORTS_SERVICES_REAL_SAAR_YOY_FC_UNUSED_UNUSED_UNUSED">"c8296"</definedName>
    <definedName name="IQ_EXPORTS_SERVICES_REAL_SAAR_YOY_UNUSED_UNUSED_UNUSED">"c7416"</definedName>
    <definedName name="IQ_EXPORTS_UNUSED_UNUSED_UNUSED">"c6861"</definedName>
    <definedName name="IQ_EXPORTS_YOY_FC_UNUSED_UNUSED_UNUSED">"c8181"</definedName>
    <definedName name="IQ_EXPORTS_YOY_UNUSED_UNUSED_UNUSED">"c7301"</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IT">"c415"</definedName>
    <definedName name="IQ_EXTRA_ACC_ITEMS_UTI">"c416"</definedName>
    <definedName name="IQ_EXTRA_ITEMS">"c1459"</definedName>
    <definedName name="IQ_FAIR_VALUE_DEBT">"c16007"</definedName>
    <definedName name="IQ_FAIR_VALUE_FIN_INSTRUMENTS_NAV">"c16002"</definedName>
    <definedName name="IQ_FAIR_VALUE_FIN_INSTRUMENTS_NNAV">"c16006"</definedName>
    <definedName name="IQ_FAIR_VALUE_TRADING_PROP">"c16001"</definedName>
    <definedName name="IQ_FDIC">"c417"</definedName>
    <definedName name="IQ_FEDFUNDS_PURCHASED_RELATED">"c19132"</definedName>
    <definedName name="IQ_FEDFUNDS_SOLD">"c2256"</definedName>
    <definedName name="IQ_FEDFUNDS_SOLD_RELATED">"c19130"</definedName>
    <definedName name="IQ_FFO">"c1574"</definedName>
    <definedName name="IQ_FFO_ACT_OR_EST">"c2216"</definedName>
    <definedName name="IQ_FFO_DILUTED">"c16186"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HARES_BASIC">"c16185"</definedName>
    <definedName name="IQ_FFO_SHARES_DILUTED">"c16187"</definedName>
    <definedName name="IQ_FFO_STDDEV_EST">"c422"</definedName>
    <definedName name="IQ_FFO_TOTAL_REVENUE">"c16060"</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LING_CURRENCY">"c2129"</definedName>
    <definedName name="IQ_FILINGDATE_BS">"c424"</definedName>
    <definedName name="IQ_FILINGDATE_CF">"c425"</definedName>
    <definedName name="IQ_FILINGDATE_IS">"c426"</definedName>
    <definedName name="IQ_FILM_RIGHTS">"c2254"</definedName>
    <definedName name="IQ_FIN_DIV_ASSETS_CURRENT">"c427"</definedName>
    <definedName name="IQ_FIN_DIV_ASSETS_LT">"c428"</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NOTES_PAY_TOTAL">"c5522"</definedName>
    <definedName name="IQ_FIN_DIV_REV">"c437"</definedName>
    <definedName name="IQ_FIN_DIV_ST_DEBT_TOTAL">"c5527"</definedName>
    <definedName name="IQ_FINANCING_CASH">"c1405"</definedName>
    <definedName name="IQ_FINANCING_CASH_SUPPL">"c1406"</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CIQID">"c19094"</definedName>
    <definedName name="IQ_FIVE_PERCENT_DERIVATIVES">"c19096"</definedName>
    <definedName name="IQ_FIVE_PERCENT_NAME">"c19093"</definedName>
    <definedName name="IQ_FIVE_PERCENT_OWNER">"c442"</definedName>
    <definedName name="IQ_FIVE_PERCENT_PERCENT">"c19097"</definedName>
    <definedName name="IQ_FIVE_PERCENT_POSITION_DATE">"c19099"</definedName>
    <definedName name="IQ_FIVE_PERCENT_SHARES">"c19095"</definedName>
    <definedName name="IQ_FIVE_PERCENT_VALUE">"c19098"</definedName>
    <definedName name="IQ_FIVEPERCENT_PERCENT">"c443"</definedName>
    <definedName name="IQ_FIVEPERCENT_SHARES">"c444"</definedName>
    <definedName name="IQ_FIXED_ASSET_TURNS">"c445"</definedName>
    <definedName name="IQ_FIXED_INVEST_APR_FC_UNUSED_UNUSED_UNUSED">"c8410"</definedName>
    <definedName name="IQ_FIXED_INVEST_APR_UNUSED_UNUSED_UNUSED">"c7530"</definedName>
    <definedName name="IQ_FIXED_INVEST_FC_UNUSED_UNUSED_UNUSED">"c7750"</definedName>
    <definedName name="IQ_FIXED_INVEST_POP_FC_UNUSED_UNUSED_UNUSED">"c7970"</definedName>
    <definedName name="IQ_FIXED_INVEST_POP_UNUSED_UNUSED_UNUSED">"c7090"</definedName>
    <definedName name="IQ_FIXED_INVEST_REAL_APR_FC_UNUSED_UNUSED_UNUSED">"c8518"</definedName>
    <definedName name="IQ_FIXED_INVEST_REAL_APR_UNUSED_UNUSED_UNUSED">"c7638"</definedName>
    <definedName name="IQ_FIXED_INVEST_REAL_FC_UNUSED_UNUSED_UNUSED">"c7858"</definedName>
    <definedName name="IQ_FIXED_INVEST_REAL_POP_FC_UNUSED_UNUSED_UNUSED">"c8078"</definedName>
    <definedName name="IQ_FIXED_INVEST_REAL_POP_UNUSED_UNUSED_UNUSED">"c7198"</definedName>
    <definedName name="IQ_FIXED_INVEST_REAL_UNUSED_UNUSED_UNUSED">"c6978"</definedName>
    <definedName name="IQ_FIXED_INVEST_REAL_YOY_FC_UNUSED_UNUSED_UNUSED">"c8298"</definedName>
    <definedName name="IQ_FIXED_INVEST_REAL_YOY_UNUSED_UNUSED_UNUSED">"c7418"</definedName>
    <definedName name="IQ_FIXED_INVEST_UNUSED_UNUSED_UNUSED">"c6870"</definedName>
    <definedName name="IQ_FIXED_INVEST_YOY_FC_UNUSED_UNUSED_UNUSED">"c8190"</definedName>
    <definedName name="IQ_FIXED_INVEST_YOY_UNUSED_UNUSED_UNUSED">"c7310"</definedName>
    <definedName name="IQ_FLOAT_PERCENT">"c1575"</definedName>
    <definedName name="IQ_FOREIGN_BRANCHES_U.S._BANKS_LOANS_FDIC">"c6438"</definedName>
    <definedName name="IQ_FOREIGN_DEP_IB">"c446"</definedName>
    <definedName name="IQ_FOREIGN_DEP_NON_IB">"c447"</definedName>
    <definedName name="IQ_FOREIGN_DEPOSITS_TOTAL_DEPOSITS">"c15719"</definedName>
    <definedName name="IQ_FOREIGN_EXCHANGE">"c1376"</definedName>
    <definedName name="IQ_FOREIGN_LOANS">"c448"</definedName>
    <definedName name="IQ_FOREIGN_LOANS_TOTAL_LOANS">"c15714"</definedName>
    <definedName name="IQ_FTOOL_CAPEX">"c16212"</definedName>
    <definedName name="IQ_FTOOL_CASH">"c16213"</definedName>
    <definedName name="IQ_FTOOL_CASH_INVEST">"c16214"</definedName>
    <definedName name="IQ_FTOOL_EBT">"c16215"</definedName>
    <definedName name="IQ_FTOOL_NI">"c16216"</definedName>
    <definedName name="IQ_FTOOL_NI_CF">"c16206"</definedName>
    <definedName name="IQ_FTOOL_NUMBER_SHAREHOLDERS">"c16207"</definedName>
    <definedName name="IQ_FTOOL_SHARES_PER_DR">"c16208"</definedName>
    <definedName name="IQ_FTOOL_TOTAL_ASSETS">"c16209"</definedName>
    <definedName name="IQ_FTOOL_TOTAL_LIAB_EQUITY">"c16210"</definedName>
    <definedName name="IQ_FTOOL_TOTAL_REV">"c16211"</definedName>
    <definedName name="IQ_FUEL">"c449"</definedName>
    <definedName name="IQ_FULL_TIME">"c450"</definedName>
    <definedName name="IQ_FUND_PRIMARY_ADVISOR">"c19091"</definedName>
    <definedName name="IQ_FWD">"LTM"</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WD_Q3">"504"</definedName>
    <definedName name="IQ_FWD_Q4">"505"</definedName>
    <definedName name="IQ_FWD_Q5">"506"</definedName>
    <definedName name="IQ_FWD_Q6">"507"</definedName>
    <definedName name="IQ_FWD_Q7">"508"</definedName>
    <definedName name="IQ_FWD1">"LTM"</definedName>
    <definedName name="IQ_FX">"c451"</definedName>
    <definedName name="IQ_FY_DATE">"IQ_FY_DATE"</definedName>
    <definedName name="IQ_GA_EXP">"c2241"</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IT">"c460"</definedName>
    <definedName name="IQ_GAIN_ASSETS_CF_UTI">"c461"</definedName>
    <definedName name="IQ_GAIN_ASSETS_FIN">"c462"</definedName>
    <definedName name="IQ_GAIN_ASSETS_INS">"c463"</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IT">"c485"</definedName>
    <definedName name="IQ_GAIN_INVEST_CF_UTI">"c486"</definedName>
    <definedName name="IQ_GAIN_INVEST_FIN">"c1465"</definedName>
    <definedName name="IQ_GAIN_INVEST_INS">"c1466"</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ICS_CODE">"c16201"</definedName>
    <definedName name="IQ_GOODWILL_NET">"c1380"</definedName>
    <definedName name="IQ_GP">"c511"</definedName>
    <definedName name="IQ_GP_10YR_ANN_GROWTH">"c512"</definedName>
    <definedName name="IQ_GP_1YR_ANN_GROWTH">"c513"</definedName>
    <definedName name="IQ_GP_2YR_ANN_GROWTH">"c514"</definedName>
    <definedName name="IQ_GP_3YR_ANN_GROWTH">"c515"</definedName>
    <definedName name="IQ_GP_5YR_ANN_GROWTH">"c516"</definedName>
    <definedName name="IQ_GP_7YR_ANN_GROWTH">"c517"</definedName>
    <definedName name="IQ_GPPE">"c518"</definedName>
    <definedName name="IQ_GROSS_ADD_BASIC">"c15776"</definedName>
    <definedName name="IQ_GROSS_ADD_BBAND">"c15779"</definedName>
    <definedName name="IQ_GROSS_ADD_DIG">"c15777"</definedName>
    <definedName name="IQ_GROSS_ADD_PHONE">"c15780"</definedName>
    <definedName name="IQ_GROSS_ADD_POSTPAID_WIRELESS">"c15750"</definedName>
    <definedName name="IQ_GROSS_ADD_PREPAID_WIRELESS">"c15751"</definedName>
    <definedName name="IQ_GROSS_ADD_RESELL_WHOLESALE_WIRELESS">"c15752"</definedName>
    <definedName name="IQ_GROSS_ADD_RGU">"c15781"</definedName>
    <definedName name="IQ_GROSS_ADD_SATELLITE">"c15778"</definedName>
    <definedName name="IQ_GROSS_ADD_TOTAL_WIRELESS">"c15753"</definedName>
    <definedName name="IQ_GROSS_AH_EARNED">"c2742"</definedName>
    <definedName name="IQ_GROSS_CLAIM_ADJ_EXP_RESERVE_BOP">"c15874"</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GROWTH">"c522"</definedName>
    <definedName name="IQ_GROSS_LOANS_1YR_ANN_GROWTH">"c523"</definedName>
    <definedName name="IQ_GROSS_LOANS_2YR_ANN_GROWTH">"c524"</definedName>
    <definedName name="IQ_GROSS_LOANS_3YR_ANN_GROWTH">"c525"</definedName>
    <definedName name="IQ_GROSS_LOANS_5YR_ANN_GROWTH">"c526"</definedName>
    <definedName name="IQ_GROSS_LOANS_7YR_ANN_GROWTH">"c527"</definedName>
    <definedName name="IQ_GROSS_LOANS_TOTAL_DEPOSITS">"c528"</definedName>
    <definedName name="IQ_GROSS_LOSSES">"c15871"</definedName>
    <definedName name="IQ_GROSS_MARGIN">"c529"</definedName>
    <definedName name="IQ_GROSS_PC_EARNED">"c2747"</definedName>
    <definedName name="IQ_GROSS_PREMIUMS_WRITTEN_AVG_ASSETS">"c15893"</definedName>
    <definedName name="IQ_GROSS_PREMIUMS_WRITTEN_AVG_EQUITY">"c15892"</definedName>
    <definedName name="IQ_GROSS_PREMIUMS_WRITTEN_AVG_STATUTORY_SURPLUS">"c15894"</definedName>
    <definedName name="IQ_GROSS_PROFIT">"c1378"</definedName>
    <definedName name="IQ_GROSS_SPRD">"c2155"</definedName>
    <definedName name="IQ_GROSS_WRITTEN">"c2726"</definedName>
    <definedName name="IQ_GVKEY">"c15590"</definedName>
    <definedName name="IQ_GVKEY_OTHER">"c15633"</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"c19145"</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IT">"c1476"</definedName>
    <definedName name="IQ_GW_INTAN_AMORT_CF_UTI">"c1477"</definedName>
    <definedName name="IQ_GW_INTAN_AMORT_FIN">"c1478"</definedName>
    <definedName name="IQ_GW_INTAN_AMORT_INS">"c1479"</definedName>
    <definedName name="IQ_GW_INTAN_AMORT_REIT">"c1480"</definedName>
    <definedName name="IQ_GW_INTAN_AMORT_UTI">"c1481"</definedName>
    <definedName name="IQ_HG_CASINO_EXP_DIRECT_OPERATING_EXP">"c15981"</definedName>
    <definedName name="IQ_HG_CASINO_GROSS_PROFIT">"c15974"</definedName>
    <definedName name="IQ_HG_CASINO_MARGIN">"c15976"</definedName>
    <definedName name="IQ_HG_CASINO_OPERATING_MARGIN">"c15977"</definedName>
    <definedName name="IQ_HG_CONFERENCE_SPACE">"c15971"</definedName>
    <definedName name="IQ_HG_EXP_DIRECT_CASINO_GAMING">"c15994"</definedName>
    <definedName name="IQ_HG_EXP_OTHER_DIRECT_HOTEL_MOTEL">"c15995"</definedName>
    <definedName name="IQ_HG_FOOD_BEV_EXP_DIRECT_OPERATING_EXP">"c15980"</definedName>
    <definedName name="IQ_HG_FOOD_BEV_REV_TOTAL_REV">"c15983"</definedName>
    <definedName name="IQ_HG_NUMBER_SUITES">"c15970"</definedName>
    <definedName name="IQ_HG_NUMBER_TABLES_AVG">"c15973"</definedName>
    <definedName name="IQ_HG_PROMO_ALLOW_GROSS_OPERATING_REV">"c15979"</definedName>
    <definedName name="IQ_HG_REV_GROSS_OPERATING">"c15993"</definedName>
    <definedName name="IQ_HG_REV_OTHER_CASINO">"c15992"</definedName>
    <definedName name="IQ_HG_REV_SLOT_MACHINE">"c15990"</definedName>
    <definedName name="IQ_HG_REV_TABLE">"c15991"</definedName>
    <definedName name="IQ_HG_ROOM_EXP_DIRECT_OPERATING_EXP">"c15982"</definedName>
    <definedName name="IQ_HG_ROOM_GROSS_PROFIT">"c15975"</definedName>
    <definedName name="IQ_HG_ROOM_MARGIN">"c15978"</definedName>
    <definedName name="IQ_HG_ROOM_REV_TOTAL_REV">"c15984"</definedName>
    <definedName name="IQ_HG_SAME_PROPERTIES_CASINO_REV_CHANGE">"c15987"</definedName>
    <definedName name="IQ_HG_SAME_PROPERTIES_FOOD_BEV_REV_CHANGE">"c15989"</definedName>
    <definedName name="IQ_HG_SAME_PROPERTIES_ROOM_REV_CHANGE">"c15988"</definedName>
    <definedName name="IQ_HG_SAME_PROPERTIES_SLOT_MACHINE_REV_CHANGE">"c15985"</definedName>
    <definedName name="IQ_HG_SAME_PROPERTIES_TABLE_REV_CHANGE">"c15986"</definedName>
    <definedName name="IQ_HG_SLOT_MACHINES_AVG">"c15972"</definedName>
    <definedName name="IQ_HG_TABLES_JV">"c8643"</definedName>
    <definedName name="IQ_HG_TABLES_MANAGED">"c8644"</definedName>
    <definedName name="IQ_HG_TABLES_OWNED">"c8642"</definedName>
    <definedName name="IQ_HG_TABLES_TOTAL">"c8645"</definedName>
    <definedName name="IQ_HIGH_SULFUR_CONTENT_RESERVES_COAL">"c15928"</definedName>
    <definedName name="IQ_HIGH_SULFURE_RESERVES_TO_TOTAL_RESERVES_COAL">"c15963"</definedName>
    <definedName name="IQ_HIGH_TARGET_PRICE">"c1651"</definedName>
    <definedName name="IQ_HIGHPRICE">"c545"</definedName>
    <definedName name="IQ_HOLDER_FUND_CIQID">"c19084"</definedName>
    <definedName name="IQ_HOLDER_FUND_DERIVATIVES">"c19115"</definedName>
    <definedName name="IQ_HOLDER_FUND_NAME">"c19083"</definedName>
    <definedName name="IQ_HOLDER_FUND_NUMBER">"c19090"</definedName>
    <definedName name="IQ_HOLDER_FUND_PERCENT">"c19085"</definedName>
    <definedName name="IQ_HOLDER_FUND_POSITION_DATE">"c19088"</definedName>
    <definedName name="IQ_HOLDER_FUND_PRIMARY_ADVISOR">"c19089"</definedName>
    <definedName name="IQ_HOLDER_FUND_SHARES">"c19086"</definedName>
    <definedName name="IQ_HOLDER_FUND_VALUE">"c19087"</definedName>
    <definedName name="IQ_HOME_CANCELLATION_RATE">"c16192"</definedName>
    <definedName name="IQ_HOME_CANCELLATION_RATE_INCL_JV">"c16194"</definedName>
    <definedName name="IQ_HOME_CANCELLATION_RATE_JV">"c16193"</definedName>
    <definedName name="IQ_HOMEBUILDING_COGS_SALES">"c15813"</definedName>
    <definedName name="IQ_HOMEBUILDING_INV_TURN">"c15819"</definedName>
    <definedName name="IQ_HOMEBUILDING_TURN">"c15820"</definedName>
    <definedName name="IQ_HOMEOWNERS_WRITTEN">"c546"</definedName>
    <definedName name="IQ_HOTEL_OPERATING_EXPENSE">"c16042"</definedName>
    <definedName name="IQ_HOTEL_OPERATING_REVENUE">"c16026"</definedName>
    <definedName name="IQ_HOUSING_COMPLETIONS_SINGLE_FAM_APR_FC_UNUSED_UNUSED_UNUSED">"c8422"</definedName>
    <definedName name="IQ_HOUSING_COMPLETIONS_SINGLE_FAM_APR_UNUSED_UNUSED_UNUSED">"c7542"</definedName>
    <definedName name="IQ_HOUSING_COMPLETIONS_SINGLE_FAM_FC_UNUSED_UNUSED_UNUSED">"c7762"</definedName>
    <definedName name="IQ_HOUSING_COMPLETIONS_SINGLE_FAM_POP_FC_UNUSED_UNUSED_UNUSED">"c7982"</definedName>
    <definedName name="IQ_HOUSING_COMPLETIONS_SINGLE_FAM_POP_UNUSED_UNUSED_UNUSED">"c7102"</definedName>
    <definedName name="IQ_HOUSING_COMPLETIONS_SINGLE_FAM_UNUSED_UNUSED_UNUSED">"c6882"</definedName>
    <definedName name="IQ_HOUSING_COMPLETIONS_SINGLE_FAM_YOY_FC_UNUSED_UNUSED_UNUSED">"c8202"</definedName>
    <definedName name="IQ_HOUSING_COMPLETIONS_SINGLE_FAM_YOY_UNUSED_UNUSED_UNUSED">"c7322"</definedName>
    <definedName name="IQ_IMPACT_UNRECOG_TAX_BENEFIT_EFFECTIVE_TAX">"c15748"</definedName>
    <definedName name="IQ_IMPAIR_OIL">"c547"</definedName>
    <definedName name="IQ_IMPAIRMENT_GW">"c548"</definedName>
    <definedName name="IQ_IMPORTS_GOODS_REAL_SAAR_APR_FC_UNUSED_UNUSED_UNUSED">"c8523"</definedName>
    <definedName name="IQ_IMPORTS_GOODS_REAL_SAAR_APR_UNUSED_UNUSED_UNUSED">"c7643"</definedName>
    <definedName name="IQ_IMPORTS_GOODS_REAL_SAAR_FC_UNUSED_UNUSED_UNUSED">"c7863"</definedName>
    <definedName name="IQ_IMPORTS_GOODS_REAL_SAAR_POP_FC_UNUSED_UNUSED_UNUSED">"c8083"</definedName>
    <definedName name="IQ_IMPORTS_GOODS_REAL_SAAR_POP_UNUSED_UNUSED_UNUSED">"c7203"</definedName>
    <definedName name="IQ_IMPORTS_GOODS_REAL_SAAR_UNUSED_UNUSED_UNUSED">"c6983"</definedName>
    <definedName name="IQ_IMPORTS_GOODS_REAL_SAAR_YOY_FC_UNUSED_UNUSED_UNUSED">"c8303"</definedName>
    <definedName name="IQ_IMPORTS_GOODS_REAL_SAAR_YOY_UNUSED_UNUSED_UNUSED">"c7423"</definedName>
    <definedName name="IQ_IMPORTS_GOODS_SERVICES_APR_FC_UNUSED_UNUSED_UNUSED">"c8429"</definedName>
    <definedName name="IQ_IMPORTS_GOODS_SERVICES_APR_UNUSED_UNUSED_UNUSED">"c7549"</definedName>
    <definedName name="IQ_IMPORTS_GOODS_SERVICES_FC_UNUSED_UNUSED_UNUSED">"c7769"</definedName>
    <definedName name="IQ_IMPORTS_GOODS_SERVICES_POP_FC_UNUSED_UNUSED_UNUSED">"c7989"</definedName>
    <definedName name="IQ_IMPORTS_GOODS_SERVICES_POP_UNUSED_UNUSED_UNUSED">"c7109"</definedName>
    <definedName name="IQ_IMPORTS_GOODS_SERVICES_REAL_SAAR_APR_FC_UNUSED_UNUSED_UNUSED">"c8524"</definedName>
    <definedName name="IQ_IMPORTS_GOODS_SERVICES_REAL_SAAR_APR_UNUSED_UNUSED_UNUSED">"c7644"</definedName>
    <definedName name="IQ_IMPORTS_GOODS_SERVICES_REAL_SAAR_FC_UNUSED_UNUSED_UNUSED">"c7864"</definedName>
    <definedName name="IQ_IMPORTS_GOODS_SERVICES_REAL_SAAR_POP_FC_UNUSED_UNUSED_UNUSED">"c8084"</definedName>
    <definedName name="IQ_IMPORTS_GOODS_SERVICES_REAL_SAAR_POP_UNUSED_UNUSED_UNUSED">"c7204"</definedName>
    <definedName name="IQ_IMPORTS_GOODS_SERVICES_REAL_SAAR_UNUSED_UNUSED_UNUSED">"c6984"</definedName>
    <definedName name="IQ_IMPORTS_GOODS_SERVICES_REAL_SAAR_YOY_FC_UNUSED_UNUSED_UNUSED">"c8304"</definedName>
    <definedName name="IQ_IMPORTS_GOODS_SERVICES_REAL_SAAR_YOY_UNUSED_UNUSED_UNUSED">"c7424"</definedName>
    <definedName name="IQ_IMPORTS_GOODS_SERVICES_UNUSED_UNUSED_UNUSED">"c6889"</definedName>
    <definedName name="IQ_IMPORTS_GOODS_SERVICES_YOY_FC_UNUSED_UNUSED_UNUSED">"c8209"</definedName>
    <definedName name="IQ_IMPORTS_GOODS_SERVICES_YOY_UNUSED_UNUSED_UNUSED">"c7329"</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DIVIDUAL_ALL_OTHER_COMP">"c19040"</definedName>
    <definedName name="IQ_INDIVIDUAL_ANNUAL_CASH_COMP">"c19041"</definedName>
    <definedName name="IQ_INDIVIDUAL_AS_REPORTED_COMP">"c19045"</definedName>
    <definedName name="IQ_INDIVIDUAL_AS_REPORTED_DIRECTOR_COMP">"c19057"</definedName>
    <definedName name="IQ_INDIVIDUAL_BONUS">"c19036"</definedName>
    <definedName name="IQ_INDIVIDUAL_CALCULATED_COMP">"c19043"</definedName>
    <definedName name="IQ_INDIVIDUAL_CHANGE_PENSION">"c19058"</definedName>
    <definedName name="IQ_INDIVIDUAL_DIRECTOR_BONUS">"c19052"</definedName>
    <definedName name="IQ_INDIVIDUAL_DIRECTOR_CHANGE_PENSION">"c19053"</definedName>
    <definedName name="IQ_INDIVIDUAL_DIRECTOR_FEE">"c19049"</definedName>
    <definedName name="IQ_INDIVIDUAL_DIRECTOR_NON_EQUITY_COMP">"c19054"</definedName>
    <definedName name="IQ_INDIVIDUAL_DIRECTOR_OPTION_AWARDS">"c19050"</definedName>
    <definedName name="IQ_INDIVIDUAL_DIRECTOR_OTHER">"c19051"</definedName>
    <definedName name="IQ_INDIVIDUAL_DIRECTOR_STOCK_AWARDS">"c19055"</definedName>
    <definedName name="IQ_INDIVIDUAL_DIRECTOR_STOCK_GRANTS">"c19082"</definedName>
    <definedName name="IQ_INDIVIDUAL_DIRECTOR_STOCK_OPTIONS">"c19056"</definedName>
    <definedName name="IQ_INDIVIDUAL_EQUITY_INCENTIVE">"c19078"</definedName>
    <definedName name="IQ_INDIVIDUAL_EST_PAYMENTS_CHANGE_CONTROL">"c19047"</definedName>
    <definedName name="IQ_INDIVIDUAL_EST_PAYMENTS_TERMINATION">"c19059"</definedName>
    <definedName name="IQ_INDIVIDUAL_EXERCISABLE_OPTIONS">"c19062"</definedName>
    <definedName name="IQ_INDIVIDUAL_EXERCISABLE_VALUES">"c19063"</definedName>
    <definedName name="IQ_INDIVIDUAL_EXERCISED_OPTIONS">"c19060"</definedName>
    <definedName name="IQ_INDIVIDUAL_EXERCISED_VALUES">"c19061"</definedName>
    <definedName name="IQ_INDIVIDUAL_LT_INCENTIVE">"c19039"</definedName>
    <definedName name="IQ_INDIVIDUAL_MARKET_VALUE_SHARES_NOT_VESTED">"c19077"</definedName>
    <definedName name="IQ_INDIVIDUAL_NON_EQUITY_INCENTIVE">"c19048"</definedName>
    <definedName name="IQ_INDIVIDUAL_NUM_SHARED_NOT_VESTED">"c19076"</definedName>
    <definedName name="IQ_INDIVIDUAL_NUM_SHARES_ACQUIRED">"c19074"</definedName>
    <definedName name="IQ_INDIVIDUAL_OPTION_AWARDS">"c19044"</definedName>
    <definedName name="IQ_INDIVIDUAL_OPTION_MARKET_PRICE">"c19073"</definedName>
    <definedName name="IQ_INDIVIDUAL_OPTION_PRICE">"c19072"</definedName>
    <definedName name="IQ_INDIVIDUAL_OTHER_ANNUAL_COMP">"c19037"</definedName>
    <definedName name="IQ_INDIVIDUAL_OTHER_COMP">"c19046"</definedName>
    <definedName name="IQ_INDIVIDUAL_RESTRICTED_STOCK_COMP">"c19038"</definedName>
    <definedName name="IQ_INDIVIDUAL_SALARY">"c19035"</definedName>
    <definedName name="IQ_INDIVIDUAL_ST_COMP">"c19042"</definedName>
    <definedName name="IQ_INDIVIDUAL_TOTAL_NUM_STOCK_AWARDS">"c19081"</definedName>
    <definedName name="IQ_INDIVIDUAL_TOTAL_OPTIONS">"c19070"</definedName>
    <definedName name="IQ_INDIVIDUAL_TOTAL_STOCK_VALUE">"c19080"</definedName>
    <definedName name="IQ_INDIVIDUAL_TOTAL_VALUE_OPTIONS">"c19071"</definedName>
    <definedName name="IQ_INDIVIDUAL_UNCLASSIFIED_OPTIONS">"c19066"</definedName>
    <definedName name="IQ_INDIVIDUAL_UNCLASSIFIED_OPTIONS_VALUE">"c19067"</definedName>
    <definedName name="IQ_INDIVIDUAL_UNEARNED_STOCK_VALUE">"c19079"</definedName>
    <definedName name="IQ_INDIVIDUAL_UNEXERCISABLE_OPTIONS">"c19064"</definedName>
    <definedName name="IQ_INDIVIDUAL_UNEXERCISABLE_VALUES">"c19065"</definedName>
    <definedName name="IQ_INDIVIDUAL_UNEXERCISED_UNEARNED_OPTIONS">"c19068"</definedName>
    <definedName name="IQ_INDIVIDUAL_UNEXERCISED_UNEARNED_OPTIONS_VALUE">"c19069"</definedName>
    <definedName name="IQ_INDIVIDUAL_VALUE_VESTING">"c19075"</definedName>
    <definedName name="IQ_INDUSTRY">"c3601"</definedName>
    <definedName name="IQ_INDUSTRY_GROUP">"c3602"</definedName>
    <definedName name="IQ_INDUSTRY_SECTOR">"c3603"</definedName>
    <definedName name="IQ_INITIAL_TRANSACTION">"c18885"</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CIQID">"c19101"</definedName>
    <definedName name="IQ_INSIDER_DERIVATIVES">"c19102"</definedName>
    <definedName name="IQ_INSIDER_NAME">"c19100"</definedName>
    <definedName name="IQ_INSIDER_OVER_TOTAL">"c1581"</definedName>
    <definedName name="IQ_INSIDER_OWNER">"c577"</definedName>
    <definedName name="IQ_INSIDER_PERCENT">"c578"</definedName>
    <definedName name="IQ_INSIDER_POSITION_DATE">"c19104"</definedName>
    <definedName name="IQ_INSIDER_SHARES">"c579"</definedName>
    <definedName name="IQ_INSIDER_VALUE">"c19103"</definedName>
    <definedName name="IQ_INSTITUTIONAL_CIQID">"c19106"</definedName>
    <definedName name="IQ_INSTITUTIONAL_DERIVATIVES">"c19107"</definedName>
    <definedName name="IQ_INSTITUTIONAL_NAME">"c19105"</definedName>
    <definedName name="IQ_INSTITUTIONAL_OVER_TOTAL">"c1580"</definedName>
    <definedName name="IQ_INSTITUTIONAL_OWNER">"c580"</definedName>
    <definedName name="IQ_INSTITUTIONAL_PERCENT">"c581"</definedName>
    <definedName name="IQ_INSTITUTIONAL_POSITION_DATE">"c19109"</definedName>
    <definedName name="IQ_INSTITUTIONAL_SHARES">"c582"</definedName>
    <definedName name="IQ_INSTITUTIONAL_VALUE">"c19108"</definedName>
    <definedName name="IQ_INSUR_RECEIV">"c1600"</definedName>
    <definedName name="IQ_INT_BORROW">"c583"</definedName>
    <definedName name="IQ_INT_DEPOSITS">"c584"</definedName>
    <definedName name="IQ_INT_DIV_INC">"c585"</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IT">"c590"</definedName>
    <definedName name="IQ_INT_EXP_TOTAL">"c591"</definedName>
    <definedName name="IQ_INT_EXP_UTI">"c592"</definedName>
    <definedName name="IQ_INT_EXPENSE_AVG_ASSET">"c15705"</definedName>
    <definedName name="IQ_INT_INC_BR">"c593"</definedName>
    <definedName name="IQ_INT_INC_FIN">"c594"</definedName>
    <definedName name="IQ_INT_INC_INVEST">"c595"</definedName>
    <definedName name="IQ_INT_INC_LOANS">"c596"</definedName>
    <definedName name="IQ_INT_INC_REIT">"c597"</definedName>
    <definedName name="IQ_INT_INC_TOTAL">"c598"</definedName>
    <definedName name="IQ_INT_INC_UTI">"c599"</definedName>
    <definedName name="IQ_INT_INCOME_AVG_ASSET">"c15704"</definedName>
    <definedName name="IQ_INT_INV_INC">"c600"</definedName>
    <definedName name="IQ_INT_INV_INC_REIT">"c601"</definedName>
    <definedName name="IQ_INT_INV_INC_UTI">"c602"</definedName>
    <definedName name="IQ_INT_ON_BORROWING_COVERAGE">"c603"</definedName>
    <definedName name="IQ_INT_RATE_SPREAD">"c604"</definedName>
    <definedName name="IQ_INTANGIBLES_NET">"c1407"</definedName>
    <definedName name="IQ_INTERBANK_RATIO">"c19134"</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10K">"IQ_INTEREST_INC_10K"</definedName>
    <definedName name="IQ_INTEREST_INC_10Q">"IQ_INTEREST_INC_10Q"</definedName>
    <definedName name="IQ_INTEREST_INC_10Q1">"IQ_INTEREST_INC_10Q1"</definedName>
    <definedName name="IQ_INTEREST_INC_NON">"c1384"</definedName>
    <definedName name="IQ_INTEREST_INVEST_INC">"c619"</definedName>
    <definedName name="IQ_INTEREST_PENALTIES_RECOG_BS_AFTER_TAX">"c15745"</definedName>
    <definedName name="IQ_INTEREST_PENALTIES_RECOG_BS_PRE_TAX">"c15744"</definedName>
    <definedName name="IQ_INTEREST_PENALTIES_RECOG_IS_AFTER_TAX">"c15743"</definedName>
    <definedName name="IQ_INTEREST_PENALTIES_RECOG_IS_PRE_TAX">"c15742"</definedName>
    <definedName name="IQ_INV_10YR_ANN_GROWTH">"c1930"</definedName>
    <definedName name="IQ_INV_1YR_ANN_GROWTH">"c1925"</definedName>
    <definedName name="IQ_INV_2YR_ANN_GROWTH">"c1926"</definedName>
    <definedName name="IQ_INV_3YR_ANN_GROWTH">"c1927"</definedName>
    <definedName name="IQ_INV_5YR_ANN_GROWTH">"c1928"</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CRITERIA_EBITDA_MAX">"c18907"</definedName>
    <definedName name="IQ_INVEST_CRITERIA_EBITDA_MIN">"c18906"</definedName>
    <definedName name="IQ_INVEST_CRITERIA_EQUITY_MAX">"c18901"</definedName>
    <definedName name="IQ_INVEST_CRITERIA_EQUITY_MIN">"c18900"</definedName>
    <definedName name="IQ_INVEST_CRITERIA_EV_MAX">"c18903"</definedName>
    <definedName name="IQ_INVEST_CRITERIA_EV_MIN">"c18902"</definedName>
    <definedName name="IQ_INVEST_CRITERIA_GEOGRAPHY">"c18898"</definedName>
    <definedName name="IQ_INVEST_CRITERIA_INDUSTRY">"c18897"</definedName>
    <definedName name="IQ_INVEST_CRITERIA_STAGES">"c18899"</definedName>
    <definedName name="IQ_INVEST_CRITERIA_TOT_REV_MAX">"c18905"</definedName>
    <definedName name="IQ_INVEST_CRITERIA_TOT_REV_MIN">"c18904"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IT">"c642"</definedName>
    <definedName name="IQ_INVEST_SECURITY_CF_UTI">"c643"</definedName>
    <definedName name="IQ_INVEST_SECURITY_SUPPL">"c5511"</definedName>
    <definedName name="IQ_INVESTMENT_PARTNERSHIP">"c16072"</definedName>
    <definedName name="IQ_INVESTMENTS_ALL">"c18891"</definedName>
    <definedName name="IQ_INVESTMENTS_ALL_COVER">"c19112"</definedName>
    <definedName name="IQ_INVESTMENTS_ALL_ID">"c18892"</definedName>
    <definedName name="IQ_INVESTMENTS_ALL_REL">"c18894"</definedName>
    <definedName name="IQ_INVESTMENTS_ALL_STAKE">"c18893"</definedName>
    <definedName name="IQ_INVESTMENTS_CURR">"c18881"</definedName>
    <definedName name="IQ_INVESTMENTS_CURR_COVER">"c19110"</definedName>
    <definedName name="IQ_INVESTMENTS_CURR_ID">"c18882"</definedName>
    <definedName name="IQ_INVESTMENTS_CURR_REL">"c18884"</definedName>
    <definedName name="IQ_INVESTMENTS_CURR_STAKE">"c18883"</definedName>
    <definedName name="IQ_INVESTMENTS_LP">"c18912"</definedName>
    <definedName name="IQ_INVESTMENTS_LP_ID">"c18913"</definedName>
    <definedName name="IQ_INVESTMENTS_LP_REL">"c18914"</definedName>
    <definedName name="IQ_INVESTMENTS_PENDING">"c18887"</definedName>
    <definedName name="IQ_INVESTMENTS_PENDING_COVER">"c19111"</definedName>
    <definedName name="IQ_INVESTMENTS_PENDING_ID">"c18888"</definedName>
    <definedName name="IQ_INVESTMENTS_PENDING_REL">"c18890"</definedName>
    <definedName name="IQ_INVESTMENTS_PENDING_STAKE">"c18889"</definedName>
    <definedName name="IQ_INVESTMENTS_PRIOR">"c18895"</definedName>
    <definedName name="IQ_INVESTMENTS_PRIOR_ID">"c18896"</definedName>
    <definedName name="IQ_IPRD">"c644"</definedName>
    <definedName name="IQ_ISM_SERVICES_APR_FC_UNUSED_UNUSED_UNUSED">"c8443"</definedName>
    <definedName name="IQ_ISM_SERVICES_APR_UNUSED_UNUSED_UNUSED">"c7563"</definedName>
    <definedName name="IQ_ISM_SERVICES_FC_UNUSED_UNUSED_UNUSED">"c7783"</definedName>
    <definedName name="IQ_ISM_SERVICES_POP_FC_UNUSED_UNUSED_UNUSED">"c8003"</definedName>
    <definedName name="IQ_ISM_SERVICES_POP_UNUSED_UNUSED_UNUSED">"c7123"</definedName>
    <definedName name="IQ_ISM_SERVICES_UNUSED_UNUSED_UNUSED">"c6903"</definedName>
    <definedName name="IQ_ISM_SERVICES_YOY_FC_UNUSED_UNUSED_UNUSED">"c8223"</definedName>
    <definedName name="IQ_ISM_SERVICES_YOY_UNUSED_UNUSED_UNUSED">"c7343"</definedName>
    <definedName name="IQ_ISS_DEBT_NET">"c1391"</definedName>
    <definedName name="IQ_ISS_STOCK_NET">"c1601"</definedName>
    <definedName name="IQ_ISSUE_CURRENCY">"c2156"</definedName>
    <definedName name="IQ_ISSUE_NAME">"c2142"</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ND_MINERAL_RIGHTS_TO_PPE_GROSS_COAL">"c15949"</definedName>
    <definedName name="IQ_LAND_MINERAL_RIGHTS_TO_PPE_NET_COAL">"c15950"</definedName>
    <definedName name="IQ_LANDS_MINERAL_RIGHTS_GROSS_COAL">"c15938"</definedName>
    <definedName name="IQ_LANDS_MINERAL_RIGHTS_NET_COAL">"c15939"</definedName>
    <definedName name="IQ_LAPSE_STATUTE_LIMITATIONS">"c15738"</definedName>
    <definedName name="IQ_LAST_EBIT_MARGIN">"IQ_LAST_EBIT_MARGIN"</definedName>
    <definedName name="IQ_LAST_EBITDA_MARGIN">"IQ_LAST_EBITDA_MARGIN"</definedName>
    <definedName name="IQ_LAST_GROSS_MARGIN">"IQ_LAST_GROSS_MARGIN"</definedName>
    <definedName name="IQ_LAST_NET_INC_MARGIN">"IQ_LAST_NET_INC_MARGIN"</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"1"</definedName>
    <definedName name="IQ_LATEST_TRANSACTION">"c18886"</definedName>
    <definedName name="IQ_LATESTK">1000</definedName>
    <definedName name="IQ_LATESTKFR">"100"</definedName>
    <definedName name="IQ_LATESTQ">500</definedName>
    <definedName name="IQ_LATESTQFR">"50"</definedName>
    <definedName name="IQ_LEASE_EXPENSE">"c16039"</definedName>
    <definedName name="IQ_LEASE_PMT_REC_AFTER_FIVE">"c16099"</definedName>
    <definedName name="IQ_LEASE_PMT_REC_CY">"c16093"</definedName>
    <definedName name="IQ_LEASE_PMT_REC_CY1">"c16094"</definedName>
    <definedName name="IQ_LEASE_PMT_REC_CY2">"c16095"</definedName>
    <definedName name="IQ_LEASE_PMT_REC_CY3">"c16096"</definedName>
    <definedName name="IQ_LEASE_PMT_REC_CY4">"c16097"</definedName>
    <definedName name="IQ_LEASE_PMT_REC_NEXT_FIVE">"c16098"</definedName>
    <definedName name="IQ_LEASE_PMT_REC_TOTAL">"c16100"</definedName>
    <definedName name="IQ_LEASE_REVENUE">"c16023"</definedName>
    <definedName name="IQ_LEASE_TERMINATION_FEES">"c16182"</definedName>
    <definedName name="IQ_LEASED_RESERVES_COAL">"c15918"</definedName>
    <definedName name="IQ_LEASED_RESERVES_TO_TOTAL_RESERVES_COAL">"c15958"</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IT">"c652"</definedName>
    <definedName name="IQ_LEGAL_SETTLE_UTI">"c653"</definedName>
    <definedName name="IQ_LEVERAGE_RATIO">"c654"</definedName>
    <definedName name="IQ_LEVERED_FCF">"c1907"</definedName>
    <definedName name="IQ_LFCF_10YR_ANN_GROWTH">"c1942"</definedName>
    <definedName name="IQ_LFCF_1YR_ANN_GROWTH">"c1937"</definedName>
    <definedName name="IQ_LFCF_2YR_ANN_GROWTH">"c1938"</definedName>
    <definedName name="IQ_LFCF_3YR_ANN_GROWTH">"c1939"</definedName>
    <definedName name="IQ_LFCF_5YR_ANN_GROWTH">"c1940"</definedName>
    <definedName name="IQ_LFCF_7YR_ANN_GROWTH">"c1941"</definedName>
    <definedName name="IQ_LFCF_MARGIN">"c1961"</definedName>
    <definedName name="IQ_LH_STATUTORY_SURPLUS">"c2771"</definedName>
    <definedName name="IQ_LICENSED_POPS">"c2123"</definedName>
    <definedName name="IQ_LICENSED_WIRELESS_POPS">"c2123"</definedName>
    <definedName name="IQ_LIFE_EARNED">"c2739"</definedName>
    <definedName name="IQ_LIFOR">"c655"</definedName>
    <definedName name="IQ_LIMITED_PARTNERS">"c18915"</definedName>
    <definedName name="IQ_LIMITED_PARTNERS_ID">"c18916"</definedName>
    <definedName name="IQ_LIMITED_PARTNERS_REL">"c19114"</definedName>
    <definedName name="IQ_LINE_EXTENSIONS_CABLE_INVEST">"c15803"</definedName>
    <definedName name="IQ_LL">"c656"</definedName>
    <definedName name="IQ_LOAN_LEASE_RECEIV">"c657"</definedName>
    <definedName name="IQ_LOAN_LOSS">"c1386"</definedName>
    <definedName name="IQ_LOAN_SERVICE_REV">"c658"</definedName>
    <definedName name="IQ_LOANS_CF">"c659"</definedName>
    <definedName name="IQ_LOANS_CF_BNK">"c660"</definedName>
    <definedName name="IQ_LOANS_CF_BR">"c661"</definedName>
    <definedName name="IQ_LOANS_CF_FIN">"c662"</definedName>
    <definedName name="IQ_LOANS_CF_INS">"c663"</definedName>
    <definedName name="IQ_LOANS_CF_REIT">"c664"</definedName>
    <definedName name="IQ_LOANS_CF_UTI">"c665"</definedName>
    <definedName name="IQ_LOANS_FOR_SALE">"c666"</definedName>
    <definedName name="IQ_LOANS_PAST_DUE">"c667"</definedName>
    <definedName name="IQ_LOANS_RECEIV_CURRENT">"c668"</definedName>
    <definedName name="IQ_LOANS_RECEIV_LT">"c669"</definedName>
    <definedName name="IQ_LOANS_RECEIV_LT_UTI">"c670"</definedName>
    <definedName name="IQ_LONG_TERM_DEBT">"c1387"</definedName>
    <definedName name="IQ_LONG_TERM_DEBT_OVER_TOTAL_CAP">"c1388"</definedName>
    <definedName name="IQ_LONG_TERM_GROWTH">"c671"</definedName>
    <definedName name="IQ_LONG_TERM_INV">"c1389"</definedName>
    <definedName name="IQ_LOSS_LOSS_EXP">"c672"</definedName>
    <definedName name="IQ_LOSS_TO_NET_EARNED">"c2751"</definedName>
    <definedName name="IQ_LOW_SULFUR_CONTENT_RESERVES_COAL">"c15924"</definedName>
    <definedName name="IQ_LOW_SULFURE_RESERVES_TO_TOTAL_RESERVES_COAL">"c15961"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IT">"c686"</definedName>
    <definedName name="IQ_LT_DEBT_ISSUED_UTI">"c687"</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_DATE">"IQ_LTM_DATE"</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RKETING_PROMOTION_EXPENSE">"c16035"</definedName>
    <definedName name="IQ_MATERIALS_SUPPLES_INVENTORY_COAL">"c15942"</definedName>
    <definedName name="IQ_MATURITY_DATE">"c2146"</definedName>
    <definedName name="IQ_MC_COMMERCIAL_ASO_FEES">"c15862"</definedName>
    <definedName name="IQ_MC_COMMERCIAL_NON_RISK_MEMBERS">"c15835"</definedName>
    <definedName name="IQ_MC_COMMERCIAL_PREMIUMS">"c15852"</definedName>
    <definedName name="IQ_MC_DENTAL_MEMBERS">"c15832"</definedName>
    <definedName name="IQ_MC_DENTAL_PREMIUMS">"c15858"</definedName>
    <definedName name="IQ_MC_HMO_MEMBERS">"c15824"</definedName>
    <definedName name="IQ_MC_HMO_PREMIUMS">"c15850"</definedName>
    <definedName name="IQ_MC_INDEMNITY_MEMBERS">"c15825"</definedName>
    <definedName name="IQ_MC_INDEMNITY_PREMIUMS">"c15851"</definedName>
    <definedName name="IQ_MC_MEDICAID_ASO_FEES">"c15865"</definedName>
    <definedName name="IQ_MC_MEDICAID_MEMBERS">"c15830"</definedName>
    <definedName name="IQ_MC_MEDICAID_NON_RISK_MEMBERS">"c15838"</definedName>
    <definedName name="IQ_MC_MEDICAID_PREMIUMS">"c15856"</definedName>
    <definedName name="IQ_MC_MEDICAL_COST">"c15847"</definedName>
    <definedName name="IQ_MC_MEDICARE_ASO_FEES">"c15864"</definedName>
    <definedName name="IQ_MC_MEDICARE_MEMBERS">"c15828"</definedName>
    <definedName name="IQ_MC_MEDICARE_NON_RISK_MEMBERS">"c15837"</definedName>
    <definedName name="IQ_MC_MEDICARE_PART_D_MEMBERS">"c15829"</definedName>
    <definedName name="IQ_MC_MEDICARE_PART_D_PREMIUMS">"c15855"</definedName>
    <definedName name="IQ_MC_MEDICARE_PREMIUMS">"c15854"</definedName>
    <definedName name="IQ_MC_MILITARY_ASO_FEES">"c15863"</definedName>
    <definedName name="IQ_MC_MILITARY_MEMBERS">"c15827"</definedName>
    <definedName name="IQ_MC_MILITARY_NON_RISK_MEMBERS">"c15836"</definedName>
    <definedName name="IQ_MC_MILITARY_PREMIUMS">"c15853"</definedName>
    <definedName name="IQ_MC_NET_INVESTMENT_INCOME">"c15845"</definedName>
    <definedName name="IQ_MC_OTHER_REV">"c15846"</definedName>
    <definedName name="IQ_MC_PPO_POS_MEMBERS">"c15823"</definedName>
    <definedName name="IQ_MC_PPO_POS_PREMIUMS">"c15849"</definedName>
    <definedName name="IQ_MC_PREMIUMS">"c15861"</definedName>
    <definedName name="IQ_MC_RATIO">"c2783"</definedName>
    <definedName name="IQ_MC_SPECIALTY_ASO_FEES">"c15867"</definedName>
    <definedName name="IQ_MC_SPECIALTY_NON_RISK_MEMBERS">"c15840"</definedName>
    <definedName name="IQ_MC_STATUTORY_SURPLUS">"c2772"</definedName>
    <definedName name="IQ_MC_TANGIBLE_EQUITY_MEDICAL_COST">"c15848"</definedName>
    <definedName name="IQ_MC_TANGIBLE_EQUITY_PER_MEMBER">"c15843"</definedName>
    <definedName name="IQ_MC_TOTAL_ASO_FEES">"c15868"</definedName>
    <definedName name="IQ_MC_TOTAL_COMMERCIAL_MEMBERS">"c15826"</definedName>
    <definedName name="IQ_MC_TOTAL_EQUITY_PER_MEMBER">"c15842"</definedName>
    <definedName name="IQ_MC_TOTAL_GOVT_ASO_FEES">"c15866"</definedName>
    <definedName name="IQ_MC_TOTAL_GOVT_MEMBERS">"c15831"</definedName>
    <definedName name="IQ_MC_TOTAL_GOVT_NON_RISK_MEMBERS">"c15839"</definedName>
    <definedName name="IQ_MC_TOTAL_GOVT_PREMIUMS">"c15857"</definedName>
    <definedName name="IQ_MC_TOTAL_OTHER_MEMBERS">"c15833"</definedName>
    <definedName name="IQ_MC_TOTAL_OTHER_PREMIUMS">"c15859"</definedName>
    <definedName name="IQ_MC_TOTAL_RESERVES_PER_MEMBER">"c15844"</definedName>
    <definedName name="IQ_MC_TOTAL_SEPCIALTY_MEMBERS">"c15834"</definedName>
    <definedName name="IQ_MC_TOTAL_SEPCIALTY_PREMIUMS">"c15860"</definedName>
    <definedName name="IQ_MC_TOTAL_STATUTORY_CAPITAL_SURPLUS_PER_MEMBER">"c15841"</definedName>
    <definedName name="IQ_MEDIAN_NEW_HOME_SALES_APR_FC_UNUSED_UNUSED_UNUSED">"c8460"</definedName>
    <definedName name="IQ_MEDIAN_NEW_HOME_SALES_APR_UNUSED_UNUSED_UNUSED">"c7580"</definedName>
    <definedName name="IQ_MEDIAN_NEW_HOME_SALES_FC_UNUSED_UNUSED_UNUSED">"c7800"</definedName>
    <definedName name="IQ_MEDIAN_NEW_HOME_SALES_POP_FC_UNUSED_UNUSED_UNUSED">"c8020"</definedName>
    <definedName name="IQ_MEDIAN_NEW_HOME_SALES_POP_UNUSED_UNUSED_UNUSED">"c7140"</definedName>
    <definedName name="IQ_MEDIAN_NEW_HOME_SALES_UNUSED_UNUSED_UNUSED">"c6920"</definedName>
    <definedName name="IQ_MEDIAN_NEW_HOME_SALES_YOY_FC_UNUSED_UNUSED_UNUSED">"c8240"</definedName>
    <definedName name="IQ_MEDIAN_NEW_HOME_SALES_YOY_UNUSED_UNUSED_UNUSED">"c7360"</definedName>
    <definedName name="IQ_MEDIAN_TARGET_PRICE">"c1650"</definedName>
    <definedName name="IQ_MEDIUM_SULFUR_CONTENT_RESERVES_COAL">"c15926"</definedName>
    <definedName name="IQ_MEDIUM_SULFURE_RESERVES_TO_TOTAL_RESERVES_COAL">"c15962"</definedName>
    <definedName name="IQ_MERGER">"c713"</definedName>
    <definedName name="IQ_MERGER_BNK">"c714"</definedName>
    <definedName name="IQ_MERGER_BR">"c715"</definedName>
    <definedName name="IQ_MERGER_FIN">"c716"</definedName>
    <definedName name="IQ_MERGER_INS">"c717"</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IT">"c724"</definedName>
    <definedName name="IQ_MERGER_RESTRUCTURE_UTI">"c725"</definedName>
    <definedName name="IQ_MERGER_UTI">"c726"</definedName>
    <definedName name="IQ_MILES_PASSED">"c2848"</definedName>
    <definedName name="IQ_MIN_USE_PER_SUB">"c15764"</definedName>
    <definedName name="IQ_MINE_DEVELOPMENT_GROSS_COAL">"c15940"</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IT">"c734"</definedName>
    <definedName name="IQ_MINORITY_INTEREST_TOTAL">"c1905"</definedName>
    <definedName name="IQ_MINORITY_INTEREST_UTI">"c735"</definedName>
    <definedName name="IQ_MINTUTES_USED_LOCAL">"c15808"</definedName>
    <definedName name="IQ_MINTUTES_USED_LONG_DIST">"c15809"</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KT_DEPOSITS_TOTAL_DEPOSITS">"c15720"</definedName>
    <definedName name="IQ_MONEY_MKT_SAVINGS_ACCT_DEPOSITS_TOTAL_DEPOSITS">"c15722"</definedName>
    <definedName name="IQ_MORT_BANK_ACT">"c744"</definedName>
    <definedName name="IQ_MORT_BANKING_FEE">"c745"</definedName>
    <definedName name="IQ_MORT_INT_INC">"c746"</definedName>
    <definedName name="IQ_MORT_LOANS">"c747"</definedName>
    <definedName name="IQ_MORT_SECURITY">"c748"</definedName>
    <definedName name="IQ_MORTGAGE_SERV_RIGHTS">"c2242"</definedName>
    <definedName name="IQ_MTD">800000</definedName>
    <definedName name="IQ_MTM_ADJ">"c16000"</definedName>
    <definedName name="IQ_MUTUAL_FUND_LIST">"c19092"</definedName>
    <definedName name="IQ_NAMES_REVISION_DATE_">"05/18/2022 23:01:48"</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RE">"c15996"</definedName>
    <definedName name="IQ_NAV_SHARE_RE">"c16011"</definedName>
    <definedName name="IQ_NAV_STDDEV_EST">"c1756"</definedName>
    <definedName name="IQ_NET_ADD_BASIC">"c15782"</definedName>
    <definedName name="IQ_NET_ADD_BBAND">"c15785"</definedName>
    <definedName name="IQ_NET_ADD_DIG">"c15783"</definedName>
    <definedName name="IQ_NET_ADD_PHONE">"c15786"</definedName>
    <definedName name="IQ_NET_ADD_POSTPAID_WIRELESS">"c15754"</definedName>
    <definedName name="IQ_NET_ADD_PREPAID_WIRELESS">"c15755"</definedName>
    <definedName name="IQ_NET_ADD_RESELL_WHOLESALE_WIRELESS">"c15756"</definedName>
    <definedName name="IQ_NET_ADD_RGU">"c15787"</definedName>
    <definedName name="IQ_NET_ADD_SATELLITE">"c15784"</definedName>
    <definedName name="IQ_NET_ADD_TOTAL_WIRELESS">"c15757"</definedName>
    <definedName name="IQ_NET_CHANGE">"c749"</definedName>
    <definedName name="IQ_NET_CLAIM_ADJ_EXP_RESERVE_BOP">"c15877"</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IT">"c756"</definedName>
    <definedName name="IQ_NET_DEBT_ISSUED_UTI">"c757"</definedName>
    <definedName name="IQ_NET_EARNED">"c2734"</definedName>
    <definedName name="IQ_NET_INC">"c1394"</definedName>
    <definedName name="IQ_NET_INC_10K">"IQ_NET_INC_10K"</definedName>
    <definedName name="IQ_NET_INC_10Q">"IQ_NET_INC_10Q"</definedName>
    <definedName name="IQ_NET_INC_10Q1">"IQ_NET_INC_10Q1"</definedName>
    <definedName name="IQ_NET_INC_BEFORE">"c1368"</definedName>
    <definedName name="IQ_NET_INC_CF">"c1397"</definedName>
    <definedName name="IQ_NET_INC_GROWTH_1">"IQ_NET_INC_GROWTH_1"</definedName>
    <definedName name="IQ_NET_INC_GROWTH_2">"IQ_NET_INC_GROWTH_2"</definedName>
    <definedName name="IQ_NET_INC_MARGIN">"c1398"</definedName>
    <definedName name="IQ_NET_INCOME_HOMEBUILDING_SALES">"c15818"</definedName>
    <definedName name="IQ_NET_INT_INC_10YR_ANN_GROWTH">"c758"</definedName>
    <definedName name="IQ_NET_INT_INC_1YR_ANN_GROWTH">"c759"</definedName>
    <definedName name="IQ_NET_INT_INC_2YR_ANN_GROWTH">"c760"</definedName>
    <definedName name="IQ_NET_INT_INC_3YR_ANN_GROWTH">"c761"</definedName>
    <definedName name="IQ_NET_INT_INC_5YR_ANN_GROWTH">"c762"</definedName>
    <definedName name="IQ_NET_INT_INC_7YR_ANN_GROWTH">"c763"</definedName>
    <definedName name="IQ_NET_INT_INC_BNK">"c764"</definedName>
    <definedName name="IQ_NET_INT_INC_BR">"c765"</definedName>
    <definedName name="IQ_NET_INT_INC_FIN">"c766"</definedName>
    <definedName name="IQ_NET_INT_INC_TOTAL_REV">"c767"</definedName>
    <definedName name="IQ_NET_INT_INCOME_AVG_ASSET">"c15706"</definedName>
    <definedName name="IQ_NET_INT_MARGIN">"c768"</definedName>
    <definedName name="IQ_NET_INTEREST_EXP">"c769"</definedName>
    <definedName name="IQ_NET_INTEREST_EXP_REIT">"c770"</definedName>
    <definedName name="IQ_NET_INTEREST_EXP_UTI">"c771"</definedName>
    <definedName name="IQ_NET_INTEREST_INC">"c1392"</definedName>
    <definedName name="IQ_NET_INTEREST_INC_AFTER_LL">"c1604"</definedName>
    <definedName name="IQ_NET_LIFE_INS_IN_FORCE">"c2769"</definedName>
    <definedName name="IQ_NET_LOANS">"c772"</definedName>
    <definedName name="IQ_NET_LOANS_10YR_ANN_GROWTH">"c773"</definedName>
    <definedName name="IQ_NET_LOANS_1YR_ANN_GROWTH">"c774"</definedName>
    <definedName name="IQ_NET_LOANS_2YR_ANN_GROWTH">"c775"</definedName>
    <definedName name="IQ_NET_LOANS_3YR_ANN_GROWTH">"c776"</definedName>
    <definedName name="IQ_NET_LOANS_5YR_ANN_GROWTH">"c777"</definedName>
    <definedName name="IQ_NET_LOANS_7YR_ANN_GROWTH">"c778"</definedName>
    <definedName name="IQ_NET_LOANS_TOTAL_DEPOSITS">"c779"</definedName>
    <definedName name="IQ_NET_LOSSES">"c15873"</definedName>
    <definedName name="IQ_NET_PREMIUM_WRITTEN_STATUTORY_SURPLUS">"c15880"</definedName>
    <definedName name="IQ_NET_PREMIUMS_WRITTEN_AVG_ASSETS">"c15888"</definedName>
    <definedName name="IQ_NET_PREMIUMS_WRITTEN_AVG_EQUITY">"c15891"</definedName>
    <definedName name="IQ_NET_PREMIUMS_WRITTEN_AVG_STATUTORY_SURPLUS">"c15890"</definedName>
    <definedName name="IQ_NET_PREMIUMS_WRITTEN_GROSS_PREMIUMS_WRITTEN">"c15889"</definedName>
    <definedName name="IQ_NET_RENTAL_EXP_FN">"c780"</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GROWTH">"c782"</definedName>
    <definedName name="IQ_NI_1YR_ANN_GROWTH">"c783"</definedName>
    <definedName name="IQ_NI_2YR_ANN_GROWTH">"c784"</definedName>
    <definedName name="IQ_NI_3YR_ANN_GROWTH">"c785"</definedName>
    <definedName name="IQ_NI_5YR_ANN_GROWTH">"c786"</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GROWTH">"c1960"</definedName>
    <definedName name="IQ_NI_NORM_1YR_ANN_GROWTH">"c1955"</definedName>
    <definedName name="IQ_NI_NORM_2YR_ANN_GROWTH">"c1956"</definedName>
    <definedName name="IQ_NI_NORM_3YR_ANN_GROWTH">"c1957"</definedName>
    <definedName name="IQ_NI_NORM_5YR_ANN_GROWTH">"c1958"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I_INCL_UNCONSOL">"c16068"</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CD_DEPOSITS">"c15718"</definedName>
    <definedName name="IQ_NON_CD_DEPOSITS_TOTAL_DEPOSITS">"c15725"</definedName>
    <definedName name="IQ_NON_INS_EXP">"c798"</definedName>
    <definedName name="IQ_NON_INS_REV">"c799"</definedName>
    <definedName name="IQ_NON_INT_BEAR_CD">"c800"</definedName>
    <definedName name="IQ_NON_INT_EXP">"c801"</definedName>
    <definedName name="IQ_NON_INT_EXP_AVG_ASSETS_FFIEC">"c18878"</definedName>
    <definedName name="IQ_NON_INT_EXPENSE_AVG_ASSET">"c15708"</definedName>
    <definedName name="IQ_NON_INT_INC">"c802"</definedName>
    <definedName name="IQ_NON_INT_INC_10YR_ANN_GROWTH">"c803"</definedName>
    <definedName name="IQ_NON_INT_INC_1YR_ANN_GROWTH">"c804"</definedName>
    <definedName name="IQ_NON_INT_INC_2YR_ANN_GROWTH">"c805"</definedName>
    <definedName name="IQ_NON_INT_INC_3YR_ANN_GROWTH">"c806"</definedName>
    <definedName name="IQ_NON_INT_INC_5YR_ANN_GROWTH">"c807"</definedName>
    <definedName name="IQ_NON_INT_INC_7YR_ANN_GROWTH">"c808"</definedName>
    <definedName name="IQ_NON_INT_INCOME_AVG_ASSET">"c15707"</definedName>
    <definedName name="IQ_NON_INTEREST_EXP">"c1400"</definedName>
    <definedName name="IQ_NON_INTEREST_INC">"c1401"</definedName>
    <definedName name="IQ_NON_OPER_EXP">"c809"</definedName>
    <definedName name="IQ_NON_OPER_INC">"c810"</definedName>
    <definedName name="IQ_NON_PERF_ASSETS_10YR_ANN_GROWTH">"c811"</definedName>
    <definedName name="IQ_NON_PERF_ASSETS_1YR_ANN_GROWTH">"c812"</definedName>
    <definedName name="IQ_NON_PERF_ASSETS_2YR_ANN_GROWTH">"c813"</definedName>
    <definedName name="IQ_NON_PERF_ASSETS_3YR_ANN_GROWTH">"c814"</definedName>
    <definedName name="IQ_NON_PERF_ASSETS_5YR_ANN_GROWTH">"c815"</definedName>
    <definedName name="IQ_NON_PERF_ASSETS_7YR_ANN_GROWTH">"c816"</definedName>
    <definedName name="IQ_NON_PERF_ASSETS_EQUITY">"c15702"</definedName>
    <definedName name="IQ_NON_PERF_ASSETS_LOANS_OREO">"c15701"</definedName>
    <definedName name="IQ_NON_PERF_ASSETS_TOTAL_ASSETS">"c817"</definedName>
    <definedName name="IQ_NON_PERF_LOANS_10YR_ANN_GROWTH">"c818"</definedName>
    <definedName name="IQ_NON_PERF_LOANS_1YR_ANN_GROWTH">"c819"</definedName>
    <definedName name="IQ_NON_PERF_LOANS_2YR_ANN_GROWTH">"c820"</definedName>
    <definedName name="IQ_NON_PERF_LOANS_3YR_ANN_GROWTH">"c821"</definedName>
    <definedName name="IQ_NON_PERF_LOANS_5YR_ANN_GROWTH">"c822"</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RE_DA">"c16179"</definedName>
    <definedName name="IQ_NON_RENTAL_NOI">"c16066"</definedName>
    <definedName name="IQ_NON_RENTAL_OPERATING_EXPENSE">"c16046"</definedName>
    <definedName name="IQ_NONCASH_PENSION_EXP">"c3000"</definedName>
    <definedName name="IQ_NONRECOURSE_DEBT">"c2550"</definedName>
    <definedName name="IQ_NONRECOURSE_DEBT_PCT">"c2551"</definedName>
    <definedName name="IQ_NONRES_FIXED_INVEST_PRIV_APR_FC_UNUSED_UNUSED_UNUSED">"c8468"</definedName>
    <definedName name="IQ_NONRES_FIXED_INVEST_PRIV_APR_UNUSED_UNUSED_UNUSED">"c7588"</definedName>
    <definedName name="IQ_NONRES_FIXED_INVEST_PRIV_FC_UNUSED_UNUSED_UNUSED">"c7808"</definedName>
    <definedName name="IQ_NONRES_FIXED_INVEST_PRIV_POP_FC_UNUSED_UNUSED_UNUSED">"c8028"</definedName>
    <definedName name="IQ_NONRES_FIXED_INVEST_PRIV_POP_UNUSED_UNUSED_UNUSED">"c7148"</definedName>
    <definedName name="IQ_NONRES_FIXED_INVEST_PRIV_UNUSED_UNUSED_UNUSED">"c6928"</definedName>
    <definedName name="IQ_NONRES_FIXED_INVEST_PRIV_YOY_FC_UNUSED_UNUSED_UNUSED">"c8248"</definedName>
    <definedName name="IQ_NONRES_FIXED_INVEST_PRIV_YOY_UNUSED_UNUSED_UNUSED">"c7368"</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W_ACCOUNT">"c828"</definedName>
    <definedName name="IQ_NPPE">"c829"</definedName>
    <definedName name="IQ_NPPE_10YR_ANN_GROWTH">"c830"</definedName>
    <definedName name="IQ_NPPE_1YR_ANN_GROWTH">"c831"</definedName>
    <definedName name="IQ_NPPE_2YR_ANN_GROWTH">"c832"</definedName>
    <definedName name="IQ_NPPE_3YR_ANN_GROWTH">"c833"</definedName>
    <definedName name="IQ_NPPE_5YR_ANN_GROWTH">"c834"</definedName>
    <definedName name="IQ_NPPE_7YR_ANN_GROWTH">"c835"</definedName>
    <definedName name="IQ_NUKE">"c836"</definedName>
    <definedName name="IQ_NUKE_CF">"c837"</definedName>
    <definedName name="IQ_NUKE_CONTR">"c838"</definedName>
    <definedName name="IQ_NUM_BRANCHES">"c2088"</definedName>
    <definedName name="IQ_NUMBER_ADRHOLDERS">"c1970"</definedName>
    <definedName name="IQ_NUMBER_CELL_SITES">"c15762"</definedName>
    <definedName name="IQ_NUMBER_DAYS">"c1904"</definedName>
    <definedName name="IQ_NUMBER_SHAREHOLDERS">"c1967"</definedName>
    <definedName name="IQ_NUMBER_SHAREHOLDERS_CLASSA">"c1968"</definedName>
    <definedName name="IQ_NUMBER_SHAREHOLDERS_OTHER">"c1969"</definedName>
    <definedName name="IQ_NUMBER_WIRELESS_TOWERS">"c15766"</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GROSS_DEVELOPMENT_PRODUCTIVE_WELLS_DRILLED_GAS">"c15907"</definedName>
    <definedName name="IQ_OG_GROSS_DEVELOPMENT_PRODUCTIVE_WELLS_DRILLED_OIL">"c15906"</definedName>
    <definedName name="IQ_OG_GROSS_EXPLORATORY_PRODUCTIVE_WELLS_DRILLED_GAS">"c15905"</definedName>
    <definedName name="IQ_OG_GROSS_EXPLORATORY_PRODUCTIVE_WELLS_DRILLED_OIL">"c15904"</definedName>
    <definedName name="IQ_OG_GROSS_PRODUCING_WELLS_GAS">"c15897"</definedName>
    <definedName name="IQ_OG_GROSS_PRODUCING_WELLS_OIL">"c15896"</definedName>
    <definedName name="IQ_OG_GROSS_PRODUCTIVE_WELLS_DRILLED_GAS">"c15901"</definedName>
    <definedName name="IQ_OG_GROSS_PRODUCTIVE_WELLS_DRILLED_OIL">"c15900"</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DEVELOPMENT_PRODUCTIVE_WELLS_DRILLED_GAS">"c15911"</definedName>
    <definedName name="IQ_OG_NET_DEVELOPMENT_PRODUCTIVE_WELLS_DRILLED_OIL">"c15910"</definedName>
    <definedName name="IQ_OG_NET_EXPLORATORY_PRODUCTIVE_WELLS_DRILLED_GAS">"c15909"</definedName>
    <definedName name="IQ_OG_NET_EXPLORATORY_PRODUCTIVE_WELLS_DRILLED_OIL">"c15908"</definedName>
    <definedName name="IQ_OG_NET_FUTURE_CASH_FLOWS">"c1996"</definedName>
    <definedName name="IQ_OG_NET_FUTURE_CASH_FLOWS_GAS">"c2016"</definedName>
    <definedName name="IQ_OG_NET_FUTURE_CASH_FLOWS_OIL">"c2006"</definedName>
    <definedName name="IQ_OG_NET_PRODUCING_WELLS_GAS">"c15899"</definedName>
    <definedName name="IQ_OG_NET_PRODUCING_WELLS_OIL">"c15898"</definedName>
    <definedName name="IQ_OG_NET_PRODUCTIVE_WELLS_DRILLED_GAS">"c15903"</definedName>
    <definedName name="IQ_OG_NET_PRODUCTIVE_WELLS_DRILLED_OIL">"c15902"</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UNRECOG_PRIOR">"c3320"</definedName>
    <definedName name="IQ_OPEB_UNRECOG_PRIOR_DOM">"c3318"</definedName>
    <definedName name="IQ_OPEB_UNRECOG_PRIOR_FOREIGN">"c3319"</definedName>
    <definedName name="IQ_OPENED55">1</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IT">"c853"</definedName>
    <definedName name="IQ_OPER_INC_STDDEV_EST">"c1693"</definedName>
    <definedName name="IQ_OPER_INC_UTI">"c854"</definedName>
    <definedName name="IQ_OPERATING_NOI_AVG_GROSS_PROP">"c16058"</definedName>
    <definedName name="IQ_OPERATIONS_EXP">"c855"</definedName>
    <definedName name="IQ_OPTIONS_BEG_OS">"c1572"</definedName>
    <definedName name="IQ_OPTIONS_CANCELLED">"c856"</definedName>
    <definedName name="IQ_OPTIONS_END_OS">"c1573"</definedName>
    <definedName name="IQ_OPTIONS_EXERCISED">"c2116"</definedName>
    <definedName name="IQ_OPTIONS_GRANTED">"c2673"</definedName>
    <definedName name="IQ_OPTIONS_ISSUED">"c857"</definedName>
    <definedName name="IQ_OPTIONS_STRIKE_PRICE_GRANTED">"c2678"</definedName>
    <definedName name="IQ_OPTIONS_STRIKE_PRICE_OS">"c2677"</definedName>
    <definedName name="IQ_ORDER_BACKLOG">"c2090"</definedName>
    <definedName name="IQ_OTHER_ADJ_CLAIM_ADJ_EXP_INCURRED">"c15878"</definedName>
    <definedName name="IQ_OTHER_ADJ_CLAIM_ADJ_EXP_PAID">"c15879"</definedName>
    <definedName name="IQ_OTHER_ADJ_RESERVE_BOP">"c15876"</definedName>
    <definedName name="IQ_OTHER_ADJ_RESERVES">"c15882"</definedName>
    <definedName name="IQ_OTHER_ADJUST_GROSS_LOANS">"c859"</definedName>
    <definedName name="IQ_OTHER_AFFO">"c16180"</definedName>
    <definedName name="IQ_OTHER_AMORT">"c5563"</definedName>
    <definedName name="IQ_OTHER_ASSETS">"c860"</definedName>
    <definedName name="IQ_OTHER_ASSETS_BNK">"c861"</definedName>
    <definedName name="IQ_OTHER_ASSETS_BR">"c862"</definedName>
    <definedName name="IQ_OTHER_ASSETS_FIN">"c863"</definedName>
    <definedName name="IQ_OTHER_ASSETS_INS">"c864"</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REIT">"c882"</definedName>
    <definedName name="IQ_OTHER_CL_SUPPL_UTI">"c883"</definedName>
    <definedName name="IQ_OTHER_CL_UTI">"c884"</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S_TOTAL_DEPOSITS">"c15724"</definedName>
    <definedName name="IQ_OTHER_DEVELOPMENT_EXPENSE">"c16041"</definedName>
    <definedName name="IQ_OTHER_DEVELOPMENT_REVENUE">"c16025"</definedName>
    <definedName name="IQ_OTHER_EARNING">"c1609"</definedName>
    <definedName name="IQ_OTHER_EPRA_NAV_ADJ">"c16004"</definedName>
    <definedName name="IQ_OTHER_EPRA_NNAV_ADJ">"c16009"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IT">"c891"</definedName>
    <definedName name="IQ_OTHER_EQUITY_UTI">"c892"</definedName>
    <definedName name="IQ_OTHER_FAD">"c16184"</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IT">"c904"</definedName>
    <definedName name="IQ_OTHER_FINANCE_ACT_SUPPL_UTI">"c905"</definedName>
    <definedName name="IQ_OTHER_FINANCE_ACT_UTI">"c906"</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IT">"c912"</definedName>
    <definedName name="IQ_OTHER_INTAN_UTI">"c913"</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IT">"c940"</definedName>
    <definedName name="IQ_OTHER_LIAB_LT_UTI">"c941"</definedName>
    <definedName name="IQ_OTHER_LIAB_REIT">"c942"</definedName>
    <definedName name="IQ_OTHER_LIAB_UTI">"c943"</definedName>
    <definedName name="IQ_OTHER_LIAB_WRITTEN">"c944"</definedName>
    <definedName name="IQ_OTHER_LOANS">"c945"</definedName>
    <definedName name="IQ_OTHER_LOANS_TOTAL_LOANS">"c15716"</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IT">"c951"</definedName>
    <definedName name="IQ_OTHER_LT_ASSETS_UTI">"c952"</definedName>
    <definedName name="IQ_OTHER_MINING_REVENUE_COAL">"c15931"</definedName>
    <definedName name="IQ_OTHER_NET">"c1453"</definedName>
    <definedName name="IQ_OTHER_NON_INT_EXP">"c953"</definedName>
    <definedName name="IQ_OTHER_NON_INT_EXP_TOTAL">"c954"</definedName>
    <definedName name="IQ_OTHER_NON_INT_INC">"c955"</definedName>
    <definedName name="IQ_OTHER_NON_OPER_EXP">"c956"</definedName>
    <definedName name="IQ_OTHER_NON_OPER_EXP_BR">"c957"</definedName>
    <definedName name="IQ_OTHER_NON_OPER_EXP_FIN">"c958"</definedName>
    <definedName name="IQ_OTHER_NON_OPER_EXP_INS">"c959"</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IT">"c965"</definedName>
    <definedName name="IQ_OTHER_NON_OPER_EXP_SUPPL_UTI">"c966"</definedName>
    <definedName name="IQ_OTHER_NON_OPER_EXP_UTI">"c967"</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IT">"c993"</definedName>
    <definedName name="IQ_OTHER_OPER_SUPPL_BR">"c994"</definedName>
    <definedName name="IQ_OTHER_OPER_SUPPL_FIN">"c995"</definedName>
    <definedName name="IQ_OTHER_OPER_SUPPL_INS">"c996"</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ED">"c2688"</definedName>
    <definedName name="IQ_OTHER_OPTIONS_GRANTED">"c2687"</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PROP_OPERATING_EXPENSE">"c16043"</definedName>
    <definedName name="IQ_OTHER_PROP_OPERATING_REVENUE">"c16027"</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IT">"c1019"</definedName>
    <definedName name="IQ_OTHER_REV_SUPPL_UTI">"c1020"</definedName>
    <definedName name="IQ_OTHER_REV_UTI">"c1021"</definedName>
    <definedName name="IQ_OTHER_REVENUE">"c1410"</definedName>
    <definedName name="IQ_OTHER_STRIKE_PRICE_GRANTED">"c2692"</definedName>
    <definedName name="IQ_OTHER_UNDRAWN">"c2522"</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WNED_RESERVES_COAL">"c15916"</definedName>
    <definedName name="IQ_OWNED_RESERVES_TO_TOTAL_RESERVES_COAL">"c15957"</definedName>
    <definedName name="IQ_OWNERSHIP">"c2160"</definedName>
    <definedName name="IQ_PART_TIME">"c1024"</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FUND_DATE_EST">"c19174"</definedName>
    <definedName name="IQ_PE_FUND_DATE_MONTH">"c19172"</definedName>
    <definedName name="IQ_PE_FUND_DATE_YEAR">"c18925"</definedName>
    <definedName name="IQ_PE_FUND_FAMILIES">"c18917"</definedName>
    <definedName name="IQ_PE_FUND_FAMILIES_ID">"c18918"</definedName>
    <definedName name="IQ_PE_FUND_FAMILIES_REL">"c18919"</definedName>
    <definedName name="IQ_PE_FUND_ID">"c18923"</definedName>
    <definedName name="IQ_PE_FUND_INVEST_AMOUNT">"c18933"</definedName>
    <definedName name="IQ_PE_FUND_INVEST_DATE_MONTH">"c19173"</definedName>
    <definedName name="IQ_PE_FUND_INVEST_DATE_YEAR">"c18934"</definedName>
    <definedName name="IQ_PE_FUND_NAME">"c18922"</definedName>
    <definedName name="IQ_PE_FUND_SIZE">"c18924"</definedName>
    <definedName name="IQ_PE_FUND_STAGE">"c18928"</definedName>
    <definedName name="IQ_PE_FUND_TARGET_MAX">"c18927"</definedName>
    <definedName name="IQ_PE_FUND_TARGET_MIN">"c18926"</definedName>
    <definedName name="IQ_PE_FUND_TRANSACTION_COMMENTS">"c18931"</definedName>
    <definedName name="IQ_PE_NORMALIZED">"c2207"</definedName>
    <definedName name="IQ_PE_RATIO">"c1610"</definedName>
    <definedName name="IQ_PEG_FWD">"c1863"</definedName>
    <definedName name="IQ_PENETRATION_BASIC_CABLE">"c16204"</definedName>
    <definedName name="IQ_PENETRATION_BBAND">"c2852"</definedName>
    <definedName name="IQ_PENETRATION_BBAND_THP">"c2851"</definedName>
    <definedName name="IQ_PENETRATION_PHONE">"c2853"</definedName>
    <definedName name="IQ_PENETRATION_VIDEO">"c2850"</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AGE_RENT">"c16018"</definedName>
    <definedName name="IQ_PERCENTAGE_RENT_RENTAL_REVENUE">"c16063"</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IT">"c1058"</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IT">"c1065"</definedName>
    <definedName name="IQ_PREF_REP_UTI">"c1066"</definedName>
    <definedName name="IQ_PREF_STOCK">"c1416"</definedName>
    <definedName name="IQ_PREF_TOT">"c1415"</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"IQ_PRETAX_INC"</definedName>
    <definedName name="IQ_PRETAX_INC_10K">"IQ_PRETAX_INC_10K"</definedName>
    <definedName name="IQ_PRETAX_INC_10Q">"IQ_PRETAX_INC_10Q"</definedName>
    <definedName name="IQ_PRETAX_INC_10Q1">"IQ_PRETAX_INC_10Q1"</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ICE_CFPS_FWD">"c2237"</definedName>
    <definedName name="IQ_PRICE_OVER_BVPS">"c1412"</definedName>
    <definedName name="IQ_PRICE_OVER_EPS_EST">"IQ_PRICE_OVER_EPS_EST"</definedName>
    <definedName name="IQ_PRICE_OVER_EPS_EST_1">"IQ_PRICE_OVER_EPS_EST_1"</definedName>
    <definedName name="IQ_PRICE_OVER_LTM_EPS">"c1413"</definedName>
    <definedName name="IQ_PRICE_TARGET">"c82"</definedName>
    <definedName name="IQ_PRICE_VOL_HIST_2YR">"c15637"</definedName>
    <definedName name="IQ_PRICE_VOL_HIST_3MTH">"c15634"</definedName>
    <definedName name="IQ_PRICE_VOL_HIST_5YR">"c15638"</definedName>
    <definedName name="IQ_PRICE_VOL_HIST_6MTH">"c15635"</definedName>
    <definedName name="IQ_PRICE_VOL_HIST_YR">"c15636"</definedName>
    <definedName name="IQ_PRICEDATE">"c1069"</definedName>
    <definedName name="IQ_PRICEDATETIME">"IQ_PRICEDATETIME"</definedName>
    <definedName name="IQ_PRICING_DATE">"c1613"</definedName>
    <definedName name="IQ_PRIMARY_INDUSTRY">"c1070"</definedName>
    <definedName name="IQ_PRIMARY_SIC_CODE">"c16218"</definedName>
    <definedName name="IQ_PRIMARY_SIC_INDUSTRY">"c16217"</definedName>
    <definedName name="IQ_PRINCIPAL_AMT">"c2157"</definedName>
    <definedName name="IQ_PRIVATE_CONST_TOTAL_APR_FC_UNUSED_UNUSED_UNUSED">"c8559"</definedName>
    <definedName name="IQ_PRIVATE_CONST_TOTAL_APR_UNUSED_UNUSED_UNUSED">"c7679"</definedName>
    <definedName name="IQ_PRIVATE_CONST_TOTAL_FC_UNUSED_UNUSED_UNUSED">"c7899"</definedName>
    <definedName name="IQ_PRIVATE_CONST_TOTAL_POP_FC_UNUSED_UNUSED_UNUSED">"c8119"</definedName>
    <definedName name="IQ_PRIVATE_CONST_TOTAL_POP_UNUSED_UNUSED_UNUSED">"c7239"</definedName>
    <definedName name="IQ_PRIVATE_CONST_TOTAL_UNUSED_UNUSED_UNUSED">"c7019"</definedName>
    <definedName name="IQ_PRIVATE_CONST_TOTAL_YOY_FC_UNUSED_UNUSED_UNUSED">"c8339"</definedName>
    <definedName name="IQ_PRIVATE_CONST_TOTAL_YOY_UNUSED_UNUSED_UNUSED">"c7459"</definedName>
    <definedName name="IQ_PRIVATE_RES_CONST_REAL_APR_FC_UNUSED_UNUSED_UNUSED">"c8535"</definedName>
    <definedName name="IQ_PRIVATE_RES_CONST_REAL_APR_UNUSED_UNUSED_UNUSED">"c7655"</definedName>
    <definedName name="IQ_PRIVATE_RES_CONST_REAL_FC_UNUSED_UNUSED_UNUSED">"c7875"</definedName>
    <definedName name="IQ_PRIVATE_RES_CONST_REAL_POP_FC_UNUSED_UNUSED_UNUSED">"c8095"</definedName>
    <definedName name="IQ_PRIVATE_RES_CONST_REAL_POP_UNUSED_UNUSED_UNUSED">"c7215"</definedName>
    <definedName name="IQ_PRIVATE_RES_CONST_REAL_UNUSED_UNUSED_UNUSED">"c6995"</definedName>
    <definedName name="IQ_PRIVATE_RES_CONST_REAL_YOY_FC_UNUSED_UNUSED_UNUSED">"c8315"</definedName>
    <definedName name="IQ_PRIVATE_RES_CONST_REAL_YOY_UNUSED_UNUSED_UNUSED">"c7435"</definedName>
    <definedName name="IQ_PRO_FORMA_BASIC_EPS">"c1614"</definedName>
    <definedName name="IQ_PRO_FORMA_DILUT_EPS">"c1615"</definedName>
    <definedName name="IQ_PRO_FORMA_NET_INC">"c1452"</definedName>
    <definedName name="IQ_PROBABLE_RESERVES_TO_TOTAL_RESERVES_COAL">"c15953"</definedName>
    <definedName name="IQ_PRODUCTION_TO_SOLD_COAL">"c15945"</definedName>
    <definedName name="IQ_PROFESSIONAL">"c1071"</definedName>
    <definedName name="IQ_PROFESSIONAL_ALL_OTHER_COMP">"c18944"</definedName>
    <definedName name="IQ_PROFESSIONAL_ANNUAL_CASH_COMP">"c18945"</definedName>
    <definedName name="IQ_PROFESSIONAL_AS_REPORTED_COMP">"c18949"</definedName>
    <definedName name="IQ_PROFESSIONAL_AS_REPORTED_DIRECTOR_COMP">"c18961"</definedName>
    <definedName name="IQ_PROFESSIONAL_BONUS">"c18940"</definedName>
    <definedName name="IQ_PROFESSIONAL_CALCULATED_COMP">"c18947"</definedName>
    <definedName name="IQ_PROFESSIONAL_CHANGE_PENSION">"c18962"</definedName>
    <definedName name="IQ_PROFESSIONAL_DIRECTOR_BONUS">"c18956"</definedName>
    <definedName name="IQ_PROFESSIONAL_DIRECTOR_CHANGE_PENSION">"c18957"</definedName>
    <definedName name="IQ_PROFESSIONAL_DIRECTOR_FEE">"c18953"</definedName>
    <definedName name="IQ_PROFESSIONAL_DIRECTOR_NON_EQUITY_COMP">"c18958"</definedName>
    <definedName name="IQ_PROFESSIONAL_DIRECTOR_OPTION_AWARDS">"c18954"</definedName>
    <definedName name="IQ_PROFESSIONAL_DIRECTOR_OTHER">"c18955"</definedName>
    <definedName name="IQ_PROFESSIONAL_DIRECTOR_STOCK_AWARDS">"c18959"</definedName>
    <definedName name="IQ_PROFESSIONAL_DIRECTOR_STOCK_GRANTS">"c18986"</definedName>
    <definedName name="IQ_PROFESSIONAL_DIRECTOR_STOCK_OPTIONS">"c18960"</definedName>
    <definedName name="IQ_PROFESSIONAL_EQUITY_INCENTIVE">"c18982"</definedName>
    <definedName name="IQ_PROFESSIONAL_EST_PAYMENTS_CHANGE_CONTROL">"c18951"</definedName>
    <definedName name="IQ_PROFESSIONAL_EST_PAYMENTS_TERMINATION">"c18963"</definedName>
    <definedName name="IQ_PROFESSIONAL_EXERCISABLE_OPTIONS">"c18966"</definedName>
    <definedName name="IQ_PROFESSIONAL_EXERCISABLE_VALUES">"c18967"</definedName>
    <definedName name="IQ_PROFESSIONAL_EXERCISED_OPTIONS">"c18964"</definedName>
    <definedName name="IQ_PROFESSIONAL_EXERCISED_VALUES">"c18965"</definedName>
    <definedName name="IQ_PROFESSIONAL_LT_INCENTIVE">"c18943"</definedName>
    <definedName name="IQ_PROFESSIONAL_MARKET_VALUE_SHARES_NOT_VESTED">"c18981"</definedName>
    <definedName name="IQ_PROFESSIONAL_NON_EQUITY_INCENTIVE">"c18952"</definedName>
    <definedName name="IQ_PROFESSIONAL_NUM_SHARED_NOT_VESTED">"c18980"</definedName>
    <definedName name="IQ_PROFESSIONAL_NUM_SHARES_ACQUIRED">"c18978"</definedName>
    <definedName name="IQ_PROFESSIONAL_OPTION_AWARDS">"c18948"</definedName>
    <definedName name="IQ_PROFESSIONAL_OPTION_MARKET_PRICE">"c18977"</definedName>
    <definedName name="IQ_PROFESSIONAL_OPTION_PRICE">"c18976"</definedName>
    <definedName name="IQ_PROFESSIONAL_OTHER_ANNUAL_COMP">"c18941"</definedName>
    <definedName name="IQ_PROFESSIONAL_OTHER_COMP">"c18950"</definedName>
    <definedName name="IQ_PROFESSIONAL_RESTRICTED_STOCK_COMP">"c18942"</definedName>
    <definedName name="IQ_PROFESSIONAL_SALARY">"c18939"</definedName>
    <definedName name="IQ_PROFESSIONAL_ST_COMP">"c18946"</definedName>
    <definedName name="IQ_PROFESSIONAL_TITLE">"c1072"</definedName>
    <definedName name="IQ_PROFESSIONAL_TOTAL_NUM_STOCK_AWARDS">"c18985"</definedName>
    <definedName name="IQ_PROFESSIONAL_TOTAL_OPTIONS">"c18974"</definedName>
    <definedName name="IQ_PROFESSIONAL_TOTAL_STOCK_VALUE">"c18984"</definedName>
    <definedName name="IQ_PROFESSIONAL_TOTAL_VALUE_OPTIONS">"c18975"</definedName>
    <definedName name="IQ_PROFESSIONAL_UNCLASSIFIED_OPTIONS">"c18970"</definedName>
    <definedName name="IQ_PROFESSIONAL_UNCLASSIFIED_OPTIONS_VALUE">"c18971"</definedName>
    <definedName name="IQ_PROFESSIONAL_UNEARNED_STOCK_VALUE">"c18983"</definedName>
    <definedName name="IQ_PROFESSIONAL_UNEXERCISABLE_OPTIONS">"c18968"</definedName>
    <definedName name="IQ_PROFESSIONAL_UNEXERCISABLE_VALUES">"c18969"</definedName>
    <definedName name="IQ_PROFESSIONAL_UNEXERCISED_UNEARNED_OPTIONS">"c18972"</definedName>
    <definedName name="IQ_PROFESSIONAL_UNEXERCISED_UNEARNED_OPTIONS_VALUE">"c18973"</definedName>
    <definedName name="IQ_PROFESSIONAL_VALUE_VESTING">"c18979"</definedName>
    <definedName name="IQ_PROGRAMMING_COSTS">"c2884"</definedName>
    <definedName name="IQ_PROJECTED_PENSION_OBLIGATION">"c1292"</definedName>
    <definedName name="IQ_PROJECTED_PENSION_OBLIGATION_DOMESTIC">"c2656"</definedName>
    <definedName name="IQ_PROJECTED_PENSION_OBLIGATION_FOREIGN">"c2664"</definedName>
    <definedName name="IQ_PROP_MGMT_EXPENSE">"c16038"</definedName>
    <definedName name="IQ_PROP_MGMT_INCOME">"c16028"</definedName>
    <definedName name="IQ_PROP_OPERATING_EXPENSE">"c16037"</definedName>
    <definedName name="IQ_PROP_RENTAL_REVENUE">"c16019"</definedName>
    <definedName name="IQ_PROP_SALES_EXPENSE">"c16044"</definedName>
    <definedName name="IQ_PROPERTY_EXP">"c1073"</definedName>
    <definedName name="IQ_PROPERTY_GROSS">"c1379"</definedName>
    <definedName name="IQ_PROPERTY_MGMT_FEE">"c1074"</definedName>
    <definedName name="IQ_PROPERTY_NET">"c1402"</definedName>
    <definedName name="IQ_PROPERTY_TAX_INSURANCE">"c16033"</definedName>
    <definedName name="IQ_PROV_BAD_DEBTS">"c1075"</definedName>
    <definedName name="IQ_PROV_BAD_DEBTS_CF">"c1076"</definedName>
    <definedName name="IQ_PROVEN_RESERVES_TO_TOTAL_RESERVES_COAL">"c15952"</definedName>
    <definedName name="IQ_PROVISION_10YR_ANN_GROWTH">"c1077"</definedName>
    <definedName name="IQ_PROVISION_1YR_ANN_GROWTH">"c1078"</definedName>
    <definedName name="IQ_PROVISION_2YR_ANN_GROWTH">"c1079"</definedName>
    <definedName name="IQ_PROVISION_3YR_ANN_GROWTH">"c1080"</definedName>
    <definedName name="IQ_PROVISION_5YR_ANN_GROWTH">"c1081"</definedName>
    <definedName name="IQ_PROVISION_7YR_ANN_GROWTH">"c1082"</definedName>
    <definedName name="IQ_PROVISION_AVG_LOANS">"c15717"</definedName>
    <definedName name="IQ_PROVISION_CHARGE_OFFS">"c1083"</definedName>
    <definedName name="IQ_PROVISION_LOAN_LOSS_AVG_ASSETS_FFIEC">"c18879"</definedName>
    <definedName name="IQ_PSGR_REV">"c19125"</definedName>
    <definedName name="IQ_PTBV">"c1084"</definedName>
    <definedName name="IQ_PTBV_AVG">"c1085"</definedName>
    <definedName name="IQ_PURCHASED_COAL">"c15934"</definedName>
    <definedName name="IQ_PURCHASED_PRODUCTION_TO_SOLD_COAL">"c15947"</definedName>
    <definedName name="IQ_PURCHASED_TO_PRODUCTION_COAL">"c15948"</definedName>
    <definedName name="IQ_PURCHASED_TO_SOLD_COAL">"c15946"</definedName>
    <definedName name="IQ_PURCHASES_EQUIP_NONRES_SAAR_APR_FC_UNUSED_UNUSED_UNUSED">"c8491"</definedName>
    <definedName name="IQ_PURCHASES_EQUIP_NONRES_SAAR_APR_UNUSED_UNUSED_UNUSED">"c7611"</definedName>
    <definedName name="IQ_PURCHASES_EQUIP_NONRES_SAAR_FC_UNUSED_UNUSED_UNUSED">"c7831"</definedName>
    <definedName name="IQ_PURCHASES_EQUIP_NONRES_SAAR_POP_FC_UNUSED_UNUSED_UNUSED">"c8051"</definedName>
    <definedName name="IQ_PURCHASES_EQUIP_NONRES_SAAR_POP_UNUSED_UNUSED_UNUSED">"c7171"</definedName>
    <definedName name="IQ_PURCHASES_EQUIP_NONRES_SAAR_UNUSED_UNUSED_UNUSED">"c6951"</definedName>
    <definedName name="IQ_PURCHASES_EQUIP_NONRES_SAAR_YOY_FC_UNUSED_UNUSED_UNUSED">"c8271"</definedName>
    <definedName name="IQ_PURCHASES_EQUIP_NONRES_SAAR_YOY_UNUSED_UNUSED_UNUSED">"c7391"</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AW_SALEABLE_INVENTORY_COAL">"c15941"</definedName>
    <definedName name="IQ_RC">"c2497"</definedName>
    <definedName name="IQ_RC_PCT">"c2498"</definedName>
    <definedName name="IQ_RD_EXP">"c1090"</definedName>
    <definedName name="IQ_RD_EXP_FN">"c1091"</definedName>
    <definedName name="IQ_RE">"c1092"</definedName>
    <definedName name="IQ_RE_ASSET_DEVELOPMENT_PROP">"c19136"</definedName>
    <definedName name="IQ_RE_ASSET_INVESTMENT_PROP">"c19135"</definedName>
    <definedName name="IQ_RE_ASSET_OTHER_PROP">"c19137"</definedName>
    <definedName name="IQ_RE_ASSET_TOTAL_PROP">"c19138"</definedName>
    <definedName name="IQ_RE_DEPRECIATION">"c16045"</definedName>
    <definedName name="IQ_RE_RENTAL_EXPENSE">"c16036"</definedName>
    <definedName name="IQ_REAL_ESTATE">"c1093"</definedName>
    <definedName name="IQ_REAL_ESTATE_ASSETS">"c1094"</definedName>
    <definedName name="IQ_RECENT_FUNDS">"c18908"</definedName>
    <definedName name="IQ_RECENT_FUNDS_ID">"c18909"</definedName>
    <definedName name="IQ_REDEEM_PREF_STOCK">"c1417"</definedName>
    <definedName name="IQ_REDUCTION_TAX_POSITION_CURRENT_YR">"c15734"</definedName>
    <definedName name="IQ_REDUCTION_TAX_POSITION_PRIOR_YRS">"c15736"</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NT_AVG_PROP">"c16056"</definedName>
    <definedName name="IQ_RENTAL_NOI">"c16065"</definedName>
    <definedName name="IQ_RENTAL_NOI_AVG_GROSS_PROP">"c16057"</definedName>
    <definedName name="IQ_RENTAL_NOI_TOTAL_RENT_REVENUE">"c16061"</definedName>
    <definedName name="IQ_RENTAL_REV">"c1101"</definedName>
    <definedName name="IQ_REPAIRS_MAINTENANCE">"c16032"</definedName>
    <definedName name="IQ_REPO">"c19133"</definedName>
    <definedName name="IQ_RES_CONST_REAL_APR_FC_UNUSED_UNUSED_UNUSED">"c8536"</definedName>
    <definedName name="IQ_RES_CONST_REAL_APR_UNUSED_UNUSED_UNUSED">"c7656"</definedName>
    <definedName name="IQ_RES_CONST_REAL_FC_UNUSED_UNUSED_UNUSED">"c7876"</definedName>
    <definedName name="IQ_RES_CONST_REAL_POP_FC_UNUSED_UNUSED_UNUSED">"c8096"</definedName>
    <definedName name="IQ_RES_CONST_REAL_POP_UNUSED_UNUSED_UNUSED">"c7216"</definedName>
    <definedName name="IQ_RES_CONST_REAL_SAAR_APR_FC_UNUSED_UNUSED_UNUSED">"c8537"</definedName>
    <definedName name="IQ_RES_CONST_REAL_SAAR_APR_UNUSED_UNUSED_UNUSED">"c7657"</definedName>
    <definedName name="IQ_RES_CONST_REAL_SAAR_FC_UNUSED_UNUSED_UNUSED">"c7877"</definedName>
    <definedName name="IQ_RES_CONST_REAL_SAAR_POP_FC_UNUSED_UNUSED_UNUSED">"c8097"</definedName>
    <definedName name="IQ_RES_CONST_REAL_SAAR_POP_UNUSED_UNUSED_UNUSED">"c7217"</definedName>
    <definedName name="IQ_RES_CONST_REAL_SAAR_UNUSED_UNUSED_UNUSED">"c6997"</definedName>
    <definedName name="IQ_RES_CONST_REAL_SAAR_YOY_FC_UNUSED_UNUSED_UNUSED">"c8317"</definedName>
    <definedName name="IQ_RES_CONST_REAL_SAAR_YOY_UNUSED_UNUSED_UNUSED">"c7437"</definedName>
    <definedName name="IQ_RES_CONST_REAL_UNUSED_UNUSED_UNUSED">"c6996"</definedName>
    <definedName name="IQ_RES_CONST_REAL_YOY_FC_UNUSED_UNUSED_UNUSED">"c8316"</definedName>
    <definedName name="IQ_RES_CONST_REAL_YOY_UNUSED_UNUSED_UNUSED">"c7436"</definedName>
    <definedName name="IQ_RES_CONST_SAAR_APR_FC_UNUSED_UNUSED_UNUSED">"c8540"</definedName>
    <definedName name="IQ_RES_CONST_SAAR_APR_UNUSED_UNUSED_UNUSED">"c7660"</definedName>
    <definedName name="IQ_RES_CONST_SAAR_FC_UNUSED_UNUSED_UNUSED">"c7880"</definedName>
    <definedName name="IQ_RES_CONST_SAAR_POP_FC_UNUSED_UNUSED_UNUSED">"c8100"</definedName>
    <definedName name="IQ_RES_CONST_SAAR_POP_UNUSED_UNUSED_UNUSED">"c7220"</definedName>
    <definedName name="IQ_RES_CONST_SAAR_UNUSED_UNUSED_UNUSED">"c7000"</definedName>
    <definedName name="IQ_RES_CONST_SAAR_YOY_FC_UNUSED_UNUSED_UNUSED">"c8320"</definedName>
    <definedName name="IQ_RES_CONST_SAAR_YOY_UNUSED_UNUSED_UNUSED">"c7440"</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R_STOCK_COMP">"c3506"</definedName>
    <definedName name="IQ_RESTR_STOCK_COMP_PRETAX">"c3504"</definedName>
    <definedName name="IQ_RESTR_STOCK_COMP_TAX">"c3505"</definedName>
    <definedName name="IQ_RESTRICTED_CASH">"c1103"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IT">"c1110"</definedName>
    <definedName name="IQ_RESTRUCTURE_UTI">"c1111"</definedName>
    <definedName name="IQ_RESTRUCTURED_LOANS">"c1112"</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ATALOG_REVENUES">"c9903"</definedName>
    <definedName name="IQ_RETAIL_CLOSED_FRANCHISE_STORES">"c2896"</definedName>
    <definedName name="IQ_RETAIL_CLOSED_OWNED_STORES">"c2904"</definedName>
    <definedName name="IQ_RETAIL_CLOSED_STORES">"c2063"</definedName>
    <definedName name="IQ_RETAIL_FRANCHISE_STORES_BEG">"c2893"</definedName>
    <definedName name="IQ_RETAIL_ONLINE_REVENUES">"c9904"</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REVENUES">"c9902"</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L_WHOLESALE_REVENUES">"c15895"</definedName>
    <definedName name="IQ_RETAINED_EARN">"c1420"</definedName>
    <definedName name="IQ_RETURN_ASSETS">"c1113"</definedName>
    <definedName name="IQ_RETURN_ASSETS_BANK">"c1114"</definedName>
    <definedName name="IQ_RETURN_ASSETS_BROK">"c1115"</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NON_TRADING_PROP">"c15999"</definedName>
    <definedName name="IQ_REVENUE">"c1422"</definedName>
    <definedName name="IQ_REVENUE_10K">"IQ_REVENUE_10K"</definedName>
    <definedName name="IQ_REVENUE_10Q">"IQ_REVENUE_10Q"</definedName>
    <definedName name="IQ_REVENUE_10Q1">"IQ_REVENUE_10Q1"</definedName>
    <definedName name="IQ_REVENUE_ACT_OR_EST">"c2214"</definedName>
    <definedName name="IQ_REVENUE_ADVERTISING">"c2880"</definedName>
    <definedName name="IQ_REVENUE_ANALOG_CABLE">"c2875"</definedName>
    <definedName name="IQ_REVENUE_BASIC_CABLE">"c2877"</definedName>
    <definedName name="IQ_REVENUE_BBAND">"c2878"</definedName>
    <definedName name="IQ_REVENUE_COMMERCIAL">"c2881"</definedName>
    <definedName name="IQ_REVENUE_DIGITAL_CABLE">"c2876"</definedName>
    <definedName name="IQ_REVENUE_EST">"c1126"</definedName>
    <definedName name="IQ_REVENUE_EST_1">"IQ_REVENUE_EST_1"</definedName>
    <definedName name="IQ_REVENUE_GROWTH_1">"IQ_REVENUE_GROWTH_1"</definedName>
    <definedName name="IQ_REVENUE_GROWTH_2">"IQ_REVENUE_GROWTH_2"</definedName>
    <definedName name="IQ_REVENUE_HIGH_EST">"c1127"</definedName>
    <definedName name="IQ_REVENUE_LOW_EST">"c1128"</definedName>
    <definedName name="IQ_REVENUE_MEDIAN_EST">"c1662"</definedName>
    <definedName name="IQ_REVENUE_NUM_EST">"c1129"</definedName>
    <definedName name="IQ_REVENUE_OTHER">"c2882"</definedName>
    <definedName name="IQ_REVENUE_PHONE">"c2879"</definedName>
    <definedName name="IQ_REVENUE_TOTAL">"c2883"</definedName>
    <definedName name="IQ_REVENUES_SATELLITE">"c15792"</definedName>
    <definedName name="IQ_REVENUES_WIRELESS">"c15793"</definedName>
    <definedName name="IQ_REVERSE_REPO">"c19131"</definedName>
    <definedName name="IQ_REVISION_DATE_">39520.6920138889</definedName>
    <definedName name="IQ_RGU">"c2863"</definedName>
    <definedName name="IQ_RISK_ADJ_BANK_ASSETS">"c2670"</definedName>
    <definedName name="IQ_RISK_WEIGHTED_ASSETS_0_PCT_FFIEC">"c18874"</definedName>
    <definedName name="IQ_RISK_WEIGHTED_ASSETS_100_PCT_FFIEC">"c18877"</definedName>
    <definedName name="IQ_RISK_WEIGHTED_ASSETS_20_PCT_FFIEC">"c18875"</definedName>
    <definedName name="IQ_RISK_WEIGHTED_ASSETS_50_PCT_FFIEC">"c18876"</definedName>
    <definedName name="IQ_ROAM_MIN_USE_OTHER_CARRIERS">"c15765"</definedName>
    <definedName name="IQ_ROYALTIES_DUE_AFTER_FIVE">"c15969"</definedName>
    <definedName name="IQ_ROYALTIES_DUE_CY">"c15964"</definedName>
    <definedName name="IQ_ROYALTIES_DUE_CY1">"c15965"</definedName>
    <definedName name="IQ_ROYALTIES_DUE_CY2">"c15966"</definedName>
    <definedName name="IQ_ROYALTIES_DUE_CY3">"c15967"</definedName>
    <definedName name="IQ_ROYALTIES_DUE_CY4">"c15968"</definedName>
    <definedName name="IQ_ROYALTY_REVENUE_COAL">"c15932"</definedName>
    <definedName name="IQ_SALARIES_OTHER_BENEFITS">"c16176"</definedName>
    <definedName name="IQ_SALARY">"c1130"</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PROP">"c16029"</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COAL">"c15930"</definedName>
    <definedName name="IQ_SALES_MARKETING">"c2240"</definedName>
    <definedName name="IQ_SALES_TO_TOTAL_REVENUE_COAL">"c15943"</definedName>
    <definedName name="IQ_SAME_PROP_AGG_GLA">"c16055"</definedName>
    <definedName name="IQ_SAME_PROP_AGG_UNITS">"c16053"</definedName>
    <definedName name="IQ_SAME_PROP_EXPENSE">"c16050"</definedName>
    <definedName name="IQ_SAME_PROP_EXPENSE_GROWTH">"c16051"</definedName>
    <definedName name="IQ_SAME_PROP_NUMBER_PROP">"c16052"</definedName>
    <definedName name="IQ_SAME_PROP_PORTFOLIO_AREA">"c16054"</definedName>
    <definedName name="IQ_SAME_PROP_REV_GROWTH">"c16049"</definedName>
    <definedName name="IQ_SAME_PROP_REVENUE">"c16048"</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AVINGS_ACCT_DEPOSITS_TOTAL_DEPOSITS">"c15721"</definedName>
    <definedName name="IQ_SCALABLE_INFRASTRUCTURE_CABLE_INVEST">"c15802"</definedName>
    <definedName name="IQ_SEC_PURCHASED_RESELL">"c5513"</definedName>
    <definedName name="IQ_SECUR_RECEIV">"c1151"</definedName>
    <definedName name="IQ_SECURED_DEBT">"c2546"</definedName>
    <definedName name="IQ_SECURED_DEBT_PCT">"c2547"</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TTLEMENTS_TAX_AUTHORITIES">"c15737"</definedName>
    <definedName name="IQ_SGA">"c1158"</definedName>
    <definedName name="IQ_SGA_BNK">"c1159"</definedName>
    <definedName name="IQ_SGA_INS">"c1160"</definedName>
    <definedName name="IQ_SGA_MARGIN">"c1898"</definedName>
    <definedName name="IQ_SGA_REIT">"c1161"</definedName>
    <definedName name="IQ_SGA_SUPPL">"c1162"</definedName>
    <definedName name="IQ_SGA_UTI">"c1163"</definedName>
    <definedName name="IQ_SHARE_PARTNERSHIP_ASSETS">"c16071"</definedName>
    <definedName name="IQ_SHARE_PARTNERSHIP_CONSOL_JV_DEBT">"c19139"</definedName>
    <definedName name="IQ_SHARE_PARTNERSHIP_CURRENT_ASSETS">"c16069"</definedName>
    <definedName name="IQ_SHARE_PARTNERSHIP_CURRENT_LIAB">"c16073"</definedName>
    <definedName name="IQ_SHARE_PARTNERSHIP_CURRENT_TAX">"c16091"</definedName>
    <definedName name="IQ_SHARE_PARTNERSHIP_DEBT">"c16078"</definedName>
    <definedName name="IQ_SHARE_PARTNERSHIP_DEFERRED_TAX">"c16092"</definedName>
    <definedName name="IQ_SHARE_PARTNERSHIP_DEPRECIATION">"c16089"</definedName>
    <definedName name="IQ_SHARE_PARTNERSHIP_FLOAT_DEBT">"c16077"</definedName>
    <definedName name="IQ_SHARE_PARTNERSHIP_FR_DEBT">"c16076"</definedName>
    <definedName name="IQ_SHARE_PARTNERSHIP_INT_EXPENSE">"c16088"</definedName>
    <definedName name="IQ_SHARE_PARTNERSHIP_INT_INCOME">"c16090"</definedName>
    <definedName name="IQ_SHARE_PARTNERSHIP_LIAB">"c16075"</definedName>
    <definedName name="IQ_SHARE_PARTNERSHIP_LT_ASSETS">"c16070"</definedName>
    <definedName name="IQ_SHARE_PARTNERSHIP_NOI">"c16084"</definedName>
    <definedName name="IQ_SHARE_PARTNERSHIP_NON_CURRENT_LIAB">"c16074"</definedName>
    <definedName name="IQ_SHARE_PARTNERSHIP_OPEX">"c16086"</definedName>
    <definedName name="IQ_SHARE_PARTNERSHIP_OTHER_EXPENSE">"c16087"</definedName>
    <definedName name="IQ_SHARE_PARTNERSHIP_OTHER_INCOME">"c16085"</definedName>
    <definedName name="IQ_SHARE_PARTNERSHIP_REVENUE">"c16083"</definedName>
    <definedName name="IQ_SHARE_RE_ASSET">"c16082"</definedName>
    <definedName name="IQ_SHARE_RE_ASSET_DEVELOP_PROP">"c16080"</definedName>
    <definedName name="IQ_SHARE_RE_ASSET_INV_PROP">"c16079"</definedName>
    <definedName name="IQ_SHARE_RE_ASSET_OTHER">"c16081"</definedName>
    <definedName name="IQ_SHAREOUTSTANDING">"c1347"</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LD_COAL">"c15936"</definedName>
    <definedName name="IQ_SOURCE">"c1168"</definedName>
    <definedName name="IQ_SP">"c2171"</definedName>
    <definedName name="IQ_SP_DATE">"c2172"</definedName>
    <definedName name="IQ_SP_REASON">"c2174"</definedName>
    <definedName name="IQ_SP_STATUS">"c2173"</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IT">"c1174"</definedName>
    <definedName name="IQ_SPECIAL_DIV_CF_UTI">"c1175"</definedName>
    <definedName name="IQ_SPECIAL_DIV_SHARE">"c3007"</definedName>
    <definedName name="IQ_SPECIALTIES">"c18932"</definedName>
    <definedName name="IQ_SPONSORS">"c18920"</definedName>
    <definedName name="IQ_SPONSORS_ID">"c18921"</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IT">"c1186"</definedName>
    <definedName name="IQ_ST_DEBT_ISSUED_UTI">"c1187"</definedName>
    <definedName name="IQ_ST_DEBT_PCT">"c2539"</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IT">"c1194"</definedName>
    <definedName name="IQ_ST_DEBT_REPAID_UTI">"c1195"</definedName>
    <definedName name="IQ_ST_DEBT_UTI">"c1196"</definedName>
    <definedName name="IQ_ST_INVEST">"c1197"</definedName>
    <definedName name="IQ_ST_INVEST_UTI">"c1198"</definedName>
    <definedName name="IQ_ST_NOTE_RECEIV">"c1199"</definedName>
    <definedName name="IQ_STATE">"c1200"</definedName>
    <definedName name="IQ_STATUTORY_SURPLUS">"c1201"</definedName>
    <definedName name="IQ_STATUTORY_SURPLUS_GAAP_EQUITY">"c15883"</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IGHT_LINE_RENT_ADJ">"c16178"</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BS_ANALOG_CABLE">"c2855"</definedName>
    <definedName name="IQ_SUBS_BASIC_CABLE">"c16205"</definedName>
    <definedName name="IQ_SUBS_BBAND">"c2858"</definedName>
    <definedName name="IQ_SUBS_BUNDLED">"c2861"</definedName>
    <definedName name="IQ_SUBS_DIG_CABLE">"c2856"</definedName>
    <definedName name="IQ_SUBS_NON_VIDEO">"c2860"</definedName>
    <definedName name="IQ_SUBS_PHONE">"c2859"</definedName>
    <definedName name="IQ_SUBS_POSTPAID_WIRELESS">"c2118"</definedName>
    <definedName name="IQ_SUBS_PREPAID_WIRELESS">"c2117"</definedName>
    <definedName name="IQ_SUBS_RESELL_WHOLESALE_WIRELESS">"c15749"</definedName>
    <definedName name="IQ_SUBS_TOTAL">"c2862"</definedName>
    <definedName name="IQ_SUBS_TOTAL_WIRELESS">"c2119"</definedName>
    <definedName name="IQ_SUBS_VIDEO">"c2857"</definedName>
    <definedName name="IQ_SUPPORT_INFRASTRUCTURE_CABLE_INVEST">"c15805"</definedName>
    <definedName name="IQ_SURFACE_RESERVES_COAL">"c15920"</definedName>
    <definedName name="IQ_SURFACE_RESERVES_TO_TOTAL_RESERVES_COAL">"c15959"</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GROWTH">"c1936"</definedName>
    <definedName name="IQ_TBV_1YR_ANN_GROWTH">"c1931"</definedName>
    <definedName name="IQ_TBV_2YR_ANN_GROWTH">"c1932"</definedName>
    <definedName name="IQ_TBV_3YR_ANN_GROWTH">"c1933"</definedName>
    <definedName name="IQ_TBV_5YR_ANN_GROWTH">"c1934"</definedName>
    <definedName name="IQ_TBV_7YR_ANN_GROWTH">"c1935"</definedName>
    <definedName name="IQ_TBV_SHARE">"c1217"</definedName>
    <definedName name="IQ_TBV_SHARE_REPORTED">"c19140"</definedName>
    <definedName name="IQ_TEMPLATE">"c1521"</definedName>
    <definedName name="IQ_TENANT">"c1218"</definedName>
    <definedName name="IQ_TENANT_LEASE_COMMISSION">"c16177"</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IER_ONE_CAPITAL">"c2667"</definedName>
    <definedName name="IQ_TIER_ONE_RATIO">"c1229"</definedName>
    <definedName name="IQ_TIER_TWO_CAPITAL">"c2669"</definedName>
    <definedName name="IQ_TIME_DEP">"c1230"</definedName>
    <definedName name="IQ_TIME_DEPOSITS_TOTAL_DEPOSITS">"c15723"</definedName>
    <definedName name="IQ_TODAY">0</definedName>
    <definedName name="IQ_TOT_ADJ_INC">"c1616"</definedName>
    <definedName name="IQ_TOTAL_AR_BR">"c1231"</definedName>
    <definedName name="IQ_TOTAL_AR_REIT">"c1232"</definedName>
    <definedName name="IQ_TOTAL_AR_UTI">"c1233"</definedName>
    <definedName name="IQ_TOTAL_ASSETS">"c1234"</definedName>
    <definedName name="IQ_TOTAL_ASSETS_10YR_ANN_GROWTH">"c1235"</definedName>
    <definedName name="IQ_TOTAL_ASSETS_1YR_ANN_GROWTH">"c1236"</definedName>
    <definedName name="IQ_TOTAL_ASSETS_2YR_ANN_GROWTH">"c1237"</definedName>
    <definedName name="IQ_TOTAL_ASSETS_3YR_ANN_GROWTH">"c1238"</definedName>
    <definedName name="IQ_TOTAL_ASSETS_5YR_ANN_GROWTH">"c1239"</definedName>
    <definedName name="IQ_TOTAL_ASSETS_7YR_ANN_GROWTH">"c1240"</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IT">"c1263"</definedName>
    <definedName name="IQ_TOTAL_DEBT_REPAID_UTI">"c1264"</definedName>
    <definedName name="IQ_TOTAL_DEPOSITS">"c1265"</definedName>
    <definedName name="IQ_TOTAL_DIV_PAID_CF">"c1266"</definedName>
    <definedName name="IQ_TOTAL_EMPLOYEE">"c2141"</definedName>
    <definedName name="IQ_TOTAL_EMPLOYEES">"c1522"</definedName>
    <definedName name="IQ_TOTAL_EQUITY">"c1267"</definedName>
    <definedName name="IQ_TOTAL_EQUITY_10YR_ANN_GROWTH">"c1268"</definedName>
    <definedName name="IQ_TOTAL_EQUITY_1YR_ANN_GROWTH">"c1269"</definedName>
    <definedName name="IQ_TOTAL_EQUITY_2YR_ANN_GROWTH">"c1270"</definedName>
    <definedName name="IQ_TOTAL_EQUITY_3YR_ANN_GROWTH">"c1271"</definedName>
    <definedName name="IQ_TOTAL_EQUITY_5YR_ANN_GROWTH">"c1272"</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FIN">"c1280"</definedName>
    <definedName name="IQ_TOTAL_LIAB_INS">"c1281"</definedName>
    <definedName name="IQ_TOTAL_LIAB_REIT">"c1282"</definedName>
    <definedName name="IQ_TOTAL_LIAB_SHAREHOLD">"c1435"</definedName>
    <definedName name="IQ_TOTAL_LIAB_TOTAL_ASSETS">"c1283"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IT">"c1287"</definedName>
    <definedName name="IQ_TOTAL_OPER_EXP_UTI">"c1288"</definedName>
    <definedName name="IQ_TOTAL_OPER_EXPEN">"c1445"</definedName>
    <definedName name="IQ_TOTAL_OPERATING_EXPENSE">"c16047"</definedName>
    <definedName name="IQ_TOTAL_OPERATING_REVENUE">"c16030"</definedName>
    <definedName name="IQ_TOTAL_OPTIONS_BEG_OS">"c2693"</definedName>
    <definedName name="IQ_TOTAL_OPTIONS_CANCELLED">"c2696"</definedName>
    <definedName name="IQ_TOTAL_OPTIONS_END_OS">"c2697"</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_LOANS_TOTAL_LOANS">"c15715"</definedName>
    <definedName name="IQ_TOTAL_RE_NOI_AVG_GROSS_PROP">"c16059"</definedName>
    <definedName name="IQ_TOTAL_RECEIV">"c1293"</definedName>
    <definedName name="IQ_TOTAL_RENTAL_REVENUE">"c16022"</definedName>
    <definedName name="IQ_TOTAL_REV">"c1294"</definedName>
    <definedName name="IQ_TOTAL_REV_10YR_ANN_GROWTH">"c1295"</definedName>
    <definedName name="IQ_TOTAL_REV_1YR_ANN_GROWTH">"c1296"</definedName>
    <definedName name="IQ_TOTAL_REV_2YR_ANN_GROWTH">"c1297"</definedName>
    <definedName name="IQ_TOTAL_REV_3YR_ANN_GROWTH">"c1298"</definedName>
    <definedName name="IQ_TOTAL_REV_5YR_ANN_GROWTH">"c1299"</definedName>
    <definedName name="IQ_TOTAL_REV_7YR_ANN_GROWTH">"c1300"</definedName>
    <definedName name="IQ_TOTAL_REV_AS_REPORTED">"c1301"</definedName>
    <definedName name="IQ_TOTAL_REV_BNK">"c1302"</definedName>
    <definedName name="IQ_TOTAL_REV_BR">"c1303"</definedName>
    <definedName name="IQ_TOTAL_REV_EMPLOYEE">"c1304"</definedName>
    <definedName name="IQ_TOTAL_REV_FIN">"c1305"</definedName>
    <definedName name="IQ_TOTAL_REV_INS">"c1306"</definedName>
    <definedName name="IQ_TOTAL_REV_REIT">"c1307"</definedName>
    <definedName name="IQ_TOTAL_REV_SHARE">"c1912"</definedName>
    <definedName name="IQ_TOTAL_REV_UTI">"c1308"</definedName>
    <definedName name="IQ_TOTAL_REVENUE">"c1436"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OFFER_PER_SHARE">"c18872"</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SSETS">"c1310"</definedName>
    <definedName name="IQ_TRADING_CURRENCY">"c2212"</definedName>
    <definedName name="IQ_TRANS_IMPACT_FIN_48_CURRENT_ASSETS">"c15727"</definedName>
    <definedName name="IQ_TRANS_IMPACT_FIN_48_CURRENT_LIABILITIES">"c15729"</definedName>
    <definedName name="IQ_TRANS_IMPACT_FIN_48_LT_ASSETS">"c15728"</definedName>
    <definedName name="IQ_TRANS_IMPACT_FIN_48_NON_CURRENT_LIABILITIES">"c15730"</definedName>
    <definedName name="IQ_TRANS_IMPACT_FIN_48_RETAINED_EARNINGS">"c15731"</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IT">"c1317"</definedName>
    <definedName name="IQ_TREASURY_OTHER_EQUITY_UTI">"c1318"</definedName>
    <definedName name="IQ_TREASURY_STOCK">"c1438"</definedName>
    <definedName name="IQ_TRUST_INC">"c1319"</definedName>
    <definedName name="IQ_TRUST_PREF">"c1320"</definedName>
    <definedName name="IQ_TRUST_PREFERRED">"c3029"</definedName>
    <definedName name="IQ_TRUST_PREFERRED_PCT">"c3030"</definedName>
    <definedName name="IQ_UFCF_10YR_ANN_GROWTH">"c1948"</definedName>
    <definedName name="IQ_UFCF_1YR_ANN_GROWTH">"c1943"</definedName>
    <definedName name="IQ_UFCF_2YR_ANN_GROWTH">"c1944"</definedName>
    <definedName name="IQ_UFCF_3YR_ANN_GROWTH">"c1945"</definedName>
    <definedName name="IQ_UFCF_5YR_ANN_GROWTH">"c1946"</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ASSIGNED_RESERVES_COAL">"c15914"</definedName>
    <definedName name="IQ_UNASSIGNED_RESERVES_TO_TOTAL_RESERVES_COAL">"c15956"</definedName>
    <definedName name="IQ_UNCLASSIFIED_PROPERTY_OPERATING_EXPENSE">"c16034"</definedName>
    <definedName name="IQ_UNCLASSIFIED_RENTAL_INCOME">"c16021"</definedName>
    <definedName name="IQ_UNCONSOL_NOI">"c16067"</definedName>
    <definedName name="IQ_UNDERGROUND_RESERVES_COAL">"c15922"</definedName>
    <definedName name="IQ_UNDERGROUND_RESERVES_TO_TOTAL_RESERVES_COAL">"c15960"</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IT">"c1327"</definedName>
    <definedName name="IQ_UNEARN_REV_CURRENT_UTI">"c1328"</definedName>
    <definedName name="IQ_UNEARN_REV_LT">"c1329"</definedName>
    <definedName name="IQ_UNLEVERED_FCF">"c1908"</definedName>
    <definedName name="IQ_UNPAID_CLAIMS">"c1330"</definedName>
    <definedName name="IQ_UNREALIZED_GAIN">"c1619"</definedName>
    <definedName name="IQ_UNRECOG_TAX_BENEFIT_BEG_PERIOD">"c15732"</definedName>
    <definedName name="IQ_UNRECOG_TAX_BENEFIT_END_PERIOD">"c15740"</definedName>
    <definedName name="IQ_UNRECOG_TAX_BENEFIT_OTHER_ADJ">"c15739"</definedName>
    <definedName name="IQ_UNSECURED_DEBT">"c2548"</definedName>
    <definedName name="IQ_UNSECURED_DEBT_PCT">"c2549"</definedName>
    <definedName name="IQ_UNUSUAL_EXP">"c1456"</definedName>
    <definedName name="IQ_UPGRADE_REBUILD_CABLE_INVEST">"c15804"</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TIL_PPE_NET">"c1620"</definedName>
    <definedName name="IQ_UTIL_REV">"c2091"</definedName>
    <definedName name="IQ_UTILITY_EXPENSE">"c16031"</definedName>
    <definedName name="IQ_UV_PENSION_LIAB">"c1332"</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OICE_SUB_BASIC_SUB">"c16203"</definedName>
    <definedName name="IQ_VOICE_SUB_TOTAL_HOMES_PASSED">"c15770"</definedName>
    <definedName name="IQ_VOICE_SUB_VIDEO_SUB">"c15789"</definedName>
    <definedName name="IQ_VOL_LAST_3MTH">"c1525"</definedName>
    <definedName name="IQ_VOL_LAST_6MTH">"c1526"</definedName>
    <definedName name="IQ_VOL_LAST_MTH">"c1524"</definedName>
    <definedName name="IQ_VOL_LAST_WK">"c1523"</definedName>
    <definedName name="IQ_VOL_LAST_YR">"c1527"</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IGHTED_AVG_PRICE">"c1334"</definedName>
    <definedName name="IQ_WIP_INV">"c1335"</definedName>
    <definedName name="IQ_WIRELESS_PENETRATION">"c15767"</definedName>
    <definedName name="IQ_WORKING_CAP">"c3494"</definedName>
    <definedName name="IQ_WORKMEN_WRITTEN">"c1336"</definedName>
    <definedName name="IQ_WTD_AVG_IR_AFTER_FIVE">"c15700"</definedName>
    <definedName name="IQ_WTD_AVG_IR_CY">"c15695"</definedName>
    <definedName name="IQ_WTD_AVG_IR_CY1">"c15696"</definedName>
    <definedName name="IQ_WTD_AVG_IR_CY2">"c15697"</definedName>
    <definedName name="IQ_WTD_AVG_IR_CY3">"c15698"</definedName>
    <definedName name="IQ_WTD_AVG_IR_CY4">"c15699"</definedName>
    <definedName name="IQ_WTD_AVG_IR_LT_DEBT">"c15693"</definedName>
    <definedName name="IQ_WTD_AVG_IR_TOTAL_DEBT">"c15694"</definedName>
    <definedName name="IQ_XDIV_DATE">"c2203"</definedName>
    <definedName name="IQ_YEARHIGH">"c1337"</definedName>
    <definedName name="IQ_YEARHIGH_DATE">"c2250"</definedName>
    <definedName name="IQ_YEARLOW">"c1338"</definedName>
    <definedName name="IQ_YEARLOW_DATE">"c2251"</definedName>
    <definedName name="IQ_YTDMONTH">130000</definedName>
    <definedName name="IQ_YTW">"c2163"</definedName>
    <definedName name="IQ_YTW_DATE">"c2164"</definedName>
    <definedName name="IQ_YTW_DATE_TYPE">"c2165"</definedName>
    <definedName name="IQ_Z_SCORE">"c1339"</definedName>
    <definedName name="IQRB5">"$B$6:$B$10"</definedName>
    <definedName name="IQRH37">"$H$38:$H$289"</definedName>
    <definedName name="IQRI37">"$I$38:$I$289"</definedName>
    <definedName name="ISS_DEBT_NET">"ISS_DEBT_NET"</definedName>
    <definedName name="ISS_STOCK_NET">"ISS_STOCK_NET"</definedName>
    <definedName name="iuyt" localSheetId="20">{#N/A,#N/A,FALSE,"Baltimore";#N/A,#N/A,FALSE,"Barrington";#N/A,#N/A,FALSE,"Butler";#N/A,#N/A,FALSE,"Cleveland";#N/A,#N/A,FALSE,"Closter";#N/A,#N/A,FALSE,"Eaton";#N/A,#N/A,FALSE,"Meriden";#N/A,#N/A,FALSE,"Mt. Vernon";#N/A,#N/A,FALSE,"Rochester";#N/A,#N/A,FALSE,"Three Rivers";#N/A,#N/A,FALSE,"Warren"}</definedName>
    <definedName name="iuyt">{#N/A,#N/A,FALSE,"Baltimore";#N/A,#N/A,FALSE,"Barrington";#N/A,#N/A,FALSE,"Butler";#N/A,#N/A,FALSE,"Cleveland";#N/A,#N/A,FALSE,"Closter";#N/A,#N/A,FALSE,"Eaton";#N/A,#N/A,FALSE,"Meriden";#N/A,#N/A,FALSE,"Mt. Vernon";#N/A,#N/A,FALSE,"Rochester";#N/A,#N/A,FALSE,"Three Rivers";#N/A,#N/A,FALSE,"Warren"}</definedName>
    <definedName name="j"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j">{#N/A,#N/A,TRUE,"Récap.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JANV" localSheetId="20">{#N/A,#N/A,FALSE,"Tabl. H1";#N/A,#N/A,FALSE,"Tabl. H2"}</definedName>
    <definedName name="JANV">{#N/A,#N/A,FALSE,"Tabl. H1";#N/A,#N/A,FALSE,"Tabl. H2"}</definedName>
    <definedName name="jcjfjfjjf" localSheetId="20">{#N/A,#N/A,FALSE,"RIEP"}</definedName>
    <definedName name="jcjfjfjjf">{#N/A,#N/A,FALSE,"RIEP"}</definedName>
    <definedName name="jeudi" localSheetId="20">{#N/A,#N/A,FALSE,"Tabl. A1";#N/A,#N/A,FALSE,"Tabl. A1 b";#N/A,#N/A,FALSE,"Tabl. A2";#N/A,#N/A,FALSE,"Tabl. A2-1";#N/A,#N/A,FALSE,"Tabl. A2-2"}</definedName>
    <definedName name="jeudi">{#N/A,#N/A,FALSE,"Tabl. A1";#N/A,#N/A,FALSE,"Tabl. A1 b";#N/A,#N/A,FALSE,"Tabl. A2";#N/A,#N/A,FALSE,"Tabl. A2-1";#N/A,#N/A,FALSE,"Tabl. A2-2"}</definedName>
    <definedName name="JHGF" localSheetId="20">{#N/A,#N/A,FALSE,"Tabl. A1";#N/A,#N/A,FALSE,"Tabl. A1 b";#N/A,#N/A,FALSE,"Tabl. A2";#N/A,#N/A,FALSE,"Tabl. A2-1";#N/A,#N/A,FALSE,"Tabl. A2-2"}</definedName>
    <definedName name="JHGF">{#N/A,#N/A,FALSE,"Tabl. A1";#N/A,#N/A,FALSE,"Tabl. A1 b";#N/A,#N/A,FALSE,"Tabl. A2";#N/A,#N/A,FALSE,"Tabl. A2-1";#N/A,#N/A,FALSE,"Tabl. A2-2"}</definedName>
    <definedName name="JHGFDS" localSheetId="20">{#N/A,#N/A,FALSE,"Tabl. G1";#N/A,#N/A,FALSE,"Tabl. G2"}</definedName>
    <definedName name="JHGFDS">{#N/A,#N/A,FALSE,"Tabl. G1";#N/A,#N/A,FALSE,"Tabl. G2"}</definedName>
    <definedName name="jjfhfh" localSheetId="20">{"QQQ",#N/A,FALSE,"RIEP"}</definedName>
    <definedName name="jjfhfh">{"QQQ",#N/A,FALSE,"RIEP"}</definedName>
    <definedName name="jjj" localSheetId="20">{"SPM1",#N/A,FALSE,"RIEP"}</definedName>
    <definedName name="jjj">{"SPM1",#N/A,FALSE,"RIEP"}</definedName>
    <definedName name="jjjjj" localSheetId="20">{"SPM1",#N/A,FALSE,"RIEP"}</definedName>
    <definedName name="jjjjj">{"SPM1",#N/A,FALSE,"RIEP"}</definedName>
    <definedName name="jkl" localSheetId="20">{#N/A,#N/A,FALSE,"Tabl. G1";#N/A,#N/A,FALSE,"Tabl. G2"}</definedName>
    <definedName name="jkl">{#N/A,#N/A,FALSE,"Tabl. G1";#N/A,#N/A,FALSE,"Tabl. G2"}</definedName>
    <definedName name="JRN" localSheetId="20">{#N/A,#N/A,FALSE,"Tabl. FB300";#N/A,#N/A,FALSE,"Tabl. FB350";#N/A,#N/A,FALSE,"Tabl. FB400";#N/A,#N/A,FALSE,"Tabl. FB500";#N/A,#N/A,FALSE,"Tabl. FS090"}</definedName>
    <definedName name="JRN">{#N/A,#N/A,FALSE,"Tabl. FB300";#N/A,#N/A,FALSE,"Tabl. FB350";#N/A,#N/A,FALSE,"Tabl. FB400";#N/A,#N/A,FALSE,"Tabl. FB500";#N/A,#N/A,FALSE,"Tabl. FS090"}</definedName>
    <definedName name="k" localSheetId="20">{#N/A,#N/A,FALSE,"ANEXO3 99 ERA";#N/A,#N/A,FALSE,"ANEXO3 99 UBÁ2";#N/A,#N/A,FALSE,"ANEXO3 99 DTU";#N/A,#N/A,FALSE,"ANEXO3 99 RDR";#N/A,#N/A,FALSE,"ANEXO3 99 UBÁ4";#N/A,#N/A,FALSE,"ANEXO3 99 UBÁ6"}</definedName>
    <definedName name="k">{#N/A,#N/A,FALSE,"ANEXO3 99 ERA";#N/A,#N/A,FALSE,"ANEXO3 99 UBÁ2";#N/A,#N/A,FALSE,"ANEXO3 99 DTU";#N/A,#N/A,FALSE,"ANEXO3 99 RDR";#N/A,#N/A,FALSE,"ANEXO3 99 UBÁ4";#N/A,#N/A,FALSE,"ANEXO3 99 UBÁ6"}</definedName>
    <definedName name="K2_WBEVMODE">0</definedName>
    <definedName name="kfkfkfkfkkf" localSheetId="20">{#N/A,#N/A,FALSE,"RIEP"}</definedName>
    <definedName name="kfkfkfkfkkf">{#N/A,#N/A,FALSE,"RIEP"}</definedName>
    <definedName name="kico" localSheetId="20">{#N/A,#N/A,FALSE,"CONTROLE";#N/A,#N/A,FALSE,"CONTROLE"}</definedName>
    <definedName name="kico">{#N/A,#N/A,FALSE,"CONTROLE";#N/A,#N/A,FALSE,"CONTROLE"}</definedName>
    <definedName name="kiko" localSheetId="20">{#N/A,#N/A,FALSE,"CONTROLE";#N/A,#N/A,FALSE,"CONTROLE"}</definedName>
    <definedName name="kiko">{#N/A,#N/A,FALSE,"CONTROLE";#N/A,#N/A,FALSE,"CONTROLE"}</definedName>
    <definedName name="kjfsoyiupo6rhtgz" localSheetId="20">{#N/A,#N/A,FALSE,"RIEP"}</definedName>
    <definedName name="kjfsoyiupo6rhtgz">{#N/A,#N/A,FALSE,"RIEP"}</definedName>
    <definedName name="KJH" localSheetId="20">{#N/A,#N/A,FALSE,"Tabl. FB300";#N/A,#N/A,FALSE,"Tabl. FB350";#N/A,#N/A,FALSE,"Tabl. FB400";#N/A,#N/A,FALSE,"Tabl. FB500";#N/A,#N/A,FALSE,"Tabl. FS090"}</definedName>
    <definedName name="KJH">{#N/A,#N/A,FALSE,"Tabl. FB300";#N/A,#N/A,FALSE,"Tabl. FB350";#N/A,#N/A,FALSE,"Tabl. FB400";#N/A,#N/A,FALSE,"Tabl. FB500";#N/A,#N/A,FALSE,"Tabl. FS090"}</definedName>
    <definedName name="kjkdjndojdokd" localSheetId="20">{#N/A,#N/A,FALSE,"ANEXO3 99 ERA";#N/A,#N/A,FALSE,"ANEXO3 99 UBÁ2";#N/A,#N/A,FALSE,"ANEXO3 99 DTU";#N/A,#N/A,FALSE,"ANEXO3 99 RDR";#N/A,#N/A,FALSE,"ANEXO3 99 UBÁ4";#N/A,#N/A,FALSE,"ANEXO3 99 UBÁ6"}</definedName>
    <definedName name="kjkdjndojdokd">{#N/A,#N/A,FALSE,"ANEXO3 99 ERA";#N/A,#N/A,FALSE,"ANEXO3 99 UBÁ2";#N/A,#N/A,FALSE,"ANEXO3 99 DTU";#N/A,#N/A,FALSE,"ANEXO3 99 RDR";#N/A,#N/A,FALSE,"ANEXO3 99 UBÁ4";#N/A,#N/A,FALSE,"ANEXO3 99 UBÁ6"}</definedName>
    <definedName name="kkkk" localSheetId="20">{"'Hoja1'!$A$1:$N$27"}</definedName>
    <definedName name="kkkk">{"'Hoja1'!$A$1:$N$27"}</definedName>
    <definedName name="KLD" localSheetId="20">{#N/A,#N/A,FALSE,"Tabl. A1";#N/A,#N/A,FALSE,"Tabl. A1 b";#N/A,#N/A,FALSE,"Tabl. A2";#N/A,#N/A,FALSE,"Tabl. A2-1";#N/A,#N/A,FALSE,"Tabl. A2-2"}</definedName>
    <definedName name="KLD">{#N/A,#N/A,FALSE,"Tabl. A1";#N/A,#N/A,FALSE,"Tabl. A1 b";#N/A,#N/A,FALSE,"Tabl. A2";#N/A,#N/A,FALSE,"Tabl. A2-1";#N/A,#N/A,FALSE,"Tabl. A2-2"}</definedName>
    <definedName name="KLE" localSheetId="20">{#N/A,#N/A,FALSE,"Tabl. H1";#N/A,#N/A,FALSE,"Tabl. H2"}</definedName>
    <definedName name="KLE">{#N/A,#N/A,FALSE,"Tabl. H1";#N/A,#N/A,FALSE,"Tabl. H2"}</definedName>
    <definedName name="KM" localSheetId="20">{#N/A,#N/A,FALSE,"ANEXO3 99 ERA";#N/A,#N/A,FALSE,"ANEXO3 99 UBÁ2";#N/A,#N/A,FALSE,"ANEXO3 99 DTU";#N/A,#N/A,FALSE,"ANEXO3 99 RDR";#N/A,#N/A,FALSE,"ANEXO3 99 UBÁ4";#N/A,#N/A,FALSE,"ANEXO3 99 UBÁ6"}</definedName>
    <definedName name="KM">{#N/A,#N/A,FALSE,"ANEXO3 99 ERA";#N/A,#N/A,FALSE,"ANEXO3 99 UBÁ2";#N/A,#N/A,FALSE,"ANEXO3 99 DTU";#N/A,#N/A,FALSE,"ANEXO3 99 RDR";#N/A,#N/A,FALSE,"ANEXO3 99 UBÁ4";#N/A,#N/A,FALSE,"ANEXO3 99 UBÁ6"}</definedName>
    <definedName name="lan">#REF!</definedName>
    <definedName name="LAST_EBIT_MARGIN">"LAST_EBIT_MARGIN"</definedName>
    <definedName name="LAST_EBITDA_MARGIN">"LAST_EBITDA_MARGIN"</definedName>
    <definedName name="LAST_GROSS_MARGIN">"LAST_GROSS_MARGIN"</definedName>
    <definedName name="LAST_NET_INC_MARGIN">"LAST_NET_INC_MARGIN"</definedName>
    <definedName name="LASTSALEPRICE">"LASTSALEPRICE"</definedName>
    <definedName name="LATESTK">1000</definedName>
    <definedName name="LATESTKNONPRESS">50</definedName>
    <definedName name="LATESTQ">500</definedName>
    <definedName name="LATESTQNONPRESS">100</definedName>
    <definedName name="limcount">1</definedName>
    <definedName name="liolo" localSheetId="20">{#N/A,#N/A,FALSE,"Tabl. H1";#N/A,#N/A,FALSE,"Tabl. H2"}</definedName>
    <definedName name="liolo">{#N/A,#N/A,FALSE,"Tabl. H1";#N/A,#N/A,FALSE,"Tabl. H2"}</definedName>
    <definedName name="Livres" localSheetId="20">{#N/A,#N/A,FALSE,"CONTROLE"}</definedName>
    <definedName name="Livres">{#N/A,#N/A,FALSE,"CONTROLE"}</definedName>
    <definedName name="LKG" localSheetId="20">{#N/A,#N/A,FALSE,"Tabl. G1";#N/A,#N/A,FALSE,"Tabl. G2"}</definedName>
    <definedName name="LKG">{#N/A,#N/A,FALSE,"Tabl. G1";#N/A,#N/A,FALSE,"Tabl. G2"}</definedName>
    <definedName name="lkjh" localSheetId="20">{#N/A,#N/A,FALSE,"Baltimore";#N/A,#N/A,FALSE,"Barrington";#N/A,#N/A,FALSE,"Butler";#N/A,#N/A,FALSE,"Cleveland";#N/A,#N/A,FALSE,"Closter";#N/A,#N/A,FALSE,"Eaton";#N/A,#N/A,FALSE,"Meriden";#N/A,#N/A,FALSE,"Mt. Vernon";#N/A,#N/A,FALSE,"Rochester";#N/A,#N/A,FALSE,"Three Rivers";#N/A,#N/A,FALSE,"Warren"}</definedName>
    <definedName name="lkjh">{#N/A,#N/A,FALSE,"Baltimore";#N/A,#N/A,FALSE,"Barrington";#N/A,#N/A,FALSE,"Butler";#N/A,#N/A,FALSE,"Cleveland";#N/A,#N/A,FALSE,"Closter";#N/A,#N/A,FALSE,"Eaton";#N/A,#N/A,FALSE,"Meriden";#N/A,#N/A,FALSE,"Mt. Vernon";#N/A,#N/A,FALSE,"Rochester";#N/A,#N/A,FALSE,"Three Rivers";#N/A,#N/A,FALSE,"Warren"}</definedName>
    <definedName name="lkjhyiuoyiugjhg" localSheetId="20">{"'DEC ou FEC'!$A$1:$O$132"}</definedName>
    <definedName name="lkjhyiuoyiugjhg">{"'DEC ou FEC'!$A$1:$O$132"}</definedName>
    <definedName name="lklkl" localSheetId="20">{"consolidated",#N/A,FALSE,"Sheet1";"cms",#N/A,FALSE,"Sheet1";"fse",#N/A,FALSE,"Sheet1"}</definedName>
    <definedName name="lklkl">{"consolidated",#N/A,FALSE,"Sheet1";"cms",#N/A,FALSE,"Sheet1";"fse",#N/A,FALSE,"Sheet1"}</definedName>
    <definedName name="ll"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ll">{#N/A,#N/A,TRUE,"Récap.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LLL" localSheetId="20">{"QQQ",#N/A,FALSE,"RIEP"}</definedName>
    <definedName name="LLL">{"QQQ",#N/A,FALSE,"RIEP"}</definedName>
    <definedName name="LLLL" localSheetId="20">{#N/A,#N/A,FALSE,"CONTROLE"}</definedName>
    <definedName name="LLLL">{#N/A,#N/A,FALSE,"CONTROLE"}</definedName>
    <definedName name="LOAN_LOSS">"LOAN_LOSS"</definedName>
    <definedName name="LONG_TERM_DEBT">"LONG_TERM_DEBT"</definedName>
    <definedName name="LONG_TERM_GROWTH">"LONG_TERM_GROWTH"</definedName>
    <definedName name="LONG_TERM_INV">"LONG_TERM_INV"</definedName>
    <definedName name="LOWPRICE">"LOWPRICE"</definedName>
    <definedName name="lowsulfurdiesel" localSheetId="20">{"PAGE1",#N/A,FALSE,"YIELDS";"PAGE2",#N/A,FALSE,"YIELDS";"PAGE3",#N/A,FALSE,"YIELDS"}</definedName>
    <definedName name="lowsulfurdiesel">{"PAGE1",#N/A,FALSE,"YIELDS";"PAGE2",#N/A,FALSE,"YIELDS";"PAGE3",#N/A,FALSE,"YIELDS"}</definedName>
    <definedName name="LTM_DATE">"LTM_DATE"</definedName>
    <definedName name="LTM_REVENUE_OVER_EMPLOYEES">"LTM_REVENUE_OVER_EMPLOYEES"</definedName>
    <definedName name="Luca">#REF!</definedName>
    <definedName name="lundi" localSheetId="20">{#N/A,#N/A,FALSE,"Tabl. G1";#N/A,#N/A,FALSE,"Tabl. G2"}</definedName>
    <definedName name="lundi">{#N/A,#N/A,FALSE,"Tabl. G1";#N/A,#N/A,FALSE,"Tabl. G2"}</definedName>
    <definedName name="m" localSheetId="20">{"summary",#N/A,FALSE,"Summary";"transaction",#N/A,FALSE,"Transaction";"sales",#N/A,FALSE,"Sales";"sales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m">{"summary",#N/A,FALSE,"Summary";"transaction",#N/A,FALSE,"Transaction";"sales",#N/A,FALSE,"Sales";"sales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mar">#REF!</definedName>
    <definedName name="marc">#REF!</definedName>
    <definedName name="março">#REF!</definedName>
    <definedName name="mardi" localSheetId="20">{#N/A,#N/A,FALSE,"Tabl. H1";#N/A,#N/A,FALSE,"Tabl. H2"}</definedName>
    <definedName name="mardi">{#N/A,#N/A,FALSE,"Tabl. H1";#N/A,#N/A,FALSE,"Tabl. H2"}</definedName>
    <definedName name="MARKETCAP">"MARKETCAP"</definedName>
    <definedName name="Masefield" localSheetId="20">{#N/A,#N/A,FALSE,"DEA Report";#N/A,#N/A,FALSE,"Veba Report";#N/A,#N/A,FALSE,"Wintershall Report";#N/A,#N/A,FALSE,"Fina Report"}</definedName>
    <definedName name="Masefield">{#N/A,#N/A,FALSE,"DEA Report";#N/A,#N/A,FALSE,"Veba Report";#N/A,#N/A,FALSE,"Wintershall Report";#N/A,#N/A,FALSE,"Fina Report"}</definedName>
    <definedName name="Masefield_1" localSheetId="20">{#N/A,#N/A,FALSE,"DEA Report";#N/A,#N/A,FALSE,"Veba Report";#N/A,#N/A,FALSE,"Wintershall Report";#N/A,#N/A,FALSE,"Fina Report"}</definedName>
    <definedName name="Masefield_1">{#N/A,#N/A,FALSE,"DEA Report";#N/A,#N/A,FALSE,"Veba Report";#N/A,#N/A,FALSE,"Wintershall Report";#N/A,#N/A,FALSE,"Fina Report"}</definedName>
    <definedName name="MATERIEPRIME" localSheetId="20">{"BUTENE1_PR",#N/A,FALSE,"CONS.RAFF2"}</definedName>
    <definedName name="MATERIEPRIME">{"BUTENE1_PR",#N/A,FALSE,"CONS.RAFF2"}</definedName>
    <definedName name="men" localSheetId="20">{#N/A,#N/A,FALSE,"LLAVE";#N/A,#N/A,FALSE,"EERR";#N/A,#N/A,FALSE,"ESP";#N/A,#N/A,FALSE,"EOAF";#N/A,#N/A,FALSE,"CASH";#N/A,#N/A,FALSE,"FINANZAS";#N/A,#N/A,FALSE,"DEUDA";#N/A,#N/A,FALSE,"INVERSION";#N/A,#N/A,FALSE,"PERSONAL"}</definedName>
    <definedName name="men">{#N/A,#N/A,FALSE,"LLAVE";#N/A,#N/A,FALSE,"EERR";#N/A,#N/A,FALSE,"ESP";#N/A,#N/A,FALSE,"EOAF";#N/A,#N/A,FALSE,"CASH";#N/A,#N/A,FALSE,"FINANZAS";#N/A,#N/A,FALSE,"DEUDA";#N/A,#N/A,FALSE,"INVERSION";#N/A,#N/A,FALSE,"PERSONAL"}</definedName>
    <definedName name="men_1" localSheetId="20">{#N/A,#N/A,FALSE,"LLAVE";#N/A,#N/A,FALSE,"EERR";#N/A,#N/A,FALSE,"ESP";#N/A,#N/A,FALSE,"EOAF";#N/A,#N/A,FALSE,"CASH";#N/A,#N/A,FALSE,"FINANZAS";#N/A,#N/A,FALSE,"DEUDA";#N/A,#N/A,FALSE,"INVERSION";#N/A,#N/A,FALSE,"PERSONAL"}</definedName>
    <definedName name="men_1">{#N/A,#N/A,FALSE,"LLAVE";#N/A,#N/A,FALSE,"EERR";#N/A,#N/A,FALSE,"ESP";#N/A,#N/A,FALSE,"EOAF";#N/A,#N/A,FALSE,"CASH";#N/A,#N/A,FALSE,"FINANZAS";#N/A,#N/A,FALSE,"DEUDA";#N/A,#N/A,FALSE,"INVERSION";#N/A,#N/A,FALSE,"PERSONAL"}</definedName>
    <definedName name="MGMT1">#REF!</definedName>
    <definedName name="MICHELE" localSheetId="20">{#N/A,#N/A,FALSE,"Tabl. FB300";#N/A,#N/A,FALSE,"Tabl. FB350";#N/A,#N/A,FALSE,"Tabl. FB400";#N/A,#N/A,FALSE,"Tabl. FB500";#N/A,#N/A,FALSE,"Tabl. FS090"}</definedName>
    <definedName name="MICHELE">{#N/A,#N/A,FALSE,"Tabl. FB300";#N/A,#N/A,FALSE,"Tabl. FB350";#N/A,#N/A,FALSE,"Tabl. FB400";#N/A,#N/A,FALSE,"Tabl. FB500";#N/A,#N/A,FALSE,"Tabl. FS090"}</definedName>
    <definedName name="mina_new" localSheetId="20">{"'pg(12)'!$B$1:$N$16"}</definedName>
    <definedName name="mina_new">{"'pg(12)'!$B$1:$N$16"}</definedName>
    <definedName name="minnii" localSheetId="20">{"SPM1",#N/A,FALSE,"RIEP"}</definedName>
    <definedName name="minnii">{"SPM1",#N/A,FALSE,"RIEP"}</definedName>
    <definedName name="MINORITY_INTEREST">"MINORITY_INTEREST"</definedName>
    <definedName name="MISC_EARN_ADJ">"MISC_EARN_ADJ"</definedName>
    <definedName name="mita" localSheetId="20">{"situazione magazzino",#N/A,TRUE,"situazione magazzino";"giacenza",#N/A,TRUE,"giacenza";"mancante",#N/A,TRUE,"mancante";"dosaggi",#N/A,TRUE,"dosaggi"}</definedName>
    <definedName name="mita">{"situazione magazzino",#N/A,TRUE,"situazione magazzino";"giacenza",#N/A,TRUE,"giacenza";"mancante",#N/A,TRUE,"mancante";"dosaggi",#N/A,TRUE,"dosaggi"}</definedName>
    <definedName name="mizo" localSheetId="20">{"'pg(12)'!$B$1:$N$16"}</definedName>
    <definedName name="mizo">{"'pg(12)'!$B$1:$N$16"}</definedName>
    <definedName name="mizo_new" localSheetId="20">{"'pg(12)'!$B$1:$N$16"}</definedName>
    <definedName name="mizo_new">{"'pg(12)'!$B$1:$N$16"}</definedName>
    <definedName name="mizo_newa1" localSheetId="20">{"'pg(12)'!$B$1:$N$16"}</definedName>
    <definedName name="mizo_newa1">{"'pg(12)'!$B$1:$N$16"}</definedName>
    <definedName name="mizo2000" localSheetId="20">{"'pg(12)'!$B$1:$N$16"}</definedName>
    <definedName name="mizo2000">{"'pg(12)'!$B$1:$N$16"}</definedName>
    <definedName name="mizo2000_1" localSheetId="20">{"'pg(12)'!$B$1:$N$16"}</definedName>
    <definedName name="mizo2000_1">{"'pg(12)'!$B$1:$N$16"}</definedName>
    <definedName name="mizo2000_new" localSheetId="20">{"'pg(12)'!$B$1:$N$16"}</definedName>
    <definedName name="mizo2000_new">{"'pg(12)'!$B$1:$N$16"}</definedName>
    <definedName name="MLKJH" localSheetId="20">{#N/A,#N/A,FALSE,"Tabl. G1";#N/A,#N/A,FALSE,"Tabl. G2"}</definedName>
    <definedName name="MLKJH">{#N/A,#N/A,FALSE,"Tabl. G1";#N/A,#N/A,FALSE,"Tabl. G2"}</definedName>
    <definedName name="mm" localSheetId="20">{"'Hoja1'!$A$1:$N$27"}</definedName>
    <definedName name="mm">{"'Hoja1'!$A$1:$N$27"}</definedName>
    <definedName name="mmmm" localSheetId="20">{#N/A,#N/A,FALSE,"ANEXO3 99 ERA";#N/A,#N/A,FALSE,"ANEXO3 99 UBÁ2";#N/A,#N/A,FALSE,"ANEXO3 99 DTU";#N/A,#N/A,FALSE,"ANEXO3 99 RDR";#N/A,#N/A,FALSE,"ANEXO3 99 UBÁ4";#N/A,#N/A,FALSE,"ANEXO3 99 UBÁ6"}</definedName>
    <definedName name="mmmm">{#N/A,#N/A,FALSE,"ANEXO3 99 ERA";#N/A,#N/A,FALSE,"ANEXO3 99 UBÁ2";#N/A,#N/A,FALSE,"ANEXO3 99 DTU";#N/A,#N/A,FALSE,"ANEXO3 99 RDR";#N/A,#N/A,FALSE,"ANEXO3 99 UBÁ4";#N/A,#N/A,FALSE,"ANEXO3 99 UBÁ6"}</definedName>
    <definedName name="mmmmm" localSheetId="20">{#N/A,#N/A,FALSE,"SUMMARY";#N/A,#N/A,FALSE,"INPUTDATA";#N/A,#N/A,FALSE,"Condenser Performance"}</definedName>
    <definedName name="mmmmm">{#N/A,#N/A,FALSE,"SUMMARY";#N/A,#N/A,FALSE,"INPUTDATA";#N/A,#N/A,FALSE,"Condenser Performance"}</definedName>
    <definedName name="mmmmmm" localSheetId="20">{"'Hoja1'!$A$1:$N$27"}</definedName>
    <definedName name="mmmmmm">{"'Hoja1'!$A$1:$N$27"}</definedName>
    <definedName name="mmut" localSheetId="20">{#N/A,#N/A,FALSE,"Tabl. G1";#N/A,#N/A,FALSE,"Tabl. G2"}</definedName>
    <definedName name="mmut">{#N/A,#N/A,FALSE,"Tabl. G1";#N/A,#N/A,FALSE,"Tabl. G2"}</definedName>
    <definedName name="mnbv" localSheetId="20">{#N/A,#N/A,FALSE,"Baltimore";#N/A,#N/A,FALSE,"Barrington";#N/A,#N/A,FALSE,"Butler";#N/A,#N/A,FALSE,"Cleveland";#N/A,#N/A,FALSE,"Closter";#N/A,#N/A,FALSE,"Eaton";#N/A,#N/A,FALSE,"Meriden";#N/A,#N/A,FALSE,"Mt. Vernon";#N/A,#N/A,FALSE,"Rochester";#N/A,#N/A,FALSE,"Three Rivers";#N/A,#N/A,FALSE,"Warren"}</definedName>
    <definedName name="mnbv">{#N/A,#N/A,FALSE,"Baltimore";#N/A,#N/A,FALSE,"Barrington";#N/A,#N/A,FALSE,"Butler";#N/A,#N/A,FALSE,"Cleveland";#N/A,#N/A,FALSE,"Closter";#N/A,#N/A,FALSE,"Eaton";#N/A,#N/A,FALSE,"Meriden";#N/A,#N/A,FALSE,"Mt. Vernon";#N/A,#N/A,FALSE,"Rochester";#N/A,#N/A,FALSE,"Three Rivers";#N/A,#N/A,FALSE,"Warren"}</definedName>
    <definedName name="mno" localSheetId="20">{#N/A,#N/A,FALSE,"Tabl. H1";#N/A,#N/A,FALSE,"Tabl. H2"}</definedName>
    <definedName name="mno">{#N/A,#N/A,FALSE,"Tabl. H1";#N/A,#N/A,FALSE,"Tabl. H2"}</definedName>
    <definedName name="mqg" localSheetId="20">{#N/A,#N/A,FALSE,"Tabl. H1";#N/A,#N/A,FALSE,"Tabl. H2"}</definedName>
    <definedName name="mqg">{#N/A,#N/A,FALSE,"Tabl. H1";#N/A,#N/A,FALSE,"Tabl. H2"}</definedName>
    <definedName name="mso" localSheetId="20">{#N/A,#N/A,FALSE,"CONTROLE"}</definedName>
    <definedName name="mso">{#N/A,#N/A,FALSE,"CONTROLE"}</definedName>
    <definedName name="mtk" localSheetId="20">{#N/A,#N/A,FALSE,"Tabl. FB300";#N/A,#N/A,FALSE,"Tabl. FB350";#N/A,#N/A,FALSE,"Tabl. FB400";#N/A,#N/A,FALSE,"Tabl. FB500";#N/A,#N/A,FALSE,"Tabl. FS090"}</definedName>
    <definedName name="mtk">{#N/A,#N/A,FALSE,"Tabl. FB300";#N/A,#N/A,FALSE,"Tabl. FB350";#N/A,#N/A,FALSE,"Tabl. FB400";#N/A,#N/A,FALSE,"Tabl. FB500";#N/A,#N/A,FALSE,"Tabl. FS090"}</definedName>
    <definedName name="mtrk" localSheetId="20">{#N/A,#N/A,FALSE,"Tabl. FB300";#N/A,#N/A,FALSE,"Tabl. FB350";#N/A,#N/A,FALSE,"Tabl. FB400";#N/A,#N/A,FALSE,"Tabl. FB500";#N/A,#N/A,FALSE,"Tabl. FS090"}</definedName>
    <definedName name="mtrk">{#N/A,#N/A,FALSE,"Tabl. FB300";#N/A,#N/A,FALSE,"Tabl. FB350";#N/A,#N/A,FALSE,"Tabl. FB400";#N/A,#N/A,FALSE,"Tabl. FB500";#N/A,#N/A,FALSE,"Tabl. FS090"}</definedName>
    <definedName name="MUFFIGRAPH">#REF!</definedName>
    <definedName name="mzb" localSheetId="20">{#N/A,#N/A,FALSE,"Tabl. D1";#N/A,#N/A,FALSE,"Tabl. D1 b";#N/A,#N/A,FALSE,"Tabl. D2";#N/A,#N/A,FALSE,"Tabl. D2 b";#N/A,#N/A,FALSE,"Tabl. D3";#N/A,#N/A,FALSE,"Tabl. D4";#N/A,#N/A,FALSE,"Tabl. D5"}</definedName>
    <definedName name="mzb">{#N/A,#N/A,FALSE,"Tabl. D1";#N/A,#N/A,FALSE,"Tabl. D1 b";#N/A,#N/A,FALSE,"Tabl. D2";#N/A,#N/A,FALSE,"Tabl. D2 b";#N/A,#N/A,FALSE,"Tabl. D3";#N/A,#N/A,FALSE,"Tabl. D4";#N/A,#N/A,FALSE,"Tabl. D5"}</definedName>
    <definedName name="n" localSheetId="20">{#N/A,#N/A,FALSE,"DCF";#N/A,#N/A,FALSE,"WACC";#N/A,#N/A,FALSE,"Sales_EBIT";#N/A,#N/A,FALSE,"Capex_Depreciation";#N/A,#N/A,FALSE,"WC";#N/A,#N/A,FALSE,"Interest";#N/A,#N/A,FALSE,"Assumptions"}</definedName>
    <definedName name="n">{#N/A,#N/A,FALSE,"DCF";#N/A,#N/A,FALSE,"WACC";#N/A,#N/A,FALSE,"Sales_EBIT";#N/A,#N/A,FALSE,"Capex_Depreciation";#N/A,#N/A,FALSE,"WC";#N/A,#N/A,FALSE,"Interest";#N/A,#N/A,FALSE,"Assumptions"}</definedName>
    <definedName name="NADA" localSheetId="20">{"BUTENE1_PR",#N/A,FALSE,"CONS.RAFF2"}</definedName>
    <definedName name="NADA">{"BUTENE1_PR",#N/A,FALSE,"CONS.RAFF2"}</definedName>
    <definedName name="nanan" localSheetId="20">{"'Hoja1'!$A$1:$N$27"}</definedName>
    <definedName name="nanan">{"'Hoja1'!$A$1:$N$27"}</definedName>
    <definedName name="nao" localSheetId="20">{#N/A,#N/A,FALSE,"ANEXO3 99 ERA";#N/A,#N/A,FALSE,"ANEXO3 99 UBÁ2";#N/A,#N/A,FALSE,"ANEXO3 99 DTU";#N/A,#N/A,FALSE,"ANEXO3 99 RDR";#N/A,#N/A,FALSE,"ANEXO3 99 UBÁ4";#N/A,#N/A,FALSE,"ANEXO3 99 UBÁ6"}</definedName>
    <definedName name="nao">{#N/A,#N/A,FALSE,"ANEXO3 99 ERA";#N/A,#N/A,FALSE,"ANEXO3 99 UBÁ2";#N/A,#N/A,FALSE,"ANEXO3 99 DTU";#N/A,#N/A,FALSE,"ANEXO3 99 RDR";#N/A,#N/A,FALSE,"ANEXO3 99 UBÁ4";#N/A,#N/A,FALSE,"ANEXO3 99 UBÁ6"}</definedName>
    <definedName name="nb" localSheetId="20">{"TotalGeralDespesasPorArea",#N/A,FALSE,"VinculosAccessEfetivo"}</definedName>
    <definedName name="nb">{"TotalGeralDespesasPorArea",#N/A,FALSE,"VinculosAccessEfetivo"}</definedName>
    <definedName name="NET_CHANGE">"NET_CHANGE"</definedName>
    <definedName name="NET_DEBT">"NET_DEBT"</definedName>
    <definedName name="NET_INC">"NET_INC"</definedName>
    <definedName name="NET_INC_10K">"NET_INC_10K"</definedName>
    <definedName name="NET_INC_10Q">"NET_INC_10Q"</definedName>
    <definedName name="NET_INC_10Q1">"NET_INC_10Q1"</definedName>
    <definedName name="NET_INC_BEFORE">"NET_INC_BEFORE"</definedName>
    <definedName name="NET_INC_GROWTH_1">"NET_INC_GROWTH_1"</definedName>
    <definedName name="NET_INC_GROWTH_2">"NET_INC_GROWTH_2"</definedName>
    <definedName name="NET_INC_MARGIN">"NET_INC_MARGIN"</definedName>
    <definedName name="NET_INTEREST_INC">"NET_INTEREST_INC"</definedName>
    <definedName name="NET_INTEREST_INC_AFTER_LL">"NET_INTEREST_INC_AFTER_LL"</definedName>
    <definedName name="NET_LOANS">"NET_LOANS"</definedName>
    <definedName name="new" localSheetId="20">{"'pg(12)'!$B$1:$N$16"}</definedName>
    <definedName name="new">{"'pg(12)'!$B$1:$N$16"}</definedName>
    <definedName name="newa2" localSheetId="20">{"'pg(12)'!$B$1:$N$16"}</definedName>
    <definedName name="newa2">{"'pg(12)'!$B$1:$N$16"}</definedName>
    <definedName name="newname" localSheetId="20">{#N/A,#N/A,FALSE,"CAP 1998";#N/A,#N/A,FALSE,"CAP 1999";#N/A,#N/A,FALSE,"CAP 2000";#N/A,#N/A,FALSE,"CAP_2001";#N/A,#N/A,FALSE,"CAP_2002";#N/A,#N/A,FALSE,"MAINT_1998";#N/A,#N/A,FALSE,"MAINT_1999";#N/A,#N/A,FALSE,"MAINT_2000";#N/A,#N/A,FALSE,"MAINT_2001";#N/A,#N/A,FALSE,"MAINT_2002"}</definedName>
    <definedName name="newname">{#N/A,#N/A,FALSE,"CAP 1998";#N/A,#N/A,FALSE,"CAP 1999";#N/A,#N/A,FALSE,"CAP 2000";#N/A,#N/A,FALSE,"CAP_2001";#N/A,#N/A,FALSE,"CAP_2002";#N/A,#N/A,FALSE,"MAINT_1998";#N/A,#N/A,FALSE,"MAINT_1999";#N/A,#N/A,FALSE,"MAINT_2000";#N/A,#N/A,FALSE,"MAINT_2001";#N/A,#N/A,FALSE,"MAINT_2002"}</definedName>
    <definedName name="newnew" localSheetId="20">{"'pg(12)'!$B$1:$N$16"}</definedName>
    <definedName name="newnew">{"'pg(12)'!$B$1:$N$16"}</definedName>
    <definedName name="nit" localSheetId="20">{#N/A,#N/A,FALSE,"Tabl. D1";#N/A,#N/A,FALSE,"Tabl. D1 b";#N/A,#N/A,FALSE,"Tabl. D2";#N/A,#N/A,FALSE,"Tabl. D2 b";#N/A,#N/A,FALSE,"Tabl. D3";#N/A,#N/A,FALSE,"Tabl. D4";#N/A,#N/A,FALSE,"Tabl. D5"}</definedName>
    <definedName name="nit">{#N/A,#N/A,FALSE,"Tabl. D1";#N/A,#N/A,FALSE,"Tabl. D1 b";#N/A,#N/A,FALSE,"Tabl. D2";#N/A,#N/A,FALSE,"Tabl. D2 b";#N/A,#N/A,FALSE,"Tabl. D3";#N/A,#N/A,FALSE,"Tabl. D4";#N/A,#N/A,FALSE,"Tabl. D5"}</definedName>
    <definedName name="nitru" localSheetId="20">{#N/A,#N/A,FALSE,"Tabl. G1";#N/A,#N/A,FALSE,"Tabl. G2"}</definedName>
    <definedName name="nitru">{#N/A,#N/A,FALSE,"Tabl. G1";#N/A,#N/A,FALSE,"Tabl. G2"}</definedName>
    <definedName name="nnnn" localSheetId="20">{#N/A,#N/A,FALSE,"T COST";#N/A,#N/A,FALSE,"COST_FH"}</definedName>
    <definedName name="nnnn">{#N/A,#N/A,FALSE,"T COST";#N/A,#N/A,FALSE,"COST_FH"}</definedName>
    <definedName name="noidea" localSheetId="20">{#N/A,#N/A,FALSE,"Calc";#N/A,#N/A,FALSE,"Sensitivity";#N/A,#N/A,FALSE,"LT Earn.Dil.";#N/A,#N/A,FALSE,"Dil. AVP"}</definedName>
    <definedName name="noidea">{#N/A,#N/A,FALSE,"Calc";#N/A,#N/A,FALSE,"Sensitivity";#N/A,#N/A,FALSE,"LT Earn.Dil.";#N/A,#N/A,FALSE,"Dil. AVP"}</definedName>
    <definedName name="NON_CASH">"NON_CASH"</definedName>
    <definedName name="NON_INTEREST_EXP">"NON_INTEREST_EXP"</definedName>
    <definedName name="NON_INTEREST_INC">"NON_INTEREST_INC"</definedName>
    <definedName name="NORMAL_INC_AFTER">"NORMAL_INC_AFTER"</definedName>
    <definedName name="NORMAL_INC_AVAIL">"NORMAL_INC_AVAIL"</definedName>
    <definedName name="NORMAL_INC_BEFORE">"NORMAL_INC_BEFORE"</definedName>
    <definedName name="NOTES_PAY">"NOTES_PAY"</definedName>
    <definedName name="novo" localSheetId="20">{#N/A,#N/A,FALSE,"Aging Summary";#N/A,#N/A,FALSE,"Ratio Analysis";#N/A,#N/A,FALSE,"Test 120 Day Accts";#N/A,#N/A,FALSE,"Tickmarks"}</definedName>
    <definedName name="novo">{#N/A,#N/A,FALSE,"Aging Summary";#N/A,#N/A,FALSE,"Ratio Analysis";#N/A,#N/A,FALSE,"Test 120 Day Accts";#N/A,#N/A,FALSE,"Tickmarks"}</definedName>
    <definedName name="OCT" localSheetId="20">{#N/A,#N/A,FALSE,"Tabl. G1";#N/A,#N/A,FALSE,"Tabl. G2"}</definedName>
    <definedName name="OCT">{#N/A,#N/A,FALSE,"Tabl. G1";#N/A,#N/A,FALSE,"Tabl. G2"}</definedName>
    <definedName name="òflfgfppfpf" localSheetId="20">{"SPM1",#N/A,FALSE,"RIEP"}</definedName>
    <definedName name="òflfgfppfpf">{"SPM1",#N/A,FALSE,"RIEP"}</definedName>
    <definedName name="OIOIIUIUG" localSheetId="20">{"SPM1",#N/A,FALSE,"RIEP"}</definedName>
    <definedName name="OIOIIUIUG">{"SPM1",#N/A,FALSE,"RIEP"}</definedName>
    <definedName name="oiuy" localSheetId="20">{#N/A,#N/A,FALSE,"Baltimore";#N/A,#N/A,FALSE,"Barrington";#N/A,#N/A,FALSE,"Butler";#N/A,#N/A,FALSE,"Cleveland";#N/A,#N/A,FALSE,"Closter";#N/A,#N/A,FALSE,"Eaton";#N/A,#N/A,FALSE,"Meriden";#N/A,#N/A,FALSE,"Mt. Vernon";#N/A,#N/A,FALSE,"Rochester";#N/A,#N/A,FALSE,"Three Rivers";#N/A,#N/A,FALSE,"Warren"}</definedName>
    <definedName name="oiuy">{#N/A,#N/A,FALSE,"Baltimore";#N/A,#N/A,FALSE,"Barrington";#N/A,#N/A,FALSE,"Butler";#N/A,#N/A,FALSE,"Cleveland";#N/A,#N/A,FALSE,"Closter";#N/A,#N/A,FALSE,"Eaton";#N/A,#N/A,FALSE,"Meriden";#N/A,#N/A,FALSE,"Mt. Vernon";#N/A,#N/A,FALSE,"Rochester";#N/A,#N/A,FALSE,"Three Rivers";#N/A,#N/A,FALSE,"Warren"}</definedName>
    <definedName name="OO" localSheetId="20">{"TotalGeralDespesasPorArea",#N/A,FALSE,"VinculosAccessEfetivo"}</definedName>
    <definedName name="OO">{"TotalGeralDespesasPorArea",#N/A,FALSE,"VinculosAccessEfetivo"}</definedName>
    <definedName name="ooooo" localSheetId="20">{#N/A,#N/A,FALSE,"Calc";#N/A,#N/A,FALSE,"Sensitivity";#N/A,#N/A,FALSE,"LT Earn.Dil.";#N/A,#N/A,FALSE,"Dil. AVP"}</definedName>
    <definedName name="ooooo">{#N/A,#N/A,FALSE,"Calc";#N/A,#N/A,FALSE,"Sensitivity";#N/A,#N/A,FALSE,"LT Earn.Dil.";#N/A,#N/A,FALSE,"Dil. AVP"}</definedName>
    <definedName name="oooooo" localSheetId="20">{#N/A,#N/A,FALSE,"RIEP"}</definedName>
    <definedName name="oooooo">{#N/A,#N/A,FALSE,"RIEP"}</definedName>
    <definedName name="OPENPRICE">"OPENPRICE"</definedName>
    <definedName name="OPER_INC">"OPER_INC"</definedName>
    <definedName name="Operação" localSheetId="20">{#N/A,#N/A,FALSE,"ANEXO3 99 ERA";#N/A,#N/A,FALSE,"ANEXO3 99 UBÁ2";#N/A,#N/A,FALSE,"ANEXO3 99 DTU";#N/A,#N/A,FALSE,"ANEXO3 99 RDR";#N/A,#N/A,FALSE,"ANEXO3 99 UBÁ4";#N/A,#N/A,FALSE,"ANEXO3 99 UBÁ6"}</definedName>
    <definedName name="Operação">{#N/A,#N/A,FALSE,"ANEXO3 99 ERA";#N/A,#N/A,FALSE,"ANEXO3 99 UBÁ2";#N/A,#N/A,FALSE,"ANEXO3 99 DTU";#N/A,#N/A,FALSE,"ANEXO3 99 RDR";#N/A,#N/A,FALSE,"ANEXO3 99 UBÁ4";#N/A,#N/A,FALSE,"ANEXO3 99 UBÁ6"}</definedName>
    <definedName name="operção" localSheetId="20">{#N/A,#N/A,FALSE,"ANEXO3 99 ERA";#N/A,#N/A,FALSE,"ANEXO3 99 UBÁ2";#N/A,#N/A,FALSE,"ANEXO3 99 DTU";#N/A,#N/A,FALSE,"ANEXO3 99 RDR";#N/A,#N/A,FALSE,"ANEXO3 99 UBÁ4";#N/A,#N/A,FALSE,"ANEXO3 99 UBÁ6"}</definedName>
    <definedName name="operção">{#N/A,#N/A,FALSE,"ANEXO3 99 ERA";#N/A,#N/A,FALSE,"ANEXO3 99 UBÁ2";#N/A,#N/A,FALSE,"ANEXO3 99 DTU";#N/A,#N/A,FALSE,"ANEXO3 99 RDR";#N/A,#N/A,FALSE,"ANEXO3 99 UBÁ4";#N/A,#N/A,FALSE,"ANEXO3 99 UBÁ6"}</definedName>
    <definedName name="orlnew" localSheetId="20">{#N/A,#N/A,FALSE,"DEA Report";#N/A,#N/A,FALSE,"Veba Report";#N/A,#N/A,FALSE,"Wintershall Report";#N/A,#N/A,FALSE,"Fina Report"}</definedName>
    <definedName name="orlnew">{#N/A,#N/A,FALSE,"DEA Report";#N/A,#N/A,FALSE,"Veba Report";#N/A,#N/A,FALSE,"Wintershall Report";#N/A,#N/A,FALSE,"Fina Report"}</definedName>
    <definedName name="orlnew_1" localSheetId="20">{#N/A,#N/A,FALSE,"DEA Report";#N/A,#N/A,FALSE,"Veba Report";#N/A,#N/A,FALSE,"Wintershall Report";#N/A,#N/A,FALSE,"Fina Report"}</definedName>
    <definedName name="orlnew_1">{#N/A,#N/A,FALSE,"DEA Report";#N/A,#N/A,FALSE,"Veba Report";#N/A,#N/A,FALSE,"Wintershall Report";#N/A,#N/A,FALSE,"Fina Report"}</definedName>
    <definedName name="OTHER_ASSETS">"OTHER_ASSETS"</definedName>
    <definedName name="OTHER_CURRENT_ASSETS">"OTHER_CURRENT_ASSETS"</definedName>
    <definedName name="OTHER_CURRENT_LIAB">"OTHER_CURRENT_LIAB"</definedName>
    <definedName name="OTHER_EARNING">"OTHER_EARNING"</definedName>
    <definedName name="OTHER_EQUITY">"OTHER_EQUITY"</definedName>
    <definedName name="OTHER_INVESTING">"OTHER_INVESTING"</definedName>
    <definedName name="OTHER_LIAB">"OTHER_LIAB"</definedName>
    <definedName name="OTHER_LONG_TERM">"OTHER_LONG_TERM"</definedName>
    <definedName name="OTHER_NET">"OTHER_NET"</definedName>
    <definedName name="OTHER_OPER">"OTHER_OPER"</definedName>
    <definedName name="OTHER_RECEIV">"OTHER_RECEIV"</definedName>
    <definedName name="OTHER_REVENUE">"OTHER_REVENUE"</definedName>
    <definedName name="Output">#REF!</definedName>
    <definedName name="Output4">#REF!</definedName>
    <definedName name="P?HG" localSheetId="20">{#N/A,#N/A,FALSE,"Tabl. D1";#N/A,#N/A,FALSE,"Tabl. D1 b";#N/A,#N/A,FALSE,"Tabl. D2";#N/A,#N/A,FALSE,"Tabl. D2 b";#N/A,#N/A,FALSE,"Tabl. D3";#N/A,#N/A,FALSE,"Tabl. D4";#N/A,#N/A,FALSE,"Tabl. D5"}</definedName>
    <definedName name="P?HG">{#N/A,#N/A,FALSE,"Tabl. D1";#N/A,#N/A,FALSE,"Tabl. D1 b";#N/A,#N/A,FALSE,"Tabl. D2";#N/A,#N/A,FALSE,"Tabl. D2 b";#N/A,#N/A,FALSE,"Tabl. D3";#N/A,#N/A,FALSE,"Tabl. D4";#N/A,#N/A,FALSE,"Tabl. D5"}</definedName>
    <definedName name="pait" localSheetId="20">{"'pg(12)'!$B$1:$N$16"}</definedName>
    <definedName name="pait">{"'pg(12)'!$B$1:$N$16"}</definedName>
    <definedName name="Passages" localSheetId="20">{#N/A,#N/A,FALSE,"Tabl. A1";#N/A,#N/A,FALSE,"Tabl. A1 b";#N/A,#N/A,FALSE,"Tabl. A2";#N/A,#N/A,FALSE,"Tabl. A2-1";#N/A,#N/A,FALSE,"Tabl. A2-2"}</definedName>
    <definedName name="Passages">{#N/A,#N/A,FALSE,"Tabl. A1";#N/A,#N/A,FALSE,"Tabl. A1 b";#N/A,#N/A,FALSE,"Tabl. A2";#N/A,#N/A,FALSE,"Tabl. A2-1";#N/A,#N/A,FALSE,"Tabl. A2-2"}</definedName>
    <definedName name="passo" localSheetId="20">{#N/A,#N/A,FALSE,"Aging Summary";#N/A,#N/A,FALSE,"Ratio Analysis";#N/A,#N/A,FALSE,"Test 120 Day Accts";#N/A,#N/A,FALSE,"Tickmarks"}</definedName>
    <definedName name="passo">{#N/A,#N/A,FALSE,"Aging Summary";#N/A,#N/A,FALSE,"Ratio Analysis";#N/A,#N/A,FALSE,"Test 120 Day Accts";#N/A,#N/A,FALSE,"Tickmarks"}</definedName>
    <definedName name="pat" localSheetId="20">{#N/A,#N/A,FALSE,"HIGHNEW";#N/A,#N/A,FALSE,"HIGHOLD";#N/A,#N/A,FALSE,"MTHDET";#N/A,#N/A,FALSE,"ACTDET"}</definedName>
    <definedName name="pat">{#N/A,#N/A,FALSE,"HIGHNEW";#N/A,#N/A,FALSE,"HIGHOLD";#N/A,#N/A,FALSE,"MTHDET";#N/A,#N/A,FALSE,"ACTDET"}</definedName>
    <definedName name="PAY_ACCRUED">"PAY_ACCRUED"</definedName>
    <definedName name="PedasBT" localSheetId="20">{#N/A,#N/A,FALSE,"ANEXO3 99 ERA";#N/A,#N/A,FALSE,"ANEXO3 99 UBÁ2";#N/A,#N/A,FALSE,"ANEXO3 99 DTU";#N/A,#N/A,FALSE,"ANEXO3 99 RDR";#N/A,#N/A,FALSE,"ANEXO3 99 UBÁ4";#N/A,#N/A,FALSE,"ANEXO3 99 UBÁ6"}</definedName>
    <definedName name="PedasBT">{#N/A,#N/A,FALSE,"ANEXO3 99 ERA";#N/A,#N/A,FALSE,"ANEXO3 99 UBÁ2";#N/A,#N/A,FALSE,"ANEXO3 99 DTU";#N/A,#N/A,FALSE,"ANEXO3 99 RDR";#N/A,#N/A,FALSE,"ANEXO3 99 UBÁ4";#N/A,#N/A,FALSE,"ANEXO3 99 UBÁ6"}</definedName>
    <definedName name="PEDRO" localSheetId="20">{#N/A,#N/A,FALSE,"CONTROLE"}</definedName>
    <definedName name="PEDRO">{#N/A,#N/A,FALSE,"CONTROLE"}</definedName>
    <definedName name="pèippo" localSheetId="20">{"CECons",#N/A,FALSE,"CE"}</definedName>
    <definedName name="pèippo">{"CECons",#N/A,FALSE,"CE"}</definedName>
    <definedName name="Perenco" localSheetId="20">{#N/A,#N/A,FALSE,"DEA Report";#N/A,#N/A,FALSE,"Veba Report";#N/A,#N/A,FALSE,"Wintershall Report";#N/A,#N/A,FALSE,"Fina Report"}</definedName>
    <definedName name="Perenco">{#N/A,#N/A,FALSE,"DEA Report";#N/A,#N/A,FALSE,"Veba Report";#N/A,#N/A,FALSE,"Wintershall Report";#N/A,#N/A,FALSE,"Fina Report"}</definedName>
    <definedName name="Perenco_1" localSheetId="20">{#N/A,#N/A,FALSE,"DEA Report";#N/A,#N/A,FALSE,"Veba Report";#N/A,#N/A,FALSE,"Wintershall Report";#N/A,#N/A,FALSE,"Fina Report"}</definedName>
    <definedName name="Perenco_1">{#N/A,#N/A,FALSE,"DEA Report";#N/A,#N/A,FALSE,"Veba Report";#N/A,#N/A,FALSE,"Wintershall Report";#N/A,#N/A,FALSE,"Fina Report"}</definedName>
    <definedName name="PERIODDATE">"PERIODDATE"</definedName>
    <definedName name="pessoalporempresa">#N/A</definedName>
    <definedName name="pig_dig5" localSheetId="20">{#N/A,#N/A,FALSE,"T COST";#N/A,#N/A,FALSE,"COST_FH"}</definedName>
    <definedName name="pig_dig5">{#N/A,#N/A,FALSE,"T COST";#N/A,#N/A,FALSE,"COST_FH"}</definedName>
    <definedName name="pig_dog" localSheetId="20">{2;#N/A;"R13C16:R17C16";#N/A;"R13C14:R17C15";FALSE;FALSE;FALSE;95;#N/A;#N/A;"R13C19";#N/A;FALSE;FALSE;FALSE;FALSE;#N/A;"";#N/A;FALSE;"";"";#N/A;#N/A;#N/A}</definedName>
    <definedName name="pig_dog">{2;#N/A;"R13C16:R17C16";#N/A;"R13C14:R17C15";FALSE;FALSE;FALSE;95;#N/A;#N/A;"R13C19";#N/A;FALSE;FALSE;FALSE;FALSE;#N/A;"";#N/A;FALSE;"";"";#N/A;#N/A;#N/A}</definedName>
    <definedName name="pig_dog\" localSheetId="20">{"EXCELHLP.HLP!1802";5;10;5;10;13;13;13;8;5;5;10;14;13;13;13;13;5;10;14;13;5;10;1;2;24}</definedName>
    <definedName name="pig_dog\">{"EXCELHLP.HLP!1802";5;10;5;10;13;13;13;8;5;5;10;14;13;13;13;13;5;10;14;13;5;10;1;2;24}</definedName>
    <definedName name="pig_dog2" localSheetId="20">{#N/A,#N/A,FALSE,"Results";#N/A,#N/A,FALSE,"Input Data";#N/A,#N/A,FALSE,"Generation Calculation";#N/A,#N/A,FALSE,"Unit Heat Rate Calculation";#N/A,#N/A,FALSE,"Final FWH Extraction Flow";#N/A,#N/A,FALSE,"BEFF.XLS";#N/A,#N/A,FALSE,"TURBEFF.XLS";#N/A,#N/A,FALSE,"Condenser Performance";#N/A,#N/A,FALSE,"Stage Pressure Correction";#N/A,#N/A,FALSE,"Electrical Loss Correction";#N/A,#N/A,FALSE,"Throttle P &amp; T Correction";#N/A,#N/A,FALSE,"Final FWH TTD Correction";#N/A,#N/A,FALSE,"Reheat T &amp; dP Correction";#N/A,#N/A,FALSE,"Auxiliary Steam &amp; Extr Corr";#N/A,#N/A,FALSE,"SHS &amp; RHS Correction";#N/A,#N/A,FALSE,"Change Log"}</definedName>
    <definedName name="pig_dog2">{#N/A,#N/A,FALSE,"Results";#N/A,#N/A,FALSE,"Input Data";#N/A,#N/A,FALSE,"Generation Calculation";#N/A,#N/A,FALSE,"Unit Heat Rate Calculation";#N/A,#N/A,FALSE,"Final FWH Extraction Flow";#N/A,#N/A,FALSE,"BEFF.XLS";#N/A,#N/A,FALSE,"TURBEFF.XLS";#N/A,#N/A,FALSE,"Condenser Performance";#N/A,#N/A,FALSE,"Stage Pressure Correction";#N/A,#N/A,FALSE,"Electrical Loss Correction";#N/A,#N/A,FALSE,"Throttle P &amp; T Correction";#N/A,#N/A,FALSE,"Final FWH TTD Correction";#N/A,#N/A,FALSE,"Reheat T &amp; dP Correction";#N/A,#N/A,FALSE,"Auxiliary Steam &amp; Extr Corr";#N/A,#N/A,FALSE,"SHS &amp; RHS Correction";#N/A,#N/A,FALSE,"Change Log"}</definedName>
    <definedName name="pig_dog3" localSheetId="20">{#N/A,#N/A,FALSE,"Results";#N/A,#N/A,FALSE,"Input Data";#N/A,#N/A,FALSE,"Generation Calculation";#N/A,#N/A,FALSE,"Unit Heat Rate Calculation";#N/A,#N/A,FALSE,"BEFF.XLS";#N/A,#N/A,FALSE,"TURBEFF.XLS";#N/A,#N/A,FALSE,"Final FWH Extraction Flow";#N/A,#N/A,FALSE,"Condenser Performance";#N/A,#N/A,FALSE,"Stage Pressure Correction"}</definedName>
    <definedName name="pig_dog3">{#N/A,#N/A,FALSE,"Results";#N/A,#N/A,FALSE,"Input Data";#N/A,#N/A,FALSE,"Generation Calculation";#N/A,#N/A,FALSE,"Unit Heat Rate Calculation";#N/A,#N/A,FALSE,"BEFF.XLS";#N/A,#N/A,FALSE,"TURBEFF.XLS";#N/A,#N/A,FALSE,"Final FWH Extraction Flow";#N/A,#N/A,FALSE,"Condenser Performance";#N/A,#N/A,FALSE,"Stage Pressure Correction"}</definedName>
    <definedName name="pig_dog4" localSheetId="20">{#N/A,#N/A,FALSE,"SUMMARY";#N/A,#N/A,FALSE,"INPUTDATA";#N/A,#N/A,FALSE,"Condenser Performance"}</definedName>
    <definedName name="pig_dog4">{#N/A,#N/A,FALSE,"SUMMARY";#N/A,#N/A,FALSE,"INPUTDATA";#N/A,#N/A,FALSE,"Condenser Performance"}</definedName>
    <definedName name="pig_dog6" localSheetId="20">{#N/A,#N/A,FALSE,"INPUTDATA";#N/A,#N/A,FALSE,"SUMMARY";#N/A,#N/A,FALSE,"CTAREP";#N/A,#N/A,FALSE,"CTBREP";#N/A,#N/A,FALSE,"TURBEFF";#N/A,#N/A,FALSE,"Condenser Performance"}</definedName>
    <definedName name="pig_dog6">{#N/A,#N/A,FALSE,"INPUTDATA";#N/A,#N/A,FALSE,"SUMMARY";#N/A,#N/A,FALSE,"CTAREP";#N/A,#N/A,FALSE,"CTBREP";#N/A,#N/A,FALSE,"TURBEFF";#N/A,#N/A,FALSE,"Condenser Performance"}</definedName>
    <definedName name="pig_dog7" localSheetId="20">{#N/A,#N/A,FALSE,"INPUTDATA";#N/A,#N/A,FALSE,"SUMMARY"}</definedName>
    <definedName name="pig_dog7">{#N/A,#N/A,FALSE,"INPUTDATA";#N/A,#N/A,FALSE,"SUMMARY"}</definedName>
    <definedName name="pig_dog8" localSheetId="20">{#N/A,#N/A,FALSE,"INPUTDATA";#N/A,#N/A,FALSE,"SUMMARY";#N/A,#N/A,FALSE,"CTAREP";#N/A,#N/A,FALSE,"CTBREP";#N/A,#N/A,FALSE,"PMG4ST86";#N/A,#N/A,FALSE,"TURBEFF";#N/A,#N/A,FALSE,"Condenser Performance"}</definedName>
    <definedName name="pig_dog8">{#N/A,#N/A,FALSE,"INPUTDATA";#N/A,#N/A,FALSE,"SUMMARY";#N/A,#N/A,FALSE,"CTAREP";#N/A,#N/A,FALSE,"CTBREP";#N/A,#N/A,FALSE,"PMG4ST86";#N/A,#N/A,FALSE,"TURBEFF";#N/A,#N/A,FALSE,"Condenser Performance"}</definedName>
    <definedName name="pin" localSheetId="20">{"CONS_RAFF2",#N/A,FALSE,"CONS.RAFF2"}</definedName>
    <definedName name="pin">{"CONS_RAFF2",#N/A,FALSE,"CONS.RAFF2"}</definedName>
    <definedName name="Piratininga" localSheetId="20">{#N/A,#N/A,FALSE,"CONTROLE"}</definedName>
    <definedName name="Piratininga">{#N/A,#N/A,FALSE,"CONTROLE"}</definedName>
    <definedName name="PIRATININGAV2" localSheetId="20">{#N/A,#N/A,FALSE,"CONTROLE"}</definedName>
    <definedName name="PIRATININGAV2">{#N/A,#N/A,FALSE,"CONTROLE"}</definedName>
    <definedName name="pl"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pl">{#N/A,#N/A,TRUE,"Récap.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planejamento" localSheetId="20">{#N/A,#N/A,FALSE,"ANEXO3 99 ERA";#N/A,#N/A,FALSE,"ANEXO3 99 UBÁ2";#N/A,#N/A,FALSE,"ANEXO3 99 DTU";#N/A,#N/A,FALSE,"ANEXO3 99 RDR";#N/A,#N/A,FALSE,"ANEXO3 99 UBÁ4";#N/A,#N/A,FALSE,"ANEXO3 99 UBÁ6"}</definedName>
    <definedName name="planejamento">{#N/A,#N/A,FALSE,"ANEXO3 99 ERA";#N/A,#N/A,FALSE,"ANEXO3 99 UBÁ2";#N/A,#N/A,FALSE,"ANEXO3 99 DTU";#N/A,#N/A,FALSE,"ANEXO3 99 RDR";#N/A,#N/A,FALSE,"ANEXO3 99 UBÁ4";#N/A,#N/A,FALSE,"ANEXO3 99 UBÁ6"}</definedName>
    <definedName name="pluto" localSheetId="20">{"SPM1",#N/A,FALSE,"RIEP"}</definedName>
    <definedName name="pluto">{"SPM1",#N/A,FALSE,"RIEP"}</definedName>
    <definedName name="PO" localSheetId="20">{"QQQ",#N/A,FALSE,"RIEP"}</definedName>
    <definedName name="PO">{"QQQ",#N/A,FALSE,"RIEP"}</definedName>
    <definedName name="poi">#N/A</definedName>
    <definedName name="POK?ZEFIFVXVW" localSheetId="20">{#N/A,#N/A,FALSE,"Tabl. H1";#N/A,#N/A,FALSE,"Tabl. H2"}</definedName>
    <definedName name="POK?ZEFIFVXVW">{#N/A,#N/A,FALSE,"Tabl. H1";#N/A,#N/A,FALSE,"Tabl. H2"}</definedName>
    <definedName name="pooh" localSheetId="20">{"PAGE1",#N/A,FALSE,"YIELDS";"PAGE2",#N/A,FALSE,"YIELDS";"PAGE3",#N/A,FALSE,"YIELDS"}</definedName>
    <definedName name="pooh">{"PAGE1",#N/A,FALSE,"YIELDS";"PAGE2",#N/A,FALSE,"YIELDS";"PAGE3",#N/A,FALSE,"YIELDS"}</definedName>
    <definedName name="pp" localSheetId="20">{#N/A,#N/A,FALSE,"ENERGIA";#N/A,#N/A,FALSE,"PERDIDAS";#N/A,#N/A,FALSE,"CLIENTES";#N/A,#N/A,FALSE,"ESTADO";#N/A,#N/A,FALSE,"TECNICA"}</definedName>
    <definedName name="pp">{#N/A,#N/A,FALSE,"ENERGIA";#N/A,#N/A,FALSE,"PERDIDAS";#N/A,#N/A,FALSE,"CLIENTES";#N/A,#N/A,FALSE,"ESTADO";#N/A,#N/A,FALSE,"TECNICA"}</definedName>
    <definedName name="pp_1" localSheetId="20">{#N/A,#N/A,FALSE,"ENERGIA";#N/A,#N/A,FALSE,"PERDIDAS";#N/A,#N/A,FALSE,"CLIENTES";#N/A,#N/A,FALSE,"ESTADO";#N/A,#N/A,FALSE,"TECNICA"}</definedName>
    <definedName name="pp_1">{#N/A,#N/A,FALSE,"ENERGIA";#N/A,#N/A,FALSE,"PERDIDAS";#N/A,#N/A,FALSE,"CLIENTES";#N/A,#N/A,FALSE,"ESTADO";#N/A,#N/A,FALSE,"TECNICA"}</definedName>
    <definedName name="ppp" localSheetId="20">{"QQQ",#N/A,FALSE,"RIEP"}</definedName>
    <definedName name="ppp">{"QQQ",#N/A,FALSE,"RIEP"}</definedName>
    <definedName name="ppppp" localSheetId="20">{"CECons",#N/A,FALSE,"CE"}</definedName>
    <definedName name="ppppp">{"CECons",#N/A,FALSE,"CE"}</definedName>
    <definedName name="pqr" localSheetId="20">{#N/A,#N/A,FALSE,"Tabl. A1";#N/A,#N/A,FALSE,"Tabl. A1 b";#N/A,#N/A,FALSE,"Tabl. A2";#N/A,#N/A,FALSE,"Tabl. A2-1";#N/A,#N/A,FALSE,"Tabl. A2-2"}</definedName>
    <definedName name="pqr">{#N/A,#N/A,FALSE,"Tabl. A1";#N/A,#N/A,FALSE,"Tabl. A1 b";#N/A,#N/A,FALSE,"Tabl. A2";#N/A,#N/A,FALSE,"Tabl. A2-1";#N/A,#N/A,FALSE,"Tabl. A2-2"}</definedName>
    <definedName name="PR00BG01" localSheetId="20">{#N/A,#N/A,FALSE,"Tabl. D1";#N/A,#N/A,FALSE,"Tabl. D1 b";#N/A,#N/A,FALSE,"Tabl. D2";#N/A,#N/A,FALSE,"Tabl. D2 b";#N/A,#N/A,FALSE,"Tabl. D3";#N/A,#N/A,FALSE,"Tabl. D4";#N/A,#N/A,FALSE,"Tabl. D5"}</definedName>
    <definedName name="PR00BG01">{#N/A,#N/A,FALSE,"Tabl. D1";#N/A,#N/A,FALSE,"Tabl. D1 b";#N/A,#N/A,FALSE,"Tabl. D2";#N/A,#N/A,FALSE,"Tabl. D2 b";#N/A,#N/A,FALSE,"Tabl. D3";#N/A,#N/A,FALSE,"Tabl. D4";#N/A,#N/A,FALSE,"Tabl. D5"}</definedName>
    <definedName name="precios" localSheetId="20">{"'Hoja1'!$A$1:$N$27"}</definedName>
    <definedName name="precios">{"'Hoja1'!$A$1:$N$27"}</definedName>
    <definedName name="precoisbol" localSheetId="20">{"'Hoja1'!$A$1:$N$27"}</definedName>
    <definedName name="precoisbol">{"'Hoja1'!$A$1:$N$27"}</definedName>
    <definedName name="PREF_DIVID">"PREF_DIVID"</definedName>
    <definedName name="PREF_STOCK">"PREF_STOCK"</definedName>
    <definedName name="PREPAID_EXPEN">"PREPAID_EXPEN"</definedName>
    <definedName name="Presentation" localSheetId="20">{"rawdata",#N/A,TRUE,"HKT";"in",#N/A,TRUE,"HKT";"rawdata",#N/A,TRUE,"PTInd";"in",#N/A,TRUE,"PTInd";"rawdata",#N/A,TRUE,"NTT";"in",#N/A,TRUE,"NTT";"rawdata",#N/A,TRUE,"PLD";"in",#N/A,TRUE,"PLD";"rawdata",#N/A,TRUE,"PTTelk";"in",#N/A,TRUE,"PTTelk";"rawdata",#N/A,TRUE,"ST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sentation">{"rawdata",#N/A,TRUE,"HKT";"in",#N/A,TRUE,"HKT";"rawdata",#N/A,TRUE,"PTInd";"in",#N/A,TRUE,"PTInd";"rawdata",#N/A,TRUE,"NTT";"in",#N/A,TRUE,"NTT";"rawdata",#N/A,TRUE,"PLD";"in",#N/A,TRUE,"PLD";"rawdata",#N/A,TRUE,"PTTelk";"in",#N/A,TRUE,"PTTelk";"rawdata",#N/A,TRUE,"ST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TAX_INC">"PRETAX_INC"</definedName>
    <definedName name="PRETAX_INC_10K">"PRETAX_INC_10K"</definedName>
    <definedName name="PRETAX_INC_10Q">"PRETAX_INC_10Q"</definedName>
    <definedName name="PRETAX_INC_10Q1">"PRETAX_INC_10Q1"</definedName>
    <definedName name="PRICE_OVER_EPS_EST">"PRICE_OVER_EPS_EST"</definedName>
    <definedName name="PRICE_OVER_EPS_EST_1">"PRICE_OVER_EPS_EST_1"</definedName>
    <definedName name="PRICE_OVER_LTM_EPS">"PRICE_OVER_LTM_EPS"</definedName>
    <definedName name="principal">#REF!</definedName>
    <definedName name="print99" localSheetId="20">{#N/A,#N/A,FALSE,"Resid CPRIV";#N/A,#N/A,FALSE,"Comer_CPRIVKsum";#N/A,#N/A,FALSE,"General (2)";#N/A,#N/A,FALSE,"Oficial";#N/A,#N/A,FALSE,"Resumen";#N/A,#N/A,FALSE,"Escenarios"}</definedName>
    <definedName name="print99">{#N/A,#N/A,FALSE,"Resid CPRIV";#N/A,#N/A,FALSE,"Comer_CPRIVKsum";#N/A,#N/A,FALSE,"General (2)";#N/A,#N/A,FALSE,"Oficial";#N/A,#N/A,FALSE,"Resumen";#N/A,#N/A,FALSE,"Escenarios"}</definedName>
    <definedName name="PRO_FORMA_BASIC_EPS">"PRO_FORMA_BASIC_EPS"</definedName>
    <definedName name="PRO_FORMA_DILUT_EPS">"PRO_FORMA_DILUT_EPS"</definedName>
    <definedName name="PRO_FORMA_NET_INC">"PRO_FORMA_NET_INC"</definedName>
    <definedName name="PROPERTY_GROSS">"PROPERTY_GROSS"</definedName>
    <definedName name="PROPERTY_NET">"PROPERTY_NET"</definedName>
    <definedName name="PZO" localSheetId="20">{#N/A,#N/A,FALSE,"Tabl. D1";#N/A,#N/A,FALSE,"Tabl. D1 b";#N/A,#N/A,FALSE,"Tabl. D2";#N/A,#N/A,FALSE,"Tabl. D2 b";#N/A,#N/A,FALSE,"Tabl. D3";#N/A,#N/A,FALSE,"Tabl. D4";#N/A,#N/A,FALSE,"Tabl. D5"}</definedName>
    <definedName name="PZO">{#N/A,#N/A,FALSE,"Tabl. D1";#N/A,#N/A,FALSE,"Tabl. D1 b";#N/A,#N/A,FALSE,"Tabl. D2";#N/A,#N/A,FALSE,"Tabl. D2 b";#N/A,#N/A,FALSE,"Tabl. D3";#N/A,#N/A,FALSE,"Tabl. D4";#N/A,#N/A,FALSE,"Tabl. D5"}</definedName>
    <definedName name="q">#REF!</definedName>
    <definedName name="qdfwwwwwwwwwwwwwwwwwwwwwwwwwwwwwwwweqrg" localSheetId="20">{"'pg(12)'!$B$1:$N$16"}</definedName>
    <definedName name="qdfwwwwwwwwwwwwwwwwwwwwwwwwwwwwwwwweqrg">{"'pg(12)'!$B$1:$N$16"}</definedName>
    <definedName name="qq" localSheetId="20">{#N/A,#N/A,FALSE,"ANEXO3 99 ERA";#N/A,#N/A,FALSE,"ANEXO3 99 UBÁ2";#N/A,#N/A,FALSE,"ANEXO3 99 DTU";#N/A,#N/A,FALSE,"ANEXO3 99 RDR";#N/A,#N/A,FALSE,"ANEXO3 99 UBÁ4";#N/A,#N/A,FALSE,"ANEXO3 99 UBÁ6"}</definedName>
    <definedName name="qq">{#N/A,#N/A,FALSE,"ANEXO3 99 ERA";#N/A,#N/A,FALSE,"ANEXO3 99 UBÁ2";#N/A,#N/A,FALSE,"ANEXO3 99 DTU";#N/A,#N/A,FALSE,"ANEXO3 99 RDR";#N/A,#N/A,FALSE,"ANEXO3 99 UBÁ4";#N/A,#N/A,FALSE,"ANEXO3 99 UBÁ6"}</definedName>
    <definedName name="qq_1" localSheetId="20">{#N/A,#N/A,FALSE,"CONTROLE"}</definedName>
    <definedName name="qq_1">{#N/A,#N/A,FALSE,"CONTROLE"}</definedName>
    <definedName name="qqq" localSheetId="20">{#N/A,#N/A,FALSE,"CONTROLE"}</definedName>
    <definedName name="qqq">{#N/A,#N/A,FALSE,"CONTROLE"}</definedName>
    <definedName name="qqqq" localSheetId="20">{#N/A,#N/A,FALSE,"CONTROLE"}</definedName>
    <definedName name="qqqq">{#N/A,#N/A,FALSE,"CONTROLE"}</definedName>
    <definedName name="qqqqqq" localSheetId="20">{#N/A,#N/A,FALSE,"CONTROLE";#N/A,#N/A,FALSE,"CONTROLE"}</definedName>
    <definedName name="qqqqqq">{#N/A,#N/A,FALSE,"CONTROLE";#N/A,#N/A,FALSE,"CONTROLE"}</definedName>
    <definedName name="qqqqqqqqqqqqq" localSheetId="20">{#N/A,#N/A,FALSE,"CONTROLE"}</definedName>
    <definedName name="qqqqqqqqqqqqq">{#N/A,#N/A,FALSE,"CONTROLE"}</definedName>
    <definedName name="QUICK_RATIO">"QUICK_RATIO"</definedName>
    <definedName name="qwer" localSheetId="20">{#N/A,#N/A,FALSE,"Baltimore";#N/A,#N/A,FALSE,"Barrington";#N/A,#N/A,FALSE,"Butler";#N/A,#N/A,FALSE,"Cleveland";#N/A,#N/A,FALSE,"Closter";#N/A,#N/A,FALSE,"Eaton";#N/A,#N/A,FALSE,"Meriden";#N/A,#N/A,FALSE,"Mt. Vernon";#N/A,#N/A,FALSE,"Rochester";#N/A,#N/A,FALSE,"Three Rivers";#N/A,#N/A,FALSE,"Warren"}</definedName>
    <definedName name="qwer">{#N/A,#N/A,FALSE,"Baltimore";#N/A,#N/A,FALSE,"Barrington";#N/A,#N/A,FALSE,"Butler";#N/A,#N/A,FALSE,"Cleveland";#N/A,#N/A,FALSE,"Closter";#N/A,#N/A,FALSE,"Eaton";#N/A,#N/A,FALSE,"Meriden";#N/A,#N/A,FALSE,"Mt. Vernon";#N/A,#N/A,FALSE,"Rochester";#N/A,#N/A,FALSE,"Three Rivers";#N/A,#N/A,FALSE,"Warren"}</definedName>
    <definedName name="QXC" localSheetId="20">{#N/A,#N/A,FALSE,"Tabl. H1";#N/A,#N/A,FALSE,"Tabl. H2"}</definedName>
    <definedName name="QXC">{#N/A,#N/A,FALSE,"Tabl. H1";#N/A,#N/A,FALSE,"Tabl. H2"}</definedName>
    <definedName name="RangeChange">#N/A</definedName>
    <definedName name="RBG" localSheetId="20">{#N/A,#N/A,FALSE,"Tabl. D1";#N/A,#N/A,FALSE,"Tabl. D1 b";#N/A,#N/A,FALSE,"Tabl. D2";#N/A,#N/A,FALSE,"Tabl. D2 b";#N/A,#N/A,FALSE,"Tabl. D3";#N/A,#N/A,FALSE,"Tabl. D4";#N/A,#N/A,FALSE,"Tabl. D5"}</definedName>
    <definedName name="RBG">{#N/A,#N/A,FALSE,"Tabl. D1";#N/A,#N/A,FALSE,"Tabl. D1 b";#N/A,#N/A,FALSE,"Tabl. D2";#N/A,#N/A,FALSE,"Tabl. D2 b";#N/A,#N/A,FALSE,"Tabl. D3";#N/A,#N/A,FALSE,"Tabl. D4";#N/A,#N/A,FALSE,"Tabl. D5"}</definedName>
    <definedName name="RBTESTE" localSheetId="20">{#N/A,#N/A,FALSE,"ENERGIA";#N/A,#N/A,FALSE,"PERDIDAS";#N/A,#N/A,FALSE,"CLIENTES";#N/A,#N/A,FALSE,"ESTADO";#N/A,#N/A,FALSE,"TECNICA"}</definedName>
    <definedName name="RBTESTE">{#N/A,#N/A,FALSE,"ENERGIA";#N/A,#N/A,FALSE,"PERDIDAS";#N/A,#N/A,FALSE,"CLIENTES";#N/A,#N/A,FALSE,"ESTADO";#N/A,#N/A,FALSE,"TECNICA"}</definedName>
    <definedName name="REDEEM_PREF_STOCK">"REDEEM_PREF_STOCK"</definedName>
    <definedName name="reduzido" localSheetId="20">{#N/A,#N/A,FALSE,"CONTROLE"}</definedName>
    <definedName name="reduzido">{#N/A,#N/A,FALSE,"CONTROLE"}</definedName>
    <definedName name="REF" localSheetId="20">{#N/A,#N/A,FALSE,"Tabl. A1";#N/A,#N/A,FALSE,"Tabl. A1 b";#N/A,#N/A,FALSE,"Tabl. A2";#N/A,#N/A,FALSE,"Tabl. A2-1";#N/A,#N/A,FALSE,"Tabl. A2-2"}</definedName>
    <definedName name="REF">{#N/A,#N/A,FALSE,"Tabl. A1";#N/A,#N/A,FALSE,"Tabl. A1 b";#N/A,#N/A,FALSE,"Tabl. A2";#N/A,#N/A,FALSE,"Tabl. A2-1";#N/A,#N/A,FALSE,"Tabl. A2-2"}</definedName>
    <definedName name="Reforços_E_Melhorias">_Config!$R$16:$R$20</definedName>
    <definedName name="Relat" localSheetId="20">{#N/A,#N/A,FALSE,"CONTROLE";#N/A,#N/A,FALSE,"CONTROLE"}</definedName>
    <definedName name="Relat">{#N/A,#N/A,FALSE,"CONTROLE";#N/A,#N/A,FALSE,"CONTROLE"}</definedName>
    <definedName name="Renato" localSheetId="20">{#N/A,#N/A,FALSE,"CONTROLE"}</definedName>
    <definedName name="Renato">{#N/A,#N/A,FALSE,"CONTROLE"}</definedName>
    <definedName name="report99" localSheetId="20">{"Rep 1",#N/A,FALSE,"Reports";"Rep 2",#N/A,FALSE,"Reports";"Rep 3",#N/A,FALSE,"Reports";"Rep 4",#N/A,FALSE,"Reports"}</definedName>
    <definedName name="report99">{"Rep 1",#N/A,FALSE,"Reports";"Rep 2",#N/A,FALSE,"Reports";"Rep 3",#N/A,FALSE,"Reports";"Rep 4",#N/A,FALSE,"Reports"}</definedName>
    <definedName name="reporting" localSheetId="20">{#N/A,#N/A,FALSE,"Tabl. FB300";#N/A,#N/A,FALSE,"Tabl. FB350";#N/A,#N/A,FALSE,"Tabl. FB400";#N/A,#N/A,FALSE,"Tabl. FB500";#N/A,#N/A,FALSE,"Tabl. FS090"}</definedName>
    <definedName name="reporting">{#N/A,#N/A,FALSE,"Tabl. FB300";#N/A,#N/A,FALSE,"Tabl. FB350";#N/A,#N/A,FALSE,"Tabl. FB400";#N/A,#N/A,FALSE,"Tabl. FB500";#N/A,#N/A,FALSE,"Tabl. FS090"}</definedName>
    <definedName name="res" localSheetId="20">{#N/A,#N/A,FALSE,"Tabl. FB300";#N/A,#N/A,FALSE,"Tabl. FB350";#N/A,#N/A,FALSE,"Tabl. FB400";#N/A,#N/A,FALSE,"Tabl. FB500";#N/A,#N/A,FALSE,"Tabl. FS090"}</definedName>
    <definedName name="res">{#N/A,#N/A,FALSE,"Tabl. FB300";#N/A,#N/A,FALSE,"Tabl. FB350";#N/A,#N/A,FALSE,"Tabl. FB400";#N/A,#N/A,FALSE,"Tabl. FB500";#N/A,#N/A,FALSE,"Tabl. FS090"}</definedName>
    <definedName name="RESEARCH_DEV">"RESEARCH_DEV"</definedName>
    <definedName name="result" localSheetId="20">{#N/A,#N/A,FALSE,"Tabl. G1";#N/A,#N/A,FALSE,"Tabl. G2"}</definedName>
    <definedName name="result">{#N/A,#N/A,FALSE,"Tabl. G1";#N/A,#N/A,FALSE,"Tabl. G2"}</definedName>
    <definedName name="RESUMO3" localSheetId="20">{#N/A,#N/A,FALSE,"CONTROLE"}</definedName>
    <definedName name="RESUMO3">{#N/A,#N/A,FALSE,"CONTROLE"}</definedName>
    <definedName name="RETAINED_EARN">"RETAINED_EARN"</definedName>
    <definedName name="RETURN_ASSETS">"RETURN_ASSETS"</definedName>
    <definedName name="RETURN_EQUITY">"RETURN_EQUITY"</definedName>
    <definedName name="RETURN_INVESTMENT">"RETURN_INVESTMENT"</definedName>
    <definedName name="REVENUE">"REVENUE"</definedName>
    <definedName name="REVENUE_10K">"REVENUE_10K"</definedName>
    <definedName name="REVENUE_10Q">"REVENUE_10Q"</definedName>
    <definedName name="REVENUE_10Q1">"REVENUE_10Q1"</definedName>
    <definedName name="REVENUE_EST">"REVENUE_EST"</definedName>
    <definedName name="REVENUE_EST_1">"REVENUE_EST_1"</definedName>
    <definedName name="REVENUE_GROWTH_1">"REVENUE_GROWTH_1"</definedName>
    <definedName name="REVENUE_GROWTH_2">"REVENUE_GROWTH_2"</definedName>
    <definedName name="rgeg">#REF!</definedName>
    <definedName name="rgewg" localSheetId="20">{"BUTENE1_PR",#N/A,FALSE,"CONS.RAFF2"}</definedName>
    <definedName name="rgewg">{"BUTENE1_PR",#N/A,FALSE,"CONS.RAFF2"}</definedName>
    <definedName name="rgregregre" localSheetId="20">{#N/A,#N/A,FALSE,"Baltimore";#N/A,#N/A,FALSE,"Barrington";#N/A,#N/A,FALSE,"Butler";#N/A,#N/A,FALSE,"Cleveland";#N/A,#N/A,FALSE,"Closter";#N/A,#N/A,FALSE,"Eaton";#N/A,#N/A,FALSE,"Meriden";#N/A,#N/A,FALSE,"Mt. Vernon";#N/A,#N/A,FALSE,"Rochester";#N/A,#N/A,FALSE,"Three Rivers";#N/A,#N/A,FALSE,"Warren"}</definedName>
    <definedName name="rgregregre">{#N/A,#N/A,FALSE,"Baltimore";#N/A,#N/A,FALSE,"Barrington";#N/A,#N/A,FALSE,"Butler";#N/A,#N/A,FALSE,"Cleveland";#N/A,#N/A,FALSE,"Closter";#N/A,#N/A,FALSE,"Eaton";#N/A,#N/A,FALSE,"Meriden";#N/A,#N/A,FALSE,"Mt. Vernon";#N/A,#N/A,FALSE,"Rochester";#N/A,#N/A,FALSE,"Three Rivers";#N/A,#N/A,FALSE,"Warren"}</definedName>
    <definedName name="RiskAfterRecalcMacro">""</definedName>
    <definedName name="RiskAfterSimMacro">""</definedName>
    <definedName name="RiskBeforeRecalcMacro">""</definedName>
    <definedName name="RiskBeforeSimMacro">""</definedName>
    <definedName name="RiskCollectDistributionSamples">2</definedName>
    <definedName name="RiskFixedSeed">1</definedName>
    <definedName name="RiskHasSettings">5</definedName>
    <definedName name="RiskMinimizeOnStart">FALSE</definedName>
    <definedName name="RiskMonitorConvergence">FALSE</definedName>
    <definedName name="RiskMultipleCPUSupportEnabled">TRUE</definedName>
    <definedName name="RiskNumIterations">10000</definedName>
    <definedName name="RiskNumSimulations">1</definedName>
    <definedName name="RiskPauseOnError">FALSE</definedName>
    <definedName name="RiskRunAfterRecalcMacro">FALSE</definedName>
    <definedName name="RiskRunAfterSimMacro">FALSE</definedName>
    <definedName name="RiskRunBeforeRecalcMacro">FALSE</definedName>
    <definedName name="RiskRunBeforeSimMacro">FALSE</definedName>
    <definedName name="RiskSamplingType">3</definedName>
    <definedName name="RiskStandardRecalc">1</definedName>
    <definedName name="RiskUpdateDisplay">FALSE</definedName>
    <definedName name="RiskUseDifferentSeedForEachSim">FALSE</definedName>
    <definedName name="RiskUseFixedSeed">FALSE</definedName>
    <definedName name="RiskUseMultipleCPUs">TRUE</definedName>
    <definedName name="rngCompanyName">#REF!</definedName>
    <definedName name="rngCountry">#REF!</definedName>
    <definedName name="rngPeriod">#REF!</definedName>
    <definedName name="rngSurtaxBase">#REF!</definedName>
    <definedName name="RODADO" localSheetId="20">{#N/A,#N/A,FALSE,"ANEXO3 99 ERA";#N/A,#N/A,FALSE,"ANEXO3 99 UBÁ2";#N/A,#N/A,FALSE,"ANEXO3 99 DTU";#N/A,#N/A,FALSE,"ANEXO3 99 RDR";#N/A,#N/A,FALSE,"ANEXO3 99 UBÁ4";#N/A,#N/A,FALSE,"ANEXO3 99 UBÁ6"}</definedName>
    <definedName name="RODADO">{#N/A,#N/A,FALSE,"ANEXO3 99 ERA";#N/A,#N/A,FALSE,"ANEXO3 99 UBÁ2";#N/A,#N/A,FALSE,"ANEXO3 99 DTU";#N/A,#N/A,FALSE,"ANEXO3 99 RDR";#N/A,#N/A,FALSE,"ANEXO3 99 UBÁ4";#N/A,#N/A,FALSE,"ANEXO3 99 UBÁ6"}</definedName>
    <definedName name="rolle" localSheetId="20">{"CECons",#N/A,FALSE,"CE"}</definedName>
    <definedName name="rolle">{"CECons",#N/A,FALSE,"CE"}</definedName>
    <definedName name="RR" localSheetId="20">{"TotalGeralDespesasPorArea",#N/A,FALSE,"VinculosAccessEfetivo"}</definedName>
    <definedName name="RR">{"TotalGeralDespesasPorArea",#N/A,FALSE,"VinculosAccessEfetivo"}</definedName>
    <definedName name="rrr">#REF!</definedName>
    <definedName name="rrrr" localSheetId="20">{#N/A,#N/A,FALSE,"Tabl. H1";#N/A,#N/A,FALSE,"Tabl. H2"}</definedName>
    <definedName name="rrrr">{#N/A,#N/A,FALSE,"Tabl. H1";#N/A,#N/A,FALSE,"Tabl. H2"}</definedName>
    <definedName name="RTA" localSheetId="20">{#N/A,#N/A,FALSE,"Tabl. G1";#N/A,#N/A,FALSE,"Tabl. G2"}</definedName>
    <definedName name="RTA">{#N/A,#N/A,FALSE,"Tabl. G1";#N/A,#N/A,FALSE,"Tabl. G2"}</definedName>
    <definedName name="rwer" localSheetId="20">{#N/A,#N/A,FALSE,"ANEXO3 99 ERA";#N/A,#N/A,FALSE,"ANEXO3 99 UBÁ2";#N/A,#N/A,FALSE,"ANEXO3 99 DTU";#N/A,#N/A,FALSE,"ANEXO3 99 RDR";#N/A,#N/A,FALSE,"ANEXO3 99 UBÁ4";#N/A,#N/A,FALSE,"ANEXO3 99 UBÁ6"}</definedName>
    <definedName name="rwer">{#N/A,#N/A,FALSE,"ANEXO3 99 ERA";#N/A,#N/A,FALSE,"ANEXO3 99 UBÁ2";#N/A,#N/A,FALSE,"ANEXO3 99 DTU";#N/A,#N/A,FALSE,"ANEXO3 99 RDR";#N/A,#N/A,FALSE,"ANEXO3 99 UBÁ4";#N/A,#N/A,FALSE,"ANEXO3 99 UBÁ6"}</definedName>
    <definedName name="RZOB2">#REF!</definedName>
    <definedName name="s" localSheetId="20">{"TotalGeralDespesasPorArea",#N/A,FALSE,"VinculosAccessEfetivo"}</definedName>
    <definedName name="s">{"TotalGeralDespesasPorArea",#N/A,FALSE,"VinculosAccessEfetivo"}</definedName>
    <definedName name="SA">#REF!</definedName>
    <definedName name="sads">#REF!</definedName>
    <definedName name="samedi" localSheetId="20">{#N/A,#N/A,FALSE,"Tabl. A1";#N/A,#N/A,FALSE,"Tabl. A1 b";#N/A,#N/A,FALSE,"Tabl. A2";#N/A,#N/A,FALSE,"Tabl. A2-1";#N/A,#N/A,FALSE,"Tabl. A2-2"}</definedName>
    <definedName name="samedi">{#N/A,#N/A,FALSE,"Tabl. A1";#N/A,#N/A,FALSE,"Tabl. A1 b";#N/A,#N/A,FALSE,"Tabl. A2";#N/A,#N/A,FALSE,"Tabl. A2-1";#N/A,#N/A,FALSE,"Tabl. A2-2"}</definedName>
    <definedName name="SAPBEXdnldView">"F3OICWBKPMITAH77PSBF3UNRP"</definedName>
    <definedName name="SAPBEXhrIndnt">3</definedName>
    <definedName name="SAPBEXrevision">14</definedName>
    <definedName name="SAPBEXsysID">"BP1"</definedName>
    <definedName name="SAPBEXwbID">"3V5NCNT9AKKUEO48JR07OZCYT"</definedName>
    <definedName name="SAPFuncF4Help" localSheetId="17">Main.SAPF4Help()</definedName>
    <definedName name="SAPFuncF4Help" localSheetId="20">Main.SAPF4Help()</definedName>
    <definedName name="SAPFuncF4Help" localSheetId="18">Main.SAPF4Help()</definedName>
    <definedName name="SAPFuncF4Help" localSheetId="19">Main.SAPF4Help()</definedName>
    <definedName name="SAPFuncF4Help">Main.SAPF4Help()</definedName>
    <definedName name="SAPsysID">"708C5W7SBKP804JT78WJ0JNKI"</definedName>
    <definedName name="SAPwbID">"ARS"</definedName>
    <definedName name="sasd" localSheetId="20">{#N/A,#N/A,FALSE,"CONTROLE"}</definedName>
    <definedName name="sasd">{#N/A,#N/A,FALSE,"CONTROLE"}</definedName>
    <definedName name="SCG" localSheetId="20">{#N/A,#N/A,FALSE,"Tabl. D1";#N/A,#N/A,FALSE,"Tabl. D1 b";#N/A,#N/A,FALSE,"Tabl. D2";#N/A,#N/A,FALSE,"Tabl. D2 b";#N/A,#N/A,FALSE,"Tabl. D3";#N/A,#N/A,FALSE,"Tabl. D4";#N/A,#N/A,FALSE,"Tabl. D5"}</definedName>
    <definedName name="SCG">{#N/A,#N/A,FALSE,"Tabl. D1";#N/A,#N/A,FALSE,"Tabl. D1 b";#N/A,#N/A,FALSE,"Tabl. D2";#N/A,#N/A,FALSE,"Tabl. D2 b";#N/A,#N/A,FALSE,"Tabl. D3";#N/A,#N/A,FALSE,"Tabl. D4";#N/A,#N/A,FALSE,"Tabl. D5"}</definedName>
    <definedName name="sdasd">#REF!</definedName>
    <definedName name="SDF" localSheetId="20">{#N/A,#N/A,FALSE,"Tabl. G1";#N/A,#N/A,FALSE,"Tabl. G2"}</definedName>
    <definedName name="SDF">{#N/A,#N/A,FALSE,"Tabl. G1";#N/A,#N/A,FALSE,"Tabl. G2"}</definedName>
    <definedName name="SDFDSJF" localSheetId="20">{#N/A,#N/A,FALSE,"RIEP"}</definedName>
    <definedName name="SDFDSJF">{#N/A,#N/A,FALSE,"RIEP"}</definedName>
    <definedName name="sdfg" localSheetId="20">{#N/A,#N/A,FALSE,"Baltimore";#N/A,#N/A,FALSE,"Barrington";#N/A,#N/A,FALSE,"Butler";#N/A,#N/A,FALSE,"Cleveland";#N/A,#N/A,FALSE,"Closter";#N/A,#N/A,FALSE,"Eaton";#N/A,#N/A,FALSE,"Meriden";#N/A,#N/A,FALSE,"Mt. Vernon";#N/A,#N/A,FALSE,"Rochester";#N/A,#N/A,FALSE,"Three Rivers";#N/A,#N/A,FALSE,"Warren"}</definedName>
    <definedName name="sdfg">{#N/A,#N/A,FALSE,"Baltimore";#N/A,#N/A,FALSE,"Barrington";#N/A,#N/A,FALSE,"Butler";#N/A,#N/A,FALSE,"Cleveland";#N/A,#N/A,FALSE,"Closter";#N/A,#N/A,FALSE,"Eaton";#N/A,#N/A,FALSE,"Meriden";#N/A,#N/A,FALSE,"Mt. Vernon";#N/A,#N/A,FALSE,"Rochester";#N/A,#N/A,FALSE,"Three Rivers";#N/A,#N/A,FALSE,"Warren"}</definedName>
    <definedName name="SEDSDS" localSheetId="20">{#N/A,#N/A,FALSE,"RIEP"}</definedName>
    <definedName name="SEDSDS">{#N/A,#N/A,FALSE,"RIEP"}</definedName>
    <definedName name="sencount">1</definedName>
    <definedName name="sfgv" localSheetId="20">{"consolidated",#N/A,FALSE,"Sheet1";"cms",#N/A,FALSE,"Sheet1";"fse",#N/A,FALSE,"Sheet1"}</definedName>
    <definedName name="sfgv">{"consolidated",#N/A,FALSE,"Sheet1";"cms",#N/A,FALSE,"Sheet1";"fse",#N/A,FALSE,"Sheet1"}</definedName>
    <definedName name="sfq" localSheetId="20">{#N/A,#N/A,FALSE,"Calc";#N/A,#N/A,FALSE,"Sensitivity";#N/A,#N/A,FALSE,"LT Earn.Dil.";#N/A,#N/A,FALSE,"Dil. AVP"}</definedName>
    <definedName name="sfq">{#N/A,#N/A,FALSE,"Calc";#N/A,#N/A,FALSE,"Sensitivity";#N/A,#N/A,FALSE,"LT Earn.Dil.";#N/A,#N/A,FALSE,"Dil. AVP"}</definedName>
    <definedName name="SGA">"SGA"</definedName>
    <definedName name="sgdg" localSheetId="20">{#N/A,#N/A,FALSE,"Calc";#N/A,#N/A,FALSE,"Sensitivity";#N/A,#N/A,FALSE,"LT Earn.Dil.";#N/A,#N/A,FALSE,"Dil. AVP"}</definedName>
    <definedName name="sgdg">{#N/A,#N/A,FALSE,"Calc";#N/A,#N/A,FALSE,"Sensitivity";#N/A,#N/A,FALSE,"LT Earn.Dil.";#N/A,#N/A,FALSE,"Dil. AVP"}</definedName>
    <definedName name="sgsgsgsg" localSheetId="20">{#N/A,#N/A,FALSE,"ANEXO3 99 ERA";#N/A,#N/A,FALSE,"ANEXO3 99 UBÁ2";#N/A,#N/A,FALSE,"ANEXO3 99 DTU";#N/A,#N/A,FALSE,"ANEXO3 99 RDR";#N/A,#N/A,FALSE,"ANEXO3 99 UBÁ4";#N/A,#N/A,FALSE,"ANEXO3 99 UBÁ6"}</definedName>
    <definedName name="sgsgsgsg">{#N/A,#N/A,FALSE,"ANEXO3 99 ERA";#N/A,#N/A,FALSE,"ANEXO3 99 UBÁ2";#N/A,#N/A,FALSE,"ANEXO3 99 DTU";#N/A,#N/A,FALSE,"ANEXO3 99 RDR";#N/A,#N/A,FALSE,"ANEXO3 99 UBÁ4";#N/A,#N/A,FALSE,"ANEXO3 99 UBÁ6"}</definedName>
    <definedName name="sgsx" localSheetId="20">{"consolidated",#N/A,FALSE,"Sheet1";"cms",#N/A,FALSE,"Sheet1";"fse",#N/A,FALSE,"Sheet1"}</definedName>
    <definedName name="sgsx">{"consolidated",#N/A,FALSE,"Sheet1";"cms",#N/A,FALSE,"Sheet1";"fse",#N/A,FALSE,"Sheet1"}</definedName>
    <definedName name="SHARESOUTSTANDING">"SHARESOUTSTANDING"</definedName>
    <definedName name="SHORT_TERM_INVEST">"SHORT_TERM_INVEST"</definedName>
    <definedName name="SID">"Cpavan"</definedName>
    <definedName name="SILVINO" localSheetId="20">{#N/A,#N/A,FALSE,"ANEXO3 99 ERA";#N/A,#N/A,FALSE,"ANEXO3 99 UBÁ2";#N/A,#N/A,FALSE,"ANEXO3 99 DTU";#N/A,#N/A,FALSE,"ANEXO3 99 RDR";#N/A,#N/A,FALSE,"ANEXO3 99 UBÁ4";#N/A,#N/A,FALSE,"ANEXO3 99 UBÁ6"}</definedName>
    <definedName name="SILVINO">{#N/A,#N/A,FALSE,"ANEXO3 99 ERA";#N/A,#N/A,FALSE,"ANEXO3 99 UBÁ2";#N/A,#N/A,FALSE,"ANEXO3 99 DTU";#N/A,#N/A,FALSE,"ANEXO3 99 RDR";#N/A,#N/A,FALSE,"ANEXO3 99 UBÁ4";#N/A,#N/A,FALSE,"ANEXO3 99 UBÁ6"}</definedName>
    <definedName name="Sites" localSheetId="20">{#N/A,#N/A,TRUE,"TOTAL DISTRIBUTION";#N/A,#N/A,TRUE,"SOUTH";#N/A,#N/A,TRUE,"NORTHEAST";#N/A,#N/A,TRUE,"WEST"}</definedName>
    <definedName name="Sites">{#N/A,#N/A,TRUE,"TOTAL DISTRIBUTION";#N/A,#N/A,TRUE,"SOUTH";#N/A,#N/A,TRUE,"NORTHEAST";#N/A,#N/A,TRUE,"WEST"}</definedName>
    <definedName name="Sitesdate" localSheetId="20">{#N/A,#N/A,TRUE,"TOTAL DSBN";#N/A,#N/A,TRUE,"WEST";#N/A,#N/A,TRUE,"SOUTH";#N/A,#N/A,TRUE,"NORTHEAST"}</definedName>
    <definedName name="Sitesdate">{#N/A,#N/A,TRUE,"TOTAL DSBN";#N/A,#N/A,TRUE,"WEST";#N/A,#N/A,TRUE,"SOUTH";#N/A,#N/A,TRUE,"NORTHEAST"}</definedName>
    <definedName name="SOBRA" localSheetId="20">{#N/A,#N/A,FALSE,"CONTROLE";#N/A,#N/A,FALSE,"CONTROLE"}</definedName>
    <definedName name="SOBRA">{#N/A,#N/A,FALSE,"CONTROLE";#N/A,#N/A,FALSE,"CONTROLE"}</definedName>
    <definedName name="solver_adj">#REF!,#REF!</definedName>
    <definedName name="solver_cvg">0.0001</definedName>
    <definedName name="solver_drv">1</definedName>
    <definedName name="solver_est">1</definedName>
    <definedName name="solver_itr">100</definedName>
    <definedName name="solver_lin">0</definedName>
    <definedName name="solver_neg">2</definedName>
    <definedName name="solver_num">0</definedName>
    <definedName name="solver_nwt">1</definedName>
    <definedName name="solver_opt">#REF!</definedName>
    <definedName name="solver_pre">0.000001</definedName>
    <definedName name="solver_scl">2</definedName>
    <definedName name="solver_sho">2</definedName>
    <definedName name="solver_tim">100</definedName>
    <definedName name="solver_tol">0.05</definedName>
    <definedName name="solver_typ">3</definedName>
    <definedName name="solver_val">0.8</definedName>
    <definedName name="SPE">_Config!$F$28:$F$42</definedName>
    <definedName name="SPWD">"pepsico"</definedName>
    <definedName name="ss" localSheetId="20">{#N/A,#N/A,FALSE,"CONTROLE"}</definedName>
    <definedName name="ss">{#N/A,#N/A,FALSE,"CONTROLE"}</definedName>
    <definedName name="sss" localSheetId="20">{#N/A,#N/A,FALSE,"CONTROLE"}</definedName>
    <definedName name="sss">{#N/A,#N/A,FALSE,"CONTROLE"}</definedName>
    <definedName name="SSSADADSF" localSheetId="20">{"SPM1",#N/A,FALSE,"RIEP"}</definedName>
    <definedName name="SSSADADSF">{"SPM1",#N/A,FALSE,"RIEP"}</definedName>
    <definedName name="ssss" localSheetId="20">{#N/A,#N/A,FALSE,"CONTROLE"}</definedName>
    <definedName name="ssss">{#N/A,#N/A,FALSE,"CONTROLE"}</definedName>
    <definedName name="sssss" localSheetId="20">{#N/A,#N/A,FALSE,"Calc";#N/A,#N/A,FALSE,"Sensitivity";#N/A,#N/A,FALSE,"LT Earn.Dil.";#N/A,#N/A,FALSE,"Dil. AVP"}</definedName>
    <definedName name="sssss">{#N/A,#N/A,FALSE,"Calc";#N/A,#N/A,FALSE,"Sensitivity";#N/A,#N/A,FALSE,"LT Earn.Dil.";#N/A,#N/A,FALSE,"Dil. AVP"}</definedName>
    <definedName name="ssssssssssssssssssssssssss" localSheetId="20">{"QQQ",#N/A,FALSE,"RIEP"}</definedName>
    <definedName name="ssssssssssssssssssssssssss">{"QQQ",#N/A,FALSE,"RIEP"}</definedName>
    <definedName name="STATE">"STATE"</definedName>
    <definedName name="Status">#REF!</definedName>
    <definedName name="steven" localSheetId="20">{"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steven">{"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STOCK_BASED">"STOCK_BASED"</definedName>
    <definedName name="stronza" localSheetId="20">{"CECons",#N/A,FALSE,"CE"}</definedName>
    <definedName name="stronza">{"CECons",#N/A,FALSE,"CE"}</definedName>
    <definedName name="stu" localSheetId="20">{#N/A,#N/A,FALSE,"Tabl. D1";#N/A,#N/A,FALSE,"Tabl. D1 b";#N/A,#N/A,FALSE,"Tabl. D2";#N/A,#N/A,FALSE,"Tabl. D2 b";#N/A,#N/A,FALSE,"Tabl. D3";#N/A,#N/A,FALSE,"Tabl. D4";#N/A,#N/A,FALSE,"Tabl. D5"}</definedName>
    <definedName name="stu">{#N/A,#N/A,FALSE,"Tabl. D1";#N/A,#N/A,FALSE,"Tabl. D1 b";#N/A,#N/A,FALSE,"Tabl. D2";#N/A,#N/A,FALSE,"Tabl. D2 b";#N/A,#N/A,FALSE,"Tabl. D3";#N/A,#N/A,FALSE,"Tabl. D4";#N/A,#N/A,FALSE,"Tabl. D5"}</definedName>
    <definedName name="Subs" localSheetId="20">{#N/A,#N/A,FALSE,"ANEXO3 99 ERA";#N/A,#N/A,FALSE,"ANEXO3 99 UBÁ2";#N/A,#N/A,FALSE,"ANEXO3 99 DTU";#N/A,#N/A,FALSE,"ANEXO3 99 RDR";#N/A,#N/A,FALSE,"ANEXO3 99 UBÁ4";#N/A,#N/A,FALSE,"ANEXO3 99 UBÁ6"}</definedName>
    <definedName name="Subs">{#N/A,#N/A,FALSE,"ANEXO3 99 ERA";#N/A,#N/A,FALSE,"ANEXO3 99 UBÁ2";#N/A,#N/A,FALSE,"ANEXO3 99 DTU";#N/A,#N/A,FALSE,"ANEXO3 99 RDR";#N/A,#N/A,FALSE,"ANEXO3 99 UBÁ4";#N/A,#N/A,FALSE,"ANEXO3 99 UBÁ6"}</definedName>
    <definedName name="subsestacoes" localSheetId="20">{#N/A,#N/A,FALSE,"ANEXO3 99 ERA";#N/A,#N/A,FALSE,"ANEXO3 99 UBÁ2";#N/A,#N/A,FALSE,"ANEXO3 99 DTU";#N/A,#N/A,FALSE,"ANEXO3 99 RDR";#N/A,#N/A,FALSE,"ANEXO3 99 UBÁ4";#N/A,#N/A,FALSE,"ANEXO3 99 UBÁ6"}</definedName>
    <definedName name="subsestacoes">{#N/A,#N/A,FALSE,"ANEXO3 99 ERA";#N/A,#N/A,FALSE,"ANEXO3 99 UBÁ2";#N/A,#N/A,FALSE,"ANEXO3 99 DTU";#N/A,#N/A,FALSE,"ANEXO3 99 RDR";#N/A,#N/A,FALSE,"ANEXO3 99 UBÁ4";#N/A,#N/A,FALSE,"ANEXO3 99 UBÁ6"}</definedName>
    <definedName name="SWS">#REF!</definedName>
    <definedName name="t" localSheetId="20">{#N/A,#N/A,FALSE,"CONTROLE"}</definedName>
    <definedName name="t">{#N/A,#N/A,FALSE,"CONTROLE"}</definedName>
    <definedName name="T4211a" localSheetId="20">{#N/A,#N/A,FALSE,"ANEXO3 99 ERA";#N/A,#N/A,FALSE,"ANEXO3 99 UBÁ2";#N/A,#N/A,FALSE,"ANEXO3 99 DTU";#N/A,#N/A,FALSE,"ANEXO3 99 RDR";#N/A,#N/A,FALSE,"ANEXO3 99 UBÁ4";#N/A,#N/A,FALSE,"ANEXO3 99 UBÁ6"}</definedName>
    <definedName name="T4211a">{#N/A,#N/A,FALSE,"ANEXO3 99 ERA";#N/A,#N/A,FALSE,"ANEXO3 99 UBÁ2";#N/A,#N/A,FALSE,"ANEXO3 99 DTU";#N/A,#N/A,FALSE,"ANEXO3 99 RDR";#N/A,#N/A,FALSE,"ANEXO3 99 UBÁ4";#N/A,#N/A,FALSE,"ANEXO3 99 UBÁ6"}</definedName>
    <definedName name="T4211b" localSheetId="20">{#N/A,#N/A,FALSE,"ANEXO3 99 ERA";#N/A,#N/A,FALSE,"ANEXO3 99 UBÁ2";#N/A,#N/A,FALSE,"ANEXO3 99 DTU";#N/A,#N/A,FALSE,"ANEXO3 99 RDR";#N/A,#N/A,FALSE,"ANEXO3 99 UBÁ4";#N/A,#N/A,FALSE,"ANEXO3 99 UBÁ6"}</definedName>
    <definedName name="T4211b">{#N/A,#N/A,FALSE,"ANEXO3 99 ERA";#N/A,#N/A,FALSE,"ANEXO3 99 UBÁ2";#N/A,#N/A,FALSE,"ANEXO3 99 DTU";#N/A,#N/A,FALSE,"ANEXO3 99 RDR";#N/A,#N/A,FALSE,"ANEXO3 99 UBÁ4";#N/A,#N/A,FALSE,"ANEXO3 99 UBÁ6"}</definedName>
    <definedName name="t4211C" localSheetId="20">{#N/A,#N/A,FALSE,"ANEXO3 99 ERA";#N/A,#N/A,FALSE,"ANEXO3 99 UBÁ2";#N/A,#N/A,FALSE,"ANEXO3 99 DTU";#N/A,#N/A,FALSE,"ANEXO3 99 RDR";#N/A,#N/A,FALSE,"ANEXO3 99 UBÁ4";#N/A,#N/A,FALSE,"ANEXO3 99 UBÁ6"}</definedName>
    <definedName name="t4211C">{#N/A,#N/A,FALSE,"ANEXO3 99 ERA";#N/A,#N/A,FALSE,"ANEXO3 99 UBÁ2";#N/A,#N/A,FALSE,"ANEXO3 99 DTU";#N/A,#N/A,FALSE,"ANEXO3 99 RDR";#N/A,#N/A,FALSE,"ANEXO3 99 UBÁ4";#N/A,#N/A,FALSE,"ANEXO3 99 UBÁ6"}</definedName>
    <definedName name="t4211z" localSheetId="20">{#N/A,#N/A,FALSE,"ANEXO3 99 ERA";#N/A,#N/A,FALSE,"ANEXO3 99 UBÁ2";#N/A,#N/A,FALSE,"ANEXO3 99 DTU";#N/A,#N/A,FALSE,"ANEXO3 99 RDR";#N/A,#N/A,FALSE,"ANEXO3 99 UBÁ4";#N/A,#N/A,FALSE,"ANEXO3 99 UBÁ6"}</definedName>
    <definedName name="t4211z">{#N/A,#N/A,FALSE,"ANEXO3 99 ERA";#N/A,#N/A,FALSE,"ANEXO3 99 UBÁ2";#N/A,#N/A,FALSE,"ANEXO3 99 DTU";#N/A,#N/A,FALSE,"ANEXO3 99 RDR";#N/A,#N/A,FALSE,"ANEXO3 99 UBÁ4";#N/A,#N/A,FALSE,"ANEXO3 99 UBÁ6"}</definedName>
    <definedName name="t79oto97t" localSheetId="20">{#N/A,#N/A,FALSE,"RIEP"}</definedName>
    <definedName name="t79oto97t">{#N/A,#N/A,FALSE,"RIEP"}</definedName>
    <definedName name="t7u74u" localSheetId="20">{"QQQ",#N/A,FALSE,"RIEP"}</definedName>
    <definedName name="t7u74u">{"QQQ",#N/A,FALSE,"RIEP"}</definedName>
    <definedName name="t7u75" localSheetId="20">{"SPM1",#N/A,FALSE,"RIEP"}</definedName>
    <definedName name="t7u75">{"SPM1",#N/A,FALSE,"RIEP"}</definedName>
    <definedName name="t7ur7u" localSheetId="20">{#N/A,#N/A,FALSE,"RIEP"}</definedName>
    <definedName name="t7ur7u">{#N/A,#N/A,FALSE,"RIEP"}</definedName>
    <definedName name="tabl" localSheetId="20">{#N/A,#N/A,FALSE,"Tabl. H1";#N/A,#N/A,FALSE,"Tabl. H2"}</definedName>
    <definedName name="tabl">{#N/A,#N/A,FALSE,"Tabl. H1";#N/A,#N/A,FALSE,"Tabl. H2"}</definedName>
    <definedName name="tableau" localSheetId="20">{#N/A,#N/A,FALSE,"Tabl. A1";#N/A,#N/A,FALSE,"Tabl. A1 b";#N/A,#N/A,FALSE,"Tabl. A2";#N/A,#N/A,FALSE,"Tabl. A2-1";#N/A,#N/A,FALSE,"Tabl. A2-2"}</definedName>
    <definedName name="tableau">{#N/A,#N/A,FALSE,"Tabl. A1";#N/A,#N/A,FALSE,"Tabl. A1 b";#N/A,#N/A,FALSE,"Tabl. A2";#N/A,#N/A,FALSE,"Tabl. A2-1";#N/A,#N/A,FALSE,"Tabl. A2-2"}</definedName>
    <definedName name="tbg" localSheetId="20">{#N/A,#N/A,FALSE,"Tabl. G1";#N/A,#N/A,FALSE,"Tabl. G2"}</definedName>
    <definedName name="tbg">{#N/A,#N/A,FALSE,"Tabl. G1";#N/A,#N/A,FALSE,"Tabl. G2"}</definedName>
    <definedName name="TCO">#REF!</definedName>
    <definedName name="teast" localSheetId="20">{#N/A,#N/A,TRUE,"TOTAL DSBN";#N/A,#N/A,TRUE,"WEST";#N/A,#N/A,TRUE,"SOUTH";#N/A,#N/A,TRUE,"NORTHEAST"}</definedName>
    <definedName name="teast">{#N/A,#N/A,TRUE,"TOTAL DSBN";#N/A,#N/A,TRUE,"WEST";#N/A,#N/A,TRUE,"SOUTH";#N/A,#N/A,TRUE,"NORTHEAST"}</definedName>
    <definedName name="temp">#REF!</definedName>
    <definedName name="test.4" localSheetId="20">{"Padd I to III",#N/A,FALSE,"REFINERY";"Padd IV to US",#N/A,FALSE,"REFINERY";"Crude Balance I",#N/A,FALSE,"REFINERY";"Crude Balance II",#N/A,FALSE,"REFINERY"}</definedName>
    <definedName name="test.4">{"Padd I to III",#N/A,FALSE,"REFINERY";"Padd IV to US",#N/A,FALSE,"REFINERY";"Crude Balance I",#N/A,FALSE,"REFINERY";"Crude Balance II",#N/A,FALSE,"REFINERY"}</definedName>
    <definedName name="test.all" localSheetId="20">{"PAGE1",#N/A,FALSE,"YIELDS";"PAGE2",#N/A,FALSE,"YIELDS";"PAGE3",#N/A,FALSE,"YIELDS"}</definedName>
    <definedName name="test.all">{"PAGE1",#N/A,FALSE,"YIELDS";"PAGE2",#N/A,FALSE,"YIELDS";"PAGE3",#N/A,FALSE,"YIELDS"}</definedName>
    <definedName name="Teste" localSheetId="20">{#N/A,#N/A,FALSE,"COBO";#N/A,#N/A,FALSE,"Atlantic";#N/A,#N/A,FALSE,"NCalif";#N/A,#N/A,FALSE,"SCalif";#N/A,#N/A,FALSE,"Eastern";#N/A,#N/A,FALSE,"Florida";#N/A,#N/A,FALSE,"GreatWest";#N/A,#N/A,FALSE,"Heartland";#N/A,#N/A,FALSE,"Michigan";#N/A,#N/A,FALSE,"Northwest";#N/A,#N/A,FALSE,"Southeast";#N/A,#N/A,FALSE,"Texoma"}</definedName>
    <definedName name="Teste">{#N/A,#N/A,FALSE,"COBO";#N/A,#N/A,FALSE,"Atlantic";#N/A,#N/A,FALSE,"NCalif";#N/A,#N/A,FALSE,"SCalif";#N/A,#N/A,FALSE,"Eastern";#N/A,#N/A,FALSE,"Florida";#N/A,#N/A,FALSE,"GreatWest";#N/A,#N/A,FALSE,"Heartland";#N/A,#N/A,FALSE,"Michigan";#N/A,#N/A,FALSE,"Northwest";#N/A,#N/A,FALSE,"Southeast";#N/A,#N/A,FALSE,"Texoma"}</definedName>
    <definedName name="Teste_1" localSheetId="20">{#N/A,#N/A,FALSE,"CONTROLE"}</definedName>
    <definedName name="Teste_1">{#N/A,#N/A,FALSE,"CONTROLE"}</definedName>
    <definedName name="teste1" localSheetId="20">{#N/A,#N/A,FALSE,"CONTROLE"}</definedName>
    <definedName name="teste1">{#N/A,#N/A,FALSE,"CONTROLE"}</definedName>
    <definedName name="teste2">#REF!</definedName>
    <definedName name="testing" localSheetId="20">{"detail305",#N/A,FALSE,"BI-305"}</definedName>
    <definedName name="testing">{"detail305",#N/A,FALSE,"BI-305"}</definedName>
    <definedName name="TextRefCopyRangeCount">2</definedName>
    <definedName name="THNEN" localSheetId="20">{#N/A,#N/A,FALSE,"Tabl. FB300";#N/A,#N/A,FALSE,"Tabl. FB350";#N/A,#N/A,FALSE,"Tabl. FB400";#N/A,#N/A,FALSE,"Tabl. FB500";#N/A,#N/A,FALSE,"Tabl. FS090"}</definedName>
    <definedName name="THNEN">{#N/A,#N/A,FALSE,"Tabl. FB300";#N/A,#N/A,FALSE,"Tabl. FB350";#N/A,#N/A,FALSE,"Tabl. FB400";#N/A,#N/A,FALSE,"Tabl. FB500";#N/A,#N/A,FALSE,"Tabl. FS090"}</definedName>
    <definedName name="thth" localSheetId="20">{#N/A,#N/A,FALSE,"Calc";#N/A,#N/A,FALSE,"Sensitivity";#N/A,#N/A,FALSE,"LT Earn.Dil.";#N/A,#N/A,FALSE,"Dil. AVP"}</definedName>
    <definedName name="thth">{#N/A,#N/A,FALSE,"Calc";#N/A,#N/A,FALSE,"Sensitivity";#N/A,#N/A,FALSE,"LT Earn.Dil.";#N/A,#N/A,FALSE,"Dil. AVP"}</definedName>
    <definedName name="tikl679o679o" localSheetId="20">{#N/A,#N/A,FALSE,"RIEP"}</definedName>
    <definedName name="tikl679o679o">{#N/A,#N/A,FALSE,"RIEP"}</definedName>
    <definedName name="TOTAL_ASSETS">"TOTAL_ASSETS"</definedName>
    <definedName name="TOTAL_CASH_DIVID">"TOTAL_CASH_DIVID"</definedName>
    <definedName name="TOTAL_CASH_FINAN">"TOTAL_CASH_FINAN"</definedName>
    <definedName name="TOTAL_CASH_INVEST">"TOTAL_CASH_INVEST"</definedName>
    <definedName name="TOTAL_CASH_OPER">"TOTAL_CASH_OPER"</definedName>
    <definedName name="TOTAL_COMMON">"TOTAL_COMMON"</definedName>
    <definedName name="TOTAL_CURRENT_ASSETS">"TOTAL_CURRENT_ASSETS"</definedName>
    <definedName name="TOTAL_CURRENT_LIAB">"TOTAL_CURRENT_LIAB"</definedName>
    <definedName name="TOTAL_DEBT">"TOTAL_DEBT"</definedName>
    <definedName name="TOTAL_DEBT_OVER_EBITDA">"TOTAL_DEBT_OVER_EBITDA"</definedName>
    <definedName name="TOTAL_DEBT_OVER_TOTAL_BV">"TOTAL_DEBT_OVER_TOTAL_BV"</definedName>
    <definedName name="TOTAL_DEBT_OVER_TOTAL_CAP">"TOTAL_DEBT_OVER_TOTAL_CAP"</definedName>
    <definedName name="TOTAL_EQUITY">"TOTAL_EQUITY"</definedName>
    <definedName name="TOTAL_INTEREST_EXP">"TOTAL_INTEREST_EXP"</definedName>
    <definedName name="TOTAL_INVENTORY">"TOTAL_INVENTORY"</definedName>
    <definedName name="TOTAL_LIAB">"TOTAL_LIAB"</definedName>
    <definedName name="TOTAL_LIAB_SHAREHOLD">"TOTAL_LIAB_SHAREHOLD"</definedName>
    <definedName name="TOTAL_LONG_DEBT">"TOTAL_LONG_DEBT"</definedName>
    <definedName name="TOTAL_OPER_EXPEN">"TOTAL_OPER_EXPEN"</definedName>
    <definedName name="TOTAL_RECEIV">"TOTAL_RECEIV"</definedName>
    <definedName name="TOTAL_REVENUE">"TOTAL_REVENUE"</definedName>
    <definedName name="TOTAL_SPECIAL">"TOTAL_SPECIAL"</definedName>
    <definedName name="TRADE_AR">"TRADE_AR"</definedName>
    <definedName name="Transmissão">_Config!$M$5:$M$10</definedName>
    <definedName name="TransmissãoAmpliação">_Config!$Q$16</definedName>
    <definedName name="TransmissãoInvestimentodeApoio">_Config!$K$16:$K$18</definedName>
    <definedName name="TransmissãoMelhoriaGrandePorte">_Config!$L$16:$L$18</definedName>
    <definedName name="TransmissãoMelhoriaPequenoPorte">_Config!$O$16:$O$19</definedName>
    <definedName name="TransmissãoReforçoGrandePorte">_Config!$M$16:$M$18</definedName>
    <definedName name="TransmissãoReforçoPequenoPorte">_Config!$N$16:$N$19</definedName>
    <definedName name="TREASURY_STOCK">"TREASURY_STOCK"</definedName>
    <definedName name="TRGP" localSheetId="17">_xlfn._xlws.FILTER(RMGDE[],RMGDE[Categoria do Investimento]="RGP","")</definedName>
    <definedName name="TRGP" localSheetId="20">_xlfn._xlws.FILTER([1]!RMGDE[#Data],[1]!RMGDE[Categoria do Investimento]="RGP","")</definedName>
    <definedName name="TRGP" localSheetId="18">_xlfn._xlws.FILTER(RMGDE[],RMGDE[Categoria do Investimento]="RGP","")</definedName>
    <definedName name="TRGP" localSheetId="19">_xlfn._xlws.FILTER(RMGDE[],RMGDE[Categoria do Investimento]="RGP","")</definedName>
    <definedName name="TRGP">_xlfn._xlws.FILTER(RMGDE[],RMGDE[Categoria do Investimento]="RGP","")</definedName>
    <definedName name="trjk5i57" localSheetId="20">{"SPM1",#N/A,FALSE,"RIEP"}</definedName>
    <definedName name="trjk5i57">{"SPM1",#N/A,FALSE,"RIEP"}</definedName>
    <definedName name="trrthrthgt" localSheetId="20">{#N/A,#N/A,FALSE,"Tabl. A1";#N/A,#N/A,FALSE,"Tabl. A1 b";#N/A,#N/A,FALSE,"Tabl. A2";#N/A,#N/A,FALSE,"Tabl. A2-1";#N/A,#N/A,FALSE,"Tabl. A2-2"}</definedName>
    <definedName name="trrthrthgt">{#N/A,#N/A,FALSE,"Tabl. A1";#N/A,#N/A,FALSE,"Tabl. A1 b";#N/A,#N/A,FALSE,"Tabl. A2";#N/A,#N/A,FALSE,"Tabl. A2-1";#N/A,#N/A,FALSE,"Tabl. A2-2"}</definedName>
    <definedName name="tt" localSheetId="20">{#N/A,#N/A,FALSE,"CONTROLE"}</definedName>
    <definedName name="tt">{#N/A,#N/A,FALSE,"CONTROLE"}</definedName>
    <definedName name="tttt" localSheetId="20">{#N/A,#N/A,FALSE,"CONTROLE"}</definedName>
    <definedName name="tttt">{#N/A,#N/A,FALSE,"CONTROLE"}</definedName>
    <definedName name="ttttt" localSheetId="20">{"HOJA100",#N/A,FALSE,"HOJA_100";"HOJA200",#N/A,FALSE,"HOJA_200";"HOJA300",#N/A,FALSE,"HOJA_300";"HOJA400",#N/A,FALSE,"HOJA_400"}</definedName>
    <definedName name="ttttt">{"HOJA100",#N/A,FALSE,"HOJA_100";"HOJA200",#N/A,FALSE,"HOJA_200";"HOJA300",#N/A,FALSE,"HOJA_300";"HOJA400",#N/A,FALSE,"HOJA_400"}</definedName>
    <definedName name="tttttre" localSheetId="20">{#N/A,#N/A,FALSE,"Tabl. G1";#N/A,#N/A,FALSE,"Tabl. G2"}</definedName>
    <definedName name="tttttre">{#N/A,#N/A,FALSE,"Tabl. G1";#N/A,#N/A,FALSE,"Tabl. G2"}</definedName>
    <definedName name="tttttt" localSheetId="20">{"HOJA100",#N/A,FALSE,"HOJA_100";"HOJA200",#N/A,FALSE,"HOJA_200";"HOJA300",#N/A,FALSE,"HOJA_300";"HOJA400",#N/A,FALSE,"HOJA_400"}</definedName>
    <definedName name="tttttt">{"HOJA100",#N/A,FALSE,"HOJA_100";"HOJA200",#N/A,FALSE,"HOJA_200";"HOJA300",#N/A,FALSE,"HOJA_300";"HOJA400",#N/A,FALSE,"HOJA_400"}</definedName>
    <definedName name="ttttttt" localSheetId="20">{#N/A,#N/A,FALSE,"CONTROLE"}</definedName>
    <definedName name="ttttttt">{#N/A,#N/A,FALSE,"CONTROLE"}</definedName>
    <definedName name="tttttttt" localSheetId="20">{#N/A,#N/A,FALSE,"CONTROLE"}</definedName>
    <definedName name="tttttttt">{#N/A,#N/A,FALSE,"CONTROLE"}</definedName>
    <definedName name="ttttttttt" localSheetId="20">{#N/A,#N/A,FALSE,"CONTROLE"}</definedName>
    <definedName name="ttttttttt">{#N/A,#N/A,FALSE,"CONTROLE"}</definedName>
    <definedName name="tttttttttt" localSheetId="20">{#N/A,#N/A,FALSE,"CONTROLE"}</definedName>
    <definedName name="tttttttttt">{#N/A,#N/A,FALSE,"CONTROLE"}</definedName>
    <definedName name="tttttttttttt" localSheetId="20">{#N/A,#N/A,FALSE,"CONTROLE"}</definedName>
    <definedName name="tttttttttttt">{#N/A,#N/A,FALSE,"CONTROLE"}</definedName>
    <definedName name="ttttttttttttt" localSheetId="20">{#N/A,#N/A,FALSE,"CONTROLE"}</definedName>
    <definedName name="ttttttttttttt">{#N/A,#N/A,FALSE,"CONTROLE"}</definedName>
    <definedName name="ttttttttttttttttttttt" localSheetId="20">{#N/A,#N/A,FALSE,"CONTROLE"}</definedName>
    <definedName name="ttttttttttttttttttttt">{#N/A,#N/A,FALSE,"CONTROLE"}</definedName>
    <definedName name="ty" localSheetId="20">{"'Hoja1'!$A$1:$N$27"}</definedName>
    <definedName name="ty">{"'Hoja1'!$A$1:$N$27"}</definedName>
    <definedName name="ty65y7th" localSheetId="20">{#N/A,#N/A,FALSE,"Calc";#N/A,#N/A,FALSE,"Sensitivity";#N/A,#N/A,FALSE,"LT Earn.Dil.";#N/A,#N/A,FALSE,"Dil. AVP"}</definedName>
    <definedName name="ty65y7th">{#N/A,#N/A,FALSE,"Calc";#N/A,#N/A,FALSE,"Sensitivity";#N/A,#N/A,FALSE,"LT Earn.Dil.";#N/A,#N/A,FALSE,"Dil. AVP"}</definedName>
    <definedName name="tyiltu9ol" localSheetId="20">{"QQQ",#N/A,FALSE,"RIEP"}</definedName>
    <definedName name="tyiltu9ol">{"QQQ",#N/A,FALSE,"RIEP"}</definedName>
    <definedName name="UBB_UTEJF" localSheetId="20">{#N/A,#N/A,FALSE,"ANEXO3 99 ERA";#N/A,#N/A,FALSE,"ANEXO3 99 UBÁ2";#N/A,#N/A,FALSE,"ANEXO3 99 DTU";#N/A,#N/A,FALSE,"ANEXO3 99 RDR";#N/A,#N/A,FALSE,"ANEXO3 99 UBÁ4";#N/A,#N/A,FALSE,"ANEXO3 99 UBÁ6"}</definedName>
    <definedName name="UBB_UTEJF">{#N/A,#N/A,FALSE,"ANEXO3 99 ERA";#N/A,#N/A,FALSE,"ANEXO3 99 UBÁ2";#N/A,#N/A,FALSE,"ANEXO3 99 DTU";#N/A,#N/A,FALSE,"ANEXO3 99 RDR";#N/A,#N/A,FALSE,"ANEXO3 99 UBÁ4";#N/A,#N/A,FALSE,"ANEXO3 99 UBÁ6"}</definedName>
    <definedName name="ugkj" localSheetId="20">{"QQQ",#N/A,FALSE,"RIEP"}</definedName>
    <definedName name="ugkj">{"QQQ",#N/A,FALSE,"RIEP"}</definedName>
    <definedName name="UHJ" localSheetId="20">{#N/A,#N/A,FALSE,"Tabl. FB300";#N/A,#N/A,FALSE,"Tabl. FB350";#N/A,#N/A,FALSE,"Tabl. FB400";#N/A,#N/A,FALSE,"Tabl. FB500";#N/A,#N/A,FALSE,"Tabl. FS090"}</definedName>
    <definedName name="UHJ">{#N/A,#N/A,FALSE,"Tabl. FB300";#N/A,#N/A,FALSE,"Tabl. FB350";#N/A,#N/A,FALSE,"Tabl. FB400";#N/A,#N/A,FALSE,"Tabl. FB500";#N/A,#N/A,FALSE,"Tabl. FS090"}</definedName>
    <definedName name="umberto2">#REF!</definedName>
    <definedName name="UNREALIZED_GAIN">"UNREALIZED_GAIN"</definedName>
    <definedName name="UNUSUAL_EXP">"UNUSUAL_EXP"</definedName>
    <definedName name="US_GAAP">"US_GAAP"</definedName>
    <definedName name="utg" localSheetId="20">{#N/A,#N/A,FALSE,"Tabl. H1";#N/A,#N/A,FALSE,"Tabl. H2"}</definedName>
    <definedName name="utg">{#N/A,#N/A,FALSE,"Tabl. H1";#N/A,#N/A,FALSE,"Tabl. H2"}</definedName>
    <definedName name="uttkjg" localSheetId="20">{"QQQ",#N/A,FALSE,"RIEP"}</definedName>
    <definedName name="uttkjg">{"QQQ",#N/A,FALSE,"RIEP"}</definedName>
    <definedName name="UU" localSheetId="20">{"TotalGeralDespesasPorArea",#N/A,FALSE,"VinculosAccessEfetivo"}</definedName>
    <definedName name="UU">{"TotalGeralDespesasPorArea",#N/A,FALSE,"VinculosAccessEfetivo"}</definedName>
    <definedName name="UUJNN?JNJ" localSheetId="20">{#N/A,#N/A,FALSE,"Tabl. G1";#N/A,#N/A,FALSE,"Tabl. G2"}</definedName>
    <definedName name="UUJNN?JNJ">{#N/A,#N/A,FALSE,"Tabl. G1";#N/A,#N/A,FALSE,"Tabl. G2"}</definedName>
    <definedName name="UUYYYYYYYY" localSheetId="20">{#N/A,#N/A,FALSE,"Tabl. A1";#N/A,#N/A,FALSE,"Tabl. A1 b";#N/A,#N/A,FALSE,"Tabl. A2";#N/A,#N/A,FALSE,"Tabl. A2-1";#N/A,#N/A,FALSE,"Tabl. A2-2"}</definedName>
    <definedName name="UUYYYYYYYY">{#N/A,#N/A,FALSE,"Tabl. A1";#N/A,#N/A,FALSE,"Tabl. A1 b";#N/A,#N/A,FALSE,"Tabl. A2";#N/A,#N/A,FALSE,"Tabl. A2-1";#N/A,#N/A,FALSE,"Tabl. A2-2"}</definedName>
    <definedName name="UYB" localSheetId="20">{#N/A,#N/A,FALSE,"Tabl. A1";#N/A,#N/A,FALSE,"Tabl. A1 b";#N/A,#N/A,FALSE,"Tabl. A2";#N/A,#N/A,FALSE,"Tabl. A2-1";#N/A,#N/A,FALSE,"Tabl. A2-2"}</definedName>
    <definedName name="UYB">{#N/A,#N/A,FALSE,"Tabl. A1";#N/A,#N/A,FALSE,"Tabl. A1 b";#N/A,#N/A,FALSE,"Tabl. A2";#N/A,#N/A,FALSE,"Tabl. A2-1";#N/A,#N/A,FALSE,"Tabl. A2-2"}</definedName>
    <definedName name="v" localSheetId="20">{#N/A,#N/A,FALSE,"RIEP"}</definedName>
    <definedName name="v">{#N/A,#N/A,FALSE,"RIEP"}</definedName>
    <definedName name="v6uyjyu" localSheetId="20">{#N/A,#N/A,FALSE,"RIEP"}</definedName>
    <definedName name="v6uyjyu">{#N/A,#N/A,FALSE,"RIEP"}</definedName>
    <definedName name="vb"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vb">{#N/A,#N/A,TRUE,"Récap.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vo" localSheetId="20">{"consolidated",#N/A,FALSE,"Sheet1";"cms",#N/A,FALSE,"Sheet1";"fse",#N/A,FALSE,"Sheet1"}</definedName>
    <definedName name="vo">{"consolidated",#N/A,FALSE,"Sheet1";"cms",#N/A,FALSE,"Sheet1";"fse",#N/A,FALSE,"Sheet1"}</definedName>
    <definedName name="VOLUME">"VOLUME"</definedName>
    <definedName name="vv">#REF!</definedName>
    <definedName name="vvvv" localSheetId="20">{"QQQ",#N/A,FALSE,"RIEP"}</definedName>
    <definedName name="vvvv">{"QQQ",#N/A,FALSE,"RIEP"}</definedName>
    <definedName name="vvvvbbbb" localSheetId="20">{#N/A,#N/A,FALSE,"RIEP"}</definedName>
    <definedName name="vvvvbbbb">{#N/A,#N/A,FALSE,"RIEP"}</definedName>
    <definedName name="vvvvvv" localSheetId="20">{#N/A,#N/A,FALSE,"RIEP"}</definedName>
    <definedName name="vvvvvv">{#N/A,#N/A,FALSE,"RIEP"}</definedName>
    <definedName name="vvvvvvvv" localSheetId="20">{"SPM1",#N/A,FALSE,"RIEP"}</definedName>
    <definedName name="vvvvvvvv">{"SPM1",#N/A,FALSE,"RIEP"}</definedName>
    <definedName name="vwx" localSheetId="20">{#N/A,#N/A,FALSE,"Tabl. FB300";#N/A,#N/A,FALSE,"Tabl. FB350";#N/A,#N/A,FALSE,"Tabl. FB400";#N/A,#N/A,FALSE,"Tabl. FB500";#N/A,#N/A,FALSE,"Tabl. FS090"}</definedName>
    <definedName name="vwx">{#N/A,#N/A,FALSE,"Tabl. FB300";#N/A,#N/A,FALSE,"Tabl. FB350";#N/A,#N/A,FALSE,"Tabl. FB400";#N/A,#N/A,FALSE,"Tabl. FB500";#N/A,#N/A,FALSE,"Tabl. FS090"}</definedName>
    <definedName name="w" localSheetId="20">{#N/A,#N/A,FALSE,"CONTROLE"}</definedName>
    <definedName name="w">{#N/A,#N/A,FALSE,"CONTROLE"}</definedName>
    <definedName name="wert" localSheetId="20">{#N/A,#N/A,FALSE,"Baltimore";#N/A,#N/A,FALSE,"Barrington";#N/A,#N/A,FALSE,"Butler";#N/A,#N/A,FALSE,"Cleveland";#N/A,#N/A,FALSE,"Closter";#N/A,#N/A,FALSE,"Eaton";#N/A,#N/A,FALSE,"Meriden";#N/A,#N/A,FALSE,"Mt. Vernon";#N/A,#N/A,FALSE,"Rochester";#N/A,#N/A,FALSE,"Three Rivers";#N/A,#N/A,FALSE,"Warren"}</definedName>
    <definedName name="wert">{#N/A,#N/A,FALSE,"Baltimore";#N/A,#N/A,FALSE,"Barrington";#N/A,#N/A,FALSE,"Butler";#N/A,#N/A,FALSE,"Cleveland";#N/A,#N/A,FALSE,"Closter";#N/A,#N/A,FALSE,"Eaton";#N/A,#N/A,FALSE,"Meriden";#N/A,#N/A,FALSE,"Mt. Vernon";#N/A,#N/A,FALSE,"Rochester";#N/A,#N/A,FALSE,"Three Rivers";#N/A,#N/A,FALSE,"Warren"}</definedName>
    <definedName name="wewtre">48</definedName>
    <definedName name="whnos" localSheetId="20">{#N/A,#N/A,TRUE,"TOTAL DSBN";#N/A,#N/A,TRUE,"WEST";#N/A,#N/A,TRUE,"SOUTH";#N/A,#N/A,TRUE,"NORTHEAST"}</definedName>
    <definedName name="whnos">{#N/A,#N/A,TRUE,"TOTAL DSBN";#N/A,#N/A,TRUE,"WEST";#N/A,#N/A,TRUE,"SOUTH";#N/A,#N/A,TRUE,"NORTHEAST"}</definedName>
    <definedName name="why?" localSheetId="20">{#N/A,#N/A,TRUE,"TOTAL DSBN";#N/A,#N/A,TRUE,"WEST";#N/A,#N/A,TRUE,"SOUTH";#N/A,#N/A,TRUE,"NORTHEAST"}</definedName>
    <definedName name="why?">{#N/A,#N/A,TRUE,"TOTAL DSBN";#N/A,#N/A,TRUE,"WEST";#N/A,#N/A,TRUE,"SOUTH";#N/A,#N/A,TRUE,"NORTHEAST"}</definedName>
    <definedName name="wnr.budget._.99." localSheetId="20">{#N/A,#N/A,TRUE,"cover";#N/A,#N/A,TRUE,"PRI";#N/A,#N/A,TRUE,"BDG";#N/A,#N/A,TRUE,"FOR";#N/A,#N/A,TRUE,"PER";#N/A,#N/A,TRUE,"ORD";#N/A,#N/A,TRUE,"INV";#N/A,#N/A,TRUE,"CASH";#N/A,#N/A,TRUE,"TAX";#N/A,#N/A,TRUE,"rev_bdg";#N/A,#N/A,TRUE,"sales";#N/A,#N/A,TRUE,"interest"}</definedName>
    <definedName name="wnr.budget._.99.">{#N/A,#N/A,TRUE,"cover";#N/A,#N/A,TRUE,"PRI";#N/A,#N/A,TRUE,"BDG";#N/A,#N/A,TRUE,"FOR";#N/A,#N/A,TRUE,"PER";#N/A,#N/A,TRUE,"ORD";#N/A,#N/A,TRUE,"INV";#N/A,#N/A,TRUE,"CASH";#N/A,#N/A,TRUE,"TAX";#N/A,#N/A,TRUE,"rev_bdg";#N/A,#N/A,TRUE,"sales";#N/A,#N/A,TRUE,"interest"}</definedName>
    <definedName name="wrn.1." localSheetId="20">{#N/A,#N/A,FALSE,"Calc";#N/A,#N/A,FALSE,"Sensitivity";#N/A,#N/A,FALSE,"LT Earn.Dil.";#N/A,#N/A,FALSE,"Dil. AVP"}</definedName>
    <definedName name="wrn.1.">{#N/A,#N/A,FALSE,"Calc";#N/A,#N/A,FALSE,"Sensitivity";#N/A,#N/A,FALSE,"LT Earn.Dil.";#N/A,#N/A,FALSE,"Dil. AVP"}</definedName>
    <definedName name="wrn.97maint.xls." localSheetId="20">{#N/A,#N/A,TRUE,"TOTAL DISTRIBUTION";#N/A,#N/A,TRUE,"SOUTH";#N/A,#N/A,TRUE,"NORTHEAST";#N/A,#N/A,TRUE,"WEST"}</definedName>
    <definedName name="wrn.97maint.xls.">{#N/A,#N/A,TRUE,"TOTAL DISTRIBUTION";#N/A,#N/A,TRUE,"SOUTH";#N/A,#N/A,TRUE,"NORTHEAST";#N/A,#N/A,TRUE,"WEST"}</definedName>
    <definedName name="wrn.97OR.XLs." localSheetId="20">{#N/A,#N/A,TRUE,"TOTAL DSBN";#N/A,#N/A,TRUE,"WEST";#N/A,#N/A,TRUE,"SOUTH";#N/A,#N/A,TRUE,"NORTHEAST"}</definedName>
    <definedName name="wrn.97OR.XLs.">{#N/A,#N/A,TRUE,"TOTAL DSBN";#N/A,#N/A,TRUE,"WEST";#N/A,#N/A,TRUE,"SOUTH";#N/A,#N/A,TRUE,"NORTHEAST"}</definedName>
    <definedName name="wrn.adj95." localSheetId="20">{"adj95mult",#N/A,FALSE,"COMPCO";"adj95est",#N/A,FALSE,"COMPCO"}</definedName>
    <definedName name="wrn.adj95.">{"adj95mult",#N/A,FALSE,"COMPCO";"adj95est",#N/A,FALSE,"COMPCO"}</definedName>
    <definedName name="wrn.AESreport." localSheetId="20">{#N/A,#N/A,FALSE,"Table of content";#N/A,#N/A,FALSE,"Assumptions";#N/A,#N/A,FALSE,"Economy";#N/A,#N/A,FALSE,"Revenue Detail";#N/A,#N/A,FALSE,"Energy fee";#N/A,#N/A,FALSE,"Capacity fee";#N/A,#N/A,FALSE,"Production Income";#N/A,#N/A,FALSE,"Fuel Costs";#N/A,#N/A,FALSE,"O&amp;M Cost";#N/A,#N/A,FALSE,"Profit Loss";#N/A,#N/A,FALSE,"Financing";#N/A,#N/A,FALSE,"Cash Flow";#N/A,#N/A,FALSE,"Sources&amp;Uses";#N/A,#N/A,FALSE,"Balance";#N/A,#N/A,FALSE,"Investment";#N/A,#N/A,FALSE,"Investment Cost";#N/A,#N/A,FALSE,"Investment Financing";#N/A,#N/A,FALSE,"Assets";#N/A,#N/A,FALSE,"IRR"}</definedName>
    <definedName name="wrn.AESreport.">{#N/A,#N/A,FALSE,"Table of content";#N/A,#N/A,FALSE,"Assumptions";#N/A,#N/A,FALSE,"Economy";#N/A,#N/A,FALSE,"Revenue Detail";#N/A,#N/A,FALSE,"Energy fee";#N/A,#N/A,FALSE,"Capacity fee";#N/A,#N/A,FALSE,"Production Income";#N/A,#N/A,FALSE,"Fuel Costs";#N/A,#N/A,FALSE,"O&amp;M Cost";#N/A,#N/A,FALSE,"Profit Loss";#N/A,#N/A,FALSE,"Financing";#N/A,#N/A,FALSE,"Cash Flow";#N/A,#N/A,FALSE,"Sources&amp;Uses";#N/A,#N/A,FALSE,"Balance";#N/A,#N/A,FALSE,"Investment";#N/A,#N/A,FALSE,"Investment Cost";#N/A,#N/A,FALSE,"Investment Financing";#N/A,#N/A,FALSE,"Assets";#N/A,#N/A,FALSE,"IRR"}</definedName>
    <definedName name="wrn.Aging._.and._.Trend._.Analysis." localSheetId="20">{#N/A,#N/A,FALSE,"Aging Summary";#N/A,#N/A,FALSE,"Ratio Analysis";#N/A,#N/A,FALSE,"Test 120 Day Accts";#N/A,#N/A,FALSE,"Tickmarks"}</definedName>
    <definedName name="wrn.Aging._.and._.Trend._.Analysis.">{#N/A,#N/A,FALSE,"Aging Summary";#N/A,#N/A,FALSE,"Ratio Analysis";#N/A,#N/A,FALSE,"Test 120 Day Accts";#N/A,#N/A,FALSE,"Tickmarks"}</definedName>
    <definedName name="wrn.ALAN." localSheetId="20">{"CREDIT STATISTICS",#N/A,FALSE,"STATS";"CF_AND_IS",#N/A,FALSE,"PLAN";"DEBT SCHEDULE",#N/A,FALSE,"PLAN";"SUBSCRIBERS",#N/A,FALSE,"PLAN";"DETAIL_REV",#N/A,FALSE,"PLAN";"DETAIL_EXPENSE",#N/A,FALSE,"PLAN";"SALES_AND EXP_DRIVERS",#N/A,FALSE,"PLAN";"FIXED ASSETS",#N/A,FALSE,"PLAN";"DEPRECIATION SCHEDULE",#N/A,FALSE,"PLAN"}</definedName>
    <definedName name="wrn.ALAN.">{"CREDIT STATISTICS",#N/A,FALSE,"STATS";"CF_AND_IS",#N/A,FALSE,"PLAN";"DEBT SCHEDULE",#N/A,FALSE,"PLAN";"SUBSCRIBERS",#N/A,FALSE,"PLAN";"DETAIL_REV",#N/A,FALSE,"PLAN";"DETAIL_EXPENSE",#N/A,FALSE,"PLAN";"SALES_AND EXP_DRIVERS",#N/A,FALSE,"PLAN";"FIXED ASSETS",#N/A,FALSE,"PLAN";"DEPRECIATION SCHEDULE",#N/A,FALSE,"PLAN"}</definedName>
    <definedName name="wrn.alan.1" localSheetId="20">{"CREDIT STATISTICS",#N/A,FALSE,"STATS";"CF_AND_IS",#N/A,FALSE,"PLAN";"DEBT SCHEDULE",#N/A,FALSE,"PLAN";"SUBSCRIBERS",#N/A,FALSE,"PLAN";"DETAIL_REV",#N/A,FALSE,"PLAN";"DETAIL_EXPENSE",#N/A,FALSE,"PLAN";"SALES_AND EXP_DRIVERS",#N/A,FALSE,"PLAN";"FIXED ASSETS",#N/A,FALSE,"PLAN";"DEPRECIATION SCHEDULE",#N/A,FALSE,"PLAN"}</definedName>
    <definedName name="wrn.alan.1">{"CREDIT STATISTICS",#N/A,FALSE,"STATS";"CF_AND_IS",#N/A,FALSE,"PLAN";"DEBT SCHEDULE",#N/A,FALSE,"PLAN";"SUBSCRIBERS",#N/A,FALSE,"PLAN";"DETAIL_REV",#N/A,FALSE,"PLAN";"DETAIL_EXPENSE",#N/A,FALSE,"PLAN";"SALES_AND EXP_DRIVERS",#N/A,FALSE,"PLAN";"FIXED ASSETS",#N/A,FALSE,"PLAN";"DEPRECIATION SCHEDULE",#N/A,FALSE,"PLAN"}</definedName>
    <definedName name="wrn.ALL." localSheetId="20">{"CS",#N/A,FALSE,"STATS";"Inc",#N/A,FALSE,"PLAN";"CASH F",#N/A,FALSE,"PLAN";"Bal S",#N/A,FALSE,"BALANCE SHEET";"Subs",#N/A,FALSE,"PLAN";"Dep",#N/A,FALSE,"PLAN";"Debt",#N/A,FALSE,"PLAN";"Sales",#N/A,FALSE,"PLAN";"FA",#N/A,FALSE,"PLAN";"Rev",#N/A,FALSE,"PLAN";"Exp",#N/A,FALSE,"PLAN"}</definedName>
    <definedName name="wrn.ALL.">{"CS",#N/A,FALSE,"STATS";"Inc",#N/A,FALSE,"PLAN";"CASH F",#N/A,FALSE,"PLAN";"Bal S",#N/A,FALSE,"BALANCE SHEET";"Subs",#N/A,FALSE,"PLAN";"Dep",#N/A,FALSE,"PLAN";"Debt",#N/A,FALSE,"PLAN";"Sales",#N/A,FALSE,"PLAN";"FA",#N/A,FALSE,"PLAN";"Rev",#N/A,FALSE,"PLAN";"Exp",#N/A,FALSE,"PLAN"}</definedName>
    <definedName name="wrn.all._.input." localSheetId="20">{"basic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Reports." localSheetId="20">{#N/A,#N/A,FALSE,"Baltimore";#N/A,#N/A,FALSE,"Barrington";#N/A,#N/A,FALSE,"Butler";#N/A,#N/A,FALSE,"Cleveland";#N/A,#N/A,FALSE,"Closter";#N/A,#N/A,FALSE,"Eaton";#N/A,#N/A,FALSE,"Meriden";#N/A,#N/A,FALSE,"Mt. Vernon";#N/A,#N/A,FALSE,"Rochester";#N/A,#N/A,FALSE,"Three Rivers";#N/A,#N/A,FALSE,"Warren"}</definedName>
    <definedName name="wrn.All._.Reports.">{#N/A,#N/A,FALSE,"Baltimore";#N/A,#N/A,FALSE,"Barrington";#N/A,#N/A,FALSE,"Butler";#N/A,#N/A,FALSE,"Cleveland";#N/A,#N/A,FALSE,"Closter";#N/A,#N/A,FALSE,"Eaton";#N/A,#N/A,FALSE,"Meriden";#N/A,#N/A,FALSE,"Mt. Vernon";#N/A,#N/A,FALSE,"Rochester";#N/A,#N/A,FALSE,"Three Rivers";#N/A,#N/A,FALSE,"Warren"}</definedName>
    <definedName name="wrn.all.1" localSheetId="20">{"CS",#N/A,FALSE,"STATS";"Inc",#N/A,FALSE,"PLAN";"CASH F",#N/A,FALSE,"PLAN";"Bal S",#N/A,FALSE,"BALANCE SHEET";"Subs",#N/A,FALSE,"PLAN";"Dep",#N/A,FALSE,"PLAN";"Debt",#N/A,FALSE,"PLAN";"Sales",#N/A,FALSE,"PLAN";"FA",#N/A,FALSE,"PLAN";"Rev",#N/A,FALSE,"PLAN";"Exp",#N/A,FALSE,"PLAN"}</definedName>
    <definedName name="wrn.all.1">{"CS",#N/A,FALSE,"STATS";"Inc",#N/A,FALSE,"PLAN";"CASH F",#N/A,FALSE,"PLAN";"Bal S",#N/A,FALSE,"BALANCE SHEET";"Subs",#N/A,FALSE,"PLAN";"Dep",#N/A,FALSE,"PLAN";"Debt",#N/A,FALSE,"PLAN";"Sales",#N/A,FALSE,"PLAN";"FA",#N/A,FALSE,"PLAN";"Rev",#N/A,FALSE,"PLAN";"Exp",#N/A,FALSE,"PLAN"}</definedName>
    <definedName name="wrn.all.2" localSheetId="20">{#N/A,#N/A,FALSE,"DCF";#N/A,#N/A,FALSE,"WACC";#N/A,#N/A,FALSE,"Sales_EBIT";#N/A,#N/A,FALSE,"Capex_Depreciation";#N/A,#N/A,FALSE,"WC";#N/A,#N/A,FALSE,"Interest";#N/A,#N/A,FALSE,"Assumptions"}</definedName>
    <definedName name="wrn.all.2">{#N/A,#N/A,FALSE,"DCF";#N/A,#N/A,FALSE,"WACC";#N/A,#N/A,FALSE,"Sales_EBIT";#N/A,#N/A,FALSE,"Capex_Depreciation";#N/A,#N/A,FALSE,"WC";#N/A,#N/A,FALSE,"Interest";#N/A,#N/A,FALSE,"Assumptions"}</definedName>
    <definedName name="wrn.ALL2." localSheetId="20">{#N/A,#N/A,FALSE,"DCF";#N/A,#N/A,FALSE,"WACC";#N/A,#N/A,FALSE,"Sales_EBIT";#N/A,#N/A,FALSE,"Capex_Depreciation";#N/A,#N/A,FALSE,"WC";#N/A,#N/A,FALSE,"Interest";#N/A,#N/A,FALSE,"Assumptions"}</definedName>
    <definedName name="wrn.ALL2.">{#N/A,#N/A,FALSE,"DCF";#N/A,#N/A,FALSE,"WACC";#N/A,#N/A,FALSE,"Sales_EBIT";#N/A,#N/A,FALSE,"Capex_Depreciation";#N/A,#N/A,FALSE,"WC";#N/A,#N/A,FALSE,"Interest";#N/A,#N/A,FALSE,"Assumptions"}</definedName>
    <definedName name="wrn.ANEXO0300." localSheetId="20">{#N/A,#N/A,FALSE,"ANEXO3 00 GDV";#N/A,#N/A,FALSE,"ANEXO3 00 GCM";#N/A,#N/A,FALSE,"ANEXO3 00  UBÁ6";#N/A,#N/A,FALSE,"ANEXO3 00 CJI";#N/A,#N/A,FALSE,"ANEXO3 00 UBÁ4";#N/A,#N/A,FALSE,"ANEXO3 00 UBÁ5";#N/A,#N/A,FALSE,"ANEXO3 00 UBÁ7";#N/A,#N/A,FALSE,"ANEXO3 00 VRB1"}</definedName>
    <definedName name="wrn.ANEXO0300.">{#N/A,#N/A,FALSE,"ANEXO3 00 GDV";#N/A,#N/A,FALSE,"ANEXO3 00 GCM";#N/A,#N/A,FALSE,"ANEXO3 00  UBÁ6";#N/A,#N/A,FALSE,"ANEXO3 00 CJI";#N/A,#N/A,FALSE,"ANEXO3 00 UBÁ4";#N/A,#N/A,FALSE,"ANEXO3 00 UBÁ5";#N/A,#N/A,FALSE,"ANEXO3 00 UBÁ7";#N/A,#N/A,FALSE,"ANEXO3 00 VRB1"}</definedName>
    <definedName name="wrn.ANEXO0399." localSheetId="20">{#N/A,#N/A,FALSE,"ANEXO3 99 ERA";#N/A,#N/A,FALSE,"ANEXO3 99 UBÁ2";#N/A,#N/A,FALSE,"ANEXO3 99 DTU";#N/A,#N/A,FALSE,"ANEXO3 99 RDR";#N/A,#N/A,FALSE,"ANEXO3 99 UBÁ4";#N/A,#N/A,FALSE,"ANEXO3 99 UBÁ6"}</definedName>
    <definedName name="wrn.ANEXO0399.">{#N/A,#N/A,FALSE,"ANEXO3 99 ERA";#N/A,#N/A,FALSE,"ANEXO3 99 UBÁ2";#N/A,#N/A,FALSE,"ANEXO3 99 DTU";#N/A,#N/A,FALSE,"ANEXO3 99 RDR";#N/A,#N/A,FALSE,"ANEXO3 99 UBÁ4";#N/A,#N/A,FALSE,"ANEXO3 99 UBÁ6"}</definedName>
    <definedName name="wrn.ANEXO0399.2" localSheetId="20">{#N/A,#N/A,FALSE,"ANEXO3 99 ERA";#N/A,#N/A,FALSE,"ANEXO3 99 UBÁ2";#N/A,#N/A,FALSE,"ANEXO3 99 DTU";#N/A,#N/A,FALSE,"ANEXO3 99 RDR";#N/A,#N/A,FALSE,"ANEXO3 99 UBÁ4";#N/A,#N/A,FALSE,"ANEXO3 99 UBÁ6"}</definedName>
    <definedName name="wrn.ANEXO0399.2">{#N/A,#N/A,FALSE,"ANEXO3 99 ERA";#N/A,#N/A,FALSE,"ANEXO3 99 UBÁ2";#N/A,#N/A,FALSE,"ANEXO3 99 DTU";#N/A,#N/A,FALSE,"ANEXO3 99 RDR";#N/A,#N/A,FALSE,"ANEXO3 99 UBÁ4";#N/A,#N/A,FALSE,"ANEXO3 99 UBÁ6"}</definedName>
    <definedName name="wrn.Annual._.Report." localSheetId="20">{"ARPandL",#N/A,FALSE,"Report Annual";"ARCashflow",#N/A,FALSE,"Report Annual";"ARBalanceSheet",#N/A,FALSE,"Report Annual";"ARRatios",#N/A,FALSE,"Report Annual"}</definedName>
    <definedName name="wrn.Annual._.Report.">{"ARPandL",#N/A,FALSE,"Report Annual";"ARCashflow",#N/A,FALSE,"Report Annual";"ARBalanceSheet",#N/A,FALSE,"Report Annual";"ARRatios",#N/A,FALSE,"Report Annual"}</definedName>
    <definedName name="wrn.APLICAÇÃO." localSheetId="20">{#N/A,#N/A,FALSE,"CONTROLE"}</definedName>
    <definedName name="wrn.APLICAÇÃO.">{#N/A,#N/A,FALSE,"CONTROLE"}</definedName>
    <definedName name="wrn.Asia." localSheetId="20">{"rawdata",#N/A,TRUE,"HKT";"in",#N/A,TRUE,"HKT";"rawdata",#N/A,TRUE,"PTInd";"in",#N/A,TRUE,"PTInd";"rawdata",#N/A,TRUE,"NTT";"in",#N/A,TRUE,"NTT";"rawdata",#N/A,TRUE,"PLD";"in",#N/A,TRUE,"PLD";"rawdata",#N/A,TRUE,"PTTelk";"in",#N/A,TRUE,"PTTelk";"rawdata",#N/A,TRUE,"ST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uto._.Comp." localSheetId="20">{#N/A,#N/A,FALSE,"Sheet1"}</definedName>
    <definedName name="wrn.Auto._.Comp.">{#N/A,#N/A,FALSE,"Sheet1"}</definedName>
    <definedName name="wrn.B._.P._.TDS." localSheetId="20">{#N/A,#N/A,TRUE,"Récap.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wrn.B._.P._.TDS.">{#N/A,#N/A,TRUE,"Récap.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wrn.BANKPLAN." localSheetId="20">{"cebank",#N/A,FALSE,"P9498BAR";"spbank",#N/A,FALSE,"P9498BAR";"renfinbank",#N/A,FALSE,"P9498BAR";"indici",#N/A,FALSE,"P9498BAR"}</definedName>
    <definedName name="wrn.BANKPLAN.">{"cebank",#N/A,FALSE,"P9498BAR";"spbank",#N/A,FALSE,"P9498BAR";"renfinbank",#N/A,FALSE,"P9498BAR";"indici",#N/A,FALSE,"P9498BAR"}</definedName>
    <definedName name="wrn.bdg_rev." localSheetId="20">{#N/A,#N/A,TRUE,"ass";#N/A,#N/A,TRUE,"rev_bdg_bp";#N/A,#N/A,TRUE,"sales_bp";#N/A,#N/A,TRUE,"costs_bp"}</definedName>
    <definedName name="wrn.bdg_rev.">{#N/A,#N/A,TRUE,"ass";#N/A,#N/A,TRUE,"rev_bdg_bp";#N/A,#N/A,TRUE,"sales_bp";#N/A,#N/A,TRUE,"costs_bp"}</definedName>
    <definedName name="wrn.book." localSheetId="20">{#N/A,#N/A,FALSE,"PRESENT";#N/A,#N/A,FALSE,"INDICE";#N/A,#N/A,FALSE,"DIV_CONS";#N/A,#N/A,FALSE,"DIV_GRUP";#N/A,#N/A,FALSE,"DIV_BIM";#N/A,#N/A,FALSE,"DIV_UMPL";#N/A,#N/A,FALSE,"DIV_BDBAS";#N/A,#N/A,FALSE,"B_SRL";#N/A,#N/A,FALSE,"MQ_SRL"}</definedName>
    <definedName name="wrn.book.">{#N/A,#N/A,FALSE,"PRESENT";#N/A,#N/A,FALSE,"INDICE";#N/A,#N/A,FALSE,"DIV_CONS";#N/A,#N/A,FALSE,"DIV_GRUP";#N/A,#N/A,FALSE,"DIV_BIM";#N/A,#N/A,FALSE,"DIV_UMPL";#N/A,#N/A,FALSE,"DIV_BDBAS";#N/A,#N/A,FALSE,"B_SRL";#N/A,#N/A,FALSE,"MQ_SRL"}</definedName>
    <definedName name="wrn.bookinterno." localSheetId="20">{#N/A,#N/A,FALSE,"PRESENT";#N/A,#N/A,FALSE,"INDICE";#N/A,#N/A,FALSE,"DIV_CONS";#N/A,#N/A,FALSE,"DIV_GRUP";#N/A,#N/A,FALSE,"DIV_BIM";#N/A,#N/A,FALSE,"DIV_UMPL";#N/A,#N/A,FALSE,"DIV_BDBAS"}</definedName>
    <definedName name="wrn.bookinterno.">{#N/A,#N/A,FALSE,"PRESENT";#N/A,#N/A,FALSE,"INDICE";#N/A,#N/A,FALSE,"DIV_CONS";#N/A,#N/A,FALSE,"DIV_GRUP";#N/A,#N/A,FALSE,"DIV_BIM";#N/A,#N/A,FALSE,"DIV_UMPL";#N/A,#N/A,FALSE,"DIV_BDBAS"}</definedName>
    <definedName name="wrn.BSCOMIT." localSheetId="20">{#N/A,#N/A,FALSE,"bs_cons";#N/A,#N/A,FALSE,"bs_grup";#N/A,#N/A,FALSE,"bs_umpl";#N/A,#N/A,FALSE,"bs_bim";#N/A,#N/A,FALSE,"bs_bdb";#N/A,#N/A,FALSE,"bs_mq32";#N/A,#N/A,FALSE,"bs_bsrl"}</definedName>
    <definedName name="wrn.BSCOMIT.">{#N/A,#N/A,FALSE,"bs_cons";#N/A,#N/A,FALSE,"bs_grup";#N/A,#N/A,FALSE,"bs_umpl";#N/A,#N/A,FALSE,"bs_bim";#N/A,#N/A,FALSE,"bs_bdb";#N/A,#N/A,FALSE,"bs_mq32";#N/A,#N/A,FALSE,"bs_bsrl"}</definedName>
    <definedName name="wrn.budget._.98." localSheetId="20">{#N/A,#N/A,TRUE,"cover";#N/A,#N/A,TRUE,"PRI";#N/A,#N/A,TRUE,"BDG";#N/A,#N/A,TRUE,"FOR";#N/A,#N/A,TRUE,"PER";#N/A,#N/A,TRUE,"ORD";#N/A,#N/A,TRUE,"INV";#N/A,#N/A,TRUE,"CASH";#N/A,#N/A,TRUE,"TAX";#N/A,#N/A,TRUE,"rev_bdg";#N/A,#N/A,TRUE,"sales";#N/A,#N/A,TRUE,"interest"}</definedName>
    <definedName name="wrn.budget._.98.">{#N/A,#N/A,TRUE,"cover";#N/A,#N/A,TRUE,"PRI";#N/A,#N/A,TRUE,"BDG";#N/A,#N/A,TRUE,"FOR";#N/A,#N/A,TRUE,"PER";#N/A,#N/A,TRUE,"ORD";#N/A,#N/A,TRUE,"INV";#N/A,#N/A,TRUE,"CASH";#N/A,#N/A,TRUE,"TAX";#N/A,#N/A,TRUE,"rev_bdg";#N/A,#N/A,TRUE,"sales";#N/A,#N/A,TRUE,"interest"}</definedName>
    <definedName name="wrn.BUDGET98_F." localSheetId="20">{#N/A,#N/A,TRUE,"PRI";#N/A,#N/A,TRUE,"BDG";#N/A,#N/A,TRUE,"PER";#N/A,#N/A,TRUE,"INV";#N/A,#N/A,TRUE,"CASH";#N/A,#N/A,TRUE,"cover"}</definedName>
    <definedName name="wrn.BUDGET98_F.">{#N/A,#N/A,TRUE,"PRI";#N/A,#N/A,TRUE,"BDG";#N/A,#N/A,TRUE,"PER";#N/A,#N/A,TRUE,"INV";#N/A,#N/A,TRUE,"CASH";#N/A,#N/A,TRUE,"cover"}</definedName>
    <definedName name="wrn.Buildups." localSheetId="20">{"ACQ",#N/A,FALSE,"ACQUISITIONS";"ACQF",#N/A,FALSE,"ACQUISITIONS";"PF",#N/A,FALSE,"PROYECTOVILA";"PV",#N/A,FALSE,"PROYECTOVILA";"Fee Dev",#N/A,FALSE,"DEVELOPMENT GROWTH";"gd",#N/A,FALSE,"DEVELOPMENT GROWTH"}</definedName>
    <definedName name="wrn.Buildups.">{"ACQ",#N/A,FALSE,"ACQUISITIONS";"ACQF",#N/A,FALSE,"ACQUISITIONS";"PF",#N/A,FALSE,"PROYECTOVILA";"PV",#N/A,FALSE,"PROYECTOVILA";"Fee Dev",#N/A,FALSE,"DEVELOPMENT GROWTH";"gd",#N/A,FALSE,"DEVELOPMENT GROWTH"}</definedName>
    <definedName name="wrn.buildups.1" localSheetId="20">{"ACQ",#N/A,FALSE,"ACQUISITIONS";"ACQF",#N/A,FALSE,"ACQUISITIONS";"PF",#N/A,FALSE,"PROYECTOVILA";"PV",#N/A,FALSE,"PROYECTOVILA";"Fee Dev",#N/A,FALSE,"DEVELOPMENT GROWTH";"gd",#N/A,FALSE,"DEVELOPMENT GROWTH"}</definedName>
    <definedName name="wrn.buildups.1">{"ACQ",#N/A,FALSE,"ACQUISITIONS";"ACQF",#N/A,FALSE,"ACQUISITIONS";"PF",#N/A,FALSE,"PROYECTOVILA";"PV",#N/A,FALSE,"PROYECTOVILA";"Fee Dev",#N/A,FALSE,"DEVELOPMENT GROWTH";"gd",#N/A,FALSE,"DEVELOPMENT GROWTH"}</definedName>
    <definedName name="wrn.BUTENE1PR." localSheetId="20">{"BUTENE1_PR",#N/A,FALSE,"CONS.RAFF2"}</definedName>
    <definedName name="wrn.BUTENE1PR.">{"BUTENE1_PR",#N/A,FALSE,"CONS.RAFF2"}</definedName>
    <definedName name="wrn.Calculations." localSheetId="20">{"Calc 1",#N/A,FALSE,"CAL";"Calc 2",#N/A,FALSE,"CAL";"Calc 3",#N/A,FALSE,"CAL";"Calc 4",#N/A,FALSE,"CAL";"Calc 5",#N/A,FALSE,"CAL";"Calc 6",#N/A,FALSE,"CAL";"Calc 7",#N/A,FALSE,"CAL";"Calc 8",#N/A,FALSE,"CAL";"Calc 9",#N/A,FALSE,"CAL";"Calc 10",#N/A,FALSE,"CAL";"Calc 11",#N/A,FALSE,"CAL";"Calc 12",#N/A,FALSE,"CAL";"Calc 13",#N/A,FALSE,"CAL";"Calc 14",#N/A,FALSE,"CAL";"Calc 15",#N/A,FALSE,"CAL";"Calc 16",#N/A,FALSE,"CAL";"Calc 17",#N/A,FALSE,"CAL";"Calc 18",#N/A,FALSE,"CAL"}</definedName>
    <definedName name="wrn.Calculations.">{"Calc 1",#N/A,FALSE,"CAL";"Calc 2",#N/A,FALSE,"CAL";"Calc 3",#N/A,FALSE,"CAL";"Calc 4",#N/A,FALSE,"CAL";"Calc 5",#N/A,FALSE,"CAL";"Calc 6",#N/A,FALSE,"CAL";"Calc 7",#N/A,FALSE,"CAL";"Calc 8",#N/A,FALSE,"CAL";"Calc 9",#N/A,FALSE,"CAL";"Calc 10",#N/A,FALSE,"CAL";"Calc 11",#N/A,FALSE,"CAL";"Calc 12",#N/A,FALSE,"CAL";"Calc 13",#N/A,FALSE,"CAL";"Calc 14",#N/A,FALSE,"CAL";"Calc 15",#N/A,FALSE,"CAL";"Calc 16",#N/A,FALSE,"CAL";"Calc 17",#N/A,FALSE,"CAL";"Calc 18",#N/A,FALSE,"CAL"}</definedName>
    <definedName name="wrn.CCC." localSheetId="20">{"QQQ",#N/A,FALSE,"RIEP"}</definedName>
    <definedName name="wrn.CCC.">{"QQQ",#N/A,FALSE,"RIEP"}</definedName>
    <definedName name="wrn.charts." localSheetId="20">{"newyork",#N/A,FALSE,"Plots-Annually";"florida",#N/A,FALSE,"Plots-Annually"}</definedName>
    <definedName name="wrn.charts.">{"newyork",#N/A,FALSE,"Plots-Annually";"florida",#N/A,FALSE,"Plots-Annually"}</definedName>
    <definedName name="wrn.COMMENTAIRES." localSheetId="20">{#N/A,#N/A,FALSE,"EC COMM-c";#N/A,#N/A,FALSE,"EC PAR PDTS-c";#N/A,#N/A,FALSE,"EC MAT-c";#N/A,#N/A,FALSE,"SUIVI HAUSSES-c"}</definedName>
    <definedName name="wrn.COMMENTAIRES.">{#N/A,#N/A,FALSE,"EC COMM-c";#N/A,#N/A,FALSE,"EC PAR PDTS-c";#N/A,#N/A,FALSE,"EC MAT-c";#N/A,#N/A,FALSE,"SUIVI HAUSSES-c"}</definedName>
    <definedName name="wrn.COMPCO." localSheetId="20">{"Page1",#N/A,FALSE,"CompCo";"Page2",#N/A,FALSE,"CompCo"}</definedName>
    <definedName name="wrn.COMPCO.">{"Page1",#N/A,FALSE,"CompCo";"Page2",#N/A,FALSE,"CompCo"}</definedName>
    <definedName name="wrn.Complet." localSheetId="20">{"Point Mort",#N/A,FALSE,"Ratios";"Tableaux",#N/A,FALSE,"Ratios"}</definedName>
    <definedName name="wrn.Complet.">{"Point Mort",#N/A,FALSE,"Ratios";"Tableaux",#N/A,FALSE,"Ratios"}</definedName>
    <definedName name="wrn.Complete." localSheetId="20">{#N/A,#N/A,TRUE,"DCF Summary";#N/A,#N/A,TRUE,"Casema";#N/A,#N/A,TRUE,"UK";#N/A,#N/A,TRUE,"RCF";#N/A,#N/A,TRUE,"Intercable CZ";#N/A,#N/A,TRUE,"Interkabel P";#N/A,#N/A,TRUE,"LBO-Total";#N/A,#N/A,TRUE,"LBO-Casema"}</definedName>
    <definedName name="wrn.Complete.">{#N/A,#N/A,TRUE,"DCF Summary";#N/A,#N/A,TRUE,"Casema";#N/A,#N/A,TRUE,"UK";#N/A,#N/A,TRUE,"RCF";#N/A,#N/A,TRUE,"Intercable CZ";#N/A,#N/A,TRUE,"Interkabel P";#N/A,#N/A,TRUE,"LBO-Total";#N/A,#N/A,TRUE,"LBO-Casema"}</definedName>
    <definedName name="wrn.Component._.Analy." localSheetId="20">{#N/A,#N/A,FALSE,"Results";#N/A,#N/A,FALSE,"Input Data";#N/A,#N/A,FALSE,"Generation Calculation";#N/A,#N/A,FALSE,"Unit Heat Rate Calculation";#N/A,#N/A,FALSE,"BEFF.XLS";#N/A,#N/A,FALSE,"TURBEFF.XLS";#N/A,#N/A,FALSE,"Final FWH Extraction Flow";#N/A,#N/A,FALSE,"Condenser Performance";#N/A,#N/A,FALSE,"Stage Pressure Correction"}</definedName>
    <definedName name="wrn.Component._.Analy.">{#N/A,#N/A,FALSE,"Results";#N/A,#N/A,FALSE,"Input Data";#N/A,#N/A,FALSE,"Generation Calculation";#N/A,#N/A,FALSE,"Unit Heat Rate Calculation";#N/A,#N/A,FALSE,"BEFF.XLS";#N/A,#N/A,FALSE,"TURBEFF.XLS";#N/A,#N/A,FALSE,"Final FWH Extraction Flow";#N/A,#N/A,FALSE,"Condenser Performance";#N/A,#N/A,FALSE,"Stage Pressure Correction"}</definedName>
    <definedName name="wrn.Comps._.only." localSheetId="20">{"Multiples",#N/A,FALSE,"Multiples";"margins",#N/A,FALSE,"Margins";"Income",#N/A,FALSE,"IS1";"Balance Sheet",#N/A,FALSE,"BS";"Market",#N/A,FALSE,"MKT"}</definedName>
    <definedName name="wrn.Comps._.only.">{"Multiples",#N/A,FALSE,"Multiples";"margins",#N/A,FALSE,"Margins";"Income",#N/A,FALSE,"IS1";"Balance Sheet",#N/A,FALSE,"BS";"Market",#N/A,FALSE,"MKT"}</definedName>
    <definedName name="wrn.condensate." localSheetId="20">{"condensate",#N/A,FALSE,"CNTRYTYPE"}</definedName>
    <definedName name="wrn.condensate.">{"condensate",#N/A,FALSE,"CNTRYTYPE"}</definedName>
    <definedName name="wrn.Condenser._.Summary." localSheetId="20">{#N/A,#N/A,FALSE,"SUMMARY";#N/A,#N/A,FALSE,"INPUTDATA";#N/A,#N/A,FALSE,"Condenser Performance"}</definedName>
    <definedName name="wrn.Condenser._.Summary.">{#N/A,#N/A,FALSE,"SUMMARY";#N/A,#N/A,FALSE,"INPUTDATA";#N/A,#N/A,FALSE,"Condenser Performance"}</definedName>
    <definedName name="wrn.CONSRAFF2." localSheetId="20">{"CONS_RAFF2",#N/A,FALSE,"CONS.RAFF2"}</definedName>
    <definedName name="wrn.CONSRAFF2.">{"CONS_RAFF2",#N/A,FALSE,"CONS.RAFF2"}</definedName>
    <definedName name="wrn.Continous._.Page._.Numbers._.DCF." localSheetId="20">{#N/A,#N/A,TRUE,"Cover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ntinous._.Page._.Numbers._.DCF.">{#N/A,#N/A,TRUE,"Cover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ST." localSheetId="20">{#N/A,#N/A,FALSE,"T COST";#N/A,#N/A,FALSE,"COST_FH"}</definedName>
    <definedName name="wrn.COST.">{#N/A,#N/A,FALSE,"T COST";#N/A,#N/A,FALSE,"COST_FH"}</definedName>
    <definedName name="wrn.Cover." localSheetId="20">{"coverall",#N/A,FALSE,"Definitions";"cover1",#N/A,FALSE,"Definitions";"cover2",#N/A,FALSE,"Definitions";"cover3",#N/A,FALSE,"Definitions";"cover4",#N/A,FALSE,"Definitions";"cover5",#N/A,FALSE,"Definitions";"blank",#N/A,FALSE,"Definitions"}</definedName>
    <definedName name="wrn.Cover.">{"coverall",#N/A,FALSE,"Definitions";"cover1",#N/A,FALSE,"Definitions";"cover2",#N/A,FALSE,"Definitions";"cover3",#N/A,FALSE,"Definitions";"cover4",#N/A,FALSE,"Definitions";"cover5",#N/A,FALSE,"Definitions";"blank",#N/A,FALSE,"Definitions"}</definedName>
    <definedName name="wrn.crude." localSheetId="20">{"Padd1crd",#N/A,FALSE,"REFINERY";"padd2crd",#N/A,FALSE,"REFINERY";"padd3crd",#N/A,FALSE,"REFINERY";"padd4crd",#N/A,FALSE,"REFINERY";"padd5crd",#N/A,FALSE,"REFINERY"}</definedName>
    <definedName name="wrn.crude.">{"Padd1crd",#N/A,FALSE,"REFINERY";"padd2crd",#N/A,FALSE,"REFINERY";"padd3crd",#N/A,FALSE,"REFINERY";"padd4crd",#N/A,FALSE,"REFINERY";"padd5crd",#N/A,FALSE,"REFINERY"}</definedName>
    <definedName name="wrn.CRV._.Variação." localSheetId="20">{#N/A,#N/A,FALSE,"CRV_Português"}</definedName>
    <definedName name="wrn.CRV._.Variação.">{#N/A,#N/A,FALSE,"CRV_Português"}</definedName>
    <definedName name="wrn.CUADROS._.BALANCEG." localSheetId="20">{"HOJA100",#N/A,FALSE,"HOJA_100";"HOJA200",#N/A,FALSE,"HOJA_200";"HOJA300",#N/A,FALSE,"HOJA_300";"HOJA400",#N/A,FALSE,"HOJA_400"}</definedName>
    <definedName name="wrn.CUADROS._.BALANCEG.">{"HOJA100",#N/A,FALSE,"HOJA_100";"HOJA200",#N/A,FALSE,"HOJA_200";"HOJA300",#N/A,FALSE,"HOJA_300";"HOJA400",#N/A,FALSE,"HOJA_400"}</definedName>
    <definedName name="wrn.Current." localSheetId="20">{#N/A,#N/A,FALSE,"CEO Report";"CM 2004 Actual vs. CM 2005 Actual",#N/A,FALSE,"YTD05 Actual vs YTD05 Budget";"YTD  2004 vs. 2005",#N/A,FALSE,"YTD05 Actual vs YTD05 Budget";#N/A,#N/A,FALSE,"CM Actual vs. CM Budget";"YTD 05 Budget vs. 05 Actual",#N/A,FALSE,"YTD05 Actual vs YTD05 Budget"}</definedName>
    <definedName name="wrn.Current.">{#N/A,#N/A,FALSE,"CEO Report";"CM 2004 Actual vs. CM 2005 Actual",#N/A,FALSE,"YTD05 Actual vs YTD05 Budget";"YTD  2004 vs. 2005",#N/A,FALSE,"YTD05 Actual vs YTD05 Budget";#N/A,#N/A,FALSE,"CM Actual vs. CM Budget";"YTD 05 Budget vs. 05 Actual",#N/A,FALSE,"YTD05 Actual vs YTD05 Budget"}</definedName>
    <definedName name="wrn.Current2." localSheetId="20">{#N/A,#N/A,FALSE,"CEO Report";"CM 2004 Actual vs. CM 2005 Actual",#N/A,FALSE,"YTD05 Actual vs YTD05 Budget";"YTD  2004 vs. 2005",#N/A,FALSE,"YTD05 Actual vs YTD05 Budget";#N/A,#N/A,FALSE,"CM Actual vs. CM Budget";"YTD 05 Budget vs. 05 Actual",#N/A,FALSE,"YTD05 Actual vs YTD05 Budget"}</definedName>
    <definedName name="wrn.Current2.">{#N/A,#N/A,FALSE,"CEO Report";"CM 2004 Actual vs. CM 2005 Actual",#N/A,FALSE,"YTD05 Actual vs YTD05 Budget";"YTD  2004 vs. 2005",#N/A,FALSE,"YTD05 Actual vs YTD05 Budget";#N/A,#N/A,FALSE,"CM Actual vs. CM Budget";"YTD 05 Budget vs. 05 Actual",#N/A,FALSE,"YTD05 Actual vs YTD05 Budget"}</definedName>
    <definedName name="wrn.DCF." localSheetId="20">{"DCF1",#N/A,FALSE,"SIERRA DCF";"MATRIX1",#N/A,FALSE,"SIERRA DCF"}</definedName>
    <definedName name="wrn.DCF.">{"DCF1",#N/A,FALSE,"SIERRA DCF";"MATRIX1",#N/A,FALSE,"SIERRA DCF"}</definedName>
    <definedName name="wrn.DCF._.Only." localSheetId="20">{#N/A,#N/A,FALSE,"DCF Summary";#N/A,#N/A,FALSE,"Casema";#N/A,#N/A,FALSE,"Casema NoTel";#N/A,#N/A,FALSE,"UK";#N/A,#N/A,FALSE,"RCF";#N/A,#N/A,FALSE,"Intercable CZ";#N/A,#N/A,FALSE,"Interkabel P"}</definedName>
    <definedName name="wrn.DCF._.Only.">{#N/A,#N/A,FALSE,"DCF Summary";#N/A,#N/A,FALSE,"Casema";#N/A,#N/A,FALSE,"Casema NoTel";#N/A,#N/A,FALSE,"UK";#N/A,#N/A,FALSE,"RCF";#N/A,#N/A,FALSE,"Intercable CZ";#N/A,#N/A,FALSE,"Interkabel P"}</definedName>
    <definedName name="wrn.DCFEpervier." localSheetId="20">{#N/A,#N/A,FALSE,"Inc.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CFEpervier.">{#N/A,#N/A,FALSE,"Inc.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ELTA." localSheetId="20">{"table II 1",#N/A,FALSE,"DTables";"table II 2",#N/A,FALSE,"DTables";"table III 3",#N/A,FALSE,"DTables";"table III 4",#N/A,FALSE,"DTables"}</definedName>
    <definedName name="wrn.DELTA.">{"table II 1",#N/A,FALSE,"DTables";"table II 2",#N/A,FALSE,"DTables";"table III 3",#N/A,FALSE,"DTables";"table III 4",#N/A,FALSE,"DTables"}</definedName>
    <definedName name="wrn.Demand._.MT." localSheetId="20">{"Demand by Product MT",#N/A,TRUE,"PRDEMPOR";"Demand by Sector MT",#N/A,TRUE,"PRDEMPOR"}</definedName>
    <definedName name="wrn.Demand._.MT.">{"Demand by Product MT",#N/A,TRUE,"PRDEMPOR";"Demand by Sector MT",#N/A,TRUE,"PRDEMPOR"}</definedName>
    <definedName name="wrn.Demand._.MTOE." localSheetId="20">{"Demand by Product MTOE",#N/A,TRUE,"PRDEMPOR";"Demand by Sector MTOE",#N/A,TRUE,"PRDEMPOR"}</definedName>
    <definedName name="wrn.Demand._.MTOE.">{"Demand by Product MTOE",#N/A,TRUE,"PRDEMPOR";"Demand by Sector MTOE",#N/A,TRUE,"PRDEMPOR"}</definedName>
    <definedName name="wrn.DespesasPorArea." localSheetId="20">{"TotalGeralDespesasPorArea",#N/A,FALSE,"VinculosAccessEfetivo"}</definedName>
    <definedName name="wrn.DespesasPorArea.">{"TotalGeralDespesasPorArea",#N/A,FALSE,"VinculosAccessEfetivo"}</definedName>
    <definedName name="wrn.detail." localSheetId="20">{#N/A,#N/A,FALSE,"TOTAL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irettori." localSheetId="20">{#N/A,#N/A,FALSE,"L. Zottola";#N/A,#N/A,FALSE,"M. Ruggi";#N/A,#N/A,FALSE,"M. Valenti";#N/A,#N/A,FALSE,"C. Mazza";#N/A,#N/A,FALSE,"G. Bellinzona";#N/A,#N/A,FALSE,"M. Carletti";#N/A,#N/A,FALSE,"P. Maresca";#N/A,#N/A,FALSE,"L. Tondi";#N/A,#N/A,FALSE,"M. Marani";#N/A,#N/A,FALSE,"R. Ruggerini";#N/A,#N/A,FALSE,"L. Liguori";#N/A,#N/A,FALSE,"D. Battistel"}</definedName>
    <definedName name="wrn.direttori.">{#N/A,#N/A,FALSE,"L. Zottola";#N/A,#N/A,FALSE,"M. Ruggi";#N/A,#N/A,FALSE,"M. Valenti";#N/A,#N/A,FALSE,"C. Mazza";#N/A,#N/A,FALSE,"G. Bellinzona";#N/A,#N/A,FALSE,"M. Carletti";#N/A,#N/A,FALSE,"P. Maresca";#N/A,#N/A,FALSE,"L. Tondi";#N/A,#N/A,FALSE,"M. Marani";#N/A,#N/A,FALSE,"R. Ruggerini";#N/A,#N/A,FALSE,"L. Liguori";#N/A,#N/A,FALSE,"D. Battistel"}</definedName>
    <definedName name="wrn.DISTRIBUZIONE._.UTILI." localSheetId="20">{#N/A,#N/A,TRUE,"UTI"}</definedName>
    <definedName name="wrn.DISTRIBUZIONE._.UTILI.">{#N/A,#N/A,TRUE,"UTI"}</definedName>
    <definedName name="wrn.document." localSheetId="20">{"consolidated",#N/A,FALSE,"Sheet1";"cms",#N/A,FALSE,"Sheet1";"fse",#N/A,FALSE,"Sheet1"}</definedName>
    <definedName name="wrn.document.">{"consolidated",#N/A,FALSE,"Sheet1";"cms",#N/A,FALSE,"Sheet1";"fse",#N/A,FALSE,"Sheet1"}</definedName>
    <definedName name="wrn.Economic._.Value._.Added._.Analysis." localSheetId="20">{"EVA",#N/A,FALSE,"EVA";"WACC",#N/A,FALSE,"WACC"}</definedName>
    <definedName name="wrn.Economic._.Value._.Added._.Analysis.">{"EVA",#N/A,FALSE,"EVA";"WACC",#N/A,FALSE,"WACC"}</definedName>
    <definedName name="wrn.Engr._.Summary." localSheetId="20">{#N/A,#N/A,FALSE,"INPUTDATA";#N/A,#N/A,FALSE,"SUMMARY";#N/A,#N/A,FALSE,"CTAREP";#N/A,#N/A,FALSE,"CTBREP";#N/A,#N/A,FALSE,"TURBEFF";#N/A,#N/A,FALSE,"Condenser Performance"}</definedName>
    <definedName name="wrn.Engr._.Summary.">{#N/A,#N/A,FALSE,"INPUTDATA";#N/A,#N/A,FALSE,"SUMMARY";#N/A,#N/A,FALSE,"CTAREP";#N/A,#N/A,FALSE,"CTBREP";#N/A,#N/A,FALSE,"TURBEFF";#N/A,#N/A,FALSE,"Condenser Performance"}</definedName>
    <definedName name="wrn.esterno." localSheetId="20">{#N/A,#N/A,FALSE,"HIGHNEW";#N/A,#N/A,FALSE,"HIGHOLD"}</definedName>
    <definedName name="wrn.esterno.">{#N/A,#N/A,FALSE,"HIGHNEW";#N/A,#N/A,FALSE,"HIGHOLD"}</definedName>
    <definedName name="wrn.Europe." localSheetId="20">{"rawdata",#N/A,TRUE,"BT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x." localSheetId="20">{#N/A,#N/A,FALSE,"ANALYSE";#N/A,#N/A,FALSE,"PM VALEUR"}</definedName>
    <definedName name="wrn.ex.">{#N/A,#N/A,FALSE,"ANALYSE";#N/A,#N/A,FALSE,"PM VALEUR"}</definedName>
    <definedName name="wrn.Exec._.Summary." localSheetId="20">{#N/A,#N/A,FALSE,"INPUTDATA";#N/A,#N/A,FALSE,"SUMMARY"}</definedName>
    <definedName name="wrn.Exec._.Summary.">{#N/A,#N/A,FALSE,"INPUTDATA";#N/A,#N/A,FALSE,"SUMMARY"}</definedName>
    <definedName name="wrn.Exec1._.Summary" localSheetId="20">{#N/A,#N/A,FALSE,"INPUTDATA";#N/A,#N/A,FALSE,"SUMMARY"}</definedName>
    <definedName name="wrn.Exec1._.Summary">{#N/A,#N/A,FALSE,"INPUTDATA";#N/A,#N/A,FALSE,"SUMMARY"}</definedName>
    <definedName name="wrn.FCB." localSheetId="20">{"FCB_ALL",#N/A,FALSE,"FCB"}</definedName>
    <definedName name="wrn.FCB.">{"FCB_ALL",#N/A,FALSE,"FCB"}</definedName>
    <definedName name="wrn.fcb2" localSheetId="20">{"FCB_ALL",#N/A,FALSE,"FCB"}</definedName>
    <definedName name="wrn.fcb2">{"FCB_ALL",#N/A,FALSE,"FCB"}</definedName>
    <definedName name="wrn.Finance." localSheetId="20">{"Finance 1",#N/A,FALSE,"FINANCE.XLS";"Finance 2",#N/A,FALSE,"FINANCE.XLS";"Finance 3",#N/A,FALSE,"FINANCE.XLS";"Finance 4",#N/A,FALSE,"FINANCE.XLS";"Finance 5",#N/A,FALSE,"FINANCE.XLS";"Finance 6",#N/A,FALSE,"FINANCE.XLS";"Finance 7",#N/A,FALSE,"FINANCE.XLS";"Finance 8",#N/A,FALSE,"FINANCE.XLS"}</definedName>
    <definedName name="wrn.Finance.">{"Finance 1",#N/A,FALSE,"FINANCE.XLS";"Finance 2",#N/A,FALSE,"FINANCE.XLS";"Finance 3",#N/A,FALSE,"FINANCE.XLS";"Finance 4",#N/A,FALSE,"FINANCE.XLS";"Finance 5",#N/A,FALSE,"FINANCE.XLS";"Finance 6",#N/A,FALSE,"FINANCE.XLS";"Finance 7",#N/A,FALSE,"FINANCE.XLS";"Finance 8",#N/A,FALSE,"FINANCE.XLS"}</definedName>
    <definedName name="wrn.Financials_long." localSheetId="20">{"IS",#N/A,FALSE,"Financials2 (Expanded)";"bsa",#N/A,FALSE,"Financials2 (Expanded)";"BS",#N/A,FALSE,"Financials2 (Expanded)";"CF",#N/A,FALSE,"Financials2 (Expanded)"}</definedName>
    <definedName name="wrn.Financials_long.">{"IS",#N/A,FALSE,"Financials2 (Expanded)";"bsa",#N/A,FALSE,"Financials2 (Expanded)";"BS",#N/A,FALSE,"Financials2 (Expanded)";"CF",#N/A,FALSE,"Financials2 (Expanded)"}</definedName>
    <definedName name="wrn.financials_long.1" localSheetId="20">{"IS",#N/A,FALSE,"Financials2 (Expanded)";"bsa",#N/A,FALSE,"Financials2 (Expanded)";"BS",#N/A,FALSE,"Financials2 (Expanded)";"CF",#N/A,FALSE,"Financials2 (Expanded)"}</definedName>
    <definedName name="wrn.financials_long.1">{"IS",#N/A,FALSE,"Financials2 (Expanded)";"bsa",#N/A,FALSE,"Financials2 (Expanded)";"BS",#N/A,FALSE,"Financials2 (Expanded)";"CF",#N/A,FALSE,"Financials2 (Expanded)"}</definedName>
    <definedName name="wrn.FLUJO._.CAJA." localSheetId="20">{"FLUJO DE CAJA",#N/A,FALSE,"Hoja1";"ANEXOS FLUJO",#N/A,FALSE,"Hoja1"}</definedName>
    <definedName name="wrn.FLUJO._.CAJA.">{"FLUJO DE CAJA",#N/A,FALSE,"Hoja1";"ANEXOS FLUJO",#N/A,FALSE,"Hoja1"}</definedName>
    <definedName name="wrn.forneci" localSheetId="20">{#N/A,#N/A,FALSE,"CONTROLE";#N/A,#N/A,FALSE,"CONTROLE"}</definedName>
    <definedName name="wrn.forneci">{#N/A,#N/A,FALSE,"CONTROLE";#N/A,#N/A,FALSE,"CONTROLE"}</definedName>
    <definedName name="wrn.Full._.Monty." localSheetId="20">{"ROIC",#N/A,FALSE,"ROIC";"Graphs",#N/A,FALSE,"TY analysis";"fcf",#N/A,FALSE,"FCF";"Matrix_2004",#N/A,FALSE,"MATRIX(2004)";"matrix_2008",#N/A,FALSE,"MATRIX(2008)";"FS_Condensed",#N/A,FALSE,"Financial Statements2";"TAXES",#N/A,FALSE,"Taxes";"DEBT_INVEST",#N/A,FALSE,"Debt&amp;Investment Schedule";"Main_menu",#N/A,FALSE,"Main Menu"}</definedName>
    <definedName name="wrn.Full._.Monty.">{"ROIC",#N/A,FALSE,"ROIC";"Graphs",#N/A,FALSE,"TY analysis";"fcf",#N/A,FALSE,"FCF";"Matrix_2004",#N/A,FALSE,"MATRIX(2004)";"matrix_2008",#N/A,FALSE,"MATRIX(2008)";"FS_Condensed",#N/A,FALSE,"Financial Statements2";"TAXES",#N/A,FALSE,"Taxes";"DEBT_INVEST",#N/A,FALSE,"Debt&amp;Investment Schedule";"Main_menu",#N/A,FALSE,"Main Menu"}</definedName>
    <definedName name="wrn.full._.monty.1" localSheetId="20">{"ROIC",#N/A,FALSE,"ROIC";"Graphs",#N/A,FALSE,"TY analysis";"fcf",#N/A,FALSE,"FCF";"Matrix_2004",#N/A,FALSE,"MATRIX(2004)";"matrix_2008",#N/A,FALSE,"MATRIX(2008)";"FS_Condensed",#N/A,FALSE,"Financial Statements2";"TAXES",#N/A,FALSE,"Taxes";"DEBT_INVEST",#N/A,FALSE,"Debt&amp;Investment Schedule";"Main_menu",#N/A,FALSE,"Main Menu"}</definedName>
    <definedName name="wrn.full._.monty.1">{"ROIC",#N/A,FALSE,"ROIC";"Graphs",#N/A,FALSE,"TY analysis";"fcf",#N/A,FALSE,"FCF";"Matrix_2004",#N/A,FALSE,"MATRIX(2004)";"matrix_2008",#N/A,FALSE,"MATRIX(2008)";"FS_Condensed",#N/A,FALSE,"Financial Statements2";"TAXES",#N/A,FALSE,"Taxes";"DEBT_INVEST",#N/A,FALSE,"Debt&amp;Investment Schedule";"Main_menu",#N/A,FALSE,"Main Menu"}</definedName>
    <definedName name="wrn.full._.report." localSheetId="20">{"summary",#N/A,FALSE,"Summary";"transaction",#N/A,FALSE,"Transaction";"sales",#N/A,FALSE,"Sales";"sales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1" localSheetId="20">{"summary",#N/A,FALSE,"Summary";"transaction",#N/A,FALSE,"Transaction";"sales",#N/A,FALSE,"Sales";"sales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Y97SBP." localSheetId="20">{#N/A,#N/A,FALSE,"FY97";#N/A,#N/A,FALSE,"FY98";#N/A,#N/A,FALSE,"FY99";#N/A,#N/A,FALSE,"FY00";#N/A,#N/A,FALSE,"FY01"}</definedName>
    <definedName name="wrn.FY97SBP.">{#N/A,#N/A,FALSE,"FY97";#N/A,#N/A,FALSE,"FY98";#N/A,#N/A,FALSE,"FY99";#N/A,#N/A,FALSE,"FY00";#N/A,#N/A,FALSE,"FY01"}</definedName>
    <definedName name="wrn.GANANCIAS._.Y._.PERDIDAS." localSheetId="20">{"GAN.Y PERD.RESUMIDO",#N/A,FALSE,"Hoja1";"GAN.Y PERD.DETALLADO",#N/A,FALSE,"Hoja1"}</definedName>
    <definedName name="wrn.GANANCIAS._.Y._.PERDIDAS.">{"GAN.Y PERD.RESUMIDO",#N/A,FALSE,"Hoja1";"GAN.Y PERD.DETALLADO",#N/A,FALSE,"Hoja1"}</definedName>
    <definedName name="wrn.GASCOND." localSheetId="20">{"GASCOND",#N/A,FALSE,"CONDENSATE";"CRUDECOND",#N/A,FALSE,"CONDENSATE";"TOTALCOND",#N/A,FALSE,"CONDENSATE"}</definedName>
    <definedName name="wrn.GASCOND.">{"GASCOND",#N/A,FALSE,"CONDENSATE";"CRUDECOND",#N/A,FALSE,"CONDENSATE";"TOTALCOND",#N/A,FALSE,"CONDENSATE"}</definedName>
    <definedName name="wrn.GASODEM." localSheetId="20">{"monthly",#N/A,FALSE,"GASODEM";"qtr to yr",#N/A,FALSE,"GASODEM"}</definedName>
    <definedName name="wrn.GASODEM.">{"monthly",#N/A,FALSE,"GASODEM";"qtr to yr",#N/A,FALSE,"GASODEM"}</definedName>
    <definedName name="wrn.Gefran." localSheetId="20">{"CECons",#N/A,FALSE,"CE"}</definedName>
    <definedName name="wrn.Gefran.">{"CECons",#N/A,FALSE,"CE"}</definedName>
    <definedName name="wrn.heavy." localSheetId="20">{"heavy",#N/A,FALSE,"CNTRYTYPE"}</definedName>
    <definedName name="wrn.heavy.">{"heavy",#N/A,FALSE,"CNTRYTYPE"}</definedName>
    <definedName name="wrn.income._.statement." localSheetId="20">{"income statement",#N/A,FALSE,"ATLAS-A"}</definedName>
    <definedName name="wrn.income._.statement.">{"income statement",#N/A,FALSE,"ATLAS-A"}</definedName>
    <definedName name="wrn.INFMES." localSheetId="20">{#N/A,#N/A,FALSE,"ENERGIA";#N/A,#N/A,FALSE,"PERDIDAS";#N/A,#N/A,FALSE,"CLIENTES";#N/A,#N/A,FALSE,"ESTADO";#N/A,#N/A,FALSE,"TECNICA"}</definedName>
    <definedName name="wrn.INFMES.">{#N/A,#N/A,FALSE,"ENERGIA";#N/A,#N/A,FALSE,"PERDIDAS";#N/A,#N/A,FALSE,"CLIENTES";#N/A,#N/A,FALSE,"ESTADO";#N/A,#N/A,FALSE,"TECNICA"}</definedName>
    <definedName name="wrn.INFMES._1" localSheetId="20">{#N/A,#N/A,FALSE,"ENERGIA";#N/A,#N/A,FALSE,"PERDIDAS";#N/A,#N/A,FALSE,"CLIENTES";#N/A,#N/A,FALSE,"ESTADO";#N/A,#N/A,FALSE,"TECNICA"}</definedName>
    <definedName name="wrn.INFMES._1">{#N/A,#N/A,FALSE,"ENERGIA";#N/A,#N/A,FALSE,"PERDIDAS";#N/A,#N/A,FALSE,"CLIENTES";#N/A,#N/A,FALSE,"ESTADO";#N/A,#N/A,FALSE,"TECNICA"}</definedName>
    <definedName name="wrn.INFMES.2" localSheetId="20">{#N/A,#N/A,FALSE,"ENERGIA";#N/A,#N/A,FALSE,"PERDIDAS";#N/A,#N/A,FALSE,"CLIENTES";#N/A,#N/A,FALSE,"ESTADO";#N/A,#N/A,FALSE,"TECNICA"}</definedName>
    <definedName name="wrn.INFMES.2">{#N/A,#N/A,FALSE,"ENERGIA";#N/A,#N/A,FALSE,"PERDIDAS";#N/A,#N/A,FALSE,"CLIENTES";#N/A,#N/A,FALSE,"ESTADO";#N/A,#N/A,FALSE,"TECNICA"}</definedName>
    <definedName name="wrn.Input._.and._.Growths." localSheetId="20">{"Product Demands Input",#N/A,TRUE,"PRDEMPOR";"Annual Growth Rates",#N/A,TRUE,"PRDEMPOR"}</definedName>
    <definedName name="wrn.Input._.and._.Growths.">{"Product Demands Input",#N/A,TRUE,"PRDEMPOR";"Annual Growth Rates",#N/A,TRUE,"PRDEMPOR"}</definedName>
    <definedName name="wrn.Inputs." localSheetId="20">{"Inputs 1","Base",FALSE,"INPUTS";"Inputs 2","Base",FALSE,"INPUTS";"Inputs 3","Base",FALSE,"INPUTS";"Inputs 4","Base",FALSE,"INPUTS";"Inputs 5","Base",FALSE,"INPUTS"}</definedName>
    <definedName name="wrn.Inputs.">{"Inputs 1","Base",FALSE,"INPUTS";"Inputs 2","Base",FALSE,"INPUTS";"Inputs 3","Base",FALSE,"INPUTS";"Inputs 4","Base",FALSE,"INPUTS";"Inputs 5","Base",FALSE,"INPUTS"}</definedName>
    <definedName name="wrn.LANDMGMT." localSheetId="20">{#N/A,#N/A,FALSE,"CAP 1998";#N/A,#N/A,FALSE,"CAP 1999";#N/A,#N/A,FALSE,"CAP 2000";#N/A,#N/A,FALSE,"CAP_2001";#N/A,#N/A,FALSE,"CAP_2002";#N/A,#N/A,FALSE,"MAINT_1998";#N/A,#N/A,FALSE,"MAINT_1999";#N/A,#N/A,FALSE,"MAINT_2000";#N/A,#N/A,FALSE,"MAINT_2001";#N/A,#N/A,FALSE,"MAINT_2002"}</definedName>
    <definedName name="wrn.LANDMGMT.">{#N/A,#N/A,FALSE,"CAP 1998";#N/A,#N/A,FALSE,"CAP 1999";#N/A,#N/A,FALSE,"CAP 2000";#N/A,#N/A,FALSE,"CAP_2001";#N/A,#N/A,FALSE,"CAP_2002";#N/A,#N/A,FALSE,"MAINT_1998";#N/A,#N/A,FALSE,"MAINT_1999";#N/A,#N/A,FALSE,"MAINT_2000";#N/A,#N/A,FALSE,"MAINT_2001";#N/A,#N/A,FALSE,"MAINT_2002"}</definedName>
    <definedName name="wrn.light._.sour." localSheetId="20">{"light sour",#N/A,FALSE,"CNTRYTYPE"}</definedName>
    <definedName name="wrn.light._.sour.">{"light sour",#N/A,FALSE,"CNTRYTYPE"}</definedName>
    <definedName name="wrn.magazzino." localSheetId="20">{"situazione magazzino",#N/A,TRUE,"situazione magazzino";"giacenza",#N/A,TRUE,"giacenza";"mancante",#N/A,TRUE,"mancante";"dosaggi",#N/A,TRUE,"dosaggi"}</definedName>
    <definedName name="wrn.magazzino.">{"situazione magazzino",#N/A,TRUE,"situazione magazzino";"giacenza",#N/A,TRUE,"giacenza";"mancante",#N/A,TRUE,"mancante";"dosaggi",#N/A,TRUE,"dosaggi"}</definedName>
    <definedName name="wrn.MENSILE." localSheetId="20">{#N/A,#N/A,TRUE,"covmen";#N/A,#N/A,TRUE,"ECORID";#N/A,#N/A,TRUE,"ECOTRA";#N/A,#N/A,TRUE,"ECOTOT";#N/A,#N/A,TRUE,"FATSOC";#N/A,#N/A,TRUE,"FATDIV";#N/A,#N/A,TRUE,"FATGEO";#N/A,#N/A,TRUE,"ORDINI";#N/A,#N/A,TRUE,"TESORI";#N/A,#N/A,TRUE,"RENDFIN"}</definedName>
    <definedName name="wrn.MENSILE.">{#N/A,#N/A,TRUE,"covmen";#N/A,#N/A,TRUE,"ECORID";#N/A,#N/A,TRUE,"ECOTRA";#N/A,#N/A,TRUE,"ECOTOT";#N/A,#N/A,TRUE,"FATSOC";#N/A,#N/A,TRUE,"FATDIV";#N/A,#N/A,TRUE,"FATGEO";#N/A,#N/A,TRUE,"ORDINI";#N/A,#N/A,TRUE,"TESORI";#N/A,#N/A,TRUE,"RENDFIN"}</definedName>
    <definedName name="wrn.MENSUAL." localSheetId="20">{#N/A,#N/A,FALSE,"LLAVE";#N/A,#N/A,FALSE,"EERR";#N/A,#N/A,FALSE,"ESP";#N/A,#N/A,FALSE,"EOAF";#N/A,#N/A,FALSE,"CASH";#N/A,#N/A,FALSE,"FINANZAS";#N/A,#N/A,FALSE,"DEUDA";#N/A,#N/A,FALSE,"INVERSION";#N/A,#N/A,FALSE,"PERSONAL"}</definedName>
    <definedName name="wrn.MENSUAL.">{#N/A,#N/A,FALSE,"LLAVE";#N/A,#N/A,FALSE,"EERR";#N/A,#N/A,FALSE,"ESP";#N/A,#N/A,FALSE,"EOAF";#N/A,#N/A,FALSE,"CASH";#N/A,#N/A,FALSE,"FINANZAS";#N/A,#N/A,FALSE,"DEUDA";#N/A,#N/A,FALSE,"INVERSION";#N/A,#N/A,FALSE,"PERSONAL"}</definedName>
    <definedName name="wrn.MENSUAL._1" localSheetId="20">{#N/A,#N/A,FALSE,"LLAVE";#N/A,#N/A,FALSE,"EERR";#N/A,#N/A,FALSE,"ESP";#N/A,#N/A,FALSE,"EOAF";#N/A,#N/A,FALSE,"CASH";#N/A,#N/A,FALSE,"FINANZAS";#N/A,#N/A,FALSE,"DEUDA";#N/A,#N/A,FALSE,"INVERSION";#N/A,#N/A,FALSE,"PERSONAL"}</definedName>
    <definedName name="wrn.MENSUAL._1">{#N/A,#N/A,FALSE,"LLAVE";#N/A,#N/A,FALSE,"EERR";#N/A,#N/A,FALSE,"ESP";#N/A,#N/A,FALSE,"EOAF";#N/A,#N/A,FALSE,"CASH";#N/A,#N/A,FALSE,"FINANZAS";#N/A,#N/A,FALSE,"DEUDA";#N/A,#N/A,FALSE,"INVERSION";#N/A,#N/A,FALSE,"PERSONAL"}</definedName>
    <definedName name="wrn.MONTHLYREP." localSheetId="20">{#N/A,#N/A,FALSE,"HIGHNEW";#N/A,#N/A,FALSE,"HIGHOLD";#N/A,#N/A,FALSE,"MTHDET"}</definedName>
    <definedName name="wrn.MONTHLYREP.">{#N/A,#N/A,FALSE,"HIGHNEW";#N/A,#N/A,FALSE,"HIGHOLD";#N/A,#N/A,FALSE,"MTHDET"}</definedName>
    <definedName name="wrn.Netrev." localSheetId="20">{"NR",#N/A,FALSE,"RENETREV"}</definedName>
    <definedName name="wrn.Netrev.">{"NR",#N/A,FALSE,"RENETREV"}</definedName>
    <definedName name="wrn.New._.York." localSheetId="20">{"NY PRICES",#N/A,FALSE,"CURRENT";"NY PRICES B",#N/A,FALSE,"CURRENT";"NY PRICES",#N/A,FALSE,"CONSTANT";"NY PRICES B",#N/A,FALSE,"CONSTANT"}</definedName>
    <definedName name="wrn.New._.York.">{"NY PRICES",#N/A,FALSE,"CURRENT";"NY PRICES B",#N/A,FALSE,"CURRENT";"NY PRICES",#N/A,FALSE,"CONSTANT";"NY PRICES B",#N/A,FALSE,"CONSTANT"}</definedName>
    <definedName name="wrn.NWE._.1995." localSheetId="20">{"input",#N/A,TRUE,"1995 Quality";"basedata",#N/A,TRUE,"1995 Quality";"diff",#N/A,TRUE,"1995 Quality"}</definedName>
    <definedName name="wrn.NWE._.1995.">{"input",#N/A,TRUE,"1995 Quality";"basedata",#N/A,TRUE,"1995 Quality";"diff",#N/A,TRUE,"1995 Quality"}</definedName>
    <definedName name="wrn.NWE._.2000." localSheetId="20">{"input",#N/A,FALSE,"Year 2000";"basedata",#N/A,FALSE,"Year 2000";"diff",#N/A,FALSE,"Year 2000"}</definedName>
    <definedName name="wrn.NWE._.2000.">{"input",#N/A,FALSE,"Year 2000";"basedata",#N/A,FALSE,"Year 2000";"diff",#N/A,FALSE,"Year 2000"}</definedName>
    <definedName name="wrn.Output." localSheetId="20">{"definitions",#N/A,TRUE,"Definitions";"out1",#N/A,TRUE,"Valuation";"out2",#N/A,TRUE,"Valuation";"out3",#N/A,TRUE,"Valuation";"out4",#N/A,TRUE,"Valuation";"out",#N/A,TRUE,"Efficiency";"out1",#N/A,TRUE,"Growth,Margin,Rev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pdg_2003." localSheetId="20">{"margo-03",#N/A,FALSE,"RGR 2003";"margo-02",#N/A,FALSE,"RGR 2003";"margo-01",#N/A,FALSE,"RGR 2003"}</definedName>
    <definedName name="wrn.pdg_2003.">{"margo-03",#N/A,FALSE,"RGR 2003";"margo-02",#N/A,FALSE,"RGR 2003";"margo-01",#N/A,FALSE,"RGR 2003"}</definedName>
    <definedName name="wrn.PIANO." localSheetId="20">{#N/A,#N/A,TRUE,"INPUT";#N/A,#N/A,TRUE,"ECO97";#N/A,#N/A,TRUE,"eco98-99";#N/A,#N/A,TRUE,"SP";#N/A,#N/A,TRUE,"FIN";#N/A,#N/A,TRUE,"SP_COMM";#N/A,#N/A,TRUE,"RECPAY";#N/A,#N/A,TRUE,"FIXASS";#N/A,#N/A,TRUE,"TFR";#N/A,#N/A,TRUE,"TAX";#N/A,#N/A,TRUE,"FINANZ";#N/A,#N/A,TRUE,"PATNET";#N/A,#N/A,TRUE,"LEAS";#N/A,#N/A,TRUE,"AMMLEAS"}</definedName>
    <definedName name="wrn.PIANO.">{#N/A,#N/A,TRUE,"INPUT";#N/A,#N/A,TRUE,"ECO97";#N/A,#N/A,TRUE,"eco98-99";#N/A,#N/A,TRUE,"SP";#N/A,#N/A,TRUE,"FIN";#N/A,#N/A,TRUE,"SP_COMM";#N/A,#N/A,TRUE,"RECPAY";#N/A,#N/A,TRUE,"FIXASS";#N/A,#N/A,TRUE,"TFR";#N/A,#N/A,TRUE,"TAX";#N/A,#N/A,TRUE,"FINANZ";#N/A,#N/A,TRUE,"PATNET";#N/A,#N/A,TRUE,"LEAS";#N/A,#N/A,TRUE,"AMMLEAS"}</definedName>
    <definedName name="wrn.PLCOMIT." localSheetId="20">{#N/A,#N/A,FALSE,"pl_cons";#N/A,#N/A,FALSE,"pl_grup";#N/A,#N/A,FALSE,"pl_umpl";#N/A,#N/A,FALSE,"pl_bim";#N/A,#N/A,FALSE,"pl_bdb";#N/A,#N/A,FALSE,"pl_mq32";#N/A,#N/A,FALSE,"pl_bsrl"}</definedName>
    <definedName name="wrn.PLCOMIT.">{#N/A,#N/A,FALSE,"pl_cons";#N/A,#N/A,FALSE,"pl_grup";#N/A,#N/A,FALSE,"pl_umpl";#N/A,#N/A,FALSE,"pl_bim";#N/A,#N/A,FALSE,"pl_bdb";#N/A,#N/A,FALSE,"pl_mq32";#N/A,#N/A,FALSE,"pl_bsrl"}</definedName>
    <definedName name="wrn.Pricing._.Case." localSheetId="20">{#N/A,#N/A,TRUE,"RESULTS";#N/A,#N/A,TRUE,"REV REQUIRE";#N/A,#N/A,TRUE,"RATEBASE";#N/A,#N/A,TRUE,"LEVELIZED"}</definedName>
    <definedName name="wrn.Pricing._.Case.">{#N/A,#N/A,TRUE,"RESULTS";#N/A,#N/A,TRUE,"REV REQUIRE";#N/A,#N/A,TRUE,"RATEBASE";#N/A,#N/A,TRUE,"LEVELIZED"}</definedName>
    <definedName name="wrn.pricing2._.case." localSheetId="20">{#N/A,#N/A,TRUE,"RESULTS";#N/A,#N/A,TRUE,"REV REQUIRE";#N/A,#N/A,TRUE,"RATEBASE";#N/A,#N/A,TRUE,"LEVELIZED"}</definedName>
    <definedName name="wrn.pricing2._.case.">{#N/A,#N/A,TRUE,"RESULTS";#N/A,#N/A,TRUE,"REV REQUIRE";#N/A,#N/A,TRUE,"RATEBASE";#N/A,#N/A,TRUE,"LEVELIZED"}</definedName>
    <definedName name="wrn.print" localSheetId="20">{"page1",#N/A,FALSE,"PROFORMA";"page2",#N/A,FALSE,"PROFORMA";"page3",#N/A,FALSE,"PROFORMA";"page4",#N/A,FALSE,"PROFORMA";"page5",#N/A,FALSE,"PROFORMA";"page6",#N/A,FALSE,"PROFORMA";"page7",#N/A,FALSE,"PROFORMA";"page8",#N/A,FALSE,"PROFORMA"}</definedName>
    <definedName name="wrn.print">{"page1",#N/A,FALSE,"PROFORMA";"page2",#N/A,FALSE,"PROFORMA";"page3",#N/A,FALSE,"PROFORMA";"page4",#N/A,FALSE,"PROFORMA";"page5",#N/A,FALSE,"PROFORMA";"page6",#N/A,FALSE,"PROFORMA";"page7",#N/A,FALSE,"PROFORMA";"page8",#N/A,FALSE,"PROFORMA"}</definedName>
    <definedName name="wrn.print." localSheetId="20">{#N/A,#N/A,FALSE,"Resid CPRIV";#N/A,#N/A,FALSE,"Comer_CPRIVKsum";#N/A,#N/A,FALSE,"General (2)";#N/A,#N/A,FALSE,"Oficial";#N/A,#N/A,FALSE,"Resumen";#N/A,#N/A,FALSE,"Escenarios"}</definedName>
    <definedName name="wrn.print.">{#N/A,#N/A,FALSE,"Resid CPRIV";#N/A,#N/A,FALSE,"Comer_CPRIVKsum";#N/A,#N/A,FALSE,"General (2)";#N/A,#N/A,FALSE,"Oficial";#N/A,#N/A,FALSE,"Resumen";#N/A,#N/A,FALSE,"Escenarios"}</definedName>
    <definedName name="wrn.Print._.All._.A4." localSheetId="20">{"Valuation",#N/A,TRUE,"Valuation Summary";"Financial Statements",#N/A,TRUE,"Results";"Results",#N/A,TRUE,"Results";"Ratios",#N/A,TRUE,"Results";"P2 Summary",#N/A,TRUE,"Results";"Historical data",#N/A,TRUE,"Historical Data";"P1 Inputs",#N/A,TRUE,"Forecast Drivers";"P2 Inputs",#N/A,TRUE,"Forecast Drivers"}</definedName>
    <definedName name="wrn.Print._.All._.A4.">{"Valuation",#N/A,TRUE,"Valuation Summary";"Financial Statements",#N/A,TRUE,"Results";"Results",#N/A,TRUE,"Results";"Ratios",#N/A,TRUE,"Results";"P2 Summary",#N/A,TRUE,"Results";"Historical data",#N/A,TRUE,"Historical Data";"P1 Inputs",#N/A,TRUE,"Forecast Drivers";"P2 Inputs",#N/A,TRUE,"Forecast Drivers"}</definedName>
    <definedName name="wrn.Print._.All._.Letter." localSheetId="20">{"Valuation - Letter",#N/A,TRUE,"Valuation Summary";"Financial Statements - Letter",#N/A,TRUE,"Results";"Results - Letter",#N/A,TRUE,"Results";"Ratios - Letter",#N/A,TRUE,"Results";"P2 Summary - Letter",#N/A,TRUE,"Results";"Historical Data - Letter",#N/A,TRUE,"Historical Data";"P1 Inputs - Letter",#N/A,TRUE,"Forecast Drivers";"P2 Inputs - Letter",#N/A,TRUE,"Forecast Drivers"}</definedName>
    <definedName name="wrn.Print._.All._.Letter.">{"Valuation - Letter",#N/A,TRUE,"Valuation Summary";"Financial Statements - Letter",#N/A,TRUE,"Results";"Results - Letter",#N/A,TRUE,"Results";"Ratios - Letter",#N/A,TRUE,"Results";"P2 Summary - Letter",#N/A,TRUE,"Results";"Historical Data - Letter",#N/A,TRUE,"Historical Data";"P1 Inputs - Letter",#N/A,TRUE,"Forecast Drivers";"P2 Inputs - Letter",#N/A,TRUE,"Forecast Drivers"}</definedName>
    <definedName name="wrn.print._.graphs." localSheetId="20">{"cap_structure",#N/A,FALSE,"Graph-Mkt Cap";"price",#N/A,FALSE,"Graph-Price";"ebit",#N/A,FALSE,"Graph-EBITDA";"ebitda",#N/A,FALSE,"Graph-EBITDA"}</definedName>
    <definedName name="wrn.print._.graphs.">{"cap_structure",#N/A,FALSE,"Graph-Mkt Cap";"price",#N/A,FALSE,"Graph-Price";"ebit",#N/A,FALSE,"Graph-EBITDA";"ebitda",#N/A,FALSE,"Graph-EBITDA"}</definedName>
    <definedName name="wrn.Print._.Package." localSheetId="20">{#N/A,#N/A,FALSE,"COBO";#N/A,#N/A,FALSE,"Atlantic";#N/A,#N/A,FALSE,"NCalif";#N/A,#N/A,FALSE,"SCalif";#N/A,#N/A,FALSE,"Eastern";#N/A,#N/A,FALSE,"Florida";#N/A,#N/A,FALSE,"GreatWest";#N/A,#N/A,FALSE,"Heartland";#N/A,#N/A,FALSE,"Michigan";#N/A,#N/A,FALSE,"Northwest";#N/A,#N/A,FALSE,"Southeast";#N/A,#N/A,FALSE,"Texoma"}</definedName>
    <definedName name="wrn.Print._.Package.">{#N/A,#N/A,FALSE,"COBO";#N/A,#N/A,FALSE,"Atlantic";#N/A,#N/A,FALSE,"NCalif";#N/A,#N/A,FALSE,"SCalif";#N/A,#N/A,FALSE,"Eastern";#N/A,#N/A,FALSE,"Florida";#N/A,#N/A,FALSE,"GreatWest";#N/A,#N/A,FALSE,"Heartland";#N/A,#N/A,FALSE,"Michigan";#N/A,#N/A,FALSE,"Northwest";#N/A,#N/A,FALSE,"Southeast";#N/A,#N/A,FALSE,"Texoma"}</definedName>
    <definedName name="wrn.Print._.Plots." localSheetId="20">{"Plot1",#N/A,FALSE,"Plots";"plot2",#N/A,FALSE,"Plots";"plot3",#N/A,FALSE,"Plots";"plot4",#N/A,FALSE,"Plots";"plot5",#N/A,FALSE,"Plots";"plot6",#N/A,FALSE,"Plots"}</definedName>
    <definedName name="wrn.Print._.Plots.">{"Plot1",#N/A,FALSE,"Plots";"plot2",#N/A,FALSE,"Plots";"plot3",#N/A,FALSE,"Plots";"plot4",#N/A,FALSE,"Plots";"plot5",#N/A,FALSE,"Plots";"plot6",#N/A,FALSE,"Plots"}</definedName>
    <definedName name="wrn.print._.raw._.data._.entry." localSheetId="20">{"inputs raw data",#N/A,TRUE,"INPUT"}</definedName>
    <definedName name="wrn.print._.raw._.data._.entry.">{"inputs raw data",#N/A,TRUE,"INPUT"}</definedName>
    <definedName name="wrn.Print._.Results._.A4." localSheetId="20">{"Valuation",#N/A,TRUE,"Valuation Summary";"Financial Statements",#N/A,TRUE,"Results";"Results",#N/A,TRUE,"Results";"Ratios",#N/A,TRUE,"Results";"P2 Summary",#N/A,TRUE,"Results"}</definedName>
    <definedName name="wrn.Print._.Results._.A4.">{"Valuation",#N/A,TRUE,"Valuation Summary";"Financial Statements",#N/A,TRUE,"Results";"Results",#N/A,TRUE,"Results";"Ratios",#N/A,TRUE,"Results";"P2 Summary",#N/A,TRUE,"Results"}</definedName>
    <definedName name="wrn.Print._.Results._.Letter." localSheetId="20">{"Valuation - Letter",#N/A,TRUE,"Valuation Summary";"Financial Statements - Letter",#N/A,TRUE,"Results";"Results - Letter",#N/A,TRUE,"Results";"Ratios - Letter",#N/A,TRUE,"Results";"P2 Summary - Letter",#N/A,TRUE,"Results"}</definedName>
    <definedName name="wrn.Print._.Results._.Letter.">{"Valuation - Letter",#N/A,TRUE,"Valuation Summary";"Financial Statements - Letter",#N/A,TRUE,"Results";"Results - Letter",#N/A,TRUE,"Results";"Ratios - Letter",#N/A,TRUE,"Results";"P2 Summary - Letter",#N/A,TRUE,"Results"}</definedName>
    <definedName name="wrn.print._.summary._.sheets." localSheetId="20">{"summary1",#N/A,TRUE,"Comps";"summary2",#N/A,TRUE,"Comps";"summary3",#N/A,TRUE,"Comps"}</definedName>
    <definedName name="wrn.print._.summary._.sheets.">{"summary1",#N/A,TRUE,"Comps";"summary2",#N/A,TRUE,"Comps";"summary3",#N/A,TRUE,"Comps"}</definedName>
    <definedName name="wrn.print.1" localSheetId="20">{"vi1",#N/A,FALSE,"Financial Statements";"vi2",#N/A,FALSE,"Financial Statements";#N/A,#N/A,FALSE,"DCF"}</definedName>
    <definedName name="wrn.print.1">{"vi1",#N/A,FALSE,"Financial Statements";"vi2",#N/A,FALSE,"Financial Statements";#N/A,#N/A,FALSE,"DCF"}</definedName>
    <definedName name="wrn.Print_Buyer." localSheetId="20">{#N/A,"DR",FALSE,"increm pf";#N/A,"MAMSI",FALSE,"increm pf";#N/A,"MAXI",FALSE,"increm pf";#N/A,"PCAM",FALSE,"increm pf";#N/A,"PHSV",FALSE,"increm pf";#N/A,"SIE",FALSE,"increm pf"}</definedName>
    <definedName name="wrn.Print_Buyer.">{#N/A,"DR",FALSE,"increm pf";#N/A,"MAMSI",FALSE,"increm pf";#N/A,"MAXI",FALSE,"increm pf";#N/A,"PCAM",FALSE,"increm pf";#N/A,"PHSV",FALSE,"increm pf";#N/A,"SIE",FALSE,"increm pf"}</definedName>
    <definedName name="wrn.Print_Target." localSheetId="20">{#N/A,"Foundation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REP." localSheetId="20">{"PRINTREP",#N/A,FALSE,"Sheet1"}</definedName>
    <definedName name="wrn.PRINTREP.">{"PRINTREP",#N/A,FALSE,"Sheet1"}</definedName>
    <definedName name="wrn.PRODTABLES." localSheetId="20">{"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wrn.PRODTABLES.">{"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wrn.RAPP_SETT." localSheetId="20">{#N/A,#N/A,FALSE,"COVER";#N/A,#N/A,FALSE,"REPORT";#N/A,#N/A,FALSE,"SUMMARY";#N/A,#N/A,FALSE,"DIV";#N/A,#N/A,FALSE,"GRAFICA";#N/A,#N/A,FALSE,"ARCH";#N/A,#N/A,FALSE,"TOT_ARCH";#N/A,#N/A,FALSE,"CANC";#N/A,#N/A,FALSE,"EDIT";#N/A,#N/A,FALSE,"SW";#N/A,#N/A,FALSE,"HW"}</definedName>
    <definedName name="wrn.RAPP_SETT.">{#N/A,#N/A,FALSE,"COVER";#N/A,#N/A,FALSE,"REPORT";#N/A,#N/A,FALSE,"SUMMARY";#N/A,#N/A,FALSE,"DIV";#N/A,#N/A,FALSE,"GRAFICA";#N/A,#N/A,FALSE,"ARCH";#N/A,#N/A,FALSE,"TOT_ARCH";#N/A,#N/A,FALSE,"CANC";#N/A,#N/A,FALSE,"EDIT";#N/A,#N/A,FALSE,"SW";#N/A,#N/A,FALSE,"HW"}</definedName>
    <definedName name="wrn.REFINERY." localSheetId="20">{"Padd I to III",#N/A,FALSE,"REFINERY";"Padd IV to US",#N/A,FALSE,"REFINERY";"Crude Balance I",#N/A,FALSE,"REFINERY";"Crude Balance II",#N/A,FALSE,"REFINERY"}</definedName>
    <definedName name="wrn.REFINERY.">{"Padd I to III",#N/A,FALSE,"REFINERY";"Padd IV to US",#N/A,FALSE,"REFINERY";"Crude Balance I",#N/A,FALSE,"REFINERY";"Crude Balance II",#N/A,FALSE,"REFINERY"}</definedName>
    <definedName name="wrn.Refining._.Margin._.Faxes." localSheetId="20">{#N/A,#N/A,FALSE,"DEA Report";#N/A,#N/A,FALSE,"Veba Report";#N/A,#N/A,FALSE,"Wintershall Report";#N/A,#N/A,FALSE,"Fina Report"}</definedName>
    <definedName name="wrn.Refining._.Margin._.Faxes.">{#N/A,#N/A,FALSE,"DEA Report";#N/A,#N/A,FALSE,"Veba Report";#N/A,#N/A,FALSE,"Wintershall Report";#N/A,#N/A,FALSE,"Fina Report"}</definedName>
    <definedName name="wrn.Refining._.Margin._.Faxes._1" localSheetId="20">{#N/A,#N/A,FALSE,"DEA Report";#N/A,#N/A,FALSE,"Veba Report";#N/A,#N/A,FALSE,"Wintershall Report";#N/A,#N/A,FALSE,"Fina Report"}</definedName>
    <definedName name="wrn.Refining._.Margin._.Faxes._1">{#N/A,#N/A,FALSE,"DEA Report";#N/A,#N/A,FALSE,"Veba Report";#N/A,#N/A,FALSE,"Wintershall Report";#N/A,#N/A,FALSE,"Fina Report"}</definedName>
    <definedName name="wrn.region." localSheetId="20">{"Region",#N/A,FALSE,"CNTRYTYPE"}</definedName>
    <definedName name="wrn.region.">{"Region",#N/A,FALSE,"CNTRYTYPE"}</definedName>
    <definedName name="wrn.RELATORIO." localSheetId="20">{#N/A,#N/A,FALSE,"CONTROLE";#N/A,#N/A,FALSE,"CONTROLE"}</definedName>
    <definedName name="wrn.RELATORIO.">{#N/A,#N/A,FALSE,"CONTROLE";#N/A,#N/A,FALSE,"CONTROLE"}</definedName>
    <definedName name="wrn.rep_bdg." localSheetId="20">{#N/A,#N/A,TRUE,"INPUT";#N/A,#N/A,TRUE,"ECO_COMP";#N/A,#N/A,TRUE,"BDG_98";#N/A,#N/A,TRUE,"ordinato";#N/A,#N/A,TRUE,"vend_rid";#N/A,#N/A,TRUE,"vend_tra";#N/A,#N/A,TRUE,"costi_rid";#N/A,#N/A,TRUE,"costi_tra";#N/A,#N/A,TRUE,"dipendenti";#N/A,#N/A,TRUE,"costo_pers";#N/A,#N/A,TRUE,"inv_98";#N/A,#N/A,TRUE,"dett_inv";#N/A,#N/A,TRUE,"spese_gen";#N/A,#N/A,TRUE,"cover";#N/A,#N/A,TRUE,"indice"}</definedName>
    <definedName name="wrn.rep_bdg.">{#N/A,#N/A,TRUE,"INPUT";#N/A,#N/A,TRUE,"ECO_COMP";#N/A,#N/A,TRUE,"BDG_98";#N/A,#N/A,TRUE,"ordinato";#N/A,#N/A,TRUE,"vend_rid";#N/A,#N/A,TRUE,"vend_tra";#N/A,#N/A,TRUE,"costi_rid";#N/A,#N/A,TRUE,"costi_tra";#N/A,#N/A,TRUE,"dipendenti";#N/A,#N/A,TRUE,"costo_pers";#N/A,#N/A,TRUE,"inv_98";#N/A,#N/A,TRUE,"dett_inv";#N/A,#N/A,TRUE,"spese_gen";#N/A,#N/A,TRUE,"cover";#N/A,#N/A,TRUE,"indice"}</definedName>
    <definedName name="wrn.REP_BDG_R." localSheetId="20">{#N/A,#N/A,TRUE,"INPUT";#N/A,#N/A,TRUE,"vend_rid";#N/A,#N/A,TRUE,"vend_tra";#N/A,#N/A,TRUE,"ordinato";#N/A,#N/A,TRUE,"costi_rid";#N/A,#N/A,TRUE,"costi_tra";#N/A,#N/A,TRUE,"dipendenti";#N/A,#N/A,TRUE,"costo_pers";#N/A,#N/A,TRUE,"inv_98";#N/A,#N/A,TRUE,"ECO_COMP";#N/A,#N/A,TRUE,"anal_gen";#N/A,#N/A,TRUE,"dett_inv";#N/A,#N/A,TRUE,"cover";#N/A,#N/A,TRUE,"indice_R"}</definedName>
    <definedName name="wrn.REP_BDG_R.">{#N/A,#N/A,TRUE,"INPUT";#N/A,#N/A,TRUE,"vend_rid";#N/A,#N/A,TRUE,"vend_tra";#N/A,#N/A,TRUE,"ordinato";#N/A,#N/A,TRUE,"costi_rid";#N/A,#N/A,TRUE,"costi_tra";#N/A,#N/A,TRUE,"dipendenti";#N/A,#N/A,TRUE,"costo_pers";#N/A,#N/A,TRUE,"inv_98";#N/A,#N/A,TRUE,"ECO_COMP";#N/A,#N/A,TRUE,"anal_gen";#N/A,#N/A,TRUE,"dett_inv";#N/A,#N/A,TRUE,"cover";#N/A,#N/A,TRUE,"indice_R"}</definedName>
    <definedName name="wrn.Report." localSheetId="20">{"Rep 1",#N/A,FALSE,"Reports";"Rep 2",#N/A,FALSE,"Reports";"Rep 3",#N/A,FALSE,"Reports";"Rep 4",#N/A,FALSE,"Reports"}</definedName>
    <definedName name="wrn.Report.">{"Rep 1",#N/A,FALSE,"Reports";"Rep 2",#N/A,FALSE,"Reports";"Rep 3",#N/A,FALSE,"Reports";"Rep 4",#N/A,FALSE,"Reports"}</definedName>
    <definedName name="wrn.REPORTESTERNO." localSheetId="20">{#N/A,#N/A,FALSE,"PRESENT";#N/A,#N/A,FALSE,"INDICE";#N/A,#N/A,FALSE,"HIGHLI";#N/A,#N/A,FALSE,"P_LCONSNEW";#N/A,#N/A,FALSE,"P_LCONSOLD";#N/A,#N/A,FALSE,"B_SCONS";#N/A,#N/A,FALSE,"CASHNEW";#N/A,#N/A,FALSE,"P_LGRNEW";#N/A,#N/A,FALSE,"P_LGROLD";#N/A,#N/A,FALSE,"B_SGR";#N/A,#N/A,FALSE,"P_LBIMNEW";#N/A,#N/A,FALSE,"P_LBIMOLD";#N/A,#N/A,FALSE,"B_SBIM";#N/A,#N/A,FALSE,"P_LUPLNEW";#N/A,#N/A,FALSE,"P_LUPLOLD";#N/A,#N/A,FALSE,"B_SUPL";#N/A,#N/A,FALSE,"P_LBDBNEW";#N/A,#N/A,FALSE,"P_LBDBOLD";#N/A,#N/A,FALSE,"B_SBDB"}</definedName>
    <definedName name="wrn.REPORTESTERNO.">{#N/A,#N/A,FALSE,"PRESENT";#N/A,#N/A,FALSE,"INDICE";#N/A,#N/A,FALSE,"HIGHLI";#N/A,#N/A,FALSE,"P_LCONSNEW";#N/A,#N/A,FALSE,"P_LCONSOLD";#N/A,#N/A,FALSE,"B_SCONS";#N/A,#N/A,FALSE,"CASHNEW";#N/A,#N/A,FALSE,"P_LGRNEW";#N/A,#N/A,FALSE,"P_LGROLD";#N/A,#N/A,FALSE,"B_SGR";#N/A,#N/A,FALSE,"P_LBIMNEW";#N/A,#N/A,FALSE,"P_LBIMOLD";#N/A,#N/A,FALSE,"B_SBIM";#N/A,#N/A,FALSE,"P_LUPLNEW";#N/A,#N/A,FALSE,"P_LUPLOLD";#N/A,#N/A,FALSE,"B_SUPL";#N/A,#N/A,FALSE,"P_LBDBNEW";#N/A,#N/A,FALSE,"P_LBDBOLD";#N/A,#N/A,FALSE,"B_SBDB"}</definedName>
    <definedName name="wrn.reportinterno." localSheetId="20">{#N/A,#N/A,FALSE,"HIGHNEW";#N/A,#N/A,FALSE,"HIGHOLD";#N/A,#N/A,FALSE,"MTHDET";#N/A,#N/A,FALSE,"ACTDET"}</definedName>
    <definedName name="wrn.reportinterno.">{#N/A,#N/A,FALSE,"HIGHNEW";#N/A,#N/A,FALSE,"HIGHOLD";#N/A,#N/A,FALSE,"MTHDET";#N/A,#N/A,FALSE,"ACTDET"}</definedName>
    <definedName name="wrn.SALARIOS._.PRESUPUESTO." localSheetId="20">{"SALARIOS",#N/A,FALSE,"Hoja3";"SUELDOS EMPLEADOS",#N/A,FALSE,"Hoja4";"SUELDOS EJECUTIVOS",#N/A,FALSE,"Hoja5"}</definedName>
    <definedName name="wrn.SALARIOS._.PRESUPUESTO.">{"SALARIOS",#N/A,FALSE,"Hoja3";"SUELDOS EMPLEADOS",#N/A,FALSE,"Hoja4";"SUELDOS EJECUTIVOS",#N/A,FALSE,"Hoja5"}</definedName>
    <definedName name="wrn.sales." localSheetId="20">{"sales",#N/A,FALSE,"Sales";"sales existing",#N/A,FALSE,"Sales";"sales rd1",#N/A,FALSE,"Sales";"sales rd2",#N/A,FALSE,"Sales"}</definedName>
    <definedName name="wrn.sales.">{"sales",#N/A,FALSE,"Sales";"sales existing",#N/A,FALSE,"Sales";"sales rd1",#N/A,FALSE,"Sales";"sales rd2",#N/A,FALSE,"Sales"}</definedName>
    <definedName name="wrn.sales.1" localSheetId="20">{"sales",#N/A,FALSE,"Sales";"sales existing",#N/A,FALSE,"Sales";"sales rd1",#N/A,FALSE,"Sales";"sales rd2",#N/A,FALSE,"Sales"}</definedName>
    <definedName name="wrn.sales.1">{"sales",#N/A,FALSE,"Sales";"sales existing",#N/A,FALSE,"Sales";"sales rd1",#N/A,FALSE,"Sales";"sales rd2",#N/A,FALSE,"Sales"}</definedName>
    <definedName name="wrn.SAMPLE." localSheetId="20">{#N/A,#N/A,TRUE,"Crude";#N/A,#N/A,TRUE,"Products"}</definedName>
    <definedName name="wrn.SAMPLE.">{#N/A,#N/A,TRUE,"Crude";#N/A,#N/A,TRUE,"Products"}</definedName>
    <definedName name="wrn.SHORT." localSheetId="20">{"CREDIT STATISTICS",#N/A,FALSE,"STATS";"CF_AND_IS",#N/A,FALSE,"PLAN";"BALSHEET",#N/A,FALSE,"BALANCE SHEET"}</definedName>
    <definedName name="wrn.SHORT.">{"CREDIT STATISTICS",#N/A,FALSE,"STATS";"CF_AND_IS",#N/A,FALSE,"PLAN";"BALSHEET",#N/A,FALSE,"BALANCE SHEET"}</definedName>
    <definedName name="wrn.short.1" localSheetId="20">{"CREDIT STATISTICS",#N/A,FALSE,"STATS";"CF_AND_IS",#N/A,FALSE,"PLAN";"BALSHEET",#N/A,FALSE,"BALANCE SHEET"}</definedName>
    <definedName name="wrn.short.1">{"CREDIT STATISTICS",#N/A,FALSE,"STATS";"CF_AND_IS",#N/A,FALSE,"PLAN";"BALSHEET",#N/A,FALSE,"BALANCE SHEET"}</definedName>
    <definedName name="wrn.SPA1." localSheetId="20">{#N/A,#N/A,FALSE,"RIEP"}</definedName>
    <definedName name="wrn.SPA1.">{#N/A,#N/A,FALSE,"RIEP"}</definedName>
    <definedName name="wrn.SPM1." localSheetId="20">{"SPM1",#N/A,FALSE,"RIEP"}</definedName>
    <definedName name="wrn.SPM1.">{"SPM1",#N/A,FALSE,"RIEP"}</definedName>
    <definedName name="wrn.STAND_ALONE_BOTH." localSheetId="20">{"FCB_ALL",#N/A,FALSE,"FCB";"GREY_ALL",#N/A,FALSE,"GREY"}</definedName>
    <definedName name="wrn.STAND_ALONE_BOTH.">{"FCB_ALL",#N/A,FALSE,"FCB";"GREY_ALL",#N/A,FALSE,"GREY"}</definedName>
    <definedName name="wrn.SUBREGION." localSheetId="20">{"SUBREGION",#N/A,FALSE,"CNTRYTYPE"}</definedName>
    <definedName name="wrn.SUBREGION.">{"SUBREGION",#N/A,FALSE,"CNTRYTYPE"}</definedName>
    <definedName name="wrn.SUDDIVISIONE._.UTILI." localSheetId="20">{#N/A,#N/A,TRUE,"UTIFAC";#N/A,#N/A,TRUE,"UTIESP";#N/A,#N/A,TRUE,"UTIFRA";#N/A,#N/A,TRUE,"UTIGBR";#N/A,#N/A,TRUE,"UTIGER";#N/A,#N/A,TRUE,"UTIGRE";#N/A,#N/A,TRUE,"UTISWE";#N/A,#N/A,TRUE,"UTIAUS";#N/A,#N/A,TRUE,"UTISAF";#N/A,#N/A,TRUE,"UTICAN"}</definedName>
    <definedName name="wrn.SUDDIVISIONE._.UTILI.">{#N/A,#N/A,TRUE,"UTIFAC";#N/A,#N/A,TRUE,"UTIESP";#N/A,#N/A,TRUE,"UTIFRA";#N/A,#N/A,TRUE,"UTIGBR";#N/A,#N/A,TRUE,"UTIGER";#N/A,#N/A,TRUE,"UTIGRE";#N/A,#N/A,TRUE,"UTISWE";#N/A,#N/A,TRUE,"UTIAUS";#N/A,#N/A,TRUE,"UTISAF";#N/A,#N/A,TRUE,"UTICAN"}</definedName>
    <definedName name="wrn.SUDDIVISIONE._UTILI.I" localSheetId="20">{#N/A,#N/A,TRUE,"UTIFAC";#N/A,#N/A,TRUE,"UTIESP";#N/A,#N/A,TRUE,"UTIFRA";#N/A,#N/A,TRUE,"UTIGBR";#N/A,#N/A,TRUE,"UTIGER";#N/A,#N/A,TRUE,"UTIGRE";#N/A,#N/A,TRUE,"UTISWE";#N/A,#N/A,TRUE,"UTIAUS";#N/A,#N/A,TRUE,"UTISAF";#N/A,#N/A,TRUE,"UTICAN"}</definedName>
    <definedName name="wrn.SUDDIVISIONE._UTILI.I">{#N/A,#N/A,TRUE,"UTIFAC";#N/A,#N/A,TRUE,"UTIESP";#N/A,#N/A,TRUE,"UTIFRA";#N/A,#N/A,TRUE,"UTIGBR";#N/A,#N/A,TRUE,"UTIGER";#N/A,#N/A,TRUE,"UTIGRE";#N/A,#N/A,TRUE,"UTISWE";#N/A,#N/A,TRUE,"UTIAUS";#N/A,#N/A,TRUE,"UTISAF";#N/A,#N/A,TRUE,"UTICAN"}</definedName>
    <definedName name="wrn.SUM._.OF._.UNIT._.3." localSheetId="20">{#N/A,#N/A,FALSE,"INPUTDATA";#N/A,#N/A,FALSE,"SUMMARY";#N/A,#N/A,FALSE,"CTAREP";#N/A,#N/A,FALSE,"CTBREP";#N/A,#N/A,FALSE,"PMG4ST86";#N/A,#N/A,FALSE,"TURBEFF";#N/A,#N/A,FALSE,"Condenser Performance"}</definedName>
    <definedName name="wrn.SUM._.OF._.UNIT._.3.">{#N/A,#N/A,FALSE,"INPUTDATA";#N/A,#N/A,FALSE,"SUMMARY";#N/A,#N/A,FALSE,"CTAREP";#N/A,#N/A,FALSE,"CTBREP";#N/A,#N/A,FALSE,"PMG4ST86";#N/A,#N/A,FALSE,"TURBEFF";#N/A,#N/A,FALSE,"Condenser Performance"}</definedName>
    <definedName name="wrn.summaries." localSheetId="20">{#N/A,#N/A,FALSE,"YTD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ies.">{#N/A,#N/A,FALSE,"YTD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localSheetId="20">{"Growth Supply Demand",#N/A,TRUE,"Summary";"Primary Energy Balance",#N/A,TRUE,"Summary"}</definedName>
    <definedName name="wrn.Summary.">{"Growth Supply Demand",#N/A,TRUE,"Summary";"Primary Energy Balance",#N/A,TRUE,"Summary"}</definedName>
    <definedName name="wrn.sweet." localSheetId="20">{"sweet",#N/A,FALSE,"CNTRYTYPE"}</definedName>
    <definedName name="wrn.sweet.">{"sweet",#N/A,FALSE,"CNTRYTYPE"}</definedName>
    <definedName name="wrn.SYNTHESE." localSheetId="20">{#N/A,#N/A,TRUE,"ANALYSE";#N/A,#N/A,TRUE,"PM VOLUME";#N/A,#N/A,TRUE,"PM VALEUR";#N/A,#N/A,TRUE,"AR1";#N/A,#N/A,TRUE,"AR2";#N/A,#N/A,TRUE,"RAF";#N/A,#N/A,TRUE,"BILAN";#N/A,#N/A,TRUE,"CASH FLOW";#N/A,#N/A,TRUE,"ETAT FI"}</definedName>
    <definedName name="wrn.SYNTHESE.">{#N/A,#N/A,TRUE,"ANALYSE";#N/A,#N/A,TRUE,"PM VOLUME";#N/A,#N/A,TRUE,"PM VALEUR";#N/A,#N/A,TRUE,"AR1";#N/A,#N/A,TRUE,"AR2";#N/A,#N/A,TRUE,"RAF";#N/A,#N/A,TRUE,"BILAN";#N/A,#N/A,TRUE,"CASH FLOW";#N/A,#N/A,TRUE,"ETAT FI"}</definedName>
    <definedName name="wrn.TABLEAUX." localSheetId="20">{#N/A,#N/A,TRUE,"EC COMM-t";#N/A,#N/A,TRUE,"EC PAR PDTS-t";#N/A,#N/A,TRUE,"EC MAT-t";#N/A,#N/A,TRUE,"SUIVI HAUSSES-t"}</definedName>
    <definedName name="wrn.TABLEAUX.">{#N/A,#N/A,TRUE,"EC COMM-t";#N/A,#N/A,TRUE,"EC PAR PDTS-t";#N/A,#N/A,TRUE,"EC MAT-t";#N/A,#N/A,TRUE,"SUIVI HAUSSES-t"}</definedName>
    <definedName name="wrn.Tableaux._.A." localSheetId="20">{#N/A,#N/A,FALSE,"Tabl. A1";#N/A,#N/A,FALSE,"Tabl. A1 b";#N/A,#N/A,FALSE,"Tabl. A2";#N/A,#N/A,FALSE,"Tabl. A2-1";#N/A,#N/A,FALSE,"Tabl. A2-2"}</definedName>
    <definedName name="wrn.Tableaux._.A.">{#N/A,#N/A,FALSE,"Tabl. A1";#N/A,#N/A,FALSE,"Tabl. A1 b";#N/A,#N/A,FALSE,"Tabl. A2";#N/A,#N/A,FALSE,"Tabl. A2-1";#N/A,#N/A,FALSE,"Tabl. A2-2"}</definedName>
    <definedName name="wrn.Tableaux._.D." localSheetId="20">{#N/A,#N/A,FALSE,"Tabl. D1";#N/A,#N/A,FALSE,"Tabl. D1 b";#N/A,#N/A,FALSE,"Tabl. D2";#N/A,#N/A,FALSE,"Tabl. D2 b";#N/A,#N/A,FALSE,"Tabl. D3";#N/A,#N/A,FALSE,"Tabl. D4";#N/A,#N/A,FALSE,"Tabl. D5"}</definedName>
    <definedName name="wrn.Tableaux._.D.">{#N/A,#N/A,FALSE,"Tabl. D1";#N/A,#N/A,FALSE,"Tabl. D1 b";#N/A,#N/A,FALSE,"Tabl. D2";#N/A,#N/A,FALSE,"Tabl. D2 b";#N/A,#N/A,FALSE,"Tabl. D3";#N/A,#N/A,FALSE,"Tabl. D4";#N/A,#N/A,FALSE,"Tabl. D5"}</definedName>
    <definedName name="wrn.Tableaux._.F." localSheetId="20">{#N/A,#N/A,FALSE,"Tabl. FB300";#N/A,#N/A,FALSE,"Tabl. FB350";#N/A,#N/A,FALSE,"Tabl. FB400";#N/A,#N/A,FALSE,"Tabl. FB500";#N/A,#N/A,FALSE,"Tabl. FS090"}</definedName>
    <definedName name="wrn.Tableaux._.F.">{#N/A,#N/A,FALSE,"Tabl. FB300";#N/A,#N/A,FALSE,"Tabl. FB350";#N/A,#N/A,FALSE,"Tabl. FB400";#N/A,#N/A,FALSE,"Tabl. FB500";#N/A,#N/A,FALSE,"Tabl. FS090"}</definedName>
    <definedName name="wrn.Tableaux._.G." localSheetId="20">{#N/A,#N/A,FALSE,"Tabl. G1";#N/A,#N/A,FALSE,"Tabl. G2"}</definedName>
    <definedName name="wrn.Tableaux._.G.">{#N/A,#N/A,FALSE,"Tabl. G1";#N/A,#N/A,FALSE,"Tabl. G2"}</definedName>
    <definedName name="wrn.Tableaux._.H." localSheetId="20">{#N/A,#N/A,FALSE,"Tabl. H1";#N/A,#N/A,FALSE,"Tabl. H2"}</definedName>
    <definedName name="wrn.Tableaux._.H.">{#N/A,#N/A,FALSE,"Tabl. H1";#N/A,#N/A,FALSE,"Tabl. H2"}</definedName>
    <definedName name="wrn.Tables." localSheetId="20">{"Current",#N/A,FALSE,"Currentcal";"Current B",#N/A,FALSE,"Currentcal";"Constant",#N/A,FALSE,"Constantcal";"Constant B",#N/A,FALSE,"Constantcal"}</definedName>
    <definedName name="wrn.Tables.">{"Current",#N/A,FALSE,"Currentcal";"Current B",#N/A,FALSE,"Currentcal";"Constant",#N/A,FALSE,"Constantcal";"Constant B",#N/A,FALSE,"Constantcal"}</definedName>
    <definedName name="wrn.test." localSheetId="20">{"test2",#N/A,TRUE,"Prices"}</definedName>
    <definedName name="wrn.test.">{"test2",#N/A,TRUE,"Prices"}</definedName>
    <definedName name="wrn.total." localSheetId="20">{#N/A,#N/A,TRUE,"SEST";#N/A,#N/A,TRUE,"indicadores ";#N/A,#N/A,TRUE,"FPI";#N/A,#N/A,TRUE,"USOS E FONTES";#N/A,#N/A,TRUE,"gráficos"}</definedName>
    <definedName name="wrn.total.">{#N/A,#N/A,TRUE,"SEST";#N/A,#N/A,TRUE,"indicadores ";#N/A,#N/A,TRUE,"FPI";#N/A,#N/A,TRUE,"USOS E FONTES";#N/A,#N/A,TRUE,"gráficos"}</definedName>
    <definedName name="wrn.Tout._.Sauf._.BG." localSheetId="20">{#N/A,#N/A,FALSE,"A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RIMESTRALE." localSheetId="20">{#N/A,#N/A,TRUE,"covtri";#N/A,#N/A,TRUE,"indtri";#N/A,#N/A,TRUE,"ECORID";#N/A,#N/A,TRUE,"ECOTRA";#N/A,#N/A,TRUE,"ECOTOT";#N/A,#N/A,TRUE,"FATSOC";#N/A,#N/A,TRUE,"FATDIV";#N/A,#N/A,TRUE,"FATGEO";#N/A,#N/A,TRUE,"ORDINI";#N/A,#N/A,TRUE,"SITPAT";#N/A,#N/A,TRUE,"RENDFIN";#N/A,#N/A,TRUE,"TESORI";#N/A,#N/A,TRUE,"PERSONE"}</definedName>
    <definedName name="wrn.TRIMESTRALE.">{#N/A,#N/A,TRUE,"covtri";#N/A,#N/A,TRUE,"indtri";#N/A,#N/A,TRUE,"ECORID";#N/A,#N/A,TRUE,"ECOTRA";#N/A,#N/A,TRUE,"ECOTOT";#N/A,#N/A,TRUE,"FATSOC";#N/A,#N/A,TRUE,"FATDIV";#N/A,#N/A,TRUE,"FATGEO";#N/A,#N/A,TRUE,"ORDINI";#N/A,#N/A,TRUE,"SITPAT";#N/A,#N/A,TRUE,"RENDFIN";#N/A,#N/A,TRUE,"TESORI";#N/A,#N/A,TRUE,"PERSONE"}</definedName>
    <definedName name="wrn.TUTTO." localSheetId="20">{"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wrn.TUTTO.">{"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wrn.UTILI._.SPAGNA." localSheetId="20">{#N/A,#N/A,TRUE,"UTIESP"}</definedName>
    <definedName name="wrn.UTILI._.SPAGNA.">{#N/A,#N/A,TRUE,"UTIESP"}</definedName>
    <definedName name="wrn.UTILI._.SUD._.AFRICA." localSheetId="20">{#N/A,#N/A,TRUE,"UTISAF"}</definedName>
    <definedName name="wrn.UTILI._.SUD._.AFRICA.">{#N/A,#N/A,TRUE,"UTISAF"}</definedName>
    <definedName name="wrn1.CCC." localSheetId="20">{"QQQ",#N/A,FALSE,"RIEP"}</definedName>
    <definedName name="wrn1.CCC.">{"QQQ",#N/A,FALSE,"RIEP"}</definedName>
    <definedName name="wrn2.all" localSheetId="20">{"PAGE1",#N/A,FALSE,"YIELDS";"PAGE2",#N/A,FALSE,"YIELDS";"PAGE3",#N/A,FALSE,"YIELDS"}</definedName>
    <definedName name="wrn2.all">{"PAGE1",#N/A,FALSE,"YIELDS";"PAGE2",#N/A,FALSE,"YIELDS";"PAGE3",#N/A,FALSE,"YIELDS"}</definedName>
    <definedName name="wrn2.all." localSheetId="20">{"PAGE1",#N/A,FALSE,"YIELDS";"PAGE2",#N/A,FALSE,"YIELDS";"PAGE3",#N/A,FALSE,"YIELDS"}</definedName>
    <definedName name="wrn2.all.">{"PAGE1",#N/A,FALSE,"YIELDS";"PAGE2",#N/A,FALSE,"YIELDS";"PAGE3",#N/A,FALSE,"YIELDS"}</definedName>
    <definedName name="wrn2.gasodem." localSheetId="20">{"monthly",#N/A,FALSE,"GASODEM";"qtr to yr",#N/A,FALSE,"GASODEM"}</definedName>
    <definedName name="wrn2.gasodem.">{"monthly",#N/A,FALSE,"GASODEM";"qtr to yr",#N/A,FALSE,"GASODEM"}</definedName>
    <definedName name="wrn3.ALL." localSheetId="20">{#N/A,#N/A,FALSE,"DCF";#N/A,#N/A,FALSE,"WACC";#N/A,#N/A,FALSE,"Sales_EBIT";#N/A,#N/A,FALSE,"Capex_Depreciation";#N/A,#N/A,FALSE,"WC";#N/A,#N/A,FALSE,"Interest";#N/A,#N/A,FALSE,"Assumptions"}</definedName>
    <definedName name="wrn3.ALL.">{#N/A,#N/A,FALSE,"DCF";#N/A,#N/A,FALSE,"WACC";#N/A,#N/A,FALSE,"Sales_EBIT";#N/A,#N/A,FALSE,"Capex_Depreciation";#N/A,#N/A,FALSE,"WC";#N/A,#N/A,FALSE,"Interest";#N/A,#N/A,FALSE,"Assumptions"}</definedName>
    <definedName name="ws" localSheetId="20">{#N/A,#N/A,FALSE,"LLAVE";#N/A,#N/A,FALSE,"EERR";#N/A,#N/A,FALSE,"ESP";#N/A,#N/A,FALSE,"EOAF";#N/A,#N/A,FALSE,"CASH";#N/A,#N/A,FALSE,"FINANZAS";#N/A,#N/A,FALSE,"DEUDA";#N/A,#N/A,FALSE,"INVERSION";#N/A,#N/A,FALSE,"PERSONAL"}</definedName>
    <definedName name="ws">{#N/A,#N/A,FALSE,"LLAVE";#N/A,#N/A,FALSE,"EERR";#N/A,#N/A,FALSE,"ESP";#N/A,#N/A,FALSE,"EOAF";#N/A,#N/A,FALSE,"CASH";#N/A,#N/A,FALSE,"FINANZAS";#N/A,#N/A,FALSE,"DEUDA";#N/A,#N/A,FALSE,"INVERSION";#N/A,#N/A,FALSE,"PERSONAL"}</definedName>
    <definedName name="ws_1" localSheetId="20">{#N/A,#N/A,FALSE,"LLAVE";#N/A,#N/A,FALSE,"EERR";#N/A,#N/A,FALSE,"ESP";#N/A,#N/A,FALSE,"EOAF";#N/A,#N/A,FALSE,"CASH";#N/A,#N/A,FALSE,"FINANZAS";#N/A,#N/A,FALSE,"DEUDA";#N/A,#N/A,FALSE,"INVERSION";#N/A,#N/A,FALSE,"PERSONAL"}</definedName>
    <definedName name="ws_1">{#N/A,#N/A,FALSE,"LLAVE";#N/A,#N/A,FALSE,"EERR";#N/A,#N/A,FALSE,"ESP";#N/A,#N/A,FALSE,"EOAF";#N/A,#N/A,FALSE,"CASH";#N/A,#N/A,FALSE,"FINANZAS";#N/A,#N/A,FALSE,"DEUDA";#N/A,#N/A,FALSE,"INVERSION";#N/A,#N/A,FALSE,"PERSONAL"}</definedName>
    <definedName name="wvu.inputs._.raw._.data." localSheetId="20">{TRUE,TRUE,-1.25,-15.5,604.5,369,FALSE,FALSE,TRUE,TRUE,0,1,83,1,38,4,5,4,TRUE,TRUE,3,TRUE,1,TRUE,75,"Swvu.inputs._.raw._.data.","ACwvu.inputs._.raw._.data.",#N/A,FALSE,FALSE,0.5,0.5,0.5,0.5,2,"&amp;F","&amp;A&amp;RPage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{TRUE,TRUE,-1.25,-15.5,604.5,369,FALSE,FALSE,TRUE,TRUE,0,1,83,1,38,4,5,4,TRUE,TRUE,3,TRUE,1,TRUE,75,"Swvu.inputs._.raw._.data.","ACwvu.inputs._.raw._.data.",#N/A,FALSE,FALSE,0.5,0.5,0.5,0.5,2,"&amp;F","&amp;A&amp;RPage &amp;P",FALSE,FALSE,FALSE,FALSE,1,60,#N/A,#N/A,"=R1C61:R53C89","=C1:C5",#N/A,#N/A,FALSE,FALSE,FALSE,1,600,600,FALSE,FALSE,TRUE,TRUE,TRUE}</definedName>
    <definedName name="wvu.summary1." localSheetId="20">{TRUE,TRUE,-1.25,-15.5,604.5,369,FALSE,FALSE,TRUE,TRUE,0,1,#N/A,1,#N/A,20.5555555555556,28.9285714285714,1,FALSE,FALSE,3,TRUE,1,FALSE,80,"Swvu.summary1.","ACwvu.summary1.",#N/A,FALSE,FALSE,0.5,0.5,0.5,0.5,2,"&amp;F","&amp;L&amp;D&amp;C&amp;A&amp;RPage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20">{TRUE,TRUE,-1.25,-15.5,604.5,369,FALSE,FALSE,TRUE,TRUE,0,1,#N/A,41,#N/A,20.5555555555556,27.0714285714286,1,FALSE,FALSE,3,TRUE,1,FALSE,80,"Swvu.summary2.","ACwvu.summary2.",#N/A,FALSE,FALSE,0.5,0.5,0.5,0.5,2,"&amp;F","&amp;A&amp;RPage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20">{TRUE,TRUE,-1.25,-15.5,604.5,369,FALSE,FALSE,TRUE,TRUE,0,1,#N/A,91,#N/A,20.5555555555556,24.8571428571429,1,FALSE,FALSE,3,TRUE,1,FALSE,80,"Swvu.summary3.","ACwvu.summary3.",#N/A,FALSE,FALSE,0.5,0.5,0.5,0.5,2,"&amp;F","&amp;A&amp;RPage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20">{#N/A,#N/A,FALSE,"CONTROLE"}</definedName>
    <definedName name="ww">{#N/A,#N/A,FALSE,"CONTROLE"}</definedName>
    <definedName name="www" localSheetId="20">{#N/A,#N/A,FALSE,"CONTROLE";#N/A,#N/A,FALSE,"CONTROLE"}</definedName>
    <definedName name="www">{#N/A,#N/A,FALSE,"CONTROLE";#N/A,#N/A,FALSE,"CONTROLE"}</definedName>
    <definedName name="wwww" localSheetId="20">{#N/A,#N/A,FALSE,"RIEP"}</definedName>
    <definedName name="wwww">{#N/A,#N/A,FALSE,"RIEP"}</definedName>
    <definedName name="wwwwww" localSheetId="20">{#N/A,#N/A,FALSE,"CONTROLE";#N/A,#N/A,FALSE,"CONTROLE"}</definedName>
    <definedName name="wwwwww">{#N/A,#N/A,FALSE,"CONTROLE";#N/A,#N/A,FALSE,"CONTROLE"}</definedName>
    <definedName name="wwwwwww" localSheetId="20">{#N/A,#N/A,FALSE,"CONTROLE"}</definedName>
    <definedName name="wwwwwww">{#N/A,#N/A,FALSE,"CONTROLE"}</definedName>
    <definedName name="wwwwwwwwwwww" localSheetId="20">{#N/A,#N/A,FALSE,"CONTROLE"}</definedName>
    <definedName name="wwwwwwwwwwww">{#N/A,#N/A,FALSE,"CONTROLE"}</definedName>
    <definedName name="x" localSheetId="20">{#N/A,#N/A,FALSE,"FY97";#N/A,#N/A,FALSE,"FY98";#N/A,#N/A,FALSE,"FY99";#N/A,#N/A,FALSE,"FY00";#N/A,#N/A,FALSE,"FY01"}</definedName>
    <definedName name="x">{#N/A,#N/A,FALSE,"FY97";#N/A,#N/A,FALSE,"FY98";#N/A,#N/A,FALSE,"FY99";#N/A,#N/A,FALSE,"FY00";#N/A,#N/A,FALSE,"FY01"}</definedName>
    <definedName name="xcvb" localSheetId="20">{#N/A,#N/A,FALSE,"Baltimore";#N/A,#N/A,FALSE,"Barrington";#N/A,#N/A,FALSE,"Butler";#N/A,#N/A,FALSE,"Cleveland";#N/A,#N/A,FALSE,"Closter";#N/A,#N/A,FALSE,"Eaton";#N/A,#N/A,FALSE,"Meriden";#N/A,#N/A,FALSE,"Mt. Vernon";#N/A,#N/A,FALSE,"Rochester";#N/A,#N/A,FALSE,"Three Rivers";#N/A,#N/A,FALSE,"Warren"}</definedName>
    <definedName name="xcvb">{#N/A,#N/A,FALSE,"Baltimore";#N/A,#N/A,FALSE,"Barrington";#N/A,#N/A,FALSE,"Butler";#N/A,#N/A,FALSE,"Cleveland";#N/A,#N/A,FALSE,"Closter";#N/A,#N/A,FALSE,"Eaton";#N/A,#N/A,FALSE,"Meriden";#N/A,#N/A,FALSE,"Mt. Vernon";#N/A,#N/A,FALSE,"Rochester";#N/A,#N/A,FALSE,"Three Rivers";#N/A,#N/A,FALSE,"Warren"}</definedName>
    <definedName name="XCVBN" localSheetId="20">{#N/A,#N/A,FALSE,"Tabl. G1";#N/A,#N/A,FALSE,"Tabl. G2"}</definedName>
    <definedName name="XCVBN">{#N/A,#N/A,FALSE,"Tabl. G1";#N/A,#N/A,FALSE,"Tabl. G2"}</definedName>
    <definedName name="xcz" localSheetId="20">{"'pg(12)'!$B$1:$N$16"}</definedName>
    <definedName name="xcz">{"'pg(12)'!$B$1:$N$16"}</definedName>
    <definedName name="xpaste1">#REF!</definedName>
    <definedName name="XREF_COLUMN_1">#REF!</definedName>
    <definedName name="XREF_COLUMN_10">#REF!</definedName>
    <definedName name="XREF_COLUMN_11">#REF!</definedName>
    <definedName name="XREF_COLUMN_12">#REF!</definedName>
    <definedName name="XREF_COLUMN_13">#REF!</definedName>
    <definedName name="XREF_COLUMN_14">#REF!</definedName>
    <definedName name="XREF_COLUMN_15">#REF!</definedName>
    <definedName name="XREF_COLUMN_16">#REF!</definedName>
    <definedName name="XREF_COLUMN_2">#REF!</definedName>
    <definedName name="XREF_COLUMN_21">#REF!</definedName>
    <definedName name="XREF_COLUMN_22">#REF!</definedName>
    <definedName name="XREF_COLUMN_23">#REF!</definedName>
    <definedName name="XREF_COLUMN_3">#REF!</definedName>
    <definedName name="XREF_COLUMN_36">#REF!</definedName>
    <definedName name="XREF_COLUMN_38">#REF!</definedName>
    <definedName name="XREF_COLUMN_39">#REF!</definedName>
    <definedName name="XREF_COLUMN_4">#REF!</definedName>
    <definedName name="XREF_COLUMN_40">#REF!</definedName>
    <definedName name="XREF_COLUMN_42">#REF!</definedName>
    <definedName name="XREF_COLUMN_43">#REF!</definedName>
    <definedName name="XREF_COLUMN_44">#REF!</definedName>
    <definedName name="XREF_COLUMN_45">#REF!</definedName>
    <definedName name="XREF_COLUMN_5">#REF!</definedName>
    <definedName name="XREF_COLUMN_51">#REF!</definedName>
    <definedName name="XREF_COLUMN_52">#REF!</definedName>
    <definedName name="XREF_COLUMN_53">#REF!</definedName>
    <definedName name="XREF_COLUMN_6">#REF!</definedName>
    <definedName name="XREF_COLUMN_7">#REF!</definedName>
    <definedName name="XREF_COLUMN_8">#REF!</definedName>
    <definedName name="XREF_COLUMN_9">#REF!</definedName>
    <definedName name="XRefActiveRow">#REF!</definedName>
    <definedName name="XRefColumnsCount">18</definedName>
    <definedName name="XRefCopy1">#REF!</definedName>
    <definedName name="XRefCopy103">#REF!</definedName>
    <definedName name="XRefCopy10Row">#REF!</definedName>
    <definedName name="XRefCopy11Row">#REF!</definedName>
    <definedName name="XRefCopy12Row">#REF!</definedName>
    <definedName name="XRefCopy13Row">#REF!</definedName>
    <definedName name="XRefCopy14">#REF!</definedName>
    <definedName name="XRefCopy15">#REF!</definedName>
    <definedName name="XRefCopy16">#REF!</definedName>
    <definedName name="XRefCopy16Row">#REF!</definedName>
    <definedName name="XRefCopy17">#REF!</definedName>
    <definedName name="XRefCopy17Row">#REF!</definedName>
    <definedName name="XRefCopy18">#REF!</definedName>
    <definedName name="XRefCopy18Row">#REF!</definedName>
    <definedName name="XRefCopy19Row">#REF!</definedName>
    <definedName name="XRefCopy1Row">#REF!</definedName>
    <definedName name="XRefCopy2">#REF!</definedName>
    <definedName name="XRefCopy20Row">#REF!</definedName>
    <definedName name="XRefCopy21Row">#REF!</definedName>
    <definedName name="XRefCopy22Row">#REF!</definedName>
    <definedName name="XRefCopy25Row">#REF!</definedName>
    <definedName name="XRefCopy26Row">#REF!</definedName>
    <definedName name="XRefCopy27Row">#REF!</definedName>
    <definedName name="XRefCopy28Row">#REF!</definedName>
    <definedName name="XRefCopy29Row">#REF!</definedName>
    <definedName name="XRefCopy2Row">#REF!</definedName>
    <definedName name="XRefCopy3">#REF!</definedName>
    <definedName name="XRefCopy30Row">#REF!</definedName>
    <definedName name="XRefCopy31">#REF!</definedName>
    <definedName name="XRefCopy3Row">#REF!</definedName>
    <definedName name="XRefCopy4">#REF!</definedName>
    <definedName name="XRefCopy40">#REF!</definedName>
    <definedName name="XRefCopy40Row">#REF!</definedName>
    <definedName name="XRefCopy41">#REF!</definedName>
    <definedName name="XRefCopy41Row">#REF!</definedName>
    <definedName name="XRefCopy42">#REF!</definedName>
    <definedName name="XRefCopy5">#REF!</definedName>
    <definedName name="XRefCopy51">#REF!</definedName>
    <definedName name="XRefCopy51Row">#REF!</definedName>
    <definedName name="XRefCopy52">#REF!</definedName>
    <definedName name="XRefCopy52Row">#REF!</definedName>
    <definedName name="XRefCopy53">#REF!</definedName>
    <definedName name="XRefCopy53Row">#REF!</definedName>
    <definedName name="XRefCopy54">#REF!</definedName>
    <definedName name="XRefCopy54Row">#REF!</definedName>
    <definedName name="XRefCopy6">#REF!</definedName>
    <definedName name="XRefCopy7">#REF!</definedName>
    <definedName name="XRefCopy8">#REF!</definedName>
    <definedName name="XRefCopy85">#REF!</definedName>
    <definedName name="XRefCopy85Row">#REF!</definedName>
    <definedName name="XRefCopy86">#REF!</definedName>
    <definedName name="XRefCopy87">#REF!</definedName>
    <definedName name="XRefCopy87Row">#REF!</definedName>
    <definedName name="XRefCopy88">#REF!</definedName>
    <definedName name="XRefCopy88Row">#REF!</definedName>
    <definedName name="XRefCopy8Row">#REF!</definedName>
    <definedName name="XRefCopy9">#REF!</definedName>
    <definedName name="XRefCopy91">#REF!</definedName>
    <definedName name="XRefCopy91Row">#REF!</definedName>
    <definedName name="XRefCopyRangeCount">15</definedName>
    <definedName name="XRefPaste1">#REF!</definedName>
    <definedName name="XRefPaste10">#REF!</definedName>
    <definedName name="XRefPaste10Row">#REF!</definedName>
    <definedName name="XRefPaste11">#REF!</definedName>
    <definedName name="XRefPaste11Row">#REF!</definedName>
    <definedName name="XRefPaste13">#REF!</definedName>
    <definedName name="XRefPaste13Row">#REF!</definedName>
    <definedName name="XRefPaste14">#REF!</definedName>
    <definedName name="XRefPaste14Row">#REF!</definedName>
    <definedName name="XRefPaste15">#REF!</definedName>
    <definedName name="XRefPaste15Row">#REF!</definedName>
    <definedName name="XRefPaste16">#REF!</definedName>
    <definedName name="XRefPaste16Row">#REF!</definedName>
    <definedName name="XRefPaste18">#REF!</definedName>
    <definedName name="XRefPaste19">#REF!</definedName>
    <definedName name="XRefPaste19Row">#REF!</definedName>
    <definedName name="XRefPaste2">#REF!</definedName>
    <definedName name="XRefPaste20">#REF!</definedName>
    <definedName name="XRefPaste20Row">#REF!</definedName>
    <definedName name="XRefPaste21">#REF!</definedName>
    <definedName name="XRefPaste21Row">#REF!</definedName>
    <definedName name="XRefPaste22">#REF!</definedName>
    <definedName name="XRefPaste22Row">#REF!</definedName>
    <definedName name="XRefPaste23">#REF!</definedName>
    <definedName name="XRefPaste23Row">#REF!</definedName>
    <definedName name="XRefPaste2Row">#REF!</definedName>
    <definedName name="XRefPaste3">#REF!</definedName>
    <definedName name="XRefPaste30Row">#REF!</definedName>
    <definedName name="XRefPaste33">#REF!</definedName>
    <definedName name="XRefPaste33Row">#REF!</definedName>
    <definedName name="XRefPaste34">#REF!</definedName>
    <definedName name="XRefPaste34Row">#REF!</definedName>
    <definedName name="XRefPaste35">#REF!</definedName>
    <definedName name="XRefPaste35Row">#REF!</definedName>
    <definedName name="XRefPaste36">#REF!</definedName>
    <definedName name="XRefPaste36Row">#REF!</definedName>
    <definedName name="XRefPaste37Row">#REF!</definedName>
    <definedName name="XRefPaste38Row">#REF!</definedName>
    <definedName name="XRefPaste3Row">#REF!</definedName>
    <definedName name="XRefPaste4">#REF!</definedName>
    <definedName name="XRefPaste40Row">#REF!</definedName>
    <definedName name="XRefPaste41Row">#REF!</definedName>
    <definedName name="XRefPaste42Row">#REF!</definedName>
    <definedName name="XRefPaste43Row">#REF!</definedName>
    <definedName name="XRefPaste4Row">#REF!</definedName>
    <definedName name="XRefPaste5">#REF!</definedName>
    <definedName name="XRefPaste6">#REF!</definedName>
    <definedName name="XRefPaste6Row">#REF!</definedName>
    <definedName name="XRefPaste7">#REF!</definedName>
    <definedName name="XRefPaste73Row">#REF!</definedName>
    <definedName name="XRefPaste74">#REF!</definedName>
    <definedName name="XRefPaste74Row">#REF!</definedName>
    <definedName name="XRefPaste75">#REF!</definedName>
    <definedName name="XRefPaste75Row">#REF!</definedName>
    <definedName name="XRefPaste76">#REF!</definedName>
    <definedName name="XRefPaste76Row">#REF!</definedName>
    <definedName name="XRefPaste77">#REF!</definedName>
    <definedName name="XRefPaste77Row">#REF!</definedName>
    <definedName name="XRefPaste79">#REF!</definedName>
    <definedName name="XRefPaste79Row">#REF!</definedName>
    <definedName name="XRefPaste7Row">#REF!</definedName>
    <definedName name="XRefPaste8">#REF!</definedName>
    <definedName name="XRefPaste8Row">#REF!</definedName>
    <definedName name="XRefPaste9">#REF!</definedName>
    <definedName name="XRefPaste9Row">#REF!</definedName>
    <definedName name="XRefPasteRangeCount">13</definedName>
    <definedName name="xs" localSheetId="20">{#N/A,#N/A,FALSE,"ENERGIA";#N/A,#N/A,FALSE,"PERDIDAS";#N/A,#N/A,FALSE,"CLIENTES";#N/A,#N/A,FALSE,"ESTADO";#N/A,#N/A,FALSE,"TECNICA"}</definedName>
    <definedName name="xs">{#N/A,#N/A,FALSE,"ENERGIA";#N/A,#N/A,FALSE,"PERDIDAS";#N/A,#N/A,FALSE,"CLIENTES";#N/A,#N/A,FALSE,"ESTADO";#N/A,#N/A,FALSE,"TECNICA"}</definedName>
    <definedName name="xs_1" localSheetId="20">{#N/A,#N/A,FALSE,"ENERGIA";#N/A,#N/A,FALSE,"PERDIDAS";#N/A,#N/A,FALSE,"CLIENTES";#N/A,#N/A,FALSE,"ESTADO";#N/A,#N/A,FALSE,"TECNICA"}</definedName>
    <definedName name="xs_1">{#N/A,#N/A,FALSE,"ENERGIA";#N/A,#N/A,FALSE,"PERDIDAS";#N/A,#N/A,FALSE,"CLIENTES";#N/A,#N/A,FALSE,"ESTADO";#N/A,#N/A,FALSE,"TECNICA"}</definedName>
    <definedName name="xsa" localSheetId="20">{#N/A,#N/A,FALSE,"LLAVE";#N/A,#N/A,FALSE,"EERR";#N/A,#N/A,FALSE,"ESP";#N/A,#N/A,FALSE,"EOAF";#N/A,#N/A,FALSE,"CASH";#N/A,#N/A,FALSE,"FINANZAS";#N/A,#N/A,FALSE,"DEUDA";#N/A,#N/A,FALSE,"INVERSION";#N/A,#N/A,FALSE,"PERSONAL"}</definedName>
    <definedName name="xsa">{#N/A,#N/A,FALSE,"LLAVE";#N/A,#N/A,FALSE,"EERR";#N/A,#N/A,FALSE,"ESP";#N/A,#N/A,FALSE,"EOAF";#N/A,#N/A,FALSE,"CASH";#N/A,#N/A,FALSE,"FINANZAS";#N/A,#N/A,FALSE,"DEUDA";#N/A,#N/A,FALSE,"INVERSION";#N/A,#N/A,FALSE,"PERSONAL"}</definedName>
    <definedName name="xsa_1" localSheetId="20">{#N/A,#N/A,FALSE,"LLAVE";#N/A,#N/A,FALSE,"EERR";#N/A,#N/A,FALSE,"ESP";#N/A,#N/A,FALSE,"EOAF";#N/A,#N/A,FALSE,"CASH";#N/A,#N/A,FALSE,"FINANZAS";#N/A,#N/A,FALSE,"DEUDA";#N/A,#N/A,FALSE,"INVERSION";#N/A,#N/A,FALSE,"PERSONAL"}</definedName>
    <definedName name="xsa_1">{#N/A,#N/A,FALSE,"LLAVE";#N/A,#N/A,FALSE,"EERR";#N/A,#N/A,FALSE,"ESP";#N/A,#N/A,FALSE,"EOAF";#N/A,#N/A,FALSE,"CASH";#N/A,#N/A,FALSE,"FINANZAS";#N/A,#N/A,FALSE,"DEUDA";#N/A,#N/A,FALSE,"INVERSION";#N/A,#N/A,FALSE,"PERSONAL"}</definedName>
    <definedName name="Xuxu" localSheetId="20">{#N/A,#N/A,FALSE,"CONTROLE"}</definedName>
    <definedName name="Xuxu">{#N/A,#N/A,FALSE,"CONTROLE"}</definedName>
    <definedName name="xx" localSheetId="20">{2;#N/A;"R13C16:R17C16";#N/A;"R13C14:R17C15";FALSE;FALSE;FALSE;95;#N/A;#N/A;"R13C19";#N/A;FALSE;FALSE;FALSE;FALSE;#N/A;"";#N/A;FALSE;"";"";#N/A;#N/A;#N/A}</definedName>
    <definedName name="xx">{2;#N/A;"R13C16:R17C16";#N/A;"R13C14:R17C15";FALSE;FALSE;FALSE;95;#N/A;#N/A;"R13C19";#N/A;FALSE;FALSE;FALSE;FALSE;#N/A;"";#N/A;FALSE;"";"";#N/A;#N/A;#N/A}</definedName>
    <definedName name="xxx" localSheetId="20">{"detail305",#N/A,FALSE,"BI-305"}</definedName>
    <definedName name="xxx">{"detail305",#N/A,FALSE,"BI-305"}</definedName>
    <definedName name="xxx.detail" localSheetId="20">{"detail305",#N/A,FALSE,"BI-305"}</definedName>
    <definedName name="xxx.detail">{"detail305",#N/A,FALSE,"BI-305"}</definedName>
    <definedName name="xxx.directory" localSheetId="20">{"summary",#N/A,FALSE,"PCR DIRECTORY"}</definedName>
    <definedName name="xxx.directory">{"summary",#N/A,FALSE,"PCR DIRECTORY"}</definedName>
    <definedName name="xxx_1" localSheetId="20">{"'DEC ou FEC'!$A$1:$O$132"}</definedName>
    <definedName name="xxx_1">{"'DEC ou FEC'!$A$1:$O$132"}</definedName>
    <definedName name="xxxx" localSheetId="20">{#N/A,#N/A,FALSE,"ANEXO3 99 ERA";#N/A,#N/A,FALSE,"ANEXO3 99 UBÁ2";#N/A,#N/A,FALSE,"ANEXO3 99 DTU";#N/A,#N/A,FALSE,"ANEXO3 99 RDR";#N/A,#N/A,FALSE,"ANEXO3 99 UBÁ4";#N/A,#N/A,FALSE,"ANEXO3 99 UBÁ6"}</definedName>
    <definedName name="xxxx">{#N/A,#N/A,FALSE,"ANEXO3 99 ERA";#N/A,#N/A,FALSE,"ANEXO3 99 UBÁ2";#N/A,#N/A,FALSE,"ANEXO3 99 DTU";#N/A,#N/A,FALSE,"ANEXO3 99 RDR";#N/A,#N/A,FALSE,"ANEXO3 99 UBÁ4";#N/A,#N/A,FALSE,"ANEXO3 99 UBÁ6"}</definedName>
    <definedName name="xxxxx" localSheetId="20">{#N/A,#N/A,TRUE,"TOTAL DISTRIBUTION";#N/A,#N/A,TRUE,"SOUTH";#N/A,#N/A,TRUE,"NORTHEAST";#N/A,#N/A,TRUE,"WEST"}</definedName>
    <definedName name="xxxxx">{#N/A,#N/A,TRUE,"TOTAL DISTRIBUTION";#N/A,#N/A,TRUE,"SOUTH";#N/A,#N/A,TRUE,"NORTHEAST";#N/A,#N/A,TRUE,"WEST"}</definedName>
    <definedName name="xxxxxx" localSheetId="20">{#N/A,#N/A,TRUE,"TOTAL DSBN";#N/A,#N/A,TRUE,"WEST";#N/A,#N/A,TRUE,"SOUTH";#N/A,#N/A,TRUE,"NORTHEAST"}</definedName>
    <definedName name="xxxxxx">{#N/A,#N/A,TRUE,"TOTAL DSBN";#N/A,#N/A,TRUE,"WEST";#N/A,#N/A,TRUE,"SOUTH";#N/A,#N/A,TRUE,"NORTHEAST"}</definedName>
    <definedName name="XXXXXXX" localSheetId="20">{#N/A,#N/A,FALSE,"CONTROLE";#N/A,#N/A,FALSE,"CONTROLE"}</definedName>
    <definedName name="XXXXXXX">{#N/A,#N/A,FALSE,"CONTROLE";#N/A,#N/A,FALSE,"CONTROLE"}</definedName>
    <definedName name="xxxxxxxxxxx" localSheetId="20">{#N/A,#N/A,FALSE,"ANEXO3 99 ERA";#N/A,#N/A,FALSE,"ANEXO3 99 UBÁ2";#N/A,#N/A,FALSE,"ANEXO3 99 DTU";#N/A,#N/A,FALSE,"ANEXO3 99 RDR";#N/A,#N/A,FALSE,"ANEXO3 99 UBÁ4";#N/A,#N/A,FALSE,"ANEXO3 99 UBÁ6"}</definedName>
    <definedName name="xxxxxxxxxxx">{#N/A,#N/A,FALSE,"ANEXO3 99 ERA";#N/A,#N/A,FALSE,"ANEXO3 99 UBÁ2";#N/A,#N/A,FALSE,"ANEXO3 99 DTU";#N/A,#N/A,FALSE,"ANEXO3 99 RDR";#N/A,#N/A,FALSE,"ANEXO3 99 UBÁ4";#N/A,#N/A,FALSE,"ANEXO3 99 UBÁ6"}</definedName>
    <definedName name="xy" localSheetId="20">{"CONS_RAFF2",#N/A,FALSE,"CONS.RAFF2"}</definedName>
    <definedName name="xy">{"CONS_RAFF2",#N/A,FALSE,"CONS.RAFF2"}</definedName>
    <definedName name="YBN" localSheetId="20">{#N/A,#N/A,FALSE,"Tabl. A1";#N/A,#N/A,FALSE,"Tabl. A1 b";#N/A,#N/A,FALSE,"Tabl. A2";#N/A,#N/A,FALSE,"Tabl. A2-1";#N/A,#N/A,FALSE,"Tabl. A2-2"}</definedName>
    <definedName name="YBN">{#N/A,#N/A,FALSE,"Tabl. A1";#N/A,#N/A,FALSE,"Tabl. A1 b";#N/A,#N/A,FALSE,"Tabl. A2";#N/A,#N/A,FALSE,"Tabl. A2-1";#N/A,#N/A,FALSE,"Tabl. A2-2"}</definedName>
    <definedName name="ybukkbyitkituk" localSheetId="20">{#N/A,#N/A,FALSE,"RIEP"}</definedName>
    <definedName name="ybukkbyitkituk">{#N/A,#N/A,FALSE,"RIEP"}</definedName>
    <definedName name="YEARHIGH">"YEARHIGH"</definedName>
    <definedName name="YEARLOW">"YEARLOW"</definedName>
    <definedName name="yrnukuilky8u" localSheetId="20">{"QQQ",#N/A,FALSE,"RIEP"}</definedName>
    <definedName name="yrnukuilky8u">{"QQQ",#N/A,FALSE,"RIEP"}</definedName>
    <definedName name="YTHBVFR" localSheetId="20">{#N/A,#N/A,FALSE,"Tabl. FB300";#N/A,#N/A,FALSE,"Tabl. FB350";#N/A,#N/A,FALSE,"Tabl. FB400";#N/A,#N/A,FALSE,"Tabl. FB500";#N/A,#N/A,FALSE,"Tabl. FS090"}</definedName>
    <definedName name="YTHBVFR">{#N/A,#N/A,FALSE,"Tabl. FB300";#N/A,#N/A,FALSE,"Tabl. FB350";#N/A,#N/A,FALSE,"Tabl. FB400";#N/A,#N/A,FALSE,"Tabl. FB500";#N/A,#N/A,FALSE,"Tabl. FS090"}</definedName>
    <definedName name="YU87N" localSheetId="20">{#N/A,#N/A,FALSE,"Tabl. G1";#N/A,#N/A,FALSE,"Tabl. G2"}</definedName>
    <definedName name="YU87N">{#N/A,#N/A,FALSE,"Tabl. G1";#N/A,#N/A,FALSE,"Tabl. G2"}</definedName>
    <definedName name="YUC" localSheetId="20">{#N/A,#N/A,FALSE,"Tabl. H1";#N/A,#N/A,FALSE,"Tabl. H2"}</definedName>
    <definedName name="YUC">{#N/A,#N/A,FALSE,"Tabl. H1";#N/A,#N/A,FALSE,"Tabl. H2"}</definedName>
    <definedName name="YY" localSheetId="20">{"TotalGeralDespesasPorArea",#N/A,FALSE,"VinculosAccessEfetivo"}</definedName>
    <definedName name="YY">{"TotalGeralDespesasPorArea",#N/A,FALSE,"VinculosAccessEfetivo"}</definedName>
    <definedName name="Z_0B113C9C_A1A9_11D3_A311_0008C739212F_.wvu.PrintArea">#REF!</definedName>
    <definedName name="Z_1C03E4A5_0E99_11D5_896C_00008646D7BA_.wvu.Rows">#REF!</definedName>
    <definedName name="Z_74BB7D31_A24A_11D3_95F1_000000000000_.wvu.PrintArea">#REF!</definedName>
    <definedName name="zaq" localSheetId="20">{#N/A,#N/A,FALSE,"Calc";#N/A,#N/A,FALSE,"Sensitivity";#N/A,#N/A,FALSE,"LT Earn.Dil.";#N/A,#N/A,FALSE,"Dil. AVP"}</definedName>
    <definedName name="zaq">{#N/A,#N/A,FALSE,"Calc";#N/A,#N/A,FALSE,"Sensitivity";#N/A,#N/A,FALSE,"LT Earn.Dil.";#N/A,#N/A,FALSE,"Dil. AVP"}</definedName>
    <definedName name="zer" localSheetId="20">{#N/A,#N/A,FALSE,"Calc";#N/A,#N/A,FALSE,"Sensitivity";#N/A,#N/A,FALSE,"LT Earn.Dil.";#N/A,#N/A,FALSE,"Dil. AVP"}</definedName>
    <definedName name="zer">{#N/A,#N/A,FALSE,"Calc";#N/A,#N/A,FALSE,"Sensitivity";#N/A,#N/A,FALSE,"LT Earn.Dil.";#N/A,#N/A,FALSE,"Dil. AVP"}</definedName>
    <definedName name="ZWX" localSheetId="20">{#N/A,#N/A,FALSE,"Tabl. A1";#N/A,#N/A,FALSE,"Tabl. A1 b";#N/A,#N/A,FALSE,"Tabl. A2";#N/A,#N/A,FALSE,"Tabl. A2-1";#N/A,#N/A,FALSE,"Tabl. A2-2"}</definedName>
    <definedName name="ZWX">{#N/A,#N/A,FALSE,"Tabl. A1";#N/A,#N/A,FALSE,"Tabl. A1 b";#N/A,#N/A,FALSE,"Tabl. A2";#N/A,#N/A,FALSE,"Tabl. A2-1";#N/A,#N/A,FALSE,"Tabl. A2-2"}</definedName>
    <definedName name="zxcv" localSheetId="20">{#N/A,#N/A,FALSE,"Baltimore";#N/A,#N/A,FALSE,"Barrington";#N/A,#N/A,FALSE,"Butler";#N/A,#N/A,FALSE,"Cleveland";#N/A,#N/A,FALSE,"Closter";#N/A,#N/A,FALSE,"Eaton";#N/A,#N/A,FALSE,"Meriden";#N/A,#N/A,FALSE,"Mt. Vernon";#N/A,#N/A,FALSE,"Rochester";#N/A,#N/A,FALSE,"Three Rivers";#N/A,#N/A,FALSE,"Warren"}</definedName>
    <definedName name="zxcv">{#N/A,#N/A,FALSE,"Baltimore";#N/A,#N/A,FALSE,"Barrington";#N/A,#N/A,FALSE,"Butler";#N/A,#N/A,FALSE,"Cleveland";#N/A,#N/A,FALSE,"Closter";#N/A,#N/A,FALSE,"Eaton";#N/A,#N/A,FALSE,"Meriden";#N/A,#N/A,FALSE,"Mt. Vernon";#N/A,#N/A,FALSE,"Rochester";#N/A,#N/A,FALSE,"Three Rivers";#N/A,#N/A,FALSE,"Warren"}</definedName>
    <definedName name="zz" localSheetId="20">{#N/A,#N/A,FALSE,"CONTROLE"}</definedName>
    <definedName name="zz">{#N/A,#N/A,FALSE,"CONTROLE"}</definedName>
    <definedName name="zzz" localSheetId="20">{#N/A,#N/A,FALSE,"Results";#N/A,#N/A,FALSE,"Input Data";#N/A,#N/A,FALSE,"Generation Calculation";#N/A,#N/A,FALSE,"Unit Heat Rate Calculation";#N/A,#N/A,FALSE,"Final FWH Extraction Flow";#N/A,#N/A,FALSE,"BEFF.XLS";#N/A,#N/A,FALSE,"TURBEFF.XLS";#N/A,#N/A,FALSE,"Condenser Performance";#N/A,#N/A,FALSE,"Stage Pressure Correction";#N/A,#N/A,FALSE,"Electrical Loss Correction";#N/A,#N/A,FALSE,"Throttle P &amp; T Correction";#N/A,#N/A,FALSE,"Final FWH TTD Correction";#N/A,#N/A,FALSE,"Reheat T &amp; dP Correction";#N/A,#N/A,FALSE,"Auxiliary Steam &amp; Extr Corr";#N/A,#N/A,FALSE,"SHS &amp; RHS Correction";#N/A,#N/A,FALSE,"Change Log"}</definedName>
    <definedName name="zzz">{#N/A,#N/A,FALSE,"Results";#N/A,#N/A,FALSE,"Input Data";#N/A,#N/A,FALSE,"Generation Calculation";#N/A,#N/A,FALSE,"Unit Heat Rate Calculation";#N/A,#N/A,FALSE,"Final FWH Extraction Flow";#N/A,#N/A,FALSE,"BEFF.XLS";#N/A,#N/A,FALSE,"TURBEFF.XLS";#N/A,#N/A,FALSE,"Condenser Performance";#N/A,#N/A,FALSE,"Stage Pressure Correction";#N/A,#N/A,FALSE,"Electrical Loss Correction";#N/A,#N/A,FALSE,"Throttle P &amp; T Correction";#N/A,#N/A,FALSE,"Final FWH TTD Correction";#N/A,#N/A,FALSE,"Reheat T &amp; dP Correction";#N/A,#N/A,FALSE,"Auxiliary Steam &amp; Extr Corr";#N/A,#N/A,FALSE,"SHS &amp; RHS Correction";#N/A,#N/A,FALSE,"Change Log"}</definedName>
    <definedName name="zzzzzzzzzz" localSheetId="20">{#N/A,#N/A,FALSE,"RIEP"}</definedName>
    <definedName name="zzzzzzzzzz">{#N/A,#N/A,FALSE,"RIEP"}</definedName>
    <definedName name="zzzzzzzzzzzzz" localSheetId="20">{#N/A,#N/A,FALSE,"RIEP"}</definedName>
    <definedName name="zzzzzzzzzzzzz">{#N/A,#N/A,FALSE,"RIEP"}</definedName>
    <definedName name="zzzzzzzzzzzzzz" localSheetId="20">{"QQQ",#N/A,FALSE,"RIEP"}</definedName>
    <definedName name="zzzzzzzzzzzzzz">{"QQQ",#N/A,FALSE,"RIEP"}</definedName>
    <definedName name="ZZZZZZZZZZZZZZZ" localSheetId="20">{#N/A,#N/A,FALSE,"Tabl. FB300";#N/A,#N/A,FALSE,"Tabl. FB350";#N/A,#N/A,FALSE,"Tabl. FB400";#N/A,#N/A,FALSE,"Tabl. FB500";#N/A,#N/A,FALSE,"Tabl. FS090"}</definedName>
    <definedName name="ZZZZZZZZZZZZZZZ">{#N/A,#N/A,FALSE,"Tabl. FB300";#N/A,#N/A,FALSE,"Tabl. FB350";#N/A,#N/A,FALSE,"Tabl. FB400";#N/A,#N/A,FALSE,"Tabl. FB500";#N/A,#N/A,FALSE,"Tabl. FS090"}</definedName>
    <definedName name="zzzzzzzzzzzzzzzzzz" localSheetId="20">{"QQQ",#N/A,FALSE,"RIEP"}</definedName>
    <definedName name="zzzzzzzzzzzzzzzzzz">{"QQQ",#N/A,FALSE,"RIEP"}</definedName>
  </definedNames>
  <calcPr fullCalcOnLoad="1"/>
</workbook>
</file>

<file path=xl/sharedStrings.xml><?xml version="1.0" encoding="utf-8"?>
<sst xmlns="http://schemas.openxmlformats.org/spreadsheetml/2006/main" count="157195" uniqueCount="41619">
  <si>
    <t>VP</t>
  </si>
  <si>
    <t>Descricao</t>
  </si>
  <si>
    <t>Corporativo_SPE</t>
  </si>
  <si>
    <t>Segmento</t>
  </si>
  <si>
    <t>Ambiental</t>
  </si>
  <si>
    <t>Geração</t>
  </si>
  <si>
    <t>Infraestrutura</t>
  </si>
  <si>
    <t>Transmissão</t>
  </si>
  <si>
    <t>COO</t>
  </si>
  <si>
    <t>VP Operações e Segurança</t>
  </si>
  <si>
    <t>Corporativo</t>
  </si>
  <si>
    <t>Ampliação</t>
  </si>
  <si>
    <t>Bens Móveis</t>
  </si>
  <si>
    <t>VEE</t>
  </si>
  <si>
    <t>VP Engenharia de Expansão</t>
  </si>
  <si>
    <t>SPE</t>
  </si>
  <si>
    <t>Melhoria Pequeno Porte</t>
  </si>
  <si>
    <t>Bens Imóveis</t>
  </si>
  <si>
    <t>Investimento de Apoio</t>
  </si>
  <si>
    <t>VCM</t>
  </si>
  <si>
    <t>VP Comercialização e Soluções em Energia</t>
  </si>
  <si>
    <t>Modernização</t>
  </si>
  <si>
    <t>Tecnologia da Informação</t>
  </si>
  <si>
    <t>Melhoria Grande Porte</t>
  </si>
  <si>
    <t>VED</t>
  </si>
  <si>
    <t>VP Estratégia e Desenvolvimento de Negócios</t>
  </si>
  <si>
    <t>Segurança de Barragem</t>
  </si>
  <si>
    <t>Reforço Grande Porte</t>
  </si>
  <si>
    <t>VRR</t>
  </si>
  <si>
    <t>VP Regulação e Relações Institucionais</t>
  </si>
  <si>
    <t>Reforço Pequeno Porte</t>
  </si>
  <si>
    <t>VFR</t>
  </si>
  <si>
    <t>VP Financeira e de Relações com Investidores</t>
  </si>
  <si>
    <t>VGR</t>
  </si>
  <si>
    <t>VP Governança, Riscos, Compliance e Sustentabilidade</t>
  </si>
  <si>
    <t>VSS</t>
  </si>
  <si>
    <t>VP Suprimentos e Serviços</t>
  </si>
  <si>
    <t>VGC</t>
  </si>
  <si>
    <t xml:space="preserve">VP Gente, Gestão e Cultura </t>
  </si>
  <si>
    <t>VJR</t>
  </si>
  <si>
    <t>VP Jurídica</t>
  </si>
  <si>
    <t>Investimento Contratado</t>
  </si>
  <si>
    <t>Investimento Novo</t>
  </si>
  <si>
    <t>x</t>
  </si>
  <si>
    <t>VID</t>
  </si>
  <si>
    <t xml:space="preserve">VP Inovação, P&amp;D, Digital e TI </t>
  </si>
  <si>
    <t>Contratado</t>
  </si>
  <si>
    <t>Sim</t>
  </si>
  <si>
    <t>Ampliação_G</t>
  </si>
  <si>
    <t>Investimentos de Apoio</t>
  </si>
  <si>
    <t>Melhoria_Grande_Porte</t>
  </si>
  <si>
    <t>Reforço_Grande_Porte</t>
  </si>
  <si>
    <t>Reforço_Pequeno_Porte</t>
  </si>
  <si>
    <t>Melhoria_Pequeno_Porte</t>
  </si>
  <si>
    <t>GeraçãoMelhoriaPequenoPorte</t>
  </si>
  <si>
    <t>Ampliação_T</t>
  </si>
  <si>
    <t>Reforços_E_Melhorias</t>
  </si>
  <si>
    <t>Segurança_de_Barragem</t>
  </si>
  <si>
    <t>Ambiental_</t>
  </si>
  <si>
    <t>Bens_Móveis</t>
  </si>
  <si>
    <t>Bens_Imóveis</t>
  </si>
  <si>
    <t>Tecnologia_da_Informação</t>
  </si>
  <si>
    <t>DCO</t>
  </si>
  <si>
    <t>Diretoria de Comunicação</t>
  </si>
  <si>
    <t>Em Contratação</t>
  </si>
  <si>
    <t>Não</t>
  </si>
  <si>
    <t>Outras obrigações Não Regulatórias</t>
  </si>
  <si>
    <t>Melhoria</t>
  </si>
  <si>
    <t>Reforço</t>
  </si>
  <si>
    <t>Veículos leves</t>
  </si>
  <si>
    <t>Software de tecnologia</t>
  </si>
  <si>
    <t>AUD</t>
  </si>
  <si>
    <t>Auditoria</t>
  </si>
  <si>
    <t>A Contratar</t>
  </si>
  <si>
    <t>Telecom</t>
  </si>
  <si>
    <t>Cibersegurança Operacional</t>
  </si>
  <si>
    <t>Máquinas pesadas</t>
  </si>
  <si>
    <t>Nova instalação</t>
  </si>
  <si>
    <t>Software de TO operação</t>
  </si>
  <si>
    <t>ESG</t>
  </si>
  <si>
    <t>Mobiliário</t>
  </si>
  <si>
    <t>Equipamento de TI (notebooks, monitores, periféricos etc.)</t>
  </si>
  <si>
    <t>SPCS – Sistema de Proteção Controle e Supervisão</t>
  </si>
  <si>
    <t>Bens móveis diversos</t>
  </si>
  <si>
    <t>Equipamentos de TO operação</t>
  </si>
  <si>
    <t>Eletrobras</t>
  </si>
  <si>
    <t>Chesf</t>
  </si>
  <si>
    <t>CGT Eletrosul</t>
  </si>
  <si>
    <t>Eletronorte</t>
  </si>
  <si>
    <t>Descrição da ação</t>
  </si>
  <si>
    <t>Especificação PDNG</t>
  </si>
  <si>
    <t>Baguari</t>
  </si>
  <si>
    <t>Ajuste de Meta</t>
  </si>
  <si>
    <t>Brasil Ventos</t>
  </si>
  <si>
    <t>20OJ - Reforços e Melhorias no Sistema de Transmissão de Energia Elétrica</t>
  </si>
  <si>
    <t>04 - Reforços de Pequeno Porte - Novos Projetos</t>
  </si>
  <si>
    <t>Colíder</t>
  </si>
  <si>
    <t>2D61 - Reforços e Melhorias no Sistema de Transmissão de Energia Elétrica na Região Nordeste</t>
  </si>
  <si>
    <t>07 - Reforços de Grande Porte - Projetos em Carteira</t>
  </si>
  <si>
    <t>Ibirapuitã</t>
  </si>
  <si>
    <t>2D94 - Reforços e Melhorias do Sistema de Transmissão de Energia na Região Sul e Mato Grosso do Sul</t>
  </si>
  <si>
    <t>01 - Melhorias de Pequeno Porte - Projetos em Carteira</t>
  </si>
  <si>
    <t>NE Catarina</t>
  </si>
  <si>
    <t>05 - Melhorias de Grande Porte - Projetos em Carteira</t>
  </si>
  <si>
    <t>NE Ceará</t>
  </si>
  <si>
    <t>NE Integração</t>
  </si>
  <si>
    <t>4478- Manutenção do Sistema de Transmissão de Energia Elétrica nas Regiões Sudeste e Centro-Oeste</t>
  </si>
  <si>
    <t>NE Janapú</t>
  </si>
  <si>
    <t>2C47 - Reforços e Melhorias no Sistema de Transmissão da Região Norte</t>
  </si>
  <si>
    <t>NE Teresina</t>
  </si>
  <si>
    <t>Reiro Baixo</t>
  </si>
  <si>
    <t>Saesa</t>
  </si>
  <si>
    <t>03 - Reforços de Pequeno Porte - Projetos em Carteira</t>
  </si>
  <si>
    <t>Teles Pires</t>
  </si>
  <si>
    <t>TMT - Triângulo Mineiro Transmissora</t>
  </si>
  <si>
    <t>TNE</t>
  </si>
  <si>
    <t>Vale São Bartolomeu</t>
  </si>
  <si>
    <t>15L6 - Ampliação do Sistema de Transmissão de Energia Elétrica na Região Norte</t>
  </si>
  <si>
    <t>24 - Ampliação no sistema de Transmissão</t>
  </si>
  <si>
    <t>08 - Reforços de Grande Porte - Novos Projetos</t>
  </si>
  <si>
    <t xml:space="preserve">FT01 - Revitalização do sistema HVDC </t>
  </si>
  <si>
    <t>Projeto novo - Nova ação orçamentária</t>
  </si>
  <si>
    <t>5107 - Ampliação do Sistema de Transmissão de Energia Elétrica na Região Nordeste - PAC</t>
  </si>
  <si>
    <t>09 -  Outros projetos em transissão - Sem receita</t>
  </si>
  <si>
    <t>06 - Melhorias de Grande Porte - Novos Projetos</t>
  </si>
  <si>
    <t>02 - Melhorias de Pequeno Porte - Novos Projetos</t>
  </si>
  <si>
    <t xml:space="preserve">22 - Reforços do Tipo X (Contratos/Conexão com Acessantes) aprovados pelo ONS no SGPMR  </t>
  </si>
  <si>
    <t>Aporte em operação</t>
  </si>
  <si>
    <t>0,4</t>
  </si>
  <si>
    <t>0,24719999999999998</t>
  </si>
  <si>
    <t>0,5038</t>
  </si>
  <si>
    <t>Construção</t>
  </si>
  <si>
    <t>1</t>
  </si>
  <si>
    <t>0,5056</t>
  </si>
  <si>
    <t>0,2472</t>
  </si>
  <si>
    <t>0,49</t>
  </si>
  <si>
    <t>0,67946815293856666</t>
  </si>
  <si>
    <t>8549 - Preservação e Conservação Ambiental em Empreendimentos de Geração e Transmissão de Energia Elétrica</t>
  </si>
  <si>
    <t xml:space="preserve">19 -  Ações ambientais- Condicionante </t>
  </si>
  <si>
    <t>21 -  Ações ambientais- Preservação e conservação</t>
  </si>
  <si>
    <t xml:space="preserve">20 -  Ações ambientais- Exigência legal </t>
  </si>
  <si>
    <t>4101 - Manutenção e Adequação de Bens Imóveis</t>
  </si>
  <si>
    <t>23 - Infraestrutura</t>
  </si>
  <si>
    <t>20OM - Manutenção do Sistema de Geração de Energia Elétrica</t>
  </si>
  <si>
    <t>17 - Manutenção de Usinas Não Cotizadas - Novos Projetos</t>
  </si>
  <si>
    <t>4476 - Manutenção do Sistema de Geração de Energia Elétrica na Região Nordeste</t>
  </si>
  <si>
    <t>14 - Manutenção de Usinas Cotizadas - Projetos em Carteira</t>
  </si>
  <si>
    <t>215U - Melhorias e Ampliações em Instalações de Geração de Energia Elétrica - Nacional</t>
  </si>
  <si>
    <t>16 - Manutenção de Usinas Não Cotizadas - Projetos em Carteira</t>
  </si>
  <si>
    <t>15 - Manutenção de Usinas Cotizadas - Novos Projetos</t>
  </si>
  <si>
    <t>12OR - Implantação do Parque de Geração de Energia Eólica Casa Nova (BA) - 180 MW - PAC</t>
  </si>
  <si>
    <t>12 - Implantação de Usinas - Projetos em Carteira</t>
  </si>
  <si>
    <t>14NB - Ampliação do Sistema de Geração de Energia Elétrica</t>
  </si>
  <si>
    <t>3414 - Ampliação da Capacidade da Usina Termelétrica Santa Cruz - Fase 1 - com acréscimo de 350 MW , através de Ciclo Combinado (RJ)</t>
  </si>
  <si>
    <t>N17E - Implantação de Usina de Energia Eólica - FD</t>
  </si>
  <si>
    <t>13 - Implantação de Usinas - Novos Projetos</t>
  </si>
  <si>
    <t>N17F - Implantação de Usina Fotovoltaica - L</t>
  </si>
  <si>
    <t>25 - Desenvolvimento de Pipeline</t>
  </si>
  <si>
    <t>1H19 - Ampliação da Capacidade de Geração da Usina Hidrelétrica de Coaracy Nunes (AP) - 2ª Casa de Força - de 78 MW para 182 MW</t>
  </si>
  <si>
    <t>14N8 - Ampliação do Sistema de Geração de Energia Elétrica</t>
  </si>
  <si>
    <t>15BD - Ampliação do Sistema de Geração de Energia Elétrica na Região Sul e Mato Grosso do Sul</t>
  </si>
  <si>
    <t>15SO - Implantação de sistemas de geração de energia elétrica utilizando fonte fotovoltáica em geração distribuída - fase 1</t>
  </si>
  <si>
    <t>12  radiadores para UG´s da UHE Itumbiara - 1cj/2025, 01cj 2026, 1cj2027</t>
  </si>
  <si>
    <t>Sistema de monitoramento de vibração e de descargas parciais UGs de Furnas</t>
  </si>
  <si>
    <t>Reserva Técnica para atividades emergenciais</t>
  </si>
  <si>
    <t>Aquisição de Radiadores e Trocadores de Calor de Mancais para os Geradores das Usinas</t>
  </si>
  <si>
    <t>05 conjuntos de radiadores para as UGs da UHE Marimbondo - 01cj/2024, 02cj/2025, 02cj/2026</t>
  </si>
  <si>
    <t>Modernização dos Sistemas de Incêndio de CO2 dos Geradores para Usinas</t>
  </si>
  <si>
    <t>Modernização em Sistemas de Esvaziamento das UGs da UHE FURNAS</t>
  </si>
  <si>
    <t>Substituição de baterias, retificadores e inversores de várias áreas de Furnas</t>
  </si>
  <si>
    <t>Melhoria e ampliação de usinas hidrelétricas.</t>
  </si>
  <si>
    <t>Modernização de Sistema de Incêndio de CO2 de várias áreas de Furnas</t>
  </si>
  <si>
    <t>Modernização de Sistemas de Esvaziamento e Drenagem de Usinas</t>
  </si>
  <si>
    <t>Substituição de grupos diesel de emergência de serviço auxiliar de várias instalações de Furnas</t>
  </si>
  <si>
    <t>Bombas de drenagem e esvaziamento</t>
  </si>
  <si>
    <t>Fornecimento de 12  radiadores para as unidades geradoras da UHE itumbiara, nova contratação.</t>
  </si>
  <si>
    <t>Fornecimento de conjuntos de trocadores dos mancais para as unidades geradoras da  UHE Marimbondo</t>
  </si>
  <si>
    <t>Aquisição de Compressores e vasos de pressão para as Usinas</t>
  </si>
  <si>
    <t>Atualização do sistema supervisório t3000 das turbinas a gás da UTE Santa Cruz</t>
  </si>
  <si>
    <t>buchas e sistema de lubrificação das palhetas das ugs 07 e 08</t>
  </si>
  <si>
    <t>Modernização Sistemas de Dosagem Química para o controle de bioincrustração Ugs das Usinas</t>
  </si>
  <si>
    <t>Aquisição de Compressores e vasos de pressão para Usinas</t>
  </si>
  <si>
    <t>Retrofit do sistema de comportas e bombas da captação rio/lagoa da UTE Campos</t>
  </si>
  <si>
    <t>Implantação de defensas metálicas</t>
  </si>
  <si>
    <t>Modernização dos Sistemas de Incêndio de CO2 dos Geradores das UHE Corumbá</t>
  </si>
  <si>
    <t>Conjunto de sapatas  para os mancais de escora e guia das unidades geradoras da UHE Simplício</t>
  </si>
  <si>
    <t>Projeto SOMA de Monitoramento do CEPEL</t>
  </si>
  <si>
    <t>sistema dc para bombas drenagem</t>
  </si>
  <si>
    <t>Central de ar condicionado  da casa de força da UHE Itumbiara.</t>
  </si>
  <si>
    <t>Filtros separadores de sedimentos</t>
  </si>
  <si>
    <t>Substituição dos cabos dos terciários do AT01 e AT02 da Usina de Campos</t>
  </si>
  <si>
    <t>Substituição dos radiadores de ar dos Geradores da Usina de Manso</t>
  </si>
  <si>
    <t>sistema de esvaziamento e esgotamento</t>
  </si>
  <si>
    <t>trocadores de calor da cuba do mancal combinado</t>
  </si>
  <si>
    <t>Modernização do sistema SMARTRUNK</t>
  </si>
  <si>
    <t>Sistema de Dosagem Química nos sitemas de resfriamento das Ugs de Funil</t>
  </si>
  <si>
    <t>Sistema de retro lavagem dos filtros separadores de sedimento</t>
  </si>
  <si>
    <t>bombas e reservatórios de óleo</t>
  </si>
  <si>
    <t>Rede externa alimentação Serviço auxiliar da UHE Batalha</t>
  </si>
  <si>
    <t>Modernização do sistema de CO2 das unidades geradoras da UHE Itumbiara</t>
  </si>
  <si>
    <t>sistema de bombas do regulador de velocidade</t>
  </si>
  <si>
    <t>SPCI das Unidades Geradoras</t>
  </si>
  <si>
    <t>Substituição dos compressores de ar de serviço da UHE Itumbiara</t>
  </si>
  <si>
    <t>Modernização dos RDP's da UHE Manso</t>
  </si>
  <si>
    <t>Alocação de hora atividade nas atividades de manutenção - Gedral DRT.O.</t>
  </si>
  <si>
    <t>Aquisição de central de ar condicionado - UHE Marimbondo</t>
  </si>
  <si>
    <t>bacia de contenção de óleo</t>
  </si>
  <si>
    <t>Compressores de ar de regulação</t>
  </si>
  <si>
    <t>Iluminação de acessos</t>
  </si>
  <si>
    <t>Instrumentação de supervisão dos mancais dos geradores</t>
  </si>
  <si>
    <t>Modernização do sistema de indicação de posição das comportas de serviço da UHE Itumbiara</t>
  </si>
  <si>
    <t>Sistema de iluminação - UHE Corumbá</t>
  </si>
  <si>
    <t>Substituição das vedações das comportas do vertedouro da UHE CORUMBÁ</t>
  </si>
  <si>
    <t>Substituição dos trocadores de calor do mancal guia turbina UG's da UHE Itumbiara</t>
  </si>
  <si>
    <t>Substituição dos trocadores de calor do regulador de velocidade das UG's da UHE Itumbiara</t>
  </si>
  <si>
    <t>bacia de contenção para centrais hidráulicas da tomada d'água</t>
  </si>
  <si>
    <t>banco de baterias de 125vcc- 600ah</t>
  </si>
  <si>
    <t>Modernização do Sistema de resfriamento dos mancais das UG's da UHE Manso</t>
  </si>
  <si>
    <t>reforma de 2 conjuntos (4 stop-logs) das comportas de manutenção</t>
  </si>
  <si>
    <t>Substituição dos compressores de ar de regulação da UHE Manso</t>
  </si>
  <si>
    <t>complementos das plataformas dos mancais das turbinas</t>
  </si>
  <si>
    <t>trocadores de calor mancal guia da turbina ug07 e 08</t>
  </si>
  <si>
    <t>Aquisição de Sistema de Registro de Perturbações - UHE Batalha</t>
  </si>
  <si>
    <t>Aquisição de Sistema de Registro de Perturbações - UHE Corumbá</t>
  </si>
  <si>
    <t>servomotor tomada dagua</t>
  </si>
  <si>
    <t>Sistema de iluminação da UHE Batalha</t>
  </si>
  <si>
    <t>Sistema de rebaixamento das turbinas</t>
  </si>
  <si>
    <t>Aquisição sistema eletrônico de segurança patrimonial - UHE Marimbondo / UHE Porto Colômbia</t>
  </si>
  <si>
    <t>Sistema de alimentação de emergência</t>
  </si>
  <si>
    <t>vasos de pressão</t>
  </si>
  <si>
    <t>Aquisição de tiristores para Sistema de Excitação da Unidades Geradoras</t>
  </si>
  <si>
    <t>Serviços de implementação de CFTV - UHITB</t>
  </si>
  <si>
    <t>Substituição de tubulação - Sistema de alimentação de água potável - UHMR/UHCL.</t>
  </si>
  <si>
    <t>Aquisição de câmeras e acessórios para reposição do CITV do DRG</t>
  </si>
  <si>
    <t>Modernização do sistema de monitoramento de temperatura dos mancais</t>
  </si>
  <si>
    <t>Modernização do sistema dos bicos de injeção da caixa de vedação UHE Manso</t>
  </si>
  <si>
    <t>trocador de calor regulador de velocidade</t>
  </si>
  <si>
    <t>Serviços de implementação de CFTV - UHBHA</t>
  </si>
  <si>
    <t>Modernização do sistema de lubrificação dos mancais</t>
  </si>
  <si>
    <t>Modernização do sistema de monitoramento do nível d'água de vedação da tampa das UG's da UHE Manso</t>
  </si>
  <si>
    <t>Sistema de iluminação da SE 230 kV</t>
  </si>
  <si>
    <t>Aquisição de Inversor de Potência - UHE Marimbondo</t>
  </si>
  <si>
    <t>Modernização do Sistema de Destilação de água tratada.</t>
  </si>
  <si>
    <t>Atualização parcial Sistema de Esvaziamento/Drenagem</t>
  </si>
  <si>
    <t>Atualização Sistema de Medição de Níveis</t>
  </si>
  <si>
    <t>banco de baterias de 125vcc</t>
  </si>
  <si>
    <t>Extratores de Vapor das Unidades Geradoras</t>
  </si>
  <si>
    <t>Modernização do sistema de indicação de posição das comportas de serviço da UHE Manso</t>
  </si>
  <si>
    <t>sistema de controle de nível</t>
  </si>
  <si>
    <t>Aquisição de nobreaks, inversores e equipamentos para rede corporativa e operativa.</t>
  </si>
  <si>
    <t>Modernização da talha do Vertedouro e da Sucção</t>
  </si>
  <si>
    <t>Modernização do Sistema de medição de Nível Jusante</t>
  </si>
  <si>
    <t>Modernização/ampliação do sistema de CITV na Usina de Manso</t>
  </si>
  <si>
    <t>Alimentação do serviço auxiliar da Usina pelo terciário AT01 (CNT)</t>
  </si>
  <si>
    <t>sistema de drenagem da galeria da tomada d'água</t>
  </si>
  <si>
    <t>sistema de drenagem da galeria do vertedouro</t>
  </si>
  <si>
    <t>Aquisição de terminais de operação - Uso Geral DRT.O.</t>
  </si>
  <si>
    <t>Melhoria no Sistema de Interligação Óptica entre a usina e subestação</t>
  </si>
  <si>
    <t>terminais server para se furnas</t>
  </si>
  <si>
    <t>ihm uacs de vão</t>
  </si>
  <si>
    <t>inversor - grm.o geral</t>
  </si>
  <si>
    <t>4467 - O&amp;M de Geração</t>
  </si>
  <si>
    <t>UTE Mauá 3 - O&amp;M e Melhorias</t>
  </si>
  <si>
    <t>UTE Aparecida - O&amp;M e Melhorias</t>
  </si>
  <si>
    <t>UHE Tucuruí - O&amp;M e Melhorias</t>
  </si>
  <si>
    <t>UHE Balbina - O&amp;M e Melhorias</t>
  </si>
  <si>
    <t>UHE Samuel - O&amp;M e Melhorias</t>
  </si>
  <si>
    <t>UHE Coaracy Nunes - O&amp;M e Melhorias</t>
  </si>
  <si>
    <t>UTE Interior - O&amp;M e Melhorias</t>
  </si>
  <si>
    <t>UHE Curuá-una - O&amp;M e Melhorias</t>
  </si>
  <si>
    <t>Projetos futuros - Modernização de sistemas eletromecânicos de usinas</t>
  </si>
  <si>
    <t>Modernização de sistemas eletromecânicos de usinas</t>
  </si>
  <si>
    <t>WLAN das Usinas</t>
  </si>
  <si>
    <t>Aquisição de Switches Rede LAN (2023) - Usinas para segregação de redes</t>
  </si>
  <si>
    <t>Melhorias em estruturas civis e sinalização das barragens e usinas . Obras decorrentes - Segurança de barragens.</t>
  </si>
  <si>
    <t>Projeto Previnir+ em UPA</t>
  </si>
  <si>
    <t>Projeto Previnir+ em ULG</t>
  </si>
  <si>
    <t>Projeto Previnir+ em UAS</t>
  </si>
  <si>
    <t>Projeto Previnir+ em USQ</t>
  </si>
  <si>
    <t xml:space="preserve">Modernização de Sistemas de controle, proteção e automação de unidades geradoras </t>
  </si>
  <si>
    <t>Projeto Previnir+ em UBE</t>
  </si>
  <si>
    <t>Projeto Previnir+ em UXG</t>
  </si>
  <si>
    <t>Implantação de SDHs Usinas Fase 2</t>
  </si>
  <si>
    <t>Projeto Previnir+ em UFL/UPE</t>
  </si>
  <si>
    <t>Contrato SPAT Regionais (Ação 4476)</t>
  </si>
  <si>
    <t>Desenvolvimento de modelo de Despacho Diário de Geração das Usinas da Chesf</t>
  </si>
  <si>
    <t>Modernização de posto hidrométrico</t>
  </si>
  <si>
    <t>Implantação do posto hidrométrico Exu do Gavião</t>
  </si>
  <si>
    <t>Implantação do posto hidrométrico Jacaré</t>
  </si>
  <si>
    <t>Implantação do posto hidrométrico Sincorá</t>
  </si>
  <si>
    <t>Implantação do posto hidrométrico Tocadas</t>
  </si>
  <si>
    <t>Implantação de MUX SDH NGN - USINAS</t>
  </si>
  <si>
    <t>20OG - Manutenção do Sistema de Geração de Energia Elétrica na Região Sul</t>
  </si>
  <si>
    <t>Demais manutenções de Usinas</t>
  </si>
  <si>
    <t>Pá sobressalente para aerogerador Weg4.2</t>
  </si>
  <si>
    <t>Sistema de monitoramento online de vibração</t>
  </si>
  <si>
    <t>PPCI`S da Usina de Passo São João</t>
  </si>
  <si>
    <t>Manutenção do Sistema de Geração de Energia Elétrica</t>
  </si>
  <si>
    <t>Solução de Cibersegurança de TO para aumentar o grau de maturuidade</t>
  </si>
  <si>
    <t>Construção da Edificação Industrial para Realização de Ensaios em Alta Tensão (800 kV)</t>
  </si>
  <si>
    <t>4102 - Manutenção e Adequação de Bens Móveis, Veículos, Máquinas e Equipamentos</t>
  </si>
  <si>
    <t>Termovisor</t>
  </si>
  <si>
    <t>reserva técnica aquisições emergenciais pv - uso geral</t>
  </si>
  <si>
    <t>Banco de Imagens.</t>
  </si>
  <si>
    <t>Pickup 4x4 3.0 em Substituição aos veículos</t>
  </si>
  <si>
    <t>Fonte ressonante de alta tensão para 800 kV</t>
  </si>
  <si>
    <t>4102 - Aquisição de veículos</t>
  </si>
  <si>
    <t>Veículo Picape</t>
  </si>
  <si>
    <t>Veiculos pick-up 3.0 4x4</t>
  </si>
  <si>
    <t>Aquisição de equipamento central telefônica VoIP</t>
  </si>
  <si>
    <t>Repintura de estruturas metálicas e equipamentos eletromecânicos em geral da UHE Manso.</t>
  </si>
  <si>
    <t>Plataforma Elevatória - 18 metros para uso geral na Usina e nas subestações.</t>
  </si>
  <si>
    <t>Aquisição de veículo tipo caminhonete pickup 4x4</t>
  </si>
  <si>
    <t>Caminhão Guindaste e demais acessórios, para trabalhos nas LTs do DRG.O. (DMEG.O)</t>
  </si>
  <si>
    <t>Guindaste 30 TONELADAS para uso geral na Usina e nas subestações.</t>
  </si>
  <si>
    <t>Caminhão Munk</t>
  </si>
  <si>
    <t>Maquina de Regeneração/Tratamento de Óleo Isolante (totalmente automatizada)</t>
  </si>
  <si>
    <t>CPC 100</t>
  </si>
  <si>
    <t>Aquisição de camionete</t>
  </si>
  <si>
    <t>Pick-up cabine dupla 4x4 DMER.O</t>
  </si>
  <si>
    <t>picape cabine dupla 4x4</t>
  </si>
  <si>
    <t>Guindaste  43T
(madal md 600 ou similar )</t>
  </si>
  <si>
    <t>Plataforma elevatória (PTA) de 28 mts.</t>
  </si>
  <si>
    <t>Aquisição de plataforma para trabalho em altura tipo PTA</t>
  </si>
  <si>
    <t>Pickup 4x4 3.0 em Substituição aos veículos (3 unidades ) 2 DMER.O e 1 DMLR.O</t>
  </si>
  <si>
    <t xml:space="preserve"> Caixa de testes de relés, com 4 saídas de tensão e 6 saídas de corrente, CMC-356, OMICRON</t>
  </si>
  <si>
    <t>Aquisição de caminhão</t>
  </si>
  <si>
    <t>Arruamento com pavimentação asfáltica ETEL Mendanha - DMLR.O</t>
  </si>
  <si>
    <t>PTA - Plataforma de Trabalho em Altura para a SE Itaberá.</t>
  </si>
  <si>
    <t>Aquisição de Plataforma de Trabalho em Altura - PTA - UHE Marimbondo; UHE Porto Colômbia.</t>
  </si>
  <si>
    <t>Torno Vertical CNC</t>
  </si>
  <si>
    <t>Aquisição de Veículos Padronizados</t>
  </si>
  <si>
    <t>Aquisição de veículos tipo camionetes 4x4 cabine dupla</t>
  </si>
  <si>
    <t>Purificadora de óleo (DMES.O)</t>
  </si>
  <si>
    <t>Aquisição de veículos picapes</t>
  </si>
  <si>
    <t>Aquisição de Guindauto - Linhas de Transmissão e Subestações</t>
  </si>
  <si>
    <t>Plataforma de Trabalho Aéreo (PTA) de 40 mts.</t>
  </si>
  <si>
    <t>Pick-up cabine dupla 4x4 DMLR.O</t>
  </si>
  <si>
    <t>Aquisição de Equipamentos - CPCIE - Termovisor e outros</t>
  </si>
  <si>
    <t xml:space="preserve"> PTA - Plataforma de Trabalho em Altura para a SE Itaberá.</t>
  </si>
  <si>
    <t>Aquisição de - Cavalo mecânico + prancha -Uso geral DRT.O.</t>
  </si>
  <si>
    <t>Aquisição de equipamentos diversos (equipamentos específicos e de pequeno porte)</t>
  </si>
  <si>
    <t>Duas Pontes Rolantes para movimentação de cargas na Central de Manutenção de Disjuntores II</t>
  </si>
  <si>
    <t>Modernização do pavimeno da estrada Usina Serra da Mesa/ Trevo GO-241</t>
  </si>
  <si>
    <t>Plataformas aérea de lança articulada 15 metros F-4000</t>
  </si>
  <si>
    <t>PTA a diesel, altura trabalho mínima de 15 mts, altura mínima 12 metros.Cap.carga mínima de 220 kg</t>
  </si>
  <si>
    <t>Sistema ressonante de alta tensão (70 kV/1 MVA/60 Hz)</t>
  </si>
  <si>
    <t>Veículos para processo de Linhas de Transmissão</t>
  </si>
  <si>
    <t>Aquisição de caixa de testes digital para manutenção em relés</t>
  </si>
  <si>
    <t>Aquisição de instrumentos para testes em equipamentos de subestações</t>
  </si>
  <si>
    <t>trator de esteira</t>
  </si>
  <si>
    <t>trator de pneu</t>
  </si>
  <si>
    <t>Construção da instalação predial para o Torno Vertical CNC  - Central de Manutenção Metal-Mecânica</t>
  </si>
  <si>
    <t>aquisições diversas cpcie</t>
  </si>
  <si>
    <t>Aquisição de instrumento termovisor portátil</t>
  </si>
  <si>
    <t>Aquisição de PTA 18m</t>
  </si>
  <si>
    <t>Caminhão TEREX - linha viva</t>
  </si>
  <si>
    <t>guindaste 30 ton</t>
  </si>
  <si>
    <t>Caixa de testes em relés + softwares + Notebook DMLR.O</t>
  </si>
  <si>
    <t>Aquisição de equipamento de guindar - Linhas de Transmissão</t>
  </si>
  <si>
    <t>CPC100 + CPTD</t>
  </si>
  <si>
    <t>PTA 16m</t>
  </si>
  <si>
    <t>Aquisição de  Trator de pneus - Linha de transmissão</t>
  </si>
  <si>
    <t>Aquisição de caminhão pipa - UHE Porto Colômbia</t>
  </si>
  <si>
    <t>Aquisição de Empilhadeira para uso geral na Usina e nas subestações.</t>
  </si>
  <si>
    <t>Aquisição de rebocador</t>
  </si>
  <si>
    <t>Aquisição de retroescavadeira - Linha de Transmissão</t>
  </si>
  <si>
    <t>Aquisição de Unidade de Teste de Relés de Proteção. (Ref.: ISA DRT 64/ OMICRON CMC256)</t>
  </si>
  <si>
    <t>Aquisição de veículo caminhão tipo Truck</t>
  </si>
  <si>
    <t>Caminhão prancha</t>
  </si>
  <si>
    <t>Carro Sedan</t>
  </si>
  <si>
    <t>Escavadeira pc 160</t>
  </si>
  <si>
    <t>Medidor/Analisador de Descarga Parciais em equipamentos de Alta Tensão</t>
  </si>
  <si>
    <t>Modernização das instalações elétricas do prédio do DES.O</t>
  </si>
  <si>
    <t>PTA Pantográfica</t>
  </si>
  <si>
    <t>Reforma da casa de força -  UHE Manso</t>
  </si>
  <si>
    <t>Unidade móvel de tratamento de óleo</t>
  </si>
  <si>
    <t>Instalação de elevador na casa de força - UHE Manso</t>
  </si>
  <si>
    <t>Adequação e pintura de guarda corpos e escadas metálicas em geral da UHE Manso.</t>
  </si>
  <si>
    <t>Aquisição de máquina automática para tratamento de óleo</t>
  </si>
  <si>
    <t>Aquisição de sistema contra incêndio</t>
  </si>
  <si>
    <t>Caixa de teste hexafásica para testes full digital IEC 61850 - ref. Omicron CMC 356</t>
  </si>
  <si>
    <t>Construção de depósito temporário de resíduos</t>
  </si>
  <si>
    <t>Medir de isolação AC</t>
  </si>
  <si>
    <t>Sala de multimidea</t>
  </si>
  <si>
    <t>Veículo tipo Pick-up Cabine Dupla 4x4 para LTs do DRG.O.</t>
  </si>
  <si>
    <t>Aquisição de estações de recarga de veículos elétricos</t>
  </si>
  <si>
    <t>Caixa de testes de Relés</t>
  </si>
  <si>
    <t>Aquisição de equipamento de guindar com cesto suspenso - UHE Marimbondo/ UHE Porto Colômbia.</t>
  </si>
  <si>
    <t>Aquisição de veículos leves tipo elétrico/híbrido plug-in</t>
  </si>
  <si>
    <t>Aquisição de caminhão com cesta aérea</t>
  </si>
  <si>
    <t>caminhão com guindauto acoplado</t>
  </si>
  <si>
    <t>Caminhão MUNCK (15 TON IÇAMENTO)</t>
  </si>
  <si>
    <t>Construção de estacionamento e arruamento com pavimentação asfáltica</t>
  </si>
  <si>
    <t>sistema de vigilância interna patrimonial</t>
  </si>
  <si>
    <t>veículos leve tipo suv, oriundos do contrato de 2022</t>
  </si>
  <si>
    <t>Cercamento da área industrial  - UHE Manso</t>
  </si>
  <si>
    <t>CPC100 para testes de injeção de corrente primária (com módulo de testes de polaridade)</t>
  </si>
  <si>
    <t>Medidor de Grandeza - CPC100 OHMICRON COMPLETO</t>
  </si>
  <si>
    <t>Oscilógrafos/Osciloscópios/Transdutores de Alta Frequência/Fontes de Tensão</t>
  </si>
  <si>
    <t>Mini Picape</t>
  </si>
  <si>
    <t>Aquisição de equipamento para transporte de material linha viva.</t>
  </si>
  <si>
    <t>Analisador de Partículas Laser Net / Óleo Lubrificante</t>
  </si>
  <si>
    <t>Aquisição de caixa de testes de relés</t>
  </si>
  <si>
    <t>4102 - Bens móveis gerais</t>
  </si>
  <si>
    <t>Aquisição de medidor de isolação CA</t>
  </si>
  <si>
    <t>Caminhão 3 ou 4 eixos com tração nos eixos traseiros (6x4 ou 8x4)</t>
  </si>
  <si>
    <t>Caminhão+PTA (2 Cj)</t>
  </si>
  <si>
    <t>Casa da Brigada de Emergência</t>
  </si>
  <si>
    <t>Construção de Garagem &amp; Deposito Gás DRV.O (F-S-STVIT )</t>
  </si>
  <si>
    <t>Oscilógrafo digital</t>
  </si>
  <si>
    <t>Padrão de Transferência</t>
  </si>
  <si>
    <t>SUBSTITUIÇÃO CERCA SE CAMPOS</t>
  </si>
  <si>
    <t>RDP Portátil</t>
  </si>
  <si>
    <t>Aquisição de veículos tipo utilitário leve</t>
  </si>
  <si>
    <t>Aquisição de Caminhão Cavalo Mecânico</t>
  </si>
  <si>
    <t>Modernização e adequação do setor Químico do DES.O</t>
  </si>
  <si>
    <t>Modernização/substituição dos Fancoils do sistema de ar-condicionado no prédio principal do DES.O</t>
  </si>
  <si>
    <t>Ponte de medição de perdas dielétricas</t>
  </si>
  <si>
    <t>Instrumento para Medição de Fator de Dissipação (Perdas Dielétricas)</t>
  </si>
  <si>
    <t>Aquisição de Unidade de Teste de Relés de Proteção.</t>
  </si>
  <si>
    <t>PTA 26m</t>
  </si>
  <si>
    <t>Empilhadeira</t>
  </si>
  <si>
    <t>Aquisção de caminhão carroceria - Uso geral DRT.O.</t>
  </si>
  <si>
    <t>Aquisição de Plataforma Elevatória</t>
  </si>
  <si>
    <t>Caminhão</t>
  </si>
  <si>
    <t>Máquina  de Tratamento Sf6</t>
  </si>
  <si>
    <t>Máquina de Ar Seco</t>
  </si>
  <si>
    <t>Modernização da instalação elétrica do Galpão da Central de Manutenção Metal-Mecânica</t>
  </si>
  <si>
    <t>Obra civil relativa a instalação do Grupo Gerador de Emergência</t>
  </si>
  <si>
    <t>Unidade de Testes Relés</t>
  </si>
  <si>
    <t>Aquisição de equipamentos e ferramentas para manutenção em linhas viva.</t>
  </si>
  <si>
    <t>Modernização de máquinas/equipamentos de usinagem instaladas na Central de Manutenção Metal-Mecânica</t>
  </si>
  <si>
    <t>Espectômetro Óptico Portátil</t>
  </si>
  <si>
    <t>Impressora 3D para fabricação de sobressalentes para equipamentos de Alta Tensão</t>
  </si>
  <si>
    <t>Bomba de vácuo (DMES.O)</t>
  </si>
  <si>
    <t>Mini Retroescavadeira Compacta</t>
  </si>
  <si>
    <t>01- Plataforma elevatória DC.</t>
  </si>
  <si>
    <t>Ampliação e adequação da cantina da UHE Itumbiara..</t>
  </si>
  <si>
    <t>Ampliação e adequação da guarita de acesso a UHE Itumbiara.</t>
  </si>
  <si>
    <t>Aquisição de Caixa de testes de relés - Caixa DOBLE - Uso geral DRT.O.</t>
  </si>
  <si>
    <t>Aquisição de máquina tipo trator agrícola 4x4</t>
  </si>
  <si>
    <t>Caixa de teste monofásica para testes em relés auxiliares eletromecânicos</t>
  </si>
  <si>
    <t>central telefônica</t>
  </si>
  <si>
    <t>Concretagem do pátio de manobras da Central de Manutenção Metal-Mecânica</t>
  </si>
  <si>
    <t>Construção de calçadas e muros na LT 345kV Itapeti-Nordeste</t>
  </si>
  <si>
    <t>Construção de calçadas e muros na LT 345kV Mogi das Cruzes-Nordeste</t>
  </si>
  <si>
    <t>Diversos equipamentos de Ar Condicionado</t>
  </si>
  <si>
    <t>Janelas metálicas SE Mogi</t>
  </si>
  <si>
    <t>Minicarregadeira (1 Pç) e miniescavadeira (1 Pç)</t>
  </si>
  <si>
    <t>Modernização e atualização do layout do pavimento térreo do prédio administrativo do DRB.O.</t>
  </si>
  <si>
    <t>Ponte de medição de capacitância</t>
  </si>
  <si>
    <t>Retroescavadeira Cat 420 4x4</t>
  </si>
  <si>
    <t>Padrão de trabalho de energia com fonte (classe de exatidão de 200 ppm)</t>
  </si>
  <si>
    <t>Aquisição de drones com câmera termográfica</t>
  </si>
  <si>
    <t>Arruamento com pavimentação asfáltica Modelo Reduzido</t>
  </si>
  <si>
    <t>Modernização da rede de distribuição aérea de energia do DRB.O</t>
  </si>
  <si>
    <t>Adequação viária para movimentação de veículos nas instalações do prédio principal do DES.O</t>
  </si>
  <si>
    <t>Aquisição  de veículo do tipo mini-van/furgão com estação de trabalho montada.</t>
  </si>
  <si>
    <t>Aquisição de caminhão 3/4 Plataforma para  na UHE  Marimbondo - Uso Geral DRT.O.</t>
  </si>
  <si>
    <t>Aquisição de Prancha para o Cavalo Mecânico</t>
  </si>
  <si>
    <t>Máquina de ar super seco (Ref.: SEPARAR)</t>
  </si>
  <si>
    <t>Máquina de Vácuo</t>
  </si>
  <si>
    <t>Reforma da casa de controle - SE Bandeirantes</t>
  </si>
  <si>
    <t>Termovisor FLIR série T650sc + acessórios ( bateria reserva e bolsa de transporte)</t>
  </si>
  <si>
    <t>Mobiliário - COR e CTOS</t>
  </si>
  <si>
    <t>Aquisição de bomba de vácuo</t>
  </si>
  <si>
    <t>Adequações de projetos de sistemas de detecção, proteção e combate a incêndio - SE Bandeirantes.</t>
  </si>
  <si>
    <t>Aquisição de Caixa para ensaio p/ teste de bateria - Uso Geral DRT.O</t>
  </si>
  <si>
    <t>Aquisição de câmera detetora de vazamento de gás SF6</t>
  </si>
  <si>
    <t>Aquisição de instrumentos de teste</t>
  </si>
  <si>
    <t>Aquisição de veículo tipo utilitário leve</t>
  </si>
  <si>
    <t>Caixa de descarga de bateriais - 1 Pç (DMLS.O)</t>
  </si>
  <si>
    <t>Fonte Trifásica de Potência e Energia</t>
  </si>
  <si>
    <t>Testador de Rigidez Dielétrica (Isolante)</t>
  </si>
  <si>
    <t>reserva operacional para obras emergenciais - todas as unidades</t>
  </si>
  <si>
    <t>Instrumentos diversos CPCIE</t>
  </si>
  <si>
    <t>Aquisição de equipamento caixa resistiva</t>
  </si>
  <si>
    <t>ETD - Oscilógrafo DMER.O</t>
  </si>
  <si>
    <t>Aquisição de Caixa de Testes de descarga de Baterias e Acessórios. (Ref.: TORKEL 920 - MEGGER)</t>
  </si>
  <si>
    <t>Aquisição de empilhadeira para movimentação de cargas no Laboratório de Alta Tensão</t>
  </si>
  <si>
    <t>Aquisição de esticadores, garras e talhas de 1,5 a 4,5 toneladas.</t>
  </si>
  <si>
    <t>Aquisição de mobiliário</t>
  </si>
  <si>
    <t>Concretagem do pátio para estocagem de equipamentos da Central de Manutenção Eletromecância</t>
  </si>
  <si>
    <t>Equipamento de Engenharia Reversa</t>
  </si>
  <si>
    <t>Termovisor - DOSN.O</t>
  </si>
  <si>
    <t>Ducter - Medidor de resistência ohmica.</t>
  </si>
  <si>
    <t>Mobiliários diversos</t>
  </si>
  <si>
    <t>Aquisição de equipamento Drone profissional</t>
  </si>
  <si>
    <t>drones com infravermelho</t>
  </si>
  <si>
    <t>Termovisor Modelo FLIR T650SC</t>
  </si>
  <si>
    <t>Acessórios para picapes</t>
  </si>
  <si>
    <t>Ampliação e adequação do estacionamento de veículos da UHE Itumbiara.</t>
  </si>
  <si>
    <t>Aquisição de aparelhos de ar condicionado</t>
  </si>
  <si>
    <t>Aquisição de bens móveis e ferramentas diversas</t>
  </si>
  <si>
    <t>4102 - Aquisição de máquinas e equipamentos</t>
  </si>
  <si>
    <t>Aquisição de central de macacos</t>
  </si>
  <si>
    <t>Aquisição de veículo tipo Van para transporte de passageiros</t>
  </si>
  <si>
    <t>Aquisição de veículos tipo caminhonete 4x4 cabine dupla</t>
  </si>
  <si>
    <t>Aquisição/Substituição de Instrumentos DRG.O</t>
  </si>
  <si>
    <t>bombas bibo de alta performace</t>
  </si>
  <si>
    <t>Câmera detectora de gás SF6</t>
  </si>
  <si>
    <t>Contador de Partículas / Óleo Isolante</t>
  </si>
  <si>
    <t>Drone</t>
  </si>
  <si>
    <t>Drones com câmera térmica</t>
  </si>
  <si>
    <t>Fechamento do galpão da Eletromecãnica</t>
  </si>
  <si>
    <t>Máquina para pintura airless</t>
  </si>
  <si>
    <t>Medidor/Analisador de corrente de fuga em Para-Raios</t>
  </si>
  <si>
    <t>Modernização das instalações e infraestrutura de rede/internet do DES.O</t>
  </si>
  <si>
    <t>Multi-Analyzer SF6 (Ref.: MULTI-ANALYZER SF6 DILO)</t>
  </si>
  <si>
    <t>Recuperação da estrutura da Estação de tratamento de esgoto (ETE) - UHE Manso</t>
  </si>
  <si>
    <t>Trocador De Calor Do Mancal Guia Inferior Sobressalente</t>
  </si>
  <si>
    <t>Testador de rigidez dielétrica</t>
  </si>
  <si>
    <t>Caixa de Ferramentas manuais e eletricas</t>
  </si>
  <si>
    <t>Aquisição de drone</t>
  </si>
  <si>
    <t>Aquisição de instrumento medidor de isolação</t>
  </si>
  <si>
    <t>Fluke 437</t>
  </si>
  <si>
    <t>Analisador de gás sf6</t>
  </si>
  <si>
    <t>MICROHMÍMETRO DIGITAL</t>
  </si>
  <si>
    <t>banco de baterias 48 vcc</t>
  </si>
  <si>
    <t>Aquisição de equipamentos e máquinas para a equipe de manutenção do DRV.O</t>
  </si>
  <si>
    <t>Modernização de máquinas - trator de esteiras - Linha de Transmissão.</t>
  </si>
  <si>
    <t>Banho Termostático Imersão (Resistores Alta Precisão)</t>
  </si>
  <si>
    <t>Acessórios para camionete dedicada novas (capota, estribo, protetor de caçamba, etc)</t>
  </si>
  <si>
    <t>aquecedor de estator</t>
  </si>
  <si>
    <t>Aquisição de equipamentos diversos</t>
  </si>
  <si>
    <t>Aquisição de Unidade de Filtragem Móvel FU5HB S V 2 M 1 B E, para tratamento de óleo</t>
  </si>
  <si>
    <t>Aquisição de veículo tipo leve</t>
  </si>
  <si>
    <t>Construção de depósito temporário de resíduos em SE Viana</t>
  </si>
  <si>
    <t>Execução do projeto do Auditório da SE Campos.</t>
  </si>
  <si>
    <t>Rádios Portáteis, móveis VHF e UHF</t>
  </si>
  <si>
    <t>Sinalização geral das vias da SE Samambaia</t>
  </si>
  <si>
    <t>Aquisição de instrumento medidor de resistência elétrica</t>
  </si>
  <si>
    <t>Disjuntor</t>
  </si>
  <si>
    <t>Ferramentas diversas</t>
  </si>
  <si>
    <t>Medidor Ultrassônico e Imageador Acústico</t>
  </si>
  <si>
    <t>Analalisador de qualidade de energia - Fluke DMLR.O</t>
  </si>
  <si>
    <t>Analalisadores de redes DMLR.O</t>
  </si>
  <si>
    <t>ferramentas especializadas e instrumentos de medição</t>
  </si>
  <si>
    <t>02 bancos de bateria 125vcc - 200ah / 10h</t>
  </si>
  <si>
    <t>retrofit no rdp da subestação de itutinga (vãos ltfuit, ltadit1, ltadit2, rt01)</t>
  </si>
  <si>
    <t>Adequação arquitetônica da guarita de entrada do prédio principal do DES.O</t>
  </si>
  <si>
    <t>Aquisição de barco, motor e reboque - UHE Porto Colômbia</t>
  </si>
  <si>
    <t>Aquisição de guincho</t>
  </si>
  <si>
    <t>Construção de Área Externa para Convivência/Confraternização de colaboradores lotados no DES.O</t>
  </si>
  <si>
    <t>Construção de rampas e sinalização para transito de equipamentos em pátios britados da SE Viana</t>
  </si>
  <si>
    <t>Construção de rampas e sinalização para transito de equipamentos em pátios britados da SE Vitória</t>
  </si>
  <si>
    <t>Máquina de Emenda/Fusão Ótica e Clivador. 22S/62S. FUJIKURA DMLR.O</t>
  </si>
  <si>
    <t>Modernização da ETA da UHE CORUMBÁ</t>
  </si>
  <si>
    <t>Rádios Portáteis, móveis VHF e UHF DOSN.O</t>
  </si>
  <si>
    <t>Termovisor para SE Itaberá</t>
  </si>
  <si>
    <t>Trator agrícola com guincho TMO 18T</t>
  </si>
  <si>
    <t>Construção de barracão na SE Campinas</t>
  </si>
  <si>
    <t>Aquisição de rádios de comunicação VHF</t>
  </si>
  <si>
    <t>Máquina de Lavar Vidraria para Laboratório</t>
  </si>
  <si>
    <t>Maleta completa com isolação tipo VDE. Modelo: 1104 / GEDORE</t>
  </si>
  <si>
    <t>Aquisição de máquina tipo Trator com implementos</t>
  </si>
  <si>
    <t>Aquisição de sonda multi parâmetro</t>
  </si>
  <si>
    <t>Construção de depósito para armazenagem temporária de resíduos perigosos.</t>
  </si>
  <si>
    <t xml:space="preserve">Fresadora Universal </t>
  </si>
  <si>
    <t>KIT  PARA CERTIFICAÇÃO DE FIBRA ÓPTICA contendo uma fonte óptica e um  powermeter DMLR.O</t>
  </si>
  <si>
    <t>Ferramentas elétricas de uso geral</t>
  </si>
  <si>
    <t>Padrão de Referência - Super Termômetro.</t>
  </si>
  <si>
    <t>Substituição de telhado na SE Guarulhos - Casa de Controle</t>
  </si>
  <si>
    <t>Padrão de referência em medidas de Resistência, Indutância e Capacitância.</t>
  </si>
  <si>
    <t>Motocicleta 250cc para LT´s (2)</t>
  </si>
  <si>
    <t>indicadores digitais medições - idm</t>
  </si>
  <si>
    <t>Equipamento de hidrojateamento abrasivo</t>
  </si>
  <si>
    <t>Atualização do layout do prédio administrativo do DRB.O</t>
  </si>
  <si>
    <t>Aquisição de binóculos para uso em atividades de manutenção</t>
  </si>
  <si>
    <t>Construção de rampas para acesso de embarcações</t>
  </si>
  <si>
    <t>Construção/adequação de local para cozinha e refeitório - UHE Manso</t>
  </si>
  <si>
    <t>1 unidade - caixa de descarga de baterias</t>
  </si>
  <si>
    <t>Analisador de falha à terra - Bender DMLR.O</t>
  </si>
  <si>
    <t>Aquisição de instrumento analisador e registrador de grandezas elétricas</t>
  </si>
  <si>
    <t>Aquisição de skimmer</t>
  </si>
  <si>
    <t>Construção de depósito temporário de resíduos em SE Linhares</t>
  </si>
  <si>
    <t>Medidor de Rigidez Dielétrica</t>
  </si>
  <si>
    <t>MOBILIÁRIO (CADEIRAS) DOSN.O</t>
  </si>
  <si>
    <t>Registrador Digital de Perturbações Portátil</t>
  </si>
  <si>
    <t>Relocação estacionamento UHE Manso</t>
  </si>
  <si>
    <t>ups 10kva da casa de força da usina de furnas</t>
  </si>
  <si>
    <t>Viscosímetro</t>
  </si>
  <si>
    <t>DEA - Desfibrilador externo automático</t>
  </si>
  <si>
    <t>Drone para Fotovoltaica</t>
  </si>
  <si>
    <t>Máquina de ar seco (DMES.O)</t>
  </si>
  <si>
    <t>Aqusição de instrumento analisador de baterias</t>
  </si>
  <si>
    <t>Localizador de fuga a terra em sistemas DC (Ref.: ISOSCAN EDS30 - BENDER)</t>
  </si>
  <si>
    <t>Multímetro (para calibração de simuladores de termopar/ termorresistência)</t>
  </si>
  <si>
    <t>plataforma elevatória</t>
  </si>
  <si>
    <t>VEÍCULO PARA USO NA USINA EM APOIO A OPERAÇÃO DA SUBESTAÇÃO JACAREPAGUÁ.</t>
  </si>
  <si>
    <t>Bancada de Testes Universal</t>
  </si>
  <si>
    <t>Bomba dosadora diafragma</t>
  </si>
  <si>
    <t>Pintura e manutenção interna do prédio principal do DES.O</t>
  </si>
  <si>
    <t>8 rádios VHF portáteis</t>
  </si>
  <si>
    <t>Câmara Climática - Meio térmico para calibração de Termohigrômetros</t>
  </si>
  <si>
    <t>Construção de estacionamento coberto na UHE Corumbá</t>
  </si>
  <si>
    <t>Ensaiador de rigidez dielétrico</t>
  </si>
  <si>
    <t>Multiteste Digital 15 undidades DMLR.O</t>
  </si>
  <si>
    <t>Testador de circuito de alta velocidade SDH</t>
  </si>
  <si>
    <t>Construção de abrigo de gases e inflamáveis - UHE Manso</t>
  </si>
  <si>
    <t>Escadas de alumínio trapézio da Tesmec para trabalhos de manutenção de Linhas de Transmissão</t>
  </si>
  <si>
    <t>Veículo utilitário elétrico</t>
  </si>
  <si>
    <t xml:space="preserve"> Refletômetro ótico (OTDR) - Ref. ANRITSU MT9083C2-053. ANRITSU MT9083C2. ANRITSU.</t>
  </si>
  <si>
    <t>Medidor de ponto de orvalho - ref. VAISALA DM70</t>
  </si>
  <si>
    <t>Medidor de isolação - megôhmetro 5 kV MIT 1515 / ref. Megabras MD 5075x</t>
  </si>
  <si>
    <t>Instrumentos em Geral para Eletromecânica</t>
  </si>
  <si>
    <t xml:space="preserve"> Refletômetro ótico (OTDR) - Ref. ANRITSU MT9083C2-053. ANRITSU MT9083C2. ANRITSU DMLR.O</t>
  </si>
  <si>
    <t>Aquisição de equipamento para combate a emergência - SE Araraquara</t>
  </si>
  <si>
    <t>Aquisição de micro ohmímetro</t>
  </si>
  <si>
    <t>Ducter Copacto</t>
  </si>
  <si>
    <t>equipamentos gerais área energizada</t>
  </si>
  <si>
    <t>Esticadores de Parafusos</t>
  </si>
  <si>
    <t>Kits Isolantes</t>
  </si>
  <si>
    <t>Mala Kelman Ge</t>
  </si>
  <si>
    <t>Medidor de ponto de orvalho para a SE Itaberá</t>
  </si>
  <si>
    <t>Modernização do sistema de climatização do prédio do DRB.O</t>
  </si>
  <si>
    <t>Oscilador de Rubídio</t>
  </si>
  <si>
    <t>powermiter reg tensão</t>
  </si>
  <si>
    <t>recuperação de cerca no perímetro da subestação de barro branco</t>
  </si>
  <si>
    <t>Substituição do forro termo-acústico do DES.O</t>
  </si>
  <si>
    <t>Torno mecânico</t>
  </si>
  <si>
    <t>Aquisição de aparelhos de ar condicionado Split e janela e máquina de gelo</t>
  </si>
  <si>
    <t>Analisador de Isolação</t>
  </si>
  <si>
    <t>Analisador de Isolação 15kV - MIT1525 / Megger, Cabos - 1005-260 / Megger</t>
  </si>
  <si>
    <t>Aquisição de sistema de climatização para estações de telecomunicações</t>
  </si>
  <si>
    <t>Localizador de Falhas à Terra Portatil do fabricante RDI Bender (Modelo LFMS90GS-13)</t>
  </si>
  <si>
    <t>Modernização da climatização de estações de telecomunicações</t>
  </si>
  <si>
    <t>Padrão de trabalho para temperatura (Corpo Negro - fonte de radiação infravervelha)</t>
  </si>
  <si>
    <t>Reforma geral de banheiros e vestiários - UHE Manso</t>
  </si>
  <si>
    <t>Sistema de calibração para desnimetros de SF6</t>
  </si>
  <si>
    <t>TP de aterramento</t>
  </si>
  <si>
    <t>analisador de meio físico e protocolo de redes profibus</t>
  </si>
  <si>
    <t>Carretinha de transporte barco e de reboque oc.</t>
  </si>
  <si>
    <t>estação digital de calibração</t>
  </si>
  <si>
    <t>móveis em geral</t>
  </si>
  <si>
    <t>Utensílios diversos</t>
  </si>
  <si>
    <t>Aquisição de dispositivo eletrônico para marcação de ponto</t>
  </si>
  <si>
    <t>Sistema de tratamento de óleo movel.</t>
  </si>
  <si>
    <t>4103 - Manutenção e Adequação de Ativos de Informática, Informação e Teleprocessamento</t>
  </si>
  <si>
    <t>Aquisição de aparelho Smartphone/Tablet</t>
  </si>
  <si>
    <t>Aquisição de ferramentas portáteis, para substituir eventuais obsolências</t>
  </si>
  <si>
    <t>Aquisição de hipsômetro</t>
  </si>
  <si>
    <t>Aquisição de medidor de condutância baterias</t>
  </si>
  <si>
    <t>Aquisição de osciloscópio digital</t>
  </si>
  <si>
    <t>Aquisição de prensa hidráulica</t>
  </si>
  <si>
    <t>cameras de vigilância</t>
  </si>
  <si>
    <t>Carregador de Bateria Portátil 125Vcc</t>
  </si>
  <si>
    <t>Carregador de Bateria Portátil 48Vcc</t>
  </si>
  <si>
    <t>Esticador Para Cabo Opgw</t>
  </si>
  <si>
    <t>Inversor CC/CA para instalações diversas (04 unidades)</t>
  </si>
  <si>
    <t>Máquina de reconhimento de gás SF6</t>
  </si>
  <si>
    <t>Unidade de tratamento de óleo a vácuo</t>
  </si>
  <si>
    <t>1 x Inversor 125 Vcc/127 Vca de 5.0 kVA para instalações STIVP 765/500kV</t>
  </si>
  <si>
    <t>bancadas de testes pl-100</t>
  </si>
  <si>
    <t>Calibrador de TLV´s e Termômetros com sensores</t>
  </si>
  <si>
    <t>Equipamento  para calibração de TLV´s e Termômetros com sensores</t>
  </si>
  <si>
    <t>Modernização para inspeção das estruturas civis das usinas da Eletrobras Furnas.</t>
  </si>
  <si>
    <t>sistema de proteção da lipcab</t>
  </si>
  <si>
    <t>Torre de Iluminação 4 x 1000w em LED, Elevação 9m com Gerador 220v Monofásico a Diesel 10kw- SE</t>
  </si>
  <si>
    <t>Binoculos 50x10</t>
  </si>
  <si>
    <t>Aquisição de motosserra</t>
  </si>
  <si>
    <t>Aquisição de binóculo com estabilização óptica</t>
  </si>
  <si>
    <t>Aquisição de binóculos Cânon com Resolução 20x50</t>
  </si>
  <si>
    <t>Aquisição de drone - Linhas de Transmissão.</t>
  </si>
  <si>
    <t>Bomba dosadora embolo</t>
  </si>
  <si>
    <t>Conexões DILO para SF6</t>
  </si>
  <si>
    <t>Coulômetro (Teor de Água - Isolante)</t>
  </si>
  <si>
    <t>Embarcação com motor - UHE Manso</t>
  </si>
  <si>
    <t>instalação das centrais de ar self-container do prédio da sala de controle</t>
  </si>
  <si>
    <t>Medidor de pH</t>
  </si>
  <si>
    <t>Megger - Medidor de resistência de isolamento.</t>
  </si>
  <si>
    <t>Melhoria estrutura civil casa força UHE Batalha</t>
  </si>
  <si>
    <t>MOBILIÁRIO Mesas DOSN.O</t>
  </si>
  <si>
    <t>Modernização do Sistema de Iluminação da SE</t>
  </si>
  <si>
    <t>Testador  cabeamneto de rede DMLR.O</t>
  </si>
  <si>
    <t>Unidade de filtragem móvel, Hydac: MFUD-60-M-P-2-H60-2-ON10-03-B /-S5P5.</t>
  </si>
  <si>
    <t>registradores digitais de perturbações</t>
  </si>
  <si>
    <t>Rádio motorola VHP Motorola</t>
  </si>
  <si>
    <t>Termohigrômetros</t>
  </si>
  <si>
    <t>Analisador de Vibração (Modelo: Fluke-805FC)</t>
  </si>
  <si>
    <t>1 unidade - aparelho medidor de condutância/teste de baterias</t>
  </si>
  <si>
    <t>1 x OTDR</t>
  </si>
  <si>
    <t>Aquisição de instrumento medidor de relação de transformação</t>
  </si>
  <si>
    <t>Aquisição de instrumentos Diversos - CPCIE</t>
  </si>
  <si>
    <t>Aquisição de motosserras elétricas</t>
  </si>
  <si>
    <t>Aquisição de PC de Processo  -Tarifador</t>
  </si>
  <si>
    <t>Câmara Climática</t>
  </si>
  <si>
    <t>Condutivímetro</t>
  </si>
  <si>
    <t>Densimetro Digital para Eletróilito de Baterias</t>
  </si>
  <si>
    <t>Hipsômetro ref Lasertek TP360E</t>
  </si>
  <si>
    <t>medidor de ponto de orvalho;</t>
  </si>
  <si>
    <t>Medidor de potência DMLR.O</t>
  </si>
  <si>
    <t>Modernização da sala de operação da subestação Gurupi.</t>
  </si>
  <si>
    <t>Multimetros CAT4 600V (Ref.: Fluke 87)</t>
  </si>
  <si>
    <t>registrador de pertubações portátil</t>
  </si>
  <si>
    <t>Televisores para Auditório e Sala de Reunião.</t>
  </si>
  <si>
    <t>Aquisição de chave de impacto elétrica</t>
  </si>
  <si>
    <t>Cadeiras P/ CRV da SE de Foz do Iguaçu</t>
  </si>
  <si>
    <t>Drone REF DJI</t>
  </si>
  <si>
    <t>Furadeira com Mandril de 1/2 Pol com Velocidade Variável e Reversível 600W - DEWALT-DW245</t>
  </si>
  <si>
    <t>Guincho manual para tração- Tifor</t>
  </si>
  <si>
    <t>Projeto de Ampliação da Guarita da Usina de Campos com eclusa.</t>
  </si>
  <si>
    <t>Projeto de atualização do layout do prédio administrativo do DRB.O</t>
  </si>
  <si>
    <t>Talhas de alavanca para içamento de cargas</t>
  </si>
  <si>
    <t>Aquisição de Ferramentas Rotativas elétricas para oficina e utilização em campo.</t>
  </si>
  <si>
    <t>Alicate Amperimentro Digital</t>
  </si>
  <si>
    <t>Aquisição de Serra Fita</t>
  </si>
  <si>
    <t>Binóculo Canon Image Stabilizer 10x42 L IS WP.</t>
  </si>
  <si>
    <t>bomba pneumática manual com calibrador de pressão pc 507 (pneumático)</t>
  </si>
  <si>
    <t>Carretilha de aluminio de Linha Viva- Roldana de linha Viva</t>
  </si>
  <si>
    <t>Conjunto de Fusão de Fibra Optica por arco elétrico</t>
  </si>
  <si>
    <t>Estação de retrabalho e solda em placas de componentes eletrônicos</t>
  </si>
  <si>
    <t>Medidor de isolação CC</t>
  </si>
  <si>
    <t>Motoserra a bateria 36Volts</t>
  </si>
  <si>
    <t>Parafusadeiras com baterias 18 Volts</t>
  </si>
  <si>
    <t>rádios portáteis para uso na operação</t>
  </si>
  <si>
    <t>Rocadeira hidraulica para trator de pneu</t>
  </si>
  <si>
    <t>servidores para o sage</t>
  </si>
  <si>
    <t>Sistema de rádio por IP para comunicação da UTE Campos com as Ses Campos e Macaé.</t>
  </si>
  <si>
    <t>Aquisição de sistema de abastecimento de água</t>
  </si>
  <si>
    <t xml:space="preserve"> 10 Unid. - Poltronas giratórias</t>
  </si>
  <si>
    <t>Aquisição de Alicate de Prensa Hidráulica</t>
  </si>
  <si>
    <t>Aquisição de GPS GARMIN</t>
  </si>
  <si>
    <t>Capacimetro</t>
  </si>
  <si>
    <t>Estufa</t>
  </si>
  <si>
    <t>Medidor de Oxigênio Dissolvido</t>
  </si>
  <si>
    <t>Reflectômetro OTDR</t>
  </si>
  <si>
    <t>módulo entrada digital do serviço auxiliar</t>
  </si>
  <si>
    <t>Motoserras</t>
  </si>
  <si>
    <t>Bomba dosadora</t>
  </si>
  <si>
    <t>10 Unid. - Poltronas giratórias</t>
  </si>
  <si>
    <t>2 Unid - Multímetro Fluke 87V.</t>
  </si>
  <si>
    <t>2 unidades - multimetro de rede Fluke Microscanner</t>
  </si>
  <si>
    <t>Aquisição de equipamento portátil para verificação de qualidade de água tratada.</t>
  </si>
  <si>
    <t>Bureta Automática para Titulação</t>
  </si>
  <si>
    <t>Gerador Diesel Portátil</t>
  </si>
  <si>
    <t>Mobiliário administrativo</t>
  </si>
  <si>
    <t>Vara de manobra seccionável Ritz Glass.</t>
  </si>
  <si>
    <t>Gerador Portátil</t>
  </si>
  <si>
    <t>Máquina Retificadora de Solda 450A Trifásica 440V. Modelo: Origo Arc 455 / ESAB</t>
  </si>
  <si>
    <t>Tanque reservatório gradeado</t>
  </si>
  <si>
    <t xml:space="preserve"> Acessorios para veículos de Linhas de Transmissão.</t>
  </si>
  <si>
    <t>01- Medidor de resistência de isolação CC.</t>
  </si>
  <si>
    <t>1 unidade - Máquina de fusão de fibra óptica</t>
  </si>
  <si>
    <t>Aquisição de Tesoura hidráulica</t>
  </si>
  <si>
    <t>Cadeiras</t>
  </si>
  <si>
    <t>Ferramental- caixa de ferramenta, chaves combinadas, catracas, torquimetros, etc</t>
  </si>
  <si>
    <t>Máquina de Emenda/Fusão Ótica e Clivador. 22S/62S. FUJIKURA</t>
  </si>
  <si>
    <t>Medidor de ponto de orvalho</t>
  </si>
  <si>
    <t>Projeto de Ampliação da Guarita da Subestação de Rocha Leão com eclusa.</t>
  </si>
  <si>
    <t>sistema de medição de nível do canal de fuga</t>
  </si>
  <si>
    <t>Multímetro digital ttrue RMS 1000V FLUKE, MODELO 177</t>
  </si>
  <si>
    <t>Chave impacto (Ref.: DCF899B-B3+DCB205C2K-BR DEWALT)</t>
  </si>
  <si>
    <t>lanterna de led portátil a bateria 18 Volts</t>
  </si>
  <si>
    <t>Barco com motor de popa</t>
  </si>
  <si>
    <t>Drone (Ref.: DJI MINI 3 PRO COM KIT FLYMORE)</t>
  </si>
  <si>
    <t>1 Megômetro digital portátil - Fluke 1507 - 1000 V</t>
  </si>
  <si>
    <t>1 unidade - densímetro digital</t>
  </si>
  <si>
    <t>Aquisição de esmerilhadeira com baterias 18 Volts</t>
  </si>
  <si>
    <t>Aquisição de ferramentas isoladas</t>
  </si>
  <si>
    <t>Aquisição de motopoda</t>
  </si>
  <si>
    <t>Aquisição de película protetora de vidros</t>
  </si>
  <si>
    <t>Aquisição de torquímetro</t>
  </si>
  <si>
    <t>Balança Analíica</t>
  </si>
  <si>
    <t>Bureta (Ensaio de Acidez)</t>
  </si>
  <si>
    <t>Cameras IP</t>
  </si>
  <si>
    <t>DMEP.O - Bastões de aterramentos</t>
  </si>
  <si>
    <t>guindaste hidráulico</t>
  </si>
  <si>
    <t>Implemento de Escavação P/ trator sobre rodas</t>
  </si>
  <si>
    <t>Osciloscópio Digital Portátil com entradas isoladas</t>
  </si>
  <si>
    <t>portão eletrônico</t>
  </si>
  <si>
    <t>Sensor Termorresistivo PT100 Classe A - sugestão: Fluke, 5626A</t>
  </si>
  <si>
    <t>sistema citv - se itutinga</t>
  </si>
  <si>
    <t>Talhas Diversas</t>
  </si>
  <si>
    <t>Equipamento ar condicionado 22.000 BTU</t>
  </si>
  <si>
    <t>Guincho de alavanca</t>
  </si>
  <si>
    <t>Monitor/TV</t>
  </si>
  <si>
    <t>Aquisição de instrumentos multímetro digital</t>
  </si>
  <si>
    <t>Alicate Amperimetro CAT4 600V</t>
  </si>
  <si>
    <t>Aparelho celular</t>
  </si>
  <si>
    <t>Aquisição de Chave de Impacto</t>
  </si>
  <si>
    <t>Aquisição de gerador portátil</t>
  </si>
  <si>
    <t>Aquisição de lavadora de pressão</t>
  </si>
  <si>
    <t>Aquisição de máquina de pintura</t>
  </si>
  <si>
    <t>Balança analítica</t>
  </si>
  <si>
    <t>Guincho para picape 4x4</t>
  </si>
  <si>
    <t>Jogo de Pipetas de Gilson</t>
  </si>
  <si>
    <t>Máquina corte de plasma- SE Itaberá</t>
  </si>
  <si>
    <t>Máquina de alta pressão com aquecimento</t>
  </si>
  <si>
    <t>Máquina de solda multi processo- MMA, TIG e MIG- SE Itaberá</t>
  </si>
  <si>
    <t>Máquina inversora de solda (Ref.: ESAB-742913)</t>
  </si>
  <si>
    <t>Maquina Policorte
 Maquina de Solda
 Kit Maçarico</t>
  </si>
  <si>
    <t>Multitestes</t>
  </si>
  <si>
    <t>Torquimetro hidráulico</t>
  </si>
  <si>
    <t>Esmerilhadeira a bateria 4" (Ref.: GWS 180-LI BRUSHLESS 18V BOSCH)</t>
  </si>
  <si>
    <t>Kit fita catraca carga para embalar</t>
  </si>
  <si>
    <t>Poltrona giratória com braços, com relax, gomada, estofado na cor azul, tipo DiretoR</t>
  </si>
  <si>
    <t>Retifica a bateria (Ref.: GGS 18V-23 PLC BOSCH)</t>
  </si>
  <si>
    <t>Densímetro Portátil (Ref.: ANTOON PAAR/DMA 35)</t>
  </si>
  <si>
    <t>Medidor de tensão de correias, Fabricante SKF, Modelo PHL FM10/400.</t>
  </si>
  <si>
    <t>Aquisição de equipamento ar condicionado</t>
  </si>
  <si>
    <t>Aquisição de furadeira de impacto profissional</t>
  </si>
  <si>
    <t>Freezer horizontal</t>
  </si>
  <si>
    <t>Geladeira</t>
  </si>
  <si>
    <t>01 alcate amperímetro</t>
  </si>
  <si>
    <t>2 Unid - Multímetro Fluke 177.</t>
  </si>
  <si>
    <t>Condutivímetro Digital Portátil</t>
  </si>
  <si>
    <t>Desumidificador</t>
  </si>
  <si>
    <t>HD portátil</t>
  </si>
  <si>
    <t>Kit exaustor/insuflador com duto - NR33 (Ref.: ITINS30/INSTRUTEMP)</t>
  </si>
  <si>
    <t>Multimetro de Bancada</t>
  </si>
  <si>
    <t>Bebedouro industrial</t>
  </si>
  <si>
    <t>Kit de solda de oxi-acetileno portátil</t>
  </si>
  <si>
    <t>2 x Kit de ferramentas para fibra óptica</t>
  </si>
  <si>
    <t>Aquisição de detector de tensão</t>
  </si>
  <si>
    <t>Aquisição de equipamento portátil para verificação de qualidade do ar (NR 33).</t>
  </si>
  <si>
    <t>Aquisição de medidor de nivel de água com Sonda</t>
  </si>
  <si>
    <t>Aquisição de micro amperímetro digital</t>
  </si>
  <si>
    <t>Aquisição de roçadeiras costais</t>
  </si>
  <si>
    <t>Chave de Impacto à Bateria 1/2'' 18V 1000NM DTW1002RTJ</t>
  </si>
  <si>
    <t>FLUKE 771 ALICATE MILIAMPERÍMETRO DE PROCESSO</t>
  </si>
  <si>
    <t>KIT de insulflamento para luva isolante</t>
  </si>
  <si>
    <t>Kit verificador de cabos microscanner (Ref.: FLUKE/MS2-POE-KIT FLUKE)</t>
  </si>
  <si>
    <t>Manovacuômetro digital p/ SF6</t>
  </si>
  <si>
    <t>Máquina de Solda para a SE Itaberá</t>
  </si>
  <si>
    <t>rádios portáteis vhf/uhf</t>
  </si>
  <si>
    <t>Testador de bastões</t>
  </si>
  <si>
    <t>Microamperímetro Analógico (Ref.: RITZ-RC402-0288)</t>
  </si>
  <si>
    <t>Equipamento de Pintura Airless</t>
  </si>
  <si>
    <t>forno elétrico</t>
  </si>
  <si>
    <t>Armários em Aço</t>
  </si>
  <si>
    <t>Bombas subermersiveis sólidos</t>
  </si>
  <si>
    <t>Multímetro Digital</t>
  </si>
  <si>
    <t>01- Alicate amperímetro</t>
  </si>
  <si>
    <t>01 Multímetro Digital</t>
  </si>
  <si>
    <t>02- Multímetros.</t>
  </si>
  <si>
    <t>Bombas d'água</t>
  </si>
  <si>
    <t>Chave de impacto pneumática 3/4 polegadas, Atlas Copco, Modelo W2920</t>
  </si>
  <si>
    <t>Ferramentas diversas para os técnicos da SE Itaberá</t>
  </si>
  <si>
    <t>Furadeira Eletromagnética - Ref:Gbm 50-2</t>
  </si>
  <si>
    <t>Inversor de tensão 12V para 127Vac - 3000W</t>
  </si>
  <si>
    <t>Osciloscópio Portátil</t>
  </si>
  <si>
    <t>Port-Server</t>
  </si>
  <si>
    <t>Aquisição de TV/Monitor com Entrada HDMI 55 pol FULLHD c/ HDMI</t>
  </si>
  <si>
    <t>Bateria Motosserra</t>
  </si>
  <si>
    <t>Medidor de Cloro</t>
  </si>
  <si>
    <t>Padrão de Trabalho - Sensor Termorresitivo PT100 - Classe A</t>
  </si>
  <si>
    <t>Padrão de Trabalho - Termômetro Infravermelho</t>
  </si>
  <si>
    <t>Conjunto Optico Power Meter.</t>
  </si>
  <si>
    <t>Fogão de indução</t>
  </si>
  <si>
    <t>Fonte de Luz</t>
  </si>
  <si>
    <t>Kit Torqueadeira ElétricModelo: GDS 18V-1000 com maleta</t>
  </si>
  <si>
    <t>1 x Impressora para confecção de anilhas</t>
  </si>
  <si>
    <t>2 unidades - alicate amperímetro Fluke 325</t>
  </si>
  <si>
    <t>Detector de Tensão</t>
  </si>
  <si>
    <t>Detector unipolar de alta tensão SuperTester Ritz</t>
  </si>
  <si>
    <t>Esmerilhadira 7" (Ref.: BOSCH GWS 28-180 VULCANO 2800W 127V)</t>
  </si>
  <si>
    <t>FURADEIRA COM BASE MAGNÉTICA 1050W 35MM - HB350 - MAKITA</t>
  </si>
  <si>
    <t>Saca rolamento hidráulico</t>
  </si>
  <si>
    <t>Vacuômetro P/ tratamento de Oleo</t>
  </si>
  <si>
    <t>Espectofotometro</t>
  </si>
  <si>
    <t>MÁQUINA INVERSORA DE SOLDA 200A TIG ROGUE ET 202IP ESAB, ref 743323</t>
  </si>
  <si>
    <t>Furadeira Gbm 23-2</t>
  </si>
  <si>
    <t>Motor para barco 15HP tipo rabeta</t>
  </si>
  <si>
    <t>Turbidímetro</t>
  </si>
  <si>
    <t>Multiplicador de torque LKV-28Z Gedore</t>
  </si>
  <si>
    <t>1 Kit - Chave de impacto 18V - DTW285RFJX - Makita</t>
  </si>
  <si>
    <t>1 sequencímetro digital</t>
  </si>
  <si>
    <t>1 termômetro imfravermelho</t>
  </si>
  <si>
    <t>1 und - Alicate amperímetro 1000 A AC/DC - Fluke-376FC</t>
  </si>
  <si>
    <t>2 x Soprador térmico</t>
  </si>
  <si>
    <t>Aquisição de Relogio Comparador Digital</t>
  </si>
  <si>
    <t>Carretilha de alumínio forjada com trava 567 daN Ritz.</t>
  </si>
  <si>
    <t>Desumidificador de ar (Ref.: DESIDRAT D150-8L)</t>
  </si>
  <si>
    <t>Disco Rigido HD</t>
  </si>
  <si>
    <t>Temohigrômetro digital (Ref.: MINIPA MT-241)</t>
  </si>
  <si>
    <t>Retificadeira 1/4 Pol. 1300W Brushless - DEWALT-DWE4997VS</t>
  </si>
  <si>
    <t>1 und - Fonte de Alimentação Dupla DC Regulada 30V/5A - MINIPA-MPC-3005</t>
  </si>
  <si>
    <t>Aquisição de  etiquetadora portátil para SE Bandeirantes</t>
  </si>
  <si>
    <t>Aquisição de  etiquetadoras portátil</t>
  </si>
  <si>
    <t>Aquisição de bombas de transferência de óleo</t>
  </si>
  <si>
    <t>Esmerilhadeira Angular</t>
  </si>
  <si>
    <t>Furadeira de bancada 1CV, 3/4"</t>
  </si>
  <si>
    <t>Kit Parafusadeira/Furadeira 1/2'' (13 mm) Com Impacto 20V MAX*</t>
  </si>
  <si>
    <t>Multicalibrador isocal MCS-12</t>
  </si>
  <si>
    <t>Escada extensivel</t>
  </si>
  <si>
    <t>1 Unid - Lavadora Alta Pressão HW112 - Makita</t>
  </si>
  <si>
    <t>Aspirador de Piscina</t>
  </si>
  <si>
    <t>Máquina de lavar à pressão uso contínuo</t>
  </si>
  <si>
    <t>Alicate amperímetro fluke modelo 325</t>
  </si>
  <si>
    <t>Medidor de temperatura digital</t>
  </si>
  <si>
    <t>Forno Eletrico</t>
  </si>
  <si>
    <t>01 Alicate Amperímetro Digital</t>
  </si>
  <si>
    <t>2 x alicates prensa terminais tubulares – ref. Crimper 6Z</t>
  </si>
  <si>
    <t>2 x Estações de solda</t>
  </si>
  <si>
    <t>Aquisição de termo-higrômetro</t>
  </si>
  <si>
    <t>Dosadora de Cloro</t>
  </si>
  <si>
    <t>Martelete Combinado SDS PLUS 800W com Maleta - MAKITA-HR2470 / 220V</t>
  </si>
  <si>
    <t>Multímetro de bancada</t>
  </si>
  <si>
    <t>Multímetro digital portátil (Ref.: FLUKE 17B+CATlll)</t>
  </si>
  <si>
    <t>Forno Microondas</t>
  </si>
  <si>
    <t>Esmerilhadeira Angular 5 1200w 220v Dwe4212-b2 Dewalt</t>
  </si>
  <si>
    <t>01 Termohigrômetro</t>
  </si>
  <si>
    <t>Cafeteira Eletrica</t>
  </si>
  <si>
    <t>Gerador de Sinais 4 a 20mA</t>
  </si>
  <si>
    <t>02- Termohigrômetros</t>
  </si>
  <si>
    <t>Aquisição de gravador elétrico para metais</t>
  </si>
  <si>
    <t>Aspirador de pó</t>
  </si>
  <si>
    <t>Multímetro e outros equipamentos de apoio ao Simulador</t>
  </si>
  <si>
    <t>Sequencímetro (Ref.: MINIPA/MFA-862)</t>
  </si>
  <si>
    <t>01 Alicate Amperímetro</t>
  </si>
  <si>
    <t>Manutenção e Adequação de Bens Imóveis</t>
  </si>
  <si>
    <t>Melhoria de Bens Imóveis</t>
  </si>
  <si>
    <t>Manutenção e Adequação de Bens Móveis, Veículos, Máquinas e Equipamentos</t>
  </si>
  <si>
    <t>Bens móveis</t>
  </si>
  <si>
    <t>Manutenção e Adequação de Ativos de Informática, Informação e Teleprocessamento</t>
  </si>
  <si>
    <t>Modernização das mesas Trading</t>
  </si>
  <si>
    <t>Implantação Sistema de Monitoramento Integrado</t>
  </si>
  <si>
    <t>Videowall LED</t>
  </si>
  <si>
    <t>Desenvolvimento/implementação de sistemas</t>
  </si>
  <si>
    <t>Implantação de HoneySpots para Centros de Operação</t>
  </si>
  <si>
    <t>Conexão de voz com agentes (SBC)</t>
  </si>
  <si>
    <t>Aquisição de máquinas e equipamentos</t>
  </si>
  <si>
    <t>Implantação Projeto Smartiks</t>
  </si>
  <si>
    <t>Modernização Infraestrutura do CORI</t>
  </si>
  <si>
    <t>Implantação Cluster Storage</t>
  </si>
  <si>
    <t>Contrato SPAT Regionais (Ação 4103)</t>
  </si>
  <si>
    <t>Segurança Física para os Centros de Operação</t>
  </si>
  <si>
    <t>Projeto Parceria RNP - 100G</t>
  </si>
  <si>
    <t>Aquisição reserva técnica posto hidrométrico</t>
  </si>
  <si>
    <t>Centros de Operação - Implantação HCI</t>
  </si>
  <si>
    <t>P2 - Projeto Piloto Relés Ondas Viajantes</t>
  </si>
  <si>
    <t>Implantação Monitoramento Rede GPON Vídeo Monitoramento Operacional</t>
  </si>
  <si>
    <t>Firewall Camada 7 FWL7 dos Centros de Operação</t>
  </si>
  <si>
    <t>Switches para os Centros de Operação</t>
  </si>
  <si>
    <t>Aquisição de veículos</t>
  </si>
  <si>
    <t>Infraestrutura de Telecomunicações</t>
  </si>
  <si>
    <t xml:space="preserve">Melhorias das Instalações do Sertão para adequação às questões ambientais </t>
  </si>
  <si>
    <t>Revisão turbinas a gas 11 e 21 da UTE Santa Cruz</t>
  </si>
  <si>
    <t>Modernização do controle dos reguladores de tensão e velocidade das unidades geradoras da UHLCB</t>
  </si>
  <si>
    <t>Modernização dos Reguladores de Velocidade e de Tensão das Usinas</t>
  </si>
  <si>
    <t>Modernização de Pórticos e Pontes Rolante das Usinas</t>
  </si>
  <si>
    <t>Modernização dos pórticos e pontes rolantes</t>
  </si>
  <si>
    <t>Modernização de Sistema de Regulador de Tensão de várias áreas de Furnas</t>
  </si>
  <si>
    <t>Modernização dos servomotores do Aro de Regulação das Turbinas da Usina de Manso</t>
  </si>
  <si>
    <t>pontes rolantes casa de força</t>
  </si>
  <si>
    <t>ponte rolante</t>
  </si>
  <si>
    <t>Modernização dos Reguladores de Tensão da UHE Manso</t>
  </si>
  <si>
    <t>Modernização dos pórticos da tomada d´agua e canal de fuga da UHE Itumbiara</t>
  </si>
  <si>
    <t>Modernização dos Reguladores de Tensão da UHE Corumbá</t>
  </si>
  <si>
    <t>comporta vertedouro</t>
  </si>
  <si>
    <t>retrofit ponte rolante</t>
  </si>
  <si>
    <t>retrofit portico do vertedouro</t>
  </si>
  <si>
    <t>pórticos da tomada d'águe e canal de fuga</t>
  </si>
  <si>
    <t>pórtico canal de fuga</t>
  </si>
  <si>
    <t>pórtico tomada dagua</t>
  </si>
  <si>
    <t>Aquisição de Sistema de Registro de Perturbações - UHE Itumbiara</t>
  </si>
  <si>
    <t>Modernização dos pórticos da tomada d´agua da UTE Santa Cruz</t>
  </si>
  <si>
    <t>Modernização do Pórtico da Tomada Dágua</t>
  </si>
  <si>
    <t>Modernização dos controles das Comportas do Vertedouro</t>
  </si>
  <si>
    <t>Melhoria na ponte rolante da casa de força</t>
  </si>
  <si>
    <t>MONITORAMENTO ONLINE DE TRANSFORMADORES E REATORES</t>
  </si>
  <si>
    <t>Modernização do Sistema de Supervisão e Controle - UHE Xingó</t>
  </si>
  <si>
    <t>Substituição Transformadores Elevadores - UHE Paulo Afonso III e Apolônio Sales</t>
  </si>
  <si>
    <t>Modernização do Sistema de Vedação das Aletas Móveis das Turbinas - UHE Xingó</t>
  </si>
  <si>
    <t>Modernização Turbinas G8 e G9 - UHE Paulo Afonso II</t>
  </si>
  <si>
    <t>Melhorias eletromecânicas em geradores</t>
  </si>
  <si>
    <t>Substituição Transformadores Elevadores - UHE Paulo Afonso IV</t>
  </si>
  <si>
    <t>Troca do rotor Kaplan da turbina da UG02 de UHSD</t>
  </si>
  <si>
    <t>Modernização de usinas</t>
  </si>
  <si>
    <t>Modernização e Automação de Instrumentação de Auscultação Civil de Segurança de Barrages.</t>
  </si>
  <si>
    <t>Construção de Escadas de Acesso à Instrumentação dos Diques do AHE Simplício - Queda Única</t>
  </si>
  <si>
    <t>Recuperação da cobertura da casa de Força - UHE Porto Colômbia</t>
  </si>
  <si>
    <t>Recuperação da pavimentação asfáltica do coroamento da barragem - UHE Porto Colômbia</t>
  </si>
  <si>
    <t>Recuperação da pavimentação asfáltica - barragem - UHE Marimbondo.</t>
  </si>
  <si>
    <t>pavimentação área industrial</t>
  </si>
  <si>
    <t>pavimentar barragem de piumhi</t>
  </si>
  <si>
    <t>recapeamento asfáltico nas vias internas da área industrial</t>
  </si>
  <si>
    <t>telhado da sala de comando</t>
  </si>
  <si>
    <t>barreira contra queda de rochas</t>
  </si>
  <si>
    <t>escada de acesso ao vertedouro</t>
  </si>
  <si>
    <t>sistemas de alertas para zona de acesso serviço</t>
  </si>
  <si>
    <t>Melhoria cerca perimétrica da UHE Batalha</t>
  </si>
  <si>
    <t>Segurança de Barragem - Condicionantes de LOs</t>
  </si>
  <si>
    <t>Implantação PAE - Segurança de Barragens</t>
  </si>
  <si>
    <t>Plano de Ação de Emergência de usina</t>
  </si>
  <si>
    <t>AMPLIAÇÃO E MODERNIZAÇÃO DOS SISTEMAS DE TELECOMUNICAÇÕES DOS CENTROS DE OPERAÇÃO E CENTRO DE GERÊNCIA DE REDES DE TELECOMUNICAÇÕES</t>
  </si>
  <si>
    <t>11 - Modernização de Usinas - Novos Projetos</t>
  </si>
  <si>
    <t>10 - Modernização de Usinas - Projetos em Carteira</t>
  </si>
  <si>
    <t>4467 - Manutenção de Sistema de Geração de Energia Elétrica na Região Norte</t>
  </si>
  <si>
    <t>Contratação do sistema Empower/SIGGA ou similar</t>
  </si>
  <si>
    <t xml:space="preserve">Implantação de novo sistema de gestão de risco de crédito integrado ao sistema de comercialização (ID 985757) </t>
  </si>
  <si>
    <t>Desenvolvimento de Sistemas</t>
  </si>
  <si>
    <t>Aquisição e licença de softwares</t>
  </si>
  <si>
    <t>Desenvolvimento de Sistema de Gestão de Portfólio de Participações</t>
  </si>
  <si>
    <t>Peças e Equipamentos Sobressalentes</t>
  </si>
  <si>
    <t>Adequação do refeitório da UHE Teles Pires</t>
  </si>
  <si>
    <t>Equipamentos e Ferramentas O&amp;M</t>
  </si>
  <si>
    <t>Anel de guia do eixo superior - Gerador 03</t>
  </si>
  <si>
    <t>Infraestrutura de TI - Teles Pires</t>
  </si>
  <si>
    <t>Trocadores de calor dos geradores</t>
  </si>
  <si>
    <t>Pavimentação asfáltica vias de acesso interno da usina</t>
  </si>
  <si>
    <t>Revitalização das estruturas do complexo de hospedagem da usina</t>
  </si>
  <si>
    <t>Sistema de CFTV</t>
  </si>
  <si>
    <t>Prolongamento dos trilhos do pórtico jusante</t>
  </si>
  <si>
    <t>Sistema de Descarga Parciais</t>
  </si>
  <si>
    <t>Laboratório de ensaios eletromecânicos</t>
  </si>
  <si>
    <t>Iluminação casa de força</t>
  </si>
  <si>
    <t>Sala seca para armazenamento de equipamentos</t>
  </si>
  <si>
    <t>Estantes industriais para ferramentaria da usina</t>
  </si>
  <si>
    <t>Veículos para frota operacional da usina</t>
  </si>
  <si>
    <t>Iluminação das vias de acesso da usina e alojamentos</t>
  </si>
  <si>
    <t>Digitalização dos arquivos da UHE Teles Pires</t>
  </si>
  <si>
    <t>Sistema de monitoramento on-line barragem</t>
  </si>
  <si>
    <t>Tampas metálicas para canaletas elétricas VT e TA</t>
  </si>
  <si>
    <t>Cobertura portaria da usina e portões de acesso</t>
  </si>
  <si>
    <t>Revitalização da proteção anti corrosiva  estruturas de aço das comportas de vertedouro</t>
  </si>
  <si>
    <t>Revitalização da proteção anti corrosiva  estruturas de aço dos condutos forçados de TA.</t>
  </si>
  <si>
    <t>Nova ação da LOA</t>
  </si>
  <si>
    <t>Sobressalentes do Gerador</t>
  </si>
  <si>
    <t>Peças sobressalentes - Aumento da Confiabilidade</t>
  </si>
  <si>
    <t>Aquisição de equipamentos e instrumentos para manutenção</t>
  </si>
  <si>
    <t>Sistema Hidraulico</t>
  </si>
  <si>
    <t>Sistema de Proteção</t>
  </si>
  <si>
    <t>Cobertura e urbanização da ETA (inclui adequações normativas)</t>
  </si>
  <si>
    <t>Troca do banco de baterias 125 VCC</t>
  </si>
  <si>
    <t>Aquisição de anel de vedação e borracha do selo (2 conjuntos)</t>
  </si>
  <si>
    <t>Impermeabilização da laje da CF</t>
  </si>
  <si>
    <t>Troca da caixa separadora de água e óleo</t>
  </si>
  <si>
    <t xml:space="preserve">Substituição de tubulações </t>
  </si>
  <si>
    <t>Melhoria Sistema de Filtragem e Resfriamento</t>
  </si>
  <si>
    <t>Aquisição de sobressalentes SDSC/RV/RT - Obsolescencia</t>
  </si>
  <si>
    <t>Cobertura do estacionamento</t>
  </si>
  <si>
    <t>Estudo e projeto executivo logboom</t>
  </si>
  <si>
    <t>Estudo e adequação do poço drenagem da Vale</t>
  </si>
  <si>
    <t>Obras civis - reforma predial</t>
  </si>
  <si>
    <t>Implantação do PAE</t>
  </si>
  <si>
    <t>Retrofit dos Paíneis das Comportas ensecadeiras da Tomada D'Água</t>
  </si>
  <si>
    <t>Retrofit sistemas condicionadores de ar</t>
  </si>
  <si>
    <t>Revitalização e tratamento anticorrosivo Aro Camara, distribuidor e tampa turbina (UG's 1 e 2)</t>
  </si>
  <si>
    <t>Retrofit dos Paíneis das Comportas ensecadeiras do Vertedouro</t>
  </si>
  <si>
    <t>Retrofit sistema de monitoramento de vibração</t>
  </si>
  <si>
    <t>Renovação da Estação de Engenharia da Usina</t>
  </si>
  <si>
    <t>Renovação de Mobiliario CBG x UHE</t>
  </si>
  <si>
    <t>Licença de Operação</t>
  </si>
  <si>
    <t>Custos Retardatalhos LI</t>
  </si>
  <si>
    <t>Aluguel / Arrendamento - Edificios</t>
  </si>
  <si>
    <t>Aluguel / Arrendamento - Veiculos</t>
  </si>
  <si>
    <t>Contingências Jurídicas (desapropiações)</t>
  </si>
  <si>
    <t>Contingências EPC</t>
  </si>
  <si>
    <t>Aquisição de Instrumentos e Ferramentas</t>
  </si>
  <si>
    <t>Compressores de Ar de Serviço</t>
  </si>
  <si>
    <t>Vertedouro (Equipamentos sistema Hidraúlico e Retrofit das Comportas)</t>
  </si>
  <si>
    <t xml:space="preserve">Retrofit da Comportas Vagão </t>
  </si>
  <si>
    <t>Retrofit dos Paíneis das Comportas Segmento Tomada D'Água</t>
  </si>
  <si>
    <t>Renovação de Equipamentos</t>
  </si>
  <si>
    <t xml:space="preserve">Relulador de Tensão </t>
  </si>
  <si>
    <t xml:space="preserve">Retrofit Transformador Elevador/ Atualização tecnológica </t>
  </si>
  <si>
    <t>Retrofit do Pórtico Vertedouro</t>
  </si>
  <si>
    <t>Retrofit do Gerador</t>
  </si>
  <si>
    <t>Retrofit Sistema de Drenagem</t>
  </si>
  <si>
    <t>Auxiliares CA</t>
  </si>
  <si>
    <t>Automação / Instrumentação de Segurança de Barragem</t>
  </si>
  <si>
    <t>Estradas e vias de acesso</t>
  </si>
  <si>
    <t>Retrofit / Upgrade do Sistema de Automação e Controle</t>
  </si>
  <si>
    <t>Renovação do cabeamento da rede do CBG e Usina</t>
  </si>
  <si>
    <t>Retrofit do ponte rolante da casa de força</t>
  </si>
  <si>
    <t xml:space="preserve">Retrofit Turbina </t>
  </si>
  <si>
    <t>Regulador de de Velocidade</t>
  </si>
  <si>
    <t>Sistemas de Incêndio</t>
  </si>
  <si>
    <t>Aquisição de Conjunto de Baterias Estacionarias  - Casa de força</t>
  </si>
  <si>
    <t>Retrofit Retificador carregador de bateria</t>
  </si>
  <si>
    <t xml:space="preserve">Aquisição de cilindro de freio </t>
  </si>
  <si>
    <t>Aquisição de bombas de drenagem/esgotamento   - Casa de força e Vertedouro</t>
  </si>
  <si>
    <t xml:space="preserve">RPSB - Estudos Adicionais </t>
  </si>
  <si>
    <t xml:space="preserve">Atualização tecnológica do sistema de proteção </t>
  </si>
  <si>
    <t>Sistema de Resfriamento</t>
  </si>
  <si>
    <t>Climatização de Ambientes</t>
  </si>
  <si>
    <t>Indenizações - Possíveis perdas</t>
  </si>
  <si>
    <t>Aquisições e Indenizações - Joana D'Arc / Sta Rita / Morrinhos</t>
  </si>
  <si>
    <t>Compensação Ambiental</t>
  </si>
  <si>
    <t>Limno e Macrófitas</t>
  </si>
  <si>
    <t>Fauna</t>
  </si>
  <si>
    <t>Ictiofauna</t>
  </si>
  <si>
    <t>Indígenas</t>
  </si>
  <si>
    <t>Cota 71,3m - Projeto para alteamento do trecho da BR364</t>
  </si>
  <si>
    <t>Regularização Fundiária</t>
  </si>
  <si>
    <t>Hidrossedimentológico</t>
  </si>
  <si>
    <t>Hidrobiogeoquímico</t>
  </si>
  <si>
    <t>Saúde Pública</t>
  </si>
  <si>
    <t>Pacuera</t>
  </si>
  <si>
    <t>Compensação Social</t>
  </si>
  <si>
    <t>Ações a Jusante</t>
  </si>
  <si>
    <t>Aquisições e Indenizações</t>
  </si>
  <si>
    <t>Parna Mapinguari</t>
  </si>
  <si>
    <t>Lençol Freático</t>
  </si>
  <si>
    <t>Gestão de Portfólio</t>
  </si>
  <si>
    <t>Sismológico</t>
  </si>
  <si>
    <t>Climatológico</t>
  </si>
  <si>
    <t>Flora</t>
  </si>
  <si>
    <t>Dir. Minerários e Ativ. Garimpeira</t>
  </si>
  <si>
    <t>Lubrificação das Rodas da Comporta Vagão</t>
  </si>
  <si>
    <t>Sistema de Vedação de Eixo</t>
  </si>
  <si>
    <t>Obras Adicionais - Sistema de Manejo de Troncos</t>
  </si>
  <si>
    <t>Projetos TI</t>
  </si>
  <si>
    <t>Projeto Engenharia</t>
  </si>
  <si>
    <t>Bombas submersiveis - sistema de esvaziamento (Portifólio)</t>
  </si>
  <si>
    <t>Modernização Sistemas Comportas</t>
  </si>
  <si>
    <t>Restruturação da Rede Operativa - Segurança Cibertnetica</t>
  </si>
  <si>
    <t xml:space="preserve">Monitoramento de gás SF6 </t>
  </si>
  <si>
    <t>Equipamentos e ferramentas de manutenção</t>
  </si>
  <si>
    <t>Modernização QAE2+R2_EC_CR</t>
  </si>
  <si>
    <t>Projeto O&amp;M Infra</t>
  </si>
  <si>
    <t>Sistema de monitoramento das UGs</t>
  </si>
  <si>
    <t>Manut. Civil e Seg. Barragem</t>
  </si>
  <si>
    <t>Maquinas e Equipamentos</t>
  </si>
  <si>
    <t>Regulador de Tensão</t>
  </si>
  <si>
    <t>Obras e Benfeitorias</t>
  </si>
  <si>
    <t>Compra  de  equipamentos</t>
  </si>
  <si>
    <t>Compra  de  equipamentos de  TI</t>
  </si>
  <si>
    <t>Softwares do Cepel para utilização nas empresas do sistema</t>
  </si>
  <si>
    <t>Aquisição e licença de softwares - CEPEL</t>
  </si>
  <si>
    <t>P&amp;D - CEPEL</t>
  </si>
  <si>
    <t>Aquisição de licenças de banco de dados para atender aos sistemas dos Centros de Operação</t>
  </si>
  <si>
    <t>Aquisição de servidores para atender aos sistemas dos Centros de Operação</t>
  </si>
  <si>
    <t>Licença do Software RTDS e contratação de Seguro</t>
  </si>
  <si>
    <t>Servidores de P para suporte à sistemas Operativos</t>
  </si>
  <si>
    <t>Aquisição de notebooks</t>
  </si>
  <si>
    <t>Modernização de notebooks de processo</t>
  </si>
  <si>
    <t>Monitor Videowall para sala CITV</t>
  </si>
  <si>
    <t>Notebooks de Processo</t>
  </si>
  <si>
    <t>Renovação dos computadores de processos das subestações de Vitória</t>
  </si>
  <si>
    <t>2 x Aquisição de software de análise de rede</t>
  </si>
  <si>
    <t>Aquisição de 2 plotters para impressão de desenhos</t>
  </si>
  <si>
    <t>Aquisição de computador / notebook de processo</t>
  </si>
  <si>
    <t>Aquisição de Equipamentos para rede de Segurança de Furnas</t>
  </si>
  <si>
    <t>Aquisição de monitores</t>
  </si>
  <si>
    <t>Aquisição de Monitores LCD/LED 55" (vídeo wall) - Uso geral DRT.O.</t>
  </si>
  <si>
    <t>Aquisição de Notebook de processo;</t>
  </si>
  <si>
    <t>Aquisição de Plotter</t>
  </si>
  <si>
    <t>Aquisição de software de análise de protocolo 61850 (p.ex. IEDScout e SVScout)</t>
  </si>
  <si>
    <t>Central de monitoramento de ativos</t>
  </si>
  <si>
    <t>Coletores de dados para gestão de manutenção</t>
  </si>
  <si>
    <t>Compra de duas Licenças de Software IED SCOUT (OMICROM)</t>
  </si>
  <si>
    <t>Compra de Licença de Software ISAGRAF</t>
  </si>
  <si>
    <t>Estações de trabalho móvel (workstation)</t>
  </si>
  <si>
    <t>Fornecimento e atualização de licença do software PIM – Plataforma Integrada de Medição pela WAY2</t>
  </si>
  <si>
    <t>Licença de software IED SCOUT (OMICROM)</t>
  </si>
  <si>
    <t>Licença do Software PSCAD</t>
  </si>
  <si>
    <t>Micros de processo que serão utilizados junto ao  Simulador de Sistemas Elétricos</t>
  </si>
  <si>
    <t>Notebook</t>
  </si>
  <si>
    <t>Notebook de processo</t>
  </si>
  <si>
    <t>Notebook de Processo DMLR.O</t>
  </si>
  <si>
    <t>Notebook de processo supervisão e controle</t>
  </si>
  <si>
    <t>Notebook para SE Itaberá</t>
  </si>
  <si>
    <t>Notebook processo</t>
  </si>
  <si>
    <t>Plotter 36" Colorida</t>
  </si>
  <si>
    <t>Plotter A0 multifuncional</t>
  </si>
  <si>
    <t>Projeto Inspeção instrumentalizada de SE e LT</t>
  </si>
  <si>
    <t>Software de testes de proteção interativo (p.ex. RelaySimTest da omicron)</t>
  </si>
  <si>
    <t>Aquisição de computador tipo Notebook industrial</t>
  </si>
  <si>
    <t>Aquisição de computadores desktop e periféricos</t>
  </si>
  <si>
    <t>Aquisição de computadores tipo desktop</t>
  </si>
  <si>
    <t>Aquisição de computadores tipo Notebook</t>
  </si>
  <si>
    <t>Aquisição de computadores tipo terminal de operação</t>
  </si>
  <si>
    <t>Aquisição de servidores para atender aos sistemas SAGE das Instalações</t>
  </si>
  <si>
    <t>Implantação de Software de Gestão de Segurança de Barragem.</t>
  </si>
  <si>
    <t>impressora Plotter A0 multifuncional</t>
  </si>
  <si>
    <t>Servidor para o Sistema de Medição de Energia para Faturamento.</t>
  </si>
  <si>
    <t>Softwares para o servidor do Sistema de Medição de Energia para Faturamento.</t>
  </si>
  <si>
    <t>Sistema de Gestão de Ativos para Certificação ISO 55001</t>
  </si>
  <si>
    <t>Revitalização de transformadores conversores do sistema HVDC</t>
  </si>
  <si>
    <t>Estrutura metálica de LTs</t>
  </si>
  <si>
    <t>Aquisição de sobressalentes  - DJs</t>
  </si>
  <si>
    <t>Aquisição de capacitores para conversoras do sistema HVDC</t>
  </si>
  <si>
    <t>L-LT ITABERA-TP 2-33TORRES 605 E 637</t>
  </si>
  <si>
    <t>Recomposição das fundações degradadas tipo grelhas das LT´s do DRV.O</t>
  </si>
  <si>
    <t>Modernização do sistema dos 06 compensadores síncronos: SE 04 Ibiúna e 02 Grajaú</t>
  </si>
  <si>
    <t>tratamento e pintura das fundações tipo grelha - linhas</t>
  </si>
  <si>
    <t>Substituição de isoladores LT´s do DRV.O</t>
  </si>
  <si>
    <t>Aquisição de reator para SE Itaberá em substituição de equipamento danificado</t>
  </si>
  <si>
    <t>Substituição de retificadores e inversores de várias instalações de Furnas</t>
  </si>
  <si>
    <t>Isolador de disco 160KN CC para LTs</t>
  </si>
  <si>
    <t>Recomposição das fundações degradadas tipo grelhas da LT IMBD1 - DRG.O</t>
  </si>
  <si>
    <t>Substituição de isoladores da LT 500 kV Taubaté-Tijuco Preto</t>
  </si>
  <si>
    <t>Instalação de fios contrapesos LT´s DRQ.O</t>
  </si>
  <si>
    <t>Recuperação de erosão LT 138kV CMSROL,  LT 345kV CMSMMH3 e LT MMHVDP</t>
  </si>
  <si>
    <t>Aquisição de sobressalentes  - Tis (TCs, TPs), várias intalações, estoque estratégico.</t>
  </si>
  <si>
    <t>Aquisição de sobressalentes estratégicos (UAR´s) para secionadores</t>
  </si>
  <si>
    <t>Manutenção de comutadores de transformadores prevista no MCPSE</t>
  </si>
  <si>
    <t>Aquisição de unidades capacitivas para os Bancos de Capacitores dos Filtros CA, estoque estratégico.</t>
  </si>
  <si>
    <t>Tratamento Anticorrosivo Torres de LT</t>
  </si>
  <si>
    <t>Substituição de conjuntos de cadeias de isoladores da LT 345 kV Poços de Caldas - Atibaia</t>
  </si>
  <si>
    <t>Serviços p/ Aplicação de proteção anticorrosiva nas grelhas das torres</t>
  </si>
  <si>
    <t>Modernização do Sistema de Acionamento e Controle das Motobombas das ECA's da SE Foz do Iguaçu</t>
  </si>
  <si>
    <t>Reforma das bombas da estação de captação de água do refúgio biológico SE Foz do Iguaçu</t>
  </si>
  <si>
    <t>Recuperação de Pé de Torre</t>
  </si>
  <si>
    <t>Pintura anticorrosiva das fundações metálicas</t>
  </si>
  <si>
    <t>Melhorias Centros de Operação_DOP.O</t>
  </si>
  <si>
    <t>Substituição de Isoladores Corroidos das LT´s da DRV.O</t>
  </si>
  <si>
    <t>Serviços de Recuperação de grelhas das fundações de torres - Linhas de Transmissão.</t>
  </si>
  <si>
    <t>Substituição de conjuntos de cadeias de isoladores</t>
  </si>
  <si>
    <t>Aquisição de unidades capacitivas para os Bancos de Capacitores</t>
  </si>
  <si>
    <t>Serviços de Fio de Cabos contrapeso</t>
  </si>
  <si>
    <t>Sistema de detecção de Descarga Atmosférica (SISDAT)</t>
  </si>
  <si>
    <t>Projeto SOMA - Monitoramento de trafos</t>
  </si>
  <si>
    <t>Recapeamento / Retrofit do asfalto da SE</t>
  </si>
  <si>
    <t>Melhoria do conjunto da ventilação forçada de reatores da interligação Norte-Sul</t>
  </si>
  <si>
    <t>Buchas Isoladoras para Transformadores , estoque estratégico.</t>
  </si>
  <si>
    <t>Substituição de isoladores da LT 345 kV Guarulhos-Nordeste</t>
  </si>
  <si>
    <t>Aquisição de sistema de iluminação - Subestações</t>
  </si>
  <si>
    <t>A instalação de fios contrapesos LT´s DRQ.O</t>
  </si>
  <si>
    <t>Substituição de UARs (cubículos, disjuntores, trafos ) de serviço auxiliar, estoque estratégico.</t>
  </si>
  <si>
    <t>Grupos gerador diesel de emergência de serviço auxiliar, estoque estratégico.</t>
  </si>
  <si>
    <t>Modernização e ampliação do Sistemas de Proteção e Combate a Incêndio da SE Itaberá</t>
  </si>
  <si>
    <t>Aquisição de itens sobressalentes de equipamentos de subestações</t>
  </si>
  <si>
    <t>Aquisição de placas de identificação de equipamentos operativos</t>
  </si>
  <si>
    <t>Substituição de PR na LT Itaberá-Tijuco Preto 3</t>
  </si>
  <si>
    <t>Modernização de rede de energia</t>
  </si>
  <si>
    <t>Aquisição de Compressores e vasos de pressão para SAUX de Subestações</t>
  </si>
  <si>
    <t>Aquisição de equipamentos retificadores 48Vcc</t>
  </si>
  <si>
    <t>Substituição da fonte de alimentação externa dos serviços auxiliares</t>
  </si>
  <si>
    <t>Aquisição de Inversor de Potência - Subestações do DRT.O.</t>
  </si>
  <si>
    <t>Substituição de conjuntos de cadeias de isoladores da LT 750 kV Itaberá-Tijuco Preto 2 (2ª FASE)</t>
  </si>
  <si>
    <t>Substituição de isoladores da LT 345 kV Mogi-Nordeste</t>
  </si>
  <si>
    <t>Substituição de conjuntos de cadeias de isoladores da LT 750 kV Itaberá-Tijuco Preto 1 (2ª FASE)</t>
  </si>
  <si>
    <t>Aquisição de itens sobressalentes de sistemas de proteção e controle de equipamentos</t>
  </si>
  <si>
    <t>cpu do serviço auxiliar</t>
  </si>
  <si>
    <t>Substituição de 22.788 Isoladores - LT Ibiúna-Tijuco Preto 1 (LT INTP 1)</t>
  </si>
  <si>
    <t>Substituição de fio contrapeso da LT 345 kV Guarulhos-Poços de Caldas 1 e 2</t>
  </si>
  <si>
    <t>Sistema de Detecção e Alarme de Incêndio</t>
  </si>
  <si>
    <t>Substituição  de Isoladores na LT IMRV1 - DRG.O</t>
  </si>
  <si>
    <t>Recomposição das fundações degradadas tipo bases especiais  das LT´s do DRV.O</t>
  </si>
  <si>
    <t>Substituição do sistema de ar-condicionado sala de controle e sala de telecom</t>
  </si>
  <si>
    <t>Substituição de conjuntos de cadeias de isoladores da LT 345 kV Ibiúna-Tijuco Preto 2 (2ª FASE)</t>
  </si>
  <si>
    <t>Aquisição de equipamento inversor CC/CA</t>
  </si>
  <si>
    <t>Serviços de troca de espaçadores - Linha de transmissão</t>
  </si>
  <si>
    <t>Implantação do Sistema de combate a Incêncio e Pânico - SE Araraquara</t>
  </si>
  <si>
    <t>fonte de alimentação dc/dc 125vcc</t>
  </si>
  <si>
    <t>amortecedores linhas de transmissão</t>
  </si>
  <si>
    <t>Implantação do Sistema de combate a Incêncio e Pânico - Subestação UHE Porto Colômbia</t>
  </si>
  <si>
    <t>Modernização de piso elevado</t>
  </si>
  <si>
    <t>Susbstituição do sistema de tubulação da rede de água da Subestação - SE Araraquara.</t>
  </si>
  <si>
    <t>Para-raios para várias instalaçãoes de transmissão, estoque estratégico.</t>
  </si>
  <si>
    <t>Alocação de hora atividade-</t>
  </si>
  <si>
    <t>Aquisição de sitema de barreira eletrônica  para Subestações no âmbito do DRT.O.</t>
  </si>
  <si>
    <t>Pintura de fundações das estruturas metálicas das torres da LT 345 kV Campinas-Guarulhos</t>
  </si>
  <si>
    <t>Substituição de seccionadora</t>
  </si>
  <si>
    <t>Modernização, Substituição e Adequação dos Sistemas de Climatização da Casa de Relés 500kV 50Hz</t>
  </si>
  <si>
    <t>Perfuração de Poço Artesiano</t>
  </si>
  <si>
    <t>banco de baterias 125 vcc</t>
  </si>
  <si>
    <t>Aquisição de rádios e equipamentos de comunicação - Uso Geral DRT.O</t>
  </si>
  <si>
    <t>Aquisição de IEDs para Substituição de IEDs Defeituosos.</t>
  </si>
  <si>
    <t>Pintura de fundações de torres LT 750 kV Itaberá-Tijuco Preto 3 (fase 1)</t>
  </si>
  <si>
    <t>Aquisição sistema eletrônico para segurança patrimonial - Subestações</t>
  </si>
  <si>
    <t>Adequações das instalações para obtenção do AVCB</t>
  </si>
  <si>
    <t>Sobressalentes IED's Ingeteam</t>
  </si>
  <si>
    <t>relé p143</t>
  </si>
  <si>
    <t>Aquisição do Sistema de CITV  - SE Marimbondo II.</t>
  </si>
  <si>
    <t>Construção de Muro - Segurança Patrimonial - SE Araraquara</t>
  </si>
  <si>
    <t>Instalação de cabo contrapeso (aterramento) da linha de 600kVCC FIGIBN 3-4 (ENERGIZADA EM 1987)</t>
  </si>
  <si>
    <t>Substituição de baterias 125 Vcc e 48 Vcc de várias instalações de Furnas</t>
  </si>
  <si>
    <t>multimedidores shark100</t>
  </si>
  <si>
    <t>Isolador de disco 120 kN e 160kN CA para LTs</t>
  </si>
  <si>
    <t>Substituição de cabo contrapeso</t>
  </si>
  <si>
    <t>Substituição de equipamentos diversos nas Subestações de responsabilidade do DRL.O</t>
  </si>
  <si>
    <t>esferas de sinalização aérea de linhas</t>
  </si>
  <si>
    <t>Recuperação do asfalto da subestação</t>
  </si>
  <si>
    <t>Recuperação da erosão na fundação da Torre 144 da LT 345kV Ibiúna-Tijuco Preto 1</t>
  </si>
  <si>
    <t>Cabo condutor/para-raio EHS</t>
  </si>
  <si>
    <t>Tratamento anticorrosivo em fund. grelha da linha de 600kVCC FIGIBN 3-4</t>
  </si>
  <si>
    <t>Recapeamento asfáltico</t>
  </si>
  <si>
    <t>Modernização da Rede de Distribuição de 15 kV
contratação Turn-key</t>
  </si>
  <si>
    <t>Recuperação da erosão na fundação da Torre 183 da LT 345 kV Campinas-Guarulhos</t>
  </si>
  <si>
    <t>aquisição de esferas de sinalização aérea nas LT Furnas-Poços de Caldas 1 e 2</t>
  </si>
  <si>
    <t>Aquisição de painel de plugues da transformação 230/138kV da SE Serra da Mesa</t>
  </si>
  <si>
    <t>Aquisição de central de ar condicionado - Subestações</t>
  </si>
  <si>
    <t>Recuperação de bases de torres de linhas de transmissão</t>
  </si>
  <si>
    <t>Modernização, Substituição do Painel KAS-1 da Estação de Tratamento de Água</t>
  </si>
  <si>
    <t>Modernização de unidades de aquisição, controle e proteção do setor 138kV</t>
  </si>
  <si>
    <t>serviço auxiliar e ac</t>
  </si>
  <si>
    <t>Pintura de fundações das estruturas metálicas das torres da LT 345 kV Campinas-Poços de Caldas</t>
  </si>
  <si>
    <t>Aquisição de RDP marca GE Grid, modelo  RPV 311 com RA333 com respectivos softwares</t>
  </si>
  <si>
    <t>Pintura de fundações de torres LT 500 kV Cachoeira Paulista-Tijuco Preto 1 (fase 2 e 3)</t>
  </si>
  <si>
    <t>Cabo contrapeso SM</t>
  </si>
  <si>
    <t>Pavimentação de arruamentos da SE Campinas</t>
  </si>
  <si>
    <t>Pavimentação de arruamentos da SE Guarulhos</t>
  </si>
  <si>
    <t>Pavimentação de arruamentos da SE Tijuco Preto</t>
  </si>
  <si>
    <t>Aquisição de equipamentos para sistema de controle de Grupo Motor-Gerador GMG</t>
  </si>
  <si>
    <t>Revitalização da Rede de distribuição para atendimento do DRV.O Vitória</t>
  </si>
  <si>
    <t>Sistema de ar condicionado central</t>
  </si>
  <si>
    <t>Aquisição de câmeras IP para CITV em Vitória para o projeto de tele assistência.</t>
  </si>
  <si>
    <t>Aquisição de Grupo gerador diesel - SE Marimbondo II</t>
  </si>
  <si>
    <t>Aquisição de equipamento  Banco de Baterias 48Vcc -VRLA</t>
  </si>
  <si>
    <t>Aquisição de termômetro digital para transformadores e reatores</t>
  </si>
  <si>
    <t>Recuperação Asfáltica da Subestação de Campos</t>
  </si>
  <si>
    <t>Implantação de sistema de câmeras para teleassistência</t>
  </si>
  <si>
    <t>Susbstituição do sistema de tubulação da rede de hidrantes da subestação da UHE Marimbondo.</t>
  </si>
  <si>
    <t>Aquisição de bancos de baterias tensão 125Vcc.</t>
  </si>
  <si>
    <t>Esferas de Sinalização</t>
  </si>
  <si>
    <t>Serviços de implementação de CFTV - STBDT</t>
  </si>
  <si>
    <t>Serviços de implementação de CFTV - STRVD</t>
  </si>
  <si>
    <t>Isolador disco 120 kN Antipoluição Recoberto</t>
  </si>
  <si>
    <t>Aquisição de Pararraios</t>
  </si>
  <si>
    <t>Substituição de cadeias de isoladores na LTIATP2 e LTIAIV2</t>
  </si>
  <si>
    <t>Substituição do Fio Contrapeso das Torres das Linhas de Transmissão</t>
  </si>
  <si>
    <t>Recuperação Asfáltica da SE Vitória</t>
  </si>
  <si>
    <t>Recomposição das fundações degradadas tipo grelhas da LT RVDRIC - DRG.O</t>
  </si>
  <si>
    <t>Recomposição das fundações degradadas tipo grelhas da LT PQERIC - DRG.O</t>
  </si>
  <si>
    <t>Aquisição de Sistema de Registro de Perturbações - SE Bandeirantes</t>
  </si>
  <si>
    <t>Recomposição das fundações degradadas tipo grelhas da LT RVCC1 - DRG.O</t>
  </si>
  <si>
    <t>Aquisição de servidores SAGE - SE Araraquara, SE Água Vermelha e SE Marimbondo II.</t>
  </si>
  <si>
    <t>Aquisição de sobressalentes para os bancos de capacitores série da fabricante ABB</t>
  </si>
  <si>
    <t>Instalação de cabo contrapeso (aterramento) da linha de 750kV FIGIVP 2 (ENERGIZADA EM 1986)</t>
  </si>
  <si>
    <t>Recuperação da pavimentação asfáltica das vias internas da Subestação da UHE Marimbondo.</t>
  </si>
  <si>
    <t>SPCIP - manut. sistema de hidrantes da área energizada e área predial</t>
  </si>
  <si>
    <t>Modernização, Subst. Adeq. Painel KAL-1 e do sis.detec.incêndio do BIP 2 e demais instalações</t>
  </si>
  <si>
    <t>Modernização, Subst.Adequação sist.detecção de incêndio dos polos 3/4 e sist.de gas halon dos BIP 2</t>
  </si>
  <si>
    <t>Modernização, Substituição e Adequação dos Sistemas de Climatização dos Edifícios Auxiliares 3 e 4</t>
  </si>
  <si>
    <t>bancos de baterias ventiladas 750ah e 450ah</t>
  </si>
  <si>
    <t>Modernização de motoventiladores nas Torres de Resfriamento do BIPOLO 01</t>
  </si>
  <si>
    <t>Recuperação de estradas de acesso - Avá-Canoeiros</t>
  </si>
  <si>
    <t>grupo gerador diesel</t>
  </si>
  <si>
    <t>Recuperação da pavimentação asfáltica das vias internas da Subestação da UHE Porto Colômbia.</t>
  </si>
  <si>
    <t>Implantação de Sistema de Barreira Infravermelho Ativo (IVA)</t>
  </si>
  <si>
    <t>Recuperação Asfaltica da Subestação de Rocha Leão</t>
  </si>
  <si>
    <t>Modernização, Subst.Adeq.dos Sist. Climatização na Casa do Controle SE Foz</t>
  </si>
  <si>
    <t>Recuperação de torre da LT 230kV Serra da Mesa-Niquelândia</t>
  </si>
  <si>
    <t>Substituir 02 Torres, Solo com degradação na LT RVDROD - DRG.O</t>
  </si>
  <si>
    <t>Substituir 02 Torres, Solo com degradação na LT PQERIC - DRG.O</t>
  </si>
  <si>
    <t>Modernização do sistema de SPCIE</t>
  </si>
  <si>
    <t>Modernização, Substituição e Adequação dos Sistemas de Climatização na Sala de Controle do Bipólo 2</t>
  </si>
  <si>
    <t>Aquisição de sistemas retificadores 125Vcc</t>
  </si>
  <si>
    <t>Pintura de fundações das estruturas metálicas das torres da LT 750 kV Itaberá-Tijuco Preto 1 e 2</t>
  </si>
  <si>
    <t>Modernização e substuição de equipamentos do sistema de hidrantes - SE Foz do Iguaçu - PR</t>
  </si>
  <si>
    <t>Conjunto Banco de Baterias 48Vcc em final de vida útil.</t>
  </si>
  <si>
    <t>Aquisição de disjuntores dos serviços auxiliares</t>
  </si>
  <si>
    <t>sistema citv - se itabirito</t>
  </si>
  <si>
    <t>2 compressores de 10 bar Schulz ref. MSWV 60 FORT</t>
  </si>
  <si>
    <t>bancos de baterias ventiladas 150ah</t>
  </si>
  <si>
    <t>Moto-bomba para água de resfriamento / motor ASEA mod. M 225S-4 / bomba Vadstena Pumpar mod. VM-206</t>
  </si>
  <si>
    <t>cartões clp serviço auxiliar</t>
  </si>
  <si>
    <t>Pintura de fundações de torres LT 500 kV Cachoeira Paulista- Campinas (fase 4)</t>
  </si>
  <si>
    <t>módulos proteção diferencial de barras</t>
  </si>
  <si>
    <t>gerenciador / distribuidor de dados - terminal server modelo TS1000</t>
  </si>
  <si>
    <t>sistema de proteção para LT arpc, gapc1 e gapc2 - comunicação com sage - port server modelo ts mei</t>
  </si>
  <si>
    <t>Aquisição de sistema de segurança perimetral</t>
  </si>
  <si>
    <t>Modernização do serviço auxiliar da SE 345 KV</t>
  </si>
  <si>
    <t>Aquisição de sitema de barreira eletrônica - SE Araraquara</t>
  </si>
  <si>
    <t>Implantação da segunda fonte de alimentação CA para os Serviços Auxiliares da SE Osório 2: Aquisição de um novo transformador de serviço auxiliar 13,8 kV / 480 V. Instalação de chave fusível e lançamento de cabos desde este ponto até a casa de comando da CGT Eletroul. Substituição dos painéis de serviços auxiliares de 480 Vca.</t>
  </si>
  <si>
    <t>Implantação da segunda fonte de alimentação CA para os Serviços Auxiliares da SE Santa Cruz 1 (associada ao módulo da LT 230 kV Santa Cruz 1 - P. Médici C-1): Instalação de dois quadros QDA no secundários dos transformadores existentes de serviço auxiliar TSA8 e TSA9. Aquisição e instalação de Grupo Motor Gerador. Substituição completa dos painéis de serviço auxiliar 220/127 Vca.</t>
  </si>
  <si>
    <t>Substituição do relé de proteção Primária da LT 138 kV Pinhalzinho 2 - Xanxerê C-1 (futura LT Pinhalzinho 2 – Pinhalzinho Aurora), na SE Pinhalzinho 2, para permitir a instalação da função diferencial de linha (87L). A obra inclui alterações internas no painel atual, configuração e testes funcionais, lógicos e de desempenho das funções de proteção.</t>
  </si>
  <si>
    <t>Substituição de bateria - 125 Vcc - SACC125-BAT1 na SE Anastácio.</t>
  </si>
  <si>
    <t xml:space="preserve">Substituição de bateria - 125 Vcc - SACC125-BAT2 na SE Anastácio. </t>
  </si>
  <si>
    <t xml:space="preserve">Substituição de bateria - 125 Vcc - SACC125-BAT1 na SE Blumenau. </t>
  </si>
  <si>
    <t xml:space="preserve">Substituição de bateria - 125 Vcc - SACC125-BAT2 na SE Blumenau. </t>
  </si>
  <si>
    <t xml:space="preserve">Substituição de bateria - 125 Vcc - SACC125-BAT1 na SE Camaquã 3. </t>
  </si>
  <si>
    <t xml:space="preserve">Substituição de bateria - 125 Vcc - SACC125-BAT2 na SE Camaquã 3. </t>
  </si>
  <si>
    <t xml:space="preserve">Substituição de bateria - 125 Vcc - SACC125-BAT1 na SE Canoinhas. </t>
  </si>
  <si>
    <t>Substituição de bateria - 125 Vcc - SACC125-BAT2 na SE Canoinhas.</t>
  </si>
  <si>
    <t xml:space="preserve">Substituição de bateria - 125 Vcc - SACC125-BAT21 na SE Caxias (lado de 230 kV). </t>
  </si>
  <si>
    <t xml:space="preserve">Substituição de bateria - 125 Vcc - SACC125-BAT22 na SE Caxias (lado de 230 kV). </t>
  </si>
  <si>
    <t xml:space="preserve">Substituição de bateria - 125 Vcc - SACC125-BAT1 na SE Gravataí 3. </t>
  </si>
  <si>
    <t xml:space="preserve">Substituição de bateria - 125 Vcc - SACC125-BAT2 na SE Gravataí 3. </t>
  </si>
  <si>
    <t xml:space="preserve">Substituição de bateria - 125 Vcc - SACC125-BAT1 na SE Guarita. </t>
  </si>
  <si>
    <t xml:space="preserve">Substituição de bateria - 125 Vcc - SACC125-BAT2 na SE Guarita. </t>
  </si>
  <si>
    <t xml:space="preserve">Substituição de bateria - 125 Vcc - SACC125-BAT1 na SE Ijui 2. </t>
  </si>
  <si>
    <t xml:space="preserve">Substituição de bateria - 125 Vcc - SACC125-BAT2 na SE Ijui 2. </t>
  </si>
  <si>
    <t xml:space="preserve">Substituição de bateria - 125 Vcc - SACC125-BAT1 na SE Itajaí. </t>
  </si>
  <si>
    <t xml:space="preserve">Substituição de bateria - 125 Vcc - SACC125-BAT2 na SE Itajaí. </t>
  </si>
  <si>
    <t xml:space="preserve">Substituição de bateria - 125 Vcc - SACC125-BAT1 na SE Nova Santa Rita. </t>
  </si>
  <si>
    <t xml:space="preserve">Substituição de bateria - 125 Vcc - SACC125-BAT2 na SE Nova Santa Rita. </t>
  </si>
  <si>
    <t xml:space="preserve">Substituição de bateria - 125 Vcc - SACC125-BAT2 na SE Quinta. </t>
  </si>
  <si>
    <t xml:space="preserve">Substituição de bateria - 125 Vcc - SACC125-BAT1 na SE Tapera 2. </t>
  </si>
  <si>
    <t xml:space="preserve">Substituição de bateria - 125 Vcc - SACC125-BAT2 na SE Tapera 2. </t>
  </si>
  <si>
    <t xml:space="preserve">Substituição de bateria - 48 Vcc - SACC48-BAT1 na SE Canoinhas.  </t>
  </si>
  <si>
    <t xml:space="preserve">Substituição de bateria - 48 Vcc - SACC48-BAT2 na SE Canoinhas.  </t>
  </si>
  <si>
    <t xml:space="preserve">Substituição de bateria - 48 Vcc - SACC48-BAT1 na SE Caxias 5.  </t>
  </si>
  <si>
    <t xml:space="preserve">Substituição de bateria - 48 Vcc - SACC48-BAT2 na SE Caxias 5.  </t>
  </si>
  <si>
    <t xml:space="preserve">Substituição de bateria - 48 Vcc - SACC48-BAT1 na SE Caxias.  </t>
  </si>
  <si>
    <t xml:space="preserve">Substituição de bateria - 48 Vcc - SACC48-BAT2 na SE Caxias.  </t>
  </si>
  <si>
    <t xml:space="preserve">Substituição de bateria - 48 Vcc - SACC48-BAT1 na SE Curitiba.  </t>
  </si>
  <si>
    <t xml:space="preserve">Substituição de bateria - 48 Vcc - SACC48-BAT2 na SE Curitiba.  </t>
  </si>
  <si>
    <t xml:space="preserve">Substituição de bateria - 48 Vcc - SACC48-BAT1 na SE Campos Novos (lado de 525 kV).  </t>
  </si>
  <si>
    <t xml:space="preserve">Substituição de bateria - 48 Vcc - SACC48-BAT2 na SE Campos Novos (lado de 525 kV).  </t>
  </si>
  <si>
    <t xml:space="preserve">Substituição de bateria - 48 Vcc - SACC48-BAT1 na SE Guarita.  </t>
  </si>
  <si>
    <t xml:space="preserve">Substituição de bateria - 48 Vcc - SACC48-BAT2 na SE Guarita.  </t>
  </si>
  <si>
    <t xml:space="preserve">Substituição de bateria - 48 Vcc - SACC48-BAT1 na SE Nova Santa Rita.  </t>
  </si>
  <si>
    <t xml:space="preserve">Substituição de bateria - 48 Vcc - SACC48-BAT2 na SE Nova Santa Rita.  </t>
  </si>
  <si>
    <t xml:space="preserve">Substituição de bateria - 48 Vcc - SACC48-BAT1 na SE Osório 2.  </t>
  </si>
  <si>
    <t xml:space="preserve">Substituição de bateria - 48 Vcc - SACC48-BAT2 na SE Osório 2.  </t>
  </si>
  <si>
    <t xml:space="preserve">Substituição de bateria - 48 Vcc - SACC48-BAT1 na SE Pinhalzinho 2.  </t>
  </si>
  <si>
    <t xml:space="preserve">Substituição de bateria - 48 Vcc - SACC48-BAT2 na SE Pinhalzinho 2.  </t>
  </si>
  <si>
    <t xml:space="preserve">Substituição de bateria - 48 Vcc - SACC48-BAT1 na SE Xanxerê.  </t>
  </si>
  <si>
    <t xml:space="preserve">Substituição de bateria - 48 Vcc - SACC48-BAT2 na SE Xanxerê.  </t>
  </si>
  <si>
    <t>Substituição de bateria - 125 Vcc - SACC125-BAT11 (Sala de Relés de 138 kV) na SE Lajeado Grande.</t>
  </si>
  <si>
    <t>Substituição de bateria - 125 Vcc - SACC125-BAT12 (Sala de Relés de 138 kV) na SE Lajeado Grande.</t>
  </si>
  <si>
    <t>Substituição de Transformadores de Corrente 230 kV referentes a LT Campo Mourão - Apucarana C-1, DJ742, Fases A, B, C. Associado à obra, são esperadas substituições/adaptações de fundações e suportes, caixa de junção, cabos de controle/potência, barramento, conectores e conexão de aterramento. Funções do TC: proteção e medição.</t>
  </si>
  <si>
    <t>Substituição de Transformadores de Corrente 230 kV referentes ao Interligador de Barras da SE Campo Mourão, DJ772, Fases A, B, C. Associado à obra, são esperadas substituições/adaptações de fundações e suportes, caixa de junção, cabos de controle/potência, barramento, conectores e conexão de aterramento. Funções do TC: proteção e medição.</t>
  </si>
  <si>
    <t>Substituição de Transformadores de Corrente 230 kV referentes a LT Campo Mourão - Maringá C-1, DJ762, Fases A, B, C. Associado à obra, são esperadas substituições/adaptações de fundações e suportes, caixa de junção, cabos de controle/potência, barramento, conectores e conexão de aterramento. Funções do TC: proteção e medição.</t>
  </si>
  <si>
    <t>Substituição de Transformadores de Corrente 230 kV referentes a LT Campo Mourão - Salto Osório C-1, DJ732, Fases A, B, C. Associado à obra, são esperadas substituições/adaptações de fundações e suportes, caixa de junção, cabos de controle/potência, barramento, conectores e conexão de aterramento. Funções do TC: proteção e medição.</t>
  </si>
  <si>
    <t>Substituição de Transformadores de Corrente 230 kV referentes a LT Campo Mourão - Salto Osório C-2, DJ752, Fases A, B, C. Associado à obra, são esperadas substituições/adaptações de fundações e suportes, caixa de junção, cabos de controle/potência, barramento, conectores e conexão de aterramento. Funções do TC: proteção e medição.</t>
  </si>
  <si>
    <t>Substituição de Transformadores de Corrente 230 kV referentes a LT Salto Osório - Areia C-1, DJ852, Fases A, B, C. Associado à obra, são esperadas substituições/adaptações de fundações e suportes, caixa de junção, cabos de controle/potência, barramento, conectores e conexão de aterramento. Funções do TC: proteção e medição.</t>
  </si>
  <si>
    <t>Substituição de Transformadores de Corrente 230 kV referentes a LT Salto Osório - Areia C-2, DJ862, Fases A, B, C. Associado à obra, são esperadas substituições/adaptações de fundações e suportes, caixa de junção, cabos de controle/potência, barramento, conectores e conexão de aterramento. Funções do TC: proteção e medição.</t>
  </si>
  <si>
    <t>Substituição de Transformadores de Corrente 230 kV referentes a LT Salto Osório - Cascavel C-1, DJ812, Fases A, B, C. Associado à obra, são esperadas substituições/adaptações de fundações e suportes, caixa de junção, cabos de controle/potência, barramento, conectores e conexão de aterramento. Funções do TC: proteção e medição.</t>
  </si>
  <si>
    <t>Substituição de Transformadores de Corrente 230 kV referentes a LT Salto Osório - Campo Mourão C-1, DJ782, Fases A, B, C. Associado à obra, são esperadas substituições/adaptações de fundações e suportes, caixa de junção, cabos de controle/potência, barramento, conectores e conexão de aterramento. Funções do TC: proteção e medição.</t>
  </si>
  <si>
    <t>Substituição de Transformadores de Corrente 230 kV referentes a LT Salto Osório - Campo Mourão C-2, DJ792, Fases A, B, C. Associado à obra, são esperadas substituições/adaptações de fundações e suportes, caixa de junção, cabos de controle/potência, barramento, conectores e conexão de aterramento. Funções do TC: proteção e medição.</t>
  </si>
  <si>
    <t>Substituição de Transformadores de Corrente 230 kV referentes a LT Salto Osório - Foz do Chopim C-1, DJ822, Fases A, B, C. Associado à obra, são esperadas substituições/adaptações de fundações e suportes, caixa de junção, cabos de controle/potência, barramento, conectores e conexão de aterramento. Funções do TC: proteção e medição.</t>
  </si>
  <si>
    <t>Substituição de Transformadores de Corrente 230 kV referentes a LT Salto Osório - UH. Salto Osório C-1, DJ722, Fases A, B, C. Associado à obra, são esperadas substituições/adaptações de fundações e suportes, caixa de junção, cabos de controle/potência, barramento, conectores e conexão de aterramento. Funções do TC: proteção e medição.</t>
  </si>
  <si>
    <t>Substituição de Transformadores de Corrente 230 kV referentes a LT Salto Osório - UH. Salto Osório C-2, DJ732, Fases A, B, C. Associado à obra, são esperadas substituições/adaptações de fundações e suportes, caixa de junção, cabos de controle/potência, barramento, conectores e conexão de aterramento. Funções do TC: proteção e medição.</t>
  </si>
  <si>
    <t>Substituição de Transformadores de Corrente 230 kV referentes a LT Salto Osório - UH. Salto Osório C-3, DJ742, Fases A, B, C. Associado à obra, são esperadas substituições/adaptações de fundações e suportes, caixa de junção, cabos de controle/potência, barramento, conectores e conexão de aterramento. Funções do TC: proteção e medição.</t>
  </si>
  <si>
    <t>Substituição de Transformadores de Corrente 230 kV referentes a LT Salto Osório - UH. Salto Osório C-4, DJ752, Fases A, B, C. Associado à obra, são esperadas substituições/adaptações de fundações e suportes, caixa de junção, cabos de controle/potência, barramento, conectores e conexão de aterramento. Funções do TC: proteção e medição.</t>
  </si>
  <si>
    <t>Substituição de Transformadores de Corrente 230 kV referentes a LT Xanxerê - Passo Fundo C-1, DJ772, Fases A, B, C. Associado à obra, são esperadas substituições/adaptações de fundações e suportes, caixa de junção, cabos de controle/potência, barramento, conectores e conexão de aterramento. Funções do TC: proteção e medição.</t>
  </si>
  <si>
    <t>Substituição de Transformadores de Corrente 230 kV referentes ao TR1 230/138 kV da SE Xanxerê, DJ752, Fases A, B, C. Associado à obra, são esperadas substituições/adaptações de fundações e suportes, caixa de junção, cabos de controle/potência, barramento, conectores e conexão de aterramento. Funções do TC: proteção e medição.</t>
  </si>
  <si>
    <t xml:space="preserve">Substituição dos Painéis de Distribuição 125 VCC (QD1, QD2, QD3) e cabos associados, referentes aos Serviços Auxiliares da SE Campo Mourão. </t>
  </si>
  <si>
    <t>Substituição dos Painéis de Distribuição 48 VCC (QD1/48) e cabos associados, referentes aos Serviços Auxiliares da SE Campo Mourão.</t>
  </si>
  <si>
    <t xml:space="preserve">Substituição dos Painéis de Distribuição 460 VCA (QD1/2, QD1/460, QD2/460) e cabos associados, referentes aos Serviços Auxiliares da SE Campo Mourão. </t>
  </si>
  <si>
    <t>Substituição dos Painéis de Distribuição 220 VCA (QD1/220) e cabos associados, referentes aos Serviços Auxiliares da SE Campo Mourão.</t>
  </si>
  <si>
    <t>Substituição de Grupo Motor-Gerador, 460 Vca, painel de conexão (PCMG) e cabos associados, referentes aos Serviços Auxiliares da SE Campo Mourão.</t>
  </si>
  <si>
    <t>Substituição de para-raios 230 kV referente a LT P. Médici - Santa Cruz 1 C-1, Fases A, B e C. Associado a obra são esperadas substituições/adaptações de fundações, suportes, cabos de controle e potência, barramento, conectores e conexão do aterramento.</t>
  </si>
  <si>
    <t>Substituição de para-raios 230 kV referente ao TF 1 230/138 kV da SE Palhoça, Fases A, B e C. Associado a obra são esperadas substituições/adaptações de fundações, suportes, cabos de controle e potência, barramento, conectores e conexão do aterramento.</t>
  </si>
  <si>
    <t>Substituição de para-raios 230 kV referente ao TF 2 230/138 kV da SE Palhoça, Fases A, B e C. Associado a obra são esperadas substituições/adaptações de fundações, suportes, cabos de controle e potência, barramento, conectores e conexão do aterramento.</t>
  </si>
  <si>
    <t>Substituição de para-raios 230 kV referente a LT  Santa Cruz 1 - P. Médici C-1, Fases A, B e C. Associado a obra são esperadas substituições/adaptações de fundações, suportes, cabos de controle e potência, barramento, conectores e conexão do aterramento.</t>
  </si>
  <si>
    <t>Substituição de para-raios 69 kV referente a LT Tapera 2 - Ibiruba 2 C-1, Fases A, B e C. Associado a obra são esperadas substituições/adaptações de fundações, suportes, cabos de controle e potência, barramento, conectores e conexão do aterramento.</t>
  </si>
  <si>
    <t>Substituição de para-raios 69 kV referente a LT Tapera 2 - Não Me Toque C-1, Fases A, B e C. Associado a obra são esperadas substituições/adaptações de fundações, suportes, cabos de controle e potência, barramento, conectores e conexão do aterramento.</t>
  </si>
  <si>
    <t>Substituição de para-raios 69 kV referente a LT Tapera 2 - Soledade C-1, Fases A, B e C. Associado a obra são esperadas substituições/adaptações de fundações, suportes, cabos de controle e potência, barramento, conectores e conexão do aterramento.</t>
  </si>
  <si>
    <t>Substituição de para-raios 69 kV referente a LT Tapera 2 - Tapera 1 C-1, Fases A, B e C. Associado a obra são esperadas substituições/adaptações de fundações, suportes, cabos de controle e potência, barramento, conectores e conexão do aterramento.</t>
  </si>
  <si>
    <t>Substituição de para-raios 69 kV referente ao TF 2 230/69 kV da SE Tapera 2, Fases A, B e C. Associado a obra são esperadas substituições/adaptações de fundações, suportes, cabos de controle e potência, barramento, conectores e conexão do aterramento.</t>
  </si>
  <si>
    <t xml:space="preserve">Substituição de Retificador (Carregador de Baterias) 125 Vcc - SACC125-RET1, da SE Nova Santa Rita.  </t>
  </si>
  <si>
    <t xml:space="preserve">Substituição de Retificador (Carregador de Baterias) 125 Vcc - SACC125-RET2, da SE Nova Santa Rita.  </t>
  </si>
  <si>
    <t xml:space="preserve">Substituição de Retificador (Carregador de Baterias) 48 Vcc - SACC48-RET1, da SE Dourados.  </t>
  </si>
  <si>
    <t xml:space="preserve">Substituição de Retificador (Carregador de Baterias) 48 Vcc - SACC48-RET2, da SE Dourados.  </t>
  </si>
  <si>
    <t xml:space="preserve">Substituição de Retificador (Carregador de Baterias) 48 Vcc - SACC48-RET1, da SE Abdon Batista (associado a LT 525 kV Abdon Batista - Biguaçu C-1).  </t>
  </si>
  <si>
    <t xml:space="preserve">Substituição de Retificador (Carregador de Baterias) 48 Vcc - SACC48-RET2, da SE Abdon Batista (associado a LT 525 kV Abdon Batista - Biguaçu C-1).  </t>
  </si>
  <si>
    <t xml:space="preserve">Substituição de Retificador (Carregador de Baterias) 48 Vcc - SACC48-2CB3/RET3, da SE Gaspar 2.  </t>
  </si>
  <si>
    <t xml:space="preserve">Substituição de Retificador (Carregador de Baterias) 48 Vcc - SACC48-2CB4/RET4, da SE Gaspar 2.  </t>
  </si>
  <si>
    <t xml:space="preserve">Substituição de Retificador (Carregador de Baterias) 48 Vcc - SACC48-RET1, da SE Xanxerê.  </t>
  </si>
  <si>
    <t xml:space="preserve">Substituição de Retificador (Carregador de Baterias) 48 Vcc - SACC48-RET2, da SE Xanxerê.  </t>
  </si>
  <si>
    <t>Substituição de Transformador de Aterramento instalado no barramento de 13,8 kV (TSA2), referente aos Serviços Auxiliares da SE Salto Osório, e cabos associados.</t>
  </si>
  <si>
    <t xml:space="preserve"> Substituição de fundações em grelha metálica de duas torres da LT 525 kV Gravataí - Nova Santa Rita C-1. As torres envolvidas são as de número de operação: 019 e 020.</t>
  </si>
  <si>
    <t xml:space="preserve"> Substituição de cabos contrapesos (aterramento) de duas torres da LT 525 kV Gravataí - Nova Santa Rita C-1. As torres envolvidas são as de número de operação: 019 e 020.</t>
  </si>
  <si>
    <t xml:space="preserve"> Substituição de catorze torres metálicas completas da LT 230 kV J.Lacerda B - Siderópolis C-1. As torres envolvidas são as de número de operação: 019, 020, 029, 030, 031, 032, 037, 039, 042, 044, 045, 050, 059 e 075.</t>
  </si>
  <si>
    <t xml:space="preserve"> Substituição de fundações em grelha metálica de vinte e cinco torres da LT 230 kV J.Lacerda B - Siderópolis C-1. As torres envolvidas são as de número de operação: 016, 017, 021, 023, 027, 033, 034, 035, 036, 040, 041, 043, 048, 055, 056, 057, 061, 062, 072, 080, 085, 088, 091, 094 e 096 .</t>
  </si>
  <si>
    <t xml:space="preserve"> Substituição de cabos contrapesos (aterramento) de trinta e nove torres da LT 230 kV J.Lacerda B - Siderópolis C-1. As torres envolvidas são as de número de operação: 016, 017, 019, 020, 021, 023, 027, 029, 030, 031, 032, 033, 034, 035, 036, 037, 039, 040, 041, 042, 043, 044, 045, 048, 050, 055, 056, 057, 059, 061, 062, 072, 075, 080, 085, 088, 091, 094 e 096.</t>
  </si>
  <si>
    <t xml:space="preserve"> Substituição de duas torres metálicas completas da LT 230 kV Forquilhinha - Siderópolis C-1. As torres envolvidas são as de número de operação: 007 e 008.</t>
  </si>
  <si>
    <t xml:space="preserve"> Substituição de fundações em grelha metálica de quatro torres da LT 230 kV Forquilhinha - Siderópolis C-1. As torres envolvidas são as de número de operação: 010, 016, 019 e 021.</t>
  </si>
  <si>
    <t xml:space="preserve"> Substituição de cabos contrapesos (aterramento) de seis torres da LT 230 kV Forquilhinha - Siderópolis C-1. As torres envolvidas são as de número de operação: 007, 008, 010, 016, 019 e 021.</t>
  </si>
  <si>
    <t xml:space="preserve"> Substituição de fundações em grelha metálica de treze torres da LT 525 kV Itá - Nova Santa Rita C-1. As torres envolvidas são as de número de operação: 231, 608, 609, 615, 616, 617, 623, 637, 652, 657, 659, 666 e 667.</t>
  </si>
  <si>
    <t xml:space="preserve"> Substituição de cabos contrapesos (aterramento) de treze torres da LT 525 kV Itá - Nova Santa Rita C-1. As torres envolvidas são as de número de operação: 231, 608, 609, 615, 616, 617, 623, 637, 652, 657, 659, 666 e 667.</t>
  </si>
  <si>
    <t xml:space="preserve"> Substituição de fundações em grelha metálica de cinco torres da LT 525 kV Caxias - Gravataí C-1. As torres envolvidas são as de número de operação: 110, 119, 121, 127 e 153.</t>
  </si>
  <si>
    <t xml:space="preserve"> Substituição de cabos contrapesos (aterramento) de cinco torres da LT 525 kV Caxias - Gravataí C-1. As torres envolvidas são as de número de operação: 110, 119, 121, 127 e 153.</t>
  </si>
  <si>
    <t xml:space="preserve"> Substituição de fundações em grelha metálica de vinte e uma torres da LT 230 kV Blumenau - Joinville Norte C-1. As torres envolvidas são as de número de operação: 033, 042, 054, 055, 064, 068, 070, 072, 075, 088, 091, 092, 093, 095, 096, 109, 111, 117, 128, 129, 136.</t>
  </si>
  <si>
    <t xml:space="preserve"> Substituição de cabos contrapesos (aterramento) de vinte e uma torres da LT 230 kV Blumenau - Joinville Norte C-1. As torres envolvidas são as de número de operação: 033, 042, 054, 055, 064, 068, 070, 072, 075, 088, 091, 092, 093, 095, 096, 109, 111, 117, 128, 129, 136.</t>
  </si>
  <si>
    <t xml:space="preserve"> Substituição de fundações em grelha metálica de uma torre da LT 230 kV Curitiba - Joinville Norte C-1. A torre envolvida é a de número de operação: 025.</t>
  </si>
  <si>
    <t xml:space="preserve"> Substituição de cabos contrapesos (aterramento) de uma torre da LT 230 kV Curitiba - Joinville Norte C-1. A torre envolvida é a de número de operação: 025.</t>
  </si>
  <si>
    <t xml:space="preserve"> Substituição de fundações em grelha metálica de cinco torres da LT 230 kV Curitiba - Joinville C-1. As torres envolvidas são as de número de operação: 008, 013, 024, 031 e 034.</t>
  </si>
  <si>
    <t xml:space="preserve"> Substituição de cabos contrapesos (aterramento) de cinco torres da LT 230 kV Curitiba - Joinville C-1. As torres envolvidas são as de número de operação: 008, 013, 024, 031 e 034.</t>
  </si>
  <si>
    <t xml:space="preserve"> Substituição de fundações em grelha metálica de quatro torres da LT 230 kV J.Lacerda B - Siderópolis C-2. As torres envolvidas são as de número de operação: 038, 041, 043 e 051.</t>
  </si>
  <si>
    <t xml:space="preserve"> Substituição de cabos contrapesos (aterramento) de quatro torres da LT 230 kV J.Lacerda B - Siderópolis C-2. As torres envolvidas são as de número de operação: 038, 041, 043 e 051.</t>
  </si>
  <si>
    <t xml:space="preserve"> Substituição de partes aéreas de quatro torres da LT 230 kV Biguaçu - J.Lacerda-B C-1. As torres envolvidas são as de número de operação: 002, 004, 007 e 008.</t>
  </si>
  <si>
    <t xml:space="preserve"> Substituição de cabos contrapesos (aterramento) de quatro torres da LT 230 kV Biguaçu - J.Lacerda-B C-1. As torres envolvidas são as de número de operação: 002, 004, 007 e 008.</t>
  </si>
  <si>
    <t xml:space="preserve"> Substituição de partes aéreas de três torres da LT 230 kV J.Lacerda-B - Palhoça C-1. As torres envolvidas são as de número de operação: 003, 004 e 006.</t>
  </si>
  <si>
    <t xml:space="preserve"> Substituição de cabos contrapesos (aterramento) de três torres da LT 230 kV J.Lacerda-B - Palhoça C-1. As torres envolvidas são as de número de operação: 003, 004 e 006.</t>
  </si>
  <si>
    <t>Substituição da Unidade Central do sistema de registro de perturbações (RDP), FCORDP_230_2, para monitoração de variáveis associadas a SE Foz do Chapecó. Atualmente esta unidade monitora os seguintes bays: Gerador 1, Gerador 2, Gerador 3,Gerador 4, LT Xanxerê C-1, Xanxerê C-2, Guarita C-1 e IB 230 kV.</t>
  </si>
  <si>
    <t>Substituição do sistema de registro de perturbações (RDP - unidade de bay), para monitoração das variáveis associadas a LT 230 kV Foz do Chapecó - Xanxerê C-1.</t>
  </si>
  <si>
    <t>Substituição do sistema de registro de perturbações (RDP - unidade de bay), para monitoração das variáveis associadas a LT 230 kV Foz do Chapecó - Xanxerê C-2.</t>
  </si>
  <si>
    <t>Substituição do sistema de registro de perturbações (RDP - unidade de bay), para monitoração das variáveis associadas a LT 230 kV Foz do Chapecó - Guarita C-1.</t>
  </si>
  <si>
    <t>Substituição do sistema de registro de perturbações (RDP - unidade de bay), para monitoração das variáveis associadas ao Interligador de Barras (IB) 230 kV, DJ782, da SE Foz do Chapecó.</t>
  </si>
  <si>
    <t>Substituição das Unidades Centrais do sistema de registro de perturbações (RDP), CGRRDP_138_1, CGRRDP_138_2 e CGRRDP_138_3, para monitoração de variáveis associadas a SE Campo Grande. Atualmente estas unidades monitoram todos os bays da subestação.</t>
  </si>
  <si>
    <t>Substituição do sistema de registro de perturbações (RDP - unidade de bay), para monitoração das variáveis associadas aos barramentos de 138 kV da SE Campo Grande.</t>
  </si>
  <si>
    <t>Substituição do sistema de registro de perturbações (RDP - unidade de bay), para monitoração das variáveis associadas a LT 138 kV Campo Grande - U.Mimoso C-1.</t>
  </si>
  <si>
    <t>Substituição do sistema de registro de perturbações (RDP - unidade de bay), para monitoração das variáveis associadas a LT 138 kV Campo Grande - U.Mimoso C-2.</t>
  </si>
  <si>
    <t>Substituição do sistema de registro de perturbações (RDP - unidade de bay), para monitoração das variáveis associadas a LT 138 kV Campo Grande - U.Mimoso C-3.</t>
  </si>
  <si>
    <t>Substituição do sistema de registro de perturbações (RDP - unidade de bay), para monitoração das variáveis associadas a LT 138 kV Campo Grande - U.Mimoso C-4.</t>
  </si>
  <si>
    <t>Substituição do sistema de registro de perturbações (RDP - unidade de bay), para monitoração das variáveis associadas a LT 138 kV Campo Grande - A.Guariroba C-1.</t>
  </si>
  <si>
    <t>Substituição do sistema de registro de perturbações (RDP - unidade de bay), para monitoração das variáveis associadas a LT 138 kV Campo Grande - Campo Grande Cuiabá C-2.</t>
  </si>
  <si>
    <t>Substituição do sistema de registro de perturbações (RDP - unidade de bay), para monitoração das variáveis associadas a LT 138 kV Campo Grande - Campo Grande Miguel Couto C-1.</t>
  </si>
  <si>
    <t>Substituição do sistema de registro de perturbações (RDP - unidade de bay), para monitoração das variáveis associadas a LT 138 kV Campo Grande - Campo Grande Miguel Couto C-2.</t>
  </si>
  <si>
    <t>Substituição do sistema de registro de perturbações (RDP - unidade de bay), para monitoração das variáveis associadas a LT 138 kV Campo Grande - Sidrolândia C-1.</t>
  </si>
  <si>
    <t>Substituição do sistema de registro de perturbações (RDP - unidade de bay), para monitoração das variáveis associadas ao Banco de Capacitores BC1 da SE Campo Grande.</t>
  </si>
  <si>
    <t>Substituição do sistema de registro de perturbações (RDP - unidade de bay), para monitoração das variáveis associadas ao Interligador de Barras (IB) 138 kV, DJ532, da SE Campo Grande.</t>
  </si>
  <si>
    <t>Substituição da Unidade Central do sistema de registro de perturbações (RDP), PMERDP_230_1, para monitoração de variáveis associadas a SE P.Médici. Atualmente esta unidade monitora os seguintes bays: LT Santa Cruz 1 C-1 e RTL - 10 Mvar.</t>
  </si>
  <si>
    <t>Substituição do sistema de registro de perturbações (RDP - unidade de bay), para monitoração das variáveis associadas a LT 230 kV Presidente Médici - Santa Cruz 1 C-1.</t>
  </si>
  <si>
    <t>Substituição do sistema de registro de perturbações (RDP - unidade de bay), para monitoração das variáveis associadas ao Reator de Linha (RTL - 10Mvar) da LT 230 kV Presidente Médici - Santa Cruz 1 C-1, na SE Presidente Médici.</t>
  </si>
  <si>
    <t>Substituição da Unidade Central do sistema de registro de perturbações (RDP), SCRRDP_230_1, para monitoração de variáveis associadas a SE Santa Cruz 1. Atualmente esta unidade monitora os seguintes bays: LT P.Médici C-1 e RTL - 5 Mvar.</t>
  </si>
  <si>
    <t>Substituição do sistema de registro de perturbações (RDP - unidade de bay), para monitoração das variáveis associadas a LT 230 kV Santa Cruz 1 - Presidente Médici C-1.</t>
  </si>
  <si>
    <t>Substituição do sistema de registro de perturbações (RDP - unidade de bay), para monitoração das variáveis associadas ao Reator de Linha (RTL - 5 Mvar) da LT 230 kV Santa Cruz 1 - Presidente Médici C-1, na SE Santa Cruz 1.</t>
  </si>
  <si>
    <t>Substituição da Unidade Central do sistema de registro de perturbações (RDP), FHARDP_230_1, para monitoração de variáveis associadas a SE Forquilhinha. Atualmente esta unidade monitora os seguintes bays: LT Lajeado Grande C-1 e Siderópolis C-1.</t>
  </si>
  <si>
    <t>Substituição do sistema de registro de perturbações (RDP - unidade de bay), para monitoração das variáveis associadas a LT 230 kV Forquilhinha - Lajeado Grande C-1.</t>
  </si>
  <si>
    <t>Substituição do sistema de registro de perturbações (RDP - unidade de bay), para monitoração das variáveis associadas a LT 230 kV Forquilhinha - Siderópolis C-1.</t>
  </si>
  <si>
    <t>Substituição da cadeia de proteção de barras, referente às barras P e PT de 230 kV da SE Salto Osório, incluindo uma Unidade Central e dezessete unidades de Bay (vãos LT F.Chopim C-1, F.Chopim C-2, Areia C-1, Areia C-2, Xanxerê C-1, P.Branco C-1, Cascavel C-1, C.Mourão C-1, C.Mourão C-2, UHSO C-1, UHSO C-2, UHSO C-3, UHSO C-4, UHSO C-5, UHSO C-6, TF 7 230/69 kV e Interligador de Barras - IB), painéis e cabos de controle e potência associados.</t>
  </si>
  <si>
    <t>Substituição das proteções Principal, Alternada e Falha de Disjuntor, referentes a LT 230 kV Salto Osório - Pato Branco C-1, incluindo painéis e cabos de controle e potência associados.</t>
  </si>
  <si>
    <t>Substituição das proteções Principal, Alternada e Falha de Disjuntor, referentes a LT 230 kV Salto Osório - Cascavel C-1, incluindo painéis e cabos de controle e potência associados.</t>
  </si>
  <si>
    <t>Substituição das proteções Principal, Alternada e Falha de Disjuntor, referentes a LT 69 kV Salto Osório - Salto Santiago C-1, incluindo painéis e cabos de controle e potência associados.</t>
  </si>
  <si>
    <t>Substituição de Chave Seccionadora tripolar 525 kV, CS1045, referente ao Interligador de Barras (IB) entre a LT Garabi 1 C-1 e o TF 3. Associado à obra são esperadas substituições/adaptações de fundações, suportes, cabos de controle/potência, barramento, conectores e conexão de aterramento.</t>
  </si>
  <si>
    <t>Substituição de Chave Seccionadora tripolar 525 kV, CS1025, referente ao Interligador de Barras (IB) entre a LT Itá C-1 e o TF 2. Associado à obra são esperadas substituições/adaptações de fundações, suportes, cabos de controle/potência, barramento, conectores e conexão de aterramento.</t>
  </si>
  <si>
    <t>Substituição de Chave Seccionadora tripolar 525 kV, CS1031, referente ao TF 2 525/230 kV da SE Santo Ângelo. Associado à obra são esperadas substituições/adaptações de fundações, suportes, cabos de controle/potência, barramento, conectores e conexão de aterramento.</t>
  </si>
  <si>
    <t>Substituição do sistema de registro de perturbações, para monitoração das variáveis associadas a LT 525 kV Nova Santa Rita - Guaíba 3 C-1.</t>
  </si>
  <si>
    <t>Substituição do sistema de registro de perturbações, para monitoração das variáveis associadas a LT 525 kV Nova Santa Rita - Itá C-2.</t>
  </si>
  <si>
    <t>Substituição do sistema de registro de perturbações, para monitoração das variáveis associadas ao Interligador de Barras 525 kV (IB), DJ1010, da SE Nova Santa Rita.</t>
  </si>
  <si>
    <t>Substituição do sistema de registro de perturbações, para monitoração das variáveis associadas ao Interligador de Barras 525 kV (IB), DJ1030, da SE Nova Santa Rita.</t>
  </si>
  <si>
    <t>Substituição do sistema de registro de perturbações, para monitoração das variáveis associadas ao Reator 3 (RT3) da SE Nova Santa Rita.</t>
  </si>
  <si>
    <t>Substituição do sistema de registro de perturbações, para monitoração das variáveis associadas ao TF1 525/230 kV, lados de 525 kV e 230 kV, da SE Nova Santa Rita.</t>
  </si>
  <si>
    <t>Substituição do sistema de registro de perturbações, para monitoração das variáveis associadas ao TF2 525/230 kV, lados de 525 kV e 230 kV, da SE Nova Santa Rita.</t>
  </si>
  <si>
    <t>Substituição do sistema de registro de perturbações, para monitoração das variáveis associadas a LT 230 kV Nova Santa Rita - Camaquã 3 C-1.</t>
  </si>
  <si>
    <t>Substituição do sistema de registro de perturbações, para monitoração das variáveis associadas ao Interligador de Barras 230 kV (IB), DJ812, da SE Nova Santa Rita.</t>
  </si>
  <si>
    <t xml:space="preserve"> Substituição de 132 Cadeias de Isoladores na LT 230 kV Curitiba - São Mateus do Sul C-1, referentes ao trecho da linha entre a Torre 492 e a Torre 533. </t>
  </si>
  <si>
    <t xml:space="preserve"> Substituição de fundações em grelha metálica de cinco torres da LT 525 kV Areia - Curitiba C-1. As torres envolvidas são as de número de operação: 200, 279, 280, 288 e 384.</t>
  </si>
  <si>
    <t xml:space="preserve"> Substituição de cabos contrapesos (aterramento) de cinco torres da LT 525 kV Areia - Curitiba C-1. As torres envolvidas são as de número de operação: 200, 279, 280, 288 e 384.</t>
  </si>
  <si>
    <t xml:space="preserve"> Substituição de fundação em grelha metálica de uma torre da LT 525 kV Areia - Bateias C-1. A torre envolvida é a de número de operação: 200.</t>
  </si>
  <si>
    <t xml:space="preserve"> Substituição de cabos contrapesos (aterramento) de uma torre da LT 525 kV Areia - Bateias C-1. A torre envolvida é a de número de operação: 200.</t>
  </si>
  <si>
    <t xml:space="preserve"> Substituição de três torres metálicas completas da LT 230 kV Curitiba - Joinville C-1. As torres envolvidas são as de número de operação: 64, 94 e 117.</t>
  </si>
  <si>
    <t xml:space="preserve"> Substituição de três torres metálicas completas da LT 230 kV J.Lacerda B - Siderópolis C-1. As torres envolvidas são as de número de operação: 27, 28 e 43.</t>
  </si>
  <si>
    <t xml:space="preserve"> Substituição de cabos contrapesos (aterramento) de três torres da LT 230 kV Curitiba - Joinville C-1. As torres envolvidas são as de número de operação: 64, 94 e 117.</t>
  </si>
  <si>
    <t xml:space="preserve"> Substituição de cabos contrapesos (aterramento) de três torres da LT 230 kV J.Lacerda B - Siderópolis C-1. As torres envolvidas são as de número de operação: 27, 28 e 43.</t>
  </si>
  <si>
    <t xml:space="preserve"> Substituição de 9 Cadeias de Isoladores na LT 230 kV Curitiba - Joinville C-1, referentes às Torres 64, 94 e 117.</t>
  </si>
  <si>
    <t xml:space="preserve"> Substituição de 9 Cadeias de Isoladores na LT 230 kV J.Lacerda B - Siderópolis C-1, referentes às Torres 27, 28 e 43.</t>
  </si>
  <si>
    <t xml:space="preserve"> Substituição de partes aéreas de uma torre da LT 525 kV Areia - Campos Novos C-1. A torre envolvida é a de número de operação: 239.</t>
  </si>
  <si>
    <t xml:space="preserve"> Substituição de uma torre metálica completa da LT 230 kV Blumenau - Joinville Norte C-1. A torre envolvida é a de número de operação: 153.</t>
  </si>
  <si>
    <t>Instalação de cabos OPGW na LT 525 kV Itá - Machadinho C-1, em substituição a 01 (um) dos cabos para-raios atualmente empregado, em toda a sua extensão (80 km).</t>
  </si>
  <si>
    <t>Instalação de cabos OPGW na LT 525 kV Campos Novos - Machadinho C-1, em substituição a 01 (um) dos cabos para-raios atualmente empregado, em toda a sua extensão (51 km).</t>
  </si>
  <si>
    <t>Substituição do Anel Coletor do Compensador Síncrono 01 (CO1) da SE Marmeleiro 2.</t>
  </si>
  <si>
    <t>Substituição dos painéis do sistema de resfriamento dos Compensadores Síncronos 01 e 02 (CO1 e CO2) da SE Marmeleiro 2.</t>
  </si>
  <si>
    <t>Substituição de Chave Seccionadora tripolar 230 kV, CS715, referente a LT Siderópolis - J.Lacerda-B C-1. Associado à obra são esperadas substituições/adaptações de fundações, suportes, cabos de controle/potência, barramento, conectores e conexão de aterramento.</t>
  </si>
  <si>
    <t>Substituição de Chave Seccionadora tripolar 230 kV, CS811, referente ao TR3 230/69 kV  da SE Siderópolis. Associado à obra são esperadas substituições/adaptações de fundações, suportes, cabos de controle/potência, barramento, conectores e conexão de aterramento.</t>
  </si>
  <si>
    <t>Substituição de Chave Seccionadora tripolar 230 kV, CS813, referente ao TR3 230/69 kV  da SE Siderópolis. Associado à obra são esperadas substituições/adaptações de fundações, suportes, cabos de controle/potência, barramento, conectores e conexão de aterramento.</t>
  </si>
  <si>
    <t>Substituição de monitor on-line de umidade do óleo do comutador em carga e respectivos sensores, sensores de gradiente da temperatura ambiente, sensor de gases dissolvidos no óleo mineral isolante, e conversores de comunicação com as respectivas fontes de alimentação, referentes ao Sistema de Monitoramento do TF1 230/138 kV da SE Xanxerê.</t>
  </si>
  <si>
    <t>Substituição de monitor on-line de umidade do óleo do comutador em carga e respectivos sensores, sensores de gradiente da temperatura ambiente, sensor de gases dissolvidos no óleo mineral isolante, e conversores de comunicação com as respectivas fontes de alimentação, referentes ao Sistema de Monitoramento do TF2 230/138 kV da SE Xanxerê.</t>
  </si>
  <si>
    <t>Substituição de sensores de gradiente da temperatura ambiente, sensor de gases dissolvidos no óleo mineral isolante, e conversores de comunicação com as respectivas fontes de alimentação, referentes ao Sistema de Monitoramento do banco de autotransformadores TF3 525/230 kV, fase A, da SE Santo Ângelo.</t>
  </si>
  <si>
    <t>Substituição de sensores de gradiente da temperatura ambiente, sensor de gases dissolvidos no óleo mineral isolante, e conversores de comunicação com as respectivas fontes de alimentação, referentes ao Sistema de Monitoramento do banco de autotransformadores TF3 525/230 kV, fase B, da SE Santo Ângelo.</t>
  </si>
  <si>
    <t>Substituição de sensores de gradiente da temperatura ambiente, sensor de gases dissolvidos no óleo mineral isolante, e conversores de comunicação com as respectivas fontes de alimentação, referentes ao Sistema de Monitoramento do banco de autotransformadores TF3 525/230 kV, fase C, da SE Santo Ângelo.</t>
  </si>
  <si>
    <t>Substituição de monitor on-line de umidade do óleo do comutador em carga e respectivos sensores, sensores de gradiente da temperatura ambiente, sensor de gases dissolvidos no óleo mineral isolante, e conversores de comunicação com as respectivas fontes de alimentação, referentes ao Sistema de Monitoramento do TF5 230/138 kV da SE Biguaçu.</t>
  </si>
  <si>
    <t>Substituição de monitor on-line de umidade do óleo do comutador em carga e respectivos sensores, sensores de gradiente da temperatura ambiente, sensor de gases dissolvidos no óleo mineral isolante, e conversores de comunicação com as respectivas fontes de alimentação, referentes ao Sistema de Monitoramento do TF6 230/138 kV da SE Biguaçu.</t>
  </si>
  <si>
    <t>Instalação de novo setor 13,8 kV para alimentação dos serviços auxiliares da SE Biguaçu, em substituição aos cubículos e disjuntores atualmente existentes. O novo setor será composto pelos equipamentos: para-raios, chaves fusíveis, seccionadores, isoladores, TPs e cabos associados.</t>
  </si>
  <si>
    <t>Instalação de novo setor 13,8 kV para alimentação dos serviços auxiliares da SE Desterro, em substituição aos cubículos e disjuntores atualmente existentes. O novo setor será composto pelos equipamentos: para-raios, chaves fusíveis, seccionadores, isoladores, TPs e cabos associados.</t>
  </si>
  <si>
    <t>Substituição dos cubículos e disjuntores 13,8 kV, referentes aos Serviços Auxiliares da SE Marmeleiro 2, e dos cabos associados.</t>
  </si>
  <si>
    <t>Instalação de novo setor 13,8 kV para alimentação dos serviços auxiliares da SE Santa Vitória do Palmar 2, em substituição aos cubículos e disjuntores atualmente existentes. O novo setor será composto pelos equipamentos: para-raios, chaves fusíveis, seccionadores, isoladores, TPs e cabos associados.</t>
  </si>
  <si>
    <t>Substituição dos cubículos e disjuntores 13,8 kV, referentes aos Serviços Auxiliares da SE Santo Ângelo, e dos cabos associados.</t>
  </si>
  <si>
    <t>Substituição de Disjuntor tripolar 230 kV, DJ902, referente ao Interligador de Barras (IB) da SE Atlântida 2. Associado à obra, são esperadas substituições/adaptações de fundações e suportes, cabos de controle e potência, barramento, conectores e conexão de aterramento.</t>
  </si>
  <si>
    <t>Substituição de Disjuntor tripolar 138 kV, DJ592, referente ao Interligador de Barras (IB) da SE Biguaçu. Associado à obra, são esperadas substituições/adaptações de fundações e suportes, cabos de controle e potência, barramento, conectores e conexão de aterramento.</t>
  </si>
  <si>
    <t>Substituição de Grupo Motor-Gerador, 480 Vca, e cabos associados, referente aos Serviços Auxiliares da SE Campo Grande.</t>
  </si>
  <si>
    <t>Substituição dos Painéis de Distribuição 125 VCC (QDCC1, QDCCE1) e cabos associados, referentes aos Serviços Auxiliares da SE Campo Grande.</t>
  </si>
  <si>
    <t>Substituição dos Painéis de Distribuição 48 VCC (ST01, ST02) e cabos associados, referentes aos Serviços Auxiliares da SE Campo Grande.</t>
  </si>
  <si>
    <t>Substituição dos Painéis de Distribuição 220 VCA (PDE1, PDN1) e cabos associados, referentes aos Serviços Auxiliares da SE Campo Grande.</t>
  </si>
  <si>
    <t>Substituição dos Painéis de Distribuição 480 VCA (QD1/ESSE, QD1/NOR1, QD1/NOR2) e cabos associados, referentes aos Serviços Auxiliares da SE Campo Grande.</t>
  </si>
  <si>
    <t>Substituição de Chaves Seccionadoras tripolares 13,8 kV, CS111 e CS121, referentes aos Serviços Auxiliares da SE Campo Grande. Associado à obra são esperadas substituições/adaptações de fundações, suportes, cabos de controle/potência, barramento, conectores e conexão de aterramento.</t>
  </si>
  <si>
    <t>Substituição de doze Para-Raios 13,8 kV referentes aos Serviços Auxiliares da SE Campo Grande (PR1 - A,B,C, PR2 - A,B,C, PR3 - A,B,C, PR4 - A,B,C). Associado a obra são esperadas substituições/adaptações de fundações, suportes, cabos de controle e potência, barramento, conectores e conexão do aterramento.</t>
  </si>
  <si>
    <t>Substituição de Transformadores Auxiliares 480V - 220/127V (TRSA-2, TRSA-3, TRSA-4, TRSA-5, TRSA-6), referentes aos Serviços Auxiliares da SE Campo Grande.</t>
  </si>
  <si>
    <t>Substituição de Retificador (Carregador de Baterias) 48 Vcc - SACC48-RET1, da SE Campo Grande.</t>
  </si>
  <si>
    <t>Substituição de Retificador (Carregador de Baterias) 48 Vcc - SACC48-RET2, da SE Campo Grande.</t>
  </si>
  <si>
    <t>Substituição de bateria - 125 Vcc - SACC125-BAT1 na SE Caxias 6.</t>
  </si>
  <si>
    <t>Substituição de bateria - 48 Vcc - SACC48-BAT1 na SE Caxias 6.</t>
  </si>
  <si>
    <t>Substituição de bateria - 125 Vcc - SACC125-BAT51 (Setor de 525 kV) na SE Curitiba.</t>
  </si>
  <si>
    <t>Substituição de bateria - 48 Vcc - SACC48-BAT1 na SE Itajaí.</t>
  </si>
  <si>
    <t>Substituição de bateria - 125 Vcc - SACC125-BAT1 na SE J.Lacerda-B.</t>
  </si>
  <si>
    <t>Substituição de bateria - 48 Vcc - SACC48-BAT1 na SE J.Lacerda-B.</t>
  </si>
  <si>
    <t>Substituição de bateria - 125 Vcc - SBA01- FBA01 (S.A. dos Compesandores Síncronos) na SE Marmeleiro 2.</t>
  </si>
  <si>
    <t>Substituição de bateria - 125 Vcc - SACC125-BAT1 na SE Marmeleiro 2.</t>
  </si>
  <si>
    <t>Substituição de bateria - 48 Vcc - SACC48-BAT1 na SE Marmeleiro 2.</t>
  </si>
  <si>
    <t>Substituição de bateria - 125 Vcc - SACC125-BAT1 na SE Nova Petrópolis 2.</t>
  </si>
  <si>
    <t>Substituição de bateria - 48 Vcc - SACC48-BAT1 na SE Nova Petrópolis 2.</t>
  </si>
  <si>
    <t>Substituição de bateria - 125 Vcc - SACC125-BAT1 na SE Pinhalzinho 2.</t>
  </si>
  <si>
    <t>Substituição de bateria - 125 Vcc - SACC125-BAT1 na SE Povo Novo.</t>
  </si>
  <si>
    <t>Substituição de bateria - 48 Vcc - SACC48-BAT1 na SE Povo Novo.</t>
  </si>
  <si>
    <t>Substituição de bateria - 48 Vcc - SACC48-BAT1 na SE Salto Osório.</t>
  </si>
  <si>
    <t>Substituição de bateria - 125 Vcc - SACC125-BAT1 na SE Santa Maria 3.</t>
  </si>
  <si>
    <t>Substituição de bateria - 125 Vcc - SACC125-BAT1 na SE Santa Vitória do Palmar 2.</t>
  </si>
  <si>
    <t>Substituição de bateria - 48 Vcc - SACC48-BAT1 na SE Santa Vitória do Palmar 2.</t>
  </si>
  <si>
    <t>Substituição de bateria - 48 Vcc - SACC48-BAT1 na SE Tapera 2.</t>
  </si>
  <si>
    <t>Substituição de bateria - 125 Vcc - SACC125-BAT1 na SE Itá.</t>
  </si>
  <si>
    <t>Substituição de bateria - 48 Vcc - SACC48-BAT1 na SE Itá.</t>
  </si>
  <si>
    <t>Substituição das fontes de alimentação dos serviços auxiliares da SE P.Médici, associados a LT 230 kV P.Médici - Santa Cruz 1 C-1. O novo sistema considera o compartilhamento das fontes com a CPFL (obras em implantação), sendo que a solução contempla: inclusão de dois quadros de derivação nos secundários dos transformadores de serviços auxiliares da CPFL (QDA1 e QDA2), substituição do painel 380 VCA (2PD01)  e lançamento de cabos associados.</t>
  </si>
  <si>
    <t>Substituição dos cubículos e disjuntores 13,8 kV, referentes aos Serviços Auxiliares da SE Caxias, e dos cabos associados.</t>
  </si>
  <si>
    <t>Substituição de bateria - 125 Vcc - SACC125-BAT1 na SE Abdon Batista (associada ao módulo da LT 525 kV Abdon Batista - Biguaçu C-1). Capacidade do novo equipamento: 200 Ah.</t>
  </si>
  <si>
    <t>Substituição de bateria - 125 Vcc - SACC125-BAT2 na SE Abdon Batista (associada ao módulo da LT 525 kV Abdon Batista - Biguaçu C-1). Capacidade do novo equipamento: 200 Ah.</t>
  </si>
  <si>
    <t>Substituição de bateria - 48 Vcc - SACC48-BAT1 na SE Abdon Batista (associada ao módulo da LT 525 kV Abdon Batista - Biguaçu C-1). Capacidade do novo equipamento: 150 Ah</t>
  </si>
  <si>
    <t>Substituição de bateria - 48 Vcc - SACC48-BAT2 na SE Abdon Batista (associada ao módulo da LT 525 kV Abdon Batista - Biguaçu C-1). Capacidade do novo equipamento: 150 Ah.</t>
  </si>
  <si>
    <t>Substituição das chaves flexitestes (blocos de teste)do circuito 230 kV Osório 2.</t>
  </si>
  <si>
    <t>Substituição das chaves flexitestes (blocos de teste)do circuito 230 kV Gravataí 3.</t>
  </si>
  <si>
    <t>Substituição das chaves flexitestes (blocos de teste)do TR1 230/69 kV.</t>
  </si>
  <si>
    <t>Substituição das chaves flexitestes (blocos de teste)do TR2 230/69 kV.</t>
  </si>
  <si>
    <t>Substituição das chaves flexitestes (blocos de teste)do TR3 230/69 kV.</t>
  </si>
  <si>
    <t>Substituição das chaves flexitestes (blocos de teste)do TIE e BARRAS 230 kV.</t>
  </si>
  <si>
    <t>Instalação de novo setor 13,8 kV para alimentação dos serviços auxiliares da SE Atlântida 2, em substituição aos cubículos e disjuntores atualmente existentes. O novo setor será composto pelos equipamentos: para-raios, chaves fusíveis, seccionadores, isoladores, TPs e cabos associados.</t>
  </si>
  <si>
    <t>Substituição do sistema de registro de perturbações (RDP) para monitoração das variáveis associadas aos módulos de 525 kV e 230 kV do TR 525/230 kV BIGUACU TR1.</t>
  </si>
  <si>
    <t>Substituição do sistema de registro de perturbações (RDP) para monitoração das variáveis associadas à LT 525 kV BIGUACU / BLUMENAU C-1.</t>
  </si>
  <si>
    <t>Substituição do sistema de registro de perturbações (RDP) para monitoração das variáveis associadas à LT 525 kV BIGUACU / ABDON BATISTA C-1.</t>
  </si>
  <si>
    <t>Substituição do sistema de registro de perturbações (RDP) para monitoração das variáveis associadas ao RT 525 kV 150 Mvar BIGUACU RT1.</t>
  </si>
  <si>
    <t>Substituição do sistema de registro de perturbações (RDP) para monitoração das variáveis associadas ao RT 525 kV 150 Mvar BIGUACU RT2.</t>
  </si>
  <si>
    <t>Substituição do sistema de registro de perturbações (RDP) para monitoração das variáveis associadas aos módulos de 525 kV e 230 kV do TR 525/230 kV BIGUACU TR2.</t>
  </si>
  <si>
    <t>Substituição de todas as flexitestes (blocos de testes) de fabricação ELSTER, instaladas nos painéis de proteção, controle e supervisão da Eletrosul (Barras, Oscilógrafo e TIE 138 kV).</t>
  </si>
  <si>
    <t>Substituição de todas as flexitestes (blocos de testes) de fabricação ELSTER, instaladas nos painéis de proteção, controle e supervisão da Eletrosul (Barras e Oscilógrafo 230 kV).</t>
  </si>
  <si>
    <t>Substituição de todas as flexitestes (blocos de testes) de fabricação ELSTER, instaladas nos painéis de proteção, controle e supervisão associadas à LT 138 kV BIGUACU / B.Q.BOCAIUVA C-1.</t>
  </si>
  <si>
    <t>Substituição de todas as flexitestes (blocos de testes) de fabricação ELSTER, instaladas nos painéis de proteção, controle e supervisão associadas à LT 138 kV BIGUACU / ITAJAI FAZENDA C-1.</t>
  </si>
  <si>
    <t>Substituição de todas as flexitestes (blocos de testes) de fabricação ELSTER, instaladas nos painéis de proteção, controle e supervisão associadas à LT 138 kV BIGUACU / FLORIANOPOLIS C-1.</t>
  </si>
  <si>
    <t>Substituição de todas as flexitestes (blocos de testes) de fabricação ELSTER, instaladas nos painéis de proteção, controle e supervisão associadas à LT 138 kV BIGUACU / FLORIANOPOLIS C-2.</t>
  </si>
  <si>
    <t>Substituição de todas as flexitestes (blocos de testes) de fabricação ELSTER, instaladas nos painéis de proteção, controle e supervisão da Eletrosul (Barras e Oscilógrafo 525 kV).</t>
  </si>
  <si>
    <t>Substituição de todas as flexitestes (blocos de testes) de fabricação ELSTER, instaladas nos painéis de proteção, controle e supervisão associadas ao TR 525/230 kV BIGUACU TR2.</t>
  </si>
  <si>
    <t>Substituição do sistema de ar condicionado da Sala de Controle/Réles da SE Biguaçu.</t>
  </si>
  <si>
    <t>Substituição de todos os blocos de testes de fabricação ELSTER, instalados nos painéis de proteção, controle e supervisão da Eletrosul.</t>
  </si>
  <si>
    <t>Substituição de todos os blocos de testes de fabricação ELSTER, instalados nos painéis de proteção, controle e supervisão da Eletrosul. Disjuntor central Reator 1 e Transformador 1.</t>
  </si>
  <si>
    <t>Substituição de todos os blocos de testes de fabricação ELSTER, instalados nos painéis de proteção, controle e supervisão da Eletrosul (TIE 230).</t>
  </si>
  <si>
    <t>Substituição dos painéis da proteção Principal, Alternada, Falha de Disjuntor (com instalação de unidades redundantes), e dos cabos de controle e potência associados (3.870 m), referente a LT 230 kV Biguaçu - J.Lacerda B C-1.</t>
  </si>
  <si>
    <t>Substituição de todas as flexitestes (blocos de testes) de fabricação ELSTER, instaladas nos painéis de proteção, controle e supervisão associadas à LT 230 kV BLUMENAU / JOINV.NORTE C-1.</t>
  </si>
  <si>
    <t>Substituição das chaves flexitestes (blocos de teste) associadas à LT 500 kV BIGUACU /BLUMENAU C-1.</t>
  </si>
  <si>
    <t>Substituição de todas as flexitestes (blocos de testes) de fabricação ELSTER, instaladas nos painéis de proteção, controle e supervisão da Eletrosul (Barras 230 kV).</t>
  </si>
  <si>
    <t>Substituição de dois bancos de baterias 48 Vcc (Sistema de Alimentação CC) na Repetidora Canoinhas (Repetidora associada à SE Canoinhas). Capacidade de cada novo equipamento: 150 Ah.</t>
  </si>
  <si>
    <t>Instalação de dois Retificadores 48 Vcc (Carregadores de Baterias), com Quadro de Distribuição CC e Unidade Supervisora CC, em substituição ao retificador duplo existente, na Repetidora Canoinhas (Repetidora associada à SE Canoinhas). Capacidade de cada novo retificador: 50 A.</t>
  </si>
  <si>
    <t>Instalação de Grupo Motor-Gerador 380 Vca com Quadro de Distribuição CA (QDCA) e Unidade Supervisora CA (USCA), em substituição ao Grupo Motor-Gerador e equipamentos associados existentes, na Repetidora Canoinhas. Capacidade do novo equipamento: 15 kVA.</t>
  </si>
  <si>
    <t>Substituição do sistema de ar condicionado da Sala de Controle/Réles da SE Canoinhas.</t>
  </si>
  <si>
    <t>Instalação de cerca operacional na SE Canoinhas, com extensão aproximada de 450 metros.</t>
  </si>
  <si>
    <t>Instalação de Sistema de Proteção contra Descargas Atmosféricas (SPDA) em Edificações, na SE Canoinhas.</t>
  </si>
  <si>
    <t>Substituição de todas as flexitestes (blocos de testes) de fabricação ABB, instaladas nos painéis de proteção, controle e supervisão associadas ao TR 525/230 kV CAXIAS TR2.</t>
  </si>
  <si>
    <t>Substituição de todas as flexitestes (blocos de testes) de fabricação ABB, instaladas nos painéis de proteção, controle e supervisão associadas ao TR 525/230 kV CAXIAS TR1.</t>
  </si>
  <si>
    <t>Substituição de todas as flexitestes (blocos de testes) de fabricação ABB, instaladas nos painéis de proteção, controle e supervisão associadas ao RTB 525 kV 150 Mvar CAXIAS RT1.</t>
  </si>
  <si>
    <t>Substituição de todas as flexitestes (blocos de testes) de fabricação ABB, instaladas nos painéis de proteção, controle e supervisão associadas à Barras de 525 kV da SE CAXIAS.</t>
  </si>
  <si>
    <t>Substituição de todas as flexitestes (blocos de testes) de fabricação ABB, instaladas nos painéis de proteção, controle e supervisão associadas à LT 525 kV CAXIAS /GRAVATAI C-1.</t>
  </si>
  <si>
    <t>Substituição de todas as flexitestes (blocos de testes) de fabricação ABB, instaladas nos painéis de proteção, controle e supervisão associadas à LT 525 kV C.NOVOS /CAXIAS C-1.</t>
  </si>
  <si>
    <t>Substituição de bateria - 125 Vcc - SACC125-BAT51 na SE Caxias (lado de 525 kV). Capacidade do novo equipamento: 500 Ah.</t>
  </si>
  <si>
    <t>Substituição de bateria - 125 Vcc - SACC125-BAT52 na SE Caxias (lado de 525 kV). Capacidade do novo equipamento: 500 Ah.</t>
  </si>
  <si>
    <t>Substituição das chaves flexitestes (blocos de teste)do circuito 230 kV Farroupilha.</t>
  </si>
  <si>
    <t>Substituição das chaves flexitestes (blocos de teste)do circuito 230 kV Lajeado Grande.</t>
  </si>
  <si>
    <t>Substituição das chaves flexitestes (blocos de teste)do circuito 230 kV Caxias.</t>
  </si>
  <si>
    <t>Substituição das chaves flexitestes (blocos de teste)do TR1 230/13,8 kV.</t>
  </si>
  <si>
    <t>Substituição das chaves flexitestes (blocos de teste)do TR2 230/13,8 kV.</t>
  </si>
  <si>
    <t xml:space="preserve">Substituição das chaves flexitestes (blocos de teste) das barras de 230 kV. </t>
  </si>
  <si>
    <t>Substituição de para-raios 138 kV referente a LT Campo Grande - U. Mimoso C-1, Fases A, B e C. Associado a obra são esperadas substituições/adaptações de fundações, suportes, cabos de controle e potência, barramento, conectores e conexão do aterramento.</t>
  </si>
  <si>
    <t>Substituição do transformador de Serviço Auxiliar, 13,8 kV / 480 V, TSA1, da SE Campo Grande. Associado a obra são esperadas adaptações/substituições da base existente, da caixa separadora de óleo, e cabos associados. Capacidade do novo equipamento: &gt;= 500 kVA.</t>
  </si>
  <si>
    <t>Substituição do transformador de Serviço Auxiliar, 13,8 kV / 480 V, TSA2, da SE Campo Grande. Associado a obra são esperadas adaptações/substituições da base existente, da caixa separadora de óleo, e cabos associados. Capacidade do novo equipamento: &gt;= 500 kVA.</t>
  </si>
  <si>
    <t>Substituição de Disjuntor tripolar 138 kV, DJ512, referente a LT Campo Grande - U.Mimoso C-1. Associado à obra, são esperadas substituições ou adaptações de fundações e suportes existentes, cabos de controle e potência, barramento, conectores e conexão do aterramento do equipamento.</t>
  </si>
  <si>
    <t>Substituição de Disjuntor tripolar 138 kV, DJ522, referente a LT Campo Grande - U.Mimoso C-2. Associado à obra, são esperadas substituições ou adaptações de fundações e suportes existentes, cabos de controle e potência, barramento, conectores e conexão do aterramento do equipamento.</t>
  </si>
  <si>
    <t>Substituição de Disjuntor tripolar 138 kV, DJ532, referente ao Interligador de Barras da SE Campo Grande. Associado à obra, são esperadas substituições ou adaptações de fundações e suportes existentes, cabos de controle e potência, barramento, conectores e conexão do aterramento do equipamento.</t>
  </si>
  <si>
    <t>Substituição de Disjuntor tripolar 138 kV, DJ542, referente a LT Campo Grande - Campo Grande Cuiabá C-2. Associado à obra, são esperadas substituições ou adaptações de fundações e suportes existentes, cabos de controle e potência, barramento, conectores e conexão do aterramento do equipamento.</t>
  </si>
  <si>
    <t>Substituição de Disjuntor tripolar 138 kV, DJ572, referente a LT Campo Grande - Campo Grande M.Couto C-1. Associado à obra, são esperadas substituições ou adaptações de fundações e suportes existentes, cabos de controle e potência, barramento, conectores e conexão do aterramento do equipamento.</t>
  </si>
  <si>
    <t>Substituição de Disjuntor tripolar 138 kV, DJ582, referente a LT Campo Grande - Campo Grande M.Couto C-2. Associado à obra, são esperadas substituições ou adaptações de fundações e suportes existentes, cabos de controle e potência, barramento, conectores e conexão do aterramento do equipamento.</t>
  </si>
  <si>
    <t>Substituição de Disjuntor tripolar 138 kV, DJ612, referente a LT Campo Grande - U.Mimoso C-4. Associado à obra, são esperadas substituições ou adaptações de fundações e suportes existentes, cabos de controle e potência, barramento, conectores e conexão do aterramento do equipamento.</t>
  </si>
  <si>
    <t>Substituição de Disjuntor tripolar 138 kV, DJ632, referente a LT Campo Grande - Sidrolândia C-1. Associado à obra, são esperadas substituições ou adaptações de fundações e suportes existentes, cabos de controle e potência, barramento, conectores e conexão do aterramento do equipamento.</t>
  </si>
  <si>
    <t>Substituição de Disjuntor tripolar 138 kV, DJ642, referente a LT Campo Grande - A.Guariroba C-1. Associado à obra, são esperadas substituições ou adaptações de fundações e suportes existentes, cabos de controle e potência, barramento, conectores e conexão do aterramento do equipamento.</t>
  </si>
  <si>
    <t>Substituição de Chave Seccionadora tripolar 138 kV, CS517, referente a LT Campo Grande - U.Mimoso C-1. Associado à obra são esperadas substituições/adaptações de fundações, suportes, cabos de controle/potência, barramento, conectores e conexão de aterramento.</t>
  </si>
  <si>
    <t>Substituição de Chave Seccionadora tripolar 138 kV, CS519, referente a LT Campo Grande - U.Mimoso C-1. Associado à obra são esperadas substituições/adaptações de fundações, suportes, cabos de controle/potência, barramento, conectores e conexão de aterramento.</t>
  </si>
  <si>
    <t>Substituição de Chave Seccionadora tripolar 138 kV, CS527, referente a LT Campo Grande - U.Mimoso C-2. Associado à obra são esperadas substituições/adaptações de fundações, suportes, cabos de controle/potência, barramento, conectores e conexão de aterramento.</t>
  </si>
  <si>
    <t>Substituição de Chave Seccionadora tripolar 138 kV, CS529, referente a LT Campo Grande - U.Mimoso C-2. Associado à obra são esperadas substituições/adaptações de fundações, suportes, cabos de controle/potência, barramento, conectores e conexão de aterramento.</t>
  </si>
  <si>
    <t>Substituição de Chave Seccionadora tripolar 138 kV, CS531, referente ao Interligador de Barras (DJ532) da SE Campo Grande. Associado à obra são esperadas substituições/adaptações de fundações, suportes, cabos de controle/potência, barramento, conectores e conexão de aterramento.</t>
  </si>
  <si>
    <t>Substituição de Chave Seccionadora tripolar 138 kV, CS533, referente ao Interligador de Barras (DJ532) da SE Campo Grande. Associado à obra são esperadas substituições/adaptações de fundações, suportes, cabos de controle/potência, barramento, conectores e conexão de aterramento.</t>
  </si>
  <si>
    <t>Substituição de Chave Seccionadora tripolar 138 kV, CS577, referente a LT Campo Grande - Campo Grande M.Couto C-1. Associado à obra são esperadas substituições/adaptações de fundações, suportes, cabos de controle/potência, barramento, conectores e conexão de aterramento.</t>
  </si>
  <si>
    <t>Substituição de Chave Seccionadora tripolar 138 kV, CS579, referente a LT Campo Grande - Campo Grande M.Couto C-1. Associado à obra são esperadas substituições/adaptações de fundações, suportes, cabos de controle/potência, barramento, conectores e conexão de aterramento.</t>
  </si>
  <si>
    <t>Substituição de Chave Seccionadora tripolar 138 kV, CS587, referente a LT Campo Grande - Campo Grande M.Couto C-2. Associado à obra são esperadas substituições/adaptações de fundações, suportes, cabos de controle/potência, barramento, conectores e conexão de aterramento.</t>
  </si>
  <si>
    <t>Substituição de Chave Seccionadora tripolar 138 kV, CS589, referente a LT Campo Grande - Campo Grande M.Couto C-2. Associado à obra são esperadas substituições/adaptações de fundações, suportes, cabos de controle/potência, barramento, conectores e conexão de aterramento.</t>
  </si>
  <si>
    <t>Substituição de Chave Seccionadora tripolar 138 kV, CS617, referente a LT Campo Grande - U.Mimoso C-4. Associado à obra são esperadas substituições/adaptações de fundações, suportes, cabos de controle/potência, barramento, conectores e conexão de aterramento.</t>
  </si>
  <si>
    <t>Substituição de Chave Seccionadora tripolar 138 kV, CS619, referente a LT Campo Grande - U.Mimoso C-4. Associado à obra são esperadas substituições/adaptações de fundações, suportes, cabos de controle/potência, barramento, conectores e conexão de aterramento.</t>
  </si>
  <si>
    <t>Substituição de Chave Seccionadora tripolar 138 kV, CS637, referente a LT Campo Grande - Sidrolândia C-1. Associado à obra são esperadas substituições/adaptações de fundações, suportes, cabos de controle/potência, barramento, conectores e conexão de aterramento.</t>
  </si>
  <si>
    <t>Substituição de Chave Seccionadora tripolar 138 kV, CS639, referente a LT Campo Grande - Sidrolândia C-1. Associado à obra são esperadas substituições/adaptações de fundações, suportes, cabos de controle/potência, barramento, conectores e conexão de aterramento.</t>
  </si>
  <si>
    <t>Substituição de Retificador (Carregador de Baterias) 125 Vcc - SACC125-RET1, da SE Campo Grande. Capacidade do novo equipamento: &gt;= 60 A.</t>
  </si>
  <si>
    <t>Substituição de Retificador (Carregador de Baterias) 125 Vcc - SACC125-RET2, da SE Campo Grande. Capacidade do novo equipamento: &gt;= 60 A.</t>
  </si>
  <si>
    <t>Substituição do sistema de ar condicionado da Sala de Controle/Réles da SE Campo Grande.</t>
  </si>
  <si>
    <t>Substituição dos sistemas de iluminação e distribuição de força (painéis e tomadas) da Subestação Campo Grande.</t>
  </si>
  <si>
    <t>Construção de muro patrimonial na SE Campo Grande, com extensão aproximada de 1.150 metros.</t>
  </si>
  <si>
    <t>Substituição dos Disjuntores 15 kV (DJ112 e DJ122) e cabine de medição, referentes a alimentação dos Serviços Auxiliares da SE Campo Grande.</t>
  </si>
  <si>
    <t>Substituição de bateria - 48 Vcc - SACC48-BAT1 na SE Campo Grande. Capacidade do novo equipamento: 500 Ah.</t>
  </si>
  <si>
    <t>Substituição de bateria - 48 Vcc - SACC48-BAT2 na SE Campo Grande. Capacidade do novo equipamento: 500 Ah.</t>
  </si>
  <si>
    <t>Substituição de Retificador (Carregador de Baterias) 125 Vcc - SACC125-RET1, da SE Campo Mourão. Capacidade do novo equipamento: &gt;= 75 A.</t>
  </si>
  <si>
    <t>Substituição de Retificador (Carregador de Baterias) 125 Vcc - SACC125-RET2, da SE Campo Mourão. Capacidade do novo equipamento: &gt;= 75 A.</t>
  </si>
  <si>
    <t>Substituição de Retificador (Carregador de Baterias) 48 Vcc - SACC48-RET1, da SE Campo Mourão. Capacidade do novo equipamento: &gt;= 60 A.</t>
  </si>
  <si>
    <t>Substituição de Retificador (Carregador de Baterias) 48 Vcc - SACC48-RET2, da SE Campo Mourão. Capacidade do novo equipamento: &gt;= 60 A.</t>
  </si>
  <si>
    <t>Substituição do sistema de ar condicionado da Sala de Controle/Réles da SE Campo Mourão.</t>
  </si>
  <si>
    <t>Instalação de Sistema de Proteção contra Descargas Atmosféricas (SPDA) em Edificações, na SE Campo Mourão.</t>
  </si>
  <si>
    <t>Substituição de bateria - 125 Vcc - SACC125-BAT1 na SE Campo Mourão. Capacidade do novo equipamento: 350 Ah.</t>
  </si>
  <si>
    <t>Substituição de bateria - 125 Vcc - SACC125-BAT2 na SE Campo Mourão. Capacidade do novo equipamento: 350 Ah.</t>
  </si>
  <si>
    <t>Substituição de bateria - 48 Vcc - SACC48-BAT1 na SE Campo Mourão. Capacidade do novo equipamento:400 Ah.</t>
  </si>
  <si>
    <t>Substituição de bateria - 48 Vcc - SACC48-BAT2 na SE Campo Mourão. Capacidade do novo equipamento:400 Ah.</t>
  </si>
  <si>
    <t>Execução de obras civis para a construção de Heliponto na SE Campos Novos.</t>
  </si>
  <si>
    <t>Execução de obras civis para a pavimentação do acesso entre o Centro Regional de Manutenção e Apoio à Operação de Campos Novos (CRCNO) e as instalações dentro da área patrimonial da SE Campos Novos (depósito de inflamáveis e garagem).</t>
  </si>
  <si>
    <t>Substituição de bateria - 125 Vcc - SACC125-BAT11 na SE Campos Novos (lado de 138 kV). Capacidade do novo equipamento: 300 Ah.</t>
  </si>
  <si>
    <t>Substituição de bateria - 125 Vcc - SACC125-BAT12 na SE Campos Novos (lado de 138 kV). Capacidade do novo equipamento: 300 Ah.</t>
  </si>
  <si>
    <t>Substituição de bateria - 125 Vcc - SACC125-BAT21 na SE Campos Novos (lado de 230 kV). Capacidade do novo equipamento: 750 Ah.</t>
  </si>
  <si>
    <t>Substituição de bateria - 125 Vcc - SACC125-BAT22 na SE Campos Novos (lado de 230 kV). Capacidade do novo equipamento: 750 Ah.</t>
  </si>
  <si>
    <t>Substituição de bateria - 125 Vcc - SACC125-BAT51 na SE Campos Novos (lado de 525 kV). Capacidade do novo equipamento: 1.000 Ah.</t>
  </si>
  <si>
    <t>Substituição de bateria - 48 Vcc - SACC48-BAT21 na SE Campos Novos (lado de 230 kV). Capacidade do novo equipamento: 200 Ah.</t>
  </si>
  <si>
    <t>Substituição de bateria - 48 Vcc - SACC48-BAT22 na SE Campos Novos (lado de 230 kV). Capacidade do novo equipamento: 200 Ah.</t>
  </si>
  <si>
    <t>Substituição das chaves flexitestes (blocos de teste)do módulo Conversora de Frequência Uruguaiana.</t>
  </si>
  <si>
    <t>Substituição de dois bancos de baterias 48 Vcc (Sistema de Alimentação CC) na Repetidora Paulistânia (Repetidora associada à SE Dourados). Capacidade de cada novo equipamento: 300 Ah.</t>
  </si>
  <si>
    <t>Instalação de dois Retificadores 48 Vcc (Carregadores de Baterias), com Quadro de Distribuição CC e Unidade Supervisora CC, em substituição ao retificador duplo existente, na Repetidora Paulistânia (Repetidora associada à SE Dourados). Capacidade de cada novo retificador: 50 A.</t>
  </si>
  <si>
    <t>Substituição de dois bancos de baterias 48 Vcc (Sistema de Alimentação CC) na Repetidora Vila Nilza (Repetidora associada à SE Dourados). Capacidade de cada novo equipamento: 300 Ah.</t>
  </si>
  <si>
    <t>Instalação de dois Retificadores 48 Vcc (Carregadores de Baterias), com Quadro de Distribuição CC e Unidade Supervisora CC, em substituição ao retificador duplo existente, na Repetidora Vila Nilza (Repetidora associada à SE Dourados). Capacidade de cada novo retificador: 50 A.</t>
  </si>
  <si>
    <t>Substituição de dois bancos de baterias 48 Vcc (Sistema de Alimentação CC) na Repetidora Bragápolis (Repetidora associada à SE Dourados). Capacidade de cada novo equipamento: 300 Ah.</t>
  </si>
  <si>
    <t>Substituição do sistema de ar condicionado da Sala de Controle/Réles da SE Dourados.</t>
  </si>
  <si>
    <t>Construção de muro patrimonial na SE Dourados, com extensão aproximada de 1.800 metros.</t>
  </si>
  <si>
    <t>Substituição de todas as flexitestes (blocos de testes) de fabricação ELSTER, instaladas nos painéis de proteção, controle e supervisão associadas à LT 138 kV DESTERRO / ILHA SUL C-1.</t>
  </si>
  <si>
    <t>Substituição de todas as flexitestes (blocos de testes) de fabricação ELSTER, instaladas nos painéis de proteção, controle e supervisão associadas à LT 138 kV DESTERRO / TRINDADE C-1.</t>
  </si>
  <si>
    <t>Substituição de todas as flexitestes (blocos de testes) de fabricação ELSTER, instaladas nos painéis de proteção, controle e supervisão associadas ao TR 230/138 kV DESTERRO TR1.</t>
  </si>
  <si>
    <t>Instalação de dois Retificadores 48 Vcc (Carregadores de Baterias), RET1 e RET2, em substituição ao retificador existente, na SE Desterro. Capacidade de cada novo equipamento: &gt;= 150 A.</t>
  </si>
  <si>
    <t>Substituição de cerca operacional na SE Desterro, com extensão aproximada de 630 metros.</t>
  </si>
  <si>
    <t>Substituição do sistema de ar condicionado da Sala de Controle/Réles da SE Desterro.</t>
  </si>
  <si>
    <t>Substituição das chaves flexitestes (blocos de teste)do TF1 230/69 kV</t>
  </si>
  <si>
    <t>Substituição das chaves flexitestes (blocos de teste)do TF2 230/69 kV</t>
  </si>
  <si>
    <t>Substituição das chaves flexitestes (blocos de teste)do circuito 230 kV Monte Claro C1</t>
  </si>
  <si>
    <t>Substituição das chaves flexitestes (blocos de teste)do circuito 230 kV Monte Claro C2</t>
  </si>
  <si>
    <t>Substituição das chaves flexitestes (blocos de teste)do circuito 230 kV Caxias do Sul 5 C1</t>
  </si>
  <si>
    <t>Substituição das chaves flexitestes (blocos de teste)do circuito 230 kV Scharlau C1</t>
  </si>
  <si>
    <t>Substituição das chaves flexitestes (blocos de teste) das barras de 230 kV (MG)</t>
  </si>
  <si>
    <t>Substituição das chaves flexitestes (blocos de teste)do circuito 230 kV Caxias C1</t>
  </si>
  <si>
    <t>Substituição das chaves flexitestes (blocos de teste)do circuito 230 kV Caxias C2</t>
  </si>
  <si>
    <t>Substituição das chaves flexitestes (blocos de teste)do circuito 230 kV Caxias 2 C1</t>
  </si>
  <si>
    <t>Substituição das chaves flexitestes (blocos de teste)do circuito 230 kV Garibaldi 1 C1</t>
  </si>
  <si>
    <t>Substituição de todas as flexitestes (blocos de testes) de fabricação ELSTER, instaladas nos painéis de proteção, controle e supervisão da Eletrosul (Oscilógrafo 230 kV).</t>
  </si>
  <si>
    <t>Substituição de bateria - 125 Vcc - SACC125-BAT1 na SE Gaspar 2. Capacidade do novo equipamento: 300 Ah.</t>
  </si>
  <si>
    <t>Substituição de bateria - 125 Vcc - SACC125-BAT2 na SE Gaspar 2. Capacidade do novo equipamento: 300 Ah.</t>
  </si>
  <si>
    <t>Substituição de bateria - 48 Vcc - SACC48-BAT1 na SE Gaspar 2. Capacidade do novo equipamento: 350 Ah.</t>
  </si>
  <si>
    <t>Substituição de bateria - 48 Vcc - SACC48-BAT2 na SE Gaspar 2. Capacidade do novo equipamento: 350 Ah.</t>
  </si>
  <si>
    <t>Substituição das chaves flexitestes (blocos de teste)do circuito 525 kV Nova Santa Rita C1</t>
  </si>
  <si>
    <t>Substituição das chaves flexitestes (blocos de teste)do circuito 525 kV Caxias C1</t>
  </si>
  <si>
    <t>Substituição das chaves flexitestes (blocos de teste)do transformador 525/230 kV TR1</t>
  </si>
  <si>
    <t>Substituição das chaves flexitestes (blocos de teste)do transformador 525/230 kV TR2</t>
  </si>
  <si>
    <t>Substituição das chaves flexitestes (blocos de teste)do transformador 525/230 kV TR3</t>
  </si>
  <si>
    <t>Substituição das chaves flexitestes (blocos de teste)do Reator 525 kV 150 Mvar RT1</t>
  </si>
  <si>
    <t>Substituição das chaves flexitestes (blocos de teste)do Reator 525 kV 150 Mvar RT2</t>
  </si>
  <si>
    <t>Substituição das chaves flexitestes (blocos de teste)das barras de 525 kV (MG)</t>
  </si>
  <si>
    <t>Substituição de bateria - 125 Vcc - SACC125-BAT1 na SE Gravataí. Capacidade do novo equipamento: 570 Ah.</t>
  </si>
  <si>
    <t>Instalação de dois Retificadores 48 Vcc (Carregadores de Baterias), RET1 e RET2, em substituição ao retificador existente, na SE Gravataí 3. Capacidade de cada novo equipamento: &gt;= 150 A.</t>
  </si>
  <si>
    <t>Substituição das chaves flexitestes (blocos de teste)do circuito 230 kV Gravatai 2 C1</t>
  </si>
  <si>
    <t>Substituição das chaves flexitestes (blocos de teste)do circuito 230 kV CIAG C1</t>
  </si>
  <si>
    <t>Substituição das chaves flexitestes (blocos de teste)do circuito 230 kV Atlântida 2 C1</t>
  </si>
  <si>
    <t>Substituição das chaves flexitestes (blocos de teste)do transformador 230/69 kV TF1</t>
  </si>
  <si>
    <t>Substituição das chaves flexitestes (blocos de teste)das barras de 230 kV (MG)</t>
  </si>
  <si>
    <t>Substituição de bateria - 48 Vcc - SACC48-BAT1 na SE Ijui 2. Capacidade do novo equipamento: 200 Ah.</t>
  </si>
  <si>
    <t>Substituição de bateria - 48 Vcc - SACC48-BAT2 na SE Ijui 2. Capacidade do novo equipamento: 200 Ah.</t>
  </si>
  <si>
    <t>Substituição de todas as flexitestes (blocos de testes) de fabricação ELSTER, instaladas nos painéis de proteção, controle e supervisãoassociadas à LT 138 kV ITAJAI / ITAJAI ITAIPAVA C-1.</t>
  </si>
  <si>
    <t>Substituição de todas as flexitestes (blocos de testes) de fabricação ELSTER, instaladas nos painéis de proteção, controle e supervisão associadas à LT 138 kV ITAJAI /BRUSQUE C-1.</t>
  </si>
  <si>
    <t>Substituição de todas as flexitestes (blocos de testes) de fabricação ELSTER, instaladas nos painéis de proteção, controle e supervisão associadas à LT 138 kV ITAJAI / ITAJAI FAZENDA C-1.</t>
  </si>
  <si>
    <t>Substituição de todas as flexitestes (blocos de testes) de fabricação ELSTER, instaladas nos painéis de proteção, controle e supervisão associadas à LT 138 kV ITAJAI /CAMBORIU M.B. C-1.</t>
  </si>
  <si>
    <t>Substituição do sistema de ar condicionado da Sala de Controle/Réles da SE Ivaiporã.</t>
  </si>
  <si>
    <t>Substituição dos sistemas de iluminação e distribuição de força (painéis e tomadas) da Subestação Ivaiporã.</t>
  </si>
  <si>
    <t>Instalação de Sistema de Proteção contra Descargas Atmosféricas (SPDA) em Edificações, na SE Ivaiporã.</t>
  </si>
  <si>
    <t>Substituição de todas as flexitestes (blocos de testes) de fabricação ELSTER, instaladas nos painéis de proteção, controle e supervisão associadas ao TR 230/138 kV J.LACERDA-A TR5.</t>
  </si>
  <si>
    <t>Substituição dos sistemas de iluminação e distribuição de força (painéis e tomadas) da Subestação J.Lacerda-B.</t>
  </si>
  <si>
    <t>Substituição de todas as flexitestes (blocos de testes) de fabricação ELSTER, instaladas nos painéis de proteção, controle e supervisão assoicadas à LT 138 kV JOINVILLE NORTE / JOINVILLE IV C1.</t>
  </si>
  <si>
    <t>Substituição de todas as flexitestes (blocos de testes) de fabricação ELSTER, instaladas nos painéis de proteção, controle e supervisão assoicadas à LT 138 kV JOINVILLE NORTE / JOINVILLE PERINI C1.</t>
  </si>
  <si>
    <t>Substituição de todas as flexitestes (blocos de testes) de fabricação ELSTER, instaladas nos painéis de proteção, controle e supervisão associadas à LT 138 kV JOINVILLE NORTE / GARUVA C1.</t>
  </si>
  <si>
    <t>Substituição de todas as flexitestes (blocos de testes) de fabricação ELSTER, instaladas nos painéis de proteção, controle e supervisão associadas à LT 138 kV JOINVILLE NORTE / PIRABEIRABA C1.</t>
  </si>
  <si>
    <t>Substituição de todas as flexitestes (blocos de testes) de fabricação ELSTER, instaladas nos painéis de proteção, controle e supervisão da Eletrosul (Oscilógrafo, Proteção Diferencial de Barras e TIE 138 kV).</t>
  </si>
  <si>
    <t>Substituição de todas as flexitestes (blocos de testes) de fabricação ELSTER, instaladas nos painéis de proteção, controle e supervisão associadas ao TR 230/138 kV JOINV.NORTE TR1.</t>
  </si>
  <si>
    <t>Substituição de todas as flexitestes (blocos de testes) de fabricação ELSTER, instaladas nos painéis de proteção, controle e supervisão associadas ao TR 230/138 kV JOINV.NORTE TR2.</t>
  </si>
  <si>
    <t>Instalação de dois Retificadores 48 Vcc (Carregadores de Baterias), RET1 e RET2, em substituição ao retificador existente, na SE Joinville Norte. Capacidade de cada novo equipamento:  &gt;= 200 A.</t>
  </si>
  <si>
    <t>Substituição do sistema de ar condicionado da Sala de Controle/Réles da SE Joinville Norte.</t>
  </si>
  <si>
    <t>Substituição da Cobertura Completa e Sistema de Proteção contra Descargas Atmosféricas (SPDA) das Edificações, na SE Joinville Norte.</t>
  </si>
  <si>
    <t>Substituição de cerca operacional na SE Joinville, com extensão aproximada de 700 metros.</t>
  </si>
  <si>
    <t>Substituição de bateria - 48 Vcc - SACC48-BAT1 na SE Joinville. Capacidade do novo equipamento: 1.250 Ah.</t>
  </si>
  <si>
    <t>Substituição de bateria - 48 Vcc - SACC48-BAT2 na SE Joinville. Capacidade do novo equipamento: 1.250 Ah.</t>
  </si>
  <si>
    <t>Construção de muro patrimonial na SE Lajeado Grande, com extensão aproximada de 800 metros.</t>
  </si>
  <si>
    <t>Substituição das chaves flexitestes (blocos de teste)do circuito 230 kV Rivera.</t>
  </si>
  <si>
    <t>Implantação de torre metálica na LT 230 kV Atlântida 2 - Gravataí 3 C-1. A nova torre será instalada no vão entre as atuais Torres 118 e 119</t>
  </si>
  <si>
    <t>Substituição de torre metálica completa,  número 133, referente a LT 230 kV Forquilhinha - Lajeado Grande C-1.</t>
  </si>
  <si>
    <t>Instalação de dois bancos de baterias 48 Vcc (Sistema de Alimentação CC) na Repetidora Mimoso (Repetidora associada à SE U.Mimoso), em substituição ao banco de baterias existente. Capacidade de cada novo equipamento: 150 Ah.</t>
  </si>
  <si>
    <t>Instalação de dois Retificadores 48 Vcc (Carregadores de Baterias), com Quadro de Distribuição CC e Unidade Supervisora CC, em substituição ao retificador existente, na Repetidora Mimoso (Repetidora associada à SE U.Mimoso). Capacidade de cada novo retificador: 50 A.</t>
  </si>
  <si>
    <t>Substituição dos sistemas de iluminação e distribuição de força (painéis e tomadas) da Subestação Mimoso.</t>
  </si>
  <si>
    <t>Substituição de Disjuntor tripolar 138 kV, DJ752/08, referente a LT U.Mimoso - Jupiá C-4. Associado à obra, são esperadas substituições ou adaptações de fundações e suportes existentes, cabos de controle e potência, barramento, conectores e conexão do aterramento do equipamento.</t>
  </si>
  <si>
    <t>Substituição de Disjuntor tripolar 138 kV, DJ752/11, referente a LT U.Mimoso - Campo Grande C-3. Associado à obra, são esperadas substituições ou adaptações de fundações e suportes existentes, cabos de controle e potência, barramento, conectores e conexão do aterramento do equipamento.</t>
  </si>
  <si>
    <t>Substituição de Disjuntor tripolar 138 kV, DJ752/12, referente a LT U.Mimoso - Campo Grande C-4. Associado à obra, são esperadas substituições ou adaptações de fundações e suportes existentes, cabos de controle e potência, barramento, conectores e conexão do aterramento do equipamento.</t>
  </si>
  <si>
    <t>Substituição de Disjuntor tripolar 138 kV, DJ752/07, referente a LT U.Mimoso - Jupiá C-3. Associado à obra, são esperadas substituições ou adaptações de fundações e suportes existentes, cabos de controle e potência, barramento, conectores e conexão do aterramento do equipamento.</t>
  </si>
  <si>
    <t>Substituição de Chave Seccionadora tripolar 138 kV, CS729/16, referente a LT U.Mimoso - Jupiá C-3. Associado à obra são esperadas substituições/adaptações de fundações, suportes, cabos de controle/potência, barramento, conectores e conexão de aterramento.</t>
  </si>
  <si>
    <t>Substituição de Chave Seccionadora tripolar 138 kV, CS729/18, referente a LT U.Mimoso - Jupiá C-3. Associado à obra são esperadas substituições/adaptações de fundações, suportes, cabos de controle/potência, barramento, conectores e conexão de aterramento.</t>
  </si>
  <si>
    <t>Substituição de Chave Seccionadora tripolar 138 kV, CS729/22, referente a LT U.Mimoso - Jupiá C-4. Associado à obra são esperadas substituições/adaptações de fundações, suportes, cabos de controle/potência, barramento, conectores e conexão de aterramento.</t>
  </si>
  <si>
    <t>Substituição de Chave Seccionadora tripolar 138 kV, CS729/24, referente a LT U.Mimoso - Jupiá C-4. Associado à obra são esperadas substituições/adaptações de fundações, suportes, cabos de controle/potência, barramento, conectores e conexão de aterramento.</t>
  </si>
  <si>
    <t>Substituição de Chave Seccionadora tripolar 138 kV, CS729/84, referente a LT U.Mimoso - Campo Grande C-3. Associado à obra são esperadas substituições/adaptações de fundações, suportes, cabos de controle/potência, barramento, conectores e conexão de aterramento.</t>
  </si>
  <si>
    <t>Substituição de Chave Seccionadora tripolar 138 kV, CS729/86, referente a LT U.Mimoso - Campo Grande C-3. Associado à obra são esperadas substituições/adaptações de fundações, suportes, cabos de controle/potência, barramento, conectores e conexão de aterramento.</t>
  </si>
  <si>
    <t>Substituição de Chave Seccionadora tripolar 138 kV, CS729/90, referente a LT U.Mimoso - Campo Grande C-4. Associado à obra são esperadas substituições/adaptações de fundações, suportes, cabos de controle/potência, barramento, conectores e conexão de aterramento.</t>
  </si>
  <si>
    <t>Substituição de Chave Seccionadora tripolar 138 kV, CS729/92, referente a LT U.Mimoso - Campo Grande C-4. Associado à obra são esperadas substituições/adaptações de fundações, suportes, cabos de controle/potência, barramento, conectores e conexão de aterramento.</t>
  </si>
  <si>
    <t>Substituição de Retificador (Carregador de Baterias) 125 Vcc - SACC125-RET1, da SE U.Mimoso. Capacidade do novo equipamento: &gt;= 20 A.</t>
  </si>
  <si>
    <t>Substituição de Retificador (Carregador de Baterias) 125 Vcc - SACC125-RET2, da SE U.Mimoso. Capacidade do novo equipamento:  &gt;= 20 A.</t>
  </si>
  <si>
    <t>Substituição do sistema de registro de perturbações (RDP) para monitoração das tensões das barras de 230 kV.</t>
  </si>
  <si>
    <t>Substituição de bateria - 125 Vcc - SACC125-BAT1 na SE Osório 2. Capacidade do novo equipamento: 150 Ah.</t>
  </si>
  <si>
    <t>Substituição de bateria - 125 Vcc - SACC125-BAT2 na SE Osório 2. Capacidade do novo equipamento: 150 Ah.</t>
  </si>
  <si>
    <t>Substituição de cerca operacional na SE Palhoça, com extensão aproximada de 1.000 metros.</t>
  </si>
  <si>
    <t>Substituição de bateria - 125 Vcc - SACC125-BAT2 na SE Palhoça. Capacidade do novo equipamento: 400 Ah.</t>
  </si>
  <si>
    <t>Substituição de bateria - 48 Vcc - SACC48-BAT1 na SE Palhoça. Capacidade do novo equipamento: 1.000 Ah.</t>
  </si>
  <si>
    <t>Substituição de bateria - 48 Vcc - SACC48-BAT2 na SE Palhoça. Capacidade do novo equipamento: 1.000 Ah.</t>
  </si>
  <si>
    <t>Substituição de bateria - 48 Vcc - SACC48-BAT1, localizada na SE Sertão (associada a SE Palhoça). Capacidade do novo equipamento: 150 Ah.</t>
  </si>
  <si>
    <t>Substituição de bateria - 125 Vcc - SACC125-BAT1 na SE Palhoça. Capacidade do novo equipamento: 400 Ah.</t>
  </si>
  <si>
    <t>Substituição de Retificador 48 Vcc (Carregador de Baterias), RET1, na SE P.Médici (associado ao módulo da LT 230 kV P.Médici - S.Cruz C-1). Capacidade do novo equipamento:  &gt;= 100 A.</t>
  </si>
  <si>
    <t>Substituição das chaves flexitestes (blocos de teste)do circuito 230 kV Santa Cruz 1.</t>
  </si>
  <si>
    <t>Substituição das chaves flexitestes (blocos de teste)do circuito 230 kV P.Médici.</t>
  </si>
  <si>
    <t>Substituição dos sistemas de iluminação e distribuição de força (painéis e tomadas) da Subestação Siderópolis.</t>
  </si>
  <si>
    <t>Construção de muro patrimonial na SE Siderópolis, com extensão aproximada de 860 metros.</t>
  </si>
  <si>
    <t>Substituição do sistema de ar condicionado da Sala de Controle/Réles da SE Siderópolis.</t>
  </si>
  <si>
    <t>Instalação de novo setor 13,8 kV para alimentação dos serviços auxiliares da SE Salto Osório, em substituição aos cubículos e disjuntores atualmente existentes. O novo setor será composto pelos equipamentos: para-raios, chaves fusíveis, seccionadores, isoladores, TPs e cabos associados.</t>
  </si>
  <si>
    <t>Substituição do sistema de registro de perturbações (RDP) - OSC 525-1, referente a LT 525 kV S.Santiago - Segredo C-1.</t>
  </si>
  <si>
    <t>Substituição do sistema de registro de perturbações (RDP) - OSC 525-1, referente a LT 525 kV S.Santiago - Itá C-1.</t>
  </si>
  <si>
    <t>Substituição do sistema de registro de perturbações (RDP) - OSC 525-1, referente a LT 525 kV S.Santiago - Ivaiporã ESUL C-1.</t>
  </si>
  <si>
    <t>Substituição do sistema de registro de perturbações (RDP) - OSC 525-1, referente a LT 525 kV S.Santiago - UH S.Santiago C-1.</t>
  </si>
  <si>
    <t>Substituição do sistema de registro de perturbações (RDP) - OSC 525-1, referente a LT 525 kV S.Santiago - UH S.Santiago C-2.</t>
  </si>
  <si>
    <t>Substituição do sistema de registro de perturbações (RDP) - OSC 525-2, referente a LT 525 kV S.Santiago - Ivaiporã ESUL C-2.</t>
  </si>
  <si>
    <t>Substituição do sistema de registro de perturbações (RDP) - OSC 525-1, referente a LT 525 kV S.Santiago - S.Caxias C-1.</t>
  </si>
  <si>
    <t>Substituição de bateria - 125 Vcc - SACC125-BAT1 na SE Salto Santiago. Capacidade do novo equipamento: 750 Ah.</t>
  </si>
  <si>
    <t>Substituição de bateria - 125 Vcc - SACC125-BAT2 na SE Salto Santiago. Capacidade do novo equipamento: 750 Ah.</t>
  </si>
  <si>
    <t>Substituição de bateria - 48 Vcc - SACC48-BAT1 na SE Salto Santiago. Capacidade do novo equipamento: 500 Ah.</t>
  </si>
  <si>
    <t>Substituição de bateria - 48 Vcc - SACC48-BAT2 na SE Salto Santiago. Capacidade do novo equipamento: 500 Ah.</t>
  </si>
  <si>
    <t>Substituição de bateria - 48 Vcc - SACC48-BAT1 na SE Santo Angelo. Capacidade do novo equipamento: 1.000 Ah.</t>
  </si>
  <si>
    <t>Substituição de bateria - 48 Vcc - SACC48-BAT2 na SE Santo Angelo. Capacidade do novo equipamento: 1.000 Ah.</t>
  </si>
  <si>
    <t>Substituição dos sistemas de iluminação e distribuição de força (painéis e tomadas) da Subestação Tapera 2.</t>
  </si>
  <si>
    <t>Substituição de cerca operacional na SE Xanxerê, com extensão aproximada de 600 metros.</t>
  </si>
  <si>
    <t>Instalação de novo setor 13,8 kV para alimentação dos serviços auxiliares da SE Xanxerê, em substituição aos cubículos e disjuntores atualmente existentes. O novo setor será composto pelos equipamentos: para-raios, chaves fusíveis, seccionadores, isoladores, TPs e cabos associados.</t>
  </si>
  <si>
    <t>Substituição do painel da proteção Falha de Disjuntor e dos cabos de controle e potência associados (200 m), referente ao Reator 1 (RT1) 525 kV da SE Itá</t>
  </si>
  <si>
    <t>Substituição do painel Falha de Disjuntor e dos cabos de controle e potência associados (200 m), referente à LT 525 kV Itá - Salto Santiago C1</t>
  </si>
  <si>
    <t>Substituição do painel Falha de Disjuntor e dos cabos de controle e potência associados (200 m), referente à LT 525 kV Itá - Machadinho.</t>
  </si>
  <si>
    <t>Substituição do painel Falha de Disjuntor e dos cabos de controle e potência associados (200 m), referente à LT 525 kV Itá - Nova Santa Rita C1.</t>
  </si>
  <si>
    <t>Substituição do painel Falha de Disjuntor e dos cabos de controle e potência associados (200 m), referente à LT 525 kV Itá - Caxias.</t>
  </si>
  <si>
    <t>Substituição de Transformadores de Corrente 525 kV referentes a LT Itá - Caxias C-1, DJ1122, Fases A, B, C. Associado à obra, são esperadas substituições/adaptações de fundações e suportes, caixa de junção, cabos de controle/potência, barramento, conectores e conexão de aterramento. Funções do TC: proteção e medição.</t>
  </si>
  <si>
    <t>Substituição de Transformadores de Corrente 525 kV referentes ao Interligador de Barras, DJ1130, SE Itá, Fases A, B, C. Associado à obra são esperadas substituições/adaptações de fundações e suportes, caixa de junção, cabos de controle/potência, barramento, conectores e conexão de aterramento. Funções do TC: proteção e medição.</t>
  </si>
  <si>
    <t>Substituição de dois bancos de baterias 48 Vcc (Sistema de Alimentação CC) na Repetidora Nova Veneza (Repetidora associada à SE Itá). Capacidade de cada novo equipamento: 300 Ah.</t>
  </si>
  <si>
    <t>4471 - Manutenção do Sistema de Transmissão de Energia Elétrica</t>
  </si>
  <si>
    <t>Demais manutenções do Sistema de Transmissão</t>
  </si>
  <si>
    <t>Modernização Rede de Telecom - Multiplex e Sincronismo</t>
  </si>
  <si>
    <t>Melhorias em Drenagens e Caixas de Coleta e Separação Água e Óleo de Subestações (Comitê Contingências Ambientais)</t>
  </si>
  <si>
    <t>Melhorias dos compesnadores síncronos de MRO2</t>
  </si>
  <si>
    <t>Modernização do rádios VHF fixos nas subestações (exigência ANATEL)</t>
  </si>
  <si>
    <t>Aquisição de aparelhos de ar condicionados para as unidades operacionais</t>
  </si>
  <si>
    <t>Troca do sistema de alimentação CC das repetidoras Vila Eldorado, União e Terra do Boi</t>
  </si>
  <si>
    <t>Plano de Prevenção e Proteção Contra Incêndio - PPCI do CRCAP+JLB</t>
  </si>
  <si>
    <t>Construção de muro de alvenaria no perímetro da subestação (1.440 m)</t>
  </si>
  <si>
    <t>Instalação de estabilizador de tensão para serviço auxiliar da planta</t>
  </si>
  <si>
    <t>Sistema de tratamento de água para torres de resfriamento dos compensadores síncronos</t>
  </si>
  <si>
    <t>Instalação de câmeras em pontos estratégicos como: centrais de lubrificação e bacias de contenção de óleo</t>
  </si>
  <si>
    <t>Substituição dos Sistemas de Iluminação (QLs), com a utilização de lâmpadas LED e Alimentação de Força (QFs) do pátio da Subestação Santo Ângelo, devido a degradação e obsolecência dos equipamentos</t>
  </si>
  <si>
    <t>Reforço de capacidade das caixas de contenção de óleo das centrais de lubrificação</t>
  </si>
  <si>
    <t>Substituição da cerca operacional (910 m)</t>
  </si>
  <si>
    <t>Substituição da Cobertura Completa e Sistema de Proteção contra Descargas Atmosféricas (SPDA) em Edificações, na SE Xanxerê</t>
  </si>
  <si>
    <t>Construção de muro de alvenaria no perímetro da subestação (515 m)</t>
  </si>
  <si>
    <t>Substituição dos sistemas de iluminação e distribuição de força (painéis e tomadas) da Subestação Campo Mourão</t>
  </si>
  <si>
    <t>Substituição dos Sistemas de Iluminação e Alimentação de Força do pátio da Subestação Salto Osório</t>
  </si>
  <si>
    <t>Substituição do Sistema de AR CONDICIONADO da Casa de Comando da Subestação Salto Osório, e demais salas da instalação</t>
  </si>
  <si>
    <t>Substituição do Sistema de AR CONDICIONADO da Casa de Comando da Subestação Salto Santiago, e demais salas da instalação - PRIORIDADE</t>
  </si>
  <si>
    <t>Substituição do sistema de ar condicionado da casa de controle (5 unidades na sala de relés com sistema de controle centralizado 5 unidades com controle individual)</t>
  </si>
  <si>
    <t>Substituição do telhado da casa de comando da SEJLB (310 m²)</t>
  </si>
  <si>
    <t>Substituição dos sistemas de ar condicionado das Salas de Controle / Réles / Baterias da SE Xanxerê</t>
  </si>
  <si>
    <t>Instalação de Sistema de Proteção contra Descargas Atmosféricas (SPDA) em Edificações (Salas de Controle), na SE Campo Grande</t>
  </si>
  <si>
    <t>Substituição de Transformadores de Corrente 69 kV referentes a LT Siderópolis (CGT Eletrosul) - Siderópolis (Celesc) C-2, DJ332, Fases A, B, C. Associado à obra, são esperadas substituições/adaptações de fundações e suportes, caixa de junção, cabos de controle/potência, barramento, conectores e conexão de aterramento. Funções do TC: proteção e medição.</t>
  </si>
  <si>
    <t>Substituição de Transformadores de Corrente 69 kV referentes a LT Siderópolis (CGT Eletrosul) - Criciúma C-1, DJ412, Fases A, B, C. Associado à obra, são esperadas substituições/adaptações de fundações e suportes, caixa de junção, cabos de controle/potência, barramento, conectores e conexão de aterramento. Funções do TC: proteção e medição.</t>
  </si>
  <si>
    <t>Substituição de Transformadores de Corrente 69 kV referentes a LT Siderópolis (CGT Eletrosul) - Criciúma C-2, DJ372, Fases A, B, C. Associado à obra, são esperadas substituições/adaptações de fundações e suportes, caixa de junção, cabos de controle/potência, barramento, conectores e conexão de aterramento. Funções do TC: proteção e medição.</t>
  </si>
  <si>
    <t>Substituição de Transformadores de Corrente 69 kV referentes a LT Siderópolis (CGT Eletrosul) - Criciúma Floresta C-1, DJ422, Fases A, B, C. Associado à obra, são esperadas substituições/adaptações de fundações e suportes, caixa de junção, cabos de controle/potência, barramento, conectores e conexão de aterramento. Funções do TC: proteção e medição.</t>
  </si>
  <si>
    <t>Implantação do painel da proteção Falha de Disjuntor do tipo Alternada e dos cabos de controle e potência associados (200 m), referente ao Reator 1 (RT1) 525 kV da SE Itá</t>
  </si>
  <si>
    <t>Implantação do painel da proteção Falha de Disjuntor do tipo Alternada e dos cabos de controle e potência associados (200 m), referente à LT 525 kV Itá - Salto Santiago C1</t>
  </si>
  <si>
    <t>Implantação do painel da proteção Falha de Disjuntor do tipo Alternada e dos cabos de controle e potência associados (200 m), referente à LT 525 kV Itá - Machadinho C1</t>
  </si>
  <si>
    <t>Implantação do painel da proteção Falha de Disjuntor do tipo Alternada e dos cabos de controle e potência associados (200 m), referente à LT 525 kV Itá - Nova Santa Rita C1</t>
  </si>
  <si>
    <t>Implantação do painel da proteção Falha de Disjuntor do tipo Alternada e dos cabos de controle e potência associados (200 m), referente à LT 525 kV Itá - Caxias</t>
  </si>
  <si>
    <t>Adequar a fonte de 48 Vcc com a instalação do segundo carregador.</t>
  </si>
  <si>
    <t>Reforços e Melhoris de Pequeno Porte - Ciclo 2024</t>
  </si>
  <si>
    <t>Reforços e Melhoris de Pequeno Porte - Ciclo 2025</t>
  </si>
  <si>
    <t>Reforços e Melhoris de Pequeno Porte - Ciclo 2026</t>
  </si>
  <si>
    <t>Reforços e Melhoris de Pequeno Porte - Ciclo 2027</t>
  </si>
  <si>
    <t>Instalação de Sistema de Proteção contra Descargas Atmosféricas (SPDA) em Edificações (Salas de Controle), na SE Dourados</t>
  </si>
  <si>
    <t>Substituição do sistema de iluminação do pátio da SE ATL2</t>
  </si>
  <si>
    <t>Substituição do Sistema de Iluminação por lâmpadas LED</t>
  </si>
  <si>
    <t>Substituição das caixas de distribuição e caixas do sistema de iluminação e tomadas</t>
  </si>
  <si>
    <t>Projeto Existente</t>
  </si>
  <si>
    <t>Modernização Rede de Telecom</t>
  </si>
  <si>
    <t>Roteadores RGR</t>
  </si>
  <si>
    <t>Comunicação Satelital - PTT</t>
  </si>
  <si>
    <t>CFTV Operacional</t>
  </si>
  <si>
    <t>Sistema de Alimentação Terceiros</t>
  </si>
  <si>
    <t>Redundância CFTV COSE</t>
  </si>
  <si>
    <t>2C47</t>
  </si>
  <si>
    <t>P.DUTRA|0007787/2023-SUBSTITUIÇÃO DE BUCHAS, VEDAÇÕES, PAINEL DE INSTRUMENTAÇÃO/VENTILAÇÃO, VÁLVULAS, RELÉS DE GÁS E BOLSA DE EXPANSÃO, ETC, DO PDRE7-08 FASE B-SUBSTITUIÇÃO DE BUCHAS, VEDAÇÕES, PAINEL DE INSTRUMENTAÇÃO/VENTILAÇÃO, VÁLVULAS, RELÉS DE GÁS E BOLSA DE EXPANSÃO, ETC DE EQUIPAMENTOS</t>
  </si>
  <si>
    <t>P.DUTRA|0007793/2023-SUBSTITUIÇÃO DE BUCHAS, VEDAÇÕES, PAINEL DE INSTRUMENTAÇÃO/VENTILAÇÃO, VÁLVULAS, RELÉS DE GÁS E BOLSA DE EXPANSÃO, ETC, DO PDRE7-08 FASE V-SUBSTITUIÇÃO DE BUCHAS, VEDAÇÕES, PAINEL DE INSTRUMENTAÇÃO/VENTILAÇÃO, VÁLVULAS, RELÉS DE GÁS E BOLSA DE EXPANSÃO, ETC DE EQUIPAMENTOS</t>
  </si>
  <si>
    <t>VILA DO CONDE|0006673/2023-Substituição do Transformador de corrente de 230 kV fase "V" Vão 
 I SECÇÃO Z (VCDJ6 12)-Aquisição de 160 conectores de expansão barra chata - tubo 4 polegadas IPS para utilização na instalação dos Transformadores de Corrente de 245 kV das Subestações de Guamá, Utinga, Marabá e Vila do Conde</t>
  </si>
  <si>
    <t>VILA DO CONDE|0006674/2023-Substituição do Transformador de corrente de 230 kV fase "B" Vão 
 I SECÇÃO Z (VCDJ6 12)-Aquisição de 160 conectores de expansão barra chata - tubo 4 polegadas IPS para utilização na instalação dos Transformadores de Corrente de 245 kV das Subestações de Guamá, Utinga, Marabá e Vila do Conde</t>
  </si>
  <si>
    <t>VILA DO CONDE|0006675/2023-Substituição do Transformador de corrente de 230 kV fase "A" Vão 
 I SECÇÃO Z (VCDJ6 12)-Aquisição de 160 conectores de expansão barra chata - tubo 4 polegadas IPS para utilização na instalação dos Transformadores de Corrente de 245 kV das Subestações de Guamá, Utinga, Marabá e Vila do Conde</t>
  </si>
  <si>
    <t>VILA DO CONDE|0006691/2023-Substituição do Transformador de corrente de 230 kV fase "V" Vão 
 J SECÇÃO Z (VCDJ6 09)-Aquisição de 160 conectores de expansão barra chata - tubo 4 polegadas IPS para utilização na instalação dos Transformadores de Corrente de 245 kV das Subestações de Guamá, Utinga, Marabá e Vila do Conde</t>
  </si>
  <si>
    <t>VILA DO CONDE|0006693/2023-Substituição do Transformador de corrente de 230 kV fase "B" Vão 
 J SECÇÃO Z (VCDJ6 09)-Aquisição de 160 conectores de expansão barra chata - tubo 4 polegadas IPS para utilização na instalação dos Transformadores de Corrente de 245 kV das Subestações de Guamá, Utinga, Marabá e Vila do Conde</t>
  </si>
  <si>
    <t>VILA DO CONDE|0006713/2023-Substituição do Transformador de corrente de 230 kV fase "A" Vão 
 J SECÇÃO Z (VCDJ6 09)-Aquisição de 160 conectores de expansão barra chata - tubo 4 polegadas IPS para utilização na instalação dos Transformadores de Corrente de 245 kV das Subestações de Guamá, Utinga, Marabá e Vila do Conde</t>
  </si>
  <si>
    <t xml:space="preserve">VILA DO CONDE|0006673/2023-Substituição do Transformador de corrente de 230 kV fase "V" Vão 
 I SECÇÃO Z (VCDJ6 12)-Serviço de Desmontagem, adequação de projeto, Montagem Eletromecânica e Comissionamento com Fornecimento de Materiais e infraestrutura para substituição de Transformadores de Corrente 245kV </t>
  </si>
  <si>
    <t xml:space="preserve">VILA DO CONDE|0006674/2023-Substituição do Transformador de corrente de 230 kV fase "B" Vão 
 I SECÇÃO Z (VCDJ6 12)-Serviço de Desmontagem, adequação de projeto, Montagem Eletromecânica e Comissionamento com Fornecimento de Materiais e infraestrutura para substituição de Transformadores de Corrente 245kV </t>
  </si>
  <si>
    <t xml:space="preserve">VILA DO CONDE|0006675/2023-Substituição do Transformador de corrente de 230 kV fase "A" Vão I SECÇÃO Z (VCDJ6 12)-Serviço de Desmontagem, adequação de projeto, Montagem Eletromecânica e Comissionamento com Fornecimento de Materiais e infraestrutura para substituição de Transformadores de Corrente 245kV </t>
  </si>
  <si>
    <t xml:space="preserve">VILA DO CONDE|0006691/2023-Substituição do Transformador de corrente de 230 kV fase "V" Vão 
 J SECÇÃO Z (VCDJ6 09)-Serviço de Desmontagem, adequação de projeto, Montagem Eletromecânica e Comissionamento com Fornecimento de Materiais e infraestrutura para substituição de Transformadores de Corrente 245kV </t>
  </si>
  <si>
    <t xml:space="preserve">VILA DO CONDE|0006693/2023-Substituição do Transformador de corrente de 230 kV fase "B" Vão 
 J SECÇÃO Z (VCDJ6 09)-Serviço de Desmontagem, adequação de projeto, Montagem Eletromecânica e Comissionamento com Fornecimento de Materiais e infraestrutura para substituição de Transformadores de Corrente 245kV </t>
  </si>
  <si>
    <t xml:space="preserve">VILA DO CONDE|0006713/2023-Substituição do Transformador de corrente de 230 kV fase "A" Vão 
 J SECÇÃO Z (VCDJ6 09)-Serviço de Desmontagem, adequação de projeto, Montagem Eletromecânica e Comissionamento com Fornecimento de Materiais e infraestrutura para substituição de Transformadores de Corrente 245kV </t>
  </si>
  <si>
    <t>TUCURUI|0002467/2023-Substituição de três (03) Para-Raios 500 KV SE Tucuruí no vão Ax Fase A, B e V-</t>
  </si>
  <si>
    <t>TUCURUI|0002470/2023-Substituição de três (03) Para-Raios 500 KV SE Tucuruí no vão Bx Fase A, B e V-</t>
  </si>
  <si>
    <t>TUCURUI|0002472/2023-Substituição de três (03) Para-Raios 500 KV SE Tucuruí no vão Cx-</t>
  </si>
  <si>
    <t>TUCURUI|0002473/2023-Substituição de três (03) Para-Raios 500 KV SE Tucuruí no vão Dx-</t>
  </si>
  <si>
    <t>TUCURUI|0002474/2023-Substituição de três (03) Para-Raios 500 KV SE Tucuruí no vão Fx-</t>
  </si>
  <si>
    <t>TUCURUI|0006668/2023-Substituição do Transformador de Corrente 
500kV do TCDJ7-13 - Vão X-</t>
  </si>
  <si>
    <t>MIRACEMA|0006723/2023-Substituição do disjuntor de 500 kV (MCDJ7-12), N-S-TOMC-GUMCLI701-ELMC-MCDJ712, Equipamento SAP: 11916755-</t>
  </si>
  <si>
    <t>TUCURUI|0008264/2023-Substituição de 3TC's de 500kV associados ao disjuntor TCDJ7-31(7TCKX)-</t>
  </si>
  <si>
    <t>TUCURUI|0008343/2023-Substituição de 3 TC's de 500kV associado ao disjuntor TCDJ7-25(7TCIX)-</t>
  </si>
  <si>
    <t>TUCURUI|0008565/2023-Substituição de 2 Tcs de 500kV associados ao disjuntor TCDJ7-19 (7TCGX)-</t>
  </si>
  <si>
    <t>TUCURUI|0008600/2023-Substituir o sistema de proteção, controle e supervisão para modernização da subestação, incluindo a substtuição de painéis de proteção e controle (cadeias principal e alternada), IEDs de proteção, controle e oscilografia digitais e demais componentes.-</t>
  </si>
  <si>
    <t>TUCURUI|0008680/2023-Substituir o sistema de proteção, controle e supervisão para modernização da subestação, incluindo a substtuição de painéis de proteção e controle (cadeias principal e alternada), IEDs de proteção, controle e oscilografia digitais e demais componentes.-</t>
  </si>
  <si>
    <t>P.DUTRA|0008682/2023-Substituição de TC (Transformador de Corrente) associado ao PDRE7-08 (PDTC7-01 FASE V) Local de Instalação: N-S-MAPD-TSPDLI701-MCPDRE708-PDTC701 Fase V Equipamento SAP: 11991756-</t>
  </si>
  <si>
    <t>P.DUTRA|0008686/2023-Substituição de TC (Transformador de Corrente) associado ao PDRE7-08 (PDTC7-01 FASE B) Local de Instalação: N-S-MAPD-TSPDLI701-MCPDRE708-PDTC701 Fase B Equipamento SAP: 11991755-</t>
  </si>
  <si>
    <t>P.DUTRA|0008695/2023-Substituição de TC (Transformador de Corrente) associado ao PDRE7-08 (PDTC7-01 FASE A) Local de Instalação: N-S-MAPD-TSPDLI701-MCPDRE708-PDTC701 Fase A Equipamento SAP: 11991754-</t>
  </si>
  <si>
    <t>TUCURUI|0008699/2023-Substituir o sistema de proteção, controle e supervisão para modernização da subestação, incluindo a substtuição de painéis de proteção e controle (cadeias principal e alternada), IEDs de proteção, controle e oscilografia digitais e demais componentes.-</t>
  </si>
  <si>
    <t>P.DUTRA|0008704/2023-Substituição de TC (Transformador de Corrente) associado ao PDDJ7-14 (PDTC7-01 FASE V) Local de Instalação: N-S-MAPD-TSPDLI701-ELPD-PDTC701 Fase V Equipamento SAP: 11991747-</t>
  </si>
  <si>
    <t>P.DUTRA|0008706/2023-Substituição de TC (Transformador de Corrente) associado ao PDDJ7-14 (PDTC7-01 FASE B) Local de Instalação: N-S-MAPD-TSPDLI701-ELPD-PDTC701 Fase B Equipamento SAP: 11991746-</t>
  </si>
  <si>
    <t>P.DUTRA|0008708/2023-Substituição de TC (Transformador de Corrente) associado ao PDDJ7-14 (PDTC7-01 FASE A) Local de Instalação: N-S-MAPD-TSPDLI701-ELPD-PDTC701 Fase A Equipamento SAP: 11991745-</t>
  </si>
  <si>
    <t>TUCURUI|0008717/2023-Substituir o sistema de proteção, controle e supervisão para modernização da subestação, incluindo a substtuição de painéis de proteção e controle (cadeias principal e alternada), IEDs de proteção, controle e oscilografia digitais e demais componentes.-</t>
  </si>
  <si>
    <t>TUCURUI|0008750/2023-Substituir o sistema de proteção, controle e supervisão para modernização da subestação, incluindo a substtuição de painéis de proteção e controle (cadeias principal e alternada), IEDs de proteção, controle e oscilografia digitais e demais componentes.-</t>
  </si>
  <si>
    <t>TUCURUI|0008755/2023-Substituir o sistema de proteção, controle e supervisão para modernização da subestação, incluindo a substtuição de painéis de proteção e controle (cadeias principal e alternada), IEDs de proteção, controle e oscilografia digitais e demais componentes.-</t>
  </si>
  <si>
    <t>TUCURUI|0008763/2023-Substituir o sistema de proteção, controle e supervisão para modernização da subestação, incluindo a substtuição de painéis de proteção e controle (cadeias principal e alternada), IEDs de proteção, controle e oscilografia digitais e demais componentes.-</t>
  </si>
  <si>
    <t>TUCURUI|0008768/2023-Substituir o sistema de proteção, controle e supervisão para modernização da subestação, incluindo a substtuição de painéis de proteção e controle (cadeias principal e alternada), IEDs de proteção, controle e oscilografia digitais e demais componentes.-</t>
  </si>
  <si>
    <t>TUCURUI|0008772/2023-Substituir o sistema de proteção, controle e supervisão para modernização da subestação, incluindo a substtuição de painéis de proteção e controle (cadeias principal e alternada), IEDs de proteção, controle e oscilografia digitais e demais componentes.-</t>
  </si>
  <si>
    <t>TUCURUI|0008777/2023-Substituir o sistema de proteção, controle e supervisão para modernização da subestação, incluindo a substtuição de painéis de proteção e controle (cadeias principal e alternada), IEDs de proteção, controle e oscilografia digitais e demais componentes.-</t>
  </si>
  <si>
    <t>TUCURUI|0008783/2023-Substituir o sistema de proteção, controle e supervisão para modernização da subestação, incluindo a substtuição de painéis de proteção e controle (cadeias principal e alternada), IEDs de proteção, controle e oscilografia digitais e demais componentes.-</t>
  </si>
  <si>
    <t>TUCURUI|0008788/2023-Substituir o sistema de proteção, controle e supervisão para modernização da subestação, incluindo a substtuição de painéis de proteção e controle (cadeias principal e alternada), IEDs de proteção, controle e oscilografia digitais e demais componentes.-</t>
  </si>
  <si>
    <t>TUCURUI|0008792/2023-Substituir o sistema de proteção, controle e supervisão para modernização da subestação, incluindo a substtuição de painéis de proteção e controle (cadeias principal e alternada), IEDs de proteção, controle e oscilografia digitais e demais componentes.-</t>
  </si>
  <si>
    <t>SAO LUIS II|0008914/2023-SUBSTITUIÇÃO DE PARA RAIO 230KV DA LINHA ALLDLI6-02 - LDPR601 - FASE A-</t>
  </si>
  <si>
    <t>SAO LUIS II|0008916/2023-SUBSTITUIÇÃO DE PARA RAIO 230KV DA LINHA ALLDLI6-02 - LDPR601 - FASE V-</t>
  </si>
  <si>
    <t>SAO LUIS II|0008936/2023-SUBSTITUIÇÃO DO DISJUNTOR LDDJ6-07.-</t>
  </si>
  <si>
    <t>RONDONOPOLIS|0009032/2023-SUBSTITUIR O DISJUNTOR RPDJ6-01-</t>
  </si>
  <si>
    <t>P.DUTRA|0009121/2023-Substituição de TC (Transformador de Corrente) associado ao PDDJ717 fase B-</t>
  </si>
  <si>
    <t>SAO LUIS II|0009152/2023-SUBSTITUIÇÃO DE PARA RAIO 230KV DA LINHA ALLDLI6-01 - LDPR601 - FASE A-</t>
  </si>
  <si>
    <t>SAO LUIS II|0009159/2023-SUBSTITUIÇÃO DE PARA RAIO 230KV DA LINHA ALLDLI6-01 - LDPR601 - FASE B-</t>
  </si>
  <si>
    <t>SAO LUIS II|0009164/2023-SUBSTITUIÇÃO DE PARA RAIO 230KV DA LINHA ALLDLI6-01 - LDPR601 - FASE V-</t>
  </si>
  <si>
    <t>SAO LUIS II|0009423/2023-SUBSTITUICÃO DA CHAVE SECIONADORA 230 kV LDSB6-09-</t>
  </si>
  <si>
    <t>SAO LUIS II|0009444/2023-Substituição dos sistemas de proteção e controle da linha ALLD-LT601 - Terminal São Luís II-</t>
  </si>
  <si>
    <t>TUCURUI|0009448/2023-Substituir o sistema de proteção, controle e supervisão para modernização da subestação, incluindo a substtuição de painéis de proteção e controle (cadeias principal e alternada), IEDs de proteção, controle e oscilografia digitais e demais componentes.-</t>
  </si>
  <si>
    <t>TUCURUI|0009452/2023-Substituir o sistema de proteção, controle e supervisão para modernização da subestação, incluindo a substtuição de painéis de proteção e controle (cadeias principal e alternada), IEDs de proteção, controle e oscilografia digitais e demais componentes.-</t>
  </si>
  <si>
    <t>SAO LUIS II|0009455/2023-Substituição dos sistemas de proteção e controle da linha ALLD-LT602 - Terminal São Luís II-</t>
  </si>
  <si>
    <t>P.DUTRA|0007795/2023-SUBSTITUIÇÃO DE BUCHAS, VEDAÇÕES, PAINEL DE INSTRUMENTAÇÃO/VENTILAÇÃO, VÁLVULAS, RELÉS DE GÁS E BOLSA DE EXPANSÃO, ETC, DO PDRE7-09 FASE RESERVA-SUBSTITUIÇÃO DE BUCHAS, VEDAÇÕES, PAINEL DE INSTRUMENTAÇÃO/VENTILAÇÃO, VÁLVULAS, RELÉS DE GÁS E BOLSA DE EXPANSÃO, ETC DE EQUIPAMENTOS</t>
  </si>
  <si>
    <t>P.DUTRA|0007796/2023-SUBSTITUIÇÃO DE BUCHAS, VEDAÇÕES, PAINEL DE INSTRUMENTAÇÃO/VENTILAÇÃO, VÁLVULAS, RELÉS DE GÁS E BOLSA DE EXPANSÃO, ETC, DO PDRE7-09 FASE A-SUBSTITUIÇÃO DE BUCHAS, VEDAÇÕES, PAINEL DE INSTRUMENTAÇÃO/VENTILAÇÃO, VÁLVULAS, RELÉS DE GÁS E BOLSA DE EXPANSÃO, ETC DE EQUIPAMENTOS</t>
  </si>
  <si>
    <t>VILA DO CONDE|0006678/2023-Substituição do Transformador de corrente de 230 kV fase "V" Vão 
 I SECÇÃO Y2 (VCDJ6 11)-Aquisição de 160 conectores de expansão barra chata - tubo 4 polegadas IPS para utilização na instalação dos Transformadores de Corrente de 245 kV das Subestações de Guamá, Utinga, Marabá e Vila do Conde</t>
  </si>
  <si>
    <t>VILA DO CONDE|0006680/2023-Substituição do Transformador de corrente de 230 kV fase "B" Vão 
 I SECÇÃO Y2 (VCDJ6 11)-Aquisição de 160 conectores de expansão barra chata - tubo 4 polegadas IPS para utilização na instalação dos Transformadores de Corrente de 245 kV das Subestações de Guamá, Utinga, Marabá e Vila do Conde</t>
  </si>
  <si>
    <t>VILA DO CONDE|0006681/2023-Substituição do Transformador de corrente de 230 kV fase "A" Vão 
 I SECÇÃO Y2 (VCDJ6 11)-Aquisição de 160 conectores de expansão barra chata - tubo 4 polegadas IPS para utilização na instalação dos Transformadores de Corrente de 245 kV das Subestações de Guamá, Utinga, Marabá e Vila do Conde</t>
  </si>
  <si>
    <t>VILA DO CONDE|0006721/2023-Substituição do Transformador de corrente de 230 kV fase "V" Vão 
 J SECÇÃO Y1 (VCDJ6 08)-Aquisição de 160 conectores de expansão barra chata - tubo 4 polegadas IPS para utilização na instalação dos Transformadores de Corrente de 245 kV das Subestações de Guamá, Utinga, Marabá e Vila do Conde</t>
  </si>
  <si>
    <t>VILA DO CONDE|0006729/2023-Substituição do Transformador de corrente de 230 kV fase "B" Vão J SECÇÃO Y1 (VCDJ6 08)-Aquisição de 160 conectores de expansão barra chata - tubo 4 polegadas IPS para utilização na instalação dos Transformadores de Corrente de 245 kV das Subestações de Guamá, Utinga, Marabá e Vila do Conde</t>
  </si>
  <si>
    <t>VILA DO CONDE|0006737/2023-TRANSFORMADOR DE CORRENTE 230 kV, 2000A/5, 60HZ-Aquisição de 160 conectores de expansão barra chata - tubo 4 polegadas IPS para utilização na instalação dos Transformadores de Corrente de 245 kV das Subestações de Guamá, Utinga, Marabá e Vila do Conde</t>
  </si>
  <si>
    <t>VILA DO CONDE|0006746/2023-Substituição do Transformador de corrente de 230 kV fase "V" Vão I SECÇÃO Y1 (VCDJ6 11)-Aquisição de 160 conectores de expansão barra chata - tubo 4 polegadas IPS para utilização na instalação dos Transformadores de Corrente de 245 kV das Subestações de Guamá, Utinga, Marabá e Vila do Conde</t>
  </si>
  <si>
    <t>VILA DO CONDE|0006754/2023-Substituição do Transformador de corrente de 230 kV fase "B" Vão I SECÇÃO Y1 (VCDJ6 11)-Aquisição de 160 conectores de expansão barra chata - tubo 4 polegadas IPS para utilização na instalação dos Transformadores de Corrente de 245 kV das Subestações de Guamá, Utinga, Marabá e Vila do Conde</t>
  </si>
  <si>
    <t>VILA DO CONDE|0006760/2023-Substituição do Transformador de corrente de 230 kV fase "A" Vão I SECÇÃO Y1 (VCDJ6 11)-Aquisição de 160 conectores de expansão barra chata - tubo 4 polegadas IPS para utilização na instalação dos Transformadores de Corrente de 245 kV das Subestações de Guamá, Utinga, Marabá e Vila do Conde</t>
  </si>
  <si>
    <t>VILA DO CONDE|0006769/2023-Substituição do Transformador de corrente de 230 kV fase "V" Vão I SECÇÃO X (VCDJ6 10)-Aquisição de 160 conectores de expansão barra chata - tubo 4 polegadas IPS para utilização na instalação dos Transformadores de Corrente de 245 kV das Subestações de Guamá, Utinga, Marabá e Vila do Conde</t>
  </si>
  <si>
    <t>VILA DO CONDE|0006775/2023-Substituição do Transformador de corrente de 230 kV fase "B" Vão I SECÇÃO X (VCDJ6 10)-Aquisição de 160 conectores de expansão barra chata - tubo 4 polegadas IPS para utilização na instalação dos Transformadores de Corrente de 245 kV das Subestações de Guamá, Utinga, Marabá e Vila do Conde</t>
  </si>
  <si>
    <t>VILA DO CONDE|0006777/2023-Substituição do Transformador de corrente de 230 kV fase "A" Vão I SECÇÃO X (VCDJ6 10)-Aquisição de 160 conectores de expansão barra chata - tubo 4 polegadas IPS para utilização na instalação dos Transformadores de Corrente de 245 kV das Subestações de Guamá, Utinga, Marabá e Vila do Conde</t>
  </si>
  <si>
    <t>VILA DO CONDE|0006780/2023-Substituição do Transformador de corrente de 230 kV fase "V" Vão H SECÇÃO Y2 (VCDJ6 14)-Aquisição de 160 conectores de expansão barra chata - tubo 4 polegadas IPS para utilização na instalação dos Transformadores de Corrente de 245 kV das Subestações de Guamá, Utinga, Marabá e Vila do Conde</t>
  </si>
  <si>
    <t>VILA DO CONDE|0006784/2023-TRANSFORMADOR DE CORRENTE 230 kV, 2000A/5, 60HZ-Aquisição de 160 conectores de expansão barra chata - tubo 4 polegadas IPS para utilização na instalação dos Transformadores de Corrente de 245 kV das Subestações de Guamá, Utinga, Marabá e Vila do Conde</t>
  </si>
  <si>
    <t>VILA DO CONDE|0006788/2023-Substituição do Transformador de corrente de 230 kV fase "A" Vão H SECÇÃO Y2 (VCDJ6 14)-Aquisição de 160 conectores de expansão barra chata - tubo 4 polegadas IPS para utilização na instalação dos Transformadores de Corrente de 245 kV das Subestações de Guamá, Utinga, Marabá e Vila do Conde</t>
  </si>
  <si>
    <t>VILA DO CONDE|0006794/2023-Substituição do Transformador de corrente de 230 kV fase "V" Vão D SECÇÃO Y2 (VCDJ6 26)-Aquisição de 160 conectores de expansão barra chata - tubo 4 polegadas IPS para utilização na instalação dos Transformadores de Corrente de 245 kV das Subestações de Guamá, Utinga, Marabá e Vila do Conde</t>
  </si>
  <si>
    <t>VILA DO CONDE|0006796/2023-Substituição do Transformador de corrente de 230 kV fase "B" Vão D SECÇÃO Y2 (VCDJ6 26)-Aquisição de 160 conectores de expansão barra chata - tubo 4 polegadas IPS para utilização na instalação dos Transformadores de Corrente de 245 kV das Subestações de Guamá, Utinga, Marabá e Vila do Conde</t>
  </si>
  <si>
    <t>VILA DO CONDE|0006798/2023-Substituição do Transformador de corrente de 230 kV fase "A" Vão D SECÇÃO Y2 (VCDJ6 26)-Aquisição de 160 conectores de expansão barra chata - tubo 4 polegadas IPS para utilização na instalação dos Transformadores de Corrente de 245 kV das Subestações de Guamá, Utinga, Marabá e Vila do Conde</t>
  </si>
  <si>
    <t>VILA DO CONDE|0006811/2023-Substituição do Transformador de corrente de 230 kV fase "V" Vão C SECÇÃO Y2- (VCDJ6 29)-Aquisição de 160 conectores de expansão barra chata - tubo 4 polegadas IPS para utilização na instalação dos Transformadores de Corrente de 245 kV das Subestações de Guamá, Utinga, Marabá e Vila do Conde</t>
  </si>
  <si>
    <t>VILA DO CONDE|0006818/2023-Substituição do Transformador de corrente de 230 kV fase "B" Vão C SECÇÃO Y2- (VCDJ6 29)-Aquisição de 160 conectores de expansão barra chata - tubo 4 polegadas IPS para utilização na instalação dos Transformadores de Corrente de 245 kV das Subestações de Guamá, Utinga, Marabá e Vila do Conde</t>
  </si>
  <si>
    <t>VILA DO CONDE|0006824/2023-Substituição do Transformador de corrente de 230 kV fase "A" Vão C SECÇÃO Y2- (VCDJ6 29)-Aquisição de 160 conectores de expansão barra chata - tubo 4 polegadas IPS para utilização na instalação dos Transformadores de Corrente de 245 kV das Subestações de Guamá, Utinga, Marabá e Vila do Conde</t>
  </si>
  <si>
    <t>VILA DO CONDE|0006831/2023-Substituição do Transformador de corrente de 230 kV fase "V" Vão C SECÇÃO Y1- (VCDJ6 29)-Aquisição de 160 conectores de expansão barra chata - tubo 4 polegadas IPS para utilização na instalação dos Transformadores de Corrente de 245 kV das Subestações de Guamá, Utinga, Marabá e Vila do Conde</t>
  </si>
  <si>
    <t>VILA DO CONDE|0006838/2023-Substituição do Transformador de corrente de 230 kV fase "B" Vão C SECÇÃO Y1- (VCDJ6 29)-Aquisição de 160 conectores de expansão barra chata - tubo 4 polegadas IPS para utilização na instalação dos Transformadores de Corrente de 245 kV das Subestações de Guamá, Utinga, Marabá e Vila do Conde</t>
  </si>
  <si>
    <t>VILA DO CONDE|0006845/2023-Substituição do Transformador de corrente de 230 kV fase "A" Vão C SECÇÃO Y1- (VCDJ6 29)-Aquisição de 160 conectores de expansão barra chata - tubo 4 polegadas IPS para utilização na instalação dos Transformadores de Corrente de 245 kV das Subestações de Guamá, Utinga, Marabá e Vila do Conde</t>
  </si>
  <si>
    <t>VILA DO CONDE|0007250/2023-Substituição do Transformador de corrente de 230 kV fase "V" Vão A1 SECÇÃO Y-2 - (VCDJ6 38)-Aquisição de 160 conectores de expansão barra chata - tubo 4 polegadas IPS para utilização na instalação dos Transformadores de Corrente de 245 kV das Subestações de Guamá, Utinga, Marabá e Vila do Conde</t>
  </si>
  <si>
    <t>VILA DO CONDE|0007264/2023-Substituição do Transformador de corrente de 230 kV fase "B" Vão A1 SECÇÃO Y-2 - (VCDJ6 38)-Aquisição de 160 conectores de expansão barra chata - tubo 4 polegadas IPS para utilização na instalação dos Transformadores de Corrente de 245 kV das Subestações de Guamá, Utinga, Marabá e Vila do Conde</t>
  </si>
  <si>
    <t>VILA DO CONDE|0007276/2023-Substituição do Transformador de corrente de 230 kV fase "A" Vão A1 SECÇÃO Y-2 - (VCDJ6 38)-Aquisição de 160 conectores de expansão barra chata - tubo 4 polegadas IPS para utilização na instalação dos Transformadores de Corrente de 245 kV das Subestações de Guamá, Utinga, Marabá e Vila do Conde</t>
  </si>
  <si>
    <t xml:space="preserve">SAO LUIS II|0008230/2023-SUBSTITUIR TRANSFORMADOR DE CORRENTE 230KV - DO DISJUNTOR LDDJ6-04-LDTC6-01, FASE B-Serviço de Desmontagem, adequação de projeto, Montagem Eletromecânica e Comissionamento com Fornecimento de Materiais e infraestrutura para substituição de Transformadores de Corrente 245kV </t>
  </si>
  <si>
    <t xml:space="preserve">SAO LUIS II|0008235/2023-SUBSTITUIR TRANSFORMADOR DE CORRENTE 230KV - DO DISJUNTOR LDDJ6-04-LDTC6-01, FASE V-Serviço de Desmontagem, adequação de projeto, Montagem Eletromecânica e Comissionamento com Fornecimento de Materiais e infraestrutura para substituição de Transformadores de Corrente 245kV </t>
  </si>
  <si>
    <t xml:space="preserve">SAO LUIS II|0008241/2023-SUBSTITUIR TRANSFORMADOR DE CORRENTE 230KV - DO DISJUNTOR LDDJ6-06-LDTC6-01, FASE A-Serviço de Desmontagem, adequação de projeto, Montagem Eletromecânica e Comissionamento com Fornecimento de Materiais e infraestrutura para substituição de Transformadores de Corrente 245kV </t>
  </si>
  <si>
    <t xml:space="preserve">SAO LUIS II|0008280/2023-SUBSTITUIR TRANSFORMADOR DE CORRENTE 230KV - DO DISJUNTOR LDDJ6-06-LDTC6-01, FASE B-Serviço de Desmontagem, adequação de projeto, Montagem Eletromecânica e Comissionamento com Fornecimento de Materiais e infraestrutura para substituição de Transformadores de Corrente 245kV </t>
  </si>
  <si>
    <t xml:space="preserve">SAO LUIS II|0008288/2023-SUBSTITUIR TRANSFORMADOR DE CORRENTE 230KV - DO DISJUNTOR LDDJ6-06-LDTC6-01, FASE V-Serviço de Desmontagem, adequação de projeto, Montagem Eletromecânica e Comissionamento com Fornecimento de Materiais e infraestrutura para substituição de Transformadores de Corrente 245kV </t>
  </si>
  <si>
    <t xml:space="preserve">SAO LUIS II|0008310/2023-SUBSTITUIR TRANSFORMADOR DE CORRENTE 230KV - DO DISJUNTOR LDDJ6-08-LDTC6-01, FASE B.-Serviço de Desmontagem, adequação de projeto, Montagem Eletromecânica e Comissionamento com Fornecimento de Materiais e infraestrutura para substituição de Transformadores de Corrente 245kV </t>
  </si>
  <si>
    <t xml:space="preserve">SAO LUIS II|0008322/2023-SUBSTITUIR TRANSFORMADOR DE CORRENTE 230KV - DO DISJUNTOR LDDJ6-08-LDTC6-01, FASE V-Serviço de Desmontagem, adequação de projeto, Montagem Eletromecânica e Comissionamento com Fornecimento de Materiais e infraestrutura para substituição de Transformadores de Corrente 245kV </t>
  </si>
  <si>
    <t xml:space="preserve">SAO LUIS II|0008327/2023-SUBSTITUIR TRANSFORMADOR DE CORRENTE 230KV - DO DISJUNTOR LDDJ6-10-LDTC6-01, FASE A, FASE B, FASE V-Serviço de Desmontagem, adequação de projeto, Montagem Eletromecânica e Comissionamento com Fornecimento de Materiais e infraestrutura para substituição de Transformadores de Corrente 245kV </t>
  </si>
  <si>
    <t xml:space="preserve">SAO LUIS II|0008333/2023-SUBSTITUIR TRANSFORMADOR DE CORRENTE 230KV - DO AT703-MC500-LDTC701, FASE A, FASE B, FASE V-Serviço de Desmontagem, adequação de projeto, Montagem Eletromecânica e Comissionamento com Fornecimento de Materiais e infraestrutura para substituição de Transformadores de Corrente 245kV </t>
  </si>
  <si>
    <t xml:space="preserve">SAO LUIS II|0008335/2023-SUBSTITUIR TRANSFORMADOR DE CORRENTE 230KV - DO DISJUNTOR LDDJ6-04-LDTC6-01, FASE A-Serviço de Desmontagem, adequação de projeto, Montagem Eletromecânica e Comissionamento com Fornecimento de Materiais e infraestrutura para substituição de Transformadores de Corrente 245kV </t>
  </si>
  <si>
    <t xml:space="preserve">SAO LUIS II|0008337/2023-SUBSTITUIR TRANSFORMADOR DE CORRENTE 230KV - IB230IB2-LDTC601, FASE B, FASE V-Serviço de Desmontagem, adequação de projeto, Montagem Eletromecânica e Comissionamento com Fornecimento de Materiais e infraestrutura para substituição de Transformadores de Corrente 245kV </t>
  </si>
  <si>
    <t xml:space="preserve">SAO LUIS II|0008887/2023-SUBSTITUIÇÃO DO TRANSFORMADOR DE CORRENTE DE 230kV, FASE "V", ASSOCIADO AO LDDJ6-06, DO BAY DO BANCO DE AUTOTRANSFORMADORES LDAT7-01-Serviço de Desmontagem, adequação de projeto, Montagem Eletromecânica e Comissionamento com Fornecimento de Materiais e infraestrutura para substituição de Transformadores de Corrente 245kV </t>
  </si>
  <si>
    <t xml:space="preserve">VILA DO CONDE|0006678/2023-Substituição do Transformador de corrente de 230 kV fase "V" Vão 
 I SECÇÃO Y2 (VCDJ6 11)-Serviço de Desmontagem, adequação de projeto, Montagem Eletromecânica e Comissionamento com Fornecimento de Materiais e infraestrutura para substituição de Transformadores de Corrente 245kV </t>
  </si>
  <si>
    <t xml:space="preserve">VILA DO CONDE|0006680/2023-Substituição do Transformador de corrente de 230 kV fase "B" Vão 
 I SECÇÃO Y2 (VCDJ6 11)-Serviço de Desmontagem, adequação de projeto, Montagem Eletromecânica e Comissionamento com Fornecimento de Materiais e infraestrutura para substituição de Transformadores de Corrente 245kV </t>
  </si>
  <si>
    <t xml:space="preserve">VILA DO CONDE|0006681/2023-Substituição do Transformador de corrente de 230 kV fase "A" Vão 
 I SECÇÃO Y2 (VCDJ6 11)-Serviço de Desmontagem, adequação de projeto, Montagem Eletromecânica e Comissionamento com Fornecimento de Materiais e infraestrutura para substituição de Transformadores de Corrente 245kV </t>
  </si>
  <si>
    <t xml:space="preserve">VILA DO CONDE|0006721/2023-Substituição do Transformador de corrente de 230 kV fase "V" Vão 
 J SECÇÃO Y1 (VCDJ6 08)-Serviço de Desmontagem, adequação de projeto, Montagem Eletromecânica e Comissionamento com Fornecimento de Materiais e infraestrutura para substituição de Transformadores de Corrente 245kV </t>
  </si>
  <si>
    <t xml:space="preserve">VILA DO CONDE|0006729/2023-Substituição do Transformador de corrente de 230 kV fase "B" Vão J SECÇÃO Y1 (VCDJ6 08)-Serviço de Desmontagem, adequação de projeto, Montagem Eletromecânica e Comissionamento com Fornecimento de Materiais e infraestrutura para substituição de Transformadores de Corrente 245kV </t>
  </si>
  <si>
    <t xml:space="preserve">VILA DO CONDE|0006737/2023-TRANSFORMADOR DE CORRENTE 230 kV, 2000A/5, 60HZ-Serviço de Desmontagem, adequação de projeto, Montagem Eletromecânica e Comissionamento com Fornecimento de Materiais e infraestrutura para substituição de Transformadores de Corrente 245kV </t>
  </si>
  <si>
    <t xml:space="preserve">VILA DO CONDE|0006746/2023-Substituição do Transformador de corrente de 230 kV fase "V" Vão I SECÇÃO Y1 (VCDJ6 11)-Serviço de Desmontagem, adequação de projeto, Montagem Eletromecânica e Comissionamento com Fornecimento de Materiais e infraestrutura para substituição de Transformadores de Corrente 245kV </t>
  </si>
  <si>
    <t xml:space="preserve">VILA DO CONDE|0006754/2023-Substituição do Transformador de corrente de 230 kV fase "B" Vão I SECÇÃO Y1 (VCDJ6 11)-Serviço de Desmontagem, adequação de projeto, Montagem Eletromecânica e Comissionamento com Fornecimento de Materiais e infraestrutura para substituição de Transformadores de Corrente 245kV </t>
  </si>
  <si>
    <t xml:space="preserve">VILA DO CONDE|0006760/2023-Substituição do Transformador de corrente de 230 kV fase "A" Vão I SECÇÃO Y1 (VCDJ6 11)-Serviço de Desmontagem, adequação de projeto, Montagem Eletromecânica e Comissionamento com Fornecimento de Materiais e infraestrutura para substituição de Transformadores de Corrente 245kV </t>
  </si>
  <si>
    <t xml:space="preserve">VILA DO CONDE|0006769/2023-Substituição do Transformador de corrente de 230 kV fase "V" Vão I SECÇÃO X (VCDJ6 10)-Serviço de Desmontagem, adequação de projeto, Montagem Eletromecânica e Comissionamento com Fornecimento de Materiais e infraestrutura para substituição de Transformadores de Corrente 245kV </t>
  </si>
  <si>
    <t xml:space="preserve">VILA DO CONDE|0006775/2023-Substituição do Transformador de corrente de 230 kV fase "B" Vão I SECÇÃO X (VCDJ6 10)-Serviço de Desmontagem, adequação de projeto, Montagem Eletromecânica e Comissionamento com Fornecimento de Materiais e infraestrutura para substituição de Transformadores de Corrente 245kV </t>
  </si>
  <si>
    <t xml:space="preserve">VILA DO CONDE|0006777/2023-Substituição do Transformador de corrente de 230 kV fase "A" Vão I SECÇÃO X (VCDJ6 10)-Serviço de Desmontagem, adequação de projeto, Montagem Eletromecânica e Comissionamento com Fornecimento de Materiais e infraestrutura para substituição de Transformadores de Corrente 245kV </t>
  </si>
  <si>
    <t xml:space="preserve">VILA DO CONDE|0006780/2023-Substituição do Transformador de corrente de 230 kV fase "V" Vão H SECÇÃO Y2 (VCDJ6 14)-Serviço de Desmontagem, adequação de projeto, Montagem Eletromecânica e Comissionamento com Fornecimento de Materiais e infraestrutura para substituição de Transformadores de Corrente 245kV </t>
  </si>
  <si>
    <t xml:space="preserve">VILA DO CONDE|0006784/2023-TRANSFORMADOR DE CORRENTE 230 kV, 2000A/5, 60HZ-Serviço de Desmontagem, adequação de projeto, Montagem Eletromecânica e Comissionamento com Fornecimento de Materiais e infraestrutura para substituição de Transformadores de Corrente 245kV </t>
  </si>
  <si>
    <t xml:space="preserve">VILA DO CONDE|0006788/2023-Substituição do Transformador de corrente de 230 kV fase "A" Vão H SECÇÃO Y2 (VCDJ6 14)-Serviço de Desmontagem, adequação de projeto, Montagem Eletromecânica e Comissionamento com Fornecimento de Materiais e infraestrutura para substituição de Transformadores de Corrente 245kV </t>
  </si>
  <si>
    <t xml:space="preserve">VILA DO CONDE|0006794/2023-Substituição do Transformador de corrente de 230 kV fase "V" Vão D SECÇÃO Y2 (VCDJ6 26)-Serviço de Desmontagem, adequação de projeto, Montagem Eletromecânica e Comissionamento com Fornecimento de Materiais e infraestrutura para substituição de Transformadores de Corrente 245kV </t>
  </si>
  <si>
    <t xml:space="preserve">VILA DO CONDE|0006796/2023-Substituição do Transformador de corrente de 230 kV fase "B" Vão D SECÇÃO Y2 (VCDJ6 26)-Serviço de Desmontagem, adequação de projeto, Montagem Eletromecânica e Comissionamento com Fornecimento de Materiais e infraestrutura para substituição de Transformadores de Corrente 245kV </t>
  </si>
  <si>
    <t xml:space="preserve">VILA DO CONDE|0006798/2023-Substituição do Transformador de corrente de 230 kV fase "A" Vão D SECÇÃO Y2 (VCDJ6 26)-Serviço de Desmontagem, adequação de projeto, Montagem Eletromecânica e Comissionamento com Fornecimento de Materiais e infraestrutura para substituição de Transformadores de Corrente 245kV </t>
  </si>
  <si>
    <t xml:space="preserve">VILA DO CONDE|0006811/2023-Substituição do Transformador de corrente de 230 kV fase "V" Vão C SECÇÃO Y2- (VCDJ6 29)-Serviço de Desmontagem, adequação de projeto, Montagem Eletromecânica e Comissionamento com Fornecimento de Materiais e infraestrutura para substituição de Transformadores de Corrente 245kV </t>
  </si>
  <si>
    <t xml:space="preserve">VILA DO CONDE|0006818/2023-Substituição do Transformador de corrente de 230 kV fase "B" Vão C SECÇÃO Y2- (VCDJ6 29)-Serviço de Desmontagem, adequação de projeto, Montagem Eletromecânica e Comissionamento com Fornecimento de Materiais e infraestrutura para substituição de Transformadores de Corrente 245kV </t>
  </si>
  <si>
    <t xml:space="preserve">VILA DO CONDE|0006824/2023-Substituição do Transformador de corrente de 230 kV fase "A" Vão C SECÇÃO Y2- (VCDJ6 29)-Serviço de Desmontagem, adequação de projeto, Montagem Eletromecânica e Comissionamento com Fornecimento de Materiais e infraestrutura para substituição de Transformadores de Corrente 245kV </t>
  </si>
  <si>
    <t xml:space="preserve">VILA DO CONDE|0006831/2023-Substituição do Transformador de corrente de 230 kV fase "V" Vão C SECÇÃO Y1- (VCDJ6 29)-Serviço de Desmontagem, adequação de projeto, Montagem Eletromecânica e Comissionamento com Fornecimento de Materiais e infraestrutura para substituição de Transformadores de Corrente 245kV </t>
  </si>
  <si>
    <t xml:space="preserve">VILA DO CONDE|0006838/2023-Substituição do Transformador de corrente de 230 kV fase "B" Vão C SECÇÃO Y1- (VCDJ6 29)-Serviço de Desmontagem, adequação de projeto, Montagem Eletromecânica e Comissionamento com Fornecimento de Materiais e infraestrutura para substituição de Transformadores de Corrente 245kV </t>
  </si>
  <si>
    <t xml:space="preserve">VILA DO CONDE|0006845/2023-Substituição do Transformador de corrente de 230 kV fase "A" Vão C SECÇÃO Y1- (VCDJ6 29)-Serviço de Desmontagem, adequação de projeto, Montagem Eletromecânica e Comissionamento com Fornecimento de Materiais e infraestrutura para substituição de Transformadores de Corrente 245kV </t>
  </si>
  <si>
    <t xml:space="preserve">VILA DO CONDE|0007250/2023-Substituição do Transformador de corrente de 230 kV fase "V" Vão A1 SECÇÃO Y-2 - (VCDJ6 38)-Serviço de Desmontagem, adequação de projeto, Montagem Eletromecânica e Comissionamento com Fornecimento de Materiais e infraestrutura para substituição de Transformadores de Corrente 245kV </t>
  </si>
  <si>
    <t xml:space="preserve">VILA DO CONDE|0007264/2023-Substituição do Transformador de corrente de 230 kV fase "B" Vão A1 SECÇÃO Y-2 - (VCDJ6 38)-Serviço de Desmontagem, adequação de projeto, Montagem Eletromecânica e Comissionamento com Fornecimento de Materiais e infraestrutura para substituição de Transformadores de Corrente 245kV </t>
  </si>
  <si>
    <t xml:space="preserve">VILA DO CONDE|0007276/2023-Substituição do Transformador de corrente de 230 kV fase "A" Vão A1 SECÇÃO Y-2 - (VCDJ6 38)-Serviço de Desmontagem, adequação de projeto, Montagem Eletromecânica e Comissionamento com Fornecimento de Materiais e infraestrutura para substituição de Transformadores de Corrente 245kV </t>
  </si>
  <si>
    <t>P.DUTRA|0008908/2023-Substituição de TC (Transformador de Corrente) associado ao PDDJ705 - fase A-TCs 500kV</t>
  </si>
  <si>
    <t>VILA DO CONDE|0000711/2023-Substituição dos painéis de SPCS da Proteção de Barras (Cadeia Principal - 230 kV) VCBR6-01 e VCBR6-02 com vida útil esgotada por um novo, com características similares.-</t>
  </si>
  <si>
    <t>TUCURUI|0002199/2023-SUBSTITUIÇÃO DO TC DO AUTOTRANSFORMADOR TCAT7-02 FASE B-</t>
  </si>
  <si>
    <t>TUCURUI|0002200/2023-SUBSTITUIÇÃO DO TC DO AUTOTRANSFORMADOR TCAT7-02 FASE A-</t>
  </si>
  <si>
    <t>TUCURUI|0002471/2023-Substituição de três (03) Para-Raios 500 KV SE Tucuruí no vão Bz-</t>
  </si>
  <si>
    <t>TUCURUI|0002475/2023-Substituição de três (03) Transformador Potencial 500 KV SE Tucuruí no vão Bz-</t>
  </si>
  <si>
    <t>MARABA|0002570/2023-Substituição de duas (02) Bobinas de Bloqueio 500 KV SE Marabá, na LT Marabá - Tucuruí C1-</t>
  </si>
  <si>
    <t>TUCURUI|0002571/2023-Substituição de três (03) Transformador Potencial 500 KV SE Tucuruí no vão Iz-</t>
  </si>
  <si>
    <t>P.DUTRA|0003180/2023-Substituição de TC (Transformador de Corrente) associado ao PDRE7-01 (PDTC7-01 FASE B) Local de Instalação: N-S-MAPD-RE701-MC500-PDTC701 Fase B Equipamento SAP: 11991503-</t>
  </si>
  <si>
    <t>P.DUTRA|0003187/2023-Substituição de TC (Transformador de Corrente) associado ao PDRE7-01 (PDTC7-01 FASE A) Local de Instalação: N-S-MAPD-RE701-MC500-PDTC701 Fase A Equipamento SAP: 11991502-</t>
  </si>
  <si>
    <t>ABUNA|0004168/2023-MODERNIZAÇÃO DA REDE COMUNICAÇÃO OPERATIVA DA SE ABUNÃ-</t>
  </si>
  <si>
    <t>ABUNA|0004170/2023-MODERNIZAÇÃO DO SISTEMA DE SUPERVISÃO DA SUBESTAÇÃO ABUNÃ-</t>
  </si>
  <si>
    <t>TUCURUI|0004616/2023-Substituição da chave seccionadora de 500kV - MBSD7-41-</t>
  </si>
  <si>
    <t>MIRACEMA|0004901/2023-Substituição do banco de baterias Nº 2 de 125 VCC do serviço auxiliar de Miracema (MCBAI-02), N-S-TOMC-MG701-MG500-CCI01-MCBAI02, Equipamento SAP: 12340567-</t>
  </si>
  <si>
    <t>MIRACEMA|0004910/2023-Substituição do banco de baterias Nº 1 de 125 VCC do serviço auxiliar de Miracema (MCBAI-01), N-S-TOMC-MG701-MG500-CCI01-MCBAI01, Equipamento SAP: 11916862-</t>
  </si>
  <si>
    <t>MIRACEMA|0004918/2023-Substituição do disjuntor de 500 kV (MCDJ7-08), N-S-TOMC-MG701-IB500IB1-DJ708-MCDJ708, Equipamento SAP: 11916897-</t>
  </si>
  <si>
    <t>MIRACEMA|0004926/2023-Substituição do disjuntor de 500 kV (MCDJ7-07),N-S-TOMC-TF701-MC500-MCDJ707, Equipamento SAP: 11916990-</t>
  </si>
  <si>
    <t>P.DUTRA|0004938/2023-Substituição dos sistemas de proteção e controle do transformador PDTF6-03-</t>
  </si>
  <si>
    <t>P.DUTRA|0004949/2023-SUBSTITUIÇÃO PARA DUPLICAÇÃO DA CADEIA DE PROTEÇÃO DE BARRAS 230KV DA SE PRESIDENTE DUTRA-</t>
  </si>
  <si>
    <t>MARABA|0006587/2023-Substituição dos painéis de SPCS do Paralelismo dos transformadores AT1, e AT2 500/230 kV instalados na casa de relés da SEMB.-</t>
  </si>
  <si>
    <t>MARABA|0006597/2023-Substituição da Chave Seccionadora C/LT 500kV MBSL7-01-</t>
  </si>
  <si>
    <t>TUCURUI|0006623/2023-Substituição dos painéis de SPCS da LT 
TCVC-LT7-01 (IZ) com vida útil esgotada por um novo, com características similares.-</t>
  </si>
  <si>
    <t>MARABA|0006641/2023-Substituição da Chave Seccionadora 500kV MBSD7-04 associada ao disjuntor MBDJ7-02-</t>
  </si>
  <si>
    <t>MARABA|0006646/2023-Substituição da chave seccionadora MBSD7-41-</t>
  </si>
  <si>
    <t>BARRA PEIXE|0006684/2023-SUBSTITUIR O TC 230kV FASE A DO AUTOTRANSFORMADOR NÚMERO 1 DA SE BARRA DO PEIXE-</t>
  </si>
  <si>
    <t>BARRA PEIXE|0006685/2023-SUBSTITUIR O TC 230kV FASE B DO AUTOTRANSFORMADOR NÚMERO 1 DA SE BARRA DO PEIXE-</t>
  </si>
  <si>
    <t>BARRA PEIXE|0006686/2023-SUBSTITUIR O TC 230kV FASE V DO AUTOTRANSFORMADOR NÚMERO 1 DA SE BARRA DO PEIXE-</t>
  </si>
  <si>
    <t>COLINAS|0006687/2023-Substituição do disjuntor de 500 kV (CODJ7-09),N-S-TOCO-COMCLT701-ELCO-CODJ709, Equipamento SAP: 11916560-</t>
  </si>
  <si>
    <t>COLINAS|0006688/2023-Substituição do disjuntor de 500 kV (CODJ7-08), N-S-TOCO-MG701-IB500IB1-DJ708-CODJ708, Equipamento SAP: 11916652-</t>
  </si>
  <si>
    <t>COLINAS|0006692/2023-Substituição do disjuntor de 500 kV (CODJ7-07), N-S-TOCO-IZCOLT701-ELCO-CODJ707, Equipamento SAP: 11916794-</t>
  </si>
  <si>
    <t>MIRACEMA|0006731/2023-Substituição do disjuntor de 500 kV (MCDJ7-11), N-S-TOMC-MG701-IB500IB5-DJ711-MCDJ711, Equipamento SAP: 11916901-</t>
  </si>
  <si>
    <t>MIRACEMA|0006745/2023-Substituição do disjuntor de 500 kV (MCDJ7-10), N-S-TOMC-COMCLT701-ELMC-MCDJ710, Equipamento SAP: 11916734-</t>
  </si>
  <si>
    <t>MIRACEMA|0006782/2023-Substituir TPC 500 KV da barra 1 fase A, N-S-TOMC-MG701-MG500-BR701-MCTP701 - A, equipamento SAP: 11981525-</t>
  </si>
  <si>
    <t>COLINAS|0006786/2023-Substituir TPC 500 KV da barra 1 fase V, N-S-TOCO-MG701-MG500-BR701-COTP701 - V, equipamento SAP: 11981174-</t>
  </si>
  <si>
    <t>VILA DO CONDE|0007748/2023-Substituição dos equipamentos da rede de comunicação de dados da rede LAN da Subestação Vila do Conde (VCRL7-01): Painéis, Máquina de engenharia, Sistema supervisório, Switches, GPS, fibra óticas etc.-</t>
  </si>
  <si>
    <t>COLINAS|0007770/2023-SUBSTITUIÇÃO DE BUCHAS, VEDAÇÕES, PAINEL DE INSTRUMENTAÇÃO/VENTILAÇÃO, VÁLVULAS, RELÉS DE GÁS E BOLSA DE EXPANSÃO, ETC, DO CORN4-01- REATOR DE NEUTRO DO REATOR CORE7-01-</t>
  </si>
  <si>
    <t>COLINAS|0007775/2023-SUBSTITUIÇÃO DE BUCHAS, VEDAÇÕES, PAINEL DE INSTRUMENTAÇÃO/VENTILAÇÃO, VÁLVULAS, RELÉS DE GÁS E BOLSA DE EXPANSÃO E ETC, DO CORN4-02- REATOR DE NEUTRO DO REATOR CORE7-02-</t>
  </si>
  <si>
    <t>IMPERATRIZ|0008294/2023-Substituição de TC (Transformador de Corrente) associado ao IZDJ707 fase V-</t>
  </si>
  <si>
    <t>TUCURUI|0008311/2023-Substituição de 3TC's associados ao disjuntor TCDJ7-26 (7TCIY2)-</t>
  </si>
  <si>
    <t>TUCURUI|0008321/2023-Substituição de 2 TC's de 500kV associado ao disjuntor TCDJ7-26(7TCIY1)-</t>
  </si>
  <si>
    <t>TUCURUI|0008357/2023-Substituição de 3 TCs associados ao disjuntor TCDJ7-20 7TCGY1).-</t>
  </si>
  <si>
    <t>IMPERATRIZ|0008527/2023-Substituição de TC (Transformador de Corrente) associado ao IZDJ702 fase B-</t>
  </si>
  <si>
    <t>P.DUTRA|0008529/2023-Substituição de TC (Transformador de Corrente) associado ao PDDJ704 fase V-</t>
  </si>
  <si>
    <t>P.DUTRA|0008530/2023-Substituição de TC (Transformador de Corrente) associado ao PDDJ703 fase A-</t>
  </si>
  <si>
    <t>P.DUTRA|0008532/2023-Substituição de TC (Transformador de Corrente) associado ao PDDJ702 fase A-</t>
  </si>
  <si>
    <t>P.DUTRA|0008545/2023-SUBSTITUIÇÃO DE PARA RAIO 230KV DO PDAT7-01 - PDPR601 - FASE B-</t>
  </si>
  <si>
    <t>P.DUTRA|0008547/2023-SUBSTITUIÇÃO DE PARA RAIO 230KV DO PDAT7-01 - PDPR601 - FASE A-</t>
  </si>
  <si>
    <t>SAO LUIS II|0008554/2023-SUBSTITUIÇÃO DE PARA RAIO 500KV DO LDAT7-04 - LDPR701 - FASE A-</t>
  </si>
  <si>
    <t>P.DUTRA|0008564/2023-Substituição de TC (Transformador de Corrente) associado ao PDDJ708 fase V Local de Instalação: N-S-MAPD-MG701-IB500IB3-DJ708-PDTC701 (V) Equipamento SAP: 111990671-</t>
  </si>
  <si>
    <t>TUCURUI|0008580/2023-Substituição dos equipamentos da rede de comunicação de dados da rede LAN da Subestação: Painéis, Máquina de engenharia, Sistema supervisório, Switches, GPS, fibra óticas etc. - EL TUTC-LT701, 02, 03, 04, 05, 06, 07, 08, 09, 10 e 11.-</t>
  </si>
  <si>
    <t>P.DUTRA|0008586/2023-Substituição de TC (Transformador de Corrente) associado ao IZDJ708 fase B Local de Instalação: N-S-MAPD-MG701-IB500IB3-DJ708-PDTC701 (B) SAP: 11990670-</t>
  </si>
  <si>
    <t>SAO LUIS II|0008603/2023-SUBSTITUIÇÃO DE PARA RAIO 500KV DO LDAT7-03 - LDPR701 - FASE A-</t>
  </si>
  <si>
    <t>IMPERATRIZ|0008674/2023-Substituição de TC (Transformador de Corrente) associado ao IZDJ704 fase A-</t>
  </si>
  <si>
    <t>P.DUTRA|0008679/2023-Substituição de TC (Transformador de Corrente) associado ao PDDJ709 fase B-</t>
  </si>
  <si>
    <t>P.DUTRA|0008688/2023-SUBSTITUIÇÃO DE PARA RAIO 500KV DO REATOR PDRE7-01 - PDPR701 - FASE V-</t>
  </si>
  <si>
    <t>P.DUTRA|0008690/2023-SUBSTITUIÇÃO DE PARA RAIO 500KV DO REATOR PDRE7-01 - PDPR701 - FASE B-</t>
  </si>
  <si>
    <t>P.DUTRA|0008693/2023-SUBSTITUIÇÃO DE PARA RAIO 500KV DO REATOR PDRE7-01 - PDPR701 - FASE A-</t>
  </si>
  <si>
    <t>P.DUTRA|0008720/2023-Substituição de TC (Transformador de Corrente) associado ao PDRE7-09 (PDTC7-01 FASE V) Local de Instalação: N-S-MAPD-RE709-MC500-PDTC701 Fase V Equipamento SAP: 11991538-</t>
  </si>
  <si>
    <t>P.DUTRA|0008730/2023-SUBSTITUIÇÃO DO TRANSFORMADOR REGULADOR PDTF2-07, 13.8KV-</t>
  </si>
  <si>
    <t>P.DUTRA|0008734/2023-SUBSTITUIÇÃO DO TRANSFORMADOR REGULADOR PDTF2-06, 13.8KV-</t>
  </si>
  <si>
    <t>P.DUTRA|0008737/2023-SUBSTITUIÇÃO DE PARA RAIO 500KV DO REATOR MCPDRE7-03 DA LINHA PDMRLT7-02 - PDPR701 - FASE V-</t>
  </si>
  <si>
    <t>IMPERATRIZ|0008746/2023-SUBSTITUIÇÃO DE PARA RAIO 230KV DO IZAT7-01 - IZPR601 - FASE V-</t>
  </si>
  <si>
    <t>P.DUTRA|0008747/2023-Substituição de TC (Transformador de Corrente) associado ao PDRE7-09 (PDTC7-01 FASE B) Local de Instalação: N-S-MAPD-RE709-MC500-PDTC701 Fase B Equipamento SAP: 11991537-</t>
  </si>
  <si>
    <t>P.DUTRA|0008749/2023-Substituição de TC (Transformador de Corrente) associado ao PDRE7-09 (PDTC7-01 FASE A) Local de Instalação: N-S-MAPD-RE709-MC500-PDTC701 Fase A Equipamento SAP: 11991536-</t>
  </si>
  <si>
    <t>P.DUTRA|0008751/2023-Substituição de TC (Transformador de Corrente) associado ao PDRE7-01 (PDTC7-01 FASE V) Local de Instalação: N-S-MAPD-RE701-MC500-PDTC701 Fase V Equipamento SAP: 11991504-</t>
  </si>
  <si>
    <t>P.DUTRA|0008753/2023-Substituição de TC (Transformador de Corrente) associado ao PDDJ7-12 (PDTC7-02 FASE V) Local de Instalação: N-S-MAPD-MG701-IB500IB4-DJ712-PDTC702 Fase V Equipamento SAP: 11990685-</t>
  </si>
  <si>
    <t>P.DUTRA|0008754/2023-Substituição de TC (Transformador de Corrente) associado ao PDDJ7-12 (PDTC7-02 FASE B) Local de Instalação: N-S-MAPD-MG701-IB500IB4-DJ712-PDTC702 Fase B Equipamento SAP: 11990684-</t>
  </si>
  <si>
    <t>P.DUTRA|0008756/2023-Substituição de TC (Transformador de Corrente) associado ao PDDJ7-12 (PDTC7-02 FASE A) Local de Instalação: N-S-MAPD-MG701-IB500IB4-DJ712-PDTC702 Fase A Equipamento SAP: 11990683-</t>
  </si>
  <si>
    <t>IMPERATRIZ|0008759/2023-Substituição de TC (Transformador de Corrente) associado ao IZDJ702 fase V
Local de Instalação: N-S-MAIZ-AT701-MC500-IZTC701 (V)-</t>
  </si>
  <si>
    <t>IMPERATRIZ|0008761/2023-Substituição de TC (Transformador de Corrente) associado ao IZDJ702 fase A
Local de Instalação: N-S-MAIZ-AT701-MC500-IZTC701 (A)-</t>
  </si>
  <si>
    <t>COLINAS|0008842/2023-SUBSTITUIÇÃO DE BUCHAS, VEDAÇÕES, PAINEL DE INSTRUMENTAÇÃO/VENTILAÇÃO, VÁLVULAS, RELÉS DE GÁS E BOLSA DE EXPANSÃO, ETC, DO CORE7-01 FASE RESERVA-</t>
  </si>
  <si>
    <t>IMPERATRIZ|0008894/2023-Substituição de TC (Transformador de Corrente) associado ao IZDJ703 fase A-</t>
  </si>
  <si>
    <t>IMPERATRIZ|0008919/2023-SUBSTITUIÇÃO DO DISJUNTOR IZDJ7-01.-</t>
  </si>
  <si>
    <t>IMPERATRIZ|0008921/2023-SUBSTITUIÇÃO DO DISJUNTOR IZDJ7-02.-</t>
  </si>
  <si>
    <t>P.DUTRA|0008924/2023-SUBSTITUIÇÃO DO DISJUNTOR PDDJ7-02.-</t>
  </si>
  <si>
    <t>P.DUTRA|0008930/2023-SUBSTITUIÇÃO DO DISJUNTOR PDDJ7-03.-</t>
  </si>
  <si>
    <t>SAO LUIS II|0008932/2023-SUBSTITUIÇÃO DO DISJUNTOR LDDB6-02.-</t>
  </si>
  <si>
    <t>SAO LUIS II|0008933/2023-SUBSTITUIÇÃO DO DISJUNTOR LDDJ6-04.-</t>
  </si>
  <si>
    <t>P.DUTRA|0008937/2023-SUBSTITUIÇÃO DO DISJUNTOR PDDJ7-04.-</t>
  </si>
  <si>
    <t>P.DUTRA|0008938/2023-SUBSTITUIÇÃO DO DISJUNTOR PDDJ7-06.-</t>
  </si>
  <si>
    <t>P.DUTRA|0008939/2023-SUBSTITUIÇÃO DO DISJUNTOR PDDJ7-13.-</t>
  </si>
  <si>
    <t>SAO LUIS II|0008941/2023-SUBSTITUIÇÃO DO DISJUNTOR LDDJ7-09.-</t>
  </si>
  <si>
    <t>SAO LUIS II|0008944/2023-SUBSTITUIÇÃO DO DISJUNTOR LDDJ7-10.-</t>
  </si>
  <si>
    <t>P.DUTRA|0008948/2023-SUBSTITUIÇÃO DO DISJUNTOR PDDB6-01.-</t>
  </si>
  <si>
    <t>P.DUTRA|0008950/2023-SUBSTITUIÇÃO DO DISJUNTOR PDDJ6-06.-</t>
  </si>
  <si>
    <t>IMPERATRIZ|0009018/2023-Substituição dos quadros de Serviços Auxiliares PT-1EA/PT1-EB/PT-2/PT-3/PT4-EA/PT4-EB/PT-6EA e PT-6EB de 440VCA da sala de comando da SE Imperatriz 500 kV-</t>
  </si>
  <si>
    <t>P.DUTRA|0009022/2023-Substituição dos quadros de Serviços Auxiliares PT-1EA/PT1-EB/PT-2 e PT-3 de 220VCA da sala de comando da SE P.Dutra 500 kV-</t>
  </si>
  <si>
    <t>SAO LUIS II|0009026/2023-Substituição dos quadros de Serviços auxiliares PT-1EA/PT1-EB/PT-2/PT-3 de 440VCA da Sala de comando da SE São Luís II 500 kV-</t>
  </si>
  <si>
    <t>SAO LUIS II|0009027/2023-Substituição dos quadros de Serviços auxiliares PT-1EA/PT1-EB/PT-2A ePT-3 de 220/127VCA da Sala de comando da SE São Luís II 500 kV-</t>
  </si>
  <si>
    <t>P.DUTRA|0009083/2023-Substituição do quadro de Serviços Auxiliares QSA 230 - C01 de 220 Vca da Casa de Relés de 230 kV da SE P.Dutra 500 kV-</t>
  </si>
  <si>
    <t>IMPERATRIZ|0009085/2023-SUBSTITUIÇÃO DE PARA RAIO 230KV DO IZAT7-01 - IZPR601 - FASE B-</t>
  </si>
  <si>
    <t>IMPERATRIZ|0009091/2023-SUBSTITUIÇÃO DE PARA RAIO 230KV DO IZAT7-01 - IZPR601 - FASE A-</t>
  </si>
  <si>
    <t>SAO LUIS II|0009094/2023-SUBSTITUIÇÃO SISTEMA DE PROTEÇAO, COMANDO E SUPERVISÃO DO BAY DA BARRA MG230-BR601-LDSPRBR-</t>
  </si>
  <si>
    <t>P.DUTRA|0009101/2023-Substituição de TC (Transformador de Corrente) associado ao PDDJ704 fase B-</t>
  </si>
  <si>
    <t>SAO LUIS II|0009110/2023-Substituição dos quadros de Serviços auxiliares PT-1EA(500kV)/PT1-EB(500kV)/PT-1EA(230kV)/PT1-EB(230kV) de 125VCC da Sala de comando da SE São Luís II 500 kV-</t>
  </si>
  <si>
    <t>P.DUTRA|0009115/2023-Substituição de TC (Transformador de Corrente) associado ao PDDJ709 fase A-</t>
  </si>
  <si>
    <t>SAO LUIS II|0009137/2023-SUBSTITUIÇÃO DE PARA RAIO 230KV DO LDAT7-03 - LDPR601 - FASE A-</t>
  </si>
  <si>
    <t>SAO LUIS II|0009141/2023-SUBSTITUIÇÃO DE PARA RAIO 230KV DO LDAT7-03 - LDPR601 - FASE B-</t>
  </si>
  <si>
    <t>SAO LUIS II|0009142/2023-SUBSTITUIÇÃO DE PARA RAIO 230KV DO LDAT7-03 - LDPR601 - FASE V-</t>
  </si>
  <si>
    <t>SAO LUIS II|0009147/2023-SUBSTITUIÇÃO DE PARA RAIO 230KV DO LDAT7-04 - LDPR601 - FASE A-</t>
  </si>
  <si>
    <t>SAO LUIS II|0009168/2023-SUBSTITUIÇÃO DO DISJUNTOR LDDB6-01.-</t>
  </si>
  <si>
    <t>IMPERATRIZ|0009185/2023-SUBSTITUIÇÃO DO DISJUNTOR IZDB4-01-</t>
  </si>
  <si>
    <t>P.DUTRA|0009236/2023-SUBSTITUIR DISJUNTOR 69KV PDDB4-01-</t>
  </si>
  <si>
    <t>IMPERATRIZ|0009256/2023-SUBSTITUIÇÃO DE PARA RAIO DO REATOR IZRE7-06 - IZPR701 - FASE A-</t>
  </si>
  <si>
    <t>IMPERATRIZ|0009257/2023-SUBSTITUIÇÃO DE PARA RAIO DO REATOR IZRE7-06 - IZPR701 - FASE B-</t>
  </si>
  <si>
    <t>IMPERATRIZ|0009260/2023-SUBSTITUIÇÃO DE PARA RAIO DO REATOR IZRE7-06 - IZPR701 - FASE V-</t>
  </si>
  <si>
    <t>P.DUTRA|0009264/2023-SUBSTITUIÇÃO DE PARA RAIO 230KV DO PDAT7-01 - PDPR601 - FASE V-</t>
  </si>
  <si>
    <t>P.DUTRA|0009265/2023-SUBSTITUIÇÃO DE PARA RAIO 230KV DO PDCS2-01 - PDPR601 - FASE A-</t>
  </si>
  <si>
    <t>P.DUTRA|0009267/2023-SUBSTITUIÇÃO DE PARA RAIO 230KV DO PDCS2-01 - PDPR601 - FASE B-</t>
  </si>
  <si>
    <t>P.DUTRA|0009268/2023-SUBSTITUIÇÃO DE PARA RAIO 230KV DO PDCS2-01 - PDPR601 - FASE V-</t>
  </si>
  <si>
    <t>VILA DO CONDE|0009272/2023-SUBSTITUIÇÃO DE SECCIONADORA DE ATERRAMENTO 500 kV VCCA7-02 (VCBR7-02)-</t>
  </si>
  <si>
    <t>IMPERATRIZ|0009281/2023-SUBSTITUIÇÃO DE UM TPC DE 500 kV, N-S-MAIZ-MG701-MG500-BR701-TP701, FASE "B"-</t>
  </si>
  <si>
    <t>IMPERATRIZ|0009282/2023-Substituição dos quadros de Serviços Auxiliares Painel 57/Painel 58/Painel 59/Painel 60/painel 61/Painel 62 e Painel 76 de 220VCA da sala de comando da SE Imperatriz 500 kV-</t>
  </si>
  <si>
    <t>VILA DO CONDE|0009286/2023-SUBSTITUIÇÃO DE SECCIONADORA DE ATERRAMENTO 500 kV VCCA7-01 (VCBR7-01)-</t>
  </si>
  <si>
    <t>P.DUTRA|0009287/2023-Substituição dos quadros de Serviços Auxiliares PT1-EA/PT1-EB/PT-2/PT-3/PT--EA/PT5-EB e PT-6 de 440VCA da sala de comando da SE P.Dutra 500 kV-</t>
  </si>
  <si>
    <t>VILA DO CONDE|0009301/2023-SUBSTITUIÇÃO DE SECCIONADORA 500 kV VCSD7-01-</t>
  </si>
  <si>
    <t>P.DUTRA|0009303/2023-Substituição dos quadros de Serviços Auxiliares PT1-EA/PT1-EB/PT-2/PT-3/PT--EA/PT5-EB e PT-6 de 440VCA da sala de comando da SE P.Dutra 500 kV-</t>
  </si>
  <si>
    <t>VILA DO CONDE|0009304/2023-SUBSTITUIÇÃO DE SECCIONADORA 500 kV VCSL7-01-</t>
  </si>
  <si>
    <t>IMPERATRIZ|0009309/2023-Substituição de TC (Transformador de Corrente) associado ao IZDJ701 fase V-</t>
  </si>
  <si>
    <t>VILA DO CONDE|0009311/2023-SUBSTITUIÇÃO DE DISJUNTOR 500 kV VCDJ7-01-</t>
  </si>
  <si>
    <t>IMPERATRIZ|0009312/2023-Substituição de TC (Transformador de Corrente) associado ao IZDJ703 fase B-</t>
  </si>
  <si>
    <t>IMPERATRIZ|0009346/2023-SUBSTITUIÇÃO DE 1 SQSACA POR OUTRO DE CARACTERISTICAS SEMELHANTES-</t>
  </si>
  <si>
    <t>MARABA|0009348/2023-Substituição do disjuntor 500kV MBDJ7-01-</t>
  </si>
  <si>
    <t>MARABA|0009349/2023-Substituição do disjuntor 500kV MBDJ7-02-</t>
  </si>
  <si>
    <t>VILA DO CONDE|0009351/2023-Substituição dos painéis de SPCS da LT TCVC-LT7-01 (DX) com vida útil esgotada por um novo, com características similares.-</t>
  </si>
  <si>
    <t>IMPERATRIZ|0009377/2023-SUBSTITUIÇÃO DE 1 SQSACA POR OUTRO DE CARACTERISTICAS SEMELHANTES-</t>
  </si>
  <si>
    <t>MARABA|0009385/2023-Substituição da Chave Seccionadora 500kV MBSD7-01 associada ao disjuntor MBDJ7-01-</t>
  </si>
  <si>
    <t>SAO LUIS II|0009388/2023-SUBSTITUICÃO DA CHAVE SECIONADORA 230 kV LDSB6-12-</t>
  </si>
  <si>
    <t>SAO LUIS II|0009399/2023-SUBSTITUICÃO DA CHAVE SECIONADORA 500 kV LDST7-01-</t>
  </si>
  <si>
    <t>MARABA|0009405/2023-Substituição da Chave Seccionadora 500kV MBSD7-02 associada ao disjuntor MBDJ7-01-</t>
  </si>
  <si>
    <t>SAO LUIS II|0009416/2023-SUBSTITUICÃO DA CHAVE SECIONADORA 500 kV LDSD7-05-</t>
  </si>
  <si>
    <t>MARABA|0009417/2023-Substituição dos painéis de SPCS associados ao BCS (MBCL7-02 - VÃO CX) instalados na casa de relés.-</t>
  </si>
  <si>
    <t>IMPERATRIZ|0009418/2023-SUBSTITUIÇÃO DE 1 SQSACA POR OUTRO DE CARACTERISTICAS SEMELHANTES-</t>
  </si>
  <si>
    <t>SAO LUIS II|0009419/2023-SUBSTITUICÃO DA CHAVE SECIONADORA 500 kV LDSD7-06-</t>
  </si>
  <si>
    <t>SAO LUIS II|0009425/2023-SUBSTITUICÃO DA CHAVE SECIONADORA 230 kV LDSB6-11-</t>
  </si>
  <si>
    <t>SAO LUIS II|0009428/2023-SUBSTITUICÃO DA CHAVE SECIONADORA 230 kV LDSB6-07-</t>
  </si>
  <si>
    <t>P.DUTRA|0009435/2023-SUBSTITUIÇÃO DA CHAVE SECCIONADORA 500kV PDSR7-04 , ASSOCIADA AO REATOR PDRE7-05-</t>
  </si>
  <si>
    <t>P.DUTRA|0009440/2023-SUBSTITUIÇÃO DA CHAVE SECCIONADORA 500kV PDSR7-06 , ASSOCIADA AO REATOR PDRE7-06-</t>
  </si>
  <si>
    <t>IMPERATRIZ|0009442/2023-SUBSTITUIÇÃO DOS PAINEIS DE SPCS DA INTERLIGAÇÃO DE BARRA(IB) - VÃO AY INSTALADOS NAS CASAS DE RELES-</t>
  </si>
  <si>
    <t>P.DUTRA|0009443/2023-SUBSTITUIÇÃO DA SECCIONADORA 500kV PDSD7-16-</t>
  </si>
  <si>
    <t>IMPERATRIZ|0009446/2023-SUBSTITUIÇÃO DOS PAINEIS DE SPCS DA INTERLIGAÇÃO DE BARRA(IB) - VÃO BY INSTALADOS NAS CASAS DE RELES-</t>
  </si>
  <si>
    <t>P.DUTRA|0009447/2023-SUBSTITUIÇÃO DA CHAVE SECCIONADORA 500kV PDSD7-17 , ASSOCIADA AO DISJUNTOR PDDJ7-09-</t>
  </si>
  <si>
    <t>IMPERATRIZ|0009449/2023-SUBSTITUIÇÃO DOS PAINEIS DE SPCS DA INTERLIGAÇÃO DE BARRA(IB) - VÃO CY INSTALADOS NAS CASAS DE RELES-</t>
  </si>
  <si>
    <t>P.DUTRA|0009450/2023-SUBSTITUIÇÃO DA CHAVE SECCIONADORA 500kV PDSD7-15 , ASSOCIADA AO DISJUNTOR PDDJ7-08-</t>
  </si>
  <si>
    <t>IMPERATRIZ|0009451/2023-SUBSTITUIÇÃO DOS PAINEIS DE SPCS DA INTERLIGAÇÃO DE BARRA(IB) - VÃO DY INSTALADOS NAS CASAS DE RELES-</t>
  </si>
  <si>
    <t>P.DUTRA|0009457/2023-SUBSTITUIÇÃO DE PARA RAIO 500KV DA LINHA PDBELI7-01 - PDPR701 - FASE V-</t>
  </si>
  <si>
    <t>P.DUTRA|0009463/2023-SUBSTITUIÇÃO DE PARA RAIO 500KV DA LINHA PDBELI7-01 - PDPR701 - FASE B-</t>
  </si>
  <si>
    <t>MARABA|0009464/2023-SUBSTITUIÇÃO DO TRANSFORMADOR DE POTENCIA 13,8/0,44KV MBTF2-02.-</t>
  </si>
  <si>
    <t>MARABA|0009465/2023-SUBSTITUIÇÃO DO TRANSFORMADOR DE POTENCIA 13,8/0,44KV MBTF2-03.-</t>
  </si>
  <si>
    <t>MARABA|0009466/2023-SUBSTITUIÇÃO DO TRANSFORMADOR REGULADOR 13,8/13,8KV MBTR2-01-</t>
  </si>
  <si>
    <t>MARABA|0009467/2023-SUBSTITUIÇÃO DO TRANSFORMADOR REGULADOR 13,8/13,8KV MBTR2-02-</t>
  </si>
  <si>
    <t>P.DUTRA|0007779/2023-SUBSTITUIÇÃO DE BUCHAS, VEDAÇÕES, PAINEL DE INSTRUMENTAÇÃO/VENTILAÇÃO, VÁLVULAS, RELÉS DE GÁS E BOLSA DE EXPANSÃO, ETC, DO PDRE7-08 FASE RESERVA-SUBSTITUIÇÃO DE BUCHAS, VEDAÇÕES, PAINEL DE INSTRUMENTAÇÃO/VENTILAÇÃO, VÁLVULAS, RELÉS DE GÁS E BOLSA DE EXPANSÃO, ETC DE EQUIPAMENTOS</t>
  </si>
  <si>
    <t>P.DUTRA|0008765/2023-SUBSTITUIÇÃO DE BUCHAS, VEDAÇÕES, PAINEL DE INSTRUMENTAÇÃO/VENTILAÇÃO, VÁLVULAS, RELÉS DE GÁS E BOLSA DE EXPANSÃO, ETC, DO PDRE7-08 FASE RESERVA-SUBSTITUIÇÃO DE BUCHAS, VEDAÇÕES, PAINEL DE INSTRUMENTAÇÃO/VENTILAÇÃO, VÁLVULAS, RELÉS DE GÁS E BOLSA DE EXPANSÃO, ETC DE EQUIPAMENTOS</t>
  </si>
  <si>
    <t>GUAMA|0009326/2023-Substituição do Transformador de Corrente 230 kV Fase A By - com vida útil esgotado por um novo com características similares.-Aquisição de 160 conectores de expansão barra chata - tubo 4 polegadas IPS para utilização na instalação dos Transformadores de Corrente de 245 kV das Subestações de Guamá, Utinga, Marabá e Vila do Conde</t>
  </si>
  <si>
    <t>GUAMA|0009329/2023-Substituição do Transformador de Corrente 230 kV Fase B - By - com vida útil esgotado por um novo com características similares.-Aquisição de 160 conectores de expansão barra chata - tubo 4 polegadas IPS para utilização na instalação dos Transformadores de Corrente de 245 kV das Subestações de Guamá, Utinga, Marabá e Vila do Conde</t>
  </si>
  <si>
    <t>GUAMA|0009341/2023-Substituição do Transformador de Corrente 230 kV Fase V - By - com vida útil esgotado por um novo com características similares.-Aquisição de 160 conectores de expansão barra chata - tubo 4 polegadas IPS para utilização na instalação dos Transformadores de Corrente de 245 kV das Subestações de Guamá, Utinga, Marabá e Vila do Conde</t>
  </si>
  <si>
    <t xml:space="preserve">GUAMA|0009326/2023-Substituição do Transformador de Corrente 230 kV Fase A By - com vida útil esgotado por um novo com características similares.-Serviço de Desmontagem, adequação de projeto, Montagem Eletromecânica e Comissionamento com Fornecimento de Materiais e infraestrutura para substituição de Transformadores de Corrente 245kV </t>
  </si>
  <si>
    <t xml:space="preserve">GUAMA|0009329/2023-Substituição do Transformador de Corrente 230 kV Fase B - By - com vida útil esgotado por um novo com características similares.-Serviço de Desmontagem, adequação de projeto, Montagem Eletromecânica e Comissionamento com Fornecimento de Materiais e infraestrutura para substituição de Transformadores de Corrente 245kV </t>
  </si>
  <si>
    <t xml:space="preserve">GUAMA|0009341/2023-Substituição do Transformador de Corrente 230 kV Fase V - By - com vida útil esgotado por um novo com características similares.-Serviço de Desmontagem, adequação de projeto, Montagem Eletromecânica e Comissionamento com Fornecimento de Materiais e infraestrutura para substituição de Transformadores de Corrente 245kV </t>
  </si>
  <si>
    <t xml:space="preserve">SAO LUIS I|0008555/2023-SUBSTITUIR TRANSFORMADOR DE CORRENTE 230KV -TF604-MC230-LITC601, FASE A, FASE B, FASE V-Serviço de Desmontagem, adequação de projeto, Montagem Eletromecânica e Comissionamento com Fornecimento de Materiais e infraestrutura para substituição de Transformadores de Corrente 245kV </t>
  </si>
  <si>
    <t xml:space="preserve">SAO LUIS I|0008562/2023-SUBSTITUIR TRANSFORMADOR DE CORRENTE 230KV - LDLILT601-ELLI-LITC601, FASE A, FASE B, FASE V-Serviço de Desmontagem, adequação de projeto, Montagem Eletromecânica e Comissionamento com Fornecimento de Materiais e infraestrutura para substituição de Transformadores de Corrente 245kV </t>
  </si>
  <si>
    <t xml:space="preserve">SAO LUIS I|0008587/2023-SUBSTITUIR TRANSFORMADOR DE CORRENTE 230KV - LDLILT602-ELLI-LITC601, FASE A, FASE B, FASE V-Serviço de Desmontagem, adequação de projeto, Montagem Eletromecânica e Comissionamento com Fornecimento de Materiais e infraestrutura para substituição de Transformadores de Corrente 245kV </t>
  </si>
  <si>
    <t xml:space="preserve">SAO LUIS II|0008346/2023-SUBSTITUIR TRANSFORMADOR DE CORRENTE 230KV - LDTC6-01 FASE V-Serviço de Desmontagem, adequação de projeto, Montagem Eletromecânica e Comissionamento com Fornecimento de Materiais e infraestrutura para substituição de Transformadores de Corrente 245kV </t>
  </si>
  <si>
    <t xml:space="preserve">SAO LUIS II|0008349/2023-SUBSTITUIR TRANSFORMADOR DE CORRENTE 230KV - LDTC6-01 FASE B-Serviço de Desmontagem, adequação de projeto, Montagem Eletromecânica e Comissionamento com Fornecimento de Materiais e infraestrutura para substituição de Transformadores de Corrente 245kV </t>
  </si>
  <si>
    <t xml:space="preserve">SAO LUIS II|0008351/2023-SUBSTITUIR TRANSFORMADOR DE CORRENTE 230KV - LDTC6-01 FASE A-Serviço de Desmontagem, adequação de projeto, Montagem Eletromecânica e Comissionamento com Fornecimento de Materiais e infraestrutura para substituição de Transformadores de Corrente 245kV </t>
  </si>
  <si>
    <t xml:space="preserve">SAO LUIS II|0008353/2023-SUBSTITUIR TRANSFORMADOR DE CORRENTE 230KV - LDTC6-01 FASE V-Serviço de Desmontagem, adequação de projeto, Montagem Eletromecânica e Comissionamento com Fornecimento de Materiais e infraestrutura para substituição de Transformadores de Corrente 245kV </t>
  </si>
  <si>
    <t xml:space="preserve">SAO LUIS II|0008355/2023-SUBSTITUIR TRANSFORMADOR DE CORRENTE 230KV - LDTC6-01 FASE B-Serviço de Desmontagem, adequação de projeto, Montagem Eletromecânica e Comissionamento com Fornecimento de Materiais e infraestrutura para substituição de Transformadores de Corrente 245kV </t>
  </si>
  <si>
    <t xml:space="preserve">SAO LUIS II|0008582/2023-SUBSTITUIR TRANSFORMADOR DE CORRENTE 230KV - LDTC6-01 FASE V-Serviço de Desmontagem, adequação de projeto, Montagem Eletromecânica e Comissionamento com Fornecimento de Materiais e infraestrutura para substituição de Transformadores de Corrente 245kV </t>
  </si>
  <si>
    <t xml:space="preserve">SAO LUIS II|0008591/2023-SUBSTITUIR TRANSFORMADOR DE CORRENTE 230KV - LDTC6-01 FASE B-Serviço de Desmontagem, adequação de projeto, Montagem Eletromecânica e Comissionamento com Fornecimento de Materiais e infraestrutura para substituição de Transformadores de Corrente 245kV </t>
  </si>
  <si>
    <t xml:space="preserve">SAO LUIS II|0008595/2023-SUBSTITUIR TRANSFORMADOR DE CORRENTE 230KV - LDTC6-01 FASE A-Serviço de Desmontagem, adequação de projeto, Montagem Eletromecânica e Comissionamento com Fornecimento de Materiais e infraestrutura para substituição de Transformadores de Corrente 245kV </t>
  </si>
  <si>
    <t xml:space="preserve">SAO LUIS II|0008605/2023-SUBSTITUIR TRANSFORMADOR DE CORRENTE 230KV - LDTC6-01 FASE V-Serviço de Desmontagem, adequação de projeto, Montagem Eletromecânica e Comissionamento com Fornecimento de Materiais e infraestrutura para substituição de Transformadores de Corrente 245kV </t>
  </si>
  <si>
    <t xml:space="preserve">SAO LUIS II|0008609/2023-SUBSTITUIR TRANSFORMADOR DE CORRENTE 230KV - LDTC6-01 FASE B-Serviço de Desmontagem, adequação de projeto, Montagem Eletromecânica e Comissionamento com Fornecimento de Materiais e infraestrutura para substituição de Transformadores de Corrente 245kV </t>
  </si>
  <si>
    <t xml:space="preserve">SAO LUIS II|0008613/2023-SUBSTITUIR TRANSFORMADOR DE CORRENTE 230KV - LDTC6-01 FASE A-Serviço de Desmontagem, adequação de projeto, Montagem Eletromecânica e Comissionamento com Fornecimento de Materiais e infraestrutura para substituição de Transformadores de Corrente 245kV </t>
  </si>
  <si>
    <t xml:space="preserve">SAO LUIS II|0008617/2023-SUBSTITUIR TRANSFORMADOR DE CORRENTE 230KV - LDTC6-01 FASE V-Serviço de Desmontagem, adequação de projeto, Montagem Eletromecânica e Comissionamento com Fornecimento de Materiais e infraestrutura para substituição de Transformadores de Corrente 245kV </t>
  </si>
  <si>
    <t xml:space="preserve">SAO LUIS II|0008618/2023-SUBSTITUIR TRANSFORMADOR DE CORRENTE 230KV - LDTC6-01 FASE B-Serviço de Desmontagem, adequação de projeto, Montagem Eletromecânica e Comissionamento com Fornecimento de Materiais e infraestrutura para substituição de Transformadores de Corrente 245kV </t>
  </si>
  <si>
    <t xml:space="preserve">SAO LUIS II|0008622/2023-SUBSTITUIR TRANSFORMADOR DE CORRENTE 230KV - LDTC6-01 FASE A-Serviço de Desmontagem, adequação de projeto, Montagem Eletromecânica e Comissionamento com Fornecimento de Materiais e infraestrutura para substituição de Transformadores de Corrente 245kV </t>
  </si>
  <si>
    <t xml:space="preserve">SAO LUIS II|0008909/2023-SUBSTITUIR TRANSFORMADOR DE CORRENTE 230KV - LDTC6-01 FASE A-Serviço de Desmontagem, adequação de projeto, Montagem Eletromecânica e Comissionamento com Fornecimento de Materiais e infraestrutura para substituição de Transformadores de Corrente 245kV </t>
  </si>
  <si>
    <t>COXIPO|0006923/2023-SUBSTITUIÇÃO DO DISJUNTOR CXDJ6-02 DA LINHA COXIPÓ-RONDONÓPOLIS 230KV C1.-Aquisição / Serviço de instalação e comissionamento de Disjuntores de 245kV
PA -MA - MT -RO</t>
  </si>
  <si>
    <t>JI-PARANA|0004165/2023-SUBSTITUIÇÃO DE 1 (UM) DISJUNTOR 230kV JPDB6-01, ASSOCIADO AO BAY DE INTERLIGAÇÃO DE BARRAS DA SUBESTAÇÃO JI-PARANA-Aquisição / Serviço de instalação e comissionamento de Disjuntores de 245kV
PA -MA - MT -RO</t>
  </si>
  <si>
    <t>UTINGA|0009316/2023-Substituição do disjuntor 230 kV (UGDJ6-07) com vida útil esgotada por um novo com características similares-Aquisição / Serviço de instalação e comissionamento de Disjuntores de 245kV
PA -MA - MT -RO</t>
  </si>
  <si>
    <t>VILA DO CONDE|0007791/2023-Substituição de componentes do mecanismo de acionamento de abertura e . fechamento de 01(um) Disjuntor de . 230KV -(VCDJ6-22) - associado a função TRANSFORMAÇÃO VCAT7-04.-Aquisição / Serviço de instalação e comissionamento de Disjuntores de 245kV
PA -MA - MT -RO</t>
  </si>
  <si>
    <t>SAO LUIS II|0004888/2023-Substituição dos sistemas de proteção e controle da linha LDLI-LT601 - Terminal São Luís II-</t>
  </si>
  <si>
    <t>SAO LUIS II|0004898/2023-Substituição dos sistemas de proteção e controle dos bancos de capacitores LDBC6-03 e LDBC6-04-</t>
  </si>
  <si>
    <t>SAO LUIS II|0004903/2023-Substituição dos sistemas de proteção e controle dos bancos de capacitores LDBC6-01 e LDBC6-02-</t>
  </si>
  <si>
    <t>SAO LUIS I|0004906/2023-Substituição dos sistemas de proteção e controle da linha LDLI-LT602 - Terminal São Luís I-</t>
  </si>
  <si>
    <t>SAO LUIS I|0004912/2023-SPCS - SISTEMA DE PROTEÇÃO DA LDLILT601-ELLI-LISPRLT-</t>
  </si>
  <si>
    <t>BARRA PEIXE|0006690/2023-REVITALIZAÇÃO DO REATOR BPRE6-02 COM SUBSTITUIÇÃO DE BUCHAS, VEDAÇÕES E VÁLVULAS, ALEM DE TRATAMENTO DO ÓLEO ISOLANTE E SECAGEM DA PARTE ATIVA.-</t>
  </si>
  <si>
    <t>COXIPO|0006904/2023-SUBSTITUIÇÃO DA CHAVE SECCIONADORA CXCA6-01.-</t>
  </si>
  <si>
    <t>COXIPO|0006910/2023-SUBSTITUIÇÃO DA CHAVE SECCIONADORA CXSB6-03 POR FIM DE VIDA ÚTIL.-</t>
  </si>
  <si>
    <t>COXIPO|0006911/2023-SUBSTITUIÇÃO DA CHAVE SECCIONADORA CXSD6-05.-</t>
  </si>
  <si>
    <t>COXIPO|0006912/2023-SUBSTITUIÇÃO DA CHAVE SECCIONADORA CXSD6-06.-</t>
  </si>
  <si>
    <t>COXIPO|0006915/2023-SUBSTITUIÇÃO DA CHAVE SECCIONADORA CXSR6-01-</t>
  </si>
  <si>
    <t>COXIPO|0006917/2023-SUBSTITUIÇÃO DA CHAVE SECCIONADORA CXSY6-02-</t>
  </si>
  <si>
    <t>COXIPO|0006928/2023-SUBSTITUIÇÃO DO PARA-RAIO FASE A DA EL DA RPCX-LT601 NA SE COXIPÓ.-</t>
  </si>
  <si>
    <t>COXIPO|0006937/2023-SUBSTITUIÇÃO DO PARA-RAIO FASE A DO REATOR CXRE6-01.-</t>
  </si>
  <si>
    <t>COXIPO|0006941/2023-SUBSTITUIÇÃO DO PARA-RAIO FASE B DA EL DA RPCX-LT601 NA SE COXIPÓ.-</t>
  </si>
  <si>
    <t>COXIPO|0006946/2023-SUBSTITUIÇÃO DO PARA-RAIO FASE B DO REATOR CXRE6-01.-</t>
  </si>
  <si>
    <t>COXIPO|0006968/2023-SUBSTITUIÇÃO DO PARA-RAIO FASE V DA EL DA RPCX-LT601 NA SE COXIPÓ.-</t>
  </si>
  <si>
    <t>COXIPO|0006971/2023-SUBSTITUIÇÃO DO PARA-RAIO FASE V DO REATOR CXRE6-01.-</t>
  </si>
  <si>
    <t>COXIPO|0006982/2023-Substituição do Sistema de Proteção Controle e Supervisão da linha Coxipó - Rondonópolis C1 e do reator número 1 da SE Coxipó (CXRE6-01), contemplando as cadeias principal e alternada.-</t>
  </si>
  <si>
    <t>RONDONOPOLIS|0007001/2023-Substituição do Sistema de Proteção Controle e Supervisão da linha Coxipó-Rondonópolis C1, contemplando as cadeias principal e alternada.-</t>
  </si>
  <si>
    <t>IMPERATRIZ|0008248/2023-Substituição de Transformador de Corrente associado ao IZDJ708 fase V-</t>
  </si>
  <si>
    <t>IMPERATRIZ|0008256/2023-Substituição de TC (Transformador de Corrente) associado ao IZDJ708 fase B-</t>
  </si>
  <si>
    <t>IMPERATRIZ|0008279/2023-Substituição de TC (Transformador de Corrente) associado ao IZDJ708 fase A-</t>
  </si>
  <si>
    <t>TUCURUI|0008348/2023-Instalação de 3 TCs de 500kV associado ao TCDJ7-2 (7TCGY2)-</t>
  </si>
  <si>
    <t>COXIPO|0008391/2023-SUBSTITUIÇÃO DO PARA-RAIO FASE A DO REATOR CXRE6-01.-</t>
  </si>
  <si>
    <t>COXIPO|0008531/2023-SUBSTITUIÇÃO DO PARA-RAIO FASE V DO REATOR CXRE6-01.-</t>
  </si>
  <si>
    <t>COXIPO|0008533/2023-SUBSTITUIÇÃO DO PARA-RAIO FASE B DO REATOR CXRE6-01.-</t>
  </si>
  <si>
    <t>COXIPO|0008539/2023-SUBSTITUIÇÃO DO PARA-RAIO FASE V DA EL DA RPCX-LT601 NA SE COXIPÓ.-</t>
  </si>
  <si>
    <t>COXIPO|0008542/2023-SUBSTITUIÇÃO DO PARA-RAIO FASE B DA EL DA RPCX-LT601 NA SE COXIPÓ.-</t>
  </si>
  <si>
    <t>COXIPO|0008543/2023-SUBSTITUIÇÃO DO PARA-RAIO FASE A DA EL DA RPCX-LT601 NA SE COXIPÓ.-</t>
  </si>
  <si>
    <t>IMPERATRIZ|0008907/2023-Substituição de TC (Transformador de Corrente) associado ao IZDJ706 fase B-</t>
  </si>
  <si>
    <t>IMPERATRIZ|0008917/2023-SUBSTITUIÇÃO DA BUCHA DE 500 kV DO REATOR IZRE7-04, FASE "B".-</t>
  </si>
  <si>
    <t>IMPERATRIZ|0008945/2023-SUBSTITUIÇÃO DO DISJUNTOR IZDJ6-06.-</t>
  </si>
  <si>
    <t>IMPERATRIZ|0008946/2023-SUBSTITUIÇÃO DO DISJUNTOR IZDJ6-09.-</t>
  </si>
  <si>
    <t>SAO LUIS II|0009052/2023-SUBSTITUIÇÃO DO SISTEMA DE PROTEÇAO, COMANDO E SUPERVISÃO DO BAY DA LINHA LDLILT602-ELLD-LDSPRLT-</t>
  </si>
  <si>
    <t>SAO LUIS II|0009054/2023-SUBSTITUIÇÃO DO SISTEMA DE PROTEÇAO, COMANDO E SUPERVISÃO DO BAY DA LINHA LDLILT601-ELLD-LDSPRLT-</t>
  </si>
  <si>
    <t>IMPERATRIZ|0009062/2023-SUBSTITUIÇÃO DE CONJUNTO DE BUCHAS DE 69 kV, FASES "A", "B" E "V" DO TRANSFORMADOR IZTF6-04.-</t>
  </si>
  <si>
    <t>SAO LUIS II|0009063/2023-SUBSTITUIÇÃO DO SISTEMA DE PROTEÇAO, COMANDO E SUPERVISÃO DO BAY DA LINHA LDMRLT601-ELLD-LDSPRLT-</t>
  </si>
  <si>
    <t>IMPERATRIZ|0009066/2023-SUBSTITUIÇÃO DE CONJUNTO DE BUCHAS DE 230 kV, FASES "A", "B" E "V" DO TRANSFORMADOR IZTF6-04.-</t>
  </si>
  <si>
    <t>COELHO NETO|0009068/2023-Substituição do quadro de Serviços auxiliares de 125 VCC PSA3 da sala de comando da SE Coelho Neto 230 kV-</t>
  </si>
  <si>
    <t>IMPERATRIZ|0009077/2023-SUBSTITUIÇÃO DE PARA RAIO 230KV DO IZTF6-04 - IZPR601 - FASE V-</t>
  </si>
  <si>
    <t>IMPERATRIZ|0009082/2023-SUBSTITUIÇÃO DE PARA RAIO 230KV DO IZTF6-04 - IZPR601 - FASE B-</t>
  </si>
  <si>
    <t>SAO LUIS II|0009095/2023-SUBSTITUICÃO DO SISTEMA DE PROTEÇÃO DE 500 kV DO BANCO DE AUTOTRANSFORMADORES LDAT7-01-</t>
  </si>
  <si>
    <t>SAO LUIS II|0009170/2023-SUBSTITUIÇÃO DO DISJUNTOR LDDJ6-18-</t>
  </si>
  <si>
    <t>IMPERATRIZ|0009249/2023-SUBSTITUIÇÃO DE PARA RAIO DO REATOR MCIZRE7-04 DA LINHA IZPDLT7-02 - IZPR701 - FASE A-</t>
  </si>
  <si>
    <t>IMPERATRIZ|0009251/2023-SUBSTITUIÇÃO DE PARA RAIO DO REATOR MCIZRE7-04 DA LINHA IZPDLT7-02 - IZPR701 - FASE B-</t>
  </si>
  <si>
    <t>IMPERATRIZ|0009252/2023-SUBSTITUIÇÃO DE PARA RAIO DO REATOR MCIZRE7-04 DA LINHA IZPDLT7-02 - IZPR701 - FASE V-</t>
  </si>
  <si>
    <t>SAO LUIS II|0009276/2023-SUBSTITUIÇÃO DE UM TPC DE 230 kV, LDLI-LT6-01-ELLD-LDTP6-01, FASE "A"-</t>
  </si>
  <si>
    <t>SAO LUIS II|0009277/2023-SUBSTITUIÇÃO DE UM TPC DE 230 kV, LDLI-LT6-01-ELLD-LDTP6-01, FASE "V"-</t>
  </si>
  <si>
    <t>SAO LUIS II|0009280/2023-SUBSTITUIÇÃO DE UM TPC DE 230 kV, LDLI-LT6-02-ELLD-LDTP6-01, FASE "A"-</t>
  </si>
  <si>
    <t>PORTO FRANCO|0009365/2023-SUBSTITUIÇÃO DO DISJUNTOR PFDB4-01-</t>
  </si>
  <si>
    <t>SAO LUIS II|0009375/2023-SUBSTITUIÇÃO DE UM TPC DE 230 kV, LDLI-LT6-01-ELLD-LDTP6-01, FASE "B"-</t>
  </si>
  <si>
    <t>PORTO VELHO|0009411/2023-MODERNIZAÇÃO DE CUBÍCULO DE 13,8kV COM SUBSTITUIÇÃO COMPLETA-</t>
  </si>
  <si>
    <t>IMPERATRIZ|0007799/2023-SUBSTITUIÇÃO DE BUCHAS, VEDAÇÕES, PAINEL DE INSTRUMENTAÇÃO/VENTILAÇÃO, VÁLVULAS, RELÉS DE GÁS E BOLSA DE EXPANSÃO, ETC, DO IZRE7-14 FASE RESERVA.-SUBSTITUIÇÃO DE BUCHAS, VEDAÇÕES, PAINEL DE INSTRUMENTAÇÃO/VENTILAÇÃO, VÁLVULAS, RELÉS DE GÁS E BOLSA DE EXPANSÃO, ETC DE EQUIPAMENTOS</t>
  </si>
  <si>
    <t>MIRANDA II|0007797/2023-SUBSTITUIÇÃO DE BUCHAS, VEDAÇÕES, PAINEL DE INSTRUMENTAÇÃO/VENTILAÇÃO, VÁLVULAS, RELÉS DE GÁS E BOLSA DE EXPANSÃO, ETC, DO MRRE6-02-SUBSTITUIÇÃO DE BUCHAS, VEDAÇÕES, PAINEL DE INSTRUMENTAÇÃO/VENTILAÇÃO, VÁLVULAS, RELÉS DE GÁS E BOLSA DE EXPANSÃO, ETC DE EQUIPAMENTOS</t>
  </si>
  <si>
    <t>VILA DO CONDE|0006852/2023-Substituição do Transformador de corrente de 230 kV fase "V" Vão C SECÇÃO X - (VCDJ6 28) - VCTF6 02-Aquisição de 160 conectores de expansão barra chata - tubo 4 polegadas IPS para utilização na instalação dos Transformadores de Corrente de 245 kV das Subestações de Guamá, Utinga, Marabá e Vila do Conde</t>
  </si>
  <si>
    <t>VILA DO CONDE|0007224/2023-Substituição do Transformador de corrente de 230 kV fase "B" Vão C SECÇÃO X - (VCDJ6 28) - VCTF6 02-Aquisição de 160 conectores de expansão barra chata - tubo 4 polegadas IPS para utilização na instalação dos Transformadores de Corrente de 245 kV das Subestações de Guamá, Utinga, Marabá e Vila do Conde</t>
  </si>
  <si>
    <t>VILA DO CONDE|0007233/2023-Substituição do Transformador de corrente de 230 kV fase "A" Vão C SECÇÃO X - (VCDJ6 28) - VCTF6 02-Aquisição de 160 conectores de expansão barra chata - tubo 4 polegadas IPS para utilização na instalação dos Transformadores de Corrente de 245 kV das Subestações de Guamá, Utinga, Marabá e Vila do Conde</t>
  </si>
  <si>
    <t xml:space="preserve">SAO LUIS I|0008541/2023-SUBSTITUIR TRANSFORMADOR DE CORRENTE 230KV -TF603-MC230-LITC601, FASE A, FASE B, FASE V-Serviço de Desmontagem, adequação de projeto, Montagem Eletromecânica e Comissionamento com Fornecimento de Materiais e infraestrutura para substituição de Transformadores de Corrente 245kV </t>
  </si>
  <si>
    <t xml:space="preserve">VILA DO CONDE|0006852/2023-Substituição do Transformador de corrente de 230 kV fase "V" Vão C SECÇÃO X - (VCDJ6 28) - VCTF6 02-Serviço de Desmontagem, adequação de projeto, Montagem Eletromecânica e Comissionamento com Fornecimento de Materiais e infraestrutura para substituição de Transformadores de Corrente 245kV </t>
  </si>
  <si>
    <t xml:space="preserve">VILA DO CONDE|0007224/2023-Substituição do Transformador de corrente de 230 kV fase "B" Vão C SECÇÃO X - (VCDJ6 28) - VCTF6 02-Serviço de Desmontagem, adequação de projeto, Montagem Eletromecânica e Comissionamento com Fornecimento de Materiais e infraestrutura para substituição de Transformadores de Corrente 245kV </t>
  </si>
  <si>
    <t xml:space="preserve">VILA DO CONDE|0007233/2023-Substituição do Transformador de corrente de 230 kV fase "A" Vão C SECÇÃO X - (VCDJ6 28) - VCTF6 02-Serviço de Desmontagem, adequação de projeto, Montagem Eletromecânica e Comissionamento com Fornecimento de Materiais e infraestrutura para substituição de Transformadores de Corrente 245kV </t>
  </si>
  <si>
    <t>JI-PARANA|0004166/2023-SUBSTITUIÇÃO DE 01 (UM) DISJUNTOR 230kV JPDJ6-07, ASSOCIADO AO BAY DO AUTOTRANSFORMADOR 01 DA SUBESTAÇÃO JI-PARANÁ-Aquisição / Serviço de instalação e comissionamento de Disjuntores de 245kV
PA -MA - MT -RO</t>
  </si>
  <si>
    <t>SANTA MARIA|0007794/2023-Substituição de componentes do mecanismo de acionamento de abertura e . fechamento de 01(um) Disjuntor de . 230KV - (SRDJ6-10) - associado a função SRBC6-02.-Aquisição / Serviço de instalação e comissionamento de Disjuntores de 245kV
PA -MA - MT -RO</t>
  </si>
  <si>
    <t>JI-PARANA|0003101/2023-SUBSTITUIÇÃO DE CHAVE SECCIONADORA 230kV, JPSY6-07, ASSOCIADA AO AUTOTRANSFORMADOR 02 DA SUBESTAÇÃO JI-PARANÁ-Aquisição de chave seccionadora de 69 e 230kV para as subestações da Eletronorte em RO e AC</t>
  </si>
  <si>
    <t>JI-PARANA|0003159/2023-SUBSTITUIÇÃO DE CHAVE SECCIONADORA 230kV, JPSB6-14, ASSOCIADA AO AUTOTRANSFORMADOR 02 DA SUBESTAÇÃO JI-PARANÁ-Aquisição de chave seccionadora de 69 e 230kV para as subestações da Eletronorte em RO e AC</t>
  </si>
  <si>
    <t>MIRANDA II|0008762/2023-SUBSTITUIÇÃO DE BUCHAS, VEDAÇÕES, PAINEL DE INSTRUMENTAÇÃO/VENTILAÇÃO, VÁLVULAS, RELÉS DE GÁS E BOLSA DE EXPANSÃO, ETC, DO MRRE6-01-SUBSTITUIÇÃO DE BUCHAS, VEDAÇÕES, PAINEL DE INSTRUMENTAÇÃO/VENTILAÇÃO, VÁLVULAS, RELÉS DE GÁS E BOLSA DE EXPANSÃO, ETC DE EQUIPAMENTOS</t>
  </si>
  <si>
    <t>MARABA|0009058/2023-Substituição do Transformador de corrente de 230 kV fase "V" Vão CX -MBCJ LT6 01-Aquisição de 160 conectores de expansão barra chata - tubo 4 polegadas IPS para utilização na instalação dos Transformadores de Corrente de 245 kV das Subestações de Guamá, Utinga, Marabá e Vila do Conde</t>
  </si>
  <si>
    <t>MARABA|0009064/2023-Substituição do Transformador de corrente de 230 kV fase "B" Vão CX -MBCJ LT6 01-Aquisição de 160 conectores de expansão barra chata - tubo 4 polegadas IPS para utilização na instalação dos Transformadores de Corrente de 245 kV das Subestações de Guamá, Utinga, Marabá e Vila do Conde</t>
  </si>
  <si>
    <t>MARABA|0009073/2023-Substituição do Transformador de corrente de 230 kV fase "A" Vão CX -MBCJ LT6 01-Aquisição de 160 conectores de expansão barra chata - tubo 4 polegadas IPS para utilização na instalação dos Transformadores de Corrente de 245 kV das Subestações de Guamá, Utinga, Marabá e Vila do Conde</t>
  </si>
  <si>
    <t>UTINGA|0007298/2023-Substituição do Transformador de corrente de 230 kV fase "V" Vão EX -UGMT LI6 02-Aquisição de 160 conectores de expansão barra chata - tubo 4 polegadas IPS para utilização na instalação dos Transformadores de Corrente de 245 kV das Subestações de Guamá, Utinga, Marabá e Vila do Conde</t>
  </si>
  <si>
    <t>UTINGA|0007317/2023-Substituição do Transformador de corrente de 230 kV fase "B" Vão EX -UGMT LI6 02-Aquisição de 160 conectores de expansão barra chata - tubo 4 polegadas IPS para utilização na instalação dos Transformadores de Corrente de 245 kV das Subestações de Guamá, Utinga, Marabá e Vila do Conde</t>
  </si>
  <si>
    <t>UTINGA|0007701/2023-Substituição do Transformador de corrente de 230 kV fase "A" Vão EX -UGMT LI6 02-Aquisição de 160 conectores de expansão barra chata - tubo 4 polegadas IPS para utilização na instalação dos Transformadores de Corrente de 245 kV das Subestações de Guamá, Utinga, Marabá e Vila do Conde</t>
  </si>
  <si>
    <t>UTINGA|0007707/2023-Substituição do Transformador de corrente de 230 kV fase "V" Vão FX -UGMT LI6 01-Aquisição de 160 conectores de expansão barra chata - tubo 4 polegadas IPS para utilização na instalação dos Transformadores de Corrente de 245 kV das Subestações de Guamá, Utinga, Marabá e Vila do Conde</t>
  </si>
  <si>
    <t>UTINGA|0007715/2023-Substituição do Transformador de corrente de 230 kV fase "B" Vão FX -UGMT LI6 01-Aquisição de 160 conectores de expansão barra chata - tubo 4 polegadas IPS para utilização na instalação dos Transformadores de Corrente de 245 kV das Subestações de Guamá, Utinga, Marabá e Vila do Conde</t>
  </si>
  <si>
    <t>UTINGA|0007722/2023-Substituição do Transformador de corrente de 230 kV fase "A" Vão FX -UGMT LI6 01-Aquisição de 160 conectores de expansão barra chata - tubo 4 polegadas IPS para utilização na instalação dos Transformadores de Corrente de 245 kV das Subestações de Guamá, Utinga, Marabá e Vila do Conde</t>
  </si>
  <si>
    <t>VILA DO CONDE|0008865/2023-SUBSTITUIÇÃO TRANSFORMADOR DE CORRENTE DE 230 KV DO VÃO K SECÇÃO Z FB (VCDJ6 06)-Aquisição de 160 conectores de expansão barra chata - tubo 4 polegadas IPS para utilização na instalação dos Transformadores de Corrente de 245 kV das Subestações de Guamá, Utinga, Marabá e Vila do Conde</t>
  </si>
  <si>
    <t>VILA DO CONDE|0008870/2023-SUBSTITUIÇÃO TRANSFORMADOR DE CORRENTE DE 230 KV DO VÃO K SECCÇÃO Z FA (VCDJ6 06)-Aquisição de 160 conectores de expansão barra chata - tubo 4 polegadas IPS para utilização na instalação dos Transformadores de Corrente de 245 kV das Subestações de Guamá, Utinga, Marabá e Vila do Conde</t>
  </si>
  <si>
    <t>VILA DO CONDE|0008920/2023-SUBSTITUIÇÃO TRANSFORMADOR DE CORRENTE DE 230 KV DO VÃO K SECÇÃO Z FV (VCDJ6 06)-Aquisição de 160 conectores de expansão barra chata - tubo 4 polegadas IPS para utilização na instalação dos Transformadores de Corrente de 245 kV das Subestações de Guamá, Utinga, Marabá e Vila do Conde</t>
  </si>
  <si>
    <t xml:space="preserve">MARABA|0009058/2023-Substituição do Transformador de corrente de 230 kV fase "V" Vão CX -MBCJ LT6 01-Serviço de Desmontagem, adequação de projeto, Montagem Eletromecânica e Comissionamento com Fornecimento de Materiais e infraestrutura para substituição de Transformadores de Corrente 245kV </t>
  </si>
  <si>
    <t xml:space="preserve">MARABA|0009064/2023-Substituição do Transformador de corrente de 230 kV fase "B" Vão CX -MBCJ LT6 01-Serviço de Desmontagem, adequação de projeto, Montagem Eletromecânica e Comissionamento com Fornecimento de Materiais e infraestrutura para substituição de Transformadores de Corrente 245kV </t>
  </si>
  <si>
    <t xml:space="preserve">MARABA|0009073/2023-Substituição do Transformador de corrente de 230 kV fase "A" Vão CX -MBCJ LT6 01-Serviço de Desmontagem, adequação de projeto, Montagem Eletromecânica e Comissionamento com Fornecimento de Materiais e infraestrutura para substituição de Transformadores de Corrente 245kV </t>
  </si>
  <si>
    <t xml:space="preserve">SAO LUIS I|0008548/2023-SUBSTITUIR TRANSFORMADOR DE CORRENTE 230KV -TF602-MC230-LITC601, FASE A, FASE B, FASE V-Serviço de Desmontagem, adequação de projeto, Montagem Eletromecânica e Comissionamento com Fornecimento de Materiais e infraestrutura para substituição de Transformadores de Corrente 245kV </t>
  </si>
  <si>
    <t xml:space="preserve">UTINGA|0007298/2023-Substituição do Transformador de corrente de 230 kV fase "V" Vão EX -UGMT LI6 02-Serviço de Desmontagem, adequação de projeto, Montagem Eletromecânica e Comissionamento com Fornecimento de Materiais e infraestrutura para substituição de Transformadores de Corrente 245kV </t>
  </si>
  <si>
    <t xml:space="preserve">UTINGA|0007317/2023-Substituição do Transformador de corrente de 230 kV fase "B" Vão EX -UGMT LI6 02-Serviço de Desmontagem, adequação de projeto, Montagem Eletromecânica e Comissionamento com Fornecimento de Materiais e infraestrutura para substituição de Transformadores de Corrente 245kV </t>
  </si>
  <si>
    <t xml:space="preserve">UTINGA|0007701/2023-Substituição do Transformador de corrente de 230 kV fase "A" Vão EX -UGMT LI6 02-Serviço de Desmontagem, adequação de projeto, Montagem Eletromecânica e Comissionamento com Fornecimento de Materiais e infraestrutura para substituição de Transformadores de Corrente 245kV </t>
  </si>
  <si>
    <t xml:space="preserve">UTINGA|0007707/2023-Substituição do Transformador de corrente de 230 kV fase "V" Vão FX -UGMT LI6 01-Serviço de Desmontagem, adequação de projeto, Montagem Eletromecânica e Comissionamento com Fornecimento de Materiais e infraestrutura para substituição de Transformadores de Corrente 245kV </t>
  </si>
  <si>
    <t xml:space="preserve">UTINGA|0007715/2023-Substituição do Transformador de corrente de 230 kV fase "B" Vão FX -UGMT LI6 01-Serviço de Desmontagem, adequação de projeto, Montagem Eletromecânica e Comissionamento com Fornecimento de Materiais e infraestrutura para substituição de Transformadores de Corrente 245kV </t>
  </si>
  <si>
    <t xml:space="preserve">UTINGA|0007722/2023-Substituição do Transformador de corrente de 230 kV fase "A" Vão FX -UGMT LI6 01-Serviço de Desmontagem, adequação de projeto, Montagem Eletromecânica e Comissionamento com Fornecimento de Materiais e infraestrutura para substituição de Transformadores de Corrente 245kV </t>
  </si>
  <si>
    <t xml:space="preserve">VILA DO CONDE|0008865/2023-SUBSTITUIÇÃO TRANSFORMADOR DE CORRENTE DE 230 KV DO VÃO K SECÇÃO Z FB (VCDJ6 06)-Serviço de Desmontagem, adequação de projeto, Montagem Eletromecânica e Comissionamento com Fornecimento de Materiais e infraestrutura para substituição de Transformadores de Corrente 245kV </t>
  </si>
  <si>
    <t xml:space="preserve">VILA DO CONDE|0008870/2023-SUBSTITUIÇÃO TRANSFORMADOR DE CORRENTE DE 230 KV DO VÃO K SECCÇÃO Z FA (VCDJ6 06)-Serviço de Desmontagem, adequação de projeto, Montagem Eletromecânica e Comissionamento com Fornecimento de Materiais e infraestrutura para substituição de Transformadores de Corrente 245kV </t>
  </si>
  <si>
    <t xml:space="preserve">VILA DO CONDE|0008920/2023-SUBSTITUIÇÃO TRANSFORMADOR DE CORRENTE DE 230 KV DO VÃO K SECÇÃO Z FV (VCDJ6 06)-Serviço de Desmontagem, adequação de projeto, Montagem Eletromecânica e Comissionamento com Fornecimento de Materiais e infraestrutura para substituição de Transformadores de Corrente 245kV </t>
  </si>
  <si>
    <t>4462</t>
  </si>
  <si>
    <t>SAO LUIS I|0008929/2023-SUBSTITUIR DISJUNTOR 69KV LIDJ4-02-DISJUNTOR (MAIOR OU IGUAL 69 KV) São Luis I</t>
  </si>
  <si>
    <t>ABUNA|0004171/2023-SUBSTITUIÇÃO DE DISJUNTOR 230kV NA SE ABUNÃ-Aquisição / Serviço de instalação e comissionamento de Disjuntores de 245kV
PA -MA - MT -RO</t>
  </si>
  <si>
    <t>GUAMA|0007782/2023-Substituição de componentes do mecanismo de acionamento de abertura e . fechamento de 01(um) Disjuntor de . 230KV - (GMDJ6-06) - associado a função transmissão GMTF603.-Aquisição / Serviço de instalação e comissionamento de Disjuntores de 245kV
PA -MA - MT -RO</t>
  </si>
  <si>
    <t>TUCURUI|0007790/2023-Substituição de componentes do mecanismo de acionamento de abertura e fechamento de 01(um) Disjuntor de 230KV -(TCDJ6-10) - associado a função TRANSFORMAÇÃO TCAT6-03.-Aquisição / Serviço de instalação e comissionamento de Disjuntores de 245kV
PA -MA - MT -RO</t>
  </si>
  <si>
    <t>UTINGA|0007785/2023-Substituição de componentes do mecanismo de acionamento de abertura e . fechamento de 01(um) Disjuntor de . 230KV -(UGDJ6-12) - associado a função TRANSFORMAÇÃO UGTF604.-Aquisição / Serviço de instalação e comissionamento de Disjuntores de 245kV
PA -MA - MT -RO</t>
  </si>
  <si>
    <t>RIO BRANCO I|0003191/2023-SUBSTITUIÇÃO DE CHAVE SECCIONADORA 230kV - RBSY605 - NA SUBESTAÇÃO RIO BRANCO-Aquisição de chave seccionadora de 69 e 230kV para as subestações da Eletronorte em RO e AC</t>
  </si>
  <si>
    <t>VILA DO CONDE|0006790/2023-Substituição do Transformador de corrente de 230 kV fase "V" Vão D SECÇÃO Z (VCDJ6 27)-Aquisição de 160 conectores de expansão barra chata - tubo 4 polegadas IPS para utilização na instalação dos Transformadores de Corrente de 245 kV das Subestações de Guamá, Utinga, Marabá e Vila do Conde</t>
  </si>
  <si>
    <t>VILA DO CONDE|0006791/2023-Substituição do Transformador de corrente de 230 kV fase "B" Vão D SECÇÃO Z (VCDJ6 27)-Aquisição de 160 conectores de expansão barra chata - tubo 4 polegadas IPS para utilização na instalação dos Transformadores de Corrente de 245 kV das Subestações de Guamá, Utinga, Marabá e Vila do Conde</t>
  </si>
  <si>
    <t>VILA DO CONDE|0006793/2023-Substituição do Transformador de corrente de 230 kV fase "A" Vão D SECÇÃO Z (VCDJ6 27)-Aquisição de 160 conectores de expansão barra chata - tubo 4 polegadas IPS para utilização na instalação dos Transformadores de Corrente de 245 kV das Subestações de Guamá, Utinga, Marabá e Vila do Conde</t>
  </si>
  <si>
    <t>VILA DO CONDE|0006799/2023-Substituição do Transformador de corrente de 230 kV fase "V" Vão C SECÇÃO Z- (VCDJ6 30)-Aquisição de 160 conectores de expansão barra chata - tubo 4 polegadas IPS para utilização na instalação dos Transformadores de Corrente de 245 kV das Subestações de Guamá, Utinga, Marabá e Vila do Conde</t>
  </si>
  <si>
    <t>VILA DO CONDE|0006801/2023-Substituição do Transformador de corrente de 230 kV fase "B" Vão C SECÇÃO Z- (VCDJ6 30)-Aquisição de 160 conectores de expansão barra chata - tubo 4 polegadas IPS para utilização na instalação dos Transformadores de Corrente de 245 kV das Subestações de Guamá, Utinga, Marabá e Vila do Conde</t>
  </si>
  <si>
    <t>VILA DO CONDE|0006806/2023-Substituição do Transformador de corrente de 230 kV fase "A" Vão C SECÇÃO Z- (VCDJ6 30)-Aquisição de 160 conectores de expansão barra chata - tubo 4 polegadas IPS para utilização na instalação dos Transformadores de Corrente de 245 kV das Subestações de Guamá, Utinga, Marabá e Vila do Conde</t>
  </si>
  <si>
    <t xml:space="preserve">VILA DO CONDE|0006790/2023-Substituição do Transformador de corrente de 230 kV fase "V" Vão D SECÇÃO Z (VCDJ6 27)-Serviço de Desmontagem, adequação de projeto, Montagem Eletromecânica e Comissionamento com Fornecimento de Materiais e infraestrutura para substituição de Transformadores de Corrente 245kV </t>
  </si>
  <si>
    <t xml:space="preserve">VILA DO CONDE|0006791/2023-Substituição do Transformador de corrente de 230 kV fase "B" Vão D SECÇÃO Z (VCDJ6 27)-Serviço de Desmontagem, adequação de projeto, Montagem Eletromecânica e Comissionamento com Fornecimento de Materiais e infraestrutura para substituição de Transformadores de Corrente 245kV </t>
  </si>
  <si>
    <t xml:space="preserve">VILA DO CONDE|0006793/2023-Substituição do Transformador de corrente de 230 kV fase "A" Vão D SECÇÃO Z (VCDJ6 27)-Serviço de Desmontagem, adequação de projeto, Montagem Eletromecânica e Comissionamento com Fornecimento de Materiais e infraestrutura para substituição de Transformadores de Corrente 245kV </t>
  </si>
  <si>
    <t xml:space="preserve">VILA DO CONDE|0006799/2023-Substituição do Transformador de corrente de 230 kV fase "V" Vão C SECÇÃO Z- (VCDJ6 30)-Serviço de Desmontagem, adequação de projeto, Montagem Eletromecânica e Comissionamento com Fornecimento de Materiais e infraestrutura para substituição de Transformadores de Corrente 245kV </t>
  </si>
  <si>
    <t xml:space="preserve">VILA DO CONDE|0006801/2023-Substituição do Transformador de corrente de 230 kV fase "B" Vão C SECÇÃO Z- (VCDJ6 30)-Serviço de Desmontagem, adequação de projeto, Montagem Eletromecânica e Comissionamento com Fornecimento de Materiais e infraestrutura para substituição de Transformadores de Corrente 245kV </t>
  </si>
  <si>
    <t xml:space="preserve">VILA DO CONDE|0006806/2023-Substituição do Transformador de corrente de 230 kV fase "A" Vão C SECÇÃO Z- (VCDJ6 30)-Serviço de Desmontagem, adequação de projeto, Montagem Eletromecânica e Comissionamento com Fornecimento de Materiais e infraestrutura para substituição de Transformadores de Corrente 245kV </t>
  </si>
  <si>
    <t>C.PORTO VELHO|0003161/2023-SUBSTITUIÇÃO DO BANCO DE BATERIAS 1 DA CASA DE RELÉS 230kV-Fornecimento de bancos de baterias alcalinas, em conformidade com o IEC 62259 , incluindo desmontar os bancos a serem substituídos, montar e testar os bancos a serem fornecidos, realizar a logística reversa e o descarte apropriado dos bancos de baterias desmontados pela Contratada.</t>
  </si>
  <si>
    <t>CARAJAS|0007789/2023-Substituição de componentes do mecanismo de acionamento de abertura e . fechamento de 01(um) Disjuntor de . 230KV -(CJDJ6-01) - associado a função CJSE-LT6-01.-Aquisição / Serviço de instalação e comissionamento de Disjuntores de 245kV
PA -MA - MT -RO</t>
  </si>
  <si>
    <t>IMPERATRIZ||-|-DESMONTAGEM IZCL7-03</t>
  </si>
  <si>
    <t>IMPERATRIZ|0008663/2023-SUBSTITUIÇÃO DO GRUPO GERADOR DE EMERGENCIA NUM. 01 DA SE IMPERATRIZ IZSAE01, POR OUTRO DE MAIOR POTÊNCIA.-AQUISIÇÃO DE 02 GDGS PARA A SEIZ</t>
  </si>
  <si>
    <t>IMPERATRIZ|0007763/2023-SUBSTITUIÇÃO DE BUCHAS, VEDAÇÕES, PAINEL DE INSTRUMENTAÇÃO/VENTILAÇÃO, VÁLVULAS, RELÉS DE GÁS E BOLSA DE EXPANSÃO, ETC, DO IZRE7-14 FASE V-SUBSTITUIÇÃO DE BUCHAS, VEDAÇÕES, PAINEL DE INSTRUMENTAÇÃO/VENTILAÇÃO, VÁLVULAS, RELÉS DE GÁS E BOLSA DE EXPANSÃO, ETC DE EQUIPAMENTOS</t>
  </si>
  <si>
    <t>IMPERATRIZ|0007798/2023-SUBSTITUIÇÃO DE BUCHAS, VEDAÇÕES, PAINEL DE INSTRUMENTAÇÃO/VENTILAÇÃO, VÁLVULAS, RELÉS DE GÁS E BOLSA DE EXPANSÃO, ETC, DO IZRE7-14 FASE B-SUBSTITUIÇÃO DE BUCHAS, VEDAÇÕES, PAINEL DE INSTRUMENTAÇÃO/VENTILAÇÃO, VÁLVULAS, RELÉS DE GÁS E BOLSA DE EXPANSÃO, ETC DE EQUIPAMENTOS</t>
  </si>
  <si>
    <t>P.DUTRA|0008767/2023-SUBSTITUIÇÃO DE BUCHAS, VEDAÇÕES, PAINEL DE INSTRUMENTAÇÃO/VENTILAÇÃO, VÁLVULAS, RELÉS DE GÁS E BOLSA DE EXPANSÃO, ETC, DO PDRE7-09 FASE B-SUBSTITUIÇÃO DE BUCHAS, VEDAÇÕES, PAINEL DE INSTRUMENTAÇÃO/VENTILAÇÃO, VÁLVULAS, RELÉS DE GÁS E BOLSA DE EXPANSÃO, ETC DE EQUIPAMENTOS</t>
  </si>
  <si>
    <t>TRANSAMAZONIC|0009347/2023-Instalação de Reator Monofásico de Aterramento de Neutro, 72,5 kV, 430 ohms, 60 HZ, para uso na Subestação Transamazônica-Pa, conforme especificação técnica SOP-097-26080-99-EP-R00.-Instalações eletromecânicas, confecção de base de concreto, cerca metálica e do reator de neutro e para-raios de 69 kV do reator principal (TMRE6 01)</t>
  </si>
  <si>
    <t>TRANSAMAZONIC|0009347/2023-Instalação de Reator Monofásico de Aterramento de Neutro, 72,5 kV, 430 ohms, 60 HZ, para uso na Subestação Transamazônica-Pa, conforme especificação técnica SOP-097-26080-99-EP-R00.-Aquisição de Reator de Neutro, 72,5KV, 430 OHMS (TMRN2-01)</t>
  </si>
  <si>
    <t>TRANSAMAZONIC|0009347/2023-Instalação de Reator Monofásico de Aterramento de Neutro, 72,5 kV, 430 ohms, 60 HZ, para uso na Subestação Transamazônica-Pa, conforme especificação técnica SOP-097-26080-99-EP-R00.-Aquisição de TCs (71 unidades)245kV + (5 unidades)550kV</t>
  </si>
  <si>
    <t>ARARAQUARA 2|0003174/2023-SUBSTITUIÇÃO DO BANCO DE BATERIAS DO POLO 2 DA SUBESTAÇÃO ARARAQUARA-Fornecimento de bancos de baterias alcalinas, em conformidade com o IEC 62259 , incluindo desmontar os bancos a serem substituídos, montar e testar os bancos a serem fornecidos, realizar a logística reversa e o descarte apropriado dos bancos de baterias desmontados pela Contratada.</t>
  </si>
  <si>
    <t>ARARAQUARA 2|0003176/2023-SUBSTITUIÇÃO DO BANCO DE BATERIAS DO POLO 1 DA SUBESTAÇÃO ARARAQUARA-Fornecimento de bancos de baterias alcalinas, em conformidade com o IEC 62259 , incluindo desmontar os bancos a serem substituídos, montar e testar os bancos a serem fornecidos, realizar a logística reversa e o descarte apropriado dos bancos de baterias desmontados pela Contratada.</t>
  </si>
  <si>
    <t>SAO LUIS I|0008624/2023-SUBSTITUIR DISJUNTOR 69KV LIDJ4-07-DISJUNTOR (MAIOR OU IGUAL 69 KV) São Luis I</t>
  </si>
  <si>
    <t>SAO LUIS I|0008628/2023-SUBSTITUIÇÃO DO DISJUNTOR LIDJ4-10-DISJUNTOR (MAIOR OU IGUAL 69 KV) São Luis I</t>
  </si>
  <si>
    <t>SAO LUIS I|0008631/2023-SUBSTITUIÇÃO DO DISJUNTOR PFDJ4-08-DISJUNTOR (MAIOR OU IGUAL 69 KV) São Luis I</t>
  </si>
  <si>
    <t>SAO LUIS I|0008670/2023-SUBSTITUIÇÃO DO DISJUNTOR LIDJ4-03-DISJUNTOR (MAIOR OU IGUAL 69 KV) São Luis I</t>
  </si>
  <si>
    <t>SAO LUIS I|0008675/2023-SUBSTITUIR DISJUNTOR 69KV LIDJ4-05-DISJUNTOR (MAIOR OU IGUAL 69 KV) São Luis I</t>
  </si>
  <si>
    <t>SAO LUIS I|0008727/2023-SUBSTITUIR DISJUNTOR 69KV LIDJ4-04-DISJUNTOR (MAIOR OU IGUAL 69 KV) São Luis I</t>
  </si>
  <si>
    <t>SAO LUIS I|0008798/2023-SUBSTITUIÇÃO DO DISJUNTOR LIDJ4-14-DISJUNTOR (MAIOR OU IGUAL 69 KV) São Luis I</t>
  </si>
  <si>
    <t>SAO LUIS I|0009006/2023-SUBSTITUIR DISJUNTOR 69KV LIDJ4-01-DISJUNTOR (MAIOR OU IGUAL 69 KV) São Luis I</t>
  </si>
  <si>
    <t>ABUNA|0009356/2023-INSTALAÇÃO DE FILTRO DE ÓLEO MOTORIZADO NO COMUTADOR DE TAP DO ANAT601 NA SUBESTAÇÃO ABUNÃ-Aquisição de Filtro Motorizado com fornecimento de peças e serviço de instalação</t>
  </si>
  <si>
    <t>JARU|0002894/2023-INSTALAÇÃO DE FILTRO DE ÓLEO MOTORIZADO NO COMUTADOR DE TAP DO JRTF602 NA SUBESTAÇÃO JARU-Aquisição de Filtro Motorizado com fornecimento de peças e serviço de instalação</t>
  </si>
  <si>
    <t>JARU|0003017/2023-INSTALAÇÃO DE FILTRO DE ÓLEO MOTORIZADO NO COMUTADOR DE TAP DO JRTF601 NA SUBESTAÇÃO JARU-Aquisição de Filtro Motorizado com fornecimento de peças e serviço de instalação</t>
  </si>
  <si>
    <t>JI-PARANA|0002892/2023-INSTALAÇÃO DE FILTRO DE ÓLEO MOTORIZADO NO COMUTADOR DE TAP DO JPAT601 NA SUBESTAÇÃO JI-PARANÁ-Aquisição de Filtro Motorizado com fornecimento de peças e serviço de instalação</t>
  </si>
  <si>
    <t>JI-PARANA|0002893/2023-INSTALAÇÃO DE FILTRO DE ÓLEO MOTORIZADO NO COMUTADOR DE TAP DO JPTF603 NA SUBESTAÇÃO JI-PARANÁ-Aquisição de Filtro Motorizado com fornecimento de peças e serviço de instalação</t>
  </si>
  <si>
    <t>JI-PARANA|0003171/2023-INSTALAÇÃO DE FILTRO DE ÓLEO MOTORIZADO NO COMUTADOR DE TAP DO JPTF601 NA SUBESTAÇÃO JI-PARANÁ-Aquisição de Filtro Motorizado com fornecimento de peças e serviço de instalação</t>
  </si>
  <si>
    <t>RIO BRANCO I|0009361/2023-INSTALAÇÃO DE FILTRO DE ÓLEO MOTORIZADO NO COMUTADOR DE TAP DO RBTF601 NA SUBESTAÇÃO RIO BRANCO-Aquisição de Filtro Motorizado com fornecimento de peças e serviço de instalação</t>
  </si>
  <si>
    <t>JI-PARANA|0003017/2020-Instalação da proteção e controle diferencial de barras da cadeia alternada das barras JPBR6-01 e JPBR6-02, contemplando uma unidade central com capacidade de no mínimo nove vãos e seis unidades de bay (bays unit).-Aquisição de IEDs modelos: MiCOM - P545, MiCOM C264 e Módulos SAITEL DP -  Ji-Paraná e Ariquemes  (RONDÔNIA)</t>
  </si>
  <si>
    <t>JI-PARANA|0007949/2021-Substituição da proteção e controle diferencial de barras da cadeia principal da barra JPBR6-02, contemplando uma unidade central com capacidade de no mínimo nove vãos e seis unidades de bay (bays unit).-Aquisição de IEDs modelos: MiCOM - P545, MiCOM C264 e Módulos SAITEL DP -  Ji-Paraná e Ariquemes  (RONDÔNIA)</t>
  </si>
  <si>
    <t>JI-PARANA|0007957/2021-Substituição da proteção e controle diferencial de barras da cadeia principal da barra JPBR6-01, contemplando uma unidade central com capacidade de no mínimo nove vãos e seis unidades de bay (bays unit).-Aquisição de IEDs modelos: MiCOM - P545, MiCOM C264 e Módulos SAITEL DP -  Ji-Paraná e Ariquemes  (RONDÔNIA)</t>
  </si>
  <si>
    <t>PORTO VELHO|Sobressalente à cadastrar PMI--Aquisição de Relé de Proteção REC670 - 1MRK002814-AC -  Porto Velho (RONDÔNIA)</t>
  </si>
  <si>
    <t>LECHUGA|0004688/2022-Substituição de disjuntor de 13,8kV - LEDJ2-02-Aquisição de disjuntores 13,8kV para  substituições na SE LECHUGA</t>
  </si>
  <si>
    <t>LECHUGA|0004691/2022-Substituição de disjuntor de 13,8kV - LEDJ2-01-Aquisição de disjuntores 13,8kV para  substituições na SE LECHUGA</t>
  </si>
  <si>
    <t>LECHUGA|0004694/2022-Substituição de disjuntor de 13,8kV - LEDJ2-21-Aquisição de disjuntores 13,8kV para  substituições na SE LECHUGA</t>
  </si>
  <si>
    <t>BOA VISTA|Sobressalente à cadastrar PMI--Aquisição de IEDs modelos: SEL-411L, SEL-451,  SEL-2440, SEL-2411 e Software de análise de eventos, SEL 5601-2 - SE BOA VISTA</t>
  </si>
  <si>
    <t>BOA VISTA|0007179/2019-SUBSTITUIÇÃO DE QUADROS , SUBQUADROS E DO SISTEMA PROTEÇÃO,  MEDIÇÃO, CONTROLE E SUPERVISÃO DOS SERVIÇO AUXILIAR 380 VAC DA SE BOA VISTA-Contratação de empresa especializada para montagem comissionamento de equipamentos de  serviço auxiliar (SE BOA VISTA)</t>
  </si>
  <si>
    <t>BOA VISTA|0007186/2019-SUBSTITUIÇÃO DE QUADROS , SUBQUADROS E DO SISTEMA DE PROTEÇÃO,  MEDIÇÃO, CONTROLE E SUPERVISÃO DOS SERVIÇO AUXILIAR 125 VCC DA SE BOA VISTA-Contratação de empresa especializada para montagem comissionamento de equipamentos de  serviço auxiliar (SE BOA VISTA)</t>
  </si>
  <si>
    <t>BOA VISTA|Sobressalente à cadastrar PMI--Aquisição de registradores digitais de perturbação (RDP) SE BOA VISTA</t>
  </si>
  <si>
    <t>LECHUGA|Sobressalente à cadastrar PMI--Aquisição de Transformadores de corrente 230kV sobressalentes para SE LECHUGA</t>
  </si>
  <si>
    <t>LECHUGA|Sobressalente à cadastrar PMI--Aquisição de Transformadores de Corrente de 145kV sobressalentes para  SE LECHUGA</t>
  </si>
  <si>
    <t>LECHUGA; JORGE TEIXEIRA; BOA VISTA|Sobressalente à cadastrar PMI--Aquisição de para-raios sobressalentes para SEs LECHUGA, JORGE TEIXEIRA e BOA VISTA</t>
  </si>
  <si>
    <t>LECHUGA|Sobressalente à cadastrar PMI--Aquisição de Disjuntor 138kV, isolado a gás SF6, para sobressalente da SE LECHUGA</t>
  </si>
  <si>
    <t>LECHUGA|Sobressalente à cadastrar PMI--Aquisição de Disjuntor  230 kV, isolado a gás SF6  para sobressalente da SE LECHUGA</t>
  </si>
  <si>
    <t>LECHUGA; JORGE TEIXEIRA; BOA VISTA|Sobressalente à cadastrar PMI--Aquisição de Chave seccionadora 230 kV para  sobressalente das SEs LECHUGA, JORGE TEIXEIRA e BOA VISTA</t>
  </si>
  <si>
    <t>BOA VISTA|Sobressalente à cadastrar PMI--Aquisição de Chave seccionadora 69 kV para  sobressalente da SE BOA VISTA</t>
  </si>
  <si>
    <t>BOA VISTA|Sobressalente à cadastrar PMI--Aquisição de Transformdor de Potencial de 69kV sobressalentes para SE BOA VISTA</t>
  </si>
  <si>
    <t>LECHUGA; BOA VISTA|Sobressalente à cadastrar PMI--Aquisição de Transformadores de corrente 13,8kV sobressalentes para as SEs LECHUGA e BOA VISTA</t>
  </si>
  <si>
    <t>JORGE TEIXEIRA|Sobressalente à cadastrar PMI--Aquisição de registradores digitais de perturbação (RDP) com sistema de medição fasorial sincrinizada (PMU) para SE JORGE TEIXEIRA</t>
  </si>
  <si>
    <t>BOA VISTA|Sobressalente à cadastrar PMI--Aquisição de Transformadores de corrente 69kV para substituição no terminal de Boa Vista da LT 69kV Boa Vista-Floresta C1, na SE BOA VISTA</t>
  </si>
  <si>
    <t>ALTAMIRA|0008608/2019-SUBSTITUIÇÃO DOS TRANSFORMADORES DE POTENCIAL DA BARRA I-AQUISIÇÃO DE TPC'S  PARA MA, TO, PA, RO</t>
  </si>
  <si>
    <t>JI-PARANA|0006620/2021-Substituição de 01  (um) transformador de potencial de 230 KV, Fase V, do barramento flexível JPBR6-01.-AQUISIÇÃO DE TPC'S  PARA MA, TO, PA, RO</t>
  </si>
  <si>
    <t>JI-PARANA|0006691/2020-Substituição de 03  (três) divisor capacitivo de potencial de 230 KV, Fases A,B e V, da Linha de Transmissão JRJP-LT601.-AQUISIÇÃO DE TPC'S  PARA MA, TO, PA, RO</t>
  </si>
  <si>
    <t>JI-PARANA|0006711/2020-Substituição de 02  (dois) transformadores de potencial capacitivo de 230 KV, Fase A e V do barramento flexível JPBR6-02.-AQUISIÇÃO DE TPC'S  PARA MA, TO, PA, RO</t>
  </si>
  <si>
    <t>JI-PARANA|0006714/2020-Substituição de 02  (dois) transformadores de potencial de 230 KV, Fase A e B, do barramento flexível JPBR6-01.-AQUISIÇÃO DE TPC'S  PARA MA, TO, PA, RO</t>
  </si>
  <si>
    <t>MARABA|0008056/2022-SUBSTITUIR TRANSFORMADOR DE POTENCIAL CAPACITIVO-FASE A DA MBTCLT7-02-AQUISIÇÃO DE TPC'S  PARA MA, TO, PA, RO</t>
  </si>
  <si>
    <t>MARABA|0008062/2022-SUBSTITUIR TRANSFORMADOR DE POTENCIAL CAPACITIVO-FASE B DA MBTCLT7-02-AQUISIÇÃO DE TPC'S  PARA MA, TO, PA, RO</t>
  </si>
  <si>
    <t>MARABA|0008065/2022-SUBSTITUIR TRANSFORMADOR DE POTENCIAL CAPACITIVO-FASE V DA MBTCLT7-02-AQUISIÇÃO DE TPC'S  PARA MA, TO, PA, RO</t>
  </si>
  <si>
    <t>MIRACEMA|0003487/2019-Substituição de transformador de potencial capacitivo, fase A, instalado na saída de linha da SE Miracema, vão MCDP7-DX-AQUISIÇÃO DE TPC'S  PARA MA, TO, PA, RO</t>
  </si>
  <si>
    <t>MIRACEMA|0003488/2019-Substituição de transformador de potencial capacitivo, fase B, instalado na saída de linha da SE Miracema, vão MCDP7-DX-AQUISIÇÃO DE TPC'S  PARA MA, TO, PA, RO</t>
  </si>
  <si>
    <t>MIRACEMA|0003489/2019-Substituição de transformador de potencial capacitivo, fase V, instalado na saída de linha da SE Miracema, vão MCDP7-DX-AQUISIÇÃO DE TPC'S  PARA MA, TO, PA, RO</t>
  </si>
  <si>
    <t>P.DUTRA|0000912/2022-SUBSTITUIÇÃO DO TRANSFORMADOR DE POTENCIAL ASSOCIADO À BARRA PDBR4-01 FASE A-AQUISIÇÃO DE TPC'S  PARA MA, TO, PA, RO</t>
  </si>
  <si>
    <t>P.DUTRA|0007031/2021-Substituição transformador de potencial 69kV - módulo de conexão PDTF6-01 Fase V-AQUISIÇÃO DE TPC'S  PARA MA, TO, PA, RO</t>
  </si>
  <si>
    <t>P.DUTRA|0007041/2021-Substituição do transformador de potencial módulo de conexão 69kV - PDTF6-01 Fase B-AQUISIÇÃO DE TPC'S  PARA MA, TO, PA, RO</t>
  </si>
  <si>
    <t>P.DUTRA|0007110/2022-Substituição do Transformador de Potencial - vão DX - Fase A por outro semelhante-EL IZPDLT7-02-AQUISIÇÃO DE TPC'S  PARA MA, TO, PA, RO</t>
  </si>
  <si>
    <t>P.DUTRA|0007122/2022-Substituição do Transformador de Potencial - vão DX - Fase B por outro semelhante-EL IZPDLT7-02-AQUISIÇÃO DE TPC'S  PARA MA, TO, PA, RO</t>
  </si>
  <si>
    <t>P.DUTRA|0007130/2022-Substituição do Transformador de Potencial - vão DX - Fase V por outro semelhante-EL IZPDLT7-02-AQUISIÇÃO DE TPC'S  PARA MA, TO, PA, RO</t>
  </si>
  <si>
    <t>P.DUTRA|0007315/2021-Substituição transformador de potencial 69kV módulo de conexão 69kV PDTF6-01 Fase A-AQUISIÇÃO DE TPC'S  PARA MA, TO, PA, RO</t>
  </si>
  <si>
    <t>PIMENTA BUENO|0006598/2021-Substituição de 01  (um) transformador de potencial capacitivo de 230 KV, Fase V, da Linha de Transmissão PBVN-LT601.-AQUISIÇÃO DE TPC'S  PARA MA, TO, PA, RO</t>
  </si>
  <si>
    <t>PIMENTA BUENO|0006603/2021-Transformador de potencial capacitivo de 230 KV, Fase B, da Linha de Transmissão PBVN-LT601.-AQUISIÇÃO DE TPC'S  PARA MA, TO, PA, RO</t>
  </si>
  <si>
    <t>PIMENTA BUENO|0006605/2020-Substituição de 02  (dois) transformadores de potencial capacitivo de 230 KV,  da Linha de Transmissão JPPB-LT601.-AQUISIÇÃO DE TPC'S  PARA MA, TO, PA, RO</t>
  </si>
  <si>
    <t>PIMENTA BUENO|0006606/2021-Substituição de 01  (um) transformador de potencial capacitivo de 230 KV, Fase A, da Linha de Transmissão PBVN-LT601.-AQUISIÇÃO DE TPC'S  PARA MA, TO, PA, RO</t>
  </si>
  <si>
    <t>PIMENTA BUENO|0006607/2020-Substituição de 01  (um) transformador de potencial capacitivo de 230 KV, Fase B, do barramento flexível PBBR6-02.-AQUISIÇÃO DE TPC'S  PARA MA, TO, PA, RO</t>
  </si>
  <si>
    <t>PIMENTA BUENO|0006608/2020-Substituição de 01  (um) transformador de potencial capacitivo de 230 KV, Fase A, do barramento flexível PBBR6-02.-AQUISIÇÃO DE TPC'S  PARA MA, TO, PA, RO</t>
  </si>
  <si>
    <t>TRANSAMAZONIC|0008641/2019-Substituição dos transformadores de potencial indutivo 34,5kV no TMTF6-01-AQUISIÇÃO DE TPC'S  PARA MA, TO, PA, RO</t>
  </si>
  <si>
    <t>TRANSAMAZONIC|0008643/2019-Substituição dos transformadores de potencial indutivo 34,5kV no TMTF6-02-AQUISIÇÃO DE TPC'S  PARA MA, TO, PA, RO</t>
  </si>
  <si>
    <t>TUCURUI|0008610/2019-SUBSTITUIÇÃO DOS TRANSFORMADORES DE POTENCIAL DOS TERMINAIS DA LINHA ATTC LT6 01-AQUISIÇÃO DE TPC'S  PARA MA, TO, PA, RO</t>
  </si>
  <si>
    <t>UTINGA|0008435/2022-Substituição do TP associado a UGTF6-01-AQUISIÇÃO DE TPC'S  PARA MA, TO, PA, RO</t>
  </si>
  <si>
    <t>UTINGA|0008686/2022-SUBSTITUIÇÃO DO TRANSFORMADOR DE POTENCIAL 69 KV - FA  UGTF6-01-AQUISIÇÃO DE TPC'S  PARA MA, TO, PA, RO</t>
  </si>
  <si>
    <t>VILHENA|0006591/2021-Substituição de 01  (um) transformador de potencial capacitivo de 230 KV, Fase V, do barramento flexível N-S-ROVN-BC601-MC230-VNTP601.-AQUISIÇÃO DE TPC'S  PARA MA, TO, PA, RO</t>
  </si>
  <si>
    <t>VILHENA|0006592/2021-Substituição de 01  (um) transformador de potencial capacitivo de 230 KV, Fase B, do barramento flexível N-S-ROVN-BC601-MC230-VNTP601.-AQUISIÇÃO DE TPC'S  PARA MA, TO, PA, RO</t>
  </si>
  <si>
    <t>VILHENA|0006595/2021-Substituição de 01  (um) transformador de potencial capacitivo de 230 KV, Fase A, do barramento flexível N-S-ROVN-BC601-MC230-VNTP601.-AQUISIÇÃO DE TPC'S  PARA MA, TO, PA, RO</t>
  </si>
  <si>
    <t>VILHENA|0006612/2021-Substituição de 01  (um) transformador de potencial capacitivo de 230 KV, Fase V, do barramento flexível VNBR6-02.-AQUISIÇÃO DE TPC'S  PARA MA, TO, PA, RO</t>
  </si>
  <si>
    <t>VILHENA|0006614/2021-Substituição de 01  (um) transformador de potencial capacitivo de 230 KV, Fase B, do barramento flexível VNBR6-02.-AQUISIÇÃO DE TPC'S  PARA MA, TO, PA, RO</t>
  </si>
  <si>
    <t>VILHENA|0006617/2021-Substituição de 01  (um) transformador de potencial capacitivo de 230 KV, Fase A, do barramento flexível VNBR6-02.-AQUISIÇÃO DE TPC'S  PARA MA, TO, PA, RO</t>
  </si>
  <si>
    <t>IMPERATRIZ|0007848/2021-SUBSTITUIÇÃO DO TRANSFORMADOR DE CORRENTE DE 500kV, (BANCO 02) FASE "B" DO VÃO CENTRAL "V" DE 500kV Y2, ASSOCIADO AO DISJUNTOR IZDJ7-04.-AQUISIÇÃO DE TC'S  PARA MA, TO, PA, RO</t>
  </si>
  <si>
    <t>IMPERATRIZ|0007862/2021-SUBSTITUIÇÃO DO TRANSFORMADOR DE CORRENTE DE 500kV, (BANCO 02) FASE "B" DO VÃO CENTRAL "B" DE 500kV, ASSOCIADO AO DISJUNTOR IZDJ7-04.-AQUISIÇÃO DE TC'S  PARA MA, TO, PA, RO</t>
  </si>
  <si>
    <t>IMPERATRIZ|0007872/2021-SUBSTITUIÇÃO DO TRANSFORMADOR DE CORRENTE DE 500kV, FASE "V" DO BAY DO BANCO DE REATORES DE LINHA IZRE7-03.-AQUISIÇÃO DE TC'S  PARA MA, TO, PA, RO</t>
  </si>
  <si>
    <t>IMPERATRIZ|0007905/2021-SUBSTITUIÇÃO DO TRANSFORMADOR DE CORRENTE DE 500kV, FASE "B" DO BAY DO BANCO DE REATORES DE LINHA IZRE7-03.-AQUISIÇÃO DE TC'S  PARA MA, TO, PA, RO</t>
  </si>
  <si>
    <t>IMPERATRIZ|0007915/2021-SUBSTITUIÇÃO DO TRANSFORMADOR DE CORRENTE DE 500kV, FASE "A" DO BAY DO BANCO DE REATORES DE LINHA IZRE7-03.-AQUISIÇÃO DE TC'S  PARA MA, TO, PA, RO</t>
  </si>
  <si>
    <t>IMPERATRIZ|0007923/2021-SUBSTITUIÇÃO DO TRANSFORMADOR DE CORRENTE DE 500kV, FASE "V" DO BAY DO BANCO DE REATORES DE LINHA IZRE7-01.-AQUISIÇÃO DE TC'S  PARA MA, TO, PA, RO</t>
  </si>
  <si>
    <t>IMPERATRIZ|0007929/2021-SUBSTITUIÇÃO DO TRANSFORMADOR DE CORRENTE DE 500kV, FASE "A" DO BAY DA ENTRADA DE LINHA DE 500kV MARABÁ-IMPERATRIZ, ASSOCIADO AO DISJUNTOR IZDJ7-03.-AQUISIÇÃO DE TC'S  PARA MA, TO, PA, RO</t>
  </si>
  <si>
    <t>IMPERATRIZ|0007961/2021-SUBSTITUIÇÃO DO TRANSFORMADOR DE CORRENTE DE 500kV, FASE "B" DO BAY DO BANCO DE REATORES DE LINHA IZRE7-01.-AQUISIÇÃO DE TC'S  PARA MA, TO, PA, RO</t>
  </si>
  <si>
    <t>IMPERATRIZ|0008117/2021-SUBSTITUIÇÃO DO TRANSFORMADOR DE CORRENTE DE 500kV, FASE "A" DO BAY DO BANCO DE REATORES DE LINHA IZRE7-01.-AQUISIÇÃO DE TC'S  PARA MA, TO, PA, RO</t>
  </si>
  <si>
    <t>IMPERATRIZ|0008143/2021-SUBSTITUIÇÃO DO TRANSFORMADOR DE CORRENTE DE 500kV, FASE "V" DO BAY DO BANCO DE REATORES DE LINHA IZRE7-02.-AQUISIÇÃO DE TC'S  PARA MA, TO, PA, RO</t>
  </si>
  <si>
    <t>IMPERATRIZ|0008151/2021-SUBSTITUIÇÃO DO TRANSFORMADOR DE CORRENTE DE 500kV, FASE "A" DO BAY DO BANCO DE REATORES DE LINHA IZRE7-02.-AQUISIÇÃO DE TC'S  PARA MA, TO, PA, RO</t>
  </si>
  <si>
    <t>IMPERATRIZ|0008253/2021-SUBSTITUIR O TRANSFORMADOR DE CORRENTE FASE B ASSOCIADO AO REATOR 706-AQUISIÇÃO DE TC'S  PARA MA, TO, PA, RO</t>
  </si>
  <si>
    <t>IMPERATRIZ|0008291/2021-SUBSTITUIR O TRANSFORMADOR DE CORRENTE FASE A  ASSOCIADO AO REATOR 706-AQUISIÇÃO DE TC'S  PARA MA, TO, PA, RO</t>
  </si>
  <si>
    <t>IMPERATRIZ|0008296/2021-SUBSTITUIR O TRANSFORMADOR DE CORRENTE FASE A  ASSOCIADO AO REATOR 706-AQUISIÇÃO DE TC'S  PARA MA, TO, PA, RO</t>
  </si>
  <si>
    <t>IMPERATRIZ|0008302/2021-SUBSTITUIR O TRANSFORMADOR DE CORRENTE FASE 1B ASSOCIADO A  INTERLIGAÇÃO DE BARRA 3 (DJ707)-AQUISIÇÃO DE TC'S  PARA MA, TO, PA, RO</t>
  </si>
  <si>
    <t>IMPERATRIZ|0008305/2021-SUBSTITUIR O TRANSFORMADOR DE CORRENTE FASE 1A  ASSOCIADO A INTERLIGAÇÃO DE BARRAS 3 (DJ707)-AQUISIÇÃO DE TC'S  PARA MA, TO, PA, RO</t>
  </si>
  <si>
    <t>IMPERATRIZ|0008306/2022-Substituição do Transformador de Corrente - vão CY - Fase A por outro semelhante - IZDJ7-07-AQUISIÇÃO DE TC'S  PARA MA, TO, PA, RO</t>
  </si>
  <si>
    <t>IMPERATRIZ|0008308/2022-Substituição do Transformador de Corrente - vão CY - Fase B por outro semelhante - IZDJ7-07-AQUISIÇÃO DE TC'S  PARA MA, TO, PA, RO</t>
  </si>
  <si>
    <t>IMPERATRIZ|0008311/2021-SUBSTITUIR O TRANSFORMADOR DE CORRENTE FASE 2A  ASSOCIADO A INTERLIGAÇÃO DE BARRA  1 (DJ701)-AQUISIÇÃO DE TC'S  PARA MA, TO, PA, RO</t>
  </si>
  <si>
    <t>IMPERATRIZ|0008477/2021-SUBSTITUIR O TRANSFORMADOR DE CORRENTE FASE A  ASSOCIADO AO DISJUNTOR 603-AQUISIÇÃO DE TC'S  PARA MA, TO, PA, RO</t>
  </si>
  <si>
    <t>IMPERATRIZ|0008478/2021-SUBSTITUIR O TRANSFORMADOR DE CORRENTE FASE B  ASSOCIADO AO DISJUNTOR 603-AQUISIÇÃO DE TC'S  PARA MA, TO, PA, RO</t>
  </si>
  <si>
    <t>IMPERATRIZ|0008479/2021-SUBSTITUIR O TRANSFORMADOR DE CORRENTE FASE A  ASSOCIADO AO DISJUNTOR 604-AQUISIÇÃO DE TC'S  PARA MA, TO, PA, RO</t>
  </si>
  <si>
    <t>IMPERATRIZ|0008481/2021-SUBSTITUIR O TRANSFORMADOR DE CORRENTE FASE B  ASSOCIADO AO BAY IZPFLT601-AQUISIÇÃO DE TC'S  PARA MA, TO, PA, RO</t>
  </si>
  <si>
    <t>IMPERATRIZ|0008483/2021-SUBSTITUIR O TRANSFORMADOR DE CORRENTE FASE B  ASSOCIADO AO TF604-AQUISIÇÃO DE TC'S  PARA MA, TO, PA, RO</t>
  </si>
  <si>
    <t>IMPERATRIZ|0008571/2021-SUBSTITUIR O TRANSFORMADOR DE CORRENTE FASE V  ASSOCIADO AO BAY IZPD-LT702.-AQUISIÇÃO DE TC'S  PARA MA, TO, PA, RO</t>
  </si>
  <si>
    <t>IMPERATRIZ|0008577/2021-SUBSTITUIR O TRANSFORMADOR DE CORRENTE FASE A  ASSOCIADO AO AT701-AQUISIÇÃO DE TC'S  PARA MA, TO, PA, RO</t>
  </si>
  <si>
    <t>IMPERATRIZ|0008800/2021-SUBSTITUIR O TRANSFORMADOR DE CORRENTE FASE B ASSOCIADO AO DISJUNTOR 604-AQUISIÇÃO DE TC'S  PARA MA, TO, PA, RO</t>
  </si>
  <si>
    <t>IMPERATRIZ|0008815/2021-SUBSTITUIR O TRANSFORMADOR DE CORRENTE FASE A  ASSOCIADO AO BAY IZPFLT601-AQUISIÇÃO DE TC'S  PARA MA, TO, PA, RO</t>
  </si>
  <si>
    <t>IMPERATRIZ|0008846/2021-SUBSTITUIR O TRANSFORMADOR DE CORRENTE FASE A  ASSOCIADO AO TF603-AQUISIÇÃO DE TC'S  PARA MA, TO, PA, RO</t>
  </si>
  <si>
    <t>IMPERATRIZ|0009555/2021-SUBSTITUIÇÃO DO TRANSFORMADOR DE CORRENTE DE 500kV, (BANCO 02) FASE "B" DO VÃO CENTRAL "V" DE 500kV Y1, ASSOCIADO AO DISJUNTOR IZDJ7-04.-AQUISIÇÃO DE TC'S  PARA MA, TO, PA, RO</t>
  </si>
  <si>
    <t>MARABA|0007044/2022-SUBSTITUIÇÃO TRANSFORMADOR DE CORRENTE DE 500 KV DO MBDJ7-04 FA VÃO C SECÇÃO X-AQUISIÇÃO DE TC'S  PARA MA, TO, PA, RO</t>
  </si>
  <si>
    <t>MARABA|0007045/2022-SUBSTITUIÇÃO TRANSFORMADOR DE CORRENTE DE 500 KV DO MBDJ7-04 FASE B VÃO C SECÇÃO X-AQUISIÇÃO DE TC'S  PARA MA, TO, PA, RO</t>
  </si>
  <si>
    <t>MARABA|0007046/2022-SUBSTITUIÇÃO TRANSFORMADOR DE CORRENTE DE 500 KV DO MBDJ7-04 FASE V VÃO C SECÇÃO X-AQUISIÇÃO DE TC'S  PARA MA, TO, PA, RO</t>
  </si>
  <si>
    <t>MARABA|0007358/2022-SUBSTITUIÇÃO TRANSFORMADOR DE CORRENTE DE 500 KV DO MBDJ7-05 FA VÃO C SEÇÃO Y2-AQUISIÇÃO DE TC'S  PARA MA, TO, PA, RO</t>
  </si>
  <si>
    <t>MARABA|0007498/2022-SUBSTITUIÇÃO TRANSFORMADOR DE CORRENTE DE 500 KV DO MBDJ7-05 FB VÃO C SEÇÃO Y2-AQUISIÇÃO DE TC'S  PARA MA, TO, PA, RO</t>
  </si>
  <si>
    <t>MARABA|0007514/2022-SUBSTITUIÇÃO TRANSFORMADOR DE CORRENTE DE 500 KV DO MBDJ7-05 FV VÃO C SEÇÃO Y2-AQUISIÇÃO DE TC'S  PARA MA, TO, PA, RO</t>
  </si>
  <si>
    <t>MIRANDA II|0006271/2020-SUBSTITUIR O TRANSFORMADOR DE CORRENTE FASE B (MRTF6-02)-AQUISIÇÃO DE TC'S  PARA MA, TO, PA, RO</t>
  </si>
  <si>
    <t>MIRANDA II|0006276/2020-SUBSTITUIR O TRANSFORMADOR DE CORRENTE FASE A (MRTF6-02)-AQUISIÇÃO DE TC'S  PARA MA, TO, PA, RO</t>
  </si>
  <si>
    <t>P.DUTRA|0007000/2022-Substituição do Transformador de Corrente - vão DY - Fase A por outro semelhante - PDDJ7-12-AQUISIÇÃO DE TC'S  PARA MA, TO, PA, RO</t>
  </si>
  <si>
    <t>P.DUTRA|0007002/2022-Substituição do Transformador de Corrente - vão DY - Fase B por outro semelhante- PDDJ7-12-AQUISIÇÃO DE TC'S  PARA MA, TO, PA, RO</t>
  </si>
  <si>
    <t>P.DUTRA|0007010/2022-Substituição do Transformador de Corrente - vão DY - Fase V por outro semelhante - PDDJ7-12-AQUISIÇÃO DE TC'S  PARA MA, TO, PA, RO</t>
  </si>
  <si>
    <t>P.DUTRA|0007033/2022-Substituição do Transformador de Corrente - vão DX - fase A por outro semelhante- EL IZPDLT7-02-AQUISIÇÃO DE TC'S  PARA MA, TO, PA, RO</t>
  </si>
  <si>
    <t>P.DUTRA|0007036/2022-Substituição do Transformador de Corrente - vão DX - fase B por outro semelhante- EL IZPDLT7-02-AQUISIÇÃO DE TC'S  PARA MA, TO, PA, RO</t>
  </si>
  <si>
    <t>P.DUTRA|0007097/2022-Substituição do Transformador de Corrente - vão DX - Fase V por outro semelhante- EL IZPDLT7-02-AQUISIÇÃO DE TC'S  PARA MA, TO, PA, RO</t>
  </si>
  <si>
    <t>P.DUTRA|0008173/2021-SUBSTITUIÇÃO DO TRANSFORMADOR DE CORRENTE DE 500kV, FASE "V" DO BAY DA ENTRADA DE LINHA DE 500kV BOA ESPERANÇA - PRES. DUTRA, ASSOCIADO AO DISJUNTOR PDDJ7-09.-AQUISIÇÃO DE TC'S  PARA MA, TO, PA, RO</t>
  </si>
  <si>
    <t>P.DUTRA|0008186/2021-SUBSTITUIÇÃO DO TRANSFORMADOR DE CORRENTE DE 500kV, (BANCO 02) FASE "V" DO VÃO CENTRAL "C" DE 500kV, ASSOCIADO AO DISJUNTOR PDDJ7-08.-AQUISIÇÃO DE TC'S  PARA MA, TO, PA, RO</t>
  </si>
  <si>
    <t>P.DUTRA|0008188/2021-SUBSTITUIÇÃO DO TRANSFORMADOR DE CORRENTE DE 500kV, (BANCO 02) FASE "B" DO VÃO CENTRAL "C" DE 500kV, ASSOCIADO AO DISJUNTOR PDDJ7-08.-AQUISIÇÃO DE TC'S  PARA MA, TO, PA, RO</t>
  </si>
  <si>
    <t>P.DUTRA|0008191/2021-SUBSTITUIÇÃO DO TRANSFORMADOR DE CORRENTE DE 500kV, (BANCO 02) FASE "A" DO VÃO CENTRAL "C" DE 500kV, ASSOCIADO AO DISJUNTOR PDDJ7-08.-AQUISIÇÃO DE TC'S  PARA MA, TO, PA, RO</t>
  </si>
  <si>
    <t>P.DUTRA|0008223/2021-SUBSTITUIÇÃO DO TRANSFORMADOR DE CORRENTE DE 500kV, FASE "V" DO BAY DA ENTRADA DE LINHA DE 500kV IMPERATRIZ PRES. DUTRA, ASSOCIADO AO DISJUNTOR PDDJ7-07.-AQUISIÇÃO DE TC'S  PARA MA, TO, PA, RO</t>
  </si>
  <si>
    <t>P.DUTRA|0008230/2021-SUBSTITUIÇÃO DO TRANSFORMADOR DE CORRENTE DE 500kV, FASE "A" DO BAY DO BANCO DE REATORES DE LINHA PDRE7-06.-AQUISIÇÃO DE TC'S  PARA MA, TO, PA, RO</t>
  </si>
  <si>
    <t>P.DUTRA|0008238/2021-SUBSTITUIÇÃO DO TRANSFORMADOR DE CORRENTE DE 500kV, FASE "B" DO BAY DO BANCO DE REATORES DE LINHA PDRE7-06.-AQUISIÇÃO DE TC'S  PARA MA, TO, PA, RO</t>
  </si>
  <si>
    <t>P.DUTRA|0008240/2021-SUBSTITUIÇÃO DO TRANSFORMADOR DE CORRENTE DE 500kV, FASE "V" DO BAY DO REATOR DE LINHA PDRE7-05.-AQUISIÇÃO DE TC'S  PARA MA, TO, PA, RO</t>
  </si>
  <si>
    <t>P.DUTRA|0008246/2021-SUBSTITUIÇÃO DO TRANSFORMADOR DE CORRENTE DE 500kV, FASE "B" DO BAY DO REATOR DE LINHA PDRE7-05.-AQUISIÇÃO DE TC'S  PARA MA, TO, PA, RO</t>
  </si>
  <si>
    <t>P.DUTRA|0008476/2021-SUBSTITUIÇÃO DO TRANSFORMADOR DE CORRENTE DE 500kV, FASE "V" DO BAY DO REATOR DE LINHA PDRE7-04.-AQUISIÇÃO DE TC'S  PARA MA, TO, PA, RO</t>
  </si>
  <si>
    <t>P.DUTRA|0008480/2021-SUBSTITUIÇÃO DO TRANSFORMADOR DE CORRENTE DE 500kV, FASE "B" DO BAY DO REATOR DE LINHA PDRE7-04.-AQUISIÇÃO DE TC'S  PARA MA, TO, PA, RO</t>
  </si>
  <si>
    <t>P.DUTRA|0008482/2021-SUBSTITUIÇÃO DO TRANSFORMADOR DE CORRENTE DE 500kV, FASE "A" DO BAY DO REATOR DE LINHA PDRE7-05.-AQUISIÇÃO DE TC'S  PARA MA, TO, PA, RO</t>
  </si>
  <si>
    <t>P.DUTRA|0008739/2022-SUBSTITUIÇÃO DE UM TRANSFORMADOR DE CORRENTE 500KV, FASE A, ASSOCIADO AO PDRE7-04-AQUISIÇÃO DE TC'S  PARA MA, TO, PA, RO</t>
  </si>
  <si>
    <t>P.DUTRA|0008750/2022-SUBSTITUIÇÃO DE UM TRANSFORMADOR DE CORRENTE DE 500 KV, FASE V ASSOCIADO AO REATOR PDRE7-06-AQUISIÇÃO DE TC'S  PARA MA, TO, PA, RO</t>
  </si>
  <si>
    <t>P.DUTRA|0008758/2022-SUBSTITUIÇÃO DE UM TRANSFORMADOR DE CORRENTE DE 500 KV, FASE A ASSOCIADO AO REATOR PDRE7-02 CONECTADO À PDSOLT7-01.-AQUISIÇÃO DE TC'S  PARA MA, TO, PA, RO</t>
  </si>
  <si>
    <t>P.DUTRA|0008775/2022-SUBSTITUIÇÃO DE UM TRANSFORMADOR DE CORRENTE 500KV FASE A , ASSOCIADO AO PDJ7-08 FASE A-AQUISIÇÃO DE TC'S  PARA MA, TO, PA, RO</t>
  </si>
  <si>
    <t>P.DUTRA|0008854/2022-SUBSTITUIÇÃO DE UM TRANSFORMADOR DE CORRENTE DE 500 KV, FASE A DA FT IZPD-LT7-01, ASSOCIADO AO PDDJ7-07.-AQUISIÇÃO DE TC'S  PARA MA, TO, PA, RO</t>
  </si>
  <si>
    <t>P.DUTRA|0009015/2022-SUBSTITUIÇÃO DO TRANSFORMADOR DE CORRENTE DE 500KV, FASE A, DO PDDJ7-03, ASSOCIADO AO PDAT7-01-AQUISIÇÃO DE TC'S  PARA MA, TO, PA, RO</t>
  </si>
  <si>
    <t>RONDONOPOLIS|0004122/2022-Substituição do TC RPTC6-BC1 FASE V-AQUISIÇÃO DE TC'S  PARA MA, TO, PA, RO</t>
  </si>
  <si>
    <t>RONDONOPOLIS|0004131/2022-Substituição do TC RPTC6-BC1 FASE B-AQUISIÇÃO DE TC'S  PARA MA, TO, PA, RO</t>
  </si>
  <si>
    <t>RONDONOPOLIS|0004136/2022-Substituição de Isolador de Pedestal 230 Kv (vão A2Y) por um novo, com características similares. Fases A e B.RPBC6-01-AQUISIÇÃO DE TC'S  PARA MA, TO, PA, RO</t>
  </si>
  <si>
    <t>SAO LUIS II|0007014/2021-SUBSTITUIÇÃO DO TRANSFORMADOR DE CORRENTE DE 230kV, FASE "B" DO VÃO DE TRANSFERENCIA DE 230kV ENTRE BARRAS LDBR6-01 E LDBR6-02.-AQUISIÇÃO DE TC'S  PARA MA, TO, PA, RO</t>
  </si>
  <si>
    <t>SAO LUIS II|0007026/2021-SUBSTITUIÇÃO DO TRANSFORMADOR DE CORRENTE DE 230kV, FASE "B" DO BAY DA ENTRADA DE LINHA DE 230kV SÃO LUIS II - MIRANDA II.-AQUISIÇÃO DE TC'S  PARA MA, TO, PA, RO</t>
  </si>
  <si>
    <t>TUCURUI|0009022/2022-SUBSTITUIÇÃO DO TRANFORMADOR DE CORRENTE  DO AUTOTRANSFORMADOR TCAT7-01 FASE B-AQUISIÇÃO DE TC'S  PARA MA, TO, PA, RO</t>
  </si>
  <si>
    <t>TUCURUI|0009026/2022-SUBSTITUIÇÃO DO TRANFORMADOR DE CORRENTE  DO AUTOTRANSFORMADOR TCAT7-01 FASE V-AQUISIÇÃO DE TC'S  PARA MA, TO, PA, RO</t>
  </si>
  <si>
    <t>TUCURUI|0009028/2022-SUBSTITUIÇÃO DO TRANFORMADOR DE CORRENTE  DO AUTOTRANSFORMADOR TCAT7-01 FASE A-AQUISIÇÃO DE TC'S  PARA MA, TO, PA, RO</t>
  </si>
  <si>
    <t>TUCURUI|0009038/2022-SUBSTITUIÇÃO DO TRANFORMADOR DE CORRENTE  DO AUTOTRANSFORMADOR TCAT7-01 FASE B-AQUISIÇÃO DE TC'S  PARA MA, TO, PA, RO</t>
  </si>
  <si>
    <t>UTINGA|0007318/2022-SUBSTITUIÇÃO TRANSFORMADOR DE CORRENTE DE 230 KV DO UGTF6 01 Fase A-AQUISIÇÃO DE TC'S  PARA MA, TO, PA, RO</t>
  </si>
  <si>
    <t>UTINGA|0007322/2022-SUBSTITUIÇÃO TRANSFORMADOR DE CORRENTE UGTC6 FB DE 230 KV DO UGTF6 01 Fase B-AQUISIÇÃO DE TC'S  PARA MA, TO, PA, RO</t>
  </si>
  <si>
    <t>UTINGA|0007323/2022-SUBSTITUIÇÃO TRANSFORMADOR DE CORRENTE UGTC6 FV DE 230 KV DO UGTF6 01 Fase V-AQUISIÇÃO DE TC'S  PARA MA, TO, PA, RO</t>
  </si>
  <si>
    <t>UTINGA|0007326/2022-SUBSTITUIÇÃO TRANSFORMADOR DE CORRENTE UGTC6-FA DE 230 KV DO UGTF6 02 FASE - A-AQUISIÇÃO DE TC'S  PARA MA, TO, PA, RO</t>
  </si>
  <si>
    <t>UTINGA|0007333/2022-SUBSTITUIÇÃO TRANSFORMADOR DE CORRENTE UGTC6-FB DE 230 KV DO UGTF6 02 FASE - B-AQUISIÇÃO DE TC'S  PARA MA, TO, PA, RO</t>
  </si>
  <si>
    <t>UTINGA|0007334/2022-SUBSTITUIÇÃO TRANSFORMADOR DE CORRENTE UGTC6-FV DE 230 KV DO UGTF6 02 FASE - V-AQUISIÇÃO DE TC'S  PARA MA, TO, PA, RO</t>
  </si>
  <si>
    <t>VILA DO CONDE|0004969/2022-Substituição do Transformador de Corrente 500kV do VCDJ7-04 Fase A - Vão X-AQUISIÇÃO DE TC'S  PARA MA, TO, PA, RO</t>
  </si>
  <si>
    <t>VILA DO CONDE|0004991/2022-Substituição do Transformador de Corrente 500kV do VCDJ7-04 Fase B - Vão X-AQUISIÇÃO DE TC'S  PARA MA, TO, PA, RO</t>
  </si>
  <si>
    <t>VILA DO CONDE|0004999/2022-Substituição do Transformador de Corrente 500kV do VCDJ7-04 Fase V - Vão X-AQUISIÇÃO DE TC'S  PARA MA, TO, PA, RO</t>
  </si>
  <si>
    <t>VILA DO CONDE|0006227/2020-SUSBTITUIÇÃO DOS TRANSFORMADORES DE CORRENTE DE 230 KV - VCTC6 KZ, FA, FB e FV do VCDJ6 06.-AQUISIÇÃO DE TC'S  PARA MA, TO, PA, RO</t>
  </si>
  <si>
    <t>VILA DO CONDE|0006363/2020-SUSBTITUIÇÃO DOS TRANSFORMADORES DE CORRENTE DE 230 KV - VCTC6 LY2, FA, FB e FV do VCDJ6 02 -AQUISIÇÃO DE TC'S  PARA MA, TO, PA, RO</t>
  </si>
  <si>
    <t>VILA DO CONDE|0008191/2022-SUBSTITUIÇÃO TRANSFORMADOR DE CORRENTE DE 230 KV DO VÃO K SECÇÃO X FA (VCDJ6 04)-AQUISIÇÃO DE TC'S  PARA MA, TO, PA, RO</t>
  </si>
  <si>
    <t>VILA DO CONDE|0008407/2022-SUBSTITUIÇÃO TRANSFORMADOR DE CORRENTE DE 230 KV DO VÃO L SECÇÃO Y2 FA (VCDJ6-02)-AQUISIÇÃO DE TC'S  PARA MA, TO, PA, RO</t>
  </si>
  <si>
    <t>VILA DO CONDE|0008411/2022-SUBSTITUIÇÃO TRANSFORMADOR DE CORRENTE DE 230 KV DO VÃO L SECÇÃO Y2 FB (VCDJ6-02)-AQUISIÇÃO DE TC'S  PARA MA, TO, PA, RO</t>
  </si>
  <si>
    <t>VILA DO CONDE|0008414/2022-SUBSTITUIÇÃO TRANSFORMADOR DE CORRENTE DE 230 KV DO VÃO L SECÇÃO Y2 FV (VCDJ6-02)-AQUISIÇÃO DE TC'S  PARA MA, TO, PA, RO</t>
  </si>
  <si>
    <t>VILA DO CONDE|0008419/2022-SUBSTITUIÇÃO TRANSFORMADOR DE CORRENTE DE 230 KV DO VÃO L SECÇÃO Y1 FA (VCDJ6-02)-AQUISIÇÃO DE TC'S  PARA MA, TO, PA, RO</t>
  </si>
  <si>
    <t>VILA DO CONDE|0008421/2022-SUBSTITUIÇÃO TRANSFORMADOR DE CORRENTE DE 230 KV DO VÃO L SECÇÃO Y1 FB (VCDJ6-02)-AQUISIÇÃO DE TC'S  PARA MA, TO, PA, RO</t>
  </si>
  <si>
    <t>VILA DO CONDE|0008424/2022-SUBSTITUIÇÃO TRANSFORMADOR DE CORRENTE DE 230 KV DO VÃO L SECÇÃO Y1 FV (VCDJ6-02)-AQUISIÇÃO DE TC'S  PARA MA, TO, PA, RO</t>
  </si>
  <si>
    <t>VILA DO CONDE|0008603/2019-SUSBTITUIÇÃO DOS TRANSFORMADORES DE CORRENTE DE 230 KV - VCTC6 KX,  FA, FB e FV do VCDJ6 04 (VCBC6 03)
-AQUISIÇÃO DE TC'S  PARA MA, TO, PA, RO</t>
  </si>
  <si>
    <t>VILA DO CONDE|0008607/2019-SUSBTITUIÇÃO DOS TRANSFORMADORES DE CORRENTE DE 230 KV - VCTC6 LY1,  FA, FB e FV do VCDJ6 01-AQUISIÇÃO DE TC'S  PARA MA, TO, PA, RO</t>
  </si>
  <si>
    <t>VILA DO CONDE|0008612/2019-SUSBTITUIÇÃO DOS TRANSFORMADORES DE CORRENTE DE 230 KV  - VCTC 6DY1, FA, FB e FV do VCDJ6 01-AQUISIÇÃO DE TC'S  PARA MA, TO, PA, RO</t>
  </si>
  <si>
    <t>VILA DO CONDE|0008617/2019-SUSBTITUIÇÃO DOS TRANSFORMADORES DE CORRENTE DE 230 KV  - VCTC 6DX, FA, FB e FV do VCDJ6 01-AQUISIÇÃO DE TC'S  PARA MA, TO, PA, RO</t>
  </si>
  <si>
    <t>P.DUTRA|0008038/2019-Revitalização do sistema de Excitação do Compensador Síncrono 01-PDCS2-01 com substituição de componentes da ponte de Tiristores  da máquina 01 - associado a função COMPENSADOR SÍNCRONO PDCS2-01-AQUISIÇÃO DE PONTES DE TIRISTORES PARA OS CS DA SEPD</t>
  </si>
  <si>
    <t>P.DUTRA|0008046/2019-Revitalização do sistema de Excitação do Compensador Síncrono 02 - PDCS2-02 com substituição de componentes da ponte de Tiristores  da máquina 02 - associado a função COMPENSADOR SÍNCRONO PDCS2-02-AQUISIÇÃO DE PONTES DE TIRISTORES PARA OS CS DA SEPD</t>
  </si>
  <si>
    <t>SEM INSTALAÇÃO ESPECÍFICA|Sem PMI--OBRA CIViL DO CENTRO DE MANUTENÇÕES DE DISJUNTORES</t>
  </si>
  <si>
    <t>SEM INSTALAÇÃO ESPECÍFICA|Sem PMI--PERFURAÇÃO DE POÇO PARA A SEPR</t>
  </si>
  <si>
    <t>L.D.RIO VERDE|0001770/2021-INSTALAR MÓDULO DE LOCALIZAÇÃO DE FALTAS POR ONDAS VIAJANTES.-Instalar módulo de localização de faltas por ondas viajantes nas linhas NMSSLT6-01, SSSPLT6-01, NBNMLT6-01, NMSSLT6-01 e na Subestação SELC.</t>
  </si>
  <si>
    <t>L.D.RIO VERDE|0001771/2021-INSTALAR MÓDULO DE LOCALIZAÇÃO DE FALTAS POR ONDAS VIAJANTES.-Instalar módulo de localização de faltas por ondas viajantes nas linhas NMSSLT6-01, SSSPLT6-01, NBNMLT6-01, NMSSLT6-01 e na Subestação SELC.</t>
  </si>
  <si>
    <t>NOBRES|0001765/2021-INSTALAR MÓDULO DE LOCALIZAÇÃO DE FALTAS POR ONDAS VIAJANTES.-Instalar módulo de localização de faltas por ondas viajantes nas linhas NMSSLT6-01, SSSPLT6-01, NBNMLT6-01, NMSSLT6-01 e na Subestação SELC.</t>
  </si>
  <si>
    <t>NOVA MUTUM|0001766/2021-INSTALAR MÓDULO DE LOCALIZAÇÃO DE FALTAS POR ONDAS VIAJANTES.-Instalar módulo de localização de faltas por ondas viajantes nas linhas NMSSLT6-01, SSSPLT6-01, NBNMLT6-01, NMSSLT6-01 e na Subestação SELC.</t>
  </si>
  <si>
    <t>NOVA MUTUM|0001767/2021-INSTALAR MÓDULO DE LOCALIZAÇÃO DE FALTAS POR ONDAS VIAJANTES.-Instalar módulo de localização de faltas por ondas viajantes nas linhas NMSSLT6-01, SSSPLT6-01, NBNMLT6-01, NMSSLT6-01 e na Subestação SELC.</t>
  </si>
  <si>
    <t>SORRISO|0001768/2021-INSTALAR MÓDULO DE LOCALIZAÇÃO DE FALTAS POR ONDAS VIAJANTES.-Instalar módulo de localização de faltas por ondas viajantes nas linhas NMSSLT6-01, SSSPLT6-01, NBNMLT6-01, NMSSLT6-01 e na Subestação SELC.</t>
  </si>
  <si>
    <t>SORRISO|0001769/2021-INSTALAR MÓDULO DE LOCALIZAÇÃO DE FALTAS POR ONDAS VIAJANTES.-Instalar módulo de localização de faltas por ondas viajantes nas linhas NMSSLT6-01, SSSPLT6-01, NBNMLT6-01, NMSSLT6-01 e na Subestação SELC.</t>
  </si>
  <si>
    <t xml:space="preserve">NOVA MUTUM|0006939/2021-SUBSTITUIÇÃO DA CHAVES SECCIONADORA NMSB6-15-Aquisição de uma chave seccionadora para substituição da chave NMSD6-10, função de transmissão NMTF6-03, Subestação Nova Mutum, Sistema de Transmissão Mato Grosso. </t>
  </si>
  <si>
    <t xml:space="preserve"> LT 230 kV BARRA PEIXE /RONDONOPOLIS C-1 MT|0006160/2019-Desenvolver, adquirir e instalar dispositivo de proteção de cadeias de isoladores contra fezes de aves em 538 estruturas.-Desenvolver, adquirir e instalar dispositivo de proteção de cadeias de isoladores contra fezes de aves em 538 estruturas na linha BPRPLT6-01</t>
  </si>
  <si>
    <t xml:space="preserve">NOVA MUTUM|0006940/2021-SUBSTITUIÇÃO DA CHAVES SECCIONADORA NMSB6-15-Aquisição de uma chave seccionadora para substituição da chave NMSB6-15, função de transmissão NMTF6-03, Subestação Nova Mutum, Sistema de Transmissão Mato Grosso. </t>
  </si>
  <si>
    <t>NOVA MUTUM|0006548/2021-REVITALIZAÇÃO DO TRANSFORMADOR SSTF6-01 COM SUBSTITUIÇÃO DE RADIADORES, VEDAÇÕES E ACESSÓRIOS E INSTALAÇÃO DE SISTEMA EXTERNO DE SELAGEM.-Revitalização dos transformadores SSTF6-01 e NMTF6-01, com substiuição de UAR</t>
  </si>
  <si>
    <t>SORRISO|0006555/2021-REVITALIZAÇÃO DO TRANSFORMADOR SSTF6-01 COM SUBSTITUIÇÃO DE RADIADORES, VEDAÇÕES E ACESSÓRIOS E INSTALAÇÃO DE SISTEMA EXTERNO DE SELAGEM.-Revitalização dos transformadores SSTF6-01 e NMTF6-01, com substiuição de UAR</t>
  </si>
  <si>
    <t>DIVERSAS INSTALAÇÕES|Sobressalente à cadastrar PMI--Contratação de empresa especializada para o fornecimento de  serviço especializado para a elaboração de planejamento, programação, fiscalização, coordenação, supervisão e/ou execução de testes e ensaios de comissionamento de equipamentos de potência, sistemas auxiliares e sistemas de proteção controle e supervisão e implantação de melhorias em qualquer instalação de propriedade da Eletronorte ou por ela acessada nos estados de Roraima, Amazonas, Amapá, Rondônia, Acre, Pará, Mato Grosso, Maranhão, Tocantins e em Araraquara, estado de São Paulo ou em outra localidade onde a Eletronorte venha a atuar dentro e fora do território nacional.</t>
  </si>
  <si>
    <t>SEM INSTALAÇÃO ESPECÍFICA|Sem PMI--Aquisição de um medidor de corrente de fuga</t>
  </si>
  <si>
    <t>GUAMA|0008564/2019-SUSBTITUIÇÃO DOS TRANSFORMADORES DE CORRENTE DE 230 KV  - FA, FB e FV.-Aquisição de 160 conectores de expansão barra chata - tubo 4 polegadas IPS para utilização na instalação dos Transformadores de Corrente de 245 kV das Subestações de Guamá, Utinga, Marabá e Vila do Conde</t>
  </si>
  <si>
    <t>GUAMA|0008598/2019-SUSBTITUIÇÃO DOS TRANSFORMADORES DE CORRENTE DE 230 KV  - FA, FB e FV.-Aquisição de 160 conectores de expansão barra chata - tubo 4 polegadas IPS para utilização na instalação dos Transformadores de Corrente de 245 kV das Subestações de Guamá, Utinga, Marabá e Vila do Conde</t>
  </si>
  <si>
    <t>GUAMA|0008619/2019-SUSBTITUIÇÃO DOS TRANSFORMADORES DE CORRENTE DE 230 KV  - FA, FB e FV.-Aquisição de 160 conectores de expansão barra chata - tubo 4 polegadas IPS para utilização na instalação dos Transformadores de Corrente de 245 kV das Subestações de Guamá, Utinga, Marabá e Vila do Conde</t>
  </si>
  <si>
    <t>MARABA|0008530/2019-SUBSTITUIÇÃO DOS TRANSFORMADORES DE CORRENTE DE 230 KV  - FA, FB e FV.-Aquisição de 160 conectores de expansão barra chata - tubo 4 polegadas IPS para utilização na instalação dos Transformadores de Corrente de 245 kV das Subestações de Guamá, Utinga, Marabá e Vila do Conde</t>
  </si>
  <si>
    <t>MARABA|0008630/2019-SUSBTITUIÇÃO DOS TRANSFORMADORES DE CORRENTE DE 230 KV  - FA, FB e FV.-Aquisição de 160 conectores de expansão barra chata - tubo 4 polegadas IPS para utilização na instalação dos Transformadores de Corrente de 245 kV das Subestações de Guamá, Utinga, Marabá e Vila do Conde</t>
  </si>
  <si>
    <t>MARABA|0008633/2019-SUSBTITUIÇÃO DOS TRANSFORMADORES DE CORRENTE DE 230 KV  - FA, FB e FV.-Aquisição de 160 conectores de expansão barra chata - tubo 4 polegadas IPS para utilização na instalação dos Transformadores de Corrente de 245 kV das Subestações de Guamá, Utinga, Marabá e Vila do Conde</t>
  </si>
  <si>
    <t>UTINGA|0007326/2022-SUBSTITUIÇÃO TRANSFORMADOR DE CORRENTE UGTC6-FA DE 230 KV DO UGTF6 02 FASE - A-Aquisição de 160 conectores de expansão barra chata - tubo 4 polegadas IPS para utilização na instalação dos Transformadores de Corrente de 245 kV das Subestações de Guamá, Utinga, Marabá e Vila do Conde</t>
  </si>
  <si>
    <t>UTINGA|0007333/2022-SUBSTITUIÇÃO TRANSFORMADOR DE CORRENTE UGTC6-FB DE 230 KV DO UGTF6 02 FASE - B-Aquisição de 160 conectores de expansão barra chata - tubo 4 polegadas IPS para utilização na instalação dos Transformadores de Corrente de 245 kV das Subestações de Guamá, Utinga, Marabá e Vila do Conde</t>
  </si>
  <si>
    <t>UTINGA|0007334/2022-SUBSTITUIÇÃO TRANSFORMADOR DE CORRENTE UGTC6-FV DE 230 KV DO UGTF6 02 FASE - V-Aquisição de 160 conectores de expansão barra chata - tubo 4 polegadas IPS para utilização na instalação dos Transformadores de Corrente de 245 kV das Subestações de Guamá, Utinga, Marabá e Vila do Conde</t>
  </si>
  <si>
    <t>UTINGA|0008571/2019-SUSBTITUIÇÃO DOS TRANSFORMADORES DE CORRENTE DE 230 KV  - FA, FB e FV - UGTF6-02.-Aquisição de 160 conectores de expansão barra chata - tubo 4 polegadas IPS para utilização na instalação dos Transformadores de Corrente de 245 kV das Subestações de Guamá, Utinga, Marabá e Vila do Conde</t>
  </si>
  <si>
    <t>UTINGA|0008595/2019-SUSBTITUIÇÃO DOS TRANSFORMADORES DE CORRENTE DE 230 KV  - FA, FB e FV.-Aquisição de 160 conectores de expansão barra chata - tubo 4 polegadas IPS para utilização na instalação dos Transformadores de Corrente de 245 kV das Subestações de Guamá, Utinga, Marabá e Vila do Conde</t>
  </si>
  <si>
    <t>VILA DO CONDE|0006227/2020-SUSBTITUIÇÃO DOS TRANSFORMADORES DE CORRENTE DE 230 KV - VCTC6 KZ, FA, FB e FV do VCDJ6 06.-Aquisição de 160 conectores de expansão barra chata - tubo 4 polegadas IPS para utilização na instalação dos Transformadores de Corrente de 245 kV das Subestações de Guamá, Utinga, Marabá e Vila do Conde</t>
  </si>
  <si>
    <t>VILA DO CONDE|0006363/2020-SUSBTITUIÇÃO DOS TRANSFORMADORES DE CORRENTE DE 230 KV - VCTC6 LY2, FA, FB e FV do VCDJ6 02 -Aquisição de 160 conectores de expansão barra chata - tubo 4 polegadas IPS para utilização na instalação dos Transformadores de Corrente de 245 kV das Subestações de Guamá, Utinga, Marabá e Vila do Conde</t>
  </si>
  <si>
    <t>VILA DO CONDE|0008191/2022-SUBSTITUIÇÃO TRANSFORMADOR DE CORRENTE DE 230 KV DO VÃO K SECÇÃO X FA (VCDJ6 04)-Aquisição de 160 conectores de expansão barra chata - tubo 4 polegadas IPS para utilização na instalação dos Transformadores de Corrente de 245 kV das Subestações de Guamá, Utinga, Marabá e Vila do Conde</t>
  </si>
  <si>
    <t>VILA DO CONDE|0008407/2022-SUBSTITUIÇÃO TRANSFORMADOR DE CORRENTE DE 230 KV DO VÃO L SECÇÃO Y2 FA (VCDJ6-02)-Aquisição de 160 conectores de expansão barra chata - tubo 4 polegadas IPS para utilização na instalação dos Transformadores de Corrente de 245 kV das Subestações de Guamá, Utinga, Marabá e Vila do Conde</t>
  </si>
  <si>
    <t>VILA DO CONDE|0008411/2022-SUBSTITUIÇÃO TRANSFORMADOR DE CORRENTE DE 230 KV DO VÃO L SECÇÃO Y2 FB (VCDJ6-02)-Aquisição de 160 conectores de expansão barra chata - tubo 4 polegadas IPS para utilização na instalação dos Transformadores de Corrente de 245 kV das Subestações de Guamá, Utinga, Marabá e Vila do Conde</t>
  </si>
  <si>
    <t>VILA DO CONDE|0008414/2022-SUBSTITUIÇÃO TRANSFORMADOR DE CORRENTE DE 230 KV DO VÃO L SECÇÃO Y2 FV (VCDJ6-02)-Aquisição de 160 conectores de expansão barra chata - tubo 4 polegadas IPS para utilização na instalação dos Transformadores de Corrente de 245 kV das Subestações de Guamá, Utinga, Marabá e Vila do Conde</t>
  </si>
  <si>
    <t>VILA DO CONDE|0008419/2022-SUBSTITUIÇÃO TRANSFORMADOR DE CORRENTE DE 230 KV DO VÃO L SECÇÃO Y1 FA (VCDJ6-02)-Aquisição de 160 conectores de expansão barra chata - tubo 4 polegadas IPS para utilização na instalação dos Transformadores de Corrente de 245 kV das Subestações de Guamá, Utinga, Marabá e Vila do Conde</t>
  </si>
  <si>
    <t>VILA DO CONDE|0008421/2022-SUBSTITUIÇÃO TRANSFORMADOR DE CORRENTE DE 230 KV DO VÃO L SECÇÃO Y1 FB (VCDJ6-02)-Aquisição de 160 conectores de expansão barra chata - tubo 4 polegadas IPS para utilização na instalação dos Transformadores de Corrente de 245 kV das Subestações de Guamá, Utinga, Marabá e Vila do Conde</t>
  </si>
  <si>
    <t>VILA DO CONDE|0008424/2022-SUBSTITUIÇÃO TRANSFORMADOR DE CORRENTE DE 230 KV DO VÃO L SECÇÃO Y1 FV (VCDJ6-02)-Aquisição de 160 conectores de expansão barra chata - tubo 4 polegadas IPS para utilização na instalação dos Transformadores de Corrente de 245 kV das Subestações de Guamá, Utinga, Marabá e Vila do Conde</t>
  </si>
  <si>
    <t>VILA DO CONDE|0008603/2019-SUSBTITUIÇÃO DOS TRANSFORMADORES DE CORRENTE DE 230 KV - VCTC6 KX,  FA, FB e FV do VCDJ6 04 (VCBC6 03)
-Aquisição de 160 conectores de expansão barra chata - tubo 4 polegadas IPS para utilização na instalação dos Transformadores de Corrente de 245 kV das Subestações de Guamá, Utinga, Marabá e Vila do Conde</t>
  </si>
  <si>
    <t>VILA DO CONDE|0008607/2019-SUSBTITUIÇÃO DOS TRANSFORMADORES DE CORRENTE DE 230 KV - VCTC6 LY1,  FA, FB e FV do VCDJ6 01-Aquisição de 160 conectores de expansão barra chata - tubo 4 polegadas IPS para utilização na instalação dos Transformadores de Corrente de 245 kV das Subestações de Guamá, Utinga, Marabá e Vila do Conde</t>
  </si>
  <si>
    <t>VILA DO CONDE|0008612/2019-SUSBTITUIÇÃO DOS TRANSFORMADORES DE CORRENTE DE 230 KV  - VCTC 6DY1, FA, FB e FV do VCDJ6 01-Aquisição de 160 conectores de expansão barra chata - tubo 4 polegadas IPS para utilização na instalação dos Transformadores de Corrente de 245 kV das Subestações de Guamá, Utinga, Marabá e Vila do Conde</t>
  </si>
  <si>
    <t>VILA DO CONDE|0008617/2019-SUSBTITUIÇÃO DOS TRANSFORMADORES DE CORRENTE DE 230 KV  - VCTC 6DX, FA, FB e FV do VCDJ6 01-Aquisição de 160 conectores de expansão barra chata - tubo 4 polegadas IPS para utilização na instalação dos Transformadores de Corrente de 245 kV das Subestações de Guamá, Utinga, Marabá e Vila do Conde</t>
  </si>
  <si>
    <t xml:space="preserve">ABUNA|0003207/2020-Instalação de TC de Barras para monitoramento das Correntes do Vão de Interligação de Barras nº 01 de 230 kV - (ANDB6-01). (Vão CX).-Serviço de Desmontagem, adequação de projeto, Montagem Eletromecânica e Comissionamento com Fornecimento de Materiais e infraestrutura para substituição de Transformadores de Corrente 245kV </t>
  </si>
  <si>
    <t xml:space="preserve">GUAMA|0008564/2019-SUSBTITUIÇÃO DOS TRANSFORMADORES DE CORRENTE DE 230 KV  - FA, FB e FV.-Serviço de Desmontagem, adequação de projeto, Montagem Eletromecânica e Comissionamento com Fornecimento de Materiais e infraestrutura para substituição de Transformadores de Corrente 245kV </t>
  </si>
  <si>
    <t xml:space="preserve">GUAMA|0008598/2019-SUSBTITUIÇÃO DOS TRANSFORMADORES DE CORRENTE DE 230 KV  - FA, FB e FV.-Serviço de Desmontagem, adequação de projeto, Montagem Eletromecânica e Comissionamento com Fornecimento de Materiais e infraestrutura para substituição de Transformadores de Corrente 245kV </t>
  </si>
  <si>
    <t xml:space="preserve">GUAMA|0008619/2019-SUSBTITUIÇÃO DOS TRANSFORMADORES DE CORRENTE DE 230 KV  - FA, FB e FV.-Serviço de Desmontagem, adequação de projeto, Montagem Eletromecânica e Comissionamento com Fornecimento de Materiais e infraestrutura para substituição de Transformadores de Corrente 245kV </t>
  </si>
  <si>
    <t xml:space="preserve">IMPERATRIZ|0004122/2019-SUBSTITUIÇÃO DOS TRANSFORMADORES DE CORRENTE 230KV FASES A, B, V DO TRANSFORMADOR IZTF6-02-Serviço de Desmontagem, adequação de projeto, Montagem Eletromecânica e Comissionamento com Fornecimento de Materiais e infraestrutura para substituição de Transformadores de Corrente 245kV </t>
  </si>
  <si>
    <t xml:space="preserve">IMPERATRIZ|0007830/2021-SUBSTITUIÇÃO DE TRANSFORMADOR DE CORRENTE FASE 2B ASSOCIADO AO BAY DE INTERLIGAÇÃO 1-Serviço de Desmontagem, adequação de projeto, Montagem Eletromecânica e Comissionamento com Fornecimento de Materiais e infraestrutura para substituição de Transformadores de Corrente 245kV </t>
  </si>
  <si>
    <t xml:space="preserve">IMPERATRIZ|0008477/2021-SUBSTITUIR O TRANSFORMADOR DE CORRENTE FASE A  ASSOCIADO AO DISJUNTOR 603-Serviço de Desmontagem, adequação de projeto, Montagem Eletromecânica e Comissionamento com Fornecimento de Materiais e infraestrutura para substituição de Transformadores de Corrente 245kV </t>
  </si>
  <si>
    <t xml:space="preserve">IMPERATRIZ|0008478/2021-SUBSTITUIR O TRANSFORMADOR DE CORRENTE FASE B  ASSOCIADO AO DISJUNTOR 603-Serviço de Desmontagem, adequação de projeto, Montagem Eletromecânica e Comissionamento com Fornecimento de Materiais e infraestrutura para substituição de Transformadores de Corrente 245kV </t>
  </si>
  <si>
    <t xml:space="preserve">IMPERATRIZ|0008479/2021-SUBSTITUIR O TRANSFORMADOR DE CORRENTE FASE A  ASSOCIADO AO DISJUNTOR 604-Serviço de Desmontagem, adequação de projeto, Montagem Eletromecânica e Comissionamento com Fornecimento de Materiais e infraestrutura para substituição de Transformadores de Corrente 245kV </t>
  </si>
  <si>
    <t xml:space="preserve">IMPERATRIZ|0008481/2021-SUBSTITUIR O TRANSFORMADOR DE CORRENTE FASE B  ASSOCIADO AO BAY IZPFLT601-Serviço de Desmontagem, adequação de projeto, Montagem Eletromecânica e Comissionamento com Fornecimento de Materiais e infraestrutura para substituição de Transformadores de Corrente 245kV </t>
  </si>
  <si>
    <t xml:space="preserve">IMPERATRIZ|0008483/2021-SUBSTITUIR O TRANSFORMADOR DE CORRENTE FASE B  ASSOCIADO AO TF604-Serviço de Desmontagem, adequação de projeto, Montagem Eletromecânica e Comissionamento com Fornecimento de Materiais e infraestrutura para substituição de Transformadores de Corrente 245kV </t>
  </si>
  <si>
    <t xml:space="preserve">IMPERATRIZ|0008800/2021-SUBSTITUIR O TRANSFORMADOR DE CORRENTE FASE B ASSOCIADO AO DISJUNTOR 604-Serviço de Desmontagem, adequação de projeto, Montagem Eletromecânica e Comissionamento com Fornecimento de Materiais e infraestrutura para substituição de Transformadores de Corrente 245kV </t>
  </si>
  <si>
    <t xml:space="preserve">IMPERATRIZ|0008815/2021-SUBSTITUIR O TRANSFORMADOR DE CORRENTE FASE A  ASSOCIADO AO BAY IZPFLT601-Serviço de Desmontagem, adequação de projeto, Montagem Eletromecânica e Comissionamento com Fornecimento de Materiais e infraestrutura para substituição de Transformadores de Corrente 245kV </t>
  </si>
  <si>
    <t xml:space="preserve">IMPERATRIZ|0008846/2021-SUBSTITUIR O TRANSFORMADOR DE CORRENTE FASE A  ASSOCIADO AO TF603-Serviço de Desmontagem, adequação de projeto, Montagem Eletromecânica e Comissionamento com Fornecimento de Materiais e infraestrutura para substituição de Transformadores de Corrente 245kV </t>
  </si>
  <si>
    <t xml:space="preserve">MARABA|0008530/2019-SUBSTITUIÇÃO DOS TRANSFORMADORES DE CORRENTE DE 230 KV  - FA, FB e FV.-Serviço de Desmontagem, adequação de projeto, Montagem Eletromecânica e Comissionamento com Fornecimento de Materiais e infraestrutura para substituição de Transformadores de Corrente 245kV </t>
  </si>
  <si>
    <t xml:space="preserve">MARABA|0008630/2019-SUSBTITUIÇÃO DOS TRANSFORMADORES DE CORRENTE DE 230 KV  - FA, FB e FV.-Serviço de Desmontagem, adequação de projeto, Montagem Eletromecânica e Comissionamento com Fornecimento de Materiais e infraestrutura para substituição de Transformadores de Corrente 245kV </t>
  </si>
  <si>
    <t xml:space="preserve">MARABA|0008633/2019-SUSBTITUIÇÃO DOS TRANSFORMADORES DE CORRENTE DE 230 KV  - FA, FB e FV.-Serviço de Desmontagem, adequação de projeto, Montagem Eletromecânica e Comissionamento com Fornecimento de Materiais e infraestrutura para substituição de Transformadores de Corrente 245kV </t>
  </si>
  <si>
    <t xml:space="preserve">MIRANDA II|0006252/2020-SUBSTITUIR O TRANSFORMADOR DE CORRENTE FASE V-Serviço de Desmontagem, adequação de projeto, Montagem Eletromecânica e Comissionamento com Fornecimento de Materiais e infraestrutura para substituição de Transformadores de Corrente 245kV </t>
  </si>
  <si>
    <t xml:space="preserve">MIRANDA II|0006271/2020-SUBSTITUIR O TRANSFORMADOR DE CORRENTE FASE B (MRTF6-02)-Serviço de Desmontagem, adequação de projeto, Montagem Eletromecânica e Comissionamento com Fornecimento de Materiais e infraestrutura para substituição de Transformadores de Corrente 245kV </t>
  </si>
  <si>
    <t xml:space="preserve">MIRANDA II|0006276/2020-SUBSTITUIR O TRANSFORMADOR DE CORRENTE FASE A (MRTF6-02)-Serviço de Desmontagem, adequação de projeto, Montagem Eletromecânica e Comissionamento com Fornecimento de Materiais e infraestrutura para substituição de Transformadores de Corrente 245kV </t>
  </si>
  <si>
    <t xml:space="preserve">Miranda II|0000224/2009-Revitalização necessária: substituição dos TCs da LT para Peritoró e São Luís II. Justificativa: superação da corrente nominal (fator limitante ativo) após a entrada em operação das UTEs Nova Olindina e Tocantinópolis. Origem: PAR e ONS RE 2.1/xxx/2009 Relatório de análise de superação de equipamentos 2010-2012.-Serviço de Desmontagem, adequação de projeto, Montagem Eletromecânica e Comissionamento com Fornecimento de Materiais e infraestrutura para substituição de Transformadores de Corrente 245kV </t>
  </si>
  <si>
    <t xml:space="preserve">RIO BRANCO I|0003212/2020-Instalação de TC de Barras para monitoramento das Correntes do Vão de Interligação de Barras nº 01 de 230 kV - (RBDB6-01). (Vão AY).-Serviço de Desmontagem, adequação de projeto, Montagem Eletromecânica e Comissionamento com Fornecimento de Materiais e infraestrutura para substituição de Transformadores de Corrente 245kV </t>
  </si>
  <si>
    <t xml:space="preserve">PORTO FRANCO|0007019/2021-Substituição transformador de corrente 230kV Bay IZPF-LT601 fase A-Serviço de Desmontagem, adequação de projeto, Montagem Eletromecânica e Comissionamento com Fornecimento de Materiais e infraestrutura para substituição de Transformadores de Corrente 245kV </t>
  </si>
  <si>
    <t xml:space="preserve">PORTO FRANCO|0007820/2021-Substituição transformador de corrente 230kV Bay IZPF-LT601 fase B-Serviço de Desmontagem, adequação de projeto, Montagem Eletromecânica e Comissionamento com Fornecimento de Materiais e infraestrutura para substituição de Transformadores de Corrente 245kV </t>
  </si>
  <si>
    <t xml:space="preserve">PORTO FRANCO|0007821/2021-Substituição transformador de corrente 230kV Bay IZPF-LT601 fase V-Serviço de Desmontagem, adequação de projeto, Montagem Eletromecânica e Comissionamento com Fornecimento de Materiais e infraestrutura para substituição de Transformadores de Corrente 245kV </t>
  </si>
  <si>
    <t xml:space="preserve">PORTO FRANCO|0007822/2021-Substituição transformador de corrente 230kV Módulo de Conexão 230kV PFTF6-01 fase A-Serviço de Desmontagem, adequação de projeto, Montagem Eletromecânica e Comissionamento com Fornecimento de Materiais e infraestrutura para substituição de Transformadores de Corrente 245kV </t>
  </si>
  <si>
    <t xml:space="preserve">PORTO FRANCO|0007824/2021-Substituição transformador de corrente 230kV Módulo de Conexão 230kV PFTF6-01 fase B-Serviço de Desmontagem, adequação de projeto, Montagem Eletromecânica e Comissionamento com Fornecimento de Materiais e infraestrutura para substituição de Transformadores de Corrente 245kV </t>
  </si>
  <si>
    <t xml:space="preserve">PORTO FRANCO|0007826/2021-Substituição transformador de corrente 230kV Módulo de Conexão 230kV PFTF6-02 fase A-Serviço de Desmontagem, adequação de projeto, Montagem Eletromecânica e Comissionamento com Fornecimento de Materiais e infraestrutura para substituição de Transformadores de Corrente 245kV </t>
  </si>
  <si>
    <t xml:space="preserve">PORTO FRANCO|0007828/2021-Substituição transformador de corrente 230kV Módulo de Conexão 230kV PFTF6-02 fase B-Serviço de Desmontagem, adequação de projeto, Montagem Eletromecânica e Comissionamento com Fornecimento de Materiais e infraestrutura para substituição de Transformadores de Corrente 245kV </t>
  </si>
  <si>
    <t xml:space="preserve">SAO LUIS I|0007536/2020-Substituição de 3 Transformadores de Corrente do vão LITF6-01 - Trafo 1 - Vão Fx.
Capacidade do novo equipamento: Capacidade nominal de curto-circuito: 40 kA e Capacidade nominal de corrente: 2000 A.-Serviço de Desmontagem, adequação de projeto, Montagem Eletromecânica e Comissionamento com Fornecimento de Materiais e infraestrutura para substituição de Transformadores de Corrente 245kV </t>
  </si>
  <si>
    <t xml:space="preserve">SAO LUIS I|0007537/2020-Substituição de 3 Transformadores de Corrente do vão LITF6-02 - Trafo 2 - Vão Ex.
Capacidade do novo equipamento: Capacidade nominal de curto-circuito: 40 kA e Capacidade nominal de corrente: 2000 A.-Serviço de Desmontagem, adequação de projeto, Montagem Eletromecânica e Comissionamento com Fornecimento de Materiais e infraestrutura para substituição de Transformadores de Corrente 245kV </t>
  </si>
  <si>
    <t xml:space="preserve">SAO LUIS I|0007538/2020-Substituição de 3 Transformadores de Corrente do vão LITF6-04 - Trafo 4 - Vão Ax.
Capacidade do novo equipamento: Capacidade nominal de curto-circuito: 40 kA e Capacidade nominal de corrente: 2000 A.-Serviço de Desmontagem, adequação de projeto, Montagem Eletromecânica e Comissionamento com Fornecimento de Materiais e infraestrutura para substituição de Transformadores de Corrente 245kV </t>
  </si>
  <si>
    <t xml:space="preserve">SAO LUIS II|0004467/2018-?SUBSTITUIR TRANSFORMADOR DE CORRENTE 230KV DA FASE 'V', DO BAY DA LINHA LDMR-LT601-Serviço de Desmontagem, adequação de projeto, Montagem Eletromecânica e Comissionamento com Fornecimento de Materiais e infraestrutura para substituição de Transformadores de Corrente 245kV </t>
  </si>
  <si>
    <t xml:space="preserve">SAO LUIS II|0007014/2021-SUBSTITUIÇÃO DO TRANSFORMADOR DE CORRENTE DE 230kV, FASE "B" DO VÃO DE TRANSFERENCIA DE 230kV ENTRE BARRAS LDBR6-01 E LDBR6-02.-Serviço de Desmontagem, adequação de projeto, Montagem Eletromecânica e Comissionamento com Fornecimento de Materiais e infraestrutura para substituição de Transformadores de Corrente 245kV </t>
  </si>
  <si>
    <t xml:space="preserve">SAO LUIS II|0007022/2021-SUBSTITUIÇÃO DO TRANSFORMADOR DE CORRENTE DE 230kV, FASE "V" DO BAY DA ENTRADA DE LINHA DE 230kV SÃO LUIS II - MIRANDA II.-Serviço de Desmontagem, adequação de projeto, Montagem Eletromecânica e Comissionamento com Fornecimento de Materiais e infraestrutura para substituição de Transformadores de Corrente 245kV </t>
  </si>
  <si>
    <t xml:space="preserve">SAO LUIS II|0007026/2021-SUBSTITUIÇÃO DO TRANSFORMADOR DE CORRENTE DE 230kV, FASE "B" DO BAY DA ENTRADA DE LINHA DE 230kV SÃO LUIS II - MIRANDA II.-Serviço de Desmontagem, adequação de projeto, Montagem Eletromecânica e Comissionamento com Fornecimento de Materiais e infraestrutura para substituição de Transformadores de Corrente 245kV </t>
  </si>
  <si>
    <t xml:space="preserve">SAO LUIS II|0007028/2021-SUBSTITUIÇÃO DO TRANSFORMADOR DE CORRENTE DE 230kV, FASE "A" DO BAY DA ENTRADA DE LINHA DE 230kV SÃO LUIS II - MIRANDA II.-Serviço de Desmontagem, adequação de projeto, Montagem Eletromecânica e Comissionamento com Fornecimento de Materiais e infraestrutura para substituição de Transformadores de Corrente 245kV </t>
  </si>
  <si>
    <t xml:space="preserve">SAO LUIS II|0007324/2021-SUBSTITUIÇÃO DO TRANSFORMADOR DE CORRENTE DE 230kV, FASE "B" DO BAY DA ENTRADA DE LINHA DE 230kV SÃO LUIS II - SÃO LUIS I, CIRCUITO 2.-Serviço de Desmontagem, adequação de projeto, Montagem Eletromecânica e Comissionamento com Fornecimento de Materiais e infraestrutura para substituição de Transformadores de Corrente 245kV </t>
  </si>
  <si>
    <t xml:space="preserve">SAO LUIS II|0007331/2021-SUBSTITUIÇÃO DO TRANSFORMADOR DE CORRENTE DE 230kV, FASE "A" DO BAY DA ENTRADA DE LINHA DE 230kV SÃO LUIS II - SÃO LUIS I, CIRCUITO 2.-Serviço de Desmontagem, adequação de projeto, Montagem Eletromecânica e Comissionamento com Fornecimento de Materiais e infraestrutura para substituição de Transformadores de Corrente 245kV </t>
  </si>
  <si>
    <t xml:space="preserve">SAO LUIS II|0007345/2021-SUBSTITUIÇÃO DO TRANSFORMADOR DE CORRENTE DE 230kV, FASE "A" DO BAY DA ENTRADA DE LINHA DE 230kV SÃO LUIS II - SÃO LUIS I, CIRCUITO 1.-Serviço de Desmontagem, adequação de projeto, Montagem Eletromecânica e Comissionamento com Fornecimento de Materiais e infraestrutura para substituição de Transformadores de Corrente 245kV </t>
  </si>
  <si>
    <t xml:space="preserve">SAO LUIS II|0007351/2021-SUBSTITUIÇÃO DO TRANSFORMADOR DE CORRENTE DE 230kV, FASE "V", ASSOCIADO AO BAY DO BANCO DE CAPACITORES LDBC6-03.-Serviço de Desmontagem, adequação de projeto, Montagem Eletromecânica e Comissionamento com Fornecimento de Materiais e infraestrutura para substituição de Transformadores de Corrente 245kV </t>
  </si>
  <si>
    <t xml:space="preserve">SAO LUIS II|0007355/2021-SUBSTITUIÇÃO DO TRANSFORMADOR DE CORRENTE DE 230kV, FASE "B", ASSOCIADO AO BAY DO BANCO DE CAPACITORES LDBC6-03.SUBSTITUIÇÃO DO TRANSFORMADOR DE CORRENTE DE 230kV, FASE "B", ASSOCIADO AO BAY DO BANCO DE CAPACITORES LDBC6-03.-Serviço de Desmontagem, adequação de projeto, Montagem Eletromecânica e Comissionamento com Fornecimento de Materiais e infraestrutura para substituição de Transformadores de Corrente 245kV </t>
  </si>
  <si>
    <t xml:space="preserve">SAO LUIS II|0007358/2021-SUBSTITUIÇÃO DO TRANSFORMADOR DE CORRENTE DE 230kV, FASE "A", ASSOCIADO AO BAY DO BANCO DE CAPACITORES LDBC6-03.-Serviço de Desmontagem, adequação de projeto, Montagem Eletromecânica e Comissionamento com Fornecimento de Materiais e infraestrutura para substituição de Transformadores de Corrente 245kV </t>
  </si>
  <si>
    <t xml:space="preserve">SAO LUIS II|0007372/2021-SUBSTITUIÇÃO DO TRANSFORMADOR DE CORRENTE DE 230kV, FASE "V", ASSOCIADO AO BAY DO BANCO DE CAPACITORES LDBC6-01.-Serviço de Desmontagem, adequação de projeto, Montagem Eletromecânica e Comissionamento com Fornecimento de Materiais e infraestrutura para substituição de Transformadores de Corrente 245kV </t>
  </si>
  <si>
    <t xml:space="preserve">SAO LUIS II|0007380/2021-SUBSTITUIÇÃO DO TRANSFORMADOR DE CORRENTE DE 230kV, FASE "B", ASSOCIADO AO BAY DO BANCO DE CAPACITORES LDBC6-01..-Serviço de Desmontagem, adequação de projeto, Montagem Eletromecânica e Comissionamento com Fornecimento de Materiais e infraestrutura para substituição de Transformadores de Corrente 245kV </t>
  </si>
  <si>
    <t xml:space="preserve">SAO LUIS II|0007389/2021-SUBSTITUIÇÃO DO TRANSFORMADOR DE CORRENTE DE 230kV, FASE "A", ASSOCIADO AO BAY DO BANCO DE CAPACITORES LDBC6-01..-Serviço de Desmontagem, adequação de projeto, Montagem Eletromecânica e Comissionamento com Fornecimento de Materiais e infraestrutura para substituição de Transformadores de Corrente 245kV </t>
  </si>
  <si>
    <t xml:space="preserve">SAO LUIS II|0007397/2021-SUBSTITUIÇÃO DO TRANSFORMADOR DE CORRENTE DE 230kV, FASE "V", ASSOCIADO AO BAY DO BANCO DE AUTOTRANSFORMADORES LDAT7-03-Serviço de Desmontagem, adequação de projeto, Montagem Eletromecânica e Comissionamento com Fornecimento de Materiais e infraestrutura para substituição de Transformadores de Corrente 245kV </t>
  </si>
  <si>
    <t xml:space="preserve">SAO LUIS II|0007408/2021-SUBSTITUIÇÃO DO TRANSFORMADOR DE CORRENTE DE 230kV, FASE "B", ASSOCIADO AO BAY DO BANCO DE AUTOTRANSFORMADORES LDAT7-03-Serviço de Desmontagem, adequação de projeto, Montagem Eletromecânica e Comissionamento com Fornecimento de Materiais e infraestrutura para substituição de Transformadores de Corrente 245kV </t>
  </si>
  <si>
    <t xml:space="preserve">SAO LUIS II|0007413/2021-SUBSTITUIÇÃO DO TRANSFORMADOR DE CORRENTE DE 230kV, FASE "A", ASSOCIADO AO BAY DO BANCO DE AUTOTRANSFORMADORES LDAT7-03-Serviço de Desmontagem, adequação de projeto, Montagem Eletromecânica e Comissionamento com Fornecimento de Materiais e infraestrutura para substituição de Transformadores de Corrente 245kV </t>
  </si>
  <si>
    <t xml:space="preserve">SAO LUIS II|0007424/2021-SUBSTITUIÇÃO DO TRANSFORMADOR DE CORRENTE DE 230kV, FASE "V", ASSOCIADO AO DISJUNTOR LDDJ6-10 DO BAY DO BANCO DE AUTOTRANSFORMADORES LDAT7-02-Serviço de Desmontagem, adequação de projeto, Montagem Eletromecânica e Comissionamento com Fornecimento de Materiais e infraestrutura para substituição de Transformadores de Corrente 245kV </t>
  </si>
  <si>
    <t xml:space="preserve">SAO LUIS II|0007463/2021-SUBSTITUIÇÃO DO TRANSFORMADOR DE CORRENTE DE 230kV, FASE "B", ASSOCIADO AO DISJUNTOR LDDJ6-10 DO BAY DO BANCO DE AUTOTRANSFORMADORES LDAT7-02-Serviço de Desmontagem, adequação de projeto, Montagem Eletromecânica e Comissionamento com Fornecimento de Materiais e infraestrutura para substituição de Transformadores de Corrente 245kV </t>
  </si>
  <si>
    <t xml:space="preserve">SAO LUIS II|0007494/2021-SUBSTITUIÇÃO DO TRANSFORMADOR DE CORRENTE DE 230kV, FASE "A", ASSOCIADO AO DISJUNTOR LDDJ6-10 DO BAY DO BANCO DE AUTOTRANSFORMADORES LDAT7-02-Serviço de Desmontagem, adequação de projeto, Montagem Eletromecânica e Comissionamento com Fornecimento de Materiais e infraestrutura para substituição de Transformadores de Corrente 245kV </t>
  </si>
  <si>
    <t xml:space="preserve">SAO LUIS II|0007516/2021-SUBSTITUIÇÃO DO TRANSFORMADOR DE CORRENTE DE 230kV, FASE "V", ASSOCIADO AO DISJUNTOR LDDJ6-08 DO BAY DO BANCO DE AUTOTRANSFORMADORES LDAT7-02-Serviço de Desmontagem, adequação de projeto, Montagem Eletromecânica e Comissionamento com Fornecimento de Materiais e infraestrutura para substituição de Transformadores de Corrente 245kV </t>
  </si>
  <si>
    <t xml:space="preserve">SAO LUIS II|0007524/2021-SUBSTITUIÇÃO DO TRANSFORMADOR DE CORRENTE DE 230kV, FASE "B", ASSOCIADO AO DISJUNTOR LDDJ6-08 DO BAY DO BANCO DE AUTOTRANSFORMADORES LDAT7-02-Serviço de Desmontagem, adequação de projeto, Montagem Eletromecânica e Comissionamento com Fornecimento de Materiais e infraestrutura para substituição de Transformadores de Corrente 245kV </t>
  </si>
  <si>
    <t xml:space="preserve">SAO LUIS II|0007533/2021-SUBSTITUIÇÃO DO TRANSFORMADOR DE CORRENTE DE 230kV, FASE "A", ASSOCIADO AO DISJUNTOR LDDJ6-08 DO BAY DO BANCO DE AUTOTRANSFORMADORES LDAT7-02.-Serviço de Desmontagem, adequação de projeto, Montagem Eletromecânica e Comissionamento com Fornecimento de Materiais e infraestrutura para substituição de Transformadores de Corrente 245kV </t>
  </si>
  <si>
    <t xml:space="preserve">SAO LUIS II|0007579/2021-SUBSTITUIÇÃO DO TRANSFORMADOR DE CORRENTE DE 230kV, FASE "B", ASSOCIADO AO LDDJ6-06, DO BAY DO BANCO DE AUTOTRANSFORMADORES LDAT7-01.-Serviço de Desmontagem, adequação de projeto, Montagem Eletromecânica e Comissionamento com Fornecimento de Materiais e infraestrutura para substituição de Transformadores de Corrente 245kV </t>
  </si>
  <si>
    <t xml:space="preserve">SAO LUIS II|0007587/2021-SUBSTITUIÇÃO DO TRANSFORMADOR DE CORRENTE DE 230kV, FASE "A", ASSOCIADO AO LDDJ6-06, DO BAY DO BANCO DE AUTOTRANSFORMADORES LDAT7-01.-Serviço de Desmontagem, adequação de projeto, Montagem Eletromecânica e Comissionamento com Fornecimento de Materiais e infraestrutura para substituição de Transformadores de Corrente 245kV </t>
  </si>
  <si>
    <t xml:space="preserve">SAO LUIS II|0007695/2021-SUBSTITUIÇÃO DO TRANSFORMADOR DE CORRENTE DE 230kV, FASE "V" DO BAY DA ENTRADA DE LINHA DE 230kV SÃO LUIS II - VALE.-Serviço de Desmontagem, adequação de projeto, Montagem Eletromecânica e Comissionamento com Fornecimento de Materiais e infraestrutura para substituição de Transformadores de Corrente 245kV </t>
  </si>
  <si>
    <t xml:space="preserve">SAO LUIS II|0007696/2021-SUBSTITUIÇÃO DO TRANSFORMADOR DE CORRENTE DE 230kV, FASE "B" DO BAY DA ENTRADA DE LINHA DE 230kV SÃO LUIS II - VALE.-Serviço de Desmontagem, adequação de projeto, Montagem Eletromecânica e Comissionamento com Fornecimento de Materiais e infraestrutura para substituição de Transformadores de Corrente 245kV </t>
  </si>
  <si>
    <t xml:space="preserve">SAO LUIS II|0007700/2021-SUBSTITUIÇÃO DO TRANSFORMADOR DE CORRENTE DE 230kV, FASE "A" DO BAY DA ENTRADA DE LINHA DE 230kV SÃO LUIS II - VALE.-Serviço de Desmontagem, adequação de projeto, Montagem Eletromecânica e Comissionamento com Fornecimento de Materiais e infraestrutura para substituição de Transformadores de Corrente 245kV </t>
  </si>
  <si>
    <t xml:space="preserve">SAO LUIS II|0007832/2021-SUBSTITUIÇÃO DO TRANSFORMADOR DE CORRENTE DE 230kV, FASE "V" DO VÃO DE TRANSFERENCIA DE 230kV ENTRE BARRAS LDBR6-01 E LDBR6-02.-Serviço de Desmontagem, adequação de projeto, Montagem Eletromecânica e Comissionamento com Fornecimento de Materiais e infraestrutura para substituição de Transformadores de Corrente 245kV </t>
  </si>
  <si>
    <t xml:space="preserve">UTINGA|0007326/2022-SUBSTITUIÇÃO TRANSFORMADOR DE CORRENTE UGTC6-FA DE 230 KV DO UGTF6 02 FASE - A-Serviço de Desmontagem, adequação de projeto, Montagem Eletromecânica e Comissionamento com Fornecimento de Materiais e infraestrutura para substituição de Transformadores de Corrente 245kV </t>
  </si>
  <si>
    <t xml:space="preserve">UTINGA|0007333/2022-SUBSTITUIÇÃO TRANSFORMADOR DE CORRENTE UGTC6-FB DE 230 KV DO UGTF6 02 FASE - B-Serviço de Desmontagem, adequação de projeto, Montagem Eletromecânica e Comissionamento com Fornecimento de Materiais e infraestrutura para substituição de Transformadores de Corrente 245kV </t>
  </si>
  <si>
    <t xml:space="preserve">UTINGA|0007334/2022-SUBSTITUIÇÃO TRANSFORMADOR DE CORRENTE UGTC6-FV DE 230 KV DO UGTF6 02 FASE - V-Serviço de Desmontagem, adequação de projeto, Montagem Eletromecânica e Comissionamento com Fornecimento de Materiais e infraestrutura para substituição de Transformadores de Corrente 245kV </t>
  </si>
  <si>
    <t xml:space="preserve">UTINGA|0008571/2019-SUSBTITUIÇÃO DOS TRANSFORMADORES DE CORRENTE DE 230 KV  - FA, FB e FV - UGTF6-02.-Serviço de Desmontagem, adequação de projeto, Montagem Eletromecânica e Comissionamento com Fornecimento de Materiais e infraestrutura para substituição de Transformadores de Corrente 245kV </t>
  </si>
  <si>
    <t xml:space="preserve">UTINGA|0008595/2019-SUSBTITUIÇÃO DOS TRANSFORMADORES DE CORRENTE DE 230 KV  - FA, FB e FV.-Serviço de Desmontagem, adequação de projeto, Montagem Eletromecânica e Comissionamento com Fornecimento de Materiais e infraestrutura para substituição de Transformadores de Corrente 245kV </t>
  </si>
  <si>
    <t xml:space="preserve">VILA DO CONDE|0006227/2020-SUSBTITUIÇÃO DOS TRANSFORMADORES DE CORRENTE DE 230 KV - VCTC6 KZ, FA, FB e FV do VCDJ6 06.-Serviço de Desmontagem, adequação de projeto, Montagem Eletromecânica e Comissionamento com Fornecimento de Materiais e infraestrutura para substituição de Transformadores de Corrente 245kV </t>
  </si>
  <si>
    <t xml:space="preserve">VILA DO CONDE|0006363/2020-SUSBTITUIÇÃO DOS TRANSFORMADORES DE CORRENTE DE 230 KV - VCTC6 LY2, FA, FB e FV do VCDJ6 02 -Serviço de Desmontagem, adequação de projeto, Montagem Eletromecânica e Comissionamento com Fornecimento de Materiais e infraestrutura para substituição de Transformadores de Corrente 245kV </t>
  </si>
  <si>
    <t xml:space="preserve">VILA DO CONDE|0008191/2022-SUBSTITUIÇÃO TRANSFORMADOR DE CORRENTE DE 230 KV DO VÃO K SECÇÃO X FA (VCDJ6 04)-Serviço de Desmontagem, adequação de projeto, Montagem Eletromecânica e Comissionamento com Fornecimento de Materiais e infraestrutura para substituição de Transformadores de Corrente 245kV </t>
  </si>
  <si>
    <t xml:space="preserve">VILA DO CONDE|0008407/2022-SUBSTITUIÇÃO TRANSFORMADOR DE CORRENTE DE 230 KV DO VÃO L SECÇÃO Y2 FA (VCDJ6-02)-Serviço de Desmontagem, adequação de projeto, Montagem Eletromecânica e Comissionamento com Fornecimento de Materiais e infraestrutura para substituição de Transformadores de Corrente 245kV </t>
  </si>
  <si>
    <t xml:space="preserve">VILA DO CONDE|0008411/2022-SUBSTITUIÇÃO TRANSFORMADOR DE CORRENTE DE 230 KV DO VÃO L SECÇÃO Y2 FB (VCDJ6-02)-Serviço de Desmontagem, adequação de projeto, Montagem Eletromecânica e Comissionamento com Fornecimento de Materiais e infraestrutura para substituição de Transformadores de Corrente 245kV </t>
  </si>
  <si>
    <t xml:space="preserve">VILA DO CONDE|0008414/2022-SUBSTITUIÇÃO TRANSFORMADOR DE CORRENTE DE 230 KV DO VÃO L SECÇÃO Y2 FV (VCDJ6-02)-Serviço de Desmontagem, adequação de projeto, Montagem Eletromecânica e Comissionamento com Fornecimento de Materiais e infraestrutura para substituição de Transformadores de Corrente 245kV </t>
  </si>
  <si>
    <t xml:space="preserve">VILA DO CONDE|0008419/2022-SUBSTITUIÇÃO TRANSFORMADOR DE CORRENTE DE 230 KV DO VÃO L SECÇÃO Y1 FA (VCDJ6-02)-Serviço de Desmontagem, adequação de projeto, Montagem Eletromecânica e Comissionamento com Fornecimento de Materiais e infraestrutura para substituição de Transformadores de Corrente 245kV </t>
  </si>
  <si>
    <t xml:space="preserve">VILA DO CONDE|0008421/2022-SUBSTITUIÇÃO TRANSFORMADOR DE CORRENTE DE 230 KV DO VÃO L SECÇÃO Y1 FB (VCDJ6-02)-Serviço de Desmontagem, adequação de projeto, Montagem Eletromecânica e Comissionamento com Fornecimento de Materiais e infraestrutura para substituição de Transformadores de Corrente 245kV </t>
  </si>
  <si>
    <t xml:space="preserve">VILA DO CONDE|0008424/2022-SUBSTITUIÇÃO TRANSFORMADOR DE CORRENTE DE 230 KV DO VÃO L SECÇÃO Y1 FV (VCDJ6-02)-Serviço de Desmontagem, adequação de projeto, Montagem Eletromecânica e Comissionamento com Fornecimento de Materiais e infraestrutura para substituição de Transformadores de Corrente 245kV </t>
  </si>
  <si>
    <t xml:space="preserve">VILA DO CONDE|0008603/2019-SUSBTITUIÇÃO DOS TRANSFORMADORES DE CORRENTE DE 230 KV - VCTC6 KX,  FA, FB e FV do VCDJ6 04 (VCBC6 03)
-Serviço de Desmontagem, adequação de projeto, Montagem Eletromecânica e Comissionamento com Fornecimento de Materiais e infraestrutura para substituição de Transformadores de Corrente 245kV </t>
  </si>
  <si>
    <t xml:space="preserve">VILA DO CONDE|0008607/2019-SUSBTITUIÇÃO DOS TRANSFORMADORES DE CORRENTE DE 230 KV - VCTC6 LY1,  FA, FB e FV do VCDJ6 01-Serviço de Desmontagem, adequação de projeto, Montagem Eletromecânica e Comissionamento com Fornecimento de Materiais e infraestrutura para substituição de Transformadores de Corrente 245kV </t>
  </si>
  <si>
    <t xml:space="preserve">VILA DO CONDE|0008612/2019-SUSBTITUIÇÃO DOS TRANSFORMADORES DE CORRENTE DE 230 KV  - VCTC 6DY1, FA, FB e FV do VCDJ6 01-Serviço de Desmontagem, adequação de projeto, Montagem Eletromecânica e Comissionamento com Fornecimento de Materiais e infraestrutura para substituição de Transformadores de Corrente 245kV </t>
  </si>
  <si>
    <t xml:space="preserve">VILA DO CONDE|0008617/2019-SUSBTITUIÇÃO DOS TRANSFORMADORES DE CORRENTE DE 230 KV  - VCTC 6DX, FA, FB e FV do VCDJ6 01-Serviço de Desmontagem, adequação de projeto, Montagem Eletromecânica e Comissionamento com Fornecimento de Materiais e infraestrutura para substituição de Transformadores de Corrente 245kV </t>
  </si>
  <si>
    <t>VILA DO CONDE|0003498/2018-SUBSTITUIÇÃO  de 2 MOTORES 25 HP 14 PÓLOS SISTEMA DE REFRIGERAÇÃO -Revitalização (Máquina) VCCS2-02</t>
  </si>
  <si>
    <t>VILA DO CONDE|0004848/2018-SUBSTITUIR PONTA DE EIXO COM ANEL COLETOR DO COMPENSADOR SÍNCRONO VCCS2-02-Revitalização (Máquina) VCCS2-02</t>
  </si>
  <si>
    <t>VILA DO CONDE|0004857/2018-SUBSTITUIR ANÉIS DE ESTANQUEIDADE DO COMPENSADOR SÍNCRONO  VCCS2-02-Revitalização (Máquina) VCCS2-02</t>
  </si>
  <si>
    <t>VILA DO CONDE|0004867/2018-SUBSTITUIR 1,0 CONJUNTO DE SELAGENS MECÂNICAS DO COMPENSADOR SÍNCRONO  VCCS2-02-Revitalização (Máquina) VCCS2-02</t>
  </si>
  <si>
    <t>VILA DO CONDE|0004872/2018-SUBSTITUIR 1,0 CONJUNTO DE SELAGENS MECÂNICAS DO COMPENSADOR SÍNCRONO  VCCS2-02-Revitalização (Máquina) VCCS2-02</t>
  </si>
  <si>
    <t>VILA DO CONDE|0004874/2018-SUBSTITUIÇÃO DOS RADIADORES (ÁGUA/AR) DO SISTEMA DE ÁGUA DE RESFRIAMENTO DO COMPENSADOR SÍNCRONO VCCS2-01.-Revitalização (Máquina) VCCS2-02</t>
  </si>
  <si>
    <t>VILA DO CONDE|0004875/2018-SUBSTITUIÇÃO DE 01 CONJUNTO DE MOTOBOMBAS DO SISTEMA DE ÁGUA DE RESFRIAMENTO DO COMPENSADOR SÍNCRONO VCCS2-02-Revitalização (Máquina) VCCS2-02</t>
  </si>
  <si>
    <t>VILA DO CONDE|0004878/2018-SUBSTITUIÇÃO DE 2 VÁLVULA DE RETENÇÃO DO SISTEMA DE ÁGUA DE RESFRIAMENTO DO COMPENSADOR SÍNCRONO VCCS2-02-Revitalização (Máquina) VCCS2-02</t>
  </si>
  <si>
    <t>VILA DO CONDE|0004881/2018-SUBSTITUIÇÃO DE 03 CONJUNTOS DE PÁS DE ALUMINIO DOS  AEROVENTILADORES DO SISTEMA DE ÁGUA DE RESFRIAMENTO DO COMPENSADOR SÍNCRONO VCCS2-02-Revitalização (Máquina) VCCS2-02</t>
  </si>
  <si>
    <t>VILA DO CONDE|0004882/2018-SUBSTITUIÇÃO DOS RADIADORES (ÁGUA/AR) DO SISTEMA DE ÁGUA DE RESFRIAMENTO DO COMPENSADOR SÍNCRONO VCCS2-02-Revitalização (Máquina) VCCS2-02</t>
  </si>
  <si>
    <t>VILA DO CONDE|0004885/2018-SUBSTITUIÇÃO DE 6,0 (SEIS) CAIXAS METÁLICAS DE AR DO SISTEMA DE ÁGUA DE RESFRIAMENTO DO COMPENSADOR SÍNCRONO VCCS2-02-Revitalização (Máquina) VCCS2-02</t>
  </si>
  <si>
    <t>VILA DO CONDE|0004889/2018- MODERNIZAÇÃO DOS SISTEMAS DE PORTA ESCÔVAS / ESCOVAS COM ESTIBO E LIMITADOR E MICROSWITCHES, SISTEMA MDC DE ASPIRAÇÃO DE PÓ COM SISTEMA DE MONITORAMENTOEM TEMPO REAL (I-BRUSH) DO COMPENSADOR SÍNCRONO VCCS2-02-Revitalização (Máquina) VCCS2-02</t>
  </si>
  <si>
    <t>VILA DO CONDE|0004842/2018-SUBSTITUIÇÃO DOS DISJUNTORES DE 13.8 KV VCDJ2-05 DO COMPENSADOR SÍNCRONO VCCS2-01-Revitalização (Máquina) VCCS2-01</t>
  </si>
  <si>
    <t>VILA DO CONDE|0004844/2018-SUBSTITUIR PONTA DE EIXO COM ANEL COLETOR DO COMPENSADOR SÍNCRONO VCCS2-01-Revitalização (Máquina) VCCS2-01</t>
  </si>
  <si>
    <t>VILA DO CONDE|0004853/2018-SUBSTITUIÇÃO DOS DISJUNTORES DE 13.8 KV VCDJ2-07 DO COMPENSADOR SÍNCRONO VCCS2-01-Revitalização (Máquina) VCCS2-01</t>
  </si>
  <si>
    <t>VILA DO CONDE|0004855/2018-SUBSTITUIR ANÉIS DE ESTANQUEIDADE DO COMPENSADOR SÍNCRONO VCCS2-01-Revitalização (Máquina) VCCS2-01</t>
  </si>
  <si>
    <t>VILA DO CONDE|0004861/2018-SUBSTITUIR 1,0 CONJUNTO DE SELAGENS MECÂNICAS DO COMPENSADOR SÍNCRONO VCCS2-01-Revitalização (Máquina) VCCS2-01</t>
  </si>
  <si>
    <t>VILA DO CONDE|0004870/2018-SUBSTITUIÇÃO DE 03 CONJUNTOS DE PÁS DE ALUMINIO EXTRUDADO DOS AEROVENTILADORES DO SISTEMA DE ÁGUA DE RESFRIAMENTO-Revitalização (Máquina) VCCS2-01</t>
  </si>
  <si>
    <t>VILA DO CONDE|0004874/2018-SUBSTITUIÇÃO DOS RADIADORES (ÁGUA/AR) DO SISTEMA DE ÁGUA DE RESFRIAMENTO DO COMPENSADOR SÍNCRONO VCCS2-01.-Revitalização (Máquina) VCCS2-01</t>
  </si>
  <si>
    <t>VILA DO CONDE|0004880/2018-SUBSTITUIÇÃO DE 6,0 (SEIS) CAIXAS METÁLICAS DE AR DO SISTEMA DE ÁGUA DE RESFRIAMENTO DO COMPENSADOR SÍNCRONO VCCS2-01.-Revitalização (Máquina) VCCS2-01</t>
  </si>
  <si>
    <t>VILA DO CONDE|0004886/2018-SUBSTITUIÇÃO DAS VÁVULAS REGULADORAS DOS SISTEMAS DE ÓLEO DE LUBRIFICAÇÃO / LEVANTAMENTO E ESTANQUEIDADE DO COMPENSADOR SÍNCRONO VCCS2-01.-Revitalização (Máquina) VCCS2-01</t>
  </si>
  <si>
    <t>VILA DO CONDE|0004891/2018- MODERNIZAÇÃO DOS SISTEMAS DE PORTA ESCOVAS / ESCOVAS COM ESTIBO E LIMITADOR E MICROSWITCHES, SISTEMA MDC DE ASPIRAÇÃO DE PÓ COM SISTEMA DE MONITORAMENTOEM TEMPO REAL (I-BRUSH) DO COMPENSADOR SÍNCRONO VCCS2-01-Revitalização (Máquina) VCCS2-01</t>
  </si>
  <si>
    <t>MARABA|0003501/2018-SUBSTITUIÇÃO MOTOR 25 HP 14 PÓLOS SISTEMA DE REFRIGERAÇÃO -Revitalização (Máquina) MBCS2-01</t>
  </si>
  <si>
    <t>MARABA|0004836/2018-SUBSTITUIÇÃO DE 01 CONJUNTO DE MOTOBOMBAS DO SISTEMA DE ÁGUA DE RESFRIAMENTO DO COMPENSADOR SÍNCRONO MBCS2-01-Revitalização (Máquina) MBCS2-01</t>
  </si>
  <si>
    <t>MARABA|0004846/2018-SUBSTITUIÇÃO DE 2,0 VÁLVULA DE RETENÇÃO DO SISTEMA DE ÁGUA DE RESFRIAMENTO DO COMPENSADOR SÍNCRONO MBCS2-01-Revitalização (Máquina) MBCS2-01</t>
  </si>
  <si>
    <t>MARABA|0004856/2018-SUBSTITUIÇÃO DE 03 CONJUNTOS DE PÁS DE ALUMINIO DOS AEROVENTILADORES DO SISTEMA DE ÁGUA DE RESFRIAMENTO DO COMPENSADOR SÍNCRONO MBCS2-01-Revitalização (Máquina) MBCS2-01</t>
  </si>
  <si>
    <t>MARABA|0004865/2018-SUBSTITUIÇÃO DOS RADIADORES (ÁGUA/AR) DO SISTEMA DE ÁGUA DE RESFRIAMENTO DO COMPENSADOR SÍNCRONO MBCS2-01-Revitalização (Máquina) MBCS2-01</t>
  </si>
  <si>
    <t>MARABA|0004876/2018-SUBSTITUIÇÃO DE 6,0 (SEIS) CAIXAS METÁLICAS DE AR DO SISTEMA DE ÁGUA DE RESFRIAMENTO DO COMPENSADOR SÍNCRONO MBCS2-01-Revitalização (Máquina) MBCS2-01</t>
  </si>
  <si>
    <t>MARABA|0004893/2018-SUBSTITUIÇÃO MOTOR 25 HP 14 PÓLOS SISTEMA DE REFRIGERAÇÃO DO COMPENSADOR SÍNCRONO MBCS2-01-Revitalização (Máquina) MBCS2-01</t>
  </si>
  <si>
    <t>MARABA|0004898/2018-SUBSTITUIR ANÉIS DE ESTANQUEIDADE DO COMPENSADOR SÍNCRONO MBCS2-01-Revitalização (Máquina) MBCS2-01</t>
  </si>
  <si>
    <t>MARABA|0004906/2018-SUBSTITUIR 1,0 CONJUNTO DE SELAGENS MECÂNICAS DO COMPENSADOR SÍNCRONO MBCS2-01-Revitalização (Máquina) MBCS2-01</t>
  </si>
  <si>
    <t>MARABA|0004908/2018-SUBSTITUIR 1,0 CONJUNTO DE SELAGENS MECÂNICAS DO COMPENSADOR SÍNCRONO MBCS2-01-Revitalização (Máquina) MBCS2-01</t>
  </si>
  <si>
    <t>MARABA|0004909/2018-SUBSTITUIR 1,0 CONJUNTO DE SELAGENS MECÂNICAS DO COMPENSADOR SÍNCRONO MBCS2-01-Revitalização (Máquina) MBCS2-01</t>
  </si>
  <si>
    <t>MARABA|0004910/2018-SUBSTITUIR 1,0 CONJUNTO DE SELAGENS MECÂNICAS DO COMPENSADOR SÍNCRONO MBCS2-01-Revitalização (Máquina) MBCS2-01</t>
  </si>
  <si>
    <t>VILA DO CONDE|0004835/2018- MODERNIZAÇÃO DOS SISTEMAS DE PORTA ESCÔVAS / ESCOVAS COM ESTIBO E LIMITADOR E MICROSWITCHES, SISTEMA MDC DE ASPIRAÇÃO DE PÓ COM SISTEMA DE MONITORAMENTOEM TEMPO REAL (I-BRUSH) DO COMPENSADOR SÍNCRONO MBCS2-01-Revitalização (Máquina) MBCS2-01</t>
  </si>
  <si>
    <t>VILA DO CONDE|0004841/2018-SUBSTITUIR PONTA DE EIXO COM ANEL COLETOR DO COMPENSADOR SÍNCRONO MBCS2-01-Revitalização (Máquina) MBCS2-01</t>
  </si>
  <si>
    <t>TUCURUI|0008261/2021-Substituição do Transformador de Corrente 500kV do TCDJ7-16 Fase A - Vão AX-TCs 500kV</t>
  </si>
  <si>
    <t>TUCURUI|0008301/2021-Substituição do Transformador de Corrente 500kV do TCDJ7-16 Fase V - Vão AX-TCs 500kV</t>
  </si>
  <si>
    <t>TUCURUI|0008326/2021-Substituição do Transformador de Corrente 500kV do TCDJ7-16 Fase B - Vão AX-TCs 500kV</t>
  </si>
  <si>
    <t>TUCURUI|0009465/2021-Substituição do Transformador de Corrente 500kV do TCDJ7-17 fase A - Vão FY2-TCs 500kV</t>
  </si>
  <si>
    <t>TUCURUI|0009470/2021-Substituição do Transformador de Corrente 500kV do TCDJ7-17 fase B - Vão FY2-TCs 500kV</t>
  </si>
  <si>
    <t>TUCURUI|0009476/2021-Substituição do Transformador de Corrente 500kV do TCDJ7-17 fase V - Vão FY2-TCs 500kV</t>
  </si>
  <si>
    <t>PERITORO|0009162/2021-SUBSTITUIÇÃO DO TRANSFORMADOR DE POTENCIAL CAPACITIVO ASSOCIADO À BARRA PRBR6-02 F.B-Aquisição / Serviço de instalação e comissionamento de TPC 245kV PRBR6-02 FB</t>
  </si>
  <si>
    <t>MARABA|0007490/2021-Substituição do Transformador de Corrente 500kV do MBDJ7-09 Fase V - Vão CZ-Serviço de Desmontagem, adequação de projeto, Montagem Eletromecânica e Comissionamento com Fornecimento de Materiais e infraestrutura para substituição de Transformadores de Corrente 550kV  (PA - MA)</t>
  </si>
  <si>
    <t>MARABA|0007495/2021-Substituição do Transformador de Corrente 500kV do MBDJ7-09 Fase B - Vão BZ-Serviço de Desmontagem, adequação de projeto, Montagem Eletromecânica e Comissionamento com Fornecimento de Materiais e infraestrutura para substituição de Transformadores de Corrente 550kV  (PA - MA)</t>
  </si>
  <si>
    <t>MARABA|0007502/2021-Substituição do Transformador de Corrente 500kV do MBDJ7-08 Fase V - Vão BY1-Serviço de Desmontagem, adequação de projeto, Montagem Eletromecânica e Comissionamento com Fornecimento de Materiais e infraestrutura para substituição de Transformadores de Corrente 550kV  (PA - MA)</t>
  </si>
  <si>
    <t>MARABA|0007512/2021-Substituição do Transformador de Corrente 500kV do MBDJ7-08 Fase B - Vão BY1-Serviço de Desmontagem, adequação de projeto, Montagem Eletromecânica e Comissionamento com Fornecimento de Materiais e infraestrutura para substituição de Transformadores de Corrente 550kV  (PA - MA)</t>
  </si>
  <si>
    <t>MARABA|0007525/2021-Substituição do Transformador de Corrente 500kV do MBDJ7-08 Fase A - Vão BY1-Serviço de Desmontagem, adequação de projeto, Montagem Eletromecânica e Comissionamento com Fornecimento de Materiais e infraestrutura para substituição de Transformadores de Corrente 550kV  (PA - MA)</t>
  </si>
  <si>
    <t>MARABA|0007558/2021-Substituição do Transformador de Corrente 500kV do MBDJ7-05 Fase V - Vão CY1-Serviço de Desmontagem, adequação de projeto, Montagem Eletromecânica e Comissionamento com Fornecimento de Materiais e infraestrutura para substituição de Transformadores de Corrente 550kV  (PA - MA)</t>
  </si>
  <si>
    <t>MARABA|0007583/2021-Substituição do Transformador de Corrente 500kV do MBDJ7-05 Fase B - Vão CY1-Serviço de Desmontagem, adequação de projeto, Montagem Eletromecânica e Comissionamento com Fornecimento de Materiais e infraestrutura para substituição de Transformadores de Corrente 550kV  (PA - MA)</t>
  </si>
  <si>
    <t>MARABA|0007600/2021-Substituição do Transformador de Corrente 500kV do MBDJ7-05 Fase A - Vão CY1-Serviço de Desmontagem, adequação de projeto, Montagem Eletromecânica e Comissionamento com Fornecimento de Materiais e infraestrutura para substituição de Transformadores de Corrente 550kV  (PA - MA)</t>
  </si>
  <si>
    <t>MARABA|0007713/2021-Substituição do Transformador de Corrente 500kV do MBDJ7-02 fase V - Vão DY2-Serviço de Desmontagem, adequação de projeto, Montagem Eletromecânica e Comissionamento com Fornecimento de Materiais e infraestrutura para substituição de Transformadores de Corrente 550kV  (PA - MA)</t>
  </si>
  <si>
    <t>MARABA|0007717/2021-Substituição do Transformador de Corrente 500kV do MBDJ7-02 fase B - Vão DY2-Serviço de Desmontagem, adequação de projeto, Montagem Eletromecânica e Comissionamento com Fornecimento de Materiais e infraestrutura para substituição de Transformadores de Corrente 550kV  (PA - MA)</t>
  </si>
  <si>
    <t>MARABA|0007743/2021-Substituição do Transformador de Corrente 500kV do MBDJ7-02 fase A - Vão DY2-Serviço de Desmontagem, adequação de projeto, Montagem Eletromecânica e Comissionamento com Fornecimento de Materiais e infraestrutura para substituição de Transformadores de Corrente 550kV  (PA - MA)</t>
  </si>
  <si>
    <t>MARABA|0007755/2021-Substituição do Transformador de Corrente 500kV do MBDJ7-01 fase V - Vão DX-Serviço de Desmontagem, adequação de projeto, Montagem Eletromecânica e Comissionamento com Fornecimento de Materiais e infraestrutura para substituição de Transformadores de Corrente 550kV  (PA - MA)</t>
  </si>
  <si>
    <t>MARABA|0007757/2021-Substituição do Transformador de Corrente 500kV do MBDJ7-01 Fase B - Vão DX-Serviço de Desmontagem, adequação de projeto, Montagem Eletromecânica e Comissionamento com Fornecimento de Materiais e infraestrutura para substituição de Transformadores de Corrente 550kV  (PA - MA)</t>
  </si>
  <si>
    <t>MARABA|0007760/2021-Substituição do Transformador de Corrente 500kV do MBDJ7-01 Fase A - Vão DX-Serviço de Desmontagem, adequação de projeto, Montagem Eletromecânica e Comissionamento com Fornecimento de Materiais e infraestrutura para substituição de Transformadores de Corrente 550kV  (PA - MA)</t>
  </si>
  <si>
    <t>MARABA|0007793/2021-Substituição do Transformador de Corrente 500kV do MBDJ7-06 Fase V - Vão CZ-Serviço de Desmontagem, adequação de projeto, Montagem Eletromecânica e Comissionamento com Fornecimento de Materiais e infraestrutura para substituição de Transformadores de Corrente 550kV  (PA - MA)</t>
  </si>
  <si>
    <t>MARABA|0007794/2021-Substituição do Transformador de Corrente 500kV do MBDJ7-06 Fase B - Vão CZ-Serviço de Desmontagem, adequação de projeto, Montagem Eletromecânica e Comissionamento com Fornecimento de Materiais e infraestrutura para substituição de Transformadores de Corrente 550kV  (PA - MA)</t>
  </si>
  <si>
    <t>MARABA|0007795/2021-Substituição do Transformador de Corrente 500kV do MBDJ7-06 Fase A - Vão CZ-Serviço de Desmontagem, adequação de projeto, Montagem Eletromecânica e Comissionamento com Fornecimento de Materiais e infraestrutura para substituição de Transformadores de Corrente 550kV  (PA - MA)</t>
  </si>
  <si>
    <t>MARABA|0007796/2021-Substituição do Transformador de Corrente 500kV do MBDJ7-09 Fase A - Vão BZ-Serviço de Desmontagem, adequação de projeto, Montagem Eletromecânica e Comissionamento com Fornecimento de Materiais e infraestrutura para substituição de Transformadores de Corrente 550kV  (PA - MA)</t>
  </si>
  <si>
    <t>TUCURUI|0008007/2021-Substituição do Transformador de Corrente 500kV do TCDJ7-02 fase V - Vão FY2-Serviço de Desmontagem, adequação de projeto, Montagem Eletromecânica e Comissionamento com Fornecimento de Materiais e infraestrutura para substituição de Transformadores de Corrente 550kV  (PA - MA)</t>
  </si>
  <si>
    <t>TUCURUI|0008011/2021-Substituição do Transformador de Corrente 500kV do TCDJ7-02 Fase B - Vão FY2-Serviço de Desmontagem, adequação de projeto, Montagem Eletromecânica e Comissionamento com Fornecimento de Materiais e infraestrutura para substituição de Transformadores de Corrente 550kV  (PA - MA)</t>
  </si>
  <si>
    <t>TUCURUI|0008019/2021-Substituição do Transformador de Corrente 500kV do TCDJ7-02 fase A - Vão FY2-Serviço de Desmontagem, adequação de projeto, Montagem Eletromecânica e Comissionamento com Fornecimento de Materiais e infraestrutura para substituição de Transformadores de Corrente 550kV  (PA - MA)</t>
  </si>
  <si>
    <t>TUCURUI|0008103/2021-Substituição do Transformador de Corrente 500kV do TCDJ7-02 Fase V - Vão FY1-Serviço de Desmontagem, adequação de projeto, Montagem Eletromecânica e Comissionamento com Fornecimento de Materiais e infraestrutura para substituição de Transformadores de Corrente 550kV  (PA - MA)</t>
  </si>
  <si>
    <t>TUCURUI|0008106/2021-Substituição do Transformador de Corrente 500kV do TCDJ7-02 fase B - Vão FY1-Serviço de Desmontagem, adequação de projeto, Montagem Eletromecânica e Comissionamento com Fornecimento de Materiais e infraestrutura para substituição de Transformadores de Corrente 550kV  (PA - MA)</t>
  </si>
  <si>
    <t>TUCURUI|0008115/2021-Substituição do Transformador de Corrente 500kV do TCDJ7-02 fase A - Vão FY1-Serviço de Desmontagem, adequação de projeto, Montagem Eletromecânica e Comissionamento com Fornecimento de Materiais e infraestrutura para substituição de Transformadores de Corrente 550kV  (PA - MA)</t>
  </si>
  <si>
    <t>TUCURUI|0008127/2021-Substituição do Transformador de Corrente 500kV do TCDJ7-06 Fase V - Vão EZ-Serviço de Desmontagem, adequação de projeto, Montagem Eletromecânica e Comissionamento com Fornecimento de Materiais e infraestrutura para substituição de Transformadores de Corrente 550kV  (PA - MA)</t>
  </si>
  <si>
    <t>TUCURUI|0008131/2021-Substituição do Transformador de Corrente 500kV do TCDJ7-06 Fase B - Vão EZ-Serviço de Desmontagem, adequação de projeto, Montagem Eletromecânica e Comissionamento com Fornecimento de Materiais e infraestrutura para substituição de Transformadores de Corrente 550kV  (PA - MA)</t>
  </si>
  <si>
    <t>TUCURUI|0008158/2021-Substituição do Transformador de Corrente 500kV do TCDJ7-06 Fase A - Vão EZ-Serviço de Desmontagem, adequação de projeto, Montagem Eletromecânica e Comissionamento com Fornecimento de Materiais e infraestrutura para substituição de Transformadores de Corrente 550kV  (PA - MA)</t>
  </si>
  <si>
    <t>TUCURUI|0008163/2021-Substituição do Transformador de Corrente 500kV do TCDJ7-11 Fase V - Vão CY1-Serviço de Desmontagem, adequação de projeto, Montagem Eletromecânica e Comissionamento com Fornecimento de Materiais e infraestrutura para substituição de Transformadores de Corrente 550kV  (PA - MA)</t>
  </si>
  <si>
    <t>TUCURUI|0008171/2021-Substituição do Transformador de Corrente 500kV do TCDJ7-11 Fase B - Vão CY1-Serviço de Desmontagem, adequação de projeto, Montagem Eletromecânica e Comissionamento com Fornecimento de Materiais e infraestrutura para substituição de Transformadores de Corrente 550kV  (PA - MA)</t>
  </si>
  <si>
    <t>TUCURUI|0008174/2021-Substituição do Transformador de Corrente 500kV do TCDJ7-11 Fase A - Vão CY1-Serviço de Desmontagem, adequação de projeto, Montagem Eletromecânica e Comissionamento com Fornecimento de Materiais e infraestrutura para substituição de Transformadores de Corrente 550kV  (PA - MA)</t>
  </si>
  <si>
    <t>TUCURUI|0008180/2021-Substituição do Transformador de Corrente 500kV do TCDJ7-10 Fase V - Vão CX-Serviço de Desmontagem, adequação de projeto, Montagem Eletromecânica e Comissionamento com Fornecimento de Materiais e infraestrutura para substituição de Transformadores de Corrente 550kV  (PA - MA)</t>
  </si>
  <si>
    <t>TUCURUI|0008190/2021-Substituição do Transformador de Corrente 500kV do TCDJ7-10 Fase B - Vão CX-Serviço de Desmontagem, adequação de projeto, Montagem Eletromecânica e Comissionamento com Fornecimento de Materiais e infraestrutura para substituição de Transformadores de Corrente 550kV  (PA - MA)</t>
  </si>
  <si>
    <t>TUCURUI|0008193/2021-Substituição do Transformador de Corrente 500kV do TCDJ7-10 Fase A - Vão CX-Serviço de Desmontagem, adequação de projeto, Montagem Eletromecânica e Comissionamento com Fornecimento de Materiais e infraestrutura para substituição de Transformadores de Corrente 550kV  (PA - MA)</t>
  </si>
  <si>
    <t>TUCURUI|0008197/2021-Substituição do Transformador de Corrente 500kV do TCDJ7-05 Fase V - Vão EY2-Serviço de Desmontagem, adequação de projeto, Montagem Eletromecânica e Comissionamento com Fornecimento de Materiais e infraestrutura para substituição de Transformadores de Corrente 550kV  (PA - MA)</t>
  </si>
  <si>
    <t>TUCURUI|0008206/2021-Substituição do Transformador de Corrente 500kV do TCDJ7-05 Fase B - Vão EY2-Serviço de Desmontagem, adequação de projeto, Montagem Eletromecânica e Comissionamento com Fornecimento de Materiais e infraestrutura para substituição de Transformadores de Corrente 550kV  (PA - MA)</t>
  </si>
  <si>
    <t>TUCURUI|0008210/2021-Substituição do Transformador de Corrente 500kV do TCDJ7-05 Fase A - Vão EY2-Serviço de Desmontagem, adequação de projeto, Montagem Eletromecânica e Comissionamento com Fornecimento de Materiais e infraestrutura para substituição de Transformadores de Corrente 550kV  (PA - MA)</t>
  </si>
  <si>
    <t>TUCURUI|0008215/2021-Substituição do Transformador de Corrente 500kV do TCDJ7-05 Fase V - Vão EY1-Serviço de Desmontagem, adequação de projeto, Montagem Eletromecânica e Comissionamento com Fornecimento de Materiais e infraestrutura para substituição de Transformadores de Corrente 550kV  (PA - MA)</t>
  </si>
  <si>
    <t>TUCURUI|0008218/2021-Substituição do Transformador de Corrente 500kV do TCDJ7-05 Fase B - Vão EY1-Serviço de Desmontagem, adequação de projeto, Montagem Eletromecânica e Comissionamento com Fornecimento de Materiais e infraestrutura para substituição de Transformadores de Corrente 550kV  (PA - MA)</t>
  </si>
  <si>
    <t>TUCURUI|0008222/2021-Substituição do Transformador de Corrente 500kV do TCDJ7-05 Fase A - Vão EY1-Serviço de Desmontagem, adequação de projeto, Montagem Eletromecânica e Comissionamento com Fornecimento de Materiais e infraestrutura para substituição de Transformadores de Corrente 550kV  (PA - MA)</t>
  </si>
  <si>
    <t>TUCURUI|0008232/2021-Substituição do Transformador de Corrente 500kV do TCDJ7-04 Fase V - Vão EX-Serviço de Desmontagem, adequação de projeto, Montagem Eletromecânica e Comissionamento com Fornecimento de Materiais e infraestrutura para substituição de Transformadores de Corrente 550kV  (PA - MA)</t>
  </si>
  <si>
    <t>TUCURUI|0008234/2021-Substituição do Transformador de Corrente 500kV do TCDJ7-04 Fase B - Vão EX-Serviço de Desmontagem, adequação de projeto, Montagem Eletromecânica e Comissionamento com Fornecimento de Materiais e infraestrutura para substituição de Transformadores de Corrente 550kV  (PA - MA)</t>
  </si>
  <si>
    <t>TUCURUI|0008237/2021-Substituição do Transformador de Corrente 500kV do TCDJ7-04 Fase A - Vão EX-Serviço de Desmontagem, adequação de projeto, Montagem Eletromecânica e Comissionamento com Fornecimento de Materiais e infraestrutura para substituição de Transformadores de Corrente 550kV  (PA - MA)</t>
  </si>
  <si>
    <t>TUCURUI|0008241/2021-Substituição do Transformador de Corrente 500kV do TCDJ7-03 Fase V - Vão FZ-Serviço de Desmontagem, adequação de projeto, Montagem Eletromecânica e Comissionamento com Fornecimento de Materiais e infraestrutura para substituição de Transformadores de Corrente 550kV  (PA - MA)</t>
  </si>
  <si>
    <t>TUCURUI|0008242/2021-Substituição do Transformador de Corrente 500kV do TCDJ7-03 Fase B - Vão FZ-Serviço de Desmontagem, adequação de projeto, Montagem Eletromecânica e Comissionamento com Fornecimento de Materiais e infraestrutura para substituição de Transformadores de Corrente 550kV  (PA - MA)</t>
  </si>
  <si>
    <t>TUCURUI|0008245/2021-Substituição do Transformador de Corrente 500kV do TCDJ7-03 Fase A - Vão FZ-Serviço de Desmontagem, adequação de projeto, Montagem Eletromecânica e Comissionamento com Fornecimento de Materiais e infraestrutura para substituição de Transformadores de Corrente 550kV  (PA - MA)</t>
  </si>
  <si>
    <t>TUCURUI|0008250/2021-Substituição do Transformador de Corrente 500kV do TCDJ7-01 Fase V - Vão FX-Serviço de Desmontagem, adequação de projeto, Montagem Eletromecânica e Comissionamento com Fornecimento de Materiais e infraestrutura para substituição de Transformadores de Corrente 550kV  (PA - MA)</t>
  </si>
  <si>
    <t>TUCURUI|0008255/2021-Substituição do Transformador de Corrente 500kV do TCDJ7-01 Fase B - Vão FX-Serviço de Desmontagem, adequação de projeto, Montagem Eletromecânica e Comissionamento com Fornecimento de Materiais e infraestrutura para substituição de Transformadores de Corrente 550kV  (PA - MA)</t>
  </si>
  <si>
    <t>TUCURUI|0008269/2021-Substituição do Transformador de Corrente 500kV do TCDJ7-11 Fase V - Vão CY2-Serviço de Desmontagem, adequação de projeto, Montagem Eletromecânica e Comissionamento com Fornecimento de Materiais e infraestrutura para substituição de Transformadores de Corrente 550kV  (PA - MA)</t>
  </si>
  <si>
    <t>TUCURUI|0008278/2021-Substituição do Transformador de Corrente 500kV do TCDJ7-12 Fase V - Vão CZ-Serviço de Desmontagem, adequação de projeto, Montagem Eletromecânica e Comissionamento com Fornecimento de Materiais e infraestrutura para substituição de Transformadores de Corrente 550kV  (PA - MA)</t>
  </si>
  <si>
    <t>TUCURUI|0008284/2021-Substituição do Transformador de Corrente 500kV do TCDJ7-07 Fase B - Vão DX-Serviço de Desmontagem, adequação de projeto, Montagem Eletromecânica e Comissionamento com Fornecimento de Materiais e infraestrutura para substituição de Transformadores de Corrente 550kV  (PA - MA)</t>
  </si>
  <si>
    <t>TUCURUI|0008290/2021-Substituição do Transformador de Corrente 500kV do TCDJ7-07 Fase A - Vão DX-Serviço de Desmontagem, adequação de projeto, Montagem Eletromecânica e Comissionamento com Fornecimento de Materiais e infraestrutura para substituição de Transformadores de Corrente 550kV  (PA - MA)</t>
  </si>
  <si>
    <t>TUCURUI|0008332/2021-Substituição do Transformador de Corrente 500kV do TCDJ7-01 Fase A - Vão FX-Serviço de Desmontagem, adequação de projeto, Montagem Eletromecânica e Comissionamento com Fornecimento de Materiais e infraestrutura para substituição de Transformadores de Corrente 550kV  (PA - MA)</t>
  </si>
  <si>
    <t>TUCURUI|0008342/2021-Substituição do Transformador de Corrente 500kV do TCDJ7-12 Fase B - Vão CZ-Serviço de Desmontagem, adequação de projeto, Montagem Eletromecânica e Comissionamento com Fornecimento de Materiais e infraestrutura para substituição de Transformadores de Corrente 550kV  (PA - MA)</t>
  </si>
  <si>
    <t>TUCURUI|0008349/2021-Substituição do Transformador de Corrente 500kV do TCDJ7-11 Fase A - Vão CY2-Serviço de Desmontagem, adequação de projeto, Montagem Eletromecânica e Comissionamento com Fornecimento de Materiais e infraestrutura para substituição de Transformadores de Corrente 550kV  (PA - MA)</t>
  </si>
  <si>
    <t>TUCURUI|0008357/2021-Substituição do Transformador de Corrente 500kV do TCDJ7-12 Fase A - Vão CZ-Serviço de Desmontagem, adequação de projeto, Montagem Eletromecânica e Comissionamento com Fornecimento de Materiais e infraestrutura para substituição de Transformadores de Corrente 550kV  (PA - MA)</t>
  </si>
  <si>
    <t>TUCURUI|0008361/2021-Substituição do Transformador de Corrente 500kV do TCDJ7-11 Fase B - Vão CY2-Serviço de Desmontagem, adequação de projeto, Montagem Eletromecânica e Comissionamento com Fornecimento de Materiais e infraestrutura para substituição de Transformadores de Corrente 550kV  (PA - MA)</t>
  </si>
  <si>
    <t>TUCURUI|0009465/2021-Substituição do Transformador de Corrente 500kV do TCDJ7-17 fase A - Vão FY2-Serviço de Desmontagem, adequação de projeto, Montagem Eletromecânica e Comissionamento com Fornecimento de Materiais e infraestrutura para substituição de Transformadores de Corrente 550kV  (PA - MA)</t>
  </si>
  <si>
    <t>TUCURUI|0009470/2021-Substituição do Transformador de Corrente 500kV do TCDJ7-17 fase B - Vão FY2-Serviço de Desmontagem, adequação de projeto, Montagem Eletromecânica e Comissionamento com Fornecimento de Materiais e infraestrutura para substituição de Transformadores de Corrente 550kV  (PA - MA)</t>
  </si>
  <si>
    <t>TUCURUI|0009476/2021-Substituição do Transformador de Corrente 500kV do TCDJ7-17 fase V - Vão FY2-Serviço de Desmontagem, adequação de projeto, Montagem Eletromecânica e Comissionamento com Fornecimento de Materiais e infraestrutura para substituição de Transformadores de Corrente 550kV  (PA - MA)</t>
  </si>
  <si>
    <t>TUCURUI|0009493/2021-Substituição do Transformador de Corrente 500kV do TCDJ7-08 Fase B - Vão DY2-Serviço de Desmontagem, adequação de projeto, Montagem Eletromecânica e Comissionamento com Fornecimento de Materiais e infraestrutura para substituição de Transformadores de Corrente 550kV  (PA - MA)</t>
  </si>
  <si>
    <t>TUCURUI|0009497/2021-Substituição do Transformador de Corrente 500kV do TCDJ7-08 Fase V - Vão DY2-Serviço de Desmontagem, adequação de projeto, Montagem Eletromecânica e Comissionamento com Fornecimento de Materiais e infraestrutura para substituição de Transformadores de Corrente 550kV  (PA - MA)</t>
  </si>
  <si>
    <t>TUCURUI|0009858/2021-Substituição do Transformador de Corrente 500kV do TCDJ7-07 Fase V - Vão DX-Serviço de Desmontagem, adequação de projeto, Montagem Eletromecânica e Comissionamento com Fornecimento de Materiais e infraestrutura para substituição de Transformadores de Corrente 550kV  (PA - MA)</t>
  </si>
  <si>
    <t>TUCURUI|0009875/2021-Substituição do Transformador de Corrente 500kV do TCDJ7-08 Fase A - Vão DY2-Serviço de Desmontagem, adequação de projeto, Montagem Eletromecânica e Comissionamento com Fornecimento de Materiais e infraestrutura para substituição de Transformadores de Corrente 550kV  (PA - MA)</t>
  </si>
  <si>
    <t>VILA DO CONDE|0008526/2021-Substituição do Transformador de Corrente 500kV do VCDJ7-06 Fase V - Vão CZ-Serviço de Desmontagem, adequação de projeto, Montagem Eletromecânica e Comissionamento com Fornecimento de Materiais e infraestrutura para substituição de Transformadores de Corrente 550kV  (PA - MA)</t>
  </si>
  <si>
    <t>VILA DO CONDE|0008586/2021-Substituição do Transformador de Corrente 500kV do VCDJ7-06 Fase B - Vão CZ-Serviço de Desmontagem, adequação de projeto, Montagem Eletromecânica e Comissionamento com Fornecimento de Materiais e infraestrutura para substituição de Transformadores de Corrente 550kV  (PA - MA)</t>
  </si>
  <si>
    <t>VILA DO CONDE|0008589/2021-Substituição do Transformador de Corrente 500kV do VCDJ7-06 Fase A - Vão CZ-Serviço de Desmontagem, adequação de projeto, Montagem Eletromecânica e Comissionamento com Fornecimento de Materiais e infraestrutura para substituição de Transformadores de Corrente 550kV  (PA - MA)</t>
  </si>
  <si>
    <t>VILA DO CONDE|0008604/2021-Substituição do Transformador de Corrente 500kV do VCDJ7-08 Fase V - Vão BY1-Serviço de Desmontagem, adequação de projeto, Montagem Eletromecânica e Comissionamento com Fornecimento de Materiais e infraestrutura para substituição de Transformadores de Corrente 550kV  (PA - MA)</t>
  </si>
  <si>
    <t>VILA DO CONDE|0008609/2021-Substituição do Transformador de Corrente 500kV do VCDJ7-08 Fase B - Vão BY1-Serviço de Desmontagem, adequação de projeto, Montagem Eletromecânica e Comissionamento com Fornecimento de Materiais e infraestrutura para substituição de Transformadores de Corrente 550kV  (PA - MA)</t>
  </si>
  <si>
    <t>VILA DO CONDE|0008613/2021-Substituição do Transformador de Corrente 500kV do VCDJ7-08 Fase A - Vão BY1-Serviço de Desmontagem, adequação de projeto, Montagem Eletromecânica e Comissionamento com Fornecimento de Materiais e infraestrutura para substituição de Transformadores de Corrente 550kV  (PA - MA)</t>
  </si>
  <si>
    <t>VILA DO CONDE|0008618/2021-Substituição do Transformador de Corrente 500kV do VCDJ7-05 Fase V - Vão CY2-Serviço de Desmontagem, adequação de projeto, Montagem Eletromecânica e Comissionamento com Fornecimento de Materiais e infraestrutura para substituição de Transformadores de Corrente 550kV  (PA - MA)</t>
  </si>
  <si>
    <t>VILA DO CONDE|0008620/2021-Substituição do Transformador de Corrente 500kV do VCDJ7-05 Fase B - Vão CY2-Serviço de Desmontagem, adequação de projeto, Montagem Eletromecânica e Comissionamento com Fornecimento de Materiais e infraestrutura para substituição de Transformadores de Corrente 550kV  (PA - MA)</t>
  </si>
  <si>
    <t>VILA DO CONDE|0008621/2021-Substituição do Transformador de Corrente 500kV do VCDJ7-05 Fase A - Vão CY2-Serviço de Desmontagem, adequação de projeto, Montagem Eletromecânica e Comissionamento com Fornecimento de Materiais e infraestrutura para substituição de Transformadores de Corrente 550kV  (PA - MA)</t>
  </si>
  <si>
    <t>VILA DO CONDE|0008622/2021-Substituição do Transformador de Corrente 500kV do VCDJ7-03 Fase A - Vão DZ-Serviço de Desmontagem, adequação de projeto, Montagem Eletromecânica e Comissionamento com Fornecimento de Materiais e infraestrutura para substituição de Transformadores de Corrente 550kV  (PA - MA)</t>
  </si>
  <si>
    <t>VILA DO CONDE|0008631/2021-Substituição do Transformador de Corrente 
500kV do VCDJ7-05 Fase V - Vão CY1-Serviço de Desmontagem, adequação de projeto, Montagem Eletromecânica e Comissionamento com Fornecimento de Materiais e infraestrutura para substituição de Transformadores de Corrente 550kV  (PA - MA)</t>
  </si>
  <si>
    <t>VILA DO CONDE|0008634/2021-Substituição do Transformador de Corrente 
500kV do VCDJ7-05 Fase B - Vão CY1-Serviço de Desmontagem, adequação de projeto, Montagem Eletromecânica e Comissionamento com Fornecimento de Materiais e infraestrutura para substituição de Transformadores de Corrente 550kV  (PA - MA)</t>
  </si>
  <si>
    <t>VILA DO CONDE|0008638/2021-Substituição do Transformador de Corrente 
500kV do VCDJ7-05 Fase A - Vão CY1-Serviço de Desmontagem, adequação de projeto, Montagem Eletromecânica e Comissionamento com Fornecimento de Materiais e infraestrutura para substituição de Transformadores de Corrente 550kV  (PA - MA)</t>
  </si>
  <si>
    <t>VILA DO CONDE|0008641/2021-Substituição do Transformador de Corrente 
500kV do VCDJ7-03 Fase V - Vão DZ-Serviço de Desmontagem, adequação de projeto, Montagem Eletromecânica e Comissionamento com Fornecimento de Materiais e infraestrutura para substituição de Transformadores de Corrente 550kV  (PA - MA)</t>
  </si>
  <si>
    <t>VILA DO CONDE|0008645/2021-Substituição do Transformador de Corrente 
500kV do VCDJ7-03 Fase B - Vão DZ-Serviço de Desmontagem, adequação de projeto, Montagem Eletromecânica e Comissionamento com Fornecimento de Materiais e infraestrutura para substituição de Transformadores de Corrente 550kV  (PA - MA)</t>
  </si>
  <si>
    <t>VILA DO CONDE|0008653/2021-Substituição do Transformador de Corrente 500kV do VCDJ7-02 Fase V - Vão DY2-Serviço de Desmontagem, adequação de projeto, Montagem Eletromecânica e Comissionamento com Fornecimento de Materiais e infraestrutura para substituição de Transformadores de Corrente 550kV  (PA - MA)</t>
  </si>
  <si>
    <t>VILA DO CONDE|0008678/2021-Substituição do Transformador de Corrente 500kV do VCDJ7-02 Fase B - Vão DY2-Serviço de Desmontagem, adequação de projeto, Montagem Eletromecânica e Comissionamento com Fornecimento de Materiais e infraestrutura para substituição de Transformadores de Corrente 550kV  (PA - MA)</t>
  </si>
  <si>
    <t>VILA DO CONDE|0008803/2021-Substituição do Transformador de Corrente 500kV do VCDJ7-02 Fase A - Vão DY2-Serviço de Desmontagem, adequação de projeto, Montagem Eletromecânica e Comissionamento com Fornecimento de Materiais e infraestrutura para substituição de Transformadores de Corrente 550kV  (PA - MA)</t>
  </si>
  <si>
    <t>VILA DO CONDE|0008824/2021-Substituição do Transformador de Corrente 500kV do VCDJ7-02 Fase V - Vão DY1-Serviço de Desmontagem, adequação de projeto, Montagem Eletromecânica e Comissionamento com Fornecimento de Materiais e infraestrutura para substituição de Transformadores de Corrente 550kV  (PA - MA)</t>
  </si>
  <si>
    <t>VILA DO CONDE|0008839/2021-Substituição do Transformador de Corrente 500kV do VCDJ7-02 Fase B - Vão DY1-Serviço de Desmontagem, adequação de projeto, Montagem Eletromecânica e Comissionamento com Fornecimento de Materiais e infraestrutura para substituição de Transformadores de Corrente 550kV  (PA - MA)</t>
  </si>
  <si>
    <t>VILA DO CONDE|0008852/2021-Substituição do Transformador de Corrente 500kV do VCDJ7-02 Fase A - Vão DY1-Serviço de Desmontagem, adequação de projeto, Montagem Eletromecânica e Comissionamento com Fornecimento de Materiais e infraestrutura para substituição de Transformadores de Corrente 550kV  (PA - MA)</t>
  </si>
  <si>
    <t>VILA DO CONDE|0008970/2021-Substituição do Transformador de Corrente 500kV do VCDJ7-01 Fase V - Vão DX-Serviço de Desmontagem, adequação de projeto, Montagem Eletromecânica e Comissionamento com Fornecimento de Materiais e infraestrutura para substituição de Transformadores de Corrente 550kV  (PA - MA)</t>
  </si>
  <si>
    <t>VILA DO CONDE|0008984/2021-Substituição do Transformador de Corrente 500kV do VCDJ7-01 Fase B - Vão DX-Serviço de Desmontagem, adequação de projeto, Montagem Eletromecânica e Comissionamento com Fornecimento de Materiais e infraestrutura para substituição de Transformadores de Corrente 550kV  (PA - MA)</t>
  </si>
  <si>
    <t>VILA DO CONDE|0009002/2021-Substituição do Transformador de Corrente 500kV do VCDJ7-01 Fase A - Vão DX-Serviço de Desmontagem, adequação de projeto, Montagem Eletromecânica e Comissionamento com Fornecimento de Materiais e infraestrutura para substituição de Transformadores de Corrente 550kV  (PA - MA)</t>
  </si>
  <si>
    <t>VILA DO CONDE|0009531/2021-Substituição do Transformador de Corrente 500kV do VCDJ7-09 Fase A - Vão BZ-Serviço de Desmontagem, adequação de projeto, Montagem Eletromecânica e Comissionamento com Fornecimento de Materiais e infraestrutura para substituição de Transformadores de Corrente 550kV  (PA - MA)</t>
  </si>
  <si>
    <t>VILA DO CONDE|0009536/2021-Substituição do Transformador de Corrente 500kV do VCDJ7-09 Fase B - Vão BZ-Serviço de Desmontagem, adequação de projeto, Montagem Eletromecânica e Comissionamento com Fornecimento de Materiais e infraestrutura para substituição de Transformadores de Corrente 550kV  (PA - MA)</t>
  </si>
  <si>
    <t>VILA DO CONDE|0009541/2021-Substituição do Transformador de Corrente 500kV do VCDJ7-09 Fase  V - Vão BZ-Serviço de Desmontagem, adequação de projeto, Montagem Eletromecânica e Comissionamento com Fornecimento de Materiais e infraestrutura para substituição de Transformadores de Corrente 550kV  (PA - MA)</t>
  </si>
  <si>
    <t>MARABA|0013809/2016-SUBSTITUIÇÃO DE 3 TRANSFORMADORES DE POTENCIAL CAPACITIVO FASES A, B e V DA LINHA TCMB-LT7-01-Aquisição / Serviço de instalação e comissionamento de TPC 500kV TCMBLT7-01 3xF</t>
  </si>
  <si>
    <t>TRANSAMAZONIC|0001614/2021-SUBSTITUIÇÃO DO REATOR 230 kV 30 MVAr - TMRE6.01-Instalações eletromecânicas, confecção de base de concreto, cerca metálica e do reator de neutro e para-raios de 69 kV do reator principal (TMRE6 01)</t>
  </si>
  <si>
    <t>ARIQUEMES|0002931/2020-Ampliação do sistema registrador de perturbação, instalando modulo TW  de oscilógrafia digital(RDP)-Aquisição de Registrador Digital de Pertubação por Ondas Viajantes (TW) para as Linhas de Transmissão de Rondônia - JRJP-C1, AQJR-C1, AQJP-C3, JPPB-C3, PBVN-C3, AQJP-C3, SMPV-C1, SMPV-C2 e SMAQ-C1</t>
  </si>
  <si>
    <t>ARIQUEMES|0003141/2020-Ampliação do sistema registrador de perturbação, instalando modulo TW  de oscilógrafia digital(RDP)-Aquisição de Registrador Digital de Pertubação por Ondas Viajantes (TW) para as Linhas de Transmissão de Rondônia - JRJP-C1, AQJR-C1, AQJP-C3, JPPB-C3, PBVN-C3, AQJP-C3, SMPV-C1, SMPV-C2 e SMAQ-C1</t>
  </si>
  <si>
    <t>ARIQUEMES|0003148/2020-Ampliação do sistema registrador de perturbação, instalando modulo TW  de oscilógrafia digital(RDP)-Aquisição de Registrador Digital de Pertubação por Ondas Viajantes (TW) para as Linhas de Transmissão de Rondônia - JRJP-C1, AQJR-C1, AQJP-C3, JPPB-C3, PBVN-C3, AQJP-C3, SMPV-C1, SMPV-C2 e SMAQ-C1</t>
  </si>
  <si>
    <t>ARIQUEMES|0003153/2020-Ampliação do sistema registrador de perturbação, instalando modulo TW  de oscilógrafia digital(RDP)-Aquisição de Registrador Digital de Pertubação por Ondas Viajantes (TW) para as Linhas de Transmissão de Rondônia - JRJP-C1, AQJR-C1, AQJP-C3, JPPB-C3, PBVN-C3, AQJP-C3, SMPV-C1, SMPV-C2 e SMAQ-C1</t>
  </si>
  <si>
    <t>JARU|0003132/2020-Instalar sistema de oscilografia digital(RDP)-Aquisição de Registrador Digital de Pertubação por Ondas Viajantes (TW) para as Linhas de Transmissão de Rondônia - JRJP-C1, AQJR-C1, AQJP-C3, JPPB-C3, PBVN-C3, AQJP-C3, SMPV-C1, SMPV-C2 e SMAQ-C1</t>
  </si>
  <si>
    <t>JARU|0003137/2020-Instalar sistema de oscilografia digital(RDP)-Aquisição de Registrador Digital de Pertubação por Ondas Viajantes (TW) para as Linhas de Transmissão de Rondônia - JRJP-C1, AQJR-C1, AQJP-C3, JPPB-C3, PBVN-C3, AQJP-C3, SMPV-C1, SMPV-C2 e SMAQ-C1</t>
  </si>
  <si>
    <t>JI-PARANA|0003032/2020-Instalar sistema de oscilografia digital(RDP)-Aquisição de Registrador Digital de Pertubação por Ondas Viajantes (TW) para as Linhas de Transmissão de Rondônia - JRJP-C1, AQJR-C1, AQJP-C3, JPPB-C3, PBVN-C3, AQJP-C3, SMPV-C1, SMPV-C2 e SMAQ-C1</t>
  </si>
  <si>
    <t>JI-PARANA|0003067/2020-Instalar sistema de oscilografia digital(RDP).-Aquisição de Registrador Digital de Pertubação por Ondas Viajantes (TW) para as Linhas de Transmissão de Rondônia - JRJP-C1, AQJR-C1, AQJP-C3, JPPB-C3, PBVN-C3, AQJP-C3, SMPV-C1, SMPV-C2 e SMAQ-C1</t>
  </si>
  <si>
    <t>JI-PARANA|0003124/2020-Instalar sistema de oscilografia digital(RDP)-Aquisição de Registrador Digital de Pertubação por Ondas Viajantes (TW) para as Linhas de Transmissão de Rondônia - JRJP-C1, AQJR-C1, AQJP-C3, JPPB-C3, PBVN-C3, AQJP-C3, SMPV-C1, SMPV-C2 e SMAQ-C1</t>
  </si>
  <si>
    <t>PIMENTA BUENO|0003052/2020-Instalar sistema de oscilografia digital(RDP)-Aquisição de Registrador Digital de Pertubação por Ondas Viajantes (TW) para as Linhas de Transmissão de Rondônia - JRJP-C1, AQJR-C1, AQJP-C3, JPPB-C3, PBVN-C3, AQJP-C3, SMPV-C1, SMPV-C2 e SMAQ-C1</t>
  </si>
  <si>
    <t>PIMENTA BUENO|0003059/2020-Instalar sistema de oscilografia digital(RDP)-Aquisição de Registrador Digital de Pertubação por Ondas Viajantes (TW) para as Linhas de Transmissão de Rondônia - JRJP-C1, AQJR-C1, AQJP-C3, JPPB-C3, PBVN-C3, AQJP-C3, SMPV-C1, SMPV-C2 e SMAQ-C1</t>
  </si>
  <si>
    <t>PORTO VELHO|0002984/2020-Ampliação do sistema registrador de perturbação, instalando modulo TW  de oscilógrafia digital(RDP)-Aquisição de Registrador Digital de Pertubação por Ondas Viajantes (TW) para as Linhas de Transmissão de Rondônia - JRJP-C1, AQJR-C1, AQJP-C3, JPPB-C3, PBVN-C3, AQJP-C3, SMPV-C1, SMPV-C2 e SMAQ-C1</t>
  </si>
  <si>
    <t>PORTO VELHO|0003121/2020-Ampliação do sistema registrador de perturbação, instalando modulo TW  de oscilógrafia digital(RDP)-Aquisição de Registrador Digital de Pertubação por Ondas Viajantes (TW) para as Linhas de Transmissão de Rondônia - JRJP-C1, AQJR-C1, AQJP-C3, JPPB-C3, PBVN-C3, AQJP-C3, SMPV-C1, SMPV-C2 e SMAQ-C1</t>
  </si>
  <si>
    <t>PORTO VELHO|0003138/2020-Ampliação do sistema registrador de perturbação, instalando modulo TW  de oscilógrafia digital(RDP)-Aquisição de Registrador Digital de Pertubação por Ondas Viajantes (TW) para as Linhas de Transmissão de Rondônia - JRJP-C1, AQJR-C1, AQJP-C3, JPPB-C3, PBVN-C3, AQJP-C3, SMPV-C1, SMPV-C2 e SMAQ-C1</t>
  </si>
  <si>
    <t>SAMUEL|0002956/2020-Ampliação do sistema registrador de perturbação, instalando modulo TW  de oscilógrafia digital(RDP)-Aquisição de Registrador Digital de Pertubação por Ondas Viajantes (TW) para as Linhas de Transmissão de Rondônia - JRJP-C1, AQJR-C1, AQJP-C3, JPPB-C3, PBVN-C3, AQJP-C3, SMPV-C1, SMPV-C2 e SMAQ-C1</t>
  </si>
  <si>
    <t>SAMUEL|0002992/2020-Ampliação do sistema registrador de perturbação, instalando modulo TW  de oscilógrafia digital(RDP)-Aquisição de Registrador Digital de Pertubação por Ondas Viajantes (TW) para as Linhas de Transmissão de Rondônia - JRJP-C1, AQJR-C1, AQJP-C3, JPPB-C3, PBVN-C3, AQJP-C3, SMPV-C1, SMPV-C2 e SMAQ-C1</t>
  </si>
  <si>
    <t>SAMUEL|0003034/2020-Ampliação do sistema registrador de perturbação, instalando modulo TW  de oscilógrafia digital(RDP)-Aquisição de Registrador Digital de Pertubação por Ondas Viajantes (TW) para as Linhas de Transmissão de Rondônia - JRJP-C1, AQJR-C1, AQJP-C3, JPPB-C3, PBVN-C3, AQJP-C3, SMPV-C1, SMPV-C2 e SMAQ-C1</t>
  </si>
  <si>
    <t>SAMUEL|0003040/2020-Ampliação do sistema registrador de perturbação, instalando modulo TW  de oscilógrafia digital(RDP)-Aquisição de Registrador Digital de Pertubação por Ondas Viajantes (TW) para as Linhas de Transmissão de Rondônia - JRJP-C1, AQJR-C1, AQJP-C3, JPPB-C3, PBVN-C3, AQJP-C3, SMPV-C1, SMPV-C2 e SMAQ-C1</t>
  </si>
  <si>
    <t>SAMUEL|0003045/2020-Ampliação do sistema registrador de perturbação, instalando modulo TW  de oscilógrafia digital(RDP)-Aquisição de Registrador Digital de Pertubação por Ondas Viajantes (TW) para as Linhas de Transmissão de Rondônia - JRJP-C1, AQJR-C1, AQJP-C3, JPPB-C3, PBVN-C3, AQJP-C3, SMPV-C1, SMPV-C2 e SMAQ-C1</t>
  </si>
  <si>
    <t>VILHENA|0003047/2020-Instalar sistema de oscilografia digital(RDP)-Aquisição de Registrador Digital de Pertubação por Ondas Viajantes (TW) para as Linhas de Transmissão de Rondônia - JRJP-C1, AQJR-C1, AQJP-C3, JPPB-C3, PBVN-C3, AQJP-C3, SMPV-C1, SMPV-C2 e SMAQ-C1</t>
  </si>
  <si>
    <t>PORTO VELHO|0008210/2019-Aquisição de Chave Seccionadora - 230 kV.-Aquisição de chave seccionadora de 69 e 230kV para as subestações da Eletronorte em RO e AC</t>
  </si>
  <si>
    <t>PORTO VELHO|0008245/2019-Aquisição de Chave Seccionadora - 230 KV.-Aquisição de chave seccionadora de 69 e 230kV para as subestações da Eletronorte em RO e AC</t>
  </si>
  <si>
    <t>VILHENA|0008277/2019-Aquisição de CHAVE SECCIONADORA 69 kV-Aquisição de chave seccionadora de 69 e 230kV para as subestações da Eletronorte em RO e AC</t>
  </si>
  <si>
    <t>VILHENA|0008287/2019-Aquisição de CHAVE SECCIONADORA 69 kV-Aquisição de chave seccionadora de 69 e 230kV para as subestações da Eletronorte em RO e AC</t>
  </si>
  <si>
    <t>VILHENA|0008304/2019-Aquisição de CHAVE SECCIONADORA 69 kV-Aquisição de chave seccionadora de 69 e 230kV para as subestações da Eletronorte em RO e AC</t>
  </si>
  <si>
    <t>VILHENA|0008313/2019-Aquisição de CHAVE SECCIONADORA 69 kV-Aquisição de chave seccionadora de 69 e 230kV para as subestações da Eletronorte em RO e AC</t>
  </si>
  <si>
    <t>VILHENA|0008317/2019-Aquisição de CHAVE SECCIONADORA 69KV -  Fases A, B e C-Aquisição de chave seccionadora de 69 e 230kV para as subestações da Eletronorte em RO e AC</t>
  </si>
  <si>
    <t>VILHENA|0008330/2019-Aquisição de CHAVE SECCIONADORA 69KV - Fases A, B e C-Aquisição de chave seccionadora de 69 e 230kV para as subestações da Eletronorte em RO e AC</t>
  </si>
  <si>
    <t xml:space="preserve">SEM INSTALAÇÃO ESPECÍFICA|Sem PMI--Aquisição Oscilógrafos para Disjuntores  </t>
  </si>
  <si>
    <t>SEM INSTALAÇÃO ESPECÍFICA|Sem PMI--Aquisição CPC 100 + Acessórios</t>
  </si>
  <si>
    <t>SEM INSTALAÇÃO ESPECÍFICA|Sem PMI--AQUISIÇÃO DE SISTEMAS DE MEDIÇÃO DE QUALIDADE DE GÁS SF6 PARA AS UNIDADES DA ELETRONORTE.</t>
  </si>
  <si>
    <t>SEM INSTALAÇÃO ESPECÍFICA|Sem PMI--AQUISIÇÃO DE EQUIPAMENTO PORTÁTIL PARA ANÁLISE DE GASES DISSOLVIDOS EM ÓLEO MINERAL ISOLANTE, CONTENDO MEDIÇÃO DE PELO MENOS 7 GASES E A UMIDADE.</t>
  </si>
  <si>
    <t>SEM INSTALAÇÃO ESPECÍFICA|Sem PMI--Vinte e três Switches gerenciaveis de 48 portas layer2 Gigabit POE + 4SFP</t>
  </si>
  <si>
    <t>SEM INSTALAÇÃO ESPECÍFICA|Sem PMI--Medidor KARL Fischer com forno para medição de teor de água em óleo isolante ou lubrificante</t>
  </si>
  <si>
    <t>SEM INSTALAÇÃO ESPECÍFICA|Sem PMI--Analisador de resposta do dielétrico</t>
  </si>
  <si>
    <t>SEM INSTALAÇÃO ESPECÍFICA|Sem PMI--Uma licença do software OrCAD</t>
  </si>
  <si>
    <t>SEM INSTALAÇÃO ESPECÍFICA|Sem PMI--Câmera acústica</t>
  </si>
  <si>
    <t>SEM INSTALAÇÃO ESPECÍFICA|Sem PMI--Tensiômetro para análise de óleo isolante</t>
  </si>
  <si>
    <t>SEM INSTALAÇÃO ESPECÍFICA|Sem PMI--Contador de partículas em óleo isolante ou lubrificante</t>
  </si>
  <si>
    <t xml:space="preserve">SEM INSTALAÇÃO ESPECÍFICA|Sem PMI--Analisador de resposta em frequência </t>
  </si>
  <si>
    <t>SEM INSTALAÇÃO ESPECÍFICA|Sem PMI--Microohmímetro de 200A</t>
  </si>
  <si>
    <t>SEM INSTALAÇÃO ESPECÍFICA|Sem PMI--Câmara de teste de dielétrico de Bastões Isolantes</t>
  </si>
  <si>
    <t>SEM INSTALAÇÃO ESPECÍFICA|Sem PMI--Medidor de vazão</t>
  </si>
  <si>
    <t>SEM INSTALAÇÃO ESPECÍFICA|Sem PMI--Densímetro para análise de óleo isolante</t>
  </si>
  <si>
    <t>SEM INSTALAÇÃO ESPECÍFICA|Sem PMI--Renovação anual do software Proteus. Quatro licenças</t>
  </si>
  <si>
    <t>SEM INSTALAÇÃO ESPECÍFICA|Sem PMI--Aquisição de Sistemas de Dectecção de Fumaça para o Predio Principal do LACEN</t>
  </si>
  <si>
    <t>SEM INSTALAÇÃO ESPECÍFICA|Sem PMI--Medidor ultrasônico  e detector de falhas por ultrassom</t>
  </si>
  <si>
    <t>SEM INSTALAÇÃO ESPECÍFICA|Sem PMI--Treze Nobreaks 3000VA Senoidal pura Bivolt</t>
  </si>
  <si>
    <t>SEM INSTALAÇÃO ESPECÍFICA|Sem PMI--Conversor UHF</t>
  </si>
  <si>
    <t>SEM INSTALAÇÃO ESPECÍFICA|Sem PMI--Bancadas desenvolvimento/manutenção Eletrônica</t>
  </si>
  <si>
    <t>SEM INSTALAÇÃO ESPECÍFICA|Sem PMI--Colorímetro para análise de óleo isolante</t>
  </si>
  <si>
    <t>SEM INSTALAÇÃO ESPECÍFICA|Sem PMI--Balança comparativa de pressão</t>
  </si>
  <si>
    <t>SEM INSTALAÇÃO ESPECÍFICA|Sem PMI--Três assinaturas do Visual Studio Enterprise</t>
  </si>
  <si>
    <t>SEM INSTALAÇÃO ESPECÍFICA|Sem PMI--Osciloscópio portatil isolado 4 canais 350MHz</t>
  </si>
  <si>
    <t>SEM INSTALAÇÃO ESPECÍFICA|Sem PMI--Cinco Multímetros True RMS com imagem térmica Profissional</t>
  </si>
  <si>
    <t>SEM INSTALAÇÃO ESPECÍFICA|Sem PMI--Software ISOCAM</t>
  </si>
  <si>
    <t>SEM INSTALAÇÃO ESPECÍFICA|Sem PMI--Osciloscópio portatil para medição de descargas parciais em campo</t>
  </si>
  <si>
    <t>SEM INSTALAÇÃO ESPECÍFICA|Sem PMI--Ferramentas diversas</t>
  </si>
  <si>
    <t>SEM INSTALAÇÃO ESPECÍFICA|Sem PMI--Multímetro digital de bancada 6 1/2 dígitos</t>
  </si>
  <si>
    <t>SEM INSTALAÇÃO ESPECÍFICA|Sem PMI--3 multímetros digitais de mão true RMS</t>
  </si>
  <si>
    <t>SEM INSTALAÇÃO ESPECÍFICA|Sem PMI--Detector de estrutura metática enterrada</t>
  </si>
  <si>
    <t>SEM INSTALAÇÃO ESPECÍFICA|Sem PMI--Cinco registradores de dados datalogger de umidade e temperatura</t>
  </si>
  <si>
    <t>SEM INSTALAÇÃO ESPECÍFICA|Sem PMI--Carga Eletrônica</t>
  </si>
  <si>
    <t>SEM INSTALAÇÃO ESPECÍFICA|Sem PMI--Software para Medidor de espessura</t>
  </si>
  <si>
    <t>SEM INSTALAÇÃO ESPECÍFICA|Sem PMI--Guincho elétrico com controle remoto</t>
  </si>
  <si>
    <t>SEM INSTALAÇÃO ESPECÍFICA|Sem PMI--Transformador de tensão com isolação de 15kV para SE Lacen</t>
  </si>
  <si>
    <t>SEM INSTALAÇÃO ESPECÍFICA|Sem PMI--8 cronômetros digitais</t>
  </si>
  <si>
    <t>SEM INSTALAÇÃO ESPECÍFICA|Sem PMI--Transformador de corrente com isolaçaão de 15kV para SE Lacen</t>
  </si>
  <si>
    <t>SEM INSTALAÇÃO ESPECÍFICA|Sem PMI--Termohigrografo</t>
  </si>
  <si>
    <t>SEM INSTALAÇÃO ESPECÍFICA|Sem PMI--Cromatógrafo gasoso</t>
  </si>
  <si>
    <t>SEM INSTALAÇÃO ESPECÍFICA|Sem PMI--Sistema de testes de transformadores indutivos e capacitivos</t>
  </si>
  <si>
    <t>SEM INSTALAÇÃO ESPECÍFICA|Sem PMI--Fonte de alta corrente</t>
  </si>
  <si>
    <t>SEM INSTALAÇÃO ESPECÍFICA|Sem PMI--Analisador de espectro</t>
  </si>
  <si>
    <t>SEM INSTALAÇÃO ESPECÍFICA|Sem PMI--Monitorador/medidor de descargas parciais para transformadores e subestações isoladas a gás SF6</t>
  </si>
  <si>
    <t>SEM INSTALAÇÃO ESPECÍFICA|Sem PMI--Analisador de partículas com autoamostrador</t>
  </si>
  <si>
    <t>SEM INSTALAÇÃO ESPECÍFICA|Sem PMI--Cromatografo Gasoso com detector de massas - GCMS</t>
  </si>
  <si>
    <t>SEM INSTALAÇÃO ESPECÍFICA|Sem PMI--Analisador de metais em materiais metálicos portátil</t>
  </si>
  <si>
    <t>SEM INSTALAÇÃO ESPECÍFICA|Sem PMI--Medidor de resistência de enrolamento de 50A</t>
  </si>
  <si>
    <t>SEM INSTALAÇÃO ESPECÍFICA|Sem PMI--Medidor de Capacitancia e tangente Delta para Ensaios com Alta Tensão de até 1000 kV</t>
  </si>
  <si>
    <t>SEM INSTALAÇÃO ESPECÍFICA|Sem PMI--Drone com termovisor</t>
  </si>
  <si>
    <t>SEM INSTALAÇÃO ESPECÍFICA|Sem PMI--Analisador de estabilidade à oxidação de óleos minerais</t>
  </si>
  <si>
    <t>SEM INSTALAÇÃO ESPECÍFICA|Sem PMI--Analisador de Carbono e Enxofre</t>
  </si>
  <si>
    <t xml:space="preserve">SEM INSTALAÇÃO ESPECÍFICA|Sem PMI--Medidor de fator de potência de 12 kV </t>
  </si>
  <si>
    <t>SEM INSTALAÇÃO ESPECÍFICA|Sem PMI--Analisador de Infravermelho - FTIR</t>
  </si>
  <si>
    <t>SEM INSTALAÇÃO ESPECÍFICA|Sem PMI--Analisador Termogravimétrico - TGA</t>
  </si>
  <si>
    <t>SEM INSTALAÇÃO ESPECÍFICA|Sem PMI--TTR trifásico</t>
  </si>
  <si>
    <t>SEM INSTALAÇÃO ESPECÍFICA|Sem PMI--Medidor de Fator de potencia de 2,5kV alimentado a bateria</t>
  </si>
  <si>
    <t>SEM INSTALAÇÃO ESPECÍFICA|Sem PMI--Medidor de descarga parciais em campo</t>
  </si>
  <si>
    <t>SEM INSTALAÇÃO ESPECÍFICA|Sem PMI--Amplificar de potência 180 VA</t>
  </si>
  <si>
    <t>SEM INSTALAÇÃO ESPECÍFICA|Sem PMI--Estufas</t>
  </si>
  <si>
    <t>SEM INSTALAÇÃO ESPECÍFICA|Sem PMI--Microohmímetro de 10A.</t>
  </si>
  <si>
    <t>SEM INSTALAÇÃO ESPECÍFICA|Sem PMI--Ultrapurificador de água</t>
  </si>
  <si>
    <t>SEM INSTALAÇÃO ESPECÍFICA|Sem PMI--2 (dois) Ponte RLC</t>
  </si>
  <si>
    <t>SEM INSTALAÇÃO ESPECÍFICA|Sem PMI--Fornecimento de um autotransformador trifásico RESERVA 72,5 / 36,2 / 15 kV - 6 MVA para instalação na SE TUCURUÍ-VILA</t>
  </si>
  <si>
    <t>SEM INSTALAÇÃO ESPECÍFICA|Sem PMI--Aquisição de  98 (noventa e oito) células capacitivas para aplicação nas subestações do sistema HVDC de Araraquara/SP e Coletora Porto Velho/RO</t>
  </si>
  <si>
    <t>SEM INSTALAÇÃO ESPECÍFICA|Sem PMI--Supervisão da Operação e Manutenção O&amp;M e do Comissionamento/Testes do sistema HVDC, nas
estações conversoras de Araraquara, Porto Velho, Back to Back de Porto Velho e RTDS ELETRONORTE</t>
  </si>
  <si>
    <t>SEM INSTALAÇÃO ESPECÍFICA|Sem PMI--03 TC IMB 72,5 kV para o CCC do back to back</t>
  </si>
  <si>
    <t>SEM INSTALAÇÃO ESPECÍFICA|Sem PMI--Aquisição Lança Isolante 230 e 500 kV NR12</t>
  </si>
  <si>
    <t>SEM INSTALAÇÃO ESPECÍFICA|Sem PMI--Aquisição de plataforma para uso na Subestação Coletora de Porto Velho e Araraquara dentro das Salas de Valvula do Bipolo 1 e Back-to-Back</t>
  </si>
  <si>
    <t>SEM INSTALAÇÃO ESPECÍFICA|Sem PMI--Aquisição Microhmímetro digital</t>
  </si>
  <si>
    <t xml:space="preserve">SEM INSTALAÇÃO ESPECÍFICA|Sem PMI--Aquisição de instrumetos de ensaios para as Regionais da OPT </t>
  </si>
  <si>
    <t>SEM INSTALAÇÃO ESPECÍFICA|Sem PMI--Realização de obras civis nas subestações da OPT</t>
  </si>
  <si>
    <t>SEM INSTALAÇÃO ESPECÍFICA|Sem PMI--Aquisição de sobressalentes estratégicos para as Regionais da OPT</t>
  </si>
  <si>
    <t>SEM INSTALAÇÃO ESPECÍFICA|Sem PMI--Aquisição de estruturas metálicas galvanizadas de torres de emergência para linhas de transmissão, completas, para recompor estruturas danificadas e estabelecer reserva técnica estratégica da OPT, especificamente para as Regionais do Amazonas (OPTAM), Maranhão ( Pará (OPTP) e Maranhão (OPTM)</t>
  </si>
  <si>
    <t>SEM INSTALAÇÃO ESPECÍFICA|Sem PMI--CORPO PESO ADICIONAL DE 25KG</t>
  </si>
  <si>
    <t>SEM INSTALAÇÃO ESPECÍFICA|Sem PMI--SERVIÇO INSTALAÇÃO CORPO PESO ADICIONAL DE 25KG</t>
  </si>
  <si>
    <t>SAO LUIS II|0004813/2019-SUBSTITUIÇÃO DO PARA-RAIOS 500KV, AT702-PR701, FASE 'A'-CONTRATAÇAO PARA ATENDER AS NECESSIDADES DO PROJETO NR: NTSE.0052 -PARA RAIOS - CONTRATAÇAO CONJUNTA DAS EMPRESAS ELETROBRAS.</t>
  </si>
  <si>
    <t>SAO LUIS II|0004820/2019-SUBSTITUIÇÃO DO PARA-RAIOS 500KV, AT702-PR701, FASE 'V'-CONTRATAÇAO PARA ATENDER AS NECESSIDADES DO PROJETO NR: NTSE.0052 -PARA RAIOS - CONTRATAÇAO CONJUNTA DAS EMPRESAS ELETROBRAS.</t>
  </si>
  <si>
    <t>SAO LUIS II|0004823/2019-SUBSTITUIÇÃO DO PÁRA-RAIOS 230KV, BC601-PR601 FASE 'B'-CONTRATAÇAO PARA ATENDER AS NECESSIDADES DO PROJETO NR: NTSE.0052 -PARA RAIOS - CONTRATAÇAO CONJUNTA DAS EMPRESAS ELETROBRAS.</t>
  </si>
  <si>
    <t>SAO LUIS II|0004836/2019-SUBSTITUIÇÃO DO PÁRA-RAIOS 230KV, BC601-PR601 FASE 'V'-CONTRATAÇAO PARA ATENDER AS NECESSIDADES DO PROJETO NR: NTSE.0052 -PARA RAIOS - CONTRATAÇAO CONJUNTA DAS EMPRESAS ELETROBRAS.</t>
  </si>
  <si>
    <t>SAO LUIS II|0004843/2019-SUBSTITUIÇÃO DO PARA-RAIOS 500KV, RE703-PR701, FASE 'B'-CONTRATAÇAO PARA ATENDER AS NECESSIDADES DO PROJETO NR: NTSE.0052 -PARA RAIOS - CONTRATAÇAO CONJUNTA DAS EMPRESAS ELETROBRAS.</t>
  </si>
  <si>
    <t>SAO LUIS II|0004975/2019-SUBSTITUIÇÃO DO PARA-RAIOS 500KV DO BAY DA LINHA BCLD-LI702, FASE 'V'-CONTRATAÇAO PARA ATENDER AS NECESSIDADES DO PROJETO NR: NTSE.0052 -PARA RAIOS - CONTRATAÇAO CONJUNTA DAS EMPRESAS ELETROBRAS.</t>
  </si>
  <si>
    <t>SAO LUIS II|0004979/2019-SUBSTITUIÇÃO DO PARA-RAIOS 500KV, AT701-PR701, FASE 'RESERVA'-CONTRATAÇAO PARA ATENDER AS NECESSIDADES DO PROJETO NR: NTSE.0052 -PARA RAIOS - CONTRATAÇAO CONJUNTA DAS EMPRESAS ELETROBRAS.</t>
  </si>
  <si>
    <t>SAO LUIS II|0004982/2019-SUBSTITUIÇÃO DO PARA-RAIOS 500KV, AT701-PR701, FASE 'V'-CONTRATAÇAO PARA ATENDER AS NECESSIDADES DO PROJETO NR: NTSE.0052 -PARA RAIOS - CONTRATAÇAO CONJUNTA DAS EMPRESAS ELETROBRAS.</t>
  </si>
  <si>
    <t>SAO LUIS II|0004985/2019-SUBSTITUIÇÃO DO PARA-RAIOS 500KV, AT701-PR701, FASE 'A'-CONTRATAÇAO PARA ATENDER AS NECESSIDADES DO PROJETO NR: NTSE.0052 -PARA RAIOS - CONTRATAÇAO CONJUNTA DAS EMPRESAS ELETROBRAS.</t>
  </si>
  <si>
    <t>SAO LUIS II|0004994/2019-SUBSTITUIÇÃO DO PARA-RAIOS 500KV DO BAY DA LINHA BCLD-LI701, FASE 'B'-CONTRATAÇAO PARA ATENDER AS NECESSIDADES DO PROJETO NR: NTSE.0052 -PARA RAIOS - CONTRATAÇAO CONJUNTA DAS EMPRESAS ELETROBRAS.</t>
  </si>
  <si>
    <t>SAO LUIS II|0004998/2019-SUBSTITUIÇÃO DO PARA-RAIOS 500KV, LDBC-LI701, FASE 'A'-CONTRATAÇAO PARA ATENDER AS NECESSIDADES DO PROJETO NR: NTSE.0052 -PARA RAIOS - CONTRATAÇAO CONJUNTA DAS EMPRESAS ELETROBRAS.</t>
  </si>
  <si>
    <t xml:space="preserve">IMPERATRIZ|0006389/2020-SUBSTITUIÇÃO DO PARA-RAIOS FASE V POR NOVO PARA RAIOS DE ÓXIDO DE ZINCO.- CONTRATAÇÃO DE EMPRESA PARA O FORNECIMENTO DE PARA-RAIOS DE ÓXIDO DE ZINCO (ZNO), TIPO ESTAÇÃO, TENSÃO NOMINAL 420 KV A SEREM INSTALADOS NO SETOR DE 500 KV, NA SUBESTAÇÃO PRESIDENTE DUTRA, NO ESTADO DO MARANHÃO, DA EMPRESA ELETRONORTE. </t>
  </si>
  <si>
    <t xml:space="preserve">IMPERATRIZ|0006390/2020-SUBSTITUIÇÃO DO PARA-RAIOS FASE B POR NOVO PARA RAIOS DE ÓXIDO DE ZINCO.- CONTRATAÇÃO DE EMPRESA PARA O FORNECIMENTO DE PARA-RAIOS DE ÓXIDO DE ZINCO (ZNO), TIPO ESTAÇÃO, TENSÃO NOMINAL 420 KV A SEREM INSTALADOS NO SETOR DE 500 KV, NA SUBESTAÇÃO PRESIDENTE DUTRA, NO ESTADO DO MARANHÃO, DA EMPRESA ELETRONORTE. </t>
  </si>
  <si>
    <t xml:space="preserve">JARU|0006351/2020-Substituição de 01  (um) pára-raio de 230 KV, Fase V, do BAY TRANSFORMADOR DE 230/69/13.8 KV - JRTF6-01.- CONTRATAÇÃO DE EMPRESA PARA O FORNECIMENTO DE PARA-RAIOS DE ÓXIDO DE ZINCO (ZNO), TIPO ESTAÇÃO, TENSÃO NOMINAL 420 KV A SEREM INSTALADOS NO SETOR DE 500 KV, NA SUBESTAÇÃO PRESIDENTE DUTRA, NO ESTADO DO MARANHÃO, DA EMPRESA ELETRONORTE. </t>
  </si>
  <si>
    <t xml:space="preserve">JARU|0006406/2020-Substituição de 01  (um) pára-raio de 230 KV, Fase B, do BAY TRANSFORMADOR DE 230/69/13.8 KV - JRTF6-01.- CONTRATAÇÃO DE EMPRESA PARA O FORNECIMENTO DE PARA-RAIOS DE ÓXIDO DE ZINCO (ZNO), TIPO ESTAÇÃO, TENSÃO NOMINAL 420 KV A SEREM INSTALADOS NO SETOR DE 500 KV, NA SUBESTAÇÃO PRESIDENTE DUTRA, NO ESTADO DO MARANHÃO, DA EMPRESA ELETRONORTE. </t>
  </si>
  <si>
    <t xml:space="preserve">JARU|0006423/2020-Substituição de 01  (um) pára-raio de 230 KV, Fase A, do BAY TRANSFORMADOR DE 230/69/13.8 KV - JRTF6-01.- CONTRATAÇÃO DE EMPRESA PARA O FORNECIMENTO DE PARA-RAIOS DE ÓXIDO DE ZINCO (ZNO), TIPO ESTAÇÃO, TENSÃO NOMINAL 420 KV A SEREM INSTALADOS NO SETOR DE 500 KV, NA SUBESTAÇÃO PRESIDENTE DUTRA, NO ESTADO DO MARANHÃO, DA EMPRESA ELETRONORTE. </t>
  </si>
  <si>
    <t xml:space="preserve">JARU|0006851/2020-Substituição de 03  (três) pára-raios de 230 KV, Fase A, B e V do BAY TRANSFORMADOR DE 230/69/13.8 KV - JRTF6-02.- CONTRATAÇÃO DE EMPRESA PARA O FORNECIMENTO DE PARA-RAIOS DE ÓXIDO DE ZINCO (ZNO), TIPO ESTAÇÃO, TENSÃO NOMINAL 420 KV A SEREM INSTALADOS NO SETOR DE 500 KV, NA SUBESTAÇÃO PRESIDENTE DUTRA, NO ESTADO DO MARANHÃO, DA EMPRESA ELETRONORTE. </t>
  </si>
  <si>
    <t xml:space="preserve">JI-PARANA|0006589/2020-Substituição de 01  (um) pára-raio de 230 KV, Fase V, do BAY TRANSFORMADOR DE 230/69/13.8 KV - JPTF6-02.- CONTRATAÇÃO DE EMPRESA PARA O FORNECIMENTO DE PARA-RAIOS DE ÓXIDO DE ZINCO (ZNO), TIPO ESTAÇÃO, TENSÃO NOMINAL 420 KV A SEREM INSTALADOS NO SETOR DE 500 KV, NA SUBESTAÇÃO PRESIDENTE DUTRA, NO ESTADO DO MARANHÃO, DA EMPRESA ELETRONORTE. </t>
  </si>
  <si>
    <t xml:space="preserve">JI-PARANA|0006620/2020-Substituição de 01  (um) pára-raio de 230 KV, Fase B, do BAY TRANSFORMADOR DE 230/69/13.8 KV - JPTF6-02.- CONTRATAÇÃO DE EMPRESA PARA O FORNECIMENTO DE PARA-RAIOS DE ÓXIDO DE ZINCO (ZNO), TIPO ESTAÇÃO, TENSÃO NOMINAL 420 KV A SEREM INSTALADOS NO SETOR DE 500 KV, NA SUBESTAÇÃO PRESIDENTE DUTRA, NO ESTADO DO MARANHÃO, DA EMPRESA ELETRONORTE. </t>
  </si>
  <si>
    <t xml:space="preserve">JI-PARANA|0006628/2020-Substituição de 01  (um) pára-raio de 230 KV, fase A, do BAY TRANSFORMADOR DE 230/69/13.8 KV - JPTF6-02.- CONTRATAÇÃO DE EMPRESA PARA O FORNECIMENTO DE PARA-RAIOS DE ÓXIDO DE ZINCO (ZNO), TIPO ESTAÇÃO, TENSÃO NOMINAL 420 KV A SEREM INSTALADOS NO SETOR DE 500 KV, NA SUBESTAÇÃO PRESIDENTE DUTRA, NO ESTADO DO MARANHÃO, DA EMPRESA ELETRONORTE. </t>
  </si>
  <si>
    <t xml:space="preserve">JI-PARANA|0006700/2020-Substituição de 03  (três) pára-raio de 69 KV, Fases A,B e V do BAY TRANSFORMADOR DE 230/69/13.8 KV - JPTF6-02.- CONTRATAÇÃO DE EMPRESA PARA O FORNECIMENTO DE PARA-RAIOS DE ÓXIDO DE ZINCO (ZNO), TIPO ESTAÇÃO, TENSÃO NOMINAL 420 KV A SEREM INSTALADOS NO SETOR DE 500 KV, NA SUBESTAÇÃO PRESIDENTE DUTRA, NO ESTADO DO MARANHÃO, DA EMPRESA ELETRONORTE. </t>
  </si>
  <si>
    <t xml:space="preserve">JI-PARANA|0006848/2020-Substituição de 03  (três) pára-raios de 69 KV, fases A,B e V, do BAY TRANSFORMADOR DE 230/69/13.8 KV - JPTF6-01.- CONTRATAÇÃO DE EMPRESA PARA O FORNECIMENTO DE PARA-RAIOS DE ÓXIDO DE ZINCO (ZNO), TIPO ESTAÇÃO, TENSÃO NOMINAL 420 KV A SEREM INSTALADOS NO SETOR DE 500 KV, NA SUBESTAÇÃO PRESIDENTE DUTRA, NO ESTADO DO MARANHÃO, DA EMPRESA ELETRONORTE. </t>
  </si>
  <si>
    <t xml:space="preserve">P.DUTRA|0006399/2020-SUBSTITUIÇÃO DO PARA-RAIO DA LINHA PDMRLT7-02 F.V- CONTRATAÇÃO DE EMPRESA PARA O FORNECIMENTO DE PARA-RAIOS DE ÓXIDO DE ZINCO (ZNO), TIPO ESTAÇÃO, TENSÃO NOMINAL 420 KV A SEREM INSTALADOS NO SETOR DE 500 KV, NA SUBESTAÇÃO PRESIDENTE DUTRA, NO ESTADO DO MARANHÃO, DA EMPRESA ELETRONORTE. </t>
  </si>
  <si>
    <t xml:space="preserve">P.DUTRA|0006414/2020-SUBSTITUIÇÃO DO PARA-RAIO DA LINHA PDMRLT7-02 F.B- CONTRATAÇÃO DE EMPRESA PARA O FORNECIMENTO DE PARA-RAIOS DE ÓXIDO DE ZINCO (ZNO), TIPO ESTAÇÃO, TENSÃO NOMINAL 420 KV A SEREM INSTALADOS NO SETOR DE 500 KV, NA SUBESTAÇÃO PRESIDENTE DUTRA, NO ESTADO DO MARANHÃO, DA EMPRESA ELETRONORTE. </t>
  </si>
  <si>
    <t xml:space="preserve">P.DUTRA|0006645/2020-SUBSTITUIÇÃO DO PARA-RAIO DA LINHA PDMRLT7-02 F.A- CONTRATAÇÃO DE EMPRESA PARA O FORNECIMENTO DE PARA-RAIOS DE ÓXIDO DE ZINCO (ZNO), TIPO ESTAÇÃO, TENSÃO NOMINAL 420 KV A SEREM INSTALADOS NO SETOR DE 500 KV, NA SUBESTAÇÃO PRESIDENTE DUTRA, NO ESTADO DO MARANHÃO, DA EMPRESA ELETRONORTE. </t>
  </si>
  <si>
    <t xml:space="preserve">P.DUTRA|0006651/2020-SUBSTITUIÇÃO DO PARA-RAIO DA LINHA PDSOLT7-01 F.V- CONTRATAÇÃO DE EMPRESA PARA O FORNECIMENTO DE PARA-RAIOS DE ÓXIDO DE ZINCO (ZNO), TIPO ESTAÇÃO, TENSÃO NOMINAL 420 KV A SEREM INSTALADOS NO SETOR DE 500 KV, NA SUBESTAÇÃO PRESIDENTE DUTRA, NO ESTADO DO MARANHÃO, DA EMPRESA ELETRONORTE. </t>
  </si>
  <si>
    <t xml:space="preserve">P.DUTRA|0006654/2020-SUBSTITUIÇÃO DO PARA-RAIO DA LINHA PDSOLT7-01 F.B- CONTRATAÇÃO DE EMPRESA PARA O FORNECIMENTO DE PARA-RAIOS DE ÓXIDO DE ZINCO (ZNO), TIPO ESTAÇÃO, TENSÃO NOMINAL 420 KV A SEREM INSTALADOS NO SETOR DE 500 KV, NA SUBESTAÇÃO PRESIDENTE DUTRA, NO ESTADO DO MARANHÃO, DA EMPRESA ELETRONORTE. </t>
  </si>
  <si>
    <t xml:space="preserve">P.DUTRA|0006656/2020-SUBSTITUIÇÃO DE PARA-RAIOS DA LINHA PDSOLT7-01 F.A- CONTRATAÇÃO DE EMPRESA PARA O FORNECIMENTO DE PARA-RAIOS DE ÓXIDO DE ZINCO (ZNO), TIPO ESTAÇÃO, TENSÃO NOMINAL 420 KV A SEREM INSTALADOS NO SETOR DE 500 KV, NA SUBESTAÇÃO PRESIDENTE DUTRA, NO ESTADO DO MARANHÃO, DA EMPRESA ELETRONORTE. </t>
  </si>
  <si>
    <t xml:space="preserve">P.DUTRA|0006778/2020-SUBSTITUIÇÃO DO PARA-RAIO DO PDRE7-03 RESERVA- CONTRATAÇÃO DE EMPRESA PARA O FORNECIMENTO DE PARA-RAIOS DE ÓXIDO DE ZINCO (ZNO), TIPO ESTAÇÃO, TENSÃO NOMINAL 420 KV A SEREM INSTALADOS NO SETOR DE 500 KV, NA SUBESTAÇÃO PRESIDENTE DUTRA, NO ESTADO DO MARANHÃO, DA EMPRESA ELETRONORTE. </t>
  </si>
  <si>
    <t xml:space="preserve">P.DUTRA|0006814/2020-SUBSTITUIÇÃO DO PARA-RAIO DO PDRE7-03 F.A- CONTRATAÇÃO DE EMPRESA PARA O FORNECIMENTO DE PARA-RAIOS DE ÓXIDO DE ZINCO (ZNO), TIPO ESTAÇÃO, TENSÃO NOMINAL 420 KV A SEREM INSTALADOS NO SETOR DE 500 KV, NA SUBESTAÇÃO PRESIDENTE DUTRA, NO ESTADO DO MARANHÃO, DA EMPRESA ELETRONORTE. </t>
  </si>
  <si>
    <t xml:space="preserve">P.DUTRA|0006820/2020-SUBSTITUIÇÃO DO PARA-RAIO DO PDRE7-02 F.V- CONTRATAÇÃO DE EMPRESA PARA O FORNECIMENTO DE PARA-RAIOS DE ÓXIDO DE ZINCO (ZNO), TIPO ESTAÇÃO, TENSÃO NOMINAL 420 KV A SEREM INSTALADOS NO SETOR DE 500 KV, NA SUBESTAÇÃO PRESIDENTE DUTRA, NO ESTADO DO MARANHÃO, DA EMPRESA ELETRONORTE. </t>
  </si>
  <si>
    <t xml:space="preserve">P.DUTRA|0006824/2020-SUBSTITUIÇÃO DO PARA-RAIO DO PDRE7-02 F.B- CONTRATAÇÃO DE EMPRESA PARA O FORNECIMENTO DE PARA-RAIOS DE ÓXIDO DE ZINCO (ZNO), TIPO ESTAÇÃO, TENSÃO NOMINAL 420 KV A SEREM INSTALADOS NO SETOR DE 500 KV, NA SUBESTAÇÃO PRESIDENTE DUTRA, NO ESTADO DO MARANHÃO, DA EMPRESA ELETRONORTE. </t>
  </si>
  <si>
    <t xml:space="preserve">P.DUTRA|0006828/2020-SUBSTITUIÇÃO DO PARA-RAIO DO PDRE7-02 F.B- CONTRATAÇÃO DE EMPRESA PARA O FORNECIMENTO DE PARA-RAIOS DE ÓXIDO DE ZINCO (ZNO), TIPO ESTAÇÃO, TENSÃO NOMINAL 420 KV A SEREM INSTALADOS NO SETOR DE 500 KV, NA SUBESTAÇÃO PRESIDENTE DUTRA, NO ESTADO DO MARANHÃO, DA EMPRESA ELETRONORTE. </t>
  </si>
  <si>
    <t xml:space="preserve">P.DUTRA|0006832/2020-SUBSTITUIÇÃO DO PARA-RAIO DO PDRE7-02 F.A- CONTRATAÇÃO DE EMPRESA PARA O FORNECIMENTO DE PARA-RAIOS DE ÓXIDO DE ZINCO (ZNO), TIPO ESTAÇÃO, TENSÃO NOMINAL 420 KV A SEREM INSTALADOS NO SETOR DE 500 KV, NA SUBESTAÇÃO PRESIDENTE DUTRA, NO ESTADO DO MARANHÃO, DA EMPRESA ELETRONORTE. </t>
  </si>
  <si>
    <t xml:space="preserve">P.DUTRA|0006864/2020-SUBSTITUIÇÃO DE PARA-RAIO 01 DA LINHA PDTSLI7-01 F.V- CONTRATAÇÃO DE EMPRESA PARA O FORNECIMENTO DE PARA-RAIOS DE ÓXIDO DE ZINCO (ZNO), TIPO ESTAÇÃO, TENSÃO NOMINAL 420 KV A SEREM INSTALADOS NO SETOR DE 500 KV, NA SUBESTAÇÃO PRESIDENTE DUTRA, NO ESTADO DO MARANHÃO, DA EMPRESA ELETRONORTE. </t>
  </si>
  <si>
    <t xml:space="preserve">P.DUTRA|0006865/2020-SUBSGTITUIÇÃO DO PARA-RAIO 01 DA LINHA PDTSLI7-01 F.B- CONTRATAÇÃO DE EMPRESA PARA O FORNECIMENTO DE PARA-RAIOS DE ÓXIDO DE ZINCO (ZNO), TIPO ESTAÇÃO, TENSÃO NOMINAL 420 KV A SEREM INSTALADOS NO SETOR DE 500 KV, NA SUBESTAÇÃO PRESIDENTE DUTRA, NO ESTADO DO MARANHÃO, DA EMPRESA ELETRONORTE. </t>
  </si>
  <si>
    <t xml:space="preserve">P.DUTRA|0006866/2020-SUBSTITUIÇÃO DO PARA-RAIO 01 DA LINHA PDTSLI7-01 F.A- CONTRATAÇÃO DE EMPRESA PARA O FORNECIMENTO DE PARA-RAIOS DE ÓXIDO DE ZINCO (ZNO), TIPO ESTAÇÃO, TENSÃO NOMINAL 420 KV A SEREM INSTALADOS NO SETOR DE 500 KV, NA SUBESTAÇÃO PRESIDENTE DUTRA, NO ESTADO DO MARANHÃO, DA EMPRESA ELETRONORTE. </t>
  </si>
  <si>
    <t xml:space="preserve">P.DUTRA|0006867/2020-SUBSTITUIÇÃO DO PARA-RAIO 02 DA IZPDLT7-02 F.V- CONTRATAÇÃO DE EMPRESA PARA O FORNECIMENTO DE PARA-RAIOS DE ÓXIDO DE ZINCO (ZNO), TIPO ESTAÇÃO, TENSÃO NOMINAL 420 KV A SEREM INSTALADOS NO SETOR DE 500 KV, NA SUBESTAÇÃO PRESIDENTE DUTRA, NO ESTADO DO MARANHÃO, DA EMPRESA ELETRONORTE. </t>
  </si>
  <si>
    <t xml:space="preserve">P.DUTRA|0006868/2020-SUBSTITUIÇÃO DO PARA-RAIO 02 DA IZPDLT7-02 F.B- CONTRATAÇÃO DE EMPRESA PARA O FORNECIMENTO DE PARA-RAIOS DE ÓXIDO DE ZINCO (ZNO), TIPO ESTAÇÃO, TENSÃO NOMINAL 420 KV A SEREM INSTALADOS NO SETOR DE 500 KV, NA SUBESTAÇÃO PRESIDENTE DUTRA, NO ESTADO DO MARANHÃO, DA EMPRESA ELETRONORTE. </t>
  </si>
  <si>
    <t xml:space="preserve">P.DUTRA|0006870/2020-SUBSTITUIÇÃO DO PARA-RAIO 02 DA IZPDLT7-02 F.B- CONTRATAÇÃO DE EMPRESA PARA O FORNECIMENTO DE PARA-RAIOS DE ÓXIDO DE ZINCO (ZNO), TIPO ESTAÇÃO, TENSÃO NOMINAL 420 KV A SEREM INSTALADOS NO SETOR DE 500 KV, NA SUBESTAÇÃO PRESIDENTE DUTRA, NO ESTADO DO MARANHÃO, DA EMPRESA ELETRONORTE. </t>
  </si>
  <si>
    <t xml:space="preserve">P.DUTRA|0006872/2020-SUBSTITUIÇÃO DO PARA-RAIO 01 DA IZPDLT7-02 F.V- CONTRATAÇÃO DE EMPRESA PARA O FORNECIMENTO DE PARA-RAIOS DE ÓXIDO DE ZINCO (ZNO), TIPO ESTAÇÃO, TENSÃO NOMINAL 420 KV A SEREM INSTALADOS NO SETOR DE 500 KV, NA SUBESTAÇÃO PRESIDENTE DUTRA, NO ESTADO DO MARANHÃO, DA EMPRESA ELETRONORTE. </t>
  </si>
  <si>
    <t xml:space="preserve">P.DUTRA|0006874/2020-SUBSTITUIÇÃO DO PARA-RAIO 01 DA IZPDLT7-02 F.B- CONTRATAÇÃO DE EMPRESA PARA O FORNECIMENTO DE PARA-RAIOS DE ÓXIDO DE ZINCO (ZNO), TIPO ESTAÇÃO, TENSÃO NOMINAL 420 KV A SEREM INSTALADOS NO SETOR DE 500 KV, NA SUBESTAÇÃO PRESIDENTE DUTRA, NO ESTADO DO MARANHÃO, DA EMPRESA ELETRONORTE. </t>
  </si>
  <si>
    <t xml:space="preserve">P.DUTRA|0006875/2020-SUBSTITUIÇÃO DO PARA-RAIO 01 DA IZPDLT7-02 F.A- CONTRATAÇÃO DE EMPRESA PARA O FORNECIMENTO DE PARA-RAIOS DE ÓXIDO DE ZINCO (ZNO), TIPO ESTAÇÃO, TENSÃO NOMINAL 420 KV A SEREM INSTALADOS NO SETOR DE 500 KV, NA SUBESTAÇÃO PRESIDENTE DUTRA, NO ESTADO DO MARANHÃO, DA EMPRESA ELETRONORTE. </t>
  </si>
  <si>
    <t xml:space="preserve">P.DUTRA|0006877/2020-SUBSTITUIÇÃO DO PARA-RAIO 02 DA IZPDLT7-01 F.V- CONTRATAÇÃO DE EMPRESA PARA O FORNECIMENTO DE PARA-RAIOS DE ÓXIDO DE ZINCO (ZNO), TIPO ESTAÇÃO, TENSÃO NOMINAL 420 KV A SEREM INSTALADOS NO SETOR DE 500 KV, NA SUBESTAÇÃO PRESIDENTE DUTRA, NO ESTADO DO MARANHÃO, DA EMPRESA ELETRONORTE. </t>
  </si>
  <si>
    <t xml:space="preserve">P.DUTRA|0006879/2020-SUBSTITUIÇÃO DO PARA-RAIO 02 DA LINHA IZPDLT7-01 F.B- CONTRATAÇÃO DE EMPRESA PARA O FORNECIMENTO DE PARA-RAIOS DE ÓXIDO DE ZINCO (ZNO), TIPO ESTAÇÃO, TENSÃO NOMINAL 420 KV A SEREM INSTALADOS NO SETOR DE 500 KV, NA SUBESTAÇÃO PRESIDENTE DUTRA, NO ESTADO DO MARANHÃO, DA EMPRESA ELETRONORTE. </t>
  </si>
  <si>
    <t xml:space="preserve">P.DUTRA|0006882/2020-SUBSTITUIÇÃO DO PARA-RAIO 02 DA LINHA IZPDLT7-01 F.A- CONTRATAÇÃO DE EMPRESA PARA O FORNECIMENTO DE PARA-RAIOS DE ÓXIDO DE ZINCO (ZNO), TIPO ESTAÇÃO, TENSÃO NOMINAL 420 KV A SEREM INSTALADOS NO SETOR DE 500 KV, NA SUBESTAÇÃO PRESIDENTE DUTRA, NO ESTADO DO MARANHÃO, DA EMPRESA ELETRONORTE. </t>
  </si>
  <si>
    <t xml:space="preserve">P.DUTRA|0006884/2020-SUBSTITUIÇÃO DO PARA-RAIO 01 DA IZPDLT7-01 F.V- CONTRATAÇÃO DE EMPRESA PARA O FORNECIMENTO DE PARA-RAIOS DE ÓXIDO DE ZINCO (ZNO), TIPO ESTAÇÃO, TENSÃO NOMINAL 420 KV A SEREM INSTALADOS NO SETOR DE 500 KV, NA SUBESTAÇÃO PRESIDENTE DUTRA, NO ESTADO DO MARANHÃO, DA EMPRESA ELETRONORTE. </t>
  </si>
  <si>
    <t xml:space="preserve">P.DUTRA|0006887/2020-SUBSTITUIÇÃO DO PARA-RAIO 01 DA LINHA IZPDLT7-01 F.B- CONTRATAÇÃO DE EMPRESA PARA O FORNECIMENTO DE PARA-RAIOS DE ÓXIDO DE ZINCO (ZNO), TIPO ESTAÇÃO, TENSÃO NOMINAL 420 KV A SEREM INSTALADOS NO SETOR DE 500 KV, NA SUBESTAÇÃO PRESIDENTE DUTRA, NO ESTADO DO MARANHÃO, DA EMPRESA ELETRONORTE. </t>
  </si>
  <si>
    <t xml:space="preserve">P.DUTRA|0006889/2020-SUBSTITUIÇÃO DO PARA-RAIO 01 DA LINHA IZPDLT7-01 F.A- CONTRATAÇÃO DE EMPRESA PARA O FORNECIMENTO DE PARA-RAIOS DE ÓXIDO DE ZINCO (ZNO), TIPO ESTAÇÃO, TENSÃO NOMINAL 420 KV A SEREM INSTALADOS NO SETOR DE 500 KV, NA SUBESTAÇÃO PRESIDENTE DUTRA, NO ESTADO DO MARANHÃO, DA EMPRESA ELETRONORTE. </t>
  </si>
  <si>
    <t xml:space="preserve">P.DUTRA|0006838/2020-SUBSTITUIÇÃO DO PARA-RAIO DO PDRE7-01 F.V- CONTRATAÇÃO DE EMPRESA PARA O FORNECIMENTO DE PARA-RAIOS DE ÓXIDO DE ZINCO (ZNO), TIPO ESTAÇÃO, TENSÃO NOMINAL 420 KV A SEREM INSTALADOS NO SETOR DE 500 KV, NA SUBESTAÇÃO PRESIDENTE DUTRA, NO ESTADO DO MARANHÃO, DA EMPRESA ELETRONORTE. </t>
  </si>
  <si>
    <t xml:space="preserve">P.DUTRA|0006842/2020-SUBSTITUIÇÃO DO PARA-RAIO DO PDRE7-01 F.B- CONTRATAÇÃO DE EMPRESA PARA O FORNECIMENTO DE PARA-RAIOS DE ÓXIDO DE ZINCO (ZNO), TIPO ESTAÇÃO, TENSÃO NOMINAL 420 KV A SEREM INSTALADOS NO SETOR DE 500 KV, NA SUBESTAÇÃO PRESIDENTE DUTRA, NO ESTADO DO MARANHÃO, DA EMPRESA ELETRONORTE. </t>
  </si>
  <si>
    <t xml:space="preserve">P.DUTRA|0006845/2020-SUBSTITUIÇÃO DO PARA-RAIO DO PDRE7-01 F.A- CONTRATAÇÃO DE EMPRESA PARA O FORNECIMENTO DE PARA-RAIOS DE ÓXIDO DE ZINCO (ZNO), TIPO ESTAÇÃO, TENSÃO NOMINAL 420 KV A SEREM INSTALADOS NO SETOR DE 500 KV, NA SUBESTAÇÃO PRESIDENTE DUTRA, NO ESTADO DO MARANHÃO, DA EMPRESA ELETRONORTE. </t>
  </si>
  <si>
    <t xml:space="preserve">P.DUTRA|0006852/2020-SUBSTITUIÇÃO DO PARA-RAIO DO PDAT7-01 F.V- CONTRATAÇÃO DE EMPRESA PARA O FORNECIMENTO DE PARA-RAIOS DE ÓXIDO DE ZINCO (ZNO), TIPO ESTAÇÃO, TENSÃO NOMINAL 420 KV A SEREM INSTALADOS NO SETOR DE 500 KV, NA SUBESTAÇÃO PRESIDENTE DUTRA, NO ESTADO DO MARANHÃO, DA EMPRESA ELETRONORTE. </t>
  </si>
  <si>
    <t xml:space="preserve">P.DUTRA|0006862/2020-SUBSTITUIÇÃO DO PARA-RAIO DO PDAT7-01 F.B- CONTRATAÇÃO DE EMPRESA PARA O FORNECIMENTO DE PARA-RAIOS DE ÓXIDO DE ZINCO (ZNO), TIPO ESTAÇÃO, TENSÃO NOMINAL 420 KV A SEREM INSTALADOS NO SETOR DE 500 KV, NA SUBESTAÇÃO PRESIDENTE DUTRA, NO ESTADO DO MARANHÃO, DA EMPRESA ELETRONORTE. </t>
  </si>
  <si>
    <t xml:space="preserve">P.DUTRA|0006863/2020-SUBSTITUIÇÃO DO PARA-RAIO DO PDAT7-01 F.A- CONTRATAÇÃO DE EMPRESA PARA O FORNECIMENTO DE PARA-RAIOS DE ÓXIDO DE ZINCO (ZNO), TIPO ESTAÇÃO, TENSÃO NOMINAL 420 KV A SEREM INSTALADOS NO SETOR DE 500 KV, NA SUBESTAÇÃO PRESIDENTE DUTRA, NO ESTADO DO MARANHÃO, DA EMPRESA ELETRONORTE. </t>
  </si>
  <si>
    <t xml:space="preserve">PORTO VELHO|0006486/2020-PARA-RAIOS - 01 UNIDADE PARA A LINHA SMPVLT6-02 - FASE V (extremidade SEPV).- CONTRATAÇÃO DE EMPRESA PARA O FORNECIMENTO DE PARA-RAIOS DE ÓXIDO DE ZINCO (ZNO), TIPO ESTAÇÃO, TENSÃO NOMINAL 420 KV A SEREM INSTALADOS NO SETOR DE 500 KV, NA SUBESTAÇÃO PRESIDENTE DUTRA, NO ESTADO DO MARANHÃO, DA EMPRESA ELETRONORTE. </t>
  </si>
  <si>
    <t xml:space="preserve">PORTO VELHO|0006497/2020-PARA-RAIOS - 01 UNIDADE PARA A LINHA SMPVLT6-02 - FASE B (extremidade SEPV).- CONTRATAÇÃO DE EMPRESA PARA O FORNECIMENTO DE PARA-RAIOS DE ÓXIDO DE ZINCO (ZNO), TIPO ESTAÇÃO, TENSÃO NOMINAL 420 KV A SEREM INSTALADOS NO SETOR DE 500 KV, NA SUBESTAÇÃO PRESIDENTE DUTRA, NO ESTADO DO MARANHÃO, DA EMPRESA ELETRONORTE. </t>
  </si>
  <si>
    <t xml:space="preserve">PORTO VELHO|0006499/2020-PARA-RAIOS - 01 UNIDADE PARA A LINHA SMPVLT6-01 - FASE V (extremidade SEPV).- CONTRATAÇÃO DE EMPRESA PARA O FORNECIMENTO DE PARA-RAIOS DE ÓXIDO DE ZINCO (ZNO), TIPO ESTAÇÃO, TENSÃO NOMINAL 420 KV A SEREM INSTALADOS NO SETOR DE 500 KV, NA SUBESTAÇÃO PRESIDENTE DUTRA, NO ESTADO DO MARANHÃO, DA EMPRESA ELETRONORTE. </t>
  </si>
  <si>
    <t xml:space="preserve">PORTO VELHO|0006511/2020-PARA-RAIOS - 01 UNIDADE PARA A LINHA SMPVLT6-01 - FASE B (extremidade SEPV).- CONTRATAÇÃO DE EMPRESA PARA O FORNECIMENTO DE PARA-RAIOS DE ÓXIDO DE ZINCO (ZNO), TIPO ESTAÇÃO, TENSÃO NOMINAL 420 KV A SEREM INSTALADOS NO SETOR DE 500 KV, NA SUBESTAÇÃO PRESIDENTE DUTRA, NO ESTADO DO MARANHÃO, DA EMPRESA ELETRONORTE. </t>
  </si>
  <si>
    <t xml:space="preserve">PORTO VELHO|0006805/2020-PARA-RAIOS - 01 UNIDADE PARA A LINHA SMPVLT6-02 - FASE A (extremidade SEPV).- CONTRATAÇÃO DE EMPRESA PARA O FORNECIMENTO DE PARA-RAIOS DE ÓXIDO DE ZINCO (ZNO), TIPO ESTAÇÃO, TENSÃO NOMINAL 420 KV A SEREM INSTALADOS NO SETOR DE 500 KV, NA SUBESTAÇÃO PRESIDENTE DUTRA, NO ESTADO DO MARANHÃO, DA EMPRESA ELETRONORTE. </t>
  </si>
  <si>
    <t xml:space="preserve">PORTO VELHO|0006825/2020-PARA-RAIOS - 01 UNIDADE PARA A LINHA SMPVLT6-01 - FASE A (extremidade SEPV).- CONTRATAÇÃO DE EMPRESA PARA O FORNECIMENTO DE PARA-RAIOS DE ÓXIDO DE ZINCO (ZNO), TIPO ESTAÇÃO, TENSÃO NOMINAL 420 KV A SEREM INSTALADOS NO SETOR DE 500 KV, NA SUBESTAÇÃO PRESIDENTE DUTRA, NO ESTADO DO MARANHÃO, DA EMPRESA ELETRONORTE. </t>
  </si>
  <si>
    <t xml:space="preserve">SAMUEL|0006445/2020-Para Raios - 01 UNIDADE PARA A LINHA SMAQLT6-01 - FASE V (extremidade SESM).- CONTRATAÇÃO DE EMPRESA PARA O FORNECIMENTO DE PARA-RAIOS DE ÓXIDO DE ZINCO (ZNO), TIPO ESTAÇÃO, TENSÃO NOMINAL 420 KV A SEREM INSTALADOS NO SETOR DE 500 KV, NA SUBESTAÇÃO PRESIDENTE DUTRA, NO ESTADO DO MARANHÃO, DA EMPRESA ELETRONORTE. </t>
  </si>
  <si>
    <t xml:space="preserve">SAMUEL|0006450/2020-Para Raios - 01 UNIDADE PARA A LINHA SMAQLT6-01 - FASE B (extremidade SESM).- CONTRATAÇÃO DE EMPRESA PARA O FORNECIMENTO DE PARA-RAIOS DE ÓXIDO DE ZINCO (ZNO), TIPO ESTAÇÃO, TENSÃO NOMINAL 420 KV A SEREM INSTALADOS NO SETOR DE 500 KV, NA SUBESTAÇÃO PRESIDENTE DUTRA, NO ESTADO DO MARANHÃO, DA EMPRESA ELETRONORTE. </t>
  </si>
  <si>
    <t xml:space="preserve">SAMUEL|0006452/2020-Para Raios - 01 UNIDADE PARA A LINHA SMPVLT6-02 - FASE V (extremidade SESM).- CONTRATAÇÃO DE EMPRESA PARA O FORNECIMENTO DE PARA-RAIOS DE ÓXIDO DE ZINCO (ZNO), TIPO ESTAÇÃO, TENSÃO NOMINAL 420 KV A SEREM INSTALADOS NO SETOR DE 500 KV, NA SUBESTAÇÃO PRESIDENTE DUTRA, NO ESTADO DO MARANHÃO, DA EMPRESA ELETRONORTE. </t>
  </si>
  <si>
    <t xml:space="preserve">SAMUEL|0006455/2020-Para Raios - 01 UNIDADE PARA A LINHA SMPVLT6-02 - FASE B (extremidade SESM).- CONTRATAÇÃO DE EMPRESA PARA O FORNECIMENTO DE PARA-RAIOS DE ÓXIDO DE ZINCO (ZNO), TIPO ESTAÇÃO, TENSÃO NOMINAL 420 KV A SEREM INSTALADOS NO SETOR DE 500 KV, NA SUBESTAÇÃO PRESIDENTE DUTRA, NO ESTADO DO MARANHÃO, DA EMPRESA ELETRONORTE. </t>
  </si>
  <si>
    <t xml:space="preserve">SAMUEL|0006459/2020-Para Raios - 01 UNIDADE PARA A LINHA SMPVLT6-01 - FASE V (extremidade SESM).- CONTRATAÇÃO DE EMPRESA PARA O FORNECIMENTO DE PARA-RAIOS DE ÓXIDO DE ZINCO (ZNO), TIPO ESTAÇÃO, TENSÃO NOMINAL 420 KV A SEREM INSTALADOS NO SETOR DE 500 KV, NA SUBESTAÇÃO PRESIDENTE DUTRA, NO ESTADO DO MARANHÃO, DA EMPRESA ELETRONORTE. </t>
  </si>
  <si>
    <t xml:space="preserve">SAMUEL|0006463/2020-Para Raios - 01 UNIDADE PARA A LINHA SMPVLT6-01 - FASE B (extremidade SESM).- CONTRATAÇÃO DE EMPRESA PARA O FORNECIMENTO DE PARA-RAIOS DE ÓXIDO DE ZINCO (ZNO), TIPO ESTAÇÃO, TENSÃO NOMINAL 420 KV A SEREM INSTALADOS NO SETOR DE 500 KV, NA SUBESTAÇÃO PRESIDENTE DUTRA, NO ESTADO DO MARANHÃO, DA EMPRESA ELETRONORTE. </t>
  </si>
  <si>
    <t xml:space="preserve">SAMUEL|0006733/2020-Para Raios - 01 UNIDADE PARA A LINHA SMAQLT6-01 - FASE A (extremidade SESM).- CONTRATAÇÃO DE EMPRESA PARA O FORNECIMENTO DE PARA-RAIOS DE ÓXIDO DE ZINCO (ZNO), TIPO ESTAÇÃO, TENSÃO NOMINAL 420 KV A SEREM INSTALADOS NO SETOR DE 500 KV, NA SUBESTAÇÃO PRESIDENTE DUTRA, NO ESTADO DO MARANHÃO, DA EMPRESA ELETRONORTE. </t>
  </si>
  <si>
    <t xml:space="preserve">SAMUEL|0006744/2020-Para Raios - 01 UNIDADE PARA A LINHA SMPVLT6-02 - FASE A (extremidade SESM).- CONTRATAÇÃO DE EMPRESA PARA O FORNECIMENTO DE PARA-RAIOS DE ÓXIDO DE ZINCO (ZNO), TIPO ESTAÇÃO, TENSÃO NOMINAL 420 KV A SEREM INSTALADOS NO SETOR DE 500 KV, NA SUBESTAÇÃO PRESIDENTE DUTRA, NO ESTADO DO MARANHÃO, DA EMPRESA ELETRONORTE. </t>
  </si>
  <si>
    <t xml:space="preserve">SAMUEL|0006760/2020-Para Raios - 01 UNIDADE PARA A LINHA SMPVLT6-01 - FASE A (extremidade SESM).- CONTRATAÇÃO DE EMPRESA PARA O FORNECIMENTO DE PARA-RAIOS DE ÓXIDO DE ZINCO (ZNO), TIPO ESTAÇÃO, TENSÃO NOMINAL 420 KV A SEREM INSTALADOS NO SETOR DE 500 KV, NA SUBESTAÇÃO PRESIDENTE DUTRA, NO ESTADO DO MARANHÃO, DA EMPRESA ELETRONORTE. </t>
  </si>
  <si>
    <t xml:space="preserve">SAO LUIS II|0006534/2020-SUBSTITUIÇÃO DOS CABOS PARA RAIOS DA LINHA- CONTRATAÇÃO DE EMPRESA PARA O FORNECIMENTO DE PARA-RAIOS DE ÓXIDO DE ZINCO (ZNO), TIPO ESTAÇÃO, TENSÃO NOMINAL 420 KV A SEREM INSTALADOS NO SETOR DE 500 KV, NA SUBESTAÇÃO PRESIDENTE DUTRA, NO ESTADO DO MARANHÃO, DA EMPRESA ELETRONORTE. </t>
  </si>
  <si>
    <t xml:space="preserve">TUCURUI|0005932/2020-SUBSTITUIÇÃO PÁRA-RAIOS 69 KV - TCTU-LT4-01- CONTRATAÇÃO DE EMPRESA PARA O FORNECIMENTO DE PARA-RAIOS DE ÓXIDO DE ZINCO (ZNO), TIPO ESTAÇÃO, TENSÃO NOMINAL 420 KV A SEREM INSTALADOS NO SETOR DE 500 KV, NA SUBESTAÇÃO PRESIDENTE DUTRA, NO ESTADO DO MARANHÃO, DA EMPRESA ELETRONORTE. </t>
  </si>
  <si>
    <t>DIVERSAS INSTALAÇÕES|Sobressalente à cadastrar PMI--AQUISIÇAO DE BUCHAS CONDENSIVAS.</t>
  </si>
  <si>
    <t>IMPERATRIZ|0006471/2020-SUBSTITUIÇÃO DE UMA BUCHA CONDENSIVA DE 230KV EM UM TRANSFORMADOR MONOFÁSICO,  CÓDIGO OPERACIONAL IZTF6-02 FASE V.-AQUISIÇAO DE BUCHAS CONDENSIVAS.</t>
  </si>
  <si>
    <t>IMPERATRIZ|0006473/2020-SUBSTITUIÇÃO DE UMA BUCHA CONDENSIVA DE 230KV EM UM TRANSFORMADOR MONOFÁSICO,  CÓDIGO OPERACIONAL IZTF6-02 FASE B.-AQUISIÇAO DE BUCHAS CONDENSIVAS.</t>
  </si>
  <si>
    <t>IMPERATRIZ|0006477/2020-SUBSTITUIÇÃO DE UMA BUCHA CONDENSIVA DE 230KV EM UM TRANSFORMADOR MONOFÁSICO,  CÓDIGO OPERACIONAL IZTF6-02 FASE A.-AQUISIÇAO DE BUCHAS CONDENSIVAS.</t>
  </si>
  <si>
    <t>IMPERATRIZ|0006478/2020-SUBSTITUIÇÃO DE UMA BUCHA CONDENSIVA DE 230KV EM UM TRANSFORMADOR MONOFÁSICO,  CÓDIGO OPERACIONAL IZTF6-01 FASE RESERVA.-AQUISIÇAO DE BUCHAS CONDENSIVAS.</t>
  </si>
  <si>
    <t>IMPERATRIZ|0006482/2020-SUBSTITUIÇÃO DE UMA BUCHA CONDENSIVA DE 230KV EM UM TRANSFORMADOR MONOFÁSICO,  CÓDIGO OPERACIONAL IZTF6-01 FASE V.-AQUISIÇAO DE BUCHAS CONDENSIVAS.</t>
  </si>
  <si>
    <t>IMPERATRIZ|0006485/2020-SUBSTITUIÇÃO DE UMA BUCHA CONDENSIVA DE 230KV EM UM TRANSFORMADOR MONOFÁSICO,  CÓDIGO OPERACIONAL IZTF6-01 FASE B.-AQUISIÇAO DE BUCHAS CONDENSIVAS.</t>
  </si>
  <si>
    <t>IMPERATRIZ|0006487/2020-SUBSTITUIÇÃO DE UMA BUCHA CONDENSIVA DE 230KV EM UM TRANSFORMADOR MONOFÁSICO,  CÓDIGO OPERACIONAL IZTF6-01 FASE A.-AQUISIÇAO DE BUCHAS CONDENSIVAS.</t>
  </si>
  <si>
    <t>IMPERATRIZ|0006517/2020-SUBSTITUIÇÃO DE UMA BUCHA DE NEUTRO EM UM REATOR DERIVAÇÃO MONOFÁSICO, CÓDIGO OPERACIONAL IZRE7-11 FASE V.-AQUISIÇAO DE BUCHAS CONDENSIVAS.</t>
  </si>
  <si>
    <t>IMPERATRIZ|0006519/2020-SUBSTITUIÇÃO DE UMA BUCHA DE NEUTRO EM UM REATOR DERIVAÇÃO MONOFÁSICO, CÓDIGO OPERACIONAL IZRE7-11 FASE B.-AQUISIÇAO DE BUCHAS CONDENSIVAS.</t>
  </si>
  <si>
    <t>IMPERATRIZ|0006524/2020-SUBSTITUIÇÃO DE UMA BUCHA DE NEUTRO EM UM REATOR DERIVAÇÃO MONOFÁSICO, CÓDIGO OPERACIONAL IZRE7-11 FASE A.
-AQUISIÇAO DE BUCHAS CONDENSIVAS.</t>
  </si>
  <si>
    <t>IMPERATRIZ|0006526/2020-SUBSTITUIÇÃO DE UMA BUCHA DE NEUTRO EM UM REATOR DERIVAÇÃO MONOFÁSICO, CÓDIGO OPERACIONAL IZRE7-12 FASE RESERVA.-AQUISIÇAO DE BUCHAS CONDENSIVAS.</t>
  </si>
  <si>
    <t>IMPERATRIZ|0006527/2020-SUBSTITUIÇÃO DE UMA BUCHA DE NEUTRO EM UM REATOR DERIVAÇÃO MONOFÁSICO, CÓDIGO OPERACIONAL IZRE7-12 FASE V.-AQUISIÇAO DE BUCHAS CONDENSIVAS.</t>
  </si>
  <si>
    <t>IMPERATRIZ|0006542/2020-SUBSTITUIÇÃO DE UMA BUCHA CONDENSIVA DE 500KV EM UM REATOR DERIVAÇÃO MONOFÁSICO, CÓDIGO OPERACIONAL IZRE7-12 FASE RESERVA.-AQUISIÇAO DE BUCHAS CONDENSIVAS.</t>
  </si>
  <si>
    <t>IMPERATRIZ|0006543/2020-SUBSTITUIÇÃO DE UMA BUCHA CONDENSIVA DE 500KV EM UM REATOR DERIVAÇÃO MONOFÁSICO, CÓDIGO OPERACIONAL IZRE7-12 FASE V.-AQUISIÇAO DE BUCHAS CONDENSIVAS.</t>
  </si>
  <si>
    <t>IMPERATRIZ|0006545/2020-SUBSTITUIÇÃO DE UMA BUCHA CONDENSIVA DE 500KV EM UM REATOR DERIVAÇÃO MONOFÁSICO, CÓDIGO OPERACIONAL IZRE7-12 FASE B.-AQUISIÇAO DE BUCHAS CONDENSIVAS.</t>
  </si>
  <si>
    <t>MARABA|0001991/2016-Substituição das buchas de 500 kv do Autotransformador MBAT7-01 FA-AQUISIÇAO DE BUCHAS CONDENSIVAS.</t>
  </si>
  <si>
    <t>MARABA|0001993/2016-Substituição das buchas de 500 kv do Autotransformador MBAT7-01 FV-AQUISIÇAO DE BUCHAS CONDENSIVAS.</t>
  </si>
  <si>
    <t>MARABA|0001994/2016-Substituição das buchas de 500 kv do Autotransformador MBAT7-01 FV-AQUISIÇAO DE BUCHAS CONDENSIVAS.</t>
  </si>
  <si>
    <t>MARABA|0001995/2016-Substituição das buchas de 500  kv do Autotransformador MBAT7-01 FFR-AQUISIÇAO DE BUCHAS CONDENSIVAS.</t>
  </si>
  <si>
    <t>MARABA|0003535/2018-SUBSTITUIÇÃO DAS BUCHAS DE 230 KV-AQUISIÇAO DE BUCHAS CONDENSIVAS.</t>
  </si>
  <si>
    <t>MARABA|0004161/2019-SUBSTITUIÇÃO DAS BUCHAS DE 13.8 KV-AQUISIÇAO DE BUCHAS CONDENSIVAS.</t>
  </si>
  <si>
    <t>MARABA|0006538/2020-Substituição de buchas 230kV - MBTF6-03  -AQUISIÇAO DE BUCHAS CONDENSIVAS.</t>
  </si>
  <si>
    <t>P.DUTRA|0000769/2018-SUBSTITUIÇÃO DE UMA BUCHA CONDENSIVA DE 500KV EM UM AUTOTRANSFORMADOR MONOFÁSICO, FABRICAÇÃO BBC, CÓDIGO OPERACIONAL PDAT7-01 FASE A.-AQUISIÇAO DE BUCHAS CONDENSIVAS.</t>
  </si>
  <si>
    <t>P.DUTRA|0000771/2018-SUBSTITUIÇÃO DE UMA BUCHA CONDENSIVA DE 500KV EM UM AUTOTRANSFORMADOR MONOFÁSICO, FABRICAÇÃO BBC, CÓDIGO OPERACIONAL PDAT7-01 FASE B.-AQUISIÇAO DE BUCHAS CONDENSIVAS.</t>
  </si>
  <si>
    <t>P.DUTRA|0000774/2018-SUBSTITUIÇÃO DE UMA BUCHA CONDENSIVA DE 500KV EM UM AUTOTRANSFORMADOR MONOFÁSICO, FABRICAÇÃO BBC, CÓDIGO OPERACIONAL PDAT7-01 FASE V.-AQUISIÇAO DE BUCHAS CONDENSIVAS.</t>
  </si>
  <si>
    <t>P.DUTRA|0006458/2020-SUBSTITUIÇÃO DE UMA BUCHA CONDENSIVA DE 69KV EM UM TRANSFORMADOR TRIFÁSICO, CÓDIGO OPERACIONAL PDTF6-01 - FASE V.-AQUISIÇAO DE BUCHAS CONDENSIVAS.</t>
  </si>
  <si>
    <t>P.DUTRA|0006462/2020-SUBSTITUIÇÃO DE UMA BUCHA CONDENSIVA DE 69KV EM UM TRANSFORMADOR TRIFÁSICO, CÓDIGO OPERACIONAL PDTF6-01 - FASE B.-AQUISIÇAO DE BUCHAS CONDENSIVAS.</t>
  </si>
  <si>
    <t>P.DUTRA|0006467/2020-SUBSTITUIÇÃO DE UMA BUCHA CONDENSIVA DE 69KV EM UM TRANSFORMADOR TRIFÁSICO, CÓDIGO OPERACIONAL PDTF6-01 - FASE A.-AQUISIÇAO DE BUCHAS CONDENSIVAS.</t>
  </si>
  <si>
    <t>P.DUTRA|0006494/2020-SUBSTITUIÇÃO DE UMA BUCHA CONDENSIVA DE 230KV EM UM TRANSFORMADOR MONOFÁSICO,  CÓDIGO OPERACIONAL PDTF6-03 FASE RESERVA.-AQUISIÇAO DE BUCHAS CONDENSIVAS.</t>
  </si>
  <si>
    <t>P.DUTRA|0006496/2020-SUBSTITUIÇÃO DE UMA BUCHA CONDENSIVA DE 230KV EM UM TRANSFORMADOR MONOFÁSICO,  CÓDIGO OPERACIONAL PDTF6-03 FASE V.-AQUISIÇAO DE BUCHAS CONDENSIVAS.</t>
  </si>
  <si>
    <t>P.DUTRA|0006500/2020-SUBSTITUIÇÃO DE UMA BUCHA CONDENSIVA DE 230KV EM UM TRANSFORMADOR MONOFÁSICO,  CÓDIGO OPERACIONAL PDTF6-03 FASE B.-AQUISIÇAO DE BUCHAS CONDENSIVAS.</t>
  </si>
  <si>
    <t>P.DUTRA|0006508/2020-SUBSTITUIÇÃO DE UMA BUCHA CONDENSIVA DE 230KV EM UM TRANSFORMADOR MONOFÁSICO,  CÓDIGO OPERACIONAL PDTF6-03 FASE A.-AQUISIÇAO DE BUCHAS CONDENSIVAS.</t>
  </si>
  <si>
    <t>VILA DO CONDE|0001931/2016-REVITALIZAÇÃO NECESSÁRIA: Substituição das buchas de 230 kv do Autotransformador VCAT7-01 FR-AQUISIÇAO DE BUCHAS CONDENSIVAS.</t>
  </si>
  <si>
    <t>VILA DO CONDE|0001932/2016-REVITALIZAÇÃO NECESSÁRIA: Substituição das buchas de 230 kv do Autotransformador VCAT7-01 FB-AQUISIÇAO DE BUCHAS CONDENSIVAS.</t>
  </si>
  <si>
    <t>VILA DO CONDE|0001933/2016-REVITALIZAÇÃO NECESSÁRIA: Substituição das buchas de 230 kv do Autotransformador VCAT7-01 FV-AQUISIÇAO DE BUCHAS CONDENSIVAS.</t>
  </si>
  <si>
    <t>VILA DO CONDE|0002045/2016-REVITALIZAÇÃO NECESSÁRIA: Substituição das buchas de  230 kv do Autotransformador VCAT7-02 FA-AQUISIÇAO DE BUCHAS CONDENSIVAS.</t>
  </si>
  <si>
    <t>VILA DO CONDE|0002046/2016-REVITALIZAÇÃO NECESSÁRIA: Substituição das buchas de  230 kv do Autotransformador VCAT7-02 FA-AQUISIÇAO DE BUCHAS CONDENSIVAS.</t>
  </si>
  <si>
    <t>VILA DO CONDE|0002047/2016-REVITALIZAÇÃO NECESSÁRIA: Substituição das buchas de 230 kv do Autotransformador VCAT7-02 FB-AQUISIÇAO DE BUCHAS CONDENSIVAS.</t>
  </si>
  <si>
    <t>VILA DO CONDE|0003533/2018-SUBSTITUIÇÃO DAS BUCHAS DE 230 KV-AQUISIÇAO DE BUCHAS CONDENSIVAS.</t>
  </si>
  <si>
    <t>VILA DO CONDE|0003534/2018-SUBSTITUIÇÃO DAS BUCHAS DE 230 KV-AQUISIÇAO DE BUCHAS CONDENSIVAS.</t>
  </si>
  <si>
    <t>VILA DO CONDE|0004314/2019-SUBSTITUIÇÃO DA BUCHA DE 230 KV DA FASE V do VCAT701-AQUISIÇAO DE BUCHAS CONDENSIVAS.</t>
  </si>
  <si>
    <t>IMPERATRIZ|0003183/2022-SUBSTITUIÇÃO DO DISJUNTOR IZDJ7-02-CONTRATAÇAO DE EMPRESA ESPECIALIZADA PARA AQUISIÇAO DE DISJUNTORES DE 550 KV COM SERVIÇOS DE MONTAGEM E SUPERVISAO DE MONTAGEM E COMISSIONAMENTO.</t>
  </si>
  <si>
    <t>P.DUTRA|0003211/2022-SUBSTITUIÇÃO DO DISJUNTOR PDDJ7-02-CONTRATAÇAO DE EMPRESA ESPECIALIZADA PARA AQUISIÇAO DE DISJUNTORES DE 550 KV COM SERVIÇOS DE MONTAGEM E SUPERVISAO DE MONTAGEM E COMISSIONAMENTO.</t>
  </si>
  <si>
    <t>P.DUTRA|0003218/2022-SUBSTITUIÇÃO DO DISJUNTOR PDDJ7-03-CONTRATAÇAO DE EMPRESA ESPECIALIZADA PARA AQUISIÇAO DE DISJUNTORES DE 550 KV COM SERVIÇOS DE MONTAGEM E SUPERVISAO DE MONTAGEM E COMISSIONAMENTO.</t>
  </si>
  <si>
    <t>P.DUTRA|0003236/2022-SUBSTITUIÇÃO DO DISJUNTOR PDDJ7-04-CONTRATAÇAO DE EMPRESA ESPECIALIZADA PARA AQUISIÇAO DE DISJUNTORES DE 550 KV COM SERVIÇOS DE MONTAGEM E SUPERVISAO DE MONTAGEM E COMISSIONAMENTO.</t>
  </si>
  <si>
    <t>P.DUTRA|0003242/2022-SUBSTITUIÇÃO DO DISJUNTOR PDDJ7-01-CONTRATAÇAO DE EMPRESA ESPECIALIZADA PARA AQUISIÇAO DE DISJUNTORES DE 550 KV COM SERVIÇOS DE MONTAGEM E SUPERVISAO DE MONTAGEM E COMISSIONAMENTO.</t>
  </si>
  <si>
    <t>P.DUTRA|0004728/2022-Substituição do Disjuntor PDDJ7-12 por outro semelhante-CONTRATAÇAO DE EMPRESA ESPECIALIZADA PARA AQUISIÇAO DE DISJUNTORES DE 550 KV COM SERVIÇOS DE MONTAGEM E SUPERVISAO DE MONTAGEM E COMISSIONAMENTO.</t>
  </si>
  <si>
    <t>P.DUTRA|0006730/2020-SUBSTITUIÇÃO DO DISJUNTOR PDDJ7-13-CONTRATAÇAO DE EMPRESA ESPECIALIZADA PARA AQUISIÇAO DE DISJUNTORES DE 550 KV COM SERVIÇOS DE MONTAGEM E SUPERVISAO DE MONTAGEM E COMISSIONAMENTO.</t>
  </si>
  <si>
    <t>SAO LUIS II|0004567/2019-SUBSTITUIÇÃO COMPLETA (PÓLOS, ARMÁRIO DE COMANDO E SPCS) DO DISJUNTOR LDDJ7-09-CONTRATAÇAO DE EMPRESA ESPECIALIZADA PARA AQUISIÇAO DE DISJUNTORES DE 550 KV COM SERVIÇOS DE MONTAGEM E SUPERVISAO DE MONTAGEM E COMISSIONAMENTO.</t>
  </si>
  <si>
    <t>SAO LUIS II|0004569/2019-SUBSTITUIÇÃO COMPLETA (PÓLOS, ARMÁRIO DE COMANDO E SPCS) DO DISJUNTOR LDDJ7-10-CONTRATAÇAO DE EMPRESA ESPECIALIZADA PARA AQUISIÇAO DE DISJUNTORES DE 550 KV COM SERVIÇOS DE MONTAGEM E SUPERVISAO DE MONTAGEM E COMISSIONAMENTO.</t>
  </si>
  <si>
    <t>COELHO NETO|0000944/2018-REVITALIZAÇÃO DE UM TRANSFORMADOR TRIFÁSICO, CÓDIGO OPERACIONAL CHTF6-01, CONTEMPLANDO: PINTURA COMPLETA, SUBSTITUIÇÃO DE TODAS AS VEDAÇÕES, SUBSTITUIÇÃO DA MEMBRANA DO SISTEMA DE SELAGEM, SUBSTITUIÇÃO DE UM RELÉ DE GÁS, SUBSTITUIÇÃO DE UM INDICADOR DE NÍVEL DE ÓLEO ISOLANTE, SUBSTITUIÇÃO DE UMA VÁLVULA DE ALÍVIIO DE PRESSÃO, SUBSTITUIÇÃO DAS VÁLVULAS ISOLADORAS DOS RADIADORES, SUBSTITUIÇÃO DO PAINEL DE COMANDO DA VENTILAÇÃO FORÇADA.-PRESTAÇAO DE SERVIÇO DE REVITALIZAÇAO DO TRANSFORMADOR LDAT7-01 FASE R E FORNECIMENTO DE MATERIAIS, LOCALIZADO NA SE PORTO FRANCO, SE COELHO NETO E SE MIRANDA II - MARANHAO, VINCULADA A SUPERINTENDENCIA DE GESTAO DE ATIVOS DE PRODUÇAO DA TRANSMISSAO LESTE   OTL.</t>
  </si>
  <si>
    <t>MIRANDA II|FALTA PMI DO MRAT6-01 (Não encontrado)--PRESTAÇAO DE SERVIÇO DE REVITALIZAÇAO DO TRANSFORMADOR LDAT7-01 FASE R E FORNECIMENTO DE MATERIAIS, LOCALIZADO NA SE PORTO FRANCO, SE COELHO NETO E SE MIRANDA II - MARANHAO, VINCULADA A SUPERINTENDENCIA DE GESTAO DE ATIVOS DE PRODUÇAO DA TRANSMISSAO LESTE   OTL.</t>
  </si>
  <si>
    <t>COLINAS|0003454/2019-Restauração de reator de derivação, fase A, que compõe o banco CORE7-02-REVITALIZAÇAO DE 20 (VINTE) REATORES E TRANSFORMADORES DE POTENCIA LOCALIZADOS EM DIVERSAS SUBESTAÇOES VINCULADAS A SUPERINTENDENCIA DE GESTAO DE ATIVOS DE PRODUÇAO DA TRANSMISSAO LESTE   OTL.</t>
  </si>
  <si>
    <t>COLINAS|0003476/2019-Restauração de 01 (um) reator reserva quente comum aos bancos CORE7-01 e CORE7-02-REVITALIZAÇAO DE 20 (VINTE) REATORES E TRANSFORMADORES DE POTENCIA LOCALIZADOS EM DIVERSAS SUBESTAÇOES VINCULADAS A SUPERINTENDENCIA DE GESTAO DE ATIVOS DE PRODUÇAO DA TRANSMISSAO LESTE   OTL.</t>
  </si>
  <si>
    <t>COLINAS|0003480/2019-"Restauração de 01 (um) reator reserva quente comum aos bancos CORE7-01 e CORE7-02
"-REVITALIZAÇAO DE 20 (VINTE) REATORES E TRANSFORMADORES DE POTENCIA LOCALIZADOS EM DIVERSAS SUBESTAÇOES VINCULADAS A SUPERINTENDENCIA DE GESTAO DE ATIVOS DE PRODUÇAO DA TRANSMISSAO LESTE   OTL.</t>
  </si>
  <si>
    <t>RONDONOPOLIS|0002649/2019-Substituição de Registrador Digital de Perturbações - RDP-Aquisição de registradores digitais de perturbação – RDP, com ondas viajantes, sendo acompanhados de unidades de aquisição remotas de variáveis analógicas e digitais, sincronizador de tempo GPS e antena GPS, miscelâneas para instalação destes equipamentos nas linhas de transmissão e subestações dos Sistema de Transmissão Mato Grosso, Acre/Rondônia, Pará, incluindo os serviços de desmontagem dos equipamentos modelo RPV 310, montagem dos equipamentos novos adquiridos pelo presente termo, com fornecimento de material para execução do serviço, comissionamento e treinamento especifico para localização de faltas para as equipes de SPCS.</t>
  </si>
  <si>
    <t>SE JAURU|0000330/2019-Substituição de Registrador Digital de Perturbações - RDP do equipamento TR 230 / 138 kV JAURU 1 MT.-Aquisição de registradores digitais de perturbação – RDP, com ondas viajantes, sendo acompanhados de unidades de aquisição remotas de variáveis analógicas e digitais, sincronizador de tempo GPS e antena GPS, miscelâneas para instalação destes equipamentos nas linhas de transmissão e subestações dos Sistema de Transmissão Mato Grosso, Acre/Rondônia, Pará, incluindo os serviços de desmontagem dos equipamentos modelo RPV 310, montagem dos equipamentos novos adquiridos pelo presente termo, com fornecimento de material para execução do serviço, comissionamento e treinamento especifico para localização de faltas para as equipes de SPCS.</t>
  </si>
  <si>
    <t>SE JAURU|0000330/2019-Substituição de Registrador Digital de Perturbações - RDP do equipamento TR 230 / 138 kV JAURU 1 MT.-Substituição de Registrador Digital de Perturbações - RDP do autotransformador JUAT6-01, Subestação Jauru, Sistema de Transmissão Mato Grosso</t>
  </si>
  <si>
    <t>RONDONOPOLIS|0002649/2019-Substituição de Registrador Digital de Perturbações - RDP-Substituição de Registrador Digital de Perturbações - RDP  do reator RPRE6-03, Subestação Rondonópolis, Sistema de Transmissão Mato Grosso</t>
  </si>
  <si>
    <t>COXIPO|0006575/2021-REVITALIZAÇÃO DO DISJUNTOR CXDJ6-14. CORRIGIR FALHAS NO ACIONAMENTO DOS DISJUNTORES, COM A SUBSTITUIÇÃO DE PEÇAS (GATILHOS, AMORTECEDORES, MICROSWITCH, PROTEÇÕES DAS MOLAS DE ABERTURA E FECHAMENTO, DENTRE OUTROS) E REALIZAÇÃO DOS TESTES NECESSÁRIOS PARA COMPATIBILIZAÇÃO DOS POLOS AOS COMANDOS.-Revitalização dos disjuntores CXDJ6-14, RPDJ6-03 e JUDJ6-19, das funções de transmissão CXAT6-04, RPCXLT6-01 E JUVNLT6-03, respecitvamente, para corrigir falhas no acionamento dos disjuntores com a substituição de peças ( gatilhos, amortecedores, microswitch, proteções de molas de abertura e fechamento dentre outros)  e realização dos testes necessarios para compatibilização dos polos aos comandos</t>
  </si>
  <si>
    <t>JAURU|0006574/2021-REVITALIZAÇÃO DOS COMANDOS DO DISJUNTOR JUDJ6-19. CORRIGIR FALHAS NO ACIONAMENTO DOS DISJUNTORES, COM A SUBSTITUIÇÃO DE PEÇAS (GATILHOS, AMORTECEDORES, MICROSWITCH, PROTEÇÕES DAS MOLAS DE ABERTURA E FECHAMENTO, DENTRE OUTROS) E REALIZAÇÃO DOS TESTES NECESSÁRIOS PARA COMPATIBILIZAÇÃO DOS POLOS AOS COMANDOS.-Revitalização dos disjuntores CXDJ6-14, RPDJ6-03 e JUDJ6-19, das funções de transmissão CXAT6-04, RPCXLT6-01 E JUVNLT6-03, respecitvamente, para corrigir falhas no acionamento dos disjuntores com a substituição de peças ( gatilhos, amortecedores, microswitch, proteções de molas de abertura e fechamento dentre outros)  e realização dos testes necessarios para compatibilização dos polos aos comandos</t>
  </si>
  <si>
    <t>RONDONOPOLIS|0006576/2021-REVITALIZAÇÃO DO DISJUNTOR RPDJ6-03. CORRIGIR FALHAS NO ACIONAMENTO DOS DISJUNTORES, COM A SUBSTITUIÇÃO DE PEÇAS (GATILHOS, AMORTECEDORES, MICROSWITCH, PROTEÇÕES DAS MOLAS DE ABERTURA E FECHAMENTO, DENTRE OUTROS) E REALIZAÇÃO DOS TESTES NECESSÁRIOS PARA COMPATIBILIZAÇÃO DOS POLOS AOS COMANDOS.-Revitalização dos disjuntores CXDJ6-14, RPDJ6-03 e JUDJ6-19, das funções de transmissão CXAT6-04, RPCXLT6-01 E JUVNLT6-03, respecitvamente, para corrigir falhas no acionamento dos disjuntores com a substituição de peças ( gatilhos, amortecedores, microswitch, proteções de molas de abertura e fechamento dentre outros)  e realização dos testes necessarios para compatibilização dos polos aos comandos</t>
  </si>
  <si>
    <t xml:space="preserve">SINOP|Sobressalente à cadastrar PMI--Aquisição de 01 Transformador de Corrente – TC, tensão nominal de 245 KV, para ser instalado na função de transmissão do Compensadores Estático SPCE2-01, Subestação Sinop, Sistema de Transmissão Mato Grosso  </t>
  </si>
  <si>
    <t>UTINGA|0008596/2019-SUBSTITUIÇÃO DO RETIFICAR 125 VCC DA CR 203-Aquisição de 02 Retificadores Utinga CR 204</t>
  </si>
  <si>
    <t>RUROPOLIS|0007956/2021-Substituição do Banco de Baterias 125 VCC - ESA01-BAT_125 - MB &amp; RU</t>
  </si>
  <si>
    <t>MARABA|0007988/2021-Substituição do Banco de Baterias 125 VCC, 600Ah/10h - MBCS2 01-BAT_125 - MB &amp; RU</t>
  </si>
  <si>
    <t>MARABA; RUROPOLIS|Sobressalente à cadastrar PMI--BAT_125 - MB &amp; RU</t>
  </si>
  <si>
    <t>RUROPOLIS|0008433/2019-SUBSTITUIÇÃO DO GERADOR DE EMERGÊNCIA  No.1  (380VCA  200 KVA)-GDG RU&amp;TM&amp;TC</t>
  </si>
  <si>
    <t>TRANSAMAZONIC|0007935/2021-Substituição do Grupo Gerador de Emergência 380VCA, 150 kVA-GDG RU&amp;TM&amp;TC</t>
  </si>
  <si>
    <t>TUCURUI|0008534/2019-SUBSTITUIÇÃO DO GERADOR DE EMERGÊNCIA  No.2  (440VCA  300 KVA)-GDG RU&amp;TM&amp;TC</t>
  </si>
  <si>
    <t>MARABA|0007490/2021-Substituição do Transformador de Corrente 500kV do MBDJ7-09 Fase V - Vão CZ-TCs 500kV</t>
  </si>
  <si>
    <t>MARABA|0007495/2021-Substituição do Transformador de Corrente 500kV do MBDJ7-09 Fase B - Vão BZ-TCs 500kV</t>
  </si>
  <si>
    <t>MARABA|0007502/2021-Substituição do Transformador de Corrente 500kV do MBDJ7-08 Fase V - Vão BY1-TCs 500kV</t>
  </si>
  <si>
    <t>MARABA|0007512/2021-Substituição do Transformador de Corrente 500kV do MBDJ7-08 Fase B - Vão BY1-TCs 500kV</t>
  </si>
  <si>
    <t>MARABA|0007525/2021-Substituição do Transformador de Corrente 500kV do MBDJ7-08 Fase A - Vão BY1-TCs 500kV</t>
  </si>
  <si>
    <t>MARABA|0007558/2021-Substituição do Transformador de Corrente 500kV do MBDJ7-05 Fase V - Vão CY1-TCs 500kV</t>
  </si>
  <si>
    <t>MARABA|0007583/2021-Substituição do Transformador de Corrente 500kV do MBDJ7-05 Fase B - Vão CY1-TCs 500kV</t>
  </si>
  <si>
    <t>MARABA|0007600/2021-Substituição do Transformador de Corrente 500kV do MBDJ7-05 Fase A - Vão CY1-TCs 500kV</t>
  </si>
  <si>
    <t>MARABA|0007713/2021-Substituição do Transformador de Corrente 500kV do MBDJ7-02 fase V - Vão DY2-TCs 500kV</t>
  </si>
  <si>
    <t>MARABA|0007717/2021-Substituição do Transformador de Corrente 500kV do MBDJ7-02 fase B - Vão DY2-TCs 500kV</t>
  </si>
  <si>
    <t>MARABA|0007743/2021-Substituição do Transformador de Corrente 500kV do MBDJ7-02 fase A - Vão DY2-TCs 500kV</t>
  </si>
  <si>
    <t>MARABA|0007755/2021-Substituição do Transformador de Corrente 500kV do MBDJ7-01 fase V - Vão DX-TCs 500kV</t>
  </si>
  <si>
    <t>MARABA|0007757/2021-Substituição do Transformador de Corrente 500kV do MBDJ7-01 Fase B - Vão DX-TCs 500kV</t>
  </si>
  <si>
    <t>MARABA|0007760/2021-Substituição do Transformador de Corrente 500kV do MBDJ7-01 Fase A - Vão DX-TCs 500kV</t>
  </si>
  <si>
    <t>MARABA|0007793/2021-Substituição do Transformador de Corrente 500kV do MBDJ7-06 Fase V - Vão CZ-TCs 500kV</t>
  </si>
  <si>
    <t>MARABA|0007794/2021-Substituição do Transformador de Corrente 500kV do MBDJ7-06 Fase B - Vão CZ-TCs 500kV</t>
  </si>
  <si>
    <t>MARABA|0007795/2021-Substituição do Transformador de Corrente 500kV do MBDJ7-06 Fase A - Vão CZ-TCs 500kV</t>
  </si>
  <si>
    <t>MARABA|0007796/2021-Substituição do Transformador de Corrente 500kV do MBDJ7-09 Fase A - Vão BZ-TCs 500kV</t>
  </si>
  <si>
    <t>TUCURUI|0008007/2021-Substituição do Transformador de Corrente 500kV do TCDJ7-02 fase V - Vão FY2-TCs 500kV</t>
  </si>
  <si>
    <t>TUCURUI|0008011/2021-Substituição do Transformador de Corrente 500kV do TCDJ7-02 Fase B - Vão FY2-TCs 500kV</t>
  </si>
  <si>
    <t>TUCURUI|0008019/2021-Substituição do Transformador de Corrente 500kV do TCDJ7-02 fase A - Vão FY2-TCs 500kV</t>
  </si>
  <si>
    <t>TUCURUI|0008103/2021-Substituição do Transformador de Corrente 500kV do TCDJ7-02 Fase V - Vão FY1-TCs 500kV</t>
  </si>
  <si>
    <t>TUCURUI|0008106/2021-Substituição do Transformador de Corrente 500kV do TCDJ7-02 fase B - Vão FY1-TCs 500kV</t>
  </si>
  <si>
    <t>TUCURUI|0008115/2021-Substituição do Transformador de Corrente 500kV do TCDJ7-02 fase A - Vão FY1-TCs 500kV</t>
  </si>
  <si>
    <t>TUCURUI|0008127/2021-Substituição do Transformador de Corrente 500kV do TCDJ7-06 Fase V - Vão EZ-TCs 500kV</t>
  </si>
  <si>
    <t>TUCURUI|0008131/2021-Substituição do Transformador de Corrente 500kV do TCDJ7-06 Fase B - Vão EZ-TCs 500kV</t>
  </si>
  <si>
    <t>TUCURUI|0008158/2021-Substituição do Transformador de Corrente 500kV do TCDJ7-06 Fase A - Vão EZ-TCs 500kV</t>
  </si>
  <si>
    <t>TUCURUI|0008163/2021-Substituição do Transformador de Corrente 500kV do TCDJ7-11 Fase V - Vão CY1-TCs 500kV</t>
  </si>
  <si>
    <t>TUCURUI|0008171/2021-Substituição do Transformador de Corrente 500kV do TCDJ7-11 Fase B - Vão CY1-TCs 500kV</t>
  </si>
  <si>
    <t>TUCURUI|0008174/2021-Substituição do Transformador de Corrente 500kV do TCDJ7-11 Fase A - Vão CY1-TCs 500kV</t>
  </si>
  <si>
    <t>TUCURUI|0008180/2021-Substituição do Transformador de Corrente 500kV do TCDJ7-10 Fase V - Vão CX-TCs 500kV</t>
  </si>
  <si>
    <t>TUCURUI|0008190/2021-Substituição do Transformador de Corrente 500kV do TCDJ7-10 Fase B - Vão CX-TCs 500kV</t>
  </si>
  <si>
    <t>TUCURUI|0008193/2021-Substituição do Transformador de Corrente 500kV do TCDJ7-10 Fase A - Vão CX-TCs 500kV</t>
  </si>
  <si>
    <t>TUCURUI|0008197/2021-Substituição do Transformador de Corrente 500kV do TCDJ7-05 Fase V - Vão EY2-TCs 500kV</t>
  </si>
  <si>
    <t>TUCURUI|0008206/2021-Substituição do Transformador de Corrente 500kV do TCDJ7-05 Fase B - Vão EY2-TCs 500kV</t>
  </si>
  <si>
    <t>TUCURUI|0008210/2021-Substituição do Transformador de Corrente 500kV do TCDJ7-05 Fase A - Vão EY2-TCs 500kV</t>
  </si>
  <si>
    <t>TUCURUI|0008215/2021-Substituição do Transformador de Corrente 500kV do TCDJ7-05 Fase V - Vão EY1-TCs 500kV</t>
  </si>
  <si>
    <t>TUCURUI|0008218/2021-Substituição do Transformador de Corrente 500kV do TCDJ7-05 Fase B - Vão EY1-TCs 500kV</t>
  </si>
  <si>
    <t>TUCURUI|0008222/2021-Substituição do Transformador de Corrente 500kV do TCDJ7-05 Fase A - Vão EY1-TCs 500kV</t>
  </si>
  <si>
    <t>TUCURUI|0008232/2021-Substituição do Transformador de Corrente 500kV do TCDJ7-04 Fase V - Vão EX-TCs 500kV</t>
  </si>
  <si>
    <t>TUCURUI|0008234/2021-Substituição do Transformador de Corrente 500kV do TCDJ7-04 Fase B - Vão EX-TCs 500kV</t>
  </si>
  <si>
    <t>TUCURUI|0008237/2021-Substituição do Transformador de Corrente 500kV do TCDJ7-04 Fase A - Vão EX-TCs 500kV</t>
  </si>
  <si>
    <t>TUCURUI|0008241/2021-Substituição do Transformador de Corrente 500kV do TCDJ7-03 Fase V - Vão FZ-TCs 500kV</t>
  </si>
  <si>
    <t>TUCURUI|0008242/2021-Substituição do Transformador de Corrente 500kV do TCDJ7-03 Fase B - Vão FZ-TCs 500kV</t>
  </si>
  <si>
    <t>TUCURUI|0008245/2021-Substituição do Transformador de Corrente 500kV do TCDJ7-03 Fase A - Vão FZ-TCs 500kV</t>
  </si>
  <si>
    <t>TUCURUI|0008250/2021-Substituição do Transformador de Corrente 500kV do TCDJ7-01 Fase V - Vão FX-TCs 500kV</t>
  </si>
  <si>
    <t>TUCURUI|0008255/2021-Substituição do Transformador de Corrente 500kV do TCDJ7-01 Fase B - Vão FX-TCs 500kV</t>
  </si>
  <si>
    <t>TUCURUI|0008269/2021-Substituição do Transformador de Corrente 500kV do TCDJ7-11 Fase V - Vão CY2-TCs 500kV</t>
  </si>
  <si>
    <t>TUCURUI|0008278/2021-Substituição do Transformador de Corrente 500kV do TCDJ7-12 Fase V - Vão CZ-TCs 500kV</t>
  </si>
  <si>
    <t>TUCURUI|0008284/2021-Substituição do Transformador de Corrente 500kV do TCDJ7-07 Fase B - Vão DX-TCs 500kV</t>
  </si>
  <si>
    <t>TUCURUI|0008290/2021-Substituição do Transformador de Corrente 500kV do TCDJ7-07 Fase A - Vão DX-TCs 500kV</t>
  </si>
  <si>
    <t>TUCURUI|0008332/2021-Substituição do Transformador de Corrente 500kV do TCDJ7-01 Fase A - Vão FX-TCs 500kV</t>
  </si>
  <si>
    <t>TUCURUI|0008342/2021-Substituição do Transformador de Corrente 500kV do TCDJ7-12 Fase B - Vão CZ-TCs 500kV</t>
  </si>
  <si>
    <t>TUCURUI|0008349/2021-Substituição do Transformador de Corrente 500kV do TCDJ7-11 Fase A - Vão CY2-TCs 500kV</t>
  </si>
  <si>
    <t>TUCURUI|0008357/2021-Substituição do Transformador de Corrente 500kV do TCDJ7-12 Fase A - Vão CZ-TCs 500kV</t>
  </si>
  <si>
    <t>TUCURUI|0008361/2021-Substituição do Transformador de Corrente 500kV do TCDJ7-11 Fase B - Vão CY2-TCs 500kV</t>
  </si>
  <si>
    <t>TUCURUI|0009493/2021-Substituição do Transformador de Corrente 500kV do TCDJ7-08 Fase B - Vão DY2-TCs 500kV</t>
  </si>
  <si>
    <t>TUCURUI|0009497/2021-Substituição do Transformador de Corrente 500kV do TCDJ7-08 Fase V - Vão DY2-TCs 500kV</t>
  </si>
  <si>
    <t>TUCURUI|0009858/2021-Substituição do Transformador de Corrente 500kV do TCDJ7-07 Fase V - Vão DX-TCs 500kV</t>
  </si>
  <si>
    <t>TUCURUI|0009875/2021-Substituição do Transformador de Corrente 500kV do TCDJ7-08 Fase A - Vão DY2-TCs 500kV</t>
  </si>
  <si>
    <t>VILA DO CONDE|0008526/2021-Substituição do Transformador de Corrente 500kV do VCDJ7-06 Fase V - Vão CZ-TCs 500kV</t>
  </si>
  <si>
    <t>VILA DO CONDE|0008586/2021-Substituição do Transformador de Corrente 500kV do VCDJ7-06 Fase B - Vão CZ-TCs 500kV</t>
  </si>
  <si>
    <t>VILA DO CONDE|0008589/2021-Substituição do Transformador de Corrente 500kV do VCDJ7-06 Fase A - Vão CZ-TCs 500kV</t>
  </si>
  <si>
    <t>VILA DO CONDE|0008604/2021-Substituição do Transformador de Corrente 500kV do VCDJ7-08 Fase V - Vão BY1-TCs 500kV</t>
  </si>
  <si>
    <t>VILA DO CONDE|0008609/2021-Substituição do Transformador de Corrente 500kV do VCDJ7-08 Fase B - Vão BY1-TCs 500kV</t>
  </si>
  <si>
    <t>VILA DO CONDE|0008613/2021-Substituição do Transformador de Corrente 500kV do VCDJ7-08 Fase A - Vão BY1-TCs 500kV</t>
  </si>
  <si>
    <t>VILA DO CONDE|0008618/2021-Substituição do Transformador de Corrente 500kV do VCDJ7-05 Fase V - Vão CY2-TCs 500kV</t>
  </si>
  <si>
    <t>VILA DO CONDE|0008620/2021-Substituição do Transformador de Corrente 500kV do VCDJ7-05 Fase B - Vão CY2-TCs 500kV</t>
  </si>
  <si>
    <t>VILA DO CONDE|0008621/2021-Substituição do Transformador de Corrente 500kV do VCDJ7-05 Fase A - Vão CY2-TCs 500kV</t>
  </si>
  <si>
    <t>VILA DO CONDE|0008622/2021-Substituição do Transformador de Corrente 500kV do VCDJ7-03 Fase A - Vão DZ-TCs 500kV</t>
  </si>
  <si>
    <t>VILA DO CONDE|0008631/2021-Substituição do Transformador de Corrente 
500kV do VCDJ7-05 Fase V - Vão CY1-TCs 500kV</t>
  </si>
  <si>
    <t>VILA DO CONDE|0008634/2021-Substituição do Transformador de Corrente 
500kV do VCDJ7-05 Fase B - Vão CY1-TCs 500kV</t>
  </si>
  <si>
    <t>VILA DO CONDE|0008638/2021-Substituição do Transformador de Corrente 
500kV do VCDJ7-05 Fase A - Vão CY1-TCs 500kV</t>
  </si>
  <si>
    <t>VILA DO CONDE|0008641/2021-Substituição do Transformador de Corrente 
500kV do VCDJ7-03 Fase V - Vão DZ-TCs 500kV</t>
  </si>
  <si>
    <t>VILA DO CONDE|0008645/2021-Substituição do Transformador de Corrente 
500kV do VCDJ7-03 Fase B - Vão DZ-TCs 500kV</t>
  </si>
  <si>
    <t>VILA DO CONDE|0008653/2021-Substituição do Transformador de Corrente 500kV do VCDJ7-02 Fase V - Vão DY2-TCs 500kV</t>
  </si>
  <si>
    <t>VILA DO CONDE|0008678/2021-Substituição do Transformador de Corrente 500kV do VCDJ7-02 Fase B - Vão DY2-TCs 500kV</t>
  </si>
  <si>
    <t>VILA DO CONDE|0008803/2021-Substituição do Transformador de Corrente 500kV do VCDJ7-02 Fase A - Vão DY2-TCs 500kV</t>
  </si>
  <si>
    <t>VILA DO CONDE|0008824/2021-Substituição do Transformador de Corrente 500kV do VCDJ7-02 Fase V - Vão DY1-TCs 500kV</t>
  </si>
  <si>
    <t>VILA DO CONDE|0008839/2021-Substituição do Transformador de Corrente 500kV do VCDJ7-02 Fase B - Vão DY1-TCs 500kV</t>
  </si>
  <si>
    <t>VILA DO CONDE|0008852/2021-Substituição do Transformador de Corrente 500kV do VCDJ7-02 Fase A - Vão DY1-TCs 500kV</t>
  </si>
  <si>
    <t>VILA DO CONDE|0008970/2021-Substituição do Transformador de Corrente 500kV do VCDJ7-01 Fase V - Vão DX-TCs 500kV</t>
  </si>
  <si>
    <t>VILA DO CONDE|0008984/2021-Substituição do Transformador de Corrente 500kV do VCDJ7-01 Fase B - Vão DX-TCs 500kV</t>
  </si>
  <si>
    <t>VILA DO CONDE|0009002/2021-Substituição do Transformador de Corrente 500kV do VCDJ7-01 Fase A - Vão DX-TCs 500kV</t>
  </si>
  <si>
    <t>VILA DO CONDE|0009531/2021-Substituição do Transformador de Corrente 500kV do VCDJ7-09 Fase A - Vão BZ-TCs 500kV</t>
  </si>
  <si>
    <t>VILA DO CONDE|0009536/2021-Substituição do Transformador de Corrente 500kV do VCDJ7-09 Fase B - Vão BZ-TCs 500kV</t>
  </si>
  <si>
    <t>VILA DO CONDE|0009541/2021-Substituição do Transformador de Corrente 500kV do VCDJ7-09 Fase  V - Vão BZ-TCs 500kV</t>
  </si>
  <si>
    <t>MARABA|0007490/2021-Substituição do Transformador de Corrente 500kV do MBDJ7-09 Fase V - Vão CZ-Aquisição de 285 conectores de expansão barra chata - tubo 4 polegadas IPS para utilização na instalação dos Transformadores de Corrente de 500 kV das Subestações de Tucuruí, Marabá e Vila do Conde</t>
  </si>
  <si>
    <t>MARABA|0007495/2021-Substituição do Transformador de Corrente 500kV do MBDJ7-09 Fase B - Vão BZ-Aquisição de 285 conectores de expansão barra chata - tubo 4 polegadas IPS para utilização na instalação dos Transformadores de Corrente de 500 kV das Subestações de Tucuruí, Marabá e Vila do Conde</t>
  </si>
  <si>
    <t>MARABA|0007502/2021-Substituição do Transformador de Corrente 500kV do MBDJ7-08 Fase V - Vão BY1-Aquisição de 285 conectores de expansão barra chata - tubo 4 polegadas IPS para utilização na instalação dos Transformadores de Corrente de 500 kV das Subestações de Tucuruí, Marabá e Vila do Conde</t>
  </si>
  <si>
    <t>MARABA|0007512/2021-Substituição do Transformador de Corrente 500kV do MBDJ7-08 Fase B - Vão BY1-Aquisição de 285 conectores de expansão barra chata - tubo 4 polegadas IPS para utilização na instalação dos Transformadores de Corrente de 500 kV das Subestações de Tucuruí, Marabá e Vila do Conde</t>
  </si>
  <si>
    <t>MARABA|0007525/2021-Substituição do Transformador de Corrente 500kV do MBDJ7-08 Fase A - Vão BY1-Aquisição de 285 conectores de expansão barra chata - tubo 4 polegadas IPS para utilização na instalação dos Transformadores de Corrente de 500 kV das Subestações de Tucuruí, Marabá e Vila do Conde</t>
  </si>
  <si>
    <t>MARABA|0007558/2021-Substituição do Transformador de Corrente 500kV do MBDJ7-05 Fase V - Vão CY1-Aquisição de 285 conectores de expansão barra chata - tubo 4 polegadas IPS para utilização na instalação dos Transformadores de Corrente de 500 kV das Subestações de Tucuruí, Marabá e Vila do Conde</t>
  </si>
  <si>
    <t>MARABA|0007583/2021-Substituição do Transformador de Corrente 500kV do MBDJ7-05 Fase B - Vão CY1-Aquisição de 285 conectores de expansão barra chata - tubo 4 polegadas IPS para utilização na instalação dos Transformadores de Corrente de 500 kV das Subestações de Tucuruí, Marabá e Vila do Conde</t>
  </si>
  <si>
    <t>MARABA|0007600/2021-Substituição do Transformador de Corrente 500kV do MBDJ7-05 Fase A - Vão CY1-Aquisição de 285 conectores de expansão barra chata - tubo 4 polegadas IPS para utilização na instalação dos Transformadores de Corrente de 500 kV das Subestações de Tucuruí, Marabá e Vila do Conde</t>
  </si>
  <si>
    <t>MARABA|0007713/2021-Substituição do Transformador de Corrente 500kV do MBDJ7-02 fase V - Vão DY2-Aquisição de 285 conectores de expansão barra chata - tubo 4 polegadas IPS para utilização na instalação dos Transformadores de Corrente de 500 kV das Subestações de Tucuruí, Marabá e Vila do Conde</t>
  </si>
  <si>
    <t>MARABA|0007717/2021-Substituição do Transformador de Corrente 500kV do MBDJ7-02 fase B - Vão DY2-Aquisição de 285 conectores de expansão barra chata - tubo 4 polegadas IPS para utilização na instalação dos Transformadores de Corrente de 500 kV das Subestações de Tucuruí, Marabá e Vila do Conde</t>
  </si>
  <si>
    <t>MARABA|0007743/2021-Substituição do Transformador de Corrente 500kV do MBDJ7-02 fase A - Vão DY2-Aquisição de 285 conectores de expansão barra chata - tubo 4 polegadas IPS para utilização na instalação dos Transformadores de Corrente de 500 kV das Subestações de Tucuruí, Marabá e Vila do Conde</t>
  </si>
  <si>
    <t>MARABA|0007755/2021-Substituição do Transformador de Corrente 500kV do MBDJ7-01 fase V - Vão DX-Aquisição de 285 conectores de expansão barra chata - tubo 4 polegadas IPS para utilização na instalação dos Transformadores de Corrente de 500 kV das Subestações de Tucuruí, Marabá e Vila do Conde</t>
  </si>
  <si>
    <t>MARABA|0007757/2021-Substituição do Transformador de Corrente 500kV do MBDJ7-01 Fase B - Vão DX-Aquisição de 285 conectores de expansão barra chata - tubo 4 polegadas IPS para utilização na instalação dos Transformadores de Corrente de 500 kV das Subestações de Tucuruí, Marabá e Vila do Conde</t>
  </si>
  <si>
    <t>MARABA|0007760/2021-Substituição do Transformador de Corrente 500kV do MBDJ7-01 Fase A - Vão DX-Aquisição de 285 conectores de expansão barra chata - tubo 4 polegadas IPS para utilização na instalação dos Transformadores de Corrente de 500 kV das Subestações de Tucuruí, Marabá e Vila do Conde</t>
  </si>
  <si>
    <t>MARABA|0007793/2021-Substituição do Transformador de Corrente 500kV do MBDJ7-06 Fase V - Vão CZ-Aquisição de 285 conectores de expansão barra chata - tubo 4 polegadas IPS para utilização na instalação dos Transformadores de Corrente de 500 kV das Subestações de Tucuruí, Marabá e Vila do Conde</t>
  </si>
  <si>
    <t>MARABA|0007794/2021-Substituição do Transformador de Corrente 500kV do MBDJ7-06 Fase B - Vão CZ-Aquisição de 285 conectores de expansão barra chata - tubo 4 polegadas IPS para utilização na instalação dos Transformadores de Corrente de 500 kV das Subestações de Tucuruí, Marabá e Vila do Conde</t>
  </si>
  <si>
    <t>MARABA|0007795/2021-Substituição do Transformador de Corrente 500kV do MBDJ7-06 Fase A - Vão CZ-Aquisição de 285 conectores de expansão barra chata - tubo 4 polegadas IPS para utilização na instalação dos Transformadores de Corrente de 500 kV das Subestações de Tucuruí, Marabá e Vila do Conde</t>
  </si>
  <si>
    <t>MARABA|0007796/2021-Substituição do Transformador de Corrente 500kV do MBDJ7-09 Fase A - Vão BZ-Aquisição de 285 conectores de expansão barra chata - tubo 4 polegadas IPS para utilização na instalação dos Transformadores de Corrente de 500 kV das Subestações de Tucuruí, Marabá e Vila do Conde</t>
  </si>
  <si>
    <t>TUCURUI|0008007/2021-Substituição do Transformador de Corrente 500kV do TCDJ7-02 fase V - Vão FY2-Aquisição de 285 conectores de expansão barra chata - tubo 4 polegadas IPS para utilização na instalação dos Transformadores de Corrente de 500 kV das Subestações de Tucuruí, Marabá e Vila do Conde</t>
  </si>
  <si>
    <t>TUCURUI|0008011/2021-Substituição do Transformador de Corrente 500kV do TCDJ7-02 Fase B - Vão FY2-Aquisição de 285 conectores de expansão barra chata - tubo 4 polegadas IPS para utilização na instalação dos Transformadores de Corrente de 500 kV das Subestações de Tucuruí, Marabá e Vila do Conde</t>
  </si>
  <si>
    <t>TUCURUI|0008019/2021-Substituição do Transformador de Corrente 500kV do TCDJ7-02 fase A - Vão FY2-Aquisição de 285 conectores de expansão barra chata - tubo 4 polegadas IPS para utilização na instalação dos Transformadores de Corrente de 500 kV das Subestações de Tucuruí, Marabá e Vila do Conde</t>
  </si>
  <si>
    <t>TUCURUI|0008103/2021-Substituição do Transformador de Corrente 500kV do TCDJ7-02 Fase V - Vão FY1-Aquisição de 285 conectores de expansão barra chata - tubo 4 polegadas IPS para utilização na instalação dos Transformadores de Corrente de 500 kV das Subestações de Tucuruí, Marabá e Vila do Conde</t>
  </si>
  <si>
    <t>TUCURUI|0008106/2021-Substituição do Transformador de Corrente 500kV do TCDJ7-02 fase B - Vão FY1-Aquisição de 285 conectores de expansão barra chata - tubo 4 polegadas IPS para utilização na instalação dos Transformadores de Corrente de 500 kV das Subestações de Tucuruí, Marabá e Vila do Conde</t>
  </si>
  <si>
    <t>TUCURUI|0008115/2021-Substituição do Transformador de Corrente 500kV do TCDJ7-02 fase A - Vão FY1-Aquisição de 285 conectores de expansão barra chata - tubo 4 polegadas IPS para utilização na instalação dos Transformadores de Corrente de 500 kV das Subestações de Tucuruí, Marabá e Vila do Conde</t>
  </si>
  <si>
    <t>TUCURUI|0008127/2021-Substituição do Transformador de Corrente 500kV do TCDJ7-06 Fase V - Vão EZ-Aquisição de 285 conectores de expansão barra chata - tubo 4 polegadas IPS para utilização na instalação dos Transformadores de Corrente de 500 kV das Subestações de Tucuruí, Marabá e Vila do Conde</t>
  </si>
  <si>
    <t>TUCURUI|0008131/2021-Substituição do Transformador de Corrente 500kV do TCDJ7-06 Fase B - Vão EZ-Aquisição de 285 conectores de expansão barra chata - tubo 4 polegadas IPS para utilização na instalação dos Transformadores de Corrente de 500 kV das Subestações de Tucuruí, Marabá e Vila do Conde</t>
  </si>
  <si>
    <t>TUCURUI|0008158/2021-Substituição do Transformador de Corrente 500kV do TCDJ7-06 Fase A - Vão EZ-Aquisição de 285 conectores de expansão barra chata - tubo 4 polegadas IPS para utilização na instalação dos Transformadores de Corrente de 500 kV das Subestações de Tucuruí, Marabá e Vila do Conde</t>
  </si>
  <si>
    <t>TUCURUI|0008163/2021-Substituição do Transformador de Corrente 500kV do TCDJ7-11 Fase V - Vão CY1-Aquisição de 285 conectores de expansão barra chata - tubo 4 polegadas IPS para utilização na instalação dos Transformadores de Corrente de 500 kV das Subestações de Tucuruí, Marabá e Vila do Conde</t>
  </si>
  <si>
    <t>TUCURUI|0008171/2021-Substituição do Transformador de Corrente 500kV do TCDJ7-11 Fase B - Vão CY1-Aquisição de 285 conectores de expansão barra chata - tubo 4 polegadas IPS para utilização na instalação dos Transformadores de Corrente de 500 kV das Subestações de Tucuruí, Marabá e Vila do Conde</t>
  </si>
  <si>
    <t>TUCURUI|0008174/2021-Substituição do Transformador de Corrente 500kV do TCDJ7-11 Fase A - Vão CY1-Aquisição de 285 conectores de expansão barra chata - tubo 4 polegadas IPS para utilização na instalação dos Transformadores de Corrente de 500 kV das Subestações de Tucuruí, Marabá e Vila do Conde</t>
  </si>
  <si>
    <t>TUCURUI|0008180/2021-Substituição do Transformador de Corrente 500kV do TCDJ7-10 Fase V - Vão CX-Aquisição de 285 conectores de expansão barra chata - tubo 4 polegadas IPS para utilização na instalação dos Transformadores de Corrente de 500 kV das Subestações de Tucuruí, Marabá e Vila do Conde</t>
  </si>
  <si>
    <t>TUCURUI|0008190/2021-Substituição do Transformador de Corrente 500kV do TCDJ7-10 Fase B - Vão CX-Aquisição de 285 conectores de expansão barra chata - tubo 4 polegadas IPS para utilização na instalação dos Transformadores de Corrente de 500 kV das Subestações de Tucuruí, Marabá e Vila do Conde</t>
  </si>
  <si>
    <t>TUCURUI|0008193/2021-Substituição do Transformador de Corrente 500kV do TCDJ7-10 Fase A - Vão CX-Aquisição de 285 conectores de expansão barra chata - tubo 4 polegadas IPS para utilização na instalação dos Transformadores de Corrente de 500 kV das Subestações de Tucuruí, Marabá e Vila do Conde</t>
  </si>
  <si>
    <t>TUCURUI|0008197/2021-Substituição do Transformador de Corrente 500kV do TCDJ7-05 Fase V - Vão EY2-Aquisição de 285 conectores de expansão barra chata - tubo 4 polegadas IPS para utilização na instalação dos Transformadores de Corrente de 500 kV das Subestações de Tucuruí, Marabá e Vila do Conde</t>
  </si>
  <si>
    <t>TUCURUI|0008206/2021-Substituição do Transformador de Corrente 500kV do TCDJ7-05 Fase B - Vão EY2-Aquisição de 285 conectores de expansão barra chata - tubo 4 polegadas IPS para utilização na instalação dos Transformadores de Corrente de 500 kV das Subestações de Tucuruí, Marabá e Vila do Conde</t>
  </si>
  <si>
    <t>TUCURUI|0008210/2021-Substituição do Transformador de Corrente 500kV do TCDJ7-05 Fase A - Vão EY2-Aquisição de 285 conectores de expansão barra chata - tubo 4 polegadas IPS para utilização na instalação dos Transformadores de Corrente de 500 kV das Subestações de Tucuruí, Marabá e Vila do Conde</t>
  </si>
  <si>
    <t>TUCURUI|0008215/2021-Substituição do Transformador de Corrente 500kV do TCDJ7-05 Fase V - Vão EY1-Aquisição de 285 conectores de expansão barra chata - tubo 4 polegadas IPS para utilização na instalação dos Transformadores de Corrente de 500 kV das Subestações de Tucuruí, Marabá e Vila do Conde</t>
  </si>
  <si>
    <t>TUCURUI|0008218/2021-Substituição do Transformador de Corrente 500kV do TCDJ7-05 Fase B - Vão EY1-Aquisição de 285 conectores de expansão barra chata - tubo 4 polegadas IPS para utilização na instalação dos Transformadores de Corrente de 500 kV das Subestações de Tucuruí, Marabá e Vila do Conde</t>
  </si>
  <si>
    <t>TUCURUI|0008222/2021-Substituição do Transformador de Corrente 500kV do TCDJ7-05 Fase A - Vão EY1-Aquisição de 285 conectores de expansão barra chata - tubo 4 polegadas IPS para utilização na instalação dos Transformadores de Corrente de 500 kV das Subestações de Tucuruí, Marabá e Vila do Conde</t>
  </si>
  <si>
    <t>TUCURUI|0008232/2021-Substituição do Transformador de Corrente 500kV do TCDJ7-04 Fase V - Vão EX-Aquisição de 285 conectores de expansão barra chata - tubo 4 polegadas IPS para utilização na instalação dos Transformadores de Corrente de 500 kV das Subestações de Tucuruí, Marabá e Vila do Conde</t>
  </si>
  <si>
    <t>TUCURUI|0008234/2021-Substituição do Transformador de Corrente 500kV do TCDJ7-04 Fase B - Vão EX-Aquisição de 285 conectores de expansão barra chata - tubo 4 polegadas IPS para utilização na instalação dos Transformadores de Corrente de 500 kV das Subestações de Tucuruí, Marabá e Vila do Conde</t>
  </si>
  <si>
    <t>TUCURUI|0008237/2021-Substituição do Transformador de Corrente 500kV do TCDJ7-04 Fase A - Vão EX-Aquisição de 285 conectores de expansão barra chata - tubo 4 polegadas IPS para utilização na instalação dos Transformadores de Corrente de 500 kV das Subestações de Tucuruí, Marabá e Vila do Conde</t>
  </si>
  <si>
    <t>TUCURUI|0008241/2021-Substituição do Transformador de Corrente 500kV do TCDJ7-03 Fase V - Vão FZ-Aquisição de 285 conectores de expansão barra chata - tubo 4 polegadas IPS para utilização na instalação dos Transformadores de Corrente de 500 kV das Subestações de Tucuruí, Marabá e Vila do Conde</t>
  </si>
  <si>
    <t>TUCURUI|0008242/2021-Substituição do Transformador de Corrente 500kV do TCDJ7-03 Fase B - Vão FZ-Aquisição de 285 conectores de expansão barra chata - tubo 4 polegadas IPS para utilização na instalação dos Transformadores de Corrente de 500 kV das Subestações de Tucuruí, Marabá e Vila do Conde</t>
  </si>
  <si>
    <t>TUCURUI|0008245/2021-Substituição do Transformador de Corrente 500kV do TCDJ7-03 Fase A - Vão FZ-Aquisição de 285 conectores de expansão barra chata - tubo 4 polegadas IPS para utilização na instalação dos Transformadores de Corrente de 500 kV das Subestações de Tucuruí, Marabá e Vila do Conde</t>
  </si>
  <si>
    <t>TUCURUI|0008250/2021-Substituição do Transformador de Corrente 500kV do TCDJ7-01 Fase V - Vão FX-Aquisição de 285 conectores de expansão barra chata - tubo 4 polegadas IPS para utilização na instalação dos Transformadores de Corrente de 500 kV das Subestações de Tucuruí, Marabá e Vila do Conde</t>
  </si>
  <si>
    <t>TUCURUI|0008255/2021-Substituição do Transformador de Corrente 500kV do TCDJ7-01 Fase B - Vão FX-Aquisição de 285 conectores de expansão barra chata - tubo 4 polegadas IPS para utilização na instalação dos Transformadores de Corrente de 500 kV das Subestações de Tucuruí, Marabá e Vila do Conde</t>
  </si>
  <si>
    <t>TUCURUI|0008269/2021-Substituição do Transformador de Corrente 500kV do TCDJ7-11 Fase V - Vão CY2-Aquisição de 285 conectores de expansão barra chata - tubo 4 polegadas IPS para utilização na instalação dos Transformadores de Corrente de 500 kV das Subestações de Tucuruí, Marabá e Vila do Conde</t>
  </si>
  <si>
    <t>TUCURUI|0008278/2021-Substituição do Transformador de Corrente 500kV do TCDJ7-12 Fase V - Vão CZ-Aquisição de 285 conectores de expansão barra chata - tubo 4 polegadas IPS para utilização na instalação dos Transformadores de Corrente de 500 kV das Subestações de Tucuruí, Marabá e Vila do Conde</t>
  </si>
  <si>
    <t>TUCURUI|0008284/2021-Substituição do Transformador de Corrente 500kV do TCDJ7-07 Fase B - Vão DX-Aquisição de 285 conectores de expansão barra chata - tubo 4 polegadas IPS para utilização na instalação dos Transformadores de Corrente de 500 kV das Subestações de Tucuruí, Marabá e Vila do Conde</t>
  </si>
  <si>
    <t>TUCURUI|0008290/2021-Substituição do Transformador de Corrente 500kV do TCDJ7-07 Fase A - Vão DX-Aquisição de 285 conectores de expansão barra chata - tubo 4 polegadas IPS para utilização na instalação dos Transformadores de Corrente de 500 kV das Subestações de Tucuruí, Marabá e Vila do Conde</t>
  </si>
  <si>
    <t>TUCURUI|0008332/2021-Substituição do Transformador de Corrente 500kV do TCDJ7-01 Fase A - Vão FX-Aquisição de 285 conectores de expansão barra chata - tubo 4 polegadas IPS para utilização na instalação dos Transformadores de Corrente de 500 kV das Subestações de Tucuruí, Marabá e Vila do Conde</t>
  </si>
  <si>
    <t>TUCURUI|0008342/2021-Substituição do Transformador de Corrente 500kV do TCDJ7-12 Fase B - Vão CZ-Aquisição de 285 conectores de expansão barra chata - tubo 4 polegadas IPS para utilização na instalação dos Transformadores de Corrente de 500 kV das Subestações de Tucuruí, Marabá e Vila do Conde</t>
  </si>
  <si>
    <t>TUCURUI|0008349/2021-Substituição do Transformador de Corrente 500kV do TCDJ7-11 Fase A - Vão CY2-Aquisição de 285 conectores de expansão barra chata - tubo 4 polegadas IPS para utilização na instalação dos Transformadores de Corrente de 500 kV das Subestações de Tucuruí, Marabá e Vila do Conde</t>
  </si>
  <si>
    <t>TUCURUI|0008357/2021-Substituição do Transformador de Corrente 500kV do TCDJ7-12 Fase A - Vão CZ-Aquisição de 285 conectores de expansão barra chata - tubo 4 polegadas IPS para utilização na instalação dos Transformadores de Corrente de 500 kV das Subestações de Tucuruí, Marabá e Vila do Conde</t>
  </si>
  <si>
    <t>TUCURUI|0008361/2021-Substituição do Transformador de Corrente 500kV do TCDJ7-11 Fase B - Vão CY2-Aquisição de 285 conectores de expansão barra chata - tubo 4 polegadas IPS para utilização na instalação dos Transformadores de Corrente de 500 kV das Subestações de Tucuruí, Marabá e Vila do Conde</t>
  </si>
  <si>
    <t>TUCURUI|0009465/2021-Substituição do Transformador de Corrente 500kV do TCDJ7-17 fase A - Vão FY2-Aquisição de 285 conectores de expansão barra chata - tubo 4 polegadas IPS para utilização na instalação dos Transformadores de Corrente de 500 kV das Subestações de Tucuruí, Marabá e Vila do Conde</t>
  </si>
  <si>
    <t>TUCURUI|0009470/2021-Substituição do Transformador de Corrente 500kV do TCDJ7-17 fase B - Vão FY2-Aquisição de 285 conectores de expansão barra chata - tubo 4 polegadas IPS para utilização na instalação dos Transformadores de Corrente de 500 kV das Subestações de Tucuruí, Marabá e Vila do Conde</t>
  </si>
  <si>
    <t>TUCURUI|0009476/2021-Substituição do Transformador de Corrente 500kV do TCDJ7-17 fase V - Vão FY2-Aquisição de 285 conectores de expansão barra chata - tubo 4 polegadas IPS para utilização na instalação dos Transformadores de Corrente de 500 kV das Subestações de Tucuruí, Marabá e Vila do Conde</t>
  </si>
  <si>
    <t>TUCURUI|0009493/2021-Substituição do Transformador de Corrente 500kV do TCDJ7-08 Fase B - Vão DY2-Aquisição de 285 conectores de expansão barra chata - tubo 4 polegadas IPS para utilização na instalação dos Transformadores de Corrente de 500 kV das Subestações de Tucuruí, Marabá e Vila do Conde</t>
  </si>
  <si>
    <t>TUCURUI|0009497/2021-Substituição do Transformador de Corrente 500kV do TCDJ7-08 Fase V - Vão DY2-Aquisição de 285 conectores de expansão barra chata - tubo 4 polegadas IPS para utilização na instalação dos Transformadores de Corrente de 500 kV das Subestações de Tucuruí, Marabá e Vila do Conde</t>
  </si>
  <si>
    <t>TUCURUI|0009858/2021-Substituição do Transformador de Corrente 500kV do TCDJ7-07 Fase V - Vão DX-Aquisição de 285 conectores de expansão barra chata - tubo 4 polegadas IPS para utilização na instalação dos Transformadores de Corrente de 500 kV das Subestações de Tucuruí, Marabá e Vila do Conde</t>
  </si>
  <si>
    <t>TUCURUI|0009875/2021-Substituição do Transformador de Corrente 500kV do TCDJ7-08 Fase A - Vão DY2-Aquisição de 285 conectores de expansão barra chata - tubo 4 polegadas IPS para utilização na instalação dos Transformadores de Corrente de 500 kV das Subestações de Tucuruí, Marabá e Vila do Conde</t>
  </si>
  <si>
    <t>VILA DO CONDE|0008526/2021-Substituição do Transformador de Corrente 500kV do VCDJ7-06 Fase V - Vão CZ-Aquisição de 285 conectores de expansão barra chata - tubo 4 polegadas IPS para utilização na instalação dos Transformadores de Corrente de 500 kV das Subestações de Tucuruí, Marabá e Vila do Conde</t>
  </si>
  <si>
    <t>VILA DO CONDE|0008586/2021-Substituição do Transformador de Corrente 500kV do VCDJ7-06 Fase B - Vão CZ-Aquisição de 285 conectores de expansão barra chata - tubo 4 polegadas IPS para utilização na instalação dos Transformadores de Corrente de 500 kV das Subestações de Tucuruí, Marabá e Vila do Conde</t>
  </si>
  <si>
    <t>VILA DO CONDE|0008589/2021-Substituição do Transformador de Corrente 500kV do VCDJ7-06 Fase A - Vão CZ-Aquisição de 285 conectores de expansão barra chata - tubo 4 polegadas IPS para utilização na instalação dos Transformadores de Corrente de 500 kV das Subestações de Tucuruí, Marabá e Vila do Conde</t>
  </si>
  <si>
    <t>VILA DO CONDE|0008604/2021-Substituição do Transformador de Corrente 500kV do VCDJ7-08 Fase V - Vão BY1-Aquisição de 285 conectores de expansão barra chata - tubo 4 polegadas IPS para utilização na instalação dos Transformadores de Corrente de 500 kV das Subestações de Tucuruí, Marabá e Vila do Conde</t>
  </si>
  <si>
    <t>VILA DO CONDE|0008609/2021-Substituição do Transformador de Corrente 500kV do VCDJ7-08 Fase B - Vão BY1-Aquisição de 285 conectores de expansão barra chata - tubo 4 polegadas IPS para utilização na instalação dos Transformadores de Corrente de 500 kV das Subestações de Tucuruí, Marabá e Vila do Conde</t>
  </si>
  <si>
    <t>VILA DO CONDE|0008613/2021-Substituição do Transformador de Corrente 500kV do VCDJ7-08 Fase A - Vão BY1-Aquisição de 285 conectores de expansão barra chata - tubo 4 polegadas IPS para utilização na instalação dos Transformadores de Corrente de 500 kV das Subestações de Tucuruí, Marabá e Vila do Conde</t>
  </si>
  <si>
    <t>VILA DO CONDE|0008618/2021-Substituição do Transformador de Corrente 500kV do VCDJ7-05 Fase V - Vão CY2-Aquisição de 285 conectores de expansão barra chata - tubo 4 polegadas IPS para utilização na instalação dos Transformadores de Corrente de 500 kV das Subestações de Tucuruí, Marabá e Vila do Conde</t>
  </si>
  <si>
    <t>VILA DO CONDE|0008620/2021-Substituição do Transformador de Corrente 500kV do VCDJ7-05 Fase B - Vão CY2-Aquisição de 285 conectores de expansão barra chata - tubo 4 polegadas IPS para utilização na instalação dos Transformadores de Corrente de 500 kV das Subestações de Tucuruí, Marabá e Vila do Conde</t>
  </si>
  <si>
    <t>VILA DO CONDE|0008621/2021-Substituição do Transformador de Corrente 500kV do VCDJ7-05 Fase A - Vão CY2-Aquisição de 285 conectores de expansão barra chata - tubo 4 polegadas IPS para utilização na instalação dos Transformadores de Corrente de 500 kV das Subestações de Tucuruí, Marabá e Vila do Conde</t>
  </si>
  <si>
    <t>VILA DO CONDE|0008622/2021-Substituição do Transformador de Corrente 500kV do VCDJ7-03 Fase A - Vão DZ-Aquisição de 285 conectores de expansão barra chata - tubo 4 polegadas IPS para utilização na instalação dos Transformadores de Corrente de 500 kV das Subestações de Tucuruí, Marabá e Vila do Conde</t>
  </si>
  <si>
    <t>VILA DO CONDE|0008631/2021-Substituição do Transformador de Corrente 
500kV do VCDJ7-05 Fase V - Vão CY1-Aquisição de 285 conectores de expansão barra chata - tubo 4 polegadas IPS para utilização na instalação dos Transformadores de Corrente de 500 kV das Subestações de Tucuruí, Marabá e Vila do Conde</t>
  </si>
  <si>
    <t>VILA DO CONDE|0008634/2021-Substituição do Transformador de Corrente 
500kV do VCDJ7-05 Fase B - Vão CY1-Aquisição de 285 conectores de expansão barra chata - tubo 4 polegadas IPS para utilização na instalação dos Transformadores de Corrente de 500 kV das Subestações de Tucuruí, Marabá e Vila do Conde</t>
  </si>
  <si>
    <t>VILA DO CONDE|0008638/2021-Substituição do Transformador de Corrente 
500kV do VCDJ7-05 Fase A - Vão CY1-Aquisição de 285 conectores de expansão barra chata - tubo 4 polegadas IPS para utilização na instalação dos Transformadores de Corrente de 500 kV das Subestações de Tucuruí, Marabá e Vila do Conde</t>
  </si>
  <si>
    <t>VILA DO CONDE|0008641/2021-Substituição do Transformador de Corrente 
500kV do VCDJ7-03 Fase V - Vão DZ-Aquisição de 285 conectores de expansão barra chata - tubo 4 polegadas IPS para utilização na instalação dos Transformadores de Corrente de 500 kV das Subestações de Tucuruí, Marabá e Vila do Conde</t>
  </si>
  <si>
    <t>VILA DO CONDE|0008645/2021-Substituição do Transformador de Corrente 
500kV do VCDJ7-03 Fase B - Vão DZ-Aquisição de 285 conectores de expansão barra chata - tubo 4 polegadas IPS para utilização na instalação dos Transformadores de Corrente de 500 kV das Subestações de Tucuruí, Marabá e Vila do Conde</t>
  </si>
  <si>
    <t>VILA DO CONDE|0008653/2021-Substituição do Transformador de Corrente 500kV do VCDJ7-02 Fase V - Vão DY2-Aquisição de 285 conectores de expansão barra chata - tubo 4 polegadas IPS para utilização na instalação dos Transformadores de Corrente de 500 kV das Subestações de Tucuruí, Marabá e Vila do Conde</t>
  </si>
  <si>
    <t>VILA DO CONDE|0008678/2021-Substituição do Transformador de Corrente 500kV do VCDJ7-02 Fase B - Vão DY2-Aquisição de 285 conectores de expansão barra chata - tubo 4 polegadas IPS para utilização na instalação dos Transformadores de Corrente de 500 kV das Subestações de Tucuruí, Marabá e Vila do Conde</t>
  </si>
  <si>
    <t>VILA DO CONDE|0008803/2021-Substituição do Transformador de Corrente 500kV do VCDJ7-02 Fase A - Vão DY2-Aquisição de 285 conectores de expansão barra chata - tubo 4 polegadas IPS para utilização na instalação dos Transformadores de Corrente de 500 kV das Subestações de Tucuruí, Marabá e Vila do Conde</t>
  </si>
  <si>
    <t>VILA DO CONDE|0008824/2021-Substituição do Transformador de Corrente 500kV do VCDJ7-02 Fase V - Vão DY1-Aquisição de 285 conectores de expansão barra chata - tubo 4 polegadas IPS para utilização na instalação dos Transformadores de Corrente de 500 kV das Subestações de Tucuruí, Marabá e Vila do Conde</t>
  </si>
  <si>
    <t>VILA DO CONDE|0008839/2021-Substituição do Transformador de Corrente 500kV do VCDJ7-02 Fase B - Vão DY1-Aquisição de 285 conectores de expansão barra chata - tubo 4 polegadas IPS para utilização na instalação dos Transformadores de Corrente de 500 kV das Subestações de Tucuruí, Marabá e Vila do Conde</t>
  </si>
  <si>
    <t>VILA DO CONDE|0008852/2021-Substituição do Transformador de Corrente 500kV do VCDJ7-02 Fase A - Vão DY1-Aquisição de 285 conectores de expansão barra chata - tubo 4 polegadas IPS para utilização na instalação dos Transformadores de Corrente de 500 kV das Subestações de Tucuruí, Marabá e Vila do Conde</t>
  </si>
  <si>
    <t>VILA DO CONDE|0008970/2021-Substituição do Transformador de Corrente 500kV do VCDJ7-01 Fase V - Vão DX-Aquisição de 285 conectores de expansão barra chata - tubo 4 polegadas IPS para utilização na instalação dos Transformadores de Corrente de 500 kV das Subestações de Tucuruí, Marabá e Vila do Conde</t>
  </si>
  <si>
    <t>VILA DO CONDE|0008984/2021-Substituição do Transformador de Corrente 500kV do VCDJ7-01 Fase B - Vão DX-Aquisição de 285 conectores de expansão barra chata - tubo 4 polegadas IPS para utilização na instalação dos Transformadores de Corrente de 500 kV das Subestações de Tucuruí, Marabá e Vila do Conde</t>
  </si>
  <si>
    <t>VILA DO CONDE|0009002/2021-Substituição do Transformador de Corrente 500kV do VCDJ7-01 Fase A - Vão DX-Aquisição de 285 conectores de expansão barra chata - tubo 4 polegadas IPS para utilização na instalação dos Transformadores de Corrente de 500 kV das Subestações de Tucuruí, Marabá e Vila do Conde</t>
  </si>
  <si>
    <t>VILA DO CONDE|0009531/2021-Substituição do Transformador de Corrente 500kV do VCDJ7-09 Fase A - Vão BZ-Aquisição de 285 conectores de expansão barra chata - tubo 4 polegadas IPS para utilização na instalação dos Transformadores de Corrente de 500 kV das Subestações de Tucuruí, Marabá e Vila do Conde</t>
  </si>
  <si>
    <t>VILA DO CONDE|0009536/2021-Substituição do Transformador de Corrente 500kV do VCDJ7-09 Fase B - Vão BZ-Aquisição de 285 conectores de expansão barra chata - tubo 4 polegadas IPS para utilização na instalação dos Transformadores de Corrente de 500 kV das Subestações de Tucuruí, Marabá e Vila do Conde</t>
  </si>
  <si>
    <t>VILA DO CONDE|0009541/2021-Substituição do Transformador de Corrente 500kV do VCDJ7-09 Fase  V - Vão BZ-Aquisição de 285 conectores de expansão barra chata - tubo 4 polegadas IPS para utilização na instalação dos Transformadores de Corrente de 500 kV das Subestações de Tucuruí, Marabá e Vila do Conde</t>
  </si>
  <si>
    <t>TRANSAMAZONIC|0001614/2021-SUBSTITUIÇÃO DO REATOR 230 kV 30 MVAr - TMRE6.01-Aquisição de Reator 230kV (1xTMRE6-1)</t>
  </si>
  <si>
    <t>RUROPOLIS|0007946/2021-Substituição da Chave Seccionadora RUSR6 02, 242 kV, 1250 Amperes-Aquisição de 3xRUSR6-02</t>
  </si>
  <si>
    <t>MARABA|0008219/2022-SUBSTITUIÇÃO DO DISJUNTOR MBDJ4-03 DA LINHA MARABÁ - RONDON DO PARÁ LI-RNMB-LI4-01-Aquisição de 02-DJs 69kV-RNMB</t>
  </si>
  <si>
    <t>MARABA|0008683/2022-SUBSTITUIÇÃO DO DISJUNTOR MBDJ4-02 DA LINHA MARABÁ - NOVA JACUNDÁ LI-NJMB-LI4-01-Aquisição de 02-DJs 69kV-NJMB</t>
  </si>
  <si>
    <t>TRANSAMAZONIC|0001614/2021-SUBSTITUIÇÃO DO REATOR 230 kV 30 MVAr - TMRE6.01-Aquisição de TCs (71 unidades)245kV + (5 unidades)550kV</t>
  </si>
  <si>
    <t>ABUNA|0008319/2021-Implantação de monitoramento on-line de buchas do ANRE6-05-Aquisição de sistema de monitoramento de buchas on-line para os transformadores e reatores de potência da Eletronorte (SISTEMA DE TRANSMISSÃO)</t>
  </si>
  <si>
    <t>ABUNA|0008322/2021-Implantação de monitoramento on-line de buchas do ANRE6-04-Aquisição de sistema de monitoramento de buchas on-line para os transformadores e reatores de potência da Eletronorte (SISTEMA DE TRANSMISSÃO)</t>
  </si>
  <si>
    <t>ABUNA|0008331/2021-Implantação de monitoramento on-line de buchas do ANRE6-03-Aquisição de sistema de monitoramento de buchas on-line para os transformadores e reatores de potência da Eletronorte (SISTEMA DE TRANSMISSÃO)</t>
  </si>
  <si>
    <t>ABUNA|0008756/2021-Implantação de monitoramento on-line de buchas do ANAT6-02-Aquisição de sistema de monitoramento de buchas on-line para os transformadores e reatores de potência da Eletronorte (SISTEMA DE TRANSMISSÃO)</t>
  </si>
  <si>
    <t>ABUNA|0008762/2021-Instalação de rede de comunicação para monitoramento nos transformadores e reatores de potência conectados ao SIN da subestação ABUNÃ, contemplando switches, fibras ópticas, painéis, entre outros.-Aquisição de sistema de monitoramento de buchas on-line para os transformadores e reatores de potência da Eletronorte (SISTEMA DE TRANSMISSÃO)</t>
  </si>
  <si>
    <t>ALTAMIRA|0008822/2021-Implantação de monitoramento on-line de buchas do ATTF6-03-Aquisição de sistema de monitoramento de buchas on-line para os transformadores e reatores de potência da Eletronorte (SISTEMA DE TRANSMISSÃO)</t>
  </si>
  <si>
    <t>ALTAMIRA|0008825/2021-Implantação de monitoramento on-line de buchas do ATTF6-02-Aquisição de sistema de monitoramento de buchas on-line para os transformadores e reatores de potência da Eletronorte (SISTEMA DE TRANSMISSÃO)</t>
  </si>
  <si>
    <t>ALTAMIRA|0008830/2021-Implantação de monitoramento on-line de buchas do ATTF6-01-Aquisição de sistema de monitoramento de buchas on-line para os transformadores e reatores de potência da Eletronorte (SISTEMA DE TRANSMISSÃO)</t>
  </si>
  <si>
    <t>ALTAMIRA|0008834/2021-Instalação de rede de comunicação para monitoramento nos transformadores e reatores de potência conectados ao SIN da subestação ALTAMIRA, contemplando switches, fibras ópticas, painéis, entre outros.-Aquisição de sistema de monitoramento de buchas on-line para os transformadores e reatores de potência da Eletronorte (SISTEMA DE TRANSMISSÃO)</t>
  </si>
  <si>
    <t>ALTAMIRA|0009862/2021-Implantação de monitoramento on-line de buchas do ATRE6-03-Aquisição de sistema de monitoramento de buchas on-line para os transformadores e reatores de potência da Eletronorte (SISTEMA DE TRANSMISSÃO)</t>
  </si>
  <si>
    <t>ARIQUEMES|0008289/2021-Implantação de monitoramento on-line de buchas do AQRE6-03-Aquisição de sistema de monitoramento de buchas on-line para os transformadores e reatores de potência da Eletronorte (SISTEMA DE TRANSMISSÃO)</t>
  </si>
  <si>
    <t>ARIQUEMES|0008293/2021-Implantação de monitoramento on-line de buchas do AQTF6-02-Aquisição de sistema de monitoramento de buchas on-line para os transformadores e reatores de potência da Eletronorte (SISTEMA DE TRANSMISSÃO)</t>
  </si>
  <si>
    <t>ARIQUEMES|0008299/2021-Implantação de monitoramento on-line de buchas do AQTF6-01-Aquisição de sistema de monitoramento de buchas on-line para os transformadores e reatores de potência da Eletronorte (SISTEMA DE TRANSMISSÃO)</t>
  </si>
  <si>
    <t>ARIQUEMES|0008304/2021-Instalação de rede de comunicação para monitoramento nos transformadores e reatores de potência conectados ao SIN da subestação ARIQUEMES, contemplando switches, fibras ópticas, painéis, entre outros.-Aquisição de sistema de monitoramento de buchas on-line para os transformadores e reatores de potência da Eletronorte (SISTEMA DE TRANSMISSÃO)</t>
  </si>
  <si>
    <t>BALSAS|0008576/2021-Implantação de monitoramento on-line de buchas do BSTF6-01-Aquisição de sistema de monitoramento de buchas on-line para os transformadores e reatores de potência da Eletronorte (SISTEMA DE TRANSMISSÃO)</t>
  </si>
  <si>
    <t>BALSAS|0008579/2021-Implantação de monitoramento on-line de buchas do BSTF6-02-Aquisição de sistema de monitoramento de buchas on-line para os transformadores e reatores de potência da Eletronorte (SISTEMA DE TRANSMISSÃO)</t>
  </si>
  <si>
    <t>BALSAS|0008581/2021-Instalação de rede de comunicação para monitoramento nos transformadores e reatores de potência conectados ao SIN da subestação BALSAS, contemplando switches, fibras ópticas, painéis, entre outros.-Aquisição de sistema de monitoramento de buchas on-line para os transformadores e reatores de potência da Eletronorte (SISTEMA DE TRANSMISSÃO)</t>
  </si>
  <si>
    <t>BARRA PEIXE|0008220/2021-Implantação de monitoramento on-line de buchas doBPAT6-02-Aquisição de sistema de monitoramento de buchas on-line para os transformadores e reatores de potência da Eletronorte (SISTEMA DE TRANSMISSÃO)</t>
  </si>
  <si>
    <t>BARRA PEIXE|0008225/2021-Implantação de monitoramento on-line de buchas do BPAT6-03-Aquisição de sistema de monitoramento de buchas on-line para os transformadores e reatores de potência da Eletronorte (SISTEMA DE TRANSMISSÃO)</t>
  </si>
  <si>
    <t>BARRA PEIXE|0008227/2021-Implantação de monitoramento on-line de buchas do BPRE6-02-Aquisição de sistema de monitoramento de buchas on-line para os transformadores e reatores de potência da Eletronorte (SISTEMA DE TRANSMISSÃO)</t>
  </si>
  <si>
    <t>BARRA PEIXE|0008233/2021-Instalação de rede de comunicação para monitoramento nos transformadores e reatores de potência conectados ao SIN da subestação BARRA DO PEIXE, contemplando switches, fibras ópticas, painéis, entre outros.-Aquisição de sistema de monitoramento de buchas on-line para os transformadores e reatores de potência da Eletronorte (SISTEMA DE TRANSMISSÃO)</t>
  </si>
  <si>
    <t>BOA VISTA|0009205/2021-Instalação de rede de comunicação para monitoramento nos transformadores e reatores de potência conectados ao SIN da subestação BOA VISTA, contemplando switches, fibras ópticas, painéis, entre outros.-Aquisição de sistema de monitoramento de buchas on-line para os transformadores e reatores de potência da Eletronorte (SISTEMA DE TRANSMISSÃO)</t>
  </si>
  <si>
    <t>C. MAGALHAES|0008272/2021-Implantação de monitoramento on-line de buchas do CNRE5-01-Aquisição de sistema de monitoramento de buchas on-line para os transformadores e reatores de potência da Eletronorte (SISTEMA DE TRANSMISSÃO)</t>
  </si>
  <si>
    <t>C. MAGALHAES|0008275/2021-Implantação de monitoramento on-line de buchas do CNRE5-02-Aquisição de sistema de monitoramento de buchas on-line para os transformadores e reatores de potência da Eletronorte (SISTEMA DE TRANSMISSÃO)</t>
  </si>
  <si>
    <t>C. MAGALHAES|0008285/2021-Instalação de rede de comunicação para monitoramento nos transformadores e reatores de potência conectados ao SIN da subestação COUTO MAGALHÃES, contemplando switches, fibras ópticas, painéis, entre outros.-Aquisição de sistema de monitoramento de buchas on-line para os transformadores e reatores de potência da Eletronorte (SISTEMA DE TRANSMISSÃO)</t>
  </si>
  <si>
    <t>C. MAGALHAES|0008295/2021-Implantação de monitoramento on-line de buchas do CNTF5-01-Aquisição de sistema de monitoramento de buchas on-line para os transformadores e reatores de potência da Eletronorte (SISTEMA DE TRANSMISSÃO)</t>
  </si>
  <si>
    <t>COELHO NETO|0008515/2021-Implantação de monitoramento on-line de buchas do CHTF6-01-Aquisição de sistema de monitoramento de buchas on-line para os transformadores e reatores de potência da Eletronorte (SISTEMA DE TRANSMISSÃO)</t>
  </si>
  <si>
    <t>COELHO NETO|0008517/2021-Implantação de monitoramento on-line de buchas do CHTF6-02-Aquisição de sistema de monitoramento de buchas on-line para os transformadores e reatores de potência da Eletronorte (SISTEMA DE TRANSMISSÃO)</t>
  </si>
  <si>
    <t>COELHO NETO|0008519/2021-Implantação de monitoramento on-line de buchas do CHRE6-01-Aquisição de sistema de monitoramento de buchas on-line para os transformadores e reatores de potência da Eletronorte (SISTEMA DE TRANSMISSÃO)</t>
  </si>
  <si>
    <t>COELHO NETO|0008521/2021-Implantação de monitoramento on-line de buchas do CHRE6-02-Aquisição de sistema de monitoramento de buchas on-line para os transformadores e reatores de potência da Eletronorte (SISTEMA DE TRANSMISSÃO)</t>
  </si>
  <si>
    <t>COELHO NETO|0008532/2021-Instalação de rede de comunicação para monitoramento nos transformadores e reatores de potência conectados ao SIN da subestação COELHO NETO, contemplando switches, fibras ópticas, painéis, entre outros.-Aquisição de sistema de monitoramento de buchas on-line para os transformadores e reatores de potência da Eletronorte (SISTEMA DE TRANSMISSÃO)</t>
  </si>
  <si>
    <t>COLINAS|0008598/2021-Implantação de monitoramento on-line de buchas do CORE7-04-Aquisição de sistema de monitoramento de buchas on-line para os transformadores e reatores de potência da Eletronorte (SISTEMA DE TRANSMISSÃO)</t>
  </si>
  <si>
    <t>COLINAS|0008601/2021-Instalação de rede de comunicação para monitoramento nos transformadores e reatores de potência conectados ao SIN da subestação COLINAS, contemplando switches, fibras ópticas, painéis, entre outros.-Aquisição de sistema de monitoramento de buchas on-line para os transformadores e reatores de potência da Eletronorte (SISTEMA DE TRANSMISSÃO)</t>
  </si>
  <si>
    <t>COXIPO|0002526/2021-IMPLANTAÇÃO DEMONITOR DE BUCHAS P/ AUTO-TRAFO, TRAFO E REATORESTENSÃO 230KV-Aquisição de sistema de monitoramento de buchas on-line para os transformadores e reatores de potência da Eletronorte (SISTEMA DE TRANSMISSÃO)</t>
  </si>
  <si>
    <t>COXIPO|0002961/2021-IMPLANTAÇÃO DEMONITOR DE BUCHAS P/ AUTO-TRAFO, TRAFO E REATORESTENSÃO 230KV-Aquisição de sistema de monitoramento de buchas on-line para os transformadores e reatores de potência da Eletronorte (SISTEMA DE TRANSMISSÃO)</t>
  </si>
  <si>
    <t>COXIPO|0008001/2021-Implantação de monitoramento on-line de buchas do CXAT6-05-Aquisição de sistema de monitoramento de buchas on-line para os transformadores e reatores de potência da Eletronorte (SISTEMA DE TRANSMISSÃO)</t>
  </si>
  <si>
    <t>COXIPO|0008067/2021-Implantação de monitoramento on-line de buchas do CXTF6-01-Aquisição de sistema de monitoramento de buchas on-line para os transformadores e reatores de potência da Eletronorte (SISTEMA DE TRANSMISSÃO)</t>
  </si>
  <si>
    <t>COXIPO|0008072/2021-Instalação de rede de comunicação para monitoramento nos transformadores e reatores de potência conectados ao SIN da subestação COXIPO, contemplando switches, fibras ópticas, painéis, entre outros.-Aquisição de sistema de monitoramento de buchas on-line para os transformadores e reatores de potência da Eletronorte (SISTEMA DE TRANSMISSÃO)</t>
  </si>
  <si>
    <t>GUAMA|0008623/2021-Implantação de monitoramento on-line de buchas do GMTF6-03-Aquisição de sistema de monitoramento de buchas on-line para os transformadores e reatores de potência da Eletronorte (SISTEMA DE TRANSMISSÃO)</t>
  </si>
  <si>
    <t>GUAMA|0008627/2021-Instalação de rede de comunicação para monitoramento nos transformadores e reatores de potência conectados ao SIN da subestação GUAMÁ, contemplando switches, fibras ópticas, painéis, entre outros.-Aquisição de sistema de monitoramento de buchas on-line para os transformadores e reatores de potência da Eletronorte (SISTEMA DE TRANSMISSÃO)</t>
  </si>
  <si>
    <t>IMPERATRIZ|0008536/2021-Implantação de monitoramento on-line de buchas do IZTF6-03-Aquisição de sistema de monitoramento de buchas on-line para os transformadores e reatores de potência da Eletronorte (SISTEMA DE TRANSMISSÃO)</t>
  </si>
  <si>
    <t>IMPERATRIZ|0008539/2021-Implantação de monitoramento on-line de buchas do IZTF6-04-Aquisição de sistema de monitoramento de buchas on-line para os transformadores e reatores de potência da Eletronorte (SISTEMA DE TRANSMISSÃO)</t>
  </si>
  <si>
    <t>IMPERATRIZ|0008542/2021-Implantação de monitoramento on-line de buchas do IZTF6-05-Aquisição de sistema de monitoramento de buchas on-line para os transformadores e reatores de potência da Eletronorte (SISTEMA DE TRANSMISSÃO)</t>
  </si>
  <si>
    <t>IMPERATRIZ|0008544/2021-Implantação de monitoramento on-line de buchas do IZRE7-12-Aquisição de sistema de monitoramento de buchas on-line para os transformadores e reatores de potência da Eletronorte (SISTEMA DE TRANSMISSÃO)</t>
  </si>
  <si>
    <t>IMPERATRIZ|0008547/2021-Implantação de monitoramento on-line de buchas do IZRE7-02-Aquisição de sistema de monitoramento de buchas on-line para os transformadores e reatores de potência da Eletronorte (SISTEMA DE TRANSMISSÃO)</t>
  </si>
  <si>
    <t>IMPERATRIZ|0008552/2021-Implantação de monitoramento on-line de buchas do IZRE7-03-Aquisição de sistema de monitoramento de buchas on-line para os transformadores e reatores de potência da Eletronorte (SISTEMA DE TRANSMISSÃO)</t>
  </si>
  <si>
    <t>IMPERATRIZ|0008557/2021-Implantação de monitoramento on-line de buchas do IZRE7-06-Aquisição de sistema de monitoramento de buchas on-line para os transformadores e reatores de potência da Eletronorte (SISTEMA DE TRANSMISSÃO)</t>
  </si>
  <si>
    <t>IMPERATRIZ|0008559/2021-Implantação de monitoramento on-line de buchas do IZRE7-14-Aquisição de sistema de monitoramento de buchas on-line para os transformadores e reatores de potência da Eletronorte (SISTEMA DE TRANSMISSÃO)</t>
  </si>
  <si>
    <t>IMPERATRIZ|0008561/2021-Instalação de rede de comunicação para monitoramento nos transformadores e reatores de potência conectados ao SIN da subestação IMPERATRIZ, contemplando switches, fibras ópticas, painéis, entre outros.-Aquisição de sistema de monitoramento de buchas on-line para os transformadores e reatores de potência da Eletronorte (SISTEMA DE TRANSMISSÃO)</t>
  </si>
  <si>
    <t>JARU|0008274/2021-Implantação de monitoramento on-line de buchas do JRTF6-01-Aquisição de sistema de monitoramento de buchas on-line para os transformadores e reatores de potência da Eletronorte (SISTEMA DE TRANSMISSÃO)</t>
  </si>
  <si>
    <t>JARU|0008281/2021-Instalação de rede de comunicação para monitoramento nos transformadores e reatores de potência conectados ao SIN da subestação JARU, contemplando switches, fibras ópticas, painéis, entre outros.-Aquisição de sistema de monitoramento de buchas on-line para os transformadores e reatores de potência da Eletronorte (SISTEMA DE TRANSMISSÃO)</t>
  </si>
  <si>
    <t>JAURU|0002959/2021-IMPLANTAÇÃO DEMONITOR DE BUCHAS P/ AUTO-TRAFO, TRAFO E REATORESTENSÃO 230KV-Aquisição de sistema de monitoramento de buchas on-line para os transformadores e reatores de potência da Eletronorte (SISTEMA DE TRANSMISSÃO)</t>
  </si>
  <si>
    <t>JAURU|0007990/2021-Implantação de monitoramento on-line de buchas do JURE6-04-Aquisição de sistema de monitoramento de buchas on-line para os transformadores e reatores de potência da Eletronorte (SISTEMA DE TRANSMISSÃO)</t>
  </si>
  <si>
    <t>JAURU|0007996/2021-Instalação de rede de comunicação para monitoramento nos transformadores e reatores de potência conectados ao SIN da subestação JAURU, contemplando switches, fibras ópticas, painéis, entre outros.-Aquisição de sistema de monitoramento de buchas on-line para os transformadores e reatores de potência da Eletronorte (SISTEMA DE TRANSMISSÃO)</t>
  </si>
  <si>
    <t>JI-PARANA|0003435/2021-IMPLANTAÇÃO DEMONITOR DE BUCHAS P/ AUTO-TRAFO, TRAFO E REATORESTENSÃO 230KV-Aquisição de sistema de monitoramento de buchas on-line para os transformadores e reatores de potência da Eletronorte (SISTEMA DE TRANSMISSÃO)</t>
  </si>
  <si>
    <t>JI-PARANA|0008252/2021-Implantação de monitoramento on-line de buchas do JIRE6-04-Aquisição de sistema de monitoramento de buchas on-line para os transformadores e reatores de potência da Eletronorte (SISTEMA DE TRANSMISSÃO)</t>
  </si>
  <si>
    <t>JI-PARANA|0008254/2021-Implantação de monitoramento on-line de buchas do JIRE6-03-Aquisição de sistema de monitoramento de buchas on-line para os transformadores e reatores de potência da Eletronorte (SISTEMA DE TRANSMISSÃO)</t>
  </si>
  <si>
    <t>JI-PARANA|0008259/2021-Implantação de monitoramento on-line de buchas do JITF6-03-Aquisição de sistema de monitoramento de buchas on-line para os transformadores e reatores de potência da Eletronorte (SISTEMA DE TRANSMISSÃO)</t>
  </si>
  <si>
    <t>JI-PARANA|0008263/2021-Implantação de monitoramento on-line de buchas do JIAT6-02-Aquisição de sistema de monitoramento de buchas on-line para os transformadores e reatores de potência da Eletronorte (SISTEMA DE TRANSMISSÃO)</t>
  </si>
  <si>
    <t>JI-PARANA|0008268/2021-Instalação de rede de comunicação para monitoramento nos transformadores e reatores de potência conectados ao SIN da subestação JI-PARANÁ, contemplando switches, fibras ópticas, painéis, entre outros.-Aquisição de sistema de monitoramento de buchas on-line para os transformadores e reatores de potência da Eletronorte (SISTEMA DE TRANSMISSÃO)</t>
  </si>
  <si>
    <t>L.D.RIO VERDE|0007943/2021-Implantação de monitoramento on-line de buchas do LCAT6-01-Aquisição de sistema de monitoramento de buchas on-line para os transformadores e reatores de potência da Eletronorte (SISTEMA DE TRANSMISSÃO)</t>
  </si>
  <si>
    <t>L.D.RIO VERDE|0007951/2021-Instalação de rede de comunicação para monitoramento nos transformadores e reatores de potência conectados ao SIN da subestação Lucas do Rio Verde, contemplando switches, fibras ópticas, painéis, entre outros.-Aquisição de sistema de monitoramento de buchas on-line para os transformadores e reatores de potência da Eletronorte (SISTEMA DE TRANSMISSÃO)</t>
  </si>
  <si>
    <t>LECHUGA|0007922/2021-Implantação de monitoramento on-line de buchas do LEAT6-03-Aquisição de sistema de monitoramento de buchas on-line para os transformadores e reatores de potência da Eletronorte (SISTEMA DE TRANSMISSÃO)</t>
  </si>
  <si>
    <t>LECHUGA|0007925/2021-Implantação de monitoramento on-line de buchas do LEAT6-02-Aquisição de sistema de monitoramento de buchas on-line para os transformadores e reatores de potência da Eletronorte (SISTEMA DE TRANSMISSÃO)</t>
  </si>
  <si>
    <t>LECHUGA|0007933/2021-Implantação de monitoramento on-line de buchas do LEAT6-01-Aquisição de sistema de monitoramento de buchas on-line para os transformadores e reatores de potência da Eletronorte (SISTEMA DE TRANSMISSÃO)</t>
  </si>
  <si>
    <t>LECHUGA|0007964/2021-Instalação de rede de comunicação para monitoramento nos transformadores e reatores de potência conectados ao SIN da subestação Lechuga, contemplando switches, fibras ópticas, painéis, entre outros.-Aquisição de sistema de monitoramento de buchas on-line para os transformadores e reatores de potência da Eletronorte (SISTEMA DE TRANSMISSÃO)</t>
  </si>
  <si>
    <t>MARABA|0008767/2021-Implantação de monitoramento on-line de buchas doMBAT7-01-Aquisição de sistema de monitoramento de buchas on-line para os transformadores e reatores de potência da Eletronorte (SISTEMA DE TRANSMISSÃO)</t>
  </si>
  <si>
    <t>MARABA|0008776/2021-Implantação de monitoramento on-line de buchas do MBTF6-02-Aquisição de sistema de monitoramento de buchas on-line para os transformadores e reatores de potência da Eletronorte (SISTEMA DE TRANSMISSÃO)</t>
  </si>
  <si>
    <t>MARABA|0008785/2021-Implantação de monitoramento on-line de buchas do MBTF6-01-Aquisição de sistema de monitoramento de buchas on-line para os transformadores e reatores de potência da Eletronorte (SISTEMA DE TRANSMISSÃO)</t>
  </si>
  <si>
    <t>MARABA|0008797/2021-Implantação de monitoramento on-line de buchas do MBRE7-01-Aquisição de sistema de monitoramento de buchas on-line para os transformadores e reatores de potência da Eletronorte (SISTEMA DE TRANSMISSÃO)</t>
  </si>
  <si>
    <t>MARABA|0008817/2021-Implantação de monitoramento on-line de buchas do MBRE7-02-Aquisição de sistema de monitoramento de buchas on-line para os transformadores e reatores de potência da Eletronorte (SISTEMA DE TRANSMISSÃO)</t>
  </si>
  <si>
    <t>MARABA|0008823/2021-Implantação de monitoramento on-line de buchas do MBRE7-03-Aquisição de sistema de monitoramento de buchas on-line para os transformadores e reatores de potência da Eletronorte (SISTEMA DE TRANSMISSÃO)</t>
  </si>
  <si>
    <t>MARABA|0008828/2021-Implantação de monitoramento on-line de buchas do MBRE7-04-Aquisição de sistema de monitoramento de buchas on-line para os transformadores e reatores de potência da Eletronorte (SISTEMA DE TRANSMISSÃO)</t>
  </si>
  <si>
    <t>MARABA|0008844/2021-Implantação de monitoramento on-line de buchas do MBRE7-11-Aquisição de sistema de monitoramento de buchas on-line para os transformadores e reatores de potência da Eletronorte (SISTEMA DE TRANSMISSÃO)</t>
  </si>
  <si>
    <t>MARABA|0008855/2021-Implantação de monitoramento on-line de buchas do MBRE7-12-Aquisição de sistema de monitoramento de buchas on-line para os transformadores e reatores de potência da Eletronorte (SISTEMA DE TRANSMISSÃO)</t>
  </si>
  <si>
    <t>MARABA|0008861/2021-Implantação de monitoramento on-line de buchas do MBRE7-09-Aquisição de sistema de monitoramento de buchas on-line para os transformadores e reatores de potência da Eletronorte (SISTEMA DE TRANSMISSÃO)</t>
  </si>
  <si>
    <t>MARABA|0008869/2021-Instalação de rede de comunicação para monitoramento nos transformadores e reatores de potência conectados ao SIN da subestação MARABÁ, contemplando switches, fibras ópticas, painéis, entre outros.-Aquisição de sistema de monitoramento de buchas on-line para os transformadores e reatores de potência da Eletronorte (SISTEMA DE TRANSMISSÃO)</t>
  </si>
  <si>
    <t>MIRACEMA|0008608/2021-Implantação de monitoramento on-line de buchas do MCRE7-02-Aquisição de sistema de monitoramento de buchas on-line para os transformadores e reatores de potência da Eletronorte (SISTEMA DE TRANSMISSÃO)</t>
  </si>
  <si>
    <t>MIRACEMA|0008612/2021-Implantação de monitoramento on-line de buchas do MCRE7-03-Aquisição de sistema de monitoramento de buchas on-line para os transformadores e reatores de potência da Eletronorte (SISTEMA DE TRANSMISSÃO)</t>
  </si>
  <si>
    <t>MIRACEMA|0008617/2021-Instalação de rede de comunicação para monitoramento nos transformadores e reatores de potência conectados ao SIN da subestação MIRACEMA, contemplando switches, fibras ópticas, painéis, entre outros.-Aquisição de sistema de monitoramento de buchas on-line para os transformadores e reatores de potência da Eletronorte (SISTEMA DE TRANSMISSÃO)</t>
  </si>
  <si>
    <t>MIRAMAR|0008632/2021-Implantação de monitoramento on-line de buchas do MMTF6-01-Aquisição de sistema de monitoramento de buchas on-line para os transformadores e reatores de potência da Eletronorte (SISTEMA DE TRANSMISSÃO)</t>
  </si>
  <si>
    <t>MIRAMAR|0008636/2021-Implantação de monitoramento on-line de buchas do MMTF6-02-Aquisição de sistema de monitoramento de buchas on-line para os transformadores e reatores de potência da Eletronorte (SISTEMA DE TRANSMISSÃO)</t>
  </si>
  <si>
    <t>MIRAMAR|0008639/2021-Implantação de monitoramento on-line de buchas do MMTF6-03-Aquisição de sistema de monitoramento de buchas on-line para os transformadores e reatores de potência da Eletronorte (SISTEMA DE TRANSMISSÃO)</t>
  </si>
  <si>
    <t>MIRAMAR|0008643/2021-Instalação de rede de comunicação para monitoramento nos transformadores e reatores de potência conectados ao SIN da subestação MIRAMAR, contemplando switches, fibras ópticas, painéis, entre outros.-Aquisição de sistema de monitoramento de buchas on-line para os transformadores e reatores de potência da Eletronorte (SISTEMA DE TRANSMISSÃO)</t>
  </si>
  <si>
    <t>MIRANDA II|0008363/2021-Implantação de monitoramento on-line de buchas do MRAT6-01-Aquisição de sistema de monitoramento de buchas on-line para os transformadores e reatores de potência da Eletronorte (SISTEMA DE TRANSMISSÃO)</t>
  </si>
  <si>
    <t>MIRANDA II|0008365/2021-Implantação de monitoramento on-line de buchas do MRAT6-02-Aquisição de sistema de monitoramento de buchas on-line para os transformadores e reatores de potência da Eletronorte (SISTEMA DE TRANSMISSÃO)</t>
  </si>
  <si>
    <t>MIRANDA II|0008366/2021-Implantação de monitoramento on-line de buchas do MRAT6-03-Aquisição de sistema de monitoramento de buchas on-line para os transformadores e reatores de potência da Eletronorte (SISTEMA DE TRANSMISSÃO)</t>
  </si>
  <si>
    <t>MIRANDA II|0008369/2021-Implantação de monitoramento on-line de buchas do MRTF6-02-Aquisição de sistema de monitoramento de buchas on-line para os transformadores e reatores de potência da Eletronorte (SISTEMA DE TRANSMISSÃO)</t>
  </si>
  <si>
    <t>MIRANDA II|0008371/2021-Implantação de monitoramento on-line de buchas do MRTF6-03-Aquisição de sistema de monitoramento de buchas on-line para os transformadores e reatores de potência da Eletronorte (SISTEMA DE TRANSMISSÃO)</t>
  </si>
  <si>
    <t>MIRANDA II|0008373/2021-Implantação de monitoramento on-line de buchas do MRRE6-01-Aquisição de sistema de monitoramento de buchas on-line para os transformadores e reatores de potência da Eletronorte (SISTEMA DE TRANSMISSÃO)</t>
  </si>
  <si>
    <t>MIRANDA II|0008374/2021-Implantação de monitoramento on-line de buchas do MRRE6-02-Aquisição de sistema de monitoramento de buchas on-line para os transformadores e reatores de potência da Eletronorte (SISTEMA DE TRANSMISSÃO)</t>
  </si>
  <si>
    <t>MIRANDA II|0008377/2021-Implantação de monitoramento on-line de buchas do MRRE6-01-Aquisição de sistema de monitoramento de buchas on-line para os transformadores e reatores de potência da Eletronorte (SISTEMA DE TRANSMISSÃO)</t>
  </si>
  <si>
    <t>MIRANDA II|0008380/2021-Instalação de rede de comunicação para monitoramento nos transformadores e reatores de potência conectados ao SIN da subestação MIRANDA II, contemplando switches, fibras ópticas, painéis, entre outros.-Aquisição de sistema de monitoramento de buchas on-line para os transformadores e reatores de potência da Eletronorte (SISTEMA DE TRANSMISSÃO)</t>
  </si>
  <si>
    <t>NOBRES|0008091/2021-Implantação de monitoramento on-line de buchas do NBAT6-01-Aquisição de sistema de monitoramento de buchas on-line para os transformadores e reatores de potência da Eletronorte (SISTEMA DE TRANSMISSÃO)</t>
  </si>
  <si>
    <t>NOBRES|0008196/2021-Implantação de monitoramento on-line de buchas do NBAT6-02-Aquisição de sistema de monitoramento de buchas on-line para os transformadores e reatores de potência da Eletronorte (SISTEMA DE TRANSMISSÃO)</t>
  </si>
  <si>
    <t>NOBRES|0008200/2021-Instalação de rede de comunicação para monitoramento nos transformadores e reatores de potência conectados ao SIN da subestação NOBRES, contemplando switches, fibras ópticas, painéis, entre outros.-Aquisição de sistema de monitoramento de buchas on-line para os transformadores e reatores de potência da Eletronorte (SISTEMA DE TRANSMISSÃO)</t>
  </si>
  <si>
    <t>NOVA MUTUM|0007954/2021-Implantação de monitoramento on-line de buchas do NMTF6-02-Aquisição de sistema de monitoramento de buchas on-line para os transformadores e reatores de potência da Eletronorte (SISTEMA DE TRANSMISSÃO)</t>
  </si>
  <si>
    <t>NOVA MUTUM|0007962/2021-Implantação de monitoramento on-line de buchas do NMTF6-03-Aquisição de sistema de monitoramento de buchas on-line para os transformadores e reatores de potência da Eletronorte (SISTEMA DE TRANSMISSÃO)</t>
  </si>
  <si>
    <t>NOVA MUTUM|0007971/2021-Implantação de monitoramento on-line de buchas do NMRE6-01-Aquisição de sistema de monitoramento de buchas on-line para os transformadores e reatores de potência da Eletronorte (SISTEMA DE TRANSMISSÃO)</t>
  </si>
  <si>
    <t>NOVA MUTUM|0007978/2021-Instalação de rede de comunicação para monitoramento nos transformadores e reatores de potência conectados ao SIN da subestação Nova Mutum, contemplando switches, fibras ópticas, painéis, entre outros.-Aquisição de sistema de monitoramento de buchas on-line para os transformadores e reatores de potência da Eletronorte (SISTEMA DE TRANSMISSÃO)</t>
  </si>
  <si>
    <t>P.DUTRA|0008495/2021-Implantação de monitoramento on-line de buchas do PDRE7-05-Aquisição de sistema de monitoramento de buchas on-line para os transformadores e reatores de potência da Eletronorte (SISTEMA DE TRANSMISSÃO)</t>
  </si>
  <si>
    <t>P.DUTRA|0008497/2021-Implantação de monitoramento on-line de buchas do PDRE7-06-Aquisição de sistema de monitoramento de buchas on-line para os transformadores e reatores de potência da Eletronorte (SISTEMA DE TRANSMISSÃO)</t>
  </si>
  <si>
    <t>P.DUTRA|0008501/2021-Implantação de monitoramento on-line de buchas do PDRE7-03-Aquisição de sistema de monitoramento de buchas on-line para os transformadores e reatores de potência da Eletronorte (SISTEMA DE TRANSMISSÃO)</t>
  </si>
  <si>
    <t>P.DUTRA|0008504/2021-Implantação de monitoramento on-line de buchas do PDRE7-02-Aquisição de sistema de monitoramento de buchas on-line para os transformadores e reatores de potência da Eletronorte (SISTEMA DE TRANSMISSÃO)</t>
  </si>
  <si>
    <t>P.DUTRA|0008507/2021-Implantação de monitoramento on-line de buchas do PDTF6-04-Aquisição de sistema de monitoramento de buchas on-line para os transformadores e reatores de potência da Eletronorte (SISTEMA DE TRANSMISSÃO)</t>
  </si>
  <si>
    <t>P.DUTRA|0008508/2021-Implantação de monitoramento on-line de buchas do PDTF6-05-Aquisição de sistema de monitoramento de buchas on-line para os transformadores e reatores de potência da Eletronorte (SISTEMA DE TRANSMISSÃO)</t>
  </si>
  <si>
    <t>P.DUTRA|0008510/2021-Instalação de rede de comunicação para monitoramento nos transformadores e reatores de potência conectados ao SIN da subestação PRESIDENTE DUTRA, contemplando switches, fibras ópticas, painéis, entre outros.-Aquisição de sistema de monitoramento de buchas on-line para os transformadores e reatores de potência da Eletronorte (SISTEMA DE TRANSMISSÃO)</t>
  </si>
  <si>
    <t>PERITORO|0008383/2021-Implantação de monitoramento on-line de buchas do PRTF6-01-Aquisição de sistema de monitoramento de buchas on-line para os transformadores e reatores de potência da Eletronorte (SISTEMA DE TRANSMISSÃO)</t>
  </si>
  <si>
    <t>PERITORO|0008385/2021-Implantação de monitoramento on-line de buchas do PRTF6-02-Aquisição de sistema de monitoramento de buchas on-line para os transformadores e reatores de potência da Eletronorte (SISTEMA DE TRANSMISSÃO)</t>
  </si>
  <si>
    <t>PERITORO|0008386/2021-Implantação de monitoramento on-line de buchas do PRTF6-03-Aquisição de sistema de monitoramento de buchas on-line para os transformadores e reatores de potência da Eletronorte (SISTEMA DE TRANSMISSÃO)</t>
  </si>
  <si>
    <t>PERITORO|0008388/2021-Instalação de rede de comunicação para monitoramento nos transformadores e reatores de potência conectados ao SIN da subestação PERITORÓ, contemplando switches, fibras ópticas, painéis, entre outros.-Aquisição de sistema de monitoramento de buchas on-line para os transformadores e reatores de potência da Eletronorte (SISTEMA DE TRANSMISSÃO)</t>
  </si>
  <si>
    <t>PIMENTA BUENO|0008198/2021-Implantação de monitoramento on-line de buchas do PBRE6-04-Aquisição de sistema de monitoramento de buchas on-line para os transformadores e reatores de potência da Eletronorte (SISTEMA DE TRANSMISSÃO)</t>
  </si>
  <si>
    <t>PIMENTA BUENO|0008201/2021-Implantação de monitoramento on-line de buchas do PBRE6-02-Aquisição de sistema de monitoramento de buchas on-line para os transformadores e reatores de potência da Eletronorte (SISTEMA DE TRANSMISSÃO)</t>
  </si>
  <si>
    <t>PIMENTA BUENO|0008205/2021-Implantação de monitoramento on-line de buchas do PBRE6-01-Aquisição de sistema de monitoramento de buchas on-line para os transformadores e reatores de potência da Eletronorte (SISTEMA DE TRANSMISSÃO)</t>
  </si>
  <si>
    <t>PIMENTA BUENO|0008211/2021-Implantação de monitoramento on-line de buchas do PBAT6-02-Aquisição de sistema de monitoramento de buchas on-line para os transformadores e reatores de potência da Eletronorte (SISTEMA DE TRANSMISSÃO)</t>
  </si>
  <si>
    <t>PIMENTA BUENO|0008243/2021-Implantação de monitoramento on-line de buchas do PBAT6-01-Aquisição de sistema de monitoramento de buchas on-line para os transformadores e reatores de potência da Eletronorte (SISTEMA DE TRANSMISSÃO)</t>
  </si>
  <si>
    <t>PIMENTA BUENO|0008249/2021-Instalação de rede de comunicação para monitoramento nos transformadores e reatores de potência conectados ao SIN da subestação PIMENTA BUENO, contemplando switches, fibras ópticas, painéis, entre outros.-Aquisição de sistema de monitoramento de buchas on-line para os transformadores e reatores de potência da Eletronorte (SISTEMA DE TRANSMISSÃO)</t>
  </si>
  <si>
    <t>PORTO FRANCO|0008563/2021-Implantação de monitoramento on-line de buchas do PFAT6-01-Aquisição de sistema de monitoramento de buchas on-line para os transformadores e reatores de potência da Eletronorte (SISTEMA DE TRANSMISSÃO)</t>
  </si>
  <si>
    <t>PORTO FRANCO|0008564/2021-Implantação de monitoramento on-line de buchas do PFAT6-02-Aquisição de sistema de monitoramento de buchas on-line para os transformadores e reatores de potência da Eletronorte (SISTEMA DE TRANSMISSÃO)</t>
  </si>
  <si>
    <t>PORTO FRANCO|0008567/2021-Implantação de monitoramento on-line de buchas do PFTF6-01-Aquisição de sistema de monitoramento de buchas on-line para os transformadores e reatores de potência da Eletronorte (SISTEMA DE TRANSMISSÃO)</t>
  </si>
  <si>
    <t>PORTO FRANCO|0008568/2021-Implantação de monitoramento on-line de buchas do PFTF6-02-Aquisição de sistema de monitoramento de buchas on-line para os transformadores e reatores de potência da Eletronorte (SISTEMA DE TRANSMISSÃO)</t>
  </si>
  <si>
    <t>PORTO FRANCO|0008570/2021-Implantação de monitoramento on-line de buchas do PFTF6-03-Aquisição de sistema de monitoramento de buchas on-line para os transformadores e reatores de potência da Eletronorte (SISTEMA DE TRANSMISSÃO)</t>
  </si>
  <si>
    <t>PORTO FRANCO|0008572/2021-Instalação de rede de comunicação para monitoramento nos transformadores e reatores de potência conectados ao SIN da subestação PORTO FRANCO, contemplando switches, fibras ópticas, painéis, entre outros.-Aquisição de sistema de monitoramento de buchas on-line para os transformadores e reatores de potência da Eletronorte (SISTEMA DE TRANSMISSÃO)</t>
  </si>
  <si>
    <t>PORTO VELHO|0008994/2021-Instalação de rede de comunicação para monitoramento nos transformadores e reatores de potência conectados ao SIN da subestação PORTO VELHO, contemplando switches, fibras ópticas, painéis, entre outros.-Aquisição de sistema de monitoramento de buchas on-line para os transformadores e reatores de potência da Eletronorte (SISTEMA DE TRANSMISSÃO)</t>
  </si>
  <si>
    <t>RIB.GONCALVES|0008584/2021-Implantação de monitoramento on-line de buchas do RGTF6-01-Aquisição de sistema de monitoramento de buchas on-line para os transformadores e reatores de potência da Eletronorte (SISTEMA DE TRANSMISSÃO)</t>
  </si>
  <si>
    <t>RIB.GONCALVES|0008588/2021-Implantação de monitoramento on-line de buchas do RGTF6-02-Aquisição de sistema de monitoramento de buchas on-line para os transformadores e reatores de potência da Eletronorte (SISTEMA DE TRANSMISSÃO)</t>
  </si>
  <si>
    <t>RIB.GONCALVES|0008592/2021-Implantação de monitoramento on-line de buchas do RGAT7-01-Aquisição de sistema de monitoramento de buchas on-line para os transformadores e reatores de potência da Eletronorte (SISTEMA DE TRANSMISSÃO)</t>
  </si>
  <si>
    <t>RIB.GONCALVES|0008595/2021-Instalação de rede de comunicação para monitoramento nos transformadores e reatores de potência conectados ao SIN da subestação RIBEIRO GONÇALVES, contemplando switches, fibras ópticas, painéis, entre outros.-Aquisição de sistema de monitoramento de buchas on-line para os transformadores e reatores de potência da Eletronorte (SISTEMA DE TRANSMISSÃO)</t>
  </si>
  <si>
    <t>RIO BRANCO I|0007911/2021-Implantação de monitoramento on-line de buchas do RBTF6-01-Aquisição de sistema de monitoramento de buchas on-line para os transformadores e reatores de potência da Eletronorte (SISTEMA DE TRANSMISSÃO)</t>
  </si>
  <si>
    <t>RIO BRANCO I|0008772/2021-Implantação de monitoramento on-line de buchas do RBRE6-03-Aquisição de sistema de monitoramento de buchas on-line para os transformadores e reatores de potência da Eletronorte (SISTEMA DE TRANSMISSÃO)</t>
  </si>
  <si>
    <t>RIO BRANCO I|0008778/2021-Implantação de monitoramento on-line de buchas do RBRE6-01-Aquisição de sistema de monitoramento de buchas on-line para os transformadores e reatores de potência da Eletronorte (SISTEMA DE TRANSMISSÃO)</t>
  </si>
  <si>
    <t>RIO BRANCO I|0008787/2021-Implantação de monitoramento on-line de buchas do RBAT6-01-Aquisição de sistema de monitoramento de buchas on-line para os transformadores e reatores de potência da Eletronorte (SISTEMA DE TRANSMISSÃO)</t>
  </si>
  <si>
    <t>RIO BRANCO I|0008793/2021-Instalação de rede de comunicação para monitoramento nos transformadores e reatores de potência conectados ao SIN da subestação RIO BRANCO I, contemplando switches, fibras ópticas, painéis, entre outros.-Aquisição de sistema de monitoramento de buchas on-line para os transformadores e reatores de potência da Eletronorte (SISTEMA DE TRANSMISSÃO)</t>
  </si>
  <si>
    <t>RONDONOPOLIS|0008202/2021-Implantação de monitoramento on-line de buchas do RPAT6-01-Aquisição de sistema de monitoramento de buchas on-line para os transformadores e reatores de potência da Eletronorte (SISTEMA DE TRANSMISSÃO)</t>
  </si>
  <si>
    <t>RONDONOPOLIS|0008207/2021-Implantação de monitoramento on-line de buchas do RPRE6-02-Aquisição de sistema de monitoramento de buchas on-line para os transformadores e reatores de potência da Eletronorte (SISTEMA DE TRANSMISSÃO)</t>
  </si>
  <si>
    <t>RONDONOPOLIS|0008212/2021-Implantação de monitoramento on-line de buchas do RPRE6-03-Aquisição de sistema de monitoramento de buchas on-line para os transformadores e reatores de potência da Eletronorte (SISTEMA DE TRANSMISSÃO)</t>
  </si>
  <si>
    <t>RONDONOPOLIS|0008217/2021-Instalação de rede de comunicação para monitoramento nos transformadores e reatores de potência conectados ao SIN da subestação RONDONÔPOLIS, contemplando switches, fibras ópticas, painéis, entre outros.-Aquisição de sistema de monitoramento de buchas on-line para os transformadores e reatores de potência da Eletronorte (SISTEMA DE TRANSMISSÃO)</t>
  </si>
  <si>
    <t>RUROPOLIS|0008898/2021-Implantação de monitoramento on-line de buchas do RURE6-02-Aquisição de sistema de monitoramento de buchas on-line para os transformadores e reatores de potência da Eletronorte (SISTEMA DE TRANSMISSÃO)</t>
  </si>
  <si>
    <t>RUROPOLIS|0008914/2021-Implantação de monitoramento on-line de buchas do RUAT6-02-Aquisição de sistema de monitoramento de buchas on-line para os transformadores e reatores de potência da Eletronorte (SISTEMA DE TRANSMISSÃO)</t>
  </si>
  <si>
    <t>RUROPOLIS|0008927/2021-Implantação de monitoramento on-line de buchas do RUAT6-01-Aquisição de sistema de monitoramento de buchas on-line para os transformadores e reatores de potência da Eletronorte (SISTEMA DE TRANSMISSÃO)</t>
  </si>
  <si>
    <t>RUROPOLIS|0008938/2021-Instalação de rede de comunicação para monitoramento nos transformadores e reatores de potência conectados ao SIN da subestação RUROPOLIS, contemplando switches, fibras ópticas, painéis, entre outros.-Aquisição de sistema de monitoramento de buchas on-line para os transformadores e reatores de potência da Eletronorte (SISTEMA DE TRANSMISSÃO)</t>
  </si>
  <si>
    <t>SANTA MARIA|0008648/2021-Implantação de monitoramento on-line de buchas do SRAT6-01-Aquisição de sistema de monitoramento de buchas on-line para os transformadores e reatores de potência da Eletronorte (SISTEMA DE TRANSMISSÃO)</t>
  </si>
  <si>
    <t>SANTA MARIA|0008658/2021-Implantação de monitoramento on-line de buchas do SRAT6-02-Aquisição de sistema de monitoramento de buchas on-line para os transformadores e reatores de potência da Eletronorte (SISTEMA DE TRANSMISSÃO)</t>
  </si>
  <si>
    <t>SANTA MARIA|0008664/2021-Implantação de monitoramento on-line de buchas do SRTF6-01-Aquisição de sistema de monitoramento de buchas on-line para os transformadores e reatores de potência da Eletronorte (SISTEMA DE TRANSMISSÃO)</t>
  </si>
  <si>
    <t>SANTA MARIA|0008671/2021-Implantação de monitoramento on-line de buchas do SRTF6-02-Aquisição de sistema de monitoramento de buchas on-line para os transformadores e reatores de potência da Eletronorte (SISTEMA DE TRANSMISSÃO)</t>
  </si>
  <si>
    <t>SANTA MARIA|0008674/2021-Instalação de rede de comunicação para monitoramento nos transformadores e reatores de potência conectados ao SIN da subestação SANTA MARIA, contemplando switches, fibras ópticas, painéis, entre outros.-Aquisição de sistema de monitoramento de buchas on-line para os transformadores e reatores de potência da Eletronorte (SISTEMA DE TRANSMISSÃO)</t>
  </si>
  <si>
    <t>SAO LUIS I|0008312/2021-Implantação de monitoramento on-line de buchas do LITF6-04-Aquisição de sistema de monitoramento de buchas on-line para os transformadores e reatores de potência da Eletronorte (SISTEMA DE TRANSMISSÃO)</t>
  </si>
  <si>
    <t>SAO LUIS I|0008318/2021-Instalação de rede de comunicação para monitoramento nos transformadores e reatores de potência conectados ao SIN da subestação SÃO LUIS I, contemplando switches, fibras ópticas, painéis, entre outros.-Aquisição de sistema de monitoramento de buchas on-line para os transformadores e reatores de potência da Eletronorte (SISTEMA DE TRANSMISSÃO)</t>
  </si>
  <si>
    <t>SAO LUIS II|0008324/2021-Implantação de monitoramento on-line de buchas do LDAT7-01-Aquisição de sistema de monitoramento de buchas on-line para os transformadores e reatores de potência da Eletronorte (SISTEMA DE TRANSMISSÃO)</t>
  </si>
  <si>
    <t>SAO LUIS II|0008327/2021-Implantação de monitoramento on-line de buchas do LDAT7-02-Aquisição de sistema de monitoramento de buchas on-line para os transformadores e reatores de potência da Eletronorte (SISTEMA DE TRANSMISSÃO)</t>
  </si>
  <si>
    <t>SAO LUIS II|0008333/2021-Implantação de monitoramento on-line de buchas do LDAT7-03-Aquisição de sistema de monitoramento de buchas on-line para os transformadores e reatores de potência da Eletronorte (SISTEMA DE TRANSMISSÃO)</t>
  </si>
  <si>
    <t>SAO LUIS II|0008341/2021-Implantação de monitoramento on-line de buchas do LDTF6-01-Aquisição de sistema de monitoramento de buchas on-line para os transformadores e reatores de potência da Eletronorte (SISTEMA DE TRANSMISSÃO)</t>
  </si>
  <si>
    <t>SAO LUIS II|0008344/2021-Implantação de monitoramento on-line de buchas do LDTF6-02-Aquisição de sistema de monitoramento de buchas on-line para os transformadores e reatores de potência da Eletronorte (SISTEMA DE TRANSMISSÃO)</t>
  </si>
  <si>
    <t>SAO LUIS II|0008347/2021-Instalação de rede de comunicação para monitoramento nos transformadores e reatores de potência conectados ao SIN da subestação SÃO LUIS II, contemplando switches, fibras ópticas, painéis, entre outros.-Aquisição de sistema de monitoramento de buchas on-line para os transformadores e reatores de potência da Eletronorte (SISTEMA DE TRANSMISSÃO)</t>
  </si>
  <si>
    <t>SAO LUIS III|0008351/2021-Implantação de monitoramento on-line de buchas do LTTF6-01-Aquisição de sistema de monitoramento de buchas on-line para os transformadores e reatores de potência da Eletronorte (SISTEMA DE TRANSMISSÃO)</t>
  </si>
  <si>
    <t>SAO LUIS III|0008354/2021-Implantação de monitoramento on-line de buchas do LTTF6-02-Aquisição de sistema de monitoramento de buchas on-line para os transformadores e reatores de potência da Eletronorte (SISTEMA DE TRANSMISSÃO)</t>
  </si>
  <si>
    <t>SAO LUIS III|0008358/2021-Instalação de rede de comunicação para monitoramento nos transformadores e reatores de potência conectados ao SIN da subestação SÃO LUIS III, contemplando switches, fibras ópticas, painéis, entre outros.-Aquisição de sistema de monitoramento de buchas on-line para os transformadores e reatores de potência da Eletronorte (SISTEMA DE TRANSMISSÃO)</t>
  </si>
  <si>
    <t>SINOP|0007863/2021-Implantação de monitoramento on-line de buchas do SPTF6-01 do SPCE6-01-Aquisição de sistema de monitoramento de buchas on-line para os transformadores e reatores de potência da Eletronorte (SISTEMA DE TRANSMISSÃO)</t>
  </si>
  <si>
    <t>SINOP|0007879/2021-Implantação de monitoramento on-line de buchas do SPRE6-01-Aquisição de sistema de monitoramento de buchas on-line para os transformadores e reatores de potência da Eletronorte (SISTEMA DE TRANSMISSÃO)</t>
  </si>
  <si>
    <t>SINOP|0007886/2021-Implantação de monitoramento on-line de buchas do SPRE6-02-Aquisição de sistema de monitoramento de buchas on-line para os transformadores e reatores de potência da Eletronorte (SISTEMA DE TRANSMISSÃO)</t>
  </si>
  <si>
    <t>SINOP|0007937/2021-Instalação de rede de comunicação para monitoramento nos transformadores e reatores de potência conectados ao SIN da subestação SINOP, contemplando switches, fibras ópticas, painéis, entre outros.-Aquisição de sistema de monitoramento de buchas on-line para os transformadores e reatores de potência da Eletronorte (SISTEMA DE TRANSMISSÃO)</t>
  </si>
  <si>
    <t>SORRISO|0008935/2021-Instalação de rede de comunicação para monitoramento nos transformadores e reatores de potência conectados ao SIN da subestação SORRISO, contemplando switches, fibras ópticas, painéis, entre outros.-Aquisição de sistema de monitoramento de buchas on-line para os transformadores e reatores de potência da Eletronorte (SISTEMA DE TRANSMISSÃO)</t>
  </si>
  <si>
    <t>TRANSAMAZONIC|0008868/2021-Implantação de monitoramento on-line de buchas do TMRE6-01-Aquisição de sistema de monitoramento de buchas on-line para os transformadores e reatores de potência da Eletronorte (SISTEMA DE TRANSMISSÃO)</t>
  </si>
  <si>
    <t>TRANSAMAZONIC|0008873/2021-Implantação de monitoramento on-line de buchas do TMTF6-01-Aquisição de sistema de monitoramento de buchas on-line para os transformadores e reatores de potência da Eletronorte (SISTEMA DE TRANSMISSÃO)</t>
  </si>
  <si>
    <t>TRANSAMAZONIC|0008882/2021-Instalação de rede de comunicação para monitoramento nos transformadores e reatores de potência conectados ao SIN da subestação TRANSAMAZÔNICA, contemplando switches, fibras ópticas, painéis, entre outros.-Aquisição de sistema de monitoramento de buchas on-line para os transformadores e reatores de potência da Eletronorte (SISTEMA DE TRANSMISSÃO)</t>
  </si>
  <si>
    <t>TUCURUI|0008966/2021-Implantação de monitoramento on-line de buchas do TCAT6-04-Aquisição de sistema de monitoramento de buchas on-line para os transformadores e reatores de potência da Eletronorte (SISTEMA DE TRANSMISSÃO)</t>
  </si>
  <si>
    <t>TUCURUI|0008975/2021-Implantação de monitoramento on-line de buchas do TCAT6-03-Aquisição de sistema de monitoramento de buchas on-line para os transformadores e reatores de potência da Eletronorte (SISTEMA DE TRANSMISSÃO)</t>
  </si>
  <si>
    <t>TUCURUI|0009001/2021-Instalação de rede de comunicação para monitoramento nos transformadores e reatores de potência conectados ao SIN da subestação TUCURUÍ, contemplando switches, fibras ópticas, painéis, entre outros.-Aquisição de sistema de monitoramento de buchas on-line para os transformadores e reatores de potência da Eletronorte (SISTEMA DE TRANSMISSÃO)</t>
  </si>
  <si>
    <t>UTINGA|0008959/2021-Instalação de rede de comunicação para monitoramento nos transformadores e reatores de potência conectados ao SIN da subestação UTINGA, contemplando switches, fibras ópticas, painéis, entre outros.-Aquisição de sistema de monitoramento de buchas on-line para os transformadores e reatores de potência da Eletronorte (SISTEMA DE TRANSMISSÃO)</t>
  </si>
  <si>
    <t>VILA DO CONDE|0008879/2021-Implantação de monitoramento on-line de buchas do VCAT7-01-Aquisição de sistema de monitoramento de buchas on-line para os transformadores e reatores de potência da Eletronorte (SISTEMA DE TRANSMISSÃO)</t>
  </si>
  <si>
    <t>VILA DO CONDE|0008884/2021-Implantação de monitoramento on-line de buchas do VCAT7-04-Aquisição de sistema de monitoramento de buchas on-line para os transformadores e reatores de potência da Eletronorte (SISTEMA DE TRANSMISSÃO)</t>
  </si>
  <si>
    <t>VILA DO CONDE|0008899/2021-Implantação de monitoramento on-line de buchas do VCRE7-01-Aquisição de sistema de monitoramento de buchas on-line para os transformadores e reatores de potência da Eletronorte (SISTEMA DE TRANSMISSÃO)</t>
  </si>
  <si>
    <t>VILA DO CONDE|0008907/2021-Implantação de monitoramento on-line de buchas do VCRE7-04-Aquisição de sistema de monitoramento de buchas on-line para os transformadores e reatores de potência da Eletronorte (SISTEMA DE TRANSMISSÃO)</t>
  </si>
  <si>
    <t>VILA DO CONDE|0008917/2021-Instalação de rede de comunicação para monitoramento nos transformadores e reatores de potência conectados ao SIN da subestação VILA DO CONDE, contemplando switches, fibras ópticas, painéis, entre outros.-Aquisição de sistema de monitoramento de buchas on-line para os transformadores e reatores de potência da Eletronorte (SISTEMA DE TRANSMISSÃO)</t>
  </si>
  <si>
    <t>VILHENA|0007942/2021-Implantação de monitoramento on-line de buchas do VNRE6-07-Aquisição de sistema de monitoramento de buchas on-line para os transformadores e reatores de potência da Eletronorte (SISTEMA DE TRANSMISSÃO)</t>
  </si>
  <si>
    <t>VILHENA|0007969/2021-Implantação de monitoramento on-line de buchas do VNRE6-06-Aquisição de sistema de monitoramento de buchas on-line para os transformadores e reatores de potência da Eletronorte (SISTEMA DE TRANSMISSÃO)</t>
  </si>
  <si>
    <t>VILHENA|0007975/2021-Implantação de monitoramento on-line de buchas do VNRE6-02-Aquisição de sistema de monitoramento de buchas on-line para os transformadores e reatores de potência da Eletronorte (SISTEMA DE TRANSMISSÃO)</t>
  </si>
  <si>
    <t>VILHENA|0007989/2021-Implantação de monitoramento on-line de buchas do VNTF6-03-Aquisição de sistema de monitoramento de buchas on-line para os transformadores e reatores de potência da Eletronorte (SISTEMA DE TRANSMISSÃO)</t>
  </si>
  <si>
    <t>VILHENA|0007992/2021-Implantação de monitoramento on-line de buchas do VNTF6-02-Aquisição de sistema de monitoramento de buchas on-line para os transformadores e reatores de potência da Eletronorte (SISTEMA DE TRANSMISSÃO)</t>
  </si>
  <si>
    <t>SEM INSTALAÇÃO ESPECÍFICA|Sem PMI--Fornecimento de um autotransformador trifásico 72,5 / 36,2 / 15 kV - 30 MVA para instalação na SE TUCURUÍ-VILA</t>
  </si>
  <si>
    <t>C.PORTO VELHO|0002519/2018-SUBSTITUIÇÃO DE UM TRANSFORMADOR DE CORRENTE DE 500 KV, FASE A DO DISJUNTOR 1170, DO MODULO GERAL.-Aquisição de 04 (quatro) transformadores de corrente 500 kV, sendo 01 (um) sobressalente estratégico, a serem em instalados na SE Coletora Porto Velho, em substituição aos transformadores de corrente existentes no vão W9.</t>
  </si>
  <si>
    <t>C.PORTO VELHO|0002520/2018-SUBSTITUIÇÃO DE UM TRANSFORMADOR DE CORRENTE DE 500 KV, FASE B DO DISJUNTOR 1170, DO MODULO GERAL.-Aquisição de 04 (quatro) transformadores de corrente 500 kV, sendo 01 (um) sobressalente estratégico, a serem em instalados na SE Coletora Porto Velho, em substituição aos transformadores de corrente existentes no vão W9.</t>
  </si>
  <si>
    <t>C.PORTO VELHO|0002521/2018-SUBSTITUIÇÃO DE UM TRANSFORMADOR DE CORRENTE DE 500 KV, FASE V DO DISJUNTOR 1170, DO MODULO GERAL.-Aquisição de 04 (quatro) transformadores de corrente 500 kV, sendo 01 (um) sobressalente estratégico, a serem em instalados na SE Coletora Porto Velho, em substituição aos transformadores de corrente existentes no vão W9.</t>
  </si>
  <si>
    <t>SAO LUIS II|0008979/2022-Substituir estrutura metálica do compartimento de moto-ventiladores do sistema de resfriamento do Compensador Estático 01 - LDCE2-01-Recuperação Sistema de Valvulas do LDCE2-01</t>
  </si>
  <si>
    <t>TRANSAMAZONIC|0008641/2019-Substituição dos transformadores de potencial indutivo 34,5kV no TMTF6-01-Transformador de Correte e de Potencial Indutivo</t>
  </si>
  <si>
    <t>TRANSAMAZONIC|0008643/2019-Substituição dos transformadores de potencial indutivo 34,5kV no TMTF6-02-Transformador de Correte e de Potencial Indutivo</t>
  </si>
  <si>
    <t>SEM INSTALAÇÃO ESPECÍFICA|Sem PMI--Casa de Apoio a manutenção Subestação Miramar</t>
  </si>
  <si>
    <t>SAO LUIS I|0005103/2019-SUBSTITUIÇÃO DO DISJUNTOR SIEMENS 3AS2 LIDB6-01-DISJUNTOR (MAIOR OU IGUAL 69 KV) São Luis I</t>
  </si>
  <si>
    <t>SAO LUIS I|0005106/2019-SUBSTITUIÇÃO DO DISJUNTOR SIEMENS 3AS2 LIDJ6-05-DISJUNTOR (MAIOR OU IGUAL 69 KV) São Luis I</t>
  </si>
  <si>
    <t>SAO LUIS I|0005114/2019-SUBSTITUIÇÃO DO DISJUNTOR SIEMENS 3AS2 LIDJ6-04-DISJUNTOR (MAIOR OU IGUAL 69 KV) São Luis I</t>
  </si>
  <si>
    <t>SAO LUIS I|0005124/2019-SUBSTITUIÇÃO DO DISJUNTOR SIEMENS 3AS2 LIDJ6-03-DISJUNTOR (MAIOR OU IGUAL 69 KV) São Luis I</t>
  </si>
  <si>
    <t>SAO LUIS I|0005145/2019-SUBSTITUIÇÃO DO DISJUNTOR SIEMENS 3AS2 LIDJ6-02-DISJUNTOR (MAIOR OU IGUAL 69 KV) São Luis I</t>
  </si>
  <si>
    <t>SAO LUIS I|0005146/2019-SUBSTITUIÇÃO DO DISJUNTOR SIEMENS 3AS2 LIDJ6-02-DISJUNTOR (MAIOR OU IGUAL 69 KV) São Luis I</t>
  </si>
  <si>
    <t>SAO LUIS I|0005156/2019-SUBSTITUIÇÃO DO DISJUNTOR SIEMENS 3AS2 LIDJ6-01-DISJUNTOR (MAIOR OU IGUAL 69 KV) São Luis I</t>
  </si>
  <si>
    <t>SAO LUIS I|0008659/2022-SUBSTITUIÇÃO DO DISJUNTOR TRIPOLAR LIDB4-01-DISJUNTOR (MAIOR OU IGUAL 69 KV) São Luis I</t>
  </si>
  <si>
    <t>SEM INSTALAÇÃO ESPECÍFICA|Sem PMI--ESTRUTURA METÁLICA TORRE</t>
  </si>
  <si>
    <t>SEM INSTALAÇÃO ESPECÍFICA|Sem PMI--APRELHO TESTE RIGIDEZ DIELÉTRICA EM ÓLEO</t>
  </si>
  <si>
    <t>SEM INSTALAÇÃO ESPECÍFICA|Sem PMI--CARGA RESISTIVA MICROPROCESSADA</t>
  </si>
  <si>
    <t>SEM INSTALAÇÃO ESPECÍFICA|Sem PMI--IMPLANT SIST COMBATE A INCENDIO</t>
  </si>
  <si>
    <t>SEM INSTALAÇÃO ESPECÍFICA|Sem PMI--AVCB - CONSTR. DE ABRIGOS DE EXTINTORES</t>
  </si>
  <si>
    <t>SEM INSTALAÇÃO ESPECÍFICA|Sem PMI--DISJUNTOR (MAIOR OU IGUAL 69 KV)</t>
  </si>
  <si>
    <t>SEM INSTALAÇÃO ESPECÍFICA|Sem PMI--DISJ. TRIPOLAR 145 kV</t>
  </si>
  <si>
    <t>SEM INSTALAÇÃO ESPECÍFICA|Sem PMI--SERVIÇOS DE DESENVOLVIMENTO DE NOVOS SOFTWARES DEDICADOS AOS PROCESSOS DE OPERAÇÃO E MANUTENÇÃO DA GERAÇÃO E TRANSMISSÃO, NOVAS FUNCIONALIDADES E CORREÇÕES NOS EXISTENTES, BEM COMO SUPORTE E ATENDIMENTO AOS USUÁRIOS DA ELETROBRAS ELETRONORTE.</t>
  </si>
  <si>
    <t>BARRA PEIXE|0006562/2021-SUBSTITUIÇÃO DO DISJUNTOR BPDJ5-01 ASSOCIADO AO MÓDULO DE CONEXÃO EM 138kV DO AUTOTRANSFORMADOR 230/138/13.8kV DA SE BARRA DO PEIXE.-Aquisição / Serviço de instalação e comissionamento de Disjuntores de 245kV
PA -MA - MT -RO</t>
  </si>
  <si>
    <t>BARRA PEIXE|0006564/2021-SUBSTITUIÇÃO DO DISJUNTOR BPDJ6-09 ASSOCIADO AO MÓDULO DE CONEXÃO EM 230kV DO AUTOTRANSFORMADOR 230/138/13.8kV  NUMERO 1 DA SE BARRA DO PEIXE.-Aquisição / Serviço de instalação e comissionamento de Disjuntores de 245kV
PA -MA - MT -RO</t>
  </si>
  <si>
    <t>GUAMA|0004968/2022-SUBSTITUIÇÃO DO DISJUNTOR GMDJ6-03 DA LINHA VILA DO CONDE - GUAMA 230 KV C2-Aquisição / Serviço de instalação e comissionamento de Disjuntores de 245kV
PA -MA - MT -RO</t>
  </si>
  <si>
    <t>GUAMA|0005049/2022-Substituição do Disjuntor 230 kV - GMDJ6-02-Aquisição / Serviço de instalação e comissionamento de Disjuntores de 245kV
PA -MA - MT -RO</t>
  </si>
  <si>
    <t>GUAMA|0006498/2019-Substituição de 01(um) Disjuntor de 230 kV -GMDJ6 11 - associado a função BANCO DE CAPACITORES GMBC6-01 da Subestação Guamá. -Aquisição / Serviço de instalação e comissionamento de Disjuntores de 245kV
PA -MA - MT -RO</t>
  </si>
  <si>
    <t>GUAMA|0006574/2019-Revitalização geral com substituição de componentes do mecanismo de acionamento de abertura e fechamento de 01(um) Disjuntor de 230 kV -GMDJ6 11 - associado a função BANCO DE CAPACITORES GMBC6-01 da Subestação Guamá. -Aquisição / Serviço de instalação e comissionamento de Disjuntores de 245kV
PA -MA - MT -RO</t>
  </si>
  <si>
    <t>GUAMA|0006589/2019-Revitalização geral com substituição de componentes do mecanismo de acionamento de abertura e fechamento  01(um) Disjuntor de 230 kV ( GMDJ6 12 ) associado a função BANCO DE CAPACITORES GMBC6-02 da Subestação Guamá. -Aquisição / Serviço de instalação e comissionamento de Disjuntores de 245kV
PA -MA - MT -RO</t>
  </si>
  <si>
    <t>GUAMA|0006594/2019-Revitalização geral com substituição de componentes do mecanismo de acionamento de abertura e fechamento  01(um) Disjuntor de 230 kV ( GMDJ6 12 ) associado a função BANCO DE CAPACITORES GMBC6-02 da Subestação Guamá. -Aquisição / Serviço de instalação e comissionamento de Disjuntores de 245kV
PA -MA - MT -RO</t>
  </si>
  <si>
    <t>GUAMA|0007004/2022-Substituição do Disjuntor 230 kV - GMDJ6-04-Aquisição / Serviço de instalação e comissionamento de Disjuntores de 245kV
PA -MA - MT -RO</t>
  </si>
  <si>
    <t>GUAMA|0007352/2022-SUBSTITUIÇÃO DO DISJUNTOR GMDJ6-01 DA LINHA VILA DO CONDE - GUAMA 230 KV C1-Aquisição / Serviço de instalação e comissionamento de Disjuntores de 245kV
PA -MA - MT -RO</t>
  </si>
  <si>
    <t>GUAMA|0007357/2022-SUBSTITUIÇÃO DO DISJUNTOR GMDJ6-09 DA LINHA GUAMA - MARITUBA 230KV C1.-Aquisição / Serviço de instalação e comissionamento de Disjuntores de 245kV
PA -MA - MT -RO</t>
  </si>
  <si>
    <t>GUAMA|0008115/2022-Substituição do Disjuntor a SF6  230 kV - GMDJ6-04-Aquisição / Serviço de instalação e comissionamento de Disjuntores de 245kV
PA -MA - MT -RO</t>
  </si>
  <si>
    <t>GUAMA|0008249/2022-SUBSTITUIÇÃO DO DISJUNTOR GMDJ6-10 DA LINHA GUAMA - MARITUBA 230KV C2.-Aquisição / Serviço de instalação e comissionamento de Disjuntores de 245kV
PA -MA - MT -RO</t>
  </si>
  <si>
    <t>JARU|0006599/2020-Substituição de um (01) disjuntor 230kV JRDJ6-03, associado ao bay do transformador JRTF6-01 da Subestação de Jarú.-Aquisição / Serviço de instalação e comissionamento de Disjuntores de 245kV
PA -MA - MT -RO</t>
  </si>
  <si>
    <t>JI-PARANA|0008372/2021-Substituição de um (01) disjuntor 230kV JPDJ6-03, associado ao bay do transformador de 230 KV,  JPTF6-01 da Subestação Ji-Paraná - N-S-ROJP-TF601-MC230-JPDJ603-Aquisição / Serviço de instalação e comissionamento de Disjuntores de 245kV
PA -MA - MT -RO</t>
  </si>
  <si>
    <t>JI-PARANA|0008376/2021-Substituição de 01 (um) disjuntor 230kV ,JPDJ6-06, associado ao bay do transformador de 230 KV,  JPTF6-02 da Subestação Ji-Paraná - N-S-ROJP-TF602-MC230-JPDJ606-Aquisição / Serviço de instalação e comissionamento de Disjuntores de 245kV
PA -MA - MT -RO</t>
  </si>
  <si>
    <t>JI-PARANA|0008393/2021-Substituição de 01 (um) disjuntor 230kV  JPDJ6-10, associado ao bay do Banco de Capacitores JPBC6-01 da Subestação Ji-Paraná - N-S-ROJP-BC601-MC230-JPDJ610-Aquisição / Serviço de instalação e comissionamento de Disjuntores de 245kV
PA -MA - MT -RO</t>
  </si>
  <si>
    <t>JI-PARANA|0008625/2021-Substituição de 01 (um) disjuntor 230kV JPDJ6-02, associado ao bay da Linha de Transmissão  JRJP-LT6-01 da Subestação Ji-Paraná - N-S-ROJP-JRJPLT601-ELJP-JPDJ602-Aquisição / Serviço de instalação e comissionamento de Disjuntores de 245kV
PA -MA - MT -RO</t>
  </si>
  <si>
    <t>JI-PARANA|0008637/2021-Substituição de 01 (um) disjuntor 230kV JPDJ6-01 Reator, associado ao bay da Linha de Transmissão  JRJP-LT6-01 da Subestação Ji-Paraná - N-S-ROJP-RE601-MC230-JPDJ601-Aquisição / Serviço de instalação e comissionamento de Disjuntores de 245kV
PA -MA - MT -RO</t>
  </si>
  <si>
    <t>MIRAMAR|0006661/2019-Revitalização geral com substituição de componentes do mecanismo de acionamento de abertura e fechamento de 01(um) Disjuntor de 230KV -(MMDJ6-01)  - associado a função TRANSFORMAÇÃO MMTF601.-Aquisição / Serviço de instalação e comissionamento de Disjuntores de 245kV
PA -MA - MT -RO</t>
  </si>
  <si>
    <t>RONDONOPOLIS|0003989/2022-SUBSTITUIR O CONJUNTO COMPLETO DO DISJUNTOR 230 kV - RPDB6-01-Aquisição / Serviço de instalação e comissionamento de Disjuntores de 245kV
PA -MA - MT -RO</t>
  </si>
  <si>
    <t>TUCURUI|0008267/2019-Revitalização geral com substituição de componentes do mecanismo de acionamento de abertura e fechamento de 01(um) Disjuntor de 230KV -(TCDJ6-04)  - associado a função LINHA DE TRANSMISSÃO TCAT-LT6-01-Aquisição / Serviço de instalação e comissionamento de Disjuntores de 245kV
PA -MA - MT -RO</t>
  </si>
  <si>
    <t>UTINGA|0006653/2019-Revitalização geral com substituição de componentes do mecanismo de acionamento de abertura e fechamento de 01(um) Disjuntor de 230KV -(UGDJ6-18)  - associado a função BANCO DE CAPACITORES UGBC6-03 da Subestação Utinga-Aquisição / Serviço de instalação e comissionamento de Disjuntores de 245kV
PA -MA - MT -RO</t>
  </si>
  <si>
    <t>UTINGA|0006657/2019-Revitalização geral com substituição de componentes do mecanismo de acionamento de abertura e fechamento de 01(um) Disjuntor de 230KV -(UGDJ6-19)  - associado a função BANCO DE CAPACITORES UGBC6-04 da Subestação Utinga-Aquisição / Serviço de instalação e comissionamento de Disjuntores de 245kV
PA -MA - MT -RO</t>
  </si>
  <si>
    <t>UTINGA|0007434/2022-SUBSTITUIÇÃO DO DISJUNTOR UGDJ6-01 DA LINHA UTINGA - MARITUBA 230KV C1-Aquisição / Serviço de instalação e comissionamento de Disjuntores de 245kV
PA -MA - MT -RO</t>
  </si>
  <si>
    <t>UTINGA|0007457/2022-SUBSTITUIÇÃO DO DISJUNTOR UGDJ6-03 DA LINHA UTINGA - MARITUBA 230KV C2.-Aquisição / Serviço de instalação e comissionamento de Disjuntores de 245kV
PA -MA - MT -RO</t>
  </si>
  <si>
    <t>VILA DO CONDE|0003116/2022-Substituição das três fases (A, B e V) do Disjuntor 230 KV VCDJ6-01-Aquisição / Serviço de instalação e comissionamento de Disjuntores de 245kV
PA -MA - MT -RO</t>
  </si>
  <si>
    <t>VILA DO CONDE|0003121/2022-Substituição das três fases (A, B e V) do Disjuntor 230 KV VCDJ6-03-Aquisição / Serviço de instalação e comissionamento de Disjuntores de 245kV
PA -MA - MT -RO</t>
  </si>
  <si>
    <t>VILA DO CONDE|0008010/2022-SUBSTITUIÇÃO DO DISJUNTOR A SF6 230 kV - VCDJ6-12-Aquisição / Serviço de instalação e comissionamento de Disjuntores de 245kV
PA -MA - MT -RO</t>
  </si>
  <si>
    <t>VILA DO CONDE|0008091/2022-SUBSTITUIÇÃO DO DISJUNTOR VCDJ6-29 DO MODULO GERAL MÓDULO GERAL 230 kV SEVC - VÃO C-Aquisição / Serviço de instalação e comissionamento de Disjuntores de 245kV
PA -MA - MT -RO</t>
  </si>
  <si>
    <t>ARARAQUARA 2|0007075/2019-Instalação de sistemas de monitoramento on-line de gases dissolvido no óleo, no transformador TF1D FASE A da subestação Araraquara II, em Araraquara - SP.-Aquisição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</si>
  <si>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ARARAQUARA 2|0007089/2019-Instalação de sistemas de monitoramento on-line de gases dissolvido no óleo, no transformador TF1Y FASE A da subestação Araraquara II, em Araraquara - SP.-Aquisição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</si>
  <si>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ARARAQUARA 2|0007093/2019-Instalação de sistemas de monitoramento on-line de gases dissolvido no óleo, no transformador TF1Y FASE B da subestação Araraquara II, em Araraquara - SP.-Aquisição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</si>
  <si>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ARARAQUARA 2|0007095/2019-Instalação de sistemas de monitoramento on-line de gases dissolvido no óleo, no transformador TF1Y FASE C da subestação Araraquara II, em Araraqiara - SP.-Aquisição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</si>
  <si>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ARARAQUARA 2|0007100/2019-Instalação de sistemas de monitoramento on-line de gases dissolvido no óleo, no transformador TF2D FASE A da subestação Araraquara II, em Araraquara - SP.-Aquisição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</si>
  <si>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ARARAQUARA 2|0007103/2019-Instalação de sistemas de monitoramento on-line de gases dissolvido no óleo, no transformador TF2D FASE B da subestação Araraquara II, em Araraquara - SP.-Aquisição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</si>
  <si>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ARARAQUARA 2|0007108/2019-Instalação de sistemas de monitoramento on-line de gases dissolvido no óleo, no transformador TF2D FASE C  da subestação Araraquara II, em Araraquara - SP.-Aquisição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</si>
  <si>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ARARAQUARA 2|0007112/2019-Instalação de sistemas de monitoramento on-line de gases dissolvido no óleo, no transformador TF2Y FASE A da subestação Araraquara II, em Araraquara - SP.-Aquisição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</si>
  <si>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ARARAQUARA 2|0007114/2019-Instalação de sistemas de monitoramento on-line de gases dissolvido no óleo, no transformador TF2Y FASE B da subestação Araraquara II, em Araraquara - SP.-Aquisição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</si>
  <si>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ARARAQUARA 2|0007118/2019-Instalação de sistemas de monitoramento on-line de gases dissolvido no óleo, no transformador TF2Y FASE C da subestação Araraquara II, em Araraquara - SP.-Aquisição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</si>
  <si>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C.PORTO VELHO|0007001/2019-Instalação de sistemas de monitoramento on-line de gases dissolvido no óleo, no transformador CTTF-05-FASE A da subestação Coletora, em Porto Velho RO.-Aquisição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</si>
  <si>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C.PORTO VELHO|0007005/2019-Instalação de sistemas de monitoramento on-line de gases dissolvido no óleo, no transformador CTTF-05-FASE B da subestação Coletora, em Porto Velho RO.-Aquisição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</si>
  <si>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C.PORTO VELHO|0007008/2019-Instalação de sistemas de monitoramento on-line de gases dissolvido no óleo, no transformador CTTF-05-FASE V da subestação Coletora, em Porto Velho RO.-Aquisição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</si>
  <si>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C.PORTO VELHO|0007010/2019-Instalação de sistemas de monitoramento on-line de gases dissolvido no óleo, no transformador CTTF-06-FASE A da subestação Coletora, em Porto Velho RO.-Aquisição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</si>
  <si>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C.PORTO VELHO|0007015/2019-Instalação de sistemas de monitoramento on-line de gases dissolvido no óleo, no transformador CTTF-06-FASE B da subestação Coletora, em Porto Velho RO.-Aquisição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</si>
  <si>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C.PORTO VELHO|0007019/2019-Instalação de sistemas de monitoramento on-line de gases dissolvido no óleo, no transformador CTTF-06-FASE V da subestação Coletora, em Porto Velho RO.-Aquisição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</si>
  <si>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C.PORTO VELHO|0007045/2019-Instalação de sistemas de monitoramento on-line de gases dissolvido no óleo, no transformador CTTF-07 da subestação Coletora, em Porto Velho RO.-Aquisição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</si>
  <si>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C.PORTO VELHO|0007054/2019-Instalação de sistemas de monitoramento on-line de gases dissolvido no óleo, no transformador CTTF-08  da subestação Coletora, em Porto Velho RO.-Aquisição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</si>
  <si>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C.PORTO VELHO|0007057/2019-Instalação de sistemas de monitoramento on-line de gases dissolvido no óleo, no transformador CTTF-09 da subestação Coletora, em Porto Velho RO.-Aquisição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</si>
  <si>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C.PORTO VELHO|0007060/2019-Instalação de sistemas de monitoramento on-line de gases dissolvido no óleo, no transformador CTTF-10 da subestação Coletora, em Porto Velho RO.-Aquisição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</si>
  <si>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C.PORTO VELHO|0007064/2019-Instalação de sistemas de monitoramento on-line de gases dissolvido no óleo, no transformador CTTF-11 da subestação Coletora, em Porto Velho RO.-Aquisição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</si>
  <si>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C.PORTO VELHO|0007069/2019-Instalação de sistemas de monitoramento on-line de gases dissolvido no óleo, no transformador CTTF-12 da subestação Coletora, em Porto Velho RO.-Aquisição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</si>
  <si>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C.PORTO VELHO|0007079/2019-Instalação de sistemas de monitoramento on-line de gases dissolvido no óleo, no transformador TF1D FASE B da subestação Araraquara II, em Araraquara - SP.-Aquisição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</si>
  <si>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C.PORTO VELHO|0007082/2019-Instalação de sistemas de monitoramento on-line de gases dissolvido no óleo, no transformador TF1D FASE C da subestação Araraquara II, em Araraqiara - SP.-Aquisição de 22(vinte e dois) sistemas de monitoramento online de gases dissolvidos em óleo isolante para transformadores de potência para aplicação nas subestações do sistema HVDC de Araraquara/SP e Coletora Porto Velho/RO, incluindo 02 (dois) analisadores DGA reservas</t>
  </si>
  <si>
    <t>SEM INSTALAÇÃO ESPECÍFICA|Sem PMI--CARGAS RESISTIVA MICROPROCESSADAS</t>
  </si>
  <si>
    <t>SEM INSTALAÇÃO ESPECÍFICA|Sem PMI--MEDIDOR DE CORRENTE DE FUGA</t>
  </si>
  <si>
    <t>SEM INSTALAÇÃO ESPECÍFICA|Sem PMI--SERV. TECNICO ESPECIALIZADO</t>
  </si>
  <si>
    <t>SEM INSTALAÇÃO ESPECÍFICA|Sem PMI--SISTEMA CENTRAL AR CONDICIONADO</t>
  </si>
  <si>
    <t>MARABA|0004623/2023--AQUISIÇÃO  CHAVE TRIPOLAR MBSD7-41 QUE FOI SINISTRADA PELA EXPLOSÃO TC AREVA TIPO CHT 7TCGY2 FASE V</t>
  </si>
  <si>
    <t>0008580/2023-Substituição dos equipamentos da rede de comunicação de dados da rede LAN da Subestação: Painéis, Máquina de engenharia, Sistema supervisório, Switches, GPS, fibra óticas  etc. - EL TUTC-LT701, 02, 03, 04, 05, 06, 07, 08, 09, 10 e 11.-Substituir o sistema de proteção, controle e supervisão para modernização das ELs 500 kV e 69 kV de interligação da subestação com a UHE Tucuruí.</t>
  </si>
  <si>
    <t>0008600/2023-Substituir o sistema de proteção, controle e supervisão para modernização da subestação, incluindo a substtuição de painéis de proteção e controle (cadeias principal e alternada), IEDs de proteção, controle e oscilografia digitais e demais componentes referentes ao vão Fx - UHE Tucuruí C1.-Substituir o sistema de proteção, controle e supervisão para modernização das ELs 500 kV e 69 kV de interligação da subestação com a UHE Tucuruí.</t>
  </si>
  <si>
    <t>0008680/2023-Substituir o sistema de proteção, controle e supervisão para modernização da subestação, incluindo a substtuição de painéis de proteção e controle (cadeias principal e alternada), IEDs de proteção, controle e oscilografia digitais e demais componentes referentes ao vão Ex - UHE Tucuruí C2.-Substituir o sistema de proteção, controle e supervisão para modernização das ELs 500 kV e 69 kV de interligação da subestação com a UHE Tucuruí.</t>
  </si>
  <si>
    <t>0008699/2023-Substituir o sistema de proteção, controle e supervisão para modernização da subestação, incluindo a substtuição de painéis de proteção e controle (cadeias principal e alternada), IEDs de proteção, controle e oscilografia digitais e demais componentes referentes ao vão Dx - UHE Tucuruí C3.-Substituir o sistema de proteção, controle e supervisão para modernização das ELs 500 kV e 69 kV de interligação da subestação com a UHE Tucuruí.</t>
  </si>
  <si>
    <t>0008717/2023-Substituir o sistema de proteção, controle e supervisão para modernização da subestação, incluindo a substtuição de painéis de proteção e controle (cadeias principal e alternada), IEDs de proteção, controle e oscilografia digitais e demais componentes referentes ao vão Cx - UHE Tucuruí C4.-Substituir o sistema de proteção, controle e supervisão para modernização das ELs 500 kV e 69 kV de interligação da subestação com a UHE Tucuruí.</t>
  </si>
  <si>
    <t>0008750/2023-Substituir o sistema de proteção, controle e supervisão para modernização da subestação, incluindo a substtuição de painéis de proteção e controle (cadeias principal e alternada), IEDs de proteção, controle e oscilografia digitais e demais componentes referentes ao vão Bx - UHE Tucuruí C5.-Substituir o sistema de proteção, controle e supervisão para modernização das ELs 500 kV e 69 kV de interligação da subestação com a UHE Tucuruí.</t>
  </si>
  <si>
    <t>0008755/2023-Substituir o sistema de proteção, controle e supervisão para modernização da subestação, incluindo a substtuição de painéis de proteção e controle (cadeias principal e alternada), IEDs de proteção, controle e oscilografia digitais e demais componentes referentes ao vão Ax - UHE Tucuruí C6.-Substituir o sistema de proteção, controle e supervisão para modernização das ELs 500 kV e 69 kV de interligação da subestação com a UHE Tucuruí.</t>
  </si>
  <si>
    <t>0008763/2023-Substituir o sistema de proteção, controle e supervisão para modernização da subestação, incluindo a substtuição de painéis de proteção e controle (cadeias principal e alternada), IEDs de proteção, controle e oscilografia digitais e demais componentes referentes ao vão Gx - UHE Tucuruí C7.-Substituir o sistema de proteção, controle e supervisão para modernização das ELs 500 kV e 69 kV de interligação da subestação com a UHE Tucuruí.</t>
  </si>
  <si>
    <t>0008768/2023-Substituir o sistema de proteção, controle e supervisão para modernização da subestação, incluindo a substtuição de painéis de proteção e controle (cadeias principal e alternada), IEDs de proteção, controle e oscilografia digitais e demais componentes referentes ao vão Hx - UHE Tucuruí C8.-Substituir o sistema de proteção, controle e supervisão para modernização das ELs 500 kV e 69 kV de interligação da subestação com a UHE Tucuruí.</t>
  </si>
  <si>
    <t>0008772/2023-Substituir o sistema de proteção, controle e supervisão para modernização da subestação, incluindo a substtuição de painéis de proteção e controle (cadeias principal e alternada), IEDs de proteção, controle e oscilografia digitais e demais componentes referentes ao vão Ix - UHE Tucuruí C9.-Substituir o sistema de proteção, controle e supervisão para modernização das ELs 500 kV e 69 kV de interligação da subestação com a UHE Tucuruí.</t>
  </si>
  <si>
    <t>0008777/2023-Substituir o sistema de proteção, controle e supervisão para modernização da subestação, incluindo a substtuição de painéis de proteção e controle (cadeias principal e alternada), IEDs de proteção, controle e oscilografia digitais e demais componentes referentes ao vão Jx - UHE Tucuruí C10.-Substituir o sistema de proteção, controle e supervisão para modernização das ELs 500 kV e 69 kV de interligação da subestação com a UHE Tucuruí.</t>
  </si>
  <si>
    <t>0008783/2023-Substituir o sistema de proteção, controle e supervisão para modernização da subestação, incluindo a substtuição de painéis de proteção e controle (cadeias principal e alternada), IEDs de proteção, controle e oscilografia digitais e demais componentes referentes ao vão Kx - UHE Tucuruí C11.-Substituir o sistema de proteção, controle e supervisão para modernização das ELs 500 kV e 69 kV de interligação da subestação com a UHE Tucuruí.</t>
  </si>
  <si>
    <t>0008788/2023-Substituir o sistema de proteção, controle e supervisão para modernização da subestação, incluindo a substtuição de painéis de proteção e controle (cadeias principal e alternada), IEDs de proteção, controle e oscilografia digitais e demais componentes.-Substituir o sistema de proteção, controle e supervisão para modernização das ELs 500 kV e 69 kV de interligação da subestação com a UHE Tucuruí.</t>
  </si>
  <si>
    <t>0008792/2023-Substituir o sistema de proteção, controle e supervisão para modernização da subestação, incluindo a substtuição de painéis de proteção e controle (cadeias principal e alternada), IEDs de proteção, controle e oscilografia digitais e demais componentes.-Substituir o sistema de proteção, controle e supervisão para modernização das ELs 500 kV e 69 kV de interligação da subestação com a UHE Tucuruí.</t>
  </si>
  <si>
    <t>AMPLIAÇÃO E MORDENIZAÇÃO DA REDE ÓPTICA DA ELETRONORTE</t>
  </si>
  <si>
    <t xml:space="preserve">IMPLANTAÇÃO DE REDE MPLS </t>
  </si>
  <si>
    <t>REVITALIZAÇÃO DO SISTEMA OPLAT (BOBINA DE BLOQUEIO - 230KV)</t>
  </si>
  <si>
    <t>REVITALIZAÇÃO DO SISTEMA OPLAT (BOBINA DE BLOQUEIO - 500KV)</t>
  </si>
  <si>
    <t>AMPLIAÇÃO E MODERNIZAÇÃO DO SISTEMA DE TELEFONIA</t>
  </si>
  <si>
    <t>SISTEMA CFTV</t>
  </si>
  <si>
    <t>SISTEMA DE ALIMENTAÇÃO -48VCC (2º ETAPA)</t>
  </si>
  <si>
    <t>IMPLANTAÇÃO, MELHORIA E AMPLIAÇÃO DA INFRAESTRUTURA DE TELECOMUNICAÇÕES</t>
  </si>
  <si>
    <t>AMPLIAÇÃO E MORDENIZAÇÃO DA REDE DE NEGÓCIOS DE TELECOMUNICAÇÕES</t>
  </si>
  <si>
    <t xml:space="preserve">REVITALIZAÇÃO DA TELEPROTEÇÃO </t>
  </si>
  <si>
    <t>IMPLANTAÇÃO E MODERNIZAÇÃO DE SISTEMA SDH</t>
  </si>
  <si>
    <t>SOLUÇÃO INTEGRADA DE GERENCIAMENTO E AUTOMAÇÃO DAS REDES  DE TELECOMUNICAÇÕES</t>
  </si>
  <si>
    <t>AMPLIAÇÃO, REVITALIZAÇÃO E MORDENIZAÇÃO DOS SISTEMAS DE RÁDIO DA ELETRONORTE</t>
  </si>
  <si>
    <t>AQUISIÇÃO DE INSTRUMENTOS PARA SISTEMA ÓPTICO</t>
  </si>
  <si>
    <t>Melhorias de Pequeno Porte - Novos Projetos</t>
  </si>
  <si>
    <t>Plano Diretor Cabos OPGW- 2D61</t>
  </si>
  <si>
    <t>2D63 - Manutenção do Sistema de Transmissão de Energia Elétrica na Região Nordeste</t>
  </si>
  <si>
    <t>PDIG - Modernização SPCS - SE Fortaleza II</t>
  </si>
  <si>
    <t>Plano Diretor Cabos OPGW PDIG - 2D61</t>
  </si>
  <si>
    <t>Aquisição de Switches Rede LAN em Subestações para segregação de redes</t>
  </si>
  <si>
    <t>PDIG - Modernização SPCS - SE Teresina II</t>
  </si>
  <si>
    <t>Melhorias de Pequeno Porte - Projetos em Carteira</t>
  </si>
  <si>
    <t>PDIG - Modernização SPCS - SE Jardim</t>
  </si>
  <si>
    <t>PDIG - Modernização SPCS - SE Pau Ferro</t>
  </si>
  <si>
    <t>PDIG - Modernização SPCS - SE Catu</t>
  </si>
  <si>
    <t>Substituição RDPs</t>
  </si>
  <si>
    <t>PDIG - Modernização SPCS - SE Bom Nome</t>
  </si>
  <si>
    <t>PDIG - Modernização SPCS - SE Maceió</t>
  </si>
  <si>
    <t>PDIG - Modernização SPCS - SE Cauípe</t>
  </si>
  <si>
    <t>Contrato SPAT Regionais (Ação 2D61)</t>
  </si>
  <si>
    <t>PDIG - Modernização SPCS - SE Fortaleza I</t>
  </si>
  <si>
    <t>Contrato SPAT Regionais (Ação 2D63)</t>
  </si>
  <si>
    <t>Implantação de HoneySpots para Subestações</t>
  </si>
  <si>
    <t>Aquisição de reserva técnica - Telecom/Automação</t>
  </si>
  <si>
    <t>Plano Diretor Cabos</t>
  </si>
  <si>
    <t>Telefonia VoIP em SE - Fase 3</t>
  </si>
  <si>
    <t>Modernização CS da SE TSD</t>
  </si>
  <si>
    <t>Implantação MUX SDH - PDIG</t>
  </si>
  <si>
    <t>Substituição de UTRs FOXboro e GE Obsoletas</t>
  </si>
  <si>
    <t>Retrofit 69kV Lote 2 - Lote A</t>
  </si>
  <si>
    <t>PDIG - Modernização SPCS - SE Angelim</t>
  </si>
  <si>
    <t>Retrofit 69kV Lote 2 - Lote B</t>
  </si>
  <si>
    <t>Aquisição de reserva técnica</t>
  </si>
  <si>
    <t>Implantação de SDHs SE Fase 2</t>
  </si>
  <si>
    <t>Instalação/Substituição de RDP</t>
  </si>
  <si>
    <t>Videomonitoramento - Assistidas</t>
  </si>
  <si>
    <t>Modernização de Compensador Síncrono</t>
  </si>
  <si>
    <t>Videomonitoramento - Prioritárias</t>
  </si>
  <si>
    <t>WLAN das SEs</t>
  </si>
  <si>
    <t>Modernização de Sistema de Regulação de LTC</t>
  </si>
  <si>
    <t>Implantação/Modernização IHM OSC</t>
  </si>
  <si>
    <t>FWL7 para links backups</t>
  </si>
  <si>
    <t>Aquisição de Instrumental</t>
  </si>
  <si>
    <t>Substituição UTR MRR/NTD</t>
  </si>
  <si>
    <t>Retrofit 69kV Lote 2 -  Lote C</t>
  </si>
  <si>
    <t>Implantação do Sistema Automático de Regulação de Tensão</t>
  </si>
  <si>
    <t>Switches Industriais</t>
  </si>
  <si>
    <t>Implantação MUX SDH - PDIG (10% - Sist. Gerenc.)</t>
  </si>
  <si>
    <t>Retrofit 69kV Lote 2</t>
  </si>
  <si>
    <t>Substituição de Servidores SAGE Obsoletos</t>
  </si>
  <si>
    <t>Projeto de SDHs para SEP (ReA)</t>
  </si>
  <si>
    <t>Modernização da Indicação de Posição de TAP</t>
  </si>
  <si>
    <t>Teleproteção - 2a Etapa</t>
  </si>
  <si>
    <t>Implantação MUX SDH Subestações</t>
  </si>
  <si>
    <t>Substituição UC</t>
  </si>
  <si>
    <t xml:space="preserve"> Reforços e Melhorias no Sistema de Transmissão de Energia Elétrica </t>
  </si>
  <si>
    <t>Aquisição de Veículos</t>
  </si>
  <si>
    <t>Aquisição de caminhões - 15 - 15% da frota - nacional</t>
  </si>
  <si>
    <t>Aquisição de caminhonetes - 15% da frota - nacional</t>
  </si>
  <si>
    <t>Aquisição de tratores roço e subestação - 20  - nacional</t>
  </si>
  <si>
    <t>Aquisiçãode Munk com cesto aéreo e carroceria - 20% da frota - nacional</t>
  </si>
  <si>
    <t xml:space="preserve"> Britagem pátio de estrutura metálica no Almoxarifado de Paulo Afonso </t>
  </si>
  <si>
    <t xml:space="preserve"> Pavimentação do patio de armazenagem do almoxarifado de Teresina </t>
  </si>
  <si>
    <t>Materiais para fazer a obra de mudança dos VPS e diretoria da Eletrobras para o Edifício Barão de Mauá.</t>
  </si>
  <si>
    <t xml:space="preserve">Reformas dos Escritorio EBM, SP e  MB </t>
  </si>
  <si>
    <t>Contratação de serviços para obra de mudança dos VPS e diretorias da Eletrobras para o EBM.</t>
  </si>
  <si>
    <t>Aquisição de caminhão prancha - necessidade nova - geral</t>
  </si>
  <si>
    <t>Reformas dos Escritorio EBM, SP, MB e Brasilia.</t>
  </si>
  <si>
    <t>Aquisição de carros  (elétrico) (nacional) 10  - nacional</t>
  </si>
  <si>
    <t>Aquisição de equipamentos: Computadores e Tablets</t>
  </si>
  <si>
    <t>Refazer layou do Mario Bhering para atender a nova Estrtura organizacional da Eletrobras.</t>
  </si>
  <si>
    <t>Obra de adequação do Mario Bhering ao novo organograma da Eletrobras.</t>
  </si>
  <si>
    <t>Fazer obra de layout e instalações em um novo andar a ser ocupado pela VP de comercialização da Eletrobras em São Paulo.</t>
  </si>
  <si>
    <t>Reformas em Edificações .</t>
  </si>
  <si>
    <t>Obra em mais um andar a ser alugado Pela VP de comercialização em SP.</t>
  </si>
  <si>
    <t>Aquisisção de Equipamentos</t>
  </si>
  <si>
    <t>Aquisição de mesas, cadeiras, armários etc.</t>
  </si>
  <si>
    <t>REFORMA E ADEQUAÇÃO</t>
  </si>
  <si>
    <t>Manutenção e reforma  elétrica almoxarifado Samuel</t>
  </si>
  <si>
    <t>Adequação do Layout de Brasilia ao novo organograma da Eletrobras.</t>
  </si>
  <si>
    <t>Reformas dos Escritorio Brasília</t>
  </si>
  <si>
    <t>serviço de restauração e revitalização dos prédios administrativos e operacionais se Presidente Dutra</t>
  </si>
  <si>
    <t>RMSC - Compra de Estação de trabamento de esgoto</t>
  </si>
  <si>
    <t>Adequação as normas ambientais</t>
  </si>
  <si>
    <t>Revitalização da estrutura e sistemas da ETA de Balbina.</t>
  </si>
  <si>
    <t>Centrais de ar Condicionado para regional de Roraima</t>
  </si>
  <si>
    <t>SERVIÇO DE ENGENHARIA INVESTIMENTO</t>
  </si>
  <si>
    <t>Construção do muro do entorno da sede da Regional-Amapá</t>
  </si>
  <si>
    <t>Serviço de restauração e revitalização da via de acesso e da portaria da SE Marabá</t>
  </si>
  <si>
    <t xml:space="preserve"> Construção de Bases para TC's armazenados no Almoxarifado de Sobradinho (incremento de estoque) </t>
  </si>
  <si>
    <t xml:space="preserve">Aquisição de roçadeiras </t>
  </si>
  <si>
    <t>Obra para entregar o HS 16 ao proprietário.</t>
  </si>
  <si>
    <t>Bebedouros para aplicação nas instalações do Maranhão, Pará e Amazonas</t>
  </si>
  <si>
    <t>serviço de restauração e revitalização dos prédios administrativos e operacionais se integradora</t>
  </si>
  <si>
    <t>CRDOU - Construção de galpão 3x3m para armazenamento de resíduos</t>
  </si>
  <si>
    <t>Revitalização da cobertura da casa de comando e ESA I</t>
  </si>
  <si>
    <t>Reforma do Galpão para receber a equipe de transporte.</t>
  </si>
  <si>
    <t>Serviços de configuração e manutenção de sistemas de controle de acesso e CITV</t>
  </si>
  <si>
    <t>serviço de restauração e revitalização da via de acesso e da portaria da se integradora</t>
  </si>
  <si>
    <t>Aquisição de Equipamentos</t>
  </si>
  <si>
    <t>AQUISIÇÃO DE LAVADORAS DE PISO INDUSTRIAL (TIPO ECO ALFA A300 OU KARCHER BD 50/50) PARA SE Tucuruí (1 UNIDADE) E UHE Tucuruí (2 UNIDADE).</t>
  </si>
  <si>
    <t xml:space="preserve"> Serviço de pavimentação. Construção de acesso ao depósito de Ascarel do Almoxarifado de Abreu e Lima </t>
  </si>
  <si>
    <t>RMRS - Troca do telhado e reestruturação das terças no prédio administrativo.</t>
  </si>
  <si>
    <t>Manutenção do imóvel</t>
  </si>
  <si>
    <t>Ampliação e reforma da área de estacionamento do CRSAN</t>
  </si>
  <si>
    <t>Ampliação dos banheiros do CRSAN - devido ao aumento do contingente de empregados na área</t>
  </si>
  <si>
    <t>BEBEDOURO ELÉTRICO TIPO COLUNA PARA SUBSTITUIÇÃO DOS QUE ESTÃO COM A VIDA ÚTIL EXPIRADA PARA ATENDIMENTO DA REGIONAL NORTE.</t>
  </si>
  <si>
    <t xml:space="preserve">RMOE - Construção de uma nova Caixa Dágua devida a deteriorização do modelo atual </t>
  </si>
  <si>
    <t>Amplianção de imóveis</t>
  </si>
  <si>
    <t>Aquisição de cobertura para estacionamento no CRLIV</t>
  </si>
  <si>
    <t>CRUSD - Depósito apropriado para acondicionamento dos resíduos da usina -</t>
  </si>
  <si>
    <t>UHJB - Construção de um lavabo na área da tomada dagua.</t>
  </si>
  <si>
    <t>Revitalização do Prédio do Porto Montante da UHE Tcucuruí</t>
  </si>
  <si>
    <t xml:space="preserve"> Compra de equipamentos de  TI</t>
  </si>
  <si>
    <t>Solução utilizada para assinaturas de contratos, aditivos e outros documentos importantes (Unificação)</t>
  </si>
  <si>
    <t>Socioambiental - Condicionantes de LO</t>
  </si>
  <si>
    <t>Licenças de operação ambiental Transmissão - Condicionantes de LO</t>
  </si>
  <si>
    <t>Novos Projetos - Condicionantes de LO</t>
  </si>
  <si>
    <t>Licenças de operação ambiental Geração - Condicionantes de LO</t>
  </si>
  <si>
    <t>Viagens para execução de programas ambientais - Condicionantes de LO</t>
  </si>
  <si>
    <t>GERAÇÃO HIDRÁULICA SOCIOAMBIENTAIS - CONDICIONANTES DE LO</t>
  </si>
  <si>
    <t>GERAÇÃO TÉRMICA SOCIOAMBIENTAIS - CONDICIONANTES DE LO</t>
  </si>
  <si>
    <t>4462 - Manutenção de Sistema de Transmissão de Energia Elétrica na Região Norte</t>
  </si>
  <si>
    <t>Ações ambientais da Transmissão- Condicionantes da LO</t>
  </si>
  <si>
    <t xml:space="preserve">19 -  Ações ambientais - Condicionante </t>
  </si>
  <si>
    <t>4102 -  Manutenção e Adequação de Bens Móveis, Veículos, Máquinas e Equipamentos</t>
  </si>
  <si>
    <t xml:space="preserve">20 -  Ações ambientais - Exigência legal </t>
  </si>
  <si>
    <t>Novas Contratações (Programas Ambientais de Condicionantes de LO) - GERAÇÃO</t>
  </si>
  <si>
    <t>TAC - Termo de Ajustamento de Conduta de Questão Indígena - Aquisição Terras</t>
  </si>
  <si>
    <t>Licenças Ambientais - TRANSMISSÃO (emissão pelo Órgão Ambiental) - Referentes às renovações de Licenças de Operação (LO); e regularização ambiental de diversos ativos da transmissão em operação sem LO, implantados antes da PNMA, e que se encontram em regularização ambiental com previsão de emissão de licenças nos anos de 2024 e 2025.</t>
  </si>
  <si>
    <t>Licenças Ambientais - GERAÇÃO (emissão pelo Órgão Ambiental- Referentes às renovações de Licenças de Operação (LO) de 03 UHEs; e regularização ambiental de 03 UHEs em operação sem LO, implantados antes da PNMA, e que se encontram em regularização ambiental com previsão de emissão de licenças nos anos de 2024 e 2025.</t>
  </si>
  <si>
    <t>RHT - Registro de Horas Trabalhadas lançadas nos coletores SAP - GERAÇÃO</t>
  </si>
  <si>
    <t>Novas Contratações (Programas Ambientais de Condicionantes de LO) - TRANSMISSÃO</t>
  </si>
  <si>
    <t>RHT - Registro de Horas Trabalhadas lançadas nos coletores SAP - TRANSMISSÃO</t>
  </si>
  <si>
    <t>Vigilência de Terra Indígena</t>
  </si>
  <si>
    <t>Serviços Ecossitêmicos (Avaliação do Impacto Líquido Positivo sobre a Biodiversidade)</t>
  </si>
  <si>
    <t>Contratação Integrada (Diversos programas ambientais de condicionantes de LO)</t>
  </si>
  <si>
    <t>Logística (Fiscalização execução programas ambientais) - GERAÇÃO</t>
  </si>
  <si>
    <t>LIMNOLOGIA no reservatório</t>
  </si>
  <si>
    <t>Monitoramento da ICTIOFAUNA</t>
  </si>
  <si>
    <t>Programa de REFLORESTAMENTO</t>
  </si>
  <si>
    <t>Monitoramento da FAUNA</t>
  </si>
  <si>
    <t>Programa de COMUNICAÇÃO SOCIAL</t>
  </si>
  <si>
    <t>Programa de ARQUEOLOGIA</t>
  </si>
  <si>
    <t>Programas de COMUNICAÇÃO SOCIAL e EDUCAÇÃO AMBIENTAL</t>
  </si>
  <si>
    <t>Monitoramento da FLORA</t>
  </si>
  <si>
    <t>Logística (Fiscalização execução programas ambientais) - TRANSMISSÃO</t>
  </si>
  <si>
    <t>Reforços e Melhorias - RPP (Reforços de Pequeno Porte)</t>
  </si>
  <si>
    <t>Programa de SUPRESSÃO VEGETAÇÃO</t>
  </si>
  <si>
    <t>Monitoramento da FLORA e FAUNA</t>
  </si>
  <si>
    <t>Programa de COMUNICAÇÃO SOCIAL e EDUCAÇÃO AMBIENTAL</t>
  </si>
  <si>
    <t>Programa de EDUCAÇÃO AMBIENTAL</t>
  </si>
  <si>
    <t>PACUERA (Plano Ambiental de Conservação e Uso do Entorno do Reservatório Artificial)</t>
  </si>
  <si>
    <t>Projeto Básico Ambiental Quilombola (PBAQ)</t>
  </si>
  <si>
    <t>Inventário Florestal</t>
  </si>
  <si>
    <t>Plano de Controle Ambiental (PCA) e Relatório de Controle Ambiental (RCA)</t>
  </si>
  <si>
    <t>Monitoramento da FAUNA e FLORA</t>
  </si>
  <si>
    <t>Agente</t>
  </si>
  <si>
    <t>Instalação</t>
  </si>
  <si>
    <t>Região</t>
  </si>
  <si>
    <t>Tipo Equipamento</t>
  </si>
  <si>
    <t>kV</t>
  </si>
  <si>
    <t>Revitalização Necessária</t>
  </si>
  <si>
    <t>Função Transmissão</t>
  </si>
  <si>
    <t>Situação da Análise</t>
  </si>
  <si>
    <t>Número SGPMR</t>
  </si>
  <si>
    <t>Status da Obra</t>
  </si>
  <si>
    <t>Código Identificação</t>
  </si>
  <si>
    <t>Razão Principal Superação</t>
  </si>
  <si>
    <t>Data de Entrada em Operação</t>
  </si>
  <si>
    <t>CHESF</t>
  </si>
  <si>
    <t>LT LUIZ GONZAGA / OLINDINA (05S4) - 500</t>
  </si>
  <si>
    <t>NORTE/NORDESTE</t>
  </si>
  <si>
    <t>Outros Equipamentos</t>
  </si>
  <si>
    <t>Substituição de 2 Cabos Para-raios do vão - (05S4). Novos cabos: Dotterel e EHS 3/8". Capacidade do novo equipamento: Novos cabos: Dotterel e EHS 3/8".</t>
  </si>
  <si>
    <t>LT 500 kV OLINDINA /US. L.GONZAGA C-1 BA/PE</t>
  </si>
  <si>
    <t>Concluída</t>
  </si>
  <si>
    <t>0000430/2016</t>
  </si>
  <si>
    <t>Em Andamento</t>
  </si>
  <si>
    <t>05S4</t>
  </si>
  <si>
    <t>Corrente de Curto-Circuito simétrica</t>
  </si>
  <si>
    <t>MOXOTO</t>
  </si>
  <si>
    <t>Seccionadora</t>
  </si>
  <si>
    <t>13,8</t>
  </si>
  <si>
    <t>Superação das secionadoras: - 31Y3-4 - 31Y3-5</t>
  </si>
  <si>
    <t>Não Informada</t>
  </si>
  <si>
    <t>0000111/2011</t>
  </si>
  <si>
    <t>Não Iniciada</t>
  </si>
  <si>
    <t>Corrente Nominal</t>
  </si>
  <si>
    <t>FURNAS</t>
  </si>
  <si>
    <t>LT 500 kV ANGRA FUR /NOVA IGUACU C-1 RJ - 500</t>
  </si>
  <si>
    <t>SUDESTE/CENTRO-OESTE</t>
  </si>
  <si>
    <t>Substituição de um cabo 3/8’’ EAR por um CAA COCHIN saindo de Angra até a estrutura T.00042, totalizando 17,20 km de extensão, e entre as estruturas T.00171 (a 75 km de Angra) e T.00243, totalizando 28,32 km de extensão.</t>
  </si>
  <si>
    <t>0005026/2018</t>
  </si>
  <si>
    <t>LT 500 kV Angra - Nova Iguaçu</t>
  </si>
  <si>
    <t>LT 500 kV NOVA IGUACU /SAO JOSE C-1 RJ - 500</t>
  </si>
  <si>
    <t>Acréscimo de um cabo COCHIN entre a saída de São José e a estrutura T.2112 (19,69 km), de dois cabos COCHIN entre as estruturas T.2112 e T.2105 (2 x 3,02 km) e de um cabo COCHIN entre as estruturas T.2105 e T.2102 (0,5 km), totalizando 26,23 km de extensão..</t>
  </si>
  <si>
    <t>0005047/2018</t>
  </si>
  <si>
    <t>LT 500 kV São José - Nova Iguaçu</t>
  </si>
  <si>
    <t>LT 500 kV ZONA OESTE /NOVA IGUACU C-1 RJ - 500</t>
  </si>
  <si>
    <t>Substituição de um cabo 3/8’’ EAR por um CAA COCHIN entre as estruturas T.016 (a 4,16 km de Angra) e T.0233, totalizando 19,57 km de extensão.</t>
  </si>
  <si>
    <t>0005049/2018</t>
  </si>
  <si>
    <t>LT 500 kV Zona Oeste - Nova Iguaçu</t>
  </si>
  <si>
    <t>LT 500 kV NOVA IGUACU /GRAJAU C-1 RJ - 500</t>
  </si>
  <si>
    <t>Substituição de um cabo 3/8’’ EAR por um CAA COCHIN saindo de Grajaú até a estrutura T.3028, totalizando 42,58 km de extensão, e por dois cabos CAA COCHIN entre as estruturas T.3028 e T.3021, totalizando 2 x 2,94 km de extensão..</t>
  </si>
  <si>
    <t>0005050/2018</t>
  </si>
  <si>
    <t>LT 500 kV Grajaú - Nova Iguaçu</t>
  </si>
  <si>
    <t>LT 500 kV ADRIANOPOLIS /SAO JOSE C-1 RJ - 500</t>
  </si>
  <si>
    <t>Substituição de um cabo 3/8’’ EAR por um CAA COCHIN entre as estruturas T.0016 (a 7,17 km de Adrianópolis) e T.3021, totalizando 2,13 km de extensão, substituição de um cabo OPGW3 por um CAA COCHIN entre as estruturas T.0020 (a 8,72 km de Adrianópolis) e T.3021, totalizando 0,58 km de extensão, e adição de um cabo 3/8’’ EAR a partir da SE Adrianópolis até a T.0020, totalizando 8,72 km de extensão.</t>
  </si>
  <si>
    <t>0005051/2018</t>
  </si>
  <si>
    <t>LT 500 kV Adrianópolis - São José</t>
  </si>
  <si>
    <t>LT 345 kV ADRIANOPOLIS /JACAREPAGUA C-2 RJ - 345</t>
  </si>
  <si>
    <t>Substituição de um cabo 3/8’’ EAR por um cabo CAA DOTTEREL em uma extensão de 23,4 km, no trecho entre a SE Jacarepaguá e a torre 38.</t>
  </si>
  <si>
    <t>0005054/2018</t>
  </si>
  <si>
    <t>LT 345 kV Jacarepaguá – Nova Iguaçu</t>
  </si>
  <si>
    <t>Substituição de um cabo 3/8’’ EAR por um cabo CAA DOTTEREL em uma extensão de 14,7 km, no trecho entre a SE Adrianópolis e a torre 38.</t>
  </si>
  <si>
    <t>0005055/2018</t>
  </si>
  <si>
    <t>LT 345 kV Adrianópolis – Nova Iguaçu</t>
  </si>
  <si>
    <t>LT 500 kV CAMPINAS/FERNÃO DIAS SP - 500</t>
  </si>
  <si>
    <t>Substituição de dois cabos 3/8’’ EAR por dois cabos CAA DOTTEREL em um trecho de LT de 13 km a partir do ponto de seccionamento em direção a Campinas totalizando 26 km.</t>
  </si>
  <si>
    <t>0005056/2018</t>
  </si>
  <si>
    <t>LT 500 kV Campinas – Fernão Dias</t>
  </si>
  <si>
    <t>LT 500 kV CACHOEIRA PAULISTA /FERNAO DIAS SP - 500</t>
  </si>
  <si>
    <t>Substituição de dois cabos 3/8’’ EAR por dois cabos CAA DOTTEREL em um trecho de LT de 13 km a partir do ponto de seccionamento em direção a Cachoeira Paulista totalizando 26 km.</t>
  </si>
  <si>
    <t>0005057/2018</t>
  </si>
  <si>
    <t>LT 500 kV Cachoeira Paulista – Fernão Dias</t>
  </si>
  <si>
    <t>SUB C.GRANDE II - 230</t>
  </si>
  <si>
    <t>Subtituição de 1 secionadora com chave de terra do vão EL COTEMINAS (34C3-5).</t>
  </si>
  <si>
    <t>0000110/2013</t>
  </si>
  <si>
    <t>34C3-5</t>
  </si>
  <si>
    <t>LT 345 kV CAMPOS /RIO NOVO DO SUL C-1 RJ/ES - 345</t>
  </si>
  <si>
    <t>Substituição dos 2 (dois) cabos para-raios tipo aço 3/8" por cabo CAA Dotterel, em 10 km sequenciais na LT 345 kV Campos – Rio Novo do Sul C1,  a partir de 1,35 km da SE Rio Novo do Sul, no ponto de seccionamento da antiga LT 345 kV Campos – Vitória para a entrada da SE Rio Novo do Sul.</t>
  </si>
  <si>
    <t>LT 345 kV CAMPOS /RIO NOVO DO SUL C-1 RJ/ES</t>
  </si>
  <si>
    <t>0005099/2018</t>
  </si>
  <si>
    <t>LT 345 kV Campos - Rio Novo do Sul C1</t>
  </si>
  <si>
    <t>ANGELIM</t>
  </si>
  <si>
    <t>230</t>
  </si>
  <si>
    <t>Substituição de 1 Disjuntor do vão 04L1 - Paulo Afonso C1 (DJ 14L1) ._x000D_
Capacidade do novo equipamento: Capacidade nominal de curto-circuito (kA): &gt; 40 kA, Capacidade nominal de corrente (A): , Outras: .</t>
  </si>
  <si>
    <t>LT  230 kV ANGELIM      /P.AFONSO   C-1 PE/PB</t>
  </si>
  <si>
    <t>0001188/2017</t>
  </si>
  <si>
    <t>DJ 14L1</t>
  </si>
  <si>
    <t>Substituição de 1 Disjuntor do vão 04M4 - Tacaimbó C1 (DJ 14M4) ._x000D_
Capacidade do novo equipamento: Capacidade nominal de curto-circuito (kA): &gt; 40 kA, Capacidade nominal de corrente (A): , Outras: .</t>
  </si>
  <si>
    <t>LT 230 kV ANGELIM /TACAIMBO C-1 PE</t>
  </si>
  <si>
    <t>0001189/2017</t>
  </si>
  <si>
    <t>DJ 14M4</t>
  </si>
  <si>
    <t>Substituição de 1 Disjuntor do vão 04M5 - Tacaimbó C2 (DJ 14M5) ._x000D_
Capacidade do novo equipamento: Capacidade nominal de curto-circuito (kA): &gt; 40 kA, Capacidade nominal de corrente (A): , Outras: .</t>
  </si>
  <si>
    <t>LT 230 kV ANGELIM /TACAIMBO C-2 PE</t>
  </si>
  <si>
    <t>0001190/2017</t>
  </si>
  <si>
    <t>DJ 14M5</t>
  </si>
  <si>
    <t>Substituição de 1 Disjuntor do vão 04M7 - Messias C1 (DJ 14M7) ._x000D_
Capacidade do novo equipamento: Capacidade nominal de curto-circuito (kA): &gt; 40 kA, Capacidade nominal de corrente (A): , Outras: .</t>
  </si>
  <si>
    <t>LT 230 kV ANGELIM /MESSIAS C-1 PE/AL</t>
  </si>
  <si>
    <t>0001191/2017</t>
  </si>
  <si>
    <t>DJ 14M7</t>
  </si>
  <si>
    <t>Substituição de 1 Disjuntor do vão 04M8 - Messias C2 (DJ 14M8) ._x000D_
Capacidade do novo equipamento: Capacidade nominal de curto-circuito (kA): &gt; 40 kA, Capacidade nominal de corrente (A): , Outras: .</t>
  </si>
  <si>
    <t>LT 230 kV ANGELIM /MESSIAS C-2 PE/AL</t>
  </si>
  <si>
    <t>0001192/2017</t>
  </si>
  <si>
    <t>DJ 14M8</t>
  </si>
  <si>
    <t>Substituição de 1 Disjuntor do vão 04M9 - Messias C3 (DJ 14M9) ._x000D_
Capacidade do novo equipamento: Capacidade nominal de curto-circuito (kA): &gt; 40 kA, Capacidade nominal de corrente (A): , Outras: .</t>
  </si>
  <si>
    <t>LT 230 kV ANGELIM /MESSIAS C-3 PE/AL</t>
  </si>
  <si>
    <t>0001193/2017</t>
  </si>
  <si>
    <t>DJ 14M9</t>
  </si>
  <si>
    <t>Substituição de 1 Disjuntor do vão 04N4 - Garanhuns II C2 (DJ 14N4) ._x000D_
Capacidade do novo equipamento: Capacidade nominal de curto-circuito (kA): &gt; 40 kA, Capacidade nominal de corrente (A): , Outras: .</t>
  </si>
  <si>
    <t>LT 230 kV ANGELIM / GARANHUNS II C-2 PE</t>
  </si>
  <si>
    <t>0001194/2017</t>
  </si>
  <si>
    <t>DJ 14N4</t>
  </si>
  <si>
    <t>ELETRONORTE</t>
  </si>
  <si>
    <t>Miranda II - 230</t>
  </si>
  <si>
    <t>Transformador de Corrente</t>
  </si>
  <si>
    <t>Revitalização necessária: substituição dos TCs da LT para Peritoró e São Luís II. Justificativa: superação da corrente nominal (fator limitante ativo) após a entrada em operação das UTEs Nova Olindina e Tocantinópolis. Origem: PAR e ONS RE 2.1/xxx/2009 Relatório de análise de superação de equipamentos 2010-2012.</t>
  </si>
  <si>
    <t>0000224/2009</t>
  </si>
  <si>
    <t>Substituição de  Secccionadoras do vão 04L1 - Paulo Afonso C1 (34L1-1, 34L1-2 ,34L1-4, 34L1-5, 34L1-6) ._x000D_
Capacidade do novo equipamento: Capacidade nominal de curto-circuito (kA): &gt; 40 kA, Capacidade nominal de corrente (A): , Outras: .</t>
  </si>
  <si>
    <t>LT Paulo Afonso C1</t>
  </si>
  <si>
    <t>0001278/2017</t>
  </si>
  <si>
    <t>34L1-1, 34L1-2 ,34L1-4, 34L1-5, 34L1-6</t>
  </si>
  <si>
    <t>Substituição de  Secccionadoras do vão 04M4 - Tacaimbó C1 (34M4-4, 34M4-5) ._x000D_
Capacidade do novo equipamento: Capacidade nominal de curto-circuito (kA): &gt; 40 kA, Capacidade nominal de corrente (A): , Outras: .</t>
  </si>
  <si>
    <t>0001281/2017</t>
  </si>
  <si>
    <t>34M4-4, 34M4-5</t>
  </si>
  <si>
    <t>Substituição de 5 Secccionadoras do vão 04M7 - Messias C1 (34M7-1, 34M7-2, 34M7-4, 34M7-5, 34M7-6) ._x000D_
Capacidade do novo equipamento: Capacidade nominal de curto-circuito (kA): &gt; 40 kA, Capacidade nominal de corrente (A): , Outras: .</t>
  </si>
  <si>
    <t>0001283/2017</t>
  </si>
  <si>
    <t>34M7-1, 34M7-2, 34M7-4, 34M7-5, 34M7-6</t>
  </si>
  <si>
    <t>Substituição de 2 Secccionadoras do vão 04M5 - Tacaimbó C2 (34M5-4, 34M5-5) ._x000D_
Capacidade do novo equipamento: Capacidade nominal de curto-circuito (kA): &gt; 40 kA, Capacidade nominal de corrente (A): , Outras: .</t>
  </si>
  <si>
    <t>0001284/2017</t>
  </si>
  <si>
    <t>34M5-4, 34M5-5</t>
  </si>
  <si>
    <t>Substituição de 4 Secccionadoras do vão 04M8 - Messias C2 (34M8-1, 34M8-2, 34M8-4, 34M8-5) ._x000D_
Capacidade do novo equipamento: Capacidade nominal de curto-circuito (kA): &gt; 40 kA, Capacidade nominal de corrente (A): , Outras: .</t>
  </si>
  <si>
    <t>0001287/2017</t>
  </si>
  <si>
    <t>34M8-1, 34M8-2, 34M8-4, 34M8-5</t>
  </si>
  <si>
    <t>Substituição de 5 Secccionadoras do vão 04M9 - Messias C3 (34M9-1, 34M9-2, 34M9-4, 34M9-5, 34M9-6) ._x000D_
Capacidade do novo equipamento: Capacidade nominal de curto-circuito (kA): &gt; 40 kA, Capacidade nominal de corrente (A): , Outras: .</t>
  </si>
  <si>
    <t>0001288/2017</t>
  </si>
  <si>
    <t>34M9-1, 34M9-2, 34M9-4, 34M9-5, 34M9-6</t>
  </si>
  <si>
    <t>Substituição de 5 Secccionadoras do vão 04N4 - Garanhuns II C2 (34N4-1, 34N4-2, 34N4-4, 34N4-5, 34N4-6) ._x000D_
Capacidade do novo equipamento: Capacidade nominal de curto-circuito (kA): &gt; 40 kA, Capacidade nominal de corrente (A): , Outras: .</t>
  </si>
  <si>
    <t>0001291/2017</t>
  </si>
  <si>
    <t>34N4-1, 34N4-2, 34N4-4, 34N4-5, 34N4-6</t>
  </si>
  <si>
    <t>PORTO VELHO</t>
  </si>
  <si>
    <t>Barramento</t>
  </si>
  <si>
    <t>Substituição dos trechos de barramento existentes. Serão necessários 4 cabos Dahlia 556,5 CA (sem alma de aço) e trocar os conectores, espaçadores e  lançamento de cabos e conectores paralelos para refazer as conexões existentes das descidas de cabos. Capacidade do novo equipamento: Corrente nominal de 3.160 A.</t>
  </si>
  <si>
    <t>0000006/2015</t>
  </si>
  <si>
    <t>SUB P.AFONSO III - 230</t>
  </si>
  <si>
    <t>Substituição de 6 Secccionadoras do vão 04M2 - Usina Apolônio Sales C2 (34M2-1, 34M2-2, 34M2-3, 34M2-4, 34M2-5, 34M2-6) ._x000D_
Capacidade do novo equipamento: Capacidade nominal de curto-circuito (kA): &gt; 40 kA, Capacidade nominal de corrente (A): , Outras: .</t>
  </si>
  <si>
    <t>LT 230 kV U. A. SALES /P.AFONSO III C-2 BA</t>
  </si>
  <si>
    <t>0001293/2017</t>
  </si>
  <si>
    <t>34M2-1, 34M2-2, 34M2-3, 34M2-4, 34M2-5, 34M2-6</t>
  </si>
  <si>
    <t>TIJUCO PRETO</t>
  </si>
  <si>
    <t>345</t>
  </si>
  <si>
    <t>Substituição de 1 Disjuntor do vão AT06 (DJ8464)._x000D_
Capacidade do novo equipamento: Capacidade nominal de curto-circuito (kA): 63 kA.</t>
  </si>
  <si>
    <t>TR 765/345 kV TIJUCO PRETO TR6 SP</t>
  </si>
  <si>
    <t>0002048/2020</t>
  </si>
  <si>
    <t>DJ8464</t>
  </si>
  <si>
    <t>Substituição de 1 Disjuntor do vão AT07 (DJ8474)._x000D_
Capacidade do novo equipamento: Capacidade nominal de curto-circuito (kA): 63 kA.</t>
  </si>
  <si>
    <t>TR 765/345 kV TIJUCO PRETO TR7 SP</t>
  </si>
  <si>
    <t>0002053/2020</t>
  </si>
  <si>
    <t>DJ8474</t>
  </si>
  <si>
    <t>Substituição de 1 Disjuntor do vão MC 345 kV BC 345 kV 200 MVAr TIJUCO PRETO BC2 SP MC2 (DJ8564)._x000D_
Capacidade do novo equipamento: Capacidade nominal de curto-circuito (kA): 63 kA.</t>
  </si>
  <si>
    <t>BC 345 kV 200 Mvar TIJUCO PRETO BC2 SP</t>
  </si>
  <si>
    <t>0002054/2020</t>
  </si>
  <si>
    <t>DJ8564</t>
  </si>
  <si>
    <t>Substituição de 1 Disjuntor do vão MC 345 kV BC 345 kV 200 MVAr TIJUCO PRETO BC4 SP MC1 (DJ8554)._x000D_
Capacidade do novo equipamento: Capacidade nominal de curto-circuito (kA): 63 kA.</t>
  </si>
  <si>
    <t>BC 345 kV 200 Mvar TIJUCO PRETO BC4 SP</t>
  </si>
  <si>
    <t>0002055/2020</t>
  </si>
  <si>
    <t>DJ8554</t>
  </si>
  <si>
    <t>Substituição de 1 Disjuntor do vão MC 345 kV BC 345 kV 200 Mvar TIJUCO PRETO BC10 SP MC2 (DJ8524)._x000D_
Capacidade do novo equipamento: Capacidade nominal de curto-circuito (kA): 63 kA.</t>
  </si>
  <si>
    <t>BC 345 kV 200 Mvar TIJUCO PRETO BC10 SP</t>
  </si>
  <si>
    <t>0002056/2020</t>
  </si>
  <si>
    <t>DJ8524</t>
  </si>
  <si>
    <t>BANABUIU</t>
  </si>
  <si>
    <t>69</t>
  </si>
  <si>
    <t>Substituição de 1 Disjuntor do vão LT Juatama C2 (12J4) ._x000D_
Capacidade do novo equipamento: Capacidade nominal de curto-circuito (kA): &gt; 11,9 kA</t>
  </si>
  <si>
    <t>LT Juatama C2</t>
  </si>
  <si>
    <t>0004356/2017</t>
  </si>
  <si>
    <t>12J4</t>
  </si>
  <si>
    <t>Substituição de 1 Secionadora com Chave de Terra do vão BC03 (SC837C/SC830T)_x000D_
Capacidade do novo equipamento: Capacidade nominal de curto-circuito (kA): 63 kA.</t>
  </si>
  <si>
    <t>BC 345 kV 200 Mvar TIJUCO PRETO BC3 SP</t>
  </si>
  <si>
    <t>0002443/2020</t>
  </si>
  <si>
    <t>SC837C/SC830T</t>
  </si>
  <si>
    <t>Substituição de 1 Secionadora com Chave de Terra do vão BC06 ( SC867C/SC860T)_x000D_
Capacidade do novo equipamento: Capacidade nominal de curto-circuito (kA): 63 kA.</t>
  </si>
  <si>
    <t>BC 345 kV 200 Mvar TIJUCO PRETO BC6 SP</t>
  </si>
  <si>
    <t>0002454/2020</t>
  </si>
  <si>
    <t>SC867C/SC860T</t>
  </si>
  <si>
    <t>Substituição de 1 Secionadora sem Chave de Terra do vão LIIDTP2 (SC8741)_x000D_
Capacidade do novo equipamento: Capacidade nominal de curto-circuito (kA): 63 kA.</t>
  </si>
  <si>
    <t>LI Itapeti - Tijuco Preto C2</t>
  </si>
  <si>
    <t>0002456/2020</t>
  </si>
  <si>
    <t>SC8741</t>
  </si>
  <si>
    <t>Substituição de 1 Secionadora sem Chave de Terra do vão LIIDTP2 (SC8743)_x000D_
Capacidade do novo equipamento: Capacidade nominal de curto-circuito (kA): 63 kA.</t>
  </si>
  <si>
    <t>0002460/2020</t>
  </si>
  <si>
    <t>SC8743</t>
  </si>
  <si>
    <t>Substituição de 1 Secionadora sem Chave de Terra do vão LIIDTP2 (SC8843)_x000D_
Capacidade do novo equipamento: Capacidade nominal de curto-circuito (kA): 63 kA</t>
  </si>
  <si>
    <t>0002462/2020</t>
  </si>
  <si>
    <t>SC8843</t>
  </si>
  <si>
    <t>Substituição de 1 Secionadora com Chave de Terra do vão LIIDTP2 (SC8847/SC8840T)_x000D_
Capacidade do novo equipamento: Capacidade nominal de curto-circuito (kA): 63 kA.</t>
  </si>
  <si>
    <t>0002466/2020</t>
  </si>
  <si>
    <t>SC8847/SC8840T</t>
  </si>
  <si>
    <t>FUNIL</t>
  </si>
  <si>
    <t>13,5</t>
  </si>
  <si>
    <t>Substituição de 1 Seccionadora do vão Barra (K0-Q5) ._x000D_
Capacidade do novo equipamento: Capacidade nominal de curto-circuito (kA): &gt; 40 kA.</t>
  </si>
  <si>
    <t>MG FUNIL 13,5 kV</t>
  </si>
  <si>
    <t>0004390/2017</t>
  </si>
  <si>
    <t>K0-Q5</t>
  </si>
  <si>
    <t>Substituição de 1 Secionadora sem Chave de Terra do vão LIIDTP4 (SC8881)_x000D_
Capacidade do novo equipamento: Capacidade nominal de curto-circuito (kA): 63 kA</t>
  </si>
  <si>
    <t>LI Itapeti - Tijuco Preto C4</t>
  </si>
  <si>
    <t>0002470/2020</t>
  </si>
  <si>
    <t>SC8881</t>
  </si>
  <si>
    <t>Substituição de 1 Secionadora sem Chave de Terra do vão LIIDTP4 (SC8883)_x000D_
Capacidade do novo equipamento: Capacidade nominal de curto-circuito (kA): 63 kA</t>
  </si>
  <si>
    <t>0002473/2020</t>
  </si>
  <si>
    <t>SC8883</t>
  </si>
  <si>
    <t>Substituição de 1 Secionadora com Chave de Terra do vão LIIDTP4 (SC8887/SC8880T)_x000D_
Capacidade do novo equipamento: Capacidade nominal de curto-circuito (kA): 63 kA.</t>
  </si>
  <si>
    <t>0002476/2020</t>
  </si>
  <si>
    <t>SC8887/SC8880T</t>
  </si>
  <si>
    <t>Substituição de 1 Secionadora sem Chave de Terra do vão LIBXTP1 (SC8711)_x000D_
Capacidade do novo equipamento: Capacidade nominal de curto-circuito (kA): 63 kA</t>
  </si>
  <si>
    <t>LI Baixada - Tijuco Preto C1</t>
  </si>
  <si>
    <t>0002479/2020</t>
  </si>
  <si>
    <t>SC8711</t>
  </si>
  <si>
    <t>Substituição de 1 Secionadora sem Chave de Terra do vão LIBXTP1 (SC8713)_x000D_
Capacidade do novo equipamento: Capacidade nominal de curto-circuito (kA): 63 kA</t>
  </si>
  <si>
    <t>0002483/2020</t>
  </si>
  <si>
    <t>SC8713</t>
  </si>
  <si>
    <t>Substituição de 1 Secionadora sem Chave de Terra do vão LIBXTP1 (SC8811)_x000D_
Capacidade do novo equipamento: Capacidade nominal de curto-circuito (kA): 63 kA</t>
  </si>
  <si>
    <t>0002486/2020</t>
  </si>
  <si>
    <t>SC8811</t>
  </si>
  <si>
    <t>Substituição de 1 Secionadora sem Chave de Terra do vão LIBXTP1 (SC8813)_x000D_
Capacidade do novo equipamento: Capacidade nominal de curto-circuito (kA): 63 kA</t>
  </si>
  <si>
    <t>0002490/2020</t>
  </si>
  <si>
    <t>SC8813</t>
  </si>
  <si>
    <t>Substituição de 1 Secionadora com Chave de Terra do vão LIBXTP1 (SC8817/SC8810T)_x000D_
Capacidade do novo equipamento: Capacidade nominal de curto-circuito (kA): 63 kA.</t>
  </si>
  <si>
    <t>0002494/2020</t>
  </si>
  <si>
    <t>SC8817/SC8810T</t>
  </si>
  <si>
    <t>Substituição de 1 Secionadora sem Chave de Terra do vão AT05 (SC8453)_x000D_
Capacidade do novo equipamento: Capacidade nominal de curto-circuito (kA): 63 kA</t>
  </si>
  <si>
    <t>TR 765/345 kV TIJUCO PRETO TR5 SP</t>
  </si>
  <si>
    <t>0002496/2020</t>
  </si>
  <si>
    <t>SC8453</t>
  </si>
  <si>
    <t>MATATU</t>
  </si>
  <si>
    <t>Substituição de 3 Transformadores de Corrente do vão da LT Amaralina 02V3 (92V3-1)._x000D_
Capacidade do novo equipamento: Capacidade nominal de curto-circuito (kA): &gt; 24 kA.</t>
  </si>
  <si>
    <t>LT Amaralina 02V3</t>
  </si>
  <si>
    <t>0004638/2017</t>
  </si>
  <si>
    <t>92V3-1</t>
  </si>
  <si>
    <t>Substituição de 1 Secionadora sem Chave de Terra do vão AT05 (SC8455)_x000D_
Capacidade do novo equipamento: Capacidade nominal de curto-circuito (kA): 63 kA</t>
  </si>
  <si>
    <t>0002498/2020</t>
  </si>
  <si>
    <t>SC8455</t>
  </si>
  <si>
    <t>Substituição de 1 Secionadora sem Chave de Terra do vão AT07 (SC8471)_x000D_
Capacidade do novo equipamento: Capacidade nominal de curto-circuito (kA): 63 kA</t>
  </si>
  <si>
    <t>0002501/2020</t>
  </si>
  <si>
    <t>SC8471</t>
  </si>
  <si>
    <t>BARRO ALTO</t>
  </si>
  <si>
    <t>Substituição de 1 Barramento (BR7A / BR7B), com capacidade nominal de corrente de 723 A e de 940 A em emergência.
Capacidade do novo equipamento: Capacidade nominal de corrente (A): 2500.</t>
  </si>
  <si>
    <t>MG BARRO ALTO / CCO-2001-062 - RB</t>
  </si>
  <si>
    <t>0002620/2020</t>
  </si>
  <si>
    <t>BR7A / BR7B</t>
  </si>
  <si>
    <t>Substituição de 1 Secionadora sem Chave de Terra do vão AT07 (SC8473)_x000D_
Capacidade do novo equipamento: Capacidade nominal de curto-circuito (kA): 63 kA</t>
  </si>
  <si>
    <t>0002636/2020</t>
  </si>
  <si>
    <t>SC8473</t>
  </si>
  <si>
    <t>Substituição de 1 Secionadora sem Chave de Terra do vão AT07 (SC8475)_x000D_
Capacidade do novo equipamento: Capacidade nominal de curto-circuito (kA): 63 kA</t>
  </si>
  <si>
    <t>0002638/2020</t>
  </si>
  <si>
    <t>SC8475</t>
  </si>
  <si>
    <t>Substituição de 1 Secionadora sem Chave de Terra do vão BC 345 kV 200 MVAr T. PRETO BC2 SP MC2 (SC8561)_x000D_
Capacidade do novo equipamento: Capacidade nominal de curto-circuito (kA): 63 kA</t>
  </si>
  <si>
    <t>0002647/2020</t>
  </si>
  <si>
    <t>SC8561</t>
  </si>
  <si>
    <t>Substituição de 1 Secionadora sem Chave de Terra do vão IB 345 kV MG 750 kV TIJUCO PRETO MG1 SP IB1 (SC8541)_x000D_
Capacidade do novo equipamento: Capacidade nominal de curto-circuito (kA): 63 kA</t>
  </si>
  <si>
    <t>MG TIJUCO PRETO / CCO-2001-062 - RB</t>
  </si>
  <si>
    <t>0002655/2020</t>
  </si>
  <si>
    <t>SC8541</t>
  </si>
  <si>
    <t>Substituição de 1 Secionadora sem Chave de Terra do vão IB 345 kV MG 750 kV TIJUCO PRETO MG1 SP IB1 (SC8543)_x000D_
Capacidade do novo equipamento: Capacidade nominal de curto-circuito (kA): 63 kA</t>
  </si>
  <si>
    <t>0002658/2020</t>
  </si>
  <si>
    <t>SC8543</t>
  </si>
  <si>
    <t>Substituição de 1 Secionadora sem Chave de Terra do vão BC 345 kV 200 MVAr TIJUCO PRETO BC2 SP MC2 (SC8563)_x000D_
Capacidade do novo equipamento: Capacidade nominal de curto-circuito (kA): 63 kA</t>
  </si>
  <si>
    <t>0002661/2020</t>
  </si>
  <si>
    <t>SC8563</t>
  </si>
  <si>
    <t>Substituição de 1 Secionadora sem Chave de Terra do vão BC 345 kV 200 MVAr TIJUCO PRETO BC2 SP MC2 (SC8565)_x000D_
Capacidade do novo equipamento: Capacidade nominal de curto-circuito (kA): 63 kA</t>
  </si>
  <si>
    <t>0002666/2020</t>
  </si>
  <si>
    <t>SC8565</t>
  </si>
  <si>
    <t>Substituição de 1 Secionadora sem Chave de Terra do vão BC 345 kV 200 MVAr TIJUCO PRETO BC2 SP MC2 (SC8521)_x000D_
Capacidade do novo equipamento: Capacidade nominal de curto-circuito (kA): 63 kA</t>
  </si>
  <si>
    <t>0002671/2020</t>
  </si>
  <si>
    <t>SC8521</t>
  </si>
  <si>
    <t>Substituição de 1 Secionadora sem Chave de Terra do vão BC 345 kV 200 MVAr TIJUCO PRETO BC2 SP MC2 (SC8523)_x000D_
Capacidade do novo equipamento: Capacidade nominal de curto-circuito (kA): 63 kA</t>
  </si>
  <si>
    <t>0002675/2020</t>
  </si>
  <si>
    <t>SC8523</t>
  </si>
  <si>
    <t>Substituição de 1 Secionadora sem Chave de Terra do vão BC 345 kV 200 MVAr TIJUCO PRETO BC2 SP MC2 (SC8525)_x000D_
Capacidade do novo equipamento: Capacidade nominal de curto-circuito (kA): 63 kA</t>
  </si>
  <si>
    <t>0002678/2020</t>
  </si>
  <si>
    <t>SC8525</t>
  </si>
  <si>
    <t>Substituição de 2 Transformadores de Corrente do vão AT06 (TC associado ao DJ8464 - Fases B e C)._x000D_
Capacidade do novo equipamento: Capacidade nominal de curto-circuito (kA): 63 kA.</t>
  </si>
  <si>
    <t>0002767/2020</t>
  </si>
  <si>
    <t>TC associado ao DJ8464 - Fases B e C</t>
  </si>
  <si>
    <t>Substituição de 3 Transformadores de Corrente do vão AT07 (TC associado ao DJ8474)._x000D_
Capacidade do novo equipamento: Capacidade nominal de curto-circuito (kA): 63 kA.</t>
  </si>
  <si>
    <t>0002770/2020</t>
  </si>
  <si>
    <t>TC associado ao DJ8474</t>
  </si>
  <si>
    <t>Substituição de 3 Transformadores de Corrente do vão IB 345 kV MG 750 kV TIJUCO PRETO MG1 SP IB1 (TC associado ao DJ8544)._x000D_
Capacidade do novo equipamento: Capacidade nominal de curto-circuito (kA): 63 kA.</t>
  </si>
  <si>
    <t>MG TIJUCO PRETO / CCO-2001-059 - RB</t>
  </si>
  <si>
    <t>0002788/2020</t>
  </si>
  <si>
    <t>TC associado ao DJ8544</t>
  </si>
  <si>
    <t>Substituição de 3 Transformadores de Corrente do vão MC 345 kV BC 345 kV 200 MVAr TIJUCO PRETO BC2 SP MC2 (TC associado ao DJ8564)._x000D_
Capacidade do novo equipamento: Capacidade nominal de curto-circuito (kA): 63 kA.</t>
  </si>
  <si>
    <t>0002794/2020</t>
  </si>
  <si>
    <t>TC associado ao DJ8564</t>
  </si>
  <si>
    <t>Substituição de 3 Transformadores de Corrente do vão MC 345 kV BC 345 kV 200 Mvar TIJUCO PRETO BC10 SP MC2 (TC associado ao DJ8524)._x000D_
Capacidade do novo equipamento: Capacidade nominal de curto-circuito (kA): 63 kA.</t>
  </si>
  <si>
    <t>0002801/2020</t>
  </si>
  <si>
    <t>TC associado ao DJ8524</t>
  </si>
  <si>
    <t>SUB ARARAQUARA FUR - 500</t>
  </si>
  <si>
    <t>Substituição de 1 Disjuntor do vão LTARPC (DJ9516)._x000D_
Capacidade do novo equipamento: Capacidade nominal de curto-circuito (kA): 50 kA.</t>
  </si>
  <si>
    <t>LT Araraquara - Poços de Caldas</t>
  </si>
  <si>
    <t>0008215/2019</t>
  </si>
  <si>
    <t>DJ9516</t>
  </si>
  <si>
    <t>Substituição de 1 Disjuntor do vão LTARPC (DJ9316)._x000D_
Capacidade do novo equipamento: Capacidade nominal de curto-circuito (kA): 50 kA.</t>
  </si>
  <si>
    <t>0008220/2019</t>
  </si>
  <si>
    <t>DJ9316</t>
  </si>
  <si>
    <t>Substituição de 1 Disjuntor do vão LTARCA (DJ9526)._x000D_
Capacidade do novo equipamento: Capacidade nominal de curto-circuito (kA): 50 kA.</t>
  </si>
  <si>
    <t>LT Araraquara - Campinas</t>
  </si>
  <si>
    <t>0008225/2019</t>
  </si>
  <si>
    <t>DJ9526</t>
  </si>
  <si>
    <t>Substituição de 1 Disjuntor do vão LTARCA (DJ9326)._x000D_
Capacidade do novo equipamento: Capacidade nominal de curto-circuito (kA): 50 kA.</t>
  </si>
  <si>
    <t>0008231/2019</t>
  </si>
  <si>
    <t>DJ9326</t>
  </si>
  <si>
    <t>SAMAMBAIA</t>
  </si>
  <si>
    <t>500</t>
  </si>
  <si>
    <t>Substituição de 3 Transformadores de Corrente do vão IB - DJ9128 (TC associado ao DJ9128)._x000D_
Capacidade do novo equipamento: Capacidade nominal de curto-circuito (kA): 50 kA.</t>
  </si>
  <si>
    <t>MG SAMAMBAIA / CCO-2001-062 - RB</t>
  </si>
  <si>
    <t>0003041/2020</t>
  </si>
  <si>
    <t>TC associado ao DJ9128</t>
  </si>
  <si>
    <t>S.DA MESA</t>
  </si>
  <si>
    <t>Substituição de 3 Transformadores de Corrente do vão IB - DJ9522 (TC associado ao DJ9522 )._x000D_
Capacidade do novo equipamento: Capacidade nominal de curto-circuito (kA): 50 kA.</t>
  </si>
  <si>
    <t>MG S.DA MESA / CCO-2001-062 - RB</t>
  </si>
  <si>
    <t>0003060/2020</t>
  </si>
  <si>
    <t>TC associado ao DJ9522</t>
  </si>
  <si>
    <t>ADRIANOPOLIS</t>
  </si>
  <si>
    <t>Substituição de 1 Secionadora com Chave de Terra do vão LTADSJ (SC9617/9610T)._x000D_
Capacidade do novo equipamento: Capacidade nominal de curto-circuito (kA): 50 kA.</t>
  </si>
  <si>
    <t>LT 500 kV ADRIANOPOLIS /SAO JOSE C-1 RJ</t>
  </si>
  <si>
    <t>0008349/2019</t>
  </si>
  <si>
    <t>Substituição da SC9617/9610T</t>
  </si>
  <si>
    <t>SUB CAMPINAS - 138</t>
  </si>
  <si>
    <t>Substituição de 1 Transformador de Corrente do vão EL 138 kV CAMPINAS LT 138 kV TANQUINHO /CAMPINAS C-2 SP (HU310549)._x000D_
Capacidade do novo equipamento: Capacidade nominal de curto-circuito (kA): no mínimo 50 kA.</t>
  </si>
  <si>
    <t>LT 138 kV TANQUINHO /CAMPINAS C-2 SP</t>
  </si>
  <si>
    <t>0003182/2020</t>
  </si>
  <si>
    <t>HU310549</t>
  </si>
  <si>
    <t>Substituição de 1 Transformador de Corrente do vão EL 138 kV CAMPINAS LT 138 kV TANQUINHO /CAMPINAS C-2 SP (HU310551)._x000D_
Capacidade do novo equipamento: Capacidade nominal de curto-circuito (kA): no mínimo 50 kA.</t>
  </si>
  <si>
    <t>0003199/2020</t>
  </si>
  <si>
    <t>HU310551</t>
  </si>
  <si>
    <t>Substituição de 1 Transformador de Corrente do vão EL 138 kV CAMPINAS LT 138 kV TANQUINHO /CAMPINAS C-2 SP (HU310550)._x000D_
Capacidade do novo equipamento: Capacidade nominal de curto-circuito (kA): no mínimo 50 kA.</t>
  </si>
  <si>
    <t>0003203/2020</t>
  </si>
  <si>
    <t>HU310550</t>
  </si>
  <si>
    <t>Substituição de 1 Secionadora com Chave de Terra do vão LTADGR (SC9627/9620T)._x000D_
Capacidade do novo equipamento: Capacidade nominal de curto-circuito (kA): 50 kA.</t>
  </si>
  <si>
    <t>LT 500 kV ADRIANOPOLIS /GRAJAU C-1 RJ</t>
  </si>
  <si>
    <t>0008358/2019</t>
  </si>
  <si>
    <t>Substituição da SC9627/9620T</t>
  </si>
  <si>
    <t>Substituição de 1 Secionadora sem Chave de Terra do vão LT 138 kV TANQUINHO /CAMPINAS C-1 SP (SC6515)_x000D_
Capacidade do novo equipamento: Capacidade nominal de curto-circuito (kA): no mínimo 50 kA.</t>
  </si>
  <si>
    <t>LT 138 kV TANQUINHO /CAMPINAS C-1 SP</t>
  </si>
  <si>
    <t>0003213/2020</t>
  </si>
  <si>
    <t>SC6515</t>
  </si>
  <si>
    <t>Substituição de 1 Secionadora sem Chave de Terra do vão LT 138 kV TANQUINHO /CAMPINAS C-1 SP (SC6517)_x000D_
Capacidade do novo equipamento: Capacidade nominal de curto-circuito (kA): no mínimo 50 kA.</t>
  </si>
  <si>
    <t>0003215/2020</t>
  </si>
  <si>
    <t>SC6517</t>
  </si>
  <si>
    <t>Substituição de 1 Secionadora com Chave de Terra do vão LT 138 kV TANQUINHO /CAMPINAS C-1 SP (SC6519/SC6510T)_x000D_
Capacidade do novo equipamento: Capacidade nominal de curto-circuito (kA): no mínimo 50 kA.</t>
  </si>
  <si>
    <t>0003218/2020</t>
  </si>
  <si>
    <t>SC6519/SC6510T</t>
  </si>
  <si>
    <t>Substituição de 1 Secionadora sem Chave de Terra do vão LT 138 kV TANQUINHO /CAMPINAS C-2 SP (SC6525)_x000D_
Capacidade do novo equipamento: Capacidade nominal de curto-circuito (kA): no mínimo 50 kA.</t>
  </si>
  <si>
    <t>0003226/2020</t>
  </si>
  <si>
    <t>SC6525</t>
  </si>
  <si>
    <t>Substituição de 1 Secionadora sem Chave de Terra do vão LT 138 kV TANQUINHO /CAMPINAS C-2 SP (SC6527)_x000D_
Capacidade do novo equipamento: Capacidade nominal de curto-circuito (kA): no mínimo 50 kA.</t>
  </si>
  <si>
    <t>0003229/2020</t>
  </si>
  <si>
    <t>SC6527</t>
  </si>
  <si>
    <t>Substituição de 1 Secionadora com Chave de Terra do vão LT 138 kV TANQUINHO /CAMPINAS C-2 SP (SC6529/SC6520T)_x000D_
Capacidade do novo equipamento: Capacidade nominal de curto-circuito (kA): no mínimo 50 kA.</t>
  </si>
  <si>
    <t>0003232/2020</t>
  </si>
  <si>
    <t>SC6529/SC6520T</t>
  </si>
  <si>
    <t>PERITORO</t>
  </si>
  <si>
    <t>Substituição de 1 Disjuntor do vão Trafo 2 (PRDJ2-02)._x000D_
Capacidade do novo equipamento: Capacidade nominal de curto-circuito (kA): no mínimo 31,5 kA.</t>
  </si>
  <si>
    <t>TR 230/69 kV PERITORO TF2 MA</t>
  </si>
  <si>
    <t>0003235/2020</t>
  </si>
  <si>
    <t>PRDJ2-02</t>
  </si>
  <si>
    <t>USI US.COA.NUNES - 13,2</t>
  </si>
  <si>
    <t>Substituição de 1 Disjuntor do vão Vão da 3ª unidade (CNDJ2-06)._x000D_
Capacidade do novo equipamento: Capacidade nominal de curto-circuito (kA): 40 kA.</t>
  </si>
  <si>
    <t>Função Geração</t>
  </si>
  <si>
    <t>0003264/2020</t>
  </si>
  <si>
    <t>Substituição de 1 Secionadora sem Chave de Terra do vão Vão da 3ª unidade (CNSD2-10)_x000D_
Capacidade do novo equipamento: Capacidade nominal de curto-circuito (kA): no mínimo 31,5 kA</t>
  </si>
  <si>
    <t>0003265/2020</t>
  </si>
  <si>
    <t>Substituição de 1 Transformador de Corrente do vão Trafo 1 (TC 13,8kV)._x000D_
Capacidade do novo equipamento: Capacidade nominal de curto-circuito (kA): no mínimo 31,5 kA.</t>
  </si>
  <si>
    <t>TR 230/69 kV PERITORO TF1 MA</t>
  </si>
  <si>
    <t>0003272/2020</t>
  </si>
  <si>
    <t>TC 13,8kV</t>
  </si>
  <si>
    <t>SAO LUIS I</t>
  </si>
  <si>
    <t>Substituição de 1 Secionadora sem Chave de Terra do vão MCLI-LI4-01 - Maracanã-1 - Vão By (LISD4-22)._x000D_
Capacidade do novo equipamento: Capacidade nominal de curto-circuito: 40 kA e Capacidade nominal de corrente: 2000 A.</t>
  </si>
  <si>
    <t>SEM FUNÇÃO DE TRANSMISSÃO ASSOCIADA</t>
  </si>
  <si>
    <t>0007495/2020</t>
  </si>
  <si>
    <t>LISD4-22</t>
  </si>
  <si>
    <t>Substituição de 1 Seccionadora sem Chave de Terra do vão MCLI-LI4-01 - Maracanã-1 - Vão By (LISD4-21)._x000D_
Capacidade do novo equipamento: Capacidade nominal de curto-circuito: 40 kA e Capacidade nominal de corrente: 2000 A.</t>
  </si>
  <si>
    <t>0007497/2020</t>
  </si>
  <si>
    <t>LISD4-21</t>
  </si>
  <si>
    <t>Substituição de 1 Secionadora sem Chave de Terra e 1 Secionadora com Chave de Terra do vão Maracanã-1-Vão By (LISY4-10;LICA4-08)._x000D_
Capacidade do novo equipamento: Capacidade nominal de curto-circuito: 40 kA e Capacidade nominal de corrente: 2000 A.</t>
  </si>
  <si>
    <t>0007498/2020</t>
  </si>
  <si>
    <t>LISY4-10;LICA4-08</t>
  </si>
  <si>
    <t>Substituição de 1 Seccionadora sem Chave de Terra do vão FQLI-LI4-02 - Forquilha-2 - Vão Cy (LISD4-18)._x000D_
Capacidade do novo equipamento: Capacidade nominal de curto-circuito: 40 kA e Capacidade nominal de corrente: 2000 A.</t>
  </si>
  <si>
    <t>0007499/2020</t>
  </si>
  <si>
    <t>LISD4-18</t>
  </si>
  <si>
    <t>Substituição de 1 Seccionadora sem Chave de Terra do vão FQLI-LI4-02 - Forquilha-2 - Vão Cy (LISD4-17)._x000D_
Capacidade do novo equipamento: Capacidade nominal de curto-circuito: 40 kA e Capacidade nominal de corrente: 2000 A.</t>
  </si>
  <si>
    <t>0007500/2020</t>
  </si>
  <si>
    <t>LISD4-17</t>
  </si>
  <si>
    <t>Substituição de 1 Secionadora sem Chave de Terra e 1 Secionadora com Chave de Terra do vão Forquilha-2 Vão Cy (LISY4-08;LICA4-07)._x000D_
Capacidade do novo equipamento: Capacidade nominal de curto-circuito: 40 kA e Capacidade nominal de corrente: 2000 A.</t>
  </si>
  <si>
    <t>0007502/2020</t>
  </si>
  <si>
    <t>LISY4-08;LICA4-07</t>
  </si>
  <si>
    <t>Substituição de 3 Secionadoras sem Chave de Terra e 1 Secionadora com Chave de Terra do vão Forq.1 Dy (LISD416;LISD415;LISY407;LICA406)._x000D_
Capacidade do novo equipamento: Capacidade nominal de curto-circuito: 40 kA e Capacidade nominal de corrente: 2000 A.</t>
  </si>
  <si>
    <t>0007503/2020</t>
  </si>
  <si>
    <t>LISD416;LISD415;LISY407;LICA406</t>
  </si>
  <si>
    <t>CAMPOS</t>
  </si>
  <si>
    <t>138</t>
  </si>
  <si>
    <t>Substituição de 3 Transformadores de Corrente do vão LIPUCM ._x000D_
Capacidade do novo equipamento: Capacidade nominal de curto-circuito (kA): 40 kA, Capacidade nominal de corrente (A): 2000 A.</t>
  </si>
  <si>
    <t>LI Porto do Açu - Campos</t>
  </si>
  <si>
    <t>0008593/2019</t>
  </si>
  <si>
    <t>li</t>
  </si>
  <si>
    <t>Substituição de 2 Secccionadoras sem Chave de Terra do vão São Francisco-1 - Vão Ey (LISD410;LISD409)._x000D_
Capacidade do novo equipamento: Capacidade nominal de curto-circuito: 40 kA e Capacidade nominal de corrente: 2000 A.</t>
  </si>
  <si>
    <t>0007504/2020</t>
  </si>
  <si>
    <t>LISD410;LISD409</t>
  </si>
  <si>
    <t>Substituição de 1 Secionadora sem Chave de Terra e 1 Secionadora com Chave de Terra do vão São Francisco-1 - Vão Ey (LISY405; LICA405)._x000D_
Capacidade do novo equipamento: Capacidade nominal de curto-circuito: 40 kA e Capacidade nominal de corrente: 2000 A.</t>
  </si>
  <si>
    <t>0007505/2020</t>
  </si>
  <si>
    <t>LISY405; LICA405</t>
  </si>
  <si>
    <t>Substituição de 3 Secionadoras sem Chave de Terra e 1 Secionadora com Chave de Terra do vão Centro1 Fy (LISD408;LISD407;LISY404;LICA404)._x000D_
Capacidade do novo equipamento: Capacidade nominal de curto-circuito: 40 kA e Capacidade nominal de corrente: 2000 A.</t>
  </si>
  <si>
    <t>0007507/2020</t>
  </si>
  <si>
    <t>LISD408;LISD407;LISY404;LICA404</t>
  </si>
  <si>
    <t>Substituição de 1 Secionadora com Chave de Terra do vão Vila Palmeira-1 - Vão Gx (LICA4-03)._x000D_
Capacidade do novo equipamento: Capacidade nominal de curto-circuito: 40 kA e Capacidade nominal de corrente: 2000 A.</t>
  </si>
  <si>
    <t>0007508/2020</t>
  </si>
  <si>
    <t>LICA4-03</t>
  </si>
  <si>
    <t>Substituição de 1 Secionadora com Chave de Terra do vão RNLI-LI4-01 - Renacença - 1 - Vão Gy (LICA4-09)._x000D_
Capacidade do novo equipamento: Capacidade nominal de curto-circuito: 40 kA e Capacidade nominal de corrente: 2000 A.</t>
  </si>
  <si>
    <t>0007509/2020</t>
  </si>
  <si>
    <t>LICA4-09</t>
  </si>
  <si>
    <t>Substituição de 3 Secionadoras sem Chave de Terra e 1 Secionadora com Chave de Terra do vão Itaqui-1 Iy (LISD402;LISD401;LISY401;LICA401)._x000D_
Capacidade do novo equipamento: Capacidade nominal de curto-circuito: 40 kA e Capacidade nominal de corrente: 2000 A.</t>
  </si>
  <si>
    <t>0007510/2020</t>
  </si>
  <si>
    <t>LISD402;LISD401;LISY401;LICA401</t>
  </si>
  <si>
    <t>Substituição de 3 Secionadoras sem Chave de Terra do vão LITF6-01 - Vão Fx (LISD426;LISD425;LISY412)._x000D_
Capacidade do novo equipamento: Capacidade nominal de curto-circuito: 40 kA e Capacidade nominal de corrente: 2000 A.</t>
  </si>
  <si>
    <t>TR 230/69 kV SAO LUIS I TF1 MA</t>
  </si>
  <si>
    <t>0007512/2020</t>
  </si>
  <si>
    <t>LISD426;LISD425;LISY412</t>
  </si>
  <si>
    <t>Substituição de 2 Secccionadoras sem Chave de Terra do vão LITF6-03 - Vão Bx (LISD4-20; LISY4-09)._x000D_
Capacidade do novo equipamento: Capacidade nominal de curto-circuito: 40 kA e Capacidade nominal de corrente: 2000 A.</t>
  </si>
  <si>
    <t>TR 230/69 kV SAO LUIS I TF3 MA</t>
  </si>
  <si>
    <t>0007513/2020</t>
  </si>
  <si>
    <t>LISD4-20; LISY4-09</t>
  </si>
  <si>
    <t>Substituição de 1 Seccionadora sem Chave de Terra do vão LITF6-03 - Trafo 3 - Vão Bx (LISD4-19)._x000D_
Capacidade do novo equipamento: Capacidade nominal de curto-circuito: 40 kA e Capacidade nominal de corrente: 2000 A.</t>
  </si>
  <si>
    <t>0007514/2020</t>
  </si>
  <si>
    <t>LISD4-19</t>
  </si>
  <si>
    <t>Substituição de 1 Seccionadora sem Chave de Terra do vão LITA4-01 - TA1 - Vão Cx (LIST4-01)._x000D_
Capacidade do novo equipamento: Capacidade nominal de curto-circuito: 40 kA e Capacidade nominal de corrente: 2000 A.</t>
  </si>
  <si>
    <t>0007515/2020</t>
  </si>
  <si>
    <t>LIST4-01</t>
  </si>
  <si>
    <t>Substituição de 1 Seccionadora sem Chave de Terra do vão LITF4-05 - Tf. Serv. Aux. - Vão Hy (LISD4-03)._x000D_
Capacidade do novo equipamento: Capacidade nominal de curto-circuito: 40 kA e Capacidade nominal de corrente: 2000 A.</t>
  </si>
  <si>
    <t>0007516/2020</t>
  </si>
  <si>
    <t>LISD4-03</t>
  </si>
  <si>
    <t>Substituição de 2 Secccionadoras sem Chave de Terra do vão IB - 01 - Vão Ix-Iy (LISD429;LISD430)._x000D_
Capacidade do novo equipamento: Capacidade nominal de curto-circuito: 40 kA e Capacidade nominal de corrente: 2000 A.</t>
  </si>
  <si>
    <t>0007518/2020</t>
  </si>
  <si>
    <t>LISD429;LISD430</t>
  </si>
  <si>
    <t>Substituição de 2 Secccionadoras sem Chave de Terra do vão IB - 02 - Vão Dx-Dy (LISD4-11; LISD4-12)._x000D_
Capacidade do novo equipamento: Capacidade nominal de curto-circuito: 40 kA e Capacidade nominal de corrente: 2000 A.</t>
  </si>
  <si>
    <t>0007519/2020</t>
  </si>
  <si>
    <t>LISD4-11; LISD4-12</t>
  </si>
  <si>
    <t>Substituição de 2 Secccionadoras sem Chave de Terra do vão Transf. Barra - Vão Dy-Ey (LISD428;LISD427)._x000D_
Capacidade do novo equipamento: Capacidade nominal de curto-circuito: 40 kA e Capacidade nominal de corrente: 2000 A.</t>
  </si>
  <si>
    <t>0007520/2020</t>
  </si>
  <si>
    <t>LISD428;LISD427</t>
  </si>
  <si>
    <t>Substituição de 3 Transformadores de Corrente do vão MCLI-LI4-02 - Maracanã-2 - Vão Ay._x000D_
Capacidade do novo equipamento: Capacidade nominal de curto-circuito: 40 kA e Capacidade nominal de corrente: 2000 A.</t>
  </si>
  <si>
    <t>0007526/2020</t>
  </si>
  <si>
    <t>MCLI-LI4-02 - Maracanã-2 - Vão Ay</t>
  </si>
  <si>
    <t>Saturação</t>
  </si>
  <si>
    <t>Substituição de 3 Transformadores de Corrente do vão FQLI-LI4-02 - Forquilha-2 - Vão Cy._x000D_
Capacidade do novo equipamento: Capacidade nominal de curto-circuito: 40 kA e Capacidade nominal de corrente: 2000 A.</t>
  </si>
  <si>
    <t>0007527/2020</t>
  </si>
  <si>
    <t>FQLI-LI4-02 - Forquilha-2 - Vão Cy</t>
  </si>
  <si>
    <t>Substituição de 3 Transformadores de Corrente do vão FQLI-LI4-01 - Forquilha-1 - Vão Dy._x000D_
Capacidade do novo equipamento: Capacidade nominal de curto-circuito: 40 kA e Capacidade nominal de corrente: 2000 A.</t>
  </si>
  <si>
    <t>0007528/2020</t>
  </si>
  <si>
    <t>FQLI-LI4-01 - Forquilha-1 - Vão Dy</t>
  </si>
  <si>
    <t>Substituição de 3 Transformadores de Corrente do vão SFLI-LI4-01 - São Francisco-1 - Vão Ey._x000D_
Capacidade do novo equipamento: Capacidade nominal de curto-circuito: 40 kA e Capacidade nominal de corrente: 2000 A.</t>
  </si>
  <si>
    <t>0007530/2020</t>
  </si>
  <si>
    <t>SFLI-LI4-01 - São Francisco-1 - Vão Ey</t>
  </si>
  <si>
    <t>Substituição de 3 Transformadores de Corrente do vão CTLI-LI4-01 -  Centro C1 - Vão Fy._x000D_
Capacidade do novo equipamento: Capacidade nominal de curto-circuito: 40 kA e Capacidade nominal de corrente: 2000 A.</t>
  </si>
  <si>
    <t>0007531/2020</t>
  </si>
  <si>
    <t>CTLI-LI4-01 -  Centro C1 - Vão Fy</t>
  </si>
  <si>
    <t>Substituição de 3 Transformadores de Corrente do vão VPLI-LI4-01 - Vila Palmeira-1 - Vão Gx._x000D_
Capacidade do novo equipamento: Capacidade nominal de curto-circuito: 40 kA e Capacidade nominal de corrente: 2000 A.</t>
  </si>
  <si>
    <t>0007533/2020</t>
  </si>
  <si>
    <t>VPLI-LI4-01 - Vila Palmeira-1 - Vão Gx</t>
  </si>
  <si>
    <t>Substituição de 3 Transformadores de Corrente do vão RNLI-LI4-01 - Renacença - 1 - Vão Gy._x000D_
Capacidade do novo equipamento: Capacidade nominal de curto-circuito: 40 kA e Capacidade nominal de corrente: 2000 A.</t>
  </si>
  <si>
    <t>0007534/2020</t>
  </si>
  <si>
    <t>RNLI-LI4-01 - Renacença - 1 - Vão Gy</t>
  </si>
  <si>
    <t>Substituição de 3 Transformadores de Corrente do vão ITLI-LI4-01 - Itaqui-1 - Vão Iy._x000D_
Capacidade do novo equipamento: Capacidade nominal de curto-circuito: 40 kA e Capacidade nominal de corrente: 2000 A.</t>
  </si>
  <si>
    <t>0007535/2020</t>
  </si>
  <si>
    <t>ITLI-LI4-01 - Itaqui-1 - Vão Iy</t>
  </si>
  <si>
    <t>Substituição de 3 Transformadores de Corrente do vão LITF6-01 - Trafo 1 - Vão Fx._x000D_
Capacidade do novo equipamento: Capacidade nominal de curto-circuito: 40 kA e Capacidade nominal de corrente: 2000 A.</t>
  </si>
  <si>
    <t>0007536/2020</t>
  </si>
  <si>
    <t>LITF6-01 - Trafo 1 - Vão Fx</t>
  </si>
  <si>
    <t>Substituição de 3 Transformadores de Corrente do vão LITF6-02 - Trafo 2 - Vão Ex._x000D_
Capacidade do novo equipamento: Capacidade nominal de curto-circuito: 40 kA e Capacidade nominal de corrente: 2000 A.</t>
  </si>
  <si>
    <t>0007537/2020</t>
  </si>
  <si>
    <t>LITF6-02 - Trafo 2 - Vão Ex</t>
  </si>
  <si>
    <t>Substituição de 3 Transformadores de Corrente do vão LITF6-04 - Trafo 4 - Vão Ax._x000D_
Capacidade do novo equipamento: Capacidade nominal de curto-circuito: 40 kA e Capacidade nominal de corrente: 2000 A.</t>
  </si>
  <si>
    <t>0007538/2020</t>
  </si>
  <si>
    <t>LITF6-04 - Trafo 4 - Vão Ax</t>
  </si>
  <si>
    <t>Substituição de 3 Transformadores de Corrente do vão LITF4-05 - Tf. Serv. Aux. - Vão Hy._x000D_
Capacidade do novo equipamento: Capacidade nominal de curto-circuito: 40 kA e Capacidade nominal de corrente: 2000 A.</t>
  </si>
  <si>
    <t>0007540/2020</t>
  </si>
  <si>
    <t>LITF4-05 - Tf. Serv. Aux. - Vão Hy</t>
  </si>
  <si>
    <t>Substituição de 3 Transformadores de Corrente do vão LITA4-03 - TA3 - Vão Hx._x000D_
Capacidade do novo equipamento: Capacidade nominal de curto-circuito: 40 kA e Capacidade nominal de corrente: 2000 A.</t>
  </si>
  <si>
    <t>0007541/2020</t>
  </si>
  <si>
    <t>LITA4-03 - TA3 - Vão Hx</t>
  </si>
  <si>
    <t>Substituição de 1 Disjuntor do vão LIBXTP1 (DJ8714) ._x000D_
Capacidade do novo equipamento: Capacidade nominal de curto-circuito (kA): 63 kA.</t>
  </si>
  <si>
    <t>LT Baixada - Tijuco Preto 1</t>
  </si>
  <si>
    <t>0007552/2020</t>
  </si>
  <si>
    <t>DJ8714</t>
  </si>
  <si>
    <t>Substituição de 1 Disjuntor do vão LIBXTP1 (DJ8814) ._x000D_
Capacidade do novo equipamento: Capacidade nominal de curto-circuito (kA): 63 kA.</t>
  </si>
  <si>
    <t>0007553/2020</t>
  </si>
  <si>
    <t>DJ8814</t>
  </si>
  <si>
    <t>Instalação de proteção de barras.</t>
  </si>
  <si>
    <t>0000315/2008</t>
  </si>
  <si>
    <t>Adrianópolis - 345</t>
  </si>
  <si>
    <t>Substituição de RDP</t>
  </si>
  <si>
    <t>0000555/2012</t>
  </si>
  <si>
    <t>0000554/2012</t>
  </si>
  <si>
    <t>IMPERATRIZ</t>
  </si>
  <si>
    <t>Substituição de SECCIONADORA 500 kV IZSD7-07 FASE A</t>
  </si>
  <si>
    <t>LT-MBIZLT701</t>
  </si>
  <si>
    <t>0006858/2016</t>
  </si>
  <si>
    <t>Substituição de SECCIONADORA 500 kV IZSD7-07 FASE B</t>
  </si>
  <si>
    <t>0006859/2016</t>
  </si>
  <si>
    <t>Substituição de SECCIONADORA 500 kV IZSD7-07 FASE V</t>
  </si>
  <si>
    <t>0006860/2016</t>
  </si>
  <si>
    <t>P.DUTRA</t>
  </si>
  <si>
    <t>MELHORIA NAS CHAVES SECCIONADORAS PDSC7-01 E PDSC7-02 COM INSTALAÇÃO DE MECANISMO DE FIM DE CURSO MECÂNICO.</t>
  </si>
  <si>
    <t>CR 500 kV 390 Mvar P.DUTRA BC1 MA</t>
  </si>
  <si>
    <t>0000109/2018</t>
  </si>
  <si>
    <t>MACEIO</t>
  </si>
  <si>
    <t>Instalação de proteção diferencial de barras.</t>
  </si>
  <si>
    <t>0000748/2009</t>
  </si>
  <si>
    <t>Instalação de Registrador Digital de Perturbações - RDP Para atender a função TR 230/69 kV P.DUTRA TF1 MA.
Aumento da observabilidade pela inclusão de entradas analógicas para atendimento aos requisitos do Procedimento de Rede e disponibilização do protocolo IEC61850.</t>
  </si>
  <si>
    <t>MG P.DUTRA / CCO-2001-058 - RB</t>
  </si>
  <si>
    <t>0000236/2019</t>
  </si>
  <si>
    <t>Instalação de Registrador Digital de Perturbações - RDP</t>
  </si>
  <si>
    <t>0000238/2019</t>
  </si>
  <si>
    <t>0000237/2019</t>
  </si>
  <si>
    <t>0000240/2019</t>
  </si>
  <si>
    <t>0000239/2019</t>
  </si>
  <si>
    <t>0000241/2019</t>
  </si>
  <si>
    <t>0000242/2019</t>
  </si>
  <si>
    <t>0000245/2019</t>
  </si>
  <si>
    <t>0000244/2019</t>
  </si>
  <si>
    <t>Instalação de Registrador Digital de Perturbações - RDP para monitoramento do equipamento RT 500 kV 148 Mvar P.DUTRA 11 MA.</t>
  </si>
  <si>
    <t>LT 500 kV TERESINA II / P.DUTRA C -2 PI/MA</t>
  </si>
  <si>
    <t>0000243/2019</t>
  </si>
  <si>
    <t>MG IMPERATRIZ / CCO-2001-058 - RBF</t>
  </si>
  <si>
    <t>0000249/2019</t>
  </si>
  <si>
    <t>0000250/2019</t>
  </si>
  <si>
    <t>MG IMPERATRIZ / CCO-2001-058 - RB</t>
  </si>
  <si>
    <t>0000251/2019</t>
  </si>
  <si>
    <t>0000253/2019</t>
  </si>
  <si>
    <t>0000255/2019</t>
  </si>
  <si>
    <t>0000256/2019</t>
  </si>
  <si>
    <t>0000254/2019</t>
  </si>
  <si>
    <t>0000257/2019</t>
  </si>
  <si>
    <t>SUBSTITUIÇÃO DO TC DO DISJUNTOR PDDJ7-02 FASE V Nº DE SÉRIE SP 17936</t>
  </si>
  <si>
    <t>0000258/2019</t>
  </si>
  <si>
    <t>ABUNA</t>
  </si>
  <si>
    <t>MG ABUNA / CCO-2001-058 - RB</t>
  </si>
  <si>
    <t>0000283/2019</t>
  </si>
  <si>
    <t>MARIMBONDO</t>
  </si>
  <si>
    <t xml:space="preserve">Instalação do controle dos seguintes vãos:  500KV [ VÃO UG01 (DJ - 9012); VÃO UG02 (DJ - 9242); VÃO UG03 (DJ - 9132 e 9032); VÃO UG04 (DJ - 9462); VÃO UG05 (DJ - 9352); VÃO UG05 (DJ - 9352); VÃO UG06 (DJ - 9062); VÃO UG07 (DJ - 9572 e 9072);VÃO UG08 (DJ - 9682); VÃO UG09 (DJ - 9022); VÃO LIMRIMAR1 (DJ - 9042); VÃO LIMRIMAR2 (DJ - 9052); VÃO LI MRAV(DJ - 9082)]; </t>
  </si>
  <si>
    <t>Supervisão e Controle</t>
  </si>
  <si>
    <t>0000209/2018</t>
  </si>
  <si>
    <t>Instalação do controle dos seguintes vãos: 345KV [ VÃO LTMRCL (DJ - 8522) ] e UAC de Serviços auxiliares.</t>
  </si>
  <si>
    <t>0000210/2018</t>
  </si>
  <si>
    <t>Substituição de Registrador Digital de Perturbações - RDP do equipamento RT 230 kV 30 Mvar ABUNA 4 RO.</t>
  </si>
  <si>
    <t>0000289/2019</t>
  </si>
  <si>
    <t>ARIQUEMES</t>
  </si>
  <si>
    <t>Substituição de Registrador Digital de Perturbações - RDP do equipamento TR 230 / 69 kV ARIQUEMES TF1 RO.</t>
  </si>
  <si>
    <t>MG ARIQUEMES / CCO-2001-058 - RB</t>
  </si>
  <si>
    <t>0000294/2019</t>
  </si>
  <si>
    <t>Substituição de Registrador Digital de Perturbações - RDP do equipamento TR 230 / 69 kV ARIQUEMES TF2 RO.</t>
  </si>
  <si>
    <t>0000295/2019</t>
  </si>
  <si>
    <t>Instalação de Registrador Digital de Perturbações - RDP para atender a função RT 230 kV 20 Mvar ARIQUEMES 1 RO.</t>
  </si>
  <si>
    <t>0000296/2019</t>
  </si>
  <si>
    <t>BARRA PEIXE</t>
  </si>
  <si>
    <t>MG BARRA PEIXE / CCO-2001-058 - RB</t>
  </si>
  <si>
    <t>0000302/2019</t>
  </si>
  <si>
    <t>0000304/2019</t>
  </si>
  <si>
    <t>CARAJAS</t>
  </si>
  <si>
    <t>Substituição de Registrador Digital de Perturbações - RDP do equipamento BC 230 kV 30 Mvar CARAJAS 1 PA.</t>
  </si>
  <si>
    <t>MG CARAJAS / CCO-2001-058 - RB</t>
  </si>
  <si>
    <t>0000305/2019</t>
  </si>
  <si>
    <t>COELHO NETO</t>
  </si>
  <si>
    <t>MG COELHO NETO / CCO-2001-058 - RB</t>
  </si>
  <si>
    <t>0000307/2019</t>
  </si>
  <si>
    <t>Substituição de Registrador Digital de Perturbações - RDP do equipamento TR 230 / 69 kV COELHO NETO TF2 MA.</t>
  </si>
  <si>
    <t>0000308/2019</t>
  </si>
  <si>
    <t>0000311/2019</t>
  </si>
  <si>
    <t>COLINAS</t>
  </si>
  <si>
    <t>Instalação de Registrador Digital de Perturbações - RDP Para atender a função RT 500 kV 137 Mvar COLINAS 4 TO.</t>
  </si>
  <si>
    <t>MG COLINAS / CCO-2001-058 - RB</t>
  </si>
  <si>
    <t>0000312/2019</t>
  </si>
  <si>
    <t>COXIPO</t>
  </si>
  <si>
    <t>MG COXIPO / CCO-2001-058 - RB</t>
  </si>
  <si>
    <t>0000322/2019</t>
  </si>
  <si>
    <t>0000323/2019</t>
  </si>
  <si>
    <t>JARU</t>
  </si>
  <si>
    <t>Instalação de Registrador Digital de Perturbações - RDP para atender a função TR 230/69 kV JARU 1 RO.</t>
  </si>
  <si>
    <t>MG JARU / CCO-2001-058 - RB</t>
  </si>
  <si>
    <t>0000327/2019</t>
  </si>
  <si>
    <t>SE JAURU</t>
  </si>
  <si>
    <t>Substituição de Registrador Digital de Perturbações - RDP do equipamento TR 230 / 138 kV JAURU 1 MT.</t>
  </si>
  <si>
    <t>MG JAURU / CCO-2001-058 - RB</t>
  </si>
  <si>
    <t>0000330/2019</t>
  </si>
  <si>
    <t>JAURU</t>
  </si>
  <si>
    <t>Instalar Registrador Digital de Perturbação - RDP para monitoramento do equipamento RT 230 kV 30 Mvar JAURU 3 MT.</t>
  </si>
  <si>
    <t>LT 230 kV JAURU / VARZ.GRANDE 2 C 1 MT</t>
  </si>
  <si>
    <t>0000331/2019</t>
  </si>
  <si>
    <t>Instalação de Registrador Digital de Perturbações - RDP para monitoramento do equipamento RT 230 kV 30 Mvar JAURU 4 MT.</t>
  </si>
  <si>
    <t>LT 230 kV JAURU / VARZ.GRANDE 2 C 2 MT</t>
  </si>
  <si>
    <t>0000332/2019</t>
  </si>
  <si>
    <t>JI-PARANA</t>
  </si>
  <si>
    <t>MG JI-PARANA / CCO-2001-058 - RB</t>
  </si>
  <si>
    <t>0000333/2019</t>
  </si>
  <si>
    <t>0000335/2019</t>
  </si>
  <si>
    <t>0000336/2019</t>
  </si>
  <si>
    <t>0000338/2019</t>
  </si>
  <si>
    <t>L.D.RIO VERDE</t>
  </si>
  <si>
    <t>Instalação de Registrador Digital de Perturbações - RDP para atender a função TR 230/138 kV L.D.Rio Verde ATR1 MT.</t>
  </si>
  <si>
    <t>MG L.D.RIO VERDE / CCO-2001-058 - RB</t>
  </si>
  <si>
    <t>0000343/2019</t>
  </si>
  <si>
    <t>0000340/2019</t>
  </si>
  <si>
    <t>MARABA</t>
  </si>
  <si>
    <t>Substituição de Registrador Digital de Perturbações - RDP do equipamento TR 500 / 230 kV MARABA 2 PA.</t>
  </si>
  <si>
    <t>MG MARABA / CCO-2001-058 - RB</t>
  </si>
  <si>
    <t>0000345/2019</t>
  </si>
  <si>
    <t>0000344/2019</t>
  </si>
  <si>
    <t>0000346/2019</t>
  </si>
  <si>
    <t>0000348/2019</t>
  </si>
  <si>
    <t>0000347/2019</t>
  </si>
  <si>
    <t>0000352/2019</t>
  </si>
  <si>
    <t>0000350/2019</t>
  </si>
  <si>
    <t>0000351/2019</t>
  </si>
  <si>
    <t>0000353/2019</t>
  </si>
  <si>
    <t>MIRACEMA</t>
  </si>
  <si>
    <t>Instalação de Registrador Digital de Perturbações - RDP para atender a função TR 500 / 138 kV MIRACEMA TF1 TO.</t>
  </si>
  <si>
    <t>MG MIRACEMA / CCO-2001-058 - RB</t>
  </si>
  <si>
    <t>0000354/2019</t>
  </si>
  <si>
    <t>NOVA MUTUM</t>
  </si>
  <si>
    <t>MG NOVA MUTUM / CCO-2001-058 - RB</t>
  </si>
  <si>
    <t>0000360/2019</t>
  </si>
  <si>
    <t>Instalação de Registrador Digital de Perturbações - RDP para atender a função TR 230 / 69 kV PERITORO TF1 MA.</t>
  </si>
  <si>
    <t>MG PERITORO / CCO-2001-058 - RB</t>
  </si>
  <si>
    <t>0000361/2019</t>
  </si>
  <si>
    <t>PORTO FRANCO</t>
  </si>
  <si>
    <t>Instalação de Registrador Digital de Perturbações - RDP Para atender a função TR 230 / 138 kV PORTO FRANCO 1 MA.
Aumento da observabilidade pela inclusão de entradas analógicas para atendimento aos requisitos do Procedimento de Rede e disponibilização do protocolo IEC61850.</t>
  </si>
  <si>
    <t>MG PORTO FRANCO / CCO-2001-058 - RB</t>
  </si>
  <si>
    <t>0000371/2019</t>
  </si>
  <si>
    <t>Instalação de Registrador Digital de Perturbações - RDP Para atender a função TR 230 / 69 kV PORTO VELHO TF3 RO</t>
  </si>
  <si>
    <t>MG PORTO VELHO / CCO-2001-058 - RB</t>
  </si>
  <si>
    <t>0000377/2019</t>
  </si>
  <si>
    <t>Instalação de Registrador Digital de Perturbações - RDP Para atender a função TR 230 / 69 kV PORTO FRANCO TF1 MA.
Aumento da observabilidade pela inclusão de entradas analógicas para atendimento aos requisitos do Procedimento de Rede e disponibilização do protocolo IEC61850.</t>
  </si>
  <si>
    <t>0000373/2019</t>
  </si>
  <si>
    <t>Instalação de Registrador Digital de Perturbações - RDP Para atender a função TR 230 / 69 kV PORTO FRANCO TF2 MA.
Aumento da observabilidade pela inclusão de entradas analógicas para atendimento aos requisitos do Procedimento de Rede e disponibilização do protocolo IEC61850.</t>
  </si>
  <si>
    <t>0000374/2019</t>
  </si>
  <si>
    <t>RIO BRANCO I</t>
  </si>
  <si>
    <t>Instalação de Registrador Digital de Perturbações - RDP para atender a função TR 230/138 RIO BRANCO I ATR1 AC.</t>
  </si>
  <si>
    <t>MG RIO BRANCO I / CCO-2001-058 - RB</t>
  </si>
  <si>
    <t>0000382/2019</t>
  </si>
  <si>
    <t>RONDONOPOLIS</t>
  </si>
  <si>
    <t>MG RONDONOPOLIS / CCO-2001-058 - RB</t>
  </si>
  <si>
    <t>0000386/2019</t>
  </si>
  <si>
    <t>0000387/2019</t>
  </si>
  <si>
    <t>0000390/2019</t>
  </si>
  <si>
    <t>0000392/2019</t>
  </si>
  <si>
    <t>Instalação de Registrador Digital de Perturbações - RDP para atender a função RT 230 kV 30 Mvar RONDONOPOLIS 1 MT.</t>
  </si>
  <si>
    <t>0000391/2019</t>
  </si>
  <si>
    <t>SANTA MARIA</t>
  </si>
  <si>
    <t>MG SANTA MARIA / CCO-2001-058 - RB</t>
  </si>
  <si>
    <t>0000398/2019</t>
  </si>
  <si>
    <t>Instalação de Registrador Digital de Perturbações - RDP Para atender a função TR 230/69 kV SAO LUIS I TF3 MA</t>
  </si>
  <si>
    <t>MG SAO LUIS I / CCO-2001-058 - RB</t>
  </si>
  <si>
    <t>0000404/2019</t>
  </si>
  <si>
    <t>Instalação de Registrador Digital de Perturbações - RDP Para atender a função TR 230/69 kV SAO LUIS I TF1 MA</t>
  </si>
  <si>
    <t>0000402/2019</t>
  </si>
  <si>
    <t>Instalação de Registrador Digital de Perturbações - RDP Para atender a função TR 230/69 kV SAO LUIS I TF4 MA.</t>
  </si>
  <si>
    <t>0000405/2019</t>
  </si>
  <si>
    <t>SAO LUIS II</t>
  </si>
  <si>
    <t>Instalação de Registrador Digital de Perturbações - RDP Para atender a função TR 500/230 kV SAO LUIS II 1 MA.</t>
  </si>
  <si>
    <t>MG SAO LUIS II / CCO-2001-058 - RB</t>
  </si>
  <si>
    <t>0000408/2019</t>
  </si>
  <si>
    <t>Instalação de Registrador Digital de Perturbações - RDP Para atender a função TR 500 / 230 kV SAO LUIS II 2 MA.</t>
  </si>
  <si>
    <t>0000409/2019</t>
  </si>
  <si>
    <t>0000415/2019</t>
  </si>
  <si>
    <t>0000413/2019</t>
  </si>
  <si>
    <t>0000414/2019</t>
  </si>
  <si>
    <t>0000416/2019</t>
  </si>
  <si>
    <t>SINOP</t>
  </si>
  <si>
    <t>MG SINOP / CCO-2001-058 - RB</t>
  </si>
  <si>
    <t>0000418/2019</t>
  </si>
  <si>
    <t>0000420/2019</t>
  </si>
  <si>
    <t>0000422/2019</t>
  </si>
  <si>
    <t>0000421/2019</t>
  </si>
  <si>
    <t>SORRISO</t>
  </si>
  <si>
    <t>MG SORRISO / CCO-2001-058 - RB</t>
  </si>
  <si>
    <t>0000424/2019</t>
  </si>
  <si>
    <t>0000423/2019</t>
  </si>
  <si>
    <t>VILA DO CONDE</t>
  </si>
  <si>
    <t>MG VILA DO CONDE / CCO-2001-058 - RB</t>
  </si>
  <si>
    <t>0000435/2019</t>
  </si>
  <si>
    <t>0000436/2019</t>
  </si>
  <si>
    <t>SUBSTITUIÇÃO DE TRANSFORMADOR DE CORRENTE 500 KV</t>
  </si>
  <si>
    <t>0000444/2019</t>
  </si>
  <si>
    <t>C.GRANDE II</t>
  </si>
  <si>
    <t>2 Disjuntores n° 11E1 e 11E2</t>
  </si>
  <si>
    <t>0000168/2008</t>
  </si>
  <si>
    <t>SUB CAMPINAS - 345</t>
  </si>
  <si>
    <t>Substituição de PARA-RAIOS PARARAIOS LTCAGA STCA FASE A</t>
  </si>
  <si>
    <t>LTCAGA</t>
  </si>
  <si>
    <t>0003876/2016</t>
  </si>
  <si>
    <t>Substituição de PARA-RAIOS PARARAIOS LTCAGA STCA FASE B</t>
  </si>
  <si>
    <t>0003877/2016</t>
  </si>
  <si>
    <t>Substituição de PARA-RAIOS PARARAIOS LTCAGA STCA FASE C</t>
  </si>
  <si>
    <t>0003878/2016</t>
  </si>
  <si>
    <t>Autotransformador AT01 500/230/13.8 kV : Sistema de Proteção, Supervisão e circuitos secundários de corrente, potencial e controle.</t>
  </si>
  <si>
    <t>0018995/2015</t>
  </si>
  <si>
    <t>JACAREPAGUA</t>
  </si>
  <si>
    <t>Serviços auxiliares de corrente alternada (CA) da subestação. Modernização para automatismo do grupo Motor-Gerador.</t>
  </si>
  <si>
    <t>MG JACAREPAGUA / CCO-2001-062 - RB</t>
  </si>
  <si>
    <t>0019063/2015</t>
  </si>
  <si>
    <t>Substituição da proteção e controle de reator</t>
  </si>
  <si>
    <t>RTL 500 kV 136 MVAr COLINAS RT1 TO</t>
  </si>
  <si>
    <t>0000790/2019</t>
  </si>
  <si>
    <t>RTL 500 kV 136 MVAr COLINAS RT2 TO</t>
  </si>
  <si>
    <t>0000791/2019</t>
  </si>
  <si>
    <t>RTL 500 kV 136 MVAr MIRACEMA RT1 TO</t>
  </si>
  <si>
    <t>0000793/2019</t>
  </si>
  <si>
    <t>RTL 500 kV 136 Mvar MIRACEMA RT2 TO</t>
  </si>
  <si>
    <t>0000794/2019</t>
  </si>
  <si>
    <t>RT 500 kV 136 Mvar MIRACEMA RT3 TO</t>
  </si>
  <si>
    <t>0000795/2019</t>
  </si>
  <si>
    <t>RTL 500 kV 136 Mvar IMPERATRIZ RT4 MA</t>
  </si>
  <si>
    <t>0000796/2019</t>
  </si>
  <si>
    <t>Substituição da proteção e controle diferencial de barras da cadeia principal da barra IZBR7-02, contemplando uma unidade central com capacidade de no mínimo oito vãos e seis unidades de bay (bays unit). Instalação da proteção e controle diferencial de barras da cadeia alternada da barra IZBR7-02, contemplando uma unidade central com capacidade de no mínimo oito vãos e seis unidades de bay (bays unit).</t>
  </si>
  <si>
    <t>IZBR7-02</t>
  </si>
  <si>
    <t>0000802/2019</t>
  </si>
  <si>
    <t xml:space="preserve">Substituição da proteção e controle diferencial de barras da cadeia principal da barra IZBR7-01, contemplando uma unidade central com capacidade de no mínimo sete vãos e oito unidades de bay (bays unit). Instalação da proteção e controle diferencial de barras da cadeia alternada da barra IZBR7-01, contemplando uma unidade central com capacidade de no mínimo sete vãos e oito unidades de bay (bays unit). </t>
  </si>
  <si>
    <t>IZBR7-01</t>
  </si>
  <si>
    <t>0000801/2019</t>
  </si>
  <si>
    <t>Substituição da proteção e controle diferencial de barras da cadeia principal da barra MCBR7-01, contemplando uma unidade central com capacidade de no mínimo dez vãos e quatro unidades de bay (bays unit). Instalação da proteção e controle diferencial de barras da cadeia alternada da barra MCBR7-01, contemplando uma unidade central com capacidade de no mínimo dez vãos e quatro unidades de bay (bays unit).</t>
  </si>
  <si>
    <t>MCBR7-01</t>
  </si>
  <si>
    <t>0000803/2019</t>
  </si>
  <si>
    <t>Autotransformadores AT2A 345/138/13,8 kV- Sistema de Proteção, Supervisão e circuitos secundários de corrente, potencial e controle.</t>
  </si>
  <si>
    <t>MG ADRIANOPOLIS / CCO-2001-062 - RB</t>
  </si>
  <si>
    <t>0019005/2015</t>
  </si>
  <si>
    <t xml:space="preserve">Substituição da proteção e controle diferencial de barras da cadeia principal da barra MCBR7-02, contemplando uma unidade central com capacidade de no mínimo dez vãos e duas unidades de bay (bays unit). Instalação da proteção e controle diferencial de barras da cadeia alternada da barra MCBR7-02, contemplando uma unidade central com capacidade de no mínimo dez vãos e duas unidades de bay (bays unit). </t>
  </si>
  <si>
    <t>MCBR7-02</t>
  </si>
  <si>
    <t>0000804/2019</t>
  </si>
  <si>
    <t>Substituição da proteção e controle diferencial de barras</t>
  </si>
  <si>
    <t>MBBR7-01</t>
  </si>
  <si>
    <t>0000805/2019</t>
  </si>
  <si>
    <t>MBBR7-02</t>
  </si>
  <si>
    <t>0000806/2019</t>
  </si>
  <si>
    <t>SUB P.DUTRA - 500</t>
  </si>
  <si>
    <t>PDBR7-01</t>
  </si>
  <si>
    <t>0000807/2019</t>
  </si>
  <si>
    <t>LDBR7-01</t>
  </si>
  <si>
    <t>0000809/2019</t>
  </si>
  <si>
    <t>LDBR7-02</t>
  </si>
  <si>
    <t>0000810/2019</t>
  </si>
  <si>
    <t>PDBR7-02</t>
  </si>
  <si>
    <t>0000808/2019</t>
  </si>
  <si>
    <t>TUCURUI</t>
  </si>
  <si>
    <t>TCBR7-01</t>
  </si>
  <si>
    <t>0000811/2019</t>
  </si>
  <si>
    <t>TCBR7-03</t>
  </si>
  <si>
    <t>0000813/2019</t>
  </si>
  <si>
    <t>TCBR7-02</t>
  </si>
  <si>
    <t>0000812/2019</t>
  </si>
  <si>
    <t>TCBR7-04</t>
  </si>
  <si>
    <t>0000814/2019</t>
  </si>
  <si>
    <t>Substituição da proteção e controle de linha de transmissão</t>
  </si>
  <si>
    <t>LT 500 kV MARABA /TUCURUI C-1 PA</t>
  </si>
  <si>
    <t>0000815/2019</t>
  </si>
  <si>
    <t>LT 500 kV IMPERATRIZ /P.DUTRA C-1 MA</t>
  </si>
  <si>
    <t>0000816/2019</t>
  </si>
  <si>
    <t>LT 500 kV IMPERATRIZ /P.DUTRA C-2 MA</t>
  </si>
  <si>
    <t>0000818/2019</t>
  </si>
  <si>
    <t>0000817/2019</t>
  </si>
  <si>
    <t>LT 500 kV MARABA /TUCURUI C-2 PA</t>
  </si>
  <si>
    <t>0000819/2019</t>
  </si>
  <si>
    <t>0000820/2019</t>
  </si>
  <si>
    <t>RT 500 kV 136 Mvar SAO LUIS II RT3 MA</t>
  </si>
  <si>
    <t>0000821/2019</t>
  </si>
  <si>
    <t xml:space="preserve">RTL 500 kV 136 MVAr MARABA RT4 PA </t>
  </si>
  <si>
    <t>0000824/2019</t>
  </si>
  <si>
    <t>RTB 500 kV 150 MVAr P.DUTRA RT1 MA</t>
  </si>
  <si>
    <t>0000825/2019</t>
  </si>
  <si>
    <t>RTL 500 kV 136 MVAr P.DUTRA RT2 MA</t>
  </si>
  <si>
    <t>0000826/2019</t>
  </si>
  <si>
    <t>RTL 500 kV 136 MVAr P.DUTRA RT3 MA</t>
  </si>
  <si>
    <t>0000827/2019</t>
  </si>
  <si>
    <t>RTB 500 kV 163 MVAr P.DUTRA RT9 MA</t>
  </si>
  <si>
    <t>0000828/2019</t>
  </si>
  <si>
    <t>RTB 500 kV 136 Mvar IMPERATRIZ RT6 MA</t>
  </si>
  <si>
    <t>0000830/2019</t>
  </si>
  <si>
    <t>Reator RTSMSB1 da LT 500 kV  Samambaia - Serra da Mesa C1: Sistema de Proteção, Supervisão e circuitos secundários de corrente, potencial e controle.</t>
  </si>
  <si>
    <t>0019036/2015</t>
  </si>
  <si>
    <t>RTL 500 kV 136 Mvar IMPERATRIZ RT12 MA</t>
  </si>
  <si>
    <t>0000831/2019</t>
  </si>
  <si>
    <t>RTB 500 kV 165 Mvar IMPERATRIZ RT14 MA</t>
  </si>
  <si>
    <t>0000833/2019</t>
  </si>
  <si>
    <t>Substituição de SECIONADOR SC811</t>
  </si>
  <si>
    <t>CT AT01</t>
  </si>
  <si>
    <t>0004040/2016</t>
  </si>
  <si>
    <t>Substituição de SECIONADOR SC8781</t>
  </si>
  <si>
    <t>0004041/2016</t>
  </si>
  <si>
    <t>RTB 500 kV 165 Mvar IMPERATRIZ RT11 MA</t>
  </si>
  <si>
    <t>0000832/2019</t>
  </si>
  <si>
    <t>Substituição de SECIONADOR SC8783</t>
  </si>
  <si>
    <t>0004042/2016</t>
  </si>
  <si>
    <t>Substituição da proteção e controle de autotransformador</t>
  </si>
  <si>
    <t>TR 500/230 kV IMPERATRIZ TR2 MA</t>
  </si>
  <si>
    <t>0000839/2019</t>
  </si>
  <si>
    <t>TR 500/230 kV SAO LUIS II TR1 MA</t>
  </si>
  <si>
    <t>0000840/2019</t>
  </si>
  <si>
    <t>TR 500/230 kV SAO LUIS II TR2 MA</t>
  </si>
  <si>
    <t>0000841/2019</t>
  </si>
  <si>
    <t>SUBSTITUIÇÃO DE UMA BUCHA CONDENSIVA DE 230KV EM UM AUTOTRANSFORMADOR MONOFÁSICO, FABRICAÇÃO BBC, CÓDIGO OPERACIONAL PDAT7-01 FASE A.</t>
  </si>
  <si>
    <t>TR 500/230 kV P.DUTRA TR1 MA</t>
  </si>
  <si>
    <t>0000770/2018</t>
  </si>
  <si>
    <t>SUBSTITUIÇÃO DE UMA BUCHA CONDENSIVA DE 230KV EM UM AUTOTRANSFORMADOR MONOFÁSICO, FABRICAÇÃO BBC, CÓDIGO OPERACIONAL PDAT7-01 FASE B.</t>
  </si>
  <si>
    <t>0000772/2018</t>
  </si>
  <si>
    <t>SUBSTITUIÇÃO DE UMA BUCHA CONDENSIVA DE 230KV EM UM AUTOTRANSFORMADOR MONOFÁSICO, FABRICAÇÃO BBC, CÓDIGO OPERACIONAL PDAT7-01 FASE V.</t>
  </si>
  <si>
    <t>0000775/2018</t>
  </si>
  <si>
    <t>0000873/2019</t>
  </si>
  <si>
    <t>RTL 500 kV 136 MVAr MARABA RT1 PA</t>
  </si>
  <si>
    <t>0000874/2019</t>
  </si>
  <si>
    <t>RTL 500 kV 136 MVAr MARABA RT2 PA</t>
  </si>
  <si>
    <t>0000875/2019</t>
  </si>
  <si>
    <t>RTL 500 kV 136 MVAr MARABA RT3 PA</t>
  </si>
  <si>
    <t>0000876/2019</t>
  </si>
  <si>
    <t>0000877/2019</t>
  </si>
  <si>
    <t>RTL 500 kV 150 MVAr P.DUTRA RT4 MA</t>
  </si>
  <si>
    <t>0000878/2019</t>
  </si>
  <si>
    <t>RTL 500 kV 136 MVAr P.DUTRA RT7 MA</t>
  </si>
  <si>
    <t>0000879/2019</t>
  </si>
  <si>
    <t>Substituição da proteção e controle de reator.</t>
  </si>
  <si>
    <t>RTL 500 kV 150 Mvar IMPERATRIZ RT2 MA</t>
  </si>
  <si>
    <t>0000880/2019</t>
  </si>
  <si>
    <t>RTL 500 kV 150 Mvar IMPERATRIZ RT1 MA</t>
  </si>
  <si>
    <t>0000881/2019</t>
  </si>
  <si>
    <t>RTL 500 kV 100 Mvar IMPERATRIZ RT3 MA</t>
  </si>
  <si>
    <t>0000882/2019</t>
  </si>
  <si>
    <t>Instalação de Registrador Digital de Perturbações - RDP para atender a função TR 230/69 kV RIO BRANCO I TF2 AC.</t>
  </si>
  <si>
    <t>TR 230/69 kV RIO BRANCO I TF2 AC</t>
  </si>
  <si>
    <t>0000891/2019</t>
  </si>
  <si>
    <t>LT 500 kV GURUPI /MIRACEMA C-1 TO</t>
  </si>
  <si>
    <t>0000897/2019</t>
  </si>
  <si>
    <t>LT 500 kV COLINAS /MIRACEMA C-1 TO</t>
  </si>
  <si>
    <t>0000899/2019</t>
  </si>
  <si>
    <t>0000898/2019</t>
  </si>
  <si>
    <t>LT 500 kV IMPERATRIZ /MARABA C-1 MA/PA</t>
  </si>
  <si>
    <t>0000902/2019</t>
  </si>
  <si>
    <t>LT 500 kV IMPERATRIZ /COLINAS C-1 MA/TO</t>
  </si>
  <si>
    <t>0000900/2019</t>
  </si>
  <si>
    <t>0000901/2019</t>
  </si>
  <si>
    <t>0000904/2019</t>
  </si>
  <si>
    <t>LT 500 kV IMPERATRIZ /MARABA C-2 MA/PA</t>
  </si>
  <si>
    <t>0000903/2019</t>
  </si>
  <si>
    <t>Autotransformadores AT1B 345/138/13,8 kV- Sistema de Proteção, Supervisão e circuitos secundários de corrente, potencial e controle.</t>
  </si>
  <si>
    <t>0019004/2015</t>
  </si>
  <si>
    <t>0000905/2019</t>
  </si>
  <si>
    <t>0000906/2019</t>
  </si>
  <si>
    <t>LT 500 kV MIRANDA II /P.DUTRA C-2 MA</t>
  </si>
  <si>
    <t>0000907/2019</t>
  </si>
  <si>
    <t>LT 500 kV SAO LUIS II /MIRANDA II C-1 MA</t>
  </si>
  <si>
    <t>0000912/2019</t>
  </si>
  <si>
    <t>LT 500 kV P.DUTRA /S.ANTON LOPES C-1 MA</t>
  </si>
  <si>
    <t>0000908/2019</t>
  </si>
  <si>
    <t>LT 500 kV SAO LUIS II /MIRANDA II C-2 MA</t>
  </si>
  <si>
    <t>0000913/2019</t>
  </si>
  <si>
    <t>Substituição da proteção e controle de transformador</t>
  </si>
  <si>
    <t>TR 500/138 kV MIRACEMA TF1 TO</t>
  </si>
  <si>
    <t>0000914/2019</t>
  </si>
  <si>
    <t>Substituição de Registrador Digital de Perturbações - RDP</t>
  </si>
  <si>
    <t>RT 230 kV 20 Mvar RIO BRANCO I RT2 AC</t>
  </si>
  <si>
    <t>0000917/2019</t>
  </si>
  <si>
    <t>SUBSTITUIÇÃO DE UMA BUCHA CONDENSIVA DE 500KV EM UM AUTOTRANSFORMADOR MONOFÁSICO, FABRICAÇÃO BBC, CÓDIGO OPERACIONAL PDAT7-01 FASE RESERVA.</t>
  </si>
  <si>
    <t>TRR 500/230 kV P.DUTRA TRR1 MA</t>
  </si>
  <si>
    <t>0000856/2018</t>
  </si>
  <si>
    <t>SUBSTITUIÇÃO DE UMA BUCHA CONDENSIVA DE 230KV EM UM AUTOTRANSFORMADOR MONOFÁSICO, FABRICAÇÃO BBC, CÓDIGO OPERACIONAL PDAT7-01 FASE RESERVA.</t>
  </si>
  <si>
    <t>0000859/2018</t>
  </si>
  <si>
    <t>SUBSTITUIÇÃO DE UMA BUCHA CONDENSIVA DE 500KV EM UM AUTOTRANSFORMADOR MONOFÁSICO, FABRICAÇÃO BBC, CÓDIGO OPERACIONAL LDAT7-02 FASE V.</t>
  </si>
  <si>
    <t>0000893/2018</t>
  </si>
  <si>
    <t>VITORIA</t>
  </si>
  <si>
    <t>Desativação por fim de vida útil do banco AT02 345/138 kV.</t>
  </si>
  <si>
    <t>BANCO DE AUTOTRANSFORMADORES</t>
  </si>
  <si>
    <t>0013707/2016</t>
  </si>
  <si>
    <t>Substituição de TRAFO DE POTENCIA AT04 FASE A</t>
  </si>
  <si>
    <t>0013708/2016</t>
  </si>
  <si>
    <t>BRAS. SUL</t>
  </si>
  <si>
    <t xml:space="preserve">  Revitalização completa de duas unidades (números de série: 45972 e 45973), retiradas do banco AT02 da mesma subestação, e de um transformador (número de série: 46599), retirado da subestação Campinas. As três unidades serão instaladas no banco AT01. (verificar GEQ.O.I.080.2020)</t>
  </si>
  <si>
    <t>TR 345/138 kV BRAS. SUL TR1 DF</t>
  </si>
  <si>
    <t>0000986/2019</t>
  </si>
  <si>
    <t>0000987/2019</t>
  </si>
  <si>
    <t>0000989/2019</t>
  </si>
  <si>
    <t>REVITALIZAÇÃO DE UM REATOR DERIVAÇÃO MONOFÁSICO, CÓDIGO OPERACIONAL PDRE7-08 FASE A, CONTEMPLANDO: PINTURA COMPLETA, SUBSTITUIÇÃO DE TODAS AS VEDAÇÕES, SUBSTITUIÇÃO DA MEMBRANA DO SISTEMA DE SELAGEM, SUBSTITUIÇÃO DE INSTRUMENTOS FÍSICOS E VÁLVULAS.</t>
  </si>
  <si>
    <t>LT 500 kV TERESINA II /P.DUTRA C-1 PI/MA</t>
  </si>
  <si>
    <t>0000940/2018</t>
  </si>
  <si>
    <t>REVITALIZAÇÃO DE UM REATOR DERIVAÇÃO MONOFÁSICO, CÓDIGO OPERACIONAL PDRE7-08 FASE V, CONTEMPLANDO: PINTURA COMPLETA, SUBSTITUIÇÃO DE TODAS AS VEDAÇÕES, SUBSTITUIÇÃO DA MEMBRANA DO SISTEMA DE SELAGEM, SUBSTITUIÇÃO DE INSTRUMENTOS FÍSICOS E VÁLVULAS.</t>
  </si>
  <si>
    <t>0000942/2018</t>
  </si>
  <si>
    <t>REVITALIZAÇÃO DE UM REATOR DERIVAÇÃO MONOFÁSICO, CÓDIGO OPERACIONAL PDRE7-08 FASE B, CONTEMPLANDO: PINTURA COMPLETA, SUBSTITUIÇÃO DE TODAS AS VEDAÇÕES, SUBSTITUIÇÃO DA MEMBRANA DO SISTEMA DE SELAGEM, SUBSTITUIÇÃO DE INSTRUMENTOS FÍSICOS E VÁLVULAS.</t>
  </si>
  <si>
    <t>0000941/2018</t>
  </si>
  <si>
    <t>REVITALIZAÇÃO DE UM TRANSFORMADOR TRIFÁSICO, CÓDIGO OPERACIONAL CHTF6-01, CONTEMPLANDO: PINTURA COMPLETA, SUBSTITUIÇÃO DE TODAS AS VEDAÇÕES, SUBSTITUIÇÃO DA MEMBRANA DO SISTEMA DE SELAGEM, SUBSTITUIÇÃO DE UM RELÉ DE GÁS, SUBSTITUIÇÃO DE UM INDICADOR DE NÍVEL DE ÓLEO ISOLANTE, SUBSTITUIÇÃO DE UMA VÁLVULA DE ALÍVIIO DE PRESSÃO, SUBSTITUIÇÃO DAS VÁLVULAS ISOLADORAS DOS RADIADORES, SUBSTITUIÇÃO DO PAINEL DE COMANDO DA VENTILAÇÃO FORÇADA.</t>
  </si>
  <si>
    <t>TR 230/69 kV COELHO NETO TF1 MA</t>
  </si>
  <si>
    <t>0000944/2018</t>
  </si>
  <si>
    <t>ITABERA</t>
  </si>
  <si>
    <t>765</t>
  </si>
  <si>
    <t>Substituição da Fase B (2R8618-5)</t>
  </si>
  <si>
    <t>RT 765 kV 329 Mvar ITABERA RT1 SP</t>
  </si>
  <si>
    <t>0000998/2019</t>
  </si>
  <si>
    <t>SUBSTITUIÇÃO DE UMA BUCHA CONDENSIVA DE 230KV FASE A DO TRANSFORMADOR TRIFÁSICO DE CÓDIGO OPERACIONAL IZTF6-04.</t>
  </si>
  <si>
    <t>TR 230/69 kV IMPERATRIZ TF4 MA</t>
  </si>
  <si>
    <t>0000952/2018</t>
  </si>
  <si>
    <t>SUBSTITUIÇÃO DE UMA BUCHA CONDENSIVA DE 230KV FASE V DO TRANSFORMADOR TRIFÁSICO DE CÓDIGO OPERACIONAL IZTF6-04.</t>
  </si>
  <si>
    <t>0000956/2018</t>
  </si>
  <si>
    <t>SUB IVAIPORA - 765</t>
  </si>
  <si>
    <t>SUL/MS</t>
  </si>
  <si>
    <t>Substituição da Fase B (58558)</t>
  </si>
  <si>
    <t xml:space="preserve">RTL 750 kV 329 MVAr IVAIPORA RIA1 PR </t>
  </si>
  <si>
    <t>0001002/2019</t>
  </si>
  <si>
    <t>Substituição da Fase C (58557)</t>
  </si>
  <si>
    <t>RTL 750 kV 329 MVAr IVAIPORA RIA1 PR</t>
  </si>
  <si>
    <t>0001003/2019</t>
  </si>
  <si>
    <t>SUBSTITUIÇÃO DE UMA BUCHA CONDENSIVA DE 230KV FASE B DO TRANSFORMADOR TRIFÁSICO DE CÓDIGO OPERACIONAL IZTF6-04.</t>
  </si>
  <si>
    <t>0000954/2018</t>
  </si>
  <si>
    <t>SUBSTITUIÇÃO DOS PARA-RAIOS FASES A , B E V DA LINHA TCMB-LT7-01</t>
  </si>
  <si>
    <t>0013808/2016</t>
  </si>
  <si>
    <t>SUBSTITUIÇÃO DE 3 TRANSFORMADORES DE POTENCIAL CAPACITIVO FASES A, B e V DA LINHA TCMB-LT7-01</t>
  </si>
  <si>
    <t>0013809/2016</t>
  </si>
  <si>
    <t>Substituição do REATOR 500 kV MBRE7-01 FA.</t>
  </si>
  <si>
    <t>CR-MBRE7-01</t>
  </si>
  <si>
    <t>0000966/2018</t>
  </si>
  <si>
    <t>SUBSTITUIÇÃO DE 2 BOBINAS DE BLOQUEIO FASES B e V DA LINHA TCMB-LT7-01</t>
  </si>
  <si>
    <t>0013810/2016</t>
  </si>
  <si>
    <t>SUBSTITUIÇÃO DE 3 PARA-RAIOS-FASESA A , B e V DO MBRE7-01 - REATOR DE LINHA TCMB-LT7-01</t>
  </si>
  <si>
    <t>0013811/2016</t>
  </si>
  <si>
    <t>SUBSTITUIÇÃO DA SECCIONADORA 500 kV MBSD7-01 QUE FAZ PARTE DA EL DA TCMB-LT7-01</t>
  </si>
  <si>
    <t>0013813/2016</t>
  </si>
  <si>
    <t>SUBSTITUIÇÃO DA CHAVE SECCIONADORA IZCA7-08 DA LINHA IZPD-LT7-01</t>
  </si>
  <si>
    <t>0013821/2016</t>
  </si>
  <si>
    <t>SUBSTITUIÇÃO DE 3 PARA-RAIOS 500 kV 7PRRE DA LINHA IPDZ-LT7-01 LIGADO AO IZRE7-02</t>
  </si>
  <si>
    <t>0013823/2016</t>
  </si>
  <si>
    <t>SUBSTITUIÇÃO DE 3 BOBINAS DE BLOQUEIO FASES A, B , V  7BBZ DA LINHA PDBE-LT7-01</t>
  </si>
  <si>
    <t>LT 500 kV P.DUTRA /B. ESPERANCA C-1 MA/PI</t>
  </si>
  <si>
    <t>0013826/2016</t>
  </si>
  <si>
    <t>SUBSTITUIÇÃO DE 3 TRANSFORMADORES DE CORRENTE FASES A , B , V 7TCRE DO PDRE7-05 DA LT PDBE-LT7-01</t>
  </si>
  <si>
    <t>RTR 500 kV 33.3 MVAr P.DUTRA RTR5 MA</t>
  </si>
  <si>
    <t>0013827/2016</t>
  </si>
  <si>
    <t>SUBSTITUIÇÃO DE 3 PARA-RAIOS 500 kV  FASES A, B , V  7PRRE DO REATOR PDRE7-05 LADO ALTA DA LINHA PDBE-LT7-01</t>
  </si>
  <si>
    <t>0013828/2016</t>
  </si>
  <si>
    <t>SUBSTITUIÇÃO DE 3 PARA-RAIOS FASES A , B , V DO PDRE7-05 LIGADO A PDBE-LT7-01 LADO DE BAIXA   7PRRE</t>
  </si>
  <si>
    <t>0013829/2016</t>
  </si>
  <si>
    <t>SUBSTITUIÇÃO DE 3 PARA-RAIOS 500 kV  FASES A, B, V 7PRRE LADO ALTA DO PDRE7-06</t>
  </si>
  <si>
    <t>RTR 500 kV 60 Mvar P.DUTRA RTR6 MA</t>
  </si>
  <si>
    <t>0013834/2016</t>
  </si>
  <si>
    <t>SUBSTITUIÇÃO DE 3 TRANSFORMADORES DE CORRENTE FASES A, B , V 7TCCRE  DO PDRE7-06 DA LINHA PDBE-LET7-01</t>
  </si>
  <si>
    <t>0013833/2016</t>
  </si>
  <si>
    <t>SUBSTITUIÇÃO DE 3 PAR-RAIOS FASES A, B , V DO REATOR PDRE7-06 LADO BAIXA TENSÃO</t>
  </si>
  <si>
    <t>0013835/2016</t>
  </si>
  <si>
    <t>SUBSTITUIÇÃO DE 3 TRANSFORMADORES DE CORRENTE 500 kV  VÃO CY 7TC1Y, FASES A, B,V  DO MODULO CONEXÃO DE BARRAS DE 500 KV.</t>
  </si>
  <si>
    <t>0013837/2016</t>
  </si>
  <si>
    <t>SUBSTITUIÇÃO DE 3 TRANSFORMADORES DE CORRENTE 500 kV  VÃO CY 7TC2Y, FASES A, B,V  DO MODULO CONEXÃO DE BARRAS DE 500 KV.</t>
  </si>
  <si>
    <t>0013838/2016</t>
  </si>
  <si>
    <t>SUBSTITUIÇÃO DE 3 PARA-RAIOS 500 kV FASES A, B, V DA PDIZ-LT7-01 VÃO CZ</t>
  </si>
  <si>
    <t>FT LT 500 kV IMPERATRIZ /P.DUTRA C-1 MA</t>
  </si>
  <si>
    <t>0013840/2016</t>
  </si>
  <si>
    <t>SUBSTITUIÇÃO DE 3 BOBINAS DE BLOQUEIO FASES A, B, V   VÃO CZ 7BBX DA IZPD-LT7-01</t>
  </si>
  <si>
    <t>0013841/2016</t>
  </si>
  <si>
    <t xml:space="preserve">SUBSTITUIÇÃO DE 3 TRANSFORMADORES DE POTENCIAL 500 kV, 7TPX, VÃO CZ </t>
  </si>
  <si>
    <t>0013860/2016</t>
  </si>
  <si>
    <t>SUBSTITUIÇÃO DE 3 TRANSFORMADORES DE CORRENTE 500 kV FASES A,B,V ; 7TCRE  DO PDRE7-04, VÃO CZ</t>
  </si>
  <si>
    <t>0013862/2016</t>
  </si>
  <si>
    <t>SUBSTITUIÇÃO DE 3 TRANSFORMADORES DE CORRENTE 500 kV FASES A, B ,V  ; 7TCX ; VÃO CZ DA IZPD-LT7-01</t>
  </si>
  <si>
    <t>0013863/2016</t>
  </si>
  <si>
    <t>USI U.SOBRADINHO - 500</t>
  </si>
  <si>
    <t>Substituição do reator shunt  de 500 kV 05E6 R (reserva) da SE SOB.</t>
  </si>
  <si>
    <t>RTR 500 kV 33.33 MVAR US. L.SOBRADINHO RTR6 BA</t>
  </si>
  <si>
    <t>0001064/2019</t>
  </si>
  <si>
    <t>0001065/2019</t>
  </si>
  <si>
    <t>TR 500/230 kV MARABA TR1 PA</t>
  </si>
  <si>
    <t>0001066/2019</t>
  </si>
  <si>
    <t>TR 500/230 kV IMPERATRIZ TR1 MA</t>
  </si>
  <si>
    <t>0001067/2019</t>
  </si>
  <si>
    <t>Substituição de TRANSFORMADOR DE POTÊNCIA 69 kV TCTF4-02</t>
  </si>
  <si>
    <t>TR 69/13,8 kV TUCURUI VILA TR2 PA</t>
  </si>
  <si>
    <t>0001052/2018</t>
  </si>
  <si>
    <t>0019042/2015</t>
  </si>
  <si>
    <t>0019066/2015</t>
  </si>
  <si>
    <t>Autotransformador AT04 230/138/13.8 kV : Sistema de Proteção, Supervisão e circuitos secundários de corrente, potencial e controle.</t>
  </si>
  <si>
    <t>0018997/2015</t>
  </si>
  <si>
    <t>Substituição do Para-Raios 7PRRE - Fase A</t>
  </si>
  <si>
    <t>RTR  500 kV  50 MVAr P.DUTRA        RTR4 MA</t>
  </si>
  <si>
    <t>0014107/2016</t>
  </si>
  <si>
    <t>Substituição do Para-Raios 7PRRE - Fase B</t>
  </si>
  <si>
    <t>0014108/2016</t>
  </si>
  <si>
    <t>Substituição do Para-Raios 7PRRE - Fase V</t>
  </si>
  <si>
    <t>0014109/2016</t>
  </si>
  <si>
    <t>Substituição completa do banco de capacitores série BSIATP1 de 1242 Mvar, localizado na saída de linha da LT 765kV Itaberá - Tijuco Preto C1, por outro de características similares.</t>
  </si>
  <si>
    <t>LT 765 kV ITABERA /TIJUCO PRETO C-1 SP</t>
  </si>
  <si>
    <t>0001369/2019</t>
  </si>
  <si>
    <t>Substituição completa do banco de capacitores série BSIATP2 de 1242 Mvar, localizado na saída de linha da LT 765kV Itaberá - Tijuco Preto C2, por outro de características similares.</t>
  </si>
  <si>
    <t>LT 765 kV ITABERA /TIJUCO PRETO C-2 SP</t>
  </si>
  <si>
    <t>0001368/2019</t>
  </si>
  <si>
    <t>SUB IVAIPORA FUR - 765</t>
  </si>
  <si>
    <t>Substituição completa do banco de capacitores série BSIAIV2 de 1056 Mvar, localizado na saída de linha da LT 765kV Ivaiporã - Itaberá C2, por outro de características similares.</t>
  </si>
  <si>
    <t>LT 765 kV Itaberá - Ivaiporã C2</t>
  </si>
  <si>
    <t>0001371/2019</t>
  </si>
  <si>
    <t>Substituição completa do banco de capacitores série BSIAIV1 de 1056 Mvar, localizado na saída de linha da LT 765kV Itaberá - Ivaiporã C1, por outro de características similares.</t>
  </si>
  <si>
    <t>LT 765kV Itaberá - Ivaiporã C1</t>
  </si>
  <si>
    <t>0001373/2019</t>
  </si>
  <si>
    <t>IVAIPORA FUR</t>
  </si>
  <si>
    <t>Substituição completa do banco de capacitores série BSIFIV2 de 1017 Mvar, localizado na saída de linha da LT 765kV Ivaiporã - Foz do Iguaçu C2, por outro de características similares.</t>
  </si>
  <si>
    <t>LT 765 kV Ivaiporã - Foz do Iguaçu C2</t>
  </si>
  <si>
    <t>0001375/2019</t>
  </si>
  <si>
    <t>Substituição completa do banco de capacitores série BSIFIV1 de 1017 Mvar, localizado na saída de linha da LT 765kV Ivaiporã - Foz do Iguaçu C1, por outro de características similares.</t>
  </si>
  <si>
    <t>LT 765 kV Ivaiporã - Foz do Iguaçu C1</t>
  </si>
  <si>
    <t>0001376/2019</t>
  </si>
  <si>
    <t>IBIUNA</t>
  </si>
  <si>
    <t>20</t>
  </si>
  <si>
    <t xml:space="preserve">MODERNIZAÇÃO DO SISTEMA DE REGULAÇÃO DE TENSÃO, CONTROLE DE PARTIDA E CONTROLE CONJUNTO DE TENSÃO </t>
  </si>
  <si>
    <t>CS 330/-220 Mvar IBIUNA CS3 SP</t>
  </si>
  <si>
    <t>0001502/2019</t>
  </si>
  <si>
    <t>CS 330/-220 Mvar IBIUNA CS4 SP</t>
  </si>
  <si>
    <t>0001503/2019</t>
  </si>
  <si>
    <t xml:space="preserve">SUB POCOS CALDAS - </t>
  </si>
  <si>
    <t>SUBSTITUIÇÃO DO GRUPO GERADOR DE EMERGÊNCIA</t>
  </si>
  <si>
    <t>MG 500 kV POCOS CALDAS MG1 MG</t>
  </si>
  <si>
    <t>0001520/2019</t>
  </si>
  <si>
    <t>TERESINA II</t>
  </si>
  <si>
    <t>SUBSTITUIÇÃO DO REGULADOR DE TENSÃO DO CS 01K1</t>
  </si>
  <si>
    <t>FT CS 150/-105 MVAr TERESINA II CS1 PI</t>
  </si>
  <si>
    <t>0001526/2019</t>
  </si>
  <si>
    <t>SUBSTITUIÇÃO DO PAINEL DE COMANDO E CONTROLE DO CS 01K1</t>
  </si>
  <si>
    <t>0001527/2019</t>
  </si>
  <si>
    <t>SUBSTITUIÇÃO DO PAINEL DE PROTEÇÃO DO TRANSFORMADOR TR 04T3</t>
  </si>
  <si>
    <t>0001530/2019</t>
  </si>
  <si>
    <t>SUBSTITUIÇÃO DAS PONTES RETIFICADORAS DO CS 01K1</t>
  </si>
  <si>
    <t>0001529/2019</t>
  </si>
  <si>
    <t>SUBSTITUIÇÃO DO PAINEL DE PROTEÇÃO DO CS 01K1</t>
  </si>
  <si>
    <t>0001528/2019</t>
  </si>
  <si>
    <t>Substituição do REATOR 500 kV MBRE7-03 Fase Reserva(FR).</t>
  </si>
  <si>
    <t>0001614/2018</t>
  </si>
  <si>
    <t>SAO JOSE</t>
  </si>
  <si>
    <t>Substituição de DISJUNTOR DJ218</t>
  </si>
  <si>
    <t>MIG 13,8 kV BARRA A - CA1</t>
  </si>
  <si>
    <t>0011057/2016</t>
  </si>
  <si>
    <t>Substituição de DISJUNTOR DJ2118</t>
  </si>
  <si>
    <t>MIG 13,8 kV BARRA A - CA2</t>
  </si>
  <si>
    <t>0011058/2016</t>
  </si>
  <si>
    <t>Substituição de DISJUNTOR DJ2128</t>
  </si>
  <si>
    <t>MIG 13,8 kV BARRA A - CA3</t>
  </si>
  <si>
    <t>0011059/2016</t>
  </si>
  <si>
    <t>Substituição de DISJUNTOR DJ2138</t>
  </si>
  <si>
    <t>MIG 13,8 kV BARRA A - CA4</t>
  </si>
  <si>
    <t>0011060/2016</t>
  </si>
  <si>
    <t>BOM NOME</t>
  </si>
  <si>
    <t>SUBSTITUIÇÃO DO SISTEMA DE PROTEÇÃO DE 01 VÃO DE TRANSFERÊNCIA 12D1 SE BNO 69KV.</t>
  </si>
  <si>
    <t>DJ 12D1 SE BNO</t>
  </si>
  <si>
    <t>0001868/2018</t>
  </si>
  <si>
    <t>Substituição de DISJUNTOR DJ2018</t>
  </si>
  <si>
    <t>MIG 13,8 kV BARRA A - CA5</t>
  </si>
  <si>
    <t>0011061/2016</t>
  </si>
  <si>
    <t>Substituição de SECIONADOR SC2117</t>
  </si>
  <si>
    <t>MIG 13,8 kV BARRA A - TSA1</t>
  </si>
  <si>
    <t>0011062/2016</t>
  </si>
  <si>
    <t>Substituição de SECIONADOR SC2127</t>
  </si>
  <si>
    <t>MIG 13,8 kV BARRA A - TSA3</t>
  </si>
  <si>
    <t>0011063/2016</t>
  </si>
  <si>
    <t>Substituição de SECIONADOR SC2227</t>
  </si>
  <si>
    <t>MIG 13,8 kV BARRA A - TSA4</t>
  </si>
  <si>
    <t>0011064/2016</t>
  </si>
  <si>
    <t>Substituição de SECIONADOR SC2137</t>
  </si>
  <si>
    <t>MIG 13,8 kV BARRA A - TSA5</t>
  </si>
  <si>
    <t>0011065/2016</t>
  </si>
  <si>
    <t>Substituição de DISJUNTOR DJ228</t>
  </si>
  <si>
    <t>MIG 13,8 kV BARRA B - CB1</t>
  </si>
  <si>
    <t>0011066/2016</t>
  </si>
  <si>
    <t>Substituição de DISJUNTOR DJ2218</t>
  </si>
  <si>
    <t>MIG 13,8 kV BARRA B - CB2</t>
  </si>
  <si>
    <t>0011067/2016</t>
  </si>
  <si>
    <t>Substituição de DISJUNTOR DJ2228</t>
  </si>
  <si>
    <t>MIG 13,8 kV BARRA B - CB3</t>
  </si>
  <si>
    <t>0011068/2016</t>
  </si>
  <si>
    <t>Substituição de DISJUNTOR DJ2238</t>
  </si>
  <si>
    <t>MIG 13,8 kV BARRA B - CB4</t>
  </si>
  <si>
    <t>0011069/2016</t>
  </si>
  <si>
    <t>SUB DELM. GOUVEIA - 69</t>
  </si>
  <si>
    <t>SUBSTITUIÇÃO DO SISTEMA DE PROTEÇÃO DE 01 VÃO DE TRANSFERÊNCIA 12D1 SE DMG 69KV.</t>
  </si>
  <si>
    <t>DJ 12D1 SE DMG</t>
  </si>
  <si>
    <t>0001876/2018</t>
  </si>
  <si>
    <t>Substituição de DISJUNTOR DJ2038</t>
  </si>
  <si>
    <t>MIG 13,8 kV BARRA B - CB5</t>
  </si>
  <si>
    <t>0011070/2016</t>
  </si>
  <si>
    <t>Substituição de DISJUNTOR DJ2028</t>
  </si>
  <si>
    <t>MIG 13,8 kV BARRA B - CB7</t>
  </si>
  <si>
    <t>0011071/2016</t>
  </si>
  <si>
    <t>Substituição de SECIONADOR SC2217</t>
  </si>
  <si>
    <t>MIG 13,8 kV BARRA B - TSA2</t>
  </si>
  <si>
    <t>0011072/2016</t>
  </si>
  <si>
    <t>Substituição de SECIONADOR SC2237</t>
  </si>
  <si>
    <t>MIG 13,8 kV BARRA B - TSA6</t>
  </si>
  <si>
    <t>0011073/2016</t>
  </si>
  <si>
    <t>Autotransformador AT02 500/230/13.8 kV : Sistema de Proteção, Supervisão e circuitos secundários de corrente, potencial e controle.</t>
  </si>
  <si>
    <t>0018996/2015</t>
  </si>
  <si>
    <t>Substituição do Registrador Digital de Perturbação, que monitora os equipamentos AT02.</t>
  </si>
  <si>
    <t>TR 500/230 kV S.DA MESA TR2 GO</t>
  </si>
  <si>
    <t>0002067/2019</t>
  </si>
  <si>
    <t>Substituição dos Registradores Digitais de Perturbação, que monitora o equipamento RTSMSB2.</t>
  </si>
  <si>
    <t>RT 500 kV 136 Mvar SAMAMBAIA 2 DF</t>
  </si>
  <si>
    <t>0002101/2019</t>
  </si>
  <si>
    <t>Substituição dos Registradores Digitais de Perturbação, que monitora o equipamento RTSMSB1.</t>
  </si>
  <si>
    <t xml:space="preserve"> RT 500 kV 73P6 Mvar SAMAMBAIA 1 DF</t>
  </si>
  <si>
    <t>0002102/2019</t>
  </si>
  <si>
    <t>ARAPIRACA III</t>
  </si>
  <si>
    <t>Substituição de 125km de cabo para-raio por cabo OPGW para atendimento a SE ARAPIRACA da LT 230KV ARAPIRACA III / RIO LARGO II</t>
  </si>
  <si>
    <t>LT 230 kV ARAPIRACA III/RIO LARGO II C-1 AL</t>
  </si>
  <si>
    <t>0002068/2018</t>
  </si>
  <si>
    <t>CAMACARI II</t>
  </si>
  <si>
    <t>Substituição de  24km de cabo para-raio  por cabo OPGW da LT 230KV CAMAÇARI / COTEGIPE</t>
  </si>
  <si>
    <t>LT 230 kV CAMACARI II /COTEGIPE C-1 BA</t>
  </si>
  <si>
    <t>0002070/2018</t>
  </si>
  <si>
    <t>Implantação de Registrador Digital de Perturbação com a finalidade de monitoração do BS 500 kV 382 Mvar IBIUNA 1A SP no terminal da subestação de Ibiúna.</t>
  </si>
  <si>
    <t>BS 500 kV 382 Mvar IBIUNA 1A SP</t>
  </si>
  <si>
    <t>0002159/2019</t>
  </si>
  <si>
    <t>Implantação de Registrador Digital de Perturbação com a finalidade de monitoração do BS 500 kV 382 Mvar IBIUNA 2A SP no terminal da subestação de Ibiúna.</t>
  </si>
  <si>
    <t>BS 500 kV 382 Mvar IBIUNA 2A SP</t>
  </si>
  <si>
    <t>0002163/2019</t>
  </si>
  <si>
    <t>Implantação de Registrador Digital de Perturbação com a finalidade de monitoração do BS 500 kV 382 Mvar IBIUNA 2B SP no terminal da subestação de Ibiúna.</t>
  </si>
  <si>
    <t>BS 500 kV 382 Mvar IBIUNA 2B SP</t>
  </si>
  <si>
    <t>0002165/2019</t>
  </si>
  <si>
    <t>Implantação de Registrador Digital de Perturbação com a finalidade de monitoração do BS 500 kV 382 Mvar IBIUNA 1B SP no terminal da subestação de Ibiúna.</t>
  </si>
  <si>
    <t>BS 500 kV 382 Mvar IBIUNA 1B SP</t>
  </si>
  <si>
    <t>0002161/2019</t>
  </si>
  <si>
    <t>INSTALAÇÃO E MONTAGEM DO RACK DE GÁS HIDROGÊNIO USADO NA REPRESSURIZAÇÃO DO COMPENSADOR SINCRONO Nº02.</t>
  </si>
  <si>
    <t>CS 100/-70 + 100/-70 Mvar P.DUTRA CS1CS2 MA</t>
  </si>
  <si>
    <t>0002117/2018</t>
  </si>
  <si>
    <t>SUB S.DA MESA - 500</t>
  </si>
  <si>
    <t>Modernização da proteção associada ao disjuntor central da LT Serra da Mesa – Serra da Mesa 2 na SE Serra da Mesa, com vistas a aumentar a segurança intrínseca dessa subestação.</t>
  </si>
  <si>
    <t>Outros</t>
  </si>
  <si>
    <t>0002168/2019</t>
  </si>
  <si>
    <t>SUBSTITUIÇÃO DO SISTEMA DE ATERRAMENTO DO EIXO DO COMPENSADOR SINCRONO Nº02.</t>
  </si>
  <si>
    <t>0002126/2018</t>
  </si>
  <si>
    <t>INSTALAÇÃO E MONTAGEM DO RACK DE GÁS HIDROGÊNIO USADO NA REPRESSURIZAÇÃO DO COMPENSADOR SINCRONO Nº01.</t>
  </si>
  <si>
    <t>0002136/2018</t>
  </si>
  <si>
    <t>SUBSTITUIÇÃO DO PÁRA-RAIOS DA FASE 'B'</t>
  </si>
  <si>
    <t>0002154/2018</t>
  </si>
  <si>
    <t>RT 500 kV 136 Mvar S.DA MESA SB2 GO</t>
  </si>
  <si>
    <t>0002218/2019</t>
  </si>
  <si>
    <t>Substituição dos Registradores Digitais de Perturbação, que monitora o equipamento RTSMGU1.</t>
  </si>
  <si>
    <t>RT 500 kV 136 Mvar S.DA MESA GU1 GO</t>
  </si>
  <si>
    <t>0002214/2019</t>
  </si>
  <si>
    <t>SUBSTITUIR TCs (FASES A, B e V) DE 230KV DO DJ604-TC601</t>
  </si>
  <si>
    <t>0002183/2018</t>
  </si>
  <si>
    <t>?SUBSTITUIR TRANSFORMADORES DE CORRENTE DO CUBÍCULO DE 13,8KV</t>
  </si>
  <si>
    <t>TR 230/138 kV PORTO FRANCO TR1 MA</t>
  </si>
  <si>
    <t>0002188/2018</t>
  </si>
  <si>
    <t>SUBSTITUIR TCs 230KV (FASES A, B e V) DO DJ606-TC601</t>
  </si>
  <si>
    <t>0002189/2018</t>
  </si>
  <si>
    <t>?SUBSTITUIR TCs 230 (FASES A, B e V) DO DISJUNTOR LDDJ6-08</t>
  </si>
  <si>
    <t>0002192/2018</t>
  </si>
  <si>
    <t>SUBSTITUIR TCs 230 (FASES A, B e V) DO DISJUNTOR LDDJ6-10</t>
  </si>
  <si>
    <t>0002194/2018</t>
  </si>
  <si>
    <t>??SUBSTITUIR TCs 230 (FASES A, B e V) DO BAY DA LINHA LDMR-LT601</t>
  </si>
  <si>
    <t>LT 230 kV SAO LUIS II /MIRANDA II C-1 MA</t>
  </si>
  <si>
    <t>0002202/2018</t>
  </si>
  <si>
    <t>??SUBSTITUIR TCs 230 (FASES A, B e V) DO BAY DA LINHA LDLI-LT601</t>
  </si>
  <si>
    <t>LT 230 kV SAO LUIS II /SAO LUIS I C-1 MA</t>
  </si>
  <si>
    <t>0002205/2018</t>
  </si>
  <si>
    <t>?SUBSTITUIR TCs 230 (FASES A, B e V) DO BAY DA LINHA LDLI-LT602</t>
  </si>
  <si>
    <t>LT 230 kV SAO LUIS II /SAO LUIS I C-2 MA</t>
  </si>
  <si>
    <t>0002212/2018</t>
  </si>
  <si>
    <t>SUBSTITUIR TCs 230 KV (FASES A, B e V) DO BAY DO LDAT7-03</t>
  </si>
  <si>
    <t>TR 500/230 kV SAO LUIS II TR3 MA</t>
  </si>
  <si>
    <t>0002215/2018</t>
  </si>
  <si>
    <t>SUBSTITUIÇÃO DE UM TRANSFORMADOR DE CORRENTE DE 500 KV, FASE A DA MRLD-LT7-01, ASSOCIADO AO LDDJ7-01.</t>
  </si>
  <si>
    <t>LT 500 kV MIRANDA II / SAO LUIS II C 1 MA</t>
  </si>
  <si>
    <t>0002304/2018</t>
  </si>
  <si>
    <t>Reator RTSMSB2 da LT 500 kV  Samambaia - Serra da Mesa C2: Sistema de Proteção, Supervisão e circuitos secundários de corrente, potencial e controle.</t>
  </si>
  <si>
    <t>0019043/2015</t>
  </si>
  <si>
    <t>MOGI CRUZES</t>
  </si>
  <si>
    <t>LI 230 kV Mogi (CTEEP)- Mogi : Sistema de Proteção, Supervisão e circuitos secundários de corrente, potencial e controle.</t>
  </si>
  <si>
    <t>MG MOGI CRUZES / CCO-2001-062 - RB</t>
  </si>
  <si>
    <t>0019024/2015</t>
  </si>
  <si>
    <t>0019037/2015</t>
  </si>
  <si>
    <t>RT 230 kV 30 Mvar RONDONOPOLIS RT3 MT</t>
  </si>
  <si>
    <t>0002649/2019</t>
  </si>
  <si>
    <t>Instalação de Registrador Digital de Perturbações - RDP para atender a função RT 500 136 Mvar MIRACEMA 1 TO.</t>
  </si>
  <si>
    <t>RT 500 kV 136 Mvar MIRACEMA 1 TO</t>
  </si>
  <si>
    <t>0002651/2019</t>
  </si>
  <si>
    <t>Instalação de Registrador Digital de Perturbações - RDP para atender a função RT 500 136 Mvar MIRACEMA 2 TO.</t>
  </si>
  <si>
    <t>RT 500 kV 136 Mvar MIRACEMA 2 TO</t>
  </si>
  <si>
    <t>0002652/2019</t>
  </si>
  <si>
    <t>0002653/2019</t>
  </si>
  <si>
    <t>SUB RIO BRANCO I - 230</t>
  </si>
  <si>
    <t xml:space="preserve">BC  230 kV 18P5 Mvar RIO BRANCO I 1 AC  </t>
  </si>
  <si>
    <t>0002654/2019</t>
  </si>
  <si>
    <t>SUBSTITUIÇÃO DO DISJUNTOR PDDJ7-17</t>
  </si>
  <si>
    <t>LT 500 kV TERESINA II /P.DUTRA C-3 PI/MA</t>
  </si>
  <si>
    <t>0002677/2019</t>
  </si>
  <si>
    <t>SUBSTITUIÇÃO DO DISJUNTOR PDDJ7-06</t>
  </si>
  <si>
    <t>0002678/2019</t>
  </si>
  <si>
    <t>SUBSTITUIÇÃO DO DISJUNTOR PDDJ2-02 FRENAGEM</t>
  </si>
  <si>
    <t>0002679/2019</t>
  </si>
  <si>
    <t>SUBSTITUIÇÃO DO DISJUNTOR PDDJ2-03 PARTIDA</t>
  </si>
  <si>
    <t>0002681/2019</t>
  </si>
  <si>
    <t>SUBSTITUIÇÃO DO DISJUNTOR PDDJ2-04 NEUTRO</t>
  </si>
  <si>
    <t>0002682/2019</t>
  </si>
  <si>
    <t>SUBSTITUIÇÃO DO DISJUNTOR PDDJ2-05 EXCITAÇÃO</t>
  </si>
  <si>
    <t>0002683/2019</t>
  </si>
  <si>
    <t>COTEGIPE</t>
  </si>
  <si>
    <t>Construção de muro de contenção de talude do Patio de 69 kV. (Volume de muro a ser construído: 660 m³).</t>
  </si>
  <si>
    <t>FT MG 230 kV COTEGIPE MG1 BA</t>
  </si>
  <si>
    <t>0002653/2018</t>
  </si>
  <si>
    <t>Construção de muro no entorno da subestação. (Muro composto por mourões e placas em concreto pré-moldado no total de 1075 m;_x000D_
Muro em Alvenaria de Concreto no total de 216 m.)</t>
  </si>
  <si>
    <t>0002652/2018</t>
  </si>
  <si>
    <t>SUBSTITUIÇÃO DO DISJUNTOR PDDJ2-06 SERVIÇO AUXILIAR</t>
  </si>
  <si>
    <t>0002690/2019</t>
  </si>
  <si>
    <t>REVITALIZAÇÃO DOS PÓLOS (VEDAÇÕES, CONTATOS, CÂMARAS, COLUNAS ETC) DAS FASES 'A', 'B' E 'V' DO DISJUNTOR LDDB6-01</t>
  </si>
  <si>
    <t>0002692/2019</t>
  </si>
  <si>
    <t>REVITALIZAÇÃO DOS PÓLOS (VEDAÇÕES, CONTATOS, CÂMARAS, COLUNAS ETC) DAS FASES 'A', 'B' E 'V' DO DISJUNTOR LDDB6-02</t>
  </si>
  <si>
    <t>0002696/2019</t>
  </si>
  <si>
    <t>REVITALIZAÇÃO DOS PÓLOS (VEDAÇÕES, CONTATOS, CÂMARAS, COLUNAS ETC) DAS FASES 'A', 'B' E 'V' DO DISJUNTOR LDDJ6-04</t>
  </si>
  <si>
    <t>0002698/2019</t>
  </si>
  <si>
    <t>REVITALIZAÇÃO DOS PÓLOS (VEDAÇÕES, CONTATOS, CÂMARAS, COLUNAS ETC) DAS FASES 'A', 'B' E 'V' DO DISJUNTOR LDDJ6-06</t>
  </si>
  <si>
    <t>0002759/2019</t>
  </si>
  <si>
    <t>REVITALIZAÇÃO DOS PÓLOS (VEDAÇÕES, CONTATOS, CÂMARAS, COLUNAS ETC) DAS FASES 'A', 'B' E 'V' DO DISJUNTOR LDDJ6-08</t>
  </si>
  <si>
    <t>0002760/2019</t>
  </si>
  <si>
    <t>REVITALIZAÇÃO DOS PÓLOS (VEDAÇÕES, CONTATOS, CÂMARAS, COLUNAS ETC) DAS FASES 'A', 'B' E 'V' DO DISJUNTOR LDDJ6-10</t>
  </si>
  <si>
    <t>0002761/2019</t>
  </si>
  <si>
    <t>REVITALIZAÇÃO DOS PÓLOS (VEDAÇÕES, CONTATOS, CÂMARAS, COLUNAS ETC) DAS FASES 'A', 'B' E 'V' DO DISJUNTOR LDDJ6-19</t>
  </si>
  <si>
    <t>LT 230 kV SAO LUIS II /MIRANDA C-1 MA</t>
  </si>
  <si>
    <t>0002762/2019</t>
  </si>
  <si>
    <t>REVITALIZAÇÃO DOS PÓLOS (VEDAÇÕES, CONTATOS, CÂMARAS, COLUNAS ETC) DAS FASES 'A', 'B' E 'V' DO DISJUNTOR LDDJ6-16</t>
  </si>
  <si>
    <t>0002763/2019</t>
  </si>
  <si>
    <t>SUBSTITUIÇÃO DE TRANSFORMADOR DE CORRENTE DE FABRICAÇÃO BBC NÚMERO DE SÉRIE SP18011. TRANSFORMADOR DE CORRENTE DO REATOR NR 07 DA SEPD (PDRE7-07) FASE B, ASSOCIADO À LINHA IZPDLT7-02.</t>
  </si>
  <si>
    <t>0002764/2019</t>
  </si>
  <si>
    <t>REVITALIZAÇÃO DOS PÓLOS (VEDAÇÕES, CONTATOS, CÂMARAS, COLUNAS ETC) DAS FASES 'A', 'B' E 'V' DO DISJUNTOR LDDJ6-18</t>
  </si>
  <si>
    <t>0002765/2019</t>
  </si>
  <si>
    <t>REVITALIZAÇÃO DOS PÓLOS (VEDAÇÕES, CONTATOS, CÂMARAS, COLUNAS ETC) DAS FASES 'A', 'B' E 'V' DO DISJUNTOR LDDJ6-03</t>
  </si>
  <si>
    <t>BC 230 kV 61,1 + 50,8 Mvar SAO LUIS II BC2 BC1 MA</t>
  </si>
  <si>
    <t>0002766/2019</t>
  </si>
  <si>
    <t xml:space="preserve"> Substituição/Revitalização dos cubículos de 13,8 kV e transformadores de serviço auxiliar e seus comandos e proteção</t>
  </si>
  <si>
    <t>0002855/2018</t>
  </si>
  <si>
    <t>?SUBSTITUIR A CHAVE SECCIONADORA DE 230KV LDSB6-38</t>
  </si>
  <si>
    <t>0002901/2018</t>
  </si>
  <si>
    <t>??SUBSTITUIR A CHAVE SECCIONADORA DE 230KV - LDSD6-28</t>
  </si>
  <si>
    <t>0002904/2018</t>
  </si>
  <si>
    <t>??SUBSTITUIR A CHAVE SECCIONADORA DE 230KV - LDSB6-06</t>
  </si>
  <si>
    <t>0002905/2018</t>
  </si>
  <si>
    <t>Substituição da bucha de 500KV da fase A do autotransformador PDAT7-01</t>
  </si>
  <si>
    <t>0002940/2018</t>
  </si>
  <si>
    <t>Substituição da bucha de 500 da fase B do autotransformador PDAT7-01.</t>
  </si>
  <si>
    <t>0002941/2018</t>
  </si>
  <si>
    <t>Substituição de SECCIONADORA 500 kV IZSD7-10 FASE A</t>
  </si>
  <si>
    <t>MG-IZMG-07</t>
  </si>
  <si>
    <t>0006139/2016</t>
  </si>
  <si>
    <t>Substituição de SECCIONADORA 500 kV IZSD7-10 FASE B</t>
  </si>
  <si>
    <t>0006140/2016</t>
  </si>
  <si>
    <t>Substituição de SECCIONADORA 500 kV IZSD7-10 FASE V</t>
  </si>
  <si>
    <t>0006141/2016</t>
  </si>
  <si>
    <t>LT Foz do Iguaçu - Ibiúna C4 - 600</t>
  </si>
  <si>
    <t>Substituição de cabo contrapeso.</t>
  </si>
  <si>
    <t>FT LT 600 kV F.IGUACU 50HZ / IBIUNA C-4 PR/SP</t>
  </si>
  <si>
    <t>0003117/2018</t>
  </si>
  <si>
    <t>LT Foz do Iguaçu - Ibiúna C3 - 600</t>
  </si>
  <si>
    <t>FT LT 600 kV F.IGUACU 50HZ / IBIUNA C-3 PR/SP</t>
  </si>
  <si>
    <t>0003116/2018</t>
  </si>
  <si>
    <t>LT Araraquara - Poços de Caldas - 500</t>
  </si>
  <si>
    <t>Substituição de espaçadores-amortecedores ao longo do trecho da linha, iniciando na torre 01 até  a torre 255, totalizando 1671 espaçadores-amortecedores.</t>
  </si>
  <si>
    <t>LT 500 kV ARARAQUARA FUR / POCOS CALDAS C 1 SP/MG</t>
  </si>
  <si>
    <t>0003202/2019</t>
  </si>
  <si>
    <t>LT Araraquara - Campinas - 500</t>
  </si>
  <si>
    <t>Substituição de espaçadores-amortecedores ao longo do trecho da linha, iniciando na torre 01 até  a torre 202, totalizando 2649 espaçadores-amortecedores.</t>
  </si>
  <si>
    <t>LT 500 kV ARARAQUARA FUR / CAMPINAS C 1 SP</t>
  </si>
  <si>
    <t>0003201/2019</t>
  </si>
  <si>
    <t>Substituição de TRANSFORMADOR CORRENTE 500 kV FASE A</t>
  </si>
  <si>
    <t>CR-IZPDLT701</t>
  </si>
  <si>
    <t>0006386/2016</t>
  </si>
  <si>
    <t>BOBINA DE BLOQUEIO 500 kV FASE A</t>
  </si>
  <si>
    <t>LT-IZPDLT701</t>
  </si>
  <si>
    <t>0006387/2016</t>
  </si>
  <si>
    <t>BOBINA DE BLOQUEIO 500 kV FASE B</t>
  </si>
  <si>
    <t>0006388/2016</t>
  </si>
  <si>
    <t>BOBINA DE BLOQUEIO 500 kV FASE V</t>
  </si>
  <si>
    <t>0006389/2016</t>
  </si>
  <si>
    <t>PÁRA-RAIOS 500 kV FASE A</t>
  </si>
  <si>
    <t>0006391/2016</t>
  </si>
  <si>
    <t>PÁRA-RAIOS 500 kV FASE B</t>
  </si>
  <si>
    <t>0006392/2016</t>
  </si>
  <si>
    <t>PÁRA-RAIOS 500 kV FASE V</t>
  </si>
  <si>
    <t>0006393/2016</t>
  </si>
  <si>
    <t>Substituição de TRANSFORMADOR CORRENTE 500 kV FASE B</t>
  </si>
  <si>
    <t>0006395/2016</t>
  </si>
  <si>
    <t>SECCIONADORA 500 kV IZSD7-08 FASE A</t>
  </si>
  <si>
    <t>0006396/2016</t>
  </si>
  <si>
    <t>SECCIONADORA 500 kV IZSD7-08 FASE B</t>
  </si>
  <si>
    <t>0006397/2016</t>
  </si>
  <si>
    <t>SECCIONADORA 500 kV IZSD7-08 FASE V</t>
  </si>
  <si>
    <t>0006398/2016</t>
  </si>
  <si>
    <t>SECCIONADORA 500 kV IZSD7-09 FASE A</t>
  </si>
  <si>
    <t>0006400/2016</t>
  </si>
  <si>
    <t>SECCIONADORA 500 kV IZSD7-09 FASE B</t>
  </si>
  <si>
    <t>0006401/2016</t>
  </si>
  <si>
    <t>SECCIONADORA 500 kV IZSD7-09 FASE V</t>
  </si>
  <si>
    <t>0006402/2016</t>
  </si>
  <si>
    <t>SECCIONADORA 500 kV IZSL7-02</t>
  </si>
  <si>
    <t>0006403/2016</t>
  </si>
  <si>
    <t>SECCIONADORA 500 kV IZSR7-02 FASE A</t>
  </si>
  <si>
    <t>0006405/2016</t>
  </si>
  <si>
    <t>SECCIONADORA 500 kV IZSR7-02 FASE B</t>
  </si>
  <si>
    <t>0006406/2016</t>
  </si>
  <si>
    <t>SECCIONADORA 500 kV IZSR7-02 FASE V</t>
  </si>
  <si>
    <t>0006407/2016</t>
  </si>
  <si>
    <t>Substituição de TRANSFORMADOR CORRENTE 500 kV FASE V</t>
  </si>
  <si>
    <t>0006414/2016</t>
  </si>
  <si>
    <t>Substituição de PARA-RAIOS PARARAIOS LADO 500 KV TR01 FASE A</t>
  </si>
  <si>
    <t>0012426/2016</t>
  </si>
  <si>
    <t>Substituição de PARA-RAIOS PARARAIOS LADO 500 KV TR01 FASE C</t>
  </si>
  <si>
    <t>0012427/2016</t>
  </si>
  <si>
    <t>Modernização da teleproteção da LT 138 kV Ilha dos Pombos - São José.</t>
  </si>
  <si>
    <t>LT 138 kV SAO JOSE ILHA POMBOS C1</t>
  </si>
  <si>
    <t>0003317/2018</t>
  </si>
  <si>
    <t>Modernização da teleproteção da LT 138 kV Triagem - São José C2</t>
  </si>
  <si>
    <t>LT 138 kV TRIAGEM / SAO JOSE C-2 RJ</t>
  </si>
  <si>
    <t>0003319/2018</t>
  </si>
  <si>
    <t>Modernização da teleproteção da LT 138 kV Triagem - São José C-1 RJ</t>
  </si>
  <si>
    <t>LT 138 kV TRIAGEM / SAO JOSE C-1 RJ</t>
  </si>
  <si>
    <t>0003318/2018</t>
  </si>
  <si>
    <t>Modernização da teleproteção da LT 138 kV Cordovil - São José C1</t>
  </si>
  <si>
    <t>LT 138 kV CORDOVIL / SAO JOSE C-1 RJ</t>
  </si>
  <si>
    <t>0003320/2018</t>
  </si>
  <si>
    <t>Modernização da teleproteção da LT 138 kV Cordovil - São José C2.</t>
  </si>
  <si>
    <t>LT 138 kV CORDOVIL / SAO JOSE C-2 RJ</t>
  </si>
  <si>
    <t>0003322/2018</t>
  </si>
  <si>
    <t>Modernização da teleproteção da LT 138 kV Magé - São José C1</t>
  </si>
  <si>
    <t>LT 138 kV SAO JOSE / MAGE C-1 RJ</t>
  </si>
  <si>
    <t>0003325/2018</t>
  </si>
  <si>
    <t>Modernização da teleproteção da LT 138 kV Magé - São José C2</t>
  </si>
  <si>
    <t>LT 138 kV SAO JOSE / MAGE C-2 RJ</t>
  </si>
  <si>
    <t>0003328/2018</t>
  </si>
  <si>
    <t>Modernização da teleproteção da LT 138 kV Imbariê - São José C2</t>
  </si>
  <si>
    <t>LT 138 kV IMBARIE / SAO JOSE C-2 RJ</t>
  </si>
  <si>
    <t>0003333/2018</t>
  </si>
  <si>
    <t>Substituição de PARA-RAIOS PARARAIOS 1 BR8A2 FASE A</t>
  </si>
  <si>
    <t>BARRA BR8A2</t>
  </si>
  <si>
    <t>0012444/2016</t>
  </si>
  <si>
    <t>Substituição de PARA-RAIOS PARARAIOS 1 BR8A2 FASE B</t>
  </si>
  <si>
    <t>0012445/2016</t>
  </si>
  <si>
    <t>Substituição de PARA-RAIOS PARARAIOS 1 BR8A2 FASE C</t>
  </si>
  <si>
    <t>0012446/2016</t>
  </si>
  <si>
    <t>Substituição de PARA-RAIOS PARARAIOS 2 BR8A2 FASE A</t>
  </si>
  <si>
    <t>0012447/2016</t>
  </si>
  <si>
    <t>Modernização da teleproteção da LT 138 kV Imbariê - São José C1.</t>
  </si>
  <si>
    <t>LT 138 kV IMBARIE / SAO JOSE C-1 RJ</t>
  </si>
  <si>
    <t>0003331/2018</t>
  </si>
  <si>
    <t>Substituição de PARA-RAIOS PARARAIOS 2 BR8A2 FASE B</t>
  </si>
  <si>
    <t>0012448/2016</t>
  </si>
  <si>
    <t>Substituição de PARA-RAIOS PARARAIOS 2 BR8A2 FASE C</t>
  </si>
  <si>
    <t>0012449/2016</t>
  </si>
  <si>
    <t>Substituição de PARA-RAIOS PARARAIOS 1 BR8B2 FASE A</t>
  </si>
  <si>
    <t>BARRA BR8B2</t>
  </si>
  <si>
    <t>0012450/2016</t>
  </si>
  <si>
    <t>Substituição de PARA-RAIOS PARARAIOS 1 BR8B2 FASE B</t>
  </si>
  <si>
    <t>0012451/2016</t>
  </si>
  <si>
    <t>Substituição de PARA-RAIOS PARARAIOS 1 BR8B2 FASE C</t>
  </si>
  <si>
    <t>0012452/2016</t>
  </si>
  <si>
    <t>Substituição de PARA-RAIOS PARARAIOS 2 BR8B2 FASE A</t>
  </si>
  <si>
    <t>0012453/2016</t>
  </si>
  <si>
    <t>Substituição de PARA-RAIOS PARARAIOS 2 BR8B2 FASE B</t>
  </si>
  <si>
    <t>0012454/2016</t>
  </si>
  <si>
    <t>Substituição de PARA-RAIOS PARARAIOS 2 BR8B2 FASE C</t>
  </si>
  <si>
    <t>0012455/2016</t>
  </si>
  <si>
    <t>Substituição de DISJUNTOR DJ8454</t>
  </si>
  <si>
    <t>CT 345 kV AT05</t>
  </si>
  <si>
    <t>0012456/2016</t>
  </si>
  <si>
    <t>Substituição de SECIONADOR SC12941</t>
  </si>
  <si>
    <t>CT 765 kV AT04</t>
  </si>
  <si>
    <t>0012457/2016</t>
  </si>
  <si>
    <t>Substituição de SECIONADOR SC12943</t>
  </si>
  <si>
    <t>0012458/2016</t>
  </si>
  <si>
    <t>Substituição de SECIONADOR SC12947</t>
  </si>
  <si>
    <t>0012459/2016</t>
  </si>
  <si>
    <t>Substituição de SECIONADOR c/lt SC12140T</t>
  </si>
  <si>
    <t>0012460/2016</t>
  </si>
  <si>
    <t>Substituição de DISJUNTOR DJ12954</t>
  </si>
  <si>
    <t>CT 765 kV AT05</t>
  </si>
  <si>
    <t>0012461/2016</t>
  </si>
  <si>
    <t>Substituição de DISJUNTOR DJ12964</t>
  </si>
  <si>
    <t>CT 765 kV AT06</t>
  </si>
  <si>
    <t>0012462/2016</t>
  </si>
  <si>
    <t>Substituição de SECIONADOR SC12841</t>
  </si>
  <si>
    <t>IB 765 kV  (ITABERÁC2/AT04)</t>
  </si>
  <si>
    <t>0012471/2016</t>
  </si>
  <si>
    <t>Substituição de SECIONADOR SC12843</t>
  </si>
  <si>
    <t>0012472/2016</t>
  </si>
  <si>
    <t>Substituição de DISJUNTOR DJ12854</t>
  </si>
  <si>
    <t>IB 765 kV  (ITABERÁC3/AT05)</t>
  </si>
  <si>
    <t>0012473/2016</t>
  </si>
  <si>
    <t>Substituição de PARA-RAIOS PARARAIOS LIBXTP1 STTP FASE A</t>
  </si>
  <si>
    <t>LIBXTP1 345 KV</t>
  </si>
  <si>
    <t>0012474/2016</t>
  </si>
  <si>
    <t>Substituição de PARA-RAIOS PARARAIOS LIBXTP1 STTP FASE B</t>
  </si>
  <si>
    <t>0012475/2016</t>
  </si>
  <si>
    <t>Substituição de PARA-RAIOS PARARAIOS LIBXTP1 STTP FASE C</t>
  </si>
  <si>
    <t>0012476/2016</t>
  </si>
  <si>
    <t>Substituição de PARA-RAIOS PARARAIOS LIIDTP1 STTP FASE B</t>
  </si>
  <si>
    <t>LIIDTP1 345 KV</t>
  </si>
  <si>
    <t>0012477/2016</t>
  </si>
  <si>
    <t>Substituição de PARA-RAIOS PARARAIOS LIIDTP1 STTP FASE C</t>
  </si>
  <si>
    <t>0012478/2016</t>
  </si>
  <si>
    <t>Substituição de PARA-RAIOS PARARAIOS LIIDTP2 STTP FASE A</t>
  </si>
  <si>
    <t>LIIDTP2 345 KV</t>
  </si>
  <si>
    <t>0012482/2016</t>
  </si>
  <si>
    <t>Substituição de PARA-RAIOS PARARAIOS LIIDTP2 STTP FASE B</t>
  </si>
  <si>
    <t>0012483/2016</t>
  </si>
  <si>
    <t>Substituição de PARA-RAIOS PARARAIOS LIIDTP2 STTP FASE C</t>
  </si>
  <si>
    <t>0012484/2016</t>
  </si>
  <si>
    <t>Substituição de PARA-RAIOS PARARAIOS LITLTP2 STTP FASE B</t>
  </si>
  <si>
    <t>LITLTP2</t>
  </si>
  <si>
    <t>0012488/2016</t>
  </si>
  <si>
    <t>Substituição de PARA-RAIOS PARARAIOS LITLTP2 STTP FASE C</t>
  </si>
  <si>
    <t>0012489/2016</t>
  </si>
  <si>
    <t>Substituição de PARA-RAIOS PARARAIOS LITPID4 STTP FASE A</t>
  </si>
  <si>
    <t>LITPID4 345 KV</t>
  </si>
  <si>
    <t>0012496/2016</t>
  </si>
  <si>
    <t>Substituição de PARA-RAIOS PARARAIOS LITPID4 STTP FASE B</t>
  </si>
  <si>
    <t>0012497/2016</t>
  </si>
  <si>
    <t>Substituição de PARA-RAIOS PARARAIOS LITPID4 STTP FASE C</t>
  </si>
  <si>
    <t>0012498/2016</t>
  </si>
  <si>
    <t>Substituição de PÁRA-RAIOS 69 KV IZRE7-02 PR401 FASE N</t>
  </si>
  <si>
    <t>0006500/2016</t>
  </si>
  <si>
    <t>Substituição de PARA-RAIOS CS01 - fase A</t>
  </si>
  <si>
    <t>0012510/2016</t>
  </si>
  <si>
    <t>Substituição de PARA-RAIOS CS01 - fase B</t>
  </si>
  <si>
    <t>0012511/2016</t>
  </si>
  <si>
    <t>Restauração de reator de derivação, fase A, que compõe o banco CORE7-01</t>
  </si>
  <si>
    <t>0003435/2019</t>
  </si>
  <si>
    <t>Substituição de PÁRA-RAIOS 500 kV FASE A</t>
  </si>
  <si>
    <t>0006507/2016</t>
  </si>
  <si>
    <t>Substituição de PARA-RAIOS PARARAIOS LADO 20 KV AT05 FASE C</t>
  </si>
  <si>
    <t>0012514/2016</t>
  </si>
  <si>
    <t>Substituição e automação do grupo gerador de emergência</t>
  </si>
  <si>
    <t>MG 500 kV SAO JOSE MG1 RJ</t>
  </si>
  <si>
    <t>0003436/2019</t>
  </si>
  <si>
    <t>Substituição do Centro de Cargas de Emergência 2 - CCEM-2</t>
  </si>
  <si>
    <t>0003438/2019</t>
  </si>
  <si>
    <t>Substituição de PÁRA-RAIOS 500 kV FASE B</t>
  </si>
  <si>
    <t>0006509/2016</t>
  </si>
  <si>
    <t>Substituição de PARA-RAIOS CS01 - fase C</t>
  </si>
  <si>
    <t>0012516/2016</t>
  </si>
  <si>
    <t>Substituição do Centro de Cargas Normais 1 - CCN-1</t>
  </si>
  <si>
    <t>0003439/2019</t>
  </si>
  <si>
    <t>Substituição do Centro de Cargas de Emergência 1 - CCEM-1</t>
  </si>
  <si>
    <t>0003437/2019</t>
  </si>
  <si>
    <t>Substituição do Centro de Cargas Normais 2 - CCN-2</t>
  </si>
  <si>
    <t>0003440/2019</t>
  </si>
  <si>
    <t>Restauração de reator de derivação, fase B, que compõe o banco CORE7-01</t>
  </si>
  <si>
    <t>0003445/2019</t>
  </si>
  <si>
    <t>Substituição do Painel QIECC</t>
  </si>
  <si>
    <t>0003444/2019</t>
  </si>
  <si>
    <t>Substituição do Painel QDCC</t>
  </si>
  <si>
    <t>0003442/2019</t>
  </si>
  <si>
    <t>Restauração de reator de neutro, que compõe o banco CORE7-01</t>
  </si>
  <si>
    <t>0003450/2019</t>
  </si>
  <si>
    <t>Restauração de reator de derivação, fase V, que compõe o banco CORE7-01</t>
  </si>
  <si>
    <t>0003448/2019</t>
  </si>
  <si>
    <t>Restauração de reator de derivação, fase A, que compõe o banco CORE7-02</t>
  </si>
  <si>
    <t>0003454/2019</t>
  </si>
  <si>
    <t>Substituição de PÁRA-RAIOS 500 kV FASE V</t>
  </si>
  <si>
    <t>0006525/2016</t>
  </si>
  <si>
    <t>Restauração de reator de derivação, fase B, que compõe o banco CORE7-02</t>
  </si>
  <si>
    <t>0003458/2019</t>
  </si>
  <si>
    <t xml:space="preserve">SUB IVAIPORA - </t>
  </si>
  <si>
    <t>Substituição do Painel QDCC-1</t>
  </si>
  <si>
    <t>MG 750 kV IVAIPORA MG1 PR</t>
  </si>
  <si>
    <t>0003461/2019</t>
  </si>
  <si>
    <t>Substituição do Painel QDCC-2</t>
  </si>
  <si>
    <t>0003463/2019</t>
  </si>
  <si>
    <t>Restauração de reator de derivação, fase V, que compõe o banco CORE7-02</t>
  </si>
  <si>
    <t>0003462/2019</t>
  </si>
  <si>
    <t>Instalação de 01 transformador de aterramento</t>
  </si>
  <si>
    <t>MG 750 kV TIJUCO PRETO MG1 SP</t>
  </si>
  <si>
    <t>0003473/2019</t>
  </si>
  <si>
    <t>Instalação de 01 cubículo blindado, classe 15 kV</t>
  </si>
  <si>
    <t>0003471/2019</t>
  </si>
  <si>
    <t>Restauração de reator de neutro, que compõe o banco CORE7-02</t>
  </si>
  <si>
    <t>0003468/2019</t>
  </si>
  <si>
    <t>Instalação de 01 resistor de aterramento</t>
  </si>
  <si>
    <t>0003474/2019</t>
  </si>
  <si>
    <t>"Restauração de 01 (um) reator reserva quente comum aos bancos CORE7-01 e CORE7-02_x000D_
"</t>
  </si>
  <si>
    <t>RTR 500 kV 45.45 MVAr COLINAS RTR1 TO</t>
  </si>
  <si>
    <t>0003480/2019</t>
  </si>
  <si>
    <t>Substituição de transformador de potencial capacitivo, fase V, instalado na saída de linha da SE Miracema, vão MCDP7-DX</t>
  </si>
  <si>
    <t>0003489/2019</t>
  </si>
  <si>
    <t>Revitalização e restauração do disjuntor com três polos,  CODJ7-09, VÃO CZ SE COLINAS</t>
  </si>
  <si>
    <t>0003521/2019</t>
  </si>
  <si>
    <t xml:space="preserve">Revitalização e restauração de um Disjuntor com três polos, CODJ7-07, VÃO CX SE COLINAS  </t>
  </si>
  <si>
    <t>0003527/2019</t>
  </si>
  <si>
    <t xml:space="preserve">SUBSTITUIÇÃO MOTOR 25 HP 14 PÓLOS SISTEMA DE REFRIGERAÇÃO </t>
  </si>
  <si>
    <t>MBCS2 02</t>
  </si>
  <si>
    <t>0003501/2018</t>
  </si>
  <si>
    <t xml:space="preserve">SUBSTITUIÇÃO  de 2 MOTORES 25 HP 14 PÓLOS SISTEMA DE REFRIGERAÇÃO </t>
  </si>
  <si>
    <t>VCCS2 02</t>
  </si>
  <si>
    <t>0003498/2018</t>
  </si>
  <si>
    <t>SUBSTITUIÇÃO DAS BUCHAS DE 230 KV</t>
  </si>
  <si>
    <t>VCTF6 01</t>
  </si>
  <si>
    <t>0003533/2018</t>
  </si>
  <si>
    <t>VCTF6 02</t>
  </si>
  <si>
    <t>0003534/2018</t>
  </si>
  <si>
    <t>SUBSTITUIÇÃO COMPLETA (PÓLOS, ARMÁRIO DE COMANDO E SPCS) DO DISJUNTOR LDDJ7-07</t>
  </si>
  <si>
    <t>0003648/2019</t>
  </si>
  <si>
    <t>SUBSTITUIÇÃO DO TC DE 230KV DO BAY DO DISJUNTOR LDDJ6-04 (FASE 'A')</t>
  </si>
  <si>
    <t>0003714/2019</t>
  </si>
  <si>
    <t>Revitalização e restauração de um Disjuntor, MCDJ7-08, VÃO CY SE MIRACEMA</t>
  </si>
  <si>
    <t>0003733/2019</t>
  </si>
  <si>
    <t>"Revitalização e restauração de um Disjuntor, MCDJ7-07, VÃO CX SE MIRACEMA"</t>
  </si>
  <si>
    <t>0003739/2019</t>
  </si>
  <si>
    <t>Substituição do Secioonador SC9013.</t>
  </si>
  <si>
    <t>UG1</t>
  </si>
  <si>
    <t>0003756/2018</t>
  </si>
  <si>
    <t xml:space="preserve">SUBSTITUIÇÃO DO TRANSFORMADOR DE CORRENTE 500KV DA FASE A DO REATOR IZRE7-06 </t>
  </si>
  <si>
    <t>RT 500 kV 136 Mvar IMPERATRIZ RT6 MA</t>
  </si>
  <si>
    <t>0003805/2019</t>
  </si>
  <si>
    <t>?SUBSTITUIÇÃO DO BANCO DE BATERIAS 125VCC 600AH - BANCO BATERIAS 125 VCC Nº 03 - SALA DE COMANDO</t>
  </si>
  <si>
    <t>0003786/2018</t>
  </si>
  <si>
    <t>?SUBSTITUIÇÃO DO BANCO DE BATERIAS 125VCC 600AH - BANCO BATERIAS 125 VCC Nº 04 - SALA DE COMANDO</t>
  </si>
  <si>
    <t>0003787/2018</t>
  </si>
  <si>
    <t>Substituição do Secionador SC9037/9030T.</t>
  </si>
  <si>
    <t>LT 500 kV MARIMBONDO /ARARAQUARA C-1 MG/SP</t>
  </si>
  <si>
    <t>0003816/2018</t>
  </si>
  <si>
    <t>Substituição do Secionador SC9057/9050T.</t>
  </si>
  <si>
    <t>LT 500 kV MARIMBONDO /ARARAQUARA C-2 MG/SP</t>
  </si>
  <si>
    <t>0003838/2018</t>
  </si>
  <si>
    <t xml:space="preserve">Substituição da secionadora SC870R. (N87989B)  </t>
  </si>
  <si>
    <t xml:space="preserve">MC 345 kV RTL 345 kV 60 MVAr CAMPOS RT5 RJ </t>
  </si>
  <si>
    <t>0003870/2019</t>
  </si>
  <si>
    <t>POCOS CALDAS</t>
  </si>
  <si>
    <t xml:space="preserve">Substituição do disjuntor DJ9104. (N. série - C-10780-03)                               </t>
  </si>
  <si>
    <t>TR 500/345 kV POCOS CALDAS TR51 MG</t>
  </si>
  <si>
    <t>0003871/2019</t>
  </si>
  <si>
    <t>Substituição do TC12916 - FASE B. (N. Série - 472693) com capacidade de 3000 A/40,0 kA por um de 4000 A/50 kA</t>
  </si>
  <si>
    <t>EL 750 kV IVAIPORA LT 750 kV ITABERA /IVAIPORA C-1 SP/PR</t>
  </si>
  <si>
    <t>0003876/2019</t>
  </si>
  <si>
    <t>Substituição do TC12916 - FASE C.  (N. Série - 472696) com capacidade de 3000 A/40,0 kA por um de 4000 A/50 kA</t>
  </si>
  <si>
    <t>0003874/2019</t>
  </si>
  <si>
    <t>Substituição do TC12926 - FASE C. (N. Série - 7176028) com capacidade de 3000 A/45,0 kA por um de 4000 A/50 kA</t>
  </si>
  <si>
    <t>EL 750 kV IVAIPORA LT 750 kV ITABERA /IVAIPORA C-2 SP/PR</t>
  </si>
  <si>
    <t>0003878/2019</t>
  </si>
  <si>
    <t>Substituição da secionadora SC12923.</t>
  </si>
  <si>
    <t xml:space="preserve">EL 750 kV IVAIPORA LT 750 kV ITABERA /IVAIPORA C-2 SP/PR </t>
  </si>
  <si>
    <t>0003890/2019</t>
  </si>
  <si>
    <t>Substituição do TC12926 - FASE B. (N. Série - 7176031) com capacidade de 3000 A/45,0 kA por um de 4000 A/50 kA</t>
  </si>
  <si>
    <t>0003891/2019</t>
  </si>
  <si>
    <t>Substituição do TC12916 - FASE A. (N.Série - 472695) com capacidade de 3000 A/40,0 kA por um de 4000 A/50 kA</t>
  </si>
  <si>
    <t>0003888/2019</t>
  </si>
  <si>
    <t>Substituição do disjuntor DJ12916 (N. série - 11226R009) com capacidade de 3150 A/40,0 kA por um de 4000 A/50 kA</t>
  </si>
  <si>
    <t>0004019/2019</t>
  </si>
  <si>
    <t>Substituição de seccionador SC12927 (nº serie: 01042, cod. mat.: 10196925), por outro seccionador com lâmina de terra.</t>
  </si>
  <si>
    <t>CR 750 kV 528 Mvar IVAIPORA BC3B PR</t>
  </si>
  <si>
    <t>0004073/2019</t>
  </si>
  <si>
    <t>Substituição de SECIONADOR SC12929 c/LT SC12920T</t>
  </si>
  <si>
    <t>CR 750 kV 528 Mvar IVAIPORA BC3A PR</t>
  </si>
  <si>
    <t>0004074/2019</t>
  </si>
  <si>
    <t>Substituição de SECIONADOR SC12919 c/LT SC12910T</t>
  </si>
  <si>
    <t>CR 750 kV 528 Mvar IVAIPORA BC1A PR</t>
  </si>
  <si>
    <t>0004078/2019</t>
  </si>
  <si>
    <t>Substituição de seccionador SC12925 (nº serie: 01025, cod. mat.: 10196926), por outro seccionador com lâmina de terra.</t>
  </si>
  <si>
    <t>0004076/2019</t>
  </si>
  <si>
    <t>Substituição de seccionador SC12915 (nº serie: 1866, cod. mat.: 10196018), por outro seccionador com lâmina de terra.</t>
  </si>
  <si>
    <t>CR 750 kV 528 Mvar IVAIPORA BC5A PR</t>
  </si>
  <si>
    <t>0004080/2019</t>
  </si>
  <si>
    <t>Substituição de SECIONADOR SC12629 c/LT SC12620T</t>
  </si>
  <si>
    <t>CR 750 kV 508 Mvar IVAIPORA BC4A PR</t>
  </si>
  <si>
    <t>0004086/2019</t>
  </si>
  <si>
    <t>Substituição de seccionador SC12627 (nº serie: 1446 M, cod. mat.: 10196020), por outro seccionador com lâmina de terra.</t>
  </si>
  <si>
    <t>CR 750 kV 508 Mvar IVAIPORA BC4B PR</t>
  </si>
  <si>
    <t>0004084/2019</t>
  </si>
  <si>
    <t>Substituição de seccionador SC12625 (nº serie: 1447, cod. mat.: 10196021), por outro seccionador com lâmina de terra.</t>
  </si>
  <si>
    <t>0004083/2019</t>
  </si>
  <si>
    <t>Substituição de seccionador SC12727 (nº serie: 01045, cod. mat.: 10196911), por outro seccionador com lâmina de terra.</t>
  </si>
  <si>
    <t>CR 765 kV 621 Mvar ITABERA BC2A SP</t>
  </si>
  <si>
    <t>0004094/2019</t>
  </si>
  <si>
    <t>SUB POCOS CALDAS - 138</t>
  </si>
  <si>
    <t>Modernização da proteção e supervisão da LT 138kV DME - Poços de Caldas C2.</t>
  </si>
  <si>
    <t>LT 138 kV DME - POCOS DE CALDAS C-2</t>
  </si>
  <si>
    <t>0004073/2018</t>
  </si>
  <si>
    <t>Modernização da proteção e supervisão da LT 138kV DME - Poços de Caldas C1.</t>
  </si>
  <si>
    <t>LT 138 kV DME - POCOS DE CALDAS C-1</t>
  </si>
  <si>
    <t>0004071/2018</t>
  </si>
  <si>
    <t>Substituição de SECIONADOR SC12619 c/LT SC12610T</t>
  </si>
  <si>
    <t>CR 750 kV 508 Mvar IVAIPORA BC2A PR</t>
  </si>
  <si>
    <t>0004091/2019</t>
  </si>
  <si>
    <t>Substituição de PARA-RAIOS 765 kV Fase A</t>
  </si>
  <si>
    <t>CR 750 kV 621 Mvar ITABERA BC1A SP</t>
  </si>
  <si>
    <t>0004101/2019</t>
  </si>
  <si>
    <t>Substituição de seccionador SC12725 (nº serie: 01044, cod. mat.: 10196910), por outro seccionador com lâmina de terra.</t>
  </si>
  <si>
    <t>0004098/2019</t>
  </si>
  <si>
    <t>Substituição de PARA-RAIOS 765 kV Fase C</t>
  </si>
  <si>
    <t>0004106/2019</t>
  </si>
  <si>
    <t>Modernização da proteção, controle e supervisão da LT 138 kV Ilha dos Pombos - São José.</t>
  </si>
  <si>
    <t>LT 138 kV ILHA DOS POMBOS - SAO JOSE</t>
  </si>
  <si>
    <t>0004082/2018</t>
  </si>
  <si>
    <t>Substituição de PARA-RAIOS 765 kV Fase B</t>
  </si>
  <si>
    <t>0004104/2019</t>
  </si>
  <si>
    <t>Modernização da proteção, controle e supervisão da LT 138kV Cascadura - São José C1.</t>
  </si>
  <si>
    <t>LT 138 kV CASCADURA - SAO JOSE C-1</t>
  </si>
  <si>
    <t>0004084/2018</t>
  </si>
  <si>
    <t>Modernização da proteção, controle e supervisão da LT 138kV Cascadura - São José C2.</t>
  </si>
  <si>
    <t>LT 138 kV CASCADURA - SAO JOSE C-2</t>
  </si>
  <si>
    <t>0004086/2018</t>
  </si>
  <si>
    <t>0004108/2019</t>
  </si>
  <si>
    <t>Modernização da proteção, controle e supervisão da LT 138kV Triagem - São José C1.</t>
  </si>
  <si>
    <t>LT 138 kV TRIAGEM - SAO JOSE C-1</t>
  </si>
  <si>
    <t>0004087/2018</t>
  </si>
  <si>
    <t>Modernização da proteção, controle e supervisão da LT 138kV Triagem - São José C2.</t>
  </si>
  <si>
    <t>LT 138 kV TRIAGEM - SAO JOSE C2</t>
  </si>
  <si>
    <t>0004089/2018</t>
  </si>
  <si>
    <t>0004110/2019</t>
  </si>
  <si>
    <t>0004111/2019</t>
  </si>
  <si>
    <t>Modernização da proteção, controle e supervisão da LT 138kV Cordovil - São José C1.</t>
  </si>
  <si>
    <t>LT 138 kV CORDOVIL - SAO JOSE C1</t>
  </si>
  <si>
    <t>0004091/2018</t>
  </si>
  <si>
    <t>Modernização da proteção, controle e supervisão da LT 138kV Cordovil - São José C2.</t>
  </si>
  <si>
    <t>LT 138 kV CORDOVIL - SAO JOSE C-2</t>
  </si>
  <si>
    <t>0004093/2018</t>
  </si>
  <si>
    <t>Modernização da proteção, controle e supervisão da LT 138kV Magé - São José C2.</t>
  </si>
  <si>
    <t>LT 138 kV MAGE - SAO JOSE C-2</t>
  </si>
  <si>
    <t>0004101/2018</t>
  </si>
  <si>
    <t>Modernização da proteção, controle e supervisão da LT 139kV Imbariê - São José C1 (terminal São José).</t>
  </si>
  <si>
    <t>LT 138 kV IMBARIE - SAO JOSE C-1</t>
  </si>
  <si>
    <t>0004103/2018</t>
  </si>
  <si>
    <t>SUBSTITUIÇÃO DOS TRANSFORMADORES DE CORRENTE 230KV FASES A, B, V DO TRANSFORMADOR IZTF6-02</t>
  </si>
  <si>
    <t>CS 100/-70 Mvar IMPERATRIZ CS3 + TF2 MA</t>
  </si>
  <si>
    <t>0004122/2019</t>
  </si>
  <si>
    <t>Modernização da proteção, controle e supervisão da LT 138kV Imbariê - São José C2 (terminal São José).</t>
  </si>
  <si>
    <t>LT 138 kV IMBARIE - SAO JOSE C-2</t>
  </si>
  <si>
    <t>0004105/2018</t>
  </si>
  <si>
    <t>SUBSTITUIÇÃO DO TRANSFORMADOR DE CORRENTE 500KV DA FASE A DO REATOR IZRE7-03</t>
  </si>
  <si>
    <t>0004139/2019</t>
  </si>
  <si>
    <t>SUBSTITUIÇÃO DO TRANSFORMADOR DE CORRENTE 500KV DA FASE A DO DISJUNTOR IZDJ7-05</t>
  </si>
  <si>
    <t>0004157/2019</t>
  </si>
  <si>
    <t>SUBSTITUIÇÃO DAS BUCHAS DE 13.8 KV</t>
  </si>
  <si>
    <t>TR 230/13,8 kV MARABA TF1 PA</t>
  </si>
  <si>
    <t>0004161/2019</t>
  </si>
  <si>
    <t>Substitu~ição de 3 Para-raios na entrada de linha da LT 345kV Marimbondo - Porto Colômbia.</t>
  </si>
  <si>
    <t>LT 345 kV MARIMBONDO /P. COLOMBIA C-1 MG</t>
  </si>
  <si>
    <t>0004155/2018</t>
  </si>
  <si>
    <t>Substituição de REATOR 500 kV IZRE7-06 (FASES A, B, V e R)
Melhoria com Reforço de Pequeno Porte associado (SGPMR nº 0009786/2021)</t>
  </si>
  <si>
    <t>RTR 500 kV 45.45 MVAr IMPERATRIZ RTR6 MA</t>
  </si>
  <si>
    <t>0004197/2018</t>
  </si>
  <si>
    <t>BANDEIRANTES</t>
  </si>
  <si>
    <t>Modernização nos serviços auxiliares.</t>
  </si>
  <si>
    <t>MODULO GERAL (FT MG 345 kV BANDEIRANTES MG1 GO)</t>
  </si>
  <si>
    <t>0004358/2018</t>
  </si>
  <si>
    <t>SUB BRAS. SUL - 13,8</t>
  </si>
  <si>
    <t>MODULO GERAL (FT MG 345 kV BRAS.SUL MG1 DF</t>
  </si>
  <si>
    <t>0004360/2018</t>
  </si>
  <si>
    <t>SUB F.IGUACU 60HZ - 13,8</t>
  </si>
  <si>
    <t>Modernização nos serviços auxiliares de Média Tensão.</t>
  </si>
  <si>
    <t>MODULO GERAL (FT MG 500 kV F.IGUACU 60HZ MG1 PR)</t>
  </si>
  <si>
    <t>0004363/2018</t>
  </si>
  <si>
    <t>Substituição de REATOR 500 kV LDRE7-03 (FASES A, B, V e R).
Melhoria com Reforço de Pequeno Porte associado (SGPMR nº 0009788/2021)</t>
  </si>
  <si>
    <t>LDRE7-03</t>
  </si>
  <si>
    <t>0004442/2018</t>
  </si>
  <si>
    <t>Substituição de REATOR 500 kV PDRE7-01 (FASES A, B e V).
Melhoria com Reforço de Pequeno Porte associado (SGPMR nº 0009787/2021)</t>
  </si>
  <si>
    <t>PDRE7-01</t>
  </si>
  <si>
    <t>0004458/2018</t>
  </si>
  <si>
    <t>FORTALEZA</t>
  </si>
  <si>
    <t>Substituição de 01 (um) Transformador trifásico 230 kV, potência 100 MVA, posição operacional 04T2, da subestação FTZ.</t>
  </si>
  <si>
    <t>TR 230/69/13,8 kV FORTALEZA TR2 CE</t>
  </si>
  <si>
    <t>0004508/2018</t>
  </si>
  <si>
    <t>Substituição do transformador 04T3 da SE MTT e suas conexões.</t>
  </si>
  <si>
    <t>FT TR 230/69 kV MATATU TR3 BA</t>
  </si>
  <si>
    <t>0004515/2018</t>
  </si>
  <si>
    <t>Substituição de 01 (um) Transformador trifásico 230 kV, potência 100 MVA, posição operacional 04T3, da subestação MCO.</t>
  </si>
  <si>
    <t>TR 230/69 kV MACEIO TR3 AL</t>
  </si>
  <si>
    <t>0004520/2018</t>
  </si>
  <si>
    <t>Substituição de 01 (um) Transformador trifásico 230 kV, potência 100 MVA, posição operacional 04T4, da subestação FTZ.</t>
  </si>
  <si>
    <t>TR 230/69/13,8 kV FORTALEZA TR4 CE</t>
  </si>
  <si>
    <t>0004525/2018</t>
  </si>
  <si>
    <t>JARDIM</t>
  </si>
  <si>
    <t>Substituição do transformador 04T2 da SE JDM e suas conexões.</t>
  </si>
  <si>
    <t>FT TR 230/69 kV JARDIM TR2 SE</t>
  </si>
  <si>
    <t>0004528/2018</t>
  </si>
  <si>
    <t>JACARACANGA</t>
  </si>
  <si>
    <t>Substituição do transformador 04T2 da SE JCR e suas conexões.</t>
  </si>
  <si>
    <t>FT TR 230/69 kV JACARACANGA TR2 BA</t>
  </si>
  <si>
    <t>0004529/2018</t>
  </si>
  <si>
    <t>RECIFE II</t>
  </si>
  <si>
    <t>Substituição dos três reatores 05E2 A/B/C da SE RCD e suas conexões.</t>
  </si>
  <si>
    <t>RT 500 kV 100 Mvar RECIFE II RT2 PE</t>
  </si>
  <si>
    <t>0004547/2018</t>
  </si>
  <si>
    <t>Substituição do reator reserva 05E2 R da SE RCD.</t>
  </si>
  <si>
    <t>RTR 500 kV 33.3 MVAr RECIFE II RTR1 PE</t>
  </si>
  <si>
    <t>0004548/2018</t>
  </si>
  <si>
    <t>Substituição dos dois reatores 05E1 A/B da SE CMDe suas conexões.</t>
  </si>
  <si>
    <t>RT 500 kV 100 Mvar CAMACARI II RT1 BA</t>
  </si>
  <si>
    <t>0004549/2018</t>
  </si>
  <si>
    <t>Substituição do reator reserva 05E1 R da SE CMD.</t>
  </si>
  <si>
    <t>RTR 500 kV 33.3 MVAr CAMACARI II RTR1 BA</t>
  </si>
  <si>
    <t>0004550/2018</t>
  </si>
  <si>
    <t>SUBSTITUIÇÃO DA CHAVE SECCIONADORA PRINCIPAL DE 13.8 KV DO COMPENSADOR SÍNCRONO VCCS2-01</t>
  </si>
  <si>
    <t>VCCS2-01</t>
  </si>
  <si>
    <t>0004822/2018</t>
  </si>
  <si>
    <t>SUBSTITUIÇÃO DOS DISJUNTORES DE 13.8 KV VCDJ2-01 DO COMPENSADOR SÍNCRONO VCCS2-01</t>
  </si>
  <si>
    <t>0004831/2018</t>
  </si>
  <si>
    <t xml:space="preserve"> MODERNIZAÇÃO DOS SISTEMAS DE PORTA ESCÔVAS / ESCOVAS COM ESTIBO E LIMITADOR E MICROSWITCHES, SISTEMA MDC DE ASPIRAÇÃO DE PÓ COM SISTEMA DE MONITORAMENTOEM TEMPO REAL (I-BRUSH) DO COMPENSADOR SÍNCRONO MBCS2-01</t>
  </si>
  <si>
    <t>CS 150/-90 Mvar VILA DO CONDE CS1 PA</t>
  </si>
  <si>
    <t>0004835/2018</t>
  </si>
  <si>
    <t>SUBSTITUIÇÃO DOS DISJUNTORES DE 13.8 KV VCDJ2-03 DO COMPENSADOR SÍNCRONO VCCS2-01</t>
  </si>
  <si>
    <t>0004837/2018</t>
  </si>
  <si>
    <t>SUBSTITUIÇÃO DE 01 CONJUNTO DE MOTOBOMBAS DO SISTEMA DE ÁGUA DE RESFRIAMENTO DO COMPENSADOR SÍNCRONO MBCS2-01</t>
  </si>
  <si>
    <t>CS 150/-90 Mvar MARABA CS1 PA</t>
  </si>
  <si>
    <t>0004836/2018</t>
  </si>
  <si>
    <t>SUBSTITUIR PONTA DE EIXO COM ANEL COLETOR DO COMPENSADOR SÍNCRONO MBCS2-01</t>
  </si>
  <si>
    <t>0004841/2018</t>
  </si>
  <si>
    <t>SUBSTITUIÇÃO DOS DISJUNTORES DE 13.8 KV VCDJ2-04 DO COMPENSADOR SÍNCRONO VCCS2-01</t>
  </si>
  <si>
    <t>0004840/2018</t>
  </si>
  <si>
    <t>SUBSTITUIR PONTA DE EIXO COM ANEL COLETOR DO COMPENSADOR SÍNCRONO VCCS2-01</t>
  </si>
  <si>
    <t>0004844/2018</t>
  </si>
  <si>
    <t>SUBSTITUIÇÃO DOS DISJUNTORES DE 13.8 KV VCDJ2-05 DO COMPENSADOR SÍNCRONO VCCS2-01</t>
  </si>
  <si>
    <t>0004842/2018</t>
  </si>
  <si>
    <t>SUBSTITUIR PONTA DE EIXO COM ANEL COLETOR DO COMPENSADOR SÍNCRONO VCCS2-02</t>
  </si>
  <si>
    <t>CS 150/-90 Mvar VILA DO CONDE CS2 PA</t>
  </si>
  <si>
    <t>0004848/2018</t>
  </si>
  <si>
    <t>SUBSTITUIR ANÉIS DE ESTANQUEIDADE DO COMPENSADOR SÍNCRONO VCCS2-01</t>
  </si>
  <si>
    <t>0004855/2018</t>
  </si>
  <si>
    <t>SUBSTITUIÇÃO DOS DISJUNTORES DE 13.8 KV VCDJ2-07 DO COMPENSADOR SÍNCRONO VCCS2-01</t>
  </si>
  <si>
    <t>0004853/2018</t>
  </si>
  <si>
    <t>SUBSTITUIÇÃO DOS DISJUNTORES DE 13.8 KV VCDJ2-10 DO COMPENSADOR SÍNCRONO VCCS2-02</t>
  </si>
  <si>
    <t xml:space="preserve"> VCCS2-02</t>
  </si>
  <si>
    <t>0004852/2018</t>
  </si>
  <si>
    <t>SUBSTITUIÇÃO DE 2,0 VÁLVULA DE RETENÇÃO DO SISTEMA DE ÁGUA DE RESFRIAMENTO DO COMPENSADOR SÍNCRONO MBCS2-01</t>
  </si>
  <si>
    <t>0004846/2018</t>
  </si>
  <si>
    <t>SUBSTITUIR ANÉIS DE ESTANQUEIDADE DO COMPENSADOR SÍNCRONO  VCCS2-02</t>
  </si>
  <si>
    <t>0004857/2018</t>
  </si>
  <si>
    <t>SUBSTITUIÇÃO DE 03 CONJUNTOS DE PÁS DE ALUMINIO DOS AEROVENTILADORES DO SISTEMA DE ÁGUA DE RESFRIAMENTO DO COMPENSADOR SÍNCRONO MBCS2-01</t>
  </si>
  <si>
    <t>0004856/2018</t>
  </si>
  <si>
    <t>0004860/2018</t>
  </si>
  <si>
    <t>SUBSTITUIR 1,0 CONJUNTO DE SELAGENS MECÂNICAS DO COMPENSADOR SÍNCRONO VCCS2-01</t>
  </si>
  <si>
    <t>0004861/2018</t>
  </si>
  <si>
    <t>SUBSTITUIÇÃO DOS DISJUNTORES DE 13.8 KV VCDJ2-11 DO COMPENSADOR SÍNCRONO VCCS2-02</t>
  </si>
  <si>
    <t>0004859/2018</t>
  </si>
  <si>
    <t>SUBSTITUIÇÃO DOS RADIADORES (ÁGUA/AR) DO SISTEMA DE ÁGUA DE RESFRIAMENTO DO COMPENSADOR SÍNCRONO MBCS2-01</t>
  </si>
  <si>
    <t>0004865/2018</t>
  </si>
  <si>
    <t>SUBSTITUIR 1,0 CONJUNTO DE SELAGENS MECÂNICAS DO COMPENSADOR SÍNCRONO  VCCS2-02</t>
  </si>
  <si>
    <t>0004867/2018</t>
  </si>
  <si>
    <t>LT 230 kV VILA DO CONDE/GUAMA C-2 PA</t>
  </si>
  <si>
    <t>0004872/2018</t>
  </si>
  <si>
    <t>SUBSTITUIÇÃO DOS DISJUNTORES DE 13.8 KV VCDJ2-13 DO COMPENSADOR SÍNCRONO VCCS2-02</t>
  </si>
  <si>
    <t>0004871/2018</t>
  </si>
  <si>
    <t>SUBSTITUIÇÃO DE 03 CONJUNTOS DE PÁS DE ALUMINIO EXTRUDADO DOS AEROVENTILADORES DO SISTEMA DE ÁGUA DE RESFRIAMENTO</t>
  </si>
  <si>
    <t>0004870/2018</t>
  </si>
  <si>
    <t>SUBSTITUIÇÃO DOS RADIADORES (ÁGUA/AR) DO SISTEMA DE ÁGUA DE RESFRIAMENTO DO COMPENSADOR SÍNCRONO VCCS2-01.</t>
  </si>
  <si>
    <t>0004874/2018</t>
  </si>
  <si>
    <t>SUBSTITUIÇÃO DE 01 CONJUNTO DE MOTOBOMBAS DO SISTEMA DE ÁGUA DE RESFRIAMENTO DO COMPENSADOR SÍNCRONO VCCS2-02</t>
  </si>
  <si>
    <t>0004875/2018</t>
  </si>
  <si>
    <t>SUBSTITUIÇÃO DE 6,0 (SEIS) CAIXAS METÁLICAS DE AR DO SISTEMA DE ÁGUA DE RESFRIAMENTO DO COMPENSADOR SÍNCRONO MBCS2-01</t>
  </si>
  <si>
    <t>0004876/2018</t>
  </si>
  <si>
    <t>SUBSTITUIÇÃO DE 2 VÁLVULA DE RETENÇÃO DO SISTEMA DE ÁGUA DE RESFRIAMENTO DO COMPENSADOR SÍNCRONO VCCS2-02</t>
  </si>
  <si>
    <t>0004878/2018</t>
  </si>
  <si>
    <t>SUBSTITUIÇÃO DE 03 CONJUNTOS DE PÁS DE ALUMINIO DOS  AEROVENTILADORES DO SISTEMA DE ÁGUA DE RESFRIAMENTO DO COMPENSADOR SÍNCRONO VCCS2-02</t>
  </si>
  <si>
    <t>0004881/2018</t>
  </si>
  <si>
    <t>SUBSTITUIÇÃO DAS VÁVULAS REGULADORAS DOS SISTEMAS DE ÓLEO DE LUBRIFICAÇÃO / LEVANTAMENTO E ESTANQUEIDADE DO COMPENSADOR SÍNCRONO VCCS2-01.</t>
  </si>
  <si>
    <t>0004886/2018</t>
  </si>
  <si>
    <t>SUBSTITUIÇÃO DO DISJUNTOR DE 13,8 KV - MBDJ2-01  DO COMPENSADOR SÍNCRONO MBCS2-01</t>
  </si>
  <si>
    <t>0004884/2018</t>
  </si>
  <si>
    <t>SUBSTITUIÇÃO DOS RADIADORES (ÁGUA/AR) DO SISTEMA DE ÁGUA DE RESFRIAMENTO DO COMPENSADOR SÍNCRONO VCCS2-02</t>
  </si>
  <si>
    <t>0004882/2018</t>
  </si>
  <si>
    <t xml:space="preserve"> MODERNIZAÇÃO DOS SISTEMAS DE PORTA ESCÔVAS / ESCOVAS COM ESTIBO E LIMITADOR E MICROSWITCHES, SISTEMA MDC DE ASPIRAÇÃO DE PÓ COM SISTEMA DE MONITORAMENTOEM TEMPO REAL (I-BRUSH) DO COMPENSADOR SÍNCRONO VCCS2-02</t>
  </si>
  <si>
    <t>0004889/2018</t>
  </si>
  <si>
    <t>SUBSTITUIÇÃO DA CHAVE SECCIONADORA PRINCIPAL DE 13.8 KV DO COMPENSADOR SÍNCRONO MBCS2-01</t>
  </si>
  <si>
    <t>0004895/2018</t>
  </si>
  <si>
    <t>SUBSTITUIÇÃO DA CHAVE SECCIONADORA PRINCIPAL DE 13.8 KV DO COMPENSADOR SÍNCRONO VCCS2-02</t>
  </si>
  <si>
    <t>0004896/2018</t>
  </si>
  <si>
    <t>SUBSTITUIÇÃO MOTOR 25 HP 14 PÓLOS SISTEMA DE REFRIGERAÇÃO DO COMPENSADOR SÍNCRONO MBCS2-01</t>
  </si>
  <si>
    <t>0004893/2018</t>
  </si>
  <si>
    <t>SUBSTITUIÇÃO DOS DISJUNTORES DE 13.8 KV MBDJ2-07 DO COMPENSADOR SÍNCRONO MBCS2-01</t>
  </si>
  <si>
    <t>0004892/2018</t>
  </si>
  <si>
    <t xml:space="preserve"> MODERNIZAÇÃO DOS SISTEMAS DE PORTA ESCOVAS / ESCOVAS COM ESTIBO E LIMITADOR E MICROSWITCHES, SISTEMA MDC DE ASPIRAÇÃO DE PÓ COM SISTEMA DE MONITORAMENTOEM TEMPO REAL (I-BRUSH) DO COMPENSADOR SÍNCRONO VCCS2-01</t>
  </si>
  <si>
    <t>0004891/2018</t>
  </si>
  <si>
    <t>SUBSTITUIÇÃO DOS DISJUNTORES DE 13.8 KV MBDJ2-04 DO COMPENSADOR SÍNCRONO MBCS2-01</t>
  </si>
  <si>
    <t>0004899/2018</t>
  </si>
  <si>
    <t>SUBSTITUIÇÃO DOS DISJUNTORES DE 13.8 KV MBDJ2-03 DO COMPENSADOR SÍNCRONO MBCS2-01</t>
  </si>
  <si>
    <t>0004897/2018</t>
  </si>
  <si>
    <t>SUBSTITUIÇÃO DOS DISJUNTORES DE 13.8 KV VCDJ2-08 DO COMPENSADOR SÍNCRONO VCCS2-02</t>
  </si>
  <si>
    <t>0004900/2018</t>
  </si>
  <si>
    <t>SUBSTITUIR 1,0 CONJUNTO DE SELAGENS MECÂNICAS DO COMPENSADOR SÍNCRONO MBCS2-01</t>
  </si>
  <si>
    <t>0004906/2018</t>
  </si>
  <si>
    <t>SUBSTITUIÇÃO DOS DISJUNTORES DE 13.8 KV MBDJ2-05 DO COMPENSADOR SÍNCRONO MBCS2-01</t>
  </si>
  <si>
    <t>0004903/2018</t>
  </si>
  <si>
    <t>SUBSTITUIÇÃO DOS DISJUNTORES DE 13.8 KV VCDJ2-09 DO COMPENSADOR SÍNCRONO VCCS2-02</t>
  </si>
  <si>
    <t>0004904/2018</t>
  </si>
  <si>
    <t>SUBSTITUIR ANÉIS DE ESTANQUEIDADE DO COMPENSADOR SÍNCRONO MBCS2-01</t>
  </si>
  <si>
    <t>0004898/2018</t>
  </si>
  <si>
    <t>0004908/2018</t>
  </si>
  <si>
    <t xml:space="preserve"> SUBSTITUIÇÃO DOS DISJUNTORES DE 13.8 KV MBDJ2-01 DO COMPENSADOR SÍNCRONO MBCS2-01</t>
  </si>
  <si>
    <t>0004907/2018</t>
  </si>
  <si>
    <t>0004910/2018</t>
  </si>
  <si>
    <t>0004909/2018</t>
  </si>
  <si>
    <t>LT 500 kV US. L.GONZAGA /GARANHUNS II PE - 500</t>
  </si>
  <si>
    <t>Substituição do conjunto de cadeias de isoladores de mesma classe de tensão nas 171 estruturas listadas no campo observação.</t>
  </si>
  <si>
    <t>FT LT 500 kV US. L.GONZAGA /GARANHUNS II C-2 PE</t>
  </si>
  <si>
    <t>0004940/2018</t>
  </si>
  <si>
    <t>LT 230 kV P.AFONSO III /GARANHUNS II AL/PE - 230</t>
  </si>
  <si>
    <t>Substituição do conjunto de cadeias de isoladores de mesma classe de tensão nas 65 estruturas listadas no campo observação.</t>
  </si>
  <si>
    <t>FT LT 230 kV P.AFONSO III /GARANHUNS II C-4 AL/PE</t>
  </si>
  <si>
    <t>0004949/2018</t>
  </si>
  <si>
    <t>SUBSTITUIÇÃO DO SISTEMA DE PROTEÇÃO DO TRAFO 04T6 230/138kV SE FNL</t>
  </si>
  <si>
    <t>FT TR 230/138 kV FUNIL TR6 BA</t>
  </si>
  <si>
    <t>0004948/2018</t>
  </si>
  <si>
    <t>SUBSTITUIÇÃO DO SISTEMA DE PROTEÇÃO DO TRAFO 04T2 230/138kV SE FNL</t>
  </si>
  <si>
    <t>FT TR 230/138 kV FUNIL TR2 BA</t>
  </si>
  <si>
    <t>0004947/2018</t>
  </si>
  <si>
    <t>SUBSTITUIÇÃO DO SISTEMA DE PROTEÇÃO DO TRAFO 04T1 230/138kV SE FNL</t>
  </si>
  <si>
    <t>FT TR 230/138 kV FUNIL TR1 BA</t>
  </si>
  <si>
    <t>0004946/2018</t>
  </si>
  <si>
    <t>SUBSTITUIÇÃO DO SISTEMA DE PROTEÇÃO DE 01 TERMINAL DE LT 03J2 D. MEIRA (COELBA) 138KV</t>
  </si>
  <si>
    <t>LT 03J2 SE FNL</t>
  </si>
  <si>
    <t>0004957/2018</t>
  </si>
  <si>
    <t>SUBSTITUIÇÃO DO SISTEMA DE PROTEÇÃO DO TRAFO 03T7 138/115kV SE FNL</t>
  </si>
  <si>
    <t>TR 138/115 kV FUNIL TR7 (03T7) BA</t>
  </si>
  <si>
    <t>0004952/2018</t>
  </si>
  <si>
    <t>SUBSTITUIÇÃO DO SISTEMA DE PROTEÇÃO DE 01 TERMINAL DE LT 03J4 ITABUNA II (COELBA) 138KV</t>
  </si>
  <si>
    <t>LT 03J4 SE FNL</t>
  </si>
  <si>
    <t>0004960/2018</t>
  </si>
  <si>
    <t>SUBSTITUIÇÃO DO SISTEMA DE PROTEÇÃO DE 01 TERMINAL DE LT 03J3 ITABUNA I (COELBA) 138KV</t>
  </si>
  <si>
    <t>LT 03J3 SE FNL</t>
  </si>
  <si>
    <t>0004958/2018</t>
  </si>
  <si>
    <t>SUBSTITUIÇÃO DO SISTEMA DE PROTEÇÃO DE 01 TERMINAL DE LT 03J1 UPE/IPIAÚ (COELBA) 138KV</t>
  </si>
  <si>
    <t>LT 03J1 SE FNL</t>
  </si>
  <si>
    <t>0004956/2018</t>
  </si>
  <si>
    <t>SUBSTITUIÇÃO DO SISTEMA DE PROTEÇÃO DE 01 TERMINAL DE LT 03P2 V. CONQUISTA/ POÇÕES/IPIAÚ (COELBA) 138KV</t>
  </si>
  <si>
    <t>LT 03P2 SE FNL</t>
  </si>
  <si>
    <t>0004961/2018</t>
  </si>
  <si>
    <t>Modernização de da proteção, controle e supervisão da LT 500 kV Samambaia - Serra da Mesa C1 na SE Samambaia</t>
  </si>
  <si>
    <t>LT 500 kV Samambaia - Serra da Mesa C1</t>
  </si>
  <si>
    <t>0005043/2018</t>
  </si>
  <si>
    <t>Modernização de da proteção, controle e supervisão da LT 500 kV Samambaia - Serra da Mesa C2 na SE Samambaia</t>
  </si>
  <si>
    <t>LT 500 kV Samambaia-Serra da Mesa C2</t>
  </si>
  <si>
    <t>0005044/2018</t>
  </si>
  <si>
    <t>LT 500 kV S.DA MESA /SAMAMBAIA C-1 GO/DF</t>
  </si>
  <si>
    <t>0005045/2018</t>
  </si>
  <si>
    <t>Modernização de da proteção, controle e supervisão da LT 500 kV Samambaia - Serra da Mesa C2 na SE Serra da Mesa</t>
  </si>
  <si>
    <t>LT 500 kV S.DA MESA /SAMAMBAIA C-2 GO/DF</t>
  </si>
  <si>
    <t>0005046/2018</t>
  </si>
  <si>
    <t>Modernização da proteção, controle e supervisão da LT 138 kV Magé - São José C1</t>
  </si>
  <si>
    <t>LT 138 kV Magé - São José C1</t>
  </si>
  <si>
    <t>0005059/2018</t>
  </si>
  <si>
    <t>Substituição do Sistema de Proteção e dispositivos auxiliares de 01 terminal de LT 02J6.</t>
  </si>
  <si>
    <t>LT 02J6</t>
  </si>
  <si>
    <t>0000480/2017</t>
  </si>
  <si>
    <t>Substituição do Sistema de Proteção e dispositivos auxiliares de 01 terminal de LT 02J7.</t>
  </si>
  <si>
    <t>LT 02J7</t>
  </si>
  <si>
    <t>0000481/2017</t>
  </si>
  <si>
    <t>Substituição do Sistema de Proteção e dispositivos auxiliares de 01 terminal de LT 02N2.</t>
  </si>
  <si>
    <t>LT 02N2</t>
  </si>
  <si>
    <t>0000485/2017</t>
  </si>
  <si>
    <t>Substituição do Sistema de Proteção e dispositivos auxiliares do Trafo Aterramento 69kV 02A1.</t>
  </si>
  <si>
    <t>TT 02A1</t>
  </si>
  <si>
    <t>0000491/2017</t>
  </si>
  <si>
    <t>Substituição do Sistema de Proteção e dispositivos auxiliares do Trafo Aterramento 69kV 02A2.</t>
  </si>
  <si>
    <t>TT 02A2</t>
  </si>
  <si>
    <t>0000492/2017</t>
  </si>
  <si>
    <t>SUB DELM. GOUVEIA - 230</t>
  </si>
  <si>
    <t>Substituição do Sistema de Proteção e dispositivos auxiliares do Trafo 04T1 230/69kV.</t>
  </si>
  <si>
    <t>FT TR 230/69 kV DELM. GOUVEIA TR1 CE</t>
  </si>
  <si>
    <t>0000494/2017</t>
  </si>
  <si>
    <t>Substituição do Sistema de Proteção e dispositivos auxiliares do Trafo 04T2 230/69kV.</t>
  </si>
  <si>
    <t>FT TR 230/69 kV DELM. GOUVEIA TR2 CE</t>
  </si>
  <si>
    <t>0000495/2017</t>
  </si>
  <si>
    <t>Substituição do Sistema de Proteção e dispositivos auxiliares do Trafo 04T3 230/69kV.</t>
  </si>
  <si>
    <t>FT TR 230/69 kV DELM. GOUVEIA TR3 CE</t>
  </si>
  <si>
    <t>0000496/2017</t>
  </si>
  <si>
    <t>Substituição do Sistema de Proteção e dispositivos auxiliares do Trafo 04T4 230/69kV.</t>
  </si>
  <si>
    <t>FT TR 230/69 kV DELM. GOUVEIA TR4 CE</t>
  </si>
  <si>
    <t>0000497/2017</t>
  </si>
  <si>
    <t>Substituição do Sistema de Proteção e dispositivos auxiliares de 01 terminal de LT 02V1.</t>
  </si>
  <si>
    <t>LT 02V1</t>
  </si>
  <si>
    <t>0000538/2017</t>
  </si>
  <si>
    <t>Substituição do Sistema de Proteção e dispositivos auxiliares de 01 terminal de LT 02V3.</t>
  </si>
  <si>
    <t>LT 02V3</t>
  </si>
  <si>
    <t>0000539/2017</t>
  </si>
  <si>
    <t>Substituição do Sistema de Proteção e dispositivos auxiliares do Trafo Aterramento 02A1.</t>
  </si>
  <si>
    <t>0000540/2017</t>
  </si>
  <si>
    <t>Substituição do Sistema de Proteção e dispositivos auxiliares do Trafo 02T3 69/13,8kV.</t>
  </si>
  <si>
    <t>FT MG 230 kV BOM NOME MG1 PE</t>
  </si>
  <si>
    <t>0000541/2017</t>
  </si>
  <si>
    <t>SUB B.JESUS LAPA - 69</t>
  </si>
  <si>
    <t>Substituição do Sistema de Proteção e dispositivos auxiliares de 01 terminal de LT 02C2.</t>
  </si>
  <si>
    <t>LT 02C2</t>
  </si>
  <si>
    <t>0000561/2017</t>
  </si>
  <si>
    <t>Substituição do Sistema de Proteção e dispositivos auxiliares de 01 terminal de LT 02M3.</t>
  </si>
  <si>
    <t>LT 02M3</t>
  </si>
  <si>
    <t>0000564/2017</t>
  </si>
  <si>
    <t>Itumbiara - 500</t>
  </si>
  <si>
    <t>Grupo Transformador Elevador e Unidade Geradora 04 -TRUG04 : Revitalização do Sistema de Proteção, Supervisão e Controle acrescidos do reforço de blindagem nos circuitos secundários de corrente, potencial e controle.</t>
  </si>
  <si>
    <t>Unidade Geradora 4</t>
  </si>
  <si>
    <t>0001419/2014</t>
  </si>
  <si>
    <t>Grupo Transformador Elevador e Unidade Geradora 01 -TRUG01 : Revitalização do Sistema de Proteção, Supervisão e Controle acrescidos do reforço de blindagem nos circuitos secundários de corrente, potencial e controle.</t>
  </si>
  <si>
    <t>Unidade Geradora 1</t>
  </si>
  <si>
    <t>0001413/2014</t>
  </si>
  <si>
    <t>Grupo Transformador Elevador e Unidade Geradora 03 -TRUG03 : Revitalização do Sistema de Proteção, Supervisão e Controle acrescidos do reforço de blindagem nos circuitos secundários de corrente, potencial e controle.</t>
  </si>
  <si>
    <t>Unidade Geradora 3</t>
  </si>
  <si>
    <t>0001424/2014</t>
  </si>
  <si>
    <t>SE da UTE Campos - 69</t>
  </si>
  <si>
    <t xml:space="preserve"> Substituição de 3 disjuntores (DJ538 5838 5848) e 8 seccionadoras (SC5835/SC5830T 5831 5833 5815/5810T 5825/5820T 5845/5840T 5841 5843)</t>
  </si>
  <si>
    <t>0001390/2014</t>
  </si>
  <si>
    <t>Grupo Transformador Elevador e Unidade Geradora 02 -TRUG02 : Revitalização do Sistema de Proteção, Supervisão e Controle acrescidos do reforço de blindagem nos circuitos secundários de corrente, potencial e controle.</t>
  </si>
  <si>
    <t>Unidade Geradora 2</t>
  </si>
  <si>
    <t>0001321/2014</t>
  </si>
  <si>
    <t>Grupo Transformador Elevador e Unidade Geradora 05 -TRUG05 : Revitalização do Sistema de Proteção, Supervisão e Controle acrescidos do reforço de blindagem nos circuitos secundários de corrente, potencial e controle.</t>
  </si>
  <si>
    <t>Unidade Geradora 5</t>
  </si>
  <si>
    <t>0001412/2014</t>
  </si>
  <si>
    <t>Aquisição de  um Sub-Quadro de distribuição de corrente continua 125 VCC, com  duas barras, e demais cabos</t>
  </si>
  <si>
    <t>0000287/2014</t>
  </si>
  <si>
    <t>Adrianópolis - 138</t>
  </si>
  <si>
    <t>Substituição de 9 disjuntores (DJ606 626 6316 6326 6336 6346 6356 636 e 6366) 25 seccionadoras s/LT (SC6351 6355 6365 621 623 625 635 631 633 6361 6335 6331 6341 6345 601 603 605 607 6321 6325 6311 6315 641 643 645) 6 seccionadoras c/LT (SC6310T/SC6313 6320T/6323 6330T/6333 6340T/6343 6350T/6353 6360T/6363) e 30 TC (Magé 1 e 2 Alcântara Alcântara 1 2 e 3 AT1B AT2A e amarre)</t>
  </si>
  <si>
    <t>0000692/2014</t>
  </si>
  <si>
    <t>Substituição das seguintes seccionadoras: SC921, SC9315, SC9317, SC9325, SC9327 e SC9440T/9447.</t>
  </si>
  <si>
    <t>0001391/2014</t>
  </si>
  <si>
    <t>Grupo Transformador Elevador e Unidade Geradora 06 -TRUG06 : Revitalização do Sistema de Proteção, Supervisão e Controle acrescidos do reforço de blindagem nos circuitos secundários de corrente, potencial e controle.</t>
  </si>
  <si>
    <t>Unidade Geradora 6</t>
  </si>
  <si>
    <t>0001426/2014</t>
  </si>
  <si>
    <t>ELETROBRAS</t>
  </si>
  <si>
    <t>Substituição de 2 disjuntores (DJ12728 12848) e 5 seccionadoras (SC12853 12933 12719 12729 12739/12730T).</t>
  </si>
  <si>
    <t>-</t>
  </si>
  <si>
    <t>0001421/2014</t>
  </si>
  <si>
    <t>Substituição do sistema de proteção e controle do terminal RCD da LT 04M3-RCD/AGL 230kV, composto de: 02 Painéis de proteção; 02 Relés Digitais (PP e PA); 01 Unidade de Controle; 01 Registrador de Perturbação (RDP).</t>
  </si>
  <si>
    <t>LT 230 kV RECIFE II / ANGELIM C-2 PE</t>
  </si>
  <si>
    <t>0000434/2020</t>
  </si>
  <si>
    <t>LT 500 kV OLINDINA /US. L.GONZAGA BA/PE - 500</t>
  </si>
  <si>
    <t>Substituição de 69 esferas de sinalização aérea.</t>
  </si>
  <si>
    <t>FT LT 500 kV OLINDINA /US. L.GONZAGA C-1 BA/PE</t>
  </si>
  <si>
    <t>0000454/2016</t>
  </si>
  <si>
    <t>Substituição do TCS DJ8764 - Fase C.</t>
  </si>
  <si>
    <t>IB 345 kV MG 750 kV TIJUCO PRETO MG1 SP IB7</t>
  </si>
  <si>
    <t>0000736/2020</t>
  </si>
  <si>
    <t>Substituição do TCS DJ8764 - Fase B.</t>
  </si>
  <si>
    <t>0000737/2020</t>
  </si>
  <si>
    <t>Substituição do TCS DJ8734 - Fase B.</t>
  </si>
  <si>
    <t>IB 345 kV MG 750 kV TIJUCO PRETO MG1 SP IB9</t>
  </si>
  <si>
    <t>0000741/2020</t>
  </si>
  <si>
    <t>ARARAQUARA FUR</t>
  </si>
  <si>
    <t>Substituição do REATOR LTARACAM fase B (nº de série: 51401).</t>
  </si>
  <si>
    <t>LT 500 kV ARARAQUARA /CAMPINAS C-1 SP</t>
  </si>
  <si>
    <t>0001151/2020</t>
  </si>
  <si>
    <t>Substituição do REATOR LTARACAM fase A (nº de série: 51400).</t>
  </si>
  <si>
    <t>0001150/2020</t>
  </si>
  <si>
    <t>Substituição do REATOR LTARAPCA1 fase A (nº de série: 51397).</t>
  </si>
  <si>
    <t>LT 500 kV ARARAQUARA /POCOS CALDAS C-1 SP/MG</t>
  </si>
  <si>
    <t>0001155/2020</t>
  </si>
  <si>
    <t>Substituição do REATOR LTARAPCA1 fase B (nº de série: 51399).</t>
  </si>
  <si>
    <t>0001152/2020</t>
  </si>
  <si>
    <t>Substituição do REATOR LTARACAM fase C (nº de série: 51403).</t>
  </si>
  <si>
    <t>0001156/2020</t>
  </si>
  <si>
    <t>Substituição do REATOR LTARAPCA1 fase C (nº de série: 51404).</t>
  </si>
  <si>
    <t>0001157/2020</t>
  </si>
  <si>
    <t>Substituição do REATOR LTARAMAR2 fase A (nº de série: 51402).</t>
  </si>
  <si>
    <t>0001159/2020</t>
  </si>
  <si>
    <t>Substituição do REATOR LTARAMAR2 fase B (nº de série: 51398).</t>
  </si>
  <si>
    <t>0001161/2020</t>
  </si>
  <si>
    <t>Substituição do REATOR RTMRAR2 FASE C fase C (nº de série: 51396).</t>
  </si>
  <si>
    <t>0001162/2020</t>
  </si>
  <si>
    <t>Substituição do REATOR LTARAMAR1 fase C (nº de série: 6506178).</t>
  </si>
  <si>
    <t>0001166/2020</t>
  </si>
  <si>
    <t>Substituição do REATOR RTMRARV - Reserva (nº de série: 51395).</t>
  </si>
  <si>
    <t>0001164/2020</t>
  </si>
  <si>
    <t>Substituição do REATOR LTARAMAR1 fase B (nº de série: 6506177).</t>
  </si>
  <si>
    <t>0001167/2020</t>
  </si>
  <si>
    <t>Substituição do REATOR LTARAMAR1 fase A (nº de série: 6506176).</t>
  </si>
  <si>
    <t>0001168/2020</t>
  </si>
  <si>
    <t>C. PAULISTA</t>
  </si>
  <si>
    <t>Substituição do TR TRANS AT57 fase A (nº de série: 500789).</t>
  </si>
  <si>
    <t>TR 500/138 kV C. PAULISTA TR57 SP</t>
  </si>
  <si>
    <t>0001179/2020</t>
  </si>
  <si>
    <t>Substituição do TR TRANS AT57 fase C (nº de série: 500791).</t>
  </si>
  <si>
    <t>0001176/2020</t>
  </si>
  <si>
    <t>SUB C. PAULISTA - 500</t>
  </si>
  <si>
    <t>Substituição do REATOR RT01 fase A (nº de série: 6397061).</t>
  </si>
  <si>
    <t>RT 500 kV 136 Mvar C. PAULISTA RT1 SP</t>
  </si>
  <si>
    <t>0001185/2020</t>
  </si>
  <si>
    <t>Substituição do TR TRANS AT57 fase B (nº de série: 500790).</t>
  </si>
  <si>
    <t>0001182/2020</t>
  </si>
  <si>
    <t>Substituição do REATOR RT01 fase B (nº de série: 6397059).</t>
  </si>
  <si>
    <t>0001187/2020</t>
  </si>
  <si>
    <t>Substituição do REATOR RT01 - Reserva (nº de série: 56293).</t>
  </si>
  <si>
    <t>0001188/2020</t>
  </si>
  <si>
    <t>Substituição do TR TRANS - Reserva AT57/AT59 (nº de série: 46492).</t>
  </si>
  <si>
    <t>TRR 525/138 kV C. PAULISTA TRR1 SP</t>
  </si>
  <si>
    <t>0001191/2020</t>
  </si>
  <si>
    <t>Substituição do TR TRANS AT59 fase A (nº de série: 46493).</t>
  </si>
  <si>
    <t>TR 500/138 kV C. PAULISTA TR59 SP</t>
  </si>
  <si>
    <t>0001192/2020</t>
  </si>
  <si>
    <t>Substituição do TR TRANS AT59 fase C (nº de série: 46495).</t>
  </si>
  <si>
    <t>0001197/2020</t>
  </si>
  <si>
    <t>Substituição do TR TRANS AT59 fase B (nº de série: 46494).</t>
  </si>
  <si>
    <t>0001195/2020</t>
  </si>
  <si>
    <t>CAMPINAS</t>
  </si>
  <si>
    <t>Substituição do TR TRANS AT51 fase A (nº de série: K547272).</t>
  </si>
  <si>
    <t>TR 500/345 kV CAMPINAS TR51 SP</t>
  </si>
  <si>
    <t>0001203/2020</t>
  </si>
  <si>
    <t>Substituição do TR TRANS AT51 fase C (nº de série: K547271).</t>
  </si>
  <si>
    <t>0001199/2020</t>
  </si>
  <si>
    <t>Substituição do TR TRANS AT51 fase B (nº de série: K547273).</t>
  </si>
  <si>
    <t>0001205/2020</t>
  </si>
  <si>
    <t>ITUMBIARA</t>
  </si>
  <si>
    <t>Substituição do TR GER - Reserva (nº de série: 500553).</t>
  </si>
  <si>
    <t>MG ITUMBIARA / CCO-2001-062 - RB</t>
  </si>
  <si>
    <t>0001229/2020</t>
  </si>
  <si>
    <t>Substituição do TR GER TRUG05 fase B (nº de série: 500558).</t>
  </si>
  <si>
    <t>0001231/2020</t>
  </si>
  <si>
    <t>Substituição do TR GER TRUG04 fase B (nº de série: 500556).</t>
  </si>
  <si>
    <t>0001230/2020</t>
  </si>
  <si>
    <t>Substituição do TR GER TRUG06 fase C (nº de série: 500564).</t>
  </si>
  <si>
    <t>0001233/2020</t>
  </si>
  <si>
    <t>Substituição do TR GER TRUG01 fase B (nº de série: 500547).</t>
  </si>
  <si>
    <t>0001236/2020</t>
  </si>
  <si>
    <t>Substituição do TR GER TRUG01 fase C (nº de série: 500548).</t>
  </si>
  <si>
    <t>0001238/2020</t>
  </si>
  <si>
    <t>Substituição do TR GER TRUG03 fase C (nº de série: 500550).</t>
  </si>
  <si>
    <t>0001239/2020</t>
  </si>
  <si>
    <t>RIB.GONCALVES</t>
  </si>
  <si>
    <t>SUBSTITUIÇÃO DOS RELÉS AUXILIARES DO DISJUNTOR RGDJ6-03.</t>
  </si>
  <si>
    <t>TR 500/230 kV RIB.GONCALVES TR1 PI</t>
  </si>
  <si>
    <t>0006273/2020</t>
  </si>
  <si>
    <t>MIRANDA II</t>
  </si>
  <si>
    <t>SUBSTITUIR O TRANSFORMADOR DE CORRENTE FASE A (MRTF6-02)</t>
  </si>
  <si>
    <t>TR 230/69 kV MIRANDA II TF2 MA</t>
  </si>
  <si>
    <t>0006276/2020</t>
  </si>
  <si>
    <t>SUBSTITUIÇÃO DOS RELÉS AUXILIARES DO DISJUNTOR RGDJ6-02.</t>
  </si>
  <si>
    <t>TR 230/69 kV RIB.GONCALVES TF1 PI</t>
  </si>
  <si>
    <t>0006278/2020</t>
  </si>
  <si>
    <t>SUBSTITUIÇÃO DOS RELÉS AUXILIARES DO DISJUNTOR RGDJ6-01.</t>
  </si>
  <si>
    <t>LT 230 kV BALSAS /RIB.GONCALVES C-1 MA/PI</t>
  </si>
  <si>
    <t>0006281/2020</t>
  </si>
  <si>
    <t>SUBSTITUIÇÃO DO SISTEMA DE PROTEÇÃO CONTRA INCÊNDIO DO PÁTIO DE 500kV - ETAPA 1</t>
  </si>
  <si>
    <t>MG 500 kV TUCURUI MG1 PA</t>
  </si>
  <si>
    <t>0006292/2020</t>
  </si>
  <si>
    <t>SUB RIB.GONCALVES - 500</t>
  </si>
  <si>
    <t>SUBSTITUIÇÃO DOS RELÉS AUXILIARES DO DISJUNTOR RGDB4-01.</t>
  </si>
  <si>
    <t>MG 500 kV RIB.GONCALVES MG3 PI IB1</t>
  </si>
  <si>
    <t>0006290/2020</t>
  </si>
  <si>
    <t>US. TUCURUI</t>
  </si>
  <si>
    <t>SUBSTITUIÇÃO DE TP 69 KV - TCTU-LT4-01</t>
  </si>
  <si>
    <t>EL 69 kV TUCURUI LT 69 kV US. TUCURUI /TUCURUI C-1 PA</t>
  </si>
  <si>
    <t>0006305/2020</t>
  </si>
  <si>
    <t>BALSAS</t>
  </si>
  <si>
    <t>SUBSTITUIÇÃO DOS RELÉS AUXILIARES DO DISJUNTOR BSDB6-01.</t>
  </si>
  <si>
    <t>MG BALSAS / CCO-2009-001 - RB</t>
  </si>
  <si>
    <t>0006309/2020</t>
  </si>
  <si>
    <t>SUBSTITUIÇÃO DOS RELÉS AUXILIARES DO DISJUNTOR BSDJ6-03.</t>
  </si>
  <si>
    <t>TR 230/69 kV BALSAS TR1 MA</t>
  </si>
  <si>
    <t>0006326/2020</t>
  </si>
  <si>
    <t>SUBSTITUIÇÃO DOS RELÉS AUXILIARES DO DISJUNTOR BSDJ6-02.</t>
  </si>
  <si>
    <t>0006327/2020</t>
  </si>
  <si>
    <t>SUBSTITUIÇÃO DOS RELÉS AUXILIARES DO DISJUNTOR BSDJ6-01.</t>
  </si>
  <si>
    <t>0006329/2020</t>
  </si>
  <si>
    <t>SUBSTITUIÇÃO DOS RELÉS AUXILIARES DO DISJUNTOR BSDJ4-06.</t>
  </si>
  <si>
    <t>FT TR 230/69 kV BALSAS TR2 MA</t>
  </si>
  <si>
    <t>0006331/2020</t>
  </si>
  <si>
    <t>SUBSTITUIÇÃO DOS RELÉS AUXILIARES DO DISJUNTOR BSDB4-01.</t>
  </si>
  <si>
    <t>0006330/2020</t>
  </si>
  <si>
    <t>INSTALAÇÃO de Sistema de Detecção e combate a Incêndio</t>
  </si>
  <si>
    <t>0006348/2020</t>
  </si>
  <si>
    <t>Substituição de 01  (um) pára-raio de 230 KV, Fase V, do BAY TRANSFORMADOR DE 230/69/13.8 KV - JRTF6-01.</t>
  </si>
  <si>
    <t>TR 230/69 kV JARU TR1 RO</t>
  </si>
  <si>
    <t>0006351/2020</t>
  </si>
  <si>
    <t>Modernização do CFTV da SE Marabá</t>
  </si>
  <si>
    <t>MG 500 kV MARABA MG1 PA</t>
  </si>
  <si>
    <t>0006349/2020</t>
  </si>
  <si>
    <t>SUBSTITUIÇÃO DO DISJUNTOR TRIPOLAR DE 69 KV - TCDB4-01</t>
  </si>
  <si>
    <t>MG TUCURUI / CCO-2001-058 - RB</t>
  </si>
  <si>
    <t>0006355/2020</t>
  </si>
  <si>
    <t>Substituição do Quadro de Comando e Controle de Motores do Compensador Síncrono</t>
  </si>
  <si>
    <t>0006356/2020</t>
  </si>
  <si>
    <t>Substituição buchas 230 kV MBTF6-01</t>
  </si>
  <si>
    <t>0006359/2020</t>
  </si>
  <si>
    <t>Substituição bucha 230kV VCTF6-02</t>
  </si>
  <si>
    <t>TR 500/230 kV VILA DO CONDE TR1 PA</t>
  </si>
  <si>
    <t>0006361/2020</t>
  </si>
  <si>
    <t xml:space="preserve">SUSBTITUIÇÃO DOS TRANSFORMADORES DE CORRENTE DE 230 KV - VCTC6 LY2, FA, FB e FV do VCDJ6 02 </t>
  </si>
  <si>
    <t>BC 230 kV 111 Mvar VILA DO CONDE BC1 PA</t>
  </si>
  <si>
    <t>0006363/2020</t>
  </si>
  <si>
    <t>GRAJAU</t>
  </si>
  <si>
    <t>CS 200/-150 Mvar GRAJAU CS1 RJ</t>
  </si>
  <si>
    <t>0001497/2020</t>
  </si>
  <si>
    <t>CS 200/-150 Mvar GRAJAU CS2 RJ</t>
  </si>
  <si>
    <t>0001498/2020</t>
  </si>
  <si>
    <t>SUBSTITUIÇÃO DE DISJUNTOR TRIPOLAR 69 KV -  TCDJ4-09</t>
  </si>
  <si>
    <t>EL 69 kV TUCURUI LT 69 kV US. TUCURUI /TUCURUI C-2 PA</t>
  </si>
  <si>
    <t>0006377/2020</t>
  </si>
  <si>
    <t>SUBSTITUIÇÃO DOS RELÉS AUXILIARES DO DISJUNTOR BSDJ4-01.</t>
  </si>
  <si>
    <t>0006380/2020</t>
  </si>
  <si>
    <t>SUBSTITUIÇÃO DAS VEDAÇÕES DO SISTEMA HIDRÁULICO, REVITALIZAÇÃO DA PINTURA, SUBSTITUIÇÃO DE VEDAÇÕES DAS CÂMARAS DE EXTINÇÃO DO DISJUNTOR PFDJ6-01</t>
  </si>
  <si>
    <t>LT 230 kV IMPERATRIZ /PORTO FRANCO C-1 MA</t>
  </si>
  <si>
    <t>0006398/2020</t>
  </si>
  <si>
    <t>SUBSTITUIÇÃO DO PARA-RAIO DA LINHA PDMRLT7-02 F.V</t>
  </si>
  <si>
    <t>FT LT 500 kV MIRANDA II /P.DUTRA C-2 MA</t>
  </si>
  <si>
    <t>0006399/2020</t>
  </si>
  <si>
    <t>SUBSTITUIÇÃO DOS PÊNDULOS DA ESTRUTURA 608.</t>
  </si>
  <si>
    <t>LT 500 kV MIRANDA II /SAO LUIS II C-1 MA</t>
  </si>
  <si>
    <t>0006401/2020</t>
  </si>
  <si>
    <t>Substituição de 01  (um) pára-raio de 230 KV, Fase B, do BAY TRANSFORMADOR DE 230/69/13.8 KV - JRTF6-01.</t>
  </si>
  <si>
    <t>0006406/2020</t>
  </si>
  <si>
    <t>SUBSTITUIÇÃO DO PARA-RAIO DA LINHA PDMRLT7-02 F.B</t>
  </si>
  <si>
    <t>0006414/2020</t>
  </si>
  <si>
    <t>Substituição de 01  (um) pára-raio de 230 KV, Fase A, do BAY TRANSFORMADOR DE 230/69/13.8 KV - JRTF6-01.</t>
  </si>
  <si>
    <t>0006423/2020</t>
  </si>
  <si>
    <t>SUBSTITUIÇÃO DE UMA BUCHA CONDENSIVA DE 69KV EM UM TRANSFORMADOR TRIFÁSICO, CÓDIGO OPERACIONAL PDTF6-01 - FASE V.</t>
  </si>
  <si>
    <t>TR 230/69 kV P.DUTRA TF1 MA</t>
  </si>
  <si>
    <t>0006458/2020</t>
  </si>
  <si>
    <t>SUBSTITUIÇÃO DE UMA BUCHA CONDENSIVA DE 69KV EM UM TRANSFORMADOR TRIFÁSICO, CÓDIGO OPERACIONAL PDTF6-01 - FASE B.</t>
  </si>
  <si>
    <t>0006462/2020</t>
  </si>
  <si>
    <t>SUBSTITUIÇÃO DE UMA BUCHA CONDENSIVA DE 69KV EM UM TRANSFORMADOR TRIFÁSICO, CÓDIGO OPERACIONAL PDTF6-01 - FASE A.</t>
  </si>
  <si>
    <t>0006467/2020</t>
  </si>
  <si>
    <t>SUBSTITUIÇÃO DE UMA BUCHA CONDENSIVA DE 230KV EM UM TRANSFORMADOR MONOFÁSICO,  CÓDIGO OPERACIONAL IZTF6-02 FASE V.</t>
  </si>
  <si>
    <t>0006471/2020</t>
  </si>
  <si>
    <t>SUBSTITUIÇÃO DE UMA BUCHA CONDENSIVA DE 230KV EM UM TRANSFORMADOR MONOFÁSICO,  CÓDIGO OPERACIONAL IZTF6-02 FASE B.</t>
  </si>
  <si>
    <t>0006473/2020</t>
  </si>
  <si>
    <t>SUBSTITUIÇÃO DE UMA BUCHA CONDENSIVA DE 230KV EM UM TRANSFORMADOR MONOFÁSICO,  CÓDIGO OPERACIONAL IZTF6-02 FASE A.</t>
  </si>
  <si>
    <t>0006477/2020</t>
  </si>
  <si>
    <t>SUBSTITUIÇÃO DE UMA BUCHA CONDENSIVA DE 230KV EM UM TRANSFORMADOR MONOFÁSICO,  CÓDIGO OPERACIONAL IZTF6-01 FASE RESERVA.</t>
  </si>
  <si>
    <t>CS 2x(100/-70) Mvar IMPERATRIZ CS1 CS2 TF1 MA</t>
  </si>
  <si>
    <t>0006478/2020</t>
  </si>
  <si>
    <t>SUBSTITUIÇÃO DE UMA BUCHA CONDENSIVA DE 230KV EM UM TRANSFORMADOR MONOFÁSICO,  CÓDIGO OPERACIONAL IZTF6-01 FASE B.</t>
  </si>
  <si>
    <t>0006485/2020</t>
  </si>
  <si>
    <t>SUBSTITUIÇÃO DE UMA BUCHA CONDENSIVA DE 230KV EM UM TRANSFORMADOR MONOFÁSICO,  CÓDIGO OPERACIONAL IZTF6-01 FASE V.</t>
  </si>
  <si>
    <t>0006482/2020</t>
  </si>
  <si>
    <t>SUBSTITUIÇÃO DE UMA BUCHA CONDENSIVA DE 230KV EM UM TRANSFORMADOR MONOFÁSICO,  CÓDIGO OPERACIONAL IZTF6-01 FASE A.</t>
  </si>
  <si>
    <t>0006487/2020</t>
  </si>
  <si>
    <t>SUBSTITUIÇÃO DE UMA BUCHA CONDENSIVA DE 230KV EM UM TRANSFORMADOR MONOFÁSICO,  CÓDIGO OPERACIONAL PDTF6-03 FASE RESERVA.</t>
  </si>
  <si>
    <t>0006494/2020</t>
  </si>
  <si>
    <t>IMPLEMENTAÇÃO NO IZAT7-01 FASE V DE UM DISPOSITIVO E TUBULAÇÃO PARA COLETA DE ÓLEO DO COMUTADOR COM EQUIPAMENTO ENERGIZADO.</t>
  </si>
  <si>
    <t>0006498/2020</t>
  </si>
  <si>
    <t>SUBSTITUIÇÃO DE UMA BUCHA CONDENSIVA DE 230KV EM UM TRANSFORMADOR MONOFÁSICO,  CÓDIGO OPERACIONAL PDTF6-03 FASE V.</t>
  </si>
  <si>
    <t>0006496/2020</t>
  </si>
  <si>
    <t>SUBSTITUIÇÃO DE UMA BUCHA CONDENSIVA DE 230KV EM UM TRANSFORMADOR MONOFÁSICO,  CÓDIGO OPERACIONAL PDTF6-03 FASE B.</t>
  </si>
  <si>
    <t>0006500/2020</t>
  </si>
  <si>
    <t>Instalação da proteção e controle diferencial de barras da cadeia alternada da barra MBBR7-01, contemplando uma unidade central com capacidade de no mínimo oito vãos e quatro unidades de bay (bays unit).</t>
  </si>
  <si>
    <t>MG MARABA</t>
  </si>
  <si>
    <t>0001600/2020</t>
  </si>
  <si>
    <t>Instalação da proteção e controle diferencial de barras da cadeia alternada da barra MBBR7-02, contemplando uma unidade central com capacidade de no mínimo sete vãos e cinco unidades de bay (bays unit).</t>
  </si>
  <si>
    <t>0001601/2020</t>
  </si>
  <si>
    <t>SUBSTITUIÇÃO DE UMA BUCHA CONDENSIVA DE 230KV EM UM TRANSFORMADOR MONOFÁSICO,  CÓDIGO OPERACIONAL PDTF6-03 FASE A.</t>
  </si>
  <si>
    <t>0006508/2020</t>
  </si>
  <si>
    <t>Instalação da proteção e controle diferencial de barras da cadeia alternada da barra PDBR7-01, contemplando uma unidade central com capacidade de no mínimo seis vãos e oito unidades de bay (bays unit).</t>
  </si>
  <si>
    <t>MG P.DUTRA</t>
  </si>
  <si>
    <t>0001602/2020</t>
  </si>
  <si>
    <t>Instalação da proteção e controle diferencial de barras da cadeia alternada da barra PDBR7-02, contemplando uma unidade central com capacidade de no mínimo seis vãos e seis unidades de bay (bays unit).</t>
  </si>
  <si>
    <t>0001603/2020</t>
  </si>
  <si>
    <t>Instalação da proteção e controle diferencial de barras da cadeia alternada da barra LDBR7-01, contemplando uma unidade central com capacidade de no mínimo sete vãos e cinco unidades de bay (bays unit).</t>
  </si>
  <si>
    <t>MG SAO LUIS II</t>
  </si>
  <si>
    <t>0001604/2020</t>
  </si>
  <si>
    <t>SUBSTITUIÇÃO DE ISOLADORES COM CORROSÃO</t>
  </si>
  <si>
    <t>FT LT 230 kV SAO LUIS II /SAO LUIS III C-1 MA</t>
  </si>
  <si>
    <t>0006506/2020</t>
  </si>
  <si>
    <t>Instalação da proteção e controle diferencial de barras da cadeia alternada da barra LDBR7-02, contemplando uma unidade central com capacidade de no mínimo seis vãos e quatro unidades de bay (bays unit).</t>
  </si>
  <si>
    <t>0001605/2020</t>
  </si>
  <si>
    <t>Instalação da proteção e controle diferencial de barras da cadeia alternada da barra TCBR7-01, contemplando uma unidade central com capacidade de no mínimo treze vãos e seis unidades de bay (bays unit).</t>
  </si>
  <si>
    <t>MG TUCURUI</t>
  </si>
  <si>
    <t>0001606/2020</t>
  </si>
  <si>
    <t>Instalação da proteção e controle diferencial de barras da cadeia alternada da barra TCBR7-02, contemplando uma unidade central com capacidade de no mínimo treze vãos e cinco unidades de bay (bays unit).</t>
  </si>
  <si>
    <t>0001607/2020</t>
  </si>
  <si>
    <t>Instalação da proteção e controle diferencial de barras da cadeia alternada da barra TCBR7-03, contemplando cinco unidades de bay (bays unit).</t>
  </si>
  <si>
    <t>0001608/2020</t>
  </si>
  <si>
    <t>Instalação da proteção e controle diferencial de barras da cadeia alternada da barra TCBR7-04, contemplando duas unidades de bay (bays unit).</t>
  </si>
  <si>
    <t>0001609/2020</t>
  </si>
  <si>
    <t>SUBSTITUIÇÃO DE UMA BUCHA DE NEUTRO EM UM REATOR DERIVAÇÃO MONOFÁSICO, CÓDIGO OPERACIONAL IZRE7-11 FASE V.</t>
  </si>
  <si>
    <t>RT 500 kV 136 Mvar IMPERATRIZ RT11 MA</t>
  </si>
  <si>
    <t>0006517/2020</t>
  </si>
  <si>
    <t>SUBSTITUIÇÃO DOS ISOLADORES DE ANCORAGEM DE AUXILIARES</t>
  </si>
  <si>
    <t>0006516/2020</t>
  </si>
  <si>
    <t xml:space="preserve">SUBSTITUIÇÃO DE UMA BUCHA DE NEUTRO EM UM REATOR DERIVAÇÃO MONOFÁSICO, CÓDIGO OPERACIONAL IZRE7-11 FASE A._x000D_
</t>
  </si>
  <si>
    <t>0006524/2020</t>
  </si>
  <si>
    <t>SUBSTITUIÇÃO DOS ISOLADORES DE ANCORAGEM DO BAY</t>
  </si>
  <si>
    <t>0006520/2020</t>
  </si>
  <si>
    <t>SUBSTITUIÇÃO DOS ISOLADORES DE ANCORAGEM</t>
  </si>
  <si>
    <t>0006525/2020</t>
  </si>
  <si>
    <t>SUBSTITUIÇÃO DE UMA BUCHA DE NEUTRO EM UM REATOR DERIVAÇÃO MONOFÁSICO, CÓDIGO OPERACIONAL IZRE7-12 FASE RESERVA.</t>
  </si>
  <si>
    <t>0006526/2020</t>
  </si>
  <si>
    <t>SUBSTITUIÇÃO DE UMA BUCHA DE NEUTRO EM UM REATOR DERIVAÇÃO MONOFÁSICO, CÓDIGO OPERACIONAL IZRE7-12 FASE V.</t>
  </si>
  <si>
    <t>0006527/2020</t>
  </si>
  <si>
    <t>SUBSTITUIÇÃO DE UMA BUCHA DE NEUTRO EM UM REATOR DERIVAÇÃO MONOFÁSICO, CÓDIGO OPERACIONAL IZRE7-12 FASE B.</t>
  </si>
  <si>
    <t>0006528/2020</t>
  </si>
  <si>
    <t>SUBSTITUIÇÃO DOS ISOLADORES DE ANCORAGEM DAS TORRES</t>
  </si>
  <si>
    <t>0006529/2020</t>
  </si>
  <si>
    <t>FT LT 500 kV SAO LUIS II /MIRANDA II C-2 MA</t>
  </si>
  <si>
    <t>0006530/2020</t>
  </si>
  <si>
    <t>FT LT 500 kV SAO LUIS II /MIRANDA II C-1 MA</t>
  </si>
  <si>
    <t>0006531/2020</t>
  </si>
  <si>
    <t>0006532/2020</t>
  </si>
  <si>
    <t>SUBSTITUIÇÃO DOS CABOS PARA RAIOS DA LINHA</t>
  </si>
  <si>
    <t>0006534/2020</t>
  </si>
  <si>
    <t>REVITALIZAÇÃO DO ACIONAMENTO DAS CHAVES SECCIONADORAS PDSD7-11.</t>
  </si>
  <si>
    <t>FT LT 500 kV MIRANDA II /P.DUTRA C-1 MA</t>
  </si>
  <si>
    <t>0006535/2020</t>
  </si>
  <si>
    <t>REVITALIZAÇÃO DO ACIONAMENTO DAS CHAVES SECCIONADORAS PDSD7-10.</t>
  </si>
  <si>
    <t>0006536/2020</t>
  </si>
  <si>
    <t xml:space="preserve">Substituição de buchas 230kV - MBTF6-03  </t>
  </si>
  <si>
    <t>TR 230/69 kV MARABA TF3 PA</t>
  </si>
  <si>
    <t>0006538/2020</t>
  </si>
  <si>
    <t>REVITALIZAÇÃO DO ACIONAMENTO DAS CHAVES SECCIONADORAS PDSD7-09</t>
  </si>
  <si>
    <t>0006537/2020</t>
  </si>
  <si>
    <t>REVITALIZAÇÃO DO ACIONAMENTO DAS CHAVES SECCIONADORAS PDSR7-01.</t>
  </si>
  <si>
    <t>0006541/2020</t>
  </si>
  <si>
    <t>SUBSTITUIÇÃO DE UMA BUCHA CONDENSIVA DE 500KV EM UM REATOR DERIVAÇÃO MONOFÁSICO, CÓDIGO OPERACIONAL IZRE7-12 FASE RESERVA.</t>
  </si>
  <si>
    <t>0006542/2020</t>
  </si>
  <si>
    <t>SUBSTITUIÇÃO DE UMA BUCHA CONDENSIVA DE 500KV EM UM REATOR DERIVAÇÃO MONOFÁSICO, CÓDIGO OPERACIONAL IZRE7-12 FASE V.</t>
  </si>
  <si>
    <t>0006543/2020</t>
  </si>
  <si>
    <t>SUBSTITUIÇÃO DE UMA BUCHA CONDENSIVA DE 500KV EM UM REATOR DERIVAÇÃO MONOFÁSICO, CÓDIGO OPERACIONAL IZRE7-12 FASE B.</t>
  </si>
  <si>
    <t>0006545/2020</t>
  </si>
  <si>
    <t>REVITALIZAÇÃO DO ACIONAMENTO DAS CHAVES SECCIONADORAS PDSD7-08</t>
  </si>
  <si>
    <t>0006544/2020</t>
  </si>
  <si>
    <t>REVITALIZAÇÃO DO ACIONAMENTO DAS CHAVES SECCIONADORAS PDSD7-06.</t>
  </si>
  <si>
    <t>0006547/2020</t>
  </si>
  <si>
    <t>REVITALIZAÇÃO DO ACIONAMENTO DAS CHAVES SECCIONADORAS PDSD7-07.</t>
  </si>
  <si>
    <t>0006549/2020</t>
  </si>
  <si>
    <t>"SUBSTITUIÇÃO DE VEDAÇÕES DO TANQUE PRINCIPAL E RADIADORES DA FASE B QUE SÃO DE BORRACHA DO TIPO NITRÍLICA POR VEDAÇÕES DE FLÚOR-SILICONE"""</t>
  </si>
  <si>
    <t>RT 500 kV 136 Mvar MIRANDA II RT71 MA</t>
  </si>
  <si>
    <t>0006559/2020</t>
  </si>
  <si>
    <t>"SUBSTITUIÇÃO DE VEDAÇÕES DO TANQUE PRINCIPAL E RADIADORES DA FASE A QUE SÃO DE BORRACHA DO TIPO NITRÍLICA POR VEDAÇÕES DE FLÚOR-SILICONE"""</t>
  </si>
  <si>
    <t>0006561/2020</t>
  </si>
  <si>
    <t>Substituição de um (01) disjuntor 230kV JRDJ6-03, associado ao bay do transformador JRTF6-01 da Subestação de Jarú.</t>
  </si>
  <si>
    <t>0006599/2020</t>
  </si>
  <si>
    <t>PIMENTA BUENO</t>
  </si>
  <si>
    <t>Substituição de 02  (dois) transformadores de potencial capacitivo de 230 KV,  da Linha de Transmissão JPPB-LT601.</t>
  </si>
  <si>
    <t>EL 230 kV PIMENTA BUENO LT 230 kV JI-PARANA /PIMENTA BUENO C-1 RO</t>
  </si>
  <si>
    <t>0006605/2020</t>
  </si>
  <si>
    <t>Substituição de 01  (um) transformador de potencial capacitivo de 230 KV, Fase B, do barramento flexível PBBR6-02.</t>
  </si>
  <si>
    <t>MG PIMENTA BUENO / CCO-2001-058 - RB</t>
  </si>
  <si>
    <t>0006607/2020</t>
  </si>
  <si>
    <t>Substituição de 01  (um) transformador de potencial capacitivo de 230 KV, Fase A, do barramento flexível PBBR6-02.</t>
  </si>
  <si>
    <t>0006608/2020</t>
  </si>
  <si>
    <t>SUBSTITUIÇÃO DO PARA-RAIO DA LINHA PDMRLT7-02 F.A</t>
  </si>
  <si>
    <t>0006645/2020</t>
  </si>
  <si>
    <t>SUBSTITUIÇÃO DO PARA-RAIO DA LINHA PDSOLT7-01 F.B</t>
  </si>
  <si>
    <t>0006654/2020</t>
  </si>
  <si>
    <t>SUBSTITUIÇÃO DO PARA-RAIO DA LINHA PDSOLT7-01 F.V</t>
  </si>
  <si>
    <t>0006651/2020</t>
  </si>
  <si>
    <t>SUBSTITUIÇÃO DE PARA-RAIOS DA LINHA PDSOLT7-01 F.A</t>
  </si>
  <si>
    <t>0006656/2020</t>
  </si>
  <si>
    <t>TPC - 01 UNIDADE PARA O BARRAMENTO I de 230 KV DA SEPV - FASE B.</t>
  </si>
  <si>
    <t>MG 230 kV PORTO VELHO MG1 RO</t>
  </si>
  <si>
    <t>0006681/2020</t>
  </si>
  <si>
    <t>Substituição de DISJUNTOR 500 kV MBDJ7-02</t>
  </si>
  <si>
    <t>MG-MBMG-07</t>
  </si>
  <si>
    <t>0008289/2016</t>
  </si>
  <si>
    <t>TPC - 01 UNIDADE PARA O BARRAMENTO I de 230 KV DA SEPV - FASE A.</t>
  </si>
  <si>
    <t>0006688/2020</t>
  </si>
  <si>
    <t>Substituição de 03  (três) divisor capacitivo de potencial de 230 KV, Fases A,B e V, da Linha de Transmissão JRJP-LT601.</t>
  </si>
  <si>
    <t>EL 230 kV JI-PARANA LT 230 kV JARU /JI-PARANA C-1 RO</t>
  </si>
  <si>
    <t>0006691/2020</t>
  </si>
  <si>
    <t>Substituição de TRANSFORMADOR DE CORRENTE 500 kV MBTC72B-DJ-MBDJ702</t>
  </si>
  <si>
    <t>0008305/2016</t>
  </si>
  <si>
    <t>SUBSTITUIÇÃO DO TPC -01 UNIDADES PARA A LINHA CTPVLI6-01 - Fase V (extremidade SEPV).</t>
  </si>
  <si>
    <t>LT 230 kV COLETORA PORTO VELHO /PORTO VELHO C-1 RO</t>
  </si>
  <si>
    <t>0006702/2020</t>
  </si>
  <si>
    <t>Substituição de TRANSFORMADOR DE CORRENTE 500 kV MBTC72V-DJ-MBDJ702</t>
  </si>
  <si>
    <t>0008307/2016</t>
  </si>
  <si>
    <t>Substituição de 02  (dois) transformadores de potencial de 230 KV, Fase A e B, do barramento flexível JPBR6-01.</t>
  </si>
  <si>
    <t>0006714/2020</t>
  </si>
  <si>
    <t>SUBSTITUIÇÃO DO TPC -01 UNIDADES PARA A LINHA CTPVLI6-01 - Fase B (extremidade SEPV).</t>
  </si>
  <si>
    <t>0006718/2020</t>
  </si>
  <si>
    <t>SUBSTITUIÇÃO DO DISJUNTOR PDDJ7-13</t>
  </si>
  <si>
    <t>RT 500 kV 163 Mvar P.DUTRA RT9 MA</t>
  </si>
  <si>
    <t>0006730/2020</t>
  </si>
  <si>
    <t>SUBSTITUIÇÃO DO PARA-RAIO DO PDRE7-03 RESERVA</t>
  </si>
  <si>
    <t>RTR 500 kV 50 MVAr P.DUTRA RTR3 MA</t>
  </si>
  <si>
    <t>0006778/2020</t>
  </si>
  <si>
    <t>Substituição das cadeias Principal e Alternada da Proteção e Controle da LT Marabá - Carajás 230kV (MBCJ-LT6-01 vão 6CX)</t>
  </si>
  <si>
    <t>LT 230 kV MARABA /CARAJAS - EL 230 kV MARABA LT 230 kV MARABA /CARAJAS</t>
  </si>
  <si>
    <t>0006798/2020</t>
  </si>
  <si>
    <t>DISJUNTOR 500 kV MBDJ7-01</t>
  </si>
  <si>
    <t>LT-TCMBLT701</t>
  </si>
  <si>
    <t>0008370/2016</t>
  </si>
  <si>
    <t>SECCIONADORA 500 kV MBSD7-02</t>
  </si>
  <si>
    <t>0008371/2016</t>
  </si>
  <si>
    <t>0006792/2020</t>
  </si>
  <si>
    <t>SECCIONADORA 500 kV MBSD7-03</t>
  </si>
  <si>
    <t>0008372/2016</t>
  </si>
  <si>
    <t>SECCIONADORA 500 kV MBSL7-01</t>
  </si>
  <si>
    <t>0008373/2016</t>
  </si>
  <si>
    <t>SECCIONADORA 500 kV MBSR7-01</t>
  </si>
  <si>
    <t>0008374/2016</t>
  </si>
  <si>
    <t>SECCIONADORA DE ATERRAMENTO 500 kV MBCA7-03</t>
  </si>
  <si>
    <t>0008375/2016</t>
  </si>
  <si>
    <t>TRANSFORMADOR DE CORRENTE 500 kV MBTC7FB-DJ-MBDJ701</t>
  </si>
  <si>
    <t>0008378/2016</t>
  </si>
  <si>
    <t>TRANSFORMADOR DE CORRENTE 500 kV MBTC7FB-RE-MBRE701</t>
  </si>
  <si>
    <t>0008379/2016</t>
  </si>
  <si>
    <t>TRANSFORMADOR DE CORRENTE 500 kV MBTC7FV-DJ-MBDJ701</t>
  </si>
  <si>
    <t>0008380/2016</t>
  </si>
  <si>
    <t>TRANSFORMADOR DE CORRENTE 500 kV MBTC7FV-RE-MBRE701</t>
  </si>
  <si>
    <t>0008381/2016</t>
  </si>
  <si>
    <t>SUBSTITUIÇÃO DO PARA-RAIO DO PDRE7-03 F.A</t>
  </si>
  <si>
    <t>0006814/2020</t>
  </si>
  <si>
    <t>SUBSTITUIÇÃO DO PARA-RAIO DO PDRE7-02 F.B</t>
  </si>
  <si>
    <t>RTR 500 kV 45.3 MVAr P.DUTRA RTR2 MA</t>
  </si>
  <si>
    <t>0006824/2020</t>
  </si>
  <si>
    <t>SUBSTITUIÇÃO DO PARA-RAIO DO PDRE7-02 F.V</t>
  </si>
  <si>
    <t>0006820/2020</t>
  </si>
  <si>
    <t>0006828/2020</t>
  </si>
  <si>
    <t>Substituição das cadeias Principal e Alternada da Proteção, Comando, Controle e Supervisão da LT Marabá - Distrito Industrial 230kV (MBMC-LT6-01 - vão 6BX)</t>
  </si>
  <si>
    <t>LT Marabá - Distrito industrial 230kV - MBMC-LT6-01</t>
  </si>
  <si>
    <t>0006829/2020</t>
  </si>
  <si>
    <t>COMPENSAÇÃO SÉRIE FÍXA 500 kV N.01 MBCL7-01</t>
  </si>
  <si>
    <t>CR-MBCL7-01</t>
  </si>
  <si>
    <t>0008395/2016</t>
  </si>
  <si>
    <t>SUBSTITUIÇÃO DO PARA-RAIO DO PDRE7-01 F.V</t>
  </si>
  <si>
    <t>RT 500 kV 150 Mvar P.DUTRA RT1 MA</t>
  </si>
  <si>
    <t>0006838/2020</t>
  </si>
  <si>
    <t>REATOR 500 kV MBRE7-01 FB</t>
  </si>
  <si>
    <t>0008397/2016</t>
  </si>
  <si>
    <t>SUBSTITUIÇÃO DO PARA-RAIO DO PDRE7-02 F.A</t>
  </si>
  <si>
    <t>0006832/2020</t>
  </si>
  <si>
    <t>REATOR 500 kV MBRE7-01 FV</t>
  </si>
  <si>
    <t>0008398/2016</t>
  </si>
  <si>
    <t>SUBSTITUIÇÃO DO TPC -01 UNIDADES PARA A LINHA CTPVLI6-01 - Fase A (extremidade SEPV).</t>
  </si>
  <si>
    <t>0006834/2020</t>
  </si>
  <si>
    <t>SUBSTITUIÇÃO DO PARA-RAIO DO PDRE7-01 F.B</t>
  </si>
  <si>
    <t>0006842/2020</t>
  </si>
  <si>
    <t>TPC - 01 UNIDADE PARA O BARRAMENTO I de 230 KV DA SEPV - FASE V.</t>
  </si>
  <si>
    <t>0006843/2020</t>
  </si>
  <si>
    <t>SUBSTITUIÇÃO DO PARA-RAIO DO PDRE7-01 F.A</t>
  </si>
  <si>
    <t>0006845/2020</t>
  </si>
  <si>
    <t>Substituição de SECCIONADORA 500 kV MBSD7-04</t>
  </si>
  <si>
    <t>0008406/2016</t>
  </si>
  <si>
    <t>SUBSTITUIÇÃO DO PARA-RAIO DO PDAT7-01 F.V</t>
  </si>
  <si>
    <t>0006852/2020</t>
  </si>
  <si>
    <t>Substituição de 03  (três) pára-raios de 230 KV, Fase A, B e V do BAY TRANSFORMADOR DE 230/69/13.8 KV - JRTF6-02.</t>
  </si>
  <si>
    <t>TR 230/69 kV JARU TR2 RO</t>
  </si>
  <si>
    <t>0006851/2020</t>
  </si>
  <si>
    <t>Substituição das cadeias Principal e Alternada da Proteção, Controle e Supervisão do MBTF6-01- 230kV - vãos 6FY</t>
  </si>
  <si>
    <t>0006858/2020</t>
  </si>
  <si>
    <t>Substituição das cadeias Principal e Alternada da Proteção, Comando, Controle e Supervisão do MBTF6-03 - 230kV e 69kV - vãos 6AY e 4CX</t>
  </si>
  <si>
    <t>0006860/2020</t>
  </si>
  <si>
    <t>Substituição das cadeias Principal e Alternada da Proteção, Comando, Controle e Supervisão da LT Marabá - Nova Jacundá C1 69kV (MBNJ-LT4-01) vão AY</t>
  </si>
  <si>
    <t>EL 69 kV LT  MARABA NOVA JACUNDÁ 1</t>
  </si>
  <si>
    <t>0006861/2020</t>
  </si>
  <si>
    <t>SUBSTITUIÇÃO DO PARA-RAIO DO PDAT7-01 F.B</t>
  </si>
  <si>
    <t>0006862/2020</t>
  </si>
  <si>
    <t>SUBSTITUIÇÃO DO PARA-RAIO DO PDAT7-01 F.A</t>
  </si>
  <si>
    <t>0006863/2020</t>
  </si>
  <si>
    <t>SUBSTITUIÇÃO DE PARA-RAIO 01 DA LINHA PDTSLI7-01 F.V</t>
  </si>
  <si>
    <t>FT LT 500 kV TERESINA II /P.DUTRA C-1 PI/MA</t>
  </si>
  <si>
    <t>0006864/2020</t>
  </si>
  <si>
    <t>SUBSGTITUIÇÃO DO PARA-RAIO 01 DA LINHA PDTSLI7-01 F.B</t>
  </si>
  <si>
    <t>0006865/2020</t>
  </si>
  <si>
    <t>SUBSTITUIÇÃO DO PARA-RAIO 02 DA IZPDLT7-02 F.V</t>
  </si>
  <si>
    <t>FT LT 500 kV IMPERATRIZ /P.DUTRA C-2 MA</t>
  </si>
  <si>
    <t>0006867/2020</t>
  </si>
  <si>
    <t>SUBSTITUIÇÃO DO PARA-RAIO 01 DA LINHA PDTSLI7-01 F.A</t>
  </si>
  <si>
    <t>0006866/2020</t>
  </si>
  <si>
    <t>SUBSTITUIÇÃO DO PARA-RAIO 02 DA IZPDLT7-02 F.B</t>
  </si>
  <si>
    <t>0006870/2020</t>
  </si>
  <si>
    <t>0006868/2020</t>
  </si>
  <si>
    <t>SUBSTITUIÇÃO DO PARA-RAIO 02 DA IZPDLT7-01 F.V</t>
  </si>
  <si>
    <t>0006877/2020</t>
  </si>
  <si>
    <t>SUBSTITUIÇÃO DO PARA-RAIO 02 DA LINHA IZPDLT7-01 F.B</t>
  </si>
  <si>
    <t>0006879/2020</t>
  </si>
  <si>
    <t>SUBSTITUIÇÃO DE ISOLADORES DO BAY</t>
  </si>
  <si>
    <t>FT LT 230 kV SAO LUIS II /SAO LUIS I C-2 MA</t>
  </si>
  <si>
    <t>0006881/2020</t>
  </si>
  <si>
    <t>SUBSTITUIÇÃO DO PARA-RAIO 02 DA LINHA IZPDLT7-01 F.A</t>
  </si>
  <si>
    <t>0006882/2020</t>
  </si>
  <si>
    <t>REVITALIZAÇÃO DO ACIONAMENTO DAS CHAVES SECCIONADORAS PDSD7-02.</t>
  </si>
  <si>
    <t>FT MG 500 kV P.DUTRA MG1 MA</t>
  </si>
  <si>
    <t>0006886/2020</t>
  </si>
  <si>
    <t>SUBSTITUIÇÃO DO PARA-RAIO 01 DA LINHA IZPDLT7-01 F.B</t>
  </si>
  <si>
    <t>0006887/2020</t>
  </si>
  <si>
    <t>SUBSTITUIÇÃO DO PARA-RAIO 01 DA IZPDLT7-01 F.V</t>
  </si>
  <si>
    <t>0006884/2020</t>
  </si>
  <si>
    <t>SUBSTITUIÇÃO DOS ISOLADORES DO BAY</t>
  </si>
  <si>
    <t>FT LT 230 kV SAO LUIS II /SAO LUIS I C-1 MA</t>
  </si>
  <si>
    <t>0006890/2020</t>
  </si>
  <si>
    <t>SUBSTITUIÇÃO DO PARA-RAIO 01 DA LINHA IZPDLT7-01 F.A</t>
  </si>
  <si>
    <t>0006889/2020</t>
  </si>
  <si>
    <t>REVITALIZAÇÃO DO ACIONAMENTO DAS CHAVES SECCIONADORAS PDSR7-02.</t>
  </si>
  <si>
    <t>0006891/2020</t>
  </si>
  <si>
    <t>PFSY6-03 - REALIZAÇÃO DE REVITALIZAÇÃO NA CAIXA DE MOLA E MECANISMO DE COMANDO DA HASTE PRINCIPAL DA SECCIONADORA LORENZETTI COM A SUBSTITUIÇÃO DE BUCHAS, LIMPEZA, LUBRIFICAÇÃO, PINTURA, SUBSTITUIÇÃO DE MOLAS E AJUSTES.</t>
  </si>
  <si>
    <t>TR 230/69 kV PORTO FRANCO TF2 MA</t>
  </si>
  <si>
    <t>0006896/2020</t>
  </si>
  <si>
    <t>PFSB6-05 - REALIZAÇÃO DE REVITALIZAÇÃO NA CAIXA DE MOLA E MECANISMO DE COMANDO DA HASTE PRINCIPAL DA SECCIONADORA LORENZETTI COM A SUBSTITUIÇÃO DE BUCHAS, LIMPEZA, LUBRIFICAÇÃO, PINTURA, SUBSTITUIÇÃO DE MOLAS E AJUSTES.</t>
  </si>
  <si>
    <t>0006904/2020</t>
  </si>
  <si>
    <t>SUBSTITUIÇÃO DA TUBULAÇÃO E CONEXÕES DO SISTEMA HIDRÁULICO DO DISJUNTOR LDDJ7-10</t>
  </si>
  <si>
    <t>0006909/2020</t>
  </si>
  <si>
    <t>REVITALIZAÇÃO DO ACIONAMENTO DAS CHAVES SECCIONADORAS PDSD7-01.</t>
  </si>
  <si>
    <t>FT RTB 500 kV 150 MVAr P.DUTRA RT1 MA</t>
  </si>
  <si>
    <t>0006961/2020</t>
  </si>
  <si>
    <t>Substituição das cadeias Principal e Alternada da Proteção e Controle da LT Marabá - Nova Jacundá C2 69kV (MBNJ-LT4-02) vão DX</t>
  </si>
  <si>
    <t>EL 69 kV LT MARABA NOVA JACUNDÁ 2</t>
  </si>
  <si>
    <t>0006973/2020</t>
  </si>
  <si>
    <t>Substituição das cadeias Principal e Alternada da Proteção, Comando,  Controle e Supervisão da LT Marabá - Rondon C1 69kV (MBRN-LT4-01) vão BY</t>
  </si>
  <si>
    <t>EL 69 kV LT MARABA RONDON DO PARÁ C1</t>
  </si>
  <si>
    <t>0006980/2020</t>
  </si>
  <si>
    <t>Substituição das cadeias Principal e Alternada da Proteção e Controle de Barras 69kV -(MBBR4-01)</t>
  </si>
  <si>
    <t>IB 69 kV MARABA MG1 PA IB1</t>
  </si>
  <si>
    <t>0006985/2020</t>
  </si>
  <si>
    <t>Substituição das cadeias Principal e Alternada da Proteção e Controle do Paralelismo dos Bancos de Autotransformadores de 500kV - MBAT7-01 e MBAT7-02</t>
  </si>
  <si>
    <t xml:space="preserve"> TR 500/230 kV MARABA TR1 PA - TR 500/230 kV MARABA TR2 PA</t>
  </si>
  <si>
    <t>0006993/2020</t>
  </si>
  <si>
    <t>VILHENA</t>
  </si>
  <si>
    <t>Instalação de parafusos lubrificadores na parte ativa da seccionadora VNSR6-01</t>
  </si>
  <si>
    <t>EL 230 kV VILHENA LT 230 kV PIMENTA BUENO /VILHENA C-1 RO</t>
  </si>
  <si>
    <t>0007022/2020</t>
  </si>
  <si>
    <t>LT 230 kV CAUIPE /FORTALEZA II CE - 230</t>
  </si>
  <si>
    <t>Substituição da estrutura metálica autoportante: 205/1 e componentes associados. Altura = 33 m e Carregamento/Esforço = 3980 DAN.</t>
  </si>
  <si>
    <t>FT LT 230 kV CAUIPE /FORTALEZA II C-3 CE</t>
  </si>
  <si>
    <t>0002167/2020</t>
  </si>
  <si>
    <t>Substituição de PARA-RAIOS LOCALIZAÇÃO AT RESERVA 500/345/13.8 KV</t>
  </si>
  <si>
    <t>AUTOTRANSFORMADORES RESERVA</t>
  </si>
  <si>
    <t>0002197/2016</t>
  </si>
  <si>
    <t>0002201/2016</t>
  </si>
  <si>
    <t>Substituição de PARA-RAIOS LOCALIZAÇÃO AT1B</t>
  </si>
  <si>
    <t>0002202/2016</t>
  </si>
  <si>
    <t>0002203/2016</t>
  </si>
  <si>
    <t>0002204/2016</t>
  </si>
  <si>
    <t>Substituição de SECIONADOR SC8103C</t>
  </si>
  <si>
    <t>BC10</t>
  </si>
  <si>
    <t>0002206/2016</t>
  </si>
  <si>
    <t>LT 230 kV QUIXERE /MOSSORO II CE/RN - 230</t>
  </si>
  <si>
    <t>Substituição da estrutura metálica autoportante: 030/2 e componentes associados. Altura = 21 m e Carregamento/Esforço = 3700 DAN.</t>
  </si>
  <si>
    <t>FT LT 230 kV QUIXERE /MOSSORO II C-1 CE/RN</t>
  </si>
  <si>
    <t>0002190/2020</t>
  </si>
  <si>
    <t>Substituição da estrutura metálica autoportante: 027/3 e componentes associados. Altura = 21 m e Carregamento/Esforço = 3700 DAN.</t>
  </si>
  <si>
    <t>0002188/2020</t>
  </si>
  <si>
    <t>Substituição da estrutura metálica autoportante: 045/2 e componentes associados. Altura = 21 m e Carregamento/Esforço = 3700 DAN.</t>
  </si>
  <si>
    <t>0002192/2020</t>
  </si>
  <si>
    <t>Substituição da estrutura metálica autoportante: 050/3 e componentes associados. Altura = 21 m e Carregamento/Esforço = 3700 DAN.</t>
  </si>
  <si>
    <t>0002194/2020</t>
  </si>
  <si>
    <t>Substituição de SECIONADOR SC861</t>
  </si>
  <si>
    <t>CT AT2B</t>
  </si>
  <si>
    <t>0002217/2016</t>
  </si>
  <si>
    <t>Substituição da estrutura metálica autoportante: 054/3 e componentes associados. Altura = 21 m e Carregamento/Esforço = 3700 DAN.</t>
  </si>
  <si>
    <t>0002204/2020</t>
  </si>
  <si>
    <t>Substituição de SECIONADOR SC863</t>
  </si>
  <si>
    <t>0002218/2016</t>
  </si>
  <si>
    <t>Substituição de SECIONADOR SC865</t>
  </si>
  <si>
    <t>0002219/2016</t>
  </si>
  <si>
    <t>Substituição de SECIONADOR SC867</t>
  </si>
  <si>
    <t>0002220/2016</t>
  </si>
  <si>
    <t>LT 230 kV RUSSAS II /QUIXERE CE - 230</t>
  </si>
  <si>
    <t>Substituição da estrutura metálica autoportante: 005/5 e componentes associados. Altura = 21 m e Carregamento/Esforço = 3700 DAN.</t>
  </si>
  <si>
    <t>FT LT 230 kV RUSSAS II /QUIXERE C-1 CE</t>
  </si>
  <si>
    <t>0002210/2020</t>
  </si>
  <si>
    <t>Substituição de SECIONADOR SC869</t>
  </si>
  <si>
    <t>0002222/2016</t>
  </si>
  <si>
    <t>Substituição da estrutura metálica autoportante: 004/3 e componentes associados. Altura = 21 m e Carregamento/Esforço = 3700 DAN.</t>
  </si>
  <si>
    <t>0002206/2020</t>
  </si>
  <si>
    <t>Substituição da estrutura metálica autoportante: 018/2 e componentes associados. Altura = 21 m e Carregamento/Esforço = 3700 DAN.</t>
  </si>
  <si>
    <t>0002214/2020</t>
  </si>
  <si>
    <t>LT 230 kV CAUIPE /SOBRAL II CE - 230</t>
  </si>
  <si>
    <t>Substituição da estrutura metálica autoportante: 004/2 e componentes associados. Altura = 45 m e Carregamento/Esforço = 3980 DAN.</t>
  </si>
  <si>
    <t>FT LT 230 kV CAUIPE /SOBRAL II C-1 CE</t>
  </si>
  <si>
    <t>0002216/2020</t>
  </si>
  <si>
    <t>Substituição de SECIONADOR SC6391</t>
  </si>
  <si>
    <t>EL Adrianópolis - Cepel C1</t>
  </si>
  <si>
    <t>0002230/2016</t>
  </si>
  <si>
    <t>Substituição da estrutura metálica autoportante: 009/2 e componentes associados. Altura = 45 m e Carregamento/Esforço = 3980 DAN.</t>
  </si>
  <si>
    <t>0002218/2020</t>
  </si>
  <si>
    <t>LT 230 kV C.GRANDE II /PARAISO PB/RN - 230</t>
  </si>
  <si>
    <t>Substituição da estrutura metálica autoportante: 036/1 e componentes associados. Altura = 38,9 m e Carregamento/Esforço = 3990 DAN.</t>
  </si>
  <si>
    <t>FT LT 230 kV C.GRANDE II /PARAISO C-2 PB/RN</t>
  </si>
  <si>
    <t>0002220/2020</t>
  </si>
  <si>
    <t>LT 138 kV C.GRANDE II /SANTA CRUZ II PB/RN - 138</t>
  </si>
  <si>
    <t>Substituição da estrutura metálica autoportante: 169 e componentes associados. Altura = 31,5 m e Carregamento/Esforço = 3700 DAN.</t>
  </si>
  <si>
    <t>LT 138 kV C.GRANDE II /SANTA CRUZ II C-1 PB/RN</t>
  </si>
  <si>
    <t>0002226/2020</t>
  </si>
  <si>
    <t>Substituição da estrutura metálica autoportante: 12 e componentes associados. Altura = 34,5 m e Carregamento/Esforço = 3700 DAN.</t>
  </si>
  <si>
    <t>0002224/2020</t>
  </si>
  <si>
    <t>LT 230 kV GOIANINHA /SANTA RITA II PE/PB - 230</t>
  </si>
  <si>
    <t>Substituição da estrutura metálica autoportante: 042/1 e componentes associados. Altura = 38,8 m e Carregamento/Esforço = 5000 DAN.</t>
  </si>
  <si>
    <t>FT LT 230 kV GOIANINHA /SANTA RITA II C-1 PE/PB</t>
  </si>
  <si>
    <t>0002259/2020</t>
  </si>
  <si>
    <t>LT 230 kV TACAIMBO /C.GRANDE II PE/PB - 230</t>
  </si>
  <si>
    <t>Substituição da estrutura metálica autoportante: 351 e componentes associados. Altura = 31,5 m e Carregamento/Esforço = 3700 DAN.</t>
  </si>
  <si>
    <t>FT LT 230 kV TACAIMBO /C.GRANDE II C-2 PE/PB</t>
  </si>
  <si>
    <t>0002260/2020</t>
  </si>
  <si>
    <t>Substituição da estrutura metálica autoportante: 386 e componentes associados. Altura = 31,5 m e Carregamento/Esforço = 3700 DAN.</t>
  </si>
  <si>
    <t>FT LT 230 kV TACAIMBO /C.GRANDE II C-1 PE/PB</t>
  </si>
  <si>
    <t>0002261/2020</t>
  </si>
  <si>
    <t>Substituição da estrutura metálica autoportante: 464 e componentes associados. Altura = 38,8 m e Carregamento/Esforço = 4043 DAN.</t>
  </si>
  <si>
    <t>0002264/2020</t>
  </si>
  <si>
    <t>Substituição da estrutura metálica autoportante: 389 e componentes associados. Altura = 31,5 m e Carregamento/Esforço = 3700 DAN.</t>
  </si>
  <si>
    <t>0002263/2020</t>
  </si>
  <si>
    <t>Substituição de TRAFO CORRENTE CA/CC TC1 2701 TERCIARIO AT53 FASE A</t>
  </si>
  <si>
    <t>0002272/2016</t>
  </si>
  <si>
    <t>Substituição de TRAFO CORRENTE CA/CC TC1 2701 TERCIARIO AT53 FASE B</t>
  </si>
  <si>
    <t>0002280/2016</t>
  </si>
  <si>
    <t>Substituição de TRAFO CORRENTE CA/CC TC1 2701 TERCIARIO AT53 FASE C</t>
  </si>
  <si>
    <t>0002282/2016</t>
  </si>
  <si>
    <t>Substituição de TRAFO CORRENTE CA/CC TC2 2701 TERCIARIO AT53 FASE A</t>
  </si>
  <si>
    <t>0002290/2016</t>
  </si>
  <si>
    <t>Substituição de TRAFO CORRENTE CA/CC TC2 2701 TERCIARIO AT53 FASE B</t>
  </si>
  <si>
    <t>0002294/2016</t>
  </si>
  <si>
    <t>Substituição de TRAFO CORRENTE CA/CC TC2 2701 TERCIARIO AT53 FASE C</t>
  </si>
  <si>
    <t>0002298/2016</t>
  </si>
  <si>
    <t>Substituição de SECIONADOR SC6371</t>
  </si>
  <si>
    <t>0002314/2016</t>
  </si>
  <si>
    <t>Substituição de TRAFO CORRENTE CA/CC TC AT1B 345KV FASE A</t>
  </si>
  <si>
    <t>0002322/2016</t>
  </si>
  <si>
    <t>Substituição de TRAFO CORRENTE CA/CC TC AT1B 345KV FASE B</t>
  </si>
  <si>
    <t>0002323/2016</t>
  </si>
  <si>
    <t>Substituição de TRAFO CORRENTE CA/CC TC AT1B 345KV FASE C</t>
  </si>
  <si>
    <t>0002324/2016</t>
  </si>
  <si>
    <t>Instalação de TP para Proteção de Controle da LT 69 kV São Luis I - São Francisco C1 (SFLI-LI4-01).</t>
  </si>
  <si>
    <t>EL 69 kV SAO LUIS I DIST4</t>
  </si>
  <si>
    <t>0007489/2020</t>
  </si>
  <si>
    <t>Substituição da Cadeia Principal de Proteção e Instalação da Cadeia Complementar de Proteção e Controle da LT 69 kV São Luis I - São Francisco C1 (SFLI-LI4-01).</t>
  </si>
  <si>
    <t>0007490/2020</t>
  </si>
  <si>
    <t>Instalação de TP para Proteção de Controle da LT 69 kV São Luis I - Forquilha C1 (FQLI-LI4-01).</t>
  </si>
  <si>
    <t>EL 69 kV SAO LUIS I DIST3</t>
  </si>
  <si>
    <t>0007491/2020</t>
  </si>
  <si>
    <t>Substituição da Cadeia Principal de Proteção e Instalação da Cadeia Complementar de Proteção e Controle da LT 69 kV São Luis I - Forquilha C1 (FQLI-LI4-01).</t>
  </si>
  <si>
    <t>EL 13,8 kV SAO LUIS I DIST3</t>
  </si>
  <si>
    <t>0007492/2020</t>
  </si>
  <si>
    <t>Instalação de TP para Proteção de Controle da LT 69 kV São Luis I - Forquilha C2 (FQLI-LI4-02).</t>
  </si>
  <si>
    <t>EL 69 kV SAO LUIS I DIST2</t>
  </si>
  <si>
    <t>0007493/2020</t>
  </si>
  <si>
    <t>Substituição da Cadeia Principal de Proteção e Instalação da Cadeia Complementar de Proteção e Controle da LT 69 kV São Luis I - Forquilha C2 (FQLI-LI4-02).</t>
  </si>
  <si>
    <t>EL 13,8 kV SAO LUIS I DIST2</t>
  </si>
  <si>
    <t>0007494/2020</t>
  </si>
  <si>
    <t>Instalação de TP para Proteção de Controle da LT 69 kV São Luis I - Maracanã C1 (MCLI-LI4-01).</t>
  </si>
  <si>
    <t>EL 69 kV SAO LUIS I DIST1</t>
  </si>
  <si>
    <t>0007496/2020</t>
  </si>
  <si>
    <t>Substituição da Cadeia Principal de Proteção e Instalação da Cadeia Complementar de Proteção e Controle da LT 69 kV São Luis I - Maracanã C1 (MCLI-LI4-01).</t>
  </si>
  <si>
    <t>0007501/2020</t>
  </si>
  <si>
    <t>Instalação de TP para Proteção de Controle da LT 69 kV São Luis I - Itaqui C1 (ITLI-LI4-01).</t>
  </si>
  <si>
    <t>EL 69 kV SAO LUIS I  DIST8</t>
  </si>
  <si>
    <t>0007517/2020</t>
  </si>
  <si>
    <t>Substituição da Cadeia Principal de Proteção e Instalação da Cadeia Complementar de Proteção e Controle da LT 69 kV São Luis I - Itaqui C1 (ITLI-LI4-01).</t>
  </si>
  <si>
    <t>0007521/2020</t>
  </si>
  <si>
    <t>Instalação de TP para Proteção de Controle da LT 69 kV São Luis I - Renascença C1 (RNLI-LI4-01).</t>
  </si>
  <si>
    <t>EL 69 kV SAO LUIS I DIST7</t>
  </si>
  <si>
    <t>0007522/2020</t>
  </si>
  <si>
    <t>Substituição da Cadeia Principal de Proteção e Instalação da Cadeia Complementar de Proteção e Controle da LT 69 kV São Luis I - Renascença C1 (RNLI-LI4-01).</t>
  </si>
  <si>
    <t>0007523/2020</t>
  </si>
  <si>
    <t>Instalação de TP para Proteção de Controle da LT 69 kV São Luis I - Vila Palmeira C1 (VPLI-LI4-01).</t>
  </si>
  <si>
    <t>EL 69 kV SAO LUIS I DIST6</t>
  </si>
  <si>
    <t>0007524/2020</t>
  </si>
  <si>
    <t>Substituição da Cadeia Principal de Proteção e Instalação da Cadeia Complementar de Proteção e Controle da LT 69 kV São Luis I - Vila Palmeira C1 (VPLI-LI4-01).</t>
  </si>
  <si>
    <t>0007525/2020</t>
  </si>
  <si>
    <t>Instalação de TP para Proteção de Controle da LT 69 kV São Luis I - Centro C1 (CTLI-LI4-01).</t>
  </si>
  <si>
    <t xml:space="preserve"> EL 69 kV SAO LUIS I DIST5</t>
  </si>
  <si>
    <t>0007529/2020</t>
  </si>
  <si>
    <t>Substituição da Cadeia Principal de Proteção e Instalação da Cadeia Complementar de Proteção e Controle da LT 69 kV São Luis I - Centro C1 (CTLI-LI4-01).</t>
  </si>
  <si>
    <t>EL 69 kV SAO LUIS I DIST5</t>
  </si>
  <si>
    <t>0007532/2020</t>
  </si>
  <si>
    <t>Substituição do Registrador Digital de Perturbação (RDP) referente à LT 05V7 (JARDIM/CAMACARI IV C-1).</t>
  </si>
  <si>
    <t>FT LT 500 kV JARDIM /CAMACARI IV C-1 SE/BA</t>
  </si>
  <si>
    <t>0007562/2020</t>
  </si>
  <si>
    <t>Substituição do Registrador Digital de Perturbação (RDP) referente à CT 230kV do 05T6.</t>
  </si>
  <si>
    <t>TR 500/230 kV JARDIM SE TR6 SE</t>
  </si>
  <si>
    <t>0007563/2020</t>
  </si>
  <si>
    <t>Substituição do Registrador Digital de Perturbação (RDP) referente à CT 500kV do 05T6.</t>
  </si>
  <si>
    <t>0007564/2020</t>
  </si>
  <si>
    <t>SUB JARDIM SE - 500</t>
  </si>
  <si>
    <t>Adequação da EL 05V7 da SE Jardim, com a instalação de: 01 DJ, 01 CS S/LT (incluindo respectivos suportes e fundações, conexões de alta tensão, cabos de controle e potência) e sistema de proteção associado (2 painéis para a UA e remanejamento das proteções da LT), além de cabos de proteção e controle..</t>
  </si>
  <si>
    <t>0002706/2020</t>
  </si>
  <si>
    <t>Substituição de 04 fundação em concreto armado da estrutura metálica autoportante: 207/1 e componentes associados. Altura da torre = 31,2 m ; Carregamento/Esforço da torre = 3980 DAN; Volume de concreto = 11,84m³.</t>
  </si>
  <si>
    <t>0002737/2020</t>
  </si>
  <si>
    <t>LT 230 kV FORTALEZA II /PICI II CE - 230</t>
  </si>
  <si>
    <t>Substituição de 01 fundação em concreto armado da estrutura de concreto retangular: 008/4 e componentes associados. Altura da torre = 31,85 m ; Carregamento/Esforço da torre = 3700 DAN; Volume de concreto = 10,56m³.</t>
  </si>
  <si>
    <t>FT LT 230 kV FORTALEZA II /PICI II C-1 CE</t>
  </si>
  <si>
    <t>0002739/2020</t>
  </si>
  <si>
    <t>Substituição de 04 fundação em concreto armado da estrutura metálica autoportante: 022/1 e componentes associados. Altura da torre = 44,8 m ; Carregamento/Esforço da torre = 4209 DAN; Volume de concreto = 4,00m³.</t>
  </si>
  <si>
    <t>0002741/2020</t>
  </si>
  <si>
    <t>Substituição de 04 fundação em concreto armado da estrutura metálica autoportante: 037/2 e componentes associados. Altura da torre = 31,5 m ; Carregamento/Esforço da torre = 5000 DAN; Volume de concreto = 14,49m³.</t>
  </si>
  <si>
    <t>0002742/2020</t>
  </si>
  <si>
    <t>Substituição de 01 fundação em concreto armado da estrutura de concreto duplo T: 353 e componentes associados. Altura da torre = 23,5 m ; Carregamento/Esforço da torre = 2400 DAN; Volume de concreto = 4,5m³.</t>
  </si>
  <si>
    <t>0002746/2020</t>
  </si>
  <si>
    <t>Substituição de 04 fundação em concreto armado da estrutura metálica autoportante: 090/1 e componentes associados. Altura da torre = 32,1 m ; Carregamento/Esforço da torre = 5000 DAN; Volume de concreto = 14,49m³.</t>
  </si>
  <si>
    <t>0002744/2020</t>
  </si>
  <si>
    <t>LT 230 kV SANTA RITA II /MUSSURE II PB - 230</t>
  </si>
  <si>
    <t>Substituição de 01 fundação em concreto armado da estrutura metálica autoportante: 050/3 e componentes associados. Altura da torre = 39 m ; Carregamento/Esforço da torre = 3700 DAN; Volume de concreto = 10,12m³.</t>
  </si>
  <si>
    <t>FT LT 230 kV SANTA RITA II /MUSSURE II C-1 PB</t>
  </si>
  <si>
    <t>0002749/2020</t>
  </si>
  <si>
    <t>Substituição de 9 vigas da Subestação Fortaleza I.</t>
  </si>
  <si>
    <t>MG 230 kV FORTALEZA MG1 CE</t>
  </si>
  <si>
    <t>0002751/2020</t>
  </si>
  <si>
    <t>LT 500 kV ANGELIM II /PAU FERRO PE - 500</t>
  </si>
  <si>
    <t>Substituir 252 cadeias isoladores mesma classe tensão-tipo-material-composição das 34 est 000/1;000/2;000/3;001/1;002/1;002/2;002/3;003/1;003/2;003/3;003/4;004/2;005/1;005/2;005/3;005/4;006/1;006/3;007/1;008/1;008/2;009/1;009/2;011/1;011/2;012/1;012/2;013/1;014/1;015/1;016/1;018/1;022/1;022/2 Est</t>
  </si>
  <si>
    <t>FT LT 500 kV ANGELIM II /PAU FERRO C-1 PE</t>
  </si>
  <si>
    <t>0004187/2020</t>
  </si>
  <si>
    <t>Substituir 161 cadeias isoladores mesma classe tensão-tipo-material-composição das 34 est 023/1;024/1;024/2;025/1;025/2;026/1;027/1;027/2;028/1;028/2;028/3;029/1;030/1;030/2;035/2;036/1;036/2;037/1;038/1;039/2;039/3;040/1;041/1;041/2;042/1;043/2;043/3;044/1;044/2;046/1;047/1;050/2;051/1;051/2 Est</t>
  </si>
  <si>
    <t>0004217/2020</t>
  </si>
  <si>
    <t>Substituir 163 cadeias isoladores mesma classe tensão-tipo-material-composição das 34 est 052/1;052/3;053/1;053/2;054/1;054/2;055/2;056/1;056/2;057/1;057/3;057/4;058/1;060/2;061/1;061/2;061/3;062/1;063/2;064/2;064/3;065/1;066/2;066/3;067/1;067/2;067/3;072/2;073/2;073/3;074/1;074/2;074/3;075/1 Est</t>
  </si>
  <si>
    <t>0004221/2020</t>
  </si>
  <si>
    <t>LT 500 kV ANGELIM II /RECIFE II PE - 500</t>
  </si>
  <si>
    <t>Substituir 136 cadeias isoladores mesma classe tensão-tipo-material-composição das 34 est 033/1;034/1;034/2;035/1;035/2;036/1;036/2;037/1;037/2;037/3;038/1;039/1;039/2;040/1;040/2;040/3;041/1;041/2;042/1;042/2;043/1;043/2;043/3;044/1;044/2;045/1;045/2;046/1;046/2;050/3;050/4;051/1;052/1;054/3 Est</t>
  </si>
  <si>
    <t>FT LT 500 kV ANGELIM II /RECIFE II C-2 PE</t>
  </si>
  <si>
    <t>0004232/2020</t>
  </si>
  <si>
    <t>Substituir 154 cadeias isoladores mesma classe tensão-tipo-material-composição das 34 est 001/3;002/1;002/2;003/1;003/2;004/2;005/1;005/2;006/3;007/1;007/2;008/2;011/1;013/1;022/2;023/1;023/2;024/1;024/2;025/1;025/2;026/1;027/1;027/2;028/1;028/2;029/1;029/2;029/3;030/1;030/2;031/2;032/1;032/2 Est</t>
  </si>
  <si>
    <t>0004230/2020</t>
  </si>
  <si>
    <t>LT XINGÓ - MESSIAS (05V4) - 500</t>
  </si>
  <si>
    <t>Substituir 148 cadeias isoladores mesma classe tensão-tipo-material-composição das 34 est 090/1;090/2;091/1;092/1;092/2;093/2;094/2;095/2;096/1;096/2;097/1;097/2;098/1;098/2;099/1;100/1;100/2;101/1;101/2;102/1;102/2;104/1;104/2;105/1;105/2;106/1;107/1;107/2;108/1;108/2;109/1;112/1;113/1;115/2 Est</t>
  </si>
  <si>
    <t>LT 500 kV USINA XINGO /MESSIAS C-1 AL</t>
  </si>
  <si>
    <t>0004241/2020</t>
  </si>
  <si>
    <t>Substituir 152 cadeias de isoladores de mesma classe tensão-tipo-material-composição das 29 est 055/1;055/2;057/2;058/1;058/2;059/1;059/2;059/3;060/1;061/2;062/1;062/2;063/1;064/1;064/2;064/3;065/1;065/2;066/1;067/1;067/2;067/3;068/2;069/1;069/2;070/1;073/1;073/2;074/1 Est</t>
  </si>
  <si>
    <t>0004235/2020</t>
  </si>
  <si>
    <t>Substituir 140 cadeias isoladores mesma classe tensão-tipo-material-composição das 34 est 116/2;117/1;117/2;118/1;119/2;120/1;120/2;121/1;121/2;122/1;122/2;123/1;123/2;124/1;124/2;125/1;125/2;126/1;127/2;128/1;129/2;130/2;131/1;131/2;132/1;132/2;133/1;133/2;134/2;135/1;135/2;136/1;136/2;137/1 Est</t>
  </si>
  <si>
    <t>0004244/2020</t>
  </si>
  <si>
    <t>Substituir 144 cadeias isoladores mesma classe tensão-tipo-material-composição das 34 est 137/2;138/1;139/1;140/1;140/2;141/1;142/1;142/2;143/1;143/2;144/1;146/1;146/2;147/1;147/2;150/1;150/2;151/1;153/1;155/2;156/2;157/1;158/1;158/2;159/1;160/1;161/1;161/3;162/2;163/1;163/2;164/1;165/1;165/2 Est</t>
  </si>
  <si>
    <t>0004245/2020</t>
  </si>
  <si>
    <t>Substituir 140 cadeias isoladores mesma classe tensão-tipo-material-composição das 34 est 167/2;167/3;168/1;168/2;170/1;170/2;171/1;171/2;172/1;172/2;173/1;173/2;174/1;175/1;175/2;177/1;177/2;178/1;178/2;178/3;179/1;179/2;179/3;180/1;181/2;182/1;182/2;183/1;183/2;184/1;184/2;184/3;186/1;187/1 Est</t>
  </si>
  <si>
    <t>0004246/2020</t>
  </si>
  <si>
    <t>Instalação do controle no vão da LT 345 Bandeirantes - Samambaia c2</t>
  </si>
  <si>
    <t>LT 345 kV BANDEIRANTES /SAMAMBAIA C-2 GO/DF</t>
  </si>
  <si>
    <t>0004255/2020</t>
  </si>
  <si>
    <t>LT 500 kV US. L.GONZAGA /JUAZEIRO III PE/BA - 500</t>
  </si>
  <si>
    <t>Substituição de 136 fundações em concreto armado das estruturas metálicas estaiadas tipo "V":5/2;6/2;7/2;8/1;8/2;10/2;10/3;11/1;16/1;17/1;18/1;20/1;23/2;34/1;36/2;39/1;39/2;40/1;46/2;51/1;51/2;52/1;57/2;64/2;65/1;66/2;67/1;86/1;92/1;92/2;93/1;93/2;100/1;100/2 (34 estruturas). Total = 81,6 m³.</t>
  </si>
  <si>
    <t>FT LT 500 kV US. L.GONZAGA /JUAZEIRO III C-1 PE/BA</t>
  </si>
  <si>
    <t>0002876/2020</t>
  </si>
  <si>
    <t>LT 500 kV MESSIAS /SUAPE II AL/PE - 500</t>
  </si>
  <si>
    <t>Substituir 140 cadeias isoladores mesma classe tensão-tipo-material-composição das 35 est 121/3;122/1;122/2;123/1;123/2;123/3;124/1;124/2;125/1;125/2;125/3;126/1;126/2;127/1;127/2;128/1;129/1;129/2;129/3;130/1;130/2;131/1;131/2;132/1;132/2;133/1;133/2;134/1;134/2;134/3;135/1;135/2;136/1;137/1;137/2</t>
  </si>
  <si>
    <t>FT LT 500 kV MESSIAS /SUAPE II C-1 AL/PE</t>
  </si>
  <si>
    <t>0004265/2020</t>
  </si>
  <si>
    <t>LT 500 kV JUAZEIRO III /U.SOBRADINHO BA - 500</t>
  </si>
  <si>
    <t>Substituição de 84 fundações em concreto armado das estruturas metálicas estaiadas tipo "V": 1/2; 4/1; 5/1; 5/2; 6/1; 6/2; 10/2; 11/1; 12/1; 12/2; 13/1; 17/1; 20/2; 25/1; 26/1; 26/2; 29/2; 30/1; 30/2; 32/1; 32/2 (21 estruturas). Total = 50,4 m³.</t>
  </si>
  <si>
    <t>FT LT 500 kV JUAZEIRO III /U.SOBRADINHO C-1 BA</t>
  </si>
  <si>
    <t>0002879/2020</t>
  </si>
  <si>
    <t>Instalação do controle no vão de Amarre de 345kV</t>
  </si>
  <si>
    <t>MG BANDEIRANTES / CCO-2001-062 - RB</t>
  </si>
  <si>
    <t>0004277/2020</t>
  </si>
  <si>
    <t>Instalação do controle no vão da LI 230 Xavantes - Bandeirantes c1</t>
  </si>
  <si>
    <t>LI 230 KV XAVANTES / BANDEIRANTES C-1</t>
  </si>
  <si>
    <t>0004292/2020</t>
  </si>
  <si>
    <t>Instalação do controle no vão da LI 230 Xavantes - Bandeirantes c2</t>
  </si>
  <si>
    <t>LI 230 KV XAVANTES / BANDEIRANTES C-2</t>
  </si>
  <si>
    <t>0004293/2020</t>
  </si>
  <si>
    <t>Instalação do controle no vão da LI 230 Anhanguera - Bandeirantes c1</t>
  </si>
  <si>
    <t>LT 230 kV ANHANGUERA /BANDEIRANTES C-1 GO</t>
  </si>
  <si>
    <t>0004294/2020</t>
  </si>
  <si>
    <t>Instalação do controle no vão de Amarre de 230kV</t>
  </si>
  <si>
    <t>0004296/2020</t>
  </si>
  <si>
    <t>Instalação do controle no vão da LI 230 Anhanguera - Bandeirantes c2</t>
  </si>
  <si>
    <t>LT 230 kV ANHANGUERA /BANDEIRANTES C-2 GO</t>
  </si>
  <si>
    <t>0004295/2020</t>
  </si>
  <si>
    <t>Substituir 212 cadeias isoladores mesma classe tensão-tipo-material-composição das 35 est 095/1;096/1;096/2;096/3;097/1;097/2;098/1;098/2;098/3;098/4;099/1;099/2;100/1;100/2;100/3;100/4;101/1;101/2;101/3;102/1;102/2;103/1;103/2;103/3;104/1;104/2;105/1;105/2;106/1;106/2;107/1;107/2;107/3;108/1;108/2</t>
  </si>
  <si>
    <t>0004306/2020</t>
  </si>
  <si>
    <t>Ampliação do sistema registrador de perturbação, instalando modulo TW  de oscilógrafia digital(RDP)</t>
  </si>
  <si>
    <t>LT 230 kV SAMUEL /ARIQUEMES C-3 RO</t>
  </si>
  <si>
    <t>0002931/2020</t>
  </si>
  <si>
    <t>SAMUEL</t>
  </si>
  <si>
    <t>0002956/2020</t>
  </si>
  <si>
    <t>LT  500 kV ANGRA FUR / NOVA IGUACU C 1  RJ           - 500</t>
  </si>
  <si>
    <t>troca de 485 cadeias de isoladores</t>
  </si>
  <si>
    <t>LT 500 kV ANGRA FUR / NOVA IGUACU C 1 RJ</t>
  </si>
  <si>
    <t>0004366/2020</t>
  </si>
  <si>
    <t>LT 230 kV SAMUEL /PORTO VELHO C-3 RO</t>
  </si>
  <si>
    <t>0002984/2020</t>
  </si>
  <si>
    <t>troca de  amortecedores em  100 vãos</t>
  </si>
  <si>
    <t>0004367/2020</t>
  </si>
  <si>
    <t>0002992/2020</t>
  </si>
  <si>
    <t>Instalação da proteção e controle diferencial de barras da cadeia alternada das barras JPBR6-01 e JPBR6-02, contemplando uma unidade central com capacidade de no mínimo nove vãos e seis unidades de bay (bays unit).</t>
  </si>
  <si>
    <t>0003017/2020</t>
  </si>
  <si>
    <t>Instalar sistema de oscilografia digital(RDP)</t>
  </si>
  <si>
    <t>LT 230 kV JARU /JI-PARANA C-1 RO</t>
  </si>
  <si>
    <t>0003032/2020</t>
  </si>
  <si>
    <t>LT 230 kV SAMUEL /PORTO VELHO C-2 RO</t>
  </si>
  <si>
    <t>0003034/2020</t>
  </si>
  <si>
    <t>LT 230 kV SAMUEL /ARIQUEMES C-1 RO</t>
  </si>
  <si>
    <t>0003045/2020</t>
  </si>
  <si>
    <t>LT 230 kV SAMUEL /PORTO VELHO C-1 RO</t>
  </si>
  <si>
    <t>0003040/2020</t>
  </si>
  <si>
    <t>LT 230 kV PIMENTA BUENO/VILHENA C-3 RO</t>
  </si>
  <si>
    <t>0003047/2020</t>
  </si>
  <si>
    <t>0003052/2020</t>
  </si>
  <si>
    <t>Adequação da CT 500 kV 05T6 da SE Jardim, contemplando a instalação de: 01 disjuntor, 02 chaves-seccionadoras sem lâmina de terra, 03 TCs e 03 TPs (incluindo respectivos suportes e fundações, conexões de alta tensão, cabos de controle e potência).</t>
  </si>
  <si>
    <t>0003056/2020</t>
  </si>
  <si>
    <t>LT 230 kV JI-PARANA /PIMENTA BUENO C-3 RO</t>
  </si>
  <si>
    <t>0003059/2020</t>
  </si>
  <si>
    <t>Instalar sistema de oscilografia digital(RDP).</t>
  </si>
  <si>
    <t>0003067/2020</t>
  </si>
  <si>
    <t>LT 345 kV ADRIANÓPOLIS - ITUTINGA CIRC 2 - 345</t>
  </si>
  <si>
    <t>Instalação de 03 e substituição de 03 esferas de sinalização</t>
  </si>
  <si>
    <t xml:space="preserve">LT  345 kV ADRIANOPOLIS / ITUTINGA C 2  RJ/MG       </t>
  </si>
  <si>
    <t>0004466/2020</t>
  </si>
  <si>
    <t>Substituição do sistema de proteção e controle (composto por proteção principal, proteção alternada e UC) e instalação de 2 painéis e cabos de controle para atender a adequação do novo vão de 500 kV do TR 500/230 kV (05T6).</t>
  </si>
  <si>
    <t>0003108/2020</t>
  </si>
  <si>
    <t>Substituição do sistema de controle (UC), lado 230kV do 05T6, para atender a adequação do novo vão de 500/230 kV do TR, com a instalação de 1 painel e cabos de controle.</t>
  </si>
  <si>
    <t>0003115/2020</t>
  </si>
  <si>
    <t>0003121/2020</t>
  </si>
  <si>
    <t>LI 500 kV GURUPI - MIRACEMA CIRC 1 - 500</t>
  </si>
  <si>
    <t>Substituição de  5 esferas de sinalização</t>
  </si>
  <si>
    <t xml:space="preserve">LT  500 kV GURUPI / MIRACEMA C 1  TO          </t>
  </si>
  <si>
    <t>0004491/2020</t>
  </si>
  <si>
    <t>LT 230 kV ARIQUEMES /JI-PARANA C-3 RO</t>
  </si>
  <si>
    <t>0003124/2020</t>
  </si>
  <si>
    <t>0003132/2020</t>
  </si>
  <si>
    <t>LT 500 kV SERRA DA MESA - GURUPI CIRC 1 - 500</t>
  </si>
  <si>
    <t>Substituição de  13 esferas de sinalização</t>
  </si>
  <si>
    <t xml:space="preserve">LT  500 kV S.DA MESA / GURUPI C 1  GO/TO       </t>
  </si>
  <si>
    <t>0004504/2020</t>
  </si>
  <si>
    <t>LT 500 kV SERRA DA MESA - SAMAMBAIA CIRC 1 - 500</t>
  </si>
  <si>
    <t xml:space="preserve">LT  500 kV S.DA MESA / SAMAMBAIA C 1  GO/DF       </t>
  </si>
  <si>
    <t>0004506/2020</t>
  </si>
  <si>
    <t>Substituição de 29 cadeias de isoladores completas ao longo da LT.</t>
  </si>
  <si>
    <t>0004505/2020</t>
  </si>
  <si>
    <t>LT 500 kV SERRA DA MESA - SAMAMBAIA CIRC 2 - 500</t>
  </si>
  <si>
    <t xml:space="preserve">LT  500 kV S.DA MESA / SAMAMBAIAC 2  GO/DF       </t>
  </si>
  <si>
    <t>0004508/2020</t>
  </si>
  <si>
    <t>EL 230 kLT 230 kV SAMUEL /PORTO VELHO C-1 RO</t>
  </si>
  <si>
    <t>0003138/2020</t>
  </si>
  <si>
    <t>Substituição de 16 cadeias de isoladores completas ao longo da LT.</t>
  </si>
  <si>
    <t>0004507/2020</t>
  </si>
  <si>
    <t>LT 230 kV ARIQUEMES /JARU C-1 RO</t>
  </si>
  <si>
    <t>0003137/2020</t>
  </si>
  <si>
    <t>Substituição de 20 cadeias de isoladores completas ao longo da LT.</t>
  </si>
  <si>
    <t xml:space="preserve">LT  500 kV S.DA MESA / SAMAMBAIA C 2  GO/DF       </t>
  </si>
  <si>
    <t>0004509/2020</t>
  </si>
  <si>
    <t>0003141/2020</t>
  </si>
  <si>
    <t>LT 345 kV CORUMBÁ - BRASÍLIA SUL - 345</t>
  </si>
  <si>
    <t>Substituição de  16 esferas de sinalização</t>
  </si>
  <si>
    <t xml:space="preserve">LT  345 kV CORUMBA/ BRAS. SUL C 1  GO/DF       </t>
  </si>
  <si>
    <t>0004510/2020</t>
  </si>
  <si>
    <t>Substituição de 23 cadeias de isoladores completas ao longo da LT.</t>
  </si>
  <si>
    <t xml:space="preserve">LT  345 kV CORUMBA  / BRAS. SUL  C 1  GO/DF       </t>
  </si>
  <si>
    <t>0004513/2020</t>
  </si>
  <si>
    <t>0003148/2020</t>
  </si>
  <si>
    <t>0003153/2020</t>
  </si>
  <si>
    <t>LT 345 kV BANDEIRANTES - SAMAMBAIA CIRC 1 - 345</t>
  </si>
  <si>
    <t>Substituição de  17 esferas de sinalização</t>
  </si>
  <si>
    <t xml:space="preserve">LT  345 kV BANDEIRANTES / SAMAMBAIA C 1  GO/DF       </t>
  </si>
  <si>
    <t>0004523/2020</t>
  </si>
  <si>
    <t>Instalação das proteções e controle diferencial para as barras nº 01 (CJBR7-01) e nº 2 (CJBR702) - Cadeia Alternada, contemplando uma unidade central com capacidade de, no mínimo, trezes vãos e, no mínimo, sete unidades de bay (bays unit).</t>
  </si>
  <si>
    <t>0003155/2020</t>
  </si>
  <si>
    <t>Instalação de uma unidade de bay da Proteção e Controle Diferencial de Barras no Vão de Interligação de Barras de 230 kV da SE Abunã (ANDB6-01). (Vão CX).</t>
  </si>
  <si>
    <t>MG 230 kV ABUNA MG1 RO</t>
  </si>
  <si>
    <t>0003156/2020</t>
  </si>
  <si>
    <t>LT 345 kV BANDEIRANTES - SAMAMBAIA CIRC 2 - 345</t>
  </si>
  <si>
    <t>Substituição de  7 esferas de sinalização</t>
  </si>
  <si>
    <t xml:space="preserve">LT  345 kV BANDEIRANTES / SAMAMBAIAC 2  GO/DF       </t>
  </si>
  <si>
    <t>0004526/2020</t>
  </si>
  <si>
    <t>LT 500 kV São José – Nova Iguaçu - 500</t>
  </si>
  <si>
    <t>Substituição de cabo OPGW degradado por cabo OPGW novo. Trecho de 15 km da torre 2125 até o pórtico da SE São José.</t>
  </si>
  <si>
    <t>LT 500 kV SÃO JOSÉ / NOVA IGUAÇU</t>
  </si>
  <si>
    <t>0004531/2020</t>
  </si>
  <si>
    <t>LT 345 kV Adrianópolis – Jacarepaguá Circ 2 - 345</t>
  </si>
  <si>
    <t>Substituição de cabo para-raios 3/8” EHS degradado por cabo OPGW. Trecho de 3 km da torre 83 até o pórtico da SE Jacarepaguá.</t>
  </si>
  <si>
    <t xml:space="preserve">LT  345 kV ADRIANOPOLIS / JACAREPAGUA C 2  RJ          </t>
  </si>
  <si>
    <t>0004535/2020</t>
  </si>
  <si>
    <t xml:space="preserve">Substituição da proteção e controle diferencial de barras  da cadeia principal das barras (MRBR6-01 e MRBR6-02), contemplando uma unidade central com capacidade de processamento de no mínimo 18 vãos e quinze unidades de bay (bays unit). </t>
  </si>
  <si>
    <t>MG MIRANDA II / CCO-2001-058 - RB</t>
  </si>
  <si>
    <t>0003162/2020</t>
  </si>
  <si>
    <t>LT 345 kV Adrianópolis – Jacarepaguá Circ 1 - 345</t>
  </si>
  <si>
    <t>Instalação de cabo OPGW novo. Trecho de 300 m referente à passagem pela torre 85, interligando as torres 3077 da LT 500 kV ADRIANÓPOLIS - GRAJAÚ com a torre 83 da LT 345 kV ADRIANÓPOLIS - JACAREPAGUÁ 2 .</t>
  </si>
  <si>
    <t xml:space="preserve">LT  345 kV ADRIANOPOLIS / JACAREPAGUA C 1  RJ          </t>
  </si>
  <si>
    <t>0004540/2020</t>
  </si>
  <si>
    <t>LT 500 kV Grajaú – Nova Iguaçu - 500</t>
  </si>
  <si>
    <t>Substituição de cabo para-raios 3/8” EHS degradado por cabo OPGW. Trecho 19 km da torre 3077 até o pórtico da SE Grajaú.</t>
  </si>
  <si>
    <t>LT 500 kV GRAJAU / NOVA IGUACU C 1 RJ</t>
  </si>
  <si>
    <t>0004543/2020</t>
  </si>
  <si>
    <t>LT 500 kV Adrianópolis – Grajaú - 500</t>
  </si>
  <si>
    <t>Substituição de cabo OPGW degradado por cabo OPGW novo. Trecho de 9 km da torre 3077 até a torre 3092.</t>
  </si>
  <si>
    <t xml:space="preserve">LT  500 kV ADRIANOPOLIS / GRAJAU C 1  RJ          </t>
  </si>
  <si>
    <t>0004542/2020</t>
  </si>
  <si>
    <t>NOBRES</t>
  </si>
  <si>
    <t>Instalação da Proteção e Controle Diferencial de Barras de 230 kV da SE Nobres - Cadeia Alternada - constituída de uma unidade central com, no mínimo, oito vãos e seis unidades de bay.</t>
  </si>
  <si>
    <t>MG 230 kV NOBRES MG2 MT</t>
  </si>
  <si>
    <t>0003172/2020</t>
  </si>
  <si>
    <t>LT 500 kV Zona Oeste – Nova Iguaçu - 500</t>
  </si>
  <si>
    <t>Substituição de cabo OPGW degradado por cabo OPGW novo. Trecho de 3 km da torre 215 até a torre 224.</t>
  </si>
  <si>
    <t>LT 500 kV NOVA IGUACU / ZONA OESTE C 1 RJ</t>
  </si>
  <si>
    <t>0004544/2020</t>
  </si>
  <si>
    <t>LT Itumbiara - Rio Verde 1 - 230</t>
  </si>
  <si>
    <t>Substituição de cadeias de isoladores de porcela escura por de vidro ao longo da LT (totalizando 255 cadeias).</t>
  </si>
  <si>
    <t xml:space="preserve">LT  230 kV ITUMBIARA / RIO VERDE FUR C 1  MG/GO       </t>
  </si>
  <si>
    <t>0004548/2020</t>
  </si>
  <si>
    <t>LT  Rio Verde - Cachoeira Celg 2 - 138</t>
  </si>
  <si>
    <t>Substituição de cadeias de isoladores de porcelana escura por de vidro ao longo da LT (totalizando 106 cadeias).</t>
  </si>
  <si>
    <t xml:space="preserve">LT  138 kV RIO VERDE  / CACHOEIRA DOURADA C2 GO       </t>
  </si>
  <si>
    <t>0004551/2020</t>
  </si>
  <si>
    <t>Instalação da Proteção e Controle Diferencial de Barras de 230kV da SE Jauru - Cadeia Alternada - constituída de uma unidade central com 13 vãos e 7 unidades de bay.</t>
  </si>
  <si>
    <t>MG 230 kV JAURU MG1 MT</t>
  </si>
  <si>
    <t>0003201/2020</t>
  </si>
  <si>
    <t>Instalação de TC de Barras para monitoramento das Correntes do Vão de Interligação de Barras nº 01 de 230 kV - (ANDB6-01). (Vão CX).</t>
  </si>
  <si>
    <t>0003207/2020</t>
  </si>
  <si>
    <t>Instalação de TC de Barras para monitoramento das Correntes do Vão de Interligação de Barras nº 01 de 230 kV - (RBDB6-01). (Vão AY).</t>
  </si>
  <si>
    <t>MG 230 kV RIO BRANCO 1 MG1 AC</t>
  </si>
  <si>
    <t>0003212/2020</t>
  </si>
  <si>
    <t>MACAE MERCHAN</t>
  </si>
  <si>
    <t>Troca da rede de dados operativa</t>
  </si>
  <si>
    <t>MG MACAE MERCHAN / CCO-2001-062 - RB</t>
  </si>
  <si>
    <t>0004599/2020</t>
  </si>
  <si>
    <t>Troca do sistema de monitoramento da LI MHVP (RDP4)</t>
  </si>
  <si>
    <t>LT 345 kV MACAE MERCHAN/VENDA PEDRAS C-1 RJ</t>
  </si>
  <si>
    <t>0004602/2020</t>
  </si>
  <si>
    <t>Substituição do sistema de sincronismo  de tempo da subestação Macaé, instalado em  2001.</t>
  </si>
  <si>
    <t>0004600/2020</t>
  </si>
  <si>
    <t>Troca da proteção BF DJ8112</t>
  </si>
  <si>
    <t>LT 345 kV CAMPOS /MACAE MERCHAN C-1 RJ</t>
  </si>
  <si>
    <t>0004606/2020</t>
  </si>
  <si>
    <t>Troca da proteção da linha</t>
  </si>
  <si>
    <t>0004604/2020</t>
  </si>
  <si>
    <t>Troca do sistema de monitoramento da LT CMMH1 (RDP)</t>
  </si>
  <si>
    <t>0004608/2020</t>
  </si>
  <si>
    <t>Substituição do sistema de controle e supervisão da linha 345 kV Campos-Macaé circuito 1, na subestação Campos, instalado em 2001.</t>
  </si>
  <si>
    <t>0004607/2020</t>
  </si>
  <si>
    <t>LT 345 kV CAMPOS /MACAE MERCHAN C-2 RJ</t>
  </si>
  <si>
    <t>0004609/2020</t>
  </si>
  <si>
    <t>Troca do sistema de monitoramento da LT CMMH2 (RDP)</t>
  </si>
  <si>
    <t>0004613/2020</t>
  </si>
  <si>
    <t>Troca da proteção BF DJ8732</t>
  </si>
  <si>
    <t>0004611/2020</t>
  </si>
  <si>
    <t>Substituição do sistema de controle e supervisão da linha 345 kV Campos-Macaé circuito 2, na subestação Campos, instalado em 2001.</t>
  </si>
  <si>
    <t>0004612/2020</t>
  </si>
  <si>
    <t>Troca do sistema de monitoramento da LT CMMH3 (RDP)</t>
  </si>
  <si>
    <t>LT 345 kV CAMPOS /MACAE MERCHAN C-3 RJ</t>
  </si>
  <si>
    <t>0004615/2020</t>
  </si>
  <si>
    <t>IRIRI</t>
  </si>
  <si>
    <t>Instalação de um equipamento de sincronismo em substituição aos equipamentos TS3100 e XLi responsáveis pelo fornecimento de sinais tempo e frequencia para sistemas de telecomunicações, proteção, controle e supervisão atendendo os submódulos 2.7, 11.8 e 12.2 do procedimentos de rede do ONS.</t>
  </si>
  <si>
    <t>MG 138 kV IRIRI MG1 RJ</t>
  </si>
  <si>
    <t>0004658/2020</t>
  </si>
  <si>
    <t>LT 500 kV JARDIM /CAMACARI IV SE/BA - 500</t>
  </si>
  <si>
    <t>Substituir 161 cadeias de isoladores de mesma classe tensão-tipo-material-composição das 34 est 001/1;001/2;002/1;002/2;003/1;003/2;004/1;004/2;005/1;005/2;006/1;006/2;007/1;007/2;007/3;008/1;009/1;009/2;010/1;010/2;011/1;011/2;012/1;012/2;013/1;013/2;014/1;014/2;015/1;016/1;016/2;017/1;017/2;017/3</t>
  </si>
  <si>
    <t>0003359/2020</t>
  </si>
  <si>
    <t>PDIZLT701</t>
  </si>
  <si>
    <t>0009599/2016</t>
  </si>
  <si>
    <t>0009600/2016</t>
  </si>
  <si>
    <t>0009601/2016</t>
  </si>
  <si>
    <t>SECCIONADORA 500 kV PDSD7-13</t>
  </si>
  <si>
    <t>0009603/2016</t>
  </si>
  <si>
    <t>SECCIONADORA 500 kV PDSD7-14</t>
  </si>
  <si>
    <t>0009604/2016</t>
  </si>
  <si>
    <t>SECCIONADORA 500 kV PDSL7-03</t>
  </si>
  <si>
    <t>0009605/2016</t>
  </si>
  <si>
    <t>SECCIONADORA 500 kV PDSR7-03</t>
  </si>
  <si>
    <t>0009606/2016</t>
  </si>
  <si>
    <t>SECCIONADORA DE ATERRAMENTO 500 kV PDCA7-09</t>
  </si>
  <si>
    <t>0009607/2016</t>
  </si>
  <si>
    <t>SECCIONADORA 500 kV PDSD7-12</t>
  </si>
  <si>
    <t>PDMG-07</t>
  </si>
  <si>
    <t>0009611/2016</t>
  </si>
  <si>
    <t>LT P. AFONSO IV - OLINDINA (05S5) - 500</t>
  </si>
  <si>
    <t>Substituir 70 cadeias de isoladores de mesma classe tensão-tipo-material-composição das 15 est 205/2;206/1;206/3;207/2;208/1;208/2;209/1;209/2;210/1;210/2;211/1;211/2;212/1;212/3;213/1</t>
  </si>
  <si>
    <t>LT 500 kV P. AFONSO IV /OLINDINA C-1 BA</t>
  </si>
  <si>
    <t>0003391/2020</t>
  </si>
  <si>
    <t>SECCIONADORA 500 kV PDSD7-15</t>
  </si>
  <si>
    <t>PDBELI701</t>
  </si>
  <si>
    <t>0009628/2016</t>
  </si>
  <si>
    <t>SECCIONADORA 500 kV PDSD7-16</t>
  </si>
  <si>
    <t>0009629/2016</t>
  </si>
  <si>
    <t>SECCIONADORA 500 kV PDSL7-04</t>
  </si>
  <si>
    <t>0009630/2016</t>
  </si>
  <si>
    <t>SECCIONADORA 500 kV PDSR7-04</t>
  </si>
  <si>
    <t>0009631/2016</t>
  </si>
  <si>
    <t>SECCIONADORA 500 kV PDSR7-06</t>
  </si>
  <si>
    <t>0009632/2016</t>
  </si>
  <si>
    <t>SECCIONADORA DE ATERRAMENTO 500 kV PDCA7-12</t>
  </si>
  <si>
    <t>0009633/2016</t>
  </si>
  <si>
    <t>TRANSFORMADOR CORRENTE 500 kV FV</t>
  </si>
  <si>
    <t>0009634/2016</t>
  </si>
  <si>
    <t>SECCIONADORA 500 kV PDSD7-17</t>
  </si>
  <si>
    <t>0009636/2016</t>
  </si>
  <si>
    <t>LT 230 kV C.GRANDE III /C.GRANDE II PB - 230</t>
  </si>
  <si>
    <t>Substituir 177 cadeias de isoladores de mesma classe tensão-tipo-material-composição das 27 est 001/1;001/1D;001/2;001/2D;001/3D;002/1;002/1D;002/2;003/1;003/1D;003/2;003/2D;003/3;004/1;004/1D;004/2;004/2D;004/3;005/1;005/1D;005/2;005/2D;005/3D;006/1;006/2;CGD;CGT</t>
  </si>
  <si>
    <t>FT LT 230 kV C.GRANDE III /C.GRANDE II C-3 PB</t>
  </si>
  <si>
    <t>0003515/2020</t>
  </si>
  <si>
    <t>FT LT 230 kV C.GRANDE III /C.GRANDE II C-2 PB</t>
  </si>
  <si>
    <t>0003511/2020</t>
  </si>
  <si>
    <t>LT 230 kV C.GRANDE III /EXTREMOZ II PB/RN - 230</t>
  </si>
  <si>
    <t>Substituir 15 cadeias de isoladores de mesma classe tensão-tipo-material-composição das 4 est. 158/2;159/1;163/1;177/2</t>
  </si>
  <si>
    <t>FT LT 230 kV C.GRANDE III /EXTREMOZ II C-1 PB/RN</t>
  </si>
  <si>
    <t>0003528/2020</t>
  </si>
  <si>
    <t>LT SOBRADINHO - S.J.PIAUÍ (05C5) - 500</t>
  </si>
  <si>
    <t>Substituir 212 cadeias de isoladores de mesma classe tensão-tipo-material-composição das 41 est 01/1;01/2;04/2;13/2;14/1;14/2;15/1;16/2;17/2;18/1;18/2;19/1;19/2;20/1;20/2;21/1;22/1;22/2;23/1;23/2;26/1;30/1;31/1;36/2;43/2;44/1;44/2;48/2;50/1;50/2;51/1;52/1;52/2;53/1;54/1;54/2;56/1;59/2;60/1;60/2;61/1</t>
  </si>
  <si>
    <t>LT 500 kV U.SOBRADINHO /S.JOAO PIAUI C-1 BA/PI</t>
  </si>
  <si>
    <t>0003535/2020</t>
  </si>
  <si>
    <t>LT  500 kV US. L.GONZAGA/U.SOBRADINHO  PE/BA - 500</t>
  </si>
  <si>
    <t>Substituir 184 cadeias de isoladores de mesma classe tensão-tipo-material-composição das 34 est 001/3;003/1;004/1;005/1;011/1;011/2;012/1;012/2;018/1;018/2;019/1;020/1;020/2;033/1;036/2;037/1;037/2;038/1;039/1;039/2;040/1;041/1;041/2;042/1;042/2;043/1;044/2;045/1;064/1;064/2;067/2;072/1;072/2;073/1</t>
  </si>
  <si>
    <t>FT LT 500 kV US. L.GONZAGA /U.SOBRADINHO C-2 PE/BA</t>
  </si>
  <si>
    <t>0003536/2020</t>
  </si>
  <si>
    <t>Substituir 152 cadeias de isoladores de mesma classe tensão-tipo-material-composição das 35 est 01/3;02/1;05/1;05/2;06/1;06/3;010/1;010/2;011/1;012/1;012/2;013/1;014/2;016/1;016/2;017/1;017/2;018/1;020/2;023/1;025/1;026/2;027/2;029/2;030/2;032/1;032/2;033/1;033/2;034/1;034/2;035/1;035/2;035/3;038/2</t>
  </si>
  <si>
    <t>0003542/2020</t>
  </si>
  <si>
    <t>Substituir 148 cadeias de isoladores de mesma classe tensão-tipo-material-composição das 34 est 185/2;186/1;189/2;190/1;199/1;203/1;210/1;214/2;215/2;217/1;217/2;218/1;218/2;222/2;225/1;225/2;226/1;226/2;227/1;227/2;228/1;228/2;229/1;229/2;230/1;230/2;231/1;231/2;232/1;232/2;233/1;233/2;234/1;234/2</t>
  </si>
  <si>
    <t>0003541/2020</t>
  </si>
  <si>
    <t>LT OLINDINA - CAMAÇARI II (05L5) - 500</t>
  </si>
  <si>
    <t>Substituir 148 cadeias de isoladores de mesma classe tensão-tipo-material-composição das 35 est 14/2;15/2;52/1;52/2;53/1;053/2;054/1;054/2;055/1;055/2;055/3;056/1;056/2;057/1;057/2;058/1;058/2;059/1;059/2;060/1;060/2;061/1;061/2;061/3;062/1;062/2;063/1;063/2;064/1;064/2;065/1;065/2;066/1;066/2;066/3</t>
  </si>
  <si>
    <t>LT 500 kV OLINDINA /CAMACARI II C-2 BA</t>
  </si>
  <si>
    <t>0003666/2020</t>
  </si>
  <si>
    <t>Substituir 44 cadeias de isoladores de mesma classe tensão-tipo-material-composição das 7 est 067/1;067/2;067/3;068/1;068/2;068/3;069/1</t>
  </si>
  <si>
    <t>0003667/2020</t>
  </si>
  <si>
    <t>LT FORTALEZA II - CAUÍPE (04S1) - 230</t>
  </si>
  <si>
    <t xml:space="preserve">Substituir 153 cadeias isoladores mesma classe tensão-tipo-material-composição das 31 est 001/1D;001/2D;001/3D;002/1D;002/2D;003/1D;003/2D;003/3D;004/1D;005/1D;005/2D;006/1D;006/2D;007/1D;007/2D;008/1D;008/2D;009/1D;009/2D;009/3D;010/1D;170/1;170/2;171/1;171/2;172/1;172/2;173/1;173/2;174/1;174/2 </t>
  </si>
  <si>
    <t>LT 230 kV CAUIPE /FORTALEZA II C-3 CE</t>
  </si>
  <si>
    <t>0003668/2020</t>
  </si>
  <si>
    <t xml:space="preserve">Substituir 141 cadeias isoladores mesma classe tensão-tipo-material-composição das 35 est 174/3;175/1;175/2;176/1;176/2;177/1;177/2;178/1;178/2;179/1;179/2;180/1;180/2;180/3;181/1;182/1;182/2;183/1;183/2;184/1;184/2;184/3;185/1;185/2;186/1;186/2;187/1;187/2;187/3;188/1;188/2;189/1;189/2;190/1;190/2 </t>
  </si>
  <si>
    <t>0003669/2020</t>
  </si>
  <si>
    <t>LT FORTALEZA II - D. GOUVEIA (04F5) - 230</t>
  </si>
  <si>
    <t xml:space="preserve">Substituir 291 cadeias isoladores mesma classe tensão-tipo-material-composição das 35 est 001/1;001/2;001/3;001/4;001/5;001/6;002/1;002/2;002/3;002/4;002/5;002/6;003/1;003/2;003/3;003/4;003/5;003/6;003/7;004/1;004/2;004/3;004/4;004/5;004/6;004/7;005/1;005/2;005/3;005/4;005/5;005/6;006/1;006/2;006/3 </t>
  </si>
  <si>
    <t>LT 230 kV DELM. GOUVEIA/FORTALEZA II C-1 CE</t>
  </si>
  <si>
    <t>0003671/2020</t>
  </si>
  <si>
    <t>LT FORTALEZA II - D. GOUVEIA (04F4) - 230</t>
  </si>
  <si>
    <t>LT 230 kV DELM. GOUVEIA/FORTALEZA II C-2 CE</t>
  </si>
  <si>
    <t>0003672/2020</t>
  </si>
  <si>
    <t>LT SOBRAL II - CAUÍPE (04S2) - 230</t>
  </si>
  <si>
    <t xml:space="preserve">Substituir 186 cadeias isoladores mesma classe tensão-tipo-material-composição das 34 est 007/3;008/1;008/1D;008/2;008/2D;008/3;009/1;009/1D;009/2;009/2D;009/3D;010/1;010/1D;010/2;011/1;011/2;012/1;012/2;013/1;013/2;013/3;014/1;014/2;015/1;015/2;016/1;016/2;016/3;017/1;017/2;018/1;018/2;019/1;019/2 </t>
  </si>
  <si>
    <t>LT 230 kV CAUIPE /SOBRAL II C-1 CE</t>
  </si>
  <si>
    <t>0003675/2020</t>
  </si>
  <si>
    <t xml:space="preserve">Substituir 204 cadeias de isoladores de mesma classe tensão-tipo-material-composição das 32 est 1/1;1/1D;001/2;001/2D;001/3;001/3D;001/4;001/5;002/1;002/1D;002/2;002/2D;003/1;003/1D;003/2D;003/3D;004/1;004/1D;004/2;005/1;005/1D;005/2;005/2D;006/1;006/1D;006/2;006/2D;006/3;007/1;007/1D;007/2;007/2D </t>
  </si>
  <si>
    <t>0003674/2020</t>
  </si>
  <si>
    <t xml:space="preserve">Substituir 129 cadeias isoladores mesma classe tensão-tipo-material-composição das 35 est 020/1;020/2;021/1;021/2;021/3;022/1;023/1;023/2;024/1;024/2;024/3;025/1;025/2;026/1;026/2;027/1;027/2;028/1;028/2;029/1;029/2;029/3;030/1;030/2;031/1;031/2;031/3;032/1;032/2;032/3;033/1;033/2;034/1;034/2;035/1 </t>
  </si>
  <si>
    <t>0003676/2020</t>
  </si>
  <si>
    <t xml:space="preserve">Substituir 165 cadeias isoladores mesma classe tensão-tipo-material-composição das 35 est 035/2;035/3;036/1;036/2;037/1;037/2;038/1;038/2;039/1;039/2;039/3;040/1;040/2;041/1;041/2;042/1;042/2;043/1;043/2;043/3;044/1;044/2;044/3;045/1;045/2;046/1;046/2;047/1;047/2;047/3;048/1;048/2;048/3;049/1;049/2 </t>
  </si>
  <si>
    <t>0003677/2020</t>
  </si>
  <si>
    <t xml:space="preserve">Substituir 177 cadeias isoladores mesma classe tensão-tipo-material-composição das 35 est 049/3;050/1;050/2;051/1;051/2;052/1;052/2;052/3;053/1;053/2;053/3;054/1;054/2;055/1;055/2;056/1;056/2;057/1;057/2;058/1;058/2;058/3;059/1;059/2;060/1;060/2;060/3;061/1;061/2;062/1;062/2;062/3;063/1;063/2;064/1 </t>
  </si>
  <si>
    <t>0003678/2020</t>
  </si>
  <si>
    <t xml:space="preserve">Substituir 129 cadeias isoladores mesma classe tensão-tipo-material-composição das 35 est 064/2;064/3;065/1;065/2;065/3;066/1;066/2;067/1;067/2;067/3;068/1;068/2;068/3;069/1;069/2;069/3;070/1;070/2;071/1;071/2;072/1;072/2;072/3;073/1;073/2;074/1;074/2;074/3;075/1;075/2;075/3;076/1;076/2;076/3;077/1 </t>
  </si>
  <si>
    <t>0003679/2020</t>
  </si>
  <si>
    <t>REATOR 500 kV PDRE7-05 FASE A</t>
  </si>
  <si>
    <t>0010005/2016</t>
  </si>
  <si>
    <t>REATOR 500 kV PDRE7-05 FASE B</t>
  </si>
  <si>
    <t>0010006/2016</t>
  </si>
  <si>
    <t>REATOR 500 kV PDRE7-05 FASE V</t>
  </si>
  <si>
    <t>0010007/2016</t>
  </si>
  <si>
    <t>REATOR 500 kV PDRE7-06 FASE A</t>
  </si>
  <si>
    <t>0010008/2016</t>
  </si>
  <si>
    <t>REATOR 500 kV PDRE7-06 FASE B</t>
  </si>
  <si>
    <t>0010009/2016</t>
  </si>
  <si>
    <t>REATOR 500 kV PDRE7-06 FASE V</t>
  </si>
  <si>
    <t>0010011/2016</t>
  </si>
  <si>
    <t>REATOR 500 kV PDRE7-04 FASE A</t>
  </si>
  <si>
    <t>0010016/2016</t>
  </si>
  <si>
    <t>REATOR 500 kV PDRE7-04 FASE B</t>
  </si>
  <si>
    <t>0010017/2016</t>
  </si>
  <si>
    <t>REATOR 500 kV PDRE7-04 FASE V</t>
  </si>
  <si>
    <t>0010019/2016</t>
  </si>
  <si>
    <t>Substituir 230 cadeias isoladores mesma classe tensão-tipo-material-composição das 35 est 001/1;001/2;001/3;002/3;003/1;003/2;004/1;004/2;005/1;005/2;006/1;006/2;006/3;008/1;008/2;008/3;009/1;009/3;010/1;010/2;010/3;011/1;011/2;012/1;012/2;013/1;013/2;014/1;014/2;015/1;015/2;015/3;018/1;018/2;020/1</t>
  </si>
  <si>
    <t>0005543/2020</t>
  </si>
  <si>
    <t>Substituir 230 cadeias isoladores mesma classe tensão-tipo-material-composição das 35 est 020/2;021/1;021/2;022/1;022/2;023/2;024/1;024/2;025/1;026/3;027/2;028/1;028/2;029/2;030/3;032/1;032/2;032/3;033/2;033/3;034/1;034/2;035/1;035/3;036/1;036/2;036/3;037/1;038/2;038/3;039/1;039/3;040/3;041/2;041/3</t>
  </si>
  <si>
    <t>0005566/2020</t>
  </si>
  <si>
    <t>Substituir 140 cadeias isoladores mesma classe tensão-tipo-material-composição das 35 est 041/4;042/1;042/2;042/3;043/2;044/1;044/2;044/3;045/2;046/1;046/2;047/1;047/2;047/3;048/2;048/3;048/4;049/1;049/2;049/3;050/2;050/3;051/1;051/3;052/1;052/2;053/1;053/2;053/3;054/3;055/1;055/2;055/3;056/1;056/2</t>
  </si>
  <si>
    <t>0005569/2020</t>
  </si>
  <si>
    <t>LT L. GONZAGA - OLINDINA (05S4) - 500</t>
  </si>
  <si>
    <t>Substituir 326 cadeias isoladores mesma classe tensão-tipo-material-composição das 35 est 001/2;003/1;006/3;020/1;024/2;025/1;026/1;026/2;027/1;027/3;028/1;028/2;029/1;029/3;030/2;031/1;031/2;032/1;032/2;032/3;033/1;033/2;034/1;034/2;034/3;035/1;035/2;036/1;036/2;036/3;037/1;037/2;037/3;037/4;037/5</t>
  </si>
  <si>
    <t>0005575/2020</t>
  </si>
  <si>
    <t>Substituir 158 cadeias isoladores mesma classe tensão-tipo-material-composição das 35 est 038/2;038/3;038/4;039/1;039/2;039/3;040/1;040/2;040/3;040/4;041/1;041/2;041/3;042/1;042/2;042/3;042/4;043/1;043/2;043/3;044/1;044/2;044/3;044/4;045/1;045/2;045/3;046/1;046/2;046/3;046/4;047/1;047/2;047/3;048/1</t>
  </si>
  <si>
    <t>0005599/2020</t>
  </si>
  <si>
    <t>Substituir 158 cadeias isoladores mesma classe tensão-tipo-material-composição das 35 est 059/3;060/1;060/2;060/3;061/1;061/2;061/3;061/4;062/1;062/2;062/3;063/1;063/2;063/3;063/4;064/1;064/2;064/3;065/1;065/2;065/3;065/4;066/1;066/2;066/3;067/1;067/2;067/3;068/1;068/2;068/3;068/4;069/1;069/2;069/3</t>
  </si>
  <si>
    <t>0005603/2020</t>
  </si>
  <si>
    <t>Substituir 158 cadeias isoladores mesma classe tensão-tipo-material-composição das 35 est 048/2;048/3;049/1;049/2;049/3;050/1;050/2;050/3;050/4;051/1;051/3;052/1;052/2;052/3;053/1;053/2;053/3;054/1;054/2;054/3;054/4;055/1;055/2;055/3;056/1;056/2;056/3;056/4;057/1;057/2;058/1;058/2;058/3;059/1;059/2</t>
  </si>
  <si>
    <t>0005602/2020</t>
  </si>
  <si>
    <t>Substituir 140 cadeias isoladores mesma classe tensão-tipo-material-composição das 35 est 016/1;016/2;017/1;017/2;018/1;018/2;019/1;019/2;020/1;020/2;021/1;021/2;022/1;022/2;022/3;023/1;023/2;024/1;024/2;025/1;025/2;026/1;026/2;026/3;027/1;027/2;028/1;028/2;029/1;029/2;030/1;030/2;031/1;031/2;032/1</t>
  </si>
  <si>
    <t>0005620/2020</t>
  </si>
  <si>
    <t>Substituir 200 cadeias isoladores mesma classe tensão-tipo-material-composição das 35 est 001/1;001/2;001/3;001/4;002/1;002/2;002/3;003/1;003/2;004/1;004/2;005/1;005/2;006/1;006/2;007/1;007/2;007/3;008/1;008/2;009/1;009/2;010/1;010/2;011/1;011/2;012/1;012/2;013/1;013/2;014/1;014/2;014/3;015/1;015/2</t>
  </si>
  <si>
    <t>0005617/2020</t>
  </si>
  <si>
    <t>Substituir 140 cadeias isoladores mesma classe tensão-tipo-material-composição das 35 est 032/2;032/3;033/1;033/2;034/1;034/2;035/1;035/2;036/1;036/2;036/3;037/1;037/2;038/1;038/2;039/1;039/2;040/1;040/2;040/3;041/1;041/2;042/1;042/2;043/1;043/2;044/1;044/2;045/1;045/2;045/3;046/1;046/2;047/1;047/2</t>
  </si>
  <si>
    <t>0005623/2020</t>
  </si>
  <si>
    <t>LT MILAGRES - QUIXADÁ (05V3) - 500</t>
  </si>
  <si>
    <t>Substituir 267 cadeias de isoladores de mesma classe tensão-tipo-material-composição das 34 est 123/1;123/2;123/3;124/1;125/1;125/2;126/1;126/2;127/1;127/2;128/1;128/2;129/1;129/2;130/1;130/2;131/1;131/2;132/1;137/1;137/2;138/1;138/2;141/1;141/2;142/1;142/2;143/1;143/2;143/3;146/2;147/1;147/2;148/1</t>
  </si>
  <si>
    <t>LT 500 kV MILAGRES /QUIXADA C-1 CE</t>
  </si>
  <si>
    <t>0005624/2020</t>
  </si>
  <si>
    <t>LT 500 kV TIANGUA II /SOBRAL III CE - 500</t>
  </si>
  <si>
    <t>Substituir 205 cadeias de isoladores de mesma classe tensão-tipo-material-composição das 33 est 303/2;305/2;306/2;317/2;318/2;319/1;319/2;320/1;320/2;321/1;321/2;322/1;322/2;323/1;323/2;324/1;324/2;325/1;325/2;326/1;326/2;327/1;327/2;328/1;328/2;329/1;329/2;329/3;330/1;330/2;330/3;331/1;331/2</t>
  </si>
  <si>
    <t>FT LT 500 kV TIANGUA II /SOBRAL III C-1 CE</t>
  </si>
  <si>
    <t>0005628/2020</t>
  </si>
  <si>
    <t>AMPLIAÇÃO DO SISTEMA REGISTRADOR DE PERTURBAÇÃO, RDP, DA LINHA DE TRANSMISSÃO PARA DO TIPO ONDAS VIAJANTES DA EL 500 kV SAO LUIS II LT 500 kV SAO LUIS II /MIRANDA II C-2 MA.</t>
  </si>
  <si>
    <t>0005834/2020</t>
  </si>
  <si>
    <t>AMPLIAÇÃO DO SISTEMA REGISTRADOR DE PERTURBAÇÃO, RDP, DA LINHA DE TRANSMISSÃO PARA DO TIPO ONDAS VIAJANTES DA EL 500 kV SAO LUIS II LT 500 kV SAO LUIS II /MIRANDA II C-1 MA.</t>
  </si>
  <si>
    <t>0005835/2020</t>
  </si>
  <si>
    <t>AMPLIAÇÃO DO SISTEMA REGISTRADOR DE PERTURBAÇÃO, RDP, DA LINHA DE TRANSMISSÃO PARA DO TIPO ONDAS VIAJANTES DA EL 500 kV P.DUTRA LT 500 kV IMPERATRIZ /P.DUTRA C-2 MA.</t>
  </si>
  <si>
    <t>0005836/2020</t>
  </si>
  <si>
    <t>AMPLIAÇÃO DO SISTEMA REGISTRADOR DE PERTURBAÇÃO, RDP, DA LINHA DE TRANSMISSÃO PARA DO TIPO ONDAS VIAJANTES DA EL 500 kV P.DUTRA LT 500 kV IMPERATRIZ /P.DUTRA C-1 MA.</t>
  </si>
  <si>
    <t>0005837/2020</t>
  </si>
  <si>
    <t>AMPLIAÇÃO DO SISTEMA REGISTRADOR DE PERTURBAÇÃO, RDP, DA LINHA DE TRANSMISSÃO PDSO-LT701 PARA DO TIPO ONDAS VIAJANTES DA EL 500 kV P.DUTRA LT 500 kV MIRANDA II /P.DUTRA C-1 MA.</t>
  </si>
  <si>
    <t>LT 500 kV MIRANDA II /P.DUTRA C-1 MA</t>
  </si>
  <si>
    <t>0005838/2020</t>
  </si>
  <si>
    <t>AMPLIAÇÃO DO SISTEMA REGISTRADOR DE PERTURBAÇÃO, RDP, DA LINHA DE TRANSMISSÃO PARA DO TIPO ONDAS VIAJANTES DA EL 500 kV P.DUTRA LT 500 kV MIRANDA II /P.DUTRA C-2 MA.</t>
  </si>
  <si>
    <t>0005839/2020</t>
  </si>
  <si>
    <t>AMPLIAÇÃO DO SISTEMA REGISTRADOR DE PERTURBAÇÃO, RDP, DA LINHA DE TRANSMISSÃO PARA DO TIPO ONDAS VIAJANTES DA EL 500 kV IMPERATRIZ LT 500 kV IMPERATRIZ /COLINAS C-1 MA/TO.</t>
  </si>
  <si>
    <t>0005840/2020</t>
  </si>
  <si>
    <t>AMPLIAÇÃO DO SISTEMA REGISTRADOR DE PERTURBAÇÃO, RDP, DA LINHA DE TRANSMISSÃO PARA DO TIPO ONDAS VIAJANTES DA EL 500 kV IMPERATRIZ LT 500 kV IMPERATRIZ /MARABA C-2 MA/PA.</t>
  </si>
  <si>
    <t>0005841/2020</t>
  </si>
  <si>
    <t>AMPLIAÇÃO DO SISTEMA REGISTRADOR DE PERTURBAÇÃO, RDP, DA LINHA DE TRANSMISSÃO PARA DO TIPO ONDAS VIAJANTES DA EL 500 kV IMPERATRIZ LT 500 kV IMPERATRIZ /MARABA C-1 MA/PA.</t>
  </si>
  <si>
    <t>0005842/2020</t>
  </si>
  <si>
    <t>AMPLIAÇÃO DO SISTEMA REGISTRADOR DE PERTURBAÇÃO, RDP, DA LINHA DE TRANSMISSÃO PARA DO TIPO ONDAS VIAJANTES DA EL 500 kV IMPERATRIZ LT 500 kV IMPERATRIZ /P.DUTRA C-2 MA.</t>
  </si>
  <si>
    <t>0005843/2020</t>
  </si>
  <si>
    <t>0005845/2020</t>
  </si>
  <si>
    <t>AMPLIAÇÃO DO SISTEMA REGISTRADOR DE PERTURBAÇÃO, RDP, DA LINHA DE TRANSMISSÃO PARA DO TIPO ONDAS VIAJANTES DA EL 500 kV IMPERATRIZ LT 500 kV IMPERATRIZ /P.DUTRA C-1 MA.</t>
  </si>
  <si>
    <t>0005844/2020</t>
  </si>
  <si>
    <t>0005846/2020</t>
  </si>
  <si>
    <t>LT 500 kV MIRANDA II /P.DUTRA MA - 500</t>
  </si>
  <si>
    <t>AMPLIAÇÃO DO SISTEMA REGISTRADOR DE PERTURBAÇÃO, RDP, DA LINHA DE TRANSMISSÃO PARA DO TIPO ONDAS VIAJANTES DA LT 500 kV MIRANDA II /P.DUTRA C-2 MA</t>
  </si>
  <si>
    <t>LT 500 kV MIRANDA II /P.DUTRA MA</t>
  </si>
  <si>
    <t>0005848/2020</t>
  </si>
  <si>
    <t>AMPLIAÇÃO DO SISTEMA REGISTRADOR DE PERTURBAÇÃO, RDP, DA LINHA DE TRANSMISSÃO PARA DO TIPO ONDAS VIAJANTES DA LT 500 kV MIRANDA II /P.DUTRA C-1 MA</t>
  </si>
  <si>
    <t>0005847/2020</t>
  </si>
  <si>
    <t>Substituição do Sistema de Proteção, Comando, Controle e Supervisão - SPCS do Serviço Auxiliar da SE Carajás - Cadeias Principal e Alternada</t>
  </si>
  <si>
    <t>0005849/2020</t>
  </si>
  <si>
    <t>INTEGRADORA</t>
  </si>
  <si>
    <t>Substituição da Unidade de Supervisão e Comando do Automatismo do Grupo Gerador Diesel (Quadro Completo)</t>
  </si>
  <si>
    <t>MG INTEGRADORA / CCO-2001-058 - RB</t>
  </si>
  <si>
    <t>0005852/2020</t>
  </si>
  <si>
    <t>SUBSTITUIÇÃO DO SISTEMA DE PROTEÇÃO E AUTOMAÇÃO (UPC) - TCTU-LT4-01.</t>
  </si>
  <si>
    <t>0005854/2020</t>
  </si>
  <si>
    <t>Substituição da Unidade de Comando, Controle e Supervisão De Linha de Transmissão</t>
  </si>
  <si>
    <t>LT 230 kV CARAJAS /INTEGRADORA C-3 PA</t>
  </si>
  <si>
    <t>0005855/2020</t>
  </si>
  <si>
    <t>LT 230 kV CARAJAS /INTEGRADORA C-2 PA</t>
  </si>
  <si>
    <t>0005856/2020</t>
  </si>
  <si>
    <t>Substituição da Proteção, Comando, Controle e Supervisão - SPCS da LT 230 kV Carajás - Integradora C1 (CJIG-LT6-01).</t>
  </si>
  <si>
    <t>LT 230 kV CARAJAS /INTEGRADORA C-1 PA</t>
  </si>
  <si>
    <t>0005857/2020</t>
  </si>
  <si>
    <t>Substituição da Proteção, Comando, Controle e Supervisão do Bay de Interligação de Barras (IB 230 kV MG 230 kV CARAJAS MG1 PA IB1) (CJDB6-01)</t>
  </si>
  <si>
    <t>0005860/2020</t>
  </si>
  <si>
    <t>Substituição do Quadro e Equipamentos de Supervisão e Comando do Automatismo do Grupo Diesel Gerador- GDG -01 380/220 V - 115 kVA</t>
  </si>
  <si>
    <t>0005858/2020</t>
  </si>
  <si>
    <t>Substituição da Proteção, Comando, Controle e Supervisão - SPCS de Banco de Capacitor (CJBC6-01).</t>
  </si>
  <si>
    <t>BC 230 kV 30 Mvar CARAJAS BC1 PA</t>
  </si>
  <si>
    <t>0005861/2020</t>
  </si>
  <si>
    <t>SUB CARAJAS - 230</t>
  </si>
  <si>
    <t>Substituição da Proteção, Comando, Controle e Supervisão - SPCS da LT 230 kV Carajás - Integradora C3 (CJIG-LT6-03).</t>
  </si>
  <si>
    <t>0005862/2020</t>
  </si>
  <si>
    <t>Substituição da Proteção, Comando, Controle e Supervisão - SPCS da LT 230 kV Carajás - Integradora C2 (CJIG-LT6-02).</t>
  </si>
  <si>
    <t>0005863/2020</t>
  </si>
  <si>
    <t>0005864/2020</t>
  </si>
  <si>
    <t>Substituição da Proteção, Comando, Controle e Supervisão do Serviço Auxiliar - Principal e Alternada</t>
  </si>
  <si>
    <t>0005865/2020</t>
  </si>
  <si>
    <t>Substituição dos IEDs conectados no SICAM de 500kV</t>
  </si>
  <si>
    <t>0005920/2020</t>
  </si>
  <si>
    <t>SUBSTITUIÇÃO PÁRA-RAIOS 69 KV - TCTU-LT4-01</t>
  </si>
  <si>
    <t>0005932/2020</t>
  </si>
  <si>
    <t>Substituição do Disjuntor MBDJ6-06.</t>
  </si>
  <si>
    <t>LT 230 kV MARABA /CARAJAS</t>
  </si>
  <si>
    <t>0006000/2020</t>
  </si>
  <si>
    <t>Substituição do Disjuntor MBDJ7-06.</t>
  </si>
  <si>
    <t>0006010/2020</t>
  </si>
  <si>
    <t xml:space="preserve">SUB CARAJAS - </t>
  </si>
  <si>
    <t>Substituição de painéis QSACA e QSACC, Cubículos de disjuntores de 13,8kV, Retificadores do serviço auxiliar da SE Carajás</t>
  </si>
  <si>
    <t>MG 230 kV CARAJAS MG1 PA</t>
  </si>
  <si>
    <t>0006018/2020</t>
  </si>
  <si>
    <t>Substituição de bucha 230kV do transformador VCTF6-01.</t>
  </si>
  <si>
    <t>0006022/2020</t>
  </si>
  <si>
    <t>SUBSTITUIÇÃO DO DISJUNTOR TRIPOLAR 69 KV - TCDJ4-07</t>
  </si>
  <si>
    <t>0006082/2020</t>
  </si>
  <si>
    <t>Substituição do disjuntor 500 KV - TCDJ7-03</t>
  </si>
  <si>
    <t>RTB 500 kV 50 Mvar TUCURUI RT1 PA</t>
  </si>
  <si>
    <t>0006096/2020</t>
  </si>
  <si>
    <t>Substituição do disjuntor TCDJ7-08</t>
  </si>
  <si>
    <t>0006120/2020</t>
  </si>
  <si>
    <t>Substituição do disjuntor TCDJ7-05</t>
  </si>
  <si>
    <t>0006160/2020</t>
  </si>
  <si>
    <t>Substituição do disjuntor TCDJ7-12</t>
  </si>
  <si>
    <t>0006194/2020</t>
  </si>
  <si>
    <t>SUBSTITUIR O TRANSFORMADOR DE CORRENTE FASE V</t>
  </si>
  <si>
    <t>0006252/2020</t>
  </si>
  <si>
    <t>SUBSTITUIÇÃO DOS RELÉS AUXILIARES DO DISJUNTOR 15D2.</t>
  </si>
  <si>
    <t>0006266/2020</t>
  </si>
  <si>
    <t>SUBSTITUIÇÃO DOS RELÉS AUXILIARES DO DISJUNTOR 15T2.</t>
  </si>
  <si>
    <t>0006261/2020</t>
  </si>
  <si>
    <t>SUBSTITUIR O TRANSFORMADOR DE CORRENTE FASE B (MRTF6-02)</t>
  </si>
  <si>
    <t>0006271/2020</t>
  </si>
  <si>
    <t>SUBSTITUIÇÃO DOS RELÉS AUXILIARES DO DISJUNTOR RGDB6-01.</t>
  </si>
  <si>
    <t>FT MG 500 kV RIB.GONCALVES MG3 PI</t>
  </si>
  <si>
    <t>0006270/2020</t>
  </si>
  <si>
    <t>ARARAQUARA 2</t>
  </si>
  <si>
    <t>Instalação de sistemas de monitoramento on-line de gases dissolvido no óleo, no transformador TF2Y FASE C da subestação Araraquara II, em Araraquara - SP.</t>
  </si>
  <si>
    <t>POLO 2 CC SE ARARAQUARA 2 CV2 SP</t>
  </si>
  <si>
    <t>0007118/2019</t>
  </si>
  <si>
    <t>Instalação cabo OPGW</t>
  </si>
  <si>
    <t>0007120/2019</t>
  </si>
  <si>
    <t>Instalação de sistemas de monitoramento on-line de gases dissolvido no óleo, no transformador TF2Y FASE B da subestação Araraquara II, em Araraquara - SP.</t>
  </si>
  <si>
    <t>0007114/2019</t>
  </si>
  <si>
    <t>C.PORTO VELHO</t>
  </si>
  <si>
    <t>Instalação de sistema de monitoramento de temperatura de óleo e enrolamento digital, no transformador CTTF-05-FASE A da subestação Coletora, em Porto Velho RO.</t>
  </si>
  <si>
    <t>POLO 2 500 kV C.PORTO VELHO CV5 RO</t>
  </si>
  <si>
    <t>0007122/2019</t>
  </si>
  <si>
    <t>CASTANHAL</t>
  </si>
  <si>
    <t>Ampliação e modernização da rede de cabos ópticos da Eletronorte</t>
  </si>
  <si>
    <t>FT LT 230 kV CASTANHAL /SANTA MARIA C-2 PA</t>
  </si>
  <si>
    <t>0007135/2019</t>
  </si>
  <si>
    <t>Instalação de sistema de monitoramento de temperatura de óleo e enrolamento digital, no transformador CTTF-05-FASE V da subestação Coletora, em Porto Velho RO.</t>
  </si>
  <si>
    <t>0007133/2019</t>
  </si>
  <si>
    <t>Instalação de sistema de monitoramento de temperatura de óleo e enrolamento digital, no transformador CTTF-06-FASE B da subestação Coletora, em Porto Velho RO.</t>
  </si>
  <si>
    <t>POLO 1 500 kV C.PORTO VELHO CV6 RO</t>
  </si>
  <si>
    <t>0007139/2019</t>
  </si>
  <si>
    <t>Instalação de sistemas de sistema de monitoramento de temperatura de óleo e enrolamento digital, no transformador CTTF-05-FASE B da subestação Coletora, em Porto Velho RO.</t>
  </si>
  <si>
    <t>0007129/2019</t>
  </si>
  <si>
    <t>Instalação de sistema de monitoramento de temperatura de óleo e enrolamento digital, no transformador CTTF-06-FASE V da subestação Coletora, em Porto Velho RO.</t>
  </si>
  <si>
    <t>0007145/2019</t>
  </si>
  <si>
    <t>Instalação de sistema de monitoramento de temperatura de óleo e enrolamento digital, no transformador CTTF-06-FASE A da subestação Coletora, em Porto Velho RO.</t>
  </si>
  <si>
    <t>0007137/2019</t>
  </si>
  <si>
    <t>Instalação de sistema de monitoramento de temperatura de óleo e enrolamento digital, no transformador CTTF-11 da subestação Coletora, em Porto Velho RO.</t>
  </si>
  <si>
    <t>CV 37,8 KV BTB PORTO VELHO POLO 2</t>
  </si>
  <si>
    <t>0007165/2019</t>
  </si>
  <si>
    <t>Instalação de sistemas de sistema de monitoramento de temperatura de óleo e enrolamento digital, no transformador CTTF-08  da subestação Coletora, em Porto Velho RO.</t>
  </si>
  <si>
    <t>CV 37,8 KV BTB PORTO VELHO POLO 1</t>
  </si>
  <si>
    <t>0007151/2019</t>
  </si>
  <si>
    <t>SUBSTITUIÇÃO DO SISTEMA DE PROTEÇÃO DO TERMINAL AGL DA LT 04M3 AGL/RCD 230KV</t>
  </si>
  <si>
    <t>FT LT 230 kV ANGELIM /RECIFE II C-2 PE</t>
  </si>
  <si>
    <t>0007167/2019</t>
  </si>
  <si>
    <t>Instalação de sistema de monitoramento de temperatura de óleo e enrolamento digital, no transformador CTTF-10 da subestação Coletora, em Porto Velho RO.</t>
  </si>
  <si>
    <t>0007161/2019</t>
  </si>
  <si>
    <t>LT 230 kV TUCURUI /ALTAMIRA C-1 PA</t>
  </si>
  <si>
    <t>0007168/2019</t>
  </si>
  <si>
    <t>Instalação de sistema de monitoramento de temperatura de óleo e enrolamento digital, no transformador CTTF-12 da subestação Coletora, em Porto Velho RO.</t>
  </si>
  <si>
    <t>MG C.PORTO VELHO / CCO-2009-012 - RB</t>
  </si>
  <si>
    <t>0007170/2019</t>
  </si>
  <si>
    <t>0007163/2019</t>
  </si>
  <si>
    <t>Instalação de sistema de monitoramento de temperatura de óleo e enrolamento digital, no transformador CTTF-07 da subestação Coletora, em Porto Velho RO.</t>
  </si>
  <si>
    <t>MG C.PORTO VELHO / CCO-2009-010 - RB</t>
  </si>
  <si>
    <t>0007149/2019</t>
  </si>
  <si>
    <t>Instalação de sistema de monitoramento de temperatura de óleo e enrolamento digital, no transformador CTTF-09 da subestação Coletora, em Porto Velho RO.</t>
  </si>
  <si>
    <t>0007157/2019</t>
  </si>
  <si>
    <t>LT 500 kV TUCURUI /VILA DO CONDE C-1 PA</t>
  </si>
  <si>
    <t>0007178/2019</t>
  </si>
  <si>
    <t>BOA VISTA</t>
  </si>
  <si>
    <t>SUBSTITUIÇÃO DE QUADROS , SUBQUADROS E DO SISTEMA DE PROTEÇÃO,  MEDIÇÃO, CONTROLE E SUPERVISÃO DOS SERVIÇO AUXILIAR 125 VCC DA SE BOA VISTA</t>
  </si>
  <si>
    <t>MG BOA VISTA / CCO-2001-058 - RB</t>
  </si>
  <si>
    <t>0007186/2019</t>
  </si>
  <si>
    <t>SUBSTITUIÇÃO DE QUADROS , SUBQUADROS E DO SISTEMA PROTEÇÃO,  MEDIÇÃO, CONTROLE E SUPERVISÃO DOS SERVIÇO AUXILIAR 380 VAC DA SE BOA VISTA</t>
  </si>
  <si>
    <t>0007179/2019</t>
  </si>
  <si>
    <t>Instalação de sistema de monitoramento de temperatura de óleo e enrolamento digital, no transformador TF1Y FASE B da subestação Araraquara II, em Araraquara - SP.</t>
  </si>
  <si>
    <t>POLO 1 CC SE ARARAQUARA 2 CV1 SP</t>
  </si>
  <si>
    <t>0007187/2019</t>
  </si>
  <si>
    <t>Instalação de sistema de monitoramento de temperatura de óleo e enrolamento digital, no transformador TF1D FASE A da subestação Araraquara II, em Araraquara - SP.</t>
  </si>
  <si>
    <t>0007173/2019</t>
  </si>
  <si>
    <t>Instalação de sistema de monitoramento de temperatura de óleo e enrolamento digital, no transformador TF1D FASE B da subestação Araraquara II, em Araraqiara - SP.</t>
  </si>
  <si>
    <t>0007176/2019</t>
  </si>
  <si>
    <t>Instalação de sistema de monitoramento de temperatura de óleo e enrolamento digital, no transformador TF1D FASE C da subestação Araraquara II, em Araraquara - SP.</t>
  </si>
  <si>
    <t>0007184/2019</t>
  </si>
  <si>
    <t>0007182/2019</t>
  </si>
  <si>
    <t>Instalação de sistema de monitoramento de temperatura de óleo e enrolamento digital, no transformador TF2D FASE A da subestação Araraquara II, em Araraquara - SP.</t>
  </si>
  <si>
    <t>0007196/2019</t>
  </si>
  <si>
    <t>Instalação de sistema de monitoramento de temperatura de óleo e enrolamento digital, no transformador TF2D FASE B da subestação Araraquara II, em Araraquara - SP.</t>
  </si>
  <si>
    <t>0007201/2019</t>
  </si>
  <si>
    <t>SUBSTITUIÇÃO DO SISTEMA DE PROTEÇÃO DO TRAFO 04T3 230/69kV SE AGL</t>
  </si>
  <si>
    <t>FT TR 230/69 kV ANGELIM TR3 PE</t>
  </si>
  <si>
    <t>0007198/2019</t>
  </si>
  <si>
    <t>Instalação de sistema de monitoramento de temperatura de óleo e enrolamento digital, no transformador TF1Y FASE A da subestação Araraquara II, em Araraquara - SP.</t>
  </si>
  <si>
    <t>0007193/2019</t>
  </si>
  <si>
    <t>Instalaçãode sistema de monitoramento de temperatura de óleo e enrolamento digital, no transformador TF2D FASE C  da subestação Araraquara II, em Araraquara - SP.</t>
  </si>
  <si>
    <t>0007206/2019</t>
  </si>
  <si>
    <t>Instalação de sistema de monitoramento de temperatura de óleo e enrolamento digital, no transformador TF1Y FASE C da subestação Araraquara II, em Araraquara - SP.</t>
  </si>
  <si>
    <t>0007190/2019</t>
  </si>
  <si>
    <t>SUBSTITUIÇÃO DO SISTEMA DE PROTEÇÃO DO TRAFO 04T5 230/69kV SE AGL</t>
  </si>
  <si>
    <t>FT TR 230/69 kV ANGELIM TR5 PE</t>
  </si>
  <si>
    <t>0007203/2019</t>
  </si>
  <si>
    <t>Instalação de sistema de monitoramento de temperatura de óleo e enrolamento digital, no transformador TF2Y FASE A da subestação Araraquara II, em Araraquara - SP.</t>
  </si>
  <si>
    <t>0007209/2019</t>
  </si>
  <si>
    <t>SUBSTITUIÇÃO DO SISTEMA DE PROTEÇÃO DO TRAFO 04T6 230/69kV SE AGL</t>
  </si>
  <si>
    <t>FT TR 230/69 kV ANGELIM TR6 PE</t>
  </si>
  <si>
    <t>0007208/2019</t>
  </si>
  <si>
    <t>TACAIMBO</t>
  </si>
  <si>
    <t>SUBSTITUIÇÃO DO SISTEMA DE PROTEÇÃO DO TERMINAL TAC DA LT 04M4 TAC/AGL 230KV</t>
  </si>
  <si>
    <t>FT LT 230 kV ANGELIM /TACAIMBO C-1 PE</t>
  </si>
  <si>
    <t>0007224/2019</t>
  </si>
  <si>
    <t>Instalação de sistema de monitoramento de temperatura de óleo e enrolamento digital, no transformador TF2Y FASE B da subestação Araraquara II, em Araraquara - SP.</t>
  </si>
  <si>
    <t>0007213/2019</t>
  </si>
  <si>
    <t>Instalação de sistema de monitoramento de temperatura de óleo e enrolamento digital, no transformador TF2Y FASE C da subestação Araraquara II, em Araraquara - SP.</t>
  </si>
  <si>
    <t>0007214/2019</t>
  </si>
  <si>
    <t>SUBSTITUIÇÃO DO SISTEMA DE PROTEÇÃO DO TERMINAL TAC DA LT 04M5 TAC/AGL 230KV</t>
  </si>
  <si>
    <t>FT LT 230 kV ANGELIM /TACAIMBO C-2 PE</t>
  </si>
  <si>
    <t>0007228/2019</t>
  </si>
  <si>
    <t>MESSIAS</t>
  </si>
  <si>
    <t>SUBSTITUIÇÃO DO SISTEMA DE PROTEÇÃO DO TERMINAL MSI DA LT 04M7 MSI/AGL 230KV</t>
  </si>
  <si>
    <t>FT LT 230 kV ANGELIM /MESSIAS C-1 PE/AL</t>
  </si>
  <si>
    <t>0007279/2019</t>
  </si>
  <si>
    <t>RIBEIRAO</t>
  </si>
  <si>
    <t>SUBSTITUIÇÃO DO SISTEMA DE PROTEÇÃO DO TERMINAL RIB DA LT 04S1 RIB/AGL 230KV</t>
  </si>
  <si>
    <t>FT LT 230 kV ANGELIM /RIBEIRAO C-2 PE</t>
  </si>
  <si>
    <t>0007305/2019</t>
  </si>
  <si>
    <t>SUBSTITUIÇÃO DO SISTEMA DE PROTEÇÃO DO TERMINAL MSI DA LT 04M9 MSI/AGL 230KV</t>
  </si>
  <si>
    <t>FT LT 230 kV ANGELIM /MESSIAS C-3 PE/AL</t>
  </si>
  <si>
    <t>0007293/2019</t>
  </si>
  <si>
    <t>SUBSTITUIÇÃO DO SISTEMA DE PROTEÇÃO DO TERMINAL MSI DA LT 04M8 MSI/AGL 230KV</t>
  </si>
  <si>
    <t>FT LT 230 kV ANGELIM /MESSIAS C-2 PE/AL</t>
  </si>
  <si>
    <t>0007286/2019</t>
  </si>
  <si>
    <t>Implantação de Barra de Transferência e Painéis de Plugue no setor de 345kV e 138kV da SE Campinas.</t>
  </si>
  <si>
    <t>MG CAMPINAS / CCO-2001-062 - RB</t>
  </si>
  <si>
    <t>0007320/2019</t>
  </si>
  <si>
    <t>Substituição de equipamentos</t>
  </si>
  <si>
    <t>0007459/2019</t>
  </si>
  <si>
    <t>Painéis de Distribuição do serviço auxiliar de 220VCA.</t>
  </si>
  <si>
    <t>0007455/2019</t>
  </si>
  <si>
    <t>SUBSTITUIÇÃO DO SISTEMA DE PROTEÇÃO DO TRAFO 04T4 230/69kV.</t>
  </si>
  <si>
    <t>FT TR 230/69 kV C.GRANDE II TR4 PB</t>
  </si>
  <si>
    <t>0007457/2019</t>
  </si>
  <si>
    <t>SUBSTITUIÇÃO DO SISTEMA DE PROTEÇÃO DO TRAFO 04T3 230/69kV.</t>
  </si>
  <si>
    <t>FT TR 230/69 kV C.GRANDE II TR3 PB</t>
  </si>
  <si>
    <t>0007462/2019</t>
  </si>
  <si>
    <t>TUCURUI VILA</t>
  </si>
  <si>
    <t>Substituição de painéis de 125Vcc com vida útil esgotada</t>
  </si>
  <si>
    <t>MG 69 kV TUCURUI VILA MG1 PA</t>
  </si>
  <si>
    <t>0007473/2019</t>
  </si>
  <si>
    <t xml:space="preserve">SUB TUCURUÍ-VILA - </t>
  </si>
  <si>
    <t xml:space="preserve">MG 69 kV TUCURUI VILA MG1 PA </t>
  </si>
  <si>
    <t>0007471/2019</t>
  </si>
  <si>
    <t>SUB C.GRANDE II - 69</t>
  </si>
  <si>
    <t>SUBSTITUIÇÃO DO SISTEMA DE PROTEÇÃO DE 01 TERMINAL DE LT 02J1  CGD/CATOLÉ 69KV.</t>
  </si>
  <si>
    <t>LT 69 kV C.GRANDE II / CATOLE 02J1</t>
  </si>
  <si>
    <t>0007486/2019</t>
  </si>
  <si>
    <t>SUBSTITUIÇÃO DO SISTEMA DE PROTEÇÃO DE 01 TERMINAL DE LT 02J4  CGD/BVT 69KV.</t>
  </si>
  <si>
    <t>LT 69 kV C.GRANDE II / BVT 02J4</t>
  </si>
  <si>
    <t>0007507/2019</t>
  </si>
  <si>
    <t>SUBSTITUIÇÃO DO SISTEMA DE PROTEÇÃO DE 01 TERMINAL DE LT 02J2  CGD/AEROCLUBE 69KV.</t>
  </si>
  <si>
    <t>LT 69 kV C.GRANDE II / AEROCLUBE 02J2</t>
  </si>
  <si>
    <t>0007496/2019</t>
  </si>
  <si>
    <t>Substituição do conjunto de cadeias de isoladores de mesma classe de tensão, tipo, material e composição das estr: 000/1;001/1;001/2;001/3;001/3A;001/3B;002/1;002/2;002/3;002/4;003/1;003/2;004/1;004/2;004/3;005/1;005/2;006/1;006/2;007/1;007/2;007/3;008/1;008/2;009/1;009/2;010/1;010/2;010/3 = 29 Estr</t>
  </si>
  <si>
    <t>FT LT 230 kV C.GRANDE II /PARAISO C-1 PB/RN</t>
  </si>
  <si>
    <t>0007502/2019</t>
  </si>
  <si>
    <t>SUBSTITUIÇÃO DO SISTEMA DE PROTEÇÃO DE 01 TERMINAL DE LT 02J3  CGD/BORBOREMA 69KV.</t>
  </si>
  <si>
    <t>LT 69 kV C.GRANDE II / BORBOREMA 02J3</t>
  </si>
  <si>
    <t>0007499/2019</t>
  </si>
  <si>
    <t>SUBSTITUIÇÃO DO SISTEMA DE PROTEÇÃO DE 01 TERMINAL DE LT 02J7  CGD/AROEIRAS 69KV.</t>
  </si>
  <si>
    <t>LT 69 kV C.GRANDE II / AROEIRAS 02J7</t>
  </si>
  <si>
    <t>0007532/2019</t>
  </si>
  <si>
    <t>SUBSTITUIÇÃO DO SISTEMA DE PROTEÇÃO DE 01 TERMINAL DE LT 02J6  CGD/BOQUEIRÃO 69KV.</t>
  </si>
  <si>
    <t>LT 69 kV C.GRANDE II / BOQUEIRAO 02J6</t>
  </si>
  <si>
    <t>0007522/2019</t>
  </si>
  <si>
    <t>SUBSTITUIÇÃO DO SISTEMA DE PROTEÇÃO DE 01 TERMINAL DE LT 02J5  CGD/EMBRATEX 69KV.</t>
  </si>
  <si>
    <t>LT 69 kV C.GRANDE II / EMBRATEX 02J5</t>
  </si>
  <si>
    <t>0007513/2019</t>
  </si>
  <si>
    <t>SUBSTITUIÇÃO DO SISTEMA DE PROTEÇÃO DE 01 TERMINAL DE LT 02N1  CGD/BOA VISTA 69KV.</t>
  </si>
  <si>
    <t>LT 69 kV C.GRANDE II / BOA VISTA 02N1</t>
  </si>
  <si>
    <t>0007538/2019</t>
  </si>
  <si>
    <t>SUBSTITUIÇÃO DO SISTEMA DE PROTEÇÃO DE 01 TERMINAL DE LT 02N2  CGD/POCINHOS 69KV.</t>
  </si>
  <si>
    <t>LT 69 kV C.GRANDE II / POCINHOS 02N2</t>
  </si>
  <si>
    <t>0007547/2019</t>
  </si>
  <si>
    <t>SUBSTITUIÇÃO DO SISTEMA DE PROTEÇÃO E DISPOSITIVOS AUXILIARES DO TRAFO DE ATERRAMENTO 02A1 CGD 69KV</t>
  </si>
  <si>
    <t xml:space="preserve">TT 69kV C. GRANDE II 02A1 </t>
  </si>
  <si>
    <t>0007575/2019</t>
  </si>
  <si>
    <t>SUBSTITUIÇÃO DO SISTEMA DE PROTEÇÃO E DISPOSITIVOS AUXILIARES DO BANCO DE CAPACITORES 02H2 CGD 69KV</t>
  </si>
  <si>
    <t>BC 69kV C. GRANDE II 02H2</t>
  </si>
  <si>
    <t>0007588/2019</t>
  </si>
  <si>
    <t>0007585/2019</t>
  </si>
  <si>
    <t>SUBSTITUIÇÃO DO SISTEMA DE PROTEÇÃO DE 01 VÃO DE TRANSFERÊNCIA 12D1 SE CGD 69KV</t>
  </si>
  <si>
    <t>FT MG 230 kV C.GRANDE II MG1 PB</t>
  </si>
  <si>
    <t>0007570/2019</t>
  </si>
  <si>
    <t>SUBSTITUIÇÃO DO SISTEMA DE PROTEÇÃO E DISPOSITIVOS AUXILIARES DO BANCO DE CAPACITORES 02H1 CGD 69KV</t>
  </si>
  <si>
    <t>BC 69kV C. GRANDE II 02H1</t>
  </si>
  <si>
    <t>0007580/2019</t>
  </si>
  <si>
    <t>SUBSTITUIÇÃO DO SISTEMA DE PROTEÇÃO DO TRAFO 02T7 69/13,8kV.</t>
  </si>
  <si>
    <t>TR 69/13,8 kV C. GRANDE II PB</t>
  </si>
  <si>
    <t>0007591/2019</t>
  </si>
  <si>
    <t>Substituição do conjunto de cadeias de isoladores de mesma classe de tensão, tipo, material e composição das estr: 005/2D;005/1D;004/2D;004/1D;003/2D;003/1D;002/2D;002/1D;001/3D;001/2D;001/1D;007/1;007/2;008/1;008/2;008/3;009/1;009/2;010/1;010/2;011/1;011/2;012/1;012/2;013/1;013/2;014/1 = 27 Estr</t>
  </si>
  <si>
    <t>0007643/2019</t>
  </si>
  <si>
    <t>COREMAS</t>
  </si>
  <si>
    <t>SUBSTITUIÇÃO DO SISTEMA DE PROTEÇÃO DO TRAFO 04T1 230/69kV.</t>
  </si>
  <si>
    <t>FT TR 230/69 kV COREMAS TR1 PB</t>
  </si>
  <si>
    <t>0007629/2019</t>
  </si>
  <si>
    <t>Substituição do conjunto de cadeias de isoladores de mesma classe de tensão, tipo, material e composição das estr: 014/2;015/1;015/2;016/1;016/2;017/1;017/2;017/3;018/1;018/2;019/1;019/2;020/1;020/2;020/3;021/1;021/2;022/1;022/2;022/3;023/1;023/2;024/1;025/1;025/2;026/1;026/2;027/1;027/2; = 29 Estr</t>
  </si>
  <si>
    <t>0007648/2019</t>
  </si>
  <si>
    <t>Substituição do conjunto de cadeias de isoladores de mesma classe de tensão, tipo, material e composição das estr: 041/3;042/1;042/2;043/1;043/2;044/1;044/2;045/1;045/2;046/1;046/2;047/1;047/2;048/1;048/2;049/1;049/2;050/1;050/2;051/1;051/2;052/1;052/2;053/1;053/2;054/1;054/2;055/1;056/1; = 29 Estr</t>
  </si>
  <si>
    <t>0007661/2019</t>
  </si>
  <si>
    <t>Substituição do conjunto de cadeias de isoladores de mesma classe de tensão, tipo, material e composição das estr: 028/1;028/2;028/3;028/4;029/1;030/1;030/2;031/1;031/2;031/3;032/1;032/2;033/1;033/2;034/1;034/2;035/1;035/2;036/1;036/2;037/1;037/2;038/1;039/1;039/2;040/1;040/2;041/1;041/2; = 29 Estr</t>
  </si>
  <si>
    <t>0007653/2019</t>
  </si>
  <si>
    <t>SUBSTITUIÇÃO DO SISTEMA DE PROTEÇÃO DO TRAFO 04T2 230/69kV.</t>
  </si>
  <si>
    <t>FT TR 230/69 kV COREMAS TR2 PB</t>
  </si>
  <si>
    <t>0007672/2019</t>
  </si>
  <si>
    <t>Substituição do conjunto de cadeias de isoladores de mesma classe de tensão, tipo, material e composição das estr: 071/2;072/1;072/2;073/1;073/2;074/1;074/2;075/1;075/2;076/1;077/1;077/2;078/1;078/2;079/1;079/2;080/1;081/1;081/2;082/1;082/2;083/1;083/2;084/1;085/1;085/2;086/1;086/2;087/1; = 29 Estr</t>
  </si>
  <si>
    <t>0007682/2019</t>
  </si>
  <si>
    <t>Substituição do conjunto de cadeias de isoladores de mesma classe de tensão, tipo, material e composição das estr: 056/2;056/3;057/1;058/1;058/2;059/1;059/2;060/1;060/2;061/1;062/1;062/2;063/1;063/2;064/1;065/1;065/2;065/3;066/1;066/2;067/1;068/1;068/2;068/3;069/1;069/2;070/1;070/2;071/1; = 29 Estr</t>
  </si>
  <si>
    <t>0007667/2019</t>
  </si>
  <si>
    <t>SUBSTITUIÇÃO DO SISTEMA DE PROTEÇÃO DE 01 TERMINAL DE LT 02J2  CMA/POMBAL 69KV.</t>
  </si>
  <si>
    <t>LT 69 kV COREMAS / POMBAL 02J2</t>
  </si>
  <si>
    <t>0007680/2019</t>
  </si>
  <si>
    <t>Substituição do conjunto de cadeias de isoladores de mesma classe de tensão, tipo, material e composição das estr: 087/2;088/1;089/1;089/2;090/1;090/2;091/1;091/2;092/1;092/2;093/1;093/2;094/1;094/2;095/1;096/1;096/2;096/3;097/1;098/1;098/2;099/1;099/2;100/1;100/2 = 25 Estr</t>
  </si>
  <si>
    <t>0007686/2019</t>
  </si>
  <si>
    <t>SUBSTITUIÇÃO DO SISTEMA DE PROTEÇÃO DE 01 TERMINAL DE LT 02J1  CMA/POMBAL 69KV.</t>
  </si>
  <si>
    <t>LT 69 kV COREMAS / POMBAL 02J1</t>
  </si>
  <si>
    <t>0007678/2019</t>
  </si>
  <si>
    <t>SUBSTITUIÇÃO DO SISTEMA DE PROTEÇÃO DE 01 TERMINAL DE LT 02J3 CMA/MALTA 69KV.</t>
  </si>
  <si>
    <t>LT 69 kV COREMAS / MALTA 02J3</t>
  </si>
  <si>
    <t>0007687/2019</t>
  </si>
  <si>
    <t>SUBSTITUIÇÃO DO SISTEMA DE PROTEÇÃO DE 01 TERMINAL DE LT 02J9  CMA/DVS 69KV.</t>
  </si>
  <si>
    <t>LT 69 kV COREMAS / DVS 02J9</t>
  </si>
  <si>
    <t>0007697/2019</t>
  </si>
  <si>
    <t>SUBSTITUIÇÃO DO SISTEMA DE PROTEÇÃO DE 01 TERMINAL DE LT 02J5  CMA/CRM 69KV.</t>
  </si>
  <si>
    <t>LT 69 kV COREMAS / CRM 02J5</t>
  </si>
  <si>
    <t>0007691/2019</t>
  </si>
  <si>
    <t>LT 230 kV C.GRANDE III /NATAL III PB/RN - 230</t>
  </si>
  <si>
    <t>Substituição do conjunto de cadeias de isoladores de mesma classe de tensão, tipo, material e composição das estr: 023/2; 024/1; 025/1; 025/2; 026/1; 026/2; 027/1; 027/2; 028/1; 028/2; 028/3; 028/4; 029/1; 030/1; 030/2; 031/1; 031/2; 031/3; 032/1; 032/2; 033/1; 033/2; 034/1; 034/2; 035/1 = 25 Estr</t>
  </si>
  <si>
    <t>FT LT 230 kV C.GRANDE III /NATAL III C-1 PB/RN</t>
  </si>
  <si>
    <t>0007696/2019</t>
  </si>
  <si>
    <t>Substituição do conjunto de cadeias de isoladores de mesma classe de tensão, tipo, material e composição das estr: 012/2; 013/1; 013/2; 014/1; 014/2; 015/1; 015/2; 016/1; 016/2; 017/1; 017/2; 017/3; 018/1; 018/2; 019/1; 019/2; 020/1; 020/2; 020/3; 021/1; 021/2; 022/1; 022/2; 022/3; 023/1 = 25 Estr</t>
  </si>
  <si>
    <t>0007694/2019</t>
  </si>
  <si>
    <t>SUBSTITUIÇÃO DO SISTEMA DE PROTEÇÃO DE 01 TERMINAL DE LT 02J4 CMA/MALTA 69KV.</t>
  </si>
  <si>
    <t>LT 69 kV COREMAS / MALTA 02J4</t>
  </si>
  <si>
    <t>0007689/2019</t>
  </si>
  <si>
    <t>SUBSTITUIÇÃO DO SISTEMA DE PROTEÇÃO DE 01 VÃO DE TRANSFERÊNCIA 12D1 SE CMA 69KV</t>
  </si>
  <si>
    <t>FT MG 230 kV COREMAS MG1 PB</t>
  </si>
  <si>
    <t>0007699/2019</t>
  </si>
  <si>
    <t>Substituição do conjunto de cadeias de isoladores de mesma classe de tensão, tipo, material e composição das estr: 005/2D;005/1D; 004/2D; 004/1D; 003/2D; 003/1D; 002/2D; 002/1D; 001/3D; 001/2D; 001/1D; 007/1; 007/2; 008/1; 008/2; 008/3; 009/1; 009/2; 010/1; 010/2; 011/1; 011/2; 012/1 = 23 Estr</t>
  </si>
  <si>
    <t>0007690/2019</t>
  </si>
  <si>
    <t>Substituição do conjunto de cadeias de isoladores de mesma classe de tensão, tipo, material e composição das estr: 035/2; 036/1; 036/2; 037/1; 037/2; 038/1; 039/1; 039/2; 040/1; 040/2; 041/1; 041/2; 041/3; 042/1; 042/2; 043/1; 043/2; 044/1; 044/2; 045/1; 045/2; 046/1; 046/2; 047/1; 047/2 = 25 Estr</t>
  </si>
  <si>
    <t>0007698/2019</t>
  </si>
  <si>
    <t>SUBSTITUIÇÃO DO SISTEMA DE PROTEÇÃO DE 01 TERMINAL DE LT 02J6  CMA/PIANCO 69KV.</t>
  </si>
  <si>
    <t>LT 69 kV COREMAS / PIANCO 02J6</t>
  </si>
  <si>
    <t>0007693/2019</t>
  </si>
  <si>
    <t>SUBSTITUIÇÃO DO SISTEMA DE PROTEÇÃO DE 01 TERMINAL DE LT 02J8  CMA/SÃO GONCALO 69KV.</t>
  </si>
  <si>
    <t>LT 69 kV COREMAS / SÃO GONCALO 02J8</t>
  </si>
  <si>
    <t>0007695/2019</t>
  </si>
  <si>
    <t>Substituição do conjunto de cadeias de isoladores de mesma classe de tensão, tipo, material e composição das estr: 048/1; 048/2; 049/1; 049/2; 050/1; 050/2; 051/1; 051/2; 052/1; 052/2; 053/1; 053/2; 054/1; 054/2; 055/1; 056/1; 056/2; 056/3; 057/1; 058/1; 058/2; 059/1; 059/2; 060/1; 060/2 = 25 Estr</t>
  </si>
  <si>
    <t>0007700/2019</t>
  </si>
  <si>
    <t>SUBSTITUIÇÃO DO SISTEMA DE PROTEÇÃO E DISPOSITIVOS AUXILIARES DO TRAFO DE ATERRAMENTO 02A1 CMA 69KV</t>
  </si>
  <si>
    <t xml:space="preserve">TT 69kV COREMAS 02A1 </t>
  </si>
  <si>
    <t>0007702/2019</t>
  </si>
  <si>
    <t>SUBSTITUIÇÃO DO SISTEMA DE PROTEÇÃO DO TRAFO 03T9 138/69kV.</t>
  </si>
  <si>
    <t>0007710/2019</t>
  </si>
  <si>
    <t>Substituição do conjunto de cadeias de isoladores de mesma classe de tensão, tipo, material e composição das estr: 061/1; 062/1; 062/2; 063/1; 063/2; 064/1; 065/1; 065/2; 065/3; 066/1; 066/2; 067/1; 068/1; 068/2; 068/3; 069/1; 069/2; 070/1; 070/2; 071/1; 071/2; 072/1; 072/2; 073/1; 073/2 = 25 Estr</t>
  </si>
  <si>
    <t>0007708/2019</t>
  </si>
  <si>
    <t>Substituição do conjunto de cadeias de isoladores de mesma classe de tensão, tipo, material e composição das estr: 074/1; 074/2; 075/1; 075/2; 076/1; 077/1; 077/2; 078/1; 078/2; 079/1; 079/2; 080/1; 081/1; 081/2; 082/1; 082/2; 083/1; 083/2; 084/1; 085/1; 085/2; 086/1; 086/2; 087/1; 087/2 = 25 Estr</t>
  </si>
  <si>
    <t>0007713/2019</t>
  </si>
  <si>
    <t>LT 230 kV PAU FERRO /C.GRANDE II PE/PB - 230</t>
  </si>
  <si>
    <t>Substituição do conjunto de cadeias de isoladores de mesma classe de tensão, tipo, material e composição das estr: 065/1; 065/2; 066/1; 067/1; 068/1; 068/2; 069/1; 069/2; 070/1; 071/1; 071/2; 072/1; 072/2; 073/1; 073/2; 074/1; 074/2; 075/1; 075/2; 075/3; 076/1; 076/2; 077/1; 077/2; 078/1 = 25 Estr</t>
  </si>
  <si>
    <t>FT LT 230 kV PAU FERRO /C.GRANDE II C-2 PE/PB</t>
  </si>
  <si>
    <t>0007718/2019</t>
  </si>
  <si>
    <t>Substituição do conjunto de cadeias de isoladores de mesma classe de tensão, tipo, material e composição das estr: 088/1; 089/1; 089/2; 090/1; 090/2; 091/1; 091/2; 092/1; 092/2; 093/1; 093/2; 094/1; 094/2; 095/1; 096/1; 096/2; 096/3; 097/1; 098/1; 098/2; 099/1; 099/2; 100/1; 100/2 = 24 Estr</t>
  </si>
  <si>
    <t>0007714/2019</t>
  </si>
  <si>
    <t>Substituição do conjunto de cadeias de isoladores de mesma classe de tensão, tipo, material e composição das estr: 078/2; 079/1; 079/2; 079/3; 080/1; 081/1; 082/1; 083/1; 083/2; 083/3; 084/1; 084/2; 085/1; 085/2; 086/1; 086/2; 087/1; 087/2; 088/1; 088/2; 089/1; 089/2; 090/1; 090/2; 091/1 = 25 Estr</t>
  </si>
  <si>
    <t>0007720/2019</t>
  </si>
  <si>
    <t>SUBSTITUIÇÃO DO SISTEMA DE PROTEÇÃO DE 01 VÃO DE TRANSFERÊNCIA 13D1 SE FNL 138KV</t>
  </si>
  <si>
    <t>FT MG 230 kV FUNIL MG1 BA</t>
  </si>
  <si>
    <t>0007715/2019</t>
  </si>
  <si>
    <t>Substituição do conjunto de cadeias de isoladores de mesma classe de tensão, tipo, material e composição das estr: 051/1; 052/1; 052/2; 053/1; 053/2; 053/3; 054/1; 055/1; 055/2; 056/1; 056/2; 057/1; 057/2; 058/1; 059/1; 059/2; 060/1; 060/2; 061/1; 061/2; 062/1; 063/1; 063/2; 063/3; 064/1 = 25 Estr</t>
  </si>
  <si>
    <t>0007716/2019</t>
  </si>
  <si>
    <t>Substituição do conjunto de cadeias de isoladores de mesma classe de tensão, tipo, material e composição das estr: 091/2; 092/1; 093/1; 093/2; 094/1; 094/2; 094/3; 095/1; 095/2; 096/1; 096/2; 097/1; 097/2; 098/1; 098/2; 098/3; 099/1; 099/2; 100/1; 100/2; 101/1; 101/2; 102/1; 102/2; 103/1 = 25 Estr</t>
  </si>
  <si>
    <t>0007721/2019</t>
  </si>
  <si>
    <t>LT 230 kV COTEMINAS /PAU FERRO PB/PE - 230</t>
  </si>
  <si>
    <t>LT 230 kV LAGOA DO CARRO / COTEMINAS C F9 PE/PB</t>
  </si>
  <si>
    <t>0007729/2019</t>
  </si>
  <si>
    <t>Substituição do conjunto de cadeias de isoladores de mesma classe de tensão, tipo, material e composição das estr: 104/1; 104/2; 105/1; 106/1; 106/2; 107/1; 108/1; 108/2; 109/1; 109/2; 110/1; 110/2; 111/1; 111/2; 112/1; 112/2; 113/1; 113/2; 114/1; 115/1; 115/2; 116/1; 116/2; 117/1; 117/2 = 25 Estr</t>
  </si>
  <si>
    <t>0007722/2019</t>
  </si>
  <si>
    <t>0007728/2019</t>
  </si>
  <si>
    <t>Substituição do conjunto de cadeias de isoladores de mesma classe de tensão, tipo, material e composição das estr: 117/3; 118/1; 118/2; 119/1; 119/2; 120/1; 120/2; 120/3; 121/1; 121/2; 122/1; 122/2; 122/3; 123/1; 123/2; 123/3; 124/1; 124/2; 124/3; 124/4; 125/1;125/2;126/1;126/2;126/3;127/1 = 26 Estr</t>
  </si>
  <si>
    <t>0007725/2019</t>
  </si>
  <si>
    <t>Substituição do conjunto de cadeias de isoladores de mesma classe de tensão, tipo, material e composição das estr: 117/3; 118/1; 118/2; 119/1; 119/2; 120/1; 120/2; 120/3; 121/1; 121/2; 122/1; 122/2; 122/3; 123/1; 123/2; 123/3; 124/1; 124/2; 124/3; 124/4; 124/5; 124/6 = 22 Estr</t>
  </si>
  <si>
    <t>0007736/2019</t>
  </si>
  <si>
    <t>SUBSTITUIÇÃO  DO SISTEMA DE PROTEÇÃO DO TRANSFORMADOR 04T3</t>
  </si>
  <si>
    <t>FT TR 230/13,8 kV TERESINA II TRR2 PI</t>
  </si>
  <si>
    <t>0007740/2019</t>
  </si>
  <si>
    <t>0007732/2019</t>
  </si>
  <si>
    <t>0007730/2019</t>
  </si>
  <si>
    <t>0007735/2019</t>
  </si>
  <si>
    <t>Substituição do conjunto de cadeias de isoladores de mesma classe de tensão, tipo, material e composição das estr: 488; 489; 490; 491; 492; 493; 494; 495; 496; 497; 498; 499; 500; 501; 502; 503; 504; 505; 506; 507; 508; 509; 510; 511; 512; 513; 514; 515; 516; 517; 518; 519; 520; 521; 522 = 35 Estr</t>
  </si>
  <si>
    <t>0007756/2019</t>
  </si>
  <si>
    <t>SUBSTITUIÇÃO DO SISTEMA DE PROTEÇÃO DO DISJUNTOR DE TRANSFERÊNCIA DE BARRAS 14D1</t>
  </si>
  <si>
    <t>FT MG 500 kV TERESINA II MG1 PI</t>
  </si>
  <si>
    <t>0007744/2019</t>
  </si>
  <si>
    <t>Substituição do conjunto de cadeias de isoladores de mesma classe de tensão, tipo, material e composição das estr: 523; 524; 525; 526; 527; 528; 529; 530; 531; 532; 533; 534; 535; 536; 537; 538; 539; 540; 541; 542; 543; 544; 545; 546; 547; 548; 549; 550; 551; 552; 553; 554; 555; 556; 557 = 35 Estr</t>
  </si>
  <si>
    <t>0007758/2019</t>
  </si>
  <si>
    <t>Substituição do conjunto de cadeias de isoladores de mesma classe de tensão, tipo, material e composição das estr: 383; 384; 385; 386; 387; 388; 389; 390; 391; 392 ;393; 394; 395; 396; 397; 398; 399; 400; 401; 402; 403; 404; 405; 406; 407; 408; 409; 410; 411; 412; 413; 414; 415; 416; 417 = 35 Estr</t>
  </si>
  <si>
    <t>0007749/2019</t>
  </si>
  <si>
    <t>Substituição do conjunto de cadeias de isoladores de mesma classe de tensão, tipo, material e composição das estr: 348; 349; 350; 351; 352; 353; 354; 355; 356; 357; 358; 359; 360; 361; 362; 363; 364; 365; 366; 367; 368; 369; 370; 371; 372; 373; 374; 375; 376; 377; 378; 379; 380; 381; 382 = 35 Estr</t>
  </si>
  <si>
    <t>0007746/2019</t>
  </si>
  <si>
    <t>Substituição do conjunto de cadeias de isoladores de mesma classe de tensão, tipo, material e composição das estr: 418; 419; 420; 421; 422; 423; 424; 425; 426; 427; 428; 429; 430; 431; 432; 433; 434; 435; 436; 437; 438; 439; 440; 441; 442; 443 ;444; 445; 446; 447; 448; 449; 450; 451; 452 = 35 Estr</t>
  </si>
  <si>
    <t>0007750/2019</t>
  </si>
  <si>
    <t>Substituição do conjunto de cadeias de isoladores de mesma classe de tensão, tipo, material e composição das estr: 453; 454; 455; 456; 457; 458; 459; 460; 461; 462; 463; 464; 465; 466; 467; 468; 469; 470; 471; 472; 473; 474; 475; 476; 477; 478; 479; 480; 481; 482; 483; 484; 485; 486; 487 = 35 Estr</t>
  </si>
  <si>
    <t>0007753/2019</t>
  </si>
  <si>
    <t>Substituição do conjunto de cadeias de isoladores de mesma classe de tensão, tipo, material e composição das estr: 558; 559; 560; 561; 562; 563; 564; 565; 566; 567; 568; 569; 570; 571; 572; 573; 574; 575 ;576; 577; 578; 579; 580 ;581; 582 ;583; 584; 585; 586; 587; 588; 589; 590; 591; 592 = 35 Estr</t>
  </si>
  <si>
    <t>0007760/2019</t>
  </si>
  <si>
    <t>0007766/2019</t>
  </si>
  <si>
    <t>Substituição do conjunto de cadeias de isoladores de mesma classe de tensão, tipo, material e composição das estr: 593; 594; 595; 596; 597; 598; 599; 599A; 600; 606; 607 = 11 Estr.</t>
  </si>
  <si>
    <t>0007762/2019</t>
  </si>
  <si>
    <t>0007771/2019</t>
  </si>
  <si>
    <t>0007772/2019</t>
  </si>
  <si>
    <t>0007768/2019</t>
  </si>
  <si>
    <t xml:space="preserve">SUBSTITUIÇÃO DO SISTEMA DE PROTEÇÃO E DO CONTROLADOR LÓGICO PROGRAMÁVEL DO TRAFO 05T1 </t>
  </si>
  <si>
    <t>FT TR 500/230 kV TERESINA II TR1 PI</t>
  </si>
  <si>
    <t>0007769/2019</t>
  </si>
  <si>
    <t>SUBSTITUIÇÃO  DO SISTEMA DE PROTEÇÃO E DO CONTROLADOR LÓGICO PROGRAMÁVEL DO TRAFO 05T2</t>
  </si>
  <si>
    <t>FT TR 500/230 kV TERESINA II TR2 PI</t>
  </si>
  <si>
    <t>0007773/2019</t>
  </si>
  <si>
    <t>SUBSTITUIÇÃO DO SISTEMA DE PROTEÇÃO DE 01 TERMINAL DE LT 05V9</t>
  </si>
  <si>
    <t>LT 500 KV TERESINA II / TIANGUA II C-1 PI/CE</t>
  </si>
  <si>
    <t>0007785/2019</t>
  </si>
  <si>
    <t>0007778/2019</t>
  </si>
  <si>
    <t>SUBSTITUIÇÃO DO SISTEMA DE PROTEÇÃO DO TERMINAL MCO DA LT 04S6 MCO/MSI 230KV</t>
  </si>
  <si>
    <t>0007788/2019</t>
  </si>
  <si>
    <t>SUBSTITUIÇÃO DO SISTEMA DE PROTEÇÃO E CONTROLE DO DISJUNTOR DE TRANSFERÊNCIA 14D1  230KV</t>
  </si>
  <si>
    <t>FT MG 230 kV MACEIO MG1 AL</t>
  </si>
  <si>
    <t>0007793/2019</t>
  </si>
  <si>
    <t>SUBSTITUIÇÃO DO SISTEMA DE PROTEÇÃO DO TERMINAL MCO DA LT 04S7 MCO/MSI 230KV</t>
  </si>
  <si>
    <t>0007790/2019</t>
  </si>
  <si>
    <t>Substituição do conjunto de cadeias de isoladores de mesma classe de tensão, tipo, material e composição das estr: 558; 559; 560; 561; 562; 563; 564; 565; 566; 567; 568; 569; 570; 571; 572; 573; 574; 575; 576; 577; 578; 579; 580; 581; 582; 583; 584; 585; 586; 587; 588; 589; 590; 591; 592 = 35 Estr</t>
  </si>
  <si>
    <t>0007804/2019</t>
  </si>
  <si>
    <t>Substituição do conjunto de cadeias de isoladores de mesma classe de tensão, tipo, material e composição das estr: 593; 594; 595; 596; 597; 598; 599; 600; 601; 602; 603; 604; 604A; 605; 606; 607 = 16 Estr</t>
  </si>
  <si>
    <t>0007805/2019</t>
  </si>
  <si>
    <t>0007803/2019</t>
  </si>
  <si>
    <t>MILAGRES</t>
  </si>
  <si>
    <t xml:space="preserve">Substituição de 120km cabo pararaio por cabo OPGW para atendimento a SE COREMAS  </t>
  </si>
  <si>
    <t>FT LT 230 kV MILAGRES /TAUA II C-1 CE</t>
  </si>
  <si>
    <t>0007879/2019</t>
  </si>
  <si>
    <t>Revitalização para serviços de tratamento e pintura anticorrosiva nos Vasos de Pressão do disjuntor CODJ7-16 instalados na Subestação de Colinas  associado a função Reatores 500KV CORE7-04</t>
  </si>
  <si>
    <t>RT 500 kV 136 Mvar COLINAS RT4 TO</t>
  </si>
  <si>
    <t>0008032/2019</t>
  </si>
  <si>
    <t>Revitalização do sistema de Excitação do Compensador Síncrono 01-PDCS2-01 com substituição de componentes da ponte de Tiristores  da máquina 01 - associado a função COMPENSADOR SÍNCRONO PDCS2-01</t>
  </si>
  <si>
    <t>0008038/2019</t>
  </si>
  <si>
    <t>Revitalização do sistema de Excitação do Compensador Síncrono 02 - PDCS2-02 com substituição de componentes da ponte de Tiristores  da máquina 02 - associado a função COMPENSADOR SÍNCRONO PDCS2-02</t>
  </si>
  <si>
    <t>0008046/2019</t>
  </si>
  <si>
    <t>SUBSTITUIÇÃO DE 14 CADEIAS DE ISOLADORES DE VIDRO POR ISOLADORES POLIMERICOS</t>
  </si>
  <si>
    <t>0008075/2019</t>
  </si>
  <si>
    <t>SUBSTITUIÇÃO DE 47 CADEIAS DE ISOLADORES DE VIDRO POR ISOLADORES POLIMERICOS</t>
  </si>
  <si>
    <t>0008146/2019</t>
  </si>
  <si>
    <t>SUBSTITUIÇÃO DE 58 CADEIAS DE ISOLADORES DE VIDRO POR ISOLADORES POLIMERICOS</t>
  </si>
  <si>
    <t>LT 230 kV CARAJAS /MARABA C-1 PA</t>
  </si>
  <si>
    <t>0008250/2019</t>
  </si>
  <si>
    <t>Aquisição de Transformador de Potencial Capacitivo de 230 KV, Fase A.</t>
  </si>
  <si>
    <t>FT LT 230 kV SAMUEL /PORTO VELHO C-2 RO</t>
  </si>
  <si>
    <t>0008251/2019</t>
  </si>
  <si>
    <t>ALTAMIRA</t>
  </si>
  <si>
    <t>SUBSTITUIÇÃO DE 28 CADEIAS DE ISOLADORES DE VIDRO POR ISOLADORES POLIMERICOS</t>
  </si>
  <si>
    <t>LT 230 kV ALTAMIRA /TRANSAMAZONIC C-1 PA</t>
  </si>
  <si>
    <t>0008264/2019</t>
  </si>
  <si>
    <t>Revitalização geral com substituição de componentes do mecanismo de acionamento de abertura e fechamento de 01(um) Disjuntor de 230KV -(TCDJ6-04)  - associado a função LINHA DE TRANSMISSÃO TCAT-LT6-01</t>
  </si>
  <si>
    <t>0008267/2019</t>
  </si>
  <si>
    <t>RUROPOLIS</t>
  </si>
  <si>
    <t>LT 230 kV RUROPOLIS /TRANSAMAZONIC C-1 PA</t>
  </si>
  <si>
    <t>0008273/2019</t>
  </si>
  <si>
    <t>Aquisição de Transformador de Potencial Capacitivo de 230 KV, fase B</t>
  </si>
  <si>
    <t>0008282/2019</t>
  </si>
  <si>
    <t>Aquisição de CHAVE SECCIONADORA 69 kV</t>
  </si>
  <si>
    <t>FT TR 230/69 kV VILHENA TR1 RO</t>
  </si>
  <si>
    <t>0008277/2019</t>
  </si>
  <si>
    <t>0008287/2019</t>
  </si>
  <si>
    <t>Aquisição de Transformador de Potencial Capacitivo de 230 KV, Fase V.</t>
  </si>
  <si>
    <t>0008291/2019</t>
  </si>
  <si>
    <t>0008304/2019</t>
  </si>
  <si>
    <t>TR 230/69 kV VILHENA TR2 RO</t>
  </si>
  <si>
    <t>0008313/2019</t>
  </si>
  <si>
    <t>Aquisição de CHAVE SECCIONADORA 69KV -  Fases A, B e C</t>
  </si>
  <si>
    <t>0008317/2019</t>
  </si>
  <si>
    <t>Aquisição de CHAVE SECCIONADORA 69KV - Fases A, B e C</t>
  </si>
  <si>
    <t>0008330/2019</t>
  </si>
  <si>
    <t xml:space="preserve">Substituição do Sistema de  Registrador Digital de Perturbações - RDP </t>
  </si>
  <si>
    <t>MG SAMUEL / CCO-2001-058 - RB</t>
  </si>
  <si>
    <t>0008362/2019</t>
  </si>
  <si>
    <t>Substituição de 01 (um) Bobina de Bloqueio, Posição Operacional 64M6, SUB ANGELIM</t>
  </si>
  <si>
    <t>FT LT 230 kV ANGELIM /TACAIMBO C-3 PE</t>
  </si>
  <si>
    <t>0008402/2019</t>
  </si>
  <si>
    <t>Substituição de 01 (um) Bobina de Bloqueio, Posição Operacional 64M8, SUB ANGELIM</t>
  </si>
  <si>
    <t>0008405/2019</t>
  </si>
  <si>
    <t>Substituição de 01 (um) Bobina de Bloqueio, Posição Operacional 64S1, SUB ANGELIM</t>
  </si>
  <si>
    <t>FT LT 230 kV ANGELIM /RIBEIRAO C-1 PE</t>
  </si>
  <si>
    <t>0008406/2019</t>
  </si>
  <si>
    <t>Substituição de 01 (um) Bobina de Bloqueio, Posição Operacional 64S2, SUB ANGELIM</t>
  </si>
  <si>
    <t>FT LT 230 kV ANGELIM /RECIFE II C-1 PE</t>
  </si>
  <si>
    <t>0008410/2019</t>
  </si>
  <si>
    <t>Substituição de 01 (um) Bobina de Bloqueio, Posição Operacional 64M7, SUB ANGELIM</t>
  </si>
  <si>
    <t>0008416/2019</t>
  </si>
  <si>
    <t>Substituição de 01 (um) Bobina de Bloqueio, Posição Operacional 64L1, SUB ANGELIM</t>
  </si>
  <si>
    <t>FT LT 230 kV P.AFONSO III /ANGELIM C-1 AL/PE</t>
  </si>
  <si>
    <t>0008417/2019</t>
  </si>
  <si>
    <t>Substituição de 85,5 km de cabo de fibra ótica da CJIG-LT6-02 e 03 circuito duplo.</t>
  </si>
  <si>
    <t>CJIG-LT6-02 e 03</t>
  </si>
  <si>
    <t>0008431/2019</t>
  </si>
  <si>
    <t>"Realizar o desvio das LTs CJIG-LT6-02 e 03, compreendendo  4 km"</t>
  </si>
  <si>
    <t>0008432/2019</t>
  </si>
  <si>
    <t>SUBSTITUIÇÃO DOS TRANSFORMADORES DE CORRENTE DE 230 KV  - FA, FB e FV.</t>
  </si>
  <si>
    <t>TR 230/69 kV MARABA TF2 PA</t>
  </si>
  <si>
    <t>0008530/2019</t>
  </si>
  <si>
    <t>GUAMA</t>
  </si>
  <si>
    <t>SUSBTITUIÇÃO DOS TRANSFORMADORES DE CORRENTE DE 230 KV  - FA, FB e FV.</t>
  </si>
  <si>
    <t>LT 230 kV GUAMA /UTINGA C-1 PA</t>
  </si>
  <si>
    <t>0008564/2019</t>
  </si>
  <si>
    <t>UTINGA</t>
  </si>
  <si>
    <t>SUBSTITUIÇÃO DO DISJUNTOR UGDJ6 18 DE FABRICAÇÃO ABB TIPO LTB 245 (UGBC6 03)</t>
  </si>
  <si>
    <t>BC 230 kV 55 Mvar UTINGA BC3 PA</t>
  </si>
  <si>
    <t>0008589/2019</t>
  </si>
  <si>
    <t>SUBSTITUIÇÃO DO DISJUNTOR UGDJ6 19 DE FABRICAÇÃO ABB TIPO LTB 245 (UGBC6 04)</t>
  </si>
  <si>
    <t>BC 230 kV 55 Mvar UTINGA BC4 PA</t>
  </si>
  <si>
    <t>0008592/2019</t>
  </si>
  <si>
    <t>LT 230 kV GUAMA /UTINGA C-2 PA</t>
  </si>
  <si>
    <t>0008598/2019</t>
  </si>
  <si>
    <t xml:space="preserve">SUSBTITUIÇÃO DOS TRANSFORMADORES DE CORRENTE DE 230 KV - VCTC6 KX,  FA, FB e FV do VCDJ6 04 (VCBC6 03)_x000D_
</t>
  </si>
  <si>
    <t>BC 230 kV 111 Mvar VILA DO CONDE BC3 PA</t>
  </si>
  <si>
    <t>0008603/2019</t>
  </si>
  <si>
    <t>SUBSTITUIÇÃO  DO ROTEADOR NO SISTEMA DE TELECOMUNICAÇÃO E SUPERVISÃO</t>
  </si>
  <si>
    <t>0008604/2019</t>
  </si>
  <si>
    <t>SUBSTITUIÇÃO DOS TRANSFORMADORES DE POTENCIAL DA BARRA I</t>
  </si>
  <si>
    <t>MG ALTAMIRA / CCO-2001-058 - RB</t>
  </si>
  <si>
    <t>0008608/2019</t>
  </si>
  <si>
    <t>SUSBTITUIÇÃO DOS TRANSFORMADORES DE CORRENTE DE 230 KV - VCTC6 LY1,  FA, FB e FV do VCDJ6 01</t>
  </si>
  <si>
    <t>0008607/2019</t>
  </si>
  <si>
    <t>SUSBTITUIÇÃO DOS TRANSFORMADORES DE CORRENTE DE 230 KV  - VCTC 6DY1, FA, FB e FV do VCDJ6 01</t>
  </si>
  <si>
    <t>0008612/2019</t>
  </si>
  <si>
    <t>SUBSTITUIÇÃO DOS TRANSFORMADORES DE POTENCIAL DOS TERMINAIS DA LINHA ATTC LT6 01</t>
  </si>
  <si>
    <t>0008610/2019</t>
  </si>
  <si>
    <t>SUSBTITUIÇÃO DOS TRANSFORMADORES DE CORRENTE DE 230 KV  - VCTC 6DX, FA, FB e FV do VCDJ6 01</t>
  </si>
  <si>
    <t>TR VCTF6-01</t>
  </si>
  <si>
    <t>0008617/2019</t>
  </si>
  <si>
    <t>GMVCLT6 02</t>
  </si>
  <si>
    <t>0008619/2019</t>
  </si>
  <si>
    <t>SUBSTITUIÇÃO DE 06 TRANSFORMADORES DE POTENCIAL DE 13.8 KV.</t>
  </si>
  <si>
    <t>BC 230 kV 111 Mvar VILA DO CONDE BC2 PA</t>
  </si>
  <si>
    <t>0008618/2019</t>
  </si>
  <si>
    <t>Substituição de 01 (uma) bucha condensiva 34,5kV do transformador TVAT4-01 fase A.</t>
  </si>
  <si>
    <t xml:space="preserve">TR TVAT4-01 </t>
  </si>
  <si>
    <t>0008624/2019</t>
  </si>
  <si>
    <t>SUBSTITUIÇÃO DO DISJUNTOR GMDJ6 11 DE FABRICAÇÃO ABB TIPO LTB 245</t>
  </si>
  <si>
    <t>BC 230 kV 55,5 Mvar GUAMA BC1 PA</t>
  </si>
  <si>
    <t>0008625/2019</t>
  </si>
  <si>
    <t>Substituição de 01 (uma) bucha condensiva 34,5kV do transformador TVAT4-01 fase V.</t>
  </si>
  <si>
    <t>0008628/2019</t>
  </si>
  <si>
    <t>SUBSTITUIÇÃO DO DISJUNTOR GMDJ6 12 DE FABRICAÇÃO ABB TIPO LTB 245</t>
  </si>
  <si>
    <t>BC 230 kV 55,5 Mvar GUAMA BC2 PA</t>
  </si>
  <si>
    <t>0008627/2019</t>
  </si>
  <si>
    <t>Substituição de 01 (uma) bucha condensiva 34,5kV do transformador TVAT4-01 fase B.</t>
  </si>
  <si>
    <t>0008626/2019</t>
  </si>
  <si>
    <t>0008630/2019</t>
  </si>
  <si>
    <t>MBTF6-01</t>
  </si>
  <si>
    <t>0008633/2019</t>
  </si>
  <si>
    <t>TRANSAMAZONIC</t>
  </si>
  <si>
    <t>Substituição dos transformadores de potencial indutivo 34,5kV no TMTF6-01</t>
  </si>
  <si>
    <t>TR 230/34,5 kV TRANSAMAZONIC TF1 PA</t>
  </si>
  <si>
    <t>0008641/2019</t>
  </si>
  <si>
    <t>SUBSTITUIÇÃO DO GERADOR DE EMERGÊNCIA  No.1  (380VCA  200 KVA)</t>
  </si>
  <si>
    <t>MG RUROPOLIS / CCO-2001-058 - RB</t>
  </si>
  <si>
    <t>0008639/2019</t>
  </si>
  <si>
    <t>MG GUAMA / CCO-2001-058 - RB</t>
  </si>
  <si>
    <t>0008638/2019</t>
  </si>
  <si>
    <t>Substituição dos transformadores de potencial indutivo 34,5kV no TMTF6-02</t>
  </si>
  <si>
    <t>TR 230/34,5 kV TRANSAMAZONIC TF2 PA</t>
  </si>
  <si>
    <t>0008643/2019</t>
  </si>
  <si>
    <t>INSTALAÇÃO DE INVERSORES DE TENSÃO NO SISTEMA DE ALIMENTAÇÃO CA/CC DO SISTEMA DE TELECOMUNICAÇÕES E SAGE.</t>
  </si>
  <si>
    <t>0004185/2019</t>
  </si>
  <si>
    <t xml:space="preserve">SUBSTITUIÇÃO DA CAIXA DE INTERLIGAÇÃO DOS TRANSFORMADORES DE POTENCIAL CAPACITIVO DAS BARRAS MRBR6-01 </t>
  </si>
  <si>
    <t>0004189/2019</t>
  </si>
  <si>
    <t>MG UTINGA / CCO-2001-058 - RB</t>
  </si>
  <si>
    <t>0004197/2019</t>
  </si>
  <si>
    <t>SUBSTITUIÇÃO DA CAIXA DE INTERLIGAÇÃO DOS TRANSFORMADORES DE POTENCIAL CAPACITIVO</t>
  </si>
  <si>
    <t>LT 230 kV MIRANDA II /PERITORO C-1 MA</t>
  </si>
  <si>
    <t>0004193/2019</t>
  </si>
  <si>
    <t>MIRAMAR</t>
  </si>
  <si>
    <t>MG 230 kV MIRAMAR MG1 PA</t>
  </si>
  <si>
    <t>0004195/2019</t>
  </si>
  <si>
    <t>SUBSTITUIÇÃO DA CAIXA DE INTERLIGAÇÃO DOS TRANSFORMADORES DE CORRENTE</t>
  </si>
  <si>
    <t>TR 230/138 kV MIRANDA II TR1 MA</t>
  </si>
  <si>
    <t>0004198/2019</t>
  </si>
  <si>
    <t>0004199/2019</t>
  </si>
  <si>
    <t>SUB POCOS CALDAS - 13,8</t>
  </si>
  <si>
    <t>Substituição do TC LADO 13.8 KV DO AT02 - TCTTB2 - FASE B, número de série - T81015-01-14.</t>
  </si>
  <si>
    <t xml:space="preserve">MC 13,8 kV TR 345/138 kV POCOS CALDAS TR2 MG </t>
  </si>
  <si>
    <t>0004266/2019</t>
  </si>
  <si>
    <t>Substituição do TC LADO 13.8 KV DO AT02 - TCTTB2 - FASE A, número de série - T81015-01-5.</t>
  </si>
  <si>
    <t>0004265/2019</t>
  </si>
  <si>
    <t>Substituição do TC LADO 13.8 KV DO AT02 - TCTTB2 - FASE C, número de série - T81015-01-15.</t>
  </si>
  <si>
    <t>0004268/2019</t>
  </si>
  <si>
    <t>Substituição do TC de Neutro TCTTB2, número de série - 73680.</t>
  </si>
  <si>
    <t>0004269/2019</t>
  </si>
  <si>
    <t>Substituição do TRAFO ATERRAMENTO AT02 - TRTTB2 - Fase C, número de série - 166645.</t>
  </si>
  <si>
    <t>0004298/2019</t>
  </si>
  <si>
    <t>Substituição do TRAFO ATERRAMENTO AT02 - TRTTB2 - Fase B, número de série - 166646.</t>
  </si>
  <si>
    <t>0004305/2019</t>
  </si>
  <si>
    <t>0004310/2019</t>
  </si>
  <si>
    <t>SUBSTITUIÇÃO DA BUCHA DE 230 KV DA FASE V do VCAT701</t>
  </si>
  <si>
    <t>0004314/2019</t>
  </si>
  <si>
    <t>TR 230/69 kV MIRANDA II TF1 MA</t>
  </si>
  <si>
    <t>0004317/2019</t>
  </si>
  <si>
    <t>SUBSTITUIÇÃO DA BUCHA DE 230 KV DA FASE B</t>
  </si>
  <si>
    <t>TR 500/230 kV VILA DO CONDE TR2 PA</t>
  </si>
  <si>
    <t>0004316/2019</t>
  </si>
  <si>
    <t>RT 230 kV 10 Mvar MIRANDA II RT2 MA</t>
  </si>
  <si>
    <t>0004325/2019</t>
  </si>
  <si>
    <t>Substituição do TRAFO ATERRAMENTO AT02 - TRTTB2 - Fase A, número de série - 166647.</t>
  </si>
  <si>
    <t>0004327/2019</t>
  </si>
  <si>
    <t>Substituição do TC LADO 13.8 KV DO AT01 - TCTTB1 - FASE A, número de série - T81015-02-2.</t>
  </si>
  <si>
    <t xml:space="preserve">MC 13,8 kV TR 345/138 kV POCOS CALDAS TR1 MG </t>
  </si>
  <si>
    <t>0004333/2019</t>
  </si>
  <si>
    <t>LDMR-LT6-01</t>
  </si>
  <si>
    <t>0004339/2019</t>
  </si>
  <si>
    <t>Substituição do TC LADO 13.8 KV DO AT01 - TCTTB1 - FASE B, número de série - T81015-02-5.</t>
  </si>
  <si>
    <t>0004335/2019</t>
  </si>
  <si>
    <t>Substituição do TC LADO 13.8 KV DO AT01 - TCTTB1 - FASE C, número de série - T81015-2-10.</t>
  </si>
  <si>
    <t>0004337/2019</t>
  </si>
  <si>
    <t>Substituição do TC de Neutro TCTTB1, número de série - 65G12529.</t>
  </si>
  <si>
    <t>0004340/2019</t>
  </si>
  <si>
    <t>Substituição do TRAFO ATERRAMENTO AT01 - TRTTB1 - Fase B, número de série - 166641.</t>
  </si>
  <si>
    <t>0004342/2019</t>
  </si>
  <si>
    <t>Substituição do TRAFO ATERRAMENTO AT01 - TRTTB1 - Fase C, número de série - 166642.</t>
  </si>
  <si>
    <t>0004347/2019</t>
  </si>
  <si>
    <t>Substituição do TRAFO ATERRAMENTO AT01 - TRTTB1 - Fase A, número de série - 146498.</t>
  </si>
  <si>
    <t>0004346/2019</t>
  </si>
  <si>
    <t>SUB POCOS CALDAS - 500</t>
  </si>
  <si>
    <t>Substituição do TC9107 - Fase B, número de série K74081-13-2.</t>
  </si>
  <si>
    <t>MC 500 kV TR 500/345 kV POCOS CALDAS TR51 MG</t>
  </si>
  <si>
    <t>0004348/2019</t>
  </si>
  <si>
    <t>Substituição do TC9107 - Fase A, número de série - K74081-07-4.</t>
  </si>
  <si>
    <t>0004351/2019</t>
  </si>
  <si>
    <t>Substituição do TC9107 - Fase C, número de série - K74081-09-3.</t>
  </si>
  <si>
    <t>0004349/2019</t>
  </si>
  <si>
    <t>SUB POCOS CALDAS - 345</t>
  </si>
  <si>
    <t>Substituição do DCPBT51 LADO 345 KV - FASE A, número de série - 730414.</t>
  </si>
  <si>
    <t>MC 345 kV TR 500/345 kV POCOS CALDAS TR51 MG</t>
  </si>
  <si>
    <t>0004353/2019</t>
  </si>
  <si>
    <t>Substituição do TCS DJ8764 - Fase A com capacidade de 3000 A/63,0 kA por um de 4000 A/63 kA</t>
  </si>
  <si>
    <t>0004365/2019</t>
  </si>
  <si>
    <t>Substituição do TCS DJ8734 - Fase A com capacidade de 3000 A/63,0 kA por um de 4000 A/63 kA</t>
  </si>
  <si>
    <t>0004371/2019</t>
  </si>
  <si>
    <t>Substituição do TCS DJ8734 - Fase C com capacidade de 3000 A/63,0 kA por um de 4000 A/63 kA</t>
  </si>
  <si>
    <t>0004412/2019</t>
  </si>
  <si>
    <t>Substituição do TCS DJ8774 - Fase A com capacidade de 3000 A/63,0 kA por um de 4000 A/63 kA</t>
  </si>
  <si>
    <t>IB 345 kV MG 750 kV TIJUCO PRETO MG1 SP IB6</t>
  </si>
  <si>
    <t>0004423/2019</t>
  </si>
  <si>
    <t>Substituição do TCS DJ8774 - Fase B com capacidade de 3000 A/63,0 kA por um de 4000 A/63 kA</t>
  </si>
  <si>
    <t>0004424/2019</t>
  </si>
  <si>
    <t>Substituição do TCS DJ8774 - Fase C com capacidade de 3000 A/63,0 kA por um de 4000 A/63 kA</t>
  </si>
  <si>
    <t>0004428/2019</t>
  </si>
  <si>
    <t>Substituição do TCS DJ8554 - Fase B com capacidade de 3000 A/63,0 kA por um de 4000 A/63 kA</t>
  </si>
  <si>
    <t>MC 345 kV BC 345 kV 200 MVAr TIJUCO PRETO BC4 SP MC1</t>
  </si>
  <si>
    <t>0004447/2019</t>
  </si>
  <si>
    <t>Substituição do TCS DJ8554 - Fase C com capacidade de 3000 A/63,0 kA por um de 4000 A/63 kA</t>
  </si>
  <si>
    <t>0004448/2019</t>
  </si>
  <si>
    <t>Substituição do TCS DJ8554 - Fase A com capacidade de 3000 A/63,0 kA por um de 4000 A/63 kA</t>
  </si>
  <si>
    <t>0004450/2019</t>
  </si>
  <si>
    <t>Substituição do TCS DJ8464 - Fase A com capacidade de 3000 A/63,0 kA por um de 4000 A/63 kA</t>
  </si>
  <si>
    <t>F-S-STTPR-TR06-MC345</t>
  </si>
  <si>
    <t>0004455/2019</t>
  </si>
  <si>
    <t>Substituição do TCS DJ8744 - Fase C com capacidade de 3000 A/63,0 kA por um de 4000 A/63 kA</t>
  </si>
  <si>
    <t>IB 345 kV MG 750 kV TIJUCO PRETO MG1 SP IB8</t>
  </si>
  <si>
    <t>0004462/2019</t>
  </si>
  <si>
    <t>Substituição do TCS DJ8744 - Fase B com capacidade de 3000 A/63,0 kA por um de 4000 A/63 kA</t>
  </si>
  <si>
    <t>0004465/2019</t>
  </si>
  <si>
    <t>Substituição do TCS DJ8744 - Fase A com capacidade de 3000 A/63,0 kA por um de 4000 A/63 kA</t>
  </si>
  <si>
    <t>0004464/2019</t>
  </si>
  <si>
    <t>Substituição do TCS DJ8844 - Fase C com capacidade de 3000 A/63,0 kA por um de 4000 A/63 kA</t>
  </si>
  <si>
    <t>EL 345 kV TIJUCO PRETO LT 345 kV ITAPETI /TIJUCO PRETO C-2 SP</t>
  </si>
  <si>
    <t>0004501/2019</t>
  </si>
  <si>
    <t>Substituição do TCS DJ8844 - Fase B com capacidade de 3000 A/63,0 kA por um de 4000 A/63 kA</t>
  </si>
  <si>
    <t>0004499/2019</t>
  </si>
  <si>
    <t>Substituição do TCS DJ8844 - Fase A com capacidade de 3000 A/63,0 kA por um de 4000 A/63 kA</t>
  </si>
  <si>
    <t>0004497/2019</t>
  </si>
  <si>
    <t>Substituição do TCS DJ8714 - Fase C com capacidade de 3000 A/63,0 kA por um de 4000 A/63 kA</t>
  </si>
  <si>
    <t>IB 345 kV MG 750 kV TIJUCO PRETO MG1 SP IB13</t>
  </si>
  <si>
    <t>0004513/2019</t>
  </si>
  <si>
    <t>Substituição do TCS DJ8714 - Fase B com capacidade de 3000 A/63,0 kA por um de 4000 A/63 kA</t>
  </si>
  <si>
    <t>0004511/2019</t>
  </si>
  <si>
    <t>Substituição do TCS DJ8714 - Fase A com capacidade de 3000 A/63,0 kA por um de 4000 A/63 kA</t>
  </si>
  <si>
    <t>0004507/2019</t>
  </si>
  <si>
    <t>Substituição do TCS DJ8814 - Fase A com capacidade de 3000 A/63,0 kA por um de 4000 A/63 kA</t>
  </si>
  <si>
    <t>EL 345 kV TIJUCO PRETO LT 345 kV B. SANTISTA /TIJUCO PRETO C-1 SP</t>
  </si>
  <si>
    <t>0004518/2019</t>
  </si>
  <si>
    <t>Substituição do TCS DJ8814 - Fase B com capacidade de 3000 A/63,0 kA por um de 4000 A/63 kA</t>
  </si>
  <si>
    <t>0004520/2019</t>
  </si>
  <si>
    <t>Substituição do TCS DJ8814 - Fase C com capacidade de 3000 A/63,0 kA por um de 4000 A/63 kA</t>
  </si>
  <si>
    <t>0004523/2019</t>
  </si>
  <si>
    <t>SUBSTITUIÇÃO COMPLETA (CHAVES DE TRANSFERÊNCIA, RÉGUAS DE BORNES, CANALETAS DE PASSAGEM ETC) DO ARMÁRIO DE TRANSFERÊNCIA DO LDAT7-03</t>
  </si>
  <si>
    <t>0004565/2019</t>
  </si>
  <si>
    <t>SUBSTITUIÇÃO COMPLETA (PÓLOS, ARMÁRIO DE COMANDO E SPCS) DO DISJUNTOR LDDJ6-26</t>
  </si>
  <si>
    <t>0004564/2019</t>
  </si>
  <si>
    <t>SUBSTITUIÇÃO DAS BUCHAS DE 13,8KV DEVIDO FINAL DE VIDA ÚTIL (LDAT7-03)</t>
  </si>
  <si>
    <t>0004566/2019</t>
  </si>
  <si>
    <t>SUBSTITUIÇÃO COMPLETA (PÓLOS, ARMÁRIO DE COMANDO E SPCS) DO DISJUNTOR LDDJ7-09</t>
  </si>
  <si>
    <t>0004567/2019</t>
  </si>
  <si>
    <t>SUBSTITUIÇÃO COMPLETA (PÓLOS, ARMÁRIO DE COMANDO E SPCS) DO DISJUNTOR LDDJ7-10</t>
  </si>
  <si>
    <t>0004569/2019</t>
  </si>
  <si>
    <t>Substituição Dos Rádios VHF´s Fixos e Móveis da SE-COXIPÓ</t>
  </si>
  <si>
    <t>0004616/2019</t>
  </si>
  <si>
    <t>Substituição de 01 (um) Disjuntor, Posição Operacional 12T4, SUB ANGELIM</t>
  </si>
  <si>
    <t>MG ANGELIM / CCO-2001-061 - RB</t>
  </si>
  <si>
    <t>0004664/2019</t>
  </si>
  <si>
    <t>Substituição de 01 (um) Seccionador, Posição Operacional 34BA-1, SUB ANGELIM</t>
  </si>
  <si>
    <t>FT MG 230 kV ANGELIM MG1 PE</t>
  </si>
  <si>
    <t>0004665/2019</t>
  </si>
  <si>
    <t>Substituição de 01 (um) Seccionador, Posição Operacional 34D1-1, SUB ANGELIM</t>
  </si>
  <si>
    <t>0004667/2019</t>
  </si>
  <si>
    <t>Substituição de 01 (um) Seccionador, Posição Operacional 34BP-1, SUB ANGELIM</t>
  </si>
  <si>
    <t>0004666/2019</t>
  </si>
  <si>
    <t>Substituição de 01 (um) Seccionador, Posição Operacional 34D1-2, SUB ANGELIM</t>
  </si>
  <si>
    <t>0004668/2019</t>
  </si>
  <si>
    <t>Substituição de 01 (um) Transformador Corrente, Posição Operacional 94D1, Fase A, SUB ANGELIM</t>
  </si>
  <si>
    <t>0004669/2019</t>
  </si>
  <si>
    <t>Substituição de 01 (um) Transformador Corrente, Posição Operacional 94D1, Fase B, SUB ANGELIM</t>
  </si>
  <si>
    <t>0004670/2019</t>
  </si>
  <si>
    <t>Substituição de 01 (um) Transformador Corrente, Posição Operacional 94D1, Fase C, SUB ANGELIM</t>
  </si>
  <si>
    <t>0004671/2019</t>
  </si>
  <si>
    <t>Substituição de 01 (um) Seccionador, Posição Operacional 34D2-1, SUB ANGELIM</t>
  </si>
  <si>
    <t>0004672/2019</t>
  </si>
  <si>
    <t>Substituição de 01 (um) Seccionador, Posição Operacional 34D2-2, SUB ANGELIM</t>
  </si>
  <si>
    <t>0004673/2019</t>
  </si>
  <si>
    <t>Substituição de 01 (um) Para-Raio, Posição Operacional 74L1, Fase A, SUB ANGELIM</t>
  </si>
  <si>
    <t>0004677/2019</t>
  </si>
  <si>
    <t>Substituição de 01 (um) Para-Raio, Posição Operacional 74L1, Fase C, SUB ANGELIM</t>
  </si>
  <si>
    <t>0004679/2019</t>
  </si>
  <si>
    <t>Substituição de 01 (um) Para-Raio, Posição Operacional 74L1, Fase B, SUB ANGELIM</t>
  </si>
  <si>
    <t>0004678/2019</t>
  </si>
  <si>
    <t>Substituição de 01 (um) Seccionador, Posição Operacional 34M3-4, SUB ANGELIM</t>
  </si>
  <si>
    <t>0004680/2019</t>
  </si>
  <si>
    <t>Substituição de 01 (um) Para-Raio, Posição Operacional 74M4-2, Fase A, SUB ANGELIM</t>
  </si>
  <si>
    <t>0004681/2019</t>
  </si>
  <si>
    <t>Substituição de 01 (um) Para-Raio, Posição Operacional 74M4-2, Fase B, SUB ANGELIM</t>
  </si>
  <si>
    <t>0004682/2019</t>
  </si>
  <si>
    <t>Substituição de 01 (um) Para-Raio, Posição Operacional 74M4-2, Fase C, SUB ANGELIM</t>
  </si>
  <si>
    <t>0004683/2019</t>
  </si>
  <si>
    <t>Substituição de 01 (um) Transformador Corrente, Posição Operacional 94M4, Fase A, SUB ANGELIM</t>
  </si>
  <si>
    <t>0004684/2019</t>
  </si>
  <si>
    <t>Substituição de 01 (um) Transformador Corrente, Posição Operacional 94M4, Fase B, SUB ANGELIM</t>
  </si>
  <si>
    <t>0004685/2019</t>
  </si>
  <si>
    <t>Substituição de 01 (um) Transformador Corrente, Posição Operacional 94M4, Fase C, SUB ANGELIM</t>
  </si>
  <si>
    <t>0004686/2019</t>
  </si>
  <si>
    <t>Substituição de 01 (um) Transformador Corrente, Posição Operacional 94M5, Fase B, SUB ANGELIM</t>
  </si>
  <si>
    <t>0004690/2019</t>
  </si>
  <si>
    <t>Substituição de 01 (um) Transformador Corrente, Posição Operacional 94M5, Fase A, SUB ANGELIM</t>
  </si>
  <si>
    <t>0004689/2019</t>
  </si>
  <si>
    <t>Substituição de 01 (um) Seccionador, Posição Operacional 34M6-1, SUB ANGELIM</t>
  </si>
  <si>
    <t>0004692/2019</t>
  </si>
  <si>
    <t>Substituição de 01 (um) Seccionador, Posição Operacional 34M6-2, SUB ANGELIM</t>
  </si>
  <si>
    <t>0004693/2019</t>
  </si>
  <si>
    <t>Substituição de 01 (um) Transformador Corrente, Posição Operacional 94M5, Fase C, SUB ANGELIM</t>
  </si>
  <si>
    <t>0004691/2019</t>
  </si>
  <si>
    <t>Substituição de 01 (um) Seccionador, Posição Operacional 34M6-6, SUB ANGELIM</t>
  </si>
  <si>
    <t>0004694/2019</t>
  </si>
  <si>
    <t>Substituição de 01 (um) Transformador Corrente, Posição Operacional 94M6, Fase B, SUB ANGELIM</t>
  </si>
  <si>
    <t>0004698/2019</t>
  </si>
  <si>
    <t>Substituição de 01 (um) Transformador Corrente, Posição Operacional 94M6, Fase A, SUB ANGELIM</t>
  </si>
  <si>
    <t>0004697/2019</t>
  </si>
  <si>
    <t>Substituição de 01 (um) Transformador Corrente, Posição Operacional 94M6, Fase C, SUB ANGELIM</t>
  </si>
  <si>
    <t>0004699/2019</t>
  </si>
  <si>
    <t>Substituição de 01 (um) Para-Raio, Posição Operacional 74M7, Fase C, SUB ANGELIM</t>
  </si>
  <si>
    <t>0004702/2019</t>
  </si>
  <si>
    <t>Substituição de 01 (um) Para-Raio, Posição Operacional 74M7, Fase A, SUB ANGELIM</t>
  </si>
  <si>
    <t>0004700/2019</t>
  </si>
  <si>
    <t>Substituição de 01 (um) Para-Raio, Posição Operacional 74M7, Fase B, SUB ANGELIM</t>
  </si>
  <si>
    <t>0004701/2019</t>
  </si>
  <si>
    <t>Substituição do TC LADO 345 KV AT03 - Fase A com capacidade de 1200 A/24,0 kA por um de 4000 A/50 kA</t>
  </si>
  <si>
    <t>TR 345/138 kV CAMPINAS TR3 SP</t>
  </si>
  <si>
    <t>0004793/2019</t>
  </si>
  <si>
    <t>SUBSTITUIÇÃO DO TRANSFORMADOR DE CORRENTE DA FASE 'V' DO DISJUNTOR LDDJ7-05, CÓD. OPERACIONAL DJ705-TC702</t>
  </si>
  <si>
    <t>0004794/2019</t>
  </si>
  <si>
    <t>Substituição do TC LADO 345 KV AT03 - Fase B com capacidade de 1200 A/24,0 kA por um de 4000 A/50 kA</t>
  </si>
  <si>
    <t>0004798/2019</t>
  </si>
  <si>
    <t>Substituição do TC LADO 345 KV AT03 - Fase C com capacidade de 1200 A/24,0 kA por um de 4000 A/50 kA</t>
  </si>
  <si>
    <t>0004801/2019</t>
  </si>
  <si>
    <t>SUBSTITUIÇÃO DO TRANSFORMADOR DE CORRENTE DA FASE 'B' DO DISJUNTOR LDDJ7-05, CÓD. OPERACIONAL DJ705-TC702</t>
  </si>
  <si>
    <t>0004799/2019</t>
  </si>
  <si>
    <t>SUBSTITUIÇÃO DO TRANSFORMADOR DE CORRENTE DA FASE 'A' DO DISJUNTOR LDDJ7-05, CÓD. OPERACIONAL DJ705-TC702</t>
  </si>
  <si>
    <t>0004805/2019</t>
  </si>
  <si>
    <t>SUBSTITUIÇÃO DO PARA-RAIOS 500KV, AT702-PR701, FASE 'A'</t>
  </si>
  <si>
    <t>0004813/2019</t>
  </si>
  <si>
    <t>SUBSTITUIÇÃO DO PÁRA-RAIOS 230KV, BC601-PR601 FASE 'V'</t>
  </si>
  <si>
    <t>0004836/2019</t>
  </si>
  <si>
    <t>SUBSTITUIÇÃO DO PÁRA-RAIOS 230KV, BC601-PR601 FASE 'B'</t>
  </si>
  <si>
    <t>0004823/2019</t>
  </si>
  <si>
    <t>SUBSTITUIÇÃO DO PARA-RAIOS 500KV, AT702-PR701, FASE 'V'</t>
  </si>
  <si>
    <t>0004820/2019</t>
  </si>
  <si>
    <t>SUBSTITUIÇÃO DO TPC 230KV, BC601-DP601 FASE 'A'</t>
  </si>
  <si>
    <t>0004840/2019</t>
  </si>
  <si>
    <t>SUBSTITUIÇÃO DO PARA-RAIOS 500KV, RE703-PR701, FASE 'B'</t>
  </si>
  <si>
    <t>0004843/2019</t>
  </si>
  <si>
    <t>SUBSTITUIÇÃO DO TRANSFORMADOR DE CORRENTE DA FASE 'V' DO DISJUNTOR LDDJ7-04</t>
  </si>
  <si>
    <t>MA-CPLD-LD-LDBC-LI702</t>
  </si>
  <si>
    <t>0004868/2019</t>
  </si>
  <si>
    <t>SUBSTITUIÇÃO DO TRANSFORMADOR DE CORRENTE DA FASE 'V' DO DISJUNTOR LDDJ7-01</t>
  </si>
  <si>
    <t>MA-CPLD-LD-LDBC-LI701</t>
  </si>
  <si>
    <t>0004890/2019</t>
  </si>
  <si>
    <t>SUBSTITUIÇÃO DO TRANSFORMADOR DE CORRENTE DA FASE 'B' DO DISJUNTOR LDDJ7-01</t>
  </si>
  <si>
    <t>0004892/2019</t>
  </si>
  <si>
    <t>GUARULHOS</t>
  </si>
  <si>
    <t>Substituição do TC LTGAIN2 STGA - Fase A com capacidade de 4000 A/31,5 kA por um de 4000 A/63 kA</t>
  </si>
  <si>
    <t>LT 345 kV GUARULHOS /IBIUNA C-2 SP</t>
  </si>
  <si>
    <t>0004903/2019</t>
  </si>
  <si>
    <t>Substituição do TC LTGAIN1 STGA - Fase C com capacidade de 4000 A/31,5 kA por um de 4000 A/63 kA</t>
  </si>
  <si>
    <t>LT 345 kV GUARULHOS /IBIUNA C-1 SP</t>
  </si>
  <si>
    <t>0004901/2019</t>
  </si>
  <si>
    <t>Substituição do TC LTGAIN1 STGA - Fase B com capacidade de 4000 A/31,5 kA por um de 4000 A/63 kA</t>
  </si>
  <si>
    <t>0004898/2019</t>
  </si>
  <si>
    <t>Substituição do TC LTGAIN2 STGA - Fase B com capacidade de 4000 A/31,5 kA por um de 4000 A/63 kA</t>
  </si>
  <si>
    <t>0004904/2019</t>
  </si>
  <si>
    <t>Substituição do TC LIGANE STGA - Fase A com capacidade de 2000 A/31,5 kA por um de 4000 A/63 kA</t>
  </si>
  <si>
    <t>LT 345 kV GUARULHOS /NORDESTE C-1 SP</t>
  </si>
  <si>
    <t>0004907/2019</t>
  </si>
  <si>
    <t>Substituição do TC LIGANE STGA - Fase C com capacidade de 2000 A/31,5 kA por um de 4000 A/63 kA</t>
  </si>
  <si>
    <t>0004911/2019</t>
  </si>
  <si>
    <t>Substituição do TC LIGAIN2 STGA - Fase C com capacidade de 4000 A/31,5 kA por um de 4000 A/63 kA</t>
  </si>
  <si>
    <t>0004906/2019</t>
  </si>
  <si>
    <t>Substituição do TC LIGANE STGA - Fase B com capacidade de 2000 A/31,5 kA por um de 4000 A/63 kA</t>
  </si>
  <si>
    <t>0004910/2019</t>
  </si>
  <si>
    <t>SUBSTITUIÇÃO DO TRANSFORMADOR DE CORRENTE DA FASES 'A' DO DISJUNTOR LDDJ7-06, CÓD. OPERACIONAL DJ706-TC701</t>
  </si>
  <si>
    <t>0004931/2019</t>
  </si>
  <si>
    <t>Substituição do TC8120T LTFUIT02 UHFU - Fase A com capacidade de 2000 A/31,5 kA por um de 4000 A/50 kA</t>
  </si>
  <si>
    <t>LT 345 kV FURNAS /ITUTINGA C-2 MG</t>
  </si>
  <si>
    <t>0004955/2019</t>
  </si>
  <si>
    <t>Substituição do TC8120T LTFUIT02 UHFU - Fase B com capacidade de 2000 A/31,5 kA por um de 4000 A/50 kA</t>
  </si>
  <si>
    <t>0004957/2019</t>
  </si>
  <si>
    <t>Substituição do TC DJ806 LADO BR8C - FASE C com capacidade de 2000 A/31,5 kA por um de 4000 A/50 kA</t>
  </si>
  <si>
    <t>IB 345 kV MG 345 kV FURNAS MG1 MG IB1</t>
  </si>
  <si>
    <t>0004973/2019</t>
  </si>
  <si>
    <t>Substituição do TC8120T LTFUIT02 UHFU - Fase C com capacidade de 2000 A/31,5 kA por um de 4000 A/50 kA</t>
  </si>
  <si>
    <t>0004959/2019</t>
  </si>
  <si>
    <t>Substituição do TC DJ806 LADO BR8C - FASE B com capacidade de 2000 A/31,5 kA por um de 4000 A/50 kA</t>
  </si>
  <si>
    <t>0004970/2019</t>
  </si>
  <si>
    <t>Substituição do TC DJ806 LADO BR8C - FASE A com capacidade de 2000 A/31,5 kA por um de 4000 A/50 kA</t>
  </si>
  <si>
    <t>0004969/2019</t>
  </si>
  <si>
    <t>SUBSTITUIÇÃO DO PARA-RAIOS 500KV DO BAY DA LINHA BCLD-LI702, FASE 'V'</t>
  </si>
  <si>
    <t>0004975/2019</t>
  </si>
  <si>
    <t>SUBSTITUIÇÃO DO PARA-RAIOS 500KV, AT701-PR701, FASE 'RESERVA'</t>
  </si>
  <si>
    <t>TRR 500/230 kV SAO LUIS II TRR1 MA</t>
  </si>
  <si>
    <t>0004979/2019</t>
  </si>
  <si>
    <t>SUBSTITUIÇÃO DO PARA-RAIOS 500KV, AT701-PR701, FASE 'V'</t>
  </si>
  <si>
    <t>0004982/2019</t>
  </si>
  <si>
    <t>SUBSTITUIÇÃO DO PARA-RAIOS 500KV, AT701-PR701, FASE 'A'</t>
  </si>
  <si>
    <t>0004985/2019</t>
  </si>
  <si>
    <t>SUBSTITUIÇÃO DO PARA-RAIOS 500KV DO BAY DA LINHA BCLD-LI701, FASE 'B'</t>
  </si>
  <si>
    <t>0004994/2019</t>
  </si>
  <si>
    <t>SUBSTITUIÇÃO DO DISJUNTOR LORENZETTI INEBRASA FA2-245-40 MRDJ6-02</t>
  </si>
  <si>
    <t>0004996/2019</t>
  </si>
  <si>
    <t>SUBSTITUIÇÃO DO PARA-RAIOS 500KV, LDBC-LI701, FASE 'A'</t>
  </si>
  <si>
    <t>0004998/2019</t>
  </si>
  <si>
    <t>SUBSTITUIÇÃO DO TC DE 230KV DO BAY DO DISJUNTOR LDDJ6-04 (FASE 'V')</t>
  </si>
  <si>
    <t>0005002/2019</t>
  </si>
  <si>
    <t>SUBSTITUIÇÃO DO TC DE 230KV DO BAY DO DISJUNTOR LDDJ6-04 (FASE 'B')</t>
  </si>
  <si>
    <t>0005004/2019</t>
  </si>
  <si>
    <t>SUB F.IGUACU 60HZ - 765</t>
  </si>
  <si>
    <t>Substituição da secionadora SC12611 com capacidade de 3500 A/40,0 kA por um de 4000 A/50 kA</t>
  </si>
  <si>
    <t>EL 750 kV F.IGUACU 60HZ LT 750 kV F.IGUACU 60HZ /IVAIPORA C-1 PR</t>
  </si>
  <si>
    <t>0005051/2019</t>
  </si>
  <si>
    <t>Substituição da lâmina de terra SC12220T com capacidade de 3500 A/40,0 kA por um de 4000 A/50 kA</t>
  </si>
  <si>
    <t>EL 750 kV F.IGUACU 60HZ LT 750 kV F.IGUACU 60HZ /IVAIPORA C-2 PR</t>
  </si>
  <si>
    <t>0005054/2019</t>
  </si>
  <si>
    <t>Substituição da secionadora SC12617 com capacidade de 3150 A/40,0 kA por um de 4000 A/50 kA</t>
  </si>
  <si>
    <t>0005053/2019</t>
  </si>
  <si>
    <t>Substituição da lâmina de terra SC12610T com capacidade de 3150 A/40,0 kA por um de 4000 A/50 kA</t>
  </si>
  <si>
    <t>0005050/2019</t>
  </si>
  <si>
    <t>Substituição da lâmina de terra SC12620T com capacidade de 3500 A/40,0 kA por um de 4000 A/50 kA</t>
  </si>
  <si>
    <t>0005055/2019</t>
  </si>
  <si>
    <t>Substituição da secionadora SC12627 com capacidade de 3500 A/40,0 kA por um de 4000 A/50 kA</t>
  </si>
  <si>
    <t>0005059/2019</t>
  </si>
  <si>
    <t>Substituição da secionadora SC12623 com capacidade de 3500 A/40,0 kA por um de 4000 A/50 kA</t>
  </si>
  <si>
    <t>0005058/2019</t>
  </si>
  <si>
    <t>Substituição da secionadora SC12621 com capacidade de 3500 A/40,0 kA por um de 4000 A/50 kA</t>
  </si>
  <si>
    <t>0005057/2019</t>
  </si>
  <si>
    <t>Substituição da lâmina de terra SC12630T com capacidade de 3150 A/40,0 kA por um de 4000 A/50 kA</t>
  </si>
  <si>
    <t>EL 750 kV F.IGUACU 60HZ LT 750 kV F.IGUACU 60HZ /IVAIPORA C-3 PR</t>
  </si>
  <si>
    <t>0005060/2019</t>
  </si>
  <si>
    <t>Substituição da secionadora SC12637 com capacidade de 3150 A/40,0 kA por um de 4000 A/50 kA</t>
  </si>
  <si>
    <t>0005070/2019</t>
  </si>
  <si>
    <t>Substituição da secionadora SC12917.</t>
  </si>
  <si>
    <t>LT 765 kV ITABERA /IVAIPORA C-1 SP/PR</t>
  </si>
  <si>
    <t>0005076/2019</t>
  </si>
  <si>
    <t>Substituição da lâmina de terra SC12910T.</t>
  </si>
  <si>
    <t>0005072/2019</t>
  </si>
  <si>
    <t>SUBSTITUIÇÃO DO DISJUNTOR SIEMENS 3AS2 LIDB6-01</t>
  </si>
  <si>
    <t>0005103/2019</t>
  </si>
  <si>
    <t>SUBSTITUIÇÃO DO DISJUNTOR SIEMENS 3AS2 LIDJ6-05</t>
  </si>
  <si>
    <t>LDLI-LT6-02</t>
  </si>
  <si>
    <t>0005106/2019</t>
  </si>
  <si>
    <t>EL 750 kV IVAIPORA LT 750 kV F.IGUACU 60HZ /IVAIPORA C-2 PR</t>
  </si>
  <si>
    <t>0005107/2019</t>
  </si>
  <si>
    <t>SUBSTITUIÇÃO DO DISJUNTOR SIEMENS 3AS2 LIDJ6-04</t>
  </si>
  <si>
    <t>LDLI-LT6-01</t>
  </si>
  <si>
    <t>0005114/2019</t>
  </si>
  <si>
    <t>Substituição da secionadora SC12711.</t>
  </si>
  <si>
    <t xml:space="preserve">EL 750 kV TIJUCO PRETO LT 750 kV ITABERA /TIJUCO PRETO C-1 SP </t>
  </si>
  <si>
    <t>0005122/2019</t>
  </si>
  <si>
    <t>SUBSTITUIÇÃO DO DISJUNTOR SIEMENS 3AS2 LIDJ6-03</t>
  </si>
  <si>
    <t>TR 230/69 kV SAO LUIS I TF4 MA</t>
  </si>
  <si>
    <t>0005124/2019</t>
  </si>
  <si>
    <t>Substituição da lâmina de terra SC12710T com capacidade de 3500 A/40,0 kA por um de 4000 A/50 kA</t>
  </si>
  <si>
    <t>EL 750 kV TIJUCO PRETO LT 750 kV ITABERA /TIJUCO PRETO C-1 SP</t>
  </si>
  <si>
    <t>0005121/2019</t>
  </si>
  <si>
    <t>Substituição da secionadora SC12713.</t>
  </si>
  <si>
    <t>0005126/2019</t>
  </si>
  <si>
    <t>Substituição da secionadora SC12721.</t>
  </si>
  <si>
    <t xml:space="preserve">EL 750 kV TIJUCO PRETO LT 750 kV ITABERA /TIJUCO PRETO C-2 SP </t>
  </si>
  <si>
    <t>0005133/2019</t>
  </si>
  <si>
    <t>Substituição da lâmina de terra SC12720T.</t>
  </si>
  <si>
    <t>0005132/2019</t>
  </si>
  <si>
    <t>Substituição da lâmina de terra SC12240T.</t>
  </si>
  <si>
    <t>0005131/2019</t>
  </si>
  <si>
    <t>Substituição da secionadora SC12727.</t>
  </si>
  <si>
    <t>0005136/2019</t>
  </si>
  <si>
    <t>Substituição da secionadora SC12723.</t>
  </si>
  <si>
    <t>0005135/2019</t>
  </si>
  <si>
    <t>SUBSTITUIÇÃO DO DISJUNTOR SIEMENS 3AS2 LIDJ6-02</t>
  </si>
  <si>
    <t>0005146/2019</t>
  </si>
  <si>
    <t>0005145/2019</t>
  </si>
  <si>
    <t>SUBSTITUIÇÃO DO DISJUNTOR SIEMENS 3AS2 LIDJ6-01</t>
  </si>
  <si>
    <t>TR 230/69 kV SAO LUIS I TF2 MA</t>
  </si>
  <si>
    <t>0005156/2019</t>
  </si>
  <si>
    <t>LT 230 kV CAMACARI II /COTEGIPE BA - 230</t>
  </si>
  <si>
    <t>Substituição do conjunto de cadeias de isoladores de mesma classe de tensão, tipo, material e composição das estruturas: 1 2 4 5 6 7 8 9 10 11 14 15 16 17 18 19 20 21 22 23 24 25 26 29 31 32 33 34 35 36 37 38 39 40 42 43 44 45 46 47 48 49 50 51 52 53 54 55 56 58 61  (51 estruturas).</t>
  </si>
  <si>
    <t>FT LT 230 kV CAMACARI II /COTEGIPE C-2 BA</t>
  </si>
  <si>
    <t>0005236/2019</t>
  </si>
  <si>
    <t>LT 230 kV NATAL III /NATAL II RN - 230</t>
  </si>
  <si>
    <t>Substituição do conjunto de cadeias de isoladores de mesma classe de tensão, tipo, material e composição das estruturas: 001/1, 001/2, 001/3, 006/2, 007/1, 009/3, 010/1, 011/1, 011/2, 012/1, 012/2 e pórtico da NTD. Totalizando 11 estrutura e 01 pórtico.</t>
  </si>
  <si>
    <t>FT LT 230 kV NATAL III /NATAL II C-1 RN</t>
  </si>
  <si>
    <t>0005251/2019</t>
  </si>
  <si>
    <t>LT 138 kV PARAISO /SANTA CRUZ II RN - 138</t>
  </si>
  <si>
    <t>Substituição do conjunto de cadeias de isoladores de mesma classe de tensão, tipo, material e composição das estruturas: 000531, 000533, 000534, 000536, 000537, 000539, 000541, 000542, 000543, 000544, 000548, 000550, 000551 e Pórtico de STD. Totalizando 13 Estruturas e 01 pórtico.</t>
  </si>
  <si>
    <t>LT - LINHA DE TRANSMISSÃO</t>
  </si>
  <si>
    <t>0005249/2019</t>
  </si>
  <si>
    <t>LT 230 kV EXTREMOZ II /NATAL III RN - 230</t>
  </si>
  <si>
    <t>Substituição do conjunto de cadeias de isoladores de mesma classe de tensão, tipo, material e composição das estruturas: 177/2A e pórtico de NTT.</t>
  </si>
  <si>
    <t>FT LT 230 kV EXTREMOZ II /NATAL III C-1 RN</t>
  </si>
  <si>
    <t>0005250/2019</t>
  </si>
  <si>
    <t>LT 230 kV PARAISO /ACU II RN - 230</t>
  </si>
  <si>
    <t>Substituição do conjunto de cadeias de isoladores de mesma classe de tensão, tipo, material e composição das estruturas:  099/1, 099/2, 100/1, 100/2, 101/1, 101/2, 102/1, 102/2, 103/1, 103/2, 104/1, 104/2, 105/1, 106/1, 106/2, 107/1, 107/2, 107/3, 108/1, 109/1, 109/2,  Totalizando 21 Estruturas.</t>
  </si>
  <si>
    <t>FT LT 230 kV PARAISO /ACU II C-2 RN</t>
  </si>
  <si>
    <t>0005252/2019</t>
  </si>
  <si>
    <t>LT 230 kV PARAISO /NATAL II RN - 230</t>
  </si>
  <si>
    <t>Substituição do conjunto de cadeias de isoladores de mesma classe de tensão;tipo;material e composição das estruturas:  24/1;24/3;26/1;26/2;32/3;39/2;40/2;42/2;42/3;43/1;44/1;45/2;46/1;49/2;50/1;55/3;58/1;59/3;60/2;61/1;62/2;64/2;66/1;68/1;69/1;69/2;71/2;75/3;78/1;87/1;88/3;090/3;091/2. = 33 Torres</t>
  </si>
  <si>
    <t>FT LT 230 kV PARAISO /NATAL II C-1 RN</t>
  </si>
  <si>
    <t>0005266/2019</t>
  </si>
  <si>
    <t>Substituição do conjunto de cadeias de isoladores de mesma classe de tensão;tipo;material e composição das estruturas:  1/1;1/2;1/3;2/1;2/2;2/3;3/1;3/2;3/3;4/1;4/2;5/2;6/1;6/3;8/1;14/2;15/1;15/2;15/3;17/1;18/2;19/1;19/2;19/3;20/1;20/2;20/3;21/1;21/2;21/3;22/1;23/1. = 32 Estruturas</t>
  </si>
  <si>
    <t>0005265/2019</t>
  </si>
  <si>
    <t>Substituição do conjunto de cadeias de isoladores de mesma classe de tensão;tipo;material e composição das estruturas:  1/1;1/3;2/1;2/2;003/1;003/2;003/3;004/1;004/2;005/2;005/3;006/1;012/2;015/1;015/3;016/1;016/3;017/1;018/1;018/2;019/1;019/2;020/2;020/3;021/1;023/1. Totalizando 26 Estruturas</t>
  </si>
  <si>
    <t>FT LT 230 kV PARAISO /NATAL II C-2 RN</t>
  </si>
  <si>
    <t>0005267/2019</t>
  </si>
  <si>
    <t>Substituição do conjunto de cadeias de isoladores de mesma classe de tensão;tipo;material e composição das estruturas:  088/2;089/1;089/2;089/3;090/1;090/2;091/2;092/1;092/2;093/1;093/2;094/1;094/2;094/3;095/1;095/2;095/3;096/1;096/2;096/3;097/1;097/2;097/3;099/1;099/3. Totalizando 25 Estruturas</t>
  </si>
  <si>
    <t>0005269/2019</t>
  </si>
  <si>
    <t>Substituição do conjunto de cadeias de isoladores de mesma classe de tensão;tipo;material e composição das estruturas:  88/2;89/1;89/2;89/3;90/1;90/2;90/3;91/1;91/2;91/3;92/1;92/2;93/1;93/2;94/1;94/2;94/3;95/1;95/2;95/3;96/1;96/2;96/3;97/1;97/2;97/3;98/1;98/2;99/1;99/2;99/3 = 31 Torres</t>
  </si>
  <si>
    <t>0005270/2019</t>
  </si>
  <si>
    <t>Substituição do conjunto de cadeias de isoladores de mesma classe de tensão;tipo;material e composição das estruturas: 466;467;468;469;470;471;472;473;474;476;477;478;479;480;481; 482;484;485;487;488;489;491;492;493;494;495;496;499;503; = 29 Estruturas</t>
  </si>
  <si>
    <t>0005271/2019</t>
  </si>
  <si>
    <t>Substituição do conjunto de cadeias de isoladores de mesma classe de tensão;tipo;material e composição das estruturas: 1/1;1/2;1/3;1/4;2/2;003/1;003/2;003/3;003/4;004/1;004/2;004/3;005/1;005/2;006/1;006/2;007/2;008/1;009/1;009/3;010/1;011/2;012/1;012/2 e pórtico NTD. = 24 estruturas e 01 pórtico.</t>
  </si>
  <si>
    <t>FT LT 230 kV NATAL III /NATAL II C-2 RN</t>
  </si>
  <si>
    <t>0005273/2019</t>
  </si>
  <si>
    <t>Substituição do conjunto de cadeias de isoladores de mesma classe de tensão;tipo;material e composição das estruturas: 82/1;82/2;83/1;84/1;84/2;85/1;85/2;86/1;86/2;87/1;87/2;88/1;88/2;89/1;89/2;90/1;90/2;91/1;91/2;92/1;92/2;93/1;93/2;94/1;94/2;95/1;95/2;96/1;96/2;97/1;97/2;98/1 = 32 Est.</t>
  </si>
  <si>
    <t>0005274/2019</t>
  </si>
  <si>
    <t>Substituição do conjunto de cadeias de isoladores de mesma classe de tensão;tipo;material;composição das estruturas: 100/3;101/1;101/2;102/1;102/2;103/1;106/1;106/2;119/2;120/1;129/2;130/1;134/1;166/2;170/1;171/1;172/1;172/2;173/1;173/2;174/1;174/2;175/1;175/2;176/1;176/2;177/1;177/2. = 28 Torres</t>
  </si>
  <si>
    <t>0005272/2019</t>
  </si>
  <si>
    <t>Troca do sistema de proteção, controle e supervisão</t>
  </si>
  <si>
    <t>0005497/2019</t>
  </si>
  <si>
    <t>SUB MACAE MERCHAN - 345</t>
  </si>
  <si>
    <t>Troca do sistema de controle e supervisão</t>
  </si>
  <si>
    <t xml:space="preserve">EL 345 kV MACAE MERCHAN LT 345 kV CAMPOS /MACAE MERCHAN C-1 RJ </t>
  </si>
  <si>
    <t>0005501/2019</t>
  </si>
  <si>
    <t>0005499/2019</t>
  </si>
  <si>
    <t>Troca da proteção BF DJ8464</t>
  </si>
  <si>
    <t>0005500/2019</t>
  </si>
  <si>
    <t>Troca da proteção BF DJ8574</t>
  </si>
  <si>
    <t>MG 345 kV MACAE MERCHAN MG1 RJ</t>
  </si>
  <si>
    <t>0005505/2019</t>
  </si>
  <si>
    <t xml:space="preserve">EL 345 kV MACAE MERCHAN LT 345 kV CAMPOS /MACAE MERCHAN C-2 RJ </t>
  </si>
  <si>
    <t>0005507/2019</t>
  </si>
  <si>
    <t>Troca do sistema de controle e supervisão (após seccionamentos COMPERJ e SE Lagos)</t>
  </si>
  <si>
    <t xml:space="preserve">EL 345 kV MACAE MERCHAN LT 345 kV ADRIANOPOLIS /MACAE MERCHAN C-1 RJ </t>
  </si>
  <si>
    <t>0005504/2019</t>
  </si>
  <si>
    <t>0005509/2019</t>
  </si>
  <si>
    <t>Troca da proteção BF DJ8474</t>
  </si>
  <si>
    <t>0005508/2019</t>
  </si>
  <si>
    <t>Troca da proteção BF DJ8554</t>
  </si>
  <si>
    <t>0005516/2019</t>
  </si>
  <si>
    <t>Troca da proteção BF DJ8584</t>
  </si>
  <si>
    <t>0005523/2019</t>
  </si>
  <si>
    <t>Troca do controle e supervisão Proteção de barras e Serviço Auxiliar</t>
  </si>
  <si>
    <t>0005528/2019</t>
  </si>
  <si>
    <t>Troca da proteção de barras</t>
  </si>
  <si>
    <t>0005529/2019</t>
  </si>
  <si>
    <t>Substituição do conjunto de cadeias de isoladores de mesma classe de tensão, tipo, material e composição das estr.: 109/3, 110/2, 110/3, 111/1, 111/2, 112/1, 112/2, 113/1, 113/2, 114/1, 114/2, 115/1, 115/2, 116/1, 116/2, 117/1, 117/2, 118/2, 118/3A, 118/4A, 118/5 = 21 Estr.</t>
  </si>
  <si>
    <t>0005534/2019</t>
  </si>
  <si>
    <t>Substituição do conjunto de cadeias de isoladores de mesma classe de tensão, tipo, material e composição das estr.: 100/1, 100/2, 100/3, 101/1, 101/2, 102/1, 102/2, 103/1, 103/2, 103/3, 104/1, 104/2, 105/2, 105/3, 106/1, 106/2, 107/2, 107/3, 108/1, 108/2, 108/3, 109/2 = 22 Estr.</t>
  </si>
  <si>
    <t>0005533/2019</t>
  </si>
  <si>
    <t>Substituição de 01 (um) Transformador Potencial, Posição Operacional 84M7, Fase A, SUB ANGELIM</t>
  </si>
  <si>
    <t>0005685/2019</t>
  </si>
  <si>
    <t>Substituição de 01 (um) Transformador Potencial, Posição Operacional 84M7, Fase B, SUB ANGELIM</t>
  </si>
  <si>
    <t>0005686/2019</t>
  </si>
  <si>
    <t>Substituição de 01 (um) Transformador Potencial, Posição Operacional 84M7, Fase C, SUB ANGELIM</t>
  </si>
  <si>
    <t>0005691/2019</t>
  </si>
  <si>
    <t>Substituição de 01 (um) Para-Raio, Posição Operacional 74M8, Fase B, SUB ANGELIM</t>
  </si>
  <si>
    <t>0005695/2019</t>
  </si>
  <si>
    <t>Substituição de 01 (um) Para-Raio, Posição Operacional 74M8, Fase C, SUB ANGELIM</t>
  </si>
  <si>
    <t>0005696/2019</t>
  </si>
  <si>
    <t>Substituição de 01 (um) Para-Raio, Posição Operacional 74M8, Fase A, SUB ANGELIM</t>
  </si>
  <si>
    <t>0005693/2019</t>
  </si>
  <si>
    <t>Substituição de 01 (um) Transformador Potencial, Posição Operacional 84M8, Fase C, SUB ANGELIM</t>
  </si>
  <si>
    <t>0005700/2019</t>
  </si>
  <si>
    <t>Substituição de 01 (um) Transformador Potencial, Posição Operacional 84M8, Fase A, SUB ANGELIM</t>
  </si>
  <si>
    <t>0005697/2019</t>
  </si>
  <si>
    <t>Substituição de 01 (um) Transformador Potencial, Posição Operacional 84M8, Fase B, SUB ANGELIM</t>
  </si>
  <si>
    <t>0005698/2019</t>
  </si>
  <si>
    <t>Substituição de 01 (um) Para-Raio, Posição Operacional 74N2, Fase B, SUB ANGELIM</t>
  </si>
  <si>
    <t>FT LT 230 kV GARANHUNS II /ANGELIM C-1 PE</t>
  </si>
  <si>
    <t>0005704/2019</t>
  </si>
  <si>
    <t>Substituição de 01 (um) Para-Raio, Posição Operacional 74N2, Fase A, SUB ANGELIM</t>
  </si>
  <si>
    <t>0005703/2019</t>
  </si>
  <si>
    <t>Substituição de 01 (um) Transformador Corrente, Posição Operacional 94N2, Fase B, SUB ANGELIM</t>
  </si>
  <si>
    <t>0005709/2019</t>
  </si>
  <si>
    <t>Substituição de 01 (um) Transformador Corrente, Posição Operacional 94N2, Fase A, SUB ANGELIM</t>
  </si>
  <si>
    <t>0005708/2019</t>
  </si>
  <si>
    <t>Substituição de 01 (um) Para-Raio, Posição Operacional 74N2, Fase C, SUB ANGELIM</t>
  </si>
  <si>
    <t>0005707/2019</t>
  </si>
  <si>
    <t>Substituição de 01 (um) Disjuntor, Posição Operacional 14N2, SUB ANGELIM</t>
  </si>
  <si>
    <t>0005711/2019</t>
  </si>
  <si>
    <t>Substituição de 01 (um) Transformador Corrente, Posição Operacional 94N2, Fase C, SUB ANGELIM</t>
  </si>
  <si>
    <t>0005710/2019</t>
  </si>
  <si>
    <t>Substituição de 01 (um) Seccionador, Posição Operacional 34N2-5, SUB ANGELIM</t>
  </si>
  <si>
    <t>0005715/2019</t>
  </si>
  <si>
    <t>Substituição de 01 (um) Seccionador, Posição Operacional 34N2-4, SUB ANGELIM</t>
  </si>
  <si>
    <t>0005713/2019</t>
  </si>
  <si>
    <t>Substituição de 01 (um) Para-Raio, Posição Operacional 74N4, Fase B, SUB ANGELIM</t>
  </si>
  <si>
    <t>FT LT 230 kV GARANHUNS II /ANGELIM C-3 PE</t>
  </si>
  <si>
    <t>0005718/2019</t>
  </si>
  <si>
    <t>Substituição de 01 (um) Para-Raio, Posição Operacional 74N4, Fase C, SUB ANGELIM</t>
  </si>
  <si>
    <t>0005719/2019</t>
  </si>
  <si>
    <t>Substituição de 01 (um) Seccionador, Posição Operacional 34S1-1, SUB ANGELIM</t>
  </si>
  <si>
    <t>0005721/2019</t>
  </si>
  <si>
    <t>Substituição de 01 (um) Seccionador, Posição Operacional 34S1-2, SUB ANGELIM</t>
  </si>
  <si>
    <t>0005725/2019</t>
  </si>
  <si>
    <t>Substituição de 01 (um) Seccionador, Posição Operacional 34S1-4, SUB ANGELIM</t>
  </si>
  <si>
    <t>0005728/2019</t>
  </si>
  <si>
    <t>Substituição de 01 (um) Seccionador, Posição Operacional 34S1-5, SUB ANGELIM</t>
  </si>
  <si>
    <t>0005731/2019</t>
  </si>
  <si>
    <t>Substituição de 01 (um) Para-Raio, Posição Operacional 74S1, Fase A, SUB ANGELIM</t>
  </si>
  <si>
    <t>0005734/2019</t>
  </si>
  <si>
    <t>Substituição de 01 (um) Transformador Potencial, Posição Operacional 84S1, Fase B, da SUB ANGELIM</t>
  </si>
  <si>
    <t>0005747/2019</t>
  </si>
  <si>
    <t>Substituição de 01 (um) Para-Raio, Posição Operacional 74S1, Fase B, SUB ANGELIM</t>
  </si>
  <si>
    <t>0005738/2019</t>
  </si>
  <si>
    <t>Substituição de 01 (um) Transformador Potencial, Posição Operacional 84S1, Fase A, da SUB ANGELIM</t>
  </si>
  <si>
    <t>0005742/2019</t>
  </si>
  <si>
    <t>Substituição de 01 (um) Para-Raio, Posição Operacional 74S1, Fase C, SUB ANGELIM</t>
  </si>
  <si>
    <t>0005741/2019</t>
  </si>
  <si>
    <t>Substituição de 01 (um) Transformador Potencial, Posição Operacional 84S1, Fase C, da SUB ANGELIM</t>
  </si>
  <si>
    <t>0005750/2019</t>
  </si>
  <si>
    <t>Substituição de 01 (um) Transformador Corrente, Posição Operacional 94S1, Fase A, SUB ANGELIM</t>
  </si>
  <si>
    <t>0005755/2019</t>
  </si>
  <si>
    <t>Substituição de 01 (um) Transformador Corrente, Posição Operacional 94S1, Fase B, SUB ANGELIM</t>
  </si>
  <si>
    <t>0005764/2019</t>
  </si>
  <si>
    <t>Substituição de 01 (um) Transformador Corrente, Posição Operacional 94S1, Fase C, SUB ANGELIM</t>
  </si>
  <si>
    <t>0005767/2019</t>
  </si>
  <si>
    <t>Substituição de 01 (um) Seccionador, Posição Operacional 34S2-4, SUB ANGELIM</t>
  </si>
  <si>
    <t>0005770/2019</t>
  </si>
  <si>
    <t>Substituição de 01 (um) Para-Raio, Posição Operacional 74T3, Fase A, SUB ANGELIM</t>
  </si>
  <si>
    <t>0005776/2019</t>
  </si>
  <si>
    <t>Substituição de 01 (um) Para-Raio, Posição Operacional 74T3, Fase B, SUB ANGELIM</t>
  </si>
  <si>
    <t>0005778/2019</t>
  </si>
  <si>
    <t>Substituição de 01 (um) Seccionador, Posição Operacional 34S2-5, SUB ANGELIM</t>
  </si>
  <si>
    <t>0005774/2019</t>
  </si>
  <si>
    <t>Substituição de 01 (um) Para-Raio, Posição Operacional 74T3, Fase C, SUB ANGELIM</t>
  </si>
  <si>
    <t>0005781/2019</t>
  </si>
  <si>
    <t>Substituição de 01 (um) Seccionador, Posição Operacional 34T5-4, SUB ANGELIM</t>
  </si>
  <si>
    <t>0005786/2019</t>
  </si>
  <si>
    <t>Substituição de 01 (um) Seccionador, Posição Operacional 34T5-5, SUB ANGELIM</t>
  </si>
  <si>
    <t>0005790/2019</t>
  </si>
  <si>
    <t>Substituição de 01 (um) Conjunto de Isoladores de Pedestal associado a EL 04M3 da SUB ANGELIM</t>
  </si>
  <si>
    <t>0005794/2019</t>
  </si>
  <si>
    <t>Substituição de 01 (um) Conjunto de Isoladores de Pedestal associado a EL 04M6 da SUB ANGELIM</t>
  </si>
  <si>
    <t>0005795/2019</t>
  </si>
  <si>
    <t>Substituição de 01 (um) Conjunto de Isoladores de Pedestal associado a EL 04M8 da SUB ANGELIM</t>
  </si>
  <si>
    <t>0005803/2019</t>
  </si>
  <si>
    <t>Substituição de 01 (um) Conjunto de Isoladores de Pedestal associado a EL 04M7 da SUB ANGELIM</t>
  </si>
  <si>
    <t>0005800/2019</t>
  </si>
  <si>
    <t>Substituição de 01 (um) Conjunto de Isoladores de Pedestal associado a EL 04N2 da SUB ANGELIM</t>
  </si>
  <si>
    <t>0005811/2019</t>
  </si>
  <si>
    <t>Substituição de 01 (um) Conjunto de Isoladores de Pedestal associado a EL 04M9 da SUB ANGELIM</t>
  </si>
  <si>
    <t>0005808/2019</t>
  </si>
  <si>
    <t>Substituição de 01 (um) Conjunto de Isoladores de Pedestal associado a EL 04S1 da SUB ANGELIM</t>
  </si>
  <si>
    <t>0005819/2019</t>
  </si>
  <si>
    <t>Substituição de 01 (um) Conjunto de Isoladores de Pedestal associado ao TR 04T5 da SUB ANGELIM</t>
  </si>
  <si>
    <t>0005827/2019</t>
  </si>
  <si>
    <t>Substituição de 01 (um) Conjunto de Isoladores de Pedestal associado a Interligação de Barras da SUB ANGELIM</t>
  </si>
  <si>
    <t>0005829/2019</t>
  </si>
  <si>
    <t>Substituição de 01 (um) Conjunto de Isoladores de Pedestal associado a EL 04S2 da SUB ANGELIM</t>
  </si>
  <si>
    <t>0005824/2019</t>
  </si>
  <si>
    <t>Substituição do conjunto de cadeias de isoladores de mesma classe de tensão, tipo, material e composição das estr: 100/1, 100/2, 100/3, 101/1, 101/2, 102/1, 102/2, 103/1, 103/2, 104/2, 105/2, 105/3, 106/1, 106/2, 107/1, 107/2, 107/3, 108/1, 108/3, 109/1, 109/2, 109/3, 110/2, 111/1, 111/2 = 25 Estr</t>
  </si>
  <si>
    <t>0005926/2019</t>
  </si>
  <si>
    <t>Substituição do conjunto de cadeias de isoladores de mesma classe de tensão, tipo, material e composição das estr: 112/1, 112/2, 113/1, 113/2, 114/1, 114/2, 115/1, 115/2, 116/1, 116/2, 117/2, 118/1, 118/2, 118/3B, 118/5 = 15 Estr</t>
  </si>
  <si>
    <t>0005930/2019</t>
  </si>
  <si>
    <t>LT 138 kV ACU II /SAN.MATOS II RN - 138</t>
  </si>
  <si>
    <t>Substituição do conjunto de cadeias de isoladores de mesma classe de tensão, tipo, material e composição das estr: 021/3, 022/1, 022/2, 022/3, 022/4, 022/5, 023/1, 023/2, 023/3, 024/1, 024/2, 024/3,  024/4, 024/5, 025/1, 025/2, 025/3, 025/4, 026/1, 026/2, 026/3, 026/4, 027/1, 027/2, 027/3 = 25 Estr</t>
  </si>
  <si>
    <t>0005959/2019</t>
  </si>
  <si>
    <t>Substituição do conjunto de cadeias de isoladores de mesma classe de tensão, tipo, material e composição das estr: 035/2, 035/3, 035/4, 036/1, 036/2, 036/3, 036/4, 037/1, 037/2, 037/3, 037/4, 038/1, 038/2, 038/3, 038/4, 039/1, 039/2, 039/3, 039/4, 039/5, 040/1, 040/2, 040/3, 041/1, 041/2 = 25 Estr</t>
  </si>
  <si>
    <t>0005966/2019</t>
  </si>
  <si>
    <t>Substituição do conjunto de cadeias de isoladores de mesma classe de tensão, tipo, material e composição das estr: 015/4, 016/1, 016/2, 016/3, 016/4, 017/1, 017/2, 017/3, 017/4, 018/1, 018/2, 018/3, 018/4, 019/1, 019/2, 019/3, 019/4, 019/5, 020/1, 020/2, 020/3, 020/4, 020/5, 021/1, 021/2 = 25 Estr</t>
  </si>
  <si>
    <t>0005957/2019</t>
  </si>
  <si>
    <t>Substituição do conjunto de cadeias de isoladores de mesma classe de tensão, tipo, material e composição das estr: 027/4, 028/1, 028/2, 028/4, 029/1, 029/2, 029/3, 030/1, 030/2, 030/3, 030/4, 031/1, 031/2, 032/1, 032/2, 032/3, 032/4, 033/1, 033/2, 033/3, 033/4, 034/1, 034/2, 034/2A, 035/1 = 25 Estr</t>
  </si>
  <si>
    <t>0005961/2019</t>
  </si>
  <si>
    <t>Substituição do conjunto de cadeias de isoladores de mesma classe de tensão, tipo, material e composição das estr: 047/3, 047/4, 047/5, 048/1, 048/2, 048/3, 048/4, 049/2, 049/3, 049/4, 050/1, 050/2, 050/3, 050/4, ACD, SMD = 16 Estr</t>
  </si>
  <si>
    <t>0005971/2019</t>
  </si>
  <si>
    <t>Substituição do conjunto de cadeias de isoladores de mesma classe de tensão, tipo, material e composição das estr: 041/3, 041/4, 042/1, 042/2, 042/3, 042/4, 042/4A, 043/2, 043/3, 043/4, 043/5, 043/6, 044/1, 044/2, 044/3, 045/1, 045/2, 045/3, 045/4, 046/1, 046/2, 046/3, 046/4, 047/1, 047/2 = 25 Estr</t>
  </si>
  <si>
    <t>0005969/2019</t>
  </si>
  <si>
    <t>Substituição do conjunto de cadeias de isoladores de mesma classe de tensão,tipo,material e composição das est: 427, 428, 429, 430, 431, 432, 433, 434, 435, 436, 437, 438, 439, 441, 442, 443, 444, 445, 446, 447, 449, 450, 451, 452, 453, 454, 455, 458, 459, 460, 461, 462, 463, 464, 465, 504 = 36 Est.</t>
  </si>
  <si>
    <t>0005982/2019</t>
  </si>
  <si>
    <t>Substituição do TC  LTGAIN1 STGA - Fase A com capacidade de 4000 A/31,5 kA por um de 4000 A/63 kA</t>
  </si>
  <si>
    <t>0005979/2019</t>
  </si>
  <si>
    <t>Substituição do conjunto de cadeias de isoladores de mesma classe de tensão,tipo,material e composição das est: 505, 506, 507, 508, 509, 511, 512, 513, 514, 515, 517, 518, 519, 520, 525, 526, 529, 530, 532, 534, 535, 538, 539, 540, 541, 543, 544, 546, 547, 548, 549, 550, 551, 552, 553, 554 = 36 Est</t>
  </si>
  <si>
    <t>0005993/2019</t>
  </si>
  <si>
    <t>LT 138 kV PILOES /PARAISO PB/RN - 138</t>
  </si>
  <si>
    <t>Substituição do conjunto de cadeias de isoladores de mesma classe de tensão, tipo, material e composição das estr: 493;494;495;496;497;499;500;504;505;506;507;508;509;511;512;513;514;515;516;518;519;520;524;525;526;527;528;529;529A;1/1;1/2;1/3;2/1;2/2;3/1;3/2;4/1;4/2;PRS = 39 Estr.</t>
  </si>
  <si>
    <t>0006025/2019</t>
  </si>
  <si>
    <t>Substituição do conjunto de cadeias de isoladores de mesma classe de tensão, tipo, material e composição das estr: 427;428;430;432;433;434;438;441;442;443;444;445;446;447;449;450;451;452;458;459;461;462;463;464;465;466;468;469;471;474;477;478;479;480;481;482;484;485;486;487;488;489;490;492 = 44 Estr</t>
  </si>
  <si>
    <t>0006020/2019</t>
  </si>
  <si>
    <t>Substituição do conjunto de cadeias de isoladores de mesma classe de tensão, tipo, material e composição das estr: 124/2;125/1;125/2;126/1;126/2;127/1;127/2;128/1;128/2;129/1;129/2;130/1;130/2;131/1;131/2;153/2;166/2;171/2;174/2;175/1;175/2;176/1;177/1 = 23 Estr.</t>
  </si>
  <si>
    <t>0006051/2019</t>
  </si>
  <si>
    <t>Substituição do conjunto de cadeias de isoladores de mesma classe de tensão, tipo, material e composição das estr: 040/2, 041/1, 041/2, 042/1, 042/2, 043/1, 043/2, 044/1, 045/1, 045/2, 046/1, 046/2, 047/1, 047/2, 048/1, 049/1, 049/2, 050/1, 050/2, 051/1, 052/1, 052/2, 053/1, 053/2, 054/1 = 25 Estr</t>
  </si>
  <si>
    <t>0006083/2019</t>
  </si>
  <si>
    <t>Substituição do conjunto de cadeias de isoladores de mesma classe de tensão, tipo, material e composição das estr: 070/1, 070/2, 070/3, 071/1, 071/2, 072/1, 072/2, 073/1, 073/2, 074/1, 074/2, 075/1, 075/2, 076/1, 076/2, 077/1, 077/2, 078/1, 078/2, 079/1, 080/1, 080/2, 081/1, 081/2, 110/1 = 25 Estr</t>
  </si>
  <si>
    <t>0006089/2019</t>
  </si>
  <si>
    <t xml:space="preserve"> LT Adrianópolis Jacarepaguá C1  - 345</t>
  </si>
  <si>
    <t xml:space="preserve">Tratamento de proteção anticorrosiva, para extensão de vida útil, em fundações do tipo grelha: 16 fundações metálicas (04 torres ao longo da LT) </t>
  </si>
  <si>
    <t xml:space="preserve"> LT 345 kV Adrianópolis - Jacarepaguá C1 </t>
  </si>
  <si>
    <t>0006073/2019</t>
  </si>
  <si>
    <t>Substituição do conjunto de cadeias de isoladores de mesma classe de tensão, tipo, material e composição das estr: 028/1, 028/2, 029/1, 029/2, 030/1, 030/2, 031/1, 031/2, 032/1, 032/2, 033/1, 034/1, 034/2, 035/1, 035/2, 036/1, 036/2, 036/3, 036/4, 037/1, 038/1, 038/2, 039/1, 039/2, 040/1 = 25 Estr</t>
  </si>
  <si>
    <t>0006082/2019</t>
  </si>
  <si>
    <t>LT Adrianópolis Jacarepaguá  C2  - 345</t>
  </si>
  <si>
    <t>LT 345 kV Adrianópolis - Jacarepaguá C2</t>
  </si>
  <si>
    <t>0006076/2019</t>
  </si>
  <si>
    <t>Substituição do conjunto de cadeias de isoladores de mesma classe de tensão, tipo, material e composição das estr: 110/2, 111/1, 111/2, 112/1, 112/2, 113/1, 113/2,114/1, 114/2, 115/1, 115/2, 116/1, 116/2, 117/1, 117/2, 118/1, 118/2, 119/1, 119/2, 120/1, 120/2, 121/1, 121/2, 122/1, 122/2 = 25 Estr</t>
  </si>
  <si>
    <t>0006091/2019</t>
  </si>
  <si>
    <t>Substituição do conjunto de cadeias de isoladores de mesma classe de tensão, tipo, material e composição das estr: 123/1, 124/1, 124/2, 125/1, 125/2, 126/1, 126/2, 127/1, 127/2, 128/1, 128/2, 129/1, 129/2, 130/1, 130/2, 130/3, 131/1, 131/2, 132/1, 132/2, 133/1, 133/2, ACD, PRS = 24 Estr</t>
  </si>
  <si>
    <t>0006093/2019</t>
  </si>
  <si>
    <t xml:space="preserve"> LT 230 kV BARRA PEIXE /RONDONOPOLIS C-1 MT - 230</t>
  </si>
  <si>
    <t>Desenvolver, adquirir e instalar dispositivo de proteção de cadeias de isoladores contra fezes de aves em 538 estruturas.</t>
  </si>
  <si>
    <t>LT 230 kV BARRA PEIXE /RONDONOPOLIS C-1 MT</t>
  </si>
  <si>
    <t>0006160/2019</t>
  </si>
  <si>
    <t>USI M. MORAES - 13,8</t>
  </si>
  <si>
    <t>Substituição da secionadora SC2053.</t>
  </si>
  <si>
    <t>UG-05</t>
  </si>
  <si>
    <t>0006459/2019</t>
  </si>
  <si>
    <t>Substituição da secionadora SC2063.</t>
  </si>
  <si>
    <t>UG-06</t>
  </si>
  <si>
    <t>0006461/2019</t>
  </si>
  <si>
    <t>Substituição da secionadora SC2083.</t>
  </si>
  <si>
    <t>UG-08</t>
  </si>
  <si>
    <t>0006466/2019</t>
  </si>
  <si>
    <t>Substituição da secionadora SC2073.</t>
  </si>
  <si>
    <t>UG-07</t>
  </si>
  <si>
    <t>0006463/2019</t>
  </si>
  <si>
    <t xml:space="preserve">Substituição de 01(um) Disjuntor de 230 kV -GMDJ6 11 - associado a função BANCO DE CAPACITORES GMBC6-01 da Subestação Guamá. </t>
  </si>
  <si>
    <t>0006498/2019</t>
  </si>
  <si>
    <t>LT 500 kV USI XINGO /JARDIM AL/SE - 500</t>
  </si>
  <si>
    <t>Substituição do conjunto de cadeias de isoladores de mesma classe de tensão, tipo, material e composição das estruturas: 132/1 131/2 131/1 130/2 130/1 129/3 129/2 129/1 128/1 127/3 127/2 127/1 126/2 126/1 125/2 125/1 124/2 124/1 123/2 123/1 122/2 122/1 121/2 121/1 120/1 119/3 119/2(27 estruturas)</t>
  </si>
  <si>
    <t>FT LT 500 kV USINA XINGO /JARDIM C-1 AL/SE</t>
  </si>
  <si>
    <t>0006528/2019</t>
  </si>
  <si>
    <t>Substituição do conjunto de cadeias de isoladores de mesma classe de tensão, tipo, material e composição das estruturas: 160/2 160/1 159/2 159/1 158/2 158/1 157/2 157/1 156/2 156/1 155/2 155/1 154/2 154/1 153/2 153/1 152/1 151/2 151/1 150/2 149/3 150/1 149/2 149/1 148/2 148/1 147/2(27 estruturas)</t>
  </si>
  <si>
    <t>0006521/2019</t>
  </si>
  <si>
    <t>Substituição do conjunto de cadeias de isoladores de mesma classe de tensão, tipo, material e composição das estruturas: 147/1 146/2 146/1 145/2 145/1 144/1 143/2 143/1 142/1 141/2 141/1 140/1 139/3 139/2 139/1 138/1 137/2 137/1 136/2 136/1 135/2 135/1 134/1 133/2 133/1 132/3 132/2(27 estruturas)</t>
  </si>
  <si>
    <t>0006525/2019</t>
  </si>
  <si>
    <t xml:space="preserve">Revitalização geral com substituição de componentes do mecanismo de acionamento de abertura e fechamento de 01(um) Disjuntor de 230 kV -GMDJ6 11 - associado a função BANCO DE CAPACITORES GMBC6-01 da Subestação Guamá. </t>
  </si>
  <si>
    <t>0006574/2019</t>
  </si>
  <si>
    <t xml:space="preserve">Revitalização geral com substituição de componentes do mecanismo de acionamento de abertura e fechamento  01(um) Disjuntor de 230 kV ( GMDJ6 12 ) associado a função BANCO DE CAPACITORES GMBC6-02 da Subestação Guamá. </t>
  </si>
  <si>
    <t>0006589/2019</t>
  </si>
  <si>
    <t>0006594/2019</t>
  </si>
  <si>
    <t>Revitalização geral com substituição de componentes do mecanismo de acionamento de abertura e fechamento de 01(um) Disjuntor de 230KV -(UGDJ6-19)  - associado a função BANCO DE CAPACITORES UGBC6-04 da Subestação Utinga</t>
  </si>
  <si>
    <t>0006657/2019</t>
  </si>
  <si>
    <t>Revitalização geral com substituição de componentes do mecanismo de acionamento de abertura e fechamento de 01(um) Disjuntor de 230KV -(UGDJ6-18)  - associado a função BANCO DE CAPACITORES UGBC6-03 da Subestação Utinga</t>
  </si>
  <si>
    <t>0006653/2019</t>
  </si>
  <si>
    <t>Revitalização geral com substituição de componentes do mecanismo de acionamento de abertura e fechamento de 01(um) Disjuntor de 230KV -(MMDJ6-01)  - associado a função TRANSFORMAÇÃO MMTF601.</t>
  </si>
  <si>
    <t>TRANSFORMAÇÃO MMTF601</t>
  </si>
  <si>
    <t>0006661/2019</t>
  </si>
  <si>
    <t>SUBSTITUIÇÃO DO SISTEMA DE PROTEÇÃO DO TERMINAL AGL DA LT 04M4 AGL/TAC 230KV</t>
  </si>
  <si>
    <t>0006666/2019</t>
  </si>
  <si>
    <t>SUBSTITUIÇÃO DO SISTEMA DE PROTEÇÃO DO TERMINAL AGL DA LT 04M5 AGL/TAC 230KV</t>
  </si>
  <si>
    <t>0006674/2019</t>
  </si>
  <si>
    <t>SUBSTITUIÇÃO DO SISTEMA DE PROTEÇÃO DO TERMINAL AGL DA LT 04M8 AGL/MSI 230KV</t>
  </si>
  <si>
    <t>0006687/2019</t>
  </si>
  <si>
    <t>SUBSTITUIÇÃO DO SISTEMA DE PROTEÇÃO DO TERMINAL AGL DA LT 04M7 AGL/MSI 230KV</t>
  </si>
  <si>
    <t>0006685/2019</t>
  </si>
  <si>
    <t>SUBSTITUIÇÃO DO SISTEMA DE PROTEÇÃO DO TERMINAL AGL DA LT 04M6 AGL/TAC 230KV</t>
  </si>
  <si>
    <t>0006682/2019</t>
  </si>
  <si>
    <t>SUBSTITUIÇÃO DO SISTEMA DE PROTEÇÃO DO TERMINAL AGL DA LT 04S1 AGL/RIB 230KV</t>
  </si>
  <si>
    <t>0006695/2019</t>
  </si>
  <si>
    <t>SUBSTITUIÇÃO DO SISTEMA DE PROTEÇÃO DO TERMINAL AGL DA LT 04M9 AGL/MSI 230KV</t>
  </si>
  <si>
    <t>0006691/2019</t>
  </si>
  <si>
    <t>LT 500 kV P. AFONSO IV /OLINDINA BA - 500</t>
  </si>
  <si>
    <t>Substituir 9 cadeias de isoladores de mesma classe tensão-tipo-material-composição das 3 est 206/2;207/1;212/2</t>
  </si>
  <si>
    <t>FT LT 500 kV P. AFONSO IV /OLINDINA C-1 BA</t>
  </si>
  <si>
    <t>0006744/2019</t>
  </si>
  <si>
    <t>Substituição do conjunto de cadeias de isoladores de mesma classe de tensão, tipo, material e composição das estruturas: 241/3 241/4 242/1 242/2 242/3 243/1 243/2 243/3 244/1 244/2 244/3 244/4 245/1 245/2 245/3 246/1 246/2 246/3 247/1 247/2 247/3 247/4 248/1 248/2 248/3 249/1 249/2(27 estruturas)</t>
  </si>
  <si>
    <t>0006742/2019</t>
  </si>
  <si>
    <t>Substituição de bobina de bloqueio</t>
  </si>
  <si>
    <t>0006808/2019</t>
  </si>
  <si>
    <t>0006813/2019</t>
  </si>
  <si>
    <t>0006825/2019</t>
  </si>
  <si>
    <t>0006816/2019</t>
  </si>
  <si>
    <t>0006820/2019</t>
  </si>
  <si>
    <t>Substituição de teleproteção digital</t>
  </si>
  <si>
    <t>0006844/2019</t>
  </si>
  <si>
    <t>LT 500 kV OLINDINA /CAMACARI II BA - 500</t>
  </si>
  <si>
    <t>Substituição do conjunto de cadeias de isoladores de mesma classe de tensão, tipo, material e composição das estruturas: 110/3 111/1 111/2 112/1 112/2 112/3 113/1 113/2 114/1 115/1 115/2 115/3 116/1 116/2 116/3 117/1 117/2 118/1 118/2 118/3 119/1 119/2 120/1 120/2 121/1 122/1 122/2(27 estruturas)</t>
  </si>
  <si>
    <t>FT LT 500 kV OLINDINA /CAMACARI II C-2 BA</t>
  </si>
  <si>
    <t>0006854/2019</t>
  </si>
  <si>
    <t>Substituição do conjunto de cadeias de isoladores de mesma classe de tensão, tipo, material e composição das estruturas: 123/1 123/2 123/3 124/1 124/2 125/1 125/2 125/3 126/1 126/2 127/1 127/2 128/1 128/2 129/1 129/2 130/1 130/2 130/3 131/1 132/1 132/2 133/1 133/2 133/3 134/1 134/2(27 estruturas)</t>
  </si>
  <si>
    <t>0006852/2019</t>
  </si>
  <si>
    <t>Substituição do conjunto de cadeias de isoladores de mesma classe de tensão, tipo, material e composição das estruturas:33/1 33/2 135/1 135/2 136/1 136/2 137/1 137/2 138/1 138/2 139/1 139/2 140/1 140/2 141/1 141/2 142/1 142/2 143/1 143/2 144/1 144/2 145/1 145/2 146/1 146/2 146/3 146/4(28 estruturas)</t>
  </si>
  <si>
    <t>0006850/2019</t>
  </si>
  <si>
    <t>Substituição do conjunto de cadeias de isoladores de mesma classe de tensão, tipo, material e composição das estruturas: 51/1 51/2 51/3 69/2 70/1 70/2 71/1 71/2 72/1 72/2 73/1 73/2 74/1 74/2 75/1 75/2 76/1 76/2 77/1 77/2 78/1 78/2 78/3 79/1 79/2 79/3 80/1 80/2 80/3 81/1 81/2 82/1 82/2(33 estruturas)</t>
  </si>
  <si>
    <t>0006861/2019</t>
  </si>
  <si>
    <t>Substituição do conjunto de cadeias de isoladores de mesma classe de tensão, tipo, material e composição das estruturas: 35/2 35/3 36/1 36/2 37/1 37/2 38/1 38/2 39/1 39/2 39/3 40/1 40/2 41/1 41/2 42/1 43/1 43/2 43/3 44/1 44/2 45/1 45/2 46/1 46/2 47/1 47/2 48/1 48/2 49/1 49/2 50/1 50/2(33 estruturas)</t>
  </si>
  <si>
    <t>0006865/2019</t>
  </si>
  <si>
    <t>Substituição do conjunto de cadeias de isoladores de mesma classe de tensão, tipo, material e composição das estruturas: 98/1 98/2 98/3 99/1 99/2 100/1 100/2 101/1 101/2 102/1 102/2 103/1 103/2 104/1 104/2 105/1 105/2 106/1 106/2 106/3 107/1 107/2 108/1 108/2 109/1 109/2 110/1 110/2(28 estruturas)</t>
  </si>
  <si>
    <t>0006855/2019</t>
  </si>
  <si>
    <t>Substituição do conjunto de cadeias de isoladores de mesma classe de tensão, tipo, material e composição das estruturas: 1 2 3 4 5 6 7 8 9 10 11 12 13 14 15 16 17 18 19 20 21 22 23 24 25 26 27 28 29 30 31 32 33 34 35 36 37 38 39 40 41 42 43 44 45 46 47 48 49 50 51 52 53 54 55 56 57 58(58 estruturas)</t>
  </si>
  <si>
    <t>FT LT 500 kV OLINDINA /CAMACARI II C-1 BA</t>
  </si>
  <si>
    <t>0006878/2019</t>
  </si>
  <si>
    <t>Substituição do conjunto de cadeias de isoladores de mesma classe de tensão tipo material e composição das estruturas: 59 60 61 62 63 64 65 66 67 68 69 70 71 72 73 74 75 76 77 78 79 80 81 82 83 84 85 86 87 88 89 90 91 92 93 94 95 96 97 98 99 100 101 102 104 105 106 107 108 109 110 111(52 estruturas)</t>
  </si>
  <si>
    <t>0006881/2019</t>
  </si>
  <si>
    <t>Substituição do conjunto de cadeias de isoladores de mesma classe de tensão, tipo, material e composição das estruturas: 153 154 155 156 157 158 159 160 161 162 163 219 220 221 222 223 224 225 226 227 228 229 230 231 232 233 234 235 236 237 238 239 240 241 242 243 244 245 246 247 248(41 estruturas)</t>
  </si>
  <si>
    <t>0006886/2019</t>
  </si>
  <si>
    <t>Substituição do conjunto de cadeias de isoladores de mesma classe de tensão, tipo, material e composição das estruturas: 112 113 114 115 116 117 118 119 120 121 122 123 124 125 126 127 128 129 130 131 132 133 134 135 136 137 138 139 140 141 142 143 144 145 146 147 148 149 150 151 152(41 estruturas)</t>
  </si>
  <si>
    <t>0006884/2019</t>
  </si>
  <si>
    <t>Substituição do conjunto de cadeias de isoladores de mesma classe de tensão, tipo, material e composição das estruturas: 249 250 251 252 253 254 255 256 257 258 259 260 261 262 263 264 265 266 267 268 269 270 271 272 273 274 275 276 277 278 279 280 281 282 283 284 285 286 287 288 289(41 estruturas)</t>
  </si>
  <si>
    <t>0006890/2019</t>
  </si>
  <si>
    <t>Substituição do conjunto de cadeias de isoladores de mesma classe de tensão, tipo, material e composição das estruturas: 331 332 333 334 335 336 337 338 339 340 341 342 343 344 345 346 347 348 349 350 351 352 353 354 355 356 357 358 359 360 361 362 363 364 365 366 367 368 369 370 371(41 estruturas)</t>
  </si>
  <si>
    <t>0006898/2019</t>
  </si>
  <si>
    <t>Substituição do conjunto de cadeias de isoladores de mesma classe de tensão, tipo, material e composição das estruturas: 372 373 374 375 376 377 378 379 380 381 382 383 384 385 386 387 388 389 390 391 392 393 394 395 396 397 398 399 400 401 402 403 404 405 406 407 408 409 410 411 412(41 estruturas)</t>
  </si>
  <si>
    <t>0006902/2019</t>
  </si>
  <si>
    <t>Substituição do conjunto de cadeias de isoladores de mesma classe de tensão, tipo, material e composição das estruturas: 290 291 292 293 294 295 296 297 298 299 300 301 302 303 304 305 306 307 308 309 310 311 312 313 314 315 316 317 318 319 320 321 322 323 324 325 326 327 328 329 330(41 estruturas)</t>
  </si>
  <si>
    <t>0006895/2019</t>
  </si>
  <si>
    <t>Substituição do conjunto de cadeias de isoladores de mesma classe de tensão, tipo, material e composição das estruturas: 413 414 415 416 417 418 419 420 421 422 423 424 425 426 427 428 429 430 431 432 433 434 435 436 437 438 (26 estruturas)</t>
  </si>
  <si>
    <t>0006904/2019</t>
  </si>
  <si>
    <t>LT 230 kV ITABAIANINHA /CATU SE/BA - 230</t>
  </si>
  <si>
    <t>Substituir 78 cadeias de isoladores de mesma classe tensão-tipo-material-composição das 26 est 41/2;43/1;44/1;44/2;45/1;45/2;46/1;46/2;46/3;47/1;47/2;48/1;48/2;49/1;49/2;49/3;50/1;50/2;51/1;51/2;51/3;52/1;52/2;53/2;54/1;55/1</t>
  </si>
  <si>
    <t>FT LT 230 kV ITABAIANINHA /CATU C-1 SE/BA</t>
  </si>
  <si>
    <t>0006920/2019</t>
  </si>
  <si>
    <t>Substituir 54 cadeias de isoladores de mesma classe tensão-tipo-material-composição das 18 est 55/2;56/1;56/2;58/2;59/2;60/1;60/2;60/3;61/1;61/2;62/1;62/2;65/1;65/3;66/1;66/2;66/3;69/2</t>
  </si>
  <si>
    <t>0006923/2019</t>
  </si>
  <si>
    <t>Substituir 81 cadeias de isoladores de mesma classe tensão-tipo-material-composição das 27 est 15/1;15/2;16/1;16/2;16/3;17/2;17/3;18/1;18/2;18/3;19/1;20/1;20/2;20/3;21/1;21/2;21/3;22/1;22/2;24/1;24/2;25/1;25/2;26/1;26/2;27/1;27/2</t>
  </si>
  <si>
    <t>0006913/2019</t>
  </si>
  <si>
    <t>Substituir 84 cadeias de isoladores de mesma classe tensão-tipo-material-composição das 28 est 69/3;70/1;70/2;71/1;71/2;71/3;72/1;72/2;72/3;73/1;73/2;73/3;74/1;74/2;74/3;75/1;75/2;76/1;76/2;77/1;78/1;79/1;79/2;79/3;80/3;81/1;81/2;82/1</t>
  </si>
  <si>
    <t>0006926/2019</t>
  </si>
  <si>
    <t>Substituir 72 cadeias de isoladores de mesma classe tensão-tipo-material-composição das 24 est 28/2;29/2;29/3;30/1;30/2;30/3;31/2;31/3;32/1;33/2;34/1;34/2;35/2;36/2;36/3;37/1;37/2;38/1;38/2;38/3;39/2;39/3;40/1;40/2</t>
  </si>
  <si>
    <t>0006914/2019</t>
  </si>
  <si>
    <t>Substituir 72 cadeias de isoladores de mesma classe tensão-tipo-material-composição das 24 est 122/1;122/2;123/1;124/1;124/2;125/1;125/3;126/1;126/2;127/1;127/2;128/1;128/2;128/3;129/2;130/1;130/2;131/1;131/2;132/2;133/1;133/2;134/1;134/2</t>
  </si>
  <si>
    <t>0006950/2019</t>
  </si>
  <si>
    <t>Substituir 72 cadeias de isoladores de mesma classe tensão-tipo-material-composição das 24 est 109/1;110/1;110/2;110/3;111/1;111/2;112/1;112/2;113/1;113/2;114/1;115/1;115/2;115/3;116/1;117/2;118/1;119/1;119/2;120/1;120/2;121/1;121/2;121/3</t>
  </si>
  <si>
    <t>0006944/2019</t>
  </si>
  <si>
    <t>Substituir 75 cadeias de isoladores de mesma classe tensão-tipo-material-composição das 25 est 83/1;83/2;84/1;86/1;87/2;87/3;88/1;88/2;89/1;89/2;90/1;90/2;90/3;91/1;91/2;92/1;93/1;93/2;94/1;94/2;95/1;95/2;95/3;96/1;96/2</t>
  </si>
  <si>
    <t>0006930/2019</t>
  </si>
  <si>
    <t>Substituição do conjunto de cadeias de isoladores de mesma classe de tensão, tipo, material e composição das estruturas: 96/3 97/1 97/2 98/1 98/2 98/3 99/1 99/2 100/1 100/2 100/3 101/1 101/2 101/3 102/1 103/1 103/2 103/3 104/1 105/1 105/2 106/1 106/2 107/1 107/2 108/1 108/2 108/3(28 estruturas)</t>
  </si>
  <si>
    <t>0006938/2019</t>
  </si>
  <si>
    <t>Substituir 69 cadeias de isoladores de mesma classe tensão-tipo-material-composição das 23 est 135/1;136/1;136/2;136/3;137/1;137/2;138/1;138/2;138/3;139/1;139/2;140/1;140/2;140/3;140/5;141/1;141/2;141/3;142/1;142/2;143/1;143/2;144/1</t>
  </si>
  <si>
    <t>0006953/2019</t>
  </si>
  <si>
    <t>0006983/2019</t>
  </si>
  <si>
    <t>0006990/2019</t>
  </si>
  <si>
    <t>Instalação de sistemas de monitoramento on-line de gases dissolvido no óleo, no transformador CTTF-05-FASE A da subestação Coletora, em Porto Velho RO.</t>
  </si>
  <si>
    <t>0007001/2019</t>
  </si>
  <si>
    <t>Instalação de sistemas de monitoramento on-line de gases dissolvido no óleo, no transformador CTTF-05-FASE B da subestação Coletora, em Porto Velho RO.</t>
  </si>
  <si>
    <t>0007005/2019</t>
  </si>
  <si>
    <t>Instalação de sistemas de monitoramento on-line de gases dissolvido no óleo, no transformador CTTF-05-FASE V da subestação Coletora, em Porto Velho RO.</t>
  </si>
  <si>
    <t>0007008/2019</t>
  </si>
  <si>
    <t>0007017/2019</t>
  </si>
  <si>
    <t>Instalação de sistemas de monitoramento on-line de gases dissolvido no óleo, no transformador CTTF-06-FASE A da subestação Coletora, em Porto Velho RO.</t>
  </si>
  <si>
    <t>0007010/2019</t>
  </si>
  <si>
    <t>Instalação de sistemas de monitoramento on-line de gases dissolvido no óleo, no transformador CTTF-06-FASE V da subestação Coletora, em Porto Velho RO.</t>
  </si>
  <si>
    <t>0007019/2019</t>
  </si>
  <si>
    <t>Instalação de sistemas de monitoramento on-line de gases dissolvido no óleo, no transformador CTTF-06-FASE B da subestação Coletora, em Porto Velho RO.</t>
  </si>
  <si>
    <t>0007015/2019</t>
  </si>
  <si>
    <t>0007030/2019</t>
  </si>
  <si>
    <t>Instalação de sistemas de monitoramento on-line de gases dissolvido no óleo, no transformador CTTF-10 da subestação Coletora, em Porto Velho RO.</t>
  </si>
  <si>
    <t>0007060/2019</t>
  </si>
  <si>
    <t>Instalação de sistemas de monitoramento on-line de gases dissolvido no óleo, no transformador CTTF-08  da subestação Coletora, em Porto Velho RO.</t>
  </si>
  <si>
    <t>0007054/2019</t>
  </si>
  <si>
    <t>Instalação de sistemas de monitoramento on-line de gases dissolvido no óleo, no transformador CTTF-09 da subestação Coletora, em Porto Velho RO.</t>
  </si>
  <si>
    <t>0007057/2019</t>
  </si>
  <si>
    <t>Instalação de sistemas de monitoramento on-line de gases dissolvido no óleo, no transformador CTTF-11 da subestação Coletora, em Porto Velho RO.</t>
  </si>
  <si>
    <t>0007064/2019</t>
  </si>
  <si>
    <t>Instalação de sistemas de monitoramento on-line de gases dissolvido no óleo, no transformador TF1Y FASE A da subestação Araraquara II, em Araraquara - SP.</t>
  </si>
  <si>
    <t>0007089/2019</t>
  </si>
  <si>
    <t>Instalação de sistemas de monitoramento on-line de gases dissolvido no óleo, no transformador TF1D FASE A da subestação Araraquara II, em Araraquara - SP.</t>
  </si>
  <si>
    <t>0007075/2019</t>
  </si>
  <si>
    <t>Instalação de sistemas de monitoramento on-line de gases dissolvido no óleo, no transformador TF1D FASE C da subestação Araraquara II, em Araraqiara - SP.</t>
  </si>
  <si>
    <t>0007082/2019</t>
  </si>
  <si>
    <t>Instalação de sistemas de monitoramento on-line de gases dissolvido no óleo, no transformador TF1D FASE B da subestação Araraquara II, em Araraquara - SP.</t>
  </si>
  <si>
    <t>0007079/2019</t>
  </si>
  <si>
    <t>Instalação de sistemas de monitoramento on-line de gases dissolvido no óleo, no transformador TF1Y FASE B da subestação Araraquara II, em Araraquara - SP.</t>
  </si>
  <si>
    <t>0007093/2019</t>
  </si>
  <si>
    <t>Instalação de sistemas de monitoramento on-line de gases dissolvido no óleo, no transformador TF2D FASE A da subestação Araraquara II, em Araraquara - SP.</t>
  </si>
  <si>
    <t>0007100/2019</t>
  </si>
  <si>
    <t>Instalação de sistemas de monitoramento on-line de gases dissolvido no óleo, no transformador TF2D FASE C  da subestação Araraquara II, em Araraquara - SP.</t>
  </si>
  <si>
    <t>0007108/2019</t>
  </si>
  <si>
    <t>Instalação de sistemas de monitoramento on-line de gases dissolvido no óleo, no transformador TF2D FASE B da subestação Araraquara II, em Araraquara - SP.</t>
  </si>
  <si>
    <t>0007103/2019</t>
  </si>
  <si>
    <t>Instalação de sistemas de monitoramento on-line de gases dissolvido no óleo, no transformador TF1Y FASE C da subestação Araraquara II, em Araraqiara - SP.</t>
  </si>
  <si>
    <t>0007095/2019</t>
  </si>
  <si>
    <t>Instalação de sistemas de monitoramento on-line de gases dissolvido no óleo, no transformador TF2Y FASE A da subestação Araraquara II, em Araraquara - SP.</t>
  </si>
  <si>
    <t>0007112/2019</t>
  </si>
  <si>
    <t>CGT ELETROSUL</t>
  </si>
  <si>
    <t>NOVA STA RITA</t>
  </si>
  <si>
    <t>Substituição de 3 Transformadores de Corrente do vão TR 525 / 230 kV NOVA STA RITA 2 RS (TCs associados ao DJ762).
Capacidade nominal de curto-circuito do novo equipamento (kA): 63 kA.
Associado à obra são esperadas substituições/adaptações de fundações, suportes, caixa de junção, cabos, barramento, conectores e conexão de aterramento. Funções do TC: proteção e medição.</t>
  </si>
  <si>
    <t>TR 525 / 230 kV NOVA STA RITA 2 RS</t>
  </si>
  <si>
    <t>0000270/2021</t>
  </si>
  <si>
    <t>TC DJ762</t>
  </si>
  <si>
    <t>Substituição de 3 Transformadores de Corrente do vão TR 525 / 230 kV NOVA STA RITA 3 RS (TCs associados ao DJ792).
Capacidade nominal de curto-circuito do novo equipamento (kA): 63 kA.
Associado à obra são esperadas substituições/adaptações de fundações, suportes, caixa de junção, cabos, barramento, conectores e conexão de aterramento. Funções do TC: proteção e medição.</t>
  </si>
  <si>
    <t>TR 525 / 230 kV NOVA STA RITA 3 RS</t>
  </si>
  <si>
    <t>0000271/2021</t>
  </si>
  <si>
    <t>TC DJ792</t>
  </si>
  <si>
    <t>Substituição de 3 Transformadores de Corrente do vão TR 525 / 230 kV NOVA STA RITA 4 RS (TCs associados ao DJ842). Capacidade nominal de curto-circuito do novo equipamento (kA): 63 kA.
Associado à obra são esperadas substituições/adaptações de fundações, suportes, caixa de junção, cabos, barramento, conectores e conexão de aterramento. Funções do TC: proteção e medição.</t>
  </si>
  <si>
    <t>TR 525 / 230 kV NOVA STA RITA 4 RS</t>
  </si>
  <si>
    <t>0000272/2021</t>
  </si>
  <si>
    <t>TC DJ842</t>
  </si>
  <si>
    <t>Transformador de Potência</t>
  </si>
  <si>
    <t>Desativação do CER 2x(+100/-70) Mvar (Fim de Vida Util). Associado aos módulos: MC 230 kV CE 100/-70 MvAr FORTALEZA CE1 CE CE2, CE 100/-70 Mvar FORTALEZA CE2 CE e CE 100/-70 MvAr FORTALEZA CE1 CE.</t>
  </si>
  <si>
    <t>CE 2X(100/-70) Mvar FORTALEZA CE1+CE2 CE</t>
  </si>
  <si>
    <t>0000249/2021</t>
  </si>
  <si>
    <t>CE1 e CE2</t>
  </si>
  <si>
    <t>Desativação do setor de 69 kV da Camaçari II e dos transformadores T5 e T6 existentes de 230/69 kV - 100/107 MVA (vida útil esgota em 2020). 
Associada a implantação do novo setor de 69 kV, Lote 10 do Leilão Nº 02/2019-ANEEL.</t>
  </si>
  <si>
    <t>MG CAMACARI II / CCO-2001-061 - RB</t>
  </si>
  <si>
    <t>0000251/2021</t>
  </si>
  <si>
    <t>T5 e T6</t>
  </si>
  <si>
    <t>CAXIAS SUL 5</t>
  </si>
  <si>
    <t>Desativação  pátio de 69 kV, incluindo TR3 230/69 kV, transformador reserva (TRR1) 230/69 kV, EL 69 kV Caxias do Sul 5 - Caxias do Sul 2 C-1, EL 69 kV Caxias do Sul 5 - Caxias do Sul 1 C-1, EL 69 kV Caxias do Sul 5 - Flores da Cunha C-1 e equipamentos referentes ao Módulo Geral de 69 kV (Infraestrutura, barramentos e Interligador de Barras). Associados aos módulos: MG 69 kV CAXIAS DO SUL 5, TR 230/69 kV CAXIAS SUL 5 TR3 RS, MC 230 kV TR 230/69 kV CAXIAS SUL 5 TR3 RS, MC 69 kV TR 230/69 kV CAXIAS SUL 5 TR3 RS, TR 230/69 kV CAXIAS SUL 5 TRR1 RS, LT 69 kV CAXIAS DO SUL 5 / CAXIAS DO SUL 1 C-1 RS, LT 69 kV CAXIAS DO SUL 5 / CAXIAS DO SUL 2 C-1 RS e LT 69 kV CAXIAS DO SUL 5 / FLORES DA CUNHA C-1 RS.</t>
  </si>
  <si>
    <t>MG CAXIAS SUL 5 / CCO-2001-057 - RB</t>
  </si>
  <si>
    <t>0000253/2021</t>
  </si>
  <si>
    <t>setor 69 kV</t>
  </si>
  <si>
    <t>CHARQUEADAS</t>
  </si>
  <si>
    <t>Desativação do pátio de 69 kV, incluindo desativação de TR5 230/69 kV, EL 69 kV Charqueadas - Charqueadas 2 C-1,  EL 69 kV Charqueadas - Guaíba 1 C-1, EL 69 kV Charqueadas - Taquari C-1, EL 69 kV Charqueadas - Triunfo C-1 e equipamentos referentes ao Módulo Geral do pátio de 69 kV (Infraestrutura, barramentos e Interligador de Barras), exceto o setor que atende ao consumidor livre GERDAU. 
Associados aos módulos: TR 230/69 kV CHARQUEADAS TR5 RS, MC 69 kV TR 230/69 kV CHARQUEADAS TR5 RS, MC 230 kV TR 230/69 kV CHARQUEADAS TR5 RS, EL 69 kV CHARQUEADAS LT 69 kV CHARQUEADAS 2 /CHARQUEADAS C-1 RS, EL 69 kV CHARQUEADAS LT 69 kV GUAIBA /CHARQUEADAS C-1 RS, EL 69 kV CHARQUEADAS LT 69 kV TRIUNFO /CHARQUEADAS C-1 RS, EL 69 kV CHARQUEADAS LT 69 kV TAQUARI /CHARQUEADAS C-1 RS e EL 69 kV CHARQUEADAS LT 69 kV SAO JERONIMO /CHARQUEADAS C-1 RS.</t>
  </si>
  <si>
    <t>MG CHARQUEADAS / CCO-2001-057 - RB</t>
  </si>
  <si>
    <t>0000254/2021</t>
  </si>
  <si>
    <t>Substituição de 6 Seccionadoras associadas do vão TR 525 / 230 kV NOVA STA RITA 4 RS (Seccionadoras CS841, CS843, CS845, CS847, CS849 e CS849R). Capacidade nominal de curto-circuito do novo equipamento (kA): 63 kA.
Associado a esta obra são esperadas substituições/adaptações de fundações, suportes, cabos de controle e potência, barramento, conectores e conexão do aterramento.</t>
  </si>
  <si>
    <t>0000287/2021</t>
  </si>
  <si>
    <t>CS841 / CS843 / CS845 / CS847 / CS849 / CS849R</t>
  </si>
  <si>
    <t>Crista da Corrente de Curto-Circuito</t>
  </si>
  <si>
    <t>Substituição de 6 Seccionadoras associadas do vão TR 525 / 230 kV NOVA STA RITA 3 RS (Seccionadoras CS791, CS793, CS795, CS797, CS799 e CS799R). Capacidade nominal de curto-circuito do novo equipamento (kA): 63 kA.
Associado a esta obra são esperadas substituições/adaptações de fundações, suportes, cabos de controle e potência, barramento, conectores e conexão do aterramento.</t>
  </si>
  <si>
    <t>0000289/2021</t>
  </si>
  <si>
    <t>CS791 / CS793 / CS795 / CS797 / CS799 / CS799R</t>
  </si>
  <si>
    <t>C.NOVOS</t>
  </si>
  <si>
    <t>Substituição de 2 Seccionadoras associadas do vão MG CAMPOS NOVOS (Seccionadoras CS751 e CS753).
Capacidade nominal de curto-circuito do novo equipamento (kA): 63 kA.</t>
  </si>
  <si>
    <t>MG C.NOVOS / CCO-2001-057 - RB</t>
  </si>
  <si>
    <t>0000290/2021</t>
  </si>
  <si>
    <t>CS751 / CS753</t>
  </si>
  <si>
    <t>SIDEROPOL.ESU</t>
  </si>
  <si>
    <t>Substituição de 2 Seccionadoras associadas ao vão LT 230 kV SIDEROPOL ESUL / J.LACERDA B C-1 (Seccionadoras CS711 e CS713). Associado a esta obra são esperadas substituições/adaptações de fundações, suportes, cabos de controle e potência, barramento, conectores e conexão do aterramento. Capacidade nominal de curto-circuito (kA): no mínimo 40 kA.</t>
  </si>
  <si>
    <t>LT 230 kV SIDEROPOL ESU / J.LACERDA B C-1 SC</t>
  </si>
  <si>
    <t>0000297/2021</t>
  </si>
  <si>
    <t>CS711 / CS713</t>
  </si>
  <si>
    <t>Substituição de 1 Disjuntor do vão TF2 525/230/13,8 kV (DJ762) da SE Nova Santa Rita. Capacidade nominal de curto-circuito do novo equipamento (kA): 63 kA.
Associado a esta obra são esperadas substituições/adaptações de fundações, suportes, cabos de controle e potência, barramento, conectores e conexão do aterramento.</t>
  </si>
  <si>
    <t>0000333/2021</t>
  </si>
  <si>
    <t>DJ762</t>
  </si>
  <si>
    <t>Substituição de 1 Disjuntor do vão TF3 525/230/13,8 kV (DJ792) da SE Nova Santa Rita. Capacidade nominal de curto-circuito do novo equipamento (kA): 63 kA.
Associado a esta obra são esperadas substituições/adaptações de fundações, suportes, cabos de controle e potência, barramento, conectores e conexão do aterramento.</t>
  </si>
  <si>
    <t>0000335/2021</t>
  </si>
  <si>
    <t>DJ792</t>
  </si>
  <si>
    <t>Substituição de 1 Disjuntor do vão TF4 525/230/13,8 kV (DJ842) da SE Nova Santa Rita. Capacidade nominal de curto-circuito do novo equipamento (kA): 63 kA.
Associado a esta obra são esperadas substituições/adaptações de fundações, suportes, cabos de controle e potência, barramento, conectores e conexão do aterramento.</t>
  </si>
  <si>
    <t>0000336/2021</t>
  </si>
  <si>
    <t>DJ842</t>
  </si>
  <si>
    <t>Transformador de Potencial</t>
  </si>
  <si>
    <t>Substituição de Transformador de Potencial DCP SINC FASE B  AT51 - DCPS 9205 (nº serie: 730407, cod. int.: 10190023)</t>
  </si>
  <si>
    <t>0001092/2021</t>
  </si>
  <si>
    <t>DCP SINC FASE B  AT51 - DCPS 9205</t>
  </si>
  <si>
    <t>Substituição de Disjuntor DJ9308 (nº serie: F10781-04, cod. int.: 10190780)</t>
  </si>
  <si>
    <t>0001083/2021</t>
  </si>
  <si>
    <t>DJ9308</t>
  </si>
  <si>
    <t>Substituição de Transformador de Potencial TP2513 FASES A E B (nº serie: 337635, cod. int.: 10232814)</t>
  </si>
  <si>
    <t>0001050/2021</t>
  </si>
  <si>
    <t>TP2513 FASES A E B</t>
  </si>
  <si>
    <t>Substituição de Disjuntor DJ612 (nº serie: HA-1905433, cod. int.: 10191426)</t>
  </si>
  <si>
    <t>0001038/2021</t>
  </si>
  <si>
    <t>DJ612</t>
  </si>
  <si>
    <t>ANGRA FUR</t>
  </si>
  <si>
    <t>Substituição de Transformador de Potencial BR 6O - TP FASE A (nº serie: P91095, cod. int.: 10187891)</t>
  </si>
  <si>
    <t>MG ANGRA FUR / CCO-2001-062 - RB</t>
  </si>
  <si>
    <t>0000941/2021</t>
  </si>
  <si>
    <t>BR 6O - TP FASE A</t>
  </si>
  <si>
    <t>Substituição de Transformador de Potencial BR 6O - TP FASE B (nº serie: 6194123, cod. int.: 10187917)</t>
  </si>
  <si>
    <t>0000942/2021</t>
  </si>
  <si>
    <t>BR 6O - TP FASE B</t>
  </si>
  <si>
    <t>Substituição de Transformador de Potencial BR 6O - TP FASE C (nº serie: P1045, cod. int.: 10187918)</t>
  </si>
  <si>
    <t>0000943/2021</t>
  </si>
  <si>
    <t>BR 6O - TP FASE C</t>
  </si>
  <si>
    <t>Substituição de Transformador de Potencial BR 6O - TP FASE A (nº serie: 76/53050/30, cod. int.: 10187930)</t>
  </si>
  <si>
    <t>0000944/2021</t>
  </si>
  <si>
    <t>Substituição de Transformador de Potencial BR 6O - TP FASE B (nº serie: 76/53050/31, cod. int.: 10187931)</t>
  </si>
  <si>
    <t>0000945/2021</t>
  </si>
  <si>
    <t>Substituição de Transformador de Potencial BR 6O - TP FASE C (nº serie: 76/53050/32, cod. int.: 10187932)</t>
  </si>
  <si>
    <t>0000947/2021</t>
  </si>
  <si>
    <t>Substituição de Disjuntor DJ9012R (nº serie: 1140-4R-001, cod. int.: 10191528)</t>
  </si>
  <si>
    <t>RT 500 kV 136 Mvar C. PAULISTA 1 SP</t>
  </si>
  <si>
    <t>0001071/2021</t>
  </si>
  <si>
    <t>DJ9012R</t>
  </si>
  <si>
    <t>Substituição de Disjuntor DJ622 (nº serie: HA-1905434, cod. int.: 10191427)</t>
  </si>
  <si>
    <t>0001052/2021</t>
  </si>
  <si>
    <t>DJ622</t>
  </si>
  <si>
    <t>Substituição de Disjuntor DJ8518 (nº serie: A04034, cod. int.: 10191749)</t>
  </si>
  <si>
    <t>CS 60 / -30 Mvar VITORIA CS2 + TR2 2 ES</t>
  </si>
  <si>
    <t>0001244/2021</t>
  </si>
  <si>
    <t>DJ8518</t>
  </si>
  <si>
    <t>Compensador estático</t>
  </si>
  <si>
    <t>10,5</t>
  </si>
  <si>
    <t>Desativação de Compensador Estático CE01.</t>
  </si>
  <si>
    <t>CE 100/-50 Mvar BANDEIRANTES CE1 TRC1 GO</t>
  </si>
  <si>
    <t>0000969/2021</t>
  </si>
  <si>
    <t>CE01</t>
  </si>
  <si>
    <t>Desativação de Compensador Estático CE02.</t>
  </si>
  <si>
    <t>CE 100/-50 Mvar BANDEIRANTES CE2 GO</t>
  </si>
  <si>
    <t>0000977/2021</t>
  </si>
  <si>
    <t>CE02</t>
  </si>
  <si>
    <t>Substituição de Seccionadora SC911 (nº serie: M973, cod. int.: 10195266)</t>
  </si>
  <si>
    <t>0001084/2021</t>
  </si>
  <si>
    <t>SC911</t>
  </si>
  <si>
    <t>Substituição de Seccionadora SC9305 (nº serie: M940, cod. int.: 10195264)</t>
  </si>
  <si>
    <t>0001086/2021</t>
  </si>
  <si>
    <t>SC9305</t>
  </si>
  <si>
    <t>Substituição de Seccionadora SC9307 (nº serie: M974, cod. int.: 10195260)</t>
  </si>
  <si>
    <t>0001088/2021</t>
  </si>
  <si>
    <t>SC9307</t>
  </si>
  <si>
    <t>Substituição de Seccionadora SC611 (nº serie: 222, cod. int.: 10195971)</t>
  </si>
  <si>
    <t>0001039/2021</t>
  </si>
  <si>
    <t>SC611</t>
  </si>
  <si>
    <t>Substituição de Seccionadora SC613 (nº serie: 223, cod. int.: 10195972)</t>
  </si>
  <si>
    <t>0001040/2021</t>
  </si>
  <si>
    <t>SC613</t>
  </si>
  <si>
    <t>Substituição de Seccionadora SC615 (nº serie: 229, cod. int.: 10195973)</t>
  </si>
  <si>
    <t>0001041/2021</t>
  </si>
  <si>
    <t>SC615</t>
  </si>
  <si>
    <t>Substituição de Seccionadora SC617 (nº serie: 228, cod. int.: 10195974)</t>
  </si>
  <si>
    <t>0001042/2021</t>
  </si>
  <si>
    <t>SC617</t>
  </si>
  <si>
    <t>Substituição de Seccionadora SC619 (nº serie: 221, cod. int.: 10195975)</t>
  </si>
  <si>
    <t>0001043/2021</t>
  </si>
  <si>
    <t>SC619</t>
  </si>
  <si>
    <t>Substituição de Seccionadora SC917 (nº serie: 9365/16, cod. int.: 10195414)</t>
  </si>
  <si>
    <t>0001047/2021</t>
  </si>
  <si>
    <t>SC917</t>
  </si>
  <si>
    <t>Substituição de Seccionadora SC9355 (nº serie: 9365/12, cod. int.: 10195410)</t>
  </si>
  <si>
    <t>0001048/2021</t>
  </si>
  <si>
    <t>SC9355</t>
  </si>
  <si>
    <t>Substituição de Seccionadora SC9357 (nº serie: 12514, cod. int.: 10194808)</t>
  </si>
  <si>
    <t>0001049/2021</t>
  </si>
  <si>
    <t>SC9357</t>
  </si>
  <si>
    <t>Substituição de Seccionadora SC621 (nº serie: 226, cod. int.: 10195976)</t>
  </si>
  <si>
    <t>0001054/2021</t>
  </si>
  <si>
    <t>SC621</t>
  </si>
  <si>
    <t>Substituição de Seccionadora SC623 (nº serie: 227, cod. int.: 10195977)</t>
  </si>
  <si>
    <t>0001055/2021</t>
  </si>
  <si>
    <t>SC623</t>
  </si>
  <si>
    <t>Substituição de Seccionadora SC625 (nº serie: 231, cod. int.: 10195978)</t>
  </si>
  <si>
    <t>0001059/2021</t>
  </si>
  <si>
    <t>SC625</t>
  </si>
  <si>
    <t>Substituição de Seccionadora SC627 (nº serie: 230, cod. int.: 10195979)</t>
  </si>
  <si>
    <t>0001060/2021</t>
  </si>
  <si>
    <t>SC627</t>
  </si>
  <si>
    <t>Substituição de Seccionadora SC629 (nº serie: 220, cod. int.: 10195980)</t>
  </si>
  <si>
    <t>0001061/2021</t>
  </si>
  <si>
    <t>SC629</t>
  </si>
  <si>
    <t>Substituição de Seccionadora SC927 (nº serie: 9365/17, cod. int.: 10195415)</t>
  </si>
  <si>
    <t>0001066/2021</t>
  </si>
  <si>
    <t>SC927</t>
  </si>
  <si>
    <t>LT 345 kV Guarulhos - Nordeste</t>
  </si>
  <si>
    <t>Cabo para-raio</t>
  </si>
  <si>
    <t>Substituição de 34,7 km de cabo para-raios 3/8" por OPGW de 14,7 mm, em toda a extensão da linha. 
Substituição de 6,5 km de cabo para-raios 3/8" por cabo tipo DOTTEREL, da SE Guaruhos até a torre T13, e entre a torre 66 e a torre 70 e o trecho remanescente de 3/8" entre as torres T13 e T66  (extensão de 23,2 km)  deverá ser substituido por um novo cabo do tipo 3/8", pois o trecho está danificado por vandalismo.</t>
  </si>
  <si>
    <t>0000347/2021</t>
  </si>
  <si>
    <t>Não se aplica</t>
  </si>
  <si>
    <t>LT 345 kV Mogi das Cruzes - Nordeste</t>
  </si>
  <si>
    <t>Substituição de 25,2 km de cabo para-raios 3/8" por OPGW de 14,7 mm, em toda a extensão da linha. 
Substituição de 3,5 km de cabo para-raios 3/8" por cabo tipo DOTTEREL, da SE Mogi das Cruzes até a torre T113, e entre a torre T70 e a torre T74 e o trecho remanescente de 3/8" entre as torres T74 e T113  (extensão de 16,7 km) deverá ser substituído por um novo cabo do tipo 3/8".</t>
  </si>
  <si>
    <t>LT 345 kV MOGI CRUZES /NORDESTE C-1 SP</t>
  </si>
  <si>
    <t>0000348/2021</t>
  </si>
  <si>
    <t>Substituição de Transformador de Corrente TC DJ9308 FASE A (nº serie: K74081-15-1, cod. int.: 10184440)</t>
  </si>
  <si>
    <t>0001089/2021</t>
  </si>
  <si>
    <t>TC DJ9308 FASE A</t>
  </si>
  <si>
    <t>Substituição de Transformador de Corrente TC DJ9308 FASE B (nº serie: K74081-15-7, cod. int.: 10184441)</t>
  </si>
  <si>
    <t>0001090/2021</t>
  </si>
  <si>
    <t>TC DJ9308 FASE B</t>
  </si>
  <si>
    <t>Substituição de Transformador de Corrente TC DJ9308 FASE C (nº serie: K74081-16-5, cod. int.: 10184442)</t>
  </si>
  <si>
    <t>0001091/2021</t>
  </si>
  <si>
    <t>TC DJ9308 FASE C</t>
  </si>
  <si>
    <t>Substituição de Transformador de Potencial TP2513 FASES B E C (nº serie: 337634, cod. int.: 10232815)</t>
  </si>
  <si>
    <t>0001051/2021</t>
  </si>
  <si>
    <t>TP2513 FASES B E C</t>
  </si>
  <si>
    <t>Substituição de Transformador de Potencial TP2553 FASES A E B (nº serie: 337636, cod. int.: 10232822)</t>
  </si>
  <si>
    <t>0001067/2021</t>
  </si>
  <si>
    <t>TP2553 FASES A E B</t>
  </si>
  <si>
    <t>Substituição de Transformador de Potencial TP2553 FASES B E C (nº serie: 337637, cod. int.: 10232823)</t>
  </si>
  <si>
    <t>0001068/2021</t>
  </si>
  <si>
    <t>TP2553 FASES B E C</t>
  </si>
  <si>
    <t>Substituição de Transformador de Potência TRANSFORMADOR FASE C (nº série: 302358, cod. int: 10182903)</t>
  </si>
  <si>
    <t>TRELV 500/13,8 KV UG04</t>
  </si>
  <si>
    <t>0001207/2021</t>
  </si>
  <si>
    <t>Substituição de Transformador de Potência TRANSFORMADOR FASE A (nº serie: 302229, cod. int: 10182913)</t>
  </si>
  <si>
    <t>0001209/2021</t>
  </si>
  <si>
    <t>Instalação de equipamento de medição de tensão no módulo TR 500/345 kV IBIUNA ATR1 SP, fase A, lado de alta tensão - 500kV.</t>
  </si>
  <si>
    <t>TR 500/345 kV IBIUNA ATR1 SP</t>
  </si>
  <si>
    <t>0001151/2021</t>
  </si>
  <si>
    <t>BPD BUCHA AT AT01A</t>
  </si>
  <si>
    <t>Instalação de equipamento de medição de tensão no módulo TR 500/345 kV IBIUNA ATR1 SP, fase B, lado de alta tensão - 500kV.</t>
  </si>
  <si>
    <t>0001152/2021</t>
  </si>
  <si>
    <t>BPD BUCHA AT AT01B</t>
  </si>
  <si>
    <t>Instalação de equipamento de medição de tensão no módulo TR 500/345 kV IBIUNA ATR1 SP, fase C, lado de alta tensão - 500kV.</t>
  </si>
  <si>
    <t>0001153/2021</t>
  </si>
  <si>
    <t>BPD BUCHA AT AT01C</t>
  </si>
  <si>
    <t>Instalação de equipamento de medição de tensão no módulo TR 500/345 kV IBIUNA ATR1 SP, fase A, lado de baixa tensão - 345kV.</t>
  </si>
  <si>
    <t>0001154/2021</t>
  </si>
  <si>
    <t>BPD BUCHA BT AT01A</t>
  </si>
  <si>
    <t>Instalação de equipamento de medição de tensão no módulo TR 500/345 kV IBIUNA ATR1 SP, fase B, lado de baixa tensão - 345kV.</t>
  </si>
  <si>
    <t>0001156/2021</t>
  </si>
  <si>
    <t>BPD BUCHA BT AT01B</t>
  </si>
  <si>
    <t>Instalação de equipamento de medição de tensão no módulo TR 500/345 kV IBIUNA ATR1 SP, fase C, lado de baixa tensão - 345kV.</t>
  </si>
  <si>
    <t>0001157/2021</t>
  </si>
  <si>
    <t>BPD BUCHA BT AT01C</t>
  </si>
  <si>
    <t>Instalação de equipamento de medição de tensão no módulo TR 500/345 kV IBIUNA ATR2 SP, fase A, lado de alta tensão - 500kV.</t>
  </si>
  <si>
    <t>TR 500/345 kV IBIUNA ATR2 SP</t>
  </si>
  <si>
    <t>0001158/2021</t>
  </si>
  <si>
    <t>BPD BUCHA AT AT02A</t>
  </si>
  <si>
    <t>Instalação de equipamento de medição de tensão no módulo TR 500/345 kV IBIUNA ATR2 SP, fase B, lado de alta tensão - 500kV.</t>
  </si>
  <si>
    <t>0001160/2021</t>
  </si>
  <si>
    <t>BPD BUCHA AT AT02B</t>
  </si>
  <si>
    <t>Instalação de equipamento de medição de tensão no módulo TR 500/345 kV IBIUNA ATR2 SP, fase C, lado de alta tensão - 500kV.</t>
  </si>
  <si>
    <t>0001161/2021</t>
  </si>
  <si>
    <t>BPD BUCHA AT AT02C</t>
  </si>
  <si>
    <t>Instalação de equipamento de medição de tensão no módulo TR 500/345 kV IBIUNA ATR2 SP, fase A, lado de baixa tensão - 345kV.</t>
  </si>
  <si>
    <t>0001163/2021</t>
  </si>
  <si>
    <t>BPD BUCHA BT AT02A</t>
  </si>
  <si>
    <t>Instalação de equipamento de medição de tensão no módulo TR 500/345 kV IBIUNA ATR2 SP, fase B, lado de baixa tensão - 345kV.</t>
  </si>
  <si>
    <t>0001164/2021</t>
  </si>
  <si>
    <t>BPD BUCHA BT AT02B</t>
  </si>
  <si>
    <t>Instalação de equipamento de medição de tensão no módulo TR 500/345 kV IBIUNA ATR2 SP, fase C, lado de baixa tensão - 345kV.</t>
  </si>
  <si>
    <t>0001165/2021</t>
  </si>
  <si>
    <t>BPD BUCHA BT AT02C</t>
  </si>
  <si>
    <t>Instalação de equipamento de medição de tensão no módulo TR 500/345 kV IBIUNA ATR3 SP, fase A, lado de alta tensão - 500kV.</t>
  </si>
  <si>
    <t>TR 500/345 kV IBIUNA ATR3 SP</t>
  </si>
  <si>
    <t>0001167/2021</t>
  </si>
  <si>
    <t>BPD BUCHA AT AT03A</t>
  </si>
  <si>
    <t>Instalação de equipamento de medição de tensão no módulo TR 500/345 kV IBIUNA ATR3 SP, fase B, lado de alta tensão - 500kV.</t>
  </si>
  <si>
    <t>0001168/2021</t>
  </si>
  <si>
    <t>BPD BUCHA AT AT03B</t>
  </si>
  <si>
    <t>Instalação de equipamento de medição de tensão no módulo TR 500/345 kV IBIUNA ATR3 SP, fase C, lado de alta tensão - 500kV.</t>
  </si>
  <si>
    <t>0001169/2021</t>
  </si>
  <si>
    <t>BPD BUCHA AT AT03C</t>
  </si>
  <si>
    <t>Instalação de equipamento de medição de tensão no módulo TR 500/345 kV IBIUNA ATR3 SP, fase A, lado de baixa tensão - 345kV.</t>
  </si>
  <si>
    <t>0001172/2021</t>
  </si>
  <si>
    <t>BPD BUCHA BT AT03A</t>
  </si>
  <si>
    <t>Instalação de equipamento de medição de tensão no módulo TR 500/345 kV IBIUNA ATR3 SP, fase B, lado de baixa tensão - 345kV.</t>
  </si>
  <si>
    <t>0001173/2021</t>
  </si>
  <si>
    <t>BPD BUCHA BT AT03B</t>
  </si>
  <si>
    <t>Instalação de equipamento de medição de tensão no módulo TR 500/345 kV IBIUNA ATR3 SP, fase C, lado de baixa tensão - 345kV.</t>
  </si>
  <si>
    <t>0001175/2021</t>
  </si>
  <si>
    <t>BPD BUCHA BT AT03C</t>
  </si>
  <si>
    <t>MUSSURE II</t>
  </si>
  <si>
    <t>Substituição de 1 (um) Disjuntor 69 kV associado ao vão LT Ilha do Bispo (DJ12J7), base e estrutura de suporte, posição operacional 12J7 da SE MUSSURE II, por outro com capacidade nominal de curto-circuito mínima de 31,5 kA.</t>
  </si>
  <si>
    <t>LT 69 kV MUSSURE II / ILHA DO BISPO PB</t>
  </si>
  <si>
    <t>0000623/2021</t>
  </si>
  <si>
    <t>11340422</t>
  </si>
  <si>
    <t>Substituição de 1 (um) Disjuntor 69 kV associado ao vão LT Cristo (DJ12J2), base e estrutura de suporte, posição operacional 12J2 da SE MUSSURE II, por outro com capacidade nominal de curto-circuito mínima de 31,5 kA.</t>
  </si>
  <si>
    <t>LT 69 kV MUSSURE II / CRISTO PB</t>
  </si>
  <si>
    <t>0000675/2021</t>
  </si>
  <si>
    <t>11340421</t>
  </si>
  <si>
    <t>Substituição de 1 (um) Disjuntor 69 kV associado ao vão Amarre (DJ12D1), base e estrutura de suporte, posição operacional 12D1 (um) da SE MUSSURE II, por outro com capacidade nominal de curto-circuito mínima de 31,5 kA.</t>
  </si>
  <si>
    <t>MG MUSSURE II / CCO-2001-061 - RB</t>
  </si>
  <si>
    <t>0000687/2021</t>
  </si>
  <si>
    <t>11340419</t>
  </si>
  <si>
    <t>ITA</t>
  </si>
  <si>
    <t>525</t>
  </si>
  <si>
    <t>RT 525 kV 150 Mvar ITA RT1 SC</t>
  </si>
  <si>
    <t>0001658/2021</t>
  </si>
  <si>
    <t>PP44A</t>
  </si>
  <si>
    <t>Reator</t>
  </si>
  <si>
    <t>Substituição do reator monofásico, RE1, 525 kV, 33,333 Mvar, Fase A, SE Campos Novos.</t>
  </si>
  <si>
    <t>RT 525 kV 100 Mvar C.NOVOS RT1 SC</t>
  </si>
  <si>
    <t>0001170/2021</t>
  </si>
  <si>
    <t>RE1/A</t>
  </si>
  <si>
    <t>Substituição do reator monofásico, RE1, 525 kV, 33,333 Mvar, Fase B, SE Campos Novos.</t>
  </si>
  <si>
    <t>0001171/2021</t>
  </si>
  <si>
    <t>RE1/B</t>
  </si>
  <si>
    <t>LT 500 kV S.SANTIAGO /ITA C-1 PR/SC</t>
  </si>
  <si>
    <t>0001661/2021</t>
  </si>
  <si>
    <t>PP54A</t>
  </si>
  <si>
    <t>Substituir Reator de Linha de 30MVAr, código operacional RPRE6-01, por vida útil esgotada.</t>
  </si>
  <si>
    <t>FT LT 230 kV RIO VERDE FUR /RONDONOPOLIS C-2 GO/MT</t>
  </si>
  <si>
    <t>0000886/2021</t>
  </si>
  <si>
    <t>RPRE6-01</t>
  </si>
  <si>
    <t>0001664/2021</t>
  </si>
  <si>
    <t>Capacitor</t>
  </si>
  <si>
    <t>SUBSTITUIÇÃO DO BANCO DE CAPACITORES DE 13.8kV NÚMERO 2 DA SUB RONDONÓPOLIS.</t>
  </si>
  <si>
    <t>BC 13,8 kV 9,6 Mvar RONDONOPOLIS BC2 MT</t>
  </si>
  <si>
    <t>0000888/2021</t>
  </si>
  <si>
    <t>RPBC2-02</t>
  </si>
  <si>
    <t>SUBSTITUIÇÃO DO BANCO DE CAPACITORES 13.8 NÚMERO 1 DA SUB RONDONÓPOLIS.</t>
  </si>
  <si>
    <t>BC 13,8 kV 9,6 Mvar RONDONOPOLIS BC1 MT</t>
  </si>
  <si>
    <t>0000887/2021</t>
  </si>
  <si>
    <t>RPBC2-01</t>
  </si>
  <si>
    <t>Substituição do reator monofásico, RE1, 525 kV, 33,333 Mvar, Fase C, SE Campos Novos.</t>
  </si>
  <si>
    <t>0001174/2021</t>
  </si>
  <si>
    <t>RE1/C</t>
  </si>
  <si>
    <t>SUBSTITUIÇÃO DO BANCO DE CAPACITORES 13.8 NÚMERO 3 DA SUB RONDONÓPOLIS.</t>
  </si>
  <si>
    <t>BC 13,8 kV 9,6 Mvar RONDONOPOLIS BC3 MT</t>
  </si>
  <si>
    <t>0000890/2021</t>
  </si>
  <si>
    <t>RPBC2-03</t>
  </si>
  <si>
    <t>SUBSTITUIÇÃO DO TRANSFORMADOR DE FORÇA Nº 03 230/69kV DE 100MVA DA SUB SÃO LUÍS I POR OUTRO TR 230/69/13,8kV DE MESMA POTÊNCIA</t>
  </si>
  <si>
    <t>0000891/2021</t>
  </si>
  <si>
    <t>LITF6-03</t>
  </si>
  <si>
    <t>SUBSTITUIÇÃO DOS AUTOTRANSFORMADORES DE FORÇA Nº 01 500/230kV DE 200MVA DA SE SÃO LUÍS II, FASES "A", "B" E "V".</t>
  </si>
  <si>
    <t>0000892/2021</t>
  </si>
  <si>
    <t>LDAT7-01 FASES "A", "B" E "V"</t>
  </si>
  <si>
    <t>0001659/2021</t>
  </si>
  <si>
    <t>Substituição do reator monofásico, RTR1, 525 kV, 33,333 Mvar, Fase Reserva 1, SE Campos Novos.</t>
  </si>
  <si>
    <t>RTR 525 kV 33.3 MVAr C.NOVOS RTR1 SC</t>
  </si>
  <si>
    <t>0001178/2021</t>
  </si>
  <si>
    <t>RE1R</t>
  </si>
  <si>
    <t>Substituição do reator monofásico, RE2, 525 kV, 33,333 Mvar, Fase A, SE Campos Novos.</t>
  </si>
  <si>
    <t>RT 525 kV 100 Mvar C.NOVOS RT2 SC</t>
  </si>
  <si>
    <t>0001179/2021</t>
  </si>
  <si>
    <t>RE2/A</t>
  </si>
  <si>
    <t>SUBSTITUIÇÃO DO REATOR 230 kV 30 MVAr - TMRE6.01</t>
  </si>
  <si>
    <t>LT 230 kV TRANSAMAZONIC /ALTAMIRA C-1 PA</t>
  </si>
  <si>
    <t>0001614/2021</t>
  </si>
  <si>
    <t>TMRE6-01</t>
  </si>
  <si>
    <t>Substituição do reator monofásico, RE2, 525 kV, 33,333 Mvar, Fase B, SE Campos Novos.</t>
  </si>
  <si>
    <t>0001327/2021</t>
  </si>
  <si>
    <t>RE2/B</t>
  </si>
  <si>
    <t>Substituição do reator monofásico, RE2, 525 kV, 33,333 Mvar, Fase C, SE Campos Novos.</t>
  </si>
  <si>
    <t>0001336/2021</t>
  </si>
  <si>
    <t>RE2/C</t>
  </si>
  <si>
    <t>Substituição do Reator - MBRE7 04 SUB MARABA somente as Fases A e V.</t>
  </si>
  <si>
    <t>0001008/2021</t>
  </si>
  <si>
    <t>MBRE7-04</t>
  </si>
  <si>
    <t>SUBSTITUIÇÃO BANCO DE AUTOTRANSFORMADOR DE FORÇA 500/230 kV 750 MVA -VCAT7 02 FASES: A, B e V.</t>
  </si>
  <si>
    <t>0001010/2021</t>
  </si>
  <si>
    <t>VCAT7-02</t>
  </si>
  <si>
    <t>LT 525 kV ITA /MACHADINHO C-1 SC</t>
  </si>
  <si>
    <t>0001666/2021</t>
  </si>
  <si>
    <t>PP64A</t>
  </si>
  <si>
    <t>0001667/2021</t>
  </si>
  <si>
    <t>SUBSTITUIÇÃO DO BANCO DE AUTOTRANSFORMADOR DE POTÊNCIA 01 - 500/230/13,8 kV 750 MVA -VCAT7 01 FASES B, V e R</t>
  </si>
  <si>
    <t>0001012/2021</t>
  </si>
  <si>
    <t>VCAT7-01</t>
  </si>
  <si>
    <t>LT 525 kV ITA /NOVA STA RITA C-1 SC/RS</t>
  </si>
  <si>
    <t>0001668/2021</t>
  </si>
  <si>
    <t>PP44B</t>
  </si>
  <si>
    <t>0001670/2021</t>
  </si>
  <si>
    <t>LT 500 kV CAXIAS /ITA C-1 RS/SC</t>
  </si>
  <si>
    <t>0001672/2021</t>
  </si>
  <si>
    <t>PP74B</t>
  </si>
  <si>
    <t>0001674/2021</t>
  </si>
  <si>
    <t>DOURADOS</t>
  </si>
  <si>
    <t>Substituição do autotransformador trifásico com comutador sob carga, TF1, 230/138 kV, 75 MVA Nota EPE/ONS: Os novos TRs de 75 MVA da SE Dourados devem ter a mesma impedância (em torno de 9% na base 75 MVA) que o atual TR2 (único TR que não será substituído). Além de evitar desbalanço de fluxo entre as unidades paralelas, a impedância reduzida na SE Dourados, auxilia na redução de fluxo da fronteira mais próxima (SE Dourados 2), postergando assim a possíveis sobrecargas e indicações de reforços já detectados no horizonte de longo prazo.</t>
  </si>
  <si>
    <t>TR 230/138 kV DOURADOS TR1 MS</t>
  </si>
  <si>
    <t>0001340/2021</t>
  </si>
  <si>
    <t>TF1</t>
  </si>
  <si>
    <t>Substituição do autotransformador trifásico com comutador sob carga, TF4, 230/138 kV, 75 MVA Nota EPE/ONS: Os novos TRs de 75 MVA da SE Dourados devem ter a mesma impedância (em torno de 9% na base 75 MVA) que o atual TR2 (único TR que não será substituído). Além de evitar desbalanço de fluxo entre as unidades paralelas, a impedância reduzida na SE Dourados, auxilia na redução de fluxo da fronteira mais próxima (SE Dourados 2), postergando assim a possíveis sobrecargas e indicações de reforços já detectados no horizonte de longo prazo.</t>
  </si>
  <si>
    <t>TR 230/138 kV DOURADOS TR4 MS</t>
  </si>
  <si>
    <t>0001343/2021</t>
  </si>
  <si>
    <t>TF4</t>
  </si>
  <si>
    <t>Substituição do autotransformador trifásico com comutador sob carga, TF3, 230/138 kV, 75 MVA Nota EPE/ONS: Os novos TRs de 75 MVA da SE Dourados devem ter a mesma impedância (em torno de 9% na base 75 MVA) que o atual TR2 (único TR que não será substituído). Além de evitar desbalanço de fluxo entre as unidades paralelas, a impedância reduzida na SE Dourados, auxilia na redução de fluxo da fronteira mais próxima (SE Dourados 2), postergando assim a possíveis sobrecargas e indicações de reforços já detectados no horizonte de longo prazo.</t>
  </si>
  <si>
    <t>TR 230/138 kV DOURADOS TR3 MS</t>
  </si>
  <si>
    <t>0001349/2021</t>
  </si>
  <si>
    <t>TF3</t>
  </si>
  <si>
    <t>IRECE</t>
  </si>
  <si>
    <t>Implantação de um módulo de Entrada de Linha em 138kV, arranjo barra principal e transferência, com destino à SE Bonito na SE IRECÊ</t>
  </si>
  <si>
    <t>LT 138 kV Irecê - Bonito</t>
  </si>
  <si>
    <t>0000896/2021</t>
  </si>
  <si>
    <t>Substituição do reator monofásico, RE1, 525 kV, 50 Mvar, Fase A, SE Itá.</t>
  </si>
  <si>
    <t>0001352/2021</t>
  </si>
  <si>
    <t>Substituição do reator monofásico, RE1, 525 kV, 50 Mvar, Fase B, SE Itá.</t>
  </si>
  <si>
    <t>0001357/2021</t>
  </si>
  <si>
    <t>Substituição do reator monofásico, RE1, 525 kV, 50 Mvar, Fase C, SE Itá.</t>
  </si>
  <si>
    <t>0001361/2021</t>
  </si>
  <si>
    <t>Substituição do reator monofásico, RTR1, 525 kV, 50 Mvar, Fase Reserva 1, SE Itá.</t>
  </si>
  <si>
    <t>RTR 525 kV 50 Mvar ITA RTR1 SC</t>
  </si>
  <si>
    <t>0001363/2021</t>
  </si>
  <si>
    <t>GRAVATAI</t>
  </si>
  <si>
    <t>Substituição do autotransformador monofásico com comutador sob carga,TF2, 525/230 kV, 224 MVA, Fase A, SE Gravataí.</t>
  </si>
  <si>
    <t>TR 525/230 kV GRAVATAI TR2 + LT 230 kV GRAV2/GRAV C-2 RS</t>
  </si>
  <si>
    <t>0001368/2021</t>
  </si>
  <si>
    <t>TF2/A</t>
  </si>
  <si>
    <t>Substituição do autotransformador monofásico com comutador sob carga,TF2, 525/230 kV, 224 MVA, Fase B, SE Gravataí.</t>
  </si>
  <si>
    <t>0001372/2021</t>
  </si>
  <si>
    <t>TF2/B</t>
  </si>
  <si>
    <t>Substituição do autotransformador monofásico com comutador sob carga,TF2, 525/230 kV, 224 MVA, Fase C, SE Gravataí.</t>
  </si>
  <si>
    <t>0001377/2021</t>
  </si>
  <si>
    <t>TF2/C</t>
  </si>
  <si>
    <t>Substituição do autotransformador monofásico com comutador sob carga,TF3, 525/230 kV, 224 MVA, Fase A, SE Gravataí.</t>
  </si>
  <si>
    <t>TR 525/230 kV GRAVATAI TR3 + LT 230 kV GRAV2/GRAV C-3 RS</t>
  </si>
  <si>
    <t>0001386/2021</t>
  </si>
  <si>
    <t>TF3/A</t>
  </si>
  <si>
    <t>Substituição do autotransformador monofásico com comutador sob carga,TF3, 525/230 kV, 224 MVA, Fase B, SE Gravataí.</t>
  </si>
  <si>
    <t>0001391/2021</t>
  </si>
  <si>
    <t>TF3/B</t>
  </si>
  <si>
    <t>Substituição do autotransformador monofásico com comutador sob carga,TF3, 525/230 kV, 224 MVA, Fase C, SE Gravataí.</t>
  </si>
  <si>
    <t>0001396/2021</t>
  </si>
  <si>
    <t>TF3/C</t>
  </si>
  <si>
    <t>Substituição da Proteção e Controle da LT 138 kV Porto Franco - Tocantinópolis</t>
  </si>
  <si>
    <t>EL 138 kV PORTO FRANCO DIST1</t>
  </si>
  <si>
    <t>0001013/2021</t>
  </si>
  <si>
    <t>N-S-MAPF-DIT-TTPFLI501-PFSPRLI</t>
  </si>
  <si>
    <t>Desativação do reator monofásico, RE1, 525 kV, 50 Mvar, Fase A, SE Gravataí. Associado a esta obra são esperadas adaptações à base existente, caixa separadora de óleo, parede corta fogo e sistema de proteção contra incêndio.</t>
  </si>
  <si>
    <t>RT 525 kV 150 Mvar GRAVATAI RT1 RS</t>
  </si>
  <si>
    <t>0001400/2021</t>
  </si>
  <si>
    <t>Desativação do reator monofásico, RE1, 525 kV, 50 Mvar, Fase B, SE Gravataí. Associado a esta obra são esperadas adaptações à base existente, caixa separadora de óleo, parede corta fogo e sistema de proteção contra incêndio.</t>
  </si>
  <si>
    <t>0001405/2021</t>
  </si>
  <si>
    <t>Substituição de 1 (um) disjuntor 69 kV, base e estrutura de suporte, posição operacional 12J1 da SE MUSSURE II, por outro com capacidade nominal de curto-circuito mínima de 31,5 kA</t>
  </si>
  <si>
    <t>LT 69 kV MUSSURE II /J. PESSOA (02J1)</t>
  </si>
  <si>
    <t>0001031/2021</t>
  </si>
  <si>
    <t>11340420</t>
  </si>
  <si>
    <t>Desativação do reator monofásico, RE1, 525 kV, 50 Mvar, Fase C, SE Gravataí. Associado a esta obra são esperadas adaptações à base existente, caixa separadora de óleo, parede corta fogo e sistema de proteção contra incêndio.</t>
  </si>
  <si>
    <t>0001409/2021</t>
  </si>
  <si>
    <t>Desativação do reator monofásico, RTR1, 525 kV, 50 Mvar, Fase Reserva 1, SE Gravataí. Associado a esta obra são esperadas adaptações à base existente, caixa separadora de óleo, parede corta fogo e sistema de proteção contra incêndio.</t>
  </si>
  <si>
    <t>RTR 525 kV 50 MVAr GRAVATAI RTR1 RS</t>
  </si>
  <si>
    <t>0001413/2021</t>
  </si>
  <si>
    <t>RE1/R</t>
  </si>
  <si>
    <t>Substituição do reator monofásico, RE2, 525 kV, 50 Mvar, Fase A, SE Gravataí.</t>
  </si>
  <si>
    <t>RT 525 kV 150 Mvar GRAVATAI RT2 RS</t>
  </si>
  <si>
    <t>0001419/2021</t>
  </si>
  <si>
    <t>Substituição do reator monofásico, RE2, 525 kV, 50 Mvar, Fase C, SE Gravataí.</t>
  </si>
  <si>
    <t>0001431/2021</t>
  </si>
  <si>
    <t>GRAVATAI2</t>
  </si>
  <si>
    <t>Substituição do banco de capacitores, BC4, 230 kV, 100 Mvar, SE Gravataí 2.</t>
  </si>
  <si>
    <t>BC 230 kV 95 Mvar GRAVATAI2 BC4 RS</t>
  </si>
  <si>
    <t>0001471/2021</t>
  </si>
  <si>
    <t>BC4</t>
  </si>
  <si>
    <t>Substituição do banco de capacitores, BC5, 230 kV, 100 Mvar, SE Gravataí 2.</t>
  </si>
  <si>
    <t>BC 230 kV 95 Mvar GRAVATAI2 BC5 RS</t>
  </si>
  <si>
    <t>0001473/2021</t>
  </si>
  <si>
    <t>BC5</t>
  </si>
  <si>
    <t>PASSO FUNDO</t>
  </si>
  <si>
    <t>Substituição do autotransformador monofásico com comutador sob carga,TF3, 230/138 kV, 28 MVA, Fase A, SE Passo Fundo.</t>
  </si>
  <si>
    <t>TR 230/138 kV PASSO FUNDO TR3 RS</t>
  </si>
  <si>
    <t>0001442/2021</t>
  </si>
  <si>
    <t>Substituição do autotransformador monofásico com comutador sob carga,TF3, 230/138 kV, 28 MVA, Fase B, SE Passo Fundo.</t>
  </si>
  <si>
    <t>0001450/2021</t>
  </si>
  <si>
    <t>Substituição do autotransformador monofásico com comutador sob carga,TF3, 230/138 kV, 28 MVA, Fase C, SE Passo Fundo.</t>
  </si>
  <si>
    <t>0001454/2021</t>
  </si>
  <si>
    <t>Substituição do autotransformador monofásico com comutador sob carga,TF3R, 230/138 kV, 28 MVA, Fase Reserva, SE Passo Fundo.</t>
  </si>
  <si>
    <t>0001456/2021</t>
  </si>
  <si>
    <t>TF3R</t>
  </si>
  <si>
    <t>BLUMENAU</t>
  </si>
  <si>
    <t>Substituição de 3 Seccionadoras associadas da LT 230 kV BLUMENAU /JOINV.NORTE C-1 SC (Seccionadoras CS711, CS713 e CS715). Associado a esta obra são esperadas substituições/adaptações de fundações, suportes, cabos de controle e potência, barramento, conectores e conexão do aterramento. Capacidade nominal de curto-circuito (kA): no mínimo 40 kA.</t>
  </si>
  <si>
    <t>LT 230 kV BLUMENAU /JOINV.NORTE C-1 SC</t>
  </si>
  <si>
    <t>0001682/2021</t>
  </si>
  <si>
    <t>CS711, CS713 e CS715</t>
  </si>
  <si>
    <t>Substituição de 3 Seccionadoras associadas da LT 230 kV BLUMENAU /JOINVILLE C-1 SC (Seccionadoras CS721, CS723 e CS725). Associado a esta obra são esperadas substituições/adaptações de fundações, suportes, cabos de controle e potência, barramento, conectores e conexão do aterramento. Capacidade nominal de curto-circuito (kA): no mínimo 40 kA.</t>
  </si>
  <si>
    <t>LT 230 kV BLUMENAU /JOINVILLE C-1 SC</t>
  </si>
  <si>
    <t>0001683/2021</t>
  </si>
  <si>
    <t>CS721, CS723 e CS725</t>
  </si>
  <si>
    <t>Substituição de 3 Seccionadoras associadas da LT 230 kV BLUMENAU /GASPAR 2 C-2 SC (Seccionadoras CS731, CS733 e CS735). Associado a esta obra são esperadas substituições/adaptações de fundações, suportes, cabos de controle e potência, barramento, conectores e conexão do aterramento. Capacidade nominal de curto-circuito (kA): no mínimo 40 kA.</t>
  </si>
  <si>
    <t>LT 230 kV BLUMENAU / GASPAR 2 C 2 SC</t>
  </si>
  <si>
    <t>0001687/2021</t>
  </si>
  <si>
    <t>CS731, CS733 e CS735</t>
  </si>
  <si>
    <t>Substituição de 3 Seccionadoras associadas da LT 230 kV BLUMENAU /GASPAR 2 C-1 SC (Seccionadoras CS741, CS743 e CS745). Associado a esta obra são esperadas substituições/adaptações de fundações, suportes, cabos de controle e potência, barramento, conectores e conexão do aterramento. Capacidade nominal de curto-circuito (kA): no mínimo 40 kA.</t>
  </si>
  <si>
    <t>LT 230 kV BLUMENAU / GASPAR 2 C 1 SC</t>
  </si>
  <si>
    <t>0001689/2021</t>
  </si>
  <si>
    <t>CS741, CS743 e CS745</t>
  </si>
  <si>
    <t>PALHOCA ESU</t>
  </si>
  <si>
    <t>Substituição do banco de capacitores, BC1, 230 kV, 50 Mvar, SE Palhoça.</t>
  </si>
  <si>
    <t>BC 230 kV 50 Mvar PALHOCA ESU BC1 SC</t>
  </si>
  <si>
    <t>0001474/2021</t>
  </si>
  <si>
    <t>BC1</t>
  </si>
  <si>
    <t>CURITIBA</t>
  </si>
  <si>
    <t>Substituição de 3 Seccionadoras associadas ao vão da LT 230 kV CURITIBA /S.MATEUS SUL C-1 (Seccionadoras CS711, CS713 e CS715). Associado a esta obra são esperadas substituições/adaptações de fundações, suportes, cabos de controle e potência, barramento, conectores e conexão do aterramento. Capacidade nominal de curto-circuito (kA): 63 kA.</t>
  </si>
  <si>
    <t>LT 230 kV CURITIBA /S.MATEUS SUL C-1 PR</t>
  </si>
  <si>
    <t>0001695/2021</t>
  </si>
  <si>
    <t>Substituição de 3 Seccionadoras associadas ao vão da LT 230 kV CURITIBA /JOINVILLE C-1 (Seccionadoras CS721, CS723 e CS725). Associado a esta obra são esperadas substituições/adaptações de fundações, suportes, cabos de controle e potência, barramento, conectores e conexão do aterramento. Capacidade nominal de curto-circuito (kA): 63 kA.</t>
  </si>
  <si>
    <t>LT 230 kV CURITIBA /JOINVILLE C-1 PR/SC</t>
  </si>
  <si>
    <t>0001696/2021</t>
  </si>
  <si>
    <t>Substituição de 2 Seccionadoras associadas ao vão da barramento de transferência 230 kV (Seccionadoras CS743 e CS745). Associado a esta obra são esperadas substituições/adaptações de fundações, suportes, cabos de controle e potência, barramento, conectores e conexão do aterramento. Capacidade nominal de curto-circuito (kA): 63 kA.</t>
  </si>
  <si>
    <t>MG CURITIBA / CCO-2001-057 - RB</t>
  </si>
  <si>
    <t>0001697/2021</t>
  </si>
  <si>
    <t>CS743 e CS745</t>
  </si>
  <si>
    <t>Substituição de 3 Seccionadoras associadas ao vão da LT 230 kV CURITIBA /JOINV.NORTE C-1 (Seccionadoras CS761, CS763 e CS765). Associado a esta obra são esperadas substituições/adaptações de fundações, suportes, cabos de controle e potência, barramento, conectores e conexão do aterramento. Capacidade nominal de curto-circuito (kA): 63 kA.</t>
  </si>
  <si>
    <t>LT 230 kV CURITIBA /JOINV.NORTE C-1 PR/SC</t>
  </si>
  <si>
    <t>0001699/2021</t>
  </si>
  <si>
    <t>CS761, CS763 e CS765</t>
  </si>
  <si>
    <t>LONDRINA ESU</t>
  </si>
  <si>
    <t>Substituição de 2 Seccionadoras associadas ao vão da LT 230 kV LONDRINA ESU /APUCARANA C-1 (Seccionadoras CS771 e CS775). Associado a esta obra são esperadas substituições/adaptações de fundações, suportes, cabos de controle e potência, barramento, conectores e conexão do aterramento. Capacidade nominal de curto-circuito (kA): no mínimo 50 kA.</t>
  </si>
  <si>
    <t>LT 230 kV LONDRINA ESU /APUCARANA C-1 PR</t>
  </si>
  <si>
    <t>0001700/2021</t>
  </si>
  <si>
    <t>CS771 e CS775</t>
  </si>
  <si>
    <t>Substituição de 2 Seccionadoras associadas ao vão da LT 230 kV LONDRINA ESU /LONDRINA COT C-1 (Seccionadoras CS831 e CS835). Associado a esta obra são esperadas substituições/adaptações de fundações, suportes, cabos de controle e potência, barramento, conectores e conexão do aterramento. Capacidade nominal de curto-circuito (kA): no mínimo 50 kA.</t>
  </si>
  <si>
    <t>LT 230 kV LONDRINA ESU /LONDRINA COT C-1 PR</t>
  </si>
  <si>
    <t>0001702/2021</t>
  </si>
  <si>
    <t>CS831 e CS835</t>
  </si>
  <si>
    <t>Instalação de 01 unidade de controle, 02 falhas de disjuntor (principal e alternado), 02 unidades de bay de proteção de barra (principal e alternada) e cabos de controle associados ao módulo de interligação de barras (14D1), na SE Angelim.</t>
  </si>
  <si>
    <t>0001776/2021</t>
  </si>
  <si>
    <t>Instalação de 02 unidades de bay de proteção de barra (principal e alternada) e cabos de controle associados ao módulo de conexão da LT Angelim/Garanhuns II-C5 (04N6), na SE Angelim, para integrar as proteções de barra do tipo adaptativa e distribuída.</t>
  </si>
  <si>
    <t>LT 230 kV GARANHUNS II /ANGELIM C-5 PE</t>
  </si>
  <si>
    <t>0001777/2021</t>
  </si>
  <si>
    <t>Instalação de 02 unidades de bay de proteção de barra (principal e alternada) e cabos de controle associados ao módulo de conexão da LT Angelim/Messias-C1 (04M7), na SE Angelim, para integrar as proteções de barra do tipo adaptativa e distribuída.</t>
  </si>
  <si>
    <t>0001739/2021</t>
  </si>
  <si>
    <t>Instalação de 02 unidades de bay de proteção de barra (principal e alternada) e cabos de controle associados ao módulo de conexão da LT Angelim/Messias-C2 (04M8), na SE Angelim, para integrar as proteções de barra do tipo adaptativa e distribuída.</t>
  </si>
  <si>
    <t>0001742/2021</t>
  </si>
  <si>
    <t>Instalação de 02 unidades de bay de proteção de barra (principal e alternada) e cabos de controle associados ao módulo de conexão da LT Angelim/Messias-C3 (04M9), na SE Angelim, para integrar as proteções de barra do tipo adaptativa e distribuída.</t>
  </si>
  <si>
    <t>0001745/2021</t>
  </si>
  <si>
    <t>Instalação de 02 unidades de bay de proteção de barra (principal e alternada) e cabos de controle associados ao módulo de conexão da LT Angelim/Ribeirão-C2 (04S2), na SE Angelim, para integrar as proteções de barra do tipo adaptativa e distribuída.</t>
  </si>
  <si>
    <t>LT  230 kV ANGELIM      /RIBEIRAO     C-2 PE</t>
  </si>
  <si>
    <t>0001747/2021</t>
  </si>
  <si>
    <t>Instalação de 02 unidades de bay de proteção de barra (principal e alternada) e cabos de controle associados ao módulo de conexão da LT Angelim/Recife II-C1 (04M3), na SE Angelim, para integrar as proteções de barra do tipo adaptativa e distribuída.</t>
  </si>
  <si>
    <t>LT 230 kV ANGELIM /RECIFE II C-1 PE</t>
  </si>
  <si>
    <t>0001748/2021</t>
  </si>
  <si>
    <t>Instalação de 02 unidades de bay de proteção de barra (principal e alternada) e cabos de controle associados ao módulo de conexão da LT Angelim/Ribeirão-C1 (04S1), na SE Angelim, para integrar as proteções de barra do tipo adaptativa e distribuída.</t>
  </si>
  <si>
    <t>LT 230 kV ANGELIM /RIBEIRAO C-1 PE</t>
  </si>
  <si>
    <t>0001750/2021</t>
  </si>
  <si>
    <t>Instalação de 02 unidades de bay de proteção de barra (principal e alternada) e cabos de controle associados ao módulo de conexão da LT Angelim/Tacaimbó-C1 (04M4), na SE Angelim, para integrar as proteções de barra do tipo adaptativa e distribuída.</t>
  </si>
  <si>
    <t>0001753/2021</t>
  </si>
  <si>
    <t>Instalação de 02 unidades de bay de proteção de barra (principal e alternada) e cabos de controle associados ao módulo de conexão da LT Angelim/Tacaimbó-C2 (04M5), na SE Angelim, para integrar as proteções de barra do tipo adaptativa e distribuída.</t>
  </si>
  <si>
    <t>0001754/2021</t>
  </si>
  <si>
    <t>Instalação de 02 unidades de bay de proteção de barra (principal e alternada) e cabos de controle associados ao módulo de conexão da LT Angelim/Tacaimbó-C3 (04M6), na SE Angelim, para integrar as proteções de barra do tipo adaptativa e distribuída.</t>
  </si>
  <si>
    <t>LT 230 kV ANGELIM /TACAIMBO C-3 PE</t>
  </si>
  <si>
    <t>0001756/2021</t>
  </si>
  <si>
    <t>Instalação de 02 unidades de bay de proteção de barra (principal e alternada) e cabos de controle associados ao módulo de conexão da LT P. Afonso III/Angelim-C1 (04L1), na SE Angelim, para integrar as proteções de barra do tipo adaptativa e distribuída.</t>
  </si>
  <si>
    <t>LT 230 kV P.AFONSO III /ANGELIM C-1 AL/PE</t>
  </si>
  <si>
    <t>0001779/2021</t>
  </si>
  <si>
    <t>Instalação de 02 unidades de bay de proteção de barra (principal e alternada) e cabos de controle associados ao módulo de conexão da LT Garanhuns II/Angelim-C1 (04N2), na SE Angelim, para integrar as proteções de barra do tipo adaptativa e distribuída.</t>
  </si>
  <si>
    <t>LT 230 kV GARANHUNS II /ANGELIM C-1 PE</t>
  </si>
  <si>
    <t>0001780/2021</t>
  </si>
  <si>
    <t>Instalação de 02 unidades de bay de proteção de barra (principal e alternada) e cabos de controle associados ao módulo de conexão da LT Garanhuns II/Angelim-C2 (04N4), na SE Angelim, para integrar as proteções de barra do tipo adaptativa e distribuída.</t>
  </si>
  <si>
    <t>LT 230 kV GARANHUNS II /ANGELIM C-2 PE</t>
  </si>
  <si>
    <t>0001782/2021</t>
  </si>
  <si>
    <t>Instalação de 02 unidades centrais de proteção de barras (principal e alternada), do tipo adaptativa e distribuída, com capacidade para atender no mínimo 16 vãos e 03 bastidores de rede SPCS composto por 14 switches Ethernet e componentes associados na SE Angelim.</t>
  </si>
  <si>
    <t>0001789/2021</t>
  </si>
  <si>
    <t>Instalação de 01 unidade de controle, 02 falhas de disjuntor (principal e alternado), 02 unidades de bay de proteção de barra (principal e alternada) e cabos de controle associados ao módulo de interligação de barras (14D2), na SE Angelim.</t>
  </si>
  <si>
    <t>0001778/2021</t>
  </si>
  <si>
    <t>Instalação de 02 unidades de bay de proteção de barra (principal e alternada) e cabos de controle associados ao módulo de conexão do TR 230/69 kV (04T3), na SE Angelim, para integrar as proteções de barra do tipo adaptativa e distribuída.</t>
  </si>
  <si>
    <t>TR 230/69 kV ANGELIM TR3 PE</t>
  </si>
  <si>
    <t>0001781/2021</t>
  </si>
  <si>
    <t>Instalação de 02 unidades de bay de proteção de barra (principal e alternada) e cabos de controle associados ao módulo de conexão do TR 230/69 kV (04T5), na SE Angelim, para integrar as proteções de barra do tipo adaptativa e distribuída.</t>
  </si>
  <si>
    <t>TR 230/69 kV ANGELIM TR5 PE</t>
  </si>
  <si>
    <t>0001783/2021</t>
  </si>
  <si>
    <t>Instalação de 02 unidades de bay de proteção de barra (principal e alternada) e cabos de controle associados ao módulo de conexão do TR 230/69 kV (04T6), na SE Angelim, para integrar as proteções de barra do tipo adaptativa e distribuída.</t>
  </si>
  <si>
    <t>TR 230/69 kV ANGELIM TR6 PE</t>
  </si>
  <si>
    <t>0001785/2021</t>
  </si>
  <si>
    <t>LT 230 kV PALHOCA ESU / GASPAR 2 C-1 SC</t>
  </si>
  <si>
    <t>Itens não elétricos</t>
  </si>
  <si>
    <t>Execução de serviços de estabilização e proteção de talude próximo a torre 192 da LT 230 kV Palhoça - Gaspar 2 C-1.</t>
  </si>
  <si>
    <t>0003602/2021</t>
  </si>
  <si>
    <t>LT 230 PAL/GAS2 C-1</t>
  </si>
  <si>
    <t>LT 230 kV BIGUACU / GASPAR 2 C-1 SC</t>
  </si>
  <si>
    <t>Execução de serviços de estabilização e proteção de talude próximo a torre 349 da LT 230 kV Biguaçu - Gaspar 2 C-1.</t>
  </si>
  <si>
    <t>0003603/2021</t>
  </si>
  <si>
    <t>LT 230 BIG/GAS2 C-1</t>
  </si>
  <si>
    <t>Para-raios</t>
  </si>
  <si>
    <t>Substituição de Para-raio PARA-RAIOS - LITQCA4 STCAM FASE A (nº serie: 45452, cod. int.: 10200192)</t>
  </si>
  <si>
    <t>TR 345/138 kV CAMPINAS TR4 SP</t>
  </si>
  <si>
    <t>0007269/2021</t>
  </si>
  <si>
    <t>PARA-RAIOS - LITQCA4 STCAM FASE A</t>
  </si>
  <si>
    <t>Substituição de Para-raio PARA-RAIOS - LITQCA4 STCAM FASE B (nº serie: 45453, cod. int.: 10200193)</t>
  </si>
  <si>
    <t>0007280/2021</t>
  </si>
  <si>
    <t>PARA-RAIOS - LITQCA4 STCAM FASE B</t>
  </si>
  <si>
    <t>Substituição de Para-raio PARA-RAIOS - LITQCA4 STCAM FASE C (nº serie: 45451, cod. int.: 10200194)</t>
  </si>
  <si>
    <t>0007284/2021</t>
  </si>
  <si>
    <t>PARA-RAIOS - LITQCA4 STCAM FASE C</t>
  </si>
  <si>
    <t>Substituição de Para-raio PR LADO 13.8 KV AT51 FASE A (nº serie: 74/1, cod. int.: 10198785)</t>
  </si>
  <si>
    <t>0007287/2021</t>
  </si>
  <si>
    <t>PR LADO 13.8 KV AT51 FASE A</t>
  </si>
  <si>
    <t>Substituição de Para-raio PR LADO 13.8 KV AT51 FASE B (nº serie: 74/2, cod. int.: 10198786)</t>
  </si>
  <si>
    <t>0007289/2021</t>
  </si>
  <si>
    <t>PR LADO 13.8 KV AT51 FASE B</t>
  </si>
  <si>
    <t>Substituição de Para-raio PR LADO 13.8 KV AT51 FASE C (nº serie: 74/3, cod. int.: 10198787)</t>
  </si>
  <si>
    <t>0007290/2021</t>
  </si>
  <si>
    <t>PR LADO 13.8 KV AT51 FASE C</t>
  </si>
  <si>
    <t>Substituição de Disjuntor DJ508 (nº serie: 1140-PM-002, cod. int.: 10191580)</t>
  </si>
  <si>
    <t>DIT</t>
  </si>
  <si>
    <t>0005449/2023</t>
  </si>
  <si>
    <t>DJ508</t>
  </si>
  <si>
    <t>Substituição de Disjuntor DJ7518 (nº serie: 1140-2R-007, cod. int.: 10191572)</t>
  </si>
  <si>
    <t>LT 230 kV BARRO ALTO /AGUAS LINDAS C-1 GO</t>
  </si>
  <si>
    <t>0005447/2023</t>
  </si>
  <si>
    <t>DJ7518</t>
  </si>
  <si>
    <t>Substituição de Disjuntor DJ7018C (nº serie: 1133-2R-001, cod. int.: 10191604)</t>
  </si>
  <si>
    <t>BC 230 kV 27,7 Mvar BARRO ALTO BC1 GO</t>
  </si>
  <si>
    <t>0005446/2023</t>
  </si>
  <si>
    <t>DJ7018C</t>
  </si>
  <si>
    <t>Substituição de Disjuntor DJ708 (nº serie: 1140-2R-009, cod. int.: 10191570)</t>
  </si>
  <si>
    <t>0005451/2023</t>
  </si>
  <si>
    <t>DJ708</t>
  </si>
  <si>
    <t>Substituição de Transformador de Corrente TC9347 FASE A (nº serie: K74081-03-4, cod. int.: 10184503)</t>
  </si>
  <si>
    <t>LT 500 kV C. PAULISTA /ANGRA C-1 SP/RJ</t>
  </si>
  <si>
    <t>0005540/2023</t>
  </si>
  <si>
    <t>TC9347 FASE A</t>
  </si>
  <si>
    <t>Substituição de Transformador de Corrente TC9347 FASE B (nº serie: K74081-06-4, cod. int.: 10184504)</t>
  </si>
  <si>
    <t>0005541/2023</t>
  </si>
  <si>
    <t>TC9347 FASE B</t>
  </si>
  <si>
    <t>Substituição de Transformador de Corrente TC9347 FASE C (nº serie: K74081-16-3, cod. int.: 10184506)</t>
  </si>
  <si>
    <t>0005543/2023</t>
  </si>
  <si>
    <t>TC9347 FASE C</t>
  </si>
  <si>
    <t>Substituição de Transformador de Corrente TC9325 FASE A (nº serie: K74081-19-3, cod. int.: 10184510)</t>
  </si>
  <si>
    <t>LT 500 kV C. PAULISTA /CAMPINAS C-1 SP</t>
  </si>
  <si>
    <t>0005545/2023</t>
  </si>
  <si>
    <t>TC9325 FASE A</t>
  </si>
  <si>
    <t>Substituição de Transformador de Corrente TC9325 FASE B (nº serie: K74081-17-4, cod. int.: 10184509)</t>
  </si>
  <si>
    <t>0005546/2023</t>
  </si>
  <si>
    <t>TC9325 FASE B</t>
  </si>
  <si>
    <t>Substituição de Transformador de Corrente TC9325 FASE C (nº serie: K74081-17-1, cod. int.: 10184508)</t>
  </si>
  <si>
    <t>0005547/2023</t>
  </si>
  <si>
    <t>TC9325 FASE C</t>
  </si>
  <si>
    <t>Substituição de Transformador de Corrente TC9127 FASE A (nº serie: K74081-19-5, cod. int.: 10184512)</t>
  </si>
  <si>
    <t>LT 500 kV C. PAULISTA /ITAJUBA 3 C-1 SP/MG</t>
  </si>
  <si>
    <t>0005548/2023</t>
  </si>
  <si>
    <t>TC9127 FASE A</t>
  </si>
  <si>
    <t>Substituição de Transformador de Corrente TC9127 FASE B (nº serie: K74081-19-7, cod. int.: 10184531)</t>
  </si>
  <si>
    <t>0005550/2023</t>
  </si>
  <si>
    <t>TC9127 FASE B</t>
  </si>
  <si>
    <t>Substituição de Transformador de Corrente TC9127 FASE C (nº serie: K74081-01-2, cod. int.: 10184530)</t>
  </si>
  <si>
    <t>0005552/2023</t>
  </si>
  <si>
    <t>TC9127 FASE C</t>
  </si>
  <si>
    <t>Substituição de Transformador de Potencial DCP9210T LICHIJ STCH FASE A (nº serie: 730448, cod. int.: 10190005)</t>
  </si>
  <si>
    <t>0005634/2023</t>
  </si>
  <si>
    <t>DCP9210T LICHIJ STCH FASE A</t>
  </si>
  <si>
    <t>Substituição de Transformador de Potencial DCP9210T LICHIJ STCH FASE B (nº serie: 730463, cod. int.: 10190035)</t>
  </si>
  <si>
    <t>0005635/2023</t>
  </si>
  <si>
    <t>DCP9210T LICHIJ STCH FASE B</t>
  </si>
  <si>
    <t>Substituição de Transformador de Potencial DCP9210T LICHIJ STCH FASE C (nº serie: 730461, cod. int.: 10189993)</t>
  </si>
  <si>
    <t>0005636/2023</t>
  </si>
  <si>
    <t>DCP9210T LICHIJ STCH FASE C</t>
  </si>
  <si>
    <t>Substituição de Transformador de Corrente TC9137 FASE A (nº serie: K79341-04-6, cod. int.: 10184536)</t>
  </si>
  <si>
    <t>LT 500 kV C. PAULISTA /RESENDE C-1 SP/RJ</t>
  </si>
  <si>
    <t>0005553/2023</t>
  </si>
  <si>
    <t>TC9137 FASE A</t>
  </si>
  <si>
    <t>Substituição de Transformador de Corrente TC9137 FASE B (nº serie: K79341-04-5, cod. int.: 10184537)</t>
  </si>
  <si>
    <t>0005554/2023</t>
  </si>
  <si>
    <t>TC9137 FASE B</t>
  </si>
  <si>
    <t>Substituição de Transformador de Corrente TC9137 FASE C (nº serie: K79341-04-4, cod. int.: 10184538)</t>
  </si>
  <si>
    <t>0005555/2023</t>
  </si>
  <si>
    <t>TC9137 FASE C</t>
  </si>
  <si>
    <t>Substituição de Transformador de Potencial DCP9430T LTCHRS STCH FASE A (nº serie: 324320, cod. int.: 10190299)</t>
  </si>
  <si>
    <t>0005638/2023</t>
  </si>
  <si>
    <t>DCP9430T LTCHRS STCH FASE A</t>
  </si>
  <si>
    <t>Substituição de Transformador de Potencial DCP9430T LTCHRS STCH FASE B (nº serie: 324319, cod. int.: 10190300)</t>
  </si>
  <si>
    <t>0005639/2023</t>
  </si>
  <si>
    <t>DCP9430T LTCHRS STCH FASE B</t>
  </si>
  <si>
    <t>Substituição de Transformador de Potencial DCP9430T LTCHRS STCH FASE C (nº serie: 324318, cod. int.: 10190301)</t>
  </si>
  <si>
    <t>0005640/2023</t>
  </si>
  <si>
    <t>DCP9430T LTCHRS STCH FASE C</t>
  </si>
  <si>
    <t>Substituição de Seccionadora SC9365 (nº serie: 12513, cod. int.: 10194809)</t>
  </si>
  <si>
    <t>LT 500 kV C. PAULISTA /TAUBATE C-1 SP</t>
  </si>
  <si>
    <t>0005514/2023</t>
  </si>
  <si>
    <t>SC9365</t>
  </si>
  <si>
    <t>Substituição de Seccionadora SC9367 (nº serie: 9365/13, cod. int.: 10195411)</t>
  </si>
  <si>
    <t>0005515/2023</t>
  </si>
  <si>
    <t>SC9367</t>
  </si>
  <si>
    <t>Substituição de Transformador de Potencial DCP9330T LICHTA STCH FASE A (nº serie: K83025-04-3, cod. int.: 10189549)</t>
  </si>
  <si>
    <t>0005641/2023</t>
  </si>
  <si>
    <t>DCP9330T LICHTA STCH FASE A</t>
  </si>
  <si>
    <t>Substituição de Transformador de Potencial DCP9330T LICHTA STCH FASE B (nº serie: K83025-04-2, cod. int.: 10189548)</t>
  </si>
  <si>
    <t>0005642/2023</t>
  </si>
  <si>
    <t>DCP9330T LICHTA STCH FASE B</t>
  </si>
  <si>
    <t>Substituição de Transformador de Potencial DCP9330T LICHTA STCH FASE C (nº serie: K83025-03-3, cod. int.: 10189545)</t>
  </si>
  <si>
    <t>0005643/2023</t>
  </si>
  <si>
    <t>DCP9330T LICHTA STCH FASE C</t>
  </si>
  <si>
    <t>Substituição de Transformador de Potencial DCP9420T LICHPTMR STCH FASE A (nº serie: 730473, cod. int.: 10189992)</t>
  </si>
  <si>
    <t>LT 500 kV TERMINAL RIO /C. PAULISTA C-1 RJ/SP</t>
  </si>
  <si>
    <t>0005644/2023</t>
  </si>
  <si>
    <t>DCP9420T LICHPTMR STCH FASE A</t>
  </si>
  <si>
    <t>Substituição de Transformador de Potencial DCP9420T LICHPTMR STCH FASE C (nº serie: 730464, cod. int.: 10189990)</t>
  </si>
  <si>
    <t>0005645/2023</t>
  </si>
  <si>
    <t>DCP9420T LICHPTMR STCH FASE C</t>
  </si>
  <si>
    <t>Substituição de Seccionadora SC9485 (nº serie: 10672, cod. int.: 10194873)</t>
  </si>
  <si>
    <t>LT 500 kV C. PAULISTA /TIJUCO PRETO C-1 SP</t>
  </si>
  <si>
    <t>0005517/2023</t>
  </si>
  <si>
    <t>SC9485</t>
  </si>
  <si>
    <t>Substituição de Transformador de Corrente TC9485 FASE A (nº serie: K74081-15-5, cod. int.: 10184434)</t>
  </si>
  <si>
    <t>0005557/2023</t>
  </si>
  <si>
    <t>TC9485 FASE A</t>
  </si>
  <si>
    <t>Substituição de Transformador de Corrente TC9485 FASE B (nº serie: K74081-15-3, cod. int.: 10184435)</t>
  </si>
  <si>
    <t>0005559/2023</t>
  </si>
  <si>
    <t>TC9485 FASE B</t>
  </si>
  <si>
    <t>Substituição de Transformador de Corrente TC9485 FASE C (nº serie: K74081-15-8, cod. int.: 10184436)</t>
  </si>
  <si>
    <t>0005561/2023</t>
  </si>
  <si>
    <t>TC9485 FASE C</t>
  </si>
  <si>
    <t>Substituição de Transformador de Potencial DCP9460T LTCHTP1 STCH FASE A (nº serie: 88635501, cod. int.: 10190376)</t>
  </si>
  <si>
    <t>0005646/2023</t>
  </si>
  <si>
    <t>DCP9460T LTCHTP1 STCH FASE A</t>
  </si>
  <si>
    <t>Substituição de Transformador de Potencial DCP9460T LTCHTP1 STCH FASE B (nº serie: 88635502, cod. int.: 10190377)</t>
  </si>
  <si>
    <t>0005647/2023</t>
  </si>
  <si>
    <t>DCP9460T LTCHTP1 STCH FASE B</t>
  </si>
  <si>
    <t>Substituição de Transformador de Potencial DCP9460T LTCHTP1 STCH FASE C (nº serie: 88635504, cod. int.: 10190378)</t>
  </si>
  <si>
    <t>0005649/2023</t>
  </si>
  <si>
    <t>DCP9460T LTCHTP1 STCH FASE C</t>
  </si>
  <si>
    <t>Substituição de Transformador de Corrente TC9225 FASE A (nº serie: K74081-19-4, cod. int.: 10184511)</t>
  </si>
  <si>
    <t>MG C. PAULISTA / CCO-2001-062 - RB</t>
  </si>
  <si>
    <t>0005564/2023</t>
  </si>
  <si>
    <t>TC9225 FASE A</t>
  </si>
  <si>
    <t>Substituição de Transformador de Corrente TC9225 FASE B (nº serie: K74081-19-6, cod. int.: 10184507)</t>
  </si>
  <si>
    <t>0005566/2023</t>
  </si>
  <si>
    <t>TC9225 FASE B</t>
  </si>
  <si>
    <t>Substituição de Transformador de Corrente TC9225 FASE C (nº serie: K74081-15-4, cod. int.: 10184505)</t>
  </si>
  <si>
    <t>0005567/2023</t>
  </si>
  <si>
    <t>TC9225 FASE C</t>
  </si>
  <si>
    <t>Substituição de Seccionadora SC9445 (nº serie: 9365/15, cod. int.: 10195413)</t>
  </si>
  <si>
    <t>0005519/2023</t>
  </si>
  <si>
    <t>SC9445</t>
  </si>
  <si>
    <t>Substituição de Seccionadora SC9447 (nº serie: 9365/18, cod. int.: 10195416)</t>
  </si>
  <si>
    <t>0005520/2023</t>
  </si>
  <si>
    <t>SC9447</t>
  </si>
  <si>
    <t>Substituição de Seccionadora SC9455 (nº serie: 9365/19, cod. int.: 10195417)</t>
  </si>
  <si>
    <t>0005521/2023</t>
  </si>
  <si>
    <t>SC9455</t>
  </si>
  <si>
    <t>Substituição de Seccionadora SC9457 (nº serie: 9365/14, cod. int.: 10195412)</t>
  </si>
  <si>
    <t>0005523/2023</t>
  </si>
  <si>
    <t>SC9457</t>
  </si>
  <si>
    <t>Substituição de Para-raio PARA-RAIOS - LTIATP1 STTPR FASE A (nº serie: 75026404, cod. int.: 10198533)</t>
  </si>
  <si>
    <t>LT 750 kV ITABERA /TIJUCO PRETO C-1 SP</t>
  </si>
  <si>
    <t>0004839/2023</t>
  </si>
  <si>
    <t>PARA-RAIOS - LTIATP1 STTPR FASE A</t>
  </si>
  <si>
    <t>Substituição de Para-raio PARA-RAIOS - LTIATP1 STTPR FASE B (nº serie: 75026405, cod. int.: 10198534)</t>
  </si>
  <si>
    <t>0004841/2023</t>
  </si>
  <si>
    <t>PARA-RAIOS - LTIATP1 STTPR FASE B</t>
  </si>
  <si>
    <t>Substituição de Para-raio PARA-RAIOS - LTIATP1 STTPR FASE C (nº serie: 75026406, cod. int.: 10198535)</t>
  </si>
  <si>
    <t>0004843/2023</t>
  </si>
  <si>
    <t>PARA-RAIOS - LTIATP1 STTPR FASE C</t>
  </si>
  <si>
    <t>Substituição de Para-raio PARA-RAIOS - LTIATP2 STTPR FASE A (nº serie: 75026398, cod. int.: 10198526)</t>
  </si>
  <si>
    <t>LT 750 kV ITABERA /TIJUCO PRETO C-2 SP</t>
  </si>
  <si>
    <t>0004833/2023</t>
  </si>
  <si>
    <t>PARA-RAIOS - LTIATP2 STTPR FASE A</t>
  </si>
  <si>
    <t>Substituição de Para-raio PARA-RAIOS - LTIATP2 STTPR FASE B (nº serie: 75026399, cod. int.: 10198527)</t>
  </si>
  <si>
    <t>EL 750 kV TIJUCO PRETO LT 750 kV ITABERA /TIJUCO PRETO C-2 SP</t>
  </si>
  <si>
    <t>0004835/2023</t>
  </si>
  <si>
    <t>PARA-RAIOS - LTIATP2 STTPR FASE B</t>
  </si>
  <si>
    <t>Substituição de Para-raio PARA-RAIOS - LTIATP2 STTPR FASE C (nº serie: 75026400, cod. int.: 10198528)</t>
  </si>
  <si>
    <t>0004836/2023</t>
  </si>
  <si>
    <t>PARA-RAIOS - LTIATP2 STTPR FASE C</t>
  </si>
  <si>
    <t>Substituição de Transformador de Corrente TCS DJ12724 FASE A (nº serie: 7176012, cod. int.: 10185094)</t>
  </si>
  <si>
    <t>0004907/2023</t>
  </si>
  <si>
    <t>TCS DJ12724 FASE A</t>
  </si>
  <si>
    <t>Substituição de Transformador de Corrente TCS DJ12724 FASE B (nº serie: 7176010, cod. int.: 10185096)</t>
  </si>
  <si>
    <t>0004911/2023</t>
  </si>
  <si>
    <t>TCS DJ12724 FASE B</t>
  </si>
  <si>
    <t>Substituição de Transformador de Corrente TCS DJ12724 FASE C (nº serie: 7176007, cod. int.: 10185091)</t>
  </si>
  <si>
    <t>0004915/2023</t>
  </si>
  <si>
    <t>TCS DJ12724 FASE C</t>
  </si>
  <si>
    <t>SUBSTITUIÇÃO DE REATOR A SECO COM NUCLEO DE AR P/ FILTRO DE 3ª HARMONICA - FASE A</t>
  </si>
  <si>
    <t>CE 55/-20 Mvar SINOP CE1 MT</t>
  </si>
  <si>
    <t>0002982/2021</t>
  </si>
  <si>
    <t>N-S-MTSP-CE101-MC230-SPRL102A</t>
  </si>
  <si>
    <t>SUBSTITUIÇÃO DE REATOR A SECO COM NUCLEO DE AR P/ FILTRO DE 3ª HARMONICA</t>
  </si>
  <si>
    <t>0002983/2021</t>
  </si>
  <si>
    <t>N-S-MTSP-CE101-MC230-SPRL102B</t>
  </si>
  <si>
    <t>0002984/2021</t>
  </si>
  <si>
    <t>N-S-MTSP-CE101-MC230-SPRL102V</t>
  </si>
  <si>
    <t>USINA XINGO</t>
  </si>
  <si>
    <t>Instalação de firewall (hardware específico) na edificação USINA XINGÓ, composto por: 02 Switchs Ethernet Dedicados (Firewalls).</t>
  </si>
  <si>
    <t>MODULO NOVO</t>
  </si>
  <si>
    <t>0003465/2021</t>
  </si>
  <si>
    <t>LT 230 kV CIC. DANTAS /CATU BA</t>
  </si>
  <si>
    <t>Substituir 15 cadeias de isolador em 01 est 080/4-LT 230 kV CIC. DANTAS /CATU C-1 BA-04L2</t>
  </si>
  <si>
    <t>LT 230 kV CIC. DANTAS /CATU C-1 BA</t>
  </si>
  <si>
    <t>0003587/2021</t>
  </si>
  <si>
    <t>04L2</t>
  </si>
  <si>
    <t>LT 230 kV AQUIRAZ II /FORTALEZA CE</t>
  </si>
  <si>
    <t>Substituir 01 estrutura metálica autoportante 176/2 e componentes e 04 fundações associados. Altura = 23 m e Carregamento/Esforço = 3686,8 DAN-LT 230 kV AQUIRAZ II /FORTALEZA C-3 CE (04F1)</t>
  </si>
  <si>
    <t>LT 230 kV AQUIRAZ II /FORTALEZA C-3 CE</t>
  </si>
  <si>
    <t>0003622/2021</t>
  </si>
  <si>
    <t>11647028</t>
  </si>
  <si>
    <t>Substituir 01 estrutura metálica autoportante 176/1 e componentes e 04 fundações associados. Altura = 23 m e Carregamento/Esforço = 3686,8 DAN-LT 230 kV AQUIRAZ II /FORTALEZA C-3 CE (04F1)</t>
  </si>
  <si>
    <t>0003625/2021</t>
  </si>
  <si>
    <t>11647018</t>
  </si>
  <si>
    <t>LT 230 kV CAUIPE /FORTALEZA II CE</t>
  </si>
  <si>
    <t>Substituir 01 estrutura metálica autoportante 213/1 e componentes e 04 fundações associados. Altura = 39 m e Carregamento/Esforço = 7501,7 DAN-LT 230 kV CAUIPE /FORTALEZA II C-3 CE (04S1)</t>
  </si>
  <si>
    <t>0003627/2021</t>
  </si>
  <si>
    <t>11661378</t>
  </si>
  <si>
    <t>LT 500 kV USINA XINGO /MESSIAS AL</t>
  </si>
  <si>
    <t>Substituir 236 cadeias de isolador em 35 est 001/1;001/2;001/3;002/1;002/2;003/1;003/2;004/1;004/2;005/1;005/2;006/1;006/2;007/1;007/2;008/1;008/2;009/1;009/2;010/1;010/2;011/1;011/2;012/1;012/2;013/1;014/1;014/2;015/1;016/1;016/2;017/1;017/2;018/1;018/2-LT 500 kV USINA XINGO /MESSIAS C-1 AL-05V4</t>
  </si>
  <si>
    <t>0003667/2021</t>
  </si>
  <si>
    <t>05V4</t>
  </si>
  <si>
    <t>LT 500 kV US. L.GONZAGA /MILAGRES PE/CE</t>
  </si>
  <si>
    <t>Substituir 68 cadeias de isolador em 14 est 040/1;040/2;041/1;041/2;042/2;044/1;045/1;047/2;048/2;102/1;130/1;131/2;134/1;136/3-LT 500 kV US. L.GONZAGA /MILAGRES C-1 PE/CE-05V1</t>
  </si>
  <si>
    <t>LT 500 kV US. L.GONZAGA /MILAGRES C-1 PE/CE</t>
  </si>
  <si>
    <t>0003668/2021</t>
  </si>
  <si>
    <t>05V1</t>
  </si>
  <si>
    <t>LT 500 kV USINA XINGO /JARDIM AL/SE</t>
  </si>
  <si>
    <t>Substituir 212 cadeias de isolador em 35 est 001/1;001/2;001/3;002/1;002/2;003/1;003/2;004/1;004/2;005/1;005/2;006/1;006/2;007/1;007/2;008/1;008/2;009/1;009/2;010/1;011/1;011/2;012/1;012/2;013/1;013/2;014/1;015/1;015/2;015/3;016/1;017/1;017/2;018/1;018/2-LT 500 kV USINA XINGO /JARDIM C-1 AL/SE-05V5</t>
  </si>
  <si>
    <t>LT 500 kV USINA XINGO /JARDIM C-1 AL/SE</t>
  </si>
  <si>
    <t>0003670/2021</t>
  </si>
  <si>
    <t>05V5</t>
  </si>
  <si>
    <t>LT  500 kV US. L.GONZAGA/U.SOBRADINHO  PE/BA</t>
  </si>
  <si>
    <t>Substituir 164 cadeias de isolador em 35 est 161/2;162/2;164/1;164/2;173/2;174/2;177/1;178/1;179/1;180/1;180/2;181/1;181/2;182/1;182/2;209/2;210/1;226/2;240/1;241/2;243/2;250/2;260/1;260/2;261/1;261/2;262/1;262/2;263/2;264/2;265/1;266/1;267/1;268/1;268/2-LT 500 kV US. L.GONZAGA/U.SOBRADINHO C2-05C4</t>
  </si>
  <si>
    <t>LT 500 kV US. L.GONZAGA /U.SOBRADINHO C-2 PE/BA</t>
  </si>
  <si>
    <t>0003671/2021</t>
  </si>
  <si>
    <t>05C4</t>
  </si>
  <si>
    <t>LT 500 kV P. AFONSO IV /ANGELIM II BA/PE</t>
  </si>
  <si>
    <t>Substituir 152 cadeias de isolador em 35 est 124/1;124/2;125/1;125/2;126/1;126/2;127/2;128/1;128/2;129/1;129/2;129/3;130/1;130/2;131/1;131/2;132/1;132/2;133/1;133/2;134/1;134/2;135/1;135/2;136/2;137/1;137/2;138/1;138/2;139/1;140/1;140/2;140/3;141/1;141/2-LT 500 kV P. AFONSO IV /ANGELIM II C1-05L6</t>
  </si>
  <si>
    <t>LT 500 kV P. AFONSO IV /ANGELIM II C-1 BA/PE</t>
  </si>
  <si>
    <t>0003672/2021</t>
  </si>
  <si>
    <t>05L6</t>
  </si>
  <si>
    <t>Substituir 200 cadeias de isolador em 35 est 001/1;001/2;002/1;002/2;003/1;003/2;003/3;004/1;005/1;006/3;008/3;009/2;010/1;011/2;012/1;013/1;013/2;014/1;014/2;031/2;032/1;033/1;033/2;033/3;034/2;035/1;035/2;036/1;036/2;036/3;037/1;038/1;038/2;039/1;039/2-LT 500 kV P. AFONSO IV /ANGELIM II C1-05L6</t>
  </si>
  <si>
    <t>0003675/2021</t>
  </si>
  <si>
    <t>LT 230 kV P.AFONSO III /ITABAIANA AL/SE</t>
  </si>
  <si>
    <t>Substituir 132 cadeias de isolador em 35 est 001/3;001/4;003/1;003/2;003/3;004/2;005/1;005/2;005/3;006/2;007/1;007/2;008/2;009/2;010/2;011/2;011/3;012/1;012/2;013/1;014/1;015/1;015/2;015/3;016/2;017/2;019/2;022/1;023/1;023/2;024/1;024/3;025/1;025/2;027/1-LT 230 kV P.AFONSO III /ITABAIANA C2-04S7</t>
  </si>
  <si>
    <t>LT 230 kV P.AFONSO III /ITABAIANA C-2 AL/SE</t>
  </si>
  <si>
    <t>0003676/2021</t>
  </si>
  <si>
    <t>04S7</t>
  </si>
  <si>
    <t>LT 230 kV P.AFONSO III /BOM NOME AL/PE</t>
  </si>
  <si>
    <t>Substituir 195 cadeias de isolador em 35 est 001/3;002/2;002/3;007/2;009/2;009/3;010/1;010/2;010/3;010/4;011/1;011/2;011/3;013/1;013/2;014/1;016/4;017/2;017/3;017/4;020/1;020/4;021/4;022/1;023/3;023/4;024/1;024/3;025/1;025/2;025/3;028/1;031/1;032/1;032/3-LT 230 kV P.AFONSO III /BOM NOME C3-04F3</t>
  </si>
  <si>
    <t>LT 230 kV P.AFONSO III /BOM NOME C-3 AL/PE</t>
  </si>
  <si>
    <t>0003679/2021</t>
  </si>
  <si>
    <t>04F3</t>
  </si>
  <si>
    <t>LT 500 kV US. L.GONZAGA /JUAZEIRO III PE/BA</t>
  </si>
  <si>
    <t>Substituir 152 cadeias de isolador em 35 est 124/2;125/2;126/2;127/1;127/2;128/1;128/2;130/2;131/1;134/1;134/2;135/1;136/1;137/2;138/1;138/2;139/1;140/1;140/2;141/1;142/1;142/2;143/1;143/2;144/1;145/1;146/2;147/1;148/1;148/2;149/1;149/2;150/1;150/2;151/1-LT 500 kV US. L.GONZAGA /JUAZEIRO III C1-05C5</t>
  </si>
  <si>
    <t>LT 500 kV US. L.GONZAGA /JUAZEIRO III C-1 PE/BA</t>
  </si>
  <si>
    <t>0003683/2021</t>
  </si>
  <si>
    <t>05C5</t>
  </si>
  <si>
    <t>Substituir 140 cadeias de isolador em 35 est 072/2;073/1;073/2;073/3;083/1;083/2;084/1;085/1;085/2;086/1;086/2;087/1;087/2;088/1;088/2;089/1;090/1;090/2;091/1;091/2;092/1;092/2;093/1;093/2;094/2;095/2;096/2;097/1;099/1;099/2;100/1;100/2;101/1;101/2;101/3-LT 500 kV US. L.GONZAGA /JUAZEIRO III C1-05C5</t>
  </si>
  <si>
    <t>0003686/2021</t>
  </si>
  <si>
    <t>LT 230 kV BOM NOME /MILAGRES PE/CE</t>
  </si>
  <si>
    <t>Substituir 348 cadeias de isolador em 34 est 000/1;000/2;001/1;001/2;001/3;001/4;001/5;002/1;002/2;002/3;003/1;003/2;003/3;003/4;004/1;004/2;004/3;004/4;005/1;005/2;005/3;005/4;006/1;006/2;006/3;006/4;007/1;007/2;007/3;007/4;008/1;008/2;008/3;008/4-LT 230 kV BOM NOME /MILAGRES C-3 PE/CE-04L3</t>
  </si>
  <si>
    <t>LT 230 kV BOM NOME /MILAGRES C-3 PE/CE</t>
  </si>
  <si>
    <t>0003687/2021</t>
  </si>
  <si>
    <t>04L3</t>
  </si>
  <si>
    <t>LT 500 kV PAU FERRO /RECIFE II PE</t>
  </si>
  <si>
    <t>Substituir 325 cadeias de isolador em 35 est RCD;001/1;001/2;002/1;002/2;002/3;003/1;003/2;004/1;004/2;004/3;005/1;005/2;005/3;006/1;006/2;007/1;007/2;007/3;008/1;009/1;009/2;010/1;010/2;011/1;011/2;012/1;012/2;013/1;013/2;014/1;014/2;014/3;015/1;015/2-LT 500 kV PAU FERRO /RECIFE II C-1 PE-05L8</t>
  </si>
  <si>
    <t>LT 500 kV PAU FERRO /RECIFE II C-1 PE</t>
  </si>
  <si>
    <t>0003694/2021</t>
  </si>
  <si>
    <t>05L8</t>
  </si>
  <si>
    <t>LT 500 kV SUAPE II /RECIFE II PE</t>
  </si>
  <si>
    <t>Substituir 140 cadeias de isolador em 35 est 024/1;024/2;024/3;025/1;025/2;026/1;026/2;027/1;027/2;028/1;028/2;029/1;029/2;030/1;030/2;031/1;031/2;032/1;032/2;033/1;033/2;034/1;034/2;034/3;035/1;035/2;036/1;036/2;037/1;038/1;038/2;039/1;039/2;040/1;040/2-LT 500 kV SUAPE II /RECIFE II C-1 PE-05L7</t>
  </si>
  <si>
    <t>LT 500 kV SUAPE II /RECIFE II C-1 PE</t>
  </si>
  <si>
    <t>0003696/2021</t>
  </si>
  <si>
    <t>05L7</t>
  </si>
  <si>
    <t>LT 230 kV SAPEACU /FUNIL BA</t>
  </si>
  <si>
    <t>Substituir 186 cadeias de isolador em 34 est 173/1;173/2;174/2;175/1;177/1;177/2;178/1;179/1;180/1;180/2;181/1;181/2;182/1;182/2;183/1;183/2;184/2;185/1;185/2;186/1;186/2;187/1;187/2;187/3;188/1;188/2;189/1;189/2;190/1;190/2;191/1;191/2;192/1;192/2-LT 230 kV SAPEACU /FUNIL C-1 BA-04F1</t>
  </si>
  <si>
    <t>LT 230 kV SAPEACU /FUNIL C-1 BA</t>
  </si>
  <si>
    <t>0003697/2021</t>
  </si>
  <si>
    <t>04F1</t>
  </si>
  <si>
    <t>LT 230 kV RIBEIRAO /RECIFE II PE</t>
  </si>
  <si>
    <t>Substituir 117 cadeias de isolador em 34 est 018/1;018/2;018/3;019/1;019/2;020/1;020/2;021/1;022/1;022/2;023/1;023/2;023/3;024/1;024/2;025/1;025/2;026/1;026/2;027/1;027/2;027/3;028/1;029/1;029/2;030/1;030/2;031/2;032/1;033/1;034/1;034/2;035/1;035/2-LT 230 kV RIBEIRAO /RECIFE II C-1 PE-04M1</t>
  </si>
  <si>
    <t>LT 230 kV RIBEIRAO /RECIFE II C-1 PE</t>
  </si>
  <si>
    <t>0003698/2021</t>
  </si>
  <si>
    <t>04M1</t>
  </si>
  <si>
    <t>Substituir 135 cadeias de isolador em 34 est RIB;000001;001/3;001/6;002/2;003/1;003/2;004/2;005/1;005/2;005/3;006/1;007/1;007/2;008/1;008/2;009/1;009/3;010/1;010/2;012/1;012/2;013/1;013/3;014/1;014/2;014/3;015/1;015/2;016/1;016/2;017/1;017/2;017/3-LT 230 kV RIBEIRAO /RECIFE II C-1 PE-04M1</t>
  </si>
  <si>
    <t>0003699/2021</t>
  </si>
  <si>
    <t>LT 230 kV STO.A.JESUS /FUNIL BA</t>
  </si>
  <si>
    <t>Substituir 111 cadeias de isolador em 17 est 158/1;158/2;158/3;159/1;159/2;159/3;160/1;160/2;161/1;161/2;162/1;162/2;163/1;163/2;163/3;163/4;164/1-LT 230 kV STO.A.JESUS /FUNIL C-1 BA-04F2</t>
  </si>
  <si>
    <t>LT 230 kV STO.A.JESUS /FUNIL C-1 BA</t>
  </si>
  <si>
    <t>0003700/2021</t>
  </si>
  <si>
    <t>04F2</t>
  </si>
  <si>
    <t>LT 138 kV ACU II /SAN.MATOS II RN</t>
  </si>
  <si>
    <t>Substituir 54 cadeias de isolador em 18 est 001/3;001/4;001/5;002/1;002/3;004/2;004/3;004/4;006/1;006/2;008/3;010/2;013/2;013/5;014/1;014/3;015/2;034/4-LT 138 kV ACU II /SAN.MATOS II C-1 RN-03C2</t>
  </si>
  <si>
    <t>LT 138 kV ACU II /SAN.MATOS II C-1 RN</t>
  </si>
  <si>
    <t>0003703/2021</t>
  </si>
  <si>
    <t>03C2</t>
  </si>
  <si>
    <t>LT 138 kV PARAISO /SANTA CRUZ II RN</t>
  </si>
  <si>
    <t>Substituir 54 cadeias de isolador em 12 est 530A;530B;552;001/1;001/2;001/3;002/1;002/2;003/1;003/2;004/1;004/2-LT 138 kV PARAISO /SANTA CRUZ II C-1 RN-03M1</t>
  </si>
  <si>
    <t>LT 138 kV PARAISO /SANTA CRUZ II C-1 RN</t>
  </si>
  <si>
    <t>0003704/2021</t>
  </si>
  <si>
    <t>03M1</t>
  </si>
  <si>
    <t>LT 230 kV NATAL III /NATAL II RN</t>
  </si>
  <si>
    <t>Substituir 60 cadeias de isolador em 19 est 001/4;002/1;002/2;003/1;003/2;003/3;003/4;004/1;004/2;004/3;005/1;005/2;006/1;007/2;008/1;008/2;009/1;009/2;010/2-LT 230 kV NATAL III /NATAL II C-1 RN-04N3</t>
  </si>
  <si>
    <t>LT 230 kV NATAL III /NATAL II C-1 RN</t>
  </si>
  <si>
    <t>0003710/2021</t>
  </si>
  <si>
    <t>04N3</t>
  </si>
  <si>
    <t>LT 138 kV C.GRANDE II /SANTA CRUZ II PB/RN</t>
  </si>
  <si>
    <t>Substituir 15 cadeias de isolador em 5 est 516;510;533;527;536-LT 138 kV C.GRANDE II /SANTA CRUZ II C-1 PB/RN-03L1</t>
  </si>
  <si>
    <t>0003713/2021</t>
  </si>
  <si>
    <t>03L1</t>
  </si>
  <si>
    <t>Substituição de 1 (um) Transformador de Potencial 13,8 kV posição operacional 81T3 fase A da Subestação BNO</t>
  </si>
  <si>
    <t>MC 13,8 kV TR 69/13,8 kV BOM NOME TR3A PE</t>
  </si>
  <si>
    <t>0004004/2021</t>
  </si>
  <si>
    <t>11456346</t>
  </si>
  <si>
    <t>Substituição de 1 (um) Transformador de Potencial 13,8 kV posição operacional 81T3 fase C da Subestação BNO</t>
  </si>
  <si>
    <t>0004009/2021</t>
  </si>
  <si>
    <t>11456347</t>
  </si>
  <si>
    <t>IVAIPORA ELS</t>
  </si>
  <si>
    <t>Substituição dos painéis da proteção Principal, Alternada, Falha de Disjuntor (com instalação de unidades redundantes), e dos cabos de controle e potência associados (6.640 m), referente a LT 525 kV Ivaiporã Eletrosul - Ivaiporã Furnas C-1.</t>
  </si>
  <si>
    <t>LT 525 kV IVAIPORA ELETROSUL / IVAIPORA FURNAS C-1 PR</t>
  </si>
  <si>
    <t>0004059/2021</t>
  </si>
  <si>
    <t>PP, PA, BF - LT STIV C-1</t>
  </si>
  <si>
    <t>Substituição dos painéis da proteção Principal, Alternada, Falha de Disjuntor (com instalação de unidades redudantes), e dos cabos de controle e potência associados (6.640 m), referente a LT 525 kV Ivaiporã Eletrosul - Ivaiporã Furnas C-2.</t>
  </si>
  <si>
    <t>LT 525 kV IVAIPORA ELETROSUL / IVAIPORA FURNAS C-2 PR</t>
  </si>
  <si>
    <t>0004065/2021</t>
  </si>
  <si>
    <t>PP, PA, BF - LT STIV C-2</t>
  </si>
  <si>
    <t>Substituição dos painéis da proteção Principal, Alternada, Falha de Disjuntor (com instalação de unidades redundantes), e dos cabos de controle e potência associados (6.640 m), referente a LT 525 kV Ivaiporã Eletrosul - Ivaiporã Furnas C-3.</t>
  </si>
  <si>
    <t>LT 525 kV IVAIPORA ELETROSUL / IVAIPORA FURNAS C-3 PR</t>
  </si>
  <si>
    <t>0004066/2021</t>
  </si>
  <si>
    <t>PP, PA, BF - LT STIV C-3</t>
  </si>
  <si>
    <t>Substituição do esquema de Falha de Disjuntor (com instalação de unidades redundantes), e dos cabos de controle e potência associados (4.980 m), referente ao Interligador de Barras (IB) 525 kV da SE Ivaiporã Eletrosul, DJ 1010 (vão entre as LT Ivaiporã Furnas C-1 e Cascavel Oeste C-1).</t>
  </si>
  <si>
    <t>MG IVAIPORA / CCO-2001-057 - RB</t>
  </si>
  <si>
    <t>0004081/2021</t>
  </si>
  <si>
    <t>BF - DJ1010</t>
  </si>
  <si>
    <t>Substituição do esquema de Falha de Disjuntor (com instalação de unidades redundantes), e dos cabos de controle e potência associados (4.980 m), referente ao Interligador de Barras (IB) 525 kV da SE Ivaiporã Eletrosul, DJ 1050 (vão entre as LT Ivaiporã Furnas C-3 e S.Santiago C-2).</t>
  </si>
  <si>
    <t>0004083/2021</t>
  </si>
  <si>
    <t>BF - DJ1050</t>
  </si>
  <si>
    <t>Substituição dos sistemas de medição, controle e supervisão do CS 330/-220 MVAr IBIUNA CS1 SP.</t>
  </si>
  <si>
    <t>CS 330/-220 Mvar IBIUNA CS1 SP</t>
  </si>
  <si>
    <t>0004588/2021</t>
  </si>
  <si>
    <t>UAC do CS01</t>
  </si>
  <si>
    <t>Substituição do sistema de controle e supervisão (com unidade redundante) da LT 525 kV Ivaiporã Eletrosul - Ivaiporã Furnas C-1, e dos cabos de controle e potência associados (9.960 m).</t>
  </si>
  <si>
    <t>0004091/2021</t>
  </si>
  <si>
    <t>Controle - LT STIV C-1</t>
  </si>
  <si>
    <t>Substituição do sistema de controle e supervisão (com unidade redundante) da LT 525 kV Ivaiporã Eletrosul - Ivaiporã Furnas C-2, e dos cabos de controle e potência associados (9.960 m).</t>
  </si>
  <si>
    <t>0004094/2021</t>
  </si>
  <si>
    <t>Controle - LT STIV C-2</t>
  </si>
  <si>
    <t>Substituição dos sistemas de  proteção do CS 330/-220 MVAr IBIUNA CS1 SP.</t>
  </si>
  <si>
    <t>0004113/2021</t>
  </si>
  <si>
    <t>Proteção do CS1</t>
  </si>
  <si>
    <t>Substituição do sistema de controle e supervisão (com unidade redundante) da LT 525 kV Ivaiporã Eletrosul - Ivaiporã Furnas C-3, e dos cabos de controle e potência associados (9.960 m).</t>
  </si>
  <si>
    <t>0004099/2021</t>
  </si>
  <si>
    <t>Controle - LT STIV C-3</t>
  </si>
  <si>
    <t>Substituição do sistema de controle e supervisão (com unidade redundante) da LT 525 kV Ivaiporã Eletrosul - Salto Santiago C-1, e dos cabos de controle e potência associados (9.960 m).</t>
  </si>
  <si>
    <t>LT 525 kV IVAIPORA /S.SANTIAGO C-1 PR</t>
  </si>
  <si>
    <t>0004106/2021</t>
  </si>
  <si>
    <t>Controle - LT SSA C-1</t>
  </si>
  <si>
    <t>Substituição do sistema de controle e supervisão (com unidade redundante) da LT 525 kV Ivaiporã Eletrosul - Salto Santiago C-2, e dos cabos de controle e potência associados (9.960 m).</t>
  </si>
  <si>
    <t>LT 525 kV IVAIPORA /S.SANTIAGO C-2 PR</t>
  </si>
  <si>
    <t>0004108/2021</t>
  </si>
  <si>
    <t>Controle - LT SSA C-2</t>
  </si>
  <si>
    <t>Instalação do controle no vão da LTCampos - Macaé circuito 1</t>
  </si>
  <si>
    <t>0004131/2021</t>
  </si>
  <si>
    <t>UAC do vão da LTCampos - Macaé circuito 1</t>
  </si>
  <si>
    <t>Instalação do controle no vão da LTCampos - Macaé circuito 2</t>
  </si>
  <si>
    <t>0004133/2021</t>
  </si>
  <si>
    <t>UAC do vão da LTCampos - Macaé circuito 2</t>
  </si>
  <si>
    <t>Substituição do sistema de controle e supervisão (com unidade redundante) do Interligador de Barras (IB) 525 kV da SE Ivaiporã Eletrosul, e dos cabos de controle e potência associados (7.470 m),  DJ 1010 (vão entre as LT Ivaiporã Furnas C-1 e Cascavel Oeste C-1).</t>
  </si>
  <si>
    <t>0004112/2021</t>
  </si>
  <si>
    <t>Controle - DJ1010</t>
  </si>
  <si>
    <t>Instalação do controle no vão da LTCampos - Macaé circuito 3</t>
  </si>
  <si>
    <t>0004135/2021</t>
  </si>
  <si>
    <t>UAC do vão da LTCampos - Macaé circuito 3</t>
  </si>
  <si>
    <t>Substituição do registrador de perturbações do CS 330/-220 MVAr IBIUNA CS1 SP.</t>
  </si>
  <si>
    <t>0004116/2021</t>
  </si>
  <si>
    <t>RDP do CS1</t>
  </si>
  <si>
    <t>Substituição do sistema de controle e supervisão (com unidade redundante) do Interligador de Barras (IB) 525 kV da SE Ivaiporã Eletrosul, e dos cabos de controle e potência associados (7.470 m), DJ 1030 (vão entre as LT Ivaiporã Furnas C-2 e S.Santiago C-1).</t>
  </si>
  <si>
    <t>0004119/2021</t>
  </si>
  <si>
    <t>Controle - DJ1030</t>
  </si>
  <si>
    <t>Substituição do sistema de controle e supervisão (com unidade redundante) do Interligador de Barras (IB) 525 kV da SE Ivaiporã Eletrosul, e dos cabos de controle e potência associados (7.470 m),  DJ 1050 (vão entre as LT Ivaiporã Furnas C-3 e S.Santiago C-2).</t>
  </si>
  <si>
    <t>0004121/2021</t>
  </si>
  <si>
    <t>Controle - DJ1050</t>
  </si>
  <si>
    <t>Instalação do controle no vão da LI Campos - Vitória circuito 1</t>
  </si>
  <si>
    <t>LT 345 kV CAMPOS /VITORIA C-1 RJ/ES</t>
  </si>
  <si>
    <t>0004387/2021</t>
  </si>
  <si>
    <t>UAC do vão da LI Campos - Vitória circuito 1</t>
  </si>
  <si>
    <t>Substituição do painel de SPCS dos serviços auxiliares CA e CC do setor 525 kV da SE Ivaiporã, e cabos associados. Denominação do novo painel: 5UASA.</t>
  </si>
  <si>
    <t>0004125/2021</t>
  </si>
  <si>
    <t>Painel - 5UASA</t>
  </si>
  <si>
    <t>Substituição dos sistemas de medição, controle e supervisão do CS 330/-220 MVAr IBIUNA CS2 SP.</t>
  </si>
  <si>
    <t>CS 330/-220 Mvar IBIUNA CS2 SP</t>
  </si>
  <si>
    <t>0004597/2021</t>
  </si>
  <si>
    <t>UAC do CS02</t>
  </si>
  <si>
    <t>Substituição dos sistemas de  proteção do CS 330/-220 MVAr IBIUNA CS2 SP.</t>
  </si>
  <si>
    <t>0004138/2021</t>
  </si>
  <si>
    <t>Proteção do CS2</t>
  </si>
  <si>
    <t>Substituição do registrador de perturbações do CS 330/-220 MVAr IBIUNA CS2 SP.</t>
  </si>
  <si>
    <t>0004140/2021</t>
  </si>
  <si>
    <t>RDP do CS2</t>
  </si>
  <si>
    <t>Instalação do controle no vão do AT01-AT</t>
  </si>
  <si>
    <t>TR 345 / 138 kV CAMPOS 1 RJ</t>
  </si>
  <si>
    <t>0004142/2021</t>
  </si>
  <si>
    <t>UAC do vão do AT01-AT</t>
  </si>
  <si>
    <t>Instalação do controle no vão do AT02-AT</t>
  </si>
  <si>
    <t>TR 345 / 138 kV CAMPOS 2 RJ</t>
  </si>
  <si>
    <t>0004144/2021</t>
  </si>
  <si>
    <t>Substituição dos sistemas de medição, controle e supervisão do CS 330/-220 MVAr IBIUNA CS3 SP.</t>
  </si>
  <si>
    <t>0004602/2021</t>
  </si>
  <si>
    <t>UAC do CS03</t>
  </si>
  <si>
    <t>Instalação do controle no vão do AT03-AT</t>
  </si>
  <si>
    <t>TR 345 / 138 kV CAMPOS 3 RJ</t>
  </si>
  <si>
    <t>0004148/2021</t>
  </si>
  <si>
    <t>Substituição dos sistemas de  proteção do CS 330/-220 MVAr IBIUNA CS3 SP.</t>
  </si>
  <si>
    <t>0004150/2021</t>
  </si>
  <si>
    <t>Proteção do CS3</t>
  </si>
  <si>
    <t>Instalação do controle no vão do AT04-AT</t>
  </si>
  <si>
    <t>TR 345 / 138 kV CAMPOS 4 RJ</t>
  </si>
  <si>
    <t>0004160/2021</t>
  </si>
  <si>
    <t>Instalação do controle no vão do Reator 05</t>
  </si>
  <si>
    <t>RT 345 kV 60 Mvar CAMPOS RT5 RJ</t>
  </si>
  <si>
    <t>0004163/2021</t>
  </si>
  <si>
    <t>UAC do vão do Reator 05</t>
  </si>
  <si>
    <t>Instalação do controle no vão do Reator 06</t>
  </si>
  <si>
    <t>RT 345 kV 60 Mvar CAMPOS RT6 RJ</t>
  </si>
  <si>
    <t>0004165/2021</t>
  </si>
  <si>
    <t>UAC do vão do Reator 06</t>
  </si>
  <si>
    <t>Instalação do controle no vão do Banco de Capacitor 09</t>
  </si>
  <si>
    <t>BC 345 kV 60 Mvar CAMPOS BC9 RJ</t>
  </si>
  <si>
    <t>0004169/2021</t>
  </si>
  <si>
    <t>UAC do vão do Banco de Capacitor 09</t>
  </si>
  <si>
    <t>Instalação do controle no vão do Banco de Capacitor 10</t>
  </si>
  <si>
    <t>BC 345 kV 60 Mvar CAMPOS BC10 RJ</t>
  </si>
  <si>
    <t>0004172/2021</t>
  </si>
  <si>
    <t>UAC do vão do Banco de Capacitor 10</t>
  </si>
  <si>
    <t>Substituição dos sistemas de medição, controle, supervisão do CS 330/-220 MVAr IBIUNA CS4 SP.</t>
  </si>
  <si>
    <t>0004614/2021</t>
  </si>
  <si>
    <t>UAC do CS04</t>
  </si>
  <si>
    <t>Substituição dos sistemas de  proteção do CS 330/-220 MVAr IBIUNA CS4 SP.</t>
  </si>
  <si>
    <t>0004192/2021</t>
  </si>
  <si>
    <t>Proteção do CS4</t>
  </si>
  <si>
    <t>Substituição de 2 (dois) painéis de distribuição do serviço auxiliar DC associado ao Compensador síncrono - posição operacional 01K1 da Subestação RCD</t>
  </si>
  <si>
    <t>CS 2x(150/-105) Mvar RECIFE II CS1 CS2 TR5 PE</t>
  </si>
  <si>
    <t>0004278/2021</t>
  </si>
  <si>
    <t>11344365</t>
  </si>
  <si>
    <t>Substituição da Mesa de Operação existente na sala de comando da SE Ivaiporã.</t>
  </si>
  <si>
    <t>0004315/2021</t>
  </si>
  <si>
    <t>Mesa de Operação</t>
  </si>
  <si>
    <t>Substituição dos sistemas de medição, controle e supervisão do EL 500 kV S.DA MESA LT 500 kV S.DA MESA /GURUPI C-1 GO/TO.</t>
  </si>
  <si>
    <t>LT 500 kV S.DA MESA /GURUPI C-1 GO/TO</t>
  </si>
  <si>
    <t>0007534/2021</t>
  </si>
  <si>
    <t>UAC da LTSMGU1</t>
  </si>
  <si>
    <t>S.SANTIAGO</t>
  </si>
  <si>
    <t>Substituição dos painéis da proteção Principal, Alternada, Barra (com instalação de unidades de Bay), Falha de Disjuntor (com instalação de unidades redundantes), e dos cabos de controle e potência associados (6.640 m), referente a LT 525 kV Salto Santiago - Segredo C-1.</t>
  </si>
  <si>
    <t>LT 525 kV S.SANTIAGO /SEGREDO C-1 PR</t>
  </si>
  <si>
    <t>0004317/2021</t>
  </si>
  <si>
    <t>PP, PA, BA, BF - LT SGD C-1</t>
  </si>
  <si>
    <t>Substituição dos sistemas de  proteção do EL 500 kV S.DA MESA LT 500 kV S.DA MESA /GURUPI C-1 GO/TO.</t>
  </si>
  <si>
    <t>0007576/2021</t>
  </si>
  <si>
    <t>Proteção da LTSMGU1</t>
  </si>
  <si>
    <t>Substituição do registrador de perturbações e Localizador de Faltas por ondas viajantes (TW) do EL 500 kV S.DA MESA LT 500 kV S.DA MESA /GURUPI C-1 GO/TO.</t>
  </si>
  <si>
    <t>0007727/2021</t>
  </si>
  <si>
    <t>RDP da LTSMGU1</t>
  </si>
  <si>
    <t>Substituição dos painéis da proteção Principal, Alternada, Barra (com instalação de unidades de Bay), Falha de Disjuntor (com instalação de unidades redundantes), e dos cabos de controle e potência associados (6.640 m), referente a LT 525 kV Salto Santiago - UHE Salto Santiago C-1.</t>
  </si>
  <si>
    <t>LT 525 kV S.SANTIAGO / UHE S.SANTIAGO C-1 PR</t>
  </si>
  <si>
    <t>0004325/2021</t>
  </si>
  <si>
    <t>PP, PA, BA, BF - LT UHSS C-1</t>
  </si>
  <si>
    <t>Substituição dos painéis da proteção Principal, Alternada, Barra (com instalação de unidades de Bay), Falha de Disjuntor (com instalação de unidades redundantes), e dos cabos de controle e potência associados (6.640 m), referente a LT 525 kV Salto Santiago - UHE Salto Santiago C-2.</t>
  </si>
  <si>
    <t>LT 525 kV S.SANTIAGO / UHE S.SANTIAGO C-2 PR</t>
  </si>
  <si>
    <t>0004327/2021</t>
  </si>
  <si>
    <t>PP, PA, BA, BF - LT UHSS C-2</t>
  </si>
  <si>
    <t>Substituição dos sistemas de medição, controle e supervisão do RTL 500 kV 136 Mvar S.DA MESA RTSMGU1 GO</t>
  </si>
  <si>
    <t>RT  500 kV  136 Mvar S.DA MESA GU1 GO</t>
  </si>
  <si>
    <t>0007545/2021</t>
  </si>
  <si>
    <t>UAC do RTSMGU1</t>
  </si>
  <si>
    <t>Substituição do sistema de proteção de Barra (com instalação de unidades de Bay), e dos cabos de controle e potência associados (3.320 m), referente a LT 525 kV Salto Santiago - Ivaiporã Eletrosul C-1.</t>
  </si>
  <si>
    <t>LT 525 kV S.SANTIAGO / IVAIPORA ELETROSUL C-1 PR</t>
  </si>
  <si>
    <t>0004331/2021</t>
  </si>
  <si>
    <t>BA - LT IVP C-1</t>
  </si>
  <si>
    <t>Substituição do sistema de proteção de Barra (com instalação de unidades de Bay), esquema de Falha de Disjuntor (com instalação de unidades redundantes), e dos cabos de controle e potência associados (6.640 m), referente a LT 525 kV Salto Santiago - Ivaiporã Eletrosul C-2.</t>
  </si>
  <si>
    <t>LT 525 kV S.SANTIAGO / IVAIPORA ELETROSUL C-2 PR</t>
  </si>
  <si>
    <t>0004334/2021</t>
  </si>
  <si>
    <t>BA, BF - LT IVP C-2</t>
  </si>
  <si>
    <t>Substituição dos sistemas de  proteção do RTL 500 kV 136 Mvar S.DA MESA RTSMGU1 GO.</t>
  </si>
  <si>
    <t>0007503/2021</t>
  </si>
  <si>
    <t>Proteção do RTSMGU1</t>
  </si>
  <si>
    <t>Substituição dos painéis da proteção Principal, Alternada, Barra (com instalação de unidades de Bay), Falha de Disjuntor (com instalação de unidades redundantes), e dos cabos de controle e potência associados (6.640 m), referente a LT 525 kV Salto Santiago - Itá C-1.</t>
  </si>
  <si>
    <t>LT 525 kV S.SANTIAGO /ITA C-1 PR/SC</t>
  </si>
  <si>
    <t>0004339/2021</t>
  </si>
  <si>
    <t>PP, PA, BA, BF - LT YTA C-1</t>
  </si>
  <si>
    <t>Substituição dos painéis da proteção Principal, Alternada, Falha de Disjuntor (com instalação de unidades redundantes), e dos cabos de controle e potência associados (6.640 m), referente a LT 525 kV Itá - Salto Santiago C-1.</t>
  </si>
  <si>
    <t>LT 525 kV ITÁ / S.SANTIAGO C-1 SC/PR</t>
  </si>
  <si>
    <t>0004343/2021</t>
  </si>
  <si>
    <t>PP, PA, BF - LT SSA C-1</t>
  </si>
  <si>
    <t>GURUPI</t>
  </si>
  <si>
    <t>Substituição dos sistemas de medição, controle e supervisão da EL 500 kV GURUPI LT 500 kV S.DA MESA /GURUPI C-1 GO/TO.</t>
  </si>
  <si>
    <t>0004583/2021</t>
  </si>
  <si>
    <t>Substituição dos sistemas de  proteção da EL 500 kV GURUPI LT 500 kV S.DA MESA /GURUPI C-1 GO/TO.</t>
  </si>
  <si>
    <t>0004585/2021</t>
  </si>
  <si>
    <t>Substituição de 2 (dois) painéis de distribuição do serviço auxiliar AC  associado ao Compensador síncrono - posição operacional 01K1 da Subestação RCD</t>
  </si>
  <si>
    <t>0004586/2021</t>
  </si>
  <si>
    <t>11344367</t>
  </si>
  <si>
    <t>Substituição de 1 (um) Painel de Proteção  associado ao Compensador síncrono - posição operacional 01K1 da subestação RCD</t>
  </si>
  <si>
    <t>CS 150 / -105 Mvar RECIFE II K1 PE</t>
  </si>
  <si>
    <t>0004589/2021</t>
  </si>
  <si>
    <t>11349625</t>
  </si>
  <si>
    <t>Substituição de 1 (um) Painel de Proteção associado ao Compensador síncrono - posição operacional 01K2 da subestação RCD</t>
  </si>
  <si>
    <t>CS 150 / -105 Mvar RECIFE II K2 PE</t>
  </si>
  <si>
    <t>0004590/2021</t>
  </si>
  <si>
    <t>11349753</t>
  </si>
  <si>
    <t>Substituição de 2 (dois) Reatores de partida posição operacional 01L1/01L2  do Compensador síncrono - posição operacional 01K1 da subestação RCD</t>
  </si>
  <si>
    <t>CS 150/ 105 MVAr RECIFE II CS1 PE</t>
  </si>
  <si>
    <t>0004592/2021</t>
  </si>
  <si>
    <t>Substituição de 1 (um) Regulador de Tensão e 1 (uma) ponte retificadora do Compensador síncrono - posição operacional 01K1 da subestção RCD</t>
  </si>
  <si>
    <t>0004593/2021</t>
  </si>
  <si>
    <t>11445855</t>
  </si>
  <si>
    <t>Substituição de 1 (um) Regulador de Tensão e 1 (uma) ponte retificadora do Compensador síncrono - posição operacional 01K2 da subestção RCD</t>
  </si>
  <si>
    <t>CS 150/-105 Mvar RECIFE II CS2 PE</t>
  </si>
  <si>
    <t>0004595/2021</t>
  </si>
  <si>
    <t>11445856</t>
  </si>
  <si>
    <t>Substituição de 1 (um) Resistor de frenagem do Compensador síncrono - posição operacional 01K1 da subestação RCD</t>
  </si>
  <si>
    <t>0004599/2021</t>
  </si>
  <si>
    <t>Substituição de 1 (um) Resistor de frenagem do Compensador síncrono - posição operacional 01K2 da subestação RCD</t>
  </si>
  <si>
    <t>0004603/2021</t>
  </si>
  <si>
    <t>11344368</t>
  </si>
  <si>
    <t>Substituição de 1 (um) conjunto de todos os condutos e acessórios do Sistema de Resfriamento de Varredura associado ao Compensador síncrono - posição operacional 01K1 da Subestação de RCD.</t>
  </si>
  <si>
    <t>0004604/2021</t>
  </si>
  <si>
    <t>Substituição de 1 (um) conjunto de todos os condutos e acessórios do Sistema de Resfriamento de Varredura  associado ao Compensador síncrono - posição operacional 01K2 da Subestação de RCD.</t>
  </si>
  <si>
    <t>0004607/2021</t>
  </si>
  <si>
    <t>Substituição de 2 (dois) Transformadores de partida posição operacional 01T3 e 01T4  do Compensador síncrono - posição operacional 01K1 da subestação RCD</t>
  </si>
  <si>
    <t>0004608/2021</t>
  </si>
  <si>
    <t>11348290</t>
  </si>
  <si>
    <t>Substituição de 1 (um) Transformador de Excitação do Compensador síncrono - posição operacional 01K1 da Subestação RCD</t>
  </si>
  <si>
    <t>0004613/2021</t>
  </si>
  <si>
    <t>11456486</t>
  </si>
  <si>
    <t>Substituição de 1 (um) Transformador de Excitação do Compensador síncrono posição operacional 01K2 da Subestação RCD</t>
  </si>
  <si>
    <t>0004623/2021</t>
  </si>
  <si>
    <t>11456491</t>
  </si>
  <si>
    <t>Substituição de 1 (um) Sistema de água de resfriamento associado ao Compensador síncrono - posição operacional 01K1 da Subestação de RCD.</t>
  </si>
  <si>
    <t>0004625/2021</t>
  </si>
  <si>
    <t>Substituição de 1 (um) Sistema de água de resfriamento associado ao Compensador síncrono - posição operacional 01K2 da Subestação de RCD.</t>
  </si>
  <si>
    <t>0004628/2021</t>
  </si>
  <si>
    <t>Substituição de 1 (um) Sistema de resfriamento a óleo associado ao Compensador síncrono - posição operacional 01K1 da Subestação de RCD.</t>
  </si>
  <si>
    <t>0004630/2021</t>
  </si>
  <si>
    <t>Substituição do registrador de perturbações e Localizador de Faltas por ondas viajantes (TW) da EL 500 kV GURUPI LT 500 kV S.DA MESA /GURUPI C-1 GO/TO.</t>
  </si>
  <si>
    <t>0007730/2021</t>
  </si>
  <si>
    <t>Substituição dos sistemas de medição, controle e supervisão do RTL 500 kV 136 MVAr GURUPI RSM1 TO.</t>
  </si>
  <si>
    <t>RTL 500 kV 136 MVAr GURUPI RSM1 TO</t>
  </si>
  <si>
    <t>0007552/2021</t>
  </si>
  <si>
    <t>Substituição dos sistemas de  proteção do RTL 500 kV 136 MVAr GURUPI RSM1 TO.</t>
  </si>
  <si>
    <t>0007515/2021</t>
  </si>
  <si>
    <t>Substituição do registrador de perturbações do RTL 500 kV 136 MVAr GURUPI RSM1 TO.</t>
  </si>
  <si>
    <t>0007732/2021</t>
  </si>
  <si>
    <t>RDP do RTSMGU1</t>
  </si>
  <si>
    <t>Substituição dos sistemas de medição, controle e supervisão da EL 500 kV GURUPI LT 500 kV GURUPI /MIRACEMA C-1 TO.</t>
  </si>
  <si>
    <t>0004709/2021</t>
  </si>
  <si>
    <t>UAC da LTGUMI1</t>
  </si>
  <si>
    <t>Substituição dos sistemas de  proteção da EL 500 kV GURUPI LT 500 kV GURUPI /MIRACEMA C-1 TO.</t>
  </si>
  <si>
    <t>0007724/2021</t>
  </si>
  <si>
    <t>Proteção da LTGUMI1</t>
  </si>
  <si>
    <t>Substituição do registrador de perturbações e Localizador de Faltas por ondas viajantes (TW) da EL 500 kV GURUPI LT 500 kV GURUPI /MIRACEMA C-1 TO.</t>
  </si>
  <si>
    <t>0007733/2021</t>
  </si>
  <si>
    <t>RDP da LTGUMI1</t>
  </si>
  <si>
    <t>Substituição dos sistemas de mediçãp, controle e supervisão do RTL 500 kV 136 MVAr GURUPI RMI1 TO.</t>
  </si>
  <si>
    <t>RTL 500 kV 136 MVAr GURUPI RMI1 TO</t>
  </si>
  <si>
    <t>0007557/2021</t>
  </si>
  <si>
    <t>UAC do RTGUMI1</t>
  </si>
  <si>
    <t>Substituição dos sistemas de  proteção do RTL 500 kV 136 MVAr GURUPI RMI1 TO.</t>
  </si>
  <si>
    <t>0007725/2021</t>
  </si>
  <si>
    <t>Proteção do RTGUMI1</t>
  </si>
  <si>
    <t>Substituição do sistema de proteção de Barra (com instalação de unidades de Bay), e dos cabos de controle e potência associados (3.320 m), referente a LT 525 kV Salto Santiago - Itá C-2.</t>
  </si>
  <si>
    <t>LT 525 kV S.SANTIAGO / ITÁ C-2 PR/SC</t>
  </si>
  <si>
    <t>0004744/2021</t>
  </si>
  <si>
    <t>BA - LT YTA C-2</t>
  </si>
  <si>
    <t>Substituição do registrador de perturbações do RTL 500 kV 136 MVAr GURUPI RMI1 TO.</t>
  </si>
  <si>
    <t>0007735/2021</t>
  </si>
  <si>
    <t>RDP do RTGUMI1</t>
  </si>
  <si>
    <t>Substituição do sistema de proteção de Barra (com instalação de unidades de Bay), e dos cabos de controle e potência associados (3.320 m), referente ao Interligador de Barras (IB) 525 kV da SE Salto Santiago, DJ 1010 (vão da LT Itá C-2).</t>
  </si>
  <si>
    <t>MG S.SANTIAGO / CCO-2001-057 - RB</t>
  </si>
  <si>
    <t>0004749/2021</t>
  </si>
  <si>
    <t>BA - DJ1010</t>
  </si>
  <si>
    <t>Substituição do esquema de Falha de Disjuntor (com instalação de unidades redundantes), e dos cabos de controle e potência associados (4.980 m), referente ao Interligador de Barras (IB) 525 kV da SE Salto Santiago, DJ 1030 (vão entre as LT Segredo C-1 e Itá C-1).</t>
  </si>
  <si>
    <t>0004751/2021</t>
  </si>
  <si>
    <t>BF - DJ1030</t>
  </si>
  <si>
    <t>Substituição de 01 (um) Trocador de calor do Transformador de Força 230kV de posição operacional 04T3 da Subestação FNL</t>
  </si>
  <si>
    <t>TR 230/138 kV FUNIL TR3 BA</t>
  </si>
  <si>
    <t>0004752/2021</t>
  </si>
  <si>
    <t>11347884</t>
  </si>
  <si>
    <t>Substituição do esquema de Falha de Disjuntor (com instalação de unidades redundantes), e dos cabos de controle e potência associados (4.980 m), referente ao Interligador de Barras (IB) 525 kV da SE Salto Santiago, DJ 1070 (vão entre as LT UH Salto Santiago C-2 e Salto Caxias C-1).</t>
  </si>
  <si>
    <t>0004766/2021</t>
  </si>
  <si>
    <t>BF - DJ1070</t>
  </si>
  <si>
    <t>Substituição dos painéis da proteção de Barra Unidade Central (com instalação de proteção principal e alternada) e dos cabos de controle e potência associados, referente a  Barra A de 525 kV da SE Salto Santiago.</t>
  </si>
  <si>
    <t>0004767/2021</t>
  </si>
  <si>
    <t>BA - Barra A</t>
  </si>
  <si>
    <t>Substituição dos painéis da proteção de Barra Unidade Central (com instalação de proteção principal e alternada) e dos cabos de controle e potência associados, referente a  Barra B de 525 kV da SE Salto Santiago.</t>
  </si>
  <si>
    <t>0004779/2021</t>
  </si>
  <si>
    <t>BA - Barra B</t>
  </si>
  <si>
    <t>Substituição do sistema de controle e supervisão (com unidade redundante) da LT 525 kV Salto Santiago - Segredo C-1, e dos cabos de controle e potência associados (9.960 m).</t>
  </si>
  <si>
    <t>0004782/2021</t>
  </si>
  <si>
    <t>Controle - LT SGD C-1</t>
  </si>
  <si>
    <t>Substituição do sistema de controle e supervisão (com unidade redundante) da LT 525 kV Salto Santiago - UHE Salto Santiago C-1, e dos cabos de controle e potência associados (9.960 m).</t>
  </si>
  <si>
    <t>0004794/2021</t>
  </si>
  <si>
    <t>Controle - LT UHSS C-1</t>
  </si>
  <si>
    <t>Substituição do sistema de controle e supervisão (com unidade redundante) da LT 525 kV Salto Santiago - UHE Salto Santiago C-2, e dos cabos de controle e potência associados (9.960 m).</t>
  </si>
  <si>
    <t>0004803/2021</t>
  </si>
  <si>
    <t>Controle - LT UHSS C-2</t>
  </si>
  <si>
    <t>Substituição de 2 (dois) Sistema de monitoramento de Temperatura do Transformador de Força 230 kV posição operacional 04T2 - T fase T da Subestação MCO</t>
  </si>
  <si>
    <t>TR 230/69 kV MACEIO TR2 AL</t>
  </si>
  <si>
    <t>0004805/2021</t>
  </si>
  <si>
    <t>11347904</t>
  </si>
  <si>
    <t>Substituição de 2 (dois) Sistema de monitoramento de Temperatura do Transformador de Força 230 kV posição operacional 04T4 - T fase T da Subestação MCO</t>
  </si>
  <si>
    <t>TR 230/69 kV MACEIO TR4 AL</t>
  </si>
  <si>
    <t>0004817/2021</t>
  </si>
  <si>
    <t>11347846</t>
  </si>
  <si>
    <t>Substituição do sistema de controle e supervisão (com unidade redundante) da LT 525 kV Salto Santiago - Ivaiporã Eletrosul C-1, e dos cabos de controle e potência associados (9.960 m).</t>
  </si>
  <si>
    <t>0004819/2021</t>
  </si>
  <si>
    <t>Controle - LT IVP C-1</t>
  </si>
  <si>
    <t>Substituição de 1 (uma) Seccionadora 230 kV posição operacional 34T5-1 fase T da Subestação RCD</t>
  </si>
  <si>
    <t>0004823/2021</t>
  </si>
  <si>
    <t>11334935</t>
  </si>
  <si>
    <t>Substituição do sistema de controle e supervisão (com unidade redundante) da LT 525 kV Salto Santiago - Itá C-1, e dos cabos de controle e potência associados (9.960 m).</t>
  </si>
  <si>
    <t>0004833/2021</t>
  </si>
  <si>
    <t>Controle - LT YTA C-1</t>
  </si>
  <si>
    <t>Substituição do sistema de controle e supervisão (com unidade redundante) do Interligador de Barras (IB) 525 kV da SE Salto Santiago, e dos cabos de controle e potência associados (7.470 m),  DJ 1030 (vão entre as LT Segredo C-1 e Itá C-1).</t>
  </si>
  <si>
    <t>0004836/2021</t>
  </si>
  <si>
    <t>Substituição do sistema de controle e supervisão (com unidade redundante) do Interligador de Barras (IB) 525 kV da SE Salto Santiago, e dos cabos de controle e potência associados (7.470 m),  DJ 1070 (vão entre as LT UH Salto Santiago C-2 e Salto Caxias C-1).</t>
  </si>
  <si>
    <t>0004848/2021</t>
  </si>
  <si>
    <t>Controle - DJ1070</t>
  </si>
  <si>
    <t>Substituição de 1 (uma) Seccionadora 230 kV posição operacional 34T5-2 fase T da Subestação RCD</t>
  </si>
  <si>
    <t>0004864/2021</t>
  </si>
  <si>
    <t>11334936</t>
  </si>
  <si>
    <t>P. AFONSO IV_SE</t>
  </si>
  <si>
    <t>Substituição de 1 (um) um grupo-motor-gerador do SISTEMA DE ALIMENTAÇÃO DE ENERGIA posição operacional 400G2 da Subestação PAQ</t>
  </si>
  <si>
    <t>MG P. AFONSO IV / CCO-2001-061 - RB</t>
  </si>
  <si>
    <t>0004896/2021</t>
  </si>
  <si>
    <t>11343837</t>
  </si>
  <si>
    <t>SOBRAL III</t>
  </si>
  <si>
    <t>Substituição de 1 (um) RETIFICADOR do SISTEMA DE ALIMENTAÇÃO DE ENERGIA posição operacional 400R1 da Subestação SBT</t>
  </si>
  <si>
    <t>MG SOBRAL III / CCO-2001-061 - RB</t>
  </si>
  <si>
    <t>0004964/2021</t>
  </si>
  <si>
    <t>11455567</t>
  </si>
  <si>
    <t>Substituição de 1 (um) RETIFICADOR do SISTEMA DE ALIMENTAÇÃO DE ENERGIA posição operacional 400R2 da Subestação SBT</t>
  </si>
  <si>
    <t>0004969/2021</t>
  </si>
  <si>
    <t>11455568</t>
  </si>
  <si>
    <t>FORTALEZA II</t>
  </si>
  <si>
    <t>Substituição de 2 (dois) Radiadores Completos do Autotransformador 500 kV posição operacional 05T1 - C fase C da Subestação FZD</t>
  </si>
  <si>
    <t>TR 500/230 kV FORTALEZA II TR1 CE</t>
  </si>
  <si>
    <t>0004975/2021</t>
  </si>
  <si>
    <t>11348182</t>
  </si>
  <si>
    <t>GOIANINHA</t>
  </si>
  <si>
    <t>Substituição de 1 (um) um grupo-motor-gerador do SISTEMA DE ALIMENTAÇÃO DE ENERGIA posição operacional 200G1 da Subestação GNN</t>
  </si>
  <si>
    <t>MG GOIANINHA / CCO-2001-061 - RB</t>
  </si>
  <si>
    <t>0005097/2021</t>
  </si>
  <si>
    <t>11343812</t>
  </si>
  <si>
    <t>Substituição de 1 (um) um grupo-motor-gerador do SISTEMA DE ALIMENTAÇÃO DE ENERGIA posição operacional 200G1 da Subestação MCO</t>
  </si>
  <si>
    <t>MG MACEIO / CCO-2001-061 - RB</t>
  </si>
  <si>
    <t>0005284/2021</t>
  </si>
  <si>
    <t>11451307</t>
  </si>
  <si>
    <t>SUBSTITUIÇÃO DOS PARA-RAIOS DO SPRE6-02</t>
  </si>
  <si>
    <t>LT 230 kV SINOP /SORRISO C-1 MT</t>
  </si>
  <si>
    <t>0005523/2021</t>
  </si>
  <si>
    <t>N-S-MTSP-RE602-MC230-SPPR601</t>
  </si>
  <si>
    <t>SUBSTITUIR O PARA-RAIO DA LINHA SSSP-LT6-01.</t>
  </si>
  <si>
    <t>0005537/2021</t>
  </si>
  <si>
    <t>SUBSTITUIÇÃO DOS PARA-RAIOS DA LINHA NMNB-LT6-01.</t>
  </si>
  <si>
    <t>LT 230 kV NOBRES /NOVA MUTUM C-1 MT</t>
  </si>
  <si>
    <t>0005560/2021</t>
  </si>
  <si>
    <t>N-S-MTNM-NBNMLT601-ELNM-NMPR601</t>
  </si>
  <si>
    <t>SUBSTITUIÇÃO DO PARA-RAIOS DO BPRE6-01.</t>
  </si>
  <si>
    <t>RTL 230 kV 20 MVAr BARRA PEIXE RT1 MT</t>
  </si>
  <si>
    <t>0005565/2021</t>
  </si>
  <si>
    <t>N-S-MTBP-RE601-MC230-BPPR601</t>
  </si>
  <si>
    <t>SUBSTITUIÇÃO DOS PARA-RAIOS DE 230kV DO BPAT6-01.</t>
  </si>
  <si>
    <t>TR 230/138 kV BARRA PEIXE TR1</t>
  </si>
  <si>
    <t>0005571/2021</t>
  </si>
  <si>
    <t>N-S-MTBP-AT601-MC230-BPPR601</t>
  </si>
  <si>
    <t>SUBSTITUIÇÃO DOS PARA-RAIOS DE 138kV DO BPAT6-01.</t>
  </si>
  <si>
    <t>0005576/2021</t>
  </si>
  <si>
    <t>N-S-MTBP-AT601-MC138-BPPR501</t>
  </si>
  <si>
    <t>Substituição de 1 (um) RETIFICADOR do SISTEMA DE ALIMENTAÇÃO DE ENERGIA posição operacional 200R3 da Subestação FNL</t>
  </si>
  <si>
    <t>MG FUNIL / CCO-2001-061 - RB</t>
  </si>
  <si>
    <t>0005583/2021</t>
  </si>
  <si>
    <t>11455697</t>
  </si>
  <si>
    <t>Substituição de 1 (um) RETIFICADOR do SISTEMA DE ALIMENTAÇÃO DE ENERGIA posição operacional 200R4 da Subestação FNL</t>
  </si>
  <si>
    <t>0005587/2021</t>
  </si>
  <si>
    <t>11455698</t>
  </si>
  <si>
    <t>SUBSTITUIR OS PARA-RAIOS DA LINHA BPRV-LI6-02.</t>
  </si>
  <si>
    <t>LT 230 kV RIO VERDE FUR /BARRA PEIXE C-2 GO/MT</t>
  </si>
  <si>
    <t>0005596/2021</t>
  </si>
  <si>
    <t>N-S-MTBP-RVBPLI602-ELBP-BPPR601</t>
  </si>
  <si>
    <t>SUBSTITUIÇÃO DOS PARA-RAIOS DO REATOR RPRE6-04.</t>
  </si>
  <si>
    <t>LT 230 kV BARRA PEIXE /RONDONOPOLIS C-2 MT</t>
  </si>
  <si>
    <t>0005599/2021</t>
  </si>
  <si>
    <t>N-S-MTRP-BPRPLT602-MCRPRE604-RPPR601</t>
  </si>
  <si>
    <t>SUBSTITUIR OS PARA-RAIOS DA LINHA BPRP-LT6-02</t>
  </si>
  <si>
    <t>0005643/2021</t>
  </si>
  <si>
    <t>N-S-MTBP-BPRPLT602-ELBP-BPPR601</t>
  </si>
  <si>
    <t>Substituição do sistema de controle e supervisão (com unidade redundante) do Interligador de Barras (IB) 525 kV da SE Salto Santiago, e dos cabos de controle e potência associados (7.470 m),  DJ 1090 (vão entre as LT UH Salto Santiago C-1 e Ivaiporã Eletrosul C-1).</t>
  </si>
  <si>
    <t>0005660/2021</t>
  </si>
  <si>
    <t>Controle - DJ1090</t>
  </si>
  <si>
    <t>Substituição do painel de SPCS dos serviços auxiliares CA e CC do setor 525 kV da SE Salto Santiago, e cabos associados. Denominação do novo painel: 5UASA.</t>
  </si>
  <si>
    <t>0005662/2021</t>
  </si>
  <si>
    <t>Instalação de painel de Switches com terminal server, denominado 5SWT, na Sala de Relés 525 kV da SE Salto Santiago, e cabos associados.</t>
  </si>
  <si>
    <t>0005667/2021</t>
  </si>
  <si>
    <t>Painel -  5SWT</t>
  </si>
  <si>
    <t>Instalação de 3 Isoladores de Pedestal no setor de 525 kV da SE Ivaiporã, associados ao módulo da LT Ivaiporã (Eletrosul) - Ivaiporã (Furnas) C-1, em substituição a unidades existentes na subestação.</t>
  </si>
  <si>
    <t>0005668/2021</t>
  </si>
  <si>
    <t>Isolador de Pedestal</t>
  </si>
  <si>
    <t>Substituição do painel das unidades concentradoras (atual PCS01), na Sala de Relés 525 kV, da SE Itá, e cabos associados. Denominação do novo painel: 5UCSD.</t>
  </si>
  <si>
    <t>MG ITA / CCO-2001-057 - RB</t>
  </si>
  <si>
    <t>0005669/2021</t>
  </si>
  <si>
    <t>Painel - 5UCSD</t>
  </si>
  <si>
    <t>SUBSTITUIÇÃO DE DOIS (2) PARA-RAIOS  DA LINHA BPRP-LT6-02 - FASES A e V.</t>
  </si>
  <si>
    <t>0005670/2021</t>
  </si>
  <si>
    <t>N-S-MTRP-BPRPLT602-ELRP-RPPR601</t>
  </si>
  <si>
    <t>REVITALIZAÇÃO DO DISJUNTOR RPDJ6-03. CORRIGIR FALHAS NO ACIONAMENTO DOS DISJUNTORES, COM A SUBSTITUIÇÃO DE PEÇAS (GATILHOS, AMORTECEDORES, MICROSWITCH, PROTEÇÕES DAS MOLAS DE ABERTURA E FECHAMENTO, DENTRE OUTROS) E REALIZAÇÃO DOS TESTES NECESSÁRIOS PARA COMPATIBILIZAÇÃO DOS POLOS AOS COMANDOS.</t>
  </si>
  <si>
    <t>LT 230 kV RONDONOPOLIS /COXIPO C-1 MT</t>
  </si>
  <si>
    <t>0006576/2021</t>
  </si>
  <si>
    <t>RPDJ6-03</t>
  </si>
  <si>
    <t>REVITALIZAÇÃO DO DISJUNTOR CXDJ6-14. CORRIGIR FALHAS NO ACIONAMENTO DOS DISJUNTORES, COM A SUBSTITUIÇÃO DE PEÇAS (GATILHOS, AMORTECEDORES, MICROSWITCH, PROTEÇÕES DAS MOLAS DE ABERTURA E FECHAMENTO, DENTRE OUTROS) E REALIZAÇÃO DOS TESTES NECESSÁRIOS PARA COMPATIBILIZAÇÃO DOS POLOS AOS COMANDOS.</t>
  </si>
  <si>
    <t>TR 230/138 kV COXIPO TR4 MT</t>
  </si>
  <si>
    <t>0006575/2021</t>
  </si>
  <si>
    <t>CXDJ6-14</t>
  </si>
  <si>
    <t>REVITALIZAÇÃO DOS COMANDOS DO DISJUNTOR JUDJ6-19. CORRIGIR FALHAS NO ACIONAMENTO DOS DISJUNTORES, COM A SUBSTITUIÇÃO DE PEÇAS (GATILHOS, AMORTECEDORES, MICROSWITCH, PROTEÇÕES DAS MOLAS DE ABERTURA E FECHAMENTO, DENTRE OUTROS) E REALIZAÇÃO DOS TESTES NECESSÁRIOS PARA COMPATIBILIZAÇÃO DOS POLOS AOS COMANDOS.</t>
  </si>
  <si>
    <t>LT 230 kV VILHENA /JAURU C-3 RO/MT</t>
  </si>
  <si>
    <t>0006574/2021</t>
  </si>
  <si>
    <t>JUDJ6-19</t>
  </si>
  <si>
    <t>SUBSTITUIÇÃO DE RETIFICADOR 48 VCC/120A - 380VC 230KV</t>
  </si>
  <si>
    <t>0006779/2021</t>
  </si>
  <si>
    <t>N-S-MTJU-MG601-MG230-STC01-JUSAE01-RET48Vcc-01</t>
  </si>
  <si>
    <t>Substituição de 1 (uma) Seccionadora 230 kV posição operacional 34T5-4 fase T da Subestação RCD</t>
  </si>
  <si>
    <t>CS 150/-105 MVAr RECIFE II CS1 PE</t>
  </si>
  <si>
    <t>0005697/2021</t>
  </si>
  <si>
    <t>11334937</t>
  </si>
  <si>
    <t>Substituição de 1 (uma) Seccionadora 230 kV posição operacional 34T5-5 fase T da Subestação RCD</t>
  </si>
  <si>
    <t>0005704/2021</t>
  </si>
  <si>
    <t>11338604</t>
  </si>
  <si>
    <t>Substituição de 1 (uma) Seccionadora 230 kV posição operacional 34T5-6 fase T da Subestação RCD</t>
  </si>
  <si>
    <t>0005713/2021</t>
  </si>
  <si>
    <t>11334938</t>
  </si>
  <si>
    <t>DELM. GOUVEIA</t>
  </si>
  <si>
    <t>Substituição de 1 (um) Disjuntor 230 kV posição operacional 14D1 fase T da Subestação DMG</t>
  </si>
  <si>
    <t>MG DELM. GOUVEIA / CCO-2001-061 - RB</t>
  </si>
  <si>
    <t>0005728/2021</t>
  </si>
  <si>
    <t>11341754</t>
  </si>
  <si>
    <t>J.LACERDA-B</t>
  </si>
  <si>
    <t>Substituição dos painéis da proteção Principal, Alternada, Barra (com instalação de unidades de Bay), Falha de Disjuntor (com instalação de unidades redundantes), e dos cabos de controle e potência associados (3.870 m), referente a LT 230 kV J.Lacerda B - Biguaçu C-1.</t>
  </si>
  <si>
    <t>LT 230 kV J.LACERDA B / BIGUACU C-1 SC</t>
  </si>
  <si>
    <t>0005731/2021</t>
  </si>
  <si>
    <t>PP, PA, BA, BF - LT BIG C-1</t>
  </si>
  <si>
    <t>Substituição dos painéis da proteção Principal, Alternada, Barra (com instalação de unidades de Bay), Falha de Disjuntor (com instalação de unidades redundantes), e dos cabos de controle e potência associados (3.870 m), referente a LT 230 kV J.Lacerda B - Palhoça C-1.</t>
  </si>
  <si>
    <t>LT 230 kV J.LACERDA-B /PALHOCA ESU C-1 SC</t>
  </si>
  <si>
    <t>0005744/2021</t>
  </si>
  <si>
    <t>PP, PA, BA, BF - LT PAL C-1</t>
  </si>
  <si>
    <t>Instalação de 12 Isoladores de Pedestal no setor de 525 kV da SE Ivaiporã, associados aos barramentos, em substituição a unidades existentes na subestação.</t>
  </si>
  <si>
    <t>0005759/2021</t>
  </si>
  <si>
    <t>Substituição do transformador de Serviço Auxiliar, 13,8 kV / 480 V, 1.000 kVA, TSA1, da SE Ivaiporã, e cabos associados. Esta obra inclui a execução da bacia coletora de óleo, e conexão desta à caixa separadora de óleo existente na subestação.</t>
  </si>
  <si>
    <t>0005761/2021</t>
  </si>
  <si>
    <t>TSA1</t>
  </si>
  <si>
    <t>Substituição do transformador de Serviço Auxiliar, 13,8 kV / 480 V, 1.000 kVA, TSA2, da SE Ivaiporã, e cabos associados. Esta obra inclui a execução da bacia coletora de óleo, e conexão desta à caixa separadora de óleo existente na subestação.</t>
  </si>
  <si>
    <t>0005767/2021</t>
  </si>
  <si>
    <t>TSA2</t>
  </si>
  <si>
    <t>Substituição dos painéis da proteção Principal, Alternada, Barra (com instalação de unidades de Bay), Falha de Disjuntor (com instalação de unidades redundantes), e dos cabos de controle e potência associados (3.870 m), referente a LT 230 kV J.Lacerda B - UTE J.Lacerda C C-1.</t>
  </si>
  <si>
    <t>LT 230 kV J.LACERDA B / UTE J.LACERDA C C-1 SC</t>
  </si>
  <si>
    <t>0005785/2021</t>
  </si>
  <si>
    <t>PP, PA, BA, BF - LT UTLC C-1</t>
  </si>
  <si>
    <t>Substituição de Grupo Motor-Gerador na SE Ivaiporã. Características do novo equipamento: Tensão - 480 Vca e Capacidade - 165 kVA.</t>
  </si>
  <si>
    <t>0005787/2021</t>
  </si>
  <si>
    <t>MG1</t>
  </si>
  <si>
    <t>Substituição dos painéis da proteção Principal, Alternada, Barra (com instalação de unidades de Bay), e dos cabos de controle e potência associados (3.870 m), referente a LT 230 kV J.Lacerda B - UTE J.Lacerda C C-2.</t>
  </si>
  <si>
    <t>LT 230 kV J.LACERDA B / UTE J.LACERDA C C-2 SC</t>
  </si>
  <si>
    <t>0005790/2021</t>
  </si>
  <si>
    <t>PP, PA, BA - LT UTLC C-2</t>
  </si>
  <si>
    <t>Substituição dos transformadores de Serviço Auxiliar, 480 - 220 / 127 V, TA1, TA2 e TA3, e cabos associados, da SE Ivaiporã. Capacidade dos novos equipamentos: 2 x 45 kVA (TA1 e TA3) e 1 x 75 kVA (TA2).</t>
  </si>
  <si>
    <t>0005792/2021</t>
  </si>
  <si>
    <t>TA1, TA2, TA3</t>
  </si>
  <si>
    <t>Substituição dos painéis da proteção de Barra (com instalação de unidades de Bay), Falha de Disjuntor (com instalação de unidades redundantes) e dos cabos de controle e potência associados (3.870 m), referente a LT 230 kV J.Lacerda B - UTE J.Lacerda B C-1.</t>
  </si>
  <si>
    <t>LT 230 kV J.LACERDA B / UTE J.LACERDA B C-1 SC</t>
  </si>
  <si>
    <t>0005794/2021</t>
  </si>
  <si>
    <t>BA, BF - LT UTLB C-1</t>
  </si>
  <si>
    <t>Instalação de Painéis contendo Sistema Retificador e Quadro de Distribuição 48 VCC, e cabos associados, em substituição aos retificadores e painéis de distribuição existentes (SACC48-RET1, SACC48-RET2, QD1/48, QD2/48, QD3/48), referentes aos Serviços Auxiliares da SE Ivaiporã. Denominação dos novos painéis: 5CB03 e 5CB04. Capacidade dos novos equipamentos: 350 A.</t>
  </si>
  <si>
    <t>0005797/2021</t>
  </si>
  <si>
    <t>Painel - 48 VCC</t>
  </si>
  <si>
    <t>Substituição dos Painéis de Distribuição 125 VCC (QD1, QD2, QD3) e cabos associados, referentes aos Serviços Auxiliares da SE Ivaiporã. Denominação dos novos painéis: 5SC1 e 5SC2.</t>
  </si>
  <si>
    <t>0005799/2021</t>
  </si>
  <si>
    <t>Painel - 125 VCC</t>
  </si>
  <si>
    <t>Substituição dos Painéis de Distribuição 480 VCA (QD2, QD3, QD4, QD5, QD6, QD7) e cabos associados, referentes aos Serviços Auxiliares da SE Ivaiporã. Denominação dos novos painéis: 5SA1, 5SA2, 5SA3 e 5SA4.</t>
  </si>
  <si>
    <t>0005805/2021</t>
  </si>
  <si>
    <t>Painel - 480 VCA</t>
  </si>
  <si>
    <t>Substituição dos Painéis de Distribuição 220 / 127 VCA (QD1, QD2) e cabos associados, referentes aos Serviços Auxiliares da SE Ivaiporã. Denominação dos novos painéis: 5SA5 e 5SA6.</t>
  </si>
  <si>
    <t>0005810/2021</t>
  </si>
  <si>
    <t>Painel - 220/127 VCA</t>
  </si>
  <si>
    <t>Substituição dos painéis da proteção de Barra (com instalação de unidades de Bay), Falha de Disjuntor (com instalação de unidades redundantes) e dos cabos de controle e potência associados (3.870 m), referente a LT 230 kV J.Lacerda B - UTE J.Lacerda B C-2.</t>
  </si>
  <si>
    <t>LT 230 kV J.LACERDA B / UTE J.LACERDA B C-2 SC</t>
  </si>
  <si>
    <t>0005832/2021</t>
  </si>
  <si>
    <t>BA, BF - LT UTLB C-2</t>
  </si>
  <si>
    <t>Substituição dos painéis da proteção de Barra (com instalação de unidades de Bay), Falha de Disjuntor (com instalação de unidades redundantes) e dos cabos de controle e potência associados (3.870 m), referente a LT 230 kV J.Lacerda B - UTE J.Lacerda B C-3.</t>
  </si>
  <si>
    <t>LT 230 kV J.LACERDA B / UTE J.LACERDA B C-3 SC</t>
  </si>
  <si>
    <t>0005836/2021</t>
  </si>
  <si>
    <t>BA, BF - LT UTLB C-3</t>
  </si>
  <si>
    <t>Substituição dos painéis da proteção de Barra (com instalação de unidades de Bay), Falha de Disjuntor (com instalação de unidades redundantes) e dos cabos de controle e potência associados (3.870 m), referente a LT 230 kV J.Lacerda B - UTE J.Lacerda B C-4.</t>
  </si>
  <si>
    <t>LT 230 kV J.LACERDA B / UTE J.LACERDA B C-4 SC</t>
  </si>
  <si>
    <t>0005843/2021</t>
  </si>
  <si>
    <t>BA, BF - LT UTLB C-4</t>
  </si>
  <si>
    <t>Substituição do transformador de Serviço Auxiliar, 13,8 kV / 480 V, 1.000 kVA, TSA1, da SE Salto Santiago, e cabos associados. Esta obra inclui a execução da bacia coletora de óleo, e conexão desta à caixa separadora de óleo existente na subestação.</t>
  </si>
  <si>
    <t>0005844/2021</t>
  </si>
  <si>
    <t>Substituição do transformador de Serviço Auxiliar, 13,8 kV / 480 V, 1.000 kVA, TSA2, da SE Salto Santiago, e cabos associados. Esta obra inclui a execução da bacia coletora de óleo, e conexão desta à caixa separadora de óleo existente na subestação.</t>
  </si>
  <si>
    <t>0005849/2021</t>
  </si>
  <si>
    <t>Substituição dos painéis da proteção de Barra (com instalação de unidades de Bay), e dos cabos de controle e potência associados (1.930 m), referente a LT 230 kV J.Lacerda B - Siderópolis C-2.</t>
  </si>
  <si>
    <t>LT 230 kV J.LACERDA-B /SIDEROPOL.ESU C-2 SC</t>
  </si>
  <si>
    <t>0005853/2021</t>
  </si>
  <si>
    <t>BA - LT SID C-2</t>
  </si>
  <si>
    <t>Substituição dos painéis da proteção de Barra (com instalação de unidades de Bay), Falha de Disjuntor (com instalação de unidades redundantes), e dos cabos de controle e potência associados (3.320 m), referente ao Interligador de Barras (IB) 230 kV da SE J.Lacerda B.</t>
  </si>
  <si>
    <t>MG J.LACERDA-B / CCO-2001-057 - RB</t>
  </si>
  <si>
    <t>0005857/2021</t>
  </si>
  <si>
    <t>BA, BF  - IB230</t>
  </si>
  <si>
    <t>Substituição dos painéis da proteção Barra Unidade Central (proteção principal e alternada) e dos cabos de controle e potência associados, referente às barras A e B de 230 kV da SE J.Lacerda B.</t>
  </si>
  <si>
    <t>0005860/2021</t>
  </si>
  <si>
    <t>BA - Barras A e B</t>
  </si>
  <si>
    <t>Substituição de 1 (uma) Seccionadora 230 kV posição operacional 34E1-5 fase T da Subestação GNN</t>
  </si>
  <si>
    <t>RT 230 kV 10 Mvar GOIANINHA RT1 PE</t>
  </si>
  <si>
    <t>0005867/2021</t>
  </si>
  <si>
    <t>11338818</t>
  </si>
  <si>
    <t>Substituição de 1 (uma) Seccionadora 230 kV posição operacional 34E1-6 fase T da Subestação GNN</t>
  </si>
  <si>
    <t>0005873/2021</t>
  </si>
  <si>
    <t>11338939</t>
  </si>
  <si>
    <t>Substituição do sistema de controle e supervisão (com unidade redundante) da LT 230 kV J.Lacerda B - UTE J.Lacerda C C-1, e dos cabos de controle e potência associados (5.810 m).</t>
  </si>
  <si>
    <t>0005883/2021</t>
  </si>
  <si>
    <t>Controle - LT UTLC C-1</t>
  </si>
  <si>
    <t>Substituição do sistema de controle e supervisão (com unidade redundante) da LT 230 kV J.Lacerda B - UTE J.Lacerda C C-2, e dos cabos de controle e potência associados (5.810 m).</t>
  </si>
  <si>
    <t>0005890/2021</t>
  </si>
  <si>
    <t>Controle - LT UTLC C-2</t>
  </si>
  <si>
    <t>Substituição de 1 (um) Disjuntor 230 kV posição operacional 14T3 fase T da Subestação DMG</t>
  </si>
  <si>
    <t>TR 230/69 kV DELM. GOUVEIA TR3 CE</t>
  </si>
  <si>
    <t>0005924/2021</t>
  </si>
  <si>
    <t>11341758</t>
  </si>
  <si>
    <t>Substituição de 1 (um) Disjuntor 230 kV posição operacional 14L1 fase T da Subestação BNO</t>
  </si>
  <si>
    <t>LT 230 kV BOM NOME /MILAGRES C-1 PE/CE</t>
  </si>
  <si>
    <t>0005931/2021</t>
  </si>
  <si>
    <t>11341711</t>
  </si>
  <si>
    <t>J.LACERDA-A</t>
  </si>
  <si>
    <t>Instalação de painel de Unidades Concentradoras do Sistema Digital, denominado 2UCSD, contendo unidades concentradoras, switchs, GPS, KVM e terminal de manutenção e operação (TMO), na sala de controle 230 kV da SE J.Lacerda A, em substituição ao painel 2UCS01.</t>
  </si>
  <si>
    <t>MG J.LACERDA-A / CCO-2001-057 - RB</t>
  </si>
  <si>
    <t>0005951/2021</t>
  </si>
  <si>
    <t>Painel - 2UCSD</t>
  </si>
  <si>
    <t>Substituição de 1 (um) Transformador de Corrente 69 kV posição operacional 92J2 fase B da Subestação AGL</t>
  </si>
  <si>
    <t>EL 69 kV ANGELIM DIST2</t>
  </si>
  <si>
    <t>0006143/2021</t>
  </si>
  <si>
    <t>11455231</t>
  </si>
  <si>
    <t>Substituição de 1 (um) Transformador de Corrente 69 kV posição operacional 92J2 fase C da Subestação AGL</t>
  </si>
  <si>
    <t>0006145/2021</t>
  </si>
  <si>
    <t>11455157</t>
  </si>
  <si>
    <t>Substituição de 34 Luminárias - Serviço realizado no Pátio da SE MCO.</t>
  </si>
  <si>
    <t>0006230/2021</t>
  </si>
  <si>
    <t>H-S-SMCO-RBMG01-INF1-IL1</t>
  </si>
  <si>
    <t>BONGI</t>
  </si>
  <si>
    <t>Substituição de 58 Luminárias - Serviço realizado no Pátio da SE BGI.</t>
  </si>
  <si>
    <t>MG BONGI / CCO-2001-061 - RB</t>
  </si>
  <si>
    <t>0006232/2021</t>
  </si>
  <si>
    <t>H-S-SBGI-RBMG01-INF1-IL1</t>
  </si>
  <si>
    <t>MIRUEIRA</t>
  </si>
  <si>
    <t>Substituição de 67 Luminárias - Serviço realizado no Pátio da SE MRR.</t>
  </si>
  <si>
    <t>MG MIRUEIRA / CCO-2001-061 - RB</t>
  </si>
  <si>
    <t>0006234/2021</t>
  </si>
  <si>
    <t>H-S-SMRR-RBMG01-INF1-IL1</t>
  </si>
  <si>
    <t>MIRUEIRA II</t>
  </si>
  <si>
    <t>Substituição de 23 Luminárias - Serviço realizado no Pátio da SE MID.</t>
  </si>
  <si>
    <t>MG MIRUEIRA II / CCO-2012-017 - RB</t>
  </si>
  <si>
    <t>0006235/2021</t>
  </si>
  <si>
    <t>H-S-SMID-RBMG01-INF1</t>
  </si>
  <si>
    <t>PAU FERRO</t>
  </si>
  <si>
    <t>Substituição de 73 Luminárias - Serviço realizado no Pátio da SE PFE.</t>
  </si>
  <si>
    <t>MG PAU FERRO / CCO-2001-061 - RB</t>
  </si>
  <si>
    <t>0006236/2021</t>
  </si>
  <si>
    <t>H-S-SPFE-RBMG01-INF1-IL1</t>
  </si>
  <si>
    <t>SUAPE II</t>
  </si>
  <si>
    <t>Substituição de 81 Luminárias - Serviço realizado no Pátio da SE SUD.</t>
  </si>
  <si>
    <t>MG SUAPE II / CCO-2009-006 - RB</t>
  </si>
  <si>
    <t>0006237/2021</t>
  </si>
  <si>
    <t>H-S-SSUD-RBMG01-INF1</t>
  </si>
  <si>
    <t>SUAPE III</t>
  </si>
  <si>
    <t>Substituição de 52 Luminárias - Serviço realizado no Pátio da SE SUT.</t>
  </si>
  <si>
    <t>MG SUAPE III / CCO-2009-006 - RB</t>
  </si>
  <si>
    <t>0006238/2021</t>
  </si>
  <si>
    <t>H-S-SSUT-RBMG01-INF1</t>
  </si>
  <si>
    <t>MACEIO II</t>
  </si>
  <si>
    <t>Substituição de 37 Luminárias - Serviço realizado no Pátio da SE MCD.</t>
  </si>
  <si>
    <t>MG MACEIO II / CCO-2012-005 - RB</t>
  </si>
  <si>
    <t>0006242/2021</t>
  </si>
  <si>
    <t>H-S-SMCD-RBMG01-INF1</t>
  </si>
  <si>
    <t>Substituição de 54 Luminárias - Serviço realizado no Pátio da SE TAC.</t>
  </si>
  <si>
    <t>MG TACAIMBO / CCO-2001-061 - RB</t>
  </si>
  <si>
    <t>0006245/2021</t>
  </si>
  <si>
    <t>H-S-STAC-RBMG01-INF1-IL1</t>
  </si>
  <si>
    <t>Substituição de 90 Luminárias - Serviço realizado no Pátio da SE GNN.</t>
  </si>
  <si>
    <t>0006252/2021</t>
  </si>
  <si>
    <t>H-S-SGNN-RBMG01-INF1-IL1</t>
  </si>
  <si>
    <t>PIRAPAMA II</t>
  </si>
  <si>
    <t>Substituição de 100 Luminárias - Serviço realizado no Pátio da SE PRD.</t>
  </si>
  <si>
    <t>MG PIRAPAMA II / CCO-2001-061 - RB</t>
  </si>
  <si>
    <t>0006254/2021</t>
  </si>
  <si>
    <t>H-S-SPRD-RBMG01-INF1-IL1</t>
  </si>
  <si>
    <t>JABOATAO II</t>
  </si>
  <si>
    <t>Substituição de 31 Luminárias - Serviço realizado no Pátio da SE JBD.</t>
  </si>
  <si>
    <t>MG JABOATAO II / CCO-2012-017 - RB</t>
  </si>
  <si>
    <t>0006256/2021</t>
  </si>
  <si>
    <t>H-S-SJBD-RBMG01-INF1</t>
  </si>
  <si>
    <t>Substituição de 52 Luminárias - Serviço realizado no Pátio da SE RIB.</t>
  </si>
  <si>
    <t>MG RIBEIRAO / CCO-2001-061 - RB</t>
  </si>
  <si>
    <t>0006259/2021</t>
  </si>
  <si>
    <t>H-S-SRIB-RBMG01-INF1-IL1</t>
  </si>
  <si>
    <t>Substituição de 1 (uma) Seccionadora 230 kV posição operacional 34D1-1 fase T da Subestação FTZ</t>
  </si>
  <si>
    <t>MG FORTALEZA / CCO-2001-061 - RB</t>
  </si>
  <si>
    <t>0006297/2021</t>
  </si>
  <si>
    <t>11333679</t>
  </si>
  <si>
    <t>Substituição de 1 (uma) Seccionadora 69 kV posição operacional 32V1-4 fase T da Subestação BNO</t>
  </si>
  <si>
    <t>EL 69 kV BOM NOME SALGUEIRO</t>
  </si>
  <si>
    <t>0006298/2021</t>
  </si>
  <si>
    <t>11333391</t>
  </si>
  <si>
    <t>Substituição de 1 (uma) Seccionadora 69 kV posição operacional 32V1-5 fase T da Subestação BNO</t>
  </si>
  <si>
    <t>0006300/2021</t>
  </si>
  <si>
    <t>11333392</t>
  </si>
  <si>
    <t>Substituição de 1 (uma) Seccionadora 69 kV posição operacional 32V1-6 fase T da Subestação BNO</t>
  </si>
  <si>
    <t>0006301/2021</t>
  </si>
  <si>
    <t>11333810</t>
  </si>
  <si>
    <t>Substituição de 1 (uma) Seccionadora 69 kV posição operacional 32V3-4 fase T da Subestação BNO</t>
  </si>
  <si>
    <t>EL 69 kV BOM NOME SERRA TALHADA</t>
  </si>
  <si>
    <t>0006302/2021</t>
  </si>
  <si>
    <t>11333393</t>
  </si>
  <si>
    <t>Substituição de 1 (uma) Seccionadora 69 kV posição operacional 32V3-5 fase T da Subestação BNO</t>
  </si>
  <si>
    <t>0006304/2021</t>
  </si>
  <si>
    <t>11333394</t>
  </si>
  <si>
    <t>Substituição de 1 (uma) Seccionadora 69 kV posição operacional 32V3-6 fase T da Subestação BNO</t>
  </si>
  <si>
    <t>0006305/2021</t>
  </si>
  <si>
    <t>11333811</t>
  </si>
  <si>
    <t>CICERO DANTAS</t>
  </si>
  <si>
    <t>Substituição de 1 (uma) Seccionadora 230 kV posição operacional 34D1-1 fase T da Subestação CCD</t>
  </si>
  <si>
    <t>MG CIC. DANTAS / CCO-2001-061 - RB</t>
  </si>
  <si>
    <t>0006337/2021</t>
  </si>
  <si>
    <t>11339747</t>
  </si>
  <si>
    <t>Substituição de 1 (uma) Seccionadora 230 kV posição operacional 34D1-2 fase T da Subestação CCD</t>
  </si>
  <si>
    <t>0006338/2021</t>
  </si>
  <si>
    <t>11339748</t>
  </si>
  <si>
    <t>Substituição de 1 (uma) Seccionadora 230 kV posição operacional 34T2-4 fase T da Subestação CCD</t>
  </si>
  <si>
    <t>TR 230/69 kV CIC. DANTAS TR5 BA</t>
  </si>
  <si>
    <t>0006372/2021</t>
  </si>
  <si>
    <t>11338954</t>
  </si>
  <si>
    <t>Substituição de 1 (uma) Seccionadora 230 kV posição operacional 34T2-6 fase T da Subestação CCD</t>
  </si>
  <si>
    <t>0006375/2021</t>
  </si>
  <si>
    <t>11339761</t>
  </si>
  <si>
    <t>Substituição de 1 (uma) Seccionadora 230 kV posição operacional 34L1-4 fase T da Subestação BNO</t>
  </si>
  <si>
    <t>0006381/2021</t>
  </si>
  <si>
    <t>11335608</t>
  </si>
  <si>
    <t>Substituição de 1 (uma) Seccionadora 230 kV posição operacional 34L1-5 fase T da Subestação BNO</t>
  </si>
  <si>
    <t>0006382/2021</t>
  </si>
  <si>
    <t>11335609</t>
  </si>
  <si>
    <t>Substituição de 1 (uma) Seccionadora 230 kV posição operacional 34L1-6 fase T da Subestação BNO</t>
  </si>
  <si>
    <t>0006383/2021</t>
  </si>
  <si>
    <t>11335604</t>
  </si>
  <si>
    <t>Substituição de 1 (uma) Seccionadora 230 kV posição operacional 34L3-4 fase T da Subestação BNO</t>
  </si>
  <si>
    <t>0006384/2021</t>
  </si>
  <si>
    <t>11337608</t>
  </si>
  <si>
    <t>Substituição de 1 (uma) Seccionadora 230 kV posição operacional 34L3-5 fase T da Subestação BNO</t>
  </si>
  <si>
    <t>0006385/2021</t>
  </si>
  <si>
    <t>11337609</t>
  </si>
  <si>
    <t>Substituição de 1 (uma) Seccionadora 230 kV posição operacional 34L3-6 fase T da Subestação BNO</t>
  </si>
  <si>
    <t>0006386/2021</t>
  </si>
  <si>
    <t>11339620</t>
  </si>
  <si>
    <t>P.AFONSO III</t>
  </si>
  <si>
    <t>Substituição de 1 (uma) Seccionadora 230 kV posição operacional 34D1-4 fase T da Subestação PAF</t>
  </si>
  <si>
    <t>MG P.AFONSO III / CCO-2001-061 - RB</t>
  </si>
  <si>
    <t>0006408/2021</t>
  </si>
  <si>
    <t>11339801</t>
  </si>
  <si>
    <t>Substituição de 1 (uma) Seccionadora 230 kV posição operacional 34D2-2 fase T da Subestação PAF</t>
  </si>
  <si>
    <t>0006410/2021</t>
  </si>
  <si>
    <t>11339803</t>
  </si>
  <si>
    <t>Substituição de 1 (uma) Seccionadora 230 kV posição operacional 34D2-4 fase T da Subestação PAF</t>
  </si>
  <si>
    <t>0006412/2021</t>
  </si>
  <si>
    <t>11339805</t>
  </si>
  <si>
    <t>Substituição de 1 (uma) Seccionadora 230 kV posição operacional 34BP-1 fase T da Subestação FTZ</t>
  </si>
  <si>
    <t>0006414/2021</t>
  </si>
  <si>
    <t>11333678</t>
  </si>
  <si>
    <t>Substituição de 1 (uma) Seccionadora 230 kV posição operacional 34L2-4 fase T da Subestação CCD</t>
  </si>
  <si>
    <t>0006415/2021</t>
  </si>
  <si>
    <t>11339749</t>
  </si>
  <si>
    <t>Substituição de 1 (uma) Seccionadora 230 kV posição operacional 34L2-5 fase T da Subestação CCD</t>
  </si>
  <si>
    <t>0006416/2021</t>
  </si>
  <si>
    <t>11339750</t>
  </si>
  <si>
    <t>Substituição de 1 (uma) Seccionadora 230 kV posição operacional 34L2-6 fase T da Subestação CCD</t>
  </si>
  <si>
    <t>0006417/2021</t>
  </si>
  <si>
    <t>11339751</t>
  </si>
  <si>
    <t>Substituição de 1 (uma) Seccionadora 69 kV posição operacional 32T4-4 fase T da Subestação AGL</t>
  </si>
  <si>
    <t>MC 69 kV TR 69/13,8 kV ANGELIM TR4A PE</t>
  </si>
  <si>
    <t>0006510/2021</t>
  </si>
  <si>
    <t>11334692</t>
  </si>
  <si>
    <t>Substituição de 1 (uma) Seccionadora 69 kV posição operacional 32T4-5 fase T da Subestação AGL</t>
  </si>
  <si>
    <t>0006511/2021</t>
  </si>
  <si>
    <t>11338123</t>
  </si>
  <si>
    <t>SUBSTITUIÇÃO DO DISJUNTOR BPDJ6-09 ASSOCIADO AO MÓDULO DE CONEXÃO EM 230kV DO AUTOTRANSFORMADOR 230/138/13.8kV  NUMERO 1 DA SE BARRA DO PEIXE.</t>
  </si>
  <si>
    <t>0006564/2021</t>
  </si>
  <si>
    <t>BPDJ6-09</t>
  </si>
  <si>
    <t>SUBSTITUIÇÃO DO DISJUNTOR BPDJ5-01 ASSOCIADO AO MÓDULO DE CONEXÃO EM 138kV DO AUTOTRANSFORMADOR 230/138/13.8kV DA SE BARRA DO PEIXE.</t>
  </si>
  <si>
    <t>TR 230/138 kV BARRA PEIXE TR2 MT</t>
  </si>
  <si>
    <t>0006562/2021</t>
  </si>
  <si>
    <t>BPDJ5-01</t>
  </si>
  <si>
    <t>SUBSTITIÇÃO DO DISJUNTOR CXDJ5-5 DA LINHA COXIPÓ-SÃO TADEU 138KV C1.</t>
  </si>
  <si>
    <t>[Sem FT]</t>
  </si>
  <si>
    <t>0006560/2021</t>
  </si>
  <si>
    <t>CXDJ5-5</t>
  </si>
  <si>
    <t>SUBSTITUIÇÃO DO DISJUNTOR CXDJ5-08 DA LINHA COXIPÓ-CPA C1.</t>
  </si>
  <si>
    <t>0006542/2021</t>
  </si>
  <si>
    <t>CXDJ5-08</t>
  </si>
  <si>
    <t>SUBSTITUIÇÃO DO DISJUNTOR SSDJ6-02</t>
  </si>
  <si>
    <t>TR 230/69 kV SORRISO TF2 MT</t>
  </si>
  <si>
    <t>0006546/2021</t>
  </si>
  <si>
    <t>SSD6-02</t>
  </si>
  <si>
    <t>REVITALIZAÇÃO DO TRANSFORMADOR SSTF6-01 COM SUBSTITUIÇÃO DE RADIADORES, VEDAÇÕES E ACESSÓRIOS E INSTALAÇÃO DE SISTEMA EXTERNO DE SELAGEM.</t>
  </si>
  <si>
    <t>TR 230/69 kV NOVA MUTUM TF1 MT</t>
  </si>
  <si>
    <t>0006548/2021</t>
  </si>
  <si>
    <t>SSTF6-01</t>
  </si>
  <si>
    <t>TR 230/69 kV SORRISO TF1 MT</t>
  </si>
  <si>
    <t>0006555/2021</t>
  </si>
  <si>
    <t>VARZ.GRANDE 2</t>
  </si>
  <si>
    <t>Substituição do Sistema de Proteção, Controle e Supervisão da linha Jauru - Varzea Grande C1, contemplando cadeias princípal e alternada de ambos os sistemas.</t>
  </si>
  <si>
    <t>0006557/2021</t>
  </si>
  <si>
    <t>SPCS_JUVD-LT6-01</t>
  </si>
  <si>
    <t>Substituição de Sistema de Proteção, Controle e Supervisão da linha Várzea Grande - Coxipó C2, contemplando as cadeias principal e alternada.</t>
  </si>
  <si>
    <t>LT 230 kV VARZEA GRANDE /COXIPO C-2 MT</t>
  </si>
  <si>
    <t>0006556/2021</t>
  </si>
  <si>
    <t>SPCS_CXVD-LT6-02</t>
  </si>
  <si>
    <t>Substituição da chave seccionadora NMSD6-10.</t>
  </si>
  <si>
    <t>TR 230/69 kV NOVA MUTUM TF3 MT</t>
  </si>
  <si>
    <t>0006939/2021</t>
  </si>
  <si>
    <t>NMSD6-10</t>
  </si>
  <si>
    <t>Substituição de 01  (um) transformador de potencial capacitivo de 230 KV, Fase V, do barramento flexível N-S-ROVN-BC601-MC230-VNTP601.</t>
  </si>
  <si>
    <t>BC 230 kV 18,5 Mvar VILHENA BC1 RO</t>
  </si>
  <si>
    <t>0006591/2021</t>
  </si>
  <si>
    <t>N-S-ROVN-BC601-MC230-VNTP601V</t>
  </si>
  <si>
    <t>Substituição de 01  (um) transformador de potencial capacitivo de 230 KV, Fase B, do barramento flexível N-S-ROVN-BC601-MC230-VNTP601.</t>
  </si>
  <si>
    <t>0006592/2021</t>
  </si>
  <si>
    <t>N-S-ROVN-BC601-MC230-VNTP601B</t>
  </si>
  <si>
    <t>Substituição de 01  (um) transformador de potencial capacitivo de 230 KV, Fase A, do barramento flexível N-S-ROVN-BC601-MC230-VNTP601.</t>
  </si>
  <si>
    <t>0006595/2021</t>
  </si>
  <si>
    <t>N-S-ROVN-BC601-MC230-VNTP601A</t>
  </si>
  <si>
    <t>Substituição de 01  (um) transformador de potencial capacitivo de 230 KV, Fase V, da Linha de Transmissão PBVN-LT601.</t>
  </si>
  <si>
    <t>LT 230 kV PIMENTA BUENO/VILHENA C-1 RO</t>
  </si>
  <si>
    <t>0006598/2021</t>
  </si>
  <si>
    <t>N-S-ROPB-PBVNLT601-ELPB-PBTP601V</t>
  </si>
  <si>
    <t>Transformador de potencial capacitivo de 230 KV, Fase B, da Linha de Transmissão PBVN-LT601.</t>
  </si>
  <si>
    <t>0006603/2021</t>
  </si>
  <si>
    <t>N-S-ROPB-PBVNLT601-ELPB-PBTP601B</t>
  </si>
  <si>
    <t>Substituição de 01  (um) transformador de potencial capacitivo de 230 KV, Fase A, da Linha de Transmissão PBVN-LT601.</t>
  </si>
  <si>
    <t>0006606/2021</t>
  </si>
  <si>
    <t>N-S-ROPB-PBVNLT601-ELPB-PBTP601A</t>
  </si>
  <si>
    <t>Substituição de 01  (um) transformador de potencial capacitivo de 230 KV, Fase V, do barramento flexível VNBR6-02.</t>
  </si>
  <si>
    <t>MG VILHENA / CCO-2001-058 - RB</t>
  </si>
  <si>
    <t>0006612/2021</t>
  </si>
  <si>
    <t>N-S-ROVN-MG601-MG230-BR601-VNTP601V</t>
  </si>
  <si>
    <t>Substituição de 01  (um) transformador de potencial capacitivo de 230 KV, Fase B, do barramento flexível VNBR6-02.</t>
  </si>
  <si>
    <t>0006614/2021</t>
  </si>
  <si>
    <t>N-S-ROVN-MG601-MG230-BR601-VNTP601B</t>
  </si>
  <si>
    <t>Substituição de 01  (um) transformador de potencial capacitivo de 230 KV, Fase A, do barramento flexível VNBR6-02.</t>
  </si>
  <si>
    <t>0006617/2021</t>
  </si>
  <si>
    <t>N-S-ROVN-MG601-MG230-BR601-VNTP601A</t>
  </si>
  <si>
    <t>Substituição de TPC - 01 UNIDADE PARA A LINHA SMAQLT6-01 - Fase V (extremidade SESM).</t>
  </si>
  <si>
    <t>0006621/2021</t>
  </si>
  <si>
    <t>N-S-ROSM-SMAQLT601-ELSM-SMTP601V</t>
  </si>
  <si>
    <t>Substituição de TPC - 01 UNIDADE PARA A LINHA SMAQLT6-01 - Fase B (extremidade SESM).</t>
  </si>
  <si>
    <t>0006622/2021</t>
  </si>
  <si>
    <t>N-S-ROSM-SMAQLT601-ELSM-SMTP601B</t>
  </si>
  <si>
    <t>Substituição de Para Raios - 01 UNIDADE PARA A LINHA SUSMLT6-04 - FASE A (Unidade Geradora 04)</t>
  </si>
  <si>
    <t>0006628/2021</t>
  </si>
  <si>
    <t>N-S-ROSM-NFT-UHSMLT604-SMPR601A</t>
  </si>
  <si>
    <t>CATU</t>
  </si>
  <si>
    <t>Substituição de 1 (uma) Seccionadora 13,8 kV posição operacional 31T1-4 fase T da Subestação CTU</t>
  </si>
  <si>
    <t>TR 230/69 kV CATU TR1 BA</t>
  </si>
  <si>
    <t>0006653/2021</t>
  </si>
  <si>
    <t>11457215</t>
  </si>
  <si>
    <t>Substituição de 1 (uma) Seccionadora 13,8 kV posição operacional 31T1-5 fase T da Subestação CTU</t>
  </si>
  <si>
    <t>0006654/2021</t>
  </si>
  <si>
    <t>11457216</t>
  </si>
  <si>
    <t>Substituição de 1 (uma) Seccionadora 13,8 kV posição operacional 31T1-6 fase T da Subestação CTU</t>
  </si>
  <si>
    <t>0006655/2021</t>
  </si>
  <si>
    <t>11457217</t>
  </si>
  <si>
    <t>Substituição de 1 (uma) Seccionadora 13,8 kV posição operacional 31T2-4 fase T da Subestação CTU</t>
  </si>
  <si>
    <t>TR 230/69 kV CATU TR2 BA</t>
  </si>
  <si>
    <t>0006656/2021</t>
  </si>
  <si>
    <t>11457218</t>
  </si>
  <si>
    <t>Substituição de 1 (uma) Seccionadora 13,8 kV posição operacional 31T2-5 fase T da Subestação CTU</t>
  </si>
  <si>
    <t>0006657/2021</t>
  </si>
  <si>
    <t>11457219</t>
  </si>
  <si>
    <t>Substituição de 1 (uma) Seccionadora 13,8 kV posição operacional 31T2-6 fase T da Subestação CTU</t>
  </si>
  <si>
    <t>0006658/2021</t>
  </si>
  <si>
    <t>11457220</t>
  </si>
  <si>
    <t>US. L.GONZAGA</t>
  </si>
  <si>
    <t>Substituição de 1 (uma) Seccionadora 500 kV posição operacional 35C5-5 fase T da Subestação LGZ</t>
  </si>
  <si>
    <t>LT 500 kV US. L.GONZAGA /JUAZEIRO III C 1 PE/BA</t>
  </si>
  <si>
    <t>0006683/2021</t>
  </si>
  <si>
    <t>11335355</t>
  </si>
  <si>
    <t>Substituição de 1 (uma) Seccionadora 500 kV posição operacional 35C4-8 fase T da Subestação LGZ</t>
  </si>
  <si>
    <t>LT 500 kV US. L.GONZAGA / U.SOBRADINHO C-2 PE/BA</t>
  </si>
  <si>
    <t>0006687/2021</t>
  </si>
  <si>
    <t>11339018</t>
  </si>
  <si>
    <t>Substituição de 1 (uma) Seccionadora 138 kV posição operacional 33T4-6 fase T da Subestação IRE</t>
  </si>
  <si>
    <t>TR 230/138 kV IRECE TR4 BA</t>
  </si>
  <si>
    <t>0006690/2021</t>
  </si>
  <si>
    <t>11334853</t>
  </si>
  <si>
    <t>Substituição de 1 (uma) Seccionadora 230 kV posição operacional 34L3-4 fase T da Subestação CCD</t>
  </si>
  <si>
    <t>LT 230 kV CIC. DANTAS /CATU C-2 BA</t>
  </si>
  <si>
    <t>0006703/2021</t>
  </si>
  <si>
    <t>11339752</t>
  </si>
  <si>
    <t>Substituição de 1 (uma) Seccionadora 230 kV posição operacional 34L3-5 fase T da Subestação CCD</t>
  </si>
  <si>
    <t>0006704/2021</t>
  </si>
  <si>
    <t>11339753</t>
  </si>
  <si>
    <t>Substituição de 1 (uma) Seccionadora 230 kV posição operacional 34L3-6 fase T da Subestação CCD</t>
  </si>
  <si>
    <t>0006705/2021</t>
  </si>
  <si>
    <t>11339754</t>
  </si>
  <si>
    <t>Substituição de 1 (uma) Seccionadora 230 kV posição operacional 34S1-4 fase T da Subestação BNO</t>
  </si>
  <si>
    <t>LT 230 kV TACARUTU /BOM NOME C 1 PE</t>
  </si>
  <si>
    <t>0006710/2021</t>
  </si>
  <si>
    <t>11335605</t>
  </si>
  <si>
    <t>Substituição de 1 (uma) Seccionadora 230 kV posição operacional 34S1-5 fase T da Subestação BNO</t>
  </si>
  <si>
    <t>0006711/2021</t>
  </si>
  <si>
    <t>11335606</t>
  </si>
  <si>
    <t>Substituição de 1 (uma) Seccionadora 230 kV posição operacional 34S1-6 fase T da Subestação BNO</t>
  </si>
  <si>
    <t>0006712/2021</t>
  </si>
  <si>
    <t>11335607</t>
  </si>
  <si>
    <t>Substituição de 1 (um) Sistema de resfriamento a óleo associado ao Compensador síncrono - posição operacional 01K2 da Subestação de RCD.</t>
  </si>
  <si>
    <t>0006724/2021</t>
  </si>
  <si>
    <t>ZEBU</t>
  </si>
  <si>
    <t>Substituição de 1 (um) um grupo-motor-gerador do SISTEMA DE ALIMENTAÇÃO DE ENERGIA posição operacional 200G1 da Subestação ZBU</t>
  </si>
  <si>
    <t>MG 138 kV ZEBU MG1 BA</t>
  </si>
  <si>
    <t>0006732/2021</t>
  </si>
  <si>
    <t>11451313</t>
  </si>
  <si>
    <t>Substituição de 1 (um) Conjunto de barramento do Barramento 230 kV posição operacional 04BP fase T da Subestação AGL</t>
  </si>
  <si>
    <t>0006736/2021</t>
  </si>
  <si>
    <t>12365763</t>
  </si>
  <si>
    <t>Substituição de 2 (dois) Sistema de monitoramento de Temperatura do Autotransformador 500 kV posição operacional 05T3 - A fase A da Subestação MSI</t>
  </si>
  <si>
    <t>TR 500/230 kV MESSIAS TR3 AL</t>
  </si>
  <si>
    <t>0006743/2021</t>
  </si>
  <si>
    <t>11348165</t>
  </si>
  <si>
    <t>Substituição de 2 (dois) Sistema de monitoramento de Temperatura do Autotransformador 500 kV posição operacional 05T3 - B fase B da Subestação MSI</t>
  </si>
  <si>
    <t>0006744/2021</t>
  </si>
  <si>
    <t>11348166</t>
  </si>
  <si>
    <t>Substituição de 2 (dois) Disjuntores de Campo 13,8 kV do Compensador síncrono - posição operacional 01K1 da Subestação RCD</t>
  </si>
  <si>
    <t>0006745/2021</t>
  </si>
  <si>
    <t>Substituição de 1 (um) Painel de comando e controle associado ao Compensador síncrono - posição operacional 01K1 da subestação RCD</t>
  </si>
  <si>
    <t>0006746/2021</t>
  </si>
  <si>
    <t>Substituição de 1 (um) Painel de comando e controle posição associado ao Compensador síncrono - posição operacional 01K2 da subestação RCD</t>
  </si>
  <si>
    <t>0006747/2021</t>
  </si>
  <si>
    <t>SUBSTITUIÇÃO DO DISJUNTOR NMDJ6-08.</t>
  </si>
  <si>
    <t>0006776/2021</t>
  </si>
  <si>
    <t>NMDJ6-08</t>
  </si>
  <si>
    <t>SUBSTITUIÇÃO DO DISJUNTOR CXDJ5-03 DA LINHA COXIPÓ-VARZEA GRANDE 138KV C1.</t>
  </si>
  <si>
    <t>0006782/2021</t>
  </si>
  <si>
    <t>CXDJ5-03</t>
  </si>
  <si>
    <t>Substituição do Sistema de Proteção, Controle e Supervisão da linha Coxipó-Nobres C1, contemplando as cadeias principal e alternada.</t>
  </si>
  <si>
    <t>LT 230 kV COXIPO /NOBRES C-1 MT</t>
  </si>
  <si>
    <t>0006784/2021</t>
  </si>
  <si>
    <t>SPCS_CXBN-LT6-01</t>
  </si>
  <si>
    <t>Substituição do Sistema de Proteção, Controle e Supervisão da linha Nobres-Nova Mutum C1, contemplando as cadeias principal e alternada.</t>
  </si>
  <si>
    <t>0006786/2021</t>
  </si>
  <si>
    <t>SPCS-NBNM-LT6-01</t>
  </si>
  <si>
    <t>0006788/2021</t>
  </si>
  <si>
    <t>SPCS_CXNB-LT6-01</t>
  </si>
  <si>
    <t>Substituição de Sistema de Proteção, Controle e Supervisão da linha Jauru - Varzea Grande C2, contemplando cadeias princípal e alternada de ambos os sistemas</t>
  </si>
  <si>
    <t>LT 230 kV JAURU /VARZEA GRANDE C-2 MT</t>
  </si>
  <si>
    <t>0006790/2021</t>
  </si>
  <si>
    <t>SPCS_JUVD-LT6-02</t>
  </si>
  <si>
    <t>LT 230 kV JAURU /VARZEA GRANDE C-1 MT</t>
  </si>
  <si>
    <t>0006793/2021</t>
  </si>
  <si>
    <t>Substituição do Sistema de Proteção Controle e Supervisão do Autotransformador 1 230kV da SE Jauru, contemplando as cadeias principal e alternada.</t>
  </si>
  <si>
    <t>TR 230/138 kV JAURU TR1 MT</t>
  </si>
  <si>
    <t>0006794/2021</t>
  </si>
  <si>
    <t>SPCS_JUAT6-01</t>
  </si>
  <si>
    <t>SUBSTITUIÇÃO DA UNIDADE DE PROTEÇÃO DIFERENCIAL E CONTROLE DIGITAL DE BARRAS - CADEIA PRINCIPAL - DA SE NOBRES, COMPOSTA DE UMA UNIDADE CENTRAL E DE 6 UNIDADES DE BAY E CAPACIDADE PARA 8 BAYS.</t>
  </si>
  <si>
    <t>MG 230 kV NOBRES MG1 MT</t>
  </si>
  <si>
    <t>0006795/2021</t>
  </si>
  <si>
    <t>SPCS_NBMG6-01</t>
  </si>
  <si>
    <t>SUBSTITUIÇÃO DA UNIDADE DE PROTEÇÃO DIFERENCIAL E CONTROLE DIGITAL DE BARRAS - CADEIA PRINCIPAL - DA SE JAURU, COMPOSTA DE UMA UNIDADE CENTRAL E DE E 7 UNIDADES DE BAY E CAPACIDADE PARA 15 BAYS.</t>
  </si>
  <si>
    <t>0006797/2021</t>
  </si>
  <si>
    <t>SPCS_JUMG6-01</t>
  </si>
  <si>
    <t>REVITALIZAÇÃO DO DISJUNTOR JPDJ6-15. CORRIGIR FALHAS NO ACIONAMENTO DOS DISJUNTORES, COM A SUBSTITUIÇÃO DE PEÇAS (GATILHOS, AMORTECEDORES, MICROSWITCH, PROTEÇÕES DAS MOLAS DE ABERTURA E FECHAMENTO, DENTRE OUTROS) E REALIZAÇÃO DOS TESTES NECESSÁRIOS PARA COMPATIBILIZAÇÃO DOS POLOS AOS COMANDOS.</t>
  </si>
  <si>
    <t>0007965/2021</t>
  </si>
  <si>
    <t>N-S-ROJP-AQJPLT603-ELJP-JPDJ615</t>
  </si>
  <si>
    <t>REVITALIZAÇÃO DO DISJUNTOR JPDJ6-17. CORRIGIR FALHAS NO ACIONAMENTO DOS DISJUNTORES, COM A SUBSTITUIÇÃO DE PEÇAS (GATILHOS, AMORTECEDORES, MICROSWITCH, PROTEÇÕES DAS MOLAS DE ABERTURA E FECHAMENTO, DENTRE OUTROS) E REALIZAÇÃO DOS TESTES NECESSÁRIOS PARA COMPATIBILIZAÇÃO DOS POLOS AOS COMANDOS.</t>
  </si>
  <si>
    <t>0007986/2021</t>
  </si>
  <si>
    <t>N-S-ROJP-JPPBLT603-ELJP-JPDJ617</t>
  </si>
  <si>
    <t>Substituição da proteção e controle diferencial de barras da cadeia principal da barra JPBR6-02, contemplando uma unidade central com capacidade de no mínimo nove vãos e seis unidades de bay (bays unit).</t>
  </si>
  <si>
    <t>MG 230 kV JI-PARANA MG1 RO</t>
  </si>
  <si>
    <t>0007949/2021</t>
  </si>
  <si>
    <t>N-S-ROJP-MG601-IB230-JPSPR00</t>
  </si>
  <si>
    <t>REVITALIZAÇÃO DO DISJUNTOR PBDJ6-14. CORRIGIR FALHAS NO ACIONAMENTO DOS DISJUNTORES, COM A SUBSTITUIÇÃO DE PEÇAS (GATILHOS, AMORTECEDORES, MICROSWITCH, PROTEÇÕES DAS MOLAS DE ABERTURA E FECHAMENTO, DENTRE OUTROS) E REALIZAÇÃO DOS TESTES NECESSÁRIOS PARA COMPATIBILIZAÇÃO DOS POLOS AOS COMANDOS.</t>
  </si>
  <si>
    <t>0007972/2021</t>
  </si>
  <si>
    <t>N-S-ROPB-JPPBLT603-ELPB-PBDJ614</t>
  </si>
  <si>
    <t>REVITALIZAÇÃO DO DISJUNTOR JPDJ6-14. CORRIGIR FALHAS NO ACIONAMENTO DOS DISJUNTORES, COM A SUBSTITUIÇÃO DE PEÇAS (GATILHOS, AMORTECEDORES, MICROSWITCH, PROTEÇÕES DAS MOLAS DE ABERTURA E FECHAMENTO, DENTRE OUTROS) E REALIZAÇÃO DOS TESTES NECESSÁRIOS PARA COMPATIBILIZAÇÃO DOS POLOS AOS COMANDOS.</t>
  </si>
  <si>
    <t>RTL 230 kV 20 Mvar JI-PARANA RT3 RO</t>
  </si>
  <si>
    <t>0007980/2021</t>
  </si>
  <si>
    <t>N-S-ROJP-AQJPLT603-MCJPRE603-JPDJ614</t>
  </si>
  <si>
    <t>Substituição de 1 (um) Transformador de Corrente 230 kV posição operacional 94H1-2 fase A da Subestação CGD</t>
  </si>
  <si>
    <t>BC 230 kV 50,5 Mvar C.GRANDE II BC1 PB</t>
  </si>
  <si>
    <t>0006830/2021</t>
  </si>
  <si>
    <t>11324113</t>
  </si>
  <si>
    <t>Substituição de 1 (um) Transformador de Corrente 230 kV posição operacional 94H1-2 fase B da Subestação CGD</t>
  </si>
  <si>
    <t>0006831/2021</t>
  </si>
  <si>
    <t>11324112</t>
  </si>
  <si>
    <t>SOBRAL II</t>
  </si>
  <si>
    <t>Substituição de 1 (uma) Seccionadora 230 kV posição operacional 34L1-5 fase T da Subestação SBD</t>
  </si>
  <si>
    <t>LT 230 kV IBIAPINA II /SOBRAL II C-1 CE</t>
  </si>
  <si>
    <t>0006899/2021</t>
  </si>
  <si>
    <t>11338887</t>
  </si>
  <si>
    <t>Substituição de 1 (uma) Seccionadora 230 kV posição operacional 34S2-4 fase T da Subestação BNO</t>
  </si>
  <si>
    <t>LT 230 kV P.AFONSO III /BOM NOME C-2 BA/PE</t>
  </si>
  <si>
    <t>0006924/2021</t>
  </si>
  <si>
    <t>11334540</t>
  </si>
  <si>
    <t>Substituição de 1 (uma) Seccionadora 230 kV posição operacional 34S2-5 fase T da Subestação BNO</t>
  </si>
  <si>
    <t>0006925/2021</t>
  </si>
  <si>
    <t>11334541</t>
  </si>
  <si>
    <t>Substituição de 1 (uma) Seccionadora 230 kV posição operacional 34F3-4 fase T da Subestação BNO</t>
  </si>
  <si>
    <t>LT 230 kV P.AFONSO III /BOM NOME C-3 BA/PE</t>
  </si>
  <si>
    <t>0006926/2021</t>
  </si>
  <si>
    <t>11337610</t>
  </si>
  <si>
    <t>Substituição de 1 (uma) Seccionadora 230 kV posição operacional 34F3-5 fase T da Subestação BNO</t>
  </si>
  <si>
    <t>0006927/2021</t>
  </si>
  <si>
    <t>11337611</t>
  </si>
  <si>
    <t>Substituição de 1 (uma) Seccionadora 230 kV posição operacional 34F3-6 fase T da Subestação BNO</t>
  </si>
  <si>
    <t>0006928/2021</t>
  </si>
  <si>
    <t>11339621</t>
  </si>
  <si>
    <t>Substituição de 1 (uma) Seccionadora 230 kV posição operacional 34S2-4 fase T da Subestação CCD</t>
  </si>
  <si>
    <t>LT 230 kV P.AFONSO III /CIC. DANTAS C-1 BA</t>
  </si>
  <si>
    <t>0006929/2021</t>
  </si>
  <si>
    <t>11339755</t>
  </si>
  <si>
    <t>Substituição de 1 (uma) Seccionadora 230 kV posição operacional 34S2-5 fase T da Subestação CCD</t>
  </si>
  <si>
    <t>0006930/2021</t>
  </si>
  <si>
    <t>11339756</t>
  </si>
  <si>
    <t>Substituição de 1 (uma) Seccionadora 230 kV posição operacional 34S2-6 fase T da Subestação CCD</t>
  </si>
  <si>
    <t>0006931/2021</t>
  </si>
  <si>
    <t>11339757</t>
  </si>
  <si>
    <t>Substituição de 1 (uma) Seccionadora 230 kV posição operacional 34S3-4 fase T da Subestação CCD</t>
  </si>
  <si>
    <t>LT 230 kV P.AFONSO III /CIC. DANTAS C-2 BA</t>
  </si>
  <si>
    <t>0006932/2021</t>
  </si>
  <si>
    <t>11339758</t>
  </si>
  <si>
    <t>Substituição de 1 (uma) Seccionadora 230 kV posição operacional 34S3-5 fase T da Subestação CCD</t>
  </si>
  <si>
    <t>0006933/2021</t>
  </si>
  <si>
    <t>11339759</t>
  </si>
  <si>
    <t>Substituição de 1 (uma) Seccionadora 230 kV posição operacional 34S3-6 fase T da Subestação CCD</t>
  </si>
  <si>
    <t>0006934/2021</t>
  </si>
  <si>
    <t>11339760</t>
  </si>
  <si>
    <t>Substituição de 8 (oito) Transformadores do Serviço Auxiliar 380/220</t>
  </si>
  <si>
    <t>MG 500 kV MIRACEMA MG1 TO</t>
  </si>
  <si>
    <t>0007814/2021</t>
  </si>
  <si>
    <t>N-S-TOMC-MG701-MG500-CA001</t>
  </si>
  <si>
    <t>Aquisição e substituição de 3 (três) Buchas de Neutro para os Bancos de Reatores de Derivação da Linha da SE Miracema</t>
  </si>
  <si>
    <t>0007815/2021</t>
  </si>
  <si>
    <t>MCRE7-01</t>
  </si>
  <si>
    <t>Aquisição e substituição de 3 (três) Buchas de Neutro para os Bancos de Reatores de Barra da SE Colinas.</t>
  </si>
  <si>
    <t>TB 500 kV 165 Mvar COLINAS RT4 TO</t>
  </si>
  <si>
    <t>0007819/2021</t>
  </si>
  <si>
    <t>CORE7-04</t>
  </si>
  <si>
    <t>Aquisição e substituição de 6 (seis) Buchas de Neutro para os Bancos de Reatores de Derivação da Linha.</t>
  </si>
  <si>
    <t>0007818/2021</t>
  </si>
  <si>
    <t>CORE7-01 e 02</t>
  </si>
  <si>
    <t>SUBSTITUIÇÃO DA CHAVES SECCIONADORA NMSB6-15</t>
  </si>
  <si>
    <t>0006940/2021</t>
  </si>
  <si>
    <t>NMSB6-15</t>
  </si>
  <si>
    <t>Substituição do banco capacitor</t>
  </si>
  <si>
    <t>BC 345 kV 91,5 Mvar BANDEIRANTES BC1 GO</t>
  </si>
  <si>
    <t>0007827/2021</t>
  </si>
  <si>
    <t>BANCO DE CAPACITOR BC01</t>
  </si>
  <si>
    <t>Substituição de Para Raios - 01 UNIDADE PARA A LINHA SUSMLT6-03 - FASE A (Unidade Geradora 03).</t>
  </si>
  <si>
    <t>0006965/2021</t>
  </si>
  <si>
    <t>N-S-ROSM-NFT-UHSMLT603-SMPR601A</t>
  </si>
  <si>
    <t>Substituição de Para Raios - 01 UNIDADE PARA A LINHA SUSMLT6-02 - FASE A (Unidade Geradora 02).</t>
  </si>
  <si>
    <t>0006969/2021</t>
  </si>
  <si>
    <t>N-S-ROSM-NFT-UHSMLT602-SMPR601A</t>
  </si>
  <si>
    <t>Substituição de Para Raios - 01 UNIDADE PARA A LINHA SUSMLT6-01 - FASE A (Unidade Geradora 01).</t>
  </si>
  <si>
    <t>0006970/2021</t>
  </si>
  <si>
    <t>N-S-ROSM-NFT-UHSMLT601-SMPR601A</t>
  </si>
  <si>
    <t>Substituição de TPC - 01 UNIDADE PARA A LINHA SMAQLT6-01 - Fase A (extremidade SESM).</t>
  </si>
  <si>
    <t>0006977/2021</t>
  </si>
  <si>
    <t>N-S-ROSM-SMAQLT601-ELSM-SMTP601A</t>
  </si>
  <si>
    <t>Substituição de Retificador (Carregador de Baterias) 125 Vcc - SACC125-RET1, da SE Salto Santiago. Capacidade do novo equipamento: 150 A.</t>
  </si>
  <si>
    <t>0006997/2021</t>
  </si>
  <si>
    <t>RET1</t>
  </si>
  <si>
    <t>Substituição de Retificador (Carregador de Baterias) 125 Vcc - SACC125-RET2, da SE Salto Santiago. Capacidade do novo equipamento: 150 A.</t>
  </si>
  <si>
    <t>0006998/2021</t>
  </si>
  <si>
    <t>RET2</t>
  </si>
  <si>
    <t>Substituição dos Painéis de Distribuição 220 / 127 VCA (QLF1,QLF2) e cabos associados, referentes aos Serviços Auxiliares da SE S.Santiago. Denominação dos novos painéis: 5SA4 e 5SA5.</t>
  </si>
  <si>
    <t>0006999/2021</t>
  </si>
  <si>
    <t>Substituição dos Painéis de Distribuição 480 VCA (QA1, QA2, COMANDO) e cabos associados, referentes aos Serviços Auxiliares da SE S.Santiago. Denominação dos novos painéis: 5SA1, 5SA2 e 5SA3.</t>
  </si>
  <si>
    <t>0007000/2021</t>
  </si>
  <si>
    <t>Substituição dos Painéis de Distribuição 125 VCC (QCA, QCB, INTERL125) e cabos associados, referentes aos Serviços Auxiliares da SE S.Santiago.  Denominação dos novos painéis: 5SC1 e 5SC2 (Distribuição) e 5PD01 (Subdistribuição).</t>
  </si>
  <si>
    <t>0007001/2021</t>
  </si>
  <si>
    <t>Instalação de Painéis contendo Sistema Retificador e Quadro de Distribuição 48 VCC, e cabos associados, em substituição aos retificadores e painéis de distribuição existentes (SACC48-RET1, SACC48-RET2, QCA1, QCA2, INTERL48), referentes aos Serviços Auxiliares da SE S. Santiago. Denominação dos novos painéis: 5CB03 e 5CB04. Capacidade dos novos equipamentos: 200 A.</t>
  </si>
  <si>
    <t>0007002/2021</t>
  </si>
  <si>
    <t>SUBSTITUIÇÃO DO TRANSFORMADOR DE CORRENTE DE 500kV, FASE "B" DO BAY DO BANCO DE REATORES DE BARRA LDRE7-03.</t>
  </si>
  <si>
    <t>MG 500 kV SAO LUIS II MG1 MA</t>
  </si>
  <si>
    <t>0007012/2021</t>
  </si>
  <si>
    <t>N-S-MALD-RE703-MC500-LDTC701</t>
  </si>
  <si>
    <t>Substituição transformador de corrente 13,8kV Conexão Terciário PRTF6-01 fase V</t>
  </si>
  <si>
    <t>0007013/2021</t>
  </si>
  <si>
    <t>N-S-MAPR-TF601-TF230-PRTC201 (V)</t>
  </si>
  <si>
    <t>SUBSTITUIÇÃO DO TRANSFORMADOR DE CORRENTE DE 230kV, FASE "B" DO VÃO DE TRANSFERENCIA DE 230kV ENTRE BARRAS LDBR6-01 E LDBR6-02.</t>
  </si>
  <si>
    <t>0007014/2021</t>
  </si>
  <si>
    <t>N-S-MALD-MG701-IB230IB2-LDTC601</t>
  </si>
  <si>
    <t>Substituição transformador de corrente 13,8kV Conexão Terciário PRTF6-01 fase B</t>
  </si>
  <si>
    <t>0007015/2021</t>
  </si>
  <si>
    <t>N-S-MAPR-TF601-TF230-PRTC201 (B)</t>
  </si>
  <si>
    <t>Substituição transformador de corrente 13,8kV Conexão Terciário PRTF6-01 fase A</t>
  </si>
  <si>
    <t>0007016/2021</t>
  </si>
  <si>
    <t>N-S-MAPR-TF601-TF230-PRTC201 (A)</t>
  </si>
  <si>
    <t>Substituição transformador de corrente 230kV Bay IZPF-LT601 fase A</t>
  </si>
  <si>
    <t>0007019/2021</t>
  </si>
  <si>
    <t>N-S-MAPF-IZPFLT601-ELPF-PFTC601 (A)</t>
  </si>
  <si>
    <t>SUBSTITUIÇÃO DO TRANSFORMADOR DE CORRENTE DE 230kV, FASE "V" DO BAY DA ENTRADA DE LINHA DE 230kV SÃO LUIS II - MIRANDA II.</t>
  </si>
  <si>
    <t>0007022/2021</t>
  </si>
  <si>
    <t>N-S-MALD-LDMRLT601-ELLD-LDTC601</t>
  </si>
  <si>
    <t>SUBSTITUIÇÃO DO TRANSFORMADOR DE CORRENTE DE 230kV, FASE "B" DO BAY DA ENTRADA DE LINHA DE 230kV SÃO LUIS II - MIRANDA II.</t>
  </si>
  <si>
    <t>0007026/2021</t>
  </si>
  <si>
    <t>SUBSTITUIÇÃO DO TRANSFORMADOR DE CORRENTE DE 230kV, FASE "A" DO BAY DA ENTRADA DE LINHA DE 230kV SÃO LUIS II - MIRANDA II.</t>
  </si>
  <si>
    <t>0007028/2021</t>
  </si>
  <si>
    <t>Substituição transformador de potencial 69kV - módulo de conexão PDTF6-01 Fase V</t>
  </si>
  <si>
    <t>0007031/2021</t>
  </si>
  <si>
    <t>N-S-MAPD-TF601-MC69-PDTP401 (V) EMFC 72</t>
  </si>
  <si>
    <t>Substituição do transformador de potencial módulo de conexão 69kV - PDTF6-01 Fase B</t>
  </si>
  <si>
    <t>0007041/2021</t>
  </si>
  <si>
    <t>N-S-MAPD-TF601-MC69-PDTP401 (B)</t>
  </si>
  <si>
    <t>Substituição dos painéis da proteção de Barra (com instalação de unidades de Bay), Falha de Disjuntor (com instalação de unidades redundantes), e dos cabos de controle e potência associados (6.640 m), referente ao Interligador de Barras (IB) 525 kV da SE Campos Novos, DJ 1010 (vão do Reator 2).</t>
  </si>
  <si>
    <t>0007051/2021</t>
  </si>
  <si>
    <t>BA, BF - DJ1010</t>
  </si>
  <si>
    <t>Substituição de 2 (dois) Sistema de monitoramento de Temperatura do Autotransformador 500 kV posição operacional 05T3 - C fase C da Subestação MSI</t>
  </si>
  <si>
    <t>0007080/2021</t>
  </si>
  <si>
    <t>11348167</t>
  </si>
  <si>
    <t>Substituição do transformador de Serviço Auxiliar, 13,8 kV / 480 V, 1.000 kVA, TSA2, da SE Campos Novos. Associado a obra são esperadas adaptações/substituições da base existente, da caixa separadora de óleo, e cabos associados.</t>
  </si>
  <si>
    <t>0007137/2021</t>
  </si>
  <si>
    <t>Substituição de 2 (dois) Radiadores do Transformador de Força 230 kV posição operacional 04T2 - T fase T da Subestação RIB</t>
  </si>
  <si>
    <t>TR 230/69 kV RIBEIRAO TR2 PE</t>
  </si>
  <si>
    <t>0007151/2021</t>
  </si>
  <si>
    <t>11347849</t>
  </si>
  <si>
    <t>Substituição do esquema de Falha de Disjuntor (com instalação de unidades redundantes), e dos cabos de controle e potência associados (3.320 m), referente ao Interligador de Barras (IB) 230 kV da SE Campos Novos.</t>
  </si>
  <si>
    <t>0007156/2021</t>
  </si>
  <si>
    <t>BF - IB230</t>
  </si>
  <si>
    <t>Substituição do sistema de controle e supervisão (com unidade redundante) do Interligador de Barras (IB) 230 kV da SE Campos Novos, e dos cabos de controle e potência associados (4.980 m).</t>
  </si>
  <si>
    <t>0007162/2021</t>
  </si>
  <si>
    <t>Controle - IB230</t>
  </si>
  <si>
    <t>Substituição de 1 (uma) Seccionadora 230 kV posição operacional 34S2-6 fase T da Subestação BNO</t>
  </si>
  <si>
    <t>0007206/2021</t>
  </si>
  <si>
    <t>11334542</t>
  </si>
  <si>
    <t>Substituição dos painéis da proteção de Barra (com instalação de unidade de Bay), Falha de Disjuntor (com instalação de unidades redundantes) e dos cabos de controle e potência associados (2.760 m), referente a LT 138 kV Campos Novos - Herval D'Oeste / Lages VRJ C-1.</t>
  </si>
  <si>
    <t>LT 138 kV C.NOVOS / H.D.OESTE - LAGES V.R.J. C-1 SC</t>
  </si>
  <si>
    <t>0007217/2021</t>
  </si>
  <si>
    <t>BA, BF - LT HOE/LVR C-1</t>
  </si>
  <si>
    <t>Substituição de Para Raios - 01 UNIDADE PARA A LINHA SUSMLT6-05 - FASE V (Unidade Geradora 05).</t>
  </si>
  <si>
    <t>0007644/2021</t>
  </si>
  <si>
    <t>N-S-ROSM-NFT-UHSMLT605-SMPR601V</t>
  </si>
  <si>
    <t>Substituição dos painéis da proteção de Barra (com instalação de unidade de Bay) , Falha de Disjuntor (com instalação de unidades redundantes) e dos cabos de controle e potência associados (2.760 m), referente a LT 138 kV Campos Novos - Herval D'Oeste / S.J.Cerrito Itararé C-1.</t>
  </si>
  <si>
    <t>LT 138 kV C.NOVOS / H.D.OESTE - S.J.CERRITO ITARARÉ C-1 SC</t>
  </si>
  <si>
    <t>0007267/2021</t>
  </si>
  <si>
    <t>BA, BF - LT HOE/SJI C-1</t>
  </si>
  <si>
    <t>Substituição dos painéis da proteção de Barra (com instalação de unidade de Bay), Falha de Disjuntor (com instalação de unidades redundantes) e dos cabos de controle e potência associados (2.430 m), referente ao Interligador de Barras (IB) 138 kV da SE Campos Novos.</t>
  </si>
  <si>
    <t>0007273/2021</t>
  </si>
  <si>
    <t>BA, BF - IB138</t>
  </si>
  <si>
    <t>Substituição dos painéis da proteção de Barra Unidade Central e dos cabos de controle e potência associados, referente às Barras P e T de 138 kV da SE Campos Novos.</t>
  </si>
  <si>
    <t>0007276/2021</t>
  </si>
  <si>
    <t>BA - Barras P e T</t>
  </si>
  <si>
    <t>Substituição dos painéis da proteção de Barra (com instalação de unidade de Bay), e dos cabos de controle e potência associados (1.380 m), referente ao TR3 230/138 kV, lado de 138 kV, da SE Campos Novos.</t>
  </si>
  <si>
    <t>TR 230/138 kV C.NOVOS TR3 SC</t>
  </si>
  <si>
    <t>0007283/2021</t>
  </si>
  <si>
    <t>BA - TR3 138</t>
  </si>
  <si>
    <t>Substituição dos painéis da proteção de Barra (com instalação de unidade de Bay), e dos cabos de controle e potência associados (1.380 m), referente ao TR4 230/138 kV, lado de 138 kV, da SE Campos Novos.</t>
  </si>
  <si>
    <t>TR 230/138 kV C.NOVOS TR4 SC</t>
  </si>
  <si>
    <t>0007288/2021</t>
  </si>
  <si>
    <t>BA - TR4 138</t>
  </si>
  <si>
    <t>Substituição dos painéis da proteção de Barra (com instalação de unidade de Bay), e dos cabos de controle e potência associados (1.380 m), referente ao TR5 230/138 kV, lado de 138 kV, da SE Campos Novos.</t>
  </si>
  <si>
    <t>TR 230/138 kV C.NOVOS TR5 SC</t>
  </si>
  <si>
    <t>0007294/2021</t>
  </si>
  <si>
    <t>BA - TR5 138</t>
  </si>
  <si>
    <t>Substituição do sistema de controle e supervisão (com unidade redundante) do TRR1 525/230 kV da SE Campos Novos (Trafo Reserva), lado de 525 kV, e dos cabos de controle e potência associados (9.960 m).</t>
  </si>
  <si>
    <t>TRR 525 / 230 kV C.NOVOS TRR1 SC</t>
  </si>
  <si>
    <t>0007297/2021</t>
  </si>
  <si>
    <t>Controle - TRR1 525</t>
  </si>
  <si>
    <t>Substituição do sistema de controle e supervisão (com unidade redundante) do TRR1 525/230 kV da SE Campos Novos (Trafo Reserva), lado de 230 kV, e dos cabos de controle e potência associados (5.480 m).</t>
  </si>
  <si>
    <t>0007301/2021</t>
  </si>
  <si>
    <t>Controle - TRR1 230</t>
  </si>
  <si>
    <t>Substituição de Disjuntor DJ9472 (nº serie: 1133-4R-004, cod. int.: 10191511)</t>
  </si>
  <si>
    <t>0007305/2021</t>
  </si>
  <si>
    <t>DJ9472</t>
  </si>
  <si>
    <t>Substituição transformador de potencial 69kV módulo de conexão 69kV PDTF6-01 Fase A</t>
  </si>
  <si>
    <t>0007315/2021</t>
  </si>
  <si>
    <t>N-S-MAPD-TF601-MC69-PDTP401 (A)</t>
  </si>
  <si>
    <t>Substituição transformador de corrente 69kV - módulo de conexão PDTF6-01 Fase V</t>
  </si>
  <si>
    <t>0007321/2021</t>
  </si>
  <si>
    <t>N-S-MAPD-TF601-MC69-PDTC401 (V)</t>
  </si>
  <si>
    <t>SUBSTITUIÇÃO DO TRANSFORMADOR DE CORRENTE DE 230kV, FASE "B" DO BAY DA ENTRADA DE LINHA DE 230kV SÃO LUIS II - SÃO LUIS I, CIRCUITO 2.</t>
  </si>
  <si>
    <t>0007324/2021</t>
  </si>
  <si>
    <t>N-S-MALD-LDLILT602-ELLD-LDTC601</t>
  </si>
  <si>
    <t>SUBSTITUIÇÃO DO TRANSFORMADOR DE CORRENTE DE 230kV, FASE "A" DO BAY DA ENTRADA DE LINHA DE 230kV SÃO LUIS II - SÃO LUIS I, CIRCUITO 2.</t>
  </si>
  <si>
    <t>0007331/2021</t>
  </si>
  <si>
    <t>SUBSTITUIÇÃO DO TRANSFORMADOR DE CORRENTE DE 230kV, FASE "A" DO BAY DA ENTRADA DE LINHA DE 230kV SÃO LUIS II - SÃO LUIS I, CIRCUITO 1.</t>
  </si>
  <si>
    <t>0007345/2021</t>
  </si>
  <si>
    <t>ATH 245D</t>
  </si>
  <si>
    <t>SUBSTITUIÇÃO DO TRANSFORMADOR DE CORRENTE DE 230kV, FASE "V", ASSOCIADO AO BAY DO BANCO DE CAPACITORES LDBC6-03.</t>
  </si>
  <si>
    <t>BC 230 kV 55,5 Mvar SAO LUIS II BC3 MA</t>
  </si>
  <si>
    <t>0007351/2021</t>
  </si>
  <si>
    <t>N-S-MALD-BC603-MC230-LDTC601</t>
  </si>
  <si>
    <t>SUBSTITUIÇÃO DO TRANSFORMADOR DE CORRENTE DE 230kV, FASE "B", ASSOCIADO AO BAY DO BANCO DE CAPACITORES LDBC6-03.SUBSTITUIÇÃO DO TRANSFORMADOR DE CORRENTE DE 230kV, FASE "B", ASSOCIADO AO BAY DO BANCO DE CAPACITORES LDBC6-03.</t>
  </si>
  <si>
    <t>0007355/2021</t>
  </si>
  <si>
    <t>SUBSTITUIÇÃO DO TRANSFORMADOR DE CORRENTE DE 230kV, FASE "A", ASSOCIADO AO BAY DO BANCO DE CAPACITORES LDBC6-03.</t>
  </si>
  <si>
    <t>0007358/2021</t>
  </si>
  <si>
    <t>SUBSTITUIÇÃO DO TRANSFORMADOR DE CORRENTE DE 230kV, FASE "V", ASSOCIADO AO BAY DO BANCO DE CAPACITORES LDBC6-01.</t>
  </si>
  <si>
    <t>BC 230 kV 50,8 Mvar SAO LUIS II BC1 MA</t>
  </si>
  <si>
    <t>0007372/2021</t>
  </si>
  <si>
    <t>N-S-MALD-BC601-MC230-LDTC601</t>
  </si>
  <si>
    <t>SUBSTITUIÇÃO DO TRANSFORMADOR DE CORRENTE DE 230kV, FASE "B", ASSOCIADO AO BAY DO BANCO DE CAPACITORES LDBC6-01..</t>
  </si>
  <si>
    <t>0007380/2021</t>
  </si>
  <si>
    <t>SUBSTITUIÇÃO DO TRANSFORMADOR DE CORRENTE DE 230kV, FASE "A", ASSOCIADO AO BAY DO BANCO DE CAPACITORES LDBC6-01..</t>
  </si>
  <si>
    <t>0007389/2021</t>
  </si>
  <si>
    <t>SUBSTITUIÇÃO DO TRANSFORMADOR DE CORRENTE DE 230kV, FASE "V", ASSOCIADO AO BAY DO BANCO DE AUTOTRANSFORMADORES LDAT7-03</t>
  </si>
  <si>
    <t>0007397/2021</t>
  </si>
  <si>
    <t>N-S-MALD-AT703-MC230-LDTC601</t>
  </si>
  <si>
    <t>SUBSTITUIÇÃO DO TRANSFORMADOR DE CORRENTE DE 230kV, FASE "B", ASSOCIADO AO BAY DO BANCO DE AUTOTRANSFORMADORES LDAT7-03</t>
  </si>
  <si>
    <t>0007408/2021</t>
  </si>
  <si>
    <t>SUBSTITUIÇÃO DO TRANSFORMADOR DE CORRENTE DE 230kV, FASE "A", ASSOCIADO AO BAY DO BANCO DE AUTOTRANSFORMADORES LDAT7-03</t>
  </si>
  <si>
    <t>0007413/2021</t>
  </si>
  <si>
    <t>SUBSTITUIÇÃO DO TRANSFORMADOR DE CORRENTE DE 230kV, FASE "V", ASSOCIADO AO DISJUNTOR LDDJ6-10 DO BAY DO BANCO DE AUTOTRANSFORMADORES LDAT7-02</t>
  </si>
  <si>
    <t>0007424/2021</t>
  </si>
  <si>
    <t>N-S-MALD-AT702-MC230-DJ610-LDTC601</t>
  </si>
  <si>
    <t>SUBSTITUIÇÃO DO TRANSFORMADOR DE CORRENTE DE 230kV, FASE "B", ASSOCIADO AO DISJUNTOR LDDJ6-10 DO BAY DO BANCO DE AUTOTRANSFORMADORES LDAT7-02</t>
  </si>
  <si>
    <t>0007463/2021</t>
  </si>
  <si>
    <t>SUBSTITUIÇÃO DO TRANSFORMADOR DE CORRENTE DE 230kV, FASE "A", ASSOCIADO AO DISJUNTOR LDDJ6-10 DO BAY DO BANCO DE AUTOTRANSFORMADORES LDAT7-02</t>
  </si>
  <si>
    <t>0007494/2021</t>
  </si>
  <si>
    <t>SUBSTITUIÇÃO DO TRANSFORMADOR DE CORRENTE DE 230kV, FASE "V", ASSOCIADO AO DISJUNTOR LDDJ6-08 DO BAY DO BANCO DE AUTOTRANSFORMADORES LDAT7-02</t>
  </si>
  <si>
    <t>0007516/2021</t>
  </si>
  <si>
    <t>N-S-MALD-AT702-MC230-DJ608-LDTC601</t>
  </si>
  <si>
    <t>SUBSTITUIÇÃO DO TRANSFORMADOR DE CORRENTE DE 230kV, FASE "B", ASSOCIADO AO DISJUNTOR LDDJ6-08 DO BAY DO BANCO DE AUTOTRANSFORMADORES LDAT7-02</t>
  </si>
  <si>
    <t>0007524/2021</t>
  </si>
  <si>
    <t>SUBSTITUIÇÃO DO TRANSFORMADOR DE CORRENTE DE 230kV, FASE "A", ASSOCIADO AO DISJUNTOR LDDJ6-08 DO BAY DO BANCO DE AUTOTRANSFORMADORES LDAT7-02.</t>
  </si>
  <si>
    <t>0007533/2021</t>
  </si>
  <si>
    <t>Instalação de Transformador de Potencial DCP 500 KV-Fase A. Funções do TP: Medição.</t>
  </si>
  <si>
    <t>0007539/2021</t>
  </si>
  <si>
    <t>Instalação de Transformador de Potencial DCP 500 KV-Fase C. Funções do TP: Medição.</t>
  </si>
  <si>
    <t>0007546/2021</t>
  </si>
  <si>
    <t>Substituição de Painel de Controle e Supervisão Duplex para atendimento do AT51</t>
  </si>
  <si>
    <t>0007570/2021</t>
  </si>
  <si>
    <t>Substituição das proteções Principal, Alternada e Falha de Disjuntor, referentes a LT 525 kV Curitiba - Bateias C-1, incluindo painéis e cabos de controle e potência associados (6.640 m).</t>
  </si>
  <si>
    <t>LT 525 kV CURITIBA /BATEIAS C-1 PR</t>
  </si>
  <si>
    <t>0007590/2021</t>
  </si>
  <si>
    <t>PP, PA - LT BTA C-1</t>
  </si>
  <si>
    <t>AREIA</t>
  </si>
  <si>
    <t>Substituição das proteções Principal, Alternada e Falha de Disjuntor, referentes a LT 525 kV Areia - Bateias C-1, incluindo painéis e cabos de controle e potência associados (6.640 m).</t>
  </si>
  <si>
    <t>LT 525 kV AREIA /BATEIAS C-1 PR</t>
  </si>
  <si>
    <t>0007597/2021</t>
  </si>
  <si>
    <t>SUBSTITUIÇÃO DO TRANSFORMADOR DE CORRENTE DE 500kV, FASE "A" DO BAY DO BANCO DE REATORES DE BARRA LDRE7-03.v</t>
  </si>
  <si>
    <t>RTB 500 kV 136 MVAr SAO LUIS II RT3 MA</t>
  </si>
  <si>
    <t>0007608/2021</t>
  </si>
  <si>
    <t>SUBSTITUIÇÃO DO TRANSFORMADOR DE CORRENTE DE 500kV, FASE "V" DO BAY DO BANCO DE AUTOTRANSFORMADORES LDAT7-03.</t>
  </si>
  <si>
    <t>MC 500 kV TR 500/230 kV SAO LUIS II TR3 MA</t>
  </si>
  <si>
    <t>0007627/2021</t>
  </si>
  <si>
    <t>N-S-MALD-AT703-MC500-LDTC701</t>
  </si>
  <si>
    <t>SUBSTITUIÇÃO DO TRANSFORMADOR DE CORRENTE DE 500kV, FASE "B" DO BAY DO BANCO DE AUTOTRANSFORMADORES LDAT7-03.</t>
  </si>
  <si>
    <t>0007640/2021</t>
  </si>
  <si>
    <t>S. OSORIO</t>
  </si>
  <si>
    <t>Substituição dos painéis da proteção Principal, Alternada, e dos cabos de controle e potência associados (3.870 m), referente a LT 230 kV S.Osório - Foz do Chopim C-1.</t>
  </si>
  <si>
    <t>LT 230 kV S.OSORIO / FOZ DO CHOPIM C-1 PR</t>
  </si>
  <si>
    <t>0007645/2021</t>
  </si>
  <si>
    <t>PP, PA - LT FOC C-1</t>
  </si>
  <si>
    <t>SUBSTITUIÇÃO DO TRANSFORMADOR DE CORRENTE DE 500kV, FASE "A" DO BAY DO BANCO DE AUTOTRANSFORMADORES LDAT7-03.</t>
  </si>
  <si>
    <t>0007647/2021</t>
  </si>
  <si>
    <t>Substituir 132 cadeias de isolador em 35 est 001/2;001/3;002/1;003/3;004/1;004/2;005/2;005/3;006/2;007/1;009/1;009/2;010/1;010/2;011/1;011/2;011/3;012/2;013/1;014/1;014/2;015/2;015/3;016/2;017/2;018/2;019/1;020/1;022/2;023/1;023/2;024/1;026/1;026/2;027/1-LT 230 kV P.AFONSO III /ITABAIANA C1-04S6</t>
  </si>
  <si>
    <t>LT 230 kV P.AFONSO III /ITABAIANA C-1 AL/SE</t>
  </si>
  <si>
    <t>0007657/2021</t>
  </si>
  <si>
    <t>04S6</t>
  </si>
  <si>
    <t>SUBSTITUIÇÃO DO TRANSFORMADOR DE CORRENTE DE 500kV, FASE "B" DO BAY DO BANCO DE AUTOTRANSFORMADORES LDAT7-02.</t>
  </si>
  <si>
    <t>0007663/2021</t>
  </si>
  <si>
    <t>N-S-MALD-AT702-MC500-LDTC701</t>
  </si>
  <si>
    <t>SUBSTITUIÇÃO DO TRANSFORMADOR DE CORRENTE DE 500kV, FASE "A" DO BAY DO BANCO DE AUTOTRANSFORMADORES LDAT7-02.</t>
  </si>
  <si>
    <t>0007667/2021</t>
  </si>
  <si>
    <t>SUBSTITUIÇÃO DO TRANSFORMADOR DE CORRENTE DE 500kV, FASE "V" DO BAY DO BANCO DE AUTOTRANSFORMADORES LDAT7-01.</t>
  </si>
  <si>
    <t>0007677/2021</t>
  </si>
  <si>
    <t>N-S-MALD-AT701-MC500-LDTC701</t>
  </si>
  <si>
    <t>SUBSTITUIÇÃO DO TRANSFORMADOR DE CORRENTE DE 500kV, FASE "B" DO BAY DO BANCO DE AUTOTRANSFORMADORES LDAT7-01.</t>
  </si>
  <si>
    <t>0007680/2021</t>
  </si>
  <si>
    <t>SUBSTITUIÇÃO DO TRANSFORMADOR DE CORRENTE DE 500kV, FASE "A" DO BAY DO BANCO DE AUTOTRANSFORMADORES LDAT7-01.</t>
  </si>
  <si>
    <t>0007686/2021</t>
  </si>
  <si>
    <t>SUBSTITUIÇÃO DO TRANSFORMADOR DE CORRENTE DE 230kV, FASE "V" DO BAY DA ENTRADA DE LINHA DE 230kV SÃO LUIS II - VALE.</t>
  </si>
  <si>
    <t>MG 500 kV SAO LUIS II MG1 MA - N-S-MALD-CVLDLI601-ELLD</t>
  </si>
  <si>
    <t>0007695/2021</t>
  </si>
  <si>
    <t>N-S-MALD-CVLDLI601-ELLD-LDTC601</t>
  </si>
  <si>
    <t>SUBSTITUIÇÃO DO TRANSFORMADOR DE CORRENTE DE 230kV, FASE "B" DO BAY DA ENTRADA DE LINHA DE 230kV SÃO LUIS II - VALE.</t>
  </si>
  <si>
    <t>0007696/2021</t>
  </si>
  <si>
    <t>SUBSTITUIÇÃO DO TRANSFORMADOR DE CORRENTE DE 230kV, FASE "A" DO BAY DA ENTRADA DE LINHA DE 230kV SÃO LUIS II - VALE.</t>
  </si>
  <si>
    <t>0007700/2021</t>
  </si>
  <si>
    <t>Substituição do Transformador de Corrente 500kV do MBDJ7-02 fase V - Vão DY2</t>
  </si>
  <si>
    <t>0007713/2021</t>
  </si>
  <si>
    <t>TC do MBDJ7-02 fase V - Vão DY2</t>
  </si>
  <si>
    <t>Substituição do Transformador de Corrente 500kV do MBDJ7-02 fase B - Vão DY2</t>
  </si>
  <si>
    <t>0007717/2021</t>
  </si>
  <si>
    <t>TC do MBDJ7-02 fase B - Vão DY2</t>
  </si>
  <si>
    <t>Substituição de Para Raios - 01 UNIDADE PARA A LINHA SUSMLT6-05 - FASE B (Unidade Geradora 05).</t>
  </si>
  <si>
    <t>0007721/2021</t>
  </si>
  <si>
    <t>N-S-ROSM-NFT-UHSMLT605-SMPR601B</t>
  </si>
  <si>
    <t>Substituição de Para Raios - 01 UNIDADE PARA A LINHA SUSMLT6-04 - FASE V (Unidade Geradora 04).</t>
  </si>
  <si>
    <t>0007723/2021</t>
  </si>
  <si>
    <t>N-S-ROSM-NFT-UHSMLT604-SMPR601V</t>
  </si>
  <si>
    <t>Substituição do Transformador de Corrente 500kV do MBDJ7-02 fase A - Vão DY2</t>
  </si>
  <si>
    <t>0007743/2021</t>
  </si>
  <si>
    <t>TC do MBDJ7-02 fase A - Vão DY2</t>
  </si>
  <si>
    <t>Substituição de Para Raios - 01 UNIDADE PARA A LINHA SUSMLT6-04 - FASE B (Unidade Geradora 04).</t>
  </si>
  <si>
    <t>0007751/2021</t>
  </si>
  <si>
    <t>N-S-ROSM-NFT-UHSMLT604-SMPR601B</t>
  </si>
  <si>
    <t>Substituição do Transformador de Corrente 500kV do MBDJ7-01 fase V - Vão DX</t>
  </si>
  <si>
    <t>0007755/2021</t>
  </si>
  <si>
    <t>TC do MBDJ7-01 fase V - Vão DX</t>
  </si>
  <si>
    <t>Substituição do Transformador de Corrente 500kV do MBDJ7-01 Fase B - Vão DX</t>
  </si>
  <si>
    <t>0007757/2021</t>
  </si>
  <si>
    <t>TC do MBDJ7-01 Fase B - Vão DX</t>
  </si>
  <si>
    <t>Substituição de Para Raios - 01 UNIDADE PARA A LINHA SUSMLT6-03 - FASE V (Unidade Geradora 03).</t>
  </si>
  <si>
    <t>0007759/2021</t>
  </si>
  <si>
    <t>N-S-ROSM-NFT-UHSMLT603-SMPR601V</t>
  </si>
  <si>
    <t>Substituição do Transformador de Corrente 500kV do MBDJ7-01 Fase A - Vão DX</t>
  </si>
  <si>
    <t>0007760/2021</t>
  </si>
  <si>
    <t>TC do MBDJ7-01 Fase A - Vão DX</t>
  </si>
  <si>
    <t>0007763/2021</t>
  </si>
  <si>
    <t>TC do MBRE7-01 Fase V - Vão DXR</t>
  </si>
  <si>
    <t>Substituição de Para Raios - 01 UNIDADE PARA A LINHA SUSMLT6-03 - FASE B (Unidade Geradora 03).</t>
  </si>
  <si>
    <t>0007764/2021</t>
  </si>
  <si>
    <t>N-S-ROSM-NFT-UHSMLT603-SMPR601B</t>
  </si>
  <si>
    <t>Substituição do Transformador de Corrente 500kV do MBRE7-01 Fase B - Vão DXR</t>
  </si>
  <si>
    <t>0007766/2021</t>
  </si>
  <si>
    <t>TC do MBRE7-01 Fase B - Vão DXR</t>
  </si>
  <si>
    <t>Substituição do Transformador de Corrente 500kV do MBRE7-01 Fase A - Vão DXR</t>
  </si>
  <si>
    <t>0007767/2021</t>
  </si>
  <si>
    <t>TC do MBRE7-01 Fase A - Vão DXR</t>
  </si>
  <si>
    <t>Substituição de Para Raios - 01 UNIDADE PARA A LINHA SUSMLT6-02 - FASE V (Unidade Geradora 02).</t>
  </si>
  <si>
    <t>0007770/2021</t>
  </si>
  <si>
    <t>N-S-ROSM-NFT-UHSMLT602-SMPR601V</t>
  </si>
  <si>
    <t>Substituição de Para Raios - 01 UNIDADE PARA A LINHA SUSMLT6-02 - FASE B (Unidade Geradora 02).</t>
  </si>
  <si>
    <t>0007772/2021</t>
  </si>
  <si>
    <t>N-S-ROSM-NFT-UHSMLT602-SMPR601B</t>
  </si>
  <si>
    <t>Substituição de Para Raios - 01 UNIDADE PARA A LINHA SUSMLT6-01 - FASE V (Unidade Geradora 01).</t>
  </si>
  <si>
    <t>0007776/2021</t>
  </si>
  <si>
    <t>N-S-ROSM-NFT-UHSMLT601-SMPR601V</t>
  </si>
  <si>
    <t>Substituição de Para Raios - 01 UNIDADE PARA A LINHA SUSMLT6-01 - FASE B (Unidade Geradora 01).</t>
  </si>
  <si>
    <t>0007780/2021</t>
  </si>
  <si>
    <t>N-S-ROSM-NFT-UHSMLT601-SMPR601B</t>
  </si>
  <si>
    <t>Substituição de TC - 01 UNIDADE PARA A LINHA SUSMLT6-05 - FASE V (Unidade Geradora 05).</t>
  </si>
  <si>
    <t>0008029/2021</t>
  </si>
  <si>
    <t>N-S-ROSM-NFT-UHSMLT605-SMTC601V</t>
  </si>
  <si>
    <t>Substituição de TC - 01 UNIDADE PARA A LINHA SUSMLT6-05 - FASE B (Unidade Geradora 05).</t>
  </si>
  <si>
    <t>0008033/2021</t>
  </si>
  <si>
    <t>N-S-ROSM-NFT-UHSMLT605-SMTC601B</t>
  </si>
  <si>
    <t>Substituição de TC - 01 UNIDADE PARA A LINHA SUSMLT6-04 - FASE V (Unidade Geradora 04).</t>
  </si>
  <si>
    <t>0008036/2021</t>
  </si>
  <si>
    <t>N-S-ROSM-NFT-UHSMLT604-SMTC601V</t>
  </si>
  <si>
    <t>Substituição de TC - 01 UNIDADE PARA A LINHA SUSMLT6-04 - FASE B (Unidade Geradora 04).</t>
  </si>
  <si>
    <t>0008023/2021</t>
  </si>
  <si>
    <t>N-S-ROSM-NFT-UHSMLT604-SMTC601B</t>
  </si>
  <si>
    <t>Substituição de TC - 01 UNIDADE PARA A LINHA SUSMLT6-03 - FASE V (Unidade Geradora 03).</t>
  </si>
  <si>
    <t>0008040/2021</t>
  </si>
  <si>
    <t>N-S-ROSM-NFT-UHSMLT603-SMTC601V</t>
  </si>
  <si>
    <t>Substituição de Para Raios - 01 UNIDADE PARA A LINHA SUSMLT6-05 - FASE A (Unidade Geradora 05).</t>
  </si>
  <si>
    <t>0007797/2021</t>
  </si>
  <si>
    <t>N-S-ROSM-NFT-UHSMLT605-SMPR601A</t>
  </si>
  <si>
    <t>Substituição de TC - 01 UNIDADE PARA A LINHA SUSMLT6-03 - FASE B (Unidade Geradora 03).</t>
  </si>
  <si>
    <t>0008042/2021</t>
  </si>
  <si>
    <t>N-S-ROSM-NFT-UHSMLT603-SMTC601B</t>
  </si>
  <si>
    <t>Substituição de TC - 01 UNIDADE PARA A LINHA SUSMLT6-05 - FASE A (Unidade Geradora 05).</t>
  </si>
  <si>
    <t>0007798/2021</t>
  </si>
  <si>
    <t>N-S-ROSM-NFT-UHSMLT605-SMTC601A</t>
  </si>
  <si>
    <t>Substituição de TC - 01 UNIDADE PARA A LINHA SUSMLT6-04 - FASE A (Unidade Geradora 04).</t>
  </si>
  <si>
    <t>0007799/2021</t>
  </si>
  <si>
    <t>N-S-ROSM-NFT-UHSMLT604-SMTC601A</t>
  </si>
  <si>
    <t>Substituição de TC - 01 UNIDADE PARA A LINHA SUSMLT6-02 - FASE V (Unidade Geradora 02).</t>
  </si>
  <si>
    <t>0008044/2021</t>
  </si>
  <si>
    <t>N-S-ROSM-NFT-UHSMLT602-SMTC601V</t>
  </si>
  <si>
    <t>Substituição de TC - 01 UNIDADE PARA A LINHA SUSMLT6-03 - FASE A (Unidade Geradora 03).</t>
  </si>
  <si>
    <t>0007800/2021</t>
  </si>
  <si>
    <t>N-S-ROSM-NFT-UHSMLT603-SMTC601A</t>
  </si>
  <si>
    <t>Substituição de TC - 01 UNIDADE PARA A LINHA SUSMLT6-02 - FASE A (Unidade Geradora 02).</t>
  </si>
  <si>
    <t>0007801/2021</t>
  </si>
  <si>
    <t>N-S-ROSM-NFT-UHSMLT602-SMTC601A</t>
  </si>
  <si>
    <t>Substituição de TC - 01 UNIDADE PARA A LINHA SUSMLT6-02 - FASE B (Unidade Geradora 02).</t>
  </si>
  <si>
    <t>0008048/2021</t>
  </si>
  <si>
    <t>N-S-ROSM-NFT-UHSMLT602-SMTC601B</t>
  </si>
  <si>
    <t>Substituição de TC -01 UNIDADE PARA A LINHA SUSMLT6-01 - FASE A (Unidade Geradora 01).</t>
  </si>
  <si>
    <t>0007802/2021</t>
  </si>
  <si>
    <t>N-S-ROSM-NFT-UHSMLT601-SMTC601A</t>
  </si>
  <si>
    <t>Substituição de TC - 01 UNIDADE PARA A LINHA SUSMLT6-01 - FASE V (Unidade Geradora 01).</t>
  </si>
  <si>
    <t>0008050/2021</t>
  </si>
  <si>
    <t>N-S-ROSM-NFT-UHSMLT601-SMTC601V</t>
  </si>
  <si>
    <t>Substituição do sistema de proteção e controle do transformador RBTF6-02.</t>
  </si>
  <si>
    <t>0007805/2021</t>
  </si>
  <si>
    <t>Substituição de TC - 01 UNIDADE PARA A LINHA SUSMLT6-01 - FASE B (Unidade Geradora 01).</t>
  </si>
  <si>
    <t>0008052/2021</t>
  </si>
  <si>
    <t>N-S-ROSM-NFT-UHSMLT601-SMTC601B</t>
  </si>
  <si>
    <t>Substituição de um (01) disjuntor 230kV JPDJ6-03, associado ao bay do transformador de 230 KV,  JPTF6-01 da Subestação Ji-Paraná - N-S-ROJP-TF601-MC230-JPDJ603</t>
  </si>
  <si>
    <t>TR 230/69 kV JI-PARANA TF1 RO</t>
  </si>
  <si>
    <t>0008372/2021</t>
  </si>
  <si>
    <t>N-S-ROJP-TF601-MC230-JPDJ603</t>
  </si>
  <si>
    <t>Substituição de 01 (um) disjuntor 230kV ,JPDJ6-06, associado ao bay do transformador de 230 KV,  JPTF6-02 da Subestação Ji-Paraná - N-S-ROJP-TF602-MC230-JPDJ606</t>
  </si>
  <si>
    <t>TR 230/69 kV JI-PARANA TF2 RO</t>
  </si>
  <si>
    <t>0008376/2021</t>
  </si>
  <si>
    <t>N-S-ROJP-TF602-MC230-JPDJ606</t>
  </si>
  <si>
    <t>Substituição de 01 (um) disjuntor 230kV JPDJ6-02, associado ao bay da Linha de Transmissão  JRJP-LT6-01 da Subestação Ji-Paraná - N-S-ROJP-JRJPLT601-ELJP-JPDJ602</t>
  </si>
  <si>
    <t>0008625/2021</t>
  </si>
  <si>
    <t>N-S-ROJP-JRJPLT601-ELJP-JPDJ602</t>
  </si>
  <si>
    <t>Substituição de 01 (um) disjuntor 230kV JPDJ6-01 Reator, associado ao bay da Linha de Transmissão  JRJP-LT6-01 da Subestação Ji-Paraná - N-S-ROJP-RE601-MC230-JPDJ601</t>
  </si>
  <si>
    <t>RT 230 kV 20 Mvar JI-PARANA 1 RO</t>
  </si>
  <si>
    <t>0008637/2021</t>
  </si>
  <si>
    <t>N-S-ROJP-BC601-MC230-JPDJ610</t>
  </si>
  <si>
    <t>Substituição de 01 (um) disjuntor 230kV  JPDJ6-10, associado ao bay do Banco de Capacitores JPBC6-01 da Subestação Ji-Paraná - N-S-ROJP-BC601-MC230-JPDJ610</t>
  </si>
  <si>
    <t>BC 230 kV 18,5 Mvar JI-PARANA BC1 RO</t>
  </si>
  <si>
    <t>0008393/2021</t>
  </si>
  <si>
    <t>Substituição transformador de corrente 230kV Bay IZPF-LT601 fase B</t>
  </si>
  <si>
    <t>LT 230 kV IMPERATRIZ /PORTO FRANCO C-1 M</t>
  </si>
  <si>
    <t>0007820/2021</t>
  </si>
  <si>
    <t>N-S-MAPF-IZPFLT601-ELPF-PFTC601 (B)</t>
  </si>
  <si>
    <t>Substituição transformador de corrente 230kV Bay IZPF-LT601 fase V</t>
  </si>
  <si>
    <t>0007821/2021</t>
  </si>
  <si>
    <t>N-S-MAPF-IZPFLT601-ELPF-PFTC601 (V)</t>
  </si>
  <si>
    <t>Substituição transformador de corrente 230kV Módulo de Conexão 230kV PFTF6-01 fase A</t>
  </si>
  <si>
    <t>TR 230/69 kV PORTO FRANCO TF1 MA</t>
  </si>
  <si>
    <t>0007822/2021</t>
  </si>
  <si>
    <t>N-S-MAPF-TF601-MC230-PFTC601 (A)</t>
  </si>
  <si>
    <t>Substituição transformador de corrente 230kV Módulo de Conexão 230kV PFTF6-01 fase B</t>
  </si>
  <si>
    <t>0007824/2021</t>
  </si>
  <si>
    <t>N-S-MAPF-TF601-MC230-PFTC601 (B)</t>
  </si>
  <si>
    <t>Substituição transformador de corrente 230kV Módulo de Conexão 230kV PFTF6-02 fase A</t>
  </si>
  <si>
    <t>TR 230/138 kV PORTO FRANCO TR2 MA</t>
  </si>
  <si>
    <t>0007826/2021</t>
  </si>
  <si>
    <t>N-S-MAPF-TF602-MC230-PFTC601 (A)</t>
  </si>
  <si>
    <t>Substituição transformador de corrente 230kV Módulo de Conexão 230kV PFTF6-02 fase B</t>
  </si>
  <si>
    <t>0007828/2021</t>
  </si>
  <si>
    <t>N-S-MAPF-TF602-MC230-PFTC601 (B)</t>
  </si>
  <si>
    <t>SUBSTITUIÇÃO DE TRANSFORMADOR DE CORRENTE FASE 2B ASSOCIADO AO BAY DE INTERLIGAÇÃO 1</t>
  </si>
  <si>
    <t>MG 230 kV EXTREMOZ II MG1 RN</t>
  </si>
  <si>
    <t>0007830/2021</t>
  </si>
  <si>
    <t>N-S-MAIZ-MG701-IB500IB1-IZTC702 (2B)</t>
  </si>
  <si>
    <t>SUBSTITUIÇÃO DO TRANSFORMADOR DE CORRENTE DE 230kV, FASE "V" DO VÃO DE TRANSFERENCIA DE 230kV ENTRE BARRAS LDBR6-01 E LDBR6-02.</t>
  </si>
  <si>
    <t>0007832/2021</t>
  </si>
  <si>
    <t>REVITALIZAÇÃO DE DISJUNTOR VNDJ6-26. CORRIGIR FALHAS NO ACIONAMENTO DOS DISJUNTORES, COM A SUBSTITUIÇÃO DE PEÇAS (GATILHOS, AMORTECEDORES, MICROSWITCH, PROTEÇÕES DAS MOLAS DE ABERTURA E FECHAMENTO, DENTRE OUTROS) E REALIZAÇÃO DOS TESTES NECESSÁRIOS PARA COMPATIBILIZAÇÃO DOS POLOS AOS COMANDOS.</t>
  </si>
  <si>
    <t>CE 100/-50 Mvar VILHENA CE1 RO</t>
  </si>
  <si>
    <t>0007854/2021</t>
  </si>
  <si>
    <t>N-S-ROVN-CE601-MC230-VNDJ626</t>
  </si>
  <si>
    <t>SUBSTITUIÇÃO DO TRANSFORMADOR DE CORRENTE DE 500kV, (BANCO 02) FASE "B" DO VÃO CENTRAL "B" DE 500kV, ASSOCIADO AO DISJUNTOR IZDJ7-04.</t>
  </si>
  <si>
    <t>0007862/2021</t>
  </si>
  <si>
    <t>N-S-MAIZ-MG701-IB500IB2-IZTC702</t>
  </si>
  <si>
    <t>Implantação de monitoramento on-line de buchas do SPRE6-02</t>
  </si>
  <si>
    <t>0007886/2021</t>
  </si>
  <si>
    <t>REVITALIZAÇÃO DE DISJUNTOR VNDJ6-17. CORRIGIR FALHAS NO ACIONAMENTO DOS DISJUNTORES, COM A SUBSTITUIÇÃO DE PEÇAS (GATILHOS, AMORTECEDORES, MICROSWITCH, PROTEÇÕES DAS MOLAS DE ABERTURA E FECHAMENTO, DENTRE OUTROS) E REALIZAÇÃO DOS TESTES NECESSÁRIOS PARA COMPATIBILIZAÇÃO DOS POLOS AOS COMANDOS.</t>
  </si>
  <si>
    <t>LT 230 kV PIMENTA BUENO /VILHENA C-3 RO</t>
  </si>
  <si>
    <t>0007901/2021</t>
  </si>
  <si>
    <t>N-S-ROVN-PBVNLT603-ELVN-VNDJ617</t>
  </si>
  <si>
    <t>Implantação de monitoramento on-line de buchas do RBTF6-01</t>
  </si>
  <si>
    <t>TR 230/69 kV RIO BRANCO I TF1 AC</t>
  </si>
  <si>
    <t>0007911/2021</t>
  </si>
  <si>
    <t>REVITALIZAÇÃO DE DISJUNTOR PBDJ6-15. CORRIGIR FALHAS NO ACIONAMENTO DOS DISJUNTORES, COM A SUBSTITUIÇÃO DE PEÇAS (GATILHOS, AMORTECEDORES, MICROSWITCH, PROTEÇÕES DAS MOLAS DE ABERTURA E FECHAMENTO, DENTRE OUTROS) E REALIZAÇÃO DOS TESTES NECESSÁRIOS PARA COMPATIBILIZAÇÃO DOS POLOS AOS COMANDOS.</t>
  </si>
  <si>
    <t>0007913/2021</t>
  </si>
  <si>
    <t>N-S-ROPB-PBVNLT603-ELPB-PBDJ615</t>
  </si>
  <si>
    <t>REVITALIZAÇÃO DE DISJUNTOR PBDJ6-18. CORRIGIR FALHAS NO ACIONAMENTO DOS DISJUNTORES, COM A SUBSTITUIÇÃO DE PEÇAS (GATILHOS, AMORTECEDORES, MICROSWITCH, PROTEÇÕES DAS MOLAS DE ABERTURA E FECHAMENTO, DENTRE OUTROS) E REALIZAÇÃO DOS TESTES NECESSÁRIOS PARA COMPATIBILIZAÇÃO DOS POLOS AOS COMANDOS.</t>
  </si>
  <si>
    <t>BC 230 kV 18 Mvar PIMENTA BUENO BC3 RO</t>
  </si>
  <si>
    <t>0007930/2021</t>
  </si>
  <si>
    <t>N-S-ROPB-BC603-MC230-PBDJ618</t>
  </si>
  <si>
    <t>Instalação de rede de comunicação para monitoramento nos transformadores e reatores de potência conectados ao SIN da subestação SINOP, contemplando switches, fibras ópticas, painéis, entre outros.</t>
  </si>
  <si>
    <t>0007937/2021</t>
  </si>
  <si>
    <t>REVITALIZAÇÃO DE DISJUNTOR PBDJ6-17. CORRIGIR FALHAS NO ACIONAMENTO DOS DISJUNTORES, COM A SUBSTITUIÇÃO DE PEÇAS (GATILHOS, AMORTECEDORES, MICROSWITCH, PROTEÇÕES DAS MOLAS DE ABERTURA E FECHAMENTO, DENTRE OUTROS) E REALIZAÇÃO DOS TESTES NECESSÁRIOS PARA COMPATIBILIZAÇÃO DOS POLOS AOS COMANDOS.</t>
  </si>
  <si>
    <t>BC 230 kV 18,5 Mvar PIMENTA BUENO BC2 RO</t>
  </si>
  <si>
    <t>0007941/2021</t>
  </si>
  <si>
    <t>N-S-ROPB-BC602-MC230-PBDJ617</t>
  </si>
  <si>
    <t>Implantação de monitoramento on-line de buchas do VNRE6-07</t>
  </si>
  <si>
    <t>0007942/2021</t>
  </si>
  <si>
    <t>REVITALIZAÇÃO DO DISJUNTOR PBDJ6-16. CORRIGIR FALHAS NO ACIONAMENTO DOS DISJUNTORES, COM A SUBSTITUIÇÃO DE PEÇAS (GATILHOS, AMORTECEDORES, MICROSWITCH, PROTEÇÕES DAS MOLAS DE ABERTURA E FECHAMENTO, DENTRE OUTROS) E REALIZAÇÃO DOS TESTES NECESSÁRIOS PARA COMPATIBILIZAÇÃO DOS POLOS AOS COMANDOS.</t>
  </si>
  <si>
    <t>BC 230 kV 18,5 Mvar PIMENTA BUENO BC1 RO</t>
  </si>
  <si>
    <t>0007944/2021</t>
  </si>
  <si>
    <t>N-S-ROPB-BC601-MC230-PBDJ616</t>
  </si>
  <si>
    <t>Substituição da Chave Seccionadora RUSR6 02, 242 kV, 1250 Amperes</t>
  </si>
  <si>
    <t>RT 230 kV 30 Mvar RUROPOLIS RT2 PA</t>
  </si>
  <si>
    <t>0007946/2021</t>
  </si>
  <si>
    <t>RUSR6-02</t>
  </si>
  <si>
    <t>Implantação de monitoramento on-line de buchas do NMTF6-02</t>
  </si>
  <si>
    <t>TR 230/69 kV NOVA MUTUM TF2 MT</t>
  </si>
  <si>
    <t>0007954/2021</t>
  </si>
  <si>
    <t>Substituição da proteção e controle diferencial de barras da cadeia principal da barra JPBR6-01, contemplando uma unidade central com capacidade de no mínimo nove vãos e seis unidades de bay (bays unit).</t>
  </si>
  <si>
    <t>0007957/2021</t>
  </si>
  <si>
    <t>Implantação de monitoramento on-line de buchas do NMTF6-03</t>
  </si>
  <si>
    <t>0007962/2021</t>
  </si>
  <si>
    <t>Implantação de monitoramento on-line de buchas do VNRE6-06</t>
  </si>
  <si>
    <t>0007969/2021</t>
  </si>
  <si>
    <t>Implantação de monitoramento on-line de buchas do NMRE6-01</t>
  </si>
  <si>
    <t>LT 230 kV NOBRES /NOVA MUTUM C-1</t>
  </si>
  <si>
    <t>0007971/2021</t>
  </si>
  <si>
    <t>Implantação de monitoramento on-line de buchas do VNRE6-02</t>
  </si>
  <si>
    <t>LT 230 kV PIMENTA BUENO /VILHENA C-1 RO</t>
  </si>
  <si>
    <t>0007975/2021</t>
  </si>
  <si>
    <t>Instalação de rede de comunicação para monitoramento nos transformadores e reatores de potência conectados ao SIN da subestação Nova Mutum, contemplando switches, fibras ópticas, painéis, entre outros.</t>
  </si>
  <si>
    <t>0007978/2021</t>
  </si>
  <si>
    <t>Implantação de monitoramento on-line de buchas do VNTF6-03</t>
  </si>
  <si>
    <t>TR 230/69 kV VILHENA TR1 RO</t>
  </si>
  <si>
    <t>0007989/2021</t>
  </si>
  <si>
    <t>Implantação de monitoramento on-line de buchas do JURE6-04.</t>
  </si>
  <si>
    <t>0007990/2021</t>
  </si>
  <si>
    <t>Implantação de monitoramento on-line de buchas do VNTF6-02</t>
  </si>
  <si>
    <t>0007992/2021</t>
  </si>
  <si>
    <t>Instalação de rede de comunicação para monitoramento nos transformadores e reatores de potência conectados ao SIN da subestação JAURU, contemplando switches, fibras ópticas, painéis, entre outros.</t>
  </si>
  <si>
    <t>0007996/2021</t>
  </si>
  <si>
    <t>Instalação de rede de comunicação para monitoramento nos transformadores e reatores de potência conectados ao SIN da subestação VILHENA, contemplando switches, fibras ópticas, painéis, entre outros.</t>
  </si>
  <si>
    <t>MG 230 kV VILHENA MG1 RO</t>
  </si>
  <si>
    <t>0007999/2021</t>
  </si>
  <si>
    <t>Implantação de monitoramento on-line de buchas do CXTF6-01</t>
  </si>
  <si>
    <t>CE 70/-50 Mvar COXIPO CE1 MT</t>
  </si>
  <si>
    <t>0008067/2021</t>
  </si>
  <si>
    <t>Instalação de rede de comunicação para monitoramento nos transformadores e reatores de potência conectados ao SIN da subestação COXIPO, contemplando switches, fibras ópticas, painéis, entre outros.</t>
  </si>
  <si>
    <t>0008072/2021</t>
  </si>
  <si>
    <t>REVITALIZAÇÃO DO DISJUNTOR AQDJ6-12. CORRIGIR FALHAS NO ACIONAMENTO DOS DISJUNTORES, COM A SUBSTITUIÇÃO DE PEÇAS (GATILHOS, AMORTECEDORES, MICROSWITCH, PROTEÇÕES DAS MOLAS DE ABERTURA E FECHAMENTO, DENTRE OUTROS) E REALIZAÇÃO DOS TESTES NECESSÁRIOS PARA COMPATIBILIZAÇÃO DOS POLOS AOS COMANDOS.</t>
  </si>
  <si>
    <t>0008077/2021</t>
  </si>
  <si>
    <t>N-S-ROJP-AQJPLT603-ELJP-JPDJ612</t>
  </si>
  <si>
    <t>REVITALIZAÇÃO DO DISJUNTOR AQDJ6-10. CORRIGIR FALHAS NO ACIONAMENTO DOS DISJUNTORES, COM A SUBSTITUIÇÃO DE PEÇAS (GATILHOS, AMORTECEDORES, MICROSWITCH, PROTEÇÕES DAS MOLAS DE ABERTURA E FECHAMENTO, DENTRE OUTROS) E REALIZAÇÃO DOS TESTES NECESSÁRIOS PARA COMPATIBILIZAÇÃO DOS POLOS AOS COMANDOS.</t>
  </si>
  <si>
    <t>RTL 230 kV 20 Mvar ARIQUEMES RT3 RO</t>
  </si>
  <si>
    <t>0008083/2021</t>
  </si>
  <si>
    <t>N-S-ROAQ-RE603-MC230-AQDJ610</t>
  </si>
  <si>
    <t>Substituição de 08 Painéis CC dos serviços auxiliares da SE ANGELIM e 4057 m de cabos de controle e potência.</t>
  </si>
  <si>
    <t>0008086/2021</t>
  </si>
  <si>
    <t>11420153</t>
  </si>
  <si>
    <t>Implantação de monitoramento on-line de buchas do NBAT6-01</t>
  </si>
  <si>
    <t>TR 230/138 kV NOBRES 100 MVA TR1 MT</t>
  </si>
  <si>
    <t>0008091/2021</t>
  </si>
  <si>
    <t>REVITALIZAÇÃO DO DISJUNTOR AQDJ6-11. CORRIGIR FALHAS NO ACIONAMENTO DOS DISJUNTORES, COM A SUBSTITUIÇÃO DE PEÇAS (GATILHOS, AMORTECEDORES, MICROSWITCH, PROTEÇÕES DAS MOLAS DE ABERTURA E FECHAMENTO, DENTRE OUTROS) E REALIZAÇÃO DOS TESTES NECESSÁRIOS PARA COMPATIBILIZAÇÃO DOS POLOS AOS COMANDOS.</t>
  </si>
  <si>
    <t>0008101/2021</t>
  </si>
  <si>
    <t>N-S-ROAQ-SMAQLT603-ELAQ-AQDJ611</t>
  </si>
  <si>
    <t>Substituição de 12 Painéis CA dos serviços auxiliares da SE ANGELIM e 6086 m de cabos de controle e potência.</t>
  </si>
  <si>
    <t>0008105/2021</t>
  </si>
  <si>
    <t>11420154</t>
  </si>
  <si>
    <t>REVITALIZAÇÃO DO DISJUNTOR SMDJ6-06. CORRIGIR FALHAS NO ACIONAMENTO DOS DISJUNTORES, COM A SUBSTITUIÇÃO DE PEÇAS (GATILHOS, AMORTECEDORES, MICROSWITCH, PROTEÇÕES DAS MOLAS DE ABERTURA E FECHAMENTO, DENTRE OUTROS) E REALIZAÇÃO DOS TESTES NECESSÁRIOS PARA COMPATIBILIZAÇÃO DOS POLOS AOS COMANDOS.</t>
  </si>
  <si>
    <t>0008108/2021</t>
  </si>
  <si>
    <t>N-S-ROSM-SMAQLT603-ELSM-SMDJ606</t>
  </si>
  <si>
    <t>REVITALIZAÇÃO DO DISJUNTOR SMDJ6-11. CORRIGIR FALHAS NO ACIONAMENTO DOS DISJUNTORES, COM A SUBSTITUIÇÃO DE PEÇAS (GATILHOS, AMORTECEDORES, MICROSWITCH, PROTEÇÕES DAS MOLAS DE ABERTURA E FECHAMENTO, DENTRE OUTROS) E REALIZAÇÃO DOS TESTES NECESSÁRIOS PARA COMPATIBILIZAÇÃO DOS POLOS AOS COMANDOS.</t>
  </si>
  <si>
    <t>0008116/2021</t>
  </si>
  <si>
    <t>N-S-ROSM-SMPVLT603-ELSM-SMDJ611</t>
  </si>
  <si>
    <t>REVITALIZAÇÃO DO DISJUNTOR PVDJ6-08. CORRIGIR FALHAS NO ACIONAMENTO DOS DISJUNTORES, COM A SUBSTITUIÇÃO DE PEÇAS (GATILHOS, AMORTECEDORES, MICROSWITCH, PROTEÇÕES DAS MOLAS DE ABERTURA E FECHAMENTO, DENTRE OUTROS) E REALIZAÇÃO DOS TESTES NECESSÁRIOS PARA COMPATIBILIZAÇÃO DOS POLOS AOS COMANDOS.</t>
  </si>
  <si>
    <t>0008121/2021</t>
  </si>
  <si>
    <t>N-S-ROPV-SMPVLT603-ELPV-PVDJ608</t>
  </si>
  <si>
    <t>SUBSTITUIÇÃO DO TRANSFORMADOR DE CORRENTE DE 500kV, FASE "V" DO BAY DO BANCO DE REATORES DE LINHA IZRE7-02.</t>
  </si>
  <si>
    <t>IZRE7-02</t>
  </si>
  <si>
    <t>0008143/2021</t>
  </si>
  <si>
    <t>N-S-MAIZ-IZPDLT701-MCIZRE702-IZTC701</t>
  </si>
  <si>
    <t>SUBSTITUIÇÃO DO TRANSFORMADOR DE CORRENTE DE 500kV, FASE "A" DO BAY DO BANCO DE REATORES DE LINHA IZRE7-02.</t>
  </si>
  <si>
    <t>0008151/2021</t>
  </si>
  <si>
    <t>Implantação de monitoramento on-line de buchas do NBAT6-02</t>
  </si>
  <si>
    <t>TR 230/138 kV NOBRES 100 MVA TR2 MT</t>
  </si>
  <si>
    <t>0008196/2021</t>
  </si>
  <si>
    <t>Implantação de monitoramento on-line de buchas do PBRE6-04</t>
  </si>
  <si>
    <t>0008198/2021</t>
  </si>
  <si>
    <t>Instalação de rede de comunicação para monitoramento nos transformadores e reatores de potência conectados ao SIN da subestação NOBRES, contemplando switches, fibras ópticas, painéis, entre outros.</t>
  </si>
  <si>
    <t>MG NOBRES / CCO-2001-058 - RB</t>
  </si>
  <si>
    <t>0008200/2021</t>
  </si>
  <si>
    <t>Implantação de monitoramento on-line de buchas do PBRE6-02</t>
  </si>
  <si>
    <t>RT 230 kV 20 Mvar PIMENTA BUENO RT2 RO</t>
  </si>
  <si>
    <t>0008201/2021</t>
  </si>
  <si>
    <t>Implantação de monitoramento on-line de buchas do RPAT6-01</t>
  </si>
  <si>
    <t>TR 230/138 kV RONDONOPOLIS TR1 MT</t>
  </si>
  <si>
    <t>0008202/2021</t>
  </si>
  <si>
    <t>Implantação de monitoramento on-line de buchas do PBRE6-01</t>
  </si>
  <si>
    <t>LT 230 kV JI-PARANA /PIMENTA BUENO C-1 RO</t>
  </si>
  <si>
    <t>0008205/2021</t>
  </si>
  <si>
    <t>Implantação de monitoramento on-line de buchas do RPRE6-02</t>
  </si>
  <si>
    <t>LT 230 kV BARRA PEIXE /RONDONOPOLIS C-1</t>
  </si>
  <si>
    <t>0008207/2021</t>
  </si>
  <si>
    <t>Implantação de monitoramento on-line de buchas do PBAT6-02</t>
  </si>
  <si>
    <t>TR 230/138 kV PIMENTA BUENO ATR2 RO</t>
  </si>
  <si>
    <t>0008211/2021</t>
  </si>
  <si>
    <t>Implantação de monitoramento on-line de buchas do RPRE6-03</t>
  </si>
  <si>
    <t>RT 230 kV 30 Mvar RONDONOPOLIS 3 MT</t>
  </si>
  <si>
    <t>0008212/2021</t>
  </si>
  <si>
    <t>Substituição do Transformador de Corrente 500kV do TCDJ7-05 Fase V - Vão EY1</t>
  </si>
  <si>
    <t>0008215/2021</t>
  </si>
  <si>
    <t>TCTC71V-DJ-TCDJ705</t>
  </si>
  <si>
    <t>Instalação de rede de comunicação para monitoramento nos transformadores e reatores de potência conectados ao SIN da subestação RONDONÔPOLIS, contemplando switches, fibras ópticas, painéis, entre outros.</t>
  </si>
  <si>
    <t>0008217/2021</t>
  </si>
  <si>
    <t>Substituição do Transformador de Corrente 500kV do TCDJ7-05 Fase B - Vão EY1</t>
  </si>
  <si>
    <t>0008218/2021</t>
  </si>
  <si>
    <t>TCTC71B-DJ-TCDJ705</t>
  </si>
  <si>
    <t>Substituição do Transformador de Corrente 500kV do TCDJ7-05 Fase A - Vão EY1</t>
  </si>
  <si>
    <t>0008222/2021</t>
  </si>
  <si>
    <t>TCTC71A-DJ-TCDJ705</t>
  </si>
  <si>
    <t>Implantação de monitoramento on-line de buchas do BPAT6-03</t>
  </si>
  <si>
    <t>TR 230/138 kV BARRA PEIXE TR3 MT</t>
  </si>
  <si>
    <t>0008225/2021</t>
  </si>
  <si>
    <t>Substituição do sistema de Proteção, Controle e Supervisão do serviço auxiliar da SE Vila do Conde.</t>
  </si>
  <si>
    <t>MG 500 kV VILA DO CONDE MG1 PA</t>
  </si>
  <si>
    <t>0008228/2021</t>
  </si>
  <si>
    <t>SPCS-SEAUX-VC</t>
  </si>
  <si>
    <t>SUBSTITUIÇÃO DO TRANSFORMADOR DE CORRENTE DE 500kV, FASE "A" DO BAY DO BANCO DE REATORES DE LINHA PDRE7-06.</t>
  </si>
  <si>
    <t>PDRE7-06</t>
  </si>
  <si>
    <t>0008230/2021</t>
  </si>
  <si>
    <t>N-S-MAPD-PDBELI701-MCPDRE706-PDTC701</t>
  </si>
  <si>
    <t>Instalação de rede de comunicação para monitoramento nos transformadores e reatores de potência conectados ao SIN da subestação BARRA DO PEIXE, contemplando switches, fibras ópticas, painéis, entre outros.</t>
  </si>
  <si>
    <t>0008233/2021</t>
  </si>
  <si>
    <t>Substituição do sistema de Proteção, Controle e Supervisão do serviço auxiliar da SE UTINGA</t>
  </si>
  <si>
    <t>MG 230 kV UTINGA MG1 PA</t>
  </si>
  <si>
    <t>0008235/2021</t>
  </si>
  <si>
    <t>SPCS-SEAUX-UG</t>
  </si>
  <si>
    <t>SUBSTITUIÇÃO DO TRANSFORMADOR DE CORRENTE DE 500kV, FASE "B" DO BAY DO BANCO DE REATORES DE LINHA PDRE7-06.</t>
  </si>
  <si>
    <t>0008238/2021</t>
  </si>
  <si>
    <t>Substituição do sistema de Paralelismo dos transformadores VCAT7-01 e VCAT7-02.</t>
  </si>
  <si>
    <t>0008239/2021</t>
  </si>
  <si>
    <t>SPCS - AT7-01-02</t>
  </si>
  <si>
    <t>SUBSTITUIÇÃO DO TRANSFORMADOR DE CORRENTE DE 500kV, FASE "V" DO BAY DO REATOR DE LINHA PDRE7-05.</t>
  </si>
  <si>
    <t>PDRE7-05</t>
  </si>
  <si>
    <t>0008240/2021</t>
  </si>
  <si>
    <t>N-S-MAPD-PDBELI701-MCPDRE705-PDTC701</t>
  </si>
  <si>
    <t>Implantação de monitoramento on-line de buchas do PBAT6-01</t>
  </si>
  <si>
    <t>TR 230/138 kV PIMENTA BUENO ATR1 RO</t>
  </si>
  <si>
    <t>0008243/2021</t>
  </si>
  <si>
    <t>SUBSTITUIÇÃO DO TRANSFORMADOR DE CORRENTE DE 500kV, FASE "B" DO BAY DO REATOR DE LINHA PDRE7-05.</t>
  </si>
  <si>
    <t>0008246/2021</t>
  </si>
  <si>
    <t>Substituição do Sistema de Proteção, Controle e Supervisão - SPCS da MBCS2-02.</t>
  </si>
  <si>
    <t>0008247/2021</t>
  </si>
  <si>
    <t>Instalação de rede de comunicação para monitoramento nos transformadores e reatores de potência conectados ao SIN da subestação PIMENTA BUENO, contemplando switches, fibras ópticas, painéis, entre outros.</t>
  </si>
  <si>
    <t>0008249/2021</t>
  </si>
  <si>
    <t>Implantação de monitoramento on-line de buchas do JIRE6-04</t>
  </si>
  <si>
    <t>RT 230 kV 20 Mvar JI-PARANA RT4 RO</t>
  </si>
  <si>
    <t>0008252/2021</t>
  </si>
  <si>
    <t>SUBSTITUIR O TRANSFORMADOR DE CORRENTE FASE B ASSOCIADO AO REATOR 706</t>
  </si>
  <si>
    <t>0008253/2021</t>
  </si>
  <si>
    <t>N-S-MAIZ-RE706-MC500-IZTC701</t>
  </si>
  <si>
    <t>Implantação de monitoramento on-line de buchas do JIRE6-03</t>
  </si>
  <si>
    <t>RT 230 kV 20 Mvar JI-PARANA 3 RO</t>
  </si>
  <si>
    <t>0008254/2021</t>
  </si>
  <si>
    <t>Implantação de monitoramento on-line de buchas do JITF6-03</t>
  </si>
  <si>
    <t>TR 230/69 kV JI-PARANA TF3 RO</t>
  </si>
  <si>
    <t>0008259/2021</t>
  </si>
  <si>
    <t>Substituição do Transformador de Corrente 500kV do TCDJ7-16 Fase A - Vão AX</t>
  </si>
  <si>
    <t>Sem Função Transmissão</t>
  </si>
  <si>
    <t>0008261/2021</t>
  </si>
  <si>
    <t>TCTC7FA-DJ-TCDJ716</t>
  </si>
  <si>
    <t>Implantação de monitoramento on-line de buchas do JIAT6-02</t>
  </si>
  <si>
    <t>TR 230/138 kV JI-PARANA ATR2 RO</t>
  </si>
  <si>
    <t>0008263/2021</t>
  </si>
  <si>
    <t>Instalação de rede de comunicação para monitoramento nos transformadores e reatores de potência conectados ao SIN da subestação JI-PARANÁ, contemplando switches, fibras ópticas, painéis, entre outros.</t>
  </si>
  <si>
    <t>MG JI-PARANA / CCO-2017-049 - RB</t>
  </si>
  <si>
    <t>0008268/2021</t>
  </si>
  <si>
    <t>C. MAGALHAES</t>
  </si>
  <si>
    <t>Implantação de monitoramento on-line de buchas do CNRE5-01</t>
  </si>
  <si>
    <t>sem função</t>
  </si>
  <si>
    <t>0008272/2021</t>
  </si>
  <si>
    <t>Implantação de monitoramento on-line de buchas do JRTF6-01</t>
  </si>
  <si>
    <t>TR 230/69 kV JARU 1 RO</t>
  </si>
  <si>
    <t>0008274/2021</t>
  </si>
  <si>
    <t>Implantação de monitoramento on-line de buchas do CNRE5-02</t>
  </si>
  <si>
    <t>0008275/2021</t>
  </si>
  <si>
    <t>Instalação de rede de comunicação para monitoramento nos transformadores e reatores de potência conectados ao SIN da subestação JARU, contemplando switches, fibras ópticas, painéis, entre outros.</t>
  </si>
  <si>
    <t>MG JARU / CCO-2017-049 - RB</t>
  </si>
  <si>
    <t>0008281/2021</t>
  </si>
  <si>
    <t>Instalação de rede de comunicação para monitoramento nos transformadores e reatores de potência conectados ao SIN da subestação COUTO MAGALHÃES, contemplando switches, fibras ópticas, painéis, entre outros.</t>
  </si>
  <si>
    <t>SEM FT</t>
  </si>
  <si>
    <t>0008285/2021</t>
  </si>
  <si>
    <t>Implantação de monitoramento on-line de buchas do AQRE6-03</t>
  </si>
  <si>
    <t>RT 230 kV 20 Mvar ARIQUEMES 3 RO</t>
  </si>
  <si>
    <t>0008289/2021</t>
  </si>
  <si>
    <t>SUBSTITUIR O TRANSFORMADOR DE CORRENTE FASE A  ASSOCIADO AO REATOR 706</t>
  </si>
  <si>
    <t>0008291/2021</t>
  </si>
  <si>
    <t>Implantação de monitoramento on-line de buchas do AQTF6-02</t>
  </si>
  <si>
    <t>TR 230/69 kV ARIQUEMES TF2 RO</t>
  </si>
  <si>
    <t>0008293/2021</t>
  </si>
  <si>
    <t>Implantação de monitoramento on-line de buchas do CNTF5-01</t>
  </si>
  <si>
    <t>0008295/2021</t>
  </si>
  <si>
    <t>0008296/2021</t>
  </si>
  <si>
    <t>N-S-MAIZ-MG701-IB500IB3-IZTC702</t>
  </si>
  <si>
    <t>Implantação de monitoramento on-line de buchas do AQTF6-01</t>
  </si>
  <si>
    <t>TR 230/69 kV ARIQUEMES TF1 RO</t>
  </si>
  <si>
    <t>0008299/2021</t>
  </si>
  <si>
    <t>Substituição do Transformador de Corrente 500kV do TCDJ7-16 Fase V - Vão AX</t>
  </si>
  <si>
    <t>0008301/2021</t>
  </si>
  <si>
    <t>TCTC7FV-DJ-TCDJ716</t>
  </si>
  <si>
    <t>SUBSTITUIR O TRANSFORMADOR DE CORRENTE FASE 1B ASSOCIADO A  INTERLIGAÇÃO DE BARRA 3 (DJ707)</t>
  </si>
  <si>
    <t>0008302/2021</t>
  </si>
  <si>
    <t>N-S-MAIZ-MG701-IB500IB3-IZTC701</t>
  </si>
  <si>
    <t>Instalação de rede de comunicação para monitoramento nos transformadores e reatores de potência conectados ao SIN da subestação ARIQUEMES, contemplando switches, fibras ópticas, painéis, entre outros.</t>
  </si>
  <si>
    <t>MG ARIQUEMES / CCO-2017-049 - RB</t>
  </si>
  <si>
    <t>0008304/2021</t>
  </si>
  <si>
    <t>SUBSTITUIR O TRANSFORMADOR DE CORRENTE FASE 1A  ASSOCIADO A INTERLIGAÇÃO DE BARRAS 3 (DJ707)</t>
  </si>
  <si>
    <t>0008305/2021</t>
  </si>
  <si>
    <t>SUBSTITUIR O TRANSFORMADOR DE CORRENTE FASE 2A  ASSOCIADO A INTERLIGAÇÃO DE BARRA  1 (DJ701)</t>
  </si>
  <si>
    <t>0008311/2021</t>
  </si>
  <si>
    <t>N-S-MAIZ-MG701-IB500IB1-IZTC702</t>
  </si>
  <si>
    <t>Implantação de monitoramento on-line de buchas do ANRE6-05</t>
  </si>
  <si>
    <t>LT 230 kV ABUNA / RIO BRANCO I C 1 RO/AC</t>
  </si>
  <si>
    <t>0008319/2021</t>
  </si>
  <si>
    <t>Implantação de monitoramento on-line de buchas do ANRE6-04</t>
  </si>
  <si>
    <t>RT 230 kV 30 Mvar ABUNA RT4 RO</t>
  </si>
  <si>
    <t>0008322/2021</t>
  </si>
  <si>
    <t>Substituição do Transformador de Corrente 500kV do TCDJ7-16 Fase B - Vão AX</t>
  </si>
  <si>
    <t>0008326/2021</t>
  </si>
  <si>
    <t>TCTC7FB-DJ-TCDJ716</t>
  </si>
  <si>
    <t>Implantação de monitoramento on-line de buchas do ANRE6-03</t>
  </si>
  <si>
    <t>LT 230 kV ABUNA /PORTO VELHO C-2 RO</t>
  </si>
  <si>
    <t>0008331/2021</t>
  </si>
  <si>
    <t>SAO LUIS III</t>
  </si>
  <si>
    <t>Implantação de monitoramento on-line de buchas do LTTF6-02</t>
  </si>
  <si>
    <t>TR 230 / 69 kV SAO LUIS III 2 MA</t>
  </si>
  <si>
    <t>0008354/2021</t>
  </si>
  <si>
    <t>Instalação de rede de comunicação para monitoramento nos transformadores e reatores de potência conectados ao SIN da subestação SÃO LUIS III, contemplando switches, fibras ópticas, painéis, entre outros.</t>
  </si>
  <si>
    <t>MG SAO LUIS III / CCO-2008-007 - RB</t>
  </si>
  <si>
    <t>0008358/2021</t>
  </si>
  <si>
    <t>LT 230 kV VILA DO CONDE /GUAMA C-2 PA</t>
  </si>
  <si>
    <t>Substituição do Sistema de Proteção, Controle e Supervisão - SPCS da linha VCGM-LT6-02.</t>
  </si>
  <si>
    <t>0008434/2021</t>
  </si>
  <si>
    <t>SPCS-VCGM-LT6-02</t>
  </si>
  <si>
    <t>LT 230 kV VILA DO CONDE /GUAMA C-1 PA</t>
  </si>
  <si>
    <t>Substituição do Sistema de Proteção, Controle e Supervisão - SPCS da linha VCGM-LT6-01.</t>
  </si>
  <si>
    <t>0008436/2021</t>
  </si>
  <si>
    <t>SPCS-VCGM-LT6-01</t>
  </si>
  <si>
    <t>LT 230 kV CASTANHAL /SANTA MARIA C-2 PA</t>
  </si>
  <si>
    <t>Substituição do sistema de Proteção, Controle e Supervisão - SPCS da linha SRCN-LI6-02 na SE Santa Maria.</t>
  </si>
  <si>
    <t>0008437/2021</t>
  </si>
  <si>
    <t>SPCS-SRCN-LI6-02</t>
  </si>
  <si>
    <t>LT 230 kV MARITUBA /UTINGA C-2 PA</t>
  </si>
  <si>
    <t>Substituição do Sistema de Proteção, Controle e Supervisão - SPCS da linha UGMT-LI6-02.</t>
  </si>
  <si>
    <t>0008440/2021</t>
  </si>
  <si>
    <t>SPCS-UGMT-LI6-02</t>
  </si>
  <si>
    <t>LT 230 kV MARITUBA /UTINGA C-1 PA</t>
  </si>
  <si>
    <t>Substituição do Sistema de Proteção, Controle e Supervisão - SPCS da linha UGMT-LI6-01.</t>
  </si>
  <si>
    <t>0008441/2021</t>
  </si>
  <si>
    <t>SPCS-UGMT-LI6-01</t>
  </si>
  <si>
    <t>LT 230 kV GUAMA /MARITUBA C-2 PA</t>
  </si>
  <si>
    <t>Substituição do Sistema de Proteção, Controle e Supervisão - SPCS da linha GMMT-LI6-02.</t>
  </si>
  <si>
    <t>0008443/2021</t>
  </si>
  <si>
    <t>SPCS-GMMT-LI6-02</t>
  </si>
  <si>
    <t>Substituição do Sistema de Proteção, Controle e Supervisão - SPCS do Serviço Auxiliar da SE Guamá</t>
  </si>
  <si>
    <t>0008446/2021</t>
  </si>
  <si>
    <t>SPCS - SEAUX-GM</t>
  </si>
  <si>
    <t>Substituição do Sistema de Proteção, Controle e Supervisão - SPCS da linha GMVC-LT6-02</t>
  </si>
  <si>
    <t>0008447/2021</t>
  </si>
  <si>
    <t>Substituição do Sistema de Proteção, Controle e Supervisão - SPCS da linha GMVC-LT6-01.</t>
  </si>
  <si>
    <t>0008448/2021</t>
  </si>
  <si>
    <t>Substituição dos sistema de proteção e controle de linha de transmissão PDBE-LI701 - terminal Pres. Dutra</t>
  </si>
  <si>
    <t>0008458/2021</t>
  </si>
  <si>
    <t>N-S-MAPD-PDBELI701-ELPD-PDSPRPR</t>
  </si>
  <si>
    <t>Substituição dos sistemas de proteção e controle do vão PDTS-LI702</t>
  </si>
  <si>
    <t>LT 500 kV TERESINA II /P.DUTRA C-2 PI/MA</t>
  </si>
  <si>
    <t>0008464/2021</t>
  </si>
  <si>
    <t>N-S-MAPD-TSPDLI702-ELPD-PDSPRPR</t>
  </si>
  <si>
    <t>SUBSTITUIR O TRANSFORMADOR DE CORRENTE FASE A  ASSOCIADO AO DISJUNTOR 603</t>
  </si>
  <si>
    <t>0008477/2021</t>
  </si>
  <si>
    <t>N-S-MAIZ-AT701-MC230-DJ603-IZTC601 (A)</t>
  </si>
  <si>
    <t>SUBSTITUIR O TRANSFORMADOR DE CORRENTE FASE B  ASSOCIADO AO DISJUNTOR 603</t>
  </si>
  <si>
    <t>0008478/2021</t>
  </si>
  <si>
    <t>N-S-MAIZ-AT701-MC230-DJ603-IZTC601 (B)</t>
  </si>
  <si>
    <t>SUBSTITUIR O TRANSFORMADOR DE CORRENTE FASE A  ASSOCIADO AO DISJUNTOR 604</t>
  </si>
  <si>
    <t>0008479/2021</t>
  </si>
  <si>
    <t>N-S-MAIZ-AT701-MC230-DJ604-IZTC601 (A)</t>
  </si>
  <si>
    <t>SUBSTITUIÇÃO DO TRANSFORMADOR DE CORRENTE DE 500kV, FASE "V" DO BAY DO REATOR DE LINHA PDRE7-04.</t>
  </si>
  <si>
    <t>0008476/2021</t>
  </si>
  <si>
    <t>N-S-MAPD-IZPDLT701-MCPDRE704-PDTC701</t>
  </si>
  <si>
    <t>SUBSTITUIÇÃO DO TRANSFORMADOR DE CORRENTE DE 500kV, FASE "B" DO BAY DO REATOR DE LINHA PDRE7-04.</t>
  </si>
  <si>
    <t>0008480/2021</t>
  </si>
  <si>
    <t>SUBSTITUIR O TRANSFORMADOR DE CORRENTE FASE B  ASSOCIADO AO BAY IZPFLT601</t>
  </si>
  <si>
    <t>0008481/2021</t>
  </si>
  <si>
    <t>N-S-MAIZ-IZPFLT601-ELIZ-IZTC601 (B)</t>
  </si>
  <si>
    <t>SUBSTITUIÇÃO DO TRANSFORMADOR DE CORRENTE DE 500kV, FASE "A" DO BAY DO REATOR DE LINHA PDRE7-05.</t>
  </si>
  <si>
    <t>0008482/2021</t>
  </si>
  <si>
    <t>SUBSTITUIR O TRANSFORMADOR DE CORRENTE FASE B  ASSOCIADO AO TF604</t>
  </si>
  <si>
    <t>0008483/2021</t>
  </si>
  <si>
    <t>N-S-MAIZ-TF604-MC230-IZTC601 (B)</t>
  </si>
  <si>
    <t>Implantação de monitoramento on-line de buchas do PDRE7-05</t>
  </si>
  <si>
    <t>0008495/2021</t>
  </si>
  <si>
    <t>Implantação de monitoramento on-line de buchas do PDRE7-06</t>
  </si>
  <si>
    <t>0008497/2021</t>
  </si>
  <si>
    <t>Implantação de monitoramento on-line de buchas do PDRE7-03</t>
  </si>
  <si>
    <t>0008501/2021</t>
  </si>
  <si>
    <t>Implantação de monitoramento on-line de buchas do PDRE7-02</t>
  </si>
  <si>
    <t>0008504/2021</t>
  </si>
  <si>
    <t>Implantação de monitoramento on-line de buchas do IZTF6-04</t>
  </si>
  <si>
    <t>0008539/2021</t>
  </si>
  <si>
    <t>Implantação de monitoramento on-line de buchas do IZRE7-12</t>
  </si>
  <si>
    <t>0008544/2021</t>
  </si>
  <si>
    <t>Implantação de monitoramento on-line de buchas do IZRE7-02</t>
  </si>
  <si>
    <t>0008547/2021</t>
  </si>
  <si>
    <t>Implantação de monitoramento on-line de buchas do IZRE7-03</t>
  </si>
  <si>
    <t>0008552/2021</t>
  </si>
  <si>
    <t>Implantação de monitoramento on-line de buchas do IZRE7-14</t>
  </si>
  <si>
    <t>RT 500 kV 163 Mvar IMPERATRIZ RT14 MA</t>
  </si>
  <si>
    <t>0008559/2021</t>
  </si>
  <si>
    <t>Instalação de rede de comunicação para monitoramento nos transformadores e reatores de potência conectados ao SIN da subestação IMPERATRIZ, contemplando switches, fibras ópticas, painéis, entre outros.</t>
  </si>
  <si>
    <t>MG IMPERATRIZ / CCO-2000-095 - RB</t>
  </si>
  <si>
    <t>0008561/2021</t>
  </si>
  <si>
    <t>SUBSTITUIR O TRANSFORMADOR DE CORRENTE FASE V  ASSOCIADO AO BAY IZPD-LT702.</t>
  </si>
  <si>
    <t>0008571/2021</t>
  </si>
  <si>
    <t>N-S-MAIZ-IZPDLT702-MCIZRE704-IZTC701</t>
  </si>
  <si>
    <t>Substituição do Sistema de Proteção, Controle e Supervisão da linha Guamá-Marituba C1.</t>
  </si>
  <si>
    <t>LT 230 kV GUAMA / MARITUBA C 1 PA</t>
  </si>
  <si>
    <t>0008574/2021</t>
  </si>
  <si>
    <t>SPCS-GMMT-LI6-01</t>
  </si>
  <si>
    <t>Substituição das buchas do terciário (13,8kV) do autotransformador LDAT7-01, fase A</t>
  </si>
  <si>
    <t>0008597/2021</t>
  </si>
  <si>
    <t>N-S-MALD-AT701-AT500-LDAT701</t>
  </si>
  <si>
    <t>Substituição das cadeias Principal e Alternada da Proteção e Controle de Barras 2 de 230kV (PA-CPVC-VC-SEVC-BR602-SPRBR).</t>
  </si>
  <si>
    <t>0008596/2021</t>
  </si>
  <si>
    <t>SPCS-UPDBII-230 KV</t>
  </si>
  <si>
    <t>Substituição das cadeias Principal e Alternada da Proteção e Controle de Barras1 de 230kV (PA-CPVC-VC-SEVC-BR601-SPRBR).</t>
  </si>
  <si>
    <t>0008600/2021</t>
  </si>
  <si>
    <t>SPCS-UPDBI-230 KV</t>
  </si>
  <si>
    <t>Substituição das cadeias Principal e Alternada da Proteção e Controle de Barras 2 de 500kV (PA-CPVC-VC-SEVC-BR702-SPRBR)</t>
  </si>
  <si>
    <t>0008607/2021</t>
  </si>
  <si>
    <t>SPCS-UPDBII-500 KV</t>
  </si>
  <si>
    <t>Implantação de monitoramento on-line de buchas do GMTF6-03</t>
  </si>
  <si>
    <t>TR 230/69 kV GUAMA TF3 PA</t>
  </si>
  <si>
    <t>0008623/2021</t>
  </si>
  <si>
    <t>Substituição das cadeias Principal e Alternada da Proteção e Controle de Barras1 de 500kV (PA-CPVC-VC-SEVC-BR701-SPRBR)</t>
  </si>
  <si>
    <t>0008624/2021</t>
  </si>
  <si>
    <t>SPCS-UPDBI-500 KV</t>
  </si>
  <si>
    <t>Instalação de rede de comunicação para monitoramento nos transformadores e reatores de potência conectados ao SIN da subestação GUAMÁ, contemplando switches, fibras ópticas, painéis, entre outros.</t>
  </si>
  <si>
    <t>0008627/2021</t>
  </si>
  <si>
    <t>Implantação de monitoramento on-line de buchas do MMTF6-01</t>
  </si>
  <si>
    <t>TR 230 / 69 kV MIRAMAR 1 PA</t>
  </si>
  <si>
    <t>0008632/2021</t>
  </si>
  <si>
    <t>Implantação de monitoramento on-line de buchas do MMTF6-02</t>
  </si>
  <si>
    <t>TR 230 / 69 kV MIRAMAR 2 PA</t>
  </si>
  <si>
    <t>0008636/2021</t>
  </si>
  <si>
    <t>Implantação de monitoramento on-line de buchas do MMTF6-03</t>
  </si>
  <si>
    <t>TR 230 / 69 kV MIRAMAR 3 PA</t>
  </si>
  <si>
    <t>0008639/2021</t>
  </si>
  <si>
    <t>Instalação de rede de comunicação para monitoramento nos transformadores e reatores de potência conectados ao SIN da subestação MIRAMAR, contemplando switches, fibras ópticas, painéis, entre outros.</t>
  </si>
  <si>
    <t>MG MIRAMAR / CCO-2001-058 - RB</t>
  </si>
  <si>
    <t>0008643/2021</t>
  </si>
  <si>
    <t>Implantação de monitoramento on-line de buchas do SRAT6-01</t>
  </si>
  <si>
    <t>TR 230/138 kV SANTA MARIA TR1 PA</t>
  </si>
  <si>
    <t>0008648/2021</t>
  </si>
  <si>
    <t>Implantação de monitoramento on-line de buchas do SRAT6-02</t>
  </si>
  <si>
    <t>TR 230/138 kV SANTA MARIA TR2 PA</t>
  </si>
  <si>
    <t>0008658/2021</t>
  </si>
  <si>
    <t>Implantação de monitoramento on-line de buchas do SRTF6-01</t>
  </si>
  <si>
    <t>TR 230/69 kV SANTA MARIA TF1 PA</t>
  </si>
  <si>
    <t>0008664/2021</t>
  </si>
  <si>
    <t>Implantação de monitoramento on-line de buchas do SRTF6-02</t>
  </si>
  <si>
    <t>TR 230/69 kV SANTA MARIA TF2 PA</t>
  </si>
  <si>
    <t>0008671/2021</t>
  </si>
  <si>
    <t>0008673/2021</t>
  </si>
  <si>
    <t>SPCS-MBCJ-LT6-01</t>
  </si>
  <si>
    <t>Instalação de rede de comunicação para monitoramento nos transformadores e reatores de potência conectados ao SIN da subestação SANTA MARIA, contemplando switches, fibras ópticas, painéis, entre outros.</t>
  </si>
  <si>
    <t>0008674/2021</t>
  </si>
  <si>
    <t>Implantação de monitoramento on-line de buchas do ANAT6-02</t>
  </si>
  <si>
    <t>TR 230/138 kV ABUNA ATR2 RO</t>
  </si>
  <si>
    <t>0008756/2021</t>
  </si>
  <si>
    <t>Instalação de rede de comunicação para monitoramento nos transformadores e reatores de potência conectados ao SIN da subestação ABUNÃ, contemplando switches, fibras ópticas, painéis, entre outros.</t>
  </si>
  <si>
    <t>0008762/2021</t>
  </si>
  <si>
    <t>Implantação de monitoramento on-line de buchas doMBAT7-01</t>
  </si>
  <si>
    <t>0008767/2021</t>
  </si>
  <si>
    <t>Implantação de monitoramento on-line de buchas do RBRE6-03</t>
  </si>
  <si>
    <t>LT 230 kV ABUNA /RIO BRANCO 1 C-2 RO/AC</t>
  </si>
  <si>
    <t>0008772/2021</t>
  </si>
  <si>
    <t>Implantação de monitoramento on-line de buchas do RBRE6-01</t>
  </si>
  <si>
    <t>RT 230 kV 30 Mvar RIO BRANCO I RT1 AC</t>
  </si>
  <si>
    <t>0008778/2021</t>
  </si>
  <si>
    <t>Implantação de monitoramento on-line de buchas do MBTF6-03.</t>
  </si>
  <si>
    <t>0008785/2021</t>
  </si>
  <si>
    <t>Implantação de monitoramento on-line de buchas do RBAT6-01</t>
  </si>
  <si>
    <t>TR 230/138 kV RIO BRANCO I ATR1 AC</t>
  </si>
  <si>
    <t>0008787/2021</t>
  </si>
  <si>
    <t>Instalação de rede de comunicação para monitoramento nos transformadores e reatores de potência conectados ao SIN da subestação RIO BRANCO I, contemplando switches, fibras ópticas, painéis, entre outros.</t>
  </si>
  <si>
    <t>0008793/2021</t>
  </si>
  <si>
    <t>Implantação de monitoramento on-line de buchas do MBRE7-01</t>
  </si>
  <si>
    <t>0008797/2021</t>
  </si>
  <si>
    <t>SUBSTITUIR O TRANSFORMADOR DE CORRENTE FASE B ASSOCIADO AO DISJUNTOR 604</t>
  </si>
  <si>
    <t>0008800/2021</t>
  </si>
  <si>
    <t>N-S-MAIZ-AT701-MC230-DJ604-IZTC601 (B)</t>
  </si>
  <si>
    <t>Substituição do Grupo Gerador Auxiliar de Emergência   GRUPO GERADOR DIESEL-03 723KVA</t>
  </si>
  <si>
    <t>CV 600/600 kV ARARAQUARA 2 CC1 SP</t>
  </si>
  <si>
    <t>0008805/2021</t>
  </si>
  <si>
    <t>GGD3 POLO I</t>
  </si>
  <si>
    <t>SUBSTITUIR O TRANSFORMADOR DE CORRENTE FASE A  ASSOCIADO AO BAY IZPFLT601</t>
  </si>
  <si>
    <t>0008815/2021</t>
  </si>
  <si>
    <t>N-S-MAIZ-IZPFLT601-ELIZ-IZTC601 (A)</t>
  </si>
  <si>
    <t>Implantação de monitoramento on-line de buchas do MBRE7-02</t>
  </si>
  <si>
    <t>0008817/2021</t>
  </si>
  <si>
    <t>Implantação de monitoramento on-line de buchas do ATTF6-03</t>
  </si>
  <si>
    <t>TR 230/ 69 kV ALTAMIRA TF3 PA</t>
  </si>
  <si>
    <t>0008822/2021</t>
  </si>
  <si>
    <t>Implantação de monitoramento on-line de buchas do MBRE7-03</t>
  </si>
  <si>
    <t>0008823/2021</t>
  </si>
  <si>
    <t>Implantação de monitoramento on-line de buchas do ATTF6-02</t>
  </si>
  <si>
    <t>TR 230/69 kV ALTAMIRA TF2 PA</t>
  </si>
  <si>
    <t>0008825/2021</t>
  </si>
  <si>
    <t>Implantação de monitoramento on-line de buchas do MBRE7-04</t>
  </si>
  <si>
    <t>0008828/2021</t>
  </si>
  <si>
    <t>Implantação de monitoramento on-line de buchas do ATTF6-01</t>
  </si>
  <si>
    <t>TR 230/69 kV ALTAMIRA TF1 PA</t>
  </si>
  <si>
    <t>0008830/2021</t>
  </si>
  <si>
    <t>Instalação de rede de comunicação para monitoramento nos transformadores e reatores de potência conectados ao SIN da subestação ALTAMIRA, contemplando switches, fibras ópticas, painéis, entre outros.</t>
  </si>
  <si>
    <t>0008834/2021</t>
  </si>
  <si>
    <t>SUBSTITUIR O TRANSFORMADOR DE CORRENTE FASE A  ASSOCIADO AO TF603</t>
  </si>
  <si>
    <t>TR 230/69 kV IMPERATRIZ TF3 MA</t>
  </si>
  <si>
    <t>0008846/2021</t>
  </si>
  <si>
    <t>N-S-MAIZ-TF603-MC230-IZTC601 (A)</t>
  </si>
  <si>
    <t>Implantação de monitoramento on-line de buchas do MBRE7-09</t>
  </si>
  <si>
    <t>RT 500 kV 163 Mvar MARABA RT09 PA</t>
  </si>
  <si>
    <t>0008861/2021</t>
  </si>
  <si>
    <t>Instalação de sistemas de monitoramento on-line de gases dissolvido no óleo, no transformador TF2Y FASE B da subestação Araraquara II, em Araraquara - SP</t>
  </si>
  <si>
    <t>CV 600/600 kV ARARAQUARA 2 CC2 SP</t>
  </si>
  <si>
    <t>0008862/2021</t>
  </si>
  <si>
    <t>TF2Y FASE B</t>
  </si>
  <si>
    <t>Implantação de monitoramento on-line de buchas do TMRE6-01</t>
  </si>
  <si>
    <t>LT 230 kV TRANSAMAZONIC /RUROPOLIS C-1 PA</t>
  </si>
  <si>
    <t>0008868/2021</t>
  </si>
  <si>
    <t>Instalação de rede de comunicação para monitoramento nos transformadores e reatores de potência conectados ao SIN da subestação MARABÁ, contemplando switches, fibras ópticas, painéis, entre outros.</t>
  </si>
  <si>
    <t>MG MARABA / CCO-2001-042 - RB</t>
  </si>
  <si>
    <t>0008869/2021</t>
  </si>
  <si>
    <t>Instalação de sistemas de monitoramento on-line de gases dissolvido no óleo, no transformador TF2Y FASE C da subestação Araraquara II, em Araraquara - SP</t>
  </si>
  <si>
    <t>0008871/2021</t>
  </si>
  <si>
    <t>TF2Y FASE C</t>
  </si>
  <si>
    <t>Implantação de monitoramento on-line de buchas do TMTF6-01</t>
  </si>
  <si>
    <t>0008873/2021</t>
  </si>
  <si>
    <t>Implantação de monitoramento on-line de buchas do VCAT7-01</t>
  </si>
  <si>
    <t>0008879/2021</t>
  </si>
  <si>
    <t>SUBSTITUIÇÃO DOS CUBÍCULOS DE 125Vcc DO EDIFICIO DE SERVIÇOS AUXILIARES (ESA).</t>
  </si>
  <si>
    <t>TR 230/69 kV TUCURUI TR2 PA</t>
  </si>
  <si>
    <t>0008880/2021</t>
  </si>
  <si>
    <t>CUBICULO 125VCC-SACC - QC-125</t>
  </si>
  <si>
    <t>Instalação de rede de comunicação para monitoramento nos transformadores e reatores de potência conectados ao SIN da subestação TRANSAMAZÔNICA, contemplando switches, fibras ópticas, painéis, entre outros.</t>
  </si>
  <si>
    <t>MG TRANSAMAZONIC / CCO-2001-058 - RB</t>
  </si>
  <si>
    <t>0008882/2021</t>
  </si>
  <si>
    <t>Implantação de monitoramento on-line de buchas do VCAT7-04</t>
  </si>
  <si>
    <t>TR 500/230 kV VILA DO CONDE TR4 PA</t>
  </si>
  <si>
    <t>0008884/2021</t>
  </si>
  <si>
    <t>Implantação de monitoramento on-line de buchas do ATRE6-03</t>
  </si>
  <si>
    <t>RT 230 kV 30 Mvar ALTAMIRA RT3 PA</t>
  </si>
  <si>
    <t>0009862/2021</t>
  </si>
  <si>
    <t>Implantação de monitoramento on-line de buchas do RURE6-02</t>
  </si>
  <si>
    <t>0008898/2021</t>
  </si>
  <si>
    <t>Implantação de monitoramento on-line de buchas do VCRE7-01</t>
  </si>
  <si>
    <t>0008899/2021</t>
  </si>
  <si>
    <t>Implantação de monitoramento on-line de buchas do VCRE7-04</t>
  </si>
  <si>
    <t>RT 500 kV 163 Mvar VILA DO CONDE RT4 PA</t>
  </si>
  <si>
    <t>0008907/2021</t>
  </si>
  <si>
    <t>Implantação de monitoramento on-line de buchas do RUAT6-02</t>
  </si>
  <si>
    <t>TR 230/138 kV RUROPOLIS TR2 PA</t>
  </si>
  <si>
    <t>0008914/2021</t>
  </si>
  <si>
    <t>Instalação de rede de comunicação para monitoramento nos transformadores e reatores de potência conectados ao SIN da subestação VILA DO CONDE, contemplando switches, fibras ópticas, painéis, entre outros.</t>
  </si>
  <si>
    <t>MG VILA DO CONDE / CCO-2001-043 - RB</t>
  </si>
  <si>
    <t>0008917/2021</t>
  </si>
  <si>
    <t>Implantação de monitoramento on-line de buchas do RUAT6-01</t>
  </si>
  <si>
    <t>TR 230/138 kV RUROPOLIS TR1 PA</t>
  </si>
  <si>
    <t>0008927/2021</t>
  </si>
  <si>
    <t>Instalação de rede de comunicação para monitoramento nos transformadores e reatores de potência conectados ao SIN da subestação SORRISO, contemplando switches, fibras ópticas, painéis, entre outros.</t>
  </si>
  <si>
    <t>0008935/2021</t>
  </si>
  <si>
    <t>Instalação de rede de comunicação para monitoramento nos transformadores e reatores de potência conectados ao SIN da subestação RUROPOLIS, contemplando switches, fibras ópticas, painéis, entre outros.</t>
  </si>
  <si>
    <t>0008938/2021</t>
  </si>
  <si>
    <t>Instalação de rede de comunicação para monitoramento nos transformadores e reatores de potência conectados ao SIN da subestação UTINGA, contemplando switches, fibras ópticas, painéis, entre outros.</t>
  </si>
  <si>
    <t>0008959/2021</t>
  </si>
  <si>
    <t>Instalação de rede de comunicação para monitoramento nos transformadores e reatores de potência conectados ao SIN da subestação PORTO VELHO, contemplando switches, fibras ópticas, painéis, entre outros.</t>
  </si>
  <si>
    <t>0008994/2021</t>
  </si>
  <si>
    <t>Substituir chave seccionadora LDSB6-33</t>
  </si>
  <si>
    <t>0009146/2021</t>
  </si>
  <si>
    <t>LDSB6-33</t>
  </si>
  <si>
    <t>SUBSTITUIÇÃO DO TRANSFORMADOR DE POTENCIAL CAPACITIVO ASSOCIADO À BARRA PRBR6-02 F.B</t>
  </si>
  <si>
    <t>0009162/2021</t>
  </si>
  <si>
    <t>PRBR602-DP601 F.B</t>
  </si>
  <si>
    <t>Substituição de 50 cadeias de isoladores, de suspensão e ancoragem,  incluindo os isoladores e as ferragens nos lados energizado e  desenergizado</t>
  </si>
  <si>
    <t>0009301/2021</t>
  </si>
  <si>
    <t>MRPD-LT7-01</t>
  </si>
  <si>
    <t>0009306/2021</t>
  </si>
  <si>
    <t>MRPD-LT7-02</t>
  </si>
  <si>
    <t>Substituição do Transformador de Corrente 500kV do TCDJ7-17 fase A - Vão AY2.</t>
  </si>
  <si>
    <t>0009465/2021</t>
  </si>
  <si>
    <t>TCTC72A-DJ-TCDJ717</t>
  </si>
  <si>
    <t>Substituição do Transformador de Corrente 500kV do TCDJ7-17 fase B - Vão AY2.</t>
  </si>
  <si>
    <t>0009470/2021</t>
  </si>
  <si>
    <t>TCTC72B-DJ-TCDJ717</t>
  </si>
  <si>
    <t>Substituição do Transformador de Corrente 500kV do TCDJ7-17 fase V - Vão AY2.</t>
  </si>
  <si>
    <t>0009476/2021</t>
  </si>
  <si>
    <t>TCTC72V-DJ-TCDJ717</t>
  </si>
  <si>
    <t>SUBSTITUIÇÃO DO TRANSFORMADOR DE CORRENTE DE 500kV, (BANCO 02) FASE "B" DO VÃO CENTRAL "V" DE 500kV Y1, ASSOCIADO AO DISJUNTOR IZDJ7-04.</t>
  </si>
  <si>
    <t>0009555/2021</t>
  </si>
  <si>
    <t>N-S-MAIZ-MG701-IB500IV1-IZTC702</t>
  </si>
  <si>
    <t>Instalação de pára-raios na fase Reserva do LDRE7-03</t>
  </si>
  <si>
    <t>0009562/2021</t>
  </si>
  <si>
    <t>Substituição do Transformador de corrente RE703-TC701, fase A</t>
  </si>
  <si>
    <t>0009599/2021</t>
  </si>
  <si>
    <t>N-S-MALD-RE703-MC500-LDTC701A</t>
  </si>
  <si>
    <t>LT 500 kV BACABEIRA /MIRANDA II MA</t>
  </si>
  <si>
    <t>Substituição de isoladores de suspensão e ancoragem  em 500 kV incluindo ferragens dos lados energizado e  desenergizado.</t>
  </si>
  <si>
    <t>0009629/2021</t>
  </si>
  <si>
    <t>N-L-MAMRBC-MRBCLI701-LI500-MRBCLI701</t>
  </si>
  <si>
    <t>LT 500 kV BACABEIRA /MIRANDA II C-2 MA</t>
  </si>
  <si>
    <t>0009638/2021</t>
  </si>
  <si>
    <t>N-L-MAMRBC-MRBCLI702-LI500-MRBCLI702</t>
  </si>
  <si>
    <t>LT 500 kV SAO LUIS II /BACABEIRA C-1 MA</t>
  </si>
  <si>
    <t>0009652/2021</t>
  </si>
  <si>
    <t>N-L-MALDBC-LDBCLI701-LI500-LDBCLI701</t>
  </si>
  <si>
    <t>LT 500 kV SAO LUIS II /BACABEIRA C-2 MA</t>
  </si>
  <si>
    <t>0009665/2021</t>
  </si>
  <si>
    <t>N-L-MALDBC-LDBCLI702-LI500-LDBCLI702</t>
  </si>
  <si>
    <t>Substituição de Transformador de Corrente (RE703-TC701, fase V)</t>
  </si>
  <si>
    <t>0009678/2021</t>
  </si>
  <si>
    <t>N-S-MALD-RE703-MC500-LDTC701V</t>
  </si>
  <si>
    <t>Substituição do Transformador de corrente RE703-TC701, fase B</t>
  </si>
  <si>
    <t>0009687/2021</t>
  </si>
  <si>
    <t>N-S-MALD-RE703-MC500-LDTC701B</t>
  </si>
  <si>
    <t>Instalação de um módulo de conexão para o reator de barra manobrável 500 kV (3+1) x 45,3 Mvar (IZRE7-06) autorizado pela pela ReA 11.450/2022, arranjo (DJM).
Reforço associado a Melhorias de Grande Porte (SGPMR nº 0004197/2018)</t>
  </si>
  <si>
    <t>CR 500 kV 161 Mvar IMPERATRIZ BC6 MA</t>
  </si>
  <si>
    <t>0009786/2021</t>
  </si>
  <si>
    <t>Instalação de um módulo de conexão para o reator de barra manobrável 500 kV PDRE7-01 3x50 Mvar autorizado pela ReA 11.450/2022, configuração DJM.
Reforço associado a Melhorias de Grande Porte (SGPMR nº 004458/2018)</t>
  </si>
  <si>
    <t>0009787/2021</t>
  </si>
  <si>
    <t>Instalação de um módulo de conexão para o reator de barra manobrável 525 kV (3+1) x 50 Mvar (LDRE7-03) autorizado pela ReA 11.450/2022, arranjo DJM.
Reforço associado a Melhorias de Grande Porte (SGPMR nº 004442/2018)</t>
  </si>
  <si>
    <t>0009788/2021</t>
  </si>
  <si>
    <t>Remanejamento da conexão do banco de reatores 3 x 37,5 Mvar/500 kV (RTCAMFDI), atualmente na LT 500 kV Campinas – Fernão Dias, para a barra de Campinas, incluindo complementação do arranjo em anel com a aquisição de disjuntores e chaves, instalação do sistema de proteção, controle e supervisão, e demais obras.</t>
  </si>
  <si>
    <t>LT 500 kV CAMPINAS / FERNAO DIAS C 1 SP</t>
  </si>
  <si>
    <t>0009789/2021</t>
  </si>
  <si>
    <t>Substituição de duas chaves sem lâmina de terra (IZSD7-09; IZSD7-10), fases A, B e V do vão para P. Dutra C1.
A substituição das seccionadoras com o objetivo de explorar toda a capacidade da LT e comportar o aumento da capacidade de corrente de 1.950 A para 2.300 A com a substituição dos BCS da LT 500 kV Imperatriz – Presidente Dutra C1.</t>
  </si>
  <si>
    <t>0009888/2021</t>
  </si>
  <si>
    <t>IZSD7-09; IZSD7-10.</t>
  </si>
  <si>
    <t>Substituição de duas chaves seccionadoras sem lâmina de terra, fases A, B e V (IZSD7-07 e IZSD7-08) do vão interligação de barras compartilhado entre Marabá C1 e P. Dutra C1.
A substituição das seccionadoras com o objetivo de explorar toda a capacidade da LT e comportar o aumento da capacidade de corrente de de 1.950 A para 2.300 A com a substituição dos BCS da LT 500 kV Imperatriz – Presidente Dutra C1.</t>
  </si>
  <si>
    <t>0009889/2021</t>
  </si>
  <si>
    <t>IZSD7-07; IZSD7-08</t>
  </si>
  <si>
    <t>Substituição de uma chave seccionadora fases A, B e V com lâmina de terra (PDSL7-03/ PDCA7-09) do vão Imperatriz C1.
A substituição das seccionadoras com o objetivo de explorar toda a capacidade da LT e comportar o aumento da capacidade de corrente de de 1.950 A para 2.300 A com a substituição dos BCS da LT 500 kV Imperatriz – Presidente Dutra C1.</t>
  </si>
  <si>
    <t>LT 500 kV IMPERATRIZ / P.DUTRA C-1 MA</t>
  </si>
  <si>
    <t>0009890/2021</t>
  </si>
  <si>
    <t>PDSL7-03/ PDCA7-09.</t>
  </si>
  <si>
    <t>Substituição de duas chaves seccionadoras fases A, B e V sem lâmina de terra (PDSD7-12 e PDSD7-13) do vão Imperatriz C1.
A substituição das seccionadoras com o objetivo de explorar toda a capacidade da LT e comportar o aumento da capacidade de corrente de de 1.950 A para 2.300 A com a substituição dos BCS da LT 500 kV Imperatriz – Presidente Dutra C1.</t>
  </si>
  <si>
    <t>0009891/2021</t>
  </si>
  <si>
    <t>PDSD7-12; PDSD7-13</t>
  </si>
  <si>
    <t>Substituição de duas chaves seccionadoras fases A, B e V sem lâmina de terra (PDSD7-14 e PDSD7-15) do vão interligação de barras compartilhado entre Imperatriz C1 e Boa Esperança C1.
A substituição das seccionadoras com o objetivo de explorar toda a capacidade da LT e comportar o aumento da capacidade de corrente de de 1.950 A para 2.300 A com a substituição dos BCS da LT 500 kV Imperatriz – Presidente Dutra C1.</t>
  </si>
  <si>
    <t>0009892/2021</t>
  </si>
  <si>
    <t>PDSD7-14; PDSD7-15.</t>
  </si>
  <si>
    <t xml:space="preserve"> Substituição de uma chave seccionadora fases A, B e V com lâmina de terra (IZSL7-02/IZCA7-08) do vão para P. Dutra C1.
A substituição das seccionadoras com o objetivo de explorar toda a capacidade da LT e comportar o aumento da capacidade de corrente de de 1.950 A para 2.300 A com a substituição dos BCS da LT 500 kV Imperatriz – Presidente Dutra C1.</t>
  </si>
  <si>
    <t>0009893/2021</t>
  </si>
  <si>
    <t>IZSL7-02/IZCA7-08.</t>
  </si>
  <si>
    <t>Substituição de um disjuntor (PDDJ7-07) fases A, B e V do vão Imperatriz C1. A substituição dos disjuntores tem como objetivo de explorar toda a capacidade da LT e comportar o aumento da capacidade de corrente de de 1.950 A para 2.300 A com a substituição dos BCS da LT 500 kV Imperatriz – Presidente Dutra C1.</t>
  </si>
  <si>
    <t>0009878/2021</t>
  </si>
  <si>
    <t>PDDJ7-07.</t>
  </si>
  <si>
    <t>Substituição de um disjuntor (PDDJ7-08) fases A, B e V do vão interligação de barras compartilhado entre Imperatriz C1 e Boa Esperança C1.
A substituição dos disjuntores tem como objetivo de explorar toda a capacidade da LT e comportar o aumento da capacidade de corrente de de 1.950 A para 2.300 A com a substituição dos BCS da LT 500 kV Imperatriz – Presidente Dutra C1.</t>
  </si>
  <si>
    <t>0009879/2021</t>
  </si>
  <si>
    <t>PDDJ7-08</t>
  </si>
  <si>
    <t>Bobina de bloqueio</t>
  </si>
  <si>
    <t>Substituição da bobina de bloqueio fase-fase da LT 500 kV Imperatriz / P.Dutra C-1 MA (IZPD-LT7-01).
A substituição das bobinas bloqueio tem como objetivo de explorar toda a capacidade da LT e comportar o aumento da capacidade de corrente de de 1.950 A para 2.300 A com a substituição dos BCS da LT 500 kV Imperatriz – Presidente Dutra C1.</t>
  </si>
  <si>
    <t>0009880/2021</t>
  </si>
  <si>
    <t>IZPD-LT7-01</t>
  </si>
  <si>
    <t>Substituição de bobina de bloqueio fase-fase da LT 500 kV Imperatriz / P.Dutra C-1 MA (IZPD-LT7-01). A substituição da bobina de bloqueio tem como objetivo de explorar toda a capacidade da LT e comportar o aumento da capacidade de corrente de de 1.950 A para 2.300 A com a substituição dos BCS da LT 500 kV Imperatriz – Presidente Dutra C1.</t>
  </si>
  <si>
    <t>0009881/2021</t>
  </si>
  <si>
    <t>Substituição de três transformadores de corrente fases A, B e V (PDDJ7-07 seção X) do vão Imperatriz C1.
A substituição dos transformadores de corrente tem como objetivo de explorar toda a capacidade da LT e comportar o aumento da capacidade de corrente de de 1.950 A para 2.300 A com a substituição dos BCS da LT 500 kV Imperatriz – Presidente Dutra C1.</t>
  </si>
  <si>
    <t>0009882/2021</t>
  </si>
  <si>
    <t>PDDJ7-07 seção X</t>
  </si>
  <si>
    <t>Substituição de três transformadores de corrente fases A, B e V (PDDJ7-08 seção Y) do vão interligação de barras compartilhado entre Imperatriz C1 e Boa Esperança C1.
A substituição dos transformadores de corrente tem como objetivo de explorar toda a capacidade da LT e comportar o aumento da capacidade de corrente de de 1.950 A para 2.300 A com a substituição dos BCS da LT 500 kV Imperatriz – Presidente Dutra C1.</t>
  </si>
  <si>
    <t>0009883/2021</t>
  </si>
  <si>
    <t>PDDJ7-08 seção Y</t>
  </si>
  <si>
    <t>Substituição de 3 transformadores de corrente fases A, B e V (IZDJ7-05 seção X) do vão para P. Dutra C1.
A substituição dos transformadores de corrente tem como objetivo de explorar toda a capacidade da LT e comportar o aumento da capacidade de corrente de de 1.950 A para 2.300 A com a substituição dos BCS da LT 500 kV Imperatriz – Presidente Dutra C1.</t>
  </si>
  <si>
    <t>0009884/2021</t>
  </si>
  <si>
    <t>IZDJ7-05 seção X</t>
  </si>
  <si>
    <t>Substituição de 3 transformadores de corrente fases A, B e V (IZDJ7-04 seção Y2) e um transformador de corrente fase A (IZDJ7-04 seção Y1), do vão de interligação de barras compartilhado entre Marabá C1 e P. Dutra C1.
A substituição dos transformadores de corrente tem como objetivo de explorar toda a capacidade da LT e comportar o aumento da capacidade de corrente de de 1.950 A para 2.300 A com a substituição dos BCS da LT 500 kV Imperatriz – Presidente Dutra C1.</t>
  </si>
  <si>
    <t>0009885/2021</t>
  </si>
  <si>
    <t>IZDJ7-04 seção Y1 e seção Y2</t>
  </si>
  <si>
    <t>Substituição de três transformadores de corrente fases A, B e V (PDDJ7-09 seção Z) do vão Boa Esperança C1 (vão complementar ao de Imperatriz C1 no arranjo DJM)
A substituição dos transformadores de corrente tem como objetivo de explorar toda a capacidade da LT e comportar o aumento da capacidade de corrente de de 1.950 A para 2.300 A com a substituição dos BCS da LT 500 kV Imperatriz – Presidente Dutra C1.</t>
  </si>
  <si>
    <t>0009887/2021</t>
  </si>
  <si>
    <t>PDDJ7-09 seção Z</t>
  </si>
  <si>
    <t>Transformador de Aterramento</t>
  </si>
  <si>
    <t>Instalação de 1 (um) reator de aterramento (02A2) 69 kV, 7,5 MVA, 20 ohms/fase cada, para operar em paralelo com o reator de aterramento existente (02A1), na SE IRE</t>
  </si>
  <si>
    <t>TT 69/13,8 kV IRECE TA2 BA</t>
  </si>
  <si>
    <t>0000044/2022</t>
  </si>
  <si>
    <t>Outras razões</t>
  </si>
  <si>
    <t>Instalação de 1 (um) módulo de conexão ao reator de aterramento 02A2, na SE IRE</t>
  </si>
  <si>
    <t>MC 69 kV TT 69/13,8 kV IRECE TA2 BA</t>
  </si>
  <si>
    <t>0000045/2022</t>
  </si>
  <si>
    <t>Recapacitação dos barramentos principal (formado pelos trechos 04BP-1, 04BP-2 e 04BP-3) e transferência (formado pelos trechos 04BA-1 e 04BA-2) em 230 kV da SE BGI, com a substituição de cabos, cadeias de isoladores e conectores.</t>
  </si>
  <si>
    <t>0000058/2022</t>
  </si>
  <si>
    <t>12365825; 12365826; 12365827; 12365828; 12365829</t>
  </si>
  <si>
    <t>Substituição das chaves seccionadoras 34BP-1, 34BP-2 (barra principal) e 34BA-1 (barra auxiliar) em 230 kV, da SE BGI.</t>
  </si>
  <si>
    <t>0000059/2022</t>
  </si>
  <si>
    <t>11333625; 11338083; 11338082</t>
  </si>
  <si>
    <t>Recapacitação dos barramentos principal (formado pelos trechos 02BP-1 e 02BP-2) e transferência (formada pelos trechos 02BA-1 e 02BA-2) em 69 kV da SE BGI, com a substituição de cabos, cadeias de isoladores e conectores.</t>
  </si>
  <si>
    <t>0000063/2022</t>
  </si>
  <si>
    <t>12365823; 12365824; 12375376; 12375377</t>
  </si>
  <si>
    <t>Instalação de um disjuntor seccionador na barra principal 02BP-2, em 69kV, da SE BGI, em substituição à chave 32BP-1.</t>
  </si>
  <si>
    <t>0000065/2022</t>
  </si>
  <si>
    <t>11338859</t>
  </si>
  <si>
    <t>MILAGRES II</t>
  </si>
  <si>
    <t>Implantação de interligação entre o reator reserva 33,3 Mvar, existente na SE Milagres II e de propriedade da EKTT-2, e o Banco de Reatores de linha monofásico (3x33,3 Mvar) da LT 500 kV Luiz Gonzaga – Milagres C1 (05V1), que será remanejado do terminal da SE Milagres para a SE Milagres II, por meio da ReA 8.771/2020. A interligação é composta por: estruturas, barramento, cabeação e infraestrutura associada</t>
  </si>
  <si>
    <t>RTB 500 kV 33,33 Mvar MILAGRES II RTR6 CE</t>
  </si>
  <si>
    <t>0000070/2022</t>
  </si>
  <si>
    <t>Substituição dos Sistemas Digitais de Proteção, Controle, Supervisão Principal e RDP do Banco de Reatores RTARPC 500kV, em substituição aos atuais, devido ao término da vida útil regulatória dos equipamentos, bem como o atendimento aos requisitos dos Procedimentos de Rede do ONS.</t>
  </si>
  <si>
    <t>0000104/2022</t>
  </si>
  <si>
    <t>PPPC</t>
  </si>
  <si>
    <t>Substituição dos Sistemas Digitais de Proteção, Controle, Supervisão Principal e RDP do Banco de Reatores RTARCA 500kV, em substituição aos atuais, devido ao término da vida útil regulatória dos equipamentos, bem como o atendimento aos requisitos dos Procedimentos de Rede do ONS.</t>
  </si>
  <si>
    <t>0000105/2022</t>
  </si>
  <si>
    <t>PPCA</t>
  </si>
  <si>
    <t>Substituição dos Sistemas Digitais de Proteção, Controle, Supervisão P rincipal e RDP do Banco de Reatores RTARAMAR1 500kV, em substituição aos atuais, devido ao término da vida útil regulatória dos equipamentos, bem como o atendimento aos requisitos dos Procedimentos de Rede do ONS.</t>
  </si>
  <si>
    <t>LT 500 kV MARIMBONDO II /ARARAQUARA FURNAS C-1 MG/SP</t>
  </si>
  <si>
    <t>0000106/2022</t>
  </si>
  <si>
    <t>PPMR1</t>
  </si>
  <si>
    <t>Substituição dos Sistemas Digitais de Proteção, Controle, Supervisão Principal e RDP do Banco de Reatores RTARAMAR2 500kV, em substituição aos atuais, devido ao término da vida útil regulatória dos equipamentos, bem como o atendimento aos requisitos dos Procedimentos de Rede do ONS.</t>
  </si>
  <si>
    <t>LT 500 kV MARIMBONDO II /ARARAQUARA FURNAS C-2 MG/SP</t>
  </si>
  <si>
    <t>0000107/2022</t>
  </si>
  <si>
    <t>PPMR2</t>
  </si>
  <si>
    <t>Substituição dos Sistemas Digitais de Proteção, Controle, Supervisão Alternado e RDP do Banco de Reatores RTARPC 500kV, em substituição aos atuais, devido ao término da vida útil regulatória dos equipamentos, bem como o atendimento aos requisitos dos Procedimentos de Rede do ONS.</t>
  </si>
  <si>
    <t>0000108/2022</t>
  </si>
  <si>
    <t>PAPC</t>
  </si>
  <si>
    <t>Substituição dos Sistemas Digitais de Proteção, Controle, Supervisão Alternado e RDP do Banco de Reatores RTARCA 500kV, em substituição aos atuais, devido ao término da vida útil regulatória dos equipamentos, bem como o atendimento aos requisitos dos Procedimentos de Rede do ONS.</t>
  </si>
  <si>
    <t>0000109/2022</t>
  </si>
  <si>
    <t>PACA</t>
  </si>
  <si>
    <t>Substituição dos Sistemas Digitais de Proteção, Controle, Supervisão Alternado e RDP do Banco de Reatores RTARAMAR1 500kV, em substituição aos atuais, devido ao término da vida útil regulatória dos equipamentos, bem como o atendimento aos requisitos dos Procedimentos de Rede do ONS.</t>
  </si>
  <si>
    <t>0000110/2022</t>
  </si>
  <si>
    <t>PAMR1</t>
  </si>
  <si>
    <t>Substituição dos Sistemas Digitais de Proteção, Controle, Supervisão Alternado e RDP do Banco de Reatores RTARAMAR2 500kV, em substituição aos atuais, devido ao término da vida útil regulatória dos equipamentos, bem como o atendimento aos requisitos dos Procedimentos de Rede do ONS.</t>
  </si>
  <si>
    <t>0000111/2022</t>
  </si>
  <si>
    <t>PAMR2</t>
  </si>
  <si>
    <t>Substituição de reator RTIAIV1 FASE A (nº serie: 289258, cod. mat.: 10184038)</t>
  </si>
  <si>
    <t>0001249/2022</t>
  </si>
  <si>
    <t>RTIAIV1 FASE A</t>
  </si>
  <si>
    <t>Substituição de reator RTIAIV1 FASE B (nº serie: 289255, cod. mat.: 10184035)</t>
  </si>
  <si>
    <t>0001250/2022</t>
  </si>
  <si>
    <t>RTIAIV1 FASE B</t>
  </si>
  <si>
    <t>Substituição de reator RTIAIV1 FASE C (nº serie: 289254, cod. mat.: 10184034)</t>
  </si>
  <si>
    <t>0001251/2022</t>
  </si>
  <si>
    <t>RTIAIV1 FASE C</t>
  </si>
  <si>
    <t>Substituição de disjuntor DJ12918 (nº serie: 1122-6R-012, cod. mat.: 10191560).</t>
  </si>
  <si>
    <t>0001272/2022</t>
  </si>
  <si>
    <t>DJ12918</t>
  </si>
  <si>
    <t>Substituição de disjuntor DJ12718 (nº serie: 1122-6R-005, cod. mat.: 10191558).</t>
  </si>
  <si>
    <t>0005412/2023</t>
  </si>
  <si>
    <t>DJ12718</t>
  </si>
  <si>
    <t>Substituição de para-raios PR01-A (nº serie: 45852, cod. mat.: 10199473).</t>
  </si>
  <si>
    <t>0001281/2022</t>
  </si>
  <si>
    <t>PR01-A</t>
  </si>
  <si>
    <t>Substituição de para-raios PR01-B (nº serie: 45853, cod. mat.: 10199474).</t>
  </si>
  <si>
    <t>0001282/2022</t>
  </si>
  <si>
    <t>PR01-B</t>
  </si>
  <si>
    <t>Substituição de para-raios PR01-C (nº serie: 45855, cod. mat.: 10199475).</t>
  </si>
  <si>
    <t>0001283/2022</t>
  </si>
  <si>
    <t>PR01-C</t>
  </si>
  <si>
    <t>Substituição de para-raios PR - RTIAIV1 STIAB FASE A (nº serie: 45808, cod. mat.: 10199461).</t>
  </si>
  <si>
    <t>0001268/2022</t>
  </si>
  <si>
    <t>PR - RTIAIV1 STIAB FASE A</t>
  </si>
  <si>
    <t>Substituição de para-raios PR - RTIAIV1 STIAB FASE B (nº serie: 45856, cod. mat.: 10199462).</t>
  </si>
  <si>
    <t>0001269/2022</t>
  </si>
  <si>
    <t>PR - RTIAIV1 STIAB FASE B</t>
  </si>
  <si>
    <t>Substituição de para-raios PR - RTIAIV1 STIAB FASE C (nº serie: 45858, cod. mat.: 10199463).</t>
  </si>
  <si>
    <t>0001270/2022</t>
  </si>
  <si>
    <t>PR - RTIAIV1 STIAB FASE C</t>
  </si>
  <si>
    <t>Substituição de para-raios PR01-A (nº serie: 45854, cod. mat.: 10199481).</t>
  </si>
  <si>
    <t>LT 765 kV ITABERA /IVAIPORA C-2 SP/PR</t>
  </si>
  <si>
    <t>0005414/2023</t>
  </si>
  <si>
    <t>Substituição de para-raios PR01-B (nº serie: 45716, cod. mat.: 10199480).</t>
  </si>
  <si>
    <t>0005415/2023</t>
  </si>
  <si>
    <t>Substituição de para-raios PR01-C (nº serie: 45715, cod. mat.: 10199482).</t>
  </si>
  <si>
    <t>0005416/2023</t>
  </si>
  <si>
    <t>Substituição de seccionadora SC12715 (nº serie: 11868002, cod. mat.: 10195460), por outro seccionador com lâmina de terra com corrente nominal de 4.000 A.</t>
  </si>
  <si>
    <t>CR 765 kV 621 Mvar ITABERA BC1A SP</t>
  </si>
  <si>
    <t>0000117/2022</t>
  </si>
  <si>
    <t>SC12715</t>
  </si>
  <si>
    <t>Substituição de seccionadora SC12717 (nº serie: 11868008, cod. mat.: 10195461),  por outro seccionador com lâmina de terra com corrente nominal de 4.000 A.</t>
  </si>
  <si>
    <t>CR 765 kV 621 Mvar ITABERA BC1B SP</t>
  </si>
  <si>
    <t>0000118/2022</t>
  </si>
  <si>
    <t>SC12717</t>
  </si>
  <si>
    <t>Substituição de seccionadora SC12910R (nº serie: 1003, cod. mat.: 10196916).</t>
  </si>
  <si>
    <t>0001271/2022</t>
  </si>
  <si>
    <t>SC12910R</t>
  </si>
  <si>
    <t>Substituição de seccionadora SC12711 (nº serie: 1029, cod. mat.: 10196921).</t>
  </si>
  <si>
    <t>0005423/2023</t>
  </si>
  <si>
    <t>SC12711</t>
  </si>
  <si>
    <t>Substituição de seccionadora SC12120T (nº serie: 01039T, cod. mat.: 10196949).</t>
  </si>
  <si>
    <t>0005424/2023</t>
  </si>
  <si>
    <t>SC12120T</t>
  </si>
  <si>
    <t>Substituição de seccionadora SC12721 (nº serie: 1039, cod. mat.: 10196907).</t>
  </si>
  <si>
    <t>0005425/2023</t>
  </si>
  <si>
    <t>SC12721</t>
  </si>
  <si>
    <t>Substituição de seccionadora SC12723 (nº serie: 1028, cod. mat.: 10196912).</t>
  </si>
  <si>
    <t>0005426/2023</t>
  </si>
  <si>
    <t>SC12723</t>
  </si>
  <si>
    <t>Substituição de seccionadora SC12843 (nº serie: 01026M, cod. mat.: 10196914).</t>
  </si>
  <si>
    <t>MG ITABERA / CCO-2001-062 - RB</t>
  </si>
  <si>
    <t>0005428/2023</t>
  </si>
  <si>
    <t>SC12843</t>
  </si>
  <si>
    <t>Substituição de trafo corrente TC DJ12918 FASE A (nº serie: 7269721, cod. mat.: 10185687).</t>
  </si>
  <si>
    <t>0001273/2022</t>
  </si>
  <si>
    <t>TC DJ12918 FASE A</t>
  </si>
  <si>
    <t>Substituição de trafo corrente TC DJ12918 FASE B (nº serie: 7269729, cod. mat.: 10185688).</t>
  </si>
  <si>
    <t>0001274/2022</t>
  </si>
  <si>
    <t>TC DJ12918 FASE B</t>
  </si>
  <si>
    <t>Substituição de trafo corrente TC DJ12918 FASE C (nº serie: 7269730, cod. mat.: 10185689).</t>
  </si>
  <si>
    <t>0001275/2022</t>
  </si>
  <si>
    <t>TC DJ12918 FASE C</t>
  </si>
  <si>
    <t>Substituição de trafo corrente TC DJ12928 FASE A (nº serie: 7176005, cod. mat.: 10185089).</t>
  </si>
  <si>
    <t>0005430/2023</t>
  </si>
  <si>
    <t>TC DJ12928 FASE A</t>
  </si>
  <si>
    <t>Substituição de trafo corrente TC DJ12928 FASE B (nº serie: 7176006, cod. mat.: 10185090).</t>
  </si>
  <si>
    <t>0005431/2023</t>
  </si>
  <si>
    <t>TC DJ12928 FASE B</t>
  </si>
  <si>
    <t>Substituição de trafo corrente TC DJ12928 FASE C (nº serie: 7176008, cod. mat.: 10185092).</t>
  </si>
  <si>
    <t>0005432/2023</t>
  </si>
  <si>
    <t>TC DJ12928 FASE C</t>
  </si>
  <si>
    <t>Substituição de trafo corrente TC DJ12718 FASE A (nº serie: 7269720, cod. mat.: 10185684).</t>
  </si>
  <si>
    <t>0005434/2023</t>
  </si>
  <si>
    <t>TC DJ12718 FASE A</t>
  </si>
  <si>
    <t>Substituição de trafo corrente TC DJ12718 FASE B (nº serie: 7269719, cod. mat.: 10185685).</t>
  </si>
  <si>
    <t>0005435/2023</t>
  </si>
  <si>
    <t>TC DJ12718 FASE B</t>
  </si>
  <si>
    <t>Substituição de trafo corrente TC DJ12718 FASE C (nº serie: 7269718, cod. mat.: 10185686).</t>
  </si>
  <si>
    <t>0005436/2023</t>
  </si>
  <si>
    <t>TC DJ12718 FASE C</t>
  </si>
  <si>
    <t>Substituição de trafo corrente TC - DJ12728 FASE A (nº serie: 7176016, cod. mat.: 10185099).</t>
  </si>
  <si>
    <t>0005437/2023</t>
  </si>
  <si>
    <t>TC - DJ12728 FASE A</t>
  </si>
  <si>
    <t>Substituição de trafo corrente TC - DJ12728 FASE B (nº serie: 7176017, cod. mat.: 10185100).</t>
  </si>
  <si>
    <t>0005439/2023</t>
  </si>
  <si>
    <t>TC - DJ12728 FASE B</t>
  </si>
  <si>
    <t>Substituição de trafo corrente TC - DJ12728 FASE C (nº serie: 7176018, cod. mat.: 10185101).</t>
  </si>
  <si>
    <t>0005441/2023</t>
  </si>
  <si>
    <t>TC - DJ12728 FASE C</t>
  </si>
  <si>
    <t>Substituição de trafo potencial/dcp DCP - LTIAIV1 FASE A (nº serie: 88638417, cod. mat.: 10190410).</t>
  </si>
  <si>
    <t>0001276/2022</t>
  </si>
  <si>
    <t>DCP - LTIAIV1 FASE A</t>
  </si>
  <si>
    <t>SUBSTITUIÇÃO DO CUBÍCULO  CC1 - 13,8kV</t>
  </si>
  <si>
    <t>0007147/2023</t>
  </si>
  <si>
    <t>CC1</t>
  </si>
  <si>
    <t>SUBSTITUIÇÃO DO CUBÍCULO  CC2 - 13,8kV</t>
  </si>
  <si>
    <t>0007148/2023</t>
  </si>
  <si>
    <t>CC2</t>
  </si>
  <si>
    <t>SUBSTITUIÇÃO DO CUBÍCULO  CC3 - 13,8kV</t>
  </si>
  <si>
    <t>0007149/2023</t>
  </si>
  <si>
    <t>CC3</t>
  </si>
  <si>
    <t>SUBSTITUIÇÃO DO PAINEL QDE1 - 220V</t>
  </si>
  <si>
    <t>0007150/2023</t>
  </si>
  <si>
    <t>QDE1</t>
  </si>
  <si>
    <t>SUBSTITUIÇÃO DO PAINEL QDN1 - 220V</t>
  </si>
  <si>
    <t>0007151/2023</t>
  </si>
  <si>
    <t>QDN1</t>
  </si>
  <si>
    <t>SUBSTITUIÇÃO DO PAINEL QDN2 - 480V</t>
  </si>
  <si>
    <t>0007152/2023</t>
  </si>
  <si>
    <t>QDN2</t>
  </si>
  <si>
    <t>SUBSTITUIÇÃO DO PAINEL QDN3 - 480V</t>
  </si>
  <si>
    <t>0007153/2023</t>
  </si>
  <si>
    <t>QDN3</t>
  </si>
  <si>
    <t>SUBSTITUIÇÃO DO PAINEL QDN4 - 480V</t>
  </si>
  <si>
    <t>0007154/2023</t>
  </si>
  <si>
    <t>QDN4</t>
  </si>
  <si>
    <t>SUBSTITUIÇÃO DO PAINEL QF1 - 480V</t>
  </si>
  <si>
    <t>0007155/2023</t>
  </si>
  <si>
    <t>QF1</t>
  </si>
  <si>
    <t>SUBSTITUIÇÃO DO PAINEL QFE1 - 480V</t>
  </si>
  <si>
    <t>0007156/2023</t>
  </si>
  <si>
    <t>QFE1</t>
  </si>
  <si>
    <t>SUBSTITUIÇÃO DO PAINEL QFE2 - 480V</t>
  </si>
  <si>
    <t>0007157/2023</t>
  </si>
  <si>
    <t>QFE2</t>
  </si>
  <si>
    <t>SUBSTITUIÇÃO DO PAINEL QFE3 - 480V</t>
  </si>
  <si>
    <t>0007158/2023</t>
  </si>
  <si>
    <t>QFE3</t>
  </si>
  <si>
    <t>SUBSTITUIÇÃO DO PAINEL QN1 - 480V</t>
  </si>
  <si>
    <t>0007159/2023</t>
  </si>
  <si>
    <t>QN1</t>
  </si>
  <si>
    <t>SUBSTITUIÇÃO DO PAINEL QN2 - 480V</t>
  </si>
  <si>
    <t>0007160/2023</t>
  </si>
  <si>
    <t>QN2</t>
  </si>
  <si>
    <t>SUBSTITUIÇÃO DO PAINEL QS1 - 480V</t>
  </si>
  <si>
    <t>0007161/2023</t>
  </si>
  <si>
    <t>QS1</t>
  </si>
  <si>
    <t>SUBSTITUIÇÃO DO PAINEL QS2 - 480V</t>
  </si>
  <si>
    <t>0007162/2023</t>
  </si>
  <si>
    <t>QS2</t>
  </si>
  <si>
    <t>SUBSTITUIÇÃO DO TRANSFORMADOR DE SERVIÇO AUXILIAR TRTD1 - 13,8KV/480V</t>
  </si>
  <si>
    <t>0007163/2023</t>
  </si>
  <si>
    <t>TRTD1</t>
  </si>
  <si>
    <t>SUBSTITUIÇÃO DO TRANSFORMADOR DE SERVIÇO AUXILIAR TRTN1 - 13,8KV/480V</t>
  </si>
  <si>
    <t>0007164/2023</t>
  </si>
  <si>
    <t>TRTN1</t>
  </si>
  <si>
    <t>SUBSTITUIÇÃO DO TRANSFORMADOR DE SERVIÇO AUXILIAR TRTN2 - 13,8KV/480V</t>
  </si>
  <si>
    <t>0007165/2023</t>
  </si>
  <si>
    <t>TRTN2</t>
  </si>
  <si>
    <t>SUBSTITUIÇÃO DO TRANSFORMADOR DE SERVIÇO AUXILIAR TRTS1 - 13,8KV/480V</t>
  </si>
  <si>
    <t>0007166/2023</t>
  </si>
  <si>
    <t>TRTS1</t>
  </si>
  <si>
    <t>SUBSTITUIÇÃO DO TRANSFORMADOR DE SERVIÇO AUXILIAR TRTS2 - 13,8KV/480V</t>
  </si>
  <si>
    <t>0007167/2023</t>
  </si>
  <si>
    <t>TRTS2</t>
  </si>
  <si>
    <t>SUBSTITUIÇÃO DO TRANSFORMADOR DE SERVIÇO AUXILIAR TRTSB1 - 13,8KV/220-127V</t>
  </si>
  <si>
    <t>0007168/2023</t>
  </si>
  <si>
    <t>TRTSB1</t>
  </si>
  <si>
    <t>SUBSTITUIÇÃO DO TRANSFORMADOR DE SERVIÇO AUXILIAR TRTSB2 - 13,8KV/220-127V</t>
  </si>
  <si>
    <t>0007169/2023</t>
  </si>
  <si>
    <t>TRTSB2</t>
  </si>
  <si>
    <t>SUBSTITUIÇÃO DO TRANSFORMADOR DE SERVIÇO AUXILIAR TRTLE1 - 480/220-127V</t>
  </si>
  <si>
    <t>0007170/2023</t>
  </si>
  <si>
    <t>TRTLE1</t>
  </si>
  <si>
    <t>SUBSTITUIÇÃO DO TRANSFORMADOR DE SERVIÇO AUXILIAR TRTLE2 - 480/220-127V</t>
  </si>
  <si>
    <t>0007171/2023</t>
  </si>
  <si>
    <t>TRTLE2</t>
  </si>
  <si>
    <t>SUBSTITUIÇÃO DO TRANSFORMADOR DE SERVIÇO AUXILIAR TRTLN1 - 480/220-127V</t>
  </si>
  <si>
    <t>0007172/2023</t>
  </si>
  <si>
    <t>TRTLN1</t>
  </si>
  <si>
    <t>SUBSTITUIÇÃO DO TRANSFORMADOR DE SERVIÇO AUXILIAR TRTLN2  - 480/220-127V</t>
  </si>
  <si>
    <t>0007173/2023</t>
  </si>
  <si>
    <t>TRTLN2</t>
  </si>
  <si>
    <t>SUBSTITUIÇÃO DO PAINEL QDCC1 - 125Vcc</t>
  </si>
  <si>
    <t>0007174/2023</t>
  </si>
  <si>
    <t>QDCC1</t>
  </si>
  <si>
    <t>SUBSTITUIÇÃO DO PAINEL QDCCE - 125Vcc</t>
  </si>
  <si>
    <t>0007175/2023</t>
  </si>
  <si>
    <t>QDCCE</t>
  </si>
  <si>
    <t>SUBSTITUIÇÃO DO PAINEL QDCCE1 - 125Vcc</t>
  </si>
  <si>
    <t>0007176/2023</t>
  </si>
  <si>
    <t>QDCCE1</t>
  </si>
  <si>
    <t>Substituição dos sistemas de  proteção da LT 750 kV ITABERA /IVAIPORA C-3 SP/PR e da proteção de falha de Disjuntor do DJ12938.</t>
  </si>
  <si>
    <t>LT 765 kV ITABERA /IVAIPORA C-3 SP/PR</t>
  </si>
  <si>
    <t>0007083/2023</t>
  </si>
  <si>
    <t>PROTEÇÃO - LT 750 kV ITABERA /IVAIPORA C-3 SP/PR</t>
  </si>
  <si>
    <t>Substituição do registrador de perturbações  e Localizador de Faltas por ondas viajantes (TW)  da LT 750 kV ITABERA /IVAIPORA C-3 SP/PR</t>
  </si>
  <si>
    <t>0007084/2023</t>
  </si>
  <si>
    <t>RDP - LT 750 kV ITABERA /IVAIPORA C-3 SP/PR</t>
  </si>
  <si>
    <t>Substituição dos sistemas de  proteção do RTL 750 kV 329 Mvar ITABERA RIV3 SP</t>
  </si>
  <si>
    <t>0007085/2023</t>
  </si>
  <si>
    <t>PROTEÇÃO - RTL 750 kV 329 Mvar ITABERA RIV3 SP</t>
  </si>
  <si>
    <t>Substituição do registrador de perturbações do RTL 750 kV 329 Mvar ITABERA RIV3 SP</t>
  </si>
  <si>
    <t>0007087/2023</t>
  </si>
  <si>
    <t>RDP - RTL 750 kV 329 Mvar ITABERA RIV3 SP</t>
  </si>
  <si>
    <t>Substituição dos sistemas de  proteção da LT 750 kV ITABERA /IVAIPORA C-2 SP/PR e da proteção de falha da disjuntor DJ12928.</t>
  </si>
  <si>
    <t>0007088/2023</t>
  </si>
  <si>
    <t>PROTEÇÃO - LT 750 kV ITABERA /IVAIPORA C-2 SP/PR</t>
  </si>
  <si>
    <t>Substituição do registrador de perturbações  e Localizador de Faltas por ondas viajantes (TW) da LT 750 kV ITABERA /IVAIPORA C-2 SP/PR</t>
  </si>
  <si>
    <t>0007089/2023</t>
  </si>
  <si>
    <t>RDP - LT 750 kV ITABERA /IVAIPORA C-2 SP/PR</t>
  </si>
  <si>
    <t>Substituição dos sistemas de  proteção do RTL 750 kV 329 Mvar ITABERA RIV2 SP</t>
  </si>
  <si>
    <t>0007090/2023</t>
  </si>
  <si>
    <t>PROTEÇÃO - RTL 750 kV 329 Mvar ITABERA RIV2 SP</t>
  </si>
  <si>
    <t>Substituição do registrador de perturbações do RTL 750 kV 329 Mvar ITABERA RIV2 SP</t>
  </si>
  <si>
    <t>0007091/2023</t>
  </si>
  <si>
    <t>RDP - RTL 750 kV 329 Mvar ITABERA RIV2 SP</t>
  </si>
  <si>
    <t>Substituição dos sistemas de  proteção da LT 750 kV ITABERA /IVAIPORA C-1 SP/PR e da proteção de falha do disjuntor DJ12918.</t>
  </si>
  <si>
    <t>0007092/2023</t>
  </si>
  <si>
    <t>PROTEÇÃO - LT 750 kV ITABERA /IVAIPORA C-1 SP/PR</t>
  </si>
  <si>
    <t>Substituição do registrador de perturbações  e Localizador de Faltas por ondas viajantes (TW)  da LT 750 kV ITABERA /IVAIPORA C-1 SP/PR</t>
  </si>
  <si>
    <t>0007094/2023</t>
  </si>
  <si>
    <t>RDP - LT 750 kV ITABERA /IVAIPORA C-1 SP/PR</t>
  </si>
  <si>
    <t>Substituição dos sistemas de  proteção do RTL 750 kV 329 Mvar ITABERA RIV1 SP</t>
  </si>
  <si>
    <t>0007095/2023</t>
  </si>
  <si>
    <t>PROTEÇÃO - RTL 750 kV 329 Mvar ITABERA RIV1 SP</t>
  </si>
  <si>
    <t>Substituição do registrador de perturbações do RTL 750 kV 329 Mvar ITABERA RIV1 SP</t>
  </si>
  <si>
    <t>0007096/2023</t>
  </si>
  <si>
    <t>RDP - RTL 750 kV 329 Mvar ITABERA RIV1 SP</t>
  </si>
  <si>
    <t>Substituição dos sistemas de  proteção da LT 750 kV ITABERA /TIJUCO PRETO C-1 SP e proteção de falha de disjuntor do DJ12718.</t>
  </si>
  <si>
    <t>0007097/2023</t>
  </si>
  <si>
    <t>PROTEÇÃO - LT 750 kV ITABERA /TIJUCO PRETO C-1 SP</t>
  </si>
  <si>
    <t>Substituição do registrador de perturbações  e Localizador de Faltas por ondas viajantes (TW)  da LT 750 kV ITABERA /TIJUCO PRETO C-1 SP</t>
  </si>
  <si>
    <t>0007098/2023</t>
  </si>
  <si>
    <t>RDP - LT 750 kV ITABERA /TIJUCO PRETO C-1 SP</t>
  </si>
  <si>
    <t>Substituição dos sistemas de  proteção da LT 750 kV ITABERA /TIJUCO PRETO C-2 SP e da proteção de falha de disjuntor do DJ12728.</t>
  </si>
  <si>
    <t>0007099/2023</t>
  </si>
  <si>
    <t>PROTEÇÃO - LT 750 kV ITABERA /TIJUCO PRETO C-2 SP</t>
  </si>
  <si>
    <t>Substituição do registrador de perturbações  e Localizador de Faltas por ondas viajantes (TW)  da LT 750 kV ITABERA /TIJUCO PRETO C-2 SP</t>
  </si>
  <si>
    <t>0007101/2023</t>
  </si>
  <si>
    <t>RDP - LT 750 kV ITABERA /TIJUCO PRETO C-2 SP</t>
  </si>
  <si>
    <t>Substituição do registrador de perturbações  e Localizador de Faltas por ondas viajantes (TW)  da LT 750 kV ITABERA /TIJUCO PRETO C-3 SP</t>
  </si>
  <si>
    <t>LT 765 kV ITABERA /TIJUCO PRETO C-3 SP</t>
  </si>
  <si>
    <t>0007102/2023</t>
  </si>
  <si>
    <t>RDP - LT 750 kV ITABERA /TIJUCO PRETO C-3 SP</t>
  </si>
  <si>
    <t>Substituição dos sistemas de proteção de Falha de Disjuntor do DJ12858</t>
  </si>
  <si>
    <t>0007103/2023</t>
  </si>
  <si>
    <t>PROTEÇÃO - DJ12858</t>
  </si>
  <si>
    <t>Substituição dos sistemas de proteção de Falha de Disjuntor do DJ12848</t>
  </si>
  <si>
    <t>0007104/2023</t>
  </si>
  <si>
    <t>PROTEÇÃO - DJ12848</t>
  </si>
  <si>
    <t>Substituição dos sistemas de proteção do DJ12838</t>
  </si>
  <si>
    <t>0007105/2023</t>
  </si>
  <si>
    <t>PROTEÇÃO - DJ12838</t>
  </si>
  <si>
    <t>Substituição do Módulo Concentrador de Informações de oscilografia.</t>
  </si>
  <si>
    <t>0007112/2023</t>
  </si>
  <si>
    <t>MÓDULO CONCENTRADOR</t>
  </si>
  <si>
    <t>Substituição do Módulo de Sincronização das informações.</t>
  </si>
  <si>
    <t>0007113/2023</t>
  </si>
  <si>
    <t>MÓDULO DE SINCRONIZAÇÃO (RARP)</t>
  </si>
  <si>
    <t>Modernização dos Módulos de Comunicação da Infra-Estrutura Geral do Sistemas de Proteção, Controle e Supervisão para permitir a comunicação de dados operativos associados ao Banco de Capacitores Série 765KV atendendo aos requisitos dos procedimentos de rede do ONS.</t>
  </si>
  <si>
    <t>0000426/2022</t>
  </si>
  <si>
    <t>MG IVAIPORA / CCO-2001-062 - RB</t>
  </si>
  <si>
    <t>0000427/2022</t>
  </si>
  <si>
    <t>Instalação dos seguintes subsistemas associados ao Sistema de Telecomunicação: Sistemas de Comunicação Integrada, sem fio, Corporativa e CFTV.</t>
  </si>
  <si>
    <t>0000428/2022</t>
  </si>
  <si>
    <t>0000429/2022</t>
  </si>
  <si>
    <t>Revitalização do transformador conversor 57855 para aumento de vida útil e atendimento à modernização do elo de corrente contínua de Furnas - DIT Itaipú. Necessidade indicada na Nota Técnica nº 164/2022 – SCT/ANEEL, de 22/02/2022. Data da necessidade - 31/12/2023. Equipamento atualmente na posição CV 600/600 kV IBIUNA CV3 SP - TRZE1-C. Após a revitalização será movimentado para o bipolo 1, com previsão de instalação na posição CV 600/600 kV IBIUNA CV3 SP - TRZE1-A.</t>
  </si>
  <si>
    <t>CV 600/600 kV IBIUNA CV3 SP - TRZE1-A</t>
  </si>
  <si>
    <t>0000403/2022</t>
  </si>
  <si>
    <t>TRZE1-A</t>
  </si>
  <si>
    <t>Revitalização do transformador conversor 7197222 para aumento de vida útil e atendimento à modrnização do elo de corrente contínua de Furnas - DIT Itaipú. Necessidade indicada na Nota Técnica nº 164/2022 – SCT/ANEEL, de 22/02/2022. Data da necessidade - 31/12/2023. Equipamento atualmente na posição CV 600/600 kV IBIUNA CVR4 SP. Após a revitalização será movimentado para o bipolo 1, com previsão de instalação na posição CV 600/600 kV IBIUNA CV3 SP - TRZE1-B.</t>
  </si>
  <si>
    <t>CV 600/600 kV IBIUNA CV3 SP - TRZE1-B</t>
  </si>
  <si>
    <t>0000406/2022</t>
  </si>
  <si>
    <t>TRZE1-B</t>
  </si>
  <si>
    <t>Revitalização do transformador conversor 7476860 para aumento de vida útil e atendimento à modernização do elo de corrente contínua de Furnas - DIT Itaipú. Necessidade indicada na Nota Técnica nº 164/2022 – SCT/ANEEL, de 22/02/2022. Data da necessidade - 31/12/2024. Equipamento atualmente na posição CV 600/600 kV IBIUNA CV3 SP - TRZE1-A. Após a revitalização será movimentado para o bipolo 1, com previsão de instalação na posição CV 600/600 kV IBIUNA CV4 SP - TRZH1-B.</t>
  </si>
  <si>
    <t>CV 600/600 kV IBIUNA CV4 SP - TRZH1-B</t>
  </si>
  <si>
    <t>0000407/2022</t>
  </si>
  <si>
    <t>TRZH1-B</t>
  </si>
  <si>
    <t>Revitalização do transformador conversor 7197223 para aumento de vida útil e atendimento à modernização do elo de corrente contínua de Furnas - DIT Itaipú. Necessidade indicada na Nota Técnica nº 164/2022 – SCT/ANEEL, de 22/02/2022. Data da necessidade - 31/12/2024. Equipamento atualmente na posição CV 600/600 kV IBIUNA CV3 SP - TRZE1-B. Após a revitalizaão será movimentado para o bipolo 1, com previsão de instalação na posição CV 600/600 kV IBIUNA CV4 SP - TRZH1-A.</t>
  </si>
  <si>
    <t>CV 600/600 kV IBIUNA CV4 SP - TRZH1-A</t>
  </si>
  <si>
    <t>0000410/2022</t>
  </si>
  <si>
    <t>TRZH1-A</t>
  </si>
  <si>
    <t>Revitalização do transformador conversor 7197226 para aumento de vida útil e atendimento à modernização do elo de corrente contínua de Furnas - DIT Itaipú. Necessidade indicada na Nota Técnica nº 164/2022 – SCT/ANEEL, de 22/02/2022. Data da necessidade - 31/12/2025. Equipamento atualmente na posição CV 600/600 kV IBIUNA CV4 SP - TRZH1-B. Após a revitalização será movimentado para o bipolo 1, com previsão de instalação na posição CV 600/600 kV IBIUNA CV3 SP - TRZE1-C.</t>
  </si>
  <si>
    <t>CV 600/600 kV IBIUNA CV3 SP - TRZE1-C</t>
  </si>
  <si>
    <t>0000412/2022</t>
  </si>
  <si>
    <t>TRZE1-C</t>
  </si>
  <si>
    <t>Revitalização do transformador conversor 58778 para aumento de vida útil e atendimento à modernização do elo de corrente contínua de Furnas - DIT Itaipú. Necessidade indicada na Nota Técnica nº 164/2022 – SCT/ANEEL, de 22/02/2022. Data da necessidade - 31/12/2025. Equipamento atualmente na posição CV 600/600 kV IBIUNA CV4 SP - TRZH1-A. Após a revitalizaão será movimentado para o bipolo 1, com previsão de instalação na posição CV 600/600 kV IBIUNA CV4 SP - TRZH1-C.</t>
  </si>
  <si>
    <t>CV 600/600 kV IBIUNA CV4 SP - TRZH1-C</t>
  </si>
  <si>
    <t>0000414/2022</t>
  </si>
  <si>
    <t>TRZH1-C</t>
  </si>
  <si>
    <t>Implantação de interligação entre o reator reserva 50 Mvar(base 500 kV) ou 60 Mvar(base 550 kV), existente na SE Sobral III, e o Banco de Reatores de Barra 05E5, a ser implantado por meio da ReA 8.328/2019. A obra é composta por: estruturas, barramento, cabeação e infraestrutura associada.</t>
  </si>
  <si>
    <t>RTR 500 kV 60 MVAr SOBRAL III RTR1 CE</t>
  </si>
  <si>
    <t>0000432/2022</t>
  </si>
  <si>
    <t>Substituição de banco de capacitor BC07 (nº serie: STTP_BC_0006, cod. mat.: 10253314).</t>
  </si>
  <si>
    <t>BC 345 kV 200 Mvar TIJUCO PRETO BC7 SP</t>
  </si>
  <si>
    <t>0001285/2022</t>
  </si>
  <si>
    <t>BANCO DE CAPACITORES - BC07</t>
  </si>
  <si>
    <t>Substituição de seccionadora SC877C (nº serie: 13413, cod. mat.: 10193495).</t>
  </si>
  <si>
    <t>0001287/2022</t>
  </si>
  <si>
    <t>SC877C</t>
  </si>
  <si>
    <t>Substituição de seccionadora SC870T (nº serie: 13413T, cod. mat.: 10193496).</t>
  </si>
  <si>
    <t>0001289/2022</t>
  </si>
  <si>
    <t>SC870T</t>
  </si>
  <si>
    <t>Substituição de seccionadora SC8515 (nº serie: 12672, cod. mat.: 10194835).</t>
  </si>
  <si>
    <t>BC 345 kV 200 Mvar TIJUCO PRETO BC8 SP</t>
  </si>
  <si>
    <t>0001290/2022</t>
  </si>
  <si>
    <t>SC8515</t>
  </si>
  <si>
    <t>Substituição de seccionadora SC8513 (nº serie: 12673, cod. mat.: 10194834).</t>
  </si>
  <si>
    <t>0001292/2022</t>
  </si>
  <si>
    <t>SC8513</t>
  </si>
  <si>
    <t>Substituição de seccionadora SC8511 (nº serie: 12671, cod. mat.: 10194833).</t>
  </si>
  <si>
    <t>0001295/2022</t>
  </si>
  <si>
    <t>SC8511</t>
  </si>
  <si>
    <t>Substituição de para-raios RTIATP2 STTPR FASE A (nº serie: 75026395, cod. mat.: 10198523).</t>
  </si>
  <si>
    <t>0004827/2023</t>
  </si>
  <si>
    <t>PARA-RAIOS - RTIATP2 STTPR FASE A</t>
  </si>
  <si>
    <t>Substituição de para-raios RTIATP2 STTPR FASE B (nº serie: 75026396, cod. mat.: 10198524).</t>
  </si>
  <si>
    <t>0004830/2023</t>
  </si>
  <si>
    <t>PARA-RAIOS - RTIATP2 STTPR FASE B</t>
  </si>
  <si>
    <t>Substituição de para-raios RTIATP2 STTPR FASE C (nº serie: 75026397, cod. mat.: 10198525).</t>
  </si>
  <si>
    <t>0004831/2023</t>
  </si>
  <si>
    <t>PARA-RAIOS - RTIATP2 STTPR FASE C</t>
  </si>
  <si>
    <t>Substituição de seccionadora SC12720R (nº serie: 01006, cod. mat.: 10196929).</t>
  </si>
  <si>
    <t>0004874/2023</t>
  </si>
  <si>
    <t>SC12720R</t>
  </si>
  <si>
    <t>Substituição de seccionadora SC12931 (nº serie: 01046, cod. mat.: 10196937).</t>
  </si>
  <si>
    <t>TR 765/500 kV TIJUCO PRETO TR3 SP</t>
  </si>
  <si>
    <t>0004875/2023</t>
  </si>
  <si>
    <t>SC12931</t>
  </si>
  <si>
    <t>Substituição de seccionadora SC12933 (nº serie: 01007, cod. mat.: 10196938).</t>
  </si>
  <si>
    <t>0004876/2023</t>
  </si>
  <si>
    <t>SC12933</t>
  </si>
  <si>
    <t>Substituição de seccionadora SC12937 (nº serie: 01047, cod. mat.: 10196939).</t>
  </si>
  <si>
    <t>0004877/2023</t>
  </si>
  <si>
    <t>SC12937</t>
  </si>
  <si>
    <t>Substituição de trafo corrente TC DJ12934 FASE A (nº serie: 7176021, cod. mat.: 10185104).</t>
  </si>
  <si>
    <t>0004916/2023</t>
  </si>
  <si>
    <t>TC DJ12934 FASE A</t>
  </si>
  <si>
    <t>Substituição de trafo corrente TC DJ12934 FASE B (nº serie: 7176030, cod. mat.: 10185113).</t>
  </si>
  <si>
    <t>0004917/2023</t>
  </si>
  <si>
    <t>TC DJ12934 FASE B</t>
  </si>
  <si>
    <t>Substituição de trafo corrente TC DJ12934 FASE C (nº serie: 7176011, cod. mat.: 10185095).</t>
  </si>
  <si>
    <t>0004921/2023</t>
  </si>
  <si>
    <t>TC DJ12934 FASE C</t>
  </si>
  <si>
    <t>Substituição de trafo corrente TC DJ934 FASE A (nº serie: K83021-02-01, cod. mat.: 10184616).</t>
  </si>
  <si>
    <t>0004922/2023</t>
  </si>
  <si>
    <t>TC DJ934 FASE A</t>
  </si>
  <si>
    <t>Substituição de trafo corrente TC DJ934 FASE B (nº serie: K83021-02-02, cod. mat.: 10184617).</t>
  </si>
  <si>
    <t>0004925/2023</t>
  </si>
  <si>
    <t>TC DJ934 FASE B</t>
  </si>
  <si>
    <t>Substituição de trafo corrente TC DJ934 FASE C (nº serie: K83021-02-03, cod. mat.: 10184618).</t>
  </si>
  <si>
    <t>0004927/2023</t>
  </si>
  <si>
    <t>TC DJ934 FASE C</t>
  </si>
  <si>
    <t>Substituição de trafo potencial/dcp TP 69KV AT03 FASE A (nº serie: 332847, cod. mat.: 10187997).</t>
  </si>
  <si>
    <t>0004947/2023</t>
  </si>
  <si>
    <t>TP 69KV AT03 FASE A</t>
  </si>
  <si>
    <t>Substituição de trafo potencial/dcp TP 69KV AT03 FASE B (nº serie: 332848, cod. mat.: 10187998).</t>
  </si>
  <si>
    <t>0004948/2023</t>
  </si>
  <si>
    <t>TP 69KV AT03 FASE B</t>
  </si>
  <si>
    <t>Substituição de trafo potencial/dcp TP 69KV AT03 FASE C (nº serie: 332849, cod. mat.: 10187999).</t>
  </si>
  <si>
    <t>0004950/2023</t>
  </si>
  <si>
    <t>TP 69KV AT03 FASE C</t>
  </si>
  <si>
    <t>Substituição de disjuntor DJ9344 (nº serie: 1133-4R-002, cod. mat.: 10191518).</t>
  </si>
  <si>
    <t>0004855/2023</t>
  </si>
  <si>
    <t>DJ9344</t>
  </si>
  <si>
    <t>Substituição de seccionadora SC9340T (nº serie: 1131T, cod. mat.: 10194287).</t>
  </si>
  <si>
    <t>0004872/2023</t>
  </si>
  <si>
    <t>SC9340T</t>
  </si>
  <si>
    <t>Substituição de seccionadora SC9343 (nº serie: 1126, cod. mat.: 10194285).</t>
  </si>
  <si>
    <t>0004880/2023</t>
  </si>
  <si>
    <t>SC9343</t>
  </si>
  <si>
    <t>Substituição de seccionadora SC9347 (nº serie: 1131, cod. mat.: 10194286).</t>
  </si>
  <si>
    <t>0004882/2023</t>
  </si>
  <si>
    <t>SC9347</t>
  </si>
  <si>
    <t>Substituição de trafo corrente TCS DJ9344 FASE A (nº serie: K96261-02, cod. mat.: 10184651).</t>
  </si>
  <si>
    <t>0004933/2023</t>
  </si>
  <si>
    <t>TCS DJ9344 FASE A</t>
  </si>
  <si>
    <t>Substituição de trafo corrente TCS DJ9344 FASE B (nº serie: K96261-09, cod. mat.: 10184652).</t>
  </si>
  <si>
    <t>0004934/2023</t>
  </si>
  <si>
    <t>TCS DJ9344 FASE B</t>
  </si>
  <si>
    <t>Substituição de trafo corrente TCS DJ9344 FASE C (nº serie: K96261-03, cod. mat.: 10184653).</t>
  </si>
  <si>
    <t>0004935/2023</t>
  </si>
  <si>
    <t>TCS DJ9344 FASE C</t>
  </si>
  <si>
    <t>Substituição de trafo potencial/dcp DCP LTCHTP1 STTP FASE A (nº serie: 88660403, cod. mat.: 10190402).</t>
  </si>
  <si>
    <t>0004952/2023</t>
  </si>
  <si>
    <t>DCP LTCHTP1 STTP FASE A</t>
  </si>
  <si>
    <t>Substituição de trafo potencial/dcp DCP LTCHTP1 STTP FASE B (nº serie: 88660501, cod. mat.: 10190446).</t>
  </si>
  <si>
    <t>0004953/2023</t>
  </si>
  <si>
    <t>DCP LTCHTP1 STTP FASE B</t>
  </si>
  <si>
    <t>Substituição de trafo potencial/dcp DCP LTCHTP1 STTP FASE C (nº serie: 88695801, cod. mat.: 10190447).</t>
  </si>
  <si>
    <t>0004954/2023</t>
  </si>
  <si>
    <t>DCP LTCHTP1 STTP FASE C</t>
  </si>
  <si>
    <t>Substituição de disjuntor DJ12714 (nº serie: 1122-6R-006, cod. mat.: 10191543).</t>
  </si>
  <si>
    <t>0004854/2023</t>
  </si>
  <si>
    <t>DJ12714</t>
  </si>
  <si>
    <t>Substituição de seccionadora SC12710R (nº serie: 1858, cod. mat.: 10196023).</t>
  </si>
  <si>
    <t>0004883/2023</t>
  </si>
  <si>
    <t>SC12710R</t>
  </si>
  <si>
    <t>Substituição de trafo corrente TCS DJ12714 FASE A (nº serie: 7269-722, cod. mat.: 10184161).</t>
  </si>
  <si>
    <t>0004940/2023</t>
  </si>
  <si>
    <t>TCS DJ12714 FASE A</t>
  </si>
  <si>
    <t>Substituição de trafo corrente TCS DJ12714 FASE B (nº serie: 7269-728, cod. mat.: 10184162).</t>
  </si>
  <si>
    <t>0004941/2023</t>
  </si>
  <si>
    <t>TCS DJ12714 FASE B</t>
  </si>
  <si>
    <t>Substituição de trafo corrente TCS DJ12714 FASE C (nº serie: 7269-709, cod. mat.: 10184163).</t>
  </si>
  <si>
    <t>0004943/2023</t>
  </si>
  <si>
    <t>TCS DJ12714 FASE C</t>
  </si>
  <si>
    <t>Substituição de trafo potencial/dcp DCP LTIATP1 STTP FASE B (nº serie: 88638421, cod. mat.: 10190392).</t>
  </si>
  <si>
    <t>0004955/2023</t>
  </si>
  <si>
    <t>DCP LTIATP1 STTP FASE B</t>
  </si>
  <si>
    <t>Substituição de trafo potencial/dcp DCP LTIATP1 STTP FASE C (nº serie: 88638422, cod. mat.: 10190393).</t>
  </si>
  <si>
    <t>0004956/2023</t>
  </si>
  <si>
    <t>DCP LTIATP1 STTP FASE C</t>
  </si>
  <si>
    <t>Substituição de seccionadora SC8481 (nº serie: 12013, cod. mat.: 10194827).</t>
  </si>
  <si>
    <t>LT 345 kV IBIUNA /TIJUCO PRETO C-1 SP</t>
  </si>
  <si>
    <t>0004884/2023</t>
  </si>
  <si>
    <t>SC8481</t>
  </si>
  <si>
    <t>Substituição de seccionadora SC8483 (nº serie: 12011, cod. mat.: 10194828).</t>
  </si>
  <si>
    <t>0004889/2023</t>
  </si>
  <si>
    <t>SC8483</t>
  </si>
  <si>
    <t>Substituição de seccionadora SC8487 (nº serie: 12044, cod. mat.: 10194829).</t>
  </si>
  <si>
    <t>0004902/2023</t>
  </si>
  <si>
    <t>SC8487</t>
  </si>
  <si>
    <t>Substituição de seccionadora SC8480T (nº serie: 12044 T, cod. mat.: 10194865).</t>
  </si>
  <si>
    <t>0004904/2023</t>
  </si>
  <si>
    <t>SC8480T</t>
  </si>
  <si>
    <t>Substituição de disjuntor DJ9354 (nº serie: 1133-4R-001, cod. mat.: 10191517).</t>
  </si>
  <si>
    <t>LT 500 kV TIJUCO PRETO /TAUBATE C-1 SP</t>
  </si>
  <si>
    <t>0004857/2023</t>
  </si>
  <si>
    <t>DJ9354</t>
  </si>
  <si>
    <t>Substituição de trafo de aterramento AT04 FASE A (nº serie: 34675, cod. mat.: 10183085).</t>
  </si>
  <si>
    <t>TR 765/345 kV TIJUCO PRETO TR4 SP</t>
  </si>
  <si>
    <t>0001301/2022</t>
  </si>
  <si>
    <t>TRAFO ATERRAMENTO AT04 FASE A</t>
  </si>
  <si>
    <t>Substituição de trafo de aterramento AT04 FASE B (nº serie: 34676, cod. mat.: 10183086).</t>
  </si>
  <si>
    <t>0001302/2022</t>
  </si>
  <si>
    <t>TRAFO ATERRAMENTO AT04 FASE B</t>
  </si>
  <si>
    <t>Substituição de trafo de aterramento AT04 FASE C (nº serie: 34677, cod. mat.: 10183087).</t>
  </si>
  <si>
    <t>0001303/2022</t>
  </si>
  <si>
    <t>TRAFO ATERRAMENTO AT04 FASE C</t>
  </si>
  <si>
    <t>Substituição de banco de capacitor BC03 (nº serie: STTP_BC_0002, cod. mat.: 10253310).</t>
  </si>
  <si>
    <t>0001286/2022</t>
  </si>
  <si>
    <t>BANCO DE CAPACITORES - BC03</t>
  </si>
  <si>
    <t>Substituição de disjuntor DJ834C (nº serie: 5810, cod. mat.: 10243569).</t>
  </si>
  <si>
    <t>0001296/2022</t>
  </si>
  <si>
    <t>DJ834C</t>
  </si>
  <si>
    <t>Substituição de disjuntor DJ534 (nº serie: 77995, cod. mat.: 10191732).
Capacidade de curto-circuito (kA) do novo equipamento: 31,5 kA.</t>
  </si>
  <si>
    <t>0006950/2023</t>
  </si>
  <si>
    <t>DJ534</t>
  </si>
  <si>
    <t>SUBSTITUIÇÃO DO CUBÍCULO CC1 01  - 13,8KV</t>
  </si>
  <si>
    <t>0004963/2023</t>
  </si>
  <si>
    <t>CC1 01</t>
  </si>
  <si>
    <t>SUBSTITUIÇÃO DO CUBÍCULO CC1 02  - 13,8KV</t>
  </si>
  <si>
    <t>0004964/2023</t>
  </si>
  <si>
    <t>CC1 02</t>
  </si>
  <si>
    <t>SUBSTITUIÇÃO DO CUBÍCULO CC1 03  - 13,8KV</t>
  </si>
  <si>
    <t>0004965/2023</t>
  </si>
  <si>
    <t>CC1 03</t>
  </si>
  <si>
    <t>SUBSTITUIÇÃO DO CUBÍCULO CC1 04  - 13,8KV</t>
  </si>
  <si>
    <t>0004966/2023</t>
  </si>
  <si>
    <t>CC1 04</t>
  </si>
  <si>
    <t>SUBSTITUIÇÃO DO CUBÍCULO CC1 05  - 13,8KV</t>
  </si>
  <si>
    <t>0004967/2023</t>
  </si>
  <si>
    <t>CC1 05</t>
  </si>
  <si>
    <t>SUBSTITUIÇÃO DO CUBÍCULO CC1 06  - 13,8KV</t>
  </si>
  <si>
    <t>0004969/2023</t>
  </si>
  <si>
    <t>CC1 06</t>
  </si>
  <si>
    <t>SUBSTITUIÇÃO DO CUBÍCULO CC1 07  - 13,8KV</t>
  </si>
  <si>
    <t>0004970/2023</t>
  </si>
  <si>
    <t>CC1 07</t>
  </si>
  <si>
    <t>SUBSTITUIÇÃO DO CUBÍCULO CC1 08  - 13,8KV</t>
  </si>
  <si>
    <t>0004971/2023</t>
  </si>
  <si>
    <t>CC1 08</t>
  </si>
  <si>
    <t>SUBSTITUIÇÃO DO CUBÍCULO CC1 09  - 13,8KV</t>
  </si>
  <si>
    <t>0004973/2023</t>
  </si>
  <si>
    <t>CC1 09</t>
  </si>
  <si>
    <t>SUBSTITUIÇÃO DO CUBÍCULO CC1 10  - 13,8KV</t>
  </si>
  <si>
    <t>0004974/2023</t>
  </si>
  <si>
    <t>CC1 10</t>
  </si>
  <si>
    <t>SUBSTITUIÇÃO DO CUBÍCULO CC1 11  - 13,8KV</t>
  </si>
  <si>
    <t>0004976/2023</t>
  </si>
  <si>
    <t>CC1 11</t>
  </si>
  <si>
    <t>SUBSTITUIÇÃO DO CUBÍCULO CC1 12  - 13,8KV</t>
  </si>
  <si>
    <t>0004977/2023</t>
  </si>
  <si>
    <t>CC1 12</t>
  </si>
  <si>
    <t>SUBSTITUIÇÃO DO CUBÍCULO CC1 13  - 13,8KV</t>
  </si>
  <si>
    <t>0004978/2023</t>
  </si>
  <si>
    <t>CC1 13</t>
  </si>
  <si>
    <t>SUBSTITUIÇÃO DO CUBÍCULO CC1 14  - 13,8KV</t>
  </si>
  <si>
    <t>0004979/2023</t>
  </si>
  <si>
    <t>CC1 14</t>
  </si>
  <si>
    <t>SUBSTITUIÇÃO DO CUBÍCULO CC1 15  - 13,8KV</t>
  </si>
  <si>
    <t>0004980/2023</t>
  </si>
  <si>
    <t>CC1 15</t>
  </si>
  <si>
    <t>SUBSTITUIÇÃO DO CUBÍCULO CC2 01  - 13,8KV</t>
  </si>
  <si>
    <t>0004981/2023</t>
  </si>
  <si>
    <t>CC2 01</t>
  </si>
  <si>
    <t>SUBSTITUIÇÃO DO CUBÍCULO CC2 02  - 13,8KV</t>
  </si>
  <si>
    <t>0004983/2023</t>
  </si>
  <si>
    <t>CC2 02</t>
  </si>
  <si>
    <t>SUBSTITUIÇÃO DO CUBÍCULO CC2 03  - 13,8KV</t>
  </si>
  <si>
    <t>0004984/2023</t>
  </si>
  <si>
    <t>CC2 03</t>
  </si>
  <si>
    <t>SUBSTITUIÇÃO DO CUBÍCULO CC2 04  - 13,8KV</t>
  </si>
  <si>
    <t>0004985/2023</t>
  </si>
  <si>
    <t>CC2 04</t>
  </si>
  <si>
    <t>SUBSTITUIÇÃO DO CUBÍCULO CC2 05  - 13,8KV</t>
  </si>
  <si>
    <t>0004986/2023</t>
  </si>
  <si>
    <t>CC2 05</t>
  </si>
  <si>
    <t>SUBSTITUIÇÃO DO CUBÍCULO CC2 06  - 13,8KV</t>
  </si>
  <si>
    <t>0004987/2023</t>
  </si>
  <si>
    <t>CC2 06</t>
  </si>
  <si>
    <t>SUBSTITUIÇÃO DO CUBÍCULO CC2 07  - 13,8KV</t>
  </si>
  <si>
    <t>0004989/2023</t>
  </si>
  <si>
    <t>CC2 07</t>
  </si>
  <si>
    <t>SUBSTITUIÇÃO DO CUBÍCULO CC2 08  - 13,8KV</t>
  </si>
  <si>
    <t>0004990/2023</t>
  </si>
  <si>
    <t>CC2 08</t>
  </si>
  <si>
    <t>SUBSTITUIÇÃO DO CUBÍCULO CC2 09  - 13,8KV</t>
  </si>
  <si>
    <t>0004991/2023</t>
  </si>
  <si>
    <t>CC2 09</t>
  </si>
  <si>
    <t>SUBSTITUIÇÃO DO CUBÍCULO CC2 10  - 13,8KV</t>
  </si>
  <si>
    <t>0004992/2023</t>
  </si>
  <si>
    <t>CC2 10</t>
  </si>
  <si>
    <t>SUBSTITUIÇÃO DO CUBÍCULO CC2 11  - 13,8KV</t>
  </si>
  <si>
    <t>0004993/2023</t>
  </si>
  <si>
    <t>CC2 11</t>
  </si>
  <si>
    <t>SUBSTITUIÇÃO DO CUBÍCULO CC2 12  - 13,8KV</t>
  </si>
  <si>
    <t>0004995/2023</t>
  </si>
  <si>
    <t>CC2 12</t>
  </si>
  <si>
    <t>SUBSTITUIÇÃO DO CUBÍCULO CC2 13  - 13,8KV</t>
  </si>
  <si>
    <t>0005253/2023</t>
  </si>
  <si>
    <t>CC2 13</t>
  </si>
  <si>
    <t>SUBSTITUIÇÃO DO CUBÍCULO CC2-52/TA4 69-13,8 KV</t>
  </si>
  <si>
    <t>0005255/2023</t>
  </si>
  <si>
    <t>CC2-52/TA4 69-13,8 KV</t>
  </si>
  <si>
    <t>SUBSTITUIÇÃO DO CUBÍCULO CC3 02  - 13,8KV</t>
  </si>
  <si>
    <t>0005256/2023</t>
  </si>
  <si>
    <t>CC3 02</t>
  </si>
  <si>
    <t>SUBSTITUIÇÃO DO CUBÍCULO CC3 03  - 13,8KV</t>
  </si>
  <si>
    <t>0005257/2023</t>
  </si>
  <si>
    <t>CC3 03</t>
  </si>
  <si>
    <t>SUBSTITUIÇÃO DO CUBÍCULO CC3 04  - 13,8KV</t>
  </si>
  <si>
    <t>0005259/2023</t>
  </si>
  <si>
    <t>CC3 04</t>
  </si>
  <si>
    <t>SUBSTITUIÇÃO DO CUBÍCULO CC3 05  - 13,8KV</t>
  </si>
  <si>
    <t>0005260/2023</t>
  </si>
  <si>
    <t>CC3 05</t>
  </si>
  <si>
    <t>SUBSTITUIÇÃO DO CUBÍCULO CC4  - 13,8KV</t>
  </si>
  <si>
    <t>0005261/2023</t>
  </si>
  <si>
    <t>CC4</t>
  </si>
  <si>
    <t>SUBSTITUIÇÃO DO TRANSFORMADOR AUXILIAR SATR03 - 13,8KV</t>
  </si>
  <si>
    <t>0005263/2023</t>
  </si>
  <si>
    <t>SATR03</t>
  </si>
  <si>
    <t>SUBSTITUIÇÃO DO TRANSFORMADOR AUXILIAR SATR04  - 13,8KV/220V</t>
  </si>
  <si>
    <t>0005264/2023</t>
  </si>
  <si>
    <t>SATR04</t>
  </si>
  <si>
    <t>SUBSTITUIÇÃO DO TRANSFORMADOR AUXILIAR SATR05  - 13,8KV/220V</t>
  </si>
  <si>
    <t>0005265/2023</t>
  </si>
  <si>
    <t>SATR05</t>
  </si>
  <si>
    <t>SUBSTITUIÇÃO DO TRANSFORMADOR AUXILIAR SATR06  - 13,8KV/220V</t>
  </si>
  <si>
    <t>0005267/2023</t>
  </si>
  <si>
    <t>SATR06</t>
  </si>
  <si>
    <t>SUBSTITUIÇÃO DO TRANSFORMADOR AUXILIAR SATR07  - 13,8KV/220V</t>
  </si>
  <si>
    <t>0005268/2023</t>
  </si>
  <si>
    <t>SATR07</t>
  </si>
  <si>
    <t>SUBSTITUIÇÃO DO TRANSFORMADOR AUXILIAR SATR09 - 13,8KV/220V</t>
  </si>
  <si>
    <t>0005270/2023</t>
  </si>
  <si>
    <t>SATR09</t>
  </si>
  <si>
    <t>SUBSTITUIÇÃO DO TRANSFORMADOR AUXILIAR SATR10 - 13,8KV/220V</t>
  </si>
  <si>
    <t>0005271/2023</t>
  </si>
  <si>
    <t>SATR10</t>
  </si>
  <si>
    <t>SUBSTITUIÇÃO DO TRANSFORMADOR AUXILIAR TFD15 - 13,8KV/220V</t>
  </si>
  <si>
    <t>0005273/2023</t>
  </si>
  <si>
    <t>TF 15 13.8 KV / 220 V</t>
  </si>
  <si>
    <t>SUBSTITUIÇÃO DO TRANSFORMADOR AUXILIAR TFD16 - 13,8KV/220V</t>
  </si>
  <si>
    <t>0005274/2023</t>
  </si>
  <si>
    <t>TF 16 13.8 KV / 220 V</t>
  </si>
  <si>
    <t>SUBSTITUIÇÃO DO TRANSFORMADOR DE SERVIÇO AUXILIAR TA2 - 69/13,8KV</t>
  </si>
  <si>
    <t>0005276/2023</t>
  </si>
  <si>
    <t>TA2</t>
  </si>
  <si>
    <t>SUBSTITUIÇÃO DO TRANSFORMADOR DE SERVIÇO AUXILIAR TA3 - 69/13,8KV</t>
  </si>
  <si>
    <t>0005277/2023</t>
  </si>
  <si>
    <t>TA3</t>
  </si>
  <si>
    <t>SUBSTITUIÇÃO DO TRANSFORMADOR DE SERVIÇO AUXILIAR TA4 - 20/13,8KV</t>
  </si>
  <si>
    <t>0005278/2023</t>
  </si>
  <si>
    <t>TA4</t>
  </si>
  <si>
    <t>SUBSTITUIÇÃO DO TRANSFORMADOR DE SERVIÇO AUXILIAR TE1 - 13,8KV/480V</t>
  </si>
  <si>
    <t>0005280/2023</t>
  </si>
  <si>
    <t>TE1</t>
  </si>
  <si>
    <t>SUBSTITUIÇÃO DO TRANSFORMADOR DE SERVIÇO AUXILIAR TE2 - 13,8KV/480V</t>
  </si>
  <si>
    <t>0005281/2023</t>
  </si>
  <si>
    <t>TE2</t>
  </si>
  <si>
    <t>SUBSTITUIÇÃO DO TRANSFORMADOR DE SERVIÇO AUXILIAR TF10 - 13,8KV/480V</t>
  </si>
  <si>
    <t>0005282/2023</t>
  </si>
  <si>
    <t>TF10</t>
  </si>
  <si>
    <t>SUBSTITUIÇÃO DO TRANSFORMADOR DE SERVIÇO AUXILIAR TF15 - 13,8KV/480V</t>
  </si>
  <si>
    <t>0005284/2023</t>
  </si>
  <si>
    <t>TF15</t>
  </si>
  <si>
    <t>SUBSTITUIÇÃO DO TRANSFORMADOR DE SERVIÇO AUXILIAR TF16 - 13,8KV/480V</t>
  </si>
  <si>
    <t>0005285/2023</t>
  </si>
  <si>
    <t>TF16</t>
  </si>
  <si>
    <t>SUBSTITUIÇÃO DO TRANSFORMADOR DE SERVIÇO AUXILIAR TF3 - 13,8KV/480V</t>
  </si>
  <si>
    <t>0005287/2023</t>
  </si>
  <si>
    <t>TF03</t>
  </si>
  <si>
    <t>SUBSTITUIÇÃO DO TRANSFORMADOR DE SERVIÇO AUXILIAR TF4 - 13,8KV/480V</t>
  </si>
  <si>
    <t>0005288/2023</t>
  </si>
  <si>
    <t>TF04</t>
  </si>
  <si>
    <t>SUBSTITUIÇÃO DO TRANSFORMADOR DE SERVIÇO AUXILIAR TF5 - 13,8KV/480V</t>
  </si>
  <si>
    <t>0005290/2023</t>
  </si>
  <si>
    <t>TF05</t>
  </si>
  <si>
    <t>SUBSTITUIÇÃO DO TRANSFORMADOR DE SERVIÇO AUXILIAR TF6 - 13,8KV/480V</t>
  </si>
  <si>
    <t>0005291/2023</t>
  </si>
  <si>
    <t>TF06</t>
  </si>
  <si>
    <t>SUBSTITUIÇÃO DO TRANSFORMADOR DE SERVIÇO AUXILIAR TF7 - 13,8KV/480V</t>
  </si>
  <si>
    <t>0005292/2023</t>
  </si>
  <si>
    <t>TF07</t>
  </si>
  <si>
    <t>SUBSTITUIÇÃO DO TRANSFORMADOR DE SERVIÇO AUXILIAR TF8 - 13,8KV/480V</t>
  </si>
  <si>
    <t>0005294/2023</t>
  </si>
  <si>
    <t>TF08</t>
  </si>
  <si>
    <t>SUBSTITUIÇÃO DO TRANSFORMADOR DE SERVIÇO AUXILIAR TF9 - 13,8KV/480V</t>
  </si>
  <si>
    <t>0005295/2023</t>
  </si>
  <si>
    <t>TF09</t>
  </si>
  <si>
    <t>SUBSTITUIÇÃO DO TRANSFORMADOR DE SERVIÇO AUXILIAR TN1 - 13,8KV/480V</t>
  </si>
  <si>
    <t>0005297/2023</t>
  </si>
  <si>
    <t>TN1</t>
  </si>
  <si>
    <t>SUBSTITUIÇÃO DO TRANSFORMADOR DE SERVIÇO AUXILIAR TN2 - 13,8KV/480V</t>
  </si>
  <si>
    <t>0005298/2023</t>
  </si>
  <si>
    <t>TN2</t>
  </si>
  <si>
    <t>SUBSTITUIÇÃO DO TRANSFORMADOR DE SERVIÇO AUXILIAR TO1 - 13,8KV/480V</t>
  </si>
  <si>
    <t>0005299/2023</t>
  </si>
  <si>
    <t>TO1</t>
  </si>
  <si>
    <t>SUBSTITUIÇÃO DO TRANSFORMADOR DE SERVIÇO AUXILIAR TO2 - 13,8KV/480V</t>
  </si>
  <si>
    <t>0005301/2023</t>
  </si>
  <si>
    <t>TO2</t>
  </si>
  <si>
    <t>SUBSTITUIÇÃO DO PAINEL QE1 - 480V</t>
  </si>
  <si>
    <t>0005302/2023</t>
  </si>
  <si>
    <t>QE1</t>
  </si>
  <si>
    <t>SUBSTITUIÇÃO DO PAINEL QE2  - 480V</t>
  </si>
  <si>
    <t>0005304/2023</t>
  </si>
  <si>
    <t>QE2</t>
  </si>
  <si>
    <t>SUBSTITUIÇÃO DO PAINEL QE3  - 480V</t>
  </si>
  <si>
    <t>0005305/2023</t>
  </si>
  <si>
    <t>QE3</t>
  </si>
  <si>
    <t>SUBSTITUIÇÃO DO PAINEL QE3A  - 480V</t>
  </si>
  <si>
    <t>0005306/2023</t>
  </si>
  <si>
    <t>QE3A</t>
  </si>
  <si>
    <t>SUBSTITUIÇÃO DO PAINEL QE3DA  - 480V</t>
  </si>
  <si>
    <t>0005308/2023</t>
  </si>
  <si>
    <t>QE3DA</t>
  </si>
  <si>
    <t>SUBSTITUIÇÃO DO PAINEL QE5  - 480V</t>
  </si>
  <si>
    <t>0005309/2023</t>
  </si>
  <si>
    <t>QE5</t>
  </si>
  <si>
    <t>SUBSTITUIÇÃO DO PAINEL QE6  - 480V</t>
  </si>
  <si>
    <t>0005310/2023</t>
  </si>
  <si>
    <t>QE6</t>
  </si>
  <si>
    <t>SUBSTITUIÇÃO DO PAINEL QE7 - 480V</t>
  </si>
  <si>
    <t>0005311/2023</t>
  </si>
  <si>
    <t>QE7</t>
  </si>
  <si>
    <t>SUBSTITUIÇÃO DO PAINEL QN1  - 480V</t>
  </si>
  <si>
    <t>0005313/2023</t>
  </si>
  <si>
    <t>SUBSTITUIÇÃO DO PAINEL QN2  - 480V</t>
  </si>
  <si>
    <t>0005314/2023</t>
  </si>
  <si>
    <t>SUBSTITUIÇÃO DO PAINEL QN3  - 480V</t>
  </si>
  <si>
    <t>0005315/2023</t>
  </si>
  <si>
    <t>QN3</t>
  </si>
  <si>
    <t>SUBSTITUIÇÃO DO PAINEL QN4  - 480V</t>
  </si>
  <si>
    <t>0005316/2023</t>
  </si>
  <si>
    <t>QN4</t>
  </si>
  <si>
    <t>SUBSTITUIÇÃO DO PAINEL QN5 - 480V</t>
  </si>
  <si>
    <t>0005318/2023</t>
  </si>
  <si>
    <t>QN5</t>
  </si>
  <si>
    <t>SUBSTITUIÇÃO DO PAINEL QN6 - 480V</t>
  </si>
  <si>
    <t>0005319/2023</t>
  </si>
  <si>
    <t>QN6</t>
  </si>
  <si>
    <t>SUBSTITUIÇÃO DO PAINEL QN8C - 480V</t>
  </si>
  <si>
    <t>0005320/2023</t>
  </si>
  <si>
    <t>QN8C</t>
  </si>
  <si>
    <t>SUBSTITUIÇÃO DO PAINEL QN9A - 480V</t>
  </si>
  <si>
    <t>0005322/2023</t>
  </si>
  <si>
    <t>QN9A</t>
  </si>
  <si>
    <t>SUBSTITUIÇÃO DO PAINEL SA03 - 480V</t>
  </si>
  <si>
    <t>0005323/2023</t>
  </si>
  <si>
    <t>SA03</t>
  </si>
  <si>
    <t>SUBSTITUIÇÃO DO PAINEL SA04 - 480V</t>
  </si>
  <si>
    <t>0005324/2023</t>
  </si>
  <si>
    <t>SA04</t>
  </si>
  <si>
    <t>SUBSTITUIÇÃO DO PAINEL SA05 - 480V</t>
  </si>
  <si>
    <t>0005325/2023</t>
  </si>
  <si>
    <t>SA05</t>
  </si>
  <si>
    <t>SUBSTITUIÇÃO DO PAINEL SA06 - 480V</t>
  </si>
  <si>
    <t>0005327/2023</t>
  </si>
  <si>
    <t>SA06</t>
  </si>
  <si>
    <t>SUBSTITUIÇÃO DO PAINEL SA07 - 480V</t>
  </si>
  <si>
    <t>0005328/2023</t>
  </si>
  <si>
    <t>SA07</t>
  </si>
  <si>
    <t>SUBSTITUIÇÃO DO PAINEL SA08 - 480V</t>
  </si>
  <si>
    <t>0005329/2023</t>
  </si>
  <si>
    <t>SA08</t>
  </si>
  <si>
    <t>SUBSTITUIÇÃO DO TRANSFORMADOR DE SERVIÇO AUXILIAR TN7 - 480/220V</t>
  </si>
  <si>
    <t>0005331/2023</t>
  </si>
  <si>
    <t>TN7</t>
  </si>
  <si>
    <t>SUBSTITUIÇÃO DO TRANSFORMADOR DE SERVIÇO AUXILIAR TE2D - 480/220V</t>
  </si>
  <si>
    <t>0005332/2023</t>
  </si>
  <si>
    <t>TE2D</t>
  </si>
  <si>
    <t>SUBSTITUIÇÃO DO TRANSFORMADOR DE SERVIÇO AUXILIAR TN7A - 480/220V</t>
  </si>
  <si>
    <t>0005333/2023</t>
  </si>
  <si>
    <t>TN7A</t>
  </si>
  <si>
    <t>SUBSTITUIÇÃO DO TRANSFORMADOR DE SERVIÇO AUXILIAR TN1A - 480/220V</t>
  </si>
  <si>
    <t>0005334/2023</t>
  </si>
  <si>
    <t>TN1A</t>
  </si>
  <si>
    <t>SUBSTITUIÇÃO DO TRANSFORMADOR DE SERVIÇO AUXILIAR TN1B - 480/220V</t>
  </si>
  <si>
    <t>0005336/2023</t>
  </si>
  <si>
    <t>TN1B</t>
  </si>
  <si>
    <t>SUBSTITUIÇÃO DO TRANSFORMADOR DE SERVIÇO AUXILIAR TE1C - 480/220V</t>
  </si>
  <si>
    <t>0005337/2023</t>
  </si>
  <si>
    <t>TE1C</t>
  </si>
  <si>
    <t>SUBSTITUIÇÃO DO TRANSFORMADOR DE SERVIÇO AUXILIAR TE4D - 480/220V</t>
  </si>
  <si>
    <t>0005338/2023</t>
  </si>
  <si>
    <t>TE4D</t>
  </si>
  <si>
    <t>SUBSTITUIÇÃO DO TRANSFORMADOR DE SERVIÇO AUXILIAR TN3C - 480/220V</t>
  </si>
  <si>
    <t>0005339/2023</t>
  </si>
  <si>
    <t>TN3C</t>
  </si>
  <si>
    <t>SUBSTITUIÇÃO DO TRANSFORMADOR DE SERVIÇO AUXILIAR TN2C - 480/220V</t>
  </si>
  <si>
    <t>0005341/2023</t>
  </si>
  <si>
    <t>TN2C</t>
  </si>
  <si>
    <t>SUBSTITUIÇÃO DO TRANSFORMADOR DE SERVIÇO AUXILIAR TE4A - 480/220V</t>
  </si>
  <si>
    <t>0005342/2023</t>
  </si>
  <si>
    <t>TE4A</t>
  </si>
  <si>
    <t>SUBSTITUIÇÃO DO TRANSFORMADOR DE SERVIÇO AUXILIAR TN5A - 480/220V</t>
  </si>
  <si>
    <t>0005343/2023</t>
  </si>
  <si>
    <t>TN5A</t>
  </si>
  <si>
    <t>SUBSTITUIÇÃO DO TRANSFORMADOR DE SERVIÇO AUXILIAR TN1C - 480/220V</t>
  </si>
  <si>
    <t>0005344/2023</t>
  </si>
  <si>
    <t>TN1C</t>
  </si>
  <si>
    <t>SUBSTITUIÇÃO DO TRANSFORMADOR DE SERVIÇO AUXILIAR TN3D - 480/220V</t>
  </si>
  <si>
    <t>0005346/2023</t>
  </si>
  <si>
    <t>TN3D</t>
  </si>
  <si>
    <t>SUBSTITUIÇÃO DO TRANSFORMADOR DE SERVIÇO AUXILIAR TN2A - 480/220V</t>
  </si>
  <si>
    <t>0005347/2023</t>
  </si>
  <si>
    <t>TN2A</t>
  </si>
  <si>
    <t>SUBSTITUIÇÃO DO TRANSFORMADOR DE SERVIÇO AUXILIAR TN2B - 480/220V</t>
  </si>
  <si>
    <t>0005348/2023</t>
  </si>
  <si>
    <t>TN2B</t>
  </si>
  <si>
    <t>SUBSTITUIÇÃO DO TRANSFORMADOR DE SERVIÇO AUXILIAR TN3A - 480/220V</t>
  </si>
  <si>
    <t>0005349/2023</t>
  </si>
  <si>
    <t>TN3A</t>
  </si>
  <si>
    <t>SUBSTITUIÇÃO DO TRANSFORMADOR DE SERVIÇO AUXILIAR TN6A - 480/220V</t>
  </si>
  <si>
    <t>0005351/2023</t>
  </si>
  <si>
    <t>TN6A</t>
  </si>
  <si>
    <t>SUBSTITUIÇÃO DO TRANSFORMADOR DE SERVIÇO AUXILIAR TN2D - 480/220V</t>
  </si>
  <si>
    <t>0005353/2023</t>
  </si>
  <si>
    <t>TN2D</t>
  </si>
  <si>
    <t>SUBSTITUIÇÃO DO TRANSFORMADOR DE SERVIÇO AUXILIAR TN4A - 480/220V</t>
  </si>
  <si>
    <t>0005355/2023</t>
  </si>
  <si>
    <t>TN4A</t>
  </si>
  <si>
    <t>SUBSTITUIÇÃO DO TRANSFORMADOR DE SERVIÇO AUXILIAR TE6A - 480/220V</t>
  </si>
  <si>
    <t>0005356/2023</t>
  </si>
  <si>
    <t>TE6A</t>
  </si>
  <si>
    <t>SUBSTITUIÇÃO DO TRANSFORMADOR DE SERVIÇO AUXILIAR TN4C - 480/220V</t>
  </si>
  <si>
    <t>0005357/2023</t>
  </si>
  <si>
    <t>TN4C</t>
  </si>
  <si>
    <t>SUBSTITUIÇÃO DO TRANSFORMADOR DE SERVIÇO AUXILIAR TE5A - 480/220V</t>
  </si>
  <si>
    <t>0005359/2023</t>
  </si>
  <si>
    <t>TE5A</t>
  </si>
  <si>
    <t>SUBSTITUIÇÃO DO TRANSFORMADOR DE SERVIÇO AUXILIAR TN1D - 480/220V</t>
  </si>
  <si>
    <t>0005361/2023</t>
  </si>
  <si>
    <t>TN1D</t>
  </si>
  <si>
    <t>SUBSTITUIÇÃO DO TRANSFORMADOR DE SERVIÇO AUXILIAR TE7A - 480/220V</t>
  </si>
  <si>
    <t>0005363/2023</t>
  </si>
  <si>
    <t>TE7A</t>
  </si>
  <si>
    <t>SUBSTITUIÇÃO DO TRANSFORMADOR DE SERVIÇO AUXILIAR TE2A - 480/220V</t>
  </si>
  <si>
    <t>0005364/2023</t>
  </si>
  <si>
    <t>TE2A</t>
  </si>
  <si>
    <t>SUBSTITUIÇÃO DO TRANSFORMADOR DE SERVIÇO AUXILIAR TN3B - 480/220V</t>
  </si>
  <si>
    <t>0005365/2023</t>
  </si>
  <si>
    <t>TN3B</t>
  </si>
  <si>
    <t>SUBSTITUIÇÃO DO TRANSFORMADOR DE SERVIÇO AUXILIAR TN8A - 480/220V</t>
  </si>
  <si>
    <t>0005366/2023</t>
  </si>
  <si>
    <t>TN8A</t>
  </si>
  <si>
    <t>SUBSTITUIÇÃO DO TRANSFORMADOR DE SERVIÇO AUXILIAR TE2C - 480/220V</t>
  </si>
  <si>
    <t>0005368/2023</t>
  </si>
  <si>
    <t>TE2C</t>
  </si>
  <si>
    <t>SUBSTITUIÇÃO DO TRANSFORMADOR DE SERVIÇO AUXILIAR TE1D - 480/220V</t>
  </si>
  <si>
    <t>0005371/2023</t>
  </si>
  <si>
    <t>TE1D</t>
  </si>
  <si>
    <t>SUBSTITUIÇÃO DO SISTEMA DE ALIMENTAÇÃO DE ENERGIA AC (EMERGÊNCIA)FONTE POR GRUPO MOTOR GERADOR DE TODA SE - 480V.</t>
  </si>
  <si>
    <t>0005377/2023</t>
  </si>
  <si>
    <t>SISTEMA DE ALIMENTAÇÃO DE EMERGÊNCIA POR GMG</t>
  </si>
  <si>
    <t>SUBSTITUIÇÃO DO PAINEL SB - 220V</t>
  </si>
  <si>
    <t>0005380/2023</t>
  </si>
  <si>
    <t>SB</t>
  </si>
  <si>
    <t>SUBSTITUIÇÃO DO PAINEL QN7 - 220V</t>
  </si>
  <si>
    <t>0005381/2023</t>
  </si>
  <si>
    <t>QN7</t>
  </si>
  <si>
    <t>SUBSTITUIÇÃO DO RETIFICADOR A DA SALA DE CONTROLE - 480V</t>
  </si>
  <si>
    <t>0005383/2023</t>
  </si>
  <si>
    <t>RFA - SALA DE CONTROLE</t>
  </si>
  <si>
    <t>0005384/2023</t>
  </si>
  <si>
    <t>RFB - SALA DE CONTROLE</t>
  </si>
  <si>
    <t>SUBSTITUIÇÃO DO RETIFICADOR A DA CASA DE RELÉS 1 - 125VCC</t>
  </si>
  <si>
    <t>0005385/2023</t>
  </si>
  <si>
    <t>RFA - CASA DE RELÉS 1</t>
  </si>
  <si>
    <t>SUBSTITUIÇÃO DO RETIFICADOR B DA CASA DE RELÉS 1 - 125VCC</t>
  </si>
  <si>
    <t>0005387/2023</t>
  </si>
  <si>
    <t>RFB - CASA DE RELÉS 1</t>
  </si>
  <si>
    <t>SUBSTITUIÇÃO DO RETIFICADOR A DA CASA DE RELÉS 2 - 480V</t>
  </si>
  <si>
    <t>0005388/2023</t>
  </si>
  <si>
    <t>RFA - CASA DE RELÉS 2</t>
  </si>
  <si>
    <t>SUBSTITUIÇÃO DO RETIFICADOR B DA CASA DE RELÉS 2 - 480V</t>
  </si>
  <si>
    <t>0005389/2023</t>
  </si>
  <si>
    <t>RFB - CASA DE RELÉS 2</t>
  </si>
  <si>
    <t>SUBSTITUIÇÃO DO RETIFICADOR A DA SALA DO SÍNCRONO - 480V</t>
  </si>
  <si>
    <t>0005391/2023</t>
  </si>
  <si>
    <t>RFA - SALA DO SÍNCRONO</t>
  </si>
  <si>
    <t>SUBSTITUIÇÃO DO RETIFICADOR B DA SALA DO SÍNCRONO - 480V</t>
  </si>
  <si>
    <t>0005392/2023</t>
  </si>
  <si>
    <t>RFB - SALA DO SÍNCRONO</t>
  </si>
  <si>
    <t>SUBSTITUIÇÃO DO PAINEL PD1A - 125VCC</t>
  </si>
  <si>
    <t>0005393/2023</t>
  </si>
  <si>
    <t>PD1A</t>
  </si>
  <si>
    <t>SUBSTITUIÇÃO DO PAINEL PD1 - 125VCC</t>
  </si>
  <si>
    <t>0005394/2023</t>
  </si>
  <si>
    <t>PD1</t>
  </si>
  <si>
    <t>SUBSTITUIÇÃO DO PAINEL PD1D - 125VCC</t>
  </si>
  <si>
    <t>0005395/2023</t>
  </si>
  <si>
    <t>PD1D</t>
  </si>
  <si>
    <t>SUBSTITUIÇÃO DO PAINEL SC - 125VCC</t>
  </si>
  <si>
    <t>0005396/2023</t>
  </si>
  <si>
    <t>SC</t>
  </si>
  <si>
    <t>Substituição dos sistemas de proteção da LT 750 kV ITABERA /TIJUCO PRETO C-2 SP e da proteção de falha de disjuntor do DJ12844</t>
  </si>
  <si>
    <t>0006689/2023</t>
  </si>
  <si>
    <t>Substituição dos sistemas de proteção do RTL 750 kV 329 Mvar TIJUCO PRETO RIATP2 SP</t>
  </si>
  <si>
    <t>0006696/2023</t>
  </si>
  <si>
    <t>PROTEÇÃO - RTL 750 kV 329 Mvar TIJUCO PRETO RIATP2 SP</t>
  </si>
  <si>
    <t>Substituição dos sistemas de proteção da LT 750 kV ITABERA /TIJUCO PRETO C-1 SP e da proteção de falha de disjuntor do DJ12834.</t>
  </si>
  <si>
    <t>0006698/2023</t>
  </si>
  <si>
    <t>Substituição dos sistemas de proteção do RTL 750 kV 329 Mvar TIJUCO PRETO RIATP1 SP</t>
  </si>
  <si>
    <t>0006699/2023</t>
  </si>
  <si>
    <t>PROTEÇÃO - RTL 750 kV 329 Mvar TIJUCO PRETO RIATP1 SP</t>
  </si>
  <si>
    <t>Substituição dos sistemas de proteção do CS 330/-220 MVAr TIJUCO PRETO CS1 SP</t>
  </si>
  <si>
    <t>CS 330/-220 Mvar TIJUCO PRETO CS1 SP</t>
  </si>
  <si>
    <t>0006700/2023</t>
  </si>
  <si>
    <t>PROTEÇÃO - CS 330/-220 MVAr TIJUCO PRETO CS1 SP</t>
  </si>
  <si>
    <t>Substituição dos sistemas de proteção da LT 345 kV B. SANTISTA /TIJUCO PRETO C-2 SP e das proteções dos disjuntores DJ8824 e DJ8724.</t>
  </si>
  <si>
    <t>LT 345 kV B. SANTISTA /TIJUCO PRETO C-2 SP</t>
  </si>
  <si>
    <t>0006702/2023</t>
  </si>
  <si>
    <t>PROTEÇÃO - LT 345 kV B. SANTISTA /TIJUCO PRETO C-2 SP</t>
  </si>
  <si>
    <t>Substituição dos sistemas de proteção da LT 345 kV ITAPETI /TIJUCO PRETO C-1 SP e da proteção de falha de disjuntor do DJ8834.</t>
  </si>
  <si>
    <t>LT 345 kV ITAPETI /TIJUCO PRETO C-1 SP</t>
  </si>
  <si>
    <t>0006706/2023</t>
  </si>
  <si>
    <t>PROTEÇÃO - LT 345 kV ITAPETI /TIJUCO PRETO C-1 SP</t>
  </si>
  <si>
    <t>Substituição dos sistemas de proteção da LT 345 kV LESTE /TIJUCO PRETO C-1 SP e da proteção de falha de disjuntor do DJ8864.</t>
  </si>
  <si>
    <t>LT 345 kV LESTE /TIJUCO PRETO C-1 SP</t>
  </si>
  <si>
    <t>0006709/2023</t>
  </si>
  <si>
    <t>PROTEÇÃO - LT 345 kV LESTE /TIJUCO PRETO C-1 SP</t>
  </si>
  <si>
    <t>Substituição dos sistemas de proteção de Falha de Disjuntor do DJ8764</t>
  </si>
  <si>
    <t>0006711/2023</t>
  </si>
  <si>
    <t>PROTEÇÃO - DJ8764</t>
  </si>
  <si>
    <t>Substituição dos sistemas de proteção da LT 345 kV LESTE /TIJUCO PRETO C-2 SP e da proteção de falha de disjuntor DJ8874.</t>
  </si>
  <si>
    <t>LT 345 kV LESTE /TIJUCO PRETO C-2 SP</t>
  </si>
  <si>
    <t>0006712/2023</t>
  </si>
  <si>
    <t>PROTEÇÃO - LT 345 kV LESTE /TIJUCO PRETO C-2 SP</t>
  </si>
  <si>
    <t>Substituição dos sistemas de proteção da LT 345 kV LESTE /TIJUCO PRETO C-3 SP e da proteção de falha de disjuntor do DJ8604.</t>
  </si>
  <si>
    <t>LT 345 kV LESTE /TIJUCO PRETO C-3 SP</t>
  </si>
  <si>
    <t>0006714/2023</t>
  </si>
  <si>
    <t>PROTEÇÃO - LT 345 kV LESTE /TIJUCO PRETO C-3 SP</t>
  </si>
  <si>
    <t>Substituição do registrador de perturbações digital e Localizador de Faltas por ondas viajantes (TW) da LT 750 kV ITABERA /TIJUCO PRETO C-2 SP</t>
  </si>
  <si>
    <t>0006717/2023</t>
  </si>
  <si>
    <t>Substituição do registrador de perturbações digital do RTL 750 kV 329 Mvar TIJUCO PRETO RIATP2 SP</t>
  </si>
  <si>
    <t>0006718/2023</t>
  </si>
  <si>
    <t>RDP - RTL 750 kV 329 Mvar TIJUCO PRETO RIATP2 SP</t>
  </si>
  <si>
    <t>Substituição do registrador de perturbações digital e Localizador de Faltas por ondas viajantes (TW) da LT 750 kV ITABERA /TIJUCO PRETO C-1 SP</t>
  </si>
  <si>
    <t>0006719/2023</t>
  </si>
  <si>
    <t>Substituição do registrador de perturbações digital do CS 330/-220 MVAr TIJUCO PRETO CS1 SP</t>
  </si>
  <si>
    <t>0006720/2023</t>
  </si>
  <si>
    <t>RDP - CS 330/-220 MVAr TIJUCO PRETO CS1 SP</t>
  </si>
  <si>
    <t>Substituição do registrador de perturbações digital da LT 345 kV B. SANTISTA /TIJUCO PRETO C-3 SP (Nome Furnas LIBXTP1)</t>
  </si>
  <si>
    <t>LT 345 kV B. SANTISTA /TIJUCO PRETO C-3 SP</t>
  </si>
  <si>
    <t>0006727/2023</t>
  </si>
  <si>
    <t>RDP -  LT 345 kV B. SANTISTA /TIJUCO PRETO C-3 SP (LIBXTP1)</t>
  </si>
  <si>
    <t>Substituição do registrador de perturbações digital da LT 345 kV ITAPETI /TIJUCO PRETO C-2 SP</t>
  </si>
  <si>
    <t>LT 345 kV ITAPETI /TIJUCO PRETO C-2 SP</t>
  </si>
  <si>
    <t>0006734/2023</t>
  </si>
  <si>
    <t>RDP -  LT 345 kV ITAPETI /TIJUCO PRETO C-2 SP</t>
  </si>
  <si>
    <t>Substituição do registrador de perturbações digital da LT 345 kV LESTE /TIJUCO PRETO C-1 SP</t>
  </si>
  <si>
    <t>0006735/2023</t>
  </si>
  <si>
    <t>RDP - LT 345 kV LESTE /TIJUCO PRETO C-1 SP</t>
  </si>
  <si>
    <t>Substituição do registrador de perturbações digital da LT 345 kV LESTE /TIJUCO PRETO C-2 SP</t>
  </si>
  <si>
    <t>0006738/2023</t>
  </si>
  <si>
    <t>RDP - LT 345 kV LESTE /TIJUCO PRETO C-2 SP</t>
  </si>
  <si>
    <t>Substituição do registrador de perturbações digital da LT 345 kV LESTE /TIJUCO PRETO C-3 SP</t>
  </si>
  <si>
    <t>0006740/2023</t>
  </si>
  <si>
    <t>RDP -  LT 345 kV LESTE /TIJUCO PRETO C-3 SP</t>
  </si>
  <si>
    <t>Substituição do registrador de perturbações digital e Localizador de Faltas por ondas viajantes (TW) da LT 750 kV ITABERA /TIJUCO PRETO C-3 SP</t>
  </si>
  <si>
    <t>LT 750 kV ITABERA /TIJUCO PRETO C-3 SP</t>
  </si>
  <si>
    <t>0006741/2023</t>
  </si>
  <si>
    <t>Substituição do registrador de perturbações digital do RTL 750 kV 329 Mvar TIJUCO PRETO RIATP3 SP</t>
  </si>
  <si>
    <t>0006744/2023</t>
  </si>
  <si>
    <t>RDP - RTL 750 kV 329 Mvar TIJUCO PRETO RIATP3 SP</t>
  </si>
  <si>
    <t>Substituição do registrador de perturbações digital  com Localizador de Faltas por ondas viajantes (TW) da LT 500 kV C. PAULISTA /TIJUCO PRETO C-1 SP</t>
  </si>
  <si>
    <t>0006749/2023</t>
  </si>
  <si>
    <t>RDP - LT 500 kV C. PAULISTA /TIJUCO PRETO C-1 SP</t>
  </si>
  <si>
    <t>Substituição do registrador de perturbações digital da LT 500 kV TIJUCO PRETO /TAUBATE C-1 SP</t>
  </si>
  <si>
    <t>0006750/2023</t>
  </si>
  <si>
    <t>RDP - LT 500 kV TIJUCO PRETO /TAUBATE C-1 SP</t>
  </si>
  <si>
    <t>Substituição do registrador de perturbações digital da LT 345 kV ITAPETI /TIJUCO PRETO C-4 SP</t>
  </si>
  <si>
    <t>LT 345 kV ITAPETI /TIJUCO PRETO C-4 SP</t>
  </si>
  <si>
    <t>0006753/2023</t>
  </si>
  <si>
    <t>RDP -  LT 345 kV ITAPETI /TIJUCO PRETO C-4 SP</t>
  </si>
  <si>
    <t>Substituição do registrador de perturbações digital da LT 345 kV ITAPETI /TIJUCO PRETO C-3 SP</t>
  </si>
  <si>
    <t>LT 345 kV ITAPETI /TIJUCO PRETO C-3 SP</t>
  </si>
  <si>
    <t>0006755/2023</t>
  </si>
  <si>
    <t>RDP - LT 345 kV ITAPETI /TIJUCO PRETO C-3 SP</t>
  </si>
  <si>
    <t>Substituição do registrador de perturbações digital  com Localizador de Faltas por ondas viajantes (TW) da LT 345 kV IBIUNA /TIJUCO PRETO C-2 SP</t>
  </si>
  <si>
    <t>LT 345 kV IBIUNA /TIJUCO PRETO C-2 SP</t>
  </si>
  <si>
    <t>0006756/2023</t>
  </si>
  <si>
    <t>RDP -  LT 345 kV IBIUNA /TIJUCO PRETO C-2 SP</t>
  </si>
  <si>
    <t>Substituição do registrador de perturbações digital  com Localizador de Faltas por ondas viajantes (TW) da LT 345 kV IBIUNA /TIJUCO PRETO C-1 SP</t>
  </si>
  <si>
    <t>0006759/2023</t>
  </si>
  <si>
    <t>RDP - LT 345 kV IBIUNA /TIJUCO PRETO C-1 SP</t>
  </si>
  <si>
    <t>Substituição da UAC de supervisão do COMPENSADOR SÍNCRONO 330/-220 MVAr TIJUCO PRETO CS1 SP</t>
  </si>
  <si>
    <t>0007643/2023</t>
  </si>
  <si>
    <t>SAP 10218850</t>
  </si>
  <si>
    <t>Substituição da UAC de supervisão da LT 750 kV ITABERA /TIJUCO PRETO C-2 SP</t>
  </si>
  <si>
    <t>0007648/2023</t>
  </si>
  <si>
    <t>Substituição da UAC de supervisão do RTL 750 kV 329 Mvar TIJUCO PRETO RIATP2 SP</t>
  </si>
  <si>
    <t>0007650/2023</t>
  </si>
  <si>
    <t>Substituição da UAC de supervisão da LT 750 kV ITABERA /TIJUCO PRETO C-1 SP</t>
  </si>
  <si>
    <t>0007651/2023</t>
  </si>
  <si>
    <t>Substituição da UAC de supervisão do RTL 750 kV 329 Mvar TIJUCO PRETO RIATP1 SP</t>
  </si>
  <si>
    <t>0007653/2023</t>
  </si>
  <si>
    <t>Substituição da UAC de supervisão da LT 345 kV B. SANTISTA /TIJUCO PRETO C-2 SP</t>
  </si>
  <si>
    <t>0007654/2023</t>
  </si>
  <si>
    <t>Substituição da UAC de supervisão da LT 345 kV B. SANTISTA /TIJUCO PRETO C-3 SP (Nome Furnas LIBXTP1)</t>
  </si>
  <si>
    <t>0007657/2023</t>
  </si>
  <si>
    <t>Substituição da UAC de supervisão da LT 345 kV ITAPETI /TIJUCO PRETO C-1 SP</t>
  </si>
  <si>
    <t>0007659/2023</t>
  </si>
  <si>
    <t>Substituição da UAC de supervisão da LT 345 kV ITAPETI /TIJUCO PRETO C-2 SP</t>
  </si>
  <si>
    <t>0007662/2023</t>
  </si>
  <si>
    <t>Substituição da UAC de supervisão da LT  345 kV LESTE/ TIJUCO PRETO C-1  SP</t>
  </si>
  <si>
    <t>LT  345 kV LESTE/ TIJUCO PRETO C-1  SP</t>
  </si>
  <si>
    <t>0007665/2023</t>
  </si>
  <si>
    <t>Substituição da UAC de supervisão da LT  345 kV LESTE/ TIJUCO PRETO C-2  SP</t>
  </si>
  <si>
    <t>LT  345 kV LESTE/ TIJUCO PRETO C-2  SP</t>
  </si>
  <si>
    <t>0007666/2023</t>
  </si>
  <si>
    <t>Substituição da UAC de supervisão da LT  345 kV LESTE/ TIJUCO PRETO C-3  SP</t>
  </si>
  <si>
    <t>LT  345 kV LESTE/ TIJUCO PRETO C-3  SP</t>
  </si>
  <si>
    <t>0007667/2023</t>
  </si>
  <si>
    <t>Substituição de switch FSTP-A01P da Rede Operativa da subestação de Tijuco Preto.</t>
  </si>
  <si>
    <t>0007980/2023</t>
  </si>
  <si>
    <t>FSTP-A01P</t>
  </si>
  <si>
    <t>Substituição de switch FSTP-A01S da Rede Operativa da subestação de Tijuco Preto.</t>
  </si>
  <si>
    <t>0007982/2023</t>
  </si>
  <si>
    <t>FSTP-A01S</t>
  </si>
  <si>
    <t>Substituição de switch FSTP-A02P da Rede Operativa da subestação de Tijuco Preto.</t>
  </si>
  <si>
    <t>0007985/2023</t>
  </si>
  <si>
    <t>FSTP-A02P</t>
  </si>
  <si>
    <t>Substituição de switch FSTP-A02S da Rede Operativa da subestação de Tijuco Preto.</t>
  </si>
  <si>
    <t>0007986/2023</t>
  </si>
  <si>
    <t>FSTP-A02S</t>
  </si>
  <si>
    <t>Substituição de switch FSTP-A03P da Rede Operativa da subestação de Tijuco Preto.</t>
  </si>
  <si>
    <t>0007989/2023</t>
  </si>
  <si>
    <t>FSTP-A03P</t>
  </si>
  <si>
    <t>Substituição de switch FSTP-A03S da Rede Operativa da subestação de Tijuco Preto.</t>
  </si>
  <si>
    <t>0007990/2023</t>
  </si>
  <si>
    <t>FSTP-A03S</t>
  </si>
  <si>
    <t>Substituição de switch FSTP-A06P da Rede Operativa da subestação de Tijuco Preto.</t>
  </si>
  <si>
    <t>0007991/2023</t>
  </si>
  <si>
    <t>FSTP-A06P</t>
  </si>
  <si>
    <t>Substituição de switch FSTP-A06S da Rede Operativa da subestação de Tijuco Preto.</t>
  </si>
  <si>
    <t>0007992/2023</t>
  </si>
  <si>
    <t>FSTP-A06S</t>
  </si>
  <si>
    <t>Substituição de switch FSTP-A07P da Rede Operativa da subestação de Tijuco Preto.</t>
  </si>
  <si>
    <t>0007994/2023</t>
  </si>
  <si>
    <t>FSTP-A07P</t>
  </si>
  <si>
    <t>Substituição de switch FSTP-A07S da Rede Operativa da subestação de Tijuco Preto.</t>
  </si>
  <si>
    <t>0007995/2023</t>
  </si>
  <si>
    <t>FSTP-A07S</t>
  </si>
  <si>
    <t>Substituição de switch FSTP-SF01P da Rede Operativa da subestação de Tijuco Preto.</t>
  </si>
  <si>
    <t>0007997/2023</t>
  </si>
  <si>
    <t>FSTP-SF01P</t>
  </si>
  <si>
    <t>Substituição de switch FSTP-SF01S da Rede Operativa da subestação de Tijuco Preto.</t>
  </si>
  <si>
    <t>0007998/2023</t>
  </si>
  <si>
    <t>FSTP-SF01S</t>
  </si>
  <si>
    <t>Substituição de switch FSTP-N01P da Rede Operativa da subestação de Tijuco Preto.</t>
  </si>
  <si>
    <t>0008000/2023</t>
  </si>
  <si>
    <t>FSTP-N01P</t>
  </si>
  <si>
    <t>Substituição de switch FSTP-N01S da Rede Operativa da subestação de Tijuco Preto.</t>
  </si>
  <si>
    <t>0008001/2023</t>
  </si>
  <si>
    <t>FSTP-N01S</t>
  </si>
  <si>
    <t>Substituição de switch FSTP-C01P da Rede Operativa da subestação de Tijuco Preto.</t>
  </si>
  <si>
    <t>0008003/2023</t>
  </si>
  <si>
    <t>FSTP-C01P</t>
  </si>
  <si>
    <t>Substituição de switch FSTP-C01S da Rede Operativa da subestação de Tijuco Preto.</t>
  </si>
  <si>
    <t>0008005/2023</t>
  </si>
  <si>
    <t>FSTP-C01S</t>
  </si>
  <si>
    <t>Substituição de switch FSTP-D01P da Rede Operativa da subestação de Tijuco Preto.</t>
  </si>
  <si>
    <t>0008007/2023</t>
  </si>
  <si>
    <t>FSTP-D01P</t>
  </si>
  <si>
    <t>Substituição de switch FSTP-D01S da Rede Operativa da subestação de Tijuco Preto.</t>
  </si>
  <si>
    <t>0008008/2023</t>
  </si>
  <si>
    <t>FSTP-D01S</t>
  </si>
  <si>
    <t>Substituição de switch FSTP-A04P da Rede Operativa da subestação de Tijuco Preto.</t>
  </si>
  <si>
    <t>0008009/2023</t>
  </si>
  <si>
    <t>FSTP-A04P</t>
  </si>
  <si>
    <t>Substituição de switch FSTP-A04S da Rede Operativa da subestação de Tijuco Preto.</t>
  </si>
  <si>
    <t>0008011/2023</t>
  </si>
  <si>
    <t>FSTP-A04S</t>
  </si>
  <si>
    <t>Substituição de switch FSTP-P05 da Rede Operativa da subestação de Tijuco Preto.</t>
  </si>
  <si>
    <t>0008013/2023</t>
  </si>
  <si>
    <t>FSTP-P05</t>
  </si>
  <si>
    <t>Substituição de switch FSTP-P06 da Rede Operativa da subestação de Tijuco Preto.</t>
  </si>
  <si>
    <t>0008014/2023</t>
  </si>
  <si>
    <t>FSTP-P06</t>
  </si>
  <si>
    <t>Substituição do registrador de perturbações digital da LT 345 kV B. SANTISTA /TIJUCO PRETO C-2 SP</t>
  </si>
  <si>
    <t>0006764/2023</t>
  </si>
  <si>
    <t>RDP - LT 345 kV B. SANTISTA /TIJUCO PRETO C-2 SP</t>
  </si>
  <si>
    <t>Substituição dos sistemas de proteção da LT 345 kV B. SANTISTA /TIJUCO PRETO C-3 SP (Nome Furnas LIBXTP1) e das proteções de falha de disjuntor dos DJ8814 e DJ8714.</t>
  </si>
  <si>
    <t>0006765/2023</t>
  </si>
  <si>
    <t>PROTEÇÃO - LT 345 kV B. SANTISTA /TIJUCO PRETO C-3 SP (LIBXTP1)</t>
  </si>
  <si>
    <t>Substituição do registrador de perturbações digital da LT 345 kV ITAPETI /TIJUCO PRETO C-1 SP</t>
  </si>
  <si>
    <t>0006768/2023</t>
  </si>
  <si>
    <t>RDP - LT 345 kV ITAPETI /TIJUCO PRETO C-1 SP</t>
  </si>
  <si>
    <t>Substituição dos sistemas de proteção da LT 345 kV ITAPETI /TIJUCO PRETO C-2 SP e da proteção de falha do disjuntor DJ8844.</t>
  </si>
  <si>
    <t>0006770/2023</t>
  </si>
  <si>
    <t>PROTEÇÃO - LT 345 kV ITAPETI /TIJUCO PRETO C-2 SP</t>
  </si>
  <si>
    <t>Substituição de seccionador SC12615 (nº serie: 11868006, cod. mat.: 10195463), por outro seccionador com lâmina de terra.</t>
  </si>
  <si>
    <t>FT CR 750 kV 508 Mvar IVAIPORA BC6A PR</t>
  </si>
  <si>
    <t>0000509/2022</t>
  </si>
  <si>
    <t>SC12615</t>
  </si>
  <si>
    <t>Substituição de seccionador SC12617 (nº serie: 11867004, cod. mat.: 10195464), por outro seccionador com lâmina de terra.</t>
  </si>
  <si>
    <t>CR 750 kV 508 Mvar IVAIPORA BC6B PR</t>
  </si>
  <si>
    <t>0000510/2022</t>
  </si>
  <si>
    <t>SC12617</t>
  </si>
  <si>
    <t>Substituição de seccionadora SC12917 (nº serie: 11867003, cod. mat.: 10195466), por outro seccionador com lâmina de terra com corrente nominal de 4.000 A.</t>
  </si>
  <si>
    <t>CR 765 kV 528 Mvar IVAIPORA BC5B PR</t>
  </si>
  <si>
    <t>0000513/2022</t>
  </si>
  <si>
    <t>SC12917</t>
  </si>
  <si>
    <t>F.IGUACU 50HZ</t>
  </si>
  <si>
    <t>Revitalização do transformador conversor 57844 para aumento de vida útil e atendimento à modernização do elo de corrente contínua de Furnas - DIT Itaipu. Necessidade indicada na Nota Técnica nº 164/2022 – SCT/ANEEL, de 22/02/2022. Equipamento atualmente na posição CV 600/600 kV F.IGUACU 50HZ CVR2 PR. Após a revitalização será movimentado para o bipolo 1, com previsão de instalação na posição CV 600/600 kV F.IGUACU 50HZ CV4 PR - TRZH1-C.</t>
  </si>
  <si>
    <t>CV 600/600 kV F.IGUACU 50HZ CV4 PR - TRZH1-C</t>
  </si>
  <si>
    <t>0000515/2022</t>
  </si>
  <si>
    <t>Revitalização do transformador conversor 7197219 para aumento de vida útil e atendimento à modernização do elo de corrente contínua de Furnas - DIT Itaipu. Necessidade indicada na Nota Técnica nº 164/2022 – SCT/ANEEL, de 22/02/2022. Equipamento atualmente na posição CV 600/600 kV F.IGUACU 50HZ CV6 PR - TRZP1-B. Após a revitalização será movimentado para o bipolo 1, com previsão de instalação na posição CV 600/600 kV F.IGUACU 50HZ CV2 PR - TRZG1-A.</t>
  </si>
  <si>
    <t>CV 600/600 kV F.IGUACU 50HZ CV2 PR - TRZG1-A</t>
  </si>
  <si>
    <t>0000516/2022</t>
  </si>
  <si>
    <t>TRZG1-A</t>
  </si>
  <si>
    <t>Substituição de trafo corrente TC DJ9246 FASE A (nº serie: K79341-02-3, cod. mat.: 10184570).</t>
  </si>
  <si>
    <t>0001347/2022</t>
  </si>
  <si>
    <t>TC DJ9246 FASE A</t>
  </si>
  <si>
    <t>Substituição de trafo corrente TC DJ9246 FASE B (nº serie: K79341-01-3, cod. mat.: 10184569).</t>
  </si>
  <si>
    <t>0001348/2022</t>
  </si>
  <si>
    <t>TC DJ9246 FASE B</t>
  </si>
  <si>
    <t>Substituição de trafo corrente TC DJ9246 FASE C (nº serie: K79341-02-1, cod. mat.: 10184568).</t>
  </si>
  <si>
    <t>0001349/2022</t>
  </si>
  <si>
    <t>TC DJ9246 FASE C</t>
  </si>
  <si>
    <t>Substituição de trafo corrente TC DJ9356 FASE B (nº serie: K79341-02-2, cod. mat.: 10184566).</t>
  </si>
  <si>
    <t>0001350/2022</t>
  </si>
  <si>
    <t>TC DJ9356 FASE B</t>
  </si>
  <si>
    <t>Substituição de trafo corrente TC DJ9136 FASE A (nº serie: K79341-01-4, cod. mat.: 10184572).</t>
  </si>
  <si>
    <t>0001352/2022</t>
  </si>
  <si>
    <t>TC DJ9136 FASE A</t>
  </si>
  <si>
    <t>Substituição de trafo corrente TC DJ9136 FASE B (nº serie: K79341-01-5, cod. mat.: 10184571).</t>
  </si>
  <si>
    <t>0001353/2022</t>
  </si>
  <si>
    <t>TC DJ9136 FASE B</t>
  </si>
  <si>
    <t>Substituição de trafo corrente TC DJ9136 FASE C (nº serie: K79341-02-5, cod. mat.: 10184564).</t>
  </si>
  <si>
    <t>0001354/2022</t>
  </si>
  <si>
    <t>TC DJ9136 FASE C</t>
  </si>
  <si>
    <t>Substituição de trafo corrente TC DJ9036 FASE A (nº serie: K79341-06-05, cod. mat.: 10184552).</t>
  </si>
  <si>
    <t>0001355/2022</t>
  </si>
  <si>
    <t>TC DJ9036 FASE A</t>
  </si>
  <si>
    <t>Substituição de trafo corrente TC DJ9036 FASE B (nº serie: K79341-08-03, cod. mat.: 10184553).</t>
  </si>
  <si>
    <t>0001356/2022</t>
  </si>
  <si>
    <t>TC DJ9036 FASE B</t>
  </si>
  <si>
    <t>Substituição de trafo corrente TC DJ9036 FASE C (nº serie: K79341-06-04, cod. mat.: 10184554).</t>
  </si>
  <si>
    <t>0001357/2022</t>
  </si>
  <si>
    <t>TC DJ9036 FASE C</t>
  </si>
  <si>
    <t>Substituição de trafo corrente TC DJ9046 FASE A (nº serie: K79341-07-03, cod. mat.: 10184555).</t>
  </si>
  <si>
    <t>0001358/2022</t>
  </si>
  <si>
    <t>TC DJ9046 FASE A</t>
  </si>
  <si>
    <t>Substituição de trafo corrente TC DJ9046 FASE B (nº serie: K79341-07-06, cod. mat.: 10184556).</t>
  </si>
  <si>
    <t>0001359/2022</t>
  </si>
  <si>
    <t>TC DJ9046 FASE B</t>
  </si>
  <si>
    <t>Substituição de trafo corrente TC DJ9046 FASE C (nº serie: K79341-06-02, cod. mat.: 10184557).</t>
  </si>
  <si>
    <t>0001360/2022</t>
  </si>
  <si>
    <t>TC DJ9046 FASE C</t>
  </si>
  <si>
    <t>Substituição de trafo corrente TC DJ9516 FASE A (nº serie: K74081-02-04, cod. mat.: 10184533).</t>
  </si>
  <si>
    <t>0001361/2022</t>
  </si>
  <si>
    <t>TC DJ9516 FASE A</t>
  </si>
  <si>
    <t>Substituição de trafo corrente TC DJ9516 FASE C (nº serie: K79341-06-03, cod. mat.: 10184548).</t>
  </si>
  <si>
    <t>0001362/2022</t>
  </si>
  <si>
    <t>TC DJ9516 FASE C</t>
  </si>
  <si>
    <t>Substituição de trafo corrente TC DJ9466 FASE A (nº serie: K79341-05-05, cod. mat.: 10184547).</t>
  </si>
  <si>
    <t>0001363/2022</t>
  </si>
  <si>
    <t>TC DJ9466 FASE A</t>
  </si>
  <si>
    <t>Substituição de trafo corrente TC DJ9466 FASE B (nº serie: K79341-05-03, cod. mat.: 10184546).</t>
  </si>
  <si>
    <t>0001364/2022</t>
  </si>
  <si>
    <t>TC DJ9466 FASE B</t>
  </si>
  <si>
    <t>Substituição de trafo corrente TC DJ9466 FASE C (nº serie: K79341-06-01, cod. mat.: 10184545).</t>
  </si>
  <si>
    <t>0001365/2022</t>
  </si>
  <si>
    <t>TC DJ9466 FASE C</t>
  </si>
  <si>
    <t>Substituição de trafo corrente TC - DJ9026 FASE B (nº serie: K79341-05-04, cod. mat.: 10184539).</t>
  </si>
  <si>
    <t>FT LT 500 kV EMBORCACAO /ITUMBIARA C-1 MG</t>
  </si>
  <si>
    <t>0001366/2022</t>
  </si>
  <si>
    <t>TRANSFORMADOR CORRENTE - DJ9026 FASE B</t>
  </si>
  <si>
    <t>Substituição de trafo corrente TC - DJ9016 FASE A (nº serie: K79341-07-04, cod. mat.: 10184558).</t>
  </si>
  <si>
    <t>LT 500 kV ITUMBIARA /SAO SIMAO-SE C-1 MG</t>
  </si>
  <si>
    <t>0001367/2022</t>
  </si>
  <si>
    <t>TRANSFORMADOR CORRENTE - DJ9016 FASE A</t>
  </si>
  <si>
    <t>Substituição de trafo corrente TC - DJ9016 FASE B (nº serie: K79341-07-02, cod. mat.: 10184559).</t>
  </si>
  <si>
    <t>0001368/2022</t>
  </si>
  <si>
    <t>TRANSFORMADOR CORRENTE - DJ9016 FASE B</t>
  </si>
  <si>
    <t>Substituição de trafo corrente TC DJ9056 FASE A (nº serie: K79341-08-05, cod. mat.: 10184542).</t>
  </si>
  <si>
    <t>TR 500/345 kV ITUMBIARA TR53 MG</t>
  </si>
  <si>
    <t>0001370/2022</t>
  </si>
  <si>
    <t>TC DJ9056 FASE A</t>
  </si>
  <si>
    <t>Substituição de trafo corrente TC DJ9056 FASE B (nº serie: K79341-07-01, cod. mat.: 10184544).</t>
  </si>
  <si>
    <t>0001371/2022</t>
  </si>
  <si>
    <t>TC DJ9056 FASE B</t>
  </si>
  <si>
    <t>Substituição de trafo corrente TC DJ9056 FASE C (nº serie: K79341-05-02, cod. mat.: 10184543).</t>
  </si>
  <si>
    <t>0001372/2022</t>
  </si>
  <si>
    <t>TC DJ9056 FASE C</t>
  </si>
  <si>
    <t>Substituição de trafo corrente TC DJ9256 FASE B (nº serie: K79341-02-6, cod. mat.: 10184562).</t>
  </si>
  <si>
    <t>0001374/2022</t>
  </si>
  <si>
    <t>TC DJ9256 FASE B</t>
  </si>
  <si>
    <t>Substituição de trafo corrente TC DJ9256 FASE C (nº serie: K79341-01-1, cod. mat.: 10184561).</t>
  </si>
  <si>
    <t>0001375/2022</t>
  </si>
  <si>
    <t>TC DJ9256 FASE C</t>
  </si>
  <si>
    <t>Substituição de trafo corrente TC DJ9526 FASE A (nº serie: K74081-05-09, cod. mat.: 10184535).</t>
  </si>
  <si>
    <t>TR 500/345 kV ITUMBIARA TR50 MG</t>
  </si>
  <si>
    <t>0001376/2022</t>
  </si>
  <si>
    <t>TC DJ9526 FASE A</t>
  </si>
  <si>
    <t>Substituição de trafo corrente TC DJ9526 FASE B (nº serie: K74081-07-5, cod. mat.: 10184576).</t>
  </si>
  <si>
    <t>0001377/2022</t>
  </si>
  <si>
    <t>TC DJ9526 FASE B</t>
  </si>
  <si>
    <t>Substituição de trafo corrente TC DJ9526 FASE C (nº serie: K74081-09-6, cod. mat.: 10184583).</t>
  </si>
  <si>
    <t>0001378/2022</t>
  </si>
  <si>
    <t>TC DJ9526 FASE C</t>
  </si>
  <si>
    <t>Substituição de trafo corrente TC DJ9066 FASE A (nº serie: K79341-08-01, cod. mat.: 10184551).</t>
  </si>
  <si>
    <t>TR 500/345 kV ITUMBIARA TR49 MG</t>
  </si>
  <si>
    <t>0001379/2022</t>
  </si>
  <si>
    <t>TC DJ9066 FASE A</t>
  </si>
  <si>
    <t>Substituição de trafo corrente TC DJ9066 FASE B (nº serie: K79341-08-04, cod. mat.: 10184550).</t>
  </si>
  <si>
    <t>0001380/2022</t>
  </si>
  <si>
    <t>TC DJ9066 FASE B</t>
  </si>
  <si>
    <t>Substituição de trafo corrente TC DJ9066 FASE C (nº serie: K79341-08-06, cod. mat.: 10184549).</t>
  </si>
  <si>
    <t>0001381/2022</t>
  </si>
  <si>
    <t>TC DJ9066 FASE C</t>
  </si>
  <si>
    <t>Substituição de trafo corrente TC - DJ806 / BR8B - FASE A (nº serie: 7900832, cod. mat.: 10184251).</t>
  </si>
  <si>
    <t>0001331/2022</t>
  </si>
  <si>
    <t>TC - DJ806 / BR8B - FASE A</t>
  </si>
  <si>
    <t>Substituição de trafo corrente TC - DJ806 / BR8B - FASE B (nº serie: 7900833, cod. mat.: 10184252).</t>
  </si>
  <si>
    <t>0001332/2022</t>
  </si>
  <si>
    <t>TC - DJ806 / BR8B - FASE B</t>
  </si>
  <si>
    <t>Substituição de trafo corrente TC - DJ806 / BR8B - FASE C (nº serie: 7900834, cod. mat.: 10184253).</t>
  </si>
  <si>
    <t>0001333/2022</t>
  </si>
  <si>
    <t>TC - DJ806 / BR8B - FASE C</t>
  </si>
  <si>
    <t>Substituição de trafo corrente TC LTITBBDT1 UHITB - Fase A (nº serie: SP21825, cod. mat.: 10184224).</t>
  </si>
  <si>
    <t>LT 345 kV ITUMBIARA /BANDEIRANTES C-1 MG/GO</t>
  </si>
  <si>
    <t>0001334/2022</t>
  </si>
  <si>
    <t>TC LTITBBDT1 UHITB - Fase A</t>
  </si>
  <si>
    <t>Substituição de trafo corrente TC LTITBBDT1 UHITB - Fase B (nº serie: SP21826, cod. mat.: 10184222).</t>
  </si>
  <si>
    <t>0001335/2022</t>
  </si>
  <si>
    <t>TC LTITBBDT1 UHITB - Fase B</t>
  </si>
  <si>
    <t>Substituição de trafo corrente TC LTITBBDT1 UHITB - Fase C (nº serie: SP21827, cod. mat.: 10184223).</t>
  </si>
  <si>
    <t>0001336/2022</t>
  </si>
  <si>
    <t>TC LTITBBDT1 UHITB - Fase C</t>
  </si>
  <si>
    <t>Substituição de trafo corrente TC LTITBBDT2 UHITB - Fase A (nº serie: SP21828, cod. mat.: 10184221).</t>
  </si>
  <si>
    <t>LT 345 kV ITUMBIARA /BANDEIRANTES C-2 MG/GO</t>
  </si>
  <si>
    <t>0001337/2022</t>
  </si>
  <si>
    <t>TC LTITBBDT2 UHITB - Fase A</t>
  </si>
  <si>
    <t>Substituição de trafo corrente TC LTITBBDT2 UHITB - Fase B (nº serie: SP21829, cod. mat.: 10184225).</t>
  </si>
  <si>
    <t>0001338/2022</t>
  </si>
  <si>
    <t>TC LTITBBDT2 UHITB - Fase B</t>
  </si>
  <si>
    <t>Substituição de trafo corrente TC LTITBBDT2 UHITB - Fase C (nº serie: SP21830, cod. mat.: 10184226).</t>
  </si>
  <si>
    <t>0001339/2022</t>
  </si>
  <si>
    <t>TC LTITBBDT2 UHITB - Fase C</t>
  </si>
  <si>
    <t>Substituição de trafo corrente TC AT03 LADO 345KV - FASE A (nº serie: 90J0089 / 04, cod. mat.: 10252614).</t>
  </si>
  <si>
    <t>TR 345/230 kV ITUMBIARA TR3 MG</t>
  </si>
  <si>
    <t>0001340/2022</t>
  </si>
  <si>
    <t>TC AT03 LADO 345KV - FASE A</t>
  </si>
  <si>
    <t>Substituição de trafo corrente TC AT03 LADO 345KV - FASE B (nº serie: 7900836, cod. mat.: 10184255).</t>
  </si>
  <si>
    <t>0001341/2022</t>
  </si>
  <si>
    <t>TC AT03 LADO 345KV - FASE B</t>
  </si>
  <si>
    <t>Substituição de trafo corrente TC AT03 LADO 345KV - FASE C (nº serie: 7900837, cod. mat.: 10184256).</t>
  </si>
  <si>
    <t>0001342/2022</t>
  </si>
  <si>
    <t>TC AT03 LADO 345KV - FASE C</t>
  </si>
  <si>
    <t>Substituição de trafo corrente TC BANCO AT49 LADO 345KV - FASE A (nº serie: SP21355, cod. mat.: 10184218).</t>
  </si>
  <si>
    <t>0001344/2022</t>
  </si>
  <si>
    <t>TC BANCO AT49 LADO 345KV - FASE A</t>
  </si>
  <si>
    <t>Substituição de trafo corrente TC BANCO AT49 LADO 345KV - FASE B (nº serie: SP21356, cod. mat.: 10184219).</t>
  </si>
  <si>
    <t>0001345/2022</t>
  </si>
  <si>
    <t>TC BANCO AT49 LADO 345KV - FASE B</t>
  </si>
  <si>
    <t>Substituição de trafo corrente TC BANCO AT49 LADO 345KV - FASE C (nº serie: SP21357, cod. mat.: 10184220).</t>
  </si>
  <si>
    <t>0001346/2022</t>
  </si>
  <si>
    <t>TC BANCO AT49 LADO 345KV - FASE C</t>
  </si>
  <si>
    <t>Substituição de trafo potencial/dcp DCP - LIIMSS FASE A (nº serie: 324315, cod. mat.: 10190306).</t>
  </si>
  <si>
    <t>0001259/2022</t>
  </si>
  <si>
    <t>DCP - LIIMSS FASE A</t>
  </si>
  <si>
    <t>Substituição de trafo potencial/dcp DCP - LIIMSS FASE B (nº serie: 324316, cod. mat.: 10190305).</t>
  </si>
  <si>
    <t>0001260/2022</t>
  </si>
  <si>
    <t>DCP - LIIMSS FASE B</t>
  </si>
  <si>
    <t>Substituição de trafo potencial/dcp DCP - LIIMSS FASE C (nº serie: 324317, cod. mat.: 10190307).</t>
  </si>
  <si>
    <t>0001261/2022</t>
  </si>
  <si>
    <t>DCP - LIIMSS FASE C</t>
  </si>
  <si>
    <t>Substituição de trafo potencial/dcp DCP - LIEBIM FASE A (nº serie: 324312, cod. mat.: 10190304).</t>
  </si>
  <si>
    <t>LT 500 kV EMBORCACAO /ITUMBIARA C-1 MG</t>
  </si>
  <si>
    <t>0001262/2022</t>
  </si>
  <si>
    <t>DCP - LIEBIM FASE A</t>
  </si>
  <si>
    <t>Substituição de trafo potencial/dcp DCP - LIEBIM FASE B (nº serie: 324313, cod. mat.: 10190303).</t>
  </si>
  <si>
    <t>0001263/2022</t>
  </si>
  <si>
    <t>DCP - LIEBIM FASE B</t>
  </si>
  <si>
    <t>Substituição de trafo potencial/dcp DCP - VÃO LIEBIM FASE B (nº serie: 324310, cod. mat.: 10190295).</t>
  </si>
  <si>
    <t>0001265/2022</t>
  </si>
  <si>
    <t>DCP - VÃO LIEBIM FASE B</t>
  </si>
  <si>
    <t>Substituição de trafo potencial/dcp DCP - LIEBIM FASE C (nº serie: 324314, cod. mat.: 10190302).</t>
  </si>
  <si>
    <t>0001264/2022</t>
  </si>
  <si>
    <t>DCP - LIEBIM FASE C</t>
  </si>
  <si>
    <t>Substituição de trafo potencial/dcp DCP AT50 FASE B (nº serie: 328567, cod. mat.: 10190298).</t>
  </si>
  <si>
    <t>0001266/2022</t>
  </si>
  <si>
    <t>DCP AT50 FASE B</t>
  </si>
  <si>
    <t>Substituição de trafo potencial/dcp DCP AT53 FASE B (nº serie: 324308, cod. mat.: 10190293).</t>
  </si>
  <si>
    <t>0001267/2022</t>
  </si>
  <si>
    <t>DCP AT53 FASE B</t>
  </si>
  <si>
    <t>Substituição de disjuntor DJ9246 (nº serie: B13577-02, cod. mat.: 10190807).</t>
  </si>
  <si>
    <t>0001252/2022</t>
  </si>
  <si>
    <t>DJ9246</t>
  </si>
  <si>
    <t>Substituição de disjuntor DJ9356 (nº serie: C13577-03, cod. mat.: 10190809).</t>
  </si>
  <si>
    <t>0001253/2022</t>
  </si>
  <si>
    <t>DJ9356</t>
  </si>
  <si>
    <t>Substituição de disjuntor DJ9016 (nº serie: SP10152, cod. mat.: 10190628).</t>
  </si>
  <si>
    <t>0001254/2022</t>
  </si>
  <si>
    <t>DJ9016</t>
  </si>
  <si>
    <t>Substituição de disjuntor DJ9136 (nº serie: D13577-04, cod. mat.: 10190806).</t>
  </si>
  <si>
    <t>0001255/2022</t>
  </si>
  <si>
    <t>DJ9136</t>
  </si>
  <si>
    <t>Substituição de disjuntor DJ9256 (nº serie: A13577-01, cod. mat.: 10190808).</t>
  </si>
  <si>
    <t>0001256/2022</t>
  </si>
  <si>
    <t>DJ9256</t>
  </si>
  <si>
    <t>Substituição de disjuntor DJ9466 (nº serie: SP10149, cod. mat.: 10190633).</t>
  </si>
  <si>
    <t>0001257/2022</t>
  </si>
  <si>
    <t>DJ9466</t>
  </si>
  <si>
    <t>Substituição de disjuntor DJ9066 (nº serie: SP10151, cod. mat.: 10190634).</t>
  </si>
  <si>
    <t>0001258/2022</t>
  </si>
  <si>
    <t>DJ9066</t>
  </si>
  <si>
    <t>Substituição dos sistemas de proteção da LT 230 kV PARANAIBA /ITUMBIARA C-1 GO/MG</t>
  </si>
  <si>
    <t>LT 230 kV PARANAIBA /ITUMBIARA C-1 GO/MG</t>
  </si>
  <si>
    <t>0006903/2023</t>
  </si>
  <si>
    <t>PROTEÇÃO - LT 230 kV PARANAIBA /ITUMBIARA C-1 GO/MG</t>
  </si>
  <si>
    <t>Substituição do registrador de perturbações digital da LT 230 kV PARANAIBA /ITUMBIARA C-1 GO/MG</t>
  </si>
  <si>
    <t>0006905/2023</t>
  </si>
  <si>
    <t>RDP - LT 230 kV PARANAIBA /ITUMBIARA C-1 GO/MG</t>
  </si>
  <si>
    <t>Substituição dos sistemas de proteção da LT 230 kV ITUMBIARA /RIO VERDE FUR C-2 MG/GO</t>
  </si>
  <si>
    <t>LT 230 kV ITUMBIARA /RIO VERDE FUR C-2 MG/GO</t>
  </si>
  <si>
    <t>0006906/2023</t>
  </si>
  <si>
    <t>PROTEÇÃO - LT 230 kV ITUMBIARA /RIO VERDE FUR C-2 MG/GO</t>
  </si>
  <si>
    <t>Substituição do registrador de perturbações digital e Localizador de Faltas por ondas viajantes (TW) da LT 230 kV ITUMBIARA /RIO VERDE FUR C-2 MG/GO</t>
  </si>
  <si>
    <t>0006907/2023</t>
  </si>
  <si>
    <t>RDP - LT 230 kV ITUMBIARA /RIO VERDE FUR C-2 MG/GO</t>
  </si>
  <si>
    <t>Substituição dos sistemas de proteção da LT 230 kV ITUMBIARA /RIO VERDE FUR C-1 MG/GO</t>
  </si>
  <si>
    <t>LT 230 kV ITUMBIARA /RIO VERDE FUR C-1 MG/GO</t>
  </si>
  <si>
    <t>0006908/2023</t>
  </si>
  <si>
    <t>PROTEÇÃO - LT 230 kV ITUMBIARA /RIO VERDE FUR C-1 MG/GO</t>
  </si>
  <si>
    <t>Substituição do registrador de perturbações digital da LT 230 kV ITUMBIARA /C. DOURADA C-1 MG/GO</t>
  </si>
  <si>
    <t>LT 230 kV ITUMBIARA /C. DOURADA C-1 MG/GO</t>
  </si>
  <si>
    <t>0006909/2023</t>
  </si>
  <si>
    <t>RDP - LT 230 kV ITUMBIARA /C. DOURADA C-1 MG/GO</t>
  </si>
  <si>
    <t>SUBSTITUIÇÃO DO PAINEL UAC-SAUX DO AUTOMATISMO DO SERVIÇO AUXILIAR AC DA SUBESTAÇÃO. PAINEL COMPOSTO POR UAC RESPONSÁVEL PELA SELEÇÃO AUTOMÁTICA DE FONTES DE ALIMENTAÇÃO AC E GMG PARA CARGAS ESSENCIAIS.</t>
  </si>
  <si>
    <t>0007177/2023</t>
  </si>
  <si>
    <t>UAC SAUX</t>
  </si>
  <si>
    <t>Substituição de 01 transformador trifásico, 20-13,8kV, com capacidade de 3 MVA em regime contínuo, ligado em estrela no primário, estrela com neutro solidamente aterrado no secundário e delta no terciário, com resfriamento por circulação natural de óleo isolante, provido de regulação de tensão.</t>
  </si>
  <si>
    <t>0000611/2022</t>
  </si>
  <si>
    <t>TRTA-4</t>
  </si>
  <si>
    <t>P. COLOMBIA</t>
  </si>
  <si>
    <t>Substituição de 01 cubículo de fechamento do Delta tensão máxima 15kV, 60Hz, NI 110kV, IN 1200 A, ICC 40kA</t>
  </si>
  <si>
    <t>TR 345/138 kV P. COLOMBIA TR6 MG</t>
  </si>
  <si>
    <t>0000614/2022</t>
  </si>
  <si>
    <t>Substituição de 01 Painel de 480 VCA , 60 Hz, Icc - 30 kA e IN 1000 A</t>
  </si>
  <si>
    <t>MG P. COLOMBIA / CCO-2001-062 - RB</t>
  </si>
  <si>
    <t>0000615/2022</t>
  </si>
  <si>
    <t>Substituição da UAC01 - SINOCON de supervisão da LT 230 kV PARANAIBA /ITUMBIARA C-1 GO/MG</t>
  </si>
  <si>
    <t>LT 230 kV PARANAIBA / ITUMBIARA C 1 GO/MG</t>
  </si>
  <si>
    <t>0007677/2023</t>
  </si>
  <si>
    <t>Códigos SAP 10256775</t>
  </si>
  <si>
    <t>Substituição da UAC03 - SINOCON de supervisão da LT 230 kV ITUMBIARA /RIO VERDE FUR C-1 MG/GO</t>
  </si>
  <si>
    <t>0007678/2023</t>
  </si>
  <si>
    <t>Códigos SAP 10258936</t>
  </si>
  <si>
    <t>Substituição da UAC04 - SINOCON de supervisão da LT 230 kV ITUMBIARA /RIO VERDE FUR C-2 MG/GO</t>
  </si>
  <si>
    <t>0007679/2023</t>
  </si>
  <si>
    <t>Códigos SAP 10258948</t>
  </si>
  <si>
    <t>Substituição de 04 (quatro) equipamentos de teleproteção (cadeias principal e alternada) da LT 230 kV Itumbiara - Rio Verde circuito 1 de fabricação ALSTOM, modelo DIP5000.</t>
  </si>
  <si>
    <t>0007813/2023</t>
  </si>
  <si>
    <t>TLP PRIMARIA / ALTERNADA</t>
  </si>
  <si>
    <t>Substituição de switch FUIM-D01P da Rede Operativa da UHE Itumbiara.</t>
  </si>
  <si>
    <t>0007817/2023</t>
  </si>
  <si>
    <t>FUIM-D01P</t>
  </si>
  <si>
    <t>Substituição de switch FUIM-D01S da Rede Operativa da UHE Itumbiara.</t>
  </si>
  <si>
    <t>0007818/2023</t>
  </si>
  <si>
    <t>FUIM-D01S</t>
  </si>
  <si>
    <t>Substituição de switch FUIM-A01P da Rede Operativa da UHE Itumbiara.</t>
  </si>
  <si>
    <t>0007819/2023</t>
  </si>
  <si>
    <t>FUIM-A01P</t>
  </si>
  <si>
    <t>Substituição de switch FUIM-A01S da Rede Operativa da UHE Itumbiara.</t>
  </si>
  <si>
    <t>0007820/2023</t>
  </si>
  <si>
    <t>FUIM-A01S</t>
  </si>
  <si>
    <t>Substituição de switch FSIM-A02P da Rede Operativa da UHE Itumbiara.</t>
  </si>
  <si>
    <t>0007821/2023</t>
  </si>
  <si>
    <t>FSIM-A02P</t>
  </si>
  <si>
    <t>Substituição de switch FSIM-A02S da Rede Operativa da UHE Itumbiara.</t>
  </si>
  <si>
    <t>0007822/2023</t>
  </si>
  <si>
    <t>FSIM-A02S</t>
  </si>
  <si>
    <t>Substituição de switch FSIM-A03P da Rede Operativa da UHE Itumbiara.</t>
  </si>
  <si>
    <t>0007823/2023</t>
  </si>
  <si>
    <t>FSIM-A03P</t>
  </si>
  <si>
    <t>Substituição de switch FSIM-A03S da Rede Operativa da UHE Itumbiara.</t>
  </si>
  <si>
    <t>0007824/2023</t>
  </si>
  <si>
    <t>FSIM-A03S</t>
  </si>
  <si>
    <t>Substituição de switch FSIM-A04P da Rede Operativa da UHE Itumbiara.</t>
  </si>
  <si>
    <t>0007825/2023</t>
  </si>
  <si>
    <t>FSIM-A04P</t>
  </si>
  <si>
    <t>Substituição de switch FSIM-A04S da Rede Operativa da UHE Itumbiara.</t>
  </si>
  <si>
    <t>0007826/2023</t>
  </si>
  <si>
    <t>FSIM-A04S</t>
  </si>
  <si>
    <t>Substituição de switch FSIM-A05P da Rede Operativa da UHE Itumbiara.</t>
  </si>
  <si>
    <t>0007827/2023</t>
  </si>
  <si>
    <t>FSIM-A05P</t>
  </si>
  <si>
    <t>Substituição de switch FSIM-A05S da Rede Operativa da UHE Itumbiara.</t>
  </si>
  <si>
    <t>0007828/2023</t>
  </si>
  <si>
    <t>FSIM-A05S</t>
  </si>
  <si>
    <t>Substituição de switch FSIM-A06P da Rede Operativa da UHE Itumbiara.</t>
  </si>
  <si>
    <t>0007829/2023</t>
  </si>
  <si>
    <t>FSIM-A06P</t>
  </si>
  <si>
    <t>Substituição de switch FSIM-A06S da Rede Operativa da UHE Itumbiara.</t>
  </si>
  <si>
    <t>0007830/2023</t>
  </si>
  <si>
    <t>FSIM-A06S</t>
  </si>
  <si>
    <t>Substituição de switch FSIM-A07 da Rede Operativa da UHE Itumbiara.</t>
  </si>
  <si>
    <t>0007831/2023</t>
  </si>
  <si>
    <t>FSIM-A07</t>
  </si>
  <si>
    <t>Substituição de switch FUIM-SF01P da Rede Operativa da UHE Itumbiara.</t>
  </si>
  <si>
    <t>0007832/2023</t>
  </si>
  <si>
    <t>FUIM-SF01P</t>
  </si>
  <si>
    <t>Substituição de switch FUIM-SF01S da Rede Operativa da UHE Itumbiara.</t>
  </si>
  <si>
    <t>0007833/2023</t>
  </si>
  <si>
    <t>FUIM-SF01S</t>
  </si>
  <si>
    <t>Substituição de roteador COSR-NCO-SAL-R01 da Rede Operativa da UHE Itumbiara.</t>
  </si>
  <si>
    <t>0007834/2023</t>
  </si>
  <si>
    <t>COSR-NCO-SAL-R01</t>
  </si>
  <si>
    <t>Substituição de roteador COSR-NCO-SAR-R01 da Rede Operativa da UHE Itumbiara.</t>
  </si>
  <si>
    <t>0007835/2023</t>
  </si>
  <si>
    <t>COSR-NCO-SAR-R01</t>
  </si>
  <si>
    <t>Substituição de roteador FCRG-R02P da Rede Operativa da UHE Itumbiara.</t>
  </si>
  <si>
    <t>0007836/2023</t>
  </si>
  <si>
    <t>FCRG-R02P</t>
  </si>
  <si>
    <t>Substituição de roteador FCRG-R02S da Rede Operativa da UHE Itumbiara.</t>
  </si>
  <si>
    <t>0007837/2023</t>
  </si>
  <si>
    <t>FCRG-R02S</t>
  </si>
  <si>
    <t>Substituição de trafo corrente TC - NEUTRO 345KV H0 (nº serie: 12071, cod. mat.: 10187613).</t>
  </si>
  <si>
    <t>TR 345/138 kV BRAS. SUL TR4 DF</t>
  </si>
  <si>
    <t>0005486/2023</t>
  </si>
  <si>
    <t>TC - NEUTRO  AT04 345KV H0</t>
  </si>
  <si>
    <t>Substituição de seccionadora SC2413 (AT04) (nº serie: 23019-1, cod. mat.: 10192716).</t>
  </si>
  <si>
    <t>0005481/2023</t>
  </si>
  <si>
    <t>SC2413 (AT04)</t>
  </si>
  <si>
    <t>Substituição de para-raios PR - LADO 138KV FASE A (nº serie: 35059897, cod. mat.: 10199934).</t>
  </si>
  <si>
    <t>0005461/2023</t>
  </si>
  <si>
    <t>PR - LADO 138KV FASE A</t>
  </si>
  <si>
    <t>Substituição de para-raios PR - LADO 138KV FASE B (nº serie: 35059898, cod. mat.: 10199935).</t>
  </si>
  <si>
    <t>0005463/2023</t>
  </si>
  <si>
    <t>PR - LADO 138KV FASE B</t>
  </si>
  <si>
    <t>Substituição de para-raios PR - LADO 138KV FASE C (nº serie: 35059899, cod. mat.: 10199936).</t>
  </si>
  <si>
    <t>0005464/2023</t>
  </si>
  <si>
    <t>PR - LADO 138KV FASE C</t>
  </si>
  <si>
    <t>Substituição de trafo corrente TC - LADO SC647-A (nº serie: CO 1634, cod. mat.: 10185124).</t>
  </si>
  <si>
    <t>0005487/2023</t>
  </si>
  <si>
    <t>TC - LADO SC647-A</t>
  </si>
  <si>
    <t>Substituição de trafo corrente TC - LADO SC647-B (nº serie: CO 1635, cod. mat.: 10185125).</t>
  </si>
  <si>
    <t>0005488/2023</t>
  </si>
  <si>
    <t>TC - LADO SC647-B</t>
  </si>
  <si>
    <t>Substituição de trafo corrente TC - LADO SC647-C (nº serie: CO 1636, cod. mat.: 10185126).</t>
  </si>
  <si>
    <t>0005489/2023</t>
  </si>
  <si>
    <t>TC - LADO SC647-C</t>
  </si>
  <si>
    <t>Substituição de trafo corrente TC601 FASE A (nº serie: HU310548, cod. mat.: 10186220).</t>
  </si>
  <si>
    <t>MG BRAS. SUL / CCO-2001-062 - RB</t>
  </si>
  <si>
    <t>0005490/2023</t>
  </si>
  <si>
    <t>TC601 FASE A</t>
  </si>
  <si>
    <t>Substituição de trafo corrente TC601 FASE B (nº serie: HU310541, cod. mat.: 10186217).</t>
  </si>
  <si>
    <t>0005491/2023</t>
  </si>
  <si>
    <t>TC601 FASE B</t>
  </si>
  <si>
    <t>Substituição de trafo corrente TC601 FASE C (nº serie: HU310529, cod. mat.: 10186218).</t>
  </si>
  <si>
    <t>0005492/2023</t>
  </si>
  <si>
    <t>TC601 FASE C</t>
  </si>
  <si>
    <t>Substituição de trafo corrente TC603 FASE A (nº serie: HU310528, cod. mat.: 10186219).</t>
  </si>
  <si>
    <t>0005494/2023</t>
  </si>
  <si>
    <t>TC603 FASE A</t>
  </si>
  <si>
    <t>Substituição de trafo corrente TC603 FASE B (nº serie: HU310544, cod. mat.: 10186221).</t>
  </si>
  <si>
    <t>0005495/2023</t>
  </si>
  <si>
    <t>TC603 FASE B</t>
  </si>
  <si>
    <t>Substituição de trafo corrente TC603 FASE C (nº serie: HU310543, cod. mat.: 10186222).</t>
  </si>
  <si>
    <t>0005496/2023</t>
  </si>
  <si>
    <t>TC603 FASE C</t>
  </si>
  <si>
    <t>Substituição de para-raios PR - LADO 345KV FASE A (nº serie: 35059872, cod. mat.: 10199987).</t>
  </si>
  <si>
    <t>0005465/2023</t>
  </si>
  <si>
    <t>PR - LADO 345KV FASE A</t>
  </si>
  <si>
    <t>Substituição de para-raios PR - LADO 345KV FASE B (nº serie: 35059873, cod. mat.: 10199988).</t>
  </si>
  <si>
    <t>0005467/2023</t>
  </si>
  <si>
    <t>PR - LADO 345KV FASE B</t>
  </si>
  <si>
    <t>Substituição de para-raios PR - LADO 345KV FASE C (nº serie: 35059874, cod. mat.: 10199989).</t>
  </si>
  <si>
    <t>0005469/2023</t>
  </si>
  <si>
    <t>PR - LADO 345KV FASE C</t>
  </si>
  <si>
    <t>Substituição de trafo corrente TC - LADO SC847-A (nº serie: 900079, cod. mat.: 10186842).</t>
  </si>
  <si>
    <t>0005497/2023</t>
  </si>
  <si>
    <t>TC - LADO SC847-A</t>
  </si>
  <si>
    <t>Substituição de trafo corrente TC - LADO SC847-B (nº serie: 900089, cod. mat.: 10186848).</t>
  </si>
  <si>
    <t>0005498/2023</t>
  </si>
  <si>
    <t>TC - LADO SC847-B</t>
  </si>
  <si>
    <t>Substituição de trafo corrente TC - LADO SC847-C (nº serie: 900090, cod. mat.: 10186849).</t>
  </si>
  <si>
    <t>0005499/2023</t>
  </si>
  <si>
    <t>TC - LADO SC847-C</t>
  </si>
  <si>
    <t>Substituição de seccionadora SC701 (nº serie: XD31, cod. mat.: 10196658).</t>
  </si>
  <si>
    <t>0005483/2023</t>
  </si>
  <si>
    <t>SC701</t>
  </si>
  <si>
    <t>Substituição de seccionadora SC703 (nº serie: XD25, cod. mat.: 10196659).</t>
  </si>
  <si>
    <t>0005484/2023</t>
  </si>
  <si>
    <t>SC703</t>
  </si>
  <si>
    <t>Substituição de trafo corrente TC701 FASE A (nº serie: 512094, cod. mat.: 10187058).</t>
  </si>
  <si>
    <t>0005500/2023</t>
  </si>
  <si>
    <t>TC701 FASE A</t>
  </si>
  <si>
    <t>Substituição de trafo corrente TC701 FASE B (nº serie: 512086, cod. mat.: 10187059).</t>
  </si>
  <si>
    <t>0005502/2023</t>
  </si>
  <si>
    <t>TC701 FASE B</t>
  </si>
  <si>
    <t>Substituição de trafo corrente TC701 FASE C (nº serie: 512098, cod. mat.: 10187060).</t>
  </si>
  <si>
    <t>0005503/2023</t>
  </si>
  <si>
    <t>TC701 FASE C</t>
  </si>
  <si>
    <t>Substituição de trafo corrente TC703 FASE A (nº serie: 512091, cod. mat.: 10187061).</t>
  </si>
  <si>
    <t>0005504/2023</t>
  </si>
  <si>
    <t>TC703 FASE A</t>
  </si>
  <si>
    <t>Substituição de trafo corrente TC703 FASE B (nº serie: 512090, cod. mat.: 10187062).</t>
  </si>
  <si>
    <t>0005505/2023</t>
  </si>
  <si>
    <t>TC703 FASE B</t>
  </si>
  <si>
    <t>Substituição de trafo corrente TC703 FASE C (nº serie: 512092, cod. mat.: 10187063).</t>
  </si>
  <si>
    <t>0005506/2023</t>
  </si>
  <si>
    <t>TC703 FASE C</t>
  </si>
  <si>
    <t>Substituição de para-raios PR - LADO 138KV FASE A (nº serie: 35059891, cod. mat.: 10199928).</t>
  </si>
  <si>
    <t>TR 345/138 kV BRAS. SUL TR2 DF</t>
  </si>
  <si>
    <t>0005471/2023</t>
  </si>
  <si>
    <t>Substituição de para-raios PR - LADO 138KV FASE B (nº serie: 35059892, cod. mat.: 10199929).</t>
  </si>
  <si>
    <t>0005472/2023</t>
  </si>
  <si>
    <t>Substituição de para-raios PR - LADO 138KV FASE C (nº serie: 35059896, cod. mat.: 10199933).</t>
  </si>
  <si>
    <t>0005473/2023</t>
  </si>
  <si>
    <t>Substituição de para-raios PR - LADO 345KV FASE A (nº serie: 35059875, cod. mat.: 10199990).</t>
  </si>
  <si>
    <t>0005474/2023</t>
  </si>
  <si>
    <t>Substituição de para-raios PR - LADO 345KV FASE B (nº serie: 35059876, cod. mat.: 10199991).</t>
  </si>
  <si>
    <t>0005475/2023</t>
  </si>
  <si>
    <t>Substituição de para-raios PR - LADO 345KV FASE C (nº serie: 35059877, cod. mat.: 10199992).</t>
  </si>
  <si>
    <t>0005476/2023</t>
  </si>
  <si>
    <t>SUBSTITUIÇÃO DO SECCIONADOR SC2111 -13,8KV</t>
  </si>
  <si>
    <t>0007207/2023</t>
  </si>
  <si>
    <t>SC2111</t>
  </si>
  <si>
    <t>SUBSTITUIÇÃO DO SECCIONADOR SC2215 -13,8KV</t>
  </si>
  <si>
    <t>0007208/2023</t>
  </si>
  <si>
    <t>SC2215</t>
  </si>
  <si>
    <t>SUBSTITUIÇÃO DO CUBÍCULO DO DISJUNTOR DJ2134 - 13,8KV</t>
  </si>
  <si>
    <t>0007210/2023</t>
  </si>
  <si>
    <t>DJ2134</t>
  </si>
  <si>
    <t>SUBSTITUIÇÃO DO CUBÍCULO DA SECCIONADORA SC2317 - 13,8KV</t>
  </si>
  <si>
    <t>0007211/2023</t>
  </si>
  <si>
    <t>SC2317</t>
  </si>
  <si>
    <t>SUBSTITUIÇÃO DO CUBÍCULO DO DISJUNTOR DJ2024 - 13,8KV</t>
  </si>
  <si>
    <t>0007212/2023</t>
  </si>
  <si>
    <t>DJ2024</t>
  </si>
  <si>
    <t>SUBSTITUIÇÃO DO CUBÍCULO DA SECCIONADORA SC2021 - 13,8KV</t>
  </si>
  <si>
    <t>0007213/2023</t>
  </si>
  <si>
    <t>SC2021</t>
  </si>
  <si>
    <t>SUBSTITUIÇÃO DO CUBÍCULO DA SECCIONADORA SC2015 - 13,8KV</t>
  </si>
  <si>
    <t>0007214/2023</t>
  </si>
  <si>
    <t>SC2315</t>
  </si>
  <si>
    <t>SUBSTITUIÇÃO DO CUBÍCULO DO DISJUNTOR DJ2144 - 13,8KV</t>
  </si>
  <si>
    <t>0007215/2023</t>
  </si>
  <si>
    <t>DJ2144</t>
  </si>
  <si>
    <t>SUBSTITUIÇÃO DO CUBÍCULO DA SECCIONADORA SC2313 - 15KV</t>
  </si>
  <si>
    <t>0007217/2023</t>
  </si>
  <si>
    <t>SC2313</t>
  </si>
  <si>
    <t>SUBSTITUIÇÃO DO CUBÍCULO DA SECCIONADORA SC2011 - 13,8KV</t>
  </si>
  <si>
    <t>0007218/2023</t>
  </si>
  <si>
    <t>SC2011</t>
  </si>
  <si>
    <t>SUBSTITUIÇÃO DO CUBÍCULO DO DISJUNTOR DJ2114 - 13,8KV</t>
  </si>
  <si>
    <t>0007219/2023</t>
  </si>
  <si>
    <t>DJ2114</t>
  </si>
  <si>
    <t>SUBSTITUIÇÃO DO TRANSFORMADOR AUXILIAR TR01 -13,8KV/480V</t>
  </si>
  <si>
    <t>0007220/2023</t>
  </si>
  <si>
    <t>TR01</t>
  </si>
  <si>
    <t>SUBSTITUIÇÃO DO TRANSFORMADOR AUXILIAR TRREG01 -13,8/13,8KV</t>
  </si>
  <si>
    <t>0007221/2023</t>
  </si>
  <si>
    <t>TRREG01</t>
  </si>
  <si>
    <t>SUBSTITUIÇÃO DO TRANSFORMADOR AUXILIAR TR02 - 13,8KV/480V</t>
  </si>
  <si>
    <t>0007222/2023</t>
  </si>
  <si>
    <t>TR02</t>
  </si>
  <si>
    <t>SUBSTITUIÇÃO DO TRANSFORMADOR AUXILIAR TRREG02 -13,8/13,8KV</t>
  </si>
  <si>
    <t>0007223/2023</t>
  </si>
  <si>
    <t>TRREG02</t>
  </si>
  <si>
    <t>SUBSTITUIÇÃO DO TRANSFORMADOR AUXILIAR DE ISOLAÇÃO SATR -13,8/13,8KV</t>
  </si>
  <si>
    <t>0007225/2023</t>
  </si>
  <si>
    <t>SATR ISOLAÇÃO</t>
  </si>
  <si>
    <t>SUBSTITUIÇÃO DA SECCIONADORA SC2425 - 13,8KV</t>
  </si>
  <si>
    <t>0007226/2023</t>
  </si>
  <si>
    <t>SC2425</t>
  </si>
  <si>
    <t>SUBSTITUIÇÃO DA SECCIONADORA SC2021 - 13,8KV</t>
  </si>
  <si>
    <t>0007227/2023</t>
  </si>
  <si>
    <t>SC2001</t>
  </si>
  <si>
    <t>SUBSTITUIÇÃO DA SECCIONADORA SC2415 - 13,8KV</t>
  </si>
  <si>
    <t>0007228/2023</t>
  </si>
  <si>
    <t>SC2415</t>
  </si>
  <si>
    <t>SUBSTITUIÇÃO DO TRANSFORMADOR AUXILIAR OFICINA DE TRAFOS - 13,8KV/380-220V</t>
  </si>
  <si>
    <t>0007229/2023</t>
  </si>
  <si>
    <t>SATR OFICINA DE TRAFOS</t>
  </si>
  <si>
    <t>SUBSTITUIÇÃO DO SECCIONADOR COM ELO FUSÍVEL  SC2411 -  13,8KV</t>
  </si>
  <si>
    <t>0007230/2023</t>
  </si>
  <si>
    <t>SC2411</t>
  </si>
  <si>
    <t>SUBSTITUIÇÃO DO TRANSFORMADOR AUXILIAR TRDOCO - 13,8KV/380-220V</t>
  </si>
  <si>
    <t>0007231/2023</t>
  </si>
  <si>
    <t>SATRDOCO</t>
  </si>
  <si>
    <t>SUBSTITUIÇÃO DO SECCIONADOR SC2505  - 13,8KV</t>
  </si>
  <si>
    <t>0007232/2023</t>
  </si>
  <si>
    <t>SC2505</t>
  </si>
  <si>
    <t>SUBSTITUIÇÃO DO SECCIONADOR SC2427  - 13,8KV</t>
  </si>
  <si>
    <t>0007234/2023</t>
  </si>
  <si>
    <t>SC2427</t>
  </si>
  <si>
    <t>SUBSTITUIÇÃO DO SECCIONADOR SC2417  - 13,8KV</t>
  </si>
  <si>
    <t>0007235/2023</t>
  </si>
  <si>
    <t>SC2417</t>
  </si>
  <si>
    <t>SUBSTITUIÇÃO DO SECCIONADOR SC2041  - 13,8KV</t>
  </si>
  <si>
    <t>0007236/2023</t>
  </si>
  <si>
    <t>SC2041</t>
  </si>
  <si>
    <t>SUBSTITUIÇÃO DO SECCIONADOR COM ELO FUSÍVEL SC2507  - 13,8KV</t>
  </si>
  <si>
    <t>0007237/2023</t>
  </si>
  <si>
    <t>SC2507</t>
  </si>
  <si>
    <t>SUBSTITUIÇÃO DO SECCIONADOR COM ELO FUSÍVEL SC2511  - 13,8KV</t>
  </si>
  <si>
    <t>0007238/2023</t>
  </si>
  <si>
    <t>SC2511</t>
  </si>
  <si>
    <t>SUBSTITUIÇÃO DO TRANSFORMADOR AUXILIAR VILA RESIDENCIAL  - 13,8KV/380-220V</t>
  </si>
  <si>
    <t>0007239/2023</t>
  </si>
  <si>
    <t>SATR VILA RESIDENCIAL</t>
  </si>
  <si>
    <t>SUBSTITUIÇÃO DO SECCIONADOR COM ELO FUSÍVEL  SC2043 - 13,8KV</t>
  </si>
  <si>
    <t>0007240/2023</t>
  </si>
  <si>
    <t>SC2043</t>
  </si>
  <si>
    <t>SUBSTITUIÇÃO DO PAINEL PP1 - 480V</t>
  </si>
  <si>
    <t>0007241/2023</t>
  </si>
  <si>
    <t>PP1</t>
  </si>
  <si>
    <t>SUBSTITUIÇÃO DO PAINEL PP2 - 480V</t>
  </si>
  <si>
    <t>0007242/2023</t>
  </si>
  <si>
    <t>PP2</t>
  </si>
  <si>
    <t>SUBSTITUIÇÃO DO PAINEL PP3 - 480V</t>
  </si>
  <si>
    <t>0007243/2023</t>
  </si>
  <si>
    <t>PP3</t>
  </si>
  <si>
    <t>SUBSTITUIÇÃO DO PAINEL QDF3 - 480V</t>
  </si>
  <si>
    <t>0007244/2023</t>
  </si>
  <si>
    <t>QDF3</t>
  </si>
  <si>
    <t>SUBSTITUIÇÃO DO PAINEL QDF4 - 480V</t>
  </si>
  <si>
    <t>0007245/2023</t>
  </si>
  <si>
    <t>QDF4</t>
  </si>
  <si>
    <t>SUBSTITUIÇÃO DO PAINEL QDF5 - 480V</t>
  </si>
  <si>
    <t>0007247/2023</t>
  </si>
  <si>
    <t>QDF5</t>
  </si>
  <si>
    <t>SUBSTITUIÇÃO DO PAINEL QDF11 - 480V</t>
  </si>
  <si>
    <t>0007248/2023</t>
  </si>
  <si>
    <t>QDF11</t>
  </si>
  <si>
    <t>SUBSTITUIÇÃO DO PAINEL QDL11 - 220V</t>
  </si>
  <si>
    <t>0007249/2023</t>
  </si>
  <si>
    <t>QDL11</t>
  </si>
  <si>
    <t>SUBSTITUIÇÃO DO PAINEL QDL4 - 220V</t>
  </si>
  <si>
    <t>0007251/2023</t>
  </si>
  <si>
    <t>QDL4</t>
  </si>
  <si>
    <t>SUBSTITUIÇÃO DO PAINEL QDL13 - 220V</t>
  </si>
  <si>
    <t>0007252/2023</t>
  </si>
  <si>
    <t>QDL13</t>
  </si>
  <si>
    <t>SUBSTITUIÇÃO DO PAINEL QDL3 - 220V</t>
  </si>
  <si>
    <t>0007253/2023</t>
  </si>
  <si>
    <t>QDL3</t>
  </si>
  <si>
    <t>SUBSTITUIÇÃO DO PAINEL QDL10 - 220V</t>
  </si>
  <si>
    <t>0007254/2023</t>
  </si>
  <si>
    <t>QDL10</t>
  </si>
  <si>
    <t>SUBSTITUIÇÃO DO PAINEL QDL14 - 220V</t>
  </si>
  <si>
    <t>0007256/2023</t>
  </si>
  <si>
    <t>QDL14</t>
  </si>
  <si>
    <t>SUBSTITUIÇÃO DO PAINEL SE SUBTERRÂNEA - 220V</t>
  </si>
  <si>
    <t>0007257/2023</t>
  </si>
  <si>
    <t>SE SUBTERRÂNEA</t>
  </si>
  <si>
    <t>SUBSTITUIÇÃO DO PAINEL QDF2  - 480V</t>
  </si>
  <si>
    <t>0007258/2023</t>
  </si>
  <si>
    <t>QDF2</t>
  </si>
  <si>
    <t>SUBSTITUIÇÃO DO PAINEL QDF1  - 480V</t>
  </si>
  <si>
    <t>0007259/2023</t>
  </si>
  <si>
    <t>QDF1</t>
  </si>
  <si>
    <t>SUBSTITUIÇÃO DO PAINEL QDF7  - 480V</t>
  </si>
  <si>
    <t>0007260/2023</t>
  </si>
  <si>
    <t>QDF7</t>
  </si>
  <si>
    <t>SUBSTITUIÇÃO DO PAINEL QDF3A  - 480V</t>
  </si>
  <si>
    <t>0007261/2023</t>
  </si>
  <si>
    <t>QDF3A</t>
  </si>
  <si>
    <t>SUBSTITUIÇÃO DO PAINEL QDF12  - 480V</t>
  </si>
  <si>
    <t>0007262/2023</t>
  </si>
  <si>
    <t>QDF12</t>
  </si>
  <si>
    <t>SUBSTITUIÇÃO DO PAINEL QDF10  - 480V</t>
  </si>
  <si>
    <t>0007263/2023</t>
  </si>
  <si>
    <t>QDF10</t>
  </si>
  <si>
    <t>SUBSTITUIÇÃO DO PAINEL QDF6 - 480V</t>
  </si>
  <si>
    <t>0007265/2023</t>
  </si>
  <si>
    <t>QDF6</t>
  </si>
  <si>
    <t>SUBSTITUIÇÃO DO PAINEL QDF8  - 480V</t>
  </si>
  <si>
    <t>0007266/2023</t>
  </si>
  <si>
    <t>QDF8</t>
  </si>
  <si>
    <t>SUBSTITUIÇÃO DO PAINEL QDL9  - 220V</t>
  </si>
  <si>
    <t>0007267/2023</t>
  </si>
  <si>
    <t>QDL9</t>
  </si>
  <si>
    <t>SUBSTITUIÇÃO DO PAINEL QDL15 - 220V</t>
  </si>
  <si>
    <t>0007268/2023</t>
  </si>
  <si>
    <t>QDL15</t>
  </si>
  <si>
    <t>SUBSTITUIÇÃO DO PAINEL QDL2 - 220V</t>
  </si>
  <si>
    <t>0007269/2023</t>
  </si>
  <si>
    <t>QDL2</t>
  </si>
  <si>
    <t>SUBSTITUIÇÃO DO PAINEL QDL12 - 220V</t>
  </si>
  <si>
    <t>0007270/2023</t>
  </si>
  <si>
    <t>QDL12</t>
  </si>
  <si>
    <t>SUBSTITUIÇÃO DO PAINEL QDL1 - 220V</t>
  </si>
  <si>
    <t>0007271/2023</t>
  </si>
  <si>
    <t>QDL1</t>
  </si>
  <si>
    <t>SUBSTITUIÇÃO DO PAINEL QDL1A - 220V</t>
  </si>
  <si>
    <t>0007272/2023</t>
  </si>
  <si>
    <t>QDL1A</t>
  </si>
  <si>
    <t>SUBSTITUIÇÃO DO PAINEL QDL5 - 220V</t>
  </si>
  <si>
    <t>0007274/2023</t>
  </si>
  <si>
    <t>QDL5</t>
  </si>
  <si>
    <t>SUBSTITUIÇÃO DO PAINEL QDL8 - 220V</t>
  </si>
  <si>
    <t>0007275/2023</t>
  </si>
  <si>
    <t>QDL8</t>
  </si>
  <si>
    <t>SUBSTITUIÇÃO DO PAINEL QDL6 - 220V</t>
  </si>
  <si>
    <t>0007277/2023</t>
  </si>
  <si>
    <t>QDL6</t>
  </si>
  <si>
    <t>SUBSTITUIÇÃO DO PAINEL QDL7 - 220V</t>
  </si>
  <si>
    <t>0007278/2023</t>
  </si>
  <si>
    <t>QDL7</t>
  </si>
  <si>
    <t>SUBSTITUIÇÃO DO PAINEL QDL16  - 220V</t>
  </si>
  <si>
    <t>0007279/2023</t>
  </si>
  <si>
    <t>QDL16</t>
  </si>
  <si>
    <t>SUBSTITUIÇÃO DO PAINEL QDL17 - 220V</t>
  </si>
  <si>
    <t>0007280/2023</t>
  </si>
  <si>
    <t>QDL17</t>
  </si>
  <si>
    <t>SUBSTITUIÇÃO DO TRANSFORMADOR DE SERVIÇO AUXILIAR TR1A - 480/220-127V</t>
  </si>
  <si>
    <t>0007283/2023</t>
  </si>
  <si>
    <t>TR1A</t>
  </si>
  <si>
    <t>SUBSTITUIÇÃO DO TRANSFORMADOR DE SERVIÇO AUXILIAR TR1B - 480/220-127V</t>
  </si>
  <si>
    <t>0007284/2023</t>
  </si>
  <si>
    <t>TR1B</t>
  </si>
  <si>
    <t>SUBSTITUIÇÃO DO TRANSFORMADOR DE SERVIÇO AUXILIAR TR2A - 480/220-127V</t>
  </si>
  <si>
    <t>0007285/2023</t>
  </si>
  <si>
    <t>TR2A</t>
  </si>
  <si>
    <t>SUBSTITUIÇÃO DO TRANSFORMADOR DE SERVIÇO AUXILIAR TR2B - 480/220-127V</t>
  </si>
  <si>
    <t>0007286/2023</t>
  </si>
  <si>
    <t>TR2B</t>
  </si>
  <si>
    <t>SUBSTITUIÇÃO DO TRANSFORMADOR DE SERVIÇO AUXILIAR TR3 - 480/220-127V</t>
  </si>
  <si>
    <t>0007287/2023</t>
  </si>
  <si>
    <t>TR3</t>
  </si>
  <si>
    <t>SUBSTITUIÇÃO DO TRANSFORMADOR DE SERVIÇO AUXILIAR TR4 - 480/220-127V</t>
  </si>
  <si>
    <t>0007289/2023</t>
  </si>
  <si>
    <t>TR4</t>
  </si>
  <si>
    <t>SUBSTITUIÇÃO DO TRANSFORMADOR DE SERVIÇO AUXILIAR TR5A - 480/220-127V</t>
  </si>
  <si>
    <t>0007290/2023</t>
  </si>
  <si>
    <t>TR5A</t>
  </si>
  <si>
    <t>SUBSTITUIÇÃO DO TRANSFORMADOR DE SERVIÇO AUXILIAR TR5B - 480/220-127V</t>
  </si>
  <si>
    <t>0007291/2023</t>
  </si>
  <si>
    <t>TR5B</t>
  </si>
  <si>
    <t>SUBSTITUIÇÃO DO TRANSFORMADOR DE SERVIÇO AUXILIAR TR5C - 480/220-127V</t>
  </si>
  <si>
    <t>0007292/2023</t>
  </si>
  <si>
    <t>TR5C</t>
  </si>
  <si>
    <t>SUBSTITUIÇÃO DO TRANSFORMADOR DE SERVIÇO AUXILIAR TR6 - 480/220-127V</t>
  </si>
  <si>
    <t>0007293/2023</t>
  </si>
  <si>
    <t>TR6</t>
  </si>
  <si>
    <t>SUBSTITUIÇÃO DO GRUPO MOTOR GERADOR DIESEL DE EMERGÊNCIA DA SUBESTAÇÃO DE 338 KVA / 480V</t>
  </si>
  <si>
    <t>0007294/2023</t>
  </si>
  <si>
    <t>GMG</t>
  </si>
  <si>
    <t>0007296/2023</t>
  </si>
  <si>
    <t>Substituição dos sistemas de proteção do BC 13,8 kV 15 Mvar BRAS. SUL BC1 DF</t>
  </si>
  <si>
    <t>BC 13,8 kV 15 Mvar BRAS. SUL BC1 DF</t>
  </si>
  <si>
    <t>0006855/2023</t>
  </si>
  <si>
    <t>PROTEÇÃO - BC 13,8 kV 15 Mvar BRAS. SUL BC1 DF</t>
  </si>
  <si>
    <t>Substituição dos sistemas de proteção do BC 13,8 kV 15 Mvar BRAS. SUL BC2 DF</t>
  </si>
  <si>
    <t>BC 13,8 kV 15 Mvar BRAS. SUL BC2 DF</t>
  </si>
  <si>
    <t>0006856/2023</t>
  </si>
  <si>
    <t>PROTEÇÃO - BC 13,8 kV 15 Mvar BRAS. SUL BC2 DF</t>
  </si>
  <si>
    <t>Substituição dos sistemas de proteção do BC 13,8 kV 15 Mvar BRAS. SUL BC3 DF</t>
  </si>
  <si>
    <t>BC 13,8 kV 15 Mvar BRAS. SUL BC3 DF</t>
  </si>
  <si>
    <t>0006857/2023</t>
  </si>
  <si>
    <t>PROTEÇÃO - BC 13,8 kV 15 Mvar BRAS. SUL BC3 DF</t>
  </si>
  <si>
    <t>Substituição dos sistemas de proteção do BC 13,8 kV 15 Mvar BRAS. SUL BC4 DF</t>
  </si>
  <si>
    <t>BC 13,8 kV 15 Mvar BRAS. SUL BC4 DF</t>
  </si>
  <si>
    <t>0006858/2023</t>
  </si>
  <si>
    <t>PROTEÇÃO - BC 13,8 kV 15 Mvar BRAS. SUL BC4 DF</t>
  </si>
  <si>
    <t>Substituição dos sistemas de proteção da LT 230 kV BRAS. SUL /PIRINEUS C-1 DF/GO</t>
  </si>
  <si>
    <t>LT 230 kV BRAS. SUL /PIRINEUS C-1 DF/GO</t>
  </si>
  <si>
    <t>0006859/2023</t>
  </si>
  <si>
    <t>PROTEÇÃO - LT 230 kV BRAS. SUL /PIRINEUS C-1 DF/GO</t>
  </si>
  <si>
    <t>PIRINEUS</t>
  </si>
  <si>
    <t>0006830/2023</t>
  </si>
  <si>
    <t>Substituição do registrador de perturbações digital da LT 230 kV BRAS. SUL /PIRINEUS C-1 DF/GO</t>
  </si>
  <si>
    <t>0006865/2023</t>
  </si>
  <si>
    <t>RDP - LT 230 kV BRAS. SUL /PIRINEUS C-1 DF/GO</t>
  </si>
  <si>
    <t>Substituição do registrador de perturbações digital das barras BR8A e BR8B</t>
  </si>
  <si>
    <t>0006869/2023</t>
  </si>
  <si>
    <t>RDP - BR8A e BR8B</t>
  </si>
  <si>
    <t>Substituição do registrador de perturbações digital do TR 345/230 kV BRAS. SUL TR9 DF</t>
  </si>
  <si>
    <t>TR 345/138 kV BRAS. SUL TR9 DF</t>
  </si>
  <si>
    <t>0006870/2023</t>
  </si>
  <si>
    <t>RDP - TR 345/230 kV BRAS. SUL TR9 DF</t>
  </si>
  <si>
    <t>Substituição do registrador de perturbações digital das barras BR7A e BR7B</t>
  </si>
  <si>
    <t>0006872/2023</t>
  </si>
  <si>
    <t>RDP - BR7A e BR7B</t>
  </si>
  <si>
    <t>Substituição do registrador de perturbações digital da LT 230 kV AGUAS LINDAS /BRAS. SUL C-1 GO/DF</t>
  </si>
  <si>
    <t>LT 230 kV AGUAS LINDAS /BRAS. SUL C-1 GO/DF</t>
  </si>
  <si>
    <t>0006874/2023</t>
  </si>
  <si>
    <t>RDP - LT 230 kV AGUAS LINDAS /BRAS. SUL C-1 GO/DF</t>
  </si>
  <si>
    <t>Substituição do registrador de perturbações digital da LT 230 kV BRAS. GERAL /BRAS. SUL C-2 DF</t>
  </si>
  <si>
    <t>LT 230 kV BRAS. GERAL /BRAS. SUL C-2 DF</t>
  </si>
  <si>
    <t>0006876/2023</t>
  </si>
  <si>
    <t>RDP - LT 230 kV BRAS. GERAL /BRAS. SUL C-2 DF</t>
  </si>
  <si>
    <t>Substituição do registrador de perturbações digital das barras BR6A e BR6B</t>
  </si>
  <si>
    <t>0006877/2023</t>
  </si>
  <si>
    <t>RDP - BR6A e BR6B</t>
  </si>
  <si>
    <t>Substituição do registrador de perturbações digital Da  LT 138 kV BRAS. NORTE /BRAS. SUL C-1 DF</t>
  </si>
  <si>
    <t>LT 138 kV BRAS. NORTE /BRAS. SUL C-1 DF</t>
  </si>
  <si>
    <t>0006879/2023</t>
  </si>
  <si>
    <t>RDP - LT 138 kV BRAS. NORTE /BRAS. SUL C-1 DF</t>
  </si>
  <si>
    <t>Substituição do registrador de perturbações digital Da  LT 138 kV BRAS. NORTE /BRAS. SUL C-2 DF</t>
  </si>
  <si>
    <t>LT 138 kV BRAS. NORTE /BRAS. SUL C-2 DF</t>
  </si>
  <si>
    <t>0006881/2023</t>
  </si>
  <si>
    <t>RDP - LT 138 kV BRAS. NORTE /BRAS. SUL C-2 DF</t>
  </si>
  <si>
    <t>Substituição do registrador de perturbações digital Da  LT 138 kV BRAS. NORTE /BRAS. SUL C-3 DF</t>
  </si>
  <si>
    <t>LT 138 kV BRAS. NORTE /BRAS. SUL C-3 DF</t>
  </si>
  <si>
    <t>0006882/2023</t>
  </si>
  <si>
    <t>RDP - LT 138 kV BRAS. NORTE /BRAS. SUL C-3 DF</t>
  </si>
  <si>
    <t>Substituição do registrador de perturbações digital Da  LT 138 kV TAGUATINGA /BRAS. SUL C-1 DF</t>
  </si>
  <si>
    <t>LT 138 kV TAGUATINGA /BRAS. SUL C-1 DF</t>
  </si>
  <si>
    <t>0006884/2023</t>
  </si>
  <si>
    <t>RDP - LT 138 kV TAGUATINGA /BRAS. SUL C-1 DF</t>
  </si>
  <si>
    <t>Substituição do registrador de perturbações digital Da  LT 138 kV TAGUATINGA /BRAS. SUL C-2 DF</t>
  </si>
  <si>
    <t>LT 138 kV TAGUATINGA /BRAS. SUL C-2 DF</t>
  </si>
  <si>
    <t>0006887/2023</t>
  </si>
  <si>
    <t>RDP - LT 138 kV TAGUATINGA /BRAS. SUL C-2 DF</t>
  </si>
  <si>
    <t>Substituição do registrador de perturbações digital Da  LT 138 kV CEILANDIA /BRAS. SUL C-1 DF</t>
  </si>
  <si>
    <t>LT 138 kV CEILANDIA /BRAS. SUL C-1 DF</t>
  </si>
  <si>
    <t>0006888/2023</t>
  </si>
  <si>
    <t>RDP - LT 138 kV CEILANDIA /BRAS. SUL C-1 DF</t>
  </si>
  <si>
    <t>Substituição do registrador de perturbações digital Da  LT 138 kV CEILANDIA /BRAS. SUL C-2 DF</t>
  </si>
  <si>
    <t>LT 138 kV CEILANDIA /BRAS. SUL C-2 DF</t>
  </si>
  <si>
    <t>0006889/2023</t>
  </si>
  <si>
    <t>RDP - LT 138 kV CEILANDIA /BRAS. SUL C-2 DF</t>
  </si>
  <si>
    <t>Substituição do registrador de perturbações digital Da  LT 138 kV SANTA MARIA /BRAS. SUL C-1 DF</t>
  </si>
  <si>
    <t>LT 138 kV SANTA MARIA /BRAS. SUL C-1 DF</t>
  </si>
  <si>
    <t>0006891/2023</t>
  </si>
  <si>
    <t>RDP - LT 138 kV SANTA MARIA /BRAS. SUL C-1 DF</t>
  </si>
  <si>
    <t>Serão substituídos 02 (dois) equipamentos OPLAT de fabricação SIEMENS, modelo ESB2000i, números de série 1854 e 1856 e 02 (dois) equipamentos de teleproteção de fabricação ALSTOM, modelo DIP5000, números de série 23016546 e 23016525.</t>
  </si>
  <si>
    <t>LT 345 kV CORUMBA /BRAS. SUL C-1 GO/DF</t>
  </si>
  <si>
    <t>0007800/2023</t>
  </si>
  <si>
    <t>TLP PRIMARIA</t>
  </si>
  <si>
    <t>Serão substituídos 02 (dois) equipamentos de teleproteção analógica de fabricação SIEMENS, modelo SWT2000F6, números de série 03630(2) e 03630(1).</t>
  </si>
  <si>
    <t>0007801/2023</t>
  </si>
  <si>
    <t>Serão substituídos 02 (dois) equipamentos de teleproteção de fabricação ALSTOM, modelo DIP5000, números de série 23017608 e 23016579.</t>
  </si>
  <si>
    <t>0007802/2023</t>
  </si>
  <si>
    <t>Substituição de switch FSBS-D01P da Rede Operativa da subestação de Brasília Sul.</t>
  </si>
  <si>
    <t>0007806/2023</t>
  </si>
  <si>
    <t>FSBS-D01P</t>
  </si>
  <si>
    <t>Substituição de switch FSBS-D01S da Rede Operativa da subestação de Brasília Sul.</t>
  </si>
  <si>
    <t>0007807/2023</t>
  </si>
  <si>
    <t>FSBS-D01S</t>
  </si>
  <si>
    <t>Substituição de switch FSBS-A01P da Rede Operativa da subestação de Brasília Sul.</t>
  </si>
  <si>
    <t>0007808/2023</t>
  </si>
  <si>
    <t>FSBS-A01P</t>
  </si>
  <si>
    <t>Substituição de switch FSBS-A01S da Rede Operativa da subestação de Brasília Sul.</t>
  </si>
  <si>
    <t>0007809/2023</t>
  </si>
  <si>
    <t>FSBS-A01S</t>
  </si>
  <si>
    <t>Substituição de switch FSBS-A02P da Rede Operativa da subestação de Brasília Sul.</t>
  </si>
  <si>
    <t>0007810/2023</t>
  </si>
  <si>
    <t>FSBS-A02P</t>
  </si>
  <si>
    <t>Substituição de switch FSBS-A02S da Rede Operativa da subestação de Brasília Sul.</t>
  </si>
  <si>
    <t>0007811/2023</t>
  </si>
  <si>
    <t>FSBS-A02S</t>
  </si>
  <si>
    <t>Substituição da UAC19 - SINOCON de supervisão do BANCO DE CAPACITORES BC 13,8 kV 15 Mvar BRAS. SUL BC1 DF</t>
  </si>
  <si>
    <t>0007579/2023</t>
  </si>
  <si>
    <t>Substituição da UAC19 - SINOCON de supervisão do BANCO DE CAPACITORES BC 13,8 kV 15 Mvar BRAS. SUL BC2 DF</t>
  </si>
  <si>
    <t>0007580/2023</t>
  </si>
  <si>
    <t>Substituição da UAC20 - SINOCON de supervisão do BANCO DE CAPACITORES BC 13,8 kV 15 Mvar BRAS. SUL BC3 DF</t>
  </si>
  <si>
    <t>0007582/2023</t>
  </si>
  <si>
    <t>Substituição da UAC20 - SINOCON de supervisão do BANCO DE CAPACITORES BC 13,8 kV 15 Mvar BRAS. SUL BC4 DF</t>
  </si>
  <si>
    <t>0007583/2023</t>
  </si>
  <si>
    <t>Substituição das UACs de supervisão da LT 230 kV BRAS. SUL /PIRINEUS C-1 DF/GO</t>
  </si>
  <si>
    <t>0007585/2023</t>
  </si>
  <si>
    <t>Substituição de seccionadora SC8521 (nº serie: F51396B, cod. mat.: 10196452).</t>
  </si>
  <si>
    <t>0005964/2023</t>
  </si>
  <si>
    <t>Substituição de seccionadora SC8523 (nº serie: F51396C, cod. mat.: 10196453).</t>
  </si>
  <si>
    <t>0005966/2023</t>
  </si>
  <si>
    <t>Substituição de seccionadora SC8525 (nº serie: F51396E, cod. mat.: 10196454).</t>
  </si>
  <si>
    <t>0005967/2023</t>
  </si>
  <si>
    <t>Substituição de seccionadora SC8527 (nº serie: F51396D, cod. mat.: 10196455).</t>
  </si>
  <si>
    <t>0005968/2023</t>
  </si>
  <si>
    <t>SC8527</t>
  </si>
  <si>
    <t>Substituição de seccionadora SC8529 (nº serie: F51396F, cod. mat.: 10196456).</t>
  </si>
  <si>
    <t>0005969/2023</t>
  </si>
  <si>
    <t>SC8529</t>
  </si>
  <si>
    <t>Substituição de seccionadora SC8520T (nº serie: F51396A, cod. mat.: 10196457).</t>
  </si>
  <si>
    <t>0005970/2023</t>
  </si>
  <si>
    <t>SC8520T</t>
  </si>
  <si>
    <t>Substituição de trafo potencial/dcp DCPLTMRCL FASE A (nº serie: 13451, cod. mat.: 10189947).</t>
  </si>
  <si>
    <t>0005982/2023</t>
  </si>
  <si>
    <t>DCPLTMRCL FASE A</t>
  </si>
  <si>
    <t>Substituição de trafo potencial/dcp DCPLTMRCL FASE B (nº serie: 13452, cod. mat.: 10189946).</t>
  </si>
  <si>
    <t>0005983/2023</t>
  </si>
  <si>
    <t>DCPLTMRCL FASE B</t>
  </si>
  <si>
    <t>Substituição de trafo potencial/dcp DCPLTMRCL FASE C (nº serie: -, cod. mat.: -).</t>
  </si>
  <si>
    <t>0005984/2023</t>
  </si>
  <si>
    <t>DCPLTMRCL FASE C</t>
  </si>
  <si>
    <t>Substituição do transformador de potência TR5MVA (nº serie: 29409, cod. mat.: 10182811).</t>
  </si>
  <si>
    <t>TR 138/13,8 kV P. COLOMBIA TRSA MG</t>
  </si>
  <si>
    <t>0002990/2022</t>
  </si>
  <si>
    <t>TR5MVA</t>
  </si>
  <si>
    <t>Substituição de seccionadora SC671 (nº serie: 711520/250, cod. mat.: 10196720).</t>
  </si>
  <si>
    <t>0005971/2023</t>
  </si>
  <si>
    <t>SC671</t>
  </si>
  <si>
    <t>Substituição de seccionadora SC673 (nº serie: 711520/240, cod. mat.: 10196721).</t>
  </si>
  <si>
    <t>0005973/2023</t>
  </si>
  <si>
    <t>SC673</t>
  </si>
  <si>
    <t>Substituição de trafo corrente TC1DJ678 138KV  FASE A (nº serie: SPX2255, cod. mat.: 10186244).</t>
  </si>
  <si>
    <t>0005975/2023</t>
  </si>
  <si>
    <t>TC1DJ678 138KV  FASE A</t>
  </si>
  <si>
    <t>Substituição de trafo corrente TC1DJ678 138KV  FASE B (nº serie: SPX2254, cod. mat.: 10186245).</t>
  </si>
  <si>
    <t>0005976/2023</t>
  </si>
  <si>
    <t>TC1DJ678 138KV  FASE B</t>
  </si>
  <si>
    <t>Substituição de trafo corrente TC1DJ678 138KV  FASE C (nº serie: SPX2256, cod. mat.: 10186246).</t>
  </si>
  <si>
    <t>0005978/2023</t>
  </si>
  <si>
    <t>TC1DJ678 138KV  FASE CBROWN BOVERI</t>
  </si>
  <si>
    <t>Substituição de trafo corrente TC2DJ678 138KV  FASE A (nº serie: HU310624, cod. mat.: 10186274).</t>
  </si>
  <si>
    <t>0005979/2023</t>
  </si>
  <si>
    <t>TC2DJ678 138KV  FASE A</t>
  </si>
  <si>
    <t>Substituição de trafo corrente TC2DJ678 138KV  FASE B (nº serie: HU310612, cod. mat.: 10186275).</t>
  </si>
  <si>
    <t>0005980/2023</t>
  </si>
  <si>
    <t>TC2DJ678 138KV  FASE BBROWN BOVERI</t>
  </si>
  <si>
    <t>Substituição de trafo corrente TC2DJ678 138KV  FASE C (nº serie: HU310619, cod. mat.: 10186276).</t>
  </si>
  <si>
    <t>0005981/2023</t>
  </si>
  <si>
    <t>TC2DJ678 138KV  FASE C</t>
  </si>
  <si>
    <t>Substituição de seccionadora SC2071 (nº serie: -, cod. mat.: -).</t>
  </si>
  <si>
    <t>0005974/2023</t>
  </si>
  <si>
    <t>SC2071</t>
  </si>
  <si>
    <t>Substituição dos sistemas de proteção da LT 345 kV P. COLOMBIA /VOLTA GRANDE C-1 MG</t>
  </si>
  <si>
    <t>LT 345 kV P. COLOMBIA /VOLTA GRANDE C-1 MG</t>
  </si>
  <si>
    <t>0007115/2023</t>
  </si>
  <si>
    <t>PROTEÇÃO - LT 345 kV P. COLOMBIA /VOLTA GRANDE C-1 MG</t>
  </si>
  <si>
    <t>Substituição dos sistemas de proteção da LT 138 kV BARRETOS 1 /P. COLOMBIA C-3 MG e da proteção de falha da disjuntor DJ6938.</t>
  </si>
  <si>
    <t>LT 138 kV BARRETOS 1 /P. COLOMBIA C-3 SP/MG</t>
  </si>
  <si>
    <t>0007116/2023</t>
  </si>
  <si>
    <t>PROTEÇÃO - LT 138 kV BARRETOS 1 /P. COLOMBIA C-3 MG</t>
  </si>
  <si>
    <t>Substituição dos sistemas de proteção da LT 138 kV BARRETOS 1 /P. COLOMBIA C-2 MG e da proteção de falha da disjuntor DJ6928.</t>
  </si>
  <si>
    <t>LT 138 kV BARRETOS 1 /P. COLOMBIA C-2 SP/MG</t>
  </si>
  <si>
    <t>0007117/2023</t>
  </si>
  <si>
    <t>PROTEÇÃO - LT 138 kV BARRETOS 1 /P. COLOMBIA C-2 MG</t>
  </si>
  <si>
    <t>Substituição dos sistemas de proteção daLT 138 kV BARRETOS 1 /P. COLOMBIA C-1 MG</t>
  </si>
  <si>
    <t>LT 138 kV BARRETOS 1 /P. COLOMBIA C-1 SP/MG</t>
  </si>
  <si>
    <t>0007118/2023</t>
  </si>
  <si>
    <t>PROTEÇÃO - LT 138 kV BARRETOS 1 /P. COLOMBIA C-1 MG</t>
  </si>
  <si>
    <t>Substituição dos sistemas de proteção do TR 138/13,8 kV P. COLOMBIA TRSA MG</t>
  </si>
  <si>
    <t>0007119/2023</t>
  </si>
  <si>
    <t>PROTEÇÃO - TR 138/13,8 kV P. COLOMBIA TRSA MG</t>
  </si>
  <si>
    <t>Substituição dos sistemas de proteção da LT 138 kV COLORADO /P. COLOMBIA C-1 SP/MG e da proteção de falha do disjuntor  DJ6948.</t>
  </si>
  <si>
    <t>LT 138 kV COLORADO /P. COLOMBIA C-1 SP/MG</t>
  </si>
  <si>
    <t>0007120/2023</t>
  </si>
  <si>
    <t>PROTEÇÃO - LT 138 kV COLORADO /P. COLOMBIA C-1 SP/MG</t>
  </si>
  <si>
    <t>Substituição do registrador de perturbações digital da LT 345 kV P. COLOMBIA /VOLTA GRANDE C-1 MG</t>
  </si>
  <si>
    <t>0007133/2023</t>
  </si>
  <si>
    <t>RDP - LT 345 kV P. COLOMBIA /VOLTA GRANDE C-1 MG</t>
  </si>
  <si>
    <t>Substituição do registrador de perturbações digital da LT 138 kV BARRETOS 1 /P. COLOMBIA C-3 MG</t>
  </si>
  <si>
    <t>0007134/2023</t>
  </si>
  <si>
    <t>RDP - LT 138 kV BARRETOS 1 /P. COLOMBIA C-3 MG</t>
  </si>
  <si>
    <t>Substituição do registrador de perturbações digital da LT 138 kV BARRETOS 1 /P. COLOMBIA C-2 MG</t>
  </si>
  <si>
    <t>0007135/2023</t>
  </si>
  <si>
    <t>RDP - LT 138 kV BARRETOS 1 /P. COLOMBIA C-2 MG</t>
  </si>
  <si>
    <t>Substituição do registrador de perturbações digital da LT 138 kV BARRETOS 1 /P. COLOMBIA C-1 MG</t>
  </si>
  <si>
    <t>0007136/2023</t>
  </si>
  <si>
    <t>RDP - LT 138 kV BARRETOS 1 /P. COLOMBIA C-1 MG</t>
  </si>
  <si>
    <t>Substituição do registrador de perturbações digital da LT 138 kV COLORADO /P. COLOMBIA C-1 SP/MG</t>
  </si>
  <si>
    <t>0007138/2023</t>
  </si>
  <si>
    <t>RDP - LT 138 kV COLORADO /P. COLOMBIA C-1 SP/MG</t>
  </si>
  <si>
    <t>Substituição do registrador de perturbações digital da BR6A e BR6B</t>
  </si>
  <si>
    <t>0007139/2023</t>
  </si>
  <si>
    <t>Substituição do registrador de perturbações digital da BR8A e BR8B</t>
  </si>
  <si>
    <t>0007140/2023</t>
  </si>
  <si>
    <t>Substituição do registrador de perturbações digital da LT 345 kV ITUMBIARA /P. COLOMBIA C-1 MG</t>
  </si>
  <si>
    <t>LT 345 kV ITUMBIARA /P. COLOMBIA C-1 MG</t>
  </si>
  <si>
    <t>0007141/2023</t>
  </si>
  <si>
    <t>RDP - LT 345 kV ITUMBIARA /P. COLOMBIA C-1 MG</t>
  </si>
  <si>
    <t>Substituição do registrador de perturbações digital e Localizador de Faltas por ondas viajantes (TW) da LT 345 kV MARIMBONDO /P. COLOMBIA C-1 MG</t>
  </si>
  <si>
    <t>0007142/2023</t>
  </si>
  <si>
    <t>RDP - LT 345 kV MARIMBONDO /P. COLOMBIA C-1 MG</t>
  </si>
  <si>
    <t>Substituição do Módulo Concentrador de Informações de oscilografia (MCRDP).</t>
  </si>
  <si>
    <t>0007143/2023</t>
  </si>
  <si>
    <t>Substituição do Módulo de Sincronização das informações (RARP).</t>
  </si>
  <si>
    <t>0007144/2023</t>
  </si>
  <si>
    <t>Substituição da UAC03 - SINOCON de supervisão da LT 345 kV P. COLOMBIA /VOLTA GRANDE C-1 MG</t>
  </si>
  <si>
    <t>0007726/2023</t>
  </si>
  <si>
    <t>Substituição da UAC08 - SINOCON de supervisão da LT 138 kV BARRETOS 1 /P. COLOMBIA C-3 MG</t>
  </si>
  <si>
    <t>LT 138 kV BARRETOS 1 /P. COLOMBIA C-3 MG</t>
  </si>
  <si>
    <t>0007728/2023</t>
  </si>
  <si>
    <t>Substituição da UAC07 - SINOCON de supervisão da LT 138 kV BARRETOS 1 /P. COLOMBIA C-2 MG</t>
  </si>
  <si>
    <t>0007729/2023</t>
  </si>
  <si>
    <t>Substituição da UAC09 - SINOCON de supervisão da LT 138 kV BARRETOS 1 /P. COLOMBIA C-1 MG</t>
  </si>
  <si>
    <t>0007730/2023</t>
  </si>
  <si>
    <t>Substituição das UACs 17 e 18 - SINOCON de supervisão do TR 138/13,8 kV P. COLOMBIA TRSA MG</t>
  </si>
  <si>
    <t>0007731/2023</t>
  </si>
  <si>
    <t>Substituição da UAC06 - SINOCON de supervisão da LT 138 kV COLORADO /P. COLOMBIA C-1 SP/MG</t>
  </si>
  <si>
    <t>0007732/2023</t>
  </si>
  <si>
    <t>Substituição da UAC10 - SINOCON de supervisão das Barras de 138 kV BR6A e BR6B</t>
  </si>
  <si>
    <t>0007733/2023</t>
  </si>
  <si>
    <t>Substituição do TR AT2A 345/138 kV (num série A13112)</t>
  </si>
  <si>
    <t>TR 345/138 kV ADRIANOPOLIS TR2A RJ</t>
  </si>
  <si>
    <t>0000999/2022</t>
  </si>
  <si>
    <t>AT2A-A</t>
  </si>
  <si>
    <t>Substituição de  01 (um) equipamento de teleproteção OPLAT de fabricação GE, modelo CS-27B, número de série LM-714, que atende ao esquema de teleproteção de Bloqueio da LT 345 kV Porto Colômbia - Volta Grande.</t>
  </si>
  <si>
    <t>0007856/2023</t>
  </si>
  <si>
    <t>Substituição de switch FUCL-D01P da Rede Operativa da UHE PORTO COLOMBIA.</t>
  </si>
  <si>
    <t>0007877/2023</t>
  </si>
  <si>
    <t>FUCL-D01P</t>
  </si>
  <si>
    <t>Substituição de switch FUCL-D01S da Rede Operativa da UHE PORTO COLOMBIA.</t>
  </si>
  <si>
    <t>0007878/2023</t>
  </si>
  <si>
    <t>FUCL-D01S</t>
  </si>
  <si>
    <t>Substituição de switch FUCL-A01P da Rede Operativa da UHE PORTO COLOMBIA.</t>
  </si>
  <si>
    <t>0007879/2023</t>
  </si>
  <si>
    <t>FUCL-A01P</t>
  </si>
  <si>
    <t>Substituição de switch FUCL-A01S da Rede Operativa da UHE PORTO COLOMBIA.</t>
  </si>
  <si>
    <t>0007881/2023</t>
  </si>
  <si>
    <t>FUCL-A01S</t>
  </si>
  <si>
    <t>Substituição de switch FUCL-A02P da Rede Operativa da UHE PORTO COLOMBIA.</t>
  </si>
  <si>
    <t>0007883/2023</t>
  </si>
  <si>
    <t>FUCL-A02P</t>
  </si>
  <si>
    <t>Substituição de switch FUCL-A02S da Rede Operativa da UHE PORTO COLOMBIA.</t>
  </si>
  <si>
    <t>0007884/2023</t>
  </si>
  <si>
    <t>FUCL-A02S</t>
  </si>
  <si>
    <t>Substituição de switch FUCL-P01 da Rede Operativa da UHE PORTO COLOMBIA.</t>
  </si>
  <si>
    <t>0007885/2023</t>
  </si>
  <si>
    <t>FUCL-P01</t>
  </si>
  <si>
    <t>Substituição de switch FUCL-P02 da Rede Operativa da UHE PORTO COLOMBIA.</t>
  </si>
  <si>
    <t>0007886/2023</t>
  </si>
  <si>
    <t>FUCL-P02</t>
  </si>
  <si>
    <t>Substituição de switch FUCL-P03 da Rede Operativa da UHE PORTO COLOMBIA.</t>
  </si>
  <si>
    <t>0007888/2023</t>
  </si>
  <si>
    <t>FUCL-P03</t>
  </si>
  <si>
    <t>SUBSTITUIÇÃO DA CHAVE SECCIONADORA SC2121 - 13,8KV</t>
  </si>
  <si>
    <t>0007559/2023</t>
  </si>
  <si>
    <t>SC2121</t>
  </si>
  <si>
    <t>SUBSTITUIÇÃO DA CHAVE SECCIONADORA SC2111 - 13,8KV</t>
  </si>
  <si>
    <t>0007560/2023</t>
  </si>
  <si>
    <t>SUBSTITUIÇÃO DE PÁRA RAIOS RAMAL AÉREO DA ÁREA INDUSTRIAL - 13,8KV</t>
  </si>
  <si>
    <t>0007561/2023</t>
  </si>
  <si>
    <t>PR</t>
  </si>
  <si>
    <t>SUBSTITUIÇÃO DO TRANSFORMADOR DE SERVIÇO AUXILIAR SATR01 - 13,8KV/460V</t>
  </si>
  <si>
    <t>0007562/2023</t>
  </si>
  <si>
    <t>SATR01</t>
  </si>
  <si>
    <t>SUBSTITUIÇÃO DA CHAVE SECCIONADORA SC2015- 13,8KV</t>
  </si>
  <si>
    <t>0007563/2023</t>
  </si>
  <si>
    <t>SC2015</t>
  </si>
  <si>
    <t>SUBSTITUIÇÃO DA CHAVE SECCIONADORA SC2025 - 13,8KV</t>
  </si>
  <si>
    <t>0007564/2023</t>
  </si>
  <si>
    <t>SC2025</t>
  </si>
  <si>
    <t>SUBSTITUIÇÃO DO TRANSFORMADOR DE SERVIÇO AUXILIAR SATR02 - 13,8KV/460V</t>
  </si>
  <si>
    <t>0007565/2023</t>
  </si>
  <si>
    <t>SATR02</t>
  </si>
  <si>
    <t>SUBSTITUIÇÃO DA CHAVE SECCIONADORA SC2017 - 13,8KV</t>
  </si>
  <si>
    <t>0007566/2023</t>
  </si>
  <si>
    <t>SC2017</t>
  </si>
  <si>
    <t>SUBSTITUIÇÃO DA CHAVE SECCIONADORA SC2027 - 13,8KV</t>
  </si>
  <si>
    <t>0007567/2023</t>
  </si>
  <si>
    <t>SC2027</t>
  </si>
  <si>
    <t>SUBSTITUIÇÃO DE PÁRA RAIOS DAS CONEXÕES DOS TRAFOS AUXILIARES DA SE - 13,8KV</t>
  </si>
  <si>
    <t>0007568/2023</t>
  </si>
  <si>
    <t>SUBSTITUIÇÃO DO PAINEL PF1 - 480V</t>
  </si>
  <si>
    <t>0007569/2023</t>
  </si>
  <si>
    <t>PF1</t>
  </si>
  <si>
    <t>SUBSTITUIÇÃO DO PAINEL PF2 - 480V</t>
  </si>
  <si>
    <t>0007570/2023</t>
  </si>
  <si>
    <t>PF2</t>
  </si>
  <si>
    <t>SUBSTITUIÇÃO DO PAINEL PL1 - 220V</t>
  </si>
  <si>
    <t>0007571/2023</t>
  </si>
  <si>
    <t>PL1</t>
  </si>
  <si>
    <t>SUBSTITUIÇÃO DO PAINEL PL2 - 220V</t>
  </si>
  <si>
    <t>0007572/2023</t>
  </si>
  <si>
    <t>PL2</t>
  </si>
  <si>
    <t>SUBSTITUIÇÃO DO PAINEL PL3 - 220V</t>
  </si>
  <si>
    <t>0007573/2023</t>
  </si>
  <si>
    <t>PL3</t>
  </si>
  <si>
    <t>SUBSTITUIÇÃO DO TRANSFORMADOR DE SERVIÇO AUXILIAR SATR ÁREA INDUSTRIAL - 13,8KV/220V</t>
  </si>
  <si>
    <t>0007574/2023</t>
  </si>
  <si>
    <t>TR ÁREA INDUSTRIAL</t>
  </si>
  <si>
    <t>SUBSTITUIÇÃO DO TRANSFORMADOR REGULADOR TREG-RVB - 460/460V</t>
  </si>
  <si>
    <t>0007575/2023</t>
  </si>
  <si>
    <t>TREG-RVB</t>
  </si>
  <si>
    <t>SUBSTITUIÇÃO DO TRANSFORMADOR REGULADOR TREG PL1/PL3 - 220/220V</t>
  </si>
  <si>
    <t>0007576/2023</t>
  </si>
  <si>
    <t>TREG PL1/PL3</t>
  </si>
  <si>
    <t>Substituição de para-raios PR AT01 FASE A (nº serie: 32991, cod. mat.: 10199046).</t>
  </si>
  <si>
    <t>TR 750/500 kV IVAIPORA TR1 PR</t>
  </si>
  <si>
    <t>0005650/2023</t>
  </si>
  <si>
    <t>PR AT01 FASE A</t>
  </si>
  <si>
    <t>Substituição de para-raios PR AT01 FASE B (nº serie: 33174, cod. mat.: 10199048).</t>
  </si>
  <si>
    <t>0005651/2023</t>
  </si>
  <si>
    <t>PR AT01 FASE B</t>
  </si>
  <si>
    <t>Substituição de para-raios PR AT01 FASE C (nº serie: 33153, cod. mat.: 10199047).</t>
  </si>
  <si>
    <t>0005652/2023</t>
  </si>
  <si>
    <t>PR AT01 FASE C</t>
  </si>
  <si>
    <t>Substituição de seccionadora SC12717 (nº serie: 9508, cod. mat.: 10196900).</t>
  </si>
  <si>
    <t>0005663/2023</t>
  </si>
  <si>
    <t>Substituição de seccionadora SC12713 (nº serie: 1002, cod. mat.: 10196903).</t>
  </si>
  <si>
    <t>0005664/2023</t>
  </si>
  <si>
    <t>SC12713</t>
  </si>
  <si>
    <t>Substituição de trafo corrente TC DJ12716 FASE A (nº serie: 7176001, cod. mat.: 10185085).</t>
  </si>
  <si>
    <t>0005675/2023</t>
  </si>
  <si>
    <t>TC DJ12716 FASE A</t>
  </si>
  <si>
    <t>Substituição de trafo corrente TC DJ12716 FASE B (nº serie: 7176002, cod. mat.: 10185086).</t>
  </si>
  <si>
    <t>0005676/2023</t>
  </si>
  <si>
    <t>TC DJ12716 FASE B</t>
  </si>
  <si>
    <t>Substituição de trafo corrente TC DJ12716 FASE C (nº serie: 7176004, cod. mat.: 10185088).</t>
  </si>
  <si>
    <t>0005677/2023</t>
  </si>
  <si>
    <t>TC DJ12716 FASE C</t>
  </si>
  <si>
    <t>Substituição de seccionadora SC12711 (nº serie: 1020, cod. mat.: 10196901).</t>
  </si>
  <si>
    <t>0005665/2023</t>
  </si>
  <si>
    <t>Substituição de seccionadora SC12240T (nº serie: 01020T, cod. mat.: 10196945).</t>
  </si>
  <si>
    <t>0005666/2023</t>
  </si>
  <si>
    <t>SC12240T</t>
  </si>
  <si>
    <t>Substituição de seccionadora SC12863 (nº serie: 1010, cod. mat.: 10196902).</t>
  </si>
  <si>
    <t>0005667/2023</t>
  </si>
  <si>
    <t>SC12863</t>
  </si>
  <si>
    <t>Substituição de trafo corrente TC DJ12866 FASE A (nº serie: 472736, cod. mat.: 10184200).</t>
  </si>
  <si>
    <t>0005678/2023</t>
  </si>
  <si>
    <t>TC DJ12866 FASE A</t>
  </si>
  <si>
    <t>Substituição de trafo corrente TC DJ12866 FASE B (nº serie: 472735, cod. mat.: 10184201).</t>
  </si>
  <si>
    <t>0005680/2023</t>
  </si>
  <si>
    <t>TC DJ12866 FASE B</t>
  </si>
  <si>
    <t>Substituição de trafo corrente TC DJ12866 FASE C (nº serie: 472744, cod. mat.: 10184202).</t>
  </si>
  <si>
    <t>0005681/2023</t>
  </si>
  <si>
    <t>TC DJ12866 FASE C</t>
  </si>
  <si>
    <t>Substituição de seccionadora SC12861 (nº serie: 1859, cod. mat.: 10196013).</t>
  </si>
  <si>
    <t>0005668/2023</t>
  </si>
  <si>
    <t>SC12861</t>
  </si>
  <si>
    <t>Substituição de para-raios PR TRRG01 FASE A (nº serie: 5309222, cod. mat.: 10197400).</t>
  </si>
  <si>
    <t>0005653/2023</t>
  </si>
  <si>
    <t>PR TRRG01 FASE A</t>
  </si>
  <si>
    <t>Substituição de para-raios PR TRRG01 FASE B (nº serie: 5309220, cod. mat.: 10197401).</t>
  </si>
  <si>
    <t>0005654/2023</t>
  </si>
  <si>
    <t>PR TRRG01 FASE B</t>
  </si>
  <si>
    <t>Substituição de para-raios PR TRRG01 FASE C (nº serie: 5309221, cod. mat.: 10197402).</t>
  </si>
  <si>
    <t>0005656/2023</t>
  </si>
  <si>
    <t>PR TRRG01 FASE C</t>
  </si>
  <si>
    <t>Substituição de trafo potencial/dcp TP AT01 FASE A (nº serie: 332846, cod. mat.: 10187996).</t>
  </si>
  <si>
    <t>0005686/2023</t>
  </si>
  <si>
    <t>TP AT01 FASE A</t>
  </si>
  <si>
    <t>Substituição de trafo potencial/dcp TP AT01 FASE B (nº serie: 332845, cod. mat.: 10187995).</t>
  </si>
  <si>
    <t>0005687/2023</t>
  </si>
  <si>
    <t>TP AT01 FASE B</t>
  </si>
  <si>
    <t>Substituição de trafo potencial/dcp TP AT01 FASE C (nº serie: 332844, cod. mat.: 10187994).</t>
  </si>
  <si>
    <t>0005688/2023</t>
  </si>
  <si>
    <t>TP AT01 FASE C</t>
  </si>
  <si>
    <t>Substituição de seccionadora SC5717 (nº serie: 6746A, cod. mat.: 10195080).</t>
  </si>
  <si>
    <t>0005669/2023</t>
  </si>
  <si>
    <t>SC5717</t>
  </si>
  <si>
    <t>Substituição de seccionadora SC5817R (nº serie: 6743A, cod. mat.: 10195082).</t>
  </si>
  <si>
    <t>RT 69 kV 180 Mvar IVAIPORA RT1A PR</t>
  </si>
  <si>
    <t>0005670/2023</t>
  </si>
  <si>
    <t>SC5817R</t>
  </si>
  <si>
    <t>Substituição de seccionadora SC5827R (nº serie: 6742A, cod. mat.: 10195083).</t>
  </si>
  <si>
    <t>RT 69 kV 180 Mvar IVAIPORA RT1B PR</t>
  </si>
  <si>
    <t>0005672/2023</t>
  </si>
  <si>
    <t>SC5827R</t>
  </si>
  <si>
    <t>Substituição de seccionadora SC5837R (nº serie: 6744C, cod. mat.: 10195084).</t>
  </si>
  <si>
    <t>RT 69 kV 180 Mvar IVAIPORA RT1C PR</t>
  </si>
  <si>
    <t>0005673/2023</t>
  </si>
  <si>
    <t>SC5837R</t>
  </si>
  <si>
    <t>Substituição de seccionadora SC5847 (nº serie: 6740, cod. mat.: 10195085).</t>
  </si>
  <si>
    <t>0005674/2023</t>
  </si>
  <si>
    <t>SC5847</t>
  </si>
  <si>
    <t>Substituição de para-raios PR AT129V (nº serie: 33156, cod. mat.: 10237535).</t>
  </si>
  <si>
    <t>TRR 765/500 kV IVAIPORA TRR1 PR</t>
  </si>
  <si>
    <t>0005660/2023</t>
  </si>
  <si>
    <t>PR AT129V</t>
  </si>
  <si>
    <t>Substituição de para-raios PR AT129V-REG09V (nº serie: 5309224, cod. mat.: 10237536).</t>
  </si>
  <si>
    <t>0005661/2023</t>
  </si>
  <si>
    <t>PR AT129V-REG09V</t>
  </si>
  <si>
    <t>SUBSTITUIÇÃO DA CHAVE SECCIONADORA SC5847 - 69KV</t>
  </si>
  <si>
    <t>0007378/2023</t>
  </si>
  <si>
    <t>SUBSTITUIÇÃO DA CHAVE SECCIONADORA SC2757 - 13,8KV</t>
  </si>
  <si>
    <t>0007379/2023</t>
  </si>
  <si>
    <t>SC2757</t>
  </si>
  <si>
    <t>0007382/2023</t>
  </si>
  <si>
    <t>SUBSTITUIÇÃO DA CHAVE SECCIONADORA SC2747 - 13,8KV</t>
  </si>
  <si>
    <t>0007383/2023</t>
  </si>
  <si>
    <t>SC2747</t>
  </si>
  <si>
    <t>0007384/2023</t>
  </si>
  <si>
    <t>SUBSTITUIÇÃO DA CHAVE SECCIONADORA SC2727 - 13,8KV</t>
  </si>
  <si>
    <t>0007385/2023</t>
  </si>
  <si>
    <t>SC2727</t>
  </si>
  <si>
    <t>0007386/2023</t>
  </si>
  <si>
    <t>SUBSTITUIÇÃO DA CHAVE SECCIONADORA SC2717 - 13,8KV</t>
  </si>
  <si>
    <t>0007387/2023</t>
  </si>
  <si>
    <t>SC2717</t>
  </si>
  <si>
    <t>SUBSTITUIÇÃO DO TRANSFORMADOR DE SERVIÇO AUXILIAR TRTE1 - 13,8KV/480V</t>
  </si>
  <si>
    <t>0007389/2023</t>
  </si>
  <si>
    <t>TRTE1</t>
  </si>
  <si>
    <t>SUBSTITUIÇÃO DA CHAVE SECCIONADORA SC2817 - 13,8KV</t>
  </si>
  <si>
    <t>0007390/2023</t>
  </si>
  <si>
    <t>SC2817</t>
  </si>
  <si>
    <t>SUBSTITUIÇÃO DO TRANSFORMADOR DE SERVIÇO AUXILIAR TRTE2 - 13,8KV/480V</t>
  </si>
  <si>
    <t>0007391/2023</t>
  </si>
  <si>
    <t>TRTE2</t>
  </si>
  <si>
    <t>SUBSTITUIÇÃO DA CHAVE SECCIONADORA SC2837 - 13,8KV</t>
  </si>
  <si>
    <t>0007392/2023</t>
  </si>
  <si>
    <t>SC2837</t>
  </si>
  <si>
    <t>SUBSTITUIÇÃO DO TRANSFORMADOR DE SERVIÇO AUXILIAR TRTD2 - 13,8KV/480V</t>
  </si>
  <si>
    <t>0007393/2023</t>
  </si>
  <si>
    <t>TRTD2</t>
  </si>
  <si>
    <t>SUBSTITUIÇÃO DA CHAVE SECCIONADORA SC2847 - 13,8KV</t>
  </si>
  <si>
    <t>0007394/2023</t>
  </si>
  <si>
    <t>SC2847</t>
  </si>
  <si>
    <t>0007396/2023</t>
  </si>
  <si>
    <t>SUBSTITUIÇÃO DA CHAVE SECCIONADORA SC2857 - 13,8KV</t>
  </si>
  <si>
    <t>0007397/2023</t>
  </si>
  <si>
    <t>SC2857</t>
  </si>
  <si>
    <t>0007398/2023</t>
  </si>
  <si>
    <t>SUBSTITUIÇÃO DO CUBÍCULO CC1.1 - DJ2706 - 13,8KV</t>
  </si>
  <si>
    <t>0007399/2023</t>
  </si>
  <si>
    <t>DJ2706</t>
  </si>
  <si>
    <t>SUBSTITUIÇÃO DO CUBÍCULO CC1.2 - DJ2716 - 13,8KV</t>
  </si>
  <si>
    <t>0007400/2023</t>
  </si>
  <si>
    <t>DJ2716</t>
  </si>
  <si>
    <t>SUBSTITUIÇÃO DO CUBÍCULO CC1.4 - DJ2726 - 13,8KV</t>
  </si>
  <si>
    <t>0007401/2023</t>
  </si>
  <si>
    <t>DJ2726</t>
  </si>
  <si>
    <t>SUBSTITUIÇÃO DO CUBÍCULO CC1.5 - DJ2736 - 13,8KV</t>
  </si>
  <si>
    <t>0007402/2023</t>
  </si>
  <si>
    <t>DJ2736</t>
  </si>
  <si>
    <t>SUBSTITUIÇÃO DO CUBÍCULO CC1.6 - DJ2746 - 13,8KV</t>
  </si>
  <si>
    <t>0007403/2023</t>
  </si>
  <si>
    <t>DJ2746</t>
  </si>
  <si>
    <t>SUBSTITUIÇÃO DO CUBÍCULO CC1.7 - DJ2756 - 13,8KV</t>
  </si>
  <si>
    <t>0007404/2023</t>
  </si>
  <si>
    <t>DJ2756</t>
  </si>
  <si>
    <t>SUBSTITUIÇÃO DO CUBÍCULO CC1.9 - DJ2766 - 13,8KV</t>
  </si>
  <si>
    <t>0007405/2023</t>
  </si>
  <si>
    <t>DJ2766</t>
  </si>
  <si>
    <t>SUBSTITUIÇÃO DO CUBÍCULO CC2.1 - DJ2806 - 13,8KV</t>
  </si>
  <si>
    <t>0007406/2023</t>
  </si>
  <si>
    <t>DJ2806</t>
  </si>
  <si>
    <t>SUBSTITUIÇÃO DO CUBÍCULO CC2.2 - DJ2816 - 13,8KV</t>
  </si>
  <si>
    <t>0007407/2023</t>
  </si>
  <si>
    <t>DJ2816</t>
  </si>
  <si>
    <t>SUBSTITUIÇÃO DO CUBÍCULO CC2.3 - DJ2826 - 13,8KV</t>
  </si>
  <si>
    <t>0007409/2023</t>
  </si>
  <si>
    <t>DJ2826</t>
  </si>
  <si>
    <t>SUBSTITUIÇÃO DO CUBÍCULO CC2.4 - DJ2836 - 13,8KV</t>
  </si>
  <si>
    <t>0007410/2023</t>
  </si>
  <si>
    <t>DJ2836</t>
  </si>
  <si>
    <t>SUBSTITUIÇÃO DO CUBÍCULO CC2.6 - DJ2846 - 13,8KV</t>
  </si>
  <si>
    <t>0007411/2023</t>
  </si>
  <si>
    <t>DJ2846</t>
  </si>
  <si>
    <t>SUBSTITUIÇÃO DO CUBÍCULO CC2.7 - DJ2856 - 13,8KV</t>
  </si>
  <si>
    <t>0007412/2023</t>
  </si>
  <si>
    <t>DJ2856</t>
  </si>
  <si>
    <t>SUBSTITUIÇÃO DO CUBÍCULO CC2.8 - DJ2866 - 13,8KV</t>
  </si>
  <si>
    <t>0007413/2023</t>
  </si>
  <si>
    <t>DJ2866</t>
  </si>
  <si>
    <t>SUBSTITUIÇÃO DO CUBÍCULO CC2.9 - DJ2876 - 13,8KV</t>
  </si>
  <si>
    <t>0007414/2023</t>
  </si>
  <si>
    <t>DJ2876</t>
  </si>
  <si>
    <t>SUBSTITUIÇÃO DO CUBÍCULO CC3.1 - SC2631 - 13,8KV</t>
  </si>
  <si>
    <t>0007416/2023</t>
  </si>
  <si>
    <t>SC2631</t>
  </si>
  <si>
    <t>SUBSTITUIÇÃO DO CUBÍCULO CC3.2 - SC2621 - 13,8KV</t>
  </si>
  <si>
    <t>0007418/2023</t>
  </si>
  <si>
    <t>SC2621</t>
  </si>
  <si>
    <t>SUBSTITUIÇÃO DO CUBÍCULO CC3.3 - SC2611 - 13,8KV</t>
  </si>
  <si>
    <t>0007419/2023</t>
  </si>
  <si>
    <t>SC2611</t>
  </si>
  <si>
    <t>SUBSTITUIÇÃO DO CUBÍCULO CC3.5 - DJ2606 - 13,8KV</t>
  </si>
  <si>
    <t>0007421/2023</t>
  </si>
  <si>
    <t>DJ2606</t>
  </si>
  <si>
    <t>SUBSTITUIÇÃO DO PAINEL QDN2  - 480V</t>
  </si>
  <si>
    <t>0007422/2023</t>
  </si>
  <si>
    <t>0007423/2023</t>
  </si>
  <si>
    <t>0007424/2023</t>
  </si>
  <si>
    <t>SUBSTITUIÇÃO DO PAINEL QDN5 - 480V</t>
  </si>
  <si>
    <t>0007425/2023</t>
  </si>
  <si>
    <t>QDN5</t>
  </si>
  <si>
    <t>0007426/2023</t>
  </si>
  <si>
    <t>SUBSTITUIÇÃO DO PAINEL QF2 - 480V</t>
  </si>
  <si>
    <t>0007427/2023</t>
  </si>
  <si>
    <t>QF2</t>
  </si>
  <si>
    <t>SUBSTITUIÇÃO DO PAINEL QF3 - 480V</t>
  </si>
  <si>
    <t>0007428/2023</t>
  </si>
  <si>
    <t>QF3</t>
  </si>
  <si>
    <t>SUBSTITUIÇÃO DO PAINEL QF4 - 480V</t>
  </si>
  <si>
    <t>0007431/2023</t>
  </si>
  <si>
    <t>QF4</t>
  </si>
  <si>
    <t>SUBSTITUIÇÃO DO PAINEL QF5 - 480V</t>
  </si>
  <si>
    <t>0007432/2023</t>
  </si>
  <si>
    <t>QF5</t>
  </si>
  <si>
    <t>SUBSTITUIÇÃO DO PAINEL QF6 - 480V</t>
  </si>
  <si>
    <t>0007433/2023</t>
  </si>
  <si>
    <t>QF6</t>
  </si>
  <si>
    <t>SUBSTITUIÇÃO DO PAINEL QF7 - 480V</t>
  </si>
  <si>
    <t>0007434/2023</t>
  </si>
  <si>
    <t>QF7</t>
  </si>
  <si>
    <t>0007435/2023</t>
  </si>
  <si>
    <t>0007436/2023</t>
  </si>
  <si>
    <t>0007437/2023</t>
  </si>
  <si>
    <t>0007439/2023</t>
  </si>
  <si>
    <t>0007440/2023</t>
  </si>
  <si>
    <t>0007441/2023</t>
  </si>
  <si>
    <t>0007442/2023</t>
  </si>
  <si>
    <t>0007443/2023</t>
  </si>
  <si>
    <t>0007444/2023</t>
  </si>
  <si>
    <t>SUBSTITUIÇÃO DO PAINEL QIE5 - 220V</t>
  </si>
  <si>
    <t>0007445/2023</t>
  </si>
  <si>
    <t>QIE5</t>
  </si>
  <si>
    <t>SUBSTITUIÇÃO DO PAINEL QIE6 - 220V</t>
  </si>
  <si>
    <t>0007446/2023</t>
  </si>
  <si>
    <t>QIE6</t>
  </si>
  <si>
    <t>SUBSTITUIÇÃO DO PAINEL QIE8 - 220V</t>
  </si>
  <si>
    <t>0007447/2023</t>
  </si>
  <si>
    <t>QIE8</t>
  </si>
  <si>
    <t>SUBSTITUIÇÃO DO PAINEL QIN5 - 220V</t>
  </si>
  <si>
    <t>0007448/2023</t>
  </si>
  <si>
    <t>QIN5</t>
  </si>
  <si>
    <t>SUBSTITUIÇÃO DO PAINEL QIN6 - 220V</t>
  </si>
  <si>
    <t>0007449/2023</t>
  </si>
  <si>
    <t>QIN6</t>
  </si>
  <si>
    <t>SUBSTITUIÇÃO DO PAINEL QIN9 - 220V</t>
  </si>
  <si>
    <t>0007450/2023</t>
  </si>
  <si>
    <t>QIN9</t>
  </si>
  <si>
    <t>SUBSTITUIÇÃO DO PAINEL QIN11 - 220V</t>
  </si>
  <si>
    <t>0007451/2023</t>
  </si>
  <si>
    <t>QIN11</t>
  </si>
  <si>
    <t>SUBSTITUIÇÃO DO PAINEL QIN13 - 220V</t>
  </si>
  <si>
    <t>0007452/2023</t>
  </si>
  <si>
    <t>QIN13</t>
  </si>
  <si>
    <t>SUBSTITUIÇÃO DO TRANSFORMADOR AUXILIAR TRTLN1 - 480/220-127V</t>
  </si>
  <si>
    <t>0007453/2023</t>
  </si>
  <si>
    <t>SUBSTITUIÇÃO DO TRANSFORMADOR AUXILIAR TRTLN2 - 480/220-127V</t>
  </si>
  <si>
    <t>0007454/2023</t>
  </si>
  <si>
    <t>SUBSTITUIÇÃO DO TRANSFORMADOR AUXILIAR TRTLE1 - 480/220-127V</t>
  </si>
  <si>
    <t>0007456/2023</t>
  </si>
  <si>
    <t>Substituição de Chave Seccionadora tripolar 230 kV, CS721, que compõe o módulo de conexão do TF 1 525/230 kV da SE Gravataí. Associado à obra são esperadas substituições/adaptações de fundações, suportes, cabos de controle/potência, barramento, conectores e conexão de aterramento. Capacidade nominal do novo equipamento: &gt;= 2.500 A. Capacidade de curto-circuito: 63 kA.</t>
  </si>
  <si>
    <t>TR 525/230 kV GRAVATAI TR1+ LT 230 kV GRAV2/GRAV C-1 RS</t>
  </si>
  <si>
    <t>0001556/2022</t>
  </si>
  <si>
    <t>CS721</t>
  </si>
  <si>
    <t>Substituição de Chave Seccionadora tripolar 230 kV, CS711, que compõe o módulo de conexão do TF 2 525/230 kV da SE Gravataí. Associado à obra são esperadas substituições/adaptações de fundações, suportes, cabos de controle/potência, barramento, conectores e conexão de aterramento. Capacidade nominal do novo equipamento: &gt;= 2.500 A. Capacidade de curto-circuito: 63 kA.</t>
  </si>
  <si>
    <t>0001557/2022</t>
  </si>
  <si>
    <t>CS711</t>
  </si>
  <si>
    <t>SUBSTITUIÇÃO DO TRANSFORMADOR AUXILIAR TRTLE2 - 480/220-127V</t>
  </si>
  <si>
    <t>0007457/2023</t>
  </si>
  <si>
    <t>SUBSTITUIÇÃO DO TRANSFORMADOR AUXILIAR TRTLN3 - 480/220-127V</t>
  </si>
  <si>
    <t>0007458/2023</t>
  </si>
  <si>
    <t>TRTLN3</t>
  </si>
  <si>
    <t>SUBSTITUIÇÃO DO TRANSFORMADOR AUXILIAR TRTLN4 - 480/220-127V</t>
  </si>
  <si>
    <t>0007460/2023</t>
  </si>
  <si>
    <t>TRTLN4</t>
  </si>
  <si>
    <t>Substituição de Chave Seccionadora tripolar 230 kV, CS731, que compõe o módulo de conexão do TF 3 525/230 kV da SE Gravataí. Associado à obra são esperadas substituições/adaptações de fundações, suportes, cabos de controle/potência, barramento, conectores e conexão de aterramento. Capacidade nominal do novo equipamento: &gt;= 2.500 A. Capacidade de curto-circuito: 63 kA.</t>
  </si>
  <si>
    <t>0001558/2022</t>
  </si>
  <si>
    <t>CS731</t>
  </si>
  <si>
    <t>SUBSTITUIÇÃO DO TRANSFORMADOR AUXILIAR TRTLN5 - 480/220-127V</t>
  </si>
  <si>
    <t>0007461/2023</t>
  </si>
  <si>
    <t>TRTLN5</t>
  </si>
  <si>
    <t>SUBSTITUIÇÃO DO TRANSFORMADOR AUXILIAR TRTLN6 - 480/220-127V</t>
  </si>
  <si>
    <t>0007462/2023</t>
  </si>
  <si>
    <t>TRTLN6</t>
  </si>
  <si>
    <t>SUBSTITUIÇÃO DO TRANSFORMADOR AUXILIAR TRTLN7 - 480/220-127V</t>
  </si>
  <si>
    <t>0007463/2023</t>
  </si>
  <si>
    <t>TRTLN7</t>
  </si>
  <si>
    <t>SUBSTITUIÇÃO DO TRANSFORMADOR AUXILIAR TRTLN8 - 480/220-127V</t>
  </si>
  <si>
    <t>0007464/2023</t>
  </si>
  <si>
    <t>TRTLN8</t>
  </si>
  <si>
    <t>SUBSTITUIÇÃO DO TRANSFORMADOR AUXILIAR TRTLN9 - 480/220-127V</t>
  </si>
  <si>
    <t>0007465/2023</t>
  </si>
  <si>
    <t>TRTLN9</t>
  </si>
  <si>
    <t>SUBSTITUIÇÃO DO TRANSFORMADOR AUXILIAR TRTLN10 - 480/220-127V</t>
  </si>
  <si>
    <t>0007468/2023</t>
  </si>
  <si>
    <t>TRTLN10</t>
  </si>
  <si>
    <t>SUBSTITUIÇÃO DO TRANSFORMADOR AUXILIAR TRTLN11 - 480/220-127V</t>
  </si>
  <si>
    <t>0007470/2023</t>
  </si>
  <si>
    <t>TRTLN11</t>
  </si>
  <si>
    <t>SUBSTITUIÇÃO DO TRANSFORMADOR AUXILIAR TRTLE3 - 480/220-127V</t>
  </si>
  <si>
    <t>0007471/2023</t>
  </si>
  <si>
    <t>TRTLE3</t>
  </si>
  <si>
    <t>SUBSTITUIÇÃO DO TRANSFORMADOR AUXILIAR TRTLE4 - 480/220-127V</t>
  </si>
  <si>
    <t>0007473/2023</t>
  </si>
  <si>
    <t>TRTLE4</t>
  </si>
  <si>
    <t>SUBSTITUIÇÃO DO TRANSFORMADOR AUXILIAR TRTLE5 - 480/220-127V</t>
  </si>
  <si>
    <t>0007475/2023</t>
  </si>
  <si>
    <t>TRTLE5</t>
  </si>
  <si>
    <t>SUBSTITUIÇÃO DO TRANSFORMADOR AUXILIAR TRTLE6 - 480/220-127V</t>
  </si>
  <si>
    <t>0007476/2023</t>
  </si>
  <si>
    <t>TRTLE6</t>
  </si>
  <si>
    <t>SUBSTITUIÇÃO DO TRANSFORMADOR AUXILIAR TRTLE7 - 480/220-127V</t>
  </si>
  <si>
    <t>0007477/2023</t>
  </si>
  <si>
    <t>TRTLE7</t>
  </si>
  <si>
    <t>SUBSTITUIÇÃO DO TRANSFORMADOR DISTRIBUIÇÃO MINA DE ÁGUA E RESERVATÓRIO - 13,8KV/220-127V</t>
  </si>
  <si>
    <t>0007478/2023</t>
  </si>
  <si>
    <t>TR MINA DÁGUA</t>
  </si>
  <si>
    <t>SUBSTITUIÇÃO DO TRANSFORMADOR DISTRIBUIÇÃO ALMOXARIFADOS - 13,8KV/220-127V</t>
  </si>
  <si>
    <t>0007479/2023</t>
  </si>
  <si>
    <t>TR ALMOXARIFADO</t>
  </si>
  <si>
    <t>SUBSTITUIÇÃO DO TRANSFORMADOR DISTRIBUIÇÃO DEPÓSITOS - 13,8KV/220-127V</t>
  </si>
  <si>
    <t>0007480/2023</t>
  </si>
  <si>
    <t>TR DEPÓSITO</t>
  </si>
  <si>
    <t>SUBSTITUIÇÃO DO TRANSFORMADOR DISTRIBUIÇÃO PRÉDIO DA EMPREITEIRA - 13,8KV/220-127V</t>
  </si>
  <si>
    <t>0007481/2023</t>
  </si>
  <si>
    <t>TR PRÉDIO</t>
  </si>
  <si>
    <t>SUBSTITUIÇÃO DO TRANSFORMADOR DISTRIBUIÇÃO OFICINA ELETROMECÂNICA - 13,8KV/220-127V</t>
  </si>
  <si>
    <t>0007482/2023</t>
  </si>
  <si>
    <t>TR OFICINA</t>
  </si>
  <si>
    <t>SUBSTITUIÇÃO DO TRANSFORMADOR DISTRIBUIÇÃO ILUM. GRP.O - 13,8KV/220-127V</t>
  </si>
  <si>
    <t>0007483/2023</t>
  </si>
  <si>
    <t>TR GRP.O</t>
  </si>
  <si>
    <t>SUBSTITUIÇÃO DO TRANSFORMADOR DISTRIBUIÇÃO RESERVA - 13,8KV/220-127V</t>
  </si>
  <si>
    <t>0007484/2023</t>
  </si>
  <si>
    <t>TR RESERVA</t>
  </si>
  <si>
    <t>SUBSTITUIÇÃO DAS CHAVES SECCIONADORAS DO RAMAL ÁREA INDUSTRIAL</t>
  </si>
  <si>
    <t>0007485/2023</t>
  </si>
  <si>
    <t>SECC ÁREA INDUSTRIAL</t>
  </si>
  <si>
    <t>SUBSTITUIÇÃO DOS PÁRA-RAIOS DO SERVIÇO AUXILIAR EM 15KV NO RAMAL DA ÁREA INDUSTRIAL . TOTAL DE 12 UNIDADES.</t>
  </si>
  <si>
    <t>0007486/2023</t>
  </si>
  <si>
    <t>SUBSTITUIÇÃO DO CUBÍCULO DO DJ3716  - 13,8KV</t>
  </si>
  <si>
    <t>0007488/2023</t>
  </si>
  <si>
    <t>DJ3716</t>
  </si>
  <si>
    <t>SUBSTITUIÇÃO DA CHAVES SECCIONADORA SC3717</t>
  </si>
  <si>
    <t>0007489/2023</t>
  </si>
  <si>
    <t>SC3717</t>
  </si>
  <si>
    <t>SUBSTITUIÇÃO DOS PÁRA-RAIOS DO SERVIÇO AUXILIAR EM 15KV NO RAMAL DA ALIMENTAÇÃO VIA CONCESSIONÁRIA COPEL . TOTAL DE 3 UNIDADES.</t>
  </si>
  <si>
    <t>0007490/2023</t>
  </si>
  <si>
    <t>SUBSTITUIÇÃO DO TRANSFORMADOR AUXILIAR TRTSA3 - 34,5/13,8KV</t>
  </si>
  <si>
    <t>0007491/2023</t>
  </si>
  <si>
    <t>TRTSA3</t>
  </si>
  <si>
    <t>Substituição dos sistemas de proteção da LT 750 kV F.IGUACU 60HZ /IVAIPORA C-3 PR</t>
  </si>
  <si>
    <t>LT 750 kV F.IGUACU 60HZ /IVAIPORA C-3 PR</t>
  </si>
  <si>
    <t>0006584/2023</t>
  </si>
  <si>
    <t>PROTEÇÃO - LT 750 kV F.IGUACU 60HZ /IVAIPORA C-3 PR</t>
  </si>
  <si>
    <t>Substituição dos sistemas de proteção da RTL 750 kV 150 Mvar IVAIPORA RFI3 PR</t>
  </si>
  <si>
    <t>RTL 750 kV 150 Mvar IVAIPORA RFI3 PR</t>
  </si>
  <si>
    <t>0006592/2023</t>
  </si>
  <si>
    <t>PROTEÇÃO - RTL 750 kV 150 Mvar IVAIPORA RFI3 PR</t>
  </si>
  <si>
    <t>Substituição dos sistemas de proteção de Falha de Disjuntor do DJ12836</t>
  </si>
  <si>
    <t>0006593/2023</t>
  </si>
  <si>
    <t>PROTEÇÃO - DJ12836</t>
  </si>
  <si>
    <t>Substituição dos sistemas de proteção da LT 750 kV F.IGUACU 60HZ /IVAIPORA C-2 PR</t>
  </si>
  <si>
    <t>LT 750 kV F.IGUACU 60HZ /IVAIPORA C-2 PR</t>
  </si>
  <si>
    <t>0006596/2023</t>
  </si>
  <si>
    <t>PROTEÇÃO - LT 750 kV F.IGUACU 60HZ /IVAIPORA C-2 PR</t>
  </si>
  <si>
    <t>Substituição dos sistemas de proteção da RTL 750 kV 150 Mvar IVAIPORA RFI2 PR</t>
  </si>
  <si>
    <t>RTL 750 kV 150 Mvar IVAIPORA RFI2 PR</t>
  </si>
  <si>
    <t>0006600/2023</t>
  </si>
  <si>
    <t>PROTEÇÃO - RTL 750 kV 150 Mvar IVAIPORA RFI2 PR</t>
  </si>
  <si>
    <t>Substituição dos sistemas de proteção da LT 750 kV F.IGUACU 60HZ /IVAIPORA C-1 PR</t>
  </si>
  <si>
    <t>LT 750 kV F.IGUACU 60HZ /IVAIPORA C-1 PR</t>
  </si>
  <si>
    <t>0006602/2023</t>
  </si>
  <si>
    <t>PROTEÇÃO - LT 750 kV F.IGUACU 60HZ /IVAIPORA C-1 PR</t>
  </si>
  <si>
    <t>Substituição dos sistemas de proteção da RTL 750 kV 150 Mvar IVAIPORA RFI1 PR</t>
  </si>
  <si>
    <t>RTL 750 kV 150 Mvar IVAIPORA RFI1 PR</t>
  </si>
  <si>
    <t>0006603/2023</t>
  </si>
  <si>
    <t>PROTEÇÃO - RTL 750 kV 150 Mvar IVAIPORA RFI1 PR</t>
  </si>
  <si>
    <t>Substituição dos sistemas de proteção da LT 750 kV ITABERA /IVAIPORA C-1 SP/PR</t>
  </si>
  <si>
    <t>LT 750 kV ITABERA /IVAIPORA C-1 SP/PR</t>
  </si>
  <si>
    <t>0006605/2023</t>
  </si>
  <si>
    <t>Substituição dos sistemas de proteção de Falha de Disjuntor do DJ12856</t>
  </si>
  <si>
    <t>0006608/2023</t>
  </si>
  <si>
    <t>PROTEÇÃO - DJ12856</t>
  </si>
  <si>
    <t>Substituição dos sistemas de proteção do RTL 750 kV 329 Mvar IVAIPORA RIA1 PR</t>
  </si>
  <si>
    <t>RTL 750 kV 329 Mvar IVAIPORA RIA1 PR</t>
  </si>
  <si>
    <t>0006610/2023</t>
  </si>
  <si>
    <t>PROTEÇÃO - RTL 750 kV 329 Mvar IVAIPORA RIA1 PR</t>
  </si>
  <si>
    <t>Substituição dos sistemas de proteção da LT 750 kV ITABERA /IVAIPORA C-2 SP/PR</t>
  </si>
  <si>
    <t>LT 750 kV ITABERA /IVAIPORA C-2 SP/PR</t>
  </si>
  <si>
    <t>0006612/2023</t>
  </si>
  <si>
    <t>Substituição dos sistemas de proteção de Falha de Disjuntor do DJ12846</t>
  </si>
  <si>
    <t>0006613/2023</t>
  </si>
  <si>
    <t>PROTEÇÃO - DJ12846</t>
  </si>
  <si>
    <t>Substituição dos sistemas de proteção do RTL 750 kV 329 Mvar IVAIPORA RIA2 PR</t>
  </si>
  <si>
    <t>RTL 750 kV 329 Mvar IVAIPORA RIA2 PR</t>
  </si>
  <si>
    <t>0006614/2023</t>
  </si>
  <si>
    <t>PROTEÇÃO - RTL 750 kV 329 Mvar IVAIPORA RIA2 PR</t>
  </si>
  <si>
    <t>Substituição dos sistemas de proteção da LT 750 kV ITABERA /IVAIPORA C-3 SP/PR</t>
  </si>
  <si>
    <t>LT 750 kV ITABERA /IVAIPORA C-3 SP/PR</t>
  </si>
  <si>
    <t>0006616/2023</t>
  </si>
  <si>
    <t>Substituição dos sistemas de proteção do RTL 750 kV 329 Mvar IVAIPORA RIA3 PR</t>
  </si>
  <si>
    <t>RTL 750 kV 329 Mvar IVAIPORA RIA3 PR</t>
  </si>
  <si>
    <t>0006622/2023</t>
  </si>
  <si>
    <t>PROTEÇÃO - RTL 750 kV 329 Mvar IVAIPORA RIA3 PR</t>
  </si>
  <si>
    <t>Substituição dos sistemas de proteção do RTB 69 kV 180 MVAr IVAIPORA RT1A PR</t>
  </si>
  <si>
    <t>0006629/2023</t>
  </si>
  <si>
    <t>PROTEÇÃO - RTB 69 kV 180 MVAr IVAIPORA RT1A PR</t>
  </si>
  <si>
    <t>Substituição dos sistemas de proteção do RTB 69 kV 180 MVAr IVAIPORA RT1B PR</t>
  </si>
  <si>
    <t>0006632/2023</t>
  </si>
  <si>
    <t>PROTEÇÃO - RTB 69 kV 180 MVAr IVAIPORA RT1B PR</t>
  </si>
  <si>
    <t>Substituição dos sistemas de proteção do RTB 69 kV 180 MVAr IVAIPORA RT1C PR</t>
  </si>
  <si>
    <t>0006633/2023</t>
  </si>
  <si>
    <t>PROTEÇÃO - RTB 69 kV 180 MVAr IVAIPORA RT1C PR</t>
  </si>
  <si>
    <t>Substituição dos sistemas de proteção do TR 750/500 kV IVAIPORA TR3 PR</t>
  </si>
  <si>
    <t>TR 750/500 kV IVAIPORA TR3 PR</t>
  </si>
  <si>
    <t>0006634/2023</t>
  </si>
  <si>
    <t>PROTEÇÃO - TR 750/500 kV IVAIPORA TR3 PR</t>
  </si>
  <si>
    <t>Substituição dos sistemas de proteção do TR 500/69 kV IVAIPORA TREG3 PR</t>
  </si>
  <si>
    <t>TR 500/69 kV IVAIPORA TREG3 PR</t>
  </si>
  <si>
    <t>0006636/2023</t>
  </si>
  <si>
    <t>PROTEÇÃO - TR 500/69 kV IVAIPORA TREG3 PR</t>
  </si>
  <si>
    <t>Substituição do registrador de perturbações digital  com Localizador de Faltas por ondas viajantes (TW) da LT 750 kV F.IGUACU 60HZ /IVAIPORA C-3 PR</t>
  </si>
  <si>
    <t>0006648/2023</t>
  </si>
  <si>
    <t>RDP - (TW) da LT 750 kV F.IGUACU 60HZ /IVAIPORA C-3 PR</t>
  </si>
  <si>
    <t>Substituição do registrador de perturbações digital do RTL 750 kV 150 Mvar IVAIPORA RFI3 PR</t>
  </si>
  <si>
    <t>0006649/2023</t>
  </si>
  <si>
    <t>RDP - RTL 750 kV 150 Mvar IVAIPORA RFI3 PR</t>
  </si>
  <si>
    <t>Substituição do registrador de perturbações digital  com Localizador de Faltas por ondas viajantes (TW) da LT 750 kV F.IGUACU 60HZ /IVAIPORA C-2 PR</t>
  </si>
  <si>
    <t>0006651/2023</t>
  </si>
  <si>
    <t>RDP - (TW) da LT 750 kV F.IGUACU 60HZ /IVAIPORA C-2 PR</t>
  </si>
  <si>
    <t>Substituição do registrador de perturbações digital do RTL 750 kV 150 Mvar IVAIPORA RFI2 PR</t>
  </si>
  <si>
    <t>0006652/2023</t>
  </si>
  <si>
    <t>RDP - RTL 750 kV 150 Mvar IVAIPORA RFI2 PR</t>
  </si>
  <si>
    <t>Substituição do registrador de perturbações digital  com Localizador de Faltas por ondas viajantes (TW) da LT 750 kV F.IGUACU 60HZ /IVAIPORA C-1 PR</t>
  </si>
  <si>
    <t>0006653/2023</t>
  </si>
  <si>
    <t>RDP - (TW) da LT 750 kV F.IGUACU 60HZ /IVAIPORA C-1 PR</t>
  </si>
  <si>
    <t>Substituição do registrador de perturbações digital do RTL 750 kV 150 Mvar IVAIPORA RFI1 PR</t>
  </si>
  <si>
    <t>0006655/2023</t>
  </si>
  <si>
    <t>RDP - RTL 750 kV 150 Mvar IVAIPORA RFI1 PR</t>
  </si>
  <si>
    <t>Substituição do registrador de perturbações digital  com Localizador de Faltas por ondas viajantes (TW) da LT 750 kV ITABERA /IVAIPORA C-1 SP/PR</t>
  </si>
  <si>
    <t>0006656/2023</t>
  </si>
  <si>
    <t>RDP - (TW) da LT 750 kV ITABERA /IVAIPORA C-1 SP/PR</t>
  </si>
  <si>
    <t>Substituição do registrador de perturbações digital do RTL 750 kV 329 Mvar IVAIPORA RIA1 PR</t>
  </si>
  <si>
    <t>0006657/2023</t>
  </si>
  <si>
    <t>RDP - RTL 750 kV 329 Mvar IVAIPORA RIA1 PR</t>
  </si>
  <si>
    <t>Substituição do registrador de perturbações digital  com Localizador de Faltas por ondas viajantes (TW) da LT 750 kV ITABERA /IVAIPORA C-2 SP/PR</t>
  </si>
  <si>
    <t>0006658/2023</t>
  </si>
  <si>
    <t>RDP - (TW) da LT 750 kV ITABERA /IVAIPORA C-2 SP/PR</t>
  </si>
  <si>
    <t>Substituição do registrador de perturbações digital do RTL 750 kV 329 Mvar IVAIPORA RIA2 PR</t>
  </si>
  <si>
    <t>0006659/2023</t>
  </si>
  <si>
    <t>RDP - RTL 750 kV 329 Mvar IVAIPORA RIA2 PR</t>
  </si>
  <si>
    <t>Substituição do registrador de perturbações digital  com Localizador de Faltas por ondas viajantes (TW) da LT 750 kV ITABERA /IVAIPORA C-3 SP/PR</t>
  </si>
  <si>
    <t>0006660/2023</t>
  </si>
  <si>
    <t>RDP - (TW) da LT 750 kV ITABERA /IVAIPORA C-3 SP/PR</t>
  </si>
  <si>
    <t>Substituição do registrador de perturbações digital do RTL 750 kV 329 Mvar IVAIPORA RIA3 PR</t>
  </si>
  <si>
    <t>0006661/2023</t>
  </si>
  <si>
    <t>RDP - RTL 750 kV 329 Mvar IVAIPORA RIA3 PR</t>
  </si>
  <si>
    <t>F.IGUACU 60HZ</t>
  </si>
  <si>
    <t>Substituição dos sistemas de proteção da  LT 750 kV F.IGUACU 60HZ /IVAIPORA C-3 PR</t>
  </si>
  <si>
    <t>0006516/2023</t>
  </si>
  <si>
    <t>Substituição dos sistemas de proteção do RTL 750 kV 330 Mvar F.IGUACU 60HZ RT3 PR</t>
  </si>
  <si>
    <t>RTL 750 kV 330 Mvar F.IGUACU 60HZ RT3 PR</t>
  </si>
  <si>
    <t>0006518/2023</t>
  </si>
  <si>
    <t>PROTEÇÃO - RTL 750 kV 330 Mvar F.IGUACU 60HZ RT3 PR</t>
  </si>
  <si>
    <t>Substituição dos sistemas de proteção de Falha de Disjuntor do DJ12244</t>
  </si>
  <si>
    <t>MG F.IGUACU 60HZ / CCO-2001-062 - RB</t>
  </si>
  <si>
    <t>0006519/2023</t>
  </si>
  <si>
    <t>PROTEÇÃO - DJ12244</t>
  </si>
  <si>
    <t>Substituição dos sistemas de proteção da  LT 750 kV F.IGUACU 60HZ /IVAIPORA C-2 PR</t>
  </si>
  <si>
    <t>0006521/2023</t>
  </si>
  <si>
    <t>Substituição dos sistemas de proteção do RTL 750 kV 330 Mvar F.IGUACU 60HZ RT2 PR</t>
  </si>
  <si>
    <t>RTL 750 kV 330 Mvar F.IGUACU 60HZ RT2 PR</t>
  </si>
  <si>
    <t>0006523/2023</t>
  </si>
  <si>
    <t>PROTEÇÃO - RTL 750 kV 330 Mvar F.IGUACU 60HZ RT2 PR</t>
  </si>
  <si>
    <t>Substituição dos sistemas de proteção de Falha de Disjuntor do DJ12224</t>
  </si>
  <si>
    <t>0006525/2023</t>
  </si>
  <si>
    <t>PROTEÇÃO - DJ12224</t>
  </si>
  <si>
    <t>Substituição dos sistemas de proteção da  LT 750 kV F.IGUACU 60HZ /IVAIPORA C-1 PR</t>
  </si>
  <si>
    <t>0006528/2023</t>
  </si>
  <si>
    <t>Substituição dos sistemas de proteção do RTL 750 kV 330 Mvar F.IGUACU 60HZ RT1 PR</t>
  </si>
  <si>
    <t>RTL 750 kV 330 Mvar F.IGUACU 60HZ RT1 PR</t>
  </si>
  <si>
    <t>0006531/2023</t>
  </si>
  <si>
    <t>PROTEÇÃO - RTL 750 kV 330 Mvar F.IGUACU 60HZ RT1 PR</t>
  </si>
  <si>
    <t>Substituição dos sistemas de proteção de Falha de Disjuntor do DJ12214</t>
  </si>
  <si>
    <t>0006534/2023</t>
  </si>
  <si>
    <t>PROTEÇÃO - DJ12214</t>
  </si>
  <si>
    <t>0006536/2023</t>
  </si>
  <si>
    <t>Substituição do registrador de perturbações digital do RTL 750 kV 330 Mvar F.IGUACU 60HZ RT3 PR</t>
  </si>
  <si>
    <t>0006538/2023</t>
  </si>
  <si>
    <t>RDP - RTL 750 kV 330 Mvar F.IGUACU 60HZ RT3 PR</t>
  </si>
  <si>
    <t>0006541/2023</t>
  </si>
  <si>
    <t>Substituição do registrador de perturbações digital do RTL 750 kV 330 Mvar F.IGUACU 60HZ RT2 PR</t>
  </si>
  <si>
    <t>0006542/2023</t>
  </si>
  <si>
    <t>RDP - RTL 750 kV 330 Mvar F.IGUACU 60HZ RT2 PR</t>
  </si>
  <si>
    <t>0006544/2023</t>
  </si>
  <si>
    <t>Substituição do registrador de perturbações digital do RTL 750 kV 330 Mvar F.IGUACU 60HZ RT1 PR</t>
  </si>
  <si>
    <t>0006546/2023</t>
  </si>
  <si>
    <t>RDP - RTL 750 kV 330 Mvar F.IGUACU 60HZ RT1 PR</t>
  </si>
  <si>
    <t>Substituição da UTR ELEBRA de supervisão da Linha (LTIAIV1) LT 750 kV ITABERA /IVAIPORA C-1 SP/PR</t>
  </si>
  <si>
    <t>0007683/2023</t>
  </si>
  <si>
    <t>Substituição da UTR ELEBRA de supervisão do Banco de Reatores de Linha (RTIAIV1) RTL 750 kV 329 Mvar IVAIPORA RIA1 PR</t>
  </si>
  <si>
    <t>0007684/2023</t>
  </si>
  <si>
    <t>Substituição da UTR ELEBRA de supervisão da Linha (LTIAIV2) LT 750 kV ITABERA /IVAIPORA C-2 SP/PR</t>
  </si>
  <si>
    <t>0007685/2023</t>
  </si>
  <si>
    <t>Substituição da UTR ELEBRA de supervisão do Banco de Reatores de Linha (RTIAIV2) RTL 750 kV 329 Mvar IVAIPORA RIA2 PR</t>
  </si>
  <si>
    <t>0007686/2023</t>
  </si>
  <si>
    <t>Substituição da UTR ELEBRA de supervisão da Linha (LTIAIV3) LT 750 kV ITABERA /IVAIPORA C-3 SP/PR</t>
  </si>
  <si>
    <t>0007687/2023</t>
  </si>
  <si>
    <t>Substituição da UTR ELEBRA de supervisão do Banco de Reatores de Linha (RTIAIV3) RTL 750 kV 329 Mvar IVAIPORA RIA3 PR</t>
  </si>
  <si>
    <t>0007688/2023</t>
  </si>
  <si>
    <t>Substituição da UTR ELEBRA de supervisão da Linha (LTFIIV1) LT 750 kV F.IGUACU 60HZ /IVAIPORA C-1 PR</t>
  </si>
  <si>
    <t>0007689/2023</t>
  </si>
  <si>
    <t>Substituição da UTR ELEBRA de supervisão do Banco de Reatores de Linha (RTFIIV1) RTL 750 kV 150 Mvar IVAIPORA RFI1 PR</t>
  </si>
  <si>
    <t>0007690/2023</t>
  </si>
  <si>
    <t>Substituição da UTR ELEBRA de supervisão da Linha (LTFIIV2) LT 750 kV F.IGUACU 60HZ /IVAIPORA C-2 PR</t>
  </si>
  <si>
    <t>0007692/2023</t>
  </si>
  <si>
    <t>Substituição da UTR ELEBRA de supervisão do Banco de Reatores de Linha (RTFIIV2) RTL 750 kV 150 Mvar IVAIPORA RFI2 PR</t>
  </si>
  <si>
    <t>0007693/2023</t>
  </si>
  <si>
    <t>Substituição da UTR ELEBRA de supervisão da Linha (LTFIIV3) LT 750 kV F.IGUACU 60HZ /IVAIPORA C-3 PR</t>
  </si>
  <si>
    <t>0007694/2023</t>
  </si>
  <si>
    <t>Substituição da UTR ELEBRA de supervisão do Banco de Reatores de Linha (RTFIIV3) RTL 750 kV 150 Mvar IVAIPORA RFI3 PR</t>
  </si>
  <si>
    <t>0007695/2023</t>
  </si>
  <si>
    <t>Substituição da UTR ELEBRA de supervisão das Barras de 750 kV (BR12A e BR12B)</t>
  </si>
  <si>
    <t>0007696/2023</t>
  </si>
  <si>
    <t>Substituição da UTR ELEBRA de supervisão do Banco de Reatores de Barra (RT7) RTB 750 kV 329 Mvar IVAIPORA RT7 PR</t>
  </si>
  <si>
    <t>RT 765 kV 329 Mvar IVAIPORA RT7 PR</t>
  </si>
  <si>
    <t>0007697/2023</t>
  </si>
  <si>
    <t>Substituição da UTR ELEBRA de supervisão do Banco de Transformadores (AT01) TR 750/500 kV IVAIPORA TR1 PR</t>
  </si>
  <si>
    <t>0007698/2023</t>
  </si>
  <si>
    <t>Substituição da UTR ELEBRA de supervisão do Banco de Trafos Reguladores (TRRG01) TR 500/69 kV IVAIPORA TREG1 PR</t>
  </si>
  <si>
    <t>0007699/2023</t>
  </si>
  <si>
    <t>Substituição da UTR ELEBRA de supervisão do Trafo Auxiliar (TSA1) 69-13,8 kV</t>
  </si>
  <si>
    <t>0007702/2023</t>
  </si>
  <si>
    <t>Substituição da UTR ELEBRA de supervisão do Banco de Reatores (RT1A) RTB 69 kV 180 MVAr IVAIPORA RT1A PR</t>
  </si>
  <si>
    <t>0007703/2023</t>
  </si>
  <si>
    <t>Substituição da UTR ELEBRA de supervisão do Banco de Reatores (RT1B) RTB 69 kV 180 MVAr IVAIPORA RT1B PR</t>
  </si>
  <si>
    <t>0007704/2023</t>
  </si>
  <si>
    <t>Substituição da UTR ELEBRA de supervisão do Banco de Reatores (RT1C) RTB 69 kV 180 MVAr IVAIPORA RT1C PR</t>
  </si>
  <si>
    <t>0007705/2023</t>
  </si>
  <si>
    <t>Substituição da UTR ELEBRA de supervisão do Banco de Transformadores (AT02) TR 750/500 kV IVAIPORA TR2 PR</t>
  </si>
  <si>
    <t>TR 750/500 kV IVAIPORA TR2 PR</t>
  </si>
  <si>
    <t>0007708/2023</t>
  </si>
  <si>
    <t>Substituição da UTR ELEBRA de supervisão do Banco de Trafos Reguladores (TRRG02) TR 500/69 kV IVAIPORA TREG2 PR</t>
  </si>
  <si>
    <t>0007709/2023</t>
  </si>
  <si>
    <t>Substituição da UTR ELEBRA de supervisão do Trafo Auxiliar (TSA2) 69-13,8 kV</t>
  </si>
  <si>
    <t>0007710/2023</t>
  </si>
  <si>
    <t>Substituição da UTR ELEBRA de supervisão do Banco de Reatores (RT2A) RTB 69 kV 180 MVAr IVAIPORA RT2A PR</t>
  </si>
  <si>
    <t>RT 69 kV 180 Mvar IVAIPORA RT2A PR</t>
  </si>
  <si>
    <t>0007712/2023</t>
  </si>
  <si>
    <t>Substituição da UTR ELEBRA de supervisão do Banco de Reatores (RT2B) RTB 69 kV 180 MVAr IVAIPORA RT2B PR</t>
  </si>
  <si>
    <t>RT 69 kV 180 Mvar IVAIPORA RT2B PR</t>
  </si>
  <si>
    <t>0007713/2023</t>
  </si>
  <si>
    <t>Substituição da UTR ELEBRA de supervisão do Banco de Reatores (RT2C) RTB 69 kV 180 MVAr IVAIPORA RT2C PR</t>
  </si>
  <si>
    <t>RT 69 kV 180 Mvar IVAIPORA RT2C PR</t>
  </si>
  <si>
    <t>0007714/2023</t>
  </si>
  <si>
    <t>Substituição das UACs SIEMENS de supervisão do Banco de Transformadores (AT03) TR 750/500 kV IVAIPORA TR3 PR</t>
  </si>
  <si>
    <t>0007716/2023</t>
  </si>
  <si>
    <t>Substituição das  UACs SIEMENS de supervisão do Banco de Trafos Reguladores (TRRG03) TR 500/69 kV IVAIPORA TREG3 PR</t>
  </si>
  <si>
    <t>0007717/2023</t>
  </si>
  <si>
    <t>Substituição das  UACs SIEMENS de supervisão do Banco de Reatores (RT3A) RTB 69 kV 180 MVAr IVAIPORA RT3A PR</t>
  </si>
  <si>
    <t>RT 69 kV 180 Mvar IVAIPORA RT3A PR</t>
  </si>
  <si>
    <t>0007719/2023</t>
  </si>
  <si>
    <t>Substituição das  UACs SIEMENS de supervisão do Banco de Reatores (RT3B) RTB 69 kV 180 MVAr IVAIPORA RT3B PR</t>
  </si>
  <si>
    <t>RT 69 kV 180 Mvar IVAIPORA RT3B PR</t>
  </si>
  <si>
    <t>0007720/2023</t>
  </si>
  <si>
    <t>Substituição de switch FSIV-A01P da Rede Operativa da SE IVAIPORA</t>
  </si>
  <si>
    <t>0007839/2023</t>
  </si>
  <si>
    <t>FSIV-A01P</t>
  </si>
  <si>
    <t>Substituição de switch FSIV-A01S da Rede Operativa da SE IVAIPORA</t>
  </si>
  <si>
    <t>0007840/2023</t>
  </si>
  <si>
    <t>Substituição de switch FSIV-A02P da Rede Operativa da SE IVAIPORA</t>
  </si>
  <si>
    <t>0007841/2023</t>
  </si>
  <si>
    <t>FSIV-A02P</t>
  </si>
  <si>
    <t>Substituição de switch FSIV-A02S da Rede Operativa da SE IVAIPORA</t>
  </si>
  <si>
    <t>0007842/2023</t>
  </si>
  <si>
    <t>FSIV-A02S</t>
  </si>
  <si>
    <t>Substituição de switch FSIV-D01P da Rede Operativa da SE IVAIPORA</t>
  </si>
  <si>
    <t>0007843/2023</t>
  </si>
  <si>
    <t>FSIV-D01P</t>
  </si>
  <si>
    <t>Substituição de switch FSIV-D01S da Rede Operativa da SE IVAIPORA</t>
  </si>
  <si>
    <t>0007844/2023</t>
  </si>
  <si>
    <t>FSIV-D01S</t>
  </si>
  <si>
    <t>Substituição de trafo potencia AT09 500/345KV FASE A (nº serie: K547263, cod. mat.: 10182628).</t>
  </si>
  <si>
    <t>TR 500/345 kV MARIMBONDO TR9 MG</t>
  </si>
  <si>
    <t>0001205/2022</t>
  </si>
  <si>
    <t>AT09 500/345KV FASE A</t>
  </si>
  <si>
    <t>Substituição de trafo potencia AT09 500/345KV FASE B (nº serie: K547266, cod. mat.: 10182630).</t>
  </si>
  <si>
    <t>0001206/2022</t>
  </si>
  <si>
    <t>AT09 500/345KV FASE B</t>
  </si>
  <si>
    <t>Substituição de trafo potencia AT09 500/345KV FASE C (nº serie: K547264, cod. mat.: 10182629).</t>
  </si>
  <si>
    <t>0001207/2022</t>
  </si>
  <si>
    <t>AT09 500/345KV FASE C</t>
  </si>
  <si>
    <t>Substituição de trafo potencia TRR1-AT98V (nº serie: K547267, cod. mat.: 10182631).</t>
  </si>
  <si>
    <t>TRR 525/345 kV MARIMBONDO TRR1 MG</t>
  </si>
  <si>
    <t>0001208/2022</t>
  </si>
  <si>
    <t>TRR1-AT98V</t>
  </si>
  <si>
    <t>Substituição de trafo corrente TCDJ9022 500KV FASE A (nº serie: K74081-02-2, cod. mat.: 10184448).</t>
  </si>
  <si>
    <t>0001209/2022</t>
  </si>
  <si>
    <t>TCDJ9022 500KV FASE A</t>
  </si>
  <si>
    <t>Substituição de trafo corrente TCDJ9022 500KV FASE B (nº serie: K74081-03-2, cod. mat.: 10184447).</t>
  </si>
  <si>
    <t>0001210/2022</t>
  </si>
  <si>
    <t>TCDJ9022 500KV FASE B</t>
  </si>
  <si>
    <t>Substituição de trafo corrente TCDJ9022 500KV FASE C (nº serie: K74081-03-9, cod. mat.: 10184446).</t>
  </si>
  <si>
    <t>0001211/2022</t>
  </si>
  <si>
    <t>TCDJ9022 500KV FASE C</t>
  </si>
  <si>
    <t>Substituição de trafo corrente TCLTMRCL 345KV FASE A (nº serie: HA333294, cod. mat.: 10234670).</t>
  </si>
  <si>
    <t>0001212/2022</t>
  </si>
  <si>
    <t>TCLTMRCL 345KV FASE A</t>
  </si>
  <si>
    <t>Substituição de trafo corrente TCLTMRCL 345KV FASE B (nº serie: HA333287, cod. mat.: 10186492).</t>
  </si>
  <si>
    <t>0001213/2022</t>
  </si>
  <si>
    <t>TCLTMRCL 345KV FASE B</t>
  </si>
  <si>
    <t>Substituição de trafo corrente TCLTMRCL 345KV FASE C (nº serie: HA333286, cod. mat.: 10186491).</t>
  </si>
  <si>
    <t>0001215/2022</t>
  </si>
  <si>
    <t>TCLTMRCL 345KV FASE C</t>
  </si>
  <si>
    <t>Substituição de trafo potencial/dcp DCPLTMRCL 345KV FASE A (nº serie: 322274, cod. mat.: 10190357).</t>
  </si>
  <si>
    <t>0001216/2022</t>
  </si>
  <si>
    <t>DCPLTMRCL 345KV FASE A</t>
  </si>
  <si>
    <t>Substituição de trafo potencial/dcp DCPLTMRCL 345KV FASE B (nº serie: 5-75-0866, cod. mat.: 10188860).</t>
  </si>
  <si>
    <t>0001217/2022</t>
  </si>
  <si>
    <t>DCPLTMRCL 345KV FASE B</t>
  </si>
  <si>
    <t>Substituição de trafo potencial/dcp DCPLTMRCL 345KV FASE C (nº serie: 5-75-0867, cod. mat.: 10188859).</t>
  </si>
  <si>
    <t>0001218/2022</t>
  </si>
  <si>
    <t>DCPLTMRCL 345KV FASE C</t>
  </si>
  <si>
    <t>Substituição de seccionadora SC915 (nº serie: M920, cod. mat.: 10195284).</t>
  </si>
  <si>
    <t>0005942/2023</t>
  </si>
  <si>
    <t>SC915</t>
  </si>
  <si>
    <t>Substituição de para-raios PRAT09 345KV FASE A (nº serie: 41123, cod. mat.: 10197817).</t>
  </si>
  <si>
    <t>0005939/2023</t>
  </si>
  <si>
    <t>PRAT09 345KV FASE A</t>
  </si>
  <si>
    <t>Substituição de para-raios PRAT09 345KV FASE B (nº serie: 46347, cod. mat.: 10197818).</t>
  </si>
  <si>
    <t>0005940/2023</t>
  </si>
  <si>
    <t>PRAT09 345KV FASE B</t>
  </si>
  <si>
    <t>Substituição de para-raios PRAT09 345KV FASE C (nº serie: 40245, cod. mat.: 10197814).</t>
  </si>
  <si>
    <t>0005941/2023</t>
  </si>
  <si>
    <t>PRAT09 345KV FASE C</t>
  </si>
  <si>
    <t>Substituição de seccionadora SC8529 (nº serie: 741024 - 12, cod. mat.: 10196673).</t>
  </si>
  <si>
    <t>0005946/2023</t>
  </si>
  <si>
    <t>Substituição de seccionadora SC8527 (nº serie: 741024 - 13, cod. mat.: 10196670).</t>
  </si>
  <si>
    <t>0005947/2023</t>
  </si>
  <si>
    <t>Substituição de seccionadora SC8520T (nº serie: -, cod. mat.: -).</t>
  </si>
  <si>
    <t>0005948/2023</t>
  </si>
  <si>
    <t>Substituição de disjuntor DJ8522 (nº serie: A 10936-1, cod. mat.: 10190829).</t>
  </si>
  <si>
    <t>0005927/2023</t>
  </si>
  <si>
    <t>DJ8522</t>
  </si>
  <si>
    <t>Substituição de para-raios PRLTMRCL 345KV FASE A (nº serie: 40765, cod. mat.: 10197813).</t>
  </si>
  <si>
    <t>0005935/2023</t>
  </si>
  <si>
    <t>PRLTMRCL 345KV FASE A</t>
  </si>
  <si>
    <t>Substituição de para-raios PRLTMRCL 345KV FASE B (nº serie: 40764, cod. mat.: 10197812).</t>
  </si>
  <si>
    <t>0005936/2023</t>
  </si>
  <si>
    <t>PRLTMRCL 345KV FASE B</t>
  </si>
  <si>
    <t>Substituição de para-raios PRLTMRCL 345KV FASE C (nº serie: 40763, cod. mat.: 10197811).</t>
  </si>
  <si>
    <t>0005937/2023</t>
  </si>
  <si>
    <t>PRLTMRCL 345KV FASE C</t>
  </si>
  <si>
    <t>Substituição de trafo corrente TCDJ9012 500KV FASE A (nº serie: K74081-02-1, cod. mat.: 10184445).</t>
  </si>
  <si>
    <t>0005954/2023</t>
  </si>
  <si>
    <t>TCDJ9012 500KV FASE A</t>
  </si>
  <si>
    <t>Substituição de trafo corrente TCDJ9012 500KV FASE B (nº serie: K74081-03-3, cod. mat.: 10184479).</t>
  </si>
  <si>
    <t>0005956/2023</t>
  </si>
  <si>
    <t>TCDJ9012 500KV FASE B</t>
  </si>
  <si>
    <t>Substituição de trafo corrente TCDJ9012 500KV FASE C (nº serie: K74081-03-7, cod. mat.: 10184443).</t>
  </si>
  <si>
    <t>0005957/2023</t>
  </si>
  <si>
    <t>TCDJ9012 500KV FASE C</t>
  </si>
  <si>
    <t>SUBSTITUIÇÃO DA CHAVE SECCIONADORA SC2225</t>
  </si>
  <si>
    <t>MG MARIMBONDO / CCO-2001-062 - RB</t>
  </si>
  <si>
    <t>0007500/2023</t>
  </si>
  <si>
    <t>SC2225</t>
  </si>
  <si>
    <t>SUBSTITUIÇÃO DO TRANSFORMADOR DE SERVIÇO AUXILIAR TR11 - 13,8KV/480V</t>
  </si>
  <si>
    <t>0007505/2023</t>
  </si>
  <si>
    <t>TR11</t>
  </si>
  <si>
    <t>SUBSTITUIÇÃO DO TRANSFORMADOR REGULADOR TRRGPCA1 - 13,8/13,8KV</t>
  </si>
  <si>
    <t>0007506/2023</t>
  </si>
  <si>
    <t>TRRGPCA1</t>
  </si>
  <si>
    <t>SUBSTITUIÇÃO DA CHAVE SECCIONADORA SC2215</t>
  </si>
  <si>
    <t>0007508/2023</t>
  </si>
  <si>
    <t>SUBSTITUIÇÃO DO TRANSFORMADOR DE SERVIÇO AUXILIAR TR12 - 13,8KV/480V</t>
  </si>
  <si>
    <t>0007509/2023</t>
  </si>
  <si>
    <t>TR12</t>
  </si>
  <si>
    <t>SUBSTITUIÇÃO DO TRANSFORMADOR REGULADOR TRRGPCA2 - 13,8/13,8KV</t>
  </si>
  <si>
    <t>0007511/2023</t>
  </si>
  <si>
    <t>TRRGPCA2</t>
  </si>
  <si>
    <t>SUBSTITUIÇÃO DA CHAVE SECCIONADORA SC2255</t>
  </si>
  <si>
    <t>0007513/2023</t>
  </si>
  <si>
    <t>SC2255</t>
  </si>
  <si>
    <t>SUBSTITUIÇÃO DO TRANSFORMADOR REGULADOR TRRGPLC1 - 13,8/13,8KV</t>
  </si>
  <si>
    <t>0007514/2023</t>
  </si>
  <si>
    <t>TRRGPLC1</t>
  </si>
  <si>
    <t>SUBSTITUIÇÃO DA CHAVE SECCIONADORA SC2245</t>
  </si>
  <si>
    <t>0009539/2023</t>
  </si>
  <si>
    <t>SC2245</t>
  </si>
  <si>
    <t>SUBSTITUIÇÃO DO TRANSFORMADOR REGULADOR TRRGPLC2 - 13,8/13,8KV</t>
  </si>
  <si>
    <t>0007518/2023</t>
  </si>
  <si>
    <t>TRRGPLC2</t>
  </si>
  <si>
    <t>SUBSTITUIÇÃO DOS PÁRA-RAIOS DO SERVIÇO AUXILIAR EM 15KV DO RAMAL AÉREO. TOTAL DE 15 UNIDADES.</t>
  </si>
  <si>
    <t>0007519/2023</t>
  </si>
  <si>
    <t>SUBSTITUIÇÃO DO PAINEL PCA - 480V</t>
  </si>
  <si>
    <t>0007520/2023</t>
  </si>
  <si>
    <t>PCA</t>
  </si>
  <si>
    <t>SUBSTITUIÇÃO DO PAINEL PDF-1 - 480V</t>
  </si>
  <si>
    <t>0007521/2023</t>
  </si>
  <si>
    <t>PDF-1</t>
  </si>
  <si>
    <t>SUBSTITUIÇÃO DO PAINEL PDF-2 - 480V</t>
  </si>
  <si>
    <t>0007522/2023</t>
  </si>
  <si>
    <t>PDF-2</t>
  </si>
  <si>
    <t>SUBSTITUIÇÃO DO PAINEL PDF-3 - 480V</t>
  </si>
  <si>
    <t>0007523/2023</t>
  </si>
  <si>
    <t>PDF-3</t>
  </si>
  <si>
    <t>SUBSTITUIÇÃO DO PAINEL PDF-4 - 480V</t>
  </si>
  <si>
    <t>0007525/2023</t>
  </si>
  <si>
    <t>PDF-4</t>
  </si>
  <si>
    <t>SUBSTITUIÇÃO DO PAINEL PDL1 - 480V</t>
  </si>
  <si>
    <t>0007526/2023</t>
  </si>
  <si>
    <t>PDL1</t>
  </si>
  <si>
    <t>SUBSTITUIÇÃO DO PAINEL PDL2 - 480V</t>
  </si>
  <si>
    <t>0007527/2023</t>
  </si>
  <si>
    <t>PDL2</t>
  </si>
  <si>
    <t>SUBSTITUIÇÃO DO PAINEL PDL3 - 480V</t>
  </si>
  <si>
    <t>0007528/2023</t>
  </si>
  <si>
    <t>PDL3</t>
  </si>
  <si>
    <t>SUBSTITUIÇÃO DO PAINEL PDL4 - 480V</t>
  </si>
  <si>
    <t>0007530/2023</t>
  </si>
  <si>
    <t>PDL4</t>
  </si>
  <si>
    <t>SUBSTITUIÇÃO DO TRANSFORMADOR DE SERVIÇO AUXILIAR TRLPDL1 - 480/220-127V</t>
  </si>
  <si>
    <t>0007532/2023</t>
  </si>
  <si>
    <t>TRPDL1</t>
  </si>
  <si>
    <t>SUBSTITUIÇÃO DO TRANSFORMADOR DE SERVIÇO AUXILIAR TRLPDL2 - 480/220-127V</t>
  </si>
  <si>
    <t>0007533/2023</t>
  </si>
  <si>
    <t>TRPDL2</t>
  </si>
  <si>
    <t>SUBSTITUIÇÃO DO TRANSFORMADOR DE SERVIÇO AUXILIAR TRLPDL3 - 480/220-127V</t>
  </si>
  <si>
    <t>0007534/2023</t>
  </si>
  <si>
    <t>TRPDL3</t>
  </si>
  <si>
    <t>SUBSTITUIÇÃO DO TRANSFORMADOR DE SERVIÇO AUXILIAR TRLPDL4 - 480/220-127V</t>
  </si>
  <si>
    <t>0007536/2023</t>
  </si>
  <si>
    <t>TRPDL4</t>
  </si>
  <si>
    <t>SUBSTITUIÇÃO DO RETIFICADOR 1 - 480V</t>
  </si>
  <si>
    <t>0007537/2023</t>
  </si>
  <si>
    <t>RT01</t>
  </si>
  <si>
    <t>SUBSTITUIÇÃO DO RETIFICADOR 2 - 480V</t>
  </si>
  <si>
    <t>0007538/2023</t>
  </si>
  <si>
    <t>RT02</t>
  </si>
  <si>
    <t>SUBSTITUIÇÃO DO PAINEL PCCS - 125VCC</t>
  </si>
  <si>
    <t>0007539/2023</t>
  </si>
  <si>
    <t>PCCS</t>
  </si>
  <si>
    <t>SUBSTITUIÇÃO DO PAINEL PDC1 - 125VCC</t>
  </si>
  <si>
    <t>0007540/2023</t>
  </si>
  <si>
    <t>PDC1</t>
  </si>
  <si>
    <t>SUBSTITUIÇÃO DO PAINEL PDC2 - 125VCC</t>
  </si>
  <si>
    <t>0007541/2023</t>
  </si>
  <si>
    <t>PDC2</t>
  </si>
  <si>
    <t>SUBSTITUIÇÃO DO PAINEL PDC3 - 125VCC</t>
  </si>
  <si>
    <t>0007542/2023</t>
  </si>
  <si>
    <t>PDC3</t>
  </si>
  <si>
    <t>Substituição dos sistemas de proteção da LT 500 kV MARIMBONDO /AGUA VERMELHA C-1 MG/SP</t>
  </si>
  <si>
    <t>LT 500 kV MARIMBONDO /AGUA VERMELHA C-1 MG/SP</t>
  </si>
  <si>
    <t>0006802/2023</t>
  </si>
  <si>
    <t>PROTEÇÃO - LT 500 kV MARIMBONDO /AGUA VERMELHA C-1 MG/SP</t>
  </si>
  <si>
    <t>Substituição dos sistemas de proteção de Falha de Disjuntor do DJ9082</t>
  </si>
  <si>
    <t>0006803/2023</t>
  </si>
  <si>
    <t>PROTEÇÃO - DJ9082</t>
  </si>
  <si>
    <t>Substituição do registrador de perturbações digital da LT 500 kV MARIMBONDO /AGUA VERMELHA C-1 MG/SP</t>
  </si>
  <si>
    <t>0006804/2023</t>
  </si>
  <si>
    <t>Substituição dos sistemas de proteção da RTB 500 kV 100 MVAr MARIMBONDO RT4 MG e da proteção de falha da disjuntor DJ942R.</t>
  </si>
  <si>
    <t>RT 500 kV 100 Mvar MARIMBONDO RT4 MG</t>
  </si>
  <si>
    <t>0006807/2023</t>
  </si>
  <si>
    <t>PROTEÇÃO - RTB 500 kV 100 MVAr MARIMBONDO RT4 MG</t>
  </si>
  <si>
    <t>Substituição dos sistemas de proteção de Falha de Disjuntor do DJ9782</t>
  </si>
  <si>
    <t>0006809/2023</t>
  </si>
  <si>
    <t>PROTEÇÃO - DJ9782</t>
  </si>
  <si>
    <t>Substituição da UAC01 - SINOCON de supervisão da LT 500 kV MARIMBONDO /AGUA VERMELHA</t>
  </si>
  <si>
    <t>0007724/2023</t>
  </si>
  <si>
    <t>Substituição das UACs UCD1 e UCD2 - AREVA de supervisão do reator (RT04) RTB 500 kV 100 MVAr MARIMBONDO RT4 MG</t>
  </si>
  <si>
    <t>0007725/2023</t>
  </si>
  <si>
    <t>Substituição de switch FUMR-D01P da Rede Operativa da UHE Marimbondo.</t>
  </si>
  <si>
    <t>0007848/2023</t>
  </si>
  <si>
    <t>FUMR-D01P</t>
  </si>
  <si>
    <t>Substituição de switch FUMR-D01S da Rede Operativa da UHE Marimbondo.</t>
  </si>
  <si>
    <t>0007849/2023</t>
  </si>
  <si>
    <t>FUMR-D01S</t>
  </si>
  <si>
    <t>Substituição de switch FUMR-A01P da Rede Operativa da UHE Marimbondo.</t>
  </si>
  <si>
    <t>0007850/2023</t>
  </si>
  <si>
    <t>FUMR-A01P</t>
  </si>
  <si>
    <t>Substituição de switch FUMR-A01S da Rede Operativa da UHE Marimbondo.</t>
  </si>
  <si>
    <t>0007851/2023</t>
  </si>
  <si>
    <t>FUMR-A01S</t>
  </si>
  <si>
    <t>Substituição de switch FUMR-A02P da Rede Operativa da UHE Marimbondo.</t>
  </si>
  <si>
    <t>0007852/2023</t>
  </si>
  <si>
    <t>FUMR-A02P</t>
  </si>
  <si>
    <t>Substituição de switch FUMR-A02S da Rede Operativa da UHE Marimbondo.</t>
  </si>
  <si>
    <t>0007853/2023</t>
  </si>
  <si>
    <t>FUMR-A02S</t>
  </si>
  <si>
    <t>Substituição de switch FUMR-A03P da Rede Operativa da UHE Marimbondo.</t>
  </si>
  <si>
    <t>0007854/2023</t>
  </si>
  <si>
    <t>FUMR-A03P</t>
  </si>
  <si>
    <t>Substituição de switch FUMR-A03S da Rede Operativa da UHE Marimbondo.</t>
  </si>
  <si>
    <t>0007855/2023</t>
  </si>
  <si>
    <t>FUMR-A03S</t>
  </si>
  <si>
    <t>Substituição de trafo corrente TC AT01 FASE A (nº serie: K83021-01-01, cod. mat.: 10184619).
Capacidade de curto-circuito (kA) do novo equipamento: 50 kA.</t>
  </si>
  <si>
    <t>TR 765/525 kV IVAIPORA TR1 + LT 525 kV C-1 PR</t>
  </si>
  <si>
    <t>0005682/2023</t>
  </si>
  <si>
    <t>TC AT01 FASE A</t>
  </si>
  <si>
    <t>Substituição de trafo corrente TC AT01 FASE B (nº serie: K83021-01-02, cod. mat.: 10184620).
Capacidade de curto-circuito (kA) do novo equipamento: 50 kA.</t>
  </si>
  <si>
    <t>0005683/2023</t>
  </si>
  <si>
    <t>TC AT01 FASE B</t>
  </si>
  <si>
    <t>Substituição de trafo corrente TC AT01 FASE C (nº serie: K83021-01-03, cod. mat.: 10184621).
Capacidade de curto-circuito (kA) do novo equipamento: 50 kA.</t>
  </si>
  <si>
    <t>0005684/2023</t>
  </si>
  <si>
    <t>TC AT01 FASE C</t>
  </si>
  <si>
    <t>"Acesso ao Setor de 138 kV da SE Porto Colômbia 138 kV, por meioda instalação de 1 novo bay destinados à conexão de 1 linhas de
distribuição em 138 kV, Porto Colômbia - Frutal 2, em circuito simples."</t>
  </si>
  <si>
    <t>0001071/2022</t>
  </si>
  <si>
    <t>RIO VERDE FUR</t>
  </si>
  <si>
    <t>Substituição de trafo corrente TC - AT01 230KV FASE A (nº serie: SP-16377, cod. mat.: 10186432).</t>
  </si>
  <si>
    <t>TR 230/138 kV RIO VERDE FUR TR1 GO</t>
  </si>
  <si>
    <t>0006016/2023</t>
  </si>
  <si>
    <t>TC - AT01 230KV FASE A</t>
  </si>
  <si>
    <t>Substituição de trafo corrente TC - AT01 230KV FASE B (nº serie: SP-16376, cod. mat.: 10186433).</t>
  </si>
  <si>
    <t>0006017/2023</t>
  </si>
  <si>
    <t>TC - AT01 230KV FASE B</t>
  </si>
  <si>
    <t>Substituição de trafo corrente TC - AT01 230KV FASE C (nº serie: SP-16375, cod. mat.: 10186434).</t>
  </si>
  <si>
    <t>0006018/2023</t>
  </si>
  <si>
    <t>TC - AT01 230KV FASE C</t>
  </si>
  <si>
    <t>Substituição de disjuntor DJ738 (nº serie: 1004-06, cod. mat.: 10191498).</t>
  </si>
  <si>
    <t>0005989/2023</t>
  </si>
  <si>
    <t>DJ738</t>
  </si>
  <si>
    <t>Substituição de disjuntor DJ708 (nº serie: 1004-05, cod. mat.: 10191497).</t>
  </si>
  <si>
    <t>MG RIO VERDE FUR / CCO-2001-062 - RB</t>
  </si>
  <si>
    <t>0005991/2023</t>
  </si>
  <si>
    <t>Substituição de trafo corrente TC ENTRE DJ708 E BR7A FASE A (nº serie: SP-16366, cod. mat.: 10186423).</t>
  </si>
  <si>
    <t>0006023/2023</t>
  </si>
  <si>
    <t>TC ENTRE DJ708 E BR7A FASE A</t>
  </si>
  <si>
    <t>Substituição de trafo corrente TC ENTRE DJ708 E BR7A FASE B (nº serie: SP-16367, cod. mat.: 10186424).</t>
  </si>
  <si>
    <t>0006024/2023</t>
  </si>
  <si>
    <t>TC ENTRE DJ708 E BR7A FASE B</t>
  </si>
  <si>
    <t>Substituição de trafo corrente TC ENTRE DJ708 E BR7A FASE C (nº serie: SP-16368, cod. mat.: 10186425).</t>
  </si>
  <si>
    <t>0006025/2023</t>
  </si>
  <si>
    <t>TC ENTRE DJ708 E BR7A FASE C</t>
  </si>
  <si>
    <t>Substituição de trafo corrente TC - AT01 13.8KV LADO PARRAIOS FASE A (nº serie: 850237001, cod. mat.: -).
Capacidade de curto-circuito (kA) do novo equipamento: 31,5 kA.</t>
  </si>
  <si>
    <t>0006955/2023</t>
  </si>
  <si>
    <t>TC - AT01 13.8KV LADO PARRAIOS FASE A</t>
  </si>
  <si>
    <t>Substituição de trafo corrente TC - AT01 13.8KV LADO PARRAIOS FASE C (nº serie: 850237003, cod. mat.: 10251482).
Capacidade de curto-circuito (kA) do novo equipamento: 31,5 kA.</t>
  </si>
  <si>
    <t>0006956/2023</t>
  </si>
  <si>
    <t>TC - AT01 13.8KV LADO PARRAIOS FASE C</t>
  </si>
  <si>
    <t>Substituição de trafo corrente TC - AT01 13.8KV LADO TRAFO ATER. FASE A (nº serie: 850238001, cod. mat.: 10251483).
Capacidade de curto-circuito (kA) do novo equipamento: 31,5 kA.</t>
  </si>
  <si>
    <t>0006959/2023</t>
  </si>
  <si>
    <t>TC - AT01 13.8KV LADO TRAFO ATER. FASE A</t>
  </si>
  <si>
    <t>Substituição de trafo corrente TC - AT01 13.8KV LADO TRAFO ATER. FASE B (nº serie: 221037101, cod. mat.: 10251484).
Capacidade de curto-circuito (kA) do novo equipamento: 31,5 kA.</t>
  </si>
  <si>
    <t>0006962/2023</t>
  </si>
  <si>
    <t>TC - AT01 13.8KV LADO TRAFO ATER. FASE B</t>
  </si>
  <si>
    <t>Substituição de trafo corrente TC - AT01 13.8KV LADO TRAFO ATER. FASE C (nº serie: 850238003, cod. mat.: 10251485).
Capacidade de curto-circuito (kA) do novo equipamento: 31,5 kA.</t>
  </si>
  <si>
    <t>0006965/2023</t>
  </si>
  <si>
    <t>TC - AT01 13.8KV LADO TRAFO ATER. FASE C</t>
  </si>
  <si>
    <t>SUBSTITUIÇÃO DE 3 MÓDULOS DE CUBÍCULOS DE 24KV (DJ2038, DJ2208, DJ2108)</t>
  </si>
  <si>
    <t>0008154/2022</t>
  </si>
  <si>
    <t>CUBÍCULO 13,8KV</t>
  </si>
  <si>
    <t>INSTALAÇÃO DE TRANSFORMADOR REGULADOR TRREG01 - 13,8/13,8KV</t>
  </si>
  <si>
    <t>0008176/2022</t>
  </si>
  <si>
    <t>INSTALAÇÃO DE TRANSFORMADOR REGULADOR TRREG02 - 13,8/13,8KV</t>
  </si>
  <si>
    <t>0008177/2022</t>
  </si>
  <si>
    <t>Substituição dos sistemas de proteção de diferencial de barras da barra BR7A e da barra BR7B e das proteções de falha dos disjuntores DJ7788,DJ7778 (DJ da LIRVBP1), DJ7768, DJ748, DJ738, DJ768, DJ758R, DJ7338, DJ7328, DJ7348, DJ708.</t>
  </si>
  <si>
    <t>0006919/2023</t>
  </si>
  <si>
    <t>PROTEÇÃO - BR7A e BR7B</t>
  </si>
  <si>
    <t>Substituição do registrador de perturbações digital das BR7A e BR7B</t>
  </si>
  <si>
    <t>0006920/2023</t>
  </si>
  <si>
    <t>Substituição dos sistemas de proteção de Falha de Disjuntor do DJ7788</t>
  </si>
  <si>
    <t>LT 230 kV RIO VERDE FUR/BARRA PEIXE C-2 GO/MT</t>
  </si>
  <si>
    <t>0006922/2023</t>
  </si>
  <si>
    <t>PROTEÇÃO - DJ7788</t>
  </si>
  <si>
    <t>Substituição dos sistemas de proteção de Falha de Disjuntor do DJ7778 (DJ da LIRVBP1)</t>
  </si>
  <si>
    <t>LT 230 kV RIO VERDE FUR/RONDONOPOLIS C-2 GO/MT</t>
  </si>
  <si>
    <t>0006924/2023</t>
  </si>
  <si>
    <t>PROTEÇÃO - DJ7778 (DJ da LIRVBP1)</t>
  </si>
  <si>
    <t>Substituição dos sistemas de proteção de Falha de Disjuntor do DJ7768</t>
  </si>
  <si>
    <t>LT 230 kV RIO VERDE FUR/RONDONOPOLIS C-1 GO/MT</t>
  </si>
  <si>
    <t>0006926/2023</t>
  </si>
  <si>
    <t>PROTEÇÃO - DJ7768</t>
  </si>
  <si>
    <t>Substituição dos sistemas de proteção de Falha de Disjuntor do DJ748</t>
  </si>
  <si>
    <t>TR 230/138 kV RIO VERDE FUR TR2 GO</t>
  </si>
  <si>
    <t>0006927/2023</t>
  </si>
  <si>
    <t>PROTEÇÃO - DJ748</t>
  </si>
  <si>
    <t>Substituição dos sistemas de proteção de Falha de Disjuntor do DJ738</t>
  </si>
  <si>
    <t>0006930/2023</t>
  </si>
  <si>
    <t>PROTEÇÃO - DJ738</t>
  </si>
  <si>
    <t>Substituição dos sistemas de proteção de Falha de Disjuntor do DJ768</t>
  </si>
  <si>
    <t>TR 230/138 kV RIO VERDE FUR TR3 GO</t>
  </si>
  <si>
    <t>0006931/2023</t>
  </si>
  <si>
    <t>PROTEÇÃO - DJ768</t>
  </si>
  <si>
    <t>Substituição dos sistemas de proteção de Falha de Disjuntor do DJ758R</t>
  </si>
  <si>
    <t>RT 230 kV 45 Mvar RIO VERDE FUR RT5 GO</t>
  </si>
  <si>
    <t>0006932/2023</t>
  </si>
  <si>
    <t>PROTEÇÃO - DJ758R</t>
  </si>
  <si>
    <t>Substituição dos sistemas de proteção de Falha de Disjuntor do DJ7338</t>
  </si>
  <si>
    <t>LT 230 kV RIO VERDE FUR/C. DOURADA C-1 GO</t>
  </si>
  <si>
    <t>0006934/2023</t>
  </si>
  <si>
    <t>PROTEÇÃO - DJ7338</t>
  </si>
  <si>
    <t>Substituição dos sistemas de proteção de Falha de Disjuntor do DJ7328</t>
  </si>
  <si>
    <t>0006935/2023</t>
  </si>
  <si>
    <t>PROTEÇÃO - DJ7328</t>
  </si>
  <si>
    <t>Substituição dos sistemas de proteção de Falha de Disjuntor do DJ7348</t>
  </si>
  <si>
    <t>0006936/2023</t>
  </si>
  <si>
    <t>PROTEÇÃO - DJ7348</t>
  </si>
  <si>
    <t>Substituição dos sistemas de proteção de Falha de Disjuntor do DJ708</t>
  </si>
  <si>
    <t>0006938/2023</t>
  </si>
  <si>
    <t>PROTEÇÃO - DJ708</t>
  </si>
  <si>
    <t>0006940/2023</t>
  </si>
  <si>
    <t>0006942/2023</t>
  </si>
  <si>
    <t>Substituição dos sistemas de proteção da LT 230 kV RIO VERDE FUR /BARRA PEIXE C-2 GO/MT</t>
  </si>
  <si>
    <t>0006943/2023</t>
  </si>
  <si>
    <t>PROTEÇÃO - LT 230 kV RIO VERDE FUR /BARRA PEIXE C-2 GO/MT</t>
  </si>
  <si>
    <t>Substituição do registrador de perturbações digital da LT 230 kV RIO VERDE FUR /BARRA PEIXE C-2 GO/MT</t>
  </si>
  <si>
    <t>0006944/2023</t>
  </si>
  <si>
    <t>RDP - LT 230 kV RIO VERDE FUR /BARRA PEIXE C-2 GO/MT</t>
  </si>
  <si>
    <t>Substituição dos sistemas de proteção da LT 230 kV RIO VERDE FUR /RONDONOPOLIS C-2 GO/MT (NOME FURNAS: LIRVBP1)</t>
  </si>
  <si>
    <t>0006945/2023</t>
  </si>
  <si>
    <t>PROTEÇÃO - LT 230 kV RIO VERDE FUR /RONDONOPOLIS C-2 GO/MT (LIRVBP1)</t>
  </si>
  <si>
    <t>Substituição do registrador de perturbações digital da  LT 230 kV RIO VERDE FUR /RONDONOPOLIS C-2 GO/MT (NOME FURNAS: LIRVBP1)</t>
  </si>
  <si>
    <t>0006947/2023</t>
  </si>
  <si>
    <t>RDP - LT 230 kV RIO VERDE FUR /RONDONOPOLIS C-2 GO/MT (LIRVBP1)</t>
  </si>
  <si>
    <t>Substituição dos sistemas de proteção da LT 138 kV RIO VERDE CLG /RIO VERDE FUR C-1 GO</t>
  </si>
  <si>
    <t>LT 138 kV RIO VERDE CLG /RIO VERDE FUR C-1 GO</t>
  </si>
  <si>
    <t>0006957/2023</t>
  </si>
  <si>
    <t>PROTEÇÃO - LT 138 kV RIO VERDE CLG /RIO VERDE FUR C-1 GO</t>
  </si>
  <si>
    <t>Substituição do registrador de perturbações digital da LT 138 kV RIO VERDE CLG /RIO VERDE FUR C-1 GO</t>
  </si>
  <si>
    <t>0006958/2023</t>
  </si>
  <si>
    <t>RDP -  LT 138 kV RIO VERDE CLG /RIO VERDE FUR C-1 GO</t>
  </si>
  <si>
    <t>Substituição dos sistemas de proteção do RTB 138 kV 15 Mvar RIO VERDE FUR RT4 GO</t>
  </si>
  <si>
    <t>RTB 138 kV 15 Mvar RIO VERDE FUR RT4 GO</t>
  </si>
  <si>
    <t>0006960/2023</t>
  </si>
  <si>
    <t>PROTEÇÃO - RTB 138 kV 15 Mvar RIO VERDE FUR RT4 GO</t>
  </si>
  <si>
    <t>Substituição do registrador de perturbações digital do RTB 138 kV 15 Mvar RIO VERDE FUR RT4 GO</t>
  </si>
  <si>
    <t>0006961/2023</t>
  </si>
  <si>
    <t>RDP - RTB 138 kV 15 Mvar RIO VERDE FUR RT4 GO</t>
  </si>
  <si>
    <t>Substituição dos sistemas de proteção da LT 138 kV RIO VERDE FUR /C. DOURADA C-2 GO</t>
  </si>
  <si>
    <t>LT 138 kV RIO VERDE FUR /C. DOURADA C-2 GO</t>
  </si>
  <si>
    <t>0006963/2023</t>
  </si>
  <si>
    <t>PROTEÇÃO - LT 138 kV RIO VERDE FUR /C. DOURADA C-2 GO</t>
  </si>
  <si>
    <t>Substituição dos sistemas de proteção da LT 138 kV RIO VERDE FUR /ACREÚNA C-1 GO</t>
  </si>
  <si>
    <t>LT 138 kV RIO VERDE FUR /ACREÚNA C-1 GO</t>
  </si>
  <si>
    <t>0008228/2023</t>
  </si>
  <si>
    <t>PROTEÇÃO - LT 138 kV RIO VERDE FUR /ACREÚNA C-1 GO</t>
  </si>
  <si>
    <t>Substituição do registrador de perturbações digital da LT 138 kV RIO VERDE FUR /ACREÚNA C-1 GO</t>
  </si>
  <si>
    <t>0008232/2023</t>
  </si>
  <si>
    <t>RDP - LT 138 kV RIO VERDE FUR /ACREÚNA C-1 GO</t>
  </si>
  <si>
    <t>Substituição dos sistemas de proteção da LT 138 kV RIO VERDE FUR  / PERDIGAO C-1 GO</t>
  </si>
  <si>
    <t>LT 138 kV RIO VERDE FUR  / PERDIGAO C-1 GO</t>
  </si>
  <si>
    <t>0007868/2023</t>
  </si>
  <si>
    <t>PROTEÇÃO - LT 138 kV RIO VERDE FUR  / PERDIGAO C-1 GO</t>
  </si>
  <si>
    <t>Substituição do registrador de perturbações digital da  LT 138 kV RIO VERDE FUR  / PERDIGAO C-1 GO</t>
  </si>
  <si>
    <t>0007870/2023</t>
  </si>
  <si>
    <t>RDP - LT 138 kV RIO VERDE FUR  / PERDIGAO C-1 GO</t>
  </si>
  <si>
    <t>Substituição dos sistemas de proteção do RTB 230 kV 45 MVAr RIO VERDE FUR RT5 GO</t>
  </si>
  <si>
    <t>0006974/2023</t>
  </si>
  <si>
    <t>PROTEÇÃO - RTB 230 kV 45 MVAr RIO VERDE FUR RT5 GO</t>
  </si>
  <si>
    <t>0006977/2023</t>
  </si>
  <si>
    <t>Substituição dos sistemas de proteção do TR 230/138 kV RIO VERDE FUR TR1 GO</t>
  </si>
  <si>
    <t>0006984/2023</t>
  </si>
  <si>
    <t>PROTEÇÃO - TR 230/138 kV RIO VERDE FUR TR1 GO</t>
  </si>
  <si>
    <t>Substituição dos sistemas de proteção do TR 230/138 kV RIO VERDE FUR TR2 GO</t>
  </si>
  <si>
    <t>0006985/2023</t>
  </si>
  <si>
    <t>PROTEÇÃO - TR 230/138 kV RIO VERDE FUR TR2 GO</t>
  </si>
  <si>
    <t>Substituição do registrador de perturbações digital da LT 230 kV RIO VERDE FUR /C. DOURADA C-1 GO</t>
  </si>
  <si>
    <t>0006986/2023</t>
  </si>
  <si>
    <t>RDP - LT 230 kV RIO VERDE FUR /C. DOURADA C-1 GO</t>
  </si>
  <si>
    <t>Substituição do registrador de perturbações digital do TR 230/138 kV RIO VERDE FUR TR3 GO</t>
  </si>
  <si>
    <t>RT 13,8 kV 25 Mvar RIO VERDE FUR RT3 GO</t>
  </si>
  <si>
    <t>0006987/2023</t>
  </si>
  <si>
    <t>RDP - TR 230/138 kV RIO VERDE FUR TR3 GO</t>
  </si>
  <si>
    <t>Substituição do registrador de perturbações digital da LT 230 kV RIO VERDE FUR /RONDONOPOLIS C-1 GO/MT</t>
  </si>
  <si>
    <t>0006988/2023</t>
  </si>
  <si>
    <t>RDP -  LT 230 kV RIO VERDE FUR /RONDONOPOLIS C-1 GO/MT</t>
  </si>
  <si>
    <t>0006989/2023</t>
  </si>
  <si>
    <t>0006990/2023</t>
  </si>
  <si>
    <t>Substituição das UACs de supervisão do banco de autotrafos TR 230/138 kV RIO VERDE FUR TR1 GO</t>
  </si>
  <si>
    <t>0007587/2023</t>
  </si>
  <si>
    <t>Códigos SAP 10218726 e 10218727</t>
  </si>
  <si>
    <t>Substituição das UACs de supervisão do banco de autotrafos TR 230/138 kV RIO VERDE FUR TR2 GO</t>
  </si>
  <si>
    <t>0007589/2023</t>
  </si>
  <si>
    <t>Códigos SAP 10218728 e 10218729</t>
  </si>
  <si>
    <t>Substituição da UAC de supervisão das barras e do vão de amarre de 230 kV - MG 230 kV RIO VERDE FUR MG1 GO</t>
  </si>
  <si>
    <t>0007591/2023</t>
  </si>
  <si>
    <t>Código SAP 10218730</t>
  </si>
  <si>
    <t>Substituição da UAC de supervisão das barras, do vão de amarre de 138 kV.</t>
  </si>
  <si>
    <t>0007592/2023</t>
  </si>
  <si>
    <t>Código SAP 10218731</t>
  </si>
  <si>
    <t>Substituição da UAC de supervisão da LT 230 kV RIO VERDE FUR /C. DOURADA C-1 GO</t>
  </si>
  <si>
    <t>0007593/2023</t>
  </si>
  <si>
    <t>Código SAP 10218732</t>
  </si>
  <si>
    <t>Substituição da UAC de supervisão da LT 230 kV RIO VERDE FUR /RONDONOPOLIS C-1 GO/MT</t>
  </si>
  <si>
    <t>0007594/2023</t>
  </si>
  <si>
    <t>Código SAP 10218733</t>
  </si>
  <si>
    <t>Substituição da UAC de supervisão da LT 230 kV RIO VERDE FUR /BARRA PEIXE C-1 GO/MT</t>
  </si>
  <si>
    <t>LT 230 kV RIO VERDE FUR/BARRA PEIXE C-1 GO/MT</t>
  </si>
  <si>
    <t>0008291/2023</t>
  </si>
  <si>
    <t>Código SAP 10218734</t>
  </si>
  <si>
    <t>Substituição da UAC de supervisão da LT 230 kV RIO VERDE FUR /BARRA PEIXE C-2 GO/MT</t>
  </si>
  <si>
    <t>0007605/2023</t>
  </si>
  <si>
    <t>Código SAP 10218735</t>
  </si>
  <si>
    <t>Substituição da UAC de supervisão da LT 138 kV RIO VERDE FUR /RIO CLARO C-1 GO</t>
  </si>
  <si>
    <t>LT 138 kV RIO VERDE FUR /RIO CLARO C-1 GO</t>
  </si>
  <si>
    <t>0009540/2023</t>
  </si>
  <si>
    <t>Código SAP 10218736</t>
  </si>
  <si>
    <t>Substituição da UAC de supervisão da LT 138 kV RIO VERDE FUR / PERDIGAO C1</t>
  </si>
  <si>
    <t>0007612/2023</t>
  </si>
  <si>
    <t>Código SAP 10218737</t>
  </si>
  <si>
    <t>Substituição da UAC de supervisão da LT 138 kV ACREUNA / RIO VERDE</t>
  </si>
  <si>
    <t>LT 138 kV ACREUNA / RIO VERDE FUR C-1 GO</t>
  </si>
  <si>
    <t>0008239/2023</t>
  </si>
  <si>
    <t>Código SAP 10218738</t>
  </si>
  <si>
    <t>Substituição da UAC de supervisão da LT 138 kV RIO VERDE CLG /RIO VERDE FUR C-1 GO</t>
  </si>
  <si>
    <t>0007618/2023</t>
  </si>
  <si>
    <t>Código SAP 10218739</t>
  </si>
  <si>
    <t>Substituição da UAC de supervisão da LT 138 kV RIO VERDE FUR /C. DOURADA C-2 GO</t>
  </si>
  <si>
    <t>0007622/2023</t>
  </si>
  <si>
    <t>Código SAP 10218740</t>
  </si>
  <si>
    <t>Substituição da UAC de supervisão da LT 230 kV ITUMBIARA /RIO VERDE FUR C-1 MG/GO</t>
  </si>
  <si>
    <t>0007623/2023</t>
  </si>
  <si>
    <t>Código SAP 10218741</t>
  </si>
  <si>
    <t>Substituição da UAC de supervisão da LT 230 kV ITUMBIARA /RIO VERDE FUR C-2 MG/GO</t>
  </si>
  <si>
    <t>0007625/2023</t>
  </si>
  <si>
    <t>Código SAP 10218742</t>
  </si>
  <si>
    <t>Substituição da UAC de supervisão do REATOR RTB 230 kV 45 MVAr RIO VERDE FUR RT5 GO</t>
  </si>
  <si>
    <t>0007626/2023</t>
  </si>
  <si>
    <t>Código SAP 10218744</t>
  </si>
  <si>
    <t>Substituição da UAC de supervisão do REATOR RTB 138 kV 15 Mvar RIO VERDE FUR RT4 GO</t>
  </si>
  <si>
    <t>0007628/2023</t>
  </si>
  <si>
    <t>não identificado</t>
  </si>
  <si>
    <t>Substituição da UAC de supervisão do SERVIÇO AUXILIAR 13,8 kV e 380 Vca</t>
  </si>
  <si>
    <t>0007636/2023</t>
  </si>
  <si>
    <t>Substituição da UAC de supervisão do SERVIÇO AUXILIAR 380 Vca e 125 Vcc.</t>
  </si>
  <si>
    <t>0007637/2023</t>
  </si>
  <si>
    <t>Substituição da UAC de supervisão do SERVIÇO AUXILIAR 220 Vca e 125 Vcc.</t>
  </si>
  <si>
    <t>0007639/2023</t>
  </si>
  <si>
    <t>Substituição de 04 (quatro) equipamentos de teleproteção digital (cadeias principal e alternada) da LT 230 Itumbiara - Rio Verde circuito 1, de fabricação ALSTOM, modelo DIP5000.</t>
  </si>
  <si>
    <t>0007890/2023</t>
  </si>
  <si>
    <t>Substituição de switch FSRV-D01P da Rede Operativa da SE Rio Verde.</t>
  </si>
  <si>
    <t>0007895/2023</t>
  </si>
  <si>
    <t>FSRV-D01P</t>
  </si>
  <si>
    <t>Substituição de switch FSRV-D01S da Rede Operativa da SE Rio Verde.</t>
  </si>
  <si>
    <t>0007897/2023</t>
  </si>
  <si>
    <t>FSRV-D01S</t>
  </si>
  <si>
    <t>Substituição de switch FSRV-A01P da Rede Operativa da SE Rio Verde.</t>
  </si>
  <si>
    <t>0007898/2023</t>
  </si>
  <si>
    <t>FSRV-A01P</t>
  </si>
  <si>
    <t>Substituição de switch FSRV-A01S da Rede Operativa da SE Rio Verde.</t>
  </si>
  <si>
    <t>0007899/2023</t>
  </si>
  <si>
    <t>FSRV-A01S</t>
  </si>
  <si>
    <t>Substituição de switch FSRV-A02P da Rede Operativa da SE Rio Verde.</t>
  </si>
  <si>
    <t>0007900/2023</t>
  </si>
  <si>
    <t>FSRV-A02P</t>
  </si>
  <si>
    <t>Substituição de switch FSRV-A02S da Rede Operativa da SE Rio Verde.</t>
  </si>
  <si>
    <t>0007901/2023</t>
  </si>
  <si>
    <t>FSRV-A02S</t>
  </si>
  <si>
    <t>Substituição de trafo potencial/dcp DCP - VÃO LIIMSS FASE B (nº serie: 324309, cod. mat.: 10190294).</t>
  </si>
  <si>
    <t>0001300/2022</t>
  </si>
  <si>
    <t>DCP - VÃO LIIMSS FASE B</t>
  </si>
  <si>
    <t>Substituição de seccionadora SC12720T (nº serie: 01041T, cod. mat.: 10196948).</t>
  </si>
  <si>
    <t>0001306/2022</t>
  </si>
  <si>
    <t>SC12720T</t>
  </si>
  <si>
    <t>SUBSTITUIÇÃO DO TRANSFORMADOR 138/13.8kV - 15MVA - NUMERO 1 DE COUTO MAGALHÃES - CMTF5-01</t>
  </si>
  <si>
    <t>TR 138/13,8 kV C. MAGALHAES TR1 MT</t>
  </si>
  <si>
    <t>0001343/2022</t>
  </si>
  <si>
    <t>CMTF5-01</t>
  </si>
  <si>
    <t>Substituição do Reator 230kV 30MVAr número 2 da SE Coxipó - CXRE6-02.</t>
  </si>
  <si>
    <t>LT 230 kV RONDONOPOLIS /COXIPO C-2 MT</t>
  </si>
  <si>
    <t>0001384/2022</t>
  </si>
  <si>
    <t>CXRE6-02</t>
  </si>
  <si>
    <t>Substituição do Reator 230kV 30MVAr número 1 da SE Coxipó - CXRE6-01</t>
  </si>
  <si>
    <t>0001385/2022</t>
  </si>
  <si>
    <t>ANGELIM II</t>
  </si>
  <si>
    <t>Substituição de 3 (três) Reatores monofásicos, fases A, B e C, potência 50 MVAr cada, posição operacional 05E2, da Subestação AGD.</t>
  </si>
  <si>
    <t>LT 500 kV GARANHUNS II /ANGELIM C-1 PE</t>
  </si>
  <si>
    <t>0001393/2022</t>
  </si>
  <si>
    <t>11344056</t>
  </si>
  <si>
    <t>Substituição de 3 (três) Reatores monofásicos, fases A, B e C, potência 50 MVAr cada, posição operacional 05E3, da Subestação AGD.</t>
  </si>
  <si>
    <t>0001394/2022</t>
  </si>
  <si>
    <t>11344054</t>
  </si>
  <si>
    <t>Substituição de 1 (um) Reator monofásico, potência 50 MVAr, posição operacional 05ER, da Subestação AGD.</t>
  </si>
  <si>
    <t>RTB 500 kV 50 MVAr ANGELIM II RTR1 PE</t>
  </si>
  <si>
    <t>0001418/2022</t>
  </si>
  <si>
    <t>11344055</t>
  </si>
  <si>
    <t>CAMPO GRANDE</t>
  </si>
  <si>
    <t>Substituição de Banco de Capacitores, BC1, 138 kV, 30 Mvar</t>
  </si>
  <si>
    <t>BC 138 kV 30 Mvar CAMPO GRANDE BC1 MS</t>
  </si>
  <si>
    <t>0001426/2022</t>
  </si>
  <si>
    <t>OLINDINA</t>
  </si>
  <si>
    <t>Substituição de 3 (três) Reatores monofásicos, fases A, B e C, potência 50 MVAr cada, posição operacional 05E1, da Subestação OLD.</t>
  </si>
  <si>
    <t>0001433/2022</t>
  </si>
  <si>
    <t>11344068</t>
  </si>
  <si>
    <t>Substituição de banco de autotransformadores monofásicos com comutador sob carga, TF3, 525/230 kV, 224 MVA - FASE A</t>
  </si>
  <si>
    <t>TR 525/230 kV LONDRINA ESU TR3 PR</t>
  </si>
  <si>
    <t>0001436/2022</t>
  </si>
  <si>
    <t>Substituição de 1 (um) Reator monofásico, potência 50 MVAr, posição operacional 05ER, da Subestação OLD.</t>
  </si>
  <si>
    <t>RTL 500 kV 50 Mvar OLINDINA RTR1 BA</t>
  </si>
  <si>
    <t>0001435/2022</t>
  </si>
  <si>
    <t>11344074</t>
  </si>
  <si>
    <t>Substituição de banco de autotransformadores monofásicos com comutador sob carga, TF3, 525/230 kV, 224 MVA - FASE B</t>
  </si>
  <si>
    <t>0001438/2022</t>
  </si>
  <si>
    <t>Substituição de banco de autotransformadores monofásicos com comutador sob carga, TF3, 525/230 kV, 224 MVA - FASE C</t>
  </si>
  <si>
    <t>0001439/2022</t>
  </si>
  <si>
    <t>Substituição de banco de reatores monofásicos, RE1, 525 kV, 50 Mvar - FASE A</t>
  </si>
  <si>
    <t>RT 525 kV 150 Mvar CURITIBA RT1 PR</t>
  </si>
  <si>
    <t>0001445/2022</t>
  </si>
  <si>
    <t>Substituição de banco de autotransformadores monofásicos com comutador sob carga, TF6, 525/230 kV, 224 MVA - FASE C</t>
  </si>
  <si>
    <t>TR 525/230 kV BLUMENAU TR6 SC</t>
  </si>
  <si>
    <t>0001447/2022</t>
  </si>
  <si>
    <t>TF6/C</t>
  </si>
  <si>
    <t>Substituição do SPCS da Entrada de Linha do vão 04S6 (LT 230 kV MESSIAS /MACEIO C-1) na subestação MESSIAS, por um novo sistema composto por: 02 painéis, 02 proteções (principal e alternada), 01 unidade de controle, 02 falhas de disjuntor (principal e alternado), cabos de controle e infraestrutura de comunicação associados.</t>
  </si>
  <si>
    <t>LT 230 kV MESSIAS /MACEIO C-1 AL</t>
  </si>
  <si>
    <t>0001522/2022</t>
  </si>
  <si>
    <t>11361620</t>
  </si>
  <si>
    <t>Substituição do SPCS da Entrada de Linha do vão 04S7 (LT 230 kV MESSIAS /MACEIO C-2) na subestação MESSIAS, por um novo sistema composto por: 02 painéis, 02 proteções (principal e alternada), 01 unidade de controle, 02 falhas de disjuntor (principal e alternado), cabos de controle e infraestrutura de comunicação associados.</t>
  </si>
  <si>
    <t>LT 230 kV MESSIAS /MACEIO C-2 AL</t>
  </si>
  <si>
    <t>0001524/2022</t>
  </si>
  <si>
    <t>11361622</t>
  </si>
  <si>
    <t>Substituição do SPCS associado ao Reator de Linha não-manobrável 04E1 na subestação FORTALEZA, por um novo sistema composto por: 02 painéis, 02 proteções (principal e alternada), 01 unidade de controle, cabos de controle e infraestrutura de comunicação associados.</t>
  </si>
  <si>
    <t>LT 230 kV FORTALEZA /FORTALEZA II C-3 CE</t>
  </si>
  <si>
    <t>0001526/2022</t>
  </si>
  <si>
    <t>11359689</t>
  </si>
  <si>
    <t>Substituição do SPCS associado ao Reator de Linha não-manobrável 04E3 na subestação FORTALEZA, por um novo sistema composto por: 02 painéis, 02 proteções (principal e alternada), 01 unidade de controle, cabos de controle e infraestrutura de comunicação associados.</t>
  </si>
  <si>
    <t>LT 230 kV BANABUIU /FORTALEZA C-3 CE</t>
  </si>
  <si>
    <t>0001527/2022</t>
  </si>
  <si>
    <t>11359692</t>
  </si>
  <si>
    <t>Substituição do SPCS associado ao Reator de Linha não-manobrável 04E4 na subestação FORTALEZA, por um novo sistema composto por: 02 painéis, 02 proteções (principal e alternada), 01 unidade de controle, cabos de controle e infraestrutura de comunicação associados.</t>
  </si>
  <si>
    <t>LT 230 kV FORTALEZA /FORTALEZA II C-1 CE</t>
  </si>
  <si>
    <t>0001528/2022</t>
  </si>
  <si>
    <t>11359695</t>
  </si>
  <si>
    <t>Substituição do SPCS associado ao Reator de Barra 04E5 na subestação FORTALEZA, por um novo sistema composto por: 02 painéis, 02 proteções (principal e alternada), 01 unidade de controle, cabos de controle e infraestrutura de comunicação associados.</t>
  </si>
  <si>
    <t>RTB 230 kV 10 Mvar FORTALEZA RT5 CE</t>
  </si>
  <si>
    <t>0001529/2022</t>
  </si>
  <si>
    <t>11359698</t>
  </si>
  <si>
    <t>Substituição do SPCS associado ao Banco de Capacitores em Derivação 04H1 na subestação FORTALEZA, por um novo sistema composto por: 02 painéis, 02 proteções (principal e alternada), 01 unidade de controle, cabos de controle e infraestrutura de comunicação associados.</t>
  </si>
  <si>
    <t>BC 230 kV 50,5 MVAr FORTALEZA BC1 CE</t>
  </si>
  <si>
    <t>0001530/2022</t>
  </si>
  <si>
    <t>11364877</t>
  </si>
  <si>
    <t>Substituição do SPCS associado ao vão de Entrada de Linha 04Z4 (LT 230 kV FORTALEZA/FORTALEZA II C-1) na subestação FORTALEZA, por um novo sistema composto por: 02 painéis, 02 proteções (principal e alternada), 01 unidade de controle, cabos de controle e infraestrutura de comunicação associados.</t>
  </si>
  <si>
    <t>0001532/2022</t>
  </si>
  <si>
    <t>11366651</t>
  </si>
  <si>
    <t>Substituição do SPCS associado ao vão de Entrada de Linha 04Z5 (LT 230 kV FORTALEZA/FORTALEZA II C-2) na subestação FORTALEZA, por um novo sistema composto por: 02 painéis, 02 proteções (principal e alternada), 01 unidade de controle, cabos de controle e infraestrutura de comunicação associados.</t>
  </si>
  <si>
    <t>LT 230 kV FORTALEZA /FORTALEZA II C-2 CE</t>
  </si>
  <si>
    <t>0001533/2022</t>
  </si>
  <si>
    <t>11366778</t>
  </si>
  <si>
    <t>Substituição do SPCS associado ao vão de Entrada de Linha 04Z6 (LT 230 kV FORTALEZA/FORTALEZA II C-3) na subestação FORTALEZA, por um novo sistema composto por: 02 painéis, 02 proteções (principal e alternada), 01 unidade de controle, cabos de controle e infraestrutura de comunicação associados.</t>
  </si>
  <si>
    <t>0001534/2022</t>
  </si>
  <si>
    <t>11364971</t>
  </si>
  <si>
    <t>Substituição do SPCS da Entrada de Linha 11V4 13,8 kV na subestação FORTALEZA, por um novo sistema composto por: 01 painel, 01 proteção unitária, 01 proteção de retaguarda, 01 unidade de proteção e controle, cabos de controle e infraestrutura de comunicação associados.</t>
  </si>
  <si>
    <t>0001535/2022</t>
  </si>
  <si>
    <t>11360390</t>
  </si>
  <si>
    <t>Substituição do SPCS da Entrada de Linha 11V3 13,8 kV na subestação FORTALEZA, por um novo sistema composto por: 01 painel, 01 proteção unitária, 01 proteção de retaguarda, 01 unidade de proteção e controle, cabos de controle e infraestrutura de comunicação associados.</t>
  </si>
  <si>
    <t>0001536/2022</t>
  </si>
  <si>
    <t>Substituição do SPCS para o IB 14D1 na subestação FORTALEZA, composto por: 01 painel, 01 unidade de controle e cabos de controle e infraestrutura de comunicação associados.</t>
  </si>
  <si>
    <t>0001539/2022</t>
  </si>
  <si>
    <t>11363998</t>
  </si>
  <si>
    <t>Substituição do SPCS associado ao vão da Entrada de Linha 04F3 (LT 230 kV AQUIRAZ II/FORTALEZA C-1) na subestação FORTALEZA, por um novo sistema composto por: 02 painéis, 01 unidade de controle, cabos de controle e infraestrutura de comunicação associados.</t>
  </si>
  <si>
    <t>LT 230 kV AQUIRAZ II /FORTALEZA C-1 CE</t>
  </si>
  <si>
    <t>0001540/2022</t>
  </si>
  <si>
    <t>11350991</t>
  </si>
  <si>
    <t>Substituição do SPCS da Entrada de Linha do vão 04S6 (LT 230 kV MESSIAS /MACEIO C-1) na subestação MACEIO, por um novo sistema composto por: 02 painéis, 02 proteções (principal e alternada), 01 unidade de controle, 02 falhas de disjuntor (principal e alternado), cabos de controle e infraestrutura de comunicação associados.</t>
  </si>
  <si>
    <t>0001541/2022</t>
  </si>
  <si>
    <t>11364292</t>
  </si>
  <si>
    <t>Substituição do SPCS da Entrada de Linha do vão 04S7 (LT 230 kV MESSIAS /MACEIO C-2) na subestação MACEIO, por um novo sistema composto por: 02 painéis, 02 proteções (principal e alternada), 01 unidade de controle, 02 falhas de disjuntor (principal e alternado), cabos de controle e infraestrutura de comunicação associados.</t>
  </si>
  <si>
    <t>0001542/2022</t>
  </si>
  <si>
    <t>11364290</t>
  </si>
  <si>
    <t>Substituição do SPCS do Transformador 04T1 na subestação MACEIO, por um novo sistema composto por: 02 painéis, 02 proteções (principal e alternada), 02 unidades de controle, 02 falhas de disjuntor (principal e alternado), cabos de controle e infraestrutura de comunicação associados.</t>
  </si>
  <si>
    <t>TR 230/69 kV MACEIO TR1 AL</t>
  </si>
  <si>
    <t>0001543/2022</t>
  </si>
  <si>
    <t>11364764</t>
  </si>
  <si>
    <t>Substituição do SPCS do Transformador 04T2 na subestação MACEIO, por um novo sistema composto por: 02 painéis, 02 proteções (principal e alternada), 02 unidades de controle, 02 falhas de disjuntor (principal e alternado), cabos de controle e infraestrutura de comunicação associados.</t>
  </si>
  <si>
    <t>0001544/2022</t>
  </si>
  <si>
    <t>11364765</t>
  </si>
  <si>
    <t>Substituição do SPCS do Transformador 04T3 na subestação MACEIO, por um novo sistema composto por: 02 painéis, 02 proteções (principal, alternada), 02 unidade de controle, 02 falhas de disjuntor (principal e alternado), cabos de controle e infraestrutura de comunicação associados.</t>
  </si>
  <si>
    <t>0001545/2022</t>
  </si>
  <si>
    <t>11364769</t>
  </si>
  <si>
    <t>Substituição do SPCS do Transformador 04T4 na subestação MACEIO, por um novo sistema composto por: 02 painéis, 02 proteções (principal e alternada), 02 unidades de controle, 02 falhas de disjuntor (principal e alternado), cabos de controle e infraestrutura de comunicação associados.</t>
  </si>
  <si>
    <t>0001546/2022</t>
  </si>
  <si>
    <t>11361386</t>
  </si>
  <si>
    <t>Substituição do SPCS do Disjuntor de Interligação de Barramento 14D1 na subestação MACEIO, por um novo sistema composto por: 01 painél, 01 unidade de controle, 02 falhas de disjuntor (principal e alternado) e cabos de controle associados ao módulo de interligação de barras (14D1).</t>
  </si>
  <si>
    <t>0001547/2022</t>
  </si>
  <si>
    <t>11361246</t>
  </si>
  <si>
    <t>Instalação de Sistema Supervisório SAGE na subestação MACEIO, composto por: 01 painel, 04 servidores, 01 conjunto de switches, 02 firewalls, 02 GPS, 01 mesa de comando, 06 monitores e infraestrutura óptica associada.</t>
  </si>
  <si>
    <t>0001549/2022</t>
  </si>
  <si>
    <t>Substituição do SPCS dos Serviços Auxiliares na subestação MACEIO, por um novo sistema composto por: 01 painel, 02 unidades de controle, cabos de controle e infraestrutura de comunicação associados.</t>
  </si>
  <si>
    <t>0001550/2022</t>
  </si>
  <si>
    <t>11446770</t>
  </si>
  <si>
    <t>SANTO ANGELO</t>
  </si>
  <si>
    <t>RT 525 kV 150 Mvar SANTO ANGELO RT1 RS</t>
  </si>
  <si>
    <t>0001552/2022</t>
  </si>
  <si>
    <t>Substituição de banco de reatores monofásicos, RE1, 525 kV, 50 Mvar - FASE B</t>
  </si>
  <si>
    <t>0001553/2022</t>
  </si>
  <si>
    <t>Substituição de banco de reatores monofásicos, RE1, 525 kV, 50 Mvar - FASE C</t>
  </si>
  <si>
    <t>0001554/2022</t>
  </si>
  <si>
    <t>TERESINA</t>
  </si>
  <si>
    <t>Substituição do SPCS da Entrada de Linha do vão 04L3 230 kV (LT 230 kV TERESINA II /TERESINA C-1) na subestação TERESINA, por um novo sistema composto por: 02 painéis, 02 proteções (principal e alternada), 01 unidade de controle, 02 falhas de disjuntor (principal e alternada), cabos de controle e infraestrutura de comunicação associados</t>
  </si>
  <si>
    <t>LT 230 kV TERESINA II /TERESINA C-1 PI</t>
  </si>
  <si>
    <t>0001584/2022</t>
  </si>
  <si>
    <t>11361634</t>
  </si>
  <si>
    <t>Substituição do SPCS da Entrada de Linha do vão 04L4 230 kV (LT 230 kV TERESINA II /TERESINA C-2) na subestação TERESINA, por um novo sistema composto por: 02 painéis, 02 proteções (principal e alternada), 01 unidade de controle, 02 falhas de disjuntor (principal e alternada), cabos de controle e infraestrutura de comunicação associados.</t>
  </si>
  <si>
    <t>LT 230 kV TERESINA II /TERESINA C-2 PI</t>
  </si>
  <si>
    <t>0001585/2022</t>
  </si>
  <si>
    <t>11361636</t>
  </si>
  <si>
    <t>Substituição do SPCS do Transformador 05T2 na subestação TERESINA II, por um novo sistema composto por: 02 painéis, 02 proteções (principal e alternada), 02 unidades de controle, 01 falha de disjuntor (principal) 500 kV, 02 falhas de disjuntor (principal e alternada) 230 kV, 01 unidade de bay de proteção de barras 500 kV (principal), cabos de controle e infraestrutura de comunicação associados.</t>
  </si>
  <si>
    <t>TR 500/230 kV TERESINA II TR2 PI</t>
  </si>
  <si>
    <t>0001586/2022</t>
  </si>
  <si>
    <t>11366927</t>
  </si>
  <si>
    <t>Substituição do SPCS associado ao vão da Entrada de Linha 04L3 (LT 230 kV TERESINA II /TERESINA C-1) na subestação TERESINA II, por um novo sistema composto por: 02 painéis, 02 proteções (principal e alternada), 01 unidade de controle, 02 falhas de disjuntor (principal e alternada), cabos de controle e infraestrutura de comunicação associados.</t>
  </si>
  <si>
    <t>0001587/2022</t>
  </si>
  <si>
    <t>11361644</t>
  </si>
  <si>
    <t>Substituição do SPCS associado ao vão da Entrada de Linha 04L4 (LT 230 kV TERESINA II /TERESINA C-2) na subestação TERESINA II, por um novo sistema composto por: 02 painéis, 02 proteções (principal e alternada), 01 unidade de controle, 02 falhas de disjuntor (principal e alternada), cabos de controle e infraestrutura de comunicação associados.</t>
  </si>
  <si>
    <t>0001588/2022</t>
  </si>
  <si>
    <t>11361642</t>
  </si>
  <si>
    <t>Substituição do SPCS do Disjuntor de Interligação de Barras 14D1 na subestação TERESINA II, por um novo sistema composto por: 01 painel, 01 unidade de controle e cabos de controle associados ao módulo de interligação de barras.</t>
  </si>
  <si>
    <t>MG TERESINA II / CCO-2001-061 - RB</t>
  </si>
  <si>
    <t>0001589/2022</t>
  </si>
  <si>
    <t>11366465</t>
  </si>
  <si>
    <t>Substituição do SPCS principal das Barras de 500kV na subestação TERESINA II, por um novo sistema composto por: 01 painel, 01 unidade central de proteção de barras principal, do tipo adaptativa e distribuída, com capacidade para atender, no mínimo, 10 vãos, cabos de controle e infraestrutura de comunicação associados.</t>
  </si>
  <si>
    <t>0001590/2022</t>
  </si>
  <si>
    <t>11366972</t>
  </si>
  <si>
    <t>Substituição do SPCS associado ao vão da Entrada de Linha 05C8 (LT 500 kV TERESINA II /P.DUTRA C-1) na subestação TERESINA II, por um novo sistema composto por: 02 painéis, 02 proteções (principal e alternada), 01 unidade de controle, 01 falha de disjuntor (principal), 01 unidade de bay de proteção de barra (principal), cabos de controle e infraestrutura de comunicação associados.</t>
  </si>
  <si>
    <t>0001591/2022</t>
  </si>
  <si>
    <t>11361638</t>
  </si>
  <si>
    <t>Substituição do SPCS associado ao vão da Entrada de Linha 05C9 (LT 500 kV TERESINA II /P.DUTRA C-2) na subestação TERESINA II, por um novo sistema composto por: 02 painéis, 02 proteções (principal e alternada), 01 unidade de controle, 01 falha de disjuntor (principal), 01 unidade de bay de proteção de barra (principal), cabos de controle e infraestrutura de comunicação associados.</t>
  </si>
  <si>
    <t>0001593/2022</t>
  </si>
  <si>
    <t>11361640</t>
  </si>
  <si>
    <t>Substituição do SPCS do Reator de Linha não-manobrável 05E1 na subestação TERESINA II, por um novo sistema composto por: 02 painéis, 02 proteções (principal e alternada), 01 unidade de controle cabos de controle e infraestrutura de comunicação associados.</t>
  </si>
  <si>
    <t>0001594/2022</t>
  </si>
  <si>
    <t>11366488</t>
  </si>
  <si>
    <t>Substituição do SPCS do Reator de Linha não-manobrável 05E2 na subestação TERESINA II, por um novo sistema composto por: 02 painéis, 02 proteções (principal e alternada), 01 unidade de controle cabos de controle e infraestrutura de comunicação associados.</t>
  </si>
  <si>
    <t>0001595/2022</t>
  </si>
  <si>
    <t>11366489</t>
  </si>
  <si>
    <t>Substituição do SPCS do Reator de Linha não-manobrável 05E3 na subestação TERESINA II, por um novo sistema composto por: 02 painéis, 02 proteções (principal e alternada), 01 unidade de controle cabos de controle e infraestrutura de comunicação associados.</t>
  </si>
  <si>
    <t>LT 500 kV TERESINA II /TIANGUA II C-1 PI/CE</t>
  </si>
  <si>
    <t>0001597/2022</t>
  </si>
  <si>
    <t>11366490</t>
  </si>
  <si>
    <t>Substituição do SPCS do Reator de Linha manobrável 05E4 na subestação TERESINA II, por um novo sistema composto por: 02 painéis, 02 proteções (principal e alternada), 01 unidade de controle, 01 falha de disjuntor (principal), cabos de controle e infraestrutura de comunicação associados.</t>
  </si>
  <si>
    <t>RTL 500 kV 150 Mvar TERESINA II RT4 PI</t>
  </si>
  <si>
    <t>0001598/2022</t>
  </si>
  <si>
    <t>11366481</t>
  </si>
  <si>
    <t>Substituição do SPCS do Reator de Barra 05E5 na subestação TERESINA II, por um novo sistema composto por: 02 painéis, 02 proteções (principal e alternada), 01 unidade de controle, 01 falha de disjuntor (principal), 01 unidade de bay de proteção de barra (principal), cabos de controle e infraestrutura de comunicação associados.</t>
  </si>
  <si>
    <t>RTB 500 kV 100 Mvar TERESINA II RT5 PI</t>
  </si>
  <si>
    <t>0001600/2022</t>
  </si>
  <si>
    <t>11361401</t>
  </si>
  <si>
    <t>Substituição do SPCS associado ao vão da Entrada de Linha 05V9 (LT 500 kV TERESINA II /TIANGUA II C-1) na subestação TERESINA II, por um novo sistema composto por: 02 painéis, 02 proteções (principal e alternada), 01 unidade de controle, 01 falha de disjuntor (principal), 01 unidade de bay de proteção de barra (principal), cabos de controle e infraestrutura de comunicação associados.</t>
  </si>
  <si>
    <t>LT 500 kV TERESINA II / TIANGUA II C 1 PI/CE</t>
  </si>
  <si>
    <t>0001601/2022</t>
  </si>
  <si>
    <t>11361646</t>
  </si>
  <si>
    <t>Substituição do SPCS do Disjuntor de Interligação de Barras 15D1 na subestação TERESINA II, por um novo sistema composto por: 01 painel, 01 unidade de controle, 01 falha de disjuntor (principal) e cabos de controle associados ao módulo de interligação de barras (15D1).</t>
  </si>
  <si>
    <t>0001603/2022</t>
  </si>
  <si>
    <t>11366487</t>
  </si>
  <si>
    <t>Substituição do SPCS do Disjuntor de Interligação de Barras 15D2 na subestação TERESINA II, por um novo sistema composto por: 01 painel, 01 unidade de controle, 01 falha de disjuntor (principal) e cabos de controle associados ao módulo de interligação de barras (15D2).</t>
  </si>
  <si>
    <t>0001604/2022</t>
  </si>
  <si>
    <t>11366981</t>
  </si>
  <si>
    <t>Substituição do SPCS do Disjuntor de Interligação de Barras 15D3 na subestação TERESINA II, por um novo sistema composto por: 01 painel, 01 unidade de controle, 01 falha de disjuntor (principal) e cabos de controle associados ao módulo de interligação de barras (15D3).</t>
  </si>
  <si>
    <t>0001606/2022</t>
  </si>
  <si>
    <t>11366492</t>
  </si>
  <si>
    <t>Substituição do SPCS do Transformador 05T1 na subestação TERESINA II, por um novo sistema composto por: 02 painéis, 02 proteções (principal e alternada), 02 unidades de controle, 01 falha de disjuntor (principal) 500 kV, 02 falhas de disjuntor (principal e alternada) 230 kV, 01 unidade de bay de proteção de barras 500 kV (principal), cabos de controle e infraestrutura de comunicação associados.</t>
  </si>
  <si>
    <t>TR 500/230 kV TERESINA II TR1 PI</t>
  </si>
  <si>
    <t>0001612/2022</t>
  </si>
  <si>
    <t>11366929</t>
  </si>
  <si>
    <t>Substituição do SPCS dos Serviços Auxiliares na subestação TERESINA II, composto por: 01 painel, 02 unidades de controle, cabos de controle e infraestrutura de comunicação associados</t>
  </si>
  <si>
    <t>0001613/2022</t>
  </si>
  <si>
    <t>12439341</t>
  </si>
  <si>
    <t>Substituição de disjuntor DJ9026 (nº serie: SP10154, cod. mat.: 10190624).</t>
  </si>
  <si>
    <t>0001626/2022</t>
  </si>
  <si>
    <t>DJ9026</t>
  </si>
  <si>
    <t>Substituição de disjuntor DJ9036 (nº serie: SP10153, cod. mat.: 10190627).</t>
  </si>
  <si>
    <t>0001631/2022</t>
  </si>
  <si>
    <t>DJ9036</t>
  </si>
  <si>
    <t>Substituição do SPCS do Transformador 05T1 na subestação FORTALEZA II, por um novo sistema composto por: 02 painéis, 02 proteções (principal e alternada), 02 unidade de controle, 01 falha de disjuntor (principal), 01 unidade de bay de proteção de barra (principal), cabos de controle e infraestrutura de comunicação associados.</t>
  </si>
  <si>
    <t>0001665/2022</t>
  </si>
  <si>
    <t>11366574</t>
  </si>
  <si>
    <t>Substituição do SPCS do Transformador 05T2 na subestação FORTALEZA II, por um novo sistema composto por: 02 painéis, 02 proteções (principal e alternada), 02 unidade de controle, 01 falha de disjuntor (principal), 01 unidade de bay de proteção de barra (principal) cabos de controle e infraestrutura de comunicação associados.</t>
  </si>
  <si>
    <t>TR 500/230 kV FORTALEZA II TR2 CE</t>
  </si>
  <si>
    <t>0001666/2022</t>
  </si>
  <si>
    <t>11366567</t>
  </si>
  <si>
    <t>Substituição do SPCS do Transformador 05T3 na subestação FORTALEZA II, por um novo sistema composto por: 02 painéis, 02 proteções (principal e alternada), 02 unidade de controle, 01 falha de disjuntor (principal), 01 unidade de bay de proteção de barra (principal) cabos de controle e infraestrutura de comunicação associados.</t>
  </si>
  <si>
    <t>TR 500/230 kV FORTALEZA II TR3 CE</t>
  </si>
  <si>
    <t>0001667/2022</t>
  </si>
  <si>
    <t>11361102</t>
  </si>
  <si>
    <t>Substituição do SPCS associado ao vão da Entrada de Linha 04F4 (LT 230 kV DELM. GOUVEIA /FORTALEZA II C-1) na subestação FORTALEZA II, por um novo sistema composto por: 02 painéis, 02 proteções (principal e alternada), 01 unidade de controle, cabos de controle e infraestrutura de comunicação associados.</t>
  </si>
  <si>
    <t>LT 230 kV DELM. GOUVEIA /FORTALEZA II C-1 CE</t>
  </si>
  <si>
    <t>0001669/2022</t>
  </si>
  <si>
    <t>11364964</t>
  </si>
  <si>
    <t>Substituição do SPCS associado ao vão da Entrada de Linha 04F5 (LT 230 kV DELM. GOUVEIA /FORTALEZA II C-2) na subestação FORTALEZA II, por um novo sistema composto por: 02 painéis, 02 proteções (principal e alternada), 01 unidade de controle, cabos de controle e infraestrutura de comunicação associados.</t>
  </si>
  <si>
    <t>LT 230 kV DELM. GOUVEIA /FORTALEZA II C-2 CE</t>
  </si>
  <si>
    <t>0001670/2022</t>
  </si>
  <si>
    <t>11364966</t>
  </si>
  <si>
    <t>Substituição do SPCS associado ao vão da Entrada de Linha 04S1 (LT 230 kV CAUIPE /FORTALEZA II C-3) na subestação FORTALEZA II, por um novo sistema composto por: 02 painéis, 02 proteções (principal e alternada), 01 unidade de controle, cabos de controle e infraestrutura de comunicação associados.</t>
  </si>
  <si>
    <t>LT 230 kV CAUIPE /FORTALEZA II C-1 CE</t>
  </si>
  <si>
    <t>0001672/2022</t>
  </si>
  <si>
    <t>11364295</t>
  </si>
  <si>
    <t>Substituição do SPCS associado ao vão da Entrada de Linha 04Z2 (LT 230 kV FORTALEZA II /PICI II C-1) na subestação FORTALEZA II, por um novo sistema composto por: 02 painéis, 02 proteções (principal e alternada), 01 unidade de controle, cabos de controle e infraestrutura de comunicação associados.</t>
  </si>
  <si>
    <t>LT 230 kV FORTALEZA II /PICI II C-1 CE</t>
  </si>
  <si>
    <t>0001676/2022</t>
  </si>
  <si>
    <t>11364300</t>
  </si>
  <si>
    <t>Substituição do SPCS associado ao vão da Entrada de Linha 04Z3 (LT 230 kV FORTALEZA II /PICI II C-2) na subestação FORTALEZA II, por um novo sistema composto por: 02 painéis, 02 proteções (principal e alternada), 01 unidade de controle, cabos de controle e infraestrutura de comunicação associados.</t>
  </si>
  <si>
    <t>LT 230 kV FORTALEZA II /PICI II C-2 CE</t>
  </si>
  <si>
    <t>0001677/2022</t>
  </si>
  <si>
    <t>11364301</t>
  </si>
  <si>
    <t>Substituição de Chave Seccionadora tripolar 230 kV, CS741, referente ao Interligador de Barras (IB742) da SE Curitiba. Associado à obra são esperadas substituições/adaptações de fundações, suportes, cabos de controle/potência, barramento, conectores e conexão de aterramento. Capacidade de curto-circuito do novo equipamento: 63 kA. Corrente Suportável de Crista do novo equipamento: 157,5 kA.</t>
  </si>
  <si>
    <t>0001855/2022</t>
  </si>
  <si>
    <t>CS741</t>
  </si>
  <si>
    <t>Substituição do SPCS do Disjuntor de Interligação de Barras 14D1 na subestação FORTALEZA II, por um novo sistema composto por: 01 painel, 01 unidade de controle, cabos de controle e infraestrutura de comunicação associados ao módulo de interligação de barras (14D1).</t>
  </si>
  <si>
    <t>MG FORTALEZA II / CCO-2001-061 - RB</t>
  </si>
  <si>
    <t>0001692/2022</t>
  </si>
  <si>
    <t>11366305</t>
  </si>
  <si>
    <t>Substituição do SPCS principal das Barras de 500 kV na subestação FORTALEZA II, por um novo sistema composto por: 01 painel, 01 unidade central de proteção de barras principal, do tipo adaptativa e distribuída, com capacidade para atender, no mínimo, 13 vãos e infraestrutura de comunicação associada.</t>
  </si>
  <si>
    <t>0001697/2022</t>
  </si>
  <si>
    <t>11366593</t>
  </si>
  <si>
    <t>Substituição do SPCS da Interligação de Barras 15D1 na subestação FORTALEZA II, por um novo sistema composto por: 01 painel, 01 unidade de controle, 01 unidade de falha de disjuntor (principal), cabos de controle e infraestrutura de comunicação associados ao módulo de interligação de barras (15D1).</t>
  </si>
  <si>
    <t>0001716/2022</t>
  </si>
  <si>
    <t>11364694</t>
  </si>
  <si>
    <t>QUIXADA</t>
  </si>
  <si>
    <t>Substituição do SPCS associado ao vão da Entrada de Linha 05V5 (LT 500 kV QUIXADA /FORTALEZA II C-1) na subestação QUIXADA, por um novo sistema composto por: 02 painéis, 02 proteções (principal e alternada), 01 unidade de controle, 02 falhas de disjuntor (principal e alternado), cabos de controle e infraestrutura de comunicação associados.</t>
  </si>
  <si>
    <t>LT 500 kV QUIXADA /FORTALEZA II C-1 CE</t>
  </si>
  <si>
    <t>0001745/2022</t>
  </si>
  <si>
    <t>11366838</t>
  </si>
  <si>
    <t>Substituição do SPCS associado ao vão da Entrada de Linha 04S3 (LT 230 kV CAUIPE /FORTALEZA II C-1) na subestação FORTALEZA II, por um novo sistema composto por: 02 painéis, 02 proteções (principal e alternada), 01 unidade de controle, cabos de controle e infraestrutura de comunicação associados.</t>
  </si>
  <si>
    <t>0001749/2022</t>
  </si>
  <si>
    <t>11364302</t>
  </si>
  <si>
    <t>Substituição do SPCS associado ao vão da Entrada de Linha 04Z4 (LT 230 kV FORTALEZA /FORTALEZA II C-1) na subestação FORTALEZA II, por um novo sistema composto por: 02 painéis, 02 proteções (principal e alternada), 01 unidade de controle, cabos de controle e infraestrutura de comunicação associados.</t>
  </si>
  <si>
    <t>0001750/2022</t>
  </si>
  <si>
    <t>11366304</t>
  </si>
  <si>
    <t>Substituição do SPCS associado ao vão da Entrada de Linha 04Z5 (LT 230 kV FORTALEZA /FORTALEZA II C-2) na subestação FORTALEZA II, por um novo sistema composto por: 02 painéis, 02 proteções (principal e alternada), 01 unidade de controle, cabos de controle e infraestrutura de comunicação associados.</t>
  </si>
  <si>
    <t>0001751/2022</t>
  </si>
  <si>
    <t>11366303</t>
  </si>
  <si>
    <t>Substituição do SPCS associado ao vão da Entrada de Linha 04Z6 (LT 230 kV FORTALEZA /FORTALEZA II C-3) na subestação FORTALEZA II, por um novo sistema composto por: 02 painéis, 02 proteções (principal e alternada), 01 unidade de controle, cabos de controle e infraestrutura de comunicação associados.</t>
  </si>
  <si>
    <t>0001753/2022</t>
  </si>
  <si>
    <t>11364969</t>
  </si>
  <si>
    <t>Substituição do SPCS associado ao vão da Entrada de Linha 05C2 (LT 500 kV PECEM II /FORTALEZA II C-1) na subestação FORTALEZA II, por um novo sistema composto por: 02 painéis, 02 proteções (principal e alternada), 01 unidade de controle, 01 falha de disjuntor (principal), 01 unidade de bay de proteção de barra (principal), cabos de controle e infraestrutura de comunicação associados.</t>
  </si>
  <si>
    <t>LT 500 kV PECEM II /FORTALEZA II C-1 CE</t>
  </si>
  <si>
    <t>0001755/2022</t>
  </si>
  <si>
    <t>11364298</t>
  </si>
  <si>
    <t>Substituição do SPCS do Reator de Barra do vão 05E4 na subestação FORTALEZA II, por um novo sistema composto por: 02 painéis, 02 proteções (principal e alternada), 01 unidade de controle, 01 falha de disjuntor (principal), 01 unidade de bay de proteção de barra (principal) cabos de controle e infraestrutura de comunicação associados.</t>
  </si>
  <si>
    <t>RTB 500 kV 150 Mvar FORTALEZA II RT4 CE</t>
  </si>
  <si>
    <t>0001757/2022</t>
  </si>
  <si>
    <t>11366757</t>
  </si>
  <si>
    <t>Substituição do SPCS associado ao vão da Entrada de Linha 05V5 (LT 500 kV QUIXADA /FORTALEZA II C-1) na subestação FORTALEZA II, por um novo sistema composto por: 02 painéis, 02 proteções (principal e alternada), 01 unidade de controle, 01 falha de disjuntor (principal), 01 unidade de bay de proteção de barra (principal), cabos de controle e infraestrutura de comunicação associados.</t>
  </si>
  <si>
    <t>0001758/2022</t>
  </si>
  <si>
    <t>11364296</t>
  </si>
  <si>
    <t>Substituição do SPCS da Interligação de Barras 15D2 na subestação FORTALEZA II, por um novo sistema composto por: 01 painel, 01 unidade de controle, 01 unidade de falha de disjuntor (principal), cabos de controle e infraestrutura de comunicação associados ao módulo de interligação de barras (15D2).</t>
  </si>
  <si>
    <t>0001760/2022</t>
  </si>
  <si>
    <t>11364695</t>
  </si>
  <si>
    <t>Substituição do SPCS da Interligação de Barras 15D4 na subestação FORTALEZA II, por um novo sistema composto por: 01 painel, 01 unidade de controle, 01 unidade de falha de disjuntor (principal), cabos de controle e infraestrutura de comunicação associados ao módulo de interligação de barras (15D4).</t>
  </si>
  <si>
    <t>0001763/2022</t>
  </si>
  <si>
    <t>11366756</t>
  </si>
  <si>
    <t>Substituição do SPCS dos Serviços Auxiliares na subestação FORTALEZA II, por um novo sistema composto por: 01 painel, 02 unidades de controle cabos de controle e infraestrutura de comunicação associados.</t>
  </si>
  <si>
    <t>0001766/2022</t>
  </si>
  <si>
    <t>11449592</t>
  </si>
  <si>
    <t>PECEM II</t>
  </si>
  <si>
    <t>Substituição do SPCS associado ao vão da Entrada de Linha 05C2 (LT 500 kV PECEM II /FORTALEZA II C-1) na subestação PECEM II, por um novo sistema composto por: 02 painéis, 02 proteções (principal e alternada), 01 unidade de controle, 02 falhas de disjuntor (principal e alternado), cabos de controle e infraestrutura de comunicação associados.</t>
  </si>
  <si>
    <t>0001771/2022</t>
  </si>
  <si>
    <t>11366827</t>
  </si>
  <si>
    <t>CAUIPE</t>
  </si>
  <si>
    <t>Substituição do SPCS associado ao vão da Entrada de Linha 04S3 (LT 230 kV CAUIPE /FORTALEZA II C-1) na subestação CAUIPE, por um novo sistema composto por: 02 painéis, 02 proteções (principal e alternada), 02 unidades de falha de disjuntor (principal e alternada), 01 unidade de controle, cabos de controle e infraestrutura de comunicação associados</t>
  </si>
  <si>
    <t>0001775/2022</t>
  </si>
  <si>
    <t>11361632</t>
  </si>
  <si>
    <t>Substituição do SPCS associado ao vão da Entrada de Linha 04S1 (LT 230 kV CAUIPE /FORTALEZA II C-3) na subestação CAUIPE, por um novo sistema composto por: 02 painéis, 02 proteções (principal e alternada), 02 unidades de falha de disjuntor (principal e alternada), 01 unidade de controle, cabos de controle e infraestrutura de comunicação associados.</t>
  </si>
  <si>
    <t>0001776/2022</t>
  </si>
  <si>
    <t>11361628</t>
  </si>
  <si>
    <t>Substituição do SPCS associado ao vão da Entrada de Linha 04F4 (LT 230 kV DELM. GOUVEIA /FORTALEZA II C-1) na subestação DELM. GOUVEIA, por um novo sistema composto por: 02 painéis, 02 proteções (principal e alternada), 02 unidades de falha de disjuntor (principal e alternada), 01 unidade de controle, cabos de controle e infraestrutura de comunicação associados</t>
  </si>
  <si>
    <t>0001779/2022</t>
  </si>
  <si>
    <t>11364980</t>
  </si>
  <si>
    <t>Substituição do SPCS associado ao vão da Entrada de Linha 04F5 (LT 230 kV DELM. GOUVEIA /FORTALEZA II C-2) na subestação DELM. GOUVEIA, por um novo sistema composto por: 02 painéis, 02 proteções (principal e alternada), 02 unidades de falha de disjuntor (principal e alternada), 01 unidade de controle, cabos de controle e infraestrutura de comunicação associados</t>
  </si>
  <si>
    <t>0001781/2022</t>
  </si>
  <si>
    <t>11364986</t>
  </si>
  <si>
    <t>PICI II</t>
  </si>
  <si>
    <t>Substituição do SPCS associado ao vão da Entrada de Linha 04Z2 (LT 230 kV FORTALEZA II /PICI II C-1) na subestação PICI II, por um novo sistema composto por: 02 painéis, 02 proteções (principal e alternada), 02 unidades de falha de disjuntor (principal e alternada), 01 unidade de controle, cabos de controle e infraestrutura de comunicação associados</t>
  </si>
  <si>
    <t>0001783/2022</t>
  </si>
  <si>
    <t>11366880</t>
  </si>
  <si>
    <t>Substituição do SPCS associado ao vão da Entrada de Linha 04Z3 (LT 230 kV FORTALEZA II /PICI II C-2) na subestação PICI II, por um novo sistema composto por: 02 painéis, 02 proteções (principal e alternada), 02 unidades de falha de disjuntor (principal e alternada), 01 unidade de controle, cabos de controle e infraestrutura de comunicação associados</t>
  </si>
  <si>
    <t>0001785/2022</t>
  </si>
  <si>
    <t>11364304</t>
  </si>
  <si>
    <t>Substituição de 1 (um) Transformador de Aterramento trifásico 41,2 ohms/fase, potência 10 MVA, por outro de potência 15 MVA e impedância não superior a 10 ohms/fase, posição operacional 02A1, na Subestação PRD.</t>
  </si>
  <si>
    <t>TT 69/13,8 kV PIRAPAMA II TA1 PE (02A1)</t>
  </si>
  <si>
    <t>0001816/2022</t>
  </si>
  <si>
    <t>11344308</t>
  </si>
  <si>
    <t>X0/X1</t>
  </si>
  <si>
    <t>Substituição de 1 (um) Transformador de Aterramento trifásico 65,2 ohms/fase, potência 6,8 MVA, por outro de potência 7,5 MVA e impedância não superior a 20 ohms/fase, posição operacional 02A1, na Subestação CTU.</t>
  </si>
  <si>
    <t>TT 69/13,8 kV CATU TA1 BA (02A1)</t>
  </si>
  <si>
    <t>0001817/2022</t>
  </si>
  <si>
    <t>11344326</t>
  </si>
  <si>
    <t>RUSSAS II</t>
  </si>
  <si>
    <t>Substituição de 1 (um) Transformador de Aterramento trifásico 290 ohms/fase, potência 1,39 MVA, por outro de potência 7,5 MVA e impedância não superior a 20 ohms/fase, posição operacional 02A1, na Subestação RSD.</t>
  </si>
  <si>
    <t>TT 69/13,8 kV RUSSAS II TA1 CE (02A1)</t>
  </si>
  <si>
    <t>0001818/2022</t>
  </si>
  <si>
    <t>11344320</t>
  </si>
  <si>
    <t>Substituição de Chave Seccionadora tripolar 525 kV, CS1009, referente ao módulo de conexão do Reator 1 da LT Ivaiporã - Cascavel Oeste C-1. Associado à obra são esperadas substituições/adaptações de fundações, suportes, cabos de controle/potência, barramento, conectores e conexão de aterramento. Capacidade de curto-circuito do novo equipamento: 63 kA. Corrente Suportável de Crista do novo equipamento: 157,5 kA.</t>
  </si>
  <si>
    <t>LT 525 kV IVAIPORA / CASCAVEL OESTE C-1 PR</t>
  </si>
  <si>
    <t>0001864/2022</t>
  </si>
  <si>
    <t>CS1009</t>
  </si>
  <si>
    <t>JOINVILLE</t>
  </si>
  <si>
    <t>Substituição de Chave Seccionadora tripolar 69 kV, CS353, referente a LT Joinville - Joinville 1 C-2. Associado à obra são esperadas substituições/adaptações de fundações, suportes, cabos de controle/potência, barramento, conectores e conexão de aterramento. Capacidade de curto-circuito do novo equipamento: 31,5 kA. Corrente Suportável de Crista do novo equipamento: 78,8 kA.</t>
  </si>
  <si>
    <t>LT 69 kV JOINVILLE / JOINVILLE 1 C-2 SC</t>
  </si>
  <si>
    <t>0001873/2022</t>
  </si>
  <si>
    <t>CS353</t>
  </si>
  <si>
    <t>Substituição de Chave Seccionadora tripolar 138 kV, CS531, referente a LT Joinville - Joinville 4 C-2. Associado à obra são esperadas substituições/adaptações de fundações, suportes, cabos de controle/potência, barramento, conectores e conexão de aterramento. Capacidade de curto-circuito do novo equipamento: 40 kA. Corrente Suportável de Crista do novo equipamento: 100 kA.</t>
  </si>
  <si>
    <t>LT 138 kV JOINVILLE / JOINVILLE 4 C-2 SC</t>
  </si>
  <si>
    <t>0001875/2022</t>
  </si>
  <si>
    <t>CS531</t>
  </si>
  <si>
    <t>Substituição de Chave Seccionadora tripolar 138 kV, CS533, referente a LT Joinville - Joinville 4 C-2. Associado à obra são esperadas substituições/adaptações de fundações, suportes, cabos de controle/potência, barramento, conectores e conexão de aterramento. Capacidade de curto-circuito do novo equipamento: 40 kA. Corrente Suportável de Crista do novo equipamento: 100 kA.</t>
  </si>
  <si>
    <t>0001879/2022</t>
  </si>
  <si>
    <t>CS533</t>
  </si>
  <si>
    <t>Substituição de Chave Seccionadora tripolar 138 kV, CS535, referente a LT Joinville - Joinville 4 C-2. Associado à obra são esperadas substituições/adaptações de fundações, suportes, cabos de controle/potência, barramento, conectores e conexão de aterramento. Capacidade de curto-circuito do novo equipamento: 40 kA. Corrente Suportável de Crista do novo equipamento: 100 kA.</t>
  </si>
  <si>
    <t>0001882/2022</t>
  </si>
  <si>
    <t>CS535</t>
  </si>
  <si>
    <t>Substituição de Chave Seccionadora tripolar 138 kV, CS541, referente a LT Joinville - Joinville 4 C-1. Associado à obra são esperadas substituições/adaptações de fundações, suportes, cabos de controle/potência, barramento, conectores e conexão de aterramento. Capacidade de curto-circuito do novo equipamento: 40 kA. Corrente Suportável de Crista do novo equipamento: 100 kA.</t>
  </si>
  <si>
    <t>LT 138 kV JOINVILLE / JOINVILLE 4 C-1 SC</t>
  </si>
  <si>
    <t>0001885/2022</t>
  </si>
  <si>
    <t>CS541</t>
  </si>
  <si>
    <t>Substituição de Chave Seccionadora tripolar 138 kV, CS543, referente a LT Joinville - Joinville 4 C-1. Associado à obra são esperadas substituições/adaptações de fundações, suportes, cabos de controle/potência, barramento, conectores e conexão de aterramento. Capacidade de curto-circuito do novo equipamento: 40 kA. Corrente Suportável de Crista do novo equipamento: 100 kA.</t>
  </si>
  <si>
    <t>0001889/2022</t>
  </si>
  <si>
    <t>CS543</t>
  </si>
  <si>
    <t>Substituição de Chave Seccionadora tripolar 138 kV, CS545, referente a LT Joinville - Joinville 4 C-1. Associado à obra são esperadas substituições/adaptações de fundações, suportes, cabos de controle/potência, barramento, conectores e conexão de aterramento. Capacidade de curto-circuito do novo equipamento: 40 kA. Corrente Suportável de Crista do novo equipamento: 100 kA.</t>
  </si>
  <si>
    <t>0001893/2022</t>
  </si>
  <si>
    <t>CS545</t>
  </si>
  <si>
    <t>Substituição de Chave Seccionadora tripolar 138 kV, CS601, referente a LT Joinville - WEG Fundição C-1. Associado à obra são esperadas substituições/adaptações de fundações, suportes, cabos de controle/potência, barramento, conectores e conexão de aterramento. Capacidade de curto-circuito do novo equipamento: 40 kA. Corrente Suportável de Crista do novo equipamento: 100 kA.</t>
  </si>
  <si>
    <t>LT 138 kV JOINVILLE / WEG FUNDICAO C-1 SC</t>
  </si>
  <si>
    <t>0001894/2022</t>
  </si>
  <si>
    <t>CS601</t>
  </si>
  <si>
    <t>Substituição de Chave Seccionadora tripolar 138 kV, CS603, referente a LT Joinville - WEG Fundição C-1. Associado à obra são esperadas substituições/adaptações de fundações, suportes, cabos de controle/potência, barramento, conectores e conexão de aterramento. Capacidade de curto-circuito do novo equipamento: 40 kA. Corrente Suportável de Crista do novo equipamento: 100 kA.</t>
  </si>
  <si>
    <t>0001897/2022</t>
  </si>
  <si>
    <t>CS603</t>
  </si>
  <si>
    <t>Remanejamento do reator de linha da LT 500 kV Coletora Porto Velho - UHE Jirau para a barra da SE Coletora Porto Velho 500 kV e instalação de 3 TCs para completar o arranjo DJM da SE Coletora Porto Velho 500 kV.</t>
  </si>
  <si>
    <t>Novo reator de barra 550 kV</t>
  </si>
  <si>
    <t>0002035/2022</t>
  </si>
  <si>
    <t>Substituição de Chave Seccionadora tripolar 138 kV, CS605, referente a LT Joinville - WEG Fundição C-1. Associado à obra são esperadas substituições/adaptações de fundações, suportes, cabos de controle/potência, barramento, conectores e conexão de aterramento. Capacidade de curto-circuito do novo equipamento: 40 kA. Corrente Suportável de Crista do novo equipamento: 100 kA.</t>
  </si>
  <si>
    <t>0001910/2022</t>
  </si>
  <si>
    <t>CS605</t>
  </si>
  <si>
    <t>Instalação de 03 Transformadores de Potencial Capacitivo 500 kV, bases, estruturas de suporte e cabos de controle associados, na posição operacional 85T2 da SE SOBRAL III.</t>
  </si>
  <si>
    <t>TR 500/230 kV SOBRAL III TR2 CE</t>
  </si>
  <si>
    <t>0001949/2022</t>
  </si>
  <si>
    <t>S.JOAO PIAUI</t>
  </si>
  <si>
    <t>Instalação de 03 Transformadores de Potencial Indutivo 69 kV, bases, estruturas de suporte e cabos de controle associados, na posição operacional 82T2 da SE SÃO JOÃO DO PIAUI.</t>
  </si>
  <si>
    <t>TR 230/69 kV S.JOAO PIAUI TR8 PI</t>
  </si>
  <si>
    <t>0001951/2022</t>
  </si>
  <si>
    <t>PARAISO</t>
  </si>
  <si>
    <t>Instalação de 03 Transformadores de Potencial Capacitivo 138 kV, bases, estruturas de suporte e cabos de controle associados, na posição operacional 83T2 da SE Paraíso.</t>
  </si>
  <si>
    <t>TR 230/138 kV PARAISO TR2 RN</t>
  </si>
  <si>
    <t>0001954/2022</t>
  </si>
  <si>
    <t>Instalação de 03 Transformadores de Potencial Indutivo 69 kV, bases, estruturas de suporte e cabos de controle associados, na posição operacional 82T4 da SE PICI II.</t>
  </si>
  <si>
    <t>TR 230/69 kV PICI II TR4 CE</t>
  </si>
  <si>
    <t>0001956/2022</t>
  </si>
  <si>
    <t>SR.BONFIM II</t>
  </si>
  <si>
    <t>Instalação de 03 Transformadores de Potencial Capacitivo 138 kV, bases, estruturas de suporte e cabos de controle associados, na posição operacional 83T5 da SE SENHOR DO BONFIM II.</t>
  </si>
  <si>
    <t>TR 230/138 kV SR.BONFIM II TR6 BA</t>
  </si>
  <si>
    <t>0001961/2022</t>
  </si>
  <si>
    <t>STO.A.JESUS</t>
  </si>
  <si>
    <t>Instalação de 03 Transformadores de Potencial Capacitivo 69 kV, bases, estruturas de suporte e cabos de controle associados, na posição operacional 82T3 da SE SANTO ANTONIO DE JESUS.</t>
  </si>
  <si>
    <t>TR 230/69 kV STO.A.JESUS TR3 BA</t>
  </si>
  <si>
    <t>0001964/2022</t>
  </si>
  <si>
    <t>U.SOBRADINHO</t>
  </si>
  <si>
    <t>Instalação da infraestrutura de comunicação para atendimento ao SPCS na SE Sobradinho posição operacional (Painel-5BR3), composto por: 01 painel, 04 switch digital cabos e fibras de controle e demais acessórios necessários em quantitativo suficiente para atendimento às redes IEC 61850 associadas ao SPCS de 01 módulo.</t>
  </si>
  <si>
    <t>MG U.SOBRADINHO / CCO-2001-061 - RB</t>
  </si>
  <si>
    <t>0002024/2022</t>
  </si>
  <si>
    <t>Instalação de infraestrutura de comunicação para atendimento ao SPCS do Transformador 05T2, na subestação Sobral III, composto por: 01 painel, 02 switch digital, cabos e fibras de controle associado.</t>
  </si>
  <si>
    <t>0002042/2022</t>
  </si>
  <si>
    <t>Instalação de infraestrutura de comunicação para atendimento ao SPCS na SE São João do Piauí, posição operacional (05BR2) composto por: 01 painel, 02 switch's digitais, cabos e fibras de controle e demais acessórios necessários em quantitativo suficiente para atendimento às redes IEC 61850 associadas ao SPCS de 01 módulo.</t>
  </si>
  <si>
    <t>MG S.JOAO PIAUI / CCO-2001-061 - RB</t>
  </si>
  <si>
    <t>0002047/2022</t>
  </si>
  <si>
    <t>PENEDO</t>
  </si>
  <si>
    <t>Instalação da infraestrutura de comunicação para atendimento ao SPCS dos Bancos de Capacitores 04H1 e 04H2 na SE Penedo, posição operacional (4BR3-BASTIDOR DE REDE), composto por: 01 painel, 02 switches digitais, 01 oscilo, 02 DIO's, cabos e fibras de controle e demais acessórios necessários, em quantitativo suficiente para atendimento às redes IEC 61850 associadas ao SPCS de 01 módulo.</t>
  </si>
  <si>
    <t>MG PENEDO / CCO-2001-061 - RB</t>
  </si>
  <si>
    <t>0002048/2022</t>
  </si>
  <si>
    <t>Instalação da infraestrutura de comunicação para atendimento ao SPCS dos Bancos de Capacitores 04H1 e 04H2 na SE Penedo posição operacional (Rack Lan), composto por: 01 painel, 01 switch digital, 01 patch panel, 01 patch voice, cabos e fibras de controle e demais acessórios necessários, em quantitativo suficiente para atendimento às redes IEC 61850 associadas ao SPCS de 01 módulo.</t>
  </si>
  <si>
    <t>0002049/2022</t>
  </si>
  <si>
    <t>Instalação da infraestrutura de comunicação para atendimento ao SPCS subestação Milagres na posição operacional (5BR3-BASTIDOR DE REDE), composto por: 01 painel, 06 switches digitais, 01 oscilo, cabos e fibras de controle e demais acessórios necessários em quantitativo suficiente para atendimento às redes IEC 61850 associadas ao SPCS de 01 módulo.</t>
  </si>
  <si>
    <t>MG MILAGRES / CCO-2001-061 - RB</t>
  </si>
  <si>
    <t>0002051/2022</t>
  </si>
  <si>
    <t>Instalação da infraestrutura de comunicação para atendimento ao SPCS subestação Milagres na posição operacional (5BR1), composto por: 01 painel, 02 switch's digitais, 01 oscilo, cabos e fibras de controle e demais acessórios necessários em quantitativo suficiente para atendimento às redes IEC 61850 associadas ao SPCS de 01 módulo.</t>
  </si>
  <si>
    <t>0002056/2022</t>
  </si>
  <si>
    <t>Instalação da infraestrutura de comunicação para atendimento ao SPCS subestação Milagres na posição operacional (5BR2-BASTIDOR DE REDE), na subestação Milagres, composto por: 01 painel, 02 switch's digitais, 01 oscilo, cabos e fibras de controle e demais acessórios necessários em quantitativo suficiente para atendimento às redes IEC 61850 associadas ao SPCS de 01 módulo.</t>
  </si>
  <si>
    <t>0002057/2022</t>
  </si>
  <si>
    <t>LT 138 kV SANTA CRUZ /ANGRA C-1 RJ</t>
  </si>
  <si>
    <t>Linha de Transmissão</t>
  </si>
  <si>
    <t>Relocação e substituição da torre 62</t>
  </si>
  <si>
    <t>0002130/2022</t>
  </si>
  <si>
    <t>LT 138 kV ANGRA FUR /SANTA CRUZ C-1 RJ</t>
  </si>
  <si>
    <t>LT 345 kV FURNAS  /POCOS CALDAS C-1 MG</t>
  </si>
  <si>
    <t>Substituição de 50 esferas de sinalização aérea desbotadas</t>
  </si>
  <si>
    <t>0002158/2022</t>
  </si>
  <si>
    <t>LT 345 kV FURNAS  /POCOS CALDAS C-2 MG</t>
  </si>
  <si>
    <t>0002159/2022</t>
  </si>
  <si>
    <t>LT 345 kV FURNAS/POCOS CALDAS C-2 MG</t>
  </si>
  <si>
    <t>LT 345 kV FURNAS /ITUTINGA C-1 MG</t>
  </si>
  <si>
    <t>Substituição de 31 esferas de sinalização aérea desbotadas</t>
  </si>
  <si>
    <t>0002160/2022</t>
  </si>
  <si>
    <t>LT 345 kV FURNAS  /ITUTINGA C-1 MG</t>
  </si>
  <si>
    <t>Substituição de 48 esferas de sinalização aérea desbotadas</t>
  </si>
  <si>
    <t>0002161/2022</t>
  </si>
  <si>
    <t>LT 345 kV FURNAS  /ITUTINGA C-2 MG</t>
  </si>
  <si>
    <t>LT 345 kV L.C.BARRETO /POCOS CALDAS C-1 SP/MG</t>
  </si>
  <si>
    <t>Instalação de 100 dispositivos anti-pássaros em fases laterais de torres selecionadas ao longo da linha</t>
  </si>
  <si>
    <t>0002162/2022</t>
  </si>
  <si>
    <t>LT 345 kV L.C.BARRETO  /POCOS CALDAS C-1 SP/MG</t>
  </si>
  <si>
    <t>LT 345 kV FURNAS /M. MORAES C-1 MG</t>
  </si>
  <si>
    <t>Instalação de 100 dispositivos anti-pássaros em fases centrais de torres selecionadas ao longo da linha</t>
  </si>
  <si>
    <t>0002165/2022</t>
  </si>
  <si>
    <t>LT 345 kV FURNAS  /M. MORAES C-1 MG</t>
  </si>
  <si>
    <t>LT 345 kV FURNAS /POCOS CALDAS C-1 MG</t>
  </si>
  <si>
    <t>0002168/2022</t>
  </si>
  <si>
    <t>LT 345 kV FURNAS /POCOS CALDAS C-2 MG</t>
  </si>
  <si>
    <t>0002169/2022</t>
  </si>
  <si>
    <t>Substituição de Disjuntor tripolar 525 kV, DJ1072, referente a LT Areia - Bateias C-1. Associado à obra, são esperadas substituições ou adaptações de fundações e suportes existentes, cabos de controle e potência, barramento, conectores e conexão do aterramento do equipamento.</t>
  </si>
  <si>
    <t>0002553/2022</t>
  </si>
  <si>
    <t>DJ1072</t>
  </si>
  <si>
    <t>Substituição de Chave Seccionadora tripolar 525 kV, CS1071, referente a LT Areia - Bateias C-1. Associado à obra são esperadas substituições/adaptações de fundações, suportes, cabos de controle/potência, barramento, conectores e conexão de aterramento.</t>
  </si>
  <si>
    <t>0002558/2022</t>
  </si>
  <si>
    <t>CS1071</t>
  </si>
  <si>
    <t>Substituição de Chave Seccionadora tripolar 525 kV, CS1073, referente a LT Areia - Bateias C-1. Associado à obra são esperadas substituições/adaptações de fundações, suportes, cabos de controle/potência, barramento, conectores e conexão de aterramento.</t>
  </si>
  <si>
    <t>0002559/2022</t>
  </si>
  <si>
    <t>CS1073</t>
  </si>
  <si>
    <t>Substituição de Chave Seccionadora tripolar 525 kV, CS1077, com lâmina de terra, referente a LT Areia - Bateias C-1. Associado à obra são esperadas substituições/adaptações de fundações, suportes, cabos de controle/potência, barramento, conectores e conexão de aterramento.</t>
  </si>
  <si>
    <t>0002561/2022</t>
  </si>
  <si>
    <t>CS1077 / CS1077T</t>
  </si>
  <si>
    <t>Substituição de Transformadores de Corrente 525 kV, referente a LT Areia - Bateias C-1, DJ1072, Fases A, B, C. Associado à obra são esperadas substituições/adaptações de fundações, suportes, caixa de junção, cabos, barramento, conectores e conexão de aterramento.</t>
  </si>
  <si>
    <t>0002562/2022</t>
  </si>
  <si>
    <t>TC DJ1072</t>
  </si>
  <si>
    <t>Substituição de Disjuntor tripolar 525 kV, DJ1102, referente a LT Areia - Campos Novos C-1. Associado à obra, são esperadas substituições ou adaptações de fundações e suportes existentes, cabos de controle e potência, barramento, conectores e conexão do aterramento do equipamento.</t>
  </si>
  <si>
    <t>LT 525 kV AREIA /C.NOVOS C-1 PR/SC</t>
  </si>
  <si>
    <t>0002563/2022</t>
  </si>
  <si>
    <t>DJ1102</t>
  </si>
  <si>
    <t>Substituição de Chave Seccionadora tripolar 525 kV, CS1101, referente a LT Areia - C.Novos C-1. Associado à obra são esperadas substituições/adaptações de fundações, suportes, cabos de controle/potência, barramento, conectores e conexão de aterramento.</t>
  </si>
  <si>
    <t>0002564/2022</t>
  </si>
  <si>
    <t>CS1101</t>
  </si>
  <si>
    <t>Substituição de Chave Seccionadora tripolar 525 kV, CS1103, referente a LT Areia - C.Novos C-1. Associado à obra são esperadas substituições/adaptações de fundações, suportes, cabos de controle/potência, barramento, conectores e conexão de aterramento.</t>
  </si>
  <si>
    <t>0002567/2022</t>
  </si>
  <si>
    <t>CS1103</t>
  </si>
  <si>
    <t>Substituição de Chave Seccionadora tripolar 525 kV, CS1107, com lâmina de terra, referente a LT Areia - C.Novos C-1. Associado à obra são esperadas substituições/adaptações de fundações, suportes, cabos de controle/potência, barramento, conectores e conexão de aterramento.</t>
  </si>
  <si>
    <t>0002572/2022</t>
  </si>
  <si>
    <t>CS1107 / CS1107T</t>
  </si>
  <si>
    <t>Substituição de Disjuntor tripolar 525 kV, DJ1092, referente a LT Areia - Curitiba C-1. Associado à obra, são esperadas substituições ou adaptações de fundações e suportes existentes, cabos de controle e potência, barramento, conectores e conexão do aterramento do equipamento.</t>
  </si>
  <si>
    <t>LT 525 kV AREIA /CURITIBA C-1 PR</t>
  </si>
  <si>
    <t>0002586/2022</t>
  </si>
  <si>
    <t>DJ1092</t>
  </si>
  <si>
    <t>Substituição de Chave Seccionadora tripolar 525 kV, CS1091, referente a LT Areia - Curitiba C-1. Associado à obra são esperadas substituições/adaptações de fundações, suportes, cabos de controle/potência, barramento, conectores e conexão de aterramento.</t>
  </si>
  <si>
    <t>0002587/2022</t>
  </si>
  <si>
    <t>CS1091</t>
  </si>
  <si>
    <t>Substituição de Chave Seccionadora tripolar 525 kV, CS1093, referente a LT Areia - Curitiba C-1. Associado à obra são esperadas substituições/adaptações de fundações, suportes, cabos de controle/potência, barramento, conectores e conexão de aterramento.</t>
  </si>
  <si>
    <t>0002590/2022</t>
  </si>
  <si>
    <t>CS1093</t>
  </si>
  <si>
    <t>Substituição de Chave Seccionadora tripolar 525 kV, CS1097, com lâmina de terra, referente a LT Areia - Curitiba C-1. Associado à obra são esperadas substituições/adaptações de fundações, suportes, cabos de controle/potência, barramento, conectores e conexão de aterramento.</t>
  </si>
  <si>
    <t>0002591/2022</t>
  </si>
  <si>
    <t>CS1097 / CS1097T</t>
  </si>
  <si>
    <t>Substituição de Transformadores de Corrente 525 kV, referente a LT Areia - Curitiba C-1, DJ1092, Fases A, B, C. Associado à obra são esperadas substituições/adaptações de fundações, suportes, caixa de junção, cabos, barramento, conectores e conexão de aterramento.</t>
  </si>
  <si>
    <t>0002592/2022</t>
  </si>
  <si>
    <t>TC DJ1092</t>
  </si>
  <si>
    <t>Substituição de Disjuntor tripolar 525 kV, DJ1082, referente a LT Areia - G.B.Munhoz C-1. Associado à obra, são esperadas substituições ou adaptações de fundações e suportes existentes, cabos de controle e potência, barramento, conectores e conexão do aterramento do equipamento.</t>
  </si>
  <si>
    <t>LT 525 kV AREIA / G.B.MUNHOZ C-1 PR</t>
  </si>
  <si>
    <t>0002595/2022</t>
  </si>
  <si>
    <t>DJ1082</t>
  </si>
  <si>
    <t>Substituição de Chave Seccionadora tripolar 525 kV, CS1081, referente a LT Areia - G.B.Munhoz C-1. Associado à obra são esperadas substituições/adaptações de fundações, suportes, cabos de controle/potência, barramento, conectores e conexão de aterramento.</t>
  </si>
  <si>
    <t>0002614/2022</t>
  </si>
  <si>
    <t>CS1081</t>
  </si>
  <si>
    <t>Substituição de Chave Seccionadora tripolar 525 kV, CS1083, referente a LT Areia - G.B.Munhoz C-1. Associado à obra são esperadas substituições/adaptações de fundações, suportes, cabos de controle/potência, barramento, conectores e conexão de aterramento.</t>
  </si>
  <si>
    <t>0002616/2022</t>
  </si>
  <si>
    <t>CS1083</t>
  </si>
  <si>
    <t>Substituição de Chave Seccionadora tripolar 525 kV, CS1087, com lâmina de terra, referente a LT Areia - G.B.Munhoz C-1. Associado à obra são esperadas substituições/adaptações de fundações, suportes, cabos de controle/potência, barramento, conectores e conexão de aterramento.</t>
  </si>
  <si>
    <t>0002620/2022</t>
  </si>
  <si>
    <t>CS1087 / CS1087T</t>
  </si>
  <si>
    <t>Substituição de Transformadores de Corrente 525 kV, referente a LT Areia - G.B.Munhoz C-1, DJ1082, Fases A, B, C. Associado à obra são esperadas substituições/adaptações de fundações, suportes, caixa de junção, cabos, barramento, conectores e conexão de aterramento.</t>
  </si>
  <si>
    <t>0002621/2022</t>
  </si>
  <si>
    <t>TC DJ1082</t>
  </si>
  <si>
    <t>Substituição de Disjuntor tripolar 525 kV, DJ1062, referente a LT Areia - G.B.Munhoz C-2. Associado à obra, são esperadas substituições ou adaptações de fundações e suportes existentes, cabos de controle e potência, barramento, conectores e conexão do aterramento do equipamento.</t>
  </si>
  <si>
    <t>LT 525 kV AREIA / G.B.MUNHOZ C-2 PR</t>
  </si>
  <si>
    <t>0002623/2022</t>
  </si>
  <si>
    <t>DJ1062</t>
  </si>
  <si>
    <t>Substituição de Chave Seccionadora tripolar 525 kV, CS1061, referente a LT Areia - G.B.Munhoz C-2. Associado à obra são esperadas substituições/adaptações de fundações, suportes, cabos de controle/potência, barramento, conectores e conexão de aterramento.</t>
  </si>
  <si>
    <t>0002625/2022</t>
  </si>
  <si>
    <t>CS1061</t>
  </si>
  <si>
    <t>Substituição de Disjuntor tripolar 525 kV, DJ1052, referente ao TF3 525/230 kV da SE Santo Ângelo. Associado à obra, são esperadas substituições ou adaptações de fundações e suportes existentes, cabos de controle e potência, barramento, conectores e conexão do aterramento do equipamento.</t>
  </si>
  <si>
    <t>TR 525/230 kV SANTO ANGELO TR3 RS</t>
  </si>
  <si>
    <t>0002634/2022</t>
  </si>
  <si>
    <t>DJ1052</t>
  </si>
  <si>
    <t>Substituição dos Painéis de Distribuição 125 VCC (QAD1, QAD2) e cabos associados, referentes aos Serviços Auxiliares da SE Gravataí.</t>
  </si>
  <si>
    <t>MG GRAVATAI / CCO-2001-057 - RB</t>
  </si>
  <si>
    <t>0002635/2022</t>
  </si>
  <si>
    <t>Substituição dos Painéis de Distribuição 220 / 127 VCA (QAD3, QAD4) e cabos associados, referentes aos Serviços Auxiliares da SE Gravataí.</t>
  </si>
  <si>
    <t>0002637/2022</t>
  </si>
  <si>
    <t>Substituição dos Painéis de Distribuição 480 VCA (QAD5, QAD6, QAD7, QAD8, QAD9, QAD10, QAD11) e cabos associados, referentes aos Serviços Auxiliares da SE Gravataí.</t>
  </si>
  <si>
    <t>0002642/2022</t>
  </si>
  <si>
    <t>Substituição de Reatores Limitadores de Corrente (RLC) 13,8 kV, referentes ao TF3 525/230 kV da SE Londrina (Eletrosul) , Fases A, B e C.</t>
  </si>
  <si>
    <t>0002646/2022</t>
  </si>
  <si>
    <t>RLC1/A, RLC1/B, RLC1/C</t>
  </si>
  <si>
    <t>ITAJAI</t>
  </si>
  <si>
    <t>Substituição de Retificador (Carregador de Baterias) 125 Vcc - SACC125-RET1, da SE Itajaí. Capacidade do novo equipamento: &gt;= 150 A.</t>
  </si>
  <si>
    <t>MG ITAJAI / CCO-2001-057 - RB</t>
  </si>
  <si>
    <t>0002658/2022</t>
  </si>
  <si>
    <t>RET1 - 125 VCC</t>
  </si>
  <si>
    <t>Substituição de Retificador (Carregador de Baterias) 125 Vcc - SACC125-RET2, da SE Itajaí. Capacidade do novo equipamento: &gt;= 150 A.</t>
  </si>
  <si>
    <t>0002659/2022</t>
  </si>
  <si>
    <t>RET2 - 125 VCC</t>
  </si>
  <si>
    <t>C.MOURAO</t>
  </si>
  <si>
    <t>MG C.MOURAO / CCO-2001-057 - RB</t>
  </si>
  <si>
    <t>0002661/2022</t>
  </si>
  <si>
    <t>0002662/2022</t>
  </si>
  <si>
    <t>0002663/2022</t>
  </si>
  <si>
    <t>RET1 - 48 VCC</t>
  </si>
  <si>
    <t>0002665/2022</t>
  </si>
  <si>
    <t>RET2 - 48 VCC</t>
  </si>
  <si>
    <t>Substituição de Chave Seccionadora tripolar 525 kV, CS1063, referente a LT Areia - G.B.Munhoz C-2. Associado à obra são esperadas substituições/adaptações de fundações, suportes, cabos de controle/potência, barramento, conectores e conexão de aterramento.</t>
  </si>
  <si>
    <t>0002680/2022</t>
  </si>
  <si>
    <t>CS1063</t>
  </si>
  <si>
    <t>Substituição de Chave Seccionadora tripolar 525 kV, CS1067, com lâmina de terra, referente a LT Areia - G.B.Munhoz C-2. Associado à obra são esperadas substituições/adaptações de fundações, suportes, cabos de controle/potência, barramento, conectores e conexão de aterramento.</t>
  </si>
  <si>
    <t>0002682/2022</t>
  </si>
  <si>
    <t>CS1067 / CS1067T</t>
  </si>
  <si>
    <t>Substituição de Transformadores de Corrente 525 kV, referente a LT Areia - G.B.Munhoz C-2, DJ1062, Fases A, B, C. Associado à obra são esperadas substituições/adaptações de fundações, suportes, caixa de junção, cabos, barramento, conectores e conexão de aterramento.</t>
  </si>
  <si>
    <t>0002684/2022</t>
  </si>
  <si>
    <t>TC DJ1062</t>
  </si>
  <si>
    <t>Substituição de Disjuntor tripolar 525 kV, DJ1032, referente a LT Areia - Ivaiporã C-1. Associado à obra, são esperadas substituições ou adaptações de fundações e suportes existentes, cabos de controle e potência, barramento, conectores e conexão do aterramento do equipamento.</t>
  </si>
  <si>
    <t>LT 525 kV AREIA /IVAIPORA C-1 PR</t>
  </si>
  <si>
    <t>0002701/2022</t>
  </si>
  <si>
    <t>DJ1032</t>
  </si>
  <si>
    <t>Substituição de Chave Seccionadora tripolar 525 kV, CS1031, referente a LT Areia - Ivaiporã C-1. Associado à obra são esperadas substituições/adaptações de fundações, suportes, cabos de controle/potência, barramento, conectores e conexão de aterramento.</t>
  </si>
  <si>
    <t>0002702/2022</t>
  </si>
  <si>
    <t>CS1031</t>
  </si>
  <si>
    <t>Substituição de Chave Seccionadora tripolar 525 kV, CS1033, referente a LT Areia - Ivaiporã C-1. Associado à obra são esperadas substituições/adaptações de fundações, suportes, cabos de controle/potência, barramento, conectores e conexão de aterramento.</t>
  </si>
  <si>
    <t>0002703/2022</t>
  </si>
  <si>
    <t>CS1033</t>
  </si>
  <si>
    <t>Substituição de Chave Seccionadora tripolar 525 kV, CS1037, com lâmina de terra, referente a LT Areia - Ivaiporã C-1. Associado à obra são esperadas substituições/adaptações de fundações, suportes, cabos de controle/potência, barramento, conectores e conexão de aterramento.</t>
  </si>
  <si>
    <t>0002704/2022</t>
  </si>
  <si>
    <t>CS1037 / CS1037T</t>
  </si>
  <si>
    <t>Substituição de Transformadores de Corrente 525 kV, referente a LT Areia - Ivaiporã C-1, DJ1032, Fases A, B, C. Associado à obra são esperadas substituições/adaptações de fundações, suportes, caixa de junção, cabos, barramento, conectores e conexão de aterramento.</t>
  </si>
  <si>
    <t>0002706/2022</t>
  </si>
  <si>
    <t>TC DJ1032</t>
  </si>
  <si>
    <t>Substituição de Disjuntor tripolar 525 kV, DJ1002, referente a LT Areia - Segredo C-1. Associado à obra, são esperadas substituições ou adaptações de fundações e suportes existentes, cabos de controle e potência, barramento, conectores e conexão do aterramento do equipamento.</t>
  </si>
  <si>
    <t>LT 525 kV AREIA /SEGREDO C-1 PR</t>
  </si>
  <si>
    <t>0002707/2022</t>
  </si>
  <si>
    <t>DJ1002</t>
  </si>
  <si>
    <t>Substituição de Chave Seccionadora tripolar 525 kV, CS1003, referente a LT Areia - Segredo C-1. Associado à obra são esperadas substituições/adaptações de fundações, suportes, cabos de controle/potência, barramento, conectores e conexão de aterramento.</t>
  </si>
  <si>
    <t>0002708/2022</t>
  </si>
  <si>
    <t>CS1003</t>
  </si>
  <si>
    <t>Substituição de Disjuntor tripolar 525 kV, DJ1010, referente ao Interligador de Barras entre a LT Segredo C-1 e o TF 2. Associado à obra, são esperadas substituições/adaptações de fundações e suportes, cabos de controle e potência, barramento, conectores e conexão de aterramento.</t>
  </si>
  <si>
    <t>MG AREIA / CCO-2001-057 - RB</t>
  </si>
  <si>
    <t>0002710/2022</t>
  </si>
  <si>
    <t>DJ1010</t>
  </si>
  <si>
    <t>Substituição de Disjuntor tripolar 525 kV, DJ1030, referente ao Interligador de Barras da LT Ivaiporã C-1. Associado à obra, são esperadas substituições/adaptações de fundações e suportes, cabos de controle e potência, barramento, conectores e conexão de aterramento.</t>
  </si>
  <si>
    <t>0002712/2022</t>
  </si>
  <si>
    <t>DJ1030</t>
  </si>
  <si>
    <t>Substituição de Disjuntor tripolar 525 kV, DJ1070, referente ao Interligador de Barras entre as LT Bateias C-1 e G.B.Munhoz C-2. Associado à obra, são esperadas substituições/adaptações de fundações e suportes, cabos de controle e potência, barramento, conectores e conexão de aterramento.</t>
  </si>
  <si>
    <t>0002715/2022</t>
  </si>
  <si>
    <t>DJ1070</t>
  </si>
  <si>
    <t>Substituição de Disjuntor tripolar 525 kV, DJ1090, referente ao Interligador de Barras entre as LT Curitiba C-1 e G.B.Munhoz C-1. Associado à obra, são esperadas substituições/adaptações de fundações e suportes, cabos de controle e potência, barramento, conectores e conexão de aterramento.</t>
  </si>
  <si>
    <t>0002716/2022</t>
  </si>
  <si>
    <t>DJ1090</t>
  </si>
  <si>
    <t>Substituição de Disjuntor tripolar 525 kV, DJ1110, referente ao Interligador de Barras da LT C.Novos C-1. Associado à obra, são esperadas substituições/adaptações de fundações e suportes, cabos de controle e potência, barramento, conectores e conexão de aterramento.</t>
  </si>
  <si>
    <t>0002717/2022</t>
  </si>
  <si>
    <t>DJ1110</t>
  </si>
  <si>
    <t>Substituição de Chave Seccionadora tripolar 525kV, CS1005, referente ao Interligador de Barras entre a LT Segredo C-1 e o TF 2. Associado à obra são esperadas substituições/adaptações de fundações, suportes, cabos de controle/potência, barramento, conectores e conexão de aterramento.</t>
  </si>
  <si>
    <t>0002718/2022</t>
  </si>
  <si>
    <t>CS1005</t>
  </si>
  <si>
    <t>Substituição de Chave Seccionadora tripolar 525kV, CS1015, referente ao Interligador de Barras entre a LT Segredo C-1 e o TF 2. Associado à obra são esperadas substituições/adaptações de fundações, suportes, cabos de controle/potência, barramento, conectores e conexão de aterramento.</t>
  </si>
  <si>
    <t>0002721/2022</t>
  </si>
  <si>
    <t>CS1015</t>
  </si>
  <si>
    <t>Substituição de Chave Seccionadora tripolar 525kV, CS1025, referente ao Interligador de Barras da LT Ivaiporã C-1. Associado à obra são esperadas substituições/adaptações de fundações, suportes, cabos de controle/potência, barramento, conectores e conexão de aterramento.</t>
  </si>
  <si>
    <t>0002722/2022</t>
  </si>
  <si>
    <t>CS1025</t>
  </si>
  <si>
    <t>Substituição de Chave Seccionadora tripolar 525kV, CS1035, referente ao Interligador de Barras da LT Ivaiporã C-1. Associado à obra são esperadas substituições/adaptações de fundações, suportes, cabos de controle/potência, barramento, conectores e conexão de aterramento.</t>
  </si>
  <si>
    <t>0002725/2022</t>
  </si>
  <si>
    <t>CS1035</t>
  </si>
  <si>
    <t>ASSIS</t>
  </si>
  <si>
    <t>Substituição de Disjuntor tripolar 230 kV, DJ4552/17, referente a LT Assis - Londrina (Copel) C-2. Associado à obra, são esperadas substituições ou adaptações de fundações e suportes existentes, cabos de controle e potência, barramento, conectores e conexão do aterramento do equipamento.</t>
  </si>
  <si>
    <t>LT 230 kV ASSIS / LONDRINA COT C 2 SP/PR</t>
  </si>
  <si>
    <t>0002726/2022</t>
  </si>
  <si>
    <t>DJ4552/17</t>
  </si>
  <si>
    <t>Substituição de Chave Seccionadora tripolar 525kV, CS1065, referente ao Interligador de Barras entre as LT Bateias C-1 e G.B.Munhoz C-2. Associado à obra são esperadas substituições/adaptações de fundações, suportes, cabos de controle/potência, barramento, conectores e conexão de aterramento.</t>
  </si>
  <si>
    <t>0002729/2022</t>
  </si>
  <si>
    <t>CS1065</t>
  </si>
  <si>
    <t>Substituição de Chave Seccionadora tripolar 525kV, CS1075, referente ao Interligador de Barras entre as LT Bateias C-1 e G.B.Munhoz C-2. Associado à obra são esperadas substituições/adaptações de fundações, suportes, cabos de controle/potência, barramento, conectores e conexão de aterramento.</t>
  </si>
  <si>
    <t>0002731/2022</t>
  </si>
  <si>
    <t>CS1075</t>
  </si>
  <si>
    <t>Substituição de Chave Seccionadora tripolar 525kV, CS1085, referente ao Interligador de Barras entre as LT Curitiba C-1 e G.B.Munhoz C-1. Associado à obra são esperadas substituições/adaptações de fundações, suportes, cabos de controle/potência, barramento, conectores e conexão de aterramento.</t>
  </si>
  <si>
    <t>0002736/2022</t>
  </si>
  <si>
    <t>CS1085</t>
  </si>
  <si>
    <t>Substituição de Chave Seccionadora tripolar 525kV, CS1095, referente ao Interligador de Barras entre as LT Curitiba C-1 e G.B.Munhoz C-1. Associado à obra são esperadas substituições/adaptações de fundações, suportes, cabos de controle/potência, barramento, conectores e conexão de aterramento.</t>
  </si>
  <si>
    <t>0002740/2022</t>
  </si>
  <si>
    <t>CS1095</t>
  </si>
  <si>
    <t>Substituição de Chave Seccionadora tripolar 230 kV, CS4529/94, referente a LT Assis - Londrina (Copel) C-2. Associado à obra são esperadas substituições/adaptações de fundações, suportes, cabos de controle/potência, barramento, conectores e conexão de aterramento.</t>
  </si>
  <si>
    <t>0002742/2022</t>
  </si>
  <si>
    <t>CS4529/94</t>
  </si>
  <si>
    <t>Substituição de Chave Seccionadora tripolar 230 kV, CS4529/96 (com lâmina de terra - CS4529/25), referente a LT Assis - Londrina (Copel) C-2. Associado à obra são esperadas substituições/adaptações de fundações, suportes, cabos de controle/potência, barramento, conectores e conexão de aterramento.</t>
  </si>
  <si>
    <t>0002743/2022</t>
  </si>
  <si>
    <t>CS4529/96 e CS4529/25</t>
  </si>
  <si>
    <t>Substituição de Transformadores de Corrente 230 kV referentes a LT Assis - Londrina (Copel) C-2, Fases A, B, C. Associado à obra, são esperadas substituições/adaptações de fundações e suportes, caixa de junção, cabos de controle/potência, barramento, conectores e conexão de aterramento. Funções do TC: proteção e medição.</t>
  </si>
  <si>
    <t>0002745/2022</t>
  </si>
  <si>
    <t>TC DJ4552/17</t>
  </si>
  <si>
    <t>Substituição de Transformadores de Potencial Capacitivo 230 kV, referente a LT Assis - Londrina (Copel) C-2, Fases A, B, C. Associado à obra são esperadas substituições/adaptações de fundações, suportes, caixa de junção, cabos de controle/potência, barramento, conectores e conexão de aterramento.</t>
  </si>
  <si>
    <t>0002748/2022</t>
  </si>
  <si>
    <t>TPCA, TPCB, TPCC</t>
  </si>
  <si>
    <t>Substituição de Chave Seccionadora tripolar 525kV, CS1105, referente ao Interligador de Barras da LT C.Novos C-1. Associado à obra são esperadas substituições/adaptações de fundações, suportes, cabos de controle/potência, barramento, conectores e conexão de aterramento.</t>
  </si>
  <si>
    <t>0002750/2022</t>
  </si>
  <si>
    <t>CS1105</t>
  </si>
  <si>
    <t>Substituição de Chave Seccionadora tripolar 525kV, CS1115, referente ao Interligador de Barras da LT C.Novos C-1. Associado à obra são esperadas substituições/adaptações de fundações, suportes, cabos de controle/potência, barramento, conectores e conexão de aterramento.</t>
  </si>
  <si>
    <t>0002752/2022</t>
  </si>
  <si>
    <t>CS1115</t>
  </si>
  <si>
    <t>Substituição de Transformadores de Corrente 525 kV, referente ao Interligador de Barras, DJ1010, SE Areia, Fases A, B, C. Associado à obra são esperadas substituições/adaptações de fundações e suportes, caixa de junção, cabos de controle/potência, barramento, conectores e conexão de aterramento.</t>
  </si>
  <si>
    <t>0002754/2022</t>
  </si>
  <si>
    <t>TC DJ1010</t>
  </si>
  <si>
    <t>Substituição de Transformadores de Corrente 525 kV, referente ao Interligador de Barras, DJ1030, SE Areia, Fases A, B, C. Associado à obra são esperadas substituições/adaptações de fundações e suportes, caixa de junção, cabos de controle/potência, barramento, conectores e conexão de aterramento.</t>
  </si>
  <si>
    <t>0002757/2022</t>
  </si>
  <si>
    <t>TC DJ1030</t>
  </si>
  <si>
    <t>Substituição de Transformadores de Corrente 525 kV, referente ao Interligador de Barras, DJ1070, SE Areia, Fases A, B, C. Associado à obra são esperadas substituições/adaptações de fundações e suportes, caixa de junção, cabos de controle/potência, barramento, conectores e conexão de aterramento.</t>
  </si>
  <si>
    <t>0002758/2022</t>
  </si>
  <si>
    <t>TC DJ1070</t>
  </si>
  <si>
    <t>Substituição de Transformadores de Corrente 525 kV, referente ao Interligador de Barras, DJ1090, SE Areia, Fases A, B, C. Associado à obra são esperadas substituições/adaptações de fundações e suportes, caixa de junção, cabos de controle/potência, barramento, conectores e conexão de aterramento.</t>
  </si>
  <si>
    <t>0002760/2022</t>
  </si>
  <si>
    <t>TC DJ1090</t>
  </si>
  <si>
    <t>Substituição de Disjuntor tripolar 525 kV, DJ1012, referente ao TF 2 525/230 kV da SE Areia. Associado à obra, são esperadas substituições ou adaptações de fundações e suportes existentes, cabos de controle e potência, barramento, conectores e conexão do aterramento.</t>
  </si>
  <si>
    <t>TR 525/230 kV AREIA TR2 PR</t>
  </si>
  <si>
    <t>0002762/2022</t>
  </si>
  <si>
    <t>DJ1012</t>
  </si>
  <si>
    <t>Substituição de Chave Seccionadora tripolar 525 kV, CS1011, referente ao TF 2 525/230 kV da SE Areia. Associado à obra são esperadas substituições/adaptações de fundações, suportes, cabos de controle/potência, barramento, conectores e conexão de aterramento.</t>
  </si>
  <si>
    <t>0002764/2022</t>
  </si>
  <si>
    <t>CS1011</t>
  </si>
  <si>
    <t>Substituição de Chave Seccionadora tripolar 525 kV, CS1013, referente ao TF 2 525/230 kV da SE Areia. Associado à obra são esperadas substituições/adaptações de fundações, suportes, cabos de controle/potência, barramento, conectores e conexão de aterramento.</t>
  </si>
  <si>
    <t>0002766/2022</t>
  </si>
  <si>
    <t>CS1013</t>
  </si>
  <si>
    <t>Substituição de Chave Seccionadora tripolar 525 kV, CS1017, referente ao TF 2 525/230 kV da SE Areia. Associado à obra são esperadas substituições/adaptações de fundações, suportes, cabos de controle/potência, barramento, conectores e conexão de aterramento.</t>
  </si>
  <si>
    <t>0002768/2022</t>
  </si>
  <si>
    <t>CS1017</t>
  </si>
  <si>
    <t>Substituição de Transformadores de Corrente 525 kV, referente ao TF 2 525/230 kV da SE Areia, DJ1012, Fases A, B, C. Associado à obra são esperadas substituições/adaptações de fundações, suportes, caixa de junção, cabos, barramento, conectores e conexão de aterramento.</t>
  </si>
  <si>
    <t>0002772/2022</t>
  </si>
  <si>
    <t>TC DJ1012</t>
  </si>
  <si>
    <t>Substituição de Chave Seccionadora tripolar 230 kV, CS711, referente a LT Areia - Guarapuava Oeste C-1. Associado à obra são esperadas substituições/adaptações de fundações, suportes, cabos de controle/potência, barramento, conectores e conexão de aterramento.</t>
  </si>
  <si>
    <t>LT 230 kV AREIA / GUARAPUAVA OEST C 1 PR</t>
  </si>
  <si>
    <t>0002773/2022</t>
  </si>
  <si>
    <t>Substituição de Chave Seccionadora tripolar 230 kV, CS715, referente a LT Areia - Guarapuava Oeste C-1. Associado à obra são esperadas substituições/adaptações de fundações, suportes, cabos de controle/potência, barramento, conectores e conexão de aterramento.</t>
  </si>
  <si>
    <t>0002778/2022</t>
  </si>
  <si>
    <t>CS715</t>
  </si>
  <si>
    <t>DESTERRO</t>
  </si>
  <si>
    <t>MG DESTERRO / CCO-2001-057 - RB</t>
  </si>
  <si>
    <t>0002828/2022</t>
  </si>
  <si>
    <t>GRAVATAI3</t>
  </si>
  <si>
    <t>MG GRAVATAI3 / CCO-2001-057 - RB</t>
  </si>
  <si>
    <t>0002841/2022</t>
  </si>
  <si>
    <t>Substituição de Chave Seccionadora tripolar 230 kV, CS717, com lâmina de terra, referente a LT Areia - Guarapuava Oeste C-1. Associado à obra são esperadas substituições/adaptações de fundações, suportes, cabos de controle/potência, barramento, conectores e conexão de aterramento.</t>
  </si>
  <si>
    <t>0002851/2022</t>
  </si>
  <si>
    <t>CS717</t>
  </si>
  <si>
    <t>Substituição de Transformadores de Corrente 230 kV, referente a LT Areia - Guarapuava Oeste C-1 , DJ712, Fases A, B, C. Associado à obra são esperadas substituições/adaptações de fundações, suportes, caixa de junção, cabos, barramento, conectores e conexão de aterramento.</t>
  </si>
  <si>
    <t>0002855/2022</t>
  </si>
  <si>
    <t>TC DJ712</t>
  </si>
  <si>
    <t>JOINV.NORTE</t>
  </si>
  <si>
    <t>MG JOINV.NORTE / CCO-2001-057 - RB</t>
  </si>
  <si>
    <t>0002859/2022</t>
  </si>
  <si>
    <t>PRE.MEDICI</t>
  </si>
  <si>
    <t>LT 230 kV PRE.MEDICI /SANTA CRUZ1 C-1 RS</t>
  </si>
  <si>
    <t>0002861/2022</t>
  </si>
  <si>
    <t>Substituição de Transformadores de Potencial Capacitivo 230 kV, referente a LT Areia - Guarapuava Oeste C-1, Fases A, B, C. Associado à obra são esperadas substituições/adaptações de fundações, suportes, caixa de junção, cabos de controle/potência, barramento, conectores e conexão de aterramento.</t>
  </si>
  <si>
    <t>0002862/2022</t>
  </si>
  <si>
    <t>TPCA / TPCB / TPCC</t>
  </si>
  <si>
    <t>CANOINHAS ESU</t>
  </si>
  <si>
    <t>Substituição de dois conjuntos de para-raios 13,8 kV referentes ao terciário (Serviços Auxiliares) do TF 2 230/138 kV da SE Canoinhas, Fases A, B e C. Associado a obra são esperadas substituições/adaptações de fundações, suportes, cabos de controle e potência, barramento, conectores e conexão do aterramento.</t>
  </si>
  <si>
    <t>MG CANOINHAS ESU / CCO-2001-057 - RB</t>
  </si>
  <si>
    <t>0002865/2022</t>
  </si>
  <si>
    <t>PR 13.8</t>
  </si>
  <si>
    <t>Substituição de Chave Seccionadora tripolar 230 kV, CS741, referente a LT Areia - Salto Osório C-1. Associado à obra são esperadas substituições/adaptações de fundações, suportes, cabos de controle/potência, barramento, conectores e conexão de aterramento.</t>
  </si>
  <si>
    <t>LT 230 kV AREIA /S. OSORIO C-1 PR</t>
  </si>
  <si>
    <t>0002866/2022</t>
  </si>
  <si>
    <t>LT 138 kV CAMPO GRANDE / U. MIMOSO C-1 MS</t>
  </si>
  <si>
    <t>0002874/2022</t>
  </si>
  <si>
    <t>PR LT MIM C-1</t>
  </si>
  <si>
    <t>Substituição de Chave Seccionadora tripolar 230 kV, CS745, referente a LT Areia - Salto Osório C-1. Associado à obra são esperadas substituições/adaptações de fundações, suportes, cabos de controle/potência, barramento, conectores e conexão de aterramento.</t>
  </si>
  <si>
    <t>0002875/2022</t>
  </si>
  <si>
    <t>CS745</t>
  </si>
  <si>
    <t>Substituição de para-raios 138 kV referente a LT Joinville - Joinville IV C-2, Fases A, B e C. Associado a obra são esperadas substituições/adaptações de fundações, suportes, cabos de controle e potência, barramento, conectores e conexão do aterramento.</t>
  </si>
  <si>
    <t>LT 230 kV JOINVILLE / JOINVILLE IV  C-2 SC</t>
  </si>
  <si>
    <t>0002876/2022</t>
  </si>
  <si>
    <t>PR LT JVQ C-2</t>
  </si>
  <si>
    <t>Substituição de Chave Seccionadora tripolar 230 kV, CS747, com lâmina de terra, referente a LT Areia - Salto Osório C-1. Associado à obra são esperadas substituições/adaptações de fundações, suportes, cabos de controle/potência, barramento, conectores e conexão de aterramento.</t>
  </si>
  <si>
    <t>0002878/2022</t>
  </si>
  <si>
    <t>CS747</t>
  </si>
  <si>
    <t>Substituição de Transformadores de Corrente 230 kV, referente a LT Areia - Salto Osório C-1 , DJ742, Fases A, B, C. Associado à obra são esperadas substituições/adaptações de fundações, suportes, caixa de junção, cabos, barramento, conectores e conexão de aterramento.</t>
  </si>
  <si>
    <t>0002881/2022</t>
  </si>
  <si>
    <t>TC DJ742</t>
  </si>
  <si>
    <t>Substituição de Transformadores de Potencial Capacitivo 230 kV, referente a LT Areia - Salto Osório C-1, Fases A, B, C. Associado à obra são esperadas substituições/adaptações de fundações, suportes, caixa de junção, cabos de controle/potência, barramento, conectores e conexão de aterramento.</t>
  </si>
  <si>
    <t>0002883/2022</t>
  </si>
  <si>
    <t>Substituição de para-raios 230 kV referente a LT Canoinhas - São Mateus do Sul C-1, Fases A, B e C. Associado a obra são esperadas substituições/adaptações de fundações, suportes, cabos de controle e potência, barramento, conectores e conexão do aterramento.</t>
  </si>
  <si>
    <t>LT 230 kV CANOINHAS ESU/S.MATEUS SUL C-1 SC/PR</t>
  </si>
  <si>
    <t>0002885/2022</t>
  </si>
  <si>
    <t>PR LT SMS C-1</t>
  </si>
  <si>
    <t>FARROUPILHA</t>
  </si>
  <si>
    <t>Substituição de para-raios 230 kV referente a LT Farroupilha - Scharlau 2 C-1, Fases A, B e C. Associado a obra são esperadas substituições/adaptações de fundações, suportes, cabos de controle e potência, barramento, conectores e conexão do aterramento.</t>
  </si>
  <si>
    <t>LT 230 kV FARROUPILHA / SCHARLAU 2 C 1 RS</t>
  </si>
  <si>
    <t>0002886/2022</t>
  </si>
  <si>
    <t>PR LT SCH2 C-1</t>
  </si>
  <si>
    <t>Substituição de para-raios 230 kV referente ao TF 3 230/138 kV da SE Passo Fundo, Fases A, B e C. Associado a obra são esperadas substituições/adaptações de fundações, suportes, cabos de controle e potência, barramento, conectores e conexão do aterramento.</t>
  </si>
  <si>
    <t>0002888/2022</t>
  </si>
  <si>
    <t>PR TR3</t>
  </si>
  <si>
    <t>Substituição de para-raios 230 kV referente a LT Passo Fundo - Nova Prata 2 C-1, Fases A, B e C. Associado a obra são esperadas substituições/adaptações de fundações, suportes, cabos de controle e potência, barramento, conectores e conexão do aterramento.</t>
  </si>
  <si>
    <t>LT 230 kV PASSO FUNDO /NOVA PRATA 2 C-1 RS</t>
  </si>
  <si>
    <t>0002889/2022</t>
  </si>
  <si>
    <t>PR LT NPR2 C-1</t>
  </si>
  <si>
    <t>Substituição do sistema de controle e supervisão (com unidade redundante) da LT 230 kV Assis - Londrina Copel C-2, e dos cabos de controle e potência associados.</t>
  </si>
  <si>
    <t>0002892/2022</t>
  </si>
  <si>
    <t>Controle - LT LNA C-2</t>
  </si>
  <si>
    <t>Substituição de Chave Seccionadora tripolar 230 kV, CS721, referente a LT Areia - Salto Osório C-2. Associado à obra são esperadas substituições/adaptações de fundações, suportes, cabos de controle/potência, barramento, conectores e conexão de aterramento.</t>
  </si>
  <si>
    <t>LT 230 kV AREIA /S. OSORIO C-2 PR</t>
  </si>
  <si>
    <t>0002895/2022</t>
  </si>
  <si>
    <t>Substituição de Chave Seccionadora tripolar 230 kV, CS725, referente a LT Areia - Salto Osório C-2. Associado à obra são esperadas substituições/adaptações de fundações, suportes, cabos de controle/potência, barramento, conectores e conexão de aterramento.</t>
  </si>
  <si>
    <t>0002896/2022</t>
  </si>
  <si>
    <t>CS725</t>
  </si>
  <si>
    <t>Substituição de Chave Seccionadora tripolar 230 kV, CS727, com lâmina de terra, referente a LT Areia - Salto Osório C-2. Associado à obra são esperadas substituições/adaptações de fundações, suportes, cabos de controle/potência, barramento, conectores e conexão de aterramento.</t>
  </si>
  <si>
    <t>0002897/2022</t>
  </si>
  <si>
    <t>CS727</t>
  </si>
  <si>
    <t>0002902/2022</t>
  </si>
  <si>
    <t>SACC - 48Vcc - BAT</t>
  </si>
  <si>
    <t>Substituição de Transformadores de Corrente 230 kV, referente a LT Areia - Salto Osório C-2 , DJ722, Fases A, B, C. Associado à obra são esperadas substituições/adaptações de fundações, suportes, caixa de junção, cabos, barramento, conectores e conexão de aterramento.</t>
  </si>
  <si>
    <t>0002905/2022</t>
  </si>
  <si>
    <t>TC DJ722</t>
  </si>
  <si>
    <t>Instalação de dois Retificadores 48 Vcc (Carregadores de Baterias), com Quadro de Distribuição CC e Unidade Supervisora CC, em substituição ao retificador duplo existente, na Repetidora Nova Veneza (Repetidora associada à SE Itá). Capacidade de cada novo retificador: 50 A.</t>
  </si>
  <si>
    <t>0002908/2022</t>
  </si>
  <si>
    <t>SACC - 48 Vcc - RET</t>
  </si>
  <si>
    <t>0002911/2022</t>
  </si>
  <si>
    <t>0002912/2022</t>
  </si>
  <si>
    <t>U.MIMOSO</t>
  </si>
  <si>
    <t>LT 138 kV U.MIMOSO / CAMPO GRANDE C-3 MS</t>
  </si>
  <si>
    <t>0002914/2022</t>
  </si>
  <si>
    <t>0002915/2022</t>
  </si>
  <si>
    <t>Substituição de Transformadores de Potencial Capacitivo 230 kV, referente a LT Areia - Salto Osório C-2, Fases A, B, C. Associado à obra são esperadas substituições/adaptações de fundações, suportes, caixa de junção, cabos de controle/potência, barramento, conectores e conexão de aterramento.</t>
  </si>
  <si>
    <t>0002916/2022</t>
  </si>
  <si>
    <t>Substituição de Chave Seccionadora tripolar 230 kV, CS731, referente a LT Areia - S.Mateus Sul C-1. Associado à obra são esperadas substituições/adaptações de fundações, suportes, cabos de controle/potência, barramento, conectores e conexão de aterramento.</t>
  </si>
  <si>
    <t>LT 230 kV AREIA /S.MATEUS SUL C-1 PR</t>
  </si>
  <si>
    <t>0002936/2022</t>
  </si>
  <si>
    <t>Substituição de Chave Seccionadora tripolar 230 kV, CS735, referente a LT Areia - S.Mateus Sul C-1. Associado à obra são esperadas substituições/adaptações de fundações, suportes, cabos de controle/potência, barramento, conectores e conexão de aterramento.</t>
  </si>
  <si>
    <t>0002938/2022</t>
  </si>
  <si>
    <t>CS735</t>
  </si>
  <si>
    <t>Substituição de Chave Seccionadora tripolar 230 kV, CS737, com lâmina de terra, referente a LT Areia - S.Mateus Sul C-1. Associado à obra são esperadas substituições/adaptações de fundações, suportes, cabos de controle/potência, barramento, conectores e conexão de aterramento.</t>
  </si>
  <si>
    <t>0002939/2022</t>
  </si>
  <si>
    <t>CS737</t>
  </si>
  <si>
    <t>Substituição de Transformadores de Potencial Capacitivo 230 kV, referente a LT Areia - S.Mateus Sul C-1, Fases A, B, C. Associado à obra são esperadas substituições/adaptações de fundações, suportes, caixa de junção, cabos de controle/potência, barramento, conectores e conexão de aterramento.</t>
  </si>
  <si>
    <t>0002941/2022</t>
  </si>
  <si>
    <t>Substituição de Transformadores de Potencial Capacitivo 230 kV, referente a Barra P (BAP230) da SE Areia, Fases A, B, C. Associado à obra são esperadas substituições/adaptações de fundações, suportes, caixa de junção, cabos de controle e potência, barramento, conectores e conexão de aterramento.</t>
  </si>
  <si>
    <t>0003089/2022</t>
  </si>
  <si>
    <t>Substituição de Disjuntor tripolar 230 kV, DJ752, referente ao TF 1 230/138 kV da SE Areia. Associado à obra, são esperadas substituições ou adaptações de fundações e suportes existentes, cabos de controle e potência, barramento, conectores e conexão do aterramento.</t>
  </si>
  <si>
    <t>TR 230/138 kV AREIA TR1 PR</t>
  </si>
  <si>
    <t>0003093/2022</t>
  </si>
  <si>
    <t>DJ752</t>
  </si>
  <si>
    <t>Substituição de Transformadores de Corrente 230 kV, referente ao TF 1 230/138 kV da SE Areia, DJ752, Fases A, B, C. Associado à obra são esperadas substituições/adaptações de fundações, suportes, caixa de junção, cabos, barramento, conectores e conexão de aterramento.</t>
  </si>
  <si>
    <t>0003097/2022</t>
  </si>
  <si>
    <t>TC DJ752</t>
  </si>
  <si>
    <t>Substituição de Disjuntor tripolar 230 kV, DJ772, referente ao TF 3 230/138 kV da SE Areia. Associado à obra, são esperadas substituições ou adaptações de fundações e suportes existentes, cabos de controle e potência, barramento, conectores e conexão do aterramento.</t>
  </si>
  <si>
    <t>TR 230/138 kV AREIA TR3 PR</t>
  </si>
  <si>
    <t>0003099/2022</t>
  </si>
  <si>
    <t>DJ772</t>
  </si>
  <si>
    <t>Substituição de Chave Seccionadora tripolar 230 kV, CS771, referente ao TF 3 230/138 kV da SE Areia. Associado à obra são esperadas substituições/adaptações de fundações, suportes, cabos de controle/potência, barramento, conectores e conexão de aterramento.</t>
  </si>
  <si>
    <t>0003100/2022</t>
  </si>
  <si>
    <t>CS771</t>
  </si>
  <si>
    <t>Substituição de Chave Seccionadora tripolar 230 kV, CS775, referente ao TF 3 230/138 kV da SE Areia. Associado à obra são esperadas substituições/adaptações de fundações, suportes, cabos de controle/potência, barramento, conectores e conexão de aterramento.</t>
  </si>
  <si>
    <t>0003102/2022</t>
  </si>
  <si>
    <t>CS775</t>
  </si>
  <si>
    <t>Substituição de Chave Seccionadora tripolar 230 kV, CS777, referente ao TF 3 230/138 kV da SE Areia. Associado à obra são esperadas substituições/adaptações de fundações, suportes, cabos de controle/potência, barramento, conectores e conexão de aterramento.</t>
  </si>
  <si>
    <t>0003104/2022</t>
  </si>
  <si>
    <t>CS777</t>
  </si>
  <si>
    <t>Substituição de Disjuntor tripolar 230 kV, DJ792, referente ao TF 2 525/230 kV da SE Areia. Associado à obra, são esperadas substituições ou adaptações de fundações e suportes existentes, cabos de controle e potência, barramento, conectores e conexão do aterramento.</t>
  </si>
  <si>
    <t>0003107/2022</t>
  </si>
  <si>
    <t>Substituição de Transformador de Potencial Capacitivo 230 kV, referente ao TF 2 525/230 kV da SE Areia, Fase A. Associado à obra são esperadas substituições/adaptações de fundações, suportes, caixa de junção, cabos de controle/potência, barramento, conectores e conexão de aterramento.</t>
  </si>
  <si>
    <t>0003108/2022</t>
  </si>
  <si>
    <t>TPCA</t>
  </si>
  <si>
    <t>Substituição das proteções Principal, Alternada e Falha de Disjuntor (Principal), incluindo painéis e cabos de controle e potência associados, referente a LT 230 kV Itajaí - Blumenau C-1.</t>
  </si>
  <si>
    <t>LT 230 kV ITAJAI / BLUMENAU C-1 SC</t>
  </si>
  <si>
    <t>0003111/2022</t>
  </si>
  <si>
    <t>PP, PA, BA, BF - LT BLU C-1</t>
  </si>
  <si>
    <t>Substituição do sistema de controle e supervisão (com unidade redundante) da LT 230 kV Itajaí - Blumenau C-1, e dos cabos de controle e potência associados.</t>
  </si>
  <si>
    <t>0003112/2022</t>
  </si>
  <si>
    <t>Controle - LT BLU C-1</t>
  </si>
  <si>
    <t>Substituição das proteções Principal, Alternada e Falha de Disjuntor (Principal), incluindo painéis e cabos de controle e potência associados, referente a LT 230 kV Blumenau - Itajaí C-1.</t>
  </si>
  <si>
    <t>LT 230 kV BLUMENAU /ITAJAI C-1 SC</t>
  </si>
  <si>
    <t>0003114/2022</t>
  </si>
  <si>
    <t>PP, PA, BF - LT ITJ C-1</t>
  </si>
  <si>
    <t>Substituição das proteções Principal, Alternada e Falha de Disjuntor (Principal), incluindo painéis e cabos de controle e potência associados, referente a LT 230 kV Itajaí - Blumenau C-2.</t>
  </si>
  <si>
    <t>LT 230 kV ITAJAI / BLUMENAU C-2 SC</t>
  </si>
  <si>
    <t>0003117/2022</t>
  </si>
  <si>
    <t>PP, PA, BA, BF - LT BLU C-2</t>
  </si>
  <si>
    <t>Substituição do sistema de controle e supervisão (com unidade redundante) da LT 230 kV Itajaí - Blumenau C-2, e dos cabos de controle e potência associados.</t>
  </si>
  <si>
    <t>0003119/2022</t>
  </si>
  <si>
    <t>Controle - LT BLU C-2</t>
  </si>
  <si>
    <t>Substituição das proteções Principal, Alternada e Falha de Disjuntor (Principal), incluindo painéis e cabos de controle e potência associados, referente a LT 230 kV Blumenau - Itajaí C-2.</t>
  </si>
  <si>
    <t>LT 230 kV BLUMENAU /ITAJAI C-2 SC</t>
  </si>
  <si>
    <t>0003122/2022</t>
  </si>
  <si>
    <t>PP, PA, BF - LT ITJ C-2</t>
  </si>
  <si>
    <t>Substituição de Retificador (Carregador de Baterias) 125 Vcc - SACC125-RET1, da SE Passo Fundo. Capacidade do novo equipamento: &gt;= 65 A.</t>
  </si>
  <si>
    <t>MG PASSO FUNDO / CCO-2001-057 - RB</t>
  </si>
  <si>
    <t>0003125/2022</t>
  </si>
  <si>
    <t>Substituição de Retificador (Carregador de Baterias) 125 Vcc - SACC125-RET2, da SE Passo Fundo. Capacidade do novo equipamento: &gt;= 65 A.</t>
  </si>
  <si>
    <t>0003126/2022</t>
  </si>
  <si>
    <t>Substituição dos Painéis de Distribuição 125 VCC (PAINEL/L) e cabos associados, referentes aos Serviços Auxiliares da SE Passo Fundo.</t>
  </si>
  <si>
    <t>0003127/2022</t>
  </si>
  <si>
    <t>Substituição dos Painéis de Distribuição 380 VCA (PAINEL/I, PCMG) e cabos associados, referentes aos Serviços Auxiliares da SE Passo Fundo.</t>
  </si>
  <si>
    <t>0003128/2022</t>
  </si>
  <si>
    <t>Painel - 380 VCA</t>
  </si>
  <si>
    <t>Substituição dos Painéis de Distribuição 220 VCA (PAINEL/J) e cabos associados, referentes aos Serviços Auxiliares da SE Passo Fundo.</t>
  </si>
  <si>
    <t>0003129/2022</t>
  </si>
  <si>
    <t>Painel - 220 VCA</t>
  </si>
  <si>
    <t>MG CAMPO GRANDE / CCO-2001-057 - DIT</t>
  </si>
  <si>
    <t>0003132/2022</t>
  </si>
  <si>
    <t>0003133/2022</t>
  </si>
  <si>
    <t>SUBSTITUIÇÃO DO DISJUNTOR JRDJ6-03 DO TRANSFORMADOR JRTF6-01</t>
  </si>
  <si>
    <t>0003415/2022</t>
  </si>
  <si>
    <t>JRDJ6-03</t>
  </si>
  <si>
    <t>Substituição da cadeia de proteção de barras principal, referente às barras P e PT de 230 kV da SE Itajaí, incluindo uma Unidade Central e sete unidades de Bay (vãos TF 1 230/138 kV, TF 2 230/138 kV, TF 3 230/138 kV, TF 4 230/138 kV e Interligador de Barras - IB, LT 230 kV Itajaí - Blumenau C-1 e C2), painéis, cabos de controle e potência associados.</t>
  </si>
  <si>
    <t>0003136/2022</t>
  </si>
  <si>
    <t>BA - Barras P e PT</t>
  </si>
  <si>
    <t>Substituição da proteção de barra de 138 kV da SE Itajaí, incluindo uma Unidade Central (barras P e PT) e treze unidades de Bay (vãos Camboriú M. Boi C-1, Itajaí Fazenda C-1, Itajaí Itaipava C-1, Itajaí Itaipava C-2, Ilhota C-1 e C-2, Brusque C-1 e C-2, TF 1 230/138 kV, TF 2 230/138 kV, TF 3 230/138 kV, TF 4 230/138 kV e Interligador de Barras - IB), cabos de controle e potência e painéis associados.</t>
  </si>
  <si>
    <t>0003139/2022</t>
  </si>
  <si>
    <t>Substituição de Disjuntor tripolar 525 kV, DJ1052, referente a LT Curitiba - Areia C-1. Associado à obra, são esperadas substituições ou adaptações de fundações e suportes existentes, cabos de controle e potência, barramento, conectores e conexão do aterramento do equipamento.</t>
  </si>
  <si>
    <t>LT 525 kV CURITIBA / AREIA C-1 PR</t>
  </si>
  <si>
    <t>0003143/2022</t>
  </si>
  <si>
    <t>Substituição das proteções Primária, Secundária e Falha de Disjuntor, incluindo painéis e cabos de controle e potência associados, referente a LT 138 kV Itajaí - Ilhota C-2.</t>
  </si>
  <si>
    <t>LT 138 kV ITAJAI / ILHOTA C-2 SC</t>
  </si>
  <si>
    <t>0003144/2022</t>
  </si>
  <si>
    <t>PP, PS, BA, BF - LT ITA C-2</t>
  </si>
  <si>
    <t>Substituição de Chave Seccionadora tripolar 525 kV, CS1051, referente a LT Curitiba - Areia C-1. Associado à obra são esperadas substituições/adaptações de fundações, suportes, cabos de controle/potência, barramento, conectores e conexão de aterramento.</t>
  </si>
  <si>
    <t>0003145/2022</t>
  </si>
  <si>
    <t>CS1051</t>
  </si>
  <si>
    <t>Substituição do sistema de controle e supervisão da LT 138 kV Itajaí - Ilhota C-2, e dos cabos de controle e potência associados.</t>
  </si>
  <si>
    <t>0003146/2022</t>
  </si>
  <si>
    <t>Controle - LT ITA C-2</t>
  </si>
  <si>
    <t>Substituição de Chave Seccionadora tripolar 525 kV, CS1053, referente a LT Curitiba - Areia C-1. Associado à obra são esperadas substituições/adaptações de fundações, suportes, cabos de controle/potência, barramento, conectores e conexão de aterramento.</t>
  </si>
  <si>
    <t>0003147/2022</t>
  </si>
  <si>
    <t>CS1053</t>
  </si>
  <si>
    <t>Substituição de Chave Seccionadora tripolar 525 kV, CS1057, com lâmina de terra, referente a LT Curitiba - Areia C-1. Associado à obra são esperadas substituições/adaptações de fundações, suportes, cabos de controle/potência, barramento, conectores e conexão de aterramento.</t>
  </si>
  <si>
    <t>0003149/2022</t>
  </si>
  <si>
    <t>CS1057 / CS1057T</t>
  </si>
  <si>
    <t>Substituição de Transformadores de Corrente 525 kV, referente a LT Curitiba - Areia C-1, DJ1052, Fases A, B, C. Associado à obra são esperadas substituições/adaptações de fundações, suportes, caixa de junção, cabos, barramento, conectores e conexão de aterramento.</t>
  </si>
  <si>
    <t>0003152/2022</t>
  </si>
  <si>
    <t>TC DJ1052</t>
  </si>
  <si>
    <t>Substituição do sistema de controle e supervisão da LT 138 kV Itajaí - Camboriú M. Boi C-1, e dos cabos de controle e potência associados.</t>
  </si>
  <si>
    <t>LT 138 kV ITAJAI / CAMBORIU M. BOI C-1 SC</t>
  </si>
  <si>
    <t>0003153/2022</t>
  </si>
  <si>
    <t>Controle - LT CMB C-1</t>
  </si>
  <si>
    <t>Substituição de Disjuntor tripolar 525 kV, DJ1072, referente a LT Curitiba - Bateias C-1. Associado à obra, são esperadas substituições ou adaptações de fundações e suportes existentes, cabos de controle e potência, barramento, conectores e conexão do aterramento do equipamento.</t>
  </si>
  <si>
    <t>0003154/2022</t>
  </si>
  <si>
    <t>Substituição de Chave Seccionadora tripolar 525 kV, CS1071, referente a LT Curitiba - Bateias C-1. Associado à obra são esperadas substituições/adaptações de fundações, suportes, cabos de controle/potência, barramento, conectores e conexão de aterramento.</t>
  </si>
  <si>
    <t>0003156/2022</t>
  </si>
  <si>
    <t>Substituição do sistema de controle e supervisão da LT 138 kV Itajaí - Itajaí Fazenda C-1, e dos cabos de controle e potência associados.</t>
  </si>
  <si>
    <t>LT 138 kV ITAJAI / ITAJAI FAZENDA C-1 SC</t>
  </si>
  <si>
    <t>0003157/2022</t>
  </si>
  <si>
    <t>Controle - LT IFA C-1</t>
  </si>
  <si>
    <t>Substituição de Chave Seccionadora tripolar 525 kV, CS1073, referente a LT Curitiba - Bateias C-1. Associado à obra são esperadas substituições/adaptações de fundações, suportes, cabos de controle/potência, barramento, conectores e conexão de aterramento.</t>
  </si>
  <si>
    <t>0003161/2022</t>
  </si>
  <si>
    <t>Substituição de Chave Seccionadora tripolar 525 kV, CS1077, com lâmina de terra, referente a LT Curitiba - Bateias C-1. Associado à obra são esperadas substituições/adaptações de fundações, suportes, cabos de controle/potência, barramento, conectores e conexão de aterramento.</t>
  </si>
  <si>
    <t>0003164/2022</t>
  </si>
  <si>
    <t>LT 138 kV CAMPO GRANDE / U.MIMOSO C-1 MS</t>
  </si>
  <si>
    <t>0003166/2022</t>
  </si>
  <si>
    <t>DJ512</t>
  </si>
  <si>
    <t>Substituição de Disjuntor tripolar 525 kV, DJ1022, referente a LT Curitiba - Blumenau C-1 (futura LT Curitiba - Joinville Sul C-1). Associado à obra, são esperadas substituições ou adaptações de fundações e suportes existentes, cabos de controle e potência, barramento, conectores e conexão do aterramento do equipamento.</t>
  </si>
  <si>
    <t>LT 525 kV CURITIBA / BLUMENAU C-1 PR / SC</t>
  </si>
  <si>
    <t>0003167/2022</t>
  </si>
  <si>
    <t>DJ1022</t>
  </si>
  <si>
    <t>Substituição de Chave Seccionadora tripolar 525 kV, CS1021, referente a LT Curitiba - Blumenau C-1 (futura LT Curitiba - Joinville Sul C-1). Associado à obra são esperadas substituições/adaptações de fundações, suportes, cabos de controle/potência, barramento, conectores e conexão de aterramento.</t>
  </si>
  <si>
    <t>0003168/2022</t>
  </si>
  <si>
    <t>CS1021</t>
  </si>
  <si>
    <t>LT 138 kV CAMPO GRANDE / U.MIMOSO C-2 MS</t>
  </si>
  <si>
    <t>0003169/2022</t>
  </si>
  <si>
    <t>DJ522</t>
  </si>
  <si>
    <t>Substituição de Chave Seccionadora tripolar 525 kV, CS1023, referente a LT Curitiba - Blumenau C-1 (futura LT Curitiba - Joinville Sul C-1). Associado à obra são esperadas substituições/adaptações de fundações, suportes, cabos de controle/potência, barramento, conectores e conexão de aterramento.</t>
  </si>
  <si>
    <t>0003170/2022</t>
  </si>
  <si>
    <t>CS1023</t>
  </si>
  <si>
    <t>0003171/2022</t>
  </si>
  <si>
    <t>DJ532</t>
  </si>
  <si>
    <t>Substituição de Chave Seccionadora tripolar 525 kV, CS1027, com lâmina de terra, referente a LT Curitiba - Blumenau C-1 (futura LT Curitiba - Joinville Sul C-1). Associado à obra são esperadas substituições/adaptações de fundações, suportes, cabos de controle/potência, barramento, conectores e conexão de aterramento.</t>
  </si>
  <si>
    <t>0003172/2022</t>
  </si>
  <si>
    <t>CS1027 / CS1027T</t>
  </si>
  <si>
    <t>Substituição de Disjuntor tripolar 525 kV, DJ1050, referente ao Interligador de Barras entre a LT Areia C-1 e o TF 1. Associado à obra, são esperadas substituições/adaptações de fundações e suportes, cabos de controle e potência, barramento, conectores e conexão de aterramento.</t>
  </si>
  <si>
    <t>0003175/2022</t>
  </si>
  <si>
    <t>DJ1050</t>
  </si>
  <si>
    <t>LT 138 kV CAMPO GRANDE / CAMPO GRANDE CUIABA C-2 MS</t>
  </si>
  <si>
    <t>0003176/2022</t>
  </si>
  <si>
    <t>DJ542</t>
  </si>
  <si>
    <t>LT 138 kV CAMPO GRANDE / CAMPO GRANDE M.COUTO C-1 MS</t>
  </si>
  <si>
    <t>0003178/2022</t>
  </si>
  <si>
    <t>DJ572</t>
  </si>
  <si>
    <t>LT 138 kV CAMPO GRANDE / CAMPO GRANDE M.COUTO C-2 MS</t>
  </si>
  <si>
    <t>0003181/2022</t>
  </si>
  <si>
    <t>DJ582</t>
  </si>
  <si>
    <t>SUBSTITUIÇÃO DO DISJUNTOR IZDJ7-02</t>
  </si>
  <si>
    <t>0003183/2022</t>
  </si>
  <si>
    <t>IZDJ7-02</t>
  </si>
  <si>
    <t>LT 138 kV CAMPO GRANDE / U.MIMOSO C-4 MS</t>
  </si>
  <si>
    <t>0003184/2022</t>
  </si>
  <si>
    <t>LT 138 kV CAMPO GRANDE / SIDROLANDIA C-1 MS</t>
  </si>
  <si>
    <t>0003187/2022</t>
  </si>
  <si>
    <t>DJ632</t>
  </si>
  <si>
    <t>Substituição de Disjuntor tripolar 525 kV, DJ1070, referente ao Interligador de Barras entre a LT Bateias C-1 e o TF 2. Associado à obra, são esperadas substituições/adaptações de fundações e suportes, cabos de controle e potência, barramento, conectores e conexão de aterramento.</t>
  </si>
  <si>
    <t>0003189/2022</t>
  </si>
  <si>
    <t>Substituição de Chave Seccionadora tripolar 525kV, CS1025, referente ao Interligador de Barras entre a LT Blumenau C-1 e o Reator 2. Associado à obra são esperadas substituições/adaptações de fundações, suportes, cabos de controle/potência, barramento, conectores e conexão de aterramento.</t>
  </si>
  <si>
    <t>0003192/2022</t>
  </si>
  <si>
    <t>LT 138 kV CAMPO GRANDE / A.GUARIROBA C-1 MS</t>
  </si>
  <si>
    <t>0003193/2022</t>
  </si>
  <si>
    <t>DJ642</t>
  </si>
  <si>
    <t>Substituição de Chave Seccionadora tripolar 525kV, CS1035, referente ao Interligador de Barras entre a LT Blumenau C-1 e o Reator 2. Associado à obra são esperadas substituições/adaptações de fundações, suportes, cabos de controle/potência, barramento, conectores e conexão de aterramento.</t>
  </si>
  <si>
    <t>0003194/2022</t>
  </si>
  <si>
    <t>Substituição de Chave Seccionadora tripolar 525kV, CS1045, referente ao Interligador de Barras entre a LT Areia C-1 e o TF 1. Associado à obra são esperadas substituições/adaptações de fundações, suportes, cabos de controle/potência, barramento, conectores e conexão de aterramento.</t>
  </si>
  <si>
    <t>0003197/2022</t>
  </si>
  <si>
    <t>CS1045</t>
  </si>
  <si>
    <t>Substituição de Chave Seccionadora tripolar 525kV, CS1055, referente ao Interligador de Barras entre a LT Areia C-1 e o TF 1. Associado à obra são esperadas substituições/adaptações de fundações, suportes, cabos de controle/potência, barramento, conectores e conexão de aterramento.</t>
  </si>
  <si>
    <t>0003201/2022</t>
  </si>
  <si>
    <t>CS1055</t>
  </si>
  <si>
    <t>Substituição de Chave Seccionadora tripolar 525kV, CS1065, referente ao Interligador de Barras entre a LT Bateias C-1 e o TF 2. Associado à obra são esperadas substituições/adaptações de fundações, suportes, cabos de controle/potência, barramento, conectores e conexão de aterramento.</t>
  </si>
  <si>
    <t>0003203/2022</t>
  </si>
  <si>
    <t>Substituição de Chave Seccionadora tripolar 525kV, CS1075, referente ao Interligador de Barras entre a LT Bateias C-1 e o TF 2. Associado à obra são esperadas substituições/adaptações de fundações, suportes, cabos de controle/potência, barramento, conectores e conexão de aterramento.</t>
  </si>
  <si>
    <t>0003205/2022</t>
  </si>
  <si>
    <t>Substituição de Transformadores de Corrente 525 kV, referente ao Interligador de Barras, DJ1050, SE Curitiba, Fases A, B, C. Associado à obra são esperadas substituições/adaptações de fundações e suportes, caixa de junção, cabos de controle/potência, barramento, conectores e conexão de aterramento.</t>
  </si>
  <si>
    <t>0003207/2022</t>
  </si>
  <si>
    <t>TC DJ1050</t>
  </si>
  <si>
    <t>0003208/2022</t>
  </si>
  <si>
    <t>CS517</t>
  </si>
  <si>
    <t>Substituição das proteções Principal, Alternada e Falha de Disjuntor (Principal), incluindo painéis e cabos de controle e potência associados, referente ao TF 2 230/138 kV, lado de 230 kV, da SE Itajaí.</t>
  </si>
  <si>
    <t>TR 230/138 kV ITAJAI TR2 SC</t>
  </si>
  <si>
    <t>0003209/2022</t>
  </si>
  <si>
    <t>PP, PA, BA, BF - TF 2 230</t>
  </si>
  <si>
    <t>SUBSTITUIÇÃO DO DISJUNTOR PDDJ7-02</t>
  </si>
  <si>
    <t>0003211/2022</t>
  </si>
  <si>
    <t>PDDJ7-02</t>
  </si>
  <si>
    <t>0003212/2022</t>
  </si>
  <si>
    <t>CS519</t>
  </si>
  <si>
    <t>Substituição de Transformadores de Corrente 525 kV, referente ao Interligador de Barras, DJ1070, SE Curitiba, Fases A, B, C. Associado à obra são esperadas substituições/adaptações de fundações e suportes, caixa de junção, cabos de controle/potência, barramento, conectores e conexão de aterramento.</t>
  </si>
  <si>
    <t>0003213/2022</t>
  </si>
  <si>
    <t>Substituição do sistema de controle e supervisão (com unidade redundante) do TF 2 230/138 kV, lado de 230 kV, da SE Itajaí, e dos cabos de controle e potência associados.</t>
  </si>
  <si>
    <t>0003214/2022</t>
  </si>
  <si>
    <t>Controle - TF 2 230</t>
  </si>
  <si>
    <t>Substituição de Chave Seccionadora tripolar 525 kV, CS1059, referente ao Reator 1 da SE Curitiba. Associado à obra são esperadas substituições/adaptações de fundações, suportes, cabos de controle/potência, barramento, conectores e conexão de aterramento.</t>
  </si>
  <si>
    <t>0003215/2022</t>
  </si>
  <si>
    <t>CS1059</t>
  </si>
  <si>
    <t>0003217/2022</t>
  </si>
  <si>
    <t>CS527</t>
  </si>
  <si>
    <t>SUBSTITUIÇÃO DO DISJUNTOR PDDJ7-03</t>
  </si>
  <si>
    <t>0003218/2022</t>
  </si>
  <si>
    <t>RPDJ7-03</t>
  </si>
  <si>
    <t>Substituição de Para-Raios 525 kV, referente ao Reator 1 da SE Curitiba, Fases B e C. Associado à obra, são esperadas substituições ou adaptações de fundações e suportes existentes, cabos de controle e potência, barramento, conectores e conexão do aterramento.</t>
  </si>
  <si>
    <t>0003219/2022</t>
  </si>
  <si>
    <t>PRB / PRC</t>
  </si>
  <si>
    <t>0003220/2022</t>
  </si>
  <si>
    <t>CS529</t>
  </si>
  <si>
    <t>Substituição de Chave Seccionadora tripolar 525 kV, CS1039, referente ao Reator 2 da SE Curitiba. Associado à obra são esperadas substituições/adaptações de fundações, suportes, cabos de controle/potência, barramento, conectores e conexão de aterramento.</t>
  </si>
  <si>
    <t>RT 525 kV 150 Mvar CURITIBA RT2 PR</t>
  </si>
  <si>
    <t>0003222/2022</t>
  </si>
  <si>
    <t>CS1039</t>
  </si>
  <si>
    <t>0003223/2022</t>
  </si>
  <si>
    <t>Substituição de Disjuntor tripolar 525 kV, DJ1042, referente ao TF 1 525/230 kV da SE Curitiba. Associado à obra, são esperadas substituições ou adaptações de fundações e suportes existentes, cabos de controle e potência, barramento, conectores e conexão do aterramento.</t>
  </si>
  <si>
    <t>TR 525/230 kV CURITIBA TR1 PR</t>
  </si>
  <si>
    <t>0003224/2022</t>
  </si>
  <si>
    <t>DJ1042</t>
  </si>
  <si>
    <t>0003226/2022</t>
  </si>
  <si>
    <t>Substituição de Chave Seccionadora tripolar 525 kV, CS1041, referente ao TF 1 525/230 kV da SE Curitiba. Associado à obra são esperadas substituições/adaptações de fundações, suportes, cabos de controle/potência, barramento, conectores e conexão de aterramento.</t>
  </si>
  <si>
    <t>0003227/2022</t>
  </si>
  <si>
    <t>CS1041</t>
  </si>
  <si>
    <t>0003228/2022</t>
  </si>
  <si>
    <t>CS577</t>
  </si>
  <si>
    <t>Substituição de Chave Seccionadora tripolar 525 kV, CS1043, referente ao TF 1 525/230 kV da SE Curitiba. Associado à obra são esperadas substituições/adaptações de fundações, suportes, cabos de controle/potência, barramento, conectores e conexão de aterramento.</t>
  </si>
  <si>
    <t>0003230/2022</t>
  </si>
  <si>
    <t>CS1043</t>
  </si>
  <si>
    <t>Substituição de Chave Seccionadora tripolar 525 kV, CS1047, referente ao TF 1 525/230 kV da SE Curitiba. Associado à obra são esperadas substituições/adaptações de fundações, suportes, cabos de controle/potência, barramento, conectores e conexão de aterramento.</t>
  </si>
  <si>
    <t>0003231/2022</t>
  </si>
  <si>
    <t>CS1047</t>
  </si>
  <si>
    <t>Substituição de Transformadores de Corrente 525 kV, referente ao TF 1 525/230 kV da SE Curitiba, DJ1042, Fases A, B, C. Associado à obra são esperadas substituições/adaptações de fundações, suportes, caixa de junção, cabos, barramento, conectores e conexão de aterramento.</t>
  </si>
  <si>
    <t>0003232/2022</t>
  </si>
  <si>
    <t>TC DJ1042</t>
  </si>
  <si>
    <t>Substituição de Disjuntor tripolar 525 kV, DJ1062, referente ao TF 2 525/230 kV da SE Curitiba. Associado à obra, são esperadas substituições ou adaptações de fundações e suportes existentes, cabos de controle e potência, barramento, conectores e conexão do aterramento.</t>
  </si>
  <si>
    <t>TR 525/230 kV CURITIBA TR2 PR</t>
  </si>
  <si>
    <t>0003233/2022</t>
  </si>
  <si>
    <t>Substituição de Chave Seccionadora tripolar 525 kV, CS1061, referente ao TF 2 525/230 kV da SE Curitiba. Associado à obra são esperadas substituições/adaptações de fundações, suportes, cabos de controle/potência, barramento, conectores e conexão de aterramento.</t>
  </si>
  <si>
    <t>0003235/2022</t>
  </si>
  <si>
    <t>SUBSTITUIÇÃO DO DISJUNTOR PDDJ7-04</t>
  </si>
  <si>
    <t>0003236/2022</t>
  </si>
  <si>
    <t>PDDJ7-04</t>
  </si>
  <si>
    <t>Substituição de Chave Seccionadora tripolar 525 kV, CS1063, referente ao TF 2 525/230 kV da SE Curitiba. Associado à obra são esperadas substituições/adaptações de fundações, suportes, cabos de controle/potência, barramento, conectores e conexão de aterramento.</t>
  </si>
  <si>
    <t>0003238/2022</t>
  </si>
  <si>
    <t>Substituição de Chave Seccionadora tripolar 525 kV, CS1067, referente ao TF 2 525/230 kV da SE Curitiba. Associado à obra são esperadas substituições/adaptações de fundações, suportes, cabos de controle/potência, barramento, conectores e conexão de aterramento.</t>
  </si>
  <si>
    <t>0003239/2022</t>
  </si>
  <si>
    <t>CS1067</t>
  </si>
  <si>
    <t>Substituição de Transformadores de Corrente 525 kV, referente ao TF 2 525/230 kV da SE Curitiba, DJ1062, Fases A, B, C. Associado à obra são esperadas substituições/adaptações de fundações, suportes, caixa de junção, cabos, barramento, conectores e conexão de aterramento.</t>
  </si>
  <si>
    <t>0003241/2022</t>
  </si>
  <si>
    <t>SUBSTITUIÇÃO DO DISJUNTOR PDDJ7-01</t>
  </si>
  <si>
    <t>0003242/2022</t>
  </si>
  <si>
    <t>PDDJ7-01</t>
  </si>
  <si>
    <t>Substituição de Transformadores de Potencial Capacitivo 230 kV, referente a LT Curitiba - Joinville C-1, Fases A, B, C. Associado à obra são esperadas substituições/adaptações de fundações, suportes, caixa de junção, cabos de controle/potência, barramento, conectores e conexão de aterramento.</t>
  </si>
  <si>
    <t>0003244/2022</t>
  </si>
  <si>
    <t>Substituição de Transformadores de Potencial Capacitivo 230 kV, referente a LT Curitiba - S.Mateus Sul C-1, Fases A, B, C. Associado à obra são esperadas substituições/adaptações de fundações, suportes, caixa de junção, cabos de controle/potência, barramento, conectores e conexão de aterramento.</t>
  </si>
  <si>
    <t>0003245/2022</t>
  </si>
  <si>
    <t>SUBSTITUIÇÃO DO DISJUNTOR PRDB6-01</t>
  </si>
  <si>
    <t>0003247/2022</t>
  </si>
  <si>
    <t>PRDB6-01</t>
  </si>
  <si>
    <t>Substituição de Transformador de Potencial Capacitivo 230 kV, referente ao TF 1 525/230 kV da SE Curitiba, Fase A. Associado à obra são esperadas substituições/adaptações de fundações, suportes, caixa de junção, cabos de controle/potência, barramento, conectores e conexão de aterramento.</t>
  </si>
  <si>
    <t>0003248/2022</t>
  </si>
  <si>
    <t>SUBSTITUIÇÃO DO DISJUNTOR PDDB6-01</t>
  </si>
  <si>
    <t>0003250/2022</t>
  </si>
  <si>
    <t>PDDB6-01</t>
  </si>
  <si>
    <t>SUBSTITUIÇÃO DO DISJUNTOR PDDJ6-03</t>
  </si>
  <si>
    <t>0003251/2022</t>
  </si>
  <si>
    <t>PDDJ6-03</t>
  </si>
  <si>
    <t>Substituição das proteções Principal, Alternada e Falha de Disjuntor, incluindo painéis e cabos de controle e potência associados, referente ao TF 2 230/138 kV, lado de 138 kV, da SE Itajaí.</t>
  </si>
  <si>
    <t>0003252/2022</t>
  </si>
  <si>
    <t>PP, PA, BA, BF - TF 2 138</t>
  </si>
  <si>
    <t>SUBSTITUIÇÃO DO DISJUNTOR PDDJ6-06</t>
  </si>
  <si>
    <t>0003254/2022</t>
  </si>
  <si>
    <t>PDDJ6-06</t>
  </si>
  <si>
    <t>Substituição do sistema de controle e supervisão do TF 2 230/138 kV, lado de 138 kV, da SE Itajaí, e dos cabos de controle e potência associados.</t>
  </si>
  <si>
    <t>0003255/2022</t>
  </si>
  <si>
    <t>Controle - TF 2 138</t>
  </si>
  <si>
    <t>SUBSTITUIÇÃO DO DISJUNTOR LDDB6-01</t>
  </si>
  <si>
    <t>0003256/2022</t>
  </si>
  <si>
    <t>LDDB6-01</t>
  </si>
  <si>
    <t>SUBSTITUIÇÃO DO DISJUNTOR IZDJ6-09</t>
  </si>
  <si>
    <t>0003326/2022</t>
  </si>
  <si>
    <t>IZDJ6-09</t>
  </si>
  <si>
    <t>SUBSTITUIÇÃO DO DISJUNTOR MRDJ5-03</t>
  </si>
  <si>
    <t>0003327/2022</t>
  </si>
  <si>
    <t>MRDJ5-03</t>
  </si>
  <si>
    <t>SUBSTITUIÇÃO DO DISJUNTOR IZDJ2-06</t>
  </si>
  <si>
    <t>0003328/2022</t>
  </si>
  <si>
    <t>IZDJ2-06</t>
  </si>
  <si>
    <t>SUBSTITUIÇÃO DO DISJUNTOR IZDJ2-12</t>
  </si>
  <si>
    <t>0003329/2022</t>
  </si>
  <si>
    <t>IZDJ2-12</t>
  </si>
  <si>
    <t>SUBSTITUIÇÃO DO DISJUNTOR IZDJ2-18</t>
  </si>
  <si>
    <t>0003331/2022</t>
  </si>
  <si>
    <t>IZDJ2-18</t>
  </si>
  <si>
    <t>Substituição de Disjuntor tripolar 525 kV, DJ1082, referente ao TF 5 525/230 kV da SE Blumenau. Associado à obra, são esperadas substituições ou adaptações de fundações e suportes existentes, cabos de controle e potência, barramento, conectores e conexão do aterramento.</t>
  </si>
  <si>
    <t>TR 525/230 kV BLUMENAU TR5 SC</t>
  </si>
  <si>
    <t>0003332/2022</t>
  </si>
  <si>
    <t>Substituição de Chave Seccionadora tripolar 525 kV, CS1081, referente ao TF 5 525/230 kV da SE Blumenau. Associado à obra são esperadas substituições/adaptações de fundações, suportes, cabos de controle/potência, barramento, conectores e conexão de aterramento.</t>
  </si>
  <si>
    <t>0003333/2022</t>
  </si>
  <si>
    <t>Substituição de Chave Seccionadora tripolar 525 kV, CS1083, referente ao TF 5 525/230 kV da SE Blumenau. Associado à obra são esperadas substituições/adaptações de fundações, suportes, cabos de controle/potência, barramento, conectores e conexão de aterramento.</t>
  </si>
  <si>
    <t>0003334/2022</t>
  </si>
  <si>
    <t>Substituição de Chave Seccionadora tripolar 525 kV, CS1087, referente ao TF 5 525/230 kV da SE Blumenau. Associado à obra são esperadas substituições/adaptações de fundações, suportes, cabos de controle/potência, barramento, conectores e conexão de aterramento.</t>
  </si>
  <si>
    <t>0003335/2022</t>
  </si>
  <si>
    <t>CS1087</t>
  </si>
  <si>
    <t>Substituição de Transformadores de Corrente 525 kV, referente ao TF 5 525/230 kV da SE Blumenau, DJ1082, Fases A, B, C. Associado à obra são esperadas substituições/adaptações de fundações, suportes, caixa de junção, cabos, barramento, conectores e conexão de aterramento.</t>
  </si>
  <si>
    <t>0003337/2022</t>
  </si>
  <si>
    <t>Substituição de Chave Seccionadora tripolar 525 kV, CS1061, referente ao TF 6 525/230 kV da SE Blumenau. Associado à obra são esperadas substituições/adaptações de fundações, suportes, cabos de controle/potência, barramento, conectores e conexão de aterramento.</t>
  </si>
  <si>
    <t>0003339/2022</t>
  </si>
  <si>
    <t>Substituição de Chave Seccionadora tripolar 525 kV, CS1063, referente ao TF 6 525/230 kV da SE Blumenau. Associado à obra são esperadas substituições/adaptações de fundações, suportes, cabos de controle/potência, barramento, conectores e conexão de aterramento.</t>
  </si>
  <si>
    <t>0003341/2022</t>
  </si>
  <si>
    <t>Substituição de Disjuntor tripolar 230 kV, DJ742, referente a LT Blumenau - Gaspar 2 C-1. Associado à obra, são esperadas substituições ou adaptações de fundações e suportes existentes, cabos de controle e potência, barramento, conectores e conexão do aterramento do equipamento.</t>
  </si>
  <si>
    <t>LT 230 kV BLUMENAU / GASPAR 2 C-1 SC</t>
  </si>
  <si>
    <t>0003343/2022</t>
  </si>
  <si>
    <t>DJ742</t>
  </si>
  <si>
    <t>Substituição de Transformadores de Potencial Capacitivo 230 kV, referente a LT Blumenau - Gaspar 2 C-1, Fases A, B, C. Associado à obra são esperadas substituições/adaptações de fundações, suportes, caixa de junção, cabos de controle/potência, barramento, conectores e conexão de aterramento.</t>
  </si>
  <si>
    <t>0003345/2022</t>
  </si>
  <si>
    <t>Substituição de Disjuntor tripolar 230 kV, DJ732, referente a LT Blumenau - Gaspar 2 C-2. Associado à obra, são esperadas substituições ou adaptações de fundações e suportes existentes, cabos de controle e potência, barramento, conectores e conexão do aterramento do equipamento.</t>
  </si>
  <si>
    <t>0003346/2022</t>
  </si>
  <si>
    <t>DJ732</t>
  </si>
  <si>
    <t>Substituição de Transformadores de Potencial Capacitivo 230 kV, referente a LT Blumenau - Gaspar 2 C-2, Fases A, B, C. Associado à obra são esperadas substituições/adaptações de fundações, suportes, caixa de junção, cabos de controle/potência, barramento, conectores e conexão de aterramento.</t>
  </si>
  <si>
    <t>0003347/2022</t>
  </si>
  <si>
    <t>Substituição de Disjuntor tripolar 230 kV, DJ722, referente a LT Blumenau - Joinville C-1. Associado à obra, são esperadas substituições ou adaptações de fundações e suportes existentes, cabos de controle e potência, barramento, conectores e conexão do aterramento do equipamento.</t>
  </si>
  <si>
    <t>0003349/2022</t>
  </si>
  <si>
    <t>DJ722</t>
  </si>
  <si>
    <t>Substituição de Disjuntor tripolar 230 kV, DJ712, referente a LT Blumenau - Joinville Norte C-1. Associado à obra, são esperadas substituições ou adaptações de fundações e suportes existentes, cabos de controle e potência, barramento, conectores e conexão do aterramento do equipamento.</t>
  </si>
  <si>
    <t>0003353/2022</t>
  </si>
  <si>
    <t>DJ712</t>
  </si>
  <si>
    <t>Substituição de Chave Seccionadora tripolar 230 kV, CS847, referente a conexão do Transformador de Potencial (TPC2) na Barra P2 da SE Blumenau. Associado à obra são esperadas substituições/adaptações de fundações, suportes, cabos de controle/potência, barramento, conectores e conexão de aterramento.</t>
  </si>
  <si>
    <t>MG BLUMENAU / CCO-2001-057 - RB</t>
  </si>
  <si>
    <t>0003357/2022</t>
  </si>
  <si>
    <t>CS847</t>
  </si>
  <si>
    <t>Substituição das proteções Principal, Alternada e Falha de Disjuntor (Principal), incluindo painéis e cabos de controle e potência associados, referente ao TF 3 230/138 kV, lado de 230 kV, da SE Itajaí.</t>
  </si>
  <si>
    <t>TR 230/138 kV ITAJAI TR3 SC</t>
  </si>
  <si>
    <t>0003358/2022</t>
  </si>
  <si>
    <t>PP, PA, BA, BF - TF 3 230</t>
  </si>
  <si>
    <t>Substituição de Chave Seccionadora tripolar 230 kV, CS849, referente a conexão do Transformador de Potencial (TPC1) na Barra P1 da SE Blumenau. Associado à obra são esperadas substituições/adaptações de fundações, suportes, cabos de controle/potência, barramento, conectores e conexão de aterramento.</t>
  </si>
  <si>
    <t>0003359/2022</t>
  </si>
  <si>
    <t>CS849</t>
  </si>
  <si>
    <t>Substituição de Chave Seccionadora tripolar 230 kV, CS851, referente ao Interligador de Barras (DJ852) da SE Blumenau. Associado à obra são esperadas substituições/adaptações de fundações, suportes, cabos de controle/potência, barramento, conectores e conexão de aterramento.</t>
  </si>
  <si>
    <t>0003365/2022</t>
  </si>
  <si>
    <t>CS851</t>
  </si>
  <si>
    <t>Substituição de Chave Seccionadora tripolar 230 kV, CS853, referente ao Interligador de Barras (DJ852) da SE Blumenau. Associado à obra são esperadas substituições/adaptações de fundações, suportes, cabos de controle/potência, barramento, conectores e conexão de aterramento.</t>
  </si>
  <si>
    <t>0003366/2022</t>
  </si>
  <si>
    <t>CS853</t>
  </si>
  <si>
    <t>Substituição de Disjuntor tripolar 230 kV, DJ762, referente ao TF 1 230/138 kV da SE Blumenau. Associado à obra, são esperadas substituições ou adaptações de fundações e suportes existentes, cabos de controle e potência, barramento, conectores e conexão do aterramento do equipamento.</t>
  </si>
  <si>
    <t>TR 230/138 kV BLUMENAU TR1 SC</t>
  </si>
  <si>
    <t>0003368/2022</t>
  </si>
  <si>
    <t>0003372/2022</t>
  </si>
  <si>
    <t>Sistema de Ar Condicionado</t>
  </si>
  <si>
    <t>Substituição de Transformador de Potencial Capacitivo 230 kV, referente ao TF 1 230/138 kV da SE Blumenau, Fase A. Associado à obra são esperadas substituições/adaptações de fundações, suportes, caixa de junção, cabos de controle/potência, barramento, conectores e conexão de aterramento.</t>
  </si>
  <si>
    <t>0003373/2022</t>
  </si>
  <si>
    <t>Substituição de Disjuntor tripolar 230 kV, DJ812, referente ao TF 2 230/138 kV da SE Blumenau. Associado à obra, são esperadas substituições ou adaptações de fundações e suportes existentes, cabos de controle e potência, barramento, conectores e conexão do aterramento do equipamento.</t>
  </si>
  <si>
    <t>TR 230/138 kV BLUMENAU TR2 SC</t>
  </si>
  <si>
    <t>0003374/2022</t>
  </si>
  <si>
    <t>DJ812</t>
  </si>
  <si>
    <t>0003377/2022</t>
  </si>
  <si>
    <t>Substituição de Transformador de Potencial Capacitivo 230 kV, referente ao TF 2 230/138 kV da SE Blumenau, Fase A. Associado à obra são esperadas substituições/adaptações de fundações, suportes, caixa de junção, cabos de controle/potência, barramento, conectores e conexão de aterramento.</t>
  </si>
  <si>
    <t>0003376/2022</t>
  </si>
  <si>
    <t>Substituição de Disjuntor tripolar 230 kV, DJ782, referente ao TF 3 230/138 kV da SE Blumenau. Associado à obra, são esperadas substituições ou adaptações de fundações e suportes existentes, cabos de controle e potência, barramento, conectores e conexão do aterramento do equipamento.</t>
  </si>
  <si>
    <t>TR 230/138 kV BLUMENAU TR3 SC</t>
  </si>
  <si>
    <t>0003379/2022</t>
  </si>
  <si>
    <t>DJ782</t>
  </si>
  <si>
    <t>Substituição de Transformador de Potencial Capacitivo 230 kV, referente ao TF 3 230/138 kV da SE Blumenau, Fase A. Associado à obra são esperadas substituições/adaptações de fundações, suportes, caixa de junção, cabos de controle/potência, barramento, conectores e conexão de aterramento.</t>
  </si>
  <si>
    <t>0003380/2022</t>
  </si>
  <si>
    <t>0003381/2022</t>
  </si>
  <si>
    <t>0003384/2022</t>
  </si>
  <si>
    <t>CS579</t>
  </si>
  <si>
    <t>Substituição de Disjuntor tripolar 230 kV, DJ792, referente ao TF 4 230/138 kV da SE Blumenau. Associado à obra, são esperadas substituições ou adaptações de fundações e suportes existentes, cabos de controle e potência, barramento, conectores e conexão do aterramento do equipamento.</t>
  </si>
  <si>
    <t>TR 230/138 kV BLUMENAU TR4 SC</t>
  </si>
  <si>
    <t>0003385/2022</t>
  </si>
  <si>
    <t>0003386/2022</t>
  </si>
  <si>
    <t>CS587</t>
  </si>
  <si>
    <t>Substituição de Transformador de Potencial Capacitivo 230 kV, referente ao TF 4 230/138 kV da SE Blumenau, Fase A. Associado à obra são esperadas substituições/adaptações de fundações, suportes, caixa de junção, cabos de controle/potência, barramento, conectores e conexão de aterramento.</t>
  </si>
  <si>
    <t>0003388/2022</t>
  </si>
  <si>
    <t>BIGUACU</t>
  </si>
  <si>
    <t>MG BIGUACU / CCO-2001-057 - RB</t>
  </si>
  <si>
    <t>0003387/2022</t>
  </si>
  <si>
    <t>0003389/2022</t>
  </si>
  <si>
    <t>CS589</t>
  </si>
  <si>
    <t>Substituição de Disjuntor tripolar 230 kV, DJ892, referente ao TF 5 525/230 kV da SE Blumenau. Associado à obra, são esperadas substituições ou adaptações de fundações e suportes existentes, cabos de controle e potência, barramento, conectores e conexão do aterramento do equipamento.</t>
  </si>
  <si>
    <t>0003390/2022</t>
  </si>
  <si>
    <t>DJ892</t>
  </si>
  <si>
    <t>0003391/2022</t>
  </si>
  <si>
    <t>CS617</t>
  </si>
  <si>
    <t>Substituição do sistema de ar condicionado da Sala de Controle/Réles da SE Itajaí.</t>
  </si>
  <si>
    <t>0003393/2022</t>
  </si>
  <si>
    <t>0003394/2022</t>
  </si>
  <si>
    <t>CS619</t>
  </si>
  <si>
    <t>Substituição de Transformador de Potencial Capacitivo 230 kV, referente ao TF 5 525/230 kV da SE Blumenau, Fase A. Associado à obra são esperadas substituições/adaptações de fundações, suportes, caixa de junção, cabos de controle/potência, barramento, conectores e conexão de aterramento.</t>
  </si>
  <si>
    <t>0003395/2022</t>
  </si>
  <si>
    <t>0003397/2022</t>
  </si>
  <si>
    <t>CS637</t>
  </si>
  <si>
    <t>0003400/2022</t>
  </si>
  <si>
    <t>CS639</t>
  </si>
  <si>
    <t>0003402/2022</t>
  </si>
  <si>
    <t>0003403/2022</t>
  </si>
  <si>
    <t>0003404/2022</t>
  </si>
  <si>
    <t>Substituição do sistema de ar condicionado da Sala de Controle/Réles da SE Joinville.</t>
  </si>
  <si>
    <t>MG JOINVILLE / CCO-2001-057 - RB</t>
  </si>
  <si>
    <t>0003405/2022</t>
  </si>
  <si>
    <t>Substituição de Disjuntor tripolar 230 kV, DJ912, referente ao TF 6 525/230 kV da SE Blumenau. Associado à obra, são esperadas substituições ou adaptações de fundações e suportes existentes, cabos de controle e potência, barramento, conectores e conexão do aterramento do equipamento.</t>
  </si>
  <si>
    <t>0003406/2022</t>
  </si>
  <si>
    <t>DJ912</t>
  </si>
  <si>
    <t>Substituição de Transformadores de Corrente 230 kV, referente ao TF 6 525/230 kV da SE Blumenau, DJ912, Fases A, B, C. Associado à obra são esperadas substituições/adaptações de fundações, suportes, caixa de junção, cabos, barramento, conectores e conexão de aterramento.</t>
  </si>
  <si>
    <t>0003407/2022</t>
  </si>
  <si>
    <t>TC DJ912</t>
  </si>
  <si>
    <t>Substituição do sistema de ar condicionado da Sala de Controle/Réles da SE Palhoça.</t>
  </si>
  <si>
    <t>MG PALHOCA ESU / CCO-2001-057 - RB</t>
  </si>
  <si>
    <t>0009128/2022</t>
  </si>
  <si>
    <t>Substituição de Transformador de Potencial Capacitivo 230 kV, referente ao TF 6 525/230 kV da SE Blumenau, Fase A. Associado à obra são esperadas substituições/adaptações de fundações, suportes, caixa de junção, cabos de controle/potência, barramento, conectores e conexão de aterramento.</t>
  </si>
  <si>
    <t>0003410/2022</t>
  </si>
  <si>
    <t>Substituição de Chave Seccionadora tripolar 138 kV, CS541, referente a LT Blumenau - Blumenau Dois C-1. Associado à obra são esperadas substituições/adaptações de fundações, suportes, cabos de controle/potência, barramento, conectores e conexão de aterramento.</t>
  </si>
  <si>
    <t>LT 138 kV BLUMENAU / BLUMENAU DOIS C-1 SC</t>
  </si>
  <si>
    <t>0003414/2022</t>
  </si>
  <si>
    <t>0003416/2022</t>
  </si>
  <si>
    <t>Substituição de Chave Seccionadora tripolar 138 kV, CS543, referente a LT Blumenau - Blumenau Dois C-1. Associado à obra são esperadas substituições/adaptações de fundações, suportes, cabos de controle/potência, barramento, conectores e conexão de aterramento.</t>
  </si>
  <si>
    <t>0003419/2022</t>
  </si>
  <si>
    <t>MG DOURADOS / CCO-2001-057 - RB</t>
  </si>
  <si>
    <t>0003420/2022</t>
  </si>
  <si>
    <t>Substituição de Chave Seccionadora tripolar 138 kV, CS545, referente a LT Blumenau - Blumenau Dois C-1. Associado à obra são esperadas substituições/adaptações de fundações, suportes, cabos de controle/potência, barramento, conectores e conexão de aterramento.</t>
  </si>
  <si>
    <t>0003421/2022</t>
  </si>
  <si>
    <t>Substituição de Transformador de Potencial 138 kV, referente a LT Blumenau - Blumenau Dois C-1, Fase A. Associado à obra são esperadas substituições/adaptações de fundações, suportes, caixa de junção, cabos de controle/potência, barramento, conectores e conexão de aterramento.</t>
  </si>
  <si>
    <t>0003422/2022</t>
  </si>
  <si>
    <t>TPA</t>
  </si>
  <si>
    <t>Substituição dos sistemas de iluminação e distribuição de força (painéis e tomadas) da Subestação Campos Novos.</t>
  </si>
  <si>
    <t>0003423/2022</t>
  </si>
  <si>
    <t>Sistema de Iluminação e Força</t>
  </si>
  <si>
    <t>Substituição de Para-Raios 138 kV, referente a  LT Blumenau - Blumenau Dois C-1, Fases A, B e C. Associado à obra, são esperadas substituições ou adaptações de fundações e suportes existentes, cabos de controle e potência, barramento, conectores e conexão do aterramento.</t>
  </si>
  <si>
    <t>0003425/2022</t>
  </si>
  <si>
    <t>PRA / PRB / PRC</t>
  </si>
  <si>
    <t>Substituição dos sistemas de iluminação e distribuição de força (painéis e tomadas) da Subestação Santo Ângelo.</t>
  </si>
  <si>
    <t>MG SANTO ANGELO / CCO-2001-057 - RB</t>
  </si>
  <si>
    <t>0003426/2022</t>
  </si>
  <si>
    <t>Substituição de Disjuntor tripolar 138 kV, DJ532, referente a LT Blumenau - Blumenau Dois C-2. Associado à obra, são esperadas substituições ou adaptações de fundações e suportes existentes, cabos de controle e potência, barramento, conectores e conexão do aterramento do equipamento.</t>
  </si>
  <si>
    <t>LT 138 kV BLUMENAU / BLUMENAU DOIS C-2 SC</t>
  </si>
  <si>
    <t>0003427/2022</t>
  </si>
  <si>
    <t>Substituição de Chave Seccionadora tripolar 138 kV, CS531, referente a LT Blumenau - Blumenau Dois C-2. Associado à obra são esperadas substituições/adaptações de fundações, suportes, cabos de controle/potência, barramento, conectores e conexão de aterramento.</t>
  </si>
  <si>
    <t>0003428/2022</t>
  </si>
  <si>
    <t>TAPERA 2</t>
  </si>
  <si>
    <t>MG TAPERA 2 / CCO-2001-057 - RB</t>
  </si>
  <si>
    <t>0003429/2022</t>
  </si>
  <si>
    <t>Substituição de Chave Seccionadora tripolar 138 kV, CS533, referente a LT Blumenau - Blumenau Dois C-2. Associado à obra são esperadas substituições/adaptações de fundações, suportes, cabos de controle/potência, barramento, conectores e conexão de aterramento.</t>
  </si>
  <si>
    <t>0003430/2022</t>
  </si>
  <si>
    <t>Substituição dos sistemas de iluminação e distribuição de força (painéis e tomadas) da Subestação Curitiba.</t>
  </si>
  <si>
    <t>0003433/2022</t>
  </si>
  <si>
    <t>Substituição de Chave Seccionadora tripolar 138 kV, CS535, referente a LT Blumenau - Blumenau Dois C-2. Associado à obra são esperadas substituições/adaptações de fundações, suportes, cabos de controle/potência, barramento, conectores e conexão de aterramento.</t>
  </si>
  <si>
    <t>0003434/2022</t>
  </si>
  <si>
    <t>0003435/2022</t>
  </si>
  <si>
    <t>Substituição de Transformador de Potencial Capacitivo 138 kV, referente a LT Blumenau - Blumenau Dois C-2, Fase A. Associado à obra são esperadas substituições/adaptações de fundações, suportes, caixa de junção, cabos de controle/potência, barramento, conectores e conexão de aterramento.</t>
  </si>
  <si>
    <t>0003438/2022</t>
  </si>
  <si>
    <t>Substituição dos sistemas de iluminação e distribuição de força (painéis e tomadas) da Subestação Blumenau.</t>
  </si>
  <si>
    <t>0003440/2022</t>
  </si>
  <si>
    <t>Substituição de Para-Raios 138 kV, referente a  LT Blumenau - Blumenau Dois C-2, Fases A, B e C. Associado à obra, são esperadas substituições ou adaptações de fundações e suportes existentes, cabos de controle e potência, barramento, conectores e conexão do aterramento.</t>
  </si>
  <si>
    <t>0003442/2022</t>
  </si>
  <si>
    <t>Substituição dos sistemas de iluminação e distribuição de força (painéis e tomadas) da Subestação J.Lacerda-A.</t>
  </si>
  <si>
    <t>0003446/2022</t>
  </si>
  <si>
    <t>0003453/2022</t>
  </si>
  <si>
    <t>Substituição de Chave Seccionadora tripolar 138 kV, CS641, referente a LT Blumenau - Gaspar C-1. Associado à obra são esperadas substituições/adaptações de fundações, suportes, cabos de controle/potência, barramento, conectores e conexão de aterramento.</t>
  </si>
  <si>
    <t>LT 138 kV BLUMENAU / GASPAR C-1 SC</t>
  </si>
  <si>
    <t>0003454/2022</t>
  </si>
  <si>
    <t>CS641</t>
  </si>
  <si>
    <t>MG SIDEROPOL.ESU / CCO-2001-057 - RB</t>
  </si>
  <si>
    <t>0003456/2022</t>
  </si>
  <si>
    <t>Substituição de Chave Seccionadora tripolar 138 kV, CS643, referente a LT Blumenau - Gaspar C-1. Associado à obra são esperadas substituições/adaptações de fundações, suportes, cabos de controle/potência, barramento, conectores e conexão de aterramento.</t>
  </si>
  <si>
    <t>0003457/2022</t>
  </si>
  <si>
    <t>CS643</t>
  </si>
  <si>
    <t>Substituição de Chave Seccionadora tripolar 138 kV, CS645, referente a LT Blumenau - Gaspar C-1. Associado à obra são esperadas substituições/adaptações de fundações, suportes, cabos de controle/potência, barramento, conectores e conexão de aterramento.</t>
  </si>
  <si>
    <t>0003459/2022</t>
  </si>
  <si>
    <t>CS645</t>
  </si>
  <si>
    <t>LT 138 kV U.MIMOSO / CAMPO GRANDE C-4 MS</t>
  </si>
  <si>
    <t>0003461/2022</t>
  </si>
  <si>
    <t>Substituição de Transformador de Potencial 138 kV, referente a LT Blumenau - Gaspar C-1, Fase A. Associado à obra são esperadas substituições/adaptações de fundações, suportes, caixa de junção, cabos de controle/potência, barramento, conectores e conexão de aterramento.</t>
  </si>
  <si>
    <t>0003462/2022</t>
  </si>
  <si>
    <t>Substituição de Para-Raios 138 kV, referente a  LT Blumenau - Gaspar C-1, Fases A, B e C. Associado à obra, são esperadas substituições ou adaptações de fundações e suportes existentes, cabos de controle e potência, barramento, conectores e conexão do aterramento.</t>
  </si>
  <si>
    <t>0003463/2022</t>
  </si>
  <si>
    <t>Substituição de Chave Seccionadora tripolar 138 kV, CS631, referente a LT Blumenau - Ilhota C-1. Associado à obra são esperadas substituições/adaptações de fundações, suportes, cabos de controle/potência, barramento, conectores e conexão de aterramento.</t>
  </si>
  <si>
    <t>LT 138 kV BLUMENAU / ILHOTA C-1 SC</t>
  </si>
  <si>
    <t>0003465/2022</t>
  </si>
  <si>
    <t>CS631</t>
  </si>
  <si>
    <t>Substituição de Chave Seccionadora tripolar 138 kV, CS633, referente a LT Blumenau - Ilhota C-1. Associado à obra são esperadas substituições/adaptações de fundações, suportes, cabos de controle/potência, barramento, conectores e conexão de aterramento.</t>
  </si>
  <si>
    <t>0003467/2022</t>
  </si>
  <si>
    <t>CS633</t>
  </si>
  <si>
    <t>Substituição de Chave Seccionadora tripolar 138 kV, CS635, referente a LT Blumenau - Ilhota C-1. Associado à obra são esperadas substituições/adaptações de fundações, suportes, cabos de controle/potência, barramento, conectores e conexão de aterramento.</t>
  </si>
  <si>
    <t>0003470/2022</t>
  </si>
  <si>
    <t>CS635</t>
  </si>
  <si>
    <t>Substituição de Transformador de Potencial 138 kV, referente a LT Blumenau - Ilhota C-1, Fase A. Associado à obra são esperadas substituições/adaptações de fundações, suportes, caixa de junção, cabos de controle/potência, barramento, conectores e conexão de aterramento.</t>
  </si>
  <si>
    <t>0003471/2022</t>
  </si>
  <si>
    <t>Substituição do sistema de controle e supervisão (com unidade redundante) do TF 3 230/138 kV, lado de 230 kV, da SE Itajaí, e dos cabos de controle e potência associados.</t>
  </si>
  <si>
    <t>0003474/2022</t>
  </si>
  <si>
    <t>Controle - TF 3 230</t>
  </si>
  <si>
    <t>Substituição do sistema de controle e supervisão do TF 3 230/138 kV, lado de 138 kV, da SE Itajaí, e dos cabos de controle e potência associados.</t>
  </si>
  <si>
    <t>0003482/2022</t>
  </si>
  <si>
    <t>Controle - TF 3 138</t>
  </si>
  <si>
    <t>Substituição das proteções Principal, Alternada e Falha de Disjuntor, incluindo painéis e cabos de controle e potência associados, referente ao TF 3 230/138 kV, lado de 138 kV, da SE Itajaí.</t>
  </si>
  <si>
    <t>0003484/2022</t>
  </si>
  <si>
    <t>PP, PA, BA, BF - TF 3 138</t>
  </si>
  <si>
    <t>Substituição das proteções Principal, Alternada e Falha de Disjuntor (Principal), incluindo painéis e cabos de controle e potência associados, referente ao TF 4 230/138 kV, lado de 230 kV, da SE Itajaí.</t>
  </si>
  <si>
    <t>TR 230 / 138 kV ITAJAI 4 SC</t>
  </si>
  <si>
    <t>0003487/2022</t>
  </si>
  <si>
    <t>PP, PA, BA, BF - TF 4 230</t>
  </si>
  <si>
    <t>Substituição do sistema de controle e supervisão (com unidade redundante) do TF 4 230/138 kV, lado de 230 kV, da SE Itajaí, e dos cabos de controle e potência associados.</t>
  </si>
  <si>
    <t>0003488/2022</t>
  </si>
  <si>
    <t>Controle - TF 4 230</t>
  </si>
  <si>
    <t>Substituição das proteções Principal, Alternada e Falha de Disjuntor, incluindo painéis e cabos de controle e potência associados, referente ao TF 4 230/138 kV, lado de 138 kV, da SE Itajaí.</t>
  </si>
  <si>
    <t>0003490/2022</t>
  </si>
  <si>
    <t>PP, PA, BA, BF - TF 4 138</t>
  </si>
  <si>
    <t>Substituição do sistema de controle e supervisão do TF 4 230/138 kV, lado de 138 kV, da SE Itajaí, e dos cabos de controle e potência associados.</t>
  </si>
  <si>
    <t>0003491/2022</t>
  </si>
  <si>
    <t>Controle - TF 4 138</t>
  </si>
  <si>
    <t>Substituição do painel de SPCS dos serviços auxiliares CA e CC da SE Itajaí, e cabos associados.</t>
  </si>
  <si>
    <t>0003494/2022</t>
  </si>
  <si>
    <t>Painel SPCS</t>
  </si>
  <si>
    <t>Implantação de sistema de videomonitoramento, na subestação P. AFONSO IV, composto por: 01 switch dedicado; 01 microcomputador; 02 terminais de computador; 02 inversores de tensão; 24 unid. aquisição de dados (câmeras); 01 conjunto sensores (04 radares); 20 conversores óticos; 01 concentrador digital.</t>
  </si>
  <si>
    <t>0003861/2022</t>
  </si>
  <si>
    <t>Implantação de sistema de videomonitoramento dos pólos da chave seccionadora 35G1-8, na subestação P. AFONSO IV, composto por: 01 câmera dedicada.</t>
  </si>
  <si>
    <t>EL 500 kV P. AFONSO IV LT 500 kV P. AFONSO IV /USINA PA-IV C-1 BA (05G1)</t>
  </si>
  <si>
    <t>0003862/2022</t>
  </si>
  <si>
    <t>Implantação de sistema de videomonitoramento dos pólos da chave seccionadora 35G2-8, na subestação P. AFONSO IV, composto por: 01 câmera dedicada.</t>
  </si>
  <si>
    <t>EL 500 kV P. AFONSO IV LT 500 kV P. AFONSO IV /USINA PA-IV C-2 BA (05G2)</t>
  </si>
  <si>
    <t>0003863/2022</t>
  </si>
  <si>
    <t>Implantação de sistema de videomonitoramento dos pólos da chave seccionadora 35G3-8, na subestação P. AFONSO IV, composto por: 01 câmera dedicada.</t>
  </si>
  <si>
    <t>EL 500 kV P. AFONSO IV LT 500 kV P. AFONSO IV /USINA PA-IV C-3 BA (05G3)</t>
  </si>
  <si>
    <t>0003864/2022</t>
  </si>
  <si>
    <t>Implantação de sistema de videomonitoramento dos pólos da chave seccionadora 35G4-8, na subestação P. AFONSO IV, composto por: 01 câmera dedicada.</t>
  </si>
  <si>
    <t>EL 500 kV P. AFONSO IV LT 500 kV P. AFONSO IV /USINA PA-IV C-4 BA (05G4)</t>
  </si>
  <si>
    <t>0003865/2022</t>
  </si>
  <si>
    <t>Implantação de sistema de videomonitoramento dos pólos da chave seccionadora 35G5-8, na subestação P. AFONSO IV, composto por: 01 câmera dedicada.</t>
  </si>
  <si>
    <t>EL 500 kV P. AFONSO IV LT 500 kV P. AFONSO IV /USINA PA-IV C-5 BA (05G5)</t>
  </si>
  <si>
    <t>0003866/2022</t>
  </si>
  <si>
    <t>Implantação de sistema de videomonitoramento dos pólos da chave seccionadora 35G6-8, na subestação P. AFONSO IV, composto por: 01 câmera dedicada.</t>
  </si>
  <si>
    <t>EL 500 kV P. AFONSO IV LT 500 kV P. AFONSO IV /USINA PA-IV C-6 BA (05G6)</t>
  </si>
  <si>
    <t>0003867/2022</t>
  </si>
  <si>
    <t>Implantação de sistema de videomonitoramento dos pólos da chave seccionadora 35C1-8, na subestação P. AFONSO IV, composto por: 01 câmera dedicada.</t>
  </si>
  <si>
    <t>LT 500 kV P. AFONSO IV /US. L.GONZAGA C-1 BA/PE</t>
  </si>
  <si>
    <t>0003868/2022</t>
  </si>
  <si>
    <t>Implantação de sistema de videomonitoramento dos pólos da chave seccionadora 35V6-8, na subestação P. AFONSO IV, composto por: 01 câmera dedicada.</t>
  </si>
  <si>
    <t>LT 500 kV P. AFONSO IV /USINA XINGO C-1 BA/AL</t>
  </si>
  <si>
    <t>0003869/2022</t>
  </si>
  <si>
    <t>Implantação de sistema de videomonitoramento dos pólos da chave seccionadora 35S5-8, na subestação P. AFONSO IV, composto por: 01 câmera dedicada.</t>
  </si>
  <si>
    <t>0003870/2022</t>
  </si>
  <si>
    <t>Implantação de sistema de videomonitoramento dos pólos da chave seccionadora 35L6-8, na subestação P. AFONSO IV, composto por: 01 câmera dedicada.</t>
  </si>
  <si>
    <t>0003871/2022</t>
  </si>
  <si>
    <t>0003883/2022</t>
  </si>
  <si>
    <t>0003884/2022</t>
  </si>
  <si>
    <t>Muro Patrimonial</t>
  </si>
  <si>
    <t>ANASTACIO</t>
  </si>
  <si>
    <t>Construção de muro patrimonial na SE Anastácio, com extensão aproximada de 700 metros.</t>
  </si>
  <si>
    <t>MG ANASTACIO / CCO-2001-057 - RB</t>
  </si>
  <si>
    <t>0003886/2022</t>
  </si>
  <si>
    <t>0003888/2022</t>
  </si>
  <si>
    <t>XANXERE ESU</t>
  </si>
  <si>
    <t>MG XANXERE ESU / CCO-2001-057 - RB</t>
  </si>
  <si>
    <t>0003889/2022</t>
  </si>
  <si>
    <t>Cerca Operacional</t>
  </si>
  <si>
    <t>Instalação de cerca operacional na SE Areia, pátio de 525 kV, com extensão aproximada de 800 metros.</t>
  </si>
  <si>
    <t>0003890/2022</t>
  </si>
  <si>
    <t>Substituição da proteção de Falha de Disjuntor (Principal), incluindo painéis e cabos de controle e potência associados, referente a LT 230 kV Passo Fundo - Nova Prata 2 C-1.</t>
  </si>
  <si>
    <t>0003891/2022</t>
  </si>
  <si>
    <t>BA, BF - LT NPR2 C-1</t>
  </si>
  <si>
    <t>Construção de muro patrimonial na SE Areia, com extensão aproximada de 1.590 metros.</t>
  </si>
  <si>
    <t>0003892/2022</t>
  </si>
  <si>
    <t>0003893/2022</t>
  </si>
  <si>
    <t>Substituição do sistema de controle e supervisão (com unidade redundante) da LT 230 kV Passo Fundo - Nova Prata 2 C-1, e dos cabos de controle e potência associados.</t>
  </si>
  <si>
    <t>0003894/2022</t>
  </si>
  <si>
    <t>Controle - LT NPR2 C-1</t>
  </si>
  <si>
    <t>Substituição da proteção de Falha de Disjuntor (Principal), incluindo painéis e cabos de controle e potência associados, referente a LT 230 kV Passo Fundo - Nova Prata 2 C-2.</t>
  </si>
  <si>
    <t>LT 230 kV PASSO FUNDO /NOVA PRATA 2 C-2 RS</t>
  </si>
  <si>
    <t>0003896/2022</t>
  </si>
  <si>
    <t>BA, BF - LT NPR2 C-2</t>
  </si>
  <si>
    <t>Construção de muro patrimonial na SE Charqueadas, com extensão aproximada de 400 metros.</t>
  </si>
  <si>
    <t>0003897/2022</t>
  </si>
  <si>
    <t>Substituição de Para-Raios 138 kV, referente a  LT Blumenau - Ilhota C-1, Fases A, B e C. Associado à obra, são esperadas substituições ou adaptações de fundações e suportes existentes, cabos de controle e potência, barramento, conectores e conexão do aterramento.</t>
  </si>
  <si>
    <t>0003898/2022</t>
  </si>
  <si>
    <t>Substituição do sistema de controle e supervisão (com unidade redundante) da LT 230 kV Passo Fundo - Nova Prata 2 C-2, e dos cabos de controle e potência associados.</t>
  </si>
  <si>
    <t>0003899/2022</t>
  </si>
  <si>
    <t>Controle - LT NPR2 C-2</t>
  </si>
  <si>
    <t>Substituição de Chave Seccionadora tripolar 138 kV, CS591, referente ao Interligador de Barras da SE Blumenau. Associado à obra são esperadas substituições/adaptações de fundações, suportes, cabos de controle/potência, barramento, conectores e conexão de aterramento.</t>
  </si>
  <si>
    <t>0003900/2022</t>
  </si>
  <si>
    <t>CS591</t>
  </si>
  <si>
    <t>Substituição das proteções Principal, Alternada e Falha de Disjuntor (Principal), incluindo painéis e cabos de controle e potência associados, referente a LT 230 kV Passo Fundo - U. Passo Fundo C-1.</t>
  </si>
  <si>
    <t>LT 230 kV PASSO FUNDO / U. PASSO FUNDO C-1 RS</t>
  </si>
  <si>
    <t>0003901/2022</t>
  </si>
  <si>
    <t>PP, PA, BA, BF - LT UHPF C-1</t>
  </si>
  <si>
    <t>Construção de muro patrimonial na SE Gravataí, com extensão aproximada de 880 metros.</t>
  </si>
  <si>
    <t>0003902/2022</t>
  </si>
  <si>
    <t>Substituição do sistema de controle e supervisão (com unidade redundante) da LT 230 kV Passo Fundo - U. Passo Fundo C-1, e dos cabos de controle e potência associados.</t>
  </si>
  <si>
    <t>0003903/2022</t>
  </si>
  <si>
    <t>Controle - LT UHPF C-1</t>
  </si>
  <si>
    <t>Substituição de Chave Seccionadora tripolar 138 kV, CS593, referente ao Interligador de Barras da SE Blumenau. Associado à obra são esperadas substituições/adaptações de fundações, suportes, cabos de controle/potência, barramento, conectores e conexão de aterramento.</t>
  </si>
  <si>
    <t>0003904/2022</t>
  </si>
  <si>
    <t>CS593</t>
  </si>
  <si>
    <t>L.GRANDE</t>
  </si>
  <si>
    <t>MG L.GRANDE / CCO-2001-057 - RB</t>
  </si>
  <si>
    <t>0003905/2022</t>
  </si>
  <si>
    <t>Substituição de Transformadores de Potencial 138 kV, referente a Barra P (BAP138) da SE Blumenau, Fases A, B, C. Associado à obra são esperadas substituições/adaptações de fundações, suportes, caixa de junção, cabos de controle e potência, barramento, conectores e conexão de aterramento.</t>
  </si>
  <si>
    <t>0003906/2022</t>
  </si>
  <si>
    <t>TPA / TPB / TPC</t>
  </si>
  <si>
    <t>0003907/2022</t>
  </si>
  <si>
    <t>Substituição das proteções Principal, Alternada e Falha de Disjuntor (Principal), incluindo painéis e cabos de controle e potência associados, referente a LT 230 kV Passo Fundo - U. Passo Fundo C-2.</t>
  </si>
  <si>
    <t>LT 230 kV PASSO FUNDO / U. PASSO FUNDO C-2 RS</t>
  </si>
  <si>
    <t>0003908/2022</t>
  </si>
  <si>
    <t>PP, PA, BA, BF - LT UHPF C-2</t>
  </si>
  <si>
    <t>Substituição de Chave Seccionadora tripolar 138 kV, CS571, referente ao TF 1 230/138 kV da SE Blumenau. Associado à obra são esperadas substituições/adaptações de fundações, suportes, cabos de controle/potência, barramento, conectores e conexão de aterramento.</t>
  </si>
  <si>
    <t>0003909/2022</t>
  </si>
  <si>
    <t>CS571</t>
  </si>
  <si>
    <t>Substituição do sistema de controle e supervisão (com unidade redundante) da LT 230 kV Passo Fundo - U. Passo Fundo C-2, e dos cabos de controle e potência associados.</t>
  </si>
  <si>
    <t>0003911/2022</t>
  </si>
  <si>
    <t>Controle - LT UHPF C-2</t>
  </si>
  <si>
    <t>0003912/2022</t>
  </si>
  <si>
    <t>Substituição de Chave Seccionadora tripolar 138 kV, CS573, referente ao TF 1 230/138 kV da SE Blumenau. Associado à obra são esperadas substituições/adaptações de fundações, suportes, cabos de controle/potência, barramento, conectores e conexão de aterramento.</t>
  </si>
  <si>
    <t>0003914/2022</t>
  </si>
  <si>
    <t>CS573</t>
  </si>
  <si>
    <t>Substituição das proteções Principal, Alternada e Falha de Disjuntor (Principal), incluindo painéis e cabos de controle e potência associados, referente a LT 230 kV Passo Fundo - Guarita C-1.</t>
  </si>
  <si>
    <t>LT 230 kV PASSO FUNDO /GUARITA C-1 RS</t>
  </si>
  <si>
    <t>0003915/2022</t>
  </si>
  <si>
    <t>PP, PA, BA, BF - LT GRT C-1</t>
  </si>
  <si>
    <t>Substituição de Chave Seccionadora tripolar 138 kV, CS575, referente ao TF 1 230/138 kV da SE Blumenau. Associado à obra são esperadas substituições/adaptações de fundações, suportes, cabos de controle/potência, barramento, conectores e conexão de aterramento.</t>
  </si>
  <si>
    <t>0003916/2022</t>
  </si>
  <si>
    <t>CS575</t>
  </si>
  <si>
    <t>Substituição do sistema de controle e supervisão (com unidade redundante) da LT 230 kV Passo Fundo - Guarita C-1, e dos cabos de controle e potência associados.</t>
  </si>
  <si>
    <t>0003917/2022</t>
  </si>
  <si>
    <t>Controle - LT GRT C-1</t>
  </si>
  <si>
    <t>Substituição de Para-Raios 138 kV, referente ao TF 1 230/138 kV da SE Blumenau, Fases A, B e C. Associado à obra, são esperadas substituições ou adaptações de fundações e suportes existentes, cabos de controle e potência, barramento, conectores e conexão do aterramento.</t>
  </si>
  <si>
    <t>0003918/2022</t>
  </si>
  <si>
    <t>Substituição das proteções Principal, Alternada e Falha de Disjuntor (Principal), incluindo painéis e cabos de controle e potência associados, referente a LT 230 kV Passo Fundo - Xanxerê C-1.</t>
  </si>
  <si>
    <t>LT 230 kV PASSO FUNDO /XANXERE ESU C-1 RS/SC</t>
  </si>
  <si>
    <t>0003919/2022</t>
  </si>
  <si>
    <t>PP, PA, BA, BF - LT XAN C-1</t>
  </si>
  <si>
    <t>Substituição de cerca operacional na SE Itajaí, com extensão aproximada de 780 metros.</t>
  </si>
  <si>
    <t>0003920/2022</t>
  </si>
  <si>
    <t>Substituição do sistema de controle e supervisão (com unidade redundante) da LT 230 kV Passo Fundo - Xanxerê C-1, e dos cabos de controle e potência associados.</t>
  </si>
  <si>
    <t>0003921/2022</t>
  </si>
  <si>
    <t>Controle - LT XAN C-1</t>
  </si>
  <si>
    <t>Substituição de Chave Seccionadora tripolar 138 kV, CS621, referente ao TF 2 230/138 kV da SE Blumenau. Associado à obra são esperadas substituições/adaptações de fundações, suportes, cabos de controle/potência, barramento, conectores e conexão de aterramento.</t>
  </si>
  <si>
    <t>0003922/2022</t>
  </si>
  <si>
    <t>CS621</t>
  </si>
  <si>
    <t>Substituição da proteção Principal e Alternada, incluindo painéis e cabos de controle e potência associados, referente a LT 230 kV Xanxerê - Passo Fundo C-1.</t>
  </si>
  <si>
    <t>LT 230 kV XANXERE / PASSO FUNDO C-1 RS</t>
  </si>
  <si>
    <t>0003924/2022</t>
  </si>
  <si>
    <t>PP, PA - LT PFU C-1</t>
  </si>
  <si>
    <t>Construção de muro patrimonial na SE Itajaí, com extensão aproximada de 960 metros.</t>
  </si>
  <si>
    <t>0003925/2022</t>
  </si>
  <si>
    <t>Substituição de Chave Seccionadora tripolar 138 kV, CS623, referente ao TF 2 230/138 kV da SE Blumenau. Associado à obra são esperadas substituições/adaptações de fundações, suportes, cabos de controle/potência, barramento, conectores e conexão de aterramento.</t>
  </si>
  <si>
    <t>0003926/2022</t>
  </si>
  <si>
    <t>CS623</t>
  </si>
  <si>
    <t>Substituição das proteções Principal, Alternada e Falha de Disjuntor (Principal), incluindo painéis e cabos de controle e potência associados, referente a LT 230 kV Passo Fundo - Xanxerê C-2.</t>
  </si>
  <si>
    <t>LT 230 kV PASSO FUNDO /XANXERE ESU C-2 RS/SC</t>
  </si>
  <si>
    <t>0003927/2022</t>
  </si>
  <si>
    <t>PP, PA, BA, BF - LT XAN C-2</t>
  </si>
  <si>
    <t>Substituição de Chave Seccionadora tripolar 138 kV, CS625, referente ao TF 2 230/138 kV da SE Blumenau. Associado à obra são esperadas substituições/adaptações de fundações, suportes, cabos de controle/potência, barramento, conectores e conexão de aterramento.</t>
  </si>
  <si>
    <t>0003929/2022</t>
  </si>
  <si>
    <t>CS625</t>
  </si>
  <si>
    <t>Substituição do sistema de controle e supervisão (com unidade redundante) da LT 230 kV Passo Fundo - Xanxerê C-2, e dos cabos de controle e potência associados.</t>
  </si>
  <si>
    <t>0003930/2022</t>
  </si>
  <si>
    <t>Controle - LT XAN C-2</t>
  </si>
  <si>
    <t>Construção de muro patrimonial na SE J.Lacerda A, com extensão aproximada de 860 metros.</t>
  </si>
  <si>
    <t>0003931/2022</t>
  </si>
  <si>
    <t>Substituição da proteção Principal e Alternada, incluindo painéis e cabos de controle e potência associados, referente a LT 230 kV Xanxerê - Passo Fundo C-2.</t>
  </si>
  <si>
    <t>LT 230 kV XANXERE / PASSO FUNDO C-2 RS</t>
  </si>
  <si>
    <t>0003934/2022</t>
  </si>
  <si>
    <t>PP, PA - LT PFU C-2</t>
  </si>
  <si>
    <t>Substituição de Para-Raios 138 kV, referente ao TF 2 230/138 kV da SE Blumenau, Fases A, B e C. Associado à obra, são esperadas substituições ou adaptações de fundações e suportes existentes, cabos de controle e potência, barramento, conectores e conexão do aterramento.</t>
  </si>
  <si>
    <t>0003935/2022</t>
  </si>
  <si>
    <t>0003938/2022</t>
  </si>
  <si>
    <t>Substituição de Chave Seccionadora tripolar 138 kV, CS581, referente ao TF 3 230/138 kV da SE Blumenau. Associado à obra são esperadas substituições/adaptações de fundações, suportes, cabos de controle/potência, barramento, conectores e conexão de aterramento.</t>
  </si>
  <si>
    <t>0003939/2022</t>
  </si>
  <si>
    <t>CS581</t>
  </si>
  <si>
    <t>0003941/2022</t>
  </si>
  <si>
    <t>Substituição de Chave Seccionadora tripolar 138 kV, CS583, referente ao TF 3 230/138 kV da SE Blumenau. Associado à obra são esperadas substituições/adaptações de fundações, suportes, cabos de controle/potência, barramento, conectores e conexão de aterramento.</t>
  </si>
  <si>
    <t>0003942/2022</t>
  </si>
  <si>
    <t>CS583</t>
  </si>
  <si>
    <t>Substituição de Chave Seccionadora tripolar 138 kV, CS585, referente ao TF 3 230/138 kV da SE Blumenau. Associado à obra são esperadas substituições/adaptações de fundações, suportes, cabos de controle/potência, barramento, conectores e conexão de aterramento.</t>
  </si>
  <si>
    <t>0003943/2022</t>
  </si>
  <si>
    <t>CS585</t>
  </si>
  <si>
    <t>Substituição do sistema de controle e supervisão (com unidade redundante) do Interligador de Barras (IB) 230 kV da SE Passo Fundo, e dos cabos de controle e potência associados.</t>
  </si>
  <si>
    <t>0003944/2022</t>
  </si>
  <si>
    <t>Substituição de Para-Raios 138 kV, referente ao TF 3 230/138 kV da SE Blumenau, Fases A, B e C. Associado à obra, são esperadas substituições ou adaptações de fundações e suportes existentes, cabos de controle e potência, barramento, conectores e conexão do aterramento.</t>
  </si>
  <si>
    <t>0003945/2022</t>
  </si>
  <si>
    <t>Substituição de Disjuntor tripolar 138 kV, DJ612, referente ao TF 4 230/138 kV da SE Blumenau. Associado à obra, são esperadas substituições ou adaptações de fundações e suportes existentes, cabos de controle e potência, barramento, conectores e conexão do aterramento do equipamento.</t>
  </si>
  <si>
    <t>0003947/2022</t>
  </si>
  <si>
    <t>Substituição de Chave Seccionadora tripolar 138 kV, CS611, referente ao TF 4 230/138 kV da SE Blumenau. Associado à obra são esperadas substituições/adaptações de fundações, suportes, cabos de controle/potência, barramento, conectores e conexão de aterramento.</t>
  </si>
  <si>
    <t>0003949/2022</t>
  </si>
  <si>
    <t>CS611</t>
  </si>
  <si>
    <t>Substituição de Chave Seccionadora tripolar 138 kV, CS613, referente ao TF 4 230/138 kV da SE Blumenau. Associado à obra são esperadas substituições/adaptações de fundações, suportes, cabos de controle/potência, barramento, conectores e conexão de aterramento.</t>
  </si>
  <si>
    <t>0003950/2022</t>
  </si>
  <si>
    <t>CS613</t>
  </si>
  <si>
    <t>Substituição das proteções Principal, Alternada e Falha de Disjuntor (Principal), incluindo painéis e cabos de controle e potência associados, referente ao TF 3 230/138 kV, lado de 230 kV, da SE Passo Fundo.</t>
  </si>
  <si>
    <t>0003951/2022</t>
  </si>
  <si>
    <t>Substituição de Chave Seccionadora tripolar 138 kV, CS615, referente ao TF 4 230/138 kV da SE Blumenau. Associado à obra são esperadas substituições/adaptações de fundações, suportes, cabos de controle/potência, barramento, conectores e conexão de aterramento.</t>
  </si>
  <si>
    <t>0003952/2022</t>
  </si>
  <si>
    <t>CS615</t>
  </si>
  <si>
    <t>SUBSTITUIÇÃO DO DISJUNTOR LDDJ6-03</t>
  </si>
  <si>
    <t>0003953/2022</t>
  </si>
  <si>
    <t>LDDJ6-03</t>
  </si>
  <si>
    <t>Substituição da proteção de Falha de Disjuntor (Principal), incluindo painéis e cabos de controle e potência associados, referente ao Interligador de Barras (IB) 230 kV da SE Passo Fundo.</t>
  </si>
  <si>
    <t>0003954/2022</t>
  </si>
  <si>
    <t>BA, BF - IB230</t>
  </si>
  <si>
    <t>Substituição da cadeia de proteção de barras principal, referente às barras A e B de 230 kV da SE Passo Fundo, incluindo uma Unidade Central e onze unidades de Bay (vãos LT 230 kV Nova Prata 2 C-1 e C-2, LT 230 kV U. Passo Fundo C-1 e C-2, LT 230 kV Guarita C-1, LT 230 kV Xanxerê C-1 e C-2, LT 230 kV Santa Marta C-1, TF 3 230/138 kV, TF 5 230/138 kV e Interligador de Barras - IB), painéis, cabos de controle e potência associados.</t>
  </si>
  <si>
    <t>0003956/2022</t>
  </si>
  <si>
    <t>Substituição do sistema de controle e supervisão (com unidade redundante) do TF 3 230/138 kV, lado de 230 kV, da SE Passo Fundo, e dos cabos de controle e potência associados.</t>
  </si>
  <si>
    <t>0009134/2022</t>
  </si>
  <si>
    <t>Substituição de Chave Seccionadora tripolar 230 kV, CS731, referente a LT J.Lacerda A - J.Lacerda B C-1. Associado à obra são esperadas substituições/adaptações de fundações, suportes, cabos de controle/potência, barramento, conectores e conexão de aterramento.</t>
  </si>
  <si>
    <t>LT 230 kV J.LACERDA-A /J.LACERDA-B C-1 SC</t>
  </si>
  <si>
    <t>0003958/2022</t>
  </si>
  <si>
    <t>Substituição das proteções Principal, Alternada e Falha de Disjuntor, incluindo painéis e cabos de controle e potência associados, referente ao TF 3 230/138 kV, lado de 138 kV, da SE Passo Fundo.</t>
  </si>
  <si>
    <t>0003959/2022</t>
  </si>
  <si>
    <t>0003960/2022</t>
  </si>
  <si>
    <t>Substituição de Chave Seccionadora tripolar 230 kV, CS733, referente a LT J.Lacerda A - J.Lacerda B C-1. Associado à obra são esperadas substituições/adaptações de fundações, suportes, cabos de controle/potência, barramento, conectores e conexão de aterramento.</t>
  </si>
  <si>
    <t>0003961/2022</t>
  </si>
  <si>
    <t>CS733</t>
  </si>
  <si>
    <t>0003962/2022</t>
  </si>
  <si>
    <t>Substituição do sistema de controle e supervisão do TF 3 230/138 kV, lado de 138 kV, da SE Passo Fundo, e dos cabos de controle e potência associados.</t>
  </si>
  <si>
    <t>0003965/2022</t>
  </si>
  <si>
    <t>Substituição das proteções Principal, Alternada e Falha de Disjuntor (Principal), incluindo painéis e cabos de controle e potência associados, referente ao TF 5 230/138 kV, lado de 230 kV, da SE Passo Fundo.</t>
  </si>
  <si>
    <t>TR 230/138 kV PASSO FUNDO TR5 RS</t>
  </si>
  <si>
    <t>0003966/2022</t>
  </si>
  <si>
    <t>PP, PA, BA, BF - TF 5 230</t>
  </si>
  <si>
    <t>Substituição da Cobertura Completa e Sistema de Proteção contra Descargas Atmosféricas (SPDA) das Edificações, na SE Palhoça.</t>
  </si>
  <si>
    <t>0003967/2022</t>
  </si>
  <si>
    <t>Cobertura e SPDA</t>
  </si>
  <si>
    <t>Substituição do sistema de controle e supervisão (com unidade redundante) do TF 5 230/138 kV, lado de 230 kV, da SE Passo Fundo, e dos cabos de controle e potência associados.</t>
  </si>
  <si>
    <t>0003968/2022</t>
  </si>
  <si>
    <t>Controle - TF 5 230</t>
  </si>
  <si>
    <t>Substituição de Chave Seccionadora tripolar 230 kV, CS735, referente a LT J.Lacerda A - J.Lacerda B C-1. Associado à obra são esperadas substituições/adaptações de fundações, suportes, cabos de controle/potência, barramento, conectores e conexão de aterramento.</t>
  </si>
  <si>
    <t>0003969/2022</t>
  </si>
  <si>
    <t>Substituição das proteções Principal, Alternada e Falha de Disjuntor, incluindo painéis e cabos de controle e potência associados, referente ao TF 5 230/138 kV, lado de 138 kV, da SE Passo Fundo.</t>
  </si>
  <si>
    <t>0003971/2022</t>
  </si>
  <si>
    <t>PP, PA, BA, BF - TF 5 138</t>
  </si>
  <si>
    <t>Substituição de Chave Seccionadora tripolar 230 kV, CS737, referente a LT J.Lacerda A - J.Lacerda B C-1. Associado à obra são esperadas substituições/adaptações de fundações, suportes, cabos de controle/potência, barramento, conectores e conexão de aterramento.</t>
  </si>
  <si>
    <t>0003972/2022</t>
  </si>
  <si>
    <t>0003973/2022</t>
  </si>
  <si>
    <t>Substituição do sistema de controle e supervisão do TF 5 230/138 kV, lado de 138 kV, da SE Passo Fundo, e dos cabos de controle e potência associados.</t>
  </si>
  <si>
    <t>0003976/2022</t>
  </si>
  <si>
    <t>Controle - TF 5 138</t>
  </si>
  <si>
    <t>Substituição de Transformadores de Corrente 230 kV, referente a LT J.Lacerda A - J.Lacerda B C-1, DJ732, Fases A, B, C. Associado à obra são esperadas substituições/adaptações de fundações, suportes, caixa de junção, cabos, barramento, conectores e conexão de aterramento.</t>
  </si>
  <si>
    <t>0003977/2022</t>
  </si>
  <si>
    <t>TC DJ732</t>
  </si>
  <si>
    <t>Substituição de Transformadores de Potencial Capacitivo 230 kV, referente a LT J.Lacerda A - J.Lacerda B C-1, Fases A, B, C. Associado à obra são esperadas substituições/adaptações de fundações, suportes, caixa de junção, cabos de controle/potência, barramento, conectores e conexão de aterramento.</t>
  </si>
  <si>
    <t>0003978/2022</t>
  </si>
  <si>
    <t>0003980/2022</t>
  </si>
  <si>
    <t>SPDA</t>
  </si>
  <si>
    <t>Substituição de Chave Seccionadora tripolar 230 kV, CS711, referente a LT J.Lacerda A - UTE J.Lacerda A C-4. Associado à obra são esperadas substituições/adaptações de fundações, suportes, cabos de controle/potência, barramento, conectores e conexão de aterramento.</t>
  </si>
  <si>
    <t>LT 230 kV J.LACERDA-A / UTE J.LACERDA-A C-4 SC</t>
  </si>
  <si>
    <t>0003981/2022</t>
  </si>
  <si>
    <t>Substituição das proteções Primária, Secundária e Falha de Disjuntor, incluindo painéis e cabos de controle e potência associados, referente ao TF 4 138/23 kV, lado de 138 kV (LT Entre Rios do Sul), da SE Passo Fundo.</t>
  </si>
  <si>
    <t>TR 138/23 kV PASSO FUNDO TR4  RS</t>
  </si>
  <si>
    <t>0003982/2022</t>
  </si>
  <si>
    <t>PP, PS, BA, BF - TF 4 138</t>
  </si>
  <si>
    <t>SUBSTITUIÇÃO DO DISJUNTOR GMDJ6-03 DA LINHA VILA DO CONDE - GUAMA 230 KV C2</t>
  </si>
  <si>
    <t>0004968/2022</t>
  </si>
  <si>
    <t>GMDJ6-03</t>
  </si>
  <si>
    <t>Substituição do sistema de controle e supervisão do TF 4 138/23 kV, lado de 138 kV (LT Entre Rios do Sul), da SE Passo Fundo, e dos cabos de controle e potência associados.</t>
  </si>
  <si>
    <t>0003983/2022</t>
  </si>
  <si>
    <t>Substituição de Chave Seccionadora tripolar 230 kV, CS713, referente a LT J.Lacerda A - UTE J.Lacerda A C-4. Associado à obra são esperadas substituições/adaptações de fundações, suportes, cabos de controle/potência, barramento, conectores e conexão de aterramento.</t>
  </si>
  <si>
    <t>0003984/2022</t>
  </si>
  <si>
    <t>CS713</t>
  </si>
  <si>
    <t>Instalação de Sistema de Proteção contra Descargas Atmosféricas (SPDA) em Edificações, na SE Curitiba.</t>
  </si>
  <si>
    <t>0009156/2022</t>
  </si>
  <si>
    <t>Substituição das proteções Primária, Secundária e Falha de Disjuntor, incluindo painéis e cabos de controle e potência associados, referente a LT 138 kV Passo Fundo - Erexim 1 C-1.</t>
  </si>
  <si>
    <t>LT 138 kV PASSO FUNDO / EREXIM 1 C-1 RS</t>
  </si>
  <si>
    <t>0003986/2022</t>
  </si>
  <si>
    <t>PP, PS, BA, BF - LT ERE1 C-1</t>
  </si>
  <si>
    <t>Substituição de Chave Seccionadora tripolar 230 kV, CS715, referente a LT J.Lacerda A - UTE J.Lacerda A C-4. Associado à obra são esperadas substituições/adaptações de fundações, suportes, cabos de controle/potência, barramento, conectores e conexão de aterramento.</t>
  </si>
  <si>
    <t>0003987/2022</t>
  </si>
  <si>
    <t>Substituição de Chave Seccionadora tripolar 230 kV, CS717, referente a LT J.Lacerda A - UTE J.Lacerda A C-4. Associado à obra são esperadas substituições/adaptações de fundações, suportes, cabos de controle/potência, barramento, conectores e conexão de aterramento.</t>
  </si>
  <si>
    <t>0003988/2022</t>
  </si>
  <si>
    <t>SUBSTITUIR O CONJUNTO COMPLETO DO DISJUNTOR 230 kV - RPDB6-01</t>
  </si>
  <si>
    <t>0003989/2022</t>
  </si>
  <si>
    <t>RPDB6-01</t>
  </si>
  <si>
    <t>Substituição de Chave Seccionadora tripolar 230 kV, CS741, referente a LT J.Lacerda A - UTE J.Lacerda A C-6. Associado à obra são esperadas substituições/adaptações de fundações, suportes, cabos de controle/potência, barramento, conectores e conexão de aterramento.</t>
  </si>
  <si>
    <t>LT 230 kV J.LACERDA-A / UTE J.LACERDA-A C-6 SC</t>
  </si>
  <si>
    <t>0003990/2022</t>
  </si>
  <si>
    <t>Substituição de Chave Seccionadora tripolar 230 kV, CS743, referente a LT J.Lacerda A - UTE J.Lacerda A C-6. Associado à obra são esperadas substituições/adaptações de fundações, suportes, cabos de controle/potência, barramento, conectores e conexão de aterramento.</t>
  </si>
  <si>
    <t>0003991/2022</t>
  </si>
  <si>
    <t>CS743</t>
  </si>
  <si>
    <t>Substituição de Chave Seccionadora tripolar 230 kV, CS745, referente a LT J.Lacerda A - UTE J.Lacerda A C-6. Associado à obra são esperadas substituições/adaptações de fundações, suportes, cabos de controle/potência, barramento, conectores e conexão de aterramento.</t>
  </si>
  <si>
    <t>0003993/2022</t>
  </si>
  <si>
    <t>LT 138 kV U.MIMOSO / JUPIA C-4 MS/SP</t>
  </si>
  <si>
    <t>0003997/2022</t>
  </si>
  <si>
    <t>DJ752/08</t>
  </si>
  <si>
    <t>0003998/2022</t>
  </si>
  <si>
    <t>DJ752/11</t>
  </si>
  <si>
    <t>0004001/2022</t>
  </si>
  <si>
    <t>DJ752/12</t>
  </si>
  <si>
    <t>LT 138 kV U.MIMOSO / JUPIA C-3 MS/SP</t>
  </si>
  <si>
    <t>0004003/2022</t>
  </si>
  <si>
    <t>DJ752/07</t>
  </si>
  <si>
    <t>0004005/2022</t>
  </si>
  <si>
    <t>CS729/16</t>
  </si>
  <si>
    <t>0004006/2022</t>
  </si>
  <si>
    <t>CS729/18</t>
  </si>
  <si>
    <t>0004009/2022</t>
  </si>
  <si>
    <t>CS729/22</t>
  </si>
  <si>
    <t>0004011/2022</t>
  </si>
  <si>
    <t>CS729/24</t>
  </si>
  <si>
    <t>0004012/2022</t>
  </si>
  <si>
    <t>CS729/84</t>
  </si>
  <si>
    <t>0004015/2022</t>
  </si>
  <si>
    <t>CS729/86</t>
  </si>
  <si>
    <t>0004016/2022</t>
  </si>
  <si>
    <t>CS729/90</t>
  </si>
  <si>
    <t>0004018/2022</t>
  </si>
  <si>
    <t>CS729/92</t>
  </si>
  <si>
    <t>0004020/2022</t>
  </si>
  <si>
    <t>0004022/2022</t>
  </si>
  <si>
    <t>0004027/2022</t>
  </si>
  <si>
    <t>0004029/2022</t>
  </si>
  <si>
    <t>Instalação de Sistema de Proteção contra Descargas Atmosféricas (SPDA) em Edificações, na SE Londrina.</t>
  </si>
  <si>
    <t>MG LONDRINA ESU / CCO-2001-057 - RB</t>
  </si>
  <si>
    <t>0004031/2022</t>
  </si>
  <si>
    <t>Substituição do sistema de controle e supervisão da LT 138 kV Passo Fundo - Erexim 1 C-1, e dos cabos de controle e potência associados.</t>
  </si>
  <si>
    <t>0004034/2022</t>
  </si>
  <si>
    <t>Controle - LT ERE1 C-1</t>
  </si>
  <si>
    <t>Substituição da proteção de Falha de Disjuntor, incluindo painéis e cabos de controle e potência associados, referente ao Interligador de Barras (IB) 138 kV da SE Passo Fundo.</t>
  </si>
  <si>
    <t>0004037/2022</t>
  </si>
  <si>
    <t>Substituição do sistema de controle e supervisão do Interligador de Barras (IB) 138 kV da SE Passo Fundo, e dos cabos de controle e potência associados.</t>
  </si>
  <si>
    <t>0004038/2022</t>
  </si>
  <si>
    <t>Controle - IB138</t>
  </si>
  <si>
    <t>Substituição de britamento no pátio 230kV da SE Charqueadas.</t>
  </si>
  <si>
    <t>0004039/2022</t>
  </si>
  <si>
    <t>Britamento</t>
  </si>
  <si>
    <t>Substituição da proteção de barra de 138 kV da SE Passo Fundo, incluindo uma Unidade Central (barras P e T) com capacidade de no mínimo seis vãos e cinco unidades de bay (vãos TF 4 138/23 kV - LT Entre Rios do Sul, TF 3 230/138 kV, TF 5 230/138 kV, LT 138 kV Erexim 1 e Interligador de Barras - IB), cabos de controle e potência e painéis associados.</t>
  </si>
  <si>
    <t>0004041/2022</t>
  </si>
  <si>
    <t>Substituição do painel de SPCS dos serviços auxiliares CA e CC da SE Passo Fundo, e cabos associados.</t>
  </si>
  <si>
    <t>0004042/2022</t>
  </si>
  <si>
    <t>Execução de obras civis para a construção de nova edificação (Casa de Controle) na SE Charqueadas.</t>
  </si>
  <si>
    <t>0004052/2022</t>
  </si>
  <si>
    <t>Casa de Controle</t>
  </si>
  <si>
    <t>Substituição de Chave Seccionadora tripolar 230 kV, CS747, referente a LT J.Lacerda A - UTE J.Lacerda A C-6. Associado à obra são esperadas substituições/adaptações de fundações, suportes, cabos de controle/potência, barramento, conectores e conexão de aterramento.</t>
  </si>
  <si>
    <t>0004085/2022</t>
  </si>
  <si>
    <t>Substituição de Transformadores de Corrente 230 kV, referente a LT J.Lacerda A - UTE J.Lacerda A C-6, DJ742, Fases A, B, C. Associado à obra são esperadas substituições/adaptações de fundações, suportes, caixa de junção, cabos, barramento, conectores e conexão de aterramento.</t>
  </si>
  <si>
    <t>0009142/2022</t>
  </si>
  <si>
    <t>Substituição de Transformadores de Potencial 230 kV, referente a Barra P (BAP230) da SE J.Lacerda A, Fases A, B, C. Associado à obra são esperadas substituições/adaptações de fundações, suportes, caixa de junção, cabos de controle e potência, barramento, conectores e conexão de aterramento.</t>
  </si>
  <si>
    <t>0004089/2022</t>
  </si>
  <si>
    <t>Implantação de sistema de videomonitoramento dos pólos da chave seccionadora 35L6-8, na subestação SUAPE II, composto por: 01 câmera dedicada.</t>
  </si>
  <si>
    <t>LT 500 kV SUAPE II /RECIFE II C-2 PE</t>
  </si>
  <si>
    <t>0004130/2022</t>
  </si>
  <si>
    <t>Implantação de sistema de videomonitoramento dos pólos da chave seccionadora 35L9-8, na subestação SUAPE II, composto por: 01 câmera dedicada.</t>
  </si>
  <si>
    <t>LT 500 kV ANGELIM II /SUAPE II C-1 PE</t>
  </si>
  <si>
    <t>0004133/2022</t>
  </si>
  <si>
    <t>Substituição de 01 (um) Para-raios posição operacional 74M5-2 fase C da Subestação AGL.</t>
  </si>
  <si>
    <t>0004141/2022</t>
  </si>
  <si>
    <t>11330744</t>
  </si>
  <si>
    <t>ATLANTIDA 2</t>
  </si>
  <si>
    <t>MG ATLANTIDA 2 / CCO-2001-057 - RB</t>
  </si>
  <si>
    <t>0009149/2022</t>
  </si>
  <si>
    <t>DJ102 / DJ112 / CUB1 / CUB2 / CUB3 / CUB4 / CUB5</t>
  </si>
  <si>
    <t>Substituição de 01 (um) PR 230 kV posição operacional 74D2 fase A da Subestação AGL.</t>
  </si>
  <si>
    <t>0004162/2022</t>
  </si>
  <si>
    <t>11331454</t>
  </si>
  <si>
    <t>Instalação de novo setor 13,8 kV para alimentação dos serviços auxiliares da SE Passo Fundo, em substituição aos cubículos e disjuntores atualmente existentes. O novo setor será composto pelos equipamentos: para-raios, chaves fusíveis, seccionadores, isoladores, TPs e cabos associados.</t>
  </si>
  <si>
    <t>0004163/2022</t>
  </si>
  <si>
    <t>DJ152 / DJ162 / DJ192 / DJ202 / CUB1 / CUB2 / CUB3 / CUB4 / CUB5 / CUB6 / CUB7 / CUB8</t>
  </si>
  <si>
    <t>Substituição de 01 (um) PR 230 kV posição operacional 74D2 fase B da Subestação AGL.</t>
  </si>
  <si>
    <t>0004170/2022</t>
  </si>
  <si>
    <t>11331455</t>
  </si>
  <si>
    <t>Substituição de Disjuntor tripolar 138 kV, DJ542, referente a LT J.Lacerda A - Bom Jardim da Serra C-1. Associado à obra, são esperadas substituições ou adaptações de fundações e suportes existentes, cabos de controle e potência, barramento, conectores e conexão do aterramento do equipamento.</t>
  </si>
  <si>
    <t>LT 138 kV J.LACERDA-A / BOM JARDIM DA SERRA C-1 SC</t>
  </si>
  <si>
    <t>0004174/2022</t>
  </si>
  <si>
    <t>Instalação de novo setor 13,8 kV para alimentação dos serviços auxiliares da SE Farroupilha, em substituição aos cubículos e disjuntores atualmente existentes. O novo setor será composto pelos equipamentos: para-raios, chaves fusíveis, seccionadores, isoladores, TPs e cabos associados.</t>
  </si>
  <si>
    <t>MG FARROUPILHA / CCO-2001-057 - RB</t>
  </si>
  <si>
    <t>0004172/2022</t>
  </si>
  <si>
    <t>DJ212 / DJ232 / CUB1 / CUB2 / CUB3 / CUB4 / CUB5</t>
  </si>
  <si>
    <t>Substituição de 01 (um) PR 230 kV posição operacional 74D2 fase C da Subestação AGL.</t>
  </si>
  <si>
    <t>0004177/2022</t>
  </si>
  <si>
    <t>11331456</t>
  </si>
  <si>
    <t>0004179/2022</t>
  </si>
  <si>
    <t>DJ102 / DJ112 / DJ132 / DJ152 / CUB1 / CUB2 / CUB3 / CUB4 / CUB5 / CUB6</t>
  </si>
  <si>
    <t>MG S. OSORIO / CCO-2001-057 - RB</t>
  </si>
  <si>
    <t>0004184/2022</t>
  </si>
  <si>
    <t>DJ232 / DJ252 / DJ262 / CUB I / CUB II / CUB III</t>
  </si>
  <si>
    <t>Instalação de novo setor 13,8 kV para alimentação dos serviços auxiliares da SE Londrina, em substituição aos cubículos e disjuntores atualmente existentes. O novo setor será composto pelos equipamentos: para-raios, chaves fusíveis, seccionadores, isoladores, TPs e cabos associados.</t>
  </si>
  <si>
    <t>0004193/2022</t>
  </si>
  <si>
    <t>DJ132 / DJ142 / SK01 / SK02</t>
  </si>
  <si>
    <t>0004196/2022</t>
  </si>
  <si>
    <t>DJ112 / DJ122</t>
  </si>
  <si>
    <t>SUBSTITUIÇÃO DO DISJUNTOR LDDJ6-07</t>
  </si>
  <si>
    <t>LT 230 kV SAO LUIS II /ALUMAR C-2 MA</t>
  </si>
  <si>
    <t>0004218/2022</t>
  </si>
  <si>
    <t>LDDJ6-07</t>
  </si>
  <si>
    <t>Substituição de 01 (um) PR 230 kV posição operacional 74T2 fase C da Subestação FZD.</t>
  </si>
  <si>
    <t>0004284/2022</t>
  </si>
  <si>
    <t>11328417</t>
  </si>
  <si>
    <t>Substituição de 01 (um) PR 230 kV posição operacional 74T1 fase A da Subestação DMG.</t>
  </si>
  <si>
    <t>TR 230/69 kV DELM. GOUVEIA TR1 CE</t>
  </si>
  <si>
    <t>0004409/2022</t>
  </si>
  <si>
    <t>11327396</t>
  </si>
  <si>
    <t>Substituição de 01 (um) PR 69kV posição operacional 72J5 fase A da Subestação CMA.</t>
  </si>
  <si>
    <t>EL 69 kV COREMAS DIST5 (12J5)</t>
  </si>
  <si>
    <t>0004421/2022</t>
  </si>
  <si>
    <t>11332321</t>
  </si>
  <si>
    <t>Substituição de 01 (um) PR 69kV posição operacional 72J5 fase B da Subestação CMA.</t>
  </si>
  <si>
    <t>0004422/2022</t>
  </si>
  <si>
    <t>11332322</t>
  </si>
  <si>
    <t>Substituição de 01 (um) PR 69kV posição operacional 72J5 fase C da Subestação CMA.</t>
  </si>
  <si>
    <t>0004424/2022</t>
  </si>
  <si>
    <t>11332323</t>
  </si>
  <si>
    <t>Substituição de 1 (um) conjunto de todos os condutos e acessórios do sistema de refrigeração do Compensador Estático CE1 (01Q1) da Subestação MLG.</t>
  </si>
  <si>
    <t>FT CE 58/-35 MvAr MILAGRES CE1 CE</t>
  </si>
  <si>
    <t>0004455/2022</t>
  </si>
  <si>
    <t>11327894</t>
  </si>
  <si>
    <t>G.MANGABEIRA</t>
  </si>
  <si>
    <t>Substituição de 1 (um) PR 230 kV posição operacional 74C1 fase A da Subestação GVM.</t>
  </si>
  <si>
    <t>LT 230 kV G.MANGABEIRA /SAPEACU C-1 BA</t>
  </si>
  <si>
    <t>0004499/2022</t>
  </si>
  <si>
    <t>11327426</t>
  </si>
  <si>
    <t>Substituição de 01 (um) PR 230 kV posição operacional 74C1 fase B da Subestação GVM.</t>
  </si>
  <si>
    <t>0004501/2022</t>
  </si>
  <si>
    <t>11327427</t>
  </si>
  <si>
    <t>Substituição de 01 (um) PR 230 kV posição operacional 74C1 fase C da Subestação GVM.</t>
  </si>
  <si>
    <t>0004502/2022</t>
  </si>
  <si>
    <t>11327428</t>
  </si>
  <si>
    <t>Substituição de 01 (um) PR 230 kV posição operacional 74T2 fase A da Subestação MSI.</t>
  </si>
  <si>
    <t>TR 500/230 kV MESSIAS TR2 AL</t>
  </si>
  <si>
    <t>0004611/2022</t>
  </si>
  <si>
    <t>11331709</t>
  </si>
  <si>
    <t>Substituição de 01 (um) PR 230 kV posição operacional 74T2 fase B da Subestação MSI.</t>
  </si>
  <si>
    <t>0004612/2022</t>
  </si>
  <si>
    <t>11331710</t>
  </si>
  <si>
    <t>Substituição de 01 (um) PR 230 kV posição operacional 74T2 fase C da Subestação MSI.</t>
  </si>
  <si>
    <t>0004613/2022</t>
  </si>
  <si>
    <t>11331711</t>
  </si>
  <si>
    <t>Substituição de 01 (um) PR 230 kV posição operacional 74T3 fase A da Subestação MSI.</t>
  </si>
  <si>
    <t>0004614/2022</t>
  </si>
  <si>
    <t>11331386</t>
  </si>
  <si>
    <t>Substituição de 01 (um) PR 230 kV posição operacional 74T3 fase B da Subestação MSI.</t>
  </si>
  <si>
    <t>0004615/2022</t>
  </si>
  <si>
    <t>11331384</t>
  </si>
  <si>
    <t>Substituição de 01 (um) PR 230 kV posição operacional 74T3 fase C da Subestação MSI.</t>
  </si>
  <si>
    <t>0004616/2022</t>
  </si>
  <si>
    <t>11331385</t>
  </si>
  <si>
    <t>LECHUGA</t>
  </si>
  <si>
    <t>Substituição de disjuntor de 13,8kV - LEDJ2-02</t>
  </si>
  <si>
    <t>MG LECHUGA / CCO-2012-003 - RB</t>
  </si>
  <si>
    <t>0004688/2022</t>
  </si>
  <si>
    <t>N-S-AMLE-MG601-MG230-TF202-LEDJ202</t>
  </si>
  <si>
    <t>Substituição de disjuntor de 13,8kV - LEDJ2-01</t>
  </si>
  <si>
    <t>0004691/2022</t>
  </si>
  <si>
    <t>N-S-AMLE-MG601-MG230-TF201-LEDJ201</t>
  </si>
  <si>
    <t>Substituição de disjuntor de 13,8kV - LEDJ2-21</t>
  </si>
  <si>
    <t>0004694/2022</t>
  </si>
  <si>
    <t>N-S-AMLE-AT601-AT230-LEDJ221</t>
  </si>
  <si>
    <t>AGUA VERMELHA</t>
  </si>
  <si>
    <t>440</t>
  </si>
  <si>
    <t>Substituição dos 3 TCs 400 kV do vão IB que integra o DJM da conexão do AT-8 500/440 kV.</t>
  </si>
  <si>
    <t>MG AGUA VERMELHA / CCO-2001-062 - RB</t>
  </si>
  <si>
    <t>0005081/2022</t>
  </si>
  <si>
    <t>TCDJ1652-49 440KV</t>
  </si>
  <si>
    <t>Substituição de Grupo Motor-Gerador, 380 Vca, na SE Charqueadas. Capacidade do novo equipamento: &gt;= 75 kVA.</t>
  </si>
  <si>
    <t>0004781/2022</t>
  </si>
  <si>
    <t>MG1 - 380 VCA</t>
  </si>
  <si>
    <t>Substituição de Retificador (Carregador de Baterias) 125 Vcc - SACC125-RET1, da SE Charqueadas. Capacidade do novo equipamento: &gt;= 30 A.</t>
  </si>
  <si>
    <t>0004784/2022</t>
  </si>
  <si>
    <t>Substituição de Retificador (Carregador de Baterias) 125 Vcc - SACC125-RET2, da SE Charqueadas. Capacidade do novo equipamento: &gt;= 30 A.</t>
  </si>
  <si>
    <t>0004785/2022</t>
  </si>
  <si>
    <t>Substituição de Retificador (Carregador de Baterias) 48 Vcc - SACC48-RET1, da SE Charqueadas.</t>
  </si>
  <si>
    <t>0004787/2022</t>
  </si>
  <si>
    <t>Substituição dos Painéis de Distribuição 125 VCC (P21, P22) e cabos associados, referentes aos Serviços Auxiliares da SE Chaqueadas.</t>
  </si>
  <si>
    <t>0004788/2022</t>
  </si>
  <si>
    <t>Substituição dos Painéis de Distribuição 380 VCA (P11, P12, P13, P14) e cabos associados, referentes aos Serviços Auxiliares da SE Charqueadas.</t>
  </si>
  <si>
    <t>0004789/2022</t>
  </si>
  <si>
    <t>0004796/2022</t>
  </si>
  <si>
    <t>Heliponto</t>
  </si>
  <si>
    <t>0004798/2022</t>
  </si>
  <si>
    <t>Pavimentação de Acesso</t>
  </si>
  <si>
    <t>Substituição de 01 (um) PR 230 kV posição operacional 74T1 fase C da Subestação DMG.</t>
  </si>
  <si>
    <t>0004805/2022</t>
  </si>
  <si>
    <t>11327397</t>
  </si>
  <si>
    <t>Substituição de Chave Seccionadora tripolar 138 kV, CS541, referente a LT J.Lacerda A - Bom Jardim da Serra C-1. Associado à obra são esperadas substituições/adaptações de fundações, suportes, cabos de controle/potência, barramento, conectores e conexão de aterramento.</t>
  </si>
  <si>
    <t>0004880/2022</t>
  </si>
  <si>
    <t>Substituição de Chave Seccionadora tripolar 138 kV, CS543, referente a LT J.Lacerda A - Bom Jardim da Serra C-1. Associado à obra são esperadas substituições/adaptações de fundações, suportes, cabos de controle/potência, barramento, conectores e conexão de aterramento.</t>
  </si>
  <si>
    <t>0004888/2022</t>
  </si>
  <si>
    <t>Substituição de Chave Seccionadora tripolar 138 kV, CS545, referente a LT J.Lacerda A - Bom Jardim da Serra C-1. Associado à obra são esperadas substituições/adaptações de fundações, suportes, cabos de controle/potência, barramento, conectores e conexão de aterramento.</t>
  </si>
  <si>
    <t>0004895/2022</t>
  </si>
  <si>
    <t>Substituição de Transformadores de Corrente 138 kV, referente a LT J.Lacerda A - Bom Jardim da Serra C-1, DJ542, Fases A, B, C. Associado à obra são esperadas substituições/adaptações de fundações, suportes, caixa de junção, cabos, barramento, conectores e conexão de aterramento.</t>
  </si>
  <si>
    <t>0004904/2022</t>
  </si>
  <si>
    <t>TC DJ542</t>
  </si>
  <si>
    <t>Substituição de Transformadores de Potencial 138 kV, referente a LT J.Lacerda A - Bom Jardim da Serra C-1, Fases A, B, C. Associado à obra são esperadas substituições/adaptações de fundações, suportes, caixa de junção, cabos de controle/potência, barramento, conectores e conexão de aterramento.</t>
  </si>
  <si>
    <t>0004914/2022</t>
  </si>
  <si>
    <t>Substituição de Disjuntor tripolar 138 kV, DJ522, referente a LT J.Lacerda A - Imbituba C-1. Associado à obra, são esperadas substituições ou adaptações de fundações e suportes existentes, cabos de controle e potência, barramento, conectores e conexão do aterramento do equipamento.</t>
  </si>
  <si>
    <t>LT 138 kV J.LACERDA-A / IMBITUBA C-1 SC</t>
  </si>
  <si>
    <t>0004934/2022</t>
  </si>
  <si>
    <t>Substituição de Chave Seccionadora tripolar 138 kV, CS521, referente a LT J.Lacerda A - Imbituba C-1. Associado à obra são esperadas substituições/adaptações de fundações, suportes, cabos de controle/potência, barramento, conectores e conexão de aterramento.</t>
  </si>
  <si>
    <t>0004940/2022</t>
  </si>
  <si>
    <t>CS521</t>
  </si>
  <si>
    <t>Substituição de Chave Seccionadora tripolar 138 kV, CS523, referente a LT J.Lacerda A - Imbituba C-1. Associado à obra são esperadas substituições/adaptações de fundações, suportes, cabos de controle/potência, barramento, conectores e conexão de aterramento.</t>
  </si>
  <si>
    <t>0004947/2022</t>
  </si>
  <si>
    <t>CS523</t>
  </si>
  <si>
    <t>Substituição de Chave Seccionadora tripolar 69 kV, CS451, referente a LT J.Lacerda A - Tubarão C-1. Associado à obra são esperadas substituições/adaptações de fundações, suportes, cabos de controle/potência, barramento, conectores e conexão de aterramento.</t>
  </si>
  <si>
    <t>LT 69 kV J.LACERDA-A / TUBARÃO C-1 SC</t>
  </si>
  <si>
    <t>0004956/2022</t>
  </si>
  <si>
    <t>CS451</t>
  </si>
  <si>
    <t>Substituição de Chave Seccionadora tripolar 69 kV, CS453, referente a LT J.Lacerda A - Tubarão C-1. Associado à obra são esperadas substituições/adaptações de fundações, suportes, cabos de controle/potência, barramento, conectores e conexão de aterramento.</t>
  </si>
  <si>
    <t>0004960/2022</t>
  </si>
  <si>
    <t>CS453</t>
  </si>
  <si>
    <t>Substituição de Chave Seccionadora tripolar 138 kV, CS525, referente a LT J.Lacerda A - Imbituba C-1. Associado à obra são esperadas substituições/adaptações de fundações, suportes, cabos de controle/potência, barramento, conectores e conexão de aterramento.</t>
  </si>
  <si>
    <t>0009157/2022</t>
  </si>
  <si>
    <t>CS525</t>
  </si>
  <si>
    <t>Substituição de 01 (um) TP 69 kV posição operacional 82T3 fase C da Subestação BGI.</t>
  </si>
  <si>
    <t>TR 230/69 kV BONGI TR3 PE</t>
  </si>
  <si>
    <t>0004962/2022</t>
  </si>
  <si>
    <t>11346782</t>
  </si>
  <si>
    <t>Substituição de Chave Seccionadora tripolar 69 kV, CS441, referente a LT J.Lacerda A - Tubarão C-2. Associado à obra são esperadas substituições/adaptações de fundações, suportes, cabos de controle/potência, barramento, conectores e conexão de aterramento.</t>
  </si>
  <si>
    <t>LT 69 kV J.LACERDA-A / TUBARÃO C-2 SC</t>
  </si>
  <si>
    <t>0004964/2022</t>
  </si>
  <si>
    <t>CS441</t>
  </si>
  <si>
    <t>Substituição de Chave Seccionadora tripolar 69 kV, CS443, referente a LT J.Lacerda A - Tubarão C-2. Associado à obra são esperadas substituições/adaptações de fundações, suportes, cabos de controle/potência, barramento, conectores e conexão de aterramento.</t>
  </si>
  <si>
    <t>0004966/2022</t>
  </si>
  <si>
    <t>CS443</t>
  </si>
  <si>
    <t>Substituição de Transformadores de Potencial 69 kV, referente a Barra (BA69) da SE J.Lacerda A, Fases A, B, C. Associado à obra são esperadas substituições/adaptações de fundações, suportes, caixa de junção, cabos de controle e potência, barramento, conectores e conexão de aterramento.</t>
  </si>
  <si>
    <t>0004972/2022</t>
  </si>
  <si>
    <t>Substituição de Transformadores de Corrente 138 kV, referente a LT J.Lacerda A - Imbituba C-1, DJ522, Fases A, B, C. Associado à obra são esperadas substituições/adaptações de fundações, suportes, caixa de junção, cabos, barramento, conectores e conexão de aterramento.</t>
  </si>
  <si>
    <t>0004976/2022</t>
  </si>
  <si>
    <t>TC DJ522</t>
  </si>
  <si>
    <t>Substituição de Transformadores de Potencial 138 kV, referente a LT J.Lacerda A - Imbituba C-1, Fases A, B, C. Associado à obra são esperadas substituições/adaptações de fundações, suportes, caixa de junção, cabos de controle/potência, barramento, conectores e conexão de aterramento.</t>
  </si>
  <si>
    <t>0004982/2022</t>
  </si>
  <si>
    <t>Substituição de Disjuntor tripolar 138 kV, DJ532, referente a LT J.Lacerda A - UTE J.Lacerda A C-1. Associado à obra, são esperadas substituições ou adaptações de fundações e suportes existentes, cabos de controle e potência, barramento, conectores e conexão do aterramento do equipamento.</t>
  </si>
  <si>
    <t>LT 138 kV J.LACERDA-A / UTE J.LACERDA-A C-1 SC</t>
  </si>
  <si>
    <t>0004995/2022</t>
  </si>
  <si>
    <t>Substituição de Chave Seccionadora tripolar 69 kV, CS461, referente ao TF 10 230/69 kV da SE J.Lacerda A. Associado à obra são esperadas substituições/adaptações de fundações, suportes, cabos de controle/potência, barramento, conectores e conexão de aterramento.</t>
  </si>
  <si>
    <t>TR 230/69 kV J.LACERDA-A TR10 SC</t>
  </si>
  <si>
    <t>0004997/2022</t>
  </si>
  <si>
    <t>CS461</t>
  </si>
  <si>
    <t>Substituição de Chave Seccionadora tripolar 138 kV, CS531, referente a LT J.Lacerda A - UTE J.Lacerda A C-1. Associado à obra são esperadas substituições/adaptações de fundações, suportes, cabos de controle/potência, barramento, conectores e conexão de aterramento.</t>
  </si>
  <si>
    <t>0005006/2022</t>
  </si>
  <si>
    <t>Substituição de Chave Seccionadora tripolar 138 kV, CS533, referente a LT J.Lacerda A - UTE J.Lacerda A C-1. Associado à obra são esperadas substituições/adaptações de fundações, suportes, cabos de controle/potência, barramento, conectores e conexão de aterramento.</t>
  </si>
  <si>
    <t>0005014/2022</t>
  </si>
  <si>
    <t>SUBSTITUIÇÃO DO DISJUNTOR GMDJ6-01 DA LINHA VILA DO CONDE - GUAMA 230 KV C1</t>
  </si>
  <si>
    <t>LT 230 kV VILA DO CONDE / GUAMA C-1 PA</t>
  </si>
  <si>
    <t>0007352/2022</t>
  </si>
  <si>
    <t>GMDJ6-01</t>
  </si>
  <si>
    <t>Substituição de Transformadores de Corrente 138 kV, referente a LT J.Lacerda A - UTE J.Lacerda A C-1, DJ532, Fases A, B, C. Associado à obra são esperadas substituições/adaptações de fundações, suportes, caixa de junção, cabos, barramento, conectores e conexão de aterramento.</t>
  </si>
  <si>
    <t>0005020/2022</t>
  </si>
  <si>
    <t>TC DJ532</t>
  </si>
  <si>
    <t>Substituição de 01 (um) TP 69 kV posição operacional 82BP-1 fase A da Subestação DMG.</t>
  </si>
  <si>
    <t>0009141/2022</t>
  </si>
  <si>
    <t>11346888</t>
  </si>
  <si>
    <t>Substituição de 01 (um) TP 69 kV posição operacional 82BP-1 fase B da Subestação DMG.</t>
  </si>
  <si>
    <t>0005067/2022</t>
  </si>
  <si>
    <t>11346889</t>
  </si>
  <si>
    <t>Substituição de 01 (um) TP 69 kV posição operacional 82BP-1 fase C da Subestação DMG.</t>
  </si>
  <si>
    <t>0005069/2022</t>
  </si>
  <si>
    <t>11346890</t>
  </si>
  <si>
    <t>Substituição de 01 (um) TP 69 kV posição operacional 82BP-3 fase A da Subestação DMG.</t>
  </si>
  <si>
    <t>0005073/2022</t>
  </si>
  <si>
    <t>11346891</t>
  </si>
  <si>
    <t>Substituição de 1 (um) TP 69 kV posição operacional 82BP-3 da Subestação DMG.</t>
  </si>
  <si>
    <t>0005076/2022</t>
  </si>
  <si>
    <t>11346893</t>
  </si>
  <si>
    <t>Substituição de 1 (um) TP 69 kV posição operacional 82BP-3 fase B da Subestação DMG.</t>
  </si>
  <si>
    <t>0005079/2022</t>
  </si>
  <si>
    <t>11346892</t>
  </si>
  <si>
    <t>Substituição de 01 (um) TP 69 kV posição operacional 82BP-1 fase A da Subestação FTZ.</t>
  </si>
  <si>
    <t>0005083/2022</t>
  </si>
  <si>
    <t>11346806</t>
  </si>
  <si>
    <t>Substituição de 01 (um) TP 69 kV posição operacional 82BP-1 fase B da Subestação FTZ.</t>
  </si>
  <si>
    <t>0005085/2022</t>
  </si>
  <si>
    <t>11346807</t>
  </si>
  <si>
    <t>Substituição de 01 (um) TP 69 kV posição operacional 82BP-1 fase C da Subestação FTZ.</t>
  </si>
  <si>
    <t>0005089/2022</t>
  </si>
  <si>
    <t>11346808</t>
  </si>
  <si>
    <t>ACU II</t>
  </si>
  <si>
    <t>Substituição de 01 (um) Seccionador 138 kV posição operacional 33T2-4 da Subestação ACD.</t>
  </si>
  <si>
    <t>TR 230/138 kV ACU II TR2 RN</t>
  </si>
  <si>
    <t>0005237/2022</t>
  </si>
  <si>
    <t>11334862</t>
  </si>
  <si>
    <t>Substituição de 01 (um) Seccionador 138 kV posição operacional 33T2-5 da Subestação ACD.</t>
  </si>
  <si>
    <t>0005240/2022</t>
  </si>
  <si>
    <t>11334863</t>
  </si>
  <si>
    <t>Substituição de 01 (um) Seccionador 230 kV posição operacional 34D1-1 da Subestação ACD.</t>
  </si>
  <si>
    <t>MG ACU II / CCO-2001-061 - RB</t>
  </si>
  <si>
    <t>0005260/2022</t>
  </si>
  <si>
    <t>11334920</t>
  </si>
  <si>
    <t>UB.ESPERANCA</t>
  </si>
  <si>
    <t>Substituição de 01 (um) PR 230 kV posição operacional 74T4 fase A da Subestação UBE.</t>
  </si>
  <si>
    <t>MC 230 kV TR 13,8/230 kV UB.ESPERANCA TR4 PI (04G4)</t>
  </si>
  <si>
    <t>0005273/2022</t>
  </si>
  <si>
    <t>11331740</t>
  </si>
  <si>
    <t>Substituição de 01 (um) PR 230 kV posição operacional 74T4 fase B da Subestação UBE.</t>
  </si>
  <si>
    <t>0005277/2022</t>
  </si>
  <si>
    <t>11331741</t>
  </si>
  <si>
    <t>Substituição de 01 (um) PR 230 kV posição operacional 74T4 fase C da Subestação UBE.</t>
  </si>
  <si>
    <t>0005282/2022</t>
  </si>
  <si>
    <t>11331742</t>
  </si>
  <si>
    <t>Substituição de 01 (um) Seccionador 230 kV posição operacional 34D1-2 da Subestação ACD.</t>
  </si>
  <si>
    <t>0005284/2022</t>
  </si>
  <si>
    <t>11334921</t>
  </si>
  <si>
    <t>Substituição de 01 (um) Seccionador 230 kV posição operacional 34F1-4 da Subestação MRD.</t>
  </si>
  <si>
    <t>LT 230 kV SANTA RITA II /MUSSURE II C-1 PB</t>
  </si>
  <si>
    <t>0005307/2022</t>
  </si>
  <si>
    <t>11335543</t>
  </si>
  <si>
    <t>Substituição de 01 (um) Seccionador 230 kV posição operacional 34F1-5 da Subestação MRD.</t>
  </si>
  <si>
    <t>0005311/2022</t>
  </si>
  <si>
    <t>11335544</t>
  </si>
  <si>
    <t>Substituição de 01 (um) Seccionador com Lâmina de Terra 230 kV posição operacional 34F1-6 da Subestação MRD.</t>
  </si>
  <si>
    <t>0005315/2022</t>
  </si>
  <si>
    <t>11333617</t>
  </si>
  <si>
    <t>Substituição de 01 (um) Seccionador 230 kV posição operacional 34F2-4 da Subestação MRD.</t>
  </si>
  <si>
    <t>LT 230 kV GOIANINHA /MUSSURE II C-2 PE/PB</t>
  </si>
  <si>
    <t>0005319/2022</t>
  </si>
  <si>
    <t>11335545</t>
  </si>
  <si>
    <t>Substituição de 01 (um) TC 500 kV posição operacional 95T2 fase A da Subestação MSI.</t>
  </si>
  <si>
    <t>0005348/2022</t>
  </si>
  <si>
    <t>11324937</t>
  </si>
  <si>
    <t>Substituição de 01 (um) TC 500 kV posição operacional 95T2 fase B da Subestação MSI.</t>
  </si>
  <si>
    <t>0005352/2022</t>
  </si>
  <si>
    <t>11324938</t>
  </si>
  <si>
    <t>Substituição de 01 (um) TC 500 kV posição operacional 95T2 fase C da Subestação MSI.</t>
  </si>
  <si>
    <t>0005355/2022</t>
  </si>
  <si>
    <t>11324939</t>
  </si>
  <si>
    <t>Substituição de 01 (um) TC 69 kV posição operacional 92J1 fase A da Subestação AGL.</t>
  </si>
  <si>
    <t>EL 69 kV ANGELIM DIST1 (02J1)</t>
  </si>
  <si>
    <t>0005364/2022</t>
  </si>
  <si>
    <t>12437290</t>
  </si>
  <si>
    <t>Substituição de 01 (um) TC 69 kV posição operacional 92J1 fase B da Subestação AGL.</t>
  </si>
  <si>
    <t>0005367/2022</t>
  </si>
  <si>
    <t>11320963</t>
  </si>
  <si>
    <t>Substituição de 01 (um) TC 69 kV posição operacional 92J1 fase C da Subestação AGL.</t>
  </si>
  <si>
    <t>0005371/2022</t>
  </si>
  <si>
    <t>11320964</t>
  </si>
  <si>
    <t>Substituição de 01 (um) TC 69 kV posição operacional 92J2 fase A da Subestação AGL.</t>
  </si>
  <si>
    <t>EL 69 kV ANGELIM DIST2 (02J2)</t>
  </si>
  <si>
    <t>0005373/2022</t>
  </si>
  <si>
    <t>12437291</t>
  </si>
  <si>
    <t>Substituição de 01 (um) TC 69 kV posição operacional 92J2-2 fase A da Subestação IRE.</t>
  </si>
  <si>
    <t>EL 69 kV IRECE DIST2 (02J2)</t>
  </si>
  <si>
    <t>0005399/2022</t>
  </si>
  <si>
    <t>11454967</t>
  </si>
  <si>
    <t>Substituição de 01 (um) TC 69 kV posição operacional 92J3-2 da Subestação IRE.</t>
  </si>
  <si>
    <t>EL 69 kV IRECE DIST3 (02J3)</t>
  </si>
  <si>
    <t>0005403/2022</t>
  </si>
  <si>
    <t>11454973</t>
  </si>
  <si>
    <t>Substituição de 01 (um) Seccionador com Lâmina de Terra 230 kV posição operacional 34F2-6 da Subestação MRD.</t>
  </si>
  <si>
    <t>0005405/2022</t>
  </si>
  <si>
    <t>11333618</t>
  </si>
  <si>
    <t>Substituição de 01 (um) Disjuntor 69 kV posição operacional 12T4 da Subestação ACD.</t>
  </si>
  <si>
    <t>TR 230/69 kV ACU II TR4 RN</t>
  </si>
  <si>
    <t>0005447/2022</t>
  </si>
  <si>
    <t>11340830</t>
  </si>
  <si>
    <t>Substituição de 01 (um) Disjuntor 138 kV posição operacional 13C2 da Subestação ACD.</t>
  </si>
  <si>
    <t>EL 138 kV ACU II LT 138 kV ACU II /SAN.MATOS II C-1 RN (13C2)</t>
  </si>
  <si>
    <t>0005454/2022</t>
  </si>
  <si>
    <t>11340736</t>
  </si>
  <si>
    <t>Substituição de 01 (um) Disjuntor 138 kV posição operacional 13T2 da Subestação ACD.</t>
  </si>
  <si>
    <t>0005456/2022</t>
  </si>
  <si>
    <t>11340735</t>
  </si>
  <si>
    <t>Substituição de 01 (um) Disjuntor com Sincronizador 230 kV posição operacional 14D1 da Subestação ACD.</t>
  </si>
  <si>
    <t>0005459/2022</t>
  </si>
  <si>
    <t>11340639</t>
  </si>
  <si>
    <t>Substituição de 01 (um) Disjuntor 230 kV posição operacional 14L2 da Subestação ACD.</t>
  </si>
  <si>
    <t>LT 230 kV ACU III /ACU II C-1 RN</t>
  </si>
  <si>
    <t>0005462/2022</t>
  </si>
  <si>
    <t>11340640</t>
  </si>
  <si>
    <t>Substituição de 01 (um) Disjuntor com Sincronizador 230 kV posição operacional 14T2 da Subestação ACD.</t>
  </si>
  <si>
    <t>0005466/2022</t>
  </si>
  <si>
    <t>11340641</t>
  </si>
  <si>
    <t>Substituição de 01 (um) Disjuntor com Sincronizador 230 kV posição operacional 14T5 da Subestação ACD.</t>
  </si>
  <si>
    <t>TR 230/69 kV ACU II TR5 RN</t>
  </si>
  <si>
    <t>0005469/2022</t>
  </si>
  <si>
    <t>11340638</t>
  </si>
  <si>
    <t>Substituição de 01 (um) Disjuntor posição operacional 14N4 da Subestação AGL.</t>
  </si>
  <si>
    <t>0005521/2022</t>
  </si>
  <si>
    <t>11341930</t>
  </si>
  <si>
    <t>ABAIXADORA</t>
  </si>
  <si>
    <t>Substituição de 01 (um) Seccionador 230 kV posição operacional 34J4-8 da Subestação ABX.</t>
  </si>
  <si>
    <t>MG ABAIXADORA / CCO-2001-061 - RB</t>
  </si>
  <si>
    <t>0005551/2022</t>
  </si>
  <si>
    <t>11338089</t>
  </si>
  <si>
    <t>Substituição de 01 (um) TC 500 kV posição operacional 95D3-1 fase A da Subestação AGD.</t>
  </si>
  <si>
    <t>MG ANGELIM II / CCO-2001-061 - RB</t>
  </si>
  <si>
    <t>0005568/2022</t>
  </si>
  <si>
    <t>11322068</t>
  </si>
  <si>
    <t>Substituição de 01 (um) TC 500 kV posição operacional 95D3-1 fase B da Subestação AGD.</t>
  </si>
  <si>
    <t>0005572/2022</t>
  </si>
  <si>
    <t>11322069</t>
  </si>
  <si>
    <t>Substituição de 01 (um) TC 500 kV posição operacional 95D3-1 fase C da Subestação AGD.</t>
  </si>
  <si>
    <t>0005575/2022</t>
  </si>
  <si>
    <t>11322070</t>
  </si>
  <si>
    <t>Substituição de 01 (um) TC 500 kV posição operacional 95L5 fase A da Subestação AGD.</t>
  </si>
  <si>
    <t>LT 500 kV GARANHUNS II /ANGELIM II C-1 PE</t>
  </si>
  <si>
    <t>0005612/2022</t>
  </si>
  <si>
    <t>11322055</t>
  </si>
  <si>
    <t>Substituição de 01 (um) Seccionador 230 kV posição operacional 34L2-1 da Subestação ACD.</t>
  </si>
  <si>
    <t>0005613/2022</t>
  </si>
  <si>
    <t>11333950</t>
  </si>
  <si>
    <t>Substituição de 01 (um) TC 500 kV posição operacional 95L5 fase B da Subestação AGD.</t>
  </si>
  <si>
    <t>0005616/2022</t>
  </si>
  <si>
    <t>11322056</t>
  </si>
  <si>
    <t>Substituição de 01 (um) TC 500 kV posição operacional 95L5 fase C da Subestação AGD.</t>
  </si>
  <si>
    <t>0005621/2022</t>
  </si>
  <si>
    <t>11322057</t>
  </si>
  <si>
    <t>Substituição de 01 (um) Seccionador 230 kV posição operacional 34L2-4 da Subestação ACD.</t>
  </si>
  <si>
    <t>0005642/2022</t>
  </si>
  <si>
    <t>11333952</t>
  </si>
  <si>
    <t>Substituição de 01 (um) Disjuntor 69 kV posição operacional 12J8 da Subestação MRD.</t>
  </si>
  <si>
    <t>EL 69 kV MUSSURE II MANGABEIRA-02J8 (02J8)</t>
  </si>
  <si>
    <t>0005647/2022</t>
  </si>
  <si>
    <t>11340470</t>
  </si>
  <si>
    <t>Substituição de 01 (um) Disjuntor 69 kV posição operacional 12T1 da Subestação MRD.</t>
  </si>
  <si>
    <t>TR 230/69 kV MUSSURE II TR1 PB</t>
  </si>
  <si>
    <t>0005651/2022</t>
  </si>
  <si>
    <t>11340423</t>
  </si>
  <si>
    <t>Substituição de 01 (um) Seccionador com Lâmina de Terra 230 kV posição operacional 34L2-5 da Subestação ACD.</t>
  </si>
  <si>
    <t>0005654/2022</t>
  </si>
  <si>
    <t>11334288</t>
  </si>
  <si>
    <t>Substituição de 01 (um) Disjuntor 69 kV posição operacional 12T2 da Subestação MRD.</t>
  </si>
  <si>
    <t>TR 230/69 kV MUSSURE II TR2 PB</t>
  </si>
  <si>
    <t>0005655/2022</t>
  </si>
  <si>
    <t>11340424</t>
  </si>
  <si>
    <t>Substituição de 01 (um) Disjuntor com Sincronizador 230 kV posição operacional 14D1 da Subestação MRD.</t>
  </si>
  <si>
    <t>0005658/2022</t>
  </si>
  <si>
    <t>11341674</t>
  </si>
  <si>
    <t>Substituição de 01 (um) Disjuntor 230 kV posição operacional 14F1 da Subestação MRD.</t>
  </si>
  <si>
    <t>0005663/2022</t>
  </si>
  <si>
    <t>11341675</t>
  </si>
  <si>
    <t>Substituição de 01 (um) Disjuntor 230 kV posição operacional 14F2 da Subestação MRD.</t>
  </si>
  <si>
    <t>0005667/2022</t>
  </si>
  <si>
    <t>11341676</t>
  </si>
  <si>
    <t>Substituição de 01 (um) Disjuntor com Sincronizador 230 kV posição operacional 14T1 da Subestação MRD.</t>
  </si>
  <si>
    <t>0005671/2022</t>
  </si>
  <si>
    <t>11341677</t>
  </si>
  <si>
    <t>Substituição de 01 (um) Disjuntor com Sincronizador 230 kV posição operacional 14T2 da Subestação MRD.</t>
  </si>
  <si>
    <t>0005675/2022</t>
  </si>
  <si>
    <t>11341672</t>
  </si>
  <si>
    <t>Substituição de 01 (um) TC 500 kV posição operacional 95D1-1 fase B da Subestação PAQ.</t>
  </si>
  <si>
    <t>0005705/2022</t>
  </si>
  <si>
    <t>11322186</t>
  </si>
  <si>
    <t>Substituição de 01 (um) TC 500 kV posição operacional 95D1-2 fase A da Subestação PAQ.</t>
  </si>
  <si>
    <t>0005707/2022</t>
  </si>
  <si>
    <t>11322188</t>
  </si>
  <si>
    <t>Substituição de 01 (um) TC 500 kV posição operacional 95D1-2 fase B da Subestação PAQ.</t>
  </si>
  <si>
    <t>0005711/2022</t>
  </si>
  <si>
    <t>11322189</t>
  </si>
  <si>
    <t>Substituição de 01 (um) TC 500 kV posição operacional 95D3-1 fase A da Subestação PAQ.</t>
  </si>
  <si>
    <t>0005715/2022</t>
  </si>
  <si>
    <t>11322198</t>
  </si>
  <si>
    <t>Substituição de 01 (um) TC 500 kV posição operacional 95D3-1 fase B da Subestação PAQ.</t>
  </si>
  <si>
    <t>0005719/2022</t>
  </si>
  <si>
    <t>11322199</t>
  </si>
  <si>
    <t>Substituição de 01 (um) TC 500 kV posição operacional 95D3-1 fase C da Subestação PAQ.</t>
  </si>
  <si>
    <t>0005723/2022</t>
  </si>
  <si>
    <t>11322200</t>
  </si>
  <si>
    <t>Substituição de 01 (um) TC 69 kV posição operacional 92T2 fase A da Subestação DMG.</t>
  </si>
  <si>
    <t>TR 230/69 kV DELM. GOUVEIA TR2 CE</t>
  </si>
  <si>
    <t>0005789/2022</t>
  </si>
  <si>
    <t>11321387</t>
  </si>
  <si>
    <t>Substituição de 01 (um) TC 69 kV posição operacional 92T2 fase B da Subestação DMG.</t>
  </si>
  <si>
    <t>0005794/2022</t>
  </si>
  <si>
    <t>11321368</t>
  </si>
  <si>
    <t>Substituição de 01 (um) TC 69 kV posição operacional 92T2 fase C da Subestação DMG.</t>
  </si>
  <si>
    <t>0005797/2022</t>
  </si>
  <si>
    <t>11321363</t>
  </si>
  <si>
    <t>Substituição de 01 (um) TC 69 kV posição operacional 92T3 fase A da Subestação DMG.</t>
  </si>
  <si>
    <t>0005800/2022</t>
  </si>
  <si>
    <t>11321364</t>
  </si>
  <si>
    <t>Substituição de 01 (um) TC 69 kV posição operacional 92T3 fase B da Subestação DMG.</t>
  </si>
  <si>
    <t>0005804/2022</t>
  </si>
  <si>
    <t>11321365</t>
  </si>
  <si>
    <t>Substituição de 01 (um) TC 69 kV posição operacional 92T3 fase C da Subestação DMG.</t>
  </si>
  <si>
    <t>0005808/2022</t>
  </si>
  <si>
    <t>11321366</t>
  </si>
  <si>
    <t>Substituição de 01 (um) Disjuntor 69 kV posição operacional 12T5 da Subestação DMG.</t>
  </si>
  <si>
    <t>0005856/2022</t>
  </si>
  <si>
    <t>11340852</t>
  </si>
  <si>
    <t>Substituição de 01 (um) Disjuntor com Sincronizador 230 kV posição operacional 14T2 da Subestação DMG.</t>
  </si>
  <si>
    <t>0005864/2022</t>
  </si>
  <si>
    <t>11341757</t>
  </si>
  <si>
    <t>Substituição de 01 (um) Disjuntor posição operacional 14E1 da Subestação FNL.</t>
  </si>
  <si>
    <t>RTB 230 kV 20 Mvar FUNIL RT1 BA</t>
  </si>
  <si>
    <t>0005967/2022</t>
  </si>
  <si>
    <t>11342161</t>
  </si>
  <si>
    <t>Substituição de 01 (um) Disjuntor posição operacional 14E2 da Subestação FNL.</t>
  </si>
  <si>
    <t>RTB 230 kV 22,2 Mvar FUNIL RT2 BA</t>
  </si>
  <si>
    <t>0005970/2022</t>
  </si>
  <si>
    <t>11342160</t>
  </si>
  <si>
    <t>Substituição de 01 (um) TC 500 kV posição operacional 95D4-1 fase A da Subestação PAQ.</t>
  </si>
  <si>
    <t>0005979/2022</t>
  </si>
  <si>
    <t>11322201</t>
  </si>
  <si>
    <t>Substituição de 01 (um) TC 500 kV posição operacional 95D4-1 fase B da Subestação PAQ.</t>
  </si>
  <si>
    <t>0005982/2022</t>
  </si>
  <si>
    <t>11322202</t>
  </si>
  <si>
    <t>Substituição de 01 (um) TC 500 kV posição operacional 95D4-1 fase C da Subestação PAQ.</t>
  </si>
  <si>
    <t>0005986/2022</t>
  </si>
  <si>
    <t>11322203</t>
  </si>
  <si>
    <t>EUNAPOLIS</t>
  </si>
  <si>
    <t>Substituição de 01 (um) Disjuntor posição operacional 14E3 da Subestação ENP.</t>
  </si>
  <si>
    <t>RTB 230 kV 22,2 Mvar EUNAPOLIS RT3 BA</t>
  </si>
  <si>
    <t>0005989/2022</t>
  </si>
  <si>
    <t>11340599</t>
  </si>
  <si>
    <t>Substituição de 01 (um) TC 500 kV posição operacional 95D4-2 fase A da Subestação PAQ.</t>
  </si>
  <si>
    <t>0005990/2022</t>
  </si>
  <si>
    <t>11322204</t>
  </si>
  <si>
    <t>Substituição de 01 (um) TC 500 kV posição operacional 95D4-2 fase B da Subestação PAQ.</t>
  </si>
  <si>
    <t>0005993/2022</t>
  </si>
  <si>
    <t>11322205</t>
  </si>
  <si>
    <t>Substituição de 01 (um) TC 500 kV posição operacional 95D4-2 fase C da Subestação PAQ.</t>
  </si>
  <si>
    <t>0005997/2022</t>
  </si>
  <si>
    <t>11322206</t>
  </si>
  <si>
    <t>Substituição de 01 (um) TC 500 kV posição operacional 95D5-1 fase A da Subestação PAQ.</t>
  </si>
  <si>
    <t>0006002/2022</t>
  </si>
  <si>
    <t>11325622</t>
  </si>
  <si>
    <t>Substituição de 01 (um) TC 500 kV posição operacional 95D5-1 fase B da Subestação PAQ.</t>
  </si>
  <si>
    <t>0006005/2022</t>
  </si>
  <si>
    <t>11325617</t>
  </si>
  <si>
    <t>Substituição de 01 (um) TC 500 kV posição operacional 95D5-1 fase C da Subestação PAQ.</t>
  </si>
  <si>
    <t>0006009/2022</t>
  </si>
  <si>
    <t>11325618</t>
  </si>
  <si>
    <t>Substituição de 01 (um) TC 500 kV posição operacional 95D5-2 fase A da Subestação PAQ.</t>
  </si>
  <si>
    <t>0006013/2022</t>
  </si>
  <si>
    <t>11322164</t>
  </si>
  <si>
    <t>Substituição de 01 (um) TC 500 kV posição operacional 95D5-2 fase B da Subestação PAQ.</t>
  </si>
  <si>
    <t>0006017/2022</t>
  </si>
  <si>
    <t>11322165</t>
  </si>
  <si>
    <t>Substituição de 01 (um) TC 500 kV posição operacional 95D5-2 fase C da Subestação PAQ.</t>
  </si>
  <si>
    <t>0006022/2022</t>
  </si>
  <si>
    <t>11322166</t>
  </si>
  <si>
    <t>Substituição de 01 (um) TC 500 kV posição operacional 95D6-2 fase A da Subestação PAQ.</t>
  </si>
  <si>
    <t>0006039/2022</t>
  </si>
  <si>
    <t>11322170</t>
  </si>
  <si>
    <t>Substituição de 01 (um) TC 500 kV posição operacional 95D6-2 fase B da Subestação PAQ.</t>
  </si>
  <si>
    <t>0006040/2022</t>
  </si>
  <si>
    <t>11322171</t>
  </si>
  <si>
    <t>Substituição de 01 (um) Seccionador 230 kV posição operacional 34T1-4 da Subestação MRD.</t>
  </si>
  <si>
    <t>0006050/2022</t>
  </si>
  <si>
    <t>11333619</t>
  </si>
  <si>
    <t>Substituição de toda Coberta do Prédio de Comando com área de 509,43m² na SE Olindina.</t>
  </si>
  <si>
    <t>MG OLINDINA / CCO-2001-061 - RB</t>
  </si>
  <si>
    <t>0006058/2022</t>
  </si>
  <si>
    <t>12454676</t>
  </si>
  <si>
    <t>Substituição de 01 (um) Seccionador 230 kV posição operacional 34T1-5 da Subestação MRD.</t>
  </si>
  <si>
    <t>0006061/2022</t>
  </si>
  <si>
    <t>11335546</t>
  </si>
  <si>
    <t>Substituição de 01 (um) Seccionador 230 kV posição operacional 34T1-6 da Subestação MRD.</t>
  </si>
  <si>
    <t>0006074/2022</t>
  </si>
  <si>
    <t>11335547</t>
  </si>
  <si>
    <t>Substituição de 01 ar condicionado tipo janela, com fornecimento e instalação, na Guarita da SE Mirueira. Sendo este de 10.000 BTUs.</t>
  </si>
  <si>
    <t>0006089/2022</t>
  </si>
  <si>
    <t>12454683</t>
  </si>
  <si>
    <t>Substituição de 01 (um) Seccionador 230 kV posição operacional 34T2-1 da Subestação ACD.</t>
  </si>
  <si>
    <t>0006091/2022</t>
  </si>
  <si>
    <t>11334289</t>
  </si>
  <si>
    <t>Substituição de 1 (um) Transformador de Serviço Auxliar 13,8 kV posição operacional 01T4 da Subestação SOB.</t>
  </si>
  <si>
    <t>0006096/2022</t>
  </si>
  <si>
    <t>11456646</t>
  </si>
  <si>
    <t>Substituição de 1 (um) Transformador de Serviço Auxliar 13,8 kV posição operacional 01T5 da Subestação SOB.</t>
  </si>
  <si>
    <t>0006098/2022</t>
  </si>
  <si>
    <t>11456647</t>
  </si>
  <si>
    <t>Substituição de 01 (um) TC 500 kV posição operacional 95T7 fase A da Subestação PAQ.</t>
  </si>
  <si>
    <t>TR 500/230 kV P. AFONSO IV TR7 BA</t>
  </si>
  <si>
    <t>0006109/2022</t>
  </si>
  <si>
    <t>11322158</t>
  </si>
  <si>
    <t>Substituição de 01 (um) TC 500 kV posição operacional 95T7 fase B da Subestação PAQ.</t>
  </si>
  <si>
    <t>0006116/2022</t>
  </si>
  <si>
    <t>11322159</t>
  </si>
  <si>
    <t>Substituição de 01 (um) Seccionador 230 kV posição operacional 34T2-4 da Subestação MRD.</t>
  </si>
  <si>
    <t>0006118/2022</t>
  </si>
  <si>
    <t>11333620</t>
  </si>
  <si>
    <t>Substituição de 01 (um) Seccionador 230 kV posição operacional 34T2-4 da Subestação ACD.</t>
  </si>
  <si>
    <t>0006123/2022</t>
  </si>
  <si>
    <t>11334291</t>
  </si>
  <si>
    <t>Substituição de 01 (um) Seccionadora 69 kV posição operacional 32D1-1 da Subestação IRE.</t>
  </si>
  <si>
    <t>IB 69 kV MG 230 kV IRECE MG1 BA IB1 (12D1)</t>
  </si>
  <si>
    <t>0006124/2022</t>
  </si>
  <si>
    <t>11333346</t>
  </si>
  <si>
    <t>Substituição de 01 (um) TC 500 kV posição operacional 95T7 fase C da Subestação PAQ.</t>
  </si>
  <si>
    <t>0006125/2022</t>
  </si>
  <si>
    <t>11322160</t>
  </si>
  <si>
    <t>Substituição de 01 (um) Seccionadora 69 kV posição operacional 32T1-4 da Subestação IRE.</t>
  </si>
  <si>
    <t>TR 230/69 kV IRECE TR1 BA</t>
  </si>
  <si>
    <t>0006127/2022</t>
  </si>
  <si>
    <t>11333342</t>
  </si>
  <si>
    <t>Substituição de 01 (um) Seccionador 230 kV posição operacional 34T2-5 da Subestação MRD.</t>
  </si>
  <si>
    <t>0006130/2022</t>
  </si>
  <si>
    <t>11333621</t>
  </si>
  <si>
    <t>Substituição de 01 (um) Seccionadora 69 kV posição operacional 32T1-5 da Subestação IRE.</t>
  </si>
  <si>
    <t>0006131/2022</t>
  </si>
  <si>
    <t>11333449</t>
  </si>
  <si>
    <t>Substituição de 01 (um) Seccionadora 69 kV posição operacional 32T1-6 da Subestação IRE.</t>
  </si>
  <si>
    <t>0006133/2022</t>
  </si>
  <si>
    <t>11333343</t>
  </si>
  <si>
    <t>Substituição de 01 (um) Seccionador 69 kV posição operacional 32A1-8 da Subestação MRD.</t>
  </si>
  <si>
    <t>MC 69 kV TT 69/13,8 kV MUSSURE II TA1 PB (02A1)</t>
  </si>
  <si>
    <t>0006136/2022</t>
  </si>
  <si>
    <t>11333356</t>
  </si>
  <si>
    <t>Substituição de 01 (um) Seccionador 230 kV posição operacional 34T2-6 da Subestação MRD.</t>
  </si>
  <si>
    <t>0006145/2022</t>
  </si>
  <si>
    <t>11335548</t>
  </si>
  <si>
    <t>Substituição de 01 (um) Seccionador 230 kV posição operacional 34T3-5 da Subestação MRD.</t>
  </si>
  <si>
    <t>TR 230/69 kV MUSSURE II TR3 PB</t>
  </si>
  <si>
    <t>0006190/2022</t>
  </si>
  <si>
    <t>11335550</t>
  </si>
  <si>
    <t>Substituição de 01 (um) inversor posição operacional 200I1 da Subestação SOB.</t>
  </si>
  <si>
    <t>0006201/2022</t>
  </si>
  <si>
    <t>12434634</t>
  </si>
  <si>
    <t>Substituição de 01 (um) Seccionador 230 kV posição operacional 34T4-1 da Subestação ACD.</t>
  </si>
  <si>
    <t>0006202/2022</t>
  </si>
  <si>
    <t>11333955</t>
  </si>
  <si>
    <t>Substituição de 01 (um) retificador posição operacional 200R7 da Subestação RCD.</t>
  </si>
  <si>
    <t>0006207/2022</t>
  </si>
  <si>
    <t>11455499</t>
  </si>
  <si>
    <t>Substituição de 01 (um) retificador posição operacional 200R8 da Subestação RCD.</t>
  </si>
  <si>
    <t>0006208/2022</t>
  </si>
  <si>
    <t>11455500</t>
  </si>
  <si>
    <t>Substituição de 01 (um) inversor posição operacional 200I1 da Subestação FTZ.</t>
  </si>
  <si>
    <t>0006212/2022</t>
  </si>
  <si>
    <t>12434631</t>
  </si>
  <si>
    <t>Substituição de 01 (um) Seccionador 230 kV posição operacional 34T4-4 da Subestação ACD.</t>
  </si>
  <si>
    <t>0006216/2022</t>
  </si>
  <si>
    <t>11333957</t>
  </si>
  <si>
    <t>Substituição de 01 (um) Seccionador 69 kV posição operacional 32J8-4 da Subestação MRD.</t>
  </si>
  <si>
    <t>0006225/2022</t>
  </si>
  <si>
    <t>11337614</t>
  </si>
  <si>
    <t>Substituição de 01 (um) Seccionador com Lâmina de Terra 69 kV posição operacional 32J8-6 da Subestação MRD.</t>
  </si>
  <si>
    <t>0006232/2022</t>
  </si>
  <si>
    <t>11334747</t>
  </si>
  <si>
    <t>Substituição de 01 (um) Seccionador com Lâmina de Terra 69 kV posição operacional 32M1-5 da Subestação CCD.</t>
  </si>
  <si>
    <t>EL 69 kV CIC. DANTAS DIST1 (12M1)</t>
  </si>
  <si>
    <t>0006234/2022</t>
  </si>
  <si>
    <t>11333809</t>
  </si>
  <si>
    <t>Substituição de 01 (um) Seccionador 69 kV posição operacional 32T1-5 da Subestação MRD.</t>
  </si>
  <si>
    <t>0006243/2022</t>
  </si>
  <si>
    <t>11335144</t>
  </si>
  <si>
    <t>Substituição de 01 (um) Seccionador 69 kV posição operacional 32T1-6 da Subestação MRD.</t>
  </si>
  <si>
    <t>0006248/2022</t>
  </si>
  <si>
    <t>11335168</t>
  </si>
  <si>
    <t>Substituição de 01 (um) Seccionador 69 kV posição operacional 32T2-4 da Subestação MRD.</t>
  </si>
  <si>
    <t>0006253/2022</t>
  </si>
  <si>
    <t>11337616</t>
  </si>
  <si>
    <t>Substituição de 01 (um) Seccionador 69 kV posição operacional 32T2-5 da Subestação MRD.</t>
  </si>
  <si>
    <t>0006256/2022</t>
  </si>
  <si>
    <t>11337617</t>
  </si>
  <si>
    <t>Substituição de 01 (um) Seccionador 69 kV posição operacional 32T2-6 da Subestação MRD.</t>
  </si>
  <si>
    <t>0006257/2022</t>
  </si>
  <si>
    <t>11337618</t>
  </si>
  <si>
    <t>Substituição de 01 (um) Seccionador 69 kV posição operacional 32T4-4 da Subestação ACD.</t>
  </si>
  <si>
    <t>0006276/2022</t>
  </si>
  <si>
    <t>11337906</t>
  </si>
  <si>
    <t>Substituição de 01 (um) Seccionador 69 kV posição operacional 32T4-5 da Subestação ACD.</t>
  </si>
  <si>
    <t>0006277/2022</t>
  </si>
  <si>
    <t>11337907</t>
  </si>
  <si>
    <t>Substituição de 01 (um) PR 500 kV posição operacional 75T3 fase A da Subestação USB.</t>
  </si>
  <si>
    <t>LT 500 kV U.SOBRADINHO /SOBRADINHO C-3 BA</t>
  </si>
  <si>
    <t>0006293/2022</t>
  </si>
  <si>
    <t>Substituição de 01 (um) PR 500 kV posição operacional 75T3 fase B da Subestação USB.</t>
  </si>
  <si>
    <t>0006295/2022</t>
  </si>
  <si>
    <t>Substituição de 01 (um) TC 500 kV posição operacional 95D1-1 fase A da Subestação MSI.</t>
  </si>
  <si>
    <t>MG MESSIAS / CCO-2001-061 - RB</t>
  </si>
  <si>
    <t>0006317/2022</t>
  </si>
  <si>
    <t>11324940</t>
  </si>
  <si>
    <t>Substituição de 01 (um) TC 500 kV posição operacional 95D1-1 fase B da Subestação MSI.</t>
  </si>
  <si>
    <t>0006321/2022</t>
  </si>
  <si>
    <t>11324941</t>
  </si>
  <si>
    <t>Substituição de 01 (um) TC 500 kV posição operacional 95D1-1 fase C da Subestação MSI.</t>
  </si>
  <si>
    <t>0006325/2022</t>
  </si>
  <si>
    <t>11324942</t>
  </si>
  <si>
    <t>Substituição de 01 (um) TC 500 kV posição operacional 95L7 fase A da Subestação RCD.</t>
  </si>
  <si>
    <t>0006329/2022</t>
  </si>
  <si>
    <t>11322085</t>
  </si>
  <si>
    <t>Substituição de 01 (um) TC 500 kV posição operacional 95L8 fase B da Subestação RCD.</t>
  </si>
  <si>
    <t>0006333/2022</t>
  </si>
  <si>
    <t>11322087</t>
  </si>
  <si>
    <t>Substituição de 01 (um) TC 500 kV posição operacional 95L8 fase C da Subestação RCD.</t>
  </si>
  <si>
    <t>0006334/2022</t>
  </si>
  <si>
    <t>11322088</t>
  </si>
  <si>
    <t>Substituição de 01 (um) Seccionador 230 kV posição operacional 34T2-5 da Subestação ACD.</t>
  </si>
  <si>
    <t>0006345/2022</t>
  </si>
  <si>
    <t>11334292</t>
  </si>
  <si>
    <t>Substituição de 01 (um) Seccionador 230 kV posição operacional 34T4-5 da Subestação ACD.</t>
  </si>
  <si>
    <t>0006350/2022</t>
  </si>
  <si>
    <t>11333958</t>
  </si>
  <si>
    <t>Substituição de 01 (um) Seccionador 230 kV posição operacional 34T5-4 da Subestação ACD.</t>
  </si>
  <si>
    <t>0006366/2022</t>
  </si>
  <si>
    <t>11333962</t>
  </si>
  <si>
    <t>Substituição de 01 (um) Seccionador 230 kV posição operacional 34T5-5 da Subestação ACD.</t>
  </si>
  <si>
    <t>0006370/2022</t>
  </si>
  <si>
    <t>11333963</t>
  </si>
  <si>
    <t>Substituição de 01 (um) TC 500 kV posição operacional 95E5 fase A da Subestação SOB.</t>
  </si>
  <si>
    <t>0006392/2022</t>
  </si>
  <si>
    <t>11322046</t>
  </si>
  <si>
    <t>Substituição de 01 (um) TC 500 kV posição operacional 95E5 fase B da Subestação SOB.</t>
  </si>
  <si>
    <t>0006398/2022</t>
  </si>
  <si>
    <t>11322047</t>
  </si>
  <si>
    <t>Substituição de 01 (um) TC 500 kV posição operacional 95E5 fase C da Subestação SOB.</t>
  </si>
  <si>
    <t>0006405/2022</t>
  </si>
  <si>
    <t>11322048</t>
  </si>
  <si>
    <t>Substituição de 01 (um) TC 500 kV posição operacional 95T4 fase A da Subestação SOB.</t>
  </si>
  <si>
    <t>TR 500/230 kV U.SOBRADINHO TR4 BA</t>
  </si>
  <si>
    <t>0006409/2022</t>
  </si>
  <si>
    <t>11322030</t>
  </si>
  <si>
    <t>Substituição de 01 (um) TC 500 kV posição operacional 95T4 fase B da Subestação SOB.</t>
  </si>
  <si>
    <t>0006414/2022</t>
  </si>
  <si>
    <t>11322031</t>
  </si>
  <si>
    <t>Substituição de 01 (um) TC 500 kV posição operacional 95T4 fase C da Subestação SOB.</t>
  </si>
  <si>
    <t>0006416/2022</t>
  </si>
  <si>
    <t>11322032</t>
  </si>
  <si>
    <t>Substituição de 01 (um) Seccionador 69 kV posição operacional 32T1-4 da Subestação MRD.</t>
  </si>
  <si>
    <t>0006433/2022</t>
  </si>
  <si>
    <t>11335143</t>
  </si>
  <si>
    <t>Substituição de 01 (um) PR 500 kV posição operacional 75T3 fase C da Subestação USB.</t>
  </si>
  <si>
    <t>0006448/2022</t>
  </si>
  <si>
    <t>Substituição de 01 (um) Seccionador 138 kV posição operacional 33C2-4 da Subestação ACD.</t>
  </si>
  <si>
    <t>0006533/2022</t>
  </si>
  <si>
    <t>11334855</t>
  </si>
  <si>
    <t>Substituição de 01 (um) Seccionador com Lâmina de Terra 138 kV posição operacional 33C2-5 da Subestação ACD.</t>
  </si>
  <si>
    <t>0006535/2022</t>
  </si>
  <si>
    <t>11334856</t>
  </si>
  <si>
    <t>Substituição de 01 (um) Seccionador 230 kV posição operacional 34T5-1 da Subestação ACD.</t>
  </si>
  <si>
    <t>0006540/2022</t>
  </si>
  <si>
    <t>11333960</t>
  </si>
  <si>
    <t>Substituição de 01 (um) TC 500 kV posição operacional 95E4 fase A da Subestação SOB.</t>
  </si>
  <si>
    <t>0006572/2022</t>
  </si>
  <si>
    <t>11322043</t>
  </si>
  <si>
    <t>Substituição de 01 (um) TC 500 kV posição operacional 95E4 fase B da Subestação SOB.</t>
  </si>
  <si>
    <t>0006576/2022</t>
  </si>
  <si>
    <t>11322044</t>
  </si>
  <si>
    <t>Substituição de 01 (um) TC 500 kV posição operacional 95E4 fase C da Subestação SOB.</t>
  </si>
  <si>
    <t>0006579/2022</t>
  </si>
  <si>
    <t>11322045</t>
  </si>
  <si>
    <t>Substituição de 01 (um) TC 500 kV posição operacional 95V1 fase A da Subestação SOB.</t>
  </si>
  <si>
    <t>MC 500 kV TR 13,8/500 kV U.SOBRADINHO TR1 BA (05V1)</t>
  </si>
  <si>
    <t>0006583/2022</t>
  </si>
  <si>
    <t>11322033</t>
  </si>
  <si>
    <t>Substituição de 01 (um) TC 500 kV posição operacional 95V1 fase C da Subestação SOB.</t>
  </si>
  <si>
    <t>0006590/2022</t>
  </si>
  <si>
    <t>11322035</t>
  </si>
  <si>
    <t>Substituição de 01 (um) TC 500 kV posição operacional 95G1 fase A da Subestação PAQ.</t>
  </si>
  <si>
    <t>0006611/2022</t>
  </si>
  <si>
    <t>11322176</t>
  </si>
  <si>
    <t>Substituição de 01 (um) TC 500 kV posição operacional 95G1 fase B da Subestação PAQ.</t>
  </si>
  <si>
    <t>0006614/2022</t>
  </si>
  <si>
    <t>11322177</t>
  </si>
  <si>
    <t>Substituição de 01 (um) TC 500 kV posição operacional 95G1 fase C da Subestação PAQ.</t>
  </si>
  <si>
    <t>0006617/2022</t>
  </si>
  <si>
    <t>11322178</t>
  </si>
  <si>
    <t>Substituição de 01 (um) Seccionador 69 kV posição operacional 32J8-5 da Subestação MRD.</t>
  </si>
  <si>
    <t>0006623/2022</t>
  </si>
  <si>
    <t>11337615</t>
  </si>
  <si>
    <t>Substituição de 01 (um) TC 500 kV posição operacional 95G5 fase A da Subestação PAQ.</t>
  </si>
  <si>
    <t>0006632/2022</t>
  </si>
  <si>
    <t>11322195</t>
  </si>
  <si>
    <t>Substituição de 01 (um) TC 500 kV posição operacional 95G5 fase C da Subestação PAQ.</t>
  </si>
  <si>
    <t>0006634/2022</t>
  </si>
  <si>
    <t>11322163</t>
  </si>
  <si>
    <t>Substituição de 01 (um) TC 500 kV posição operacional 95G6 fase A da Subestação PAQ.</t>
  </si>
  <si>
    <t>0006636/2022</t>
  </si>
  <si>
    <t>11325619</t>
  </si>
  <si>
    <t>Substituição de 01 (um) TC 500 kV posição operacional 95G6 fase B da Subestação PAQ.</t>
  </si>
  <si>
    <t>0006638/2022</t>
  </si>
  <si>
    <t>11325620</t>
  </si>
  <si>
    <t>Substituição de 01 (um) TC 500 kV posição operacional 95G6 fase C da Subestação PAQ.</t>
  </si>
  <si>
    <t>0006640/2022</t>
  </si>
  <si>
    <t>11325621</t>
  </si>
  <si>
    <t>Substituição de 01 (um) TC 500 kV posição operacional 95T8 fase A da Subestação PAQ.</t>
  </si>
  <si>
    <t>TR 500/230 kV P. AFONSO IV TR8 BA</t>
  </si>
  <si>
    <t>0006642/2022</t>
  </si>
  <si>
    <t>11322182</t>
  </si>
  <si>
    <t>Substituição de 01 (um) TC 500 kV posição operacional 95T8 fase B da Subestação PAQ.</t>
  </si>
  <si>
    <t>0006644/2022</t>
  </si>
  <si>
    <t>11322183</t>
  </si>
  <si>
    <t>Substituição de 01 (um) TC 500 kV posição operacional 95T8 fase C da Subestação PAQ.</t>
  </si>
  <si>
    <t>0006646/2022</t>
  </si>
  <si>
    <t>11322184</t>
  </si>
  <si>
    <t>Substituição de 01 (um) TC 500 kV posição operacional 95L8 fase A da Subestação RCD.</t>
  </si>
  <si>
    <t>0006673/2022</t>
  </si>
  <si>
    <t>11322086</t>
  </si>
  <si>
    <t>Substituição de 1 estrutura metálica autoportante 031/1 (nova altura = 27,2 m e carregamento/esforço = 9577,1 DAN) e componentes e 04 fundações associadas da LT 230 kV SAPEACU /FUNIL C-1 BA-04F1.</t>
  </si>
  <si>
    <t>0006744/2022</t>
  </si>
  <si>
    <t>11905955</t>
  </si>
  <si>
    <t>LT 500 kV OLINDINA /US. L.GONZAGA C-1</t>
  </si>
  <si>
    <t>Substituição de 1 estrutura metálica autoportante 177/1 (nova altura = 29 m e carregamento/esforço = 6621,2 DAN) e componentes e 04 fundações associadas da LT 500 kV OLINDINA /US. L.GONZAGA C-1 BA/PE-05S4.</t>
  </si>
  <si>
    <t>0006746/2022</t>
  </si>
  <si>
    <t>11800719</t>
  </si>
  <si>
    <t>LT 230 kV CAUIPE /SOBRAL II CE</t>
  </si>
  <si>
    <t>Substituição de 1 estrutura metálica autoportante 007/3 (nova altura = 27 m e carregamento/esforço = 4342,4 DAN) e componentes e 04 fundações associadas da LT 230 kV CAUIPE /SOBRAL II C-1 CE-04S2.</t>
  </si>
  <si>
    <t>0006747/2022</t>
  </si>
  <si>
    <t>11683794</t>
  </si>
  <si>
    <t>Substituição de 1 estrutura metálica autoportante 008/1 (nova altura = 28,5 m e carregamento/esforço = 4342,4 DAN) e componentes e 04 fundações associadas da LT 230 kV CAUIPE /SOBRAL II C-1 CE-04S2.</t>
  </si>
  <si>
    <t>0006748/2022</t>
  </si>
  <si>
    <t>11683804</t>
  </si>
  <si>
    <t>LT 230 kV P.AFONSO III /TACARUTU AL/PE</t>
  </si>
  <si>
    <t>Substituição de 1 estrutura metálica autoportante 014/3 (nova altura = 33 m e carregamento/esforço = 9577,1 DAN) e componentes e 04 fundações associadas da LT 230 kV P.AFONSO III /TACARUTU C-1 AL/PE-04F1.</t>
  </si>
  <si>
    <t>LT 230 kV P.AFONSO III /TACARUTU C-1 AL/PE</t>
  </si>
  <si>
    <t>0006750/2022</t>
  </si>
  <si>
    <t>11821961</t>
  </si>
  <si>
    <t>Substituição de 1 estrutura metálica autoportante 013/1 (nova altura = 25,5 m e carregamento/esforço = 4032 DAN) e componentes e 04 fundações associadas da LT 230 kV P.AFONSO III /TACARUTU C-1 AL/PE-04F1.</t>
  </si>
  <si>
    <t>0006751/2022</t>
  </si>
  <si>
    <t>11822011</t>
  </si>
  <si>
    <t>Substituição de 1 estrutura metálica autoportante 014/1 (nova altura = 31,5 m e carregamento/esforço = 4986,8 DAN) e componentes e 04 fundações associadas da LT 230 kV P.AFONSO III /TACARUTU C-1 AL/PE-04F1.</t>
  </si>
  <si>
    <t>0006752/2022</t>
  </si>
  <si>
    <t>11821981</t>
  </si>
  <si>
    <t>Substituição de 1 estrutura metálica autoportante 014/2 (nova altura = 25,5 m e carregamento/esforço = 5586,1 DAN) e componentes e 04 fundações associadas da LT 230 kV P.AFONSO III /TACARUTU C-1 AL/PE-04F1.</t>
  </si>
  <si>
    <t>0006753/2022</t>
  </si>
  <si>
    <t>11821971</t>
  </si>
  <si>
    <t>Substituição de 1 estrutura metálica autoportante 018/2 (nova altura = 27 m e carregamento/esforço = 8091,5 DAN) e componentes e 04 fundações associadas da LT 230 kV P.AFONSO III /TACARUTU C-1 AL/PE-04F1.</t>
  </si>
  <si>
    <t>0006754/2022</t>
  </si>
  <si>
    <t>11821871</t>
  </si>
  <si>
    <t>LT 230 kV CAMACARI II /G.MANGABEIRA BA</t>
  </si>
  <si>
    <t>Substituição de 1 estrutura metálica autoportante 004/2 (nova altura = 37,5 m e carregamento/esforço = 5506,4 DAN) e componentes e 04 fundações associadas da LT 230 kV CAMACARI II /G.MANGABEIRA C-1 BA-04C7.</t>
  </si>
  <si>
    <t>LT 230 kV CAMACARI II /G.MANGABEIRA C-1 BA</t>
  </si>
  <si>
    <t>0006757/2022</t>
  </si>
  <si>
    <t>11891201</t>
  </si>
  <si>
    <t>Substituição de 1 estrutura metálica autoportante 007/1 (nova altura = 55,5 m e carregamento/esforço = 13700,6 DAN) e componentes e 04 fundações associadas da LT 230 kV CAMACARI II /G.MANGABEIRA C-1 BA-04C7.</t>
  </si>
  <si>
    <t>0006758/2022</t>
  </si>
  <si>
    <t>11891251</t>
  </si>
  <si>
    <t>Substituição de 1 estrutura metálica autoportante 007/2 (nova altura = 43,5 m e carregamento/esforço = 10801,2 DAN) e componentes e 04 fundações associadas da LT 230 kV CAMACARI II /G.MANGABEIRA C-1 BA-04C7.</t>
  </si>
  <si>
    <t>0006759/2022</t>
  </si>
  <si>
    <t>11891261</t>
  </si>
  <si>
    <t>Substituição de 1 estrutura metálica autoportante 007/3 (nova altura = 31,5 m e carregamento/esforço = 4372,7 DAN) e componentes e 04 fundações associadas da LT 230 kV CAMACARI II /G.MANGABEIRA C-1 BA-04C7.</t>
  </si>
  <si>
    <t>0006760/2022</t>
  </si>
  <si>
    <t>11891271</t>
  </si>
  <si>
    <t>Substituição de 1 estrutura metálica autoportante 063/1 (nova altura = 46,5 m e carregamento/esforço = 7282,2 DAN) e componentes e 04 fundações associadas da LT 230 kV CAMACARI II /G.MANGABEIRA C-1 BA-04C7.</t>
  </si>
  <si>
    <t>0006761/2022</t>
  </si>
  <si>
    <t>11892481</t>
  </si>
  <si>
    <t>Substituição de 1 estrutura metálica autoportante 063/2 (nova altura = 42 m e carregamento/esforço = 6118,8 DAN) e componentes e 04 fundações associadas da LT 230 kV CAMACARI II /G.MANGABEIRA C-1 BA-04C7.</t>
  </si>
  <si>
    <t>0006762/2022</t>
  </si>
  <si>
    <t>11892491</t>
  </si>
  <si>
    <t>Substituição de 1 estrutura metálica autoportante 064/2 (nova altura = 33 m e carregamento/esforço = 4543,1 DAN) e componentes e 04 fundações associadas da LT 230 kV CAMACARI II /G.MANGABEIRA C-1 BA-04C7.</t>
  </si>
  <si>
    <t>0006763/2022</t>
  </si>
  <si>
    <t>11892511</t>
  </si>
  <si>
    <t>LT 230 kV COTEGIPE /MATATU BA</t>
  </si>
  <si>
    <t>Substituição de 1 estrutura metálica autoportante 19 (nova altura = 41,9 m e carregamento/esforço = 10461,5 DAN) e componentes e 04 fundações associadas da LT 230 kV COTEGIPE /MATATU C-1 BA-04L4.</t>
  </si>
  <si>
    <t>LT 230 kV COTEGIPE /MATATU C-1 BA</t>
  </si>
  <si>
    <t>0006764/2022</t>
  </si>
  <si>
    <t>11898385</t>
  </si>
  <si>
    <t>Substituição de 1 estrutura metálica autoportante 20 (nova altura = 41,9 m e carregamento/esforço = 10461,5 DAN) e componentes e 04 fundações associadas da LT 230 kV COTEGIPE /MATATU C-1 BA-04L4.</t>
  </si>
  <si>
    <t>0006765/2022</t>
  </si>
  <si>
    <t>11898395</t>
  </si>
  <si>
    <t>Substituição de 1 estrutura metálica autoportante 65 (nova altura = 29,6 m e carregamento/esforço = 15832,9 DAN) e componentes e 04 fundações associadas da LT 230 kV COTEGIPE /MATATU C-1 BA-04L4.</t>
  </si>
  <si>
    <t>0006766/2022</t>
  </si>
  <si>
    <t>11898845</t>
  </si>
  <si>
    <t>Substituição de 1 estrutura metálica autoportante 064/3 (nova altura = 37,5 m e carregamento/esforço = 5506,4 DAN) e componentes e 04 fundações associadas da LT 230 kV CAMACARI II /G.MANGABEIRA C-1 BA-04C7.</t>
  </si>
  <si>
    <t>0006779/2022</t>
  </si>
  <si>
    <t>11892521</t>
  </si>
  <si>
    <t>LT 230 kV CAMACARI II /MATATU BA</t>
  </si>
  <si>
    <t>Substituição de 1 estrutura metálica autoportante 014/1 (nova altura = 30 m e carregamento/esforço = 4641,2 DAN) e componentes e 04 fundações associadas da LT 230 kV CAMACARI II /MATATU C-1 BA-04M7.</t>
  </si>
  <si>
    <t>LT 230 kV CAMACARI II /MATATU C-1 BA</t>
  </si>
  <si>
    <t>0006780/2022</t>
  </si>
  <si>
    <t>11894721</t>
  </si>
  <si>
    <t>LT 230 kV IBIAPINA II /SOBRAL II CE</t>
  </si>
  <si>
    <t>Substituição de 1 estrutura metálica autoportante 042/1 (antiga 106/2) (nova altura = 33,2 m e carregamento/esforço = 10666,7 DAN) e componentes e 04 fundações associadas da LT 230 kV IBIAPINA II /SOBRAL II C-1 CE-04L1.</t>
  </si>
  <si>
    <t>0006824/2022</t>
  </si>
  <si>
    <t>11754664</t>
  </si>
  <si>
    <t>Substituição de 1 estrutura metálica autoportante 043/1 (antiga 107/1) (nova altura = 31,7 m e carregamento/esforço = 15067,4 DAN) e componentes e 04 fundações associadas da LT 230 kV IBIAPINA II /SOBRAL II C-1 CE-04L1.</t>
  </si>
  <si>
    <t>0006826/2022</t>
  </si>
  <si>
    <t>11676124</t>
  </si>
  <si>
    <t>Substituição do SISTEMA DE PROTEÇÃO, MEDIÇÃO E AUTOMAÇÃO da EL 02J1 da SE Banabuiú, composto por: 01 painel, 02 relés de proteção e cabos de controle associados.</t>
  </si>
  <si>
    <t>EL 69 kV BANABUIU DIST6 (02J1)</t>
  </si>
  <si>
    <t>0006846/2022</t>
  </si>
  <si>
    <t>11351203</t>
  </si>
  <si>
    <t>Substituição de 1 estrutura metálica autoportante 013/1 (nova altura = 33 m e carregamento/esforço = 5554 DAN) e componentes e 04 fundações associadas da LT 230 kV RIBEIRAO /RECIFE II C-1 PE-04M1.</t>
  </si>
  <si>
    <t>0006850/2022</t>
  </si>
  <si>
    <t>11537000</t>
  </si>
  <si>
    <t>Substituição do SISTEMA DE PROTEÇÃO, MEDIÇÃO E AUTOMAÇÃO da EL 02J2 da SE Banabuiú, composto por: 01 painel, 02 relés digitais e cabos de controle associados.</t>
  </si>
  <si>
    <t>EL 69 kV BANABUIU DIST5 (02J2)</t>
  </si>
  <si>
    <t>0006851/2022</t>
  </si>
  <si>
    <t>11351204</t>
  </si>
  <si>
    <t>Substituição do SISTEMA DE PROTEÇÃO, MEDIÇÃO E AUTOMAÇÃO dos transformadores 02T4 e 02T7 (02W1) da SE Banabuiú, composto por: 01 painel, 02 relés digitais e cabos de controle associados.</t>
  </si>
  <si>
    <t>TR 69/13,8 kV BANABUIU TR7 CE</t>
  </si>
  <si>
    <t>0006852/2022</t>
  </si>
  <si>
    <t>11365935</t>
  </si>
  <si>
    <t>Substituição de 1 estrutura metálica autoportante 016/1 (nova altura = 33 m e carregamento/esforço = 5554 DAN) e componentes e 04 fundações associadas da LT 230 kV RIBEIRAO /RECIFE II C-1 PE-04M1.</t>
  </si>
  <si>
    <t>0006853/2022</t>
  </si>
  <si>
    <t>11537080</t>
  </si>
  <si>
    <t>Substituição de 1 estrutura metálica autoportante 016/2 (nova altura = 33 m e carregamento/esforço = 5554 DAN) e componentes e 04 fundações associadas da LT 230 kV RIBEIRAO /RECIFE II C-1 PE-04M1.</t>
  </si>
  <si>
    <t>0006855/2022</t>
  </si>
  <si>
    <t>11537090</t>
  </si>
  <si>
    <t>Substituição de 1 estrutura metálica autoportante 017/1 (nova altura = 33 m e carregamento/esforço = 5554 DAN) e componentes e 04 fundações associadas da LT 230 kV RIBEIRAO /RECIFE II C-1 PE-04M1.</t>
  </si>
  <si>
    <t>0006857/2022</t>
  </si>
  <si>
    <t>11537100</t>
  </si>
  <si>
    <t>Substituição de pórtico e de 01 (um) trecho de barramento (44,5 m), posição operacional 03BP, da Subestação IRE.</t>
  </si>
  <si>
    <t>MG IRECE / CCO-2001-061 - RB</t>
  </si>
  <si>
    <t>0006858/2022</t>
  </si>
  <si>
    <t>11420356</t>
  </si>
  <si>
    <t>Substituição de 1 estrutura metálica autoportante 017/2 (nova altura = 33 m e carregamento/esforço = 5554 DAN) e componentes e 04 fundações associadas da LT 230 kV RIBEIRAO /RECIFE II C-1 PE-04M1.</t>
  </si>
  <si>
    <t>0006860/2022</t>
  </si>
  <si>
    <t>11537110</t>
  </si>
  <si>
    <t>Substituição de pórtico e de 01 (um) trecho de barramento (44,5 m), posição operacional 03BA, da Subestação IRE.</t>
  </si>
  <si>
    <t>0006861/2022</t>
  </si>
  <si>
    <t>12375558</t>
  </si>
  <si>
    <t>Substituição de 1 estrutura metálica autoportante 018/2 (nova altura = 33 m e carregamento/esforço = 5554 DAN) e componentes e 04 fundações associadas da LT 230 kV RIBEIRAO /RECIFE II C-1 PE-04M1.</t>
  </si>
  <si>
    <t>0006865/2022</t>
  </si>
  <si>
    <t>11537140</t>
  </si>
  <si>
    <t>Substituição de 1 estrutura metálica autoportante 018/3 (nova altura = 33 m e carregamento/esforço = 5554 DAN) e componentes e 04 fundações associadas da LT 230 kV RIBEIRAO /RECIFE II C-1 PE-04M1.</t>
  </si>
  <si>
    <t>0006867/2022</t>
  </si>
  <si>
    <t>11537150</t>
  </si>
  <si>
    <t>Substituição de 01 (um) TC 500 kV posição operacional 95V1 fase B da Subestação SOB.</t>
  </si>
  <si>
    <t>0006868/2022</t>
  </si>
  <si>
    <t>11322034</t>
  </si>
  <si>
    <t>Substituição de 1 estrutura metálica autoportante 019/1 (nova altura = 33 m e carregamento/esforço = 5554 DAN) e componentes e 04 fundações associadas da LT 230 kV RIBEIRAO /RECIFE II C-1 PE-04M1.</t>
  </si>
  <si>
    <t>0006870/2022</t>
  </si>
  <si>
    <t>11537160</t>
  </si>
  <si>
    <t>Substituição de 1 estrutura metálica autoportante 019/2 (nova altura = 33 m e carregamento/esforço = 5554 DAN) e componentes e 04 fundações associadas da LT 230 kV RIBEIRAO /RECIFE II C-1 PE-04M1.</t>
  </si>
  <si>
    <t>0006872/2022</t>
  </si>
  <si>
    <t>11537170</t>
  </si>
  <si>
    <t>Substituição de 1 estrutura metálica autoportante 023/3 (nova altura = 33 m e carregamento/esforço = 5554 DAN) e componentes e 04 fundações associadas da LT 230 kV RIBEIRAO /RECIFE II C-1 PE-04M1.</t>
  </si>
  <si>
    <t>0006874/2022</t>
  </si>
  <si>
    <t>11537260</t>
  </si>
  <si>
    <t>Substituição de 1 estrutura metálica autoportante 024/1 (nova altura = 33 m e carregamento/esforço = 5554 DAN) e componentes e 04 fundações associadas da LT 230 kV RIBEIRAO /RECIFE II C-1 PE-04M1.</t>
  </si>
  <si>
    <t>0006876/2022</t>
  </si>
  <si>
    <t>11537270</t>
  </si>
  <si>
    <t>Substituição de 1 estrutura metálica autoportante 024/2 (nova altura = 33 m e carregamento/esforço = 5554 DAN) e componentes e 04 fundações associadas da LT 230 kV RIBEIRAO /RECIFE II C-1 PE-04M1.</t>
  </si>
  <si>
    <t>0006877/2022</t>
  </si>
  <si>
    <t>11537280</t>
  </si>
  <si>
    <t>Substituição de 1 estrutura metálica autoportante 026/1 (nova altura = 33 m e carregamento/esforço = 5554 DAN) e componentes e 04 fundações associadas da LT 230 kV RIBEIRAO /RECIFE II C-1 PE-04M1.</t>
  </si>
  <si>
    <t>0006878/2022</t>
  </si>
  <si>
    <t>11537310</t>
  </si>
  <si>
    <t>Substituição de 1 estrutura metálica autoportante 027/1 (nova altura = 33 m e carregamento/esforço = 5554 DAN) e componentes e 04 fundações associadas da LT 230 kV RIBEIRAO /RECIFE II C-1 PE-04M1.</t>
  </si>
  <si>
    <t>0006879/2022</t>
  </si>
  <si>
    <t>11537330</t>
  </si>
  <si>
    <t>LT 230 kV RIBEIRAO /RECIFE II C-1</t>
  </si>
  <si>
    <t>Substituição de 1 estrutura metálica autoportante 027/2 (nova altura = 33 m e carregamento/esforço = 5554 DAN) e componentes e 04 fundações associadas da LT 230 kV RIBEIRAO /RECIFE II C-1 PE-04M1.</t>
  </si>
  <si>
    <t>0006880/2022</t>
  </si>
  <si>
    <t>11537340</t>
  </si>
  <si>
    <t>Substituição de 1 estrutura metálica autoportante 028/1 (nova altura = 33 m e carregamento/esforço = 5554 DAN) e componentes e 04 fundações associadas da LT 230 kV RIBEIRAO /RECIFE II C-1 PE-04M1.</t>
  </si>
  <si>
    <t>0006881/2022</t>
  </si>
  <si>
    <t>11537360</t>
  </si>
  <si>
    <t>Substituição de 1 estrutura metálica autoportante 029/1 (nova altura = 33 m e carregamento/esforço = 5554 DAN) e componentes e 04 fundações associadas da LT 230 kV RIBEIRAO /RECIFE II C-1 PE-04M1.</t>
  </si>
  <si>
    <t>0006882/2022</t>
  </si>
  <si>
    <t>11537370</t>
  </si>
  <si>
    <t>Substituição de 1 estrutura metálica autoportante 030/1 (nova altura = 33 m e carregamento/esforço = 5554 DAN) e componentes e 04 fundações associadas da LT 230 kV RIBEIRAO /RECIFE II C-1 PE-04M1.</t>
  </si>
  <si>
    <t>0006884/2022</t>
  </si>
  <si>
    <t>11537390</t>
  </si>
  <si>
    <t>Substituição de 1 estrutura metálica autoportante 030/2 (nova altura = 33 m e carregamento/esforço = 5554 DAN) e componentes e 04 fundações associadas da LT 230 kV RIBEIRAO /RECIFE II C-1 PE-04M1.</t>
  </si>
  <si>
    <t>0006886/2022</t>
  </si>
  <si>
    <t>11537400</t>
  </si>
  <si>
    <t>Substituição de 1 estrutura metálica autoportante 031/2 (nova altura = 33 m e carregamento/esforço = 5554 DAN) e componentes e 04 fundações associadas da LT 230 kV RIBEIRAO /RECIFE II C-1 PE-04M1.</t>
  </si>
  <si>
    <t>0006887/2022</t>
  </si>
  <si>
    <t>11537420</t>
  </si>
  <si>
    <t>Substituição de 1 estrutura metálica autoportante 034/2 (nova altura = 33 m e carregamento/esforço = 5554 DAN) e componentes e 04 fundações associadas da LT 230 kV RIBEIRAO /RECIFE II C-1 PE-04M1.</t>
  </si>
  <si>
    <t>0006888/2022</t>
  </si>
  <si>
    <t>11537470</t>
  </si>
  <si>
    <t>Substituição de 1 estrutura metálica autoportante 035/1 (nova altura = 33 m e carregamento/esforço = 5554 DAN) e componentes e 04 fundações associadas da LT 230 kV RIBEIRAO /RECIFE II C-1 PE-04M1.</t>
  </si>
  <si>
    <t>0006889/2022</t>
  </si>
  <si>
    <t>11537490</t>
  </si>
  <si>
    <t>Substituição de 1 estrutura metálica autoportante 037/1 (nova altura = 33 m e carregamento/esforço = 5554 DAN) e componentes e 04 fundações associadas da LT 230 kV RIBEIRAO /RECIFE II C-1 PE-04M1.</t>
  </si>
  <si>
    <t>0006890/2022</t>
  </si>
  <si>
    <t>11537520</t>
  </si>
  <si>
    <t>Substituição de 1 estrutura metálica autoportante 037/2 (nova altura = 33 m e carregamento/esforço = 5554 DAN) e componentes e 04 fundações associadas da LT 230 kV RIBEIRAO /RECIFE II C-1 PE-04M1.</t>
  </si>
  <si>
    <t>0006891/2022</t>
  </si>
  <si>
    <t>11537530</t>
  </si>
  <si>
    <t>Substituição de 1 estrutura metálica autoportante 037/3 (nova altura = 33 m e carregamento/esforço = 5554 DAN) e componentes e 04 fundações associadas da LT 230 kV RIBEIRAO /RECIFE II C-1 PE-04M1.</t>
  </si>
  <si>
    <t>0006892/2022</t>
  </si>
  <si>
    <t>11537540</t>
  </si>
  <si>
    <t>Substituição de 1 estrutura metálica autoportante 038/1 (nova altura = 33 m e carregamento/esforço = 5554 DAN) e componentes e 04 fundações associadas da LT 230 kV RIBEIRAO /RECIFE II C-1 PE-04M1.</t>
  </si>
  <si>
    <t>0006893/2022</t>
  </si>
  <si>
    <t>11537560</t>
  </si>
  <si>
    <t>Substituição de 1 estrutura metálica autoportante 039/1 (nova altura = 33 m e carregamento/esforço = 5554 DAN) e componentes e 04 fundações associadas da LT 230 kV RIBEIRAO /RECIFE II C-1 PE-04M1.</t>
  </si>
  <si>
    <t>0006894/2022</t>
  </si>
  <si>
    <t>11537570</t>
  </si>
  <si>
    <t>Substituição de 1 estrutura metálica autoportante 040/1 (nova altura = 33 m e carregamento/esforço = 5554 DAN) e componentes e 04 fundações associadas da LT 230 kV RIBEIRAO /RECIFE II C-1 PE-04M1.</t>
  </si>
  <si>
    <t>0006895/2022</t>
  </si>
  <si>
    <t>11537590</t>
  </si>
  <si>
    <t>Substituição de 1 estrutura metálica autoportante 040/2 (nova altura = 33 m e carregamento/esforço = 5554 DAN) e componentes e 04 fundações associadas da LT 230 kV RIBEIRAO /RECIFE II C-1 PE-04M1.</t>
  </si>
  <si>
    <t>0006896/2022</t>
  </si>
  <si>
    <t>11537600</t>
  </si>
  <si>
    <t>Substituição de 1 estrutura metálica autoportante 041/2 (nova altura = 33 m e carregamento/esforço = 5554 DAN) e componentes e 04 fundações associadas da LT 230 kV RIBEIRAO /RECIFE II C-1 PE-04M1.</t>
  </si>
  <si>
    <t>0006897/2022</t>
  </si>
  <si>
    <t>11537620</t>
  </si>
  <si>
    <t>Substituição de 1 estrutura metálica autoportante 042/1 (nova altura = 33 m e carregamento/esforço = 5554 DAN) e componentes e 04 fundações associadas da LT 230 kV RIBEIRAO /RECIFE II C-1 PE-04M1.</t>
  </si>
  <si>
    <t>0006898/2022</t>
  </si>
  <si>
    <t>11537630</t>
  </si>
  <si>
    <t>Substituição de 1 estrutura metálica autoportante 042/3 (nova altura = 33 m e carregamento/esforço = 5554 DAN) e componentes e 04 fundações associadas da LT 230 kV RIBEIRAO /RECIFE II C-1 PE-04M1.</t>
  </si>
  <si>
    <t>0006899/2022</t>
  </si>
  <si>
    <t>11537650</t>
  </si>
  <si>
    <t>Substituição de 1 estrutura metálica autoportante 043/1 (nova altura = 30,2 m e carregamento/esforço = 8661,1 DAN) e componentes e 04 fundações associadas da LT 230 kV RIBEIRAO /RECIFE II C-1 PE-04M1.</t>
  </si>
  <si>
    <t>0006900/2022</t>
  </si>
  <si>
    <t>11537660</t>
  </si>
  <si>
    <t>Substituição de 1 estrutura metálica autoportante 043/2 (nova altura = 33 m e carregamento/esforço = 5554 DAN) e componentes e 04 fundações associadas da LT 230 kV RIBEIRAO /RECIFE II C-1 PE-04M1.</t>
  </si>
  <si>
    <t>0006901/2022</t>
  </si>
  <si>
    <t>11537670</t>
  </si>
  <si>
    <t>Substituição de 1 estrutura metálica autoportante 043/3 (nova altura = 33 m e carregamento/esforço = 5554 DAN) e componentes e 04 fundações associadas da LT 230 kV RIBEIRAO /RECIFE II C-1 PE-04M1.</t>
  </si>
  <si>
    <t>0006902/2022</t>
  </si>
  <si>
    <t>11537680</t>
  </si>
  <si>
    <t>Substituição de 1 estrutura metálica autoportante 044/2 (nova altura = 33 m e carregamento/esforço = 5554 DAN) e componentes e 04 fundações associadas da LT 230 kV RIBEIRAO /RECIFE II C-1 PE-04M1.</t>
  </si>
  <si>
    <t>0006903/2022</t>
  </si>
  <si>
    <t>11537700</t>
  </si>
  <si>
    <t>Substituição de 1 estrutura metálica autoportante 046/1 (nova altura = 33 m e carregamento/esforço = 5554 DAN) e componentes e 04 fundações associadas da LT 230 kV RIBEIRAO /RECIFE II C-1 PE-04M1.</t>
  </si>
  <si>
    <t>0006904/2022</t>
  </si>
  <si>
    <t>11537730</t>
  </si>
  <si>
    <t>Substituição de 1 estrutura metálica autoportante 047/1 (nova altura = 33 m e carregamento/esforço = 5554 DAN) e componentes e 04 fundações associadas da LT 230 kV RIBEIRAO /RECIFE II C-1 PE-04M1.</t>
  </si>
  <si>
    <t>0006905/2022</t>
  </si>
  <si>
    <t>11537750</t>
  </si>
  <si>
    <t>Substituição de 1 estrutura metálica autoportante 047/2 (nova altura = 33 m e carregamento/esforço = 5554 DAN) e componentes e 04 fundações associadas da LT 230 kV RIBEIRAO /RECIFE II C-1 PE-04M1.</t>
  </si>
  <si>
    <t>0006906/2022</t>
  </si>
  <si>
    <t>11537760</t>
  </si>
  <si>
    <t>Substituição de 1 estrutura metálica autoportante 048/1 (nova altura = 33 m e carregamento/esforço = 5554 DAN) e componentes e 04 fundações associadas da LT 230 kV RIBEIRAO /RECIFE II C-1 PE-04M1.</t>
  </si>
  <si>
    <t>0006907/2022</t>
  </si>
  <si>
    <t>11537770</t>
  </si>
  <si>
    <t>Substituição de 1 estrutura metálica autoportante 048/2 (nova altura = 30,2 m e carregamento/esforço = 8661,1 DAN) e componentes e 04 fundações associadas da LT 230 kV RIBEIRAO /RECIFE II C-1 PE-04M1.</t>
  </si>
  <si>
    <t>0006908/2022</t>
  </si>
  <si>
    <t>11537780</t>
  </si>
  <si>
    <t>Substituição de 1 estrutura metálica autoportante 049/1 (nova altura = 33 m e carregamento/esforço = 5554 DAN) e componentes e 04 fundações associadas da LT 230 kV RIBEIRAO /RECIFE II C-1 PE-04M1.</t>
  </si>
  <si>
    <t>0006909/2022</t>
  </si>
  <si>
    <t>11537790</t>
  </si>
  <si>
    <t>Substituição de 1 estrutura metálica autoportante 050/1 (nova altura = 33 m e carregamento/esforço = 5554 DAN) e componentes e 04 fundações associadas da LT 230 kV RIBEIRAO /RECIFE II C-1 PE-04M1.</t>
  </si>
  <si>
    <t>0006910/2022</t>
  </si>
  <si>
    <t>11537800</t>
  </si>
  <si>
    <t>Substituição de 1 estrutura metálica autoportante 050/3 (nova altura = 33 m e carregamento/esforço = 5554 DAN) e componentes e 04 fundações associadas da LT 230 kV RIBEIRAO /RECIFE II C-1 PE-04M1.</t>
  </si>
  <si>
    <t>0006911/2022</t>
  </si>
  <si>
    <t>11537820</t>
  </si>
  <si>
    <t>Substituição de 1 estrutura metálica autoportante 051/1 (nova altura = 33 m e carregamento/esforço = 5554 DAN) e componentes e 04 fundações associadas da LT 230 kV RIBEIRAO /RECIFE II C-1 PE-04M1.</t>
  </si>
  <si>
    <t>0006912/2022</t>
  </si>
  <si>
    <t>11537830</t>
  </si>
  <si>
    <t>Substituição de 1 estrutura metálica autoportante 051/2 (nova altura = 33 m e carregamento/esforço = 5554 DAN) e componentes e 04 fundações associadas da LT 230 kV RIBEIRAO /RECIFE II C-1 PE-04M1.</t>
  </si>
  <si>
    <t>0006913/2022</t>
  </si>
  <si>
    <t>11537840</t>
  </si>
  <si>
    <t>Substituição de 1 estrutura metálica autoportante 052/1 (nova altura = 33 m e carregamento/esforço = 5554 DAN) e componentes e 04 fundações associadas da LT 230 kV RIBEIRAO /RECIFE II C-1 PE-04M1.</t>
  </si>
  <si>
    <t>0006914/2022</t>
  </si>
  <si>
    <t>11537860</t>
  </si>
  <si>
    <t>Substituição de 1 estrutura metálica autoportante 052/2 (nova altura = 33 m e carregamento/esforço = 5554 DAN) e componentes e 04 fundações associadas da LT 230 kV RIBEIRAO /RECIFE II C-1 PE-04M1.</t>
  </si>
  <si>
    <t>0006915/2022</t>
  </si>
  <si>
    <t>11537870</t>
  </si>
  <si>
    <t>Substituição de 1 estrutura metálica autoportante 052/3 (nova altura = 33 m e carregamento/esforço = 5554 DAN) e componentes e 04 fundações associadas da LT 230 kV RIBEIRAO /RECIFE II C-1 PE-04M1.</t>
  </si>
  <si>
    <t>0006916/2022</t>
  </si>
  <si>
    <t>11537880</t>
  </si>
  <si>
    <t>Substituição de 1 estrutura metálica autoportante 053/1 (nova altura = 33 m e carregamento/esforço = 5554 DAN) e componentes e 04 fundações associadas da LT 230 kV RIBEIRAO /RECIFE II C-1 PE-04M1.</t>
  </si>
  <si>
    <t>0006917/2022</t>
  </si>
  <si>
    <t>11537890</t>
  </si>
  <si>
    <t>Substituição de 1 estrutura metálica autoportante 053/3 (nova altura = 33 m e carregamento/esforço = 5554 DAN) e componentes e 04 fundações associadas da LT 230 kV RIBEIRAO /RECIFE II C-1 PE-04M1.</t>
  </si>
  <si>
    <t>0006918/2022</t>
  </si>
  <si>
    <t>11537910</t>
  </si>
  <si>
    <t>Substituição de 1 estrutura metálica autoportante 054/1 (nova altura = 33 m e carregamento/esforço = 5554 DAN) e componentes e 04 fundações associadas da LT 230 kV RIBEIRAO /RECIFE II C-1 PE-04M1.</t>
  </si>
  <si>
    <t>0006919/2022</t>
  </si>
  <si>
    <t>11537920</t>
  </si>
  <si>
    <t>Substituição de 1 estrutura metálica autoportante 055/1 (nova altura = 33 m e carregamento/esforço = 5554 DAN) e componentes e 04 fundações associadas da LT 230 kV RIBEIRAO /RECIFE II C-1 PE-04M1.</t>
  </si>
  <si>
    <t>0006920/2022</t>
  </si>
  <si>
    <t>11537940</t>
  </si>
  <si>
    <t>Substituição de 1 estrutura metálica autoportante 055/2 (nova altura = 33 m e carregamento/esforço = 5554 DAN) e componentes e 04 fundações associadas da LT 230 kV RIBEIRAO /RECIFE II C-1 PE-04M1.</t>
  </si>
  <si>
    <t>0006921/2022</t>
  </si>
  <si>
    <t>11537950</t>
  </si>
  <si>
    <t>Substituição de 1 estrutura metálica autoportante 056/2 (nova altura = 33 m e carregamento/esforço = 5554 DAN) e componentes e 04 fundações associadas da LT 230 kV RIBEIRAO /RECIFE II C-1 PE-04M1.</t>
  </si>
  <si>
    <t>0006922/2022</t>
  </si>
  <si>
    <t>11537970</t>
  </si>
  <si>
    <t>Substituição de Disjuntor tripolar 138 kV, DJ572, referente a LT J.Lacerda A - UTE J.Lacerda A C-2. Associado à obra, são esperadas substituições ou adaptações de fundações e suportes existentes, cabos de controle e potência, barramento, conectores e conexão do aterramento do equipamento.</t>
  </si>
  <si>
    <t>LT 138 kV J.LACERDA-A / UTE J.LACERDA-A C-2 SC</t>
  </si>
  <si>
    <t>0006971/2022</t>
  </si>
  <si>
    <t>Substituição de Chave Seccionadora tripolar 138 kV, CS571, referente a LT J.Lacerda A - UTE J.Lacerda A C-2. Associado à obra são esperadas substituições/adaptações de fundações, suportes, cabos de controle/potência, barramento, conectores e conexão de aterramento.</t>
  </si>
  <si>
    <t>0006972/2022</t>
  </si>
  <si>
    <t>Substituição de Chave Seccionadora tripolar 138 kV, CS573, referente a LT J.Lacerda A - UTE J.Lacerda A C-2. Associado à obra são esperadas substituições/adaptações de fundações, suportes, cabos de controle/potência, barramento, conectores e conexão de aterramento.</t>
  </si>
  <si>
    <t>0006974/2022</t>
  </si>
  <si>
    <t>Substituição de Transformadores de Corrente 138 kV, referente a LT J.Lacerda A - UTE J.Lacerda A C-2, DJ572, Fases A, B, C. Associado à obra são esperadas substituições/adaptações de fundações, suportes, caixa de junção, cabos, barramento, conectores e conexão de aterramento.</t>
  </si>
  <si>
    <t>0006975/2022</t>
  </si>
  <si>
    <t>TC DJ572</t>
  </si>
  <si>
    <t>Substituição de Chave Seccionadora tripolar 138 kV, CS581, referente a LT J.Lacerda A - UTE J.Lacerda A C-3. Associado à obra são esperadas substituições/adaptações de fundações, suportes, cabos de controle/potência, barramento, conectores e conexão de aterramento.</t>
  </si>
  <si>
    <t>LT 138 kV J.LACERDA-A / UTE J.LACERDA-A C-3 SC</t>
  </si>
  <si>
    <t>0006977/2022</t>
  </si>
  <si>
    <t>Substituição de Chave Seccionadora tripolar 138 kV, CS583, referente a LT J.Lacerda A - UTE J.Lacerda A C-3. Associado à obra são esperadas substituições/adaptações de fundações, suportes, cabos de controle/potência, barramento, conectores e conexão de aterramento.</t>
  </si>
  <si>
    <t>0006979/2022</t>
  </si>
  <si>
    <t>Substituição de Chave Seccionadora tripolar 138 kV, CS585, referente a LT J.Lacerda A - UTE J.Lacerda A C-3. Associado à obra são esperadas substituições/adaptações de fundações, suportes, cabos de controle/potência, barramento, conectores e conexão de aterramento.</t>
  </si>
  <si>
    <t>0006982/2022</t>
  </si>
  <si>
    <t>Substituição de Transformadores de Corrente 138 kV, referente a LT J.Lacerda A - UTE J.Lacerda A C-3, DJ582, Fases A, B, C. Associado à obra são esperadas substituições/adaptações de fundações, suportes, caixa de junção, cabos, barramento, conectores e conexão de aterramento.</t>
  </si>
  <si>
    <t>0006990/2022</t>
  </si>
  <si>
    <t>TC DJ582</t>
  </si>
  <si>
    <t>Substituição de Chave Seccionadora tripolar 138 kV, CS551, referente ao Interligador de Barras da SE J.Lacerda A. Associado à obra são esperadas substituições/adaptações de fundações, suportes, cabos de controle/potência, barramento, conectores e conexão de aterramento.</t>
  </si>
  <si>
    <t>0006991/2022</t>
  </si>
  <si>
    <t>CS551</t>
  </si>
  <si>
    <t>Substituição de Chave Seccionadora tripolar 138 kV, CS553, referente ao Interligador de Barras da SE J.Lacerda A. Associado à obra são esperadas substituições/adaptações de fundações, suportes, cabos de controle/potência, barramento, conectores e conexão de aterramento.</t>
  </si>
  <si>
    <t>0006993/2022</t>
  </si>
  <si>
    <t>CS553</t>
  </si>
  <si>
    <t>Realizar concretagem do solo em área de 100m² das plataformas estantes das células capacitivas com o objetivo de eliminar nascimento de vegetação que podem causar desligamento intempestivo ao tocar em partes energizadas das células ou TP de neutro do Banco de Capacitores MRBC6-02</t>
  </si>
  <si>
    <t>0006997/2022</t>
  </si>
  <si>
    <t>N-S-MAMR-BC602</t>
  </si>
  <si>
    <t>SUBSTITUIÇÃO DO DISJUNTOR IZDB4-01</t>
  </si>
  <si>
    <t>IB 69 kV MG 500 kV IMPERATRIZ MG2 MA IB1</t>
  </si>
  <si>
    <t>0007035/2022</t>
  </si>
  <si>
    <t>N-S-MAIZ-MG701-MG500-DB401</t>
  </si>
  <si>
    <t>SUBSTITUIÇÃO DO DISJUNTOR IZDJ4-05</t>
  </si>
  <si>
    <t>EL 69 kV IMPERATRIZ DIST6</t>
  </si>
  <si>
    <t>0007041/2022</t>
  </si>
  <si>
    <t>N-S-MAIZ-DIT-SNIZLI401-IZDJ405</t>
  </si>
  <si>
    <t>SUBSTITUIÇÃO DO DISJUNTOR PDDJ4-01.</t>
  </si>
  <si>
    <t>0007114/2022</t>
  </si>
  <si>
    <t>N-S-MAPD-TF601-MC69-PDDJ401</t>
  </si>
  <si>
    <t>ABDON BATISTA</t>
  </si>
  <si>
    <t>LT 525 kV ABDON BATISTA / BIGUACU C-1 SC</t>
  </si>
  <si>
    <t>0007094/2022</t>
  </si>
  <si>
    <t>BAT2 - 125 VCC</t>
  </si>
  <si>
    <t>0007096/2022</t>
  </si>
  <si>
    <t>BAT1 - 125 VCC</t>
  </si>
  <si>
    <t>0007103/2022</t>
  </si>
  <si>
    <t>0007105/2022</t>
  </si>
  <si>
    <t>0007111/2022</t>
  </si>
  <si>
    <t>BAT1 - 48 VCC</t>
  </si>
  <si>
    <t>0007116/2022</t>
  </si>
  <si>
    <t>BAT2 - 48 VCC</t>
  </si>
  <si>
    <t>SUBSTITUIÇÃO DO DISJUNTOR PDDJ4-02.</t>
  </si>
  <si>
    <t>LT 69 kV P.DUTRA  DIST2 - (Equatorial)</t>
  </si>
  <si>
    <t>0007131/2022</t>
  </si>
  <si>
    <t>N-S-MAPD-DIT-PTPDLI401-PDDJ402</t>
  </si>
  <si>
    <t>GASPAR 2</t>
  </si>
  <si>
    <t>MG GASPAR 2 / CCO-2001-057 - RB</t>
  </si>
  <si>
    <t>0007137/2022</t>
  </si>
  <si>
    <t>SUBSTITUIÇÃO DO DISJUNTOR PDDJ4-03.</t>
  </si>
  <si>
    <t>LT 69 kV P.DUTRA  DIST2</t>
  </si>
  <si>
    <t>0007212/2022</t>
  </si>
  <si>
    <t>SUBSTITUIÇÃO DO DISJUNTOR PDDB4-01</t>
  </si>
  <si>
    <t>IB 69 kV MG 500 kV P.DUTRA MG1 MA IB1</t>
  </si>
  <si>
    <t>0007163/2022</t>
  </si>
  <si>
    <t>N-S-MAPD-MG701-MG500-DB401</t>
  </si>
  <si>
    <t>OSORIO 2</t>
  </si>
  <si>
    <t>MG OSORIO 2 / CCO-2001-057 - RB</t>
  </si>
  <si>
    <t>0007169/2022</t>
  </si>
  <si>
    <t>0007176/2022</t>
  </si>
  <si>
    <t>0009143/2022</t>
  </si>
  <si>
    <t>0007191/2022</t>
  </si>
  <si>
    <t>Substituição de 01 (um) Seccionadora posição operacional 33C1-6 da Subestação BNO.</t>
  </si>
  <si>
    <t>EL 138 kV BOM NOME FLORES-03C1 (13C1)</t>
  </si>
  <si>
    <t>0007238/2022</t>
  </si>
  <si>
    <t>11339795</t>
  </si>
  <si>
    <t>Substituição de 01 (um) Seccionadora posição operacional 34T4-4 da Subestação BNO.</t>
  </si>
  <si>
    <t>TR 230/138 kV BOM NOME TR4 PE</t>
  </si>
  <si>
    <t>0007239/2022</t>
  </si>
  <si>
    <t>11338053</t>
  </si>
  <si>
    <t>Substituição de 01 (um) Seccionadora posição operacional 34T4-5 da Subestação BNO.</t>
  </si>
  <si>
    <t>0007242/2022</t>
  </si>
  <si>
    <t>11338052</t>
  </si>
  <si>
    <t>Substituição de 1 estrutura metálica autoportante 15 (nova altura = 29,9 m e carregamento/esforço = 7773,6 DAN) e componentes e 04 fundações associadas da LT 230 kV COTEGIPE /MATATU C-1 BA-04L4.</t>
  </si>
  <si>
    <t>0007243/2022</t>
  </si>
  <si>
    <t>11898345</t>
  </si>
  <si>
    <t>Substituição de 01 (um) Seccionadora 230 kV posição operacional 34E1-8 da Subestação IRE.</t>
  </si>
  <si>
    <t>RTL 230 kV 15 MVAr IRECE RT1 BA</t>
  </si>
  <si>
    <t>0007244/2022</t>
  </si>
  <si>
    <t>11334572</t>
  </si>
  <si>
    <t>Substituição de 01 (um) Seccionadora 230 kV posição operacional 34F1-6 da Subestação IRE.</t>
  </si>
  <si>
    <t>LT 230 kV OUROLANDIA II /IRECE C-1 BA</t>
  </si>
  <si>
    <t>0007245/2022</t>
  </si>
  <si>
    <t>11335482</t>
  </si>
  <si>
    <t>Substituição de 01 (um) Seccionadora 230 kV posição operacional 34F2-4 da Subestação IRE.</t>
  </si>
  <si>
    <t>LT 230 kV IRECE /BROT.MACAUBAS C-1 BA</t>
  </si>
  <si>
    <t>0007247/2022</t>
  </si>
  <si>
    <t>11335534</t>
  </si>
  <si>
    <t>Substituição de 01 (um) Seccionadora 230 kV posição operacional 34F2-5 da Subestação IRE.</t>
  </si>
  <si>
    <t>0007248/2022</t>
  </si>
  <si>
    <t>11335618</t>
  </si>
  <si>
    <t>Substituição de 01 (um) Seccionadora 230 kV posição operacional 34F2-6 da Subestação IRE.</t>
  </si>
  <si>
    <t>0007250/2022</t>
  </si>
  <si>
    <t>11334574</t>
  </si>
  <si>
    <t>Substituição de 01 (um) Seccionadora 230 kV posição operacional 34T1-1 da Subestação IRE.</t>
  </si>
  <si>
    <t>0007251/2022</t>
  </si>
  <si>
    <t>11333611</t>
  </si>
  <si>
    <t>Substituição de 01 (um) Seccionadora 230 kV posição operacional 34T1-2 da Subestação IRE.</t>
  </si>
  <si>
    <t>0007252/2022</t>
  </si>
  <si>
    <t>11333612</t>
  </si>
  <si>
    <t>Substituição de 01 (um) Seccionadora 230 kV posição operacional 34T1-6 da Subestação IRE.</t>
  </si>
  <si>
    <t>0007253/2022</t>
  </si>
  <si>
    <t>11333896</t>
  </si>
  <si>
    <t>Substituição de 1 estrutura metálica autoportante 018/1 (nova altura = 33 m e carregamento/esforço = 5554 DAN) e componentes e 04 fundações associadas da LT 230 kV RIBEIRAO /RECIFE II C-1 PE-04M1.</t>
  </si>
  <si>
    <t>0007258/2022</t>
  </si>
  <si>
    <t>11537130</t>
  </si>
  <si>
    <t>Substituição de 1 estrutura metálica autoportante 027/3 (nova altura = 33 m e carregamento/esforço = 5554 DAN) e componentes e 04 fundações associadas da LT 230 kV RIBEIRAO /RECIFE II C-1 PE-04M1.</t>
  </si>
  <si>
    <t>0007260/2022</t>
  </si>
  <si>
    <t>11537350</t>
  </si>
  <si>
    <t>Substituição de 1 estrutura metálica autoportante 029/2 (nova altura = 33 m e carregamento/esforço = 5554 DAN) e componentes e 04 fundações associadas da LT 230 kV RIBEIRAO /RECIFE II C-1 PE-04M1.</t>
  </si>
  <si>
    <t>0007261/2022</t>
  </si>
  <si>
    <t>11537380</t>
  </si>
  <si>
    <t>Substituição de 1 estrutura metálica autoportante 045/2 (nova altura = 33 m e carregamento/esforço = 5554 DAN) e componentes e 04 fundações associadas da LT 230 kV RIBEIRAO /RECIFE II C-1 PE-04M1.</t>
  </si>
  <si>
    <t>0007263/2022</t>
  </si>
  <si>
    <t>11537720</t>
  </si>
  <si>
    <t>Substituição de 1 estrutura metálica autoportante 050/2 (nova altura = 33 m e carregamento/esforço = 5554 DAN) e componentes e 04 fundações associadas da LT 230 kV RIBEIRAO /RECIFE II C-1 PE-04M1.</t>
  </si>
  <si>
    <t>0007264/2022</t>
  </si>
  <si>
    <t>11537810</t>
  </si>
  <si>
    <t>Substituição de 1 estrutura metálica autoportante 051/3 (nova altura = 33 m e carregamento/esforço = 5554 DAN) e componentes e 04 fundações associadas da LT 230 kV RIBEIRAO /RECIFE II C-1 PE-04M1.</t>
  </si>
  <si>
    <t>0007265/2022</t>
  </si>
  <si>
    <t>11537850</t>
  </si>
  <si>
    <t>Substituição de 1 estrutura metálica autoportante 053/2 (nova altura = 33 m e carregamento/esforço = 5554 DAN) e componentes e 04 fundações associadas da LT 230 kV RIBEIRAO /RECIFE II C-1 PE-04M1.</t>
  </si>
  <si>
    <t>0007266/2022</t>
  </si>
  <si>
    <t>11537900</t>
  </si>
  <si>
    <t>Substituição de 1 estrutura metálica autoportante 054/2 (nova altura = 33 m e carregamento/esforço = 5554 DAN) e componentes e 04 fundações associadas da LT 230 kV RIBEIRAO /RECIFE II C-1 PE-04M1.</t>
  </si>
  <si>
    <t>0007267/2022</t>
  </si>
  <si>
    <t>11537930</t>
  </si>
  <si>
    <t>0007278/2022</t>
  </si>
  <si>
    <t>0007282/2022</t>
  </si>
  <si>
    <t>SUBSTITUIÇÃO DO DISJUNTOR GMDJ6-09 DA LINHA GUAMA - MARITUBA 230KV C1.</t>
  </si>
  <si>
    <t>0007357/2022</t>
  </si>
  <si>
    <t>GMDJ6-09</t>
  </si>
  <si>
    <t>SUBSTITUIÇÃO DO DISJUNTOR GMDJ6-10 DA LINHA GUAMA - MARITUBA 230KV C2.</t>
  </si>
  <si>
    <t>LT 230 kV GUAMA / MARITUBA C 2 PA</t>
  </si>
  <si>
    <t>0008249/2022</t>
  </si>
  <si>
    <t>GMDJ6-10</t>
  </si>
  <si>
    <t>Substituir 156 cadeias de isolador em 34 estruturas da LT 500 kV P. AFONSO IV /ANGELIM II C-1 BA/PE-05L6 (164/1;164/2;164/3;165/1;165/2;166/1;166/2;166/3;167/1;167/2;168/1;168/2;169/1;169/2;170/1;170/2;171/1;171/2;172/1;172/2;173/1;173/2;174/1;174/2;175/1;175/2;176/1;176/2;177/1;177/2;178/1;178/2;179/1;180/1).</t>
  </si>
  <si>
    <t>0007394/2022</t>
  </si>
  <si>
    <t>paqagd-05l6-cade-01</t>
  </si>
  <si>
    <t>Substituir 38 cadeias de isolador em 3 estruturas da LT 500 kV P. AFONSO IV /ANGELIM II C-1 BA/PE-05L6 (201/2;221/2;AGD).</t>
  </si>
  <si>
    <t>0007403/2022</t>
  </si>
  <si>
    <t>SUBSTITUIÇÃO DO DISJUNTOR UGDJ6-01 DA LINHA UTINGA - MARITUBA 230KV C1</t>
  </si>
  <si>
    <t>0007434/2022</t>
  </si>
  <si>
    <t>UGDJ6-01</t>
  </si>
  <si>
    <t>Substituir 186 cadeias de isolador em 34 estruturas da LT 500 kV P. AFONSO IV /ANGELIM II C-1 BA/PE-05L6 (196/1;196/2;197/1;197/2;198/1;198/2;199/1;199/2;199/3;200/1;200/2;201/1;202/1;202/2;202/3;203/1;203/2;204/1;204/2;205/1;205/2;206/1;206/2;207/1;207/2;208/1;208/2;209/1;209/2;210/1;210/2;211/1;211/2;212/1).</t>
  </si>
  <si>
    <t>0007436/2022</t>
  </si>
  <si>
    <t>paqagd-05l6-cade-02</t>
  </si>
  <si>
    <t>Substituir 100 cadeias de isolador em 20 estruturas da LT 500 kV P. AFONSO IV /ANGELIM II C-1 BA/PE-05L6 (212/2;213/1;213/2;214/1;214/2;215/1;216/1;216/2;217/1;217/2;217/3;218/1;218/2;219/1;219/2;219/3;220/1;220/2;220/3;221/1).</t>
  </si>
  <si>
    <t>0007439/2022</t>
  </si>
  <si>
    <t>paqagd-05l6-cade-03</t>
  </si>
  <si>
    <t>IJUI 2</t>
  </si>
  <si>
    <t>MG IJUI 2 / CCO-2010-011 - RB</t>
  </si>
  <si>
    <t>0007442/2022</t>
  </si>
  <si>
    <t>0007446/2022</t>
  </si>
  <si>
    <t>0007450/2022</t>
  </si>
  <si>
    <t>LT 500 kV MESSIAS /SUAPE II AL/PE</t>
  </si>
  <si>
    <t>Substituir 236 cadeias de isolador em 34 estruturas da LT 500 kV MESSIAS /SUAPE II C-1 AL/PE-05V2 (001/2;003/1;006/1;007/1;010/1;010/2;010/3;013/1;018/1;020/1;022/1;023/1;023/2;024/1;024/2;025/1;025/2;028/1;028/3;031/1;031/2;032/1;033/1;033/2;034/2;035/1;037/1;037/2;037/3;038/1;038/2;038/3;039/1;039/2).</t>
  </si>
  <si>
    <t>LT 500 kV MESSIAS /SUAPE II C-1 AL/PE</t>
  </si>
  <si>
    <t>0007453/2022</t>
  </si>
  <si>
    <t>msisud-05v2-cade-01</t>
  </si>
  <si>
    <t>Substituir 156 cadeias de isolador em 34 estruturas da LT 500 kV MESSIAS /SUAPE II C-1 AL/PE-05V2 (040/1;040/2;040/3;041/1;041/2;042/2;043/2;045/2;046/2;049/1;050/1;055/1;055/2;056/1;056/2;056/3;057/1;057/2;058/1;058/2;058/3;059/1;059/2;060/1;060/2;061/1;061/2;062/1;062/2;062/3;063/1;063/2;064/1;064/2).</t>
  </si>
  <si>
    <t>0007454/2022</t>
  </si>
  <si>
    <t>msisud-05v2-cade-02</t>
  </si>
  <si>
    <t>0007456/2022</t>
  </si>
  <si>
    <t>SUBSTITUIÇÃO DO DISJUNTOR UGDJ6-03 DA LINHA UTINGA - MARITUBA 230KV C2.</t>
  </si>
  <si>
    <t>0007457/2022</t>
  </si>
  <si>
    <t>UGDJ6-03</t>
  </si>
  <si>
    <t>LT 230 kV TACAIMBO /C.GRANDE II PE/PB</t>
  </si>
  <si>
    <t>Substituir 105 cadeias de isolador em 34 estruturas da LT 230 kV TACAIMBO /C.GRANDE II C-1 PE/PB-04C1 (023/4;024/1;024/2;024/3;025/2;025/4;026/1;026/2;027/1;028/1;028/2;029/2;031/1;031/2;032/1;032/2;032/3;033/2;033/4;034/2;035/2;036/3;037/1;037/2;037/3;037/4;039/1;039/2;040/2;040/3;041/1;041/2;041/4;042/1).</t>
  </si>
  <si>
    <t>LT 230 kV TACAIMBO /C.GRANDE II C-1 PE/PB</t>
  </si>
  <si>
    <t>0007459/2022</t>
  </si>
  <si>
    <t>taccgd-04c1-cade-03</t>
  </si>
  <si>
    <t>Substituir 98 cadeias de isolador em 16 estruturas da LT 500 kV MESSIAS /SUAPE II C-1 AL/PE-05V2 (065/1;066/1;066/2;066/3;067/1;067/2;068/1;068/2;068/3;069/1;070/1;070/2;071/1;071/2;078/1;MSI).</t>
  </si>
  <si>
    <t>0007460/2022</t>
  </si>
  <si>
    <t>msisud-05v2-cade-03</t>
  </si>
  <si>
    <t>Substituir 166 cadeias de isolador em 34 estruturas da LT 500 kV MESSIAS /SUAPE II C-1 AL/PE-05V2 (001/1;001/3;002/1;002/2;004/1;004/2;005/1;005/2;006/2;007/2;008/1;008/2;009/1;009/2;011/1;011/2;012/1;012/2;013/2;014/1;014/2;015/1;016/1;016/2;017/1;017/2;018/2;019/1;019/2;020/2;021/1;021/2;026/1;027/1).</t>
  </si>
  <si>
    <t>0007462/2022</t>
  </si>
  <si>
    <t>0007465/2022</t>
  </si>
  <si>
    <t>LT 500 kV MILAGRES /QUIXADA CE</t>
  </si>
  <si>
    <t>Substituir 171 cadeias de isolador em 21 estruturas da LT 500 kV MILAGRES /QUIXADA C-1 CE-05V3 (259/2;260/1;260/2;261/1;261/2;262/1;262/2;263/1;263/2;264/1;264/2;265/1;265/2;266/1;266/2;267/1;267/2;268/1;268/2;269/1;269/2).</t>
  </si>
  <si>
    <t>0007466/2022</t>
  </si>
  <si>
    <t>mlgqxa-05v3-cade-06</t>
  </si>
  <si>
    <t>Substituir 156 cadeias de isolador em 34 estruturas da LT 500 kV MESSIAS /SUAPE II C-1 AL/PE-05V2 (027/2;028/2;029/1;029/2;030/1;030/2;034/1;035/2;035/3;036/1;036/2;042/1;043/1;044/1;044/2;045/1;046/1;047/1;048/1;048/2;050/2;050/3;051/1;052/1;052/2;052/3;053/1;054/1;054/2;071/3;072/1;072/2;073/1;073/2).</t>
  </si>
  <si>
    <t>0007468/2022</t>
  </si>
  <si>
    <t>Substituir 120 cadeias de isolador em 27 estruturas da LT 500 kV MESSIAS /SUAPE II C-1 AL/PE-05V2 (073/3;074/1;074/2;074/3;075/1;075/2;076/1;076/2;077/1;077/2;079/1;079/2;079/3;080/1;080/2;081/1;081/2;082/1;082/2;083/1;084/1;084/2;084/3;085/1;085/2;086/1;086/2).</t>
  </si>
  <si>
    <t>0007471/2022</t>
  </si>
  <si>
    <t>0007472/2022</t>
  </si>
  <si>
    <t>LT 230 kV SANTANA II /ANGELIM AL/PE</t>
  </si>
  <si>
    <t>Substituir 57 cadeias de isolador em 16 estrutura(s) da LT 230 kV SANTANA II /ANGELIM C-1 AL/PE-04Z9 (125/2;130/1;131/1;132/1;132/3;134/1;151/1;151/2;151/3;152/3;153/2;154/3;156/2;159/2;162/2;162/3).</t>
  </si>
  <si>
    <t>LT 230 kV SANTANA II /ANGELIM C-1 AL/PE</t>
  </si>
  <si>
    <t>0007473/2022</t>
  </si>
  <si>
    <t>stnagl-04z9-cade-01</t>
  </si>
  <si>
    <t>Substituir 152 cadeias de isolador em 32 estruturas da LT 500 kV MESSIAS /SUAPE II C-1 AL/PE-05V2 (137/3;138/1;138/2;139/1;140/1;140/2;141/1;141/2;142/1;142/2;143/1;143/2;144/1;144/2;145/1;145/2;146/1;147/1;147/2;148/1;148/2;149/1;149/2;149/3;150/1;150/2;150/3;151/1;151/2;152/1;152/2;153/1).</t>
  </si>
  <si>
    <t>0007475/2022</t>
  </si>
  <si>
    <t>msisud-05v2-cade-04</t>
  </si>
  <si>
    <t>LT 500 kV QUIXADA /FORTALEZA II CE</t>
  </si>
  <si>
    <t>Substituir 132 cadeias de isolador em 31 estruturas da LT 500 kV QUIXADA /FORTALEZA II C-1 CE-05V5 (015/1;015/2;016/1;016/2;017/1;017/2;018/1;018/2;019/1;019/2;020/1;020/2;021/1;021/2;022/1;022/2;023/1;023/2;024/1;024/2;025/1;025/2;026/1;026/2;027/1;027/2;028/1;028/2;029/1;029/2;030/1).</t>
  </si>
  <si>
    <t>0007477/2022</t>
  </si>
  <si>
    <t>qxafzd-05v5-cade-01</t>
  </si>
  <si>
    <t>0007479/2022</t>
  </si>
  <si>
    <t>LT 500 kV US. L.GONZAGA /GARANHUNS II PE</t>
  </si>
  <si>
    <t>Substituir 126 cadeias de isolador em 10 estruturas da LT 500 kV US. L.GONZAGA /GARANHUNS II C-2 PE-05Z1 (194/1;237/2;238/1;238/2;238/3;239/1;239/2;239/3;239/4;GRD).</t>
  </si>
  <si>
    <t>LT 500 kV US. L.GONZAGA /GARANHUNS II C-2 PE</t>
  </si>
  <si>
    <t>0007481/2022</t>
  </si>
  <si>
    <t>lgzgrd-05z1-cade-01</t>
  </si>
  <si>
    <t>Substituir 147 cadeias de isolador em 38 estruturas da LT 230 kV TACAIMBO /C.GRANDE II C-1 PE/PB-04C1 (001/3;002/1;002/4;003/3;006/1;008/2;009/1;009/2;009/3;009/4;018/4;019/1;019/2;019/3;020/1;025/1;025/3;025/5;027/2;028/3;028/4;029/1;030/1;030/2;030/3;030/4;033/1;033/3;034/1;035/1;036/1;036/2;038/1;038/2;039/3;040/1;041/3;042/3).</t>
  </si>
  <si>
    <t>0007482/2022</t>
  </si>
  <si>
    <t>taccgd-04c1-cade-04</t>
  </si>
  <si>
    <t>Substituir 194 cadeias de isolador em 34 estruturas da LT 500 kV US. L.GONZAGA /GARANHUNS II C-2 PE-05Z1 (191/2;192/1;192/2;192/3;192/4;193/1;193/2;193/3;194/2;194/3;195/1;195/2;195/3;195/4;196/1;196/2;196/3;197/1;197/2;197/3;198/1;198/2;198/3;198/4;199/1;199/2;199/3;200/1;200/2;200/3;201/1;201/2;201/3;202/1).</t>
  </si>
  <si>
    <t>0007485/2022</t>
  </si>
  <si>
    <t>Substituir 165 cadeias de isolador em 34 estruturas da LT 230 kV TACAIMBO /C.GRANDE II C-2 PE/PB-04C2 (000/1;001/1;001/2;001/2A;001/2B;002/1;002/2;002/3;002/4;003/1;003/2;004/1;005/1;005/2;005/4;006/1;006/3;007/1;007/2;007/3;007/4;008/1;008/2;008/3;010/1;010/4;011/1;011/2;012/1;012/2;012/3;012/4;013/1;013/2).</t>
  </si>
  <si>
    <t>LT 230 kV TACAIMBO /C.GRANDE II C-2 PE/PB</t>
  </si>
  <si>
    <t>0007486/2022</t>
  </si>
  <si>
    <t>taccgd-04c2-cade-01</t>
  </si>
  <si>
    <t>Substituir 120 cadeias de isolador em 32 estruturas da LT 500 kV QUIXADA /FORTALEZA II C-1 CE-05V5 (047/1;047/2;048/1;048/2;049/1;049/2;050/1;050/2;051/1;051/2;052/1;052/2;053/1;053/2;054/1;054/2;055/1;056/1;056/2;056/3;057/1;057/2;058/1;058/2;059/1;059/2;060/1;060/2;060/3;061/1;061/2;062/1).</t>
  </si>
  <si>
    <t>0007487/2022</t>
  </si>
  <si>
    <t>qxafzd-05v5-cade-03</t>
  </si>
  <si>
    <t>Substituir 158 cadeias de isolador em 34 estruturas da LT 500 kV US. L.GONZAGA /GARANHUNS II C-2 PE-05Z1 (202/2;202/3;203/1;203/2;203/3;204/1;204/2;204/3;205/1;205/2;205/3;205/4;206/1;206/2;207/1;207/2;208/1;208/2;209/1;209/2;210/1;210/2;210/3;211/1;211/2;211/3;211/4;212/1;212/2;213/1;213/2;214/1;214/2;214/3).</t>
  </si>
  <si>
    <t>0007488/2022</t>
  </si>
  <si>
    <t>lgzgrd-05z1-cade-02</t>
  </si>
  <si>
    <t>Substituir 102 cadeias de isolador em 34 estruturas da LT 230 kV TACAIMBO /C.GRANDE II C-2 PE/PB-04C2 (013/3;014/1;014/2;014/3;014/4;015/1;015/2;015/3;016/1;016/2;016/3;017/1;017/2;017/3;017/4;018/1;018/2;018/3;019/1;019/2;019/3;019/4;019/5;020/1;020/2;021/1;021/2;021/3;022/2;022/3;022/4;023/1;023/2;023/3).</t>
  </si>
  <si>
    <t>0007489/2022</t>
  </si>
  <si>
    <t>taccgd-04c2-cade-02</t>
  </si>
  <si>
    <t>Substituir 180 cadeias de isolador em 34 estruturas da LT 500 kV US. L.GONZAGA /GARANHUNS II C-2 PE-05Z1 (215/1;215/2;216/1;216/2;216/3;217/1;217/2;217/3;217/4;218/1;218/2;218/3;219/1;219/2;219/3;220/1;220/2;220/3;221/1;221/2;221/3;222/1;222/2;223/1;223/2;223/3;223/4;224/1;224/2;225/1;225/2;225/3;226/1;226/2).</t>
  </si>
  <si>
    <t>0007493/2022</t>
  </si>
  <si>
    <t>lgzgrd-05z1-cade-03</t>
  </si>
  <si>
    <t>Substituir 111 cadeias de isolador em 34 estruturas da LT 230 kV TACAIMBO /C.GRANDE II C-2 PE/PB-04C2 (024/1;024/2;024/3;024/4;025/1;025/2;025/3;026/1;026/2;026/3;027/2;028/1;028/2;028/3;028/4;029/1;029/2;030/1;030/2;030/3;031/1;031/2;031/3;032/1;032/3;033/1;033/2;033/3;034/1;034/2;034/3;035/1;035/2;035/3).</t>
  </si>
  <si>
    <t>0007494/2022</t>
  </si>
  <si>
    <t>taccgd-04c2-cade-03</t>
  </si>
  <si>
    <t>Substituir 141 cadeias de isolador em 32 estruturas da LT 500 kV QUIXADA /FORTALEZA II C-1 CE-05V5 (077/2;078/1;078/2;079/1;080/1;080/2;080/3;081/1;081/2;082/1;083/1;083/2;084/1;084/2;085/1;085/2;085/3;086/1;086/2;087/1;087/2;088/1;088/2;089/1;089/2;090/1;090/2;090/3;091/1;091/2;092/1;092/2).</t>
  </si>
  <si>
    <t>0007496/2022</t>
  </si>
  <si>
    <t>qxafzd-05v5-cade-05</t>
  </si>
  <si>
    <t>Substituir 179 cadeias de isolador em 30 estruturas da LT 500 kV US. L.GONZAGA /GARANHUNS II C-2 PE-05Z1 (227/1;227/2;227/3;227/4;228/1;228/2;228/3;229/1;229/2;229/3;230/1;230/2;231/1;231/2;231/3;232/1;232/2;233/1;233/2;233/3;234/1;234/2;234/3;235/1;235/2;235/3;236/1;236/2;236/3;237/1).</t>
  </si>
  <si>
    <t>0007499/2022</t>
  </si>
  <si>
    <t>lgzgrd-05z1-cade-04</t>
  </si>
  <si>
    <t>Substituir 84 cadeias de isolador em 18 estruturas da LT 230 kV TACAIMBO /C.GRANDE II C-2 PE/PB-04C2 (036/2;036/3;036/4;038/2;039/1;039/2;039/3;039/4;040/1;040/2;041/1;041/2;041/4;042/1;042/2;042/3;043/2;TAC).</t>
  </si>
  <si>
    <t>0007500/2022</t>
  </si>
  <si>
    <t>taccgd-04c2-cade-04</t>
  </si>
  <si>
    <t>Substituir 131 cadeias de isolador em 31 estruturas da LT 500 kV QUIXADA /FORTALEZA II C-1 CE-05V5 (093/1;093/2;093/3;094/1;094/2;095/1;095/2;096/1;096/2;097/1;097/2;098/1;098/2;099/1;099/2;100/1;100/2;101/1;101/2;102/1;102/2;102/3;103/1;103/2;104/1;105/1;105/2;106/1;106/2;107/1;107/2).</t>
  </si>
  <si>
    <t>0007503/2022</t>
  </si>
  <si>
    <t>qxafzd-05v5-cade-06</t>
  </si>
  <si>
    <t>Substituir 120 cadeias de isolador em 25 estruturas da LT 230 kV TACAIMBO /C.GRANDE II C-2 PE/PB-04C2 (000/2;001/3;003/3;004/2;004/3;005/3;006/2;009/1;009/2;009/3;010/2;010/3;020/3;020/4;022/1;027/1;031/4;032/2;036/1;037/1;037/2;038/1;041/3;043/1;043/3).</t>
  </si>
  <si>
    <t>0007506/2022</t>
  </si>
  <si>
    <t>taccgd-04c2-cade-05</t>
  </si>
  <si>
    <t>Substituir 204 cadeias de isolador em 27 estruturas da LT 500 kV QUIXADA /FORTALEZA II C-1 CE-05V5 (108/1;108/2;109/1;109/2;110/1;110/2;110/3;111/1;111/2;112/1;112/2;112/3;113/1;113/2;114/1;114/2;115/1;115/2;116/1;116/2;117/1;117/2;117/3;118/1;118/2;119/1;119/2).</t>
  </si>
  <si>
    <t>0007508/2022</t>
  </si>
  <si>
    <t>qxafzd-05v5-cade-07</t>
  </si>
  <si>
    <t>LT 230 kV BONGI /JOAIRAM PE</t>
  </si>
  <si>
    <t>Substituir 51 cadeias de isolador em 10 estruturas da LT 230 kV BONGI /JOAIRAM C-1 PE-04V4 (004/2;005/1;005/2;005/3;006/1;006/2;006/3;007/1;007/2;BGI).</t>
  </si>
  <si>
    <t>LT 230 kV BONGI /JOAIRAM C-1 PE</t>
  </si>
  <si>
    <t>0007509/2022</t>
  </si>
  <si>
    <t>bgijrm-04v4-cade-01</t>
  </si>
  <si>
    <t>Substituir 156 cadeias de isolador em 29 estruturas da LT 500 kV QUIXADA /FORTALEZA II C-1 CE-05V5 (120/1;120/2;121/1;121/2;122/1;122/2;123/1;123/2;124/1;124/2;124/3;125/1;125/2;126/1;127/1;127/2;128/1;128/2;128/3;128/4;129/1;129/2;129/3;130/1;131/1;131/2;131/3;132/1;132/2).</t>
  </si>
  <si>
    <t>0007511/2022</t>
  </si>
  <si>
    <t>qxafzd-05v5-cade-08</t>
  </si>
  <si>
    <t>Substituir 96 cadeias de isolador em 17 estruturas da LT 230 kV BONGI /JOAIRAM C-2 PE-04V5 (JRM;001/1;001/2;001/3;002/1;002/2;003/1;003/2;003/3;004/1;004/2;005/1;005/2;006/1;006/2;006/3;BGI).</t>
  </si>
  <si>
    <t>LT 230 kV BONGI /JOAIRAM C-2 PE</t>
  </si>
  <si>
    <t>0007512/2022</t>
  </si>
  <si>
    <t>bgijrm-04v5-cade-01</t>
  </si>
  <si>
    <t>Substituir 108 cadeias de isolador em 13 estruturas da LT 500 kV QUIXADA /FORTALEZA II C-1 CE-05V5 (133/1;133/2;134/1;134/2;135/1;135/2;135/3;136/1;136/2;137/1;137/2;138/1;FZD).</t>
  </si>
  <si>
    <t>0007516/2022</t>
  </si>
  <si>
    <t>qxafzd-05v5-cade-09</t>
  </si>
  <si>
    <t>Substituir 96 cadeias de isolador em 17 estruturas da LT 230 kV BONGI /JOAIRAM C-3 PE-04V6 (JRM;001/1;001/2;001/3;002/1;002/2;003/1;003/2;003/3;004/1;004/2;005/1;005/2;006/1;006/2;006/3;BGI).</t>
  </si>
  <si>
    <t>LT 230 kV BONGI /JOAIRAM C-3 PE</t>
  </si>
  <si>
    <t>0007517/2022</t>
  </si>
  <si>
    <t>bgijrm-04v6-cade-01</t>
  </si>
  <si>
    <t>LT 230 kV C.GRANDE II /PARAISO PB/RN</t>
  </si>
  <si>
    <t>Substituir 3 cadeias de isolador em 1 estrutura(s) da LT 230 kV C.GRANDE II /PARAISO C-2 PB/RN-04V1 (PRS).</t>
  </si>
  <si>
    <t>LT 230 kV C.GRANDE II /PARAISO C-2 PB/RN</t>
  </si>
  <si>
    <t>0007519/2022</t>
  </si>
  <si>
    <t>cgdprs-04v1-cade-01</t>
  </si>
  <si>
    <t>LT 500 kV PECEM II /FORTALEZA II CE</t>
  </si>
  <si>
    <t>Substituir 157 cadeias de isolador em 34 estruturas da LT 500 kV PECEM II /FORTALEZA II C-1 CE-05C2 (162/1;166/2;167/1;168/1;169/1;170/1;171/1;171/2;171/3;172/1;173/1;174/1;174/2;175/2;176/1;176/2;177/1;177/2;178/1;178/2;179/1;179/2;180/1;180/2;181/2;182/1;182/2;183/1;184/1;184/2;185/1;185/2;186/2;187/1).</t>
  </si>
  <si>
    <t>0007520/2022</t>
  </si>
  <si>
    <t>pedfzd-05c2-cade-01</t>
  </si>
  <si>
    <t>LT 230 kV RECIFE II /JOAIRAM PE</t>
  </si>
  <si>
    <t>Substituir 114 cadeias de isolador em 21 estruturas da LT 230 kV RECIFE II /JOAIRAM C-1 PE-04V1 (RCD;001/1;001/2;001/3;001/4;002/1;002/2;003/1;003/2;004/1;004/2;005/1;005/2;005/3;006/1;006/2;006/3;007/1;008/1;008/2;JRM).</t>
  </si>
  <si>
    <t>LT 230 kV RECIFE II /JOAIRAM C-1 PE</t>
  </si>
  <si>
    <t>0007521/2022</t>
  </si>
  <si>
    <t>rcdjrm-04v1-cade-01</t>
  </si>
  <si>
    <t>Substituir 3 cadeias de isolador em 1 estrutura(s) da LT 230 kV C.GRANDE II /PARAISO C-1 PB/RN-04V2 (PRS).</t>
  </si>
  <si>
    <t>LT 230 kV C.GRANDE II /PARAISO C-1 PB/RN</t>
  </si>
  <si>
    <t>0007522/2022</t>
  </si>
  <si>
    <t>cgdprs-04v2-cade-01</t>
  </si>
  <si>
    <t>Substituir 210 cadeias de isolador em 34 estruturas da LT 500 kV PECEM II /FORTALEZA II C-1 CE-05C2 (187/2;188/1;188/2;189/1;190/1;191/1;192/1;192/2;193/1;193/2;194/1;194/2;194/3;195/1;195/2;196/1;196/2;197/1;198/1;198/2;199/1;199/2;199/3;200/1;200/2;201/1;201/2;202/1;202/2;203/1;203/2;204/1;204/2;204/3).</t>
  </si>
  <si>
    <t>0007524/2022</t>
  </si>
  <si>
    <t>pedfzd-05c2-cade-02</t>
  </si>
  <si>
    <t>Substituir 126 cadeias de isolador em 22 estruturas da LT 230 kV RECIFE II /JOAIRAM C-2 PE-04V2 (RCD;001/1;001/2;001/3;001/4;002/1;002/2;002/3;003/1;003/2;004/1;004/2;005/1;005/2;005/3;006/1;006/2;007/1;007/2;008/1;008/2;JRM).</t>
  </si>
  <si>
    <t>LT 230 kV RECIFE II /JOAIRAM C-2 PE</t>
  </si>
  <si>
    <t>0007527/2022</t>
  </si>
  <si>
    <t>rcdjrm-04v2-cade-01</t>
  </si>
  <si>
    <t>Substituir 3 cadeias de isolador em 1 estrutura(s) da LT 230 kV NATAL III /NATAL II C-1 RN-04N3 (NTT).</t>
  </si>
  <si>
    <t>0007528/2022</t>
  </si>
  <si>
    <t>nttntd-04n3-cade-01</t>
  </si>
  <si>
    <t>Substituir 64 cadeias de isolador em 13 estruturas da LT 500 kV PECEM II /FORTALEZA II C-1 CE-05C2 (205/2;206/1;207/1;207/2;208/1;208/2;209/1;209/2;210/1;210/2;211/1;211/2;FZD).</t>
  </si>
  <si>
    <t>0007530/2022</t>
  </si>
  <si>
    <t>pedfzd-05c2-cade-03</t>
  </si>
  <si>
    <t>Substituir 126 cadeias de isolador em 22 estruturas da LT 230 kV RECIFE II /JOAIRAM C-3 PE-04V3 (RCD;001/1;001/2;001/3;001/4;002/1;002/2;002/3;003/1;003/2;004/1;004/2;005/1;005/2;005/3;006/1;006/2;007/1;007/2;008/1;008/2;JRM).</t>
  </si>
  <si>
    <t>LT 230 kV RECIFE II /JOAIRAM C-3 PE</t>
  </si>
  <si>
    <t>0007531/2022</t>
  </si>
  <si>
    <t>rcdjrm-04v3-cade-01</t>
  </si>
  <si>
    <t>Substituir 3 cadeias de isolador em 1 estrutura(s) da LT 230 kV NATAL III /NATAL II C-2 RN-04N4 (NTT).</t>
  </si>
  <si>
    <t>LT 230 kV NATAL III /NATAL II C-2 RN</t>
  </si>
  <si>
    <t>0007532/2022</t>
  </si>
  <si>
    <t>nttntd-04n4-cade-01</t>
  </si>
  <si>
    <t>Substituir 87 cadeias de isolador em 13 estruturas da LT 500 kV SUAPE II /RECIFE II C-1 PE-05L7 (041/1;041/2;041/3;042/1;042/2;043/1;043/2;044/1;044/2;045/1;045/2;046/1;RCD).</t>
  </si>
  <si>
    <t>0007534/2022</t>
  </si>
  <si>
    <t>sudrcd-05l7-cade-01</t>
  </si>
  <si>
    <t>LT 500 kV SOBRAL III /PECEM II CE</t>
  </si>
  <si>
    <t>Substituir 150 cadeias de isolador em 32 estruturas da LT 500 kV SOBRAL III /PECEM II C-1 CE-05V7 (001/1;001/2;001/3;002/1;003/1;003/2;004/1;004/2;004/3;005/1;005/2;006/1;006/2;007/1;007/2;008/1;008/2;009/1;009/2;010/1;010/2;011/1;011/2;012/1;012/2;013/1;013/2;014/1;014/2;015/1;015/2;015/3).</t>
  </si>
  <si>
    <t>LT 500 kV SOBRAL III /PECEM II C-1 CE</t>
  </si>
  <si>
    <t>0007535/2022</t>
  </si>
  <si>
    <t>sbtped-05v7-cade-01</t>
  </si>
  <si>
    <t>Substituir 109 cadeias de isolador em 32 estruturas da LT 500 kV SOBRAL III /PECEM II C-1 CE-05V7 (016/1;016/2;017/1;017/2;018/1;019/1;019/2;020/1;020/2;021/1;021/2;022/1;022/2;023/1;023/2;024/1;024/2;025/1;025/2;026/1;026/2;027/1;027/2;027/3;028/1;029/1;029/2;030/1;030/2;031/1;031/2;032/1).</t>
  </si>
  <si>
    <t>0007540/2022</t>
  </si>
  <si>
    <t>sbtped-05v7-cade-02</t>
  </si>
  <si>
    <t>Substituir 138 cadeias de isolador em 34 estruturas da LT 230 kV RIBEIRAO /RECIFE II C-2 PE-04M2 (337/3;338/1;339/1;339/2;339/3;340/1;340/2;341/1;341/2;341/3;342/1;343/1;343/2;343/3;344/1;344/2;345/1;345/2;346/1;346/2;347/1;348/1;348/2;348/3;349/1;349/3;350/1;350/2;351/1;353/1;353/2;353/3;354/1;354/2).</t>
  </si>
  <si>
    <t>LT 230 kV RIBEIRAO /RECIFE II C-2 PE</t>
  </si>
  <si>
    <t>0007542/2022</t>
  </si>
  <si>
    <t>rcdrib-04m2-cade-01</t>
  </si>
  <si>
    <t>SUBSTITUIÇÃO DO DISJUNTOR MBDJ4-03 DA LINHA MARABÁ - RONDON DO PARÁ LI-RNMB-LI4-01</t>
  </si>
  <si>
    <t>EL 69 kV MARABA DIST3</t>
  </si>
  <si>
    <t>0008219/2022</t>
  </si>
  <si>
    <t>MBDJ4-03</t>
  </si>
  <si>
    <t>Substituir 128 cadeias de isolador em 33 estruturas da LT 500 kV SOBRAL III /PECEM II C-1 CE-05V7 (032/2;033/1;033/2;034/1;034/2;035/1;035/2;036/1;036/2;037/1;037/2;037/3;038/1;038/2;039/1;039/2;039/3;040/1;040/2;041/1;042/1;042/2;043/1;043/2;044/1;044/2;045/1;045/2;046/1;047/1;047/2;048/1;048/2).</t>
  </si>
  <si>
    <t>0007544/2022</t>
  </si>
  <si>
    <t>sbtped-05v7-cade-03</t>
  </si>
  <si>
    <t>Substituir 119 cadeias de isolador em 35 estruturas da LT 230 kV RIBEIRAO /RECIFE II C-2 PE-04M2 (355/1;356/1;356/2;357/1;357/2;357/3;358/1;358/2;358/3;359/1;359/2;359/3;360/1;360/2;361/1;361/2;362/1;362/2;363/1;364/1;364/2;365/1;365/2;366/1;366/2;367/1;367/2;368/1;369/1;369/2;370/2;370/3;371/1;371/2;372/1).</t>
  </si>
  <si>
    <t>0007545/2022</t>
  </si>
  <si>
    <t>rcdrib-04m2-cade-02</t>
  </si>
  <si>
    <t>Substituir 104 cadeias de isolador em 33 estruturas da LT 500 kV SOBRAL III /PECEM II C-1 CE-05V7 (049/1;049/2;049/3;050/1;050/2;051/1;051/2;052/1;052/2;053/1;053/2;054/1;054/2;055/1;055/2;056/1;056/2;057/1;058/1;058/2;059/1;059/2;060/1;060/2;061/1;061/2;061/3;062/1;063/1;064/1;064/2;065/1;065/2).</t>
  </si>
  <si>
    <t>0007547/2022</t>
  </si>
  <si>
    <t>sbtped-05v7-cade-04</t>
  </si>
  <si>
    <t>Substituir 155 cadeias de isolador em 35 estruturas da LT 230 kV RIBEIRAO /RECIFE II C-2 PE-04M2 (372/2;372/3;373/1;374/1;374/2;375/1;375/2;376/1;376/2;376/3;377/1;377/2;377/3;378/1;378/2;379/1;379/2;380/2;380/3;381/1;381/2;382/1;383/1;383/2;383/3;384/1;385/1;385/2;385/3;386/1;386/2;387/1;387/2;388/1;388/2).</t>
  </si>
  <si>
    <t>0007548/2022</t>
  </si>
  <si>
    <t>rcdrib-04m2-cade-03</t>
  </si>
  <si>
    <t>Substituir 3 cadeias de isolador em 1 estrutura(s) da LT 230 kV SAPEACU /FUNIL C-1 BA-04F1 (031/1).</t>
  </si>
  <si>
    <t>0007549/2022</t>
  </si>
  <si>
    <t>spufnl-04f1-cade-01</t>
  </si>
  <si>
    <t>Substituir 113 cadeias de isolador em 32 estruturas da LT 500 kV SOBRAL III /PECEM II C-1 CE-05V7 (066/1;066/2;067/1;068/1;068/2;069/1;069/2;070/1;070/2;071/1;072/1;073/1;073/2;074/1;074/2;075/1;076/1;076/2;076/3;077/1;077/2;078/1;078/2;079/1;079/2;080/1;080/2;081/1;081/2;082/1;083/1;083/2).</t>
  </si>
  <si>
    <t>0007550/2022</t>
  </si>
  <si>
    <t>sbtped-05v7-cade-05</t>
  </si>
  <si>
    <t>Substituir 78 cadeias de isolador em 13 estruturas da LT 230 kV RIBEIRAO /RECIFE II C-2 PE-04M2 (388/3;389/1;389/2;389/3;390/1;390/2;391/1;392/1;392/2;393/1;393/2;393/3;RCD).</t>
  </si>
  <si>
    <t>0007551/2022</t>
  </si>
  <si>
    <t>rcdrib-04m2-cade-04</t>
  </si>
  <si>
    <t>Substituir 75 cadeias de isolador em 9 estruturas da LT 230 kV SAPEACU /FUNIL C-1 BA-04F1 (192/3;193/1;193/2;194/1;194/3;195/1;196/1;196/2;196/3).</t>
  </si>
  <si>
    <t>0007552/2022</t>
  </si>
  <si>
    <t>Substituir 106 cadeias de isolador em 33 estruturas da LT 500 kV SOBRAL III /PECEM II C-1 CE-05V7 (084/1;084/2;085/1;085/2;086/1;086/2;087/1;087/2;088/1;088/2;089/1;089/2;090/1;090/2;091/1;092/1;092/2;093/1;093/2;094/1;094/2;095/1;096/1;096/2;096/3;097/1;097/2;098/1;098/2;099/1;100/1;100/2;101/1).</t>
  </si>
  <si>
    <t>0007553/2022</t>
  </si>
  <si>
    <t>sbtped-05v7-cade-06</t>
  </si>
  <si>
    <t>LT 230 kV ANGELIM /RIBEIRAO PE</t>
  </si>
  <si>
    <t>Substituir 102 cadeias de isolador em 26 estruturas da LT 230 kV ANGELIM /RIBEIRAO C-1 PE-04S1 (066/2;067/1;067/2;067/3;068/2;069/1;069/2;070/1;070/2;071/1;071/2;072/1;073/1;073/2;074/1;074/2;075/1;075/2;076/1;077/1;077/2;078/3;080/1;080/2;080/3;AGL).</t>
  </si>
  <si>
    <t>0007554/2022</t>
  </si>
  <si>
    <t>aglrib-04s1-cade-01</t>
  </si>
  <si>
    <t>Substituir 117 cadeias de isolador em 32 estruturas da LT 500 kV SOBRAL III /PECEM II C-1 CE-05V7 (101/2;102/1;102/2;103/1;103/2;104/1;104/2;104/3;105/1;105/2;106/1;106/2;107/1;108/1;108/2;109/1;109/2;110/1;110/2;111/2;112/1;113/1;113/2;114/1;114/2;114/3;115/1;116/1;116/2;117/1;117/2;117/3).</t>
  </si>
  <si>
    <t>0007556/2022</t>
  </si>
  <si>
    <t>sbtped-05v7-cade-07</t>
  </si>
  <si>
    <t>Substituir 111 cadeias de isolador em 34 estruturas da LT 230 kV ANGELIM /RIBEIRAO C-1 PE-04S1 (081/1;081/2;081/3;082/1;082/2;083/1;084/2;084/3;086/2;088/1;088/2;090/1;090/2;091/1;091/2;092/1;093/1;093/2;093/3;093/4;094/1;094/2;095/1;095/2;096/1;096/2;097/2;097/3;098/1;098/2;099/1;099/2;099/3;100/1).</t>
  </si>
  <si>
    <t>0007559/2022</t>
  </si>
  <si>
    <t>aglrib-04s1-cade-02</t>
  </si>
  <si>
    <t>Substituir 138 cadeias de isolador em 32 estruturas da LT 500 kV SOBRAL III /PECEM II C-1 CE-05V7 (137/2;138/1;138/2;139/2;140/1;140/2;141/1;141/2;142/1;142/2;144/1;144/2;145/1;145/2;146/1;146/2;147/1;147/2;148/1;149/1;149/2;150/1;150/2;151/1;151/2;153/1;153/2;154/1;154/2;155/2;156/1;156/2).</t>
  </si>
  <si>
    <t>0007562/2022</t>
  </si>
  <si>
    <t>sbtped-05v7-cade-08</t>
  </si>
  <si>
    <t>Substituir 99 cadeias de isolador em 29 estruturas da LT 230 kV ANGELIM /RIBEIRAO C-1 PE-04S1 (100/2;101/1;101/2;102/1;102/2;103/1;103/2;103/3;104/1;104/2;104/3;105/1;105/2;106/1;107/1;108/1;108/2;109/2;110/3;111/1;111/2;112/1;113/1;113/2;114/1;115/1;115/2;116/3;RIB).</t>
  </si>
  <si>
    <t>0007564/2022</t>
  </si>
  <si>
    <t>aglrib-04s1-cade-03</t>
  </si>
  <si>
    <t>Substituir 20 cadeias de isolador em 3 estruturas da LT 500 kV SOBRAL III /PECEM II C-1 CE-05V7 (157/1;157/2;158/1).</t>
  </si>
  <si>
    <t>0007566/2022</t>
  </si>
  <si>
    <t>sbtped-05v7-cade-09</t>
  </si>
  <si>
    <t>Substituir 122 cadeias de isolador em 33 estruturas da LT 230 kV ANGELIM /RIBEIRAO C-2 PE-04S2 (302/1;302/2;302/3;303/1;303/2;303/3;304/1;304/2;305/1;305/2;305/3;306/1;307/1;307/2;307/3;308/1;308/2;309/1;309/2;310/1;310/2;311/1;311/1A;311/2;311/3;312/1;312/2;313/1;314/1;314/2;314/3;314/4;315/1).</t>
  </si>
  <si>
    <t>LT 230 kV ANGELIM /RIBEIRAO C-2 PE</t>
  </si>
  <si>
    <t>0007567/2022</t>
  </si>
  <si>
    <t>aglrib-04s2-cade-01</t>
  </si>
  <si>
    <t>Substituir 36 cadeias de isolador em 12 estruturas da LT 230 kV ANGELIM /RIBEIRAO C-2 PE-04S2 (331/2;331/3;331/4;332/2;332/3;333/1;333/2;334/2;334/3;335/1;336/3A;337/1).</t>
  </si>
  <si>
    <t>0007569/2022</t>
  </si>
  <si>
    <t>aglrib-04s2-cade-02</t>
  </si>
  <si>
    <t>LT 500 kV ANGELIM II /PAU FERRO PE</t>
  </si>
  <si>
    <t>Substituir 176 cadeias de isolador em 35 estruturas da LT 500 kV ANGELIM II /PAU FERRO C-1 PE-05L3 (109/1;109/2;109/3;110/1;110/2;110/3;111/1;111/2;111/3;112/1;112/2;112/3;113/1;113/2;114/1;114/2;115/1;115/2;115/3;115/4;116/1;116/2;117/1;117/2;118/1;118/2;118/3;119/1;119/2;119/3;120/1;121/1;121/2;121/3;122/1).</t>
  </si>
  <si>
    <t>LT 500 kV ANGELIM II /PAU FERRO C-1 PE</t>
  </si>
  <si>
    <t>0007572/2022</t>
  </si>
  <si>
    <t>agdpfe-05l3-cade-01</t>
  </si>
  <si>
    <t>SUBSTITUIÇÃO DOS PAINEIS DE SPCS DO REATOR IZRE7-04 500 KV INSTALADOS NA CASA DE RELÉS</t>
  </si>
  <si>
    <t>0007573/2022</t>
  </si>
  <si>
    <t>IZRE7-04</t>
  </si>
  <si>
    <t>LT 500 kV JARDIM /CAMACARI IV SE/BA</t>
  </si>
  <si>
    <t>Substituir 136 cadeias de isolador em 34 estruturas da LT 500 kV JARDIM /CAMACARI IV C-1 SE/BA-05V7 (226/1;226/2;227/1;227/2;228/1;228/2;229/1;229/2;230/1;231/1;231/2;232/1;232/2;232/3;233/1;233/2;233/3;234/1;234/2;235/1;236/1;236/2;237/1;237/2;238/1;238/2;239/1;239/2;241/1;242/1;242/2;243/1;243/2;244/1).</t>
  </si>
  <si>
    <t>LT 500 kV JARDIM /CAMACARI IV C-1 SE/BA</t>
  </si>
  <si>
    <t>0007574/2022</t>
  </si>
  <si>
    <t>jdmcmq-05v7-cade-01</t>
  </si>
  <si>
    <t>Substituir 212 cadeias de isolador em 35 estruturas da LT 500 kV ANGELIM II /PAU FERRO C-1 PE-05L3 (122/2;122/3;123/1;123/2;123/3;124/1;124/2;124/3;125/1;125/2;126/1;126/2;126/3;127/1;127/2;127/3;128/1;128/2;128/3;128/4;129/1;129/2;129/3;130/1;130/2;130/3;131/1;131/2;132/1;132/2;132/3;133/1;133/2;133/3;134/1).</t>
  </si>
  <si>
    <t>0007577/2022</t>
  </si>
  <si>
    <t>agdpfe-05l3-cade-02</t>
  </si>
  <si>
    <t>Substituir 46 cadeias de isolador em 7 estruturas da LT 500 kV ANGELIM II /PAU FERRO C-1 PE-05L3 (135/1;136/1;136/2;136/3;137/1;137/2;138/1).</t>
  </si>
  <si>
    <t>0007579/2022</t>
  </si>
  <si>
    <t>agdpfe-05l3-cade-03</t>
  </si>
  <si>
    <t>Substituir 324 cadeias de isolador em 34 estruturas da LT 230 kV BOM NOME /MILAGRES C-2 PE/CE-04L2 (011/2;012/1;012/2;012/3;012/4;013/1;013/2;013/3;014/1;014/2;014/3;015/1;015/2;015/3;015/4;016/1;016/2;016/3;017/1;017/2;017/3;018/1;018/2;018/3;019/1;019/2;019/3;019/4;020/1;020/2;020/3;021/1;021/2;022/1).</t>
  </si>
  <si>
    <t>LT 230 kV BOM NOME /MILAGRES C-2 PE/CE</t>
  </si>
  <si>
    <t>0007582/2022</t>
  </si>
  <si>
    <t>bnomlg-04l2-cade-01</t>
  </si>
  <si>
    <t>LT 500 kV ANGELIM II /RECIFE II PE</t>
  </si>
  <si>
    <t>Substituir 152 cadeias de isolador em 35 estruturas da LT 500 kV ANGELIM II /RECIFE II C-2 PE-05L9 (134/1;134/2;135/1;135/2;136/1;136/2;137/1;137/2;137/3;138/1;138/2;139/1;139/2;140/1;141/1;141/2;141/3;142/1;142/2;143/1;143/2;144/1;144/2;145/1;145/2;146/1;146/2;147/1;147/2;148/1;149/1;149/2;149/3;150/1;151/1).</t>
  </si>
  <si>
    <t>LT 500 kV ANGELIM II /RECIFE II C-2 PE</t>
  </si>
  <si>
    <t>0007584/2022</t>
  </si>
  <si>
    <t>agdrcd-05l9-cade-01</t>
  </si>
  <si>
    <t>Substituir 324 cadeias de isolador em 34 estruturas da LT 230 kV BOM NOME /MILAGRES C-2 PE/CE-04L2 (022/2;022/3;023/1;023/2;023/3;023/4;024/1;024/2;024/3;025/1;025/2;026/1;026/2;026/3;027/1;027/2;028/1;028/2;028/3;029/1;029/2;029/3;029/4;030/1;030/2;030/3;031/1;031/2;031/3;032/1;033/1;033/2;033/3;034/1).</t>
  </si>
  <si>
    <t>0007586/2022</t>
  </si>
  <si>
    <t>bnomlg-04l2-cade-02</t>
  </si>
  <si>
    <t>Substituir 164 cadeias de isolador em 35 estruturas da LT 500 kV ANGELIM II /RECIFE II C-2 PE-05L9 (151/2;152/1;152/2;153/1;153/2;154/1;154/2;155/1;155/2;155/3;156/1;156/2;157/1;157/2;158/1;159/1;159/2;160/1;160/2;160/3;161/1;161/2;162/1;162/2;163/1;163/2;164/1;164/2;165/1;165/2;166/1;166/2;166/3;167/1;167/2).</t>
  </si>
  <si>
    <t>0007587/2022</t>
  </si>
  <si>
    <t>agdrcd-05l9-cade-02</t>
  </si>
  <si>
    <t>Substituir 80 cadeias de isolador em 9 estruturas da LT 500 kV ANGELIM II /RECIFE II C-2 PE-05L9 (168/1;168/2;168/3;169/1;170/1;170/2;171/1;171/2;RCD).</t>
  </si>
  <si>
    <t>0007591/2022</t>
  </si>
  <si>
    <t>agdrcd-05l9-cade-03</t>
  </si>
  <si>
    <t>LT 230 kV ANGELIM /RECIFE II PE</t>
  </si>
  <si>
    <t>Substituir 125 cadeias de isolador em 33 estruturas da LT 230 kV ANGELIM /RECIFE II C-1 PE-04M3 (302/1;302/2;302/3;303/1;303/2;303/3;304/1;304/2;305/1;305/2;305/3;306/1;307/1;307/2;307/3;308/1;308/2;309/1;309/2;310/1;310/2;311/1;311/1A;311/2;311/3;312/1;312/2;313/1;314/1;314/2;314/3;314/4;315/1).</t>
  </si>
  <si>
    <t>0007594/2022</t>
  </si>
  <si>
    <t>aglrcd-04m3-cade-01</t>
  </si>
  <si>
    <t>Substituir 116 cadeias de isolador em 34 estruturas da LT 230 kV ANGELIM /RECIFE II C-1 PE-04M3 (315/2;316/1;316/2;317/1;318/1;318/2;319/1;319/2;320/1;320/2;321/1;321/2;322/1;322/2;322/3;323/1;323/2;324/1;324/2;324/3;325/1;325/2;325/3;326/1;326/2;327/1;327/2;327/3;328/1;328/2;329/1;329/2;330/1;330/2).</t>
  </si>
  <si>
    <t>0007598/2022</t>
  </si>
  <si>
    <t>aglrcd-04m3-cade-02</t>
  </si>
  <si>
    <t>Substituir 120 cadeias de isolador em 34 estruturas da LT 230 kV ANGELIM /RECIFE II C-1 PE-04M3 (331/1;331/2;331/3;331/4;332/2;332/3;333/1;333/2;334/2;334/3;335/1;336/2;336/3;336/3A;337/1;337/3;338/1;339/1;339/2;339/3;340/1;340/2;341/1;341/2;341/3;342/1;343/1;343/2;343/3;344/1;344/2;345/1;345/2;346/1).</t>
  </si>
  <si>
    <t>0007601/2022</t>
  </si>
  <si>
    <t>aglrcd-04m3-cade-03</t>
  </si>
  <si>
    <t>Substituir 137 cadeias de isolador em 35 estruturas da LT 230 kV ANGELIM /RECIFE II C-1 PE-04M3 (346/2;347/1;348/1;348/2;348/3;349/1;349/3;350/1;350/2;351/1;353/1;353/2;353/3;354/1;354/2;355/1;356/1;356/2;357/1;357/2;357/3;358/1;358/2;358/3;359/1;359/2;359/3;360/1;360/2;361/1;361/2;362/1;362/2;363/1;364/1).</t>
  </si>
  <si>
    <t>0007605/2022</t>
  </si>
  <si>
    <t>aglrcd-04m3-cade-04</t>
  </si>
  <si>
    <t>Substituir 324 cadeias de isolador em 34 estruturas da LT 230 kV BOM NOME /MILAGRES C-3 PE/CE-04L3 (009/1;009/2;009/3;009/4;010/1;010/2;010/3;010/4;011/1;011/2;012/1;012/2;012/3;012/4;013/1;013/2;013/3;013/4;014/1;014/2;014/3;014/4;015/1;015/2;015/3;015/4;016/1;016/2;016/3;016/4;017/1;017/2;017/3;018/1).</t>
  </si>
  <si>
    <t>0007607/2022</t>
  </si>
  <si>
    <t>bnomlg-04l3-cade-01</t>
  </si>
  <si>
    <t>Substituir 113 cadeias de isolador em 35 estruturas da LT 230 kV ANGELIM /RECIFE II C-1 PE-04M3 (364/2;365/1;365/2;366/1;366/2;367/1;367/2;368/1;369/1;369/2;370/2;370/3;371/1;371/2;372/1;372/2;372/3;373/1;374/1;374/2;375/1;375/2;376/1;376/2;376/3;377/1;377/2;377/3;378/1;378/2;379/1;379/2;380/2;380/3;381/1).</t>
  </si>
  <si>
    <t>0007608/2022</t>
  </si>
  <si>
    <t>aglrcd-04m3-cade-05</t>
  </si>
  <si>
    <t>Substituir 345 cadeias de isolador em 34 estruturas da LT 230 kV BOM NOME /MILAGRES C-3 PE/CE-04L3 (018/2;018/3;018/4;019/1;019/2;019/3;019/4;020/1;020/2;020/3;020/4;021/1;021/2;021/3;021/4;022/1;022/2;022/3;023/1;023/2;023/3;023/4;024/1;024/2;024/3;025/1;025/2;025/3;026/1;026/2;026/3;027/1;027/2;027/3).</t>
  </si>
  <si>
    <t>0007611/2022</t>
  </si>
  <si>
    <t>bnomlg-04l3-cade-02</t>
  </si>
  <si>
    <t>Substituir 165 cadeias de isolador em 28 estruturas da LT 230 kV ANGELIM /RECIFE II C-1 PE-04M3 (381/2;382/1;383/1;383/2;383/3;384/1;385/1;385/2;385/3;386/1;386/2;387/1;387/2;388/1;388/2;388/3;389/1;389/2;389/3;390/1;390/2;391/1;392/1;392/2;393/1;393/2;393/3;RCD).</t>
  </si>
  <si>
    <t>0007612/2022</t>
  </si>
  <si>
    <t>aglrcd-04m3-cade-06</t>
  </si>
  <si>
    <t>Substituir 342 cadeias de isolador em 34 estruturas da LT 230 kV BOM NOME /MILAGRES C-3 PE/CE-04L3 (027/4;028/1;028/2;028/3;029/1;029/2;029/3;029/4;030/1;030/2;030/3;030/4;031/1;031/2;031/3;031/4;032/1;033/1;033/2;033/3;034/1;034/2;034/3;035/1;035/2;035/3;036/1;036/2;036/3;036/4;037/1;038/1;038/2;039/1).</t>
  </si>
  <si>
    <t>0007614/2022</t>
  </si>
  <si>
    <t>bnomlg-04l3-cade-03</t>
  </si>
  <si>
    <t>Substituir 180 cadeias de isolador em 36 estruturas da LT 500 kV PAU FERRO /RECIFE II C-1 PE-05L8 (015/3;016/1;016/2;016/3;017/1;017/2;018/1;018/2;019/1;019/2;019/3;020/1;020/2;021/1;022/1;022/2;023/1;023/2;023/3;024/1;025/1;026/1;026/2;026/3;027/1;027/2;028/1;028/2;028/3;028/4;029/1;029/2;030/1;030/2;031/1;032/1).</t>
  </si>
  <si>
    <t>0007616/2022</t>
  </si>
  <si>
    <t>pfercd-05l8-cade-01</t>
  </si>
  <si>
    <t>Substituir 342 cadeias de isolador em 34 estruturas da LT 230 kV BOM NOME /MILAGRES C-3 PE/CE-04L3 (053/3;054/1;054/2;054/3;055/1;055/2;055/3;056/1;056/2;056/3;056/4;057/1;057/2;057/3;057/4;058/1;058/2;058/3;058/4;059/1;059/2;059/3;059/4;060/1;060/2;060/3;060/4;061/1;061/2;061/3;061/4;062/1;062/2;062/3).</t>
  </si>
  <si>
    <t>0007617/2022</t>
  </si>
  <si>
    <t>bnomlg-04l3-cade-04</t>
  </si>
  <si>
    <t>LT 230 kV PAU FERRO /C.GRANDE II PE/PB</t>
  </si>
  <si>
    <t>Substituir 143 cadeias de isolador em 35 estruturas da LT 230 kV PAU FERRO /C.GRANDE II C-2 PE/PB-04C4 (PFE;001/1;001/2;002/1;002/2;003/1;003/2;003/3;004/1;004/2;004/3;005/1;006/1;006/2;007/1;007/2;008/1;008/2;008/3;009/1;009/2;010/2;011/1;010/1;011/2;012/1;012/2;013/1;013/2;014/1;015/1;015/2;016/1;016/2;016/3).</t>
  </si>
  <si>
    <t>LT 230 kV PAU FERRO /C.GRANDE II C-2 PE/PB</t>
  </si>
  <si>
    <t>0007620/2022</t>
  </si>
  <si>
    <t>pfecgd-04c4-cade-01</t>
  </si>
  <si>
    <t>Substituir 324 cadeias de isolador em 34 estruturas da LT 230 kV BOM NOME /MILAGRES C-3 PE/CE-04L3 (063/1;063/2;063/3;063/4;064/1;064/2;064/3;065/1;065/2;065/3;065/4;066/1;066/2;066/3;066/4;067/1;067/2;067/3;068/1;068/2;068/3;068/4;069/1;069/2;069/3;070/1;070/2;070/3;070/4;071/1;071/2;071/3;071/4;072/1).</t>
  </si>
  <si>
    <t>0007621/2022</t>
  </si>
  <si>
    <t>bnomlg-04l3-cade-05</t>
  </si>
  <si>
    <t>Substituir 105 cadeias de isolador em 35 estruturas da LT 230 kV PAU FERRO /C.GRANDE II C-2 PE/PB-04C4 (017/1;017/2;018/1;018/2;019/1;019/2;020/1;020/2;021/1;021/2;022/1;022/2;022/3;023/1;023/2;024/1;024/2;025/1;025/2;026/1;026/2;027/1;028/1;028/2;029/1;029/2;029/3;030/1;030/2;031/1;031/2;032/1;032/2;033/1;033/2).</t>
  </si>
  <si>
    <t>0007623/2022</t>
  </si>
  <si>
    <t>pfecgd-04c4-cade-02</t>
  </si>
  <si>
    <t>Substituir 324 cadeias de isolador em 34 estruturas da LT 230 kV BOM NOME /MILAGRES C-3 PE/CE-04L3 (072/2;072/3;073/1;073/2;073/3;073/4;074/1;074/2;074/3;074/4;075/1;075/2;075/3;075/4;076/1;076/2;076/3;077/1;077/2;077/3;077/4;077/5;078/1;078/2;078/3;079/1;079/2;079/3;079/4;080/1;080/2;080/3;080/4;080/5).</t>
  </si>
  <si>
    <t>0007624/2022</t>
  </si>
  <si>
    <t>bnomlg-04l3-cade-06</t>
  </si>
  <si>
    <t>Substituir 114 cadeias de isolador em 35 estruturas da LT 230 kV PAU FERRO /C.GRANDE II C-2 PE/PB-04C4 (034/1;034/2;035/1;035/2;035/3;036/1;036/2;037/1;037/2;037/3;038/1;038/2;039/1;039/2;040/1;040/2;041/1;041/2;042/1;042/2;042/3;043/1;044/1;044/2;045/1;045/2;046/1;046/2;047/1;047/2;047/3;048/1;048/2;048/3;049/1).</t>
  </si>
  <si>
    <t>0007628/2022</t>
  </si>
  <si>
    <t>pfecgd-04c4-cade-03</t>
  </si>
  <si>
    <t>Substituir 178 cadeias de isolador em 15 estruturas da LT 230 kV BOM NOME /MILAGRES C-3 PE/CE-04L3 (081/1;081/2;081/3;082/1;082/2;082/3;082/4;083/1;083/2;083/3;083/4;084/1;084/2;084/3;084/4).</t>
  </si>
  <si>
    <t>0007629/2022</t>
  </si>
  <si>
    <t>bnomlg-04l3-cade-07</t>
  </si>
  <si>
    <t>Substituir 9 cadeias de isolador em 3 estruturas da LT 230 kV PAU FERRO /C.GRANDE II C-2 PE/PB-04C4 (049/2;050/1;050/2).</t>
  </si>
  <si>
    <t>0007630/2022</t>
  </si>
  <si>
    <t>pfecgd-04c4-cade-04</t>
  </si>
  <si>
    <t>Substituir 6 cadeias de isolador em 2 estruturas da LT 230 kV CAUIPE /SOBRAL II C-1 CE-04S2 (007/3;008/1).</t>
  </si>
  <si>
    <t>0007635/2022</t>
  </si>
  <si>
    <t>cpesbd-04s2-cade-01</t>
  </si>
  <si>
    <t>LT 230 kV MILAGRES /COREMAS CE/PB</t>
  </si>
  <si>
    <t>Substituir 130 cadeias de isolador em 24 estruturas da LT 230 kV MILAGRES /COREMAS C-2 CE/PB-04M5 (001/1;001/2;001/3;001/4;001/5;002/1;003/1;003/2;008/2;023/1;023/2;024/1;035/1;036/1;036/2;036/3;037/1;037/2;038/1;038/2;044/2;045/1;046/1;103/2).</t>
  </si>
  <si>
    <t>LT 230 kV MILAGRES /COREMAS C-2 CE/PB</t>
  </si>
  <si>
    <t>0007637/2022</t>
  </si>
  <si>
    <t>mlgcma-04m5-cade-01</t>
  </si>
  <si>
    <t>Substituir 153 cadeias de isolador em 35 estruturas da LT 230 kV CAUIPE /SOBRAL II C-1 CE-04S2 (077/2;078/1;078/2;078/3;079/1;079/2;080/1;080/2;080/3;081/1;081/2;082/1;082/2;082/3;083/1;083/2;084/1;084/2;084/3;085/1;085/2;086/1;086/2;087/1;087/2;088/1;088/2;089/1;089/2;090/1;090/2;091/1;091/2;091/3;092/1).</t>
  </si>
  <si>
    <t>0007640/2022</t>
  </si>
  <si>
    <t>cpesbd-04s2-cade-02</t>
  </si>
  <si>
    <t>Substituir 105 cadeias de isolador em 35 estruturas da LT 230 kV CAUIPE /SOBRAL II C-1 CE-04S2 (092/2;092/3;093/1;093/2;094/1;094/2;094/3;095/1;095/2;096/1;096/2;096/3;097/1;097/2;098/1;098/2;098/3;099/1;099/2;100/1;100/2;101/1;101/2;101/3;102/1;102/2;103/1;103/2;104/1;104/2;104/3;105/1;105/2;106/1;106/2).</t>
  </si>
  <si>
    <t>0007643/2022</t>
  </si>
  <si>
    <t>cpesbd-04s2-cade-03</t>
  </si>
  <si>
    <t>Substituir 12 cadeias de isolador em 4 estruturas da LT 230 kV MILAGRES /COREMAS C-1 CE/PB-04M6 (086/2;086/3;091/2;098/1).</t>
  </si>
  <si>
    <t>LT 230 kV MILAGRES /COREMAS C-1 CE/PB</t>
  </si>
  <si>
    <t>0007645/2022</t>
  </si>
  <si>
    <t>mlgcma-04m6-cade-02</t>
  </si>
  <si>
    <t>Substituir 141 cadeias de isolador em 35 estruturas da LT 230 kV CAUIPE /SOBRAL II C-1 CE-04S2 (106/3;107/1;107/2;108/1;108/2;108/3;109/1;109/2;110/1;110/2;111/1;111/2;111/3;112/1;112/2;113/1;113/2;114/1;114/2;115/1;115/2;116/1;116/2;116/3;117/1;118/1;118/2;119/1;119/2;119/3;120/1;120/2;121/1;121/2;121/3).</t>
  </si>
  <si>
    <t>0007646/2022</t>
  </si>
  <si>
    <t>cpesbd-04s2-cade-04</t>
  </si>
  <si>
    <t>Substituir 129 cadeias de isolador em 35 estruturas da LT 230 kV CAUIPE /SOBRAL II C-1 CE-04S2 (122/1;122/2;123/1;123/2;124/1;124/2;125/1;125/2;125/3;126/1;126/2;127/1;127/2;127/3;128/1;128/2;129/1;129/2;129/3;130/1;130/2;131/1;131/2;131/3;132/1;132/2;133/1;133/2;133/3;134/1;134/2;134/3;135/1;135/2;136/1).</t>
  </si>
  <si>
    <t>0007651/2022</t>
  </si>
  <si>
    <t>cpesbd-04s2-cade-05</t>
  </si>
  <si>
    <t>Substituir 105 cadeias de isolador em 35 estruturas da LT 230 kV CAUIPE /SOBRAL II C-1 CE-04S2 (136/2;137/1;137/2;137/3;138/1;138/2;139/1;139/2;140/1;140/2;141/1;141/2;141/3;142/1;142/2;143/1;143/2;144/1;144/2;145/1;145/2;146/1;146/2;146/3;147/1;147/2;148/1;148/2;149/1;149/2;150/1;150/2;151/1;151/2;152/1).</t>
  </si>
  <si>
    <t>0007655/2022</t>
  </si>
  <si>
    <t>cpesbd-04s2-cade-06</t>
  </si>
  <si>
    <t>Substituir 6 cadeias de isolador em 2 estruturas da LT 230 kV AQUIRAZ II /FORTALEZA C-3 CE-04F1 (028/3;029/1).</t>
  </si>
  <si>
    <t>0007658/2022</t>
  </si>
  <si>
    <t>aqdftz-04f1-cade-01</t>
  </si>
  <si>
    <t>Substituir 153 cadeias de isolador em 35 estruturas da LT 230 kV CAUIPE /SOBRAL II C-1 CE-04S2 (152/2;153/1;153/2;153/3;154/1;154/2;155/1;155/2;156/1;156/2;156/3;157/1;157/2;158/1;158/2;159/1;159/2;159/3;160/1;160/2;161/1;161/2;162/1;162/2;163/1;163/2;163/3;164/1;164/2;165/1;165/2;165/3;166/1;166/2;167/1).</t>
  </si>
  <si>
    <t>0007659/2022</t>
  </si>
  <si>
    <t>cpesbd-04s2-cade-07</t>
  </si>
  <si>
    <t>Substituir 15 cadeias de isolador em 5 estruturas da LT 230 kV P.AFONSO III /TACARUTU C-1 AL/PE-04F1 (014/3;013/1;014/1;014/2;018/2).</t>
  </si>
  <si>
    <t>0007661/2022</t>
  </si>
  <si>
    <t>paftat-04f1-cade-01</t>
  </si>
  <si>
    <t>LT 500 kV U.SOBRADINHO /S.JOAO PIAUI BA/PI</t>
  </si>
  <si>
    <t>Substituir 166 cadeias de isolador em 39 estruturas da LT 500 kV U.SOBRADINHO /S.JOAO PIAUI C-1 BA/PI-05C5 (061/2;062/1;062/2;063/1;063/2;064/1;066/1;066/2;068/2;069/1;070/1;070/2;071/1;071/2;072/1;072/2;072/3;073/1;074/1;074/2;075/1;075/2;076/1;078/1;088/1;088/2;089/2;091/2;092/2;093/2;094/1;103/2;104/1;104/2;105/1;106/1;109/2;110/1;111/1).</t>
  </si>
  <si>
    <t>0007664/2022</t>
  </si>
  <si>
    <t>sobsji-05c5-cade-02</t>
  </si>
  <si>
    <t>LT 500 kV US. L.GONZAGA/U.SOBRADINHO PE/BA</t>
  </si>
  <si>
    <t>Substituir 64 cadeias de isolador em 10 estruturas da LT 500 kV US. L.GONZAGA /U.SOBRADINHO C-2 PE/BA-05C4 (075/1;088/2;102/1;102/2;117/1;140/1;140/2;141/2;154/1;156/1).</t>
  </si>
  <si>
    <t>0007666/2022</t>
  </si>
  <si>
    <t>lgzsob-05c4-cade-01</t>
  </si>
  <si>
    <t>Substituir 177 cadeias de isolador em 31 estruturas da LT 230 kV AQUIRAZ II /FORTALEZA C-2 CE-04F3 (019/1D;165/1D;165/2D;166/1D;166/2D;166/3D;167/1D;167/2D;167/3D;168/1D;168/2D;169/1D;169/2D;170/1D;170/2D;171/1D;171/2D;172/1D;172/2D;172/3D;173/1D;173/2D;173/3D;174/1D;174/2D;174/3D;175/1D;175/2D;176/1D;176/2D;176/3D).</t>
  </si>
  <si>
    <t>0007667/2022</t>
  </si>
  <si>
    <t>aqdftz-04f3-cade-01</t>
  </si>
  <si>
    <t>Substituir 76 cadeias de isolador em 19 estruturas da LT 500 kV U.SOBRADINHO /S.JOAO PIAUI C-1 BA/PI-05C5 (117/2;119/1;119/2;120/1;120/2;121/2;122/1;122/2;126/1;133/1;134/1;143/1;144/2;145/1;147/1;149/1;156/1;157/2;159/2).</t>
  </si>
  <si>
    <t>0007668/2022</t>
  </si>
  <si>
    <t>sobsji-05c5-cade-03</t>
  </si>
  <si>
    <t>Substituir 140 cadeias de isolador em 23 estruturas da LT 500 kV US. L.GONZAGA /JUAZEIRO III C-1 PE/BA-05C5 (235/1;235/2;236/1;236/2;237/1;238/1;238/2;238/3;242/1;243/1;244/2;244/3;246/1;248/1;248/2;249/2;250/1;250/2;251/1;251/2;252/1;252/2;253/1).</t>
  </si>
  <si>
    <t>0007669/2022</t>
  </si>
  <si>
    <t>lgzjzt-05c5-cade-01</t>
  </si>
  <si>
    <t>SUBSTITUIÇÃO DOS PAINEIS DE SPCS DA CONEXÃO 230 KV DO TRANSFORMADOR TR2 500/230 KV INSTALADOS NA CASA DE RELÉS - IZAT7-02</t>
  </si>
  <si>
    <t>0007670/2022</t>
  </si>
  <si>
    <t>IZAT7-02</t>
  </si>
  <si>
    <t>Substituir 81 cadeias de isolador em 19 estruturas da LT 230 kV AQUIRAZ II /FORTALEZA C-1 CE-04F2 (169/2D;170/1D;170/2D;171/1D;171/2D;172/1D;172/2D;172/3D;173/1D;173/2D;173/3D;174/1D;174/2D;174/3D;175/1D;175/2D;176/1D;176/2D;176/3D).</t>
  </si>
  <si>
    <t>0007671/2022</t>
  </si>
  <si>
    <t>aqdftz-04f2-cade-01</t>
  </si>
  <si>
    <t>LT 230 kV CAMPO FORMOSO /OUROLANDIA II BA</t>
  </si>
  <si>
    <t>Substituir 102 cadeias de isolador em 34 estruturas da LT 230 kV SE CAMPO FORMOSO /OUROLANDIA II C-1 BA-04C2 (016/1;017/1;017/2;017/3;018/1;019/1;019/2;020/2;021/1;021/2;022/1;022/2;027/2;027/3;035/1;035/2;036/2;037/1;039/1;039/2;041/1;041/2;048/1;048/2;061/3;062/1;066/2;066/3;071/3;072/1;072/2;072/3;073/1;073/3).</t>
  </si>
  <si>
    <t>LT 230 kV CAMPO FORMOSO /OUROLANDIA II C-1 BA</t>
  </si>
  <si>
    <t>0007674/2022</t>
  </si>
  <si>
    <t>cfoour-04c2-cade-01</t>
  </si>
  <si>
    <t>Substituir 213 cadeias de isolador em 35 estruturas da LT 230 kV CAUIPE /FORTALEZA II C-3 CE-04S1 (190/3;191/1;191/2;192/1;192/2;193/1;193/2;194/1;194/2;195/1;195/2;196/1;196/2;197/1;197/2;198/1;198/2;199/1;199/2;200/1;200/2;201/1;201/2;202/1;202/2;203/1;203/2;203/3;204/1;204/2;204/3;205/1;205/2;206/1;206/2).</t>
  </si>
  <si>
    <t>0007675/2022</t>
  </si>
  <si>
    <t>cpefzd-04s1-cade-01</t>
  </si>
  <si>
    <t>LT 500 kV TIANGUA II /SOBRAL III CE</t>
  </si>
  <si>
    <t>Substituir 69 cadeias de isolador em 7 estruturas da LT 500 kV TIANGUA II /SOBRAL III C-1 CE-05V5 (098/1;098/2;099/1;099/2;100/1;100/2;101/1).</t>
  </si>
  <si>
    <t>LT 500 kV TIANGUA II /SOBRAL III C-1 CE</t>
  </si>
  <si>
    <t>0007676/2022</t>
  </si>
  <si>
    <t>tgdsbt-05v5-cade-02</t>
  </si>
  <si>
    <t>Substituir 33 cadeias de isolador em 11 estruturas da LT 230 kV SE CAMPO FORMOSO /OUROLANDIA II C-1 BA-04C2 (073/4;074/1;074/2;074/3;075/1;075/2;075/3;076/1;082/3;086/3;087/1).</t>
  </si>
  <si>
    <t>0007677/2022</t>
  </si>
  <si>
    <t>cfoour-04c2-cade-02</t>
  </si>
  <si>
    <t>Substituir 177 cadeias de isolador em 31 estruturas da LT 230 kV CAUIPE /FORTALEZA II C-3 CE-04S1 (206/3;207/1;207/2;208/1;208/2;208/3;209/1;209/2;209/3;210/1;210/2;210/3;211/1;211/2;211/3;212/1;212/2;213/1;213/2;214/1;214/2;215/1;215/2;215/3;216/1;216/2;216/3;217/1;217/2;218/1;218/2).</t>
  </si>
  <si>
    <t>0007678/2022</t>
  </si>
  <si>
    <t>cpefzd-04s1-cade-02</t>
  </si>
  <si>
    <t>LT 230 kV P.AFONSO III /SANTANA II AL</t>
  </si>
  <si>
    <t>Substituir 18 cadeias de isolador em 6 estrutura(s) da LT 230 kV P.AFONSO III /SANTANA II C-1 AL-04L1 (003/3;005/2;006/1;007/2;008/2;009/1).</t>
  </si>
  <si>
    <t>LT 230 kV P.AFONSO III /SANTANA II C-1 AL</t>
  </si>
  <si>
    <t>0007681/2022</t>
  </si>
  <si>
    <t>pafstn-04l1-cade-01</t>
  </si>
  <si>
    <t>SUBSTITUIÇÃO DOS PAINEIS DE SPCS DA CONEXÃO 230 KV DO TRANSFORMADOR TR1 500/230 KV INSTALADOS NA CASA DE RELÉS - IZAT7-01</t>
  </si>
  <si>
    <t>0007684/2022</t>
  </si>
  <si>
    <t>IZAT7-01</t>
  </si>
  <si>
    <t>LT 230 kV IRECE /BROT.MACAUBAS BA</t>
  </si>
  <si>
    <t>Substituir 102 cadeias de isolador em 34 estruturas da LT 230 kV IRECE /BROT.MACAUBAS C-1 BA-04F2 (037/1;037/2;038/1;038/2;039/1;051/3;052/1;054/2;055/1;056/1;057/1;057/3;058/1;058/2;059/1;060/1;062/1;063/1;064/1;064/2;065/2;066/1;066/2;067/1;067/2;068/1;069/1;070/1;070/2;071/2;072/1;075/1;075/2;077/2).</t>
  </si>
  <si>
    <t>0007685/2022</t>
  </si>
  <si>
    <t>irebmc-04f2-cade-01</t>
  </si>
  <si>
    <t>Substituir 114 cadeias de isolador em 29 estruturas da LT 138 kV C.GRANDE II /SANTA CRUZ II C-1 PB/RN-03L1 (30;31;32;33;34;35;36;37;38;39;40;41;42;43;44;45;46;47;48;49;50;51;52;53;54;55;56;57;58).</t>
  </si>
  <si>
    <t>0007687/2022</t>
  </si>
  <si>
    <t>cgdstd-03l1-cade-01</t>
  </si>
  <si>
    <t>Substituir 96 cadeias de isolador em 32 estruturas da LT 230 kV IRECE /BROT.MACAUBAS C-1 BA-04F2 (078/1;080/2;082/1;082/2;087/1;087/2;088/1;088/2;089/1;089/2;090/1;090/2;091/1;101/4;103/2;103/3;104/1;104/2;104/3;104/4;108/1;108/2;108/3;108/4;109/1;110/1;125/2;129/1;129/2;135/1;135/2;135/4).</t>
  </si>
  <si>
    <t>0007689/2022</t>
  </si>
  <si>
    <t>irebmc-04f2-cade-02</t>
  </si>
  <si>
    <t>Substituir 102 cadeias de isolador em 29 estruturas da LT 138 kV C.GRANDE II /SANTA CRUZ II C-1 PB/RN-03L1 (59;60;61;62;63;64;65;66;67;68;69;70;71;72;73;74;75;76;77;78;79;80;81;82;83;84;85;86;87).</t>
  </si>
  <si>
    <t>0007691/2022</t>
  </si>
  <si>
    <t>cgdstd-03l1-cade-02</t>
  </si>
  <si>
    <t>LT 230 kV BROT.MACAUBAS /B.JESUS LAPA BA</t>
  </si>
  <si>
    <t>Substituir 113 cadeias de isolador em 34 estruturas da LT 230 kV BROT.MACAUBAS /B.JESUS LAPA C-1 BA-04F5 (029/1;030/1;031/3;032/1;033/1;033/2;035/2;036/1;036/2;037/1;038/1;038/2;040/1;040/2;047/1;047/2;048/3;049/1;051/2;052/1;052/2;053/1;054/1;054/2;055/2;056/1;056/3;062/4;063/1;072/3;074/4;075/1;075/2;075/3).</t>
  </si>
  <si>
    <t>LT 230 kV BROT.MACAUBAS /B.JESUS LAPA C-1 BA</t>
  </si>
  <si>
    <t>0007692/2022</t>
  </si>
  <si>
    <t>bmcbjs-04f5-cade-01</t>
  </si>
  <si>
    <t>Substituir 96 cadeias de isolador em 29 estruturas da LT 138 kV C.GRANDE II /SANTA CRUZ II C-1 PB/RN-03L1 (88;89;90;91;92;93;94;95;96;97;98;99;100;101;102;103;104;105;106;107;108;109;110;111;112;113;114;115;116).</t>
  </si>
  <si>
    <t>0007694/2022</t>
  </si>
  <si>
    <t>cgdstd-03l1-cade-03</t>
  </si>
  <si>
    <t>Substituir 102 cadeias de isolador em 34 estruturas da LT 230 kV BROT.MACAUBAS /B.JESUS LAPA C-1 BA-04F5 (076/1;081/1;096/1;096/2;097/2;098/1;098/2;099/1;099/2;100/1;100/2;101/1;101/2;102/1;102/2;103/1;104/1;105/2;107/1;107/2;108/1;108/2;109/1;109/2;111/1;112/1;113/1;114/1;114/2;115/1;115/2;116/3;117/1;118/2).</t>
  </si>
  <si>
    <t>0007695/2022</t>
  </si>
  <si>
    <t>bmcbjs-04f5-cade-02</t>
  </si>
  <si>
    <t>SUBSTITUIÇÃO DOS EQUIPAMENTOS DA REDE DE COMUNICAÇÃO DE DADOS DA REDE LAN DA SUBESTAÇÃO: PAINÉIS, MÁQUINA DE ENGENHARIA, SISTEMA SUPERVISÓRIO, SWITCHES, GPS, FIBRA ÓTICAS ETC.- IZMG7-01</t>
  </si>
  <si>
    <t>0007697/2022</t>
  </si>
  <si>
    <t>IZMG7-01</t>
  </si>
  <si>
    <t>Substituir 117 cadeias de isolador em 29 estruturas da LT 138 kV C.GRANDE II /SANTA CRUZ II C-1 PB/RN-03L1 (117;118;119;120;121;122;123;124;125;126;127;128;129;130;131;132;133;134;135;136;137;138;139;140;141;142;143;144;145).</t>
  </si>
  <si>
    <t>0007699/2022</t>
  </si>
  <si>
    <t>cgdstd-03l1-cade-04</t>
  </si>
  <si>
    <t>Substituir 87 cadeias de isolador em 23 estruturas da LT 230 kV BROT.MACAUBAS /B.JESUS LAPA C-1 BA-04F5 (119/1;119/2;120/1;121/2;122/1;123/2;124/1;126/2;127/2;128/1;129/1;129/2;130/1;131/1;131/2;132/2;134/1;135/1;136/4;145/4;149/1;157/1;172/3).</t>
  </si>
  <si>
    <t>0007700/2022</t>
  </si>
  <si>
    <t>bmcbjs-04f5-cade-03</t>
  </si>
  <si>
    <t>Substituir 114 cadeias de isolador em 29 estruturas da LT 138 kV C.GRANDE II /SANTA CRUZ II C-1 PB/RN-03L1 (146;147;148;149;150;151;152;153;154;155;156;157;158;159;160;161;162;163;164;165;166;167;168;169;170;171;172;173;174).</t>
  </si>
  <si>
    <t>0007703/2022</t>
  </si>
  <si>
    <t>cgdstd-03l1-cade-05</t>
  </si>
  <si>
    <t>Substituir 93 cadeias de isolador em 29 estruturas da LT 138 kV C.GRANDE II /SANTA CRUZ II C-1 PB/RN-03L1 (175;176;177;178;179;180;181;182;183;184;185;186;187;188;189;190;191;192;193;194;195;196;197;198;199;200;201;202;203).</t>
  </si>
  <si>
    <t>0007707/2022</t>
  </si>
  <si>
    <t>cgdstd-03l1-cade-06</t>
  </si>
  <si>
    <t>LT 500 kV OLINDINA /US. L.GONZAGA BA/PE</t>
  </si>
  <si>
    <t>Substituir 147 cadeias de isolador em 49 estrutura(s) da LT 500 kV OLINDINA /US. L.GONZAGA C-1 BA/PE-05S4 (LGZ;001/1;001/3;002/1;002/2;002/3;003/2;004/1;004/2;005/1;005/2;006/1;006/2;007/1;007/2;008/1;008/2;009/1;009/2;009/3;010/1;010/2;011/1;011/2;012/1;012/2;012/3;013/1;013/2;014/1;014/2;015/1;015/2;016/1;016/2;017/1;017/2;017/3;018/1;018/2;019/1;019/2;019/3;020/2;020/3;021/1;021/2;022/1;022/2).</t>
  </si>
  <si>
    <t>0007710/2022</t>
  </si>
  <si>
    <t>oldlgz-05s4-cade-01</t>
  </si>
  <si>
    <t>Substituir 99 cadeias de isolador em 29 estruturas da LT 138 kV C.GRANDE II /SANTA CRUZ II C-1 PB/RN-03L1 (204;205;206;207;208;209;210;211;212;213;214;215;216;217;218;219;220;221;222;223;224;225;226;227;228;229;230;231;232).</t>
  </si>
  <si>
    <t>0007711/2022</t>
  </si>
  <si>
    <t>cgdstd-03l1-cade-07</t>
  </si>
  <si>
    <t>Substituir 99 cadeias de isolador em 29 estruturas da LT 138 kV C.GRANDE II /SANTA CRUZ II C-1 PB/RN-03L1 (233;234;235;236;237;238;239;240;241;242;243;244;245;246;247;248;249;250;251;252;253;254;255;256;257;258;259;260;261).</t>
  </si>
  <si>
    <t>0007714/2022</t>
  </si>
  <si>
    <t>cgdstd-03l1-cade-08</t>
  </si>
  <si>
    <t>Substituir 24 cadeias de isolador em 8 estruturas da LT 230 kV CAMACARI II /G.MANGABEIRA C-1 BA-04C7 (004/2;007/1;007/2;007/3;063/1;063/2;064/2;064/3).</t>
  </si>
  <si>
    <t>0007715/2022</t>
  </si>
  <si>
    <t>cmdgvm-04c7-cade-01</t>
  </si>
  <si>
    <t>LT 230 kV DELM. GOUVEIA /FORTALEZA II CE</t>
  </si>
  <si>
    <t>Substituir 117 cadeias de isolador em 15 estruturas da LT 230 kV DELM. GOUVEIA /FORTALEZA II C-1 CE-04F4 (006/4;006/5;006/6;006/7;006/8;006/9;007/1;007/2;007/3;007/4;007/5;007/6;007/7;007/8;008/1).</t>
  </si>
  <si>
    <t>0007716/2022</t>
  </si>
  <si>
    <t>dmgfzd-04f4-cade-01</t>
  </si>
  <si>
    <t>Substituir 3 cadeias de isolador em 1 estrutura(s) da LT 230 kV CAMACARI II /MATATU C-1 BA-04M7 (014/1).</t>
  </si>
  <si>
    <t>0007718/2022</t>
  </si>
  <si>
    <t>cmdmtt-04m7-cade-01</t>
  </si>
  <si>
    <t>LT 230 kV QUIXERE /MOSSORO II CE/RN</t>
  </si>
  <si>
    <t>Substituir 15 cadeias de isolador em 5 estruturas da LT 230 kV QUIXERE /MOSSORO II C-1 CE/RN-04L1 (027/3;030/2;045/2;050/3;054/3).</t>
  </si>
  <si>
    <t>LT 230 kV QUIXERE /MOSSORO II C-1 CE/RN</t>
  </si>
  <si>
    <t>0007720/2022</t>
  </si>
  <si>
    <t>qxrmsd-04l1-cade-01</t>
  </si>
  <si>
    <t>LT 138 kV PILOES /PARAISO PB/RN</t>
  </si>
  <si>
    <t>Substituir 111 cadeias de isolador em 29 estruturas da LT 138 kV PILOES /PARAISO C-1 PB/RN-03M3 (353;354;355;356;357;358;359;360;361;362;363;364;365;366;367;368;369;370;371;372;373;374;375;376;377;378;379;380;381).</t>
  </si>
  <si>
    <t>LT 138 kV PILOES /PARAISO C-1 PB/RN</t>
  </si>
  <si>
    <t>0007721/2022</t>
  </si>
  <si>
    <t>pldprs-03m3-cade-01</t>
  </si>
  <si>
    <t>Substituir 12 cadeias de isolador em 4 estruturas da LT 230 kV COTEGIPE /MATATU C-1 BA-04L4 (15;19;20;65).</t>
  </si>
  <si>
    <t>0007722/2022</t>
  </si>
  <si>
    <t>ctgmtt-04l4-cade-01</t>
  </si>
  <si>
    <t>LT 230 kV RUSSAS II /QUIXERE CE</t>
  </si>
  <si>
    <t>Substituir 9 cadeias de isolador em 3 estruturas da LT 230 kV RUSSAS II /QUIXERE C-1 CE-04C2 (004/3;005/5;018/2).</t>
  </si>
  <si>
    <t>LT 230 kV RUSSAS II /QUIXERE C-1 CE</t>
  </si>
  <si>
    <t>0007723/2022</t>
  </si>
  <si>
    <t>rsdqxr-04c2-cade-01</t>
  </si>
  <si>
    <t>Substituir 117 cadeias de isolador em 29 estruturas da LT 138 kV PILOES /PARAISO C-1 PB/RN-03M3 (382;383;384;385;386;387;388;389;390;391;392;393;394;395;396;397;398;399;400;401;402;403;404;405;406;407;408;409;410).</t>
  </si>
  <si>
    <t>0007725/2022</t>
  </si>
  <si>
    <t>pldprs-03m3-cade-02</t>
  </si>
  <si>
    <t>Substituir 75 cadeias de isolador em 17 estruturas da LT 138 kV PILOES /PARAISO C-1 PB/RN-03M3 (411;412;413;414;415;416;417;418;419;420;421;422;423;424;425;426;PLD).</t>
  </si>
  <si>
    <t>0007728/2022</t>
  </si>
  <si>
    <t>pldprs-03m3-cade-03</t>
  </si>
  <si>
    <t>Substituir 136 cadeias de isolador em 34 estruturas da LT 500 kV P. AFONSO IV /ANGELIM II C-1 BA/PE-05L6 (180/2;181/1;181/2;182/1;182/2;183/1;183/2;183/3;184/1;184/2;185/1;185/2;186/1;186/2;187/1;187/2;187/3;188/1;188/2;189/1;189/2;190/1;190/2;191/1;191/2;192/1;192/2;193/1;193/2;194/1;194/2;195/1;195/2;195/3).</t>
  </si>
  <si>
    <t>0007729/2022</t>
  </si>
  <si>
    <t>LT 230 kV ICO /MILAGRES CE</t>
  </si>
  <si>
    <t>Substituir 165 cadeias de isolador em 35 estruturas da LT 230 kV ICO /MILAGRES C-1 CE-04M2 (001/1;001/2;001/3;001/4;002/1;002/2;002/3;003/1;003/2;004/1;004/2;005/1;005/2;006/1;006/2;007/1;007/2;008/1;008/2;009/1;009/2;009/3;010/1;011/1;011/2;012/1;012/2;013/1;013/2;014/1;014/2;015/1;015/2;015/3;016/1).</t>
  </si>
  <si>
    <t>LT 230 kV ICO /MILAGRES C-1 CE</t>
  </si>
  <si>
    <t>0007730/2022</t>
  </si>
  <si>
    <t>icomlg-04m2-cade-01</t>
  </si>
  <si>
    <t>Substituir 165 cadeias de isolador em 35 estruturas da LT 230 kV ICO /MILAGRES C-1 CE-04M2 (017/1;017/2;017/3;018/1;018/2;019/1;019/2;020/1;020/2;020/3;021/1;021/2;021/3;022/1;023/1;023/2;023/3;024/1;024/2;024/3;025/1;026/1;026/2;027/1;027/2;028/1;028/2;029/1;029/2;029/3;030/1;030/2;030/3;031/1;031/2).</t>
  </si>
  <si>
    <t>0007732/2022</t>
  </si>
  <si>
    <t>icomlg-04m2-cade-02</t>
  </si>
  <si>
    <t>Substituir 119 cadeias de isolador em 35 estruturas da LT 230 kV ANGELIM /RIBEIRAO C-2 PE-04S2 (315/2;316/1;316/2;317/1;318/1;318/2;319/1;319/2;320/1;320/2;321/1;321/2;322/1;322/2;322/3;323/1;323/2;324/1;324/2;324/3;325/1;325/2;325/3;326/1;326/2;327/1;327/2;327/3;328/1;328/2;329/1;329/2;330/1;330/2;331/1).</t>
  </si>
  <si>
    <t>0007733/2022</t>
  </si>
  <si>
    <t>LT 230 kV C.GRANDE II /COTEMINAS PB</t>
  </si>
  <si>
    <t>Substituir 108 cadeias de isolador em 11 estruturas da LT 230 kV C.GRANDE II /COTEMINAS C-1 PB-04C3 (CGD;127/1;126/3;126/2;126/1;125/2;125/1;124/4;124/4A;124/4B;CTM).</t>
  </si>
  <si>
    <t>LT 230 kV C.GRANDE II /COTEMINAS C-1 PB</t>
  </si>
  <si>
    <t>0007735/2022</t>
  </si>
  <si>
    <t>cgdctm-04c3-cade-01</t>
  </si>
  <si>
    <t>Substituir 117 cadeias de isolador em 35 estruturas da LT 230 kV ICO /MILAGRES C-1 CE-04M2 (032/1;032/2;033/1;033/2;033/3;034/1;034/2;035/1;035/2;035/3;036/1;036/2;037/1;037/2;038/1;038/2;039/1;039/2;040/1;040/2;040/3;041/1;041/2;041/3;042/1;042/2;043/1;043/2;044/1;044/2;044/3;045/1;045/2;045/3;046/1).</t>
  </si>
  <si>
    <t>0007736/2022</t>
  </si>
  <si>
    <t>icomlg-04m2-cade-03</t>
  </si>
  <si>
    <t>Substituir 12 cadeias de isolador em 4 estruturas da LT 230 kV CAUIPE /SOBRAL II C-1 CE-04S2 (167/2;168/1;168/2;168/3).</t>
  </si>
  <si>
    <t>0007737/2022</t>
  </si>
  <si>
    <t>LT 230 kV PIRAPAMA II /SUAPE II PE</t>
  </si>
  <si>
    <t>Substituir 120 cadeias de isolador em 12 estruturas da LT 230 kV PIRAPAMA II /SUAPE II C-1 PE-04Z7 (002/2;002/3;008/1;009/1;010/2;011/3;013/1;015/1;017/1;018/1;018/2;018/3).</t>
  </si>
  <si>
    <t>LT 230 kV PIRAPAMA II /SUAPE II C-1 PE</t>
  </si>
  <si>
    <t>0007738/2022</t>
  </si>
  <si>
    <t>prdsud-04z7-cade-01</t>
  </si>
  <si>
    <t>Substituir 153 cadeias de isolador em 35 estruturas da LT 230 kV ICO /MILAGRES C-1 CE-04M2 (046/2;047/1;047/2;048/1;048/2;048/3;049/1;049/2;050/1;050/2;051/1;051/2;052/1;052/2;053/1;054/1;054/2;055/1;055/2;055/3;056/1;056/2;057/1;057/2;057/3;058/1;058/2;059/1;059/2;060/1;060/2;061/1;061/2;061/3;062/1).</t>
  </si>
  <si>
    <t>0007739/2022</t>
  </si>
  <si>
    <t>icomlg-04m2-cade-04</t>
  </si>
  <si>
    <t>Substituir 156 cadeias de isolador em 15 estruturas da LT 230 kV PIRAPAMA II /SUAPE II C-2 PE-04Z8 (001/1;002/2;002/3;004/1;005/1;008/1;009/1;010/2;011/1;011/3;013/1;015/1;017/1;018/1;018/2).</t>
  </si>
  <si>
    <t>LT 230 kV PIRAPAMA II /SUAPE II C-2 PE</t>
  </si>
  <si>
    <t>0007742/2022</t>
  </si>
  <si>
    <t>prdsud-04z8-cade-01</t>
  </si>
  <si>
    <t>Substituir 129 cadeias de isolador em 35 estruturas da LT 230 kV ICO /MILAGRES C-1 CE-04M2 (062/2;063/1;063/2;064/1;064/2;064/3;065/1;065/2;065/3;066/1;066/2;067/1;067/2;068/1;069/1;069/2;070/1;070/2;070/3;071/1;071/2;071/3;072/1;072/2;073/1;073/2;074/1;074/2;074/3;075/1;075/2;076/1;076/2;077/1;077/2).</t>
  </si>
  <si>
    <t>0007743/2022</t>
  </si>
  <si>
    <t>icomlg-04m2-cade-05</t>
  </si>
  <si>
    <t>Substituir 165 cadeias de isolador em 37 estruturas da LT 230 kV TACAIMBO /C.GRANDE II C-1 PE/PB-04C1 (000/1;000/2;001/1;001/2;001/2A;001/2B;002/2;002/3;002/5;003/1;003/2;004/1;004/2;004/3;005/1;005/2;005/3;005/4;006/2;006/3;006/4;007/1;007/2;007/3;007/4;008/1;010/1;010/2;010/3;011/1;011/2;011/3;012/1;012/2;042/2;043/1;TAC).</t>
  </si>
  <si>
    <t>0007745/2022</t>
  </si>
  <si>
    <t>taccgd-04c1-cade-01</t>
  </si>
  <si>
    <t>Substituir 249 cadeias de isolador em 35 estruturas da LT 230 kV ICO /MILAGRES C-1 CE-04M2 (078/1;078/2;078/3;079/1;079/2;080/1;080/2;081/1;081/2;081/3;082/1;083/1;083/2;083/3;084/1;084/2;085/1;085/2;086/1;087/1;087/2;087/3;088/1;088/2;089/1;089/2;090/1;090/2;091/1;091/2;091/3;092/1;092/2;093/1;093/2).</t>
  </si>
  <si>
    <t>0007746/2022</t>
  </si>
  <si>
    <t>icomlg-04m2-cade-06</t>
  </si>
  <si>
    <t>Substituir 120 cadeias de isolador em 34 estruturas da LT 230 kV TACAIMBO /C.GRANDE II C-1 PE/PB-04C1 (012/3;012/4;013/1;013/2;013/3;013/4;014/1;014/2;014/3;015/1;015/2;015/3;016/1;016/2;016/3;017/1;017/2;017/3;017/4;018/1;018/2;018/3;020/2;020/3;021/1;021/2;021/3;021/4;022/1;022/2;022/3;023/1;023/2;023/3).</t>
  </si>
  <si>
    <t>0007749/2022</t>
  </si>
  <si>
    <t>taccgd-04c1-cade-02</t>
  </si>
  <si>
    <t>Substituir 90 cadeias de isolador em 22 estruturas da LT 230 kV ICO /MILAGRES C-1 CE-04M2 (094/1;094/2;095/1;095/2;095/3;096/1;096/2;096/3;097/1;097/2;098/1;098/2;099/1;099/2;100/1;100/2;100/3;101/1;101/2;102/1;102/2;102/3).</t>
  </si>
  <si>
    <t>0007750/2022</t>
  </si>
  <si>
    <t>icomlg-04m2-cade-07</t>
  </si>
  <si>
    <t>Substituir 99 cadeias de isolador em 32 estruturas da LT 500 kV SOBRAL III /PECEM II C-1 CE-05V7 (118/1;118/2;119/1;120/1;120/2;121/1;121/2;122/1;122/2;123/1;123/2;124/1;124/2;125/1;125/2;126/1;126/2;128/1;128/2;129/1;129/2;130/1;130/2;132/1;132/2;133/1;133/2;134/1;134/2;135/2;136/1;137/1).</t>
  </si>
  <si>
    <t>0007751/2022</t>
  </si>
  <si>
    <t>Substituir 315 cadeias de isolador em 34 estruturas da LT 230 kV BOM NOME /MILAGRES C-3 PE/CE-04L3 (039/2;040/1;040/2;041/1;041/2;041/3;041/4;042/1;042/2;043/1;043/2;044/1;044/2;045/1;045/2;046/1;046/2;046/3;047/1;047/2;048/1;049/1;049/2;049/3;050/1;050/2;050/3;051/1;051/2;051/3;052/1;052/2;053/1;053/2).</t>
  </si>
  <si>
    <t>0007753/2022</t>
  </si>
  <si>
    <t>Substituição de 60 cadeias de isolador em 17 estruturas da LT 230 kV IBIAPINA II /SOBRAL II C-1 CE-04L1 (019/1;028/1;033/2;037/3;040/1;041/1;041/2;042/1;043/1;046/1;046/2;062/1;071/2;091/2;091/3;092/2;102/1) (antigas 083/2;092/2;097/3;102/1;104/2;105/1;105/2;106/2;107/1;110/2;111/1;126/2;136/1;156/1;156/2;157/2;167/1).</t>
  </si>
  <si>
    <t>0007757/2022</t>
  </si>
  <si>
    <t>ibdsbd-04l1-cade-01</t>
  </si>
  <si>
    <t>Substituir 189 cadeias de isolador em 63 estruturas da LT 230 kV RIBEIRAO /RECIFE II C-1 PE-04M1 (013/1;016/1;016/2;017/1;017/2;018/1;018/2;018/3;019/1;019/2;023/3;024/1;024/2;026/1;027/1;027/2;027/3;028/1;029/1;029/2;030/1;030/2;031/2;034/2;035/1;037/1;037/2;037/3;038/1;039/1;040/1;040/2;041/2;042/1;042/3;043/1;043/2;043/3;044/2;045/2;046/1;047/1;047/2;048/1;048/2;049/1;050/1;050/2;050/3;051/1;051/2;051/3;052/1;052/2;052/3;053/1;053/2;053/3;054/1;054/2;055/1;055/2;056/2).</t>
  </si>
  <si>
    <t>0007762/2022</t>
  </si>
  <si>
    <t>rcdrib-04m1-cade-01</t>
  </si>
  <si>
    <t>Substituir 10080 m de fios contrapeso de mesmo material em 63 estrutura(s) da LT 230 kV RIBEIRAO /RECIFE II C-1 PE-04M1 (013/1;016/1;016/2;017/1;017/2;018/1;018/2;018/3;019/1;019/2;023/3;024/1;024/2;026/1;027/1;027/2;027/3;028/1;029/1;029/2;030/1;030/2;031/2;034/2;035/1;037/1;037/2;037/3;038/1;039/1;040/1;040/2;041/2;042/1;042/3;043/1;043/2;043/3;044/2;045/2;046/1;047/1;047/2;048/1;048/2;049/1;050/1;050/2;050/3;051/1;051/2;051/3;052/1;052/2;052/3;053/1;053/2;053/3;054/1;054/2;055/1;055/2;056/2).</t>
  </si>
  <si>
    <t>0007764/2022</t>
  </si>
  <si>
    <t>rcdrib-04m1-atrl-01</t>
  </si>
  <si>
    <t>Substituir 6776 m de fios contrapeso em 15 estrutura(s) da LT 230 kV IBIAPINA II /SOBRAL II C-1 CE-04L1 (092/2;097/3;102/1;104/2;105/1;105/2;106/2;107/1;110/2;111/1;126/2;156/1;156/2;157/2;167/1) (antigas ;028/1;033/2;037/3;040/1;041/1;041/2;042/1;043/1;046/1;046/2;062/1;091/2;091/3;092/2;102/1).</t>
  </si>
  <si>
    <t>0007767/2022</t>
  </si>
  <si>
    <t>ibdsbd-04l1-atrl-01</t>
  </si>
  <si>
    <t>Substituir 228 cadeias de isolador em 32 estruturas da LT 500 kV MILAGRES /QUIXADA C-1 CE-05V3 (148/2;152/1;152/2;153/1;154/2;156/1;156/2;160/1;160/2;160/3;161/1;169/1;169/2;170/1;174/1;174/2;177/1;177/2;178/1;178/2;179/1;179/2;180/1;180/2;180/3;181/1;181/2;181/3;182/1;182/2;183/1;183/2).</t>
  </si>
  <si>
    <t>0007768/2022</t>
  </si>
  <si>
    <t>mlgqxa-05v3-cade-01</t>
  </si>
  <si>
    <t>Substituir 111 cadeias de isolador em 37 estrutura(s) da LT 500 kV OLINDINA /US. L.GONZAGA C-1 BA/PE-05S4 (227/2;227/3;228/1;228/2;228/3;228/4;229/1;229/3;230/1;230/2;230/3;231/1;231/2;231/3;232/1;232/2;233/2;233/3;234/1;234/2;234/3;235/1;235/2;235/3;236/1;236/2;236/4;237/1;237/2;237/3;238/1;238/2;238/3;239/1;239/2;239/4;241/1).</t>
  </si>
  <si>
    <t>0007769/2022</t>
  </si>
  <si>
    <t>Substituir 207 cadeias de isolador em 33 estruturas da LT 500 kV MILAGRES /QUIXADA C-1 CE-05V3 (184/1;184/2;185/1;185/2;186/1;186/2;187/2;188/1;188/2;189/1;189/2;190/1;190/2;191/1;191/2;192/1;192/2;193/1;193/2;194/1;194/2;194/3;195/1;196/1;196/2;197/1;197/2;198/1;198/2;199/1;199/2;200/1;200/2).</t>
  </si>
  <si>
    <t>0007770/2022</t>
  </si>
  <si>
    <t>mlgqxa-05v3-cade-02</t>
  </si>
  <si>
    <t>Substituir 207 cadeias de isolador em 32 estruturas da LT 500 kV MILAGRES /QUIXADA C-1 CE-05V3 (201/1;201/2;202/1;202/2;203/1;203/2;204/1;204/2;205/1;205/2;206/1;206/2;206/3;207/1;207/2;208/1;208/2;209/1;209/2;210/1;210/2;211/1;211/2;212/1;212/2;213/1;213/2;214/1;214/2;215/1;215/2;216/1).</t>
  </si>
  <si>
    <t>0007773/2022</t>
  </si>
  <si>
    <t>mlgqxa-05v3-cade-03</t>
  </si>
  <si>
    <t>Substituir 207 cadeias de isolador em 60 estrutura(s) da LT 230 kV SANTANA II /ANGELIM C-1 AL/PE-04Z9 (164/2;164/4;165/1;165/2;166/3;167/1;167/2;168/1;168/2;169/2;169/3;170/1;174/1;174/2;176/2;176/3;179/1;180/1;181/2;182/2;183/1;183/2;184/1;184/4;185/2;186/1;186/2;187/1;187/2;188/1;188/2;189/2;191/1;191/2;192/1;192/2;193/1;193/2;194/1;195/1;196/1;196/2;196/3;197/1;197/2;198/2;200/1;200/2;200/3;203/1;203/2;204/1;204/2;204/3;205/1;206/1;207/1;208/2;208/3;221/1).</t>
  </si>
  <si>
    <t>0007774/2022</t>
  </si>
  <si>
    <t>Substituir 282 cadeias de isolador em 31 estruturas da LT 500 kV MILAGRES /QUIXADA C-1 CE-05V3 (216/2;217/1;217/2;218/1;218/2;219/1;219/2;220/1;220/2;220/3;225/1;225/2;226/1;227/1;227/2;226/2;228/1;228/2;228/3;229/1;230/1;230/2;231/1;231/2;231/3;232/1;232/2;233/1;234/1;234/2;235/2).</t>
  </si>
  <si>
    <t>0007775/2022</t>
  </si>
  <si>
    <t>mlgqxa-05v3-cade-04</t>
  </si>
  <si>
    <t>Substituir 225 cadeias de isolador em 32 estruturas da LT 500 kV MILAGRES /QUIXADA C-1 CE-05V3 (236/1;236/2;237/1;239/1;239/2;240/1;243/2;244/1;244/2;245/1;245/2;246/1;246/2;247/1;247/2;248/1;248/2;249/1;249/2;250/1;250/2;254/1;254/2;255/1;255/2;256/1;256/2;257/1;257/2;258/1;258/2;259/1).</t>
  </si>
  <si>
    <t>0007777/2022</t>
  </si>
  <si>
    <t>mlgqxa-05v3-cade-05</t>
  </si>
  <si>
    <t>Substituir 117 cadeias de isolador em 15 estruturas da LT 230 kV DELM. GOUVEIA /FORTALEZA II C-2 CE-04F5 (006/4;006/5;006/6;006/7;006/8;006/9;007/1;007/2;007/3;007/4;007/5;007/6;007/7;007/8;008/1).</t>
  </si>
  <si>
    <t>0007790/2022</t>
  </si>
  <si>
    <t>dmgfzd-04f5-cade-01</t>
  </si>
  <si>
    <t>Substituir 134 cadeias de isolador em 34 estruturas da LT 230 kV MILAGRES /COREMAS C-1 CE/PB-04M6 (001/2;001/3;002/1;003/1;003/2;010/2;017/1;021/1;022/1;022/2;023/2;024/1;026/1;026/2;027/1;028/2;029/1;031/1;032/2;036/1;036/2;037/1;037/2;038/1;039/1;040/3;044/1;044/2;045/1;045/2;046/1;059/1;082/1;083/2).</t>
  </si>
  <si>
    <t>0007794/2022</t>
  </si>
  <si>
    <t>mlgcma-04m6-cade-01</t>
  </si>
  <si>
    <t>Substituição dos painéis de SPCS do Paralelismo dos transformadores AT1, e AT2 500/230 kV instalados na casa de relés da Eletronorte-MBMG7-01</t>
  </si>
  <si>
    <t>0007823/2022</t>
  </si>
  <si>
    <t>MBMG7-01</t>
  </si>
  <si>
    <t>0007856/2022</t>
  </si>
  <si>
    <t>0007859/2022</t>
  </si>
  <si>
    <t>0007871/2022</t>
  </si>
  <si>
    <t>0007873/2022</t>
  </si>
  <si>
    <t>MOSSORO II</t>
  </si>
  <si>
    <t>Substituição do transdutor de TAP por um conjunto de indicação de posição do Trafo 04T1, na subestação MOSSORO II, composto por: 01 Painel e 01 Transdutor.</t>
  </si>
  <si>
    <t>TR 230/69 kV MOSSORO II TR1 RN</t>
  </si>
  <si>
    <t>0007937/2022</t>
  </si>
  <si>
    <t>12445701</t>
  </si>
  <si>
    <t>Substituição do SISTEMA DE PROTEÇÃO, MEDIÇÃO E AUTOMAÇÃO da IB 02D1 da SE Banabuiú, composto por: 01 painel, 02 relés digitais e cabos de controle associados.</t>
  </si>
  <si>
    <t>IB 69 kV MG 230 kV BANABUIU MG1 CE IB1 (12D1)</t>
  </si>
  <si>
    <t>0007940/2022</t>
  </si>
  <si>
    <t>11360976</t>
  </si>
  <si>
    <t>Substituição do SISTEMA DE PROTEÇÃO, MEDIÇÃO E AUTOMAÇÃO da EL 02J5 da SE Banabuiú, composto por: 01 painel, 02 relés digitais e cabos de controle associados.</t>
  </si>
  <si>
    <t>EL 69 kV BANABUIU DIST2 (12J5)</t>
  </si>
  <si>
    <t>0007941/2022</t>
  </si>
  <si>
    <t>11366718</t>
  </si>
  <si>
    <t>Substituição do SISTEMA DE PROTEÇÃO, MEDIÇÃO E AUTOMAÇÃO da EL 02J4 da SE Banabuiú, composto por: 01 painel, 02 relés digitais e cabos de controle associados.</t>
  </si>
  <si>
    <t>EL 69 kV BANABUIU DIST3 (12J4)</t>
  </si>
  <si>
    <t>0007942/2022</t>
  </si>
  <si>
    <t>11351202</t>
  </si>
  <si>
    <t>Substituição do SISTEMA DE PROTEÇÃO, MEDIÇÃO E AUTOMAÇÃO da EL 02J3 da SE Banabuiú, composto por: 01 painel, 02 relés digitais e cabos de controle associados.</t>
  </si>
  <si>
    <t>EL 69 kV BANABUIU DIST4 (12J3)</t>
  </si>
  <si>
    <t>0007945/2022</t>
  </si>
  <si>
    <t>11351206</t>
  </si>
  <si>
    <t>SUBSTITUIÇÃO DO DISJUNTOR DO VCDJ6-10 AUTOTRANSFORMADOR VCAT7-01.</t>
  </si>
  <si>
    <t>0007989/2022</t>
  </si>
  <si>
    <t>VCDJ6-10</t>
  </si>
  <si>
    <t>SUBSTITUIÇÃO DO DISJUNTOR A SF6 230 kV - VCDJ6-12</t>
  </si>
  <si>
    <t>LT 230 kV ALBRAS /VILA DO CONDE C-2 PA</t>
  </si>
  <si>
    <t>0008010/2022</t>
  </si>
  <si>
    <t>VCDJ6-12</t>
  </si>
  <si>
    <t>SUBSTITUIÇÃO DO DISJUNTOR VCDJ6-25 DO AUTOTRANSFORMADOR VCAT6-01.</t>
  </si>
  <si>
    <t>0008020/2022</t>
  </si>
  <si>
    <t>VCDJ6-25</t>
  </si>
  <si>
    <t>SUBSTITUIÇÃO DO DISJUNTOR VCDJ6-27 DO AUTOTRANSFORMADOR VCAT6-01.</t>
  </si>
  <si>
    <t>LT 230 kV VILA DO CONDE/GUAMA C-1 PA</t>
  </si>
  <si>
    <t>0008025/2022</t>
  </si>
  <si>
    <t>VCDJ6-27</t>
  </si>
  <si>
    <t>SUBSTITUIÇÃO DO DISJUNTOR LDDB6-02 DE ACIONAMENTO PNEUMÁTICO.</t>
  </si>
  <si>
    <t>0008057/2022</t>
  </si>
  <si>
    <t>MG701-IB230IB2-LDDB602</t>
  </si>
  <si>
    <t>SUBSTITUIÇÃO DO DISJUNTOR LDDJ6-04 DE ACIONAMENTO PNEUMÁTICO.</t>
  </si>
  <si>
    <t>0008059/2022</t>
  </si>
  <si>
    <t>MC230-DJ604</t>
  </si>
  <si>
    <t>SUBSTITUIÇÃO DO DISJUNTOR LDDJ6-08 DE ACIONAMENTO PNEUMÁTICO.</t>
  </si>
  <si>
    <t>0008063/2022</t>
  </si>
  <si>
    <t>MC230-DJ608</t>
  </si>
  <si>
    <t>SUBSTITUIÇÃO DO DISJUNTOR LDDJ6-16</t>
  </si>
  <si>
    <t>0008066/2022</t>
  </si>
  <si>
    <t>ELLD-LDDJ616</t>
  </si>
  <si>
    <t>SUBSTITUIÇÃO DO DISJUNTOR LDDJ6-18</t>
  </si>
  <si>
    <t>0008069/2022</t>
  </si>
  <si>
    <t>ELLD-LDDJ618</t>
  </si>
  <si>
    <t>SUBSTITUIÇÃO DO DISJUNTOR IZDJ6-06</t>
  </si>
  <si>
    <t>0008074/2022</t>
  </si>
  <si>
    <t>MC230-IZDJ606</t>
  </si>
  <si>
    <t>SUBSTITUIÇÃO DO DISJUNTOR VCDJ6-29 DO MODULO GERAL MÓDULO GERAL 230 kV SEVC - VÃO C</t>
  </si>
  <si>
    <t>0008091/2022</t>
  </si>
  <si>
    <t>VCDJ6-30</t>
  </si>
  <si>
    <t>SUBSTITUIÇÃO DO DISJUNTOR MBDJ4-02 DA LINHA MARABÁ - NOVA JACUNDÁ LI-NJMB-LI4-01</t>
  </si>
  <si>
    <t>EL 69 kV MARABA DIST2</t>
  </si>
  <si>
    <t>0008683/2022</t>
  </si>
  <si>
    <t>MBDJ4-02</t>
  </si>
  <si>
    <t>SUBSTITUIÇÃO DO SECCIONADOR SC2011 - 13,8KV</t>
  </si>
  <si>
    <t>0007301/2023</t>
  </si>
  <si>
    <t>SUBSTITUIÇÃO DO SECCIONADOR SC2301 - 13,8KV</t>
  </si>
  <si>
    <t>0007302/2023</t>
  </si>
  <si>
    <t>SC2301</t>
  </si>
  <si>
    <t>SUBSTITUIÇÃO DO SECCIONADOR SC2341 - 13,8KV</t>
  </si>
  <si>
    <t>0007305/2023</t>
  </si>
  <si>
    <t>SC2341</t>
  </si>
  <si>
    <t>SUBSTITUIÇÃO DO SECCIONADOR SC2371 - 13,8KV</t>
  </si>
  <si>
    <t>0007306/2023</t>
  </si>
  <si>
    <t>SC2371</t>
  </si>
  <si>
    <t>SUBSTITUIÇÃO DO SECCIONADOR SC2021 - 13,8KV</t>
  </si>
  <si>
    <t>0007309/2023</t>
  </si>
  <si>
    <t>SUBSTITUIÇÃO DO SECCIONADOR SC2351 - 13,8KV</t>
  </si>
  <si>
    <t>0007310/2023</t>
  </si>
  <si>
    <t>SC2351</t>
  </si>
  <si>
    <t>SUBSTITUIÇÃO DO SECCIONADOR SC2361 - 13,8KV</t>
  </si>
  <si>
    <t>0007313/2023</t>
  </si>
  <si>
    <t>SC2361</t>
  </si>
  <si>
    <t>SUBSTITUIÇÃO DO SECCIONADOR SC2381 - 13,8KV</t>
  </si>
  <si>
    <t>0007314/2023</t>
  </si>
  <si>
    <t>SC2381</t>
  </si>
  <si>
    <t>SUBSTITUIÇÃO DO SECCIONADOR SC2391 - 13,8KV</t>
  </si>
  <si>
    <t>0007315/2023</t>
  </si>
  <si>
    <t>SC2391</t>
  </si>
  <si>
    <t>SUBSTITUIÇÃO DO SECCIONADOR SC2331 - 13,8KV</t>
  </si>
  <si>
    <t>0007316/2023</t>
  </si>
  <si>
    <t>SC2331</t>
  </si>
  <si>
    <t>SUBSTITUIÇÃO DO CUBÍCULO DJ2336 - 13,8KV</t>
  </si>
  <si>
    <t>0007318/2023</t>
  </si>
  <si>
    <t>DJ2336</t>
  </si>
  <si>
    <t>SUBSTITUIÇÃO DO CUBÍCULO SC2541 - SETOR DE 500KV</t>
  </si>
  <si>
    <t>0007319/2023</t>
  </si>
  <si>
    <t>SC2541</t>
  </si>
  <si>
    <t>SUBSTITUIÇÃO DO CUBÍCULO SC2511 - SETOR DE 500KV</t>
  </si>
  <si>
    <t>0007320/2023</t>
  </si>
  <si>
    <t>SUBSTITUIÇÃO DO CUBÍCULO DJ2516 - SETOR DE 500KV</t>
  </si>
  <si>
    <t>0007321/2023</t>
  </si>
  <si>
    <t>DJ2516</t>
  </si>
  <si>
    <t>SUBSTITUIÇÃO DO CUBÍCULO DJ2526 - SETOR DE 500KV</t>
  </si>
  <si>
    <t>0007324/2023</t>
  </si>
  <si>
    <t>DJ2526</t>
  </si>
  <si>
    <t>SUBSTITUIÇÃO DO CUBÍCULO SC2515 - SETOR DE 500KV</t>
  </si>
  <si>
    <t>0007325/2023</t>
  </si>
  <si>
    <t>SC2515</t>
  </si>
  <si>
    <t>SUBSTITUIÇÃO DO CUBÍCULO DJ2566 - SETOR DE 500KV</t>
  </si>
  <si>
    <t>0007327/2023</t>
  </si>
  <si>
    <t>DJ2566</t>
  </si>
  <si>
    <t>SUBSTITUIÇÃO DO CUBÍCULO SC2525 - SETOR DE 500KV</t>
  </si>
  <si>
    <t>0007328/2023</t>
  </si>
  <si>
    <t>SC2525</t>
  </si>
  <si>
    <t>SUBSTITUIÇÃO DO CUBÍCULO DJ2536 - SETOR DE 500KV</t>
  </si>
  <si>
    <t>0007329/2023</t>
  </si>
  <si>
    <t>DJ2536</t>
  </si>
  <si>
    <t>SUBSTITUIÇÃO DO CUBÍCULO DJ2576 - SETOR DE 500KV</t>
  </si>
  <si>
    <t>0007330/2023</t>
  </si>
  <si>
    <t>DJ2576</t>
  </si>
  <si>
    <t>SUBSTITUIÇÃO DO CUBÍCULO SC2521 - SETOR DE 500KV</t>
  </si>
  <si>
    <t>0007332/2023</t>
  </si>
  <si>
    <t>SC2521</t>
  </si>
  <si>
    <t>SUBSTITUIÇÃO DO CUBÍCULO SC2551 - SETOR DE 500KV</t>
  </si>
  <si>
    <t>0007333/2023</t>
  </si>
  <si>
    <t>SC2551</t>
  </si>
  <si>
    <t>SUBSTITUIÇÃO DO PAINEL CENTRO DE CARGA 480V - SETOR 345KV - PAINEL DE DISTRIBUIÇÃO AC 480V DO SETOR 345KV DA SUBESTAÇÃO.</t>
  </si>
  <si>
    <t>0007334/2023</t>
  </si>
  <si>
    <t>CCA01 - SETOR 345KV</t>
  </si>
  <si>
    <t>SUBSTITUIÇÃO DO PAINEL CENTRO DE CARGA 480V - SALA DE CONTROLE - PAINEL DE DISTRIBUIÇÃO AC 480V DA SALA DE CONTROLE DA SUBESTAÇÃO.</t>
  </si>
  <si>
    <t>0007335/2023</t>
  </si>
  <si>
    <t>CCA02 - SALA CONTROLE</t>
  </si>
  <si>
    <t>SUBSTITUIÇÃO DO PAINEL CENTRO DE CARGA 480V - SETOR 230KV - PAINEL DE DISTRIBUIÇÃO AC 480V DO SETOR 230KV</t>
  </si>
  <si>
    <t>0007336/2023</t>
  </si>
  <si>
    <t>CCA03 - SETOR 230KV</t>
  </si>
  <si>
    <t>SUBSTITUIÇÃO DO PAINEL CENTRO DE CARGA 480V - SETOR 500KV - PAINEL DE DISTRIBUIÇÃO AC 480V DO SETOR 500KV DA SUBESTAÇÃO</t>
  </si>
  <si>
    <t>0007337/2023</t>
  </si>
  <si>
    <t>CCA04 - SETOR 500KV</t>
  </si>
  <si>
    <t>SUBSTITUIÇÃO DO SECCIONADOR SC2347 - 13,8KV</t>
  </si>
  <si>
    <t>0007338/2023</t>
  </si>
  <si>
    <t>SC2347</t>
  </si>
  <si>
    <t>SUBSTITUIÇÃO DO SECCIONADOR SC2357 - 13,8KV</t>
  </si>
  <si>
    <t>0007339/2023</t>
  </si>
  <si>
    <t>SC2357</t>
  </si>
  <si>
    <t>SUBSTITUIÇÃO DO SECCIONADOR SC2337 - - 13,8KV</t>
  </si>
  <si>
    <t>0007340/2023</t>
  </si>
  <si>
    <t>SC2337</t>
  </si>
  <si>
    <t>SUBSTITUIÇÃO DO TRANSFORMADOR TRTA50  - 13,8KV/480V</t>
  </si>
  <si>
    <t>0007342/2023</t>
  </si>
  <si>
    <t>TRTA50</t>
  </si>
  <si>
    <t>SUBSTITUIÇÃO DO TRANSFORMADOR TRTA53 - 13,8KV/480V</t>
  </si>
  <si>
    <t>0007343/2023</t>
  </si>
  <si>
    <t>TRTA53</t>
  </si>
  <si>
    <t>SUBSTITUIÇÃO DO TRANSFORMADOR DE ILUMINAÇÃO E FORÇA - TR-IL - 480/480V</t>
  </si>
  <si>
    <t>0007344/2023</t>
  </si>
  <si>
    <t>TR-IL</t>
  </si>
  <si>
    <t>SUBSTITUIÇÃO DO TRANSFORMADOR DE ILUMINAÇÃO E FORÇA - T-6-N - 480/220-127V</t>
  </si>
  <si>
    <t>0007346/2023</t>
  </si>
  <si>
    <t>T-6-N</t>
  </si>
  <si>
    <t>SUBSTITUIÇÃO DO TRANSFORMADOR DE ILUMINAÇÃO E FORÇA - T-10-L  - 480/220-127V</t>
  </si>
  <si>
    <t>0007347/2023</t>
  </si>
  <si>
    <t>T-10-L</t>
  </si>
  <si>
    <t>SUBSTITUIÇÃO DO TRANSFORMADOR DE ILUMINAÇÃO E FORÇA - T-13-G  - 480/220-127V</t>
  </si>
  <si>
    <t>0007348/2023</t>
  </si>
  <si>
    <t>T-13-G</t>
  </si>
  <si>
    <t>SUBSTITUIÇÃO DO TRANSFORMADOR DE ILUMINAÇÃO E FORÇA - TR1 - 480/220-127V</t>
  </si>
  <si>
    <t>0007349/2023</t>
  </si>
  <si>
    <t>TR1</t>
  </si>
  <si>
    <t>SUBSTITUIÇÃO DO TRANSFORMADOR DE ILUMINAÇÃO E FORÇA - TR2 - 480/220-127V</t>
  </si>
  <si>
    <t>0007350/2023</t>
  </si>
  <si>
    <t>TR2</t>
  </si>
  <si>
    <t>SUBSTITUIÇÃO DO TRANSFORMADOR DE ILUMINAÇÃO E FORÇA - TR4  - 480/220-127V</t>
  </si>
  <si>
    <t>0007351/2023</t>
  </si>
  <si>
    <t>Substituição do sistema de controle de paralelismo e regulação de tensão, na subestação RECIFE II, composto por: 05 Painel Exclusivo, 01 IHM, 02 CLP, 10 Distribuidor Ótico, 20 Conversor de Mídia Ethernet, 01 Módulos GPS, 10 Conversor Ótico, 05 Medidor, 13 Transdutor, 04 Switch Ethernet Dedicado, 04 Unidades de Aquisição.</t>
  </si>
  <si>
    <t>MG RECIFE II / CCO-2001-061 - RB</t>
  </si>
  <si>
    <t>0008286/2022</t>
  </si>
  <si>
    <t>11445854</t>
  </si>
  <si>
    <t>SUBSTITUIÇÃO DO TRANSFORMADOR DE ILUMINAÇÃO E FORÇA - TR-1 AR CONDICIONADO - 480/220-127V</t>
  </si>
  <si>
    <t>0007352/2023</t>
  </si>
  <si>
    <t>TR-1 AR CONDICIONADO</t>
  </si>
  <si>
    <t>SUBSTITUIÇÃO DO TRANSFORMADOR DE ILUMINAÇÃO E FORÇA - TR-2 AR CONDICIONADO - 480/220-127V</t>
  </si>
  <si>
    <t>0007353/2023</t>
  </si>
  <si>
    <t>TR-2 AR CONDICIONADO</t>
  </si>
  <si>
    <t>SUBSTITUIÇÃO DO TRANSFORMADOR DE ILUMINAÇÃO E FORÇA - TR-3 AR CONDICIONADO - 480/220-127V</t>
  </si>
  <si>
    <t>0007355/2023</t>
  </si>
  <si>
    <t>TR-3 AR CONDICIONADO</t>
  </si>
  <si>
    <t>JOAIRAM</t>
  </si>
  <si>
    <t>Substituição do sistema de controle de paralelismo e regulação de tensão, na subestação JOAIRAM, composto por: 01 Painel, 01 IHM, 01 CLP, 01 Medidor, 01 Módulo GPS, 01 Switch ethernet dedicado, 04 transdutores.</t>
  </si>
  <si>
    <t>MG JOAIRAM / CCO-2001-061 - RB</t>
  </si>
  <si>
    <t>0008290/2022</t>
  </si>
  <si>
    <t>11444039</t>
  </si>
  <si>
    <t>SUBSTITUIÇÃO DO RETIFICADOR - RF1 - 480V</t>
  </si>
  <si>
    <t>0007356/2023</t>
  </si>
  <si>
    <t>RF1</t>
  </si>
  <si>
    <t>SUBSTITUIÇÃO DO RETIFICADOR - RF2 - 480V</t>
  </si>
  <si>
    <t>0007359/2023</t>
  </si>
  <si>
    <t>RF2</t>
  </si>
  <si>
    <t>SUBSTITUIÇÃO DO PAINEL CC125-2 - 125VCC</t>
  </si>
  <si>
    <t>0007360/2023</t>
  </si>
  <si>
    <t>CC125-2</t>
  </si>
  <si>
    <t>SUBSTITUIÇÃO DO PAINEL CC125-3 - 125VCC</t>
  </si>
  <si>
    <t>0007361/2023</t>
  </si>
  <si>
    <t>CC125-3</t>
  </si>
  <si>
    <t>SUBSTITUIÇÃO DO PAINEL CC125-4 - 125VCC</t>
  </si>
  <si>
    <t>0007362/2023</t>
  </si>
  <si>
    <t>CC125-4</t>
  </si>
  <si>
    <t>Substituição do SISTEMA DE PROTEÇÃO, MEDIÇÃO E AUTOMAÇÃO da EL 02J6 da SE Banabuiú, composto por: 01 painel, 02 relés digitais e cabos de controle associados.</t>
  </si>
  <si>
    <t>EL 69 kV BANABUIU DIST1 (12J6)</t>
  </si>
  <si>
    <t>0008299/2022</t>
  </si>
  <si>
    <t>11351205</t>
  </si>
  <si>
    <t>SUBSTITUIÇÃO DO PAINEL CC125-5/A - 125VCC</t>
  </si>
  <si>
    <t>0007363/2023</t>
  </si>
  <si>
    <t>CC125-5/A</t>
  </si>
  <si>
    <t>SUBSTITUIÇÃO DO PAINEL CC125-5/B - 125VCC</t>
  </si>
  <si>
    <t>0007364/2023</t>
  </si>
  <si>
    <t>CC125-5/B</t>
  </si>
  <si>
    <t>SUBSTITUIÇÃO DO PAINEL CC125-6/A - 125VCC</t>
  </si>
  <si>
    <t>0007365/2023</t>
  </si>
  <si>
    <t>CC125-6/A</t>
  </si>
  <si>
    <t>SUBSTITUIÇÃO DO PAINEL CC125-6/B - 125VCC</t>
  </si>
  <si>
    <t>0007366/2023</t>
  </si>
  <si>
    <t>CC125-6/B</t>
  </si>
  <si>
    <t>SUBSTITUIÇÃO DO PAINEL CC125-7/A - 125VCC</t>
  </si>
  <si>
    <t>0007367/2023</t>
  </si>
  <si>
    <t>CC125-7/A</t>
  </si>
  <si>
    <t>SUBSTITUIÇÃO DO PAINEL CC125-7/B - 125VCC</t>
  </si>
  <si>
    <t>0007368/2023</t>
  </si>
  <si>
    <t>CC125-7/B</t>
  </si>
  <si>
    <t>SUBSTITUIÇÃO DO PAINEL CC125VCC - QDP</t>
  </si>
  <si>
    <t>0007369/2023</t>
  </si>
  <si>
    <t>QDP</t>
  </si>
  <si>
    <t>SUBSTITUIÇÃO DO PAINEL CC125-230KV  - 125VCC</t>
  </si>
  <si>
    <t>0007370/2023</t>
  </si>
  <si>
    <t>CC125-230KV</t>
  </si>
  <si>
    <t>SUBSTITUIÇÃO DO PAINEL CC125-345KV  - 125VCC</t>
  </si>
  <si>
    <t>0007371/2023</t>
  </si>
  <si>
    <t>CC125-345KV</t>
  </si>
  <si>
    <t>SUBSTITUIÇÃO DE DISJUNTOR PVO 13,8 kV DO COMPENSADORE SÍNCRONO.  - MBDJ2-04</t>
  </si>
  <si>
    <t>0008317/2022</t>
  </si>
  <si>
    <t>MBDJ2-04</t>
  </si>
  <si>
    <t>SUBSTITUIÇÃO DE DISJUNTOR PVO 13,8 kV DO COMPENSADOR SÍNCRONO - MBDJ2-07</t>
  </si>
  <si>
    <t>0008321/2022</t>
  </si>
  <si>
    <t>MBDJ2-07</t>
  </si>
  <si>
    <t>LT 230 kV ATLANTIDA 2 / GRAVATAI 3 C-1 RS</t>
  </si>
  <si>
    <t>Implantação de torre metálica na LT 230 kV Atlântida 2 - Gravataí 3 C-1. A nova torre será instalada no vão entre as atuais Torres 118 e 119.</t>
  </si>
  <si>
    <t>0008460/2022</t>
  </si>
  <si>
    <t>Torre</t>
  </si>
  <si>
    <t>Substituição de 03 (três) Transformador de Corrente 15kV -GMTF2-01</t>
  </si>
  <si>
    <t>TR 230/69 kV GUAMA TF1 PA</t>
  </si>
  <si>
    <t>0008493/2022</t>
  </si>
  <si>
    <t>GMTC2-01-A/B/V-GMTF2-01</t>
  </si>
  <si>
    <t>Substituição dos Registradores Digitais de Proteção e Módulos de Engenharia de Engenharia dos bancos de capacitores série.</t>
  </si>
  <si>
    <t>0008704/2022</t>
  </si>
  <si>
    <t>0008716/2022</t>
  </si>
  <si>
    <t>SUBSTITUIÇÃO DO DISJUNTOR TRIPOLAR LIDB4-01</t>
  </si>
  <si>
    <t>0008659/2022</t>
  </si>
  <si>
    <t>LIDB4-01</t>
  </si>
  <si>
    <t>Substituição da Seccionadora 500kV  MBSD7-09</t>
  </si>
  <si>
    <t>0008663/2022</t>
  </si>
  <si>
    <t>MBSD7-09</t>
  </si>
  <si>
    <t>SUBSTITUIÇÃO DE UM TRANSFORMADOR DE CORRENTE 500KV, FASE A, ASSOCIADO AO PDRE7-04</t>
  </si>
  <si>
    <t>0008739/2022</t>
  </si>
  <si>
    <t>PDRE704-TC701</t>
  </si>
  <si>
    <t>SUBSTITUIÇÃO DE UM TRANSFORMADOR DE CORRENTE DE 500 KV, FASE V ASSOCIADO AO REATOR PDRE7-06</t>
  </si>
  <si>
    <t>0008750/2022</t>
  </si>
  <si>
    <t>PDRE706-TC701</t>
  </si>
  <si>
    <t>Revitalização completa do disjuntor LDDJ6-03</t>
  </si>
  <si>
    <t>0008777/2022</t>
  </si>
  <si>
    <t>11909874</t>
  </si>
  <si>
    <t>Serviços de construção de uma variante para desvio das torres 379 e 380 da LT 230 kV Porto Velho Abunã C1
de área inundada devido a cota do reservatório da UHE Jirau, acima do especificado no Leilão da UHE.</t>
  </si>
  <si>
    <t>LT 230 kV PORTO VELHO /ABUNA C-1 RO</t>
  </si>
  <si>
    <t>0008818/2022</t>
  </si>
  <si>
    <t>PVAN-LT6-01</t>
  </si>
  <si>
    <t>Substituir 160 m de fios contrapeso de mesmo material em 1 estrutura(s) da LT 230 kV SAPEACU /FUNIL C-1 BA-04F1 (031/1).</t>
  </si>
  <si>
    <t>0008824/2022</t>
  </si>
  <si>
    <t>spufnl-04f1-atrl-01</t>
  </si>
  <si>
    <t>Substituição da Seccionadora 500kV  MBSR7-03</t>
  </si>
  <si>
    <t>0008828/2022</t>
  </si>
  <si>
    <t>MBSR7-03</t>
  </si>
  <si>
    <t>Substituir 160 m de fios contrapeso de mesmo material em 1 estrutura(s) da LT 230 kV CAMACARI II /MATATU C-1 BA-04M7 (014/1).</t>
  </si>
  <si>
    <t>0008829/2022</t>
  </si>
  <si>
    <t>cmdmtt-04m7-atrl-01</t>
  </si>
  <si>
    <t>Substituição da Seccionadora 500kV MBSD7-07</t>
  </si>
  <si>
    <t>0008838/2022</t>
  </si>
  <si>
    <t>MBSD7-07</t>
  </si>
  <si>
    <t>Substituir 800 m de fios contrapeso de mesmo material em 05 estrutura(s) da LT 230 kV P.AFONSO III /TACARUTU C-1 AL/PE-04F1 (014/3;013/1;014/1;014/2;018/2).</t>
  </si>
  <si>
    <t>0008843/2022</t>
  </si>
  <si>
    <t>paftat-04f1-atrl-01</t>
  </si>
  <si>
    <t>Substituir 640 m de fios contrapeso de mesmo material em 4 estrutura(s) da LT 230 kV COTEGIPE /MATATU C-1 BA-04L4 (15;19;20;65).</t>
  </si>
  <si>
    <t>0008847/2022</t>
  </si>
  <si>
    <t>ctgmtt-04l4-atrl-01</t>
  </si>
  <si>
    <t>Substituição das buchas do terciário (13,8kV) do autotransformador LDAT7-01, fase V de porcelana</t>
  </si>
  <si>
    <t>0008884/2022</t>
  </si>
  <si>
    <t>11986351</t>
  </si>
  <si>
    <t>Substituição da Chave Seccionadora IZSL7-03 por outra semelhante</t>
  </si>
  <si>
    <t>0008902/2022</t>
  </si>
  <si>
    <t>11909441</t>
  </si>
  <si>
    <t>Instalação de tubulação para drenagem de óleo do tanque do comutador do LDAT7-01, fase 'A'</t>
  </si>
  <si>
    <t>0008908/2022</t>
  </si>
  <si>
    <t>11986320</t>
  </si>
  <si>
    <t>Instalação de tubulação para drenagem de óleo do tanque do comutador do LDAT7-01, fase 'B'</t>
  </si>
  <si>
    <t>0008912/2022</t>
  </si>
  <si>
    <t>Instalação de tubulação para drenagem de óleo do tanque do comutador do LDAT7-01, fase 'V'</t>
  </si>
  <si>
    <t>0008914/2022</t>
  </si>
  <si>
    <t>Substituição da Chave Seccionadora PDSD7-22 por outra semelhante</t>
  </si>
  <si>
    <t>MG 500 kV P.DUTRA MG1 MA</t>
  </si>
  <si>
    <t>0008928/2022</t>
  </si>
  <si>
    <t>11911221</t>
  </si>
  <si>
    <t>Substituição do sistema de teleproteção (PP e PA) para a LT 230 kV RIO LARGO II /ARAPIRACA III C-1 AL (04F1), na subestação ARAPIRACA III, composto por: 01 Painel Exclusivo, 02 Transceptores.</t>
  </si>
  <si>
    <t>LT 230 kV RIO LARGO II /ARAPIRACA III C-1 AL</t>
  </si>
  <si>
    <t>0008933/2022</t>
  </si>
  <si>
    <t>11373897</t>
  </si>
  <si>
    <t>Substituição do sistema de teleproteção (PP e PA) para a LT 230 kV ARAPIRACA III /PENEDO C-1 AL (04S9), na subestação ARAPIRACA III, composto por: 01 Painel Exclusivo, 02 Transceptores.</t>
  </si>
  <si>
    <t>LT 230 kV ARAPIRACA III /PENEDO C-1 AL</t>
  </si>
  <si>
    <t>0008941/2022</t>
  </si>
  <si>
    <t>11373899</t>
  </si>
  <si>
    <t>Substituir 1280 m de fios contrapeso de mesmo material em 8 estrutura(s) da LT 230 kV CAMACARI II /G.MANGABEIRA C-1 BA-04C7 (004/2;007/1;007/2;007/3;063/1;063/2;064/2;064/3).</t>
  </si>
  <si>
    <t>0008953/2022</t>
  </si>
  <si>
    <t>cmdgvm-04c7-atrl-01</t>
  </si>
  <si>
    <t>Substituição do sistema de teleproteção (PP e PA) para a LT 230 kV ARAPIRACA III /PENEDO C-1 AL (04S9), na subestação PENEDO, composto por: 01 Painel Exclusivo, 02 Transceptores.</t>
  </si>
  <si>
    <t>0008959/2022</t>
  </si>
  <si>
    <t>11373901</t>
  </si>
  <si>
    <t>RIO LARGO II</t>
  </si>
  <si>
    <t>Substituição do sistema de teleproteção (PP e PA) para a LT 230 kV RIO LARGO II /ARAPIRACA III C-1 AL (04F1), na subestação RIO LARGO II, composto por: 01 Painel Exclusivo, 02 Transceptores, em substituição ao atual sistema de teleproteção (PP e PA).</t>
  </si>
  <si>
    <t>0008970/2022</t>
  </si>
  <si>
    <t>11373895</t>
  </si>
  <si>
    <t>Substituir estrutura metálica do compartimento de moto-ventiladores do sistema de resfriamento do Compensador Estático 01 - LDCE2-01</t>
  </si>
  <si>
    <t>CE 150/-100 MvAr SAO LUIS II CE1 MA</t>
  </si>
  <si>
    <t>0008979/2022</t>
  </si>
  <si>
    <t>LDCE2-01</t>
  </si>
  <si>
    <t>SUBSTITUIÇÃO DISJUNTOR PVO 13,8 kV DO COMPENSADOR SÍNCRONO - MBDJ2-05</t>
  </si>
  <si>
    <t>0008984/2022</t>
  </si>
  <si>
    <t>MBDJ2-05</t>
  </si>
  <si>
    <t>Substituição da Chave Seccionadora IZSD7-15 por outra semelhante</t>
  </si>
  <si>
    <t>0008994/2022</t>
  </si>
  <si>
    <t>11909386</t>
  </si>
  <si>
    <t>Substituição da proteção e controle do bay de interligação de barras IA e IIA (LDBR6-01/02), associadas ao disjuntor LDDB6-02</t>
  </si>
  <si>
    <t>0009031/2022</t>
  </si>
  <si>
    <t>N-S-MALD-MG701-IB230IB2-LDSPRDJ</t>
  </si>
  <si>
    <t>Substituição da proteção e controle do bay de interligação de barras IB e IIB (LDBR6-03/04), associadas ao disjuntor LDDB6-01</t>
  </si>
  <si>
    <t>0009039/2022</t>
  </si>
  <si>
    <t>N-S-MALD-MG701-IB230IB1-LDSPRDJ</t>
  </si>
  <si>
    <t>Instalar conexões para coleta de óleo do comutador do transformador.</t>
  </si>
  <si>
    <t>0009045/2022</t>
  </si>
  <si>
    <t>CXAT6-04</t>
  </si>
  <si>
    <t>Instalar conexões para permitir coleta de óleo do comutador do transformador.</t>
  </si>
  <si>
    <t>TR 230/138 kV COXIPO TR5 MT</t>
  </si>
  <si>
    <t>0009048/2022</t>
  </si>
  <si>
    <t>CXAT6-05</t>
  </si>
  <si>
    <t>Substituição da Chave Seccionadora PDSR7-05 por outra semelhante</t>
  </si>
  <si>
    <t>0009058/2022</t>
  </si>
  <si>
    <t>PDSR7-05</t>
  </si>
  <si>
    <t>SUBSTITUIÇÃO DO TC IOSK 550 DO IZDJ7-06 FASE V</t>
  </si>
  <si>
    <t>0009098/2022</t>
  </si>
  <si>
    <t>IZDJ7-04 TC1 FASE A</t>
  </si>
  <si>
    <t>Substituição de seccionadora SC12915 (nº série  1866) por outra seccionadora com lâmina de terra e corrente nominal de 4.000 A.</t>
  </si>
  <si>
    <t>0009166/2022</t>
  </si>
  <si>
    <t>SC12915</t>
  </si>
  <si>
    <t>Substituição de seccionadora SC12717 (nº série 1873) por outra seccionadora com corrente nominal de 4.000 A.</t>
  </si>
  <si>
    <t>0009168/2022</t>
  </si>
  <si>
    <t>Substituição de seccionadora SC12737 (nº série 18012001) por outra seccionadora com corrente nominal de 4.000 A.</t>
  </si>
  <si>
    <t>0009170/2022</t>
  </si>
  <si>
    <t>SC12737</t>
  </si>
  <si>
    <t>Substituição de seccionadora SC12853 por outra seccionadora com corrente nominal de 4.000 A.</t>
  </si>
  <si>
    <t>0009177/2022</t>
  </si>
  <si>
    <t>SC12853</t>
  </si>
  <si>
    <t>Substituição de seccionadora SC12851 por outra seccionadora com corrente nominal de 4.000 A.</t>
  </si>
  <si>
    <t>0009178/2022</t>
  </si>
  <si>
    <t>SC12851</t>
  </si>
  <si>
    <t>Substituição de seccionadora SC12833 por outra seccionadora com corrente nominal de 4.000 A.</t>
  </si>
  <si>
    <t>0009179/2022</t>
  </si>
  <si>
    <t>SC12833</t>
  </si>
  <si>
    <t>Substituição de seccionadora SC12831 por outra seccionadora com corrente nominal de 4.000 A.</t>
  </si>
  <si>
    <t>0009180/2022</t>
  </si>
  <si>
    <t>SC12831</t>
  </si>
  <si>
    <t>Substituição de disjuntor DJ12838 por outro disjuntor com corrente nominal de 4.000 A.</t>
  </si>
  <si>
    <t>0009181/2022</t>
  </si>
  <si>
    <t>DJ12838</t>
  </si>
  <si>
    <t>Substituição de disjuntor DJ12858 por outro disjuntor com corrente nominal de 4.000 A.</t>
  </si>
  <si>
    <t>0009182/2022</t>
  </si>
  <si>
    <t>DJ12858</t>
  </si>
  <si>
    <t>Substituição da fase A do transformador de corrente (TC) associado ao disjuntor DJ12858 por outro TC com corrente nominal de 4.000 A.</t>
  </si>
  <si>
    <t>0009183/2022</t>
  </si>
  <si>
    <t>TC do DJ12858 - Fase A</t>
  </si>
  <si>
    <t>Substituição da fase B do transformador de corrente (TC) associado ao disjuntor DJ12858 por outro TC com corrente nominal de 4.000 A.</t>
  </si>
  <si>
    <t>0009184/2022</t>
  </si>
  <si>
    <t>TC do DJ12858 - Fase B</t>
  </si>
  <si>
    <t>Substituição da fase C do transformador de corrente (TC) associado ao disjuntor DJ12858 por outro TC com corrente nominal de 4.000 A.</t>
  </si>
  <si>
    <t>0009185/2022</t>
  </si>
  <si>
    <t>TC do DJ12858 - Fase C</t>
  </si>
  <si>
    <t>Substituição da fase A do transformador de corrente (TC) associado ao disjuntor DJ12848 por outro TC com corrente nominal de 4.000 A.</t>
  </si>
  <si>
    <t>0009186/2022</t>
  </si>
  <si>
    <t>TC do DJ12848 - Fase A</t>
  </si>
  <si>
    <t>Substituição da fase B do transformador de corrente (TC) associado ao disjuntor DJ12848 por outro TC com corrente nominal de 4.000 A.</t>
  </si>
  <si>
    <t>0009187/2022</t>
  </si>
  <si>
    <t>TC do DJ12848 - Fase B</t>
  </si>
  <si>
    <t>Substituição da fase C do transformador de corrente (TC) associado ao disjuntor DJ12848 por outro TC com corrente nominal de 4.000 A.</t>
  </si>
  <si>
    <t>0009188/2022</t>
  </si>
  <si>
    <t>TC do DJ12848 - Fase C</t>
  </si>
  <si>
    <t>Substituição da fase A do transformador de corrente (TC) associado ao disjuntor DJ12838 por outro TC com corrente nominal de 4.000 A.</t>
  </si>
  <si>
    <t>0009189/2022</t>
  </si>
  <si>
    <t>TC do DJ12838 - Fase A</t>
  </si>
  <si>
    <t>Substituição da fase B do transformador de corrente (TC) associado ao disjuntor DJ12838 por outro TC com corrente nominal de 4.000 A.</t>
  </si>
  <si>
    <t>0009190/2022</t>
  </si>
  <si>
    <t>TC do DJ12838 - Fase B</t>
  </si>
  <si>
    <t>Substituição da fase C do transformador de corrente (TC) associado ao disjuntor DJ12838 por outro TC com corrente nominal de 4.000 A.</t>
  </si>
  <si>
    <t>0009191/2022</t>
  </si>
  <si>
    <t>TC do DJ12838 - Fase C</t>
  </si>
  <si>
    <t>Substituição de seccionadora SC12843 por outra seccionadora com corrente nominal de 4.000 A.</t>
  </si>
  <si>
    <t>0009192/2022</t>
  </si>
  <si>
    <t>0009193/2022</t>
  </si>
  <si>
    <t>0009194/2022</t>
  </si>
  <si>
    <t>Substituição de disjuntor DJ12846 por outro disjuntor com corrente nominal de 4.000 A.</t>
  </si>
  <si>
    <t>0009195/2022</t>
  </si>
  <si>
    <t>DJ12846</t>
  </si>
  <si>
    <t>Substituição de disjuntor DJ12856 por outro disjuntor com corrente nominal de 4.000 A.</t>
  </si>
  <si>
    <t>0009196/2022</t>
  </si>
  <si>
    <t>DJ12856</t>
  </si>
  <si>
    <t>Substituição da fase A do transformador de corrente (TC) associado ao disjuntor DJ12846 por outro TC com corrente nominal de 4.000 A.</t>
  </si>
  <si>
    <t>0009197/2022</t>
  </si>
  <si>
    <t>TC do DJ12846 - Fase A</t>
  </si>
  <si>
    <t>Substituição da fase B do transformador de corrente (TC) associado ao disjuntor DJ12846 por outro TC com corrente nominal de 4.000 A.</t>
  </si>
  <si>
    <t>0009198/2022</t>
  </si>
  <si>
    <t>TC do DJ12846 - Fase B</t>
  </si>
  <si>
    <t>Substituição da fase C do transformador de corrente (TC) associado ao disjuntor DJ12846 por outro TC com corrente nominal de 4.000 A.</t>
  </si>
  <si>
    <t>0009199/2022</t>
  </si>
  <si>
    <t>TC do DJ12846 - Fase C</t>
  </si>
  <si>
    <t>Substituição da fase A do transformador de corrente (TC) associado ao disjuntor DJ12856 por outro TC com corrente nominal de 4.000 A.</t>
  </si>
  <si>
    <t>0009200/2022</t>
  </si>
  <si>
    <t>TC do DJ12856 - Fase A</t>
  </si>
  <si>
    <t>Substituição da fase B do transformador de corrente (TC) associado ao disjuntor DJ12856 por outro TC com corrente nominal de 4.000 A.</t>
  </si>
  <si>
    <t>0009201/2022</t>
  </si>
  <si>
    <t>TC do DJ12856 - Fase B</t>
  </si>
  <si>
    <t>Substituição da fase C do transformador de corrente (TC) associado ao disjuntor DJ12856 por outro TC com corrente nominal de 4.000 A.</t>
  </si>
  <si>
    <t>0009202/2022</t>
  </si>
  <si>
    <t>TC do DJ12856 - Fase C</t>
  </si>
  <si>
    <t>Instalação de um módulo de manobra de interligação de barras associada ao reator de barra manobrável 500 kV PDRE7-01 3x50 Mvar autorizado pela ReA 11.450/2022, configuração DJM.
Reforço associado a Melhorias de Grande Porte (SGPMR nº 004458/2018)</t>
  </si>
  <si>
    <t>0009275/2022</t>
  </si>
  <si>
    <t>Instalação da cadeia de proteção de barras alternada, referente às barras P e PT de 230 kV da SE Itajaí, incluindo uma Unidade Central e sete unidades de Bay (vãos TF 1 230/138 kV, TF 2 230/138 kV, TF 3 230/138 kV, TF 4 230/138 kV e Interligador de Barras - IB, LT 230 kV Itajaí - Blumenau C-1 e C2), painéis e cabos de controle e potência associados.</t>
  </si>
  <si>
    <t>0000179/2023</t>
  </si>
  <si>
    <t>Instalação da cadeia de proteção de barras alternada, referente às barras A e B de 230 kV da SE Passo Fundo, incluindo uma Unidade Central e onze unidades de Bay (vãos  LT 230 kV Nova Prata 2 C-1 e C-2,  LT 230 kV U. Passo Fundo C-1 e C-2,  LT 230 kV Guarita C-1, LT 230 kV Xanxerê C-1 e C-2, LT 230 kV Santa Marta C-1, TF 3 230/138 kV, TF 5 230/138 kV e Interligador de Barras - IB), painéis e cabos de controle e potência associados.</t>
  </si>
  <si>
    <t>0000180/2023</t>
  </si>
  <si>
    <t>Substituição dos sistemas de proteção das Barras BR6A e BR6B e falha de disjuntor envolvendo 13 vãos existentes, 1 TIE e 1  vão futuro (nova LT 138 kV Porto Colômbia - Frutal 2 C2).</t>
  </si>
  <si>
    <t>0000283/2023</t>
  </si>
  <si>
    <t>Substituição dos sistemas de proteção do DJ618 referente ao MC 138 kV TR 13,8/138 kV P. COLOMBIA TRG1 MG</t>
  </si>
  <si>
    <t>TR 13,8/138 kV P. COLOMBIA TRG1 MG</t>
  </si>
  <si>
    <t>0000284/2023</t>
  </si>
  <si>
    <t>Substituição dos sistemas de proteção do DJ628 referente ao MC 138 kV TR 13,8/138 kV P. COLOMBIA TRG2 MG</t>
  </si>
  <si>
    <t>TR 13,8/138 kV P. COLOMBIA TRG2 MG</t>
  </si>
  <si>
    <t>0000285/2023</t>
  </si>
  <si>
    <t>Substituição dos sistemas de proteção do DJ638 referente ao MC 138 kV TR 13,8/138 kV P. COLOMBIA TRG3 MG</t>
  </si>
  <si>
    <t>TR 13,8/138 kV P. COLOMBIA TRG3 MG</t>
  </si>
  <si>
    <t>0000286/2023</t>
  </si>
  <si>
    <t>Substituição dos sistemas de proteção do DJ648 referente ao MC 138 kV TR 13,8/138 kV P. COLOMBIA TRG4 MG</t>
  </si>
  <si>
    <t>TR 13,8/138 kV P. COLOMBIA TRG4 MG</t>
  </si>
  <si>
    <t>0000287/2023</t>
  </si>
  <si>
    <t>Substituição dos sistemas de proteção do DJ6918 referente a  EL 138 kV P. COLOMBIA LT 138 kV BARRETOS 1 /P. COLOMBIA C-1 SP/MG</t>
  </si>
  <si>
    <t>0000288/2023</t>
  </si>
  <si>
    <t>Substituição dos sistemas de proteção do DJ678 referente ao TR 138/13,8 kV P. COLOMBIA TRSA MG</t>
  </si>
  <si>
    <t>0000292/2023</t>
  </si>
  <si>
    <t>Substituição dos sistemas de proteção do DJ608 referente a interligação das barras BR6A e BR6B (IB 138 kV MG 138 kV P. COLOMBIA MG1 MG IB1)</t>
  </si>
  <si>
    <t>IB 138 kV MG 138 kV P. COLOMBIA MG1 MG IB1</t>
  </si>
  <si>
    <t>0000293/2023</t>
  </si>
  <si>
    <t>600</t>
  </si>
  <si>
    <t>Implementação do Projeto Multi infeed, contemplando os sistemas: 
- Sistema de PMU (Composto por 1 IED PMU classe de exatidão "P" e 1 IED PMU classe de exatidão "M" para atender o TR-ZD1); 
- Equipamento PDC Principal;
- Rede de Comunicação (composta por 1 bastidor com 2 switches e 1 equipamento de sincronismo);</t>
  </si>
  <si>
    <t>CV 600/600 kV IBIUNA CV1 SP</t>
  </si>
  <si>
    <t>0000300/2023</t>
  </si>
  <si>
    <t>Implementação do Projeto Multi infeed, contemplando os sistemas: 
- Sistema de PMU (Composto por 1 IED PMU classe de exatidão "P" e 1 IED PMU classe de exatidão "M" para atender o TR-ZG1);</t>
  </si>
  <si>
    <t>CV 600/600 kV IBIUNA CV2 SP</t>
  </si>
  <si>
    <t>0000301/2023</t>
  </si>
  <si>
    <t>Implementação do Projeto Multi infeed, contemplando os sistemas: 
- Sistema de PMU (Composto por 1 IED PMU classe de exatidão "P" e 1 IED PMU classe de exatidão "M" para atender o TR-ZE1)</t>
  </si>
  <si>
    <t>CV 600/600 kV IBIUNA CV3 SP</t>
  </si>
  <si>
    <t>0000303/2023</t>
  </si>
  <si>
    <t>Implementação do Projeto Multi infeed, contemplando os sistemas: 
- Sistema de PMU(Composto por 1 IED PMU classe de exatidão "P" e 1 IED PMU classe de exatidão "M" para atender o TR-ZH1);</t>
  </si>
  <si>
    <t>CV 600/600 kV IBIUNA CV4 SP</t>
  </si>
  <si>
    <t>0000304/2023</t>
  </si>
  <si>
    <t>Implementação do Projeto Multi infeed, contemplando os sistemas: 
- Sistema de PMU (Composto por 1 IED PMU classe de exatidão "P" e 1 IED PMU classe de exatidão "M" para atender o TR-ZL1); 
- Equipamento PDC Secundário;
- Rede de Comunicação (composta de 1 bastidor com 2 switches e 1 equipamento de sincronismo); 
- Substituição do Roteador existente no ONS.</t>
  </si>
  <si>
    <t>CV 600/600 kV IBIUNA CV5 SP</t>
  </si>
  <si>
    <t>0000305/2023</t>
  </si>
  <si>
    <t>Implementação do Projeto Multi infeed, contemplando os sistemas: 
- Sistema de PMU (Composto por 1 IED PMU classe de exatidão "P" e 1 IED PMU classe de exatidão "M" para atender o TR-ZP1);</t>
  </si>
  <si>
    <t>CV 600/600 kV IBIUNA CV6 SP</t>
  </si>
  <si>
    <t>0000307/2023</t>
  </si>
  <si>
    <t>Implementação do Projeto Multi infeed, contemplando os sistemas: 
- Sistema de PMU (Composto por 1 IED PMU classe de exatidão "P" e 1 IED PMU classe de exatidão "M" para atender o TR-ZM1);</t>
  </si>
  <si>
    <t>CV 600/600 kV IBIUNA CV7 SP</t>
  </si>
  <si>
    <t>0000308/2023</t>
  </si>
  <si>
    <t>Implementação do Projeto Multi infeed, contemplando os sistemas: 
- Sistema de PMU (Composto por 1 IED PMU classe de exatidão "P" e 1 IED PMU classe de exatidão "M" para atender o TR-ZQ1);</t>
  </si>
  <si>
    <t>CV 600/600 kV IBIUNA CV8 SP</t>
  </si>
  <si>
    <t>0000309/2023</t>
  </si>
  <si>
    <t>CV 600/600 kV F.IGUACU 50HZ CV1 PR</t>
  </si>
  <si>
    <t>0000310/2023</t>
  </si>
  <si>
    <t>CV 600/600 kV F.IGUACU 50HZ CV2 PR</t>
  </si>
  <si>
    <t>0000311/2023</t>
  </si>
  <si>
    <t>Implementação do Projeto Multi infeed, contemplando os sistemas: 
- Sistema de PMU (Composto por 1 IED PMU classe de exatidão "P" e 1 IED PMU classe de exatidão "M" para atender o TR-ZE1);</t>
  </si>
  <si>
    <t>CV 600/600 kV F.IGUACU 50HZ CV3 PR</t>
  </si>
  <si>
    <t>0000313/2023</t>
  </si>
  <si>
    <t>Implementação do Projeto Multi infeed, contemplando os sistemas: 
- Sistema de PMU (Composto por 1 IED PMU classe de exatidão "P" e 1 IED PMU classe de exatidão "M" para atender o TR-ZH1);</t>
  </si>
  <si>
    <t>CV 600/600 kV F.IGUACU 50HZ CV4 PR</t>
  </si>
  <si>
    <t>0000315/2023</t>
  </si>
  <si>
    <t>Implementação do Projeto Multi infeed, contemplando os sistemas: 
- Sistema de PMU (Composto por 1 IED PMU classe de exatidão "P" e 1 IED PMU classe de exatidão "M" para atender o TR-ZL1); 
- Equipamento PDC Secundário;
- Rede de Comunicação (composta por 1 bastidor com 2 switches e 1 equipamento de sincronismo);</t>
  </si>
  <si>
    <t>CV 600/600 kV F.IGUACU 50HZ CV5 PR</t>
  </si>
  <si>
    <t>0000316/2023</t>
  </si>
  <si>
    <t>CV 600/600 kV F.IGUACU 50HZ CV6 PR</t>
  </si>
  <si>
    <t>0000317/2023</t>
  </si>
  <si>
    <t>CV 600/600 kV F.IGUACU 50HZ CV7 PR</t>
  </si>
  <si>
    <t>0000318/2023</t>
  </si>
  <si>
    <t>CV 600/600 kV F.IGUACU 50HZ CV8 PR</t>
  </si>
  <si>
    <t>0000319/2023</t>
  </si>
  <si>
    <t>Remanejamento do autotransformador TR3 da SE Barreiro I, fases A, B e C (nº de série: D552646, D552647 e D552648), para substituir o banco AT04 da subestação Poços de Caldas que está em fim de vida útil técnica e regulatória.</t>
  </si>
  <si>
    <t>TR 345/138 kV POCOS CALDAS TR4 MG</t>
  </si>
  <si>
    <t>0000564/2023</t>
  </si>
  <si>
    <t>AT04-A</t>
  </si>
  <si>
    <t>Recuperação do comutador em carga (CDC) instalado no transformador regulador da fase A, número de série 111333-1, com substituição de componentes menores (COM) de valores relevantes.</t>
  </si>
  <si>
    <t>0000546/2023</t>
  </si>
  <si>
    <t>TRRG03-A</t>
  </si>
  <si>
    <t>Recuperação do comutador em carga (CDC) instalado no transformador regulador da fase C, número de série 60013, com substituição de componentes menores (COM) de valores relevantes.</t>
  </si>
  <si>
    <t>0000550/2023</t>
  </si>
  <si>
    <t>AT04-C</t>
  </si>
  <si>
    <t>Recuperação do comutador em carga (CDC) instalado no transformador regulador da fase C, número de série 156483, com substituição de componentes menores (COM) de valores relevantes.</t>
  </si>
  <si>
    <t>0000551/2023</t>
  </si>
  <si>
    <t>AT05-C</t>
  </si>
  <si>
    <t>Recuperação do comutador em carga (CDC) instalado no transformador regulador da fase C, número de série GM99909, com substituição de componentes menores (COM) de valores relevantes.</t>
  </si>
  <si>
    <t>0000552/2023</t>
  </si>
  <si>
    <t>AT06-C</t>
  </si>
  <si>
    <t>Recuperação do comutador em carga (CDC) instalado no transformador regulador da fase C, número de série 8743008, com substituição de componentes menores (COM) de valores relevantes.</t>
  </si>
  <si>
    <t>0000553/2023</t>
  </si>
  <si>
    <t>AT07-C</t>
  </si>
  <si>
    <t>Recuperação do comutador em carga (CDC) instalado no transformador regulador da fase A, número de série 60196, com substituição de componentes menores (COM) de valores relevantes.</t>
  </si>
  <si>
    <t>TR 765/500 kV TIJUCO PRETO TR1 SP</t>
  </si>
  <si>
    <t>0000555/2023</t>
  </si>
  <si>
    <t>TRRG1-A</t>
  </si>
  <si>
    <t>Recuperação do comutador em carga (CDC) instalado no transformador regulador da fase B, número de série 60195, com substituição de componentes menores (COM) de valores relevantes.</t>
  </si>
  <si>
    <t>0000556/2023</t>
  </si>
  <si>
    <t>TRRG1-B</t>
  </si>
  <si>
    <t>Recuperação do comutador em carga (CDC) instalado no transformador regulador da fase C, número de série 60194, com substituição de componentes menores (COM) de valores relevantes.</t>
  </si>
  <si>
    <t>0000557/2023</t>
  </si>
  <si>
    <t>TRRG1-C</t>
  </si>
  <si>
    <t>Recuperação do comutador em carga (CDC) instalado no transformador regulador da fase A, número de série 2P8409-5, com substituição de componentes menores (COM) de valores relevantes.</t>
  </si>
  <si>
    <t>TR 765/500 kV TIJUCO PRETO TR2 SP</t>
  </si>
  <si>
    <t>0000558/2023</t>
  </si>
  <si>
    <t>TRRG2-A</t>
  </si>
  <si>
    <t>Recuperação do comutador em carga (CDC) instalado no transformador regulador da fase B, número de série 2P8409-2, com substituição de componentes menores (COM) de valores relevantes.</t>
  </si>
  <si>
    <t>0000559/2023</t>
  </si>
  <si>
    <t>TRRG2-B</t>
  </si>
  <si>
    <t>Recuperação do comutador em carga (CDC) instalado no transformador regulador da fase C, número de série 2P8409-1, com substituição de componentes menores (COM) de valores relevantes.</t>
  </si>
  <si>
    <t>0000560/2023</t>
  </si>
  <si>
    <t>TRRG2-C</t>
  </si>
  <si>
    <t>Recuperação do comutador em carga (CDC) instalado no transformador regulador da fase A, número de série SPT12194, com substituição de componentes menores (COM) de valores relevantes.</t>
  </si>
  <si>
    <t>0000561/2023</t>
  </si>
  <si>
    <t>TRRG3-A</t>
  </si>
  <si>
    <t>Recuperação do comutador em carga (CDC) instalado no transformador regulador da fase B, número de série SPT12193, com substituição de componentes menores (COM) de valores relevantes.</t>
  </si>
  <si>
    <t>0000562/2023</t>
  </si>
  <si>
    <t>TRRG3-B</t>
  </si>
  <si>
    <t>Recuperação do comutador em carga (CDC) instalado no transformador regulador da fase C, número de série SPT12191, com substituição de componentes menores (COM) de valores relevantes.</t>
  </si>
  <si>
    <t>0000563/2023</t>
  </si>
  <si>
    <t>TRRG3-C</t>
  </si>
  <si>
    <t>Substituição de trafo de potência TRRG 03- FASE A (n° serie: SPT-12194, cod. mat.: 10183712</t>
  </si>
  <si>
    <t>0000703/2023</t>
  </si>
  <si>
    <t>TRRG 03 - FASE A</t>
  </si>
  <si>
    <t>Substituição dos painéis de SPCS da Proteção de Barras (Cadeia Principal - 230 kV) VCBR6-01 e VCBR6-02 com vida útil esgotada por um novo, com características similares.</t>
  </si>
  <si>
    <t>0000711/2023</t>
  </si>
  <si>
    <t>VCBR6-01 e VCBR6-02</t>
  </si>
  <si>
    <t>Instalação dos painéis de SPCS da Proteção de Barras (Cadeia Alternada) VCBR6-01 e VCBR6-02 para atendimento ao Procedimento de Rede, totalizando a instalação de 25 bay units.</t>
  </si>
  <si>
    <t>0000712/2023</t>
  </si>
  <si>
    <t>Substituição de 01 (um) Autotransformador monofásico 500/230 kV, fase C, potência 100 MVA, posição operacional 05T1, na Subestação SJI, inclusive adequações necessárias.</t>
  </si>
  <si>
    <t>TR 500/230 kV S.JOAO PIAUI TR1 PI</t>
  </si>
  <si>
    <t>0000719/2023</t>
  </si>
  <si>
    <t>11348255</t>
  </si>
  <si>
    <t>Substituição de 02 (dois) Autotransformadores monofásicos 500/230 kV, fases A e B, potência 100 MVA cada, posição operacional 05T1, na Subestação SJI, inclusive adequações necessárias.</t>
  </si>
  <si>
    <t>0000720/2023</t>
  </si>
  <si>
    <t>11348258;11348257</t>
  </si>
  <si>
    <t>Substituição de 01 (um) Autotransformador 500/230 kV, potência 100 MVA, posição operacional 05TR, na Subestação SJI, inclusive adequações necessárias.</t>
  </si>
  <si>
    <t>TRR 500/230 kV S.JOAO PIAUI TRR1 PI</t>
  </si>
  <si>
    <t>0000721/2023</t>
  </si>
  <si>
    <t>11348256</t>
  </si>
  <si>
    <t>Instalação de 1 TPC na fase A em substituição ao BPD existente na bucha da unidade do banco de autotransformador 765/500/69kV AT01</t>
  </si>
  <si>
    <t>0000776/2023</t>
  </si>
  <si>
    <t>BPDAT01 Fase A</t>
  </si>
  <si>
    <t>Instalação de 1 TPC na fase B em substituição ao BPD existente na bucha da unidade do banco de autotransformador 765/500/69kV AT01</t>
  </si>
  <si>
    <t>0000777/2023</t>
  </si>
  <si>
    <t>BPDAT01 Fase B</t>
  </si>
  <si>
    <t>Instalação de 1 TPC na fase C em substituição ao BPD existente na bucha da unidade do banco de autotransformador 765/500/69kV AT01</t>
  </si>
  <si>
    <t>0000778/2023</t>
  </si>
  <si>
    <t>BPDAT01 Fase C</t>
  </si>
  <si>
    <t>Instalação de 1 TPC na fase A em substituição ao BPD existente na bucha da unidade do banco de autotransformador 765/500/69kV AT02</t>
  </si>
  <si>
    <t>0000779/2023</t>
  </si>
  <si>
    <t>BPDAT02 Fase A</t>
  </si>
  <si>
    <t>Instalação de 1 TPC na fase B em substituição ao BPD existente na bucha da unidade do banco de autotransformador 765/500/69kV AT02</t>
  </si>
  <si>
    <t>0000780/2023</t>
  </si>
  <si>
    <t>BPDAT02 Fase B</t>
  </si>
  <si>
    <t>Instalação de 1 TPC na fase C em substituição ao BPD existente na bucha da unidade do banco de autotransformador 765/500/69kV AT02</t>
  </si>
  <si>
    <t>0000781/2023</t>
  </si>
  <si>
    <t>BPDAT02 Fase C</t>
  </si>
  <si>
    <t>Instalação de 1 TPC na fase A em substituição ao BPD existente na bucha da unidade do banco de autotransformador 765/500/69kV AT03</t>
  </si>
  <si>
    <t>0000782/2023</t>
  </si>
  <si>
    <t>BPDAT03 Fase A</t>
  </si>
  <si>
    <t>Instalação de 1 TPC na fase B em substituição ao BPD existente na bucha da unidade do banco de autotransformador 765/500/69kV AT03</t>
  </si>
  <si>
    <t>0000783/2023</t>
  </si>
  <si>
    <t>BPDAT03 Fase B</t>
  </si>
  <si>
    <t>Instalação de 1 TPC na fase C em substituição ao BPD existente na bucha da unidade do banco de autotransformador 765/500/69kV AT03</t>
  </si>
  <si>
    <t>0000784/2023</t>
  </si>
  <si>
    <t>BPDAT03 Fase C</t>
  </si>
  <si>
    <t>Instalação de 1 TPC na fase A em substituição ao BPD existente na bucha da unidade do banco de autotransformador 765/500/69kV AT04</t>
  </si>
  <si>
    <t>0000785/2023</t>
  </si>
  <si>
    <t>BPDAT04 Fase A</t>
  </si>
  <si>
    <t>Instalação de 1 TPC na fase B em substituição ao BPD existente na bucha da unidade do banco de autotransformador 765/500/69kV AT04</t>
  </si>
  <si>
    <t>0000786/2023</t>
  </si>
  <si>
    <t>BPDAT04 Fase B</t>
  </si>
  <si>
    <t>Instalação de 1 TPC na fase C em substituição ao BPD existente na bucha da unidade do banco de autotransformador 765/500/69kV AT04</t>
  </si>
  <si>
    <t>0000787/2023</t>
  </si>
  <si>
    <t>BPDAT04 Fase C</t>
  </si>
  <si>
    <t>Substituição da UPS A e B Casa de Força da Usina de Furnas</t>
  </si>
  <si>
    <t>MG 345 kV FURNAS MG1 MG</t>
  </si>
  <si>
    <t>0008208/2023</t>
  </si>
  <si>
    <t>Substituição do reator da LT Poços de Caldas – Itajubá – fase A</t>
  </si>
  <si>
    <t>LT 500 kV POCOS CALDAS /ITAJUBA 3 C-1 MG</t>
  </si>
  <si>
    <t>0003046/2023</t>
  </si>
  <si>
    <t>RTPCIJ fase  A</t>
  </si>
  <si>
    <t>Substituição do reator da LT Poços de Caldas – Itajubá – fase B</t>
  </si>
  <si>
    <t>0003048/2023</t>
  </si>
  <si>
    <t>RTPCIJ fase  B</t>
  </si>
  <si>
    <t>Substituição do reator da LT Poços de Caldas – Itajubá – fase C</t>
  </si>
  <si>
    <t>0003049/2023</t>
  </si>
  <si>
    <t>RTPCIJ fase  C</t>
  </si>
  <si>
    <t>Substituição do reator da LT Poços de Caldas – Itajubá – fase reserva</t>
  </si>
  <si>
    <t>0003051/2023</t>
  </si>
  <si>
    <t>RTPCIJ fase  reserva</t>
  </si>
  <si>
    <t>L.C.BARRETO</t>
  </si>
  <si>
    <t>Substituição da UPS Casa de Força da Usina L C Barreto de Carvalho</t>
  </si>
  <si>
    <t>MG L.C.BARRETO / CCO-2001-062 - RB</t>
  </si>
  <si>
    <t>0008204/2023</t>
  </si>
  <si>
    <t>ITUTINGA</t>
  </si>
  <si>
    <t>Substituição da UAC01 - SINOCON de supervisão da linha LT 345 kV FURNAS /ITUTINGA C-1 MG</t>
  </si>
  <si>
    <t>0003064/2023</t>
  </si>
  <si>
    <t>UAC 01_A - SINOCOM - LTFUIT2. Código SAP 10255338</t>
  </si>
  <si>
    <t>Substituição da UAC03 - SINOCON de supervisão da linha FT LT 345 kV ADRIANOPOLIS /ITUTINGA C-1 RJ/MG</t>
  </si>
  <si>
    <t>LT 345 kV ADRIANOPOLIS /ITUTINGA C-1 RJ/MG</t>
  </si>
  <si>
    <t>0003065/2023</t>
  </si>
  <si>
    <t>UAC 03_A - SINOCOM - LTFUIT2. Código SAP 10255336</t>
  </si>
  <si>
    <t>Substituição da UAC04 - SINOCON de supervisão da linha FT LT 345 kV ADRIANOPOLIS /ITUTINGA C-2 RJ/MG</t>
  </si>
  <si>
    <t>LT 345 kV ADRIANOPOLIS /ITUTINGA C-2 RJ/MG</t>
  </si>
  <si>
    <t>0003066/2023</t>
  </si>
  <si>
    <t>UAC 04_A - SINOCOM - LTFUIT2. Código SAP 10255335</t>
  </si>
  <si>
    <t>Substituição da UAC02 - SINOCOM de Supervisão da Linha LT 345kV FURNAS / ITUTINGA C-2 MG</t>
  </si>
  <si>
    <t>0003067/2023</t>
  </si>
  <si>
    <t>UAC 02_A - SINOCOM - LTFUIT2</t>
  </si>
  <si>
    <t>Substituição da UAC05 - SINOCOM de Supervisão do  VÃO DE AMARRE MG</t>
  </si>
  <si>
    <t>MG ITUTINGA / CCO-2001-062 - RB</t>
  </si>
  <si>
    <t>0003069/2023</t>
  </si>
  <si>
    <t>UAC 05_A - SINOCOM - VAO DE AMARRE</t>
  </si>
  <si>
    <t>Reforma da UG01. Serão substituídos o estator (carcaça, núcleo e enrolamento estatórico), 16 (dezesseis) trocadores de calor, 01 (um) sistema de retrolavagem, 01 (um) sistema de monitoramento para entreferro, descargas parciais, fluxo magnético, inspeção termográfica, temperatura do rotor e estator (enrolamento e núcleo), e fornecimento de 88 (oitenta e oito) polos novos.</t>
  </si>
  <si>
    <t>UNIDADE GERADORA 01  - TUGER-01</t>
  </si>
  <si>
    <t>0000818/2023</t>
  </si>
  <si>
    <t>12399344</t>
  </si>
  <si>
    <t>Reforma da UG03. Serão substituídos o estator (carcaça, núcleo e enrolamento estatórico), 16 (dezesseis) trocadores de calor, 01 (um) sistema de retrolavagem, 01 (um) sistema de monitoramento para entreferro, descargas parciais, fluxo magnético, inspeção termográfica, temperatura do rotor e estator (enrolamento e núcleo) e reforma de 22 (vinte e dois) polos para serem utilizados como sobressalentes.</t>
  </si>
  <si>
    <t>UNIDADE GERADORA 03  - TUGER-03</t>
  </si>
  <si>
    <t>0000819/2023</t>
  </si>
  <si>
    <t>12405658</t>
  </si>
  <si>
    <t>Reforma da UG05. Serão substituídos o estator (carcaça, núcleo e enrolamento estatórico), 16 (dezesseis) trocadores de calor, 01 (um) sistema de retrolavagem, 01 (um) sistema de monitoramento para entreferro, descargas parciais, fluxo magnético, inspeção termográfica, temperatura do rotor e estator (enrolamento e núcleo) e reforma dos 88 (oitenta e oito) polos.</t>
  </si>
  <si>
    <t>UNIDADE GERADORA 05 - TUGER-05</t>
  </si>
  <si>
    <t>0000820/2023</t>
  </si>
  <si>
    <t>12406457</t>
  </si>
  <si>
    <t>Reforma da UG07. Serão substituídos o estator (carcaça, núcleo e enrolamento estatórico), 16 (dezesseis) trocadores de calor, 01 (um) sistema de retrolavagem, 01 (um) sistema de monitoramento para entreferro, descargas parciais, fluxo magnético, inspeção termográfica, temperatura do rotor e estator (enrolamento e núcleo) e reforma dos 88 (oitenta e oito) polos.</t>
  </si>
  <si>
    <t>UNIDADE GERADORA 07 - TUGER-07</t>
  </si>
  <si>
    <t>0000821/2023</t>
  </si>
  <si>
    <t>12406955</t>
  </si>
  <si>
    <t>Reforma da UG09. Serão substituídos o estator (carcaça, núcleo e enrolamento estatórico), 16 (dezesseis) trocadores de calor, 01 (um) sistema de retrolavagem, 01 (um) sistema de monitoramento para entreferro, descargas parciais, fluxo magnético, inspeção termográfica, temperatura do rotor e estator (enrolamento e núcleo) e reforma dos 88 (oitenta e oito) polos.</t>
  </si>
  <si>
    <t>UNIDADE GERADORA 09  - TUGER-09</t>
  </si>
  <si>
    <t>0000822/2023</t>
  </si>
  <si>
    <t>12407484</t>
  </si>
  <si>
    <t>SUBSTITUIÇÃO DO TRANSFORMADOR TRIFÁSICO - 230/69/13,8 kV, 100 MVA - IZTF6-04</t>
  </si>
  <si>
    <t>0000958/2023</t>
  </si>
  <si>
    <t>IZTF6-04</t>
  </si>
  <si>
    <t>Substituição de reator RTIATP2 FASE B (nº serie: 57539, cod. mat.: 10183960).</t>
  </si>
  <si>
    <t>0000884/2023</t>
  </si>
  <si>
    <t>RTIATP2 FASE B</t>
  </si>
  <si>
    <t>Substituição de reator RTIATP2 FASE C (nº serie: 57536, cod. mat.: 10183957).</t>
  </si>
  <si>
    <t>0000885/2023</t>
  </si>
  <si>
    <t>RTIATP2 FASE C</t>
  </si>
  <si>
    <t>Substituição de reator RESERVA 1 - RTIATP1/2/3 (nº serie: 57535, cod. mat.: 10183956).</t>
  </si>
  <si>
    <t>0000886/2023</t>
  </si>
  <si>
    <t>REATOR 750 kV RESERVA 1 - RTIATP1/2/3</t>
  </si>
  <si>
    <t>Substituição de trafo potencia AT03 FASE A (nº serie: SP-T-12188, cod. mat.: 10182557).</t>
  </si>
  <si>
    <t>0000887/2023</t>
  </si>
  <si>
    <t>AT03 FASE A</t>
  </si>
  <si>
    <t>Substituição de trafo potencia AT03 FASE B (nº serie: SP-T-12186, cod. mat.: 10182556).</t>
  </si>
  <si>
    <t>0000888/2023</t>
  </si>
  <si>
    <t>AT03 FASE B</t>
  </si>
  <si>
    <t>Substituição de trafo potencia AT03 FASE C (nº serie: SP-T-12185, cod. mat.: 10182555).</t>
  </si>
  <si>
    <t>0000889/2023</t>
  </si>
  <si>
    <t>AT03 FASE C</t>
  </si>
  <si>
    <t>Substituição de trafo potencia TRRG 03 - FASE B (nº serie: SPT-12193, cod. mat.: 10183711).</t>
  </si>
  <si>
    <t>0000890/2023</t>
  </si>
  <si>
    <t>TRRG 03 - FASE B</t>
  </si>
  <si>
    <t>Substituição de trafo potencia TRRG 03 - FASE C (nº serie: SPT-12191, cod. mat.: 10183710).</t>
  </si>
  <si>
    <t>0000891/2023</t>
  </si>
  <si>
    <t>TRRG 03 - FASE C</t>
  </si>
  <si>
    <t>Substituição de reator RT01 FASE A (nº serie: 57717, cod. mat.: 10183982).</t>
  </si>
  <si>
    <t>RT 69 kV 180 Mvar TIJUCO PRETO RT1 SP</t>
  </si>
  <si>
    <t>0000892/2023</t>
  </si>
  <si>
    <t>RT01 FASE A</t>
  </si>
  <si>
    <t>Substituição de reator RT01 FASE B (nº serie: 57720, cod. mat.: 10183984).</t>
  </si>
  <si>
    <t>0000893/2023</t>
  </si>
  <si>
    <t>RT01 FASE B</t>
  </si>
  <si>
    <t>Substituição de reator RT01 FASE C (nº serie: 57719, cod. mat.: 10183983).</t>
  </si>
  <si>
    <t>0000894/2023</t>
  </si>
  <si>
    <t>RT01 FASE C</t>
  </si>
  <si>
    <t>Substituição de reator RT02 FASE A (nº serie: 57714, cod. mat.: 10183980).</t>
  </si>
  <si>
    <t>RT 69 kV 180 Mvar TIJUCO PRETO RT2 SP</t>
  </si>
  <si>
    <t>0000895/2023</t>
  </si>
  <si>
    <t>RT02 FASE A</t>
  </si>
  <si>
    <t>Substituição de reator RT02 FASE B (nº serie: 57710, cod. mat.: 10183979).</t>
  </si>
  <si>
    <t>0000896/2023</t>
  </si>
  <si>
    <t>RT02 FASE B</t>
  </si>
  <si>
    <t>SUBSTITUIÇÃO DO REATOR PDRE7-02, FASE B, 525 kV, 50 MVAr</t>
  </si>
  <si>
    <t>0000968/2023</t>
  </si>
  <si>
    <t>PDRE7-02 FASE B</t>
  </si>
  <si>
    <t>Substituição de reator RT02 FASE C (nº serie: 57721, cod. mat.: 10183985).</t>
  </si>
  <si>
    <t>0000897/2023</t>
  </si>
  <si>
    <t>RT02 FASE C</t>
  </si>
  <si>
    <t>Substituição de trafo potencia AT01 FASE A (nº serie: 500920, cod. mat.: 10182715).</t>
  </si>
  <si>
    <t>0000898/2023</t>
  </si>
  <si>
    <t>AT01 FASE A</t>
  </si>
  <si>
    <t>Substituição de trafo potencia AT01 FASE B (nº serie: 500921, cod. mat.: 10182716).</t>
  </si>
  <si>
    <t>0000899/2023</t>
  </si>
  <si>
    <t>AT01 FASE B</t>
  </si>
  <si>
    <t>Substituição de trafo potencia AT01 FASE C (nº serie: 500922, cod. mat.: 10182717).</t>
  </si>
  <si>
    <t>0000900/2023</t>
  </si>
  <si>
    <t>AT01 FASE C</t>
  </si>
  <si>
    <t>Substituição de trafo de aterramento TRANSF. ATERRAM. AT01 TERCIÁRIO FASE A (nº serie: 50008P, cod. mat.: 10183185).</t>
  </si>
  <si>
    <t>0000901/2023</t>
  </si>
  <si>
    <t>TRANSF. ATERRAM. AT01 TERCIÁRIO FASE A</t>
  </si>
  <si>
    <t>Substituição de trafo de aterramento TRANSF. ATERRAM. AT01 TERCIÁRIO FASE B (nº serie: 50009P, cod. mat.: 10183186).</t>
  </si>
  <si>
    <t>0000902/2023</t>
  </si>
  <si>
    <t>TRANSF. ATERRAM. AT01 TERCIÁRIO FASE B</t>
  </si>
  <si>
    <t>Substituição de trafo de aterramento TRANSF. ATERRAM. AT01 TERCIÁRIO FASE C (nº serie: 50010P, cod. mat.: 10183187).</t>
  </si>
  <si>
    <t>0000903/2023</t>
  </si>
  <si>
    <t>TRANSF. ATERRAM. AT01 TERCIÁRIO FASE C</t>
  </si>
  <si>
    <t>Substituição de trafo potencia AT76V - AUTOTRAFO RESERVA (nº serie: 500923, cod. mat.: 10182718).</t>
  </si>
  <si>
    <t>TR 230/138 kV RIO VERDE FUR TRR1 GO</t>
  </si>
  <si>
    <t>0000906/2023</t>
  </si>
  <si>
    <t>AT76V - AUTOTRAFO RESERVA</t>
  </si>
  <si>
    <t>Substituição de trafo potencia AT01 FASE A (nº serie: GM99910, cod. mat.: 10182541).</t>
  </si>
  <si>
    <t>0000908/2023</t>
  </si>
  <si>
    <t>Substituição de trafo potencia AT01 FASE C (nº serie: GM99911, cod. mat.: 10182543).</t>
  </si>
  <si>
    <t>0000909/2023</t>
  </si>
  <si>
    <t>Substituição de trafo potencia TRRG01 FASE A (nº serie: GM99912, cod. mat.: 10183703).</t>
  </si>
  <si>
    <t>0000910/2023</t>
  </si>
  <si>
    <t>TRRG01 FASE A</t>
  </si>
  <si>
    <t>Substituição de trafo potencia TRRG01 FASE B (nº serie: SPT-12192, cod. mat.: 10183705).</t>
  </si>
  <si>
    <t>0000911/2023</t>
  </si>
  <si>
    <t>TRRG01 FASE B</t>
  </si>
  <si>
    <t>Substituição de trafo potencia TRRG01 FASE C (nº serie: GM99913, cod. mat.: 10183706).</t>
  </si>
  <si>
    <t>0000912/2023</t>
  </si>
  <si>
    <t>TRRG01 FASE C</t>
  </si>
  <si>
    <t>Substituição de reator RT1A FASE A (nº serie: 57712, cod. mat.: 10183991).</t>
  </si>
  <si>
    <t>0000913/2023</t>
  </si>
  <si>
    <t>RT1A FASE A</t>
  </si>
  <si>
    <t>Substituição de reator RT1A FASE B (nº serie: 57707, cod. mat.: 10183987).</t>
  </si>
  <si>
    <t>0000915/2023</t>
  </si>
  <si>
    <t>RT1A FASE B</t>
  </si>
  <si>
    <t>Substituição de reator RT1A FASE C (nº serie: 57713, cod. mat.: 10183992).</t>
  </si>
  <si>
    <t>0000917/2023</t>
  </si>
  <si>
    <t>RT1A FASE C</t>
  </si>
  <si>
    <t>Substituição de reator RT1B FASE A (nº serie: 57708, cod. mat.: 10183988).</t>
  </si>
  <si>
    <t>0000918/2023</t>
  </si>
  <si>
    <t>RT1B FASE A</t>
  </si>
  <si>
    <t>Substituição de reator RT1B FASE B (nº serie: 57706, cod. mat.: 10183986).</t>
  </si>
  <si>
    <t>0000920/2023</t>
  </si>
  <si>
    <t>RT1B FASE B</t>
  </si>
  <si>
    <t>Substituição de reator RT1B FASE C (nº serie: 57709, cod. mat.: 10183989).</t>
  </si>
  <si>
    <t>0000922/2023</t>
  </si>
  <si>
    <t>RT1B FASE C</t>
  </si>
  <si>
    <t>Substituição de reator RT1C FASE A (nº serie: 57718, cod. mat.: 10183994).</t>
  </si>
  <si>
    <t>0000923/2023</t>
  </si>
  <si>
    <t>RT1C FASE A</t>
  </si>
  <si>
    <t>Substituição de reator RT1C FASE B (nº serie: 57722, cod. mat.: 10183995).</t>
  </si>
  <si>
    <t>0000926/2023</t>
  </si>
  <si>
    <t>RT1C FASE B</t>
  </si>
  <si>
    <t>Substituição de reator RT1C FASE C (nº serie: 57715, cod. mat.: 10183993).</t>
  </si>
  <si>
    <t>0000928/2023</t>
  </si>
  <si>
    <t>RT1C FASE C</t>
  </si>
  <si>
    <t>Substituição de trafo potencia AT129V - AUTOTRAFO RESERVA (nº serie: SPT-12184, cod. mat.: 10182542).</t>
  </si>
  <si>
    <t>0000930/2023</t>
  </si>
  <si>
    <t>AT129V - AUTOTRAFO RESERVA</t>
  </si>
  <si>
    <t>Substituição de trafo potencia TRRG09V (nº serie: SPT-12190, cod. mat.: 10183704).</t>
  </si>
  <si>
    <t>0000933/2023</t>
  </si>
  <si>
    <t>TRRG09V</t>
  </si>
  <si>
    <t>Substituição de trafo potencia AT04 FASE C (nº serie: 58483, cod. mat.: 10182535).</t>
  </si>
  <si>
    <t>0000934/2023</t>
  </si>
  <si>
    <t>AT04 FASE C</t>
  </si>
  <si>
    <t>Substituição de trafo de aterramento TFAT - TERCIÁRIO AT04 13.8KV FASE A (nº serie: 54053-G, cod. mat.: 10183163).</t>
  </si>
  <si>
    <t>0000935/2023</t>
  </si>
  <si>
    <t>TFAT AT04 - TERCIÁRIO 13.8KV FASE A</t>
  </si>
  <si>
    <t>Substituição de trafo de aterramento TFAT - TERCIÁRIO AT04 13.8KV FASE B (nº serie: 54052-G, cod. mat.: 10183162).</t>
  </si>
  <si>
    <t>0000938/2023</t>
  </si>
  <si>
    <t>TFAT AT04 - TERCIÁRIO 13.8KV FASE B</t>
  </si>
  <si>
    <t>Substituição de trafo de aterramento TFAT - TERCIÁRIO AT04 13.8KV FASE C (nº serie: 54054-G, cod. mat.: 10183164).</t>
  </si>
  <si>
    <t>0000940/2023</t>
  </si>
  <si>
    <t>TFAT AT04 - TERCIÁRIO 13.8KV FASE C</t>
  </si>
  <si>
    <t>Substituição de trafo de potencia TR01 FASE A (nº serie: 56221, cod. mat.: 10182965).</t>
  </si>
  <si>
    <t>TR 230/69 kV BARRO ALTO TR1 GO</t>
  </si>
  <si>
    <t>0000946/2023</t>
  </si>
  <si>
    <t>TR01 FASE A</t>
  </si>
  <si>
    <t>Substituição de trafo de potencia TR01 FASE B (nº serie: 56223, cod. mat.: 10182968).</t>
  </si>
  <si>
    <t>0000948/2023</t>
  </si>
  <si>
    <t>TR01 FASE B</t>
  </si>
  <si>
    <t>Substituição de trafo de potencia TR01 FASE C (nº serie: 56220, cod. mat.: 10182966).</t>
  </si>
  <si>
    <t>0000949/2023</t>
  </si>
  <si>
    <t>TR01 FASE C</t>
  </si>
  <si>
    <t>Substituição de reator REATOR DE LINHA - RTBDSB1 FASE A (nº serie: 1534026, cod. mat.: 10184026).</t>
  </si>
  <si>
    <t>RT 345 kV 60 Mvar BANDEIRANTES RT1 GO</t>
  </si>
  <si>
    <t>0000953/2023</t>
  </si>
  <si>
    <t>REATOR DE LINHA - RTBDSB1 FASE A</t>
  </si>
  <si>
    <t>Substituição de reator REATOR DE LINHA - RTBDSB1 FASE B (nº serie: 1534023, cod. mat.: 10184027).</t>
  </si>
  <si>
    <t>0000957/2023</t>
  </si>
  <si>
    <t>REATOR DE LINHA - RTBDSB1 FASE B</t>
  </si>
  <si>
    <t>Substituição de reator REATOR DE LINHA - RTBDSB1 FASE C (nº serie: 1534025, cod. mat.: 10184028).</t>
  </si>
  <si>
    <t>0000959/2023</t>
  </si>
  <si>
    <t>REATOR DE LINHA - RTBDSB1 FASE C</t>
  </si>
  <si>
    <t>Substituição de reator REATOR DE LINHA - RTIMBD2 FASE A (nº serie: 1527343, cod. mat.: 10184024).</t>
  </si>
  <si>
    <t>RT 345 kV 60 Mvar BANDEIRANTES RT2 GO</t>
  </si>
  <si>
    <t>0000971/2023</t>
  </si>
  <si>
    <t>REATOR DE LINHA - RTIMBD2 FASE A</t>
  </si>
  <si>
    <t>Substituição de reator REATOR DE LINHA - RTIMBD2 FASE B (nº serie: 1527345, cod. mat.: 10184029).</t>
  </si>
  <si>
    <t>0000972/2023</t>
  </si>
  <si>
    <t>REATOR DE LINHA - RTIMBD2 FASE B</t>
  </si>
  <si>
    <t>Substituição de reator REATOR DE LINHA - RTIMBD2 FASE C (nº serie: 1527344, cod. mat.: 10184025).</t>
  </si>
  <si>
    <t>0000975/2023</t>
  </si>
  <si>
    <t>REATOR DE LINHA - RTIMBD2 FASE C</t>
  </si>
  <si>
    <t>Substituição de trafo potencia AT87V - AUTOTRAFO RESERVA (nº serie: 45174, cod. mat.: 10182593).</t>
  </si>
  <si>
    <t>TR 345/230 kV BANDEIRANTES TRR1 GO</t>
  </si>
  <si>
    <t>0000977/2023</t>
  </si>
  <si>
    <t>AT87V - AUTOTRAFO RESERVA</t>
  </si>
  <si>
    <t>SUBSTITUIÇÃO DO TRANSFORMADOR TRIFÁSICO - 230/69 kV, 100 MVA - LITF6-04</t>
  </si>
  <si>
    <t>0000960/2023</t>
  </si>
  <si>
    <t>LITF6-04</t>
  </si>
  <si>
    <t>SUBSTITUIÇÃO DO REATOR PDRE7-02, FASE A, 525 kV, 50 MVAr</t>
  </si>
  <si>
    <t>0000969/2023</t>
  </si>
  <si>
    <t>PDRE7-02 FASE A</t>
  </si>
  <si>
    <t>SUBSTITUIÇÃO DO REATOR PDRE7-02, FASE V, 525 kV, 50 MVAr</t>
  </si>
  <si>
    <t>0000970/2023</t>
  </si>
  <si>
    <t>PDRE7-02 FASE V</t>
  </si>
  <si>
    <t>SUBSTITUIÇÃO DO REATOR PDRE7-03, FASE A, 525 kV, 50 MVAr</t>
  </si>
  <si>
    <t>0000962/2023</t>
  </si>
  <si>
    <t>PDRE7-03 FASE A</t>
  </si>
  <si>
    <t>SUBSTITUIÇÃO DO REATOR PDRE7-03, FASE B, 525 kV, 50 MVAr</t>
  </si>
  <si>
    <t>0000964/2023</t>
  </si>
  <si>
    <t>PDRE7-03 FASE B</t>
  </si>
  <si>
    <t>SUBSTITUIÇÃO DO REATOR PDRE7-03, FASE V, 525 kV, 50 MVAr</t>
  </si>
  <si>
    <t>0000965/2023</t>
  </si>
  <si>
    <t>PDRE7-03 FASE V</t>
  </si>
  <si>
    <t>SUBSTITUIÇÃO DO REATOR PDRE7-03, FASE R, 525 kV, 50 MVAr</t>
  </si>
  <si>
    <t>RTR 500 kV 45.3 MVAr P.DUTRA RTR 1 MA</t>
  </si>
  <si>
    <t>0000983/2023</t>
  </si>
  <si>
    <t>PDRE7-03 FASE R</t>
  </si>
  <si>
    <t>Substituição de 1 (um) transformador de potência trifásico 230/69 kV, 100 MVA, posição operacional 04T1, da subestação Pirapama II, por um novo transformador 230/69/13,8 kV, 100 MVA (com terciário).</t>
  </si>
  <si>
    <t>TR 230/69 kV PIRAPAMA II TR1 PE</t>
  </si>
  <si>
    <t>0000865/2023</t>
  </si>
  <si>
    <t>11347939</t>
  </si>
  <si>
    <t>Substituição de 1 (um) Transformador de Potência trifásico, potência 100 MVA, posição operacional 04T3, da Subestação CGD.</t>
  </si>
  <si>
    <t>TR 230/69 kV C.GRANDE II TR3 PB</t>
  </si>
  <si>
    <t>0000867/2023</t>
  </si>
  <si>
    <t>11347918</t>
  </si>
  <si>
    <t>Substituição de 1 (um) Transformador de Potência trifásico, potência 100 MVA, posição operacional 04T4, da Subestação CGD.</t>
  </si>
  <si>
    <t>TR 230/69 kV C.GRANDE II TR4 PB</t>
  </si>
  <si>
    <t>0000868/2023</t>
  </si>
  <si>
    <t>11347925</t>
  </si>
  <si>
    <t>Substituição de Banco de Capacitores BC1, 13,8 kV, 3,6 Mvar, na SE Caxias 5.</t>
  </si>
  <si>
    <t>BC 13,8 kV 3,6 MVAr CAXIAS SUL 5 BC1 RS</t>
  </si>
  <si>
    <t>0000986/2023</t>
  </si>
  <si>
    <t>Substituição de Banco de Capacitores BC2, 13,8 kV, 3,6 Mvar, na SE Caxias 5.</t>
  </si>
  <si>
    <t>BC 13,8 kV 3,6 MVAr CAXIAS SUL 5 BC2 RS</t>
  </si>
  <si>
    <t>0000987/2023</t>
  </si>
  <si>
    <t>BC2</t>
  </si>
  <si>
    <t>Substituição de Banco de Capacitores BC3, 13,8 kV, 3,6 Mvar, na SE Caxias 5.</t>
  </si>
  <si>
    <t>BC 13,8 kV 3,6 MVAr CAXIAS SUL 5 BC3 RS</t>
  </si>
  <si>
    <t>0000998/2023</t>
  </si>
  <si>
    <t>BC3</t>
  </si>
  <si>
    <t>Substituição de Banco de Capacitores BC4, 13,8 kV, 3,6 Mvar, na SE Caxias 5.</t>
  </si>
  <si>
    <t>BC 13,8 kV 3,6 MVAr CAXIAS SUL 5 BC4 RS</t>
  </si>
  <si>
    <t>0000999/2023</t>
  </si>
  <si>
    <t>LT 345 kV ADRIANOPOLIS/JACAREPAGUA C-1 RJ</t>
  </si>
  <si>
    <t>Substituição dos cabos para-raios entre as torres 47 e 91.</t>
  </si>
  <si>
    <t>0001122/2023</t>
  </si>
  <si>
    <t>ADRJPA1</t>
  </si>
  <si>
    <t>LT 345 kV NOVA IGUACU/JACAREPAGUA C-1 RJ</t>
  </si>
  <si>
    <t>Substituição dos cabos para-raios entre as torres 47 e 88.</t>
  </si>
  <si>
    <t>0001139/2023</t>
  </si>
  <si>
    <t>JPANIG</t>
  </si>
  <si>
    <t>LT 138 kV CAMPOS /ROCHA LEAO C-1 RJ</t>
  </si>
  <si>
    <t>Substituição de 18 cadeias de isoladores completas ao logo da LT.</t>
  </si>
  <si>
    <t>0001124/2023</t>
  </si>
  <si>
    <t>CMSROL</t>
  </si>
  <si>
    <t>LT 138 kV IRIRI /ROCHA LEAO C-1 RJ</t>
  </si>
  <si>
    <t>Substituição de 3 cadeias de isoladores completas ao logo da LT.</t>
  </si>
  <si>
    <t>0001125/2023</t>
  </si>
  <si>
    <t>IRIROL</t>
  </si>
  <si>
    <t>LT 138 kV CAMPOS /IRIRI C-1 RJ</t>
  </si>
  <si>
    <t>Substituição de 15 cadeias de isoladores completas ao logo da LT.</t>
  </si>
  <si>
    <t>0001126/2023</t>
  </si>
  <si>
    <t>CMSIRI</t>
  </si>
  <si>
    <t>LT 345 kV MACAE MERCHAN / VENDA DAS PEDRAS C-1 RJ</t>
  </si>
  <si>
    <t>Substituição de 27 cadeias de isoladores completas ao logo da LT.</t>
  </si>
  <si>
    <t>0001127/2023</t>
  </si>
  <si>
    <t>MMHVDP</t>
  </si>
  <si>
    <t>Substituição de 30 cadeias de isoladores completas ao logo da LT.</t>
  </si>
  <si>
    <t>0001128/2023</t>
  </si>
  <si>
    <t>CMSMMH1</t>
  </si>
  <si>
    <t>LT 345 kV COMPERJ /LAGOS C-1 RJ</t>
  </si>
  <si>
    <t>0001129/2023</t>
  </si>
  <si>
    <t>CPJLGS</t>
  </si>
  <si>
    <t>LT 345 kV MACAE MERCHAN / LAGOS C-1 RJ</t>
  </si>
  <si>
    <t>Substituição de 6 cadeias de isoladores completas ao logo da LT.</t>
  </si>
  <si>
    <t>0001130/2023</t>
  </si>
  <si>
    <t>MMHLGS1</t>
  </si>
  <si>
    <t>Substituição de 25 cadeias de isoladores completas ao logo da LT.</t>
  </si>
  <si>
    <t>0001131/2023</t>
  </si>
  <si>
    <t>CMSMMH2</t>
  </si>
  <si>
    <t>LT 345 kV VIANA /VITORIA C-1 ES</t>
  </si>
  <si>
    <t>Substituição de 1 cadeias de isoladores completas ao logo da LT.</t>
  </si>
  <si>
    <t>0001132/2023</t>
  </si>
  <si>
    <t>VIAVIT</t>
  </si>
  <si>
    <t>LT 345 kV CAMPOS /RIO NOVO DO SUL C-1 ES</t>
  </si>
  <si>
    <t>0001133/2023</t>
  </si>
  <si>
    <t>CMSRNS1</t>
  </si>
  <si>
    <t>LT 345 kV VITÓRIA / RIO NOVO DO SUL C-1 ES</t>
  </si>
  <si>
    <t>Substituição de 31 cadeias de isoladores completas ao logo da LT.</t>
  </si>
  <si>
    <t>0001135/2023</t>
  </si>
  <si>
    <t>VITRNS</t>
  </si>
  <si>
    <t>LT 345 kV CAMPOS /RIO NOVO DO SUL C-2 ES</t>
  </si>
  <si>
    <t>0001136/2023</t>
  </si>
  <si>
    <t>CMSRNS2</t>
  </si>
  <si>
    <t>LT 345 kV VIANA /RIO NOVO DO SUL C-1 ES</t>
  </si>
  <si>
    <t>Substituição de 41 cadeias de isoladores completas ao logo da LT.</t>
  </si>
  <si>
    <t>0001137/2023</t>
  </si>
  <si>
    <t>VIARNS</t>
  </si>
  <si>
    <t>SUBSTITUIÇÃO DE TC FASE A QUE ATENDE AO DJ 9228</t>
  </si>
  <si>
    <t>EL 500 kV CAMPINAS LT 500 kV ITATIBA /CAMPINAS C-1 SP</t>
  </si>
  <si>
    <t>0001140/2023</t>
  </si>
  <si>
    <t>TC DJ9228 FASE A</t>
  </si>
  <si>
    <t>SUBSTITUIÇÃO DE  DISJUNTOR 230 kV VCDJ6-14</t>
  </si>
  <si>
    <t>0001189/2023</t>
  </si>
  <si>
    <t>VCDJ6-14</t>
  </si>
  <si>
    <t>Substituição de 01 (um) Transformador 230 kV monofásico, potência 100 MVA, posição operacional 04T7 fase B da Subestação SE CMD.</t>
  </si>
  <si>
    <t>CS 150/-105 MVAr CAMACARI II CS1 BA</t>
  </si>
  <si>
    <t>0001301/2023</t>
  </si>
  <si>
    <t>11347667</t>
  </si>
  <si>
    <t>Substituição de Disjuntor tripolar 230 kV, DJ862, que compõe o módulo de conexão do ATF 3 525/230 kV da SE Londrina. Associado à obra são esperadas substituições/adaptações de fundações, suportes, cabos de controle e potência, barramento, conectores e conexão do aterramento. Capacidade nominal do novo equipamento: = 2.500 A.</t>
  </si>
  <si>
    <t>0001392/2023</t>
  </si>
  <si>
    <t>DJ862</t>
  </si>
  <si>
    <t>Substituição de Chave Seccionadora tripolar 230 kV, CS861, que compõe o módulo de conexão do ATF 3 525/230 kV da SE Londrina. Associado à obra são esperadas substituições/adaptações de fundações, suportes, cabos de controle/potência, barramento, conectores e conexão de aterramento. Capacidade nominal do novo equipamento: = 2.500 A.</t>
  </si>
  <si>
    <t>0001394/2023</t>
  </si>
  <si>
    <t>CS861</t>
  </si>
  <si>
    <t>Substituição de Chave Seccionadora tripolar 230 kV, CS863, que compõe o módulo de conexão do ATF 3 525/230 kV da SE Londrina. Associado à obra são esperadas substituições/adaptações de fundações, suportes, cabos de controle/potência, barramento, conectores e conexão de aterramento. Capacidade nominal do novo equipamento: = 2.500 A.</t>
  </si>
  <si>
    <t>0001396/2023</t>
  </si>
  <si>
    <t>CS863</t>
  </si>
  <si>
    <t>Substituição de Chave Seccionadora tripolar 230 kV, CS865, que compõe o módulo de conexão do ATF 3 525/230 kV da SE Londrina. Associado à obra são esperadas substituições/adaptações de fundações, suportes, cabos de controle/potência, barramento, conectores e conexão de aterramento. Capacidade nominal do novo equipamento: = 2.500 A.</t>
  </si>
  <si>
    <t>0001397/2023</t>
  </si>
  <si>
    <t>CS865</t>
  </si>
  <si>
    <t>Substituição de Chave Seccionadora tripolar 230 kV, CS867, que compõe o módulo de conexão do ATF 3 525/230 kV da SE Londrina. Associado à obra são esperadas substituições/adaptações de fundações, suportes, cabos de controle/potência, barramento, conectores e conexão de aterramento. Capacidade nominal do novo equipamento: = 2.500 A.</t>
  </si>
  <si>
    <t>0001398/2023</t>
  </si>
  <si>
    <t>CS867</t>
  </si>
  <si>
    <t>Substituição de Disjuntor tripolar 230 kV, DJ762, referente ao Interligador de Barras da SE Londrina. Associado à obra são esperadas substituições/adaptações de fundações, suportes, cabos de controle e potência, barramento, conectores e conexão do aterramento. Capacidade nominal do novo equipamento: = 2.500 A.</t>
  </si>
  <si>
    <t>0001399/2023</t>
  </si>
  <si>
    <t>Instalação de 01 (um) Transformador de Serviço Auxiliar, 13,8kV, potência 225 kVA, posição 01T7 e 01 (um) Painel de distribuição (PT1-CA) na SE JCR, incluindo cabeamentos associados.</t>
  </si>
  <si>
    <t>MG JACARACANGA / CCO-2001-061 - RB</t>
  </si>
  <si>
    <t>0001409/2023</t>
  </si>
  <si>
    <t>ICO</t>
  </si>
  <si>
    <t>Instalação de 01 (um) Transformador de Serviço Auxiliar, 13,8kV, potência 225 kVA, posição 01T7 na SE ICO, incluindo cabeamentos associados.</t>
  </si>
  <si>
    <t>MG ICO / CCO-2001-061 - RB</t>
  </si>
  <si>
    <t>0001411/2023</t>
  </si>
  <si>
    <t>B.JESUS LAPA</t>
  </si>
  <si>
    <t>Instalação de 01 (um) Transformador de Serviço Auxiliar, 13,8kV, potência 300 kVA, posição 01T6 e 01 (um) Painel de distribuição (PT1-CA) na SE BJS, incluindo cabeamentos associados.</t>
  </si>
  <si>
    <t>MG B.JESUS LAPA / CCO-2001-061 - RB</t>
  </si>
  <si>
    <t>0001413/2023</t>
  </si>
  <si>
    <t>Instalação de 01 (um) grupo motor-gerador, potência 300 kVA, posição 200G2 e 01 (um) Painel de distribuição (PT1-CA) na SE PCD, incluindo cabeamentos associados.</t>
  </si>
  <si>
    <t>MG PICI II / CCO-2001-061 - RB</t>
  </si>
  <si>
    <t>0001414/2023</t>
  </si>
  <si>
    <t>Instalação de 01 (um) Transformador de Serviço Auxiliar, 13,8kV, potência 225 kVA, posição 01T2 e 01 (um) Painel de distribuição (PT1-CA) na SE SNB, incluindo cabeamentos associados.</t>
  </si>
  <si>
    <t>MG SR.BONFIM II / CCO-2001-061 - RB</t>
  </si>
  <si>
    <t>0001415/2023</t>
  </si>
  <si>
    <t>Instalação de 01 (um) Transformador de Serviço Auxiliar, 13,8kV, potência 225 kVA, posição 01T7 na SE STJ, incluindo cabeamentos associados.</t>
  </si>
  <si>
    <t>MG STO.A.JESUS / CCO-2001-061 - RB</t>
  </si>
  <si>
    <t>0001416/2023</t>
  </si>
  <si>
    <t>Instalação de 01 (um) Transformador de Serviço Auxiliar, 13,8kV, potência 225 kVA, posição 01T7 e 01 (um) Painel de distribuição (PT1-CA) na SE IRE, incluindo cabeamentos associados.</t>
  </si>
  <si>
    <t>0001418/2023</t>
  </si>
  <si>
    <t>JAGUARARI-SE</t>
  </si>
  <si>
    <t>Instalação de 01 (um) Transformador de Serviço Auxiliar, 13,8kV, potência 225 kVA, posição 01T4 na SE JGR, incluindo cabeamentos associados.</t>
  </si>
  <si>
    <t>MG JAGUARARI-SE / CCO-2001-061 - RB</t>
  </si>
  <si>
    <t>0001419/2023</t>
  </si>
  <si>
    <t>CEARA MIRIM 2</t>
  </si>
  <si>
    <t>Instalação de 01 (um) relé de controle no Disjuntor da posição operacional 14T5, da Subestação CID.</t>
  </si>
  <si>
    <t>CE 150/-75 Mvar CEARA MIRIM II CE1 RN</t>
  </si>
  <si>
    <t>0001438/2023</t>
  </si>
  <si>
    <t>PICOS</t>
  </si>
  <si>
    <t>Substituição do Sistema de Comunicação Rádio por um Sistema de Comunicação Óptica, na subestação PICOS, composto por: 01 Distribuidor Geral Óptico, dutos e fibra óptica, assiciado à substituição da teleproteção principal.</t>
  </si>
  <si>
    <t>MG PICOS / CCO-2001-061 - RB</t>
  </si>
  <si>
    <t>0001440/2023</t>
  </si>
  <si>
    <t>Instalação de Sistema de Comunicação Óptica, na subestação SOBRAL II, composto por: 01 Multiplexador, 01 Distribuidor Geral Óptico, dutos e fibra óptica, associado à teleproteção alternada via OPGW.</t>
  </si>
  <si>
    <t>MG SOBRAL II / CCO-2001-061 - RB</t>
  </si>
  <si>
    <t>0001443/2023</t>
  </si>
  <si>
    <t>Instalação do Sistema de Comunicação Óptica, na subestação SOBRAL II, composto por: 01 Distribuidor Geral Óptico, dutos e fibra óptica, , associado à teleproteção alternada via OPGW.</t>
  </si>
  <si>
    <t>MG CAUIPE / CCO-2001-061 - RB</t>
  </si>
  <si>
    <t>0001445/2023</t>
  </si>
  <si>
    <t>Instalação do Sistema de Comunicação Óptica, na subestação G. MANGABEIRA, composto por: 01 Distribuidor Geral Óptico, dutos e fibra óptica, associado à teleproteção alternada independente via OPGW.</t>
  </si>
  <si>
    <t>MG G.MANGABEIRA / CCO-2001-061 - RB</t>
  </si>
  <si>
    <t>0001446/2023</t>
  </si>
  <si>
    <t>BRUMADO II</t>
  </si>
  <si>
    <t>Instalação do Sistema de Comunicação Óptica, na subestação BRUMADO II, composto por: 01 Multiplex SDH, 01 Distribuidor Geral Óptico, dutos e fibra óptica, associado à teleproteção alternada.</t>
  </si>
  <si>
    <t>MG 500 kV BRUMADO II MGX BA</t>
  </si>
  <si>
    <t>0001447/2023</t>
  </si>
  <si>
    <t>Instalação de Sistema de Comunicação Óptica, na subestação PAU FERRO, composto por: 02 Km de Cabo Dielétrico, 01 Multiplexador SDH, 01 Distribuidor Geral Óptico, dutos e fibra óptica, associado à teleproteção alternada via OPGW.</t>
  </si>
  <si>
    <t>0001448/2023</t>
  </si>
  <si>
    <t>Instalação de Sistema de Comunicação Óptica, na subestação CATU, composto por: 01 Multiplexador, 01 Distribuidor Geral Óptico, dutos e fibra óptica, associado à teleproteção alternada independente via OPGW.</t>
  </si>
  <si>
    <t>MG CATU / CCO-2001-061 - RB</t>
  </si>
  <si>
    <t>0001451/2023</t>
  </si>
  <si>
    <t>NSA.SRA.SOCORRO</t>
  </si>
  <si>
    <t>Instalação de 01 Multiplexador Óptico SDH redundante, na subestação N.S.SOCORRO, associado à teleproteção alternada.</t>
  </si>
  <si>
    <t>MG N.S.SOCORRO / CCO-2012-005 - RB</t>
  </si>
  <si>
    <t>0001452/2023</t>
  </si>
  <si>
    <t>CAMACARI IV</t>
  </si>
  <si>
    <t>Instalação de Sistema de Comunicação Óptica, na subestação CAMACARI IV, composto por: 01 Multiplexador SDH, 01 Distribuidor Geral Óptico, dutos e fibra óptica, associado à teleproteção alternada.</t>
  </si>
  <si>
    <t>MG CAMACARI IV / CCO-2010-007 - RB</t>
  </si>
  <si>
    <t>0001453/2023</t>
  </si>
  <si>
    <t>IBICOARA</t>
  </si>
  <si>
    <t>Instalação do Sistema de Comunicação Óptica, na subestação IBICOARA, composto por: 01 Distribuidor Geral Óptico, dutos e fibra óptica, associado à teleproteção alternada.</t>
  </si>
  <si>
    <t>MG IBICOARA / CCO-2007-010 - RB</t>
  </si>
  <si>
    <t>0001454/2023</t>
  </si>
  <si>
    <t>Aquisição de relés para ativação do ERAC nos 04 Bancos de Capacitores de 69 kV da SE.</t>
  </si>
  <si>
    <t>MC 69 kV BC 69 kV 24,4 Mvar DELM. GOUVEIA BC1 CE (12H1)</t>
  </si>
  <si>
    <t>0001456/2023</t>
  </si>
  <si>
    <t>Instalação do SPCS de Barras 230 kV na subestação BOM NOME, composto por: 02 painéis, 02 unidades centrais de proteção de barras (principal e alternada), do tipo adaptativa e distribuída, com capacidade para atender, no mínimo, 16 vãos, 32 unidades de bay de proteção de barras (principal e alternada) e infraestrutura de comunicação associados.</t>
  </si>
  <si>
    <t>MG BOM NOME / CCO-2001-061 - RB</t>
  </si>
  <si>
    <t>0001473/2023</t>
  </si>
  <si>
    <t>Instalação do SPCS das Barras 230 kV na subestação CATU, composto por: 02 painéis, 02 unidades centrais de proteção de barras (principal e alternada), do tipo adaptativa e distribuída, com capacidade para atender, no mínimo, 11 vãos, 22 unidades de bay de proteção de barras (principal e alternada) e infraestrutura de comunicação associados.</t>
  </si>
  <si>
    <t>0001476/2023</t>
  </si>
  <si>
    <t>Instalação do SPCS das Barras 230 kV na subestação CAUIPE, composto por: 02 painéis, 02 unidades centrais de proteção de barras (principal e alternada), do tipo adaptativa e distribuída, com capacidade para atender, no mínimo, 13 vãos, 26 unidades de bay de proteção de barras (principal e alternada) e infraestrutura de comunicação associados</t>
  </si>
  <si>
    <t>0001485/2023</t>
  </si>
  <si>
    <t>Instalação do SPCS das Barras 230 kV na subestação PAU FERRO, composto por: 02 painéis, 02 unidades centrais de proteção de barras (principal e alternada), do tipo adaptativa e distribuída, com capacidade para atender, no mínimo, 19 vãos, 38 unidades de bay de proteção de barras (principal e alternada) e infraestrutura de comunicação associados.</t>
  </si>
  <si>
    <t>0001489/2023</t>
  </si>
  <si>
    <t>Substituição do painel de teleproteção e equipamentos associados, relacionados à teleproteção alterada via OPGW no vão da Entrada de Linha 05V7 (LT 500 kV JARDIM /CAMACARI IV C-1) na subestação JARDIM.</t>
  </si>
  <si>
    <t>0001505/2023</t>
  </si>
  <si>
    <t>Instalação de 01 Multiplexador Óptico SDH redundante, na subestação QUIXADA, associado à teleproteção alternada.</t>
  </si>
  <si>
    <t>MG QUIXADA / CCO-2001-061 - RB</t>
  </si>
  <si>
    <t>0001506/2023</t>
  </si>
  <si>
    <t>FLORESTA II</t>
  </si>
  <si>
    <t>Instalação de 01 Multiplexador Óptico SDH redundante, na subestação FLORESTA II, associado à teleproteção alternada via OPGW.</t>
  </si>
  <si>
    <t>MG FLORESTA II / CCO-2001-061 - RB</t>
  </si>
  <si>
    <t>0001507/2023</t>
  </si>
  <si>
    <t>Instalação de 01 Multiplexador Óptico SDH redundante, na subestação RECIFE II, associado à teleproteção alternada via OPGW.</t>
  </si>
  <si>
    <t>0001508/2023</t>
  </si>
  <si>
    <t>Instalação de 01 Multiplexador Óptico SDH redundante, na subestação ANGELIM II, associado à teleproteção alternada via OPGW.</t>
  </si>
  <si>
    <t>0001509/2023</t>
  </si>
  <si>
    <t>ITABAIANINHA</t>
  </si>
  <si>
    <t>Instalação de 01 Multiplexador Óptico SDH redundante, na subestação ITABAIANINHA, associado à teleproteção alternada independente via OPGW.</t>
  </si>
  <si>
    <t>MG ITABAIANINHA / CCO-2001-061 - RB</t>
  </si>
  <si>
    <t>0001510/2023</t>
  </si>
  <si>
    <t>Instalação de 01 Multiplexador Óptico SDH redundante, na subestação CIC. DANTAS, associado à teleproteção alternada.</t>
  </si>
  <si>
    <t>0001511/2023</t>
  </si>
  <si>
    <t>Substituição do painel de teleproteção e equipamentos associados, relacionados à teleproteção alternada via OPGW no vão da Entrada de Linha 05V7 (LT 500 kV JARDIM /CAMACARI IV C-1) na subestação CAMACARI IV.</t>
  </si>
  <si>
    <t>0001514/2023</t>
  </si>
  <si>
    <t>Instalação 02 Bobinas de Bloqueio associadas à teleproteção alternado via OPLAT, no vão da Entrada de Linha 04F4 ( LT 230 kV DELM. GOUVEIA /FORTALEZA II C-1) na subestação DELM. GOUVEIA.</t>
  </si>
  <si>
    <t>0001526/2023</t>
  </si>
  <si>
    <t>Instalação 02 Bobinas de Bloqueio associadas à teleproteção alternado via OPLAT, no vão da Entrada de Linha 04F5 ( LT 230 kV DELM. GOUVEIA /FORTALEZA II C-2) na subestação DELM. GOUVEIA.</t>
  </si>
  <si>
    <t>0001528/2023</t>
  </si>
  <si>
    <t>Instalação de 02 Bobinas de Bloqueio associadas à teleproteção alternada via OPLAT do vão da Entrada de Linha 04Z2 (LT 230 kV FORTALEZA II /PICI II C-1) na subestação FORTALEZA II.</t>
  </si>
  <si>
    <t>0001529/2023</t>
  </si>
  <si>
    <t>Instalação de 02 Bobinas de Bloqueio associadas à teleproteção alternada via OPLAT do vão da Entrada de Linha 04Z3 (LT 230 kV FORTALEZA II /PICI II C-2) na subestação FORTALEZA II.</t>
  </si>
  <si>
    <t>0001530/2023</t>
  </si>
  <si>
    <t>Instalação 02 Bobinas de Bloqueio associadas à teleproteção alternado via OPLAT, no vão da Entrada de Linha 04F4 ( LT 230 kV DELM. GOUVEIA /FORTALEZA II C-1) na subestação FORTALEZA II.</t>
  </si>
  <si>
    <t>0001531/2023</t>
  </si>
  <si>
    <t>Instalação 02 Bobinas de Bloqueio associadas à teleproteção alternado via OPLAT, no vão da Entrada de Linha 04F5 ( LT 230 kV DELM. GOUVEIA /FORTALEZA II C-2) na subestação FORTALEZA II.</t>
  </si>
  <si>
    <t>0001532/2023</t>
  </si>
  <si>
    <t>Instalação de 02 Bobinas de Bloqueio associadas à teleproteção alternado via OPLAT, no vão da Entrada de Linha 04L3 (LT 230 kV TERESINA II /TERESINA C-1) na subestação TERESINA.</t>
  </si>
  <si>
    <t>0001533/2023</t>
  </si>
  <si>
    <t>Instalação de 02 Bobinas de Bloqueio associadas à teleproteção alternado via OPLAT, no vão da Entrada de Linha 04L4 (LT 230 kV TERESINA II /TERESINA C-2) na subestação TERESINA.</t>
  </si>
  <si>
    <t>0001534/2023</t>
  </si>
  <si>
    <t>Instalação de 02 Bobinas de Bloqueio associadas à teleproteção alternado via OPLAT, no vão da Entrada de Linha 04L3 (LT 230 kV TERESINA II /TERESINA C-1) na subestação TERESINA II.</t>
  </si>
  <si>
    <t>0001535/2023</t>
  </si>
  <si>
    <t>Instalação de 02 Bobinas de Bloqueio associadas à teleproteção alternado via OPLAT, no vão da Entrada de Linha 04L4 (LT 230 kV TERESINA II /TERESINA C-2) na subestação TERESINA II.</t>
  </si>
  <si>
    <t>0001536/2023</t>
  </si>
  <si>
    <t>Instalação de 02 Bobinas de Bloqueio associadas à teleproteção alternado via OPLAT, no vão da Entrada de Linha 04S6 (LT 230 kV MESSIAS /MACEIO C-1) na subestação MACEIO.</t>
  </si>
  <si>
    <t>0001537/2023</t>
  </si>
  <si>
    <t>Instalação de 02 Bobinas de Bloqueio associadas à teleproteção alternado via OPLAT, no vão da Entrada de Linha 04S7 (LT 230 kV MESSIAS /MACEIO C-2) na subestação MACEIO.</t>
  </si>
  <si>
    <t>0001538/2023</t>
  </si>
  <si>
    <t>Instalação de Retificador 48 VCC (segunda unidade), Quadros de Distribuição e cabos de controle e potência associados. Capacidade do retificador: 250 A.</t>
  </si>
  <si>
    <t>0001539/2023</t>
  </si>
  <si>
    <t>Substituição do relé de proteção Primária da LT 138 kV Joinville – São Bento do Sul C-1 (futura LT Joinville – Joinville Fras-le), na SE Joinville, para permitir a instalação da função diferencial de linha (87L). A obra inclui a substituição dos painéis e cabos de controle e potência associados.</t>
  </si>
  <si>
    <t>LT 138 kV JOINVILLE / SAO BENTO DO SUL C-1 SC</t>
  </si>
  <si>
    <t>0001540/2023</t>
  </si>
  <si>
    <t>PP - LT SBS C-1</t>
  </si>
  <si>
    <t>Instalação de 2 Bobinas de Bloqueio associadas à teleproteção alternado via OPLAT, no vão da Entrada de Linha 04S6 (LT 230 kV MESSIAS /MACEIO C-1) na subestação MESSIAS.</t>
  </si>
  <si>
    <t>0001541/2023</t>
  </si>
  <si>
    <t>Instalação de 2 Bobinas de Bloqueio associadas à teleproteção alternado via OPLAT, no vão da Entrada de Linha 04S7 (LT 230 kV MESSIAS /MACEIO C-2) na subestação MESSIAS.</t>
  </si>
  <si>
    <t>0001542/2023</t>
  </si>
  <si>
    <t>Instalação de 02 Bobinas de Bloqueio associadas ao esquema de teleproteção alternado via OPLAT, no vão da Entrada de Linha 05C2 (LT 500 kV PECEM II /FORTALEZA II C-1) na subestação FORTALEZA II.</t>
  </si>
  <si>
    <t>0001544/2023</t>
  </si>
  <si>
    <t>Instalação de 02 Bobinas de Bloqueio associadas à teleproteção alternada via OPLAT do vão da Entrada de Linha 04Z2 (LT 230 kV FORTALEZA II /PICI II C-1) na subestação PICI II.</t>
  </si>
  <si>
    <t>0001545/2023</t>
  </si>
  <si>
    <t>Instalação de 02 Bobinas de Bloqueio associadas à teleproteção alternada via OPLAT do vão da Entrada de Linha 04Z3 (LT 230 kV FORTALEZA II /PICI II C-2) na subestação PICI II.</t>
  </si>
  <si>
    <t>0001546/2023</t>
  </si>
  <si>
    <t>PINHALZINHO 2</t>
  </si>
  <si>
    <t>LT 138 kV PINHALZINHO 2 / XANXERE C-1 SC</t>
  </si>
  <si>
    <t>0001547/2023</t>
  </si>
  <si>
    <t>PP - LT XXE C-1</t>
  </si>
  <si>
    <t>Instalação de 02 Bobinas de Bloqueio associadas ao esquema de teleproteção alternado via OPLAT, no vão da Entrada de Linha 05C2 (LT 500 kV PECEM II /FORTALEZA II C-1) na subestação PECEM II.</t>
  </si>
  <si>
    <t>0001548/2023</t>
  </si>
  <si>
    <t>Substituição do relé de proteção Primária da LT 138 kV Joinville – WEG Fundição C-1 (futura LT Joinville – Guaramirim L. Ind.), na SE Joinville, para permitir a implantação de teleproteção nesta linha. A obra inclui a substituição dos painéis e cabos de controle e potência associados.</t>
  </si>
  <si>
    <t>0001549/2023</t>
  </si>
  <si>
    <t>PP - LT WFO C-1</t>
  </si>
  <si>
    <t>Instalação da cadeia de proteção de Barras alternada, referente às barras A e B de 525 kV da SE Areia, incluindo uma Unidade Central e dez unidades de Bay (vãos TF 2 525/230 kV, LT Ivaiporã C-1, LT Bateias C-1, LT Curitiba C-1, LT Segredo C-1, LT GBMunhoz C-1, LT GBMunhoz C-2, LT Campos Novos C-1, IB DJ1030 e IB DJ1110), painéis e cabos de controle e potência associados.</t>
  </si>
  <si>
    <t>0001550/2023</t>
  </si>
  <si>
    <t>Instalação de 1 (um) Transformador de Aterramento 69 kV de 7,5 MVA, para operar em paralelo com a unidade 02A1 existente na SE Açu II.</t>
  </si>
  <si>
    <t>TT 69/0 kV ACU II TA2 RN (02A2)</t>
  </si>
  <si>
    <t>0001553/2023</t>
  </si>
  <si>
    <t>Instalação de 1 (um) Transformador de Aterramento 69 kV de 7,5 MVA, para operar em paralelo com a unidade 02A1 existente na SE Bom nome.</t>
  </si>
  <si>
    <t>TT 69/0 kV BOM NOME TA2 PE (02A2)</t>
  </si>
  <si>
    <t>0001555/2023</t>
  </si>
  <si>
    <t>Instalação de 1 (um) Transformador de Aterramento 69 kV de 7,5 MVA, para operar em paralelo com a unidade 02A1 existente na SE São João do Piauí.</t>
  </si>
  <si>
    <t>TT 69/0 kV S.JOAO PIAUI TA2 PI (02A2)</t>
  </si>
  <si>
    <t>0001557/2023</t>
  </si>
  <si>
    <t>Instalação de 1 (um) Transformador de Aterramento 69 kV de 7,5 MVA, para operar em paralelo com a unidade 02A1 existente na SE Itabaianinha.</t>
  </si>
  <si>
    <t>TT 69/0 kV ITABAIANINHA TA2 SE (02A2)</t>
  </si>
  <si>
    <t>0001558/2023</t>
  </si>
  <si>
    <t>Instalação de 1 (um) Transformador de Aterramento 69 kV de 7,5 MVA, para operar em paralelo com a unidade 02A1 existente na SE Coremas.</t>
  </si>
  <si>
    <t>TT 69/0 kV COREMAS TA2 PB (02A2)</t>
  </si>
  <si>
    <t>0001559/2023</t>
  </si>
  <si>
    <t>Instalação de 1 (um) módulo de conexão ao novo Transformador de Aterramento 69 kV de 7,5 MVA que operará em paralelo com a unidade 02A1 existente na SE Coremas.</t>
  </si>
  <si>
    <t>MC 69 kV TT 69/0 kV COREMAS TA2 PB (32A2-8)</t>
  </si>
  <si>
    <t>0001569/2023</t>
  </si>
  <si>
    <t>Associado a outro equipamento superado</t>
  </si>
  <si>
    <t>Instalação de 1 (um) módulo de conexão ao novo Transformador de Aterramento 69 kV de 7,5 MVA que operará em paralelo com a unidade 02A1 existente na SE São João do Piauí.</t>
  </si>
  <si>
    <t>MC 69 kV TT 69/0 kV S.JOAO PIAUI TA2 PI (32A2-8)</t>
  </si>
  <si>
    <t>0001570/2023</t>
  </si>
  <si>
    <t>Instalação de 1 (um) módulo de conexão ao novo Transformador de Aterramento 69 kV de 7,5 MVA que operará em paralelo com a unidade 02A1 existente na SE Açu.</t>
  </si>
  <si>
    <t>MC 69 kV TT 69/0 kV ACU II TA2 RN (32A2-8)</t>
  </si>
  <si>
    <t>0001571/2023</t>
  </si>
  <si>
    <t>Instalação de 1 (um) módulo de conexão ao novo Transformador de Aterramento 69 kV de 7,5 MVA que operará em paralelo com a unidade 02A1 existente na SE Bom Nome.</t>
  </si>
  <si>
    <t>MC 69 kV TT 69/0 kV BOM NOME TA2 PE (32A2-8)</t>
  </si>
  <si>
    <t>0001572/2023</t>
  </si>
  <si>
    <t>Instalação de 1 (um) módulo de conexão ao novo Transformador de Aterramento 69 kV de 7,5 MVA que operará em paralelo com a unidade 02A1 existente na SE Itabaianinha.</t>
  </si>
  <si>
    <t>MC 69 kV TT 69/0 kV ITABAIANINHA TA2 SE (32A2-8)</t>
  </si>
  <si>
    <t>0001573/2023</t>
  </si>
  <si>
    <t>LT 230 kV PICOS /TAUA II PI/CE</t>
  </si>
  <si>
    <t>Substituição de 183 km de cabo para-raios convencional por cabo OPGW com 24 fibras, em toda a extensão da LT 230 kV PICOS /TAUA II C-1 PI/CE (04M3), associado à substituição da teleproteção principal.</t>
  </si>
  <si>
    <t>LT 230 kV PICOS /TAUA II C-1 PI/CE</t>
  </si>
  <si>
    <t>0001578/2023</t>
  </si>
  <si>
    <t>11729284</t>
  </si>
  <si>
    <t>Instalação de equipamentos associados à teleproteção alternada via OPGW na subestação MILAGRES, contemplando: 01 Multiplexador SDH, 01 Distribuidor Geral Óptico, dutos e fibra óptica. O Sistema de Comunicação Óptica substituirá o Sistema de Comunicação Rádio.</t>
  </si>
  <si>
    <t>0001579/2023</t>
  </si>
  <si>
    <t>11371527</t>
  </si>
  <si>
    <t>Instalação de 01 Multiplexador Óptico SDH, na subestação COTEGIPE, associado à teleproteção alternada via OPGW.</t>
  </si>
  <si>
    <t>MG COTEGIPE / CCO-2001-061 - RB</t>
  </si>
  <si>
    <t>0001580/2023</t>
  </si>
  <si>
    <t>11371551</t>
  </si>
  <si>
    <t>TAUA II</t>
  </si>
  <si>
    <t>Substituição do Sistema de Comunicação Rádio por um Sistema de Comunicação Óptica, na subestação TAUA II, composto por: 01 Multiplexador SDH, 01 Distribuidor Geral Óptico, dutos e fibra óptica, associado à substituição da teleproteção principal.</t>
  </si>
  <si>
    <t>MG TAUA II / CCO-2005-007 - RB</t>
  </si>
  <si>
    <t>0001581/2023</t>
  </si>
  <si>
    <t>11374873</t>
  </si>
  <si>
    <t>Instalação de equipamentos associados à teleproteção alternada via OPGW na subestação COREMAS, contemplando: 01 Multiplexador SDH, 01 Distribuidor Geral Óptico, dutos e fibra óptica. O Sistema de Comunicação Óptica substituirá o Sistema de Comunicação Rádio.</t>
  </si>
  <si>
    <t>MG COREMAS / CCO-2001-061 - RB</t>
  </si>
  <si>
    <t>0001582/2023</t>
  </si>
  <si>
    <t>11371577</t>
  </si>
  <si>
    <t>Substituição do painel de teleproteção e equipamentos associados, relacionados à teleproteção alternada via OPGW do vão da Entrada de Linha 04S2 (LT 230 kV CAUIPE/SOBRAL II C-1) na subestação CAUIPE.</t>
  </si>
  <si>
    <t>0001595/2023</t>
  </si>
  <si>
    <t>11373874</t>
  </si>
  <si>
    <t>Substituição do painel de teleproteção e equipamentos associados, relacionados à teleproteção alternada via OPGW do vão da Entrada de Linha 04S2 (LT 230 kV CAUIPE/SOBRAL II C-1) na subestação SOBRAL II.</t>
  </si>
  <si>
    <t>0001596/2023</t>
  </si>
  <si>
    <t>11373872</t>
  </si>
  <si>
    <t>Substituição do OPLAT por painel de teleproteção e equipamentos associados, relacionados à nova teleproteção principal via OPGW no vão da Entrada de Linha 04L2 (LT 230 kV CIC. DANTAS /CATU C-1) na subestação CATU.</t>
  </si>
  <si>
    <t>0001597/2023</t>
  </si>
  <si>
    <t>11371269</t>
  </si>
  <si>
    <t>Substituição do OPLAT por painel de teleproteção e equipamentos associados, relacionados à nova teleproteção principal via OPGW no vão da Entrada de Linha 04M3 (LT 230 kV CATU /G.MANGABEIRA C-1) na subestação CATU.</t>
  </si>
  <si>
    <t>LT 230 kV CATU /G.MANGABEIRA C-1 BA</t>
  </si>
  <si>
    <t>0001599/2023</t>
  </si>
  <si>
    <t>11371268</t>
  </si>
  <si>
    <t>Instalação painel de teleproteção e equipamentos associados, relacionados à teleproteção alternada via OPGW no vão da Entrada de Linha 04L2 (LT 230 kV CIC. DANTAS /CATU C-1) na subestação CICERO DANTAS.</t>
  </si>
  <si>
    <t>0001600/2023</t>
  </si>
  <si>
    <t>11371260</t>
  </si>
  <si>
    <t>Substituição do OPLAT por painel de teleproteção e equipamentos associados, relacionados à nova teleproteção principal via OPGW no vão da Entrada de Linha 04M3 (LT 230 kV CATU /G.MANGABEIRA C-1) na subestação G.MANGABEIRA.</t>
  </si>
  <si>
    <t>0001602/2023</t>
  </si>
  <si>
    <t>11371267</t>
  </si>
  <si>
    <t>Substituição do painel de teleproteção e equipamentos associados, relacionados à teleproteção principal via OPGW no vão da Entrada de Linha 04F6 (LT 230 kV RECIFE II /PAU FERRO C-1) na subestação RECIFE II.</t>
  </si>
  <si>
    <t>LT 230 kV RECIFE II /PAU FERRO C-1 PE</t>
  </si>
  <si>
    <t>0001603/2023</t>
  </si>
  <si>
    <t>11373934</t>
  </si>
  <si>
    <t>Substituição do painel de teleproteção e equipamentos associados, relacionados à teleproteção principal via OPGW no vão da Entrada de Linha 04C4 (LT 230 kV PAU FERRO /C.GRANDE II C-2) na subestação PAU FERRO.</t>
  </si>
  <si>
    <t>0001604/2023</t>
  </si>
  <si>
    <t>11373936</t>
  </si>
  <si>
    <t>Substituição do painel de teleproteção e equipamentos associados, relacionados à teleproteção principal via OPGW no vão da Entrada de Linha 04F6 (LT 230 kV RECIFE II /PAU FERRO C-1) na subestação PAU FERRO.</t>
  </si>
  <si>
    <t>0001605/2023</t>
  </si>
  <si>
    <t>11373933</t>
  </si>
  <si>
    <t>Substituição do painel de teleproteção e equipamentos associados, relacionados à teleproteção principal via OPGW no vão da Entrada de Linha 04F7 (LT 230 kV RECIFE II /PAU FERRO C-2) na subestação PAU FERRO.</t>
  </si>
  <si>
    <t>LT 230 kV RECIFE II /PAU FERRO C-2 PE</t>
  </si>
  <si>
    <t>0001606/2023</t>
  </si>
  <si>
    <t>11373932</t>
  </si>
  <si>
    <t>Substituição do painel de teleproteção e equipamentos associados, relacionados à teleproteção principal via OPGW no vão da Entrada de Linha 04C4 (LT 230 kV PAU FERRO /C.GRANDE II C-2) na subestação C.GRANDE II.</t>
  </si>
  <si>
    <t>0001607/2023</t>
  </si>
  <si>
    <t>11373931</t>
  </si>
  <si>
    <t>Substituição do painel de teleproteção e equipamentos associados, relacionados à teleproteção principal via OPGW no vão da Entrada de Linha 04F7 (LT 230 kV RECIFE II /PAU FERRO C-2) na subestação RECIFE II.</t>
  </si>
  <si>
    <t>0001608/2023</t>
  </si>
  <si>
    <t>11373935</t>
  </si>
  <si>
    <t>Substituição do Sistema de Comunicação via Rádio por um Sistema de Comunicação Óptica na subestação ZEBU, composto por: 02 km de cabo dielétrico, 01 Distribuidor Geral Óptico, dutos e fibra óptica, associado à teleproteção alternada.</t>
  </si>
  <si>
    <t>MG ZEBU / CCO-2009-017 - RB</t>
  </si>
  <si>
    <t>0001609/2023</t>
  </si>
  <si>
    <t>11371531</t>
  </si>
  <si>
    <t>Substituição do Sistema de Comunicação via Rádio por um Sistema de Comunicação Óptica na subestação P.AFONSO III, composto por: 01 Distribuidor Geral Óptico, dutos e fibra óptica, associado à teleproteção principal.</t>
  </si>
  <si>
    <t>0001610/2023</t>
  </si>
  <si>
    <t>11371537</t>
  </si>
  <si>
    <t>Substituição do SPCS associado ao vão da Entrada de Linha 04M3 (LT 230 kV CATU /G.MANGABEIRA C-1) na subestação G.MANGABEIRA, por um novo sistema composto por: 02 painéis, 02 proteções (principal e alternada), 01 unidade de controle, 02 falhas de disjuntor (principal e alternada), cabos de controle e infraestrutura de comunicação associados.</t>
  </si>
  <si>
    <t>0001613/2023</t>
  </si>
  <si>
    <t>12355347</t>
  </si>
  <si>
    <t>Substituição do SPCS associado ao vão da Entrada de Linha 04S2 (LT 230 kV SE Floresta II /BOM NOME C-2) na subestação BOM NOME, por um novo sistema composto por: 02 painéis, 02 proteções (principal e alternada), 01 unidade de controle, 02 falhas de disjuntor (principal e alternada), cabos de controle e infraestrutura de comunicação associados.</t>
  </si>
  <si>
    <t>LT 230 kV FLORESTA II /BOM NOME C-1 PE</t>
  </si>
  <si>
    <t>0001614/2023</t>
  </si>
  <si>
    <t>11367176</t>
  </si>
  <si>
    <t>Substituição do SPCS do Transformador 04T1 na subestação BOM NOME, por um novo sistema composto por: 02 painéis, 02 proteções (principal e alternada), 02 unidades de controle, 02 falhas de disjuntor (principal e alternada), cabos de controle e infraestrutura de comunicação associados.</t>
  </si>
  <si>
    <t>TR 230/69 kV BOM NOME TR1 PE</t>
  </si>
  <si>
    <t>0001615/2023</t>
  </si>
  <si>
    <t>11366824</t>
  </si>
  <si>
    <t>Substituição do SPCS do Transformador 04T2 na subestação BOM NOME, por um novo sistema composto por: 02 painéis, 02 proteções (principal e alternada), 02 unidades de controle, 02 falhas de disjuntor (principal e alternada), cabos de controle e infraestrutura de comunicação associados.</t>
  </si>
  <si>
    <t>TR 230/69 kV BOM NOME TR2 PE</t>
  </si>
  <si>
    <t>0001616/2023</t>
  </si>
  <si>
    <t>11366822</t>
  </si>
  <si>
    <t>Substituição do SPCS do Transformador 04T4 na subestação BOM NOME, por um novo sistema composto por: 02 painéis, 02 proteções (principal e alternada), 02 unidades de controle, 02 falhas de disjuntor (principal e alternada), cabos de controle e infraestrutura de comunicação associados.</t>
  </si>
  <si>
    <t>0001617/2023</t>
  </si>
  <si>
    <t>11366817</t>
  </si>
  <si>
    <t>Substituição do SPCS do Transformador 04T6 na subestação BOM NOME, por um novo sistema composto por: 02 painéis, 02 proteções (principal e alternada), 02 unidades de controle, 02 falhas de disjuntor (principal e alternada), cabos de controle e infraestrutura de comunicação associados.</t>
  </si>
  <si>
    <t>TR 230/138 kV BOM NOME TR6 PE</t>
  </si>
  <si>
    <t>0001620/2023</t>
  </si>
  <si>
    <t>11366816</t>
  </si>
  <si>
    <t>Substituição do SPCS do Disjuntor de Interligação de Barras 14D1 na subestação BOM NOME, por um novo sistema composto por: 01 painel, 01 unidade de controle, cabos de controle e infraestrutura de comunicação associados ao módulo de interligação de barras (14D1).</t>
  </si>
  <si>
    <t>0001621/2023</t>
  </si>
  <si>
    <t>11352107</t>
  </si>
  <si>
    <t>Substituição do SPCS associado ao vão da Entrada de Linha 04L2 (LT 230 kV CIC. DANTAS /CATU C-1) na subestação CIC. DANTAS, por um novo sistema composto por: 02 painéis, 02 proteções (principal e alternada), 01 unidade de controle, 02 falhas de disjuntor (principal e alternada), cabos de controle e infraestrutura de comunicação associados.</t>
  </si>
  <si>
    <t>0001622/2023</t>
  </si>
  <si>
    <t>11353413</t>
  </si>
  <si>
    <t>Substituição do SPCS associado ao vão da Entrada de Linha 04L1 (LT 230 kV ITABAIANINHA /CATU C-1) na subestação CATU, por um novo sistema composto por: 02 painéis, 02 proteções (principal e alternada), 01 unidade de controle, 02 falhas de disjuntor (principal e alternada), cabos de controle e infraestrutura de comunicação associados.</t>
  </si>
  <si>
    <t>LT 230 kV ITABAIANINHA /CATU C-1 SE/BA</t>
  </si>
  <si>
    <t>0001624/2023</t>
  </si>
  <si>
    <t>11353441</t>
  </si>
  <si>
    <t>Substituição do SPCS associado ao vão da Entrada de Linha 04L2 (LT 230 kV CIC. DANTAS /CATU C-1) na subestação CATU, por um novo sistema composto por: 02 painéis, 02 proteções (principal e alternada), 01 unidade de controle, 02 falhas de disjuntor (principal e alternada), cabos de controle e infraestrutura de comunicação associados.</t>
  </si>
  <si>
    <t>0001625/2023</t>
  </si>
  <si>
    <t>11353440</t>
  </si>
  <si>
    <t>Substituição do SPCS associado ao vão da Entrada de Linha 04M3 (LT 230 kV CATU /G.MANGABEIRA C-1) na subestação CATU, por um novo sistema composto por: 02 painéis, 02 proteções (principal e alternada), 01 unidade de controle, 02 falhas de disjuntor (principal e alternada), cabos de controle e infraestrutura de comunicação associados.</t>
  </si>
  <si>
    <t>0001627/2023</t>
  </si>
  <si>
    <t>11353444</t>
  </si>
  <si>
    <t>Substituição do SPCS associado ao vão da Entrada de Linha 04M4 (LT 230 kV CATU /FERBASA) na subestação CATU, por um novo sistema composto por: 02 painéis, 02 proteções (principal e alternada), 01 unidade de controle, 02 falhas de disjuntor (principal e alternada), cabos de controle e infraestrutura de comunicação associados.</t>
  </si>
  <si>
    <t>EL 230 kV CATU FERBASA (14M4)</t>
  </si>
  <si>
    <t>0001628/2023</t>
  </si>
  <si>
    <t>11353448</t>
  </si>
  <si>
    <t>Substituição do SPCS do Disjuntor de Interligação de Barras 14D1 na subestação CATU, por um novo sistema composto por: 01 painel, 01 unidade de controle, 02 falhas de disjuntor (principal e alternada), cabos de controle e infraestrutura de comunicação associados ao módulo de interligação de barras (14D1).</t>
  </si>
  <si>
    <t>0001629/2023</t>
  </si>
  <si>
    <t>11360983</t>
  </si>
  <si>
    <t>Substituição do SPCS do Transformador 04T1 na subestação CATU, por um novo sistema composto por: 02 painéis, 02 proteções (principal e alternada), 02 unidades de controle, 02 falhas de disjuntor (principal e alternado), cabos de controle e infraestrutura de comunicação associados.</t>
  </si>
  <si>
    <t>0001630/2023</t>
  </si>
  <si>
    <t>11362978</t>
  </si>
  <si>
    <t>Substituição do SPCS do Transformador 04T2 na subestação CATU, por um novo sistema composto por: 02 painéis, 02 proteções (principal e alternada), 02 unidades de controle, 02 falhas de disjuntor (principal e alternado), cabos de controle e infraestrutura de comunicação associados.</t>
  </si>
  <si>
    <t>0001631/2023</t>
  </si>
  <si>
    <t>11361831</t>
  </si>
  <si>
    <t>Substituição do SPCS do Transformador 04T3 na subestação CATU, por um novo sistema composto por: 02 painéis, 02 proteções (principal e alternada), 02 unidades de controle, 02 falhas de disjuntor (principal e alternado), cabos de controle e infraestrutura de comunicação associados.</t>
  </si>
  <si>
    <t>TR 230/69 kV CATU TR3 BA</t>
  </si>
  <si>
    <t>0001632/2023</t>
  </si>
  <si>
    <t>11358797</t>
  </si>
  <si>
    <t>Substituição do SPCS associado ao vão da Entrada de Linha 04C4 (LT 230 kV PAU FERRO /C.GRANDE II C-2) na subestação C.GRANDE II, por um novo sistema composto por: 02 painéis, 02 proteções (principal e alternada), 01 unidade de controle, cabos de controle e infraestrutura de comunicação associados.</t>
  </si>
  <si>
    <t>0001633/2023</t>
  </si>
  <si>
    <t>11365212</t>
  </si>
  <si>
    <t>Substituição do SPCS da Entrada de Linha 04S2 (LT 230 kV CAUIPE/SOBRAL II C-1) na subestação CAUIPE, por um novo sistema composto por: 02 painéis, 02 proteções (principal e alternada), 01 unidade de controle, 02 falhas de disjuntor (principal e alternada) e cabos de controle e infraestrutura de comunicação associados.</t>
  </si>
  <si>
    <t>0001636/2023</t>
  </si>
  <si>
    <t>11361348</t>
  </si>
  <si>
    <t>Substituição do SPCS do Disjuntor de Interligação de Barramento 14D1 na subestação CAUIPE, por um novo sistema composto por: 01 painél, 01 unidade de controle, 02 falhas de disjuntor (principal e alternada), cabos de controle e infraestrutura de comunicação associados ao módulo de interligação de barras (14D1).</t>
  </si>
  <si>
    <t>0001637/2023</t>
  </si>
  <si>
    <t>11351219</t>
  </si>
  <si>
    <t>Substituição do SPCS do Transformador 04T1 na subestação CAUIPE, por um novo sistema composto por: 02 painéis, 02 proteções (principal e alternada), 02 unidades de controle, 02 falhas de disjuntor (principal e alternada), cabos de controle e infraestrutura de comunicação associados.</t>
  </si>
  <si>
    <t>TR 230/69 kV CAUIPE TR1 CE</t>
  </si>
  <si>
    <t>0001638/2023</t>
  </si>
  <si>
    <t>11360425</t>
  </si>
  <si>
    <t>Substituição do SPCS do Transformador 04T2 na subestação CAUIPE, por um novo sistema composto por: 02 painéis, 02 proteções (principal e alternada), 02 unidades de controle, 02 falhas de disjuntor (principal e alternada), cabos de controle e infraestrutura de comunicação associados.</t>
  </si>
  <si>
    <t>TR 230/69 kV CAUIPE TR2 CE</t>
  </si>
  <si>
    <t>0001639/2023</t>
  </si>
  <si>
    <t>11360422</t>
  </si>
  <si>
    <t>Substituição do SPCS associado ao vão da Entrada de Linha 04L1 (LT 230 kV ITABAIANINHA /CATU C-1) na subestação ITABAIANINHA, por um novo sistema composto por: 02 painéis, 02 proteções (principal e alternada), 01 unidade de controle, 02 falhas de disjuntor (principal e alternada), cabos de controle e infraestrutura de comunicação associados.</t>
  </si>
  <si>
    <t>0001640/2023</t>
  </si>
  <si>
    <t>11367749</t>
  </si>
  <si>
    <t>Substituição do SPCS associado ao vão da Entrada de Linha 04C4 (LT 230 kV PAU FERRO /C.GRANDE II C-2) na subestação PAU FERRO, por um novo sistema composto por: 02 painéis, 02 proteções (principal e alternada), 01 unidade de controle, 02 falhas de disjuntor (principal e alternada), cabos de controle e infraestrutura de comunicação associados.</t>
  </si>
  <si>
    <t>0001642/2023</t>
  </si>
  <si>
    <t>12414092</t>
  </si>
  <si>
    <t>Substituição do SPCS associado ao vão da Entrada de Linha 04F6 (LT 230 kV RECIFE II /PAU FERRO C-1) na subestação PAU FERRO, por um novo sistema composto por: 02 painéis, 02 proteções (principal e alternada), 01 unidade de controle, 02 falhas de disjuntor (principal e alternada), cabos de controle e infraestrutura de comunicação associados.</t>
  </si>
  <si>
    <t>0001643/2023</t>
  </si>
  <si>
    <t>11364291</t>
  </si>
  <si>
    <t>Substituição do SPCS associado ao vão da Entrada de Linha 04F7 (LT 230 kV RECIFE II /PAU FERRO C-2) na subestação PAU FERRO, por um novo sistema composto por: 02 painéis, 02 proteções (principal e alternada), 01 unidade de controle, 02 falhas de disjuntor (principal e alternada), cabos de controle e infraestrutura de comunicação associados.</t>
  </si>
  <si>
    <t>0001644/2023</t>
  </si>
  <si>
    <t>11364311</t>
  </si>
  <si>
    <t>Substituição do SPCS do Transformador 04T1 na subestação PAU FERRO, por um novo sistema composto por: 02 painéis, 02 proteções (principal e alternada), 02 unidades de controle, 02 falhas de disjuntor (principal e alternado), cabos de controle e infraestrutura de comunicação associados.</t>
  </si>
  <si>
    <t>TR 230/69 kV PAU FERRO TR1 PE</t>
  </si>
  <si>
    <t>0001647/2023</t>
  </si>
  <si>
    <t>11364853</t>
  </si>
  <si>
    <t>Substituição do SPCS do Transformador 04T2 na subestação PAU FERRO, por um novo sistema composto por: 02 painéis, 02 proteções (principal e alternada), 02 unidades de controle, 02 falhas de disjuntor (principal e alternado), cabos de controle e infraestrutura de comunicação associados.</t>
  </si>
  <si>
    <t>TR 230/69 kV PAU FERRO TR2 PE</t>
  </si>
  <si>
    <t>0001648/2023</t>
  </si>
  <si>
    <t>11364854</t>
  </si>
  <si>
    <t>Substituição do SPCS do Transformador 04T3 na subestação PAU FERRO, por um novo sistema composto por: 02 painéis, 02 proteções (principal e alternada), 02 unidades de controle, 02 falhas de disjuntor (principal e alternado), cabos de controle e infraestrutura de comunicação associados.</t>
  </si>
  <si>
    <t>TR 230/69 kV PAU FERRO TR3 PE</t>
  </si>
  <si>
    <t>0001649/2023</t>
  </si>
  <si>
    <t>11361119</t>
  </si>
  <si>
    <t>Substituição do SPCS associado ao vão da Entrada de Linha 04S2 (LT 230 kV SE Floresta II /BOM NOME C-2) na subestação SE Floresta II, por um novo sistema composto por: 02 painéis, 02 proteções (principal e alternada), 01 unidade de controle, 02 falhas de disjuntor (principal e alternada), cabos de controle e infraestrutura de comunicação associados.</t>
  </si>
  <si>
    <t>0001650/2023</t>
  </si>
  <si>
    <t>11365559</t>
  </si>
  <si>
    <t>Substituição do SPCS associado ao vão da Entrada de Linha 05V7 (LT 500 kV JARDIM /CAMACARI IV C-1) na subestação CAMACARI IV, por um novo sistema composto por: 02 painéis, 02 proteções (principal e alternada), 01 unidade de controle, 02 falhas de disjuntor (principal e alternada), cabos de controle e infraestrutura de comunicação associados.</t>
  </si>
  <si>
    <t>0001651/2023</t>
  </si>
  <si>
    <t>11366149</t>
  </si>
  <si>
    <t>Substituição do SPCS associado ao vão da Entrada de Linha 04F6 (LT 230 kV RECIFE II /PAU FERRO C-1) na subestação RECIFE II, por um novo sistema composto por: 02 painéis, 02 proteções (principal e alternada), 01 unidade de controle, 02 unidades de falha de disjuntor (principal e alternada), cabos de controle e infraestrutura de comunicação associados.</t>
  </si>
  <si>
    <t>0001652/2023</t>
  </si>
  <si>
    <t>11353298</t>
  </si>
  <si>
    <t>Substituição do SPCS associado ao vão da Entrada de Linha 04F7 (LT 230 kV RECIFE II /PAU FERRO C-2) na subestação RECIFE II, por um novo sistema composto por: 02 painéis, 02 proteções (principal e alternada), 01 unidade de controle, 02 unidades de falha de disjuntor (principal e alternada), cabos de controle e infraestrutura de comunicação associados.</t>
  </si>
  <si>
    <t>0001653/2023</t>
  </si>
  <si>
    <t>11353299</t>
  </si>
  <si>
    <t>Substituição do SPCS do Reator de Linha 05E1 na subestação JARDIM, por um novo sistema composto por: 02 painéis, 02 proteções (principal e alternada), 01 unidade de controle, cabos de controle e infraestrutura de comunicação associados.</t>
  </si>
  <si>
    <t>0001655/2023</t>
  </si>
  <si>
    <t>11366498</t>
  </si>
  <si>
    <t>Substituição do SPCS associado ao vão da Entrada de Linha 05V5 (LT 500 kV USINA XINGO /JARDIM C-1) na subestação JARDIM, por um novo sistema composto por: 02 painéis, 02 proteções (principal e alternada), 01 unidade de controle, cabos de controle e infraestrutura de comunicação associados.</t>
  </si>
  <si>
    <t>0001656/2023</t>
  </si>
  <si>
    <t>11366475</t>
  </si>
  <si>
    <t>Substituição do SPCS associado ao vão da Entrada de Linha 05V7 (LT 500 kV JARDIM /CAMACARI IV C-1) na subestação JARDIM, por um novo sistema composto por: 02 painéis, 02 proteções (principal e alternada), 01 unidade de controle, cabos de controle e infraestrutura de comunicação associados.</t>
  </si>
  <si>
    <t>0001657/2023</t>
  </si>
  <si>
    <t>11366155</t>
  </si>
  <si>
    <t>Substituição do SPCS do Disjuntor de Interligação de Barras 15D1 na subestação JARDIM, por um novo sistema composto por: 01 painel, 01 unidade de controle, 02 falhas de disjuntor (principal e alternada), cabos de controle e infraestrutura de comunicação associados ao módulo de interligação de barras (15D1).</t>
  </si>
  <si>
    <t>MG JARDIM SE / CCO-2001-061 - RB</t>
  </si>
  <si>
    <t>0001658/2023</t>
  </si>
  <si>
    <t>11366494</t>
  </si>
  <si>
    <t>Substituição do SPCS do Disjuntor de Interligação de Barras 15D2 na subestação JARDIM, por um novo sistema composto por: 01 painel, 01 unidade de controle, 02 falhas de disjuntor (principal e alternada), cabos de controle e infraestrutura de comunicação associados ao módulo de interligação de barras (15D2).</t>
  </si>
  <si>
    <t>0001659/2023</t>
  </si>
  <si>
    <t>11366495</t>
  </si>
  <si>
    <t>Substituição do SPCS do Transformador 05T7 na subestação JARDIM, por um novo sistema composto por: 02 painéis, 02 proteções (principal e alternada), 02 unidades de controle, cabos de controle e infraestrutura de comunicação associados.</t>
  </si>
  <si>
    <t>TR 500/230 kV JARDIM TR7 SE</t>
  </si>
  <si>
    <t>0001661/2023</t>
  </si>
  <si>
    <t>11361178</t>
  </si>
  <si>
    <t>ITABAIANA</t>
  </si>
  <si>
    <t>Substituição do SPCS associado ao vão da Entrada de Linha 04C1 (LT 230 kV ITABAIANA /JARDIM C-1) na subestação ITABAIANA, por um novo sistema composto por: 02 painéis, 02 proteções (principal e alternada), 01 unidade de controle, 02 falhas de disjuntor (principal e alternada), cabos de controle e infraestrutura de comunicação associados.</t>
  </si>
  <si>
    <t>LT 230 kV ITABAIANA /JARDIM C-1 SE</t>
  </si>
  <si>
    <t>0001662/2023</t>
  </si>
  <si>
    <t>11365470</t>
  </si>
  <si>
    <t>Substituição do SPCS associado ao vão da Entrada de Linha 04C2 (LT 230 kV ITABAIANA /JARDIM C-2) na subestação ITABAIANA, por um novo sistema composto por: 02 painéis, 02 proteções (principal e alternada), 01 unidade de controle, 02 falhas de disjuntor (principal e alternada), cabos de controle e infraestrutura de comunicação associados.</t>
  </si>
  <si>
    <t>LT 230 kV ITABAIANA /JARDIM C-2 SE</t>
  </si>
  <si>
    <t>0001663/2023</t>
  </si>
  <si>
    <t>11365469</t>
  </si>
  <si>
    <t>Substituição do SPCS associado ao vão da Entrada de Linha 05V5 (LT 500 kV USINA XINGO /JARDIM C-1) na subestação USINA XINGO, por um novo sistema composto por: 02 painéis, 02 proteções (principal e alternada), 01 unidade de controle, 02 falhas de disjuntor (principal e alternada), cabos de controle e infraestrutura de comunicação associados.</t>
  </si>
  <si>
    <t>0001664/2023</t>
  </si>
  <si>
    <t>11361659</t>
  </si>
  <si>
    <t>Substituição dos equipamentos Oplat instalados no circuito I do bay Pres. Dutra direção Boa Esperança, possibilitando a operação do sistema de teleproteção no trecho.</t>
  </si>
  <si>
    <t>0001674/2023</t>
  </si>
  <si>
    <t>Sistema de Telecomunicações</t>
  </si>
  <si>
    <t>Instalação de equipamentos de teleproteção digital, trafegando em meio óptico, no circuito I do bay Pres. Dutra direção Boa Esperança, possibilitando a operação da teleproteção diferencial no techo.</t>
  </si>
  <si>
    <t>0001675/2023</t>
  </si>
  <si>
    <t>Instalação de cabo OPGW para permitira a implantação da teleproteção digital, no circuito I do bay Pres. Dutra direção Boa Esperança, possibilitando a operação da teleproteção diferencial no trecho.</t>
  </si>
  <si>
    <t>0001676/2023</t>
  </si>
  <si>
    <t>Substituição das bobinas de bloqueio instaladas no bay Vila do Conde direção Tucuruí, circuito I, possibilitando a operação do sistema de teleproteção alternado no trecho.</t>
  </si>
  <si>
    <t>0001678/2023</t>
  </si>
  <si>
    <t>Substituição das bobinas de bloqueio instaladas nos bays Marabá direção Tucuruí e Marabá direção Imperatriz, ambos circuito I, possibilitando a operação do sistema de teleproteção alternado no trecho.</t>
  </si>
  <si>
    <t>0001679/2023</t>
  </si>
  <si>
    <t>Substituição das bobinas de bloqueio instaladas nos bays Pres. Dutra direção Imperatriz, Pres. Dutra direção Santo Antonio dos Lopes, Pres. Dutra direção Miranda II e Pres. Dutra direção Boa Esperança, todos no circuito I, possibilitando a operação do sistema de teleproteção alternado no trecho.</t>
  </si>
  <si>
    <t>0001682/2023</t>
  </si>
  <si>
    <t>Substituição das bobinas de bloqueio instaladas nos bays São Luís II direção Bacabeira, circuitos I e II, possibilitando a operação do sistema de teleproteção alternado no trecho.</t>
  </si>
  <si>
    <t>0001683/2023</t>
  </si>
  <si>
    <t>Instalação da cadeia de proteção de Barras alternada, referente às barras A e B de 525 kV da SE Curitiba, incluindo uma Unidade Central e dez unidades de Bay (vãos TF 1, TF 2, TF 3, Reator 2, LT Bateias C-1, LT Bateias C-2, LT Areia C-1, LT Blumenau C-1, LT Curitiba Leste C-1 e IB DJ1110), painéis e cabos de controle e potência associados.</t>
  </si>
  <si>
    <t>0001673/2023</t>
  </si>
  <si>
    <t>Instalação da cadeia de proteção de Barras alternada, referente às barras P1 e P2 de 230 kV da SE Curitiba, incluindo uma Unidade Central e treze unidades de Bay (vãos TF 1 (DJ792 e DJ794), TF 2 (DJ802 e DJ804), TF 3 (DJ702 e DJ704), LT Joinville C-1, LT Joinville Norte C-1, LT Joinville Norte C-2, LT S. Mateus do Sul C-1, LT Umbará C-1, LT Umbará C-2 e Interligador de Barras (IB)), painéis e cabos de controle e potência associados.</t>
  </si>
  <si>
    <t>0001677/2023</t>
  </si>
  <si>
    <t>BA - Barras P1 e P2</t>
  </si>
  <si>
    <t>Substituição do SPCS da Entrada de Linha 04S2 (LT 230 kV CAUIPE/SOBRAL II C-1) na subestação SOBRAL II, por um novo sistema composto por: 02 painéis, 02 proteções (principal e alternada), 01 unidade de controle, 02 unidades de falha de disjuntor (principal e alternada), cabos de controle e infraestrutura de comunicação associados.</t>
  </si>
  <si>
    <t>0001696/2023</t>
  </si>
  <si>
    <t>11361339</t>
  </si>
  <si>
    <t>Substituição do SPCS associado ao vão da Entrada de Linha 04C1 (LT 230 kV ITABAIANA /JARDIM C-1) na subestação JARDIM, por um novo sistema composto por: 02 painéis, 02 proteções (principal e alternada), 01 unidade de controle, cabos de controle e infraestrutura de comunicação associados.</t>
  </si>
  <si>
    <t>0001697/2023</t>
  </si>
  <si>
    <t>11361711</t>
  </si>
  <si>
    <t>Substituição do SPCS associado ao vão da Entrada de Linha 04C2 (LT 230 kV ITABAIANA /JARDIM C-2) na subestação JARDIM, por um novo sistema composto por: 02 painéis, 02 proteções (principal e alternada), 01 unidade de controle, cabos de controle e infraestrutura de comunicação associados.</t>
  </si>
  <si>
    <t>0001698/2023</t>
  </si>
  <si>
    <t>11361709</t>
  </si>
  <si>
    <t>Substituição do SPCS associado ao vão da Entrada de Linha 04F2 (LT 230 KV JARDIM / CIMESA) na subestação JARDIM, por um novo sistema composto por: 02 painéis, 02 proteções (principal e alternada), 01 unidade de controle, cabos de controle e infraestrutura de comunicação associados.</t>
  </si>
  <si>
    <t>EL 230 kV JARDIM CIMESA (14F2)</t>
  </si>
  <si>
    <t>0001699/2023</t>
  </si>
  <si>
    <t>11361723</t>
  </si>
  <si>
    <t>Substituição do SPCS do Disjuntor de Interligação de Barras 14D1 na subestação JARDIM, por um novo sistema composto por: 01 painel, 01 unidade de controle, 02 falhas de disjuntor (principal e alternada), cabos de controle e infraestrutura de comunicação associados ao módulo de interligação de barras (14D1).</t>
  </si>
  <si>
    <t>0001700/2023</t>
  </si>
  <si>
    <t>11367006</t>
  </si>
  <si>
    <t>Substituição do SPCS do Transformador 04T4 na subestação JARDIM, por um novo sistema composto por: 02 painéis, 02 proteções (principal e alternada), 02 unidades de controle, cabos de controle e infraestrutura de comunicação associados.</t>
  </si>
  <si>
    <t>TR 230/69 kV JARDIM TR4 SE</t>
  </si>
  <si>
    <t>0001701/2023</t>
  </si>
  <si>
    <t>11361172</t>
  </si>
  <si>
    <t>Substituição do SPCS do Transformador 04T5 na subestação BOM NOME, por um novo sistema composto por: 02 painéis, 02 proteções (principal e alternada), 02 unidades de controle, 02 falhas de disjuntor (principal e alternada), cabos de controle e infraestrutura de comunicação associados.</t>
  </si>
  <si>
    <t>TR 230/138 kV BOM NOME TR5 PE</t>
  </si>
  <si>
    <t>0001702/2023</t>
  </si>
  <si>
    <t>11366814</t>
  </si>
  <si>
    <t>LT 500 kV P. AFONSO IV /USINA PA-IV BA</t>
  </si>
  <si>
    <t>Substituição de 2 km de cabo para-raios convencional por cabo OPGW com 24 fibras, em toda a extensão da LT 500 kV P. AFONSO IV /USINA PA-IV C-6 BA (05T6), associado à teleproteção alternada.</t>
  </si>
  <si>
    <t>LT 500 kV P. AFONSO IV /USINA PA-IV C-6 BA (05T6)</t>
  </si>
  <si>
    <t>0001704/2023</t>
  </si>
  <si>
    <t>11864095</t>
  </si>
  <si>
    <t>Substituição de 2 km de cabo para-raios convencional por cabo OPGW com 24 fibras em toda a extensão da LT 500 kV P. AFONSO IV /USINA PA-IV C-1 BA (05T1), associado à teleproteção principal antes realizada via cabo dielétrico.</t>
  </si>
  <si>
    <t>LT 500 kV P. AFONSO IV /USINA PA-IV C-1 BA (05T1)</t>
  </si>
  <si>
    <t>0001705/2023</t>
  </si>
  <si>
    <t>11864045</t>
  </si>
  <si>
    <t>LT 230 kV U. A. SALES /P.AFONSO III BA/AL</t>
  </si>
  <si>
    <t>Substituição de 7 km de cabo para-raios convencional por cabo OPGW com 24 fibras, em toda a extensão da LT 230 kV U. A. SALES /P.AFONSO III C-1 BA/AL (04M1), associado à teleproteção principal.</t>
  </si>
  <si>
    <t>LT 230 kV U. A. SALES /P.AFONSO III C-1 BA/AL (04M1)</t>
  </si>
  <si>
    <t>0001706/2023</t>
  </si>
  <si>
    <t>11863261</t>
  </si>
  <si>
    <t>LT 230 kV COTEGIPE /JACARACANGA BA</t>
  </si>
  <si>
    <t>Substituição de 17 km de cabo para-raios convencional por cabo OPGW com 24 fibras, em toda a extensão da LT 230 kV COTEGIPE /JACARACANGA C-1 BA (04L3), associado à teleproteção principal.</t>
  </si>
  <si>
    <t>LT 230 kV COTEGIPE /JACARACANGA C-1 BA</t>
  </si>
  <si>
    <t>0001707/2023</t>
  </si>
  <si>
    <t>11897707</t>
  </si>
  <si>
    <t>LT 230 kV BRUMADO II /IBICOARA BA</t>
  </si>
  <si>
    <t>Substituição de 110 km de cabo para-raios convencional por cabo OPGW com 24 fibras, em toda a extensão da LT 230 kV BRUMADO II /IBICOARA C-1 BA (04F5), associado à teleproteção alternada.</t>
  </si>
  <si>
    <t>LT 230 kV BRUMADO II /IBICOARA C-1 BA</t>
  </si>
  <si>
    <t>0001708/2023</t>
  </si>
  <si>
    <t>11952461</t>
  </si>
  <si>
    <t>LT 230 kV CATU /G.MANGABEIRA BA</t>
  </si>
  <si>
    <t>Substituição de 85 km de cabo para-raios convencional por cabo OPGW com 24 fibras, em toda a extensão da LT 230 kV CATU /G.MANGABEIRA C-1 BA (04M3), associado à teleproteção alternada.</t>
  </si>
  <si>
    <t>0001710/2023</t>
  </si>
  <si>
    <t>11899137</t>
  </si>
  <si>
    <t>Substituição de 195 km de cabo para-raios convencional por cabo OPGW com 24 fibras, em toda a extensão da LT 230 kV CAUIPE /SOBRAL II C-1 CE (04S2), associado à teleproteção alternada.</t>
  </si>
  <si>
    <t>0001711/2023</t>
  </si>
  <si>
    <t>11683626</t>
  </si>
  <si>
    <t>Instalação da cadeia de proteção de Barras alternada, referente às barras A e B de 525 kV da SE Blumenau, incluindo uma Unidade Central e dez unidades de Bay (vãos TF 5, TF 6, TF 7, Reator 1, Reator 2, LT Biguaçu C-1, LT Curitiba Leste C-1, LT Curitiba C-1, LT Campos Novos C-1 e IB DJ1030), painéis e cabos de controle e potência associados.</t>
  </si>
  <si>
    <t>0001715/2023</t>
  </si>
  <si>
    <t>Instalação da cadeia de proteção de Barras alternada, referente às barras P1 e P2 de 230 kV da SE Blumenau, incluindo uma Unidade Central e dezessete unidades de Bay (vãos TF 1, TF 2, TF 3, TF 4, TF 5, TF 6, TF 7, LT Joinville C-1, LT Joinville Norte C-1, LT Gaspar 2 C-1, LT Gaspar 2 C-2, LT Itajaí C-1, LT Itajaí C-2, BC1, BC2 e Interligadores de Barras (IB - DJ842 e DJ852)), painéis e cabos de controle e potência associados.</t>
  </si>
  <si>
    <t>0001716/2023</t>
  </si>
  <si>
    <t>Instalar um módulo de entrada de linha de 69 kV, arranjo BPT, com destino à SE Estaleiro São Roque na SE Gov. Mangabeira.</t>
  </si>
  <si>
    <t>EL 69kV SE Gov. Mangabeiras LD SE Gov. Mangabeira/SE Estaleiro São Roque C1 BA (12V3)</t>
  </si>
  <si>
    <t>0001736/2023</t>
  </si>
  <si>
    <t>Instalar um módulo de entrada de linha de 69 kV, arranjo BPT, com destino à SE Quixeramobim na SE Banabuiú.</t>
  </si>
  <si>
    <t>EL 69kV Banabuiu LD Banabuiu/Quixeramobim C1 CE (12J7)</t>
  </si>
  <si>
    <t>0001737/2023</t>
  </si>
  <si>
    <t>Instalar um módulo de entrada de linha de 69 kV, arranjo BPT, com destino à SE Morada Nova na SE Banabuiú</t>
  </si>
  <si>
    <t>EL 69kV Banabuiu LD Banabuiu/Morada Nova C2 CE</t>
  </si>
  <si>
    <t>0001738/2023</t>
  </si>
  <si>
    <t>ACARAU II</t>
  </si>
  <si>
    <t>Instalar um módulo de entrada de linha de 69 kV, arranjo BPT, com destino à SE Acaraú I C2 na SE Acaraú II.</t>
  </si>
  <si>
    <t>EL 69kV Acaraú C2 LD Acaraú II/Acaraú C2 CE (12C4)</t>
  </si>
  <si>
    <t>0001740/2023</t>
  </si>
  <si>
    <t>MOSSORO IV</t>
  </si>
  <si>
    <t>Instalar um módulo de entrada de linha de 69 kV, arranjo BD3, com destino à SE Gangorra na SE Mossoró IV.</t>
  </si>
  <si>
    <t>EL 69kV Mossoró IV LT Mossoró IV – Gangorra CS (12N4)</t>
  </si>
  <si>
    <t>0001741/2023</t>
  </si>
  <si>
    <t>Instalar um módulo de entrada de linha de 69 kV, arranjo BD3, com destino à SE Maísa na SE Mossoró IV.</t>
  </si>
  <si>
    <t>EL 69kV Mossoró IV LT Mossoró IV – Maísa CS (12N3)</t>
  </si>
  <si>
    <t>0001742/2023</t>
  </si>
  <si>
    <t>Instalar um módulo de entrada de linha de 69 kV, arranjo BPT, com destino à SE Caucaia C2 na SE Cauipe.</t>
  </si>
  <si>
    <t>EL 69kV Cauípe LD Cauípe/Caucaia C2 CE (12M8)</t>
  </si>
  <si>
    <t>0001743/2023</t>
  </si>
  <si>
    <t>Instalar um módulo de entrada de linha de 69 kV, arranjo BPT, com destino à SE Inhuporanga C2 na SE Cauipe.</t>
  </si>
  <si>
    <t>EL 69kV Cauípe LD Cauípe/SE Inhuporanga C2 CE (12M9)</t>
  </si>
  <si>
    <t>0001744/2023</t>
  </si>
  <si>
    <t>Instalar um módulo de entrada de linha de 69 kV, arranjo BPT, com destino à SE São Luiz do Curu C3 na SE Cauipe.</t>
  </si>
  <si>
    <t>EL 69kV Cauípe LD Cauípe/SE São Luiz do Curu C3 CE (12L1)</t>
  </si>
  <si>
    <t>0001745/2023</t>
  </si>
  <si>
    <t>LAGOA NOVA II</t>
  </si>
  <si>
    <t>Instalar um módulo de entrada de linha de 69 kV, arranjo BPT, com destino à SE Santana do Matos I na SE Lagoa Nova II.</t>
  </si>
  <si>
    <t>EL 69kV SE Lagoa Nova II LD SE Lagoa Nova II /SE Santana dos Matos I C1 RN (12S2)</t>
  </si>
  <si>
    <t>0001747/2023</t>
  </si>
  <si>
    <t>Instalar um módulo de entrada de linha de 69 kV, arranjo BPT, com destino à SE Jaguaruana III na SE Russas II.</t>
  </si>
  <si>
    <t>EL 69kV Russas II LD Russas II/SE Jaguaruana III CE (12J3)</t>
  </si>
  <si>
    <t>0001749/2023</t>
  </si>
  <si>
    <t>Substituição de 1 (um) Transformador de Aterramento 69 kV, posição operacional 02A1, por outro transformador de 69 kV e 7,5 MVA, na SE Bom Jesus da Lapa.</t>
  </si>
  <si>
    <t>TT 69/13,8 kV B.JESUS LAPA TA1 BA (02A1)</t>
  </si>
  <si>
    <t>0001886/2023</t>
  </si>
  <si>
    <t>11344202</t>
  </si>
  <si>
    <t>Implantação da segunda fonte de alimentação CA para os Serviços Auxiliares da SE Osório 2: Aquisição de um novo transformador de serviço auxiliar 13,8 kV / 480 V. Instalação de chave fusível e lançamento de cabos desde o ponto da área de compartilhamento de fontes de serviços auxiliares da CEEE-GT até a casa de comando da CGT Eletrosul. Substituição dos painéis de serviços auxiliares de 480 Vca.</t>
  </si>
  <si>
    <t>0001865/2023</t>
  </si>
  <si>
    <t>SANTA CRUZ1</t>
  </si>
  <si>
    <t>0001873/2023</t>
  </si>
  <si>
    <t>Implantação da segunda fonte de alimentação CA para os Serviços Auxiliares da SE P. Fundo. A nova configuração consiste na alimentação pelos TF3 e TF5 (atualmente é feita somente pelo TF3). Obras necessárias: instalação de novo ramal a partir do TF3 (cabos e chave fusível), novo transformador de serviço auxiliar (TSA2), remanejamento do atual ramal e TSA1 para conexão a partir do TF5, desativação dos cubículos 15kV existentes, substituição dos painéis 380Vca e do reator limitador existente.</t>
  </si>
  <si>
    <t>0001875/2023</t>
  </si>
  <si>
    <t>Substituição da chave seccionadora com lamina de terra VCSL6-01 e VCCA6-07</t>
  </si>
  <si>
    <t>LT 230 kV ALBRAS / VILA DO CONDE C-1 PA</t>
  </si>
  <si>
    <t>0001890/2023</t>
  </si>
  <si>
    <t>VCSL6-01 e VCCA6-07</t>
  </si>
  <si>
    <t>Substituição da chave seccionadora com lamina de terra VCSL6-02 e VCCA6-09</t>
  </si>
  <si>
    <t>LT 230 kV ALBRAS / VILA DO CONDE C-2 PA</t>
  </si>
  <si>
    <t>0001891/2023</t>
  </si>
  <si>
    <t>VCSL6-02 e VCCA6-09</t>
  </si>
  <si>
    <t>Instalação de Painel de SPCS para o Reator remanejado da UHE Jirau para barra 500kV da SE Coletora Porto Velho</t>
  </si>
  <si>
    <t>Função Nova com a instalação do Reator</t>
  </si>
  <si>
    <t>0001968/2023</t>
  </si>
  <si>
    <t>Estudos de TRT apresentaram superação dos disjuntores de 69 kV na SE São Luís I.</t>
  </si>
  <si>
    <t>0001985/2023</t>
  </si>
  <si>
    <t>LIDJ4-01</t>
  </si>
  <si>
    <t>TRT</t>
  </si>
  <si>
    <t>Estudos de TRT apresentaram superação dos disjuntores de 69 kV na SE São Luís I</t>
  </si>
  <si>
    <t>TR 69/13,8 kV SAO LUIS I TR1 MA</t>
  </si>
  <si>
    <t>0001988/2023</t>
  </si>
  <si>
    <t>LIDJ4-02</t>
  </si>
  <si>
    <t>0001990/2023</t>
  </si>
  <si>
    <t>LIDJ4-03</t>
  </si>
  <si>
    <t>0001994/2023</t>
  </si>
  <si>
    <t>LIDJ4-04</t>
  </si>
  <si>
    <t>EL 69 kV SAO LUIS I  DIST4</t>
  </si>
  <si>
    <t>0001995/2023</t>
  </si>
  <si>
    <t>LIDJ4-05</t>
  </si>
  <si>
    <t>0001996/2023</t>
  </si>
  <si>
    <t>LIDJ4-07</t>
  </si>
  <si>
    <t>0001998/2023</t>
  </si>
  <si>
    <t>LIDJ4-08</t>
  </si>
  <si>
    <t>0001999/2023</t>
  </si>
  <si>
    <t>LIDJ4-10</t>
  </si>
  <si>
    <t>EL 69 kV SAO LUIS I DIST8</t>
  </si>
  <si>
    <t>0002000/2023</t>
  </si>
  <si>
    <t>LIDJ4-13</t>
  </si>
  <si>
    <t>MC 230 kV TR 230/69 kV SAO LUIS I TF1 MA</t>
  </si>
  <si>
    <t>0002001/2023</t>
  </si>
  <si>
    <t>LIDJ4-12</t>
  </si>
  <si>
    <t>Substituição de um (01) Disjuntor 500 KV SE Tucuruí no vão Ax - TCDJ7-16. Capacidade do novo equipamento: 4.000 A e 63 kA.</t>
  </si>
  <si>
    <t>N-S-PATC-TUTCLT706-ELTC-TCDJ716</t>
  </si>
  <si>
    <t>0002509/2023</t>
  </si>
  <si>
    <t>TCDJ7-16</t>
  </si>
  <si>
    <t>X/R</t>
  </si>
  <si>
    <t>Substituição de três (03) Transformadores Corrente 500 KV SE Tucuruí no vão Ay. Capacidade do novo equipamento: 4.000 A e 63 kA.</t>
  </si>
  <si>
    <t>0002543/2023</t>
  </si>
  <si>
    <t>TCTC7-02 FASE A,B,V</t>
  </si>
  <si>
    <t>Substituição de três (03) Transformadores Corrente 500 KV SE Tucuruí no vão Bx. Capacidade do novo equipamento: 4.000 A e 63 kA.</t>
  </si>
  <si>
    <t>LT 500 kV TUCURUI /US. TUCURUI C-5 PA</t>
  </si>
  <si>
    <t>0002544/2023</t>
  </si>
  <si>
    <t>TCTC7-01 FASE A,B,V</t>
  </si>
  <si>
    <t>Substituição de seis (06) Transformadores Corrente 500 KV SE Tucuruí no vão By. Capacidade do novo equipamento: 4.000 A e 63 kA.</t>
  </si>
  <si>
    <t>0002542/2023</t>
  </si>
  <si>
    <t>TCTC7-01 FASE A,B,V TCTC7-02 FASE A,B,V</t>
  </si>
  <si>
    <t>Substituição de dois (02) Seccionadores sem Lamina de Terra 500 KV SE Tucuruí no vão Ax - TCSD7-31 TCSD7-32. Capacidade do novo equipamento: 4.000 A e 63 kA.</t>
  </si>
  <si>
    <t>N-S-PATC-TUTCLT706-ELTC-TCSD731 / N-S-PATC-TUTCLT706-ELTC-TCSD732</t>
  </si>
  <si>
    <t>0002518/2023</t>
  </si>
  <si>
    <t>TCSD731 / TCSD732</t>
  </si>
  <si>
    <t>Substituição de dois (02) Seccionadores sem Lamina de Terra 500 KV SE Tucuruí no vão Ay - TCSD7-33 TCSD7-34. Capacidade do novo equipamento: 4.000 A e 63 kA.</t>
  </si>
  <si>
    <t>MG 500 kV TUCURUI MG1 PA - IB 500 kV</t>
  </si>
  <si>
    <t>0002519/2023</t>
  </si>
  <si>
    <t>TCSD7-33 / TCSD7-34</t>
  </si>
  <si>
    <t>Substituição de dois barramentos no pátio de 500 kV na subestação Tucuruí - TCBR7-01 e TCBR7-02. Capacidade do novo equipamento: 4.000 A e 63 kA.</t>
  </si>
  <si>
    <t>0002546/2023</t>
  </si>
  <si>
    <t>TCBR7-01 / TCBR7-02</t>
  </si>
  <si>
    <t>Substituição de quatro (04) Seccionadores sem Lamina de Terra 500 KV SE Tucuruí no vão Az - TCSD7-35 TCSD7-36 TCST7-02 TCST7-04. Capacidade do novo equipamento: 4.000 A e 63 kA.</t>
  </si>
  <si>
    <t>TR 500/230 kV TUCURUI TR2 PA</t>
  </si>
  <si>
    <t>0002520/2023</t>
  </si>
  <si>
    <t>TCSD7-35 / TCSD7-36 / TCST7-02 / TCST7-04</t>
  </si>
  <si>
    <t>Substituição de dois (02) Seccionadores sem Lamina de Terra 500 KV SE Tucuruí no vão Bx - TCSD7-25 TCSD7-26. Capacidade do novo equipamento: 4.000 A e 63 kA.</t>
  </si>
  <si>
    <t>N-S-PATC-TUTCLT705-ELTC-TCSD725 / N-S-PATC-TUTCLT705-ELTC-TCSD726</t>
  </si>
  <si>
    <t>0002521/2023</t>
  </si>
  <si>
    <t>TCSD7-25 / TCSD7-26</t>
  </si>
  <si>
    <t>Substituição de dois (02) Seccionadores sem Lamina de Terra 500 KV SE Tucuruí no vão By - TCSD7-27 TCSD7-28. Capacidade do novo equipamento: 4.000 A e 63 kA.</t>
  </si>
  <si>
    <t>FT MG 500 kV TUCURUI MG1 PA - IB 500 kV</t>
  </si>
  <si>
    <t>0002522/2023</t>
  </si>
  <si>
    <t>TCSD7-27 / TCSD7-28</t>
  </si>
  <si>
    <t>Substituição de dois (02) Seccionadores sem Lamina de Terra 500 KV SE Tucuruí no vão Bz - TCSD7-29 TCSD7-30. Capacidade do novo equipamento: 4.000 A e 63 kA.</t>
  </si>
  <si>
    <t>0002523/2023</t>
  </si>
  <si>
    <t>TCSD7-29 / TCSD7-30</t>
  </si>
  <si>
    <t>Substituição de dois (02) Seccionadores sem Lamina de Terra 500 KV SE Tucuruí no vão Cx - TCSD7-19 TCSD7-20. Capacidade do novo equipamento: 4.000 A e 63 kA.</t>
  </si>
  <si>
    <t>N-S-PATC-TUTCLT704-ELTC-TCSD719 / N-S-PATC-TUTCLT704-ELTC-TCSD720</t>
  </si>
  <si>
    <t>0002524/2023</t>
  </si>
  <si>
    <t>TCSD7-19 / TCSD7-20</t>
  </si>
  <si>
    <t>Substituição de dois (02) Seccionadores sem Lamina de Terra 500 KV SE Tucuruí no vão Cy - TCSD7-21 TCSD7-22. Capacidade do novo equipamento: 4.000 A e 63 kA.</t>
  </si>
  <si>
    <t>0002525/2023</t>
  </si>
  <si>
    <t>TCSD7-21 / TCSD7-22</t>
  </si>
  <si>
    <t>Substituição de dois (02) Seccionadores sem Lamina de Terra 500 KV SE Tucuruí no vão Cz - TCSD7-23 TCSD7-24. Capacidade do novo equipamento: 4.000 A e 63 kA.</t>
  </si>
  <si>
    <t>0002526/2023</t>
  </si>
  <si>
    <t>TCSD7-23 / TCSD7-24</t>
  </si>
  <si>
    <t>Substituição de três (03) Para-Raios 500 KV SE Tucuruí no vão Ax Fase A, B e V</t>
  </si>
  <si>
    <t>N-S-PATC-TUTCLT706-ELTC-TCPR701</t>
  </si>
  <si>
    <t>0002467/2023</t>
  </si>
  <si>
    <t>12357826, 12357827, 12357828</t>
  </si>
  <si>
    <t>Substituição de dois (02) Seccionadores sem Lamina de Terra 500 KV SE Tucuruí no vão Dx - TCSD7-13 TCSD7-14. Capacidade do novo equipamento: 4.000 A e 63 kA.</t>
  </si>
  <si>
    <t>0002527/2023</t>
  </si>
  <si>
    <t>TCSD7-13 / TCSD7-14</t>
  </si>
  <si>
    <t>Substituição de dois (02) Seccionadores sem Lamina de Terra 500 KV SE Tucuruí no vão Dy - TCSD7-15 TCSD7-16. Capacidade do novo equipamento: 4.000 A e 63 kA.</t>
  </si>
  <si>
    <t>0002528/2023</t>
  </si>
  <si>
    <t>TCSD7-15 / TCSD7-16</t>
  </si>
  <si>
    <t>Substituição de três (03) Para-Raios 500 KV SE Tucuruí no vão Bx Fase A, B e V</t>
  </si>
  <si>
    <t>N-S-PATC-TUTCLT705-ELTC-TCPR701</t>
  </si>
  <si>
    <t>0002470/2023</t>
  </si>
  <si>
    <t>12357811, 12357812, 12357813</t>
  </si>
  <si>
    <t>Substituição de quatro (04) Seccionadores sem Lamina de Terra 500 KV SE Tucuruí no vão Dz - TCSD7-17 TCSD7-18 TCST7-01 TCST7-03. Capacidade do novo equipamento: 4.000 A e 63 kA.</t>
  </si>
  <si>
    <t>FT TR 500/230 kV TUCURUI TR1 PA</t>
  </si>
  <si>
    <t>0002529/2023</t>
  </si>
  <si>
    <t>TCSD7-17 / TCSD7-18 / TCST7-01 / TCST7-03</t>
  </si>
  <si>
    <t>Substituição de dois (02) Seccionadores sem Lamina de Terra 500 KV SE Tucuruí no vão Ex - TCSD7-07 TCSD7-08. Capacidade do novo equipamento: 4.000 A e 63 kA.</t>
  </si>
  <si>
    <t>N-S-PATC-TUTCLT702-ELTC-TCSD707 / N-S-PATC-TUTCLT702-ELTC-TCSD708</t>
  </si>
  <si>
    <t>0002530/2023</t>
  </si>
  <si>
    <t>TCSD7-07 / TCSD7-08</t>
  </si>
  <si>
    <t>Substituição de três (03) Para-Raios 500 KV SE Tucuruí no vão Bz</t>
  </si>
  <si>
    <t>0002471/2023</t>
  </si>
  <si>
    <t>11972732, 11972733, 11972734</t>
  </si>
  <si>
    <t>Substituição de dois (02) Seccionadores sem Lamina de Terra 500 KV SE Tucuruí no vão Ey - TCSD7-09 TCSD7-10. Capacidade do novo equipamento: 4.000 A e 63 kA.</t>
  </si>
  <si>
    <t>0002531/2023</t>
  </si>
  <si>
    <t>TCSD7-09 / TCSD7-10</t>
  </si>
  <si>
    <t>Substituição de dois (02) Seccionadores sem Lamina de Terra 500 KV SE Tucuruí no vão Fx - TCSD7-01 TCSD7-02. Capacidade do novo equipamento: 4.000 A e 63 kA.</t>
  </si>
  <si>
    <t>N-S-PATC-TUTCLT701-ELTC-TCSD701 / N-S-PATC-TUTCLT701-ELTC-TCSD702</t>
  </si>
  <si>
    <t>0002532/2023</t>
  </si>
  <si>
    <t>TCSD7-01 / TCSD7-02</t>
  </si>
  <si>
    <t>Substituição de três (03) Para-Raios 500 KV SE Tucuruí no vão Cx</t>
  </si>
  <si>
    <t>N-S-PATC-TUTCLT704-ELTC-TCPR701</t>
  </si>
  <si>
    <t>0002472/2023</t>
  </si>
  <si>
    <t>12357796, 12357797, 12357798</t>
  </si>
  <si>
    <t>Substituição de dois (02) Seccionadores sem Lamina de Terra 500 KV SE Tucuruí no vão Fy - TCSD7-03 TCSD7-04. Capacidade do novo equipamento: 4.000 A e 63 kA.</t>
  </si>
  <si>
    <t>0002533/2023</t>
  </si>
  <si>
    <t>TCSD7-03 / TCSD7-04</t>
  </si>
  <si>
    <t>Substituição de dois (02) Seccionadores com Lamina de Terra 500 KV SE Tucuruí no Barramento - TCCA7-13 TCCA7-14. Capacidade do novo equipamento: 4.000 A e 63 kA.</t>
  </si>
  <si>
    <t>0002575/2023</t>
  </si>
  <si>
    <t>TCCA7-13 / TCCA7-14</t>
  </si>
  <si>
    <t>Substituição de três (03) Para-Raios 500 KV SE Tucuruí no vão Dx</t>
  </si>
  <si>
    <t>N-S-PATC-TUTCLT703-ELTC-TCPR701</t>
  </si>
  <si>
    <t>0002473/2023</t>
  </si>
  <si>
    <t>12357783, 12357784, 12357785</t>
  </si>
  <si>
    <t>Substituição de três (03) Para-Raios 500 KV SE Tucuruí no vão Fx</t>
  </si>
  <si>
    <t>N-S-PATC-TUTCLT701-ELTC-TCPR701</t>
  </si>
  <si>
    <t>0002474/2023</t>
  </si>
  <si>
    <t>12357753, 12357754, 12357755</t>
  </si>
  <si>
    <t>Substituição de um (01) Seccionador com Lamina de Terra 500 KV SE Tucuruí no vão Ax - TCSL7-06 TCCA7-06. Capacidade do novo equipamento: 4.000 A e 63 kA.</t>
  </si>
  <si>
    <t>N-S-PATC-TUTCLT706-ELTC-TCSL706 / N-S-PATC-TUTCLT706-ELTC-TCCA706</t>
  </si>
  <si>
    <t>0002534/2023</t>
  </si>
  <si>
    <t>TCSL7-06 / TCCA7-06</t>
  </si>
  <si>
    <t>Substituição de três (03) Transformador Potencial 500 KV SE Tucuruí no vão Bz</t>
  </si>
  <si>
    <t>0002475/2023</t>
  </si>
  <si>
    <t>11972754, 11972755, 11972756</t>
  </si>
  <si>
    <t>Substituição de um (01) Seccionador com Lamina de Terra 500 KV SE Tucuruí no vão Bx - TCSL7-05 TCCA7-05. Capacidade do novo equipamento: 4.000 A e 63 kA.</t>
  </si>
  <si>
    <t>N-S-PATC-TUTCLT705-ELTC-TCSL705 / N-S-PATC-TUTCLT705-ELTC-TCCA705</t>
  </si>
  <si>
    <t>0002535/2023</t>
  </si>
  <si>
    <t>TCSL7-05/ TCCA7-05</t>
  </si>
  <si>
    <t>Substituição de um (01) Seccionador com Lamina de Terra 500 KV SE Tucuruí no vão Bz - TCSL7-11 TCCA7-11. Capacidade do novo equipamento: 4.000 A e 63 kA.</t>
  </si>
  <si>
    <t>0002536/2023</t>
  </si>
  <si>
    <t>TCSL7-11/TCCA7-11</t>
  </si>
  <si>
    <t>Substituição de um (01) Seccionador com Lamina de Terra 500 KV SE Tucuruí no vão Cx - TCSL7-04 TCCA7-04. Capacidade do novo equipamento: 4.000 A e 63 kA.</t>
  </si>
  <si>
    <t>N-S-PATC-TUTCLT704-ELTC-TCSL704 / N-S-PATC-TUTCLT704-ELTC-TCCA704</t>
  </si>
  <si>
    <t>0002537/2023</t>
  </si>
  <si>
    <t>TCSL7-04/TCCA7-04</t>
  </si>
  <si>
    <t>Substituição de um (01) Disjuntor 500 KV SE Tucuruí no vão Ay - TCDJ7-17. Capacidade do novo equipamento: 4.000 A e 63 kA.</t>
  </si>
  <si>
    <t>FT MG 500 kV TUCURUI MG1 PA</t>
  </si>
  <si>
    <t>0002508/2023</t>
  </si>
  <si>
    <t>TCDJ7-17</t>
  </si>
  <si>
    <t>Substituição de um (01) Seccionador com Lamina de Terra 500 KV SE Tucuruí no vão Cz - TCSL7-10 TCCA7-10. Capacidade do novo equipamento: 4.000 A e 63 kA.</t>
  </si>
  <si>
    <t>0002538/2023</t>
  </si>
  <si>
    <t>TCSL7-10/TCCA7-10</t>
  </si>
  <si>
    <t>Substituição de um (01) Seccionador com Lamina de Terra 500 KV SE Tucuruí no vão Dx - TCSL7-03 TCCA7-03. Capacidade do novo equipamento: 4.000 A e 63 kA.</t>
  </si>
  <si>
    <t>N-S-PATC-TUTCLT703-ELTC-TCSL703 / N-S-PATC-TUTCLT703-ELTC-TCCA703</t>
  </si>
  <si>
    <t>0002539/2023</t>
  </si>
  <si>
    <t>TCSL7-03/TCCA7-03</t>
  </si>
  <si>
    <t>Substituição de um (01) Disjuntor 500 KV SE Tucuruí no vão Bx - TCDJ7-13. Capacidade do novo equipamento: 4.000 A e 63 kA.</t>
  </si>
  <si>
    <t>N-S-PATC-TUTCLT705-ELTC-TCDJ713</t>
  </si>
  <si>
    <t>0002510/2023</t>
  </si>
  <si>
    <t>TCDJ7-13</t>
  </si>
  <si>
    <t>Substituição de um (01) Seccionador com Lamina de Terra 500 KV SE Tucuruí no vão Ex - TCSL7-02 TCCA7-02. Capacidade do novo equipamento: 4.000 A e 63 kA.</t>
  </si>
  <si>
    <t>N-S-PATC-TUTCLT702-ELTC-TCSL702 / N-S-PATC-TUTCLT702-ELTC-TCCA702</t>
  </si>
  <si>
    <t>0002540/2023</t>
  </si>
  <si>
    <t>TCSL7-02/TCCA7-02</t>
  </si>
  <si>
    <t>Substituição de um (01) Disjuntor 500 KV SE Tucuruí no vão By - TCDJ7-14. Capacidade do novo equipamento: 4.000 A e 63 kA.</t>
  </si>
  <si>
    <t>0002511/2023</t>
  </si>
  <si>
    <t>TCDJ7-14</t>
  </si>
  <si>
    <t>Substituição de um (01) Seccionador com Lamina de Terra 500 KV SE Tucuruí no vão Fx - TCSL7-01 TCCA7-01. Capacidade do novo equipamento: 4.000 A e 63 kA.</t>
  </si>
  <si>
    <t>N-S-PATC-TUTCLT701-ELTC-TCSL701 / N-S-PATC-TUTCLT701-ELTC-TCCA701</t>
  </si>
  <si>
    <t>0002541/2023</t>
  </si>
  <si>
    <t>TCSL7-01/TCCA7-01</t>
  </si>
  <si>
    <t>Substituição de um (01) Disjuntor 500 KV SE Tucuruí no vão Bz - TCDJ7-15. Capacidade do novo equipamento: 4.000 A e 63 kA.</t>
  </si>
  <si>
    <t>0002512/2023</t>
  </si>
  <si>
    <t>TCDJ7-15</t>
  </si>
  <si>
    <t>Substituição do PARA-RAIO MBPR701   fase A 500kV do MBRE7-04</t>
  </si>
  <si>
    <t>0008664/2023</t>
  </si>
  <si>
    <t>MBPR701</t>
  </si>
  <si>
    <t>Substituição de um (01) Disjuntor 500 KV SE Tucuruí no vão Cx - TCDJ7-10. Capacidade do novo equipamento: 4.000 A e 63 kA.</t>
  </si>
  <si>
    <t>N-S-PATC-TUTCLT704-ELTC-TCDJ710</t>
  </si>
  <si>
    <t>0002513/2023</t>
  </si>
  <si>
    <t>TCDJ7-10</t>
  </si>
  <si>
    <t>Substituição de um (01) Disjuntor 500 KV SE Tucuruí no vão Cy - TCDJ7-11. Capacidade do novo equipamento: 4.000 A e 63 kA.</t>
  </si>
  <si>
    <t>0002514/2023</t>
  </si>
  <si>
    <t>TCDJ7-11</t>
  </si>
  <si>
    <t>Substituição de um (01) Disjuntor 500 KV SE Tucuruí no vão Dx - TCDJ7-07. Capacidade do novo equipamento: 4.000 A e 63 kA.</t>
  </si>
  <si>
    <t>N-S-PATC-TUTCLT703-ELTC-TCDJ707</t>
  </si>
  <si>
    <t>0002515/2023</t>
  </si>
  <si>
    <t>TCDJ7-07</t>
  </si>
  <si>
    <t>Substituição de dois (02) Seccionadores sem Lamina de Terra 500 KV SE Tucuruí no vão Gx - TCSD7-37 TCSD7-38. Capacidade do novo equipamento: 4.000 A e 63 kA.</t>
  </si>
  <si>
    <t>N-S-PATC-TUTCLT707-ELTC-TCSD37 / N-S-PATC-TUTCLT707-ELTC-TCSD38</t>
  </si>
  <si>
    <t>0002550/2023</t>
  </si>
  <si>
    <t>TCSD7-37 / TCSD7-38</t>
  </si>
  <si>
    <t>Substituição de um (01) Disjuntor 500 KV SE Tucuruí no vão Dz - TCDJ7-09. Capacidade do novo equipamento: 4.000 A e 63 kA.</t>
  </si>
  <si>
    <t>TR 500/230 kV TUCURUI TR1 PA</t>
  </si>
  <si>
    <t>0002516/2023</t>
  </si>
  <si>
    <t>TCDJ7-09</t>
  </si>
  <si>
    <t>Substituição de um (01) Disjuntor 500 KV SE Tucuruí no vão Ex - TCDJ7-04. Capacidade do novo equipamento: 4.000 A e 63 kA.</t>
  </si>
  <si>
    <t>N-S-PATC-TUTCLT702-ELTC-TCDJ704</t>
  </si>
  <si>
    <t>0002517/2023</t>
  </si>
  <si>
    <t>TCDJ7-04</t>
  </si>
  <si>
    <t>Substituição de dois (02) Seccionadores sem Lamina de Terra 500 KV SE Tucuruí no vão Gy - TCSD7-39 TCSD7-40. Capacidade do novo equipamento: 4.000 A e 63 kA.</t>
  </si>
  <si>
    <t>0002551/2023</t>
  </si>
  <si>
    <t>TCSD7-39 / TCSD7-40</t>
  </si>
  <si>
    <t>Substituição de dois (02) Seccionadores sem Lamina de Terra 500 KV SE Tucuruí no vão Hx - TCSD7-43 TCSD7-44. Capacidade do novo equipamento: 4.000 A e 63 kA.</t>
  </si>
  <si>
    <t>N-S-PATC-TUTCLT708-ELTC-TCSD43 / N-S-PATC-TUTCLT708-ELTC-TCSD44</t>
  </si>
  <si>
    <t>0002552/2023</t>
  </si>
  <si>
    <t>TCSD7-43 / TCSD7-44</t>
  </si>
  <si>
    <t>Substituição de dois (02) Seccionadores sem Lamina de Terra 500 KV SE Tucuruí no vão Ix - TCSD7-49 TCSD7-50. Capacidade do novo equipamento: 4.000 A e 63 kA.</t>
  </si>
  <si>
    <t>N-S-PATC-TUTCLT709-ELTC-TCSD49 / N-S-PATC-TUTCLT709-ELTC-TCSD50</t>
  </si>
  <si>
    <t>0002561/2023</t>
  </si>
  <si>
    <t>TCSD7-49 / TCSD7-50</t>
  </si>
  <si>
    <t>Substituição de dois (02) Seccionadores sem Lamina de Terra 500 KV SE Tucuruí no vão Iy - TCSD7-51 TCSD7-52. Capacidade do novo equipamento: 4.000 A e 63 kA.</t>
  </si>
  <si>
    <t>0002562/2023</t>
  </si>
  <si>
    <t>TCSD7-51 / TCSD7-52</t>
  </si>
  <si>
    <t>Substituição de dois (02) Seccionadores sem Lamina de Terra 500 KV SE Tucuruí no vão Iz - TCSD7-53 TCSD7-54. Capacidade do novo equipamento: 4.000 A e 63 kA.</t>
  </si>
  <si>
    <t>FT LT 500 kV TUCURUI /VILA DO CONDE C-1 PA</t>
  </si>
  <si>
    <t>0002563/2023</t>
  </si>
  <si>
    <t>TCSD7-53 / TCSD7-54</t>
  </si>
  <si>
    <t>Substituição de dois (02) Seccionadores sem Lamina de Terra 500 KV SE Tucuruí no vão Jx - TCSD7-55 TCSD7-56. Capacidade do novo equipamento: 4.000 A e 63 kA.</t>
  </si>
  <si>
    <t>N-S-PATC-TUTCLT7010-ELTC-TCSD55 / N-S-PATC-TUTCLT7010-ELTC-TCSD56</t>
  </si>
  <si>
    <t>0002564/2023</t>
  </si>
  <si>
    <t>TCSD7-55 / TCSD7-56</t>
  </si>
  <si>
    <t>Substituição de dois (02) Seccionadores sem Lamina de Terra 500 KV SE Tucuruí no vão Kx - TCSD7-61 TCSD7-62. Capacidade do novo equipamento: 4.000 A e 63 kA.</t>
  </si>
  <si>
    <t>N-S-PATC-TUTCLT7011-ELTC-TCSD61 / N-S-PATC-TUTCLT7011-ELTC-TCSD62</t>
  </si>
  <si>
    <t>0002565/2023</t>
  </si>
  <si>
    <t>TCSD7-61 / TCSD7-62</t>
  </si>
  <si>
    <t>Substituição de dois (02) Seccionadores sem Lamina de Terra 500 KV SE Tucuruí no vão Ky - TCSD7-63 TCSD7-64. Capacidade do novo equipamento: 4.000 A e 63 kA.</t>
  </si>
  <si>
    <t>0002553/2023</t>
  </si>
  <si>
    <t>TCSD7-63 / TCSD7-64</t>
  </si>
  <si>
    <t>Substituição de dois (02) Seccionadores com Lamina de Terra 500 KV SE Tucuruí no Barramento - TCCA7-15 TCCA7-16. Capacidade do novo equipamento: 4.000 A e 63 kA.</t>
  </si>
  <si>
    <t>0002554/2023</t>
  </si>
  <si>
    <t>TCCA7-15: 100 kA / TCCA7-16: 125 kA</t>
  </si>
  <si>
    <t>Substituição de um (01) Seccionador com Lamina de Terra 500 KV SE Tucuruí no vão Gx -TCSL7-14 TCCA7-17. Capacidade do novo equipamento: 4.000 A e 63 kA.</t>
  </si>
  <si>
    <t>N-S-PATC-TUTCLT707-ELTC-TCCA717</t>
  </si>
  <si>
    <t>0002567/2023</t>
  </si>
  <si>
    <t>TCSL7-14 / TCCA7-17</t>
  </si>
  <si>
    <t>Substituição de um (01) Seccionador com Lamina de Terra 500 KV SE Tucuruí no vão Hx -TCSL7-15 TCCA7-18. Capacidade do novo equipamento: 4.000 A e 63 kA.</t>
  </si>
  <si>
    <t>N-S-PATC-TUTCLT708-ELTC-TCCA718</t>
  </si>
  <si>
    <t>0002568/2023</t>
  </si>
  <si>
    <t>TCSL7-15 / TCCA7-18</t>
  </si>
  <si>
    <t>Substituição de um (01) Seccionador com Lamina de Terra 500 KV SE Tucuruí no vão Ix - TCSL7-17 TCCA7-20. Capacidade do novo equipamento: 4.000 A e 63 kA.</t>
  </si>
  <si>
    <t>N-S-PATC-TUTCLT709-ELTC-TCCA720</t>
  </si>
  <si>
    <t>0002569/2023</t>
  </si>
  <si>
    <t>TCSL7-17 TCCA7-20</t>
  </si>
  <si>
    <t>Substituição de um (01) Seccionador com Lamina de Terra 500 KV SE Tucuruí no vão Iz - TCSL7-18 TCCA7-21. Capacidade do novo equipamento: 4.000 A e 63 kA.</t>
  </si>
  <si>
    <t>0002557/2023</t>
  </si>
  <si>
    <t>TCSL7-18 / TCCA7-21</t>
  </si>
  <si>
    <t>Substituição de um (01) Seccionador com Lamina de Terra 500 KV SE Tucuruí no vão Jx, associado ao TCSL7-19 (TCCA7-22). Capacidade do novo equipamento: 4.000 A e 63 kA.</t>
  </si>
  <si>
    <t>N-S-PATC-TUTCLT7010-ELTC-TCCA722</t>
  </si>
  <si>
    <t>0002558/2023</t>
  </si>
  <si>
    <t>TCSL7-19 / TCCA7-22</t>
  </si>
  <si>
    <t>Substituição de um (01) Seccionador com Lamina de Terra 500 KV SE Tucuruí no vão Kx - TCSL7-21 TCCA7-24. Capacidade do novo equipamento: 4.000 A e 63 kA.</t>
  </si>
  <si>
    <t>N-S-PATC-TUTCLT7011-ELTC-TCCA724</t>
  </si>
  <si>
    <t>0002559/2023</t>
  </si>
  <si>
    <t>TCSL7-21/TCCA7-24</t>
  </si>
  <si>
    <t>Substituição de duas (02) Bobinas de Bloqueio 500 KV SE Tucuruí no vão Iz. Capacidade do novo equipamento: 4.000 A e 63 kA.</t>
  </si>
  <si>
    <t>0002556/2023</t>
  </si>
  <si>
    <t>BB</t>
  </si>
  <si>
    <t>Substituição de duas (02) Bobinas de Bloqueio 500 KV SE Vila do Conde, LT Vila do Conde - Tucuruí C1. Capacidade do novo equipamento: 4.000 A e 63 kA.</t>
  </si>
  <si>
    <t>0002555/2023</t>
  </si>
  <si>
    <t>Substituição de duas (02) Bobinas de Bloqueio 500 KV SE Tucuruí no vão Cz TCBB7-01 FASE B e V. Capacidade do novo equipamento: 4.000 A e 63 kA.</t>
  </si>
  <si>
    <t>0002566/2023</t>
  </si>
  <si>
    <t>TCBB7-01 FASE B    TCBB7-01 FASE V</t>
  </si>
  <si>
    <t>Substituição de duas (02) Bobinas de Bloqueio 500 KV SE Marabá, na LT Marabá - Tucuruí C1. Capacidade do novo equipamento: 4.000 A e 63 kA.</t>
  </si>
  <si>
    <t>0002570/2023</t>
  </si>
  <si>
    <t>MBBB7-01  FASE B    MBBB7-01  FASE V</t>
  </si>
  <si>
    <t>Substituição de três (03) Transformador Potencial 500 KV SE Tucuruí no vão Iz</t>
  </si>
  <si>
    <t>0002571/2023</t>
  </si>
  <si>
    <t>7TPIZ (TCVCLT7-01)</t>
  </si>
  <si>
    <t>Substituição de três (3) Para-Raios associados à Unidades Geradoras 1 e 2 referente as Fases A, B e V da linha TUTCLT7-01.</t>
  </si>
  <si>
    <t>N-U-UHTU-LT701</t>
  </si>
  <si>
    <t>0002583/2023</t>
  </si>
  <si>
    <t>Substituição de três (3) Para-Raios associados à Unidades Geradoras 9 e 10 referente as Fases A, B e V da linha TUTCLT7-05.</t>
  </si>
  <si>
    <t>N-U-UHTU-LT705</t>
  </si>
  <si>
    <t>0002584/2023</t>
  </si>
  <si>
    <t>Substituição de um (01) Transformador de Potencial associados à Unidades Geradoras 9 e 10 da linha TUTCLT7-05</t>
  </si>
  <si>
    <t>0002585/2023</t>
  </si>
  <si>
    <t>Substituição do Módulo GIS referente às Unidades Geradoras 01 e 02, composto de dois (02) disjuntores TUDJ7-01 e TUDJ7-02, dois (02) seccionadores sem lâmina de terra TUSD7-01, TUSD7-02, cinco (05) seccionadores com lâmina de terra TUCA7-01, TUCA7-02 TUCA7-03, TUCA7-04 e TUCA7-05, doze (12) transformadores de corrente, e três (3) buchas de conexão com as linhas aéreas, e sobressalentes.</t>
  </si>
  <si>
    <t>N-U-UHTU-UGH01-SEB01 e N-U-UHTU-UGH02-SEB02</t>
  </si>
  <si>
    <t>0002601/2023</t>
  </si>
  <si>
    <t>Substituição do Módulo GIS referente as Unidades Geradoras 03 e 04, composto de dois (02) disjuntores TUDJ7-03 e TUDJ7-04, dois (02) Seccionadores sem lâmina de terra TUSD7-03, TUSD7-04 e cinco (05) Seccionadores com lâmina de terra TUCA7-06, TUCA7-07 TUCA7-08, TUCA7-09 e TUCA7-10, doze (12) transformadores de corrente, e três (3) buchas de conexão com as linhas aéreas, e sobressalentes.</t>
  </si>
  <si>
    <t>N-U-UHTU-UGH03-SEB03 e N-U-UHTU-UGH04-SEB04</t>
  </si>
  <si>
    <t>0002602/2023</t>
  </si>
  <si>
    <t>Substituição de um (01) Transformador Elevador 13 / 500 KV Unidade Geradora UG1 (TUTF7-01)</t>
  </si>
  <si>
    <t>N-U-UHTU-UGH01</t>
  </si>
  <si>
    <t>0002600/2023</t>
  </si>
  <si>
    <t>12344291</t>
  </si>
  <si>
    <t>Substituição de um (01) Transformador Elevador 13 / 500 KV Unidade Geradora UG2 (TUTF7-02)</t>
  </si>
  <si>
    <t>N-U-UHTU-UGH02</t>
  </si>
  <si>
    <t>0002599/2023</t>
  </si>
  <si>
    <t>12344379</t>
  </si>
  <si>
    <t>Substituição do Módulo GIS referente as Unidades Geradoras 07 e 08, composto de dois (02) disjuntores TUDJ7-07 e TUDJ7-08, dois (02) Seccionadores sem lâmina de terra TUSD7-07, TUSD7-08 e cinco (05) Seccionadores com lâmina de terra TUCA7-16, TUCA7-17 TUCA7-18, TUCA7-19 e TUCA7-20, doze (12) transformadores de corrente, e três (3) buchas de conexão com as linhas aéreas, e sobressalentes.</t>
  </si>
  <si>
    <t>N-U-UHTU-UGH07-SEB07 e N-U-UHTU-UGH08-SEB08</t>
  </si>
  <si>
    <t>0002603/2023</t>
  </si>
  <si>
    <t>Substituição do Módulo GIS referente as Unidades Geradoras 09 e 10, composto de dois (02) disjuntores TUDJ7-09 e TUDJ7-10, dois (02) Seccionadores sem lâmina de terra TUSD7-09, TUSD7-10 e cinco (05) Seccionadores com lâmina de terra TUCA7-21, TUCA7-22 TUCA7-23, TUCA7-24 e TUCA7-25, doze (12) transformadores de corrente, e três (3) buchas de conexão com as linhas aéreas, e sobressalentes.</t>
  </si>
  <si>
    <t>N-U-UHTU-UGH09-SEB09 e N-U-UHTU-UGH10-SEB10</t>
  </si>
  <si>
    <t>0002604/2023</t>
  </si>
  <si>
    <t>Substituição de um (01) Transformador Elevador 13 / 500 KV Unidade Geradora UG4 (TUTF7-04)</t>
  </si>
  <si>
    <t>N-U-UHTU-UGH04</t>
  </si>
  <si>
    <t>0002598/2023</t>
  </si>
  <si>
    <t>12344555</t>
  </si>
  <si>
    <t>Substituição do Módulo GIS referente as Unidades Geradoras 11 e 12, composto de dois (02) disjuntores TUDJ7-11 e TUDJ7-12, dois (02) Seccionadores sem lâmina de terra TUSD7-11, TUSD7-12 e cinco (05) Seccionadores com lâmina de terra TUCA7-26, TUCA7-27 TUCA7-28, TUCA7-29 e TUCA7-30, doze (12) transformadores de corrente, e três (3) buchas de conexão com as linhas aéreas, e sobressalentes.</t>
  </si>
  <si>
    <t>N-U-UHTU-UGH11-SEB11 e N-U-UHTU-UGH11-SEB12</t>
  </si>
  <si>
    <t>0002605/2023</t>
  </si>
  <si>
    <t>Substituição de um (01) Transformador Elevador 13 / 500 KV Unidade Geradora UG10 (TUTF7-10)</t>
  </si>
  <si>
    <t>N-U-UHTU-UGH10</t>
  </si>
  <si>
    <t>0002597/2023</t>
  </si>
  <si>
    <t>12345083</t>
  </si>
  <si>
    <t>Substituição de um (01) Transformador Elevador 13 / 500 KV Unidade Geradora UG9 (TUTF7-09)</t>
  </si>
  <si>
    <t>N-U-UHTU-UGH09</t>
  </si>
  <si>
    <t>0002596/2023</t>
  </si>
  <si>
    <t>12344995</t>
  </si>
  <si>
    <t>Substituição de um (01) Transformador Elevador 13 / 500 KV Unidade Geradora UG3 (TUTF7-03)</t>
  </si>
  <si>
    <t>N-U-UHTU-UGH03</t>
  </si>
  <si>
    <t>0002595/2023</t>
  </si>
  <si>
    <t>12344467</t>
  </si>
  <si>
    <t>Substituição de um (01) Transformador Elevador 13 / 500 KV Unidade Geradora UG8 (TUTF7-08)</t>
  </si>
  <si>
    <t>N-U-UHTU-UGH08</t>
  </si>
  <si>
    <t>0002594/2023</t>
  </si>
  <si>
    <t>12344907</t>
  </si>
  <si>
    <t>Substituição de um (01) Transformador Elevador 13 / 500 KV Unidade Geradoras UG11 (TUTF7-11)</t>
  </si>
  <si>
    <t>N-U-UHTU-UGH11</t>
  </si>
  <si>
    <t>0002593/2023</t>
  </si>
  <si>
    <t>12345171</t>
  </si>
  <si>
    <t>Substituição de 01 Registrador de Perturbação (RDP) associado ao vão de Entrada de Linha 04Z4 (LT 230 kV FORTALEZA/FORTALEZA II C-1) na subestação FORTALEZA, por um novo sistema composto por: 01 RDP e infraestrutura de comunicação associada</t>
  </si>
  <si>
    <t>0002622/2023</t>
  </si>
  <si>
    <t>11449265</t>
  </si>
  <si>
    <t>Substituição do painel de teleproteção e equipamentos associados, relacionados à teleproteção principal do vão da Entrada de Linha 04Z4 (LT 230 kV FORTALEZA/FORTALEZA II C-1) na subestação FORTALEZA.</t>
  </si>
  <si>
    <t>0002624/2023</t>
  </si>
  <si>
    <t>Substituição de 01 Registrador de Perturbação (RDP) associado ao vão de Entrada de Linha 04Z5 (LT 230 kV FORTALEZA/FORTALEZA II C-2) na subestação FORTALEZA, por um novo sistema composto por: 01 RDP e infraestrutura de comunicação associada</t>
  </si>
  <si>
    <t>0002625/2023</t>
  </si>
  <si>
    <t>11449264</t>
  </si>
  <si>
    <t>Substituição do painel de teleproteção e equipamentos associados, relacionados à teleproteção principal do vão da Entrada de Linha 04Z5 (LT 230 kV FORTALEZA/FORTALEZA II C-2) na subestação FORTALEZA.</t>
  </si>
  <si>
    <t>0002627/2023</t>
  </si>
  <si>
    <t>Substituição de 01 Registrador de Perturbação (RDP) associado ao vão de Entrada de Linha 04Z6 (LT 230 kV FORTALEZA/FORTALEZA II C-3) na subestação FORTALEZA, por um novo sistema composto por: 01 RDP e infraestrutura de comunicação associada</t>
  </si>
  <si>
    <t>0002628/2023</t>
  </si>
  <si>
    <t>11449296</t>
  </si>
  <si>
    <t>Substituição dos painéis de teleproteção e equipamentos associados, relacionados à teleproteção principal e alternada do vão da Entrada de Linha 04Z6 (LT 230 kV FORTALEZA/FORTALEZA II C-3) na subestação FORTALEZA.</t>
  </si>
  <si>
    <t>0002630/2023</t>
  </si>
  <si>
    <t>Instalação painel de teleproteção e equipamentos associados, relacionados à teleproteção alternada no vão da Entrada de Linha 04Z4 (LT 230 kV FORTALEZA/FORTALEZA II C-1) na subestação FORTALEZA.</t>
  </si>
  <si>
    <t>0002633/2023</t>
  </si>
  <si>
    <t>Instalação painel de teleproteção e equipamentos associados, relacionados à teleproteção alternada no vão da Entrada de Linha 04Z5 (LT 230 kV FORTALEZA/FORTALEZA II C-2) na subestação FORTALEZA.</t>
  </si>
  <si>
    <t>0002634/2023</t>
  </si>
  <si>
    <t>Substituição de 01 Registrador de Perturbação (RDP) associado ao vão de Entrada de Linha 04S6 (LT 230 kV MESSIAS /MACEIO C-1) na subestação MESSIAS, por um novo sistema composto por: 01 RDP e infraestrutura de comunicação associada.</t>
  </si>
  <si>
    <t>0002636/2023</t>
  </si>
  <si>
    <t>11446220</t>
  </si>
  <si>
    <t>Substituição do painel de teleproteção e equipamentos associados, relacionados à teleproteção principal via OPGW do vão da Entrada de Linha 04S6 (LT 230 kV MESSIAS /MACEIO C-1) na subestação MESSIAS.</t>
  </si>
  <si>
    <t>0002637/2023</t>
  </si>
  <si>
    <t>11369989</t>
  </si>
  <si>
    <t>Substituição do painel de teleproteção e equipamentos associados, relacionados à teleproteção principal via OPGW do vão da Entrada de Linha 04S7 (LT 230 kV MESSIAS /MACEIO C-2) na subestação MESSIAS.</t>
  </si>
  <si>
    <t>0002638/2023</t>
  </si>
  <si>
    <t>11369990</t>
  </si>
  <si>
    <t>Substituição de 01 Registrador de Perturbação (RDP) associado ao vão de Entrada de Linha 04S7 (LT 230 kV MESSIAS /MACEIO C-2) na subestação MESSIAS, por um novo sistema composto por: 01 RDP e insfraestrutura de comunicação associada.</t>
  </si>
  <si>
    <t>0002640/2023</t>
  </si>
  <si>
    <t>Instalação de OPLAT e equipamentos associados, relacionados à teleproteção alternada do vão da Entrada de Linha 04S6 (LT 230 kV MESSIAS /MACEIO C-1) na subestação MESSIAS.</t>
  </si>
  <si>
    <t>0002641/2023</t>
  </si>
  <si>
    <t>Instalação de OPLAT e equipamentos associados, relacionados à teleproteção alternada do vão da Entrada de Linha 04S7 (LT 230 kV MESSIAS /MACEIO C-2) na subestação MESSIAS.</t>
  </si>
  <si>
    <t>0002643/2023</t>
  </si>
  <si>
    <t>Substituição do sistema registro de perturbações (RDP) associado do Transformador 05T1 na subestação FORTALEZA II, por um novo sistema composto por: 01 RDP e infraestrutura de comunicação associada.</t>
  </si>
  <si>
    <t>0002644/2023</t>
  </si>
  <si>
    <t>11446251</t>
  </si>
  <si>
    <t>Substituição do sistema registro de perturbações (RDP) associado do Transformador 05T2 na subestação FORTALEZA II, por um novo sistema composto por: 01 RDP e infraestrutura de comunicação associada</t>
  </si>
  <si>
    <t>0002646/2023</t>
  </si>
  <si>
    <t>11446252</t>
  </si>
  <si>
    <t>Substituição do sistema registro de perturbações (RDP) associado do Transformador 05T3 na subestação FORTALEZA II, por um novo sistema composto por: 01 RDP e infraestrutura de comunicação associada</t>
  </si>
  <si>
    <t>0002647/2023</t>
  </si>
  <si>
    <t>11446266</t>
  </si>
  <si>
    <t>Substituição do sistema registro de perturbações (RDP) associado ao vão de Entrada de Linha 04F4 (LT 230 kV DELM. GOUVEIA /FORTALEZA II C-1) na subestação FORTALEZA II, por um novo sistema composto por: 01 RDP e infraestrutura de comunicação associada</t>
  </si>
  <si>
    <t>0002649/2023</t>
  </si>
  <si>
    <t>11449292</t>
  </si>
  <si>
    <t>Instalação de OPLAT e equipamentos associados, relacionados à teleproteção alternada do vão da Entrada de Linha 04F4 (LT 230 kV DELM. GOUVEIA /FORTALEZA II C-1) na subestação FORTALEZA II.</t>
  </si>
  <si>
    <t>0002650/2023</t>
  </si>
  <si>
    <t>11368178</t>
  </si>
  <si>
    <t>Substituição do sistema registro de perturbações (RDP) associado ao vão de Entrada de Linha 04F5 (LT 230 kV DELM. GOUVEIA /FORTALEZA II C-2) na subestação FORTALEZA II, por um novo sistema composto por: 01 RDP e infraestrutura de comunicação associada</t>
  </si>
  <si>
    <t>0002652/2023</t>
  </si>
  <si>
    <t>11449293</t>
  </si>
  <si>
    <t>Instalação de OPLAT e equipamentos associados, relacionados à teleproteção alternada do vão da Entrada de Linha 04F5 (LT 230 kV DELM. GOUVEIA /FORTALEZA II C-2) na subestação FORTALEZA II.</t>
  </si>
  <si>
    <t>0002653/2023</t>
  </si>
  <si>
    <t>11368179</t>
  </si>
  <si>
    <t>Substituição do sistema registro de perturbações (RDP) associado ao vão de Entrada de Linha 04S1 (LT 230 kV CAUIPE /FORTALEZA II C-3) na subestação FORTALEZA II, por um novo sistema composto por: 01 RDP e infraestrutura de comunicação associada</t>
  </si>
  <si>
    <t>LT 230 kV MARACANAU /FORTALEZA II C-1 CE</t>
  </si>
  <si>
    <t>0002655/2023</t>
  </si>
  <si>
    <t>11449281</t>
  </si>
  <si>
    <t>Substituição do painel de teleproteção e equipamentos associados, relacionados à teleproteção principal via OPGW do vão da Entrada de Linha 04S1 (LT 230 kV CAUIPE /FORTALEZA II C-3) na subestação FORTALEZA II.</t>
  </si>
  <si>
    <t>LT 230 kV CAUIPE / FORTALEZA II C S1 CE</t>
  </si>
  <si>
    <t>0002656/2023</t>
  </si>
  <si>
    <t>11374811</t>
  </si>
  <si>
    <t>Substituição do sistema registro de perturbações (RDP) associado ao vão de Entrada de Linha 04S3 (LT 230 kV CAUIPE /FORTALEZA II C-1) na subestação FORTALEZA II, por um novo sistema composto por: 01 RDP e infraestrutura de comunicação associada</t>
  </si>
  <si>
    <t>0002657/2023</t>
  </si>
  <si>
    <t>11449273</t>
  </si>
  <si>
    <t>Substituição do painel de teleproteção e equipamentos associados, relacionados à teleproteção principal via OPGW do vão da Entrada de Linha 04S3 (LT 230 kV CAUIPE /FORTALEZA II C-1) na subestação FORTALEZA II.</t>
  </si>
  <si>
    <t>0002659/2023</t>
  </si>
  <si>
    <t>11374814</t>
  </si>
  <si>
    <t>Substituição do sistema registro de perturbações (RDP) associado ao vão de Entrada de Linha 04Z2 (LT 230 kV FORTALEZA II /PICI II C-1) na subestação FORTALEZA II, por um novo sistema composto por: 01 RDP e infraestrutura de comunicação associada</t>
  </si>
  <si>
    <t>0002660/2023</t>
  </si>
  <si>
    <t>11449275</t>
  </si>
  <si>
    <t>Substituição do painel de teleproteção e equipamentos associados, relacionados à teleproteção principal via OPGW do vão da Entrada de Linha 04Z2 (LT 230 kV FORTALEZA II /PICI II C-1) na subestação FORTALEZA II.</t>
  </si>
  <si>
    <t>0002662/2023</t>
  </si>
  <si>
    <t>11374813</t>
  </si>
  <si>
    <t>Substituição do painel de teleproteção e equipamentos associados, relacionados à teleproteção principal via OPGW do vão da Entrada de Linha 04Z3 (LT 230 kV FORTALEZA II /PICI II C-2) na subestação FORTALEZA II.</t>
  </si>
  <si>
    <t>0002663/2023</t>
  </si>
  <si>
    <t>11374812</t>
  </si>
  <si>
    <t>Substituição do sistema registro de perturbações (RDP) associado ao vão de Entrada de Linha 04Z4 (LT 230 kV FORTALEZA /FORTALEZA II C-1) na subestação FORTALEZA II, por um novo sistema composto por: 01 RDP e infraestrutura de comunicação associada</t>
  </si>
  <si>
    <t>0002665/2023</t>
  </si>
  <si>
    <t>11449277</t>
  </si>
  <si>
    <t>Substituição do painel de teleproteção e equipamentos associados, relacionados à teleproteção principal do vão da Entrada de Linha 04Z4 (LT 230 kV FORTALEZA/FORTALEZA II C-1) na subestação FORTALEZA II.</t>
  </si>
  <si>
    <t>0002666/2023</t>
  </si>
  <si>
    <t>Substituição do sistema registro de perturbações (RDP) associado ao vão de Entrada de Linha 04Z5 (LT 230 kV FORTALEZA /FORTALEZA II C-2) na subestação FORTALEZA II, por um novo sistema composto por: 01 RDP e infraestrutura de comunicação associada</t>
  </si>
  <si>
    <t>0002668/2023</t>
  </si>
  <si>
    <t>11449271</t>
  </si>
  <si>
    <t>Substituição do sistema registro de perturbações (RDP) associado ao vão de Entrada de Linha 04Z6 (LT 230 kV FORTALEZA/FORTALEZA II C-3) na subestação FORTALEZA II, por um novo sistema composto por: 01 RDP e infraestrutura de comunicação associada</t>
  </si>
  <si>
    <t>0002669/2023</t>
  </si>
  <si>
    <t>11449282</t>
  </si>
  <si>
    <t>Substituição dos painéis de teleproteção e equipamentos associados, relacionados à teleproteção principal e alternada do vão da Entrada de Linha 04Z6 (LT 230 kV FORTALEZA/FORTALEZA II C-3) na subestação FORTALEZA II.</t>
  </si>
  <si>
    <t>0002671/2023</t>
  </si>
  <si>
    <t>Substituição do sistema registro de perturbações (RDP) associado ao vão de Entrada de Linha 05C2 (LT 500 kV PECEM II /FORTALEZA II C-1) na subestação FORTALEZA II, por um novo sistema composto por: 01 RDP e infraestrutura de comunicação associada</t>
  </si>
  <si>
    <t>0002672/2023</t>
  </si>
  <si>
    <t>11446254</t>
  </si>
  <si>
    <t>Instalação de OPLAT e equipamentos associados, relacionados à teleproteção alternada do vão da Entrada de Linha 05C2 (LT 500 kV PECEM II /FORTALEZA II C-1) na subestação FORTALEZA II.</t>
  </si>
  <si>
    <t>0002674/2023</t>
  </si>
  <si>
    <t>11373870</t>
  </si>
  <si>
    <t>Substituição do sistema registro de perturbações (RDP) associado ao Reator de Barra do vão 05E4 na subestação FORTALEZA II, por um novo sistema composto por: 01 RDP e infraestrutura de comunicação associada</t>
  </si>
  <si>
    <t>0002675/2023</t>
  </si>
  <si>
    <t>11446269</t>
  </si>
  <si>
    <t>Substituição do sistema registro de perturbações (RDP) associado ao vão de Entrada de Linha 05V5 (LT 500 kV QUIXADA /FORTALEZA II C-1) na subestação FORTALEZA II, por um novo sistema composto por: 01 RDP e infraestrutura de comunicação associada</t>
  </si>
  <si>
    <t>0002676/2023</t>
  </si>
  <si>
    <t>11446253</t>
  </si>
  <si>
    <t>Substituição do painel de teleproteção e equipamentos associados, relacionados à teleproteção alternada via OPGW do vão da Entrada de Linha 05V5 (LT 500 kV QUIXADA /FORTALEZA II C-1) na subestação FORTALEZA II.</t>
  </si>
  <si>
    <t>0002677/2023</t>
  </si>
  <si>
    <t>11374527</t>
  </si>
  <si>
    <t>Instalação de SPCS alternado das Barras de 500 kV na subestação FORTALEZA II, composto por: 01 painel, 01 unidade central de proteção de barras alternada, do tipo adaptativa e distribuída, com capacidade para atender, no mínimo, 12 vãos, 12 falhas de disjuntor (alternada), 09 unidades de bay de proteção de barras (alternada) e infraestrutura de comunicação associados.</t>
  </si>
  <si>
    <t>0002678/2023</t>
  </si>
  <si>
    <t>Substituição do painel de teleproteção e equipamentos associados, relacionados à teleproteção principal do vão da Entrada de Linha 04Z5 (LT 230 kV FORTALEZA/FORTALEZA II C-2) na subestação FORTALEZA II.</t>
  </si>
  <si>
    <t>0002679/2023</t>
  </si>
  <si>
    <t>Instalação do painel de teleproteção e equipamentos associados, relacionados à teleproteção alternada via OPGW do vão da Entrada de Linha 04S1 (LT 230 kV CAUIPE /FORTALEZA II C-3) na subestação FORTALEZA II.</t>
  </si>
  <si>
    <t>0002680/2023</t>
  </si>
  <si>
    <t>Instalação do painel de teleproteção e equipamentos associados, relacionados à teleproteção alternada via OPGW do vão da Entrada de Linha 04S3 (LT 230 kV CAUIPE /FORTALEZA II C-1) na subestação FORTALEZA II.</t>
  </si>
  <si>
    <t>0002681/2023</t>
  </si>
  <si>
    <t>Instalação de OPLAT e equipamentos associados, relacionados à teleproteção alternada do vão da Entrada de Linha 04Z2 (LT 230 kV FORTALEZA II /PICI II C-1) na subestação FORTALEZA II.</t>
  </si>
  <si>
    <t>0002682/2023</t>
  </si>
  <si>
    <t>Instalação de OPLAT e equipamentos associados, relacionados à teleproteção alternada do vão da Entrada de Linha 04Z3 (LT 230 kV FORTALEZA II /PICI II C-2) na subestação FORTALEZA II.</t>
  </si>
  <si>
    <t>0002683/2023</t>
  </si>
  <si>
    <t>Instalação painel de teleproteção e equipamentos associados, relacionados à teleproteção alternada no vão da Entrada de Linha 04Z4 (LT 230 kV FORTALEZA /FORTALEZA II C-1) na subestação FORTALEZA II.</t>
  </si>
  <si>
    <t>0002684/2023</t>
  </si>
  <si>
    <t>Instalação painel de teleproteção e equipamentos associados, relacionados à teleproteção alternada no vão da Entrada de Linha 04Z5 (LT 230 kV FORTALEZA /FORTALEZA II C-2) na subestação FORTALEZA II.</t>
  </si>
  <si>
    <t>0002685/2023</t>
  </si>
  <si>
    <t>Substituição do sistema registro de perturbações (RDP) associado ao vão de Entrada de Linha 04Z3 (LT 230 kV FORTALEZA II /PICI II C-2) na subestação FORTALEZA II, por um novo sistema composto por: 01 RDP e infraestrutura de comunicação associada</t>
  </si>
  <si>
    <t>0002686/2023</t>
  </si>
  <si>
    <t>11449276</t>
  </si>
  <si>
    <t>Substituição do painel de teleproteção e equipamentos associados, relacionados à teleproteção alternada via OPGW do vão da Entrada de Linha 05V5 (LT 500 kV QUIXADA /FORTALEZA II C-1) na subestação QUIXADA.</t>
  </si>
  <si>
    <t>0002687/2023</t>
  </si>
  <si>
    <t>11374521</t>
  </si>
  <si>
    <t>Substituição do sistema registro de perturbações (RDP) associado ao vão de Entrada de Linha 05V5 (LT 500 kV QUIXADA /FORTALEZA II C-1) na subestação QUIXADA, por um novo sistema composto por: 01 RDP e infraestrutura de comunicação associada</t>
  </si>
  <si>
    <t>0002688/2023</t>
  </si>
  <si>
    <t>11444186</t>
  </si>
  <si>
    <t>Substituição de 01 Registrador de Perturbação (RDP) associado ao vão de Entrada de Linha 04L3 (LT 230 kV TERESINA II /TERESINA C-1) na subestação TERESINA, por um novo sistema composto por: 01 RDP e infraestrutura de comunicação associada</t>
  </si>
  <si>
    <t>0002689/2023</t>
  </si>
  <si>
    <t>11446275</t>
  </si>
  <si>
    <t>Instalação de OPLAT e equipamentos associados, relacionados à teleproteção alternada no vão da Entrada de Linha 04L3 (LT 230 kV TERESINA II /TERESINA C-1) na subestação TERESINA.</t>
  </si>
  <si>
    <t>0002690/2023</t>
  </si>
  <si>
    <t>11373969</t>
  </si>
  <si>
    <t>Instalação de OPLAT e equipamentos associados, relacionados à teleproteção alternada no vão da Entrada de Linha 04L4 (LT 230 kV TERESINA II /TERESINA C-2) na subestação TERESINA.</t>
  </si>
  <si>
    <t>0002691/2023</t>
  </si>
  <si>
    <t>11373970</t>
  </si>
  <si>
    <t>Substituição de 01 Registrador de Perturbação (RDP) associado ao vão de Entrada de Linha 04L4 (LT 230 kV TERESINA II /TERESINA C-2) na subestação TERESINA, por um novo sistema composto por: 01 RDP e insfraestrutura de comunicação associada.</t>
  </si>
  <si>
    <t>0002692/2023</t>
  </si>
  <si>
    <t>Instalação de OPLAT e equipamentos associados, relacionados à teleproteção alternada do vão da Entrada de Linha 05C2 (LT 500 kV PECEM II /FORTALEZA II C-1) na subestação PECEM II.</t>
  </si>
  <si>
    <t>0002693/2023</t>
  </si>
  <si>
    <t>11373868</t>
  </si>
  <si>
    <t>Substituição de 01 Registrador de Perturbação (RDP) associado ao vão de Entrada de Linha 05C2 (LT 500 kV PECEM II /FORTALEZA II C-1) na subestação PECEM II, por um novo sistema composto por: 01 RDP e insfraestrutura de comunicação associada.</t>
  </si>
  <si>
    <t>0002694/2023</t>
  </si>
  <si>
    <t>Substituição do sistema registro de perturbações (RDP) associado ao vão de Entrada de Linha 04F4 (LT 230 kV DELM. GOUVEIA /FORTALEZA II C-1) na subestação DELM. GOUVEIA, por um novo sistema composto por: 01 RDP e infraestrutura de comunicação associada</t>
  </si>
  <si>
    <t>0002695/2023</t>
  </si>
  <si>
    <t>11449295</t>
  </si>
  <si>
    <t>Instalação de OPLAT e equipamentos associados, relacionados à teleproteção alternada do vão da Entrada de Linha 04F4 (LT 230 kV DELM. GOUVEIA /FORTALEZA II C-1) na subestação DELM. GOUVEIA.</t>
  </si>
  <si>
    <t>0002696/2023</t>
  </si>
  <si>
    <t>11373563</t>
  </si>
  <si>
    <t>Substituição do sistema registro de perturbações (RDP) associado ao vão de Entrada de Linha 04F5 (LT 230 kV DELM. GOUVEIA /FORTALEZA II C-2) na subestação DELM. GOUVEIA, por um novo sistema composto por: 01 RDP e infraestrutura de comunicação associada</t>
  </si>
  <si>
    <t>0002697/2023</t>
  </si>
  <si>
    <t>11449301</t>
  </si>
  <si>
    <t>Instalação de OPLAT e equipamentos associados, relacionados à teleproteção alternada do vão da Entrada de Linha 04F5 (LT 230 kV DELM. GOUVEIA /FORTALEZA II C-2) na subestação DELM. GOUVEIA.</t>
  </si>
  <si>
    <t>0002698/2023</t>
  </si>
  <si>
    <t>11373564</t>
  </si>
  <si>
    <t>Substituição do painel de teleproteção e equipamentos associados, relacionados à teleproteção principal via OPGW do vão da Entrada de Linha 04S3 (LT 230 kV CAUIPE /FORTALEZA II C-1) na subestação CAUIPE.</t>
  </si>
  <si>
    <t>0002699/2023</t>
  </si>
  <si>
    <t>11374804</t>
  </si>
  <si>
    <t>Substituição do sistema registro de perturbações (RDP) associado ao vão de Entrada de Linha 04S1 (LT 230 kV CAUIPE /FORTALEZA II C-3) na subestação CAUIPE, por um novo sistema composto por: 01 RDP e infraestrutura de comunicação associada</t>
  </si>
  <si>
    <t>LT 230 kV CAUIPE /MARACANAU C-1 CE</t>
  </si>
  <si>
    <t>0002700/2023</t>
  </si>
  <si>
    <t>11444162</t>
  </si>
  <si>
    <t>Substituição do painel de teleproteção e equipamentos associados, relacionados à teleproteção principal via OPGW do vão da Entrada de Linha 04S1 (LT 230 kV CAUIPE /FORTALEZA II C-3) na subestação CAUIPE.</t>
  </si>
  <si>
    <t>0002701/2023</t>
  </si>
  <si>
    <t>11374803</t>
  </si>
  <si>
    <t>Substituição do sistema registro de perturbações (RDP) associado ao vão de Entrada de Linha 04S3 (LT 230 kV CAUIPE /FORTALEZA II C-1) na subestação CAUIPE, por um novo sistema composto por: 01 RDP e insfraestrutura de comunicação associada.</t>
  </si>
  <si>
    <t>0002702/2023</t>
  </si>
  <si>
    <t>Instalação do painel de teleproteção e equipamentos associados, relacionados à teleproteção alternada via OPGW do vão da Entrada de Linha 04S3 (LT 230 kV CAUIPE /FORTALEZA II C-1) na subestação CAUIPE.</t>
  </si>
  <si>
    <t>0002703/2023</t>
  </si>
  <si>
    <t>Instalação do painel de teleproteção e equipamentos associados, relacionados à teleproteção alternada via OPGW do vão da Entrada de Linha 04S1 (LT 230 kV CAUIPE /FORTALEZA II C-3) na subestação CAUIPE.</t>
  </si>
  <si>
    <t>0002704/2023</t>
  </si>
  <si>
    <t>Substituição do sistema registro de perturbações (RDP) associado ao vão de Entrada de Linha 04Z2 (LT 230 kV FORTALEZA II /PICI II C-1) na subestação PICI II, por um novo sistema composto por: 01 RDP e infraestrutura de comunicação associada</t>
  </si>
  <si>
    <t>0002705/2023</t>
  </si>
  <si>
    <t>11449288</t>
  </si>
  <si>
    <t>Substituição do painel de teleproteção e equipamentos associados, relacionados à teleproteção principal via OPGW do vão da Entrada de Linha 04Z2 (LT 230 kV FORTALEZA II /PICI II C-1) na subestação PICI II.</t>
  </si>
  <si>
    <t>0002706/2023</t>
  </si>
  <si>
    <t>11374808</t>
  </si>
  <si>
    <t>Substituição do sistema registro de perturbações (RDP) associado ao vão de Entrada de Linha 04Z3 (LT 230 kV FORTALEZA II /PICI II C-2) na subestação PICI II, por um novo sistema composto por: 01 RDP e infraestrutura de comunicação associada</t>
  </si>
  <si>
    <t>0002707/2023</t>
  </si>
  <si>
    <t>11449285</t>
  </si>
  <si>
    <t>Substituição do painel de teleproteção e equipamentos associados, relacionados à teleproteção principal via OPGW do vão da Entrada de Linha 04Z3 (LT 230 kV FORTALEZA II /PICI II C-2) na subestação PICI II.</t>
  </si>
  <si>
    <t>0002708/2023</t>
  </si>
  <si>
    <t>11373942</t>
  </si>
  <si>
    <t>Instalação de OPLAT e equipamentos associados, relacionados à teleproteção alternada do vão da Entrada de Linha 04Z2 (LT 230 kV FORTALEZA II /PICI II C-1) na subestação PICI II.</t>
  </si>
  <si>
    <t>0002709/2023</t>
  </si>
  <si>
    <t>Instalação de OPLAT e equipamentos associados, relacionados à teleproteção alternada do vão da Entrada de Linha 04Z3 (LT 230 kV FORTALEZA II /PICI II C-2) na subestação PICI II.</t>
  </si>
  <si>
    <t>0002710/2023</t>
  </si>
  <si>
    <t>Substituição do sistema de registros de perturbações (RDP) associado ao Transformador 05T2 na subestação TERESINA II, por um novo sistema composto por: 01 RDP e infraestrutura de comunicação associada</t>
  </si>
  <si>
    <t>0002711/2023</t>
  </si>
  <si>
    <t>12405630</t>
  </si>
  <si>
    <t>Substituição de 01 Registrador de Perturbação (RDP) associado ao vão de Entrada de Linha 04L3 (LT 230 kV TERESINA II /TERESINA C-1) na subestação TERESINA II, por um novo sistema composto por: 01 RDP e infraestrutura de comunicação associada</t>
  </si>
  <si>
    <t>0002712/2023</t>
  </si>
  <si>
    <t>12405614</t>
  </si>
  <si>
    <t>Instalação de OPLAT e equipamentos associados, relacionados à teleproteção alternada no vão da Entrada de Linha 04L3 (LT 230 kV TERESINA II /TERESINA C-1) na subestação TERESINA II.</t>
  </si>
  <si>
    <t>0002713/2023</t>
  </si>
  <si>
    <t>11374531</t>
  </si>
  <si>
    <t>Substituição de 01 Registrador de Perturbação (RDP) associado ao vão de Entrada de Linha 04L4 (LT 230 kV TERESINA II /TERESINA C-2) na subestação TERESINA II, por um novo sistema composto por: 01 RDP e infraestrutura de comunicação associada</t>
  </si>
  <si>
    <t>0002714/2023</t>
  </si>
  <si>
    <t>11444200</t>
  </si>
  <si>
    <t>Instalação de OPLAT e equipamentos associados, relacionados à teleproteção alternada no vão da Entrada de Linha 04L4 (LT 230 kV TERESINA II /TERESINA C-2) na subestação TERESINA II.</t>
  </si>
  <si>
    <t>0002715/2023</t>
  </si>
  <si>
    <t>11374532</t>
  </si>
  <si>
    <t>Substituição do sistema de registros de perturbações (RDP) associado ao vão de Entrada de Linha 05C8 (LT 500 kV TERESINA II /P.DUTRA C-1) na subestação TERESINA II, por um novo sistema composto por: 01 RDP e infraestrutura de comunicação associada</t>
  </si>
  <si>
    <t>0002716/2023</t>
  </si>
  <si>
    <t>12405626</t>
  </si>
  <si>
    <t>Substituição do painel de teleproteção e equipamentos associados, relacionados à teleproteção principal e alternada via OPGW no vão da Entrada de Linha 05C8 (LT 500 kV TERESINA II /P.DUTRA C-1) na subestação TERESINA II.</t>
  </si>
  <si>
    <t>0002717/2023</t>
  </si>
  <si>
    <t>11374817</t>
  </si>
  <si>
    <t>Substituição de 01 Registrador de Perturbação (RDP) associado ao vão de Entrada de Linha 05C9 (LT 500 kV TERESINA II /P.DUTRA C-2) na subestação TERESINA II, por um novo sistema composto por: 01 RDP e infraestrutura de comunicação associada</t>
  </si>
  <si>
    <t>0002718/2023</t>
  </si>
  <si>
    <t>12405632</t>
  </si>
  <si>
    <t>Substituição do painel de teleproteção e equipamentos associados, relacionados à teleproteção principal e alternada via OPGW no vão da Entrada de Linha 05C9 (LT 500 kV TERESINA II /P.DUTRA C-2) na subestação TERESINA II.</t>
  </si>
  <si>
    <t>0002719/2023</t>
  </si>
  <si>
    <t>11374529</t>
  </si>
  <si>
    <t>Substituição de 01 Registrador de Perturbação (RDP) associado ao Reator de Barra 05E5 na subestação TERESINA II, por um novo sistema composto por: 01 RDP e infraestrutura de comunicação associada</t>
  </si>
  <si>
    <t>0002720/2023</t>
  </si>
  <si>
    <t>11444206</t>
  </si>
  <si>
    <t>Substituição do sistema de registros de perturbações (RDP) associado ao vão de Entrada de Linha 05V9 (LT 500 kV TERESINA II /TIANGUA II C-1) na subestação TERESINA II, por um novo sistema composto por: 01 RDP e infraestrutura de comunicação associada</t>
  </si>
  <si>
    <t>0002721/2023</t>
  </si>
  <si>
    <t>12405628</t>
  </si>
  <si>
    <t>Substituição do sistema de registros de perturbações (RDP) associado do Transformador 05T1 na subestação TERESINA II, por um novo sistema composto por: 01 RDP e infraestrutura de comunicação associada</t>
  </si>
  <si>
    <t>0002722/2023</t>
  </si>
  <si>
    <t>12405624</t>
  </si>
  <si>
    <t>Instalação de SPCS alternado das Barras de 500 kV na subestação TERESINA II, composto por: 01 painel, 01 unidade central de proteção de barras alternada, do tipo adaptativa e distribuída, com capacidade para atender, no mínimo, 10 vãos, 10 falhas de disjuntor (alternada), 07 unidades de bay de proteção de barras (alternada) e infraestrutura de comunicação associados.</t>
  </si>
  <si>
    <t>0002723/2023</t>
  </si>
  <si>
    <t>Substituição de 01 Registrador de Perturbação (RDP) associado ao vão de Entrada de Linha 04S6 (LT 230 kV MESSIAS /MACEIO C-1) na subestação MACEIO, por um novo sistema composto por: 01 RDP e infraestrutura de comunicação associada.</t>
  </si>
  <si>
    <t>0002724/2023</t>
  </si>
  <si>
    <t>11449358</t>
  </si>
  <si>
    <t>Substituição do painel de teleproteção e equipamentos associados, relacionados à teleproteção principal via OPGW do vão da Entrada de Linha 04S6 (LT 230 kV MESSIAS /MACEIO C-1) na subestação MACEIO.</t>
  </si>
  <si>
    <t>0002725/2023</t>
  </si>
  <si>
    <t>11369988</t>
  </si>
  <si>
    <t>Substituição de 01 Registrador de Perturbação (RDP) associado ao vão de Entrada de Linha 04S7 (LT 230 kV MESSIAS /MACEIO C-2) na subestação MACEIO, por um novo sistema composto por: 01 RDP e infraestrutura de comunicação associada.</t>
  </si>
  <si>
    <t>0002726/2023</t>
  </si>
  <si>
    <t>11449221</t>
  </si>
  <si>
    <t>Substituição do painel de teleproteção e equipamentos associados, relacionados à teleproteção principal via OPGW do vão da Entrada de Linha 04S7 (LT 230 kV MESSIAS /MACEIO C-2) na subestação MACEIO.</t>
  </si>
  <si>
    <t>0002727/2023</t>
  </si>
  <si>
    <t>11369995</t>
  </si>
  <si>
    <t>Substituição do sistema de registro de perturbações (RDP associado ao Transformador 04T1 na subestação MACEIO, por um novo sistema composto por: 01 RDP e infraestrutura de comunicação associada.</t>
  </si>
  <si>
    <t>0002728/2023</t>
  </si>
  <si>
    <t>11449202</t>
  </si>
  <si>
    <t>Substituição do sistema de registro de perturbações (RDP) associado ao Transformador 04T2 na subestação MACEIO, por um novo sistema composto por: 01 RDP e infraestrutura de comunicação associada.</t>
  </si>
  <si>
    <t>0002729/2023</t>
  </si>
  <si>
    <t>11449359</t>
  </si>
  <si>
    <t>Substituição do sistema de registro de perturbações (RDP) associado ao Transformador 04T3 na subestação MACEIO, por um novo sistema composto por: 01 RDP e infraestrutura de comunicação associada.</t>
  </si>
  <si>
    <t>0002730/2023</t>
  </si>
  <si>
    <t>11449222</t>
  </si>
  <si>
    <t>Substituição de 01 Registrador de Perturbação (RDP) associado ao vão do Transformador 04T4 na subestação MACEIO, por um novo sistema composto por: 01 RDP e infraestrutura de comunicação associada.</t>
  </si>
  <si>
    <t>0002731/2023</t>
  </si>
  <si>
    <t>11446226</t>
  </si>
  <si>
    <t>Instalação de OPLAT e equipamentos associados, relacionados à teleproteção alternada do vão da Entrada de Linha 04S6 (LT 230 kV MESSIAS /MACEIO C-1) na subestação MACEIO.</t>
  </si>
  <si>
    <t>0002732/2023</t>
  </si>
  <si>
    <t>Instalação de OPLAT e equipamentos associados, relacionados à teleproteção alternada do vão da Entrada de Linha 04S7 (LT 230 kV MESSIAS /MACEIO C-2) na subestação MACEIO.</t>
  </si>
  <si>
    <t>0002733/2023</t>
  </si>
  <si>
    <t>Substituição de 01 Registrador de Perturbação (RDP) associado ao vão de Entrada de Linha 04S2 (LT 230 kV SE Floresta II /BOM NOME C-2) na subestação BOM NOME, por um novo sistema composto por: 01 RDP e infraestrutura de comunicação associada.</t>
  </si>
  <si>
    <t>0002896/2023</t>
  </si>
  <si>
    <t>12447276</t>
  </si>
  <si>
    <t>Substituição do SPCS associado ao vão da Entrada de Linha 03C1 (LT 138 kV BOM NOME /FLORES) na subestação BOM NOME, por um novo sistema composto por: 02 painéis, 02 proteções (principal e alternada), 01 unidade de controle, cabos de controle e infraestrutura de comunicação associados.</t>
  </si>
  <si>
    <t>0002902/2023</t>
  </si>
  <si>
    <t>11365329</t>
  </si>
  <si>
    <t>Substituição do SPCS associado ao vão da Entrada de Linha 03C2 (LT 138 kV BOM NOME /SALGUEIRO) na subestação BOM NOME, por um novo sistema composto por: 02 painéis, 02 proteções (principal e alternada), 01 unidade de controle, cabos de controle e infraestrutura de comunicação associados.</t>
  </si>
  <si>
    <t>EL 138 kV BOM NOME SALGUEIRO 03C2 (13C2)</t>
  </si>
  <si>
    <t>0002903/2023</t>
  </si>
  <si>
    <t>11365330</t>
  </si>
  <si>
    <t>Substituição do SPCS associado ao vão da Entrada de Linha 03C3 (LT 138 kV BOM NOME /SALGUEIRO) na subestação BOM NOME, por um novo sistema composto por: 02 painéis, 02 proteções (principal e alternada), 01 unidade de controle, cabos de controle e infraestrutura de comunicação associados.</t>
  </si>
  <si>
    <t>EL 138 kV BOM NOME SALGUEIRO-03C3 (13C3)</t>
  </si>
  <si>
    <t>0002904/2023</t>
  </si>
  <si>
    <t>11366826</t>
  </si>
  <si>
    <t>Substituição do SPCS do Disjuntor de Interligação de Barras 13D1 na subestação BOM NOME, por um novo sistema composto por: 01 painel, 01 unidade de controle, 02 falhas de disjuntor (principal e alternada), cabos de controle e infraestrutura de comunicação associados ao módulo de interligação de barras.</t>
  </si>
  <si>
    <t>IB 138 kV MG 230 kV BOM NOME MG1 PE IB1 (13D1)</t>
  </si>
  <si>
    <t>0002905/2023</t>
  </si>
  <si>
    <t>11449758</t>
  </si>
  <si>
    <t>Substituição do SPCS associado ao vão da Entrada de Linha 01Y4 13,8 kV na subestação ANGELIM, por um novo sistema composto por: 01 painel, 01 unidade de proteção e controle, cabos de controle e infraestrutura de comunicação associados.</t>
  </si>
  <si>
    <t>MG 230 kV ANGELIM MG1 PE</t>
  </si>
  <si>
    <t>0002906/2023</t>
  </si>
  <si>
    <t>11365401</t>
  </si>
  <si>
    <t>Substituição do SPCS associado ao vão da Entrada de Linha 01Y5 13,8 kV na subestação ANGELIM, por um novo sistema composto por: 01 painel, 01 unidade de proteção e controle, cabos de controle e infraestrutura de comunicação associados.</t>
  </si>
  <si>
    <t>0002907/2023</t>
  </si>
  <si>
    <t>11365402</t>
  </si>
  <si>
    <t>Substituição do SPCS associado ao vão do Transformador 01T7 13,8 kV na subestação ANGELIM, por um novo sistema composto por: 01 painel, 01 unidade de proteção e controle, cabos de controle e infraestrutura de comunicação associados.</t>
  </si>
  <si>
    <t>0002908/2023</t>
  </si>
  <si>
    <t>11365093</t>
  </si>
  <si>
    <t>Substituição do SPCS associado ao vão do Transformador 01T8 13,8 kV na subestação ANGELIM, por um novo sistema composto por: 01 painel, 01 unidade de proteção e controle, cabos de controle e infraestrutura de comunicação associados.</t>
  </si>
  <si>
    <t>0002909/2023</t>
  </si>
  <si>
    <t>11365094</t>
  </si>
  <si>
    <t>Substituição do SPCS do Transformador 02T4 69 kV na subestação ANGELIM, por um novo sistema composto por: 01 painel, 02 proteções (principal e alternada), 01 unidade de controle, cabos de controle e infraestrutura de comunicação associados.</t>
  </si>
  <si>
    <t>MC 69 kV TR 69/13,8 kV ANGELIM TR4A PE (12T4)</t>
  </si>
  <si>
    <t>0002910/2023</t>
  </si>
  <si>
    <t>11364392</t>
  </si>
  <si>
    <t>Substituição do SPCS do Transformador de Aterramento 02A1 na subestação ANGELIM, por um novo sistema composto por: 01 painel, 02 proteções (principal e alternada), 01 unidade de controle, cabos de controle e infraestrutura de comunicação associados.</t>
  </si>
  <si>
    <t>MC 69 kV TT 69/13,8 kV ANGELIM TA1 PE (32A1)</t>
  </si>
  <si>
    <t>0002911/2023</t>
  </si>
  <si>
    <t>11362937</t>
  </si>
  <si>
    <t>Substituição do SPCS do Transformador de Aterramento 02A2 na subestação ANGELIM, por um novo sistema composto por: 01 painel, 02 proteções (principal e alternada), 01 unidade de controle, cabos de controle e infraestrutura de comunicação associados.</t>
  </si>
  <si>
    <t>MC 69 kV TT 69/13,8 kV ANGELIM TA2 PE (32A2)</t>
  </si>
  <si>
    <t>0002912/2023</t>
  </si>
  <si>
    <t>11357439</t>
  </si>
  <si>
    <t>Substituição do SPCS do Disjuntor de Interligação de Barramento 12D1 na subestação ANGELIM, por um novo sistema composto por: 01 painel, 02 proteções (principal e alternada), 01 unidade de controle, cabos de controle e infraestrutura de comunicação associados.</t>
  </si>
  <si>
    <t>IB 69 kV MG 230 kV ANGELIM MG1 PE IB3 (12D1)</t>
  </si>
  <si>
    <t>0002913/2023</t>
  </si>
  <si>
    <t>11361625</t>
  </si>
  <si>
    <t>Substituição do SPCS associado ao vão de Entrada de Linha 02J1 (LT 69 kV ANGELIM / CORRENTES) na subestação ANGELIM, por um novo sistema composto por: 01 painel, 02 proteções (principal e alternada), 01 unidade de controle, cabos de controle e infraestrutura de comunicação associados.</t>
  </si>
  <si>
    <t>EL 69 kV ANGELIM DIST1 (12J1)</t>
  </si>
  <si>
    <t>0002914/2023</t>
  </si>
  <si>
    <t>11363002</t>
  </si>
  <si>
    <t>Substituição do SPCS associado ao vão de Entrada de Linha 02J2 (LT 69 kV ANGELIM / SECCIONADORA GARANHUNS) na subestação ANGELIM, por um novo sistema composto por: 01 painel, 02 proteções (principal e alternada), 01 unidade de controle, cabos de controle e infraestrutura de comunicação associados.</t>
  </si>
  <si>
    <t>EL 69 kV ANGELIM DIST2 (12J2)</t>
  </si>
  <si>
    <t>0002915/2023</t>
  </si>
  <si>
    <t>11357737</t>
  </si>
  <si>
    <t>Substituição do SPCS associado ao vão de Entrada de Linha 02J3 (LT 69 kV ANGELIM / QUIPAPA) na subestação ANGELIM, por um novo sistema composto por: 01 painel, 02 proteções (principal e alternada), 01 unidade de controle, cabos de controle e infraestrutura de comunicação associados.</t>
  </si>
  <si>
    <t>EL 69 kV ANGELIM DIST3 (12J3)</t>
  </si>
  <si>
    <t>0002916/2023</t>
  </si>
  <si>
    <t>11357738</t>
  </si>
  <si>
    <t>Substituição do SPCS associado ao vão de Entrada de Linha 02J4 (LT 69 kV ANGELIM / LAJEDO) na subestação ANGELIM, por um novo sistema composto por: 01 painel, 02 proteções (principal e alternada), 01 unidade de controle, cabos de controle e infraestrutura de comunicação associados.</t>
  </si>
  <si>
    <t>EL 69 kV ANGELIM DIST4 (12J4)</t>
  </si>
  <si>
    <t>0002917/2023</t>
  </si>
  <si>
    <t>11357739</t>
  </si>
  <si>
    <t>Substituição do SPCS associado ao vão de Entrada de Linha 02J5 (LT 69 kV ANGELIM / UNIÃO DOS PALMARES) na subestação ANGELIM, por um novo sistema composto por: 01 painel, 02 proteções (principal e alternada), 01 unidade de controle, cabos de controle e infraestrutura de comunicação associados.</t>
  </si>
  <si>
    <t>EL 69 kV ANGELIM DIST5 (12J5)</t>
  </si>
  <si>
    <t>0002918/2023</t>
  </si>
  <si>
    <t>11364715</t>
  </si>
  <si>
    <t>Substituição do SPCS associado ao vão de Entrada de Linha 02J6 (LT 69 kV ANGELIM / VIÇOSA) na subestação ANGELIM, por um novo sistema composto por: 01 painel, 02 proteções (principal e alternada), 01 unidade de controle, cabos de controle e infraestrutura de comunicação associados.</t>
  </si>
  <si>
    <t>EL 69 kV ANGELIM DIST6 (12J6)</t>
  </si>
  <si>
    <t>0002919/2023</t>
  </si>
  <si>
    <t>11362995</t>
  </si>
  <si>
    <t>Substituição do SPCS associado ao vão de Entrada de Linha 02J7 (LT 69 kV ANGELIM / SECCIONADORA GARANHUNS) na subestação ANGELIM, por um novo sistema composto por: 01 painel, 02 proteções (principal e alternada), 01 unidade de controle, cabos de controle e infraestrutura de comunicação associados.</t>
  </si>
  <si>
    <t>EL 69 kV ANGELIM DIST7 (12J7)</t>
  </si>
  <si>
    <t>0002920/2023</t>
  </si>
  <si>
    <t>11357740</t>
  </si>
  <si>
    <t>Substituição do SPCS associado ao vão de Entrada de Linha 02J9 (LT 69 kV ANGELIM / SECCIONADORA GARANHUNS) na subestação ANGELIM, por um novo sistema composto por: 01 painel, 02 proteções (principal e alternada), 01 unidade de controle, cabos de controle e infraestrutura de comunicação associados.</t>
  </si>
  <si>
    <t>EL 69 kV ANGELIM DIST8 (12J9)</t>
  </si>
  <si>
    <t>0002921/2023</t>
  </si>
  <si>
    <t>11358759</t>
  </si>
  <si>
    <t>Substituição de 01 Registrador de Perturbação (RDP) associado ao vão de Entrada de Linha 04S2 (LT 230 kV CAUIPE/SOBRAL II C-1) na subestação CAUIPE, por um novo sistema composto por: 01 RDP e infraestrutura de comunicação associada.</t>
  </si>
  <si>
    <t>0002922/2023</t>
  </si>
  <si>
    <t>11444145</t>
  </si>
  <si>
    <t>Substituição do sistema registro de perturbações (RDP) associado ao Transformador 04T1 na subestação CAUIPE, por um novo sistema composto por: 01 RDP e infraestrutura de comunicação associada.</t>
  </si>
  <si>
    <t>0002923/2023</t>
  </si>
  <si>
    <t>12444577</t>
  </si>
  <si>
    <t>Substituição de 01 Registrador de Perturbação (RDP) associado ao Transformador 04T2 na subestação CAUIPE, por um novo sistema composto por: 01 RDP e infraestrutura de comunicação associada.</t>
  </si>
  <si>
    <t>0002924/2023</t>
  </si>
  <si>
    <t>11444164</t>
  </si>
  <si>
    <t>Substituição do SPCS associado ao vão de Entrada de Linha 02M1 (LT 69 kV CAUIPE / SÃO LUIZ DO CURU) na subestação CAUIPE, por um novo sistema composto por: 01 painel, 02 proteções (principal e alternada), 01 unidade de controle, cabos de controle e infraestrutura de comunicação associados.</t>
  </si>
  <si>
    <t>EL 69 kV CAUIPE DIST1 (12M1)</t>
  </si>
  <si>
    <t>0002925/2023</t>
  </si>
  <si>
    <t>11366484</t>
  </si>
  <si>
    <t>Substituição do SPCS associado ao vão de Entrada de Linha 02M2 (LT 69 kV CAUIPE / CAUCAIA) na subestação CAUIPE, por um novo sistema composto por: 01 painel, 02 proteções (principal e alternada), 01 unidade de controle, cabos de controle e infraestrutura de comunicação associados.</t>
  </si>
  <si>
    <t>EL 69 kV CAUIPE DIST2 (12M2)</t>
  </si>
  <si>
    <t>0002926/2023</t>
  </si>
  <si>
    <t>11360428</t>
  </si>
  <si>
    <t>Substituição do SPCS associado ao vão de Entrada de Linha 02M3 (LT 69 kV CAUIPE / COMP. IND. PECÉM) na subestação CAUIPE, por um novo sistema composto por: 01 painel, 02 proteções (principal e alternada), 01 unidade de controle, cabos de controle e infraestrutura de comunicação associados.</t>
  </si>
  <si>
    <t>EL 69 kV CAUIPE DIST3 (12M3)</t>
  </si>
  <si>
    <t>0002927/2023</t>
  </si>
  <si>
    <t>11360429</t>
  </si>
  <si>
    <t>Substituição do SPCS associado ao vão de Entrada de Linha 02M4 (LT 69 kV CAUIPE / COMP. IND. PECÉM) na subestação CAUIPE, por um novo sistema composto por: 01 painel, 02 proteções (principal e alternada), 01 unidade de controle, cabos de controle e infraestrutura de comunicação associados.</t>
  </si>
  <si>
    <t>EL 69 kV CAUIPE DIST4 (12M4)</t>
  </si>
  <si>
    <t>0002928/2023</t>
  </si>
  <si>
    <t>11360430</t>
  </si>
  <si>
    <t>Substituição do SPCS associado ao vão de Entrada de Linha 02M5 (LT 69 kV CAUIPE / INHUPORANGA) na subestação CAUIPE, por um novo sistema composto por: 01 painel, 02 proteções (principal e alternada), 01 unidade de controle, cabos de controle e infraestrutura de comunicação associados.</t>
  </si>
  <si>
    <t>EL 69 kV CAUIPE DIST5 (12M5)</t>
  </si>
  <si>
    <t>0002929/2023</t>
  </si>
  <si>
    <t>11360431</t>
  </si>
  <si>
    <t>Substituição do SPCS associado ao vão de Entrada de Linha 02M6 (LT 69 kV CAUIPE / UMARITUBA) na subestação CAUIPE, por um novo sistema composto por: 01 painel, 02 proteções (principal e alternada), 01 unidade de controle, cabos de controle e infraestrutura de comunicação associados.</t>
  </si>
  <si>
    <t>EL 69 kV CAUIPE DIST6 (12M6)</t>
  </si>
  <si>
    <t>0002930/2023</t>
  </si>
  <si>
    <t>11360421</t>
  </si>
  <si>
    <t>Substituição do SPCS do Disjuntor de Interligação de Barramento 12D1 na subestação CAUIPE, por um novo sistema composto por: 01 painel, 02 proteções (principal e alternada), 01 unidade de controle, cabos de controle e infraestrutura de comunicação associados.</t>
  </si>
  <si>
    <t>IB 69 kV MG 230 kV CAUIPE MG1 CE IB1 (12D1)</t>
  </si>
  <si>
    <t>0002931/2023</t>
  </si>
  <si>
    <t>11366556</t>
  </si>
  <si>
    <t>Substituição do SPCS do Transformador de Aterramento 02A1 na subestação CAUIPE, por um novo sistema composto por: 01 painel, 02 proteções (principal e alternada), 01 unidade de controle, cabos de controle e infraestrutura de comunicação associados.</t>
  </si>
  <si>
    <t>MC 69 kV TT 69/0 kV CAUIPE TA2 CE (32A1)</t>
  </si>
  <si>
    <t>0002932/2023</t>
  </si>
  <si>
    <t>11366562</t>
  </si>
  <si>
    <t>Substituição do SPCS do Transformador 02T5 na subestação CAUIPE, por um novo sistema composto por: 02 painéis, 02 proteções (principal e alternada), 01 unidade de controle, cabos de controle e infraestrutura de comunicação associados.</t>
  </si>
  <si>
    <t>0002933/2023</t>
  </si>
  <si>
    <t>11360434</t>
  </si>
  <si>
    <t>Substituição de 01 Registrador de Perturbação (RDP) associado ao vão de Entrada de Linha 04S2 (LT 230 kV CAUIPE/SOBRAL II C-1) na subestação SOBRAL II, por um novo sistema composto por: 01 RDP e infraestrutura de comunicação associada.</t>
  </si>
  <si>
    <t>0002934/2023</t>
  </si>
  <si>
    <t>11444146</t>
  </si>
  <si>
    <t>Substituição do sistema registro de perturbações (RDP) associado ao vão de Entrada de Linha 04L1 (LT 230 kV ITABAIANINHA /CATU C-1) na subestação CATU, por um novo sistema composto por: 01 RDP e infraestrutura de comunicação associada.</t>
  </si>
  <si>
    <t>0002935/2023</t>
  </si>
  <si>
    <t>12447683</t>
  </si>
  <si>
    <t>Substituição de 01 Registrador de Perturbação (RDP) associado ao vão de Entrada de Linha 04L2 (LT 230 kV CIC. DANTAS /CATU C-1) na subestação CATU, por um novo sistema composto por: 01 RDP e infraestrutura de comunicação associada.</t>
  </si>
  <si>
    <t>0002936/2023</t>
  </si>
  <si>
    <t>12447662</t>
  </si>
  <si>
    <t>Instalação painel de teleproteção e equipamentos associados, relacionados à teleproteção alternada via OPGW no vão da Entrada de Linha 04L2 (LT 230 kV CIC. DANTAS /CATU C-1) na subestação CATU.</t>
  </si>
  <si>
    <t>0002937/2023</t>
  </si>
  <si>
    <t>Substituição de 01 Registrador de Perturbação (RDP) associado ao vão de Entrada de Linha 04M3 (LT 230 kV CATU /G.MANGABEIRA C-1) na subestação CATU, por um novo sistema composto por: 01 RDP e infraestrutura de comunicação associada.</t>
  </si>
  <si>
    <t>0002939/2023</t>
  </si>
  <si>
    <t>12447659</t>
  </si>
  <si>
    <t>Instalação painel de teleproteção e equipamentos associados, relacionados à teleproteção alternada via OPGW no vão da Entrada de Linha 04M3 (LT 230 kV CATU /G.MANGABEIRA C-1) na subestação CATU.</t>
  </si>
  <si>
    <t>0002940/2023</t>
  </si>
  <si>
    <t>Substituição de 01 Registrador de Perturbação (RDP) associado ao vão de Entrada de Linha 04M4 (LT 230 kV CATU /FERBASA) na subestação CATU, por um novo sistema composto por: 01 RDP e infraestrutura de comunicação associada.</t>
  </si>
  <si>
    <t>0002941/2023</t>
  </si>
  <si>
    <t>12447664</t>
  </si>
  <si>
    <t>Substituição de 01 Registrador de Perturbação (RDP) associado ao Transformador 04T2 na subestação CATU, por um novo sistema composto por: 01 RDP e infraestrutura de comunicação associada.</t>
  </si>
  <si>
    <t>0002943/2023</t>
  </si>
  <si>
    <t>11444226</t>
  </si>
  <si>
    <t>Substituição do SPCS da Entrada de Linha 01Y4 (LT 13,8 kV CATU / POJUCA) na subestação CATU, por um novo sistema composto por: 01 painel, 01 unidade de proteção e controle, cabos de controle e infraestrutura de comunicação associados.</t>
  </si>
  <si>
    <t>EL 13,8 kV CATU POJUCA 01Y4 (11Y4)</t>
  </si>
  <si>
    <t>0002945/2023</t>
  </si>
  <si>
    <t>11365399</t>
  </si>
  <si>
    <t>Substituição do SPCS da Entrada de Linha 01Y5 (LT 13,8 kV CATU / POJUCA) na subestação CATU, por um novo sistema composto por: 01 painel, 01 unidade de proteção e controle, cabos de controle e infraestrutura de comunicação associados.</t>
  </si>
  <si>
    <t>EL 13,8 kV CATU POJUCA 01Y5 (11Y5)</t>
  </si>
  <si>
    <t>0002946/2023</t>
  </si>
  <si>
    <t>11365398</t>
  </si>
  <si>
    <t>Substituição do SPCS do Disjuntor de Interligação de Barras 11D1 13,8 kV na subestação CATU, por um novo sistema composto por: 01 painel, 01 unidade de proteção e controle, cabos de controle e infraestrutura de comunicação associados.</t>
  </si>
  <si>
    <t>0002947/2023</t>
  </si>
  <si>
    <t>11363038</t>
  </si>
  <si>
    <t>Substituição do SPCS do Transformador de Aterramento 02A1 na subestação CATU, por um novo sistema composto por: 01 painel, 02 proteções (principal e alternada), 01 unidade de controle, cabos de controle e infraestrutura de comunicação associados.</t>
  </si>
  <si>
    <t>MC 69 kV TT 69/13,8 kV CATU TA1 BA (32A1)</t>
  </si>
  <si>
    <t>0002948/2023</t>
  </si>
  <si>
    <t>11362976</t>
  </si>
  <si>
    <t>Substituição do SPCS do Transformador de Aterramento 02A2 na subestação CATU, por um novo sistema composto por: 01 painel, 02 proteções (principal e alternada), 01 unidade de controle, cabos de controle e infraestrutura de comunicação associados.</t>
  </si>
  <si>
    <t>MC 69 kV TT 69/0 kV CATU TA2 BA (32A2)</t>
  </si>
  <si>
    <t>0002949/2023</t>
  </si>
  <si>
    <t>11361227</t>
  </si>
  <si>
    <t>Substituição do SPCS associado ao vão da Entrada de Linha 02J5 (LT 69 kV CATU /COTEGIPE C-1) na subestação CATU, por um novo sistema composto por: 01 painel, 02 proteções (principal e alternada), 01 unidade de controle, cabos de controle e infraestrutura de comunicação associados.</t>
  </si>
  <si>
    <t>EL 69 kV CATU LT 69 kV CATU /COTEGIPE C-1 BA (12J5)</t>
  </si>
  <si>
    <t>0002950/2023</t>
  </si>
  <si>
    <t>11357758</t>
  </si>
  <si>
    <t>Substituição do SPCS associado ao vão da Entrada de Linha 02J6 (LT 69 kV CATU /COTEGIPE C-2) na subestação CATU, por um novo sistema composto por: 01 painel, 02 proteções (principal e alternada), 01 unidade de controle, cabos de controle e infraestrutura de comunicação associados.</t>
  </si>
  <si>
    <t>EL 69 kV CATU LT 69 kV CATU /COTEGIPE C-2 BA (12J6)</t>
  </si>
  <si>
    <t>0002951/2023</t>
  </si>
  <si>
    <t>11357760</t>
  </si>
  <si>
    <t>Substituição do SPCS associado ao vão da Entrada de Linha 02V1 (LT 69 kV CATU /SAUIPE) na subestação CATU, por um novo sistema composto por: 01 painel, 02 proteções (principal e alternada), 01 unidade de controle, cabos de controle e infraestrutura de comunicação associados.</t>
  </si>
  <si>
    <t>EL 69 kV CATU DIST1 (12V1)</t>
  </si>
  <si>
    <t>0002952/2023</t>
  </si>
  <si>
    <t>11357779</t>
  </si>
  <si>
    <t>Substituição do SPCS associado ao vão da Entrada de Linha 02V2 (LT 69 kV CATU / TAQUIPE) na subestação CATU, por um novo sistema composto por: 01 painel, 02 proteções (principal e alternada), 01 unidade de controle, cabos de controle e infraestrutura de comunicação associados.</t>
  </si>
  <si>
    <t>EL 69 kV CATU DIST2 (12V2)</t>
  </si>
  <si>
    <t>0002953/2023</t>
  </si>
  <si>
    <t>11357762</t>
  </si>
  <si>
    <t>Substituição do SPCS associado ao vão da Entrada de Linha 02V3 (LT 69 kV CATU / BURACICA) na subestação CATU, por um novo sistema composto por: 01 painel, 02 proteções (principal e alternada), 01 unidade de controle, cabos de controle e infraestrutura de comunicação associados.</t>
  </si>
  <si>
    <t>EL 69 kV CATU DIST3 (12V3)</t>
  </si>
  <si>
    <t>0002954/2023</t>
  </si>
  <si>
    <t>11357764</t>
  </si>
  <si>
    <t>Substituição do SPCS associado ao vão da Entrada de Linha 02V4 (LT 69 kV CATU / ENTRE RIOS) na subestação CATU, por um novo sistema composto por: 01 painel, 02 proteções (principal e alternada), 01 unidade de controle, cabos de controle e infraestrutura de comunicação associados.</t>
  </si>
  <si>
    <t>EL 69 kV CATU DIST4 (12V4)</t>
  </si>
  <si>
    <t>0002955/2023</t>
  </si>
  <si>
    <t>11357766</t>
  </si>
  <si>
    <t>Substituição do SPCS associado ao vão da Entrada de Linha 02V5 (LT 69 kV CATU / PETROBRÁS II) na subestação CATU, por um novo sistema composto por: 01 painel, 02 proteções (principal e alternada), 01 unidade de controle, cabos de controle e infraestrutura de comunicação associados.</t>
  </si>
  <si>
    <t>EL 69 kV CATU DIST5 (12V5)</t>
  </si>
  <si>
    <t>0002956/2023</t>
  </si>
  <si>
    <t>11357768</t>
  </si>
  <si>
    <t>Substituição do SPCS associado ao vão da Entrada de Linha 02V6 (LT 69 kV CATU / PETROBRÁS I) na subestação CATU, por um novo sistema composto por: 01 painel, 02 proteções (principal e alternada), 01 unidade de controle, cabos de controle e infraestrutura de comunicação associados.</t>
  </si>
  <si>
    <t>EL 69 kV CATU DIST6 (12V6)</t>
  </si>
  <si>
    <t>0002957/2023</t>
  </si>
  <si>
    <t>11357769</t>
  </si>
  <si>
    <t>Substituição do SPCS do Disjuntor de Interligação de Barras 12D1 na subestação CATU, por um novo sistema composto por: 01 painel, 02 proteções (principal e alternada), 01 unidade de controle, cabos de controle e infraestrutura de comunicação associados.</t>
  </si>
  <si>
    <t>IB 69 kV MG 230 kV CATU MG1 BA IB1 (12D1)</t>
  </si>
  <si>
    <t>0002958/2023</t>
  </si>
  <si>
    <t>11360167</t>
  </si>
  <si>
    <t>Substituição de 01 Registrador de Perturbação (RDP) associado ao vão da Entrada de Linha 04C4 (LT 230 kV PAU FERRO /C.GRANDE II C-2) na subestação C.GRANDE II, por um novo sistema composto por: 01 RDP e infraestrutura de comunicação.</t>
  </si>
  <si>
    <t>0002959/2023</t>
  </si>
  <si>
    <t>12479838</t>
  </si>
  <si>
    <t>Instalação painel de teleproteção e equipamentos associados, relacionados à teleproteção alternada via OPGW no vão da Entrada de Linha 04C4 (LT 230 kV PAU FERRO /C.GRANDE II C-2) na subestação C.GRANDE II.</t>
  </si>
  <si>
    <t>0002960/2023</t>
  </si>
  <si>
    <t>Substituição de 01 Registrador de Perturbação (RDP) associado ao vão de Entrada de Linha 04L2 (LT 230 kV CIC. DANTAS /CATU C-1) na subestação CIC. DANTAS, por um novo sistema composto por: 01 RDP e infraestrutura de comunicação associada.</t>
  </si>
  <si>
    <t>0002961/2023</t>
  </si>
  <si>
    <t>12393639</t>
  </si>
  <si>
    <t>Substituição de 01 Registrador de Perturbação (RDP) associado ao vão de Entrada de Linha 04C1 (LT 230 kV ITABAIANA /JARDIM C-1) na subestação ITABAIANA, por um novo sistema composto por: 01 RDP e infraestrutura de comunicação.</t>
  </si>
  <si>
    <t>0002964/2023</t>
  </si>
  <si>
    <t>11449329</t>
  </si>
  <si>
    <t>Substituição de 01 Registrador de Perturbação (RDP) associado ao vão de Entrada de Linha 04C2 (LT 230 kV ITABAIANA /JARDIM C-2) na subestação ITABAIANA, por um novo sistema composto por: 01 RDP e infraestrutura de comunicação.</t>
  </si>
  <si>
    <t>0002965/2023</t>
  </si>
  <si>
    <t>11449330</t>
  </si>
  <si>
    <t>Substituição de 01 Registrador de Perturbação (RDP) associado ao vão de Entrada de Linha 05V7 (LT 500 kV JARDIM /CAMACARI IV C-1) na subestação CAMACARI IV, por um novo sistema composto por: 01 RDP e insfraestrutura de comunicação associada.</t>
  </si>
  <si>
    <t>0002966/2023</t>
  </si>
  <si>
    <t>Substituição de 01 Registrador de Perturbação (RDP) associado ao vão de Entrada de Linha 04C4 (LT 230 kV PAU FERRO /C.GRANDE II C-2) na subestação PAU FERRO, por um novo sistema composto por: 01 RDP e infraestrutura de comunicação.</t>
  </si>
  <si>
    <t>0002967/2023</t>
  </si>
  <si>
    <t>11446232</t>
  </si>
  <si>
    <t>Instalação painel de teleproteção e equipamentos associados, relacionados à teleproteção alternada via OPGW no vão da Entrada de Linha 04C4 (LT 230 kV PAU FERRO /C.GRANDE II C-2) na subestação PAU FERRO.</t>
  </si>
  <si>
    <t>0002968/2023</t>
  </si>
  <si>
    <t>Substituição de 01 Registrador de Perturbação (RDP) associado ao vão de Entrada de Linha 04F6 (LT 230 kV RECIFE II /PAU FERRO C-1) na subestação PAU FERRO, por um novo sistema composto por: 01 RDP e infraestrutura de comunicação.</t>
  </si>
  <si>
    <t>0002969/2023</t>
  </si>
  <si>
    <t>11449229</t>
  </si>
  <si>
    <t>Instalação painel de teleproteção e equipamentos associados, relacionados à teleproteção alternada via OPGW no vão da Entrada de Linha 04F6 (LT 230 kV RECIFE II /PAU FERRO C-1) na subestação PAU FERRO.</t>
  </si>
  <si>
    <t>0002970/2023</t>
  </si>
  <si>
    <t>Substituição de 01 Registrador de Perturbação (RDP) associado ao vão de Entrada de Linha 04F7 (LT 230 kV RECIFE II /PAU FERRO C-2) na subestação PAU FERRO, por um novo sistema composto por: 01 RDP e infraestrutura de comunicação.</t>
  </si>
  <si>
    <t>0002971/2023</t>
  </si>
  <si>
    <t>11449210</t>
  </si>
  <si>
    <t>Instalação painel de teleproteção e equipamentos associados, relacionados à teleproteção alternada via OPGW no vão da Entrada de Linha 04F7 (LT 230 kV RECIFE II /PAU FERRO C-2) na subestação PAU FERRO.</t>
  </si>
  <si>
    <t>0002972/2023</t>
  </si>
  <si>
    <t>Substituição do sistema de registro de perturbações (RDP) associado ao Transformador 04T1 na subestação PAU FERRO, por um novo sistema composto por: 01 RDP e infraestrutura de comunicação.</t>
  </si>
  <si>
    <t>0002973/2023</t>
  </si>
  <si>
    <t>11449232</t>
  </si>
  <si>
    <t>Substituição do SPCS do Transformador de Aterramento 02A2 na subestação PAU FERRO, por um novo sistema composto por: 01 painel, 02 proteções (principal e alternada), 01 unidade de controle, cabos de controle e infraestrutura de comunicação associados.</t>
  </si>
  <si>
    <t>MC 69 kV TT 69/0 kV PAU FERRO TA2 PE (32A2)</t>
  </si>
  <si>
    <t>0002976/2023</t>
  </si>
  <si>
    <t>11361118</t>
  </si>
  <si>
    <t>Substituição do SPCS associado ao vão da Entrada de Linha 02N3 (LT 69kV PAU FERRO / BOTAFOGO) na subestação PAU FERRO, por um novo sistema composto por: 01 painel, 02 proteções (principal e alternada), 01 unidade de controle, cabos de controle e infraestrutura de comunicação associados.</t>
  </si>
  <si>
    <t>EL 69 kV PAU FERRO MONJOPE 02N3 (12N3)</t>
  </si>
  <si>
    <t>0002977/2023</t>
  </si>
  <si>
    <t>12458937</t>
  </si>
  <si>
    <t>Substituição do SPCS associado ao vão da Entrada de Linha 02N4 (LT 69kV PAU FERRO / SECCIONADORA MONJOPE) na subestação PAU FERRO, por um novo sistema composto por: 01 painel, 02 proteções (principal e alternada), 01 unidade de controle, cabos de controle e infraestrutura de comunicação associados.</t>
  </si>
  <si>
    <t>EL 69 kV PAU FERRO MONJOPE 02N4 (12N4)</t>
  </si>
  <si>
    <t>0002978/2023</t>
  </si>
  <si>
    <t>12458935</t>
  </si>
  <si>
    <t>Substituição do SPCS associado ao vão da Entrada de Linha 02N5 (LT 69kV PAU FERRO / SECCIONADORA PAU FERRO) na subestação PAU FERRO, por um novo sistema composto por: 01 painel, 02 proteções (principal e alternada), 01 unidade de controle, cabos de controle e infraestrutura de comunicação associados.</t>
  </si>
  <si>
    <t>EL 69 kV PAU FERRO PAU FERRO-02N5 (12N5)</t>
  </si>
  <si>
    <t>0002979/2023</t>
  </si>
  <si>
    <t>11361213</t>
  </si>
  <si>
    <t>Substituição do SPCS associado ao vão da Entrada de Linha 02N6 (LT 69kV PAU FERRO / SECCIONADORA PAU FERRO) na subestação PAU FERRO, por um novo sistema composto por: 01 painel, 02 proteções (principal e alternada), 01 unidade de controle, cabos de controle e infraestrutura de comunicação associados.</t>
  </si>
  <si>
    <t>EL 69 kV PAU FERRO PAU FERRO-02N6 (12N6)</t>
  </si>
  <si>
    <t>0002980/2023</t>
  </si>
  <si>
    <t>11361212</t>
  </si>
  <si>
    <t>Substituição do SPCS da Disjuntor de Interligação de Barras 12D1 na subestação PAU FERRO, por um novo sistema composto por: 01 painel, 02 proteções (principal e alternada), 01 unidade de controle, cabos de controle e infraestrutura de comunicação associados.</t>
  </si>
  <si>
    <t>IB 69 kV MG 230 kV PAU FERRO MG1 PE IB1 (12D1)</t>
  </si>
  <si>
    <t>0002981/2023</t>
  </si>
  <si>
    <t>11361211</t>
  </si>
  <si>
    <t>Substituição do SPCS do Transformador 02T5 na subestação PAU FERRO, por um novo sistema composto por: 01 painel, 02 proteções (principal e alternada), 01 unidade de controle, cabos de controle e infraestrutura de comunicação associados.</t>
  </si>
  <si>
    <t>0002982/2023</t>
  </si>
  <si>
    <t>11361209</t>
  </si>
  <si>
    <t>Substituição de 01 Registrador de Perturbação (RDP) associado ao vão de Entrada de Linha 04F6 (LT 230 kV RECIFE II /PAU FERRO C-1) na subestação RECIFE II, por um novo sistema composto por: 01 RDP e infraestrutura de comunicação.</t>
  </si>
  <si>
    <t>0002983/2023</t>
  </si>
  <si>
    <t>11449227</t>
  </si>
  <si>
    <t>Instalação painel de teleproteção e equipamentos associados, relacionados à teleproteção alternada via OPGW no vão da Entrada de Linha 04F6 (LT 230 kV RECIFE II /PAU FERRO C-1) na subestação RECIFE II.</t>
  </si>
  <si>
    <t>0002984/2023</t>
  </si>
  <si>
    <t>Substituição de 01 Registrador de Perturbação (RDP) associado ao vão de Entrada de Linha 04F7 (LT 230 kV RECIFE II /PAU FERRO C-2) na subestação RECIFE II, por um novo sistema composto por: 01 RDP e infraestrutura de comunicação.</t>
  </si>
  <si>
    <t>0002985/2023</t>
  </si>
  <si>
    <t>11449228</t>
  </si>
  <si>
    <t>Instalação painel de teleproteção e equipamentos associados, relacionados à teleproteção alternada via OPGW no vão da Entrada de Linha 04F7 (LT 230 kV RECIFE II /PAU FERRO C-2) na subestação RECIFE II.</t>
  </si>
  <si>
    <t>0002986/2023</t>
  </si>
  <si>
    <t>Substituição de 01 Registrador de Perturbação (RDP) associado ao vão de Entrada de Linha 04S2 (LT 230 kV SE Floresta II /BOM NOME C-2) na subestação SE Floresta II, por um novo sistema composto por: 01 RDP e infraestrutura de comunicação associada.</t>
  </si>
  <si>
    <t>0002988/2023</t>
  </si>
  <si>
    <t>12447423</t>
  </si>
  <si>
    <t>Substituição de 01 Registrador de Perturbação (RDP) associado ao vão de Entrada de Linha 04L1 (LT 230 kV ITABAIANINHA /CATU C-1) na subestação ITABAIANINHA, por um novo sistema composto por: 01 RDP e infraestrutura de comunicação associada.</t>
  </si>
  <si>
    <t>0002989/2023</t>
  </si>
  <si>
    <t>12441009</t>
  </si>
  <si>
    <t>Substituição de 01 Registrador de Perturbação (RDP) associado ao vão de Entrada de Linha 04M3 (LT 230 kV CATU /G.MANGABEIRA C-1) na subestação G.MANGABEIRA, por um novo sistema composto por: 01 RDP e infraestrutura de comunicação associada.</t>
  </si>
  <si>
    <t>0002990/2023</t>
  </si>
  <si>
    <t>12448352</t>
  </si>
  <si>
    <t>Instalação painel de teleproteção e equipamentos associados, relacionados à teleproteção alternada via OPGW no vão da Entrada de Linha 04M3 (LT 230 kV CATU /G.MANGABEIRA C-1) na subestação G.MANGABEIRA.</t>
  </si>
  <si>
    <t>0002991/2023</t>
  </si>
  <si>
    <t>Substituição de 01 Registrador de Perturbação (RDP) associado ao vão de Entrada de Linha 04C1 (LT 230 kV ITABAIANA /JARDIM C-1) na subestação JARDIM, por um novo sistema composto por: 01 RDP e infraestrutura de comunicação.</t>
  </si>
  <si>
    <t>0002992/2023</t>
  </si>
  <si>
    <t>11449331</t>
  </si>
  <si>
    <t>Substituição de 01 Registrador de Perturbação (RDP) associado ao vão de Entrada de Linha 04C2 (LT 230 kV ITABAIANA /JARDIM C-2) na subestação JARDIM, por um novo sistema composto por: 01 RDP e infraestrutura de comunicação.</t>
  </si>
  <si>
    <t>0002993/2023</t>
  </si>
  <si>
    <t>11449332</t>
  </si>
  <si>
    <t>Substituição de 01 Registrador de Perturbação (RDP) associado ao vão de Entrada de Linha 04F2 (LT 230 KV JARDIM / CIMESA) na subestação JARDIM, por um novo sistema composto por: 01 RDP e infraestrutura de comunicação.</t>
  </si>
  <si>
    <t>0002994/2023</t>
  </si>
  <si>
    <t>11449333</t>
  </si>
  <si>
    <t>Substituição de 01 Registrador de Perturbação (RDP) associado ao vão de Entrada de Linha 05V5 (LT 500 kV USINA XINGO /JARDIM C-1) na subestação JARDIM, por um novo sistema composto por: 01 RDP e infraestrutura de comunicação.</t>
  </si>
  <si>
    <t>0002996/2023</t>
  </si>
  <si>
    <t>11446338</t>
  </si>
  <si>
    <t>Substituição de 01 Registrador de Perturbação (RDP) associado ao Transformador 05T7 na subestação JARDIM, por um novo sistema composto por: 01 RDP e insfraestrutura de comunicação associada.</t>
  </si>
  <si>
    <t>0002999/2023</t>
  </si>
  <si>
    <t>Substituição de 01 Registrador de Perturbação (RDP) associado ao vão de Entrada de Linha 05V5 (LT 500 kV USINA XINGO /JARDIM C-1) na subestação USINA XINGO, por um novo sistema composto por: 01 RDP e infraestrutura de comunicação.</t>
  </si>
  <si>
    <t>0003001/2023</t>
  </si>
  <si>
    <t>11446309</t>
  </si>
  <si>
    <t>SUBSTITUIÇÃO DO BANCO DE BATERIAS DO POLO 2 DA SUBESTAÇÃO COLETORA PORTO VELHO</t>
  </si>
  <si>
    <t>CV 600/600 kV COLETORA PORTO VELHO CC2 RO</t>
  </si>
  <si>
    <t>0003030/2023</t>
  </si>
  <si>
    <t>N-S-ROCT-CV801-CTCV8CC2</t>
  </si>
  <si>
    <t>SUBSTITUIR O TC 230kV FASE A DO AUTOTRANSFORMADOR NÚMERO 1 DA SE BARRA DO PEIXE</t>
  </si>
  <si>
    <t>0006684/2023</t>
  </si>
  <si>
    <t>N-S-MTBP-AT601-MC230-BPTC601</t>
  </si>
  <si>
    <t>Substituição das proteções Principal, Alternada e Falha de Disjuntor, referentes ao TR1 230/69 kV da SE Tapera 2, lados de 230 e 69 kV, incluindo painéis e cabos de controle e potência associados.</t>
  </si>
  <si>
    <t>TR 230/69 kV TAPERA 2 TR1 RS</t>
  </si>
  <si>
    <t>0003085/2023</t>
  </si>
  <si>
    <t>PP, PA, BF - TF1 230</t>
  </si>
  <si>
    <t>Substituição das proteções Principal, Alternada e Falha de Disjuntor, referentes ao TR2 230/69 kV da SE Tapera 2, lados de 230 e 69 kV, incluindo painéis e cabos de controle e potência associados.</t>
  </si>
  <si>
    <t>TR 230/69 kV TAPERA 2 TR2 RS</t>
  </si>
  <si>
    <t>0003096/2023</t>
  </si>
  <si>
    <t>PP, PA, BF - TF2 230</t>
  </si>
  <si>
    <t>SUBSTITUIÇÃO DE CHAVE SECCIONADORA 230kV, JPSY6-07, ASSOCIADA AO AUTOTRANSFORMADOR 02 DA SUBESTAÇÃO JI-PARANÁ</t>
  </si>
  <si>
    <t>MC 138 kV TR 230/138 kV JI-PARANA TR2 RO</t>
  </si>
  <si>
    <t>0003101/2023</t>
  </si>
  <si>
    <t>N-S-ROJP-AT602-MC230-JPSY6O7</t>
  </si>
  <si>
    <t>Substituição da cadeia de proteção de barras principal, referente às barras P e PT de 230 kV da SE Salto Osório, incluindo uma Unidade Central e dezessete unidades de Bay (vãos LT F.Chopim C-1, F.Chopim C-2, Areia C-1, Areia C-2, Xanxerê C-1, P.Branco C-1, Cascavel C-1, C.Mourão C-1, C.Mourão C-2, UHSO C-1, UHSO C-2, UHSO C-3, UHSO C-4, UHSO C-5, UHSO C-6, TF 7 230/69 kV e Interligador de Barras - IB), painéis e cabos de controle e potência associados.</t>
  </si>
  <si>
    <t>0003106/2023</t>
  </si>
  <si>
    <t>LT 230 kV S. OSORIO /PATO BRANCO C-1 PR</t>
  </si>
  <si>
    <t>0003107/2023</t>
  </si>
  <si>
    <t>PP, PA, BF - LT PTO C-1</t>
  </si>
  <si>
    <t>LT 230 kV CASCAVEL /S. OSORIO C-1 PR</t>
  </si>
  <si>
    <t>0003110/2023</t>
  </si>
  <si>
    <t>PP, PA, BF - LT CEL C-1</t>
  </si>
  <si>
    <t>LT 69 kV S.OSORIO / S.SANTIAGO C-1 PR</t>
  </si>
  <si>
    <t>0003111/2023</t>
  </si>
  <si>
    <t>0003113/2023</t>
  </si>
  <si>
    <t>0003116/2023</t>
  </si>
  <si>
    <t>TR 525/230 kV SANTO ANGELO TR2 RS</t>
  </si>
  <si>
    <t>0003117/2023</t>
  </si>
  <si>
    <t>LT 230 kV J.LACERDA-B / SIDEROPOLIS C-1 SC</t>
  </si>
  <si>
    <t>Substituição de catorze torres metálicas completas da LT 230 kV J.Lacerda B - Siderópolis C-1. As torres envolvidas são as de número de operação: 019, 020, 029, 030, 031, 032, 037, 039, 042, 044, 045, 050, 059 e 075.</t>
  </si>
  <si>
    <t>0003122/2023</t>
  </si>
  <si>
    <t>Substituição de fundações em grelha metálica de vinte e cinco torres da LT 230 kV J.Lacerda B - Siderópolis C-1. As torres envolvidas são as de número de operação: 016, 017, 021, 023, 027, 033, 034, 035, 036, 040, 041, 043, 048, 055, 056, 057, 061, 062, 072, 080, 085, 088, 091, 094 e 096 .</t>
  </si>
  <si>
    <t>0003141/2023</t>
  </si>
  <si>
    <t>Fundações</t>
  </si>
  <si>
    <t>Substituição de cabos contrapesos (aterramento) de trinta e nove torres da LT 230 kV J.Lacerda B - Siderópolis C-1. As torres envolvidas são as de número de operação: 016, 017, 019, 020, 021, 023, 027, 029, 030, 031, 032, 033, 034, 035, 036, 037, 039, 040, 041, 042, 043, 044, 045, 048, 050, 055, 056, 057, 059, 061, 062, 072, 075, 080, 085, 088, 091, 094 e 096.</t>
  </si>
  <si>
    <t>0003143/2023</t>
  </si>
  <si>
    <t>Cabos Contrapesos</t>
  </si>
  <si>
    <t>LT 230 kV FORQUILHINHA / SIDEROPOLIS C-1 SC</t>
  </si>
  <si>
    <t>Substituição de duas torres metálicas completas da LT 230 kV Forquilhinha - Siderópolis C-1. As torres envolvidas são as de número de operação: 007 e 008.</t>
  </si>
  <si>
    <t>0003145/2023</t>
  </si>
  <si>
    <t>Substituição de fundações em grelha metálica de quatro torres da LT 230 kV Forquilhinha - Siderópolis C-1. As torres envolvidas são as de número de operação: 010, 016, 019 e 021.</t>
  </si>
  <si>
    <t>0003148/2023</t>
  </si>
  <si>
    <t>Substituição de cabos contrapesos (aterramento) de seis torres da LT 230 kV Forquilhinha - Siderópolis C-1. As torres envolvidas são as de número de operação: 007, 008, 010, 016, 019 e 021.</t>
  </si>
  <si>
    <t>0003149/2023</t>
  </si>
  <si>
    <t>LT 525 kV ITA / NOVA SANTA RITA C-1 RS</t>
  </si>
  <si>
    <t>Substituição de fundações em grelha metálica de treze torres da LT 525 kV Itá - Nova Santa Rita C-1. As torres envolvidas são as de número de operação: 231, 608, 609, 615, 616, 617, 623, 637, 652, 657, 659, 666 e 667.</t>
  </si>
  <si>
    <t>0003152/2023</t>
  </si>
  <si>
    <t>Substituição de cabos contrapesos (aterramento) de treze torres da LT 525 kV Itá - Nova Santa Rita C-1. As torres envolvidas são as de número de operação: 231, 608, 609, 615, 616, 617, 623, 637, 652, 657, 659, 666 e 667.</t>
  </si>
  <si>
    <t>0003155/2023</t>
  </si>
  <si>
    <t>LT 525 kV CAXIAS / GRAVATAI C-1 RS</t>
  </si>
  <si>
    <t>Substituição de fundações em grelha metálica de cinco torres da LT 525 kV Caxias - Gravataí C-1. As torres envolvidas são as de número de operação: 110, 119, 121, 127 e 153.</t>
  </si>
  <si>
    <t>0003157/2023</t>
  </si>
  <si>
    <t>Substituição de cabos contrapesos (aterramento) de cinco torres da LT 525 kV Caxias - Gravataí C-1. As torres envolvidas são as de número de operação: 110, 119, 121, 127 e 153.</t>
  </si>
  <si>
    <t>0003158/2023</t>
  </si>
  <si>
    <t>SUBSTITUIÇÃO DE CHAVE SECCIONADORA 230kV, JPSB6-14, ASSOCIADA AO AUTOTRANSFORMADOR 02 DA SUBESTAÇÃO JI-PARANÁ</t>
  </si>
  <si>
    <t>0003159/2023</t>
  </si>
  <si>
    <t>N-S-ROJP-AT602-MC230-JPSB614</t>
  </si>
  <si>
    <t>SUBSTITUIÇÃO DE TRANSFORMADOR DE POTENCIAL CAPACITIVO DE 230 KV,  DA LINHA DE TRANSMISSÃO JPPB-LT601 - Fase V</t>
  </si>
  <si>
    <t>0003164/2023</t>
  </si>
  <si>
    <t>N-S-ROJP-JPPBLT601-ELJP-JPTP601</t>
  </si>
  <si>
    <t>SUBSTITUIÇÃO DE TRANSFORMADOR DE POTENCIAL CAPACITIVO DE 230 KV,  DA LINHA DE TRANSMISSÃO JPPB-LT601 - Fase B</t>
  </si>
  <si>
    <t>0003167/2023</t>
  </si>
  <si>
    <t>SUBSTITUIÇÃO DE TRANSFORMADOR DE POTENCIAL CAPACITIVO DE 230 KV,  DA LINHA DE TRANSMISSÃO JPPB-LT601 - Fase A</t>
  </si>
  <si>
    <t>0003170/2023</t>
  </si>
  <si>
    <t>Substituição de TC (Transformador de Corrente) associado ao PDRE7-01 (PDTC7-01 FASE B) Local de Instalação: N-S-MAPD-RE701-MC500-PDTC701  Fase B Equipamento SAP: 11991503</t>
  </si>
  <si>
    <t>0003180/2023</t>
  </si>
  <si>
    <t>11991503</t>
  </si>
  <si>
    <t>SUBSTITUIÇÃO DISJUNTOR A SF6 230 kV - UGDJ6-05</t>
  </si>
  <si>
    <t>TR 230/69 kV UTINGA TF1 PA</t>
  </si>
  <si>
    <t>0003181/2023</t>
  </si>
  <si>
    <t>UGDJ6-05</t>
  </si>
  <si>
    <t>Substituição de TC (Transformador de Corrente) associado ao PDRE7-01 (PDTC7-01 FASE A) Local de Instalação: N-S-MAPD-RE701-MC500-PDTC701  Fase A Equipamento SAP: 11991502</t>
  </si>
  <si>
    <t>0003187/2023</t>
  </si>
  <si>
    <t>11991502</t>
  </si>
  <si>
    <t>SUBSTITUIÇÃO DE CHAVE SECCIONADORA 230kV - RBSY605 - NA SUBESTAÇÃO RIO BRANCO</t>
  </si>
  <si>
    <t>0003191/2023</t>
  </si>
  <si>
    <t>N-S-ACRB-TF602-MC230-RBSY605</t>
  </si>
  <si>
    <t>Substituição do SPCS associado ao vão da Entrada de Linha 01Y1 na subestação BOM NOME, por um novo sistema composto por: 01 Painel, 01 unidade de proteção e controle, cabos de controle e infraestrutura de comunicação associados.</t>
  </si>
  <si>
    <t>EL 13,8 kV BOM NOME 01Y1 (11Y1)</t>
  </si>
  <si>
    <t>0003298/2023</t>
  </si>
  <si>
    <t>12402658</t>
  </si>
  <si>
    <t>Substituição do SPCS associado ao vão da Entrada de Linha 01Y2 na subestação BOM NOME, por um novo sistema composto por: 01 Painel, 01 unidade de proteção e controle e cabos de controle e infraestrutura de comunicação associados.</t>
  </si>
  <si>
    <t>EL 13,8 kV BOM NOME 01Y2 (11Y2)</t>
  </si>
  <si>
    <t>0003299/2023</t>
  </si>
  <si>
    <t>12402659</t>
  </si>
  <si>
    <t>Substituição de 01 (um) TP 230 kV posição operacional 84T5 fase A da Subestação MLG.</t>
  </si>
  <si>
    <t>CE 58/-35 MvAr MILAGRES CE1 CE</t>
  </si>
  <si>
    <t>0003315/2023</t>
  </si>
  <si>
    <t>11347383</t>
  </si>
  <si>
    <t>Substituição de 01 (um) TP 230 kV posição operacional 84T5 fase B da Subestação MLG.</t>
  </si>
  <si>
    <t>0003316/2023</t>
  </si>
  <si>
    <t>11347385</t>
  </si>
  <si>
    <t>Substituição de 01 (um) TP 230 kV posição operacional 84T5 fase C da Subestação MLG.</t>
  </si>
  <si>
    <t>0003317/2023</t>
  </si>
  <si>
    <t>11347384</t>
  </si>
  <si>
    <t>Substituição de 01 (um) TP 69 kV posição operacional 82BP fase A da Subestação ABX.</t>
  </si>
  <si>
    <t>0003322/2023</t>
  </si>
  <si>
    <t>11456343</t>
  </si>
  <si>
    <t>Substituição de 01 (um) TP 69 kV posição operacional 82BP fase B da Subestação ABX.</t>
  </si>
  <si>
    <t>0003323/2023</t>
  </si>
  <si>
    <t>11456344</t>
  </si>
  <si>
    <t>Substituição de 01 (um) TP 69 kV posição operacional 82BP fase C da Subestação ABX.</t>
  </si>
  <si>
    <t>0003324/2023</t>
  </si>
  <si>
    <t>11456345</t>
  </si>
  <si>
    <t>Substituição de 01 (um) TP 69 kV posição operacional 82BP-1 fase A da Subestação BNB.</t>
  </si>
  <si>
    <t>MG BANABUIU / CCO-2001-061 - RB</t>
  </si>
  <si>
    <t>0003332/2023</t>
  </si>
  <si>
    <t>11347448</t>
  </si>
  <si>
    <t>Substituição de 01 (um) TP 69 kV posição operacional 82BP-1 fase B da Subestação BNB.</t>
  </si>
  <si>
    <t>0003333/2023</t>
  </si>
  <si>
    <t>11347449</t>
  </si>
  <si>
    <t>Substituição de 01 (um) TP 69 kV posição operacional 82BP-1 fase C da Subestação BNB.</t>
  </si>
  <si>
    <t>0003334/2023</t>
  </si>
  <si>
    <t>11347450</t>
  </si>
  <si>
    <t>Substituição de 01 (um) TP 69 kV posição operacional 82BP-2 fase A da Subestação CCD.</t>
  </si>
  <si>
    <t>0003335/2023</t>
  </si>
  <si>
    <t>11346818</t>
  </si>
  <si>
    <t>Substituição de 01 (um) TP 69 kV posição operacional 82BP-2 fase B da Subestação CCD.</t>
  </si>
  <si>
    <t>0003336/2023</t>
  </si>
  <si>
    <t>11346819</t>
  </si>
  <si>
    <t>Substituição de 01 (um) TP 69 kV posição operacional 82BP-2 fase C da Subestação CCD.</t>
  </si>
  <si>
    <t>0003337/2023</t>
  </si>
  <si>
    <t>11346820</t>
  </si>
  <si>
    <t>Substituição de 01 (um) TP 69 kV posição operacional 82BP-1 fase A da Subestação CMA.</t>
  </si>
  <si>
    <t>0003338/2023</t>
  </si>
  <si>
    <t>11346882</t>
  </si>
  <si>
    <t>Substituição de 01 (um) TP 69 kV posição operacional 82BP-1 fase B da Subestação CMA.</t>
  </si>
  <si>
    <t>0003339/2023</t>
  </si>
  <si>
    <t>11346883</t>
  </si>
  <si>
    <t>Substituição de 01 (um) TP 69 kV posição operacional 82BP-1 fase C da Subestação CMA.</t>
  </si>
  <si>
    <t>0003340/2023</t>
  </si>
  <si>
    <t>11346884</t>
  </si>
  <si>
    <t>Substituição de 01 (um) TP 69 kV posição operacional 82T2 fase A da Subestação DMG.</t>
  </si>
  <si>
    <t>0003344/2023</t>
  </si>
  <si>
    <t>11346897</t>
  </si>
  <si>
    <t>Substituição de 01 (um) TP 69 kV posição operacional 82T2 fase B da Subestação DMG.</t>
  </si>
  <si>
    <t>0003345/2023</t>
  </si>
  <si>
    <t>11346898</t>
  </si>
  <si>
    <t>Substituição de 01 (um) TP 69 kV posição operacional 82T2 fase C da Subestação DMG.</t>
  </si>
  <si>
    <t>0003346/2023</t>
  </si>
  <si>
    <t>11346899</t>
  </si>
  <si>
    <t>Substituição de 01 (um) TP 69 kV posição operacional 82T3 fase A da Subestação DMG.</t>
  </si>
  <si>
    <t>0003347/2023</t>
  </si>
  <si>
    <t>11346900</t>
  </si>
  <si>
    <t>Substituição de 01 (um) TP 69 kV posição operacional 82T3 fase B da Subestação DMG.</t>
  </si>
  <si>
    <t>0003348/2023</t>
  </si>
  <si>
    <t>11346901</t>
  </si>
  <si>
    <t>Substituição de 01 (um) TP 69 kV posição operacional 82T3 fase C da Subestação DMG.</t>
  </si>
  <si>
    <t>0003349/2023</t>
  </si>
  <si>
    <t>11346902</t>
  </si>
  <si>
    <t>Substituição de 01 (um) TP 230 kV posição operacional 84N3 fase A da Subestação GNN.</t>
  </si>
  <si>
    <t>LT 230 kV GOIANINHA /JOAO PESSOA II C-1 PE/PB</t>
  </si>
  <si>
    <t>0003370/2023</t>
  </si>
  <si>
    <t>11344564</t>
  </si>
  <si>
    <t>Substituição de 01 (um) TP 230 kV posição operacional 84N3 fase B da Subestação GNN.</t>
  </si>
  <si>
    <t>0003371/2023</t>
  </si>
  <si>
    <t>11344565</t>
  </si>
  <si>
    <t>Substituição de 01 (um) TP 230 kV posição operacional 84N3 fase C da Subestação GNN.</t>
  </si>
  <si>
    <t>0003372/2023</t>
  </si>
  <si>
    <t>11344566</t>
  </si>
  <si>
    <t>Substituição de 01 (um) TP 230 kV posição operacional 84F2 fase C da Subestação IRE.</t>
  </si>
  <si>
    <t>0003376/2023</t>
  </si>
  <si>
    <t>11344745</t>
  </si>
  <si>
    <t>Substituição de 01 (um) TP 230 kV posição operacional 84BP fase B da Subestação ITB.</t>
  </si>
  <si>
    <t>MG ITABAIANA / CCO-2001-061 - RB</t>
  </si>
  <si>
    <t>0003383/2023</t>
  </si>
  <si>
    <t>11346049</t>
  </si>
  <si>
    <t>Substituição de 01 (um) TP 69 kV posição operacional 82T4 fase B da Subestação MLG.</t>
  </si>
  <si>
    <t>TR 230/69 kV MILAGRES TR4 CE</t>
  </si>
  <si>
    <t>0003386/2023</t>
  </si>
  <si>
    <t>11346945</t>
  </si>
  <si>
    <t>JUAZEIRO II</t>
  </si>
  <si>
    <t>Substituição de 01 (um) TP 69 kV posição operacional 82BP-1 fase A da Subestação JZD.</t>
  </si>
  <si>
    <t>MG JUAZEIRO II / CCO-2001-061 - RB</t>
  </si>
  <si>
    <t>0003391/2023</t>
  </si>
  <si>
    <t>11346924</t>
  </si>
  <si>
    <t>Substituição de 01 (um) TP 69 kV posição operacional 82BP-1 fase B da Subestação JZD.</t>
  </si>
  <si>
    <t>0003392/2023</t>
  </si>
  <si>
    <t>11346925</t>
  </si>
  <si>
    <t>Substituição de 01 (um) TP 69 kV posição operacional 82BP-1 fase C da Subestação JZD.</t>
  </si>
  <si>
    <t>0003393/2023</t>
  </si>
  <si>
    <t>11346926</t>
  </si>
  <si>
    <t>Substituição de 01 (um) TP 69 kV posição operacional 82BP-1 fase A da Subestação MLG.</t>
  </si>
  <si>
    <t>0003398/2023</t>
  </si>
  <si>
    <t>11346803</t>
  </si>
  <si>
    <t>Substituição de 01 (um) TP 69 kV posição operacional 82BP-1 fase B da Subestação MLG.</t>
  </si>
  <si>
    <t>0003399/2023</t>
  </si>
  <si>
    <t>11346804</t>
  </si>
  <si>
    <t>Substituição de 01 (um) TP 69 kV posição operacional 82BP-1 fase C da Subestação MLG.</t>
  </si>
  <si>
    <t>0003400/2023</t>
  </si>
  <si>
    <t>11346805</t>
  </si>
  <si>
    <t>Substituição de 01 (um) TP 230 kV posição operacional 84J2 fase A da Subestação PAF.</t>
  </si>
  <si>
    <t>EL 230 kV P.AFONSO III LT 230 kV P.AFONSO III /USINA PA-II C-2 AL/BA (14J2)</t>
  </si>
  <si>
    <t>0003415/2023</t>
  </si>
  <si>
    <t>11346494</t>
  </si>
  <si>
    <t>Substituição de 01 (um) TP 230 kV posição operacional 84J2 fase C da Subestação PAF.</t>
  </si>
  <si>
    <t>0003416/2023</t>
  </si>
  <si>
    <t>11346495</t>
  </si>
  <si>
    <t>NATAL II</t>
  </si>
  <si>
    <t>Substituição de 01 (um) TP 69 kV posição operacional 82T6 fase A da Subestação NTD.</t>
  </si>
  <si>
    <t>MC 69 kV TR 69/3,3 kV NATAL II TR6 RN (12T6)</t>
  </si>
  <si>
    <t>0003420/2023</t>
  </si>
  <si>
    <t>11456234</t>
  </si>
  <si>
    <t>Substituição de 01 (um) TP 69 kV posição operacional 82T6 fase B da Subestação NTD.</t>
  </si>
  <si>
    <t>0003421/2023</t>
  </si>
  <si>
    <t>11456235</t>
  </si>
  <si>
    <t>Substituição de 01 (um) TP 69 kV posição operacional 82T6 fase C da Subestação NTD.</t>
  </si>
  <si>
    <t>0003422/2023</t>
  </si>
  <si>
    <t>11456236</t>
  </si>
  <si>
    <t>Substituição de 01 (um) TP 69 kV posição operacional 82BP-1 fase A da Subestação RSD.</t>
  </si>
  <si>
    <t>MG RUSSAS II / CCO-2001-061 - RB</t>
  </si>
  <si>
    <t>0003438/2023</t>
  </si>
  <si>
    <t>11346691</t>
  </si>
  <si>
    <t>Substituição de 01 (um) TP 69 kV posição operacional 82BP-1 fase B da Subestação RSD.</t>
  </si>
  <si>
    <t>0003439/2023</t>
  </si>
  <si>
    <t>11346692</t>
  </si>
  <si>
    <t>Substituição de 01 (um) TP 69 kV posição operacional 82BP-1 fase C da Subestação RSD.</t>
  </si>
  <si>
    <t>0003440/2023</t>
  </si>
  <si>
    <t>11346693</t>
  </si>
  <si>
    <t>Substituição de 01 (um) TP 69 kV posição operacional 82T1 fase A da Subestação SBD.</t>
  </si>
  <si>
    <t>TR 230/69 kV SOBRAL II TR1 CE</t>
  </si>
  <si>
    <t>0003441/2023</t>
  </si>
  <si>
    <t>11346812</t>
  </si>
  <si>
    <t>Substituição de 01 (um) TP 69 kV posição operacional 82T1 fase B da Subestação SBD.</t>
  </si>
  <si>
    <t>0003442/2023</t>
  </si>
  <si>
    <t>11346813</t>
  </si>
  <si>
    <t>Substituição de 01 (um) TP 69 kV posição operacional 82T1 fase C da Subestação SBD.</t>
  </si>
  <si>
    <t>0003443/2023</t>
  </si>
  <si>
    <t>11346814</t>
  </si>
  <si>
    <t>Substituição de 01 (um) TP 69 kV posição operacional 82T2 fase A da Subestação SBD.</t>
  </si>
  <si>
    <t>TR 230/69 kV SOBRAL II TR2 CE</t>
  </si>
  <si>
    <t>0003444/2023</t>
  </si>
  <si>
    <t>11346815</t>
  </si>
  <si>
    <t>Substituição de 01 (um) TP 69 kV posição operacional 82T2 fase B da Subestação SBD.</t>
  </si>
  <si>
    <t>0003445/2023</t>
  </si>
  <si>
    <t>11346816</t>
  </si>
  <si>
    <t>Substituição de 01 (um) TP 69 kV posição operacional 82T2 fase C da Subestação SBD.</t>
  </si>
  <si>
    <t>0003446/2023</t>
  </si>
  <si>
    <t>11346817</t>
  </si>
  <si>
    <t>Substituição de 01 (um) TP 69 kV posição operacional 82BP-2 fase A da Subestação SNB.</t>
  </si>
  <si>
    <t>0003452/2023</t>
  </si>
  <si>
    <t>11346848</t>
  </si>
  <si>
    <t>Substituição de 01 (um) TP 69 kV posição operacional 82BP-2 fase B da Subestação SNB.</t>
  </si>
  <si>
    <t>0003453/2023</t>
  </si>
  <si>
    <t>11346849</t>
  </si>
  <si>
    <t>Substituição de 01 (um) TP 69 kV posição operacional 82BP-2 fase C da Subestação SNB.</t>
  </si>
  <si>
    <t>0003454/2023</t>
  </si>
  <si>
    <t>11346850</t>
  </si>
  <si>
    <t>Substituição de 01 (um) TP 230 kV posição operacional 84F1 fase A da Subestação SE FNL.</t>
  </si>
  <si>
    <t>0003482/2023</t>
  </si>
  <si>
    <t>11344730</t>
  </si>
  <si>
    <t>Substituição de 01 (um) TP 230 kV posição operacional 84F1 fase B da Subestação SE FNL.</t>
  </si>
  <si>
    <t>0003483/2023</t>
  </si>
  <si>
    <t>11344731</t>
  </si>
  <si>
    <t>Substituição de 01 (um) TP 230 kV posição operacional 84H1 fase C da Subestação SE FNL.</t>
  </si>
  <si>
    <t>BC 230 kV 50,5 MVAr FUNIL BC1 BA</t>
  </si>
  <si>
    <t>0003485/2023</t>
  </si>
  <si>
    <t>11344727</t>
  </si>
  <si>
    <t>Substituição de 01 (um) TP 230 kV posição operacional 84H2 fase B da Subestação SE FNL.</t>
  </si>
  <si>
    <t>BC 230 kV 50,5 MVAr FUNIL BC2 BA</t>
  </si>
  <si>
    <t>0003486/2023</t>
  </si>
  <si>
    <t>11344728</t>
  </si>
  <si>
    <t>Substituição de 01 (um) TP 230 kV posição operacional 84H2 fase C da Subestação SE FNL.</t>
  </si>
  <si>
    <t>0003487/2023</t>
  </si>
  <si>
    <t>11344729</t>
  </si>
  <si>
    <t>Substituição de 01 (um) TP 230 kV posição operacional 84T2 fase A da Subestação SE FZD.</t>
  </si>
  <si>
    <t>0003488/2023</t>
  </si>
  <si>
    <t>11344701</t>
  </si>
  <si>
    <t>Substituição de 01 (um) TP 230 kV posição operacional 84T2 fase B da Subestação SE FZD.</t>
  </si>
  <si>
    <t>0003489/2023</t>
  </si>
  <si>
    <t>11344702</t>
  </si>
  <si>
    <t>Substituição de 01 (um) TP 230 kV posição operacional 84T2 fase C da Subestação SE FZD.</t>
  </si>
  <si>
    <t>0003490/2023</t>
  </si>
  <si>
    <t>11344703</t>
  </si>
  <si>
    <t>Substituição de 01 (um) TP 230 kV posição operacional 84T6 fase A da Subestação SE JDM.</t>
  </si>
  <si>
    <t>TR 500/230 kV JARDIM TR6 SE</t>
  </si>
  <si>
    <t>0003492/2023</t>
  </si>
  <si>
    <t>11344721</t>
  </si>
  <si>
    <t>Substituição de 01 (um) TP 230 kV posição operacional 84T6 fase B da Subestação SE JDM.</t>
  </si>
  <si>
    <t>0003493/2023</t>
  </si>
  <si>
    <t>11344717</t>
  </si>
  <si>
    <t>Substituição de 01 (um) TP 230 kV posição operacional 84T6 fase C da Subestação SE JDM.</t>
  </si>
  <si>
    <t>0003494/2023</t>
  </si>
  <si>
    <t>11344718</t>
  </si>
  <si>
    <t>Substituição de 01 (um) TP 230 kV posição operacional 84M9 fase A da Subestação SE MSI.</t>
  </si>
  <si>
    <t>0003499/2023</t>
  </si>
  <si>
    <t>11344662</t>
  </si>
  <si>
    <t>Substituição de 01 (um) TP 230 kV posição operacional 84M9 fase B da Subestação SE MSI.</t>
  </si>
  <si>
    <t>0003500/2023</t>
  </si>
  <si>
    <t>11344663</t>
  </si>
  <si>
    <t>Substituição de 01 (um) TP 230 kV posição operacional 84M9 fase C da Subestação SE MSI.</t>
  </si>
  <si>
    <t>0003501/2023</t>
  </si>
  <si>
    <t>11344664</t>
  </si>
  <si>
    <t>Substituição de 01 (um) TP 230 kV posição operacional 84S3 fase C da Subestação SE RLD.</t>
  </si>
  <si>
    <t>LT 230 kV MESSIAS /RIO LARGO II C-1 AL</t>
  </si>
  <si>
    <t>0003504/2023</t>
  </si>
  <si>
    <t>11344655</t>
  </si>
  <si>
    <t>Substituição de 03 (três) TP 13,8 kV de compensador síncrono posição operacional 81T5-1 da Subestação RCD.</t>
  </si>
  <si>
    <t>0003512/2023</t>
  </si>
  <si>
    <t>11347039</t>
  </si>
  <si>
    <t>Substituição de 03 (três) TP 13,8 kV de compensador síncrono posição operacional 81T5-2 da Subestação RCD.</t>
  </si>
  <si>
    <t>0003513/2023</t>
  </si>
  <si>
    <t>11347037</t>
  </si>
  <si>
    <t>Substituição de 03 (três) TP 13,8 kV de compensador síncrono posição operacional 81K1 da Subestação RCD.</t>
  </si>
  <si>
    <t>0003514/2023</t>
  </si>
  <si>
    <t>11347038</t>
  </si>
  <si>
    <t>Substituição de 03 (três) TP 13,8 kV de compensador síncrono posição operacional 81K2 da Subestação RCD.</t>
  </si>
  <si>
    <t>0003515/2023</t>
  </si>
  <si>
    <t>11347036</t>
  </si>
  <si>
    <t>Substituição de 01 (um) PR 69 kV posição operacional 72J6 fase A da Subestação CMA.</t>
  </si>
  <si>
    <t>EL 69 kV COREMAS DIST6 (12J6)</t>
  </si>
  <si>
    <t>0003559/2023</t>
  </si>
  <si>
    <t>11332324</t>
  </si>
  <si>
    <t>Substituição de 01 (um) PR 69 kV posição operacional 72J6 fase B da Subestação CMA.</t>
  </si>
  <si>
    <t>0003560/2023</t>
  </si>
  <si>
    <t>11332325</t>
  </si>
  <si>
    <t>Substituição de 01 (um) PR 69 kV posição operacional 72J6 fase C da Subestação CMA.</t>
  </si>
  <si>
    <t>0003561/2023</t>
  </si>
  <si>
    <t>11332326</t>
  </si>
  <si>
    <t>Substituição de 01 (um) PR 69 kV posição operacional 72W1 fase A da Subestação MLG.</t>
  </si>
  <si>
    <t>0003611/2023</t>
  </si>
  <si>
    <t>11328619</t>
  </si>
  <si>
    <t>Substituição de 01 (um) PR 69 kV posição operacional 72W1 fase B da Subestação MLG.</t>
  </si>
  <si>
    <t>0003612/2023</t>
  </si>
  <si>
    <t>11328620</t>
  </si>
  <si>
    <t>Substituição de 01 (um) PR 69 kV posição operacional 72W1 fase C da Subestação MLG.</t>
  </si>
  <si>
    <t>0003613/2023</t>
  </si>
  <si>
    <t>11328621</t>
  </si>
  <si>
    <t>Substituição de 01 (um) PR 500 kV posição operacional 75E1 fase A da Subestação MSI.</t>
  </si>
  <si>
    <t>0003617/2023</t>
  </si>
  <si>
    <t>11326437</t>
  </si>
  <si>
    <t>Substituição de 01 (um) PR 500 kV posição operacional 75E1 fase B da Subestação MSI.</t>
  </si>
  <si>
    <t>0003618/2023</t>
  </si>
  <si>
    <t>11326438</t>
  </si>
  <si>
    <t>Substituição de 01 (um) PR 500 kV posição operacional 75E1 fase C da Subestação MSI.</t>
  </si>
  <si>
    <t>0003619/2023</t>
  </si>
  <si>
    <t>11326439</t>
  </si>
  <si>
    <t>Substituição de 01 (um) PR 500 kV posição operacional 75ER fase M da Subestação MSI.</t>
  </si>
  <si>
    <t>RTL 500 kV 50 Mvar MESSIAS RTR1 AL</t>
  </si>
  <si>
    <t>0003620/2023</t>
  </si>
  <si>
    <t>11326436</t>
  </si>
  <si>
    <t>Substituição de 01 (um) PR 500 kV posição operacional 75T2 fase A da Subestação MSI.</t>
  </si>
  <si>
    <t>0003621/2023</t>
  </si>
  <si>
    <t>11326443</t>
  </si>
  <si>
    <t>Substituição de 01 (um) PR 500 kV posição operacional 75T2 fase B da Subestação MSI.</t>
  </si>
  <si>
    <t>0003622/2023</t>
  </si>
  <si>
    <t>11326444</t>
  </si>
  <si>
    <t>Substituição de 01 (um) PR 500 kV posição operacional 75T2 fase C da Subestação MSI.</t>
  </si>
  <si>
    <t>0003623/2023</t>
  </si>
  <si>
    <t>11326445</t>
  </si>
  <si>
    <t>Substituição de 01 (um) PR 500 kV posição operacional 75T3 fase A da Subestação MSI.</t>
  </si>
  <si>
    <t>0003624/2023</t>
  </si>
  <si>
    <t>11326446</t>
  </si>
  <si>
    <t>Substituição de 01 (um) PR 500 kV posição operacional 75T3 fase B da Subestação MSI.</t>
  </si>
  <si>
    <t>0003625/2023</t>
  </si>
  <si>
    <t>11326447</t>
  </si>
  <si>
    <t>Substituição de 01 (um) PR 500 kV posição operacional 75T3 fase C da Subestação MSI.</t>
  </si>
  <si>
    <t>0003626/2023</t>
  </si>
  <si>
    <t>11326448</t>
  </si>
  <si>
    <t>Substituição de 01 (um) PR 69 kV posição operacional 72V4 fase A da Subestação TAC.</t>
  </si>
  <si>
    <t>EL 69 kV TACAIMBO BELO JARDIM C2 (12V4)</t>
  </si>
  <si>
    <t>0003672/2023</t>
  </si>
  <si>
    <t>11328544</t>
  </si>
  <si>
    <t>Substituição de 01 (um) PR 69 kV posição operacional 72V4 fase B da Subestação TAC.</t>
  </si>
  <si>
    <t>0003673/2023</t>
  </si>
  <si>
    <t>11328545</t>
  </si>
  <si>
    <t>Substituição de 01 (um) PR 69 kV posição operacional 72V4 fase C da Subestação TAC.</t>
  </si>
  <si>
    <t>0003674/2023</t>
  </si>
  <si>
    <t>11328546</t>
  </si>
  <si>
    <t>Substituição de 01 (um) PR 500 kV posição operacional 75G4 fase A da Subestação XGO.</t>
  </si>
  <si>
    <t>MC 500 kV TR 18/500 kV USINA XINGO TR4 AL (15G4)</t>
  </si>
  <si>
    <t>0003698/2023</t>
  </si>
  <si>
    <t>11332585</t>
  </si>
  <si>
    <t>Substituição de 01 (um) PR 500 kV posição operacional 75G4 fase B da Subestação XGO.</t>
  </si>
  <si>
    <t>0003699/2023</t>
  </si>
  <si>
    <t>11332586</t>
  </si>
  <si>
    <t>Substituição de 01 (um) PR 500 kV posição operacional 75G4 fase C da Subestação XGO.</t>
  </si>
  <si>
    <t>0003700/2023</t>
  </si>
  <si>
    <t>11332587</t>
  </si>
  <si>
    <t>Substituição de 01 (um) PR 500 kV posição operacional 75G6 fase A da Subestação XGO.</t>
  </si>
  <si>
    <t>MC 500 kV TR 18/500 kV USINA XINGO TR6 AL (15G6)</t>
  </si>
  <si>
    <t>0003705/2023</t>
  </si>
  <si>
    <t>11332591</t>
  </si>
  <si>
    <t>Substituição de 01 (um) PR 500 kV posição operacional 75G6 fase B da Subestação XGO.</t>
  </si>
  <si>
    <t>0003706/2023</t>
  </si>
  <si>
    <t>11332592</t>
  </si>
  <si>
    <t>Substituição de 01 (um) PR 500 kV posição operacional 75G6 fase C da Subestação XGO.</t>
  </si>
  <si>
    <t>0003707/2023</t>
  </si>
  <si>
    <t>11332593</t>
  </si>
  <si>
    <t>Substituição de 01 (um) PR 500 kV posição operacional 75V2.C fase C da Subestação SE MSI.</t>
  </si>
  <si>
    <t>0003754/2023</t>
  </si>
  <si>
    <t>11326442</t>
  </si>
  <si>
    <t>Substituição de 01 (um) PR 230 kV posição operacional 74S2.A fase A da Subestação SE SBD.</t>
  </si>
  <si>
    <t>0003764/2023</t>
  </si>
  <si>
    <t>11327398</t>
  </si>
  <si>
    <t>Substituição de 01 (um) PR 230 kV posição operacional 74S2.B fase B da Subestação SE SBD.</t>
  </si>
  <si>
    <t>0003765/2023</t>
  </si>
  <si>
    <t>11327399</t>
  </si>
  <si>
    <t>Substituição de 1 (um) Sistema de Monitoramento de Temperatura do Transformador de Potência 230 kV posição operacional 04T4 da Subestação FTZ.</t>
  </si>
  <si>
    <t>TR 230/69 kV FORTALEZA TR4 CE</t>
  </si>
  <si>
    <t>0003772/2023</t>
  </si>
  <si>
    <t>12437609</t>
  </si>
  <si>
    <t>Substituição de 2 (dois) Radiadores do Transformador de Potência 230 kV posição operacional 04T1 da Subestação MRD.</t>
  </si>
  <si>
    <t>0003774/2023</t>
  </si>
  <si>
    <t>12437480</t>
  </si>
  <si>
    <t>Substituição de 02 (dois) Trocadores de calor do Transformador de Força 230kV de posição operacional 04T3 da Subestação MRD</t>
  </si>
  <si>
    <t>0003775/2023</t>
  </si>
  <si>
    <t>12437481</t>
  </si>
  <si>
    <t>Substituição de 01 (um) Sistema de Monitoramento de Temperatura do Transformador de Potência 69 kV posição operacional 02T5 da Subestação NTD.</t>
  </si>
  <si>
    <t>MG NATAL II / CCO-2001-061 - RB</t>
  </si>
  <si>
    <t>0003777/2023</t>
  </si>
  <si>
    <t>12437483</t>
  </si>
  <si>
    <t>Substituição de 01 (um) Sistema de Monitoramento de Temperatura do Transformador de Potência 69 kV posição operacional 02T6 da Subestação NTD.</t>
  </si>
  <si>
    <t>TR 69/3,3 kV NATAL II TR6 RN</t>
  </si>
  <si>
    <t>0003778/2023</t>
  </si>
  <si>
    <t>12437485</t>
  </si>
  <si>
    <t>Substituição de 01 (um) Sistema de Monitoramento de Temperatura do Transformador de Potência 69 kV posição operacional 02T7 da Subestação NTD.</t>
  </si>
  <si>
    <t>TR 69/3,3 kV NATAL II TR7 RN</t>
  </si>
  <si>
    <t>0003779/2023</t>
  </si>
  <si>
    <t>12437487</t>
  </si>
  <si>
    <t>Substituição de 01 (um) Sistema de Monitoramento de Temperatura do Transformador de Potência 230 kV posição operacional 04T1 da Subestação NTD.</t>
  </si>
  <si>
    <t>TR 230/69 kV NATAL II TR1 RN</t>
  </si>
  <si>
    <t>0003781/2023</t>
  </si>
  <si>
    <t>12437492</t>
  </si>
  <si>
    <t>Substituição de 4 (quatro) Radiadores do Transformador de Potência 230 kV posição operacional 04T1 da Subestação NTD.</t>
  </si>
  <si>
    <t>0003782/2023</t>
  </si>
  <si>
    <t>12437493</t>
  </si>
  <si>
    <t>Substituição de 01 (um) Sistema de Monitoramento de Temperatura do Transformador de Potência 230 kV posição operacional 04T2 da Subestação NTD.</t>
  </si>
  <si>
    <t>TR 230/69 kV NATAL II TR2 RN</t>
  </si>
  <si>
    <t>0003783/2023</t>
  </si>
  <si>
    <t>12437495</t>
  </si>
  <si>
    <t>Substituição de 01 (um) Sistema de Monitoramento de Temperatura do Transformador de Potência 230 kV posição operacional 04T3 da Subestação NTD.</t>
  </si>
  <si>
    <t>TR 230/69 kV NATAL II TR3 RN</t>
  </si>
  <si>
    <t>0003784/2023</t>
  </si>
  <si>
    <t>12437497</t>
  </si>
  <si>
    <t>Substituição de 02 (dois) Trocadores de calor do Transformador de Força 230kV de posição operacional 04T3 da Subestação NTD</t>
  </si>
  <si>
    <t>0003785/2023</t>
  </si>
  <si>
    <t>12437498</t>
  </si>
  <si>
    <t>Substituição de 04 (quatro) Trocadores de calor do Transformador de Força 500kV de posição operacional 05T4.C da Subestação RCD</t>
  </si>
  <si>
    <t>TR 500/230 kV RECIFE II TR4 PE</t>
  </si>
  <si>
    <t>0003786/2023</t>
  </si>
  <si>
    <t>12437504</t>
  </si>
  <si>
    <t>Substituição de 3 (três) Radiadores do Transformador de Potência 500 kV posição operacional 05T3 fase A da Subestação RCD.</t>
  </si>
  <si>
    <t>TR 500/230 kV RECIFE II TR3 PE</t>
  </si>
  <si>
    <t>0003793/2023</t>
  </si>
  <si>
    <t>12437508</t>
  </si>
  <si>
    <t>Substituição de 3 (três) Radiadores do Transformador de Potência 500 kV posição operacional 05T3 fase B da Subestação RCD.</t>
  </si>
  <si>
    <t>0003794/2023</t>
  </si>
  <si>
    <t>12437509</t>
  </si>
  <si>
    <t>Substituição de 3 (três) Radiadores do Transformador de Potência 500 kV posição operacional 05T3 fase C da Subestação RCD.</t>
  </si>
  <si>
    <t>0003795/2023</t>
  </si>
  <si>
    <t>12437510</t>
  </si>
  <si>
    <t>Substituição de 02 (dois) Trocadores de calor do Transformador de Força 500kV de posição operacional 05TR.M da Subestação SUD</t>
  </si>
  <si>
    <t>TR 500/230 kV SUAPE II TRR1 PE</t>
  </si>
  <si>
    <t>0003800/2023</t>
  </si>
  <si>
    <t>12437511</t>
  </si>
  <si>
    <t>ELISEU MARTINS</t>
  </si>
  <si>
    <t>Substituição de 01 (um) Sistema de Monitoramento de Temperatura do Transformador de Potência 230 kV posição operacional 04T1 da Subestação ELM.</t>
  </si>
  <si>
    <t>TR 230/69 kV ELISEU MARTIN TR1 PI</t>
  </si>
  <si>
    <t>0003801/2023</t>
  </si>
  <si>
    <t>12437522</t>
  </si>
  <si>
    <t>Substituição de 2 (dois) Sistema de Monitoramento de Temperatura do Transformador de Potência 500 kV posição operacional 05TR fase M da Subestação SJI.</t>
  </si>
  <si>
    <t>TR 500/230 kV S.JOAO PIAUI TRR1 PI</t>
  </si>
  <si>
    <t>0003802/2023</t>
  </si>
  <si>
    <t>12437523</t>
  </si>
  <si>
    <t>PIRIPIRI</t>
  </si>
  <si>
    <t>Substituição de 01 (um) Sistema de Monitoramento de Temperatura do Transformador de Potência 230 kV posição operacional 04T1 da Subestação PRI.</t>
  </si>
  <si>
    <t>TR 230/69 kV PIRIPIRI TR1 PI</t>
  </si>
  <si>
    <t>0003804/2023</t>
  </si>
  <si>
    <t>12437524</t>
  </si>
  <si>
    <t>Substituição de 01 (um) Sistema de Monitoramento de Temperatura do Transformador de Potência 230 kV posição operacional 04T3 da Subestação PRI.</t>
  </si>
  <si>
    <t>TR 230/69 kV PIRIPIRI TR3 PI</t>
  </si>
  <si>
    <t>0003805/2023</t>
  </si>
  <si>
    <t>12437525</t>
  </si>
  <si>
    <t>IGAPORA III</t>
  </si>
  <si>
    <t>Substituição de 01 (um) Sistema de Monitoramento de Temperatura do Transformador de Potência 500 kV posição operacional 05T4 fase A da Subestação IGT.</t>
  </si>
  <si>
    <t>TR 500/230 kV IGAPORA III TR4 BA</t>
  </si>
  <si>
    <t>0003816/2023</t>
  </si>
  <si>
    <t>12437537</t>
  </si>
  <si>
    <t>Substituição de 01 (um) Sistema de Monitoramento de Temperatura do Transformador de Potência 500 kV posição operacional 05T7 fase A da Subestação PAQ.</t>
  </si>
  <si>
    <t>0003818/2023</t>
  </si>
  <si>
    <t>12437545</t>
  </si>
  <si>
    <t>Substituição de 01 (um) Sistema de Monitoramento de Temperatura do Transformador de Potência 500 kV posição operacional 05T7 fase B da Subestação PAQ.</t>
  </si>
  <si>
    <t>0003819/2023</t>
  </si>
  <si>
    <t>12437546</t>
  </si>
  <si>
    <t>Substituição de 01 (um) Sistema de Monitoramento de Temperatura do Transformador de Potência 500 kV posição operacional 05T7 fase C da Subestação PAQ.</t>
  </si>
  <si>
    <t>0003820/2023</t>
  </si>
  <si>
    <t>12437547</t>
  </si>
  <si>
    <t>Substituição de 01 (um) Sistema de Monitoramento de Temperatura do Transformador de Potência 500 kV posição operacional 05T8 fase A da Subestação PAQ.</t>
  </si>
  <si>
    <t>0003821/2023</t>
  </si>
  <si>
    <t>12437548</t>
  </si>
  <si>
    <t>Substituição de 01 (um) Sistema de Monitoramento de Temperatura do Transformador de Potência 500 kV posição operacional 05T8 fase B da Subestação PAQ.</t>
  </si>
  <si>
    <t>0003823/2023</t>
  </si>
  <si>
    <t>12437549</t>
  </si>
  <si>
    <t>Substituição de 01 (um) Sistema de Monitoramento de Temperatura do Transformador de Potência 500 kV posição operacional 05T8 fase C da Subestação PAQ.</t>
  </si>
  <si>
    <t>0003824/2023</t>
  </si>
  <si>
    <t>12437550</t>
  </si>
  <si>
    <t>Substituição de 01 (um) Sistema de Monitoramento de Temperatura do Transformador de Potência 500 kV posição operacional 05TR fase M da Subestação PAQ.</t>
  </si>
  <si>
    <t>TR 500/230 kV P. AFONSO IV TRR1 BA</t>
  </si>
  <si>
    <t>0003825/2023</t>
  </si>
  <si>
    <t>12437551</t>
  </si>
  <si>
    <t>Substituição de 01 (um) Sistema de Monitoramento de Temperatura do Transformador de Potência 230 kV posição operacional 04T2 da Subestação ABX.</t>
  </si>
  <si>
    <t>TR 230/69 kV ABAIXADORA TR2 BA</t>
  </si>
  <si>
    <t>0003826/2023</t>
  </si>
  <si>
    <t>12437555</t>
  </si>
  <si>
    <t>Substituição de 3 (três) Radiadores do Transformador de Potência 500 kV posição operacional 05TR fase M da Subestação CMQ.</t>
  </si>
  <si>
    <t>TR 500/230 kV CAMACARI IV TRR1 BA</t>
  </si>
  <si>
    <t>0003828/2023</t>
  </si>
  <si>
    <t>12437563</t>
  </si>
  <si>
    <t>Substituição de 01 (um) Trocador de calor do Transformador de Força 500kV de posição operacional 05T1.A da Subestação CMD</t>
  </si>
  <si>
    <t>TR 500/230 kV CAMACARI II TR1 BA</t>
  </si>
  <si>
    <t>0003829/2023</t>
  </si>
  <si>
    <t>12437564</t>
  </si>
  <si>
    <t>Substituição de 01 (um) Trocador de calor do Transformador de Força 500kV de posição operacional 05TR.M da Subestação CMD</t>
  </si>
  <si>
    <t>TR 500/230 kV CAMACARI II TRR1 BA</t>
  </si>
  <si>
    <t>0003830/2023</t>
  </si>
  <si>
    <t>12437565</t>
  </si>
  <si>
    <t>Substituição de 2 (dois) Radiadores do Transformador de Potência 230 kV posição operacional 04T5 da Subestação CMD.</t>
  </si>
  <si>
    <t>TR 230/69 kV CAMACARI II TR5 BA</t>
  </si>
  <si>
    <t>0003832/2023</t>
  </si>
  <si>
    <t>12437566</t>
  </si>
  <si>
    <t>Substituição de 2 (dois) Radiadores do Reator 230 kV posição operacional 04E3 fase B da Subestação ENP.</t>
  </si>
  <si>
    <t>0003837/2023</t>
  </si>
  <si>
    <t>12437586</t>
  </si>
  <si>
    <t>Substituição de 01 (um) Sistema de Monitoramento de Temperatura do Transformador de Potência 230 kV posição operacional 04T3 da Subestação STJ.</t>
  </si>
  <si>
    <t>0003843/2023</t>
  </si>
  <si>
    <t>12437596</t>
  </si>
  <si>
    <t>Substituição de 01 (um) Trocador de calor do Transformador de Força 230kV de posição operacional 04T1 da Subestação MTT</t>
  </si>
  <si>
    <t>TR 230/69 kV MATATU TR1 BA</t>
  </si>
  <si>
    <t>0003846/2023</t>
  </si>
  <si>
    <t>12437598</t>
  </si>
  <si>
    <t>PITUACU</t>
  </si>
  <si>
    <t>Substituição de 07 (sete) Trocadores de calor do Transformador de Força 230kV de posição operacional 04T1 da Subestação PTU</t>
  </si>
  <si>
    <t>TR 230/69 kV PITUACU TR1 BA</t>
  </si>
  <si>
    <t>0003847/2023</t>
  </si>
  <si>
    <t>12437599</t>
  </si>
  <si>
    <t>Substituição de 4 (quatro) Radiadores do Transformador de Potência 230 kV posição operacional 04T4 da Subestação PTU.</t>
  </si>
  <si>
    <t>TR 230/69 kV PITUACU TR4 BA</t>
  </si>
  <si>
    <t>0003849/2023</t>
  </si>
  <si>
    <t>12437600</t>
  </si>
  <si>
    <t>Substituição de 4 (quatro) Radiadores do Transformador de Potência 230 kV posição operacional 04T3 da Subestação CTG.</t>
  </si>
  <si>
    <t>TR 230/69 kV COTEGIPE TR3 BA</t>
  </si>
  <si>
    <t>0003850/2023</t>
  </si>
  <si>
    <t>12437602</t>
  </si>
  <si>
    <t>Substituição de 01 (um) Sistema de Monitoramento de Temperatura do Transformador de Potência 230 kV posição operacional 04T2 da Subestação FTZ.</t>
  </si>
  <si>
    <t>TR 230/69 kV FORTALEZA TR2 CE</t>
  </si>
  <si>
    <t>0003856/2023</t>
  </si>
  <si>
    <t>12437608</t>
  </si>
  <si>
    <t>Substituição de 2 (dois) Radiadores do Transformador de Potência 230 kV posição operacional 04T2 da Subestação FTZ.</t>
  </si>
  <si>
    <t>0003857/2023</t>
  </si>
  <si>
    <t>12437621</t>
  </si>
  <si>
    <t>Substituição de 01 (um) Sistema de Monitoramento de Temperatura do Transformador de Potência 500 kV posição operacional 05T4 fase A da Subestação FZD.</t>
  </si>
  <si>
    <t>TR 500/230 kV FORTALEZA II TR4 CE</t>
  </si>
  <si>
    <t>0003859/2023</t>
  </si>
  <si>
    <t>12437610</t>
  </si>
  <si>
    <t>Substituição de 01 (um) Sistema de Monitoramento de Temperatura do Transformador de Potência 500 kV posição operacional 05T4 fase C da Subestação FZD.</t>
  </si>
  <si>
    <t>0003860/2023</t>
  </si>
  <si>
    <t>12437611</t>
  </si>
  <si>
    <t>Substituição de 01 (um) Trocador de calor do Transformador de Força 500kV de posição operacional 05T4.C da Subestação FZD</t>
  </si>
  <si>
    <t>0003862/2023</t>
  </si>
  <si>
    <t>12437624</t>
  </si>
  <si>
    <t>Substituição de 01 (um) Sistema de Monitoramento de Temperatura do Transformador de Potência 230 kV posição operacional 04T1 da Subestação PCD.</t>
  </si>
  <si>
    <t>TR 230/69 kV PICI II TR1 CE</t>
  </si>
  <si>
    <t>0003863/2023</t>
  </si>
  <si>
    <t>12437612</t>
  </si>
  <si>
    <t>Substituição de 01 (um) Sistema de Monitoramento de Temperatura do Transformador de Potência 500 kV posição operacional 05T1 fase B da Subestação PED.</t>
  </si>
  <si>
    <t>TR 500/230 kV PECEM II TR1 CE</t>
  </si>
  <si>
    <t>0003864/2023</t>
  </si>
  <si>
    <t>12437613</t>
  </si>
  <si>
    <t>Substituição de 01 (um) Sistema de Monitoramento de Temperatura do Transformador de Potência 500 kV posição operacional 05T3 fase A da Subestação PED.</t>
  </si>
  <si>
    <t>TR 500/230 kV PECEM II TR3 CE</t>
  </si>
  <si>
    <t>0003870/2023</t>
  </si>
  <si>
    <t>12437617</t>
  </si>
  <si>
    <t>Substituição de 01 (um) Sistema de Monitoramento de Temperatura do Transformador de Potência 500 kV posição operacional 05T3 fase C da Subestação PED.</t>
  </si>
  <si>
    <t>0003871/2023</t>
  </si>
  <si>
    <t>12437618</t>
  </si>
  <si>
    <t>Substituição de 01 (um) Sistema de Monitoramento de Temperatura do Transformador de Potência 230 kV posição operacional 04T3 da Subestação RSD.</t>
  </si>
  <si>
    <t>TR 230/69 kV RUSSAS II TR3 CE</t>
  </si>
  <si>
    <t>0003872/2023</t>
  </si>
  <si>
    <t>12437619</t>
  </si>
  <si>
    <t>Substituição de 2 (dois) Radiadores do Transformador de Potência 230 kV posição operacional 04T3 da Subestação DMG.</t>
  </si>
  <si>
    <t>0003874/2023</t>
  </si>
  <si>
    <t>12437620</t>
  </si>
  <si>
    <t>Substituição de 01 (um) Trocador de calor do Transformador de Força 500kV de posição operacional 05T2.B da Subestação FZD</t>
  </si>
  <si>
    <t>0003875/2023</t>
  </si>
  <si>
    <t>12437623</t>
  </si>
  <si>
    <t>Substituição de 4 (quatro) Radiadores do Transformador de Potência 230 kV posição operacional 04T3 da Subestação PCD.</t>
  </si>
  <si>
    <t>TR 230/69 kV PICI II TR3 CE</t>
  </si>
  <si>
    <t>0003877/2023</t>
  </si>
  <si>
    <t>12437625</t>
  </si>
  <si>
    <t>Substituição de 2 (dois) Radiador do Transformador de Potência 230 kV posição operacional 04T2 da Subestação PCD.</t>
  </si>
  <si>
    <t>TR 230/69 kV PICI II TR2 CE</t>
  </si>
  <si>
    <t>0003878/2023</t>
  </si>
  <si>
    <t>12437626</t>
  </si>
  <si>
    <t>Substituição de 01 (um) Sistema de Monitoramento de Temperatura do Transformador de Potência 230 kV posição operacional 04T3 da Subestação FNL.</t>
  </si>
  <si>
    <t>0003881/2023</t>
  </si>
  <si>
    <t>12437628</t>
  </si>
  <si>
    <t>Substituição de 01 (um) Sistema de Monitoramento de Temperatura do Reator posição operacional 05E2 fase B da Subestação TSD.</t>
  </si>
  <si>
    <t>0003882/2023</t>
  </si>
  <si>
    <t>12437521</t>
  </si>
  <si>
    <t>Substituição de 02 (dois) Radiadores do Transformador de Potência 230 kV posição operacional 04T4 fase T da Subestação PRD.</t>
  </si>
  <si>
    <t>TR 230/69 kV PIRAPAMA II TR4 PE</t>
  </si>
  <si>
    <t>0003884/2023</t>
  </si>
  <si>
    <t>12588839</t>
  </si>
  <si>
    <t>Substituição de 01 (um) Sistema de Monitoramento de Temperatura do Transformador de Potência 230 kV posição operacional 04T1 fase T da Subestação FNL.</t>
  </si>
  <si>
    <t>TR 230/138 kV FUNIL TR1 BA</t>
  </si>
  <si>
    <t>0003885/2023</t>
  </si>
  <si>
    <t>12588840</t>
  </si>
  <si>
    <t>Substituição de 01 (um) Sistema de Monitoramento de Temperatura do Transformador de Potência 230 kV posição operacional 04T6 fase T da Subestação FNL.</t>
  </si>
  <si>
    <t>TR 230/138 kV FUNIL TR6 BA</t>
  </si>
  <si>
    <t>0003886/2023</t>
  </si>
  <si>
    <t>12588841</t>
  </si>
  <si>
    <t>Substituição de 01 (um) Sistema de Monitoramento de Temperatura do Transformador de Potência 230 kV posição operacional 04T4 fase T da Subestação BNB.</t>
  </si>
  <si>
    <t>TR 230/69 kV BANABUIU TR4 CE</t>
  </si>
  <si>
    <t>0003888/2023</t>
  </si>
  <si>
    <t>12588842</t>
  </si>
  <si>
    <t>Substituição de 01 (um) Sistema de Monitoramento de Temperatura do Reator posição operacional 05E1 fase A da Subestação FZD.</t>
  </si>
  <si>
    <t>0003890/2023</t>
  </si>
  <si>
    <t>12588845</t>
  </si>
  <si>
    <t>Substituição de 01 (um) Sistema de Monitoramento de Temperatura do Reator posição operacional 05E1 fase B da Subestação FZD.</t>
  </si>
  <si>
    <t>0003891/2023</t>
  </si>
  <si>
    <t>12588846</t>
  </si>
  <si>
    <t>Substituição de 01 (um) Sistema de Monitoramento de Temperatura do Reator posição operacional 05E1 fase C da Subestação FZD.</t>
  </si>
  <si>
    <t>0003892/2023</t>
  </si>
  <si>
    <t>12588847</t>
  </si>
  <si>
    <t>Substituição de 01 (um) Sistema de Monitoramento de Temperatura do Transformador de Potência 500 kV posição operacional 05TR fase reserva da Subestação SBT.</t>
  </si>
  <si>
    <t>TR 500/230 kV SOBRAL III TRR1 CE</t>
  </si>
  <si>
    <t>0003893/2023</t>
  </si>
  <si>
    <t>12588848</t>
  </si>
  <si>
    <t>Substituição de 01 (um) Sistema de Monitoramento de Temperatura do Transformador de Potência 500 kV posição operacional 05T1 fase A da Subestação SBT.</t>
  </si>
  <si>
    <t>TR 500/230 kV SOBRAL III TR1 CE</t>
  </si>
  <si>
    <t>0003894/2023</t>
  </si>
  <si>
    <t>12588869</t>
  </si>
  <si>
    <t>Substituição de 01 (um) Sistema de Monitoramento de Temperatura do Transformador de Potência 500 kV posição operacional 05T1 fase C da Subestação SBT.</t>
  </si>
  <si>
    <t>0003895/2023</t>
  </si>
  <si>
    <t>12588849</t>
  </si>
  <si>
    <t>Substituição de 01 (um) Sistema de Monitoramento de Temperatura do Reator posição operacional 05E1 fase A da Subestação QXA.</t>
  </si>
  <si>
    <t>0003896/2023</t>
  </si>
  <si>
    <t>12588871</t>
  </si>
  <si>
    <t>Substituição de 01 (um) Sistema de Monitoramento de Temperatura do Reator posição operacional 05E1 fase B da Subestação QXA.</t>
  </si>
  <si>
    <t>0003898/2023</t>
  </si>
  <si>
    <t>12588851</t>
  </si>
  <si>
    <t>Substituição de 01 (um) Sistema de Monitoramento de Temperatura do Reator posição operacional 05E1 fase C da Subestação QXA.</t>
  </si>
  <si>
    <t>0003899/2023</t>
  </si>
  <si>
    <t>12588852</t>
  </si>
  <si>
    <t>Substituição de 01 (um) Sistema de Monitoramento de Temperatura do Reator posição operacional 05ER fase reserva da Subestação QXA.</t>
  </si>
  <si>
    <t>RTL 500 kV 60 Mvar QUIXADA RTR1 CE</t>
  </si>
  <si>
    <t>0003900/2023</t>
  </si>
  <si>
    <t>12588853</t>
  </si>
  <si>
    <t>Substituição de 01 (um) Sistema de Monitoramento de Temperatura do Reator de 230 kV posição operacional 04E2 da Subestação CGD.</t>
  </si>
  <si>
    <t>RTB 230 kV 30 MVAr C.GRANDE II RT2 PB</t>
  </si>
  <si>
    <t>0003901/2023</t>
  </si>
  <si>
    <t>12588855</t>
  </si>
  <si>
    <t>Substituição de 01 (um) Trocador de calor do Transformador de Força 230kV de posição operacional 04T5 da Subestação CGD</t>
  </si>
  <si>
    <t>TR 230/69 kV C.GRANDE II TR5 PB</t>
  </si>
  <si>
    <t>0003903/2023</t>
  </si>
  <si>
    <t>12588856</t>
  </si>
  <si>
    <t>Substituição de 01 (um) Sistema de Monitoramento de Temperatura do Reator posição operacional 05ER fase M da Subestação FZD.</t>
  </si>
  <si>
    <t>RTB 500 kV 60 MVAr FORTALEZA II RTR1 CE</t>
  </si>
  <si>
    <t>0003907/2023</t>
  </si>
  <si>
    <t>12588864</t>
  </si>
  <si>
    <t>Substituição de 01 (um) Sistema de Monitoramento de Temperatura do Transformador de Potência 500 kV posição operacional 05T1 fase B da Subestação SBT.</t>
  </si>
  <si>
    <t>0003908/2023</t>
  </si>
  <si>
    <t>12588870</t>
  </si>
  <si>
    <t>Substituição de 01 (um) Trocador de calor do Transformador de Força 230kV de posição operacional 04T3 da Subestação CGD</t>
  </si>
  <si>
    <t>0003910/2023</t>
  </si>
  <si>
    <t>12588876</t>
  </si>
  <si>
    <t>SANTA RITA II</t>
  </si>
  <si>
    <t>Substituição de 01 (um) Sistema de Monitoramento de Temperatura do Transformador de Potência 230 kV posição operacional 04T1 da Subestação SRD.</t>
  </si>
  <si>
    <t>TR 230/69 kV SANTA RITA II TR1 PB</t>
  </si>
  <si>
    <t>0003911/2023</t>
  </si>
  <si>
    <t>12588877</t>
  </si>
  <si>
    <t>Substituição de 01 (um) Sistema de Monitoramento de Temperatura do Transformador de Potência 230 kV posição operacional 04T2 da Subestação MRD.</t>
  </si>
  <si>
    <t>0003912/2023</t>
  </si>
  <si>
    <t>12588878</t>
  </si>
  <si>
    <t>Substituição de 01 (um) Sistema de Monitoramento de Temperatura do Transformador de Aterramento 69 kV posição operacional 02A1 da Subestação SRD.</t>
  </si>
  <si>
    <t>MC 69 kV TT 69/0 kV SANTA RITA II TT1 PB (32A1)</t>
  </si>
  <si>
    <t>0003913/2023</t>
  </si>
  <si>
    <t>12588879</t>
  </si>
  <si>
    <t>C.GRANDE III</t>
  </si>
  <si>
    <t>Substituição de 01 (um) Sistema de Monitoramento de Temperatura do Transformador de Potência 500 kV posição operacional 05T1 fase B da Subestação CGT.</t>
  </si>
  <si>
    <t>TR 500/230 kV C.GRANDE III TR1 PB</t>
  </si>
  <si>
    <t>0003915/2023</t>
  </si>
  <si>
    <t>12588881</t>
  </si>
  <si>
    <t>Substituição de 01 (um) Sistema de Monitoramento de Temperatura do Transformador de Potência 500 kV posição operacional 05T1 fase A da Subestação CGT.</t>
  </si>
  <si>
    <t>0003916/2023</t>
  </si>
  <si>
    <t>12588882</t>
  </si>
  <si>
    <t>Substituição de 01 (um) Trocador de calor do Transformador de Força 500kV de posição operacional 05T1.A da Subestação CGT</t>
  </si>
  <si>
    <t>0003917/2023</t>
  </si>
  <si>
    <t>12588883</t>
  </si>
  <si>
    <t>Substituição de 01 (um) Trocador de calor do Transformador de Força 500kV de posição operacional 05T1.B da Subestação CGT</t>
  </si>
  <si>
    <t>0003918/2023</t>
  </si>
  <si>
    <t>12588884</t>
  </si>
  <si>
    <t>Substituição de 01 (um) Trocador de calor do Transformador de Força 500kV de posição operacional 05T1.C da Subestação CGT</t>
  </si>
  <si>
    <t>0003920/2023</t>
  </si>
  <si>
    <t>12588885</t>
  </si>
  <si>
    <t>Substituição de 01 (um) Radiador do Transformador de Potência 230 kV posição operacional 04T1 da Subestação MCO.</t>
  </si>
  <si>
    <t>0003921/2023</t>
  </si>
  <si>
    <t>11470617</t>
  </si>
  <si>
    <t>Substituição de 02 (dois) Radiadores do Transformador de Potência 230 kV posição operacional 04T2 da Subestação MCO.</t>
  </si>
  <si>
    <t>0003922/2023</t>
  </si>
  <si>
    <t>11470618</t>
  </si>
  <si>
    <t>Substituição de 01 (um) Sistema de Monitoramento de Temperatura do Reator 500 kV posição operacional 05E1 fase B da Subestação MSI.</t>
  </si>
  <si>
    <t>0003923/2023</t>
  </si>
  <si>
    <t>12588887</t>
  </si>
  <si>
    <t>Substituição de 01 (um) Sistema de Monitoramento de Temperatura do Reator 500 kV posição operacional 05E1 fase C da Subestação MSI.</t>
  </si>
  <si>
    <t>0003924/2023</t>
  </si>
  <si>
    <t>12588888</t>
  </si>
  <si>
    <t>Substituição de 01 (um) Radiador do Transformador de Potência 230 kV posição operacional 04T3 da Subestação RLD.</t>
  </si>
  <si>
    <t>TR 230/69 kV RIO LARGO II TR3 AL</t>
  </si>
  <si>
    <t>0003925/2023</t>
  </si>
  <si>
    <t>12588890</t>
  </si>
  <si>
    <t>Substituição de 01 (um) Sistema de Monitoramento de Temperatura do Transformador de Potência 230 kV posição operacional 04T1 da Subestação MCD.</t>
  </si>
  <si>
    <t>TR 230/69 kV MACEIO II TR1 AL</t>
  </si>
  <si>
    <t>0003926/2023</t>
  </si>
  <si>
    <t>12588891</t>
  </si>
  <si>
    <t>Substituição de 05 (cinco) Radiadores do Transformador de Potência 230 kV posição operacional 04T1 da Subestação PRD.</t>
  </si>
  <si>
    <t>0003927/2023</t>
  </si>
  <si>
    <t>11470184</t>
  </si>
  <si>
    <t>Substituição de 03 (três) Radiadores do Transformador de Potência 230 kV posição operacional 04T2 da Subestação PRD.</t>
  </si>
  <si>
    <t>TR 230/69 kV PIRAPAMA II TR2 PE</t>
  </si>
  <si>
    <t>0003928/2023</t>
  </si>
  <si>
    <t>11470225</t>
  </si>
  <si>
    <t>Substituição de 08 (oito) Radiadores do Transformador de Potência 230 kV posição operacional 04T3 da Subestação PRD.</t>
  </si>
  <si>
    <t>TR 230/69 kV PIRAPAMA II TR3 PE</t>
  </si>
  <si>
    <t>0003929/2023</t>
  </si>
  <si>
    <t>12588892</t>
  </si>
  <si>
    <t>Substituição de 01 (um) Sistema de Monitoramento de Temperatura do Transformador de Potência 230 kV posição operacional 04T4 da Subestação PRD.</t>
  </si>
  <si>
    <t>0003930/2023</t>
  </si>
  <si>
    <t>12588893</t>
  </si>
  <si>
    <t>Substituição de 03 (três) Trocadores de calor do Transformador de Força 230kV de posição operacional 04T3 da Subestação RIB</t>
  </si>
  <si>
    <t>TR 230/69 kV RIBEIRAO TR3 PE</t>
  </si>
  <si>
    <t>0003931/2023</t>
  </si>
  <si>
    <t>12588895</t>
  </si>
  <si>
    <t>Substituição de 01 (um) Sistema de Monitoramento de Temperatura do Transformador de Potência 230 kV posição operacional 04T3 da Subestação RIB.</t>
  </si>
  <si>
    <t>0003932/2023</t>
  </si>
  <si>
    <t>12588897</t>
  </si>
  <si>
    <t>Substituição de 18 (dezoito) Radiadores do Transformador de Potência 500 kV posição operacional 05T4 fase A da Subestação RCD.</t>
  </si>
  <si>
    <t>0003933/2023</t>
  </si>
  <si>
    <t>12588898</t>
  </si>
  <si>
    <t>Substituição de 04 (quatro) Trocadores de calor do Transformador de Força 500kV de posição operacional 05T4.B da Subestação RCD</t>
  </si>
  <si>
    <t>0003934/2023</t>
  </si>
  <si>
    <t>12588899</t>
  </si>
  <si>
    <t>Substituição de 01 (um) Trocador de calor do Transformador de Força 230kV de posição operacional 04T3 da Subestação SUT</t>
  </si>
  <si>
    <t>TR 230/69 kV SUAPE III TR3 PE</t>
  </si>
  <si>
    <t>0003935/2023</t>
  </si>
  <si>
    <t>12588908</t>
  </si>
  <si>
    <t>Substituição de 01 (um) Sistema de Monitoramento de Temperatura do Transformador de Potência 500 kV posição operacional 05T1 fase A da Subestação SUD.</t>
  </si>
  <si>
    <t>TR 500/230 kV SUAPE II TR1 PE</t>
  </si>
  <si>
    <t>0003936/2023</t>
  </si>
  <si>
    <t>12588909</t>
  </si>
  <si>
    <t>Substituição de 01 (um) Sistema de Monitoramento de Temperatura do Transformador de Potência 500 kV posição operacional 05T2 fase A da Subestação SUD.</t>
  </si>
  <si>
    <t>TR 500/230 kV SUAPE II TR2 PE</t>
  </si>
  <si>
    <t>0003937/2023</t>
  </si>
  <si>
    <t>12588910</t>
  </si>
  <si>
    <t>Substituição de 01 (um) Trocador de calor do Transformador de Força 500kV de posição operacional 05T1.B da Subestação SUD</t>
  </si>
  <si>
    <t>0003938/2023</t>
  </si>
  <si>
    <t>12588911</t>
  </si>
  <si>
    <t>Substituição de 01 (um) Trocador de calor do Transformador de Força 230kV de posição operacional 04T1 da Subestação JRM</t>
  </si>
  <si>
    <t>TR 230/69 kV JOAIRAM TR1 PE</t>
  </si>
  <si>
    <t>0003939/2023</t>
  </si>
  <si>
    <t>12591016</t>
  </si>
  <si>
    <t>Substituição de 01 (um) Sistema de Monitoramento de Temperatura do Transformador de Potência 230 kV posição operacional 04T3 da Subestação JRM.</t>
  </si>
  <si>
    <t>TR 230/69 kV JOAIRAM TR3 PE</t>
  </si>
  <si>
    <t>0003940/2023</t>
  </si>
  <si>
    <t>12588912</t>
  </si>
  <si>
    <t>Substituição de 01 (um) Sistema de Monitoramento de Temperatura do Reator 230 kV posição operacional 04E1 fase B da Subestação NTD.</t>
  </si>
  <si>
    <t>RTB 230 kV 30 MVAr NATAL II RT1 RN</t>
  </si>
  <si>
    <t>0003941/2023</t>
  </si>
  <si>
    <t>12588913</t>
  </si>
  <si>
    <t>Substituição de 01 (um) Sistema de Monitoramento de Reator 500 kV posição operacional 05E6 fase B da Subestação SOB.</t>
  </si>
  <si>
    <t>0003942/2023</t>
  </si>
  <si>
    <t>12588914</t>
  </si>
  <si>
    <t>Substituição de 01 (um) Sistema de Monitoramento de Temperatura do Transformador de Aterramento 69 kV posição operacional 02A2 da Subestação BJS.</t>
  </si>
  <si>
    <t>MC 69 kV TT 69/0 kV B.JESUS LAPA TA2 BA (32A2)</t>
  </si>
  <si>
    <t>0003944/2023</t>
  </si>
  <si>
    <t>12588916</t>
  </si>
  <si>
    <t>IGAPORA II</t>
  </si>
  <si>
    <t>Substituição de 01 (um) Sistema de Monitoramento de Temperatura do Transformador de Potência 230 kV posição operacional 04T3 da Subestação IGD.</t>
  </si>
  <si>
    <t>TR 230/69 kV IGAPORA II TR3 BA</t>
  </si>
  <si>
    <t>0003945/2023</t>
  </si>
  <si>
    <t>12588917</t>
  </si>
  <si>
    <t>Substituição de 01 (um) Trocador de calor do Transformador de Força 230kV de posição operacional 04T4 da Subestação JDM</t>
  </si>
  <si>
    <t>0003948/2023</t>
  </si>
  <si>
    <t>12589650</t>
  </si>
  <si>
    <t>Substituição de 01 (um) Sistema de Monitoramento de Temperatura do Transformador de Potência 230 kV posição operacional 04T4 da Subestação JDM.</t>
  </si>
  <si>
    <t>0003949/2023</t>
  </si>
  <si>
    <t>12589661</t>
  </si>
  <si>
    <t>Substituição de 01 (um) Trocador de calor do Transformador de Força 230kV de posição operacional 04T3 da Subestação JDM</t>
  </si>
  <si>
    <t>TR 230/69 kV JARDIM TR3 SE</t>
  </si>
  <si>
    <t>0003950/2023</t>
  </si>
  <si>
    <t>12588920</t>
  </si>
  <si>
    <t>Substituição de 05 (cinco) Radiadores do Transformador de Potência 230 kV posição operacional 04T1 da Subestação JDM.</t>
  </si>
  <si>
    <t>TR 230/69 kV JARDIM TR1 SE</t>
  </si>
  <si>
    <t>0003951/2023</t>
  </si>
  <si>
    <t>12588921</t>
  </si>
  <si>
    <t>Substituição de 01 (um) Radiador do Transformador de Potência 500 kV posição operacional 05T7 fase A da Subestação JDM.</t>
  </si>
  <si>
    <t>0003952/2023</t>
  </si>
  <si>
    <t>12588922</t>
  </si>
  <si>
    <t>Substituição de 01 (um) Radiador do Transformador de Potência 500 kV posição operacional 05T7 fase B da Subestação JDM.</t>
  </si>
  <si>
    <t>0003953/2023</t>
  </si>
  <si>
    <t>12588923</t>
  </si>
  <si>
    <t>Substituição de 01 (um) Radiador do Transformador de Potência 500 kV posição operacional 05T7 fase C da Subestação JDM.</t>
  </si>
  <si>
    <t>0003954/2023</t>
  </si>
  <si>
    <t>12588924</t>
  </si>
  <si>
    <t>Substituição de 01 (um) Radiador do Transformador de Potência 500 kV posição operacional 05T8 fase A da Subestação JDM.</t>
  </si>
  <si>
    <t>TR 500/230 kV JARDIM TR8 SE</t>
  </si>
  <si>
    <t>0003955/2023</t>
  </si>
  <si>
    <t>12588925</t>
  </si>
  <si>
    <t>Substituição de 01 (um) Radiador do Transformador de Potência 500 kV posição operacional 05T8 fase B da Subestação JDM.</t>
  </si>
  <si>
    <t>0003956/2023</t>
  </si>
  <si>
    <t>12588926</t>
  </si>
  <si>
    <t>Substituição de 01 (um) Radiador do Transformador de Potência 500 kV posição operacional 05T8 fase C da Subestação JDM.</t>
  </si>
  <si>
    <t>0003957/2023</t>
  </si>
  <si>
    <t>12588927</t>
  </si>
  <si>
    <t>Substituição de 01 (um) Sistema de Monitoramento de Temperatura do Transformador de Potência 500 kV posição operacional 05T8 fase C da Subestação JDM.</t>
  </si>
  <si>
    <t>0003958/2023</t>
  </si>
  <si>
    <t>12588928</t>
  </si>
  <si>
    <t>Substituição de 09 (nove) Radiadores do Transformador de Potência 230 kV posição operacional 04T2 da Subestação ITH.</t>
  </si>
  <si>
    <t>TR 230/69 kV ITABAIANINHA TR2 SE</t>
  </si>
  <si>
    <t>0003959/2023</t>
  </si>
  <si>
    <t>12588929</t>
  </si>
  <si>
    <t>Substituição de 01 (um) Trocador de calor do Transformador de Força 230kV de posição operacional 04T1 da Subestação NSC</t>
  </si>
  <si>
    <t>TR 230/69 kV N.S.SOCORRO TR1 SE</t>
  </si>
  <si>
    <t>0003960/2023</t>
  </si>
  <si>
    <t>12588930</t>
  </si>
  <si>
    <t>Substituição de 01 (um) Trocador de calor do Transformador de Força 230kV de posição operacional 04T2 da Subestação NSC</t>
  </si>
  <si>
    <t>TR 230/69 kV N.S.SOCORRO TR2 SE</t>
  </si>
  <si>
    <t>0003961/2023</t>
  </si>
  <si>
    <t>12588931</t>
  </si>
  <si>
    <t>Substituição de 01 (um) Sistema de Monitoramento de Temperatura do Transformador de Potência 230 kV posição operacional 04T1 da Subestação OLD.</t>
  </si>
  <si>
    <t>TR 230/13,8 kV OLINDINA TR1 BA</t>
  </si>
  <si>
    <t>0003962/2023</t>
  </si>
  <si>
    <t>12588932</t>
  </si>
  <si>
    <t>Substituição de 01 (um) Sistema de Monitoramento de Temperatura do Transformador de Potência 230 kV posição operacional 04TR da Subestação OLD.</t>
  </si>
  <si>
    <t>TR 230/69 kV OLINDINA TRRX BA</t>
  </si>
  <si>
    <t>0003963/2023</t>
  </si>
  <si>
    <t>12588933</t>
  </si>
  <si>
    <t>Substituição de 06 (seis) Radiadores do Transformador de Potência 230 kV posição operacional 04TR da Subestação OLD.</t>
  </si>
  <si>
    <t>0003964/2023</t>
  </si>
  <si>
    <t>12588934</t>
  </si>
  <si>
    <t>Substituição de 01 (um) Sistema de Monitoramento do Reator 230 kV posição operacional 04E2 fase A da Subestação FNL.</t>
  </si>
  <si>
    <t>0003965/2023</t>
  </si>
  <si>
    <t>12588935</t>
  </si>
  <si>
    <t>Substituição de 01 (um) Sistema de Monitoramento do Reator 230 kV posição operacional 04E1 fase A da Subestação ENP.</t>
  </si>
  <si>
    <t>LT 230 kV ITAPEBI /EUNAPOLIS C-1 BA</t>
  </si>
  <si>
    <t>0003966/2023</t>
  </si>
  <si>
    <t>12588936</t>
  </si>
  <si>
    <t>Substituição de 05 (cinco) Radiadores do Transformador de Potência 230 kV posição operacional 04T1 da Subestação FNL.</t>
  </si>
  <si>
    <t>0003967/2023</t>
  </si>
  <si>
    <t>12588937</t>
  </si>
  <si>
    <t>Substituição de 05 (cinco) Radiadores do Transformador de Potência 230 kV posição operacional 04T6 da Subestação FNL.</t>
  </si>
  <si>
    <t>0003968/2023</t>
  </si>
  <si>
    <t>12588938</t>
  </si>
  <si>
    <t>Substituição de 02 (dois) Radiadores do Transformador de Potência 230 kV posição operacional 04T2 da Subestação FNL.</t>
  </si>
  <si>
    <t>TR 230/138 kV FUNIL TR2 BA</t>
  </si>
  <si>
    <t>0003969/2023</t>
  </si>
  <si>
    <t>12588939</t>
  </si>
  <si>
    <t>Substituição de 01 (um) Trocador de calor do Transformador de Força 230kV de posição operacional 04T2 da Subestação MTT</t>
  </si>
  <si>
    <t>TR 230/69 kV MATATU TR2 BA</t>
  </si>
  <si>
    <t>0003970/2023</t>
  </si>
  <si>
    <t>12588942</t>
  </si>
  <si>
    <t>Substituição de 06 (seis) Radiadores do Transformador de Potência 230 kV posição operacional 04T4 fase C da Subestação PTU.</t>
  </si>
  <si>
    <t>0003971/2023</t>
  </si>
  <si>
    <t>12592968</t>
  </si>
  <si>
    <t>Substituição de 16 (dezesseis) Trocadores de calor do Transformador de Força 230kV de posição operacional 04T3 da Subestação PTU</t>
  </si>
  <si>
    <t>TR 230/69 kV PITUACU TR3 BA</t>
  </si>
  <si>
    <t>0003972/2023</t>
  </si>
  <si>
    <t>12588943</t>
  </si>
  <si>
    <t>Substituição de 02 (dois) Radiadores do Transformador de Potência 230 kV posição operacional 04T1 da Subestação STJ.</t>
  </si>
  <si>
    <t>TR 230/69 kV STO.A.JESUS TR1 BA</t>
  </si>
  <si>
    <t>0003973/2023</t>
  </si>
  <si>
    <t>12588944</t>
  </si>
  <si>
    <t>Substituição de 01 (um) Trocador de calor do Transformador de Força 230kV de posição operacional 04T2 da Subestação STJ</t>
  </si>
  <si>
    <t>TR 230/69 kV STO.A.JESUS TR2 BA</t>
  </si>
  <si>
    <t>0003974/2023</t>
  </si>
  <si>
    <t>12588945</t>
  </si>
  <si>
    <t>Substituição de 01 (um) Trocador de calor do Transformador de Força 230kV de posição operacional 04T3 da Subestação STJ</t>
  </si>
  <si>
    <t>0003976/2023</t>
  </si>
  <si>
    <t>12588946</t>
  </si>
  <si>
    <t>Substituição de 01 (um) Trocador de calor do Transformador de Força 230kV de posição operacional 04T2 da Subestação CTG</t>
  </si>
  <si>
    <t>TR 230/69 kV COTEGIPE TR2 BA</t>
  </si>
  <si>
    <t>0003977/2023</t>
  </si>
  <si>
    <t>12588947</t>
  </si>
  <si>
    <t>Substituição de 01 (um) Trocador de calor do Transformador de Força 230kV de posição operacional 04T4 da Subestação CTG</t>
  </si>
  <si>
    <t>TR 230/69 kV COTEGIPE TR4 BA</t>
  </si>
  <si>
    <t>0003978/2023</t>
  </si>
  <si>
    <t>12588948</t>
  </si>
  <si>
    <t>Substituição de 05 (cinco) Trocadores de calor do Transformador de Força 230kV de posição operacional 04T2 da Subestação PTU</t>
  </si>
  <si>
    <t>TR 230/69 kV PITUACU TR2 BA</t>
  </si>
  <si>
    <t>0003979/2023</t>
  </si>
  <si>
    <t>12591018</t>
  </si>
  <si>
    <t>Substituição de 01 (um) Trocador de calor do Transformador de Força 230kV de posição operacional 04T2 da Subestação JRM</t>
  </si>
  <si>
    <t>TR 230/69 kV JOAIRAM TR2 PE</t>
  </si>
  <si>
    <t>0003980/2023</t>
  </si>
  <si>
    <t>12591017</t>
  </si>
  <si>
    <t>Substituição de 25 km de cabo para-raios convencional por cabo OPGW com 24 fibras, em toda a extensão da LT 500 kV PECEM II /FORTALEZA II C-1 CE (05C2), associado à teleproteção principal.</t>
  </si>
  <si>
    <t>0003983/2023</t>
  </si>
  <si>
    <t>11690685</t>
  </si>
  <si>
    <t>USINA XINGO*</t>
  </si>
  <si>
    <t>Substituição de 01 (um) PR 500 kV posição operacional 75T4 fase A da Subestação UXG.</t>
  </si>
  <si>
    <t>MDL GERACAO EQUIVALENTE A MG EM USINA XINGO (UXG)</t>
  </si>
  <si>
    <t>0003998/2023</t>
  </si>
  <si>
    <t>Substituição de 01 (um) PR 500 kV posição operacional 75T4 fase B da Subestação UXG.</t>
  </si>
  <si>
    <t>0003999/2023</t>
  </si>
  <si>
    <t>Substituição de 01 (um) PR 500 kV posição operacional 75T4 fase C da Subestação UXG.</t>
  </si>
  <si>
    <t>0004000/2023</t>
  </si>
  <si>
    <t>Substituição de 01 (um) PR 500 kV posição operacional 75T6 fase A da Subestação UXG.</t>
  </si>
  <si>
    <t>0004004/2023</t>
  </si>
  <si>
    <t>Substituição de 01 (um) PR 500 kV posição operacional 75T6 fase B da Subestação UXG.</t>
  </si>
  <si>
    <t>0004005/2023</t>
  </si>
  <si>
    <t>Substituição de 01 (um) PR 500 kV posição operacional 75T6 fase C da Subestação UXG.</t>
  </si>
  <si>
    <t>0004006/2023</t>
  </si>
  <si>
    <t>Substituição do SISTEMA DE PROTEÇÃO, MEDIÇÃO E AUTOMAÇÃO do transformador 04T3 da SE Banabuiú, composto por: 02 painéis, 02 relés digitais, 02 unidades de controle, 01 registrador digital de perturbação e cabos de controle associados.</t>
  </si>
  <si>
    <t>TR 230/69 kV BANABUIU TR3 CE</t>
  </si>
  <si>
    <t>0004009/2023</t>
  </si>
  <si>
    <t>11351182</t>
  </si>
  <si>
    <t>Substituição do SISTEMA DE PROTEÇÃO, MEDIÇÃO E AUTOMAÇÃO do trafo 04T1 da SE Banabuiú, composto por: 02 painéis, 02 relés digitais, 02 unidades de controle, 01 registrador digital de perturbação e cabos de controle associados.</t>
  </si>
  <si>
    <t>TR 230/69 kV BANABUIU TR1 CE</t>
  </si>
  <si>
    <t>0004010/2023</t>
  </si>
  <si>
    <t>11351188</t>
  </si>
  <si>
    <t>Substituição de 01 (um) Conjunto de Resistores de Pré-Inserção posição operacional 15L1 da Subestação CID.</t>
  </si>
  <si>
    <t>LT 500 kV JOAO CAMARA III /CEARA MIRIM II C-1 RN</t>
  </si>
  <si>
    <t>0004019/2023</t>
  </si>
  <si>
    <t>12593159</t>
  </si>
  <si>
    <t>Substituição de 1 (um) Sistema de Selagem do Transformador de Potência 500 kV posição operacional 05T1 fase B da Subestação ICA.</t>
  </si>
  <si>
    <t>TR 500/230 kV IBICOARA TR1 BA</t>
  </si>
  <si>
    <t>0004025/2023</t>
  </si>
  <si>
    <t>12437589</t>
  </si>
  <si>
    <t>Substituição de 01 (um) Sistema de Selagem do Transformador de Potência 69 kV posição operacional 02T5 da Subestação NTD.</t>
  </si>
  <si>
    <t>0004026/2023</t>
  </si>
  <si>
    <t>12437484</t>
  </si>
  <si>
    <t>Substituição de 01 (um) Sistema de Selagem do Transformador de Potência 69 kV posição operacional 02T6 da Subestação NTD.</t>
  </si>
  <si>
    <t>0004027/2023</t>
  </si>
  <si>
    <t>12437486</t>
  </si>
  <si>
    <t>Substituição de 01 (um) Sistema de Selagem do Transformador de Potência 69 kV posição operacional 02T7 da Subestação NTD.</t>
  </si>
  <si>
    <t>0004028/2023</t>
  </si>
  <si>
    <t>12437488</t>
  </si>
  <si>
    <t>Substituição de 01 (um) Sistema de Selagem do Transformador de Potência 69 kV posição operacional 02TR fase M da Subestação NTD.</t>
  </si>
  <si>
    <t>TR 69/3,3 kV NATAL II TRRX RN (02TR)</t>
  </si>
  <si>
    <t>0004029/2023</t>
  </si>
  <si>
    <t>12437490</t>
  </si>
  <si>
    <t>Substituição de 01 (um) Sistema de Selagem do Transformador de Potência 230 kV posição operacional 04T1 da Subestação NTD.</t>
  </si>
  <si>
    <t>0004030/2023</t>
  </si>
  <si>
    <t>12437491</t>
  </si>
  <si>
    <t>Substituição de 01 (um) Sistema de Selagem do Transformador de Potência 230 kV posição operacional 04T2 da Subestação NTD.</t>
  </si>
  <si>
    <t>0004031/2023</t>
  </si>
  <si>
    <t>12437494</t>
  </si>
  <si>
    <t>Substituição de 01 (um) Sistema de Selagem do Transformador de Potência 230 kV posição operacional 04T3 da Subestação NTD.</t>
  </si>
  <si>
    <t>0004032/2023</t>
  </si>
  <si>
    <t>12437496</t>
  </si>
  <si>
    <t>Substituição de 01 (um) Sistema de Selagem do Transformador de Potência 230 kV posição operacional 04T3 da Subestação PEN.</t>
  </si>
  <si>
    <t>TR 230/69 kV PENEDO TR3 AL</t>
  </si>
  <si>
    <t>0004033/2023</t>
  </si>
  <si>
    <t>12437499</t>
  </si>
  <si>
    <t>Substituição de 01 (um) Sistema de Selagem do Transformador de Potência 230 kV posição operacional 04T2 da Subestação RLD.</t>
  </si>
  <si>
    <t>TR 230/69 kV RIO LARGO II TR5 AL</t>
  </si>
  <si>
    <t>0004034/2023</t>
  </si>
  <si>
    <t>12437500</t>
  </si>
  <si>
    <t>Substituição de 01 (um) Sistema de Selagem do Transformador de Potência 230 kV posição operacional 04T3 da Subestação TAC.</t>
  </si>
  <si>
    <t>TR 230/69 kV TACAIMBO TR3 PE</t>
  </si>
  <si>
    <t>0004035/2023</t>
  </si>
  <si>
    <t>12437501</t>
  </si>
  <si>
    <t>Substituição de 01 (um) Sistema de Selagem do Transformador de Potência 69 kV posição operacional 02T4 fase A da Subestação AGL.</t>
  </si>
  <si>
    <t>TR 69/13,8 kV ANGELIM TR4A PE</t>
  </si>
  <si>
    <t>0004036/2023</t>
  </si>
  <si>
    <t>12437502</t>
  </si>
  <si>
    <t>Substituição de 01 (um) Sistema de Selagem do Transformador de Potência 69 kV posição operacional 02T4 fase B da Subestação AGL.</t>
  </si>
  <si>
    <t>0004037/2023</t>
  </si>
  <si>
    <t>12437503</t>
  </si>
  <si>
    <t>Substituição de 01 (um) Sistema de Selagem do Transformador de Potência 500 kV posição operacional 05T1 fase A da Subestação RCD.</t>
  </si>
  <si>
    <t>TR 500/230 kV RECIFE II TR1 PE</t>
  </si>
  <si>
    <t>0004038/2023</t>
  </si>
  <si>
    <t>12437505</t>
  </si>
  <si>
    <t>Substituição de 01 (um) Sistema de Selagem do Transformador de Potência 500 kV posição operacional 05T2 fase A da Subestação RCD.</t>
  </si>
  <si>
    <t>TR 500/230 kV RECIFE II TR2 PE</t>
  </si>
  <si>
    <t>0004039/2023</t>
  </si>
  <si>
    <t>12437506</t>
  </si>
  <si>
    <t>Substituição de 01 (um) Sistema de Selagem do Transformador de Potência 500 kV posição operacional 05T3 fase A da Subestação RCD.</t>
  </si>
  <si>
    <t>0004040/2023</t>
  </si>
  <si>
    <t>12437507</t>
  </si>
  <si>
    <t>Substituição de 01 (um) Sistema de Selagem do Transformador de Potência 230 kV posição operacional 04T1 da Subestação IRE.</t>
  </si>
  <si>
    <t>0004041/2023</t>
  </si>
  <si>
    <t>12437526</t>
  </si>
  <si>
    <t>Substituição de 01 (um) Sistema de Selagem do Transformador de Potência 230 kV posição operacional 04T2 da Subestação SNB.</t>
  </si>
  <si>
    <t>TR 230/138 kV SR.BONFIM II TR3 BA</t>
  </si>
  <si>
    <t>0004042/2023</t>
  </si>
  <si>
    <t>12437527</t>
  </si>
  <si>
    <t>Substituição de 01 (um) Sistema de Selagem do Transformador de Potência 230 kV posição operacional 04T4 da Subestação JZD.</t>
  </si>
  <si>
    <t>TR 230/69 kV JUAZEIRO II TR4 BA</t>
  </si>
  <si>
    <t>0004043/2023</t>
  </si>
  <si>
    <t>12437528</t>
  </si>
  <si>
    <t>Substituição de 01 (um) Sistema de Selagem do Transformador de Potência 500 kV posição operacional 05T7 fase A da Subestação PAQ.</t>
  </si>
  <si>
    <t>0004044/2023</t>
  </si>
  <si>
    <t>12437538</t>
  </si>
  <si>
    <t>Substituição de 01 (um) Sistema de Selagem do Transformador de Potência 500 kV posição operacional 05T7 fase B da Subestação PAQ.</t>
  </si>
  <si>
    <t>0004045/2023</t>
  </si>
  <si>
    <t>12437539</t>
  </si>
  <si>
    <t>Substituição de 01 (um) Sistema de Selagem do Transformador de Potência 500 kV posição operacional 05T7 fase C da Subestação PAQ.</t>
  </si>
  <si>
    <t>0004046/2023</t>
  </si>
  <si>
    <t>12437540</t>
  </si>
  <si>
    <t>Substituição de 01 (um) Sistema de Selagem do Transformador de Potência 500 kV posição operacional 05T8 fase A da Subestação PAQ.</t>
  </si>
  <si>
    <t>0004047/2023</t>
  </si>
  <si>
    <t>12437541</t>
  </si>
  <si>
    <t>Substituição de 01 (um) Sistema de Selagem do Transformador de Potência 500 kV posição operacional 05T8 fase B da Subestação PAQ.</t>
  </si>
  <si>
    <t>0004048/2023</t>
  </si>
  <si>
    <t>12437542</t>
  </si>
  <si>
    <t>Substituição de 01 (um) Sistema de Selagem do Transformador de Potência 500 kV posição operacional 05T8 fase C da Subestação PAQ.</t>
  </si>
  <si>
    <t>0004049/2023</t>
  </si>
  <si>
    <t>12437543</t>
  </si>
  <si>
    <t>Substituição de 01 (um) Sistema de Selagem do Transformador de Potência 500 kV posição operacional 05TR fase M da Subestação PAQ.</t>
  </si>
  <si>
    <t>0004050/2023</t>
  </si>
  <si>
    <t>12437544</t>
  </si>
  <si>
    <t>Substituição de 01 (um) Sistema de Selagem do Transformador de Potência 230 kV posição operacional 04T4 da Subestação BNO.</t>
  </si>
  <si>
    <t>0004051/2023</t>
  </si>
  <si>
    <t>12437552</t>
  </si>
  <si>
    <t>Substituição de 01 (um) Sistema de Selagem do Transformador de Potência 230 kV posição operacional 04T5 da Subestação BNO.</t>
  </si>
  <si>
    <t>0004052/2023</t>
  </si>
  <si>
    <t>12437553</t>
  </si>
  <si>
    <t>Substituição de 01 (um) Sistema de Selagem do Transformador de Potência 230 kV posição operacional 04T6 da Subestação BNO.</t>
  </si>
  <si>
    <t>0004053/2023</t>
  </si>
  <si>
    <t>12437554</t>
  </si>
  <si>
    <t>Substituição de 01 (um) Sistema de Selagem do Transformador de Potência 230 kV posição operacional 04T2 da Subestação ABX.</t>
  </si>
  <si>
    <t>0004054/2023</t>
  </si>
  <si>
    <t>12437556</t>
  </si>
  <si>
    <t>Substituição de 01 (um) Sistema de Selagem do Transformador de Potência 230 kV posição operacional 04T1 da Subestação ZBD.</t>
  </si>
  <si>
    <t>TR 230/69 kV ZEBU TR1 BA</t>
  </si>
  <si>
    <t>0004055/2023</t>
  </si>
  <si>
    <t>12437557</t>
  </si>
  <si>
    <t>Substituição de 01 (um) Sistema de Selagem do Transformador de Potência 230 kV posição operacional 04T2 da Subestação ZBD.</t>
  </si>
  <si>
    <t>TR 230/69 kV ZEBU TR2 BA</t>
  </si>
  <si>
    <t>0004056/2023</t>
  </si>
  <si>
    <t>12437558</t>
  </si>
  <si>
    <t>Substituição de 01 (um) Sistema de Selagem do Transformador de Potência 230 kV posição operacional 04T2 da Subestação CCD.</t>
  </si>
  <si>
    <t>0004057/2023</t>
  </si>
  <si>
    <t>12437559</t>
  </si>
  <si>
    <t>Substituição de 01 (um) Sistema de Selagem do Transformador de Potência 230 kV posição operacional 04T3 da Subestação CCD.</t>
  </si>
  <si>
    <t>TR 230/69 kV CIC. DANTAS TR3 BA</t>
  </si>
  <si>
    <t>0004058/2023</t>
  </si>
  <si>
    <t>12437560</t>
  </si>
  <si>
    <t>Substituição de 01 (um) Sistema de Selagem do Transformador de Potência 230 kV posição operacional 04T4 da Subestação CCD.</t>
  </si>
  <si>
    <t>TR 230/69 kV CIC. DANTAS TR4 BA</t>
  </si>
  <si>
    <t>0004059/2023</t>
  </si>
  <si>
    <t>12437561</t>
  </si>
  <si>
    <t>Substituição de 01 (um) Sistema de Selagem do Transformador de Potência 500 kV posição operacional 05T1 fase A da Subestação CMD.</t>
  </si>
  <si>
    <t>0004060/2023</t>
  </si>
  <si>
    <t>12437567</t>
  </si>
  <si>
    <t>Substituição de 01 (um) Sistema de Selagem do Transformador de Potência 500 kV posição operacional 05T1 fase B da Subestação CMD.</t>
  </si>
  <si>
    <t>0004061/2023</t>
  </si>
  <si>
    <t>12437568</t>
  </si>
  <si>
    <t>Substituição de 01 (um) Sistema de Selagem do Transformador de Potência 500 kV posição operacional 05T1 fase C da Subestação CMD.</t>
  </si>
  <si>
    <t>0004062/2023</t>
  </si>
  <si>
    <t>12437569</t>
  </si>
  <si>
    <t>Substituição de 01 (um) Sistema de Selagem do Transformador de Potência 500 kV posição operacional 05TR fase M da Subestação CMD.</t>
  </si>
  <si>
    <t>0004063/2023</t>
  </si>
  <si>
    <t>12437578</t>
  </si>
  <si>
    <t>Substituição de 01 (um) Sistema de Selagem do Transformador de Potência 500 kV posição operacional 05T2 fase A da Subestação CMD.</t>
  </si>
  <si>
    <t>TR 500/230 kV CAMACARI II TR2 BA</t>
  </si>
  <si>
    <t>0004064/2023</t>
  </si>
  <si>
    <t>12437570</t>
  </si>
  <si>
    <t>Substituição de 01 (um) Sistema de Selagem do Transformador de Potência 500 kV posição operacional 05T2 fase B da Subestação CMD.</t>
  </si>
  <si>
    <t>0004065/2023</t>
  </si>
  <si>
    <t>12437571</t>
  </si>
  <si>
    <t>Substituição de 01 (um) Sistema de Selagem do Transformador de Potência 500 kV posição operacional 05T2 fase C da Subestação CMD.</t>
  </si>
  <si>
    <t>0004066/2023</t>
  </si>
  <si>
    <t>12437572</t>
  </si>
  <si>
    <t>Substituição de 01 (um) Sistema de Selagem do Transformador de Potência 500 kV posição operacional 05T3 fase A da Subestação CMD.</t>
  </si>
  <si>
    <t>TR 500/230 kV CAMACARI II TR3 BA</t>
  </si>
  <si>
    <t>0004067/2023</t>
  </si>
  <si>
    <t>12437573</t>
  </si>
  <si>
    <t>Substituição de 01 (um) Sistema de Selagem do Transformador de Potência 500 kV posição operacional 05T3 fase B da Subestação CMD.</t>
  </si>
  <si>
    <t>0004068/2023</t>
  </si>
  <si>
    <t>12437574</t>
  </si>
  <si>
    <t>Substituição de 01 (um) Sistema de Selagem do Transformador de Potência 500 kV posição operacional 05T4 fase A da Subestação CMD.</t>
  </si>
  <si>
    <t>TR 500/230 kV CAMACARI II TR4 BA</t>
  </si>
  <si>
    <t>0004069/2023</t>
  </si>
  <si>
    <t>12437575</t>
  </si>
  <si>
    <t>Substituição de 01 (um) Sistema de Selagem do Transformador de Potência 500 kV posição operacional 05T4 fase B da Subestação CMD.</t>
  </si>
  <si>
    <t>0004070/2023</t>
  </si>
  <si>
    <t>12437576</t>
  </si>
  <si>
    <t>Substituição de 01 (um) Sistema de Selagem do Transformador de Potência 500 kV posição operacional 05T4 fase C da Subestação CMD.</t>
  </si>
  <si>
    <t>0004071/2023</t>
  </si>
  <si>
    <t>12437577</t>
  </si>
  <si>
    <t>Substituição de 01 (um) Sistema de Selagem do Transformador de Potência 230 kV posição operacional 04T1 da Subestação CTU.</t>
  </si>
  <si>
    <t>0004072/2023</t>
  </si>
  <si>
    <t>12437580</t>
  </si>
  <si>
    <t>Substituição de 01 (um) Sistema de Selagem do Transformador de Potência 230 kV posição operacional 04T2 da Subestação CTU.</t>
  </si>
  <si>
    <t>0004073/2023</t>
  </si>
  <si>
    <t>12437581</t>
  </si>
  <si>
    <t>Substituição de 01 (um) Sistema de Selagem do Transformador de Potência 230 kV posição operacional 04T3 da Subestação CTU.</t>
  </si>
  <si>
    <t>0004074/2023</t>
  </si>
  <si>
    <t>12437582</t>
  </si>
  <si>
    <t>Substituição de 01 (um) Sistema de Selagem do Transformador de Potência 230 kV posição operacional 04T2 da Subestação ENP.</t>
  </si>
  <si>
    <t>TR 230/138 kV EUNAPOLIS TR2 BA</t>
  </si>
  <si>
    <t>0004075/2023</t>
  </si>
  <si>
    <t>12437585</t>
  </si>
  <si>
    <t>Substituição de 01 (um) Sistema de Selagem do Transformador de Potência 230 kV posição operacional 04T3 da Subestação ICA.</t>
  </si>
  <si>
    <t>TR 230/138 kV IBICOARA TR2 BA</t>
  </si>
  <si>
    <t>0004076/2023</t>
  </si>
  <si>
    <t>12437587</t>
  </si>
  <si>
    <t>Substituição de 01 (um) Sistema de Selagem do Transformador de Potência 230 kV posição operacional 04T4 da Subestação ICA.</t>
  </si>
  <si>
    <t>TR 230/138 kV IBICOARA TR3 BA</t>
  </si>
  <si>
    <t>0004077/2023</t>
  </si>
  <si>
    <t>12437588</t>
  </si>
  <si>
    <t>Substituição de 01 (um) Sistema de Selagem do Transformador de Potência 230 kV posição operacional 04T4 da Subestação CTG.</t>
  </si>
  <si>
    <t>0004078/2023</t>
  </si>
  <si>
    <t>12437601</t>
  </si>
  <si>
    <t>Substituição de 01 (um) Sistema de Selagem do Transformador de Potência 230 kV posição operacional 04T2 da Subestação MTT.</t>
  </si>
  <si>
    <t>0004079/2023</t>
  </si>
  <si>
    <t>12437603</t>
  </si>
  <si>
    <t>Substituição do SPCS associado ao disjuntor de transferência 14D1 na subestação DELM. GOUVEIA, por um novo sistema, composto por: 01 painel, 01 unidade de controle e 01 unidade de proteção, 01 falha de disjuntor e cabos de controle associados.</t>
  </si>
  <si>
    <t>0004083/2023</t>
  </si>
  <si>
    <t>11350774</t>
  </si>
  <si>
    <t>B. ESPERANCA</t>
  </si>
  <si>
    <t>Substituição do Sistema de Proteção de 500/230 kV do Trafo 05T1 500/230 kV, na SE B. ESPERANÇA por um novo sistema, composto por: 02 Painéis, 02 Relés de Proteção, 02 Unidades de Controle e 01 Registrador Digital de Perturbação.</t>
  </si>
  <si>
    <t>TR 500/230 kV B. ESPERANCA TR1 PI</t>
  </si>
  <si>
    <t>0004091/2023</t>
  </si>
  <si>
    <t>11355855</t>
  </si>
  <si>
    <t>Substituição do Sistema de Controle e Supervisão do DJ 15D3, 15G3 e seccionadoras associadas na USINA XINGO, composto por: 01 Unidade de Controle.</t>
  </si>
  <si>
    <t>MG USINA XINGO / CCO-2001-061 - RB</t>
  </si>
  <si>
    <t>0004094/2023</t>
  </si>
  <si>
    <t>11354369</t>
  </si>
  <si>
    <t>Substituição do Sistema de Controle e Supervisão do DJ 15D2, 15G2 e seccionadoras associadas na USINA XINGO, composto por: 01 Unidade de Controle.</t>
  </si>
  <si>
    <t>0004096/2023</t>
  </si>
  <si>
    <t>11354367</t>
  </si>
  <si>
    <t>Substituição do Sistema de Controle e Supervisão do DJ 15D5, 15G5, 15V5 e seccionadoras associadas na USINA XINGO, composto por: 01 Unidade de Controle.</t>
  </si>
  <si>
    <t>0004097/2023</t>
  </si>
  <si>
    <t>11354373</t>
  </si>
  <si>
    <t>Substituição do Sistema de Controle e Supervisão do DJ 15D1, 15G1 e seccionadoras associadas na USINA XINGO, composto por: 01 Unidade de Controle.</t>
  </si>
  <si>
    <t>0004098/2023</t>
  </si>
  <si>
    <t>11354365</t>
  </si>
  <si>
    <t>Substituição do Sistema de Controle e Supervisão do DJ 15D6, 15G6, 15V6 e seccionadoras associadas na USINA XINGO, composto por: 01 Unidade de Controle.</t>
  </si>
  <si>
    <t>0004099/2023</t>
  </si>
  <si>
    <t>11354375</t>
  </si>
  <si>
    <t>Substituição do Sistema de Controle e Supervisão do DJ 15D4, 15G4, 15V4 e seccionadoras associadas na USINA XINGO, composto por: 01 Unidade de Controle.</t>
  </si>
  <si>
    <t>0004100/2023</t>
  </si>
  <si>
    <t>11354371</t>
  </si>
  <si>
    <t>Substituição do Sistema de Controle e Supervisão do Serviço Auxiliar na USINA XINGO, composto por: 01 Unidade de Controle.</t>
  </si>
  <si>
    <t>0004101/2023</t>
  </si>
  <si>
    <t>11354363</t>
  </si>
  <si>
    <t>Substituição de 01 (um) conjunto de trocadores de calor água/óleo do Compensador Síncrono posição operacional 01K1 da Subestação CMD.</t>
  </si>
  <si>
    <t>0004102/2023</t>
  </si>
  <si>
    <t>12588837</t>
  </si>
  <si>
    <t>Substituição de 01 (um) conjunto de trocadores de calor água/óleo do Compensador Síncrono posição operacional 01K2 da Subestação CMD.</t>
  </si>
  <si>
    <t>0004103/2023</t>
  </si>
  <si>
    <t>12588838</t>
  </si>
  <si>
    <t>Substituição de 01 (um) Mancal do compensador síncrono posição operacional 01K1 da Subestação IRE.</t>
  </si>
  <si>
    <t>CS 30/-15 MVAr IRECE CS1 BA</t>
  </si>
  <si>
    <t>0004104/2023</t>
  </si>
  <si>
    <t>12588743</t>
  </si>
  <si>
    <t>SUBSTITUIÇÃO DO CUBÍCULO DOS DISJUNTORES 11T3, 11T5, 11T7, 16T3A e 16T3B, 16F1 E CHAVE 31K1-9.</t>
  </si>
  <si>
    <t>0004106/2023</t>
  </si>
  <si>
    <t>12588745</t>
  </si>
  <si>
    <t>Substituição de 01 (um) cubiculo dos TPs do Compensador Síncrono 01K1 da subestação RCD.</t>
  </si>
  <si>
    <t>0004107/2023</t>
  </si>
  <si>
    <t>12588748</t>
  </si>
  <si>
    <t>SUBSTITUIÇÃO DO CUBÍCULO DE ATERRAMENTO DO NEUTRO DO CS 01K1.</t>
  </si>
  <si>
    <t>0004108/2023</t>
  </si>
  <si>
    <t>12588746</t>
  </si>
  <si>
    <t>SUBSTITUIÇÃO DO CUBÍCULO DOS DISJUNTORES 11T4, 11T6, 11T8, 16T3A e 16T3B, 16F2 E CHAVE 31K2-9.</t>
  </si>
  <si>
    <t>0004109/2023</t>
  </si>
  <si>
    <t>12588747</t>
  </si>
  <si>
    <t>SUBSTITUIÇÃO DO CUBÍCULO DE ATERRAMENTO DO NEUTRO DO CS 01K2.</t>
  </si>
  <si>
    <t>0004110/2023</t>
  </si>
  <si>
    <t>12588749</t>
  </si>
  <si>
    <t>SUBSTITUIÇÃO DO TRANSFORMADOR DE SERVIÇO AUXILIAR DE 13,8 kV, POSIÇÃO 01T7 da subestação RCD.</t>
  </si>
  <si>
    <t>0004111/2023</t>
  </si>
  <si>
    <t>11456487</t>
  </si>
  <si>
    <t>SUBSTITUIÇÃO DO TRANSFORMADOR DE SERVIÇO AUXILIAR DE 13,8 kV, POSIÇÃO 01T8 da subestação RCD.</t>
  </si>
  <si>
    <t>0004112/2023</t>
  </si>
  <si>
    <t>11456488</t>
  </si>
  <si>
    <t>Substituição de 01 (um) disjuntor de campo do compensador síncrono posição operacional 72K2 da subestação RCD.</t>
  </si>
  <si>
    <t>0004113/2023</t>
  </si>
  <si>
    <t>12588742</t>
  </si>
  <si>
    <t>Substituição de 12 (doze) TC 13,8 kV do Barramento Blindado do compensador síncrono 01K1 posição operacional TC3, TC4, TC5 e TC6 da Subestação RCD.</t>
  </si>
  <si>
    <t>0004115/2023</t>
  </si>
  <si>
    <t>12588740</t>
  </si>
  <si>
    <t>Substituição de 12 (doze) TC 13,8 kV do Barramento Blindado do compensador síncrono 01K2 posição operacional TC3, TC4, TC5 e TC6 da Subestação RCD.</t>
  </si>
  <si>
    <t>0004116/2023</t>
  </si>
  <si>
    <t>12588741</t>
  </si>
  <si>
    <t>Substituição de 03 (três) TC 13,8 kV de compensador síncrono posição operacional 01K1 fases A, B, C da subestação RCD.</t>
  </si>
  <si>
    <t>0004117/2023</t>
  </si>
  <si>
    <t>12588750</t>
  </si>
  <si>
    <t>Substituição de 03 (três) TC 13,8 kV de compensador síncrono posição operacional 01K2 fases A, B, C da subestação RCD.</t>
  </si>
  <si>
    <t>0004118/2023</t>
  </si>
  <si>
    <t>12588753</t>
  </si>
  <si>
    <t>Substituição de 03 (três) TC do Compensador síncrono 01K1 posição TC7 13,8 kV do cubículo 1.BBA12 fases A, B, C da subestação RCD.</t>
  </si>
  <si>
    <t>0004119/2023</t>
  </si>
  <si>
    <t>12588756</t>
  </si>
  <si>
    <t>Substituição de 03 (três) TC do Compensador síncrono 01K1 posição TC8 13,8 kV do cubículo 1.BBA11 fases A, B, C da subestação RCD.</t>
  </si>
  <si>
    <t>0004120/2023</t>
  </si>
  <si>
    <t>12588759</t>
  </si>
  <si>
    <t>Substituição de 03 (três) TC do Compensador síncrono 01K1 posição TC9 13,8 kV do cubículo 1.BBA1 fases A, B, C da subestação RCD.</t>
  </si>
  <si>
    <t>0004121/2023</t>
  </si>
  <si>
    <t>12588762</t>
  </si>
  <si>
    <t>Substituição de 03 (três) TC do Compensador síncrono 01K1 posição TC10 13,8 kV do cubículo 1.BBA13 fases A, B, C da subestação RCD.</t>
  </si>
  <si>
    <t>0004122/2023</t>
  </si>
  <si>
    <t>12588765</t>
  </si>
  <si>
    <t>Substituição de 03 (três) TC do Compensador síncrono 01K1 posição TC11 13,8 kV do cubículo 1.BAX10 fases A, B, C da subestação RCD.</t>
  </si>
  <si>
    <t>0004123/2023</t>
  </si>
  <si>
    <t>12588768</t>
  </si>
  <si>
    <t>Substituição de 03 (três) TC do Compensador síncrono 01K1 posição TC12 13,8 kV do cubículo 1.BBA12 fases A, B, C da subestação RCD.</t>
  </si>
  <si>
    <t>0004124/2023</t>
  </si>
  <si>
    <t>12588775</t>
  </si>
  <si>
    <t>Substituição de 03 (três) TC do Compensador síncrono 01K1 posição TC13 13,8 kV do cubículo 1.BFT10 fases A, B, C da subestação RCD.</t>
  </si>
  <si>
    <t>0004125/2023</t>
  </si>
  <si>
    <t>12588778</t>
  </si>
  <si>
    <t>Substituição de 03 (três) TC do Compensador síncrono 01K1 posição TC14 13,8 kV do cubículo 1.BBA13 fases A, B, C da subestação RCD.</t>
  </si>
  <si>
    <t>0004126/2023</t>
  </si>
  <si>
    <t>12588781</t>
  </si>
  <si>
    <t>Substituição de 03 (três) TC do Compensador síncrono 01K2 posição TC7 13,8 kV do cubículo 1.BBA12 fases A, B, C da subestação RCD.</t>
  </si>
  <si>
    <t>0004127/2023</t>
  </si>
  <si>
    <t>12588784</t>
  </si>
  <si>
    <t>Substituição de 03 (três) TC do Compensador síncrono 01K2 posição TC8 13,8 kV do cubículo 1.BBA11 fases A, B, C da subestação RCD.</t>
  </si>
  <si>
    <t>0004128/2023</t>
  </si>
  <si>
    <t>12588787</t>
  </si>
  <si>
    <t>Substituição de 03 (três) TC do Compensador síncrono 01K2 posição TC9 13,8 kV do cubículo 1.BBA14 fases A, B, C da subestação RCD.</t>
  </si>
  <si>
    <t>0004129/2023</t>
  </si>
  <si>
    <t>12588790</t>
  </si>
  <si>
    <t>Substituição de 03 (três) TC do Compensador síncrono 01K2 posição TC10 13,8 kV do cubículo 1.BBA13 fases A, B, C da subestação RCD.</t>
  </si>
  <si>
    <t>0004130/2023</t>
  </si>
  <si>
    <t>12588793</t>
  </si>
  <si>
    <t>Substituição de 03 (três) TC do Compensador síncrono 01K2 posição TC11 13,8 kV do cubículo 1.BAX10 fases A, B, C da subestação RCD.</t>
  </si>
  <si>
    <t>0004131/2023</t>
  </si>
  <si>
    <t>12588796</t>
  </si>
  <si>
    <t>Substituição de 03 (três) TC do Compensador síncrono 01K2 posição TC12 13,8 kV do cubículo 1.BBA12 fases A, B, C da subestação RCD.</t>
  </si>
  <si>
    <t>0004132/2023</t>
  </si>
  <si>
    <t>12588799</t>
  </si>
  <si>
    <t>Substituição de 03 (três) TC do Compensador síncrono 01K2 posição TC13 13,8 kV do cubículo 1.BFT10 fases A, B, C da subestação RCD.</t>
  </si>
  <si>
    <t>0004133/2023</t>
  </si>
  <si>
    <t>12588802</t>
  </si>
  <si>
    <t>Substituição de 03 (três) TC do Compensador síncrono 01K2 posição TC14 13,8 kV do cubículo 1.BBA13 fases A, B, C da subestação RCD.</t>
  </si>
  <si>
    <t>0004134/2023</t>
  </si>
  <si>
    <t>12588805</t>
  </si>
  <si>
    <t>Substituição de 01 (um) Sistema de Selagem do Transformador de Potência 230 kV posição operacional 04T2 da Subestação SRD.</t>
  </si>
  <si>
    <t>TR 230/69 kV SANTA RITA II TR2 PB</t>
  </si>
  <si>
    <t>0004135/2023</t>
  </si>
  <si>
    <t>12588880</t>
  </si>
  <si>
    <t>Substituição de 01 (um) Sistema de Selagem do Transformador de Potência 230 kV posição operacional 04T4 da Subestação MCO.</t>
  </si>
  <si>
    <t>0004136/2023</t>
  </si>
  <si>
    <t>12588886</t>
  </si>
  <si>
    <t>Substituição de 01 (um) Sistema de Selagem do Transformador de Potência 230 kV posição operacional 04T2 da Subestação RIB.</t>
  </si>
  <si>
    <t>0004138/2023</t>
  </si>
  <si>
    <t>12588894</t>
  </si>
  <si>
    <t>Substituição de 01 (um) Sistema de Selagem do Transformador de Potência 230 kV posição operacional 04T3 da Subestação RIB.</t>
  </si>
  <si>
    <t>0004139/2023</t>
  </si>
  <si>
    <t>12588896</t>
  </si>
  <si>
    <t>Substituição de 01 (um) Sistema de Selagem do Transformador de Potência 500 kV posição operacional 05T1 fase B da Subestação RCD.</t>
  </si>
  <si>
    <t>0004140/2023</t>
  </si>
  <si>
    <t>12588901</t>
  </si>
  <si>
    <t>Substituição de 01 (um) Sistema de Selagem do Transformador de Potência 500 kV posição operacional 05T1 fase C da Subestação RCD.</t>
  </si>
  <si>
    <t>0004141/2023</t>
  </si>
  <si>
    <t>12588902</t>
  </si>
  <si>
    <t>Substituição de 01 (um) Sistema de Selagem do Transformador de Potência 500 kV posição operacional 05T2 fase B da Subestação RCD.</t>
  </si>
  <si>
    <t>0004142/2023</t>
  </si>
  <si>
    <t>12588904</t>
  </si>
  <si>
    <t>Substituição de 01 (um) Sistema de Selagem do Transformador de Potência 500 kV posição operacional 05T2 fase C da Subestação RCD.</t>
  </si>
  <si>
    <t>0004143/2023</t>
  </si>
  <si>
    <t>12588905</t>
  </si>
  <si>
    <t>Substituição de 01 (um) Sistema de Selagem do Transformador de Potência 500 kV posição operacional 05T3 fase B da Subestação RCD.</t>
  </si>
  <si>
    <t>0004144/2023</t>
  </si>
  <si>
    <t>12588907</t>
  </si>
  <si>
    <t>Substituição de 01 (um) Sistema de Selagem do Transformador de Potência 230 kV posição operacional 04T3 da Subestação CTG.</t>
  </si>
  <si>
    <t>0004145/2023</t>
  </si>
  <si>
    <t>12588940</t>
  </si>
  <si>
    <t>Substituição de 03 (três) TC do Compensador síncrono 01K1 posição TC2 13,8 kV do cubículo 1.400 fases A, B, C da subestação RCD.</t>
  </si>
  <si>
    <t>0004147/2023</t>
  </si>
  <si>
    <t>12588808</t>
  </si>
  <si>
    <t>Substituição de 03 (três) TC do Compensador síncrono 01K2 posição TC2 13,8 kV do cubículo 2.BAA10 fases A, B, C da subestação RCD.</t>
  </si>
  <si>
    <t>0004148/2023</t>
  </si>
  <si>
    <t>12588811</t>
  </si>
  <si>
    <t>Substituição de 01 (um) cubiculo dos TPs do Compensador Síncrono 01K2 da subestação RCD.</t>
  </si>
  <si>
    <t>0004149/2023</t>
  </si>
  <si>
    <t>12588828</t>
  </si>
  <si>
    <t>Substituição de 8 IP por outro de características semelhantes fases A/B/V/R do MBRE7-03.</t>
  </si>
  <si>
    <t>0008988/2023</t>
  </si>
  <si>
    <t>Não disponível</t>
  </si>
  <si>
    <t>LT 230 kV BLUMENAU / JOINVILLE NORTE C-1 SC</t>
  </si>
  <si>
    <t>Substituição de fundações em grelha metálica de vinte e uma torres da LT 230 kV Blumenau - Joinville Norte C-1. As torres envolvidas são as de número de operação: 033, 042, 054, 055, 064, 068, 070, 072, 075, 088, 091, 092, 093, 095, 096, 109, 111, 117, 128, 129, 136.</t>
  </si>
  <si>
    <t>0004150/2023</t>
  </si>
  <si>
    <t>Substituição de cabos contrapesos (aterramento) de vinte e uma torres da LT 230 kV Blumenau - Joinville Norte C-1. As torres envolvidas são as de número de operação: 033, 042, 054, 055, 064, 068, 070, 072, 075, 088, 091, 092, 093, 095, 096, 109, 111, 117, 128, 129, 136.</t>
  </si>
  <si>
    <t>0004151/2023</t>
  </si>
  <si>
    <t>LT 230 kV CURITIBA / JOINVILLE NORTE C-1 PR/SC</t>
  </si>
  <si>
    <t>Substituição de fundações em grelha metálica de uma torre da LT 230 kV Curitiba - Joinville Norte C-1. A torre envolvida é a de número de operação: 025.</t>
  </si>
  <si>
    <t>0004153/2023</t>
  </si>
  <si>
    <t>Substituição de cabos contrapesos (aterramento) de uma torre da LT 230 kV Curitiba - Joinville Norte C-1. A torre envolvida é a de número de operação: 025.</t>
  </si>
  <si>
    <t>0004155/2023</t>
  </si>
  <si>
    <t>TAPE DE JIRAU</t>
  </si>
  <si>
    <t>MODERNIZAÇÃO DOS SERVIÇOS AUXILIARES DE 380V DA SEPV (ANTIGA ELETROSUL) E AUTOMATISMO - GDG, QUADROS, USCA, PAINEIS.</t>
  </si>
  <si>
    <t>MG TAPE DE JIRAU / CCO-2001-058 - RB</t>
  </si>
  <si>
    <t>0004156/2023</t>
  </si>
  <si>
    <t>N-S-ROTJ-MG601-MG230-GGE01</t>
  </si>
  <si>
    <t>LT 230 kV CURITIBA / JOINVILLE C-1 PR/SC</t>
  </si>
  <si>
    <t>Substituição de fundações em grelha metálica de cinco torres da LT 230 kV Curitiba - Joinville C-1. As torres envolvidas são as de número de operação: 008, 013, 024, 031 e 034.</t>
  </si>
  <si>
    <t>0004158/2023</t>
  </si>
  <si>
    <t>0004159/2023</t>
  </si>
  <si>
    <t>N-S-ROPV-MG601-MG230-SSA02</t>
  </si>
  <si>
    <t>Substituição de cabos contrapesos (aterramento) de cinco torres da LT 230 kV Curitiba - Joinville C-1. As torres envolvidas são as de número de operação: 008, 013, 024, 031 e 034.</t>
  </si>
  <si>
    <t>0004160/2023</t>
  </si>
  <si>
    <t>MODERNIZAÇÃO DOS SERVIÇOS AUXILIARES DE 13,8 KV; SUBSTITUIR OS CUBÍCULOS POR OUTRO COMPLETO COM DISJUNTOR E EQUIPAMENTOS DE MEDIÇÕES, CONTROLE E SUPERVISÃO</t>
  </si>
  <si>
    <t>MG 230 kV SAMUEL MG1 RO</t>
  </si>
  <si>
    <t>0004162/2023</t>
  </si>
  <si>
    <t>N-S-ROSM-MG601-MG230-BR201</t>
  </si>
  <si>
    <t>LT 230 kV J.LACERDA-B / SIDEROPOLIS C-2 SC</t>
  </si>
  <si>
    <t>Substituição de fundações em grelha metálica de quatro torres da LT 230 kV J.Lacerda B - Siderópolis C-2. As torres envolvidas são as de número de operação: 038, 041, 043 e 051.</t>
  </si>
  <si>
    <t>0004163/2023</t>
  </si>
  <si>
    <t>Substituição de cabos contrapesos (aterramento) de quatro torres da LT 230 kV J.Lacerda B - Siderópolis C-2. As torres envolvidas são as de número de operação: 038, 041, 043 e 051.</t>
  </si>
  <si>
    <t>0004164/2023</t>
  </si>
  <si>
    <t>SUBSTITUIÇÃO DE 1 (UM) DISJUNTOR 230kV JPDB6-01, ASSOCIADO AO BAY DE INTERLIGAÇÃO DE BARRAS DA SUBESTAÇÃO JI-PARANA</t>
  </si>
  <si>
    <t>0004165/2023</t>
  </si>
  <si>
    <t>N-S-ROJP-MG601-IB230IB1-JPDB601</t>
  </si>
  <si>
    <t>SUBSTITUIÇÃO DE 01 (UM) DISJUNTOR 230kV  JPDJ6-07, ASSOCIADO AO BAY DO AUTOTRANSFORMADOR 01 DA SUBESTAÇÃO JI-PARANÁ</t>
  </si>
  <si>
    <t>TR 230/138 kV JI-PARANA TR1 RO</t>
  </si>
  <si>
    <t>0004166/2023</t>
  </si>
  <si>
    <t>N-S-ROJP-AT601-MC230-JPDJ607</t>
  </si>
  <si>
    <t>LT 230 kV BIGUACU / J.LACERDA-B C-1 SC</t>
  </si>
  <si>
    <t>Substituição de partes aéreas (somente Estruturas) de quatro torres da LT 230 kV Biguaçu - J.Lacerda-B C-1. As torres envolvidas são as de número de operação: 002, 004, 007 e 008.</t>
  </si>
  <si>
    <t>0004167/2023</t>
  </si>
  <si>
    <t>Substituição de cabos contrapesos (aterramento) de quatro torres da LT 230 kV Biguaçu - J.Lacerda-B C-1. As torres envolvidas são as de número de operação: 002, 004, 007 e 008.</t>
  </si>
  <si>
    <t>0004169/2023</t>
  </si>
  <si>
    <t>Substituição da cadeia de proteção de Barras principal, referente às barras A e B de 525 kV da SE Areia, incluindo uma Unidade Central e dez unidades de Bay (vãos TF 2 525/230 kV, LT Ivaiporã C-1, LT Bateias C-1, LT Curitiba C-1, LT Segredo C-1, LT GBMunhoz C-1, LT GBMunhoz C-2, LT Campos Novos C-1, IB DJ1030 e IB DJ1110), painéis e cabos de controle e potência associados.</t>
  </si>
  <si>
    <t>0004178/2023</t>
  </si>
  <si>
    <t>Substituição de 150 km de cabo OPGW com 24 fibras da LT 500 kV SOBRAL III /PECEM II C-1 CE (05V7).</t>
  </si>
  <si>
    <t>0004182/2023</t>
  </si>
  <si>
    <t>11687615</t>
  </si>
  <si>
    <t>Substituição do Sistema de Proteção, Controle e Supervisão (SPCS) dos cubículos e serviços auxiliares CA / CC, da SE Areia, incluindo painéis e cabos associados.</t>
  </si>
  <si>
    <t>0004183/2023</t>
  </si>
  <si>
    <t>Controle - Serv. Aux.</t>
  </si>
  <si>
    <t>Substituição do sistema de controle e supervisão (com unidade redundante) da LT 525 kV Areia - Ivaiporã C-1, incluindo painéis e cabos de controle e potência associados.</t>
  </si>
  <si>
    <t>0004185/2023</t>
  </si>
  <si>
    <t>Substituição do sistema de controle e supervisão (com unidade redundante) da LT 525 kV Areia - Bateias C-1, incluindo painéis e cabos de controle e potência associados.</t>
  </si>
  <si>
    <t>0004193/2023</t>
  </si>
  <si>
    <t>Controle - LT BTA C-1</t>
  </si>
  <si>
    <t>LT 230 kV C.MOURAO /APUCARANA C-1 PR</t>
  </si>
  <si>
    <t>0004197/2023</t>
  </si>
  <si>
    <t>Substituição de Retificador (Carregador de Baterias) 125 Vcc - SACC125-RET2, da SE Londrina.</t>
  </si>
  <si>
    <t>0004199/2023</t>
  </si>
  <si>
    <t>SACC125-RET2</t>
  </si>
  <si>
    <t>0004201/2023</t>
  </si>
  <si>
    <t>TC DJ772</t>
  </si>
  <si>
    <t>Substituição do sistema de controle e supervisão (com unidade redundante) da LT 525 kV Areia - Curitiba C-1, incluindo painéis e cabos de controle e potência associados.</t>
  </si>
  <si>
    <t>0004202/2023</t>
  </si>
  <si>
    <t>Controle - LT CBA C-1</t>
  </si>
  <si>
    <t>Substituição das proteções Principal, Alternada e Falha de Disjuntor, referentes à LT 525 kV Areia - Segredo C-1, incluindo painéis e cabos de controle e potência associados.</t>
  </si>
  <si>
    <t>0004205/2023</t>
  </si>
  <si>
    <t>PP, PA, BF - LT SGD C-1</t>
  </si>
  <si>
    <t>Substituição do sistema de controle e supervisão (com unidade redundante) da LT 525 kV Areia - Segredo C-1, incluindo painéis e cabos de controle e potência associados.</t>
  </si>
  <si>
    <t>0004206/2023</t>
  </si>
  <si>
    <t>Substituição das proteções Principal, Alternada e Falha de Disjuntor, referentes à LT 525 kV Areia - G.B.Munhoz C-1, incluindo painéis e cabos de controle e potência associados.</t>
  </si>
  <si>
    <t>0004209/2023</t>
  </si>
  <si>
    <t>PP, PA, BF - LT GBM C-1</t>
  </si>
  <si>
    <t>Substituição do sistema de controle e supervisão (com unidade redundante) da LT 525 kV Areia - G.B.Munhoz C-1, incluindo painéis e cabos de controle e potência associados.</t>
  </si>
  <si>
    <t>0004211/2023</t>
  </si>
  <si>
    <t>Controle - LT GBM C-1</t>
  </si>
  <si>
    <t>LT 230 kV C.MOURAO /MARINGA C-1 PR</t>
  </si>
  <si>
    <t>0004213/2023</t>
  </si>
  <si>
    <t>Substituição das proteções Principal, Alternada e Falha de Disjuntor, referentes à LT 525 kV Areia - G.B.Munhoz C-2, incluindo painéis e cabos de controle e potência associados.</t>
  </si>
  <si>
    <t>0004214/2023</t>
  </si>
  <si>
    <t>PP, PA, BF - LT GBM C-2</t>
  </si>
  <si>
    <t>Substituição do sistema de controle e supervisão (com unidade redundante) da LT 525 kV Areia - G.B.Munhoz C-2, incluindo painéis e cabos de controle e potência associados.</t>
  </si>
  <si>
    <t>0004217/2023</t>
  </si>
  <si>
    <t>Controle - LT GBM C-2</t>
  </si>
  <si>
    <t>LT 230 kV C.MOURAO /S. OSORIO C-1 PR</t>
  </si>
  <si>
    <t>0004218/2023</t>
  </si>
  <si>
    <t>LT 230 kV C.MOURAO /S. OSORIO C-2 PR</t>
  </si>
  <si>
    <t>0004221/2023</t>
  </si>
  <si>
    <t>Substituição do sistema de controle e supervisão (com unidade redundante) da LT 525 kV Areia - Campos Novos C-1, incluindo painéis e cabos de controle e potência associados.</t>
  </si>
  <si>
    <t>0004227/2023</t>
  </si>
  <si>
    <t>Controle - LT CNO C-1</t>
  </si>
  <si>
    <t>Substituição do sistema de controle e supervisão (com unidade redundante) do Interligador de Barras (IB) 525 kV da SE Areia, DJ1010 (vão entre a LT Segredo C-1 e TF2), incluindo painéis e cabos de controle e potência associados.</t>
  </si>
  <si>
    <t>0004229/2023</t>
  </si>
  <si>
    <t>Substituição do sistema de controle e supervisão (com unidade redundante) do Interligador de Barras (IB) 525 kV da SE Areia, DJ1030 (vão da LT Ivaiporã C-1), incluindo painéis e cabos de controle e potência associados.</t>
  </si>
  <si>
    <t>0004230/2023</t>
  </si>
  <si>
    <t>Substituição da proteção Falha de Disjuntor principal, referente ao Interligador de Barras (IB) 525 kV da SE Areia, DJ1070 (vão entre as LT Bateias C-1 e GBMunhoz C-2), incluindo painéis e cabos de controle e potência associados.</t>
  </si>
  <si>
    <t>0004233/2023</t>
  </si>
  <si>
    <t>Substituição do sistema de controle e supervisão (com unidade redundante) do Interligador de Barras (IB) 525 kV da SE Areia, DJ1070  (vão entre as LT Bateias C-1 e GBMunhoz C-2), incluindo painéis e cabos de controle e potência associados.</t>
  </si>
  <si>
    <t>0004234/2023</t>
  </si>
  <si>
    <t>Substituição da proteção Falha de Disjuntor principal, referente ao Interligador de Barras (IB) 525 kV da SE Areia, DJ1090 (vão entre as LT Curitiba C-1 e GBMunhoz C-1), incluindo painéis e cabos de controle e potência associados.</t>
  </si>
  <si>
    <t>0004235/2023</t>
  </si>
  <si>
    <t>BF - DJ1090</t>
  </si>
  <si>
    <t>Substituição do sistema de controle e supervisão (com unidade redundante) do Interligador de Barras (IB) 525 kV da SE Areia, DJ1090  (vão entre as LT Curitiba C-1 e GBMunhoz C-1), incluindo painéis e cabos de controle e potência associados.</t>
  </si>
  <si>
    <t>0004236/2023</t>
  </si>
  <si>
    <t>Substituição da proteção Falha de Disjuntor principal, referente ao Interligador de Barras (IB) 525 kV da SE Areia, DJ1110 (vão da LT C. Novos C-1), incluindo painéis e cabos de controle e potência associados.</t>
  </si>
  <si>
    <t>0004238/2023</t>
  </si>
  <si>
    <t>BF - DJ1110</t>
  </si>
  <si>
    <t>Substituição do sistema de controle e supervisão (com unidade redundante) do Interligador de Barras (IB) 525 kV da SE Areia, DJ1110  (vão da LT C. Novos C-1), incluindo painéis e cabos de controle e potência associados.</t>
  </si>
  <si>
    <t>0004240/2023</t>
  </si>
  <si>
    <t>Controle - DJ1110</t>
  </si>
  <si>
    <t>Substituição das proteções Principal e Alternada, referentes a LT 230 kV Areia - São Mateus do Sul C-1, incluindo painéis e cabos de controle e potência associados.</t>
  </si>
  <si>
    <t>0004241/2023</t>
  </si>
  <si>
    <t>PP, PA - LT SMS C-1</t>
  </si>
  <si>
    <t>Substituição do sistema de controle e supervisão (com unidade redundante) do TR2 525/230 kV da SE Areia, lado de 525 kV, incluindo painéis e cabos de controle e potência associados.</t>
  </si>
  <si>
    <t>0004244/2023</t>
  </si>
  <si>
    <t>Controle - TF2 525</t>
  </si>
  <si>
    <t>Substituição de Chave Seccionadora tripolar 138 kV, CS643, referente ao TR3 230/138 kV da SE Itajaí. Associado à obra são esperadas substituições/adaptações de fundações, suportes, cabos de controle/potência, barramento, conectores e conexão de aterramento.</t>
  </si>
  <si>
    <t>0004245/2023</t>
  </si>
  <si>
    <t>Substituição de 01 (uma) Seccionadora 230 kV posição operacional 34C8-1 da Subestação CMD.</t>
  </si>
  <si>
    <t>EL 230 kV CAMACARI II LT 230 kV CAMACARI II /CARAIBAS C-1 BA (14C8)</t>
  </si>
  <si>
    <t>0004258/2023</t>
  </si>
  <si>
    <t>11334060</t>
  </si>
  <si>
    <t>Substituição de 01 (uma) Seccionadora 230 kV posição operacional 34C8-2 da Subestação CMD.</t>
  </si>
  <si>
    <t>0004260/2023</t>
  </si>
  <si>
    <t>11334068</t>
  </si>
  <si>
    <t>Substituição de 01 (uma) Seccionadora 230 kV posição operacional 34C8-4 da Subestação CMD.</t>
  </si>
  <si>
    <t>0004261/2023</t>
  </si>
  <si>
    <t>11333740</t>
  </si>
  <si>
    <t>Substituição de 01 (uma) Seccionadora 230 kV posição operacional 34C8-5 da Subestação CMD.</t>
  </si>
  <si>
    <t>0004263/2023</t>
  </si>
  <si>
    <t>11333543</t>
  </si>
  <si>
    <t>Substituição de 01 (uma) Seccionadora 230 kV posição operacional 34C8-6 da Subestação CMD.</t>
  </si>
  <si>
    <t>0004264/2023</t>
  </si>
  <si>
    <t>11333741</t>
  </si>
  <si>
    <t>Substituição de 01 (uma) Seccionadora 230 kV posição operacional 34D2-1 da Subestação CMD.</t>
  </si>
  <si>
    <t>0004265/2023</t>
  </si>
  <si>
    <t>11338258</t>
  </si>
  <si>
    <t>Substituição de 01 (uma) Seccionadora 230 kV posição operacional 34D2-2 da Subestação CMD.</t>
  </si>
  <si>
    <t>0004267/2023</t>
  </si>
  <si>
    <t>11338259</t>
  </si>
  <si>
    <t>Substituição de 01 (uma) Seccionadora 230 kV posição operacional 34M7-1 da Subestação CMD.</t>
  </si>
  <si>
    <t>0004268/2023</t>
  </si>
  <si>
    <t>11334070</t>
  </si>
  <si>
    <t>Substituição de 01 (uma) Seccionadora 230 kV posição operacional 34M7-2 da Subestação CMD.</t>
  </si>
  <si>
    <t>0004270/2023</t>
  </si>
  <si>
    <t>11334071</t>
  </si>
  <si>
    <t>Substituição de 01 (uma) Seccionadora 230 kV posição operacional 34M7-4 da Subestação CMD.</t>
  </si>
  <si>
    <t>0004271/2023</t>
  </si>
  <si>
    <t>11333745</t>
  </si>
  <si>
    <t>Substituição de 01 (uma) Seccionadora 230 kV posição operacional 34M7-5 da Subestação CMD.</t>
  </si>
  <si>
    <t>0004274/2023</t>
  </si>
  <si>
    <t>11333545</t>
  </si>
  <si>
    <t>Substituição de 01 (uma) Seccionadora 230 kV posição operacional 34M7-6 da Subestação CMD.</t>
  </si>
  <si>
    <t>0004275/2023</t>
  </si>
  <si>
    <t>11333746</t>
  </si>
  <si>
    <t>Substituição de 01 (uma) Seccionadora 230 kV posição operacional 34N2-1 da Subestação CMD.</t>
  </si>
  <si>
    <t>EL 230 kV CAMACARI II LT 230 kV CAMACARI II /BRASKEM C-2 BA (14N2)</t>
  </si>
  <si>
    <t>0004277/2023</t>
  </si>
  <si>
    <t>11334075</t>
  </si>
  <si>
    <t>Substituição de 01 (uma) Seccionadora 230 kV posição operacional 34N2-2 da Subestação CMD.</t>
  </si>
  <si>
    <t>0004278/2023</t>
  </si>
  <si>
    <t>11334076</t>
  </si>
  <si>
    <t>Substituição de 01 (uma) Seccionadora 230 kV posição operacional 34N2-4 da Subestação CMD.</t>
  </si>
  <si>
    <t>0004279/2023</t>
  </si>
  <si>
    <t>11333749</t>
  </si>
  <si>
    <t>Substituição de 01 (uma) Seccionadora 230 kV posição operacional 34N2-5 da Subestação CMD.</t>
  </si>
  <si>
    <t>0004281/2023</t>
  </si>
  <si>
    <t>11333547</t>
  </si>
  <si>
    <t>Substituição de 01 (uma) Seccionadora 230 kV posição operacional 34N2-6 da Subestação CMD.</t>
  </si>
  <si>
    <t>0004282/2023</t>
  </si>
  <si>
    <t>11333750</t>
  </si>
  <si>
    <t>Substituição de 01 (uma) Seccionadora 230 kV posição operacional 34T1-1A da Subestação CMD.</t>
  </si>
  <si>
    <t>0004284/2023</t>
  </si>
  <si>
    <t>11334079</t>
  </si>
  <si>
    <t>Substituição de 01 (uma) Seccionadora 230 kV posição operacional 34T1-1B da Subestação CMD.</t>
  </si>
  <si>
    <t>0004285/2023</t>
  </si>
  <si>
    <t>11334080</t>
  </si>
  <si>
    <t>Substituição de 01 (uma) Seccionadora 230 kV posição operacional 34T1-2A da Subestação CMD.</t>
  </si>
  <si>
    <t>0004287/2023</t>
  </si>
  <si>
    <t>11335070</t>
  </si>
  <si>
    <t>Substituição de 01 (uma) Seccionadora 230 kV posição operacional 34T1-2B da Subestação CMD.</t>
  </si>
  <si>
    <t>0004288/2023</t>
  </si>
  <si>
    <t>11335071</t>
  </si>
  <si>
    <t>Substituição de 01 (uma) Seccionadora 230 kV posição operacional 34T1-5A da Subestação CMD.</t>
  </si>
  <si>
    <t>0004290/2023</t>
  </si>
  <si>
    <t>11333754</t>
  </si>
  <si>
    <t>Substituição de 01 (uma) Seccionadora 230 kV posição operacional 34T1-5B da Subestação CMD.</t>
  </si>
  <si>
    <t>0004291/2023</t>
  </si>
  <si>
    <t>11333548</t>
  </si>
  <si>
    <t>Substituição de 01 (uma) Seccionadora 230 kV posição operacional 34T2-1A da Subestação CMD.</t>
  </si>
  <si>
    <t>0004292/2023</t>
  </si>
  <si>
    <t>11333755</t>
  </si>
  <si>
    <t>Substituição de 01 (uma) Seccionadora 230 kV posição operacional 34T2-1B da Subestação CMD.</t>
  </si>
  <si>
    <t>0004293/2023</t>
  </si>
  <si>
    <t>11333756</t>
  </si>
  <si>
    <t>Substituição de 01 (uma) Seccionadora 230 kV posição operacional 34T2-2A da Subestação CMD.</t>
  </si>
  <si>
    <t>0004294/2023</t>
  </si>
  <si>
    <t>11334081</t>
  </si>
  <si>
    <t>Substituição de 01 (uma) Seccionadora 230 kV posição operacional 34T2-2B da Subestação CMD.</t>
  </si>
  <si>
    <t>0004296/2023</t>
  </si>
  <si>
    <t>11338260</t>
  </si>
  <si>
    <t>Substituição de 01 (uma) Seccionadora 230 kV posição operacional 34T2-5A da Subestação CMD.</t>
  </si>
  <si>
    <t>0004297/2023</t>
  </si>
  <si>
    <t>11339941</t>
  </si>
  <si>
    <t>Substituição de 01 (uma) Seccionadora 230 kV posição operacional 34T2-5B da Subestação CMD.</t>
  </si>
  <si>
    <t>0004298/2023</t>
  </si>
  <si>
    <t>11333549</t>
  </si>
  <si>
    <t>Substituição de 01 (uma) Seccionadora 230 kV posição operacional 34T3-1A da Subestação CMD.</t>
  </si>
  <si>
    <t>0004300/2023</t>
  </si>
  <si>
    <t>11338257</t>
  </si>
  <si>
    <t>Substituição de 01 (uma) Seccionadora 230 kV posição operacional 34T3-1B da Subestação CMD.</t>
  </si>
  <si>
    <t>0004301/2023</t>
  </si>
  <si>
    <t>11338261</t>
  </si>
  <si>
    <t>Substituição de 01 (uma) Seccionadora 230 kV posição operacional 34T3-2A da Subestação CMD.</t>
  </si>
  <si>
    <t>0004303/2023</t>
  </si>
  <si>
    <t>11338262</t>
  </si>
  <si>
    <t>Substituição de 01 (uma) Seccionadora 230 kV posição operacional 34T3-2B da Subestação CMD.</t>
  </si>
  <si>
    <t>0004304/2023</t>
  </si>
  <si>
    <t>11338966</t>
  </si>
  <si>
    <t>Substituição de 01 (uma) Seccionadora 230 kV posição operacional 34T3-5B da Subestação CMD.</t>
  </si>
  <si>
    <t>0004305/2023</t>
  </si>
  <si>
    <t>11338263</t>
  </si>
  <si>
    <t>Substituição de 01 (uma) Seccionadora 230 kV posição operacional 34T6-1 da Subestação CMD.</t>
  </si>
  <si>
    <t>TR 230/69 kV CAMACARI II TR6 BA</t>
  </si>
  <si>
    <t>0004307/2023</t>
  </si>
  <si>
    <t>11334082</t>
  </si>
  <si>
    <t>Substituição de 01 (uma) Seccionadora 230 kV posição operacional 34T6-2 da Subestação CMD.</t>
  </si>
  <si>
    <t>0004308/2023</t>
  </si>
  <si>
    <t>11334083</t>
  </si>
  <si>
    <t>Substituição de 01 (uma) Seccionadora 230 kV posição operacional 34T6-4 da Subestação CMD.</t>
  </si>
  <si>
    <t>0004310/2023</t>
  </si>
  <si>
    <t>11333757</t>
  </si>
  <si>
    <t>Substituição de 01 (uma) Seccionadora 230 kV posição operacional 34T6-5 da Subestação CMD.</t>
  </si>
  <si>
    <t>0004311/2023</t>
  </si>
  <si>
    <t>11333758</t>
  </si>
  <si>
    <t>Substituição de 01 (uma) Seccionadora 230 kV posição operacional 34T6-6 da Subestação CMD.</t>
  </si>
  <si>
    <t>0004313/2023</t>
  </si>
  <si>
    <t>11333759</t>
  </si>
  <si>
    <t>Substituição de 01 (uma) Seccionadora 69 kV posição operacional 32BP-2 da Subestação CTG.</t>
  </si>
  <si>
    <t>0004314/2023</t>
  </si>
  <si>
    <t>11338862</t>
  </si>
  <si>
    <t>Substituição de 01 (uma) Seccionadora 69 kV posição operacional 32C1-4 da Subestação CTG.</t>
  </si>
  <si>
    <t>EL 69 kV COTEGIPE MILLENIUM 02C1 (12C1)</t>
  </si>
  <si>
    <t>0004315/2023</t>
  </si>
  <si>
    <t>11339928</t>
  </si>
  <si>
    <t>Substituição de 01 (uma) Seccionadora 69 kV posição operacional 32C1-5 da Subestação CTG.</t>
  </si>
  <si>
    <t>0004317/2023</t>
  </si>
  <si>
    <t>11339929</t>
  </si>
  <si>
    <t>Substituição de 01 (uma) Seccionadora 69 kV posição operacional 32C1-6 da Subestação CTG.</t>
  </si>
  <si>
    <t>0004318/2023</t>
  </si>
  <si>
    <t>11333881</t>
  </si>
  <si>
    <t>Substituição de 01 (uma) Seccionadora 69 kV posição operacional 32C2-4 da Subestação CTG.</t>
  </si>
  <si>
    <t>EL 69 kV COTEGIPE MILLENIUM 02C2 (12C2)</t>
  </si>
  <si>
    <t>0004320/2023</t>
  </si>
  <si>
    <t>11339930</t>
  </si>
  <si>
    <t>Substituição de 01 (uma) Seccionadora 69 kV posição operacional 32C2-5 da Subestação CTG.</t>
  </si>
  <si>
    <t>0004321/2023</t>
  </si>
  <si>
    <t>11340025</t>
  </si>
  <si>
    <t>Substituição de 01 (uma) Seccionadora 69 kV posição operacional 32C2-6 da Subestação CTG.</t>
  </si>
  <si>
    <t>0004323/2023</t>
  </si>
  <si>
    <t>11333882</t>
  </si>
  <si>
    <t>Substituição de 01 (uma) Seccionadora 69 kV posição operacional 32D2-1 da Subestação CTG.</t>
  </si>
  <si>
    <t>IB 69 kV MG 230 kV COTEGIPE MG1 BA IB2 (12D2)</t>
  </si>
  <si>
    <t>0004324/2023</t>
  </si>
  <si>
    <t>11340022</t>
  </si>
  <si>
    <t>Substituição de 01 (uma) Seccionadora 69 kV posição operacional 32D2-2 da Subestação CTG.</t>
  </si>
  <si>
    <t>0004326/2023</t>
  </si>
  <si>
    <t>11340023</t>
  </si>
  <si>
    <t>Substituição de 01 (uma) Seccionadora 69 kV posição operacional 32H1-4 da Subestação CTG.</t>
  </si>
  <si>
    <t>MC 69 kV BC 69 kV 20,3 Mvar COTEGIPE BC1 BA (12H1)</t>
  </si>
  <si>
    <t>0004327/2023</t>
  </si>
  <si>
    <t>11339249</t>
  </si>
  <si>
    <t>Substituição de 01 (uma) Seccionadora 69 kV posição operacional 32H1-7 da Subestação CTG.</t>
  </si>
  <si>
    <t>0004329/2023</t>
  </si>
  <si>
    <t>11343736</t>
  </si>
  <si>
    <t>Substituição de 01 (uma) Seccionadora 69 kV posição operacional 32H2-4 da Subestação CTG.</t>
  </si>
  <si>
    <t>MC 69 kV BC 69 kV 27,1 Mvar COTEGIPE BC2 BA (12H2)</t>
  </si>
  <si>
    <t>0004330/2023</t>
  </si>
  <si>
    <t>11333878</t>
  </si>
  <si>
    <t>Substituição de 01 (uma) Seccionadora 69 kV posição operacional 32H2-7 da Subestação CTG.</t>
  </si>
  <si>
    <t>0004332/2023</t>
  </si>
  <si>
    <t>11343737</t>
  </si>
  <si>
    <t>Substituição de 01 (uma) Seccionadora 69 kV posição operacional 32J3-4 da Subestação CTG.</t>
  </si>
  <si>
    <t>EL 69 kV COTEGIPE CAMACARI I 02J3 (12J3)</t>
  </si>
  <si>
    <t>0004333/2023</t>
  </si>
  <si>
    <t>11338546</t>
  </si>
  <si>
    <t>Substituição de 01 (uma) Seccionadora 69 kV posição operacional 32J3-5 da Subestação CTG.</t>
  </si>
  <si>
    <t>0004335/2023</t>
  </si>
  <si>
    <t>11338547</t>
  </si>
  <si>
    <t>Substituição de 01 (uma) Seccionadora 69 kV posição operacional 32J3-6 da Subestação CTG.</t>
  </si>
  <si>
    <t>0004336/2023</t>
  </si>
  <si>
    <t>11338915</t>
  </si>
  <si>
    <t>Substituição de 01 (uma) Seccionadora 69 kV posição operacional 32J4-4 da Subestação CTG.</t>
  </si>
  <si>
    <t>EL 69 kV COTEGIPE CAMACARI I 02J4 (12J4)</t>
  </si>
  <si>
    <t>0004338/2023</t>
  </si>
  <si>
    <t>11338548</t>
  </si>
  <si>
    <t>Substituição de 01 (uma) Seccionadora 69 kV posição operacional 32J4-5 da Subestação CTG.</t>
  </si>
  <si>
    <t>0004339/2023</t>
  </si>
  <si>
    <t>11338549</t>
  </si>
  <si>
    <t>Substituição de 01 (uma) Seccionadora 69 kV posição operacional 32J4-6 da Subestação CTG.</t>
  </si>
  <si>
    <t>0004340/2023</t>
  </si>
  <si>
    <t>11338916</t>
  </si>
  <si>
    <t>Substituição de 01 (uma) Seccionadora 69 kV posição operacional 32J5-4 da Subestação CTG.</t>
  </si>
  <si>
    <t>EL 69 kV COTEGIPE LT 69 kV CATU /COTEGIPE C-1 BA (12J5)</t>
  </si>
  <si>
    <t>0004342/2023</t>
  </si>
  <si>
    <t>11338550</t>
  </si>
  <si>
    <t>Substituição de 01 (uma) Seccionadora 69 kV posição operacional 32J5-5 da Subestação CTG.</t>
  </si>
  <si>
    <t>0004343/2023</t>
  </si>
  <si>
    <t>11338551</t>
  </si>
  <si>
    <t>Substituição de 01 (uma) Seccionadora 69 kV posição operacional 32J5-6 da Subestação CTG.</t>
  </si>
  <si>
    <t>0004345/2023</t>
  </si>
  <si>
    <t>11338917</t>
  </si>
  <si>
    <t>Substituição de 01 (uma) Seccionadora 69 kV posição operacional 32L1-6 da Subestação CTG.</t>
  </si>
  <si>
    <t>EL 69 kV COTEGIPE CIM-ARATU 02L1 (12L1)</t>
  </si>
  <si>
    <t>0004346/2023</t>
  </si>
  <si>
    <t>11339927</t>
  </si>
  <si>
    <t>Substituição de 01 (uma) Seccionadora 69 kV posição operacional 32L2-4 da Subestação CTG.</t>
  </si>
  <si>
    <t>EL 69 kV COTEGIPE PARIPE 02L2 (12L2)</t>
  </si>
  <si>
    <t>0004348/2023</t>
  </si>
  <si>
    <t>11339926</t>
  </si>
  <si>
    <t>Substituição de 01 (uma) Seccionadora 69 kV posição operacional 32L3-5 da Subestação CTG.</t>
  </si>
  <si>
    <t>EL 69 kV COTEGIPE EMBASA 02L3 (12L3)</t>
  </si>
  <si>
    <t>0004349/2023</t>
  </si>
  <si>
    <t>11338861</t>
  </si>
  <si>
    <t>Substituição de 01 (uma) Seccionadora 69 kV posição operacional 32L3-6 da Subestação CTG.</t>
  </si>
  <si>
    <t>0004351/2023</t>
  </si>
  <si>
    <t>11339992</t>
  </si>
  <si>
    <t>Substituição de 01 (uma) Seccionadora 69 kV posição operacional 32T4-4 da Subestação CTG.</t>
  </si>
  <si>
    <t>0004352/2023</t>
  </si>
  <si>
    <t>11340024</t>
  </si>
  <si>
    <t>Substituição de 01 (uma) Seccionadora 69 kV posição operacional 32T4-5 da Subestação CTG.</t>
  </si>
  <si>
    <t>0004353/2023</t>
  </si>
  <si>
    <t>11338864</t>
  </si>
  <si>
    <t>Substituição de 01 (uma) Seccionadora 69 kV posição operacional 32T4-6 da Subestação CTG.</t>
  </si>
  <si>
    <t>0004355/2023</t>
  </si>
  <si>
    <t>11338865</t>
  </si>
  <si>
    <t>Substituição de 01 (uma) Seccionadora 69 kV posição operacional 32T8-4 da Subestação CTG.</t>
  </si>
  <si>
    <t>0004356/2023</t>
  </si>
  <si>
    <t>11338552</t>
  </si>
  <si>
    <t>Substituição de 01 (uma) Seccionadora 69 kV posição operacional 32T8-5 da Subestação CTG.</t>
  </si>
  <si>
    <t>0004358/2023</t>
  </si>
  <si>
    <t>11338553</t>
  </si>
  <si>
    <t>Substituição de 01 (uma) Seccionadora 69 kV posição operacional 32T8-6 da Subestação CTG.</t>
  </si>
  <si>
    <t>0004359/2023</t>
  </si>
  <si>
    <t>11338918</t>
  </si>
  <si>
    <t>Substituição de 01 (uma) Seccionadora 69 kV posição operacional 32A1-8 da Subestação CTU.</t>
  </si>
  <si>
    <t>0004361/2023</t>
  </si>
  <si>
    <t>11339951</t>
  </si>
  <si>
    <t>Substituição de 01 (uma) Seccionadora 69 kV posição operacional 32A2-8 da Subestação CTU.</t>
  </si>
  <si>
    <t>0004362/2023</t>
  </si>
  <si>
    <t>11333869</t>
  </si>
  <si>
    <t>Substituição de 01 (uma) Seccionadora 69 kV posição operacional 32J5-4 da Subestação CTU.</t>
  </si>
  <si>
    <t>0004364/2023</t>
  </si>
  <si>
    <t>11339948</t>
  </si>
  <si>
    <t>Substituição de 01 (uma) Seccionadora 69 kV posição operacional 32J5-5 da Subestação CTU.</t>
  </si>
  <si>
    <t>0004365/2023</t>
  </si>
  <si>
    <t>11339949</t>
  </si>
  <si>
    <t>Substituição de 01 (uma) Seccionadora 69 kV posição operacional 32J6-4 da Subestação CTU.</t>
  </si>
  <si>
    <t>0004366/2023</t>
  </si>
  <si>
    <t>11333876</t>
  </si>
  <si>
    <t>Substituição de 01 (uma) Seccionadora 69 kV posição operacional 32J6-5 da Subestação CTU.</t>
  </si>
  <si>
    <t>0004368/2023</t>
  </si>
  <si>
    <t>11339950</t>
  </si>
  <si>
    <t>Substituição de 01 (uma) Seccionadora 69 kV posição operacional 32V2-4 da Subestação CTU.</t>
  </si>
  <si>
    <t>0004369/2023</t>
  </si>
  <si>
    <t>11339944</t>
  </si>
  <si>
    <t>Substituição de 01 (uma) Seccionadora 69 kV posição operacional 32V2-5 da Subestação CTU.</t>
  </si>
  <si>
    <t>0004371/2023</t>
  </si>
  <si>
    <t>11333870</t>
  </si>
  <si>
    <t>Substituição de 01 (uma) Seccionadora 69 kV posição operacional 32V3-4 da Subestação CTU.</t>
  </si>
  <si>
    <t>0004372/2023</t>
  </si>
  <si>
    <t>11339945</t>
  </si>
  <si>
    <t>Substituição de 01 (uma) Seccionadora 69 kV posição operacional 32V3-5 da Subestação CTU.</t>
  </si>
  <si>
    <t>0004374/2023</t>
  </si>
  <si>
    <t>11339946</t>
  </si>
  <si>
    <t>Substituição de 01 (uma) Seccionadora 69 kV posição operacional 32V4-4 da Subestação CTU.</t>
  </si>
  <si>
    <t>0004375/2023</t>
  </si>
  <si>
    <t>11333871</t>
  </si>
  <si>
    <t>Substituição de 01 (uma) Seccionadora 69 kV posição operacional 32V4-5 da Subestação CTU.</t>
  </si>
  <si>
    <t>0004377/2023</t>
  </si>
  <si>
    <t>11333872</t>
  </si>
  <si>
    <t>Substituição de 01 (uma) Seccionadora 69 kV posição operacional 32V5-4 da Subestação CTU.</t>
  </si>
  <si>
    <t>0004378/2023</t>
  </si>
  <si>
    <t>11333873</t>
  </si>
  <si>
    <t>Substituição de 01 (uma) Seccionadora 69 kV posição operacional 32V5-5 da Subestação CTU.</t>
  </si>
  <si>
    <t>0004380/2023</t>
  </si>
  <si>
    <t>11339947</t>
  </si>
  <si>
    <t>Substituição de 01 (uma) Seccionadora 69 kV posição operacional 32V6-4 da Subestação CTU.</t>
  </si>
  <si>
    <t>0004381/2023</t>
  </si>
  <si>
    <t>11333874</t>
  </si>
  <si>
    <t>Substituição de 01 (uma) Seccionadora 69 kV posição operacional 32V6-5 da Subestação CTU.</t>
  </si>
  <si>
    <t>0004382/2023</t>
  </si>
  <si>
    <t>11333875</t>
  </si>
  <si>
    <t>Substituição de 01 (uma) Seccionadora 230 kV posição operacional 34L4-4 da Subestação MTT.</t>
  </si>
  <si>
    <t>0004383/2023</t>
  </si>
  <si>
    <t>11334563</t>
  </si>
  <si>
    <t>Substituição de 01 (uma) Seccionadora 230 kV posição operacional 34L4-5 da Subestação MTT.</t>
  </si>
  <si>
    <t>0004384/2023</t>
  </si>
  <si>
    <t>11334564</t>
  </si>
  <si>
    <t>Substituição de 01 (uma) Seccionadora 230 kV posição operacional 34L4-6 da Subestação MTT.</t>
  </si>
  <si>
    <t>0004385/2023</t>
  </si>
  <si>
    <t>11334552</t>
  </si>
  <si>
    <t>Substituição de 01 (uma) Seccionadora 230 kV posição operacional 34M7-4 da Subestação MTT.</t>
  </si>
  <si>
    <t>0004386/2023</t>
  </si>
  <si>
    <t>11334553</t>
  </si>
  <si>
    <t>Substituição de 01 (uma) Seccionadora 230 kV posição operacional 34M7-5 da Subestação MTT.</t>
  </si>
  <si>
    <t>0004387/2023</t>
  </si>
  <si>
    <t>11334554</t>
  </si>
  <si>
    <t>Substituição de 01 (uma) Seccionadora 230 kV posição operacional 34M7-6 da Subestação MTT.</t>
  </si>
  <si>
    <t>0004388/2023</t>
  </si>
  <si>
    <t>11334555</t>
  </si>
  <si>
    <t>Substituição de 01 (uma) Seccionadora 230 kV posição operacional 34C1-4 da Subestação PRD.</t>
  </si>
  <si>
    <t>LT 230 kV RECIFE II /PIRAPAMA II C-2 PE</t>
  </si>
  <si>
    <t>0004389/2023</t>
  </si>
  <si>
    <t>11334534</t>
  </si>
  <si>
    <t>Substituição de 01 (uma) Seccionadora 230 kV posição operacional 34C1-5 da Subestação PRD.</t>
  </si>
  <si>
    <t>0004390/2023</t>
  </si>
  <si>
    <t>11338951</t>
  </si>
  <si>
    <t>Substituição de 01 (uma) Seccionadora 230 kV posição operacional 34C1-6 da Subestação PRD.</t>
  </si>
  <si>
    <t>0004391/2023</t>
  </si>
  <si>
    <t>11338952</t>
  </si>
  <si>
    <t>Substituição de 01 (uma) Seccionadora 230 kV posição operacional 34D1-1 da Subestação PRD.</t>
  </si>
  <si>
    <t>0004392/2023</t>
  </si>
  <si>
    <t>11335149</t>
  </si>
  <si>
    <t>Substituição de 01 (uma) Seccionadora 230 kV posição operacional 34J2-4 da Subestação PRD.</t>
  </si>
  <si>
    <t>LT 230 kV JABOATAO II /PIRAPAMA II C-1 PE</t>
  </si>
  <si>
    <t>0004393/2023</t>
  </si>
  <si>
    <t>11334535</t>
  </si>
  <si>
    <t>Substituição de 01 (uma) Seccionadora 230 kV posição operacional 34J2-5 da Subestação PRD.</t>
  </si>
  <si>
    <t>0004394/2023</t>
  </si>
  <si>
    <t>11335571</t>
  </si>
  <si>
    <t>Substituição de 01 (uma) Seccionadora 230 kV posição operacional 34J2-6 da Subestação PRD.</t>
  </si>
  <si>
    <t>0004395/2023</t>
  </si>
  <si>
    <t>11335572</t>
  </si>
  <si>
    <t>Substituição de 01 (uma) Seccionadora 230 kV posição operacional 34S1-4 da Subestação PRD.</t>
  </si>
  <si>
    <t>EL 230 kV PIRAPAMA II LANXES (14S1)</t>
  </si>
  <si>
    <t>0004396/2023</t>
  </si>
  <si>
    <t>11334536</t>
  </si>
  <si>
    <t>Substituição de 01 (uma) Seccionadora 230 kV posição operacional 34S1-6 da Subestação PRD.</t>
  </si>
  <si>
    <t>0004397/2023</t>
  </si>
  <si>
    <t>11338929</t>
  </si>
  <si>
    <t>Substituição de 01 (uma) Seccionadora 230 kV posição operacional 34T1-4 da Subestação PRD.</t>
  </si>
  <si>
    <t>0004398/2023</t>
  </si>
  <si>
    <t>11338808</t>
  </si>
  <si>
    <t>Substituição de 01 (uma) Seccionadora 230 kV posição operacional 34T1-5 da Subestação PRD.</t>
  </si>
  <si>
    <t>0004399/2023</t>
  </si>
  <si>
    <t>11338038</t>
  </si>
  <si>
    <t>Substituição de 01 (uma) Seccionadora 230 kV posição operacional 34T1-6 da Subestação PRD.</t>
  </si>
  <si>
    <t>0004400/2023</t>
  </si>
  <si>
    <t>11337602</t>
  </si>
  <si>
    <t>Substituição de 01 (uma) Seccionadora 230 kV posição operacional 34T2-4 da Subestação PRD.</t>
  </si>
  <si>
    <t>0004401/2023</t>
  </si>
  <si>
    <t>11338809</t>
  </si>
  <si>
    <t>Substituição de 01 (uma) Seccionadora 230 kV posição operacional 34T2-6 da Subestação PRD.</t>
  </si>
  <si>
    <t>0004402/2023</t>
  </si>
  <si>
    <t>11337603</t>
  </si>
  <si>
    <t>Substituição de 01 (uma) Seccionadora 230 kV posição operacional 34T3-4 da Subestação PRD.</t>
  </si>
  <si>
    <t>0004403/2023</t>
  </si>
  <si>
    <t>11338810</t>
  </si>
  <si>
    <t>Substituição de 01 (uma) Seccionadora 230 kV posição operacional 34T3-5 da Subestação PRD.</t>
  </si>
  <si>
    <t>0004404/2023</t>
  </si>
  <si>
    <t>11335150</t>
  </si>
  <si>
    <t>Substituição de 01 (uma) Seccionadora 230 kV posição operacional 34T3-6 da Subestação PRD.</t>
  </si>
  <si>
    <t>0004405/2023</t>
  </si>
  <si>
    <t>11338811</t>
  </si>
  <si>
    <t>SUBSTITUIÇÃO DA SECCIONADORA AUXILIAR, POSIÇÃO 31K1-9 da subestação RCD.</t>
  </si>
  <si>
    <t>0004406/2023</t>
  </si>
  <si>
    <t>12588738</t>
  </si>
  <si>
    <t>SUBSTITUIÇÃO DA SECCIONADORA PRINCIPAL, POSIÇÃO 31K2-8 da subestação RCD.</t>
  </si>
  <si>
    <t>0004407/2023</t>
  </si>
  <si>
    <t>11419996</t>
  </si>
  <si>
    <t>SUBSTITUIÇÃO DA SECCIONADORA AUXILIAR, POSIÇÃO 31K2-9 da subestação RCD.</t>
  </si>
  <si>
    <t>0004408/2023</t>
  </si>
  <si>
    <t>12588739</t>
  </si>
  <si>
    <t>Substituição de 01 (uma) Seccionadora 230 kV posição operacional 34C1-1 da Subestação RCD.</t>
  </si>
  <si>
    <t>0004409/2023</t>
  </si>
  <si>
    <t>11335061</t>
  </si>
  <si>
    <t>Substituição de 01 (uma) Seccionadora 230 kV posição operacional 34C1-2 da Subestação RCD.</t>
  </si>
  <si>
    <t>0004410/2023</t>
  </si>
  <si>
    <t>11335593</t>
  </si>
  <si>
    <t>Substituição de 01 (uma) Seccionadora 230 kV posição operacional 34C1-4 da Subestação RCD.</t>
  </si>
  <si>
    <t>0004411/2023</t>
  </si>
  <si>
    <t>11335595</t>
  </si>
  <si>
    <t>Substituição de 01 (uma) Seccionadora 230 kV posição operacional 34C1-5 da Subestação RCD.</t>
  </si>
  <si>
    <t>0004412/2023</t>
  </si>
  <si>
    <t>11335596</t>
  </si>
  <si>
    <t>Substituição de 01 (uma) Seccionadora 230 kV posição operacional 34C1-6 da Subestação RCD.</t>
  </si>
  <si>
    <t>0004413/2023</t>
  </si>
  <si>
    <t>11334629</t>
  </si>
  <si>
    <t>Substituição de 01 (uma) Seccionadora 230 kV posição operacional 34C4-1 da Subestação RCD.</t>
  </si>
  <si>
    <t>LT 230 kV RECIFE II /MIRUEIRA C-1 PE</t>
  </si>
  <si>
    <t>0004414/2023</t>
  </si>
  <si>
    <t>11334632</t>
  </si>
  <si>
    <t>Substituição de 01 (uma) Seccionadora 230 kV posição operacional 34C4-2 da Subestação RCD.</t>
  </si>
  <si>
    <t>0004415/2023</t>
  </si>
  <si>
    <t>11334633</t>
  </si>
  <si>
    <t>Substituição de 01 (uma) Seccionadora 230 kV posição operacional 34C4-4 da Subestação RCD.</t>
  </si>
  <si>
    <t>0004416/2023</t>
  </si>
  <si>
    <t>11335600</t>
  </si>
  <si>
    <t>Substituição de 01 (uma) Seccionadora 230 kV posição operacional 34C4-5 da Subestação RCD.</t>
  </si>
  <si>
    <t>0004417/2023</t>
  </si>
  <si>
    <t>11335601</t>
  </si>
  <si>
    <t>Substituição de 01 (uma) Seccionadora 230 kV posição operacional 34C4-6 da Subestação RCD.</t>
  </si>
  <si>
    <t>0004418/2023</t>
  </si>
  <si>
    <t>11335602</t>
  </si>
  <si>
    <t>Substituição de 01 (uma) Seccionadora 230 kV posição operacional 34C6-1 da Subestação RCD.</t>
  </si>
  <si>
    <t>LT 230 kV RECIFE II /MIRUEIRA C-3 PE</t>
  </si>
  <si>
    <t>0004419/2023</t>
  </si>
  <si>
    <t>11335052</t>
  </si>
  <si>
    <t>Substituição de 01 (uma) Seccionadora 230 kV posição operacional 34C6-2 da Subestação RCD.</t>
  </si>
  <si>
    <t>0004420/2023</t>
  </si>
  <si>
    <t>11335053</t>
  </si>
  <si>
    <t>Substituição de 01 (uma) Seccionadora 230 kV posição operacional 34C6-4 da Subestação RCD.</t>
  </si>
  <si>
    <t>0004421/2023</t>
  </si>
  <si>
    <t>11335573</t>
  </si>
  <si>
    <t>Substituição de 01 (uma) Seccionadora 230 kV posição operacional 34C6-5 da Subestação RCD.</t>
  </si>
  <si>
    <t>0004422/2023</t>
  </si>
  <si>
    <t>11335574</t>
  </si>
  <si>
    <t>Substituição de 01 (uma) Seccionadora 230 kV posição operacional 34C6-6 da Subestação RCD.</t>
  </si>
  <si>
    <t>0004423/2023</t>
  </si>
  <si>
    <t>11335575</t>
  </si>
  <si>
    <t>Substituição de 01 (uma) Seccionadora 230 kV posição operacional 34C8-1 da Subestação RCD.</t>
  </si>
  <si>
    <t>LT 230 kV RECIFE II /GOIANINHA C-1 PE</t>
  </si>
  <si>
    <t>0004424/2023</t>
  </si>
  <si>
    <t>11334616</t>
  </si>
  <si>
    <t>Substituição de 01 (uma) Seccionadora 230 kV posição operacional 34C8-2 da Subestação RCD.</t>
  </si>
  <si>
    <t>0004425/2023</t>
  </si>
  <si>
    <t>11334617</t>
  </si>
  <si>
    <t>Substituição de 01 (uma) Seccionadora 230 kV posição operacional 34C8-4 da Subestação RCD.</t>
  </si>
  <si>
    <t>0004426/2023</t>
  </si>
  <si>
    <t>11335576</t>
  </si>
  <si>
    <t>Substituição de 01 (uma) Seccionadora 230 kV posição operacional 34C8-5 da Subestação RCD.</t>
  </si>
  <si>
    <t>0004427/2023</t>
  </si>
  <si>
    <t>11335585</t>
  </si>
  <si>
    <t>Substituição de 01 (uma) Seccionadora 230 kV posição operacional 34C8-6 da Subestação RCD.</t>
  </si>
  <si>
    <t>0004428/2023</t>
  </si>
  <si>
    <t>11334622</t>
  </si>
  <si>
    <t>Substituição de 01 (uma) Seccionadora 230 kV posição operacional 34C9-1 da Subestação RCD.</t>
  </si>
  <si>
    <t>LT 230 kV RECIFE II /GOIANINHA C-2 PE</t>
  </si>
  <si>
    <t>0004429/2023</t>
  </si>
  <si>
    <t>11334626</t>
  </si>
  <si>
    <t>Substituição de 01 (uma) Seccionadora 230 kV posição operacional 34C9-2 da Subestação RCD.</t>
  </si>
  <si>
    <t>0004430/2023</t>
  </si>
  <si>
    <t>11335056</t>
  </si>
  <si>
    <t>Substituição de 01 (uma) Seccionadora 230 kV posição operacional 34C9-4 da Subestação RCD.</t>
  </si>
  <si>
    <t>0004431/2023</t>
  </si>
  <si>
    <t>11335586</t>
  </si>
  <si>
    <t>Substituição de 01 (uma) Seccionadora 230 kV posição operacional 34C9-5 da Subestação RCD.</t>
  </si>
  <si>
    <t>0004432/2023</t>
  </si>
  <si>
    <t>11335587</t>
  </si>
  <si>
    <t>Substituição de 01 (uma) Seccionadora 230 kV posição operacional 34C9-6 da Subestação RCD.</t>
  </si>
  <si>
    <t>0004433/2023</t>
  </si>
  <si>
    <t>11335588</t>
  </si>
  <si>
    <t>Substituição de 01 (uma) Seccionadora 230 kV posição operacional 34D2-1 da Subestação RCD.</t>
  </si>
  <si>
    <t>0004434/2023</t>
  </si>
  <si>
    <t>11334934</t>
  </si>
  <si>
    <t>Substituição de 01 (uma) Seccionadora 230 kV posição operacional 34J1-1 da Subestação RCD.</t>
  </si>
  <si>
    <t>LT 230 kV RECIFE II /JABOATAO II C-1 PE</t>
  </si>
  <si>
    <t>0004435/2023</t>
  </si>
  <si>
    <t>11334630</t>
  </si>
  <si>
    <t>Substituição de 01 (uma) Seccionadora 230 kV posição operacional 34J1-2 da Subestação RCD.</t>
  </si>
  <si>
    <t>0004436/2023</t>
  </si>
  <si>
    <t>11334631</t>
  </si>
  <si>
    <t>Substituição de 01 (uma) Seccionadora 230 kV posição operacional 34J1-4 da Subestação RCD.</t>
  </si>
  <si>
    <t>0004437/2023</t>
  </si>
  <si>
    <t>11335597</t>
  </si>
  <si>
    <t>Substituição de 01 (uma) Seccionadora 230 kV posição operacional 34J1-5 da Subestação RCD.</t>
  </si>
  <si>
    <t>0004438/2023</t>
  </si>
  <si>
    <t>11335598</t>
  </si>
  <si>
    <t>Substituição de 01 (uma) Seccionadora 230 kV posição operacional 34J1-6 da Subestação RCD.</t>
  </si>
  <si>
    <t>0004439/2023</t>
  </si>
  <si>
    <t>11335599</t>
  </si>
  <si>
    <t>Substituição de 01 (uma) Seccionadora 230 kV posição operacional 34M1-1 da Subestação RCD.</t>
  </si>
  <si>
    <t>0004440/2023</t>
  </si>
  <si>
    <t>11334618</t>
  </si>
  <si>
    <t>Substituição de 01 (uma) Seccionadora 230 kV posição operacional 34M1-2 da Subestação RCD.</t>
  </si>
  <si>
    <t>0004441/2023</t>
  </si>
  <si>
    <t>11334619</t>
  </si>
  <si>
    <t>Substituição de 01 (uma) Seccionadora 230 kV posição operacional 34M1-4 da Subestação RCD.</t>
  </si>
  <si>
    <t>0004442/2023</t>
  </si>
  <si>
    <t>11335577</t>
  </si>
  <si>
    <t>Substituição de 01 (uma) Seccionadora 230 kV posição operacional 34M1-5 da Subestação RCD.</t>
  </si>
  <si>
    <t>0004443/2023</t>
  </si>
  <si>
    <t>11335578</t>
  </si>
  <si>
    <t>Substituição de 01 (uma) Seccionadora 230 kV posição operacional 34M1-6 da Subestação RCD.</t>
  </si>
  <si>
    <t>0004444/2023</t>
  </si>
  <si>
    <t>11335579</t>
  </si>
  <si>
    <t>Substituição de 01 (uma) Seccionadora 230 kV posição operacional 34M2-1 da Subestação RCD.</t>
  </si>
  <si>
    <t>0004445/2023</t>
  </si>
  <si>
    <t>11334623</t>
  </si>
  <si>
    <t>Substituição de 01 (uma) Seccionadora 230 kV posição operacional 34M2-2 da Subestação RCD.</t>
  </si>
  <si>
    <t>0004446/2023</t>
  </si>
  <si>
    <t>11334624</t>
  </si>
  <si>
    <t>Substituição de 01 (uma) Seccionadora 230 kV posição operacional 34M2-4 da Subestação RCD.</t>
  </si>
  <si>
    <t>0004447/2023</t>
  </si>
  <si>
    <t>11334625</t>
  </si>
  <si>
    <t>Substituição de 01 (uma) Seccionadora 230 kV posição operacional 34M2-6 da Subestação RCD.</t>
  </si>
  <si>
    <t>0004448/2023</t>
  </si>
  <si>
    <t>11335590</t>
  </si>
  <si>
    <t>Substituição de 01 (uma) Seccionadora 230 kV posição operacional 34M3-1 da Subestação RCD.</t>
  </si>
  <si>
    <t>0004449/2023</t>
  </si>
  <si>
    <t>11334627</t>
  </si>
  <si>
    <t>Substituição de 01 (uma) Seccionadora 230 kV posição operacional 34M3-2 da Subestação RCD.</t>
  </si>
  <si>
    <t>0004450/2023</t>
  </si>
  <si>
    <t>11334628</t>
  </si>
  <si>
    <t>Substituição de 01 (uma) Seccionadora 230 kV posição operacional 34M3-4 da Subestação RCD.</t>
  </si>
  <si>
    <t>0004451/2023</t>
  </si>
  <si>
    <t>11335591</t>
  </si>
  <si>
    <t>Substituição de 01 (uma) Seccionadora 230 kV posição operacional 34M3-5 da Subestação RCD.</t>
  </si>
  <si>
    <t>0004452/2023</t>
  </si>
  <si>
    <t>11335592</t>
  </si>
  <si>
    <t>Substituição de 01 (uma) Seccionadora 230 kV posição operacional 34M3-6 da Subestação RCD.</t>
  </si>
  <si>
    <t>0004453/2023</t>
  </si>
  <si>
    <t>11335568</t>
  </si>
  <si>
    <t>Substituição de 01 (uma) Seccionadora 230 kV posição operacional 34T1-1B da Subestação RCD.</t>
  </si>
  <si>
    <t>0004454/2023</t>
  </si>
  <si>
    <t>11335050</t>
  </si>
  <si>
    <t>Substituição de 01 (uma) Seccionadora 230 kV posição operacional 34T1-2B da Subestação RCD.</t>
  </si>
  <si>
    <t>0004455/2023</t>
  </si>
  <si>
    <t>11335051</t>
  </si>
  <si>
    <t>Substituição de 01 (uma) Seccionadora 230 kV posição operacional 34T1-5B da Subestação RCD.</t>
  </si>
  <si>
    <t>0004456/2023</t>
  </si>
  <si>
    <t>11338960</t>
  </si>
  <si>
    <t>Substituição de 01 (uma) Seccionadora 230 kV posição operacional 34T2-1A da Subestação RCD.</t>
  </si>
  <si>
    <t>0004457/2023</t>
  </si>
  <si>
    <t>11335045</t>
  </si>
  <si>
    <t>Substituição de 01 (uma) Seccionadora 230 kV posição operacional 34T2-1B da Subestação RCD.</t>
  </si>
  <si>
    <t>0004458/2023</t>
  </si>
  <si>
    <t>11335046</t>
  </si>
  <si>
    <t>Substituição de 01 (uma) Seccionadora 230 kV posição operacional 34T2-2A da Subestação RCD.</t>
  </si>
  <si>
    <t>0004459/2023</t>
  </si>
  <si>
    <t>11335047</t>
  </si>
  <si>
    <t>Substituição de 01 (uma) Seccionadora 230 kV posição operacional 34T2-2B da Subestação RCD.</t>
  </si>
  <si>
    <t>0004460/2023</t>
  </si>
  <si>
    <t>11335048</t>
  </si>
  <si>
    <t>Substituição de 01 (uma) Seccionadora 230 kV posição operacional 34T2-5A da Subestação RCD.</t>
  </si>
  <si>
    <t>0004461/2023</t>
  </si>
  <si>
    <t>11335049</t>
  </si>
  <si>
    <t>Substituição de 01 (uma) Seccionadora 230 kV posição operacional 34T2-5B da Subestação RCD.</t>
  </si>
  <si>
    <t>0004462/2023</t>
  </si>
  <si>
    <t>11338959</t>
  </si>
  <si>
    <t>Substituição de 01 (uma) Seccionadora 230 kV posição operacional 34T3-1A da Subestação RCD.</t>
  </si>
  <si>
    <t>0004463/2023</t>
  </si>
  <si>
    <t>11338961</t>
  </si>
  <si>
    <t>Substituição de 01 (uma) Seccionadora 230 kV posição operacional 34T3-5A da Subestação RCD.</t>
  </si>
  <si>
    <t>0004464/2023</t>
  </si>
  <si>
    <t>11338964</t>
  </si>
  <si>
    <t>Substituição de 01 (uma) Seccionadora 230 kV posição operacional 34T3-5B da Subestação RCD.</t>
  </si>
  <si>
    <t>0004465/2023</t>
  </si>
  <si>
    <t>11338965</t>
  </si>
  <si>
    <t>Substituição de 01 (uma) Seccionadora 230 kV posição operacional 34V2-1 da Subestação RCD.</t>
  </si>
  <si>
    <t>0004466/2023</t>
  </si>
  <si>
    <t>11334620</t>
  </si>
  <si>
    <t>Substituição de 01 (uma) Seccionadora 230 kV posição operacional 34V2-2 da Subestação RCD.</t>
  </si>
  <si>
    <t>0004467/2023</t>
  </si>
  <si>
    <t>11334621</t>
  </si>
  <si>
    <t>Substituição de 01 (uma) Seccionadora 230 kV posição operacional 34V2-4 da Subestação RCD.</t>
  </si>
  <si>
    <t>0004468/2023</t>
  </si>
  <si>
    <t>11335580</t>
  </si>
  <si>
    <t>Substituição de 01 (uma) Seccionadora 230 kV posição operacional 34V2-5 da Subestação RCD.</t>
  </si>
  <si>
    <t>0004469/2023</t>
  </si>
  <si>
    <t>11335581</t>
  </si>
  <si>
    <t>Substituição de 01 (uma) Seccionadora 230 kV posição operacional 34V2-6 da Subestação RCD.</t>
  </si>
  <si>
    <t>0004470/2023</t>
  </si>
  <si>
    <t>11335582</t>
  </si>
  <si>
    <t>Substituição de 01 (uma) Seccionadora 230 kV posição operacional 34V3-1 da Subestação RCD.</t>
  </si>
  <si>
    <t>0004471/2023</t>
  </si>
  <si>
    <t>11335054</t>
  </si>
  <si>
    <t>Substituição de 01 (uma) Seccionadora 230 kV posição operacional 34V3-4 da Subestação RCD.</t>
  </si>
  <si>
    <t>0004472/2023</t>
  </si>
  <si>
    <t>11335583</t>
  </si>
  <si>
    <t>Substituição de 01 (uma) Seccionadora 230 kV posição operacional 34V3-5 da Subestação RCD.</t>
  </si>
  <si>
    <t>0004473/2023</t>
  </si>
  <si>
    <t>11335584</t>
  </si>
  <si>
    <t>Substituição de 01 (uma) Seccionadora 69 kV posição operacional 42BP-1 da Subestação SJI.</t>
  </si>
  <si>
    <t>0004474/2023</t>
  </si>
  <si>
    <t>11457930</t>
  </si>
  <si>
    <t>Substituição de 01 (uma) Seccionadora 69 kV posição operacional 42T5-8 da Subestação SJI.</t>
  </si>
  <si>
    <t>0004475/2023</t>
  </si>
  <si>
    <t>11457931</t>
  </si>
  <si>
    <t>Substituição de 01 (uma) Seccionadora 138 kV posição operacional 31K1-8 da Subestação RCD.</t>
  </si>
  <si>
    <t>0004476/2023</t>
  </si>
  <si>
    <t>11419997</t>
  </si>
  <si>
    <t>Substituição de 01 (uma) Seccionadora 230 kV posição operacional 34T5-1 da Subestação CMD.</t>
  </si>
  <si>
    <t>0004477/2023</t>
  </si>
  <si>
    <t>12461502</t>
  </si>
  <si>
    <t>Substituição de 01 (uma) Seccionadora 230 kV posição operacional 34T5-2 da Subestação CMD.</t>
  </si>
  <si>
    <t>0004478/2023</t>
  </si>
  <si>
    <t>12461503</t>
  </si>
  <si>
    <t>Substituição de 01 (uma) Seccionadora 230 kV posição operacional 34T5-4 da Subestação CMD.</t>
  </si>
  <si>
    <t>0004479/2023</t>
  </si>
  <si>
    <t>12461504</t>
  </si>
  <si>
    <t>Substituição de 01 (uma) Seccionadora 230 kV posição operacional 34T5-5 da Subestação CMD.</t>
  </si>
  <si>
    <t>0004480/2023</t>
  </si>
  <si>
    <t>12461505</t>
  </si>
  <si>
    <t>Substituição de 01 (uma) Seccionadora 230 kV posição operacional 34T5-6 da Subestação CMD.</t>
  </si>
  <si>
    <t>0004481/2023</t>
  </si>
  <si>
    <t>12461506</t>
  </si>
  <si>
    <t>Substituição de 01 (uma) Seccionadora 230 kV posição operacional 34V1-1 da Subestação CMD.</t>
  </si>
  <si>
    <t>EL 230 kV CAMACARI II LT 230 kV CAMACARI II /US.CAMACARI C-1 BA (14V1)</t>
  </si>
  <si>
    <t>0004482/2023</t>
  </si>
  <si>
    <t>12461552</t>
  </si>
  <si>
    <t>Substituição de 01 (uma) Seccionadora 230 kV posição operacional 34V1-2 da Subestação CMD.</t>
  </si>
  <si>
    <t>0004483/2023</t>
  </si>
  <si>
    <t>12461553</t>
  </si>
  <si>
    <t>Substituição de 01 (uma) Seccionadora 230 kV posição operacional 34V1-4 da Subestação CMD.</t>
  </si>
  <si>
    <t>0004484/2023</t>
  </si>
  <si>
    <t>12461509</t>
  </si>
  <si>
    <t>Substituição de 01 (uma) Seccionadora 230 kV posição operacional 34V1-5 da Subestação CMD.</t>
  </si>
  <si>
    <t>0004485/2023</t>
  </si>
  <si>
    <t>12461507</t>
  </si>
  <si>
    <t>Substituição de 01 (uma) Seccionadora com lâmina de Terra 230 kV posição operacional 34V1-6 da Subestação CMD.</t>
  </si>
  <si>
    <t>0004486/2023</t>
  </si>
  <si>
    <t>12461508</t>
  </si>
  <si>
    <t>Substituição de 01 (um) TC 69 kV posição operacional 92J4-2 fase B da Subestação AGL.</t>
  </si>
  <si>
    <t>0004518/2023</t>
  </si>
  <si>
    <t>11455220</t>
  </si>
  <si>
    <t>Substituição de 01 (um) TC 69 kV posição operacional 92J4-2 fase C da Subestação AGL.</t>
  </si>
  <si>
    <t>0004519/2023</t>
  </si>
  <si>
    <t>11455221</t>
  </si>
  <si>
    <t>Substituição de 01 (um) TC 69 kV posição operacional 92J2-2 fase A da Subestação BNB.</t>
  </si>
  <si>
    <t>EL 69 kV BANABUIU DIST5 (12J2)</t>
  </si>
  <si>
    <t>0004531/2023</t>
  </si>
  <si>
    <t>11454580</t>
  </si>
  <si>
    <t>Substituição de 01 (um) TC 69 kV posição operacional 92J2-2 fase C da Subestação BNB.</t>
  </si>
  <si>
    <t>0004532/2023</t>
  </si>
  <si>
    <t>11454581</t>
  </si>
  <si>
    <t>Substituição de 01 (um) TC 69 kV posição operacional 92J1 fase B da Subestação CGD.</t>
  </si>
  <si>
    <t>EL 69 kV C.GRANDE II LT 69 kV C.GRANDE II /C.GRANDE I C-1 PB (12J1)</t>
  </si>
  <si>
    <t>0004533/2023</t>
  </si>
  <si>
    <t>11324199</t>
  </si>
  <si>
    <t>Substituição de 01 (um) TC 69 kV posição operacional 92J1 fase C da Subestação CGD.</t>
  </si>
  <si>
    <t>0004534/2023</t>
  </si>
  <si>
    <t>11324200</t>
  </si>
  <si>
    <t>Substituição de 01 (um) TC 69 kV posição operacional 92J3-2 fase C da Subestação CMA.</t>
  </si>
  <si>
    <t>EL 69 kV COREMAS DIST3 (12J3)</t>
  </si>
  <si>
    <t>0004539/2023</t>
  </si>
  <si>
    <t>11454490</t>
  </si>
  <si>
    <t>Substituição de 01 (um) TC 69 kV posição operacional 92J6-1 fase A da Subestação CMA.</t>
  </si>
  <si>
    <t>0004543/2023</t>
  </si>
  <si>
    <t>11321316</t>
  </si>
  <si>
    <t>Substituição de 01 (um) TC 69 kV posição operacional 92J6-1 fase B da Subestação CMA.</t>
  </si>
  <si>
    <t>0004544/2023</t>
  </si>
  <si>
    <t>11321317</t>
  </si>
  <si>
    <t>Substituição de 01 (um) TC 69 kV posição operacional 92J6-1 fase C da Subestação CMA.</t>
  </si>
  <si>
    <t>0004553/2023</t>
  </si>
  <si>
    <t>11321318</t>
  </si>
  <si>
    <t>Substituição de 01 (um) TC 69 kV posição operacional 92J8-2 fase C da Subestação FTZ.</t>
  </si>
  <si>
    <t>EL 69 kV FORTALEZA PARANGABA 02J8 (12J8)</t>
  </si>
  <si>
    <t>0004557/2023</t>
  </si>
  <si>
    <t>11323026</t>
  </si>
  <si>
    <t>Substituição de 01 (um) TC 69 kV posição operacional 92J9-2 fase A da Subestação FTZ.</t>
  </si>
  <si>
    <t>EL 69 kV FORTALEZA DISTRITO 02J9 (12J9)</t>
  </si>
  <si>
    <t>0004558/2023</t>
  </si>
  <si>
    <t>11321823</t>
  </si>
  <si>
    <t>Substituição de 01 (um) TC 69 kV posição operacional 92J9-2 fase C da Subestação FTZ.</t>
  </si>
  <si>
    <t>0004559/2023</t>
  </si>
  <si>
    <t>11321824</t>
  </si>
  <si>
    <t>Substituição de 01 (um) TC 69 kV posição operacional 92V1-2 fase C da Subestação GVM.</t>
  </si>
  <si>
    <t>EL 69 kV G.MANGABEIRA DIST1 (12V1)</t>
  </si>
  <si>
    <t>0004575/2023</t>
  </si>
  <si>
    <t>11324253</t>
  </si>
  <si>
    <t>Substituição de 01 (um) TC 69 kV posição operacional 92J2-1 fase A da Subestação IRE.</t>
  </si>
  <si>
    <t>EL 69 kV IRECE DIST2 (12J2)</t>
  </si>
  <si>
    <t>0004582/2023</t>
  </si>
  <si>
    <t>11322363</t>
  </si>
  <si>
    <t>Substituição de 01 (um) TC 69 kV posição operacional 92J2-1 fase B da Subestação IRE.</t>
  </si>
  <si>
    <t>0004584/2023</t>
  </si>
  <si>
    <t>11322364</t>
  </si>
  <si>
    <t>Substituição de 01 (um) TC 69 kV posição operacional 92J2-1 fase C da Subestação IRE.</t>
  </si>
  <si>
    <t>0004585/2023</t>
  </si>
  <si>
    <t>11322365</t>
  </si>
  <si>
    <t>Substituição da cadeia de proteção de Barras principal, referente às barras A e B de 525 kV da SE Curitiba, incluindo uma Unidade Central e dez unidades de Bay (vãos TF 1, TF 2, TF 3, Reator 2, LT Bateias C-1, LT Bateias C-2, LT Areia C-1, LT Blumenau C-1, LT Curitiba Leste C-1 e IB DJ1110), painéis e cabos de controle e potência associados.</t>
  </si>
  <si>
    <t>0004587/2023</t>
  </si>
  <si>
    <t>Substituição da cadeia de proteção de Barras principal, referente às barras P1 e P2 de 230 kV da SE Curitiba, incluindo uma Unidade Central e treze unidades de Bay (vãos TF 1 (DJ792 e DJ794), TF 2 (DJ802 e DJ804), TF 3 (DJ702 e DJ704), LT Joinville C-1, LT Joinville Norte C-1, LT Joinville Norte C-2, LT S. Mateus do Sul C-1, LT Umbará C-1, LT Umbará C-2 e Interligador de Barras (IB)), painéis e cabos de controle e potência associados.</t>
  </si>
  <si>
    <t>0004591/2023</t>
  </si>
  <si>
    <t>Substituição do sistema de controle e supervisão (com unidade redundante) da LT 525 kV Curitiba - Areia C-1, incluindo painéis e cabos de controle e potência associados.</t>
  </si>
  <si>
    <t>0004594/2023</t>
  </si>
  <si>
    <t>Controle - LT ARE C-1</t>
  </si>
  <si>
    <t>Substituição de 01 (um) TC 69 kV posição operacional 92J7-1 fase A da Subestação MRR.</t>
  </si>
  <si>
    <t>EL 69 kV MIRUEIRA DIST7 (12J7)</t>
  </si>
  <si>
    <t>0004622/2023</t>
  </si>
  <si>
    <t>11324710</t>
  </si>
  <si>
    <t>Substituição de 01 (um) TC 69 kV posição operacional 92J7-1 fase B da Subestação MRR.</t>
  </si>
  <si>
    <t>0004624/2023</t>
  </si>
  <si>
    <t>11324711</t>
  </si>
  <si>
    <t>Substituição do sistema de controle e supervisão (com unidade redundante) da LT 525 kV Curitiba - Bateias C-1, incluindo painéis e cabos de controle e potência associados.</t>
  </si>
  <si>
    <t>0004626/2023</t>
  </si>
  <si>
    <t>Substituição de 01 (um) TC 69 kV posição operacional 92J7-1 fase C da Subestação MRR.</t>
  </si>
  <si>
    <t>0004627/2023</t>
  </si>
  <si>
    <t>11324712</t>
  </si>
  <si>
    <t>Substituição de 01 (um) TC 69 kV posição operacional 92L5-2 fase A da Subestação MRR.</t>
  </si>
  <si>
    <t>EL 69 kV MIRUEIRA DIS12 (12L5)</t>
  </si>
  <si>
    <t>0004629/2023</t>
  </si>
  <si>
    <t>11454392</t>
  </si>
  <si>
    <t>Substituição do sistema de controle e supervisão (com unidade redundante) da LT 525 kV Curitiba - Blumenau C-1, incluindo painéis e cabos de controle e potência associados.</t>
  </si>
  <si>
    <t>LT 525 kV BLUMENAU /CURITIBA C-1 SC/PR</t>
  </si>
  <si>
    <t>0004631/2023</t>
  </si>
  <si>
    <t>Substituição do Banco de Baterias 125 VCC, 600Ah/10h. ESA II</t>
  </si>
  <si>
    <t>0004633/2023</t>
  </si>
  <si>
    <t>BB do VC-ESA-02</t>
  </si>
  <si>
    <t>Substituição das proteções Principal, Alternada e Falha de Disjuntor, referentes ao Reator 1 (RT1) da SE Curitiba, incluindo painéis e cabos de controle e potência associados.</t>
  </si>
  <si>
    <t>0004635/2023</t>
  </si>
  <si>
    <t>PP, PA, BF - RT1</t>
  </si>
  <si>
    <t>Substituição do sistema de controle e supervisão (com unidade redundante) do Reator 1 (RT1) da SE Curitiba, incluindo painéis e cabos de controle e potência associados.</t>
  </si>
  <si>
    <t>0004639/2023</t>
  </si>
  <si>
    <t>Controle - RT1</t>
  </si>
  <si>
    <t>Substituição das proteções Principal, Alternada e Falha de Disjuntor, referentes ao Reator 2 (RT2) da SE Curitiba, incluindo painéis e cabos de controle e potência associados.</t>
  </si>
  <si>
    <t>0004643/2023</t>
  </si>
  <si>
    <t>PP, PA, BF - RT2</t>
  </si>
  <si>
    <t>Substituição do sistema de controle e supervisão (com unidade redundante) do Reator 2 (RT2) da SE Curitiba, incluindo painéis e cabos de controle e potência associados.</t>
  </si>
  <si>
    <t>0004656/2023</t>
  </si>
  <si>
    <t>Controle - RT2</t>
  </si>
  <si>
    <t>Substituição das proteções Principal, Alternada e Falha de Disjuntor, referentes ao TR1 525/230 kV da SE Curitiba, lados de 525 e 230 kV, incluindo painéis e cabos de controle e potência associados.</t>
  </si>
  <si>
    <t>0004659/2023</t>
  </si>
  <si>
    <t>PP, PA, BF - TF1 525</t>
  </si>
  <si>
    <t>Substituição do sistema de controle e supervisão (com unidade redundante) do TR1 525/230 kV da SE Curitiba, lados de 525 e 230 kV, incluindo painéis e cabos de controle e potência associados.</t>
  </si>
  <si>
    <t>0004664/2023</t>
  </si>
  <si>
    <t>Controle - TF1 525</t>
  </si>
  <si>
    <t>Substituição das proteções Principal, Alternada e Falha de Disjuntor, referentes ao TR2 525/230 kV da SE Curitiba, lados de 525 e 230 kV, incluindo painéis e cabos de controle e potência associados.</t>
  </si>
  <si>
    <t>0004676/2023</t>
  </si>
  <si>
    <t>PP, PA, BF - TF2 525</t>
  </si>
  <si>
    <t>Substituição do sistema de controle e supervisão (com unidade redundante) do TR2 525/230 kV da SE Curitiba, lados de 525 e 230 kV, incluindo painéis e cabos de controle e potência associados.</t>
  </si>
  <si>
    <t>0004680/2023</t>
  </si>
  <si>
    <t>Substituição de Retificador (Carregador de Baterias) 125 Vcc - SACC125-RET1, da SE Londrina.</t>
  </si>
  <si>
    <t>0009537/2023</t>
  </si>
  <si>
    <t>SACC125-RET1</t>
  </si>
  <si>
    <t>Substituição da proteção Falha de Disjuntor principal, referente ao Interligador de Barras (IB) 525 kV da SE Curitiba, DJ1030 (vão entre o RT2 e a LT Blumenau C-1), incluindo painéis e cabos de controle e potência associados.</t>
  </si>
  <si>
    <t>0004690/2023</t>
  </si>
  <si>
    <t>Substituição do sistema de controle e supervisão (com unidade redundante) do Interligador de Barras (IB) 525 kV da SE Curitiba, DJ1030  (vão entre o RT2 e a LT Blumenau C-1), incluindo painéis e cabos de controle e potência associados.</t>
  </si>
  <si>
    <t>0004693/2023</t>
  </si>
  <si>
    <t>Substituição da proteção Falha de Disjuntor principal, referente ao Interligador de Barras (IB) 525 kV da SE Curitiba, DJ1050 (vão entre a LT Areia C-1 e o TF1), incluindo painéis e cabos de controle e potência associados.</t>
  </si>
  <si>
    <t>0004698/2023</t>
  </si>
  <si>
    <t>Substituição do sistema de controle e supervisão (com unidade redundante) do Interligador de Barras (IB) 525 kV da SE Curitiba, DJ1050  (vão entre a LT Areia C-1 e o TF1), incluindo painéis e cabos de controle e potência associados.</t>
  </si>
  <si>
    <t>0004703/2023</t>
  </si>
  <si>
    <t>Substituição da proteção Falha de Disjuntor principal, referente ao Interligador de Barras (IB) 525 kV da SE Curitiba, DJ1070 (vão entre a LT Bateias C-1 e o TF2), incluindo painéis e cabos de controle e potência associados.</t>
  </si>
  <si>
    <t>0004707/2023</t>
  </si>
  <si>
    <t>Substituição do sistema de controle e supervisão (com unidade redundante) do Interligador de Barras (IB) 525 kV da SE Curitiba, DJ1070  (vão entre a LT Bateias C-1 e o TF2), incluindo painéis e cabos de controle e potência associados.</t>
  </si>
  <si>
    <t>0004725/2023</t>
  </si>
  <si>
    <t>Substituição de 01 (um) TC 69 kV posição operacional 92J8-2 fase A da Subestação FTZ.</t>
  </si>
  <si>
    <t>0004751/2023</t>
  </si>
  <si>
    <t>11323023</t>
  </si>
  <si>
    <t>Substituição das proteções Principal, Alternada e Falha de Disjuntor, referentes a LT 230 kV Curitiba - Joinville Norte C-1, incluindo painéis e cabos de controle e potência associados.</t>
  </si>
  <si>
    <t>0004793/2023</t>
  </si>
  <si>
    <t>PP, PA, BF - LT JNO C-1</t>
  </si>
  <si>
    <t>Substituição do sistema de controle e supervisão (com unidade redundante) da LT 230 kV Curitiba - Joinville Norte C-1, incluindo painéis e cabos de controle e potência associados.</t>
  </si>
  <si>
    <t>0004797/2023</t>
  </si>
  <si>
    <t>Controle - LT JNO C-1</t>
  </si>
  <si>
    <t>Substituição do sistema de controle e supervisão (com unidade redundante) da LT 230 kV Curitiba - Joinville C-1, incluindo painéis e cabos de controle e potência associados.</t>
  </si>
  <si>
    <t>0004800/2023</t>
  </si>
  <si>
    <t>Controle - LT JOI C-1</t>
  </si>
  <si>
    <t>Substituição das proteções Principal, Alternada e Falha de Disjuntor, referentes a LT 230 kV Curitiba - São Mateus do Sul C-1, incluindo painéis e cabos de controle e potência associados.</t>
  </si>
  <si>
    <t>0004807/2023</t>
  </si>
  <si>
    <t>PP, PA, BF - LT SMS C-1</t>
  </si>
  <si>
    <t>Substituição do sistema de controle e supervisão (com unidade redundante) da LT 230 kV Curitiba - São Mateus do Sul C-1, incluindo painéis e cabos de controle e potência associados.</t>
  </si>
  <si>
    <t>0004810/2023</t>
  </si>
  <si>
    <t>Controle - LT SMS C-1</t>
  </si>
  <si>
    <t>Substituição da proteção Falha de Disjuntor principal, referente ao Interligador de Barras (IB) 230 kV da SE Curitiba, DJ742, incluindo painéis e cabos de controle e potência associados.</t>
  </si>
  <si>
    <t>0004814/2023</t>
  </si>
  <si>
    <t>BF - DJ742</t>
  </si>
  <si>
    <t>Substituição do sistema de controle e supervisão (com unidade redundante) do Interligador de Barras (IB) 230 kV da SE Curitiba, DJ742, incluindo painéis e cabos de controle e potência associados.</t>
  </si>
  <si>
    <t>0004818/2023</t>
  </si>
  <si>
    <t>Controle - DJ742</t>
  </si>
  <si>
    <t>Substituição do Sistema de Proteção, Controle e Supervisão (SPCS) dos cubículos e serviços auxiliares CA / CC, da SE Curitiba, incluindo painéis e cabos associados.</t>
  </si>
  <si>
    <t>0004820/2023</t>
  </si>
  <si>
    <t>Substituição da cadeia de proteção de Barras principal, referente às barras A e B de 525 kV da SE Blumenau, incluindo uma Unidade Central e dez unidades de Bay (vãos TF 5, TF 6, TF 7, Reator 1, Reator 2, LT Biguaçu C-1, LT Curitiba Leste C-1, LT Curitiba C-1, LT Campos Novos C-1 e IB DJ1030), painéis e cabos de controle e potência associados.</t>
  </si>
  <si>
    <t>0004823/2023</t>
  </si>
  <si>
    <t>Substituição da cadeia de proteção de Barras principal, referente às barras P1 e P2 de 230 kV da SE Blumenau, incluindo uma Unidade Central e dezessete unidades de Bay (vãos TF 1, TF 2, TF 3, TF 4, TF 5, TF 6, TF 7, LT Joinville C-1, LT Joinville Norte C-1, LT Gaspar 2 C-1, LT Gaspar 2 C-2, LT Itajaí C-1, LT Itajaí C-2, BC1, BC2 e Interligadores de Barras (IB - DJ842 e DJ852)), painéis e cabos de controle e potência associados.</t>
  </si>
  <si>
    <t>0004825/2023</t>
  </si>
  <si>
    <t>Substituição da cadeia de proteção de Barras, referente à barra P de 138 kV da SE Blumenau, incluindo uma Unidade Central e nove unidades de Bay (vãos TF 1, TF 2, TF 3, TF 4, LT Blumenau Dois C-1, LT Blumenau Dois C-2, LT Ilhota C-1, LT Gaspar C-1 e Interligador de Barras (IB - DJ592)), painéis e cabos de controle e potência associados.</t>
  </si>
  <si>
    <t>0004828/2023</t>
  </si>
  <si>
    <t>BA - Barra P</t>
  </si>
  <si>
    <t>Substituição do sistema de controle e supervisão (com unidade redundante) da LT 525 kV Blumenau - Curitiba C-1, incluindo painéis e cabos de controle e potência associados.</t>
  </si>
  <si>
    <t>0004832/2023</t>
  </si>
  <si>
    <t>Substituição das proteções Principal, Alternada e Falha de Disjuntor, referentes ao Reator 1 (RT1) da SE Blumenau, incluindo painéis e cabos de controle e potência associados.</t>
  </si>
  <si>
    <t>RT 525 kV 150 Mvar BLUMENAU RT1 SC</t>
  </si>
  <si>
    <t>0004834/2023</t>
  </si>
  <si>
    <t>Substituição do sistema de controle e supervisão (com unidade redundante) do Reator 1 (RT1) da SE Blumenau, incluindo painéis e cabos de controle e potência associados.</t>
  </si>
  <si>
    <t>0004838/2023</t>
  </si>
  <si>
    <t>Substituição das proteções Principal, Alternada e Falha de Disjuntor, referentes ao TR5 525/230 kV da SE Blumenau, lados de 525 e 230 kV, incluindo painéis e cabos de controle e potência associados.</t>
  </si>
  <si>
    <t>0004842/2023</t>
  </si>
  <si>
    <t>PP, PA, BF - TF5 525</t>
  </si>
  <si>
    <t>Substituição do sistema de controle e supervisão (com unidade redundante) do TR5 525/230 kV da SE Blumenau, lados de 525 e 230 kV, incluindo painéis e cabos de controle e potência associados.</t>
  </si>
  <si>
    <t>0004848/2023</t>
  </si>
  <si>
    <t>Controle - TF5 525</t>
  </si>
  <si>
    <t>Substituição das proteções Principal, Alternada e Falha de Disjuntor, referentes ao TR6 525/230 kV da SE Blumenau, lados de 525 e 230 kV, incluindo painéis e cabos de controle e potência associados.</t>
  </si>
  <si>
    <t>0004858/2023</t>
  </si>
  <si>
    <t>PP, PA, BF - TF6 525</t>
  </si>
  <si>
    <t>Substituição do sistema de controle e supervisão (com unidade redundante) do TR6 525/230 kV da SE Blumenau, lados de 525 e 230 kV, incluindo painéis e cabos de controle e potência associados.</t>
  </si>
  <si>
    <t>0004859/2023</t>
  </si>
  <si>
    <t>Controle - TF6 525</t>
  </si>
  <si>
    <t>Substituição do sistema de controle e supervisão (com unidade redundante) do Interligador de Barras (IB) 525 kV da SE Blumenau, DJ1030  (vão da LT Curitiba C-1), incluindo painéis e cabos de controle e potência associados.</t>
  </si>
  <si>
    <t>0004866/2023</t>
  </si>
  <si>
    <t>Substituição da proteção Falha de Disjuntor principal, referente ao Interligador de Barras (IB) 525 kV da SE Blumenau, DJ1070 (vão entre o RT1 e o TF6), incluindo painéis e cabos de controle e potência associados.</t>
  </si>
  <si>
    <t>0004869/2023</t>
  </si>
  <si>
    <t>Substituição do sistema de controle e supervisão (com unidade redundante) do Interligador de Barras (IB) 525 kV da SE Blumenau, DJ1070  (vão entre o RT1 e o TF6), incluindo painéis e cabos de controle e potência associados.</t>
  </si>
  <si>
    <t>0004873/2023</t>
  </si>
  <si>
    <t>Substituição de Transformadores de Corrente 230 kV referentes a LT Passo Fundo - Xanxerê C-1, DJ792, Fases A, B, C. Associado à obra, são esperadas substituições/adaptações de fundações e suportes, caixa de junção, cabos de controle/potência, barramento, conectores e conexão de aterramento. Funções do TC: proteção e medição.</t>
  </si>
  <si>
    <t>0004881/2023</t>
  </si>
  <si>
    <t>Substituição dos sistemas de proteção e controle da linha LDLI-LT601 - Terminal São Luís II</t>
  </si>
  <si>
    <t>0004888/2023</t>
  </si>
  <si>
    <t>LDSPRLT</t>
  </si>
  <si>
    <t>Substituição dos sistemas de proteção e controle da linha LDMR-LT601 - Terminal São Luis II</t>
  </si>
  <si>
    <t>0004890/2023</t>
  </si>
  <si>
    <t>0004897/2023</t>
  </si>
  <si>
    <t>TC DJ812</t>
  </si>
  <si>
    <t>Substituição dos sistemas de proteção e controle dos bancos de capacitores LDBC6-03 e LDBC6-04</t>
  </si>
  <si>
    <t>0004898/2023</t>
  </si>
  <si>
    <t>LDSPRBC</t>
  </si>
  <si>
    <t>0004900/2023</t>
  </si>
  <si>
    <t>TC DJ782</t>
  </si>
  <si>
    <t>Substituição dos sistemas de proteção e controle dos bancos de capacitores LDBC6-01 e LDBC6-02</t>
  </si>
  <si>
    <t>0004903/2023</t>
  </si>
  <si>
    <t>0004905/2023</t>
  </si>
  <si>
    <t>Substituição dos sistemas de proteção e controle da linha LDLI-LT602 - Terminal São Luís I</t>
  </si>
  <si>
    <t>0004906/2023</t>
  </si>
  <si>
    <t>LISPRLT</t>
  </si>
  <si>
    <t>LT 230 kV FOZ DO CHOPIM/S. OSORIO C-1 PR</t>
  </si>
  <si>
    <t>0004909/2023</t>
  </si>
  <si>
    <t>TC DJ822</t>
  </si>
  <si>
    <t>LT 230 kV S.OSORIO / UH. S.OSORIO C-1 PR</t>
  </si>
  <si>
    <t>0004914/2023</t>
  </si>
  <si>
    <t>LT 230 kV S.OSORIO / UH. S.OSORIO C-2 PR</t>
  </si>
  <si>
    <t>0004920/2023</t>
  </si>
  <si>
    <t>Substituição dos sistemas de proteção e controle da linha LDMR-LT601 - Terminal Miranda</t>
  </si>
  <si>
    <t>0004923/2023</t>
  </si>
  <si>
    <t>MRSPRPR</t>
  </si>
  <si>
    <t>LT 230 kV S.OSORIO / UH. S.OSORIO C-3 PR</t>
  </si>
  <si>
    <t>0004924/2023</t>
  </si>
  <si>
    <t>Substituição dos sistemas de proteção e controle da linha PDPR-LT6-01 - Terminal Peritoró</t>
  </si>
  <si>
    <t>LT 230 kV P.DUTRA /PERITORO C-1 MA</t>
  </si>
  <si>
    <t>0004928/2023</t>
  </si>
  <si>
    <t>PRSPRPR</t>
  </si>
  <si>
    <t>LT 230 kV S.OSORIO / UH. S.OSORIO C-4 PR</t>
  </si>
  <si>
    <t>0004930/2023</t>
  </si>
  <si>
    <t>Substituição dos sistemas de proteção e controle da linha PDPR-LT6-01 - Terminal Pres. Dutra</t>
  </si>
  <si>
    <t>0004932/2023</t>
  </si>
  <si>
    <t>PDSPRPR</t>
  </si>
  <si>
    <t>Substituição dos sistemas de proteção e controle do transformador PDTF6-03</t>
  </si>
  <si>
    <t>CS 100/-70 MVAr P.DUTRA CS1 MA</t>
  </si>
  <si>
    <t>0004938/2023</t>
  </si>
  <si>
    <t>PDSPRTF</t>
  </si>
  <si>
    <t>0004939/2023</t>
  </si>
  <si>
    <t>Substituição dos sistemas de proteção e controle do transformador PDTF6-04</t>
  </si>
  <si>
    <t>TR 230/69 kV P.DUTRA TF4 MA</t>
  </si>
  <si>
    <t>0004942/2023</t>
  </si>
  <si>
    <t>Substituição dos sistemas de proteção e controle do transformador PDTF6-01</t>
  </si>
  <si>
    <t>0004945/2023</t>
  </si>
  <si>
    <t>TR 230/138 kV XANXERE ESU TR1 SC</t>
  </si>
  <si>
    <t>0004946/2023</t>
  </si>
  <si>
    <t>LT 230 kV RIO LARGO II /BRASKEM AL</t>
  </si>
  <si>
    <t>Substituição de 1 estrutura metálica autoportante 009/1 por outra com altura de 84 m e carregamento/esforço de 25362,7 DAN) e componentes e 04 fundações associadas da LT 230 kV RIO LARGO II /BRASKEM C-1 AL-04S2.</t>
  </si>
  <si>
    <t>LT 230 kV RIO LARGO II /BRASKEM C-1 AL (04S2)</t>
  </si>
  <si>
    <t>0005005/2023</t>
  </si>
  <si>
    <t>11576346</t>
  </si>
  <si>
    <t>Substituição de 01 (um) Disjuntor 230 kV com sincronizador posição operacional 14E1 da Subestação CGD.</t>
  </si>
  <si>
    <t>RTB 230 kV 10 Mvar C.GRANDE II RT1 PB</t>
  </si>
  <si>
    <t>0005016/2023</t>
  </si>
  <si>
    <t>11340561</t>
  </si>
  <si>
    <t>Substituição de 01 (um) Disjuntor 230 kV com sincronizador posição operacional 14E2 da Subestação CGD.</t>
  </si>
  <si>
    <t>0005018/2023</t>
  </si>
  <si>
    <t>11340611</t>
  </si>
  <si>
    <t>Substituição de 01 (um) Disjuntor 230 kV com sincronizador posição operacional 14T6 da Subestação CMD.</t>
  </si>
  <si>
    <t>0005019/2023</t>
  </si>
  <si>
    <t>11340208</t>
  </si>
  <si>
    <t>Substituição de 01 (um) Disjuntor 13,8 kV posição operacional 11T1 da subestação PAQ.</t>
  </si>
  <si>
    <t>0005021/2023</t>
  </si>
  <si>
    <t>11341924</t>
  </si>
  <si>
    <t>Substituição de 01 (um) Disjuntor 13,8 kV posição operacional 11T2 da subestação PAQ.</t>
  </si>
  <si>
    <t>0005022/2023</t>
  </si>
  <si>
    <t>11341925</t>
  </si>
  <si>
    <t>Substituição de 01 (um) disjuntor de 13,8 kV, posição 11K1 da subestação RCD.</t>
  </si>
  <si>
    <t>0005024/2023</t>
  </si>
  <si>
    <t>11342175</t>
  </si>
  <si>
    <t>Substituição de 01 (um) disjuntor de 13,8 kV, posição 11K2 da subestação RCD.</t>
  </si>
  <si>
    <t>0005025/2023</t>
  </si>
  <si>
    <t>11342174</t>
  </si>
  <si>
    <t>Substituição de 01 (um) disjuntor de 13,8 kV, posição 11T3 da subestação RCD.</t>
  </si>
  <si>
    <t>0005027/2023</t>
  </si>
  <si>
    <t>11342172</t>
  </si>
  <si>
    <t>SUBSTITUIÇÃO DO DISJUNTOR DE 13,8 kV, POSIÇÃO 11T4 da subestação RCD.</t>
  </si>
  <si>
    <t>0005028/2023</t>
  </si>
  <si>
    <t>11342171</t>
  </si>
  <si>
    <t>Substituição de 01 (um) disjuntor de 13,8 kV, posição 11T5 da subestação RCD.</t>
  </si>
  <si>
    <t>0005029/2023</t>
  </si>
  <si>
    <t>11342181</t>
  </si>
  <si>
    <t>SUBSTITUIÇÃO DO DISJUNTOR DE 13,8 kV, POSIÇÃO 11T6 da subestação RCD.</t>
  </si>
  <si>
    <t>0005031/2023</t>
  </si>
  <si>
    <t>11342179</t>
  </si>
  <si>
    <t>Substituição de 01 (um) disjuntor de 13,8 kV, posição 11T7 da subestação RCD.</t>
  </si>
  <si>
    <t>0005032/2023</t>
  </si>
  <si>
    <t>11342182</t>
  </si>
  <si>
    <t>SUBSTITUIÇÃO DO DISJUNTOR DE 13,8 kV, POSIÇÃO 16T4-A da subestação RCD.</t>
  </si>
  <si>
    <t>0005034/2023</t>
  </si>
  <si>
    <t>11342180</t>
  </si>
  <si>
    <t>SUBSTITUIÇÃO DO DISJUNTOR DE 230 kV, POSIÇÃO 14T5 da subestação RCD.</t>
  </si>
  <si>
    <t>0005035/2023</t>
  </si>
  <si>
    <t>11340163</t>
  </si>
  <si>
    <t>Substituição de 01 (um) disjuntor de 13,8 kV, posição 16F1 da subestação RCD.</t>
  </si>
  <si>
    <t>0005037/2023</t>
  </si>
  <si>
    <t>12586074</t>
  </si>
  <si>
    <t>Substituição de 01 (um) disjuntor de 13,8 kV, posição 11T8 da subestação RCD.</t>
  </si>
  <si>
    <t>0005038/2023</t>
  </si>
  <si>
    <t>12586077</t>
  </si>
  <si>
    <t>Substituição de 01 (um) disjuntor de 13,8 kV, posição 16T3-A da subestação RCD.</t>
  </si>
  <si>
    <t>0005040/2023</t>
  </si>
  <si>
    <t>12586072</t>
  </si>
  <si>
    <t>Substituição de 01 (um) disjuntor de 13,8 kV, posição 16T3-B da subestação RCD.</t>
  </si>
  <si>
    <t>0005041/2023</t>
  </si>
  <si>
    <t>12586073</t>
  </si>
  <si>
    <t>Substituição de 01 (um) disjuntor de 13,8 kV, posição 16T4-B da subestação RCD.</t>
  </si>
  <si>
    <t>0005043/2023</t>
  </si>
  <si>
    <t>12586075</t>
  </si>
  <si>
    <t>Substituição de 01 (um) disjuntor de 13,8 kV, posição 16F2 da subestação RCD.</t>
  </si>
  <si>
    <t>0005044/2023</t>
  </si>
  <si>
    <t>12586076</t>
  </si>
  <si>
    <t>Substituição de 01 (um) Disjuntor 13,8 kV posição operacional 11S1 da subestação CMD.</t>
  </si>
  <si>
    <t>0005045/2023</t>
  </si>
  <si>
    <t>12587129</t>
  </si>
  <si>
    <t>Substituição de 01 (um) Disjuntor 13,8 kV posição operacional 11T1 da subestação AGD.</t>
  </si>
  <si>
    <t>0005046/2023</t>
  </si>
  <si>
    <t>11341920</t>
  </si>
  <si>
    <t>Substituição de 01 (um) Disjuntor 13,8 kV posição operacional 11T2 da subestação AGD.</t>
  </si>
  <si>
    <t>0005047/2023</t>
  </si>
  <si>
    <t>11341921</t>
  </si>
  <si>
    <t>Substituição de 01 (um) Disjuntor 13,8 kV posição operacional 11T1 da subestação RCD.</t>
  </si>
  <si>
    <t>0005049/2023</t>
  </si>
  <si>
    <t>11341922</t>
  </si>
  <si>
    <t>Substituição de 01 (um) Disjuntor 13,8 kV posição operacional 11T2 da subestação RCD.</t>
  </si>
  <si>
    <t>0005050/2023</t>
  </si>
  <si>
    <t>11341923</t>
  </si>
  <si>
    <t>LT 500 kV CEARA MIRIM II /C.GRANDE III RN/PB</t>
  </si>
  <si>
    <t>Substituir 1,6 km de cabos para-raios (2 cabo(s) do tipo EHS 3/8") em 2 vãos da LT 500 kV CEARA MIRIM II /C.GRANDE III C-1 RN/PB-05L2 (078/2;067/3).</t>
  </si>
  <si>
    <t>LT 500 kV CEARA MIRIM II /C.GRANDE III C-1 RN/PB</t>
  </si>
  <si>
    <t>0005052/2023</t>
  </si>
  <si>
    <t>11638740</t>
  </si>
  <si>
    <t>Substituição de 1 estrutura metálica autoportante 026/2 por outra com altura de 33 m e carregamento/esforço de 5554 DAN) e componentes e 04 fundações associadas da LT 230 kV RIBEIRAO /RECIFE II C-1 PE-04M1.</t>
  </si>
  <si>
    <t>0005053/2023</t>
  </si>
  <si>
    <t>11537320</t>
  </si>
  <si>
    <t>Substituição de 1 estrutura metálica autoportante 007/1 por outra com altura de 24 m e carregamento/esforço de 3687 DAN) e componentes e 04 fundações associadas da LT 230 kV SE CAMPO FORMOSO /OUROLANDIA II C-1 BA-04C2.</t>
  </si>
  <si>
    <t>0005054/2023</t>
  </si>
  <si>
    <t>11491954</t>
  </si>
  <si>
    <t>Substituição de 1 estrutura metálica autoportante 032/1 por outra com altura de 33 m e carregamento/esforço de 5554 DAN) e componentes e 04 fundações associadas da LT 230 kV RIBEIRAO /RECIFE II C-1 PE-04M1.</t>
  </si>
  <si>
    <t>0005056/2023</t>
  </si>
  <si>
    <t>11537430</t>
  </si>
  <si>
    <t>LT 230 kV CEARA MIRIM II /JOAO CAMARA II RN</t>
  </si>
  <si>
    <t>Substituição de 1 estrutura metálica monomastro 025/1 (nova altura = 39,4 m e carregamento/esforço = 4240 DAN) e componentes e 05 fundações (7,5 m³) associadas da LT 230 kV CEARA MIRIM II /JOAO CAMARA II C-1 RN-04C1-04C1.</t>
  </si>
  <si>
    <t>LT 230 kV CEARA MIRIM II /JOAO CAMARA II C-1 RN</t>
  </si>
  <si>
    <t>0005057/2023</t>
  </si>
  <si>
    <t>11615293</t>
  </si>
  <si>
    <t>LT 230 kV C.GRANDE III /C.GRANDE II PB</t>
  </si>
  <si>
    <t>Substituir 6 esferas de sinalização em 2 vão(s) da LT 230 kV C.GRANDE III /C.GRANDE II C-2 PB-04V3 (001/2;003/1).</t>
  </si>
  <si>
    <t>LT 230 kV C.GRANDE III /C.GRANDE II C-2 PB</t>
  </si>
  <si>
    <t>0005060/2023</t>
  </si>
  <si>
    <t>d-scgdscgt-04v3-esfe-0020542023</t>
  </si>
  <si>
    <t>LT 230 kV C.GRANDE III /EXTREMOZ II PB/RN</t>
  </si>
  <si>
    <t>Substituir 3 esferas de sinalização em 1 vão(s) da LT 230 kV C.GRANDE III /EXTREMOZ II C-1 PB/RN-04M1 (052/1).</t>
  </si>
  <si>
    <t>LT 230 kV C.GRANDE III /EXTREMOZ II C-1 PB/RN</t>
  </si>
  <si>
    <t>0005062/2023</t>
  </si>
  <si>
    <t>d-scgtsetd-04m1-esfe-0020552023</t>
  </si>
  <si>
    <t>Substituir 24 esferas de sinalização em 8 vão(s) da LT 500 kV CEARA MIRIM II /C.GRANDE III C-1 RN/PB-05L2 (018/1;024/3;037/1;052/2;067/3;078/2;091/2;164/2).</t>
  </si>
  <si>
    <t>0005063/2023</t>
  </si>
  <si>
    <t>d-scidscgt-05l2-esfe-0020562023</t>
  </si>
  <si>
    <t>Substituir 3 esferas de sinalização em 1 vão(s) da LT 230 kV TACAIMBO /C.GRANDE II C-1 PE/PB-04C1 (00599A).</t>
  </si>
  <si>
    <t>0005064/2023</t>
  </si>
  <si>
    <t>d-stacscgd-04c1-esfe-0020572023</t>
  </si>
  <si>
    <t>Substituir 3 esferas de sinalização em 1 vão(s) da LT 230 kV TACAIMBO /C.GRANDE II C-2 PE/PB-04C2 (00604A).</t>
  </si>
  <si>
    <t>0005065/2023</t>
  </si>
  <si>
    <t>d-stacscgd-04c2-esfe-0020582023</t>
  </si>
  <si>
    <t>Substituir 3 esferas de sinalização em 1 vão(s) da LT 230 kV C.GRANDE II /PARAISO C-2 PB/RN-04V2 (113/2).</t>
  </si>
  <si>
    <t>0005066/2023</t>
  </si>
  <si>
    <t>d-scgdsprs-04v2-esfe-0020592023</t>
  </si>
  <si>
    <t>LT 230 kV CEARA MIRIM II /EXTREMOZ II RN</t>
  </si>
  <si>
    <t>Substituir 3 esferas de sinalização em 1 vão(s) da LT 230 kV CEARA MIRIM II /EXTREMOZ II C-2 RN-04Z2 (010/1A).</t>
  </si>
  <si>
    <t>LT 230 kV CEARA MIRIM II /EXTREMOZ II C-2 RN</t>
  </si>
  <si>
    <t>0005067/2023</t>
  </si>
  <si>
    <t>d-scidsetd-04z2-esfe-0020602023</t>
  </si>
  <si>
    <t>Substituir 3 esferas de sinalização em 1 vão(s) da LT 500 kV ANGELIM II /PAU FERRO C-1 PE-05L3 (000/2).</t>
  </si>
  <si>
    <t>0005068/2023</t>
  </si>
  <si>
    <t>d-sagdspfe-05l3-esfe-0020612023</t>
  </si>
  <si>
    <t>Substituir 6 esferas de sinalização em 2 vão(s) da LT 500 kV ANGELIM II /RECIFE II C-2 PE-05L9 (001/1;001/2).</t>
  </si>
  <si>
    <t>0005070/2023</t>
  </si>
  <si>
    <t>d-sagdsrcd-05l9-esfe-0020622023</t>
  </si>
  <si>
    <t>Substituir 9 esferas de sinalização em 3 vão(s) da LT 230 kV SANTANA II /ANGELIM C-1 AL/PE-04Z9 (015/1;209/1;219/1).</t>
  </si>
  <si>
    <t>0005073/2023</t>
  </si>
  <si>
    <t>d-sstnsagl-04z9-esfe-0020642023</t>
  </si>
  <si>
    <t>Substituir 3 esferas de sinalização em 1 vão(s) da LT 230 kV TACAIMBO /C.GRANDE II C-1 PE/PB-04C1 (001/2).</t>
  </si>
  <si>
    <t>0005074/2023</t>
  </si>
  <si>
    <t>d-stacscgd-04c1-esfe-0020652023</t>
  </si>
  <si>
    <t>Substituir 3 esferas de sinalização em 1 vão(s) da LT 230 kV TACAIMBO /C.GRANDE II C-2 PE/PB-04C2 (001/2).</t>
  </si>
  <si>
    <t>0005075/2023</t>
  </si>
  <si>
    <t>d-stacscgd-04c2-esfe-0020662023</t>
  </si>
  <si>
    <t>Substituir 15 esferas de sinalização em 5 vão(s) da LT 500 kV USINA XINGO /MESSIAS C-1 AL-05V4 (002/2;019/1;072/1;077/1;219/3).</t>
  </si>
  <si>
    <t>0005076/2023</t>
  </si>
  <si>
    <t>d-sxgosmsi-05v4-esfe-0020672023</t>
  </si>
  <si>
    <t>Substituir 12 esferas de sinalização em 4 vão(s) da LT 500 kV ANGELIM II /PAU FERRO C-1 PE-05L3 (114/2;115/1;115/2;115/3).</t>
  </si>
  <si>
    <t>0005077/2023</t>
  </si>
  <si>
    <t>d-sagdspfe-05l3-esfe-0020682023</t>
  </si>
  <si>
    <t>Substituir 15 esferas de sinalização em 5 vão(s) da LT 500 kV ANGELIM II /RECIFE II C-2 PE-05L9 (115/3;116/1;116/2;168/3;171/1).</t>
  </si>
  <si>
    <t>0005078/2023</t>
  </si>
  <si>
    <t>d-sagdsrcd-05l9-esfe-0020692023</t>
  </si>
  <si>
    <t>LT 230 kV BONGI /ACONORTE PE</t>
  </si>
  <si>
    <t>Substituir 3 esferas de sinalização em 1 vão(s) da LT 230 kV BONGI /ACONORTE C-1 PE-04C1 (BGI).</t>
  </si>
  <si>
    <t>LT 230 kV BONGI /ACONORTE C-1 PE (04C1)</t>
  </si>
  <si>
    <t>0005079/2023</t>
  </si>
  <si>
    <t>d-sbgisacn-04c1-esfe-0020702023</t>
  </si>
  <si>
    <t>Substituir 6 esferas de sinalização em 2 vão(s) da LT 230 kV BONGI /JOAIRAM C-1 PE-04V4 (007/2;BGI).</t>
  </si>
  <si>
    <t>0005081/2023</t>
  </si>
  <si>
    <t>d-sjrmsbgi-04v4-esfe-0020712023</t>
  </si>
  <si>
    <t>Substituir 3 esferas de sinalização em 1 vão(s) da LT 230 kV BONGI /JOAIRAM C-2 PE-04V5 (BGI).</t>
  </si>
  <si>
    <t>0005082/2023</t>
  </si>
  <si>
    <t>d-sjrmsbgi-04v5-esfe-0020722023</t>
  </si>
  <si>
    <t>Substituir 6 esferas de sinalização em 2 vão(s) da LT 230 kV BONGI /JOAIRAM C-3 PE-04V6 (006/3;BGI).</t>
  </si>
  <si>
    <t>0005084/2023</t>
  </si>
  <si>
    <t>d-sjrmsbgi-04v6-esfe-0020732023</t>
  </si>
  <si>
    <t>LT 230 kV PAU FERRO /MIRUEIRA II PE</t>
  </si>
  <si>
    <t>Substituir 3 esferas de sinalização em 1 vão(s) da LT 230 kV PAU FERRO /MIRUEIRA II C-2 PE-04F5 (016/2).</t>
  </si>
  <si>
    <t>LT 230 kV PAU FERRO /MIRUEIRA II C-2 PE</t>
  </si>
  <si>
    <t>0005085/2023</t>
  </si>
  <si>
    <t>d-smidspfe-04f5-esfe-0020742023</t>
  </si>
  <si>
    <t>Substituir 6 esferas de sinalização em 2 vão(s) da LT 500 kV MESSIAS /SUAPE II C-1 AL/PE-05V2 (121/1;121/2).</t>
  </si>
  <si>
    <t>0005086/2023</t>
  </si>
  <si>
    <t>d-smsissud-05v2-esfe-0020752023</t>
  </si>
  <si>
    <t>LT 230 kV PAU FERRO /SANTA RITA II PE/PB</t>
  </si>
  <si>
    <t>Substituir 3 esferas de sinalização em 1 vão(s) da LT 230 kV PAU FERRO /SANTA RITA II C-2856 PE/PB-04F9 (035/1).</t>
  </si>
  <si>
    <t>LT 230 kV PAU FERRO /SANTA RITA II C-1 PE/PB</t>
  </si>
  <si>
    <t>0005087/2023</t>
  </si>
  <si>
    <t>d-spfessrd-04f9-esfe-0020762023</t>
  </si>
  <si>
    <t>LT 230 kV RECIFE II /GOIANINHA PE</t>
  </si>
  <si>
    <t>Substituir 18 esferas de sinalização em 6 vão(s) da LT 230 kV RECIFE II /GOIANINHA C-1 PE-04C8 (001/1;001/2;004/1;018/2;036/3;037/1).</t>
  </si>
  <si>
    <t>0005088/2023</t>
  </si>
  <si>
    <t>d-srcdsgnn-04c8-esfe-0020772023</t>
  </si>
  <si>
    <t>LT 230 kV RECIFE II /JABOATAO II PE</t>
  </si>
  <si>
    <t>Substituir 3 esferas de sinalização em 1 vão(s) da LT 230 kV RECIFE II /JABOATAO II C-1 PE-04J1 (013/2A).</t>
  </si>
  <si>
    <t>0005089/2023</t>
  </si>
  <si>
    <t>d-srcdsjbd-04j1-esfe-0020782023</t>
  </si>
  <si>
    <t>Substituir 3 esferas de sinalização em 1 vão(s) da LT 230 kV RECIFE II /JOAIRAM C-1 PE-04V1 (001/3).</t>
  </si>
  <si>
    <t>0005090/2023</t>
  </si>
  <si>
    <t>d-srcdsjrm-04v1-esfe-0020792023</t>
  </si>
  <si>
    <t>Substituir 6 esferas de sinalização em 2 vão(s) da LT 230 kV RECIFE II /JOAIRAM C-3 PE-04V3 (001/2;001/3).</t>
  </si>
  <si>
    <t>0005091/2023</t>
  </si>
  <si>
    <t>d-srcdsjrm-04v3-esfe-0020802023</t>
  </si>
  <si>
    <t>LT 230 kV RECIFE II /MIRUEIRA PE</t>
  </si>
  <si>
    <t>Substituir 9 esferas de sinalização em 3 vão(s) da LT 230 kV RECIFE II /MIRUEIRA C-2 PE-04C5 (001/2;001/2A;001/3).</t>
  </si>
  <si>
    <t>LT 230 kV RECIFE II /MIRUEIRA C-2 PE</t>
  </si>
  <si>
    <t>0005092/2023</t>
  </si>
  <si>
    <t>d-srcdsmrr-04c5-esfe-0020812023</t>
  </si>
  <si>
    <t>LT 230 kV RECIFE II /PAU FERRO PE</t>
  </si>
  <si>
    <t>Substituir 3 esferas de sinalização em 1 vão(s) da LT 230 kV RECIFE II /PAU FERRO C-1 PE-04F6 (001/2).</t>
  </si>
  <si>
    <t>0005093/2023</t>
  </si>
  <si>
    <t>d-srcdspfe-04f6-esfe-0020822023</t>
  </si>
  <si>
    <t>Substituir 6 esferas de sinalização em 2 vão(s) da LT 500 kV PAU FERRO /RECIFE II C-1 PE-05L8 (001/1;003/1).</t>
  </si>
  <si>
    <t>0005094/2023</t>
  </si>
  <si>
    <t>d-srcdspfe-05l8-esfe-0020832023</t>
  </si>
  <si>
    <t>LT 230 kV RECIFE II /PIRAPAMA II PE</t>
  </si>
  <si>
    <t>Substituir 9 esferas de sinalização em 3 vão(s) da LT 230 kV RECIFE II /PIRAPAMA II C-2 PE-04C1 (001/1;001/2;001/3).</t>
  </si>
  <si>
    <t>0005095/2023</t>
  </si>
  <si>
    <t>d-srcdsprd-04c1-esfe-0020842023</t>
  </si>
  <si>
    <t>Substituir 6 esferas de sinalização em 2 vão(s) da LT 230 kV RIBEIRAO /RECIFE II C-1 PE-04M1 (001/6;001/5).</t>
  </si>
  <si>
    <t>0005096/2023</t>
  </si>
  <si>
    <t>d-sribsrcd-04m1-esfe-0020852023</t>
  </si>
  <si>
    <t>LT 500 kV TERESINA II /P.DUTRA PI/MA</t>
  </si>
  <si>
    <t>Substituir 3 esferas de sinalização em 1 vão(s) da LT 500 kV TERESINA II /P.DUTRA C-2 PI/MA-05C9 (191/2).</t>
  </si>
  <si>
    <t>0005097/2023</t>
  </si>
  <si>
    <t>d-spddstsd-05c9-esfe-0020862023</t>
  </si>
  <si>
    <t>Substituir 21 esferas de sinalização em 7 vão(s) da LT 230 kV U. A. SALES /P.AFONSO III C-1 BA/AL-04M1 (001/1;001/2;004/3;004/4;005/1;005/2;005/3).</t>
  </si>
  <si>
    <t>0005098/2023</t>
  </si>
  <si>
    <t>d-huasspaf-04m1-esfe-0020872023</t>
  </si>
  <si>
    <t>Substituir 15 esferas de sinalização em 5 vão(s) da LT 230 kV U. A. SALES /P.AFONSO III C-2 BA/AL-04M2 (001/1;001/2;005/1;005/2;005/3).</t>
  </si>
  <si>
    <t>LT 230 kV U. A. SALES /P.AFONSO III C-2 BA/AL (04M2)</t>
  </si>
  <si>
    <t>0005099/2023</t>
  </si>
  <si>
    <t>d-huasspaf-04m2-esfe-0020882023</t>
  </si>
  <si>
    <t>LT 138 kV USINA PA-II /ZEBU BA</t>
  </si>
  <si>
    <t>Substituir 3 esferas de sinalização em 1 vão(s) da LT 138 kV USINA PA-II /ZEBU C-1 BA-03C1 (000006).</t>
  </si>
  <si>
    <t>LT 138 kV USINA PA-II /ZEBU C-1 BA</t>
  </si>
  <si>
    <t>0005100/2023</t>
  </si>
  <si>
    <t>d-husdszbu-03c1-esfe-0020892023</t>
  </si>
  <si>
    <t>LT 69 kV ABAIXADORA /MOXOTO BA</t>
  </si>
  <si>
    <t>Substituir 6 esferas de sinalização em 2 vão(s) da LT 69 kV ABAIXADORA /MOXOTO C-1 BA-02M1 (000005;000006).</t>
  </si>
  <si>
    <t>LT 69 kV ABAIXADORA /MOXOTO C-1 BA</t>
  </si>
  <si>
    <t>0005101/2023</t>
  </si>
  <si>
    <t>d-sabxsmxt-02m1-esfe-0020902023</t>
  </si>
  <si>
    <t>LT 69 kV ABAIXADORA /ZEBU BA/AL</t>
  </si>
  <si>
    <t>Substituir 6 esferas de sinalização em 2 vão(s) da LT 69 kV ABAIXADORA /ZEBU C-1 BA/AL-02V2 (000007;000008).</t>
  </si>
  <si>
    <t>LT 69 kV ABAIXADORA /ZEBU C-1 BA/AL</t>
  </si>
  <si>
    <t>0005102/2023</t>
  </si>
  <si>
    <t>d-sabxszbu-02v2-esfe-0020912023</t>
  </si>
  <si>
    <t>Substituir 21 esferas de sinalização em 7 vão(s) da LT 500 kV US. L.GONZAGA /GARANHUNS II C-2 PE-05Z1 (001/2;021/2;025/1;026/3;028/2;114/2;114/3).</t>
  </si>
  <si>
    <t>0005103/2023</t>
  </si>
  <si>
    <t>d-slgzsgrd-05z1-esfe-0020922023</t>
  </si>
  <si>
    <t>Substituir 3 esferas de sinalização em 1 vão(s) da LT 500 kV US. L.GONZAGA /MILAGRES C-1 PE/CE-05V1 (027/1).</t>
  </si>
  <si>
    <t>0005104/2023</t>
  </si>
  <si>
    <t>d-slgzsmlg-05v1-esfe-0020932023</t>
  </si>
  <si>
    <t>Substituir 30 esferas de sinalização em 10 vão(s) da LT 500 kV OLINDINA /US. L.GONZAGA C-1 BA/PE-05S4 (006/3;021/1;024/3;027/1;029/1;032/3;034/2;036/2;036/3;037/3).</t>
  </si>
  <si>
    <t>0005105/2023</t>
  </si>
  <si>
    <t>d-slgzsold-05s4-esfe-0020942023</t>
  </si>
  <si>
    <t>Substituir 18 esferas de sinalização em 6 vão(s) da LT 230 kV P.AFONSO III /BOM NOME C-3 AL/PE-04F3 (PAF;001/1;002/2;002/3;040/4;041/1).</t>
  </si>
  <si>
    <t>0005106/2023</t>
  </si>
  <si>
    <t>d-spafsbno-04f3-esfe-0020952023</t>
  </si>
  <si>
    <t>LT 230 kV P.AFONSO III /CIC. DANTAS AL/BA</t>
  </si>
  <si>
    <t>Substituir 51 esferas de sinalização em 17 vão(s) da LT 230 kV P.AFONSO III /CIC. DANTAS C-1 AL/BA-04S2 (1;2;3;8;22;128;251;274;349;363;384;391;397;412;424;432;437).</t>
  </si>
  <si>
    <t>LT 230 kV P.AFONSO III /CIC. DANTAS C-1 AL/BA</t>
  </si>
  <si>
    <t>0005107/2023</t>
  </si>
  <si>
    <t>d-spafsccd-04s2-esfe-0020962023</t>
  </si>
  <si>
    <t>LT 230 kV P.AFONSO III /FLORESTA II AL/PE</t>
  </si>
  <si>
    <t>Substituir 9 esferas de sinalização em 3 vão(s) da LT 230 kV P.AFONSO III /SE Floresta II C-2 AL/PE-04F2 (002/3;041/2;041/3).</t>
  </si>
  <si>
    <t>LT 230 kV P.AFONSO III /FLORESTA II C-1 AL/PE</t>
  </si>
  <si>
    <t>0005108/2023</t>
  </si>
  <si>
    <t>d-spafsftd-04f2-esfe-0020972023</t>
  </si>
  <si>
    <t>LT 230 kV P.AFONSO III /GARANHUNS II AL/PE</t>
  </si>
  <si>
    <t>Substituir 6 esferas de sinalização em 2 vão(s) da LT 230 kV P.AFONSO III /GARANHUNS II C-3 AL/PE-04L3 (002/1;002/2).</t>
  </si>
  <si>
    <t>LT 230 kV P.AFONSO III /GARANHUNS II C-3 AL/PE</t>
  </si>
  <si>
    <t>0005109/2023</t>
  </si>
  <si>
    <t>d-spafsgrd-04l3-esfe-0020982023</t>
  </si>
  <si>
    <t>Substituir 18 esferas de sinalização em 6 vão(s) da LT 230 kV P.AFONSO III /GARANHUNS II C-1 AL/PE-04L4 (002/1;002/2;014/1;017/4;039/2;137/2).</t>
  </si>
  <si>
    <t>LT 230 kV P.AFONSO III /GARANHUNS II C-1 AL/PE</t>
  </si>
  <si>
    <t>0005110/2023</t>
  </si>
  <si>
    <t>d-spafsgrd-04l4-esfe-0020992023</t>
  </si>
  <si>
    <t>Substituir 9 esferas de sinalização em 3 vão(s) da LT 230 kV P.AFONSO III /ITABAIANA C-2 AL/SE-04S7 (001/1;001/2;001/3).</t>
  </si>
  <si>
    <t>0005111/2023</t>
  </si>
  <si>
    <t>d-spafsitb-04s7-esfe-0021002023</t>
  </si>
  <si>
    <t>Substituir 9 esferas de sinalização em 3 vão(s) da LT 230 kV P.AFONSO III /SANTANA II C-1 AL-04L1 (002/1;002/2;093/1).</t>
  </si>
  <si>
    <t>0005112/2023</t>
  </si>
  <si>
    <t>d-spafsstn-04l1-esfe-0021012023</t>
  </si>
  <si>
    <t>LT 230 kV P.AFONSO III /ZEBU AL</t>
  </si>
  <si>
    <t>Substituir 6 esferas de sinalização em 2 vão(s) da LT 230 kV P.AFONSO III /ZEBU C-1 AL-04Z1 (001/2;003/1).</t>
  </si>
  <si>
    <t>LT 230 kV P.AFONSO III /ZEBU C-1 AL</t>
  </si>
  <si>
    <t>0005113/2023</t>
  </si>
  <si>
    <t>d-spafszbd-04z1-esfe-0021022023</t>
  </si>
  <si>
    <t>Substituir 39 esferas de sinalização em 13 vão(s) da LT 500 kV P. AFONSO IV /ANGELIM II C-1 BA/PE-05L6 (001/1;001/3;015/1;019/1;026/2;030/1;040/2;054/2;086/2;087/2;088/1;096/2;138/2).</t>
  </si>
  <si>
    <t>0005114/2023</t>
  </si>
  <si>
    <t>d-spaqsagd-05l6-esfe-0021032023</t>
  </si>
  <si>
    <t>LT 500 kV P. AFONSO IV /US. L.GONZAGA BA/PE</t>
  </si>
  <si>
    <t>Substituir 15 esferas de sinalização em 5 vão(s) da LT 500 kV P. AFONSO IV /US. L.GONZAGA C-1 BA/PE-05C1 (001/1;001/2;001/3;006/2;010/3).</t>
  </si>
  <si>
    <t>0005115/2023</t>
  </si>
  <si>
    <t>d-spaqslgz-05c1-esfe-0021042023</t>
  </si>
  <si>
    <t>LT 500 kV P. AFONSO IV /JEREMOABO BA</t>
  </si>
  <si>
    <t>Substituir 21 esferas de sinalização em 7 vão(s) da LT 500 kV P. AFONSO IV /JEREMOABO C-1 BA-05S5 (001/1;001/2;001/4;005/2;038/1;076/1;082/1).</t>
  </si>
  <si>
    <t>LT 500 kV P. AFONSO IV /JEREMOABO C-1 BA</t>
  </si>
  <si>
    <t>0005116/2023</t>
  </si>
  <si>
    <t>d-spaqsjer-05s5-esfe-0021052023</t>
  </si>
  <si>
    <t>LT 500 kV P. AFONSO IV /USINA XINGO BA/AL</t>
  </si>
  <si>
    <t>Substituir 12 esferas de sinalização em 4 vão(s) da LT 500 kV P. AFONSO IV /USINA XINGO C-1 BA/AL-05V6 (001/1;001/2;001/3;049/1).</t>
  </si>
  <si>
    <t>0005117/2023</t>
  </si>
  <si>
    <t>d-spaqsxgo-05v6-esfe-0021062023</t>
  </si>
  <si>
    <t>LT 230 kV TACARUTU /BOM NOME PE</t>
  </si>
  <si>
    <t>Substituir 9 esferas de sinalização em 3 vão(s) da LT 230 kV TACARUTU /BOM NOME C-1 PE-04S1 (046/2;066/2;074/1).</t>
  </si>
  <si>
    <t>LT 230 kV TACARUTU /BOM NOME C-1 PE</t>
  </si>
  <si>
    <t>0005118/2023</t>
  </si>
  <si>
    <t>d-statsbno-04s1-esfe-0021072023</t>
  </si>
  <si>
    <t>Substituir 9 esferas de sinalização em 3 vão(s) da LT 230 kV P.AFONSO III /TACARUTU C-1 AL/PE-04F1 (013/1;046/4;047/3).</t>
  </si>
  <si>
    <t>0005119/2023</t>
  </si>
  <si>
    <t>d-statspaf-04f1-esfe-0021082023</t>
  </si>
  <si>
    <t>Substituir 12 esferas de sinalização em 4 vão(s) da LT 230 kV CAMACARI II /MATATU C-1 BA-04M7 (008/1;009/2;029/2;039/2).</t>
  </si>
  <si>
    <t>0005122/2023</t>
  </si>
  <si>
    <t>d-scmdsmtt-04m7-esfe-0021112023</t>
  </si>
  <si>
    <t>LT 230 kV CAMACARI IV /PITUACU BA</t>
  </si>
  <si>
    <t>Substituir 3 esferas de sinalização em 1 vão(s) da LT 230 kV CAMACARI IV /PITUACU C-1 BA-04M8 (001/2).</t>
  </si>
  <si>
    <t>LT 230 kV CAMACARI IV /PITUACU C-1 BA</t>
  </si>
  <si>
    <t>0005123/2023</t>
  </si>
  <si>
    <t>d-scmqsptu-04m8-esfe-0021122023</t>
  </si>
  <si>
    <t>Substituir 6 esferas de sinalização em 2 vão(s) da LT 230 kV COTEGIPE /JACARACANGA C-1 BA-04L3 (38;44).</t>
  </si>
  <si>
    <t>0005124/2023</t>
  </si>
  <si>
    <t>d-sctgsjcr-04l3-esfe-0021132023</t>
  </si>
  <si>
    <t>Substituir 3 esferas de sinalização em 1 vão(s) da LT 230 kV COTEGIPE /MATATU C-1 BA-04L4 (66).</t>
  </si>
  <si>
    <t>0005125/2023</t>
  </si>
  <si>
    <t>d-sctgsmtt-04l4-esfe-0021142023</t>
  </si>
  <si>
    <t>Substituir 3 esferas de sinalização em 1 vão(s) da LT 230 kV CATU /G.MANGABEIRA C-1 BA-04M3 (001/1).</t>
  </si>
  <si>
    <t>0005126/2023</t>
  </si>
  <si>
    <t>d-sctusgvm-04m3-esfe-0021152023</t>
  </si>
  <si>
    <t>LT 230 kV G.MANGABEIRA /SAPEACU BA</t>
  </si>
  <si>
    <t>Substituir 3 esferas de sinalização em 1 vão(s) da LT 230 kV G.MANGABEIRA /SAPEACU C-1 BA-04C1 (023/2).</t>
  </si>
  <si>
    <t>0005127/2023</t>
  </si>
  <si>
    <t>d-sgvmsspu-04c1-esfe-0021162023</t>
  </si>
  <si>
    <t>LT 230 kV JACARACANGA /ALCAN BA</t>
  </si>
  <si>
    <t>Substituir 3 esferas de sinalização em 1 vão(s) da LT 230 kV JACARACANGA /ALCAN C-1 BA-04X1 (JCR).</t>
  </si>
  <si>
    <t>LT 230 kV JACARACANGA /ALCAN C-1 BA (04X1)</t>
  </si>
  <si>
    <t>0005128/2023</t>
  </si>
  <si>
    <t>d-sjcrsalc-04x1-esfe-0021172023</t>
  </si>
  <si>
    <t>LT 230 kV PITUACU /NARANDIBA BA</t>
  </si>
  <si>
    <t>Substituir 3 esferas de sinalização em 1 vão(s) da LT 230 kV PITUACU /NARANDIBA C-1 BA-04L5 (001/3).</t>
  </si>
  <si>
    <t>LT 230 kV PITUACU /NARANDIBA C-1 BA</t>
  </si>
  <si>
    <t>0005129/2023</t>
  </si>
  <si>
    <t>d-sptusnba-04l5-esfe-0021182023</t>
  </si>
  <si>
    <t>Substituição de 1 estrutura metálica autoportante 009/2 (antiga 009/3) por outra com altura de 84 m e carregamento/esforço de 25362,7 DAN) e componentes e 04 fundações associadas da LT 230 kV RIO LARGO II /BRASKEM C-1 AL-04S2.</t>
  </si>
  <si>
    <t>0005131/2023</t>
  </si>
  <si>
    <t>11576366</t>
  </si>
  <si>
    <t>LT 500 kV JOAO CAMARA III /CEARA MIRIM II RN</t>
  </si>
  <si>
    <t>Substituir 11 esferas de sinalização em 3 vão(s) da LT 500 kV JOAO CAMARA III /CEARA MIRIM II C-1 RN-05L1 (018/1;058/1;063/2).</t>
  </si>
  <si>
    <t>0005132/2023</t>
  </si>
  <si>
    <t>d-sjctscid-05l1-esfe-0021562023</t>
  </si>
  <si>
    <t>Substituição de 1 estrutura metálica autoportante 141/1 por outra com altura de 35 m e carregamento/esforço de 6000 DAN) e componentes e 04 fundações associadas da LT 230 kV SANTANA II /ANGELIM C-1 AL/PE-04Z9.</t>
  </si>
  <si>
    <t>0005133/2023</t>
  </si>
  <si>
    <t>11568224</t>
  </si>
  <si>
    <t>Substituição de 8 vigas do pátio de 230 kV da SE ITB.</t>
  </si>
  <si>
    <t>0005141/2023</t>
  </si>
  <si>
    <t>11442647</t>
  </si>
  <si>
    <t>Substituição de 2 vigas do pátio de 69 kV da SE ITB.</t>
  </si>
  <si>
    <t>0005142/2023</t>
  </si>
  <si>
    <t>11438833</t>
  </si>
  <si>
    <t>Substituir 148 cadeias de isolador em 34 estrutura(s) da LT 500 kV USINA XINGO /MESSIAS C-1 AL-05V4 (091/2;093/1;094/1;095/1;103/1;103/2;109/2;110/1;111/1;111/2;112/2;113/2;114/1;114/2;115/1;116/1;119/1;127/1;128/2;129/1;130/1;134/1;138/2;141/2;144/2;145/1;148/1;148/2;149/1;151/2;152/1;153/2;153/3;154/1).</t>
  </si>
  <si>
    <t>0005143/2023</t>
  </si>
  <si>
    <t>d-sxgosmsi-05v4-cade-0000102021</t>
  </si>
  <si>
    <t>Substituir 140 cadeias de isolador em 34 estrutura(s) da LT 500 kV USINA XINGO /MESSIAS C-1 AL-05V4 (155/1;156/1;157/2;159/2;161/2;162/1;166/1;166/2;167/1;169/1;169/2;175/3;176/1;181/1;185/1;186/2;187/2;189/1;189/2;190/1;190/2;191/1;193/2;194/1;194/2;197/1;197/2;199/1;200/1;201/1;202/1;205/1;206/1;206/2).</t>
  </si>
  <si>
    <t>0005144/2023</t>
  </si>
  <si>
    <t>d-sxgosmsi-05v4-cade-0000112021</t>
  </si>
  <si>
    <t>Substituir 135 cadeias de isolador em 13 estrutura(s) da LT 500 kV USINA XINGO /MESSIAS C-1 AL-05V4 (207/1;209/2;210/2;212/1;214/2;215/1;216/1;218/2;219/1;219/2;219/3;219/4;MSI).</t>
  </si>
  <si>
    <t>0005145/2023</t>
  </si>
  <si>
    <t>d-sxgosmsi-05v4-cade-0000122021</t>
  </si>
  <si>
    <t>LT 500 kV GARANHUNS II /ANGELIM II PE</t>
  </si>
  <si>
    <t>Substituir 146 cadeias de isolador em 10 estrutura(s) da LT 500 kV GARANHUNS II /ANGELIM II C-1 PE-05L5 (001/1;001/2;001/3;001/4;002/1;002/2;002/3;002/4;AGD;GRD).</t>
  </si>
  <si>
    <t>0005146/2023</t>
  </si>
  <si>
    <t>d-sgrdsagd-05l5-cade-0000182021</t>
  </si>
  <si>
    <t>Substituir 138 cadeias de isolador em 34 estrutura(s) da LT 500 kV ANGELIM II /RECIFE II C-2 PE-05L9 (001/1;001/2;004/1;006/1;006/2;008/1;009/1;010/1;010/2;011/2;012/1;012/2;013/2;014/1;014/2;015/1;015/2;016/1;017/1;017/2;017/3;018/1;019/1;019/2;019/3;020/1;020/2;021/1;022/1;031/1;047/1;047/2;048/1;048/2).</t>
  </si>
  <si>
    <t>0005147/2023</t>
  </si>
  <si>
    <t>d-sagdsrcd-05l9-cade-0000192021</t>
  </si>
  <si>
    <t>Substituir 168 cadeias de isolador em 35 estrutura(s) da LT 500 kV ANGELIM II /RECIFE II C-2 PE-05L9 (049/1;049/2;050/1;050/2;052/2;053/1;053/2;054/1;054/2;056/1;057/1;060/2;061/1;066/2;068/1;070/2;071/1;071/2;072/1;072/2;074/2;075/1;075/2;076/1;076/2;077/1;077/2;078/1;078/2;079/1;079/2;080/1;080/2;080/3;AGD).</t>
  </si>
  <si>
    <t>0005148/2023</t>
  </si>
  <si>
    <t>d-sagdsrcd-05l9-cade-0000202021</t>
  </si>
  <si>
    <t>Substituir 140 cadeias de isolador em 34 estrutura(s) da LT 500 kV ANGELIM II /PAU FERRO C-1 PE-05L3 (004/1;006/2;007/2;010/1;010/2;013/2;016/2;017/1;018/2;019/1;019/2;020/1;020/2;021/1;021/2;021/3;026/2;031/1;031/2;032/1;033/1;033/2;033/3;034/1;035/1;037/2;039/1;040/2;043/1;045/1;045/2;047/2;048/1;048/2).</t>
  </si>
  <si>
    <t>0005149/2023</t>
  </si>
  <si>
    <t>d-sagdspfe-05l3-cade-0000212021</t>
  </si>
  <si>
    <t>Substituir 140 cadeias de isolador em 29 estrutura(s) da LT 500 kV ANGELIM II /PAU FERRO C-1 PE-05L3 (049/1;049/2;050/1;052/2;055/1;057/2;058/2;059/1;059/2;060/1;063/1;064/1;065/2;066/1;068/1;068/2;068/3;069/1;070/1;070/2;070/3;071/1;071/2;072/1;073/1;076/1;078/1;079/3;AGD).</t>
  </si>
  <si>
    <t>0005150/2023</t>
  </si>
  <si>
    <t>d-sagdspfe-05l3-cade-0000222021</t>
  </si>
  <si>
    <t>LT 230 kV PARAISO /NATAL II RN</t>
  </si>
  <si>
    <t>Substituir 66 cadeias de isolador em 13 estrutura(s) da LT 230 kV PARAISO /NATAL II C-2 RN-04N1 (008/2;008/3;009/3;010/2;010/3;011/1;011/2;012/1;012/3;013/1;013/3;014/1;NTD).</t>
  </si>
  <si>
    <t>LT 230 kV PARAISO /NATAL II C-2 RN</t>
  </si>
  <si>
    <t>0005151/2023</t>
  </si>
  <si>
    <t>d-sprssntd-04n1-cade-0018762023</t>
  </si>
  <si>
    <t>Substituir 81 cadeias de isolador em 15 estrutura(s) da LT 230 kV PARAISO /NATAL II C-1 RN-04N2 (006/2;007/1;008/1;008/2;008/3;009/3;010/2;010/3;012/1;013/2;013/3;014/1;093/1;097/3;NTD).</t>
  </si>
  <si>
    <t>LT 230 kV PARAISO /NATAL II C-1 RN</t>
  </si>
  <si>
    <t>0005152/2023</t>
  </si>
  <si>
    <t>d-sprssntd-04n2-cade-0018772023</t>
  </si>
  <si>
    <t>Substituir 9 cadeias de isolador em 3 estrutura(s) da LT 138 kV PARAISO /SANTA CRUZ II C-1 RN-03M1 (553;554;PRS).</t>
  </si>
  <si>
    <t>0005153/2023</t>
  </si>
  <si>
    <t>d-sprssstd-03m1-cade-0018782023</t>
  </si>
  <si>
    <t>Substituir 102 cadeias de isolador em 34 estrutura(s) da LT 138 kV ACU II /SAN.MATOS II C-1 RN-03C2 (001/1;001/2;002/2;003/1;003/2;003/3;003/4;004/1;004/5;005/1;005/2;005/3;005/4;006/3;007/1;007/2;007/3;008/1;008/2;008/4;009/1;009/2;009/3;010/1;010/3;010/4;011/1;011/2;011/3;012/1;012/2;012/3;012/4;013/1).</t>
  </si>
  <si>
    <t>0005154/2023</t>
  </si>
  <si>
    <t>d-ssmdsacd-03c2-cade-0018792023</t>
  </si>
  <si>
    <t>Substituir 18 cadeias de isolador em 6 estrutura(s) da LT 138 kV ACU II /SAN.MATOS II C-1 RN-03C2 (013/3;013/4;014/2;015/1;015/3;028/3).</t>
  </si>
  <si>
    <t>0005155/2023</t>
  </si>
  <si>
    <t>d-ssmdsacd-03c2-cade-0018802023</t>
  </si>
  <si>
    <t>Substituir 3 cadeias de isolador em 1 estrutura(s) da LT 138 kV C.GRANDE II /SANTA CRUZ II C-1 PB/RN-03L1 (STD).</t>
  </si>
  <si>
    <t>0005156/2023</t>
  </si>
  <si>
    <t>d-scgdsstd-03l1-cade-0018812023</t>
  </si>
  <si>
    <t>LT 230 kV EXTREMOZ II /NATAL III RN</t>
  </si>
  <si>
    <t>Substituir 3 cadeias de isolador em 1 estrutura(s) da LT 230 kV EXTREMOZ II /NATAL III C-2 RN-04F4 (NTT).</t>
  </si>
  <si>
    <t>LT 230 kV EXTREMOZ II /NATAL III C-2 RN</t>
  </si>
  <si>
    <t>0005157/2023</t>
  </si>
  <si>
    <t>d-snttsetd-04f4-cade-0018822023</t>
  </si>
  <si>
    <t>Substituir 104 cadeias de isolador em 34 estrutura(s) da LT 500 kV JARDIM /CAMACARI IV C-1 SE/BA-05V7 (018/1;018/2;019/1;019/2;020/1;020/2;021/1;022/1;022/2;023/1;023/2;024/1;024/2;025/1;026/1;026/2;027/1;027/2;027/3;028/1;028/2;029/1;030/1;030/2;031/1;031/2;032/1;033/1;033/2;033/3;034/1;035/1;035/2;036/1).</t>
  </si>
  <si>
    <t>0005158/2023</t>
  </si>
  <si>
    <t>d-sjdmscmq-05v7-cade-0018852023</t>
  </si>
  <si>
    <t>Substituir 60 cadeias de isolador em 15 estrutura(s) da LT 500 kV JARDIM /CAMACARI IV C-1 SE/BA-05V7 (036/2;037/1;037/2;038/1;039/1;039/2;040/1;040/2;041/1;041/2;042/1;042/2;043/1;043/2;056/1).</t>
  </si>
  <si>
    <t>0005159/2023</t>
  </si>
  <si>
    <t>d-sjdmscmq-05v7-cade-0018862023</t>
  </si>
  <si>
    <t>Substituir 18 cadeias de isolador em 6 estrutura(s) da LT 500 kV USINA XINGO /JARDIM C-1 AL/SE-05V5 (101/2;102/1;102/2;103/1;104/1;104/2).</t>
  </si>
  <si>
    <t>0005160/2023</t>
  </si>
  <si>
    <t>d-sxgosjdm-05v5-cade-0018872023</t>
  </si>
  <si>
    <t>LT 138 kV C.GRANDE II /PILOES PB</t>
  </si>
  <si>
    <t>Substituir 117 cadeias de isolador em 29 estrutura(s) da LT 138 kV C.GRANDE II /PILOES C-1 PB-03L2 (1;2;3;4;5;6;7;8;9;10;11;12;13;14;15;16;17;18;19;20;21;22;23;24;25;26;27;28;29).</t>
  </si>
  <si>
    <t>LT 138 kV C.GRANDE II /PILOES C-1 PB</t>
  </si>
  <si>
    <t>0005162/2023</t>
  </si>
  <si>
    <t>d-scgdspld-03l2-cade-0018932023</t>
  </si>
  <si>
    <t>Substituir 87 cadeias de isolador em 29 estrutura(s) da LT 138 kV C.GRANDE II /PILOES C-1 PB-03L2 (30;31;32;33;34;35;36;37;38;39;40;41;42;43;44;45;46;47;48;49;50;51;52;53;54;55;56;57;58).</t>
  </si>
  <si>
    <t>0005163/2023</t>
  </si>
  <si>
    <t>d-scgdspld-03l2-cade-0018942023</t>
  </si>
  <si>
    <t>Substituir 87 cadeias de isolador em 29 estrutura(s) da LT 138 kV C.GRANDE II /PILOES C-1 PB-03L2 (59;60;61;62;63;64;65;66;67;68;69;70;71;72;73;74;75;76;77;78;79;80;81;82;83;84;85;86;87).</t>
  </si>
  <si>
    <t>0005164/2023</t>
  </si>
  <si>
    <t>d-scgdspld-03l2-cade-0018952023</t>
  </si>
  <si>
    <t>Substituir 96 cadeias de isolador em 29 estrutura(s) da LT 138 kV C.GRANDE II /PILOES C-1 PB-03L2 (88;89;90;91;92;93;94;95;96;97;98;99;100;101;102;103;104;105;106;107;108;109;110;111;112;113;114;115;116).</t>
  </si>
  <si>
    <t>0005165/2023</t>
  </si>
  <si>
    <t>d-scgdspld-03l2-cade-0018962023</t>
  </si>
  <si>
    <t>Substituir 120 cadeias de isolador em 29 estrutura(s) da LT 138 kV C.GRANDE II /PILOES C-1 PB-03L2 (117;118;119;120;121;122;123;124;125;126;127;128;129;130;131;132;133;134;135;136;137;138;139;140;141;142;143;144;145).</t>
  </si>
  <si>
    <t>0005166/2023</t>
  </si>
  <si>
    <t>d-scgdspld-03l2-cade-0018972023</t>
  </si>
  <si>
    <t>Substituir 114 cadeias de isolador em 29 estrutura(s) da LT 138 kV C.GRANDE II /PILOES C-1 PB-03L2 (146;147;148;149;150;151;152;153;154;155;156;157;158;159;160;161;162;163;164;165;166;167;168;169;170;171;172;173;174).</t>
  </si>
  <si>
    <t>0005167/2023</t>
  </si>
  <si>
    <t>d-scgdspld-03l2-cade-0018982023</t>
  </si>
  <si>
    <t>Substituir 93 cadeias de isolador em 29 estrutura(s) da LT 138 kV C.GRANDE II /PILOES C-1 PB-03L2 (175;176;177;178;179;180;181;182;183;184;185;186;187;188;189;190;191;192;193;194;195;196;197;198;199;200;201;202;203).</t>
  </si>
  <si>
    <t>0005168/2023</t>
  </si>
  <si>
    <t>d-scgdspld-03l2-cade-0018992023</t>
  </si>
  <si>
    <t>Substituir 102 cadeias de isolador em 29 estrutura(s) da LT 138 kV C.GRANDE II /PILOES C-1 PB-03L2 (204;205;206;207;208;209;210;211;212;213;214;215;216;217;218;219;220;221;222;223;224;225;226;227;228;229;230;231;232).</t>
  </si>
  <si>
    <t>0005169/2023</t>
  </si>
  <si>
    <t>d-scgdspld-03l2-cade-0019002023</t>
  </si>
  <si>
    <t>Substituir 99 cadeias de isolador em 29 estrutura(s) da LT 138 kV C.GRANDE II /PILOES C-1 PB-03L2 (233;234;235;236;237;238;239;240;241;242;243;244;245;246;247;248;249;250;251;252;253;254;255;256;257;258;259;260;261).</t>
  </si>
  <si>
    <t>0005170/2023</t>
  </si>
  <si>
    <t>d-scgdspld-03l2-cade-0019012023</t>
  </si>
  <si>
    <t>Substituir 90 cadeias de isolador em 29 estrutura(s) da LT 138 kV C.GRANDE II /PILOES C-1 PB-03L2 (262;263;264;265;266;267;268;269;270;271;272;273;274;275;276;277;278;279;280;281;282;283;284;285;286;287;288;289;290).</t>
  </si>
  <si>
    <t>0005171/2023</t>
  </si>
  <si>
    <t>d-scgdspld-03l2-cade-0019022023</t>
  </si>
  <si>
    <t>Substituir 102 cadeias de isolador em 29 estrutura(s) da LT 138 kV C.GRANDE II /PILOES C-1 PB-03L2 (291;292;293;294;295;296;297;298;299;300;301;302;303;304;305;306;307;308;309;310;311;312;313;314;315;316;317;318;319).</t>
  </si>
  <si>
    <t>0005172/2023</t>
  </si>
  <si>
    <t>d-scgdspld-03l2-cade-0019032023</t>
  </si>
  <si>
    <t>Substituir 111 cadeias de isolador em 29 estrutura(s) da LT 138 kV C.GRANDE II /PILOES C-1 PB-03L2 (320;321;322;323;324;325;326;327;328;329;330;331;332;333;334;335;336;337;338;339;340;341;342;343;344;345;346;347;348).</t>
  </si>
  <si>
    <t>0005173/2023</t>
  </si>
  <si>
    <t>d-scgdspld-03l2-cade-0019042023</t>
  </si>
  <si>
    <t>Substituir 36 cadeias de isolador em 8 estrutura(s) da LT 138 kV C.GRANDE II /PILOES C-1 PB-03L2 (349;350;351;352;073/1A;127/1A;CGD;PLD).</t>
  </si>
  <si>
    <t>0005174/2023</t>
  </si>
  <si>
    <t>d-scgdspld-03l2-cade-0019052023</t>
  </si>
  <si>
    <t>Substituir 87 cadeias de isolador em 29 estrutura(s) da LT 138 kV C.GRANDE II /SANTA CRUZ II C-1 PB/RN-03L1 (1;2;3;4;5;6;7;8;9;10;11;12;13;14;15;16;17;18;19;20;21;22;23;24;25;26;27;28;29).</t>
  </si>
  <si>
    <t>0005175/2023</t>
  </si>
  <si>
    <t>d-scgdsstd-03l1-cade-0019062023</t>
  </si>
  <si>
    <t>Substituir 96 cadeias de isolador em 29 estrutura(s) da LT 138 kV C.GRANDE II /SANTA CRUZ II C-1 PB/RN-03L1 (262;263;264;265;266;267;268;269;270;271;272;273;274;275;276;277;278;279;280;281;282;283;284;285;286;287;288;289;290).</t>
  </si>
  <si>
    <t>0005176/2023</t>
  </si>
  <si>
    <t>d-scgdsstd-03l1-cade-0019072023</t>
  </si>
  <si>
    <t>Substituir 111 cadeias de isolador em 29 estrutura(s) da LT 138 kV C.GRANDE II /SANTA CRUZ II C-1 PB/RN-03L1 (291;292;293;294;295;296;297;298;299;300;301;302;303;304;305;306;307;308;309;310;311;312;313;314;315;316;317;318;319).</t>
  </si>
  <si>
    <t>0005177/2023</t>
  </si>
  <si>
    <t>d-scgdsstd-03l1-cade-0019082023</t>
  </si>
  <si>
    <t>Substituir 117 cadeias de isolador em 29 estrutura(s) da LT 138 kV C.GRANDE II /SANTA CRUZ II C-1 PB/RN-03L1 (320;321;322;323;324;325;326;327;328;329;330;331;332;333;334;335;336;337;338;339;340;341;342;343;344;345;346;347;348).</t>
  </si>
  <si>
    <t>0005178/2023</t>
  </si>
  <si>
    <t>d-scgdsstd-03l1-cade-0019092023</t>
  </si>
  <si>
    <t>Substituir 123 cadeias de isolador em 28 estrutura(s) da LT 138 kV C.GRANDE II /SANTA CRUZ II C-1 PB/RN-03L1 (349;350;351;352;354;355;356;357;358;359;360;361;362;363;364;365;366;367;368;369;370;371;372;373;374;375;376;377).</t>
  </si>
  <si>
    <t>0005179/2023</t>
  </si>
  <si>
    <t>d-scgdsstd-03l1-cade-0019102023</t>
  </si>
  <si>
    <t>Substituir 104 cadeias de isolador em 29 estrutura(s) da LT 138 kV C.GRANDE II /SANTA CRUZ II C-1 PB/RN-03L1 (378;379;380;381;382;383;384;385;386;387;388;389;390;391;392;393;394;395;396;397;398;399;400;401;402;403;404;405;406).</t>
  </si>
  <si>
    <t>0005180/2023</t>
  </si>
  <si>
    <t>d-scgdsstd-03l1-cade-0019112023</t>
  </si>
  <si>
    <t>Substituir 120 cadeias de isolador em 23 estrutura(s) da LT 138 kV C.GRANDE II /SANTA CRUZ II C-1 PB/RN-03L1 (407;408;409;410;411;412;413;414;415;416;417;418;419;420;421;422;423;424;425;426;073/1A;127/1A;CGD).</t>
  </si>
  <si>
    <t>0005181/2023</t>
  </si>
  <si>
    <t>d-scgdsstd-03l1-cade-0019122023</t>
  </si>
  <si>
    <t>LT 230 kV COTEMINAS /LAGOA DO CARRO PB/PE</t>
  </si>
  <si>
    <t>Substituir 82 cadeias de isolador em 23 estrutura(s) da LT 230 kV COTEMINAS /LAGOA DO CARRO C-1 PB/PE-04F9 (040/2;041/1;041/2;042/1;042/2;042/3;043/1;044/1;044/2;045/1;045/2;046/1;046/2;047/1;047/2;047/3;048/1;048/2;048/3;049/1;049/2;050/1;050/2).</t>
  </si>
  <si>
    <t>LT 230 kV COTEMINAS /LAGOA DO CARRO C-1 PB/PE</t>
  </si>
  <si>
    <t>0005182/2023</t>
  </si>
  <si>
    <t>d-slacsctm-04f9-cade-0019132023</t>
  </si>
  <si>
    <t>Substituir 120 cadeias de isolador em 29 estrutura(s) da LT 138 kV PILOES /PARAISO C-1 PB/RN-03M3 (1;2;3;4;5;6;7;8;9;10;11;12;13;14;15;16;17;18;19;20;21;22;23;24;25;26;27;28;29).</t>
  </si>
  <si>
    <t>0005183/2023</t>
  </si>
  <si>
    <t>d-spldsprs-03m3-cade-0019142023</t>
  </si>
  <si>
    <t>Substituir 114 cadeias de isolador em 29 estrutura(s) da LT 138 kV PILOES /PARAISO C-1 PB/RN-03M3 (30;31;32;33;34;35;36;37;38;39;40;41;42;43;44;45;46;47;48;49;50;51;52;53;54;55;56;57;58).</t>
  </si>
  <si>
    <t>0005184/2023</t>
  </si>
  <si>
    <t>d-spldsprs-03m3-cade-0019152023</t>
  </si>
  <si>
    <t>Substituir 102 cadeias de isolador em 29 estrutura(s) da LT 138 kV PILOES /PARAISO C-1 PB/RN-03M3 (59;60;61;62;63;64;65;66;67;68;69;70;71;72;73;74;75;76;77;78;79;80;81;82;83;84;85;86;87).</t>
  </si>
  <si>
    <t>0005185/2023</t>
  </si>
  <si>
    <t>d-spldsprs-03m3-cade-0019162023</t>
  </si>
  <si>
    <t>Substituir 96 cadeias de isolador em 29 estrutura(s) da LT 138 kV PILOES /PARAISO C-1 PB/RN-03M3 (88;89;90;91;92;93;94;95;96;97;98;99;100;101;102;103;104;105;106;107;108;109;110;111;112;113;114;115;116).</t>
  </si>
  <si>
    <t>0005186/2023</t>
  </si>
  <si>
    <t>d-spldsprs-03m3-cade-0019172023</t>
  </si>
  <si>
    <t>Substituir 117 cadeias de isolador em 29 estrutura(s) da LT 138 kV PILOES /PARAISO C-1 PB/RN-03M3 (117;118;119;120;121;122;123;124;125;126;127;128;129;130;131;132;133;134;135;136;137;138;139;140;141;142;143;206;207).</t>
  </si>
  <si>
    <t>0005187/2023</t>
  </si>
  <si>
    <t>d-spldsprs-03m3-cade-0019182023</t>
  </si>
  <si>
    <t>Substituir 114 cadeias de isolador em 29 estrutura(s) da LT 138 kV PILOES /PARAISO C-1 PB/RN-03M3 (208;209;210;211;212;213;214;215;216;217;218;219;220;221;222;223;224;225;226;227;228;229;230;231;232;233;234;235;236).</t>
  </si>
  <si>
    <t>0005188/2023</t>
  </si>
  <si>
    <t>d-spldsprs-03m3-cade-0019192023</t>
  </si>
  <si>
    <t>Substituir 93 cadeias de isolador em 29 estrutura(s) da LT 138 kV PILOES /PARAISO C-1 PB/RN-03M3 (237;238;239;240;241;242;243;244;245;246;247;248;249;250;251;252;253;254;255;256;257;258;259;260;261;262;263;264;265).</t>
  </si>
  <si>
    <t>0005189/2023</t>
  </si>
  <si>
    <t>d-spldsprs-03m3-cade-0019202023</t>
  </si>
  <si>
    <t>Substituir 99 cadeias de isolador em 29 estrutura(s) da LT 138 kV PILOES /PARAISO C-1 PB/RN-03M3 (266;267;268;269;270;271;272;273;274;275;276;277;278;279;280;281;282;283;284;285;286;287;288;289;290;291;292;293;294).</t>
  </si>
  <si>
    <t>0005190/2023</t>
  </si>
  <si>
    <t>d-spldsprs-03m3-cade-0019212023</t>
  </si>
  <si>
    <t>Substituir 99 cadeias de isolador em 29 estrutura(s) da LT 138 kV PILOES /PARAISO C-1 PB/RN-03M3 (295;296;297;298;299;300;301;302;303;304;305;306;307;308;309;310;311;312;313;314;315;316;317;318;319;320;321;322;323).</t>
  </si>
  <si>
    <t>0005191/2023</t>
  </si>
  <si>
    <t>d-spldsprs-03m3-cade-0019222023</t>
  </si>
  <si>
    <t>Substituir 96 cadeias de isolador em 29 estrutura(s) da LT 138 kV PILOES /PARAISO C-1 PB/RN-03M3 (324;325;326;327;328;329;330;331;332;333;334;335;336;337;338;339;340;341;342;343;344;345;346;347;348;349;350;351;352).</t>
  </si>
  <si>
    <t>0005192/2023</t>
  </si>
  <si>
    <t>d-spldsprs-03m3-cade-0019232023</t>
  </si>
  <si>
    <t>Substituir 104 cadeias de isolador em 26 estrutura(s) da LT 500 kV GARANHUNS II /ANGELIM II C-1 PE-05L5 (003/1;003/2;004/1;004/2;005/1;005/2;006/1;006/2;007/1;007/2;008/1;008/2;009/1;009/2;009/3;010/1;010/2;011/1;011/2;011/3;012/1;012/2;012/3;013/1;013/2;014/1).</t>
  </si>
  <si>
    <t>0005193/2023</t>
  </si>
  <si>
    <t>d-sgrdsagd-05l5-cade-0019242023</t>
  </si>
  <si>
    <t>Substituir 148 cadeias de isolador em 33 estrutura(s) da LT 500 kV USINA XINGO /MESSIAS C-1 AL-05V4 (188/1;188/2;191/2;192/1;192/2;193/1;195/1;196/1;196/2;198/1;198/2;199/2;200/2;201/2;202/2;203/1;203/2;204/1;205/2;208/1;208/2;209/1;210/1;211/1;211/2;212/2;213/1;213/2;214/1;215/2;217/1;217/2;218/1).</t>
  </si>
  <si>
    <t>0005194/2023</t>
  </si>
  <si>
    <t>d-sxgosmsi-05v4-cade-0019252023</t>
  </si>
  <si>
    <t>Substituir 28 cadeias de isolador em 7 estrutura(s) da LT 500 kV ANGELIM II /PAU FERRO C-1 PE-05L3 (075/2;076/2;077/1;077/2;078/2;079/1;079/2).</t>
  </si>
  <si>
    <t>0005195/2023</t>
  </si>
  <si>
    <t>d-sagdspfe-05l3-cade-0019262023</t>
  </si>
  <si>
    <t>LT 230 kV MILAGRES /TAUA II CE</t>
  </si>
  <si>
    <t>Substituir 138 cadeias de isolador em 34 estrutura(s) da LT 230 kV MILAGRES /TAUA II C-1 CE-04M4 (025/2;026/1;026/2;030/1;030/2;031/1;033/1;033/2;040/1;042/2;045/3;046/1;049/2;050/2;050/3;051/2;052/2;053/1;053/2;055/1;057/1;058/1;058/2;061/1;064/1;064/2;066/1;066/2;067/1;071/2;072/1;073/3;074/1;078/2).</t>
  </si>
  <si>
    <t>LT 230 kV MILAGRES /TAUA II C-1 CE</t>
  </si>
  <si>
    <t>0005197/2023</t>
  </si>
  <si>
    <t>d-smlgstad-04m4-cade-0019282023</t>
  </si>
  <si>
    <t>Substituir 139 cadeias de isolador em 34 estrutura(s) da LT 230 kV MILAGRES /TAUA II C-1 CE-04M4 (083/1;083/2;084/1;086/2;093/1;094/1;094/2;108/2;109/2;131/2;132/1;132/2;133/1;133/2;134/1;134/2;135/1;136/1;137/1;150/1;194/2;195/1;198/1;198/2;199/1;199/2;199/3;200/1;200/2;201/1;201/2;202/1;202/2;203/1).</t>
  </si>
  <si>
    <t>0005198/2023</t>
  </si>
  <si>
    <t>d-smlgstad-04m4-cade-0019292023</t>
  </si>
  <si>
    <t>Substituir 30 cadeias de isolador em 10 estrutura(s) da LT 230 kV MILAGRES /TAUA II C-1 CE-04M4 (203/2;204/1;204/2;205/1;205/2;206/1;206/2;207/1;207/2;208/1).</t>
  </si>
  <si>
    <t>0005199/2023</t>
  </si>
  <si>
    <t>d-smlgstad-04m4-cade-0019302023</t>
  </si>
  <si>
    <t>LT 500 kV JEREMOABO /OLINDINA BA</t>
  </si>
  <si>
    <t>Substituir 140 cadeias de isolador em 35 estrutura(s) da LT 500 kV JEREMOABO /OLINDINA C-1 BA-05L9 (178/2;179/1;179/2;180/1;180/2;180/3;181/1;181/2;182/1;182/2;183/1;183/2;184/1;184/2;184/3;185/1;185/2;186/1;186/2;187/1;187/2;188/1;188/2;189/1;189/2;190/1;190/2;190/3;191/1;191/2;192/1;192/2;193/1;193/2;194/1).</t>
  </si>
  <si>
    <t>LT 500 kV JEREMOABO /OLINDINA C-1 BA</t>
  </si>
  <si>
    <t>0005200/2023</t>
  </si>
  <si>
    <t>d-sjersold-05l9-cade-0019312023</t>
  </si>
  <si>
    <t>Substituir 140 cadeias de isolador em 35 estrutura(s) da LT 500 kV OLINDINA /US. L.GONZAGA C-1 BA/PE-05S4 (070/1;070/2;070/3;071/1;071/2;071/3;071/4;072/1;072/2;073/1;073/2;073/3;074/1;074/2;074/4;075/1;075/2;075/3;076/1;076/2;076/3;076/4;077/1;077/2;077/3;078/1;078/2;078/3;078/4;079/1;079/2;079/3;080/1;080/2;080/3).</t>
  </si>
  <si>
    <t>0005201/2023</t>
  </si>
  <si>
    <t>d-slgzsold-05s4-cade-0019322023</t>
  </si>
  <si>
    <t>Substituir 140 cadeias de isolador em 35 estrutura(s) da LT 500 kV OLINDINA /US. L.GONZAGA C-1 BA/PE-05S4 (081/1;081/2;081/3;081/4;082/1;082/2;082/3;083/1;083/3;084/1;084/3;085/1;085/2;085/3;085/4;086/1;086/2;086/3;087/1;087/2;087/4;088/2;088/3;089/1;089/2;089/3;090/1;090/2;090/3;091/1;091/2;091/3;091/4;092/1;092/2).</t>
  </si>
  <si>
    <t>0005202/2023</t>
  </si>
  <si>
    <t>d-slgzsold-05s4-cade-0019332023</t>
  </si>
  <si>
    <t>Substituir 140 cadeias de isolador em 35 estrutura(s) da LT 500 kV OLINDINA /US. L.GONZAGA C-1 BA/PE-05S4 (092/3;093/1;093/2;094/1;094/2;094/3;095/1;095/2;095/3;096/1;096/2;096/3;097/1;097/2;097/3;097/4;098/1;098/2;098/3;099/1;099/2;099/3;100/1;100/2;100/3;101/1;101/2;101/3;101/4;102/1;102/2;102/3;103/1;103/2;103/3).</t>
  </si>
  <si>
    <t>0005203/2023</t>
  </si>
  <si>
    <t>d-slgzsold-05s4-cade-0019342023</t>
  </si>
  <si>
    <t>Substituir 140 cadeias de isolador em 35 estrutura(s) da LT 500 kV OLINDINA /US. L.GONZAGA C-1 BA/PE-05S4 (103/4;104/1;104/2;104/3;104/4;105/1;105/2;105/3;105/4;106/1;106/2;107/1;107/2;107/3;107/4;108/1;108/2;109/1;109/2;109/3;110/1;110/2;110/3;111/1;111/2;111/3;111/4;112/1;112/2;112/3;113/1;113/2;113/3;114/1;114/2).</t>
  </si>
  <si>
    <t>0005204/2023</t>
  </si>
  <si>
    <t>d-slgzsold-05s4-cade-0019352023</t>
  </si>
  <si>
    <t>Substituir 140 cadeias de isolador em 35 estrutura(s) da LT 500 kV OLINDINA /US. L.GONZAGA C-1 BA/PE-05S4 (114/3;114/4;115/1;115/2;115/3;116/1;116/2;116/3;116/4;117/1;117/2;117/3;118/1;118/3;119/1;119/2;120/1;120/2;120/3;121/1;121/2;121/3;122/1;122/2;123/1;123/2;124/1;124/2;124/3;125/1;125/2;125/4;126/1;126/2;126/3).</t>
  </si>
  <si>
    <t>0005205/2023</t>
  </si>
  <si>
    <t>d-slgzsold-05s4-cade-0019362023</t>
  </si>
  <si>
    <t>Substituir 140 cadeias de isolador em 35 estrutura(s) da LT 500 kV OLINDINA /US. L.GONZAGA C-1 BA/PE-05S4 (127/1;127/2;127/3;128/1;128/2;128/3;129/1;129/2;129/3;129/4;130/1;130/2;130/3;130/4;131/1;131/2;132/1;132/3;133/1;133/2;133/3;133/4;134/2;134/3;135/1;135/2;136/1;136/2;136/3;137/1;137/2;137/3;137/4;138/1;138/2).</t>
  </si>
  <si>
    <t>0005206/2023</t>
  </si>
  <si>
    <t>d-slgzsold-05s4-cade-0019372023</t>
  </si>
  <si>
    <t>Substituir 140 cadeias de isolador em 35 estrutura(s) da LT 500 kV OLINDINA /US. L.GONZAGA C-1 BA/PE-05S4 (138/3;139/1;139/2;139/3;140/1;140/2;141/1;141/2;141/3;141/4;142/2;142/3;143/1;143/2;143/3;144/1;144/2;144/3;145/1;145/2;146/1;146/2;146/3;146/4;147/1;147/2;148/1;148/2;149/1;149/2;149/3;150/1;150/2;151/1;151/2).</t>
  </si>
  <si>
    <t>0005207/2023</t>
  </si>
  <si>
    <t>d-slgzsold-05s4-cade-0019382023</t>
  </si>
  <si>
    <t>Substituir 140 cadeias de isolador em 35 estrutura(s) da LT 500 kV OLINDINA /US. L.GONZAGA C-1 BA/PE-05S4 (152/1;152/2;153/1;153/2;154/1;154/2;154/3;155/1;155/2;156/1;156/2;156/3;156/4;157/1;157/3;159/1;159/2;160/1;160/2;160/3;161/1;162/1;162/2;162/3;163/1;163/2;164/1;164/3;165/1;166/2;166/3;167/1;167/2;167/3;168/1).</t>
  </si>
  <si>
    <t>0005208/2023</t>
  </si>
  <si>
    <t>d-slgzsold-05s4-cade-0019392023</t>
  </si>
  <si>
    <t>Substituir 140 cadeias de isolador em 35 estrutura(s) da LT 500 kV OLINDINA /US. L.GONZAGA C-1 BA/PE-05S4 (168/2;168/3;168/4;169/1;169/2;169/3;170/1;170/2;170/3;171/1;171/2;172/2;172/3;173/1;173/2;173/3;174/1;174/2;174/3;175/1;175/2;176/1;176/2;177/1;177/2;177/3;178/1;178/2;179/1;179/2;179/3;180/1;181/1;181/2;181/3).</t>
  </si>
  <si>
    <t>0005209/2023</t>
  </si>
  <si>
    <t>d-slgzsold-05s4-cade-0019402023</t>
  </si>
  <si>
    <t>Substituir 140 cadeias de isolador em 35 estrutura(s) da LT 500 kV USINA XINGO /MESSIAS C-1 AL-05V4 (019/1;020/1;020/2;020/3;021/1;021/2;022/1;022/2;023/1;023/2;024/1;025/1;025/2;026/1;027/1;027/2;027/3;028/1;028/2;029/1;029/2;030/1;030/2;031/1;031/2;032/1;032/2;033/1;033/2;034/1;034/2;035/1;036/1;036/2;037/1).</t>
  </si>
  <si>
    <t>0005210/2023</t>
  </si>
  <si>
    <t>d-sxgosmsi-05v4-cade-0019412023</t>
  </si>
  <si>
    <t>Substituir 140 cadeias de isolador em 35 estrutura(s) da LT 500 kV USINA XINGO /MESSIAS C-1 AL-05V4 (037/2;038/1;038/2;039/1;039/2;040/1;040/2;041/1;041/2;042/1;042/2;043/1;043/2;044/1;044/2;045/1;046/1;046/2;047/1;047/2;048/1;048/2;049/1;049/2;050/1;050/2;051/1;051/2;052/1;052/2;053/1;053/2;054/1;054/2;055/1).</t>
  </si>
  <si>
    <t>0005211/2023</t>
  </si>
  <si>
    <t>d-sxgosmsi-05v4-cade-0019422023</t>
  </si>
  <si>
    <t>Substituir 140 cadeias de isolador em 35 estrutura(s) da LT 500 kV USINA XINGO /MESSIAS C-1 AL-05V4 (055/2;056/1;057/1;057/2;057/3;058/1;059/1;059/2;060/1;060/2;061/1;061/2;062/1;062/2;063/1;063/2;064/1;064/2;065/1;065/2;066/1;066/2;067/1;067/2;068/1;068/2;069/1;069/2;070/1;070/2;071/1;072/1;072/2;073/1;073/2).</t>
  </si>
  <si>
    <t>0005212/2023</t>
  </si>
  <si>
    <t>d-sxgosmsi-05v4-cade-0019432023</t>
  </si>
  <si>
    <t>Substituir 140 cadeias de isolador em 30 estrutura(s) da LT 500 kV USINA XINGO /MESSIAS C-1 AL-05V4 (074/1;074/2;075/1;075/2;076/1;076/2;077/1;077/2;078/1;078/2;079/1;079/2;080/1;080/2;081/1;082/1;082/2;083/1;083/2;084/1;084/2;085/1;085/2;086/1;086/2;087/1;087/2;088/1;089/1;089/2).</t>
  </si>
  <si>
    <t>0005213/2023</t>
  </si>
  <si>
    <t>d-sxgosmsi-05v4-cade-0019442023</t>
  </si>
  <si>
    <t>Substituir 192 cadeias de isolador em 36 estrutura(s) da LT 230 kV P.AFONSO III /GARANHUNS II C-4 AL/PE-04L4 (001/3;001/4;002/1;002/2;002/3;002/4;002/5;003/2;003/3;004/2;004/3;004/4;005/1;005/2;005/3;006/1;006/3;007/1;007/2;007/3;007/4;008/1;008/2;008/3;009/1;010/1;010/4;011/1;011/2;011/3;012/1;013/1;013/2;013/3;014/1;014/3).</t>
  </si>
  <si>
    <t>0005214/2023</t>
  </si>
  <si>
    <t>d-spafsgrd-04l4-cade-0019452023</t>
  </si>
  <si>
    <t>Substituir 148 cadeias de isolador em 35 estrutura(s) da LT 230 kV P.AFONSO III /GARANHUNS II C-4 AL/PE-04L4 (015/3;015/4;016/1;016/2;016/3;017/2;017/4;018/3;019/1;019/2;019/3;020/1;020/2;020/3;020/4;021/1;021/2;021/3;022/2;022/3;024/1;024/3;025/2;025/3;025/4;026/1;026/2;026/3;027/1;027/2;027/3;028/1;028/2;028/3;029/1).</t>
  </si>
  <si>
    <t>0005215/2023</t>
  </si>
  <si>
    <t>d-spafsgrd-04l4-cade-0019462023</t>
  </si>
  <si>
    <t>Substituir 156 cadeias de isolador em 35 estrutura(s) da LT 230 kV P.AFONSO III /GARANHUNS II C-4 AL/PE-04L4 (029/4;030/1;030/2;031/2;031/3;031/4;032/1;032/2;032/3;033/1;033/2;033/3;035/1;035/2;035/3;035/4;036/1;036/2;037/1;037/2;037/3;037/4;038/1;038/2;039/3;039/4;040/1;040/3;041/1;042/1;042/2;042/3;043/1;043/2;043/3).</t>
  </si>
  <si>
    <t>0005216/2023</t>
  </si>
  <si>
    <t>d-spafsgrd-04l4-cade-0019472023</t>
  </si>
  <si>
    <t>Substituir 148 cadeias de isolador em 35 estrutura(s) da LT 230 kV P.AFONSO III /GARANHUNS II C-4 AL/PE-04L4 (044/2;045/1;045/2;045/3;046/2;046/3;047/1;047/3;047/4;048/2;048/3;049/1;049/2;049/3;050/2;050/3;051/1;051/2;052/1;052/2;052/3;052/4;053/1;053/2;053/3;054/1;054/2;054/3;055/1;055/2;055/3;055/4;056/1;056/2;056/3).</t>
  </si>
  <si>
    <t>0005217/2023</t>
  </si>
  <si>
    <t>d-spafsgrd-04l4-cade-0019482023</t>
  </si>
  <si>
    <t>Substituir 148 cadeias de isolador em 35 estrutura(s) da LT 230 kV P.AFONSO III /GARANHUNS II C-4 AL/PE-04L4 (057/1;057/2;057/3;058/1;058/2;058/3;058/4;059/1;059/3;060/1;060/2;060/3;061/1;061/2;062/1;062/2;062/3;063/2;063/3;063/4;064/1;064/2;064/3;065/1;065/2;065/3;065/4;066/1;066/2;066/3;067/1;067/2;067/3;068/1;068/2).</t>
  </si>
  <si>
    <t>0005218/2023</t>
  </si>
  <si>
    <t>d-spafsgrd-04l4-cade-0019492023</t>
  </si>
  <si>
    <t>Substituir 148 cadeias de isolador em 35 estrutura(s) da LT 230 kV P.AFONSO III /GARANHUNS II C-4 AL/PE-04L4 (068/3;069/1;069/2;069/3;069/4;070/1;070/2;070/3;071/1;071/2;071/4;072/2;072/3;073/1;073/2;073/3;073/4;074/1;074/2;074/3;075/1;075/2;075/3;076/1;076/2;076/3;076/4;077/1;077/2;077/3;078/1;078/2;078/3;079/1;079/2).</t>
  </si>
  <si>
    <t>0005219/2023</t>
  </si>
  <si>
    <t>d-spafsgrd-04l4-cade-0019502023</t>
  </si>
  <si>
    <t>Substituir 148 cadeias de isolador em 35 estrutura(s) da LT 230 kV P.AFONSO III /GARANHUNS II C-4 AL/PE-04L4 (079/3;079/4;080/1;080/2;080/3;081/1;081/2;082/1;082/2;082/3;082/4;083/1;083/2;083/3;084/1;084/2;084/3;085/1;085/2;085/3;086/1;086/2;086/3;086/4;087/1;087/2;087/3;088/1;088/3;088/4;089/1;089/2;089/3;090/1;090/2).</t>
  </si>
  <si>
    <t>0005220/2023</t>
  </si>
  <si>
    <t>d-spafsgrd-04l4-cade-0019512023</t>
  </si>
  <si>
    <t>Substituir 148 cadeias de isolador em 35 estrutura(s) da LT 230 kV P.AFONSO III /GARANHUNS II C-4 AL/PE-04L4 (090/3;091/1;091/2;091/3;091/4;092/1;092/2;092/3;093/1;093/3;093/4;094/1;094/2;094/3;095/1;095/2;095/3;096/1;096/2;096/3;096/4;097/1;097/2;097/3;098/1;098/2;098/3;098/4;099/1;099/2;099/3;100/1;100/2;100/3;101/1).</t>
  </si>
  <si>
    <t>0005221/2023</t>
  </si>
  <si>
    <t>d-spafsgrd-04l4-cade-0019522023</t>
  </si>
  <si>
    <t>Substituir 156 cadeias de isolador em 35 estrutura(s) da LT 230 kV P.AFONSO III /GARANHUNS II C-4 AL/PE-04L4 (101/2;101/3;102/1;102/2;102/3;102/4;103/1;103/2;103/3;104/1;104/2;104/3;104/4;105/1;105/2;105/3;106/1;106/2;106/3;107/1;107/2;107/3;107/4;108/1;108/2;108/3;109/1;109/2;109/3;110/1;110/2;110/3;111/1;111/2;111/4).</t>
  </si>
  <si>
    <t>0005222/2023</t>
  </si>
  <si>
    <t>d-spafsgrd-04l4-cade-0019532023</t>
  </si>
  <si>
    <t>Substituir 148 cadeias de isolador em 33 estrutura(s) da LT 230 kV P.AFONSO III /GARANHUNS II C-4 AL/PE-04L4 (112/1;112/2;112/3;113/1;113/2;113/3;114/1;114/2;114/3;115/1;115/2;116/2;116/3;117/1;117/2;117/3;118/1;118/2;118/3;118/4;119/1;119/2;119/3;119/4;120/1;120/2;120/3;121/1;121/2;121/3;121/4;122/1;122/2).</t>
  </si>
  <si>
    <t>0005223/2023</t>
  </si>
  <si>
    <t>d-spafsgrd-04l4-cade-0019542023</t>
  </si>
  <si>
    <t>Substituir 148 cadeias de isolador em 35 estrutura(s) da LT 230 kV P.AFONSO III /GARANHUNS II C-4 AL/PE-04L4 (122/3;122/4;123/1;123/2;123/3;123/4;124/1;124/2;124/3;125/1;125/2;125/3;125/4;126/1;126/2;126/3;127/1;127/2;127/3;127/4;128/1;128/2;137/3;138/1;138/2;138/3;139/1;139/2;139/3;140/1;140/2;140/3;140/4;141/1;141/2).</t>
  </si>
  <si>
    <t>0005224/2023</t>
  </si>
  <si>
    <t>d-spafsgrd-04l4-cade-0019552023</t>
  </si>
  <si>
    <t>Substituir 164 cadeias de isolador em 35 estrutura(s) da LT 230 kV P.AFONSO III /GARANHUNS II C-4 AL/PE-04L4 (141/3;142/1;142/3;143/1;143/3;144/1;144/2;144/3;145/1;145/2;145/3;145/4;146/1;146/2;146/3;147/1;147/2;147/3;148/1;148/2;148/3;148/4;149/1;149/2;149/3;150/1;150/2;150/3;151/1;151/2;151/3;152/1;152/2;152/3;152/4).</t>
  </si>
  <si>
    <t>0005225/2023</t>
  </si>
  <si>
    <t>d-spafsgrd-04l4-cade-0019562023</t>
  </si>
  <si>
    <t>Substituir 212 cadeias de isolador em 35 estrutura(s) da LT 230 kV P.AFONSO III /GARANHUNS II C-4 AL/PE-04L4 (000/1;001/1;001/2;003/1;004/1;006/2;009/2;009/3;010/2;010/3;012/2;012/3;012/4;014/2;015/1;015/2;017/1;017/3;018/1;018/2;022/1;022/4;023/1;023/2;023/3;024/2;025/1;029/2;029/3;030/3;031/1;034/1;034/2;034/3;036/3).</t>
  </si>
  <si>
    <t>0005226/2023</t>
  </si>
  <si>
    <t>d-spafsgrd-04l4-cade-0019572023</t>
  </si>
  <si>
    <t>Substituir 144 cadeias de isolador em 26 estrutura(s) da LT 230 kV P.AFONSO III /GARANHUNS II C-4 AL/PE-04L4 (038/3;039/1;039/2;040/2;041/2;041/3;042/4;044/1;044/3;044/4;046/1;047/2;048/1;050/1;051/3;059/2;061/3;063/1;068/4;071/3;072/1;088/2;093/2;111/3;142/2;143/2).</t>
  </si>
  <si>
    <t>0005227/2023</t>
  </si>
  <si>
    <t>d-spafsgrd-04l4-cade-0019582023</t>
  </si>
  <si>
    <t>LT 230 kV U.SOBRADINHO /JUAZEIRO II BA</t>
  </si>
  <si>
    <t>Substituir 60 cadeias de isolador em 14 estrutura(s) da LT 230 kV U.SOBRADINHO /JUAZEIRO II C-1 BA-04S1 (000/3;000/4;001/2;020/1;036/2;037/1;037/2;038/1;038/2;039/1;040/1;040/2;041/1;006/2).</t>
  </si>
  <si>
    <t>LT 230 kV U.SOBRADINHO /JUAZEIRO II C-1 BA</t>
  </si>
  <si>
    <t>0005230/2023</t>
  </si>
  <si>
    <t>d-ssobsjzd-04s1-cade-0019632023</t>
  </si>
  <si>
    <t>Substituir 66 cadeias de isolador em 14 estrutura(s) da LT 230 kV U.SOBRADINHO /JUAZEIRO II C-2 BA-04S2 (000/3;000/4;001/2;020/1;036/2;037/1;037/2;038/1;038/2;039/1;040/1;040/2;041/1;006/2).</t>
  </si>
  <si>
    <t>LT 230 kV U.SOBRADINHO /JUAZEIRO II C-2 BA</t>
  </si>
  <si>
    <t>0005233/2023</t>
  </si>
  <si>
    <t>d-ssobsjzd-04s2-cade-0019662023</t>
  </si>
  <si>
    <t>LT 230 kV JUAZEIRO II /SR.BONFIM II BA</t>
  </si>
  <si>
    <t>Substituir 120 cadeias de isolador em 34 estrutura(s) da LT 230 kV JUAZEIRO II /SR.BONFIM II C-1 BA-04N2 (001/2;001/3;001/4;002/1;002/2;003/1;003/2;004/1;004/2;005/1;005/2;006/1;006/2;007/1;007/2;008/1;008/2;009/1;009/2;010/1;010/2;011/1;011/2;012/1;012/2;013/1;013/2;014/1;014/2;015/1;015/2;016/1;016/2;017/1).</t>
  </si>
  <si>
    <t>LT 230 kV JUAZEIRO II /SR.BONFIM II C-1 BA</t>
  </si>
  <si>
    <t>0005234/2023</t>
  </si>
  <si>
    <t>d-sjzdssnb-04n2-cade-0019672023</t>
  </si>
  <si>
    <t>Substituir 114 cadeias de isolador em 34 estrutura(s) da LT 230 kV JUAZEIRO II /SR.BONFIM II C-1 BA-04N2 (017/2;017/3;018/1;018/2;019/1;019/2;020/1;020/2;021/1;021/2;022/1;022/2;023/1;023/2;024/1;024/2;025/1;025/2;026/1;026/2;027/1;027/2;028/1;028/2;029/1;029/2;030/1;030/2;031/1;031/2;032/1;032/2;033/1;033/2).</t>
  </si>
  <si>
    <t>0005235/2023</t>
  </si>
  <si>
    <t>d-sjzdssnb-04n2-cade-0019682023</t>
  </si>
  <si>
    <t>Substituir 111 cadeias de isolador em 34 estrutura(s) da LT 230 kV JUAZEIRO II /SR.BONFIM II C-1 BA-04N2 (066/2;067/1;067/2;068/1;068/2;069/1;069/2;070/1;070/2;071/1;071/2;072/1;072/2;073/1;073/2;073/3;074/1;074/2;075/1;075/2;076/1;076/2;077/1;077/2;078/1;078/2;078/3;079/1;079/2;079/3;080/1;080/2;081/1;081/2).</t>
  </si>
  <si>
    <t>0005238/2023</t>
  </si>
  <si>
    <t>d-sjzdssnb-04n2-cade-0019712023</t>
  </si>
  <si>
    <t>Substituir 111 cadeias de isolador em 34 estrutura(s) da LT 230 kV JUAZEIRO II /SR.BONFIM II C-1 BA-04N2 (082/1;082/2;083/1;083/2;084/1;084/2;085/1;085/2;086/1;086/2;087/1;087/2;088/1;088/2;088/3;088/4;089/1;089/2;090/1;090/2;091/1;091/2;092/1;092/2;092/3;093/1;093/2;094/1;094/2;095/1;095/2;096/1;096/2;097/1).</t>
  </si>
  <si>
    <t>0005239/2023</t>
  </si>
  <si>
    <t>d-sjzdssnb-04n2-cade-0019722023</t>
  </si>
  <si>
    <t>Substituir 111 cadeias de isolador em 34 estrutura(s) da LT 230 kV JUAZEIRO II /SR.BONFIM II C-1 BA-04N2 (097/2;097/3;098/1;098/2;100/2;103/3;104/1;106/2;107/2;107/3;108/2;109/1;109/2;114/1;114/2;114/3;115/1;115/2;116/1;116/2;117/1;117/2;118/1;119/2;120/1;120/2;121/1;121/2;122/2;123/1;124/1;124/2;124/3;125/1).</t>
  </si>
  <si>
    <t>0005240/2023</t>
  </si>
  <si>
    <t>d-sjzdssnb-04n2-cade-0019732023</t>
  </si>
  <si>
    <t>Substituir 60 cadeias de isolador em 14 estrutura(s) da LT 230 kV JUAZEIRO II /SR.BONFIM II C-1 BA-04N2 (143/2;144/1;144/2;145/1;145/2;146/1;146/2;147/1;147/2;147/3;148/1;148/2;148/3;149/1).</t>
  </si>
  <si>
    <t>0005242/2023</t>
  </si>
  <si>
    <t>d-sjzdssnb-04n2-cade-0019752023</t>
  </si>
  <si>
    <t>LT 230 kV JUAZEIRO II /JAGUARARI-SE BA</t>
  </si>
  <si>
    <t>Substituir 126 cadeias de isolador em 34 estrutura(s) da LT 230 kV JUAZEIRO II /JAGUARARI-SE C-1 BA-04N1 (001/2;001/3;001/4;002/1;002/2;003/1;003/2;004/1;004/2;005/1;005/2;006/1;006/2;007/1;007/2;008/1;008/2;009/1;009/2;010/1;010/2;011/1;011/2;012/1;012/2;013/1;013/2;014/1;014/2;015/1;015/2;016/1;016/2;017/1).</t>
  </si>
  <si>
    <t>LT 230 kV JUAZEIRO II /JAGUARARI-SE C-1 BA</t>
  </si>
  <si>
    <t>0005243/2023</t>
  </si>
  <si>
    <t>d-sjzdsjgr-04n1-cade-0019762023</t>
  </si>
  <si>
    <t>Substituir 111 cadeias de isolador em 34 estrutura(s) da LT 230 kV JUAZEIRO II /JAGUARARI-SE C-1 BA-04N1 (017/2;017/3;018/1;018/2;019/1;019/2;020/1;020/2;021/1;021/2;022/1;022/2;023/1;023/2;024/1;024/2;025/1;025/2;026/1;026/2;027/1;027/2;028/1;028/2;029/1;029/2;030/1;030/2;031/1;031/2;032/1;032/2;033/1;033/2).</t>
  </si>
  <si>
    <t>0005244/2023</t>
  </si>
  <si>
    <t>d-sjzdsjgr-04n1-cade-0019772023</t>
  </si>
  <si>
    <t>Substituir 126 cadeias de isolador em 29 estrutura(s) da LT 230 kV JUAZEIRO II /JAGUARARI-SE C-1 BA-04N1 (066/2;067/1;067/2;068/1;068/2;069/1;069/2;070/1;070/2;071/1;071/2;072/1;072/2;073/1;073/2;073/3;074/1;074/2;075/1;075/2;076/1;076/2;077/1;077/2;078/1;078/1A;078/1B;078/2;078/1C).</t>
  </si>
  <si>
    <t>0005247/2023</t>
  </si>
  <si>
    <t>d-sjzdsjgr-04n1-cade-0019802023</t>
  </si>
  <si>
    <t>LT 230 kV JAGUARARI-SE /SR.BONFIM II BA</t>
  </si>
  <si>
    <t>Substituir 138 cadeias de isolador em 33 estrutura(s) da LT 230 kV JAGUARARI-SE /SR.BONFIM II C-1 BA-04L1 (078/3C;078/2;078/3B;078/3D;079/2;079/3;080/1;080/2;081/1;081/2;082/1;082/2;083/1;083/2;084/1;084/2;085/1;085/2;086/1;086/2;087/1;087/2;088/1;088/2;088/3;088/4;089/1;089/2;090/1;090/2;091/1;091/2;092/1).</t>
  </si>
  <si>
    <t>LT 230 kV JAGUARARI-SE /SR.BONFIM II C-1 BA</t>
  </si>
  <si>
    <t>0005248/2023</t>
  </si>
  <si>
    <t>d-sjgrssnb-04l1-cade-0019812023</t>
  </si>
  <si>
    <t>Substituir 111 cadeias de isolador em 34 estrutura(s) da LT 230 kV JAGUARARI-SE /SR.BONFIM II C-1 BA-04L1 (092/2;092/3;093/1;093/2;094/1;094/2;095/1;095/2;096/1;096/2;097/1;097/2;097/3;098/1;098/2;100/2;103/3;104/1;106/2;107/2;107/3;108/2;109/1;109/2;114/1;114/2;114/3;115/1;115/2;116/1;116/2;117/1;117/2;118/1).</t>
  </si>
  <si>
    <t>0005249/2023</t>
  </si>
  <si>
    <t>d-sjgrssnb-04l1-cade-0019822023</t>
  </si>
  <si>
    <t>Substituir 111 cadeias de isolador em 34 estrutura(s) da LT 230 kV JAGUARARI-SE /SR.BONFIM II C-1 BA-04L1 (119/2;120/1;120/2;121/1;121/2;122/2;123/1;124/1;124/2;124/3;125/1;125/2;126/2;127/1;127/2;128/1;128/2;129/1;129/2;130/1;130/2;131/1;131/2;132/1;132/2;132/3;133/1;133/2;134/1;134/2;135/1;135/2;136/1;136/2).</t>
  </si>
  <si>
    <t>0005250/2023</t>
  </si>
  <si>
    <t>d-sjgrssnb-04l1-cade-0019832023</t>
  </si>
  <si>
    <t>Substituir 93 cadeias de isolador em 25 estrutura(s) da LT 230 kV JAGUARARI-SE /SR.BONFIM II C-1 BA-04L1 (138/2;139/1;139/2;140/1;140/2;141/1;141/2;142/1;142/2;142/3;143/1;143/2;144/1;144/2;145/1;145/2;146/1;146/2;147/1;147/2;147/3;148/1;148/2;148/3;149/1).</t>
  </si>
  <si>
    <t>0005251/2023</t>
  </si>
  <si>
    <t>d-sjgrssnb-04l1-cade-0019842023</t>
  </si>
  <si>
    <t>LT 230 kV SR.BONFIM II /CAMPO FORMOSO BA</t>
  </si>
  <si>
    <t>Substituir 111 cadeias de isolador em 34 estrutura(s) da LT 230 kV SR.BONFIM II /CAMPO FORMOSO C-1 BA-04C1 (044/2;045/1;045/2;046/1;046/2;047/1;047/2;048/2;049/1;049/2;050/1;050/2;051/1;051/2;052/2;053/1;055/1;055/3;056/1;057/1;057/2;058/1;059/1;060/1;060/2;061/1;061/2;061/3;062/1;062/2;063/1;064/2;065/2;065/3).</t>
  </si>
  <si>
    <t>LT 230 kV SR.BONFIM II /CAMPO FORMOSO C-1 BA</t>
  </si>
  <si>
    <t>0005252/2023</t>
  </si>
  <si>
    <t>d-ssnbscfo-04c1-cade-0019852023</t>
  </si>
  <si>
    <t>Substituir 120 cadeias de isolador em 34 estrutura(s) da LT 230 kV SR.BONFIM II /CAMPO FORMOSO C-1 BA-04C1 (020/1;021/2;022/1;023/1;023/2;023/3;023/4;024/1;024/2;024/3;025/1;025/2;026/4;027/3;028/1;029/2;029/3;033/1;033/2;034/1;034/2;035/1;035/2;036/1;038/2;039/1;039/2;041/1;041/2;042/1;042/2;043/1;043/3;044/1).</t>
  </si>
  <si>
    <t>0005254/2023</t>
  </si>
  <si>
    <t>d-ssnbscfo-04c1-cade-0019862023</t>
  </si>
  <si>
    <t>Substituir 18 cadeias de isolador em 6 estrutura(s) da LT 230 kV SR.BONFIM II /CAMPO FORMOSO C-1 BA-04C1 (016/1;016/2;016/3;017/1;019/1;019/2).</t>
  </si>
  <si>
    <t>0005258/2023</t>
  </si>
  <si>
    <t>d-ssnbscfo-04c1-cade-0019872023</t>
  </si>
  <si>
    <t>Substituir 3 cadeias de isolador em 1 estrutura(s) da LT 230 kV SE CAMPO FORMOSO /OUROLANDIA II C-1 BA-04C2 (007/1).</t>
  </si>
  <si>
    <t>0005262/2023</t>
  </si>
  <si>
    <t>d-scfosour-04c2-cade-0019912023</t>
  </si>
  <si>
    <t>Substituir 3 cadeias de isolador em 1 estrutura(s) da LT 230 kV CEARA MIRIM II /JOAO CAMARA II C-1 RN-04C1 (025/1).</t>
  </si>
  <si>
    <t>0005266/2023</t>
  </si>
  <si>
    <t>d-scidsjcd-04c1-cade-0020522023</t>
  </si>
  <si>
    <t>Substituir 6 cadeias de isolador em 2 estrutura(s) da LT 230 kV RIO LARGO II /BRASKEM C-1 AL-04S2 (009/1;009/3).</t>
  </si>
  <si>
    <t>0005272/2023</t>
  </si>
  <si>
    <t>d-srldsbsk-04s2-cade-0021242023</t>
  </si>
  <si>
    <t>Substituir 3 cadeias de isolador em 1 estrutura(s) da LT 230 kV SANTANA II /ANGELIM C-1 AL/PE-04Z9 (141/1).</t>
  </si>
  <si>
    <t>0005275/2023</t>
  </si>
  <si>
    <t>d-sstnsagl-04z9-cade-0021602023</t>
  </si>
  <si>
    <t>LT 230 kV CAMACARI II /FEIRA DE SANTANA III BA</t>
  </si>
  <si>
    <t>Substituir 159 cadeias de isolador em 53 estrutura(s) da LT 230 kV SE FEIRA DE SANTANA III /CAMACARI II C-1 BA-04C6 (001/2;001/4;002/1;004/1;008/1;008/2;012/2;013/2;015/1;015/2;016/1;016/2;017/2;017/3;018/2;019/1;020/1;021/1;022/1;023/2;023/3;024/2;025/1;025/2;026/1;026/2;027/2;028/1;028/2;029/1;029/2;030/1;032/1;032/2;033/1;033/2;034/1;034/2;035/1;036/2;037/1;038/1;038/2;039/2;040/1;040/2;041/3;042/2;043/1;043/2;045/1;047/2;048/1).</t>
  </si>
  <si>
    <t>LT 230 kV CAMACARI II /FEIRA DE SANTANA III C-2 BA</t>
  </si>
  <si>
    <t>0005279/2023</t>
  </si>
  <si>
    <t>d-scmdsfst-04c6-cade-0023882023</t>
  </si>
  <si>
    <t>LT 230 kV FEIRA DE SANTANA III /G.MANGABEIRA BA</t>
  </si>
  <si>
    <t>Substituir 171 cadeias de isolador em 57 estrutura(s) da LT 230 kV G.MANGABEIRA /SE FEIRA DE SANTANA III C-1 BA-04F6 (048/2;050/2;053/1;056/1;057/1;057/2;058/1;059/1;059/2;060/1;060/2;060/3;062/1;062/2;062/3;063/1;064/1;064/2;064/3;065/1;066/2;067/1;067/2;068/1;068/2;069/1;069/3;070/1;070/2;070/3;071/1;071/3;072/1;072/2;072/3;073/1;073/2;073/5;074/2;075/1;075/2;076/1;077/1;077/2;077/3;078/1;078/2;079/1;079/2;080/1;080/2;081/2;082/1;082/2;083/1;083/3;084/1).</t>
  </si>
  <si>
    <t>LT 230 kV FEIRA DE SANTANA III /G.MANGABEIRA C-2 BA</t>
  </si>
  <si>
    <t>0005283/2023</t>
  </si>
  <si>
    <t>d-sgvmsfst-04f6-cade-0023892023</t>
  </si>
  <si>
    <t>Substituir 45 cadeias de isolador em 15 estrutura(s) da LT 230 kV CAMACARI II /G.MANGABEIRA C-1 BA-04C7 (009/2;009/3;011/1;012/1;012/2;013/1;015/2;018/1;028/1;031/2;035/2;035/3;036/1;040/1;071/2).</t>
  </si>
  <si>
    <t>0005286/2023</t>
  </si>
  <si>
    <t>d-scmdsgvm-04c7-cade-0023902023</t>
  </si>
  <si>
    <t>Substituir 93 cadeias de isolador em 31 estrutura(s) da LT 230 kV CAMACARI II /MATATU C-1 BA-04M7 (1;2;4;024/2;001/1;001/2;001/3;001/5;002/3;003/3;012/2;013/1;015/1;015/2;017/1;017/2;018/2;019/1;020/2;020/3;021/1;024/3;025/2;026/1;026/2;031/3;032/2;032/3;034/2;037/2;045/1).</t>
  </si>
  <si>
    <t>0005289/2023</t>
  </si>
  <si>
    <t>d-scmdsmtt-04m7-cade-0023912023</t>
  </si>
  <si>
    <t>LT 230 kV CAMACARI II /PITUACU BA</t>
  </si>
  <si>
    <t>Substituir 15 cadeias de isolador em 5 estrutura(s) da LT 230 kV CAMACARI II /PITUACU C-2 BA-04M9 (001/2;017/3;020/1;026/3;035/2).</t>
  </si>
  <si>
    <t>LT 230 kV CAMACARI II /PITUACU C-1 BA</t>
  </si>
  <si>
    <t>0005293/2023</t>
  </si>
  <si>
    <t>d-scmdsptu-04m9-cade-0023922023</t>
  </si>
  <si>
    <t>LT 230 kV CAMACARI IV /COTEGIPE BA</t>
  </si>
  <si>
    <t>Substituir 9 cadeias de isolador em 3 estrutura(s) da LT 230 kV CAMACARI IV /COTEGIPE C-1 BA-04M6 (003/3;004/1;004/2).</t>
  </si>
  <si>
    <t>LT 230 kV CAMACARI IV /COTEGIPE C-1 BA</t>
  </si>
  <si>
    <t>0005300/2023</t>
  </si>
  <si>
    <t>d-scmqsctg-04m6-cade-0023942023</t>
  </si>
  <si>
    <t>Substituir 138 cadeias de isolador em 46 estrutura(s) da LT 230 kV COTEGIPE /MATATU C-1 BA-04L4 (1;2;5;8;9;11;13;14;18;22;23;24;29;33;34;36;38;39;41;42;43;44;46;54;56;58;59;63;64;67;68;69;70;73;74;75;79;80;81;83;85;86;87;89;90;91).</t>
  </si>
  <si>
    <t>0005303/2023</t>
  </si>
  <si>
    <t>d-sctgsmtt-04l4-cade-0023952023</t>
  </si>
  <si>
    <t>Substituir 78 cadeias de isolador em 26 estrutura(s) da LT 230 kV CATU /G.MANGABEIRA C-1 BA-04M3 (21;26;43;44;48;49;50;54;56;59;67;68;79;82;83;86;91;103;117;118;122;129;131;135;152;218).</t>
  </si>
  <si>
    <t>0005307/2023</t>
  </si>
  <si>
    <t>d-sctusgvm-04m3-cade-0023962023</t>
  </si>
  <si>
    <t>LT 230 kV JACARACANGA /DOW QUIMICA BA</t>
  </si>
  <si>
    <t>Substituir 27 cadeias de isolador em 9 estrutura(s) da LT 230 kV JACARACANGA /DOW QUIMICA C-2 BA-04N4 (5;12;14;15;16;17;20;21;23).</t>
  </si>
  <si>
    <t>LT 230 kV JACARACANGA /DOW QUIMICA C-2 BA (04N4)</t>
  </si>
  <si>
    <t>0005317/2023</t>
  </si>
  <si>
    <t>d-sjcrsdow-04n4-cade-0023982023</t>
  </si>
  <si>
    <t>Substituir 42 cadeias de isolador em 14 estrutura(s) da LT 230 kV SAPEACU /FUNIL C-1 BA-04F1 (002/5;006/1;006/2;007/3;008/2;009/3;010/3;015/3;017/1;019/2;025/1;025/2;025/4;029/1).</t>
  </si>
  <si>
    <t>0005321/2023</t>
  </si>
  <si>
    <t>d-sspusfnl-04f1-cade-0023992023</t>
  </si>
  <si>
    <t>LT 230 kV ALAGOINHAS II /CATU BA</t>
  </si>
  <si>
    <t>Substituir 60 cadeias de isolador em 20 estrutura(s) da LT 230 kV ALAGOINHAS II /CATU C-2 BA-04L3 (548;549;552;554;555;557;566;594;601;603;605;609;611;617;634;635;637;650;654;680).</t>
  </si>
  <si>
    <t>LT 230 kV ALAGOINHAS II /CATU C-2 BA</t>
  </si>
  <si>
    <t>0005326/2023</t>
  </si>
  <si>
    <t>d-saldsctu-04l3-cade-0024002023</t>
  </si>
  <si>
    <t>LT 230 kV CIC. DANTAS /ALAGOINHAS II BA</t>
  </si>
  <si>
    <t>Substituir 117 cadeias de isolador em 39 estrutura(s) da LT 230 kV CIC. DANTAS /ALAGOINHAS II C-1 BA-04L8 (448;450;457;460;461;462;464;465;466;467;471;480;481;486;487;491;493;494;495;497;498;500;504;505;506;512;513;516;519;523;524;525;526;529;531;532;539;540;546).</t>
  </si>
  <si>
    <t>LT 230 kV CIC. DANTAS /ALAGOINHAS II C-2 BA</t>
  </si>
  <si>
    <t>0005330/2023</t>
  </si>
  <si>
    <t>d-sccdsald-04l8-cade-0024012023</t>
  </si>
  <si>
    <t>Substituir 162 cadeias de isolador em 54 estrutura(s) da LT 230 kV CIC. DANTAS /CATU C-1 BA-04L2 (134/1;135/2;136/1;138/2;139/3;141/3;142/3;143/2;144/1;144/3;145/1;145/2;145/3;146/3;147/2;148/2;148/3;150/2;151/1;151/2;151/3;151/4;152/2;152/3;152/4;159/1;162/2;164/1;164/2;165/1;165/2;166/2;167/2;167/3;168/1;180/1;180/2;181/1;182/1;183/3;185/1;186/1;187/1;188/1;188/2;190/1;191/3;191/4;192/1;192/3;193/1;193/2;197/2;201/3).</t>
  </si>
  <si>
    <t>0005335/2023</t>
  </si>
  <si>
    <t>d-sccdsctu-04l2-cade-0024022023</t>
  </si>
  <si>
    <t>LT 230 kV CAMACARI II /BRAS.C.SODA BA</t>
  </si>
  <si>
    <t>Substituir 18 cadeias de isolador em 6 estrutura(s) da LT 230 kV CAMACARI II /BRAS.C.SODA C-1 BA-04C9 (001/4;002/1;003/1;007/8;008/1;008/2).</t>
  </si>
  <si>
    <t>LT 230 kV CAMACARI II /BRAS.C.SODA C-1 BA (04C9)</t>
  </si>
  <si>
    <t>0005340/2023</t>
  </si>
  <si>
    <t>d-scmdsbcs-04c9-cade-0024032023</t>
  </si>
  <si>
    <t>LT 230 kV CATU /CAMACARI IV BA</t>
  </si>
  <si>
    <t>Substituir 42 cadeias de isolador em 14 estrutura(s) da LT 230 kV CATU /CAMACARI IV C-1 BA-04M1 (007/2;010/3;012/2;013/3;014/2;015/3;016/3;019/2;021/1;024/4;025/1;025/3;025/4;025/5).</t>
  </si>
  <si>
    <t>LT 230 kV CATU /CAMACARI IV C-1 BA</t>
  </si>
  <si>
    <t>0005352/2023</t>
  </si>
  <si>
    <t>d-sctuscmq-04m1-cade-0024062023</t>
  </si>
  <si>
    <t>Substituir 30 cadeias de isolador em 10 estrutura(s) da LT 230 kV CATU /CAMACARI IV C-2 BA-04M2 (006/2;007/2;011/3;012/2;024/4;025/1;025/2;025/3;025/4;025/5).</t>
  </si>
  <si>
    <t>LT 230 kV CATU /CAMACARI IV C-2 BA</t>
  </si>
  <si>
    <t>0005354/2023</t>
  </si>
  <si>
    <t>d-sctuscmq-04m2-cade-0024072023</t>
  </si>
  <si>
    <t>Substituir 270 cadeias de isolador em 90 estrutura(s) da LT 230 kV CIC. DANTAS /ALAGOINHAS II C-1 BA-04L8 (243;244;245;246;247;248;249;250;251;252;253;254;255;256;257;258;259;260;261;262;263;264;265;266;274;275;276;277;278;279;280;281;282;283;284;285;286;287;288;289;290;291;292;293;294;295;296;297;298;299;300;301;302;303;304;305;306;307;308;309;310;311;312;314;315;316;317;318;319;320;321;322;323;324;325;326;327;328;329;330;331;332;333;334;335;336;337;338;339;340).</t>
  </si>
  <si>
    <t>0005358/2023</t>
  </si>
  <si>
    <t>d-sccdsald-04l8-cade-0024102023</t>
  </si>
  <si>
    <t>Substituir 270 cadeias de isolador em 90 estrutura(s) da LT 230 kV CIC. DANTAS /ALAGOINHAS II C-1 BA-04L8 (341;342;343;344;345;346;347;348;349;350;351;352;353;354;355;356;357;358;359;360;361;362;363;364;365;366;367;368;369;370;371;372;373;374;375;376;377;378;379;380;381;382;383;384;385;386;387;388;389;390;391;392;393;394;395;396;397;398;399;400;401;402;403;404;405;406;407;408;409;410;411;412;413;414;415;416;417;418;419;420;421;422;423;424;425;426;427;428;429;430).</t>
  </si>
  <si>
    <t>0005360/2023</t>
  </si>
  <si>
    <t>d-sccdsald-04l8-cade-0024112023</t>
  </si>
  <si>
    <t>Substituir 57 cadeias de isolador em 19 estrutura(s) da LT 230 kV CIC. DANTAS /ALAGOINHAS II C-1 BA-04L8 (431;432;433;434;435;436;437;438;439;440;441;442;080/2;080/3;080/4;081/1;081/2;081/3;082/1).</t>
  </si>
  <si>
    <t>0005362/2023</t>
  </si>
  <si>
    <t>d-sccdsald-04l8-cade-0024122023</t>
  </si>
  <si>
    <t>Substituir 180 cadeias de isolador em 60 estrutura(s) da LT 230 kV CIC. DANTAS /CATU C-1 BA-04L2 (073/1;073/2;073/3;074/1;074/2;074/3;075/1;075/2;075/3;076/1;076/2;076/3;076/4;077/1;077/2;077/3;078/1;078/2;078/3;079/1;079/2;079/3;080/1;080/2;080/3;081/2;081/3;082/1;082/2;082/3;083/1;083/2;083/3;084/1;084/2;084/3;084/4;085/1;085/3;086/1;086/2;086/3;087/1;087/2;087/3;088/1;088/2;088/3;088/4;089/1;089/2;089/3;090/1;090/2;090/3;091/1;091/2;091/3;092/1;092/2).</t>
  </si>
  <si>
    <t>0005367/2023</t>
  </si>
  <si>
    <t>d-sccdsctu-04l2-cade-0024132023</t>
  </si>
  <si>
    <t>Substituir 180 cadeias de isolador em 60 estrutura(s) da LT 230 kV CIC. DANTAS /CATU C-1 BA-04L2 (092/3;093/1;093/2;093/3;094/1;094/2;094/3;094/4;095/1;095/2;095/3;096/1;096/2;096/3;096/4;097/1;097/2;097/3;098/1;098/2;098/3;099/1;099/2;099/3;100/1;100/2;100/3;101/1;101/2;101/3;101/4;102/1;102/2;102/3;103/1;103/2;103/3;104/1;104/2;104/3;105/1;105/2;105/3;105/4;106/1;106/2;107/1;107/2;107/3;108/1;108/2;108/3;108/4;109/1;109/2;109/3;110/1;110/2;110/3;110/4).</t>
  </si>
  <si>
    <t>0005369/2023</t>
  </si>
  <si>
    <t>d-sccdsctu-04l2-cade-0024142023</t>
  </si>
  <si>
    <t>Substituir 180 cadeias de isolador em 60 estrutura(s) da LT 230 kV CIC. DANTAS /CATU C-1 BA-04L2 (111/1;111/2;111/3;112/1;112/2;112/3;112/4;113/1;113/2;113/3;113/4;114/1;114/2;115/1;115/2;115/3;116/1;116/2;116/3;116/4;117/1;118/1;118/2;118/3;118/4;119/1;119/2;119/3;120/1;120/2;120/3;121/1;121/2;121/3;121/4;122/1;122/2;123/1;123/2;123/3;124/1;124/2;124/3;124/4;125/1;125/2;126/1;126/2;127/1;127/2;127/3;127/4;128/1;128/2;128/3;129/1;129/2;129/3;130/1;130/2).</t>
  </si>
  <si>
    <t>0005370/2023</t>
  </si>
  <si>
    <t>d-sccdsctu-04l2-cade-0024152023</t>
  </si>
  <si>
    <t>Substituir 27 cadeias de isolador em 9 estrutura(s) da LT 230 kV CIC. DANTAS /CATU C-1 BA-04L2 (130/3;131/1;131/2;131/3;132/1;132/2;132/3;132/4;133/1).</t>
  </si>
  <si>
    <t>0005372/2023</t>
  </si>
  <si>
    <t>d-sccdsctu-04l2-cade-0024162023</t>
  </si>
  <si>
    <t>Substituir 180 cadeias de isolador em 60 estrutura(s) da LT 500 kV JARDIM /CAMACARI IV C-1 SE/BA-05V7 (044/1;045/1;045/2;046/1;046/2;047/1;047/2;048/1;049/1;049/2;050/1;050/2;051/1;051/2;052/1;053/1;053/2;054/1;054/2;055/1;055/2;055/3;056/2;057/1;057/2;058/1;058/2;059/1;059/2;060/1;061/1;061/2;061/3;062/1;062/2;063/1;064/1;064/2;064/3;065/1;065/2;066/1;066/2;067/1;068/1;068/2;069/1;069/2;070/1;070/2;071/1;071/2;072/1;072/2;073/1;074/1;074/2;075/1;075/2;076/1).</t>
  </si>
  <si>
    <t>0005373/2023</t>
  </si>
  <si>
    <t>d-sjdmscmq-05v7-cade-0024172023</t>
  </si>
  <si>
    <t>Substituir 180 cadeias de isolador em 60 estrutura(s) da LT 500 kV JARDIM /CAMACARI IV C-1 SE/BA-05V7 (077/1;077/2;078/1;078/2;079/1;079/2;080/1;080/2;081/1;081/2;081/3;082/1;082/2;083/1;083/2;084/1;084/2;085/1;085/2;086/1;087/1;087/2;088/1;088/2;089/1;089/2;090/1;091/1;091/2;091/3;092/1;093/1;093/2;094/1;095/1;095/2;096/1;096/2;097/1;097/2;098/1;098/2;099/1;099/2;100/1;100/2;101/1;102/1;102/2;103/1;103/2;104/1;105/1;105/2;106/1;106/2;107/1;107/2;108/1;109/1).</t>
  </si>
  <si>
    <t>0005374/2023</t>
  </si>
  <si>
    <t>d-sjdmscmq-05v7-cade-0024182023</t>
  </si>
  <si>
    <t>Substituir 78 cadeias de isolador em 26 estrutura(s) da LT 500 kV JARDIM /CAMACARI IV C-1 SE/BA-05V7 (109/2;110/1;110/2;111/1;112/1;112/2;113/1;113/2;114/1;114/2;115/1;116/1;116/2;117/1;117/2;118/1;118/2;119/1;120/1;120/2;120/3;121/1;121/2;122/1;122/2;JDM).</t>
  </si>
  <si>
    <t>0005375/2023</t>
  </si>
  <si>
    <t>d-sjdmscmq-05v7-cade-0024192023</t>
  </si>
  <si>
    <t>Substituir 180 cadeias de isolador em 60 estrutura(s) da LT 230 kV P.AFONSO III /ITABAIANA C-1 AL/SE-04S6 (084/2;085/2;086/1;086/2;087/1;087/2;087/3;088/1;089/1;089/2;090/1;090/2;091/1;091/2;092/1;092/2;092/3;093/1;093/2;094/1;094/2;095/1;095/2;096/2;097/1;097/2;098/1;098/2;098/3;099/1;099/2;100/1;100/2;101/2;102/1;102/2;103/1;103/2;104/2;104/3;105/1;105/2;106/1;106/2;107/1;107/2;108/1;108/2;108/3;109/1;109/2;110/1;110/2;110/3;111/1;111/2;112/1;112/2;113/1;113/2).</t>
  </si>
  <si>
    <t>0005376/2023</t>
  </si>
  <si>
    <t>d-spafsitb-04s6-cade-0024202023</t>
  </si>
  <si>
    <t>Substituir 180 cadeias de isolador em 60 estrutura(s) da LT 230 kV P.AFONSO III /ITABAIANA C-1 AL/SE-04S6 (113/3;114/1;114/2;115/1;115/2;116/1;117/1;117/2;118/1;118/3;119/2;120/2;121/1;121/2;122/2;123/1;123/2;124/1;124/2;125/1;125/2;126/1;126/2;127/1;127/2;128/1;129/1;129/2;130/1;130/3;131/2;132/2;133/2;134/2;138/1;139/1;139/3;140/1;140/2;141/1;142/1;143/1;144/1;144/3;145/2;146/2;147/1;148/1;149/1;149/2;150/1;150/2;153/3;154/1;154/2;156/1;157/1;158/3;159/1;159/2).</t>
  </si>
  <si>
    <t>0005378/2023</t>
  </si>
  <si>
    <t>d-spafsitb-04s6-cade-0024212023</t>
  </si>
  <si>
    <t>Substituir 27 cadeias de isolador em 9 estrutura(s) da LT 230 kV P.AFONSO III /ITABAIANA C-1 AL/SE-04S6 (160/2;161/2;162/1;162/2;162/3;163/1;163/2;ITB;PAF).</t>
  </si>
  <si>
    <t>0005379/2023</t>
  </si>
  <si>
    <t>d-spafsitb-04s6-cade-0024222023</t>
  </si>
  <si>
    <t>Substituir 180 cadeias de isolador em 60 estrutura(s) da LT 230 kV P.AFONSO III /ITABAIANA C-2 AL/SE-04S7 (084/1;084/2;085/1;085/2;086/1;086/2;087/1;087/2;087/3;088/1;088/2;089/1;089/2;090/1;090/2;091/2;092/1;092/2;092/3;093/1;093/2;094/1;094/2;095/1;095/2;095/3;096/1;096/2;097/1;097/2;098/1;098/2;098/3;099/1;099/2;100/1;100/2;101/1;101/2;101/3;102/1;102/2;103/1;103/2;104/1;104/2;104/3;105/1;105/2;106/1;106/2;107/1;107/2;108/1;108/2;108/3;109/1;109/2;110/2;110/3).</t>
  </si>
  <si>
    <t>0005382/2023</t>
  </si>
  <si>
    <t>d-spafsitb-04s7-cade-0024232023</t>
  </si>
  <si>
    <t>Substituir 180 cadeias de isolador em 60 estrutura(s) da LT 230 kV P.AFONSO III /ITABAIANA C-2 AL/SE-04S7 (111/1;111/2;112/1;112/2;113/1;113/2;114/1;114/2;115/1;115/2;116/1;117/1;117/2;118/1;118/3;119/2;120/2;121/1;121/2;122/2;123/1;123/2;124/1;124/2;125/1;125/2;126/1;126/2;127/1;127/2;128/1;129/1;130/1;130/3;131/2;132/2;133/2;134/2;137/1;139/1;139/3;140/1;140/2;141/1;142/1;143/1;144/1;144/3;145/2;146/2;147/1;149/1;149/2;150/1;150/2;153/3;154/1;154/2;156/1;157/1).</t>
  </si>
  <si>
    <t>0005386/2023</t>
  </si>
  <si>
    <t>d-spafsitb-04s7-cade-0024242023</t>
  </si>
  <si>
    <t>Substituir 27 cadeias de isolador em 9 estrutura(s) da LT 230 kV P.AFONSO III /ITABAIANA C-2 AL/SE-04S7 (158/3;159/1;160/2;161/2;162/1;162/2;162/3;163/1;163/2).</t>
  </si>
  <si>
    <t>0005390/2023</t>
  </si>
  <si>
    <t>d-spafsitb-04s7-cade-0024252023</t>
  </si>
  <si>
    <t>Substituição da proteção Falha de Disjuntor principal, referente ao Interligador de Barras (IB) 525 kV da SE Blumenau, DJ1090 (vão entre o RT2 e o TF5), incluindo painéis e cabos de controle e potência associados.</t>
  </si>
  <si>
    <t>0005398/2023</t>
  </si>
  <si>
    <t>Substituição do sistema de controle e supervisão (com unidade redundante) do Interligador de Barras (IB) 525 kV da SE Blumenau, DJ1090 (vão entre o RT2 e o TF5), incluindo painéis e cabos de controle e potência associados.</t>
  </si>
  <si>
    <t>0005399/2023</t>
  </si>
  <si>
    <t>Substituição das proteções Principal, Alternada e Falha de Disjuntor, referentes a LT 230 kV Blumenau - Joinville Norte C-1, incluindo painéis e cabos de controle e potência associados.</t>
  </si>
  <si>
    <t>0005400/2023</t>
  </si>
  <si>
    <t>Substituição do sistema de controle e supervisão (com unidade redundante) da LT 230 kV Blumenau - Joinville Norte C-1, incluindo painéis e cabos de controle e potência associados.</t>
  </si>
  <si>
    <t>0005401/2023</t>
  </si>
  <si>
    <t>Substituição das proteções Principal, Alternada e Falha de Disjuntor, referentes a LT 230 kV Blumenau - Joinville C-1, incluindo painéis e cabos de controle e potência associados.</t>
  </si>
  <si>
    <t>0005403/2023</t>
  </si>
  <si>
    <t>PP, PA, BF - LT JOI C-1</t>
  </si>
  <si>
    <t>Substituição do sistema de controle e supervisão (com unidade redundante) da LT 230 kV Blumenau - Joinville C-1, incluindo painéis e cabos de controle e potência associados.</t>
  </si>
  <si>
    <t>0005406/2023</t>
  </si>
  <si>
    <t>Substituição do sistema de controle e supervisão (com unidade redundante) da LT 230 kV Blumenau - Gaspar 2 C-1, incluindo painéis e cabos de controle e potência associados.</t>
  </si>
  <si>
    <t>LT 230 kV BLUMENAU /GASPAR 2 C-1 SC</t>
  </si>
  <si>
    <t>0005408/2023</t>
  </si>
  <si>
    <t>Controle - LT GAS2 C-1</t>
  </si>
  <si>
    <t>Substituição dos sistemas de proteção da LT 230 kV XAVANTES /BANDEIRANTES C-2 GO</t>
  </si>
  <si>
    <t>LT 230 kV XAVANTES /BANDEIRANTES C-2 GO</t>
  </si>
  <si>
    <t>0007026/2023</t>
  </si>
  <si>
    <t>PROTEÇÃO - LT 230 kV XAVANTES /BANDEIRANTES C-2 GO</t>
  </si>
  <si>
    <t>Substituição do registrador de perturbações digital da  LT 230 kV XAVANTES /BANDEIRANTES C-2 GO</t>
  </si>
  <si>
    <t>0007027/2023</t>
  </si>
  <si>
    <t>RDP - LT 230 kV XAVANTES /BANDEIRANTES C-2 GO</t>
  </si>
  <si>
    <t>Substituição do sistema de controle e supervisão (com unidade redundante) da LT 230 kV Blumenau - Gaspar 2 C-2, incluindo painéis e cabos de controle e potência associados.</t>
  </si>
  <si>
    <t>0005419/2023</t>
  </si>
  <si>
    <t>Controle - LT GAS2 C-2</t>
  </si>
  <si>
    <t>Substituição de 01 (um) Disjuntor 69 kV posição operacional 12F2 da Subestação CMD.</t>
  </si>
  <si>
    <t>EL 69 kV CAMACARI II STA HELENA-02F1 (12F2)</t>
  </si>
  <si>
    <t>0005433/2023</t>
  </si>
  <si>
    <t>11340460</t>
  </si>
  <si>
    <t>Substituição de 01 (um) Disjuntor 69 kV posição operacional 12T5 da Subestação CMD.</t>
  </si>
  <si>
    <t>0005438/2023</t>
  </si>
  <si>
    <t>11340461</t>
  </si>
  <si>
    <t>Substituição de 01 (uma) Seccionadora 69 kV posição operacional 32A1-8 da Subestação CMD.</t>
  </si>
  <si>
    <t>MC 69 kV TT 69/13,8 kV CAMACARI II TA1 BA (32A1)</t>
  </si>
  <si>
    <t>0005442/2023</t>
  </si>
  <si>
    <t>11337629</t>
  </si>
  <si>
    <t>Substituição de 01 (uma) Seccionadora 69 kV posição operacional 32A2-8 da Subestação CMD.</t>
  </si>
  <si>
    <t>MC 69 kV TT 69/13,8 kV CAMACARI II TA2 BA (32A2)</t>
  </si>
  <si>
    <t>0005443/2023</t>
  </si>
  <si>
    <t>11339923</t>
  </si>
  <si>
    <t>Substituição de 01 (uma) Seccionadora 69 kV posição operacional 32F2-4 da Subestação CMD.</t>
  </si>
  <si>
    <t>0005445/2023</t>
  </si>
  <si>
    <t>11335473</t>
  </si>
  <si>
    <t>Substituição de 01 (uma) Seccionadora 69 kV posição operacional 32F2-5 da Subestação CMD.</t>
  </si>
  <si>
    <t>0005448/2023</t>
  </si>
  <si>
    <t>11337630</t>
  </si>
  <si>
    <t>Substituição de 01 (uma) Seccionadora 69 kV posição operacional 32F2-6 da Subestação CMD.</t>
  </si>
  <si>
    <t>0005452/2023</t>
  </si>
  <si>
    <t>11335474</t>
  </si>
  <si>
    <t>Substituição de 01 (uma) Seccionadora 69 kV posição operacional 32J6-8 da Subestação CMD.</t>
  </si>
  <si>
    <t>EL 69 kV CAMACARI II CTG CTU-02J6 (12J6)</t>
  </si>
  <si>
    <t>0005453/2023</t>
  </si>
  <si>
    <t>11457212</t>
  </si>
  <si>
    <t>Substituição de disjuntor DJ718 (nº serie: 1140-2R-005, cod. mat.: 10191568).</t>
  </si>
  <si>
    <t>0005454/2023</t>
  </si>
  <si>
    <t>DJ718</t>
  </si>
  <si>
    <t>Substituição de 01 (uma) Seccionadora 69 kV posição operacional 32T5-4 da Subestação CMD.</t>
  </si>
  <si>
    <t>0005456/2023</t>
  </si>
  <si>
    <t>11337631</t>
  </si>
  <si>
    <t>Substituição de disjuntor DJ518 (nº serie: 1140-PM-003, cod. mat.: 10191579).</t>
  </si>
  <si>
    <t>0005457/2023</t>
  </si>
  <si>
    <t>DJ518</t>
  </si>
  <si>
    <t>Substituição de 01 (uma) Seccionadora 69 kV posição operacional 32T5-5 da Subestação CMD.</t>
  </si>
  <si>
    <t>0005458/2023</t>
  </si>
  <si>
    <t>11337632</t>
  </si>
  <si>
    <t>Substituição de 01 (uma) Seccionadora 69 kV posição operacional 32T5-6 da Subestação CMD.</t>
  </si>
  <si>
    <t>0005459/2023</t>
  </si>
  <si>
    <t>11335475</t>
  </si>
  <si>
    <t>Substituição de 01 (uma) Seccionadora 69 kV posição operacional 32T6-4 da Subestação CMD.</t>
  </si>
  <si>
    <t>0005462/2023</t>
  </si>
  <si>
    <t>11337633</t>
  </si>
  <si>
    <t>Substituição de 01 (uma) Seccionadora 69 kV posição operacional 32T6-5 da Subestação CMD.</t>
  </si>
  <si>
    <t>0005466/2023</t>
  </si>
  <si>
    <t>11337634</t>
  </si>
  <si>
    <t>Substituição de 01 (uma) Seccionadora 69 kV posição operacional 32T6-6 da Subestação CMD.</t>
  </si>
  <si>
    <t>0005470/2023</t>
  </si>
  <si>
    <t>11335476</t>
  </si>
  <si>
    <t>Substituição de 01 (uma) Seccionadora 230 kV posição operacional 34M2-5 da Subestação RCD.</t>
  </si>
  <si>
    <t>0005477/2023</t>
  </si>
  <si>
    <t>11335589</t>
  </si>
  <si>
    <t>Substituição de Disjuntor DJ2512 (nº serie: 9235, cod. int.: 10191007).</t>
  </si>
  <si>
    <t>0005609/2023</t>
  </si>
  <si>
    <t>DJ2512</t>
  </si>
  <si>
    <t>Substituição de Disjuntor DJ2552 (nº serie: 9236, cod. int.: 10191008).</t>
  </si>
  <si>
    <t>0005610/2023</t>
  </si>
  <si>
    <t>DJ2552</t>
  </si>
  <si>
    <t>Substituição do sistema de controle e supervisão (com unidade redundante) da LT 230 kV Blumenau - Itajaí C-1, incluindo painéis e cabos de controle e potência associados.</t>
  </si>
  <si>
    <t>0005508/2023</t>
  </si>
  <si>
    <t>Controle - LT ITJ C-1</t>
  </si>
  <si>
    <t>Substituição do sistema de controle e supervisão (com unidade redundante) da LT 230 kV Blumenau - Itajaí C-2, incluindo painéis e cabos de controle e potência associados.</t>
  </si>
  <si>
    <t>0005510/2023</t>
  </si>
  <si>
    <t>Controle - LT ITJ C-2</t>
  </si>
  <si>
    <t>Substituição de RLC - RT2513 - AT57 - FASE A (nº serie: 822010, cod. int.: 10183842)</t>
  </si>
  <si>
    <t>0005612/2023</t>
  </si>
  <si>
    <t>RT2513 - AT57 - FASE A</t>
  </si>
  <si>
    <t>Substituição de RLC - RT2513 - AT57 - FASE B (nº serie: 822011, cod. int.: 10183843)</t>
  </si>
  <si>
    <t>0005613/2023</t>
  </si>
  <si>
    <t>RT2513 - AT57 - FASE B</t>
  </si>
  <si>
    <t>Substituição de RLC - RT2513 - AT57 - FASE C (nº serie: 822012, cod. int.: 10183844)</t>
  </si>
  <si>
    <t>0005615/2023</t>
  </si>
  <si>
    <t>RT2513 - AT57 - FASE C</t>
  </si>
  <si>
    <t>Substituição de RLC - RT2553 - AT59 - FASE A (nº serie: 862109, cod. int.: 10183845)</t>
  </si>
  <si>
    <t>0005617/2023</t>
  </si>
  <si>
    <t>RT2553 - AT59 - FASE A</t>
  </si>
  <si>
    <t>Substituição de RLC - RT2553 - AT59 - FASE B (nº serie: 862110, cod. int.: 10183846)</t>
  </si>
  <si>
    <t>0005618/2023</t>
  </si>
  <si>
    <t>RT2553 - AT59 - FASE B</t>
  </si>
  <si>
    <t>Substituição de RLC - RT2553 - AT59 - FASE C (nº serie: 862111, cod. int.: 10183847)</t>
  </si>
  <si>
    <t>0005619/2023</t>
  </si>
  <si>
    <t>RT2553 - AT59 - FASE C</t>
  </si>
  <si>
    <t>Substituição das proteções Principal, Alternada e Falha de Disjuntor, referentes ao Banco de Capacitores 1 (BC1) da SE Blumenau, incluindo painéis e cabos de controle e potência associados.</t>
  </si>
  <si>
    <t>BC 230 kV 125 Mvar BLUMENAU BC1 SC</t>
  </si>
  <si>
    <t>0005518/2023</t>
  </si>
  <si>
    <t>PP, PA, BF - BC1</t>
  </si>
  <si>
    <t>Substituição de Seccionadora SC9135 (nº serie: 10909, cod. int.: 10194900)</t>
  </si>
  <si>
    <t>0005527/2023</t>
  </si>
  <si>
    <t>SC9135</t>
  </si>
  <si>
    <t>Substituição de Seccionadora SC9137 (nº serie: 10911, cod. int.: 10194902)</t>
  </si>
  <si>
    <t>0005528/2023</t>
  </si>
  <si>
    <t>SC9137</t>
  </si>
  <si>
    <t>Substituição de Seccionadora SC9235 (nº serie: 10916, cod. int.: 10194903)</t>
  </si>
  <si>
    <t>LT 500 kV C. PAULISTA / FERNAO DIAS C 1 SP</t>
  </si>
  <si>
    <t>0005530/2023</t>
  </si>
  <si>
    <t>SC9235</t>
  </si>
  <si>
    <t>Substituição do sistema de controle e supervisão (com unidade redundante) do Banco de Capacitores 1 (BC1) da SE Blumenau, incluindo painéis e cabos de controle e potência associados.</t>
  </si>
  <si>
    <t>0005531/2023</t>
  </si>
  <si>
    <t>Controle - BC1</t>
  </si>
  <si>
    <t>Substituição de Seccionadora SC9237 (nº serie: 10910, cod. int.: 10194901)</t>
  </si>
  <si>
    <t>0005532/2023</t>
  </si>
  <si>
    <t>SC9237</t>
  </si>
  <si>
    <t>Substituição das proteções Principal, Alternada e Falha de Disjuntor, referentes ao Banco de Capacitores 2 (BC2) da SE Blumenau, incluindo painéis e cabos de controle e potência associados.</t>
  </si>
  <si>
    <t>BC 230 kV 125 Mvar BLUMENAU BC2 SC</t>
  </si>
  <si>
    <t>0005533/2023</t>
  </si>
  <si>
    <t>PP, PA, BF - BC2</t>
  </si>
  <si>
    <t>Substituição de Seccionadora SC2513 (nº serie: 7809, cod. int.: 10192968)</t>
  </si>
  <si>
    <t>0005535/2023</t>
  </si>
  <si>
    <t>SC2513</t>
  </si>
  <si>
    <t>Substituição do sistema de controle e supervisão (com unidade redundante) do Banco de Capacitores 2 (BC2) da SE Blumenau, incluindo painéis e cabos de controle e potência associados.</t>
  </si>
  <si>
    <t>0005536/2023</t>
  </si>
  <si>
    <t>Controle - BC2</t>
  </si>
  <si>
    <t>Substituição de Seccionadora SC2553 (nº serie: 7808, cod. int.: 10192967)</t>
  </si>
  <si>
    <t>0005537/2023</t>
  </si>
  <si>
    <t>SC2553</t>
  </si>
  <si>
    <t>Substituição das proteções Principal, Alternada e Falha de Disjuntor, referentes ao TR1 230/138 kV da SE Blumenau, lados de 230 e 138 kV, incluindo painéis e cabos de controle e potência associados.</t>
  </si>
  <si>
    <t>0005539/2023</t>
  </si>
  <si>
    <t>Substituição do sistema de controle e supervisão (com unidade redundante) do TR1 230/138 kV da SE Blumenau, lados de 230 e 138 kV, incluindo painéis e cabos de controle e potência associados.</t>
  </si>
  <si>
    <t>0005544/2023</t>
  </si>
  <si>
    <t>Controle - TF1 230</t>
  </si>
  <si>
    <t>Substituição das proteções Principal, Alternada e Falha de Disjuntor, referentes ao TR2 230/138 kV da SE Blumenau, lados de 230 e 138 kV, incluindo painéis e cabos de controle e potência associados.</t>
  </si>
  <si>
    <t>0005560/2023</t>
  </si>
  <si>
    <t>Substituição do sistema de controle e supervisão (com unidade redundante) do TR2 230/138 kV da SE Blumenau, lados de 230 e 138 kV, incluindo painéis e cabos de controle e potência associados.</t>
  </si>
  <si>
    <t>0005565/2023</t>
  </si>
  <si>
    <t>Controle - TF2 230</t>
  </si>
  <si>
    <t>Substituição das proteções Principal, Alternada e Falha de Disjuntor, referentes ao TR3 230/138 kV da SE Blumenau, lados de 230 e 138 kV, incluindo painéis e cabos de controle e potência associados.</t>
  </si>
  <si>
    <t>0005573/2023</t>
  </si>
  <si>
    <t>PP, PA, BF - TF3 230</t>
  </si>
  <si>
    <t>Substituição do sistema de controle e supervisão (com unidade redundante) do TR3 230/138 kV da SE Blumenau, lados de 230 e 138 kV, incluindo painéis e cabos de controle e potência associados.</t>
  </si>
  <si>
    <t>0005575/2023</t>
  </si>
  <si>
    <t>Controle - TF3 230</t>
  </si>
  <si>
    <t>Substituição dos Painéis de Distribuição 125 VCC (QD1, QD2, QD3) e cabos associados, referentes aos Serviços Auxiliares da SE Campo Mourão.</t>
  </si>
  <si>
    <t>0005580/2023</t>
  </si>
  <si>
    <t>Substituição das proteções Principal, Alternada e Falha de Disjuntor, referentes ao TR4 230/138 kV da SE Blumenau, lados de 230 e 138 kV, incluindo painéis e cabos de controle e potência associados.</t>
  </si>
  <si>
    <t>0005581/2023</t>
  </si>
  <si>
    <t>PP, PA, BF - TF4 230</t>
  </si>
  <si>
    <t>0005582/2023</t>
  </si>
  <si>
    <t>Substituição do sistema de controle e supervisão (com unidade redundante) do TR4 230/138 kV da SE Blumenau, lados de 230 e 138 kV, incluindo painéis e cabos de controle e potência associados.</t>
  </si>
  <si>
    <t>0005584/2023</t>
  </si>
  <si>
    <t>Controle - TF4 230</t>
  </si>
  <si>
    <t>Substituição dos Painéis de Distribuição 460 VCA (QD1/2, QD1/460, QD2/460) e cabos associados, referentes aos Serviços Auxiliares da SE Campo Mourão.</t>
  </si>
  <si>
    <t>0005585/2023</t>
  </si>
  <si>
    <t>Painel - 460 VCA</t>
  </si>
  <si>
    <t>0005596/2023</t>
  </si>
  <si>
    <t>0005599/2023</t>
  </si>
  <si>
    <t>MG1 - 460 VCA</t>
  </si>
  <si>
    <t>Substituição da proteção Falha de Disjuntor principal, referente ao Interligador de Barras (IB) 230 kV da SE Blumenau, DJ842, incluindo painéis e cabos de controle e potência associados.</t>
  </si>
  <si>
    <t>0005601/2023</t>
  </si>
  <si>
    <t>BF - DJ842</t>
  </si>
  <si>
    <t>Substituição do sistema de controle e supervisão (com unidade redundante) do Interligador de Barras (IB) 230 kV da SE Blumenau, DJ842, incluindo painéis e cabos de controle e potência associados.</t>
  </si>
  <si>
    <t>0005604/2023</t>
  </si>
  <si>
    <t>Controle - DJ842</t>
  </si>
  <si>
    <t>Substituição das proteções Primária, Secundária e Falha de Disjuntor, referentes a LT 138 kV Blumenau - Blumenau Dois C-1, incluindo painéis e cabos de controle e potência associados.</t>
  </si>
  <si>
    <t>0005605/2023</t>
  </si>
  <si>
    <t>PP, PS, BF - LT BND C-1</t>
  </si>
  <si>
    <t>Substituição do sistema de controle e supervisão da LT 138 kV Blumenau - Blumenau Dois C-1, incluindo painéis e cabos de controle e potência associados.</t>
  </si>
  <si>
    <t>0005607/2023</t>
  </si>
  <si>
    <t>Controle - LT BND C-1</t>
  </si>
  <si>
    <t>Substituição de Disjuntor tripolar 525 kV, DJ1050, referente ao Interligador de Barras entre o TF3 e o Reator 2. Associado à obra, são esperadas substituições/adaptações de fundações e suportes, cabos de controle e potência, barramento, conectores e conexão de aterramento.</t>
  </si>
  <si>
    <t>0005608/2023</t>
  </si>
  <si>
    <t>Substituição das proteções Primária, Secundária e Falha de Disjuntor, referentes a LT 138 kV Blumenau - Blumenau Dois C-2, incluindo painéis e cabos de controle e potência associados.</t>
  </si>
  <si>
    <t>0005611/2023</t>
  </si>
  <si>
    <t>PP, PS, BF - LT BND C-2</t>
  </si>
  <si>
    <t>Substituição do sistema de controle e supervisão da LT 138 kV Blumenau - Blumenau Dois C-2, incluindo painéis e cabos de controle e potência associados.</t>
  </si>
  <si>
    <t>0005614/2023</t>
  </si>
  <si>
    <t>Controle - LT BND C-2</t>
  </si>
  <si>
    <t>Substituição de Chave Seccionadora tripolar 525 kV, CS1059, referente ao Reator 2 da SE Gravataí. Associado à obra são esperadas substituições/adaptações de fundações, suportes, cabos de controle/potência, barramento, conectores e conexão de aterramento.</t>
  </si>
  <si>
    <t>0005616/2023</t>
  </si>
  <si>
    <t>Substituição das proteções Primária, Secundária e Falha de Disjuntor, referentes a LT 138 kV Blumenau - Ilhota C-1, incluindo painéis e cabos de controle e potência associados.</t>
  </si>
  <si>
    <t>0005620/2023</t>
  </si>
  <si>
    <t>PP, PS, BF - LT ITA C-1</t>
  </si>
  <si>
    <t>Substituição de Transformador de Corrente TC12513 TERCIARIO AT57 FASE A (nº serie: 338108, cod. int.: 10232808).
Capacidade de curto-circuito (kA) do novo equipamento: 50 kA.</t>
  </si>
  <si>
    <t>0006967/2023</t>
  </si>
  <si>
    <t>TC12513 TERCIARIO AT57 FASE A</t>
  </si>
  <si>
    <t>Substituição do sistema de controle e supervisão da LT 138 kV Blumenau - Ilhota C-1, incluindo painéis e cabos de controle e potência associados.</t>
  </si>
  <si>
    <t>0005622/2023</t>
  </si>
  <si>
    <t>Controle - LT ITA C-1</t>
  </si>
  <si>
    <t>Substituição das proteções Primária, Secundária e Falha de Disjuntor, referentes a LT 138 kV Blumenau - Gaspar C-1, incluindo painéis e cabos de controle e potência associados.</t>
  </si>
  <si>
    <t>0005624/2023</t>
  </si>
  <si>
    <t>PP, PS, BF - LT GPR C-1</t>
  </si>
  <si>
    <t>Substituição do sistema de controle e supervisão da LT 138 kV Blumenau - Gaspar C-1, incluindo painéis e cabos de controle e potência associados.</t>
  </si>
  <si>
    <t>0005625/2023</t>
  </si>
  <si>
    <t>Controle - LT GPR C-1</t>
  </si>
  <si>
    <t>Substituição de Chave Seccionadora tripolar 525 kV, CS1039, referente ao Reator 1 da SE Gravataí. Associado à obra são esperadas substituições/adaptações de fundações, suportes, cabos de controle/potência, barramento, conectores e conexão de aterramento.</t>
  </si>
  <si>
    <t>0005626/2023</t>
  </si>
  <si>
    <t>Substituição de Transformador de Corrente TC12513 TERCIARIO AT57 FASE B (nº serie: 338109, cod. int.: 10232809).
Capacidade de curto-circuito (kA) do novo equipamento: 50 kA.</t>
  </si>
  <si>
    <t>0006969/2023</t>
  </si>
  <si>
    <t>TC12513 TERCIARIO AT57 FASE B</t>
  </si>
  <si>
    <t>Substituição de Transformador de Corrente TC12513 TERCIARIO AT57 FASE C (nº serie: 338110, cod. int.: 10232810).
Capacidade de curto-circuito (kA) do novo equipamento: 50 kA.</t>
  </si>
  <si>
    <t>0006970/2023</t>
  </si>
  <si>
    <t>TC12513 TERCIARIO AT57 FASE C</t>
  </si>
  <si>
    <t>Substituição de Chave Seccionadora tripolar 230 kV, CS761, referente ao Interligador de Barras da SE Londrina. Associado à obra são esperadas substituições/adaptações de fundações, suportes, cabos de controle/potência, barramento, conectores e conexão de aterramento.</t>
  </si>
  <si>
    <t>0005628/2023</t>
  </si>
  <si>
    <t>CS761</t>
  </si>
  <si>
    <t>Substituição de Transformador de Corrente TC12553 TERCIARIO AT59 FASE A (nº serie: 338111, cod. int.: 10232816).
Capacidade de curto-circuito (kA) do novo equipamento: 50 kA.</t>
  </si>
  <si>
    <t>0006972/2023</t>
  </si>
  <si>
    <t>TC12553 TERCIARIO AT59 FASE A</t>
  </si>
  <si>
    <t>Substituição de Transformador de Corrente TC12553 TERCIARIO AT59 FASE B (nº serie: 338112, cod. int.: 10232817).
Capacidade de curto-circuito (kA) do novo equipamento: 50 kA.</t>
  </si>
  <si>
    <t>0006973/2023</t>
  </si>
  <si>
    <t>TC12553 TERCIARIO AT59 FASE B</t>
  </si>
  <si>
    <t>Substituição de Chave Seccionadora tripolar 230 kV, CS763, referente ao Interligador de Barras da SE Londrina. Associado à obra são esperadas substituições/adaptações de fundações, suportes, cabos de controle/potência, barramento, conectores e conexão de aterramento.</t>
  </si>
  <si>
    <t>0005629/2023</t>
  </si>
  <si>
    <t>CS763</t>
  </si>
  <si>
    <t>Substituição de Transformador de Corrente TC12553 TERCIARIO AT59 FASE C (nº serie: 338113, cod. int.: 10232818).
Capacidade de curto-circuito (kA) do novo equipamento: 50 kA.</t>
  </si>
  <si>
    <t>0006975/2023</t>
  </si>
  <si>
    <t>TC12553 TERCIARIO AT59 FASE C</t>
  </si>
  <si>
    <t>Substituição de Transformador de Corrente TC22513 TERCIARIO AT57 FASE A (nº serie: 338114, cod. int.: 10232811).
Capacidade de curto-circuito (kA) do novo equipamento: 50 kA.</t>
  </si>
  <si>
    <t>0006980/2023</t>
  </si>
  <si>
    <t>TC22513 TERCIARIO AT57 FASE A</t>
  </si>
  <si>
    <t>Substituição de Transformador de Corrente TC22513 TERCIARIO AT57 FASE B (nº serie: 338115, cod. int.: 10232812).
Capacidade de curto-circuito (kA) do novo equipamento: 50 kA.</t>
  </si>
  <si>
    <t>0006981/2023</t>
  </si>
  <si>
    <t>TC22513 TERCIARIO AT57 FASE B</t>
  </si>
  <si>
    <t>Substituição de Transformador de Corrente TC22513 TERCIARIO AT57 FASE C (nº serie: 338116, cod. int.: 10232813).
Capacidade de curto-circuito (kA) do novo equipamento: 50 kA.</t>
  </si>
  <si>
    <t>0006983/2023</t>
  </si>
  <si>
    <t>TC22513 TERCIARIO AT57 FASE C</t>
  </si>
  <si>
    <t>Substituição de Transformador de Corrente TC22553 TERCIARIO AT59 FASE A (nº serie: 338117, cod. int.: 10232819).
Capacidade de curto-circuito (kA) do novo equipamento: 50 kA.</t>
  </si>
  <si>
    <t>0006976/2023</t>
  </si>
  <si>
    <t>TC22553 TERCIARIO AT59 FASE A</t>
  </si>
  <si>
    <t>Substituição de Transformador de Corrente TC22553 TERCIARIO AT59 FASE B (nº serie: 338118, cod. int.: 10232820).
Capacidade de curto-circuito (kA) do novo equipamento: 50 kA.</t>
  </si>
  <si>
    <t>0006978/2023</t>
  </si>
  <si>
    <t>TC22553 TERCIARIO AT59 FASE B</t>
  </si>
  <si>
    <t>Substituição de Transformador de Corrente TC22553 TERCIARIO AT59 FASE C (nº serie: 338119, cod. int.: 10232821).
Capacidade de curto-circuito (kA) do novo equipamento: 50 kA.</t>
  </si>
  <si>
    <t>0006979/2023</t>
  </si>
  <si>
    <t>TC22553 TERCIARIO AT59 FASE C</t>
  </si>
  <si>
    <t>Substituição dos sistemas de proteção da LT 230 kV BANDEIRANTES/ANHANGUERA GO C-1 GO</t>
  </si>
  <si>
    <t>LT 230 kV BANDEIRANTES ANHANGUERA GO C-1 GO</t>
  </si>
  <si>
    <t>0007028/2023</t>
  </si>
  <si>
    <t>PROTEÇÃO - LT 230 kV BANDEIRANTES/ANHANGUERA GO C-1 GO</t>
  </si>
  <si>
    <t>Substituição do registrador de perturbações digital da  LT 230 kV BANDEIRANTES/ANHANGUERA GO C-1 GO</t>
  </si>
  <si>
    <t>LT 230 kV BANDEIRANTES /ANHANGUERA GO C-1 GO</t>
  </si>
  <si>
    <t>0007029/2023</t>
  </si>
  <si>
    <t>RDP -  LT 230 kV BANDEIRANTES/ANHANGUERA GO C-1 GO</t>
  </si>
  <si>
    <t>Substituição dos sistemas de proteção da LT 230 kV BANDEIRANTE/ANHANGUERA GO C-2 GO</t>
  </si>
  <si>
    <t>LT 230 kV BANDEIRANTES /ANHANGUERA GO C-2 GO</t>
  </si>
  <si>
    <t>0007030/2023</t>
  </si>
  <si>
    <t>PROTEÇÃO - LT 230 kV BANDEIRANTE/ANHANGUERA GO C-2 GO</t>
  </si>
  <si>
    <t>Substituição do registrador de perturbações digital da  LT 230 kV BANDEIRANTES /ANHANGUERA GO C-2 GO</t>
  </si>
  <si>
    <t>0007031/2023</t>
  </si>
  <si>
    <t>RDP - LT 230 kV BANDEIRANTES /ANHANGUERA GO C-2 GO</t>
  </si>
  <si>
    <t>Substituição dos sistemas de proteção do TR 345/230 kV BANDEIRANTES TR4 GO</t>
  </si>
  <si>
    <t>TR 345 / 230 kV BANDEIRANTES 4 GO</t>
  </si>
  <si>
    <t>0007032/2023</t>
  </si>
  <si>
    <t>PROTEÇÃO - TR 345/230 kV BANDEIRANTES TR4 GO</t>
  </si>
  <si>
    <t>Substituição do registrador de perturbações digital do  TR 345/230 kV BANDEIRANTES TR4 GO</t>
  </si>
  <si>
    <t>0007033/2023</t>
  </si>
  <si>
    <t>RDP - TR 345/230 kV BANDEIRANTES TR4 GO</t>
  </si>
  <si>
    <t>Substituição dos sistemas de proteção do TR 345/230 kV BANDEIRANTES TR3 GO</t>
  </si>
  <si>
    <t>TR 345 / 230 kV BANDEIRANTES 3 GO</t>
  </si>
  <si>
    <t>0007034/2023</t>
  </si>
  <si>
    <t>PROTEÇÃO - TR 345/230 kV BANDEIRANTES TR3 GO</t>
  </si>
  <si>
    <t>Substituição do registrador de perturbações digital do  TR 345/230 kV BANDEIRANTES TR3 GO</t>
  </si>
  <si>
    <t>0007035/2023</t>
  </si>
  <si>
    <t>RDP - TR 345/230 kV BANDEIRANTES TR3 GO</t>
  </si>
  <si>
    <t>Substituição dos sistemas de proteção do TR 345/230 kV BANDEIRANTES TR2 GO</t>
  </si>
  <si>
    <t>TR 345 / 230 kV BANDEIRANTES 2 GO</t>
  </si>
  <si>
    <t>0007036/2023</t>
  </si>
  <si>
    <t>PROTEÇÃO - TR 345/230 kV BANDEIRANTES TR2 GO</t>
  </si>
  <si>
    <t>Substituição do registrador de perturbações digital do TR 345/230 kV BANDEIRANTES TR2 GO</t>
  </si>
  <si>
    <t>0007037/2023</t>
  </si>
  <si>
    <t>RDP - TR 345/230 kV BANDEIRANTES TR2 GO</t>
  </si>
  <si>
    <t>Substituição dos sistemas de proteção do BC 345 kV 91,5 MVAr BANDEIRANTES BC1 GO</t>
  </si>
  <si>
    <t>0007038/2023</t>
  </si>
  <si>
    <t>PROTEÇÃO - BC 345 kV 91,5 MVAr BANDEIRANTES BC1 GO</t>
  </si>
  <si>
    <t>Substituição do registrador de perturbações digital do BC 345 kV 91,5 MVAr BANDEIRANTES BC1 GO</t>
  </si>
  <si>
    <t>0007039/2023</t>
  </si>
  <si>
    <t>RDP - BC 345 kV 91,5 MVAr BANDEIRANTES BC1 GO</t>
  </si>
  <si>
    <t>Substituição do registrador de perturbações digital da  LT 230 kV XAVANTES/BANDEIRANTES C-1 GO</t>
  </si>
  <si>
    <t>LT 230 kV XAVANTES /BANDEIRANTES C-1 GO</t>
  </si>
  <si>
    <t>0007040/2023</t>
  </si>
  <si>
    <t>RDP - LT 230 kV XAVANTES/BANDEIRANTES C-1 GO</t>
  </si>
  <si>
    <t>Substituição de 1 (um) chave seccionadora 69kV e base, posição operacional 32A1-8 na SE Bom Jesus da Lapa, referente ao módulo de conexão ao Transformador de Aterramento 02A1.</t>
  </si>
  <si>
    <t>MC 69 kV TT 69/13,8 kV B.JESUS LAPA TA1 BA (32A1)</t>
  </si>
  <si>
    <t>0005748/2023</t>
  </si>
  <si>
    <t>11334500</t>
  </si>
  <si>
    <t>Substituição de para-raios PRAT09 500KV FASE A (nº serie: 797, cod. mat.: 10197798).</t>
  </si>
  <si>
    <t>0005960/2023</t>
  </si>
  <si>
    <t>PRAT09 500KV FASE A</t>
  </si>
  <si>
    <t>Substituição de para-raios PRAT09 500KV FASE B (nº serie: 800, cod. mat.: 10197799).</t>
  </si>
  <si>
    <t>0005961/2023</t>
  </si>
  <si>
    <t>PRAT09 500KV FASE B</t>
  </si>
  <si>
    <t>Substituição de para-raios PRAT09 500KV FASE C (nº serie: 801, cod. mat.: 10197800).</t>
  </si>
  <si>
    <t>0005963/2023</t>
  </si>
  <si>
    <t>PRAT09 500KV FASE C</t>
  </si>
  <si>
    <t>Substituição de disjuntor DJ638 (nº serie: 78009, cod. mat.: 10191739).</t>
  </si>
  <si>
    <t>0005988/2023</t>
  </si>
  <si>
    <t>DJ638</t>
  </si>
  <si>
    <t>Construção de 800m de muro (sendo 500m em placas de concreto pré-moldado e 300m de muro em alv), em substituição à muro existente na SE Pirapama II.</t>
  </si>
  <si>
    <t>0006015/2023</t>
  </si>
  <si>
    <t>12590211</t>
  </si>
  <si>
    <t>Substituição de disjuntor DJ8442 (nº serie: HA1837910/1/2, cod. mat.: 10190653).</t>
  </si>
  <si>
    <t>0006029/2023</t>
  </si>
  <si>
    <t>DJ8442</t>
  </si>
  <si>
    <t>APOLONIO SALES</t>
  </si>
  <si>
    <t>Substituição do Sistema de Comunicação via Rádio por um Sistema de Comunicação Óptica na U. A. SALES, composto por: 01 Multiplex SDH, 01 Distribuidor Geral Óptico, dutos e fibra óptica, associado à teleproteção principal.</t>
  </si>
  <si>
    <t>MDL GERACAO EQUIVALENTE A MG EM U. A. SALES (UAS)</t>
  </si>
  <si>
    <t>0006079/2023</t>
  </si>
  <si>
    <t>Substituição de seccionadora SC830R (nº serie: 359961, cod. mat.: 10196194).</t>
  </si>
  <si>
    <t>0006123/2023</t>
  </si>
  <si>
    <t>SC830R</t>
  </si>
  <si>
    <t>Substituição de seccionadora SC8331 (nº serie: 4996, cod. mat.: 10194999).</t>
  </si>
  <si>
    <t>LT 345 kV BANDEIRANTES /SAMAMBAIA C-1 GO/DF</t>
  </si>
  <si>
    <t>0006128/2023</t>
  </si>
  <si>
    <t>SC8331</t>
  </si>
  <si>
    <t>Substituição de seccionadora SC8333 (nº serie: 4967, cod. mat.: 10195000).</t>
  </si>
  <si>
    <t>0006130/2023</t>
  </si>
  <si>
    <t>SC8333</t>
  </si>
  <si>
    <t>Substituição de seccionadora SC8339 (nº serie: 4985, cod. mat.: 10195004).</t>
  </si>
  <si>
    <t>0006134/2023</t>
  </si>
  <si>
    <t>SC8339</t>
  </si>
  <si>
    <t>Substituição de seccionadora SC8335 (nº serie: 4983, cod. mat.: 10195001).</t>
  </si>
  <si>
    <t>0006137/2023</t>
  </si>
  <si>
    <t>SC8335</t>
  </si>
  <si>
    <t>Substituição de seccionadora SC8337 (nº serie: 5024, cod. mat.: 10195002).</t>
  </si>
  <si>
    <t>0006139/2023</t>
  </si>
  <si>
    <t>SC8337</t>
  </si>
  <si>
    <t>Substituição de seccionadora SC8330T (nº serie: T5024, cod. mat.: 10195003).</t>
  </si>
  <si>
    <t>0006141/2023</t>
  </si>
  <si>
    <t>SC8330T</t>
  </si>
  <si>
    <t>Substituição de seccionadora SC840R (nº serie: 149, cod. mat.: 10196586).</t>
  </si>
  <si>
    <t>0006143/2023</t>
  </si>
  <si>
    <t>SC840R</t>
  </si>
  <si>
    <t>Substituição de seccionadora SC8440T (nº serie: TC-5026T, cod. mat.: 10195036).</t>
  </si>
  <si>
    <t>0006145/2023</t>
  </si>
  <si>
    <t>SC8440T</t>
  </si>
  <si>
    <t>Substituição de seccionadora SC8441 (nº serie: 4965, cod. mat.: 10194993).</t>
  </si>
  <si>
    <t>0006146/2023</t>
  </si>
  <si>
    <t>SC8441</t>
  </si>
  <si>
    <t>Substituição de seccionadora SC8443 (nº serie: 4994, cod. mat.: 10194992).</t>
  </si>
  <si>
    <t>0006148/2023</t>
  </si>
  <si>
    <t>SC8443</t>
  </si>
  <si>
    <t>Substituição de seccionadora SC8445 (nº serie: 4988, cod. mat.: 10194994).</t>
  </si>
  <si>
    <t>0006149/2023</t>
  </si>
  <si>
    <t>SC8445</t>
  </si>
  <si>
    <t>Substituição de seccionadora SC8447 (nº serie: TC-5026, cod. mat.: 10194995).</t>
  </si>
  <si>
    <t>0006151/2023</t>
  </si>
  <si>
    <t>SC8447</t>
  </si>
  <si>
    <t>Substituição de seccionadora SC8449 (nº serie: 4999, cod. mat.: 10194997).</t>
  </si>
  <si>
    <t>0006152/2023</t>
  </si>
  <si>
    <t>SC8449</t>
  </si>
  <si>
    <t>Substituição de trafo potencial/dcp DCP - LTBDSB1 FASE A (nº serie: 88686101, cod. mat.: 10188101).</t>
  </si>
  <si>
    <t>0006154/2023</t>
  </si>
  <si>
    <t>DCP - LTBDSB1 FASE A</t>
  </si>
  <si>
    <t>Substituição de trafo potencial/dcp DCP - LTIMBD2 FASE A (nº serie: 322144, cod. mat.: 10189183).</t>
  </si>
  <si>
    <t>0006159/2023</t>
  </si>
  <si>
    <t>DCP - LTIMBD2 FASE A</t>
  </si>
  <si>
    <t>Substituição de trafo potencial/dcp DCP - LTIMBD2 FASE B (nº serie: 322142, cod. mat.: 10189184).</t>
  </si>
  <si>
    <t>0006161/2023</t>
  </si>
  <si>
    <t>DCP - LTIMBD2 FASE B</t>
  </si>
  <si>
    <t>Substituição de trafo potencial/dcp DCP - LTIMBD2 FASE C (nº serie: 322141, cod. mat.: 10189185).</t>
  </si>
  <si>
    <t>0006162/2023</t>
  </si>
  <si>
    <t>DCP - LTIMBD2 FASE C</t>
  </si>
  <si>
    <t>Substituição de para-raios PARA-RAIOS - 69KV TR01 FASE A (nº serie: Z05838, cod. mat.: 10199680).</t>
  </si>
  <si>
    <t>0006165/2023</t>
  </si>
  <si>
    <t>PARA-RAIOS - 69KV TR01 FASE A</t>
  </si>
  <si>
    <t>Substituição de para-raios PARA-RAIOS - 69KV TR01 FASE B (nº serie: Z05839, cod. mat.: 10199681).</t>
  </si>
  <si>
    <t>0006166/2023</t>
  </si>
  <si>
    <t>PARA-RAIOS - 69KV TR01 FASE B</t>
  </si>
  <si>
    <t>Substituição de para-raios PARA-RAIOS - 69KV TR01 FASE C (nº serie: Z05837, cod. mat.: 10199678).</t>
  </si>
  <si>
    <t>0006168/2023</t>
  </si>
  <si>
    <t>PARA-RAIOS - 69KV TR01 FASE C</t>
  </si>
  <si>
    <t>Substituição de para-raios PARA-RAIOS BC01 FASE A (nº serie: 43857, cod. mat.: 10199422).</t>
  </si>
  <si>
    <t>0006174/2023</t>
  </si>
  <si>
    <t>PARA-RAIOS BC01 FASE A</t>
  </si>
  <si>
    <t>Substituição de para-raios PARA-RAIOS BC01 FASE B (nº serie: 43858, cod. mat.: 10199423).</t>
  </si>
  <si>
    <t>0006175/2023</t>
  </si>
  <si>
    <t>PARA-RAIOS BC01 FASE B</t>
  </si>
  <si>
    <t>Substituição de para-raios PARA-RAIOS BC01 FASE C (nº serie: 43850, cod. mat.: 10199424).</t>
  </si>
  <si>
    <t>0006177/2023</t>
  </si>
  <si>
    <t>PARA-RAIOS BC01 FASE C</t>
  </si>
  <si>
    <t>Substituição de para-raios PARA-RAIOS - LIBTAL STBTO FASE A (nº serie: 45473, cod. mat.: 10199428).</t>
  </si>
  <si>
    <t>LT 230 kV AGUAS LINDAS /BARRO ALTO C-1 GO</t>
  </si>
  <si>
    <t>0006179/2023</t>
  </si>
  <si>
    <t>PARA-RAIOS - LIBTAL STBTO FASE A</t>
  </si>
  <si>
    <t>Substituição de para-raios PARA-RAIOS - LIBTAL STBTO FASE B (nº serie: 45474, cod. mat.: 10199429).</t>
  </si>
  <si>
    <t>0006180/2023</t>
  </si>
  <si>
    <t>PARA-RAIOS - LIBTAL STBTO FASE B</t>
  </si>
  <si>
    <t>Substituição de para-raios PARA-RAIOS - LIBTAL STBTO FASE C (nº serie: 45475, cod. mat.: 10199430).</t>
  </si>
  <si>
    <t>0006182/2023</t>
  </si>
  <si>
    <t>PARA-RAIOS - LIBTAL STBTO FASE C</t>
  </si>
  <si>
    <t>Substituição de seccionadora SC7010T (nº serie: 742 T, cod. mat.: 10251828).</t>
  </si>
  <si>
    <t>0006184/2023</t>
  </si>
  <si>
    <t>SC7010T</t>
  </si>
  <si>
    <t>Substituição de seccionadora SC7015C (nº serie: 742, cod. mat.: 10251831).</t>
  </si>
  <si>
    <t>0006186/2023</t>
  </si>
  <si>
    <t>SC7015C</t>
  </si>
  <si>
    <t>Substituição de trafo corrente TC - 230KV TR01 FASE A (nº serie: 88G0009-001, cod. mat.: 10185777).</t>
  </si>
  <si>
    <t>0006189/2023</t>
  </si>
  <si>
    <t>TC - 230KV TR01 FASE A</t>
  </si>
  <si>
    <t>Substituição de trafo corrente TC - 230KV TR01 FASE B (nº serie: 88G0009-002, cod. mat.: 10185778).</t>
  </si>
  <si>
    <t>0006191/2023</t>
  </si>
  <si>
    <t>TC - 230KV TR01 FASE B</t>
  </si>
  <si>
    <t>Substituição de trafo corrente TC - 230KV TR01 FASE C (nº serie: 88A0008-004, cod. mat.: 10185782).</t>
  </si>
  <si>
    <t>0006192/2023</t>
  </si>
  <si>
    <t>TC - 230KV TR01 FASE C</t>
  </si>
  <si>
    <t>Substituição de trafo corrente TC - 69KV TR01 FASE A (nº serie: C8-2612, cod. mat.: 10185690).</t>
  </si>
  <si>
    <t>0006194/2023</t>
  </si>
  <si>
    <t>TC - 69KV TR01 FASE A</t>
  </si>
  <si>
    <t>Substituição de trafo corrente TC - 69KV TR01 FASE B (nº serie: C8-2613, cod. mat.: 10185691).</t>
  </si>
  <si>
    <t>0006195/2023</t>
  </si>
  <si>
    <t>TC - 69KV TR01 FASE B</t>
  </si>
  <si>
    <t>Substituição de trafo corrente TC - 69KV TR01 FASE C (nº serie: C8-2614, cod. mat.: 10185692).</t>
  </si>
  <si>
    <t>0006197/2023</t>
  </si>
  <si>
    <t>TC - 69KV TR01 FASE C</t>
  </si>
  <si>
    <t>Substituição de trafo corrente TC BC01 FASE A (nº serie: 88A0008-006, cod. mat.: 10185756).</t>
  </si>
  <si>
    <t>0006202/2023</t>
  </si>
  <si>
    <t>TC BC01 FASE A</t>
  </si>
  <si>
    <t>Substituição de trafo corrente TRANSFORMADOR CORRENTE-LIBTAL FASE A (nº serie: 88G0009-004, cod. mat.: 10185759).</t>
  </si>
  <si>
    <t>0006204/2023</t>
  </si>
  <si>
    <t>TRANSFORMADOR CORRENTE-LIBTAL FASE A</t>
  </si>
  <si>
    <t>Substituição de trafo corrente TC BC01 FASE B (nº serie: 88A0008-005, cod. mat.: 10185757).</t>
  </si>
  <si>
    <t>0006211/2023</t>
  </si>
  <si>
    <t>TC BC01 FASE B</t>
  </si>
  <si>
    <t>Substituição de trafo corrente TC BC01 FASE C (nº serie: 88A0008-002, cod. mat.: 10185758).</t>
  </si>
  <si>
    <t>0006213/2023</t>
  </si>
  <si>
    <t>TC BC01 FASE C</t>
  </si>
  <si>
    <t>Substituição de Multiplexador Óptico SDH, na subestação PAU FERRO, associado à teleproteção principal via OPGW.</t>
  </si>
  <si>
    <t>0006227/2023</t>
  </si>
  <si>
    <t>11374113</t>
  </si>
  <si>
    <t>Substituição de Multiplexador Óptico SDH, na subestação C.GRANDE II, associado à teleproteção principal via OPGW.</t>
  </si>
  <si>
    <t>MG C.GRANDE II / CCO-2001-061 - RB</t>
  </si>
  <si>
    <t>0006228/2023</t>
  </si>
  <si>
    <t>11374100</t>
  </si>
  <si>
    <t>Substituição de Multiplexador Óptico SDH, na subestação JARDIM, associado à teleproteção principal.</t>
  </si>
  <si>
    <t>0006229/2023</t>
  </si>
  <si>
    <t>11374133</t>
  </si>
  <si>
    <t>Substituição de Multiplexador Óptico SDH na USINA XINGO, composto por: 01 Multiplexador, associado à teleproteção principal.</t>
  </si>
  <si>
    <t>0006230/2023</t>
  </si>
  <si>
    <t>Substituição de 01 (um) banco de baterias 800A1 de 450 Ah 125 Vcc da Subestação ACD.</t>
  </si>
  <si>
    <t>0006239/2023</t>
  </si>
  <si>
    <t>11333066</t>
  </si>
  <si>
    <t>Substituição de 01 (um) banco de baterias 800A2 de 450 Ah 125 Vcc da Subestação ACD.</t>
  </si>
  <si>
    <t>0006240/2023</t>
  </si>
  <si>
    <t>11333065</t>
  </si>
  <si>
    <t>Substituição de 01 (um) banco de baterias 700A1 de 250 Ah 48 Vcc da Subestação AGD.</t>
  </si>
  <si>
    <t>0006241/2023</t>
  </si>
  <si>
    <t>12374801</t>
  </si>
  <si>
    <t>Substituição de 01 (um) banco de baterias 700A2 de 250 Ah 48 Vcc da Subestação AGD.</t>
  </si>
  <si>
    <t>0006242/2023</t>
  </si>
  <si>
    <t>12374802</t>
  </si>
  <si>
    <t>Substituição de 01 (um) banco de baterias 700A4 de 250 Ah 48 Vcc da Subestação AGD.</t>
  </si>
  <si>
    <t>0006243/2023</t>
  </si>
  <si>
    <t>12374148</t>
  </si>
  <si>
    <t>Substituição de 01 (um) banco de baterias 700A5 de 250 Ah 48 Vcc da Subestação AGD.</t>
  </si>
  <si>
    <t>0006244/2023</t>
  </si>
  <si>
    <t>12374149</t>
  </si>
  <si>
    <t>AQUIRAZ II</t>
  </si>
  <si>
    <t>Substituição de 01 (um) banco de baterias 800A1 de 450 Ah 125 Vcc da Subestação AQD.</t>
  </si>
  <si>
    <t>MG AQUIRAZ II / CCO-2010-004 - RB</t>
  </si>
  <si>
    <t>0006245/2023</t>
  </si>
  <si>
    <t>11333069</t>
  </si>
  <si>
    <t>Substituição de 01 (um) banco de baterias 800A2 de 450 Ah 125 Vcc da Subestação AQD.</t>
  </si>
  <si>
    <t>0006246/2023</t>
  </si>
  <si>
    <t>11333070</t>
  </si>
  <si>
    <t>Substituição de 01 (um) banco de baterias 800A1 de 450 Ah 125 Vcc da Subestação AUD.</t>
  </si>
  <si>
    <t>MG ACARAU II / CCO-2010-021 - RB</t>
  </si>
  <si>
    <t>0006253/2023</t>
  </si>
  <si>
    <t>11332797</t>
  </si>
  <si>
    <t>Substituição de 01 (um) banco de baterias 800A2 de 450 Ah 125 Vcc da Subestação AUD.</t>
  </si>
  <si>
    <t>0006254/2023</t>
  </si>
  <si>
    <t>11332798</t>
  </si>
  <si>
    <t>Substituição de 01 (um) banco de baterias 900A1 de 600 Ah 250 Vcc da Subestação BJS.</t>
  </si>
  <si>
    <t>0006259/2023</t>
  </si>
  <si>
    <t>11332654</t>
  </si>
  <si>
    <t>Substituição de 01 (um) banco de baterias 900A2 de 600 Ah 250 Vcc da Subestação BJS.</t>
  </si>
  <si>
    <t>0006260/2023</t>
  </si>
  <si>
    <t>11332653</t>
  </si>
  <si>
    <t>BARREIRAS</t>
  </si>
  <si>
    <t>Substituição de 01 (um) banco de baterias 700A3 de 250 Ah 48 Vcc da Subestação BRA.</t>
  </si>
  <si>
    <t>MG BARREIRAS / CCO-2001-061 - RB</t>
  </si>
  <si>
    <t>0006261/2023</t>
  </si>
  <si>
    <t>11332657</t>
  </si>
  <si>
    <t>Substituição de 01 (um) banco de baterias 700A4 de 250 Ah 48 Vcc da Subestação BRA.</t>
  </si>
  <si>
    <t>0006262/2023</t>
  </si>
  <si>
    <t>11332658</t>
  </si>
  <si>
    <t>Substituição de 01 (um) banco de baterias 800A1 de 600 Ah 125 Vcc da Subestação CID.</t>
  </si>
  <si>
    <t>MG CEARA-MIRIM 2 / CCO-2011-008 - RB</t>
  </si>
  <si>
    <t>0006265/2023</t>
  </si>
  <si>
    <t>11333007</t>
  </si>
  <si>
    <t>Substituição de 01 (um) banco de baterias 800A2 de 600 Ah 125 Vcc da Subestação CID.</t>
  </si>
  <si>
    <t>0006266/2023</t>
  </si>
  <si>
    <t>11333008</t>
  </si>
  <si>
    <t>Substituição de 01 (um) banco de baterias 700A3 de 250 Ah 48 Vcc da Subestação CMA.</t>
  </si>
  <si>
    <t>0006267/2023</t>
  </si>
  <si>
    <t>11332987</t>
  </si>
  <si>
    <t>Substituição de 01 (um) banco de baterias 700A4 de 250 Ah 48 Vcc da Subestação CMA.</t>
  </si>
  <si>
    <t>0006268/2023</t>
  </si>
  <si>
    <t>11332988</t>
  </si>
  <si>
    <t>Substituição de 01 (um) banco de baterias 800A1 de 450 Ah 125 Vcc da Subestação CPE.</t>
  </si>
  <si>
    <t>0006269/2023</t>
  </si>
  <si>
    <t>11332793</t>
  </si>
  <si>
    <t>Substituição de 01 (um) banco de baterias 800A2 de 450 Ah 125 Vcc da Subestação CPE.</t>
  </si>
  <si>
    <t>0006270/2023</t>
  </si>
  <si>
    <t>11332794</t>
  </si>
  <si>
    <t>Substituição de 01 (um) banco de baterias 800A1 de 450 Ah 125 Vcc da Subestação DMG.</t>
  </si>
  <si>
    <t>0006275/2023</t>
  </si>
  <si>
    <t>11332796</t>
  </si>
  <si>
    <t>Substituição de 01 (um) banco de baterias 800A2 de 450 Ah 125 Vcc da Subestação DMG.</t>
  </si>
  <si>
    <t>0006276/2023</t>
  </si>
  <si>
    <t>11332795</t>
  </si>
  <si>
    <t>EXTREMOZ II</t>
  </si>
  <si>
    <t>Substituição de 01 (um) banco de baterias 800A1 de 600 Ah 125 Vcc da Subestação ETD.</t>
  </si>
  <si>
    <t>MG EXTREMOZ II / CCO-2010-019 - RB</t>
  </si>
  <si>
    <t>0006279/2023</t>
  </si>
  <si>
    <t>11332900</t>
  </si>
  <si>
    <t>Substituição de 01 (um) banco de baterias 800A2 de 600 Ah 125 Vcc da Subestação ETD.</t>
  </si>
  <si>
    <t>0006280/2023</t>
  </si>
  <si>
    <t>11332901</t>
  </si>
  <si>
    <t>Substituição de 01 (um) banco de baterias 700A7 de 250 Ah 48 Vcc da Subestação GNN.</t>
  </si>
  <si>
    <t>0006283/2023</t>
  </si>
  <si>
    <t>11332983</t>
  </si>
  <si>
    <t>Substituição de 01 (um) banco de baterias 700A8 de 250 Ah 48 Vcc da Subestação GNN.</t>
  </si>
  <si>
    <t>0006284/2023</t>
  </si>
  <si>
    <t>11332984</t>
  </si>
  <si>
    <t>Substituição de 01 (um) banco de baterias 700A3 de 250 Ah 48 Vcc da Subestação GVM.</t>
  </si>
  <si>
    <t>0006285/2023</t>
  </si>
  <si>
    <t>11332999</t>
  </si>
  <si>
    <t>Substituição de 01 (um) banco de baterias 700A4 de 250 Ah 48 Vcc da Subestação GVM.</t>
  </si>
  <si>
    <t>0006286/2023</t>
  </si>
  <si>
    <t>11333000</t>
  </si>
  <si>
    <t>Substituição de 01 (um) banco de baterias 800A1 de 450 Ah 125 Vcc da Subestação ICO.</t>
  </si>
  <si>
    <t>0006287/2023</t>
  </si>
  <si>
    <t>11333068</t>
  </si>
  <si>
    <t>Substituição de 01 (um) banco de baterias 800A2 de 450 Ah 125 Vcc da Subestação ICO.</t>
  </si>
  <si>
    <t>0006288/2023</t>
  </si>
  <si>
    <t>11333067</t>
  </si>
  <si>
    <t>JOAO CAMARA 2</t>
  </si>
  <si>
    <t>Substituição de 01 (um) banco de baterias 800A1 de 450 Ah 125 Vcc da Subestação JCD.</t>
  </si>
  <si>
    <t>MG J. CAMARA II / CCO-2010-019 - RB</t>
  </si>
  <si>
    <t>0006295/2023</t>
  </si>
  <si>
    <t>11333015</t>
  </si>
  <si>
    <t>Substituição de 01 (um) banco de baterias 800A2 de 450 Ah 125 Vcc da Subestação JCD.</t>
  </si>
  <si>
    <t>0006296/2023</t>
  </si>
  <si>
    <t>11333016</t>
  </si>
  <si>
    <t>J. CAMARA III</t>
  </si>
  <si>
    <t>Substituição de 01 (um) banco de baterias 800A1 de 600 Ah 125 Vcc da Subestação JCT.</t>
  </si>
  <si>
    <t>MG J. CAMARA III / CCO-2011-008 - RB</t>
  </si>
  <si>
    <t>0006299/2023</t>
  </si>
  <si>
    <t>11333009</t>
  </si>
  <si>
    <t>Substituição de 01 (um) banco de baterias 800A2 de 600 Ah 125 Vcc da Subestação JCT.</t>
  </si>
  <si>
    <t>0006300/2023</t>
  </si>
  <si>
    <t>11333010</t>
  </si>
  <si>
    <t>Substituição de 01 (um) banco de baterias 700A3 de 250 Ah 48 Vcc da Subestação JRM.</t>
  </si>
  <si>
    <t>0006305/2023</t>
  </si>
  <si>
    <t>11332981</t>
  </si>
  <si>
    <t>Substituição de 01 (um) banco de baterias 700A4 de 250 Ah 48 Vcc da Subestação JRM.</t>
  </si>
  <si>
    <t>0006306/2023</t>
  </si>
  <si>
    <t>11332982</t>
  </si>
  <si>
    <t>Substituição de 01 (um) banco de baterias 800A1 de 450 Ah 125 Vcc da Subestação OLD.</t>
  </si>
  <si>
    <t>0006311/2023</t>
  </si>
  <si>
    <t>11333071</t>
  </si>
  <si>
    <t>Substituição de 01 (um) banco de baterias 800A2 de 450 Ah 125 Vcc da Subestação OLD.</t>
  </si>
  <si>
    <t>0006312/2023</t>
  </si>
  <si>
    <t>11333072</t>
  </si>
  <si>
    <t>Substituição de 01 (um) banco de baterias 700A3 de 250 Ah 48 Vcc da Subestação PAF.</t>
  </si>
  <si>
    <t>0006315/2023</t>
  </si>
  <si>
    <t>11332733</t>
  </si>
  <si>
    <t>Substituição de 01 (um) banco de baterias 700A4 de 250 Ah 48 Vcc da Subestação PAF.</t>
  </si>
  <si>
    <t>0006316/2023</t>
  </si>
  <si>
    <t>11332734</t>
  </si>
  <si>
    <t>Substituição de 01 (um) banco de baterias 800A1 de 600 Ah 125 Vcc da Subestação PED.</t>
  </si>
  <si>
    <t>MG PECEM II / CCO-2010-004 - RB</t>
  </si>
  <si>
    <t>0006321/2023</t>
  </si>
  <si>
    <t>11333130</t>
  </si>
  <si>
    <t>Substituição de 01 (um) banco de baterias 800A2 de 600 Ah 125 Vcc da Subestação PED.</t>
  </si>
  <si>
    <t>0006322/2023</t>
  </si>
  <si>
    <t>11333131</t>
  </si>
  <si>
    <t>Substituição de 01 (um) painel de distribuição de cargas das bombas de óleo do Compensador Síncrono, poisição operacional 01K1 da Subestação IRE.</t>
  </si>
  <si>
    <t>CS 30/-15 Mvar IRECE CS1 TR7 BA</t>
  </si>
  <si>
    <t>0006325/2023</t>
  </si>
  <si>
    <t>12588744</t>
  </si>
  <si>
    <t>QUIXERE</t>
  </si>
  <si>
    <t>Substituição de 01 (um) banco de baterias 800A1 de 450 Ah 125 Vcc da Subestação QXR.</t>
  </si>
  <si>
    <t>MG QUIXERE / CCO-2001-061 - RB</t>
  </si>
  <si>
    <t>0006326/2023</t>
  </si>
  <si>
    <t>11332836</t>
  </si>
  <si>
    <t>Substituição de 01 (um) banco de baterias 800A2 de 450 Ah 125 Vcc da Subestação QXR.</t>
  </si>
  <si>
    <t>0006327/2023</t>
  </si>
  <si>
    <t>11332837</t>
  </si>
  <si>
    <t>Substituição de 01 (um) banco de baterias 700A7 de 250 Ah 48 Vcc da Subestação RCD.</t>
  </si>
  <si>
    <t>0006332/2023</t>
  </si>
  <si>
    <t>11332985</t>
  </si>
  <si>
    <t>Substituição de 01 (um) banco de baterias 700A3 de 250 Ah 48 Vcc da Subestação RLD.</t>
  </si>
  <si>
    <t>MG RIO LARGO II / CCO-2001-061 - RB</t>
  </si>
  <si>
    <t>0006348/2023</t>
  </si>
  <si>
    <t>11332681</t>
  </si>
  <si>
    <t>Substituição de 01 (um) banco de baterias 800A1 de 450 Ah 125 Vcc da Subestação SBT.</t>
  </si>
  <si>
    <t>0006349/2023</t>
  </si>
  <si>
    <t>11332799</t>
  </si>
  <si>
    <t>Substituição de 01 (um) banco de baterias 800A2 de 450 Ah 125 Vcc da Subestação SBT.</t>
  </si>
  <si>
    <t>0006350/2023</t>
  </si>
  <si>
    <t>11332800</t>
  </si>
  <si>
    <t>Substituição de 01 (um) Retificador de serviço auxiliar posição operacional 400R2 440 Vac 125 Vcc da subestação SOB.</t>
  </si>
  <si>
    <t>0006431/2023</t>
  </si>
  <si>
    <t>11420038</t>
  </si>
  <si>
    <t>Substituição de 01 (um) Retificador de serviço auxiliar posição operacional 400R1 440 Vac 125 Vcc da subestação SOB.</t>
  </si>
  <si>
    <t>0006432/2023</t>
  </si>
  <si>
    <t>11455796</t>
  </si>
  <si>
    <t>Substituição de 01 (um) Retificador de serviço auxiliar posição operacional 400R1 440 Vac 125 Vcc da subestação SJI.</t>
  </si>
  <si>
    <t>0006449/2023</t>
  </si>
  <si>
    <t>11455610</t>
  </si>
  <si>
    <t>Substituição de 01 (um) retificador de serviço auxiliar posição operacional 200R1 220 Vac 125 Vcc da subestação JDM.</t>
  </si>
  <si>
    <t>0006469/2023</t>
  </si>
  <si>
    <t>11455683</t>
  </si>
  <si>
    <t>Substituição de 01 (um) retificador de serviço auxiliar posição operacional 200R2 220 Vac 125 Vcc da subestação JDM.</t>
  </si>
  <si>
    <t>0006470/2023</t>
  </si>
  <si>
    <t>11420084</t>
  </si>
  <si>
    <t>Substituição de 01 (um) grupo-motor-gerador do SISTEMA DE ALIMENTAÇÃO DE ENERGIA posição operacional 200G2 da Subestação BJS.</t>
  </si>
  <si>
    <t>0006475/2023</t>
  </si>
  <si>
    <t>11451395</t>
  </si>
  <si>
    <t>Substituição de 01 (um) grupo-motor-gerador do SISTEMA DE ALIMENTAÇÃO DE ENERGIA posição operacional 200G1 da Subestação TAD.</t>
  </si>
  <si>
    <t>0006476/2023</t>
  </si>
  <si>
    <t>11343827</t>
  </si>
  <si>
    <t>Substituição de 01 (um) grupo-motor-gerador do SISTEMA DE ALIMENTAÇÃO DE ENERGIA posição operacional 200G2 da Subestação BRA.</t>
  </si>
  <si>
    <t>0006477/2023</t>
  </si>
  <si>
    <t>11451396</t>
  </si>
  <si>
    <t>Substituição de 01 (um) grupo-motor-gerador do SISTEMA DE ALIMENTAÇÃO DE ENERGIA posição operacional 200G1 da Subestação PIC.</t>
  </si>
  <si>
    <t>0006478/2023</t>
  </si>
  <si>
    <t>11451351</t>
  </si>
  <si>
    <t>Substituição de 01 (um) grupo-motor-gerador do SISTEMA DE ALIMENTAÇÃO DE ENERGIA posição operacional 200G2 da Subestação ENP.</t>
  </si>
  <si>
    <t>MG EUNAPOLIS / CCO-2001-061 - RB</t>
  </si>
  <si>
    <t>0006479/2023</t>
  </si>
  <si>
    <t>11451352</t>
  </si>
  <si>
    <t>Substituição de trafo corrente TRANSFORMADOR CORRENTE-LIBTAL FASE B (nº serie: 88G0009-005, cod. mat.: 10185760).</t>
  </si>
  <si>
    <t>0006513/2023</t>
  </si>
  <si>
    <t>TRANSFORMADOR CORRENTE-LIBTAL FASE B</t>
  </si>
  <si>
    <t>Substituição de trafo corrente TRANSFORMADOR CORRENTE-LIBTAL FASE C (nº serie: 88G0009-006, cod. mat.: 10185761).</t>
  </si>
  <si>
    <t>0006514/2023</t>
  </si>
  <si>
    <t>TRANSFORMADOR CORRENTE-LIBTAL FASE C</t>
  </si>
  <si>
    <t>Substituição de trafo corrente TRANSFORMADOR CORRENTE IB501 FASE A (nº serie: C8-2615, cod. mat.: 10185693).</t>
  </si>
  <si>
    <t>0006520/2023</t>
  </si>
  <si>
    <t>TRANSFORMADOR CORRENTE IB501 FASE A</t>
  </si>
  <si>
    <t>Substituição de Grupo Motor-Gerador, 480 Vca, painel de conexão (PGD) e cabos associados, referentes aos Serviços Auxiliares da SE Itá.</t>
  </si>
  <si>
    <t>0006522/2023</t>
  </si>
  <si>
    <t>MG1 - 480 VCA</t>
  </si>
  <si>
    <t>Substituição de trafo corrente TRANSFORMADOR CORRENTE IB501 FASE B (nº serie: C8-2616, cod. mat.: 10185694).</t>
  </si>
  <si>
    <t>0006524/2023</t>
  </si>
  <si>
    <t>TRANSFORMADOR CORRENTE IB501 FASE B</t>
  </si>
  <si>
    <t>Substituição de trafo corrente TRANSFORMADOR CORRENTE IB501 FASE C (nº serie: C8-2617, cod. mat.: 10185695).</t>
  </si>
  <si>
    <t>0006529/2023</t>
  </si>
  <si>
    <t>TRANSFORMADOR CORRENTE IB501 FASE C</t>
  </si>
  <si>
    <t>Substituição dos Painéis de Distribuição 380 VCA (PCC1, PCC2, PCC3, PCC4, PCC5) e cabos associados, referentes aos Serviços Auxiliares da SE Farroupilha. Denominação dos novos painéis: 2SA1, 2SA2 e 2SA3.</t>
  </si>
  <si>
    <t>0006530/2023</t>
  </si>
  <si>
    <t>Substituição da proteção Falha de Disjuntor, referente ao Interligador de Barras (IB) 138 kV da SE Blumenau, DJ592, incluindo painéis e cabos de controle e potência associados.</t>
  </si>
  <si>
    <t>0006532/2023</t>
  </si>
  <si>
    <t>BF - DJ592</t>
  </si>
  <si>
    <t>Substituição de trafo corrente TRANSFORMADOR CORRENTE IB503 FASE A (nº serie: C8-2609, cod. mat.: 10185696).</t>
  </si>
  <si>
    <t>0006535/2023</t>
  </si>
  <si>
    <t>TRANSFORMADOR CORRENTE IB503 FASE A</t>
  </si>
  <si>
    <t>Substituição de trafo corrente TRANSFORMADOR CORRENTE IB503 FASE B (nº serie: C8-2610, cod. mat.: 10185697).</t>
  </si>
  <si>
    <t>0006539/2023</t>
  </si>
  <si>
    <t>TRANSFORMADOR CORRENTE IB503 FASE B</t>
  </si>
  <si>
    <t>Substituição do sistema de controle e supervisão do Interligador de Barras (IB) 138 kV da SE Blumenau, DJ592, incluindo painéis e cabos de controle e potência associados.</t>
  </si>
  <si>
    <t>0006540/2023</t>
  </si>
  <si>
    <t>Controle - DJ592</t>
  </si>
  <si>
    <t>Substituição de trafo corrente TRANSFORMADOR CORRENTE IB503 FASE C (nº serie: C8-2611, cod. mat.: 10185698).</t>
  </si>
  <si>
    <t>0006543/2023</t>
  </si>
  <si>
    <t>TRANSFORMADOR CORRENTE IB503 FASE C</t>
  </si>
  <si>
    <t>Substituição do sistema de controle e supervisão (com unidade redundante) da LT 525 kV Blumenau - Biguaçu C-1, incluindo painéis e cabos de controle e potência associados.</t>
  </si>
  <si>
    <t>LT 525 kV BIGUACU /BLUMENAU C-1 SC</t>
  </si>
  <si>
    <t>0006548/2023</t>
  </si>
  <si>
    <t>Controle - LT BIG C-1</t>
  </si>
  <si>
    <t>Substituição de trafo corrente TRANSFORMADOR CORRENTE IB708 FASE A (nº serie: 88G0009-016, cod. mat.: 10185771).</t>
  </si>
  <si>
    <t>0006550/2023</t>
  </si>
  <si>
    <t>TRANSFORMADOR CORRENTE IB708 FASE A</t>
  </si>
  <si>
    <t>Substituição de trafo corrente TRANSFORMADOR CORRENTE IB708 FASE B (nº serie: 88G0009-017, cod. mat.: 10185772).</t>
  </si>
  <si>
    <t>0006552/2023</t>
  </si>
  <si>
    <t>TRANSFORMADOR CORRENTE IB708 FASE B</t>
  </si>
  <si>
    <t>Substituição da proteção Falha de Disjuntor principal, referente ao Interligador de Barras (IB) 525 kV da SE Blumenau, DJ1010 (vão entre as LT Biguaçu C-1 e Curitiba Leste C-1), incluindo painéis e cabos de controle e potência associados.</t>
  </si>
  <si>
    <t>0006554/2023</t>
  </si>
  <si>
    <t>Substituição de trafo corrente TRANSFORMADOR CORRENTE IB708 FASE C (nº serie: 88G0009-018, cod. mat.: 10185773).</t>
  </si>
  <si>
    <t>0006555/2023</t>
  </si>
  <si>
    <t>TRANSFORMADOR CORRENTE IB708 FASE C</t>
  </si>
  <si>
    <t>Substituição do sistema de controle e supervisão (com unidade redundante) do Interligador de Barras (IB) 525 kV da SE Blumenau, DJ1010 (vão entre as LT Biguaçu C-1 e Curitiba Leste C-1), incluindo painéis e cabos de controle e potência associados.</t>
  </si>
  <si>
    <t>0006557/2023</t>
  </si>
  <si>
    <t>Substituição de trafo potencial/dcp DCP - 230KV TR01 FASE C (nº serie: 88687401, cod. mat.: 10189470).</t>
  </si>
  <si>
    <t>0006558/2023</t>
  </si>
  <si>
    <t>DCP - 230KV TR01 FASE C</t>
  </si>
  <si>
    <t>Substituição de trafo potencial/dcp DCP LIBTAL FASE A (nº serie: 88636801, cod. mat.: 10189471).</t>
  </si>
  <si>
    <t>0006559/2023</t>
  </si>
  <si>
    <t>DCP LIBTAL FASE A</t>
  </si>
  <si>
    <t>Substituição de trafo potencial/dcp DCP LIBTAL FASE B (nº serie: 88636802, cod. mat.: 10189472).</t>
  </si>
  <si>
    <t>0006560/2023</t>
  </si>
  <si>
    <t>DCP LIBTAL FASE B</t>
  </si>
  <si>
    <t>Substituição do Sistema de Proteção, Controle e Supervisão (SPCS) dos cubículos e serviços auxiliares CA / CC, da SE Blumenau, incluindo painéis e cabos associados.</t>
  </si>
  <si>
    <t>0006561/2023</t>
  </si>
  <si>
    <t>Substituição de trafo potencial/dcp DCP LIBTAL FASE C (nº serie: 88636803, cod. mat.: 10189473).</t>
  </si>
  <si>
    <t>0006562/2023</t>
  </si>
  <si>
    <t>DCP LIBTAL FASE C</t>
  </si>
  <si>
    <t>Substituição de equipamentos associados ao Banco de Capacitores BC1 - 13,8 kV da SE Caxias 5: Transformador de Corrente de Desbalanço - TCABCN, Seccionador de Aterramento - CS29/1 e Reatores Limitadores de Corrente - RLC1/A, RLC1/B, RLC1/C.</t>
  </si>
  <si>
    <t>0006566/2023</t>
  </si>
  <si>
    <t>TCABCN, CS29/1, RLC1/A, RLC1/B, RLC1/C</t>
  </si>
  <si>
    <t>Substituição de equipamentos associados ao Banco de Capacitores BC2 - 13,8 kV da SE Caxias 5: Transformador de Corrente de Desbalanço - TCABCN, Seccionador de Aterramento - CS29/3 e Reatores Limitadores de Corrente - RLC2/A, RLC2/B, RLC2/C.</t>
  </si>
  <si>
    <t>0006568/2023</t>
  </si>
  <si>
    <t>TCABCN, CS29/3, RLC2/A, RLC2/B, RLC2/C</t>
  </si>
  <si>
    <t>Substituição de Disjuntor tripolar 230 kV, DJ762, referente ao Interligador de Barras da SE Areia. Associado à obra, são esperadas substituições/adaptações de fundações e suportes, cabos de controle e potência, barramento, conectores e conexão de aterramento.</t>
  </si>
  <si>
    <t>0006572/2023</t>
  </si>
  <si>
    <t>Substituição de Chave Seccionadora tripolar 525 kV, CS1001, referente a LT Areia - Segredo C-1. Associado à obra são esperadas substituições/adaptações de fundações, suportes, cabos de controle/potência, barramento, conectores e conexão de aterramento.</t>
  </si>
  <si>
    <t>0006579/2023</t>
  </si>
  <si>
    <t>CS1001</t>
  </si>
  <si>
    <t>Substituição de equipamentos associados ao Banco de Capacitores BC3 - 13,8 kV da SE Caxias 5: Transformador de Corrente de Desbalanço - TCABCN, Seccionador de Aterramento - CS29/5 e Reatores Limitadores de Corrente - RLC3/A, RLC3/B, RLC3/C.</t>
  </si>
  <si>
    <t>0006585/2023</t>
  </si>
  <si>
    <t>TCABCN, CS29/5, RLC3/A, RLC3/B, RLC3/C</t>
  </si>
  <si>
    <t>Substituição de Chave Seccionadora tripolar 525 kV, CS1007, com lâmina de terra, referente a LT Areia - Segredo C-1. Associado à obra são esperadas substituições/adaptações de fundações, suportes, cabos de controle/potência, barramento, conectores e conexão de aterramento.</t>
  </si>
  <si>
    <t>0006590/2023</t>
  </si>
  <si>
    <t>CS1007 / CS1007T</t>
  </si>
  <si>
    <t>SUBSTITUIÇÃO DA CHAVE SECCIONADORA SC2373 - 15kV</t>
  </si>
  <si>
    <t>0006595/2023</t>
  </si>
  <si>
    <t>SC2373</t>
  </si>
  <si>
    <t>Substituição da Chave Seccionadora C/LT 500kV MBSL7-01</t>
  </si>
  <si>
    <t>0006597/2023</t>
  </si>
  <si>
    <t>MBSL7-01</t>
  </si>
  <si>
    <t>Substituição de para-raios 230 kV referente ao TF 2 525/230 kV da SE Areia, Fases A, B e C. Associado a obra são esperadas substituições/adaptações de fundações, suportes, cabos de controle e potência, barramento, conectores e conexão do aterramento.</t>
  </si>
  <si>
    <t>0006598/2023</t>
  </si>
  <si>
    <t>PR TR2</t>
  </si>
  <si>
    <t>Substituição dos painéis de SPCS (Interligação de Barras Vão DY) com vida útil esgotada por um novo, com características similares</t>
  </si>
  <si>
    <t>0006607/2023</t>
  </si>
  <si>
    <t>N-S-PAMB-MG701-IB500IB1-DJ702-MBSPR01</t>
  </si>
  <si>
    <t>Substituição de Disjuntor tripolar 525 kV, DJ1072, referente ao Reator 1 (RT1) da SE Blumenau. Associado à obra, são esperadas substituições/adaptações de fundações e suportes, cabos de controle e potência, barramento, conectores e conexão de aterramento.</t>
  </si>
  <si>
    <t>0006617/2023</t>
  </si>
  <si>
    <t>Substituição de Disjuntor tripolar 525 kV, DJ1062, referente ao TF 6 525/230 kV da SE Blumenau. Associado à obra, são esperadas substituições/adaptações de fundações e suportes, cabos de controle e potência, barramento, conectores e conexão de aterramento.</t>
  </si>
  <si>
    <t>0006621/2023</t>
  </si>
  <si>
    <t>Substituição dos painéis de SPCS daLT 500 kV Tucuruí - Vila do Conde C1 (LT TCVC-LT7-01 - IZ) com vida útil esgotada por um novo, com características similares.</t>
  </si>
  <si>
    <t>0006623/2023</t>
  </si>
  <si>
    <t>TCSPR-01/ TCSPR-02</t>
  </si>
  <si>
    <t>Substituição de Chave Seccionadora tripolar 525 kV, CS1071, referente ao Reator 1 (RT1) da SE Blumenau. Associado à obra são esperadas substituições/adaptações de fundações, suportes, cabos de controle/potência, barramento, conectores e conexão de aterramento.</t>
  </si>
  <si>
    <t>0006627/2023</t>
  </si>
  <si>
    <t>Substituição dos painéis de SPCS (Interligação de Barras Vão CY) com vida útil esgotada por um novo, com características similares.</t>
  </si>
  <si>
    <t>0006631/2023</t>
  </si>
  <si>
    <t>N-S-PAMB-MG701-IB500IB2-DJ705-MBSPR01</t>
  </si>
  <si>
    <t>Substituição da Chave Seccionadora 500kV MBSD7-04 associada ao disjuntor MBDJ7-02</t>
  </si>
  <si>
    <t>0006641/2023</t>
  </si>
  <si>
    <t>MBSD704</t>
  </si>
  <si>
    <t>Substituição da chave seccionadora MBSD7-41</t>
  </si>
  <si>
    <t>0006646/2023</t>
  </si>
  <si>
    <t>MBSD7-41</t>
  </si>
  <si>
    <t>Substituição de Chave Seccionadora tripolar 525 kV, CS1073, referente ao Reator 1 (RT1) da SE Blumenau. Associado à obra são esperadas substituições/adaptações de fundações, suportes, cabos de controle/potência, barramento, conectores e conexão de aterramento.</t>
  </si>
  <si>
    <t>0006666/2023</t>
  </si>
  <si>
    <t>Substituição de Chave Seccionadora tripolar 525 kV, CS1077, referente ao Reator 1 (RT1) da SE Blumenau. Associado à obra são esperadas substituições/adaptações de fundações, suportes, cabos de controle/potência, barramento, conectores e conexão de aterramento.</t>
  </si>
  <si>
    <t>0006669/2023</t>
  </si>
  <si>
    <t>CS1077</t>
  </si>
  <si>
    <t>Substituição de Chave Seccionadora tripolar 525 kV, CS1037, com lâmina de terra, referente a LT Blumenau - Curitiba C-1. Associado à obra são esperadas substituições/adaptações de fundações, suportes, cabos de controle/potência, barramento, conectores e conexão de aterramento.</t>
  </si>
  <si>
    <t>0006670/2023</t>
  </si>
  <si>
    <t>Substituição de Chave Seccionadora tripolar 230 kV, CS911, referente ao TF 6 525/230 kV da SE Blumenau. Associado à obra são esperadas substituições/adaptações de fundações, suportes, cabos de controle/potência, barramento, conectores e conexão de aterramento.</t>
  </si>
  <si>
    <t>0006671/2023</t>
  </si>
  <si>
    <t>CS911</t>
  </si>
  <si>
    <t>Substituição do Transformador de corrente de 230 kV  fase "V"  Vão 
 I SECÇÃO Z (VCDJ6 12)</t>
  </si>
  <si>
    <t>N-S-PAVC-ABVCLI602-ELVC-VCTC601 FV</t>
  </si>
  <si>
    <t>0006673/2023</t>
  </si>
  <si>
    <t>Substituição do Transformador de corrente de 230 kV  fase "B"  Vão 
 I SECÇÃO Z (VCDJ6 12)</t>
  </si>
  <si>
    <t>N-S-PAVC-ABVCLI602-ELVC-VCTC601 FB</t>
  </si>
  <si>
    <t>0006674/2023</t>
  </si>
  <si>
    <t>Substituição do Transformador de corrente de 230 kV  fase "A"  Vão 
 I SECÇÃO Z (VCDJ6 12)</t>
  </si>
  <si>
    <t>N-S-PAVC-ABVCLI602-ELVC-VCTC601 FA</t>
  </si>
  <si>
    <t>0006675/2023</t>
  </si>
  <si>
    <t>0006676/2023</t>
  </si>
  <si>
    <t>RDP - LT 345 kV IBIUNA /TIJUCO PRETO C-2 SP</t>
  </si>
  <si>
    <t>0006677/2023</t>
  </si>
  <si>
    <t>Substituição do Transformador de corrente de 230 kV  fase "V"  Vão 
 I SECÇÃO Y2 (VCDJ6 11)</t>
  </si>
  <si>
    <t>0006678/2023</t>
  </si>
  <si>
    <t>N-S-PAVC-MG701-IB500-DJ711-VCTC702 FV</t>
  </si>
  <si>
    <t>Substituição do Transformador de corrente de 230 kV  fase "B"  Vão 
 I SECÇÃO Y2 (VCDJ6 11)</t>
  </si>
  <si>
    <t>0006680/2023</t>
  </si>
  <si>
    <t>N-S-PAVC-MG701-IB500-DJ711-VCTC702 FB</t>
  </si>
  <si>
    <t>Substituição do Transformador de corrente de 230 kV  fase "A"  Vão 
 I SECÇÃO Y2 (VCDJ6 11)</t>
  </si>
  <si>
    <t>0006681/2023</t>
  </si>
  <si>
    <t>N-S-PAVC-MG701-IB500-DJ711-VCTC702 FA</t>
  </si>
  <si>
    <t>Substituição de 01 Registrador de Perturbação (RDP) associado ao vão de Entrada de Linha 04F3 (LT 230 kV AQUIRAZ II/FORTALEZA C-2) na subestação FORTALEZA, por um novo sistema composto por: 01 RDP e infraestrutura de comunicação associada</t>
  </si>
  <si>
    <t>0006683/2023</t>
  </si>
  <si>
    <t>11449270</t>
  </si>
  <si>
    <t>SUBSTITUIR O TC 230kV FASE B DO AUTOTRANSFORMADOR NÚMERO 1 DA SE BARRA DO PEIXE</t>
  </si>
  <si>
    <t>0006685/2023</t>
  </si>
  <si>
    <t>SUBSTITUIR O TC 230kV FASE V DO AUTOTRANSFORMADOR NÚMERO 1 DA SE BARRA DO PEIXE</t>
  </si>
  <si>
    <t>0006686/2023</t>
  </si>
  <si>
    <t>REVITALIZAÇÃO DO REATOR BPRE6-02 COM SUBSTITUIÇÃO DE BUCHAS, VEDAÇÕES E VÁLVULAS, ALEM DE TRATAMENTO DO ÓLEO ISOLANTE E SECAGEM DA PARTE ATIVA.</t>
  </si>
  <si>
    <t>FT RTB 230 kV 20 MVAr BARRA PEIXE RT2 MT</t>
  </si>
  <si>
    <t>0006690/2023</t>
  </si>
  <si>
    <t>N-S-MTBP-RE602-RE230-BPRE602</t>
  </si>
  <si>
    <t>Substituição do Transformador de corrente de 230 kV  fase "V"  Vão 
 J SECÇÃO Z (VCDJ6 09)</t>
  </si>
  <si>
    <t>N-S-PAVC-ABVCLI601-ELVC-VCTC601 FV</t>
  </si>
  <si>
    <t>0006691/2023</t>
  </si>
  <si>
    <t>Substituição do Transformador de corrente de 230 kV  fase "B"  Vão 
 J SECÇÃO Z (VCDJ6 09)</t>
  </si>
  <si>
    <t>N-S-PAVC-ABVCLI601-ELVC-VCTC601 FB</t>
  </si>
  <si>
    <t>0006693/2023</t>
  </si>
  <si>
    <t>Substituição de Chave Seccionadora tripolar 230 kV, CS913, referente ao TF 6 525/230 kV da SE Blumenau. Associado à obra são esperadas substituições/adaptações de fundações, suportes, cabos de controle/potência, barramento, conectores e conexão de aterramento.</t>
  </si>
  <si>
    <t>0006695/2023</t>
  </si>
  <si>
    <t>CS913</t>
  </si>
  <si>
    <t>Substituição de Chave Seccionadora tripolar 230 kV, CS915, referente ao TF 6 525/230 kV da SE Blumenau. Associado à obra são esperadas substituições/adaptações de fundações, suportes, cabos de controle/potência, barramento, conectores e conexão de aterramento.</t>
  </si>
  <si>
    <t>0006701/2023</t>
  </si>
  <si>
    <t>CS915</t>
  </si>
  <si>
    <t>SUBSTITUIÇÃO DO CUBÍCULO DE 15kV DO TF1</t>
  </si>
  <si>
    <t>Sem FT</t>
  </si>
  <si>
    <t>0006704/2023</t>
  </si>
  <si>
    <t>N-S-MTCM-DIT-TF501-CMCB204</t>
  </si>
  <si>
    <t>Substituição de Chave Seccionadora tripolar 525 kV, CS1065, referente ao Interligador de Barras entre o Reator 1 e o TF 6. Associado à obra são esperadas substituições/adaptações de fundações, suportes, cabos de controle/potência, barramento, conectores e conexão de aterramento.</t>
  </si>
  <si>
    <t>0006705/2023</t>
  </si>
  <si>
    <t>SUBSTITUIR PARA-RAIO 13,8KV FASE A DO CMTF5-01</t>
  </si>
  <si>
    <t>0006708/2023</t>
  </si>
  <si>
    <t>N-S-MTCM-DIT-TF501-CMPR201</t>
  </si>
  <si>
    <t>Substituição de Chave Seccionadora tripolar 525 kV, CS1075, referente ao Interligador de Barras entre o Reator 1 e o TF 6. Associado à obra são esperadas substituições/adaptações de fundações, suportes, cabos de controle/potência, barramento, conectores e conexão de aterramento.</t>
  </si>
  <si>
    <t>0006710/2023</t>
  </si>
  <si>
    <t>Substituição do Transformador de corrente de 230 kV  fase "A"  Vão 
 J SECÇÃO Z (VCDJ6 09)</t>
  </si>
  <si>
    <t>N-S-PAVC-ABVCLI601-ELVC-VCTC601 FA</t>
  </si>
  <si>
    <t>0006713/2023</t>
  </si>
  <si>
    <t>SUBSTITUIR PARA-RAIO 13,8KV FASE B DO CMTF5-01</t>
  </si>
  <si>
    <t>0006715/2023</t>
  </si>
  <si>
    <t>Substituição de Transformadores de Corrente 525 kV referentes ao Reator 1 (RT1) da SE Blumenau, DJ1072, Fases A, B, C. Associado à obra, são esperadas substituições/adaptações de fundações e suportes, caixa de junção, cabos de controle/potência, barramento, conectores e conexão de aterramento. Funções do TC: proteção e medição.</t>
  </si>
  <si>
    <t>0006716/2023</t>
  </si>
  <si>
    <t>Substituição do Transformador de corrente de 230 kV  fase "V"  Vão 
 J SECÇÃO Y1 (VCDJ6 08)</t>
  </si>
  <si>
    <t>0006721/2023</t>
  </si>
  <si>
    <t>N-S-PAVC-MG701-IB500-DJ708-VCTC701 FV</t>
  </si>
  <si>
    <t>SUBSTITUIR PARA-RAIO 13,8KV FASE V DO CMTF5-01</t>
  </si>
  <si>
    <t>0006722/2023</t>
  </si>
  <si>
    <t>Substituição de Transformadores de Corrente 525 kV referentes ao  TF 6 525/230 kV da SE Blumenau, DJ1062, Fases A, B, C. Associado à obra, são esperadas substituições/adaptações de fundações e suportes, caixa de junção, cabos de controle/potência, barramento, conectores e conexão de aterramento. Funções do TC: proteção e medição.</t>
  </si>
  <si>
    <t>0006725/2023</t>
  </si>
  <si>
    <t>SUBSTITUIÇÃO DA CHAVE SECCIONADORA CMSD5-01</t>
  </si>
  <si>
    <t>N-S-MTCM-DIT-TF501-CMSD501</t>
  </si>
  <si>
    <t>0006726/2023</t>
  </si>
  <si>
    <t>Substituição do Transformador de corrente de 230 kV  fase "B"  Vão J SECÇÃO Y1 (VCDJ6 08)</t>
  </si>
  <si>
    <t>0006729/2023</t>
  </si>
  <si>
    <t>N-S-PAVC-MG701-IB500-DJ708-VCTC701 FB</t>
  </si>
  <si>
    <t>Substituição de Transformadores de Corrente 525 kV referentes ao Interligador de Barras, DJ1070, SE Blumenau, Fases A, B, C. Associado à obra, são esperadas substituições/adaptações de fundações e suportes, caixa de junção, cabos de controle/potência, barramento, conectores e conexão de aterramento. Funções do TC: proteção e medição.</t>
  </si>
  <si>
    <t>0006730/2023</t>
  </si>
  <si>
    <t>Substituição do Transformador de corrente de 230 kV fase "A" Vão</t>
  </si>
  <si>
    <t>0006737/2023</t>
  </si>
  <si>
    <t>N-S-PAVC-MG701-IB500-DJ708-VCTC701 FA</t>
  </si>
  <si>
    <t>Substituição de Para-Raios 525 kV, referente ao Reator Reserva (monofásico) da SE Curitiba. Associado à obra, são esperadas substituições ou adaptações de fundações e suportes existentes, cabos de controle e potência, barramento, conectores e conexão do aterramento.</t>
  </si>
  <si>
    <t>RTR 525 kV 50 MVAr CURITIBA RTR1 PR</t>
  </si>
  <si>
    <t>0006739/2023</t>
  </si>
  <si>
    <t>PRR</t>
  </si>
  <si>
    <t>LT 525 kV ITA  / MACHADINHO C-1 SC</t>
  </si>
  <si>
    <t>Substituição de 01 (um) dos cabos para-raios da LT 525 kV Itá - Machadinho C-1, em toda a sua extensão (80 km), por cabos tipo OPGW.</t>
  </si>
  <si>
    <t>0006743/2023</t>
  </si>
  <si>
    <t>Cabo Para-Raios</t>
  </si>
  <si>
    <t>Substituição do Transformador de corrente de 230 kV  fase "V"  Vão I SECÇÃO Y1 (VCDJ6 11)</t>
  </si>
  <si>
    <t>0006746/2023</t>
  </si>
  <si>
    <t>N-S-PAVC-MG701-IB230-DJ611-VCTC601 FV</t>
  </si>
  <si>
    <t>LT 525 kV C.NOVOS  / MACHADINHO C-1 SC</t>
  </si>
  <si>
    <t>Substituição de 01 (um) dos cabos para-raios da LT 525 kV Campos Novos - Machadinho C-1, em toda a sua extensão (51 km), por cabos tipo OPGW.</t>
  </si>
  <si>
    <t>LT 525 kV C.NOVOS /MACHADINHO C-1 SC</t>
  </si>
  <si>
    <t>0006747/2023</t>
  </si>
  <si>
    <t>Substituição do Transformador de corrente de 230 kV  fase "B"  Vão I SECÇÃO Y1 (VCDJ6 11)</t>
  </si>
  <si>
    <t>0006754/2023</t>
  </si>
  <si>
    <t>N-S-PAVC-MG701-IB230-DJ611-VCTC601 FB</t>
  </si>
  <si>
    <t>MARMELEIRO 2</t>
  </si>
  <si>
    <t>15</t>
  </si>
  <si>
    <t>CS 2 X 100/-100 Mvar MARMELEIRO 2 CS1+CS2 RS</t>
  </si>
  <si>
    <t>0006757/2023</t>
  </si>
  <si>
    <t>Painel - Sistema de Resfriamento</t>
  </si>
  <si>
    <t>Substituição do Transformador de corrente de 230 kV  fase "A"  Vão I SECÇÃO Y1 (VCDJ6 11)</t>
  </si>
  <si>
    <t>0006760/2023</t>
  </si>
  <si>
    <t>N-S-PAVC-MG701-IB230-DJ611-VCTC601 FA</t>
  </si>
  <si>
    <t>Substituição de Disjuntor tripolar 69 kV, DJ462, referente ao TF 10 230/69 kV da SE J.Lacerda-A. Associado à obra, são esperadas substituições/adaptações de fundações e suportes, cabos de controle e potência, barramento, conectores e conexão de aterramento.</t>
  </si>
  <si>
    <t>0006767/2023</t>
  </si>
  <si>
    <t>DJ462</t>
  </si>
  <si>
    <t>Substituição do Transformador de corrente de 230 kV  fase "V"  Vão I SECÇÃO X (VCDJ6 10)</t>
  </si>
  <si>
    <t>0006769/2023</t>
  </si>
  <si>
    <t>N-S-PAVC-AT701-MC230-VCTC601 FV</t>
  </si>
  <si>
    <t>Substituição de Disjuntor tripolar 230 kV, DJ712, referente a LT J.Lacerda-A - UTE J.Lacerda-A C-4. Associado à obra, são esperadas substituições/adaptações de fundações e suportes, cabos de controle e potência, barramento, conectores e conexão de aterramento.</t>
  </si>
  <si>
    <t>LT 230 kV J.LACERDA-A / U. J.LACERDA-A C-4 SC</t>
  </si>
  <si>
    <t>0006774/2023</t>
  </si>
  <si>
    <t>Substituição do Transformador de corrente de 230 kV  fase "B"  Vão I SECÇÃO X (VCDJ6 10)</t>
  </si>
  <si>
    <t>0006775/2023</t>
  </si>
  <si>
    <t>N-S-PAVC-AT701-MC230-VCTC601 FB</t>
  </si>
  <si>
    <t>Substituição do Transformador de corrente de 230 kV  fase "A"  Vão I SECÇÃO X (VCDJ6 10)</t>
  </si>
  <si>
    <t>0006777/2023</t>
  </si>
  <si>
    <t>N-S-PAVC-AT701-MC230-VCTC601 FA</t>
  </si>
  <si>
    <t>Substituição do Transformador de corrente de 230 kV  fase "V"  Vão H SECÇÃO Y2 (VCDJ6 14)</t>
  </si>
  <si>
    <t>0006780/2023</t>
  </si>
  <si>
    <t>N-S-PAVC-MG701-IB230-DJ614-VCTC601 FV</t>
  </si>
  <si>
    <t>Substituição de Disjuntor tripolar 230 kV, DJ742, referente a LT J.Lacerda-A - UTE J.Lacerda-A C-6. Associado à obra, são esperadas substituições/adaptações de fundações e suportes, cabos de controle e potência, barramento, conectores e conexão de aterramento.</t>
  </si>
  <si>
    <t>LT 230 kV J.LACERDA-A / U. J.LACERDA-A C-6 SC</t>
  </si>
  <si>
    <t>0006781/2023</t>
  </si>
  <si>
    <t>Substituir TPC 500 KV da barra 1 fase A, N-S-TOMC-MG701-MG500-BR701-MCTP701 - A, equipamento SAP: 11981525</t>
  </si>
  <si>
    <t>0006782/2023</t>
  </si>
  <si>
    <t>N-S-TOMC-MG701-MG500-BR701-MCTP701 - A (11981525))</t>
  </si>
  <si>
    <t>Substituição do Transformador de corrente de 230 kV fase "B" Vão H SECÇÃO Y2 (VCDJ6 14)</t>
  </si>
  <si>
    <t>0006784/2023</t>
  </si>
  <si>
    <t>N-S-PAVC-MG701-IB230-DJ614-VCTC601 FB</t>
  </si>
  <si>
    <t>Substituição de para-raios 138 kV referente a LT J.Lacerda-A - Bom Jardim da Serra C-1, Fases A, B e C. Associado a obra são esperadas substituições/adaptações de fundações, suportes, cabos de controle e potência, barramento, conectores e conexão do aterramento.</t>
  </si>
  <si>
    <t>0006785/2023</t>
  </si>
  <si>
    <t>PR LT BJS C-1</t>
  </si>
  <si>
    <t>Substituir TPC 500 KV da barra 1 fase V, N-S-TOCO-MG701-MG500-BR701-COTP701 - V, equipamento SAP: 11981174</t>
  </si>
  <si>
    <t>MG 500 kV COLINAS MG2 TO</t>
  </si>
  <si>
    <t>0006786/2023</t>
  </si>
  <si>
    <t>N-S-TOCO-MG701-MG500-BR701-COTP701 - V (11981174)</t>
  </si>
  <si>
    <t>Substituição de Retificador (Carregador de Baterias) 125 Vcc - SACC125-RET1, da SE J.Lacerda-A.</t>
  </si>
  <si>
    <t>0006787/2023</t>
  </si>
  <si>
    <t>Substituição do Transformador de corrente de 230 kV  fase "A"  Vão H SECÇÃO Y2 (VCDJ6 14)</t>
  </si>
  <si>
    <t>0006788/2023</t>
  </si>
  <si>
    <t>N-S-PAVC-MG701-IB230-DJ614-VCTC601 FA</t>
  </si>
  <si>
    <t>Substituição de Retificador (Carregador de Baterias) 125 Vcc - SACC125-RET2, da SE J.Lacerda-A.</t>
  </si>
  <si>
    <t>0006789/2023</t>
  </si>
  <si>
    <t>Substituição do Transformador de corrente de 230 kV  fase "V"  Vão D SECÇÃO Z (VCDJ6 27)</t>
  </si>
  <si>
    <t>0006790/2023</t>
  </si>
  <si>
    <t>N-S-PAVC-VCGMLT601-ELVC-VCTC601 FV</t>
  </si>
  <si>
    <t>Substituição do Transformador de corrente de 230 kV  fase "B"  Vão D SECÇÃO Z (VCDJ6 27)</t>
  </si>
  <si>
    <t>0006791/2023</t>
  </si>
  <si>
    <t>N-S-PAVC-VCGMLT601-ELVC-VCTC601 FB</t>
  </si>
  <si>
    <t>Substituição do Transformador de corrente de 230 kV  fase "A"  Vão D SECÇÃO Z (VCDJ6 27)</t>
  </si>
  <si>
    <t>0006793/2023</t>
  </si>
  <si>
    <t>N-S-PAVC-VCGMLT601-ELVC-VCTC601 FA</t>
  </si>
  <si>
    <t>Substituição do Transformador de corrente de 230 kV  fase "V"  Vão D SECÇÃO Y2 (VCDJ6 26)</t>
  </si>
  <si>
    <t>0006794/2023</t>
  </si>
  <si>
    <t>N-S-PAVC-MG701-IB230-DJ626-VCTC601 FV</t>
  </si>
  <si>
    <t>Substituição do Transformador de corrente de 230 kV  fase "B"  Vão D SECÇÃO Y2 (VCDJ6 26)</t>
  </si>
  <si>
    <t>0006796/2023</t>
  </si>
  <si>
    <t>N-S-PAVC-MG701-IB230-DJ626-VCTC601 FB</t>
  </si>
  <si>
    <t>Substituição de Transformadores de Corrente 69 kV referentes ao TF 10 230/69 kV da SE J.Lacerda-A, DJ462, Fases A, B, C. Associado à obra, são esperadas substituições/adaptações de fundações e suportes, caixa de junção, cabos de controle/potência, barramento, conectores e conexão de aterramento. Funções do TC: proteção e medição.</t>
  </si>
  <si>
    <t>0006797/2023</t>
  </si>
  <si>
    <t>TC DJ462</t>
  </si>
  <si>
    <t>Substituição do Transformador de corrente de 230 kV  fase "A"  Vão D SECÇÃO Y2 (VCDJ6 26)</t>
  </si>
  <si>
    <t>0006798/2023</t>
  </si>
  <si>
    <t>N-S-PAVC-MG701-IB230-DJ626-VCTC601 FA</t>
  </si>
  <si>
    <t>Substituição do Transformador de corrente de 230 kV  fase "V"  Vão C SECÇÃO Z- (VCDJ6 30)</t>
  </si>
  <si>
    <t>0006799/2023</t>
  </si>
  <si>
    <t>N-S-PAVC-VCGMLT602-ELVC-VCTC601 FV</t>
  </si>
  <si>
    <t>Substituição de Grupo Motor-Gerador 380 Vca (SACA380-MG1) e cabos associados, referentes aos Serviços Auxiliares da SE Passo Fundo.</t>
  </si>
  <si>
    <t>0006800/2023</t>
  </si>
  <si>
    <t>Substituição do Transformador de corrente de 230 kV  fase "B"  Vão C SECÇÃO Z- (VCDJ6 30)</t>
  </si>
  <si>
    <t>0006801/2023</t>
  </si>
  <si>
    <t>N-S-PAVC-VCGMLT602-ELVC-VCTC601 FB</t>
  </si>
  <si>
    <t>Substituição de Chave Seccionadora tripolar 230 kV, CS749, referente ao TR2 230/69 kV da SE Farroupilha. Associado à obra são esperadas substituições/adaptações de fundações, suportes, cabos de controle/potência, barramento, conectores e conexão de aterramento.</t>
  </si>
  <si>
    <t>TR 230/69 kV FARROUPILHA TR2 RS</t>
  </si>
  <si>
    <t>0006805/2023</t>
  </si>
  <si>
    <t>CS749</t>
  </si>
  <si>
    <t>Substituição do Transformador de corrente de 230 kV  fase "A"  Vão C SECÇÃO Z- (VCDJ6 30)</t>
  </si>
  <si>
    <t>0006806/2023</t>
  </si>
  <si>
    <t>N-S-PAVC-VCGMLT602-ELVC-VCTC601 FA</t>
  </si>
  <si>
    <t>Substituição de Chave Seccionadora tripolar 230 kV, CS761, referente a LT Joinville - Blumenau C-1. Associado à obra são esperadas substituições/adaptações de fundações, suportes, cabos de controle/potência, barramento, conectores e conexão de aterramento.</t>
  </si>
  <si>
    <t>0006810/2023</t>
  </si>
  <si>
    <t>Substituição do Transformador de corrente de 230 kV  fase "V"  Vão C SECÇÃO Y2- (VCDJ6 29)</t>
  </si>
  <si>
    <t>0006811/2023</t>
  </si>
  <si>
    <t>N-S-PAVC-MG701-IB230-DJ629-VCTC602 FV</t>
  </si>
  <si>
    <t>Substituição de Chave Seccionadora tripolar 230 kV, CS701, referente ao TR7 230/138 kV da SE Joinville. Associado à obra são esperadas substituições/adaptações de fundações, suportes, cabos de controle/potência, barramento, conectores e conexão de aterramento.</t>
  </si>
  <si>
    <t>TR 230/138 kV JOINVILLE TR7 SC</t>
  </si>
  <si>
    <t>0006812/2023</t>
  </si>
  <si>
    <t>CS701</t>
  </si>
  <si>
    <t>Substituição de Chave Seccionadora tripolar 230 kV, CS703, referente ao TR7 230/138 kV da SE Joinville. Associado à obra são esperadas substituições/adaptações de fundações, suportes, cabos de controle/potência, barramento, conectores e conexão de aterramento.</t>
  </si>
  <si>
    <t>0006817/2023</t>
  </si>
  <si>
    <t>CS703</t>
  </si>
  <si>
    <t>Substituição do Transformador de corrente de 230 kV  fase "B"  Vão C SECÇÃO Y2- (VCDJ6 29)</t>
  </si>
  <si>
    <t>0006818/2023</t>
  </si>
  <si>
    <t>N-S-PAVC-MG701-IB230-DJ629-VCTC602 FB</t>
  </si>
  <si>
    <t>Substituição de Chave Seccionadora tripolar 230 kV, CS705, referente ao TR7 230/138 kV da SE Joinville. Associado à obra são esperadas substituições/adaptações de fundações, suportes, cabos de controle/potência, barramento, conectores e conexão de aterramento.</t>
  </si>
  <si>
    <t>0006820/2023</t>
  </si>
  <si>
    <t>CS705</t>
  </si>
  <si>
    <t>Substituição de Chave Seccionadora tripolar 230 kV, CS801, referente a LT Joinville - Vega do Sul C-2. Associado à obra são esperadas substituições/adaptações de fundações, suportes, cabos de controle/potência, barramento, conectores e conexão de aterramento.</t>
  </si>
  <si>
    <t>LT 230 kV JOINVILLE / VEGA DO SUL C-2 SC</t>
  </si>
  <si>
    <t>0006822/2023</t>
  </si>
  <si>
    <t>CS801</t>
  </si>
  <si>
    <t>SUBSTITUIÇÃO DO TRANSFORMADOR AUXILIAR TR03 - 480/220-127V</t>
  </si>
  <si>
    <t>0006823/2023</t>
  </si>
  <si>
    <t>TR03</t>
  </si>
  <si>
    <t>Substituição do Transformador de corrente de 230 kV  fase "A"  Vão C SECÇÃO Y2- (VCDJ6 29)</t>
  </si>
  <si>
    <t>0006824/2023</t>
  </si>
  <si>
    <t>N-S-PAVC-MG701-IB230-DJ629-VCTC602 FA</t>
  </si>
  <si>
    <t>Substituição de Chave Seccionadora tripolar 230 kV, CS893, referente ao TR4 525/230 kV da SE Londrina. Associado à obra são esperadas substituições/adaptações de fundações, suportes, cabos de controle/potência, barramento, conectores e conexão de aterramento.</t>
  </si>
  <si>
    <t>TR 525/230 kV LONDRINA ESU TR4 PR</t>
  </si>
  <si>
    <t>0006825/2023</t>
  </si>
  <si>
    <t>CS893</t>
  </si>
  <si>
    <t>SUBSTITUIÇÃO DO TRANSFORMADOR AUXILIAR TRCE02 - 480/220-127V</t>
  </si>
  <si>
    <t>0006826/2023</t>
  </si>
  <si>
    <t>TRCE02</t>
  </si>
  <si>
    <t>Substituição de equipamentos associados ao Banco de Capacitores BC4 - 13,8 kV da SE Caxias 5: Transformador de Corrente de Desbalanço - TCABCN, Seccionador de Aterramento - CS29/7 e Reatores Limitadores de Corrente - RLC4/A, RLC4/B, RLC4/C.</t>
  </si>
  <si>
    <t>0006827/2023</t>
  </si>
  <si>
    <t>TCABCN, CS29/7, RLC4/A, RLC4/B, RLC4/C</t>
  </si>
  <si>
    <t>SUBSTITUIÇÃO DO TRANSFORMADOR AUXILIAR TRCE01 - 480/220-127V</t>
  </si>
  <si>
    <t>0006828/2023</t>
  </si>
  <si>
    <t>TRCE01</t>
  </si>
  <si>
    <t>Substituição de Chave Seccionadora tripolar 230 kV, CS897, referente ao TR4 525/230 kV da SE Londrina. Associado à obra são esperadas substituições/adaptações de fundações, suportes, cabos de controle/potência, barramento, conectores e conexão de aterramento.</t>
  </si>
  <si>
    <t>0006829/2023</t>
  </si>
  <si>
    <t>CS897</t>
  </si>
  <si>
    <t>Substituição do Transformador de corrente de 230 kV  fase "V"  Vão C SECÇÃO Y1- (VCDJ6 29)</t>
  </si>
  <si>
    <t>0006831/2023</t>
  </si>
  <si>
    <t>N-S-PAVC-MG701-IB230-DJ629-VCTC601 FV</t>
  </si>
  <si>
    <t>SUBSTITUIÇÃO DO TRANSFORMADOR AUXILIAR TR02 - 480/220-127V</t>
  </si>
  <si>
    <t>0006832/2023</t>
  </si>
  <si>
    <t>Substituição de Chave Seccionadora tripolar 525 kV, CS1085, referente ao Interligador de Barras entre as LT S.Santiago C-1 e UH Itá C-2. Associado à obra são esperadas substituições/adaptações de fundações, suportes, cabos de controle/potência, barramento, conectores e conexão de aterramento.</t>
  </si>
  <si>
    <t>0006833/2023</t>
  </si>
  <si>
    <t>SUBSTITUIÇÃO DO TRANSFORMADOR AUXILIAR TR04 - 480/220-127V</t>
  </si>
  <si>
    <t>0006834/2023</t>
  </si>
  <si>
    <t>TR04</t>
  </si>
  <si>
    <t>0006835/2023</t>
  </si>
  <si>
    <t>SUBSTITUIÇÃO DO TRANSFORMADOR AUXILIAR TR01 - 480/220-127V</t>
  </si>
  <si>
    <t>0006836/2023</t>
  </si>
  <si>
    <t>SUBSTITUIÇÃO DO PAINEL QLG-1 - 220V</t>
  </si>
  <si>
    <t>0006837/2023</t>
  </si>
  <si>
    <t>QLG-1</t>
  </si>
  <si>
    <t>Substituição do Transformador de corrente de 230 kV  fase "B"  Vão C SECÇÃO Y1- (VCDJ6 29)</t>
  </si>
  <si>
    <t>0006838/2023</t>
  </si>
  <si>
    <t>N-S-PAVC-MG701-IB230-DJ629-VCTC601 FB</t>
  </si>
  <si>
    <t>Substituição de Chave Seccionadora tripolar 525 kV, CS1095, referente ao Interligador de Barras entre as LT S.Santiago C-1 e UH Itá C-2. Associado à obra são esperadas substituições/adaptações de fundações, suportes, cabos de controle/potência, barramento, conectores e conexão de aterramento.</t>
  </si>
  <si>
    <t>0006839/2023</t>
  </si>
  <si>
    <t>SUBSTITUIÇÃO DO PAINEL QD-D - 220V</t>
  </si>
  <si>
    <t>0006840/2023</t>
  </si>
  <si>
    <t>QD-D</t>
  </si>
  <si>
    <t>Substituição de Disjuntor tripolar 13,8 kV, DJ52/21, referente aos Bancos de Capacitores (BC1/BC2) da SE Caxias 5. Associado à obra, são esperadas substituições/adaptações de fundações e suportes, cabos de controle e potência, barramento, conectores e conexão de aterramento.</t>
  </si>
  <si>
    <t>0006841/2023</t>
  </si>
  <si>
    <t>DJ52/21</t>
  </si>
  <si>
    <t>SUBSTITUIÇÃO DO PAINEL QLG-2 - 220V</t>
  </si>
  <si>
    <t>0006842/2023</t>
  </si>
  <si>
    <t>QLG-2</t>
  </si>
  <si>
    <t>SUBSTITUIÇÃO DO PAINEL QL-1 - 220V</t>
  </si>
  <si>
    <t>0006843/2023</t>
  </si>
  <si>
    <t>QL-1</t>
  </si>
  <si>
    <t>SUBSTITUIÇÃO DO PAINEL QA-1 - 220V</t>
  </si>
  <si>
    <t>0006844/2023</t>
  </si>
  <si>
    <t>QA-1</t>
  </si>
  <si>
    <t>Substituição do Transformador de corrente de 230 kV  fase "A"  Vão C SECÇÃO Y1- (VCDJ6 29)</t>
  </si>
  <si>
    <t>0006845/2023</t>
  </si>
  <si>
    <t>N-S-PAVC-MG701-IB230-DJ629-VCTC601 FA</t>
  </si>
  <si>
    <t>SUBSTITUIÇÃO DO PAINEL QDCO - 220V</t>
  </si>
  <si>
    <t>0006846/2023</t>
  </si>
  <si>
    <t>QDCO</t>
  </si>
  <si>
    <t>SUBSTITUIÇÃO DO PAINEL QL-2 - 220V</t>
  </si>
  <si>
    <t>0006847/2023</t>
  </si>
  <si>
    <t>QL-2</t>
  </si>
  <si>
    <t>SUBSTITUIÇÃO DO PAINEL QDF-1 - 220V</t>
  </si>
  <si>
    <t>0006848/2023</t>
  </si>
  <si>
    <t>QDF-1</t>
  </si>
  <si>
    <t>SUBSTITUIÇÃO DO PAINEL QF-2 - 220V</t>
  </si>
  <si>
    <t>0006849/2023</t>
  </si>
  <si>
    <t>QF-2</t>
  </si>
  <si>
    <t>SUBSTITUIÇÃO DO PAINEL QF-1 - 220V</t>
  </si>
  <si>
    <t>0006850/2023</t>
  </si>
  <si>
    <t>QF-1</t>
  </si>
  <si>
    <t>SUBSTITUIÇÃO DO PAINEL QL-4 - 220V</t>
  </si>
  <si>
    <t>0006851/2023</t>
  </si>
  <si>
    <t>QL-4</t>
  </si>
  <si>
    <t>Substituição do Transformador de corrente de 230 kV  fase "V"  Vão C SECÇÃO X - (VCDJ6 28) - VCTF6 02</t>
  </si>
  <si>
    <t>CS 150/-90 MVAr VILA DO CONDE CS2 PA</t>
  </si>
  <si>
    <t>0006852/2023</t>
  </si>
  <si>
    <t>N-S-PAVC-CS202-MC230-VCTC601 FV</t>
  </si>
  <si>
    <t>SUBSTITUIÇÃO DO PAINEL QL-3 - 220V</t>
  </si>
  <si>
    <t>0006853/2023</t>
  </si>
  <si>
    <t>QL-3</t>
  </si>
  <si>
    <t>SUBSTITUIÇÃO DO PAINEL QL-5 - 220V</t>
  </si>
  <si>
    <t>0006854/2023</t>
  </si>
  <si>
    <t>QL-5</t>
  </si>
  <si>
    <t>SUBSTITUIÇÃO DO PAINEL QLI-2 - 220V</t>
  </si>
  <si>
    <t>0006863/2023</t>
  </si>
  <si>
    <t>QLI-2</t>
  </si>
  <si>
    <t>SUBSTITUIÇÃO DO PAINEL QAC-1 - 220V</t>
  </si>
  <si>
    <t>0006866/2023</t>
  </si>
  <si>
    <t>QAC-1</t>
  </si>
  <si>
    <t>SUBSTITUIÇÃO DA CHAVE SECCIONADORA CMSD5-02</t>
  </si>
  <si>
    <t>0006867/2023</t>
  </si>
  <si>
    <t>N-S-MTCM-DIT-TF501-CMSD502</t>
  </si>
  <si>
    <t>SUBSTITUIÇÃO DO PAINEL QLT-1 - 220V</t>
  </si>
  <si>
    <t>0006868/2023</t>
  </si>
  <si>
    <t>QLT-1</t>
  </si>
  <si>
    <t>SUBSTITUIÇÃO DO PAINEL QD-AC-MO - 127V</t>
  </si>
  <si>
    <t>0006871/2023</t>
  </si>
  <si>
    <t>QD-AC-MO</t>
  </si>
  <si>
    <t>SUBSTITUIÇÃO DA CHAVE SECCIONADORA CMSY5-01</t>
  </si>
  <si>
    <t>N-S-MTCM-DIT-TF501-CMSY501</t>
  </si>
  <si>
    <t>0006873/2023</t>
  </si>
  <si>
    <t>CMSY501</t>
  </si>
  <si>
    <t>SUBSTITUIÇÃO DO PAINEL QD-D4 - 220V</t>
  </si>
  <si>
    <t>0006875/2023</t>
  </si>
  <si>
    <t>QD-D4</t>
  </si>
  <si>
    <t>SUBSTITUIÇÃO DO PAINEL QD-D3 - 220V</t>
  </si>
  <si>
    <t>0006878/2023</t>
  </si>
  <si>
    <t>QD-D3</t>
  </si>
  <si>
    <t>SUBSTITUIÇÃO DO PAINEL QD-D1 - 220V</t>
  </si>
  <si>
    <t>0006880/2023</t>
  </si>
  <si>
    <t>QD-D1</t>
  </si>
  <si>
    <t>SUBSTITUIÇÃO DO DISJUNTOR CMDJ5-01</t>
  </si>
  <si>
    <t>N-S-MTCM-DIT-TF501-CMDJ501</t>
  </si>
  <si>
    <t>0006883/2023</t>
  </si>
  <si>
    <t>SUBSTITUIÇÃO DO PAINEL QD-D2 - 220V</t>
  </si>
  <si>
    <t>0006885/2023</t>
  </si>
  <si>
    <t>QD-D2</t>
  </si>
  <si>
    <t>SUBSTITUIÇÃO DO SISTEMA DE PROTEÇÃO, CONTROLE E SUPERVISÃO DO AUTOTRANSFORMADOR 138/13.8/13.8kV NÚMERO 1 DA SE COUTO MAGALHÃES, COMPREENDENDO AS PROTEÇÃO PRIMÁRIAS E ALTERNADAS.</t>
  </si>
  <si>
    <t>0006892/2023</t>
  </si>
  <si>
    <t>N-S-MTCM-DIT-TF501-CMSPRTF</t>
  </si>
  <si>
    <t>SUBSTITUIÇÃO DO TRANSFORMDOR DE CORRENTE FASE A</t>
  </si>
  <si>
    <t>0006895/2023</t>
  </si>
  <si>
    <t>N-S-MTCM-DIT-TF501-CMTC501</t>
  </si>
  <si>
    <t>SUBSTITUIÇÃO DO TRANSFORMDOR DE CORRENTE FASE B</t>
  </si>
  <si>
    <t>0006897/2023</t>
  </si>
  <si>
    <t>SUBSTITUIÇÃO DO TRANSFORMDOR DE CORRENTE FASE V</t>
  </si>
  <si>
    <t>0006899/2023</t>
  </si>
  <si>
    <t>SUBSTITUIR PARA-RAIO 138KV FASE A DO CMTF5-01</t>
  </si>
  <si>
    <t>0006900/2023</t>
  </si>
  <si>
    <t>N-S-MTCM-DIT-TF501-CMPR501</t>
  </si>
  <si>
    <t>SUBSTITUIR PARA-RAIO 138KV FASE B DO CMTF5-01</t>
  </si>
  <si>
    <t>0006901/2023</t>
  </si>
  <si>
    <t>SUBSTITUIR PARA-RAIO 138KV FASE V DO CMTF5-01</t>
  </si>
  <si>
    <t>0006902/2023</t>
  </si>
  <si>
    <t>SUBSTITUIÇÃO DA CHAVE SECCIONADORA CXCA6-01.</t>
  </si>
  <si>
    <t>0006904/2023</t>
  </si>
  <si>
    <t>CXCA6-01</t>
  </si>
  <si>
    <t>SUBSTITUIÇÃO DA CHAVE SECCIONADORA CXSB6-03 POR FIM DE VIDA ÚTIL.</t>
  </si>
  <si>
    <t>0006910/2023</t>
  </si>
  <si>
    <t>CXSB6-03</t>
  </si>
  <si>
    <t>SUBSTITUIÇÃO DA CHAVE SECCIONADORA CXSD6-05.</t>
  </si>
  <si>
    <t>0006911/2023</t>
  </si>
  <si>
    <t>CXSD6-05</t>
  </si>
  <si>
    <t>SUBSTITUIÇÃO DA CHAVE SECCIONADORA CXSD6-06.</t>
  </si>
  <si>
    <t>0006912/2023</t>
  </si>
  <si>
    <t>CXSD6-06</t>
  </si>
  <si>
    <t>SUBSTITUIÇÃO DO PAINEL CC1 - 125VCC</t>
  </si>
  <si>
    <t>0006913/2023</t>
  </si>
  <si>
    <t>SUBSTITUIÇÃO DO PAINEL CC2 - 125VCC</t>
  </si>
  <si>
    <t>0006914/2023</t>
  </si>
  <si>
    <t>SUBSTITUIÇÃO DA CHAVE SECCIONADORA CXSR6-01</t>
  </si>
  <si>
    <t>0006915/2023</t>
  </si>
  <si>
    <t>CXSR6-01</t>
  </si>
  <si>
    <t>SUBSTITUIÇÃO DO PAINEL CENTRO DE CARGA N.1 SETOR 345KV - 125VCC</t>
  </si>
  <si>
    <t>0006916/2023</t>
  </si>
  <si>
    <t>PAINEL CENTRO DE CARGA N.1 SETOR 345KV</t>
  </si>
  <si>
    <t>SUBSTITUIÇÃO DA CHAVE SECCIONADORA CXSY6-02</t>
  </si>
  <si>
    <t>0006917/2023</t>
  </si>
  <si>
    <t>CXSY6-02</t>
  </si>
  <si>
    <t>SUBSTITUIÇÃO DO PAINEL CC1-A - 125VCC</t>
  </si>
  <si>
    <t>0006918/2023</t>
  </si>
  <si>
    <t>CC1-A</t>
  </si>
  <si>
    <t>SUBSTITUIÇÃO DO PAINEL CC2-B - 125VCC</t>
  </si>
  <si>
    <t>0006921/2023</t>
  </si>
  <si>
    <t>CC2-B</t>
  </si>
  <si>
    <t>SUBSTITUIÇÃO DO DISJUNTOR CXDJ6-02 DA LINHA COXIPÓ-RONDONÓPOLIS 230KV C1.</t>
  </si>
  <si>
    <t>0006923/2023</t>
  </si>
  <si>
    <t>CXDJ6-02</t>
  </si>
  <si>
    <t>SUBSTITUIÇÃO DO PAINEL CENTRO DE CARGA N.2 SETOR 230KV - 125VCC</t>
  </si>
  <si>
    <t>0006925/2023</t>
  </si>
  <si>
    <t>PAINEL CENTRO DE CARGA N.2 SETOR 230KV</t>
  </si>
  <si>
    <t>SUBSTITUIÇÃO DO PAINEL CC2.1 - SALA DE CONTROLE - 125VCC</t>
  </si>
  <si>
    <t>0006929/2023</t>
  </si>
  <si>
    <t>CC2.1</t>
  </si>
  <si>
    <t>SUBSTITUIÇÃO DO PAINEL CC1.1 - SALA DE CONTROLE - 125VCC</t>
  </si>
  <si>
    <t>0006933/2023</t>
  </si>
  <si>
    <t>CC1.1</t>
  </si>
  <si>
    <t>SUBSTITUIÇÃO DO PAINEL CENTRO DE CARGA N.2 SETOR 345KV - 125VCC</t>
  </si>
  <si>
    <t>0006939/2023</t>
  </si>
  <si>
    <t>PAINEL CENTRO DE CARGA N.2 SETOR 345KV</t>
  </si>
  <si>
    <t>Substituição do Sistema de Proteção Controle e Supervisão da linha Coxipó - Rondonópolis C1 e do reator número 1 da SE Coxipó (CXRE6-01), contemplando as cadeias principal e alternada.</t>
  </si>
  <si>
    <t>0006982/2023</t>
  </si>
  <si>
    <t>N-S-MTCX-RPCXLT601-CXRE601-CXSPR01</t>
  </si>
  <si>
    <t>SUBSTITUÇÃO DA CHAVE DE ATERRAMENTO CXCA6-02</t>
  </si>
  <si>
    <t>0006991/2023</t>
  </si>
  <si>
    <t>CXCA6-02</t>
  </si>
  <si>
    <t>SUBSTITUIÇÃO DA CHAVE SECCIONADOR CXSY6-04</t>
  </si>
  <si>
    <t>0006992/2023</t>
  </si>
  <si>
    <t>CXSY6-04</t>
  </si>
  <si>
    <t>SUBSTITUIÇÃO DA CHAVE SECCIONADORA CXSD6-09</t>
  </si>
  <si>
    <t>0006993/2023</t>
  </si>
  <si>
    <t>CXSD6-09</t>
  </si>
  <si>
    <t>SUBSTITUIÇÃO DA CHAVE SECCIONADORA CXSR6-02</t>
  </si>
  <si>
    <t>0006994/2023</t>
  </si>
  <si>
    <t>CXSR6-02</t>
  </si>
  <si>
    <t>SUBSTITUIÇÃO DO DISJUNTOR CXDJ6-04 POR FINAL DE VIDA ÚTIL CONTÁBIL.</t>
  </si>
  <si>
    <t>0006995/2023</t>
  </si>
  <si>
    <t>CXDJ6-04</t>
  </si>
  <si>
    <t>SUBSTITUIÇÃO DO PARA-RAIO FASE A DA EL DA RPCX-LT602 NA SE COXIPÓ.</t>
  </si>
  <si>
    <t>0006996/2023</t>
  </si>
  <si>
    <t>N-S-MTCX-RPCXLT602-ELCX-CXPR601A</t>
  </si>
  <si>
    <t>SUBSTITUIÇÃO DO PARA-RAIO FASE B DA EL DA RPCX-LT602 NA SE COXIPÓ.</t>
  </si>
  <si>
    <t>0006997/2023</t>
  </si>
  <si>
    <t>N-S-MTCX-RPCXLT602-ELCX-CXPR601B</t>
  </si>
  <si>
    <t>Substituição do Sistema de Proteção Controle e Supervisão da linha Coxipó-Rondonópolis C2 (CXRP-LT6-02) e do Reator número 2 da SE Coxipó (CXRE6-02), contemplando as cadeias principal e alternada.</t>
  </si>
  <si>
    <t>0006999/2023</t>
  </si>
  <si>
    <t>N-S-MTCX-RPCXLT602-ELCX-CXSPR01</t>
  </si>
  <si>
    <t>SUBTITUIÇÃO DA CHAVE SECCIONADORA CXSD6-10</t>
  </si>
  <si>
    <t>0007000/2023</t>
  </si>
  <si>
    <t>CXSD6-10</t>
  </si>
  <si>
    <t>Substituição do Sistema de Proteção Controle e Supervisão da linha Coxipó-Rondonópolis C1, contemplando as cadeias principal e alternada.</t>
  </si>
  <si>
    <t>0007001/2023</t>
  </si>
  <si>
    <t>N-S-MTRP-RPCXLT601-ELRP-RPSPRLT</t>
  </si>
  <si>
    <t>Substituição do Sistema de Proteção Controle e Supervisão da linha Coxipó-Rondonópolis C2, contemplando as cadeias principal e alternada.</t>
  </si>
  <si>
    <t>0007002/2023</t>
  </si>
  <si>
    <t>N-S-MTRP-RPCXLT602-ELRP-RPSPRLT</t>
  </si>
  <si>
    <t>SUBSTITUIÇÃO DO MÓDULO DE CONEXÃO DO BANCO DE CAPACITORES 13.8KV NÚMERO 1 DE RONDONÓPOLIS.</t>
  </si>
  <si>
    <t>0007003/2023</t>
  </si>
  <si>
    <t>N-S-MTRP-BC201-MC013</t>
  </si>
  <si>
    <t>SUBSTITUIÇÃO DO MÓDULO DE CONEXÃO DO BANCO DE CAPACITORES 13.8KV NÚMERO 3 DE RONDONÓPOLIS.</t>
  </si>
  <si>
    <t>0007005/2023</t>
  </si>
  <si>
    <t>N-S-MTRP-BC203-MC013</t>
  </si>
  <si>
    <t>Substituição dos sistemas de proteção da LT 69 kV BARRO ALTO  DIST1 (Nome Furnas: LIBRBT)</t>
  </si>
  <si>
    <t>LT 69 kV BARRO ALTO  DIST1</t>
  </si>
  <si>
    <t>0007041/2023</t>
  </si>
  <si>
    <t>PROTEÇÃO - LT 69 kV BARRO ALTO  DIST1 (LIBRBT)</t>
  </si>
  <si>
    <t>Substituição do registrador de perturbações digital da  LT 69 kV BARRO ALTO  DIST1 (Nome Furnas: LIBRBT)</t>
  </si>
  <si>
    <t>LT 69 kV BARRO ALTO DIST1</t>
  </si>
  <si>
    <t>0007042/2023</t>
  </si>
  <si>
    <t>RDP - LT 69 kV BARRO ALTO  DIST1 (Nome Furnas: LIBRBT)</t>
  </si>
  <si>
    <t>Substituição dos sistemas de proteção da LT 69 kV BARRO ALTO  DIST2 (Nome Furnas: LIGNBT)</t>
  </si>
  <si>
    <t>LT 69 kV BARRO ALTO DIST2</t>
  </si>
  <si>
    <t>0007043/2023</t>
  </si>
  <si>
    <t>PROTEÇÃO - LT 69 kV BARRO ALTO  DIST2 (LIGNBT)</t>
  </si>
  <si>
    <t>Substituição do registrador de perturbações digital da  LT 69 kV BARRO ALTO  DIST2 (Nome Furnas: LIGNBT)</t>
  </si>
  <si>
    <t>0007044/2023</t>
  </si>
  <si>
    <t>RDP - LT 69 kV BARRO ALTO  DIST2 (LIGNBT)</t>
  </si>
  <si>
    <t>Substituição dos sistemas de proteção da LT 69 kV BARRO ALTO  DIST3 (Nome Furnas: LIPABT)</t>
  </si>
  <si>
    <t>LT 69 kV BARRO ALTO DIST3</t>
  </si>
  <si>
    <t>0007045/2023</t>
  </si>
  <si>
    <t>PROTEÇÃO - LT 69 kV BARRO ALTO  DIST3 (LIPABT)</t>
  </si>
  <si>
    <t>Substituição dos sistemas de proteção das BR5A e BR5B (Barras de 69 kV) e da proteção de falha dos disjuntores DJ5528, DJ5518, DJ5538, DJ508, DJ518, DJ528, DJ538.</t>
  </si>
  <si>
    <t>0007864/2023</t>
  </si>
  <si>
    <t>PROTEÇÃO - BR5A e BR5B (Barras de 69 kV)</t>
  </si>
  <si>
    <t>Substituição dos sistemas de proteção do BC 230 kV 27 Mvar BARRO ALTO BC1 GO</t>
  </si>
  <si>
    <t>0007053/2023</t>
  </si>
  <si>
    <t>PROTEÇÃO - BC 230 kV 27 Mvar BARRO ALTO BC1 GO</t>
  </si>
  <si>
    <t>Substituição dos sistemas de proteção do TR 230/69 kV BARRO ALTO TR1 GO</t>
  </si>
  <si>
    <t>0007056/2023</t>
  </si>
  <si>
    <t>PROTEÇÃO - TR 230/69 kV BARRO ALTO TR1 GO</t>
  </si>
  <si>
    <t>GPEXPAN</t>
  </si>
  <si>
    <t>Instalação de 01 (um) Transformador de Serviço Auxiliar, 13,8 kV, potência 225 kVA, posição 01T2 na SE GPX, incluindo cabeamentos associados.</t>
  </si>
  <si>
    <t>MDL GERACAO EQUIVALENTE A MG EM EOL GPEXPAN (GPX)</t>
  </si>
  <si>
    <t>0007062/2023</t>
  </si>
  <si>
    <t>Substituição do registrador de perturbações digital da  LT 69 kV BARRO ALTO  DIST3 (Nome Furnas: LIPABT)</t>
  </si>
  <si>
    <t>0007063/2023</t>
  </si>
  <si>
    <t>RDP - LT 69 kV BARRO ALTO  DIST3 (LIPABT)</t>
  </si>
  <si>
    <t>Substituição de 01 (um) banco de baterias 700A4 de 250 Ah 48 Vcc da Subestação RLD.</t>
  </si>
  <si>
    <t>0007064/2023</t>
  </si>
  <si>
    <t>11332682</t>
  </si>
  <si>
    <t>Substituição do registrador de perturbações digital das BR5A e BR5B (Barras de 69 kV)</t>
  </si>
  <si>
    <t>0007866/2023</t>
  </si>
  <si>
    <t>RDP - BR5A e BR5B (Barras de 69 kV)</t>
  </si>
  <si>
    <t>Substituição de 01 (um) Retificador de serviço auxiliar posição operacional 400R2 440 Vac 125 Vcc da subestação SJI.</t>
  </si>
  <si>
    <t>0007066/2023</t>
  </si>
  <si>
    <t>11455611</t>
  </si>
  <si>
    <t>0007069/2023</t>
  </si>
  <si>
    <t>SUBSTITUIÇÃO DO GRUPO MOTOR GERADOR DIESEL DE EMERGÊNCIA DA SUBESTAÇÃO DE 180 KVA / 380V</t>
  </si>
  <si>
    <t>0007178/2023</t>
  </si>
  <si>
    <t>SUBSTITUIÇÃO DO TRANSFORMADOR SATRTRE2 - 380/220-127V</t>
  </si>
  <si>
    <t>0007179/2023</t>
  </si>
  <si>
    <t>SATRTRE2</t>
  </si>
  <si>
    <t>SUBSTITUIÇÃO DO TRANSFORMADOR AUXILIAR DA CASA DE MANUTENÇÃO - 13,8KV/220V</t>
  </si>
  <si>
    <t>0007180/2023</t>
  </si>
  <si>
    <t>TR CASA DE MANUTENÇÃO</t>
  </si>
  <si>
    <t>SUBSTITUIÇÃO DO TRANSFORMADOR AUXILIAR DA CASA DE BOMBAS - 13,8KV/220V</t>
  </si>
  <si>
    <t>0007181/2023</t>
  </si>
  <si>
    <t>TR CASA DE BOMBAS</t>
  </si>
  <si>
    <t>SUBSTITUIÇÃO DO TRANSFORMADOR SATRTRN1 - 380/220-127V</t>
  </si>
  <si>
    <t>0007182/2023</t>
  </si>
  <si>
    <t>SATRTRN1</t>
  </si>
  <si>
    <t>SUBSTITUIÇÃO DO TRANSFORMADOR TR01 - 13,8KV/380-220V</t>
  </si>
  <si>
    <t>0007183/2023</t>
  </si>
  <si>
    <t>SUBSTITUIÇÃO DO TRANSFORMADOR TR02  - 13,8KV/380-220V</t>
  </si>
  <si>
    <t>0007184/2023</t>
  </si>
  <si>
    <t>SUBSTITUIÇÃO DOS SECCIONADORES 13,8KV (SC2211, SC2001, SC2213, SC2113, SC2111, SC2003, SC2007, SC2011 E SC2013)</t>
  </si>
  <si>
    <t>0007187/2023</t>
  </si>
  <si>
    <t>SECC 13,8KV</t>
  </si>
  <si>
    <t>SUBSTITUIÇÃO DO PAINEL CSA-1 - 380V</t>
  </si>
  <si>
    <t>0007188/2023</t>
  </si>
  <si>
    <t>CSA-1</t>
  </si>
  <si>
    <t>SUBSTITUIÇÃO DO PAINEL CSA-1A - 380V</t>
  </si>
  <si>
    <t>0007190/2023</t>
  </si>
  <si>
    <t>CSA-1A</t>
  </si>
  <si>
    <t>SUBSTITUIÇÃO DO PAINEL PDN - 220V</t>
  </si>
  <si>
    <t>0007191/2023</t>
  </si>
  <si>
    <t>PDN</t>
  </si>
  <si>
    <t>SUBSTITUIÇÃO DO PAINEL PDE - 220V</t>
  </si>
  <si>
    <t>0007192/2023</t>
  </si>
  <si>
    <t>PDE</t>
  </si>
  <si>
    <t>SUBSTITUIÇÃO DO PAINEL PSA - 220V</t>
  </si>
  <si>
    <t>0007194/2023</t>
  </si>
  <si>
    <t>PSA</t>
  </si>
  <si>
    <t>SUBSTITUIÇÃO DO PAINEL PSA CC - 125VCC</t>
  </si>
  <si>
    <t>0007195/2023</t>
  </si>
  <si>
    <t>PSA CC</t>
  </si>
  <si>
    <t>0007198/2023</t>
  </si>
  <si>
    <t>SUBSTITUIÇÃO DO RETIFICADOR A - 380V</t>
  </si>
  <si>
    <t>0007199/2023</t>
  </si>
  <si>
    <t>RFA</t>
  </si>
  <si>
    <t>SUBSTITUIÇÃO DO RETIFICADOR B - 380V</t>
  </si>
  <si>
    <t>0007202/2023</t>
  </si>
  <si>
    <t>RFB</t>
  </si>
  <si>
    <t>LT 230 kV J.LACERDA-B /SIDEROPOL.ESU C-1 SC</t>
  </si>
  <si>
    <t>0007216/2023</t>
  </si>
  <si>
    <t>Substituição do Transformador de corrente de 230 kV  fase "B"  Vão C SECÇÃO X - (VCDJ6 28) - VCTF6 02</t>
  </si>
  <si>
    <t>0007224/2023</t>
  </si>
  <si>
    <t>N-S-PAVC-CS202-MC230-VCTC601 FB</t>
  </si>
  <si>
    <t>Substituição do Transformador de corrente de 230 kV  fase "A"  Vão C SECÇÃO X - (VCDJ6 28) - VCTF6 02</t>
  </si>
  <si>
    <t>0007233/2023</t>
  </si>
  <si>
    <t>N-S-PAVC-CS202-MC230-VCTC601 FA</t>
  </si>
  <si>
    <t>TR 230/69 kV SIDEROPOL.ESU TR3 SC</t>
  </si>
  <si>
    <t>0007246/2023</t>
  </si>
  <si>
    <t>CS811</t>
  </si>
  <si>
    <t>Substituição do Transformador de corrente de 230 kV  fase "V"  Vão A1 SECÇÃO Y-2 - (VCDJ6 38)</t>
  </si>
  <si>
    <t>0007250/2023</t>
  </si>
  <si>
    <t>N-S-PAVC-MG701-IB230-DJ638-VCTC602 FV</t>
  </si>
  <si>
    <t>0007255/2023</t>
  </si>
  <si>
    <t>CS813</t>
  </si>
  <si>
    <t>Substituição do Transformador de corrente de 230 kV  fase "B"  Vão A1 SECÇÃO Y-2 - (VCDJ6 38)</t>
  </si>
  <si>
    <t>0007264/2023</t>
  </si>
  <si>
    <t>N-S-PAVC-MG701-IB230-DJ638-VCTC602 FB</t>
  </si>
  <si>
    <t>0007273/2023</t>
  </si>
  <si>
    <t>Sistema de Monitoramento</t>
  </si>
  <si>
    <t>Substituição do Transformador de corrente de 230 kV  fase "A"  Vão A1 SECÇÃO Y-2 - (VCDJ6 38)</t>
  </si>
  <si>
    <t>0007276/2023</t>
  </si>
  <si>
    <t>N-S-PAVC-MG701-IB230-DJ638-VCTC602 FA</t>
  </si>
  <si>
    <t>TR 230/138 kV XANXERE ESU TR2 SC</t>
  </si>
  <si>
    <t>0007281/2023</t>
  </si>
  <si>
    <t>0007288/2023</t>
  </si>
  <si>
    <t>0007297/2023</t>
  </si>
  <si>
    <t>Substituição do Transformador de corrente de 230 kV  fase "V"  Vão EX -UGMT LI6 02</t>
  </si>
  <si>
    <t>0007298/2023</t>
  </si>
  <si>
    <t>N-S-PAUG-UGMMLT602-ELUG-UGTC601 FV</t>
  </si>
  <si>
    <t>0007300/2023</t>
  </si>
  <si>
    <t>TR 230/138 kV BIGUACU TR5 SC</t>
  </si>
  <si>
    <t>0007303/2023</t>
  </si>
  <si>
    <t>TR 230/138 kV BIGUACU TR6 SC</t>
  </si>
  <si>
    <t>0007308/2023</t>
  </si>
  <si>
    <t>0007312/2023</t>
  </si>
  <si>
    <t>CUB1 / CUB2 / CUB3 / CUB4 / CUB5</t>
  </si>
  <si>
    <t>Substituição do Transformador de corrente de 230 kV  fase "B"  Vão EX -UGMT LI6 02</t>
  </si>
  <si>
    <t>LT 230 kV MARITUBA / UTINGA C 2 PA</t>
  </si>
  <si>
    <t>0007317/2023</t>
  </si>
  <si>
    <t>N-S-PAUG-UGMMLT602-ELUG-UGTC601 FB</t>
  </si>
  <si>
    <t>0007322/2023</t>
  </si>
  <si>
    <t>Substituição de 132 Cadeias de Isoladores na LT 230 kV Curitiba - São Mateus do Sul C-1, referentes ao trecho da linha entre a Torre 492 e a Torre 533.</t>
  </si>
  <si>
    <t>0007323/2023</t>
  </si>
  <si>
    <t>Cadeia de Isoladores</t>
  </si>
  <si>
    <t>MG MARMELEIRO 2 / CCO-2012-020 - RB</t>
  </si>
  <si>
    <t>0007331/2023</t>
  </si>
  <si>
    <t>SK01A / SK02A / SK03A / SK04A / SK01B / SK02B / SK03B / SK06A / SK07A / SK08A</t>
  </si>
  <si>
    <t>S V PALMAR 2</t>
  </si>
  <si>
    <t>MG S V PALMAR 2 / CCO-2012-020 - RB</t>
  </si>
  <si>
    <t>0007341/2023</t>
  </si>
  <si>
    <t>CUB1 / CUB2 / CUB3 / CUB4</t>
  </si>
  <si>
    <t>Substituição de fundações em grelha metálica de cinco torres da LT 525 kV Areia - Curitiba C-1. As torres envolvidas são as de número de operação: 200, 279, 280, 288 e 384.</t>
  </si>
  <si>
    <t>0007345/2023</t>
  </si>
  <si>
    <t>Substituição de cabos contrapesos (aterramento) de cinco torres da LT 525 kV Areia - Curitiba C-1. As torres envolvidas são as de número de operação: 200, 279, 280, 288 e 384.</t>
  </si>
  <si>
    <t>0007354/2023</t>
  </si>
  <si>
    <t>0007357/2023</t>
  </si>
  <si>
    <t>CUB1 / CUB2</t>
  </si>
  <si>
    <t>Substituição de fundação em grelha metálica de uma torre da LT 525 kV Areia - Bateias C-1. A torre envolvida é a de número de operação: 200.</t>
  </si>
  <si>
    <t>0007372/2023</t>
  </si>
  <si>
    <t>Substituição da UTR REDAC-70 que supervisiona o Banco de Autotrafos (AT04) TR 345/230 kV BANDEIRANTES TR4 GO</t>
  </si>
  <si>
    <t>0007377/2023</t>
  </si>
  <si>
    <t>UTR (AT04) TR 345/230 kV BANDEIRANTES TR4 GO</t>
  </si>
  <si>
    <t>Substituição de cabos contrapesos (aterramento) de uma torre da LT 525 kV Areia - Bateias C-1. A torre envolvida é a de número de operação: 200.</t>
  </si>
  <si>
    <t>0007381/2023</t>
  </si>
  <si>
    <t>0007388/2023</t>
  </si>
  <si>
    <t>DJ902</t>
  </si>
  <si>
    <t>0007395/2023</t>
  </si>
  <si>
    <t>DJ592</t>
  </si>
  <si>
    <t>0007408/2023</t>
  </si>
  <si>
    <t>Substituição de Grupo Motor-Gerador, 480 Vca, e cabos associados, referente aos Serviços Auxiliares da SE Anastácio.</t>
  </si>
  <si>
    <t>0007415/2023</t>
  </si>
  <si>
    <t>Substituição de três torres metálicas completas da LT 230 kV Curitiba - Joinville C-1. As torres envolvidas são as de número de operação: 64, 94 e 117.</t>
  </si>
  <si>
    <t>0007417/2023</t>
  </si>
  <si>
    <t>Substituição das UAC16 e UAC17 - SINOCON que supervisionam o Banco de Autotrafos (AT03) TR 345/230 kV BANDEIRANTES TR3 GO</t>
  </si>
  <si>
    <t>0007420/2023</t>
  </si>
  <si>
    <t>UAC16 e UAC17 - SINOCON (AT03) TR 345/230 kV BANDEIRANTES TR3 GO</t>
  </si>
  <si>
    <t>Substituição das UAC09 e UAC10 - SINOCON que supervisionam o Banco de Autotrafos (AT02) TR 345/230 kV BANDEIRANTES TR2 GO</t>
  </si>
  <si>
    <t>0007429/2023</t>
  </si>
  <si>
    <t>UAC09 e UAC10 - SINOCON (AT02) TR 345/230 kV BANDEIRANTES TR2 GO</t>
  </si>
  <si>
    <t>Substituição das UAC06 - SINOCON que supervisiona o Banco de Capacitores (BC01) BC 345 kV 91,5 MVAr BANDEIRANTES BC1 GO</t>
  </si>
  <si>
    <t>0007438/2023</t>
  </si>
  <si>
    <t>UAC06 - SINOCON (BC01) BC 345 kV 91,5 MVAr BANDEIRANTES BC1 GO</t>
  </si>
  <si>
    <t>Substituição de três torres metálicas completas da LT 230 kV J.Lacerda B - Siderópolis C-1. As torres envolvidas são as de número de operação: 27, 28 e 43.</t>
  </si>
  <si>
    <t>0007455/2023</t>
  </si>
  <si>
    <t>Substituição das UAC12 - SINOCON que supervisiona a Linha de Transmissão (LIXABD2) LT 230 kV XAVANTES /BANDEIRANTES C-2 GO</t>
  </si>
  <si>
    <t>0007459/2023</t>
  </si>
  <si>
    <t>UAC12 - SINOCON (LIXABD2) LT 230 kV XAVANTES /BANDEIRANTES C-2 GO</t>
  </si>
  <si>
    <t>Substituição de cabos contrapesos (aterramento) de três torres da LT 230 kV Curitiba - Joinville C-1. As torres envolvidas são as de número de operação: 64, 94 e 117.</t>
  </si>
  <si>
    <t>0007466/2023</t>
  </si>
  <si>
    <t>Substituição das UAC13 - SINOCON que supervisiona a Linha de Transmissão (LIAHBD1) LT 230 kV BANDEIRANTES /ANHANGUERA GO C-1 GO</t>
  </si>
  <si>
    <t>0007467/2023</t>
  </si>
  <si>
    <t>UAC13 - SINOCON (LIAHBD1) LT 230 kV BANDEIRANTES /ANHANGUERA GO C-1 GO</t>
  </si>
  <si>
    <t>Substituição de Disjuntor tripolar 13,8 kV, DJ52/19, referente aos Bancos de Capacitores (BC3/BC4) da SE Caxias 5. Associado à obra, são esperadas substituições/adaptações de fundações e suportes, cabos de controle e potência, barramento, conectores e conexão de aterramento.</t>
  </si>
  <si>
    <t>0007469/2023</t>
  </si>
  <si>
    <t>DJ52/19</t>
  </si>
  <si>
    <t>Substituição das UAC14 - SINOCON que supervisiona a Linha de Transmissão (LIAHBD2) LT 230 kV BANDEIRANTES /ANHANGUERA GO C-2 GO</t>
  </si>
  <si>
    <t>0007472/2023</t>
  </si>
  <si>
    <t>UAC14 - SINOCON (LIAHBD2) LT 230 kV BANDEIRANTES /ANHANGUERA GO C-2 GO</t>
  </si>
  <si>
    <t>Substituição de cabos contrapesos (aterramento) de três torres da LT 230 kV J.Lacerda B - Siderópolis C-1. As torres envolvidas são as de número de operação: 27, 28 e 43.</t>
  </si>
  <si>
    <t>0007474/2023</t>
  </si>
  <si>
    <t>Substituição de 9 Cadeias de Isoladores na LT 230 kV Curitiba - Joinville C-1, referentes às Torres 64, 94 e 117.</t>
  </si>
  <si>
    <t>0007487/2023</t>
  </si>
  <si>
    <t>0007510/2023</t>
  </si>
  <si>
    <t>Substituição de Transformadores de Corrente 13,8 kV, referentes aos Bancos de Capacitores (BC1/BC2) da SE Caxias 5, TC DJ52/21, Fases A, B, C. Associado à obra, são esperadas substituições/adaptações de fundações e suportes, caixa de junção, cabos de controle/potência, barramento, conectores e conexão de aterramento.</t>
  </si>
  <si>
    <t>0007493/2023</t>
  </si>
  <si>
    <t>TC DJ52/21</t>
  </si>
  <si>
    <t>Substituição das UACs 01 e 02 - SINOCON de supervisão do Banco deTrafos (TR01) TR 230/69 kV BARRO ALTO TR1 GO</t>
  </si>
  <si>
    <t>0007495/2023</t>
  </si>
  <si>
    <t>UACs 01 e 02 - SINOCON (TR01) TR 230/69 kV BARRO ALTO TR1 GO</t>
  </si>
  <si>
    <t>Substituição de Transformadores de Corrente 13,8 kV, referentes aos Bancos de Capacitores (BC3/BC4) da SE Caxias 5, TC DJ52/19, Fases A, B, C. Associado à obra, são esperadas substituições/adaptações de fundações e suportes, caixa de junção, cabos de controle/potência, barramento, conectores e conexão de aterramento.</t>
  </si>
  <si>
    <t>0007496/2023</t>
  </si>
  <si>
    <t>TC DJ52/19</t>
  </si>
  <si>
    <t>Substituição de Chaves Seccionadoras tripolares 13,8 kV, CS29/124, CS29/126 e CS29/128, referentes aos Bancos de Capacitores (BC1/BC2) da SE Caxias 5. Associado à obra são esperadas substituições/adaptações de fundações, suportes, cabos de controle/potência, barramento, conectores e conexão de aterramento.</t>
  </si>
  <si>
    <t>0007501/2023</t>
  </si>
  <si>
    <t>CS29/124, CS29/126, CS29/128</t>
  </si>
  <si>
    <t>Substituição de Retificador (Carregador de Baterias) 125 Vcc - SACC125-RET1, da SE Caxias 5.</t>
  </si>
  <si>
    <t>0007502/2023</t>
  </si>
  <si>
    <t>Substituição da UAC03 - SINOCON de supervisão do Banco de Capacitores (BC01) BC 230 kV 27 Mvar BARRO ALTO BC1 GO</t>
  </si>
  <si>
    <t>0007504/2023</t>
  </si>
  <si>
    <t>UAC03 - SINOCON (BC01) BC 230 kV 27 Mvar BARRO ALTO BC1 GO</t>
  </si>
  <si>
    <t>Substituição de 9 Cadeias de Isoladores na LT 230 kV J.Lacerda B - Siderópolis C-1, referentes às Torres 27, 28 e 43.</t>
  </si>
  <si>
    <t>0007507/2023</t>
  </si>
  <si>
    <t>Substituição de Chaves Seccionadoras tripolares 13,8 kV, CS29/118, CS29/120 e CS29/122, referentes aos Bancos de Capacitores (BC3/BC4) da SE Caxias 5. Associado à obra são esperadas substituições/adaptações de fundações, suportes, cabos de controle/potência, barramento, conectores e conexão de aterramento.</t>
  </si>
  <si>
    <t>0007512/2023</t>
  </si>
  <si>
    <t>CS29/118, CS29/120, CS29/122</t>
  </si>
  <si>
    <t>Substituição de Retificador (Carregador de Baterias) 125 Vcc - SACC125-RET2, da SE Caxias 5.</t>
  </si>
  <si>
    <t>0007517/2023</t>
  </si>
  <si>
    <t>Substituição de partes aéreas (somente Estrutura) de uma torre da LT 525 kV Areia - Campos Novos C-1. A torre envolvida é a de número de operação: 239.</t>
  </si>
  <si>
    <t>0007524/2023</t>
  </si>
  <si>
    <t>Substituição da UAC09 - SINOCON de supervisão da Linha de Transmissão (LIBRBT) Barro Alto (ENEL) - Barro Alto (FURNAS) 69 kV.</t>
  </si>
  <si>
    <t>0007529/2023</t>
  </si>
  <si>
    <t>UAC09 - SINOCON (LIBRBT) Barro Alto (ENEL) - Barro Alto (FURNAS) 69 kV.</t>
  </si>
  <si>
    <t>Substituição da UAC11 - SINOCON de supervisão da Linha de Transmissão (LIGNBT) Goianésia - Barro Alto  69 kV.</t>
  </si>
  <si>
    <t>0007543/2023</t>
  </si>
  <si>
    <t>UAC11 - SINOCON (LIGNBT) Goianésia - Barro Alto  69 kV</t>
  </si>
  <si>
    <t>Substituição da UAC10 - SINOCON de supervisão da Linha de Transmissão (LIPABT) Padre Bernardo - Barro Alto  69 kV.</t>
  </si>
  <si>
    <t>0007545/2023</t>
  </si>
  <si>
    <t>UAC10 - SINOCON (LIPABT) Padre Bernardo - Barro Alto  69 kV</t>
  </si>
  <si>
    <t>Substituição da UAC12 - SINOCON de supervisão das Barras de 69kV (BR5A e BR5B) e do disjuntor de amarre (DJ508).</t>
  </si>
  <si>
    <t>0008295/2023</t>
  </si>
  <si>
    <t>UAC12 - SINOCON (BR5A e BR5B) e do disjuntor de amarre (DJ508)</t>
  </si>
  <si>
    <t>Substituir 01 cubículo 15 kV, 1250A - 40kA - 4 seções</t>
  </si>
  <si>
    <t>0007547/2023</t>
  </si>
  <si>
    <t>CUB. 15KV 4 SEÇÕES</t>
  </si>
  <si>
    <t>Substituir 01 cubículo 15 kV, 1250A - 40kA - 5 seções</t>
  </si>
  <si>
    <t>0007548/2023</t>
  </si>
  <si>
    <t>CUB. 15KV 5 SEÇÕES</t>
  </si>
  <si>
    <t>Substituir 01 transformador isolador 2MVA -13,8/13,8 kV</t>
  </si>
  <si>
    <t>0007550/2023</t>
  </si>
  <si>
    <t>TRAFO 01 ISOLADOR</t>
  </si>
  <si>
    <t>0007551/2023</t>
  </si>
  <si>
    <t>TRAFO 02 ISOLADOR</t>
  </si>
  <si>
    <t>Substituir 03 reguladores de tensão monofásicos, 13,8 kV, 239kVA</t>
  </si>
  <si>
    <t>0007552/2023</t>
  </si>
  <si>
    <t>TRAFO REGULADOR</t>
  </si>
  <si>
    <t>Substituir 01 Painel dual, 0,80m x 0,80m x 2,30m para CLP/botoeiras de comando, supervisão e alarme dos equipamentos de manobra dos serviços auxiliares</t>
  </si>
  <si>
    <t>0007554/2023</t>
  </si>
  <si>
    <t>PAINEL CLP SAUX</t>
  </si>
  <si>
    <t>Substituir 01 Painel dual, 0,80m x 0,80m x 2,30m para IHM/botoeiras de comando, supervisão e alarme dos equipamentos de manobra dos serviços auxiliares</t>
  </si>
  <si>
    <t>0007555/2023</t>
  </si>
  <si>
    <t>PAINEL IHM SAUX</t>
  </si>
  <si>
    <t>SUBSTITUIÇÃO DO CUBÍCULO DO DISJUNTOR DJ2016 - 13,8KV</t>
  </si>
  <si>
    <t>0007558/2023</t>
  </si>
  <si>
    <t>DJ2016</t>
  </si>
  <si>
    <t>Substituição de Reatores Limitadores de Corrente (RLC) 13,8 kV, referentes ao TF3 230/138 kV da SE Passo Fundo, Fases A, B e C.</t>
  </si>
  <si>
    <t>0007588/2023</t>
  </si>
  <si>
    <t>RE1/A, RE1/B, RE1/C</t>
  </si>
  <si>
    <t>Substituição de switch FSBD-D01P da Rede Operativa da subestação de Bandeirantes.</t>
  </si>
  <si>
    <t>0007595/2023</t>
  </si>
  <si>
    <t>FSBD-D01P</t>
  </si>
  <si>
    <t>LT 230 kV J.LACERDA-B / PALHOCA C-1 SC</t>
  </si>
  <si>
    <t>Substituição de partes aéreas (somente Estruturas) de três torres da LT 230 kV J.Lacerda-B - Palhoça C-1. As torres envolvidas são as de número de operação: 003, 004 e 006.</t>
  </si>
  <si>
    <t>0007596/2023</t>
  </si>
  <si>
    <t>Substituição de switch FSBD-D01S da Rede Operativa da subestação de Bandeirantes.</t>
  </si>
  <si>
    <t>0007597/2023</t>
  </si>
  <si>
    <t>FSBD-D01S</t>
  </si>
  <si>
    <t>Substituição de uma torre metálica completa da LT 230 kV Blumenau - Joinville Norte C-1. A torre envolvida é a de número de operação: 153.</t>
  </si>
  <si>
    <t>0007599/2023</t>
  </si>
  <si>
    <t>LT 230 kV GASPAR 2 /PALHOCA ESU C-1 SC</t>
  </si>
  <si>
    <t>Substituição de trecho da LT 230 kV Gaspar 2 - Palhoça C-1, envolvendo os vãos entre as Torres 90, 91 e 92. A obra consiste na revitalização de Estruturas, Cadeias de Isoladores, Condutores, Cabos Para-Raios, Sistema de Ateramento, Acesso e Faixa de Servidão.</t>
  </si>
  <si>
    <t>LT 230 kV GASPAR 2 / PALHOCA ESU C 1 SC</t>
  </si>
  <si>
    <t>0007602/2023</t>
  </si>
  <si>
    <t>Trecho de LT</t>
  </si>
  <si>
    <t>Substituição de cabos contrapesos (aterramento) de três torres da LT 230 kV J.Lacerda-B - Palhoça C-1. As torres envolvidas são as de número de operação: 003, 004 e 006.</t>
  </si>
  <si>
    <t>0007603/2023</t>
  </si>
  <si>
    <t>Substituição de Chaves Seccionadoras tripolares 13,8 kV, CS52/23 (à vácuo) e CS29/140, referentes ao Banco de Capacitores BC1 da SE Caxias 5. Associado à obra são esperadas substituições/adaptações de fundações, suportes, cabos de controle/potência, barramento, conectores e conexão de aterramento.</t>
  </si>
  <si>
    <t>0007608/2023</t>
  </si>
  <si>
    <t>CS52/23, CS29/140</t>
  </si>
  <si>
    <t>LT 230 kV BIGUACU /J.LACERDA-B C-1 SC</t>
  </si>
  <si>
    <t>Substituição de trecho da LT 230 kV J.Lacerda-B - Biguaçu C-1, envolvendo os vãos entre as Torres 241, 242 e 243. A obra consiste na revitalização de Estruturas, Cadeias de Isoladores, Condutores, Cabos Para-Raios, Sistema de Ateramento, Acesso e Faixa de Servidão.</t>
  </si>
  <si>
    <t>0007609/2023</t>
  </si>
  <si>
    <t>Substituição de barramento superior, incluindo cabos, cadeias e ferragens, bem como dos cabos, cadeias e fixações do sistema de proteção contra descargas atmosféricas (SPDA) do vão referente a LT 138 kV J.Lacerda-A - Imbituba C-1. Associado a obra são esperadas substituições/adaptações de estruturas de ancoragem dos barramentos, ¨pingados¨, conectores e conexão com aterramento.</t>
  </si>
  <si>
    <t>0007610/2023</t>
  </si>
  <si>
    <t>Barramento Superior de Vão</t>
  </si>
  <si>
    <t>Substituição de switch FSBD-A02P da Rede Operativa da subestação de Bandeirantes.</t>
  </si>
  <si>
    <t>0007611/2023</t>
  </si>
  <si>
    <t>FSBD-A</t>
  </si>
  <si>
    <t>Substituição de Retificador (Carregador de Baterias) 48 Vcc - SACC48-RET1, da SE Itá.</t>
  </si>
  <si>
    <t>0007613/2023</t>
  </si>
  <si>
    <t>SACC48-RET1</t>
  </si>
  <si>
    <t>Substituição de switch FSBD-A02S da Rede Operativa da subestação de Bandeirantes.</t>
  </si>
  <si>
    <t>0007614/2023</t>
  </si>
  <si>
    <t>FSBD-D02S</t>
  </si>
  <si>
    <t>Substituição de barramento superior, incluindo cabos, cadeias e ferragens, bem como dos cabos, cadeias e fixações do sistema de proteção contra descargas atmosféricas (SPDA) do vão referente a LT 138 kV J.Lacerda-A - UT J.Lacerda-A C-1. Associado a obra são esperadas substituições/adaptações de estruturas de ancoragem dos barramentos, ¨pingados¨, conectores e conexão com aterramento.</t>
  </si>
  <si>
    <t>LT 138 kV J.LACERDA-A / UT. J.LACERDA-A C-1 SC</t>
  </si>
  <si>
    <t>0007615/2023</t>
  </si>
  <si>
    <t>Substituição de Retificador (Carregador de Baterias) 48 Vcc - SACC48-RET2, da SE Itá.</t>
  </si>
  <si>
    <t>0007616/2023</t>
  </si>
  <si>
    <t>SACC48-RET2</t>
  </si>
  <si>
    <t>Substituição de Chaves Seccionadoras tripolares 13,8 kV, CS52/24 (à vácuo) e CS29/142, referentes ao Banco de Capacitores BC2 da SE Caxias 5. Associado à obra são esperadas substituições/adaptações de fundações, suportes, cabos de controle/potência, barramento, conectores e conexão de aterramento.</t>
  </si>
  <si>
    <t>0007617/2023</t>
  </si>
  <si>
    <t>CS52/24, CS29/142</t>
  </si>
  <si>
    <t>Substituição de barramento superior, incluindo cabos, cadeias e ferragens, bem como dos cabos, cadeias e fixações do sistema de proteção contra descargas atmosféricas (SPDA) do vão referente a LT 138 kV J.Lacerda-A - Bom Jardim da Serra C-1. Associado a obra são esperadas substituições/adaptações de estruturas de ancoragem dos barramentos, ¨pingados¨, conectores e conexão com aterramento.</t>
  </si>
  <si>
    <t>0007619/2023</t>
  </si>
  <si>
    <t>Substituição de switch FSBD-A03P da Rede Operativa da subestação de Bandeirantes.</t>
  </si>
  <si>
    <t>0007621/2023</t>
  </si>
  <si>
    <t>FSBD-A03P</t>
  </si>
  <si>
    <t>Substituição de switch FSBD-A03S da Rede Operativa da subestação de Bandeirantes.</t>
  </si>
  <si>
    <t>0007624/2023</t>
  </si>
  <si>
    <t>FSBD-A03S</t>
  </si>
  <si>
    <t>Substituição de Chaves Seccionadoras tripolares 13,8 kV, CS52/25 (à vácuo) e CS29/144, referentes ao Banco de Capacitores BC3 da SE Caxias 5. Associado à obra são esperadas substituições/adaptações de fundações, suportes, cabos de controle/potência, barramento, conectores e conexão de aterramento.</t>
  </si>
  <si>
    <t>0007627/2023</t>
  </si>
  <si>
    <t>CS52/25, CS29/144</t>
  </si>
  <si>
    <t>Substituição de Chaves Seccionadoras tripolares 13,8 kV, CS52/26 (à vácuo) e CS29/146, referentes ao Banco de Capacitores BC4 da SE Caxias 5. Associado à obra são esperadas substituições/adaptações de fundações, suportes, cabos de controle/potência, barramento, conectores e conexão de aterramento.</t>
  </si>
  <si>
    <t>0007632/2023</t>
  </si>
  <si>
    <t>CS52/26, CS29/146</t>
  </si>
  <si>
    <t>Substituição de para-raios 230 kV referente a LT Caxias 5 - Farroupilha C-1, Fases A, B e C. Associado a obra são esperadas substituições/adaptações de fundações, suportes, cabos de controle e potência, barramento, conectores e conexão do aterramento.</t>
  </si>
  <si>
    <t>LT 230 kV FARROUPILHA /CAXIAS SUL 5 C-1 RS</t>
  </si>
  <si>
    <t>0007638/2023</t>
  </si>
  <si>
    <t>PR LT FAR C-1</t>
  </si>
  <si>
    <t>Substituição de para-raios 230 kV referente ao TF 2 230/13,8 kV da SE Caxias 5, Fases A, B e C. Associado a obra são esperadas substituições/adaptações de fundações, suportes, cabos de controle e potência, barramento, conectores e conexão do aterramento.</t>
  </si>
  <si>
    <t>TR 230/13,8 kV CAXIAS SUL 5 TR2 RS</t>
  </si>
  <si>
    <t>0007641/2023</t>
  </si>
  <si>
    <t>Substituição de barramento superior, incluindo cabos, cadeias e ferragens, bem como dos cabos, cadeias e fixações do sistema de proteção contra descargas atmosféricas (SPDA) do vão referente ao Interligador de Barras (IB) 138 kV, DJ552. Associado a obra são esperadas substituições/adaptações de estruturas de ancoragem dos barramentos, ¨pingados¨, conectores e conexão com aterramento.</t>
  </si>
  <si>
    <t>0007644/2023</t>
  </si>
  <si>
    <t>Substituição de barramento superior, incluindo cabos, cadeias e ferragens, bem como dos cabos, cadeias e fixações do sistema de proteção contra descargas atmosféricas (SPDA) do vão referente a LT 138 kV J.Lacerda-A - UT J.Lacerda-A C-2. Associado a obra são esperadas substituições/adaptações de estruturas de ancoragem dos barramentos, ¨pingados¨, conectores e conexão com aterramento.</t>
  </si>
  <si>
    <t>LT 138 kV J.LACERDA-A / UT. J.LACERDA-A C-2 SC</t>
  </si>
  <si>
    <t>0007646/2023</t>
  </si>
  <si>
    <t>Substituição de barramento superior, incluindo cabos, cadeias e ferragens, bem como dos cabos, cadeias e fixações do sistema de proteção contra descargas atmosféricas (SPDA) do vão referente a LT 138 kV J.Lacerda-A - UT J.Lacerda-A C-3. Associado a obra são esperadas substituições/adaptações de estruturas de ancoragem dos barramentos, ¨pingados¨, conectores e conexão com aterramento.</t>
  </si>
  <si>
    <t>LT 138 kV J.LACERDA-A / UT. J.LACERDA-A C-3 SC</t>
  </si>
  <si>
    <t>0007649/2023</t>
  </si>
  <si>
    <t>Substituição de switch FSBT-D01P da Rede Operativa da subestação de Barro Alto.</t>
  </si>
  <si>
    <t>0007652/2023</t>
  </si>
  <si>
    <t>FSBT-D01P</t>
  </si>
  <si>
    <t>Substituição de switch FSBT-D01S da Rede Operativa da subestação de Barro Alto.</t>
  </si>
  <si>
    <t>0007655/2023</t>
  </si>
  <si>
    <t>FSBT-D01S</t>
  </si>
  <si>
    <t>Substituição de barramento superior, incluindo cabos, cadeias e ferragens, bem como dos cabos, cadeias e fixações do sistema de proteção contra descargas atmosféricas (SPDA) do vão referente ao TR8 138/69 kV, lado de 138 kV, da SE J.Lacerda-A. Associado a obra são esperadas substituições/adaptações de estruturas de ancoragem dos barramentos, ¨pingados¨, conectores e conexão com aterramento.</t>
  </si>
  <si>
    <t>TR 138/69 kV J.LACERDA-A TR8 SC</t>
  </si>
  <si>
    <t>0007656/2023</t>
  </si>
  <si>
    <t>Substituição de switch FSBT-A01P da Rede Operativa da subestação de Barro Alto.</t>
  </si>
  <si>
    <t>0007660/2023</t>
  </si>
  <si>
    <t>FSBT-A01P</t>
  </si>
  <si>
    <t>Substituição de para-raios 230 kV referente ao TF reserva 230/69 kV (TRR1) da SE Caxias 5. Associado a obra são esperadas substituições/adaptações de fundações, suportes, cabos de controle e potência, barramento, conectores e conexão do aterramento.</t>
  </si>
  <si>
    <t>TRR 230/69 kV CAXIAS SUL 5 TRR1 RS</t>
  </si>
  <si>
    <t>0007661/2023</t>
  </si>
  <si>
    <t>PR TRR1</t>
  </si>
  <si>
    <t>Substituição de barramento superior, incluindo cabos, cadeias e ferragens, bem como dos cabos, cadeias e fixações do sistema de proteção contra descargas atmosféricas (SPDA) do vão referente ao TR9 138/69 kV, lado de 138 kV, da SE J.Lacerda-A. Associado a obra são esperadas substituições/adaptações de estruturas de ancoragem dos barramentos, ¨pingados¨, conectores e conexão com aterramento.</t>
  </si>
  <si>
    <t>TR 138/69 kV J.LACERDA-A TR9 SC</t>
  </si>
  <si>
    <t>0007663/2023</t>
  </si>
  <si>
    <t>Substituição de switch FSBT-A01S da Rede Operativa da subestação de Barro Alto.</t>
  </si>
  <si>
    <t>0007664/2023</t>
  </si>
  <si>
    <t>FSBT-A01S</t>
  </si>
  <si>
    <t>Substituição de switch FSBT-A02P da Rede Operativa da subestação de Barro Alto.</t>
  </si>
  <si>
    <t>0007668/2023</t>
  </si>
  <si>
    <t>FSBT-A02P</t>
  </si>
  <si>
    <t>Substituição de barramento superior, incluindo cabos, cadeias e ferragens, bem como dos cabos, cadeias e fixações do sistema de proteção contra descargas atmosféricas (SPDA) do vão referente ao TR5 230/138 kV, lado de 138 kV, da SE J.Lacerda-A. Associado a obra são esperadas substituições/adaptações de estruturas de ancoragem dos barramentos, ¨pingados¨, conectores e conexão com aterramento.</t>
  </si>
  <si>
    <t>TR 230/138 kV J.LACERDA-A TR5 SC</t>
  </si>
  <si>
    <t>0007669/2023</t>
  </si>
  <si>
    <t>Substituição de switch FSBT-A02S da Rede Operativa da subestação de Barro Alto.</t>
  </si>
  <si>
    <t>0007670/2023</t>
  </si>
  <si>
    <t>FSBT-A02S</t>
  </si>
  <si>
    <t>Substituição de barramento superior, incluindo cabos, cadeias e ferragens, bem como dos cabos, cadeias e fixações do sistema de proteção contra descargas atmosféricas (SPDA) do vão referente ao TR7 230/138 kV, lado de 138 kV, da SE J.Lacerda-A. Associado a obra são esperadas substituições/adaptações de estruturas de ancoragem dos barramentos, ¨pingados¨, conectores e conexão com aterramento.</t>
  </si>
  <si>
    <t>TR 230/138 kV J.LACERDA-A TR7 SC</t>
  </si>
  <si>
    <t>0007673/2023</t>
  </si>
  <si>
    <t>BRAS. GERAL</t>
  </si>
  <si>
    <t>Serão substituídos 02 (dois) equipamentos de teleproteção analógica de fabricação SIEMENS, modelo SWT2000F6, números de série 03629(2) e 03629(1).</t>
  </si>
  <si>
    <t>0007674/2023</t>
  </si>
  <si>
    <t>Substituição de para-raios 69 kV referente ao TF 3 230/69 kV da SE Caxias 5, Fases A, B e C. Associado a obra são esperadas substituições/adaptações de fundações, suportes, cabos de controle e potência, barramento, conectores e conexão do aterramento.</t>
  </si>
  <si>
    <t>TR 230/69 kV CAXIAS SUL 5 TR3 RS</t>
  </si>
  <si>
    <t>0007675/2023</t>
  </si>
  <si>
    <t>Substituição de para-raios 230 kV referente a LT Farroupilha - Caxias C-2, Fases A, B e C. Associado a obra são esperadas substituições/adaptações de fundações, suportes, cabos de controle e potência, barramento, conectores e conexão do aterramento.</t>
  </si>
  <si>
    <t>LT 230 kV CAXIAS /FARROUPILHA C-2 RS</t>
  </si>
  <si>
    <t>0007680/2023</t>
  </si>
  <si>
    <t>PR LT CAX C-2</t>
  </si>
  <si>
    <t>Substituição de barramento superior, incluindo cabos, cadeias e ferragens, bem como dos cabos, cadeias e fixações do sistema de proteção contra descargas atmosféricas (SPDA) do vão referente a LT 230 kV J.Lacerda-A - UT J.Lacerda-A C-4. Associado a obra são esperadas substituições/adaptações de estruturas de ancoragem dos barramentos, ¨pingados¨, conectores e conexão com aterramento.</t>
  </si>
  <si>
    <t>LT 230 kV J.LACERDA-A / UT. J.LACERDA-A C-4 SC</t>
  </si>
  <si>
    <t>0007681/2023</t>
  </si>
  <si>
    <t>Substituição de para-raios 230 kV referente ao TF 1 230/69 kV da SE Farroupilha, Fases A, B e C. Associado a obra são esperadas substituições/adaptações de fundações, suportes, cabos de controle e potência, barramento, conectores e conexão do aterramento.</t>
  </si>
  <si>
    <t>TR 230/69 kV FARROUPILHA TR1 RS</t>
  </si>
  <si>
    <t>0007682/2023</t>
  </si>
  <si>
    <t>PR TR1</t>
  </si>
  <si>
    <t>Substituição de para-raios 230 kV referente ao TF 4 230/138 kV da SE Joinville, Fases A, B e C. Associado a obra são esperadas substituições/adaptações de fundações, suportes, cabos de controle e potência, barramento, conectores e conexão do aterramento.</t>
  </si>
  <si>
    <t>TR 230/138 kV JOINVILLE TR4 SC</t>
  </si>
  <si>
    <t>0007691/2023</t>
  </si>
  <si>
    <t>PR TR4</t>
  </si>
  <si>
    <t>0007700/2023</t>
  </si>
  <si>
    <t>PR LT SCR1 C-1</t>
  </si>
  <si>
    <t>Substituição do Transformador de corrente de 230 kV  fase "A"  Vão EX -UGMT LI6 02</t>
  </si>
  <si>
    <t>0007701/2023</t>
  </si>
  <si>
    <t>N-S-PAUG-UGMMLT602-ELUG-UGTC601 FA</t>
  </si>
  <si>
    <t>Substituição de barramento superior, incluindo cabos, cadeias e ferragens, bem como dos cabos, cadeias e fixações do sistema de proteção contra descargas atmosféricas (SPDA) do vão referente ao TR5 230/138 kV, lado de 230 kV, da SE J.Lacerda-A. Associado a obra são esperadas substituições/adaptações de estruturas de ancoragem dos barramentos, ¨pingados¨, conectores e conexão com aterramento.</t>
  </si>
  <si>
    <t>0007706/2023</t>
  </si>
  <si>
    <t>Substituição do Transformador de corrente de 230 kV  fase "V"  Vão FX -UGMT LI6 01</t>
  </si>
  <si>
    <t>LT 230 kV MARITUBA / UTINGA C 1 PA</t>
  </si>
  <si>
    <t>0007707/2023</t>
  </si>
  <si>
    <t>N-S-PAUG-UGMMLT601-ELUG-UGTC601 FV</t>
  </si>
  <si>
    <t>Substituição de barramento superior, incluindo cabos, cadeias e ferragens, bem como dos cabos, cadeias e fixações do sistema de proteção contra descargas atmosféricas (SPDA) do vão referente a LT 230 kV J.Lacerda-A - J.Lacerda-B C-1. Associado a obra são esperadas substituições/adaptações de estruturas de ancoragem dos barramentos, ¨pingados¨, conectores e conexão com aterramento.</t>
  </si>
  <si>
    <t>0007711/2023</t>
  </si>
  <si>
    <t>Substituição do Transformador de corrente de 230 kV  fase "B"  Vão FX -UGMT LI6 01</t>
  </si>
  <si>
    <t>0007715/2023</t>
  </si>
  <si>
    <t>N-S-PAUG-UGMMLT601-ELUG-UGTC601 FB</t>
  </si>
  <si>
    <t>Substituição de barramento superior, incluindo cabos, cadeias e ferragens, bem como dos cabos, cadeias e fixações do sistema de proteção contra descargas atmosféricas (SPDA) do vão referente a LT 230 kV J.Lacerda-A - UT J.Lacerda-A C-6. Associado a obra são esperadas substituições/adaptações de estruturas de ancoragem dos barramentos, ¨pingados¨, conectores e conexão com aterramento.</t>
  </si>
  <si>
    <t>LT 230 kV J.LACERDA-A / UT. J.LACERDA-A C-6 SC</t>
  </si>
  <si>
    <t>0007718/2023</t>
  </si>
  <si>
    <t>TR 230/138 kV PALHOCA ESU TR1 SC</t>
  </si>
  <si>
    <t>0007721/2023</t>
  </si>
  <si>
    <t>Substituição do Transformador de corrente de 230 kV  fase "A"  Vão FX -UGMT LI6 01</t>
  </si>
  <si>
    <t>0007722/2023</t>
  </si>
  <si>
    <t>N-S-PAUG-UGMMLT601-ELUG-UGTC601 FA</t>
  </si>
  <si>
    <t>Substituição de barramento superior, incluindo cabos, cadeias e ferragens, bem como dos cabos, cadeias e fixações do sistema de proteção contra descargas atmosféricas (SPDA) do vão referente ao TR7 230/138 kV, lado de 230 kV, da SE J.Lacerda-A. Associado a obra são esperadas substituições/adaptações de estruturas de ancoragem dos barramentos, ¨pingados¨, conectores e conexão com aterramento.</t>
  </si>
  <si>
    <t>0007723/2023</t>
  </si>
  <si>
    <t>SUBSTITUIÇÃO DE  SECCIONADORA DE ATERRAMENTO 500 kV VCCA7-02 (VCBR7-02)</t>
  </si>
  <si>
    <t>MG 500 kV VILA DO CONDE MG1</t>
  </si>
  <si>
    <t>0009272/2023</t>
  </si>
  <si>
    <t>VCCA7-02</t>
  </si>
  <si>
    <t>Substituição de Retificador (Carregador de Baterias) 48 Vcc - SACC48-RET1, da SE Londrina.</t>
  </si>
  <si>
    <t>0007735/2023</t>
  </si>
  <si>
    <t>Substituição de Retificador (Carregador de Baterias) 48 Vcc - SACC48-RET2, da SE Londrina.</t>
  </si>
  <si>
    <t>0007736/2023</t>
  </si>
  <si>
    <t>Substituição de bateria - 125 Vcc - SACC125-BAT1 na SE Blumenau.</t>
  </si>
  <si>
    <t>0007738/2023</t>
  </si>
  <si>
    <t>Substituição de barramento intermediário, incluindo cabos, cadeias e ferragens, bem como dos cabos, cadeias e fixações do sistema de proteção contra descargas atmosféricas (SPDA) referente à Barra de 69 kV da SE J.Lacerda-A. Associado a obra são esperadas substituições/adaptações de estruturas de ancoragem dos barramentos, ¨pingados¨, conectores e conexão com aterramento.</t>
  </si>
  <si>
    <t>0007739/2023</t>
  </si>
  <si>
    <t>Substituição de barramento superior, incluindo cabos, cadeias e ferragens, bem como dos cabos, cadeias e fixações do sistema de proteção contra descargas atmosféricas (SPDA) do vão referente ao TR8 138/69 kV, lado de 69 kV, da SE J.Lacerda-A. Associado a obra são esperadas substituições/adaptações de estruturas de ancoragem dos barramentos, ¨pingados¨, conectores e conexão com aterramento.</t>
  </si>
  <si>
    <t>0007740/2023</t>
  </si>
  <si>
    <t>Substituição de bateria - 125 Vcc - SACC125-BAT2 na SE Blumenau.</t>
  </si>
  <si>
    <t>0007741/2023</t>
  </si>
  <si>
    <t>Substituição de barramento superior, incluindo cabos, cadeias e ferragens, bem como dos cabos, cadeias e fixações do sistema de proteção contra descargas atmosféricas (SPDA) do vão referente ao TR9 138/69 kV, lado de 69 kV, da SE J.Lacerda-A. Associado a obra são esperadas substituições/adaptações de estruturas de ancoragem dos barramentos, ¨pingados¨, conectores e conexão com aterramento.</t>
  </si>
  <si>
    <t>0007742/2023</t>
  </si>
  <si>
    <t>SUBSTITUIÇÃO DE  SECCIONADORA DE ATERRAMENTO 500 kV VCCA7-01 (VCBR7-01)</t>
  </si>
  <si>
    <t>0009286/2023</t>
  </si>
  <si>
    <t>VCCA7-01</t>
  </si>
  <si>
    <t>CAMAQUÃ 3</t>
  </si>
  <si>
    <t>Substituição de bateria - 125 Vcc - SACC125-BAT1 na SE Camaquã 3.</t>
  </si>
  <si>
    <t>MG CAMAQUA 3 / CCO-2012-004 - RB</t>
  </si>
  <si>
    <t>0007744/2023</t>
  </si>
  <si>
    <t>TR 230/138 kV PALHOCA ESU TR2 SC</t>
  </si>
  <si>
    <t>0007745/2023</t>
  </si>
  <si>
    <t>Substituição de bateria - 125 Vcc - SACC125-BAT2 na SE Camaquã 3.</t>
  </si>
  <si>
    <t>0007749/2023</t>
  </si>
  <si>
    <t>Substituição de para-raios 230 kV referente ao TF 5 230/138 kV da SE Passo Fundo, Fases A, B e C. Associado a obra são esperadas substituições/adaptações de fundações, suportes, cabos de controle e potência, barramento, conectores e conexão do aterramento.</t>
  </si>
  <si>
    <t>0007747/2023</t>
  </si>
  <si>
    <t>PR TR5</t>
  </si>
  <si>
    <t>0007751/2023</t>
  </si>
  <si>
    <t>PR LT PME C-1</t>
  </si>
  <si>
    <t>Substituição de bateria - 125 Vcc - SACC125-BAT1 na SE Canoinhas.</t>
  </si>
  <si>
    <t>0007753/2023</t>
  </si>
  <si>
    <t>0007755/2023</t>
  </si>
  <si>
    <t>SUBSTITUIÇÃO DE 4 IP's  POR OUTROS DE CARACTERÍSTICAS SEMELHANTES (VCRE7-01)</t>
  </si>
  <si>
    <t>0009296/2023</t>
  </si>
  <si>
    <t>SUBSTITUIÇÃO DE 7 IP's  POR OUTROS DE CARACTERÍSTICAS SEMELHANTES (VCAT7-01)</t>
  </si>
  <si>
    <t>0009299/2023</t>
  </si>
  <si>
    <t>SUBSTITUIÇÃO DE BUCHAS, VEDAÇÕES, PAINEL DE INSTRUMENTAÇÃO/VENTILAÇÃO, VÁLVULAS, RELÉS DE GÁS E BOLSA DE EXPANSÃO, ETC,  DO CORE7-04 FASE B</t>
  </si>
  <si>
    <t>0007759/2023</t>
  </si>
  <si>
    <t>CORE704 - 11981377</t>
  </si>
  <si>
    <t>Substituição de (03) Para-Raios 230kV, do TMRE6-01.</t>
  </si>
  <si>
    <t>MC 230 kV RTL 230 kV 30 Mvar TRANSAMAZONIC RT1 PA</t>
  </si>
  <si>
    <t>0007762/2023</t>
  </si>
  <si>
    <t>N-S-PATM-ATTMLT601-MCTMRE601-TMPR601</t>
  </si>
  <si>
    <t>SUBSTITUIÇÃO DE BUCHAS, VEDAÇÕES, PAINEL DE INSTRUMENTAÇÃO/VENTILAÇÃO, VÁLVULAS, RELÉS DE GÁS E BOLSA DE EXPANSÃO, ETC, DO IZRE7-14 FASE V</t>
  </si>
  <si>
    <t>0007763/2023</t>
  </si>
  <si>
    <t>IZRE714 - 11986097</t>
  </si>
  <si>
    <t>SUBSTITUIÇÃO DE SECCIONADORA 500 kV VCSD7-01</t>
  </si>
  <si>
    <t>0009301/2023</t>
  </si>
  <si>
    <t>VCSD7-01</t>
  </si>
  <si>
    <t>Substituição de Retificador (Carregador de Baterias) 125 Vcc - SACC125-RET1, da SE Nova Santa Rita.</t>
  </si>
  <si>
    <t>MG NOVA STA RITA / CCO-2001-057 - RB</t>
  </si>
  <si>
    <t>0007767/2023</t>
  </si>
  <si>
    <t>Substituição de Retificador (Carregador de Baterias) 125 Vcc - SACC125-RET2, da SE Nova Santa Rita.</t>
  </si>
  <si>
    <t>0007769/2023</t>
  </si>
  <si>
    <t>SUBSTITUIÇÃO DE SECCIONADORA 500 kV VCSL7-01</t>
  </si>
  <si>
    <t>0009304/2023</t>
  </si>
  <si>
    <t>VCSL7-01</t>
  </si>
  <si>
    <t>Substituição de Retificador (Carregador de Baterias) 125 Vcc - SACC125-RET1, da SE Itá.</t>
  </si>
  <si>
    <t>0007772/2023</t>
  </si>
  <si>
    <t>Substituição de Retificador (Carregador de Baterias) 125 Vcc - SACC125-RET2, da SE Itá.</t>
  </si>
  <si>
    <t>0007773/2023</t>
  </si>
  <si>
    <t>Substituição de Retificador (Carregador de Baterias) 48 Vcc - SACC48-RET1, da SE Dourados.</t>
  </si>
  <si>
    <t>0007776/2023</t>
  </si>
  <si>
    <t>Substituição de Retificador (Carregador de Baterias) 48 Vcc - SACC48-RET2, da SE Dourados.</t>
  </si>
  <si>
    <t>0007778/2023</t>
  </si>
  <si>
    <t>SUBSTITUIÇÃO DE  DISJUNTOR 500 kV VCDJ7-01</t>
  </si>
  <si>
    <t>0009311/2023</t>
  </si>
  <si>
    <t>VCDJ7-01</t>
  </si>
  <si>
    <t>Substituição de componentes do mecanismo de acionamento de abertura e . fechamento de 01(um) Disjuntor de . 230KV - (GMDJ6-06)  - associado a função transmissão GMTF603.</t>
  </si>
  <si>
    <t>0007782/2023</t>
  </si>
  <si>
    <t>GMDJ606</t>
  </si>
  <si>
    <t>Substituição de componentes do mecanismo de acionamento de abertura e . fechamento de 01(um) Disjuntor de . 230KV -(UGDJ6-12)  - associado a função TRANSFORMAÇÃO UGTF604.</t>
  </si>
  <si>
    <t>0007785/2023</t>
  </si>
  <si>
    <t>UGDJ612</t>
  </si>
  <si>
    <t>Substituição de 1 IP, da LT MBTC7-02, por outro de características semelhantes.</t>
  </si>
  <si>
    <t>0009313/2023</t>
  </si>
  <si>
    <t>N/A</t>
  </si>
  <si>
    <t>Substituição de componentes do mecanismo de acionamento de abertura e fechamento de 01(um) Disjuntor de 230KV -(CJDJ6-01) - associado a função CJSE-LT6-01.</t>
  </si>
  <si>
    <t>LT 230 kV CARAJAS / SERRA NORTE C 1 PA</t>
  </si>
  <si>
    <t>0007789/2023</t>
  </si>
  <si>
    <t>CJD6-01 - 11917400</t>
  </si>
  <si>
    <t>Substituição de componentes do mecanismo de acionamento de abertura e fechamento de 01(um) Disjuntor de 230KV (TCDJ6-10) associado a função TRANSFORMAÇÃO TCAT6-03.</t>
  </si>
  <si>
    <t>TR 230 / 69 kV TUCURUI TF1 PA</t>
  </si>
  <si>
    <t>0007790/2023</t>
  </si>
  <si>
    <t>TCDJ6-10 - 11918877</t>
  </si>
  <si>
    <t>Substituição de componentes do mecanismo de acionamento de abertura e . fechamento de 01(um) Disjuntor de . 230KV -(VCDJ6-22)  - associado a função TRANSFORMAÇÃO VCAT7-04.</t>
  </si>
  <si>
    <t>0007791/2023</t>
  </si>
  <si>
    <t>VCDJ6-22 - 11919632</t>
  </si>
  <si>
    <t>Substituição de Chave Seccionadora tripolar 138 kV, CS647, referente ao TR3 230/138 kV da SE Itajaí. Associado à obra são esperadas substituições/adaptações de fundações, suportes, cabos de controle/potência, barramento, conectores e conexão de aterramento.</t>
  </si>
  <si>
    <t>0007792/2023</t>
  </si>
  <si>
    <t>CS647</t>
  </si>
  <si>
    <t>Substituição de componentes do mecanismo de acionamento de abertura e . fechamento de 01(um) Disjuntor de . 230KV - (SRDJ6-10)  - associado a função SRBC6-02.</t>
  </si>
  <si>
    <t>BC 230 kV 55 Mvar SANTA MARIA BC2 PA</t>
  </si>
  <si>
    <t>0007794/2023</t>
  </si>
  <si>
    <t>N-S-PASR-BC602-MC230-SRDJ610</t>
  </si>
  <si>
    <t>SUBSTITUIÇÃO DE BUCHAS, VEDAÇÕES, PAINEL DE INSTRUMENTAÇÃO/VENTILAÇÃO, VÁLVULAS, RELÉS DE GÁS E BOLSA DE EXPANSÃO, ETC, DO PDRE7-09 FASE RESERVA</t>
  </si>
  <si>
    <t>0007795/2023</t>
  </si>
  <si>
    <t>PDRR709 - 11991549</t>
  </si>
  <si>
    <t>SUBSTITUIÇÃO DE BUCHAS, VEDAÇÕES, PAINEL DE INSTRUMENTAÇÃO/VENTILAÇÃO, VÁLVULAS, RELÉS DE GÁS E BOLSA DE EXPANSÃO, ETC, DO PDRE7-09 FASE A</t>
  </si>
  <si>
    <t>0007796/2023</t>
  </si>
  <si>
    <t>PDRE709 -11991539</t>
  </si>
  <si>
    <t>SUBSTITUIÇÃO DE BUCHAS, VEDAÇÕES, PAINEL DE INSTRUMENTAÇÃO/VENTILAÇÃO, VÁLVULAS, RELÉS DE GÁS E BOLSA DE EXPANSÃO, ETC, DO IZRE7-14 FASE B</t>
  </si>
  <si>
    <t>0007798/2023</t>
  </si>
  <si>
    <t>IZRE714 - 11986092</t>
  </si>
  <si>
    <t>SUBSTITUIÇÃO DE BUCHAS, VEDAÇÕES, PAINEL DE INSTRUMENTAÇÃO/VENTILAÇÃO, VÁLVULAS, RELÉS DE GÁS E BOLSA DE EXPANSÃO, ETC, DO IZRE7-14 FASE RESERVA.</t>
  </si>
  <si>
    <t>0007799/2023</t>
  </si>
  <si>
    <t>CORUMBA</t>
  </si>
  <si>
    <t>Serão substituídos 02 (dois) equipamentos OPLAT de fabricação SIEMENS, modelo ESB2000i, números de série 1853 e 1855 e 02 (dois) equipamentos de teleproteção de fabricação ALSTOM, modelo DIP5000.</t>
  </si>
  <si>
    <t>0007812/2023</t>
  </si>
  <si>
    <t>Substituição de bateria - 125 Vcc - SACC125-BAT1 na SE Gravataí 3.</t>
  </si>
  <si>
    <t>0007869/2023</t>
  </si>
  <si>
    <t>Substituição de bateria - 125 Vcc - SACC125-BAT2 na SE Gravataí 3.</t>
  </si>
  <si>
    <t>0007871/2023</t>
  </si>
  <si>
    <t>0007872/2023</t>
  </si>
  <si>
    <t>0007873/2023</t>
  </si>
  <si>
    <t>0007874/2023</t>
  </si>
  <si>
    <t>0007876/2023</t>
  </si>
  <si>
    <t>0007882/2023</t>
  </si>
  <si>
    <t>CS111 / CS121</t>
  </si>
  <si>
    <t>Substituição de Retificador (Carregador de Baterias) 48 Vcc - SACC48-RET1, da SE Abdon Batista (associado a LT 525 kV Abdon Batista - Biguaçu C-1).</t>
  </si>
  <si>
    <t>LT 525 kV ABDON BATISTA/BIGUACU C-1 SC</t>
  </si>
  <si>
    <t>0007889/2023</t>
  </si>
  <si>
    <t>Substituição de Retificador (Carregador de Baterias) 48 Vcc - SACC48-RET2, da SE Abdon Batista (associado a LT 525 kV Abdon Batista - Biguaçu C-1).</t>
  </si>
  <si>
    <t>0007891/2023</t>
  </si>
  <si>
    <t>Substituição de Retificador (Carregador de Baterias) 48 Vcc - SACC48-2CB3/RET3, da SE Gaspar 2.</t>
  </si>
  <si>
    <t>0007896/2023</t>
  </si>
  <si>
    <t>SACC48-2CB3/RET3</t>
  </si>
  <si>
    <t>Substituição de Retificador (Carregador de Baterias) 48 Vcc - SACC48-2CB4/RET4, da SE Gaspar 2.</t>
  </si>
  <si>
    <t>0007902/2023</t>
  </si>
  <si>
    <t>SACC48-2CB4/RET4</t>
  </si>
  <si>
    <t>0007903/2023</t>
  </si>
  <si>
    <t>PR1A, PR1B, PR1C, PR2A, PR2B, PR2C, PR3A, PR3B, PR3C, PR4A, PR4B, PR4C</t>
  </si>
  <si>
    <t>Substituição de Retificador (Carregador de Baterias) 48 Vcc - SACC48-RET1, da SE Xanxerê.</t>
  </si>
  <si>
    <t>0007904/2023</t>
  </si>
  <si>
    <t>Substituição de Retificador (Carregador de Baterias) 48 Vcc - SACC48-RET2, da SE Xanxerê.</t>
  </si>
  <si>
    <t>0007907/2023</t>
  </si>
  <si>
    <t>Substituição de bateria - 125 Vcc - SACC125-BAT1 na SE Ijui 2.</t>
  </si>
  <si>
    <t>0007908/2023</t>
  </si>
  <si>
    <t>0007910/2023</t>
  </si>
  <si>
    <t>TRSA-2, TRSA-3, TRSA-4, TRSA-5, TRSA-6</t>
  </si>
  <si>
    <t>Substituição de bateria - 125 Vcc - SACC125-BAT2 na SE Ijui 2.</t>
  </si>
  <si>
    <t>0007911/2023</t>
  </si>
  <si>
    <t>0007914/2023</t>
  </si>
  <si>
    <t>0007915/2023</t>
  </si>
  <si>
    <t>Serão substituídos 02 (dois) equipamentos de teleproteção de fabricação ALSTOM, modelo DIP5000, números de série 23017045 e 23016952.</t>
  </si>
  <si>
    <t>0007916/2023</t>
  </si>
  <si>
    <t>Substituição de bateria - 125 Vcc - SACC125-BAT1 na SE Itajaí.</t>
  </si>
  <si>
    <t>0007917/2023</t>
  </si>
  <si>
    <t>Substituição de bateria - 125 Vcc - SACC125-BAT2 na SE Itajaí.</t>
  </si>
  <si>
    <t>0007918/2023</t>
  </si>
  <si>
    <t>Substituição de switch FSIA-A03P da Rede Operativa da subestação de Itaberá.</t>
  </si>
  <si>
    <t>0007920/2023</t>
  </si>
  <si>
    <t>FSIA-A03P</t>
  </si>
  <si>
    <t>FOZ CHAPECO</t>
  </si>
  <si>
    <t>MG FOZ CHAPECO / CCO-2011-002 - RB</t>
  </si>
  <si>
    <t>0007922/2023</t>
  </si>
  <si>
    <t>RDP - UC</t>
  </si>
  <si>
    <t>Substituição de switch FSIA-A03S da Rede Operativa da subestação de Itaberá.</t>
  </si>
  <si>
    <t>0007924/2023</t>
  </si>
  <si>
    <t>FSIA-A03S</t>
  </si>
  <si>
    <t>Substituição de bateria - 125 Vcc - SACC125-BAT2 na SE Nova Santa Rita.</t>
  </si>
  <si>
    <t>0007925/2023</t>
  </si>
  <si>
    <t>LT 230 kV FOZ CHAPECO / XANXERE ESU C 1 RS/SC</t>
  </si>
  <si>
    <t>0007926/2023</t>
  </si>
  <si>
    <t>RDP - LT XAN C-1</t>
  </si>
  <si>
    <t>CAXIAS 6</t>
  </si>
  <si>
    <t>MG CAXIAS 6 / CCO-2010-011 - RB</t>
  </si>
  <si>
    <t>0007928/2023</t>
  </si>
  <si>
    <t>Substituição de switch FSIA-A02P da Rede Operativa da subestação de Itaberá.</t>
  </si>
  <si>
    <t>0007929/2023</t>
  </si>
  <si>
    <t>FSIA-A02P</t>
  </si>
  <si>
    <t>Substituição de switch FSIA-A02S da Rede Operativa da subestação de Itaberá.</t>
  </si>
  <si>
    <t>0007930/2023</t>
  </si>
  <si>
    <t>FSIA-A02S</t>
  </si>
  <si>
    <t>LT 230 kV FOZ CHAPECO / XANXERE ESU C 2 RS/SC</t>
  </si>
  <si>
    <t>0007931/2023</t>
  </si>
  <si>
    <t>RDP - LT XAN C-2</t>
  </si>
  <si>
    <t>LT 230 kV FOZ CHAPECO / GUARITA C 1 RS</t>
  </si>
  <si>
    <t>0007933/2023</t>
  </si>
  <si>
    <t>RDP - LT GRT C-1</t>
  </si>
  <si>
    <t>0007934/2023</t>
  </si>
  <si>
    <t>Substituição de switch FSIA-D01P da Rede Operativa da subestação de Itaberá.</t>
  </si>
  <si>
    <t>0007935/2023</t>
  </si>
  <si>
    <t>FSIA-D01P</t>
  </si>
  <si>
    <t>Substituição de switch FSIA-D01S da Rede Operativa da subestação de Itaberá.</t>
  </si>
  <si>
    <t>0007936/2023</t>
  </si>
  <si>
    <t>FSIA-D01S</t>
  </si>
  <si>
    <t>0007938/2023</t>
  </si>
  <si>
    <t>RDP - IB 230</t>
  </si>
  <si>
    <t>Substituição de switch FSIA-P01 da Rede Operativa da subestação de Itaberá.</t>
  </si>
  <si>
    <t>0007940/2023</t>
  </si>
  <si>
    <t>FSIA-P01</t>
  </si>
  <si>
    <t>Substituição de switch FSIA-P02 da Rede Operativa da subestação de Itaberá.</t>
  </si>
  <si>
    <t>0007942/2023</t>
  </si>
  <si>
    <t>FSIA-P02</t>
  </si>
  <si>
    <t>MG CAMPO GRANDE / CCO-2001-057 - RB</t>
  </si>
  <si>
    <t>0007944/2023</t>
  </si>
  <si>
    <t>Substituição de switch FSIA-P03 da Rede Operativa da subestação de Itaberá.</t>
  </si>
  <si>
    <t>0007946/2023</t>
  </si>
  <si>
    <t>FSIA-P03</t>
  </si>
  <si>
    <t>QUINTA</t>
  </si>
  <si>
    <t>Substituição de bateria - 125 Vcc - SACC125-BAT2 na SE Quinta.</t>
  </si>
  <si>
    <t>LT 230 kV QUINTA / POVO NOVO C-1 RS</t>
  </si>
  <si>
    <t>0007947/2023</t>
  </si>
  <si>
    <t>0007950/2023</t>
  </si>
  <si>
    <t>RDP - Barras 138 kV</t>
  </si>
  <si>
    <t>Substituição de switch FSIA-P04 da Rede Operativa da subestação de Itaberá.</t>
  </si>
  <si>
    <t>0007951/2023</t>
  </si>
  <si>
    <t>FSIA-P04</t>
  </si>
  <si>
    <t>0007953/2023</t>
  </si>
  <si>
    <t>RDP - LT MIM C-1</t>
  </si>
  <si>
    <t>0007959/2023</t>
  </si>
  <si>
    <t>BAT51 - 125 VCC</t>
  </si>
  <si>
    <t>0007964/2023</t>
  </si>
  <si>
    <t>0007969/2023</t>
  </si>
  <si>
    <t>RDP - LT MIM C-2</t>
  </si>
  <si>
    <t>LT 138 kV CAMPO GRANDE / U.MIMOSO C-3 MS</t>
  </si>
  <si>
    <t>0007975/2023</t>
  </si>
  <si>
    <t>RDP - LT MIM C-3</t>
  </si>
  <si>
    <t>0007981/2023</t>
  </si>
  <si>
    <t>RDP - LT MIM C-4</t>
  </si>
  <si>
    <t>Substituição de bateria - 48 Vcc - SACC48-BAT1 na SE Canoinhas.</t>
  </si>
  <si>
    <t>0007983/2023</t>
  </si>
  <si>
    <t>Substituição de bateria - 48 Vcc - SACC48-BAT2 na SE Canoinhas.</t>
  </si>
  <si>
    <t>0007987/2023</t>
  </si>
  <si>
    <t>0007988/2023</t>
  </si>
  <si>
    <t>RDP - LT AGU C-1</t>
  </si>
  <si>
    <t>LT 138 kV CAMPO GRANDE / C.GRANDE CUIABA C-2 MS</t>
  </si>
  <si>
    <t>0007993/2023</t>
  </si>
  <si>
    <t>RDP - LT CGB C-2</t>
  </si>
  <si>
    <t>Substituição de bateria - 48 Vcc - SACC48-BAT1 na SE Caxias 5.</t>
  </si>
  <si>
    <t>0008002/2023</t>
  </si>
  <si>
    <t>LT 138 kV CAMPO GRANDE / C.GRANDE MIGUEL COUTO C-1 MS</t>
  </si>
  <si>
    <t>0008004/2023</t>
  </si>
  <si>
    <t>RDP - LT CGM C-1</t>
  </si>
  <si>
    <t>Substituição de bateria - 48 Vcc - SACC48-BAT2 na SE Caxias 5.</t>
  </si>
  <si>
    <t>0008010/2023</t>
  </si>
  <si>
    <t>LT 138 kV CAMPO GRANDE / C.GRANDE MIGUEL COUTO C-2 MS</t>
  </si>
  <si>
    <t>0008012/2023</t>
  </si>
  <si>
    <t>RDP - LT CGM C-2</t>
  </si>
  <si>
    <t>0008017/2023</t>
  </si>
  <si>
    <t>RDP - LT SIA C-1</t>
  </si>
  <si>
    <t>0008019/2023</t>
  </si>
  <si>
    <t>RDP - BC1</t>
  </si>
  <si>
    <t>0008023/2023</t>
  </si>
  <si>
    <t>0008026/2023</t>
  </si>
  <si>
    <t>RDP - IB 138</t>
  </si>
  <si>
    <t>Substituição de bateria - 48 Vcc - SACC48-BAT1 na SE Curitiba.</t>
  </si>
  <si>
    <t>0008032/2023</t>
  </si>
  <si>
    <t>Serão substituídos 02 (dois) equipamentos OPLAT de fabricação SIEMENS, modelo ESB2000i, números de série LB/R3/04442 e LB/R3/04455.</t>
  </si>
  <si>
    <t>LT 345 kV B. SANTISTA /TIJUCO PRETO C-1 SP</t>
  </si>
  <si>
    <t>0008035/2023</t>
  </si>
  <si>
    <t>n/a</t>
  </si>
  <si>
    <t>Substituição de bateria - 48 Vcc - SACC48-BAT2 na SE Curitiba.</t>
  </si>
  <si>
    <t>0008037/2023</t>
  </si>
  <si>
    <t>Serão substituídos 02 (dois) equipamentos OPLAT de fabricação SIEMENS, modelo ESB2000i, números de série LB/R2/04433 e LB/R2/04429.</t>
  </si>
  <si>
    <t>0008043/2023</t>
  </si>
  <si>
    <t>Serão substituídos 02 (dois) equipamentos OPLAT de fabricação ABB, modelo ETL600, números de série BE5-126780 e BE5-126781.</t>
  </si>
  <si>
    <t>0008048/2023</t>
  </si>
  <si>
    <t>Serão substituídos 02 (dois) equipamentos OPLAT de fabricação ABB, modelo ETL600, números de série BE8-127686 e BE8-127687.</t>
  </si>
  <si>
    <t>0008051/2023</t>
  </si>
  <si>
    <t>Serão substituídos 02 (dois) equipamentos OPLAT de fabricação GE, modelo CT/CR51B e 01 (um) equipamento OPLAT modelo CS27C.</t>
  </si>
  <si>
    <t>0008053/2023</t>
  </si>
  <si>
    <t>0008057/2023</t>
  </si>
  <si>
    <t>Serão substituídos 02 (dois) equipamentos OPLAT de fabricação ABB, modelo HSD-45, números de série BE-122388 e BE-122394.</t>
  </si>
  <si>
    <t>0008060/2023</t>
  </si>
  <si>
    <t>AGUAS LINDAS</t>
  </si>
  <si>
    <t>Substituição de Equipamentos de Transmissão SDH da SE Águas Lindas dos enlaces com SE Brasília Sul e SE Barro Alto (1 equipamento).</t>
  </si>
  <si>
    <t>MG AGUAS LINDAS / CCO-2001-062 - RB</t>
  </si>
  <si>
    <t>0008089/2023</t>
  </si>
  <si>
    <t>FSAL</t>
  </si>
  <si>
    <t>Substituição de Equipamentos de Transmissão SDH da subestação de Bandeirantes dos enlaces para UHE Itumbiara e SE Samambaia (1 equipamento).</t>
  </si>
  <si>
    <t>0008093/2023</t>
  </si>
  <si>
    <t>FSBD</t>
  </si>
  <si>
    <t>Substituição de Equipamentos de Transmissão SDH da subestação de Barro Alto dos enlaces para Águas Lindas (1 equipamento) e do enlace para SE Niquelândia (1 equipamento).</t>
  </si>
  <si>
    <t>0008094/2023</t>
  </si>
  <si>
    <t>FSBT</t>
  </si>
  <si>
    <t>Substituição de Equipamentos de Transmissão SDH da subestação de  Brasília Geral do enlace com Brasília Sul  e ONS COSR-NCO (2 equipamentos).</t>
  </si>
  <si>
    <t>MG BRAS. GERAL / CCO-2001-062 - RB</t>
  </si>
  <si>
    <t>0008098/2023</t>
  </si>
  <si>
    <t>FSBG / COSR-NCO</t>
  </si>
  <si>
    <t>Substituição de Equipamentos de Transmissão SDH da subestação de  Brasília Sul dos enlaces para SE Brasília Geral, SE Samambaia e UHE Corumbá (1 equipamento) e SE Águas Lindas (1 equipamento).</t>
  </si>
  <si>
    <t>0008101/2023</t>
  </si>
  <si>
    <t>FSBS</t>
  </si>
  <si>
    <t>Substituição de Equipamentos de Transmissão SDH da UHE Corumbá dos enlaces com SE Brasília Sul e UHE Itumbiara (1 equipamento).</t>
  </si>
  <si>
    <t>MG CORUMBA / CCO-2001-062 - RB</t>
  </si>
  <si>
    <t>0008104/2023</t>
  </si>
  <si>
    <t>FUCB</t>
  </si>
  <si>
    <t>Substituição de Equipamentos de Transmissão SDH da UHE Itumbiara dos enlaces para a SE Rio Verde, UHE Corumbá e SE Bandeirantes (2 equipamentos).</t>
  </si>
  <si>
    <t>0008113/2023</t>
  </si>
  <si>
    <t>FSIM / FUIM</t>
  </si>
  <si>
    <t>Substituição de Equipamentos de Transmissão Rádio dos enlaces  "ETEL Furnas Morro - ETEL Delfinópolis - US Mascarenha de Moraes"  e "ETEL Delfinópolis - ETEL Luiz Carlos Barreto"(para fechamento de US Furnas e US Luiz Carlos Barreto).</t>
  </si>
  <si>
    <t>0008115/2023</t>
  </si>
  <si>
    <t>FRFM / FRDF / FUMM / FLLB</t>
  </si>
  <si>
    <t>NIQUELANDIA</t>
  </si>
  <si>
    <t>Substituição de Equipamentos de Transmissão SDH da SE Niquelândia dos enlaces com SE Barro Alto (1 equipamento) e SE Serra da Mesa (1 equipamento).</t>
  </si>
  <si>
    <t>MG NIQUELANDIA / CCO-2001-062 - RB</t>
  </si>
  <si>
    <t>0008116/2023</t>
  </si>
  <si>
    <t>FSNI</t>
  </si>
  <si>
    <t>Substituição de Equipamentos de Transmissão SDH da subestação Pirineus dos enlaces com SE Samambaia e SE Bandeirantes (1 equipamento) e SE Xavantes  (1 equipamento).</t>
  </si>
  <si>
    <t>MG PIRINEUS / CCO-2001-062 - RB</t>
  </si>
  <si>
    <t>0008119/2023</t>
  </si>
  <si>
    <t>FSPS</t>
  </si>
  <si>
    <t>Substituição de Equipamentos de Transmissão SDH da subestação de Rio Verde dos enlaces "SE Rio Verde - SE Barra do Peixe - SE Nobres - US Manso" e "UHE Itumbiara" (4 equipamentos).</t>
  </si>
  <si>
    <t>0008123/2023</t>
  </si>
  <si>
    <t>FSRV / ERBP / ERNO / FUMS</t>
  </si>
  <si>
    <t>CASCAVEL OEST</t>
  </si>
  <si>
    <t>Substituição da Unidade Central do sistema de registro de perturbações (RDP), CVORDP_525_1, para monitoração de variáveis associadas a SE Cascavel Oeste. Atualmente esta unidade monitora os seguintes bays: LT Ivaiporã C-1 e DJ52-02.</t>
  </si>
  <si>
    <t>MG CASCAVEL OEST / CCO-2001-057 - RB</t>
  </si>
  <si>
    <t>0008124/2023</t>
  </si>
  <si>
    <t>Substituição de Equipamentos de Transmissão SDH da subestação de Samambaia dos enlaces para a SE Bandeirantes, SE Brasília Sul e Pirineus (1 equipamento).</t>
  </si>
  <si>
    <t>0008125/2023</t>
  </si>
  <si>
    <t>FSSB</t>
  </si>
  <si>
    <t>Substituição do sistema de registro de perturbações (RDP - unidade de bay), para monitoração das variáveis associadas a LT 525 kV Cascavel Oeste - Ivaiporã C-1.</t>
  </si>
  <si>
    <t>LT 525 kV CASCAVEL OEST/IVAIPORA C-1 PR</t>
  </si>
  <si>
    <t>0008126/2023</t>
  </si>
  <si>
    <t>RDP - LT IVP C-1</t>
  </si>
  <si>
    <t>Substituição de Equipamentos de Transmissão SDH da SE Serra da Mesa do enlace com a SE Niquelândia (1 equipamento).</t>
  </si>
  <si>
    <t>0008128/2023</t>
  </si>
  <si>
    <t>FSSM</t>
  </si>
  <si>
    <t>XAVANTES</t>
  </si>
  <si>
    <t>Substituição de Equipamentos de Transmissão SDH da SE Xavantes do enlace com a SE Pirineus (1 equipamento).</t>
  </si>
  <si>
    <t>LT 230 kV PIRINEUS /XAVANTES C-2 GO</t>
  </si>
  <si>
    <t>0008129/2023</t>
  </si>
  <si>
    <t>ESXA</t>
  </si>
  <si>
    <t>Substituição do sistema de registro de perturbações (RDP - unidade de bay), para monitoração das variáveis associadas ao Interligador de Barras (IB) 525 kV, DJ52-02, da SE Cascavel Oeste.</t>
  </si>
  <si>
    <t>0008135/2023</t>
  </si>
  <si>
    <t>RDP - DJ52-02</t>
  </si>
  <si>
    <t>FORQUILHINHA</t>
  </si>
  <si>
    <t>MG FORQUILHINHA / CCO-2001-057 - RB</t>
  </si>
  <si>
    <t>0008139/2023</t>
  </si>
  <si>
    <t>Substituição de bateria - 48 Vcc - SACC48-BAT2 na SE Nova Santa Rita.</t>
  </si>
  <si>
    <t>0008143/2023</t>
  </si>
  <si>
    <t>LT 230 kV FORQUILHINHA /L.GRANDE C-1 SC/RS</t>
  </si>
  <si>
    <t>0008145/2023</t>
  </si>
  <si>
    <t>RDP - LT LGR C-1</t>
  </si>
  <si>
    <t>LT 230 kV FORQUILHINHA /SIDEROPOL.ESU C-1 SC</t>
  </si>
  <si>
    <t>0008148/2023</t>
  </si>
  <si>
    <t>RDP - LT SID C-1</t>
  </si>
  <si>
    <t>Substituição da Unidade Central do sistema de registro de perturbações (RDP), IVPRDP_525_1, para monitoração de variáveis associadas a SE Ivaiporã. Atualmente esta unidade monitora os seguintes bays: LT Ivaiporã (Furnas) C-1, Ivaiporã (Furnas) C-2, Cascavel Oeste C-1, S.Santiago C-1, DJ1010 e DJ1030.</t>
  </si>
  <si>
    <t>0008151/2023</t>
  </si>
  <si>
    <t>Substituição do sistema de registro de perturbações (RDP - unidade de bay), para monitoração das variáveis associadas a LT 525 kV Ivaiporã - Ivaiporã (Furnas) C-1.</t>
  </si>
  <si>
    <t>LT 525 kV IVAIPORA - IVAIPORA (FURNAS) C-1 PR</t>
  </si>
  <si>
    <t>0008157/2023</t>
  </si>
  <si>
    <t>RDP - LT STIV C-1</t>
  </si>
  <si>
    <t>Substituição do sistema de registro de perturbações (RDP - unidade de bay), para monitoração das variáveis associadas a LT 525 kV Ivaiporã - Ivaiporã (Furnas) C-2.</t>
  </si>
  <si>
    <t>LT 525 kV IVAIPORA - IVAIPORA (FURNAS) C-2 PR</t>
  </si>
  <si>
    <t>0008161/2023</t>
  </si>
  <si>
    <t>RDP - LT STIV C-2</t>
  </si>
  <si>
    <t>Substituição do sistema de registro de perturbações (RDP - unidade de bay), para monitoração das variáveis associadas a LT 525 kV Ivaiporã - Cascavel Oeste C-1.</t>
  </si>
  <si>
    <t>0008167/2023</t>
  </si>
  <si>
    <t>RDP - LT CVO C-1</t>
  </si>
  <si>
    <t>Substituição do sistema de registro de perturbações (RDP - unidade de bay), para monitoração das variáveis associadas a LT 525 kV Ivaiporã - Salto Santiago C-1.</t>
  </si>
  <si>
    <t>0008172/2023</t>
  </si>
  <si>
    <t>RDP - LT SSA C-1</t>
  </si>
  <si>
    <t>Substituição do sistema de registro de perturbações (RDP - unidade de bay), para monitoração das variáveis associadas ao Interligador de Barras (IB) 525 kV, DJ1010, da SE Ivaiporã.</t>
  </si>
  <si>
    <t>0008174/2023</t>
  </si>
  <si>
    <t>RDP - DJ1010</t>
  </si>
  <si>
    <t>Substituição do sistema de registro de perturbações (RDP - unidade de bay), para monitoração das variáveis associadas ao Interligador de Barras (IB) 525 kV, DJ1030, da SE Ivaiporã.</t>
  </si>
  <si>
    <t>0008178/2023</t>
  </si>
  <si>
    <t>RDP - DJ1030</t>
  </si>
  <si>
    <t>0008210/2023</t>
  </si>
  <si>
    <t>BAT11 - 125 VCC</t>
  </si>
  <si>
    <t>0008214/2023</t>
  </si>
  <si>
    <t>BAT12 - 125 VCC</t>
  </si>
  <si>
    <t>SUBSTITUIÇÃO DE SECCIONADORA 230 kV VCSD6-19</t>
  </si>
  <si>
    <t>0008216/2023</t>
  </si>
  <si>
    <t>VCSD6-19</t>
  </si>
  <si>
    <t>N.PETROPOLIS2</t>
  </si>
  <si>
    <t>MG N.PETROPOLIS2 / CCO-2010-011 - RB</t>
  </si>
  <si>
    <t>0008219/2023</t>
  </si>
  <si>
    <t>0008223/2023</t>
  </si>
  <si>
    <t>Substituição de TC (Transformador de Corrente) associado ao IZDJ708 fase B</t>
  </si>
  <si>
    <t>0008256/2023</t>
  </si>
  <si>
    <t>IZTC701 (B) 12391108</t>
  </si>
  <si>
    <t>Substituição de 3 Transformadores Corrente 500 KV na SE Tucuruí no vão Kx, associado ao disjuntor TCDJ7-31 (7TCKX)</t>
  </si>
  <si>
    <t>0008264/2023</t>
  </si>
  <si>
    <t>7TCKX</t>
  </si>
  <si>
    <t>Substituição de TC (Transformador de Corrente) associado ao IZDJ708 fase A</t>
  </si>
  <si>
    <t>0008279/2023</t>
  </si>
  <si>
    <t>IZTC701 (A) 12391106</t>
  </si>
  <si>
    <t>SUBSTITUIR  TRANSFORMADOR DE CORRENTE 230KV -  DO DISJUNTOR LDDJ6-06-LDTC6-01, FASE V</t>
  </si>
  <si>
    <t>0008288/2023</t>
  </si>
  <si>
    <t>LDTC6-01 FASE V</t>
  </si>
  <si>
    <t>Substituição de TC (Transformador de Corrente) associado ao IZDJ707 fase V</t>
  </si>
  <si>
    <t>0008294/2023</t>
  </si>
  <si>
    <t>IZTC701 (V) 111985310</t>
  </si>
  <si>
    <t>0008300/2023</t>
  </si>
  <si>
    <t>SUBSTITUIÇÃO DE SECCIONADORA 500 kV VCSD7-11.</t>
  </si>
  <si>
    <t>0008301/2023</t>
  </si>
  <si>
    <t>VCSD7-11</t>
  </si>
  <si>
    <t>Substituição de 3 Transformadores Corrente 500 KV na SE Tucuruí no vão Jy, associado ao disjuntor TCDJ7-29 (7TCJY2).</t>
  </si>
  <si>
    <t>MG TUCURUI / CCO-2002-085 - RB</t>
  </si>
  <si>
    <t>0008306/2023</t>
  </si>
  <si>
    <t>7TCJY2</t>
  </si>
  <si>
    <t>Substituição de 3 Transformadores Corrente 500 KV na SE Tucuruí no vão Iy, associado ao disjuntor TCDJ7-26 (7TCIY2).</t>
  </si>
  <si>
    <t>0008311/2023</t>
  </si>
  <si>
    <t>7TCIY2</t>
  </si>
  <si>
    <t>SUBSTITUIÇÃO DE SECCIONADORA 230 kV VCSD6-20</t>
  </si>
  <si>
    <t>0008315/2023</t>
  </si>
  <si>
    <t>VCSD6-20</t>
  </si>
  <si>
    <t>SUBSTITUIÇÃO DE DISJUNTOR 500 kV VCDJ7-06</t>
  </si>
  <si>
    <t>0008317/2023</t>
  </si>
  <si>
    <t>VCDJ7-06</t>
  </si>
  <si>
    <t>Substituição de 2 Transformadores Corrente 500 KV na SE Tucuruí no vão Iy, associado ao disjuntor TCDJ7-26 (7TCIY1).</t>
  </si>
  <si>
    <t>0008321/2023</t>
  </si>
  <si>
    <t>7TCIY1</t>
  </si>
  <si>
    <t>SUBSTITUIÇÃO DE  DISJUNTOR 500 kV VCDJ7-03</t>
  </si>
  <si>
    <t>0008334/2023</t>
  </si>
  <si>
    <t>VCDJ7-03</t>
  </si>
  <si>
    <t>SUBSTITUIR  TRANSFORMADOR DE CORRENTE 230KV -  IB230IB2-LDTC601, FASE B, FASE V</t>
  </si>
  <si>
    <t>0008337/2023</t>
  </si>
  <si>
    <t>LDTC601, FASE B, FASE V</t>
  </si>
  <si>
    <t>Substituição de DISJUNTOR 500 kV VCDJ7-05</t>
  </si>
  <si>
    <t>0008339/2023</t>
  </si>
  <si>
    <t>VCDJ7-05</t>
  </si>
  <si>
    <t>SUBSTITUIÇÃO DE  DISJUNTOR 500 kV VCDJ7-02</t>
  </si>
  <si>
    <t>0008341/2023</t>
  </si>
  <si>
    <t>VCDJ7-02</t>
  </si>
  <si>
    <t>Substituição de 3 Transformadores Corrente 500 KV na SE Tucuruí no vão Ix, associado ao disjuntor TCDJ7-25 (7TCIX).</t>
  </si>
  <si>
    <t>0008343/2023</t>
  </si>
  <si>
    <t>7TCIX</t>
  </si>
  <si>
    <t>Substituição de 3 Transformadores Corrente 500 KV na SE Tucuruí no vão Gy, associado ao disjuntor TCDJ7-20 (7TCGY1).</t>
  </si>
  <si>
    <t>0008357/2023</t>
  </si>
  <si>
    <t>7TCGY1</t>
  </si>
  <si>
    <t>SUBSTITUIÇÃO DE SECCIONADORA 230 kV VCSD6-21.</t>
  </si>
  <si>
    <t>0008365/2023</t>
  </si>
  <si>
    <t>VCSD6-21</t>
  </si>
  <si>
    <t>SUBSTITUIÇÃO DE SECCIONADORA 500 kV VCSD7-10</t>
  </si>
  <si>
    <t>0008366/2023</t>
  </si>
  <si>
    <t>VCSD7-10</t>
  </si>
  <si>
    <t>SUBSTITUIÇÃO DE SECCIONADORA 230KV VCST6-01</t>
  </si>
  <si>
    <t>0008367/2023</t>
  </si>
  <si>
    <t>VCST6-01</t>
  </si>
  <si>
    <t>SUBSTITUIÇÃO DE SECCIONADORA 500 kV VCSD7-09</t>
  </si>
  <si>
    <t>0008368/2023</t>
  </si>
  <si>
    <t>VCSD7-09</t>
  </si>
  <si>
    <t>Substituição do Para-raios 500kV fase V do vão do MBRE7-04</t>
  </si>
  <si>
    <t>0008373/2023</t>
  </si>
  <si>
    <t>Substituição do Para-raios 500kV fase B do vão do MBRE7-04</t>
  </si>
  <si>
    <t>0008383/2023</t>
  </si>
  <si>
    <t>MBPR701 (FASE B)</t>
  </si>
  <si>
    <t>SUBSTITUIÇÃO DE  SECCIONADORA DE ATERRAMENTO 500 kV VCCA7-06</t>
  </si>
  <si>
    <t>0008385/2023</t>
  </si>
  <si>
    <t>VCCA7-06</t>
  </si>
  <si>
    <t>Substituição de Chave Seccionadora tripolar 230 kV, CS751, referente a LT Itajaí - Blumenau C-2. Associado à obra são esperadas substituições/adaptações de fundações, suportes, cabos de controle/potência, barramento, conectores e conexão de aterramento.</t>
  </si>
  <si>
    <t>0008386/2023</t>
  </si>
  <si>
    <t>CS751</t>
  </si>
  <si>
    <t>Substituição de Chave Seccionadora tripolar 230 kV, CS755, referente a LT Itajaí - Blumenau C-2. Associado à obra são esperadas substituições/adaptações de fundações, suportes, cabos de controle/potência, barramento, conectores e conexão de aterramento.</t>
  </si>
  <si>
    <t>0008390/2023</t>
  </si>
  <si>
    <t>CS755</t>
  </si>
  <si>
    <t>Substituição de Chave Seccionadora tripolar 230 kV, CS753, referente a LT Itajaí - Blumenau C-2. Associado à obra são esperadas substituições/adaptações de fundações, suportes, cabos de controle/potência, barramento, conectores e conexão de aterramento.</t>
  </si>
  <si>
    <t>0008400/2023</t>
  </si>
  <si>
    <t>CS753</t>
  </si>
  <si>
    <t>Substituição de Chave Seccionadora tripolar 230 kV, CS757, referente a LT Itajaí - Blumenau C-2. Associado à obra são esperadas substituições/adaptações de fundações, suportes, cabos de controle/potência, barramento, conectores e conexão de aterramento.</t>
  </si>
  <si>
    <t>0008403/2023</t>
  </si>
  <si>
    <t>CS757</t>
  </si>
  <si>
    <t>Substituição do para-raios 500kV vão CZ fase V da LT MBIZ-LT702</t>
  </si>
  <si>
    <t>0008413/2023</t>
  </si>
  <si>
    <t>MBPR701 (FASE V)</t>
  </si>
  <si>
    <t>Substituição do para-raios 500kV vão CZ fase B da LT MBIZ-LT702</t>
  </si>
  <si>
    <t>0008417/2023</t>
  </si>
  <si>
    <t>MBPR701 (Fase B)</t>
  </si>
  <si>
    <t>Substituição do para-raios 500kV vão CZ fase A da LT MBIZ-LT702</t>
  </si>
  <si>
    <t>0008428/2023</t>
  </si>
  <si>
    <t>MBPR701 (Fase A)</t>
  </si>
  <si>
    <t>Substituição do Transformador de Potencial 500kV vão CZ- fase V da LT MBIZ-LT702</t>
  </si>
  <si>
    <t>0008500/2023</t>
  </si>
  <si>
    <t>MBTP701 (Fase V)</t>
  </si>
  <si>
    <t>Substituição do Transformador de Potencial 500kV vão CZ- fase B da LT MBIZ-LT702</t>
  </si>
  <si>
    <t>0008507/2023</t>
  </si>
  <si>
    <t>MBTP701 (Fase B)</t>
  </si>
  <si>
    <t>Substituição do Transformador de Potencial 500kV vão CZ- fase A da LT MBIZ-LT702</t>
  </si>
  <si>
    <t>0008513/2023</t>
  </si>
  <si>
    <t>MBTP701 (Fase A)</t>
  </si>
  <si>
    <t>Substituição de TC (Transformador de Corrente) associado ao IZDJ702 fase B</t>
  </si>
  <si>
    <t>0008527/2023</t>
  </si>
  <si>
    <t>MC500-IZTC701 (B) 12391201</t>
  </si>
  <si>
    <t>SUBSTITUIÇÃO DO PARA-RAIO FASE V DA EL DA RPCX-LT602 NA SE COXIPÓ.</t>
  </si>
  <si>
    <t>0008534/2023</t>
  </si>
  <si>
    <t>CXPR601V</t>
  </si>
  <si>
    <t>SUBSTITUIR  TRANSFORMADOR DE CORRENTE 230KV -TF603-MC230-LITC601, FASE A, FASE B, FASE V</t>
  </si>
  <si>
    <t>0008541/2023</t>
  </si>
  <si>
    <t>LDTC6-01 FASE A, FASE B, FASE V</t>
  </si>
  <si>
    <t>SUBSTITUIR  TRANSFORMADOR DE CORRENTE 230KV -TF602-MC230-LITC601, FASE A, FASE B, FASE V</t>
  </si>
  <si>
    <t>0008548/2023</t>
  </si>
  <si>
    <t>LITC6-01  FASE A, FASE B, FASE V</t>
  </si>
  <si>
    <t>SUBSTITUIÇÃO DE PARA RAIO 500KV DO LDAT7-04 - LDPR701 - FASE A</t>
  </si>
  <si>
    <t>TR 500/230 kV SAO LUIS II TR4 MA</t>
  </si>
  <si>
    <t>0008554/2023</t>
  </si>
  <si>
    <t>11986690</t>
  </si>
  <si>
    <t>SUBSTITUIR  TRANSFORMADOR DE CORRENTE 230KV -TF604-MC230-LITC601, FASE A, FASE B, FASE V</t>
  </si>
  <si>
    <t>0008555/2023</t>
  </si>
  <si>
    <t>LITC6-01 FASE A, FASE B, FASE V</t>
  </si>
  <si>
    <t xml:space="preserve"> Substituir todo SPCS referente as DITs dos Setores de 138kV e 69kV e dos Serviços Auxiliares de 13,8kV da SE Miranda II.</t>
  </si>
  <si>
    <t>0008556/2023</t>
  </si>
  <si>
    <t>N-S-MAMR-MG601-MG230</t>
  </si>
  <si>
    <t>Substituição do SPCS na SE Coelho Neto associado ao Tranformador CHTF6-01</t>
  </si>
  <si>
    <t>0008561/2023</t>
  </si>
  <si>
    <t>N-S-MACH-TF601-TF230-CHSPRTF -</t>
  </si>
  <si>
    <t>SUBSTITUIR  TRANSFORMADOR DE CORRENTE 230KV - LDLILT601-ELLI-LITC601, FASE A, FASE B, FASE V</t>
  </si>
  <si>
    <t>0008562/2023</t>
  </si>
  <si>
    <t>Substituição de 2 Transformadores Corrente 500 KV na SE Tucuruí no vão Gx, associado ao disjuntor TCDJ7-19 (7TCGX).</t>
  </si>
  <si>
    <t>0008565/2023</t>
  </si>
  <si>
    <t>7TCGX</t>
  </si>
  <si>
    <t>Substituição do SPCS na SE P. Dutra associado à entrada de linha PTPD-LI4-01 – 02V1 - vão 4AY Equatorial.</t>
  </si>
  <si>
    <t>0008567/2023</t>
  </si>
  <si>
    <t>N-S-MAPD-DIT-BDPDLI401-PDSPRLI</t>
  </si>
  <si>
    <t>SUBSTITUIÇÃO DOS SPCS DA LINHA BDPDLI401</t>
  </si>
  <si>
    <t>0008571/2023</t>
  </si>
  <si>
    <t>Substituição dos equipamentos da rede de comunicação de dados da rede LAN da Subestação: Painéis, Máquina de engenharia, Sistema supervisório, Switches, GPS, fibra óticas  etc. - EL TUTC-LT701, 02, 03, 04, 05, 06, 07, 08, 09, 10 e 11.</t>
  </si>
  <si>
    <t>0008580/2023</t>
  </si>
  <si>
    <t>N-S-PATC-MG701-MG500-SPCSU</t>
  </si>
  <si>
    <t>SUBSTITUIR  TRANSFORMADOR DE CORRENTE 230KV - LDTC6-01 FASE V</t>
  </si>
  <si>
    <t>0009541/2023</t>
  </si>
  <si>
    <t>SUBSTITUIR  TRANSFORMADOR DE CORRENTE 230KV - LDLILT602-ELLI-LITC601, FASE A, FASE B, FASE V</t>
  </si>
  <si>
    <t>0008587/2023</t>
  </si>
  <si>
    <t>SUBSTITUIÇÃO DE SECCIONADORA DE ATERRAMENTO 230 kV VCCA6-08</t>
  </si>
  <si>
    <t>0008592/2023</t>
  </si>
  <si>
    <t>VCCA6-08</t>
  </si>
  <si>
    <t>Substituição do sistema de alimentação dos serviços auxiliares proveniente do terciário do TF6 da SE Charqueadas. O novo sistema será composto por: um transformador de serviços auxiliares (TSA) 13,8kV-380/220 Vca, chave fusível, TPs, para-raios, resistor de aterramento, reatores limitadores e cabos isolados 15/20 kV.</t>
  </si>
  <si>
    <t>0008593/2023</t>
  </si>
  <si>
    <t>DJ214, CS213, TSA2</t>
  </si>
  <si>
    <t>SUBSTITUIÇÃO DE SECCIONADORA DE ATERRAMENTO 500 kV VCCA7-04</t>
  </si>
  <si>
    <t>0008596/2023</t>
  </si>
  <si>
    <t>VCCA7-04</t>
  </si>
  <si>
    <t>SUBSTITUIÇÃO DE SECCIONADORA 500 kV VCST7-01</t>
  </si>
  <si>
    <t>0008597/2023</t>
  </si>
  <si>
    <t>VCST7-01</t>
  </si>
  <si>
    <t>Substituir o sistema de proteção, controle e supervisão para modernização da subestação, incluindo a substtuição de painéis de proteção e controle (cadeias principal e alternada), IEDs de proteção, controle e oscilografia digitais e demais componentes referentes ao vão Fx - UHE Tucuruí C1.</t>
  </si>
  <si>
    <t>0008600/2023</t>
  </si>
  <si>
    <t>N-S-PATC-TUTCLT701-ELTC-TCSPR01</t>
  </si>
  <si>
    <t>SUBSTITUIÇÃO DE SECCIONADORA 500 kV VCSD7-06</t>
  </si>
  <si>
    <t>0008599/2023</t>
  </si>
  <si>
    <t>VCSD7-06</t>
  </si>
  <si>
    <t>Substituição de TC (Transformador de Corrente) associado ao IZDJ706 fase B</t>
  </si>
  <si>
    <t>0008907/2023</t>
  </si>
  <si>
    <t>N-S-MAIZ-MBIZLT702-ELIZ-IZTC701 (B) 12391194</t>
  </si>
  <si>
    <t>LT 525 kV GRAVATAI / NOVA SANTA RITA C-1 RS</t>
  </si>
  <si>
    <t>Substituição de fundações em grelha metálica de duas torres da LT 525 kV Gravataí - Nova Santa Rita C-1. As torres envolvidas são as de número de operação: 019 e 020.</t>
  </si>
  <si>
    <t>0008607/2023</t>
  </si>
  <si>
    <t>SUBSTITUIÇÃO DO SPCS DO BANCO DE CAPACITORES 13.8KV NÚMERO 3 DE RONDONÓPOLIS.</t>
  </si>
  <si>
    <t>0008611/2023</t>
  </si>
  <si>
    <t>RPSPRBC-3</t>
  </si>
  <si>
    <t>SUBSTITUIÇÃO DO SPCS DO BANCO DE CAPACITORES 13.8KV NÚMERO 2 DE RONDONÓPOLIS.</t>
  </si>
  <si>
    <t>0008614/2023</t>
  </si>
  <si>
    <t>RPSPRBC-2</t>
  </si>
  <si>
    <t>SUBSTITUIÇÃO DE 7 IP's  POR OUTROS DE CARACTERÍSTICAS SEMELHANTES (VCAT7-02)</t>
  </si>
  <si>
    <t>0008615/2023</t>
  </si>
  <si>
    <t>SUBSTITUIÇÃO DO SPCS DO BANCO DE CAPACITORES 13.8KV NÚMERO 1 DE RONDONÓPOLIS.</t>
  </si>
  <si>
    <t>0008620/2023</t>
  </si>
  <si>
    <t>RPSPRBC-1</t>
  </si>
  <si>
    <t>SUBSTITUIÇÃO DE SECCIONADORA 500 kV VCSD7-12</t>
  </si>
  <si>
    <t>0008625/2023</t>
  </si>
  <si>
    <t>VCSD7-12</t>
  </si>
  <si>
    <t>SUBSTITUIÇÃO DO DISJUNTOR LIDJ4-10</t>
  </si>
  <si>
    <t>0008628/2023</t>
  </si>
  <si>
    <t>Substituição do grupo gerador de emergência num. 01 da SE IMPERATRIZ IZSAE01.</t>
  </si>
  <si>
    <t>MG 500 kV IMPERATRIZ MG2 MA</t>
  </si>
  <si>
    <t>0008663/2023</t>
  </si>
  <si>
    <t>N-S-MAIZ-MG701-MG500-SAE01-IZSAE01</t>
  </si>
  <si>
    <t>SUBSTITUIÇÃO DE PARA RAIO 230KV DA LINHA ALLDLI6-02 - LDPR601 - FASE A</t>
  </si>
  <si>
    <t>0008914/2023</t>
  </si>
  <si>
    <t>N-S-MALD-ALLDLI602-ELLD-LDPR601</t>
  </si>
  <si>
    <t>SUBSTITUIÇÃO DE SECCIONADORA 230 kV VCSD6-24</t>
  </si>
  <si>
    <t>OUTRA FUNÇÃO</t>
  </si>
  <si>
    <t>0008635/2023</t>
  </si>
  <si>
    <t>VCSD6-24</t>
  </si>
  <si>
    <t>SUBSTITUIÇÃO DE PARA RAIO 230KV DA LINHA ALLDLI6-02 - LDPR601 - FASE V</t>
  </si>
  <si>
    <t>0008916/2023</t>
  </si>
  <si>
    <t>SUBSTITUIÇÃO DA BUCHA DE 500 kV DO REATOR IZRE7-04, FASE "B".</t>
  </si>
  <si>
    <t>0008917/2023</t>
  </si>
  <si>
    <t>N-S-MAIZ-IZPDLT702-IZRE704-IZRE704</t>
  </si>
  <si>
    <t>SUBSTITUIÇÃO DE SECCIONADORA 500 kV VCST7-02</t>
  </si>
  <si>
    <t>0008640/2023</t>
  </si>
  <si>
    <t>VCST7-02</t>
  </si>
  <si>
    <t>SUBSTITUIÇÃO DE SECCIONADORA 230 kV VCSD6-23</t>
  </si>
  <si>
    <t>0008643/2023</t>
  </si>
  <si>
    <t>VCSD6-23</t>
  </si>
  <si>
    <t>SUBSTITUIÇÃO DE SECCIONADORA 230 kV VCSD6-22</t>
  </si>
  <si>
    <t>0008648/2023</t>
  </si>
  <si>
    <t>VCSD6-22</t>
  </si>
  <si>
    <t>SUBSTITUIÇÃO DE SECCIONADORA 500 kV VCSD7-05</t>
  </si>
  <si>
    <t>0008662/2023</t>
  </si>
  <si>
    <t>VCSD7-05</t>
  </si>
  <si>
    <t>SUBSTITUIÇÃO DE SECCIONADORA 500 kV VCSD7-04</t>
  </si>
  <si>
    <t>0008666/2023</t>
  </si>
  <si>
    <t>VCSD7-04</t>
  </si>
  <si>
    <t>SUBSTITUIÇÃO DE SECCIONADORA 500 kV VCSD7-03</t>
  </si>
  <si>
    <t>0008669/2023</t>
  </si>
  <si>
    <t>VCSD7-03</t>
  </si>
  <si>
    <t>SUBSTITUIÇÃO DE SECCIONADORA 500 kV VCSD7-02</t>
  </si>
  <si>
    <t>0008678/2023</t>
  </si>
  <si>
    <t>VCSD7-02</t>
  </si>
  <si>
    <t>Substituir o sistema de proteção, controle e supervisão para modernização da subestação, incluindo a substtuição de painéis de proteção e controle (cadeias principal e alternada), IEDs de proteção, controle e oscilografia digitais e demais componentes referentes ao vão Ex - UHE Tucuruí C2.</t>
  </si>
  <si>
    <t>0008680/2023</t>
  </si>
  <si>
    <t>N-S-PATC-TUTCLT702-ELTC-TCSPR01</t>
  </si>
  <si>
    <t>Substituição de TC (Transformador de Corrente) associado ao PDRE7-08 (PDTC7-01 FASE V) Local de Instalação: N-S-MAPD-TSPDLI701-MCPDRE708-PDTC701  Fase V Equipamento SAP: 11991756</t>
  </si>
  <si>
    <t>0008682/2023</t>
  </si>
  <si>
    <t>11991756</t>
  </si>
  <si>
    <t>SUBSTITUIÇÃO DO TRANSFOMADOR DE CORRENTE 69KV FASE B</t>
  </si>
  <si>
    <t>0008684/2023</t>
  </si>
  <si>
    <t>N-S-MAPD-TF601-MC69-PDTC401 -11991584</t>
  </si>
  <si>
    <t>Substituição de TC (Transformador de Corrente) associado ao PDRE7-08 (PDTC7-01 FASE B) Local de Instalação: N-S-MAPD-TSPDLI701-MCPDRE708-PDTC701  Fase B Equipamento SAP: 11991755</t>
  </si>
  <si>
    <t>0008686/2023</t>
  </si>
  <si>
    <t>11991755</t>
  </si>
  <si>
    <t>Substituição de TC (Transformador de Corrente) associado ao PDRE7-08 (PDTC7-01 FASE A) Local de Instalação: N-S-MAPD-TSPDLI701-MCPDRE708-PDTC701  Fase A Equipamento SAP: 11991754</t>
  </si>
  <si>
    <t>0008695/2023</t>
  </si>
  <si>
    <t>11991754</t>
  </si>
  <si>
    <t>SUBSTITUIÇÃO DO TRANSFOMADOR DE CORRENTE 69KV FASE A</t>
  </si>
  <si>
    <t>0008698/2023</t>
  </si>
  <si>
    <t>N-S-MAPD-TF601-MC69-PDTC401 -11991583</t>
  </si>
  <si>
    <t>Substituir o sistema de proteção, controle e supervisão para modernização da subestação, incluindo a substtuição de painéis de proteção e controle (cadeias principal e alternada), IEDs de proteção, controle e oscilografia digitais e demais componentes referentes ao vão Dx - UHE Tucuruí C3.</t>
  </si>
  <si>
    <t>0008699/2023</t>
  </si>
  <si>
    <t>N-S-PATC-TUTCLT703-ELTC-TCSPR01</t>
  </si>
  <si>
    <t>Substituição de TC (Transformador de Corrente) associado ao PDDJ7-14 (PDTC7-01 FASE V) Local de Instalação: N-S-MAPD-TSPDLI701-ELPD-PDTC701  Fase V Equipamento SAP: 11991747</t>
  </si>
  <si>
    <t>0008704/2023</t>
  </si>
  <si>
    <t>11991747</t>
  </si>
  <si>
    <t>Substituição de TC (Transformador de Corrente) associado ao PDDJ7-14 (PDTC7-01 FASE B) Local de Instalação: N-S-MAPD-TSPDLI701-ELPD-PDTC701  Fase B Equipamento SAP: 11991746</t>
  </si>
  <si>
    <t>0008706/2023</t>
  </si>
  <si>
    <t>11991746</t>
  </si>
  <si>
    <t>Substituição de TC (Transformador de Corrente) associado ao PDDJ7-14 (PDTC7-01 FASE A) Local de Instalação: N-S-MAPD-TSPDLI701-ELPD-PDTC701  Fase A Equipamento SAP: 11991745</t>
  </si>
  <si>
    <t>0008708/2023</t>
  </si>
  <si>
    <t>11991745</t>
  </si>
  <si>
    <t>0008717/2023</t>
  </si>
  <si>
    <t>N-S-PATC-TUTCLT704-ELTC-TCSPR01</t>
  </si>
  <si>
    <t>Substituição do sistema de alimentação dos serviços auxiliares proveniente do terciário do TF5 da SE Charqueadas. O novo sistema será proveniente de ramal externo em 13,8 kV, contendo cabine de medição, sendo que o padrão deve ser definido pela concessionária de distribuição local.</t>
  </si>
  <si>
    <t>0008719/2023</t>
  </si>
  <si>
    <t>DJ212, CS211, TSA1</t>
  </si>
  <si>
    <t>SUBSTITUIÇÃO DO REATOR DE NEUTRO DO PDRE7-07, 69KV</t>
  </si>
  <si>
    <t>0008720/2023</t>
  </si>
  <si>
    <t>11991538</t>
  </si>
  <si>
    <t>SUBSTITUIÇÃO DO REATOR DE NEUTRO DO PDRE7-03, 69KV</t>
  </si>
  <si>
    <t>0008722/2023</t>
  </si>
  <si>
    <t>N-S-MAPD-PDSOLT701-PDRE702-PDRE702 - 11991454</t>
  </si>
  <si>
    <t>SUBSTITUIÇÃO DO REATOR DE NEUTRO DO PDRE7-02, 69KV</t>
  </si>
  <si>
    <t>0008730/2023</t>
  </si>
  <si>
    <t>N-S-MAPD-MG701-MG500-CA003-PDTF207 - 11911273</t>
  </si>
  <si>
    <t>Substituição de cabos contrapesos (aterramento) de duas torres da LT 525 kV Gravataí - Nova Santa Rita C-1. As torres envolvidas são as de número de operação: 019 e 020.</t>
  </si>
  <si>
    <t>0008731/2023</t>
  </si>
  <si>
    <t>SUBSTITUIÇÃO DO TRANSFORMADOR REGULADOR PDTF2-06, 13.8KV.</t>
  </si>
  <si>
    <t>0008734/2023</t>
  </si>
  <si>
    <t>N-S-MAPD-MG701-MG500-CA002-PDTF206-11911269</t>
  </si>
  <si>
    <t>SUBSTITUIÇÃO DE PARA RAIO 500KV DO REATOR MCPDRE7-03 DA LINHA PDMRLT7-02 - PDPR701 - FASE V</t>
  </si>
  <si>
    <t>0008737/2023</t>
  </si>
  <si>
    <t>11991243</t>
  </si>
  <si>
    <t>SUBSTITUIÇÃO DO DISJUNTOR IZDJ7-01, 500 kV</t>
  </si>
  <si>
    <t>0008919/2023</t>
  </si>
  <si>
    <t>IZDJ7-01</t>
  </si>
  <si>
    <t>Substituir o sistema de proteção, controle e supervisão para modernização da subestação, incluindo a substtuição de painéis de proteção e controle (cadeias principal e alternada), IEDs de proteção, controle e oscilografia digitais e demais componentes referentes ao vão Bx - UHE Tucuruí C5.</t>
  </si>
  <si>
    <t>0008750/2023</t>
  </si>
  <si>
    <t>N-S-PATC-TUTCLT705-ELTC-TCSPR01</t>
  </si>
  <si>
    <t>Substituição de TC (Transformador de Corrente) associado ao PDRE7-01 (PDTC7-01 FASE V) Local de Instalação: N-S-MAPD-RE701-MC500-PDTC701  Fase V Equipamento SAP: 11991504</t>
  </si>
  <si>
    <t>0008751/2023</t>
  </si>
  <si>
    <t>11991504</t>
  </si>
  <si>
    <t>Substituir o sistema de proteção, controle e supervisão para modernização da subestação, incluindo a substtuição de painéis de proteção e controle (cadeias principal e alternada), IEDs de proteção, controle e oscilografia digitais e demais componentes referentes ao vão Ax - UHE Tucuruí C6.</t>
  </si>
  <si>
    <t>0008755/2023</t>
  </si>
  <si>
    <t>N-S-PATC-TUTCLT706-ELTC-TCSPR01</t>
  </si>
  <si>
    <t>SUBSTITUIÇÃO DE BUCHAS, VEDAÇÕES, PAINEL DE INSTRUMENTAÇÃO/VENTILAÇÃO, VÁLVULAS, RELÉS DE GÁS E BOLSA DE EXPANSÃO, ETC, DO MRRE6-01</t>
  </si>
  <si>
    <t>RT 230 kV 10 Mvar MIRANDA II RT1 MA</t>
  </si>
  <si>
    <t>0008762/2023</t>
  </si>
  <si>
    <t>N-S-MAMR-RE601-RE230-MRRE601 -11910990</t>
  </si>
  <si>
    <t>Substituir o sistema de proteção, controle e supervisão para modernização da subestação, incluindo a substtuição de painéis de proteção e controle (cadeias principal e alternada), IEDs de proteção, controle e oscilografia digitais e demais componentes referentes ao vão Gx - UHE Tucuruí C7.</t>
  </si>
  <si>
    <t>0008763/2023</t>
  </si>
  <si>
    <t>N-S-PATC-TUTCLT707-ELTC-TCSPR01</t>
  </si>
  <si>
    <t>SUBSTITUIÇÃO DE BUCHAS, VEDAÇÕES, PAINEL DE INSTRUMENTAÇÃO/VENTILAÇÃO, VÁLVULAS, RELÉS DE GÁS E BOLSA DE EXPANSÃO, ETC, DO PDRE7-08 FASE RESERVA</t>
  </si>
  <si>
    <t>RTL 500 kV 50 Mvar P.DUTRA RTR2 MA</t>
  </si>
  <si>
    <t>0008765/2023</t>
  </si>
  <si>
    <t>N-S-MAPD-RR708-RR500-PDRR708 - 11991767</t>
  </si>
  <si>
    <t>SUBSTITUIÇÃO DE BUCHAS, VEDAÇÕES, PAINEL DE INSTRUMENTAÇÃO/VENTILAÇÃO, VÁLVULAS, RELÉS DE GÁS E BOLSA DE EXPANSÃO, ETC, DO PDRE7-09 FASE B</t>
  </si>
  <si>
    <t>0008767/2023</t>
  </si>
  <si>
    <t>N-S-MAPD-RE709-RE500-PDRE709 -11991544</t>
  </si>
  <si>
    <t>Substituir o sistema de proteção, controle e supervisão para modernização da subestação, incluindo a substtuição de painéis de proteção e controle (cadeias principal e alternada), IEDs de proteção, controle e oscilografia digitais e demais componentes referentes ao vão Hx - UHE Tucuruí C8.</t>
  </si>
  <si>
    <t>0008768/2023</t>
  </si>
  <si>
    <t>N-S-PATC-TUTCLT708-ELTC-TCSPR01</t>
  </si>
  <si>
    <t>SUBSTITUIÇÃO DE PARA RAIO 138KV DA LINHA TTPFLI5-01 (DIST 02)  - PFPR501 - FASE V.</t>
  </si>
  <si>
    <t>0008770/2023</t>
  </si>
  <si>
    <t>11992321</t>
  </si>
  <si>
    <t>Substituir o sistema de proteção, controle e supervisão para modernização da subestação, incluindo a substtuição de painéis de proteção e controle (cadeias principal e alternada), IEDs de proteção, controle e oscilografia digitais e demais componentes referentes ao vão Ix - UHE Tucuruí C9.</t>
  </si>
  <si>
    <t>0008772/2023</t>
  </si>
  <si>
    <t>N-S-PATC-TUTCLT709-ELTC-TCSPR01</t>
  </si>
  <si>
    <t>SUBSTITUIÇÃO DE PARA RAIO 138 KV DA LINHA TTPFLI5-01 (DIST 02)  - PFPR501 - FASE B.</t>
  </si>
  <si>
    <t>0008773/2023</t>
  </si>
  <si>
    <t>11992320</t>
  </si>
  <si>
    <t>Substituir o sistema de proteção, controle e supervisão para modernização da subestação, incluindo a substtuição de painéis de proteção e controle (cadeias principal e alternada), IEDs de proteção, controle e oscilografia digitais e demais componentes referentes ao vão Jx - UHE Tucuruí C10.</t>
  </si>
  <si>
    <t>0008777/2023</t>
  </si>
  <si>
    <t>N-S-PATC-TUTCLT710-ELTC-TCSPR01</t>
  </si>
  <si>
    <t>SUBSTITUIÇÃO DE PARA RAIO 138 KV DA LINHA TTPFLI5-01 (DIST 02)  - PFPR501 - FASE A.</t>
  </si>
  <si>
    <t>0008779/2023</t>
  </si>
  <si>
    <t>11992319</t>
  </si>
  <si>
    <t>Substituir o sistema de proteção, controle e supervisão para modernização da subestação, incluindo a substtuição de painéis de proteção e controle (cadeias principal e alternada), IEDs de proteção, controle e oscilografia digitais e demais componentes referentes ao vão Kx - UHE Tucuruí C11.</t>
  </si>
  <si>
    <t>0008783/2023</t>
  </si>
  <si>
    <t>N-S-PATC-TUTCLT711-ELTC-TCSPR01</t>
  </si>
  <si>
    <t>SUBSTITUIÇÃO DE PARA RAIO 230KV DO PFTF6-01 - PFPR601 - FASE V</t>
  </si>
  <si>
    <t>0008785/2023</t>
  </si>
  <si>
    <t>11992357</t>
  </si>
  <si>
    <t>Substituir o sistema de proteção, controle e supervisão para modernização da subestação, incluindo a substituição de painéis de proteção e controle (cadeias principal e alternada), IEDs de proteção, controle e oscilografia digitais e demais componentes, referente à LT 69 kV US. TUCURUI /TUCURUI C-1 PA.</t>
  </si>
  <si>
    <t>DIT - LT 69 kV US. TUCURUI /TUCURUI C-1 PA</t>
  </si>
  <si>
    <t>0008788/2023</t>
  </si>
  <si>
    <t>N-S-PATC-TUTCLT401-ELTC-TCSPR01</t>
  </si>
  <si>
    <t>SUBSTITUIÇÃO DE PARA RAIO 230KV DO PFTF6-01 - PFPR601 - FASE B</t>
  </si>
  <si>
    <t>0008789/2023</t>
  </si>
  <si>
    <t>11992356</t>
  </si>
  <si>
    <t>SUBSTITUIÇÃO DE PARA RAIO 230KV DO PFTF6-01 - PFPR601 - FASE A</t>
  </si>
  <si>
    <t>0008791/2023</t>
  </si>
  <si>
    <t>11992355</t>
  </si>
  <si>
    <t>Substituir o sistema de proteção, controle e supervisão para modernização da subestação, incluindo a substituição de painéis de proteção e controle (cadeias principal e alternada), IEDs de proteção, controle e oscilografia digitais e demais componentes, referente à LT 69 kV US. TUCURUI /TUCURUI C-2 PA.</t>
  </si>
  <si>
    <t>DIT - LT 69 kV US. TUCURUI /TUCURUI C-2 PA</t>
  </si>
  <si>
    <t>0008792/2023</t>
  </si>
  <si>
    <t>N-S-PATC-TUTCLT402-ELTC-TCSPR01</t>
  </si>
  <si>
    <t>SUBSTITUIÇÃO DO DISJUNTOR BSDJ4-07</t>
  </si>
  <si>
    <t>0008794/2023</t>
  </si>
  <si>
    <t>N-S-MABS-NFT-BLBSLI403-BSDJ407 - 11909015</t>
  </si>
  <si>
    <t>SUBSTITUIÇÃO DO DISJUNTOR BSDJ4-06</t>
  </si>
  <si>
    <t>TR 230 / 69 kV BALSAS TR2 MA</t>
  </si>
  <si>
    <t>0008796/2023</t>
  </si>
  <si>
    <t>N-S-MABS-TF602-MC69-BSDJ406 - 11910363</t>
  </si>
  <si>
    <t>SUBSTITUIÇÃO DO DISJUNTOR LIDJ4-14</t>
  </si>
  <si>
    <t>0008798/2023</t>
  </si>
  <si>
    <t>N-S-MALI-DIT-MCLILI402-LIDJ414 - 11910363</t>
  </si>
  <si>
    <t>Substituição das proteções e controle diferencial para as barras nº 01 (CJBR6-01) e nº 2 (CJBR6-02) - Cadeia Principal, contemplando uma unidade central com capacidade de, no mínimo, trezes vãos e, no mínimo, sete unidades de bay (bays unit).</t>
  </si>
  <si>
    <t>0008801/2023</t>
  </si>
  <si>
    <t>CJSPR-BR6-01</t>
  </si>
  <si>
    <t>SUBSTITUIÇÃO DO DISJUNTOR IZDJ4-06</t>
  </si>
  <si>
    <t>0009180/2023</t>
  </si>
  <si>
    <t>IZDJ4-06</t>
  </si>
  <si>
    <t>SUBSTITUIR  DISJUNTOR 69KV PFDJ4-01</t>
  </si>
  <si>
    <t>0009189/2023</t>
  </si>
  <si>
    <t>PFDJ4-01</t>
  </si>
  <si>
    <t>SUBSTITUIR DISJUNTOR 69KV PFDJ4-04</t>
  </si>
  <si>
    <t>0009190/2023</t>
  </si>
  <si>
    <t>PFDJ4-04</t>
  </si>
  <si>
    <t>SUBSTITUIR  DISJUNTOR 69KV PRDB4-01</t>
  </si>
  <si>
    <t>0009234/2023</t>
  </si>
  <si>
    <t>PRDB4-01</t>
  </si>
  <si>
    <t>SUBSTITUIÇÃO DE PARA RAIO DO REATOR MCIZRE7-04 DA LINHA IZPDLT7-02 - IZPR701 - FASE A</t>
  </si>
  <si>
    <t>0009249/2023</t>
  </si>
  <si>
    <t>N-S-MAIZ-IZPDLT702-MCIZRE704-IZPR701</t>
  </si>
  <si>
    <t>Substituição Painéis SPCS 500 kV, do reator MBRE7-04, (Reator de LT MBIZ-LT702) com vida útil esgotada por um novo com características similares.</t>
  </si>
  <si>
    <t>0008814/2023</t>
  </si>
  <si>
    <t>MBSPRRE (11917866)</t>
  </si>
  <si>
    <t>SUBSTITUIÇÃO DE PARA RAIO DO REATOR MCIZRE7-04 DA LINHA IZPDLT7-02 - IZPR701 - FASE B</t>
  </si>
  <si>
    <t>0009251/2023</t>
  </si>
  <si>
    <t>SUBSTITUIÇÃO DE PARA RAIO DO REATOR MCIZRE7-04 DA LINHA IZPDLT7-02 - IZPR701 - FASE V</t>
  </si>
  <si>
    <t>0009252/2023</t>
  </si>
  <si>
    <t>Substituição da chave seccionadora 500kV MBSD7-11</t>
  </si>
  <si>
    <t>0008822/2023</t>
  </si>
  <si>
    <t>MBSD7-11</t>
  </si>
  <si>
    <t>SUBSTITUIÇÃO DE  DISJUNTOR 230 kV VCDJ6-11</t>
  </si>
  <si>
    <t>0008824/2023</t>
  </si>
  <si>
    <t>VCDJ6-11  (12335013)</t>
  </si>
  <si>
    <t>SUBSTITUIÇÃO DE UM TPC DE 230 kV, LDLI-LT6-01-ELLD-LDTP6-01, FASE "A"</t>
  </si>
  <si>
    <t>0009276/2023</t>
  </si>
  <si>
    <t>N-S-MALD-LDLILT601-ELLD-LDTP601 (11987104)</t>
  </si>
  <si>
    <t>SUBSTITUIÇÃO DE UM TPC DE 230 kV, LDLI-LT6-01-ELLD-LDTP6-01, FASE "V"</t>
  </si>
  <si>
    <t>0009277/2023</t>
  </si>
  <si>
    <t>N-S-MALD-LDLILT601-ELLD-LDTP601 (11987106)</t>
  </si>
  <si>
    <t>SUBSTITUIÇÃO DE UM TPC DE 230 kV, LDLI-LT6-02-ELLD-LDTP6-01, FASE "A"</t>
  </si>
  <si>
    <t>0009280/2023</t>
  </si>
  <si>
    <t>ELLD-LDTP601 (11987137)</t>
  </si>
  <si>
    <t>SUBSTITUIÇÃO DE SECCIONADORA 230 kV VCSD6-27</t>
  </si>
  <si>
    <t>0008826/2023</t>
  </si>
  <si>
    <t>VCSD6-27 - 11919771</t>
  </si>
  <si>
    <t>SUBSTITUIÇÃO DE UM TPC DE 500 kV, N-S-MAIZ-MG701-MG500-BR701-TP701, FASE "B"</t>
  </si>
  <si>
    <t>0009281/2023</t>
  </si>
  <si>
    <t>N-S-MAIZ-MG701-MG500-BR701-TP701</t>
  </si>
  <si>
    <t>Substituição da chave seccionadora 500kV MBSD7-12</t>
  </si>
  <si>
    <t>0008827/2023</t>
  </si>
  <si>
    <t>MBSD7-12</t>
  </si>
  <si>
    <t>SUBSTITUIÇÃO DE PARA RAIO 230KV DO LDAT7-04 - LDPR601 - FASE A</t>
  </si>
  <si>
    <t>0009147/2023</t>
  </si>
  <si>
    <t>N-S-MALD-AT704-MC230-LDPR601</t>
  </si>
  <si>
    <t>Substituição da chave seccionadora 500kV MBSL7-04 e chave de terra acoplada MBCA7-06 da LT MBIZ-02</t>
  </si>
  <si>
    <t>0008833/2023</t>
  </si>
  <si>
    <t>MBSL7-04 / MBCA7-06</t>
  </si>
  <si>
    <t>SUBSTITUIÇÃO DE PARA RAIO 230KV DA LINHA ALLDLI6-01 - LDPR601 - FASE A</t>
  </si>
  <si>
    <t>0009152/2023</t>
  </si>
  <si>
    <t>ALLDLI601-ELLD-LDPR601</t>
  </si>
  <si>
    <t>SUBSTITUIÇÃO DE SECCIONADORA 500 kV  VCCA7-03 da LT TCVC-LT701.</t>
  </si>
  <si>
    <t>0008835/2023</t>
  </si>
  <si>
    <t>VCCA7-03</t>
  </si>
  <si>
    <t>Substituição de TC (Transformador de Corrente) associado ao PDDJ717 fase B</t>
  </si>
  <si>
    <t>0009121/2023</t>
  </si>
  <si>
    <t>ELPD-PDTC701 (B) 11991825</t>
  </si>
  <si>
    <t>SUBSTITUIÇÃO DO SISTEMA DE PROTEÇAO, COMANDO E SUPERVISÃO DO BAY DA LINHA LDLILT602-ELLD-LDSPRLT</t>
  </si>
  <si>
    <t>0009052/2023</t>
  </si>
  <si>
    <t>LDLILT602-ELLD-LDSPRLT</t>
  </si>
  <si>
    <t>SUBSTITUIÇÃO DE  DISJUNTOR 230 kV - VCDJ6-13</t>
  </si>
  <si>
    <t>0008839/2023</t>
  </si>
  <si>
    <t>VCDJ6-14 -11919599</t>
  </si>
  <si>
    <t>Substituição do quadro de Serviços auxiliares de 125 VCC PSA3 da sala de comando da SE Coelho Neto 230 kV</t>
  </si>
  <si>
    <t>MG 230 kV COELHO NETO MG1 MA</t>
  </si>
  <si>
    <t>0009068/2023</t>
  </si>
  <si>
    <t>N-S-MACH-MG601-MG230-SAE01</t>
  </si>
  <si>
    <t>Substituição do quadro de Serviços auxiliares de 380/220 VCA  QSA1  da sala de comando da SE Couto Magalhães 138 kV</t>
  </si>
  <si>
    <t>0009076/2023</t>
  </si>
  <si>
    <t>N-S-MTCM-DIT-SSC01 11912765</t>
  </si>
  <si>
    <t>SUBSTITUIÇÃO DO SISTEMA DE PROTEÇAO, COMANDO E SUPERVISÃO DO BAY DA LINHA LDLILT601-ELLD-LDSPRLT</t>
  </si>
  <si>
    <t>0009054/2023</t>
  </si>
  <si>
    <t>LDLILT601-ELLD-LDSPRLT</t>
  </si>
  <si>
    <t>LT 500 kV ANGRA FUR /C. PAULISTA C-1 RJ/SP</t>
  </si>
  <si>
    <t>Instalação de 103 km de cabos OPGW em substuição ao PR de aço convencional da Linha de transmissão</t>
  </si>
  <si>
    <t>0008843/2023</t>
  </si>
  <si>
    <t>Substituição do quadro de Serviços auxiliares de 125 VCC QSA2 da sala de comando da SE Couto Magalhães 138 kV</t>
  </si>
  <si>
    <t>MG 138 kV C. MAGALHAES MG1 MT</t>
  </si>
  <si>
    <t>0009079/2023</t>
  </si>
  <si>
    <t>N-S-MTCM-DIT-SSC01 - 11912767</t>
  </si>
  <si>
    <t>SUBSTITUIÇÃO DE  SECCIONADORA 500 kV - VCSD6-26</t>
  </si>
  <si>
    <t>0008848/2023</t>
  </si>
  <si>
    <t>VCSD6-26 - 11919603</t>
  </si>
  <si>
    <t>Substituição dos quadros de Serviços Auxiliares PT-1EA/PT1-EB/PT-2/PT-3/PT4-EA/PT4-EB/PT-6EA e PT-6EB de 440VCA da sala de comando da SE Imperatriz 500 kV.</t>
  </si>
  <si>
    <t>0009018/2023</t>
  </si>
  <si>
    <t>N-S-MAIZ-MG701-MG500-SAE00</t>
  </si>
  <si>
    <t>SUBSTITUIÇÃO DO SISTEMA DE PROTEÇAO, COMANDO E SUPERVISÃO DO BAY DA LINHA LDMRLT601-ELLD-LDSPRLT</t>
  </si>
  <si>
    <t>0009063/2023</t>
  </si>
  <si>
    <t>LDMRLT601-ELLD-LDSPRLT</t>
  </si>
  <si>
    <t>Substituição dos quadros de Serviços Auxiliares Painel 57/Painel 58/Painel 59/Painel 60/painel 61/Painel 62 e Painel 76 de 220VCA da sala de comando da SE Imperatriz 500 kV.</t>
  </si>
  <si>
    <t>0009282/2023</t>
  </si>
  <si>
    <t>Substituição dos quadros de Serviços Auxiliares PT1-EA/PT1-EB/PT-2/PT-3/PT--EA/PT5-EB e PT-6 de 440VCA da sala de comando da SE P.Dutra 500 kV</t>
  </si>
  <si>
    <t>0009287/2023</t>
  </si>
  <si>
    <t>N-S-MAPD-MG701-MG500-SAE00</t>
  </si>
  <si>
    <t>0009303/2023</t>
  </si>
  <si>
    <t>Substituição dos quadros de Serviços Auxiliares PT-1EA/PT1-EB/PT-2 e PT-3 de 220VCA da sala de comando da SE P.Dutra 500 kV</t>
  </si>
  <si>
    <t>0009022/2023</t>
  </si>
  <si>
    <t>Substituição dos quadros de serviços auxiliares PT-1EA/PT1-EB e PT-2 de 125VCC da sala de comando da SE P.Dutra 500 kV</t>
  </si>
  <si>
    <t>0009024/2023</t>
  </si>
  <si>
    <t>Substituição de 3 IPs (MBRE7-04) por outro de características semelhantes.</t>
  </si>
  <si>
    <t>0009175/2023</t>
  </si>
  <si>
    <t>Substituição de 4 IPs  por outro de características semelhantes (BARRAMENTO).</t>
  </si>
  <si>
    <t>0009176/2023</t>
  </si>
  <si>
    <t>Substituição de 1 IP por outro de características semelhantes (LT MBLT7-02).</t>
  </si>
  <si>
    <t>0009181/2023</t>
  </si>
  <si>
    <t>SUBSTITUIÇÃO DE  SECCIONADORA 500 kV - VCSD6-25</t>
  </si>
  <si>
    <t>0008862/2023</t>
  </si>
  <si>
    <t>VCSD6-25 - 11919602</t>
  </si>
  <si>
    <t>Substituição de TC (Transformador de Corrente) associado ao PDDJ704 fase B</t>
  </si>
  <si>
    <t>0009101/2023</t>
  </si>
  <si>
    <t>N-S-MAPD-PDSOLT701-MCPDRE702-PDTC701 (B) 11991442</t>
  </si>
  <si>
    <t>SUBSTITUIÇÃO DE SECCIONADORA 230 kV VCSD6-28</t>
  </si>
  <si>
    <t>0008868/2023</t>
  </si>
  <si>
    <t>VCSD6-28 - 11919772</t>
  </si>
  <si>
    <t>Substituição de TC (Transformador de Corrente) associado ao IZDJ701 fase V, 500 kV</t>
  </si>
  <si>
    <t>0009309/2023</t>
  </si>
  <si>
    <t>N-S-MAIZ-MG701-IB500IB1-IZTC702 (V) 12391202</t>
  </si>
  <si>
    <t>Substituição do quadro de Serviços auxiliares de 125 VCC  PD1 da sala de Comando de 138/69 kV da SE Porto Franco 230 kV</t>
  </si>
  <si>
    <t>MG 230 kV PORTO FRANCO MG1 MA</t>
  </si>
  <si>
    <t>0009081/2023</t>
  </si>
  <si>
    <t>N-S-MAPF-MG601-MG230-SAE00</t>
  </si>
  <si>
    <t>SUBSTITUIÇÃO DE  SECCIONADORA DE ATERRAMENTO 230 kV VCCA6-10</t>
  </si>
  <si>
    <t>0008873/2023</t>
  </si>
  <si>
    <t>VCCA6-10 - 11919598</t>
  </si>
  <si>
    <t>Revitalização do SISTEMA DE PROTEÇÃO CONTRA INCÊNDIO da subestação São Luís II com substituição de parede corta-fogo nas imediações do banco de autotransformadores LDAT7-01.</t>
  </si>
  <si>
    <t>0009093/2023</t>
  </si>
  <si>
    <t>Revitalização do SISTEMA DE PROTEÇÃO CONTRA INCÊNDIO da subestação São Luís II com substituição de parede corta-fogo nas imediações do banco de autotransformadores LDAT7-02</t>
  </si>
  <si>
    <t>0009087/2023</t>
  </si>
  <si>
    <t>Revitalização do SISTEMA DE PROTEÇÃO CONTRA INCÊNDIO da subestação São Luís II com substituição de parede corta-fogo nas imediações do banco de autotransformadores LDAT7-03</t>
  </si>
  <si>
    <t>0009080/2023</t>
  </si>
  <si>
    <t>SUBSTITUIÇÃO DE  SECCIONADORA 230 kV VCST6-02</t>
  </si>
  <si>
    <t>0008878/2023</t>
  </si>
  <si>
    <t>VCST6-02  -  11919605</t>
  </si>
  <si>
    <t>Revitalização do SISTEMA DE PROTEÇÃO CONTRA INCÊNDIO da subestação São Luís II com substituição de parede corta-fogo nas imediações do banco de reatores LDRE7-03.</t>
  </si>
  <si>
    <t>0009075/2023</t>
  </si>
  <si>
    <t>SUBSTITUIÇÃO DE CONJUNTO DE BUCHAS DE 69 kV, FASES "A", "B" E "V" DO TRANSFORMADOR IZTF6-04.</t>
  </si>
  <si>
    <t>0009062/2023</t>
  </si>
  <si>
    <t>N-S-MAIZ-TF604</t>
  </si>
  <si>
    <t>SUBSTITUIÇÃO DOS SISTEMAS DE PROTEÇÃO, CONTROLE E SUPERVISÃO DOS SEGUINTES VÃOS DE SAIDA DE LINHA N-S-MAIZ-DIT-ACIZLI401.</t>
  </si>
  <si>
    <t>0009051/2023</t>
  </si>
  <si>
    <t>N-S-MAIZ-DIT-ACIZLI401</t>
  </si>
  <si>
    <t>SUBSTITUIÇÃO DOS SISTEMAS DE PROTEÇÃO, CONTROLE E SUPERVISÃO DOS SEGUINTES VÃOS DE SAIDA DE LINHA N-S-MAIZ-DIT-ACIZLI402.</t>
  </si>
  <si>
    <t>0009048/2023</t>
  </si>
  <si>
    <t>N-S-MAIZ-DIT-ACIZLI402</t>
  </si>
  <si>
    <t>SUBSTITUIÇÃO DOS SISTEMAS DE PROTEÇÃO, CONTROLE E SUPERVISÃO DOS SEGUINTES VÃOS DE SAIDA DE LINHA N-S-MAIZ-DIT-ICIZLI401</t>
  </si>
  <si>
    <t>0009047/2023</t>
  </si>
  <si>
    <t>N-S-MAIZ-DIT-ICIZLI401</t>
  </si>
  <si>
    <t>SUBSTITUIÇÃO DOS SISTEMAS DE PROTEÇÃO, CONTROLE E SUPERVISÃO DOS SEGUINTES VÃOS DE SAIDA DE LINHA N-S-MAIZ-DIT-IAIZLI401</t>
  </si>
  <si>
    <t>0009046/2023</t>
  </si>
  <si>
    <t>N-S-MAIZ-DIT-IAIZLI401</t>
  </si>
  <si>
    <t>SUBSTITUIÇÃO DOS SISTEMAS DE PROTEÇÃO, CONTROLE E SUPERVISÃO DOS SEGUINTES VÃOS DE SAIDA DE LINHA N-S-MAIZ-DIT-TTIZLI401</t>
  </si>
  <si>
    <t>0009043/2023</t>
  </si>
  <si>
    <t>N-S-MAIZ-DIT-TTIZLI401</t>
  </si>
  <si>
    <t>SUBSTITUIÇÃO DOS SISTEMAS DE PROTEÇÃO, CONTROLE E SUPERVISÃO DOS SEGUINTES VÃOS DE SAIDA DE LINHA N-S-MAIZ-DIT-SNIZLI401</t>
  </si>
  <si>
    <t>0009040/2023</t>
  </si>
  <si>
    <t>N-S-MAIZ-DIT-SNIZLI401</t>
  </si>
  <si>
    <t>SUBSTITUIÇÃO DOS SISTEMAS DE PROTEÇÃO, CONTROLE E SUPERVISÃO DOS SEGUINTES VÃOS DE SAIDA DE LINHA N-S-MAPF-DIT-FNPFLI501</t>
  </si>
  <si>
    <t>0009037/2023</t>
  </si>
  <si>
    <t>N-S-MAPF-DIT-FNPFLI501</t>
  </si>
  <si>
    <t>SUBSTITUIÇÃO DA CHAVE SECCIONADORA RPSB6-07</t>
  </si>
  <si>
    <t>0008896/2023</t>
  </si>
  <si>
    <t>RPSB6-07</t>
  </si>
  <si>
    <t>SUBSTITUIÇÃO DOS SISTEMAS DE PROTEÇÃO, CONTROLE E SUPERVISÃO DO SEGUINTE VÃO DE SAIDA DE LINHA N-S-MAPF-DIT-POPFLI401</t>
  </si>
  <si>
    <t>0009035/2023</t>
  </si>
  <si>
    <t>N-S-MAPF-DIT-POPFLI401</t>
  </si>
  <si>
    <t>SUBSTITUIÇÃO DOS SISTEMAS DE PROTEÇÃO, CONTROLE E SUPERVISÃO DO SEGUINTE VÃO DE SAIDA DE LINHA N-S-MAPF-DIT-CLPFLI401.</t>
  </si>
  <si>
    <t>0009034/2023</t>
  </si>
  <si>
    <t>N-S-MAPF-DIT-CLPFLI401</t>
  </si>
  <si>
    <t>SUBSTITUIÇÃO DOS SISTEMAS DE PROTEÇÃO, CONTROLE E SUPERVISÃO DO SEGUINTE VÃO DE SAIDA DE LINHA N-S-MAMR-DIT-TMMRLI501</t>
  </si>
  <si>
    <t>0009012/2023</t>
  </si>
  <si>
    <t>N-S-MAMR-DIT-TMMRLI501</t>
  </si>
  <si>
    <t>SUBSTITUIÇÃO DOS SISTEMAS DE PROTEÇÃO, CONTROLE E SUPERVISÃO DO SEGUINTE VÃO DE SAIDA DE LINHA N-S-MAMR-DIT-SIMRLI501</t>
  </si>
  <si>
    <t>0009000/2023</t>
  </si>
  <si>
    <t>N-S-MAMR-DIT-SIMRLI501</t>
  </si>
  <si>
    <t>SUBSTITUIÇÃO DOS SISTEMAS DE PROTEÇÃO, CONTROLE E SUPERVISÃO DO SEGUINTE VÃO DE SAIDA DE LINHA N-S-MAMR-DIT-ARMRLI401</t>
  </si>
  <si>
    <t>0008996/2023</t>
  </si>
  <si>
    <t>N-S-MAMR-DIT-ARMRLI401</t>
  </si>
  <si>
    <t>SUBSTITUIÇÃO DOS SISTEMAS DE PROTEÇÃO, CONTROLE E SUPERVISÃO DO SEGUINTE VÃO DE SAIDA DE LINHA N-S-MAMR-DIT-IRMRLI401</t>
  </si>
  <si>
    <t>0008993/2023</t>
  </si>
  <si>
    <t>N-S-MAMR-DIT-IRMRLI401</t>
  </si>
  <si>
    <t>SUBSTITUIÇÃO DOS SISTEMAS DE PROTEÇÃO, CONTROLE E SUPERVISÃO DO SEGUINTE VÃO DE SAIDA DE LINHA N-S-MAMR-DIT-IRMRLI402</t>
  </si>
  <si>
    <t>0008991/2023</t>
  </si>
  <si>
    <t>SUBSTITUIÇÃO DOS SISTEMAS DE PROTEÇÃO, CONTROLE E SUPERVISÃO DO SEGUINTE VÃO DE SAIDA DE ALIMENTADOR N-S-MAMR-DIT-MRAL201</t>
  </si>
  <si>
    <t>0008927/2023</t>
  </si>
  <si>
    <t>N-S-MAMR-DIT-MRAL201</t>
  </si>
  <si>
    <t>SUBSTITUIÇÃO DOS SISTEMAS DE PROTEÇÃO, CONTROLE E SUPERVISÃO DO SEGUINTE VÃO DE SAIDA DE ALIMENTADOR N-S-MAMR-DIT-MRAL202</t>
  </si>
  <si>
    <t>0008925/2023</t>
  </si>
  <si>
    <t>N-S-MAMR-DIT-MRAL202</t>
  </si>
  <si>
    <t>Substituição do Painel e IEDs do SPCS 230 kV. (TR1) com vida útil esgotada por um novo com características similares. 
(UGTF6-01 FASE A/B/V)</t>
  </si>
  <si>
    <t>0009343/2023</t>
  </si>
  <si>
    <t>UGSPRTF</t>
  </si>
  <si>
    <t>Substituição dos quadros de Serviços auxiliares PT-1EA(500kV)/PT1-EB(500kV)/PT-1EA(230kV)/PT1-EB(230kV) de 125VCC da Sala de comando da SE São Luís II 500 kV</t>
  </si>
  <si>
    <t>0009110/2023</t>
  </si>
  <si>
    <t>N-S-MALD-MG701-MG500-SAE00</t>
  </si>
  <si>
    <t>Substituição do quadro de Serviços Auxiliares QSA 230 - C01 de 220 Vca da Casa de Relés de 230 kV da SE P.Dutra 500 kV</t>
  </si>
  <si>
    <t>0009083/2023</t>
  </si>
  <si>
    <t>Substituição dos quadros de serviços auxiliares QSA230-D1/QSA230-D2 de 125VCC da Casa de Relés de 230 kV da SE P.Dutra 500 kV</t>
  </si>
  <si>
    <t>0009148/2023</t>
  </si>
  <si>
    <t>Substituição do Quadro de Comando 380/220 VCA da sala de comando da SE Peritoró 230 kV</t>
  </si>
  <si>
    <t>MG 230 kV PERITORO MG1 MA</t>
  </si>
  <si>
    <t>0009127/2023</t>
  </si>
  <si>
    <t>N-S-MAPR-MG601-MG230-SAE01</t>
  </si>
  <si>
    <t>Substituição do Quadro de Comando de Corrente Contínua 125 V da sala de comando da SE Peritoró 230 kV</t>
  </si>
  <si>
    <t>0009126/2023</t>
  </si>
  <si>
    <t>SUBSTITUIÇÃO SISTEMA DE PROTEÇAO, COMANDO E SUPERVISÃO DO BAY DA BARRA MG230-BR601-LDSPRBR</t>
  </si>
  <si>
    <t>0009094/2023</t>
  </si>
  <si>
    <t>MG230-BR601-LDSPRBR</t>
  </si>
  <si>
    <t>Substituição do quadro de Serviços auxiliares de 440 VCA  QSACA-1 da sala de comando de 230 kV da SE Porto Franco 230 kV</t>
  </si>
  <si>
    <t>0009086/2023</t>
  </si>
  <si>
    <t>Substituição do quadro de Serviços auxiliares de 125 VCC  PD1 da sala de Comando de 230 kV da SE Porto Franco 230 kV</t>
  </si>
  <si>
    <t>0009089/2023</t>
  </si>
  <si>
    <t>Substituição do quadro de Serviços auxiliares de 440 VCA  QSACA-5 da sala de comando de 138/69 kV da SE Porto Franco 230 kV</t>
  </si>
  <si>
    <t>0009092/2023</t>
  </si>
  <si>
    <t>Substituição do Quadro de Comando de 220 VCA  QLF1/QLF2/QLF3 e QLF4 da sala de comando 1 da SE São Luís I 230 kV</t>
  </si>
  <si>
    <t>MG 230 kV SAO LUIS I MG1 MA</t>
  </si>
  <si>
    <t>0009122/2023</t>
  </si>
  <si>
    <t>N-S-MALI-MG601-MG230-SAE00</t>
  </si>
  <si>
    <t>Substituição do Quadro de Comando de 125 VCC  PT1-EA/PT1-EB da sala de comando 1 da SE São Luís I 230 kV</t>
  </si>
  <si>
    <t>0009118/2023</t>
  </si>
  <si>
    <t>Substituição do Quadro de Comando de 125 VCC  SQCACC-01 da sala de comando 2 da SE São Luís I 230 kV</t>
  </si>
  <si>
    <t>0009116/2023</t>
  </si>
  <si>
    <t>Substituição dos quadros de Serviços auxiliares PT-1EA/PT1-EB/PT-2/PT-3 de 440VCA da Sala de comando da SE São Luís II 500 kV</t>
  </si>
  <si>
    <t>0009026/2023</t>
  </si>
  <si>
    <t>Substituição dos quadros de Serviços auxiliares PT-1EA/PT1-EB/PT-2A ePT-3 de 220/127VCA da Sala de comando da SE São Luís II 500 kV</t>
  </si>
  <si>
    <t>0009027/2023</t>
  </si>
  <si>
    <t>Substituição do disjuntor 500kV MBDJ7-01</t>
  </si>
  <si>
    <t>0009348/2023</t>
  </si>
  <si>
    <t>MBDJ701</t>
  </si>
  <si>
    <t>Substituição do disjuntor 500kV MBDJ7-02</t>
  </si>
  <si>
    <t>0009349/2023</t>
  </si>
  <si>
    <t>MBDJ702</t>
  </si>
  <si>
    <t>SUBSTITUICÃO DO SISTEMA DE PROTEÇÃO DE 500 kV DO BANCO DE AUTOTRANSFORMADORES LDAT7-01</t>
  </si>
  <si>
    <t>0009095/2023</t>
  </si>
  <si>
    <t>Substituição dos painéis de SPCS da LT TCVC-LT7-01 (DX) com vida útil esgotada por um novo, com características similares.</t>
  </si>
  <si>
    <t>0009351/2023</t>
  </si>
  <si>
    <t>VCSPR-01/ VCSPR-02</t>
  </si>
  <si>
    <t>0008987/2023</t>
  </si>
  <si>
    <t>SUBSTITUIR O DISJUNTOR RPDJ6-01</t>
  </si>
  <si>
    <t>0009032/2023</t>
  </si>
  <si>
    <t>RPDJ6-01</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</si>
  <si>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tensão, incluindo o painel eletrônico do RT, transformador de excitação, cubículos e painéis do sistema de excitação; regulador de velocidade referente ao conjunto gerador hidráulico 01.</t>
  </si>
  <si>
    <t>CONJUNTO GERADOR HIDRÁULICO 01</t>
  </si>
  <si>
    <t>0009044/2023</t>
  </si>
  <si>
    <t>SUBSTITUIÇÃO DO MÓDULO DE CONEXÃO DO BANCO DE CAPACITORES 13.8KV NÚMERO 2 DE RONDONÓPOLIS.</t>
  </si>
  <si>
    <t>0009049/2023</t>
  </si>
  <si>
    <t>N-S-MTRP-BC202-MC013</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</si>
  <si>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tensão, incluindo o painel eletrônico do RT, transformador de excitação, cubículos e painéis do sistema de excitação; regulador de velocidade referente ao conjunto gerador hidráulico 02.</t>
  </si>
  <si>
    <t>CONJUNTO GERADOR HIDRÁULICO 02</t>
  </si>
  <si>
    <t>0009055/2023</t>
  </si>
  <si>
    <t>Substituição do Transformador de corrente de 230 kV  fase "V"  Vão CX -MBCJ LT6 01</t>
  </si>
  <si>
    <t>0009058/2023</t>
  </si>
  <si>
    <t>MBTC6-01 FV</t>
  </si>
  <si>
    <t>SUBSTITUIÇÃO DO DISJUNTOR LTDJ4-07</t>
  </si>
  <si>
    <t>0009059/2023</t>
  </si>
  <si>
    <t>N-S-MALT-DIT-AGLTLI401-LTDJ407 - 11910485</t>
  </si>
  <si>
    <t>Substituição do Transformador de corrente de 230 kV  fase "B"  Vão CX -MBCJ LT6 01</t>
  </si>
  <si>
    <t>0009064/2023</t>
  </si>
  <si>
    <t>MBTC601 FB</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</si>
  <si>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tensão, incluindo o painel eletrônico do RT, transformador de excitação, cubículos e painéis do sistema de excitação; regulador de velocidade referente ao conjunto gerador hidráulico 03.</t>
  </si>
  <si>
    <t>CONJUNTO GERADOR HIDRÁULICO 03</t>
  </si>
  <si>
    <t>0009070/2023</t>
  </si>
  <si>
    <t>Substituição do Transformador de corrente de 230 kV  fase "A"  Vão CX -MBCJ LT6 01</t>
  </si>
  <si>
    <t>0009073/2023</t>
  </si>
  <si>
    <t>MBTC601 FA</t>
  </si>
  <si>
    <t>SUBSTITUIÇÃO DE PARA RAIO 230KV DO IZTF6-04 - IZPR601 - FASE B</t>
  </si>
  <si>
    <t>0009082/2023</t>
  </si>
  <si>
    <t>11986201</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</si>
  <si>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tensão, incluindo o painel eletrônico do RT, transformador de excitação, cubículos e painéis do sistema de excitação; regulador de velocidade referente ao conjunto gerador hidráulico 04.</t>
  </si>
  <si>
    <t>CONJUNTO GERADOR HIDRÁULICO 04</t>
  </si>
  <si>
    <t>0009090/2023</t>
  </si>
  <si>
    <t>SUBSTITUIÇÃO DO DISJUNTOR PDDJ4-07</t>
  </si>
  <si>
    <t>0009096/2023</t>
  </si>
  <si>
    <t>N-S-MAPD-DIT-BDPDLI402-PDDJ407 -12356348</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</si>
  <si>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tensão, incluindo o painel eletrônico do RT, transformador de excitação, cubículos e painéis do sistema de excitação; regulador de velocidade referente ao conjunto gerador hidráulico 05.</t>
  </si>
  <si>
    <t>CONJUNTO GERADOR HIDRÁULICO 05</t>
  </si>
  <si>
    <t>0009097/2023</t>
  </si>
  <si>
    <t>SUBSTITUIÇÃO DO DISJUNTOR PDDJ4-06</t>
  </si>
  <si>
    <t>0009100/2023</t>
  </si>
  <si>
    <t>N-S-MAPD-DIT-PTPDLI402-PDDJ406 - 12356373</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</si>
  <si>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tensão, incluindo o painel eletrônico do RT, transformador de excitação, cubículos e painéis do sistema de excitação; regulador de velocidade referente ao conjunto gerador hidráulico 06.</t>
  </si>
  <si>
    <t>CONJUNTO GERADOR HIDRÁULICO 06</t>
  </si>
  <si>
    <t>0009102/2023</t>
  </si>
  <si>
    <t>SUBSTITUIÇÃO DO DISJUNTOR PDDJ4-05</t>
  </si>
  <si>
    <t>TR 230/69 kV P.DUTRA TF5 MA</t>
  </si>
  <si>
    <t>0009104/2023</t>
  </si>
  <si>
    <t>N-S-MAPD-TF605-MC69-PDDJ405 - 11911568</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</si>
  <si>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tensão, incluindo o painel eletrônico do RT, transformador de excitação, cubículos e painéis do sistema de excitação; regulador de velocidade referente ao conjunto gerador hidráulico 07.</t>
  </si>
  <si>
    <t>CONJUNTO GERADOR HIDRÁULICO 07</t>
  </si>
  <si>
    <t>0009107/2023</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</si>
  <si>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tensão, incluindo o painel eletrônico do RT, transformador de excitação, cubículos e painéis do sistema de excitação; regulador de velocidade referente ao conjunto gerador hidráulico 08.</t>
  </si>
  <si>
    <t>CONJUNTO GERADOR HIDRÁULICO 08</t>
  </si>
  <si>
    <t>0009108/2023</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</si>
  <si>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tensão, incluindo o painel eletrônico do RT, transformador de excitação, cubículos e painéis do sistema de excitação; regulador de velocidade referente ao conjunto gerador hidráulico 09.</t>
  </si>
  <si>
    <t>CONJUNTO GERADOR HIDRÁULICO 09</t>
  </si>
  <si>
    <t>0009112/2023</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</si>
  <si>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tensão, incluindo o painel eletrônico do RT, transformador de excitação, cubículos e painéis do sistema de excitação; regulador de velocidade referente ao conjunto gerador hidráulico 10.</t>
  </si>
  <si>
    <t>CONJUNTO GERADOR HIDRÁULICO 10</t>
  </si>
  <si>
    <t>0009119/2023</t>
  </si>
  <si>
    <t>CAXIAS</t>
  </si>
  <si>
    <t>MG CAXIAS / CCO-2001-057 - RB</t>
  </si>
  <si>
    <t>0009123/2023</t>
  </si>
  <si>
    <t>SK01, SK02, DJ112, DJ122</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</si>
  <si>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tensão, incluindo o painel eletrônico do RT, transformador de excitação, cubículos e painéis do sistema de excitação; regulador de velocidade referente ao conjunto gerador hidráulico 11.</t>
  </si>
  <si>
    <t>CONJUNTO GERADOR HIDRÁULICO 11</t>
  </si>
  <si>
    <t>0009128/2023</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</si>
  <si>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tensão, incluindo o painel eletrônico do RT, transformador de excitação, cubículos e painéis do sistema de excitação; regulador de velocidade referente ao conjunto gerador hidráulico 12.</t>
  </si>
  <si>
    <t>CONJUNTO GERADOR HIDRÁULICO 12</t>
  </si>
  <si>
    <t>0009130/2023</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</si>
  <si>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velocidade, incluindo o sistema hidráulico e instrumentação; turbina hidráulica, incluindo painéis e instrumentos da turbina; gerador referente ao conjunto gerador hidráulico 13.</t>
  </si>
  <si>
    <t>CONJUNTO GERADOR HIDRÁULICO 13</t>
  </si>
  <si>
    <t>0009138/2023</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</si>
  <si>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velocidade, incluindo o sistema hidráulico e instrumentação; turbina hidráulica, incluindo painéis e instrumentos da turbina; gerador referente ao conjunto gerador hidráulico 14.</t>
  </si>
  <si>
    <t>CONJUNTO GERADOR HIDRÁULICO 14</t>
  </si>
  <si>
    <t>0009149/2023</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</si>
  <si>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velocidade, incluindo o sistema hidráulico e instrumentação; turbina hidráulica, incluindo painéis e instrumentos da turbina; gerador referente ao conjunto gerador hidráulico 15.</t>
  </si>
  <si>
    <t>CONJUNTO GERADOR HIDRÁULICO 15</t>
  </si>
  <si>
    <t>0009154/2023</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</si>
  <si>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velocidade, incluindo o sistema hidráulico e instrumentação; turbina hidráulica, incluindo painéis e instrumentos da turbina; gerador referente ao conjunto gerador hidráulico 16.</t>
  </si>
  <si>
    <t>CONJUNTO GERADOR HIDRÁULICO 16</t>
  </si>
  <si>
    <t>0009157/2023</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</si>
  <si>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velocidade, incluindo o sistema hidráulico e instrumentação; turbina hidráulica, incluindo painéis e instrumentos da turbina; gerador referente ao conjunto gerador hidráulico 17.</t>
  </si>
  <si>
    <t>CONJUNTO GERADOR HIDRÁULICO 17</t>
  </si>
  <si>
    <t>0009162/2023</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</si>
  <si>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velocidade, incluindo o sistema hidráulico e instrumentação; turbina hidráulica, incluindo painéis e instrumentos da turbina; gerador referente ao conjunto gerador hidráulico 18.</t>
  </si>
  <si>
    <t>CONJUNTO GERADOR HIDRÁULICO 18</t>
  </si>
  <si>
    <t>0009166/2023</t>
  </si>
  <si>
    <t>SUBSTITUIÇÃO DO DISJUNTOR PFDB4-01</t>
  </si>
  <si>
    <t>0009365/2023</t>
  </si>
  <si>
    <t>PFDB4-01</t>
  </si>
  <si>
    <t>SUBSTITUIÇÃO DE UM TPC DE 230 kV, LDLI-LT6-01-ELLD-LDTP6-01, FASE "B"</t>
  </si>
  <si>
    <t>0009375/2023</t>
  </si>
  <si>
    <t>ELLD-LDTP601 (11987105)</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</si>
  <si>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velocidade, incluindo o sistema hidráulico e instrumentação; turbina hidráulica, incluindo painéis e instrumentos da turbina; gerador referente ao conjunto gerador hidráulico 19.</t>
  </si>
  <si>
    <t>CONJUNTO GERADOR HIDRÁULICO 19</t>
  </si>
  <si>
    <t>0009238/2023</t>
  </si>
  <si>
    <t>SUBSTITUIÇÃO DE 11 IP´s  POR OUTROS DE CARACTERISTICAS SEMELHANTES</t>
  </si>
  <si>
    <t>0009422/2023</t>
  </si>
  <si>
    <t>IZRE7-01</t>
  </si>
  <si>
    <t>SUBSTITUIÇÃO DE TRANSFORMADOR DE CORRENTE 72,5 KV FASE V(11988069)</t>
  </si>
  <si>
    <t>0009245/2023</t>
  </si>
  <si>
    <t>LITC4-01 FASE V</t>
  </si>
  <si>
    <t>SUBSTITUICÃO DA CHAVE SECIONADORA 230 kV LISB6-03</t>
  </si>
  <si>
    <t>0009403/2023</t>
  </si>
  <si>
    <t>LISB603</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</si>
  <si>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velocidade, incluindo o sistema hidráulico e instrumentação; turbina hidráulica, incluindo painéis e instrumentos da turbina; gerador referente ao conjunto gerador hidráulico 20.</t>
  </si>
  <si>
    <t>CONJUNTO GERADOR HIDRÁULICO 20</t>
  </si>
  <si>
    <t>0009250/2023</t>
  </si>
  <si>
    <t>SUBSTITUICÃO DA CHAVE SECIONADORA 230 kV LISB6-04</t>
  </si>
  <si>
    <t>0009406/2023</t>
  </si>
  <si>
    <t>LISB6-04</t>
  </si>
  <si>
    <t>SUBSTITUIÇÃO DE TRANSFORMADOR DE CORRENTE 72,5 KV- FASE B (11988068)</t>
  </si>
  <si>
    <t>0009253/2023</t>
  </si>
  <si>
    <t>LITC4-01 FASE B</t>
  </si>
  <si>
    <t>SUBSTITUIÇÃO DE BATERIAS - ETEL RONCADOR - 48Vcc</t>
  </si>
  <si>
    <t>0009255/2023</t>
  </si>
  <si>
    <t>BATERIA 01 E 02</t>
  </si>
  <si>
    <t>SUBSTITUICÃO DA CHAVE SECIONADORA 230 kV LISD6-03</t>
  </si>
  <si>
    <t>0009413/2023</t>
  </si>
  <si>
    <t>LISD6-03</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</si>
  <si>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velocidade, incluindo o sistema hidráulico e instrumentação; turbina hidráulica, incluindo painéis e instrumentos da turbina; gerador referente ao conjunto gerador hidráulico 21.</t>
  </si>
  <si>
    <t>CONJUNTO GERADOR HIDRÁULICO 21</t>
  </si>
  <si>
    <t>0009258/2023</t>
  </si>
  <si>
    <t>Substituir o sistema de proteção, controle e supervisão para modernização da subestação, incluindo a substituição de painéis de proteção e controle (cadeias principal e alternada), IEDs de proteção, controle e oscilografia digitais e demais componentes. referente à EL 500 kV TUCURUI LT 500 kV TUCURUI /US. TUCURUI C-6 PA .</t>
  </si>
  <si>
    <t>0009542/2023</t>
  </si>
  <si>
    <t>LISD6-04</t>
  </si>
  <si>
    <t>SUBSTITUIÇÃO DE BATERIAS - ETEL ALTO DO RIO BAILE - 48Vcc</t>
  </si>
  <si>
    <t>0009261/2023</t>
  </si>
  <si>
    <t>SUBSTITUICÃO DA CHAVE SECIONADORA 230 kV LISY6-02</t>
  </si>
  <si>
    <t>0009427/2023</t>
  </si>
  <si>
    <t>LISY6-02</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</si>
  <si>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velocidade, incluindo o sistema hidráulico e instrumentação; turbina hidráulica, incluindo painéis e instrumentos da turbina; gerador referente ao conjunto gerador hidráulico 22.</t>
  </si>
  <si>
    <t>CONJUNTO GERADOR HIDRÁULICO 22</t>
  </si>
  <si>
    <t>0009262/2023</t>
  </si>
  <si>
    <t>SUBSTITUIÇÃO DE TRANSFORMADOR DE CORRENTE 72,5 KV FASE  A( 11988067)</t>
  </si>
  <si>
    <t>0009263/2023</t>
  </si>
  <si>
    <t>LITC4-01 FASE A</t>
  </si>
  <si>
    <t>SUBSTITUICÃO DA CHAVE SECIONADORA 500 kV LDST7-01</t>
  </si>
  <si>
    <t>0009399/2023</t>
  </si>
  <si>
    <t>LDST7-01</t>
  </si>
  <si>
    <t>SUBSTITUICÃO DA CHAVE SECIONADORA 500 kV LDSD7-05</t>
  </si>
  <si>
    <t>0009416/2023</t>
  </si>
  <si>
    <t>LDSD7-05</t>
  </si>
  <si>
    <t>Modernizar a usina por meio da substituição dos seguintes sistemas e equipamentos associados ao conjunto gerador: sistema de proteção, controle e supervisão do gerador e transformador elevador; auxiliares elétricos de média e baixa tensão da unidade geradora, incluindo cubículos, painéis e IEDs de proteção, controle e medição; regulador de velocidade, incluindo o sistema hidráulico e instrumentação; turbina hidráulica, incluindo painéis e instrumentos da turbina; gerador referente ao conjunto gerador hidráulico 23.</t>
  </si>
  <si>
    <t>CONJUNTO GERADOR HIDRÁULICO 23</t>
  </si>
  <si>
    <t>0009270/2023</t>
  </si>
  <si>
    <t>SUBSTITUICÃO DA CHAVE SECIONADORA 500 kV LDSD7-06</t>
  </si>
  <si>
    <t>0009419/2023</t>
  </si>
  <si>
    <t>LDSD7-06</t>
  </si>
  <si>
    <t>Substituição de três (03) Transformadores Corrente 500 KV SE Tucuruí TCDJ7-08 Fases A,B,V vão Dy1. Capacidade do novo equipamento: 4.000 A e 63 kA.</t>
  </si>
  <si>
    <t>0009285/2023</t>
  </si>
  <si>
    <t>TC7DY1</t>
  </si>
  <si>
    <t>SUBSTITUIÇÃO DO CUBÍCULO DO DJ2006 -13,8KV</t>
  </si>
  <si>
    <t>0009279/2023</t>
  </si>
  <si>
    <t>DJ2006</t>
  </si>
  <si>
    <t>Substituição de um comutador sob carga do Transformador PFAT6-02</t>
  </si>
  <si>
    <t>0009454/2023</t>
  </si>
  <si>
    <t>PFAT6-02</t>
  </si>
  <si>
    <t>Substituição de um comutador sob carga do transformador MRAT6-02</t>
  </si>
  <si>
    <t>TR 230/138 kV MIRANDA II TR2 MA</t>
  </si>
  <si>
    <t>0009436/2023</t>
  </si>
  <si>
    <t>MRAT6-02</t>
  </si>
  <si>
    <t>Substituição de um comutador sob carga do Transformador SRTF6-02</t>
  </si>
  <si>
    <t>0009461/2023</t>
  </si>
  <si>
    <t>SRTF6-02</t>
  </si>
  <si>
    <t>Substituição de um comutador sob carga do transformador SRTF6-01</t>
  </si>
  <si>
    <t>0009462/2023</t>
  </si>
  <si>
    <t>SRTF6-01</t>
  </si>
  <si>
    <t>Substituição de um comutador sob carga do transformador GMTF6-03 fase B</t>
  </si>
  <si>
    <t>TR 230/69 kV GUAMA TR3 PA</t>
  </si>
  <si>
    <t>0009395/2023</t>
  </si>
  <si>
    <t>GMTF6-03</t>
  </si>
  <si>
    <t>Substituição de um comutador sob carga do transformador GMTF6-03 fase V</t>
  </si>
  <si>
    <t>0009409/2023</t>
  </si>
  <si>
    <t>GMTF6-03 fase V</t>
  </si>
  <si>
    <t>SUBSTITUIÇÃO DE CUBÍCULO DE 13,8kV QUE SE ENCONTRA SINISTRADO E SEM PEÇAS DE REPOSIÇÃO COM A SUBSTITUIÇÃO DO DISJUNTOR PVDJ2-14, DE 13,8kV.</t>
  </si>
  <si>
    <t>0009411/2023</t>
  </si>
  <si>
    <t>N-S-ROPV-MG601-MG230-TF204</t>
  </si>
  <si>
    <t>Substituição da Chave Seccionadora 500kV MBSD7-03 associada ao disjuntor MBDJ7-02</t>
  </si>
  <si>
    <t>0009293/2023</t>
  </si>
  <si>
    <t>MBSD7-03</t>
  </si>
  <si>
    <t>SUBSTITUIÇÃO DE PARA RAIO 500KV DA LINHA PDBELI7-01 - PDPR701 - FASE V</t>
  </si>
  <si>
    <t>0009457/2023</t>
  </si>
  <si>
    <t>N-S-MAPD-PDBELI701-ELPD-PDPR701 (11991196)</t>
  </si>
  <si>
    <t>SUBSTITUICÃO DA CHAVE SECIONADORA 230 kV LDSB6-12</t>
  </si>
  <si>
    <t>0009388/2023</t>
  </si>
  <si>
    <t>LDSB6-12</t>
  </si>
  <si>
    <t>SUBSTITUIÇÃO DO CUBÍCULO DO DJ2106 -13,8KV</t>
  </si>
  <si>
    <t>0009298/2023</t>
  </si>
  <si>
    <t>DJ2106</t>
  </si>
  <si>
    <t>SUBSTITUICÃO DA CHAVE SECIONADORA 230 kV LDSB6-09</t>
  </si>
  <si>
    <t>0009423/2023</t>
  </si>
  <si>
    <t>LDSB6-09</t>
  </si>
  <si>
    <t>Substituição de um comutador sob carga do Transformador GMTF6-03 fase A.</t>
  </si>
  <si>
    <t>0009397/2023</t>
  </si>
  <si>
    <t>GMTF6-03 fase A</t>
  </si>
  <si>
    <t>Substituição de um comutador sob carga do transformador VCAT7-04 fase V</t>
  </si>
  <si>
    <t>0009414/2023</t>
  </si>
  <si>
    <t>VCAT7-04 fase V</t>
  </si>
  <si>
    <t>Substituição de um comutador sob carga do transformador VCAT7-04 fase B</t>
  </si>
  <si>
    <t>0009426/2023</t>
  </si>
  <si>
    <t>VCAT7-04 fase B</t>
  </si>
  <si>
    <t>TERESINA III</t>
  </si>
  <si>
    <t>Substituição de 01 (um) TP 230 kV posição operacional 84B1 fase A da Subestação TST.</t>
  </si>
  <si>
    <t>MG TERESINA III / CCO-2011-017 - RB</t>
  </si>
  <si>
    <t>0009308/2023</t>
  </si>
  <si>
    <t>11420625</t>
  </si>
  <si>
    <t>Substituição de um comutador sob carga do transformador VCAT7-04 fase A</t>
  </si>
  <si>
    <t>0009430/2023</t>
  </si>
  <si>
    <t>VCAT7-04 fase A</t>
  </si>
  <si>
    <t>SUBSTITUIÇÃO DOS PAINEIS DE SPCS DA INTERLIGAÇÃO DE BARRA(IB) - VÃO AY INSTALADOS NAS CASAS DE RELES</t>
  </si>
  <si>
    <t>0009442/2023</t>
  </si>
  <si>
    <t>IZSSP-01</t>
  </si>
  <si>
    <t>Modernizar a usina por meio da substituição dos seguintes sistemas e equipamentos associados ao conjunto gerador: sistema de proteção, controle e supervisão do gerador, transformador elevador e EL 69 KV; auxiliares elétricos de média e baixa tensão da unidade geradora, incluindo cubículos, painéis e IEDs de proteção, controle e medição; turbina hidráulica, incluindo painéis e instrumentos da turbina; gerador, incluindo cubículos, painéis e instrumentos do gerador; e comporta da tomada d'água referente ao conjunto gerador hidráulico 24.</t>
  </si>
  <si>
    <t>CONJUNTO GERADOR HIDRÁULICO 24</t>
  </si>
  <si>
    <t>0009360/2023</t>
  </si>
  <si>
    <t>SUBSTITUÇÃO DO SISTEMA DE RESFRIAMENTO DO LDCE7-01</t>
  </si>
  <si>
    <t>0009372/2023</t>
  </si>
  <si>
    <t>N-S-MALD-CE201-CE13</t>
  </si>
  <si>
    <t>Modernizar a usina por meio da substituição dos seguintes sistemas e equipamentos associados ao conjunto gerador: sistema de proteção, controle e supervisão do gerador, transformador elevador e EL 69 KV; auxiliares elétricos de média e baixa tensão da unidade geradora, incluindo cubículos, painéis e IEDs de proteção, controle e medição; turbina hidráulica, incluindo painéis e instrumentos da turbina; gerador, incluindo cubículos, painéis e instrumentos do gerador; e comporta da tomada d'água referente ao conjunto gerador hidráulico 25.</t>
  </si>
  <si>
    <t>CONJUNTO GERADOR HIDRÁULICO 25</t>
  </si>
  <si>
    <t>0009363/2023</t>
  </si>
  <si>
    <t>SUBSTITUIÇÃO  DO BANCO DE BATERIA 02 DA SE RIBEIRO GONÇALVES</t>
  </si>
  <si>
    <t>MG 500 kV RIB.GONCALVES MG3 PI</t>
  </si>
  <si>
    <t>0009384/2023</t>
  </si>
  <si>
    <t>BAT Nº 02 - 12335939</t>
  </si>
  <si>
    <t>SUBSTITUIÇÃO DOS PAINEIS DE SPCS DA INTERLIGAÇÃO DE BARRA(IB) - VÃO BY INSTALADOS NAS CASAS DE RELES</t>
  </si>
  <si>
    <t>0009446/2023</t>
  </si>
  <si>
    <t>SUBSTITUIÇÃO DOS PAINEIS DE SPCS DA INTERLIGAÇÃO DE BARRA(IB) - VÃO CY INSTALADOS NAS CASAS DE RELES</t>
  </si>
  <si>
    <t>0009449/2023</t>
  </si>
  <si>
    <t>SUBSTITUIÇÃO DOS PAINEIS DE SPCS DA INTERLIGAÇÃO DE BARRA(IB) - VÃO DY INSTALADOS NAS CASAS DE RELES</t>
  </si>
  <si>
    <t>0009451/2023</t>
  </si>
  <si>
    <t>Substituição da Chave Seccionadora 500kV MBSD7-02 associada ao disjuntor MBDJ7-01</t>
  </si>
  <si>
    <t>0009405/2023</t>
  </si>
  <si>
    <t>MBSR702</t>
  </si>
  <si>
    <t>SUBSTITUICÃO DA CHAVE SECIONADORA 230 kV LDSB6-11</t>
  </si>
  <si>
    <t>0009425/2023</t>
  </si>
  <si>
    <t>LDSB611</t>
  </si>
  <si>
    <t>SUBSTITUICÃO DA CHAVE SECIONADORA 230 kV LDSB6-07</t>
  </si>
  <si>
    <t>0009428/2023</t>
  </si>
  <si>
    <t>LDSB6-07</t>
  </si>
  <si>
    <t>Substituição da Chave Seccionadora 500kV MBSR7-01 associada ao Reator MBRE7-01</t>
  </si>
  <si>
    <t>0009401/2023</t>
  </si>
  <si>
    <t>MBSR701</t>
  </si>
  <si>
    <t>Substituição da Chave Seccionadora 500kV MBSD7-01 associada ao disjuntor MBDJ7-01</t>
  </si>
  <si>
    <t>0009385/2023</t>
  </si>
  <si>
    <t>MBSD701</t>
  </si>
  <si>
    <t>SUBSTITUIÇÃO DO TRANSFORMADOR DE POTENCIA 13,8/0,514KV MBTF2-04-FASES A,B,V  DO MBCS2-01.</t>
  </si>
  <si>
    <t>0009402/2023</t>
  </si>
  <si>
    <t>MBTF2-04</t>
  </si>
  <si>
    <t>Substituir o sistema de proteção, controle e supervisão para modernização da subestação, incluindo a substituição de painéis de proteção e controle (cadeias principal e alternada), IEDs de proteção, controle e oscilografia digitais e demais componentes. referente à EL 500 kV TUCURUI LT 500 kV TUCURUI /US. TUCURUI C-1 PA.</t>
  </si>
  <si>
    <t>LT 500 kV - Elevadora Tucuruí / Sec. Tucuruí (uso exclusivo)</t>
  </si>
  <si>
    <t>0009391/2023</t>
  </si>
  <si>
    <t>Substituir o sistema de proteção, controle e supervisão para modernização da subestação, incluindo a substituição de painéis de proteção e controle (cadeias principal e alternada), IEDs de proteção, controle e oscilografia digitais e demais componentes. referente à EL 500 kV TUCURUI LT 500 kV TUCURUI /US. TUCURUI C-2 PA.</t>
  </si>
  <si>
    <t>0009396/2023</t>
  </si>
  <si>
    <t>Substituir o sistema de proteção, controle e supervisão para modernização da subestação, incluindo a substituição de painéis de proteção e controle (cadeias principal e alternada), IEDs de proteção, controle e oscilografia digitais e demais componentes. referente à EL 500 kV TUCURUI LT 500 kV TUCURUI /US. TUCURUI C-3 PA.</t>
  </si>
  <si>
    <t>0009400/2023</t>
  </si>
  <si>
    <t>SUBSTITUIÇÃO DA CHAVE SECCIONADORA  500kV PDSD7-17 , ASSOCIADA AO DISJUNTOR PDDJ7-09</t>
  </si>
  <si>
    <t>0009447/2023</t>
  </si>
  <si>
    <t>PDSD7-17</t>
  </si>
  <si>
    <t>SUBSTITUIÇÃO  DA SECCIONADORA  500kV PDSD7-16</t>
  </si>
  <si>
    <t>0009443/2023</t>
  </si>
  <si>
    <t>PDSD7-16</t>
  </si>
  <si>
    <t>SUBSTITUIÇÃO DA CHAVE SECCIONADORA  500kV PDSR7-04 , ASSOCIADA AO REATOR PDRE7-05</t>
  </si>
  <si>
    <t>0009435/2023</t>
  </si>
  <si>
    <t>PDSR7-04</t>
  </si>
  <si>
    <t>Substituir o sistema de proteção, controle e supervisão para modernização da subestação, incluindo a substituição de painéis de proteção e controle (cadeias principal e alternada), IEDs de proteção, controle e oscilografia digitais e demais componentes. referente à EL 500 kV TUCURUI LT 500 kV TUCURUI /US. TUCURUI C-4 PA.</t>
  </si>
  <si>
    <t>0009410/2023</t>
  </si>
  <si>
    <t>SUBSTITUIÇÃO DA CHAVE SECCIONADORA  500kV PDSR7-06 , ASSOCIADA AO REATOR PDRE7-06</t>
  </si>
  <si>
    <t>0009440/2023</t>
  </si>
  <si>
    <t>PDSR7-06</t>
  </si>
  <si>
    <t>Substituir o sistema de proteção, controle e supervisão para modernização da subestação, incluindo a substituição de painéis de proteção e controle (cadeias principal e alternada), IEDs de proteção, controle e oscilografia digitais e demais componentes. referente à EL 500 kV TUCURUI LT 500 kV TUCURUI /US. TUCURUI C-5 PA .</t>
  </si>
  <si>
    <t>0009415/2023</t>
  </si>
  <si>
    <t>SUBSTITUIÇÃO DO SPCS DO SISTEMA DE COMPENSAÇÃO ESTÁTICA SIEMENS LDCE2-01</t>
  </si>
  <si>
    <t>0009433/2023</t>
  </si>
  <si>
    <t>N-S-MALD-CE201-CE13-LDSPRCE (11909908)</t>
  </si>
  <si>
    <t>Substituir as proteções REL 316 REB 500 das cadeias principal e alternada por nova cadeia de proteção equivalente, incluindo a substituição de painéis de proteção e controle (cadeias principal e alternada), IEDs de proteção, controle e oscilografia digitais e demais componentes. Conforme módulo cadastrado, a substituição ocorrerá no vão de 500kV, referente à EL 500 kV TUCURUI LT 500 kV TUCURUI /US. TUCURUI C-6 PA.</t>
  </si>
  <si>
    <t>0009421/2023</t>
  </si>
  <si>
    <t>Substituir o sistema de proteção, controle e supervisão para modernização da subestação, incluindo a substituição de painéis de proteção e controle (cadeias principal e alternada), IEDs de proteção, controle e oscilografia digitais e demais componentes. referente à EL 500 kV TUCURUI LT 500 kV TUCURUI /US. TUCURUI C-7 PA .</t>
  </si>
  <si>
    <t>0009429/2023</t>
  </si>
  <si>
    <t>Substituição dos sistemas de proteção e controle da linha ALLD-LT601 - Terminal São Luís II</t>
  </si>
  <si>
    <t>LT 230 kV SAO LUIS II /ALUMAR  C-1 MA</t>
  </si>
  <si>
    <t>0009444/2023</t>
  </si>
  <si>
    <t>LDSPRLI</t>
  </si>
  <si>
    <t>Substituição dos sistemas de proteção e controle da linha ALLD-LT602 - Terminal São Luís II</t>
  </si>
  <si>
    <t>LT 230 kV SAO LUIS II /ALUMAR  C-2 MA</t>
  </si>
  <si>
    <t>0009455/2023</t>
  </si>
  <si>
    <t>Substituir o sistema de proteção, controle e supervisão para modernização da subestação, incluindo a substituição de painéis de proteção e controle (cadeias principal e alternada), IEDs de proteção, controle e oscilografia digitais e demais componentes. referente à EL 500 kV TUCURUI LT 500 kV TUCURUI /US. TUCURUI C-8 PA .</t>
  </si>
  <si>
    <t>0009432/2023</t>
  </si>
  <si>
    <t>Substituir o sistema de proteção, controle e supervisão para modernização da subestação, incluindo a substituição de painéis de proteção e controle (cadeias principal e alternada), IEDs de proteção, controle e oscilografia digitais e demais componentes. referente à EL 500 kV TUCURUI LT 500 kV TUCURUI /US. TUCURUI C-9 PA .</t>
  </si>
  <si>
    <t>0009434/2023</t>
  </si>
  <si>
    <t>Substituir o sistema de proteção, controle e supervisão para modernização da subestação, incluindo a substituição de painéis de proteção e controle (cadeias principal e alternada), IEDs de proteção, controle e oscilografia digitais e demais componentes. referente à EL 500 kV TUCURUI LT 500 kV TUCURUI /US. TUCURUI C-10 PA.</t>
  </si>
  <si>
    <t>0009438/2023</t>
  </si>
  <si>
    <t>Substituir o sistema de proteção, controle e supervisão para modernização da subestação, incluindo a substituição de painéis de proteção e controle (cadeias principal e alternada), IEDs de proteção, controle e oscilografia digitais e demais componentes. referente à EL 500 kV TUCURUI LT 500 kV TUCURUI /US. TUCURUI C-11 PA.</t>
  </si>
  <si>
    <t>0009441/2023</t>
  </si>
  <si>
    <t>Implantar redundância do sistema especial de proteção para corte de geração na usina de Tucuruí, incluindo a instalação de painel de baixa tensão 125 Vcc para alimentação do novo SEP, para aumento da confiabilidade do sistema elétrico nacional, atendendo solicitação do ONS (CTA-ONS DPL/EG 0923/2021).</t>
  </si>
  <si>
    <t>CONJUNTOS GERADORES HIDRÁULICOS 1 A 23 (UHE TUCURUÍ)</t>
  </si>
  <si>
    <t>0009483/2023</t>
  </si>
  <si>
    <t>SUBSTITUIÇÃO DO TRANSFORMADOR DE POTENCIA 13,8/0,44KV MBTF2-02.</t>
  </si>
  <si>
    <t>0009464/2023</t>
  </si>
  <si>
    <t>MBTF2-02</t>
  </si>
  <si>
    <t>SUBSTITUIÇÃO DO TRANSFORMADOR DE POTENCIA 13,8/0,44KV MBTF2-03.</t>
  </si>
  <si>
    <t>0009465/2023</t>
  </si>
  <si>
    <t>MBTF2-03</t>
  </si>
  <si>
    <t>SUBSTITUIÇÃO DO TRANSFORMADOR REGULADOR 13,8/13,8KV MBTR2-01</t>
  </si>
  <si>
    <t>0009466/2023</t>
  </si>
  <si>
    <t>MBTR2-01</t>
  </si>
  <si>
    <t>SUBSTITUIÇÃO DO TRANSFORMADOR REGULADOR 13,8/13,8KV MBTR2-02</t>
  </si>
  <si>
    <t>0009467/2023</t>
  </si>
  <si>
    <t>MBTR2-02</t>
  </si>
  <si>
    <t>Substituir sistema especial de proteção para corte de geração na usina de Tucuruí, para modernização do SEP existente, atendendo solicitação do ONS (CTA-ONS DPL/EG 0923/2021).</t>
  </si>
  <si>
    <t>0009492/2023</t>
  </si>
  <si>
    <t>Substituição das estruturas das torres  Nº 75,77,78,,80,,81,82,83,86,88,99,100 DA LINHA LDMRLT6-01</t>
  </si>
  <si>
    <t>0009498/2023</t>
  </si>
  <si>
    <t>LT230-LDMRLT601 - 11908395</t>
  </si>
  <si>
    <t>Substituição dos sistemas de proteção e controle da linha CVLD-LT601 - Terminal São Luís II</t>
  </si>
  <si>
    <t>EL 230 kV CVRD LT 230 kV CVRD /SAO LUIS II C-1 PA/MA</t>
  </si>
  <si>
    <t>0009499/2023</t>
  </si>
  <si>
    <t>N-S-MALD-CVLDLI601-ELLD-LDSPRLI - 11909965</t>
  </si>
  <si>
    <t>Substituição de Transformadores de Corrente 138 kV, referente ao Interligador de Barras, DJ552, da SE J.Lacerda-A, Fases A e C. Associado à obra são esperadas substituições/adaptações de fundações e suportes, caixa de junção, cabos de controle/potência, barramento, conectores e conexão de aterramento. Funções do TC: proteção e medição. Capacidade nominal dos novos equipamentos: &gt;= 800 A.</t>
  </si>
  <si>
    <t>0009506/2023</t>
  </si>
  <si>
    <t>TC DJ552</t>
  </si>
  <si>
    <t>Instalação de Transformador de Corrente 138 kV, referente ao Interligador de Barras, DJ552, da SE J.Lacerda-A, Fase B. Associado à obra são esperadas instalação de fundações e suportes, caixa de junção, cabos de controle/potência, barramento, conectores e conexão de aterramento. Funções do TC: proteção e medição. Capacidade nominal dos novos equipamentos: &gt;= 800 A.</t>
  </si>
  <si>
    <t>0009507/2023</t>
  </si>
  <si>
    <t>Substituição do SPCS do Disjuntor de Interligação de Barras 14D1 na subestação PAU FERRO, por um novo sistema composto por: 01 painel, 01 unidade de controle, 02 falhas de disjuntor (principal e alternada), cabos de controle e infraestrutura de comunicação associados ao módulo de interligação de barras (14D1).</t>
  </si>
  <si>
    <t>0009512/2023</t>
  </si>
  <si>
    <t>11357598</t>
  </si>
  <si>
    <t>Substituição do SPCS associado ao vão da Entrada de Linha 01Y3 na subestação BOM NOME, por um novo sistema composto por: 01 Painel, 01 unidade de proteção e controle, cabos de controle e infraestrutura de comunicação associados.</t>
  </si>
  <si>
    <t>EL 13,8 kV BOM NOME 01Y3 (11Y3)</t>
  </si>
  <si>
    <t>0009513/2023</t>
  </si>
  <si>
    <t>11366873</t>
  </si>
  <si>
    <t>Instalação do SPCS das barras 230 kV na subestação TERESINA II, composto por: 01 painel, 01 unidade central de proteção de barras (principal), do tipo adaptativa e distribuída, com capacidade para atender, no mínimo, 10 vãos, contemplando as unidades de bay, cabos de controle e infraestrutura de comunicação associados.</t>
  </si>
  <si>
    <t>0009522/2023</t>
  </si>
  <si>
    <t>Instalação de SPCS das Barras de 230 kV na subestação MACEIÓ, composto por: 02 painéis, 02 unidades centrais de proteção de barras (principal e alternada), do tipo adaptativa e distribuída, com capacidade para atender, no mínimo, 07 vãos, 14 unidades de bay de proteção de barras (principal e alternada) e infraestrutura de comunicação associados</t>
  </si>
  <si>
    <t>0009523/2023</t>
  </si>
  <si>
    <t>Substituição de um (01) Disjuntor 500 KV SE Tucuruí no vão Az  - TCDJ7-18</t>
  </si>
  <si>
    <t>0009528/2023</t>
  </si>
  <si>
    <t>TCDJ7-18</t>
  </si>
  <si>
    <t>Substituição de um (01) Disjuntor 500 KV SE Tucuruí no vão Fx - TCDJ7-01</t>
  </si>
  <si>
    <t>N-S-PATC-TUTCLT701-ELTC-TCDJ701</t>
  </si>
  <si>
    <t>0009529/2023</t>
  </si>
  <si>
    <t>TUTCLT701-ELTC-TCDJ701</t>
  </si>
  <si>
    <t>Substituição de um (01) Disjuntor 500 KV SE Tucuruí no vão Fy  - TCDJ7-02</t>
  </si>
  <si>
    <t>0009530/2023</t>
  </si>
  <si>
    <t>TCDJ7-02</t>
  </si>
  <si>
    <t>C. DOURADA</t>
  </si>
  <si>
    <t>Descompartilhamento de serviços auxiliares; Construção de casa de controle, instalação de serviços auxiliares VCA e VCC; Instalação e realocação de painéis e equipamentos de proteção , controle, supervisão e de telecomunicações e instalação de cabo OPGW na LT 230 kV Itumbiara - Cachoeira Dourada.</t>
  </si>
  <si>
    <t>Módulo Geral</t>
  </si>
  <si>
    <t>0009533/2023</t>
  </si>
  <si>
    <t>Instalação de 01 Multiplexador Óptico SDH, na subestação JACARACANGA.</t>
  </si>
  <si>
    <t>0009543/2023</t>
  </si>
  <si>
    <t>Implantação de Multiplexador Óptico SDH, na subestação ITABAIANA, composto por: 01 Multiplexador.</t>
  </si>
  <si>
    <t>0009544/2023</t>
  </si>
  <si>
    <t>LT 69 kV SIDEROPOLIS ESUL / SIDEROPOLIS CELESC C-2 SC</t>
  </si>
  <si>
    <t>0009546/2023</t>
  </si>
  <si>
    <t>TC DJ332</t>
  </si>
  <si>
    <t>LT 69 kV SIDEROPOLIS ESUL / CRICIUMA C-1 SC</t>
  </si>
  <si>
    <t>0009547/2023</t>
  </si>
  <si>
    <t>TC DJ412</t>
  </si>
  <si>
    <t>LT 69 kV SIDEROPOLIS ESUL / CRICIUMA C-2 SC</t>
  </si>
  <si>
    <t>0009548/2023</t>
  </si>
  <si>
    <t>TC DJ372</t>
  </si>
  <si>
    <t>LT 69 kV SIDEROPOLIS ESUL / CRICIUMA FLORESTA C-1 SC</t>
  </si>
  <si>
    <t>0009549/2023</t>
  </si>
  <si>
    <t>TC DJ422</t>
  </si>
  <si>
    <t>Substituição do sistema de teleproteção alternada OPLAT, da LT 230 kV BRUMADO II /IBICOARA C-1 BA (14F5), na subestação IBICOARA, composto por: 01 Equipamento Teleproteção (Transceptor).</t>
  </si>
  <si>
    <t>0009550/2023</t>
  </si>
  <si>
    <t>11374546</t>
  </si>
  <si>
    <t>Substituição do sistema de teleproteção alternada OPLAT, da LT 230 kV BRUMADO II /IBICOARA C-1 BA (14F5), na subestação BRUMADO II, composto por: 01 Equipamento Teleproteção (Transceptor).</t>
  </si>
  <si>
    <t>0009551/2023</t>
  </si>
  <si>
    <t>11374548</t>
  </si>
  <si>
    <t>Substituição do Sistema de Comunicação Rádio por um Sistema de Comunicação Óptica, na subestação COTEGIPE, composto por: 01 Multiplexador SDH, 01 Distribuidor Geral Óptico, dutos e fibra óptica, associado à teleproteção principal.</t>
  </si>
  <si>
    <t>0009559/2023</t>
  </si>
  <si>
    <t>Substituição do painel de teleproteção e equipamentos associados, relacionados à teleproteção principal via OPGW do vão da Entrada de Linha 05V5 (LT 500 kV QUIXADA /FORTALEZA II C-1) na subestação QUIXADA.</t>
  </si>
  <si>
    <t>0009572/2023</t>
  </si>
  <si>
    <t>Substituição do painel de teleproteção e equipamentos associados, relacionados à teleproteção principal via OPGW do vão da Entrada de Linha 04S2 (LT 230 kV CAUIPE/SOBRAL II C-1) na subestação SOBRAL II.</t>
  </si>
  <si>
    <t>0009577/2023</t>
  </si>
  <si>
    <t>Substituição do painel de teleproteção e equipamentos associados, relacionados à teleproteção principal via OPGW no vão da Entrada de Linha 04L3 (LT 230 kV TERESINA II /TERESINA C-1) na subestação TERESINA.</t>
  </si>
  <si>
    <t>0009578/2023</t>
  </si>
  <si>
    <t>Substituição do painel de teleproteção e equipamentos associados, relacionados à teleproteção principal via OPGW no vão da Entrada de Linha 04L4 (LT 230 kV TERESINA II /TERESINA C-2) na subestação TERESINA.</t>
  </si>
  <si>
    <t>0009579/2023</t>
  </si>
  <si>
    <t>Substituição do painel de teleproteção e equipamentos associados, relacionados à teleproteção principal via OPGW do vão da Entrada de Linha 05V5 (LT 500 kV QUIXADA /FORTALEZA II C-1) na subestação FORTALEZA II.</t>
  </si>
  <si>
    <t>0009580/2023</t>
  </si>
  <si>
    <t>Substituição do painel de teleproteção e equipamentos associados, relacionados à teleproteção principal via OPGW do vão da Entrada de Linha 05C2 (LT 500 kV PECEM II /FORTALEZA II C-1) na subestação FORTALEZA II.</t>
  </si>
  <si>
    <t>0009581/2023</t>
  </si>
  <si>
    <t>Substituição do painel de teleproteção e equipamentos associados, relacionados à teleproteção principal via OPGW do vão da Entrada de Linha 04F4 (LT 230 kV DELM. GOUVEIA /FORTALEZA II C-1) na subestação FORTALEZA II.</t>
  </si>
  <si>
    <t>0009582/2023</t>
  </si>
  <si>
    <t>Substituição do painel de teleproteção e equipamentos associados, relacionados à teleproteção principal via OPGW do vão da Entrada de Linha 04F5 (LT 230 kV DELM. GOUVEIA /FORTALEZA II C-2) na subestação FORTALEZA II.</t>
  </si>
  <si>
    <t>0009583/2023</t>
  </si>
  <si>
    <t>Substituição do painel de teleproteção e equipamentos associados, relacionados à teleproteção principal via OPGW do vão da Entrada de Linha 05C2 (LT 500 kV PECEM II /FORTALEZA II C-1) na subestação PECEM II.</t>
  </si>
  <si>
    <t>0009584/2023</t>
  </si>
  <si>
    <t>Substituição do painel de teleproteção e equipamentos associados, relacionados à teleproteção principal via OPGW no vão da Entrada de Linha 04L3 (LT 230 kV TERESINA II /TERESINA C-1) na subestação TERESINA II.</t>
  </si>
  <si>
    <t>0009585/2023</t>
  </si>
  <si>
    <t>Substituição do painel de teleproteção e equipamentos associados, relacionados à teleproteção principal via OPGW no vão da Entrada de Linha 04L4 (LT 230 kV TERESINA II /TERESINA C-2) na subestação TERESINA II.</t>
  </si>
  <si>
    <t>0009586/2023</t>
  </si>
  <si>
    <t>Substituição do OPLAT por painel de teleproteção e equipamentos associados, relacionados à nova teleproteção principal via OPGW no vão da Entrada de Linha 04L2 (LT 230 kV CIC. DANTAS /CATU C-1) na subestação CICERO DANTAS.</t>
  </si>
  <si>
    <t>0009587/2023</t>
  </si>
  <si>
    <t>Substituição do painel de teleproteção e equipamentos associados, relacionados à teleproteção principal via OPGW no vão da Entrada de Linha 05V7 (LT 500 kV JARDIM /CAMACARI IV C-1) na subestação CAMACARI IV.</t>
  </si>
  <si>
    <t>0009588/2023</t>
  </si>
  <si>
    <t>Substituição do painel de teleproteção e equipamentos associados, relacionados à teleproteção principal via OPGW do vão da Entrada de Linha 04S2 (LT 230 kV CAUIPE/SOBRAL II C-1) na subestação CAUIPE.</t>
  </si>
  <si>
    <t>0009589/2023</t>
  </si>
  <si>
    <t>Substituição do painel de teleproteção e equipamentos associados, relacionados à teleproteção principal via OPGW do vão da Entrada de Linha 04F4 (LT 230 kV DELM. GOUVEIA /FORTALEZA II C-1) na subestação DELM. GOUVEIA.</t>
  </si>
  <si>
    <t>0009590/2023</t>
  </si>
  <si>
    <t>Substituição do painel de teleproteção e equipamentos associados, relacionados à teleproteção principal via OPGW do vão da Entrada de Linha 04F5 (LT 230 kV DELM. GOUVEIA /FORTALEZA II C-2) na subestação DELM. GOUVEIA.</t>
  </si>
  <si>
    <t>0009591/2023</t>
  </si>
  <si>
    <t>Substituição do painel de teleproteção e equipamentos associados, relacionados à teleproteção principal via OPGW no vão da Entrada de Linha 05V7 (LT 500 kV JARDIM /CAMACARI IV C-1) na subestação JARDIM.</t>
  </si>
  <si>
    <t>0009592/2023</t>
  </si>
  <si>
    <t>Instalação da cadeia de proteção de barras alternada, referente às barras P e PT de 230 kV da SE Salto Osório, incluindo uma Unidade Central e dezessete unidades de Bay (vãos LT F.Chopim C-1, F.Chopim C-2, Areia C-1, Areia C-2, Xanxerê C-1, P.Branco C-1, Cascavel C-1, C.Mourão C-1, C.Mourão C-2, UHSO C-1, UHSO C-2, UHSO C-3, UHSO C-4, UHSO C-5, UHSO C-6, TF 7 230/69 kV e Interligador de Barras - IB), painéis e cabos de controle e potência associados.</t>
  </si>
  <si>
    <t>0000036/2024</t>
  </si>
  <si>
    <t>Adaptação da Base, Bacia, Via de Transferência e Parede Corta-Fogo existentes para instalação do novo Reator de Barra 50 Mvar, RE1, na SE Dourados.</t>
  </si>
  <si>
    <t>RT 230 kV 27 Mvar DOURADOS RT1 MS</t>
  </si>
  <si>
    <t>0000072/2024</t>
  </si>
  <si>
    <t>Base, Bacia, Via de Transferência e Parede Corta-Fogo</t>
  </si>
  <si>
    <t>Adequação no módulo de conexão existente - Desmontagem de Chave Seccionadora SC729 230 kV e adaptação da base para instalação de 3x transformadores de corrente 230 kV .</t>
  </si>
  <si>
    <t>0000073/2024</t>
  </si>
  <si>
    <t>SC729</t>
  </si>
  <si>
    <t>Instalação da cadeia de proteção de barras (cadeia única), referente às barras 1 e 2 de 138 kV da SE Jorge Lacerda A, incluindo uma Unidade Central e dez unidades de Bay (vãos LT UT J.Lacerda-A C-1, UT J.Lacerda-A C-2, UT J.Lacerda-A C-3, Imbituba C-1, Bom Jardim da Serra C-1, TF 5 230/138 kV, TF 7 230/138 kV, TF 8 138/69 kV, TF 9 138/69 kV e Interligador de Barras - IB), painéis e cabos de controle e potência associados.</t>
  </si>
  <si>
    <t>0000089/2024</t>
  </si>
  <si>
    <t>BA - Barras 1 e 2 138 kV</t>
  </si>
  <si>
    <t>SUBSTITUIÇÃO DO AUTOTRANSFORMADOR        IZAT7-01, 500/230/13,8 kV, 200 MVA- FASE A</t>
  </si>
  <si>
    <t>0000226/2024</t>
  </si>
  <si>
    <t>IZAT701</t>
  </si>
  <si>
    <t>SUBSTITUIÇÃO DO AUTOTRANSFORMADOR IZAT7-01, 500/230/13,8 kV, 200 MVA- FASE V</t>
  </si>
  <si>
    <t>0000227/2024</t>
  </si>
  <si>
    <t>SUBSTITUIÇÃO DO TRANSFORMADOR LDAT7-02, FASE V, 550/230/13,8 kV, 200 MVA</t>
  </si>
  <si>
    <t>0000228/2024</t>
  </si>
  <si>
    <t>LDAT702</t>
  </si>
  <si>
    <t>SUBSTITUIÇÃO DO TRANSFORMADOR LDAT7-02, FASE B, 550/230/13,8 kV, 200 MVA</t>
  </si>
  <si>
    <t>0000229/2024</t>
  </si>
  <si>
    <t>SUBSTITUIÇÃO DO TRANSFORMADOR LDAT7-02, FASE A, 550/230/13,8 kV, 200 MVA</t>
  </si>
  <si>
    <t>0000230/2024</t>
  </si>
  <si>
    <t>SUBSTITUIÇÃO DO BANCO DE CAPACITORES 230kV - 61,1MVAr - LDBC6-02</t>
  </si>
  <si>
    <t>BC 230 kV 61,1 MVAr SAO LUIS II BC2 MA</t>
  </si>
  <si>
    <t>0000231/2024</t>
  </si>
  <si>
    <t>LDBC604</t>
  </si>
  <si>
    <t>SUBSTITUIÇÃO DO BANCO DE CAPACITORES 230kV - 61,1MVAr - LDBC6-04</t>
  </si>
  <si>
    <t>BC 230 kV 55,5 MVAr SAO LUIS II BC4 MA</t>
  </si>
  <si>
    <t>0000245/2024</t>
  </si>
  <si>
    <t>LDBC603</t>
  </si>
  <si>
    <t>SUBSTITUIÇÃO DO BANCO DE CAPACITORES 230kV - 50,8MVAr - LDBC6-01</t>
  </si>
  <si>
    <t>BC 230 kV 50,8 MVAr SAO LUIS II BC1 MA</t>
  </si>
  <si>
    <t>0000258/2024</t>
  </si>
  <si>
    <t>LDBC601</t>
  </si>
  <si>
    <t>SUBSTITUIÇÃO DO BANCO DE CAPACITORES 230kV - 61,5MVAr - LBDC6-03</t>
  </si>
  <si>
    <t>BC 230 kV 55,5 MVAr SAO LUIS II BC3 MA</t>
  </si>
  <si>
    <t>0000260/2024</t>
  </si>
  <si>
    <t>LDBC602</t>
  </si>
  <si>
    <t>SUBSTITUIÇÃO DO BANCO DE CAPACITORES 230kV UGBC6-01</t>
  </si>
  <si>
    <t>BC 230 kV 55 MVAr UTINGA BC1 PA</t>
  </si>
  <si>
    <t>0000261/2024</t>
  </si>
  <si>
    <t>UGBC601</t>
  </si>
  <si>
    <t>SUBSTITUIÇÃO DO BANCO DE CAPACITORES 230kV UGBC6-02</t>
  </si>
  <si>
    <t>BC 230 kV 55 MVAr UTINGA BC2 PA</t>
  </si>
  <si>
    <t>0000262/2024</t>
  </si>
  <si>
    <t>UGBC602</t>
  </si>
  <si>
    <t>Substituição do reator RTSMSB1 500kV, fase A, 24,5MVAr na Subestação S.DA MESA (CM 10234244 e nº serie 51405).</t>
  </si>
  <si>
    <t>RT 500 kV 73,4 Mvar S.DA MESA RSB1 GO</t>
  </si>
  <si>
    <t>0000310/2024</t>
  </si>
  <si>
    <t>RTSMSB1 A</t>
  </si>
  <si>
    <t>Substituição do reator RTSMSB1 500kV, fase B, 24,5MVAr na Subestação S.DA MESA (CM 10234245 e nº serie 51407).</t>
  </si>
  <si>
    <t>0000311/2024</t>
  </si>
  <si>
    <t>RTSMSB1 B</t>
  </si>
  <si>
    <t>Substituição do reator RTSMSB1 500kV, fase C, 24,5MVAr na Subestação S.DA MESA (CM 10234246 e nº serie 51408).</t>
  </si>
  <si>
    <t>0000312/2024</t>
  </si>
  <si>
    <t>RTSMSB1 C</t>
  </si>
  <si>
    <t>Substituição do Reator Reserva RT8V1 (nº serie: 1534024, cod. mat.: 10184023).</t>
  </si>
  <si>
    <t>RTR 345 kV 20 Mvar ITUTINGA RTR1 MG</t>
  </si>
  <si>
    <t>0000210/2024</t>
  </si>
  <si>
    <t>RT01 R</t>
  </si>
  <si>
    <t>Substituição de 01 (um) Trafo Regulador 230kV, potência 100 MVA, posição operacional 04T1 da SE STJ.</t>
  </si>
  <si>
    <t>0000304/2024</t>
  </si>
  <si>
    <t>04T1</t>
  </si>
  <si>
    <t>Substituição do reator reserva RTR 69 kV 60 Mvar TIJUCO PRETO RTR1 SP</t>
  </si>
  <si>
    <t>RTR 69 kV 60 Mvar TIJUCO PRETO RTR1 SP</t>
  </si>
  <si>
    <t>0000381/2024</t>
  </si>
  <si>
    <t>RTR1</t>
  </si>
  <si>
    <t>Instalação do SPCS alternado das Barras 500 kV , na subestação SOBRAL III, composto por: 01 painel, 01 unidade central de proteção de barras (alternada), do tipo adaptativa e distribuída, com capacidade para atender, no mínimo, 08 vãos, 08 unidades de bay de proteção de barras (alternada) e infraestrutura de comunicação associados.</t>
  </si>
  <si>
    <t>0001299/2024</t>
  </si>
  <si>
    <t>Instalação do SPCS alternado das Barras 230 kV , na subestação SOBRAL III, composto por: 01 painel, 01 unidade central de proteção de barras (alternada), do tipo adaptativa e distribuída, com capacidade para atender, no mínimo, 09 vãos, 09 unidades de bay de proteção de barras (alternada) e infraestrutura de comunicação associados.</t>
  </si>
  <si>
    <t>0001381/2024</t>
  </si>
  <si>
    <t>Instalação do SPCS das Barras 230 kV , na subestação COTEGIPE, composto por: 02 painéis, 02 unidades centrais de proteção de barras (principal e alternada), do tipo adaptativa e distribuída, com capacidade para atender, no mínimo, 12 vãos, 24 unidades de bay de proteção de barras (principal e alternada) e infraestrutura de comunicação associados.</t>
  </si>
  <si>
    <t>0001382/2024</t>
  </si>
  <si>
    <t>Instalação do SPCS alternado das Barras 500 kV , na subestação RECIFE II, composto por: 01 painel, 01 unidade central de proteção de barras (alternada), do tipo adaptativa e distribuída, com capacidade para atender, no mínimo, 08 vãos, 08 unidades de bay de proteção de barras (alternada) e infraestrutura de comunicação associados.</t>
  </si>
  <si>
    <t>0001385/2024</t>
  </si>
  <si>
    <t>Instalação do SPCS das Barras 230 kV, na subestação BANABUIU, composto por: 02 painéis, 02 unidades centrais de proteção de barras (principal e alternada), do tipo adaptativa e distribuída, com capacidade para atender, no mínimo, 19 vãos, 38 unidades de bay de proteção de barras (principal e alternada) e infraestrutura de comunicação associados.</t>
  </si>
  <si>
    <t>0001387/2024</t>
  </si>
  <si>
    <t>Instalação do SPCS das Barras 230 kV , na subestação MILAGRES, composto por: 02 painéis, 02 unidades centrais de proteção de barras (principal e alternada), do tipo adaptativa e distribuída, com capacidade para atender, no mínimo, 20 vãos, 40 unidades de bay de proteção de barras (principal e alternada) e infraestrutura de comunicação associados.</t>
  </si>
  <si>
    <t>0001388/2024</t>
  </si>
  <si>
    <t>Instalação do SPCS alternado das Barras 500 kV , na subestação MILAGRES, composto por: 01 painel, 01 unidade central de proteção de barras (alternada), do tipo adaptativa e distribuída, com capacidade para atender, no mínimo, 08 vãos, 08 unidades de bay de proteção de barras (alternada) e infraestrutura de comunicação associados.</t>
  </si>
  <si>
    <t>0001389/2024</t>
  </si>
  <si>
    <t>Instalação do SPCS das Barras 230 kV , na subestação IRECE, composto por: 02 painéis, 02 unidades centrais de proteção de barras (principal e alternada), do tipo adaptativa e distribuída, com capacidade para atender, no mínimo, 13 vãos, 26 unidades de bay de proteção de barras (principal e alternada) e infraestrutura de comunicação associados.</t>
  </si>
  <si>
    <t>0001390/2024</t>
  </si>
  <si>
    <t>Instalação do SPCS das Barras 230 kV , na subestação G.MANGABEIRA, composto por: 02 painéis, 02 unidades centrais de proteção de barras (principal e alternada), do tipo adaptativa e distribuída, com capacidade para atender, no mínimo, 12 vãos, 24 unidades de bay de proteção de barras (principal e alternada) e infraestrutura de comunicação associados.</t>
  </si>
  <si>
    <t>0001392/2024</t>
  </si>
  <si>
    <t>Instalação do SPCS alternado das Barras 500 kV , na subestação CAMACARI II, composto por: 01 painel, 01 unidade central de proteção de barras (alternada), do tipo adaptativa e distribuída, com capacidade para atender, no mínimo, 08 vãos, 08 unidades de bay de proteção de barras (alternada) e infraestrutura de comunicação associados.</t>
  </si>
  <si>
    <t>0001393/2024</t>
  </si>
  <si>
    <t>Instalação de 01 Multiplexador Óptico SDH redundante, na subestação ANGELIM.</t>
  </si>
  <si>
    <t>0001424/2024</t>
  </si>
  <si>
    <t>Instalação de 01 Multiplexador Óptico SDH redundante, na subestação TACAIMBO.</t>
  </si>
  <si>
    <t>0001426/2024</t>
  </si>
  <si>
    <t>Instalação de 01 (um) TP 69  kV posição operacional 82T1 fase A da Subestação BOM NOME</t>
  </si>
  <si>
    <t>0001449/2024</t>
  </si>
  <si>
    <t>Instalação de 01 (um) TP 69  kV posição operacional 82T1 fase B da Subestação BOM NOME</t>
  </si>
  <si>
    <t>0001450/2024</t>
  </si>
  <si>
    <t>Instalação de 01 (um) TP 69  kV posição operacional 82T1 fase C da Subestação BOM NOME</t>
  </si>
  <si>
    <t>0001451/2024</t>
  </si>
  <si>
    <t>Instalação de 01 (um) TP 69  kV posição operacional 82T2 fase A da Subestação BOM NOME</t>
  </si>
  <si>
    <t>0001452/2024</t>
  </si>
  <si>
    <t>Instalação de 01 (um) TP 69  kV posição operacional 82T2 fase B da Subestação BOM NOME</t>
  </si>
  <si>
    <t>0001453/2024</t>
  </si>
  <si>
    <t>Instalação de 01 (um) TP 69  kV posição operacional 82T2 fase C da Subestação BOM NOME</t>
  </si>
  <si>
    <t>0001454/2024</t>
  </si>
  <si>
    <t>ZEBU 2</t>
  </si>
  <si>
    <t>Instalação de 01 Multiplexador Óptico SDH redundante, na subestação ZEBU II.</t>
  </si>
  <si>
    <t>MG ZEBU II</t>
  </si>
  <si>
    <t>0001491/2024</t>
  </si>
  <si>
    <t>Instalação de 01 Multiplexador Óptico SDH redundante, na subestação AQUIRAZ II.</t>
  </si>
  <si>
    <t>0001492/2024</t>
  </si>
  <si>
    <t>Instalação de 01 Multiplexador Óptico SDH redundante, na subestação ICO.</t>
  </si>
  <si>
    <t>0001494/2024</t>
  </si>
  <si>
    <t>Instalação de 01 Multiplexador Óptico SDH redundante, na subestação JABOATAO II.</t>
  </si>
  <si>
    <t>0001495/2024</t>
  </si>
  <si>
    <t>Instalação de 01 Multiplexador Óptico SDH redundante, na subestação JOAIRAM.</t>
  </si>
  <si>
    <t>0001496/2024</t>
  </si>
  <si>
    <t>Instalação de 01 Multiplexador Óptico SDH redundante, na subestação MATATU.</t>
  </si>
  <si>
    <t>MG MATATU / CCO-2001-061 - RB</t>
  </si>
  <si>
    <t>0001497/2024</t>
  </si>
  <si>
    <t>Instalação de 01 Multiplexador Óptico SDH redundante, na subestação RUSSAS II.</t>
  </si>
  <si>
    <t>0001499/2024</t>
  </si>
  <si>
    <t>Instalação de 01 Multiplexador Óptico SDH redundante, na subestação SUAPE II.</t>
  </si>
  <si>
    <t>0001500/2024</t>
  </si>
  <si>
    <t>Substituição de 01 (um) disjuntor de 13,8 KV posição operacional 11D1 da subestação TERESINA,  por outro com capacidade nominal de curto-circuito mínima de 31,5 kA</t>
  </si>
  <si>
    <t>IB 13,8 kV MG 230 kV TERESINA MG1 PI IB2 (01D1)</t>
  </si>
  <si>
    <t>0001589/2024</t>
  </si>
  <si>
    <t>11D1</t>
  </si>
  <si>
    <t>Substituição de 01 (um) disjuntor de 13,8 KV posição  operacional 11E2 da subestação TERESINA, por outro com capacidade nominal de curto-circuito mínima de 31,5 kA</t>
  </si>
  <si>
    <t>MC 13,8 kV RTB 13,8 kV 5 Mvar TERESINA RT2 PI (01E2)</t>
  </si>
  <si>
    <t>0001592/2024</t>
  </si>
  <si>
    <t>11E2</t>
  </si>
  <si>
    <t>Substituição de 01 (um) TC 69 kV posição operacional 92T1-2 fase A da Subestação MACEIO.</t>
  </si>
  <si>
    <t>0001601/2024</t>
  </si>
  <si>
    <t>92T1-2.A</t>
  </si>
  <si>
    <t>Substituição de 01 (um) TC 69 kV posição operacional 92T1-2 fase C da Subestação MACEIO.</t>
  </si>
  <si>
    <t>0001602/2024</t>
  </si>
  <si>
    <t>92T1-2.C</t>
  </si>
  <si>
    <t>Substituição de 01 (um) TC 69 kV posição operacional 92T2-2 fase A da Subestação MACEIO.</t>
  </si>
  <si>
    <t>0001603/2024</t>
  </si>
  <si>
    <t>92T2-2.A</t>
  </si>
  <si>
    <t>Substituição de 01 (um) TC 69 kV posição operacional 92T2-2 fase C da Subestação MACEIO.</t>
  </si>
  <si>
    <t>0001604/2024</t>
  </si>
  <si>
    <t>92T2-2.C</t>
  </si>
  <si>
    <t>Substituição de 01 (um) TC 69 kV posição operacional 92T3-1 fase A da Subestação MACEIO.</t>
  </si>
  <si>
    <t>0001605/2024</t>
  </si>
  <si>
    <t>92T3-1.A</t>
  </si>
  <si>
    <t>Substituição de 01 (um) TC 69 kV posição operacional 92T3-1 fase B da Subestação MACEIO.</t>
  </si>
  <si>
    <t>0001606/2024</t>
  </si>
  <si>
    <t>92T3-1.B</t>
  </si>
  <si>
    <t>Substituição de 01 (um) TC 69 kV posição operacional 92T3-1 fase C da Subestação MACEIO.</t>
  </si>
  <si>
    <t>0001607/2024</t>
  </si>
  <si>
    <t>92T3-1.C</t>
  </si>
  <si>
    <t>Substituição de 01 (um) TC 69 kV posição operacional 92T3-2 fase A da Subestação MACEIO.</t>
  </si>
  <si>
    <t>0001608/2024</t>
  </si>
  <si>
    <t>92T3-2.A</t>
  </si>
  <si>
    <t>Substituição de 01 (um) TC 69 kV posição operacional 92T3-2 fase C da Subestação MACEIO.</t>
  </si>
  <si>
    <t>0001610/2024</t>
  </si>
  <si>
    <t>92T3-2.C</t>
  </si>
  <si>
    <t>Instalação de 03 (três) capacitores de surto em paralelo ao transformador de Potência de 230/13,8kV, posição operacional 04T2 da Subestação TERESINA, com células capacitivas de no mínimo 20kvar (266nF)</t>
  </si>
  <si>
    <t>TR 230/69 kV TERESINA TR1 PI</t>
  </si>
  <si>
    <t>0001614/2024</t>
  </si>
  <si>
    <t>Absorção de Energia</t>
  </si>
  <si>
    <t>Substituição de 01 (um) TC 500 kV posição operacional 95V5 fase C da Subestação JARDIM.</t>
  </si>
  <si>
    <t>0001622/2024</t>
  </si>
  <si>
    <t>95V5.C</t>
  </si>
  <si>
    <t>Substituição de 01 (um) TC 500 kV posição operacional 95V7 fase A da Subestação JARDIM.</t>
  </si>
  <si>
    <t>0001623/2024</t>
  </si>
  <si>
    <t>95V7.A</t>
  </si>
  <si>
    <t>Substituição de 01 (um) TC 500 kV posição operacional 95V5 fase A da Subestação XINGO.</t>
  </si>
  <si>
    <t>0001624/2024</t>
  </si>
  <si>
    <t>95V5.A</t>
  </si>
  <si>
    <t>Substituição de 01 (um) TC 500 kV posição operacional 95V5 fase B da Subestação XINGO.</t>
  </si>
  <si>
    <t>0001625/2024</t>
  </si>
  <si>
    <t>95V5.B</t>
  </si>
  <si>
    <t>Substituição de 01 (um) TC 500 kV posição operacional 95V5 fase C da Subestação XINGO.</t>
  </si>
  <si>
    <t>0001627/2024</t>
  </si>
  <si>
    <t>Instalação de Transformador de Corrente TC230 230 kV, fase A, arranjo BD4, e adequação do módulo de conexão associado ao RT1 na SE DOURADOS.</t>
  </si>
  <si>
    <t>0001906/2024</t>
  </si>
  <si>
    <t>TC230 RT1-A</t>
  </si>
  <si>
    <t>Instalação de Transformador de Corrente TC230 230 kV, fase B, arranjo BD4, e adequação do módulo de conexão associado ao RT1 na SE DOURADOS.</t>
  </si>
  <si>
    <t>0001910/2024</t>
  </si>
  <si>
    <t>TC230 RT1-B</t>
  </si>
  <si>
    <t>Instalação de Transformador de Corrente TC230 230 kV, fase C, arranjo BD4, e adequação do módulo de conexão associado ao RT1 na SE DOURADOS</t>
  </si>
  <si>
    <t>0001912/2024</t>
  </si>
  <si>
    <t>TC230 RT1-C</t>
  </si>
  <si>
    <t>Substituição dos sistema de controle, supervisão e proteções Principal, Alternada e Falha de Disjuntor do BC4, na SE GRAVATAI 2.</t>
  </si>
  <si>
    <t>0001942/2024</t>
  </si>
  <si>
    <t>SPCS230 BC4</t>
  </si>
  <si>
    <t>Substituição dos sistema de controle, supervisão e proteções Principal, Alternada e Falha de Disjuntor do BC5, na SE GRAVATAI 2.</t>
  </si>
  <si>
    <t>0001937/2024</t>
  </si>
  <si>
    <t>SPCS230 BC5</t>
  </si>
  <si>
    <t>Substituição da proteção de barra "unidade de bay" principal  230kV do BC4, incluindo painéis e cabos de controle e potência associados, na SE GRAVATAI 2.</t>
  </si>
  <si>
    <t>0001951/2024</t>
  </si>
  <si>
    <t>Instalação da proteção de barra "unidade de bay" alternada 230kV, do BC4, incluindo painéis e cabos de controle e potência associados, na SE GRAVATAI 2.</t>
  </si>
  <si>
    <t>0001949/2024</t>
  </si>
  <si>
    <t>Substituição da proteção de barra "unidade de bay" principal 230kV do BC5, incluindo painéis e cabos de controle e potência associados, na SE GRAVATAI 2.</t>
  </si>
  <si>
    <t>MC 230 kV BC 230 kV 100 Mvar GRAVATAI 2 BC5 RS</t>
  </si>
  <si>
    <t>0001958/2024</t>
  </si>
  <si>
    <t>Instalação da proteção Barra "unidade de bay" alternada 230kV do BC5, incluindo painéis e cabos de controle e potência associados, na SE GRAVATAI 2.</t>
  </si>
  <si>
    <t>BC 230 kV 100 Mvar GRAVATAI 2 BC5 RS</t>
  </si>
  <si>
    <t>0002000/2024</t>
  </si>
  <si>
    <t>Adequação do serviço auxiliar, contemplando a instalação de 1 painel de distribuição 125 Vcc (2PD01) e 1 painel de distribuição Vca (2SA1) para segregação das cargas dos serviços auxiliares.</t>
  </si>
  <si>
    <t>MG 230 kV GRAVATAI 2 MG1 RS</t>
  </si>
  <si>
    <t>0001956/2024</t>
  </si>
  <si>
    <t>SAUX BC4</t>
  </si>
  <si>
    <t>Instalação da cadeia de proteção de barras alternada, referente às barras P e PT de 230 kV, incluindo uma Unidade Central e nove unidades de Bay (vãos TF 5, TF 7, TF 10, TF 11, LT J.Lacerda-B C-1, LT J.Lacerda-B C-2, LT UT J.Lacerda-A C-4, UT J. Lacerda-A C-6 e Interligador de Barras (IB - DJ792), painéis e cabos de controle e potência associados, da SE J.Lacerda-A.</t>
  </si>
  <si>
    <t>0001979/2024</t>
  </si>
  <si>
    <t>SPCS230 Barra</t>
  </si>
  <si>
    <t>Instalação de nova estrutura metálica e equipamentos (3 TP Indutivo 14.4kV, 3 Para-raios 21kV, 3 Chaves Fusível 15kV, 1 Resistor de Aterramento e 1 Transformador de Serviços Auxiliares TSA1 - 13.8-440V - 500 kVA) proveniente da saída do terciário do TF11, com a utilização de tubo e cabos isolados nas conexões,  da SE J.Lacerda-A.</t>
  </si>
  <si>
    <t>0001984/2024</t>
  </si>
  <si>
    <t>MIG13,8</t>
  </si>
  <si>
    <t>Instalação de nova estrutura metálica e equipamentos (3 TP Indutivo 14.4kV, 3 Para-raios 21kV, 3 Chaves Fusível 15kV, 1 Resistor de Aterramento e 1 Transformador de Serviços Auxiliares TSA2 - 13.8-440V - 500 kVA) proveniente da saída do terciário do TF7, com a utilização de tubo e cabos isolados nas conexões, da SE J.Lacerda-A.</t>
  </si>
  <si>
    <t>0001990/2024</t>
  </si>
  <si>
    <t>Instalação de Grupo Motor Gerador Diesel, 440 V, 150 kVA, e cabos associados, referente aos Serviços Auxiliares da SE J.Lacerda-A.</t>
  </si>
  <si>
    <t>0001993/2024</t>
  </si>
  <si>
    <t>Substituição de barramento intermediário, incluindo cabos, cadeias e ferragens, bem como dos cabos, cadeias e fixações do sistema de proteção contra descargas atmosféricas (SPDA) referente à Barra 1 de 138 kV da SE J.Lacerda-A. 
Associado a obra são esperadas substituições/adaptações de estruturas de ancoragem dos barramentos, ¨pingados¨, conectores e conexão com aterramento. Capacidade nominal do novo barramento = 1.056 / 1.480 A (longa e curta duração).</t>
  </si>
  <si>
    <t>0002010/2024</t>
  </si>
  <si>
    <t>BA1-138</t>
  </si>
  <si>
    <t>Substituição de barramento intermediário, incluindo cabos, cadeias e ferragens, bem como dos cabos, cadeias e fixações do sistema de proteção contra descargas atmosféricas (SPDA) referente à Barra 2 de 138 kV da SE J.Lacerda-A. Associado a obra são esperadas substituições/adaptações de estruturas de ancoragem dos barramentos, ¨pingados¨, conectores e conexão com aterramento. Capacidade nominal do novo barramento = 1.056 / 1.480 A (longa e curta duração).</t>
  </si>
  <si>
    <t>0002012/2024</t>
  </si>
  <si>
    <t>BA2-138</t>
  </si>
  <si>
    <t>Substituição de barramento intermediário, incluindo cabos, cadeias e ferragens, bem como dos cabos, cadeias e fixações do sistema de proteção contra descargas atmosféricas (SPDA) referente à Barra P de 230 kV da SE J.Lacerda-A. Associado a obra são esperadas substituições/adaptações de estruturas de ancoragem dos barramentos, ¨pingados¨, conectores e conexão com aterramento. Capacidade nominal do novo barramento = 1.072 / 1.333 A (longa e curta duração).</t>
  </si>
  <si>
    <t>0002014/2024</t>
  </si>
  <si>
    <t>BAP-230</t>
  </si>
  <si>
    <t>Substituição de barramento intermediário, incluindo cabos, cadeias e ferragens, bem como dos cabos, cadeias e fixações do sistema de proteção contra descargas atmosféricas (SPDA) referente à Barra PT de 230 kV da SE J.Lacerda-A. Associado a obra são esperadas substituições/adaptações de estruturas de ancoragem dos barramentos, ¨pingados¨, conectores e conexão com aterramento. Capacidade nominal do novo barramento = 1.072 / 1.333 A (longa e curta duração).</t>
  </si>
  <si>
    <t>0002017/2024</t>
  </si>
  <si>
    <t>BAPT-230</t>
  </si>
  <si>
    <t>Instalação de Transformador de Corrente TC 230 kV, fase A, arranjo BD4, associado à IB do DJ762, na SE LONDRINA ESU.</t>
  </si>
  <si>
    <t>FT MG 500kV LONDRINA ESU MG1 PR</t>
  </si>
  <si>
    <t>0002041/2024</t>
  </si>
  <si>
    <t>TC230 DJ762-A</t>
  </si>
  <si>
    <t>Instalação de Transformador de Corrente TC 230 kV, fase B,  arranjo BD4, associado à IB do DJ762, na SE LONDRINA ESU.</t>
  </si>
  <si>
    <t>FT MG 500 kV LONDRINA ESU MG1 PR</t>
  </si>
  <si>
    <t>0002049/2024</t>
  </si>
  <si>
    <t>TC230 DJ762-B</t>
  </si>
  <si>
    <t>Instalação de Transformador de Corrente TC 230 kV, fase C,  arranjo BD4, associado à IB do DJ762, na SE LONDRINA ESU.</t>
  </si>
  <si>
    <t>0002053/2024</t>
  </si>
  <si>
    <t>TC230 DJ762-C</t>
  </si>
  <si>
    <t>Instalação da cadeia de proteção de barras alternada, referente às barras P e PT de 230 kV, incluindo uma Unidade Central e quatorze unidades de Bay (vãos TF 1, TF 3, TF 4, IBP C2, IBP C1, LNA C1, LNA C2, SDI C1, LNS C1, MGA C2, FRA C1, FRA C2, APA C2 e I</t>
  </si>
  <si>
    <t>0002058/2024</t>
  </si>
  <si>
    <t>Substituição de Chave Seccionadora SC6535 138 kV, arranjo BS, associada ao AT03, na SE CAMPINAS. Capacidade mínima para o novo equipamento: 50 kA e 3.150 A.</t>
  </si>
  <si>
    <t>LT 138 kV TANQUINHO /CAMPINAS C-3 SP</t>
  </si>
  <si>
    <t>0001968/2024</t>
  </si>
  <si>
    <t>SC6535</t>
  </si>
  <si>
    <t>Substituição de Chave Seccionadora SC6537 138 kV, arranjo BS, associada ao AT03, na SE CAMPINAS. Capacidade mínima para o novo equipamento: 50 kA e 3.150 A.</t>
  </si>
  <si>
    <t>0001969/2024</t>
  </si>
  <si>
    <t>SC6537</t>
  </si>
  <si>
    <t>Substituição de Chave Seccionadora com lâmina de terra SC6539 / SC6530T 138 kV, arranjo BS, associada ao AT03, na SE CAMPINAS. Capacidade mínima para o novo equipamento: 50 kA e 3.150 A.</t>
  </si>
  <si>
    <t>0001971/2024</t>
  </si>
  <si>
    <t>SC6539/30T</t>
  </si>
  <si>
    <t>Substituição de Chave Seccionadora SC6545 138 kV, arranjo BS, associada ao AT04, na SE CAMPINAS. Capacidade mínima para o novo equipamento: 50 kA e 3.150 A.</t>
  </si>
  <si>
    <t>LT 138 kV TANQUINHO /CAMPINAS C-4 SP</t>
  </si>
  <si>
    <t>0001974/2024</t>
  </si>
  <si>
    <t>SC 6545</t>
  </si>
  <si>
    <t>Substituição de Chave Seccionadora SC6547 138 kV, arranjo BS, associada ao AT04, na SE CAMPINAS. Capacidade mínima para o novo equipamento: 50 kA e 3.150 A.</t>
  </si>
  <si>
    <t>0001975/2024</t>
  </si>
  <si>
    <t>SC 6547</t>
  </si>
  <si>
    <t>Substituição de Transformador de Corrente 138 kV, fase A, arranjo BS, associado ao AT04 na SE CAMPINAS. Capacidade mínima para o novo equipamento: 50 kA.</t>
  </si>
  <si>
    <t>0001812/2024</t>
  </si>
  <si>
    <t>TC 6545 A</t>
  </si>
  <si>
    <t>Substituição de Transformador de Corrente 138 kV, fase B, arranjo BS, associado ao AT04 na SE CAMPINAS. Capacidade mínima para o novo equipamento: 50 kA.</t>
  </si>
  <si>
    <t>0001821/2024</t>
  </si>
  <si>
    <t>TC 6545 B</t>
  </si>
  <si>
    <t>Substituição de Transformador de Corrente 138 kV, fase C, arranjo BS, associado ao AT04 na SE CAMPINAS. Capacidade mínima para o novo equipamento: 50 kA.</t>
  </si>
  <si>
    <t>0001865/2024</t>
  </si>
  <si>
    <t>TC 6545 C</t>
  </si>
  <si>
    <t>Substituição de Transformador de Corrente 345 kV, fase A, arranjo BD5 associado à IB BR8A 345 kV na SE CAMPINAS. Capacidade mínima para o novo equipamento: 31,5 kA e 2.500 A.</t>
  </si>
  <si>
    <t>CAMPINAS MG1 SP</t>
  </si>
  <si>
    <t>0001869/2024</t>
  </si>
  <si>
    <t>TC 808 BR8A A</t>
  </si>
  <si>
    <t>Substituição de Transformador de Corrente 345 kV, fase B, arranjo BD5 associado à IB BR8A 345 kV na SE CAMPINAS. Capacidade mínima para o novo equipamento: 31,5 kA e 2.500 A.</t>
  </si>
  <si>
    <t>0001872/2024</t>
  </si>
  <si>
    <t>TC 808 BR8A B</t>
  </si>
  <si>
    <t>Substituição de Transformador de Corrente 345 kV, fase C, arranjo BD5 associado à IB BR8A 345 kV na SE CAMPINAS. Capacidade mínima para o novo equipamento: 31,5 kA e 2.500 A.</t>
  </si>
  <si>
    <t>FT MG 500 kV CAMPINAS MG1 SP</t>
  </si>
  <si>
    <t>0001861/2024</t>
  </si>
  <si>
    <t>TC 808 BR8A C</t>
  </si>
  <si>
    <t>Substituição de Transformador de Corrente 345 kV, fase A, arranjo BD5 associado à IB BR8B 345 kV na SE CAMPINAS. Capacidade mínima para o novo equipamento: 31,5 kA e 2.500 A.</t>
  </si>
  <si>
    <t>0001866/2024</t>
  </si>
  <si>
    <t>TC 808 BR8B A</t>
  </si>
  <si>
    <t>Substituição de Transformador de Corrente 345 kV, fase B, arranjo BD5 associado à IB BR8B 345 kV na SE CAMPINAS. Capacidade mínima para o novo equipamento: 31,5 kA e 2.500 A.</t>
  </si>
  <si>
    <t>0001871/2024</t>
  </si>
  <si>
    <t>TC 808 BR8B B</t>
  </si>
  <si>
    <t>Substituição de Transformador de Corrente 345 kV, fase C, arranjo BD5 associado à IB BR8B 345 kV na SE CAMPINAS. Capacidade mínima para o novo equipamento: 31,5 kA e 2.500 A.</t>
  </si>
  <si>
    <t>0001873/2024</t>
  </si>
  <si>
    <t>TC 808 BR8B C</t>
  </si>
  <si>
    <t>Substituição de Transformador de Corrente 345 kV, fase A, arranjo BD5, associado ao AT02 na SE CAMPINAS.</t>
  </si>
  <si>
    <t>TR 345/138 kV CAMPINAS TR2 SP</t>
  </si>
  <si>
    <t>0006248/2024</t>
  </si>
  <si>
    <t>TC 827 A</t>
  </si>
  <si>
    <t>Substituição de Transformador de Corrente 345 kV, fase B, arranjo BD5, associado ao AT02 na SE CAMPINAS.</t>
  </si>
  <si>
    <t>0006254/2024</t>
  </si>
  <si>
    <t>TC 827 B</t>
  </si>
  <si>
    <t>Substituição de Transformador de Corrente 345 kV, fase C, arranjo BD5, associado ao AT02 na SE CAMPINAS.</t>
  </si>
  <si>
    <t>0006258/2024</t>
  </si>
  <si>
    <t>TC 827 C</t>
  </si>
  <si>
    <t>Substituição de Disjuntor DJ6538 138 kV, arranjo BS, associado ao AT03 na SE CAMPINAS.</t>
  </si>
  <si>
    <t>EL 138 kV CAMPINAS LT 138 kV TANQUINHO /CAMPINAS C-3 SP</t>
  </si>
  <si>
    <t>0006262/2024</t>
  </si>
  <si>
    <t>DJ6538</t>
  </si>
  <si>
    <t>Substituição de Transformador de Corrente 138 kV, fase A, arranjo BS, associado ao AT01 na SE CAMPINAS. Capacidade mínima para o novo equipamento: 50 kA.</t>
  </si>
  <si>
    <t>0001877/2024</t>
  </si>
  <si>
    <t>TC LITQCA1 A</t>
  </si>
  <si>
    <t>Substituição de Transformador de Corrente 138 kV, fase B, arranjo BS, associado ao AT01 na SE CAMPINAS. Capacidade mínima para o novo equipamento: 50 kA.</t>
  </si>
  <si>
    <t>0001882/2024</t>
  </si>
  <si>
    <t>TC LITQCA1 B</t>
  </si>
  <si>
    <t>Substituição de Transformador de Corrente 138 kV, fase C, arranjo BS, associado ao AT01 na SE CAMPINAS. Capacidade mínima para o novo equipamento: 50 kA.</t>
  </si>
  <si>
    <t>0001904/2024</t>
  </si>
  <si>
    <t>TC LITQCA1 C</t>
  </si>
  <si>
    <t>Substituição de Chave Seccionadora SC803 345 kV, arranjo BD5, associada à IB 345 kV na SE CAMPINAS. Capacidade mínima para o novo equipamento: 50 kA e 3.150 A.</t>
  </si>
  <si>
    <t>MG1 SP</t>
  </si>
  <si>
    <t>0001977/2024</t>
  </si>
  <si>
    <t>SC801</t>
  </si>
  <si>
    <t>Substituição de Chave Seccionadora SC801 345 kV, arranjo BD5, associada à IB 345 kV na SE CAMPINAS. Capacidade mínima para o novo equipamento: 50 kA e 3.150 A.</t>
  </si>
  <si>
    <t>0001978/2024</t>
  </si>
  <si>
    <t>SC803</t>
  </si>
  <si>
    <t>Substituição do Sistema de Proteção de Barras (cadeias principal e alternada) 8A e 8B no setor de 345 kV da SE Guarulhos, abrangendo todos os vãos da subestação conectados a estas barras.</t>
  </si>
  <si>
    <t>MG GUARULHOS / CCO-2001-062 - RB</t>
  </si>
  <si>
    <t>0002015/2024</t>
  </si>
  <si>
    <t>SPCS345 Barra RT1</t>
  </si>
  <si>
    <t>Instalação de Para-raios 750 kV, fase B, arranjo DJM, associado ao BSFIIV1, na SE IVAIPORÃ.</t>
  </si>
  <si>
    <t>0001802/2024</t>
  </si>
  <si>
    <t>PR750 BFIIVC1-B</t>
  </si>
  <si>
    <t>Instalação de Para-raios 750 kV, fase C, arranjo DJM, associado ao BSFIIV1, na SE IVAIPORÃ.</t>
  </si>
  <si>
    <t>0001976/2024</t>
  </si>
  <si>
    <t>PR750 BFIIVC1-C</t>
  </si>
  <si>
    <t>Instalação de Para-raios 750 kV, fase A, associado ao BSFIIV2, na SE de IVAIPORÃ.</t>
  </si>
  <si>
    <t>0001806/2024</t>
  </si>
  <si>
    <t>Instalação de Para-raios 750 kV, fase B, associado ao BSFIIV2, na SE de IVAIPORÃ.</t>
  </si>
  <si>
    <t>0001809/2024</t>
  </si>
  <si>
    <t>Instalação de Para-raios 750 kV, fase C, associado ao BSFIIV2, na SE de IVAIPORÃ.</t>
  </si>
  <si>
    <t>0001995/2024</t>
  </si>
  <si>
    <t>PR750 BFIIVC2-C</t>
  </si>
  <si>
    <t>Instalação de Para-raios 750 kV, fase A, associado ao BSFIIV3, na SE de IVAIPORÃ.</t>
  </si>
  <si>
    <t>0001814/2024</t>
  </si>
  <si>
    <t>Instalação de Para-raios 750 kV, fase B, associado ao BSFIIV3, na SE de IVAIPORÃ.</t>
  </si>
  <si>
    <t>0001816/2024</t>
  </si>
  <si>
    <t>Instalação de Para-raios 750 kV, fase C, associado ao BSFIIV3, na SE de IVAIPORÃ.</t>
  </si>
  <si>
    <t>0001818/2024</t>
  </si>
  <si>
    <t>Instalação de Para-raios 750 kV, fase A, arranjo DJM, associado ao BSIAIV1, na SE de IVAIPORÃ.</t>
  </si>
  <si>
    <t>0001813/2024</t>
  </si>
  <si>
    <t>PR750 BFIAIVC1-A</t>
  </si>
  <si>
    <t>Instalação de Para-raios 750 kV, fase B, arranjo DJM, associado ao BSIAIV1, na SE de IVAIPORÃ.</t>
  </si>
  <si>
    <t>0001787/2024</t>
  </si>
  <si>
    <t>PR750 BFIAIVC1-B</t>
  </si>
  <si>
    <t>Instalação de Para-raios 750 kV, fase C, arranjo DJM, associado ao BSIAIV1, na SE de IVAIPORÃ</t>
  </si>
  <si>
    <t>0001791/2024</t>
  </si>
  <si>
    <t>PR750 BFIAIVC1-C</t>
  </si>
  <si>
    <t>Instalação de Para-raios 750 kV, fase A, arranjo DJM, associado ao BSIAIV2, na SE de IVAIPORÃ.</t>
  </si>
  <si>
    <t>0001795/2024</t>
  </si>
  <si>
    <t>Instalação de Para-raios 750 kV, fase B, arranjo DJM, associado ao BSIAIV2, na SE de IVAIPORÃ.</t>
  </si>
  <si>
    <t>0001798/2024</t>
  </si>
  <si>
    <t>Substituição de 01 (uma) Seccionadora 13,8 kV posição operacional 31Y1-6 da Subestação TERESINA, por outra com corrente suportável de curta duração mínima de 25kA/1s</t>
  </si>
  <si>
    <t>EL 13,8 kV TERESINA DIST1 (01Y1)</t>
  </si>
  <si>
    <t>0001663/2024</t>
  </si>
  <si>
    <t>31Y1-6</t>
  </si>
  <si>
    <t>Substituição de 01 (uma) Seccionadora 13,8 kV posição operacional 31Y2-5 da Subestação TERESINA, por outra com corrente suportável de curta duração mínima de 25kA/1s</t>
  </si>
  <si>
    <t>EL 13,8 kV TERESINA DIST2 (01Y2)</t>
  </si>
  <si>
    <t>0001664/2024</t>
  </si>
  <si>
    <t>31Y2-5</t>
  </si>
  <si>
    <t>Substituição de 01 (uma) Seccionadora 13,8 kV posição operacional 31Y2-6 da Subestação TERESINA, por outra com corrente suportável de curta duração mínima de 25kA/1s</t>
  </si>
  <si>
    <t>0001665/2024</t>
  </si>
  <si>
    <t>31Y2-6</t>
  </si>
  <si>
    <t>Substituição de 01 (um) TC 13,8 kV posição operacional 91Y2-2-A da Subestação TERESINA, por outro com corrente suportável de curta duração mínima de 25kA/1s</t>
  </si>
  <si>
    <t>0001666/2024</t>
  </si>
  <si>
    <t>91Y1-2.A</t>
  </si>
  <si>
    <t>Substituição de 01 (um) TC 13,8 kV posição operacional 91Y2-2-B da Subestação TERESINA, por outro com corrente suportável de curta duração mínima de 25kA/1s</t>
  </si>
  <si>
    <t>0001667/2024</t>
  </si>
  <si>
    <t>91Y1-2.B</t>
  </si>
  <si>
    <t>Substituição de 01 (um) TC 13,8 kV posição operacional 91Y2-2-C da Subestação TERESINA, por outro com corrente suportável de curta duração mínima de 25kA/1s</t>
  </si>
  <si>
    <t>0001668/2024</t>
  </si>
  <si>
    <t>91Y1-2.C</t>
  </si>
  <si>
    <t>Substituição de 01 (um) TC 13,8 kV posição operacional 91Y4-2-A da Subestação TERESINA, por outro com corrente suportável de curta duração mínima de 25kA/1s</t>
  </si>
  <si>
    <t>EL 13,8 kV TERESINA DIST4 (01Y4)</t>
  </si>
  <si>
    <t>0001669/2024</t>
  </si>
  <si>
    <t>91Y4-2.A</t>
  </si>
  <si>
    <t>Substituição de 01 (um) TC 13,8 kV posição operacional 91Y4-2-B da Subestação TERESINA, por outro com corrente suportável de curta duração mínima de 25kA/1s</t>
  </si>
  <si>
    <t>0001671/2024</t>
  </si>
  <si>
    <t>91Y4-2.B</t>
  </si>
  <si>
    <t>Substituição de 01 (um) TC 13,8 kV posição operacional 91Y4-2-C da Subestação TERESINA, por outro com corrente suportável de curta duração mínima de 25kA/1s</t>
  </si>
  <si>
    <t>0001673/2024</t>
  </si>
  <si>
    <t>91Y4-2.C</t>
  </si>
  <si>
    <t>Substituição de 01 (um) TC 13,8 kV posição operacional 91Y5-2-A da Subestação TERESINA, por outro com corrente suportável de curta duração mínima de 25kA/1s</t>
  </si>
  <si>
    <t>EL 13,8 kV TERESINA DIST5 (01Y5)</t>
  </si>
  <si>
    <t>0001674/2024</t>
  </si>
  <si>
    <t>91Y5-2.A</t>
  </si>
  <si>
    <t>Substituição de 01 (um) TC 13,8 kV posição operacional 91Y5-2-B da Subestação TERESINA, por outro com corrente suportável de curta duração mínima de 25kA/1s</t>
  </si>
  <si>
    <t>0001675/2024</t>
  </si>
  <si>
    <t>91Y5-2.B</t>
  </si>
  <si>
    <t>Substituição de 01 (um) TC 13,8 kV posição operacional 91Y5-2-C da Subestação TERESINA, por outro com corrente suportável de curta duração mínima de 25kA/1s</t>
  </si>
  <si>
    <t>0001676/2024</t>
  </si>
  <si>
    <t>91Y5-2.C</t>
  </si>
  <si>
    <t>Substituição de 01 (um) TC 69 kV posição operacional 92T3 fase A da Subestação CATU.</t>
  </si>
  <si>
    <t>0001670/2024</t>
  </si>
  <si>
    <t>11325035</t>
  </si>
  <si>
    <t>Substituição de 01 (uma) Seccionadora 13,8 kV posição operacional 31Y2-4 da Subestação TERESINA, por outra com capacidade nominal de curto-circuito mínima de 31,5 kA.</t>
  </si>
  <si>
    <t>0001730/2024</t>
  </si>
  <si>
    <t>31Y2-4</t>
  </si>
  <si>
    <t>Substituição de 01 (um) TC 69 kV posição operacional 92T1 fase B da Subestação CAUIPE.</t>
  </si>
  <si>
    <t>0001780/2024</t>
  </si>
  <si>
    <t>92T1.B</t>
  </si>
  <si>
    <t>Substituição de 01 (um) TC 69 kV posição operacional 92T1 fase C da Subestação CAUIPE.</t>
  </si>
  <si>
    <t>0001783/2024</t>
  </si>
  <si>
    <t>92T1.C</t>
  </si>
  <si>
    <t>Substituição de 01 (um) TC 69 kV posição operacional 92T3 fase B da Subestação CATU.</t>
  </si>
  <si>
    <t>0001797/2024</t>
  </si>
  <si>
    <t>92T3.B</t>
  </si>
  <si>
    <t>Substituição de 01 (um) TC 69 kV posição operacional 92T3 fase C da Subestação CATU.</t>
  </si>
  <si>
    <t>0001934/2024</t>
  </si>
  <si>
    <t>92T3.C</t>
  </si>
  <si>
    <t>Instalação de Para-raios 750 kV, fase C, arranjo DJM, associado ao BSIAIV2, na SE de IVAIPORÃ.</t>
  </si>
  <si>
    <t>0001954/2024</t>
  </si>
  <si>
    <t>PR750 BFIAIVC2-C</t>
  </si>
  <si>
    <t>Adequação do arranjo do barramento compartilhado 230kV de BPT (barra principal e transferência) para BD4 (barra dupla 4 chaves), referente ao módulo da LT Salto Osório C-1 (IdeMdl 2759). A obra consiste na instalação da quarta Seccionadora, substituição da Seccionadora CS731 e deslocamento dos Transformadores de Corrente para fora do BD4. Também são esperadas instalação/substituição de pórticos, fundações, suportes, cabos de controle/potência, barramento, conectores e conexão do aterramento.</t>
  </si>
  <si>
    <t>0001834/2024</t>
  </si>
  <si>
    <t>Adequação do arranjo do barramento compartilhado 230kV de BPT (barra principal e transferência) para BD4 (barra dupla 4 chaves), referente ao módulo da LT Salto Osório C-2 (IdeMdl 2762). A obra consiste na instalação da quarta Seccionadora, substituição da Seccionadora CS751 e deslocamento dos Transformadores de Corrente para fora do BD4. Também são esperadas instalação/substituição de pórticos, fundações, suportes, cabos de controle/potência, barramento, conectores e conexão do aterramento.</t>
  </si>
  <si>
    <t>0001835/2024</t>
  </si>
  <si>
    <t>Adequação do arranjo do barramento compartilhado 230kV de BPT (barra principal e transferência) para BD4 (barra dupla 4 chaves), referente ao módulo da LT Apucarana C-1 (IdeMdl 2753). A obra consiste na instalação da quarta Seccionadora, substituição da Seccionadora CS741 e deslocamento dos Transformadores de Corrente para fora do BD4. Também são esperadas instalação/substituição de pórticos, fundações, suportes, cabos de controle/potência, barramento, conectores e conexão do aterramento.</t>
  </si>
  <si>
    <t>0001836/2024</t>
  </si>
  <si>
    <t>Adequação do arranjo do barramento compartilhado 230kV de BPT (barra principal e transferência) para BD4 (barra dupla 4 chaves), referente ao módulo da LT Maringá C-1 (IdeMdl 2756). A obra consiste na instalação da quarta Seccionadora, substituição da Seccionadora CS761 e deslocamento dos Transformadores de Corrente para fora do BD4. Também são esperadas instalação/substituição de pórticos, fundações, suportes, cabos de controle/potência, barramento, conectores e conexão do aterramento.</t>
  </si>
  <si>
    <t>0001837/2024</t>
  </si>
  <si>
    <t>Instalação de Para-raios 750 kV, fase A, arranjo DJM, associado ao BSIAIV3, na SE de IVAIPORÃ.</t>
  </si>
  <si>
    <t>0001957/2024</t>
  </si>
  <si>
    <t>PR750 BFIAIVC3-A</t>
  </si>
  <si>
    <t>Adequação do arranjo do barramento compartilhado 230 kV de BPT (barra principal e transferência) para BD4 (barra dupla 4 chaves), referente ao módulo do TF1 (IdeMdl 9777). A obra consiste na instalação da quarta Chave Seccionadora e substituição da Chave Seccionadora CS781. Associado a obra são esperadas instalação/substituição de pórticos metálicos, fundações, suportes, cabos de controle e potência, barramento, conectores e conexão do aterramento.</t>
  </si>
  <si>
    <t>TR 230/138 kV C.MOURAO TR1 PR</t>
  </si>
  <si>
    <t>0001838/2024</t>
  </si>
  <si>
    <t>Instalação de Transformadores de Potencial Capacitivo (TPC) 230kV na barra T (IdeMdl 6052) da SE Campo Mourão, Fases A, B, C, bem como dos cabos de potência e controle associados.</t>
  </si>
  <si>
    <t>0001839/2024</t>
  </si>
  <si>
    <t>Instalação de Para-raios 750 kV, fase B, arranjo DJM, associado ao BSIAIV3, na SE de IVAIPORÃ.</t>
  </si>
  <si>
    <t>0001960/2024</t>
  </si>
  <si>
    <t>PR750 BFIAIVC3-B</t>
  </si>
  <si>
    <t>Instalação de Para-raios 750 kV, fase C, arranjo DJM, associado ao BSIAIV3, na SE de IVAIPORÃ.</t>
  </si>
  <si>
    <t>0001962/2024</t>
  </si>
  <si>
    <t>PR750 BFIAIVC3-C</t>
  </si>
  <si>
    <t>Instalação de proteção de Falha de Disjuntor DJ12876 alternado do IB, arranjo DJM, na SE IVAIPORA.</t>
  </si>
  <si>
    <t>0001967/2024</t>
  </si>
  <si>
    <t>SPCS DJ12876</t>
  </si>
  <si>
    <t>RESENDE</t>
  </si>
  <si>
    <t>Substituição de proteção 500kV, arranjo DJM, associado ao reator RTB1, na SE RESENDE.</t>
  </si>
  <si>
    <t>MG 500 kV RESENDE MG1 RJ</t>
  </si>
  <si>
    <t>0002105/2024</t>
  </si>
  <si>
    <t>SPCS500 RTB1</t>
  </si>
  <si>
    <t>Instalação do Transformador de Corrente 94D1-A, 230kV, fase A, arranjo BD4, associado ao DJ14D1 na SE MESSIAS.</t>
  </si>
  <si>
    <t>0002024/2024</t>
  </si>
  <si>
    <t>TC94D1-A</t>
  </si>
  <si>
    <t>Instalação do Transformador de Corrente 94D1-B, 230kV, fase B, arranjo BD4, associado ao DJ14D1 na SE MESSIAS.</t>
  </si>
  <si>
    <t>0002026/2024</t>
  </si>
  <si>
    <t>TC94D1-B</t>
  </si>
  <si>
    <t>Instalação do Transformador de Corrente 94D1-C, 230kV, fase C, arranjo BD4, associado ao DJ14D1 na SE MESSIAS.</t>
  </si>
  <si>
    <t>0002028/2024</t>
  </si>
  <si>
    <t>TC94D1-C</t>
  </si>
  <si>
    <t>Instalação do Transformador de Corrente 94D1-A, 230kV, arranjo BD5, associado ao DJ14D1 na SE TERESINA.</t>
  </si>
  <si>
    <t>IB 230 kV MG 230 kV TERESINA MG1 PI IB2</t>
  </si>
  <si>
    <t>0001991/2024</t>
  </si>
  <si>
    <t>TC230 94D1-A</t>
  </si>
  <si>
    <t>Instalação do Transformador de Corrente 94D1-B, 230kV, arranjo BD5, associado ao DJ14D1 na SE TERESINA I.</t>
  </si>
  <si>
    <t>0001996/2024</t>
  </si>
  <si>
    <t>TC230 94D1-B</t>
  </si>
  <si>
    <t>Instalação do Transformador de Corrente 94D1-C, 230kV, arranjo BD5, associado ao DJ14D1 na SE TERESINA.</t>
  </si>
  <si>
    <t>0001999/2024</t>
  </si>
  <si>
    <t>TC230 94D1-C</t>
  </si>
  <si>
    <t>Instalação do Transformador de Corrente 94W1-A, 230kV, arranjo BD5, associado ao DJ14W1 na SE TERESINA.</t>
  </si>
  <si>
    <t>TR 230/13,8 kV TERESINA TR2 PI</t>
  </si>
  <si>
    <t>0002007/2024</t>
  </si>
  <si>
    <t>TC230 94W1-A</t>
  </si>
  <si>
    <t>Instalação do Transformador de Corrente 94W1-B, 230kV, arranjo BD5, associado ao DJ14W1 na SE TERESINA.</t>
  </si>
  <si>
    <t>TR 230/13,8 kV TERESINA TR2 PI TR1</t>
  </si>
  <si>
    <t>0002008/2024</t>
  </si>
  <si>
    <t>TC230 94W1-B</t>
  </si>
  <si>
    <t>Instalação do Transformador de Corrente 94W1-C, 230kV, arranjo BD5, associado ao DJ14W1 na SE TERESINA.</t>
  </si>
  <si>
    <t>0002011/2024</t>
  </si>
  <si>
    <t>TC230 94W1-C</t>
  </si>
  <si>
    <t>Instalação de Transformador de Corrente 94D1-A, 230kV, arranjo BD5, associado ao DJ14D1, na SE DELM. GOUVEIA</t>
  </si>
  <si>
    <t>FT MG 230 kV DELM. GOUVEIA MG1</t>
  </si>
  <si>
    <t>0001875/2024</t>
  </si>
  <si>
    <t>Instalação de Transformador de Corrente 94D1-B, 230kV, arranjo BD5, associado ao DJ14D1, na SE DELM. GOUVEIA</t>
  </si>
  <si>
    <t>FT MG 230 kV DELM. GOUVEIA MG1 CE</t>
  </si>
  <si>
    <t>0001880/2024</t>
  </si>
  <si>
    <t>Instalação de Transformador de Corrente 94D1-C, 230kV, arranjo BD5, associado ao DJ14D1, na SE DELM. GOUVEIA</t>
  </si>
  <si>
    <t>0001881/2024</t>
  </si>
  <si>
    <t>Instalação de Transformador de Corrente 94D1-A, 230kV, associado ao DJ14D1, na SE JARDIM</t>
  </si>
  <si>
    <t>0002019/2024</t>
  </si>
  <si>
    <t>Instalação de Transformador de Corrente 94D1-B, 230kV, associado ao DJ14D1, na SE JARDIM</t>
  </si>
  <si>
    <t>0002022/2024</t>
  </si>
  <si>
    <t>Instalação de Transformador de Corrente 94D1-C, 230kV, associado ao DJ14D1, na SE JARDIM</t>
  </si>
  <si>
    <t>0002025/2024</t>
  </si>
  <si>
    <t>Instalação de Transformador de Corrente 94E1-A, 230kV, arranjo BPT, associado ao RT04E1, na SE GOIANINHA</t>
  </si>
  <si>
    <t>FT RTB 230 kV 10 MVAr GOIANINHA RT1 PE</t>
  </si>
  <si>
    <t>0001911/2024</t>
  </si>
  <si>
    <t>TC94E1-A</t>
  </si>
  <si>
    <t>Instalação de Transformador de Corrente 94E1-B, 230kV, arranjo BPT, associado ao RT04E1, na SE GOIANINHA</t>
  </si>
  <si>
    <t>0001914/2024</t>
  </si>
  <si>
    <t>TC94E1-B</t>
  </si>
  <si>
    <t>Instalação de Transformador de Corrente 94E1-C, 230kV, arranjo BPT, associado ao RT04E1, na SE GOIANINHA</t>
  </si>
  <si>
    <t>0001915/2024</t>
  </si>
  <si>
    <t>TC94E1-C</t>
  </si>
  <si>
    <t>Instalação de Transformador de Corrente 94E1-A, 230kV, arranjo BPT, associado ao RT04E1, na SE NATAL II</t>
  </si>
  <si>
    <t>RT 230 kV 30 Mvar NATAL II RT1 RN</t>
  </si>
  <si>
    <t>0002073/2024</t>
  </si>
  <si>
    <t>Instalação de Transformador de Corrente 94E1-B, 230kV, arranjo BPT, associado ao RT04E1, na SE NATAL II</t>
  </si>
  <si>
    <t>0002079/2024</t>
  </si>
  <si>
    <t>Instalação de Transformador de Corrente 94E1-C, 230kV, arranjo BPT, associado ao RT04E1, na SE NATAL II</t>
  </si>
  <si>
    <t>0002083/2024</t>
  </si>
  <si>
    <t>Remanejamento de Transformador de Aterramento, 69 kV, 20 Ohms do vão 02A1 para operar em conjunto com Reator de Barra, 69KV, 20 Ohms no vão 02A2, arranjo BPT, na SE BONGI.</t>
  </si>
  <si>
    <t>TT 69/13,8 kV BONGI TA1 PE</t>
  </si>
  <si>
    <t>0002018/2024</t>
  </si>
  <si>
    <t>RTB69 TA2 (02A2)</t>
  </si>
  <si>
    <t>Instalação de Transformador de Potencial 345 kV fase B, arranjo BD5, associada ao AT01 na SE CAMPINAS.</t>
  </si>
  <si>
    <t>TR 345/138 kV CAMPINAS TR1 SP</t>
  </si>
  <si>
    <t>0001862/2024</t>
  </si>
  <si>
    <t>TP345 AT01-B</t>
  </si>
  <si>
    <t>Instalação de Transformador de Potencial 345 kV fase B, associada ao AT02 na SE CAMPINAS.</t>
  </si>
  <si>
    <t>0001867/2024</t>
  </si>
  <si>
    <t>TP345 AT02-B</t>
  </si>
  <si>
    <t>Instalação de Transformador de Potencial 345 kV fase B, associada ao AT03 na SE CAMPINAS.</t>
  </si>
  <si>
    <t>0001868/2024</t>
  </si>
  <si>
    <t>TP345 AT03-B</t>
  </si>
  <si>
    <t>Instalação de Transformador de Potencial 345 kV fase B, associada ao AT04 na SE CAMPINAS.</t>
  </si>
  <si>
    <t>0001870/2024</t>
  </si>
  <si>
    <t>TPC345 AT04-B</t>
  </si>
  <si>
    <t>Instalação de Para-raios 345 kV, associado ao novo transformador reserva na SE CAMPINAS.</t>
  </si>
  <si>
    <t>TR 345/138 kV CAMPINAS TRR1 SP</t>
  </si>
  <si>
    <t>0001876/2024</t>
  </si>
  <si>
    <t>PR345 ATRR1</t>
  </si>
  <si>
    <t>Instalação de Para-raios 138 kV, associado ao novo transformador reserva na SE CAMPINAS.</t>
  </si>
  <si>
    <t>0001879/2024</t>
  </si>
  <si>
    <t>PR138 ATRR1</t>
  </si>
  <si>
    <t>Instalação de Para-raios 13,8 kV, associado ao novo transformador reserva na SE CAMPINAS.</t>
  </si>
  <si>
    <t>TRR 346/138 kV CAMPINAS TRR1 SP</t>
  </si>
  <si>
    <t>0001850/2024</t>
  </si>
  <si>
    <t>PR13,8 ATRR1</t>
  </si>
  <si>
    <t>Substituição de seccionadora (32J7-6) 69kV por uma nova com corrente suportável de 40kA e corrente nominal 2.500A, arranjo BPT, associada a EL GAZÔMETRO-PINA, na SE BONGI.</t>
  </si>
  <si>
    <t>LT 69 kV GAZ-PINA 02J7</t>
  </si>
  <si>
    <t>0001961/2024</t>
  </si>
  <si>
    <t>32J7-6</t>
  </si>
  <si>
    <t>Substituição de seccionadora (32L2-6) 69kV por uma nova com corrente suportável de 40kA e corrente nominal 2.500A, arranjo BPT, associada a EL IMBIRIBEIRA 02L2, na SE BONGI.</t>
  </si>
  <si>
    <t>LT 69 kV BONGI IMBIRI 02L2</t>
  </si>
  <si>
    <t>0001964/2024</t>
  </si>
  <si>
    <t>32L2-6</t>
  </si>
  <si>
    <t>Substituição de seccionadora (32L2-5) 69kV por uma nova com corrente suportável de 40kA e corrente nominal 2.500A, arranjo BPT, associada a EL IMBIRIBEIRA 02L2, na SE BONGI.</t>
  </si>
  <si>
    <t>0001965/2024</t>
  </si>
  <si>
    <t>32L2-5</t>
  </si>
  <si>
    <t>Substituição de seccionadora (32L2-4) 69kV por uma nova com corrente suportável de 40kA e corrente nominal 2.500A, arranjo BPT, associada a EL IMBIRIBEIRA 02L2, na SE BONGI.</t>
  </si>
  <si>
    <t>0001966/2024</t>
  </si>
  <si>
    <t>32L2-4</t>
  </si>
  <si>
    <t>Instalação do SPCS das Barras 230 kV , na subestação DELMIRO GOUVEIA, composto por: 04 painéis, 02 unidade central de proteção de barras (principal e alternada), do tipo adaptativa e distribuída, com capacidade para atender, no mínimo, 08 vãos mais 02 reservas e infraestrutura de comunicação associados.</t>
  </si>
  <si>
    <t>MG1 CE</t>
  </si>
  <si>
    <t>0001908/2024</t>
  </si>
  <si>
    <t>Instalação do SPCS das Barras 230 kV , na subestação GOIANINHA, composto por: 06 painéis, 02 unidade central de proteção de barras (principal e alternada), do tipo adaptativa e distribuída, com capacidade para atender, no mínimo, 13 vãos mais 02 reservas.</t>
  </si>
  <si>
    <t>FT MG 230 kV GOIANINHA MG1 PE</t>
  </si>
  <si>
    <t>0001918/2024</t>
  </si>
  <si>
    <t>Substituição do serviço auxiliar do prédio e da GIS 500kV, (transformadores auxiliares, cubículos, quadros, painéis, GMG), na SE GRAJAU.</t>
  </si>
  <si>
    <t>MG 500 kV GRAJAU MG1 RJ</t>
  </si>
  <si>
    <t>0001946/2024</t>
  </si>
  <si>
    <t>SAUX500 GIS</t>
  </si>
  <si>
    <t>Instalação do SPCS das Barras 230 kV , na subestação  JARDIM, composto por: 06 painéis, 02 unidade central de proteção de barras (principal e alternada), do tipo adaptativa e distribuída, com capacidade para atender, no mínimo, 14 vãos mais 02 reservas e infraestrutura de comunicação associados.</t>
  </si>
  <si>
    <t>0002030/2024</t>
  </si>
  <si>
    <t>Instalação do SPCS das Barras 230 kV , na subestação  MESSIAS, composto por: 02 painéis, 02 unidade central de proteção de barras (principal e alternada), do tipo adaptativa e distribuída, com capacidade para atender, no mínimo, 15 vãos mais 02 reservas, infraestrutura de comunicação associados e infraestrutura auxiliar associada.</t>
  </si>
  <si>
    <t>0002029/2024</t>
  </si>
  <si>
    <t>Instalação do SPCS das Barras 230 kV , na subestação Natal II, composto por: 02 painéis, 02 unidade central de proteção de barras (principal e alternada), do tipo adaptativa e distribuída, com capacidade para atender, no mínimo, 10 vãos mais 02 reservas e infraestrutura de comunicação associados.</t>
  </si>
  <si>
    <t>0002096/2024</t>
  </si>
  <si>
    <t>Instalação do SPCS das Barras 230 kV , na subestação  TERESINA, composto por: 06 painéis, 02 unidade central de proteção de barras (principal e alternada), do tipo adaptativa e distribuída, com capacidade para atender, no mínimo, 14 vãos mais 02 reservas e infraestrutura de comunicação associados.</t>
  </si>
  <si>
    <t>MG 230 kV TERESINA MG1 PI</t>
  </si>
  <si>
    <t>0002016/2024</t>
  </si>
  <si>
    <t>Instalação da cadeia de proteção de barras alternada, referente às barras P e PT de 230 kV da SE Caxias, incluindo uma Unidade Central e onze unidades de Bay (vãos TF 1 525/230 kV, TF 2 525/230 kV, TF 3 525/230 kV, Interligador de Barras - IB, LT 230 kV Caxias do Sul 5 C-1, Farroupilha C-1, Farroupilha C-2, Campo Bom C-1, Campo Bom C-2, N. Petrópolis 2 C-1 e Caxias do Sul 6 C-1), painéis e cabos de controle e potência associados.</t>
  </si>
  <si>
    <t>0001840/2024</t>
  </si>
  <si>
    <t>Instalação da cadeia de proteção de barras alternada, referente às barras A e B de 525 kV da SE Nova Santa Rita, incluindo Unidade Central e doze unidades de Bay (vãos TF 1 525/230 kV, TF 2 525/230 kV, TF 3 525/230 kV, TF 4 525/230 kV, LT Gravataí C-1, LT Guaíba 3 C-1, LT Guaíba 3 C-2, LT C.Novos C-1, LT Itá C-1, LT Itá C-2, IB DJ1110 e IB DJ1090), painéis e cabos de controle e potência associados.</t>
  </si>
  <si>
    <t>0001841/2024</t>
  </si>
  <si>
    <t>Instalação da cadeia de proteção de barras alternada, referente às barras P e PT de 230 kV da SE Nova Santa Rita, incluindo Unidade Central e quinze unidades de Bay (vãos TF 1 525/230kV, TF 2 525/230kV, TF 3 525/230kV, TF 4 525/230kV, LT Scharlau 2 C-1, LT Scharlau 2 C-2, LT C.Industrial C-1, LT C.Industrial C-2, LT C.Industrial C-3, LT P.Alegre 9 C-1, LT Camaquã 3 C-1, LT P.Petroquímico C-1, LT Candelária 2 C-1, LT Lajeado 2 C-1 e IB 230kV), painéis e cabos de controle e potência associados.</t>
  </si>
  <si>
    <t>0001843/2024</t>
  </si>
  <si>
    <t>Instalação da cadeia de proteção de barras alternada, referente às barras P e PT de 230 kV da SE Caxias 5, incluindo uma Unidade Central e sete unidades de Bay (vãos TF 1 230/13,8 kV, TF 2 230/13,8 kV, TF 3 230/69 kV, Interligador de Barras - IB, LT Caxias C-1, LT Farroupilha C-1 e LT Lajeado Grande C-1), painéis e cabos de controle e potência associados.</t>
  </si>
  <si>
    <t>0001845/2024</t>
  </si>
  <si>
    <t>Adequação das fontes de alimentação em corrente alternada dos Serviços Auxiliares da SE P. Médici (associada ao módulo da LT 230kV P.Médici - S.Cruz 1 C-1), incluindo a implantação da segunda fonte de alimentação e do Grupo Motor Gerador. A obra consiste na instalação de um quadro de derivação no secundário do transformador da CPFL (QDA1) e contratação junto à concessionária local de distribuição de ramal 23 kV, Grupo Motor Gerador, sistema de controle (2UASA), substituição do painel 380 VCA (2PD01) e lançamento de cabos associados.</t>
  </si>
  <si>
    <t>0001846/2024</t>
  </si>
  <si>
    <t>Instalação da cadeia de proteção de barras alternada, referente às barras de 230 kV (IdeMdl 6052) da SE Campo Mourão, incluindo uma Unidade Central e sete unidades de Bay (vãos LT S.Osório C-1, S.Osório C-2, Apucarana C-1, Maringá C-1, TF 1 230/138 kV, TF 2 230/138 kV e Interligador de Barras - IB), painéis e cabos de controle e potência associados.</t>
  </si>
  <si>
    <t>0001848/2024</t>
  </si>
  <si>
    <t>Instalação da cadeia de proteção de barras alternada, referente às barras de 230 kV da SE Canoinhas, incluindo uma Unidade Central e sete unidades de Bay (vãos TF 1 230/138 kV, TF 2 230/138 kV, TF 3 230/138 kV, Interligador de Barras - IB, Banco de Capacitor 1, LT 230 kV São Mateus do Sul C-1 e São Mateus do Sul C-2), painéis e cabos de controle e potência associados.</t>
  </si>
  <si>
    <t>0001851/2024</t>
  </si>
  <si>
    <t>Instalação de Para-raios 750 kV, fase A, arranjo DJM, associado ao BSFIIV1, na SE IVAIPORÃ.</t>
  </si>
  <si>
    <t>0001986/2024</t>
  </si>
  <si>
    <t>PR750 BFIIVC1-A</t>
  </si>
  <si>
    <t>Substituição do barramento 04BP 230 kV compostos por dois cabos CAA Rail 954 MCM por fase (2 x 954 MCM – Rail) de SE Bom Nome.
Capacidade mínima para o novo equipamento: no mínimo 50 kA e 2800 A.</t>
  </si>
  <si>
    <t>0002153/2024</t>
  </si>
  <si>
    <t>04BP</t>
  </si>
  <si>
    <t>Prolongamento do barramento de 138 kV e remanejamento da LT 230 kV Ji-Paraná – Pimenta Bueno C1 do vão F para o G.</t>
  </si>
  <si>
    <t>0002166/2024</t>
  </si>
  <si>
    <t>Remanejamento da EL 230 kV Coxipó C1 e obras associadas e a ampliação dos barramentos 230 e 138 kV.</t>
  </si>
  <si>
    <t>0002189/2024</t>
  </si>
  <si>
    <t>Substituição de Barramento BR6A1 138 kV, na SE SAO JOSE.
Capacidade mínima para o novo equipamento: 7500 A.</t>
  </si>
  <si>
    <t>MG SAO JOSE / CCO-2001-062 - RB</t>
  </si>
  <si>
    <t>0002326/2024</t>
  </si>
  <si>
    <t>BR6A1</t>
  </si>
  <si>
    <t>Substituição de barramento BR6B1 138 kV, na SE SAO JOSE.
Capacidade mínima para o novo equipamento: 7500 A.</t>
  </si>
  <si>
    <t>0002327/2024</t>
  </si>
  <si>
    <t>BR6B1</t>
  </si>
  <si>
    <t>Substituição da proteção de barras e proteção de falhas de disjuntores 601, 642, 652, 662, 6032, 6042 no setor 138 kV, na SE S.DA MESA</t>
  </si>
  <si>
    <t>0002313/2024</t>
  </si>
  <si>
    <t>Proteção B138</t>
  </si>
  <si>
    <t>Substituição da proteção da entrada de linha Tanquinhos/Campinas C1 138 kV, na SE CAMPINAS</t>
  </si>
  <si>
    <t>0002316/2024</t>
  </si>
  <si>
    <t>SPCS138 LTTQCMP-C1</t>
  </si>
  <si>
    <t>Substituição da proteção da entrada de linha Tanquinhos/Campinas C2 138 kV, na SE CAMPINAS</t>
  </si>
  <si>
    <t>0002317/2024</t>
  </si>
  <si>
    <t>SPCS138 LTTQCMP-C2</t>
  </si>
  <si>
    <t>Substituição da proteção da entrada de linha Tanquinhos/Campinas C3 138 kV, na SE CAMPINAS</t>
  </si>
  <si>
    <t>0002318/2024</t>
  </si>
  <si>
    <t>SPCS138 LTTQCMP-C3</t>
  </si>
  <si>
    <t>Substituição da proteção da entrada de linha Tanquinhos/Campinas C4 138 kV, na SE CAMPINAS</t>
  </si>
  <si>
    <t>0002319/2024</t>
  </si>
  <si>
    <t>SPCS138 LTTQCMP-C4</t>
  </si>
  <si>
    <t>Substituição da proteção do AT01 lado de alta (345 kV) e baixa (138 kV), com instalação de proteção principal e alternada, na SE CAMPINAS</t>
  </si>
  <si>
    <t>0002320/2024</t>
  </si>
  <si>
    <t>SPCS345 TR1</t>
  </si>
  <si>
    <t>Substituição da proteção do AT02 lado de alta (345 kV) e baixa (138 kV), com instalação de proteção principal e alternada, na SE CAMPINAS</t>
  </si>
  <si>
    <t>0002321/2024</t>
  </si>
  <si>
    <t>SPCS345 TR2</t>
  </si>
  <si>
    <t>Substituição da proteção do AT03 lado de alta (345 kV) e baixa (138 kV), com instalação de proteção principal e alternada, na SE CAMPINAS</t>
  </si>
  <si>
    <t>0002322/2024</t>
  </si>
  <si>
    <t>SPCS345 TR3</t>
  </si>
  <si>
    <t>Substituição da proteção do AT04 lado de alta (345 kV) e baixa (138 kV), com instalação de proteção principal e alternada, na SE CAMPINAS</t>
  </si>
  <si>
    <t>0002323/2024</t>
  </si>
  <si>
    <t>SPCS345 TR4</t>
  </si>
  <si>
    <t>Substituição do RDP do AT01, na SE CAMPINAS</t>
  </si>
  <si>
    <t>0002324/2024</t>
  </si>
  <si>
    <t>RDP345 TR1</t>
  </si>
  <si>
    <t>Substituição do RDP do AT02, na SE CAMPINAS</t>
  </si>
  <si>
    <t>0002325/2024</t>
  </si>
  <si>
    <t>RDP345 TR2</t>
  </si>
  <si>
    <t>Substituição de para-raios 138 kV referente a LT Joinville - São Bento do Sul C-1, Fase A. Associado a obra são esperadas substituições/adaptações de fundações, suportes, cabos de controle e potência, barramento, conectores e conexão do aterramento.</t>
  </si>
  <si>
    <t>0002676/2024</t>
  </si>
  <si>
    <t>PRA</t>
  </si>
  <si>
    <t>Substituição de para-raios 138 kV referente a LT Joinville - São Bento do Sul C-1, Fase C. Associado a obra são esperadas substituições/adaptações de fundações, suportes, cabos de controle e potência, barramento, conectores e conexão do aterramento.</t>
  </si>
  <si>
    <t>0002677/2024</t>
  </si>
  <si>
    <t>PRC</t>
  </si>
  <si>
    <t>Substituição de para-raios 230 kV referente ao TF 6 230/138 kV da SE Joinville, Fase A. Associado a obra são esperadas substituições/adaptações de fundações, suportes, cabos de controle e potência, barramento, conectores e conexão do aterramento.</t>
  </si>
  <si>
    <t>TR 230/138 kV JOINVILLE TR6 SC</t>
  </si>
  <si>
    <t>0002678/2024</t>
  </si>
  <si>
    <t>Substituição de para-raios 230 kV referente ao TF 6 230/138 kV da SE Joinville, Fase C. Associado a obra são esperadas substituições/adaptações de fundações, suportes, cabos de controle e potência, barramento, conectores e conexão do aterramento.</t>
  </si>
  <si>
    <t>0002680/2024</t>
  </si>
  <si>
    <t>Substituição de para-raios 138 kV referente a LT Joinville - São Bento do Sul C-1, Fase B. Associado a obra são esperadas substituições/adaptações de fundações, suportes, cabos de controle e potência, barramento, conectores e conexão do aterramento.</t>
  </si>
  <si>
    <t>0002683/2024</t>
  </si>
  <si>
    <t>PRB</t>
  </si>
  <si>
    <t>Substituição de para-raios 230 kV referente ao TF 6 230/138 kV da SE Joinville, Fase B. Associado a obra são esperadas substituições/adaptações de fundações, suportes, cabos de controle e potência, barramento, conectores e conexão do aterramento.</t>
  </si>
  <si>
    <t>0002685/2024</t>
  </si>
  <si>
    <t>Substituição de Chave Seccionadora tripolar 230 kV, CS743, referente a LT Campo Mourão - Apucarana C-1. Associado à obra são esperadas substituições/adaptações de fundações, suportes, cabos de controle/potência, barramento, conectores e conexão de aterramento.</t>
  </si>
  <si>
    <t>0003475/2024</t>
  </si>
  <si>
    <t>Substituição de Chave Seccionadora tripolar 230 kV, CS771, referente ao Interligador de Barras (IB) da SE Campo Mourão. Associado à obra são esperadas substituições/adaptações de fundações, suportes, cabos de controle/potência, barramento, conectores e conexão de aterramento.</t>
  </si>
  <si>
    <t>0003476/2024</t>
  </si>
  <si>
    <t>Substituição de Chave Seccionadora tripolar 230 kV, CS763, referente a LT Campo Mourão - Maringá C-1. Associado à obra são esperadas substituições/adaptações de fundações, suportes, cabos de controle/potência, barramento, conectores e conexão de aterramento.</t>
  </si>
  <si>
    <t>0003479/2024</t>
  </si>
  <si>
    <t>Substituição de Chave Seccionadora tripolar 230 kV, CS733, referente a LT Campo Mourão - Salto Osório C-1. Associado à obra são esperadas substituições/adaptações de fundações, suportes, cabos de controle/potência, barramento, conectores e conexão de aterramento.</t>
  </si>
  <si>
    <t>0003482/2024</t>
  </si>
  <si>
    <t>Substituição de Chave Seccionadora tripolar 230 kV, CS753, referente a LT Campo Mourão - Salto Osório C-2. Associado à obra são esperadas substituições/adaptações de fundações, suportes, cabos de controle/potência, barramento, conectores e conexão de aterramento.</t>
  </si>
  <si>
    <t>0003483/2024</t>
  </si>
  <si>
    <t>Substituição de Chave Seccionadora tripolar 230 kV, CS783, referente ao TR1 230/138 kV da SE Campo Mourão. Associado à obra são esperadas substituições/adaptações de fundações, suportes, cabos de controle/potência, barramento, conectores e conexão de aterramento.</t>
  </si>
  <si>
    <t>0003487/2024</t>
  </si>
  <si>
    <t>CS783</t>
  </si>
  <si>
    <t>Substituição de Chave Seccionadora tripolar 138 kV, CS547, referente a LT Campo Grande - C. G. Cuiabá C-2. Associado à obra são esperadas substituições/adaptações de fundações, suportes, cabos de controle/potência, barramento, conectores e conexão de aterramento.</t>
  </si>
  <si>
    <t>LT 138 kV CAMPO GRANDE / C.G.CUIABÁ C-2 MS</t>
  </si>
  <si>
    <t>0003489/2024</t>
  </si>
  <si>
    <t>CS547</t>
  </si>
  <si>
    <t>Substituição de Chave Seccionadora tripolar 138 kV, CS647, referente a LT Campo Grande - Águas Guariroba C-1. Associado à obra são esperadas substituições/adaptações de fundações, suportes, cabos de controle/potência, barramento, conectores e conexão de aterramento.</t>
  </si>
  <si>
    <t>0003491/2024</t>
  </si>
  <si>
    <t>Substituição de Chave Seccionadora tripolar 138 kV, CS557, referente a LT Campo Grande - Mimoso 2 C-3. Associado à obra são esperadas substituições/adaptações de fundações, suportes, cabos de controle/potência, barramento, conectores e conexão de aterramento.</t>
  </si>
  <si>
    <t>LT 138 kV CAMPO GRANDE / MIMOSO 2 C-3 MS</t>
  </si>
  <si>
    <t>0003493/2024</t>
  </si>
  <si>
    <t>CS557</t>
  </si>
  <si>
    <t>Substituição de Chave Seccionadora tripolar 138 kV, CS651, referente a LT Joinville - Joinville GM C-1. Associado à obra são esperadas substituições/adaptações de fundações, suportes, cabos de controle/potência, barramento, conectores e conexão de aterramento.</t>
  </si>
  <si>
    <t>LT 138 kV JOINVILLE / JOINVILLE GM C-1 SC</t>
  </si>
  <si>
    <t>0003495/2024</t>
  </si>
  <si>
    <t>CS651</t>
  </si>
  <si>
    <t>Substituição de Chave Seccionadora tripolar 138 kV, CS653, referente a LT Joinville - Joinville GM C-1. Associado à obra são esperadas substituições/adaptações de fundações, suportes, cabos de controle/potência, barramento, conectores e conexão de aterramento.</t>
  </si>
  <si>
    <t>0003497/2024</t>
  </si>
  <si>
    <t>CS653</t>
  </si>
  <si>
    <t>Substituição de Chave Seccionadora tripolar 138 kV, CS641, referente a LT Joinville - Joinville SC C-1. Associado à obra são esperadas substituições/adaptações de fundações, suportes, cabos de controle/potência, barramento, conectores e conexão de aterramento.</t>
  </si>
  <si>
    <t>LT 138 kV JOINVILLE / JOINVILLE SC C-1 SC</t>
  </si>
  <si>
    <t>0003498/2024</t>
  </si>
  <si>
    <t>Substituição de Chave Seccionadora tripolar 138 kV, CS645, referente a LT Joinville - Joinville SC C-1. Associado à obra são esperadas substituições/adaptações de fundações, suportes, cabos de controle/potência, barramento, conectores e conexão de aterramento.</t>
  </si>
  <si>
    <t>0003501/2024</t>
  </si>
  <si>
    <t>Substituição de Chave Seccionadora tripolar 138 kV, CS683, referente a LT Joinville - São Bento do Sul C-1. Associado à obra são esperadas substituições/adaptações de fundações, suportes, cabos de controle/potência, barramento, conectores e conexão de aterramento.</t>
  </si>
  <si>
    <t>0003502/2024</t>
  </si>
  <si>
    <t>CS683</t>
  </si>
  <si>
    <t>Substituição de Chave Seccionadora tripolar 138 kV, CS613, referente ao TR1 138/69 kV da SE Joinville. Associado à obra são esperadas substituições/adaptações de fundações, suportes, cabos de controle/potência, barramento, conectores e conexão de aterramento.</t>
  </si>
  <si>
    <t>TR 138/69 kV JOINVILLE TR1 SC</t>
  </si>
  <si>
    <t>0003503/2024</t>
  </si>
  <si>
    <t>Substituição de Chave Seccionadora tripolar 138 kV, CS621, referente ao TR2 138/69 kV da SE Joinville. Associado à obra são esperadas substituições/adaptações de fundações, suportes, cabos de controle/potência, barramento, conectores e conexão de aterramento.</t>
  </si>
  <si>
    <t>TR 138/69 kV JOINVILLE TR2 SC</t>
  </si>
  <si>
    <t>0003505/2024</t>
  </si>
  <si>
    <t>Substituição de Chave Seccionadora tripolar 138 kV, CS623, referente ao TR2 138/69 kV da SE Joinville. Associado à obra são esperadas substituições/adaptações de fundações, suportes, cabos de controle/potência, barramento, conectores e conexão de aterramento.</t>
  </si>
  <si>
    <t>0003508/2024</t>
  </si>
  <si>
    <t>Substituição de Chave Seccionadora tripolar 138 kV, CS513, referente ao TR6 230/138 kV da SE Joinville. Associado à obra são esperadas substituições/adaptações de fundações, suportes, cabos de controle/potência, barramento, conectores e conexão de aterramento.</t>
  </si>
  <si>
    <t>0003509/2024</t>
  </si>
  <si>
    <t>CS513</t>
  </si>
  <si>
    <t>Substituição de Chave Seccionadora tripolar 138 kV, CS633, referente ao TR4 230/138 kV da SE Joinville. Associado à obra são esperadas substituições/adaptações de fundações, suportes, cabos de controle/potência, barramento, conectores e conexão de aterramento.</t>
  </si>
  <si>
    <t>0003516/2024</t>
  </si>
  <si>
    <t>Substituição de Chave Seccionadora tripolar 69 kV, CS333, referente ao TR2 138/69 kV da SE Joinville. Associado à obra são esperadas substituições/adaptações de fundações, suportes, cabos de controle/potência, barramento, conectores e conexão de aterramento.</t>
  </si>
  <si>
    <t>0003517/2024</t>
  </si>
  <si>
    <t>CS333</t>
  </si>
  <si>
    <t>Substituição de Chave Seccionadora tripolar 230 kV, CS721, referente ao TR6 230/138 kV da SE Joinville. Associado à obra são esperadas substituições/adaptações de fundações, suportes, cabos de controle/potência, barramento, conectores e conexão de aterramento.</t>
  </si>
  <si>
    <t>0003520/2024</t>
  </si>
  <si>
    <t>Substituição de Chave Seccionadora tripolar 138 kV, CS671, referente a LT Joinville - Tigre C-1. Associado à obra são esperadas substituições/adaptações de fundações, suportes, cabos de controle/potência, barramento, conectores e conexão de aterramento.</t>
  </si>
  <si>
    <t>LT 138 kV JOINVILLE - TIGRE C-1 SC</t>
  </si>
  <si>
    <t>0003522/2024</t>
  </si>
  <si>
    <t>CS671</t>
  </si>
  <si>
    <t>Substituição de Chave Seccionadora tripolar 230 kV, CS713, referente ao TR4 230/138 kV da SE Joinville. Associado à obra são esperadas substituições/adaptações de fundações, suportes, cabos de controle/potência, barramento, conectores e conexão de aterramento.</t>
  </si>
  <si>
    <t>0003525/2024</t>
  </si>
  <si>
    <t>Substituição de Chave Seccionadora tripolar 230 kV, CS815, referente a LT Joinville - Vega do Sul C-1. Associado à obra são esperadas substituições/adaptações de fundações, suportes, cabos de controle/potência, barramento, conectores e conexão de aterramento.</t>
  </si>
  <si>
    <t>LT 230 kV JOINVILLE / VEGA DO SUL C-1 SC</t>
  </si>
  <si>
    <t>0003527/2024</t>
  </si>
  <si>
    <t>CS815</t>
  </si>
  <si>
    <t>Substituição de Chave Seccionadora tripolar 230 kV, CS753, referente ao Interligador de Barras (IB) da SE Joinville. Associado à obra são esperadas substituições/adaptações de fundações, suportes, cabos de controle/potência, barramento, conectores e conexão de aterramento.</t>
  </si>
  <si>
    <t>0003528/2024</t>
  </si>
  <si>
    <t>Substituição de Chave Seccionadora tripolar 230 kV, CS745, referente a LT Campo Mourão - Apucarana C-1. Associado à obra são esperadas substituições/adaptações de fundações, suportes, cabos de controle/potência, barramento, conectores e conexão de aterramento.</t>
  </si>
  <si>
    <t>0003539/2024</t>
  </si>
  <si>
    <t>Substituição de Chave Seccionadora tripolar 230 kV, CS773, referente ao Interligador de Barras (IB) da SE Campo Mourão. Associado à obra são esperadas substituições/adaptações de fundações, suportes, cabos de controle/potência, barramento, conectores e conexão de aterramento.</t>
  </si>
  <si>
    <t>0003541/2024</t>
  </si>
  <si>
    <t>CS773</t>
  </si>
  <si>
    <t>Substituição de Chave Seccionadora tripolar 230 kV, CS765, referente a LT Campo Mourão - Maringá C-1. Associado à obra são esperadas substituições/adaptações de fundações, suportes, cabos de controle/potência, barramento, conectores e conexão de aterramento.</t>
  </si>
  <si>
    <t>0003542/2024</t>
  </si>
  <si>
    <t>CS765</t>
  </si>
  <si>
    <t>Substituição de Chave Seccionadora tripolar 230 kV, CS735, referente a LT Campo Mourão - Salto Osório C-1. Associado à obra são esperadas substituições/adaptações de fundações, suportes, cabos de controle/potência, barramento, conectores e conexão de aterramento.</t>
  </si>
  <si>
    <t>0003544/2024</t>
  </si>
  <si>
    <t>Substituição de Chave Seccionadora tripolar 230 kV, CS755, referente a LT Campo Mourão - Salto Osório C-2. Associado à obra são esperadas substituições/adaptações de fundações, suportes, cabos de controle/potência, barramento, conectores e conexão de aterramento.</t>
  </si>
  <si>
    <t>0003545/2024</t>
  </si>
  <si>
    <t>Substituição de Chave Seccionadora tripolar 230 kV, CS785, referente ao TR1 230/138 kV da SE Campo Mourão. Associado à obra são esperadas substituições/adaptações de fundações, suportes, cabos de controle/potência, barramento, conectores e conexão de aterramento.</t>
  </si>
  <si>
    <t>0003547/2024</t>
  </si>
  <si>
    <t>CS785</t>
  </si>
  <si>
    <t>Substituição de Chave Seccionadora tripolar 138 kV, CS549, referente a LT Campo Grande - C. G. Cuiabá C-2. Associado à obra são esperadas substituições/adaptações de fundações, suportes, cabos de controle/potência, barramento, conectores e conexão de aterramento.</t>
  </si>
  <si>
    <t>0003548/2024</t>
  </si>
  <si>
    <t>CS549</t>
  </si>
  <si>
    <t>Substituição de Chave Seccionadora tripolar 138 kV, CS649, referente a LT Campo Grande - Águas Guariroba C-1. Associado à obra são esperadas substituições/adaptações de fundações, suportes, cabos de controle/potência, barramento, conectores e conexão de aterramento.</t>
  </si>
  <si>
    <t>0003549/2024</t>
  </si>
  <si>
    <t>CS649</t>
  </si>
  <si>
    <t>Substituição de Chave Seccionadora tripolar 138 kV, CS559, referente a LT Campo Grande - Mimoso 2 C-3. Associado à obra são esperadas substituições/adaptações de fundações, suportes, cabos de controle/potência, barramento, conectores e conexão de aterramento.</t>
  </si>
  <si>
    <t>0003550/2024</t>
  </si>
  <si>
    <t>CS559</t>
  </si>
  <si>
    <t>Substituição de Chave Seccionadora tripolar 138 kV, CS655, referente a LT Joinville - Joinville GM C-1. Associado à obra são esperadas substituições/adaptações de fundações, suportes, cabos de controle/potência, barramento, conectores e conexão de aterramento.</t>
  </si>
  <si>
    <t>0003551/2024</t>
  </si>
  <si>
    <t>CS655</t>
  </si>
  <si>
    <t>Substituição de Chave Seccionadora tripolar 138 kV, CS643, referente a LT Joinville - Joinville SC C-1. Associado à obra são esperadas substituições/adaptações de fundações, suportes, cabos de controle/potência, barramento, conectores e conexão de aterramento.</t>
  </si>
  <si>
    <t>0003552/2024</t>
  </si>
  <si>
    <t>Substituição de Chave Seccionadora tripolar 138 kV, CS681, referente a LT Joinville - São Bento do Sul C-1. Associado à obra são esperadas substituições/adaptações de fundações, suportes, cabos de controle/potência, barramento, conectores e conexão de aterramento.</t>
  </si>
  <si>
    <t>0003553/2024</t>
  </si>
  <si>
    <t>CS681</t>
  </si>
  <si>
    <t>Substituição de Chave Seccionadora tripolar 138 kV, CS611, referente ao TR1 138/69 kV da SE Joinville. Associado à obra são esperadas substituições/adaptações de fundações, suportes, cabos de controle/potência, barramento, conectores e conexão de aterramento.</t>
  </si>
  <si>
    <t>0003554/2024</t>
  </si>
  <si>
    <t>Substituição de Chave Seccionadora tripolar 69 kV, CS313, referente a LT Joinville - Joinville 1 C-1. Associado à obra são esperadas substituições/adaptações de fundações, suportes, cabos de controle/potência, barramento, conectores e conexão de aterramento.</t>
  </si>
  <si>
    <t>LT 69 kV JOINVILLE / JOINVILLE 1 C-1 SC</t>
  </si>
  <si>
    <t>0003556/2024</t>
  </si>
  <si>
    <t>CS313</t>
  </si>
  <si>
    <t>Substituição de Chave Seccionadora tripolar 69 kV, CS321, referente ao TR1 138/69 kV da SE Joinville. Associado à obra são esperadas substituições/adaptações de fundações, suportes, cabos de controle/potência, barramento, conectores e conexão de aterramento.</t>
  </si>
  <si>
    <t>0003559/2024</t>
  </si>
  <si>
    <t>CS321</t>
  </si>
  <si>
    <t>Substituição de Chave Seccionadora tripolar 69 kV, CS331, referente ao TR2 138/69 kV da SE Joinville. Associado à obra são esperadas substituições/adaptações de fundações, suportes, cabos de controle/potência, barramento, conectores e conexão de aterramento.</t>
  </si>
  <si>
    <t>0003561/2024</t>
  </si>
  <si>
    <t>CS331</t>
  </si>
  <si>
    <t>Substituição de Chave Seccionadora tripolar 138 kV, CS631, referente ao TR4 230/138 kV da SE Joinville. Associado à obra são esperadas substituições/adaptações de fundações, suportes, cabos de controle/potência, barramento, conectores e conexão de aterramento.</t>
  </si>
  <si>
    <t>0003563/2024</t>
  </si>
  <si>
    <t>Substituição de Chave Seccionadora tripolar 230 kV, CS811, referente a LT Joinville - Vega do Sul C-1. Associado à obra são esperadas substituições/adaptações de fundações, suportes, cabos de controle/potência, barramento, conectores e conexão de aterramento.</t>
  </si>
  <si>
    <t>0003572/2024</t>
  </si>
  <si>
    <t>Substituição de Chave Seccionadora tripolar 230 kV, CS813, referente a LT Joinville - Vega do Sul C-1. Associado à obra são esperadas substituições/adaptações de fundações, suportes, cabos de controle/potência, barramento, conectores e conexão de aterramento.</t>
  </si>
  <si>
    <t>0003575/2024</t>
  </si>
  <si>
    <t>Substituição de Chave Seccionadora tripolar 230 kV, CS723, referente ao TR6 230/138 kV da SE Joinville. Associado à obra são esperadas substituições/adaptações de fundações, suportes, cabos de controle/potência, barramento, conectores e conexão de aterramento.</t>
  </si>
  <si>
    <t>0003577/2024</t>
  </si>
  <si>
    <t>CS723</t>
  </si>
  <si>
    <t>Substituição de Chave Seccionadora tripolar 230 kV, CS725, referente ao TR6 230/138 kV da SE Joinville. Associado à obra são esperadas substituições/adaptações de fundações, suportes, cabos de controle/potência, barramento, conectores e conexão de aterramento.</t>
  </si>
  <si>
    <t>0003580/2024</t>
  </si>
  <si>
    <t>Substituição de Chave Seccionadora tripolar 69 kV, CS351, referente a LT Joinville - Joinville 1 C-2. Associado à obra são esperadas substituições/adaptações de fundações, suportes, cabos de controle/potência, barramento, conectores e conexão de aterramento.</t>
  </si>
  <si>
    <t>0003581/2024</t>
  </si>
  <si>
    <t>CS351</t>
  </si>
  <si>
    <t>Substituição de Chave Seccionadora tripolar 138 kV, CS673, referente a LT Joinville - Tigre C-1. Associado à obra são esperadas substituições/adaptações de fundações, suportes, cabos de controle/potência, barramento, conectores e conexão de aterramento.</t>
  </si>
  <si>
    <t>0003582/2024</t>
  </si>
  <si>
    <t>CS673</t>
  </si>
  <si>
    <t>Substituição de Chave Seccionadora tripolar 138 kV, CS675, referente a LT Joinville - Tigre C-1. Associado à obra são esperadas substituições/adaptações de fundações, suportes, cabos de controle/potência, barramento, conectores e conexão de aterramento.</t>
  </si>
  <si>
    <t>0003584/2024</t>
  </si>
  <si>
    <t>CS675</t>
  </si>
  <si>
    <t>Substituição de Chave Seccionadora tripolar 230 kV, CS711, referente ao TR4 230/138 kV da SE Joinville. Associado à obra são esperadas substituições/adaptações de fundações, suportes, cabos de controle/potência, barramento, conectores e conexão de aterramento.</t>
  </si>
  <si>
    <t>0003585/2024</t>
  </si>
  <si>
    <t>Substituição de Chave Seccionadora tripolar 230 kV, CS715, referente ao TR4 230/138 kV da SE Joinville. Associado à obra são esperadas substituições/adaptações de fundações, suportes, cabos de controle/potência, barramento, conectores e conexão de aterramento.</t>
  </si>
  <si>
    <t>0003587/2024</t>
  </si>
  <si>
    <t>Substituição de Chave Seccionadora tripolar 138 kV, CS511, referente ao TR6 230/138 kV da SE Joinville. Associado à obra são esperadas substituições/adaptações de fundações, suportes, cabos de controle/potência, barramento, conectores e conexão de aterramento.</t>
  </si>
  <si>
    <t>0003590/2024</t>
  </si>
  <si>
    <t>CS511</t>
  </si>
  <si>
    <t>Substituição de Chave Seccionadora tripolar 230 kV, CS763, referente a LT Joinville - Blumenau C-1. Associado à obra são esperadas substituições/adaptações de fundações, suportes, cabos de controle/potência, barramento, conectores e conexão de aterramento.</t>
  </si>
  <si>
    <t>0003594/2024</t>
  </si>
  <si>
    <t>Substituição de Chave Seccionadora tripolar 230 kV, CS765, referente a LT Joinville - Blumenau C-1. Associado à obra são esperadas substituições/adaptações de fundações, suportes, cabos de controle/potência, barramento, conectores e conexão de aterramento.</t>
  </si>
  <si>
    <t>0003602/2024</t>
  </si>
  <si>
    <t>Substituição de Chave Seccionadora tripolar 230 kV, CS751, referente ao Interligador de Barras (IB) da SE Joinville. Associado à obra são esperadas substituições/adaptações de fundações, suportes, cabos de controle/potência, barramento, conectores e conexão de aterramento.</t>
  </si>
  <si>
    <t>0003604/2024</t>
  </si>
  <si>
    <t>Substituição de Chave Seccionadora tripolar 230 kV, CS803, referente a LT Joinville - Vega do Sul C-2. Associado à obra são esperadas substituições/adaptações de fundações, suportes, cabos de controle/potência, barramento, conectores e conexão de aterramento.</t>
  </si>
  <si>
    <t>0003607/2024</t>
  </si>
  <si>
    <t>CS803</t>
  </si>
  <si>
    <t>Substituição de Chave Seccionadora tripolar 230 kV, CS805, referente a LT Joinville - Vega do Sul C-2. Associado à obra são esperadas substituições/adaptações de fundações, suportes, cabos de controle/potência, barramento, conectores e conexão de aterramento.</t>
  </si>
  <si>
    <t>0003609/2024</t>
  </si>
  <si>
    <t>CS805</t>
  </si>
  <si>
    <t>Substituição de Transformador de Potencial Capacitivo 138 kV, referente a LT Blumenau - Gaspar C-1, Fase C. Associado à obra são esperadas substituições/adaptações de fundações, suportes, caixa de junção, cabos de controle/potência, barramento, conectores e conexão de aterramento.</t>
  </si>
  <si>
    <t>0003710/2024</t>
  </si>
  <si>
    <t>TPCC</t>
  </si>
  <si>
    <t>Substituição de Transformador de Potencial Capacitivo 230 kV, referente a LT Campo Mourão - Apucarana C-1, Fase A. Associado à obra são esperadas substituições/adaptações de fundações, suportes, caixa de junção, cabos de controle/potência, barramento, conectores e conexão de aterramento.</t>
  </si>
  <si>
    <t>0003711/2024</t>
  </si>
  <si>
    <t>Substituição de Transformador de Potencial Capacitivo 230 kV, referente a LT Campo Mourão - Apucarana C-1, Fase B. Associado à obra são esperadas substituições/adaptações de fundações, suportes, caixa de junção, cabos de controle/potência, barramento, conectores e conexão de aterramento.</t>
  </si>
  <si>
    <t>0003712/2024</t>
  </si>
  <si>
    <t>TPCB</t>
  </si>
  <si>
    <t>Substituição de Transformador de Potencial Capacitivo 230 kV, referente a LT Campo Mourão - Apucarana C-1, Fase C. Associado à obra são esperadas substituições/adaptações de fundações, suportes, caixa de junção, cabos de controle/potência, barramento, conectores e conexão de aterramento.</t>
  </si>
  <si>
    <t>0003713/2024</t>
  </si>
  <si>
    <t>Substituição de Transformador de Potencial Capacitivo 230 kV, referente a LT Campo Mourão - Maringá C-1, Fase A. Associado à obra são esperadas substituições/adaptações de fundações, suportes, caixa de junção, cabos de controle/potência, barramento, conectores e conexão de aterramento.</t>
  </si>
  <si>
    <t>0003714/2024</t>
  </si>
  <si>
    <t>Substituição de Transformador de Potencial Capacitivo 230 kV, referente a LT Campo Mourão - Maringá C-1, Fase B. Associado à obra são esperadas substituições/adaptações de fundações, suportes, caixa de junção, cabos de controle/potência, barramento, conectores e conexão de aterramento.</t>
  </si>
  <si>
    <t>0003715/2024</t>
  </si>
  <si>
    <t>Substituição de Transformador de Potencial Capacitivo 230 kV, referente a LT Campo Mourão - Maringá C-1, Fase C. Associado à obra são esperadas substituições/adaptações de fundações, suportes, caixa de junção, cabos de controle/potência, barramento, conectores e conexão de aterramento.</t>
  </si>
  <si>
    <t>0003777/2024</t>
  </si>
  <si>
    <t>Substituição de Transformador de Potencial Capacitivo 230 kV, referente a LT Campo Mourão - S.Osório C-1, Fase B. Associado à obra são esperadas substituições/adaptações de fundações, suportes, caixa de junção, cabos de controle/potência, barramento, conectores e conexão de aterramento.</t>
  </si>
  <si>
    <t>0003779/2024</t>
  </si>
  <si>
    <t>Substituição de Transformador de Potencial Capacitivo 230 kV, referente a LT Campo Mourão - S.Osório C-2, Fase A. Associado à obra são esperadas substituições/adaptações de fundações, suportes, caixa de junção, cabos de controle/potência, barramento, conectores e conexão de aterramento.</t>
  </si>
  <si>
    <t>0003780/2024</t>
  </si>
  <si>
    <t>Substituição de Transformador de Potencial Capacitivo 230 kV, referente a LT Campo Mourão - S.Osório C-2, Fase C. Associado à obra são esperadas substituições/adaptações de fundações, suportes, caixa de junção, cabos de controle/potência, barramento, conectores e conexão de aterramento.</t>
  </si>
  <si>
    <t>0003781/2024</t>
  </si>
  <si>
    <t>Substituição de Transformador de Potencial Capacitivo 230 kV, referente a Barra P da SE Campo Mourão, Fase C. Associado à obra são esperadas substituições/adaptações de fundações, suportes, caixa de junção, cabos de controle/potência, barramento, conectores e conexão de aterramento.</t>
  </si>
  <si>
    <t>0003783/2024</t>
  </si>
  <si>
    <t>Substituição de Transformador de Potencial Capacitivo 138 kV, referente ao TR4 230/138 kV da SE Campos Novos, Fase A. Associado à obra são esperadas substituições/adaptações de fundações, suportes, caixa de junção, cabos de controle/potência, barramento, conectores e conexão de aterramento.</t>
  </si>
  <si>
    <t>0003784/2024</t>
  </si>
  <si>
    <t>Substituição de Transformador de Potencial Capacitivo 230 kV, referente ao TR2 525/230 kV da SE Campos Novos, Fase A. Associado à obra são esperadas substituições/adaptações de fundações, suportes, caixa de junção, cabos de controle/potência, barramento, conectores e conexão de aterramento.</t>
  </si>
  <si>
    <t>TR 525/230 kV C.NOVOS TR2 SC</t>
  </si>
  <si>
    <t>0003785/2024</t>
  </si>
  <si>
    <t>Substituição de Transformador de Potencial Capacitivo 230 kV, referente ao TR2 525/230 kV da SE Campos Novos, Fase C. Associado à obra são esperadas substituições/adaptações de fundações, suportes, caixa de junção, cabos de controle/potência, barramento, conectores e conexão de aterramento.</t>
  </si>
  <si>
    <t>0003788/2024</t>
  </si>
  <si>
    <t>Substituição de Transformador de Potencial 138 kV, referente a LT Campos Novos - Herval D'Oeste / Lages V.Ramos Jr C-1, Fase A. Associado à obra são esperadas substituições/adaptações de fundações, suportes, caixa de junção, cabos de controle/potência, barramento, conectores e conexão de aterramento.</t>
  </si>
  <si>
    <t>LT 138 kV C.NOVOS / H.OESTE-LAGES V.RAMOS JR C-1 SC</t>
  </si>
  <si>
    <t>0003789/2024</t>
  </si>
  <si>
    <t>Substituição de Transformador de Potencial 138 kV, referente a LT Campos Novos - Herval D'Oeste / Lages V.Ramos Jr C-1, Fase C. Associado à obra são esperadas substituições/adaptações de fundações, suportes, caixa de junção, cabos de controle/potência, barramento, conectores e conexão de aterramento.</t>
  </si>
  <si>
    <t>0003791/2024</t>
  </si>
  <si>
    <t>TPC</t>
  </si>
  <si>
    <t>Substituição de Transformador de Potencial 138 kV, referente a LT Campos Novos - Herval D'Oeste / S.J.Cerrito Itararé C-1, Fase C. Associado à obra são esperadas substituições/adaptações de fundações, suportes, caixa de junção, cabos de controle/potência, barramento, conectores e conexão de aterramento.</t>
  </si>
  <si>
    <t>LT 138 kV C.NOVOS / H.OESTE-S.J.CERRITO ITARARE C-1 SC</t>
  </si>
  <si>
    <t>0003792/2024</t>
  </si>
  <si>
    <t>Substituição de Transformador de Potencial Capacitivo 230 kV, referente ao TR3 230/138 kV da SE Canoinhas, Fase A. Associado à obra são esperadas substituições/adaptações de fundações, suportes, caixa de junção, cabos de controle/potência, barramento, conectores e conexão de aterramento.</t>
  </si>
  <si>
    <t>TR 230/138 kV CANOINHAS ESU TR3 SC</t>
  </si>
  <si>
    <t>0003793/2024</t>
  </si>
  <si>
    <t>Substituição de Transformador de Potencial 138 kV, referente ao TR1 230/138 kV da SE Canoinhas, Fase C. Associado à obra são esperadas substituições/adaptações de fundações, suportes, caixa de junção, cabos de controle/potência, barramento, conectores e conexão de aterramento.</t>
  </si>
  <si>
    <t>TR 230/138 kV CANOINHAS ESU TR1 SC</t>
  </si>
  <si>
    <t>0003796/2024</t>
  </si>
  <si>
    <t>Substituição de Transformador de Potencial 138 kV, referente ao TR1 230/138 kV da SE Canoinhas, Fase B. Associado à obra são esperadas substituições/adaptações de fundações, suportes, caixa de junção, cabos de controle/potência, barramento, conectores e conexão de aterramento.</t>
  </si>
  <si>
    <t>0003797/2024</t>
  </si>
  <si>
    <t>TPB</t>
  </si>
  <si>
    <t>Substituição de Transformador de Potencial Capacitivo 230 kV, referente a Barra PT da SE Dourados, Fase C. Associado à obra são esperadas substituições/adaptações de fundações, suportes, caixa de junção, cabos de controle/potência, barramento, conectores e conexão de aterramento.</t>
  </si>
  <si>
    <t>0003798/2024</t>
  </si>
  <si>
    <t>Substituição de Transformador de Potencial Capacitivo 230 kV, referente a Barra PT da SE Dourados, Fase A. Associado à obra são esperadas substituições/adaptações de fundações, suportes, caixa de junção, cabos de controle/potência, barramento, conectores e conexão de aterramento.</t>
  </si>
  <si>
    <t>0003799/2024</t>
  </si>
  <si>
    <t>Substituição de Transformador de Potencial Capacitivo 230 kV, referente ao TR2 525/230 kV da SE Gravataí, Fase C. Associado à obra são esperadas substituições/adaptações de fundações, suportes, caixa de junção, cabos de controle/potência, barramento, conectores e conexão de aterramento.</t>
  </si>
  <si>
    <t>0003800/2024</t>
  </si>
  <si>
    <t>Substituição de Transformador de Potencial Capacitivo 230 kV, referente ao TR2 525/230 kV da SE Gravataí, Fase A. Associado à obra são esperadas substituições/adaptações de fundações, suportes, caixa de junção, cabos de controle/potência, barramento, conectores e conexão de aterramento.</t>
  </si>
  <si>
    <t>0003802/2024</t>
  </si>
  <si>
    <t>Substituição de Transformador de Potencial Capacitivo 230 kV, referente ao TR3 525/230 kV da SE Gravataí, Fase C. Associado à obra são esperadas substituições/adaptações de fundações, suportes, caixa de junção, cabos de controle/potência, barramento, conectores e conexão de aterramento.</t>
  </si>
  <si>
    <t>0003804/2024</t>
  </si>
  <si>
    <t>Substituição de Transformador de Potencial Capacitivo 525 kV, referente a LT Itá - Nova Santa Rita C-1, Fase A. Associado à obra são esperadas substituições/adaptações de fundações, suportes, caixa de junção, cabos de controle/potência, barramento, conectores e conexão de aterramento.</t>
  </si>
  <si>
    <t>0003806/2024</t>
  </si>
  <si>
    <t>Substituição de Transformador de Potencial Capacitivo 525 kV, referente a LT Itá - Nova Santa Rita C-1, Fase C. Associado à obra são esperadas substituições/adaptações de fundações, suportes, caixa de junção, cabos de controle/potência, barramento, conectores e conexão de aterramento.</t>
  </si>
  <si>
    <t>0003807/2024</t>
  </si>
  <si>
    <t>Substituição de Transformador de Potencial Capacitivo 525 kV, referente a LT Itá - Salto Santiago C-1, Fase C. Associado à obra são esperadas substituições/adaptações de fundações, suportes, caixa de junção, cabos de controle/potência, barramento, conectores e conexão de aterramento.</t>
  </si>
  <si>
    <t>0003809/2024</t>
  </si>
  <si>
    <t>Substituição de Transformador de Potencial Capacitivo 525 kV, referente a LT Itá - Machadinho C-1, Fase A. Associado à obra são esperadas substituições/adaptações de fundações, suportes, caixa de junção, cabos de controle/potência, barramento, conectores e conexão de aterramento.</t>
  </si>
  <si>
    <t>0003812/2024</t>
  </si>
  <si>
    <t>Substituição de Transformador de Potencial Capacitivo 525 kV, referente a LT Itá - Machadinho C-1, Fase C. Associado à obra são esperadas substituições/adaptações de fundações, suportes, caixa de junção, cabos de controle/potência, barramento, conectores e conexão de aterramento.</t>
  </si>
  <si>
    <t>0003815/2024</t>
  </si>
  <si>
    <t>Substituição de Transformador de Potencial Capacitivo 230 kV, referente a LT Passo Fundo - Vila Maria C-1, Fase B. Associado à obra são esperadas substituições/adaptações de fundações, suportes, caixa de junção, cabos de controle/potência, barramento, conectores e conexão de aterramento.</t>
  </si>
  <si>
    <t>LT 230 kV PASSO FUNDO / VILA MARIA C 1 RS</t>
  </si>
  <si>
    <t>0003818/2024</t>
  </si>
  <si>
    <t>Substituição de Transformador de Potencial Capacitivo 230 kV, referente a LT Passo Fundo - Vila Maria C-1, Fase A. Associado à obra são esperadas substituições/adaptações de fundações, suportes, caixa de junção, cabos de controle/potência, barramento, conectores e conexão de aterramento.</t>
  </si>
  <si>
    <t>0003820/2024</t>
  </si>
  <si>
    <t>Substituição de Transformador de Potencial 138 kV, referente a Barra P da SE Passo Fundo, Fase B. Associado à obra são esperadas substituições/adaptações de fundações, suportes, caixa de junção, cabos de controle/potência, barramento, conectores e conexão de aterramento.</t>
  </si>
  <si>
    <t>0003821/2024</t>
  </si>
  <si>
    <t>Substituição de Transformador de Potencial 138 kV, referente a Barra P da SE Passo Fundo, Fase C. Associado à obra são esperadas substituições/adaptações de fundações, suportes, caixa de junção, cabos de controle/potência, barramento, conectores e conexão de aterramento.</t>
  </si>
  <si>
    <t>0003822/2024</t>
  </si>
  <si>
    <t>Substituição de Transformador de Potencial 69 kV, referente a saída do TR7 230/69 kV da SE Salto Osório, Fase B. Associado à obra são esperadas substituições/adaptações de fundações, suportes, caixa de junção, cabos de controle/potência, barramento, conectores e conexão de aterramento.</t>
  </si>
  <si>
    <t>TR 230/69 kV S.OSORIO TR7 PR</t>
  </si>
  <si>
    <t>0003823/2024</t>
  </si>
  <si>
    <t>Substituição de Transformador de Potencial Capacitivo 230 kV, referente a LT Siderópolis - J.Lacerda-B C-1, Fase A. Associado à obra são esperadas substituições/adaptações de fundações, suportes, caixa de junção, cabos de controle/potência, barramento, conectores e conexão de aterramento.</t>
  </si>
  <si>
    <t>0003824/2024</t>
  </si>
  <si>
    <t>Substituição de Transformador de Potencial Capacitivo 230 kV, referente a LT Siderópolis - J.Lacerda-B C-1, Fase C. Associado à obra são esperadas substituições/adaptações de fundações, suportes, caixa de junção, cabos de controle/potência, barramento, conectores e conexão de aterramento.</t>
  </si>
  <si>
    <t>0003825/2024</t>
  </si>
  <si>
    <t>Substituição de Transformador de Potencial Capacitivo 230 kV, referente a Barra P da SE Xanxerê, Fase B. Associado à obra são esperadas substituições/adaptações de fundações, suportes, caixa de junção, cabos de controle/potência, barramento, conectores e conexão de aterramento.</t>
  </si>
  <si>
    <t>0003826/2024</t>
  </si>
  <si>
    <t>Substituição de Transformador de Potencial Capacitivo 230 kV, referente a Barra P da SE Xanxerê, Fase C. Associado à obra são esperadas substituições/adaptações de fundações, suportes, caixa de junção, cabos de controle/potência, barramento, conectores e conexão de aterramento.</t>
  </si>
  <si>
    <t>0003827/2024</t>
  </si>
  <si>
    <t>Substituição de Transformador de Potencial Capacitivo 230 kV, referente a Barra PT da SE Xanxerê, Fase A. Associado à obra são esperadas substituições/adaptações de fundações, suportes, caixa de junção, cabos de controle/potência, barramento, conectores e conexão de aterramento.</t>
  </si>
  <si>
    <t>0003828/2024</t>
  </si>
  <si>
    <t>Substituição de Transformador de Potencial Capacitivo 230 kV, referente a Barra PT da SE Xanxerê, Fase C. Associado à obra são esperadas substituições/adaptações de fundações, suportes, caixa de junção, cabos de controle/potência, barramento, conectores e conexão de aterramento.</t>
  </si>
  <si>
    <t>0003829/2024</t>
  </si>
  <si>
    <t>Substituição de Transformador de Potencial Capacitivo 230 kV, referente a LT Campo Mourão - S.Osório C-1, Fase A. Associado à obra são esperadas substituições/adaptações de fundações, suportes, caixa de junção, cabos de controle/potência, barramento, conectores e conexão de aterramento.</t>
  </si>
  <si>
    <t>0003845/2024</t>
  </si>
  <si>
    <t>Substituição de Transformador de Potencial Capacitivo 230 kV, referente a LT Campo Mourão - S.Osório C-1, Fase C. Associado à obra são esperadas substituições/adaptações de fundações, suportes, caixa de junção, cabos de controle/potência, barramento, conectores e conexão de aterramento.</t>
  </si>
  <si>
    <t>0003848/2024</t>
  </si>
  <si>
    <t>Substituição de Transformador de Potencial Capacitivo 230 kV, referente a LT Campo Mourão - S.Osório C-2, Fase B. Associado à obra são esperadas substituições/adaptações de fundações, suportes, caixa de junção, cabos de controle/potência, barramento, conectores e conexão de aterramento.</t>
  </si>
  <si>
    <t>0003852/2024</t>
  </si>
  <si>
    <t>Substituição de Transformador de Potencial Capacitivo 230 kV, referente a Barra P da SE Campo Mourão, Fase B. Associado à obra são esperadas substituições/adaptações de fundações, suportes, caixa de junção, cabos de controle/potência, barramento, conectores e conexão de aterramento.</t>
  </si>
  <si>
    <t>0003856/2024</t>
  </si>
  <si>
    <t>Substituição de Transformador de Potencial Capacitivo 138 kV, referente ao TR3 230/138 kV da SE Campos Novos, Fase A. Associado à obra são esperadas substituições/adaptações de fundações, suportes, caixa de junção, cabos de controle/potência, barramento, conectores e conexão de aterramento.</t>
  </si>
  <si>
    <t>0003858/2024</t>
  </si>
  <si>
    <t>Substituição de Transformador de Potencial Capacitivo 230 kV, referente ao TR4 230/138 kV da SE Campos Novos, Fase A. Associado à obra são esperadas substituições/adaptações de fundações, suportes, caixa de junção, cabos de controle/potência, barramento, conectores e conexão de aterramento.</t>
  </si>
  <si>
    <t>0003859/2024</t>
  </si>
  <si>
    <t>Substituição de Transformador de Potencial 138 kV, referente a LT Campos Novos - Herval D'Oeste / Lages V.Ramos Jr C-1, Fase B. Associado à obra são esperadas substituições/adaptações de fundações, suportes, caixa de junção, cabos de controle/potência, barramento, conectores e conexão de aterramento.</t>
  </si>
  <si>
    <t>0003860/2024</t>
  </si>
  <si>
    <t>Substituição de Transformador de Potencial Capacitivo 230 kV, referente a Barra P da SE Campo Mourão, Fase A. Associado à obra são esperadas substituições/adaptações de fundações, suportes, caixa de junção, cabos de controle/potência, barramento, conectores e conexão de aterramento.</t>
  </si>
  <si>
    <t>0003863/2024</t>
  </si>
  <si>
    <t>Substituição de Transformador de Potencial Capacitivo 230 kV, referente ao TR2 525/230 kV da SE Campos Novos, Fase B. Associado à obra são esperadas substituições/adaptações de fundações, suportes, caixa de junção, cabos de controle/potência, barramento, conectores e conexão de aterramento.</t>
  </si>
  <si>
    <t>0003865/2024</t>
  </si>
  <si>
    <t>Substituição de Transformador de Potencial 138 kV, referente ao TR1 230/138 kV da SE Canoinhas, Fase A. Associado à obra são esperadas substituições/adaptações de fundações, suportes, caixa de junção, cabos de controle/potência, barramento, conectores e conexão de aterramento.</t>
  </si>
  <si>
    <t>0003868/2024</t>
  </si>
  <si>
    <t>Substituição de Transformador de Potencial Capacitivo 230 kV, referente ao TR2 525/230 kV da SE Caxias, Fase A. Associado à obra são esperadas substituições/adaptações de fundações, suportes, caixa de junção, cabos de controle/potência, barramento, conectores e conexão de aterramento.</t>
  </si>
  <si>
    <t>TR 525/230 kV CAXIAS TR2 RS</t>
  </si>
  <si>
    <t>0003880/2024</t>
  </si>
  <si>
    <t>Substituição de Transformador de Potencial 138 kV, referente a LT Campos Novos - Herval D'Oeste / S.J.Cerrito Itararé C-1, Fase B. Associado à obra são esperadas substituições/adaptações de fundações, suportes, caixa de junção, cabos de controle/potência, barramento, conectores e conexão de aterramento.</t>
  </si>
  <si>
    <t>0003882/2024</t>
  </si>
  <si>
    <t>Substituição de Transformador de Potencial Capacitivo 230 kV, referente a Barra PT da SE Dourados, Fase B. Associado à obra são esperadas substituições/adaptações de fundações, suportes, caixa de junção, cabos de controle/potência, barramento, conectores e conexão de aterramento.</t>
  </si>
  <si>
    <t>0003884/2024</t>
  </si>
  <si>
    <t>Substituição de Transformador de Potencial Capacitivo 230 kV, referente ao TR3 525/230 kV da SE Gravataí, Fase A. Associado à obra são esperadas substituições/adaptações de fundações, suportes, caixa de junção, cabos de controle/potência, barramento, conectores e conexão de aterramento.</t>
  </si>
  <si>
    <t>0003885/2024</t>
  </si>
  <si>
    <t>Substituição de Transformador de Potencial Capacitivo 230 kV, referente ao TR2 525/230 kV da SE Gravataí, Fase B. Associado à obra são esperadas substituições/adaptações de fundações, suportes, caixa de junção, cabos de controle/potência, barramento, conectores e conexão de aterramento.</t>
  </si>
  <si>
    <t>0003887/2024</t>
  </si>
  <si>
    <t>Substituição de Transformador de Potencial Capacitivo 525 kV, referente a LT Itá - Nova Santa Rita C-1, Fase B. Associado à obra são esperadas substituições/adaptações de fundações, suportes, caixa de junção, cabos de controle/potência, barramento, conectores e conexão de aterramento.</t>
  </si>
  <si>
    <t>0003889/2024</t>
  </si>
  <si>
    <t>Substituição de Transformador de Potencial Capacitivo 525 kV, referente a LT Itá - Salto Santiago C-1, Fase A. Associado à obra são esperadas substituições/adaptações de fundações, suportes, caixa de junção, cabos de controle/potência, barramento, conectores e conexão de aterramento.</t>
  </si>
  <si>
    <t>0003891/2024</t>
  </si>
  <si>
    <t>Substituição de Transformador de Potencial Capacitivo 525 kV, referente a LT Itá - Salto Santiago C-1, Fase B. Associado à obra são esperadas substituições/adaptações de fundações, suportes, caixa de junção, cabos de controle/potência, barramento, conectores e conexão de aterramento.</t>
  </si>
  <si>
    <t>0003895/2024</t>
  </si>
  <si>
    <t>Substituição de Transformador de Potencial Capacitivo 525 kV, referente a LT Itá - Machadinho C-1, Fase B. Associado à obra são esperadas substituições/adaptações de fundações, suportes, caixa de junção, cabos de controle/potência, barramento, conectores e conexão de aterramento.</t>
  </si>
  <si>
    <t>0003896/2024</t>
  </si>
  <si>
    <t>Substituição de Transformador de Potencial Capacitivo 230 kV, referente ao TR3 525/230 kV da SE Londrina, Fase A. Associado à obra são esperadas substituições/adaptações de fundações, suportes, caixa de junção, cabos de controle/potência, barramento, conectores e conexão de aterramento.</t>
  </si>
  <si>
    <t>0003898/2024</t>
  </si>
  <si>
    <t>Substituição de Transformador de Potencial Capacitivo 230 kV, referente a LT Passo Fundo - Vila Maria C-1, Fase C. Associado à obra são esperadas substituições/adaptações de fundações, suportes, caixa de junção, cabos de controle/potência, barramento, conectores e conexão de aterramento.</t>
  </si>
  <si>
    <t>0003900/2024</t>
  </si>
  <si>
    <t>Substituição de Transformador de Potencial 138 kV, referente a Barra P da SE Passo Fundo, Fase A. Associado à obra são esperadas substituições/adaptações de fundações, suportes, caixa de junção, cabos de controle/potência, barramento, conectores e conexão de aterramento.</t>
  </si>
  <si>
    <t>0003901/2024</t>
  </si>
  <si>
    <t>Substituição de Transformador de Potencial 69 kV, referente a saída do TR7 230/69 kV da SE Salto Osório, Fase A. Associado à obra são esperadas substituições/adaptações de fundações, suportes, caixa de junção, cabos de controle/potência, barramento, conectores e conexão de aterramento.</t>
  </si>
  <si>
    <t>0003902/2024</t>
  </si>
  <si>
    <t>Substituição de Transformador de Potencial 69 kV, referente a saída do TR7 230/69 kV da SE Salto Osório, Fase C. Associado à obra são esperadas substituições/adaptações de fundações, suportes, caixa de junção, cabos de controle/potência, barramento, conectores e conexão de aterramento.</t>
  </si>
  <si>
    <t>0003903/2024</t>
  </si>
  <si>
    <t>Substituição de Transformador de Potencial Capacitivo 230 kV, referente a LT Siderópolis - J.Lacerda-B C-1, Fase B. Associado à obra são esperadas substituições/adaptações de fundações, suportes, caixa de junção, cabos de controle/potência, barramento, conectores e conexão de aterramento.</t>
  </si>
  <si>
    <t>0003904/2024</t>
  </si>
  <si>
    <t>Substituição de Transformador de Potencial Capacitivo 230 kV, referente ao TR1 230/69 kV da SE Siderópolis, Fase A. Associado à obra são esperadas substituições/adaptações de fundações, suportes, caixa de junção, cabos de controle/potência, barramento, conectores e conexão de aterramento.</t>
  </si>
  <si>
    <t>TR 230/69 kV SIDEROPOL.ESU TR1 SC</t>
  </si>
  <si>
    <t>0003905/2024</t>
  </si>
  <si>
    <t>Substituição de Transformador de Potencial Capacitivo 230 kV, referente a Barra P da SE Xanxerê, Fase A. Associado à obra são esperadas substituições/adaptações de fundações, suportes, caixa de junção, cabos de controle/potência, barramento, conectores e conexão de aterramento.</t>
  </si>
  <si>
    <t>0003907/2024</t>
  </si>
  <si>
    <t>Substituição de Transformador de Potencial Capacitivo 230 kV, referente a Barra PT da SE Xanxerê, Fase B. Associado à obra são esperadas substituições/adaptações de fundações, suportes, caixa de junção, cabos de controle/potência, barramento, conectores e conexão de aterramento.</t>
  </si>
  <si>
    <t>0003908/2024</t>
  </si>
  <si>
    <t>Substituição de Transformador de Corrente 230 kV, referente a LT Anastácio - Dourados C-1, DJ742, Fase A. Associado à obra, são esperadas substituições/adaptações de fundações e suportes, caixa de junção, cabos de controle/potência, barramento, conectores e conexão de aterramento. Funções do TC: proteção e medição.</t>
  </si>
  <si>
    <t>LT 230 kV ANASTACIO /DOURADOS C-1 MS</t>
  </si>
  <si>
    <t>0004116/2024</t>
  </si>
  <si>
    <t>TCA</t>
  </si>
  <si>
    <t>Substituição de Transformador de Corrente 230 kV, referente a LT Anastácio - Dourados C-1, DJ742, Fase C. Associado à obra, são esperadas substituições/adaptações de fundações e suportes, caixa de junção, cabos de controle/potência, barramento, conectores e conexão de aterramento. Funções do TC: proteção e medição.</t>
  </si>
  <si>
    <t>0004117/2024</t>
  </si>
  <si>
    <t>TCC</t>
  </si>
  <si>
    <t>Substituição de Transformador de Corrente 230 kV, referente a LT Anastácio - Dourados C-1, DJ742, Fase B. Associado à obra, são esperadas substituições/adaptações de fundações e suportes, caixa de junção, cabos de controle/potência, barramento, conectores e conexão de aterramento. Funções do TC: proteção e medição.</t>
  </si>
  <si>
    <t>0004118/2024</t>
  </si>
  <si>
    <t>TCB</t>
  </si>
  <si>
    <t>Substituição de Transformador de Corrente 230 kV, referente ao TR1 230/138 kV da SE Campo Mourão, DJ782, Fase B. Associado à obra, são esperadas substituições/adaptações de fundações e suportes, caixa de junção, cabos de controle/potência, barramento, conectores e conexão de aterramento. Funções do TC: proteção e medição.</t>
  </si>
  <si>
    <t>0004155/2024</t>
  </si>
  <si>
    <t>Substituição de Transformador de Corrente 230 kV, referente ao TR1 230/138 kV da SE Campo Mourão, DJ782, Fase C. Associado à obra, são esperadas substituições/adaptações de fundações e suportes, caixa de junção, cabos de controle/potência, barramento, conectores e conexão de aterramento. Funções do TC: proteção e medição.</t>
  </si>
  <si>
    <t>0004156/2024</t>
  </si>
  <si>
    <t>Substituição de Disjuntor tripolar 525 kV, DJ1002, referente a LT Blumenau - Biguaçu C-1. Associado à obra, são esperadas substituições/adaptações de fundações e suportes, cabos de controle e potência, barramento, conectores e conexão de aterramento.</t>
  </si>
  <si>
    <t>0004310/2024</t>
  </si>
  <si>
    <t>Substituição de Disjuntor tripolar 525 kV, DJ1010, referente ao Interligador de Barras entre as LT Biguaçu C-1 e Curitiba Leste C-1. Associado à obra, são esperadas substituições/adaptações de fundações e suportes, cabos de controle e potência, barramento, conectores e conexão de aterramento.</t>
  </si>
  <si>
    <t>MG BLUMENAU / CCO-2005-010 - RB</t>
  </si>
  <si>
    <t>0004311/2024</t>
  </si>
  <si>
    <t>Substituição de Disjuntor tripolar 525 kV, DJ1042, referente a LT Campos Novos - Machadinho C-1. Associado à obra, são esperadas substituições/adaptações de fundações e suportes, cabos de controle e potência, barramento, conectores e conexão de aterramento.</t>
  </si>
  <si>
    <t>0004312/2024</t>
  </si>
  <si>
    <t>Substituição de Disjuntor tripolar 525 kV, DJ1050, referente ao Interligador de Barras entre as LT Areia C-1 e Machadinho C-1. Associado à obra, são esperadas substituições/adaptações de fundações e suportes, cabos de controle e potência, barramento, conectores e conexão de aterramento.</t>
  </si>
  <si>
    <t>0004313/2024</t>
  </si>
  <si>
    <t>Substituição de Disjuntor tripolar 525 kV, DJ1082, referente a LT Campos Novos - Nova Santa Rita C-1. Associado à obra, são esperadas substituições/adaptações de fundações e suportes, cabos de controle e potência, barramento, conectores e conexão de aterramento.</t>
  </si>
  <si>
    <t>LT 525 kV C.NOVOS /NOVA STA RITA C-1 SC/RS</t>
  </si>
  <si>
    <t>0004314/2024</t>
  </si>
  <si>
    <t>Substituição de Disjuntor tripolar 138 kV, DJ552, referente a LT Campo Grande - Mimoso 2 C-3. Associado à obra, são esperadas substituições/adaptações de fundações e suportes, cabos de controle e potência, barramento, conectores e conexão de aterramento.</t>
  </si>
  <si>
    <t>0004315/2024</t>
  </si>
  <si>
    <t>DJ552</t>
  </si>
  <si>
    <t>Substituição de Disjuntor tripolar 525 kV, DJ1052, referente a LT Caxias - Gravataí C-1. Associado à obra, são esperadas substituições/adaptações de fundações e suportes, cabos de controle e potência, barramento, conectores e conexão de aterramento.</t>
  </si>
  <si>
    <t>LT 525 kV CAXIAS /GRAVATAI C-1 RS</t>
  </si>
  <si>
    <t>0004316/2024</t>
  </si>
  <si>
    <t>Substituição de Disjuntor tripolar 13,8 kV, DJ52/10, referente ao  TR2 230/13,8 kV da SE Caxias 5. Associado à obra, são esperadas substituições/adaptações de fundações e suportes, cabos de controle e potência, barramento, conectores e conexão de aterramento.</t>
  </si>
  <si>
    <t>0004317/2024</t>
  </si>
  <si>
    <t>DJ52-10</t>
  </si>
  <si>
    <t>Substituição de Disjuntor tripolar 138 kV, DJ532, referente ao Interligador de Barras (IB) da SE Desterro. Associado à obra, são esperadas substituições/adaptações de fundações e suportes, cabos de controle e potência, barramento, conectores e conexão de aterramento.</t>
  </si>
  <si>
    <t>0004318/2024</t>
  </si>
  <si>
    <t>Substituição de Disjuntor tripolar 230 kV, DJ822, referente a LT Gravataí 3 - Atlântida 2 C-1. Associado à obra, são esperadas substituições/adaptações de fundações e suportes, cabos de controle e potência, barramento, conectores e conexão de aterramento.</t>
  </si>
  <si>
    <t>LT 230 kV ATLANTIDA 2 /GRAVATAI3 C-1 RS</t>
  </si>
  <si>
    <t>0004319/2024</t>
  </si>
  <si>
    <t>DJ822</t>
  </si>
  <si>
    <t>Substituição de Disjuntor tripolar 525 kV, DJ1062, referente a LT Itá - Nova Santa Rita C-1. Associado à obra, são esperadas substituições/adaptações de fundações e suportes, cabos de controle e potência, barramento, conectores e conexão de aterramento.</t>
  </si>
  <si>
    <t>0004320/2024</t>
  </si>
  <si>
    <t>Substituição de Disjuntor tripolar 525 kV, DJ1110, referente ao Interligador de Barras entre as LT Machadinho C-1 e UH Itá C-1. Associado à obra, são esperadas substituições/adaptações de fundações e suportes, cabos de controle e potência, barramento, conectores e conexão de aterramento.</t>
  </si>
  <si>
    <t>0004321/2024</t>
  </si>
  <si>
    <t>Substituição de Disjuntor tripolar 230 kV, DJ772, referente a LT Joinville - Curitiba C-1. Associado à obra, são esperadas substituições/adaptações de fundações e suportes, cabos de controle e potência, barramento, conectores e conexão de aterramento.</t>
  </si>
  <si>
    <t>0004322/2024</t>
  </si>
  <si>
    <t>Substituição de Disjuntor tripolar 230 kV, DJ782, referente ao  TR8 230/69 kV da SE Joinville. Associado à obra, são esperadas substituições/adaptações de fundações e suportes, cabos de controle e potência, barramento, conectores e conexão de aterramento.</t>
  </si>
  <si>
    <t>TR 230/69 kV JOINVILLE TR8 SC</t>
  </si>
  <si>
    <t>0004323/2024</t>
  </si>
  <si>
    <t>Substituição de Disjuntor tripolar 138 kV, DJ692, referente ao Interligador de Barras (IB) da SE Joinville. Associado à obra, são esperadas substituições/adaptações de fundações e suportes, cabos de controle e potência, barramento, conectores e conexão de aterramento.</t>
  </si>
  <si>
    <t>0004324/2024</t>
  </si>
  <si>
    <t>DJ692</t>
  </si>
  <si>
    <t>Substituição de Disjuntor tripolar 525 kV, DJ1062, referente a LT Nova Santa Rita - Campos Novos C-1. Associado à obra, são esperadas substituições/adaptações de fundações e suportes, cabos de controle e potência, barramento, conectores e conexão de aterramento.</t>
  </si>
  <si>
    <t>0004326/2024</t>
  </si>
  <si>
    <t>Substituição de Disjuntor tripolar 230 kV, DJ742, referente a LT Passo Fundo - Vila Maria C-1. Associado à obra, são esperadas substituições/adaptações de fundações e suportes, cabos de controle e potência, barramento, conectores e conexão de aterramento.</t>
  </si>
  <si>
    <t>0004327/2024</t>
  </si>
  <si>
    <t>Substituição de 01 (uma) Seccionadora 69 KV posição operacional 32F1-4 da Subestação ACD</t>
  </si>
  <si>
    <t>EL 69 kV ACU II DIST1 (12F1)</t>
  </si>
  <si>
    <t>0004459/2024</t>
  </si>
  <si>
    <t>32F1-4</t>
  </si>
  <si>
    <t>Substituição de 01 (uma) Seccionadora com lâmina de terra 69 kV, posição operacional 32F1-5/7 da Subestação ACD</t>
  </si>
  <si>
    <t>0004460/2024</t>
  </si>
  <si>
    <t>32F1-5</t>
  </si>
  <si>
    <t>Substituição de 01 (uma) Seccionadora 69 KV posição operacional 32F1-6 da Subestação ACD</t>
  </si>
  <si>
    <t>0004464/2024</t>
  </si>
  <si>
    <t>32F1-6</t>
  </si>
  <si>
    <t>Substituição de 01 (uma) Seccionadora 69 KV posição operacional 32F2-4 da Subestação ACD</t>
  </si>
  <si>
    <t>EL 69 kV ACU II DIST2 (12F2)</t>
  </si>
  <si>
    <t>0004465/2024</t>
  </si>
  <si>
    <t>32F2-4</t>
  </si>
  <si>
    <t>Substituição de 01 (uma) Seccionadora com lâmina de terra 69 kV, posição operacional 32F2-5/7 da Subestação ACD</t>
  </si>
  <si>
    <t>0004466/2024</t>
  </si>
  <si>
    <t>32F2-5</t>
  </si>
  <si>
    <t>Substituição de 01 (uma) Seccionadora 69 KV posição operacional 32F2-6 da Subestação ACD</t>
  </si>
  <si>
    <t>0004468/2024</t>
  </si>
  <si>
    <t>32F2-6</t>
  </si>
  <si>
    <t>Substituição de 01 (uma) Seccionadora 69 KV posição operacional 32F3-4 da Subestação ACD</t>
  </si>
  <si>
    <t>EL 69 kV ACU II DIST3 (12F3)</t>
  </si>
  <si>
    <t>0004469/2024</t>
  </si>
  <si>
    <t>32F3-4</t>
  </si>
  <si>
    <t>Substituição de 01 (uma) Seccionadora 69 KV posição operacional 32F4-4 da Subestação ACD</t>
  </si>
  <si>
    <t>EL 69 kV ACU II DIST4 (12F4)</t>
  </si>
  <si>
    <t>0004470/2024</t>
  </si>
  <si>
    <t>32F4-4</t>
  </si>
  <si>
    <t>Substituição de 01 (uma) Seccionadora com lâmina de terra 69 kV, posição operacional 32F4-5/7 da Subestação ACD</t>
  </si>
  <si>
    <t>0004472/2024</t>
  </si>
  <si>
    <t>32F4-5</t>
  </si>
  <si>
    <t>Substituição de 01 (uma) Seccionadora 69 KV posição operacional 32F4-6 da Subestação ACD</t>
  </si>
  <si>
    <t>0004474/2024</t>
  </si>
  <si>
    <t>32F4-6</t>
  </si>
  <si>
    <t>Substituição de 01 (uma) Seccionadora 69 KV posição operacional 32F5-4 da Subestação ACD</t>
  </si>
  <si>
    <t>EL 69 kV ACU II DIST5 (12F5)</t>
  </si>
  <si>
    <t>0004475/2024</t>
  </si>
  <si>
    <t>32F5-4</t>
  </si>
  <si>
    <t>Substituição de 01 (uma) Seccionadora com lâmina de terra 69 kV, posição operacional 32F5-5/7 da Subestação ACD</t>
  </si>
  <si>
    <t>0004477/2024</t>
  </si>
  <si>
    <t>32F5-5</t>
  </si>
  <si>
    <t>Substituição de 01 (uma) Seccionadora 69 KV posição operacional 32F5-6 da Subestação ACD</t>
  </si>
  <si>
    <t>0004479/2024</t>
  </si>
  <si>
    <t>32F5-6</t>
  </si>
  <si>
    <t>Substituição de 01 (uma) Seccionadora 138 KV posição operacional 33C4-4 da Subestação ACD</t>
  </si>
  <si>
    <t>EL 138 kV ACU II DIST4 (13C4)</t>
  </si>
  <si>
    <t>0004481/2024</t>
  </si>
  <si>
    <t>33C4-4</t>
  </si>
  <si>
    <t>Substituição de 01 (uma) Seccionadora 69 KV posição operacional 32T5-4 da Subestação ACD</t>
  </si>
  <si>
    <t>0004484/2024</t>
  </si>
  <si>
    <t>32T5-4</t>
  </si>
  <si>
    <t>Substituição de 01 (uma) Seccionadora 69 KV posição operacional 32T5-5 da Subestação ACD</t>
  </si>
  <si>
    <t>0004486/2024</t>
  </si>
  <si>
    <t>32T5-5</t>
  </si>
  <si>
    <t>Substituição de 01 (uma) Seccionadora 69 KV posição operacional 32T5-6 da Subestação ACD</t>
  </si>
  <si>
    <t>0004487/2024</t>
  </si>
  <si>
    <t>32T5-6</t>
  </si>
  <si>
    <t>Substituição de 01 (uma) Seccionadora 69 KV posição operacional 32D1-1 da Subestação ACD</t>
  </si>
  <si>
    <t>IB 69 kV MG 230 kV ACU II MG1 RN IB2 (12D1)</t>
  </si>
  <si>
    <t>0004490/2024</t>
  </si>
  <si>
    <t>32D1-1</t>
  </si>
  <si>
    <t>Substituição de 01 (uma) Seccionadora 69 KV posição operacional 32D1-2 da Subestação ACD</t>
  </si>
  <si>
    <t>0004491/2024</t>
  </si>
  <si>
    <t>32D1-2</t>
  </si>
  <si>
    <t>Substituição de 01 (um) TP  posição operacional 84S1.A da Subestação BNO</t>
  </si>
  <si>
    <t>0004498/2024</t>
  </si>
  <si>
    <t>84S1.A</t>
  </si>
  <si>
    <t>Substituição de 01 (um) TP  posição operacional 84S1.B da Subestação BNO</t>
  </si>
  <si>
    <t>0004501/2024</t>
  </si>
  <si>
    <t>84S1.B</t>
  </si>
  <si>
    <t>Substituição de 01 (um) TP  69kV, posição operacional 82J1.A da Subestação ABX</t>
  </si>
  <si>
    <t>EL 69 kV ABAIXADORA DELMIRO GOUVEIA (12J1)</t>
  </si>
  <si>
    <t>0004528/2024</t>
  </si>
  <si>
    <t>82J1.A</t>
  </si>
  <si>
    <t>Substituição de 01 (um) TP  69kV, posição operacional 82J1.C da Subestação ABX</t>
  </si>
  <si>
    <t>0004535/2024</t>
  </si>
  <si>
    <t>82J1.C</t>
  </si>
  <si>
    <t>Substituição de 01 (um) TP  230kV, posição operacional 84BP-2.A da Subestação CTU</t>
  </si>
  <si>
    <t>0004546/2024</t>
  </si>
  <si>
    <t>84BP-2.A</t>
  </si>
  <si>
    <t>Substituição de 01 (um) TP  230kV, posição operacional 84BP-2.B da Subestação CTU</t>
  </si>
  <si>
    <t>0004548/2024</t>
  </si>
  <si>
    <t>84BP-2.B</t>
  </si>
  <si>
    <t>Substituição de 01 (um) TP  posição operacional 82T1.A da Subestação ITB</t>
  </si>
  <si>
    <t>TR 230/69 kV ITABAIANA TR1 SE</t>
  </si>
  <si>
    <t>0004551/2024</t>
  </si>
  <si>
    <t>82T1.A</t>
  </si>
  <si>
    <t>Substituição de 01 (um) TP  posição operacional 82T1.B da Subestação ITB</t>
  </si>
  <si>
    <t>0004553/2024</t>
  </si>
  <si>
    <t>82T1.B</t>
  </si>
  <si>
    <t>Substituição de 01 (um) TP  posição operacional 82T1.C da Subestação ITB</t>
  </si>
  <si>
    <t>0004555/2024</t>
  </si>
  <si>
    <t>82T1.C</t>
  </si>
  <si>
    <t>Substituição de 01 (um) TP  230kV, posição operacional 84S3.A da Subestação MSI</t>
  </si>
  <si>
    <t>0004561/2024</t>
  </si>
  <si>
    <t>84S3.A</t>
  </si>
  <si>
    <t>Substituição de 01 (um) TP  230kV, posição operacional 84S3.B da Subestação MSI</t>
  </si>
  <si>
    <t>0004563/2024</t>
  </si>
  <si>
    <t>84S3.B</t>
  </si>
  <si>
    <t>Substituição de Transformador de Corrente 525 kV, referente a LT Areia - Segredo C-1, DJ1002, Fase A. Associado à obra, são esperadas substituições/adaptações de fundações e suportes, caixa de junção, cabos de controle/potência, barramento, conectores e conexão de aterramento. Funções do TC: proteção e medição.</t>
  </si>
  <si>
    <t>0004564/2024</t>
  </si>
  <si>
    <t>Substituição de 01 (um) TP  230kV, posição operacional 84S3.C da Subestação MSI</t>
  </si>
  <si>
    <t>0004565/2024</t>
  </si>
  <si>
    <t>84S3.C</t>
  </si>
  <si>
    <t>Substituição de Transformador de Corrente 525 kV, referente a LT Areia - Segredo C-1, DJ1002, Fase B. Associado à obra, são esperadas substituições/adaptações de fundações e suportes, caixa de junção, cabos de controle/potência, barramento, conectores e conexão de aterramento. Funções do TC: proteção e medição.</t>
  </si>
  <si>
    <t>0004566/2024</t>
  </si>
  <si>
    <t>Substituição de 01 (um) TP  230kV, posição operacional 84S5.A da Subestação MSI</t>
  </si>
  <si>
    <t>LT 230 kV MESSIAS /RIO LARGO II C-3 AL</t>
  </si>
  <si>
    <t>0004568/2024</t>
  </si>
  <si>
    <t>84S5.A</t>
  </si>
  <si>
    <t>Substituição de Transformador de Corrente 525 kV, referente a LT Areia - Segredo C-1, DJ1002, Fase C. Associado à obra, são esperadas substituições/adaptações de fundações e suportes, caixa de junção, cabos de controle/potência, barramento, conectores e conexão de aterramento. Funções do TC: proteção e medição.</t>
  </si>
  <si>
    <t>0004569/2024</t>
  </si>
  <si>
    <t>Substituição de 01 (um) TP  230kV, posição operacional 84S5.B da Subestação MSI</t>
  </si>
  <si>
    <t>0004571/2024</t>
  </si>
  <si>
    <t>84S5.B</t>
  </si>
  <si>
    <t>Substituição de Transformador de Corrente 230 kV, referente ao TR1 230/138 kV da SE Campo Mourão, DJ782, Fase A. Associado à obra, são esperadas substituições/adaptações de fundações e suportes, caixa de junção, cabos de controle/potência, barramento, conectores e conexão de aterramento. Funções do TC: proteção e medição.</t>
  </si>
  <si>
    <t>0004572/2024</t>
  </si>
  <si>
    <t>Substituição de 01 (um) TP  230kV, posição operacional 84S5.C da Subestação MSI</t>
  </si>
  <si>
    <t>0004573/2024</t>
  </si>
  <si>
    <t>84S5.C</t>
  </si>
  <si>
    <t>Substituição de Transformador de Corrente 230 kV, referente a LT Canoinhas - São Mateus do Sul C-1, DJ732, Fase A. Associado à obra, são esperadas substituições/adaptações de fundações e suportes, caixa de junção, cabos de controle/potência, barramento, conectores e conexão de aterramento. Funções do TC: proteção e medição.</t>
  </si>
  <si>
    <t>0004574/2024</t>
  </si>
  <si>
    <t>Substituição de 01 (um) TP  230kV, posição operacional 84S6.A da Subestação MSI</t>
  </si>
  <si>
    <t>0004576/2024</t>
  </si>
  <si>
    <t>84S6.A</t>
  </si>
  <si>
    <t>Substituição de Transformador de Corrente 230 kV, referente a LT Canoinhas - São Mateus do Sul C-1, DJ732, Fase B. Associado à obra, são esperadas substituições/adaptações de fundações e suportes, caixa de junção, cabos de controle/potência, barramento, conectores e conexão de aterramento. Funções do TC: proteção e medição.</t>
  </si>
  <si>
    <t>0004577/2024</t>
  </si>
  <si>
    <t>Substituição de 01 (um) TP  230kV, posição operacional 84S7.A da Subestação MSI</t>
  </si>
  <si>
    <t>0004578/2024</t>
  </si>
  <si>
    <t>84S7.A</t>
  </si>
  <si>
    <t>Substituição de Transformador de Corrente 230 kV, referente a LT Canoinhas - São Mateus do Sul C-1, DJ732, Fase C. Associado à obra, são esperadas substituições/adaptações de fundações e suportes, caixa de junção, cabos de controle/potência, barramento, conectores e conexão de aterramento. Funções do TC: proteção e medição.</t>
  </si>
  <si>
    <t>0004579/2024</t>
  </si>
  <si>
    <t>SMS 1</t>
  </si>
  <si>
    <t>Substituição de 01 (um) TP  230kV, posição operacional 84S7.B da Subestação MSI</t>
  </si>
  <si>
    <t>0004580/2024</t>
  </si>
  <si>
    <t>84S7.B</t>
  </si>
  <si>
    <t>Substituição de Transformador de Corrente 230 kV, referente ao TR1 230/138 kV da SE Canoinhas, DJ742, Fase A. Associado à obra, são esperadas substituições/adaptações de fundações e suportes, caixa de junção, cabos de controle/potência, barramento, conectores e conexão de aterramento. Funções do TC: proteção e medição.</t>
  </si>
  <si>
    <t>0004581/2024</t>
  </si>
  <si>
    <t>Substituição de 01 (um) TP  230kV, posição operacional 84S7.C da Subestação MSI</t>
  </si>
  <si>
    <t>0004582/2024</t>
  </si>
  <si>
    <t>84S7.C</t>
  </si>
  <si>
    <t>Substituição de Transformador de Corrente 230 kV, referente ao TR1 230/138 kV da SE Canoinhas, DJ742, Fase C. Associado à obra, são esperadas substituições/adaptações de fundações e suportes, caixa de junção, cabos de controle/potência, barramento, conectores e conexão de aterramento. Funções do TC: proteção e medição.</t>
  </si>
  <si>
    <t>0004583/2024</t>
  </si>
  <si>
    <t>Substituição de Transformador de Corrente 230 kV, referente ao TR1 230/138 kV da SE Canoinhas, DJ742, Fase B. Associado à obra, são esperadas substituições/adaptações de fundações e suportes, caixa de junção, cabos de controle/potência, barramento, conectores e conexão de aterramento. Funções do TC: proteção e medição.</t>
  </si>
  <si>
    <t>0004584/2024</t>
  </si>
  <si>
    <t>Substituição de Disjuntor tripolar 230 kV, DJ752, referente ao Interligador de Barras (IB) da SE Santo Ângelo. Associado à obra, são esperadas substituições/adaptações de fundações e suportes, cabos de controle e potência, barramento, conectores e conexão de aterramento.</t>
  </si>
  <si>
    <t>0004585/2024</t>
  </si>
  <si>
    <t>Substituição de Disjuntor tripolar 230 kV, DJ772, referente ao TR2 525/230 kV da SE Santo Ângelo. Associado à obra, são esperadas substituições/adaptações de fundações e suportes, cabos de controle e potência, barramento, conectores e conexão de aterramento.</t>
  </si>
  <si>
    <t>0004586/2024</t>
  </si>
  <si>
    <t>Substituição de 01 (um) TP  69kV, posição operacional 82T3.A da Subestação RIB</t>
  </si>
  <si>
    <t>0004587/2024</t>
  </si>
  <si>
    <t>82T3.A</t>
  </si>
  <si>
    <t>Substituição de 01 (um) TP  69kV, posição operacional 82T3.B da Subestação RIB</t>
  </si>
  <si>
    <t>0004588/2024</t>
  </si>
  <si>
    <t>82T3.B</t>
  </si>
  <si>
    <t>Substituição de 01 (um) TP  69kV, posição operacional 82T3.C da Subestação RIB</t>
  </si>
  <si>
    <t>0004589/2024</t>
  </si>
  <si>
    <t>82T3.C</t>
  </si>
  <si>
    <t>Substituição de 01 (um) TP 13,8kV posição operacional 81T4 fase A da Subestação ACD.</t>
  </si>
  <si>
    <t>0004590/2024</t>
  </si>
  <si>
    <t>81T4.A</t>
  </si>
  <si>
    <t>Substituição de 01 (um) TP 13,8kV posição operacional 81T4 fase C da Subestação ACD.</t>
  </si>
  <si>
    <t>0004591/2024</t>
  </si>
  <si>
    <t>81T4.C</t>
  </si>
  <si>
    <t>Substituição de 01 (um) TP 13,8kV posição operacional 81T5 fase A da Subestação ACD.</t>
  </si>
  <si>
    <t>0004592/2024</t>
  </si>
  <si>
    <t>81T5.A</t>
  </si>
  <si>
    <t>Substituição de 01 (um) TP 13,8kV posição operacional 81T5 fase C da Subestação ACD.</t>
  </si>
  <si>
    <t>0004593/2024</t>
  </si>
  <si>
    <t>81T5.C</t>
  </si>
  <si>
    <t>Substituição de 01 (uma) Seccionadora 230 kV posição operacional 34E1-8 da Subestação PIC</t>
  </si>
  <si>
    <t>LT 230 kV S.JOAO PIAUI /PICOS C-1 PI</t>
  </si>
  <si>
    <t>0004598/2024</t>
  </si>
  <si>
    <t>34E1-8</t>
  </si>
  <si>
    <t>Substituição de 01 (uma) Seccionadora 230 kV posição operacional 34M3-4 da Subestação PIC</t>
  </si>
  <si>
    <t>0004600/2024</t>
  </si>
  <si>
    <t>34M3-4</t>
  </si>
  <si>
    <t>Substituição de 01 (uma) Seccionadora 230 kV posição operacional 34T1-5 da Subestação PIC</t>
  </si>
  <si>
    <t>TR 230/69 kV PICOS TR1 PI</t>
  </si>
  <si>
    <t>0004601/2024</t>
  </si>
  <si>
    <t>34T1-5</t>
  </si>
  <si>
    <t>Substituição de 01 (uma) Seccionadora 230 kV, posição operacional 34T1-4 da Subestação PRI</t>
  </si>
  <si>
    <t>0004602/2024</t>
  </si>
  <si>
    <t>34T1-4</t>
  </si>
  <si>
    <t>Substituição de 01 (uma) Seccionadora 230 kV, posição operacional 34T1-5 da Subestação PRI</t>
  </si>
  <si>
    <t>0004603/2024</t>
  </si>
  <si>
    <t>Substituição de 01 (uma) Seccionadora 69 kV, posição operacional 32A1-8 da Subestação SJI</t>
  </si>
  <si>
    <t>MC 69 kV TT 69/13,8 kV S.JOAO PIAUI TA1 PI (32A1)</t>
  </si>
  <si>
    <t>0004604/2024</t>
  </si>
  <si>
    <t>32A1-8</t>
  </si>
  <si>
    <t>Substituição de 01 (uma) Seccionadora 69 kV, posição operacional 32D1-2 da Subestação SJI</t>
  </si>
  <si>
    <t>IB 69 kV MG 500 kV S.JOAO PIAUI MG1 PI IB1 (12D1)</t>
  </si>
  <si>
    <t>0004605/2024</t>
  </si>
  <si>
    <t>Substituição de 01 (uma) Seccionadora 69 kV, posição operacional 32T3-4 da Subestação SJI</t>
  </si>
  <si>
    <t>TR 230/69 kV S.JOAO PIAUI TR3 PI</t>
  </si>
  <si>
    <t>0004606/2024</t>
  </si>
  <si>
    <t>32T3-4</t>
  </si>
  <si>
    <t>Substituição de 01 (uma) Seccionadora 69 kV, posição operacional 32T3-5 da Subestação SJI</t>
  </si>
  <si>
    <t>0004607/2024</t>
  </si>
  <si>
    <t>32T3-5</t>
  </si>
  <si>
    <t>Substituição de 01 (uma) Seccionadora 69 kV, posição operacional 32T3-6 da Subestação SJI</t>
  </si>
  <si>
    <t>0004608/2024</t>
  </si>
  <si>
    <t>32T3-6</t>
  </si>
  <si>
    <t>Substituição de 01 (uma) Seccionadora 69 kV, posição operacional 32T4-6 da Subestação SJI</t>
  </si>
  <si>
    <t>TR 230/69 kV S.JOAO PIAUI TR4 PI</t>
  </si>
  <si>
    <t>0004609/2024</t>
  </si>
  <si>
    <t>32T4-6</t>
  </si>
  <si>
    <t>Substituição de 01 (uma) Seccionadora 230 kV posição operacional 34D1-1 da Subestação SJI</t>
  </si>
  <si>
    <t>0004610/2024</t>
  </si>
  <si>
    <t>34D1-1</t>
  </si>
  <si>
    <t>Substituição de 01 (uma) Seccionadora 230 kV posição operacional 34D1-2 da Subestação SJI</t>
  </si>
  <si>
    <t>0004611/2024</t>
  </si>
  <si>
    <t>34D1-2</t>
  </si>
  <si>
    <t>Substituição de 01 (uma) Seccionadora 230 kV posição operacional 34M1-1 da Subestação SJI</t>
  </si>
  <si>
    <t>0004612/2024</t>
  </si>
  <si>
    <t>34M1-1</t>
  </si>
  <si>
    <t>Substituição de 01 (uma) Seccionadora 230 kV posição operacional 34M1-2 da Subestação SJI</t>
  </si>
  <si>
    <t>0004613/2024</t>
  </si>
  <si>
    <t>34M1-2</t>
  </si>
  <si>
    <t>Substituição de 01 (uma) Seccionadora 230 kV posição operacional 34M1-6 da Subestação SJI</t>
  </si>
  <si>
    <t>0004614/2024</t>
  </si>
  <si>
    <t>34M1-6</t>
  </si>
  <si>
    <t>Substituição de 01 (uma) Seccionadora 230 kV posição operacional 34T1-1A da Subestação SJI</t>
  </si>
  <si>
    <t>0004615/2024</t>
  </si>
  <si>
    <t>34T1-1A</t>
  </si>
  <si>
    <t>Substituição de 01 (uma) Seccionadora 230 kV posição operacional 34T1-1B da Subestação SJI</t>
  </si>
  <si>
    <t>0004616/2024</t>
  </si>
  <si>
    <t>34T1-1B</t>
  </si>
  <si>
    <t>Substituição de 01 (uma) Seccionadora 230 kV posição operacional 34T1-2A da Subestação SJI</t>
  </si>
  <si>
    <t>0004617/2024</t>
  </si>
  <si>
    <t>34T1-2A</t>
  </si>
  <si>
    <t>Substituição de 01 (uma) Seccionadora 230 kV posição operacional 34T1-2B da Subestação SJI</t>
  </si>
  <si>
    <t>0004618/2024</t>
  </si>
  <si>
    <t>34T1-2B</t>
  </si>
  <si>
    <t>Substituição de 01 (uma) Seccionadora 230 kV posição operacional 34T1-5A da Subestação SJI</t>
  </si>
  <si>
    <t>0004619/2024</t>
  </si>
  <si>
    <t>34T1-5A</t>
  </si>
  <si>
    <t>Substituição de 01 (uma) Seccionadora 230 kV posição operacional 34T1-5B da Subestação SJI</t>
  </si>
  <si>
    <t>0004620/2024</t>
  </si>
  <si>
    <t>34T1-5B</t>
  </si>
  <si>
    <t>Substituição de 01 (uma) Seccionadora 230 kV posição operacional 34T3-1 da Subestação SJI</t>
  </si>
  <si>
    <t>0004621/2024</t>
  </si>
  <si>
    <t>34T3-1</t>
  </si>
  <si>
    <t>Substituição de 01 (uma) Seccionadora 230 kV posição operacional 34T3-2 da Subestação SJI</t>
  </si>
  <si>
    <t>0004622/2024</t>
  </si>
  <si>
    <t>34T3-2</t>
  </si>
  <si>
    <t>Substituição de 01 (uma) Seccionadora 230 kV posição operacional 34T3-4 da Subestação SJI</t>
  </si>
  <si>
    <t>0004623/2024</t>
  </si>
  <si>
    <t>34T3-4</t>
  </si>
  <si>
    <t>Substituição de 01 (uma) Seccionadora 230 kV posição operacional 34T3-5 da Subestação SJI</t>
  </si>
  <si>
    <t>0004624/2024</t>
  </si>
  <si>
    <t>34T3-5</t>
  </si>
  <si>
    <t>Substituição de 01 (uma) Seccionadora 230 kV posição operacional 34T3-6 da Subestação SJI</t>
  </si>
  <si>
    <t>0004625/2024</t>
  </si>
  <si>
    <t>34T3-6</t>
  </si>
  <si>
    <t>Substituição de 01 (uma) Seccionadora 230 kV posição operacional 34T4-1 da Subestação SJI</t>
  </si>
  <si>
    <t>0004626/2024</t>
  </si>
  <si>
    <t>34T4-1</t>
  </si>
  <si>
    <t>Substituição de 01 (uma) Seccionadora 230 kV posição operacional 34T4-2 da Subestação SJI</t>
  </si>
  <si>
    <t>0004627/2024</t>
  </si>
  <si>
    <t>34T4-2</t>
  </si>
  <si>
    <t>Substituição de 01 (uma) Seccionadora 230 kV posição operacional 34T4-4 da Subestação SJI</t>
  </si>
  <si>
    <t>0004628/2024</t>
  </si>
  <si>
    <t>34T4-4</t>
  </si>
  <si>
    <t>Substituição de 01 (uma) Seccionadora 230 kV posição operacional 34T4-5 da Subestação SJI</t>
  </si>
  <si>
    <t>0004629/2024</t>
  </si>
  <si>
    <t>34T4-5</t>
  </si>
  <si>
    <t>Substituição de 01 (uma) Seccionadora 230 kV posição operacional 34T4-6 da Subestação SJI</t>
  </si>
  <si>
    <t>0004630/2024</t>
  </si>
  <si>
    <t>34T4-6</t>
  </si>
  <si>
    <t>Substituição de 01 (uma) Seccionadora 230 kV posição operacional 34D1-1 da Subestação TSA</t>
  </si>
  <si>
    <t>MG TERESINA / CCO-2001-061 - RB</t>
  </si>
  <si>
    <t>0004631/2024</t>
  </si>
  <si>
    <t>Substituição de 01 (uma) Seccionadora 230 kV posição operacional 34D1-2 da Subestação TSA</t>
  </si>
  <si>
    <t>0004632/2024</t>
  </si>
  <si>
    <t>Substituição de 01 (uma) Seccionadora 230 kV, posição operacional 34T3-1 da Subestação TSA</t>
  </si>
  <si>
    <t>TR 230/69 kV TERESINA TR3 PI</t>
  </si>
  <si>
    <t>0004633/2024</t>
  </si>
  <si>
    <t>Substituição de 01 (uma) Seccionadora 230 kV posição operacional 34T3-2 da Subestação TSA</t>
  </si>
  <si>
    <t>0004634/2024</t>
  </si>
  <si>
    <t>Substituição de 01 (uma) Seccionadora 230 kV, posição operacional 34T3-4 da Subestação TSA</t>
  </si>
  <si>
    <t>0004635/2024</t>
  </si>
  <si>
    <t>Substituição de 01 (uma) Seccionadora 230 kV posição operacional 34T3-5 da Subestação TSA</t>
  </si>
  <si>
    <t>0004636/2024</t>
  </si>
  <si>
    <t>Substituição de 01 (uma) Seccionadora 69 kV, posição operacional 32A1-8 da Subestação RSD</t>
  </si>
  <si>
    <t>MC 69 kV TT 69/13,8 kV RUSSAS II TA1 CE (32A1)</t>
  </si>
  <si>
    <t>0004637/2024</t>
  </si>
  <si>
    <t>Substituição de 01 (uma) Seccionadora 69 kV, posição operacional 32A1-8 da Subestação PRD</t>
  </si>
  <si>
    <t>MC 69 kV TT 69/13,8 kV PIRAPAMA II TA1 PE (32A1)</t>
  </si>
  <si>
    <t>0004640/2024</t>
  </si>
  <si>
    <t>Substituição de 01 (uma) Seccionadora com lâmina de terra 69 kV, posição operacional 32J1-6/7 da Subestação PRD</t>
  </si>
  <si>
    <t>EL 69 kV PIRAPAMA II SIMISA-02J1 (12J1)</t>
  </si>
  <si>
    <t>0004641/2024</t>
  </si>
  <si>
    <t>32J1-6</t>
  </si>
  <si>
    <t>Substituição de 01 (uma) Seccionadora 69 kV posição operacional 32T1-4 da Subestação PRD</t>
  </si>
  <si>
    <t>0004642/2024</t>
  </si>
  <si>
    <t>Substituição de 01 (uma) Seccionadora 69 kV posição operacional 32T1-5 da Subestação PRD</t>
  </si>
  <si>
    <t>0004643/2024</t>
  </si>
  <si>
    <t>32T1-5</t>
  </si>
  <si>
    <t>Substituição de 01 (uma) Seccionadora 69 kV, posição operacional 32T1-6 da Subestação PRD</t>
  </si>
  <si>
    <t>0004644/2024</t>
  </si>
  <si>
    <t>32T1-6</t>
  </si>
  <si>
    <t>Substituição de 01 (uma) Seccionadora 69 kV, posição operacional 32D1-1 da Subestação SJI</t>
  </si>
  <si>
    <t>0004646/2024</t>
  </si>
  <si>
    <t>Substituição de 01 (uma) Seccionadora 69 kV, posição operacional 32J1-4 da Subestação TSA</t>
  </si>
  <si>
    <t>EL 69 kV TERESINA DIST1 (12J1)</t>
  </si>
  <si>
    <t>0004678/2024</t>
  </si>
  <si>
    <t>32J1-4</t>
  </si>
  <si>
    <t>Substituição de 01 (uma) Seccionadora com lâmina de terra 69 kV, posição operacional 32J1-5/7 da Subestação TSA</t>
  </si>
  <si>
    <t>0004679/2024</t>
  </si>
  <si>
    <t>32J1-5</t>
  </si>
  <si>
    <t>Substituição de 01 (uma) Seccionadora 69 kV, posição operacional 32J1-6 da Subestação TSA</t>
  </si>
  <si>
    <t>0004680/2024</t>
  </si>
  <si>
    <t>Substituição de 01 (uma) Seccionadora 69 kV, posição operacional 32J2-4 da Subestação TSA</t>
  </si>
  <si>
    <t>EL 69 kV TERESINA DIST2 (12J2)</t>
  </si>
  <si>
    <t>0004681/2024</t>
  </si>
  <si>
    <t>32J2-4</t>
  </si>
  <si>
    <t>Substituição de 01 (uma) Seccionadora com lâmina de terra 69 kV, posição operacional 32J2-5/7 da Subestação TSA</t>
  </si>
  <si>
    <t>0004682/2024</t>
  </si>
  <si>
    <t>32J2-5</t>
  </si>
  <si>
    <t>Substituição de 01 (uma) Seccionadora 69 kV, posição operacional 32J2-6 da Subestação TSA</t>
  </si>
  <si>
    <t>0004683/2024</t>
  </si>
  <si>
    <t>32J2-6</t>
  </si>
  <si>
    <t>Substituição de 01 (uma) Seccionadora 69 kV, posição operacional 32J3-4 da Subestação TSA</t>
  </si>
  <si>
    <t>EL 69 kV TERESINA DIST3 (12J3)</t>
  </si>
  <si>
    <t>0004684/2024</t>
  </si>
  <si>
    <t>32J3-4</t>
  </si>
  <si>
    <t>Substituição de 01 (uma) Seccionadora com lâmina de terra 69 kV, posição operacional 32J3-5/7 da Subestação TSA</t>
  </si>
  <si>
    <t>0004685/2024</t>
  </si>
  <si>
    <t>32J3-5</t>
  </si>
  <si>
    <t>Substituição de 01 (uma) Seccionadora 69 kV, posição operacional 32J3-6 da Subestação TSA</t>
  </si>
  <si>
    <t>0004686/2024</t>
  </si>
  <si>
    <t>32J3-6</t>
  </si>
  <si>
    <t>Substituição de 01 (uma) Seccionadora 69 kV, posição operacional 32J4-4 da Subestação TSA</t>
  </si>
  <si>
    <t>EL 69 kV TERESINA DIST4 (12J4)</t>
  </si>
  <si>
    <t>0004687/2024</t>
  </si>
  <si>
    <t>32J4-4</t>
  </si>
  <si>
    <t>Substituição de 01 (uma) Seccionadora com lâmina de terra 69 kV, posição operacional 32J4-5/7 da Subestação TSA</t>
  </si>
  <si>
    <t>0004688/2024</t>
  </si>
  <si>
    <t>32J4-5</t>
  </si>
  <si>
    <t>Substituição de 01 (uma) Seccionadora 69 kV, posição operacional 32J4-6 da Subestação TSA</t>
  </si>
  <si>
    <t>0004689/2024</t>
  </si>
  <si>
    <t>32J4-6</t>
  </si>
  <si>
    <t>Substituição de 01 (uma) Seccionadora 69 kV, posição operacional 32J5-4 da Subestação TSA</t>
  </si>
  <si>
    <t>EL 69 kV TERESINA DIST5 (12J5)</t>
  </si>
  <si>
    <t>0004690/2024</t>
  </si>
  <si>
    <t>32J5-4</t>
  </si>
  <si>
    <t>Substituição de 01 (uma) Seccionadora com lâmina de terra 69 kV, posição operacional 32J5-5/7 da Subestação TSA</t>
  </si>
  <si>
    <t>0004691/2024</t>
  </si>
  <si>
    <t>32J5-5</t>
  </si>
  <si>
    <t>Substituição de 01 (uma) Seccionadora 69 kV, posição operacional 32J5-6 da Subestação TSA</t>
  </si>
  <si>
    <t>0004692/2024</t>
  </si>
  <si>
    <t>32J5-6</t>
  </si>
  <si>
    <t>Substituição de 01 (uma) Seccionadora 69 kV, posição operacional 32J6-4 da Subestação TSA</t>
  </si>
  <si>
    <t>EL 69 kV TERESINA DIST6 (12J6)</t>
  </si>
  <si>
    <t>0004693/2024</t>
  </si>
  <si>
    <t>32J6-4</t>
  </si>
  <si>
    <t>Substituição de 01 (uma) Seccionadora com lâmina de terra 69 kV, posição operacional 32J6-5/7 da Subestação TSA</t>
  </si>
  <si>
    <t>0004694/2024</t>
  </si>
  <si>
    <t>32J6-5</t>
  </si>
  <si>
    <t>Substituição de 01 (uma) Seccionadora 69 kV, posição operacional 32J6-6 da Subestação TSA</t>
  </si>
  <si>
    <t>0004695/2024</t>
  </si>
  <si>
    <t>32J6-6</t>
  </si>
  <si>
    <t>Substituição de 01 (uma) Seccionadora 69 kV, posição operacional 32J1-4 da Subestação RSD</t>
  </si>
  <si>
    <t>EL 69 kV RUSSAS II DIST1 (12J1)</t>
  </si>
  <si>
    <t>0004696/2024</t>
  </si>
  <si>
    <t>Substituição de 01 (uma) Seccionadora com lâmina de terra 69 kV, posição operacional 32J1-5/7 da Subestação RSD</t>
  </si>
  <si>
    <t>0004697/2024</t>
  </si>
  <si>
    <t>Substituição de 01 (uma) Seccionadora 69 kV, posição operacional 32J1-6 da Subestação RSD</t>
  </si>
  <si>
    <t>0004698/2024</t>
  </si>
  <si>
    <t>Substituição de 01 (uma) Seccionadora com lâmina de terra 69 kV, posição operacional 32J2-5/7 da Subestação RSD</t>
  </si>
  <si>
    <t>EL 69 kV RUSSAS II DIST2 (12J2)</t>
  </si>
  <si>
    <t>0004699/2024</t>
  </si>
  <si>
    <t>Substituição de 01 (uma) Seccionadora com lâmina de terra 69 kV,  posição operacional 32J4-5/7 da Subestação RSD</t>
  </si>
  <si>
    <t>EL 69 kV RUSSAS II DIST3 (12J4)</t>
  </si>
  <si>
    <t>0004700/2024</t>
  </si>
  <si>
    <t>Substituição de 01 (uma) Seccionadora 69 kV, posição operacional 32J4-6 da Subestação RSD</t>
  </si>
  <si>
    <t>0004701/2024</t>
  </si>
  <si>
    <t>Substituição de 01 (uma) Seccionadora 69 kV, posição operacional 32J5-4 da Subestação RSD</t>
  </si>
  <si>
    <t>EL 69 kV RUSSAS II DIST4 (12J5)</t>
  </si>
  <si>
    <t>0004702/2024</t>
  </si>
  <si>
    <t>Substituição de 01 (uma) Seccionadora com lâmina de terra 69 kV, posição operacional 32J5-5/7 da Subestação RSD</t>
  </si>
  <si>
    <t>0004703/2024</t>
  </si>
  <si>
    <t>Substituição de 01 (uma) Seccionadora 69 kV, posição operacional 32J6-4 da Subestação RSD</t>
  </si>
  <si>
    <t>EL 69 kV RUSSAS II DIST5 (12J6)</t>
  </si>
  <si>
    <t>0004704/2024</t>
  </si>
  <si>
    <t>Substituição de 01 (uma) Seccionadora com lâmina de terra 69 kV, posição operacional 32J6-5/7 da Subestação RSD</t>
  </si>
  <si>
    <t>0004705/2024</t>
  </si>
  <si>
    <t>Substituição de 01 (uma) Seccionadora 230 kV posição operacional 34C1-1 da Subestação RSD</t>
  </si>
  <si>
    <t>LT 230 kV BANABUIU /RUSSAS II C-1 CE</t>
  </si>
  <si>
    <t>0004706/2024</t>
  </si>
  <si>
    <t>34C1-1</t>
  </si>
  <si>
    <t>Substituição de 01 (uma) Seccionadora 230 kV posição operacional 34C1-2 da Subestação RSD</t>
  </si>
  <si>
    <t>0004707/2024</t>
  </si>
  <si>
    <t>34C1-2</t>
  </si>
  <si>
    <t>Substituição de 01 (uma) Seccionadora 230 kV posição operacional 34C1-4 da Subestação RSD</t>
  </si>
  <si>
    <t>0004708/2024</t>
  </si>
  <si>
    <t>34C1-4</t>
  </si>
  <si>
    <t>Substituição de 01 (uma) Seccionadora com lâmina de terra 230 kV, posição operacional 34C1-5/7 da Subestação RSD</t>
  </si>
  <si>
    <t>0004709/2024</t>
  </si>
  <si>
    <t>34C1-5</t>
  </si>
  <si>
    <t>Substituição de 01 (uma) Seccionadora 230 kV posição operacional 34C1-6 da Subestação RSD</t>
  </si>
  <si>
    <t>0004710/2024</t>
  </si>
  <si>
    <t>34C1-6</t>
  </si>
  <si>
    <t>Substituição de 01 (uma) Seccionadora 230 kV posição operacional 34C2-1 da Subestação RSD</t>
  </si>
  <si>
    <t>0004711/2024</t>
  </si>
  <si>
    <t>34C2-1</t>
  </si>
  <si>
    <t>Substituição de 01 (uma) Seccionadora 230 kV posição operacional 34C2-2 da Subestação RSD</t>
  </si>
  <si>
    <t>0004712/2024</t>
  </si>
  <si>
    <t>34C2-2</t>
  </si>
  <si>
    <t>Substituição de 01 (uma) Seccionadora 230 kV posição operacional 34C2-4 da Subestação RSD</t>
  </si>
  <si>
    <t>0004713/2024</t>
  </si>
  <si>
    <t>34C2-4</t>
  </si>
  <si>
    <t>Substituição de 01 (uma) Seccionadora com lâmina de terra 230 kV, posição operacional 34C2-5/7 da Subestação RSD</t>
  </si>
  <si>
    <t>0004714/2024</t>
  </si>
  <si>
    <t>34C2-5</t>
  </si>
  <si>
    <t>Substituição de 01 (uma) Seccionadora 230 kV posição operacional 34C2-6 da Subestação RSD</t>
  </si>
  <si>
    <t>0004715/2024</t>
  </si>
  <si>
    <t>34C2-6</t>
  </si>
  <si>
    <t>Substituição de 01 (uma) Seccionadora 230 kV posição operacional 34T1-1 da Subestação RSD</t>
  </si>
  <si>
    <t>TR 230/69 kV RUSSAS II TR1 CE</t>
  </si>
  <si>
    <t>0004716/2024</t>
  </si>
  <si>
    <t>34T1-1</t>
  </si>
  <si>
    <t>Substituição de 01 (uma) Seccionadora 230 kV posição operacional 34T1-2 da Subestação RSD</t>
  </si>
  <si>
    <t>0004717/2024</t>
  </si>
  <si>
    <t>34T1-2</t>
  </si>
  <si>
    <t>Substituição de 01 (uma) Seccionadora 230 kV posição operacional 34T1-4 da Subestação RSD</t>
  </si>
  <si>
    <t>0004718/2024</t>
  </si>
  <si>
    <t>Substituição de 01 (uma) Seccionadora 230 kV posição operacional 34T1-5 da Subestação RSD</t>
  </si>
  <si>
    <t>0004719/2024</t>
  </si>
  <si>
    <t>Substituição de 01 (uma) Seccionadora 230 kV posição operacional 34T1-6 da Subestação RSD</t>
  </si>
  <si>
    <t>0004720/2024</t>
  </si>
  <si>
    <t>34T1-6</t>
  </si>
  <si>
    <t>Substituição de 01 (uma) Seccionadora 69 kV, posição operacional 32D1-1 da Subestação SBD</t>
  </si>
  <si>
    <t>IB 69 kV MG 230 kV SOBRAL II MG1 CE IB1 (12D1)</t>
  </si>
  <si>
    <t>0004721/2024</t>
  </si>
  <si>
    <t>Substituição de 01 (uma) Seccionadora 69 kV, posição operacional 32D1-2 da Subestação SBD</t>
  </si>
  <si>
    <t>0004722/2024</t>
  </si>
  <si>
    <t>Substituição de 01 (uma) Seccionadora 69 kV, posição operacional 32H1-4 da Subestação SBD</t>
  </si>
  <si>
    <t>MC 69 kV BC 69 kV 24,4 Mvar SOBRAL II BC1 CE (12H1)</t>
  </si>
  <si>
    <t>0004723/2024</t>
  </si>
  <si>
    <t>32H1-4</t>
  </si>
  <si>
    <t>Substituição de 01 (uma) Seccionadora 69 kV, posição operacional 32H1-7 da Subestação SBD</t>
  </si>
  <si>
    <t>0004724/2024</t>
  </si>
  <si>
    <t>32H1-7</t>
  </si>
  <si>
    <t>Substituição de 01 (uma) Seccionadora 69 kV, posição operacional 32H2-4 da Subestação SBD</t>
  </si>
  <si>
    <t>MC 69 kV BC 69 kV 24,4 Mvar SOBRAL II BC2 CE (12H2)</t>
  </si>
  <si>
    <t>0004725/2024</t>
  </si>
  <si>
    <t>32H2-4</t>
  </si>
  <si>
    <t>Substituição de 01 (uma) Seccionadora 69 kV, posição operacional 32H2-7 da Subestação SBD</t>
  </si>
  <si>
    <t>0004726/2024</t>
  </si>
  <si>
    <t>32H2-7</t>
  </si>
  <si>
    <t>Substituição de 01 (uma) Seccionadora 69 kV, posição operacional 32J6-4 da Subestação SBD</t>
  </si>
  <si>
    <t>EL 69 kV SOBRAL II DIST6 (12J6)</t>
  </si>
  <si>
    <t>0004727/2024</t>
  </si>
  <si>
    <t>Substituição de 01 (uma) Seccionadora com lâmina de terra 69 kV, posição operacional 32J6-5/7 da Subestação SBD</t>
  </si>
  <si>
    <t>0004728/2024</t>
  </si>
  <si>
    <t>Substituição de 01 (uma) Seccionadora 69 kV, posição operacional 32J6-6 da Subestação SBD</t>
  </si>
  <si>
    <t>0004729/2024</t>
  </si>
  <si>
    <t>Substituição de 01 (uma) Seccionadora 69 kV, posição operacional 32T1-4 da Subestação SBD</t>
  </si>
  <si>
    <t>0004730/2024</t>
  </si>
  <si>
    <t>32T1-4</t>
  </si>
  <si>
    <t>Substituição de 01 (uma) Seccionadora 69 kV, posição operacional 32T1-5 da Subestação SBD</t>
  </si>
  <si>
    <t>0004731/2024</t>
  </si>
  <si>
    <t>Substituição de 01 (uma) Seccionadora 69 kV, posição operacional 32T1-6 da Subestação SBD</t>
  </si>
  <si>
    <t>0004732/2024</t>
  </si>
  <si>
    <t>Substituição de 01 (uma) Seccionadora 69 kV, posição operacional 32T2-4 da Subestação SBD</t>
  </si>
  <si>
    <t>0004733/2024</t>
  </si>
  <si>
    <t>32T2-4</t>
  </si>
  <si>
    <t>Substituição de 01 (uma) Seccionadora 69 kV, posição operacional 32T2-5 da Subestação SBD</t>
  </si>
  <si>
    <t>0004734/2024</t>
  </si>
  <si>
    <t>32T2-5</t>
  </si>
  <si>
    <t>Substituição de 01 (uma) Seccionadora 69 kV, posição operacional 32T2-6 da Subestação SBD</t>
  </si>
  <si>
    <t>0004735/2024</t>
  </si>
  <si>
    <t>32T2-6</t>
  </si>
  <si>
    <t>Substituição de 01 (uma) Seccionadora 69 kV, posição operacional 32A2-8 da Subestação PRD</t>
  </si>
  <si>
    <t>MC 69 kV TT 69/13,8 kV PIRAPAMA II TA2 PE (32A2)</t>
  </si>
  <si>
    <t>0004736/2024</t>
  </si>
  <si>
    <t>32A2-8</t>
  </si>
  <si>
    <t>Substituição de 01 (uma) Seccionadora 69 kV posição operacional 32D1-1 da Subestação PRD</t>
  </si>
  <si>
    <t>IB 69 kV MG 230 kV PIRAPAMA II MG1 PE IB1 (12D1)</t>
  </si>
  <si>
    <t>0004737/2024</t>
  </si>
  <si>
    <t>Substituição de 01 (uma) Seccionadora 69 kV posição operacional 32D1-2 da Subestação PRD</t>
  </si>
  <si>
    <t>0004738/2024</t>
  </si>
  <si>
    <t>Substituição de 01 (uma) Seccionadora 69 kV, posição operacional 32H1-4 da Subestação PRD</t>
  </si>
  <si>
    <t>MC 69 kV BC 69 kV 20,3 Mvar PIRAPAMA II BC1 PE (02H1)</t>
  </si>
  <si>
    <t>0004739/2024</t>
  </si>
  <si>
    <t>Substituição de 01 (uma) Seccionadora 69 kV, posição operacional 32H1-7 da Subestação PRD</t>
  </si>
  <si>
    <t>0004740/2024</t>
  </si>
  <si>
    <t>Substituição de 01 (uma) Seccionadora 69 kV, posição operacional 32T2-5 da Subestação PRD</t>
  </si>
  <si>
    <t>0004742/2024</t>
  </si>
  <si>
    <t>Substituição de 01 (uma) Seccionadora 69 kV, posição operacional 32T2-6 da Subestação PRD</t>
  </si>
  <si>
    <t>0004743/2024</t>
  </si>
  <si>
    <t>Substituição de 01 (uma) Seccionadora 69 kV, posição operacional 32T3-4 da Subestação PRD</t>
  </si>
  <si>
    <t>0004744/2024</t>
  </si>
  <si>
    <t>Substituição de 01 (uma) Seccionadora 69 kV, posição operacional 32T3-5 da Subestação PRD</t>
  </si>
  <si>
    <t>0004745/2024</t>
  </si>
  <si>
    <t>Substituição de 01 (uma) Seccionadora 69 kV, posição operacional 32T3-6 da Subestação PRD</t>
  </si>
  <si>
    <t>0004746/2024</t>
  </si>
  <si>
    <t>Substituição de 01 (uma) Seccionadora 230 kV posição operacional 34D1-2 da Subestação PRD</t>
  </si>
  <si>
    <t>0004747/2024</t>
  </si>
  <si>
    <t>Substituição do disjuntor de 230 KV - SMDJ6-08 - 06CY.</t>
  </si>
  <si>
    <t>0004749/2024</t>
  </si>
  <si>
    <t>SMDJ608</t>
  </si>
  <si>
    <t>Substituição de 01 (uma) Seccionadora 230 kV, posição operacional 34T2-5 da Subestação PRD</t>
  </si>
  <si>
    <t>0004748/2024</t>
  </si>
  <si>
    <t>34T2-5</t>
  </si>
  <si>
    <t>Substituição de 01 (uma) Seccionadora 230 kV posição operacional 34M1-4 da Subestação RIB</t>
  </si>
  <si>
    <t>0004750/2024</t>
  </si>
  <si>
    <t>34M1-4</t>
  </si>
  <si>
    <t>Substituição do Disjuntor de 500KV - MCDJ7-13 - VÃO C.</t>
  </si>
  <si>
    <t>RTB 500 kV 136 MVAr MIRACEMA RT3 TO</t>
  </si>
  <si>
    <t>0004751/2024</t>
  </si>
  <si>
    <t>MCDJ713</t>
  </si>
  <si>
    <t>Substituição de 01 (uma) Seccionadora com lâmina de terra 230kV, posição operacional 34M1-5/7 da Subestação RIB</t>
  </si>
  <si>
    <t>0004752/2024</t>
  </si>
  <si>
    <t>34M1-5</t>
  </si>
  <si>
    <t>Substituição de 01 (uma) Seccionadora 230 kV posição operacional 34M1-6 da Subestação RIB</t>
  </si>
  <si>
    <t>0004753/2024</t>
  </si>
  <si>
    <t>Substituição do disjuntor de 230 KV - VCDJ6-30 - C2.</t>
  </si>
  <si>
    <t>TR 230/69 kV UTINGA TF2 PA</t>
  </si>
  <si>
    <t>0004754/2024</t>
  </si>
  <si>
    <t>VCDJ630</t>
  </si>
  <si>
    <t>Substituição de 01 (uma) Seccionadora 69 kV, posição operacional 32H1-4 da Subestação NTD</t>
  </si>
  <si>
    <t>MC 69 kV BC 69 kV 21,3 Mvar NATAL II BC1 RN (12H1)</t>
  </si>
  <si>
    <t>0004755/2024</t>
  </si>
  <si>
    <t>Substituição de 01 (uma) Seccionadora 69 kV, posição operacional 32H1-7 da Subestação NTD</t>
  </si>
  <si>
    <t>0004756/2024</t>
  </si>
  <si>
    <t>Substituição de 01 (uma) Seccionadora 69 kV, posição operacional 32H2-4 da Subestação NTD</t>
  </si>
  <si>
    <t>MC 69 kV BC 69 kV 21,3 Mvar NATAL II BC2 RN (12H2)</t>
  </si>
  <si>
    <t>0004757/2024</t>
  </si>
  <si>
    <t>Substituição do disjuntor de 230 KV - LDDJ6-19 - Da Linha São Luis II - Miranda - LDMRLT6-01 - C1.</t>
  </si>
  <si>
    <t>0004758/2024</t>
  </si>
  <si>
    <t>LDDJ619</t>
  </si>
  <si>
    <t>Substituição de 01 (uma) Seccionadora 69 kV, posição operacional 32H2-7 da Subestação NTD</t>
  </si>
  <si>
    <t>0004759/2024</t>
  </si>
  <si>
    <t>Substituição de 01 (uma) Seccionadora 69 kV, posição operacional 32H3-4 da Subestação NTD</t>
  </si>
  <si>
    <t>MC 69 kV BC 69 kV 21,3 Mvar NATAL II BC3 RN (12H3)</t>
  </si>
  <si>
    <t>0004760/2024</t>
  </si>
  <si>
    <t>32H3-4</t>
  </si>
  <si>
    <t>Substituição do disjuntor de 230 KV - SMDB6-01.</t>
  </si>
  <si>
    <t>0004761/2024</t>
  </si>
  <si>
    <t>SMDB601</t>
  </si>
  <si>
    <t>Substituição de 01 (uma) Seccionadora 69 kV, posição operacional 32H3-7 da Subestação NTD</t>
  </si>
  <si>
    <t>0004762/2024</t>
  </si>
  <si>
    <t>32H3-7</t>
  </si>
  <si>
    <t>Substituição de 01 (uma) Seccionadora 69 kV, posição operacional 32D1-1 da Subestação ITB</t>
  </si>
  <si>
    <t>IB 69 kV MG 230 kV ITABAIANA MG1 SE IB1 (12D1)</t>
  </si>
  <si>
    <t>0004763/2024</t>
  </si>
  <si>
    <t>Substituição de 01 (uma) Seccionadora 69 kV, posição operacional 32D1-2 da Subestação ITB</t>
  </si>
  <si>
    <t>0004764/2024</t>
  </si>
  <si>
    <t>Substituição do disjuntor de 230 KV - SMDJ6-09.</t>
  </si>
  <si>
    <t>0004766/2024</t>
  </si>
  <si>
    <t>SMDJ609</t>
  </si>
  <si>
    <t>Substituição de 01 (uma) Seccionadora 69 kV, posição operacional 32T2-6 da Subestação ITB</t>
  </si>
  <si>
    <t>TR 230/69 kV ITABAIANA TR2 SE</t>
  </si>
  <si>
    <t>0004767/2024</t>
  </si>
  <si>
    <t>Substituição do disjuntor de 230 KV - SMDJ6-10.</t>
  </si>
  <si>
    <t>0004769/2024</t>
  </si>
  <si>
    <t>SMDJ610</t>
  </si>
  <si>
    <t>Substituição de 01 (uma) Seccionadora 69 kV, posição operacional 32D1-1 da subestação JDM</t>
  </si>
  <si>
    <t>IB 69 kV MG 500 kV JARDIM MG1 SE IB1 (12D1)</t>
  </si>
  <si>
    <t>0004770/2024</t>
  </si>
  <si>
    <t>Substituição de 01 (uma) Seccionadora 69 kV, posição operacional 32D1-2 da subestação JDM</t>
  </si>
  <si>
    <t>0004772/2024</t>
  </si>
  <si>
    <t>Substituição do Disjuntor de 230 KV - LDDJ6-05.</t>
  </si>
  <si>
    <t>0004773/2024</t>
  </si>
  <si>
    <t>LDDJ605</t>
  </si>
  <si>
    <t>Substituição de 01 (uma) Seccionadora 230 kV, posição operacional 34D1-1 da subestação JDM</t>
  </si>
  <si>
    <t>0004774/2024</t>
  </si>
  <si>
    <t>Substituição de 01 (uma) Seccionadora 230 kV, posição operacional 34D1-2 da subestação JDM</t>
  </si>
  <si>
    <t>0004775/2024</t>
  </si>
  <si>
    <t>Substituição do Disjuntor de 230 KV - LDDJ6-06.</t>
  </si>
  <si>
    <t>0004776/2024</t>
  </si>
  <si>
    <t>LDDJ606</t>
  </si>
  <si>
    <t>Substituição de 01 (uma) Seccionadora 69 kV, posição operacional 32A2-8 da subestação JDM</t>
  </si>
  <si>
    <t>MC 69 kV TT 69/13,8 kV JARDIM TA2 SE (32A2)</t>
  </si>
  <si>
    <t>0004777/2024</t>
  </si>
  <si>
    <t>Substituição do Disjuntor de 230 KV - LDDJ6-10.</t>
  </si>
  <si>
    <t>0004778/2024</t>
  </si>
  <si>
    <t>LDDJ610</t>
  </si>
  <si>
    <t>Substituição do Disjuntor de 230KV - LDDJ6-15.</t>
  </si>
  <si>
    <t>0004779/2024</t>
  </si>
  <si>
    <t>LDDJ615</t>
  </si>
  <si>
    <t>Substituição de 01 (uma) Seccionadora 69 kV, posição operacional 32T1-4 da subestação JDM</t>
  </si>
  <si>
    <t>0009019/2024</t>
  </si>
  <si>
    <t>Substituição do Disjuntor de 500KV - LDDJ7-07.</t>
  </si>
  <si>
    <t>0005513/2024</t>
  </si>
  <si>
    <t>LDDJ707</t>
  </si>
  <si>
    <t>Substituição de 01 (uma) Seccionadora 69 kV, posição operacional 32T1-5 da subestação JDM</t>
  </si>
  <si>
    <t>0004783/2024</t>
  </si>
  <si>
    <t>Substituição de 01 (uma) Seccionadora 69 kV, posição operacional 32T1-6 da subestação JDM</t>
  </si>
  <si>
    <t>0004785/2024</t>
  </si>
  <si>
    <t>Substituição de 01 (uma) Seccionadora 69 kV, posição operacional 32T2-4 da subestação JDM</t>
  </si>
  <si>
    <t>TR 230/69 kV JARDIM TR2 SE</t>
  </si>
  <si>
    <t>0004786/2024</t>
  </si>
  <si>
    <t>Substituição de 01 (uma) Seccionadora 69 kV, posição operacional 32T2-5 da subestação JDM</t>
  </si>
  <si>
    <t>0004787/2024</t>
  </si>
  <si>
    <t>Substituição de 01 (uma) Seccionadora 69 kV, posição operacional 32T2-6 da subestação JDM</t>
  </si>
  <si>
    <t>0004789/2024</t>
  </si>
  <si>
    <t>Substituição do Disjuntor de 500KV - VCDJ7-09.</t>
  </si>
  <si>
    <t>TR 500/230 kV VILA DO CONDE TR3 PA</t>
  </si>
  <si>
    <t>0004790/2024</t>
  </si>
  <si>
    <t>VCDJ709</t>
  </si>
  <si>
    <t>Substituição do Disjuntor de 500KV -VCDJ7-08.</t>
  </si>
  <si>
    <t>0004792/2024</t>
  </si>
  <si>
    <t>VCDJ708</t>
  </si>
  <si>
    <t>Substituição de 01 (uma) Seccionadora 69 kV, posição operacional 32V2-4 da subestação JDM</t>
  </si>
  <si>
    <t>EL 69 kV JARDIM TAICOCA (12V2)</t>
  </si>
  <si>
    <t>0004793/2024</t>
  </si>
  <si>
    <t>32V2-4</t>
  </si>
  <si>
    <t>Substituição de 01 (uma) Seccionadora 69 kV, posição operacional 32V2-5 da subestação JDM</t>
  </si>
  <si>
    <t>0004795/2024</t>
  </si>
  <si>
    <t>32V2-5</t>
  </si>
  <si>
    <t>Substituição do disjuntor de 230 KV - ANDJ6-02.</t>
  </si>
  <si>
    <t>LT 230 kV ABUNA /PORTO VELHO C-1 RO</t>
  </si>
  <si>
    <t>0004796/2024</t>
  </si>
  <si>
    <t>ANDJ602</t>
  </si>
  <si>
    <t>Substituição de 01 (uma) Seccionadora com lâmina de terra 69 kV, posição operacional 32V2-6/7 da subestação JDM</t>
  </si>
  <si>
    <t>0004798/2024</t>
  </si>
  <si>
    <t>32V2-6</t>
  </si>
  <si>
    <t>Substituição do disjuntor de 230 KV - ANDJ6-03.</t>
  </si>
  <si>
    <t>0004799/2024</t>
  </si>
  <si>
    <t>ANDJ603</t>
  </si>
  <si>
    <t>Substituição do disjuntor de 230 KV - ANDJ6-09.</t>
  </si>
  <si>
    <t>TR 230/138 kV ABUNA TR1 RO</t>
  </si>
  <si>
    <t>0004801/2024</t>
  </si>
  <si>
    <t>ANDJ609</t>
  </si>
  <si>
    <t>Substituição de 01 (uma) Seccionadora 230 kV, posição operacional 34C2-1 da subestação JDM</t>
  </si>
  <si>
    <t>0004803/2024</t>
  </si>
  <si>
    <t>Substituição do Disjuntor de 69KV - AQDJ4-01.</t>
  </si>
  <si>
    <t>TR 230/69 kV ARIQUEMES TR1 RO</t>
  </si>
  <si>
    <t>0005527/2024</t>
  </si>
  <si>
    <t>AQDJ401</t>
  </si>
  <si>
    <t>Substituição de 01 (uma) Seccionadora 230 kV, posição operacional 34C2-2 da subestação JDM</t>
  </si>
  <si>
    <t>0004804/2024</t>
  </si>
  <si>
    <t>Substituição do Disjuntor de 69KV - AQDJ4-04.</t>
  </si>
  <si>
    <t>TR 230/69 kV ARIQUEMES TR2 RO</t>
  </si>
  <si>
    <t>0005530/2024</t>
  </si>
  <si>
    <t>AQDJ404</t>
  </si>
  <si>
    <t>Substituição de 01 (uma) Seccionadora 230 kV, posição operacional 34C2-4 da subestação JDM</t>
  </si>
  <si>
    <t>0004805/2024</t>
  </si>
  <si>
    <t>Substituição de 01 (uma) Seccionadora 230 kV, posição operacional 34C2-5 da subestação JDM</t>
  </si>
  <si>
    <t>0004806/2024</t>
  </si>
  <si>
    <t>Substituição de 01 (uma) Seccionadora com lâmina de terra 230 kV, posição operacional 34C2-6/7 da subestação JDM</t>
  </si>
  <si>
    <t>0004807/2024</t>
  </si>
  <si>
    <t>Substituição de 01 (uma) Seccionadora 230 kV, posição operacional 34T1-1 da subestação JDM</t>
  </si>
  <si>
    <t>0004808/2024</t>
  </si>
  <si>
    <t>Substituição de 01 (uma) Seccionadora 230 kV, posição operacional 34T1-2 da subestação JDM</t>
  </si>
  <si>
    <t>0004809/2024</t>
  </si>
  <si>
    <t>Substituição de 01 (uma) Seccionadora 230 kV, posição operacional 34T1-4 da subestação JDM</t>
  </si>
  <si>
    <t>0004810/2024</t>
  </si>
  <si>
    <t>Substituição de 01 (uma) Seccionadora 230 kV, posição operacional 34T1-5 da subestação JDM</t>
  </si>
  <si>
    <t>0004811/2024</t>
  </si>
  <si>
    <t>Substituição de 01 (uma) Seccionadora 230 kV, posição operacional 34T1-6 da subestação JDM</t>
  </si>
  <si>
    <t>0004812/2024</t>
  </si>
  <si>
    <t>Substituição de 01 (uma) Seccionadora 230 kV, posição operacional 34T2-1 da subestação JDM</t>
  </si>
  <si>
    <t>0004813/2024</t>
  </si>
  <si>
    <t>34T2-1</t>
  </si>
  <si>
    <t>Substituição de 01 (uma) Seccionadora 230 kV, posição operacional 34T2-2 da subestação JDM</t>
  </si>
  <si>
    <t>0004814/2024</t>
  </si>
  <si>
    <t>34T2-2</t>
  </si>
  <si>
    <t>Substituição do Disjuntor de 69KV - JRDJ4-04.</t>
  </si>
  <si>
    <t>TR 230/69 kV JARU 2 RO</t>
  </si>
  <si>
    <t>0005532/2024</t>
  </si>
  <si>
    <t>JRDJ404</t>
  </si>
  <si>
    <t>Substituição de 01 (uma) Seccionadora 230 kV, posição operacional 34T2-4 da subestação JDM</t>
  </si>
  <si>
    <t>0004815/2024</t>
  </si>
  <si>
    <t>34T2-4</t>
  </si>
  <si>
    <t>Substituição de 01 (uma) Seccionadora 230 kV, posição operacional 34T2-5 da subestação JDM</t>
  </si>
  <si>
    <t>0004816/2024</t>
  </si>
  <si>
    <t>Substituição do Disjuntor de 69KV - MMDB4-01.</t>
  </si>
  <si>
    <t>0004817/2024</t>
  </si>
  <si>
    <t>MMDB401</t>
  </si>
  <si>
    <t>Substituição de 01 (uma) Seccionadora 230 kV, posição operacional 34T2-6 da subestação JDM</t>
  </si>
  <si>
    <t>0004818/2024</t>
  </si>
  <si>
    <t>34T2-6</t>
  </si>
  <si>
    <t>Substituição de 01 (uma) Seccionadora 69 kV, posição operacional 32D1-2 da Subestação NTD</t>
  </si>
  <si>
    <t>IB 69 kV MG 230 kV NATAL II MG1 RN IB1 (12D1)</t>
  </si>
  <si>
    <t>0004819/2024</t>
  </si>
  <si>
    <t>Substituição do Disjuntor de 69KV - MMDJ4-04.</t>
  </si>
  <si>
    <t>0004820/2024</t>
  </si>
  <si>
    <t>MMDJ404</t>
  </si>
  <si>
    <t>Substituição de 01 (uma) chave seccionadora de 69 kV, posição operacional 32H1-4, da subestação de BGI.</t>
  </si>
  <si>
    <t>MC 69 kV BC 69 kV 20,3 Mvar BONGI BC1 PE (02H1)</t>
  </si>
  <si>
    <t>0004821/2024</t>
  </si>
  <si>
    <t>Substituição do Disjuntor de 69KV - MMDJ4-07.</t>
  </si>
  <si>
    <t>0004822/2024</t>
  </si>
  <si>
    <t>MMDJ407</t>
  </si>
  <si>
    <t>Substituição de 01 (uma) chave seccionadora de 69 kV, posição operacional 32H1-7, da subestação de BGI.</t>
  </si>
  <si>
    <t>0004823/2024</t>
  </si>
  <si>
    <t>Substituição do disjuntor de 230 KV - NMDJ6-01.</t>
  </si>
  <si>
    <t>0004824/2024</t>
  </si>
  <si>
    <t>NMDJ601</t>
  </si>
  <si>
    <t>Substituição do Disjuntor de 69KV - PDDJ4-04.</t>
  </si>
  <si>
    <t>0004825/2024</t>
  </si>
  <si>
    <t>PDDJ404</t>
  </si>
  <si>
    <t>Substituição do Disjuntor de 500KV - PDDJ7-05.</t>
  </si>
  <si>
    <t>0004827/2024</t>
  </si>
  <si>
    <t>PDDJ705</t>
  </si>
  <si>
    <t>Substituição do Disjuntor de 500KV - PDDJ7-14.</t>
  </si>
  <si>
    <t>0004829/2024</t>
  </si>
  <si>
    <t>PDDJ714</t>
  </si>
  <si>
    <t>Substituição do Disjuntor de 69KV - RBDJ4-01.</t>
  </si>
  <si>
    <t>TR 230/69 kV RIO BRANCO 1 TR3 AC</t>
  </si>
  <si>
    <t>0004832/2024</t>
  </si>
  <si>
    <t>RBDJ401</t>
  </si>
  <si>
    <t>Substituição de 01 (uma) chave seccionadora de 230 kV, posição operacional 34T6-6, da subestação de BGI.</t>
  </si>
  <si>
    <t>TR 230/13,8 kV BONGI TR6 PE</t>
  </si>
  <si>
    <t>0004834/2024</t>
  </si>
  <si>
    <t>34T6-6</t>
  </si>
  <si>
    <t>Substituição de 01 (uma) chave seccionadora de 230 kV, posição operacional 34C1-4, da subestação de BGI.</t>
  </si>
  <si>
    <t>EL 230 kV BONGI LT 230 kV BONGI /ACONORTE C-1 PE (14C1)</t>
  </si>
  <si>
    <t>0004836/2024</t>
  </si>
  <si>
    <t>Substituição do Disjuntor de 69KV - TJDJ4-01.</t>
  </si>
  <si>
    <t>TR 230 / 69 kV TAPE DE JIRAU TF1 RO</t>
  </si>
  <si>
    <t>0006255/2024</t>
  </si>
  <si>
    <t>TJDJ401</t>
  </si>
  <si>
    <t>Substituição de 01 (uma) chave seccionadora de 230 kV, posição operacional 34C1-5, da subestação de BGI.</t>
  </si>
  <si>
    <t>0004837/2024</t>
  </si>
  <si>
    <t>Substituição de 01 (uma) chave seccionadora de 230 kV, posição operacional 34T6-4, da subestação de BGI.</t>
  </si>
  <si>
    <t>0004839/2024</t>
  </si>
  <si>
    <t>34T6-4</t>
  </si>
  <si>
    <t>Substituição de 01 (uma) chave seccionadora de 230 kV, posição operacional 34T7-5, da subestação de BGI.</t>
  </si>
  <si>
    <t>TR 230/13,8 kV BONGI TR7 PE</t>
  </si>
  <si>
    <t>0004840/2024</t>
  </si>
  <si>
    <t>34T7-5</t>
  </si>
  <si>
    <t>Substituição de 01 (uma) chave seccionadora de 230 kV, posição operacional 34T7-4, da subestação de BGI.</t>
  </si>
  <si>
    <t>0004841/2024</t>
  </si>
  <si>
    <t>34T7-4</t>
  </si>
  <si>
    <t>Substituição do disjuntor de 230 KV - RUDJ6-01.</t>
  </si>
  <si>
    <t>0004842/2024</t>
  </si>
  <si>
    <t>RUDJ601</t>
  </si>
  <si>
    <t>Substituição de 01 (uma) chave seccionadora de 230 kV, posição operacional 34T7-6, da subestação de BGI.</t>
  </si>
  <si>
    <t>0004843/2024</t>
  </si>
  <si>
    <t>34T7-6</t>
  </si>
  <si>
    <t>Substituição de 01 (uma) chave seccionadora de 230 kV, posição operacional 34V6-4, da subestação de BGI.</t>
  </si>
  <si>
    <t>0004844/2024</t>
  </si>
  <si>
    <t>34V6-4</t>
  </si>
  <si>
    <t>Substituição de 01 (uma) chave seccionadora de 230 kV, posição operacional 34V4-5, da subestação de BGI.</t>
  </si>
  <si>
    <t>0004845/2024</t>
  </si>
  <si>
    <t>34V4-5</t>
  </si>
  <si>
    <t>Substituição do disjuntor de 230 KV - RUDJ6-03.</t>
  </si>
  <si>
    <t>0004847/2024</t>
  </si>
  <si>
    <t>RUDJ603</t>
  </si>
  <si>
    <t>Substituição de 01 (uma) chave seccionadora de 230 kV, posição operacional 34V5-5, da subestação de BGI.</t>
  </si>
  <si>
    <t>0004848/2024</t>
  </si>
  <si>
    <t>34V5-5</t>
  </si>
  <si>
    <t>Substituição de 01 (uma) chave seccionadora de 230 kV, posição operacional 34V4-4, da subestação de BGI.</t>
  </si>
  <si>
    <t>0004849/2024</t>
  </si>
  <si>
    <t>34V4-4</t>
  </si>
  <si>
    <t>Substituição de 01 (uma) chave seccionadora de 230 kV, posição operacional 34V5-4, da subestação de BGI.</t>
  </si>
  <si>
    <t>0004851/2024</t>
  </si>
  <si>
    <t>34V5-4</t>
  </si>
  <si>
    <t>Substituição de 01 (uma) chave seccionadora com lâmina de terra de 230 kV, posição operacional 34C1-6, da subestação de BGI.</t>
  </si>
  <si>
    <t>0004852/2024</t>
  </si>
  <si>
    <t>Substituição de 01 (uma) chave seccionadora de 230 kV, posição operacional 34D1-1, da subestação de BEA.</t>
  </si>
  <si>
    <t>MG B. ESPERANCA / CCO-2001-061 - RB</t>
  </si>
  <si>
    <t>0004853/2024</t>
  </si>
  <si>
    <t>Substituição de 01 (uma) chave seccionadora de 230 kV, posição operacional 34D1-2, da subestação de BEA.</t>
  </si>
  <si>
    <t>0004854/2024</t>
  </si>
  <si>
    <t>Substituição de 01 (uma) chave seccionadora de 230 kV, posição operacional 34L1-1, da subestação de BEA.</t>
  </si>
  <si>
    <t>LT 230 kV B. ESPERANCA /TERESINA C-1 PI</t>
  </si>
  <si>
    <t>0004855/2024</t>
  </si>
  <si>
    <t>34L1-1</t>
  </si>
  <si>
    <t>Substituição de 01 (uma) chave seccionadora de 230 kV, posição operacional 34L1-2, da subestação de BEA.</t>
  </si>
  <si>
    <t>0004856/2024</t>
  </si>
  <si>
    <t>34L1-2</t>
  </si>
  <si>
    <t>Substituição de 01 (uma) chave seccionadora de 230 kV, posição operacional 34L1-4, da subestação de BEA.</t>
  </si>
  <si>
    <t>0004858/2024</t>
  </si>
  <si>
    <t>34L1-4</t>
  </si>
  <si>
    <t>Substituição de 01 (uma) chave seccionadora com lâmina de terra de 230 kV, posição operacional 34L1-5/7, da subestação de BEA.</t>
  </si>
  <si>
    <t>0004860/2024</t>
  </si>
  <si>
    <t>34L1-5</t>
  </si>
  <si>
    <t>Substituição do disjuntor de 230 KV - RUDJ6-05.</t>
  </si>
  <si>
    <t>0004861/2024</t>
  </si>
  <si>
    <t>RUDJ605</t>
  </si>
  <si>
    <t>Substituição de 01 (uma) chave seccionadora de 230 kV, posição operacional 34L1-6, da subestação de BEA.</t>
  </si>
  <si>
    <t>0004862/2024</t>
  </si>
  <si>
    <t>34L1-6</t>
  </si>
  <si>
    <t>Substituição de 01 (uma) chave seccionadora de 230 kV, posição operacional 34L1-7, da subestação de BEA.</t>
  </si>
  <si>
    <t>0004864/2024</t>
  </si>
  <si>
    <t>34L1-7</t>
  </si>
  <si>
    <t>Substituição do disjuntor de 230 KV - SPDJ6-04.</t>
  </si>
  <si>
    <t>TR 230/138 kV SINOP TR1 MT</t>
  </si>
  <si>
    <t>0004865/2024</t>
  </si>
  <si>
    <t>SPDJ604</t>
  </si>
  <si>
    <t>Substituição de 01 (uma) chave seccionadora de 230 kV, posição operacional 34L2-1, da subestação de BEA.</t>
  </si>
  <si>
    <t>LT 230 kV B. ESPERANCA /TERESINA C-2 PI</t>
  </si>
  <si>
    <t>0004867/2024</t>
  </si>
  <si>
    <t>34L2-1</t>
  </si>
  <si>
    <t>Substituição de 01 (uma) chave seccionadora de 230 kV, posição operacional 34L2-2, da subestação de BEA.</t>
  </si>
  <si>
    <t>0004868/2024</t>
  </si>
  <si>
    <t>34L2-2</t>
  </si>
  <si>
    <t>Substituição de 01 (uma) chave seccionadora de 230 kV, posição operacional 34L2-4, da subestação de BEA.</t>
  </si>
  <si>
    <t>0004870/2024</t>
  </si>
  <si>
    <t>34L2-4</t>
  </si>
  <si>
    <t>Substituição do disjuntor de 230 KV - SSDJ6-03.</t>
  </si>
  <si>
    <t>0005544/2024</t>
  </si>
  <si>
    <t>SSDJ603</t>
  </si>
  <si>
    <t>Substituição de 01 (uma) chave seccionadora com lâmina de terra de 230 kV, posição operacional 34L2-5/7, da subestação de BEA.</t>
  </si>
  <si>
    <t>0004871/2024</t>
  </si>
  <si>
    <t>34L2-5</t>
  </si>
  <si>
    <t>Substituição de 01 (uma) chave seccionadora de 230 kV, posição operacional 34L2-6, da subestação de BEA.</t>
  </si>
  <si>
    <t>0004872/2024</t>
  </si>
  <si>
    <t>34L2-6</t>
  </si>
  <si>
    <t>Substituição de 01 (uma) chave seccionadora de 230 kV, posição operacional 34L2-7, da subestação de BEA.</t>
  </si>
  <si>
    <t>0004873/2024</t>
  </si>
  <si>
    <t>34L2-7</t>
  </si>
  <si>
    <t>Substituição do disjuntor de 230 KV - TMDJ6-02.</t>
  </si>
  <si>
    <t>0004874/2024</t>
  </si>
  <si>
    <t>TMDJ602</t>
  </si>
  <si>
    <t>Substituição de 01 (uma) chave seccionadora de 230 kV, posição operacional 34T1-1A, da subestação de BEA.</t>
  </si>
  <si>
    <t>0004875/2024</t>
  </si>
  <si>
    <t>Substituição de 01 (uma) chave seccionadora de 230 kV, posição operacional 34T1-1B, da subestação de BEA.</t>
  </si>
  <si>
    <t>0004876/2024</t>
  </si>
  <si>
    <t>Substituição de 01 (uma) chave seccionadora de 230 kV, posição operacional 34T1-2A, da subestação de BEA.</t>
  </si>
  <si>
    <t>0004877/2024</t>
  </si>
  <si>
    <t>Substituição de 01 (uma) chave seccionadora de 230 kV, posição operacional 34T1-2B, da subestação de BEA.</t>
  </si>
  <si>
    <t>0004878/2024</t>
  </si>
  <si>
    <t>Substituição do Disjuntor de 69KV - TCDJ403.</t>
  </si>
  <si>
    <t>TR 69/13,8 kV TUCURUI TF1 PA</t>
  </si>
  <si>
    <t>0006263/2024</t>
  </si>
  <si>
    <t>TCDJ403</t>
  </si>
  <si>
    <t>Substituição de 01 (uma) chave seccionadora de 230 kV, posição operacional 34T1-5A, da subestação de BEA.</t>
  </si>
  <si>
    <t>0004879/2024</t>
  </si>
  <si>
    <t>Substituição de 01 (uma) chave seccionadora de 230 kV, posição operacional 34T1-5B, da subestação de BEA.</t>
  </si>
  <si>
    <t>0004880/2024</t>
  </si>
  <si>
    <t>Substituição de 01 (uma) chave seccionadora de 230 kV, posição operacional 34V1-1, da subestação de BEA.</t>
  </si>
  <si>
    <t>LT 230 kV UB.ESPERANCA /B. ESPERANCA C-1 PI</t>
  </si>
  <si>
    <t>0004881/2024</t>
  </si>
  <si>
    <t>34V1-1</t>
  </si>
  <si>
    <t>Substituição de 01 (uma) chave seccionadora de 230 kV, posição operacional 34V1-2, da subestação de BEA.</t>
  </si>
  <si>
    <t>0004882/2024</t>
  </si>
  <si>
    <t>34V1-2</t>
  </si>
  <si>
    <t>Substituição de 01 (uma) chave seccionadora de 230 kV, posição operacional 34V1-4, da subestação de BEA.</t>
  </si>
  <si>
    <t>0004883/2024</t>
  </si>
  <si>
    <t>34V1-4</t>
  </si>
  <si>
    <t>Substituição de 01 (uma) chave seccionadora com lâmina de terra de 230 kV, posição operacional 34V1-5/7, da subestação de BEA.</t>
  </si>
  <si>
    <t>0004884/2024</t>
  </si>
  <si>
    <t>34V1-5</t>
  </si>
  <si>
    <t>Substituição do Disjuntor de 69KV - TCDJ4-05.</t>
  </si>
  <si>
    <t>TR 69/13,8 kV TUCURUI TF2 PA</t>
  </si>
  <si>
    <t>0006266/2024</t>
  </si>
  <si>
    <t>TCDJ405</t>
  </si>
  <si>
    <t>Substituição de 01 (uma) chave seccionadora de 230 kV, posição operacional 34V1-6, da subestação de BEA.</t>
  </si>
  <si>
    <t>0004885/2024</t>
  </si>
  <si>
    <t>34V1-6</t>
  </si>
  <si>
    <t>Substituição de 01 (uma) chave seccionadora de 230 kV, posição operacional 34V1-7, da subestação de BEA.</t>
  </si>
  <si>
    <t>0004886/2024</t>
  </si>
  <si>
    <t>34V1-7</t>
  </si>
  <si>
    <t>Substituição do Disjuntor de 69KV - TCDJ4-06.</t>
  </si>
  <si>
    <t>0004887/2024</t>
  </si>
  <si>
    <t>TCDJ406</t>
  </si>
  <si>
    <t>Substituição do disjuntor de 230 KV - PVDJ6-02.</t>
  </si>
  <si>
    <t>0004888/2024</t>
  </si>
  <si>
    <t>PVDJ602</t>
  </si>
  <si>
    <t>Substituição do disjuntor de 230 KV - PVDJ6-07.</t>
  </si>
  <si>
    <t>TR 230/69 kV PORTO VELHO TR2 RO</t>
  </si>
  <si>
    <t>0004889/2024</t>
  </si>
  <si>
    <t>PVDJ607</t>
  </si>
  <si>
    <t>Substituição do disjuntor de 230 KV - PVDJ6-03.</t>
  </si>
  <si>
    <t>0004890/2024</t>
  </si>
  <si>
    <t>PVDJ603</t>
  </si>
  <si>
    <t>Substituição de 01 (uma) Seccionadora 69 KV posição operacional 32T1-4 da Subestação BNB</t>
  </si>
  <si>
    <t>0004891/2024</t>
  </si>
  <si>
    <t>Substituição do disjuntor de 230 KV - PVDJ6-05.</t>
  </si>
  <si>
    <t>TR 230/69 kV PORTO VELHO TR1 RO</t>
  </si>
  <si>
    <t>0004892/2024</t>
  </si>
  <si>
    <t>PVDJ605</t>
  </si>
  <si>
    <t>Substituição de 01 (uma) Seccionadora 69 KV posição operacional 32T1-5 da Subestação BNB</t>
  </si>
  <si>
    <t>0004893/2024</t>
  </si>
  <si>
    <t>Substituição de 01 (uma) Seccionadora 69 KV posição operacional 32T1-6 da Subestação BNB</t>
  </si>
  <si>
    <t>0004894/2024</t>
  </si>
  <si>
    <t>Substituição do Disjuntor de 69KV - ATDB4-01.</t>
  </si>
  <si>
    <t>0004895/2024</t>
  </si>
  <si>
    <t>ATDB401</t>
  </si>
  <si>
    <t>Substituição de 01 (uma) Seccionadora 69 KV posição operacional 32W1-4 da Subestação BNB</t>
  </si>
  <si>
    <t>0004896/2024</t>
  </si>
  <si>
    <t>32W1-4</t>
  </si>
  <si>
    <t>Substituição de 01 (uma) Seccionadora 69 KV posição operacional 32W1-5 da Subestação BNB</t>
  </si>
  <si>
    <t>0004897/2024</t>
  </si>
  <si>
    <t>32W1-5</t>
  </si>
  <si>
    <t>Substituição de 01 (uma) Seccionadora 69 KV posição operacional 32W1-6 da Subestação BNB</t>
  </si>
  <si>
    <t>0004898/2024</t>
  </si>
  <si>
    <t>32W1-6</t>
  </si>
  <si>
    <t>Substituição do Disjuntor de 69KV - ATDJ4-01.</t>
  </si>
  <si>
    <t>0004899/2024</t>
  </si>
  <si>
    <t>ATDJ401</t>
  </si>
  <si>
    <t>Substituição de 01 (uma) Seccionadora 230 KV posição operacional 34C1-4 da Subestação BNB</t>
  </si>
  <si>
    <t>0004900/2024</t>
  </si>
  <si>
    <t>Substituição do Disjuntor de 69KV - ATDJ4-04.</t>
  </si>
  <si>
    <t>0004901/2024</t>
  </si>
  <si>
    <t>ATDJ404</t>
  </si>
  <si>
    <t>Substituição de 01 (uma) Seccionadora 230 KV posição operacional 34C1-5 da Subestação BNB</t>
  </si>
  <si>
    <t>0004902/2024</t>
  </si>
  <si>
    <t>Substituição de 01 (uma) Seccionadora com lâmina de terra 230 kV, posição operacional 34C1-6/7 da Subestação BNB</t>
  </si>
  <si>
    <t>0004903/2024</t>
  </si>
  <si>
    <t>Substituição do disjuntor de 230 KV - ATDJ6-01.</t>
  </si>
  <si>
    <t>0004904/2024</t>
  </si>
  <si>
    <t>ATDJ601</t>
  </si>
  <si>
    <t>Substituição de 01 (uma) Seccionadora 230 KV posição operacional 34C2-5 da Subestação BNB</t>
  </si>
  <si>
    <t>LT 230 kV BANABUIU /ICO C-1 CE</t>
  </si>
  <si>
    <t>0004905/2024</t>
  </si>
  <si>
    <t>Substituição do disjuntor de 230 KV - ATDJ6-02.</t>
  </si>
  <si>
    <t>0004906/2024</t>
  </si>
  <si>
    <t>ATDJ602</t>
  </si>
  <si>
    <t>Substituição de 01 (uma) Seccionadora com lâmina de terra 230 kV, posição operacional 34C2-6/7 da Subestação BNB</t>
  </si>
  <si>
    <t>0004907/2024</t>
  </si>
  <si>
    <t>Substituição do disjuntor de 230 KV - ATDJ6-07.</t>
  </si>
  <si>
    <t>0004908/2024</t>
  </si>
  <si>
    <t>ATDJ607</t>
  </si>
  <si>
    <t>Substituição de 01 (uma) Seccionadora 230 KV posição operacional 34C8-4 da Subestação BNB</t>
  </si>
  <si>
    <t>LT 230 kV BANABUIU /AQUIRAZ II C-1 CE</t>
  </si>
  <si>
    <t>0004909/2024</t>
  </si>
  <si>
    <t>34C8-4</t>
  </si>
  <si>
    <t>Substituição de 01 (uma) Seccionadora 230 KV posição operacional 34C8-5 da Subestação BNB</t>
  </si>
  <si>
    <t>0004910/2024</t>
  </si>
  <si>
    <t>34C8-5</t>
  </si>
  <si>
    <t>Substituição de 01 (uma) Seccionadora com lâmina de terra 230 kV, posição operacional 34C8-6/7 da Subestação BNB</t>
  </si>
  <si>
    <t>0004911/2024</t>
  </si>
  <si>
    <t>34C8-6</t>
  </si>
  <si>
    <t>Substituição de 01 (uma) Seccionadora 230 KV posição operacional 34M1-4 da Subestação BNB</t>
  </si>
  <si>
    <t>LT 230 kV MILAGRES /BANABUIU C-1 CE</t>
  </si>
  <si>
    <t>0004912/2024</t>
  </si>
  <si>
    <t>Substituição de 01 (uma) Seccionadora 230 KV posição operacional 34M1-5 da Subestação BNB</t>
  </si>
  <si>
    <t>0004913/2024</t>
  </si>
  <si>
    <t>Substituição de 01 (uma) Seccionadora com lâmina de terra 230 kV, posição operacional 34M1-6/7 da Subestação BNB</t>
  </si>
  <si>
    <t>0004914/2024</t>
  </si>
  <si>
    <t>Substituição de 01 (uma) Seccionadora com lâmina de terra 230 kV, posição operacional 34M3-6/7 da Subestação BNB</t>
  </si>
  <si>
    <t>LT 230 kV MILAGRES /BANABUIU C-2 CE</t>
  </si>
  <si>
    <t>0004915/2024</t>
  </si>
  <si>
    <t>34M3-6</t>
  </si>
  <si>
    <t>Substituição de 01 (uma) Seccionadora 230 KV posição operacional 34T1-4 da Subestação BNB</t>
  </si>
  <si>
    <t>0004916/2024</t>
  </si>
  <si>
    <t>Substituição de 01 (uma) Seccionadora 230 KV posição operacional 34T1-6 da Subestação BNB</t>
  </si>
  <si>
    <t>0004917/2024</t>
  </si>
  <si>
    <t>Substituição de 01 (uma) Seccionadora 230 KV posição operacional 34T2-5 da Subestação BNB</t>
  </si>
  <si>
    <t>TR 230/69 kV BANABUIU TR2 CE</t>
  </si>
  <si>
    <t>0004918/2024</t>
  </si>
  <si>
    <t>Substituição de 01 (uma) Seccionadora 230 KV posição operacional 34T2-6 da Subestação BNB</t>
  </si>
  <si>
    <t>0004919/2024</t>
  </si>
  <si>
    <t>Substituição de 01 (uma) Seccionadora 69 KV posição operacional 32H1-7 da Subestação FTZ</t>
  </si>
  <si>
    <t>MC 69 kV BC 69 kV 20,3 Mvar FORTALEZA BC3 CE (12H1)</t>
  </si>
  <si>
    <t>0004920/2024</t>
  </si>
  <si>
    <t>Substituição de 01 (uma) Seccionadora 69 KV posição operacional 32H2-7 da Subestação FTZ</t>
  </si>
  <si>
    <t>MC 69 kV BC 69 kV 20,3 Mvar FORTALEZA BC4 CE (12H2)</t>
  </si>
  <si>
    <t>0004921/2024</t>
  </si>
  <si>
    <t>Substituição de 01 (uma) Seccionadora 69 KV posição operacional 32H3-7 da Subestação FTZ</t>
  </si>
  <si>
    <t>MC 69 kV BC 69 kV 20,3 Mvar FORTALEZA BC5 CE (12H3)</t>
  </si>
  <si>
    <t>0004922/2024</t>
  </si>
  <si>
    <t>Substituição de 01 (uma) Seccionadora 69 KV posição operacional 32H4-7 da Subestação FTZ</t>
  </si>
  <si>
    <t>MC 69 kV BC 69 kV 20,3 Mvar FORTALEZA BC6 CE (12H4)</t>
  </si>
  <si>
    <t>0004923/2024</t>
  </si>
  <si>
    <t>32H4-7</t>
  </si>
  <si>
    <t>Substituição de 01 (uma) Seccionadora 230 KV posição operacional 34E2-8 da Subestação FTZ</t>
  </si>
  <si>
    <t>RTL 230 kV 10 Mvar FORTALEZA RT2 CE</t>
  </si>
  <si>
    <t>0004924/2024</t>
  </si>
  <si>
    <t>34E2-8</t>
  </si>
  <si>
    <t>Substituição de 01 (uma) Seccionadora 69 KV posição operacional 32D1-1 da Subestação MSD</t>
  </si>
  <si>
    <t>IB 69 kV MG 230 kV MOSSORO II MG1 RN IB1 (12D1)</t>
  </si>
  <si>
    <t>0004925/2024</t>
  </si>
  <si>
    <t>Substituição de 01 (uma) Seccionadora 69 KV posição operacional 32D1-2 da Subestação MSD</t>
  </si>
  <si>
    <t>0004926/2024</t>
  </si>
  <si>
    <t>Substituição do Disjuntor de 69KV - PRDJ4-03.</t>
  </si>
  <si>
    <t>0004927/2024</t>
  </si>
  <si>
    <t>PRDJ403</t>
  </si>
  <si>
    <t>Substituição do Disjuntor de 69KV - PRDJ4-05.</t>
  </si>
  <si>
    <t>TR 230/69 kV PERITORO TR3 MA</t>
  </si>
  <si>
    <t>0004928/2024</t>
  </si>
  <si>
    <t>PRDJ405</t>
  </si>
  <si>
    <t>Substituição de 01 (uma) Seccionadora 69 KV posição operacional 32D1-1 da Subestação GNN</t>
  </si>
  <si>
    <t>IB 69 kV MG 230 kV GOIANINHA MG1 PE IB1 (12D1)</t>
  </si>
  <si>
    <t>0004929/2024</t>
  </si>
  <si>
    <t>Substituição de 01 (uma) Seccionadora 69 KV posição operacional 32D1-2 da Subestação GNN</t>
  </si>
  <si>
    <t>0004930/2024</t>
  </si>
  <si>
    <t>Substituição de 01 (uma) Seccionadora 69 KV posição operacional 32H2-7 da Subestação MRR</t>
  </si>
  <si>
    <t>MC 69 kV BC 69 kV 20,3 Mvar MIRUEIRA BC2 PE (02H2)</t>
  </si>
  <si>
    <t>0004931/2024</t>
  </si>
  <si>
    <t>Substituição de 01 (uma) Seccionadora 69 KV posição operacional 32H1-7 da Subestação MRR</t>
  </si>
  <si>
    <t>MC 69 kV BC 69 kV 20,3 Mvar MIRUEIRA BC1 PE (02H1)</t>
  </si>
  <si>
    <t>0004932/2024</t>
  </si>
  <si>
    <t>Substituição do Disjuntor de 230KV - PRDJ6-01.</t>
  </si>
  <si>
    <t>0005516/2024</t>
  </si>
  <si>
    <t>PRDJ601</t>
  </si>
  <si>
    <t>Substituição de 01 (uma) Seccionadora 230 KV posição operacional 34T3-4 da Subestação MRD</t>
  </si>
  <si>
    <t>0004933/2024</t>
  </si>
  <si>
    <t>Substituição de 01 (uma) Seccionadora 230 KV posição operacional 34T3-6 da Subestação MRD</t>
  </si>
  <si>
    <t>0004934/2024</t>
  </si>
  <si>
    <t>Substituição de 01 (uma) Seccionadora 69 KV posição operacional 32T4-6 da Subestação AGL</t>
  </si>
  <si>
    <t>0004935/2024</t>
  </si>
  <si>
    <t>Substituição de 01 (uma) Seccionadora 69 kV, posição 32T2-5 da subestação IRE</t>
  </si>
  <si>
    <t>TR 230/69 kV IRECE TR2 BA</t>
  </si>
  <si>
    <t>0004936/2024</t>
  </si>
  <si>
    <t>Substituição de 01 (uma) Seccionadora 69 kV, posição 32T2-4 da subestação PTU</t>
  </si>
  <si>
    <t>0004937/2024</t>
  </si>
  <si>
    <t>Substituição de 01 (uma) Seccionadora 69 kV, posição 32T2-5 da subestação PTU</t>
  </si>
  <si>
    <t>0004938/2024</t>
  </si>
  <si>
    <t>Substituição de 01 (uma) Seccionadora 69 kV, posição operacional 32J1-4 da Subestação SJI</t>
  </si>
  <si>
    <t>EL 69 kV S.JOAO PIAUI S.MENDES-02J1 (12J1)</t>
  </si>
  <si>
    <t>0004939/2024</t>
  </si>
  <si>
    <t>Substituição de 01 (uma) Seccionadora com lâmina de terra 69 kV, posição operacional 32J1-5/7 da Subestação SJI</t>
  </si>
  <si>
    <t>0004940/2024</t>
  </si>
  <si>
    <t>Substituição de 01 (uma) Seccionadora 69 kV, posição operacional 32J1-6 da Subestação SJI</t>
  </si>
  <si>
    <t>0004941/2024</t>
  </si>
  <si>
    <t>Substituição de 01 (uma) Seccionadora 69 kV, posição operacional 32J2-4 da Subestação SJI</t>
  </si>
  <si>
    <t>EL 69 kV S.JOAO PIAUI C.BURITI-02J2 (12J2)</t>
  </si>
  <si>
    <t>0004942/2024</t>
  </si>
  <si>
    <t>Substituição de 01 (uma) Seccionadora com lâmina de terra 69 kV, posição operacional 32J2-5/7 da Subestação SJI</t>
  </si>
  <si>
    <t>0004943/2024</t>
  </si>
  <si>
    <t>Substituição de 01 (uma) Seccionadora 69 kV, posição operacional 32J2-6 da Subestação SJI</t>
  </si>
  <si>
    <t>0004944/2024</t>
  </si>
  <si>
    <t>Substituição de 01 (uma) Seccionadora 69 kV, posição operacional 32J1-4 da Subestação PRD</t>
  </si>
  <si>
    <t>0004945/2024</t>
  </si>
  <si>
    <t>Substituição de 01 (uma) Seccionadora 69 kV, posição operacional 32J1-5 da Subestação PRD</t>
  </si>
  <si>
    <t>0004946/2024</t>
  </si>
  <si>
    <t>Substituição de 01 (uma) Seccionadora 69 kV posição operacional 32J2-4 da Subestação PRD</t>
  </si>
  <si>
    <t>EL 69 kV PIRAPAMA II TERMOCABO-02P1 (12J2)</t>
  </si>
  <si>
    <t>0004947/2024</t>
  </si>
  <si>
    <t>Substituição de 01 (uma) Seccionadora 69 kV, posição operacional 32J2-5 da Subestação PRD</t>
  </si>
  <si>
    <t>0004948/2024</t>
  </si>
  <si>
    <t>Substituição de 01 (uma) Seccionadora com lâmina de terra 69 kV, posição operacional 32J2-6/7 da Subestação PRD</t>
  </si>
  <si>
    <t>0004949/2024</t>
  </si>
  <si>
    <t>Substituição de 01 (uma) Seccionadora 69 kV, posição operacional 32J3-4 da Subestação PRD</t>
  </si>
  <si>
    <t>EL 69 kV PIRAPAMA II W MARTINS-02J3 (12J3)</t>
  </si>
  <si>
    <t>0004950/2024</t>
  </si>
  <si>
    <t>Substituição de 01 (uma) Seccionadora 69 kV, posição operacional 32J3-5 da Subestação PRD</t>
  </si>
  <si>
    <t>0004951/2024</t>
  </si>
  <si>
    <t>Substituição de 01 (uma) Seccionadora com lâmina de terra 69 kV, posição operacional 32J3-6/7 da Subestação PRD</t>
  </si>
  <si>
    <t>0004952/2024</t>
  </si>
  <si>
    <t>Substituição de 01 (uma) Seccionadora 69 kV, posição operacional 32J4-4 da Subestação PRD</t>
  </si>
  <si>
    <t>EL 69 kV PIRAPAMA II RHODIA-02J4 (12J4)</t>
  </si>
  <si>
    <t>0004953/2024</t>
  </si>
  <si>
    <t>Substituição de 01 (uma) Seccionadora 69 kV, posição operacional 32J4-5 da Subestação PRD</t>
  </si>
  <si>
    <t>0004954/2024</t>
  </si>
  <si>
    <t>Substituição de 01 (uma) Seccionadora com lâmina de terra 69 kV, posição operacional 32J4-6/7 da Subestação PRD</t>
  </si>
  <si>
    <t>0004955/2024</t>
  </si>
  <si>
    <t>Substituição de 01 (uma) Seccionadora 69 kV, posição operacional 32J5-4 da Subestação PRD</t>
  </si>
  <si>
    <t>EL 69 kV PIRAPAMA II JUCARAL-02J5 (12J5)</t>
  </si>
  <si>
    <t>0004956/2024</t>
  </si>
  <si>
    <t>Substituição de 01 (uma) Seccionadora 69 kV, posição operacional 32J6-4 da Subestação PRD</t>
  </si>
  <si>
    <t>EL 69 kV PIRAPAMA II CABO-02J6 (12J6)</t>
  </si>
  <si>
    <t>0004957/2024</t>
  </si>
  <si>
    <t>Substituição de 01 (uma) Seccionadora 69 kV posição operacional 32J6-5 da Subestação PRD</t>
  </si>
  <si>
    <t>0004958/2024</t>
  </si>
  <si>
    <t>Substituição de 01 (uma) Seccionadora com lâmina de terra 69 kV, posição operacional 32J6-6/7 da Subestação PRD</t>
  </si>
  <si>
    <t>0004959/2024</t>
  </si>
  <si>
    <t>Substituição de 01 (uma) Seccionadora 69 kV, posição operacional 32J7-4 da Subestação PRD</t>
  </si>
  <si>
    <t>EL 69 kV PIRAPAMA II SUAPE-02J7 (12J7)</t>
  </si>
  <si>
    <t>0004960/2024</t>
  </si>
  <si>
    <t>32J7-4</t>
  </si>
  <si>
    <t>Substituição de 01 (uma) Seccionadora 69 kV, posição operacional 32J7-5 da Subestação PRD</t>
  </si>
  <si>
    <t>0004961/2024</t>
  </si>
  <si>
    <t>32J7-5</t>
  </si>
  <si>
    <t>Substituição de 01 (uma) Seccionadora com lâmina de terra 69 kV, posição operacional 32J7-6/7 da Subestação PRD</t>
  </si>
  <si>
    <t>0004962/2024</t>
  </si>
  <si>
    <t>Substituição de 01 (uma) Seccionadora 69 kV, posição operacional 32J8-4 da Subestação PRD</t>
  </si>
  <si>
    <t>EL 69 kV PIRAPAMA II PIEDADE-02J8 (12J8)</t>
  </si>
  <si>
    <t>0004963/2024</t>
  </si>
  <si>
    <t>32J8-4</t>
  </si>
  <si>
    <t>Substituição de 01 (uma) Seccionadora 69 kV, posição operacional 32J9-4 da Subestação PRD</t>
  </si>
  <si>
    <t>EL 69 kV PIRAPAMA II PONTEZINHA-02J9 (12J9)</t>
  </si>
  <si>
    <t>0004964/2024</t>
  </si>
  <si>
    <t>32J9-4</t>
  </si>
  <si>
    <t>Substituição de 01 (uma) Seccionadora 69 kV, posição operacional 32J9-5 da Subestação PRD</t>
  </si>
  <si>
    <t>0004965/2024</t>
  </si>
  <si>
    <t>32J9-5</t>
  </si>
  <si>
    <t>Substituição de 01 (uma) Seccionadora com lâmina de terra 69 kV, posição operacional 32J9-6/7 da Subestação PRD</t>
  </si>
  <si>
    <t>0004966/2024</t>
  </si>
  <si>
    <t>32J9-6</t>
  </si>
  <si>
    <t>Substituição de 01 (uma) Seccionadora 69 kV, posição operacional 32V1-4 da Subestação PRD</t>
  </si>
  <si>
    <t>EL 69 kV PIRAPAMA II RECIFE-II-02V1 (12V1)</t>
  </si>
  <si>
    <t>0004967/2024</t>
  </si>
  <si>
    <t>32V1-4</t>
  </si>
  <si>
    <t>Substituição de 01 (uma) Seccionadora 69 kV, posição operacional 32V1-5 da Subestação PRD</t>
  </si>
  <si>
    <t>0004968/2024</t>
  </si>
  <si>
    <t>32V1-5</t>
  </si>
  <si>
    <t>Substituição de 01 (uma) Seccionadora com lâmina de terra 69 kV, posição operacional 32V1-6/7 da Subestação PRD</t>
  </si>
  <si>
    <t>0004969/2024</t>
  </si>
  <si>
    <t>32V1-6</t>
  </si>
  <si>
    <t>Substituição de 01 (uma) Seccionadora com lâmina de terra 69 kV, posição operacional 32V2-6/7 da Subestação PRD</t>
  </si>
  <si>
    <t>EL 69 kV PIRAPAMA II AMBEV-02V2 (12V2)</t>
  </si>
  <si>
    <t>0004970/2024</t>
  </si>
  <si>
    <t>Substituição de 01 (uma) Seccionadora 69 kV, posição operacional 32V3-4 da Subestação PRD</t>
  </si>
  <si>
    <t>EL 69 kV PIRAPAMA II SUAPE-02V3 (12V3)</t>
  </si>
  <si>
    <t>0004971/2024</t>
  </si>
  <si>
    <t>32V3-4</t>
  </si>
  <si>
    <t>Substituição de 01 (uma) Seccionadora 69 kV, posição operacional 32V3-5 da Subestação PRD</t>
  </si>
  <si>
    <t>0004972/2024</t>
  </si>
  <si>
    <t>32V3-5</t>
  </si>
  <si>
    <t>Substituição de 01 (uma) Seccionadora com lâmina de terra 69 kV, posição operacional 32V3-6/7 da Subestação PRD</t>
  </si>
  <si>
    <t>0004973/2024</t>
  </si>
  <si>
    <t>32V3-6</t>
  </si>
  <si>
    <t>Substituição de 01 (uma) Seccionadora com lâmina de terra 69 kV, posição operacional 32J8-6/7 da Subestação NTD</t>
  </si>
  <si>
    <t>EL 69 kV NATAL II PARNAMIRIM-02J8 (12J8)</t>
  </si>
  <si>
    <t>0004974/2024</t>
  </si>
  <si>
    <t>32J8-7</t>
  </si>
  <si>
    <t>Substituição de 01 (uma) Seccionadora com lâmina de terra 69 kV, posição operacional 32J1-6/7 da Subestação ITB</t>
  </si>
  <si>
    <t>EL 69 kV ITABAIANA DIST1 (12J1)</t>
  </si>
  <si>
    <t>0004975/2024</t>
  </si>
  <si>
    <t>Substituição de 01 (uma) Seccionadora com lâmina de terra 69 kV, posição operacional 32J4-6/7 da Subestação ITB</t>
  </si>
  <si>
    <t>EL 69 kV ITABAIANA DIST3 (12J4)</t>
  </si>
  <si>
    <t>0004976/2024</t>
  </si>
  <si>
    <t>Substituição de 01 (uma) Seccionadora com lâmina de terra 69 kV, posição operacional 32J7-6/7 da Subestação ITB</t>
  </si>
  <si>
    <t>EL 69 kV ITABAIANA DIST6 (12J7)</t>
  </si>
  <si>
    <t>0004977/2024</t>
  </si>
  <si>
    <t>Substituição de 01 (uma) Seccionadora 69 kV, posição operacional 32C1-4 da subestação JDM</t>
  </si>
  <si>
    <t>EL 69 kV JARDIM GRAGERU C-1 (12C1)</t>
  </si>
  <si>
    <t>0004978/2024</t>
  </si>
  <si>
    <t>32C1-4</t>
  </si>
  <si>
    <t>Substituição de 01 (uma) Seccionadora 69 kV, posição operacional 32C1-5 da subestação JDM</t>
  </si>
  <si>
    <t>0004979/2024</t>
  </si>
  <si>
    <t>32C1-5</t>
  </si>
  <si>
    <t>Substituição de 01 (uma) Seccionadora com lâmina de terra 69 kV, posição operacional 32C1-6/7 da subestação JDM</t>
  </si>
  <si>
    <t>0004980/2024</t>
  </si>
  <si>
    <t>32C1-6</t>
  </si>
  <si>
    <t>Substituição de 01 (uma) Seccionadora 69 kV, posição operacional 32C7-4 da subestação JDM</t>
  </si>
  <si>
    <t>EL 69 kV JARDIM SAO CRISTOVAO (12C7)</t>
  </si>
  <si>
    <t>0004981/2024</t>
  </si>
  <si>
    <t>32C7-4</t>
  </si>
  <si>
    <t>Substituição de 01 (uma) Seccionadora 69 kV, posição operacional 32C7-5 da subestação JDM</t>
  </si>
  <si>
    <t>0004982/2024</t>
  </si>
  <si>
    <t>32C7-5</t>
  </si>
  <si>
    <t>Substituição de 01 (uma) Seccionadora com lâmina de terra 69 kV, posição operacional 32C7-6/7 da subestação JDM</t>
  </si>
  <si>
    <t>0004983/2024</t>
  </si>
  <si>
    <t>32C7-6</t>
  </si>
  <si>
    <t>Substituição de 01 (uma) Seccionadora 69 kV, posição operacional 32V1-4 da subestação JDM</t>
  </si>
  <si>
    <t>EL 69 kV JARDIM CARMOPOLIS C-1 (12V1)</t>
  </si>
  <si>
    <t>0004984/2024</t>
  </si>
  <si>
    <t>Substituição de 01 (uma) Seccionadora 69 kV, posição operacional 32V1-5 da subestação JDM</t>
  </si>
  <si>
    <t>0004985/2024</t>
  </si>
  <si>
    <t>Substituição de 01 (uma) Seccionadora com lâmina de terra 69 kV, posição operacional 32V1-6/7 da subestação JDM</t>
  </si>
  <si>
    <t>0004986/2024</t>
  </si>
  <si>
    <t>Substituição de 01 (uma) chave seccionadora de 69 kV, posição operacional 32A1-8, da subestação de BGI.</t>
  </si>
  <si>
    <t>MC 69 kV TT 69/13,8 kV BONGI TA1 PE (32A1)</t>
  </si>
  <si>
    <t>0004987/2024</t>
  </si>
  <si>
    <t>Substituição de 01 (uma) chave seccionadora de 69 kV, posição operacional 32A2-8, da subestação de BGI.</t>
  </si>
  <si>
    <t>MC 69 kV TT 69/13,8 kV BONGI TA2 PE (32A2)</t>
  </si>
  <si>
    <t>0004988/2024</t>
  </si>
  <si>
    <t>Substituição de 01 (uma) chave seccionadora de 69 kV, posição operacional 32J1-4, da subestação de BGI.</t>
  </si>
  <si>
    <t>EL 69 kV BONGI RETIRO 02J1 (12J1)</t>
  </si>
  <si>
    <t>0004989/2024</t>
  </si>
  <si>
    <t>Substituição de 01 (uma) chave seccionadora de 69 kV, posição operacional 32J1-5, da subestação de BGI.</t>
  </si>
  <si>
    <t>0004990/2024</t>
  </si>
  <si>
    <t>Substituição de 01 (uma) chave seccionadora de 69 kV, posição operacional 32J1-6, da subestação de BGI.</t>
  </si>
  <si>
    <t>0004991/2024</t>
  </si>
  <si>
    <t>Substituição de 01 (uma) chave seccionadora de 69 kV, posição operacional 32J1-7, da subestação de BGI.</t>
  </si>
  <si>
    <t>0004992/2024</t>
  </si>
  <si>
    <t>32J1-7</t>
  </si>
  <si>
    <t>Substituição de 01 (uma) chave seccionadora de 69 kV, posição operacional 32J7-4, da subestação de BGI.</t>
  </si>
  <si>
    <t>EL 69 kV BONGI GAZ-PINA 02J7 (12J7)</t>
  </si>
  <si>
    <t>0004993/2024</t>
  </si>
  <si>
    <t>Substituição de 01 (uma) chave seccionadora com lâmina de terra de 69 kV, posição operacional 32J7-5/7, da subestação de BGI.</t>
  </si>
  <si>
    <t>0004994/2024</t>
  </si>
  <si>
    <t>Substituição de 01 (uma) chave seccionadora de 69 kV, posição operacional 32L1-4, da subestação de BGI.</t>
  </si>
  <si>
    <t>EL 69 kV BONGI IMBIRI 02L1 (12L1)</t>
  </si>
  <si>
    <t>0004996/2024</t>
  </si>
  <si>
    <t>32L1-4</t>
  </si>
  <si>
    <t>Substituição de 01 (uma) chave seccionadora de 69 kV, posição operacional 32L5-4, da subestação de BGI.</t>
  </si>
  <si>
    <t>EL 69 kV BONGI GAZ 02L5 (12L5)</t>
  </si>
  <si>
    <t>0005000/2024</t>
  </si>
  <si>
    <t>32L5-4</t>
  </si>
  <si>
    <t>Substituição de 01 (uma) chave seccionadora de 69 kV, posição operacional 32L5-6, da subestação de BGI.</t>
  </si>
  <si>
    <t>0005001/2024</t>
  </si>
  <si>
    <t>32L5-6</t>
  </si>
  <si>
    <t>Substituição de 01 (uma) chave seccionadora de 69 kV, posição operacional 32L6-4, da subestação de BGI.</t>
  </si>
  <si>
    <t>EL 69 kV BONGI GAZ-PORT 02L6 (12L6)</t>
  </si>
  <si>
    <t>0005002/2024</t>
  </si>
  <si>
    <t>32L6-4</t>
  </si>
  <si>
    <t>Substituição de 01 (uma) chave seccionadora com lâmina de terra de 69 kV, posição operacional 32L6-5/7, da subestação de BGI.</t>
  </si>
  <si>
    <t>0005003/2024</t>
  </si>
  <si>
    <t>32L6-5</t>
  </si>
  <si>
    <t>Substituição de 01 (uma) chave seccionadora de 69 kV, posição operacional 32L6-6, da subestação de BGI.</t>
  </si>
  <si>
    <t>0005004/2024</t>
  </si>
  <si>
    <t>32L6-6</t>
  </si>
  <si>
    <t>Substituição de 01 (uma) chave seccionadora de 69 kV, posição operacional 32T8-4, da subestação de BGI.</t>
  </si>
  <si>
    <t>MC 69 kV TR 69/13,8 kV BONGI TR1-A PE (12T8)</t>
  </si>
  <si>
    <t>0005005/2024</t>
  </si>
  <si>
    <t>32T8-4</t>
  </si>
  <si>
    <t>Substituição de 01 (uma) chave seccionadora de 69 kV, posição operacional 32T8-5, da subestação de BGI.</t>
  </si>
  <si>
    <t>0005006/2024</t>
  </si>
  <si>
    <t>32T8-5</t>
  </si>
  <si>
    <t>Substituição de 01 (uma) chave seccionadora com lâmina de 69 kV, posição operacional 32T8-6/7, da subestação de BGI.</t>
  </si>
  <si>
    <t>0005007/2024</t>
  </si>
  <si>
    <t>32T8-6</t>
  </si>
  <si>
    <t>Substituição de 01 (uma) Seccionadora 69 KV posição operacional 32J1-4 da Subestação BES</t>
  </si>
  <si>
    <t>EL 69 kV UB.ESPERANCA PARAIBANO-02J3 (12J1)</t>
  </si>
  <si>
    <t>0005008/2024</t>
  </si>
  <si>
    <t>Substituição de 01 (uma) Seccionadora com lâmina de terra 69 kV, posição operacional 32J1-5/7 da Subestação BES</t>
  </si>
  <si>
    <t>0005009/2024</t>
  </si>
  <si>
    <t>Substituição de 01 (uma) Seccionadora 69 KV posição operacional 32J2-4 da Subestação BES</t>
  </si>
  <si>
    <t>EL 69 kV UB.ESPERANCA BERTOLINEA-02J2 (12J2)</t>
  </si>
  <si>
    <t>0005010/2024</t>
  </si>
  <si>
    <t>Substituição de 01 (uma) Seccionadora com lâmina de terra 69 kV, posição operacional 32J2-5/7 da Subestação BES</t>
  </si>
  <si>
    <t>0005011/2024</t>
  </si>
  <si>
    <t>Substituição de 01 (uma) Seccionadora 69 KV posição operacional 32J3-4 da Subestação BES</t>
  </si>
  <si>
    <t>EL 69 kV UB.ESPERANCA S.J.PATOS-02J3 (12J3)</t>
  </si>
  <si>
    <t>0005012/2024</t>
  </si>
  <si>
    <t>Substituição de 01 (uma) Seccionadora 69 KV posição operacional 32J3-5 da Subestação BES</t>
  </si>
  <si>
    <t>0005013/2024</t>
  </si>
  <si>
    <t>Substituição de 01 (uma) Seccionadora com lâmina de terra 69 kV, posição operacional 32J1-6/7 da Subestação BNB</t>
  </si>
  <si>
    <t>EL 69 kV BANABUIU DIST6 (12J1)</t>
  </si>
  <si>
    <t>0005014/2024</t>
  </si>
  <si>
    <t>32J1-6/7</t>
  </si>
  <si>
    <t>Substituição de 01 (uma) Seccionadora 69 KV posição operacional 32J2-4 da Subestação BNB</t>
  </si>
  <si>
    <t>0005015/2024</t>
  </si>
  <si>
    <t>Substituição de 01 (uma) Seccionadora 69 KV posição operacional 32J2-5 da Subestação BNB</t>
  </si>
  <si>
    <t>0005016/2024</t>
  </si>
  <si>
    <t>Substituição de 01 (uma) Seccionadora com lâmina de terra 69 kV, posição operacional 32J2-6/7 da Subestação BNB</t>
  </si>
  <si>
    <t>0005017/2024</t>
  </si>
  <si>
    <t>Substituição de 01 (uma) Seccionadora 69 KV posição operacional 32J4-4 da Subestação BNB</t>
  </si>
  <si>
    <t>0005018/2024</t>
  </si>
  <si>
    <t>Substituição de 01 (uma) Seccionadora 69 KV posição operacional 32J4-5 da Subestação BNB</t>
  </si>
  <si>
    <t>0005019/2024</t>
  </si>
  <si>
    <t>Substituição de 01 (uma) Seccionadora com lâmina de terra 69 kV, posição operacional 32J4-6/7 da Subestação BNB</t>
  </si>
  <si>
    <t>0005020/2024</t>
  </si>
  <si>
    <t>Substituição de 01 (uma) Seccionadora 69 KV posição operacional 32J8-4 da Subestação FTZ</t>
  </si>
  <si>
    <t>0005021/2024</t>
  </si>
  <si>
    <t>Substituição de 01 (uma) Seccionadora 69 KV posição operacional 32J9-4 da Subestação FTZ</t>
  </si>
  <si>
    <t>0005022/2024</t>
  </si>
  <si>
    <t>Substituição de 01 (uma) Seccionadora 69 KV posição operacional 32J9-6 da Subestação FTZ</t>
  </si>
  <si>
    <t>0005023/2024</t>
  </si>
  <si>
    <t>Substituição de 01 (uma) Seccionadora 69 KV posição operacional 32J1-6 da Subestação MSD</t>
  </si>
  <si>
    <t>EL 69 kV MOSSORO II ROSADO-02J1 (12J1)</t>
  </si>
  <si>
    <t>0005024/2024</t>
  </si>
  <si>
    <t>Substituição de 01 (uma) Seccionadora com lâmina de terra 69 kV, posição operacional 32J3-5/7 da Subestação MSD</t>
  </si>
  <si>
    <t>EL 69 kV MOSSORO II MOSSORO I-02J3 (12J3)</t>
  </si>
  <si>
    <t>0005025/2024</t>
  </si>
  <si>
    <t>Substituição de 01 (uma) Seccionadora 69 KV posição operacional 32J5-4 da Subestação MSD</t>
  </si>
  <si>
    <t>EL 69 kV MOSSORO II C.AMARO-02J5 (12J5)</t>
  </si>
  <si>
    <t>0005026/2024</t>
  </si>
  <si>
    <t>Substituição de 01 (uma) Seccionadora com lâmina de terra 69 kV, posição operacional 32J5-5/7 da Subestação MSD</t>
  </si>
  <si>
    <t>0005027/2024</t>
  </si>
  <si>
    <t>Substituição de 01 (uma) Seccionadora 69 KV posição operacional 32J5-6 da Subestação MSD</t>
  </si>
  <si>
    <t>0005028/2024</t>
  </si>
  <si>
    <t>Substituição de 01 (uma) Seccionadora 69 KV posição operacional 32J6-4 da Subestação MSD</t>
  </si>
  <si>
    <t>EL 69 kV MOSSORO II GROSSOS-02J6 (12J6)</t>
  </si>
  <si>
    <t>0005029/2024</t>
  </si>
  <si>
    <t>Substituição de 01 (uma) Seccionadora com lâmina de terra 69 kV, posição operacional 32J6-5/7 da Subestação MSD</t>
  </si>
  <si>
    <t>0005030/2024</t>
  </si>
  <si>
    <t>Substituição de 01 (uma) Seccionadora 69 KV posição operacional 32A1-8 da Subestação AGL</t>
  </si>
  <si>
    <t>0005031/2024</t>
  </si>
  <si>
    <t>Substituição de 01 (uma) Seccionadora 69 KV posição operacional 32J1-4 da Subestação AGL</t>
  </si>
  <si>
    <t>0005032/2024</t>
  </si>
  <si>
    <t>Substituição de 01 (uma) Seccionadora 69 KV posição operacional 32J1-5 da Subestação AGL</t>
  </si>
  <si>
    <t>0005033/2024</t>
  </si>
  <si>
    <t>Substituição de 01 (uma) Seccionadora com lâmina de terra 69 kV, posição operacional 32J1-6/7 da Subestação AGL</t>
  </si>
  <si>
    <t>0005034/2024</t>
  </si>
  <si>
    <t>Substituição de 01 (uma) Seccionadora 69 KV posição operacional 32J6-4 da Subestação AGL</t>
  </si>
  <si>
    <t>0005035/2024</t>
  </si>
  <si>
    <t>Substituição de 01 (uma) Seccionadora 69 KV posição operacional 32J6-5 da Subestação AGL</t>
  </si>
  <si>
    <t>0005036/2024</t>
  </si>
  <si>
    <t>Substituição de 01 (uma) Seccionadora com lâmina de terra 69 kV, posição operacional 32J6-6/7 da Subestação AGL</t>
  </si>
  <si>
    <t>0005037/2024</t>
  </si>
  <si>
    <t>Substituição de 01 (uma) Seccionadora 69 KV posição operacional 32J7-4 da Subestação AGL</t>
  </si>
  <si>
    <t>0005038/2024</t>
  </si>
  <si>
    <t>Substituição de 01 (uma) Seccionadora 69 KV posição operacional 32J7-5 da Subestação AGL</t>
  </si>
  <si>
    <t>0005039/2024</t>
  </si>
  <si>
    <t>Substituição de 150 cadeias de isolador em 34 estrutura(s) da LT 230 kV STO.A.JESUS /FUNIL C-1 BA-04F2 (001/1;001/2;001/3;002/1;002/2;002/3;003/1;003/2;004/1;004/2;005/1;005/2;006/1;006/2;007/1;007/2;007/3;008/1;008/2;009/1;009/2;009/3;010/1;010/2;011/1;011/2;011/3;012/1;012/2;013/1;013/2;014/1;014/2;015/1).</t>
  </si>
  <si>
    <t>0005040/2024</t>
  </si>
  <si>
    <t>d-sstjsfnl-04f2-cade-1</t>
  </si>
  <si>
    <t>Substituição de 126 cadeias de isolador em 34 estrutura(s) da LT 230 kV STO.A.JESUS /FUNIL C-1 BA-04F2 (015/2;015/3;016/1;016/2;016/3;017/1;017/2;018/1;018/2;018/3;019/1;019/2;020/1;020/2;020/3;021/1;021/2;022/1;022/2;022/3;023/1;023/2;023/3;024/1;025/1;025/2;025/3;025/4;026/1;026/2;027/1;027/2;028/1;028/2).</t>
  </si>
  <si>
    <t>0005041/2024</t>
  </si>
  <si>
    <t>d-sstjsfnl-04f2-cade-2</t>
  </si>
  <si>
    <t>Substituição de 102 cadeias de isolador em 34 estrutura(s) da LT 230 kV STO.A.JESUS /FUNIL C-1 BA-04F2 (028/3;029/1;029/2;030/1;030/2;030/3;031/1;031/2;032/1;032/2;032/3;033/1;033/2;033/3;034/1;034/2;035/1;035/2;036/1;036/2;037/1;037/2;038/1;038/2;039/1;039/2;039/3;040/1;040/2;041/1;041/2;042/1;042/2;043/1).</t>
  </si>
  <si>
    <t>0005042/2024</t>
  </si>
  <si>
    <t>d-sstjsfnl-04f2-cade-3</t>
  </si>
  <si>
    <t>Substituição de 150 cadeias de isolador em 34 estrutura(s) da LT 230 kV STO.A.JESUS /FUNIL C-1 BA-04F2 (043/2;043/3;044/1;044/2;045/1;046/1;047/1;047/2;048/1;048/2;049/1;049/2;050/1;050/2;051/1;051/2;051/3;052/1;052/2;052/3;053/1;053/2;054/1;054/2;055/1;055/2;055/3;056/1;056/2;057/1;057/2;057/3;058/1;058/2).</t>
  </si>
  <si>
    <t>0005043/2024</t>
  </si>
  <si>
    <t>d-sstjsfnl-04f2-cade-4</t>
  </si>
  <si>
    <t>Substituição de 102 cadeias de isolador em 34 estrutura(s) da LT 230 kV STO.A.JESUS /FUNIL C-1 BA-04F2 (059/1;059/2;060/1;061/1;061/2;062/1;062/2;063/1;063/2;063/3;064/1;064/2;065/1;065/2;066/1;066/2;067/1;067/2;067/3;068/1;068/2;069/1;069/2;070/1;070/2;071/1;071/2;072/1;072/2;073/1;073/2;074/1;074/2;075/1).</t>
  </si>
  <si>
    <t>0005044/2024</t>
  </si>
  <si>
    <t>d-sstjsfnl-04f2-cade-5</t>
  </si>
  <si>
    <t>Substituição de 138 cadeias de isolador em 34 estrutura(s) da LT 230 kV STO.A.JESUS /FUNIL C-1 BA-04F2 (075/2;076/1;076/2;076/3;077/1;077/2;078/1;078/2;079/1;079/2;080/1;080/2;081/1;082/1;082/2;083/1;083/2;084/1;084/2;084/3;085/1;085/2;086/1;086/2;086/3;087/1;087/2;088/1;088/2;089/1;089/2;090/1;090/2;091/1).</t>
  </si>
  <si>
    <t>0005045/2024</t>
  </si>
  <si>
    <t>d-sstjsfnl-04f2-cade-6</t>
  </si>
  <si>
    <t>Substituição de 162 cadeias de isolador em 34 estrutura(s) da LT 230 kV STO.A.JESUS /FUNIL C-1 BA-04F2 (091/2;092/1;092/2;093/1;093/2;094/1;095/1;096/1;096/2;097/1;098/1;098/2;099/1;099/2;100/1;100/2;101/1;102/1;103/1;103/2;104/1;104/2;105/1;105/2;106/1;106/2;107/1;107/2;108/1;108/2;109/1;109/2;110/1;110/2).</t>
  </si>
  <si>
    <t>0005046/2024</t>
  </si>
  <si>
    <t>d-sstjsfnl-04f2-cade-7</t>
  </si>
  <si>
    <t>Substituição de 126 cadeias de isolador em 34 estrutura(s) da LT 230 kV STO.A.JESUS /FUNIL C-1 BA-04F2 (110/3;111/1;111/2;112/1;112/2;113/1;113/2;114/1;114/2;115/1;115/2;115/3;116/1;116/2;117/1;118/1;118/2;118/3;119/1;119/2;120/1;120/2;121/1;121/2;121/3;122/1;122/2;123/1;123/2;124/1;125/1;125/2;126/1;126/2).</t>
  </si>
  <si>
    <t>0005047/2024</t>
  </si>
  <si>
    <t>d-sstjsfnl-04f2-cade-8</t>
  </si>
  <si>
    <t>Substituição de 162 cadeias de isolador em 34 estrutura(s) da LT 230 kV STO.A.JESUS /FUNIL C-1 BA-04F2 (127/1;127/2;128/1;128/2;129/1;129/2;130/1;130/2;130/3;131/1;131/2;131/3;132/1;132/2;133/1;133/2;134/1;135/1;135/2;136/1;136/2;137/1;138/1;138/2;138/3;138/4;139/1;139/2;139/3;140/1;140/2;141/1;141/2;141/3).</t>
  </si>
  <si>
    <t>0005048/2024</t>
  </si>
  <si>
    <t>d-sstjsfnl-04f2-cade-9</t>
  </si>
  <si>
    <t>Substituição de 162 cadeias de isolador em 34 estrutura(s) da LT 230 kV STO.A.JESUS /FUNIL C-1 BA-04F2 (142/1;142/2;143/1;144/1;144/2;145/1;146/1;146/2;147/1;147/2;148/1;148/2;148/3;149/1;149/2;150/1;150/2;151/1;151/2;152/1;152/2;152/3;153/1;153/2;154/1;154/2;154/3;154/4;155/1;155/2;156/1;156/2;157/1;157/2).</t>
  </si>
  <si>
    <t>0005049/2024</t>
  </si>
  <si>
    <t>d-sstjsfnl-04f2-cade-10</t>
  </si>
  <si>
    <t>Substituição de 126 cadeias de isolador em 34 estrutura(s) da LT 230 kV STO.A.JESUS /FUNIL C-2 BA-04L3 (015/2;015/3;016/1;016/2;016/3;017/1;017/2;018/1;018/2;018/3;019/1;019/2;020/1;020/2;020/3;021/1;021/2;022/1;022/2;022/3;023/1;023/2;023/3;024/1;025/1;025/2;025/3;025/4;026/1;026/2;027/1;027/2;028/1;028/2).</t>
  </si>
  <si>
    <t>LT 230 kV STO.A.JESUS /FUNIL C-2 BA</t>
  </si>
  <si>
    <t>0005050/2024</t>
  </si>
  <si>
    <t>d-sstjsfnl-04l3-cade-1</t>
  </si>
  <si>
    <t>Substituição de 102 cadeias de isolador em 34 estrutura(s) da LT 230 kV STO.A.JESUS /FUNIL C-2 BA-04L3 (028/3;029/1;029/2;030/1;030/2;030/3;031/1;031/2;032/1;032/2;032/3;033/1;033/2;033/3;034/1;034/2;035/1;035/2;036/1;036/2;037/1;037/2;038/1;038/2;039/1;039/2;039/3;040/1;040/2;041/1;041/2;042/1;042/2;043/1).</t>
  </si>
  <si>
    <t>0005051/2024</t>
  </si>
  <si>
    <t>d-sstjsfnl-04l3-cade-2</t>
  </si>
  <si>
    <t>Substituição de 150 cadeias de isolador em 34 estrutura(s) da LT 230 kV STO.A.JESUS /FUNIL C-2 BA-04L3 (043/2;043/3;044/1;044/2;045/1;046/1;047/1;047/2;048/1;048/2;049/1;049/2;050/1;050/2;051/1;051/2;051/3;052/1;052/2;052/3;053/1;053/2;054/1;054/2;055/1;055/2;055/3;056/1;056/2;057/1;057/2;057/3;058/1;058/2).</t>
  </si>
  <si>
    <t>0005052/2024</t>
  </si>
  <si>
    <t>d-sstjsfnl-04l3-cade-3</t>
  </si>
  <si>
    <t>Substituição de 102 cadeias de isolador em 34 estrutura(s) da LT 230 kV STO.A.JESUS /FUNIL C-2 BA-04L3 (059/1;059/2;060/1;061/1;061/2;062/1;062/2;063/1;063/2;063/3;064/1;064/2;065/1;065/2;066/1;066/2;067/1;067/2;067/3;068/1;068/2;069/1;069/2;070/1;070/2;071/1;071/2;072/1;072/2;073/1;073/2;074/1;074/2;075/1).</t>
  </si>
  <si>
    <t>0005053/2024</t>
  </si>
  <si>
    <t>d-sstjsfnl-04l3-cade-4</t>
  </si>
  <si>
    <t>Substituição de 138 cadeias de isolador em 34 estrutura(s) da LT 230 kV STO.A.JESUS /FUNIL C-2 BA-04L3 (075/2;076/1;076/2;076/3;077/1;077/2;078/1;078/2;079/1;079/2;080/1;080/2;081/1;082/1;082/2;083/1;083/2;084/1;084/2;084/3;085/1;085/2;086/1;086/2;086/3;087/1;087/2;088/1;088/2;089/1;089/2;090/1;090/2;091/1).</t>
  </si>
  <si>
    <t>0005054/2024</t>
  </si>
  <si>
    <t>d-sstjsfnl-04l3-cade-5</t>
  </si>
  <si>
    <t>Substituição de 162 cadeias de isolador em 34 estrutura(s) da LT 230 kV STO.A.JESUS /FUNIL C-2 BA-04L3 (091/2;092/1;092/2;093/1;093/2;094/1;095/1;096/1;096/2;097/1;098/1;098/2;099/1;099/2;100/1;100/2;101/1;102/1;103/1;103/2;104/1;104/2;105/1;105/2;106/1;106/2;107/1;107/2;108/1;108/2;109/1;109/2;110/1;110/2).</t>
  </si>
  <si>
    <t>0005055/2024</t>
  </si>
  <si>
    <t>d-sstjsfnl-04l3-cade-6</t>
  </si>
  <si>
    <t>Substituição de 126 cadeias de isolador em 34 estrutura(s) da LT 230 kV STO.A.JESUS /FUNIL C-2 BA-04L3 (110/3;111/1;111/2;112/1;112/2;113/1;113/2;114/1;114/2;115/1;115/2;115/3;116/1;116/2;117/1;118/1;118/2;118/3;119/1;119/2;120/1;120/2;121/1;121/2;121/3;122/1;122/2;123/1;123/2;124/1;125/1;125/2;126/1;126/2).</t>
  </si>
  <si>
    <t>0005056/2024</t>
  </si>
  <si>
    <t>d-sstjsfnl-04l3-cade-7</t>
  </si>
  <si>
    <t>Substituição de 162 cadeias de isolador em 34 estrutura(s) da LT 230 kV STO.A.JESUS /FUNIL C-2 BA-04L3 (127/1;127/2;128/1;128/2;129/1;129/2;130/1;130/2;130/3;131/1;131/2;131/3;132/1;132/2;133/1;133/2;134/1;135/1;135/2;136/1;136/2;137/1;138/1;138/2;138/3;138/4;139/1;139/2;139/3;140/1;140/2;141/1;141/2;141/3).</t>
  </si>
  <si>
    <t>0005057/2024</t>
  </si>
  <si>
    <t>d-sstjsfnl-04l3-cade-8</t>
  </si>
  <si>
    <t>Substituição de 162 cadeias de isolador em 34 estrutura(s) da LT 230 kV STO.A.JESUS /FUNIL C-2 BA-04L3 (142/1;142/2;143/1;144/1;144/2;145/1;146/1;146/2;147/1;147/2;148/1;148/2;148/3;149/1;149/2;150/1;150/2;151/1;151/2;152/1;152/2;152/3;153/1;153/2;154/1;154/2;154/3;154/4;155/1;155/2;156/1;156/2;157/1;157/2).</t>
  </si>
  <si>
    <t>0005058/2024</t>
  </si>
  <si>
    <t>d-sstjsfnl-04l3-cade-9</t>
  </si>
  <si>
    <t>Substituição de 111 cadeias de isolador em 17 estrutura(s) da LT 230 kV STO.A.JESUS /FUNIL C-2 BA-04L3 (158/1;158/2;158/3;159/1;159/2;159/3;160/1;160/2;161/1;161/2;162/1;162/2;163/1;163/2;163/3;163/4;164/1).</t>
  </si>
  <si>
    <t>0005059/2024</t>
  </si>
  <si>
    <t>d-sstjsfnl-04l3-cade-10</t>
  </si>
  <si>
    <t>LT 230 kV ANGELIM /MESSIAS PE/AL</t>
  </si>
  <si>
    <t>Substituição de 204 cadeias de isolador em 34 estrutura(s) da LT 230 kV ANGELIM /MESSIAS C-1 PE/AL-04M7 (017/1;017/2;018/1;018/2;019/1;019/2;020/1;020/2;021/1;021/2;022/1;022/2;023/1;023/2;024/1;024/2;025/1;025/2;026/1;026/2;027/2;028/1;028/2;029/1;029/2;030/1;030/2;031/1;031/2;032/2;033/1;034/1;035/1;036/1).</t>
  </si>
  <si>
    <t>0005060/2024</t>
  </si>
  <si>
    <t>d-saglsmsi-04m7-cade-2</t>
  </si>
  <si>
    <t>Substituição de 222 cadeias de isolador em 34 estrutura(s) da LT 230 kV ANGELIM /MESSIAS C-1 PE/AL-04M7 (036/2;036/3;037/1;037/2;037/3;038/1;038/2;039/1;039/2;040/1;040/2;040/3;040/4;043/1;043/2;043/4;044/1;044/2;044/3;045/1;045/2;045/3;046/1;046/2;047/1;048/1;048/2;048/3;049/1;051/1;051/2;052/2;053/1;053/2).</t>
  </si>
  <si>
    <t>0005061/2024</t>
  </si>
  <si>
    <t>d-saglsmsi-04m7-cade-3</t>
  </si>
  <si>
    <t>Substituição de 213 cadeias de isolador em 34 estrutura(s) da LT 230 kV ANGELIM /MESSIAS C-1 PE/AL-04M7 (054/1;054/2;055/1;055/2;055/3;056/1;056/2;057/1;058/1;058/2;059/1;059/2;060/1;060/2;061/1;061/2;061/3;062/1;062/2;063/1;063/2;064/1;064/2;064/3;065/1;065/2;066/1;067/1;067/2;068/1;068/2;069/1;070/1;071/1).</t>
  </si>
  <si>
    <t>0005062/2024</t>
  </si>
  <si>
    <t>d-saglsmsi-04m7-cade-4</t>
  </si>
  <si>
    <t>Substituição de 198 cadeias de isolador em 23 estrutura(s) da LT 230 kV ANGELIM /MESSIAS C-1 PE/AL-04M7 (071/2;071/3;072/1;072/2;073/1;074/1;074/2;074/3;075/1;075/2;076/1;076/2;076/3;077/1;077/2;077/2A;078/1;078/2;078/2A;078/4;078/5;AGL;MSI).</t>
  </si>
  <si>
    <t>0005063/2024</t>
  </si>
  <si>
    <t>d-saglsmsi-04m7-cade-5</t>
  </si>
  <si>
    <t>Substituição de 180 cadeias de isolador em 34 estrutura(s) da LT 230 kV ANGELIM /MESSIAS C-3 PE/AL-04M9 (001/1;001/2;001/3;001/4;001/5;001/6;002/1;003/1;003/2;004/1;004/2;004/3;005/2;006/1;006/2;007/1;007/2;008/1;008/2;009/1;010/1;010/2;011/2;012/1;012/2;013/1;013/2;014/1;015/3;016/1;016/2;017/1;018/1;018/2).</t>
  </si>
  <si>
    <t>0005064/2024</t>
  </si>
  <si>
    <t>d-saglsmsi-04m9-cade-1</t>
  </si>
  <si>
    <t>Substituição de 102 cadeias de isolador em 34 estrutura(s) da LT 230 kV ANGELIM /MESSIAS C-3 PE/AL-04M9 (019/1;019/2;019/3;020/1;021/1;021/2;021/3;022/1;022/2;023/1;024/2;025/1;025/2;026/1;026/2;027/1;027/2;028/1;028/2;029/1;029/2;030/1;031/1;031/2;032/2;033/1;033/2;034/1;034/2;035/1;035/2;036/1;036/2;037/1).</t>
  </si>
  <si>
    <t>0005065/2024</t>
  </si>
  <si>
    <t>d-saglsmsi-04m9-cade-2</t>
  </si>
  <si>
    <t>Substituição de 141 cadeias de isolador em 34 estrutura(s) da LT 230 kV ANGELIM /MESSIAS C-3 PE/AL-04M9 (038/1;038/2;039/1;039/2;040/1;040/2;040/3;041/1;041/2;042/1;042/2;043/1;043/2;044/2;045/1;045/3;047/1;047/2;048/1;049/2;050/1;051/1;052/1;052/2;053/2;054/2;054/3;055/1;055/2;056/1;057/1;057/2;058/1;058/2).</t>
  </si>
  <si>
    <t>0005066/2024</t>
  </si>
  <si>
    <t>d-saglsmsi-04m9-cade-3</t>
  </si>
  <si>
    <t>Substituição de 102 cadeias de isolador em 34 estrutura(s) da LT 230 kV ANGELIM /MESSIAS C-3 PE/AL-04M9 (059/1;059/2;060/1;060/2;061/1;061/2;062/1;062/2;063/1;063/2;064/2;064/3;065/1;065/2;066/1;066/2;067/1;067/2;068/1;068/2;069/1;070/1;070/2;071/1;072/1;072/2;072/3;073/1;073/2;074/1;074/2;074/3;075/1;075/2).</t>
  </si>
  <si>
    <t>0005067/2024</t>
  </si>
  <si>
    <t>d-saglsmsi-04m9-cade-4</t>
  </si>
  <si>
    <t>Substituição de 192 cadeias de isolador em 29 estrutura(s) da LT 230 kV ANGELIM /MESSIAS C-3 PE/AL-04M9 (076/1;076/2;077/1;078/2;079/1;079/2;079/3;079/4;079/5;079/6;079/7;005/1;011/1;015/1;015/2;023/2;024/1;032/1;044/1;045/2;046/1;049/1;050/2;053/1;054/1;064/1;078/1;AGL;MSI).</t>
  </si>
  <si>
    <t>0005068/2024</t>
  </si>
  <si>
    <t>d-saglsmsi-04m9-cade-5</t>
  </si>
  <si>
    <t>Substituição de 255 cadeias de isolador em 37 estrutura(s) da LT 230 kV RIO LARGO II /BRASKEM C-1 AL-04S2 (001/1;001/2;001/3;002/1;002/2;002/3;003/1;003/2;004/1;004/2;004/3;005/1;005/2;005/3;005/4;006/1;006/2;006/3;007/1;007/2;007/3;008/1;008/2;010/1;010/2;010/3;010/4;011/1;011/2;011/3;012/1;012/2;012/3;013/1;RLD;BSK1;BSK2).</t>
  </si>
  <si>
    <t>0005069/2024</t>
  </si>
  <si>
    <t>d-srldsbsk-04s2-cade-1</t>
  </si>
  <si>
    <t>Substituição de 252 cadeias de isolador em 33 estrutura(s) da LT 230 kV RIO LARGO II /BRASKEM C-1 AL-04S2 (013/2;013/3;014/1;014/2;014/3;015/1;015/2;015/3;015/4;016/1;016/2;016/3;017/1;017/2;017/3;018/1;018/2;018/3;019/1;019/2;019/3;019/4;020/1;020/2;020/3;021/1;021/2;022/1;022/2;023/1;023/2;024/1A;024/1B).</t>
  </si>
  <si>
    <t>0005070/2024</t>
  </si>
  <si>
    <t>d-srldsbsk-04s2-cade-2</t>
  </si>
  <si>
    <t>Substituição de 175 cadeias de isolador em 27 estrutura(s) da LT 230 kV BONGI /ACONORTE C-1 PE-04C1 (BGI;001/1;001/2;001/3;001/4;001/5;002/1;002/2;002/3;002/4;002/5;003/1;004/1;004/2;004/3;005/1;005/2;005/3;005/4;005/5;005/6;006/1;006/2;006/3;006/4;006/5;006/6).</t>
  </si>
  <si>
    <t>0005071/2024</t>
  </si>
  <si>
    <t>d-sbgisacn-04c1-cade-1</t>
  </si>
  <si>
    <t>LT 230 kV GOIANINHA /JOAO PESSOA II PE/PB</t>
  </si>
  <si>
    <t>Substituição de 210 cadeias de isolador em 35 estrutura(s) da LT 230 kV GOIANINHA /JOAO PESSOA II C-2 PE/PB-04N3 (GNN;000/1;000/2;000/3;001/1;001/2;001/3;001/4;002/1;002/2;003/1;003/2;003/3;004/1;004/2;005/1;005/2;006/1;006/2;007/1;007/2;007/3;008/1;008/2;008/3;009/1;009/2;010/1;010/2;010/3;011/1;012/1;012/2;012/3;013/1).</t>
  </si>
  <si>
    <t>LT 230 kV GOIANINHA /JOAO PESSOA II C-2 PE/PB</t>
  </si>
  <si>
    <t>0005072/2024</t>
  </si>
  <si>
    <t>d-sgnnsjpd-04n3-cade-1</t>
  </si>
  <si>
    <t>Substituição de 150 cadeias de isolador em 35 estrutura(s) da LT 230 kV GOIANINHA /JOAO PESSOA II C-2 PE/PB-04N3 (013/2;014/1;015/1;015/2;016/1;016/2;017/1;017/2;018/1;018/2;019/1;019/2;020/1;020/2;021/1;022/1;022/2;023/1;023/2;024/1;024/2;024/3;025/1;025/2;026/1;026/2;027/1;027/2;028/1;028/2;029/1;029/2;030/1;030/2;030/3).</t>
  </si>
  <si>
    <t>0005073/2024</t>
  </si>
  <si>
    <t>d-sgnnsjpd-04n3-cade-2</t>
  </si>
  <si>
    <t>Substituição de 168 cadeias de isolador em 33 estrutura(s) da LT 230 kV GOIANINHA /JOAO PESSOA II C-2 PE/PB-04N3 (031/1;031/2;032/1;032/2;033/1;033/2;034/1;034/2;035/1;035/2;035/3;036/1;036/2;037/1;037/2;038/1;038/2;039/1;039/2;040/1;041/1;041/2;041/3;042/1;042/2;043/1;043/2;043/3;044/1;044/2;044/3;045/1;045/2).</t>
  </si>
  <si>
    <t>0005074/2024</t>
  </si>
  <si>
    <t>d-sgnnsjpd-04n3-cade-3</t>
  </si>
  <si>
    <t>Substituição de 198 cadeias de isolador em 35 estrutura(s) da LT 230 kV GOIANINHA /JOAO PESSOA II C-1 PE/PB-04N2 (GNN;000/1;000/2;000/3;001/1;001/2;001/3;001/4;002/1;002/2;003/1;003/2;003/3;004/1;004/2;005/1;005/2;006/1;006/2;007/1;007/2;007/3;008/1;008/2;008/3;009/1;009/2;010/1;010/2;010/3;011/1;012/1;012/2;012/3;013/1).</t>
  </si>
  <si>
    <t>0005075/2024</t>
  </si>
  <si>
    <t>d-sgnnsjpd-04n2-cade-1</t>
  </si>
  <si>
    <t>Substituição de 150 cadeias de isolador em 35 estrutura(s) da LT 230 kV GOIANINHA /JOAO PESSOA II C-1 PE/PB-04N2 (013/2;014/1;015/1;015/2;016/1;016/2;017/1;017/2;018/1;018/2;019/1;019/2;020/1;020/2;021/1;022/1;022/2;023/1;023/2;024/1;024/2;024/3;025/1;025/2;026/1;026/2;027/1;027/2;028/1;028/2;029/1;029/2;030/1;030/2;030/3).</t>
  </si>
  <si>
    <t>0005076/2024</t>
  </si>
  <si>
    <t>d-sgnnsjpd-04n2-cade-2</t>
  </si>
  <si>
    <t>Substituição de 168 cadeias de isolador em 35 estrutura(s) da LT 230 kV GOIANINHA /JOAO PESSOA II C-1 PE/PB-04N2 (031/1;031/2;032/1;032/2;033/1;033/2;034/1;034/2;035/1;035/2;035/3;036/1;036/2;037/1;037/2;038/1;038/2;039/1;039/2;040/1;041/1;041/2;041/3;042/1;042/2;043/1;043/2;043/3;044/1;044/2;044/3;045/1;045/2;046/1;046/2).</t>
  </si>
  <si>
    <t>0005077/2024</t>
  </si>
  <si>
    <t>d-sgnnsjpd-04n2-cade-3</t>
  </si>
  <si>
    <t>Substituição de 252 cadeias de isolador em 35 estrutura(s) da LT 230 kV RECIFE II /GOIANINHA C-1 PE-04C8 (RCD;001/1;001/2;001/3;001/4;002/1;002/2;002/3;003/1;003/2;003/3;003/4;004/1;004/2;004/3;004/4;004/5;005/1;005/2;005/3;005/4;006/1;006/2;006/3;007/1;007/2;007/3;007/4;007/5;008/1;008/2;008/3;008/4;009/1;009/2).</t>
  </si>
  <si>
    <t>0005078/2024</t>
  </si>
  <si>
    <t>d-srcdsgnn-04c8-cade-1</t>
  </si>
  <si>
    <t>Substituição de 234 cadeias de isolador em 35 estrutura(s) da LT 230 kV RECIFE II /GOIANINHA C-1 PE-04C8 (009/3;009/4;010/1;010/2;010/3;011/1;011/2;011/3;012/1;012/2;013/1;013/2;013/3;013/4;014/1;014/2;015/1;015/2;016/1;016/2;016/3;017/1;017/2;017/3;017/4;018/1;018/2;018/3;019/1;019/2;020/1;020/2;020/3;020/4;021/1).</t>
  </si>
  <si>
    <t>0005079/2024</t>
  </si>
  <si>
    <t>d-srcdsgnn-04c8-cade-2</t>
  </si>
  <si>
    <t>Substituição de 174 cadeias de isolador em 35 estrutura(s) da LT 230 kV RECIFE II /GOIANINHA C-1 PE-04C8 (021/2;021/3;021/4;022/1;022/2;022/3;023/1;023/2;023/3;024/1;024/2;024/3;025/1;025/2;025/3;026/1;026/2;026/3;027/1;027/2;027/3;027/4;028/1;029/1;029/2;029/3;030/1;030/2;031/1;031/2;032/1;032/2;033/1;034/1;034/2).</t>
  </si>
  <si>
    <t>0005080/2024</t>
  </si>
  <si>
    <t>d-srcdsgnn-04c8-cade-3</t>
  </si>
  <si>
    <t>Substituição de 171 cadeias de isolador em 35 estrutura(s) da LT 230 kV RECIFE II /GOIANINHA C-1 PE-04C8 (035/1;035/2;035/3;036/1;036/2;036/3;037/1;038/1;039/1;039/2;040/1;040/2;040/3;041/1;042/1;042/2;043/1;043/2;044/1;045/1;045/2;046/1;046/2;047/1;047/2;048/1;048/2;049/1;049/2;050/1;050/2;050/3;051/1;051/2;052/1).</t>
  </si>
  <si>
    <t>0005081/2024</t>
  </si>
  <si>
    <t>d-srcdsgnn-04c8-cade-4</t>
  </si>
  <si>
    <t>Substituição de 147 cadeias de isolador em 35 estrutura(s) da LT 230 kV RECIFE II /GOIANINHA C-1 PE-04C8 (053/1;053/2;053/3;054/1;055/1;055/2;056/1;056/2;057/1;058/1;058/2;058/3;059/1;059/2;060/1;060/2;061/1;061/2;062/1;062/2;063/1;063/2;064/1;064/2;065/1;065/2;066/1;066/2;066/3;067/1;067/2;068/1;068/2;069/1;069/2).</t>
  </si>
  <si>
    <t>0005082/2024</t>
  </si>
  <si>
    <t>d-srcdsgnn-04c8-cade-5</t>
  </si>
  <si>
    <t>Substituição de 252 cadeias de isolador em 35 estrutura(s) da LT 230 kV RECIFE II /MIRUEIRA C-1 PE-04C4 (RCD;001/1;001/2;001/2A;001/3;002/1;002/2;002/3;003/1;003/2;003/3;004/1;004/2;005/1;005/2;006/1;006/2;007/1;008/1;008/2;008/3;009/1;010/1;010/2;010/3;011/1;011/2;012/1;012/2;013/1;013/2;013/3;014/1;014/2;014/3).</t>
  </si>
  <si>
    <t>0005083/2024</t>
  </si>
  <si>
    <t>d-srcdsmrr-04c4-cade-1</t>
  </si>
  <si>
    <t>Substituição de 160 cadeias de isolador em 35 estrutura(s) da LT 230 kV RECIFE II /MIRUEIRA C-1 PE-04C4 (014/4;015/1;015/2;015/3;015/4;016/1;016/2;016/3;017/1;017/2;017/3;018/1;018/2;018/3;019/1;019/2;019/3;020/1;020/2;020/3;020/4;021/1;021/2;021/3;021/4;022/1;022/2;023/1;023/2;023/3;024/1;024/2;024/3;025/1;025/2).</t>
  </si>
  <si>
    <t>0005084/2024</t>
  </si>
  <si>
    <t>d-srcdsmrr-04c4-cade-2</t>
  </si>
  <si>
    <t>Substituição de 189 cadeias de isolador em 35 estrutura(s) da LT 230 kV RECIFE II /MIRUEIRA C-2 PE-04C5 (RCD;001/1;001/2;001/2A;001/3;002/1;002/2;002/3;003/1;003/2;003/3;004/1;004/2;005/1;005/2;006/1;006/2;007/1;008/1;008/2;008/3;009/1;010/1;010/2;011/1;011/2;011/3;012/1;012/2;013/1;013/2;014/1;014/2;015/1;015/2).</t>
  </si>
  <si>
    <t>0005085/2024</t>
  </si>
  <si>
    <t>d-srcdsmrr-04c5-cade-1</t>
  </si>
  <si>
    <t>Substituição de 141 cadeias de isolador em 35 estrutura(s) da LT 230 kV RECIFE II /MIRUEIRA C-2 PE-04C5 (015/3;016/1;016/2;016/3;017/1;017/2;017/3;018/1;018/2;019/1;019/2;019/3;020/1;020/2;020/3;021/1;021/2;021/3;022/1;022/2;023/1;023/2;023/3;024/1;024/2;025/1;025/2;025/3;026/1;026/2;027/1;027/2;028/1;028/2;029/1).</t>
  </si>
  <si>
    <t>0005086/2024</t>
  </si>
  <si>
    <t>d-srcdsmrr-04c5-cade-2</t>
  </si>
  <si>
    <t>Substituição de 45 cadeias de isolador em 8 estrutura(s) da LT 230 kV RECIFE II /MIRUEIRA C-2 PE-04C5 (029/2;030/1;030/2;031/1;031/2;032/1;032/2;MRR).</t>
  </si>
  <si>
    <t>0005087/2024</t>
  </si>
  <si>
    <t>d-srcdsmrr-04c5-cade-3</t>
  </si>
  <si>
    <t>Substituição de 180 cadeias de isolador em 35 estrutura(s) da LT 230 kV RECIFE II /PIRAPAMA II C-2 PE-04C1 (RCD;001/1;001/2;001/3;001/4;002/1;002/2;003/1;003/2;004/1;004/2;004/3;005/1;005/2;005/3;006/1;006/2;007/1;007/2;008/1;008/2;009/1;010/1;010/2;011/1;011/2;012/1;012/2;013/1;013/2;014/1;015/1;015/2;015/3;016/1).</t>
  </si>
  <si>
    <t>0005088/2024</t>
  </si>
  <si>
    <t>d-srcdsprd-04c1-cade-1</t>
  </si>
  <si>
    <t>Substituição de 117 cadeias de isolador em 29 estrutura(s) da LT 230 kV RECIFE II /PIRAPAMA II C-2 PE-04C1 (016/2;016/3;017/1;017/2;018/1;018/2;019/1;019/2;020/1;020/2;021/1;021/2;022/1;022/2;022/3;023/1;023/2;024/1;025/1;025/2;026/1;026/2;026/3;027/1;027/2;027/3;028/1;028/2;PRD).</t>
  </si>
  <si>
    <t>0005089/2024</t>
  </si>
  <si>
    <t>d-srcdsprd-04c1-cade-2</t>
  </si>
  <si>
    <t>Substituição de 117 cadeias de isolador em 34 estrutura(s) da LT 230 kV RIBEIRAO /RECIFE II C-1 PE-04M1 (037/1;037/2;037/3;038/1;039/1;040/1;040/2;041/2;042/1;042/3;043/1;043/2;043/3;044/2;045/1;045/2;046/1;047/1;047/2;048/1;048/2;049/1;050/1;050/2;050/3;051/1;051/2;051/3;052/1;052/2;052/3;053/1;053/2;053/3).</t>
  </si>
  <si>
    <t>0005090/2024</t>
  </si>
  <si>
    <t>d-sribsrcd-04m1-cade-1</t>
  </si>
  <si>
    <t>Substituição de 60 cadeias de isolador em 10 estrutura(s) da LT 230 kV RIBEIRAO /RECIFE II C-1 PE-04M1 (054/1;054/2;055/1;055/2;056/2;056/3;057/1;057/2;057/3;RCD).</t>
  </si>
  <si>
    <t>0005091/2024</t>
  </si>
  <si>
    <t>d-sribsrcd-04m1-cade-2</t>
  </si>
  <si>
    <t>Substituição de 240 cadeias de isolador em 34 estrutura(s) da LT 230 kV ANGELIM /MESSIAS C-2 PE/AL-04M8 (000/1;000/2;000/3;001/1;001/2;002/1;002/2;003/1;004/1;004/2;004/3;005/1;006/1;006/2;006/3;007/1;007/2;008/1;009/1;009/2;010/1;010/2;011/1;011/2;012/1;013/1;013/2;014/1;014/2;015/1;015/2;016/1;016/2;016/3).</t>
  </si>
  <si>
    <t>0005092/2024</t>
  </si>
  <si>
    <t>d-saglsmsi-04m8-cade-1</t>
  </si>
  <si>
    <t>Substituição de 222 cadeias de isolador em 34 estrutura(s) da LT 230 kV ANGELIM /MESSIAS C-2 PE/AL-04M8 (017/1;017/2;018/1;018/2;019/1;019/2;020/1;020/2;021/1;021/2;022/1;022/2;023/1;023/2;024/1;024/2;025/1;025/2;026/1;026/2;027/2;028/1;028/2;029/1;029/2;030/1;030/2;031/1;031/2;032/2;033/1;034/1;035/1;036/1).</t>
  </si>
  <si>
    <t>0005093/2024</t>
  </si>
  <si>
    <t>d-saglsmsi-04m8-cade-2</t>
  </si>
  <si>
    <t>Substituição de 222 cadeias de isolador em 34 estrutura(s) da LT 230 kV ANGELIM /MESSIAS C-2 PE/AL-04M8 (036/2;036/3;037/1;037/2;037/3;038/1;038/2;039/1;039/2;040/1;040/2;040/3;040/4;043/1;043/2;043/4;044/1;044/2;044/3;045/1;045/2;045/3;046/1;046/2;047/1;048/1;048/2;048/3;049/1;051/1;051/2;052/2;053/1;053/2).</t>
  </si>
  <si>
    <t>0005094/2024</t>
  </si>
  <si>
    <t>d-saglsmsi-04m8-cade-3</t>
  </si>
  <si>
    <t>Substituição de 213 cadeias de isolador em 34 estrutura(s) da LT 230 kV ANGELIM /MESSIAS C-2 PE/AL-04M8 (054/1;054/2;055/1;055/2;055/3;056/1;056/2;057/1;058/1;058/2;059/1;059/2;060/1;060/2;061/1;061/2;061/3;062/1;062/2;063/1;063/2;064/1;064/2;064/3;065/1;065/2;066/1;067/1;067/2;068/1;068/2;069/1;070/1;071/1).</t>
  </si>
  <si>
    <t>0005095/2024</t>
  </si>
  <si>
    <t>d-saglsmsi-04m8-cade-4</t>
  </si>
  <si>
    <t>Substituição de 198 cadeias de isolador em 23 estrutura(s) da LT 230 kV ANGELIM /MESSIAS C-2 PE/AL-04M8 (071/2;071/3;072/1;072/2;073/1;074/1;074/2;074/3;075/1;075/2;076/1;076/2;076/3;077/1;077/2;077/2A;078/1;078/2;078/2A;078/4;078/5;AGL;MSI).</t>
  </si>
  <si>
    <t>0005096/2024</t>
  </si>
  <si>
    <t>d-saglsmsi-04m8-cade-5</t>
  </si>
  <si>
    <t>Substituição de 150 cadeias de isolador em 34 estrutura(s) da LT 230 kV ANGELIM /RECIFE II C-1 PE-04M3 (001/1;001/1A;001/2;001/3;002/1;002/2;003/1;003/2;003/3;004/1;004/2;005/1;005/2;006/1;006/2;007/1;007/2;008/1;008/2;009/1;009/2;010/1;010/2;011/1;011/2;012/1;012/2;013/1;013/2;013/3;014/1;014/2;014/3;015/1).</t>
  </si>
  <si>
    <t>0005097/2024</t>
  </si>
  <si>
    <t>d-saglsrcd-04m3-cade-1</t>
  </si>
  <si>
    <t>Substituição de 153 cadeias de isolador em 34 estrutura(s) da LT 230 kV ANGELIM /RECIFE II C-1 PE-04M3 (015/2;016/1;016/2;016/3;017/1;017/2;017/3;018/1;018/2;019/1;019/2;020/1;020/2;021/1;021/2;022/1;022/2;022/3;022/4;023/1;023/2;023/3;024/1;024/2;024/3;025/1;025/2;026/1;026/2;027/1;027/2;027/3;028/1;028/2).</t>
  </si>
  <si>
    <t>0005098/2024</t>
  </si>
  <si>
    <t>d-saglsrcd-04m3-cade-2</t>
  </si>
  <si>
    <t>Substituição de 176 cadeias de isolador em 34 estrutura(s) da LT 230 kV ANGELIM /RECIFE II C-1 PE-04M3 (028/3;029/1;029/2;029/3;030/1;030/2;031/1;031/2;032/1;032/2;032/3;033/1;034/1;034/2;035/1;035/2;036/1;036/2;037/1;037/2;038/1;038/2;039/1;039/2;040/1;040/2;040/3;041/1;041/2;041/3;042/1;042/2;043/1;044/1).</t>
  </si>
  <si>
    <t>0005099/2024</t>
  </si>
  <si>
    <t>d-saglsrcd-04m3-cade-3</t>
  </si>
  <si>
    <t>Substituição de 143 cadeias de isolador em 34 estrutura(s) da LT 230 kV ANGELIM /RECIFE II C-1 PE-04M3 (044/2;044/3;045/1;046/1;046/2;047/1;047/2;048/1;048/2;049/1;049/2;050/1;050/2;051/1;051/2;052/1;052/2;053/1;053/2;053/3;054/1;054/2;054/3;055/1;055/2;056/1;056/2;057/1;057/2;058/1;058/2;059/1;059/2;059/3).</t>
  </si>
  <si>
    <t>0005100/2024</t>
  </si>
  <si>
    <t>d-saglsrcd-04m3-cade-4</t>
  </si>
  <si>
    <t>Substituição de 150 cadeias de isolador em 34 estrutura(s) da LT 230 kV ANGELIM /RECIFE II C-1 PE-04M3 (060/1;060/2;061/1;061/2;062/1;062/2;063/1;063/2;064/1;064/2;064/3;065/1;065/2;066/1;066/2;067/1;067/2;068/1;068/2;069/1;069/2;070/1;070/2;071/1;071/2;071/3;072/1;072/2;073/1;073/2;074/1;074/2;075/1;075/2).</t>
  </si>
  <si>
    <t>0005101/2024</t>
  </si>
  <si>
    <t>d-saglsrcd-04m3-cade-5</t>
  </si>
  <si>
    <t>Substituição de 54 cadeias de isolador em 12 estrutura(s) da LT 230 kV ANGELIM /RECIFE II C-1 PE-04M3 (076/1;077/1;077/2;078/1;078/2;078/3;079/1;079/2;080/1;080/2;080/3;AGL).</t>
  </si>
  <si>
    <t>0005102/2024</t>
  </si>
  <si>
    <t>d-saglsrcd-04m3-cade-6</t>
  </si>
  <si>
    <t>Substituição de 162 cadeias de isolador em 34 estrutura(s) da LT 230 kV ANGELIM /RIBEIRAO C-1 PE-04S1 (002/1;002/2;003/1;003/2;003/3;004/1;004/2;007/1;008/1;008/2;008/3;009/1;010/1;010/2;011/2;012/1;012/2;013/2;014/1;015/1;015/2;016/2;017/1;017/2;018/1;018/2;019/1;019/2;021/1;021/2;022/1;022/2;023/1;023/2).</t>
  </si>
  <si>
    <t>0005103/2024</t>
  </si>
  <si>
    <t>d-saglsrib-04s1-cade-1</t>
  </si>
  <si>
    <t>Substituição de 132 cadeias de isolador em 34 estrutura(s) da LT 230 kV ANGELIM /RIBEIRAO C-1 PE-04S1 (023/3;024/1;025/1;025/2;026/1;026/2;027/2;029/2;030/1;030/2;031/1;031/2;032/1;032/2;033/1;034/1;034/2;035/1;036/1;037/1;038/1;039/1;039/2;040/1;040/2;041/2;042/1;043/1;044/1;044/2;045/2;046/1;046/2;047/1).</t>
  </si>
  <si>
    <t>0005104/2024</t>
  </si>
  <si>
    <t>d-saglsrib-04s1-cade-2</t>
  </si>
  <si>
    <t>Substituição de 168 cadeias de isolador em 34 estrutura(s) da LT 230 kV ANGELIM /RIBEIRAO C-1 PE-04S1 (047/2;048/1;048/2;049/1;049/2;050/1;050/2;051/1;052/1;052/2;052/3;053/1;053/2;054/1;055/1;055/2;055/3;057/1;057/2;058/2;059/1;059/2;060/1;060/2;060/3;061/1;061/2;062/1;062/2;064/1;064/2;064/3;065/2;066/1).</t>
  </si>
  <si>
    <t>0005105/2024</t>
  </si>
  <si>
    <t>d-saglsrib-04s1-cade-3</t>
  </si>
  <si>
    <t>Substituição de 150 cadeias de isolador em 34 estrutura(s) da LT 230 kV ANGELIM /RIBEIRAO C-2 PE-04S2 (001/1;001/1A;001/2;001/3;002/1;002/2;003/1;003/2;003/3;004/1;004/2;005/1;005/2;006/1;006/2;007/1;007/2;008/1;008/2;009/1;009/2;010/1;010/2;011/1;011/2;012/1;012/2;013/1;013/2;013/3;014/1;014/2;014/3;015/1).</t>
  </si>
  <si>
    <t>0005106/2024</t>
  </si>
  <si>
    <t>d-saglsrib-04s2-cade-1</t>
  </si>
  <si>
    <t>Substituição de 153 cadeias de isolador em 34 estrutura(s) da LT 230 kV ANGELIM /RIBEIRAO C-2 PE-04S2 (015/2;016/1;016/2;016/3;017/1;017/2;017/3;018/1;018/2;019/1;019/2;020/1;020/2;021/1;021/2;022/1;022/2;022/3;022/4;023/1;023/2;023/3;024/1;024/2;024/3;025/1;025/2;026/1;026/2;027/1;027/2;027/3;028/1;028/2).</t>
  </si>
  <si>
    <t>0005107/2024</t>
  </si>
  <si>
    <t>d-saglsrib-04s2-cade-2</t>
  </si>
  <si>
    <t>Substituição de 176 cadeias de isolador em 34 estrutura(s) da LT 230 kV ANGELIM /RIBEIRAO C-2 PE-04S2 (028/3;029/1;029/2;029/3;030/1;030/2;031/1;031/2;032/1;032/2;032/3;033/1;034/1;034/2;035/1;035/2;036/1;036/2;037/1;037/2;038/1;038/2;039/1;039/2;040/1;040/2;040/3;041/1;041/2;041/3;042/1;042/2;043/1;044/1).</t>
  </si>
  <si>
    <t>0005108/2024</t>
  </si>
  <si>
    <t>d-saglsrib-04s2-cade-3</t>
  </si>
  <si>
    <t>Substituição de 150 cadeias de isolador em 34 estrutura(s) da LT 230 kV ANGELIM /RIBEIRAO C-2 PE-04S2 (060/1;060/2;061/1;061/2;062/1;062/2;063/1;063/2;064/1;064/2;064/3;065/1;065/2;066/1;066/2;067/1;067/2;068/1;068/2;069/1;069/2;070/1;070/2;071/1;071/2;071/3;072/1;072/2;073/1;073/2;074/1;074/2;075/1;075/2).</t>
  </si>
  <si>
    <t>0005109/2024</t>
  </si>
  <si>
    <t>d-saglsrib-04s2-cade-4</t>
  </si>
  <si>
    <t>Substituição de 54 cadeias de isolador em 12 estrutura(s) da LT 230 kV ANGELIM /RIBEIRAO C-2 PE-04S2 (076/1;077/1;077/2;078/1;078/2;078/3;079/1;079/2;080/1;080/2;080/3;AGL).</t>
  </si>
  <si>
    <t>0005110/2024</t>
  </si>
  <si>
    <t>d-saglsrib-04s2-cade-5</t>
  </si>
  <si>
    <t>Substituição de 258 cadeias de isolador em 35 estrutura(s) da LT 230 kV RECIFE II /GOIANINHA C-2 PE-04C9 (RCD;001/1;001/2;001/3;001/4;002/1;002/2;002/3;003/1;003/2;003/3;003/4;004/1;004/2;004/3;004/4;004/5;005/1;005/2;005/3;005/4;006/1;006/2;006/3;007/1;007/2;007/3;007/4;007/5;008/1;008/2;008/3;008/4;009/1;009/2).</t>
  </si>
  <si>
    <t>0005111/2024</t>
  </si>
  <si>
    <t>d-srcdsgnn-04c9-cade-1</t>
  </si>
  <si>
    <t>Substituição de 264 cadeias de isolador em 35 estrutura(s) da LT 230 kV RECIFE II /GOIANINHA C-2 PE-04C9 (009/3;009/4;010/1;010/2;010/3;011/1;011/2;012/1;011/3;012/2;013/1;013/2;013/3;013/4;014/1;014/2;015/1;015/2;016/1;016/2;016/3;017/1;017/2;017/3;017/4;018/1;018/2;018/3;019/1;019/2;020/1;020/2;020/3;020/4;021/1).</t>
  </si>
  <si>
    <t>0005112/2024</t>
  </si>
  <si>
    <t>d-srcdsgnn-04c9-cade-2</t>
  </si>
  <si>
    <t>Substituição de 174 cadeias de isolador em 35 estrutura(s) da LT 230 kV RECIFE II /GOIANINHA C-2 PE-04C9 (021/2;021/3;021/4;022/1;022/2;022/3;023/1;023/2;023/3;024/1;024/2;024/3;025/1;025/2;025/3;026/1;026/2;026/3;027/1;027/2;027/4;027/3;028/1;029/1;029/2;029/3;030/1;030/2;031/1;031/2;032/1;032/2;033/1;034/1;034/2).</t>
  </si>
  <si>
    <t>0005113/2024</t>
  </si>
  <si>
    <t>d-srcdsgnn-04c9-cade-3</t>
  </si>
  <si>
    <t>Substituição de 171 cadeias de isolador em 35 estrutura(s) da LT 230 kV RECIFE II /GOIANINHA C-2 PE-04C9 (035/1;035/2;035/3;036/1;036/2;036/3;037/1;038/1;039/1;039/2;040/1;040/2;040/3;041/1;042/1;042/2;043/1;043/2;044/1;045/1;045/2;046/1;046/2;047/1;047/2;048/1;048/2;049/1;049/2;050/1;050/2;050/3;051/1;051/2;052/1).</t>
  </si>
  <si>
    <t>0005114/2024</t>
  </si>
  <si>
    <t>d-srcdsgnn-04c9-cade-4</t>
  </si>
  <si>
    <t>Substituição de 147 cadeias de isolador em 35 estrutura(s) da LT 230 kV RECIFE II /GOIANINHA C-2 PE-04C9 (053/1;053/2;053/3;054/1;055/1;055/2;056/1;056/2;057/1;058/1;058/2;058/3;059/1;059/2;060/1;060/2;061/1;061/2;062/1;062/2;063/1;063/2;064/1;064/2;065/1;065/2;066/1;066/2;066/3;067/1;067/2;068/1;068/2;069/1;069/2).</t>
  </si>
  <si>
    <t>0005115/2024</t>
  </si>
  <si>
    <t>d-srcdsgnn-04c9-cade-5</t>
  </si>
  <si>
    <t>Substituição de 189 cadeias de isolador em 35 estrutura(s) da LT 230 kV RECIFE II /MIRUEIRA C-3 PE-04C6 (RCD;001/1;001/2;001/3;002/1;002/2;002/3;003/1;003/2;003/3;004/1;004/2;005/1;005/2;006/1;006/2;007/1;008/1;008/2;008/3;009/1;010/1;010/2;011/1;011/2;011/3;012/1;012/2;013/1;013/2;014/1;014/2;015/1;015/2;015/3).</t>
  </si>
  <si>
    <t>0005116/2024</t>
  </si>
  <si>
    <t>d-srcdsmrr-04c6-cade-1</t>
  </si>
  <si>
    <t>Substituição de 132 cadeias de isolador em 35 estrutura(s) da LT 230 kV RECIFE II /MIRUEIRA C-3 PE-04C6 (016/1;016/2;016/3;017/1;017/2;017/3;018/1;018/2;019/1;019/2;019/3;020/1;020/2;020/3;021/1;021/2;021/3;022/1;022/2;023/1;023/2;023/3;024/1;024/2;025/1;025/2;026/1;026/2;027/1;027/2;028/1;028/2;029/1;029/2;030/1).</t>
  </si>
  <si>
    <t>0005117/2024</t>
  </si>
  <si>
    <t>d-srcdsmrr-04c6-cade-2</t>
  </si>
  <si>
    <t>LT 230 kV BANABUIU /AQUIRAZ II CE</t>
  </si>
  <si>
    <t>Substituição de 141 cadeias de isolador em 35 estrutura(s) da LT 230 kV BANABUIU /AQUIRAZ II C-1 CE-04C8 (001/0;001/1;001/2;001/3;001/4;002/1;002/2;002/3;003/1;003/2;003/3;004/1;004/2;005/1;005/2;005/3;006/1;006/2;007/1;007/2;008/1;008/2;008/3;009/1;009/2;010/1;010/2;010/3;011/1;011/2;011/3;012/1;012/2;013/1;013/2 ).</t>
  </si>
  <si>
    <t>0005118/2024</t>
  </si>
  <si>
    <t>d-saqdsbnb-04c8-cade-1</t>
  </si>
  <si>
    <t>Substituição de 105 cadeias de isolador em 35 estrutura(s) da LT 230 kV BANABUIU /AQUIRAZ II C-1 CE-04C8 (043/1;043/2;043/3;043/4;044/1;044/2;045/1;045/2;045/3;046/1;046/2;047/1;047/2;047/3;048/1;048/2;049/1;049/2;050/1;050/2;050/3;051/1;051/2;051/3;052/1;052/2;052/3;053/1;053/2;053/3;054/1;054/2;055/1;055/2;056/1 ).</t>
  </si>
  <si>
    <t>0005119/2024</t>
  </si>
  <si>
    <t>d-saqdsbnb-04c8-cade-4</t>
  </si>
  <si>
    <t>Substituição de 105 cadeias de isolador em 35 estrutura(s) da LT 230 kV BANABUIU /AQUIRAZ II C-1 CE-04C8 (056/2;057/1;057/2;058/1;058/2;058/3;059/1;059/2;060/1;060/2;061/1;061/2;061/3;062/1;062/2;063/1;063/2;063/3;064/1;064/2;065/1;065/2;065/3;066/1;066/2;067/1;067/2;067/3;068/1;068/2;069/1;069/2;070/1;070/2;071/1 ).</t>
  </si>
  <si>
    <t>0005120/2024</t>
  </si>
  <si>
    <t>d-saqdsbnb-04c8-cade-5</t>
  </si>
  <si>
    <t>Substituição de 105 cadeias de isolador em 35 estrutura(s) da LT 230 kV BANABUIU /AQUIRAZ II C-1 CE-04C8 (085/1;085/2;085/3;086/1;086/2;087/1;087/2;088/1;088/2;088/3;089/1;089/2;089/3;089/4;090/1;090/2;090/3;091/1;091/2;091/3;092/1;092/2;093/1;093/2;094/1;094/2;095/1;095/2;096/1;096/2;097/1;097/2;098/1;098/2;098/3 ).</t>
  </si>
  <si>
    <t>0005121/2024</t>
  </si>
  <si>
    <t>d-saqdsbnb-04c8-cade-6</t>
  </si>
  <si>
    <t>Substituição de 105 cadeias de isolador em 35 estrutura(s) da LT 230 kV BANABUIU /AQUIRAZ II C-1 CE-04C8 (099/1;099/2;100/1;100/2;101/1;101/2;101/3;102/1;102/2;103/1;103/2;104/1;104/2;104/3;105/1;105/2;106/1;106/2;106/3;107/1;107/2;108/1;108/2;108/3;109/1;109/2;110/1;110/2;110/3;111/1;111/2;112/1;112/2;112/3;113/1 ).</t>
  </si>
  <si>
    <t>0005122/2024</t>
  </si>
  <si>
    <t>d-saqdsbnb-04c8-cade-7</t>
  </si>
  <si>
    <t>Substituição de 117 cadeias de isolador em 35 estrutura(s) da LT 230 kV BANABUIU /AQUIRAZ II C-1 CE-04C8 (113/2;114/1;114/2;114/3;115/1;115/2;116/1;116/2;116/3;117/1;117/2;118/1;118/2;118/3;119/1;119/2;120/1;120/2;120/3;121/1;121/2;122/1;122/2;122/3;123/1;123/2;124/1;124/2;125/1;125/2;125/3;126/1;126/2;127/1;127/2 ).</t>
  </si>
  <si>
    <t>0005123/2024</t>
  </si>
  <si>
    <t>d-saqdsbnb-04c8-cade-8</t>
  </si>
  <si>
    <t>Substituição de 141 cadeias de isolador em 35 estrutura(s) da LT 230 kV BANABUIU /AQUIRAZ II C-1 CE-04C8 (127/3;128/1;128/2;129/1;129/2;129/3;130/1;130/2;131/1;131/2;131/3;132/1;132/2;133/1;133/2;134/1;134/2;134/3;135/1;135/2;135/3;136/1;136/2;137/1;137/2;137/3;138/1;138/2;139/1;139/2;139/3;140/1;140/2;140/3;141/1 ).</t>
  </si>
  <si>
    <t>0005124/2024</t>
  </si>
  <si>
    <t>d-saqdsbnb-04c8-cade-9</t>
  </si>
  <si>
    <t>Substituição de 141 cadeias de isolador em 35 estrutura(s) da LT 230 kV BANABUIU /AQUIRAZ II C-1 CE-04C8 (141/2;141/3;142/1;142/2;142/3;143/1;143/2;144/1;144/2;145/1;145/2;146/1;146/2;146/3;147/1;147/2;148/1;148/2;149/1;149/2;150/1;150/2;151/1;151/2;151/3;152/1;152/2;153/1;153/2;154/1;154/2;155/1;155/2;155/3;156/1 ).</t>
  </si>
  <si>
    <t>0005125/2024</t>
  </si>
  <si>
    <t>d-saqdsbnb-04c8-cade-10</t>
  </si>
  <si>
    <t>Substituição de 177 cadeias de isolador em 35 estrutura(s) da LT 230 kV BANABUIU /AQUIRAZ II C-3 CE-04C6 (001/1;001/2;001/3;001/4;002/1;002/2;002/3;003/1;003/2;003/3;004/1;004/2;004/3;005/1;005/2;006/1;006/2;006/3;007/1;007/2;007/3;007/4;008/1;008/2;008/3;009/1;009/2;010/1;010/2;010/3;011/1;011/2;011/3;011/4;012/1 ).</t>
  </si>
  <si>
    <t>LT 230 kV BANABUIU /AQUIRAZ II C-3 CE</t>
  </si>
  <si>
    <t>0005126/2024</t>
  </si>
  <si>
    <t>d-saqdsbnb-04c6-cade-1</t>
  </si>
  <si>
    <t>Substituição de 141 cadeias de isolador em 35 estrutura(s) da LT 230 kV BANABUIU /AQUIRAZ II C-3 CE-04C6 (012/2;012/3;013/1;013/2;013/3;014/1;014/2;014/3;015/1;015/2;015/3;016/1;016/2;016/3;016/4;017/1;017/2;017/3;018/1;018/2;018/3;019/1;019/2;019/3;019/4;020/1;020/2;020/3;021/1;021/2;021/3;022/1;022/2;022/3;023/1 ).</t>
  </si>
  <si>
    <t>0005127/2024</t>
  </si>
  <si>
    <t>d-saqdsbnb-04c6-cade-2</t>
  </si>
  <si>
    <t>Substituição de 129 cadeias de isolador em 35 estrutura(s) da LT 230 kV BANABUIU /AQUIRAZ II C-3 CE-04C6 (023/2;023/3;024/1;024/2;024/3;024/4;025/1;025/2;025/3;026/1;026/2;026/3;026/4;027/1;027/2;027/3;028/1;028/2;028/3;028/4;029/1;029/2;030/1;030/2;030/3;030/4;031/1;031/2;032/1;032/2;032/3;032/4;033/1;033/2;033/3 ).</t>
  </si>
  <si>
    <t>0005128/2024</t>
  </si>
  <si>
    <t>d-saqdsbnb-04c6-cade-3</t>
  </si>
  <si>
    <t>Substituição de 141 cadeias de isolador em 35 estrutura(s) da LT 230 kV BANABUIU /AQUIRAZ II C-2 CE-04C7 (128/1;128/2;129/1;129/2;129/3;130/1;130/2;131/1;131/2;131/3;132/1;132/2;133/1;133/2;134/1;134/2;134/3;135/1;135/2;135/3;136/1;136/2;137/1;137/2;137/3;138/1;138/2;139/1;139/2;139/3;140/1;140/2;140/3;141/1;141/2 ).</t>
  </si>
  <si>
    <t>LT 230 kV BANABUIU /AQUIRAZ II C-2 CE</t>
  </si>
  <si>
    <t>0005129/2024</t>
  </si>
  <si>
    <t>d-saqdsbnb-04c7-cade-10</t>
  </si>
  <si>
    <t>Substituição de 153 cadeias de isolador em 35 estrutura(s) da LT 230 kV BANABUIU /AQUIRAZ II C-2 CE-04C7 (141/3;142/1;142/2;142/3;143/1;143/2;144/1;144/2;145/1;145/2;146/1;146/2;146/3;147/1;147/2;148/1;148/2;149/1;149/2;150/1;150/2;151/1;151/2;151/3;152/1;152/2;153/1;153/2;154/1;154/2;155/1;155/2;155/3;156/1;156/2 ).</t>
  </si>
  <si>
    <t>0005130/2024</t>
  </si>
  <si>
    <t>d-saqdsbnb-04c7-cade-11</t>
  </si>
  <si>
    <t>LT 230 kV BANABUIU /RUSSAS II CE</t>
  </si>
  <si>
    <t>Substituição de 153 cadeias de isolador em 37 estrutura(s) da LT 230 kV BANABUIU /RUSSAS II C-1 CE-04C1 (020/1;020/2;020/3;020/4;020/5;022/1;022/2;022/3;022/4;023/3;024/3;024/4;027/3;028/2;029/3;030/2;030/4;031/3;033/2;034/1;034/3;035/1;035/3;038/1;038/2;039/2;039/3;040/2;041/1;043/2;044/1;046/2;047/1;048/3;049/1;049/2;050/1 ).</t>
  </si>
  <si>
    <t>0005131/2024</t>
  </si>
  <si>
    <t>d-sbnbsrsd-04c1-cade-2</t>
  </si>
  <si>
    <t>Substituição de 105 cadeias de isolador em 37 estrutura(s) da LT 230 kV BANABUIU /RUSSAS II C-1 CE-04C1 (050/2;052/1;053/2;054/1;054/3;055/1;055/2;056/2;057/1;057/2;058/1;058/2;058/3;058/4;059/2;059/3;059/4;060/1;060/2;060/3;061/2;061/4;062/1;062/2;063/2;063/4;064/1;064/3;065/1;066/1;066/2;067/1;068/2;068/3;068/4;069/2;070/1 ).</t>
  </si>
  <si>
    <t>0005132/2024</t>
  </si>
  <si>
    <t>d-sbnbsrsd-04c1-cade-3</t>
  </si>
  <si>
    <t>Substituição de 105 cadeias de isolador em 37 estrutura(s) da LT 230 kV BANABUIU /RUSSAS II C-1 CE-04C1 (070/3;071/1;072/1;072/2;072/3;074/1;074/2;074/4;075/2;076/1;077/1;077/3;077/4;079/4;080/3;081/1;081/4;082/1;083/1;083/2;083/4;084/3;085/2;086/2;086/3;088/2;088/3;088/4;089/3;092/3;093/2;093/3;095/1;095/2;095/3;096/2;097/1 ).</t>
  </si>
  <si>
    <t>0005133/2024</t>
  </si>
  <si>
    <t>d-sbnbsrsd-04c1-cade-4</t>
  </si>
  <si>
    <t>Substituição de 54 cadeias de isolador em 18 estrutura(s) da LT 230 kV BANABUIU /RUSSAS II C-1 CE-04C1 (097/2;097/3;098/1;098/3;099/2;100/3;100/4;101/2;101/3;102/1;102/2;102/4;103/2;104/2;104/3;108/4;110/3;111/1).</t>
  </si>
  <si>
    <t>0005134/2024</t>
  </si>
  <si>
    <t>d-sbnbsrsd-04c1-cade-5</t>
  </si>
  <si>
    <t>LT 230 kV MILAGRES /BANABUIU CE</t>
  </si>
  <si>
    <t>Substituição de 201 cadeias de isolador em 35 estrutura(s) da LT 230 kV MILAGRES /BANABUIU C-1 CE-04M1 (001/1;001/2;001/3;001/4;002/1;002/2;002/3;003/1;003/2;003/3;004/1;004/2;004/3;005/1;005/2;005/3;006/1;006/2;006/3;007/1;007/2;007/3;008/1;008/2;008/3;009/1;009/2;009/3;010/1;010/2;011/1;011/2;011/3;011/4;012/1 ).</t>
  </si>
  <si>
    <t>0005135/2024</t>
  </si>
  <si>
    <t>d-smlgsbnb-04m1-cade-1</t>
  </si>
  <si>
    <t>Substituição de 141 cadeias de isolador em 35 estrutura(s) da LT 230 kV MILAGRES /BANABUIU C-1 CE-04M1 (012/2;012/3;013/1;013/2;014/1;014/2;014/3;015/1;015/2;015/3;016/1;016/2;016/3;016/4;017/1;017/2;017/3;018/1;018/2;018/3;019/1;019/2;019/3;020/1;020/2;020/3;021/1;021/2;021/3;021/4;022/1;022/2;022/3;023/1;023/2 ).</t>
  </si>
  <si>
    <t>0005136/2024</t>
  </si>
  <si>
    <t>d-smlgsbnb-04m1-cade-2</t>
  </si>
  <si>
    <t>Substituição de 129 cadeias de isolador em 35 estrutura(s) da LT 230 kV MILAGRES /BANABUIU C-1 CE-04M1 (024/1;024/2;024/3;025/1;025/2;026/1;026/2;026/3;027/1;027/2;028/1;028/2;028/3;028/4;029/1;029/2;030/1;030/2;030/3;030/4;031/1;031/2;031/3;032/1;032/2;032/3;033/1;033/2;033/3;033/4;034/1;034/2;035/1;035/2;035/3 ).</t>
  </si>
  <si>
    <t>0005137/2024</t>
  </si>
  <si>
    <t>d-smlgsbnb-04m1-cade-3</t>
  </si>
  <si>
    <t>Substituição de 177 cadeias de isolador em 35 estrutura(s) da LT 230 kV MILAGRES /BANABUIU C-1 CE-04M1 (036/1;036/2;036/3;037/1;037/2;037/3;037/4;038/1;038/2;038/3;039/1;039/2;040/1;040/2;040/3;041/1;041/2;041/3;042/1;042/2;042/3;042/4;043/1;043/2;043/3;044/1;044/2;044/3;045/1;045/2;045/3;046/1;046/2;046/3;046/4 ).</t>
  </si>
  <si>
    <t>0005138/2024</t>
  </si>
  <si>
    <t>d-smlgsbnb-04m1-cade-4</t>
  </si>
  <si>
    <t>Substituição de 177 cadeias de isolador em 35 estrutura(s) da LT 230 kV MILAGRES /BANABUIU C-1 CE-04M1 (047/1;047/2;047/3;047/4;048/1;048/2;048/3;049/1;049/2;049/3;049/4;050/1;050/2;050/3;051/1;051/2;051/3;051/4;052/1;052/2;053/1;053/2;053/3;054/1;054/2;054/3;055/1;055/2;055/3;055/4;056/1;056/2;056/3;057/1;057/2 ).</t>
  </si>
  <si>
    <t>0005139/2024</t>
  </si>
  <si>
    <t>d-smlgsbnb-04m1-cade-5</t>
  </si>
  <si>
    <t>Substituição de 141 cadeias de isolador em 35 estrutura(s) da LT 230 kV MILAGRES /BANABUIU C-1 CE-04M1 (057/3;058/1;058/2;058/3;059/1;059/2;059/3;060/1;060/2;060/3;061/1;061/2;061/3;061/4;062/1;062/2;062/3;062/4;063/1;063/2;063/3;063/4;063/5;064/1;064/2;064/3;065/1;065/2;066/1;066/2;066/3;067/1;067/2;067/3;068/1 ).</t>
  </si>
  <si>
    <t>0005140/2024</t>
  </si>
  <si>
    <t>d-smlgsbnb-04m1-cade-6</t>
  </si>
  <si>
    <t>Substituição de 42 cadeias de isolador em 6 estrutura(s) da LT 230 kV RECIFE II /MIRUEIRA C-3 PE-04C6 (030/2;031/1;031/2;032/1;032/2;MRR).</t>
  </si>
  <si>
    <t>0005141/2024</t>
  </si>
  <si>
    <t>d-srcdsmrr-04c6-cade-3</t>
  </si>
  <si>
    <t>Substituição de 87 cadeias de isolador em 29 estrutura(s) da LT 230 kV MILAGRES /BANABUIU C-1 CE-04M1 (218/3;218/4;219/1;219/2;219/3;220/1;220/2;220/3;220/4;221/1;221/2;221/3;222/1;222/2;222/3;222/4;223/1;223/2;223/3;224/1;224/2;224/3;225/1;225/2;225/3;226/1;226/2;226/3;226/4).</t>
  </si>
  <si>
    <t>0005142/2024</t>
  </si>
  <si>
    <t>d-smlgsbnb-04m1-cade-7</t>
  </si>
  <si>
    <t>Substituição de 153 cadeias de isolador em 35 estrutura(s) da LT 230 kV MILAGRES /BANABUIU C-2 CE-04M3 (001/1;001/2;001/3;001/4;002/1;002/2;002/3;003/1;003/2;004/1;004/2;005/1;005/2;006/1;006/2;007/1;007/2;008/1;008/2;009/1;009/2;009/3;010/1;011/1;011/2;012/1;012/2;013/1;013/2;014/1;014/2;015/1;015/2;015/3;016/1 ).</t>
  </si>
  <si>
    <t>0005143/2024</t>
  </si>
  <si>
    <t>d-smlgsbnb-04m3-cade-1</t>
  </si>
  <si>
    <t>Substituição de 165 cadeias de isolador em 35 estrutura(s) da LT 230 kV MILAGRES /BANABUIU C-2 CE-04M3 (017/1;017/2;017/3;018/1;018/2;019/1;019/2;020/1;020/2;020/3;021/1;021/2;021/3;022/1;023/1;023/2;023/3;024/1;024/2;024/3;025/1;026/1;026/2;027/1;027/2;028/1;028/2;029/1;029/2;029/3;030/1;030/2;030/3;031/1;031/2 ).</t>
  </si>
  <si>
    <t>0005145/2024</t>
  </si>
  <si>
    <t>d-smlgsbnb-04m3-cade-2</t>
  </si>
  <si>
    <t>Substituição de 117 cadeias de isolador em 35 estrutura(s) da LT 230 kV MILAGRES /BANABUIU C-2 CE-04M3 (032/1;032/2;033/1;033/2;033/3;034/1;034/2;035/1;035/2;035/3;036/1;036/2;037/1;037/2;038/1;038/2;039/1;039/2;040/1;040/2;040/3;041/1;041/2;041/3;042/1;042/2;043/1;043/2;044/1;044/2;044/3;045/1;045/2;045/3;046/1 ).</t>
  </si>
  <si>
    <t>0005146/2024</t>
  </si>
  <si>
    <t>d-smlgsbnb-04m3-cade-3</t>
  </si>
  <si>
    <t>Substituição de 153 cadeias de isolador em 35 estrutura(s) da LT 230 kV MILAGRES /BANABUIU C-2 CE-04M3 (046/2;047/1;047/2;048/1;048/2;048/3;049/1;049/2;050/1;050/2;051/1;051/2;052/1;052/2;053/1;054/1;054/2;055/1;055/2;055/3;056/1;056/2;057/1;057/2;057/3;058/1;058/2;059/1;059/2;060/1;060/2;061/1;061/2;061/3;062/1 ).</t>
  </si>
  <si>
    <t>0005150/2024</t>
  </si>
  <si>
    <t>d-smlgsbnb-04m3-cade-4</t>
  </si>
  <si>
    <t>Substituição de 129 cadeias de isolador em 35 estrutura(s) da LT 230 kV MILAGRES /BANABUIU C-2 CE-04M3 (062/2;063/1;063/2;064/1;064/2;064/3;065/1;065/2;065/3;066/1;066/2;067/1;067/2;068/1;069/1;069/2;070/1;070/2;070/3;071/1;071/2;071/3;072/1;072/2;073/1;073/2;074/1;074/2;074/3;075/1;075/2;076/1;076/2;077/1;077/2 ).</t>
  </si>
  <si>
    <t>0005153/2024</t>
  </si>
  <si>
    <t>d-smlgsbnb-04m3-cade-5</t>
  </si>
  <si>
    <t>Substituição de 129 cadeias de isolador em 35 estrutura(s) da LT 230 kV MILAGRES /BANABUIU C-2 CE-04M3 (094/1;094/2;095/1;095/2;095/3;096/1;096/2;096/3;097/1;097/2;098/1;098/2;099/1;099/2;100/1;100/2;100/3;101/1;101/2;102/1;102/2;102/3;103/1;103/2;104/1;104/2;105/1;105/2;105/3;106/1;106/2;107/1;107/2;108/1;108/2 ).</t>
  </si>
  <si>
    <t>0005155/2024</t>
  </si>
  <si>
    <t>d-smlgsbnb-04m3-cade-7</t>
  </si>
  <si>
    <t>Substituição de 129 cadeias de isolador em 35 estrutura(s) da LT 230 kV MILAGRES /BANABUIU C-2 CE-04M3 (108/3;109/1;109/2;110/1;110/2;110/3;111/1;111/2;111/3;112/1;112/2;112/3;113/1;113/2;114/1;114/2;115/1;115/2;116/1;116/2;117/1;117/2;118/1;118/2;119/1;119/2;119/3;120/1;120/2;120/3;121/1;121/2;122/1;122/2;123/1 ).</t>
  </si>
  <si>
    <t>0005159/2024</t>
  </si>
  <si>
    <t>d-smlgsbnb-04m3-cade-8</t>
  </si>
  <si>
    <t>Substituição de 165 cadeias de isolador em 35 estrutura(s) da LT 230 kV MILAGRES /BANABUIU C-2 CE-04M3 (123/2;123/3;124/1;124/2;124/3;125/1;125/2;125/3;126/1;126/2;127/1;127/2;128/1;128/2;129/1;129/2;130/1;130/2;131/1;131/2;132/1;132/2;132/3;133/1;133/2;134/1;135/1;135/2;136/1;136/2;136/3;137/1;137/2;137/3;138/1 ).</t>
  </si>
  <si>
    <t>0005162/2024</t>
  </si>
  <si>
    <t>d-smlgsbnb-04m3-cade-9</t>
  </si>
  <si>
    <t>Substituição de 165 cadeias de isolador em 35 estrutura(s) da LT 230 kV MILAGRES /BANABUIU C-2 CE-04M3 (138/2;139/1;139/2;139/3;140/1;141/1;141/2;141/3;142/1;142/2;143/1;143/2;144/1;144/2;145/1;145/2;146/1;146/2;147/1;147/2;147/3;148/1;148/2;148/3;149/1;149/2;150/1;151/1;151/2;152/1;152/2;152/3;153/1;153/2;154/1 ).</t>
  </si>
  <si>
    <t>0005167/2024</t>
  </si>
  <si>
    <t>d-smlgsbnb-04m3-cade-10</t>
  </si>
  <si>
    <t>Substituição de 105 cadeias de isolador em 35 estrutura(s) da LT 230 kV MILAGRES /BANABUIU C-2 CE-04M3 (154/2;154/3;155/1;155/2;156/1;156/2;156/3;157/1;157/2;158/1;158/2;159/1;159/2;159/3;160/1;160/2;161/1;161/2;162/1;162/2;163/1;163/2;164/1;164/2;164/3;165/1;165/2;166/1;166/2;167/1;167/2;167/3;168/1;168/2;169/1 ).</t>
  </si>
  <si>
    <t>0005170/2024</t>
  </si>
  <si>
    <t>d-smlgsbnb-04m3-cade-11</t>
  </si>
  <si>
    <t>Substituição de 105 cadeias de isolador em 35 estrutura(s) da LT 230 kV MILAGRES /BANABUIU C-2 CE-04M3 (169/2;170/1;170/2;170/3;171/1;171/2;172/1;172/2;172/3;173/1;173/2;174/1;174/2;174/3;175/1;175/2;176/1;176/2;177/1;177/2;177/3;177/4;178/1;178/2;179/1;179/2;180/1;180/2;181/1;181/2;182/1;182/2;182/3;183/1;183/2 ).</t>
  </si>
  <si>
    <t>0005172/2024</t>
  </si>
  <si>
    <t>d-smlgsbnb-04m3-cade-12</t>
  </si>
  <si>
    <t>Substituição de 105 cadeias de isolador em 35 estrutura(s) da LT 230 kV MILAGRES /BANABUIU C-2 CE-04M3 (184/1;184/2;184/3;185/1;185/2;185/3;186/1;186/2;187/1;187/2;188/1;188/2;189/1;189/2;190/1;190/2;190/3;191/1;191/2;192/1;192/2;192/3;193/1;193/2;194/1;194/2;195/1;195/2;195/3;196/1;196/2;196/3;197/1;197/2;197/3 ).</t>
  </si>
  <si>
    <t>0005173/2024</t>
  </si>
  <si>
    <t>d-smlgsbnb-04m3-cade-13</t>
  </si>
  <si>
    <t>Substituição de 141 cadeias de isolador em 35 estrutura(s) da LT 230 kV MILAGRES /BANABUIU C-2 CE-04M3 (198/1;198/2;199/1;199/2;200/1;200/2;201/1;201/2;201/3;202/1;202/2;203/1;203/2;203/3;204/1;204/2;204/3;205/1;205/2;205/3;206/1;206/2;206/3;207/1;207/2;208/1;208/2;208/3;208/4;209/1;209/2;209/3;210/1;210/2;210/3 ).</t>
  </si>
  <si>
    <t>0005175/2024</t>
  </si>
  <si>
    <t>d-smlgsbnb-04m3-cade-14</t>
  </si>
  <si>
    <t>Substituição de 6 cadeias de isolador em 2 estrutura(s) da LT 230 kV MILAGRES /BANABUIU C-2 CE-04M3 (225/4;226/1 ).</t>
  </si>
  <si>
    <t>0005176/2024</t>
  </si>
  <si>
    <t>d-smlgsbnb-04m3-cade-15</t>
  </si>
  <si>
    <t>Substituição de 117 cadeias de isolador em 35 estrutura(s) da LT 230 kV MILAGRES /BANABUIU C-2 CE-04M3 (211/1;211/2;212/1;212/2;212/3;213/1;213/2;213/3;214/1;214/2;215/1;215/2;216/1;216/2;216/3;217/1;217/2;218/1;218/2;218/3;219/1;219/2;220/1;220/2;220/3;221/1;221/2;222/1;223/1;223/2;223/3;224/1;225/1;225/2;225/3 ).</t>
  </si>
  <si>
    <t>0005178/2024</t>
  </si>
  <si>
    <t>d-smlgsbnb-04m3-cade-16</t>
  </si>
  <si>
    <t>LT 230 kV BANABUIU /ICO CE</t>
  </si>
  <si>
    <t>Substituição de 60 cadeias de isolador em 16 estrutura(s) da LT 230 kV BANABUIU /ICO C-1 CE-04C2 (219/2;220/1;220/2;220/3;221/1;221/2;222/1;223/1;223/2;223/3;224/1;225/1;225/2;225/3;225/4;226/1 ).</t>
  </si>
  <si>
    <t>0005179/2024</t>
  </si>
  <si>
    <t>d-sicosbnb-04c2-cade-1</t>
  </si>
  <si>
    <t>Substituição de 105 cadeias de isolador em 35 estrutura(s) da LT 230 kV QUIXERE /MOSSORO II C-1 CE/RN-04L1 (026/1;026/2;026/3;026/4;027/1;027/2;027/3;027/4;028/1;028/2;028/3;028/4;029/1;029/2;029/3;029/4;030/1;030/2;030/3;030/4;031/1;031/2;031/3;031/4;032/1;032/2;032/3;032/4;033/1;033/2;033/3;033/4;034/1;034/2;034/3 ).</t>
  </si>
  <si>
    <t>0005180/2024</t>
  </si>
  <si>
    <t>d-sqxrsmsd-04l1-cade-1</t>
  </si>
  <si>
    <t>Substituição de 117 cadeias de isolador em 35 estrutura(s) da LT 230 kV QUIXERE /MOSSORO II C-1 CE/RN-04L1 (034/4;035/1;035/2;035/3;035/4;036/1;036/2;036/3;036/4;037/1;037/2;037/3;037/4;038/1;038/2;038/3;038/4;039/1;039/2;039/3;039/4;039/5;040/1;040/2;040/3;040/4;041/1;041/2;041/3;042/1;042/2;042/3;042/4;043/1;043/2 ).</t>
  </si>
  <si>
    <t>0005181/2024</t>
  </si>
  <si>
    <t>d-sqxrsmsd-04l1-cade-2</t>
  </si>
  <si>
    <t>Substituição de 117 cadeias de isolador em 35 estrutura(s) da LT 230 kV QUIXERE /MOSSORO II C-1 CE/RN-04L1 (043/3;043/4;044/1;044/2;044/3;044/4;045/1;045/2;045/3;045/4;046/1;046/2;046/3;046/4;047/1;047/2;047/3;047/4;048/1;048/2;048/3;048/4;049/1;049/2;049/3;049/4;050/1;050/2;050/3;050/4;051/1;051/2;051/3;051/4;052/1 ).</t>
  </si>
  <si>
    <t>0005183/2024</t>
  </si>
  <si>
    <t>d-sqxrsmsd-04l1-cade-3</t>
  </si>
  <si>
    <t>Substituição de 105 cadeias de isolador em 35 estrutura(s) da LT 230 kV QUIXERE /MOSSORO II C-1 CE/RN-04L1 (052/2;052/3;053/1;053/2;053/3;053/4;054/1;054/2;054/3;054/4;054/5;055/1;055/2;055/3;055/4;056/1;056/2;056/3;056/4;057/1;057/2;057/3;057/4;058/1;058/2;058/3;058/4;059/1;059/2;059/3;059/4;060/1;060/2;060/3;060/4 ).</t>
  </si>
  <si>
    <t>0005185/2024</t>
  </si>
  <si>
    <t>d-sqxrsmsd-04l1-cade-4</t>
  </si>
  <si>
    <t>Substituição de 117 cadeias de isolador em 35 estrutura(s) da LT 230 kV QUIXERE /MOSSORO II C-1 CE/RN-04L1 (061/1;061/2;061/3;061/4;062/1;062/2;062/3;062/4;063/1;063/2;063/3;063/4;064/1;064/2;064/3;064/4;065/1;065/2;065/3;065/4;066/1;066/2;066/3;066/4;067/1;067/2;067/3;068/1;068/2;068/3;068/4;068/5;069/1;069/2;069/3 ).</t>
  </si>
  <si>
    <t>0005191/2024</t>
  </si>
  <si>
    <t>d-sqxrsmsd-04l1-cade-5</t>
  </si>
  <si>
    <t>Substituição de 78 cadeias de isolador em 22 estrutura(s) da LT 230 kV QUIXERE /MOSSORO II C-1 CE/RN-04L1 (070/1;070/2;070/3;070/4;070/5;071/1;071/2;071/3;071/4;072/1;072/2;072/3;073/1;073/2;073/3;073/4;074/1;074/2;074/3;075/1;075/2;075/3 ).</t>
  </si>
  <si>
    <t>0005196/2024</t>
  </si>
  <si>
    <t>d-sqxrsmsd-04l1-cade-6</t>
  </si>
  <si>
    <t>Substituição de 129 cadeias de isolador em 35 estrutura(s) da LT 230 kV RUSSAS II /QUIXERE C-1 CE-04C2 (001/0;001/1;001/2;001/3;001/4;001/5;002/1;002/2;002/3;002/4;002/5;003/1;003/2;003/3;003/4;004/1;004/2;004/3;004/4;004/5;005/1;005/2;005/3;005/4;005/5;006/1;006/2;006/3;006/4;006/5;007/1;007/2;007/3;007/4;008/1 ).</t>
  </si>
  <si>
    <t>0005199/2024</t>
  </si>
  <si>
    <t>d-srsdsqxr-04c2-cade-1</t>
  </si>
  <si>
    <t>Substituição de 141 cadeias de isolador em 35 estrutura(s) da LT 230 kV RUSSAS II /QUIXERE C-1 CE-04C2 (008/2;008/3;008/4;009/1;009/2;009/3;009/4;010/1;010/2;010/3;011/1;012/1;012/2;012/3;012/4;013/1;013/2;013/3;013/4;014/1;014/2;014/3;014/4;015/1;015/2;015/3;015/4;016/1;016/2;016/3;017/1;017/2;017/3;017/4;018/1 ).</t>
  </si>
  <si>
    <t>0005203/2024</t>
  </si>
  <si>
    <t>d-srsdsqxr-04c2-cade-2</t>
  </si>
  <si>
    <t>Substituição de 93 cadeias de isolador em 31 estrutura(s) da LT 230 kV RUSSAS II /QUIXERE C-1 CE-04C2 (018/2;018/3;018/4;019/1;019/2;019/3;019/4;020/1;020/2;020/3;020/4;021/1;021/2;021/3;021/4;022/1;022/2;022/3;022/4;022/5;023/1;023/2;023/3;023/4;024/1;024/2;024/3;024/4;025/1;025/2;025/3 ).</t>
  </si>
  <si>
    <t>0005208/2024</t>
  </si>
  <si>
    <t>d-srsdsqxr-04c2-cade-3</t>
  </si>
  <si>
    <t>Substituição de 36 cadeias de isolador em 7 estrutura(s) da LT 230 kV RECIFE II /GOIANINHA C-2 PE-04C9 (070/1;070/2;070/3;071/1;071/2;071/3;GNN).</t>
  </si>
  <si>
    <t>0005210/2024</t>
  </si>
  <si>
    <t>d-srcdsgnn-04c9-cade-6</t>
  </si>
  <si>
    <t>Substituição de 36 cadeias de isolador em 7 estrutura(s) da LT 230 kV RECIFE II /GOIANINHA C-1 PE-04C8 (070/1;070/2;070/3;071/1;071/2;071/3;GNN).</t>
  </si>
  <si>
    <t>0005213/2024</t>
  </si>
  <si>
    <t>d-srcdsgnn-04c8-cade-6</t>
  </si>
  <si>
    <t>Substituição de 117 cadeias de isolador em 35 estrutura(s) da LT 230 kV BANABUIU /ICO C-1 CE-04C2 (102/3;103/1;103/2;104/1;104/2;105/1;105/2;105/3;106/1;106/2;107/1;107/2;108/1;108/2;108/3;109/1;109/2;110/1;110/2;110/3;111/1;111/2;111/3;112/1;112/2;112/3;113/1;113/2;114/1;114/2;115/1;115/2;116/1;116/2;117/1 ).</t>
  </si>
  <si>
    <t>0005217/2024</t>
  </si>
  <si>
    <t>d-sicosbnb-04c2-cade-2</t>
  </si>
  <si>
    <t>Substituição de 153 cadeias de isolador em 35 estrutura(s) da LT 230 kV BANABUIU /ICO C-1 CE-04C2 (117/2;118/1;118/2;119/1;119/2;119/3;120/1;120/2;120/3;121/1;121/2;122/1;122/2;123/1;123/2;123/3;124/1;124/2;124/3;125/1;125/2;125/3;126/1;126/2;127/1;127/2;128/1;128/2;129/1;129/2;130/1;130/2;131/1;131/2;132/1 ).</t>
  </si>
  <si>
    <t>0005222/2024</t>
  </si>
  <si>
    <t>d-sicosbnb-04c2-cade-3</t>
  </si>
  <si>
    <t>Substituição de 153 cadeias de isolador em 35 estrutura(s) da LT 230 kV BANABUIU /ICO C-1 CE-04C2 (132/2;132/3;133/1;133/2;134/1;135/1;135/2;136/1;136/2;136/3;137/1;137/2;137/3;138/1;138/2;139/1;139/2;139/3;140/1;141/1;141/2;141/3;142/1;142/2;143/1;143/2;144/1;144/2;145/1;145/2;146/1;146/2;147/1;147/2;147/3 ).</t>
  </si>
  <si>
    <t>0005225/2024</t>
  </si>
  <si>
    <t>d-sicosbnb-04c2-cade-4</t>
  </si>
  <si>
    <t>Substituição de 129 cadeias de isolador em 35 estrutura(s) da LT 230 kV BANABUIU /ICO C-1 CE-04C2 (148/1;148/2;148/3;149/1;149/2;150/1;151/1;151/2;152/1;152/2;152/3;153/1;153/2;154/1;154/2;154/3;155/1;155/2;156/1;156/2;156/3;157/1;157/2;158/1;158/2;159/1;159/2;159/3;160/1;160/2;161/1;161/2;162/1;162/2;163/1 ).</t>
  </si>
  <si>
    <t>0005228/2024</t>
  </si>
  <si>
    <t>d-sicosbnb-04c2-cade-5</t>
  </si>
  <si>
    <t>Substituição de 105 cadeias de isolador em 35 estrutura(s) da LT 230 kV BANABUIU /ICO C-1 CE-04C2 (163/2;164/1;164/2;164/3;165/1;165/2;166/1;166/2;167/1;167/2;167/3;168/1;168/2;169/1;169/2;170/1;170/2;170/3;171/1;171/2;172/1;172/2;172/3;173/1;173/2;174/1;174/2;174/3;175/1;175/2;176/1;176/2;177/1;177/2;177/3 ).</t>
  </si>
  <si>
    <t>0005229/2024</t>
  </si>
  <si>
    <t>d-sicosbnb-04c2-cade-6</t>
  </si>
  <si>
    <t>Substituição de 105 cadeias de isolador em 35 estrutura(s) da LT 230 kV BANABUIU /ICO C-1 CE-04C2 (177/4;178/1;178/2;179/1;179/2;180/1;180/2;181/1;181/2;182/1;182/2;182/3;183/1;183/2;184/1;184/2;184/3;185/1;185/2;185/3;186/1;186/2;187/1;187/2;188/1;188/2;189/1;189/2;190/1;190/2;190/3;191/1;191/2;192/1;192/2 ).</t>
  </si>
  <si>
    <t>0005230/2024</t>
  </si>
  <si>
    <t>d-sicosbnb-04c2-cade-7</t>
  </si>
  <si>
    <t>Substituição de 129 cadeias de isolador em 35 estrutura(s) da LT 230 kV BANABUIU /ICO C-1 CE-04C2 (192/3;193/1;193/2;194/1;194/2;195/1;195/2;195/3;196/1;196/2;196/3;197/1;197/2;197/3;198/1;198/2;199/1;199/2;200/1;200/2;201/1;201/2;201/3;202/1;202/2;203/1;203/2;203/3;204/1;204/2;204/3;205/1;205/2;205/3;206/1 ).</t>
  </si>
  <si>
    <t>0005231/2024</t>
  </si>
  <si>
    <t>d-sicosbnb-04c2-cade-8</t>
  </si>
  <si>
    <t>Substituição de 117 cadeias de isolador em 35 estrutura(s) da LT 230 kV BANABUIU /ICO C-1 CE-04C2 (206/2;206/3;207/1;207/2;208/1;208/2;208/3;208/4;209/1;209/2;209/3;210/1;210/2;210/3;211/1;211/2;212/1;212/2;212/3;213/1;213/2;213/3;214/1;214/2;215/1;215/2;216/1;216/2;216/3;217/1;217/2;218/1;218/2;218/3;219/1 ).</t>
  </si>
  <si>
    <t>0005232/2024</t>
  </si>
  <si>
    <t>d-sicosbnb-04c2-cade-9</t>
  </si>
  <si>
    <t>LT 230 kV MOSSORO II /ACU III RN</t>
  </si>
  <si>
    <t>Substituição de 81 cadeias de isolador em 27 estrutura(s) da LT 230 kV MOSSORO II /ACU III C-1 RN-04Z7 (046/2;047/1;047/2;048/1;048/2;049/1;049/2;050/1;050/2;051/1;051/2;052/1;053/1;053/2;054/1;054/2;055/1;055/2;056/1;056/2;057/1;057/2;058/1;058/2;059/1;060/1;060/2 ).</t>
  </si>
  <si>
    <t>LT 230 kV MOSSORO II /ACU III C-1 RN</t>
  </si>
  <si>
    <t>0005233/2024</t>
  </si>
  <si>
    <t>d-smsdsact-04z7-cade-1</t>
  </si>
  <si>
    <t>Substituição de 140 cadeias de isolador em 35 estrutura(s) da LT 500 kV P. AFONSO IV /JEREMOABO C-1 BA-05S5 (048/1;048/2;049/1;049/2;049/3;050/1;050/2;051/1;051/2;052/1;052/2;053/1;053/2;054/1;054/2;054/3;055/1;055/2;056/1;056/2;057/1;057/2;058/1;058/2;058/3;059/1;059/2;060/1;060/2;061/1;061/2;062/1;062/2;062/3;063/1).</t>
  </si>
  <si>
    <t>0005237/2024</t>
  </si>
  <si>
    <t>d-spaqsjer-05s5-cade-1</t>
  </si>
  <si>
    <t>Substituição de 152 cadeias de isolador em 44 estrutura(s) da LT 500 kV P. AFONSO IV /JEREMOABO C-1 BA-05S5 (063/2;064/1;064/2;065/1;065/2;066/1;066/2;067/1;067/2;068/1;068/2;069/1;069/2;069/3;070/1;070/2;071/1;071/2;072/1;073/1;073/2;074/1;074/2;075/1;075/2;076/1;076/2;076/3;077/1;077/2;078/1;078/2;079/1;079/2;079/3;080/1;080/2;081/1;081/2;082/1;082/2;083/1;083/2;).</t>
  </si>
  <si>
    <t>0005239/2024</t>
  </si>
  <si>
    <t>d-spaqsjer-05s5-cade-2</t>
  </si>
  <si>
    <t>Substituição de 164 cadeias de isolador em 23 estrutura(s) da LT 500 kV JEREMOABO /OLINDINA C-1 BA-05L9 (085/2;086/1;086/2;087/1;087/2;088/1;088/2;089/1;089/2;090/1;090/2;091/1;091/2;092/1;092/2;093/1;093/2;093/3;094/1;094/2;095/1;095/2;096/1).</t>
  </si>
  <si>
    <t>0005241/2024</t>
  </si>
  <si>
    <t>d-sjersold-05l9-cade-1</t>
  </si>
  <si>
    <t>Substituição de 158 cadeias de isolador em 35 estrutura(s) da LT 500 kV OLINDINA /US. L.GONZAGA C-1 BA/PE-05S4 (181/4;182/1;182/2;182/4;183/1;183/2;183/3;184/1;184/2;184/3;185/1;185/2;185/3;185/4;186/1;186/2;187/1;187/2;188/1;189/1;189/2;189/3;189/4;190/1;190/2;191/1;191/3;192/2;192/3;193/1;193/3;194/1;194/3;195/1;196/2).</t>
  </si>
  <si>
    <t>0005247/2024</t>
  </si>
  <si>
    <t>d-slgzsold-05s4-cade-1</t>
  </si>
  <si>
    <t>Substituição de 176 cadeias de isolador em 35 estrutura(s) da LT 500 kV OLINDINA /US. L.GONZAGA C-1 BA/PE-05S4 (196/4;197/1;197/2;197/3;198/3;199/2;199/3;199/4;200/1;200/2;200/3;201/1;201/2;201/4;202/1;203/1;203/2;203/4;204/1;204/2;204/3;205/2;205/3;206/1;206/2;206/3;207/1;207/3;208/1;208/2;209/1;209/3;210/1;210/2;210/3).</t>
  </si>
  <si>
    <t>0005249/2024</t>
  </si>
  <si>
    <t>d-slgzsold-05s4-cade-2</t>
  </si>
  <si>
    <t>Substituição de 124 cadeias de isolador em 22 estrutura(s) da LT 500 kV OLINDINA /US. L.GONZAGA C-1 BA/PE-05S4 (210/4;211/1;211/3;212/3;213/2;214/2;216/2;216/4;217/1;217/3;218/2;219/3;220/3;221/2;221/3;222/3;223/2;223/4;225/2;225/3;225/4;226/2).</t>
  </si>
  <si>
    <t>0005254/2024</t>
  </si>
  <si>
    <t>d-slgzsold-05s4-cade-3</t>
  </si>
  <si>
    <t>Substituição de 141 cadeias de isolador em 35 estrutura(s) da LT 230 kV MILAGRES /BANABUIU C-1 CE-04M1 (068/2;068/3;069/1;069/2;070/1;070/2;070/3;070/4;071/1;071/2;071/3;072/1;072/2;072/3;073/1;073/2;073/3;073/4;074/1;074/2;074/3;075/1;075/2;075/3;076/1;076/2;076/3;077/1;077/2;077/3;078/1;078/2;078/3;079/1;079/2 ).</t>
  </si>
  <si>
    <t>0005258/2024</t>
  </si>
  <si>
    <t>d-smlgsbnb-04m1-cade-8</t>
  </si>
  <si>
    <t>Substituição de 153 cadeias de isolador em 35 estrutura(s) da LT 230 kV MILAGRES /BANABUIU C-1 CE-04M1 (079/3;079/4;080/1;080/2;080/3;081/1;081/2;082/1;082/2;082/3;082/4;083/1;083/2;083/3;084/1;084/2;084/3;084/4;085/1;085/2;086/1;086/2;086/3;087/1;087/2;087/3;088/1;088/2;088/3;089/1;089/2;089/3;090/1;090/2;090/3 ).</t>
  </si>
  <si>
    <t>0005263/2024</t>
  </si>
  <si>
    <t>d-smlgsbnb-04m1-cade-9</t>
  </si>
  <si>
    <t>Substituição de 129 cadeias de isolador em 35 estrutura(s) da LT 230 kV MILAGRES /BANABUIU C-1 CE-04M1 (090/4;091/1;091/2;091/3;092/1;092/2;092/3;092/4;093/1;093/2;093/3;094/1;094/2;094/3;094/4;095/1;095/2;095/3;095/4;096/1;096/2;096/3;097/1;097/2;097/3;098/1;098/2;098/3;099/1;099/2;099/3;099/4;100/1;100/2;101/1 ).</t>
  </si>
  <si>
    <t>0005265/2024</t>
  </si>
  <si>
    <t>d-smlgsbnb-04m1-cade-10</t>
  </si>
  <si>
    <t>Substituição de 189 cadeias de isolador em 35 estrutura(s) da LT 230 kV MILAGRES /BANABUIU C-1 CE-04M1 (101/2;101/3;101/4;102/1;102/2;102/3;103/1;103/2;103/3;104/1;104/2;104/3;104/4;105/1;105/2;105/3;106/1;106/2;106/3;106/4;107/1;107/2;107/3;107/4;108/1;108/2;108/3;109/1;109/2;109/3;110/1;110/2;110/3;111/1;111/2 ).</t>
  </si>
  <si>
    <t>0005266/2024</t>
  </si>
  <si>
    <t>d-smlgsbnb-04m1-cade-11</t>
  </si>
  <si>
    <t>Substituição de 177 cadeias de isolador em 35 estrutura(s) da LT 230 kV MILAGRES /BANABUIU C-1 CE-04M1 (111/3;112/1;112/2;112/3;112/4;113/1;113/2;113/3;114/1;114/2;114/3;115/1;115/2;115/3;116/1;116/2;116/3;116/4;117/1;117/2;117/3;117/4;118/1;118/2;118/3;119/1;119/2;119/3;119/4;120/1;120/2;121/1;121/2;121/3;121/4 ).</t>
  </si>
  <si>
    <t>0005267/2024</t>
  </si>
  <si>
    <t>d-smlgsbnb-04m1-cade-12</t>
  </si>
  <si>
    <t>Substituição de 177 cadeias de isolador em 35 estrutura(s) da LT 230 kV MILAGRES /BANABUIU C-1 CE-04M1 (122/1;122/2;122/3;122/4;123/1;123/2;123/3;124/1;124/2;124/3;125/1;125/2;125/3;126/1;126/2;126/3;127/1;127/2;127/3;128/1;128/2;128/3;128/4;129/1;129/2;130/1;130/2;130/3;131/1;131/2;131/3;132/1;132/2;132/3;133/1 ).</t>
  </si>
  <si>
    <t>0005269/2024</t>
  </si>
  <si>
    <t>d-smlgsbnb-04m1-cade-13</t>
  </si>
  <si>
    <t>Substituição de 141 cadeias de isolador em 35 estrutura(s) da LT 230 kV MILAGRES /BANABUIU C-1 CE-04M1 (133/2;133/3;133/4;133/5;134/1;134/2;135/1;135/2;135/3;136/1;136/2;136/3;137/1;137/2;137/3;138/1;138/2;138/3;139/1;139/2;139/3;139/4;140/1;140/2;140/3;141/1;141/2;141/3;141/4;142/1;142/2;142/3;143/1;143/2;143/3 ).</t>
  </si>
  <si>
    <t>0005270/2024</t>
  </si>
  <si>
    <t>d-smlgsbnb-04m1-cade-14</t>
  </si>
  <si>
    <t>Substituição de 129 cadeias de isolador em 35 estrutura(s) da LT 230 kV MILAGRES /BANABUIU C-1 CE-04M1 (144/1;144/2;144/3;144/4;145/1;145/2;145/3;146/1;146/2;146/3;147/1;147/2;147/3;147/4;148/1;148/2;149/1;149/2;149/3;149/4;150/1;150/2;150/3;151/1;151/2;151/3;152/1;152/2;152/3;152/4;153/1;153/2;153/3;154/1;154/2 ).</t>
  </si>
  <si>
    <t>0005271/2024</t>
  </si>
  <si>
    <t>d-smlgsbnb-04m1-cade-15</t>
  </si>
  <si>
    <t>Substituição de 117 cadeias de isolador em 35 estrutura(s) da LT 230 kV MILAGRES /BANABUIU C-1 CE-04M1 (154/3;155/1;155/2;155/3;156/1;156/2;156/3;157/1;157/2;157/3;158/1;158/2;158/3;159/1;159/2;160/1;160/2;160/3;161/1;161/2;161/3;161/4;162/1;162/2;162/3;163/1;163/2;163/3;163/4;164/1;164/2;164/3;165/1;165/2;165/3 ).</t>
  </si>
  <si>
    <t>0005273/2024</t>
  </si>
  <si>
    <t>d-smlgsbnb-04m1-cade-16</t>
  </si>
  <si>
    <t>Substituição de 105 cadeias de isolador em 35 estrutura(s) da LT 230 kV MILAGRES /BANABUIU C-1 CE-04M1 (165/4;166/1;166/2;167/1;167/2;167/3;167/4;168/1;168/2;168/3;169/1;169/2;169/3;170/1;170/2;170/3;171/1;171/2;171/3;172/1;172/2;172/3;173/1;173/2;173/3;174/1;174/2;174/3;174/4;175/1;175/2;175/3;175/4;176/1;176/2 ).</t>
  </si>
  <si>
    <t>0005275/2024</t>
  </si>
  <si>
    <t>d-smlgsbnb-04m1-cade-17</t>
  </si>
  <si>
    <t>Substituição de 105 cadeias de isolador em 35 estrutura(s) da LT 230 kV MILAGRES /BANABUIU C-1 CE-04M1 (176/3;177/1;177/2;177/3;177/4;178/1;178/2;178/3;179/1;179/2;179/3;180/1;180/2;180/3;181/1;181/2;181/3;182/1;182/2;182/3;183/1;183/2;183/3;183/4;184/1;184/2;184/3;185/1;185/2;185/3;185/4;186/1;186/2;186/3;187/1 ).</t>
  </si>
  <si>
    <t>0005276/2024</t>
  </si>
  <si>
    <t>d-smlgsbnb-04m1-cade-18</t>
  </si>
  <si>
    <t>Substituição de 105 cadeias de isolador em 35 estrutura(s) da LT 230 kV MILAGRES /BANABUIU C-1 CE-04M1 (187/2;187/3;188/1;188/2;188/3;188/4;189/1;189/2;189/3;190/1;190/2;190/3;191/1;191/2;191/3;192/1;192/2;192/3;192/4;193/1;193/2;193/3;194/1;194/2;194/3;195/1;195/2;195/3;196/1;196/2;196/3;196/4;197/1;197/2;197/3).</t>
  </si>
  <si>
    <t>0005277/2024</t>
  </si>
  <si>
    <t>d-smlgsbnb-04m1-cade-19</t>
  </si>
  <si>
    <t>Substituição de 129 cadeias de isolador em 35 estrutura(s) da LT 230 kV MILAGRES /BANABUIU C-1 CE-04M1 (198/1;198/2;198/3;198/4;199/1;199/2;199/3;200/1;200/2;200/3;201/1;201/2;201/3;202/1;202/2;202/3;202/4;203/1;203/2;203/3;204/1;204/2;204/3;204/4;205/1;205/2;205/3;206/1;206/2;206/3;206/4;207/1;207/2;207/3;207/4).</t>
  </si>
  <si>
    <t>0005278/2024</t>
  </si>
  <si>
    <t>d-smlgsbnb-04m1-cade-20</t>
  </si>
  <si>
    <t>Substituição de 105 cadeias de isolador em 35 estrutura(s) da LT 230 kV MILAGRES /BANABUIU C-1 CE-04M1 (208/1;208/2;208/3;208/4;209/1;209/2;209/3;210/1;210/2;210/3;211/1;211/2;211/3;212/1;212/2;212/3;213/1;213/2;213/3;213/4;214/1;214/2;214/3;214/4;215/1;215/2;215/3;216/1;216/2;216/3;217/1;217/2;217/3;218/1;218/2).</t>
  </si>
  <si>
    <t>0005279/2024</t>
  </si>
  <si>
    <t>d-smlgsbnb-04m1-cade-21</t>
  </si>
  <si>
    <t>Substituição de 105 cadeias de isolador em 35 estrutura(s) da LT 230 kV BANABUIU /AQUIRAZ II C-1 CE-04C8 (071/2;071/3;072/1;072/2;073/1;073/2;074/1;074/2;075/1;075/2;075/3;076/1;076/2;077/1;077/2;077/3;078/1;078/2;079/1;079/2;079/3;080/1;080/2;081/1;081/2;081/3;082/1;082/2;082/3;082/4;083/1;083/2;084/1;084/2;084/3 ).</t>
  </si>
  <si>
    <t>0005280/2024</t>
  </si>
  <si>
    <t>d-saqdsbnb-04c8-cade-11</t>
  </si>
  <si>
    <t>Substituição de 129 cadeias de isolador em 35 estrutura(s) da LT 230 kV MOSSORO II /ACU III C-1 RN-04Z7 (001/1;002/1;002/2;002/3;002/4;002/5;003/1;003/2;003/3;003/4;004/1;004/2;004/3;005/1;005/2;005/3;005/4;006/1;006/2;006/3;006/4;007/1;007/2;007/3;008/1;008/2;008/3;008/4;009/1;009/2;009/3;009/4;010/1;010/2;010/3 ).</t>
  </si>
  <si>
    <t>0005281/2024</t>
  </si>
  <si>
    <t>d-smsdsact-04z7-cade-2</t>
  </si>
  <si>
    <t>Substituição de 129 cadeias de isolador em 35 estrutura(s) da LT 230 kV MOSSORO II /ACU III C-1 RN-04Z7 (010/4;011/1;011/2;011/3;012/1;012/2;012/3;013/1;014/1;014/2;014/3;015/1;016/1;016/2;017/1;017/2;018/1;018/2;019/1;019/2;020/1;020/2;021/1;021/2;022/1;022/2;023/1;023/2;024/1;024/2;025/1;025/2;026/1;026/2;027/1 ).</t>
  </si>
  <si>
    <t>0005282/2024</t>
  </si>
  <si>
    <t>d-smsdsact-04z7-cade-3</t>
  </si>
  <si>
    <t>Substituição de 105 cadeias de isolador em 35 estrutura(s) da LT 230 kV MOSSORO II /ACU III C-1 RN-04Z7 (028/1;028/2;029/1;029/2;030/1;030/2;031/1;031/2;032/1;033/1;033/2;034/1;034/2;035/1;035/2;036/1;036/2;037/1;037/2;037/3;038/1;039/1;039/2;040/1;040/2;041/1;041/2;042/1;042/2;043/1;043/2;044/1;045/1;045/2;046/1 ).</t>
  </si>
  <si>
    <t>0005283/2024</t>
  </si>
  <si>
    <t>d-smsdsact-04z7-cade-4</t>
  </si>
  <si>
    <t>Substituição de 143 cadeias de isolador em 34 estrutura(s) da LT 230 kV ANGELIM /RIBEIRAO C-2 PE-04S2 (044/2;044/3;045/1;046/1;046/2;047/1;047/2;048/1;048/2;049/1;049/2;050/1;050/2;051/1;051/2;052/1;052/2;053/1;053/2;053/3;054/1;054/2;054/3;055/1;055/2;056/1;056/2;057/1;057/2;058/1;058/2;059/1;059/2;059/3).</t>
  </si>
  <si>
    <t>0005285/2024</t>
  </si>
  <si>
    <t>d-saglsrib-04s2-cade-6</t>
  </si>
  <si>
    <t>Substituição de 96 cadeias de isolador em 24 estrutura(s) da LT 230 kV BANABUIU /AQUIRAZ II C-1 CE-04C8 (156/2;156/3;156/4;157/1;157/2;157/3;158/1;158/2;158/3;159/1;159/2;160/1;160/2;160/3;161/1;161/2;162/1;162/2;162/3;163/1;163/2;164/1;164/2;164/3 ).</t>
  </si>
  <si>
    <t>0005289/2024</t>
  </si>
  <si>
    <t>d-saqdsbnb-04c8-cade-12</t>
  </si>
  <si>
    <t>Substituição de 93 cadeias de isolador em 21 estrutura(s) da LT 230 kV RECIFE II /MIRUEIRA C-1 PE-04C4 (025/3;025/4;026/1;026/2;026/3;027/1;027/2;027/3;028/1;028/2;028/3;029/1;029/2;029/3;030/1;030/2;030/3;031/1;031/2;032/1;MRR).</t>
  </si>
  <si>
    <t>0005292/2024</t>
  </si>
  <si>
    <t>d-srcdsmrr-04c4-cade-3</t>
  </si>
  <si>
    <t>Substituição de 42 cadeias de isolador em 10 estrutura(s) da LT 230 kV BANABUIU /AQUIRAZ II C-3 CE-04C6 (162/2;162/3;162/4;163/1;163/2;164/1;164/2;164/3;165/1;165/2 ).</t>
  </si>
  <si>
    <t>0005296/2024</t>
  </si>
  <si>
    <t>d-saqdsbnb-04c6-cade-16</t>
  </si>
  <si>
    <t>Substituição de 3 cadeias de isolador em 1 estrutura(s) da LT 230 kV RECIFE II /GOIANINHA C-1 PE-04C8 (040/1).</t>
  </si>
  <si>
    <t>0005299/2024</t>
  </si>
  <si>
    <t>d-srcdsgnn-04c8-cade-7</t>
  </si>
  <si>
    <t>Substituição de 6 cadeias de isolador em 2 estrutura(s) da LT 230 kV RECIFE II /GOIANINHA C-1 PE-04C8 (046/1;046/2).</t>
  </si>
  <si>
    <t>0005303/2024</t>
  </si>
  <si>
    <t>d-srcdsgnn-04c8-cade-8</t>
  </si>
  <si>
    <t>LT 230 kV ITABAIANA /JARDIM SE</t>
  </si>
  <si>
    <t>Substituição de 18 cadeias de isolador em 6 estrutura(s) da LT 230 kV ITABAIANA /JARDIM C-1 SE-04C1 (015/2;016/1;016/2;028/2;016/3;016/4).</t>
  </si>
  <si>
    <t>0005304/2024</t>
  </si>
  <si>
    <t>d-sitbsjdm-04c1-cade-1</t>
  </si>
  <si>
    <t>LT 230 kV ITABAIANINHA /CATU SE/BA</t>
  </si>
  <si>
    <t>Substituição de 57 cadeias de isolador em 19 estrutura(s) da LT 230 kV ITABAIANINHA /CATU C-1 SE/BA-04L1 (004/3;004/4;005/1;007/2;009/1;009/2;024/1;027/2;029/2;029/3;030/1;031/3;035/2;044/2;016/2;018/1;019/1;021/1;021/2).</t>
  </si>
  <si>
    <t>0005305/2024</t>
  </si>
  <si>
    <t>d-sithsctu-04l1-cade-1</t>
  </si>
  <si>
    <t>Substituição de 4 cadeias de isolador em 1 estrutura(s) da LT 500 kV OLINDINA /US. L.GONZAGA C-1 BA/PE-05S4 (117/1).</t>
  </si>
  <si>
    <t>0005307/2024</t>
  </si>
  <si>
    <t>d-slgzsold-05s4-cade-4</t>
  </si>
  <si>
    <t>Substituição de 17,3 km de cabos condutores (Hawk) em 2 vão(s) da LT 500 kV ANGELIM II /PAU FERRO C-1 PE-05L3 (042/1;043/1).</t>
  </si>
  <si>
    <t>0005310/2024</t>
  </si>
  <si>
    <t>d-sagdspfe-05l3-cndt-1</t>
  </si>
  <si>
    <t>LT 69 kV ABAIXADORA /MULUNGU BA</t>
  </si>
  <si>
    <t>Substituição de 3 km de cabos condutores (Grosbeak) em 1 vão(s) da LT 69 kV ABAIXADORA /MULUNGU C-1 BA-02M2 (3).</t>
  </si>
  <si>
    <t>LT 69 kV ABAIXADORA /MULUNGU C-1 BA</t>
  </si>
  <si>
    <t>0005311/2024</t>
  </si>
  <si>
    <t>d-sabxsmlu-02m2-cndt-1</t>
  </si>
  <si>
    <t>Substituição de 9 cadeias de isolador em 1 estrutura(s) da LT 69 kV ABAIXADORA /MULUNGU C-1 BA-02M2 (3).</t>
  </si>
  <si>
    <t>0005312/2024</t>
  </si>
  <si>
    <t>d-sabxsmlu-02m2-cade-1</t>
  </si>
  <si>
    <t>Substituição de 108 cadeias de isolador em 36 estrutura(s) da LT 230 kV C.GRANDE II /PARAISO C-1 PB/RN-04V2 (001/3;011/1;011/2;012/2;013/2;014/1;014/2;015/1;015/2;016/1;016/2;017/1;021/2;022/2;023/1;023/2;023/3;024/1;024/2;025/1;025/2;026/1;026/2;027/2;027/3;028/1;028/2;028/3;029/2;029/3;030/2;031/2;031/3;032/1;032/2;034/2).</t>
  </si>
  <si>
    <t>0005313/2024</t>
  </si>
  <si>
    <t>d-scgdsprs-04v2-cade-1</t>
  </si>
  <si>
    <t>Substituição de 01 (um) sistema de monitoramento para Transformador de Força 500kV posição operacional 05T1 da subestação SJI</t>
  </si>
  <si>
    <t>0005314/2024</t>
  </si>
  <si>
    <t>12627623</t>
  </si>
  <si>
    <t>Substituição de 01 (um) sistema de monitoramento para Transformador de Força 500kV posição operacional 05T1.C da subestação BEA</t>
  </si>
  <si>
    <t>0005315/2024</t>
  </si>
  <si>
    <t>12627628</t>
  </si>
  <si>
    <t>Substituição de um mancal do compensador síncrono 13,8 kv, posição 01k2 da substação de RCD</t>
  </si>
  <si>
    <t>0005316/2024</t>
  </si>
  <si>
    <t>12622075</t>
  </si>
  <si>
    <t>Substituição de um anel coletor do compensador síncrono 13,8 kv, posição 01k1 da substação de CMD</t>
  </si>
  <si>
    <t>0005317/2024</t>
  </si>
  <si>
    <t>12622076</t>
  </si>
  <si>
    <t>Substituição de um anel coletor do compensador síncrono 13,8 kv, posição 01k2 da substação de CMD</t>
  </si>
  <si>
    <t>0005318/2024</t>
  </si>
  <si>
    <t>12622077</t>
  </si>
  <si>
    <t>Substituição de 01 Relé de gás para Transformador de posição operacional 04T6 da Subestação FNL</t>
  </si>
  <si>
    <t>0005319/2024</t>
  </si>
  <si>
    <t>11348083</t>
  </si>
  <si>
    <t>Substituição de 01 (uma) Seccionadora com lâmina de terra 69 kV, posição operacional 32J7-6/7 da Subestação AGL</t>
  </si>
  <si>
    <t>0005320/2024</t>
  </si>
  <si>
    <t>Substituição de 01 (uma) Seccionadora 69 KV posição operacional 32J2-4 da Subestação AGL</t>
  </si>
  <si>
    <t>0005321/2024</t>
  </si>
  <si>
    <t>Substituição de 01 (uma) Seccionadora 69 KV posição operacional 32J2-5 da Subestação AGL</t>
  </si>
  <si>
    <t>0005322/2024</t>
  </si>
  <si>
    <t>Substituição de 01 (uma) Seccionadora com lâmina de terra 69 kV, posição operacional 32J2-6/7 da Subestação AGL</t>
  </si>
  <si>
    <t>0005323/2024</t>
  </si>
  <si>
    <t>Substituição de 01 (uma) Seccionadora 69 KV posição operacional 32J4-4 da Subestação AGL</t>
  </si>
  <si>
    <t>0005324/2024</t>
  </si>
  <si>
    <t>Substituição de 01 (uma) Seccionadora 69 KV posição operacional 32J4-5 da Subestação AGL</t>
  </si>
  <si>
    <t>0005325/2024</t>
  </si>
  <si>
    <t>Substituição de 01 (uma) Seccionadora com lâmina de terra 69 kV, posição operacional 32J4-6/7 da Subestação AGL</t>
  </si>
  <si>
    <t>0005326/2024</t>
  </si>
  <si>
    <t>Substituição de 01 (uma) Seccionadora 69 KV posição operacional 32J3-4 da Subestação AGL</t>
  </si>
  <si>
    <t>0005327/2024</t>
  </si>
  <si>
    <t>Substituição de 01 (uma) Seccionadora 69 KV posição operacional 32J3-5 da Subestação AGL</t>
  </si>
  <si>
    <t>0005328/2024</t>
  </si>
  <si>
    <t>Substituição de 01 (uma) Seccionadora com lâmina de terra 69 kV, posição operacional 32J3-6/7 da Subestação AGL</t>
  </si>
  <si>
    <t>0005329/2024</t>
  </si>
  <si>
    <t>Substituição de 01 (uma) Seccionadora 69 KV posição operacional 32J5-4 da Subestação AGL</t>
  </si>
  <si>
    <t>0005330/2024</t>
  </si>
  <si>
    <t>Substituição de 01 (uma) Seccionadora 69 KV posição operacional 32J5-5 da Subestação AGL</t>
  </si>
  <si>
    <t>0005331/2024</t>
  </si>
  <si>
    <t>Substituição de 01 (uma) Seccionadora 69 KV posição operacional 32A1-8 da Subestação ACD</t>
  </si>
  <si>
    <t>MC 69 kV TT 69/13,8 kV ACU II TA1 RN (32A1)</t>
  </si>
  <si>
    <t>0005332/2024</t>
  </si>
  <si>
    <t>Substituição de 01 (um) disjuntor de 230 KV, posição operacional 14T1-A da Subestação BEA</t>
  </si>
  <si>
    <t>0005342/2024</t>
  </si>
  <si>
    <t>14T1-A</t>
  </si>
  <si>
    <t>Substituição de 01 (um) disjuntor de 230 KV, posição operacional 14T1-B da Subestação BEA</t>
  </si>
  <si>
    <t>0005345/2024</t>
  </si>
  <si>
    <t>14T1-B</t>
  </si>
  <si>
    <t>Substituição de 01 (um) disjuntor de 230 KV, posição operacional 14T1-A da Subestação SJI</t>
  </si>
  <si>
    <t>0005347/2024</t>
  </si>
  <si>
    <t>Substituição de 01 (um) disjuntor de 230 KV, posição operacional 14T1-B da Subestação SJI</t>
  </si>
  <si>
    <t>0005349/2024</t>
  </si>
  <si>
    <t>Substituição de 01 (um) disjuntor de 230 KV, posição operacional 14T3 da Subestação SJI</t>
  </si>
  <si>
    <t>0005350/2024</t>
  </si>
  <si>
    <t>14T3</t>
  </si>
  <si>
    <t>Substituição de 01 (um) disjuntor de 230 KV, posição operacional 14T4 da Subestação SJI</t>
  </si>
  <si>
    <t>0005351/2024</t>
  </si>
  <si>
    <t>14T4</t>
  </si>
  <si>
    <t>Substituição de 01 (um) disjuntor de 230 KV, posição operacional 14F3 da Subestação FTZ</t>
  </si>
  <si>
    <t>0005352/2024</t>
  </si>
  <si>
    <t>14F3</t>
  </si>
  <si>
    <t>Substituição de 01 (um) disjuntor de 230 KV, posição operacional 14Z4 da Subestação FTZ</t>
  </si>
  <si>
    <t>0005353/2024</t>
  </si>
  <si>
    <t>14Z4</t>
  </si>
  <si>
    <t>Substituição de 01 (um) disjuntor de 230 KV, posição operacional 14Z6 da Subestação FTZ</t>
  </si>
  <si>
    <t>0005355/2024</t>
  </si>
  <si>
    <t>14Z6</t>
  </si>
  <si>
    <t>Substituição de 01 (um) disjuntor de 230 KV, posição operacional 14C2 da Subestação RSD</t>
  </si>
  <si>
    <t>0005357/2024</t>
  </si>
  <si>
    <t>14C2</t>
  </si>
  <si>
    <t>Substituição de 01 (um) disjuntor de 230 KV, posição operacional 14D1 da Subestação RSD</t>
  </si>
  <si>
    <t>0005359/2024</t>
  </si>
  <si>
    <t>14D1</t>
  </si>
  <si>
    <t>Substituição de 01 (um) disjuntor de 230 KV, posição operacional 14T1 da Subestação RSD</t>
  </si>
  <si>
    <t>0005360/2024</t>
  </si>
  <si>
    <t>14T1</t>
  </si>
  <si>
    <t>Substituição de 01 (um) disjuntor de 230 KV, posição operacional 14T3 da Subestação PRD</t>
  </si>
  <si>
    <t>0005361/2024</t>
  </si>
  <si>
    <t>Substituição de 01 (um) disjuntor de 230 KV, posição operacional 14C2 da Subestação JDM</t>
  </si>
  <si>
    <t>0005363/2024</t>
  </si>
  <si>
    <t>Substituição de 01 (um) disjuntor de 69 kV, posição operacional 12J1 da Subestação BNB</t>
  </si>
  <si>
    <t>0005364/2024</t>
  </si>
  <si>
    <t>12J1</t>
  </si>
  <si>
    <t>Substituição de Transformador de Corrente 230 kV, referente ao TR2 525/230 kV da SE Caxias, DJ782, Fase B. Associado à obra, são esperadas substituições/adaptações de fundações e suportes, caixa de junção, cabos de controle/potência, barramento, conectores e conexão de aterramento. Funções do TC: proteção e medição.</t>
  </si>
  <si>
    <t>0005365/2024</t>
  </si>
  <si>
    <t>Substituição de 01 (um) PR 500kV,  posição operacional 75T5.A da Subestação SOB</t>
  </si>
  <si>
    <t>TR 500/230 kV U.SOBRADINHO TR5 BA</t>
  </si>
  <si>
    <t>0005366/2024</t>
  </si>
  <si>
    <t>75T5.A</t>
  </si>
  <si>
    <t>Substituição de Transformador de Corrente 230 kV, referente ao TR2 525/230 kV da SE Caxias, DJ782, Fase A. Associado à obra, são esperadas substituições/adaptações de fundações e suportes, caixa de junção, cabos de controle/potência, barramento, conectores e conexão de aterramento. Funções do TC: proteção e medição.</t>
  </si>
  <si>
    <t>0005367/2024</t>
  </si>
  <si>
    <t>Substituição de 01 (um) PR 500kV,  posição operacional 75T5.B da Subestação SOB</t>
  </si>
  <si>
    <t>0005368/2024</t>
  </si>
  <si>
    <t>75T5.B</t>
  </si>
  <si>
    <t>Substituição de Transformador de Corrente 230 kV, referente ao TR2 525/230 kV da SE Caxias, DJ782, Fase C. Associado à obra, são esperadas substituições/adaptações de fundações e suportes, caixa de junção, cabos de controle/potência, barramento, conectores e conexão de aterramento. Funções do TC: proteção e medição.</t>
  </si>
  <si>
    <t>0005370/2024</t>
  </si>
  <si>
    <t>Substituição de 01 (um) PR 500kV,  posição operacional 75T5.C da Subestação SOB</t>
  </si>
  <si>
    <t>0005371/2024</t>
  </si>
  <si>
    <t>75T5.C</t>
  </si>
  <si>
    <t>Substituição de 01 (um) PR 230kV,  posição operacional 74Z9.A da Subestação AGL</t>
  </si>
  <si>
    <t>0005372/2024</t>
  </si>
  <si>
    <t>74Z9.A</t>
  </si>
  <si>
    <t>Substituição de Transformador de Corrente 230 kV, referente a LT Dourados - Anastácio C-1, DJ792, Fase A. Associado à obra, são esperadas substituições/adaptações de fundações e suportes, caixa de junção, cabos de controle/potência, barramento, conectores e conexão de aterramento. Funções do TC: proteção e medição.</t>
  </si>
  <si>
    <t>0005373/2024</t>
  </si>
  <si>
    <t>Substituição de 01 (um) PR 230kV,  posição operacional 74Z9.B da Subestação AGL</t>
  </si>
  <si>
    <t>0005374/2024</t>
  </si>
  <si>
    <t>74Z9.B</t>
  </si>
  <si>
    <t>Substituição de Transformador de Corrente 230 kV, referente a LT Dourados - Anastácio C-1, DJ792, Fase B. Associado à obra, são esperadas substituições/adaptações de fundações e suportes, caixa de junção, cabos de controle/potência, barramento, conectores e conexão de aterramento. Funções do TC: proteção e medição.</t>
  </si>
  <si>
    <t>0005375/2024</t>
  </si>
  <si>
    <t>Substituição de 01 (um) PR 230kV,  posição operacional 74Z9.C da Subestação AGL</t>
  </si>
  <si>
    <t>0005376/2024</t>
  </si>
  <si>
    <t>74Z9.C</t>
  </si>
  <si>
    <t>Substituição de Transformador de Corrente 230 kV, referente a LT Dourados - Anastácio C-1, DJ792, Fase C. Associado à obra, são esperadas substituições/adaptações de fundações e suportes, caixa de junção, cabos de controle/potência, barramento, conectores e conexão de aterramento. Funções do TC: proteção e medição.</t>
  </si>
  <si>
    <t>0005377/2024</t>
  </si>
  <si>
    <t>Substituição de 01 (um) PR 230kV,  posição operacional 74S1.A da Subestação BNO</t>
  </si>
  <si>
    <t>0005378/2024</t>
  </si>
  <si>
    <t>74S1.A</t>
  </si>
  <si>
    <t>Substituição de Transformador de Corrente 525 kV, referente a LT Itá - Nova Santa Rita C-1, DJ1062, Fase B. Associado à obra, são esperadas substituições/adaptações de fundações e suportes, caixa de junção, cabos de controle/potência, barramento, conectores e conexão de aterramento. Funções do TC: proteção e medição.</t>
  </si>
  <si>
    <t>0005379/2024</t>
  </si>
  <si>
    <t>Substituição de Transformador de Corrente 525 kV, referente ao Reator 1 (RT1) da SE Itá, DJ1072, Fase A. Associado à obra, são esperadas substituições/adaptações de fundações e suportes, caixa de junção, cabos de controle/potência, barramento, conectores e conexão de aterramento. Funções do TC: proteção e medição.</t>
  </si>
  <si>
    <t>0005381/2024</t>
  </si>
  <si>
    <t>Substituição de Transformador de Corrente 525 kV, referente ao Reator 1 (RT1) da SE Itá, DJ1072, Fase B. Associado à obra, são esperadas substituições/adaptações de fundações e suportes, caixa de junção, cabos de controle/potência, barramento, conectores e conexão de aterramento. Funções do TC: proteção e medição.</t>
  </si>
  <si>
    <t>0005382/2024</t>
  </si>
  <si>
    <t>Substituição de Transformador de Corrente 525 kV, referente ao Interligador de Barras, DJ1070, SE Itá, Fase B. Associado à obra são esperadas substituições/adaptações de fundações e suportes, caixa de junção, cabos de controle/potência, barramento, conectores e conexão de aterramento.</t>
  </si>
  <si>
    <t>0005385/2024</t>
  </si>
  <si>
    <t>Substituição de 01 (um) PR 230kV,  posição operacional 74S1.C da Subestação BNO</t>
  </si>
  <si>
    <t>0005386/2024</t>
  </si>
  <si>
    <t>74S1.C</t>
  </si>
  <si>
    <t>Substituição de Transformador de Corrente 525 kV, referente ao Interligador de Barras, DJ1070, SE Itá, Fase A. Associado à obra são esperadas substituições/adaptações de fundações e suportes, caixa de junção, cabos de controle/potência, barramento, conectores e conexão de aterramento.</t>
  </si>
  <si>
    <t>0005387/2024</t>
  </si>
  <si>
    <t>Substituição de 01 (um) PR 138kV posição operacional 73C4 fase A da Subestação ACD.</t>
  </si>
  <si>
    <t>0005388/2024</t>
  </si>
  <si>
    <t>73C4.A</t>
  </si>
  <si>
    <t>Substituição de Transformador de Corrente 525 kV, referente ao Interligador de Barras, DJ1070, SE Itá, Fase C. Associado à obra são esperadas substituições/adaptações de fundações e suportes, caixa de junção, cabos de controle/potência, barramento, conectores e conexão de aterramento.</t>
  </si>
  <si>
    <t>0005389/2024</t>
  </si>
  <si>
    <t>Substituição de 01 (um) PR 138kV posição operacional 73C4 fase B da Subestação ACD.</t>
  </si>
  <si>
    <t>0005390/2024</t>
  </si>
  <si>
    <t>73C4.B</t>
  </si>
  <si>
    <t>Substituição de Transformador de Corrente 525 kV, referente a LT Itá - Nova Santa Rita C-1, DJ1062, Fase C. Associado à obra, são esperadas substituições/adaptações de fundações e suportes, caixa de junção, cabos de controle/potência, barramento, conectores e conexão de aterramento. Funções do TC: proteção e medição.</t>
  </si>
  <si>
    <t>0005392/2024</t>
  </si>
  <si>
    <t>Registrador de Perturbação</t>
  </si>
  <si>
    <t>Substituição do Sistema de Registro de Perturbação associado ao vão de Entrada de Linha 04N4 (LT 230 kV GARANHUNS II /ANGELIM C-2), na subestação ANGELIM, composto por: 01 Oscilógrafo e infraestrutura de comunicação associada.</t>
  </si>
  <si>
    <t>0005393/2024</t>
  </si>
  <si>
    <t>11449214</t>
  </si>
  <si>
    <t>Substituição de Transformador de Corrente 525 kV, referente ao Reator 1 (RT1) da SE Itá, DJ1072, Fase C. Associado à obra, são esperadas substituições/adaptações de fundações e suportes, caixa de junção, cabos de controle/potência, barramento, conectores e conexão de aterramento. Funções do TC: proteção e medição.</t>
  </si>
  <si>
    <t>0005394/2024</t>
  </si>
  <si>
    <t>Substituição de Transformador de Corrente 525 kV, referente a LT Itá - Nova Santa Rita C-1, DJ1062, Fase A. Associado à obra, são esperadas substituições/adaptações de fundações e suportes, caixa de junção, cabos de controle/potência, barramento, conectores e conexão de aterramento. Funções do TC: proteção e medição.</t>
  </si>
  <si>
    <t>0005396/2024</t>
  </si>
  <si>
    <t>Substituição de Transformador de Corrente 230 kV, referente ao TR3 230/138 kV da SE Passo Fundo, DJ772, Fase A. Associado à obra, são esperadas substituições/adaptações de fundações e suportes, caixa de junção, cabos de controle/potência, barramento, conectores e conexão de aterramento. Funções do TC: proteção e medição.</t>
  </si>
  <si>
    <t>0005404/2024</t>
  </si>
  <si>
    <t>Substituição de Transformador de Corrente 230 kV, referente ao TR3 230/138 kV da SE Passo Fundo, DJ772, Fase C. Associado à obra, são esperadas substituições/adaptações de fundações e suportes, caixa de junção, cabos de controle/potência, barramento, conectores e conexão de aterramento. Funções do TC: proteção e medição.</t>
  </si>
  <si>
    <t>0005407/2024</t>
  </si>
  <si>
    <t>Substituição de Transformador de Corrente 230 kV, referente a LT Passo Fundo - Vila  Maria C-1, DJ742, Fase C. Associado à obra, são esperadas substituições/adaptações de fundações e suportes, caixa de junção, cabos de controle/potência, barramento, conectores e conexão de aterramento. Funções do TC: proteção e medição.</t>
  </si>
  <si>
    <t>0005408/2024</t>
  </si>
  <si>
    <t>Substituição de Transformador de Corrente 230 kV, referente a LT Passo Fundo - Vila  Maria C-1, DJ742, Fase B. Associado à obra, são esperadas substituições/adaptações de fundações e suportes, caixa de junção, cabos de controle/potência, barramento, conectores e conexão de aterramento. Funções do TC: proteção e medição.</t>
  </si>
  <si>
    <t>0005409/2024</t>
  </si>
  <si>
    <t>Substituição de Transformador de Corrente 230 kV, referente a LT Passo Fundo - Vila  Maria C-1, DJ742, Fase A. Associado à obra, são esperadas substituições/adaptações de fundações e suportes, caixa de junção, cabos de controle/potência, barramento, conectores e conexão de aterramento. Funções do TC: proteção e medição.</t>
  </si>
  <si>
    <t>0005411/2024</t>
  </si>
  <si>
    <t>Substituição do Sistema de Registro de Perturbação associado ao vão de Entrada de Linha  04C4 (LT 230 kV BANABUIU /MOSSORO II C-2), na subestação MOSSORO II, composto por: 01 Oscilógrafo e infraestrutura de comunicação associada.</t>
  </si>
  <si>
    <t>LT 230 kV ALEX /MOSSORO II C-1 CE/RN</t>
  </si>
  <si>
    <t>0005452/2024</t>
  </si>
  <si>
    <t>11446255</t>
  </si>
  <si>
    <t>Substituição do Sistema de Registro de Perturbação associado ao vão de Entrada de Linha  04L3 (LT 230 kV COTEGIPE /JACARACANGA C-1), na subestação JACARACANGA, composto por: 01 Oscilógrafo e infraestrutura de comunicação associada.</t>
  </si>
  <si>
    <t>0005457/2024</t>
  </si>
  <si>
    <t>11449335</t>
  </si>
  <si>
    <t>Substituição do Sistema de Registro de Perturbação associado ao vão de Entrada de Linha  04L4 (LT 230 kV COTEGIPE /MATATU C-1), na subestação MATATU, composto por: 01 Oscilógrafo e infraestrutura de comunicação associada.</t>
  </si>
  <si>
    <t>0005460/2024</t>
  </si>
  <si>
    <t>11446324</t>
  </si>
  <si>
    <t>Substituição do Sistema de Registro de Perturbação associado ao vão de Entrada de Linha  04V2 (LT 230 kV C.GRANDE II /PARAISO C-1 ), na subestação C.GRANDE II, composto por: 01 Oscilógrafo e infraestrutura de comunicação associada.</t>
  </si>
  <si>
    <t>0005463/2024</t>
  </si>
  <si>
    <t>11446239</t>
  </si>
  <si>
    <t>Substituição do Sistema de Registro de Perturbação associado ao vão de Entrada de Linha  04C7 (LT 230 kV CAMACARI II /G.MANGABEIRA C-1), na subestação CAMACARI II, composto por: 01 Oscilógrafo e infraestrutura de comunicação associada.</t>
  </si>
  <si>
    <t>0005465/2024</t>
  </si>
  <si>
    <t>11449340</t>
  </si>
  <si>
    <t>Substituição do Sistema de Registro de Perturbação associado ao vão de Entrada de Linha 04C8 (LT 230 kV CAMACARI II /CARAIBAS C-1), na subestação CAMACARI II, composto por: 01 Oscilógrafo e infraestrutura de comunicação associada.</t>
  </si>
  <si>
    <t>0005469/2024</t>
  </si>
  <si>
    <t>11449344</t>
  </si>
  <si>
    <t>Substituição do Sistema de Registro de Perturbação associado ao vão de Entrada de Linha 04C9 (LT 230 kV CAMACARI II /BRAS.C.SODA C-1), na subestação CAMACARI II, composto por: 01 Oscilógrafo e infraestrutura de comunicação associada.</t>
  </si>
  <si>
    <t>EL 230 kV CAMACARI II LT 230 kV CAMACARI II /BRAS.C.SODA C-1 BA (14C9)</t>
  </si>
  <si>
    <t>0005471/2024</t>
  </si>
  <si>
    <t>11449354</t>
  </si>
  <si>
    <t>Substituição do Sistema de Registro de Perturbação associado ao vão de Entrada de Linha 04M5 (LT 230 kV CAMACARI II /COTEGIPE C-1), na subestação CAMACARI II, composto por: 01 Oscilógrafo e infraestrutura de comunicação associada.</t>
  </si>
  <si>
    <t>0005472/2024</t>
  </si>
  <si>
    <t>11449342</t>
  </si>
  <si>
    <t>Substituição de Transformador de Corrente 230 kV, referente ao TR2 230/138 kV da SE Xanxerê, DJ792, Fase A. Associado à obra, são esperadas substituições/adaptações de fundações e suportes, caixa de junção, cabos de controle/potência, barramento, conectores e conexão de aterramento. Funções do TC: proteção e medição.</t>
  </si>
  <si>
    <t>0005478/2024</t>
  </si>
  <si>
    <t>Substituição de Transformador de Corrente 230 kV, referente ao TR2 230/138 kV da SE Xanxerê, DJ792, Fase C. Associado à obra, são esperadas substituições/adaptações de fundações e suportes, caixa de junção, cabos de controle/potência, barramento, conectores e conexão de aterramento. Funções do TC: proteção e medição.</t>
  </si>
  <si>
    <t>0005480/2024</t>
  </si>
  <si>
    <t>Substituição de Transformador de Corrente 230 kV, referente ao TR2 230/138 kV da SE Xanxerê, DJ792, Fase B. Associado à obra, são esperadas substituições/adaptações de fundações e suportes, caixa de junção, cabos de controle/potência, barramento, conectores e conexão de aterramento. Funções do TC: proteção e medição.</t>
  </si>
  <si>
    <t>0005481/2024</t>
  </si>
  <si>
    <t>TCb</t>
  </si>
  <si>
    <t>Substituição do Sistema de Registro de Perturbação associado ao Banco de Capacitores 04H2, na subestação MILAGRES, composto por: 01 Oscilógrafo e infraestrutura de comunicação associada.</t>
  </si>
  <si>
    <t>BC 230 kV 50,5 MVAr MILAGRES BC2 CE</t>
  </si>
  <si>
    <t>0005483/2024</t>
  </si>
  <si>
    <t>11446247</t>
  </si>
  <si>
    <t>Substituição do Sistema de Registro de Perturbação associado ao vão de Entrada de Linha 04M1 (LT 230 kV MILAGRES /BANABUIU C-1), na subestação MILAGRES, composto por: 01 Oscilógrafo e infraestrutura de comunicação associada.</t>
  </si>
  <si>
    <t>0005485/2024</t>
  </si>
  <si>
    <t>11449266</t>
  </si>
  <si>
    <t>Substituição do Sistema de Registro de Perturbação associado ao vão de Entrada de Linha 04M2 (LT 230 kV ICO /MILAGRES C-1), na subestação MILAGRES, composto por: 01 Oscilógrafo e infraestrutura de comunicação associada.</t>
  </si>
  <si>
    <t>0005488/2024</t>
  </si>
  <si>
    <t>11449267</t>
  </si>
  <si>
    <t>Substituição de 6 esferas de sinalização em 2 vão(s) da LT 230 kV RIO LARGO II /BRASKEM C-1 AL-04S2 (004/2;004/3).</t>
  </si>
  <si>
    <t>0005538/2024</t>
  </si>
  <si>
    <t>d-srldsbsk-04s2-esfe-1</t>
  </si>
  <si>
    <t>Substituição de 3 esferas de sinalização em 1 vão(s) da LT 230 kV ANGELIM /MESSIAS C-1 PE/AL-04M7 (077/2A).</t>
  </si>
  <si>
    <t>0005543/2024</t>
  </si>
  <si>
    <t>d-saglsmsi-04m7-esfe-1</t>
  </si>
  <si>
    <t>Substituição de 6 esferas de sinalização em 2 vão(s) da LT 230 kV ANGELIM /MESSIAS C-2 PE/AL-04M8 (000/2;077/2A).</t>
  </si>
  <si>
    <t>0005548/2024</t>
  </si>
  <si>
    <t>d-saglsmsi-04m8-esfe-1</t>
  </si>
  <si>
    <t>Substituição de 3 esferas de sinalização em 1 vão(s) da LT 230 kV ANGELIM /MESSIAS C-3 PE/AL-04M9 (001/3).</t>
  </si>
  <si>
    <t>0005554/2024</t>
  </si>
  <si>
    <t>d-saglsmsi-04m9-esfe-1</t>
  </si>
  <si>
    <t>Substituição de 6 esferas de sinalização em 2 vão(s) da LT 500 kV GARANHUNS II /ANGELIM II C-1 PE-05L5 (002/2;002/3).</t>
  </si>
  <si>
    <t>0005557/2024</t>
  </si>
  <si>
    <t>d-sgrdsagd-05l5-esfe-1</t>
  </si>
  <si>
    <t>Substituição de 6 esferas de sinalização em 2 vão(s) da LT 500 kV US. L.GONZAGA /GARANHUNS II C-2 PE-05Z1 (237/2;238/1).</t>
  </si>
  <si>
    <t>0005561/2024</t>
  </si>
  <si>
    <t>d-slgzsgrd-05z1-esfe-1</t>
  </si>
  <si>
    <t>Substituição de 6 esferas de sinalização em 2 vão(s) da LT 230 kV CIC. DANTAS /CATU C-1 BA-04L2 (041/2;072/3).</t>
  </si>
  <si>
    <t>0005563/2024</t>
  </si>
  <si>
    <t>d-sccdsctu-04l2-esfe-1</t>
  </si>
  <si>
    <t>Substituição de 33 esferas de sinalização em 11 vão(s) da LT 500 kV JEREMOABO /OLINDINA C-1 BA-05L9 (020/3;024/2;030/2;032/2;040/2;044/2;047/2;049/1;054/2;090/1;121/1).</t>
  </si>
  <si>
    <t>0005568/2024</t>
  </si>
  <si>
    <t>d-sjersold-05l9-esfe-1</t>
  </si>
  <si>
    <t>Substituição de 12 esferas de sinalização em 4 vão(s) da LT 500 kV US. L.GONZAGA /JUAZEIRO III C-1 PE/BA-05C5 (001/2;001/7;007/2;092/2).</t>
  </si>
  <si>
    <t>0005572/2024</t>
  </si>
  <si>
    <t>d-slgzsjzt-05c5-esfe-1</t>
  </si>
  <si>
    <t>Substituição de 3 esferas de sinalização em 1 vão(s) da LT 500 kV US. L.GONZAGA /U.SOBRADINHO C-2 PE/BA-05C4 (315/3).</t>
  </si>
  <si>
    <t>0005576/2024</t>
  </si>
  <si>
    <t>d-slgzssob-05c4-esfe-1</t>
  </si>
  <si>
    <t>Substituição de 3 esferas de sinalização em 1 vão(s) da LT 230 kV P.AFONSO III /CIC. DANTAS C-2 AL/BA-04S3 (418).</t>
  </si>
  <si>
    <t>LT 230 kV P.AFONSO III /CIC. DANTAS C-2 AL/BA</t>
  </si>
  <si>
    <t>0005583/2024</t>
  </si>
  <si>
    <t>d-spafsccd-04s3-esfe-1</t>
  </si>
  <si>
    <t>Substituição de 6 esferas de sinalização em 2 vão(s) da LT 230 kV P.AFONSO III /ITABAIANA C-1 AL/SE-04S6 (007/2;081/1).</t>
  </si>
  <si>
    <t>0005586/2024</t>
  </si>
  <si>
    <t>d-spafsitb-04s6-esfe-1</t>
  </si>
  <si>
    <t>Substituição de 1 estrutura metálica autoportante 046/1 por outra com altura de 37,5 m e carregamento/esforço de 7236,6 DAN) e componentes e 04 fundações associadas da LT 230 kV RECIFE II /GOIANINHA C-1 PE-04C8.</t>
  </si>
  <si>
    <t>0005589/2024</t>
  </si>
  <si>
    <t>11531574</t>
  </si>
  <si>
    <t>Substituição de 1 estrutura metálica autoportante 046/2 por outra com altura de 40,5 m e carregamento/esforço de 5926,8 DAN) e componentes e 04 fundações associadas da LT 230 kV RECIFE II /GOIANINHA C-1 PE-04C8.</t>
  </si>
  <si>
    <t>0005595/2024</t>
  </si>
  <si>
    <t>11531584</t>
  </si>
  <si>
    <t>Substituição de 1 estrutura metálica autoportante 015/2 por outra com altura de 40,5 m e carregamento/esforço de 5926,8 DAN) e componentes e 04 fundações associadas da LT 230 kV ITABAIANA /JARDIM C-1 SE-04C1.</t>
  </si>
  <si>
    <t>0005597/2024</t>
  </si>
  <si>
    <t>11934726</t>
  </si>
  <si>
    <t>Substituição de 1 estrutura metálica autoportante 016/1 por outra com altura de 36 m e carregamento/esforço de 4985,1 DAN) e componentes e 04 fundações associadas da LT 230 kV ITABAIANA /JARDIM C-1 SE-04C1.</t>
  </si>
  <si>
    <t>0005598/2024</t>
  </si>
  <si>
    <t>11934746</t>
  </si>
  <si>
    <t>Substituição de 1 estrutura metálica autoportante 016/2 por outra com altura de 33 m e carregamento/esforço de 4543,1 DAN) e componentes e 04 fundações associadas da LT 230 kV ITABAIANA /JARDIM C-1 SE-04C1.</t>
  </si>
  <si>
    <t>0005599/2024</t>
  </si>
  <si>
    <t>11934766</t>
  </si>
  <si>
    <t>Substituição de 1 estrutura metálica autoportante 028/2 por outra com altura de 51 m e carregamento/esforço de 9971,4 DAN) e componentes e 04 fundações associadas da LT 230 kV ITABAIANA /JARDIM C-1 SE-04C1.</t>
  </si>
  <si>
    <t>0005600/2024</t>
  </si>
  <si>
    <t>11935349</t>
  </si>
  <si>
    <t>Substituição da cadeia de proteção de barras principal, referente às barras de 230 kV da SE Campo Mourão, incluindo uma Unidade Central e sete unidades de Bay (vãos LT S.Osório C-1, S.Osório C-2, Apucarana C-1, Maringá C-1, TF 1 230/138 kV, TF 2 230/138 kV e Interligador de Barras - IB), painéis e cabos de controle e potência associados.</t>
  </si>
  <si>
    <t>0005602/2024</t>
  </si>
  <si>
    <t>Substituição de 1 estrutura metálica autoportante 016/3 por outra com altura de 33 m e carregamento/esforço de 4543,1 DAN) e componentes e 04 fundações associadas da LT 230 kV ITABAIANA /JARDIM C-1 SE-04C1.</t>
  </si>
  <si>
    <t>0005603/2024</t>
  </si>
  <si>
    <t>11934786</t>
  </si>
  <si>
    <t>Substituição da proteção Falha de Disjuntor, referente ao Interligador de Barras (IB) 230 kV da SE Campo Mourão, DJ772.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</si>
  <si>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0005604/2024</t>
  </si>
  <si>
    <t>BF - DJ772</t>
  </si>
  <si>
    <t>Substituição das proteções Principal, Alternada e Falha de Disjuntor, referentes a LT 230 kV Campo Mourão - Apucarana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</si>
  <si>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0005607/2024</t>
  </si>
  <si>
    <t>PP, PA, BF - LT APA C-1</t>
  </si>
  <si>
    <t>Substituição das proteções Principal, Alternada e Falha de Disjuntor, referentes a LT 230 kV Campo Mourão - Maringá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</si>
  <si>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0005610/2024</t>
  </si>
  <si>
    <t>PP, PA, BF - LT MGA C-1</t>
  </si>
  <si>
    <t>Substiuição da Seccionadora de Neutro (13,8kV) - MBST2-05 - Fase A.</t>
  </si>
  <si>
    <t>0006316/2024</t>
  </si>
  <si>
    <t>MBCB205</t>
  </si>
  <si>
    <t>Substituição do sistema de controle e supervisão (com unidade redundante) da LT 230 kV Campo Mourão - Apucarana C-1, incluindo painéis e cabos de controle e potência associados.</t>
  </si>
  <si>
    <t>0005612/2024</t>
  </si>
  <si>
    <t>Controle - LT APA C-1</t>
  </si>
  <si>
    <t>Substituição de 1 estrutura metálica autoportante 009/1 por outra com altura de 27 m e carregamento/esforço de 4342,4 DAN) e componentes e 04 fundações associadas da LT 230 kV ITABAIANINHA /CATU C-1 SE/BA-04L1.</t>
  </si>
  <si>
    <t>0005615/2024</t>
  </si>
  <si>
    <t>11937258</t>
  </si>
  <si>
    <t>Substituição do sistema de controle e supervisão (com unidade redundante) da LT 230 kV Campo Mourão - Maringá C-1, incluindo painéis e cabos de controle e potência associados.</t>
  </si>
  <si>
    <t>0005616/2024</t>
  </si>
  <si>
    <t>Controle - LT MGA C-1</t>
  </si>
  <si>
    <t>Substituição do sistema de controle e supervisão (com unidade redundante) da LT 230 kV Campo Mourão - Salto Osório C-1, incluindo painéis e cabos de controle e potência associados.</t>
  </si>
  <si>
    <t>0005619/2024</t>
  </si>
  <si>
    <t>Controle - LT SOS C-1</t>
  </si>
  <si>
    <t>Substituição de 1 estrutura metálica autoportante 009/2 por outra com altura de 22,5 m e carregamento/esforço de 3437,2 DAN) e componentes e 04 fundações associadas da LT 230 kV ITABAIANINHA /CATU C-1 SE/BA-04L1.</t>
  </si>
  <si>
    <t>0005620/2024</t>
  </si>
  <si>
    <t>11937278</t>
  </si>
  <si>
    <t>Substituição do sistema de controle e supervisão (com unidade redundante) da LT 230 kV Campo Mourão - Salto Osório C-2, incluindo painéis e cabos de controle e potência associados.</t>
  </si>
  <si>
    <t>0005622/2024</t>
  </si>
  <si>
    <t>Controle - LT SOS C-2</t>
  </si>
  <si>
    <t>Substituição de 1 estrutura metálica autoportante 024/1 por outra com altura de 31,5 m e carregamento/esforço de 5103,4 DAN) e componentes e 04 fundações associadas da LT 230 kV ITABAIANINHA /CATU C-1 SE/BA-04L1.</t>
  </si>
  <si>
    <t>0005624/2024</t>
  </si>
  <si>
    <t>11937999</t>
  </si>
  <si>
    <t>Substituição do sistema de controle e supervisão (com unidade redundante) do Interligador de Barras (IB) 230 kV da SE Campo Mourão, DJ772, incluindo painéis e cabos de controle e potência associados.</t>
  </si>
  <si>
    <t>0005626/2024</t>
  </si>
  <si>
    <t>Controle - DJ772</t>
  </si>
  <si>
    <t>Substituição de 1 estrutura metálica autoportante 027/2 por outra com altura de 30 m e carregamento/esforço de 4641,2 DAN) e componentes e 04 fundações associadas da LT 230 kV ITABAIANINHA /CATU C-1 SE/BA-04L1.</t>
  </si>
  <si>
    <t>0005628/2024</t>
  </si>
  <si>
    <t>11938139</t>
  </si>
  <si>
    <t>Substituição do sistema de controle e supervisão (com unidade redundante) do TR1 230/138 kV da SE Campo Mourão, lado de 230 kV, incluindo painéis e cabos de controle e potência associados.</t>
  </si>
  <si>
    <t>0005629/2024</t>
  </si>
  <si>
    <t>Controle - TF1 230 kV</t>
  </si>
  <si>
    <t>Substituição de 1 estrutura metálica autoportante 029/2 por outra com altura de 21 m e carregamento/esforço de 3231,2 DAN) e componentes e 04 fundações associadas da LT 230 kV ITABAIANINHA /CATU C-1 SE/BA-04L1.</t>
  </si>
  <si>
    <t>0005630/2024</t>
  </si>
  <si>
    <t>11938239</t>
  </si>
  <si>
    <t>Substituição da cadeia de proteção de barras (única), referente às barras A e B de 138 kV da SE Campo Grande, incluindo uma Unidade Central e quinze unidades de Bay (vãos BC1, Interligador de Barras - IB, LT Mimoso 2 C-1, LT Mimoso 2 C-2, LT Mimoso 2 C-3, LT Mimoso C-4, LT C.Grande 2 C-1, LT C.Grande 2 C-2, LT  A.Guariroba C-1, LT C.Grande Cuiabá C-1, LT C.Grande Cuiabá C-2, LT C.Grande M.Couto C-1, LT C.Grande M.Couto C-2, LT Assis Scaffa C-1, LT Sidrolândia C-1), painéis e cabos de controle e</t>
  </si>
  <si>
    <t>0005631/2024</t>
  </si>
  <si>
    <t>Substituição de 1 estrutura metálica autoportante 029/3 por outra com altura de 22,5 m e carregamento/esforço de 3437,2 DAN) e componentes e 04 fundações associadas da LT 230 kV ITABAIANINHA /CATU C-1 SE/BA-04L1.</t>
  </si>
  <si>
    <t>0005632/2024</t>
  </si>
  <si>
    <t>11938259</t>
  </si>
  <si>
    <t>Substituição da proteção Falha de Disjuntor, referente ao Interligador de Barras (IB) 138 kV da SE Campo Grande, DJ532.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</si>
  <si>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0005633/2024</t>
  </si>
  <si>
    <t>BF - DJ532</t>
  </si>
  <si>
    <t>Substituição de 1 estrutura metálica autoportante 030/1 por outra com altura de 24 m e carregamento/esforço de 3686,8 DAN) e componentes e 04 fundações associadas da LT 230 kV ITABAIANINHA /CATU C-1 SE/BA-04L1.</t>
  </si>
  <si>
    <t>0005634/2024</t>
  </si>
  <si>
    <t>11938279</t>
  </si>
  <si>
    <t>Substituição das proteções Principal, Alternada e Falha de Disjuntor, referentes a LT 138 kV Campo Grande - A. Guariroba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</si>
  <si>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0005635/2024</t>
  </si>
  <si>
    <t>PP, PA, BF - LT AGU C-1</t>
  </si>
  <si>
    <t>Substituição de 1 estrutura metálica autoportante 031/3 por outra com altura de 28,5 m e carregamento/esforço de 4391,6 DAN) e componentes e 04 fundações associadas da LT 230 kV ITABAIANINHA /CATU C-1 SE/BA-04L1.</t>
  </si>
  <si>
    <t>0005636/2024</t>
  </si>
  <si>
    <t>11938379</t>
  </si>
  <si>
    <t>Substituição das proteções Principal, Alternada e Falha de Disjuntor, referentes a LT 138 kV Campo Grande - Campo Grande Cuiabá C-2.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</si>
  <si>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LT 138 kV CAMPO GRANDE / C. GRANDE CUIABÁ C-2 MS</t>
  </si>
  <si>
    <t>0005637/2024</t>
  </si>
  <si>
    <t>PP, PA, BF - LT CGB C-2</t>
  </si>
  <si>
    <t>Substituição das proteções Principal, Alternada e Falha de Disjuntor, referentes a LT 138 kV Campo Grande - Campo Grande M. Couto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</si>
  <si>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LT 138 kV CAMPO GRANDE / C. GRANDE M. COUTO C-1 MS</t>
  </si>
  <si>
    <t>0005640/2024</t>
  </si>
  <si>
    <t>PP, PA, BF - LT CGM C-1</t>
  </si>
  <si>
    <t>Substituição de 1 estrutura metálica autoportante 044/2 por outra com altura de 36 m e carregamento/esforço de 5716,6 DAN) e componentes e 04 fundações associadas da LT 230 kV ITABAIANINHA /CATU C-1 SE/BA-04L1.</t>
  </si>
  <si>
    <t>0005642/2024</t>
  </si>
  <si>
    <t>11938977</t>
  </si>
  <si>
    <t>Substituição das proteções Principal, Alternada e Falha de Disjuntor, referentes a LT 138 kV Campo Grande - Campo Grande M. Couto C-2.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</si>
  <si>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LT 138 kV CAMPO GRANDE / C. GRANDE M. COUTO C-2 MS</t>
  </si>
  <si>
    <t>0005643/2024</t>
  </si>
  <si>
    <t>PP, PA, BF - LT CGM C-2</t>
  </si>
  <si>
    <t>Substituição de 1 estrutura metálica autoportante 016/2 por outra com altura de 27 m e carregamento/esforço de 4342,4 DAN) e componentes e 04 fundações associadas da LT 230 kV ITABAIANINHA /CATU C-1 SE/BA-04L1.</t>
  </si>
  <si>
    <t>0005645/2024</t>
  </si>
  <si>
    <t>11937599</t>
  </si>
  <si>
    <t>Substituição das proteções Principal, Alternada e Falha de Disjuntor, referentes a LT 138 kV Campo Grande - Sidrolândia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</si>
  <si>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0005646/2024</t>
  </si>
  <si>
    <t>PP, PA, BF - LT SIA C-1</t>
  </si>
  <si>
    <t>Substituição de 1 estrutura metálica autoportante 018/1 por outra com altura de 22,5 m e carregamento/esforço de 3437,2 DAN) e componentes e 04 fundações associadas da LT 230 kV ITABAIANINHA /CATU C-1 SE/BA-04L1.</t>
  </si>
  <si>
    <t>0005648/2024</t>
  </si>
  <si>
    <t>11937699</t>
  </si>
  <si>
    <t>Substituição das proteções Principal, Alternada e Falha de Disjuntor, referentes a LT 138 kV Campo Grande - U.Mimoso C-4.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</si>
  <si>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0005650/2024</t>
  </si>
  <si>
    <t>PP, PA, BF - LT MIM C-4</t>
  </si>
  <si>
    <t>Substituição de 1 estrutura metálica autoportante 019/1 por outra com altura de 21 m e carregamento/esforço de 3231,2 DAN) e componentes e 04 fundações associadas da LT 230 kV ITABAIANINHA /CATU C-1 SE/BA-04L1.</t>
  </si>
  <si>
    <t>0005653/2024</t>
  </si>
  <si>
    <t>11937759</t>
  </si>
  <si>
    <t>Substituição das proteções Principal, Alternada e Falha de Disjuntor, referentes ao Banco de Capacitor 138 kV - BC1 - da SE Campo Grande.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</si>
  <si>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0005654/2024</t>
  </si>
  <si>
    <t>Substituição do sistema de controle e supervisão da LT 138 kV Campo Grande - A. Guariroba C-1, incluindo painéis e cabos de controle e potência associados.</t>
  </si>
  <si>
    <t>0005658/2024</t>
  </si>
  <si>
    <t>Controle - LT AGU C-1</t>
  </si>
  <si>
    <t>Substituição de 1 estrutura metálica autoportante 021/1 por outra com altura de 21 m e carregamento/esforço de 3231,2 DAN) e componentes e 04 fundações associadas da LT 230 kV ITABAIANINHA /CATU C-1 SE/BA-04L1.</t>
  </si>
  <si>
    <t>0005659/2024</t>
  </si>
  <si>
    <t>11937859</t>
  </si>
  <si>
    <t>Substituição do sistema de controle e supervisão da LT 138 kV Campo Grande - Campo Grande Cuiabá C-2, incluindo painéis e cabos de controle e potência associados.</t>
  </si>
  <si>
    <t>0005662/2024</t>
  </si>
  <si>
    <t>Controle - LT CGB C-2</t>
  </si>
  <si>
    <t>Substituição de 1 estrutura metálica autoportante 021/2 por outra com altura de 21 m e carregamento/esforço de 3231,2 DAN) e componentes e 04 fundações associadas da LT 230 kV ITABAIANINHA /CATU C-1 SE/BA-04L1.</t>
  </si>
  <si>
    <t>0005663/2024</t>
  </si>
  <si>
    <t>11937879</t>
  </si>
  <si>
    <t>Substituição do sistema de controle e supervisão da LT 138 kV Campo Grande - Campo Grande M. Couto C-1, incluindo painéis e cabos de controle e potência associados.</t>
  </si>
  <si>
    <t>0005665/2024</t>
  </si>
  <si>
    <t>Controle - LT CGM C-1</t>
  </si>
  <si>
    <t>Substituição de 1 estrutura metálica autoportante 117/1 por outra com altura de 41,5 m e carregamento/esforço de 8272,6 DAN) e componentes e 04 fundações associadas da LT 500 kV OLINDINA /US. L.GONZAGA C-1 BA/PE-05S4.</t>
  </si>
  <si>
    <t>0005667/2024</t>
  </si>
  <si>
    <t>11798959</t>
  </si>
  <si>
    <t>Substituição do sistema de controle e supervisão da LT 138 kV Campo Grande - Campo Grande M. Couto C-2, incluindo painéis e cabos de controle e potência associados.</t>
  </si>
  <si>
    <t>0005669/2024</t>
  </si>
  <si>
    <t>Controle - LT CGM C-2</t>
  </si>
  <si>
    <t>LT 500 kV OLINDINA /CAMACARI II BA</t>
  </si>
  <si>
    <t>Substituição de 9 esferas de sinalização em 3 vão(s) da LT 500 kV OLINDINA /CAMACARI II C-1 BA-05L4 (17;59;116).</t>
  </si>
  <si>
    <t>LT 500 kV OLINDINA /CAMACARI II C-1 BA</t>
  </si>
  <si>
    <t>0005671/2024</t>
  </si>
  <si>
    <t>d-soldscmd-05l4-esfe-1</t>
  </si>
  <si>
    <t>Substituição do sistema de controle e supervisão da LT 138 kV Campo Grande - Mimoso 2 C-1, incluindo painéis e cabos de controle e potência associados.</t>
  </si>
  <si>
    <t>LT 138 kV CAMPO GRANDE / MIMOSO 2 C-1 MS</t>
  </si>
  <si>
    <t>0005674/2024</t>
  </si>
  <si>
    <t>Controle - LT MIM2 C-1</t>
  </si>
  <si>
    <t>Substituição de 27 esferas de sinalização em 9 vão(s) da LT 230 kV SAPEACU /FUNIL C-1 BA-04F1 (006/3;013/2;023/2;028/1;029/3;030/3;031/1;031/3;033/2).</t>
  </si>
  <si>
    <t>0005676/2024</t>
  </si>
  <si>
    <t>d-sspusfnl-04f1-esfe-1</t>
  </si>
  <si>
    <t>Substituição do sistema de controle e supervisão da LT 138 kV Campo Grande - Mimoso 2 C-2, incluindo painéis e cabos de controle e potência associados.</t>
  </si>
  <si>
    <t>LT 138 kV CAMPO GRANDE / MIMOSO 2 C-2 MS</t>
  </si>
  <si>
    <t>0005677/2024</t>
  </si>
  <si>
    <t>Controle - LT MIM2 C-2</t>
  </si>
  <si>
    <t>Substituição de 102 esferas de sinalização em 34 vão(s) da LT 230 kV SAPEACU /FUNIL C-1 BA-04F1 (038/1;064/1;071/2;077/1;080/2;089/3;094/1;113/1;123/2;125/1;134/2;135/1;141/2;142/1;142/2;144/1;144/3;149/1;150/2;151/2;155/1;156/3;157/1;158/1;162/1;164/1;167/1;167/2;174/2;178/1;183/2;189/2;191/1;196/2).</t>
  </si>
  <si>
    <t>0005679/2024</t>
  </si>
  <si>
    <t>d-sspusfnl-04f1-esfe-2</t>
  </si>
  <si>
    <t>Substituição do sistema de controle e supervisão da LT 138 kV Campo Grande - Mimoso 2 C-3, incluindo painéis e cabos de controle e potência associados.</t>
  </si>
  <si>
    <t>0005681/2024</t>
  </si>
  <si>
    <t>Controle - LT MIM2 C-3</t>
  </si>
  <si>
    <t>Substituição de 1 estrutura metálica autoportante 3 por outra com altura de 42,65 m e carregamento/esforço de 12682 DAN) e componentes e 04 fundações associadas da LT 69 kV ABAIXADORA /MULUNGU C-1 BA-02M2.</t>
  </si>
  <si>
    <t>0005683/2024</t>
  </si>
  <si>
    <t>11781644</t>
  </si>
  <si>
    <t>Substituição do sistema de controle e supervisão da LT 138 kV Campo Grande - Sidrolândia C-1, incluindo painéis e cabos de controle e potência associados.</t>
  </si>
  <si>
    <t>0005686/2024</t>
  </si>
  <si>
    <t>Controle - LT SIA C-1</t>
  </si>
  <si>
    <t>LT 230 kV RIO LARGO II /ARAPIRACA III AL</t>
  </si>
  <si>
    <t>Substituição de 3 esferas de sinalização em 1 vão(s) da LT 230 kV RIO LARGO II /ARAPIRACA III C-1 AL-04F1 (123/2).</t>
  </si>
  <si>
    <t>0005688/2024</t>
  </si>
  <si>
    <t>d-srldsart-04f1-esfe-1</t>
  </si>
  <si>
    <t>Substituição do sistema de controle e supervisão da LT 138 kV Campo Grande - U.Mimoso C-4, incluindo painéis e cabos de controle e potência associados.</t>
  </si>
  <si>
    <t>0005690/2024</t>
  </si>
  <si>
    <t>Controle - LT MIM C-4</t>
  </si>
  <si>
    <t>Substituição de 12 esferas de sinalização em 4 vão(s) da LT 500 kV USINA XINGO /JARDIM C-1 AL/SE-05V5 (003/1;003/2;018/1;051/2).</t>
  </si>
  <si>
    <t>0005691/2024</t>
  </si>
  <si>
    <t>d-sxgosjdm-05v5-esfe-1</t>
  </si>
  <si>
    <t>Substituição do sistema de controle e supervisão do Banco de Capacitor 138 kV - BC1 - da SE Campo Grande, incluindo painéis e cabos de controle e potência associados.</t>
  </si>
  <si>
    <t>0005692/2024</t>
  </si>
  <si>
    <t>LT 230 kV ARAPIRACA III /PENEDO AL</t>
  </si>
  <si>
    <t>Substituição de 1 estrutura metálica autoportante 047/1 por outra com altura de 33 m e carregamento/esforço de 5554 DAN) e componentes e 04 fundações associadas da LT 230 kV ARAPIRACA III /PENEDO C-1 AL-04S9.</t>
  </si>
  <si>
    <t>0005693/2024</t>
  </si>
  <si>
    <t>11575116</t>
  </si>
  <si>
    <t>Substituição do sistema de controle e supervisão do Interligador de Barras (IB) 138 kV da SE Campo Grande, DJ532, incluindo painéis e cabos de controle e potência associados.</t>
  </si>
  <si>
    <t>0005694/2024</t>
  </si>
  <si>
    <t>Controle - DJ532</t>
  </si>
  <si>
    <t>Substituição de 1 estrutura metálica autoportante 049/2 por outra com altura de 37,5 m e carregamento/esforço de 6389,9 DAN) e componentes e 04 fundações associadas da LT 230 kV ARAPIRACA III /PENEDO C-1 AL-04S9.</t>
  </si>
  <si>
    <t>0005695/2024</t>
  </si>
  <si>
    <t>11575176</t>
  </si>
  <si>
    <t>Substituição do Sistema de Proteção, Controle e Supervisão (SPCS) dos serviços auxiliares CA / CC, da SE Campo Grande, incluindo painéis e cabos associados.</t>
  </si>
  <si>
    <t>0005696/2024</t>
  </si>
  <si>
    <t>Substituição de 1 estrutura metálica autoportante 051/1 por outra com altura de 37,5 m e carregamento/esforço de 6389,9 DAN) e componentes e 04 fundações associadas da LT 230 kV ARAPIRACA III /PENEDO C-1 AL-04S9.</t>
  </si>
  <si>
    <t>0005697/2024</t>
  </si>
  <si>
    <t>11575206</t>
  </si>
  <si>
    <t>Substituição da cadeia de proteção de barras principal, referente às barras de 230 kV da SE Canoinhas, incluindo uma Unidade Central e sete unidades de Bay (vãos TF 1 230/138 kV, TF 2 230/138 kV, TF 3 230/138 kV, Interligador de Barras - IB, Banco de Capacitor 1, LT 230 kV São Mateus do Sul C-1 e São Mateus do Sul C-2), painéis e cabos de controle e potência associados.</t>
  </si>
  <si>
    <t>0005698/2024</t>
  </si>
  <si>
    <t>Substituição de 1 estrutura metálica autoportante 062/2 por outra com altura de 34,5 m e carregamento/esforço de 5819,5 DAN) e componentes e 04 fundações associadas da LT 230 kV ARAPIRACA III /PENEDO C-1 AL-04S9.</t>
  </si>
  <si>
    <t>0005699/2024</t>
  </si>
  <si>
    <t>11575446</t>
  </si>
  <si>
    <t>Substituição da proteção Falha de Disjuntor, referente ao Interligador de Barras (IB) 230 kV da SE Canoinhas, DJ722.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</si>
  <si>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0005700/2024</t>
  </si>
  <si>
    <t>BF - DJ722</t>
  </si>
  <si>
    <t>Substituição de 1 estrutura metálica autoportante 064/1 por outra com altura de 34,5 m e carregamento/esforço de 5819,5 DAN) e componentes e 04 fundações associadas da LT 230 kV ARAPIRACA III /PENEDO C-1 AL-04S9.</t>
  </si>
  <si>
    <t>0005702/2024</t>
  </si>
  <si>
    <t>11575486</t>
  </si>
  <si>
    <t>Substituição das proteções Principal, Alternada e Falha de Disjuntor, referentes a LT 230 kV Canoinhas - São Mateus do Sul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</si>
  <si>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0005703/2024</t>
  </si>
  <si>
    <t>Substituição de 1 estrutura metálica autoportante 072/2 por outra com altura de 36 m e carregamento/esforço de 6046,7 DAN) e componentes e 04 fundações associadas da LT 230 kV ARAPIRACA III /PENEDO C-1 AL-04S9.</t>
  </si>
  <si>
    <t>0005705/2024</t>
  </si>
  <si>
    <t>11575686</t>
  </si>
  <si>
    <t>Substituição do sistema de controle e supervisão (com unidade redundante) da LT 230 kV Canoinhas - São Mateus do Sul C-1, incluindo painéis e cabos de controle e potência associados.</t>
  </si>
  <si>
    <t>0005704/2024</t>
  </si>
  <si>
    <t>Substituição do sistema de controle e supervisão (com unidade redundante) do Interligador de Barras (IB) 230 kV da SE Canoinhas, DJ722, incluindo painéis e cabos de controle e potência associados.</t>
  </si>
  <si>
    <t>0005706/2024</t>
  </si>
  <si>
    <t>Controle - DJ722</t>
  </si>
  <si>
    <t>LT 230 kV PAU FERRO /GOIANINHA PE</t>
  </si>
  <si>
    <t>Substituição de 1 estrutura metálica autoportante 040/1 por outra com altura de 39 m e carregamento/esforço de 6372,2 DAN) e componentes e 04 fundações associadas da LT 230 kV PAU FERRO /GOIANINHA C-1 PE-04C7.</t>
  </si>
  <si>
    <t>LT 230 kV PAU FERRO /GOIANINHA C-1 PE</t>
  </si>
  <si>
    <t>0005707/2024</t>
  </si>
  <si>
    <t>11525104</t>
  </si>
  <si>
    <t>Substituição do sistema de controle e supervisão (com unidade redundante) do TR1 230/69 kV da SE Canoinhas, lados de 230 e 69 kV, incluindo painéis e cabos de controle e potência associados.</t>
  </si>
  <si>
    <t>0005708/2024</t>
  </si>
  <si>
    <t>Controle - TF1</t>
  </si>
  <si>
    <t>Substituição de 1 estrutura metálica autoportante 048/2 por outra com altura de 34,5 m e carregamento/esforço de 5819,5 DAN) e componentes e 04 fundações associadas da LT 230 kV RIO LARGO II /ARAPIRACA III C-1 AL-04F1.</t>
  </si>
  <si>
    <t>0005709/2024</t>
  </si>
  <si>
    <t>11575066</t>
  </si>
  <si>
    <t>Substituição do sistema de controle e supervisão (com unidade redundante) do TR2 230/69 kV da SE Canoinhas, lados de 230 e 69 kV, incluindo painéis e cabos de controle e potência associados.</t>
  </si>
  <si>
    <t>TR 230/138 kV CANOINHAS ESU TR2 SC</t>
  </si>
  <si>
    <t>0005710/2024</t>
  </si>
  <si>
    <t>Controle - TF2</t>
  </si>
  <si>
    <t>Substituição de 1 estrutura metálica autoportante 052/2 por outra com altura de 34,5 m e carregamento/esforço de 5819,5 DAN) e componentes e 04 fundações associadas da LT 230 kV RIO LARGO II /ARAPIRACA III C-1 AL-04F1.</t>
  </si>
  <si>
    <t>0005712/2024</t>
  </si>
  <si>
    <t>11574976</t>
  </si>
  <si>
    <t>Substituição do sistema de controle e supervisão (com unidade redundante) do TR3 230/69 kV da SE Canoinhas, lados de 230 e 69 kV, incluindo painéis e cabos de controle e potência associados.</t>
  </si>
  <si>
    <t>0005713/2024</t>
  </si>
  <si>
    <t>Controle - TF3</t>
  </si>
  <si>
    <t>Substituição de 1 estrutura metálica autoportante 055/3 por outra com altura de 37,5 m e carregamento/esforço de 6389,9 DAN) e componentes e 04 fundações associadas da LT 230 kV RIO LARGO II /ARAPIRACA III C-1 AL-04F1.</t>
  </si>
  <si>
    <t>0005714/2024</t>
  </si>
  <si>
    <t>11574896</t>
  </si>
  <si>
    <t>Substituição do Sistema de Proteção, Controle e Supervisão (SPCS) dos serviços auxiliares CA / CC, da SE Canoinhas, incluindo painéis e cabos associados.</t>
  </si>
  <si>
    <t>0005715/2024</t>
  </si>
  <si>
    <t>Substituição de 1 estrutura metálica autoportante 058/1 por outra com altura de 36 m e carregamento/esforço de 6046,7 DAN) e componentes e 04 fundações associadas da LT 230 kV RIO LARGO II /ARAPIRACA III C-1 AL-04F1.</t>
  </si>
  <si>
    <t>0005717/2024</t>
  </si>
  <si>
    <t>11574846</t>
  </si>
  <si>
    <t>Substituição da cadeia de proteção de barras principal, referente às barras P e PT de 230 kV da SE Caxias, incluindo uma Unidade Central e onze unidades de Bay (vãos TF 1 525/230 kV, TF 2 525/230 kV, TF 3 525/230 kV, Interligador de Barras - IB, LT 230 kV Caxias do Sul 5 C-1, Farroupilha C-1, Farroupilha C-2, Campo Bom C-1, Campo Bom C-2, N. Petrópolis 2 C-1 e Caxias do Sul 6 C-1), painéis e cabos de controle e potência associados.</t>
  </si>
  <si>
    <t>0005719/2024</t>
  </si>
  <si>
    <t>Substituição de 1 estrutura metálica autoportante 065/3 por outra com altura de 37,5 m e carregamento/esforço de 6389,9 DAN) e componentes e 04 fundações associadas da LT 230 kV RIO LARGO II /ARAPIRACA III C-1 AL-04F1.</t>
  </si>
  <si>
    <t>0005720/2024</t>
  </si>
  <si>
    <t>11574676</t>
  </si>
  <si>
    <t>Substituição da proteção Falha de Disjuntor, referente ao Interligador de Barras (IB) 230 kV da SE Caxias, DJ802.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</si>
  <si>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0005722/2024</t>
  </si>
  <si>
    <t>BF - DJ802</t>
  </si>
  <si>
    <t>Substituição de 1 estrutura metálica autoportante 066/2 por outra com altura de 31,5 m e carregamento/esforço de 5457,5 DAN) e componentes e 04 fundações associadas da LT 230 kV RIO LARGO II /ARAPIRACA III C-1 AL-04F1.</t>
  </si>
  <si>
    <t>0005723/2024</t>
  </si>
  <si>
    <t>11574656</t>
  </si>
  <si>
    <t>Substituição da proteção Falha de Disjuntor, referente ao Interligador de Barras (IB) 525 kV da SE Caxias, D1010 (vão da LT Itá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</si>
  <si>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0005724/2024</t>
  </si>
  <si>
    <t>Substituição de 1 estrutura metálica autoportante 072/2 por outra com altura de 34,5 m e carregamento/esforço de 5819,5 DAN) e componentes e 04 fundações associadas da LT 230 kV RIO LARGO II /ARAPIRACA III C-1 AL-04F1.</t>
  </si>
  <si>
    <t>0005725/2024</t>
  </si>
  <si>
    <t>11574526</t>
  </si>
  <si>
    <t>Substituição da proteção Falha de Disjuntor, referente ao Interligador de Barras (IB) 525 kV da SE Caxias, DJ1030 (vão entre o TF1 e a LT C.Novos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</si>
  <si>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0005726/2024</t>
  </si>
  <si>
    <t>Substituição de 1 estrutura metálica autoportante 077/2 por outra com altura de 34,5 m e carregamento/esforço de 5819,5 DAN) e componentes e 04 fundações associadas da LT 230 kV RIO LARGO II /ARAPIRACA III C-1 AL-04F1.</t>
  </si>
  <si>
    <t>0005728/2024</t>
  </si>
  <si>
    <t>11574456</t>
  </si>
  <si>
    <t>Substituição da proteção Falha de Disjuntor, referente ao Interligador de Barras (IB) 525 kV da SE Caxias, DJ1050 (vão entre o TF2 e a LT Gravataí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</si>
  <si>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0005729/2024</t>
  </si>
  <si>
    <t>Substituição de 1 estrutura metálica autoportante 081/3 por outra com altura de 36 m e carregamento/esforço de 6046,7 DAN) e componentes e 04 fundações associadas da LT 230 kV RIO LARGO II /ARAPIRACA III C-1 AL-04F1.</t>
  </si>
  <si>
    <t>0005730/2024</t>
  </si>
  <si>
    <t>11574296</t>
  </si>
  <si>
    <t>Substituição da proteção Falha de Disjuntor, referente ao Interligador de Barras (IB) 525 kV da SE Caxias, DJ1070 (vão entre o TF3 e o Reator 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</si>
  <si>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0005731/2024</t>
  </si>
  <si>
    <t>Substituição das proteções Principal, Alternada e Falha de Disjuntor, referentes a LT 230 kV Caxias - Caxias 5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</si>
  <si>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LT 230 kV CAXIAS /CAXIAS SUL 5 C-1 RS</t>
  </si>
  <si>
    <t>0005733/2024</t>
  </si>
  <si>
    <t>PP, PA, BF - LT CAX5 C-1</t>
  </si>
  <si>
    <t>Substituição das proteções Principal, Alternada e Falha de Disjuntor, referentes ao Reator 1 525 kV (RT1) da SE Caxias.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</si>
  <si>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RT 525 kV 150 Mvar CAXIAS 1 RS</t>
  </si>
  <si>
    <t>0005734/2024</t>
  </si>
  <si>
    <t>Substituição de 1 estrutura metálica autoportante 093/3 por outra com altura de 33 m e carregamento/esforço de 5554 DAN) e componentes e 04 fundações associadas da LT 230 kV RIO LARGO II /ARAPIRACA III C-1 AL-04F1.</t>
  </si>
  <si>
    <t>0005736/2024</t>
  </si>
  <si>
    <t>11574016</t>
  </si>
  <si>
    <t>Substituição das proteções Principal, Alternada e Falha de Disjuntor, referentes ao TR1 525/230 kV da SE Caxias, lados de 525 e 230 kV.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</si>
  <si>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TR 525/230 kV CAXIAS TR1 RS</t>
  </si>
  <si>
    <t>0005737/2024</t>
  </si>
  <si>
    <t>PP, PA, BF - TF1</t>
  </si>
  <si>
    <t>Substituição de 1 estrutura metálica autoportante 114/1 por outra com altura de 37,5 m e carregamento/esforço de 6389,9 DAN) e componentes e 04 fundações associadas da LT 230 kV RIO LARGO II /ARAPIRACA III C-1 AL-04F1.</t>
  </si>
  <si>
    <t>0005738/2024</t>
  </si>
  <si>
    <t>11573546</t>
  </si>
  <si>
    <t>Substituição das proteções Principal, Alternada e Falha de Disjuntor, referentes ao TR2 525/230 kV da SE Caxias, lados de 525 e 230 kV.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</si>
  <si>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0005739/2024</t>
  </si>
  <si>
    <t>PP, PA, BF - TF2</t>
  </si>
  <si>
    <t>Substituição das proteções Principal, Alternada e Falha de Disjuntor, referentes ao TR3 525/230 kV da SE Caxias, lados de 525 e 230 kV.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</si>
  <si>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TR 525/230 kV CAXIAS TR3 RS</t>
  </si>
  <si>
    <t>0005740/2024</t>
  </si>
  <si>
    <t>PP, PA, BF - TF3</t>
  </si>
  <si>
    <t>LT 230 kV LAGOA DO CARRO /PAU FERRO PE</t>
  </si>
  <si>
    <t>Substituição de 22 esferas de sinalização em 8 vão(s) da LT 230 kV LAGOA DO CARRO /PAU FERRO C-1 PE-04F8 (002/1;005/1;006/1;030/1;030/2;031/1;031/2;032/1).</t>
  </si>
  <si>
    <t>LT 230 kV LAGOA DO CARRO /PAU FERRO C-1 PE</t>
  </si>
  <si>
    <t>0005741/2024</t>
  </si>
  <si>
    <t>d-spfeslac-04f8-esfe-1</t>
  </si>
  <si>
    <t>Substituição do sistema de controle e supervisão (com unidade redundante) da LT 230 kV Caxias - Caxias 5 C-1, incluindo painéis e cabos de controle e potência associados.</t>
  </si>
  <si>
    <t>0005743/2024</t>
  </si>
  <si>
    <t>Controle - LT CAX5 C-1</t>
  </si>
  <si>
    <t>Substituição de 35 esferas de sinalização em 16 vão(s) da LT 230 kV COTEMINAS /LAGOA DO CARRO C-1 PB/PE-04F9 (055/2;056/1;056/2;060/2;062/1;063/1;110/1;117/3;118/1;118/2;119/1;120/1;120/2;120/3;121/1;121/2).</t>
  </si>
  <si>
    <t>0005744/2024</t>
  </si>
  <si>
    <t>d-slacsctm-04f9-esfe-1</t>
  </si>
  <si>
    <t>Substituição do sistema de controle e supervisão (com unidade redundante) da LT 525 kV Caxias - Campos Novos C-1, incluindo painéis e cabos de controle e potência associados.</t>
  </si>
  <si>
    <t>LT 525 kV C.NOVOS /CAXIAS C-1 SC/RS</t>
  </si>
  <si>
    <t>0005745/2024</t>
  </si>
  <si>
    <t>Substituição de 1 estrutura metálica estaiada 206/1 por outra com altura de 51,5 m e carregamento/esforço de 13161,4 DAN) e componentes e 04 fundações associadas da LT 500 kV PECEM II /FORTALEZA II C-1 CE-05C2.</t>
  </si>
  <si>
    <t>0005747/2024</t>
  </si>
  <si>
    <t>11691624</t>
  </si>
  <si>
    <t>Substituição do sistema de controle e supervisão (com unidade redundante) da LT 525 kV Caxias - Gravataí C-1, incluindo painéis e cabos de controle e potência associados.</t>
  </si>
  <si>
    <t>0005748/2024</t>
  </si>
  <si>
    <t>Controle - LT GRA C-1</t>
  </si>
  <si>
    <t>Substituição de 1 estrutura metálica estaiada 207/1 por outra com altura de 51,5 m e carregamento/esforço de 13161,4 DAN) e componentes e 04 fundações associadas da LT 500 kV PECEM II /FORTALEZA II C-1 CE-05C2.</t>
  </si>
  <si>
    <t>0005749/2024</t>
  </si>
  <si>
    <t>11691634</t>
  </si>
  <si>
    <t>Substituição do sistema de controle e supervisão (com unidade redundante) da LT 525 kV Caxias - Itá C-1, incluindo painéis e cabos de controle e potência associados.</t>
  </si>
  <si>
    <t>LT 525 kV CAXIAS /ITA C-1 RS/SC</t>
  </si>
  <si>
    <t>0005750/2024</t>
  </si>
  <si>
    <t>Substituição de 1 estrutura metálica estaiada 207/2 por outra com altura de 51,5 m e carregamento/esforço de 13161,4 DAN) e componentes e 04 fundações associadas da LT 500 kV PECEM II /FORTALEZA II C-1 CE-05C2.</t>
  </si>
  <si>
    <t>0005751/2024</t>
  </si>
  <si>
    <t>11691644</t>
  </si>
  <si>
    <t>Substituição do sistema de controle e supervisão (com unidade redundante) do Interligador de Barras (IB) 230 kV da SE Caxias, DJ802, incluindo painéis e cabos de controle e potência associados.</t>
  </si>
  <si>
    <t>0005753/2024</t>
  </si>
  <si>
    <t>Controle - DJ802</t>
  </si>
  <si>
    <t>Substituição de 1 estrutura metálica autoportante 034/2 por outra com altura de 37,5 m e carregamento/esforço de 5453,5 DAN) e componentes e 04 fundações associadas da LT 230 kV C.GRANDE II /PARAISO C-1 PB/RN-04V2.</t>
  </si>
  <si>
    <t>0005754/2024</t>
  </si>
  <si>
    <t>11592078</t>
  </si>
  <si>
    <t>Substituição do sistema de controle e supervisão (com unidade redundante) do Interligador de Barras (IB) 525 kV da SE Caxias, D1010 (vão da LT Itá C-1), incluindo painéis e cabos de controle e potência associados.</t>
  </si>
  <si>
    <t>0005755/2024</t>
  </si>
  <si>
    <t>Substituição de 1 estrutura metálica autoportante 001/3 por outra com altura de 31,5 m e carregamento/esforço de 4770 DAN) e componentes e 04 fundações associadas da LT 230 kV C.GRANDE II /PARAISO C-1 PB/RN-04V2.</t>
  </si>
  <si>
    <t>0005756/2024</t>
  </si>
  <si>
    <t>11591238</t>
  </si>
  <si>
    <t>Substituição do sistema de controle e supervisão (com unidade redundante) do Interligador de Barras (IB) 525 kV da SE Caxias, DJ1030 (vão entre o TF1 e a LT C.Novos C-1), incluindo painéis e cabos de controle e potência associados.</t>
  </si>
  <si>
    <t>0005757/2024</t>
  </si>
  <si>
    <t>Substituição do sistema de controle e supervisão (com unidade redundante) do Interligador de Barras (IB) 525 kV da SE Caxias, DJ1050 (vão entre o TF2 e a LT Gravataí C-1), incluindo painéis e cabos de controle e potência associados.</t>
  </si>
  <si>
    <t>0005758/2024</t>
  </si>
  <si>
    <t>Substituição de 1 estrutura metálica autoportante 011/1 por outra com altura de 48 m e carregamento/esforço de 7268,6 DAN) e componentes e 04 fundações associadas da LT 230 kV C.GRANDE II /PARAISO C-1 PB/RN-04V2.</t>
  </si>
  <si>
    <t>0005759/2024</t>
  </si>
  <si>
    <t>11591498</t>
  </si>
  <si>
    <t>Substituição do sistema de controle e supervisão (com unidade redundante) do Interligador de Barras (IB) 525 kV da SE Caxias, DJ1070 (vão entre o TF3 e o Reator 1), incluindo painéis e cabos de controle e potência associados.</t>
  </si>
  <si>
    <t>0005761/2024</t>
  </si>
  <si>
    <t>Substituição de 1 estrutura metálica autoportante 013/2 por outra com altura de 34,5 m e carregamento/esforço de 5224,3 DAN) e componentes e 04 fundações associadas da LT 230 kV C.GRANDE II /PARAISO C-1 PB/RN-04V2.</t>
  </si>
  <si>
    <t>0005762/2024</t>
  </si>
  <si>
    <t>11591548</t>
  </si>
  <si>
    <t>Substituição do sistema de controle e supervisão (com unidade redundante) do Reator 1 525 kV (RT1) da SE Caxias, incluindo painéis e cabos de controle e potência associados.</t>
  </si>
  <si>
    <t>0005763/2024</t>
  </si>
  <si>
    <t>Substituição de 1 estrutura metálica autoportante 015/1 por outra com altura de 37,5 m e carregamento/esforço de 5678,6 DAN) e componentes e 04 fundações associadas da LT 230 kV C.GRANDE II /PARAISO C-1 PB/RN-04V2.</t>
  </si>
  <si>
    <t>0005765/2024</t>
  </si>
  <si>
    <t>11591578</t>
  </si>
  <si>
    <t>Substituição do sistema de controle e supervisão (com unidade redundante) do Reator Unidade Reserva 1 525 kV (RTR1) da SE Caxias, incluindo painéis e cabos de controle e potência associados.</t>
  </si>
  <si>
    <t>RTR 525 kV 50 MVAr CAXIAS RTR1 RS</t>
  </si>
  <si>
    <t>0005766/2024</t>
  </si>
  <si>
    <t>Controle - RTR1</t>
  </si>
  <si>
    <t>Substituição de 1 estrutura metálica autoportante 015/2 por outra com altura de 37,5 m e carregamento/esforço de 5678,6 DAN) e componentes e 04 fundações associadas da LT 230 kV C.GRANDE II /PARAISO C-1 PB/RN-04V2.</t>
  </si>
  <si>
    <t>0005767/2024</t>
  </si>
  <si>
    <t>11591588</t>
  </si>
  <si>
    <t>Substituição do sistema de controle e supervisão (com unidade redundante) do TR1 525/230 kV da SE Caxias, lados de 525 e 230 kV, incluindo painéis e cabos de controle e potência associados.</t>
  </si>
  <si>
    <t>0005768/2024</t>
  </si>
  <si>
    <t>Substituição de 1 estrutura metálica autoportante 016/1 por outra com altura de 37,5 m e carregamento/esforço de 5678,6 DAN) e componentes e 04 fundações associadas da LT 230 kV C.GRANDE II /PARAISO C-1 PB/RN-04V2.</t>
  </si>
  <si>
    <t>0005770/2024</t>
  </si>
  <si>
    <t>11591608</t>
  </si>
  <si>
    <t>Substituição do sistema de controle e supervisão (com unidade redundante) do TR2 525/230 kV da SE Caxias, lados de 525 e 230 kV, incluindo painéis e cabos de controle e potência associados.</t>
  </si>
  <si>
    <t>0005771/2024</t>
  </si>
  <si>
    <t>Substituição do sistema de controle e supervisão (com unidade redundante) do TR3 525/230 kV da SE Caxias, lados de 525 e 230 kV, incluindo painéis e cabos de controle e potência associados.</t>
  </si>
  <si>
    <t>0005773/2024</t>
  </si>
  <si>
    <t>Substituição de 1 estrutura metálica autoportante 021/2 por outra com altura de 39 m e carregamento/esforço de 5905,8 DAN) e componentes e 04 fundações associadas da LT 230 kV C.GRANDE II /PARAISO C-1 PB/RN-04V2.</t>
  </si>
  <si>
    <t>0005774/2024</t>
  </si>
  <si>
    <t>11591748</t>
  </si>
  <si>
    <t>Substituição do sistema de controle e supervisão (com unidade redundante) do TRR1 525/230 kV Unidade Reserva da SE Caxias, lados de 525 e 230 kV, incluindo painéis e cabos de controle e potência associados.</t>
  </si>
  <si>
    <t>TRR 525/230 kV CAXIAS TRR1 RS</t>
  </si>
  <si>
    <t>0005775/2024</t>
  </si>
  <si>
    <t>Controle - TRR1</t>
  </si>
  <si>
    <t>Substituição de 1 estrutura metálica autoportante 022/2 por outra com altura de 37,5 m e carregamento/esforço de 5678,6 DAN) e componentes e 04 fundações associadas da LT 230 kV C.GRANDE II /PARAISO C-1 PB/RN-04V2.</t>
  </si>
  <si>
    <t>0005776/2024</t>
  </si>
  <si>
    <t>11591768</t>
  </si>
  <si>
    <t>Substituição do Sistema de Proteção, Controle e Supervisão (SPCS) dos cubículos e serviços auxiliares CA / CC, da SE Caxias, pátio de 230 kV, incluindo painéis e cabos associados.</t>
  </si>
  <si>
    <t>0005777/2024</t>
  </si>
  <si>
    <t>Controle - Serv. Aux. 230 kV</t>
  </si>
  <si>
    <t>Substituição de 1 estrutura metálica autoportante 023/1 por outra com altura de 34,5 m e carregamento/esforço de 5224,3 DAN) e componentes e 04 fundações associadas da LT 230 kV C.GRANDE II /PARAISO C-1 PB/RN-04V2.</t>
  </si>
  <si>
    <t>0005778/2024</t>
  </si>
  <si>
    <t>11591778</t>
  </si>
  <si>
    <t>Substituição do Sistema de Proteção, Controle e Supervisão (SPCS) dos cubículos e serviços auxiliares CA / CC, da SE Caxias, pátio de 525 kV, incluindo painéis e cabos associados.</t>
  </si>
  <si>
    <t>0005779/2024</t>
  </si>
  <si>
    <t>Controle - Serv. Aux. 525 kV</t>
  </si>
  <si>
    <t>Substituição de 1 estrutura metálica autoportante 023/2 por outra com altura de 34,5 m e carregamento/esforço de 5224,3 DAN) e componentes e 04 fundações associadas da LT 230 kV C.GRANDE II /PARAISO C-1 PB/RN-04V2.</t>
  </si>
  <si>
    <t>0005780/2024</t>
  </si>
  <si>
    <t>11591788</t>
  </si>
  <si>
    <t>Substituição de 1 estrutura metálica autoportante 023/3 por outra com altura de 40,5 m e carregamento/esforço de 6132,9 DAN) e componentes e 04 fundações associadas da LT 230 kV C.GRANDE II /PARAISO C-1 PB/RN-04V2.</t>
  </si>
  <si>
    <t>0005781/2024</t>
  </si>
  <si>
    <t>11591798</t>
  </si>
  <si>
    <t>Substituição de 1 estrutura metálica autoportante 024/1 por outra com altura de 34,5 m e carregamento/esforço de 5224,3 DAN) e componentes e 04 fundações associadas da LT 230 kV C.GRANDE II /PARAISO C-1 PB/RN-04V2.</t>
  </si>
  <si>
    <t>0005782/2024</t>
  </si>
  <si>
    <t>11591808</t>
  </si>
  <si>
    <t>Substituição de 1 estrutura metálica autoportante 024/2 por outra com altura de 48 m e carregamento/esforço de 7268,6 DAN) e componentes e 04 fundações associadas da LT 230 kV C.GRANDE II /PARAISO C-1 PB/RN-04V2.</t>
  </si>
  <si>
    <t>0005783/2024</t>
  </si>
  <si>
    <t>11591818</t>
  </si>
  <si>
    <t>Substituição de 1 estrutura metálica autoportante 025/1 por outra com altura de 48 m e carregamento/esforço de 7268,6 DAN) e componentes e 04 fundações associadas da LT 230 kV C.GRANDE II /PARAISO C-1 PB/RN-04V2.</t>
  </si>
  <si>
    <t>0005784/2024</t>
  </si>
  <si>
    <t>11591828</t>
  </si>
  <si>
    <t>Substituição de 1 estrutura metálica autoportante 025/2 por outra com altura de 33 m e carregamento/esforço de 4997,2 DAN) e componentes e 04 fundações associadas da LT 230 kV C.GRANDE II /PARAISO C-1 PB/RN-04V2.</t>
  </si>
  <si>
    <t>0005785/2024</t>
  </si>
  <si>
    <t>11591838</t>
  </si>
  <si>
    <t>Substituição de 1 estrutura metálica autoportante 026/1 por outra com altura de 42 m e carregamento/esforço de 6360,1 DAN) e componentes e 04 fundações associadas da LT 230 kV C.GRANDE II /PARAISO C-1 PB/RN-04V2.</t>
  </si>
  <si>
    <t>0005786/2024</t>
  </si>
  <si>
    <t>11591858</t>
  </si>
  <si>
    <t>Substituição da proteção Falha de Disjuntor, referente ao Interligador de Barras (IB) 230 kV da SE Caxias 5, DJ742.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</si>
  <si>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0005787/2024</t>
  </si>
  <si>
    <t>Substituição de 1 estrutura metálica autoportante 027/3 por outra com altura de 39 m e carregamento/esforço de 5905,8 DAN) e componentes e 04 fundações associadas da LT 230 kV C.GRANDE II /PARAISO C-1 PB/RN-04V2.</t>
  </si>
  <si>
    <t>0005788/2024</t>
  </si>
  <si>
    <t>11591898</t>
  </si>
  <si>
    <t>Substituição das proteções Principal, Alternada e Falha de Disjuntor, referentes a LT 230 kV Caxias 5 - Caxias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</si>
  <si>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0005789/2024</t>
  </si>
  <si>
    <t>PP, PA, BF - LT CAX C-1</t>
  </si>
  <si>
    <t>Substituição de 1 estrutura metálica autoportante 028/2 por outra com altura de 37,5 m e carregamento/esforço de 5678,6 DAN) e componentes e 04 fundações associadas da LT 230 kV C.GRANDE II /PARAISO C-1 PB/RN-04V2.</t>
  </si>
  <si>
    <t>0005790/2024</t>
  </si>
  <si>
    <t>11591918</t>
  </si>
  <si>
    <t>Substituição das proteções Principal, Alternada e Falha de Disjuntor, referentes ao TR2 230/13,8 kV da SE Caxias 5, lados de 230 e 13,8 kV.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</si>
  <si>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0005791/2024</t>
  </si>
  <si>
    <t>Substituição de 1 estrutura metálica autoportante 028/3 por outra com altura de 37,5 m e carregamento/esforço de 5678,6 DAN) e componentes e 04 fundações associadas da LT 230 kV C.GRANDE II /PARAISO C-1 PB/RN-04V2.</t>
  </si>
  <si>
    <t>0005792/2024</t>
  </si>
  <si>
    <t>11591928</t>
  </si>
  <si>
    <t>Substituição do sistema de controle e supervisão (com unidade redundante) da LT 230 kV Caxias 5 - Caxias C-1, incluindo painéis e cabos de controle e potência associados.</t>
  </si>
  <si>
    <t>0005793/2024</t>
  </si>
  <si>
    <t>Controle - LT CAX C-1</t>
  </si>
  <si>
    <t>Substituição de 1 estrutura metálica autoportante 029/2 por outra com altura de 37,5 m e carregamento/esforço de 5678,6 DAN) e componentes e 04 fundações associadas da LT 230 kV C.GRANDE II /PARAISO C-1 PB/RN-04V2.</t>
  </si>
  <si>
    <t>0005794/2024</t>
  </si>
  <si>
    <t>11591948</t>
  </si>
  <si>
    <t>Substituição do sistema de controle e supervisão (com unidade redundante) da LT 230 kV Caxias 5 - Farroupilha C-1, incluindo painéis e cabos de controle e potência associados.</t>
  </si>
  <si>
    <t>0005795/2024</t>
  </si>
  <si>
    <t>Controle - LT FAR C-1</t>
  </si>
  <si>
    <t>Substituição de 1 estrutura metálica autoportante 029/3 por outra com altura de 34,5 m e carregamento/esforço de 5224,3 DAN) e componentes e 04 fundações associadas da LT 230 kV C.GRANDE II /PARAISO C-1 PB/RN-04V2.</t>
  </si>
  <si>
    <t>0005796/2024</t>
  </si>
  <si>
    <t>11591958</t>
  </si>
  <si>
    <t>Substituição do sistema de controle e supervisão (com unidade redundante) do Interligador de Barras (IB) 230 kV da SE Caxias 5, DJ742, incluindo painéis e cabos de controle e potência associados.</t>
  </si>
  <si>
    <t>0005797/2024</t>
  </si>
  <si>
    <t>Substituição de 1 estrutura metálica autoportante 031/2 por outra com altura de 39 m e carregamento/esforço de 5905,8 DAN) e componentes e 04 fundações associadas da LT 230 kV C.GRANDE II /PARAISO C-1 PB/RN-04V2.</t>
  </si>
  <si>
    <t>0005798/2024</t>
  </si>
  <si>
    <t>11591998</t>
  </si>
  <si>
    <t>Substituição do sistema de controle e supervisão (com unidade redundante) do TR2 230/13,8 kV da SE Caxias 5, lados de 230 e 13,8 kV, incluindo painéis e cabos de controle e potência associados.</t>
  </si>
  <si>
    <t>0005799/2024</t>
  </si>
  <si>
    <t>Substituição de 1 estrutura metálica autoportante 031/3 por outra com altura de 33 m e carregamento/esforço de 4997,2 DAN) e componentes e 04 fundações associadas da LT 230 kV C.GRANDE II /PARAISO C-1 PB/RN-04V2.</t>
  </si>
  <si>
    <t>0005800/2024</t>
  </si>
  <si>
    <t>11592008</t>
  </si>
  <si>
    <t>Substituição do sistema de controle e supervisão do Interligador de Barras (IB - P1 e P2) 13,8 kV da SE Caxias 5, DJ52-22, incluindo painéis e cabos de controle e potência associados.</t>
  </si>
  <si>
    <t>0005801/2024</t>
  </si>
  <si>
    <t>Controle - DJ52-22</t>
  </si>
  <si>
    <t>Substituição de 1 estrutura metálica autoportante 032/2 por outra com altura de 36 m e carregamento/esforço de 5451,5 DAN) e componentes e 04 fundações associadas da LT 230 kV C.GRANDE II /PARAISO C-1 PB/RN-04V2.</t>
  </si>
  <si>
    <t>0005802/2024</t>
  </si>
  <si>
    <t>11592028</t>
  </si>
  <si>
    <t>Substituição do sistema de controle e supervisão do Interligador de Barras (IB - P1 e T1) 13,8 kV da SE Caxias 5, DJ24-1, incluindo painéis e cabos de controle e potência associados.</t>
  </si>
  <si>
    <t>0005803/2024</t>
  </si>
  <si>
    <t>Controle - DJ24-1</t>
  </si>
  <si>
    <t>Substituição do Sistema de Proteção, Controle e Supervisão (SPCS) dos serviços auxiliares CA / CC, da SE Caxias 5, incluindo painéis e cabos associados.</t>
  </si>
  <si>
    <t>0005804/2024</t>
  </si>
  <si>
    <t>Substituição de 50 esferas de sinalização em 16 vão(s) da LT 230 kV C.GRANDE II /PARAISO C-1 PB/RN-04V2 (001/1;001/2;002/1;004/1;007/2;008/2;013/1;026/2;028/2;026/2;044/1;069/1;113/2;116/3;117/2;118/1).</t>
  </si>
  <si>
    <t>0005805/2024</t>
  </si>
  <si>
    <t>d-scgdsprs-04v2-esfe-1</t>
  </si>
  <si>
    <t>Substituição do sistema de proteção, controle e supervisão, referente ao Alimentador 13, 8 kV - AL-108 - da SE Caxias 5, incluindo painéis e cabos de controle e potência associados.</t>
  </si>
  <si>
    <t>LT 13,8 kV CAXIAS 5 / AL-108 RS</t>
  </si>
  <si>
    <t>0005806/2024</t>
  </si>
  <si>
    <t>SPCS - AL-108</t>
  </si>
  <si>
    <t>Substituição do sistema de proteção, controle e supervisão, referente ao Alimentador 13, 8 kV - AL-109 - da SE Caxias 5, incluindo painéis e cabos de controle e potência associados.</t>
  </si>
  <si>
    <t>LT 13,8 kV CAXIAS 5 / AL-109 RS</t>
  </si>
  <si>
    <t>0005807/2024</t>
  </si>
  <si>
    <t>SPCS - AL-109</t>
  </si>
  <si>
    <t>Substituição do sistema de proteção, controle e supervisão, referente ao Alimentador 13, 8 kV - AL-110 - da SE Caxias 5, incluindo painéis e cabos de controle e potência associados.</t>
  </si>
  <si>
    <t>LT 13,8 kV CAXIAS 5 / AL-110 RS</t>
  </si>
  <si>
    <t>0005808/2024</t>
  </si>
  <si>
    <t>SPCS - AL-110</t>
  </si>
  <si>
    <t>Substituição de 36 cadeias de isolador em 12 estrutura(s) da LT 230 kV AQUIRAZ II /FORTALEZA C-2 CE-04F2 (164/4;165/1;165/2;166/1;166/2;166/3;167/1;167/2;167/3;168/1;168/2;169/1).</t>
  </si>
  <si>
    <t>LT 230 kV AQUIRAZ II /FORTALEZA C-2 CE</t>
  </si>
  <si>
    <t>0005809/2024</t>
  </si>
  <si>
    <t>d-saqdsftz-04f2-cade-1</t>
  </si>
  <si>
    <t>Substituição do sistema de proteção, controle e supervisão, referente ao Alimentador 13, 8 kV - AL-111 - da SE Caxias 5, incluindo painéis e cabos de controle e potência associados.</t>
  </si>
  <si>
    <t>LT 13,8 kV CAXIAS 5 / AL-111 RS</t>
  </si>
  <si>
    <t>0005810/2024</t>
  </si>
  <si>
    <t>SPCS - AL-111</t>
  </si>
  <si>
    <t>Substituição de 147 cadeias de isolador em 34 estrutura(s) da LT 230 kV SAPEACU /FUNIL C-1 BA-04F1 (034/1;034/2;035/1;036/1;036/2;036/3;037/1;037/2;037/3;038/1;038/3;038/4;038/5;039/1;039/2;040/1;040/2;040/3;041/1;041/2;041/3;042/1;042/2;043/1;043/2;043/3;044/1;044/2;044/3;045/1;045/2;045/3;045/4;046/1).</t>
  </si>
  <si>
    <t>0005811/2024</t>
  </si>
  <si>
    <t>d-sspusfnl-04f1-cade-2</t>
  </si>
  <si>
    <t>Substituição do sistema de proteção, controle e supervisão, referente ao Alimentador 13, 8 kV - AL-112 - da SE Caxias 5, incluindo painéis e cabos de controle e potência associados.</t>
  </si>
  <si>
    <t>LT 13,8 kV CAXIAS 5 / AL-112 RS</t>
  </si>
  <si>
    <t>0005812/2024</t>
  </si>
  <si>
    <t>SPCS - AL-112</t>
  </si>
  <si>
    <t>Substituição de 141 cadeias de isolador em 34 estrutura(s) da LT 230 kV SAPEACU /FUNIL C-1 BA-04F1 (046/2;046/3;046/4;047/1;047/2;047/3;048/1;048/2;048/3;049/1;049/2;049/3;049/4;050/1;050/2;051/1;051/2;051/3;052/1;052/3;053/1;053/2;053/3;054/1;054/2;054/3;055/1;055/2;055/3;056/1;056/2;056/3;057/1;057/2).</t>
  </si>
  <si>
    <t>0005813/2024</t>
  </si>
  <si>
    <t>d-sspusfnl-04f1-cade-3</t>
  </si>
  <si>
    <t>Substituição do sistema de proteção, controle e supervisão, referente ao Alimentador 13, 8 kV - AL-113 - da SE Caxias 5, incluindo painéis e cabos de controle e potência associados.</t>
  </si>
  <si>
    <t>LT 13,8 kV CAXIAS 5 / AL-113 RS</t>
  </si>
  <si>
    <t>0005814/2024</t>
  </si>
  <si>
    <t>SPCS - AL-113</t>
  </si>
  <si>
    <t>Substituição do sistema de proteção, controle e supervisão, referente ao Alimentador 13, 8 kV - AL-114 - da SE Caxias 5, incluindo painéis e cabos de controle e potência associados.</t>
  </si>
  <si>
    <t>LT 13,8 kV CAXIAS 5 / AL-114 RS</t>
  </si>
  <si>
    <t>0005816/2024</t>
  </si>
  <si>
    <t>SPCS - AL-114</t>
  </si>
  <si>
    <t>Substituição de 126 cadeias de isolador em 34 estrutura(s) da LT 230 kV SAPEACU /FUNIL C-1 BA-04F1 (057/3;057/4;058/1;058/2;058/3;059/1;059/2;059/3;060/1;060/2;060/3;060/4;061/1;061/2;061/3;062/1;062/2;062/3;062/4;063/1;063/2;063/3;063/4;064/1;064/2;064/3;065/1;065/2;065/3;066/1;066/2;066/3;067/1;067/2).</t>
  </si>
  <si>
    <t>0005817/2024</t>
  </si>
  <si>
    <t>d-sspusfnl-04f1-cade-4</t>
  </si>
  <si>
    <t>Substituição do sistema de proteção, controle e supervisão, referente ao Alimentador 13, 8 kV dos Bancos de Capacitores BC1 e BC2 da SE Caxias 5, incluindo painéis e cabos de controle e potência associados.</t>
  </si>
  <si>
    <t>LT 13,8 kV CAXIAS 5 / BC1 e BC2 RS</t>
  </si>
  <si>
    <t>0005819/2024</t>
  </si>
  <si>
    <t>SPCS - AL-BC1-BC2</t>
  </si>
  <si>
    <t>Substituição do sistema de proteção, controle e supervisão, referente ao Alimentador 13, 8 kV dos Bancos de Capacitores BC3 e BC4 da SE Caxias 5, incluindo painéis e cabos de controle e potência associados.</t>
  </si>
  <si>
    <t>LT 13,8 kV CAXIAS 5 / BC3 e BC4 RS</t>
  </si>
  <si>
    <t>0005821/2024</t>
  </si>
  <si>
    <t>SPCS - AL-BC3-BC4</t>
  </si>
  <si>
    <t>Substituição das proteções Principal, Alternada e Falha de Disjuntor, referentes a LT 138 kV U.Mimoso - Campo Grande C-4.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</si>
  <si>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0005822/2024</t>
  </si>
  <si>
    <t>PP, PA, BF - LT CGR C-4</t>
  </si>
  <si>
    <t>Substituição de 01 (um) TP  posição operacional 85L7_B da Subestação RCD</t>
  </si>
  <si>
    <t>0005823/2024</t>
  </si>
  <si>
    <t>85L7.B</t>
  </si>
  <si>
    <t>Substituição das proteções Principal, Alternada e Falha de Disjuntor, referentes a LT 138 kV U.Mimoso - Jupiá C-3.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</si>
  <si>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LT 138 kV U.MIMOSO / JUPIA C-3 MS</t>
  </si>
  <si>
    <t>0005825/2024</t>
  </si>
  <si>
    <t>PP, PA, BF - LT JUP C-3</t>
  </si>
  <si>
    <t>Substituição das proteções Principal, Alternada e Falha de Disjuntor, referentes a LT 138 kV U.Mimoso - Jupiá C-4.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</si>
  <si>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LT 138 kV U.MIMOSO / JUPIA C-4 MS</t>
  </si>
  <si>
    <t>0005826/2024</t>
  </si>
  <si>
    <t>PP, PA, BF - LT JUP C-4</t>
  </si>
  <si>
    <t>Substituição do sistema de controle e supervisão da LT 138 kV U.Mimoso - Campo Grande C-4, incluindo painéis e cabos de controle e potência associados.</t>
  </si>
  <si>
    <t>0005827/2024</t>
  </si>
  <si>
    <t>Controle - LT CGR C-4</t>
  </si>
  <si>
    <t>Substituição do sistema de controle e supervisão da LT 138 kV U.Mimoso - Jupiá C-3, incluindo painéis e cabos de controle e potência associados.</t>
  </si>
  <si>
    <t>0005828/2024</t>
  </si>
  <si>
    <t>Controle - LT JUP C-3</t>
  </si>
  <si>
    <t>Substituição de 117 cadeias de isolador em 35 estrutura(s) da LT 230 kV BANABUIU /AQUIRAZ II C-1 CE-04C8 (028/1;028/2;029/1;029/2;030/1;030/2;031/1;031/2;031/3;032/1;032/2;033/1;033/2;034/1;034/2;034/3;035/1;035/2;036/1;036/2;036/3;037/1;037/2;038/1;038/2;038/3;039/1;039/2;040/1;040/2;041/1;041/2;042/1;042/2;042/3 ).</t>
  </si>
  <si>
    <t>0005829/2024</t>
  </si>
  <si>
    <t>d-saqdsbnb-04c8-cade-3</t>
  </si>
  <si>
    <t>Substituição do sistema de controle e supervisão da LT 138 kV U.Mimoso - Jupiá C-4, incluindo painéis e cabos de controle e potência associados.</t>
  </si>
  <si>
    <t>0005830/2024</t>
  </si>
  <si>
    <t>Controle - LT JUP C-4</t>
  </si>
  <si>
    <t>Substituição de 153 cadeias de isolador em 35 estrutura(s) da LT 230 kV BANABUIU /AQUIRAZ II C-3 CE-04C6 (034/1;034/2;034/3;034/4;035/1;035/2;035/3;035/4;036/1;036/2;036/3;037/1;037/2;037/3;038/1;038/2;038/3;038/4;039/1;039/2;039/3;040/1;040/2;040/3;041/1;041/2;041/3;041/4;042/1;042/2;043/1;043/2;043/3;043/4;044/1 ).</t>
  </si>
  <si>
    <t>0005831/2024</t>
  </si>
  <si>
    <t>d-saqdsbnb-04c6-cade-4</t>
  </si>
  <si>
    <t>Substituição do sistema de controle e supervisão da LT 138 kV U.Mimoso - Mimoso 2 C-3, incluindo painéis e cabos de controle e potência associados.</t>
  </si>
  <si>
    <t>LT 138 kV U.MIMOSO / MIMOSO 2 C-3 MS</t>
  </si>
  <si>
    <t>0005832/2024</t>
  </si>
  <si>
    <t>Substituição de 01 (um) TP  230kV, posição operacional 84BP-2.C da Subestação CTU</t>
  </si>
  <si>
    <t>0005833/2024</t>
  </si>
  <si>
    <t>84BP-2.C</t>
  </si>
  <si>
    <t>Substituição de 105 cadeias de isolador em 35 estrutura(s) da LT 230 kV BANABUIU /AQUIRAZ II C-3 CE-04C6 (044/2;044/3;045/1;045/2;045/3;046/1;046/2;046/3;047/1;047/2;047/3;047/4;047/5;048/1;048/2;048/3;049/1;049/2;049/3;049/4;050/1;050/2;051/1;051/2;051/3;052/1;052/2;052/3;053/1;053/2;053/3;053/4;054/1;054/2;055/1 ).</t>
  </si>
  <si>
    <t>0005834/2024</t>
  </si>
  <si>
    <t>d-saqdsbnb-04c6-cade-5</t>
  </si>
  <si>
    <t>Substituição de 01 (um) TP 138kV,  posição operacional 83P2.A da Subestação FNL</t>
  </si>
  <si>
    <t>EL 138 kV FUNIL DIST5 (13P2)</t>
  </si>
  <si>
    <t>0005835/2024</t>
  </si>
  <si>
    <t>83P2.A</t>
  </si>
  <si>
    <t>Substituição de 105 cadeias de isolador em 35 estrutura(s) da LT 230 kV BANABUIU /AQUIRAZ II C-3 CE-04C6 (055/2;055/3;056/1;056/2;056/3;057/1;057/2;057/3;058/1;058/2;058/3;059/1;059/2;059/3;060/1;060/2;060/3;060/4;061/1;061/2;061/3;062/1;062/2;062/3;063/1;063/2;063/3;063/4;064/1;064/2;064/3;065/1;065/2;065/3;066/1 ).</t>
  </si>
  <si>
    <t>0005836/2024</t>
  </si>
  <si>
    <t>d-saqdsbnb-04c6-cade-6</t>
  </si>
  <si>
    <t>Substituição de 117 cadeias de isolador em 35 estrutura(s) da LT 230 kV BANABUIU /AQUIRAZ II C-3 CE-04C6 (066/2;066/3;067/1;067/2;067/3;068/1;068/2;068/3;069/1;069/2;069/3;069/4;070/1;070/2;070/3;071/1;071/2;071/3;071/4;072/1;072/2;072/3;073/1;073/2;073/3;073/4;074/1;074/2;074/3;075/1;075/2;075/3;076/1;076/2;076/3 ).</t>
  </si>
  <si>
    <t>0005838/2024</t>
  </si>
  <si>
    <t>d-saqdsbnb-04c6-cade-7</t>
  </si>
  <si>
    <t>Substituição de 01 (um) TP 138kV,  posição operacional 83P2.B da Subestação FNL</t>
  </si>
  <si>
    <t>0005837/2024</t>
  </si>
  <si>
    <t>83P2.B</t>
  </si>
  <si>
    <t>Substituição de 01 (um) TP 138kV,  posição operacional 83P2.C da Subestação FNL</t>
  </si>
  <si>
    <t>0005839/2024</t>
  </si>
  <si>
    <t>83P2.C</t>
  </si>
  <si>
    <t>Substituição de 105 cadeias de isolador em 35 estrutura(s) da LT 230 kV BANABUIU /AQUIRAZ II C-3 CE-04C6 (077/1;077/2;077/3;078/1;078/2;078/3;079/1;079/2;079/3;079/4;080/1;080/2;080/3;081/1;081/2;081/3;082/1;082/2;082/3;083/1;083/2;083/3;084/1;084/2;084/3;084/4;085/1;085/2;085/3;086/1;086/2;086/3;087/1;087/2;087/3 ).</t>
  </si>
  <si>
    <t>0005840/2024</t>
  </si>
  <si>
    <t>d-saqdsbnb-04c6-cade-8</t>
  </si>
  <si>
    <t>Substituição de 117 cadeias de isolador em 35 estrutura(s) da LT 230 kV BANABUIU /AQUIRAZ II C-3 CE-04C6 (088/1;088/2;088/3;088/4;089/1;089/2;089/3;090/1;090/2;090/3;091/1;091/2;091/3;092/1;092/2;092/3;093/1;093/2;093/3;094/1;094/2;094/3;095/1;095/2;095/3;096/1;096/2;096/3;097/1;097/2;097/3;097/4;098/1;098/2;098/3 ).</t>
  </si>
  <si>
    <t>0005841/2024</t>
  </si>
  <si>
    <t>d-saqdsbnb-04c6-cade-9</t>
  </si>
  <si>
    <t>Substituição de 01 (um) TP 138kV,  posição operacional 83N1.A da Subestação IRE</t>
  </si>
  <si>
    <t>EL 138 kV IRECE AGUAS BELAS (13N1)</t>
  </si>
  <si>
    <t>0005842/2024</t>
  </si>
  <si>
    <t>83N1.A</t>
  </si>
  <si>
    <t>Substituição de chave-seccionadora SC811, 345kV, arranjo BD5, associado ao AT01, na SE CAMPINAS.</t>
  </si>
  <si>
    <t>0006151/2024</t>
  </si>
  <si>
    <t>SC 811</t>
  </si>
  <si>
    <t>Substituição chave-seccionadora SC813, 345kV, arranjo BD5, associado ao AT01, na SE CAMPINAS.</t>
  </si>
  <si>
    <t>MC 345 kV TR 345/138 kV CAMPINAS TR1 SP</t>
  </si>
  <si>
    <t>0006197/2024</t>
  </si>
  <si>
    <t>SC 813</t>
  </si>
  <si>
    <t>Substituição de 105 cadeias de isolador em 35 estrutura(s) da LT 230 kV BANABUIU /AQUIRAZ II C-3 CE-04C6 (099/1;099/2;099/3;100/1;100/2;100/3;101/1;101/2;101/3;101/4;102/1;102/2;102/3;103/1;103/2;103/3;104/1;104/2;104/3;105/1;105/2;105/3;105/4;106/1;106/2;106/3;107/1;107/2;108/1;108/2;108/3;109/1;109/2;109/3;109/4 ).</t>
  </si>
  <si>
    <t>0005843/2024</t>
  </si>
  <si>
    <t>d-saqdsbnb-04c6-cade-10</t>
  </si>
  <si>
    <t>Substituição de 01 (um) TP 138kV,  posição operacional 83N1.B da Subestação IRE</t>
  </si>
  <si>
    <t>0005844/2024</t>
  </si>
  <si>
    <t>83N1.B</t>
  </si>
  <si>
    <t>Substituição chave-seccionadora SC815, 345kV, arranjo BD5, associado ao AT01, na SE CAMPINAS.</t>
  </si>
  <si>
    <t>0006203/2024</t>
  </si>
  <si>
    <t>SC 815</t>
  </si>
  <si>
    <t>Substituição chave-seccionadora SC817, 345kV, arranjo BD5, associado ao AT01, na SE CAMPINAS.</t>
  </si>
  <si>
    <t>0006207/2024</t>
  </si>
  <si>
    <t>SC 817</t>
  </si>
  <si>
    <t>Substituição de 105 cadeias de isolador em 35 estrutura(s) da LT 230 kV BANABUIU /AQUIRAZ II C-3 CE-04C6 (110/1;110/2;110/3;111/1;111/2;111/3;111/4;112/1;112/2;112/3;113/1;113/2;113/3;114/1;114/2;114/3;114/4;115/1;115/2;115/3;116/1;116/2;116/3;116/4;117/1;117/2;117/3;118/1;118/2;118/3;119/1;119/2;119/3;120/1;120/2 ).</t>
  </si>
  <si>
    <t>0005845/2024</t>
  </si>
  <si>
    <t>d-saqdsbnb-04c6-cade-11</t>
  </si>
  <si>
    <t>Substituição de 01 (um) TP 138kV,  posição operacional 83N1.C da Subestação IRE</t>
  </si>
  <si>
    <t>0005846/2024</t>
  </si>
  <si>
    <t>83N1.C</t>
  </si>
  <si>
    <t>Substituição chave-seccionadora SC819, 345kV, arranjo BD5, associado ao AT01, na SE CAMPINAS.</t>
  </si>
  <si>
    <t>0006213/2024</t>
  </si>
  <si>
    <t>SC819</t>
  </si>
  <si>
    <t>Substituição de 129 cadeias de isolador em 35 estrutura(s) da LT 230 kV BANABUIU /AQUIRAZ II C-3 CE-04C6 (120/3;120/4;121/1;121/2;121/3;122/1;122/2;122/3;123/1;123/2;123/3;123/4;124/1;124/2;124/3;125/1;125/2;125/3;126/1;126/2;126/3;126/4;127/1;127/2;127/3;128/1;128/2;128/3;129/1;129/2;129/3;129/4;130/1;130/2;130/3 ).</t>
  </si>
  <si>
    <t>0005847/2024</t>
  </si>
  <si>
    <t>d-saqdsbnb-04c6-cade-12</t>
  </si>
  <si>
    <t>Substituição chave-seccionadora SC821, 345kV, arranjo BD5, associado ao AT02, na SE CAMPINAS.</t>
  </si>
  <si>
    <t>0006216/2024</t>
  </si>
  <si>
    <t>SC821</t>
  </si>
  <si>
    <t>Substituição chave-seccionadora SC823, 345kV, arranjo BD5, associado ao AT02, na SE CAMPINAS.</t>
  </si>
  <si>
    <t>0006218/2024</t>
  </si>
  <si>
    <t>SC823</t>
  </si>
  <si>
    <t>Substituição chave-seccionadora SC825, 345kV, arranjo BD5, associado ao AT02, na SE CAMPINAS.</t>
  </si>
  <si>
    <t>0006225/2024</t>
  </si>
  <si>
    <t>SC825</t>
  </si>
  <si>
    <t>Substituição chave-seccionadora SC827, 345kV, arranjo BD5, associado ao AT02, na SE CAMPINAS.</t>
  </si>
  <si>
    <t>0006228/2024</t>
  </si>
  <si>
    <t>SC827</t>
  </si>
  <si>
    <t>Substituição chave-seccionadora SC829, 345kV, arranjo BD5, associado ao AT02, na SE CAMPINAS.</t>
  </si>
  <si>
    <t>MC 345 kV TR 345/138 kV CAMPINAS TR2 SP</t>
  </si>
  <si>
    <t>0006229/2024</t>
  </si>
  <si>
    <t>SC829</t>
  </si>
  <si>
    <t>Substituição de 153 cadeias de isolador em 35 estrutura(s) da LT 230 kV BANABUIU /AQUIRAZ II C-2 CE-04C7 (001/1;001/2;001/3;001/4;002/1;002/2;002/3;003/1;003/2;003/3;004/1;004/2;005/1;005/2;005/3;006/1;006/2;007/1;007/2;008/1;008/2;008/3;009/1;009/2;010/1;010/2;010/3;011/1;011/2;011/3;012/1;012/2;013/1;013/2;014/1 ).</t>
  </si>
  <si>
    <t>0005848/2024</t>
  </si>
  <si>
    <t>d-saqdsbnb-04c7-cade-1</t>
  </si>
  <si>
    <t>Substituição transformador de corrente fase A, 345kV, arranjo BD5, associado ao AT01, na SE CAMPINAS.</t>
  </si>
  <si>
    <t>0006232/2024</t>
  </si>
  <si>
    <t>TC 817 A</t>
  </si>
  <si>
    <t>Substituição de 01 (um) TP  230kV, posição operacional 84S4.B da Subestação MSI</t>
  </si>
  <si>
    <t>LT 230 kV MESSIAS /RIO LARGO II C-2 AL</t>
  </si>
  <si>
    <t>0005849/2024</t>
  </si>
  <si>
    <t>84S4.B</t>
  </si>
  <si>
    <t>Substituição transformador de corrente fase B, 345kV, arranjo BD5, associado ao AT01, na SE CAMPINAS.</t>
  </si>
  <si>
    <t>0006235/2024</t>
  </si>
  <si>
    <t>TC 817 B</t>
  </si>
  <si>
    <t>Substituição de 105 cadeias de isolador em 35 estrutura(s) da LT 230 kV BANABUIU /AQUIRAZ II C-2 CE-04C7 (014/2;014/3;015/1;015/2;016/1;016/2;016/3;017/1;017/2;017/3;018/1;018/2;018/3;019/1;019/2;020/1;020/2;021/1;021/2;021/3;022/1;022/2;023/1;023/2;023/3;024/1;024/2;025/1;025/2;025/3;026/1;026/2;027/1;027/2;028/1 ).</t>
  </si>
  <si>
    <t>0005850/2024</t>
  </si>
  <si>
    <t>d-saqdsbnb-04c7-cade-2</t>
  </si>
  <si>
    <t>Substituição transformador de Corrente fase C, 345kV, arranjo BD5, associado ao AT01, na SE CAMPINAS.</t>
  </si>
  <si>
    <t>0006239/2024</t>
  </si>
  <si>
    <t>TC 817 C</t>
  </si>
  <si>
    <t>Substituição de 01 (um) TP  230kV, posição operacional 84S4.C da Subestação MSI</t>
  </si>
  <si>
    <t>0005851/2024</t>
  </si>
  <si>
    <t>84S4.C</t>
  </si>
  <si>
    <t>Substituição de Transformador Potencial EL fase A, 138kV, arranjo BS, associado ao AT01, na SE CAMPINAS.</t>
  </si>
  <si>
    <t>0006243/2024</t>
  </si>
  <si>
    <t>TPC 6515 A</t>
  </si>
  <si>
    <t>Substituição de 129 cadeias de isolador em 35 estrutura(s) da LT 230 kV BANABUIU /AQUIRAZ II C-2 CE-04C7 (028/2;029/1;029/2;030/1;030/2;031/1;031/2;031/3;032/1;032/2;033/1;033/2;034/1;034/2;034/3;035/1;035/2;036/1;036/2;036/3;037/1;037/2;038/1;038/2;038/3;039/1;039/2;040/1;040/2;041/1;041/2;042/1;042/2;042/3;043/1 ).</t>
  </si>
  <si>
    <t>0005852/2024</t>
  </si>
  <si>
    <t>d-saqdsbnb-04c7-cade-3</t>
  </si>
  <si>
    <t>Substituição de Transformador Potencial EL fase C, 138kV, arranjo BS, associado ao AT01, na SE CAMPINAS.</t>
  </si>
  <si>
    <t>0006185/2024</t>
  </si>
  <si>
    <t>TPC 6515 C</t>
  </si>
  <si>
    <t>Substituição de 01 (um) TP  230kV, posição operacional 84S6.B da Subestação MSI</t>
  </si>
  <si>
    <t>0005853/2024</t>
  </si>
  <si>
    <t>84S6.B</t>
  </si>
  <si>
    <t>0006190/2024</t>
  </si>
  <si>
    <t>TPC 6525 A</t>
  </si>
  <si>
    <t>Substituição de 141 cadeias de isolador em 35 estrutura(s) da LT 230 kV BANABUIU /AQUIRAZ II C-2 CE-04C7 (043/2;043/3;043/4;044/1;044/2;045/1;045/2;045/3;046/1;046/2;047/1;047/2;047/3;048/1;048/2;049/1;049/2;050/1;050/2;050/3;051/1;051/2;051/3;052/1;052/2;052/3;053/1;053/2;053/3;054/1;054/2;055/1;055/2;056/1;056/2 ).</t>
  </si>
  <si>
    <t>0005854/2024</t>
  </si>
  <si>
    <t>d-saqdsbnb-04c7-cade-4</t>
  </si>
  <si>
    <t>Substituição de Transformador Potencial EL fase B, 138kV, arranjo BS, associado ao AT02, na SE CAMPINAS.</t>
  </si>
  <si>
    <t>EL 138 kV CAMPINAS LT 138 kV TANQUINHO /CAMPINAS C-2 SP</t>
  </si>
  <si>
    <t>0006244/2024</t>
  </si>
  <si>
    <t>TPC 6515 B</t>
  </si>
  <si>
    <t>Substituição de 01 (um) TP  230kV, posição operacional 84S6.C da Subestação MSI</t>
  </si>
  <si>
    <t>0005855/2024</t>
  </si>
  <si>
    <t>84S6.C</t>
  </si>
  <si>
    <t>Substituição de 105 cadeias de isolador em 35 estrutura(s) da LT 230 kV BANABUIU /AQUIRAZ II C-2 CE-04C7 (057/1;057/2;058/1;058/2;058/3;059/1;059/2;060/1;060/2;061/1;061/2;061/3;062/1;062/2;063/1;063/2;063/3;064/1;064/2;065/1;065/2;065/3;066/1;066/2;067/1;067/2;067/3;068/1;068/2;069/1;069/2;070/1;070/2;071/1;071/2 ).</t>
  </si>
  <si>
    <t>0005856/2024</t>
  </si>
  <si>
    <t>d-saqdsbnb-04c7-cade-5</t>
  </si>
  <si>
    <t>0006198/2024</t>
  </si>
  <si>
    <t>TPC 6525 B</t>
  </si>
  <si>
    <t>Substituição de Transformador Potencial EL fase C, 138kV, arranjo BS, associado ao AT02, na SE CAMPINAS.</t>
  </si>
  <si>
    <t>0006200/2024</t>
  </si>
  <si>
    <t>TPC 6525 C</t>
  </si>
  <si>
    <t>Substituição de 105 cadeias de isolador em 35 estrutura(s) da LT 230 kV BANABUIU /AQUIRAZ II C-2 CE-04C7 (071/3;072/1;072/2;073/1;073/2;074/1;074/2;075/1;075/2;075/3;076/1;076/2;077/1;077/2;077/3;078/1;078/2;079/1;079/2;079/3;080/1;080/2;081/1;081/2;081/3;082/1;082/2;082/3;082/4;083/1;083/2;084/1;084/2;084/3;085/1 ).</t>
  </si>
  <si>
    <t>0005858/2024</t>
  </si>
  <si>
    <t>d-saqdsbnb-04c7-cade-6</t>
  </si>
  <si>
    <t>Substituição de Transformador Potencial TP Lado AT01 fase C, 138kV, arranjo BS, associado ao AT01, na SE CAMPINAS.</t>
  </si>
  <si>
    <t>0006204/2024</t>
  </si>
  <si>
    <t>TP 6515 C</t>
  </si>
  <si>
    <t>Substituição de Transformador Potencial DCPS 9305 fase B, 500kV, arranjo AN, associado a EL, na SE CAMPINAS.</t>
  </si>
  <si>
    <t>0006209/2024</t>
  </si>
  <si>
    <t>TPC 9305B</t>
  </si>
  <si>
    <t>Substituição de Transformador Potencial DCP - LICAMFDI fase A, 500kV, arranjo AN, associado a EL, na SE CAMPINAS.</t>
  </si>
  <si>
    <t>0006212/2024</t>
  </si>
  <si>
    <t>TPC LICAMFDI A</t>
  </si>
  <si>
    <t>Substituição de Transformador Potencial DCP - LICAMFDI fase B, 500kV, arranjo AN, associado a EL, na SE CAMPINAS.</t>
  </si>
  <si>
    <t>0006215/2024</t>
  </si>
  <si>
    <t>TPC LICAMFDI B</t>
  </si>
  <si>
    <t>Substituição de 105 cadeias de isolador em 35 estrutura(s) da LT 230 kV BANABUIU /AQUIRAZ II C-2 CE-04C7 (099/2;100/1;100/2;101/1;101/2;101/3;102/1;102/2;103/1;103/2;104/1;104/2;104/3;105/1;105/2;106/1;106/2;106/3;107/1;107/2;108/1;108/2;108/3;109/1;109/2;110/1;110/2;110/3;111/1;111/2;112/1;112/2;112/3;113/1;113/2 ).</t>
  </si>
  <si>
    <t>0005861/2024</t>
  </si>
  <si>
    <t>d-saqdsbnb-04c7-cade-8</t>
  </si>
  <si>
    <t>Substituição de Transformador Potencial DCP - LICAMFDI fase C, 500kV, arranjo AN, associado a EL, na SE CAMPINAS.</t>
  </si>
  <si>
    <t>EL 500 kV CAMPINAS LT 500 kV FERNAO DIAS /CAMPINAS C-1 SP</t>
  </si>
  <si>
    <t>0006188/2024</t>
  </si>
  <si>
    <t>TPC LICAMFDI C</t>
  </si>
  <si>
    <t>Substituição de Transformador Potencial DCP - LTARCA fase A, 500kV, arranjo AN, associado a EL, na SE CAMPINAS.</t>
  </si>
  <si>
    <t>EL 500 kV CAMPINAS LT 500 kV ARARAQUARA FURNAS /CAMPINAS C-1 SP</t>
  </si>
  <si>
    <t>0006193/2024</t>
  </si>
  <si>
    <t>TPC LTARCA A</t>
  </si>
  <si>
    <t>Substituição de 117 cadeias de isolador em 35 estrutura(s) da LT 230 kV BANABUIU /AQUIRAZ II C-2 CE-04C7 (114/1;114/2;114/3;115/1;115/2;116/1;116/2;116/3;117/1;117/2;118/1;118/2;118/3;119/1;119/2;120/1;120/2;120/3;121/1;121/2;122/1;122/2;122/3;123/1;123/2;124/1;124/2;125/1;125/2;125/3;126/1;126/2;127/1;127/2;127/3 ).</t>
  </si>
  <si>
    <t>0005863/2024</t>
  </si>
  <si>
    <t>d-saqdsbnb-04c7-cade-9</t>
  </si>
  <si>
    <t>Substituição de Transformador Potencial DCP - LTARCA fase B, 500kV, arranjo AN, associado a EL, na SE CAMPINAS.</t>
  </si>
  <si>
    <t>0006194/2024</t>
  </si>
  <si>
    <t>TPC LTARCA B</t>
  </si>
  <si>
    <t>Substituição de Transformador Potencial DCP - LTARCA fase C, 500kV, arranjo AN, associado a EL, na SE CAMPINAS.</t>
  </si>
  <si>
    <t>0006195/2024</t>
  </si>
  <si>
    <t>TPC LTARCA C</t>
  </si>
  <si>
    <t>Substituição de 69 cadeias de isolador em 23 estrutura(s) da LT 230 kV BANABUIU /AQUIRAZ II C-2 CE-04C7 (156/3;156/4;157/1;157/2;157/3;158/1;158/2;158/3;159/1;159/2;160/1;160/2;160/3;161/1;161/2;162/1;162/2;162/3;163/1;163/2;164/1;164/2;164/3).</t>
  </si>
  <si>
    <t>0005865/2024</t>
  </si>
  <si>
    <t>d-saqdsbnb-04c7-cade-12</t>
  </si>
  <si>
    <t>Substituição de Transformador Potencial DCPS 9207 fase B, 500kV, arranjo AN, associado a EL, na SE CAMPINAS.</t>
  </si>
  <si>
    <t>0006199/2024</t>
  </si>
  <si>
    <t>TPC 9207 B</t>
  </si>
  <si>
    <t>Substituição de Chave Seccionadora CS721, 230 kV, arranjo BD4, associado ao RT1, na SE DOURADOS.</t>
  </si>
  <si>
    <t>0006265/2024</t>
  </si>
  <si>
    <t>Substituição de 141 cadeias de isolador em 36 estrutura(s) da LT 230 kV BANABUIU /RUSSAS II C-1 CE-04C1 (001/1;001/2;001/4;002/1;002/2;002/3;003/1;004/1;004/2;005/1;006/3;006/4;006/5;007/2;007/3;008/2;009/1;009/2;010/4;012/1;012/2;012/3;013/2;014/1;014/3;015/1;015/2;016/1;016/4;017/2;017/3;018/1;018/2;019/2;019/3;019/4 ).</t>
  </si>
  <si>
    <t>0005867/2024</t>
  </si>
  <si>
    <t>d-sbnbsrsd-04c1-cade-1</t>
  </si>
  <si>
    <t>Substituição de Chave Seccionadora CS723, 230 kV, arranjo BD4, associado ao RT1, na SE DOURADOS.</t>
  </si>
  <si>
    <t>0006269/2024</t>
  </si>
  <si>
    <t>Substituição de Chave Seccionadora CS725, 230 kV, arranjo BD4, associado ao RT1, na SE DOURADOS.</t>
  </si>
  <si>
    <t>MC 230 kV RTB 230 kV 27 Mvar DOURADOS RT1 MS</t>
  </si>
  <si>
    <t>0006275/2024</t>
  </si>
  <si>
    <t>Substituição de 249 cadeias de isolador em 35 estrutura(s) da LT 230 kV MILAGRES /BANABUIU C-2 CE-04M3 (078/1;078/2;078/3;079/1;079/2;080/1;080/2;081/1;081/2;081/3;082/1;083/1;083/2;083/3;084/1;084/2;085/1;085/2;086/1;087/1;087/2;087/3;088/1;088/2;089/1;089/2;090/1;090/2;091/1;091/2;091/3;092/1;092/2;093/1;093/2 ).</t>
  </si>
  <si>
    <t>0005869/2024</t>
  </si>
  <si>
    <t>d-smlgsbnb-04m3-cade-6</t>
  </si>
  <si>
    <t>Substituição de Chave Seccionadora CS727, 230 kV, arranjo BD4, associado ao RT1, na SE DOURADOS.</t>
  </si>
  <si>
    <t>0006280/2024</t>
  </si>
  <si>
    <t>Substituição de Para-raios 230 kV fase A, arranjo BD4, associado ao RT1, na SE DOURADOS.</t>
  </si>
  <si>
    <t>0006285/2024</t>
  </si>
  <si>
    <t>Substituição de 156 cadeias de isolador em 35 estrutura(s) da LT 230 kV PAU FERRO /GOIANINHA C-1 PE-04C7 (009/1;009/2;010/1;010/2;010/3;011/1;011/2;012/1;012/2;013/1;013/2;014/1;014/2;015/1;015/2;016/1;016/2;017/1;018/1;018/2;019/1;019/2;020/1;020/2;021/1;021/2;021/3;022/1;023/1;023/2;024/1;024/2;025/1;025/2;026/1).</t>
  </si>
  <si>
    <t>0005871/2024</t>
  </si>
  <si>
    <t>d-spfesgnn-04c7-cade-1</t>
  </si>
  <si>
    <t>Substituição de 01 (um) TP 230kV,  posição operacional 84C8.A da Subestação CMD</t>
  </si>
  <si>
    <t>0005872/2024</t>
  </si>
  <si>
    <t>84C8.A</t>
  </si>
  <si>
    <t>Substituição de Para-raios 230 kV fase B, arranjo BD4, associado ao RT1, na SE DOURADOS.</t>
  </si>
  <si>
    <t>0006294/2024</t>
  </si>
  <si>
    <t>Substituição de Para-raios 230 kV fase C, arranjo BD4, associado ao RT1, na SE DOURADOS.</t>
  </si>
  <si>
    <t>0006304/2024</t>
  </si>
  <si>
    <t>Substituição de 117 cadeias de isolador em 35 estrutura(s) da LT 230 kV PAU FERRO /GOIANINHA C-1 PE-04C7 (026/2;026/3;027/1;028/1;028/2;028/3;029/1;030/1;030/2;030/3;031/1;031/2;032/1;032/2;033/1;033/2;033/3;034/1;035/1;035/2;036/1;036/2;036/3;037/1;037/2;037/3;038/1;038/2;039/1;039/2;039/3;040/1;040/2;041/1;041/2).</t>
  </si>
  <si>
    <t>0005873/2024</t>
  </si>
  <si>
    <t>d-spfesgnn-04c7-cade-2</t>
  </si>
  <si>
    <t>Substituição de 01 (um) TP 230kV,  posição operacional 84F2.A da Subestação IRE</t>
  </si>
  <si>
    <t>0005875/2024</t>
  </si>
  <si>
    <t>84F2.A</t>
  </si>
  <si>
    <t>Substituição de Disjuntor (DJ722) 230 kV, 50Mvar, arranjo BD4, associado ao RT1, na SE DOURADOS.</t>
  </si>
  <si>
    <t>0006308/2024</t>
  </si>
  <si>
    <t>Substituição de 33 cadeias de isolador em 4 estrutura(s) da LT 230 kV PAU FERRO /GOIANINHA C-1 PE-04C7 (042/1;042/2;042/3;GNN).</t>
  </si>
  <si>
    <t>0005876/2024</t>
  </si>
  <si>
    <t>d-spfesgnn-04c7-cade-3</t>
  </si>
  <si>
    <t>Substituição de disjuntor (DJ572) 138 kV, arranjo BPT, associado a EL, na SE J.LACERDA-A.</t>
  </si>
  <si>
    <t>0006186/2024</t>
  </si>
  <si>
    <t>Substituição de 01 (um) TP 230kV,  posição operacional 84C3.A da Subestação ITH</t>
  </si>
  <si>
    <t>LT 230 kV ITABAIANA /ITABAIANINHA C-1 SE</t>
  </si>
  <si>
    <t>0005877/2024</t>
  </si>
  <si>
    <t>84C3.A</t>
  </si>
  <si>
    <t>Substituição de chave seccionadora (CS571) 138 kV, arranjo BPT, associado a EL, na SE J.LACERDA-A.</t>
  </si>
  <si>
    <t>EL 138 kV J.LACERDA-A LT 138 kV J.LACERDA-A /U.JLACERDA-A C-2 SC</t>
  </si>
  <si>
    <t>0006125/2024</t>
  </si>
  <si>
    <t>Substituição de 01 (um) TP 230kV,  posição operacional 84C3.C da Subestação ITH</t>
  </si>
  <si>
    <t>0005880/2024</t>
  </si>
  <si>
    <t>84C3.C</t>
  </si>
  <si>
    <t>Substituição de chave seccionadora (CS573) 138 kV, arranjo BPT, associado a EL, na SE J.LACERDA-A.</t>
  </si>
  <si>
    <t>0006192/2024</t>
  </si>
  <si>
    <t>Substituição de  Transformador de Corrente (TC572) 138kV fase A, arranjo BPT, associado a EL, na SE J.LACERDA-A.</t>
  </si>
  <si>
    <t>0006202/2024</t>
  </si>
  <si>
    <t>Substituição de 176 cadeias de isolador em 35 estrutura(s) da LT 500 kV P. AFONSO IV /USINA XINGO C-1 BA/AL-05V6 (001/1;001/2;001/3;002/1;002/2;002/3;003/1;003/2;004/1;004/2;005/1;006/1;006/2;006/3;007/1;008/1;008/2;008/3;009/1;009/2;010/1;010/2;011/1;011/2;012/1;012/2;013/1;013/2;014/1;014/2;015/1;015/2;016/1;016/2;017/1).</t>
  </si>
  <si>
    <t>0005881/2024</t>
  </si>
  <si>
    <t>d-spaqsxgo-05v6-cade-1</t>
  </si>
  <si>
    <t>Substituição de 01 (um) TP 230kV,  posição operacional 84F2.B da Subestação JDM</t>
  </si>
  <si>
    <t>0005882/2024</t>
  </si>
  <si>
    <t>84F2.B</t>
  </si>
  <si>
    <t>Substituição de  Transformador de Corrente (TC572) 138kV fase B, arranjo BPT, associado a EL, na SE J.LACERDA-A.</t>
  </si>
  <si>
    <t>0006206/2024</t>
  </si>
  <si>
    <t>Substituição de  Transformador de Corrente (TC572) 138kV fase C, arranjo BPT, associado a EL, na SE J.LACERDA-A.</t>
  </si>
  <si>
    <t>0006210/2024</t>
  </si>
  <si>
    <t>Substituição de 176 cadeias de isolador em 35 estrutura(s) da LT 500 kV P. AFONSO IV /USINA XINGO C-1 BA/AL-05V6 (017/2;018/1;018/2;019/1;020/1;020/2;021/1;021/2;022/1;022/2;023/1;023/2;024/1;024/2;025/1;025/2;026/1;026/2;027/1;027/2;028/1;028/2;029/1;029/2;030/1;030/2;031/1;031/2;032/1;032/2;033/1;033/2;034/1;034/2;035/1).</t>
  </si>
  <si>
    <t>0005883/2024</t>
  </si>
  <si>
    <t>d-spaqsxgo-05v6-cade-2</t>
  </si>
  <si>
    <t>Substituição de 01 (um) TP 500kV,  posição operacional 85L7.A da Subestação RCD</t>
  </si>
  <si>
    <t>0005884/2024</t>
  </si>
  <si>
    <t>85L7.A</t>
  </si>
  <si>
    <t>Substituição de 188 cadeias de isolador em 35 estrutura(s) da LT 500 kV P. AFONSO IV /USINA XINGO C-1 BA/AL-05V6 (035/2;036/1;036/2;036/3;036/4;037/1;037/2;038/1;038/2;039/1;039/2;040/1;040/2;041/1;041/2;042/1;042/2;043/1;043/2;044/1;044/2;045/1;045/2;046/1;046/2;047/1;047/2;048/1;048/2;049/1;050/1;050/2;051/1;051/2;052/1).</t>
  </si>
  <si>
    <t>0005885/2024</t>
  </si>
  <si>
    <t>d-spaqsxgo-05v6-cade-3</t>
  </si>
  <si>
    <t>Substituição de 01 (um) TP 500kV,  posição operacional 85L7.C da Subestação RCD</t>
  </si>
  <si>
    <t>0005886/2024</t>
  </si>
  <si>
    <t>85L7.C</t>
  </si>
  <si>
    <t>Substituição da cadeia de proteção de Barras principal, referente às barras P e PT de 230 kV, incluindo uma Unidade Central e nove unidades de Bay (vãos TF 5, TF 7, TF 10, TF 11, LT J.Lacerda-B C-1, LT J.Lacerda-B C-2, LT UT J.Lacerda-A C-4,UT J.Lacerda-A C-6 e Interligador de Barras (IB - DJ792)), painéis e cabos de controle e potência associados, da SE J.Lacerda-A.</t>
  </si>
  <si>
    <t>0006219/2024</t>
  </si>
  <si>
    <t>10386778</t>
  </si>
  <si>
    <t>Substituição da proteção Falha de Disjuntor (DJ792), referente ao Interligador de Barras (IB) 230 kV.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 na SE J.Lacerda-A.</t>
  </si>
  <si>
    <t>0006223/2024</t>
  </si>
  <si>
    <t>10386780</t>
  </si>
  <si>
    <t>Substituição das proteções Primária e Secundária e Falha de Disjuntor, referentes a LT 138 kV J.Lacerda-A - Bom Jardim da Serra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</si>
  <si>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0006273/2024</t>
  </si>
  <si>
    <t>10356586</t>
  </si>
  <si>
    <t>Substituição das proteções Primária e Secundária, referentes a LT 69 kV J.Lacerda-A - Tubarão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</si>
  <si>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0006242/2024</t>
  </si>
  <si>
    <t>10356995</t>
  </si>
  <si>
    <t>Substituição das proteções Primária e Secundária, referentes a LT 69 kV J.Lacerda-A - Tubarão C-2.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</si>
  <si>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0006247/2024</t>
  </si>
  <si>
    <t>10357002</t>
  </si>
  <si>
    <t>Substituição das proteções Primária e Secundária, referentes a LT 69 kV J.Lacerda-A - Tubarão C-3.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</si>
  <si>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0006252/2024</t>
  </si>
  <si>
    <t>10357008</t>
  </si>
  <si>
    <t>Substituição das proteções Primária, Secundária e Falha de Disjuntor, referentes a LT 138 kV J.Lacerda-A - Imbituba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</si>
  <si>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0006268/2024</t>
  </si>
  <si>
    <t>10354819</t>
  </si>
  <si>
    <t>Substituição das proteções Principal, Alternada e Falha de Disjuntor, referentes a LT 138 kV J.Lacerda-A - UT J.Lacerda-A C-1. Associada a obra estão previstos serviços de engenharia de especificações técnicas, projeto, teleproteção, adequações no sistema</t>
  </si>
  <si>
    <t>LT 138 kV J.LACERDA-A / UT J.LACERDA-A C-1 SC</t>
  </si>
  <si>
    <t>0006292/2024</t>
  </si>
  <si>
    <t>10399939</t>
  </si>
  <si>
    <t>Substituição das proteções Principal, Alternada e Falha de Disjuntor, referentes a LT 138 kV J.Lacerda-A - UT J.Lacerda-A C-2.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</si>
  <si>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0006300/2024</t>
  </si>
  <si>
    <t>10399944</t>
  </si>
  <si>
    <t>Substituição das proteções Principal, Alternada e Falha de Disjuntor, referentes a LT 138 kV J.Lacerda-A - UT J.Lacerda-A C-3.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</si>
  <si>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0006310/2024</t>
  </si>
  <si>
    <t>10399942</t>
  </si>
  <si>
    <t>Substituição das proteções Principal, Alternada e Falha de Disjuntor, referentes a LT 230 kV J.Lacerda-A - UT J.Lacerda-A C-4.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</si>
  <si>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0006313/2024</t>
  </si>
  <si>
    <t>10399935</t>
  </si>
  <si>
    <t>Substituição das proteções Principal, Alternada e Falha de Disjuntor, referentes a LT 230 kV J.Lacerda-A - UT J.Lacerda-A C-6.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</si>
  <si>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0006318/2024</t>
  </si>
  <si>
    <t>10399937</t>
  </si>
  <si>
    <t>Substituição das proteções Principal, Alternada e Falha de Disjuntor, referentes ao TR10 230/69 kV da SE J.Lacerda-A, lados de 230 e 69 kV.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</si>
  <si>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0006322/2024</t>
  </si>
  <si>
    <t>10386783</t>
  </si>
  <si>
    <t>Substituição das proteções Principal, Alternada e Falha de Disjuntor, referentes ao TR11 230/69 kV da SE J.Lacerda-A, lados de 230 e 69 kV.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</si>
  <si>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TR 230/69 kV J.LACERDA-A TR11 SC</t>
  </si>
  <si>
    <t>0006324/2024</t>
  </si>
  <si>
    <t>10386785</t>
  </si>
  <si>
    <t>Substituição do sistema de controle e supervisão (com unidade redundante) da LT 230 kV J.Lacerda-A - J.Lacerda-B C-1, incluindo painéis e cabos de controle e potência associados, e adaptações na casa de controle.</t>
  </si>
  <si>
    <t>0006327/2024</t>
  </si>
  <si>
    <t>12480806</t>
  </si>
  <si>
    <t>Substituição do Sistema de Registro de Perturbação associado ao vão de Entrada de Linha 04M7 (LT 230 kV CAMACARI II /MATATU C-1), na subestação CAMACARI II, composto por: 01 Oscilógrafo e infraestrutura de comunicação associada.</t>
  </si>
  <si>
    <t>0005887/2024</t>
  </si>
  <si>
    <t>11449346</t>
  </si>
  <si>
    <t>Substituição do sistema de controle e supervisão (com unidade redundante) da LT 230 kV J.Lacerda-A - J.Lacerda-B C-2, incluindo painéis e cabos de controle e potência associados, e adaptações na casa de controle.</t>
  </si>
  <si>
    <t>LT 230 kV J.LACERDA-A / J.LACERDA-B C-2 SC</t>
  </si>
  <si>
    <t>0006329/2024</t>
  </si>
  <si>
    <t>12480807</t>
  </si>
  <si>
    <t>Substituição do sistema de controle e supervisão (com unidade redundante) da LT 230 kV J.Lacerda-A - UT J.Lacerda-A C-4, incluindo painéis e cabos de controle e potência associados, e adaptações na casa de controle.</t>
  </si>
  <si>
    <t>LT 230 kV J.LACERDA-A / UT J.LACERDA-A C-4 SC</t>
  </si>
  <si>
    <t>0006208/2024</t>
  </si>
  <si>
    <t>SPCS230 LT230 JLA-UTJLA C4</t>
  </si>
  <si>
    <t>Substituição do Sistema de Registro de Perturbação associado ao vão de Entrada de Linha 04V1 (LT 230 kV CAMACARI II /US.CAMACARI C-1), na subestação CAMACARI II, composto por: 01 Oscilógrafo e infraestrutura de comunicação associada.</t>
  </si>
  <si>
    <t>0005888/2024</t>
  </si>
  <si>
    <t>11450216</t>
  </si>
  <si>
    <t>Substituição do sistema de controle e supervisão (com unidade redundante) da LT 230 kV J.Lacerda-A - UT J.Lacerda-A C-6, incluindo painéis e cabos de controle e potência associados, e adaptações na casa de controle.</t>
  </si>
  <si>
    <t>LT 230 kV J.LACERDA-A / UT J.LACERDA-A C-6 SC</t>
  </si>
  <si>
    <t>0006214/2024</t>
  </si>
  <si>
    <t>SPCS230 LT230 JLA-UTJLA C6</t>
  </si>
  <si>
    <t>Substituição do sistema de controle e supervisão (com unidade redundante) do Interligador de Barras (IB) 230 kV da SE J.Lacerda-A, DJ792, incluindo painéis e cabos de controle e potência associados, e adaptações na casa de controle.</t>
  </si>
  <si>
    <t>IB 230 kV MG 230 kV J.LACERDA-A MG1 SC IB2</t>
  </si>
  <si>
    <t>0006220/2024</t>
  </si>
  <si>
    <t>SPCS230 IB2</t>
  </si>
  <si>
    <t>Substituição do Sistema de Registro de Perturbação associado ao vão de Entrada de Linha 05L4 (LT 500 kV OLINDINA /CAMACARI II C-1), na subestação CAMACARI II, composto por: 01 Oscilógrafo e infraestrutura de comunicação associada.</t>
  </si>
  <si>
    <t>0005889/2024</t>
  </si>
  <si>
    <t>11446332</t>
  </si>
  <si>
    <t>Substituição do sistema de controle e supervisão (com unidade redundante) do TR10 230/69 kV da SE J.Lacerda-A, lados de 230 e 69 kV, incluindo painéis e cabos de controle e potência associados, e adaptações na casa de controle.</t>
  </si>
  <si>
    <t>0006222/2024</t>
  </si>
  <si>
    <t>SPCS230 TR10</t>
  </si>
  <si>
    <t>Substituição do sistema de controle e supervisão (com unidade redundante) do TR11 230/69 kV da SE J.Lacerda-A, lados de 230 e 69 kV, incluindo painéis e cabos de controle e potência associados, e adaptações na casa de controle.</t>
  </si>
  <si>
    <t>0006226/2024</t>
  </si>
  <si>
    <t>SPCS230 TR11</t>
  </si>
  <si>
    <t>Substituição do Sistema de Registro de Perturbação associado ao vão de Entrada de Linha 05L5 (LT 500 kV OLINDINA /CAMACARI II C-2), na subestação CAMACARI II, composto por: 01 Oscilógrafo e infraestrutura de comunicação associada.</t>
  </si>
  <si>
    <t>0005890/2024</t>
  </si>
  <si>
    <t>11446333</t>
  </si>
  <si>
    <t>Substituição do sistema de controle e supervisão da LT 138 kV J.Lacerda-A - Bom Jardim da Serra C-1, incluindo painéis e cabos de controle e potência associados, e adaptações na casa de controle.</t>
  </si>
  <si>
    <t>LT 138 kV BOM JARDIM DA SERRA/J.LACERDA-A C-1 SC</t>
  </si>
  <si>
    <t>0006302/2024</t>
  </si>
  <si>
    <t>SPCS138 LT138 JLA-BJS C1</t>
  </si>
  <si>
    <t>Substituição do sistema de controle e supervisão da LT 138 kV J.Lacerda-A - Imbituba C-1, incluindo painéis e cabos de controle e potência associados, e adaptações na casa de controle.</t>
  </si>
  <si>
    <t>LT 138 kV IMBITUBA /J.LACERDA-A C-1 SC</t>
  </si>
  <si>
    <t>0006240/2024</t>
  </si>
  <si>
    <t>SPCS138 LT138 JLA-IBA C1</t>
  </si>
  <si>
    <t>Substituição do Sistema de Registro de Perturbação associado ao vão de Entrada de Linha 05L6 (LT 500 kV CAMACARI VI /CAMACARI II C-1), na subestação CAMACARI II, composto por: 01 Oscilógrafo e infraestrutura de comunicação associada.</t>
  </si>
  <si>
    <t>LT 500 kV CAMACARI IV /CAMACARI II C-1 BA</t>
  </si>
  <si>
    <t>0005891/2024</t>
  </si>
  <si>
    <t>11446336</t>
  </si>
  <si>
    <t>Substituição do sistema de controle e supervisão da LT 138 kV J.Lacerda-A - UT J.Lacerda-A C-1, incluindo painéis e cabos de controle e potência associados, e adaptações na casa de controle.</t>
  </si>
  <si>
    <t>0006245/2024</t>
  </si>
  <si>
    <t>SPCS138 LT138 JLA-UTJLA C1</t>
  </si>
  <si>
    <t>Substituição do Sistema de Registro de Perturbação associado ao vão de Entrada de Linha 04C4 (LT 230 kV RECIFE II /MIRUEIRA C-1), na subestação RECIFE II, composto por: 01 Oscilógrafo e infraestrutura de comunicação associada.</t>
  </si>
  <si>
    <t>0005892/2024</t>
  </si>
  <si>
    <t>11449203</t>
  </si>
  <si>
    <t>Substituição do sistema de controle e supervisão da LT 138 kV J.Lacerda-A - UT J.Lacerda-A C-2, incluindo painéis e cabos de controle e potência associados, e adaptações na casa de controle.</t>
  </si>
  <si>
    <t>LT 138 kV J.LACERDA-A / UT J.LACERDA-A C-2 SC</t>
  </si>
  <si>
    <t>0006256/2024</t>
  </si>
  <si>
    <t>SPCS138 LT138 JLA-UTJLA C2</t>
  </si>
  <si>
    <t>Substituição do sistema de controle e supervisão da LT 138 kV J.Lacerda-A - UT J.Lacerda-A C-3, incluindo painéis e cabos de controle e potência associados, e adaptações na casa de controle.</t>
  </si>
  <si>
    <t>LT 138 kV J.LACERDA-A / UT J.LACERDA-A C-3 SC</t>
  </si>
  <si>
    <t>0006260/2024</t>
  </si>
  <si>
    <t>SPCS138 LT138 JLA-UTJLA C3</t>
  </si>
  <si>
    <t>Substituição do Sistema de Registro de Perturbação associado ao vão de Entrada de Linha 04V1 (LT 230 kV RECIFE II /JOAIRAM C-1), na subestação RECIFE II, composto por: 01 Oscilógrafo e infraestrutura de comunicação associada.</t>
  </si>
  <si>
    <t>0005893/2024</t>
  </si>
  <si>
    <t>12365342</t>
  </si>
  <si>
    <t>Substituição do sistema de controle e supervisão da LT 69 kV J.Lacerda-A - Tubarão C-1, incluindo painéis e cabos de controle e potência associados, e adaptações na casa de controle.</t>
  </si>
  <si>
    <t>LT 69 kV J.LACERDA-A / TUBARAO C-1 SC</t>
  </si>
  <si>
    <t>0006267/2024</t>
  </si>
  <si>
    <t>SPCS69 LT69 JLA-TRO C1</t>
  </si>
  <si>
    <t>Substituição do sistema de controle e supervisão da LT 69 kV J.Lacerda-A - Tubarão C-2, incluindo painéis e cabos de controle e potência associados, e adaptações na casa de controle.</t>
  </si>
  <si>
    <t>LT 69 kV J.LACERDA-A / TUBARAO C-2 SC</t>
  </si>
  <si>
    <t>0006270/2024</t>
  </si>
  <si>
    <t>SPCS69 LT69 JLA-TRO C2</t>
  </si>
  <si>
    <t>Substituição do Sistema de Registro de Perturbação associado ao vão de Entrada de Linha 05L7 (LT 500 kV SUAPE II /RECIFE II C-1), na subestação RECIFE II, composto por: 01 Oscilógrafo e infraestrutura de comunicação associada.</t>
  </si>
  <si>
    <t>0005894/2024</t>
  </si>
  <si>
    <t>11446204</t>
  </si>
  <si>
    <t>Substituição do sistema de controle e supervisão da LT 69 kV J.Lacerda-A - Tubarão C-3, incluindo painéis e cabos de controle e potência associados, e adaptações na casa de controle.</t>
  </si>
  <si>
    <t>LT 69 kV J.LACERDA-A / TUBARAO C-3 SC</t>
  </si>
  <si>
    <t>0006272/2024</t>
  </si>
  <si>
    <t>SPCS69 LT69 JLA-TRO C3</t>
  </si>
  <si>
    <t>Substituição do sistema de controle e supervisão do Interligador de Barras (IB) 138 kV da SE J.Lacerda-A, DJ552, incluindo painéis e cabos de controle e potência associados, e adaptações na casa de controle.</t>
  </si>
  <si>
    <t>IB 138 kV MG 230 kV J.LACERDA-A MG1 SC IB1</t>
  </si>
  <si>
    <t>0006281/2024</t>
  </si>
  <si>
    <t>SPCS138 IB1</t>
  </si>
  <si>
    <t>Substituição do Sistema de Registro de Perturbação associado ao vão de Entrada de Linha 05L8 (LT 500 kV PAU FERRO /RECIFE II C-1), na subestação RECIFE II, composto por: 01 Oscilógrafo e infraestrutura de comunicação associada.</t>
  </si>
  <si>
    <t>0005895/2024</t>
  </si>
  <si>
    <t>11446218</t>
  </si>
  <si>
    <t>Substituição do Sistema de Proteção, Controle e Supervisão (SPCS) dos cubículos e serviços auxiliares CA / CC, incluindo painéis e cabos associados, e adaptações na casa de controle, da SE J.Lacerda-A.</t>
  </si>
  <si>
    <t>MG 230 kV J.LACERDA-A MG1 SC</t>
  </si>
  <si>
    <t>0006288/2024</t>
  </si>
  <si>
    <t>SPCS13,8 MIG1</t>
  </si>
  <si>
    <t>Restauração de pórticos metálicos das Funções Transmissão 230 kV da Subestação Jorge Lacerda A. Associados a este item, são esperadas a substituição/restauração de peças metálicas componentes das vigas e colunas, desmontagem de estruturas a serem removida</t>
  </si>
  <si>
    <t>0006293/2024</t>
  </si>
  <si>
    <t>PÓRTICOS 230</t>
  </si>
  <si>
    <t>Substituição do Sistema de Registro de Perturbação associado ao vão de Entrada de Linha 04C1 (LT 230 kV RECIFE II /PIRAPAMA II C-2), na subestação PIRAPAMA II, composto por: 01 Oscilógrafo e infraestrutura de comunicação associada.</t>
  </si>
  <si>
    <t>0005896/2024</t>
  </si>
  <si>
    <t>11449209</t>
  </si>
  <si>
    <t>Restauração de pórticos metálicos das Funções Transmissão 138 kV da Subestação Jorge Lacerda A. Associados a este item, são esperadas a substituição de estruturas completas (vigas e colunas) quando necessário, desmontagem de estruturas a serem removidas p</t>
  </si>
  <si>
    <t>MC 138 kV TR 230/138 kV J.LACERDA-A TR7 SC</t>
  </si>
  <si>
    <t>0006297/2024</t>
  </si>
  <si>
    <t>PÓRTICOS 138</t>
  </si>
  <si>
    <t>Substituição completa dos pórticos metálicos das Funções Transmissão 69 kV da Subestação Jorge Lacerda A. Associados a este item, são esperadas a restauração e recuperação estrutural das respectivas bases e demais adaptações necessárias.</t>
  </si>
  <si>
    <t>MC 69 kV TR 230/69 kV J.LACERDA-A TR10 SC</t>
  </si>
  <si>
    <t>0006299/2024</t>
  </si>
  <si>
    <t>PÓRTICOS 69</t>
  </si>
  <si>
    <t>Substituição do Sistema de Registro de Perturbação associado ao vão de Entrada de Linha 04M1 (LT 230 kV RIBEIRAO /RECIFE II C-1), na subestação RIBEIRAO, composto por: 01 Oscilógrafo e infraestrutura de comunicação associada.</t>
  </si>
  <si>
    <t>0005897/2024</t>
  </si>
  <si>
    <t>11446206</t>
  </si>
  <si>
    <t>Substituição do Sistema de Registro de Perturbação associado ao vão de Entrada de Linha 04V1 (LT 230 kV RECIFE II /JOAIRAM C-1), na subestação JOAIRAM, composto por: 01 Oscilógrafo e infraestrutura de comunicação associada.</t>
  </si>
  <si>
    <t>0005898/2024</t>
  </si>
  <si>
    <t>11447641</t>
  </si>
  <si>
    <t>Substituição do Sistema de Registro de Perturbação associado ao vão de Entrada de Linha 04V2 (LT 230 kV RECIFE II /JOAIRAM C-2), na subestação JOAIRAM, composto por: 01 Oscilógrafo e infraestrutura de comunicação associada.</t>
  </si>
  <si>
    <t>0005899/2024</t>
  </si>
  <si>
    <t>11449240</t>
  </si>
  <si>
    <t>Substituição do Sistema de Registro de Perturbação associado ao vão de Entrada de Linha 04V3 (LT 230 kV RECIFE II /JOAIRAM C-3), na subestação JOAIRAM, composto por: 01 Oscilógrafo e infraestrutura de comunicação associada.</t>
  </si>
  <si>
    <t>0005900/2024</t>
  </si>
  <si>
    <t>11449241</t>
  </si>
  <si>
    <t>Substituição do Sistema de Registro de Perturbação associado ao Banco de Capacitores 04H1, na subestação MILAGRES, composto por: 01 Oscilógrafo e infraestrutura de comunicação associada.</t>
  </si>
  <si>
    <t>BC 230 kV 50,5 MVAr MILAGRES BC1 CE</t>
  </si>
  <si>
    <t>0005901/2024</t>
  </si>
  <si>
    <t>11446246</t>
  </si>
  <si>
    <t>Substituição do Sistema de Registro de Perturbação associado ao vão de Entrada de Linha 04M5 (LT 230 kV MILAGRES /COREMAS C-2), na subestação MILAGRES, composto por: 01 Oscilógrafo e infraestrutura de comunicação associada.</t>
  </si>
  <si>
    <t>0005902/2024</t>
  </si>
  <si>
    <t>11449298</t>
  </si>
  <si>
    <t>Substituição do Sistema de Registro de Perturbação associado ao vão de Entrada de Linha 04M6 (LT 230 kV MILAGRES /COREMAS C-1), na subestação MILAGRES, composto por: 01 Oscilógrafo e infraestrutura de comunicação associada.</t>
  </si>
  <si>
    <t>0005903/2024</t>
  </si>
  <si>
    <t>11449262</t>
  </si>
  <si>
    <t>Substituição do Sistema de Registro de Perturbação associado ao vão de Entrada de Linha 05V3 (LT 500 kV MILAGRES /QUIXADA C-1), na subestação MILAGRES, composto por: 01 Oscilógrafo e infraestrutura de comunicação associada.</t>
  </si>
  <si>
    <t>0005904/2024</t>
  </si>
  <si>
    <t>11446244</t>
  </si>
  <si>
    <t>Substituição do Sistema de Registro de Perturbação associado ao vão de Entrada de Linha 04M6 (LT 230 kV MILAGRES /COREMAS C-1), na subestação COREMAS, composto por: 01 Oscilógrafo e infraestrutura de comunicação associada.</t>
  </si>
  <si>
    <t>0005905/2024</t>
  </si>
  <si>
    <t>11446256</t>
  </si>
  <si>
    <t>Substituição do Sistema de Registro de Perturbação associado ao Transformador 04T3, na subestação CAUIPE, composto por: 01 Oscilógrafo e infraestrutura de comunicação associada.</t>
  </si>
  <si>
    <t>TR 230/69 kV CAUIPE TR3 CE</t>
  </si>
  <si>
    <t>0005906/2024</t>
  </si>
  <si>
    <t>12613401</t>
  </si>
  <si>
    <t>Substituição do Sistema de Registro de Perturbação associado ao vão de Entrada de Linha  04C2 (LT 230 kV BANABUIU /MOSSORO II), na subestação BANABUIU, composto por: 01 Oscilógrafo e infraestrutura de comunicação associada.</t>
  </si>
  <si>
    <t>0005907/2024</t>
  </si>
  <si>
    <t>11449302</t>
  </si>
  <si>
    <t>Substituição do Sistema de Registro de Perturbação associada ao vão de Entrada de Linha  04C4 (LT 230 kV BANABUIU /MOSORO II C-2), na subestação BANABUIU, composto por: 01 Oscilógrafo e infraestrutura de comunicação associada.</t>
  </si>
  <si>
    <t>LT 230 kV BANABUIU /ALEX C-1 CE</t>
  </si>
  <si>
    <t>0005908/2024</t>
  </si>
  <si>
    <t>12446956</t>
  </si>
  <si>
    <t>Substituição do Sistema de Registro de Perturbação associado ao vão de Entrada de Linha  04C5 (LT 230 kV BANABUIU /ALEX C-1), na subestação BANABUIU, composto por: 01 Oscilógrafo e infraestrutura de comunicação associada.</t>
  </si>
  <si>
    <t>LT 230 kV BANABUIU /MOSSORO II C-2 CE/RN</t>
  </si>
  <si>
    <t>0005909/2024</t>
  </si>
  <si>
    <t>11444179</t>
  </si>
  <si>
    <t>Substituição do Sistema de Registro de Perturbação associada ao vão de Entrada de Linha  04M1 (LT 230 kV MILAGRES /BANABUIU C-1), na subestação BANABUIU, composto por: 01 Oscilógrafo e infraestrutura de comunicação associada.</t>
  </si>
  <si>
    <t>0005910/2024</t>
  </si>
  <si>
    <t>12446953</t>
  </si>
  <si>
    <t>Substituição do Sistema de Registro de Perturbação associado ao vão de Entrada de Linha  04C2 (LT 230 kV BANABUIU /ICO C-1), na subestação ICO, composto por: 01 Oscilógrafo e infraestrutura de comunicação associada.</t>
  </si>
  <si>
    <t>0005911/2024</t>
  </si>
  <si>
    <t>12362807</t>
  </si>
  <si>
    <t>Substituição do Sistema de Registro de Perturbação associado ao vão de Entrada de Linha  04L1 (LT 230 kV COTEGIPE /USIBA C-1), na subestação COTEGIPE, composto por: 01 Oscilógrafo e infraestrutura de comunicação associada.</t>
  </si>
  <si>
    <t>EL 230 kV COTEGIPE LT 230 kV COTEGIPE /USIBA C-1 BA (14L1)</t>
  </si>
  <si>
    <t>0005912/2024</t>
  </si>
  <si>
    <t>11449351</t>
  </si>
  <si>
    <t>Substituição do Sistema de Registro de Perturbação associado ao vão de Entrada de Linha  04L2 (LT 230 kV COTEGIPE /SIBRA C-1), na subestação COTEGIPE, composto por: 01 Oscilógrafo e infraestrutura de comunicação associada.</t>
  </si>
  <si>
    <t>EL 230 kV COTEGIPE LT 230 kV COTEGIPE /SIBRA C-1 BA (14L2)</t>
  </si>
  <si>
    <t>0005913/2024</t>
  </si>
  <si>
    <t>11449352</t>
  </si>
  <si>
    <t>Substituição do SPCS do Reator de Linha não-manobrável 05E1, na subestação FORTALEZA II, composto por: 02 painéis, 02 proteções (principal e alternada), 01 unidade de controle, cabos de controle e infraestrutura de comunicação associados.</t>
  </si>
  <si>
    <t>0005914/2024</t>
  </si>
  <si>
    <t>11366572</t>
  </si>
  <si>
    <t>Substituição do Sistema de Registro de Perturbação associado ao vão de Entrada de Linha  04M6 (LT 230 kV CAMACARI IV /COTEGIPE C-1), na subestação COTEGIPE, composto por: 01 Oscilógrafo e infraestrutura de comunicação associada.</t>
  </si>
  <si>
    <t>0005915/2024</t>
  </si>
  <si>
    <t>12365304</t>
  </si>
  <si>
    <t>Substituição do Sistema de Registro de Perturbação associado ao vão de Entrada de Linha 04C7 (LT 230 kV CAMACARI II /G.MANGABEIRA C-1), na subestação G.MANGABEIRA, composto por: 01 Oscilógrafo e infraestrutura de comunicação associada.</t>
  </si>
  <si>
    <t>0005916/2024</t>
  </si>
  <si>
    <t>12448353</t>
  </si>
  <si>
    <t>Substituição do Sistema de Registro de Perturbação associado ao vão de Entrada de Linha 04S1 (LT 230 kV TOMBA /G.MANGABEIRA C-1), na subestação G.MANGABEIRA, composto por: 01 Oscilógrafo e infraestrutura de comunicação associada.</t>
  </si>
  <si>
    <t>LT 230 kV TOMBA /G.MANGABEIRA C-1 BA</t>
  </si>
  <si>
    <t>0005917/2024</t>
  </si>
  <si>
    <t>11449334</t>
  </si>
  <si>
    <t>Substituição do Sistema de Registro de Perturbação associado ao vão de Entrada de Linha 04S4 (LT 230 kV P.DO CAVALO /G.MANGABEIRA C-1), na subestação G.MANGABEIRA, composto por: 01 Oscilógrafo e infraestrutura de comunicação associada.</t>
  </si>
  <si>
    <t>EL 230 kV G.MANGABEIRA LT 230 kV P.DO CAVALO /G.MANGABEIRA C-1 BA (14S4)</t>
  </si>
  <si>
    <t>0005918/2024</t>
  </si>
  <si>
    <t>12448325</t>
  </si>
  <si>
    <t>Substituição do Sistema de Registro de Perturbação associado ao Transformador 04T2, na subestação G.MANGABEIRA, composto por: 01 Oscilógrafo e infraestrutura de comunicação associada.</t>
  </si>
  <si>
    <t>TR 230/69 kV G.MANGABEIRA TR2 BA</t>
  </si>
  <si>
    <t>0005919/2024</t>
  </si>
  <si>
    <t>11444236</t>
  </si>
  <si>
    <t>Substituição do Sistema de Registro de Perturbação associado ao vão de Entrada de Linha 04F2 (LT 230 kV IRECE /BROT.MACAUBAS C-1), na subestação IRECE, composto por: 01 Oscilógrafo e infraestrutura de comunicação associada.</t>
  </si>
  <si>
    <t>0005920/2024</t>
  </si>
  <si>
    <t>12405597</t>
  </si>
  <si>
    <t>Substituição do Sistema de Registro de Perturbação associado ao vão de Entrada de Linha 03N1 (LT 138 kV IRECE /AGUAS BELAS), na subestação IRECE, composto por: 01 Oscilógrafo e infraestrutura de comunicação associada.</t>
  </si>
  <si>
    <t>0005921/2024</t>
  </si>
  <si>
    <t>11444061</t>
  </si>
  <si>
    <t>Substituição do SPCS do Reator de Barra 04E4, na subestação BANABUIU, composto por: 02 painéis, 02 proteções (principal e alternada), 01 unidade de controle, 02 falhas de disjuntor (principal e alternada), cabos de controle e infraestrutura de comunicação associados.</t>
  </si>
  <si>
    <t>RTB 230 kV 20 MVAr BANABUIU RT4 CE</t>
  </si>
  <si>
    <t>0005922/2024</t>
  </si>
  <si>
    <t>11363019</t>
  </si>
  <si>
    <t>Substituição do SPCS do Disjuntor de Interligação de Barras 12D2, na subestação COTEGIPE, composto por: 01 painel, 02 proteções (principal e alternada), 01 unidade de controle, cabos de controle e infraestrutura de comunicação associados.</t>
  </si>
  <si>
    <t>0005923/2024</t>
  </si>
  <si>
    <t>11353171</t>
  </si>
  <si>
    <t>Substituição do Sistema de Registro de Perturbação associado ao vão de Entrada de Linha 03C1 (LT 138 kV BOM NOME /FLORES), na subestação BOM NOME, composto por: 01 Oscilógrafo e infraestrutura de comunicação associada.</t>
  </si>
  <si>
    <t>0005924/2024</t>
  </si>
  <si>
    <t>11446408</t>
  </si>
  <si>
    <t>Substituição do SPCS do Transformador 04T3, na subestação COTEGIPE, composto por: 02 painéis, 02 proteções (principal e alternada), 02 unidades de controle, 02 falhas de disjuntor (principal e alternada), cabos de controle e infraestrutura de comunicação associados.</t>
  </si>
  <si>
    <t>0005925/2024</t>
  </si>
  <si>
    <t>11361200</t>
  </si>
  <si>
    <t>Substituição do Sistema de Registro de Perturbação associado ao vão de Entrada de Linha 03C2 (LT 138 kV BOM NOME /SALGUEIRO), na subestação BOM NOME, composto por: 01 Oscilógrafo e infraestrutura de comunicação associada.</t>
  </si>
  <si>
    <t>0005926/2024</t>
  </si>
  <si>
    <t>11446409</t>
  </si>
  <si>
    <t>Substituição do SPCS do Transformador de Aterramento 02A1, na subestação G.MANGABEIRA, composto por: 01 painel, 02 proteções (principal e alternada), 01 unidade de controle, cabos de controle e infraestrutura de comunicação associados.</t>
  </si>
  <si>
    <t>MC 69 kV TT 69/13,8 kV G.MANGABEIRA TA1 BA (32A1)</t>
  </si>
  <si>
    <t>0005927/2024</t>
  </si>
  <si>
    <t>11367398</t>
  </si>
  <si>
    <t>Substituição do Sistema de Registro de Perturbação associado ao vão de Entrada de Linha 03C3 (LT 138 kV BOM NOME /SALGUEIRO), na subestação BOM NOME, composto por: 01 Oscilógrafo e infraestrutura de comunicação associada.</t>
  </si>
  <si>
    <t>0005928/2024</t>
  </si>
  <si>
    <t>11446412</t>
  </si>
  <si>
    <t>SAPEACU</t>
  </si>
  <si>
    <t>Substituição do SPCS associado ao vão da Entrada de Linha 04C1 (LT 230 kV G.MANGABEIRA /SAPEACU C-1), na subestação SAPEACU, composto por: 02 painéis, 02 proteções (principal e alternada), 01 unidade de controle, 02 falhas de disjuntor (principal e alternada), cabos de controle e infraestrutura de comunicação associados.</t>
  </si>
  <si>
    <t>0005929/2024</t>
  </si>
  <si>
    <t>11365377</t>
  </si>
  <si>
    <t>Substituição do Sistema de Registro de Perturbação associado ao vão de Entrada de Linha 04C1 (LT 230 kV TACAIMBO /C.GRANDE II C-1), na subestação C.GRANDE II, composto por: 01 Oscilógrafo e infraestrutura de comunicação associada.</t>
  </si>
  <si>
    <t>0005930/2024</t>
  </si>
  <si>
    <t>11446377</t>
  </si>
  <si>
    <t>Substituição do SPCS associado ao vão da Entrada de Linha 04C2 (LT 230 kV G.MANGABEIRA /SAPEACU C-2), na subestação SAPEACU, composto por: 02 painéis, 02 proteções (principal e alternada), 01 unidade de controle, 02 falhas de disjuntor (principal e alternada), cabos de controle e infraestrutura de comunicação associados.</t>
  </si>
  <si>
    <t>LT 230 kV G.MANGABEIRA /SAPEACU C-2 BA</t>
  </si>
  <si>
    <t>0005931/2024</t>
  </si>
  <si>
    <t>11365378</t>
  </si>
  <si>
    <t>Substituição do Sistema de Registro de Perturbação associado ao vão de Entrada de Linha 04C2 (LT 230 kV TACAIMBO /C.GRANDE II C-2), na subestação C.GRANDE II, composto por: 01 Oscilógrafo e infraestrutura de comunicação associada.</t>
  </si>
  <si>
    <t>0005932/2024</t>
  </si>
  <si>
    <t>11446378</t>
  </si>
  <si>
    <t>Substituição do SPCS associado ao vão da Entrada de Linha 04C3 (LT 230 kV G.MANGABEIRA /SAPEACU C-3), na subestação SAPEACU, composto por: 02 painéis, 02 proteções (principal e alternada), 01 unidade de controle, 02 falhas de disjuntor (principal e alternada), cabos de controle e infraestrutura de comunicação associados.</t>
  </si>
  <si>
    <t>LT 230 kV G.MANGABEIRA /SAPEACU C-3 BA</t>
  </si>
  <si>
    <t>0005933/2024</t>
  </si>
  <si>
    <t>11365379</t>
  </si>
  <si>
    <t>Substituição do Sistema de Registro de Perturbação associado ao vão de Entrada de Linha 04C3 (LT 230 kV C.GRANDE II /COTEMINAS C-1), na subestação C.GRANDE II, composto por: 01 Oscilógrafo e infraestrutura de comunicação associada.</t>
  </si>
  <si>
    <t>0005934/2024</t>
  </si>
  <si>
    <t>11446372</t>
  </si>
  <si>
    <t>Substituição do SPCS do Reator de Barra 01E2, na subestação IRECE, composto por: 01 painel, 01 unidade de proteção e controle, cabos de controle e infraestrutura de comunicação associados.</t>
  </si>
  <si>
    <t>RTB 13,8 kV 5 MVAr IRECE RT2 BA</t>
  </si>
  <si>
    <t>0005935/2024</t>
  </si>
  <si>
    <t>11360763</t>
  </si>
  <si>
    <t>Substituição do Sistema de Registro de Perturbação associada ao vão de Entrada de Linha  04L3 (LT 230 kV GOIANINHA /C.GRANDE II C-1), na subestação C.GRANDE II, composto por: 01 Oscilógrafo e infraestrutura de comunicação associada.</t>
  </si>
  <si>
    <t>LT 230 kV GOIANINHA /C.GRANDE II C-1 PE/PB</t>
  </si>
  <si>
    <t>0005936/2024</t>
  </si>
  <si>
    <t>12479839</t>
  </si>
  <si>
    <t>Substituição do SPCS associado ao vão da Entrada de Linha 02J1 (LT 69 kV IRECE /CDI), na subestação IRECE, composto por: 01 painel, 02 proteções (principal e alternada), 01 unidade de controle, cabos de controle e infraestrutura de comunicação associados.</t>
  </si>
  <si>
    <t>EL 69 kV IRECE DIST1 (12J1)</t>
  </si>
  <si>
    <t>0005937/2024</t>
  </si>
  <si>
    <t>11357013</t>
  </si>
  <si>
    <t>Substituição do Sistema de Registro de Perturbação associado ao vão de Entrada de Linha  04V3 (LT 230 kV C.GRANDE III /C.GRANDE II C-2), na subestação C.GRANDE II, composto por: 01 Oscilógrafo e infraestrutura de comunicação associada.</t>
  </si>
  <si>
    <t>0005938/2024</t>
  </si>
  <si>
    <t>11446380</t>
  </si>
  <si>
    <t>Substituição do SPCS associado ao vão da Entrada de Linha 02J2 (LT 69 kV IRECE /IRECE-COELBA), na subestação IRECE, composto por: 01 painel, 02 proteções (principal e alternada), 01 unidade de controle, cabos de controle e infraestrutura de comunicação associados.</t>
  </si>
  <si>
    <t>0005939/2024</t>
  </si>
  <si>
    <t>11357014</t>
  </si>
  <si>
    <t>Substituição do Sistema de Registro de Perturbação associado ao vão de Entrada de Linha  04V4 (LT 230 kV C.GRANDE III /C.GRANDE II C-3), na subestação C.GRANDE II, composto por: 01 Oscilógrafo e infraestrutura de comunicação associada.</t>
  </si>
  <si>
    <t>LT 230 kV C.GRANDE III /C.GRANDE II C-3 PB</t>
  </si>
  <si>
    <t>0005940/2024</t>
  </si>
  <si>
    <t>11446381</t>
  </si>
  <si>
    <t>Substituição do SPCS associado ao vão da Entrada de Linha 02J3 (LT 69 kV IRECE /MORRO DO CHAPEU), na subestação IRECE, composto por: 01 painel, 02 proteções (principal e alternada), 01 unidade de controle, cabos de controle e infraestrutura de comunicação associados.</t>
  </si>
  <si>
    <t>EL 69 kV IRECE DIST3 (12J3)</t>
  </si>
  <si>
    <t>0005941/2024</t>
  </si>
  <si>
    <t>11359021</t>
  </si>
  <si>
    <t>Substituição do Sistema de Registro de Perturbação associado ao vão de Entrada de Linha 04C1 (LT 230 kV TACAIMBO /C.GRANDE II C-1), na subestação TACAIMBO, composto por: 01 Oscilógrafo e infraestrutura de comunicação associada.</t>
  </si>
  <si>
    <t>0005942/2024</t>
  </si>
  <si>
    <t>11446349</t>
  </si>
  <si>
    <t>Substituição do SPCS associado ao vão da Entrada de Linha 02J4 (LT 69 kV IRECE /IRECE ASA SUL), na subestação IRECE, composto por: 01 painel, 02 proteções (principal e alternada), 01 unidade de controle, cabos de controle e infraestrutura de comunicação associados.</t>
  </si>
  <si>
    <t>EL 69 kV IRECE DIST4 (12J4)</t>
  </si>
  <si>
    <t>0005943/2024</t>
  </si>
  <si>
    <t>11359022</t>
  </si>
  <si>
    <t>Substituição do Sistema de Registro de Perturbação associado ao vão de Entrada de Linha 04C2 (LT 230 kV TACAIMBO /C.GRANDE II C-2), na subestação TACAIMBO, composto por: 01 Oscilógrafo e infraestrutura de comunicação associada.</t>
  </si>
  <si>
    <t>0005944/2024</t>
  </si>
  <si>
    <t>11446348</t>
  </si>
  <si>
    <t>Substituição do SPCS do Disjuntor de Interligação de Barras 12D1, na subestação IRECE, composto por: 01 painel, 02 proteções (principal e alternada), 01 unidade de controle, cabos de controle e infraestrutura de comunicação associados.</t>
  </si>
  <si>
    <t>0005945/2024</t>
  </si>
  <si>
    <t>11357092</t>
  </si>
  <si>
    <t>COTEMINAS</t>
  </si>
  <si>
    <t>Substituição do Sistema de Registro de Perturbação associado ao vão de Entrada de Linha 04C3 (LT 230 kV C.GRANDE II /COTEMINAS C-1), na subestação COTEMINAS, composto por: 01 Oscilógrafo e infraestrutura de comunicação associada.</t>
  </si>
  <si>
    <t>0005946/2024</t>
  </si>
  <si>
    <t>12479835</t>
  </si>
  <si>
    <t>Substituição do SPCS associado ao vão da Entrada de Linha 03N1 (LT 138 kV IRECE /AGUAS BELAS), na subestação IRECE, composto por: 01 painel, 02 proteções (principal e alternada), 01 unidade de controle, cabos de controle e infraestrutura de comunicação associados.</t>
  </si>
  <si>
    <t>0005947/2024</t>
  </si>
  <si>
    <t>11360306</t>
  </si>
  <si>
    <t>Substituição do Sistema de Registro de Perturbação associado ao vão de Entrada de Linha  04V1 (LT 230 kV C.GRANDE II /PARAISO C-2 ), na subestação PARAISO, composto por: 01 Oscilógrafo e infraestrutura de comunicação associada.</t>
  </si>
  <si>
    <t>0005948/2024</t>
  </si>
  <si>
    <t>11446373</t>
  </si>
  <si>
    <t>Substituição do SPCS do Transformador 04T1, na subestação IRECE, composto por: 02 painéis, 02 proteções (principal e alternada), 02 unidades de controle, 02 falhas de disjuntor (principal e alternada), cabos de controle e infraestrutura de comunicação associados.</t>
  </si>
  <si>
    <t>0005949/2024</t>
  </si>
  <si>
    <t>11357791</t>
  </si>
  <si>
    <t>Substituição do Sistema de Registro de Perturbação associado ao vão de Entrada de Linha  04V3 (LT 230 kV C.GRANDE III /C.GRANDE II C-2), na subestação C.GRANDE III, composto por: 01 Oscilógrafo e infraestrutura de comunicação associada.</t>
  </si>
  <si>
    <t>0005950/2024</t>
  </si>
  <si>
    <t>12362653</t>
  </si>
  <si>
    <t>Substituição do SPCS do Transformador 04T3, na subestação IRECE, composto por: 02 painéis, 02 proteções (principal e alternada), 02 unidades de controle, 02 falhas de disjuntor (principal e alternada), cabos de controle e infraestrutura de comunicação associados.</t>
  </si>
  <si>
    <t>TR 230/69 kV IRECE TR3 BA</t>
  </si>
  <si>
    <t>0005951/2024</t>
  </si>
  <si>
    <t>11360665</t>
  </si>
  <si>
    <t>Substituição do Sistema de Registro de Perturbação associado ao vão de Entrada de Linha  04V4 (LT 230 kV C.GRANDE III /C.GRANDE II C-3), na subestação C.GRANDE III, composto por: 01 Oscilógrafo e infraestrutura de comunicação associada.</t>
  </si>
  <si>
    <t>0005952/2024</t>
  </si>
  <si>
    <t>11444115</t>
  </si>
  <si>
    <t>Substituição do SPCS do Disjuntor de Interligação de Barras 14D1, na subestação IRECE, composto por: 01 painel, 01 unidade de controle, 02 falhas de disjuntor (principal e alternada), cabos de controle e infraestrutura de comunicação associados.</t>
  </si>
  <si>
    <t>0005953/2024</t>
  </si>
  <si>
    <t>11348590</t>
  </si>
  <si>
    <t>Substituição do Sistema de Registro de Perturbação associado ao vão de Entrada de Linha 04M9 (LT 230 kV CAMACARI II /PITUACU C-1), na subestação CAMACARI II, composto por: 01 Oscilógrafo e infraestrutura de comunicação associada.</t>
  </si>
  <si>
    <t>0005954/2024</t>
  </si>
  <si>
    <t>11449343</t>
  </si>
  <si>
    <t>Substituição do SPCS do Reator de Barra 04E1, na subestação C.GRANDE II, composto por: 02 painéis, 02 proteções (principal e alternada), 01 unidade de controle, 02 falhas de disjuntor (principal e alternada), cabos de controle e infraestrutura de comunicação associados.</t>
  </si>
  <si>
    <t>0005955/2024</t>
  </si>
  <si>
    <t>11363010</t>
  </si>
  <si>
    <t>Substituição do Sistema de Registro de Perturbação associado ao vão de Entrada de Linha 05L4 (LT 500 kV OLINDINA /CAMACARI II C-1), na subestação OLINDINA, composto por: 01 Oscilógrafo e infraestrutura de comunicação associada.</t>
  </si>
  <si>
    <t>0005956/2024</t>
  </si>
  <si>
    <t>11446317</t>
  </si>
  <si>
    <t>Substituição do SPCS do Reator de Barra 04E2, na subestação C.GRANDE II, composto por: 02 painéis, 02 proteções (principal e alternada), 01 unidade de controle, 02 falhas de disjuntor (principal e alternada), cabos de controle e infraestrutura de comunicação associados.</t>
  </si>
  <si>
    <t>0005957/2024</t>
  </si>
  <si>
    <t>11359896</t>
  </si>
  <si>
    <t>Substituição do Sistema de Registro de Perturbação associado ao vão de Entrada de Linha 05L5 (LT 500 kV OLINDINA /CAMACARI II C-2), na subestação OLINDINA, composto por: 01 Oscilógrafo e infraestrutura de comunicação associada.</t>
  </si>
  <si>
    <t>0005958/2024</t>
  </si>
  <si>
    <t>11446319</t>
  </si>
  <si>
    <t>Substituição do SPCS do Banco de Capacitores 04H1, na subestação C.GRANDE II, composto por: 02 painéis, 02 proteções (principal e alternada), 01 unidade de controle, 02 falhas de disjuntor (principal e alternada), cabos de controle e infraestrutura de comunicação associados.</t>
  </si>
  <si>
    <t>BC 230 kV 50,5 MVAr C.GRANDE II BC1 PB</t>
  </si>
  <si>
    <t>0005959/2024</t>
  </si>
  <si>
    <t>11364320</t>
  </si>
  <si>
    <t>Substituição do Sistema de Registro de Perturbação associado ao vão de Entrada de Linha 05L6 (LT 500 kV CAMACARI VI /CAMACARI II C-1), na subestação CAMACARI IV, composto por: 01 Oscilógrafo e infraestrutura de comunicação associada.</t>
  </si>
  <si>
    <t>0005960/2024</t>
  </si>
  <si>
    <t>12658938</t>
  </si>
  <si>
    <t>Substituição do Sistema de Registro de Perturbação associado ao vão de Entrada de Linha 05L7 (LT 500 kV SUAPE II /RECIFE II C-1), na subestação SUAPE II, composto por: 01 Oscilógrafo e infraestrutura de comunicação associada.</t>
  </si>
  <si>
    <t>0005961/2024</t>
  </si>
  <si>
    <t>11446361</t>
  </si>
  <si>
    <t>Substituição do SPCS associado ao vão da Entrada de Linha 04L3 (LT 230 kV GOIANINHA /C.GRANDE II C-1), na subestação C.GRANDE II, composto por: 02 painéis, 02 proteções (principal e alternada), 01 unidade de controle, 02 falhas de disjuntor (principal e alternada), cabos de controle e infraestrutura de comunicação associados.</t>
  </si>
  <si>
    <t>0005962/2024</t>
  </si>
  <si>
    <t>11353350</t>
  </si>
  <si>
    <t>Substituição do Sistema de Registro de Perturbação associado ao vão de Entrada de Linha 05L8 (LT 500 kV PAU FERRO /RECIFE II C-1), na subestação PAU FERRO, composto por: 01 Oscilógrafo e infraestrutura de comunicação associada.</t>
  </si>
  <si>
    <t>0005963/2024</t>
  </si>
  <si>
    <t>12335630</t>
  </si>
  <si>
    <t>Substituição do SPCS associado ao vão da Entrada de Linha 04V2 (LT 230 kV C.GRANDE II /PARAISO C-1), na subestação C.GRANDE II, composto por: 02 painéis, 02 proteções (principal e alternada), 01 unidade de controle, 02 falhas de disjuntor (principal e alternada), cabos de controle e infraestrutura de comunicação associados.</t>
  </si>
  <si>
    <t>0005964/2024</t>
  </si>
  <si>
    <t>11362491</t>
  </si>
  <si>
    <t>Substituição do Sistema de Registro de Perturbação associado ao Transformador 04T2, na subestação MILAGRES, composto por: 01 Oscilógrafo e infraestrutura de comunicação associada.</t>
  </si>
  <si>
    <t>TR 230/69 kV MILAGRES TR9 CE</t>
  </si>
  <si>
    <t>0005965/2024</t>
  </si>
  <si>
    <t>11446393</t>
  </si>
  <si>
    <t>Substituição do SPCS associado ao vão da Entrada de Linha 04V2 (LT 230 kV C.GRANDE II /PARAISO C-1), na subestação PARAISO, composto por: 02 painéis, 02 proteções (principal e alternada), 01 unidade de controle, 02 falhas de disjuntor (principal e alternada), cabos de controle e infraestrutura de comunicação associados.</t>
  </si>
  <si>
    <t>0005966/2024</t>
  </si>
  <si>
    <t>11362493</t>
  </si>
  <si>
    <t>Substituição do SPCS do Transformador de Aterramento 02A1, na subestação CAMACARI II, composto por: 01 painel, 02 proteções (principal e alternada), 01 unidade de controle, cabos de controle e infraestrutura de comunicação associados.</t>
  </si>
  <si>
    <t>0005967/2024</t>
  </si>
  <si>
    <t>11357338</t>
  </si>
  <si>
    <t>Substituição do Sistema de Registro de Perturbação associado ao vão de Entrada de Linha 04M5 (LT 230 kV MILAGRES /COREMAS C-2), na subestação COREMAS, composto por: 01 Oscilógrafo e infraestrutura de comunicação associada.</t>
  </si>
  <si>
    <t>0005968/2024</t>
  </si>
  <si>
    <t>11449299</t>
  </si>
  <si>
    <t>Substituição do SPCS do Transformador de Aterramento 02A2, na subestação CAMACARI II, composto por: 01 painel, 02 proteções (principal e alternada), 01 unidade de controle, cabos de controle e infraestrutura de comunicação associados.</t>
  </si>
  <si>
    <t>0005969/2024</t>
  </si>
  <si>
    <t>11357341</t>
  </si>
  <si>
    <t>Substituição do Sistema de Registro de Perturbação associado ao vão de Entrada de Linha 05V3 (LT 500 kV MILAGRES /QUIXADA C-1), na subestação QUIXADA, composto por: 01 Oscilógrafo e infraestrutura de comunicação associada.</t>
  </si>
  <si>
    <t>0005970/2024</t>
  </si>
  <si>
    <t>11444185</t>
  </si>
  <si>
    <t>Substituição do SPCS associado ao vão da Entrada de Linha 02V2 (LT 69 kV JABOATAO /RECIFE II C-1), na subestação RECIFE II, composto por: 01 painel, 02 proteções (principal e alternada), 01 unidade de controle, cabos de controle e infraestrutura de comunicação associados.</t>
  </si>
  <si>
    <t>EL 69 kV RECIFE II LT 69 kV JABOATAO /RECIFE II C-1 RJ/PE (12V2)</t>
  </si>
  <si>
    <t>0005971/2024</t>
  </si>
  <si>
    <t>11360346</t>
  </si>
  <si>
    <t>Substituição do SPCS do Transformador 02T1, na subestação RECIFE II, composto por: 01 painel, 02 proteções (principal e alternada), 01 unidade de controle, cabos de controle e infraestrutura de comunicação associados.</t>
  </si>
  <si>
    <t>0005972/2024</t>
  </si>
  <si>
    <t>11360325</t>
  </si>
  <si>
    <t>Substituição do SPCS do Transformador 02T2, na subestação RECIFE II, composto por: 01 painel, 02 proteções (principal e alternada), 01 unidade de controle, cabos de controle e infraestrutura de comunicação associados.</t>
  </si>
  <si>
    <t>0005973/2024</t>
  </si>
  <si>
    <t>11360328</t>
  </si>
  <si>
    <t>Substituição do SPCS do Disjuntor de Interligação de Barras 14D1, na subestação RECIFE II, composto por: 01 painel, 01 unidade de controle, 02 falhas de disjuntor (principal e alternada), cabos de controle e infraestrutura de comunicação associados.</t>
  </si>
  <si>
    <t>0005974/2024</t>
  </si>
  <si>
    <t>11363041</t>
  </si>
  <si>
    <t>Substituição do SPCS do Disjuntor de Interligação de Barras 15D2, na subestação RECIFE II, composto por: 01 painel, 01 unidade de controle, 02 falhas de disjuntor (principal e alternada), cabos de controle e infraestrutura de comunicação associados.</t>
  </si>
  <si>
    <t>0005975/2024</t>
  </si>
  <si>
    <t>11363326</t>
  </si>
  <si>
    <t>Substituição do SPCS associado ao vão da Entrada de Linha 04C1 (LT 230 kV RECIFE II /PIRAPAMA II C-2), na subestação RECIFE II, composto por: 02 painéis, 02 proteções (principal e alternada), 01 unidade de controle, 02 falhas de disjuntor (principal e alternada), cabos de controle e infraestrutura de comunicação associados.</t>
  </si>
  <si>
    <t>0005976/2024</t>
  </si>
  <si>
    <t>11353296</t>
  </si>
  <si>
    <t>Substituição do SPCS do Disjuntor de Interligação de Barras 15D3, na subestação RECIFE II, composto por: 01 painel, 01 unidade de controle, 02 falhas de disjuntor (principal e alternada), cabos de controle e infraestrutura de comunicação associados.</t>
  </si>
  <si>
    <t>0005977/2024</t>
  </si>
  <si>
    <t>11356317</t>
  </si>
  <si>
    <t>Substituição do SPCS do Disjuntor de Interligação de Barras 15D4, na subestação RECIFE II, composto por: 01 painel, 01 unidade de controle, 02 falhas de disjuntor (principal e alternada), cabos de controle e infraestrutura de comunicação associados.</t>
  </si>
  <si>
    <t>0005978/2024</t>
  </si>
  <si>
    <t>11349897</t>
  </si>
  <si>
    <t>Substituição do SPCS associado ao vão da Entrada de Linha 04C1 (LT 230 kV RECIFE II /PIRAPAMA II C-2), na subestação PIRAPAMA II, composto por: 02 painéis, 02 proteções (principal e alternada), 01 unidade de controle, 02 falhas de disjuntor (principal e alternada), cabos de controle e infraestrutura de comunicação associados.</t>
  </si>
  <si>
    <t>0005979/2024</t>
  </si>
  <si>
    <t>11353320</t>
  </si>
  <si>
    <t>Substituição do SPCS associado ao vão da Entrada de Linha 04C6 (LT 230 kV RECIFE II /MIRUEIRA C-3), na subestação RECIFE II, composto por: 02 painéis, 02 proteções (principal e alternada), 01 unidade de controle, 02 falhas de disjuntor (principal e alternada), cabos de controle e infraestrutura de comunicação associados.</t>
  </si>
  <si>
    <t>0005980/2024</t>
  </si>
  <si>
    <t>11365442</t>
  </si>
  <si>
    <t>Substituição do SPCS associado ao vão da Entrada de Linha 04V1 (LT 230 kV RECIFE II /JOAIRAM C-1), na subestação JOAIRAM, composto por: 02 painéis, 02 proteções (principal e alternada), 01 unidade de controle, 02 falhas de disjuntor (principal e alternada), cabos de controle e infraestrutura de comunicação associados.</t>
  </si>
  <si>
    <t>0005981/2024</t>
  </si>
  <si>
    <t>11364936</t>
  </si>
  <si>
    <t>Substituição do SPCS associado ao vão da Entrada de Linha 01Y2 (LD 13,8 kV MILAGRES /MAURITY), na subestação MILAGRES, composto por: 01 painel, 01 unidade de proteção e controle, cabos de controle e infraestrutura de comunicação associados.</t>
  </si>
  <si>
    <t>EL 13,8 kV MILAGRES DIST2 (21Y2)</t>
  </si>
  <si>
    <t>0005982/2024</t>
  </si>
  <si>
    <t>11366345</t>
  </si>
  <si>
    <t>Substituição do SPCS associado ao vão da Entrada de Linha 02C2 (LT 69 kV MILAGRES /J. DO NORTE II), na subestação MILAGRES, composto por: 01 painel, 02 proteções (principal e alternada), 01 unidade de controle, cabos de controle e infraestrutura de comunicação associados.</t>
  </si>
  <si>
    <t>EL 69 kV MILAGRES DIST2 (12C2)</t>
  </si>
  <si>
    <t>0005983/2024</t>
  </si>
  <si>
    <t>11358147</t>
  </si>
  <si>
    <t>Substituição do SPCS associado ao vão da Entrada de Linha 02C3 (LT 69 kV MILAGRES /J. DO NORTE), na subestação MILAGRES, composto por: 01 painel, 02 proteções (principal e alternada), 01 unidade de controle, cabos de controle e infraestrutura de comunicação associados.</t>
  </si>
  <si>
    <t>EL 69 kV MILAGRES DIST3 (12C3)</t>
  </si>
  <si>
    <t>0005984/2024</t>
  </si>
  <si>
    <t>11358156</t>
  </si>
  <si>
    <t>Substituição do SPCS associado ao vão da Entrada de Linha 02C4 (LT 69 kV MILAGRES /J. DO NORTE), na subestação MILAGRES, composto por: 01 painel, 02 proteções (principal e alternada), 01 unidade de controle, cabos de controle e infraestrutura de comunicação associados.</t>
  </si>
  <si>
    <t>EL 69 kV MILAGRES DIST4 (12C4)</t>
  </si>
  <si>
    <t>0005985/2024</t>
  </si>
  <si>
    <t>11358159</t>
  </si>
  <si>
    <t>Substituição do SPCS associado ao vão da Entrada de Linha 02C8 (LT 69 kV MILAGRES /MAURITY), na subestação MILAGRES, composto por: 01 painel, 02 proteções (principal e alternada), 01 unidade de controle, cabos de controle e infraestrutura de comunicação associados.</t>
  </si>
  <si>
    <t>EL 69 kV MILAGRES DIST8 (12C8)</t>
  </si>
  <si>
    <t>0005986/2024</t>
  </si>
  <si>
    <t>12360684</t>
  </si>
  <si>
    <t>Substituição do SPCS do Banco de Capacitores 04H1, na subestação MILAGRES, composto por: 02 painéis, 02 proteções (principal e alternada), 01 unidade de controle, 02 falhas de disjuntor (principal e alternada), cabos de controle e infraestrutura de comunicação associados.</t>
  </si>
  <si>
    <t>0005987/2024</t>
  </si>
  <si>
    <t>11366397</t>
  </si>
  <si>
    <t>Substituição do SPCS associado ao vão da Entrada de Linha 04M5 (LT 230 kV MILAGRES /COREMAS C-2), na subestação MILAGRES, composto por: 02 painéis, 02 proteções (principal e alternada), 01 unidade de controle, 02 falhas de disjuntor (principal e alternada), cabos de controle e infraestrutura de comunicação associados.</t>
  </si>
  <si>
    <t>0005988/2024</t>
  </si>
  <si>
    <t>11366833</t>
  </si>
  <si>
    <t>Substituição do SPCS do Transformador 05T1, na subestação RECIFE II, composto por: 02 painéis, 02 proteções (principal e alternada), 02 unidades de controle, 02 falhas de disjuntor (principal e alternada), cabos de controle e infraestrutura de comunicação associados.</t>
  </si>
  <si>
    <t>0005989/2024</t>
  </si>
  <si>
    <t>11359995</t>
  </si>
  <si>
    <t>Substituição do SPCS do Reator de Barra 05E2, na subestação MILAGRES, composto por: 02 painéis, 02 proteções (principal e alternada), 01 unidade de controle, 02 falhas de disjuntor (principal e alternada), cabos de controle e infraestrutura de comunicação associados.</t>
  </si>
  <si>
    <t>RTB 500 kV 99,1 MVAr MILAGRES RT2 CE</t>
  </si>
  <si>
    <t>0005990/2024</t>
  </si>
  <si>
    <t>11364776</t>
  </si>
  <si>
    <t>Substituição do SPCS do Transformador 05T2, na subestação RECIFE II, composto por: 02 painéis, 02 proteções (principal e alternada), 02 unidades de controle, 02 falhas de disjuntor (principal e alternada), cabos de controle e infraestrutura de comunicação associados.</t>
  </si>
  <si>
    <t>0005991/2024</t>
  </si>
  <si>
    <t>11359998</t>
  </si>
  <si>
    <t>Substituição do SPCS associado ao vão da Entrada de Linha 05V3 (LT 500 kV MILAGRES /QUIXADA C-1), na subestação MILAGRES, composto por: 02 painéis, 02 proteções (principal e alternada), 01 unidade de controle, 02 falhas de disjuntor (principal e alternada), cabos de controle e infraestrutura de comunicação associados.</t>
  </si>
  <si>
    <t>0005992/2024</t>
  </si>
  <si>
    <t>11364307</t>
  </si>
  <si>
    <t>Substituição do SPCS do Transformador 05T3, na subestação RECIFE II, composto por: 02 painéis, 02 proteções (principal e alternada), 02 unidades de controle, 02 falhas de disjuntor (principal e alternada), cabos de controle e infraestrutura de comunicação associados.</t>
  </si>
  <si>
    <t>0005993/2024</t>
  </si>
  <si>
    <t>11357800</t>
  </si>
  <si>
    <t>Substituição do SPCS do Disjuntor de Interligação de Barras 15D2, na subestação MILAGRES, composto por: 01 painel, 01 unidade de controle, 02 falhas de disjuntor (principal e alternada), cabos de controle e infraestrutura de comunicação associados.</t>
  </si>
  <si>
    <t>0005994/2024</t>
  </si>
  <si>
    <t>11364697</t>
  </si>
  <si>
    <t>Substituição do SPCS do Transformador 05T4, na subestação RECIFE II, composto por: 02 painéis, 02 proteções (principal e alternada), 02 unidades de controle, 02 falhas de disjuntor (principal e alternada), cabos de controle e infraestrutura de comunicação associados.</t>
  </si>
  <si>
    <t>0005995/2024</t>
  </si>
  <si>
    <t>11358828</t>
  </si>
  <si>
    <t>Substituição do Sistema de Proteção do Transformador 230 kV, posição operacional 04T7, na subestação IRECE, composto por: 01 painel exclusivo, 01 relé digital PP, 01 relé digital PA, 01 UC.</t>
  </si>
  <si>
    <t>0005996/2024</t>
  </si>
  <si>
    <t>11461962</t>
  </si>
  <si>
    <t>Substituição do SPCS do Disjuntor de Interligação de Barras 15D1, na subestação RECIFE II, composto por: 01 painel, 01 unidade de controle, 02 falhas de disjuntor (principal e alternada), cabos de controle e infraestrutura de comunicação associados.</t>
  </si>
  <si>
    <t>0005997/2024</t>
  </si>
  <si>
    <t>11363325</t>
  </si>
  <si>
    <t>Substituição do SPCS associado ao vão da Entrada de Linha  01Y3 (LT 13,8 kV ANGELIM/ PALMEIRINHA), na subestação ANGELIM, composto por: 01 painel, 01 unidade de proteção e controle, cabos de controle e infraestrutura de comunicação associados.</t>
  </si>
  <si>
    <t>EL 13,8 kV ANGELIM PALMERINA (01Y3)</t>
  </si>
  <si>
    <t>0005998/2024</t>
  </si>
  <si>
    <t>11365390</t>
  </si>
  <si>
    <t>Substituição do SPCS associado ao vão da Entrada de Linha 04M1 (LT 230 kV RIBEIRAO /RECIFE II C-1), na subestação RIBEIRAO, composto por: 02 painéis, 02 proteções (principal e alternada), 01 unidade de controle, 02 falhas de disjuntor (principal e alternada), cabos de controle e infraestrutura de comunicação associados.</t>
  </si>
  <si>
    <t>0005999/2024</t>
  </si>
  <si>
    <t>11365444</t>
  </si>
  <si>
    <t>Substituição do Sistema de Controle associado ao vão da Entrada de Linha 04N2 (LT 230 kV GARANHUNS II /ANGELIM C-1), na subestação ANGELIM, composto por: 02 painéis,  01 unidade de controle, cabos e infraestrutura de comunicação associados.</t>
  </si>
  <si>
    <t>0006000/2024</t>
  </si>
  <si>
    <t>11361517</t>
  </si>
  <si>
    <t>Substituição do SPCS associado ao vão da Entrada de Linha 04C4 (LT 230 kV RECIFE II /MIRUEIRA C-1), na subestação MIRUEIRA, composto por: 02 painéis, 02 proteções (principal e alternada), 01 unidade de controle, 02 falhas de disjuntor (principal e alternada), cabos de controle e infraestrutura de comunicação associados.</t>
  </si>
  <si>
    <t>0006001/2024</t>
  </si>
  <si>
    <t>11365435</t>
  </si>
  <si>
    <t>Substituição do Sistema de Controle associado ao vão da Entrada de Linha 04N4 (LT 230 kV GARANHUNS II /ANGELIM C-2), na subestação ANGELIM, composto por: 02 painéis,  01 unidade de controle, cabos e infraestrutura de comunicação associados.</t>
  </si>
  <si>
    <t>0006002/2024</t>
  </si>
  <si>
    <t>11361518</t>
  </si>
  <si>
    <t>Substituição do SPCS associado ao vão da Entrada de Linha 04C5 (LT 230 kV RECIFE II /MIRUEIRA C-2), na subestação MIRUEIRA, composto por: 02 painéis, 02 proteções (principal e alternada), 01 unidade de controle, 02 falhas de disjuntor (principal e alternada), cabos de controle e infraestrutura de comunicação associados.</t>
  </si>
  <si>
    <t>0006003/2024</t>
  </si>
  <si>
    <t>11365436</t>
  </si>
  <si>
    <t>Substituição do SPCS associado ao vão da Entrada de Linha  01Y1 (LT 13,8 kV CATU/COELBA - CATU), na subestação CATU, composto por: 01 painel, 01 unidade de proteção e controle, cabos de controle e infraestrutura de comunicação associados.</t>
  </si>
  <si>
    <t>EL 13,8 kV CATU CATU 01Y1 (11Y1)</t>
  </si>
  <si>
    <t>0006004/2024</t>
  </si>
  <si>
    <t>11365400</t>
  </si>
  <si>
    <t>Substituição do SPCS associado ao vão da Entrada de Linha 04C6 (LT 230 kV RECIFE II /MIRUEIRA C-3), na subestação MIRUEIRA, composto por: 02 painéis, 02 proteções (principal e alternada), 01 unidade de controle, 02 falhas de disjuntor (principal e alternada), cabos de controle e infraestrutura de comunicação associados.</t>
  </si>
  <si>
    <t>0006005/2024</t>
  </si>
  <si>
    <t>11365438</t>
  </si>
  <si>
    <t>Substituição do SPCS associado ao vão da Entrada de Linha  01Y2 (LT 13,8 kV CATU/COELBA - CIDADE CATU), na subestação CATU, composto por: 01 painel, 01 unidade de proteção e controle, cabos de controle e infraestrutura de comunicação associados.</t>
  </si>
  <si>
    <t>EL 13,8 kV CATU CID. CATU (11Y2)</t>
  </si>
  <si>
    <t>0006006/2024</t>
  </si>
  <si>
    <t>11366874</t>
  </si>
  <si>
    <t>Substituição do SPCS associado ao vão da Entrada de Linha 04V2 (LT 230 kV RECIFE II /JOAIRAM C-2), na subestação JOAIRAM, composto por: 02 painéis, 02 proteções (principal e alternada), 01 unidade de controle, 02 falhas de disjuntor (principal e alternada), cabos de controle e infraestrutura de comunicação associados.</t>
  </si>
  <si>
    <t>0006007/2024</t>
  </si>
  <si>
    <t>11364937</t>
  </si>
  <si>
    <t>Substituição do SPCS associado ao vão da Entrada de Linha 04M1 (LT 230 kV CATU /CAMACARI IV C-1), na subestação CATU, composto por: 02 painéis, 02 proteções (principal e alternada), 01 unidade de controle, 02 falhas de disjuntor (principal e alternada), cabos de controle e infraestrutura de comunicação associados.</t>
  </si>
  <si>
    <t>0006008/2024</t>
  </si>
  <si>
    <t>11367757</t>
  </si>
  <si>
    <t>Substituição do SPCS associado ao vão da Entrada de Linha 04V3 (LT 230 kV RECIFE II /JOAIRAM C-3), na subestação JOAIRAM, composto por: 02 painéis, 02 proteções (principal e alternada), 01 unidade de controle, 02 falhas de disjuntor (principal e alternada), cabos de controle e infraestrutura de comunicação associados.</t>
  </si>
  <si>
    <t>0006009/2024</t>
  </si>
  <si>
    <t>11364940</t>
  </si>
  <si>
    <t>Substituição do SPCS associado ao vão da Entrada de Linha 04M2 (LT 230 kV CATU /CAMACARI IV C-2), na subestação CATU, composto por: 02 painéis, 02 proteções (principal e alternada), 01 unidade de controle, 02 falhas de disjuntor (principal e alternada), cabos de controle e infraestrutura de comunicação associados.</t>
  </si>
  <si>
    <t>0006010/2024</t>
  </si>
  <si>
    <t>11367759</t>
  </si>
  <si>
    <t>Substituição do SPCS associado ao vão da Entrada de Linha 05L7 (LT 500 kV SUAPE II /RECIFE II C-1), na subestação SUAPE II, composto por: 02 painéis, 02 proteções (principal e alternada), 01 unidade de controle, 02 falhas de disjuntor (principal e alternada), cabos de controle e infraestrutura de comunicação associados.</t>
  </si>
  <si>
    <t>0006011/2024</t>
  </si>
  <si>
    <t>11365352</t>
  </si>
  <si>
    <t>Substituição do SPCS do Disjuntor de Interligação de Barras 15D2, na subestação CAMACARI IV, composto por: 01 painel, 01 unidade de controle, 02 falhas de disjuntor (principal e alternada), cabos de controle e infraestrutura de comunicação associados.</t>
  </si>
  <si>
    <t>0006012/2024</t>
  </si>
  <si>
    <t>11366793</t>
  </si>
  <si>
    <t>Substituição do SPCS associado ao vão da Entrada de Linha 05L8 (LT 500 kV PAU FERRO /RECIFE II C-1), na subestação PAU FERRO, composto por: 02 painéis, 02 proteções (principal e alternada), 01 unidade de controle, 02 falhas de disjuntor (principal e alternada), cabos de controle e infraestrutura de comunicação associados.</t>
  </si>
  <si>
    <t>0006013/2024</t>
  </si>
  <si>
    <t>12335628</t>
  </si>
  <si>
    <t>Substituição do SPCS associado ao disjuntor 11W1 (Serv. Auxiliares 13,8 kV), na subestação MILAGRES, composto por: 01 painel, 01 unidade de proteção e controle, cabos de controle e infraestrutura de comunicação associados.</t>
  </si>
  <si>
    <t>0006014/2024</t>
  </si>
  <si>
    <t>11363630</t>
  </si>
  <si>
    <t>Substituição do SPCS do Reator de Linha não-manobrável 04E1, na subestação BANABUIU, composto por: 02 painéis, 02 proteções (principal e alternada), 01 unidade de controle, cabos de controle e infraestrutura de comunicação associados.</t>
  </si>
  <si>
    <t>0006015/2024</t>
  </si>
  <si>
    <t>11359937</t>
  </si>
  <si>
    <t>Substituição do SPCS associado ao disjuntor 11W2 (Serv. Auxiliares 13,8 kV), na subestação MILAGRES, composto por: 01 painel, 01 unidade de proteção e controle, cabos de controle e infraestrutura de comunicação associados.</t>
  </si>
  <si>
    <t>0006016/2024</t>
  </si>
  <si>
    <t>11360358</t>
  </si>
  <si>
    <t>Substituição do SPCS associado ao vão da Entrada de Linha 04C4 (LT 230 kV BANABUIU /MOSSORO II C-2), na subestação BANABUIU, composto por: 02 painéis, 02 proteções (principal e alternada), 01 unidade de controle, 02 falhas de disjuntor (principal e alternada), cabos de controle e infraestrutura de comunicação associados.</t>
  </si>
  <si>
    <t>0006017/2024</t>
  </si>
  <si>
    <t>11365506</t>
  </si>
  <si>
    <t>Substituição do SPCS associado ao disjuntor 11W3 (Serv. Auxiliares 13,8 kV), na subestação MILAGRES, composto por: 01 painel, 01 unidade de proteção e controle, cabos de controle e infraestrutura de comunicação associados.</t>
  </si>
  <si>
    <t>0006018/2024</t>
  </si>
  <si>
    <t>11360364</t>
  </si>
  <si>
    <t>Substituição do SPCS associado ao vão da Entrada de Linha 04C5 (LT 230 kV BANABUIU /ALEX C-1), na subestação BANABUIU, composto por: 02 painéis, 02 proteções (principal e alternada), 01 unidade de controle, 02 falhas de disjuntor (principal e alternada), cabos de controle e infraestrutura de comunicação associados.</t>
  </si>
  <si>
    <t>0006019/2024</t>
  </si>
  <si>
    <t>11360694</t>
  </si>
  <si>
    <t>Substituição do SPCS associado ao vão da Entrada de Linha 01Y1 (LD 13,8 kV MILAGRES /MAURITY), na subestação MILAGRES, composto por: 01 painel, 01 unidade de proteção e controle, cabos de controle e infraestrutura de comunicação associados.</t>
  </si>
  <si>
    <t>EL 13,8 kV MILAGRES DIST1 (21Y1)</t>
  </si>
  <si>
    <t>0006020/2024</t>
  </si>
  <si>
    <t>12360694</t>
  </si>
  <si>
    <t>Substituição do SPCS associado ao vão da Entrada de Linha 04C8 (LT 230 kV BANABUIU /AQUIRAZ II C-1), na subestação BANABUIU, composto por: 02 painéis, 02 proteções (principal e alternada), 01 unidade de controle, 02 falhas de disjuntor (principal e alternada), cabos de controle e infraestrutura de comunicação associados.</t>
  </si>
  <si>
    <t>0006021/2024</t>
  </si>
  <si>
    <t>11361994</t>
  </si>
  <si>
    <t>Substituição do SPCS associado ao vão da Entrada de Linha 01Y3 (LD 13,8 kV MILAGRES /BREJO SANTO), na subestação MILAGRES, composto por: 01 painel, 01 unidade de proteção e controle, cabos de controle e infraestrutura de comunicação associados.</t>
  </si>
  <si>
    <t>EL 13,8 kV MILAGRES DIST3 (21Y3)</t>
  </si>
  <si>
    <t>0006022/2024</t>
  </si>
  <si>
    <t>11364353</t>
  </si>
  <si>
    <t>Substituição do SPCS do Disjuntor de Interligação de Barras 14D1, na subestação BANABUIU, composto por: 01 painel, 01 unidade de controle, 02 falhas de disjuntor (principal e alternada), cabos de controle e infraestrutura de comunicação associados.</t>
  </si>
  <si>
    <t>0006023/2024</t>
  </si>
  <si>
    <t>11351197</t>
  </si>
  <si>
    <t>Substituição do SPCS associado ao vão da Entrada de Linha 01Y4 (LD 13,8 kV MILAGRES /MILAGRES-ENEL), na subestação MILAGRES, composto por: 01 painel, 01 unidade de proteção e controle, cabos de controle e infraestrutura de comunicação associados.</t>
  </si>
  <si>
    <t>EL 13,8 kV MILAGRES DIST4 (21Y4)</t>
  </si>
  <si>
    <t>0006024/2024</t>
  </si>
  <si>
    <t>11363304</t>
  </si>
  <si>
    <t>Substituição do SPCS associado ao vão da Entrada de Linha 04C2 (LT 230 kV BANABUIU /ICO C-1), na subestação ICO, composto por: 02 painéis, 02 proteções (principal e alternada), 01 unidade de controle, 02 falhas de disjuntor (principal e alternada), cabos de controle e infraestrutura de comunicação associados.</t>
  </si>
  <si>
    <t>0006025/2024</t>
  </si>
  <si>
    <t>11361335</t>
  </si>
  <si>
    <t>Substituição do SPCS do Transformador de Aterramento 02A2, na subestação MILAGRES, composto por: 01 painel, 02 proteções (principal e alternada), 01 unidade de controle, cabos de controle e infraestrutura de comunicação associados.</t>
  </si>
  <si>
    <t>MC 69 kV TT 69/13,8 kV MILAGRES TA2 CE (32A2)</t>
  </si>
  <si>
    <t>0006026/2024</t>
  </si>
  <si>
    <t>11366780</t>
  </si>
  <si>
    <t>Substituição do SPCS associado ao vão da Entrada de Linha 04C4 (LT 230 kV BANABUIU /MOSSORO II C-2), na subestação MOSSORO II, composto por: 02 painéis, 02 proteções (principal e alternada), 01 unidade de controle, 02 falhas de disjuntor (principal e alternada), cabos de controle e infraestrutura de comunicação associados.</t>
  </si>
  <si>
    <t>0006027/2024</t>
  </si>
  <si>
    <t>11365543</t>
  </si>
  <si>
    <t>Substituição do SPCS associado ao vão da Entrada de Linha 02C1 (LT 69 kV MILAGRES /BREJO SANTO), na subestação MILAGRES, composto por: 01 painel, 02 proteções (principal e alternada), 01 unidade de controle, cabos de controle e infraestrutura de comunicação associados.</t>
  </si>
  <si>
    <t>EL 69 kV MILAGRES DIST1 (12C1)</t>
  </si>
  <si>
    <t>0006028/2024</t>
  </si>
  <si>
    <t>11357743</t>
  </si>
  <si>
    <t>Substituição do SPCS associado ao vão da Entrada de Linha 02C5 (LT 69 kV MILAGRES /BARBALHA), na subestação MILAGRES, composto por: 01 painel, 02 proteções (principal e alternada), 01 unidade de controle, cabos de controle e infraestrutura de comunicação associados.</t>
  </si>
  <si>
    <t>EL 69 kV MILAGRES DIST5 (12C5)</t>
  </si>
  <si>
    <t>0006029/2024</t>
  </si>
  <si>
    <t>11365234</t>
  </si>
  <si>
    <t>Substituição do SPCS associado ao vão da Entrada de Linha 04C8 (LT 230 kV BANABUIU /AQUIRAZ II C-1), na subestação AQUIRAZ II, composto por: 02 painéis, 02 proteções (principal e alternada), 01 unidade de controle, 02 falhas de disjuntor (principal e alternada), cabos de controle e infraestrutura de comunicação associados.</t>
  </si>
  <si>
    <t>0006030/2024</t>
  </si>
  <si>
    <t>11361996</t>
  </si>
  <si>
    <t>Substituição do SPCS associado ao vão da Entrada de Linha 02C6 (LT 69 kV MILAGRES /BALANÇOS), na subestação MILAGRES, composto por: 01 painel, 02 proteções (principal e alternada), 01 unidade de controle, cabos de controle e infraestrutura de comunicação associados.</t>
  </si>
  <si>
    <t>EL 69 kV MILAGRES DIST6 (12C6)</t>
  </si>
  <si>
    <t>0006031/2024</t>
  </si>
  <si>
    <t>11357744</t>
  </si>
  <si>
    <t>Substituição do SPCS associado ao vão da Entrada de Linha 02C7 (LT 69 kV MILAGRES /BALANÇOS), na subestação MILAGRES, composto por: 01 painel, 02 proteções (principal e alternada), 01 unidade de controle, cabos de controle e infraestrutura de comunicação associados.</t>
  </si>
  <si>
    <t>EL 69 kV MILAGRES DIST7 (12C7)</t>
  </si>
  <si>
    <t>0006032/2024</t>
  </si>
  <si>
    <t>11360927</t>
  </si>
  <si>
    <t>Substituição do SPCS do Transform2dor de Aterramento 02A2, na subestação COTEGIPE, composto por: 01 painel, 02 proteções (principal e alternada), 01 unidade de controle, cabos de controle e infraestrutura de comunicação associados.</t>
  </si>
  <si>
    <t>MC 69 kV TT 69/69 kV COTEGIPE TA2 BA (32A2)</t>
  </si>
  <si>
    <t>0006033/2024</t>
  </si>
  <si>
    <t>11361228</t>
  </si>
  <si>
    <t>Substituição do SPCS do Banco de Capacitores 02H1, na subestação MILAGRES, composto por: 01 painel, 02 proteções (principal e alternada), 01 unidade de controle, cabos de controle e infraestrutura de comunicação associados.</t>
  </si>
  <si>
    <t>MC 69 kV BC 69 kV 20,3 Mvar MILAGRES BC1 CE (12H1)</t>
  </si>
  <si>
    <t>0006034/2024</t>
  </si>
  <si>
    <t>11358720</t>
  </si>
  <si>
    <t>Substituição do SPCS associado ao vão da Entrada de Linha 02C1 (LT 69 kV COTEGIPE /MILLENIUM), na subestação COTEGIPE, composto por: 01 painel, 02 proteções (principal e alternada), 01 unidade de controle, cabos de controle e infraestrutura de comunicação associados.</t>
  </si>
  <si>
    <t>0006035/2024</t>
  </si>
  <si>
    <t>11357754</t>
  </si>
  <si>
    <t>Substituição do SPCS associado ao disjuntor 12W1 (02T6, 02T7 e 02T8), na subestação MILAGRES, composto por: 01 painel, 02 proteções (principal e alternada), 01 unidade de controle, cabos de controle e infraestrutura de comunicação associados.</t>
  </si>
  <si>
    <t>MC 69 kV TR 69/13,8 kV MILAGRES TR6 CE TR7 e TR8 (12W1)</t>
  </si>
  <si>
    <t>0006036/2024</t>
  </si>
  <si>
    <t>11358777</t>
  </si>
  <si>
    <t>Substituição do SPCS associado ao vão da Entrada de Linha 02C2 (LT 69 kV COTEGIPE /MILLENIUM), na subestação COTEGIPE, composto por: 01 painel, 02 proteções (principal e alternada), 01 unidade de controle, cabos de controle e infraestrutura de comunicação associados.</t>
  </si>
  <si>
    <t>0006037/2024</t>
  </si>
  <si>
    <t>11357756</t>
  </si>
  <si>
    <t>Substituição do SPCS do Disjuntor de Interligação de Barras 12D1, na subestação MILAGRES, composto por: 01 painel, 02 proteções (principal e alternada), 01 unidade de controle, cabos de controle e infraestrutura de comunicação associados.</t>
  </si>
  <si>
    <t>IB 69 kV MG 230 kV MILAGRES MG1 CE IB1 (12D1)</t>
  </si>
  <si>
    <t>0006038/2024</t>
  </si>
  <si>
    <t>11357947</t>
  </si>
  <si>
    <t>Substituição do SPCS do Banco de Capacitores 04H2, na subestação MILAGRES, composto por: 02 painéis, 02 proteções (principal e alternada), 01 unidade de controle, 02 falhas de disjuntor (principal e alternada), cabos de controle e infraestrutura de comunicação associados.</t>
  </si>
  <si>
    <t>0006039/2024</t>
  </si>
  <si>
    <t>11366403</t>
  </si>
  <si>
    <t>Substituição do SPCS associado ao vão da Entrada de Linha 02C6 (LT 69 kV COTEGIPE /CIA I), na subestação COTEGIPE, composto por: 01 painel, 02 proteções (principal e alternada), 01 unidade de controle, cabos de controle e infraestrutura de comunicação associados.</t>
  </si>
  <si>
    <t>EL 69 kV COTEGIPE CIA I 02C6 (12C6)</t>
  </si>
  <si>
    <t>0006040/2024</t>
  </si>
  <si>
    <t>11365522</t>
  </si>
  <si>
    <t>Substituição do SPCS associado ao vão da Entrada de Linha 04M1 (LT 230 kV MILAGRES /BANABUIU C-1), na subestação MILAGRES, composto por: 02 painéis, 02 proteções (principal e alternada), 01 unidade de controle, 02 falhas de disjuntor (principal e alternada), cabos de controle e infraestrutura de comunicação associados.</t>
  </si>
  <si>
    <t>0006041/2024</t>
  </si>
  <si>
    <t>11365547</t>
  </si>
  <si>
    <t>Substituição do SPCS associado ao vão da Entrada de Linha 02C9 (LT 69 kV COTEGIPE /CIA I), na subestação COTEGIPE, composto por: 01 painel, 02 proteções (principal e alternada), 01 unidade de controle, cabos de controle e infraestrutura de comunicação associados.</t>
  </si>
  <si>
    <t>EL 69 kV COTEGIPE CIA I 02C9 (12C9)</t>
  </si>
  <si>
    <t>0006042/2024</t>
  </si>
  <si>
    <t>11365524</t>
  </si>
  <si>
    <t>Substituição do SPCS associado ao vão da Entrada de Linha 04M2 (LT 230 kV ICO /MILAGRES C-1), na subestação MILAGRES, composto por: 02 painéis, 02 proteções (principal e alternada), 01 unidade de controle, 02 falhas de disjuntor (principal e alternada), cabos de controle e infraestrutura de comunicação associados.</t>
  </si>
  <si>
    <t>0006043/2024</t>
  </si>
  <si>
    <t>11365236</t>
  </si>
  <si>
    <t>Substituição do SPCS associado ao vão da Entrada de Linha 02J2 (LT 69 kV PITUACU /COTEGIPE C-1), na subestação COTEGIPE, composto por: 01 painel, 02 proteções (principal e alternada), 01 unidade de controle, cabos de controle e infraestrutura de comunicação associados.</t>
  </si>
  <si>
    <t>EL 69 kV COTEGIPE LT 69 kV PITUACU /COTEGIPE C-1 BA (12J2)</t>
  </si>
  <si>
    <t>0006044/2024</t>
  </si>
  <si>
    <t>11365519</t>
  </si>
  <si>
    <t>Substituição do SPCS associado ao vão da Entrada de Linha 04M6 (LT 230 kV MILAGRES /COREMAS C-1), na subestação MILAGRES, composto por: 02 painéis, 02 proteções (principal e alternada), 01 unidade de controle, 02 falhas de disjuntor (principal e alternada), cabos de controle e infraestrutura de comunicação associados.</t>
  </si>
  <si>
    <t>0006045/2024</t>
  </si>
  <si>
    <t>11365551</t>
  </si>
  <si>
    <t>Substituição do SPCS associado ao vão da Entrada de Linha 02J3 (LT 69 kV COTEGIPE /CAMACARI I), na subestação COTEGIPE, composto por: 01 painel, 02 proteções (principal e alternada), 01 unidade de controle, cabos de controle e infraestrutura de comunicação associados.</t>
  </si>
  <si>
    <t>0006046/2024</t>
  </si>
  <si>
    <t>11357770</t>
  </si>
  <si>
    <t>Substituição do SPCS do Transformador 04T2, na subestação MILAGRES, composto por: 02 painéis, 02 proteções (principal e alternada), 02 unidades de controle, 02 falhas de disjuntor (principal e alternada), cabos de controle e infraestrutura de comunicação associados.</t>
  </si>
  <si>
    <t>0006047/2024</t>
  </si>
  <si>
    <t>11366808</t>
  </si>
  <si>
    <t>Substituição do SPCS associado ao vão da Entrada de Linha 02J5 (LT 69 kV CATU /COTEGIPE C-1), na subestação COTEGIPE, composto por: 01 painel, 02 proteções (principal e alternada), 01 unidade de controle, cabos de controle e infraestrutura de comunicação associados.</t>
  </si>
  <si>
    <t>0006048/2024</t>
  </si>
  <si>
    <t>11357774</t>
  </si>
  <si>
    <t>Substituição do SPCS do Transformador 04T3, na subestação MILAGRES, composto por: 02 painéis, 02 proteções (principal e alternada), 02 unidades de controle, 02 falhas de disjuntor (principal e alternada), cabos de controle e infraestrutura de comunicação associados.</t>
  </si>
  <si>
    <t>TR 230/69 kV MILAGRES TR3 CE</t>
  </si>
  <si>
    <t>0006049/2024</t>
  </si>
  <si>
    <t>11358840</t>
  </si>
  <si>
    <t>Substituição do SPCS associado ao vão da Entrada de Linha 02L1 (LT 69 kV COTEGIPE /CIM-ARATU), na subestação COTEGIPE, composto por: 01 painel, 02 proteções (principal e alternada), 01 unidade de controle, cabos de controle e infraestrutura de comunicação associados.</t>
  </si>
  <si>
    <t>0006050/2024</t>
  </si>
  <si>
    <t>11365517</t>
  </si>
  <si>
    <t>Substituição do SPCS do Transformador 04T4, na subestação MILAGRES, composto por: 02 painéis, 02 proteções (principal e alternada), 02 unidades de controle, 02 falhas de disjuntor (principal e alternada), cabos de controle e infraestrutura de comunicação associados.</t>
  </si>
  <si>
    <t>0006051/2024</t>
  </si>
  <si>
    <t>11358842</t>
  </si>
  <si>
    <t>Substituição do SPCS associado ao vão da Entrada de Linha 02L2 (LT 69 kV COTEGIPE /PARIPE), na subestação COTEGIPE, composto por: 01 painel, 02 proteções (principal e alternada), 01 unidade de controle, cabos de controle e infraestrutura de comunicação associados.</t>
  </si>
  <si>
    <t>0006052/2024</t>
  </si>
  <si>
    <t>11365518</t>
  </si>
  <si>
    <t>Substituição do SPCS principal das barras 500 kV, na subestação MILAGRES, composto por: 01 painel, 01 unidade central de proteção de barras (principal), do tipo adaptativa e distribuída, com capacidade para atender, no mínimo, 08 vãos, 08 unidades de bay de proteção de barras (principal) e infraestrutura de comunicação associados.</t>
  </si>
  <si>
    <t>0006053/2024</t>
  </si>
  <si>
    <t>11366601</t>
  </si>
  <si>
    <t>Substituição do SPCS associado ao vão da Entrada de Linha 02L3 (LT 69 kV COTEGIPE /EMBASA), na subestação COTEGIPE, composto por: 01 painel, 02 proteções (principal e alternada), 01 unidade de controle, cabos de controle e infraestrutura de comunicação associados.</t>
  </si>
  <si>
    <t>0006054/2024</t>
  </si>
  <si>
    <t>11365520</t>
  </si>
  <si>
    <t>Substituição do SPCS do Reator de Linha não-manobrável 05E3, na subestação MILAGRES, composto por: 02 painéis, 02 proteções (principal e alternada), 01 unidade de controle, cabos de controle e infraestrutura de comunicação associados.</t>
  </si>
  <si>
    <t>0006055/2024</t>
  </si>
  <si>
    <t>11364775</t>
  </si>
  <si>
    <t>Substituição do SPCS associado ao vão da Entrada de Linha 02L7 (LT 69 kV COTEGIPE /CIA II), na subestação COTEGIPE, composto por: 01 painel, 02 proteções (principal e alternada), 01 unidade de controle, cabos de controle e infraestrutura de comunicação associados.</t>
  </si>
  <si>
    <t>EL 69 kV COTEGIPE CIA II 02L7 (12L7)</t>
  </si>
  <si>
    <t>0006056/2024</t>
  </si>
  <si>
    <t>11353474</t>
  </si>
  <si>
    <t>Substituição do SPCS associado ao vão da Entrada de Linha 02L8 (LT 69 kV COTEGIPE /CIA II), na subestação COTEGIPE, composto por: 01 painel, 02 proteções (principal e alternada), 01 unidade de controle, cabos de controle e infraestrutura de comunicação associados.</t>
  </si>
  <si>
    <t>EL 69 kV COTEGIPE CIA II 02L8 (12L8)</t>
  </si>
  <si>
    <t>0006057/2024</t>
  </si>
  <si>
    <t>11353475</t>
  </si>
  <si>
    <t>Substituição do SPCS do Transformador 05T6, na subestação MILAGRES, composto por: 02 painéis, 02 proteções (principal e alternada), 02 unidades de controle, 02 falhas de disjuntor (principal e alternada), cabos de controle e infraestrutura de comunicação associados.</t>
  </si>
  <si>
    <t>TR 500/230 kV MILAGRES TR2 CE</t>
  </si>
  <si>
    <t>0006058/2024</t>
  </si>
  <si>
    <t>11361800</t>
  </si>
  <si>
    <t>Substituição do SPCS do Banco de Capacitores 02H1, na subestação COTEGIPE, composto por: 01 painel, 02 proteções (principal e alternada), 01 unidade de controle, cabos de controle e infraestrutura de comunicação associados.</t>
  </si>
  <si>
    <t>0006059/2024</t>
  </si>
  <si>
    <t>11364689</t>
  </si>
  <si>
    <t>Substituição do SPCS do Disjuntor de Interligação de Barras 15D1, na subestação MILAGRES, composto por: 01 painel, 01 unidade de controle, 02 falhas de disjuntor (principal e alternada), cabos de controle e infraestrutura de comunicação associados.</t>
  </si>
  <si>
    <t>0006060/2024</t>
  </si>
  <si>
    <t>11364696</t>
  </si>
  <si>
    <t>Substituição do SPCS do Banco de Capacitores 02H2, na subestação COTEGIPE, composto por: 01 painel, 02 proteções (principal e alternada), 01 unidade de controle, cabos de controle e infraestrutura de comunicação associados.</t>
  </si>
  <si>
    <t>0006061/2024</t>
  </si>
  <si>
    <t>11363033</t>
  </si>
  <si>
    <t>Substituição do SPCS associado ao vão da Entrada de Linha 04M2 (LT 230 kV ICO /MILAGRES C-1), na subestação ICO, composto por: 02 painéis, 02 proteções (principal e alternada), 01 unidade de controle, 02 falhas de disjuntor (principal e alternada), cabos de controle e infraestrutura de comunicação associados.</t>
  </si>
  <si>
    <t>0006062/2024</t>
  </si>
  <si>
    <t>11365227</t>
  </si>
  <si>
    <t>Substituição do SPCS do Transformador 02T8, na subestação COTEGIPE, composto por: 01 painel, 02 proteções (principal e alternada), 01 unidade de controle, cabos de controle e infraestrutura de comunicação associados.</t>
  </si>
  <si>
    <t>0006063/2024</t>
  </si>
  <si>
    <t>11363034</t>
  </si>
  <si>
    <t>Substituição do SPCS associado ao vão da Entrada de Linha 04M5 (LT 230 kV MILAGRES /COREMAS C-2), na subestação COREMAS, composto por: 02 painéis, 02 proteções (principal e alternada), 01 unidade de controle, 02 falhas de disjuntor (principal e alternada), cabos de controle e infraestrutura de comunicação associados.</t>
  </si>
  <si>
    <t>0006064/2024</t>
  </si>
  <si>
    <t>11360690</t>
  </si>
  <si>
    <t>Substituição do SPCS do Disjuntor de Interligação de Barras 12D1, na subestação COTEGIPE, composto por: 01 painel, 02 proteções (principal e alternada), 01 unidade de controle, cabos de controle e infraestrutura de comunicação associados.</t>
  </si>
  <si>
    <t>IB 69 kV MG 230 kV COTEGIPE MG1 BA IB1 (12D1)</t>
  </si>
  <si>
    <t>0006065/2024</t>
  </si>
  <si>
    <t>11366736</t>
  </si>
  <si>
    <t>Substituição do SPCS associado ao vão da Entrada de Linha 04M6 (LT 230 kV MILAGRES /COREMAS C-1), na subestação COREMAS, composto por: 02 painéis, 02 proteções (principal e alternada), 01 unidade de controle, 02 falhas de disjuntor (principal e alternada), cabos de controle e infraestrutura de comunicação associados.</t>
  </si>
  <si>
    <t>0006066/2024</t>
  </si>
  <si>
    <t>11365541</t>
  </si>
  <si>
    <t>Substituição do SPCS associado ao vão da Entrada de Linha 04L1 (LT 230 kV COTEGIPE /USIBA C-1), na subestação COTEGIPE, composto por: 02 painéis, 02 proteções (principal e alternada), 01 unidade de controle, 02 falhas de disjuntor (principal e alternada), cabos de controle e infraestrutura de comunicação associados.</t>
  </si>
  <si>
    <t>0006067/2024</t>
  </si>
  <si>
    <t>11353462</t>
  </si>
  <si>
    <t>Substituição do SPCS associado ao vão da Entrada de Linha 05V3 (LT 500 kV MILAGRES /QUIXADA C-1), na subestação QUIXADA, composto por: 02 painéis, 02 proteções (principal e alternada), 01 unidade de controle, 02 falhas de disjuntor (principal e alternada), cabos de controle e infraestrutura de comunicação associados.</t>
  </si>
  <si>
    <t>0006068/2024</t>
  </si>
  <si>
    <t>11353395</t>
  </si>
  <si>
    <t>Substituição do SPCS associado ao vão da Entrada de Linha 04L2 (LT 230 kV COTEGIPE /SIBRA C-1), na subestação COTEGIPE, composto por: 02 painéis, 02 proteções (principal e alternada), 01 unidade de controle, 02 falhas de disjuntor (principal e alternada), cabos de controle e infraestrutura de comunicação associados.</t>
  </si>
  <si>
    <t>0006069/2024</t>
  </si>
  <si>
    <t>11353465</t>
  </si>
  <si>
    <t>Substituição do SPCS do Reator de Linha não-manobrável 05E1, na subestação QUIXADA, composto por: 02 painéis, 02 proteções (principal e alternada), 01 unidade de controle, cabos de controle e infraestrutura de comunicação associados.</t>
  </si>
  <si>
    <t>0006070/2024</t>
  </si>
  <si>
    <t>11365622</t>
  </si>
  <si>
    <t>Substituição do SPCS associado ao vão da Entrada de Linha 04L3 (LT 230 kV COTEGIPE /JACARACANGA C-1), na subestação COTEGIPE, composto por: 02 painéis, 02 proteções (principal e alternada), 01 unidade de controle, 02 falhas de disjuntor (principal e alternada), cabos de controle e infraestrutura de comunicação associados.</t>
  </si>
  <si>
    <t>0006071/2024</t>
  </si>
  <si>
    <t>11353466</t>
  </si>
  <si>
    <t>Substituição do SPCS associado ao vão da Entrada de Linha 04L4 (LT 230 kV COTEGIPE /MATATU C-1), na subestação COTEGIPE, composto por: 02 painéis, 02 proteções (principal e alternada), 01 unidade de controle, 02 falhas de disjuntor (principal e alternada), cabos de controle e infraestrutura de comunicação associados.</t>
  </si>
  <si>
    <t>0006072/2024</t>
  </si>
  <si>
    <t>11353471</t>
  </si>
  <si>
    <t>Substituição do SPCS associado ao vão da Entrada de Linha 04M5 (LT 230 kV CAMACARI II /COTEGIPE C-1), na subestação COTEGIPE, composto por: 02 painéis, 02 proteções (principal e alternada), 01 unidade de controle, 02 falhas de disjuntor (principal e alternada), cabos de controle e infraestrutura de comunicação associados.</t>
  </si>
  <si>
    <t>0006073/2024</t>
  </si>
  <si>
    <t>11353468</t>
  </si>
  <si>
    <t>Substituição do SPCS associado ao vão da Entrada de Linha 04M6 (LT 230 kV CAMACARI IV /COTEGIPE C-1), na subestação COTEGIPE, composto por: 02 painéis, 02 proteções (principal e alternada), 01 unidade de controle, 02 falhas de disjuntor (principal e alternada), cabos de controle e infraestrutura de comunicação associados.</t>
  </si>
  <si>
    <t>0006074/2024</t>
  </si>
  <si>
    <t>11360705</t>
  </si>
  <si>
    <t>Substituição do SPCS do Transformador 04T4, na subestação COTEGIPE, composto por: 02 painéis, 02 proteções (principal e alternada), 02 unidades de controle, 02 falhas de disjuntor (principal e alternada), cabos de controle e infraestrutura de comunicação associados.</t>
  </si>
  <si>
    <t>0006075/2024</t>
  </si>
  <si>
    <t>11359145</t>
  </si>
  <si>
    <t>Substituição do SPCS do Disjuntor de Interligação de Barras 14D1, na subestação COTEGIPE, composto por: 01 painel, 01 unidade de controle, 02 falhas de disjuntor (principal e alternada), cabos de controle e infraestrutura de comunicação associados.</t>
  </si>
  <si>
    <t>0006076/2024</t>
  </si>
  <si>
    <t>11353170</t>
  </si>
  <si>
    <t>Substituição do SPCS associado ao vão da Entrada de Linha 04L3 (LT 230 kV COTEGIPE /JACARACANGA C-1), na subestação JACARACANGA, composto por: 02 painéis, 02 proteções (principal e alternada), 01 unidade de controle, 02 falhas de disjuntor (principal e alternada), cabos de controle e infraestrutura de comunicação associados.</t>
  </si>
  <si>
    <t>0006077/2024</t>
  </si>
  <si>
    <t>11365515</t>
  </si>
  <si>
    <t>Substituição do SPCS associado ao vão da Entrada de Linha 04L4 (LT 230 kV COTEGIPE /MATATU C-1), na subestação MATATU, composto por: 02 painéis, 02 proteções (principal e alternada), 01 unidade de controle, 02 falhas de disjuntor (principal e alternada), cabos de controle e infraestrutura de comunicação associados.</t>
  </si>
  <si>
    <t>0006078/2024</t>
  </si>
  <si>
    <t>11353864</t>
  </si>
  <si>
    <t>Substituição do SPCS do Transformador de Aterramento 02A1, na subestação GOIANINHA, composto por: 01 painel, 02 proteções (principal e alternada), 01 unidade de controle, cabos de controle e infraestrutura de comunicação associados.</t>
  </si>
  <si>
    <t>MC 69 kV TT 69/0 kV GOIANINHA TA1 PE (32A1)</t>
  </si>
  <si>
    <t>0006079/2024</t>
  </si>
  <si>
    <t>11361084</t>
  </si>
  <si>
    <t>Substituição do SPCS do Transformador de Aterramento 02A2, na subestação GOIANINHA, composto por: 01 painel, 02 proteções (principal e alternada), 01 unidade de controle, cabos de controle e infraestrutura de comunicação associados.</t>
  </si>
  <si>
    <t>MC 69 kV TT 69/0 kV GOIANINHA TA2 PE (32A2)</t>
  </si>
  <si>
    <t>0006080/2024</t>
  </si>
  <si>
    <t>11361086</t>
  </si>
  <si>
    <t>Substituição do SPCS do Banco de Capacitores 02H1, na subestação GOIANINHA, composto por: 01 painel, 02 proteções (principal e alternada), 01 unidade de controle, cabos de controle e infraestrutura de comunicação associados.</t>
  </si>
  <si>
    <t>MC 69 kV BC 69 kV 21,3 Mvar GOIANINHA BC1 PE (02H1)</t>
  </si>
  <si>
    <t>0006081/2024</t>
  </si>
  <si>
    <t>11362189</t>
  </si>
  <si>
    <t>Substituição do SPCS associado ao vão da Entrada de Linha 02J2 (LT 69 kV GOIANINHA /CONDADO), na subestação GOIANINHA, composto por: 01 painel, 02 proteções (principal e alternada), 01 unidade de controle, cabos de controle e infraestrutura de comunicação associados.</t>
  </si>
  <si>
    <t>EL 69 kV GOIANINHA DIST1 (12J2)</t>
  </si>
  <si>
    <t>0006082/2024</t>
  </si>
  <si>
    <t>11364016</t>
  </si>
  <si>
    <t>Substituição do SPCS associado ao vão da Entrada de Linha 02M2 (LT 69 kV GOIANINHA /POTY), na subestação GOIANINHA, composto por: 01 painel, 02 proteções (principal e alternada), 01 unidade de controle, cabos de controle e infraestrutura de comunicação associados.</t>
  </si>
  <si>
    <t>EL 69 kV GOIANINHA DIST8 (12M2)</t>
  </si>
  <si>
    <t>0006083/2024</t>
  </si>
  <si>
    <t>11353347</t>
  </si>
  <si>
    <t>Substituição do SPCS do Transformador 04T2, na subestação GOIANINHA, composto por: 02 painéis, 02 proteções (principal e alternada), 02 unidades de controle, 02 falhas de disjuntor (principal e alternada), cabos de controle e infraestrutura de comunicação associados.</t>
  </si>
  <si>
    <t>TR 230/69 kV GOIANINHA TR2 PE</t>
  </si>
  <si>
    <t>0006084/2024</t>
  </si>
  <si>
    <t>11359118</t>
  </si>
  <si>
    <t>Substituição do SPCS do Transformador 04T3, na subestação GOIANINHA, composto por: 02 painéis, 02 proteções (principal e alternada), 02 unidades de controle, 02 falhas de disjuntor (principal e alternada), cabos de controle e infraestrutura de comunicação associados.</t>
  </si>
  <si>
    <t>TR 230/69 kV GOIANINHA TR3 PE</t>
  </si>
  <si>
    <t>0006085/2024</t>
  </si>
  <si>
    <t>11365035</t>
  </si>
  <si>
    <t>AQUIDAUANA</t>
  </si>
  <si>
    <t>Substituição de bateria - 48 Vcc - SACC48-BAT1 na SE Aquidauana (vinculada a LT 138 kV Aquidauana - Anastácio).</t>
  </si>
  <si>
    <t>LT 138 kV ANASTACIO /AQUIDAUANA C-1 MS</t>
  </si>
  <si>
    <t>0006086/2024</t>
  </si>
  <si>
    <t>Substituição do SPCS do Disjuntor de Interligação de Barras 14D1, na subestação GOIANINHA, composto por: 01 painel, 01 unidade de controle, 02 falhas de disjuntor (principal e alternada), cabos de controle e infraestrutura de comunicação associados.</t>
  </si>
  <si>
    <t>0006087/2024</t>
  </si>
  <si>
    <t>11360111</t>
  </si>
  <si>
    <t>Substituição de bateria - 48 Vcc - SACC48-BAT2 na SE Aquidauana  (vinculada a LT 138 kV Aquidauana - Anastácio).</t>
  </si>
  <si>
    <t>0006088/2024</t>
  </si>
  <si>
    <t>Substituição do SPCS do Transformador de Aterramento 02A2, na subestação G.MANGABEIRA, composto por: 01 painel, 02 proteções (principal e alternada), 01 unidade de controle, cabos de controle e infraestrutura de comunicação associados.</t>
  </si>
  <si>
    <t>MC 69 kV TT 69/0 kV G.MANGABEIRA TA2 BA (32A2)</t>
  </si>
  <si>
    <t>0006090/2024</t>
  </si>
  <si>
    <t>11356627</t>
  </si>
  <si>
    <t>Substituição de Retificador (Carregador de Baterias) 48 Vcc - SACC48-RET1, da SE Aquidauana (vinculada a LT 138 kV Aquidauana - Anastácio).</t>
  </si>
  <si>
    <t>0006092/2024</t>
  </si>
  <si>
    <t>Substituição do SPCS associado ao vão da Entrada de Linha 02V1 (LT 69 kV G.MANGABEIRA /ANGÉLICA), na subestação G.MANGABEIRA, composto por: 01 painel, 02 proteções (principal e alternada), 01 unidade de controle, cabos de controle e infraestrutura de comunicação associados.</t>
  </si>
  <si>
    <t>0006094/2024</t>
  </si>
  <si>
    <t>11363203</t>
  </si>
  <si>
    <t>Substituição de bateria - 125 Vcc - SACC125-BAT1 na SE Atlântida 2.</t>
  </si>
  <si>
    <t>0006096/2024</t>
  </si>
  <si>
    <t>Substituição do SPCS associado ao vão da Entrada de Linha 02V2 (LT 69 kV G.MANGABEIRA /TOMBA), na subestação G.MANGABEIRA, composto por: 01 painel, 02 proteções (principal e alternada), 01 unidade de controle, cabos de controle e infraestrutura de comunicação associados.</t>
  </si>
  <si>
    <t>EL 69 kV G.MANGABEIRA DIST2 (12V2)</t>
  </si>
  <si>
    <t>0006097/2024</t>
  </si>
  <si>
    <t>11363210</t>
  </si>
  <si>
    <t>Substituição de bateria - 125 Vcc - SACC125-BAT2 na SE Atlântida 2.</t>
  </si>
  <si>
    <t>0006098/2024</t>
  </si>
  <si>
    <t>Substituição do SPCS associado ao vão da Entrada de Linha 02V5 (LT 69 kV G.MANGABEIRA /SERRA), na subestação G.MANGABEIRA, composto por: 01 painel, 02 proteções (principal e alternada), 01 unidade de controle, cabos de controle e infraestrutura de comunicação associados.</t>
  </si>
  <si>
    <t>EL 69 kV G.MANGABEIRA DIST3 (12V5)</t>
  </si>
  <si>
    <t>0006099/2024</t>
  </si>
  <si>
    <t>11364148</t>
  </si>
  <si>
    <t>Substituição de bateria - 48 Vcc - SACC48-BAT1 na SE Atlântida 2.</t>
  </si>
  <si>
    <t>0006100/2024</t>
  </si>
  <si>
    <t>Substituição do SPCS associado ao vão da Entrada de Linha 02V6 (LT 69 kV G.MANGABEIRA /MURITIBA), na subestação G.MANGABEIRA, composto por: 01 painel, 02 proteções (principal e alternada), 01 unidade de controle, cabos de controle e infraestrutura de comunicação associados.</t>
  </si>
  <si>
    <t>EL 69 kV G.MANGABEIRA DIST4 (12V6)</t>
  </si>
  <si>
    <t>0006102/2024</t>
  </si>
  <si>
    <t>11364149</t>
  </si>
  <si>
    <t>Substituição de bateria - 48 Vcc - SACC48-BAT2 na SE Atlântida 2.</t>
  </si>
  <si>
    <t>0006103/2024</t>
  </si>
  <si>
    <t>Substituição do SPCS associado ao vão da Entrada de Linha 02V7 (LT 69 kV G.MANGABEIRA /SÃO FELIPE), na subestação G.MANGABEIRA, composto por: 01 painel, 02 proteções (principal e alternada), 01 unidade de controle, cabos de controle e infraestrutura de comunicação associados.</t>
  </si>
  <si>
    <t>EL 69 kV G.MANGABEIRA DIST5 (12V7)</t>
  </si>
  <si>
    <t>0006104/2024</t>
  </si>
  <si>
    <t>11358190</t>
  </si>
  <si>
    <t>Substituição de Retificador (Carregador de Baterias) 125 Vcc - SACC125-RET1, da SE Atlântida 2.</t>
  </si>
  <si>
    <t>0006106/2024</t>
  </si>
  <si>
    <t>Substituição do SPCS associado ao vão da Entrada de Linha 02V8 (LT 69 kV G.MANGABEIRA /CRUZ DAS ALMAS), na subestação G.MANGABEIRA, composto por: 01 painel, 02 proteções (principal e alternada), 01 unidade de controle, cabos de controle e infraestrutura de comunicação associados.</t>
  </si>
  <si>
    <t>EL 69 kV G.MANGABEIRA DIST6 (12V8)</t>
  </si>
  <si>
    <t>0006108/2024</t>
  </si>
  <si>
    <t>11358193</t>
  </si>
  <si>
    <t>Substituição do SPCS associado ao vão da Entrada de Linha 04C1 (LT 230 kV TACAIMBO /C.GRANDE II C-1), na subestação C.GRANDE II, composto por: 02 painéis, 02 proteções (principal e alternada), 01 unidade de controle, 02 falhas de disjuntor (principal e alternada), cabos de controle e infraestrutura de comunicação associados.</t>
  </si>
  <si>
    <t>0006115/2024</t>
  </si>
  <si>
    <t>11365316</t>
  </si>
  <si>
    <t>Substituição do SPCS associado ao vão da Entrada de Linha 04C2 (LT 230 kV TACAIMBO /C.GRANDE II C-2), na subestação C.GRANDE II, composto por: 02 painéis, 02 proteções (principal e alternada), 01 unidade de controle, 02 falhas de disjuntor (principal e alternada), cabos de controle e infraestrutura de comunicação associados.</t>
  </si>
  <si>
    <t>0006118/2024</t>
  </si>
  <si>
    <t>11365314</t>
  </si>
  <si>
    <t>Substituição do SPCS associado ao vão da Entrada de Linha 04C3 (LT 230 kV C.GRANDE II /COTEMINAS C-1), na subestação C.GRANDE II, composto por: 02 painéis, 02 proteções (principal e alternada), 01 unidade de controle, 02 falhas de disjuntor (principal e alternada), cabos de controle e infraestrutura de comunicação associados.</t>
  </si>
  <si>
    <t>0006121/2024</t>
  </si>
  <si>
    <t>11364960</t>
  </si>
  <si>
    <t>Substituição do SPCS associado ao vão da Entrada de Linha 04V1 (LT 230 kV C.GRANDE II /PARAISO C-2 ), na subestação C.GRANDE II, composto por: 02 painéis, 02 proteções (principal e alternada), 01 unidade de controle, 02 falhas de disjuntor (principal e alternada), cabos de controle e infraestrutura de comunicação associados.</t>
  </si>
  <si>
    <t>0006123/2024</t>
  </si>
  <si>
    <t>11365322</t>
  </si>
  <si>
    <t>Substituição do SPCS associado ao vão da Entrada de Linha 04V3 (LT 230 kV C.GRANDE III /C.GRANDE II C-2), na subestação C.GRANDE II, composto por: 02 painéis, 02 proteções (principal e alternada), 01 unidade de controle, 02 falhas de disjuntor (principal e alternada), cabos de controle e infraestrutura de comunicação associados.</t>
  </si>
  <si>
    <t>0006126/2024</t>
  </si>
  <si>
    <t>11365536</t>
  </si>
  <si>
    <t>Substituição do SPCS associado ao vão da Entrada de Linha 04V4 (LT 230 kV C.GRANDE III /C.GRANDE II C-3), na subestação C.GRANDE II, composto por: 02 painéis, 02 proteções (principal e alternada), 01 unidade de controle, 02 falhas de disjuntor (principal e alternada), cabos de controle e infraestrutura de comunicação associados.</t>
  </si>
  <si>
    <t>0006128/2024</t>
  </si>
  <si>
    <t>11365538</t>
  </si>
  <si>
    <t>Substituição do SPCS do Transformador 04T5, na subestação C.GRANDE II, composto por: 02 painéis, 02 proteções (principal e alternada), 02 unidades de controle, 02 falhas de disjuntor (principal e alternada), cabos de controle e infraestrutura de comunicação associados.</t>
  </si>
  <si>
    <t>0006130/2024</t>
  </si>
  <si>
    <t>11361190</t>
  </si>
  <si>
    <t>Substituição do SPCS do Disjuntor de Interligação de Barras 14D2, na subestação C.GRANDE II, composto por: 01 painel, 01 unidade de controle, 02 falhas de disjuntor (principal e alternada), cabos de controle e infraestrutura de comunicação associados.</t>
  </si>
  <si>
    <t>0006133/2024</t>
  </si>
  <si>
    <t>11365150</t>
  </si>
  <si>
    <t>Substituição do SPCS associado ao vão da Entrada de Linha 04C1 (LT 230 kV TACAIMBO /C.GRANDE II C-1), na subestação TACAIMBO, composto por: 02 painéis, 02 proteções (principal e alternada), 01 unidade de controle, 02 falhas de disjuntor (principal e alternada), cabos de controle e infraestrutura de comunicação associados.</t>
  </si>
  <si>
    <t>0006135/2024</t>
  </si>
  <si>
    <t>11353322</t>
  </si>
  <si>
    <t>Substituição do SPCS associado ao vão da Entrada de Linha 04C2 (LT 230 kV TACAIMBO /C.GRANDE II C-2), na subestação TACAIMBO, composto por: 02 painéis, 02 proteções (principal e alternada), 01 unidade de controle, 02 falhas de disjuntor (principal e alternada), cabos de controle e infraestrutura de comunicação associados.</t>
  </si>
  <si>
    <t>0006139/2024</t>
  </si>
  <si>
    <t>11353324</t>
  </si>
  <si>
    <t>Substituição do SPCS associado ao vão da Entrada de Linha 04C3 (LT 230 kV C.GRANDE II /COTEMINAS C-1), na subestação COTEMINAS, composto por: 02 painéis, 02 proteções (principal e alternada), 01 unidade de controle, 02 falhas de disjuntor (principal e alternada), cabos de controle e infraestrutura de comunicação associados.</t>
  </si>
  <si>
    <t>0006142/2024</t>
  </si>
  <si>
    <t>11364962</t>
  </si>
  <si>
    <t>Substituição do SPCS associado ao vão da Entrada de Linha 04V1 (LT 230 kV C.GRANDE II /PARAISO C-2 ), na subestação PARAISO, composto por: 02 painéis, 02 proteções (principal e alternada), 01 unidade de controle, 02 falhas de disjuntor (principal e alternada), cabos de controle e infraestrutura de comunicação associados.</t>
  </si>
  <si>
    <t>0006143/2024</t>
  </si>
  <si>
    <t>11353354</t>
  </si>
  <si>
    <t>Substituição do SPCS associado ao vão da Entrada de Linha 04V3 (LT 230 kV C.GRANDE III /C.GRANDE II C-2), na subestação C.GRANDE III, composto por: 02 painéis, 02 proteções (principal e alternada), 01 unidade de controle, 02 falhas de disjuntor (principal e alternada), cabos de controle e infraestrutura de comunicação associados.</t>
  </si>
  <si>
    <t>0006144/2024</t>
  </si>
  <si>
    <t>12362649</t>
  </si>
  <si>
    <t>Substituição do SPCS associado ao disjuntor 11C1 (Serv. Auxiliares 13,8 kV), na subestação CAMACARI II, composto por: 01 painel, 01 unidade de proteção e controle, cabos de controle e infraestrutura de comunicação associados.</t>
  </si>
  <si>
    <t>0006145/2024</t>
  </si>
  <si>
    <t>11356754</t>
  </si>
  <si>
    <t>Substituição do SPCS associado ao disjuntor 11C2 (Serv. Auxiliares 13,8 kV), na subestação CAMACARI II, composto por: 01 painel, 01 unidade de proteção e controle, cabos de controle e infraestrutura de comunicação associados.</t>
  </si>
  <si>
    <t>0006146/2024</t>
  </si>
  <si>
    <t>11367115</t>
  </si>
  <si>
    <t>Substituição do SPCS do Transformador 02T8, na subestação CAMACARI II, composto por: 01 painel, 02 proteções (principal e alternada), 01 unidade de controle, cabos de controle e infraestrutura de comunicação associados.</t>
  </si>
  <si>
    <t>0006150/2024</t>
  </si>
  <si>
    <t>11356541</t>
  </si>
  <si>
    <t>Substituição do SPCS associado ao vão da Entrada de Linha 04C9 (LT 230 kV CAMACARI II /BRAS.C.SODA C-1), na subestação CAMACARI II, composto por: 02 painéis, 02 proteções (principal e alternada), 01 unidade de controle, 02 falhas de disjuntor (principal e alternada), cabos de controle e infraestrutura de comunicação associados.</t>
  </si>
  <si>
    <t>0006153/2024</t>
  </si>
  <si>
    <t>11361729</t>
  </si>
  <si>
    <t>Substituição do SPCS associado ao vão da Entrada de Linha 04M5 (LT 230 kV CAMACARI II /COTEGIPE C-1), na subestação CAMACARI II, composto por: 02 painéis, 02 proteções (principal e alternada), 01 unidade de controle, 02 falhas de disjuntor (principal e alternada), cabos de controle e infraestrutura de comunicação associados.</t>
  </si>
  <si>
    <t>0006156/2024</t>
  </si>
  <si>
    <t>11365567</t>
  </si>
  <si>
    <t>Substituição do SPCS associado ao vão da Entrada de Linha 04M7 (LT 230 kV CAMACARI II /MATATU C-1), na subestação CAMACARI II, composto por: 02 painéis, 02 proteções (principal e alternada), 01 unidade de controle, 02 falhas de disjuntor (principal e alternada), cabos de controle e infraestrutura de comunicação associados.</t>
  </si>
  <si>
    <t>0006159/2024</t>
  </si>
  <si>
    <t>11353476</t>
  </si>
  <si>
    <t>Substituição do SPCS associado ao vão da Entrada de Linha 04M9 (LT 230 kV CAMACARI II /PITUACU C-1), na subestação CAMACARI II, composto por: 02 painéis, 02 proteções (principal e alternada), 01 unidade de controle, 02 falhas de disjuntor (principal e alternada), cabos de controle e infraestrutura de comunicação associados.</t>
  </si>
  <si>
    <t>0006162/2024</t>
  </si>
  <si>
    <t>11365569</t>
  </si>
  <si>
    <t>Substituição do SPCS associado ao vão da Entrada de Linha 04N2 (LT 230 kV CAMACARI II /BRASKEM C-2), na subestação CAMACARI II, composto por: 02 painéis, 02 proteções (principal e alternada), 01 unidade de controle, 02 falhas de disjuntor (principal e alternada), cabos de controle e infraestrutura de comunicação associados.</t>
  </si>
  <si>
    <t>0006163/2024</t>
  </si>
  <si>
    <t>11363472</t>
  </si>
  <si>
    <t>Substituição do SPCS associado ao vão da Entrada de Linha 04V1 (LT 230 kV CAMACARI II /US.CAMACARI C-1), na subestação CAMACARI II, composto por: 02 painéis, 02 proteções (principal e alternada), 01 unidade de controle, 02 falhas de disjuntor (principal e alternada), cabos de controle e infraestrutura de comunicação associados.</t>
  </si>
  <si>
    <t>0006164/2024</t>
  </si>
  <si>
    <t>11353435</t>
  </si>
  <si>
    <t>Substituição do SPCS do Transformador 04T6, na subestação CAMACARI II, composto por: 02 painéis, 02 proteções (principal e alternada), 02 unidades de controle, 02 falhas de disjuntor (principal e alternada), cabos de controle e infraestrutura de comunicação associados.</t>
  </si>
  <si>
    <t>0006166/2024</t>
  </si>
  <si>
    <t>11358866</t>
  </si>
  <si>
    <t>Substituição do SPCS do Disjuntor de Interligação de Barras 14D2, na subestação CAMACARI II, composto por: 01 painel, 01 unidade de controle, 02 falhas de disjuntor (principal e alternada), cabos de controle e infraestrutura de comunicação associados.</t>
  </si>
  <si>
    <t>0006168/2024</t>
  </si>
  <si>
    <t>11357242</t>
  </si>
  <si>
    <t>Substituição do SPCS do Disjuntor de Interligação de Barras 14D3, na subestação CAMACARI II, composto por: 01 painel, 01 unidade de controle, 02 falhas de disjuntor (principal e alternada), cabos de controle e infraestrutura de comunicação associados.</t>
  </si>
  <si>
    <t>0006169/2024</t>
  </si>
  <si>
    <t>11360172</t>
  </si>
  <si>
    <t>Substituição do SPCS principal das barras 500 kV, na subestação CAMACARI II, composto por: 01 painel, 01 unidade central de proteção de barras (principal), do tipo adaptativa e distribuída, com capacidade para atender, no mínimo, 08 vãos, 08 unidades de bay de proteção de barras (principal) e infraestrutura de comunicação associados.</t>
  </si>
  <si>
    <t>0006171/2024</t>
  </si>
  <si>
    <t>11356911</t>
  </si>
  <si>
    <t>Substituição do SPCS do Reator de Linha manobrável 05E1, na subestação CAMACARI II, composto por: 02 painéis, 02 proteções (principal e alternada), 01 unidade de controle, 02 falhas de disjuntor (principal e alternada), cabos de controle e infraestrutura de comunicação associados.</t>
  </si>
  <si>
    <t>RTL 500 kV 100 Mvar CAMACARI II RT1 BA</t>
  </si>
  <si>
    <t>0006173/2024</t>
  </si>
  <si>
    <t>11356604</t>
  </si>
  <si>
    <t>Substituição do SPCS associado ao vão da Entrada de Linha 05L4 (LT 500 kV OLINDINA /CAMACARI II C-1), na subestação CAMACARI II, composto por: 02 painéis, 02 proteções (principal e alternada), 01 unidade de controle, 02 falhas de disjuntor (principal e alternada), cabos de controle e infraestrutura de comunicação associados.</t>
  </si>
  <si>
    <t>0006174/2024</t>
  </si>
  <si>
    <t>11361699</t>
  </si>
  <si>
    <t>Substituição do SPCS associado ao vão da Entrada de Linha 05L5 (LT 500 kV OLINDINA /CAMACARI II C-2), na subestação CAMACARI II, composto por: 02 painéis, 02 proteções (principal e alternada), 01 unidade de controle, 02 falhas de disjuntor (principal e alternada), cabos de controle e infraestrutura de comunicação associados.</t>
  </si>
  <si>
    <t>0006176/2024</t>
  </si>
  <si>
    <t>11361701</t>
  </si>
  <si>
    <t>Substituição do SPCS associado ao vão da Entrada de Linha 05L6 (LT 500 kV CAMACARI VI /CAMACARI II C-1), na subestação CAMACARI II, composto por: 02 painéis, 02 proteções (principal e alternada), 01 unidade de controle, 02 falhas de disjuntor (principal e alternada), cabos de controle e infraestrutura de comunicação associados.</t>
  </si>
  <si>
    <t>0006177/2024</t>
  </si>
  <si>
    <t>11366153</t>
  </si>
  <si>
    <t>Substituição do SPCS do Transformador 05T1, na subestação CAMACARI II, composto por: 02 painéis, 02 proteções (principal e alternada), 02 unidades de controle, 02 falhas de disjuntor (principal e alternada), cabos de controle e infraestrutura de comunicação associados.</t>
  </si>
  <si>
    <t>0006179/2024</t>
  </si>
  <si>
    <t>11356882</t>
  </si>
  <si>
    <t>Substituição do SPCS do Transformador 05T2, na subestação CAMACARI II, composto por: 02 painéis, 02 proteções (principal e alternada), 02 unidades de controle, 02 falhas de disjuntor (principal e alternada), cabos de controle e infraestrutura de comunicação associados.</t>
  </si>
  <si>
    <t>0006180/2024</t>
  </si>
  <si>
    <t>11356885</t>
  </si>
  <si>
    <t>Substituição do SPCS do Transformador 05T4, na subestação CAMACARI II, composto por: 02 painéis, 02 proteções (principal e alternada), 02 unidades de controle, 02 falhas de disjuntor (principal e alternada), cabos de controle e infraestrutura de comunicação associados.</t>
  </si>
  <si>
    <t>0006238/2024</t>
  </si>
  <si>
    <t>11358856</t>
  </si>
  <si>
    <t>Substituição de Retificador (Carregador de Baterias) 125 Vcc - SACC125-RET2, da SE Atlântida 2.</t>
  </si>
  <si>
    <t>0006249/2024</t>
  </si>
  <si>
    <t>Substituição de Retificador (Carregador de Baterias) 125 Vcc - SACC125-RET1, da SE Biguaçu.</t>
  </si>
  <si>
    <t>0006251/2024</t>
  </si>
  <si>
    <t>Substituição de Retificador (Carregador de Baterias) 125 Vcc - SACC125-RET2, da SE Biguaçu.</t>
  </si>
  <si>
    <t>0006253/2024</t>
  </si>
  <si>
    <t>Substituição de bateria - 48 Vcc - SACC48-BAT2 na SE Blumenau.</t>
  </si>
  <si>
    <t>0006257/2024</t>
  </si>
  <si>
    <t>Substituição de Retificador (Carregador de Baterias) 125 Vcc - SACC125-RET11 (setor de 138 kV), da SE Campos Novos.</t>
  </si>
  <si>
    <t>0006261/2024</t>
  </si>
  <si>
    <t>RET11 - 125 VCC</t>
  </si>
  <si>
    <t>Substituição de Retificador (Carregador de Baterias) 125 Vcc - SACC125-RET12 (setor de 138 kV), da SE Campos Novos.</t>
  </si>
  <si>
    <t>0006264/2024</t>
  </si>
  <si>
    <t>RET12 - 125 VCC</t>
  </si>
  <si>
    <t>Substituição de Retificador (Carregador de Baterias) 48 Vcc - SACC48-RET1, da SE Caxias.</t>
  </si>
  <si>
    <t>0006271/2024</t>
  </si>
  <si>
    <t>Substituição de bateria - 125 Vcc - SACC125-BAT2 na SE Caxias 6.</t>
  </si>
  <si>
    <t>0006274/2024</t>
  </si>
  <si>
    <t>Substituição de bateria - 48 Vcc - SACC48-BAT2 na SE Caxias 6.</t>
  </si>
  <si>
    <t>0006277/2024</t>
  </si>
  <si>
    <t>Substituição de bateria - 125 Vcc - SACC125-BAT52 (setor de 525 kV) na SE Curitiba.</t>
  </si>
  <si>
    <t>0006282/2024</t>
  </si>
  <si>
    <t>BAT52 - 125 VCC</t>
  </si>
  <si>
    <t>Substituição de Retificador (Carregador de Baterias) 125 Vcc - SACC125-RET1, da SE Foz do Chapecó.</t>
  </si>
  <si>
    <t>0006284/2024</t>
  </si>
  <si>
    <t>Substituição de Retificador (Carregador de Baterias) 125 Vcc - SACC125-RET2, da SE Foz do Chapecó.</t>
  </si>
  <si>
    <t>0006287/2024</t>
  </si>
  <si>
    <t>Substituição de Retificador (Carregador de Baterias) 48 Vcc - SACC48-RET1, da SE Foz do Chapecó.</t>
  </si>
  <si>
    <t>0006291/2024</t>
  </si>
  <si>
    <t>GARIBALDI 1</t>
  </si>
  <si>
    <t>Substituição de bateria - 125 Vcc - SACC125-BAT1 na SE Garibaldi 1 (vinculada a LT 230 kV Garibaldi 1 - Vinhedos).</t>
  </si>
  <si>
    <t>LT 230 kV GARIBALDI 1 / VINHEDOS C 1 RS</t>
  </si>
  <si>
    <t>0006295/2024</t>
  </si>
  <si>
    <t>Substituição de bateria - 125 Vcc - SACC125-BAT2 na SE Garibaldi 1 (vinculada a LT 230 kV Garibaldi 1 - Vinhedos).</t>
  </si>
  <si>
    <t>0006298/2024</t>
  </si>
  <si>
    <t>Substituição de bateria - 48 Vcc - SACC48-BAT1 na SE Garibaldi 1 (vinculada a LT 230 kV Garibaldi 1 - Vinhedos).</t>
  </si>
  <si>
    <t>0006301/2024</t>
  </si>
  <si>
    <t>Substituição do SPCS do Disjuntor de Interligação de Barras 15D3, na subestação CAMACARI II, composto por: 01 painel, 01 unidade de controle, 02 falhas de disjuntor (principal e alternada), cabos de controle e infraestrutura de comunicação associados.</t>
  </si>
  <si>
    <t>0006321/2024</t>
  </si>
  <si>
    <t>11367713</t>
  </si>
  <si>
    <t>Substituição do SPCS do Disjuntor de Interligação de Barras 15D4, na subestação CAMACARI II, composto por: 01 painel, 01 unidade de controle, 02 falhas de disjuntor (principal e alternada), cabos de controle e infraestrutura de comunicação associados.</t>
  </si>
  <si>
    <t>0006323/2024</t>
  </si>
  <si>
    <t>11352983</t>
  </si>
  <si>
    <t>Substituição do SPCS associado ao vão da Entrada de Linha 04M7 (LT 230 kV CAMACARI II /MATATU C-1), na subestação MATATU, composto por: 02 painéis, 02 proteções (principal e alternada), 01 unidade de controle, 02 falhas de disjuntor (principal e alternada), cabos de controle e infraestrutura de comunicação associados.</t>
  </si>
  <si>
    <t>0006325/2024</t>
  </si>
  <si>
    <t>11367358</t>
  </si>
  <si>
    <t>Substituição do SPCS associado ao vão da Entrada de Linha 04M9 (LT 230 kV CAMACARI II /PITUACU C-1), na subestação PITUACU, composto por: 02 painéis, 02 proteções (principal e alternada), 01 unidade de controle, 02 falhas de disjuntor (principal e alternada), cabos de controle e infraestrutura de comunicação associados.</t>
  </si>
  <si>
    <t>0006326/2024</t>
  </si>
  <si>
    <t>11367360</t>
  </si>
  <si>
    <t>Substituição do SPCS associado ao vão da Entrada de Linha 05L4 (LT 500 kV OLINDINA /CAMACARI II C-1), na subestação OLINDINA, composto por: 02 painéis, 02 proteções (principal e alternada), 01 unidade de controle, 02 falhas de disjuntor (principal e alternada), cabos de controle e infraestrutura de comunicação associados.</t>
  </si>
  <si>
    <t>0006328/2024</t>
  </si>
  <si>
    <t>11361695</t>
  </si>
  <si>
    <t>Substituição do SPCS associado ao vão da Entrada de Linha 05L5 (LT 500 kV OLINDINA /CAMACARI II C-2), na subestação OLINDINA, composto por: 02 painéis, 02 proteções (principal e alternada), 01 unidade de controle, 02 falhas de disjuntor (principal e alternada), cabos de controle e infraestrutura de comunicação associados.</t>
  </si>
  <si>
    <t>0006330/2024</t>
  </si>
  <si>
    <t>11361698</t>
  </si>
  <si>
    <t>Substituição do Sistema de Registro de Perturbação na Entrada de Linha 03C3, na subestação ACU II, composto por: 01 Oscilógrafo.</t>
  </si>
  <si>
    <t>EL 138 kV ACU II DIST3 (13C3)</t>
  </si>
  <si>
    <t>0006331/2024</t>
  </si>
  <si>
    <t>11446240</t>
  </si>
  <si>
    <t>Substituição do SPCS associado ao vão da Entrada de Linha 05L6 (LT 500 kV CAMACARI VI /CAMACARI II C-1), na subestação CAMACARI IV, composto por: 02 painéis, 02 proteções (principal e alternada), 01 unidade de controle, 02 falhas de disjuntor (principal e alternada), cabos de controle e infraestrutura de comunicação associados.</t>
  </si>
  <si>
    <t>0006332/2024</t>
  </si>
  <si>
    <t>11366151</t>
  </si>
  <si>
    <t>Substituição do Sistema de Registro de Perturbação na Entrada de Linha 05L5, na subestação ANGELIM II, composto por: 01 Oscilógrafo.</t>
  </si>
  <si>
    <t>0006333/2024</t>
  </si>
  <si>
    <t>11446210</t>
  </si>
  <si>
    <t>Substituição do Sistema de Registro de Perturbação na Entrada de Linha 05L6, na subestação ANGELIM II, composto por: 01 Oscilógrafo.</t>
  </si>
  <si>
    <t>0006334/2024</t>
  </si>
  <si>
    <t>11446211</t>
  </si>
  <si>
    <t>Substituição do Sistema de Registro de Perturbação na Entrada de Linha 05L3, na subestação ANGELIM II, composto por: 01 Oscilógrafo.</t>
  </si>
  <si>
    <t>0006335/2024</t>
  </si>
  <si>
    <t>11446215</t>
  </si>
  <si>
    <t>Substituição do Sistema de Registro de Perturbação na Entrada de Linha 04S1, na subestação ANGELIM, composto por: 01 Oscilógrafo.</t>
  </si>
  <si>
    <t>0006336/2024</t>
  </si>
  <si>
    <t>11449220</t>
  </si>
  <si>
    <t>Substituição de bateria - 48 Vcc - SACC48-BAT2 na SE Garibaldi 1 (vinculada a LT 230 kV Garibaldi 1 - Vinhedos).</t>
  </si>
  <si>
    <t>0006337/2024</t>
  </si>
  <si>
    <t>Substituição do Sistema de Registro de Perturbação na Entrada de Linha 05C6, na subestação B. ESPERANCA, composto por: 01 Oscilógrafo.</t>
  </si>
  <si>
    <t>LT 500 kV S.JOAO PIAUI /B. ESPERANCA C-1 PI</t>
  </si>
  <si>
    <t>0006338/2024</t>
  </si>
  <si>
    <t>11446281</t>
  </si>
  <si>
    <t>GUARITA</t>
  </si>
  <si>
    <t>Substituição de Retificador (Carregador de Baterias) 125 Vcc - SACC125-RET1, da SE Guarita.</t>
  </si>
  <si>
    <t>MG GUARITA / CCO-2011-002 - RB</t>
  </si>
  <si>
    <t>0006341/2024</t>
  </si>
  <si>
    <t>Substituição do Sistema de Registro de Perturbação na Entrada de Linha 05C7, na subestação B. ESPERANCA, composto por: 01 Oscilógrafo.</t>
  </si>
  <si>
    <t>0006342/2024</t>
  </si>
  <si>
    <t>11446282</t>
  </si>
  <si>
    <t>Substituição de Retificador (Carregador de Baterias) 125 Vcc - SACC125-RET2, da SE Guarita.</t>
  </si>
  <si>
    <t>0006344/2024</t>
  </si>
  <si>
    <t>Substituição do Sistema de Registro de Perturbação na Entrada de Linha 04C1, na subestação BONGI, composto por: 01 Oscilógrafo.</t>
  </si>
  <si>
    <t>0006345/2024</t>
  </si>
  <si>
    <t>11446221</t>
  </si>
  <si>
    <t>Substituição de Retificador (Carregador de Baterias) 48 Vcc - SACC48-RET1, da SE Guarita.</t>
  </si>
  <si>
    <t>0006348/2024</t>
  </si>
  <si>
    <t>Substituição do Sistema de Registro de Perturbação na Entrada de Linha 04V4, na subestação BONGI, composto por: 01 Oscilógrafo.</t>
  </si>
  <si>
    <t>0006349/2024</t>
  </si>
  <si>
    <t>11449247</t>
  </si>
  <si>
    <t>Substituição de bateria - 125 Vcc - SACC125-BAT2 na SE Itá.</t>
  </si>
  <si>
    <t>0006350/2024</t>
  </si>
  <si>
    <t>Substituição do Sistema de Registro de Perturbação na Entrada de Linha 04V5, na subestação BONGI, composto por: 01 Oscilógrafo.</t>
  </si>
  <si>
    <t>0006351/2024</t>
  </si>
  <si>
    <t>11449245</t>
  </si>
  <si>
    <t>Substituição de bateria - 48 Vcc - SACC48-BAT2 na SE Itá.</t>
  </si>
  <si>
    <t>0006353/2024</t>
  </si>
  <si>
    <t>Substituição do Sistema de Registro de Perturbação na Entrada de Linha 04V6, na subestação BONGI, composto por: 01 Oscilógrafo.</t>
  </si>
  <si>
    <t>0006354/2024</t>
  </si>
  <si>
    <t>11449246</t>
  </si>
  <si>
    <t>Substituição de bateria - 48 Vcc - SACC48-BAT2 na SE Itajaí.</t>
  </si>
  <si>
    <t>0006355/2024</t>
  </si>
  <si>
    <t>Substituição do Sistema de Registro de Perturbação na Entrada de Linha 02L1, na subestação ELISEU MARTIN, composto por: 01 Oscilógrafo.</t>
  </si>
  <si>
    <t>EL 69 kV ELISEU MARTIN BERTOLINEA-02L1 (12L1)</t>
  </si>
  <si>
    <t>0006357/2024</t>
  </si>
  <si>
    <t>11449307</t>
  </si>
  <si>
    <t>Substituição de bateria - 125 Vcc - SACC125-BAT2 na SE J.Lacerda-B.</t>
  </si>
  <si>
    <t>0006358/2024</t>
  </si>
  <si>
    <t>Substituição do Sistema de Registro de Perturbação na Entrada de Linha 02L2, na subestação ELISEU MARTIN, composto por: 01 Oscilógrafo.</t>
  </si>
  <si>
    <t>EL 69 kV ELISEU MARTIN BOM JESUS-02L2 (12L2)</t>
  </si>
  <si>
    <t>0006359/2024</t>
  </si>
  <si>
    <t>11449306</t>
  </si>
  <si>
    <t>Substituição de bateria - 48 Vcc - SACC48-BAT2 na SE J.Lacerda-B.</t>
  </si>
  <si>
    <t>0006360/2024</t>
  </si>
  <si>
    <t>Substituição do Sistema de Registro de Perturbação na Entrada de Linha 04M2, na subestação ELISEU MARTIN, composto por: 01 Oscilógrafo.</t>
  </si>
  <si>
    <t>LT 230 kV S.JOAO PIAUI /ELISEU MARTIN C-1 PI</t>
  </si>
  <si>
    <t>0006362/2024</t>
  </si>
  <si>
    <t>11449305</t>
  </si>
  <si>
    <t>Substituição de Retificador (Carregador de Baterias) 125 Vcc - SACC125-RET1, da SE J.Lacerda-B.</t>
  </si>
  <si>
    <t>0006363/2024</t>
  </si>
  <si>
    <t>Substituição do Sistema de Registro de Perturbação na Entrada de Linha 03V1, na subestação EUNAPOLIS, composto por: 01 Oscilógrafo.</t>
  </si>
  <si>
    <t>LT 138 kV EUNAPOLIS DIST1 (13V1)</t>
  </si>
  <si>
    <t>0006364/2024</t>
  </si>
  <si>
    <t>11446335</t>
  </si>
  <si>
    <t>Substituição de Retificador (Carregador de Baterias) 125 Vcc - SACC125-RET2, da SE J.Lacerda-B.</t>
  </si>
  <si>
    <t>0006366/2024</t>
  </si>
  <si>
    <t>Substituição do Sistema de Registro de Perturbação na Entrada de Linha 03J1, na subestação FUNIL, composto por: 01 Oscilógrafo.</t>
  </si>
  <si>
    <t>EL 138 kV FUNIL DIST1 (13J1)</t>
  </si>
  <si>
    <t>0006367/2024</t>
  </si>
  <si>
    <t>11446329</t>
  </si>
  <si>
    <t>Substituição de Retificador (Carregador de Baterias) 125 Vcc - SACC125-RET1, da SE Joinville Norte.</t>
  </si>
  <si>
    <t>0006368/2024</t>
  </si>
  <si>
    <t>Substituição do Sistema de Registro de Perturbação na Entrada de Linha 03J2, na subestação FUNIL, composto por: 01 Oscilógrafo.</t>
  </si>
  <si>
    <t>EL 138 kV FUNIL DIST2 (13J2)</t>
  </si>
  <si>
    <t>0006369/2024</t>
  </si>
  <si>
    <t>11446322</t>
  </si>
  <si>
    <t>Substituição de Retificador (Carregador de Baterias) 125 Vcc - SACC125-RET2, da SE Joinville Norte.</t>
  </si>
  <si>
    <t>0006370/2024</t>
  </si>
  <si>
    <t>Substituição de 01 (um) disjuntor 13,8 KV, posição operacional 11K1-a da subestação BJS</t>
  </si>
  <si>
    <t>CS 30/-15 MVAr B.JESUS LAPA CS1 BA</t>
  </si>
  <si>
    <t>0006371/2024</t>
  </si>
  <si>
    <t>11K1-A</t>
  </si>
  <si>
    <t>Substituição do Sistema de Registro de Perturbação na Entrada de Linha 04F2, na subestação FUNIL, composto por: 01 Oscilógrafo.</t>
  </si>
  <si>
    <t>0006372/2024</t>
  </si>
  <si>
    <t>11446321</t>
  </si>
  <si>
    <t>LIVRAMENTO 2</t>
  </si>
  <si>
    <t>Substituição de Retificador (Carregador de Baterias) 125 Vcc - SACC125-RET1, da SE Livramento 2 (vinculada a LT 230 kV Livramento 2 - Rivera).</t>
  </si>
  <si>
    <t>LT 230 kV LIVRAMENTO 2 / RIVERA C-1 RS</t>
  </si>
  <si>
    <t>0006374/2024</t>
  </si>
  <si>
    <t>Substituição do Sistema de Registro de Perturbação na Entrada de Linha 04C3, na subestação ITABAIANA, composto por: 01 Oscilógrafo.</t>
  </si>
  <si>
    <t>0009020/2024</t>
  </si>
  <si>
    <t>11449339</t>
  </si>
  <si>
    <t>Substituição de 01 (um) disjuntor 13,8 KV, posição operacional 11K1-b da subestação BJS</t>
  </si>
  <si>
    <t>0006377/2024</t>
  </si>
  <si>
    <t>11K1-B</t>
  </si>
  <si>
    <t>Substituição de Retificador (Carregador de Baterias) 125 Vcc - SACC125-RET2, da SE Livramento 2  (vinculada a LT 230 kV Livramento 2 - Rivera).</t>
  </si>
  <si>
    <t>0006378/2024</t>
  </si>
  <si>
    <t>Substituição do Sistema de Registro de Perturbação na Entrada de Linha 04C3, na subestação ITABAIANINHA, composto por: 01 Oscilógrafo.</t>
  </si>
  <si>
    <t>0006379/2024</t>
  </si>
  <si>
    <t>11446323</t>
  </si>
  <si>
    <t>Substituição de 01 (um) disjuntor de 230 KV, posição operacional 14S1 da Subestação PRI</t>
  </si>
  <si>
    <t>LT 230 kV TERESINA /PIRIPIRI C-1 PI</t>
  </si>
  <si>
    <t>0006380/2024</t>
  </si>
  <si>
    <t>14S1</t>
  </si>
  <si>
    <t>Substituição do Sistema de Registro de Perturbação na Entrada de Linha 04N3, na subestação JACARACANGA, composto por: 01 Oscilógrafo.</t>
  </si>
  <si>
    <t>EL 230 kV JACARACANGA LT 230 kV JACARACANGA /DOW QUIMICA C-1 BA (14N3)</t>
  </si>
  <si>
    <t>0006381/2024</t>
  </si>
  <si>
    <t>11449336</t>
  </si>
  <si>
    <t>Substituição de 01 (um) disjuntor de 230 KV, posição operacional 14D1 da Subestação SJI</t>
  </si>
  <si>
    <t>0006382/2024</t>
  </si>
  <si>
    <t>Substituição do Sistema de Registro de Perturbação na Entrada de Linha 04N4, na subestação JACARACANGA, composto por: 01 Oscilógrafo.</t>
  </si>
  <si>
    <t>EL 230 kV JACARACANGA LT 230 kV JACARACANGA /DOW QUIMICA C-2 BA (14N4)</t>
  </si>
  <si>
    <t>0006383/2024</t>
  </si>
  <si>
    <t>11449337</t>
  </si>
  <si>
    <t>Substituição de 01 (um) disjuntor de 230 KV, posição operacional 14L1 da Subestação TSA</t>
  </si>
  <si>
    <t>0006384/2024</t>
  </si>
  <si>
    <t>14L1</t>
  </si>
  <si>
    <t>Substituição do Sistema de Registro de Perturbação na Entrada de Linha 04V4, na subestação JOAIRAM, composto por: 01 Oscilógrafo.</t>
  </si>
  <si>
    <t>0006482/2024</t>
  </si>
  <si>
    <t>11449242</t>
  </si>
  <si>
    <t>MISSOES</t>
  </si>
  <si>
    <t>Substituição de bateria - 48 Vcc - SACC48-BAT1 na SE Missões.</t>
  </si>
  <si>
    <t>MG MISSOES / CCO-2009-005 - RB</t>
  </si>
  <si>
    <t>0006385/2024</t>
  </si>
  <si>
    <t>Substituição de 01 (um) disjuntor de 230 KV, posição operacional 14T3 da Subestação TSA</t>
  </si>
  <si>
    <t>0006386/2024</t>
  </si>
  <si>
    <t>Substituição do Sistema de Registro de Perturbação na Entrada de Linha 04V5, na subestação JOAIRAM, composto por: 01 Oscilógrafo.</t>
  </si>
  <si>
    <t>0006387/2024</t>
  </si>
  <si>
    <t>11449243</t>
  </si>
  <si>
    <t>Substituição de bateria - 48 Vcc - SACC48-BAT2 na SE Missões.</t>
  </si>
  <si>
    <t>0006388/2024</t>
  </si>
  <si>
    <t>Substituição do Sistema de Registro de Perturbação na Entrada de Linha 04V6, na subestação JOAIRAM, composto por: 01 Oscilógrafo.</t>
  </si>
  <si>
    <t>0006389/2024</t>
  </si>
  <si>
    <t>11449244</t>
  </si>
  <si>
    <t>Substituição de 01 (um) disjuntor de 230 KV, posição operacional 14F2 da Subestação FTZ</t>
  </si>
  <si>
    <t>0006390/2024</t>
  </si>
  <si>
    <t>14F2</t>
  </si>
  <si>
    <t>Substituição de Retificador (Carregador de Baterias) 125 Vcc - SACC125-RET1, da SE Missões.</t>
  </si>
  <si>
    <t>0006391/2024</t>
  </si>
  <si>
    <t>Substituição do Sistema de Registro de Perturbação na Entrada de Linha 04S1, na subestação JUAZEIRO II, composto por: 01 Oscilógrafo.</t>
  </si>
  <si>
    <t>0006392/2024</t>
  </si>
  <si>
    <t>11446191</t>
  </si>
  <si>
    <t>Substituição de Retificador (Carregador de Baterias) 125 Vcc - SACC125-RET2, da SE Missões.</t>
  </si>
  <si>
    <t>0006393/2024</t>
  </si>
  <si>
    <t>Substituição de 01 (um) disjuntor de 230 KV, posição operacional 14C1 da Subestação RSD</t>
  </si>
  <si>
    <t>0006395/2024</t>
  </si>
  <si>
    <t>14C1</t>
  </si>
  <si>
    <t>Substituição do Sistema de Registro de Perturbação na Entrada de Linha 05C5, na subestação US. L.GONZAGA, composto por: 01 Oscilógrafo.</t>
  </si>
  <si>
    <t>0006396/2024</t>
  </si>
  <si>
    <t>11446303</t>
  </si>
  <si>
    <t>Substituição de bateria - 125 Vcc - SACC125-BAT2 na SE Nova Petrópolis 2.</t>
  </si>
  <si>
    <t>0006397/2024</t>
  </si>
  <si>
    <t>Substituição de 01 (um) disjuntor de 230 KV, posição operacional 14T3 da Subestação RSD</t>
  </si>
  <si>
    <t>0006398/2024</t>
  </si>
  <si>
    <t>Substituição do Sistema de Registro de Perturbação na Entrada de Linha 05Z1, na subestação US. L.GONZAGA, composto por: 01 Oscilógrafo.</t>
  </si>
  <si>
    <t>0006400/2024</t>
  </si>
  <si>
    <t>11446304</t>
  </si>
  <si>
    <t>Substituição de bateria - 48 Vcc - SACC48-BAT2 na SE Nova Petrópolis 2.</t>
  </si>
  <si>
    <t>0006401/2024</t>
  </si>
  <si>
    <t>Substituição de 01 (um) disjuntor de 230 KV, posição operacional 14L3 da Subestação GNN</t>
  </si>
  <si>
    <t>0006402/2024</t>
  </si>
  <si>
    <t>14L3</t>
  </si>
  <si>
    <t>Substituição do Sistema de Registro de Perturbação na Entrada de Linha 05S4, na subestação US. L.GONZAGA, composto por: 01 Oscilógrafo.</t>
  </si>
  <si>
    <t>0006403/2024</t>
  </si>
  <si>
    <t>11446299</t>
  </si>
  <si>
    <t>Substituição de Retificador (Carregador de Baterias) 48 Vcc - SACC48-RET2, da SE Nova Santa Rita.</t>
  </si>
  <si>
    <t>0006404/2024</t>
  </si>
  <si>
    <t>Substituição de 01 (um) disjuntor de 230 KV, posição operacional 14D1 da Subestação MRR</t>
  </si>
  <si>
    <t>0006408/2024</t>
  </si>
  <si>
    <t>Substituição do Sistema de Registro de Perturbação na Entrada de Linha 05V1, na subestação US. L.GONZAGA, composto por: 01 Oscilógrafo.</t>
  </si>
  <si>
    <t>0006409/2024</t>
  </si>
  <si>
    <t>11446300</t>
  </si>
  <si>
    <t>Substituição de Retificador (Carregador de Baterias) 48 Vcc - SACC48-RET1, da SE Nova Santa Rita.</t>
  </si>
  <si>
    <t>0006410/2024</t>
  </si>
  <si>
    <t>Substituição do Grupo Moto Gerador 480 VCA - SACA480-MG1. Associado à obra, são esperadas substituições/adaptações de fundações e suportes, caixa de junção, cabos de controle/potência, barramento, conectores e conexão de aterramento.</t>
  </si>
  <si>
    <t>0006411/2024</t>
  </si>
  <si>
    <t>Substituição do Sistema de Registro de Perturbação na Entrada de Linha 04L1, na subestação MILAGRES, composto por: 01 Oscilógrafo.</t>
  </si>
  <si>
    <t>0006414/2024</t>
  </si>
  <si>
    <t>11449279</t>
  </si>
  <si>
    <t>Substituição do Sistema de Registro de Perturbação na Entrada de Linha 04L3, na subestação MILAGRES, composto por: 01 Oscilógrafo.</t>
  </si>
  <si>
    <t>0006416/2024</t>
  </si>
  <si>
    <t>11449272</t>
  </si>
  <si>
    <t>Substituição de 01 (um) disjuntor de 69 kV, posição operacional 12V2, da Subestação de RCD.</t>
  </si>
  <si>
    <t>0008414/2024</t>
  </si>
  <si>
    <t>11341781</t>
  </si>
  <si>
    <t>Substituição do Sistema de Registro de Perturbação na Entrada de Linha 04M3, na subestação MILAGRES, composto por: 01 Oscilógrafo.</t>
  </si>
  <si>
    <t>0006418/2024</t>
  </si>
  <si>
    <t>11449261</t>
  </si>
  <si>
    <t>Substituição do Sistema de Registro de Perturbação na Entrada de Linha 05V1, na subestação MILAGRES, composto por: 01 Oscilógrafo.</t>
  </si>
  <si>
    <t>0006419/2024</t>
  </si>
  <si>
    <t>11446265</t>
  </si>
  <si>
    <t>Substituição do Sistema de Registro de Perturbação na Entrada de Linha 05V2, na subestação MESSIAS, composto por: 01 Oscilógrafo.</t>
  </si>
  <si>
    <t>0006421/2024</t>
  </si>
  <si>
    <t>11446208</t>
  </si>
  <si>
    <t>Substituição do Sistema de Registro de Perturbação na Entrada de Linha 05V4, na subestação MESSIAS, composto por: 01 Oscilógrafo.</t>
  </si>
  <si>
    <t>0006422/2024</t>
  </si>
  <si>
    <t>11446209</t>
  </si>
  <si>
    <t>Substituição do Sistema de Registro de Perturbação na Entrada de Linha 04S3, na subestação MESSIAS, composto por: 01 Oscilógrafo.</t>
  </si>
  <si>
    <t>0006425/2024</t>
  </si>
  <si>
    <t>11446214</t>
  </si>
  <si>
    <t>Substituição do Sistema de Registro de Perturbação na Entrada de Linha 04F2, na subestação P.AFONSO III, composto por: 01 Oscilógrafo.</t>
  </si>
  <si>
    <t>0006428/2024</t>
  </si>
  <si>
    <t>11449311</t>
  </si>
  <si>
    <t>Substituição de 01 (um) TC de 230 kV, posição operacional, 94M1.B da subestação de RIB.</t>
  </si>
  <si>
    <t>0006429/2024</t>
  </si>
  <si>
    <t>94M1.B</t>
  </si>
  <si>
    <t>Substituição do Sistema de Registro de Perturbação na Entrada de Linha 04F3, na subestação P.AFONSO III, composto por: 01 Oscilógrafo.</t>
  </si>
  <si>
    <t>0006430/2024</t>
  </si>
  <si>
    <t>11449312</t>
  </si>
  <si>
    <t>Substituição do Sistema de Registro de Perturbação na Entrada de Linha 04G13, na subestação P.AFONSO III, composto por: 01 Oscilógrafo.</t>
  </si>
  <si>
    <t>EL 230 kV P.AFONSO III LT 230 kV P.AFONSO III /USINA PA-III C-4 AL/BA (14G13)</t>
  </si>
  <si>
    <t>0006433/2024</t>
  </si>
  <si>
    <t>11449322</t>
  </si>
  <si>
    <t>Substituição do Sistema de Registro de Perturbação na Entrada de Linha 04J1, na subestação P.AFONSO III, composto por: 01 Oscilógrafo.</t>
  </si>
  <si>
    <t>EL 230 kV P.AFONSO III LT 230 kV P.AFONSO III /USINA PA-I C-2 AL/BA (14J1)</t>
  </si>
  <si>
    <t>0006487/2024</t>
  </si>
  <si>
    <t>11449320</t>
  </si>
  <si>
    <t>Substituição de 01 (um) TC 13,8kV posição operacional 91H2 da Subestação ACD.</t>
  </si>
  <si>
    <t>BC 13,8 kV 3,1 MVAr ACU II BC2 RN</t>
  </si>
  <si>
    <t>0006436/2024</t>
  </si>
  <si>
    <t>91H2.N</t>
  </si>
  <si>
    <t>Substituição do Sistema de Registro de Perturbação na Entrada de Linha 04J2, na subestação P.AFONSO III, composto por: 01 Oscilógrafo.</t>
  </si>
  <si>
    <t>0006489/2024</t>
  </si>
  <si>
    <t>11449325</t>
  </si>
  <si>
    <t>Substituição do Sistema de Registro de Perturbação na Entrada de Linha 04L2, na subestação P.AFONSO III, composto por: 01 Oscilógrafo.</t>
  </si>
  <si>
    <t>LT 230 kV P.AFONSO III /GARANHUNS II C-2 AL/PE</t>
  </si>
  <si>
    <t>0006438/2024</t>
  </si>
  <si>
    <t>11449314</t>
  </si>
  <si>
    <t>Substituição de 01 (um) TC 13,8kV posição operacional 91T424 fase A da Subestação ACD.</t>
  </si>
  <si>
    <t>0006439/2024</t>
  </si>
  <si>
    <t>91T424.A</t>
  </si>
  <si>
    <t>Substituição do Sistema de Registro de Perturbação na Entrada de Linha 04L3, na subestação P.AFONSO III, composto por: 01 Oscilógrafo.</t>
  </si>
  <si>
    <t>0006440/2024</t>
  </si>
  <si>
    <t>11449315</t>
  </si>
  <si>
    <t>Substituição de 01 (um) TC 13,8kV posição operacional 91T425 fase B da Subestação ACD.</t>
  </si>
  <si>
    <t>0006441/2024</t>
  </si>
  <si>
    <t>91T425.B</t>
  </si>
  <si>
    <t>Substituição do Sistema de Registro de Perturbação na Entrada de Linha 04L4, na subestação P.AFONSO III, composto por: 01 Oscilógrafo.</t>
  </si>
  <si>
    <t>0006443/2024</t>
  </si>
  <si>
    <t>11449316</t>
  </si>
  <si>
    <t>Substituição de 01 (um) TC 13,8kV posição operacional 91T426 fase C da Subestação ACD.</t>
  </si>
  <si>
    <t>0006444/2024</t>
  </si>
  <si>
    <t>91T426.C</t>
  </si>
  <si>
    <t>Substituição do Sistema de Registro de Perturbação na Entrada de Linha 04S2, na subestação P.AFONSO III, composto por: 01 Oscilógrafo.</t>
  </si>
  <si>
    <t>0006445/2024</t>
  </si>
  <si>
    <t>11449317</t>
  </si>
  <si>
    <t>Substituição de 01 (um) TC 13,8kV posição operacional 91T524 fase A da Subestação ACD.</t>
  </si>
  <si>
    <t>0006447/2024</t>
  </si>
  <si>
    <t>91T524.C</t>
  </si>
  <si>
    <t>Substituição do Sistema de Registro de Perturbação na Entrada de Linha 04S3, na subestação P.AFONSO III, composto por: 01 Oscilógrafo.</t>
  </si>
  <si>
    <t>0006448/2024</t>
  </si>
  <si>
    <t>11449318</t>
  </si>
  <si>
    <t>Substituição de 01 (um) TC 13,8kV posição operacional 91T525 fase B da Subestação ACD.</t>
  </si>
  <si>
    <t>0006449/2024</t>
  </si>
  <si>
    <t>91T525.A</t>
  </si>
  <si>
    <t>Substituição do Sistema de Registro de Perturbação na Entrada de Linha 05L6, na subestação P. AFONSO IV, composto por: 01 Oscilógrafo.</t>
  </si>
  <si>
    <t>0006451/2024</t>
  </si>
  <si>
    <t>11446297</t>
  </si>
  <si>
    <t>Substituição de 01 (um) TC 13,8kV posição operacional 91T526 fase C da Subestação ACD.</t>
  </si>
  <si>
    <t>0006452/2024</t>
  </si>
  <si>
    <t>91T526.B</t>
  </si>
  <si>
    <t>Substituição do Sistema de Registro de Perturbação na Entrada de Linha 05V6, na subestação P. AFONSO IV, composto por: 01 Oscilógrafo.</t>
  </si>
  <si>
    <t>0006453/2024</t>
  </si>
  <si>
    <t>11446301</t>
  </si>
  <si>
    <t>Substituição do Sistema de Registro de Perturbação na Entrada de Linha 04M3, na subestação PICOS, composto por: 01 Oscilógrafo.</t>
  </si>
  <si>
    <t>0006455/2024</t>
  </si>
  <si>
    <t>11446402</t>
  </si>
  <si>
    <t>Substituição de 01 (um) TC 69kV, posição operacional 92J6-1.A da Subestação de ITB</t>
  </si>
  <si>
    <t>EL 69 kV ITABAIANA DIST5 (12J6)</t>
  </si>
  <si>
    <t>0006456/2024</t>
  </si>
  <si>
    <t>92J6-1.A</t>
  </si>
  <si>
    <t>Substituição do Sistema de Registro de Perturbação na Entrada de Linha 04S1, na subestação PIRAPAMA II, composto por: 01 Oscilógrafo.</t>
  </si>
  <si>
    <t>0006457/2024</t>
  </si>
  <si>
    <t>11449223</t>
  </si>
  <si>
    <t>Substituição de 01 (um) TC 69kV, posição operacional 92J6-1.B da Subestação de ITB</t>
  </si>
  <si>
    <t>0006458/2024</t>
  </si>
  <si>
    <t>92J6-1.B</t>
  </si>
  <si>
    <t>Substituição do Sistema de Registro de Perturbação na Entrada de Linha 03C1, na subestação PIRIPIRI, composto por: 01 Oscilógrafo.</t>
  </si>
  <si>
    <t>EL 138 kV PIRIPIRI TABULEIRO-03C1 (13C1)</t>
  </si>
  <si>
    <t>0006460/2024</t>
  </si>
  <si>
    <t>11446279</t>
  </si>
  <si>
    <t>Substituição de 01 (um) TC 69kV, posição operacional 92J6-2.C da Subestação de ITB</t>
  </si>
  <si>
    <t>0006461/2024</t>
  </si>
  <si>
    <t>92J6-1.C</t>
  </si>
  <si>
    <t>Substituição do Sistema de Registro de Perturbação na Entrada de Linha 04S2, na subestação RIO LARGO II, composto por: 01 Oscilógrafo.</t>
  </si>
  <si>
    <t>EL 230 kV RIO LARGO II LT 230 kV RIO LARGO II /BRASKEM C-1 AL (14S2)</t>
  </si>
  <si>
    <t>0006462/2024</t>
  </si>
  <si>
    <t>11449205</t>
  </si>
  <si>
    <t>Substituição do Sistema de Registro de Perturbação na Entrada de Linha 04S3, na subestação RIO LARGO II, composto por: 01 Oscilógrafo.</t>
  </si>
  <si>
    <t>0006464/2024</t>
  </si>
  <si>
    <t>11449206</t>
  </si>
  <si>
    <t>Substituição do Sistema de Registro de Perturbação na Entrada de Linha 04S4, na subestação RIO LARGO II, composto por: 01 Oscilógrafo.</t>
  </si>
  <si>
    <t>0006466/2024</t>
  </si>
  <si>
    <t>11449207</t>
  </si>
  <si>
    <t>Substituição do Sistema de Registro de Perturbação na Entrada de Linha 04S5, na subestação RIO LARGO II, composto por: 01 Oscilógrafo.</t>
  </si>
  <si>
    <t>0006467/2024</t>
  </si>
  <si>
    <t>11449208</t>
  </si>
  <si>
    <t>Substituição do Sistema de Registro de Perturbação na Entrada de Linha 04L2, na subestação SOBRAL II, composto por: 01 Oscilógrafo.</t>
  </si>
  <si>
    <t>LT 230 kV SOBRAL II /SOBRAL III C-1 CE</t>
  </si>
  <si>
    <t>0006468/2024</t>
  </si>
  <si>
    <t>11449283</t>
  </si>
  <si>
    <t>Substituição do Sistema de Registro de Perturbação na Entrada de Linha 04L3, na subestação SOBRAL II, composto por: 01 Oscilógrafo.</t>
  </si>
  <si>
    <t>LT 230 kV SOBRAL II /SOBRAL III C-2 CE</t>
  </si>
  <si>
    <t>0006469/2024</t>
  </si>
  <si>
    <t>11449284</t>
  </si>
  <si>
    <t>Substituição do Sistema de Registro de Perturbação na Entrada de Linha 04L2, na subestação SOBRAL III, composto por: 01 Oscilógrafo.</t>
  </si>
  <si>
    <t>0006470/2024</t>
  </si>
  <si>
    <t>11449289</t>
  </si>
  <si>
    <t>Substituição de 01 (um) disjuntor de 230 KV, posição operacional 14D1 da Subestação JCD</t>
  </si>
  <si>
    <t>0006471/2024</t>
  </si>
  <si>
    <t>Substituição do Sistema de Registro de Perturbação na Entrada de Linha 04L3, na subestação SOBRAL III, composto por: 01 Oscilógrafo.</t>
  </si>
  <si>
    <t>0006472/2024</t>
  </si>
  <si>
    <t>11449290</t>
  </si>
  <si>
    <t>Substituição do Sistema de Registro de Perturbação na Entrada de Linha 04M1, na subestação S.JOAO PIAUI, composto por: 01 Oscilógrafo.</t>
  </si>
  <si>
    <t>0006473/2024</t>
  </si>
  <si>
    <t>11446280</t>
  </si>
  <si>
    <t>Substituição do Sistema de Registro de Perturbação na Entrada de Linha 05C5, na subestação S.JOAO PIAUI, composto por: 01 Oscilógrafo.</t>
  </si>
  <si>
    <t>0006474/2024</t>
  </si>
  <si>
    <t>11446284</t>
  </si>
  <si>
    <t>Substituição do Sistema de Registro de Perturbação na Entrada de Linha 05C6, na subestação S.JOAO PIAUI, composto por: 01 Oscilógrafo.</t>
  </si>
  <si>
    <t>0006476/2024</t>
  </si>
  <si>
    <t>11446285</t>
  </si>
  <si>
    <t>Substituição de 01 (um) TC de 230 kV, posição operacional, 94M1.A da subestação de RIB.</t>
  </si>
  <si>
    <t>0006477/2024</t>
  </si>
  <si>
    <t>94M1.A</t>
  </si>
  <si>
    <t>Substituição do Sistema de Registro de Perturbação na Entrada de Linha 05C3, na subestação U.SOBRADINHO, composto por: 01 Oscilógrafo.</t>
  </si>
  <si>
    <t>LT 500 kV JUAZEIRO III /U.SOBRADINHO C-1 BA</t>
  </si>
  <si>
    <t>0006478/2024</t>
  </si>
  <si>
    <t>11446195</t>
  </si>
  <si>
    <t>Substituição do Sistema de Registro de Perturbação na Entrada de Linha 05C5, na subestação U.SOBRADINHO, composto por: 01 Oscilógrafo.</t>
  </si>
  <si>
    <t>0006480/2024</t>
  </si>
  <si>
    <t>11446197</t>
  </si>
  <si>
    <t>Substituição do Sistema de Registro de Perturbação na Entrada de Linha 04F2, na subestação STO.A.JESUS, composto por: 01 Oscilógrafo.</t>
  </si>
  <si>
    <t>0006481/2024</t>
  </si>
  <si>
    <t>11449328</t>
  </si>
  <si>
    <t>Substituição de 01 (um) TC de 230 kV, posição operacional, 94M1.C da subestação de RIB.</t>
  </si>
  <si>
    <t>0006493/2024</t>
  </si>
  <si>
    <t>94M1.C</t>
  </si>
  <si>
    <t>ZEBU 138_69</t>
  </si>
  <si>
    <t>Substituição do Sistema de Registro de Perturbação na Entrada de Linha 02V3, na subestação ZEBU*, composto por: 01 Oscilógrafo.</t>
  </si>
  <si>
    <t>EL 69 kV ZEBU LT 69 kV ZEBU /ITAPARICA C-1 BA/PE (12V3)</t>
  </si>
  <si>
    <t>0006483/2024</t>
  </si>
  <si>
    <t>11446306</t>
  </si>
  <si>
    <t>Substituição de 01 (um) TC 13,8kV posição operacional 91H1-2 da Subestação ACD.</t>
  </si>
  <si>
    <t>BC 13,8 kV 3,1 MVAr ACU II BC1 RN</t>
  </si>
  <si>
    <t>0006484/2024</t>
  </si>
  <si>
    <t>91H1-2.N</t>
  </si>
  <si>
    <t>Substituição do Sistema de Registro de Perturbação associado ao vão de Entrada de Linha  04C8 (LT 230 kV BANABUIU /AQUIRAZ II C-1), na subestação BANABUIU, composto por: 01 Oscilógrafo e infraestrutura de comunicação associada.</t>
  </si>
  <si>
    <t>0006485/2024</t>
  </si>
  <si>
    <t>11449294</t>
  </si>
  <si>
    <t>Substituição do Sistema de Registro de Perturbação na Entrada de Linha 04L4, na subestação ACU II, composto por: 01 Oscilógrafo.</t>
  </si>
  <si>
    <t>LT 230 kV PARAISO /ACU II C-2 RN</t>
  </si>
  <si>
    <t>0006486/2024</t>
  </si>
  <si>
    <t>11446384</t>
  </si>
  <si>
    <t>Substituição do Sistema de Registro de Perturbação na Entrada de Linha 04L1, na subestação B. ESPERANCA, composto por: 01 Oscilógrafo.</t>
  </si>
  <si>
    <t>0006488/2024</t>
  </si>
  <si>
    <t>11446292</t>
  </si>
  <si>
    <t>Substituição do Sistema de Registro de Perturbação na Entrada de Linha 03C2, na subestação BARREIRAS, composto por: 01 Oscilógrafo.</t>
  </si>
  <si>
    <t>EL 138 kV BARREIRAS DIST2 (13C2)</t>
  </si>
  <si>
    <t>0006490/2024</t>
  </si>
  <si>
    <t>11446346</t>
  </si>
  <si>
    <t>Substituição do Sistema de Registro de Perturbação na Entrada de Linha 03P1, na subestação FUNIL, composto por: 01 Oscilógrafo.</t>
  </si>
  <si>
    <t>EL 138 kV FUNIL DIST6 (13P1)</t>
  </si>
  <si>
    <t>0006491/2024</t>
  </si>
  <si>
    <t>11446417</t>
  </si>
  <si>
    <t>Substituição de 01 (um) Painel de serviço auxiliar posição operacional AUX-DC da subestação PAQ.</t>
  </si>
  <si>
    <t>0006492/2024</t>
  </si>
  <si>
    <t>11420279</t>
  </si>
  <si>
    <t>Substituição do Sistema de Registro de Perturbação na Entrada de Linha 04N2, na subestação NATAL II, composto por: 01 Oscilógrafo.</t>
  </si>
  <si>
    <t>0006494/2024</t>
  </si>
  <si>
    <t>11449260</t>
  </si>
  <si>
    <t>Substituição de 01 (um) Painel de serviço auxiliar posição operacional AUX-AC da subestação PAQ.</t>
  </si>
  <si>
    <t>0006497/2024</t>
  </si>
  <si>
    <t>11420280</t>
  </si>
  <si>
    <t>Substituição de 01 (um) Painel de serviço auxiliar posição operacional QFR1 da subestação PAQ.</t>
  </si>
  <si>
    <t>0006498/2024</t>
  </si>
  <si>
    <t>12587113</t>
  </si>
  <si>
    <t>Substituição de 01 (um) Painel de serviço auxiliar posição operacional QFR2 da subestação PAQ.</t>
  </si>
  <si>
    <t>0006500/2024</t>
  </si>
  <si>
    <t>12587114</t>
  </si>
  <si>
    <t>Substituição de 01 (um) Painel de serviço auxiliar posição operacional QFR3 da subestação PAQ.</t>
  </si>
  <si>
    <t>0006502/2024</t>
  </si>
  <si>
    <t>12587115</t>
  </si>
  <si>
    <t>Substituição de 01 (um) Painel de serviço auxiliar posição operacional QCC1 da subestação PAQ.</t>
  </si>
  <si>
    <t>0006503/2024</t>
  </si>
  <si>
    <t>12587116</t>
  </si>
  <si>
    <t>Substituição do Sistema de Registro de Perturbação na Entrada de Linha 04N1, na subestação NATAL II, composto por: 01 Oscilógrafo.</t>
  </si>
  <si>
    <t>0007248/2024</t>
  </si>
  <si>
    <t>11446242</t>
  </si>
  <si>
    <t>Substituição de 01 (um) Painel de serviço auxiliar posição operacional QCC2 da subestação PAQ.</t>
  </si>
  <si>
    <t>0006506/2024</t>
  </si>
  <si>
    <t>12587117</t>
  </si>
  <si>
    <t>Substituição do Sistema de Registro de Perturbação na Entrada de Linha 04N3, na subestação NATAL II, composto por: 01 Oscilógrafo.</t>
  </si>
  <si>
    <t>0006507/2024</t>
  </si>
  <si>
    <t>11446376</t>
  </si>
  <si>
    <t>Substituição de 01 (um) Painel de serviço auxiliar posição operacional QCC3 da subestação PAQ.</t>
  </si>
  <si>
    <t>0006509/2024</t>
  </si>
  <si>
    <t>12587118</t>
  </si>
  <si>
    <t>Substituição do Sistema de Registro de Perturbação na Entrada de Linha 04N4, na subestação NATAL II, composto por: 01 Oscilógrafo.</t>
  </si>
  <si>
    <t>0007260/2024</t>
  </si>
  <si>
    <t>11446387</t>
  </si>
  <si>
    <t>Substituição de 01 (um) Painel de serviço auxiliar posição operacional AUX-DC da subestação SOB.</t>
  </si>
  <si>
    <t>0006510/2024</t>
  </si>
  <si>
    <t>11420111</t>
  </si>
  <si>
    <t>Substituição do Sistema de Registro de Perturbação na Entrada de Linha 05S4, na subestação OLINDINA, composto por: 01 Oscilógrafo.</t>
  </si>
  <si>
    <t>0006512/2024</t>
  </si>
  <si>
    <t>11446316</t>
  </si>
  <si>
    <t>Substituição de 01 (um) Painel de serviço auxiliar posição operacional AUX-AC da subestação SOB.</t>
  </si>
  <si>
    <t>0006513/2024</t>
  </si>
  <si>
    <t>11420112</t>
  </si>
  <si>
    <t>Substituição do Sistema de Registro de Perturbação na Entrada de Linha 04G11, na subestação P.AFONSO III, composto por: 01 Oscilógrafo.</t>
  </si>
  <si>
    <t>EL 230 kV P.AFONSO III LT 230 kV P.AFONSO III /USINA PA-III C-2 AL/BA (14G11)</t>
  </si>
  <si>
    <t>0006514/2024</t>
  </si>
  <si>
    <t>11449326</t>
  </si>
  <si>
    <t>Substituição de 01 (um) Painel de serviço auxiliar posição operacional AUX-DC da subestação AGD.</t>
  </si>
  <si>
    <t>0006515/2024</t>
  </si>
  <si>
    <t>11420155</t>
  </si>
  <si>
    <t>Substituição do Sistema de Registro de Perturbação na Entrada de Linha 04J3, na subestação P.AFONSO III, composto por: 01 Oscilógrafo.</t>
  </si>
  <si>
    <t>EL 230 kV P.AFONSO III LT 230 kV P.AFONSO III /USINA PA-II C-3 AL/BA (14J3)</t>
  </si>
  <si>
    <t>0007263/2024</t>
  </si>
  <si>
    <t>11449323</t>
  </si>
  <si>
    <t>Substituição de 01 (um) Painel de serviço auxiliar posição operacional AUX-AC da subestação AGD.</t>
  </si>
  <si>
    <t>0006517/2024</t>
  </si>
  <si>
    <t>11420156</t>
  </si>
  <si>
    <t>PILOES II</t>
  </si>
  <si>
    <t>Substituição do Sistema de Registro de Perturbação na Entrada de Linha 03L2, na subestação PILOES, composto por: 01 Oscilógrafo.</t>
  </si>
  <si>
    <t>EL 138 kV PILOES LT 138 kV C.GRANDE II /PILOES C-1 PB (13L2)</t>
  </si>
  <si>
    <t>0006518/2024</t>
  </si>
  <si>
    <t>11449581</t>
  </si>
  <si>
    <t>Substituição de 01 (um) Painel de serviço auxiliar posição operacional AUX-DC da subestação RCD.</t>
  </si>
  <si>
    <t>0006520/2024</t>
  </si>
  <si>
    <t>11420193</t>
  </si>
  <si>
    <t>Substituição do Sistema de Registro de Perturbação na Entrada de Linha 03M3, na subestação PILOES, composto por: 01 Oscilógrafo.</t>
  </si>
  <si>
    <t>EL 138 kV PILOES LT 138 kV PILOES /PARAISO C-1 PB/RN (13M3)</t>
  </si>
  <si>
    <t>0006521/2024</t>
  </si>
  <si>
    <t>11449582</t>
  </si>
  <si>
    <t>Substituição de 01 (um) Painel de serviço auxiliar posição operacional AUX-AC da subestação RCD.</t>
  </si>
  <si>
    <t>0006522/2024</t>
  </si>
  <si>
    <t>11420194</t>
  </si>
  <si>
    <t>Substituição do Sistema de Registro de Perturbação na Entrada de Linha 04N1, na subestação PARAISO, composto por: 01 Oscilógrafo.</t>
  </si>
  <si>
    <t>0006524/2024</t>
  </si>
  <si>
    <t>11446374</t>
  </si>
  <si>
    <t>Substituição de 01 (um) Painel de serviço auxiliar posição operacional AUX-DC da subestação MLG.</t>
  </si>
  <si>
    <t>0006525/2024</t>
  </si>
  <si>
    <t>11420207</t>
  </si>
  <si>
    <t>Substituição do Sistema de Registro de Perturbação na Entrada de Linha 04L4, na subestação PARAISO, composto por: 01 Oscilógrafo.</t>
  </si>
  <si>
    <t>0006526/2024</t>
  </si>
  <si>
    <t>11446375</t>
  </si>
  <si>
    <t>Substituição de 01 (um) Painel de serviço auxiliar posição operacional AUX-AC da subestação MLG.</t>
  </si>
  <si>
    <t>0006527/2024</t>
  </si>
  <si>
    <t>11420208</t>
  </si>
  <si>
    <t>Substituição do Sistema de Registro de Perturbação na Entrada de Linha 04M2, na subestação S.JOAO PIAUI, composto por: 01 Oscilógrafo.</t>
  </si>
  <si>
    <t>0006529/2024</t>
  </si>
  <si>
    <t>11449304</t>
  </si>
  <si>
    <t>Substituição de 01 (um) Painel de serviço auxiliar posição operacional AUX-DC da subestação SJI.</t>
  </si>
  <si>
    <t>0006530/2024</t>
  </si>
  <si>
    <t>11420257</t>
  </si>
  <si>
    <t>Substituição do Sistema de Registro de Perturbação na Entrada de Linha 03S1, na subestação SR.BONFIM II, composto por: 01 Oscilógrafo.</t>
  </si>
  <si>
    <t>EL 138 kV SR.BONFIM II JACOBINA (13S1)</t>
  </si>
  <si>
    <t>0006531/2024</t>
  </si>
  <si>
    <t>11446344</t>
  </si>
  <si>
    <t>Substituição de 01 (um) Painel de serviço auxiliar posição operacional AUX-AC da subestação SJI.</t>
  </si>
  <si>
    <t>0006532/2024</t>
  </si>
  <si>
    <t>11420258</t>
  </si>
  <si>
    <t>Substituição do Sistema de Registro de Perturbação na Entrada de Linha 04M3, na subestação TAUA II, composto por: 01 Oscilógrafo.</t>
  </si>
  <si>
    <t>0006534/2024</t>
  </si>
  <si>
    <t>11446397</t>
  </si>
  <si>
    <t>Substituição de 01 (um) Painel de serviço auxiliar posição operacional AUX-DC da subestação LGZ.</t>
  </si>
  <si>
    <t>MG US. L.GONZAGA / CCO-2001-061 - RB</t>
  </si>
  <si>
    <t>0006535/2024</t>
  </si>
  <si>
    <t>11420289</t>
  </si>
  <si>
    <t>Substituição do Sistema de Registro de Perturbação na Entrada de Linha 04M4, na subestação TAUA II, composto por: 01 Oscilógrafo.</t>
  </si>
  <si>
    <t>0006536/2024</t>
  </si>
  <si>
    <t>11446270</t>
  </si>
  <si>
    <t>Substituição de 01 (um) Painel de serviço auxiliar posição operacional AUX-AC da subestação LGZ.</t>
  </si>
  <si>
    <t>0006537/2024</t>
  </si>
  <si>
    <t>11420290</t>
  </si>
  <si>
    <t>Substituição de 01 (um) Painel de serviço auxiliar posição operacional AUX-DC da subestação OLD.</t>
  </si>
  <si>
    <t>0006538/2024</t>
  </si>
  <si>
    <t>11420311</t>
  </si>
  <si>
    <t>Substituição de 01 (um) Painel de serviço auxiliar posição operacional AUX-AC da subestação OLD.</t>
  </si>
  <si>
    <t>0006539/2024</t>
  </si>
  <si>
    <t>11420312</t>
  </si>
  <si>
    <t>Substituição de 01 (um) Painel de serviço auxiliar posição operacional AUX-DC da subestação CMD.</t>
  </si>
  <si>
    <t>0006541/2024</t>
  </si>
  <si>
    <t>11420336</t>
  </si>
  <si>
    <t>Substituição de 01 (um) Painel de serviço auxiliar posição operacional AUX-AC da subestação CMD.</t>
  </si>
  <si>
    <t>0006542/2024</t>
  </si>
  <si>
    <t>11420337</t>
  </si>
  <si>
    <t>Substituição de 01 (um) Retificador de serviço auxiliar posição operacional 400R2 da subestação RCD.</t>
  </si>
  <si>
    <t>0006544/2024</t>
  </si>
  <si>
    <t>11455504</t>
  </si>
  <si>
    <t>Substituição de 01 (um) Retificador de serviço auxiliar posição operacional 400R5 440 Vac 125 Vcc da subestação RCD.</t>
  </si>
  <si>
    <t>0006545/2024</t>
  </si>
  <si>
    <t>11455507</t>
  </si>
  <si>
    <t>11,9</t>
  </si>
  <si>
    <t>Substituição do Sistema de Registro de Perturbação na IB 11D1, na subestação MATATU, composto por: 01 Oscilógrafo.</t>
  </si>
  <si>
    <t>IB 11,9 kV MG 230 kV MATATU MG1 BA IB1 (11D1)</t>
  </si>
  <si>
    <t>0006547/2024</t>
  </si>
  <si>
    <t>11446444</t>
  </si>
  <si>
    <t>Substituição de 01 (um) Retificador de serviço auxiliar posição operacional 400R6 440 Vac 125 Vcc da subestação RCD.</t>
  </si>
  <si>
    <t>0006548/2024</t>
  </si>
  <si>
    <t>11455508</t>
  </si>
  <si>
    <t>Substituição de 01 (um) Retificador de serviço auxiliar posição operacional 400RR1 440 Vac 125 Vcc da subestação RCD.</t>
  </si>
  <si>
    <t>0006550/2024</t>
  </si>
  <si>
    <t>11455509</t>
  </si>
  <si>
    <t>Substituição de 01 (um) Retificador de serviço auxiliar posição operacional 400R1 440 Vac 125 Vcc da subestação OLD.</t>
  </si>
  <si>
    <t>0006551/2024</t>
  </si>
  <si>
    <t>11455680</t>
  </si>
  <si>
    <t>Substituição de 01 (um) Retificador de serviço auxiliar posição operacional 400R2 440 Vac 125 Vcc da subestação OLD.</t>
  </si>
  <si>
    <t>0006553/2024</t>
  </si>
  <si>
    <t>11455681</t>
  </si>
  <si>
    <t>Substituição de 01 (um) Retificador de serviço auxiliar posição operacional 400R5 440 Vac 125 Vcc da subestação CMD.</t>
  </si>
  <si>
    <t>0006554/2024</t>
  </si>
  <si>
    <t>11455714</t>
  </si>
  <si>
    <t>Substituição de Multiplexador Rádio na U. A. SALES, composto por: 01 Multiplexador.</t>
  </si>
  <si>
    <t>0006555/2024</t>
  </si>
  <si>
    <t>11371535</t>
  </si>
  <si>
    <t>Substituição de 01 (um) Retificador de serviço auxiliar posição operacional 400R6 440 Vac 125 Vcc da subestação CMD.</t>
  </si>
  <si>
    <t>0006557/2024</t>
  </si>
  <si>
    <t>11455715</t>
  </si>
  <si>
    <t>US.COREMAS</t>
  </si>
  <si>
    <t>Substituição de Remota ECIL, na USINA PCH CUREMAS, composto por: 01 UTR.</t>
  </si>
  <si>
    <t>MDL GERACAO EQUIVALENTE A MG EM PCH CUREMAS (UCR)</t>
  </si>
  <si>
    <t>0006558/2024</t>
  </si>
  <si>
    <t>11451401</t>
  </si>
  <si>
    <t>Substituição de 01 (um) Retificador de serviço auxiliar posição operacional 400R1 440 Vac 125 Vcc da subestação CMD.</t>
  </si>
  <si>
    <t>0006559/2024</t>
  </si>
  <si>
    <t>11455719</t>
  </si>
  <si>
    <t>USINA BOA ESPERANCA*</t>
  </si>
  <si>
    <t>Substituição de 01 (uma) Seccionadora 230 kV, posição operacional 34T1-8 da Usina UBE</t>
  </si>
  <si>
    <t>MDL GERACAO EQUIVALENTE A MG EM USINA BOA ESPERANCA (UBE)</t>
  </si>
  <si>
    <t>0006561/2024</t>
  </si>
  <si>
    <t>Substituição de 01 (um) Retificador de serviço auxiliar posição operacional 400R2 440 Vac 125 Vcc da subestação CMD.</t>
  </si>
  <si>
    <t>0006562/2024</t>
  </si>
  <si>
    <t>11455720</t>
  </si>
  <si>
    <t>Substituição de 01 (uma) Seccionadora 230 kV, posição operacional 34T2-8 da Usina UBE</t>
  </si>
  <si>
    <t>0006563/2024</t>
  </si>
  <si>
    <t>Substituição de 01 (um) Retificador de serviço auxiliar posição operacional 400R1 440 Vac 125 Vcc da subestação AGD.</t>
  </si>
  <si>
    <t>0006564/2024</t>
  </si>
  <si>
    <t>11455838</t>
  </si>
  <si>
    <t>Substituição de 01 (uma) Seccionadora 230 kV posição operacional 34T3-8 da Usina UBE</t>
  </si>
  <si>
    <t>0006566/2024</t>
  </si>
  <si>
    <t>Substituição de 01 (um) Retificador de serviço auxiliar posição operacional 400R2 440 Vac 125 Vcc da subestação AGD.</t>
  </si>
  <si>
    <t>0006567/2024</t>
  </si>
  <si>
    <t>11455839</t>
  </si>
  <si>
    <t>Substituição de 01 (uma) Seccionadora 230 kV posição operacional 34T4-8 da Usina UBE</t>
  </si>
  <si>
    <t>0006569/2024</t>
  </si>
  <si>
    <t>Substituição de 01 (um) Painel de serviço auxiliar posição operacional QFR1 da subestação OLD.</t>
  </si>
  <si>
    <t>0006570/2024</t>
  </si>
  <si>
    <t>12587119</t>
  </si>
  <si>
    <t>P. AFONSO II</t>
  </si>
  <si>
    <t>Substituição de 01 (um) PR 138 kV  posição operacional 73T2.A da Usina USD</t>
  </si>
  <si>
    <t>MDL GERACAO EQUIVALENTE A MG EM USINA PA-II (USD)</t>
  </si>
  <si>
    <t>0006571/2024</t>
  </si>
  <si>
    <t>Substituição de 01 (um) Painel de serviço auxiliar posição operacional QCC1 da subestação OLD.</t>
  </si>
  <si>
    <t>0006572/2024</t>
  </si>
  <si>
    <t>12587120</t>
  </si>
  <si>
    <t>Substituição de 01 (um) PR 138 kV  posição operacional 73T2.B da Usina USD</t>
  </si>
  <si>
    <t>0006574/2024</t>
  </si>
  <si>
    <t>Substituição de 01 (um) Painel de serviço auxiliar posição operacional QFR1 da subestação CMD.</t>
  </si>
  <si>
    <t>0006575/2024</t>
  </si>
  <si>
    <t>12587123</t>
  </si>
  <si>
    <t>Substituição de 01 (um) PR 138 kV  posição operacional 73T2.C da Usina USD</t>
  </si>
  <si>
    <t>0006576/2024</t>
  </si>
  <si>
    <t>Substituição de 01 (um) Painel de serviço auxiliar posição operacional QFR2 da subestação CMD.</t>
  </si>
  <si>
    <t>0006577/2024</t>
  </si>
  <si>
    <t>12587124</t>
  </si>
  <si>
    <t>Substituição de 01 (um) PR 138 kV  posição operacional 73T4.A da Usina USD</t>
  </si>
  <si>
    <t>0006578/2024</t>
  </si>
  <si>
    <t>Substituição de 01 (um) Painel de serviço auxiliar posição operacional QFR3 da subestação CMD.</t>
  </si>
  <si>
    <t>0006579/2024</t>
  </si>
  <si>
    <t>12587125</t>
  </si>
  <si>
    <t>Substituição de 01 (um) PR 138 kV  posição operacional 73T4.B da Usina USD</t>
  </si>
  <si>
    <t>0006580/2024</t>
  </si>
  <si>
    <t>Substituição de 01 (um) Painel de serviço auxiliar posição operacional QCC1 da subestação CMD.</t>
  </si>
  <si>
    <t>0006581/2024</t>
  </si>
  <si>
    <t>12587126</t>
  </si>
  <si>
    <t>Substituição de 01 (um) PR 138 kV  posição operacional 73T4.C da Usina USD</t>
  </si>
  <si>
    <t>0006582/2024</t>
  </si>
  <si>
    <t>Substituição de 01 (um) Painel de serviço auxiliar posição operacional QCC2 da subestação CMD.</t>
  </si>
  <si>
    <t>0006583/2024</t>
  </si>
  <si>
    <t>12587127</t>
  </si>
  <si>
    <t>Substituição de 01 (um) Painel de serviço auxiliar posição operacional QCC3 da subestação CMD.</t>
  </si>
  <si>
    <t>0006586/2024</t>
  </si>
  <si>
    <t>12587128</t>
  </si>
  <si>
    <t>Substituição de 01 (um) Painel de serviço auxiliar posição operacional QA1CS da subestação CMD.</t>
  </si>
  <si>
    <t>0006588/2024</t>
  </si>
  <si>
    <t>12587134</t>
  </si>
  <si>
    <t>Substituição de 01 (um) Painel de serviço auxiliar posição operacional QA2CS da subestação CMD.</t>
  </si>
  <si>
    <t>0006590/2024</t>
  </si>
  <si>
    <t>12587135</t>
  </si>
  <si>
    <t>Substituição de 01 (um) Painel de serviço auxiliar posição operacional QDA11 da subestação LGZ.</t>
  </si>
  <si>
    <t>0006592/2024</t>
  </si>
  <si>
    <t>12587136</t>
  </si>
  <si>
    <t>Substituição de 01 (um) Painel de serviço auxiliar posição operacional QDA21 da subestação LGZ.</t>
  </si>
  <si>
    <t>0006594/2024</t>
  </si>
  <si>
    <t>12587137</t>
  </si>
  <si>
    <t>Substituição de 01 (um) Painel de serviço auxiliar posição operacional QDA31 da subestação LGZ.</t>
  </si>
  <si>
    <t>0006596/2024</t>
  </si>
  <si>
    <t>12587138</t>
  </si>
  <si>
    <t>Substituição de 01 (um) Painel de serviço auxiliar posição operacional QDB11 da subestação LGZ.</t>
  </si>
  <si>
    <t>0006598/2024</t>
  </si>
  <si>
    <t>12587139</t>
  </si>
  <si>
    <t>Substituição de 01 (um) Painel de serviço auxiliar posição operacional QDB21 da subestação LGZ.</t>
  </si>
  <si>
    <t>0006600/2024</t>
  </si>
  <si>
    <t>12587140</t>
  </si>
  <si>
    <t>Substituição de 01 (um) Painel de serviço auxiliar posição operacional QDB31 da subestação LGZ.</t>
  </si>
  <si>
    <t>0006602/2024</t>
  </si>
  <si>
    <t>12587141</t>
  </si>
  <si>
    <t>Substituição de 01 (um) Painel de serviço auxiliar posição operacional QFR1 da subestação RCD.</t>
  </si>
  <si>
    <t>0006603/2024</t>
  </si>
  <si>
    <t>12587142</t>
  </si>
  <si>
    <t>Substituição de 01 (um) Painel de serviço auxiliar posição operacional QFR2 da subestação RCD.</t>
  </si>
  <si>
    <t>0006604/2024</t>
  </si>
  <si>
    <t>12587143</t>
  </si>
  <si>
    <t>Substituição de 01 (um) Painel de serviço auxiliar posição operacional QCC1 da subestação RCD.</t>
  </si>
  <si>
    <t>0006605/2024</t>
  </si>
  <si>
    <t>12587144</t>
  </si>
  <si>
    <t>Substituição de 01 (um) Painel de serviço auxiliar posição operacional QCC2 da subestação RCD.</t>
  </si>
  <si>
    <t>0006606/2024</t>
  </si>
  <si>
    <t>12587145</t>
  </si>
  <si>
    <t>Substituição de 01 (um) Painel de serviço auxiliar posição operacional QA3 da subestação RCD.</t>
  </si>
  <si>
    <t>0006607/2024</t>
  </si>
  <si>
    <t>12587146</t>
  </si>
  <si>
    <t>Substituição de 01 (um) Painel de serviço auxiliar posição operacional QA4 da subestação RCD.</t>
  </si>
  <si>
    <t>0006608/2024</t>
  </si>
  <si>
    <t>12587147</t>
  </si>
  <si>
    <t>Substituição de 01 (um) Painel de serviço auxiliar posição operacional QFG da subestação SOB.</t>
  </si>
  <si>
    <t>0006609/2024</t>
  </si>
  <si>
    <t>12587152</t>
  </si>
  <si>
    <t>LT 230 kV GARANHUNS II /ANGELIM PE</t>
  </si>
  <si>
    <t>Substituição de 6 esferas de sinalização em 2 vão(s) da LT 230 kV GARANHUNS II /ANGELIM C-2 PE-04N2 (001/2;010/2).</t>
  </si>
  <si>
    <t>0006610/2024</t>
  </si>
  <si>
    <t>d-sgrdsagl-04n2-esfe-1</t>
  </si>
  <si>
    <t>Substituição de 01 (um) Painel de serviço auxiliar posição operacional SU7 da subestação SOB.</t>
  </si>
  <si>
    <t>0006612/2024</t>
  </si>
  <si>
    <t>12587153</t>
  </si>
  <si>
    <t>Substituição de 6 esferas de sinalização em 2 vão(s) da LT 230 kV GARANHUNS II /ANGELIM C-3 PE-04N4 (001/2;010/3).</t>
  </si>
  <si>
    <t>LT 230 kV GARANHUNS II /ANGELIM C-3 PE</t>
  </si>
  <si>
    <t>0006613/2024</t>
  </si>
  <si>
    <t>d-sgrdsagl-04n4-esfe-1</t>
  </si>
  <si>
    <t>Substituição de 01 (um) Painel de serviço auxiliar posição operacional SUC1 da subestação SOB.</t>
  </si>
  <si>
    <t>0006614/2024</t>
  </si>
  <si>
    <t>12587154</t>
  </si>
  <si>
    <t>Substituição de 1 estrutura metálica autoportante 016/4 por outra com altura de 31,5 m e carregamento/esforço de 4372,7 DAN) e componentes e 04 fundações associadas da LT 230 kV ITABAIANA /JARDIM C-1 SE-04C1.</t>
  </si>
  <si>
    <t>0006615/2024</t>
  </si>
  <si>
    <t>11934806</t>
  </si>
  <si>
    <t>Substituição de 01 (um) Painel de serviço auxiliar posição operacional QDF2 da subestação SOB.</t>
  </si>
  <si>
    <t>0006617/2024</t>
  </si>
  <si>
    <t>12587155</t>
  </si>
  <si>
    <t>Substituição de 1 estrutura metálica autoportante 004/3 por outra com altura de 27 m e carregamento/esforço de 4185,6 DAN) e componentes e 04 fundações associadas da LT 230 kV ITABAIANINHA /CATU C-1 SE/BA-04L1.</t>
  </si>
  <si>
    <t>0006618/2024</t>
  </si>
  <si>
    <t>11937058</t>
  </si>
  <si>
    <t>Substituição de 01 (um) Painel de serviço auxiliar posição operacional QDF3 da subestação SOB.</t>
  </si>
  <si>
    <t>0006619/2024</t>
  </si>
  <si>
    <t>12587156</t>
  </si>
  <si>
    <t>Substituição de 1 estrutura metálica autoportante 004/4 por outra com altura de 25,5 m e carregamento/esforço de 4028,9 DAN) e componentes e 04 fundações associadas da LT 230 kV ITABAIANINHA /CATU C-1 SE/BA-04L1.</t>
  </si>
  <si>
    <t>0006621/2024</t>
  </si>
  <si>
    <t>11937078</t>
  </si>
  <si>
    <t>Substituição de 01 (um) Painel de serviço auxiliar posição operacional QDF4 da subestação SOB.</t>
  </si>
  <si>
    <t>0006622/2024</t>
  </si>
  <si>
    <t>12587157</t>
  </si>
  <si>
    <t>Substituição de 01 (um) Painel de serviço auxiliar posição operacional QDF5 da subestação SOB.</t>
  </si>
  <si>
    <t>0006623/2024</t>
  </si>
  <si>
    <t>12587158</t>
  </si>
  <si>
    <t>Substituição de 1 estrutura metálica autoportante 005/1 por outra com altura de 34,5 m e carregamento/esforço de 5471 DAN) e componentes e 04 fundações associadas da LT 230 kV ITABAIANINHA /CATU C-1 SE/BA-04L1.</t>
  </si>
  <si>
    <t>0006625/2024</t>
  </si>
  <si>
    <t>11937098</t>
  </si>
  <si>
    <t>Substituição de 01 (um) Painel de serviço auxiliar posição operacional QDCC11 da subestação SOB.</t>
  </si>
  <si>
    <t>0006626/2024</t>
  </si>
  <si>
    <t>12587159</t>
  </si>
  <si>
    <t>Substituição de 1 estrutura metálica autoportante 007/2 por outra com altura de 28,5 m e carregamento/esforço de 4391,6 DAN) e componentes e 04 fundações associadas da LT 230 kV ITABAIANINHA /CATU C-1 SE/BA-04L1.</t>
  </si>
  <si>
    <t>0006627/2024</t>
  </si>
  <si>
    <t>11937198</t>
  </si>
  <si>
    <t>Substituição de 01 (um) Painel de serviço auxiliar posição operacional QDCC12 da subestação SOB.</t>
  </si>
  <si>
    <t>0006629/2024</t>
  </si>
  <si>
    <t>12587160</t>
  </si>
  <si>
    <t>Substituição de 1 estrutura metálica autoportante 035/2 por outra com altura de 27 m e carregamento/esforço de 5744,9 DAN) e componentes e 04 fundações associadas da LT 230 kV ITABAIANINHA /CATU C-1 SE/BA-04L1.</t>
  </si>
  <si>
    <t>0006630/2024</t>
  </si>
  <si>
    <t>11938539</t>
  </si>
  <si>
    <t>Substituição de 01 (um) Painel de serviço auxiliar posição operacional QDCC13 da subestação SOB.</t>
  </si>
  <si>
    <t>0006631/2024</t>
  </si>
  <si>
    <t>12587161</t>
  </si>
  <si>
    <t>Substituição de 1 estrutura metálica autoportante 085/2 por outra com altura de 33 m e carregamento/esforço de 5554 DAN) e componentes e 04 fundações associadas da LT 230 kV RIO LARGO II /ARAPIRACA III C-1 AL-04F1.</t>
  </si>
  <si>
    <t>0006633/2024</t>
  </si>
  <si>
    <t>11574216</t>
  </si>
  <si>
    <t>Substituição de 01 (um) Painel de serviço auxiliar posição operacional QFR1 da subestação SJI.</t>
  </si>
  <si>
    <t>0006634/2024</t>
  </si>
  <si>
    <t>12587166</t>
  </si>
  <si>
    <t>Substituição de 1 estrutura metálica autoportante 087/2 por outra com altura de 31,5 m e carregamento/esforço de 5457,5 DAN) e componentes e 04 fundações associadas da LT 230 kV RIO LARGO II /ARAPIRACA III C-1 AL-04F1.</t>
  </si>
  <si>
    <t>0006635/2024</t>
  </si>
  <si>
    <t>11574166</t>
  </si>
  <si>
    <t>Substituição de 01 (um) Painel de serviço auxiliar posição operacional QFR2 da subestação SJI.</t>
  </si>
  <si>
    <t>0006636/2024</t>
  </si>
  <si>
    <t>12587167</t>
  </si>
  <si>
    <t>Substituição de 1 estrutura metálica autoportante 089/2 por outra com altura de 36 m e carregamento/esforço de 6046,7 DAN) e componentes e 04 fundações associadas da LT 230 kV RIO LARGO II /ARAPIRACA III C-1 AL-04F1.</t>
  </si>
  <si>
    <t>0006637/2024</t>
  </si>
  <si>
    <t>11574116</t>
  </si>
  <si>
    <t>Substituição de 01 (um) Painel de serviço auxiliar posição operacional QCC1 da subestação SJI.</t>
  </si>
  <si>
    <t>0006638/2024</t>
  </si>
  <si>
    <t>12587168</t>
  </si>
  <si>
    <t>Substituição de 01 (um) Painel de serviço auxiliar posição operacional QCC2 da subestação SJI.</t>
  </si>
  <si>
    <t>0006639/2024</t>
  </si>
  <si>
    <t>12587169</t>
  </si>
  <si>
    <t>Substituição de 01 (um) painel de automatismos e distribuição em corrente alternada da subestação JDM.</t>
  </si>
  <si>
    <t>0006640/2024</t>
  </si>
  <si>
    <t>11420314</t>
  </si>
  <si>
    <t>Substituição de 01 (um) painel de automatismos e distribuição em corrente Contínua da subestação JDM.</t>
  </si>
  <si>
    <t>0006642/2024</t>
  </si>
  <si>
    <t>11420313</t>
  </si>
  <si>
    <t>Substituição do SPCS associado ao vão da Entrada de Linha 01Y2 (LD 13,8 kV BANABUIU /COELCE), na subestação BANABUIU, composto por: 01 painel, 01 unidade de proteção e controle, cabos de controle e infraestrutura de comunicação associados.</t>
  </si>
  <si>
    <t>EL 13,8 kV BANABUIU DIST1 (21Y2)</t>
  </si>
  <si>
    <t>0006644/2024</t>
  </si>
  <si>
    <t>11363021</t>
  </si>
  <si>
    <t>Substituição do SPCS do Transform2dor de Aterramento 02A2, na subestação BANABUIU, composto por: 01 painel, 02 proteções (principal e alternada), 01 unidade de controle, cabos de controle e infraestrutura de comunicação associados.</t>
  </si>
  <si>
    <t>MC 69 kV TT 69/0 kV BANABUIU TT2 CE (32A2)</t>
  </si>
  <si>
    <t>0006646/2024</t>
  </si>
  <si>
    <t>12368746</t>
  </si>
  <si>
    <t>Substituição do SPCS do Transformador 01T6, na subestação IRECE, composto por: 01 painel, 01 unidade de proteção e controle, cabos de controle e infraestrutura de comunicação associados.</t>
  </si>
  <si>
    <t>0006647/2024</t>
  </si>
  <si>
    <t>11361274</t>
  </si>
  <si>
    <t>Substituição do SPCS associado ao disjuntor 11S1 (Serv. Auxiliares 13,8 kV), na subestação CAMACARI II, composto por: 01 painel, 01 unidade de proteção e controle, cabos de controle e infraestrutura de comunicação associados.</t>
  </si>
  <si>
    <t>0006649/2024</t>
  </si>
  <si>
    <t>11356751</t>
  </si>
  <si>
    <t>Substituição do SPCS associado ao vão da Entrada de Linha 02V1 (LT 69 kV RECIFE II /PIRAPAMA C-1), na subestação RECIFE II, composto por: 01 painel, 02 proteções (principal e alternada), 01 unidade de controle, cabos de controle e infraestrutura de comunicação associados.</t>
  </si>
  <si>
    <t>EL 69 kV RECIFE II PIRAPAMA C1 (12V1)</t>
  </si>
  <si>
    <t>0007482/2024</t>
  </si>
  <si>
    <t>11360343</t>
  </si>
  <si>
    <t>Substituição do SPCS do Reator de Linha manobrável 05E2, na subestação CAMACARI IV, composto por: 02 painéis, 02 proteções (principal e alternada), 01 unidade de controle, 02 falhas de disjuntor (principal e alternada), cabos de controle e infraestrutura de comunicação associados.</t>
  </si>
  <si>
    <t>RTL 500 kV 148 Mvar CAMACARI IV RT1 BA</t>
  </si>
  <si>
    <t>0006651/2024</t>
  </si>
  <si>
    <t>11367721</t>
  </si>
  <si>
    <t>Substituição do SPCS do Transformador de Aterramento 02A1, na subestação BANABUIU, composto por: 01 painel, 02 proteções (principal e alternada), 01 unidade de controle, cabos de controle e infraestrutura de comunicação associados.</t>
  </si>
  <si>
    <t>TT 69/13,8 kV BANABUIU TA1 CE</t>
  </si>
  <si>
    <t>0007486/2024</t>
  </si>
  <si>
    <t>12406167</t>
  </si>
  <si>
    <t>Substituição de 01 (um) PR 230kV,  posição operacional 74S1.B da Subestação BNO</t>
  </si>
  <si>
    <t>0006654/2024</t>
  </si>
  <si>
    <t>74S1.B</t>
  </si>
  <si>
    <t>Substituição de 01 (um) Disjuntor de 69 kV, posição operacional 12T3 da subestação MRD.</t>
  </si>
  <si>
    <t>0006655/2024</t>
  </si>
  <si>
    <t>12T3</t>
  </si>
  <si>
    <t>Substituição do SPCS associado ao vão da Entrada de Linha 02M6 (LT 69 kV GOIANINHA /AGROINDÚSTRIA), na subestação GOIANINHA, composto por: 01 painel, 02 proteções (principal e alternada), 01 unidade de controle, cabos de controle e infraestrutura de comunicação associados.</t>
  </si>
  <si>
    <t>EL 69 kV GOIANINHA DIST5 (12M6)</t>
  </si>
  <si>
    <t>0006657/2024</t>
  </si>
  <si>
    <t>11364103</t>
  </si>
  <si>
    <t>Substituição do SPCS associado ao vão da Entrada de Linha 02M7 (LT 69 kV GOIANINHA /GOIANA II), na subestação GOIANINHA, composto por: 01 painel, 02 proteções (principal e alternada), 01 unidade de controle, cabos de controle e infraestrutura de comunicação associados.</t>
  </si>
  <si>
    <t>EL 69 kV GOIANINHA DIST6 (12M7)</t>
  </si>
  <si>
    <t>0006658/2024</t>
  </si>
  <si>
    <t>11353345</t>
  </si>
  <si>
    <t>Substituição de 01 (um) disjuntor de 69 kV, posição operacional 12J2 da subestação de RSD.</t>
  </si>
  <si>
    <t>0006659/2024</t>
  </si>
  <si>
    <t>12J2</t>
  </si>
  <si>
    <t>Substituição do SPCS do Disjuntor de Interligação de Barras 12D1, na subestação GOIANINHA, composto por: 01 painel, 02 proteções (principal e alternada), 01 unidade de controle, cabos de controle e infraestrutura de comunicação associados.</t>
  </si>
  <si>
    <t>0006660/2024</t>
  </si>
  <si>
    <t>11358502</t>
  </si>
  <si>
    <t>Substituição de 01 (um) disjuntor de 69 kV, posição operacional 12J5 da subestação de RSD.</t>
  </si>
  <si>
    <t>0006661/2024</t>
  </si>
  <si>
    <t>12J5</t>
  </si>
  <si>
    <t>Substituição do SPCS do Reator de Barra 04E1, na subestação GOIANINHA, composto por: 02 painéis, 02 proteções (principal e alternada), 01 unidade de controle, 02 falhas de disjuntor (principal e alternada), cabos de controle e infraestrutura de comunicação associados.</t>
  </si>
  <si>
    <t>RTB 230 kV 10 MVAr GOIANINHA RT1 PE</t>
  </si>
  <si>
    <t>0006662/2024</t>
  </si>
  <si>
    <t>11362940</t>
  </si>
  <si>
    <t>Substituição de 01 (um) disjuntor de 69 kV, posição operacional 12L1 da subestação de PIC.</t>
  </si>
  <si>
    <t>EL 69 kV PICOS DIST1 (12L1)</t>
  </si>
  <si>
    <t>0006663/2024</t>
  </si>
  <si>
    <t>12L1</t>
  </si>
  <si>
    <t>Substituição do SPCS associado ao vão da Entrada de Linha 04C8 (LT 230 kV RECIFE II /GOIANINHA C-1), na subestação GOIANINHA, composto por: 02 painéis, 02 proteções (principal e alternada), 01 unidade de controle, 02 falhas de disjuntor (principal e alternada), cabos de controle e infraestrutura de comunicação associados.</t>
  </si>
  <si>
    <t>0006664/2024</t>
  </si>
  <si>
    <t>11353314</t>
  </si>
  <si>
    <t>Substituição de 01 (um) disjuntor de 69 kV, posição operacional 12L2 da subestação de PIC.</t>
  </si>
  <si>
    <t>EL 69 kV PICOS DIST2 (12L2)</t>
  </si>
  <si>
    <t>0006666/2024</t>
  </si>
  <si>
    <t>12L2</t>
  </si>
  <si>
    <t>Substituição do SPCS associado ao vão da Entrada de Linha 04C9 (LT 230 kV RECIFE II /GOIANINHA C-2), na subestação GOIANINHA, composto por: 02 painéis, 02 proteções (principal e alternada), 01 unidade de controle, 02 falhas de disjuntor (principal e alternada), cabos de controle e infraestrutura de comunicação associados.</t>
  </si>
  <si>
    <t>0006667/2024</t>
  </si>
  <si>
    <t>11353310</t>
  </si>
  <si>
    <t>Substituição de 01 (um) disjuntor de 69 kV, posição operacional 12J1 da subestação de TSA.</t>
  </si>
  <si>
    <t>0006668/2024</t>
  </si>
  <si>
    <t>Substituição do SPCS associado ao vão da Entrada de Linha 04L3 (LT 230 kV GOIANINHA /C.GRANDE II C-1), na subestação GOIANINHA, composto por: 02 painéis, 02 proteções (principal e alternada), 01 unidade de controle, 02 falhas de disjuntor (principal e alternada), cabos de controle e infraestrutura de comunicação associados.</t>
  </si>
  <si>
    <t>0006669/2024</t>
  </si>
  <si>
    <t>11353316</t>
  </si>
  <si>
    <t>Substituição de 01 (um) disjuntor de 69 kV, posição operacional 12J2 da subestação de FTZ.</t>
  </si>
  <si>
    <t>EL 69 kV FORTALEZA MESSEJANA 02J2 (12J2)</t>
  </si>
  <si>
    <t>0006671/2024</t>
  </si>
  <si>
    <t>Substituição do SPCS do Transformador 04T1, na subestação GOIANINHA, composto por: 02 painéis, 02 proteções (principal e alternada), 02 unidades de controle, 02 falhas de disjuntor (principal e alternada), cabos de controle e infraestrutura de comunicação associados.</t>
  </si>
  <si>
    <t>TR 230/69 kV GOIANINHA TR1 PE</t>
  </si>
  <si>
    <t>0006672/2024</t>
  </si>
  <si>
    <t>11359115</t>
  </si>
  <si>
    <t>Substituição do SPCS associado ao vão da Entrada de Linha 04C1 (LT 230 kV G.MANGABEIRA /SAPEACU C-1), na subestação G.MANGABEIRA, composto por: 02 painéis, 02 proteções (principal e alternada), 01 unidade de controle, 02 falhas de disjuntor (principal e alternada), cabos de controle e infraestrutura de comunicação associados.</t>
  </si>
  <si>
    <t>0006674/2024</t>
  </si>
  <si>
    <t>11366161</t>
  </si>
  <si>
    <t>Substituição do SPCS associado ao vão da Entrada de Linha 04C2 (LT 230 kV G.MANGABEIRA /SAPEACU C-2), na subestação G.MANGABEIRA, composto por: 02 painéis, 02 proteções (principal e alternada), 01 unidade de controle, 02 falhas de disjuntor (principal e alternada), cabos de controle e infraestrutura de comunicação associados.</t>
  </si>
  <si>
    <t>0006676/2024</t>
  </si>
  <si>
    <t>11365374</t>
  </si>
  <si>
    <t>Substituição de 01 (um) disjuntor de 69 kV, posição operacional 12J3 da subestação de FTZ.</t>
  </si>
  <si>
    <t>EL 69 kV FORTALEZA D. GOUVEIA 02J3 (12J3)</t>
  </si>
  <si>
    <t>0006677/2024</t>
  </si>
  <si>
    <t>12J3</t>
  </si>
  <si>
    <t>Substituição do SPCS associado ao vão da Entrada de Linha 04C3 (LT 230 kV G.MANGABEIRA /SAPEACU C-3), na subestação G.MANGABEIRA, composto por: 02 painéis, 02 proteções (principal e alternada), 01 unidade de controle, 02 falhas de disjuntor (principal e alternada), cabos de controle e infraestrutura de comunicação associados.</t>
  </si>
  <si>
    <t>0006679/2024</t>
  </si>
  <si>
    <t>11365373</t>
  </si>
  <si>
    <t>Substituição de 01 (um) disjuntor de 69 kV, posição operacional 12J4 da subestação de FTZ.</t>
  </si>
  <si>
    <t>EL 69 kV FORTALEZA D. GOUVEIA 02J4 (12J4)</t>
  </si>
  <si>
    <t>0006680/2024</t>
  </si>
  <si>
    <t>Substituição do SPCS associado ao vão da Entrada de Linha 04C7 (LT 230 kV CAMACARI II /G.MANGABEIRA C-1), na subestação G.MANGABEIRA, composto por: 02 painéis, 02 proteções (principal e alternada), 01 unidade de controle, 02 falhas de disjuntor (principal e alternada), cabos de controle e infraestrutura de comunicação associados.</t>
  </si>
  <si>
    <t>0006681/2024</t>
  </si>
  <si>
    <t>11367764</t>
  </si>
  <si>
    <t>Substituição de 01 (um) disjuntor de 69 kV, posição operacional 12J5 da subestação de FTZ.</t>
  </si>
  <si>
    <t>EL 69 kV FORTALEZA TBM 02J5 (12J5)</t>
  </si>
  <si>
    <t>0006683/2024</t>
  </si>
  <si>
    <t>Substituição do SPCS associado ao vão da Entrada de Linha 04S1 (LT 230 kV TOMBA /G.MANGABEIRA C-1), na subestação G.MANGABEIRA, composto por: 02 painéis, 02 proteções (principal e alternada), 01 unidade de controle, 02 falhas de disjuntor (principal e alternada), cabos de controle e infraestrutura de comunicação associados.</t>
  </si>
  <si>
    <t>0006684/2024</t>
  </si>
  <si>
    <t>11365575</t>
  </si>
  <si>
    <t>Substituição de 01 (um) disjuntor de 69 kV, posição operacional 12J7 da subestação de FTZ.</t>
  </si>
  <si>
    <t>EL 69 kV FORTALEZA PARANGABA 02J7 (12J7)</t>
  </si>
  <si>
    <t>0006685/2024</t>
  </si>
  <si>
    <t>12J7</t>
  </si>
  <si>
    <t>Substituição do SPCS associado ao vão da Entrada de Linha 04S4 (LT 230 kV P.DO CAVALO /G.MANGABEIRA C-1), na subestação G.MANGABEIRA, composto por: 02 painéis, 02 proteções (principal e alternada), 01 unidade de controle, 02 falhas de disjuntor (principal e alternada), cabos de controle e infraestrutura de comunicação associados.</t>
  </si>
  <si>
    <t>0006687/2024</t>
  </si>
  <si>
    <t>11365572</t>
  </si>
  <si>
    <t>Substituição de 01 (um) disjuntor de 69 kV, posição operacional 12J8 da subestação de FTZ.</t>
  </si>
  <si>
    <t>0006688/2024</t>
  </si>
  <si>
    <t>12J8</t>
  </si>
  <si>
    <t>Substituição do SPCS do Transformador 04T2, na subestação G.MANGABEIRA, composto por: 02 painéis, 02 proteções (principal e alternada), 02 unidades de controle, 02 falhas de disjuntor (principal e alternada), cabos de controle e infraestrutura de comunicação associados.</t>
  </si>
  <si>
    <t>0006689/2024</t>
  </si>
  <si>
    <t>11361833</t>
  </si>
  <si>
    <t>Substituição do SPCS do Disjuntor de Interligação de Barras 14D1, na subestação G.MANGABEIRA, composto por: 01 painel, 01 unidade de controle, 02 falhas de disjuntor (principal e alternada), cabos de controle e infraestrutura de comunicação associados.</t>
  </si>
  <si>
    <t>0006691/2024</t>
  </si>
  <si>
    <t>11352667</t>
  </si>
  <si>
    <t>Substituição de 01 (um) disjuntor de 69 kV, posição operacional 12J9 da subestação de FTZ.</t>
  </si>
  <si>
    <t>0006692/2024</t>
  </si>
  <si>
    <t>12J9</t>
  </si>
  <si>
    <t>Substituição do SPCS associado ao vão da Entrada de Linha 04L4 (LT 230 kV PITUACU /RL (COTEGIPE / MATATU) C-1), na subestação PITUACU, composto por: 02 painéis, 02 proteções (principal e alternada), 01 unidade de controle, 02 falhas de disjuntor (principal e alternada), cabos de controle e infraestrutura de comunicação associados.</t>
  </si>
  <si>
    <t>LT 230 kV PITUACU /RL (COTEGIPE/MATATU) C-1 BA/PE</t>
  </si>
  <si>
    <t>0006693/2024</t>
  </si>
  <si>
    <t>11365460</t>
  </si>
  <si>
    <t>Substituição de 01 (um) disjuntor de 69 kV, posição operacional 12L3 da subestação de FTZ.</t>
  </si>
  <si>
    <t>EL 69 kV FORTALEZA DISTR. II 02L3 (12L3)</t>
  </si>
  <si>
    <t>0006694/2024</t>
  </si>
  <si>
    <t>12L3</t>
  </si>
  <si>
    <t>Substituição do SPCS do Reator de Barra 01E1, na subestação IRECE, composto por: 01 painel, 01 unidade de proteção e controle, cabos de controle e infraestrutura de comunicação associados.</t>
  </si>
  <si>
    <t>RTB 13,8 kV 5 MVAr IRECE RT1 BA</t>
  </si>
  <si>
    <t>0006696/2024</t>
  </si>
  <si>
    <t>11360764</t>
  </si>
  <si>
    <t>Substituição de 01 (um) disjuntor de 230 KV, posição operacional 14M1 da Subestação RIB</t>
  </si>
  <si>
    <t>0006697/2024</t>
  </si>
  <si>
    <t>14M1</t>
  </si>
  <si>
    <t>Substituição do SPCS do Transformador de Aterramento 02A1, na subestação IRECE, composto por: 01 painel, 02 proteções (principal e alternada), 01 unidade de controle, cabos de controle e infraestrutura de comunicação associados.</t>
  </si>
  <si>
    <t>MC 69 kV TT 69/13,8 kV IRECE TA1 BA (32A1)</t>
  </si>
  <si>
    <t>0006698/2024</t>
  </si>
  <si>
    <t>11361542</t>
  </si>
  <si>
    <t>Substituição de 01 (um) disjuntor de 230 KV, posição operacional 14C1 da Subestação JDM</t>
  </si>
  <si>
    <t>0006700/2024</t>
  </si>
  <si>
    <t>Substituição do SPCS associado ao vão da Entrada de Linha 03N2 (LT 138 kV IRECE /BAIXIOS), na subestação IRECE, composto por: 01 painel, 02 proteções (principal e alternada), 01 unidade de controle, cabos de controle e infraestrutura de comunicação associados.</t>
  </si>
  <si>
    <t>EL 138 kV IRECE BAIXIOS 03N2 (13N2)</t>
  </si>
  <si>
    <t>0006701/2024</t>
  </si>
  <si>
    <t>12479364</t>
  </si>
  <si>
    <t>Substituição de 01 (um) TC de posição operacional 94H2-2.B da Subestação FNL</t>
  </si>
  <si>
    <t>0006702/2024</t>
  </si>
  <si>
    <t>94H2-2.B</t>
  </si>
  <si>
    <t>Substituição do SPCS do Disjuntor de Interligação de Barras 13D1, na subestação IRECE, composto por: 01 painel, 02 proteções (principal e alternada), 01 unidade de controle, cabos de controle e infraestrutura de comunicação associados.</t>
  </si>
  <si>
    <t>IB 138 kV MG 230 kV IRECE MG1 BA IB1 (13D1)</t>
  </si>
  <si>
    <t>0006703/2024</t>
  </si>
  <si>
    <t>11348594</t>
  </si>
  <si>
    <t>Substituição de 01 (um) TC de posição operacional 94H2-2.C da Subestação FNL</t>
  </si>
  <si>
    <t>0006704/2024</t>
  </si>
  <si>
    <t>94H2-2.C</t>
  </si>
  <si>
    <t>Substituição do SPCS do Transformador 04T2, na subestação IRECE, composto por: 02 painéis, 02 proteções (principal e alternada), 02 unidades de controle, 02 falhas de disjuntor (principal e alternada), cabos de controle e infraestrutura de comunicação associados.</t>
  </si>
  <si>
    <t>0006705/2024</t>
  </si>
  <si>
    <t>11357794</t>
  </si>
  <si>
    <t>Substituição de 01 (um) TC de posição operacional 94F2.A da Subestação FNL</t>
  </si>
  <si>
    <t>0006706/2024</t>
  </si>
  <si>
    <t>94F2.A</t>
  </si>
  <si>
    <t>Substituição do SPCS do Transformador 04T4, na subestação IRECE, composto por: 02 painéis, 02 proteções (principal e alternada), 02 unidades de controle, 02 falhas de disjuntor (principal e alternada), cabos de controle e infraestrutura de comunicação associados.</t>
  </si>
  <si>
    <t>0006707/2024</t>
  </si>
  <si>
    <t>11359112</t>
  </si>
  <si>
    <t>Substituição de 01 (um) TC de posição operacional 
94F2.B da Subestação FNL</t>
  </si>
  <si>
    <t>0006708/2024</t>
  </si>
  <si>
    <t>94F2.B</t>
  </si>
  <si>
    <t>Substituição do SPCS do Transformador 04T5, na subestação IRECE, composto por: 02 painéis, 02 proteções (principal e alternada), 02 unidades de controle, 02 falhas de disjuntor (principal e alternada), cabos de controle e infraestrutura de comunicação associados.</t>
  </si>
  <si>
    <t>TR 230/138 kV IRECE TR5 BA</t>
  </si>
  <si>
    <t>0006709/2024</t>
  </si>
  <si>
    <t>11361066</t>
  </si>
  <si>
    <t>Substituição do SPCS associado ao vão da Entrada de Linha 04C8 (LT 230 kV CAMACARI II /CARAIBAS C-1), na subestação CAMACARI II, composto por: 02 painéis, 02 proteções (principal e alternada), 01 unidade de controle, 02 falhas de disjuntor (principal e alternada), cabos de controle e infraestrutura de comunicação associados.</t>
  </si>
  <si>
    <t>0006710/2024</t>
  </si>
  <si>
    <t>11353434</t>
  </si>
  <si>
    <t>Substituição de 01 (um) TC de posição operacional 
94F2.C da Subestação FNL</t>
  </si>
  <si>
    <t>0006711/2024</t>
  </si>
  <si>
    <t>94F2.C</t>
  </si>
  <si>
    <t>Substituição de 01 (um) TC de posição operacional 94T6.A da Subestação FNL</t>
  </si>
  <si>
    <t>0006712/2024</t>
  </si>
  <si>
    <t>94T6.A</t>
  </si>
  <si>
    <t>Substituição do SPCS do Disjuntor de Interligação de Barras 15D1, na subestação CAMACARI II, composto por: 01 painel, 01 unidade de controle, 02 falhas de disjuntor (principal e alternada), cabos de controle e infraestrutura de comunicação associados.</t>
  </si>
  <si>
    <t>0006892/2024</t>
  </si>
  <si>
    <t>11357324</t>
  </si>
  <si>
    <t>Substituição de 01 (um) TC de posição operacional 94T6.B da Subestação FNL</t>
  </si>
  <si>
    <t>0006713/2024</t>
  </si>
  <si>
    <t>94T6.B</t>
  </si>
  <si>
    <t>Substituição do SPCS associado ao vão da Entrada de Linha 04C4 (LT 230 kV RECIFE II /MIRUEIRA C-1), na subestação RECIFE II, composto por: 02 painéis, 02 proteções (principal e alternada), 01 unidade de controle, 02 falhas de disjuntor (principal e alternada), cabos de controle e infraestrutura de comunicação associados.</t>
  </si>
  <si>
    <t>0006714/2024</t>
  </si>
  <si>
    <t>11365432</t>
  </si>
  <si>
    <t>Substituição de 01 (um) TC de posição operacional 94T6.C da Subestação FNL</t>
  </si>
  <si>
    <t>0006715/2024</t>
  </si>
  <si>
    <t>94T6.C</t>
  </si>
  <si>
    <t>Substituição do SPCS associado ao vão da Entrada de Linha 04C5 (LT 230 kV RECIFE II /MIRUEIRA C-2), na subestação RECIFE II, composto por: 02 painéis, 02 proteções (principal e alternada), 01 unidade de controle, 02 falhas de disjuntor (principal e alternada), cabos de controle e infraestrutura de comunicação associados.</t>
  </si>
  <si>
    <t>0006716/2024</t>
  </si>
  <si>
    <t>11365440</t>
  </si>
  <si>
    <t>Substituição de 01 (um) TC de posição operacional 94T2.A da Subestação FNL</t>
  </si>
  <si>
    <t>0006717/2024</t>
  </si>
  <si>
    <t>94T2.A</t>
  </si>
  <si>
    <t>Substituição do SPCS associado ao vão da Entrada de Linha 04C8 (LT 230 kV RECIFE II /GOIANINHA C-1), na subestação RECIFE II, composto por: 02 painéis, 02 proteções (principal e alternada), 01 unidade de controle, 02 falhas de disjuntor (principal e alternada), cabos de controle e infraestrutura de comunicação associados.</t>
  </si>
  <si>
    <t>0006718/2024</t>
  </si>
  <si>
    <t>11353312</t>
  </si>
  <si>
    <t>Substituição do SPCS associado ao vão da Entrada de Linha 04C9 (LT 230 kV RECIFE II /GOIANINHA C-2), na subestação RECIFE II, composto por: 02 painéis, 02 proteções (principal e alternada), 01 unidade de controle, 02 falhas de disjuntor (principal e alternada), cabos de controle e infraestrutura de comunicação associados.</t>
  </si>
  <si>
    <t>0006719/2024</t>
  </si>
  <si>
    <t>11353308</t>
  </si>
  <si>
    <t>Substituição de 01 (um) TC de posição operacional 94T2.B da Subestação FNL</t>
  </si>
  <si>
    <t>0006720/2024</t>
  </si>
  <si>
    <t>94T2.B</t>
  </si>
  <si>
    <t>Substituição do SPCS associado ao vão da Entrada de Linha 04M1 (LT 230 kV RIBEIRAO /RECIFE II C-1), na subestação RECIFE II, composto por: 02 painéis, 02 proteções (principal e alternada), 01 unidade de controle, 02 falhas de disjuntor (principal e alternada), cabos de controle e infraestrutura de comunicação associados.</t>
  </si>
  <si>
    <t>0006721/2024</t>
  </si>
  <si>
    <t>11353300</t>
  </si>
  <si>
    <t>Substituição de 01 (um) TC de posição operacional 94T8.A da Subestação FNL</t>
  </si>
  <si>
    <t>CE 200/-100 MvAr FUNIL CE1 BA</t>
  </si>
  <si>
    <t>0006904/2024</t>
  </si>
  <si>
    <t>94T8.A</t>
  </si>
  <si>
    <t>Substituição do SPCS associado ao vão da Entrada de Linha 04V1 (LT 230 kV RECIFE II /JOAIRAM C-1), na subestação RECIFE II, composto por: 02 painéis, 02 proteções (principal e alternada), 01 unidade de controle, 02 falhas de disjuntor (principal e alternada), cabos de controle e infraestrutura de comunicação associados.</t>
  </si>
  <si>
    <t>0006722/2024</t>
  </si>
  <si>
    <t>11364954</t>
  </si>
  <si>
    <t>Substituição de 01 (um) TC de posição operacional 94T8.B da Subestação FNL</t>
  </si>
  <si>
    <t>0006905/2024</t>
  </si>
  <si>
    <t>94T8.B</t>
  </si>
  <si>
    <t>Substituição do SPCS associado ao vão da Entrada de Linha 04V2 (LT 230 kV RECIFE II /JOAIRAM C-2), na subestação RECIFE II, composto por: 02 painéis, 02 proteções (principal e alternada), 01 unidade de controle, 02 falhas de disjuntor (principal e alternada), cabos de controle e infraestrutura de comunicação associados.</t>
  </si>
  <si>
    <t>0006723/2024</t>
  </si>
  <si>
    <t>11364956</t>
  </si>
  <si>
    <t>Substituição de 01 (um) TC de posição operacional 94T8.C da Subestação FNL</t>
  </si>
  <si>
    <t>0006908/2024</t>
  </si>
  <si>
    <t>94T8.C</t>
  </si>
  <si>
    <t>Substituição do SPCS associado ao vão da Entrada de Linha 04V3 (LT 230 kV RECIFE II /JOAIRAM C-3), na subestação RECIFE II, composto por: 02 painéis, 02 proteções (principal e alternada), 01 unidade de controle, 02 falhas de disjuntor (principal e alternada), cabos de controle e infraestrutura de comunicação associados.</t>
  </si>
  <si>
    <t>0006725/2024</t>
  </si>
  <si>
    <t>11364958</t>
  </si>
  <si>
    <t>Substituição de 01 (um) TC de posição operacional 93T1.B da Subestação FNL</t>
  </si>
  <si>
    <t>0006726/2024</t>
  </si>
  <si>
    <t>93T1.B</t>
  </si>
  <si>
    <t>Substituição do SPCS associado ao Banco de Capacitores 04H1, na subestação RECIFE II, composto por: 02 painéis, 02 proteções (principal e alternada), 01 unidade de controle, 02 falhas de disjuntor (principal e alternada), cabos de controle e infraestrutura de comunicação associados.</t>
  </si>
  <si>
    <t>BC 230 kV 50,5 MVAr RECIFE II BC1 PE</t>
  </si>
  <si>
    <t>0006727/2024</t>
  </si>
  <si>
    <t>11365006</t>
  </si>
  <si>
    <t>Substituição de 01 (um) TC de posição operacional 93T2.C da Subestação FNL</t>
  </si>
  <si>
    <t>0006729/2024</t>
  </si>
  <si>
    <t>93T2.C</t>
  </si>
  <si>
    <t>Substituição do SPCS associado ao Banco de Capacitores 04H2, na subestação RECIFE II, composto por: 02 painéis, 02 proteções (principal e alternada), 01 unidade de controle, 02 falhas de disjuntor (principal e alternada), cabos de controle e infraestrutura de comunicação associados.</t>
  </si>
  <si>
    <t>BC 230 kV 50,5 MVAr RECIFE II BC2 PE</t>
  </si>
  <si>
    <t>0006730/2024</t>
  </si>
  <si>
    <t>11365007</t>
  </si>
  <si>
    <t>Substituição do SPCS do Disjuntor de Interligação de Barras 14D2, na subestação RECIFE II, composto por: 01 painel, 01 unidade de controle, 02 falhas de disjuntor (principal e alternada), cabos de controle e infraestrutura de comunicação associados.</t>
  </si>
  <si>
    <t>0006732/2024</t>
  </si>
  <si>
    <t>11362908</t>
  </si>
  <si>
    <t>Substituição do SPCS principal das barras 500 kV, na subestação RECIFE II, composto por: 01 painel, 01 unidade central de proteção de barras (principal), do tipo adaptativa e distribuída, com capacidade para atender, no mínimo, 08 vãos, 08 unidades de bay de proteção de barras (principal) e infraestrutura de comunicação associados.</t>
  </si>
  <si>
    <t>0006734/2024</t>
  </si>
  <si>
    <t>11356815</t>
  </si>
  <si>
    <t>Substituição do SPCS do Reator de Linha manobrável 05E1, na subestação RECIFE II, composto por: 02 painéis, 02 proteções (principal e alternada), 01 unidade de controle, 02 falhas de disjuntor (principal e alternada), cabos de controle e infraestrutura de comunicação associados.</t>
  </si>
  <si>
    <t>RTL 500 kV 100 Mvar RECIFE II RT1 PE</t>
  </si>
  <si>
    <t>0006913/2024</t>
  </si>
  <si>
    <t>11356824</t>
  </si>
  <si>
    <t>Substituição do SPCS associado ao vão da Entrada de Linha 05L7 (LT 500 kV SUAPE II /RECIFE II C-1), na subestação RECIFE II, composto por: 02 painéis, 02 proteções (principal e alternada), 01 unidade de controle, 02 falhas de disjuntor (principal e alternada), cabos de controle e infraestrutura de comunicação associados.</t>
  </si>
  <si>
    <t>0006736/2024</t>
  </si>
  <si>
    <t>11363989</t>
  </si>
  <si>
    <t>Substituição do SPCS associado ao vão da Entrada de Linha 05L8 (LT 500 kV PAU FERRO /RECIFE II C-1), na subestação RECIFE II, composto por: 02 painéis, 02 proteções (principal e alternada), 01 unidade de controle, 02 falhas de disjuntor (principal e alternada), cabos de controle e infraestrutura de comunicação associados.</t>
  </si>
  <si>
    <t>0006738/2024</t>
  </si>
  <si>
    <t>11361950</t>
  </si>
  <si>
    <t>Substituição do SPCS do Transformador 05T1, na subestação MILAGRES, composto por: 02 painéis, 02 proteções (principal e alternada), 02 unidades de controle, 02 falhas de disjuntor (principal e alternada), cabos de controle e infraestrutura de comunicação associados.</t>
  </si>
  <si>
    <t>TR 500/230 kV MILAGRES TR1 CE</t>
  </si>
  <si>
    <t>0006916/2024</t>
  </si>
  <si>
    <t>11366590</t>
  </si>
  <si>
    <t>Substituição de 01 (uma) Seccionadora 230 kV, posição operacional 34C1-1 da subestação JDM</t>
  </si>
  <si>
    <t>0009393/2024</t>
  </si>
  <si>
    <t>Substituição de 01 (uma) Seccionadora 13.8 kV posição operacional 31K1-8 da Subestação IRE</t>
  </si>
  <si>
    <t>0006749/2024</t>
  </si>
  <si>
    <t>31K1-8</t>
  </si>
  <si>
    <t>Substituição de 01 (uma) Seccionadora 13.8 kV posição operacional 31K1-9 da Subestação IRE</t>
  </si>
  <si>
    <t>0006750/2024</t>
  </si>
  <si>
    <t>31K1-9</t>
  </si>
  <si>
    <t>Substituição de 01 (uma) chave seccionadora de 69 kV, posição operacional 32J2-4, da subestação de BGI.</t>
  </si>
  <si>
    <t>EL 69 kV BONGI TAMARIN 02J2 (12J2)</t>
  </si>
  <si>
    <t>0006752/2024</t>
  </si>
  <si>
    <t>Substituição de 01 (uma) chave seccionadora de 69 kV, posição operacional 32J2-5, da subestação de BGI.</t>
  </si>
  <si>
    <t>0006754/2024</t>
  </si>
  <si>
    <t>Substituição de 01 (uma) Seccionadora com lâmina de terra 69 kV, posição operacional 32J2-6/7, da subestação de BGI.</t>
  </si>
  <si>
    <t>0006755/2024</t>
  </si>
  <si>
    <t>32J2-6/7</t>
  </si>
  <si>
    <t>Substituição de 01 (uma) Seccionadora 69 kV, posição 32T3-5 da subestação JDM</t>
  </si>
  <si>
    <t>0006757/2024</t>
  </si>
  <si>
    <t>Substituição de 01 (uma) Seccionadora 69 kV, posição 32J8-5 da subestação PTU</t>
  </si>
  <si>
    <t>EL 69 kV PITUACU S.CRIST. 02J8 (12J8)</t>
  </si>
  <si>
    <t>0006759/2024</t>
  </si>
  <si>
    <t>32J8-5</t>
  </si>
  <si>
    <t>Substituição de 01 (uma) Seccionadora 69 kV, posição 32J8-4 da subestação PTU</t>
  </si>
  <si>
    <t>0006760/2024</t>
  </si>
  <si>
    <t>Substituição do Sistema de Registro de Perturbação na Interconexão de Barra 14J4, na subestação ABAIXADORA, composto por: 01 Oscilógrafo.</t>
  </si>
  <si>
    <t>0006773/2024</t>
  </si>
  <si>
    <t>11449321</t>
  </si>
  <si>
    <t>Substituição do Sistema de Registro de Perturbação na Interconexão de Barra 14D1, na subestação ANGELIM, composto por: 01 Oscilógrafo.</t>
  </si>
  <si>
    <t>0006775/2024</t>
  </si>
  <si>
    <t>11449211</t>
  </si>
  <si>
    <t>Substituição do Sistema de Registro de Perturbação no Módulo de Conexão 01K1, na subestação IRECE, composto por: 01 Oscilógrafo.</t>
  </si>
  <si>
    <t>0006777/2024</t>
  </si>
  <si>
    <t>11446200</t>
  </si>
  <si>
    <t>Substituição do Sistema de Registro de Perturbação no Módulo de Conexão 15G3 na USINA XINGO, composto por: 01 Oscilógrafo.</t>
  </si>
  <si>
    <t>MC 500 kV TR 18/500 kV USINA XINGO TR3 AL (15G3)</t>
  </si>
  <si>
    <t>0006778/2024</t>
  </si>
  <si>
    <t>11446311</t>
  </si>
  <si>
    <t>Substituição do Sistema de Registro de Perturbação associado ao Transformador 05T1, na subestação MILAGRES, composto por: 01 Oscilógrafo e infraestrutura de comunicação associada.</t>
  </si>
  <si>
    <t>0006802/2024</t>
  </si>
  <si>
    <t>11446260</t>
  </si>
  <si>
    <t>Substituição do Sistema de Registro de Perturbação associado ao Reator de Barra 05E2, na subestação MILAGRES, composto por: 01 Oscilógrafo e infraestrutura de comunicação associada.</t>
  </si>
  <si>
    <t>0006779/2024</t>
  </si>
  <si>
    <t>11446271</t>
  </si>
  <si>
    <t>Substituição do Sistema de Registro de Perturbação associado ao vão de Entrada de Linha 04M2 (LT 230 kV ICO /MILAGRES C-1), na subestação ICO, composto por: 01 Oscilógrafo e infraestrutura de comunicação associada.</t>
  </si>
  <si>
    <t>0006781/2024</t>
  </si>
  <si>
    <t>12362808</t>
  </si>
  <si>
    <t>Substituição de 156 cadeias de isolador em 34 estrutura(s) da LT 230 kV SAPEACU /FUNIL C-1 BA-04F1 (068/1;068/2;068/3;069/1;069/2;069/3;069/4;070/1;070/2;070/3;071/1;071/2;071/3;071/4;072/1;072/2;072/3;073/1;073/2;073/3;073/4;074/1;074/2;075/1;075/2;076/1;076/2;077/1;078/1;078/2;078/3;079/1;079/2;079/3).</t>
  </si>
  <si>
    <t>0006782/2024</t>
  </si>
  <si>
    <t>d-sspusfnl-04f1-cade-5</t>
  </si>
  <si>
    <t>Substituição de 132 cadeias de isolador em 34 estrutura(s) da LT 230 kV SAPEACU /FUNIL C-1 BA-04F1 (080/1;080/2;080/3;081/1;081/2;081/3;082/1;082/2;083/1;083/2;083/3;084/1;084/2;084/3;085/1;085/2;085/4;086/1;086/2;086/3;087/1;087/2;087/3;087/4;088/1;088/2;088/3;089/1;089/2;089/3;090/1;090/2;090/3;091/1).</t>
  </si>
  <si>
    <t>0006784/2024</t>
  </si>
  <si>
    <t>d-sspusfnl-04f1-cade-6</t>
  </si>
  <si>
    <t>Substituição de 138 cadeias de isolador em 34 estrutura(s) da LT 230 kV SAPEACU /FUNIL C-1 BA-04F1 (091/2;091/3;092/1;092/2;093/1;093/2;094/1;094/2;094/3;095/1;095/2;095/3;096/1;096/2;097/2;098/1;098/2;098/3;099/1;099/2;099/3;100/1;100/2;100/3;100/4;101/1;101/2;102/1;102/2;102/3;103/2;103/3;104/1;104/2).</t>
  </si>
  <si>
    <t>0006787/2024</t>
  </si>
  <si>
    <t>d-sspusfnl-04f1-cade-7</t>
  </si>
  <si>
    <t>Substituição de 156 cadeias de isolador em 34 estrutura(s) da LT 230 kV SAPEACU /FUNIL C-1 BA-04F1 (105/1;105/2;106/1;106/2;107/1;107/2;107/3;108/1;109/1;109/2;110/1;110/2;110/3;111/1;111/2;112/1;112/2;113/1;113/2;114/1;114/2;115/1;115/2;115/3;116/1;116/2;117/1;117/2;117/3;118/1;118/2;119/1;119/2;120/1).</t>
  </si>
  <si>
    <t>0006789/2024</t>
  </si>
  <si>
    <t>d-sspusfnl-04f1-cade-8</t>
  </si>
  <si>
    <t>Substituição de 189 cadeias de isolador em 35 estrutura(s) da LT 230 kV SAPEACU /FUNIL C-1 BA-04F1 (120/2;121/1;121/2;122/1;122/2;123/1;123/2;124/1;125/1;126/1;127/1;127/2;128/1;129/1;130/1;130/2;131/1;132/1;132/2;133/1;134/1;134/2;135/1;135/2;136/1;136/2;137/1;138/1;138/2;138/3;139/1;140/1;140/2;140/3;168/1).</t>
  </si>
  <si>
    <t>0006790/2024</t>
  </si>
  <si>
    <t>d-sspusfnl-04f1-cade-9</t>
  </si>
  <si>
    <t>Substituição de 162 cadeias de isolador em 34 estrutura(s) da LT 230 kV SAPEACU /FUNIL C-1 BA-04F1 (141/1;141/2;142/1;142/2;143/1;143/2;144/1;144/2;144/3;145/1;145/2;145/3;146/1;146/2;147/1;147/2;147/3;148/1;148/2;149/1;149/2;150/1;150/2;150/3;151/1;151/2;151/3;152/1;153/1;153/2;153/3;154/1;154/2;155/1).</t>
  </si>
  <si>
    <t>0006792/2024</t>
  </si>
  <si>
    <t>d-sspusfnl-04f1-cade-10</t>
  </si>
  <si>
    <t>Substituição de Transformador de Potencial Capacitivo 230 kV, referente a EL da LT Charqueadas - Santa Cruz C-1, Fase B. 
Associado à obra são esperadas substituições/adaptações de fundações, suportes, caixa de junção, cabos de controle/potência, barramento, conectores e conexão de aterramento.</t>
  </si>
  <si>
    <t>LT 230 kV CHARQUEADAS /SANTA CRUZ1 C-1 RS</t>
  </si>
  <si>
    <t>0008192/2024</t>
  </si>
  <si>
    <t>Substituição de 174 cadeias de isolador em 34 estrutura(s) da LT 230 kV SAPEACU /FUNIL C-1 BA-04F1 (156/1;156/2;156/3;157/1;157/2;158/1;158/2;159/1;159/2;160/1;160/2;160/3;161/1;162/1;162/2;163/1;163/2;164/1;164/2;164/3;165/1;166/1;167/1;167/2;168/2;169/1;169/2;170/1;170/2;170/3;171/1;171/2;171/3;172/1).</t>
  </si>
  <si>
    <t>0006794/2024</t>
  </si>
  <si>
    <t>d-sspusfnl-04f1-cade-11</t>
  </si>
  <si>
    <t>Substituição de 240 cadeias de isolador em 34 estrutura(s) da LT 230 kV ANGELIM /MESSIAS C-1 PE/AL-04M7 (000/1;000/2;000/3;001/1;001/2;002/1;002/2;003/1;004/1;004/2;004/3;005/1;006/1;006/2;006/3;007/1;007/2;008/1;009/1;009/2;010/1;010/2;011/1;011/2;012/1;013/1;013/2;014/1;014/2;015/1;015/2;016/1;016/2;016/3).</t>
  </si>
  <si>
    <t>0006796/2024</t>
  </si>
  <si>
    <t>d-saglsmsi-04m7-cade-1</t>
  </si>
  <si>
    <t>Substituição chave-seccionadora SC837, 345kV, arranjo BD5, associado ao AT03, na SE CAMPINAS.</t>
  </si>
  <si>
    <t>0006800/2024</t>
  </si>
  <si>
    <t>SC837</t>
  </si>
  <si>
    <t>LT 230 kV JOAO PESSOA II /MUSSURE II PB</t>
  </si>
  <si>
    <t>Substituição de 80 cadeias de isolador em 15 estrutura(s) da LT 230 kV JOAO PESSOA II /MUSSURE II C-2 PB-04F2 (046/1;046/2;047/1;047/2;047/3;048/1;048/2;048/3;049/1;049/2;050/1;050/2;050/3;051/1;MRD).</t>
  </si>
  <si>
    <t>LT 230 kV JOAO PESSOA II /MUSSURE II C-2 PB</t>
  </si>
  <si>
    <t>0006799/2024</t>
  </si>
  <si>
    <t>d-smrdsjpd-04f2-cade-1</t>
  </si>
  <si>
    <t>LT 69 kV RECIFE II/ PIRAPAMA II PE</t>
  </si>
  <si>
    <t>Substituição de 159 cadeias de isolador em 32 estrutura(s) da LT 69 kV RECIFE II/ PIRAPAMA II C-1 PE-02V1 (001/1;001/2;001/3;001/4;001/5;001/6;001/7;002/1;003/2;003/3;003/4;004/1;004/2;004/3;004/4;004/5;005/1;005/2;006/1;006/2;006/3;007/1;008/3;009/1;009/2;009/3;010/1;010/2;010/3;011/1;011/2;011/3).</t>
  </si>
  <si>
    <t>LT 69 kV RECIFE II/ PIRAPAMA II C-1 PE (02V1)</t>
  </si>
  <si>
    <t>0006805/2024</t>
  </si>
  <si>
    <t>d-srcdsprd-02v1-cade-1</t>
  </si>
  <si>
    <t>Substituição de 144 cadeias de isolador em 35 estrutura(s) da LT 69 kV RECIFE II/ PIRAPAMA II C-1 PE-02V1 (011/4;011/5;012/1;012/2;012/3;012/4;013/1;013/2;013/3;013/4;014/1;014/2;014/3;014/4;015/1;015/2;015/3;016/1;016/2;016/3;016/4;017/1;017/2;017/3;018/1;018/2;018/3;019/1;019/2;019/3;020/1;020/2;020/3;020/4;021/1).</t>
  </si>
  <si>
    <t>0006808/2024</t>
  </si>
  <si>
    <t>d-srcdsprd-02v1-cade-2</t>
  </si>
  <si>
    <t>Substituição de 84 cadeias de isolador em 14 estrutura(s) da LT 230 kV JOAO PESSOA II /MUSSURE II C-1 PB-04F1 (046/2;047/1;047/2;047/3;048/1;048/2;048/3;049/1;049/2;050/1;050/2;050/3;051/1;MRD).</t>
  </si>
  <si>
    <t>LT 230 kV JOAO PESSOA II /MUSSURE II C-1 PB</t>
  </si>
  <si>
    <t>0006812/2024</t>
  </si>
  <si>
    <t>d-smrdsjpd-04f1-cade-1</t>
  </si>
  <si>
    <t>Substituição chave-seccionadora SC839, 345kV, arranjo BD5, associado ao AT03, na SE CAMPINAS.</t>
  </si>
  <si>
    <t>0006813/2024</t>
  </si>
  <si>
    <t>SC839</t>
  </si>
  <si>
    <t>Substituição de Transformador de Aterramento (Banco 1)  13,8 kV, 0,25MVA, fase A, arranjo BS, associado ao TR1 na SE GRAVATAI.</t>
  </si>
  <si>
    <t>MG 13,8 kV GRAVATAI MG1 RS</t>
  </si>
  <si>
    <t>0006824/2024</t>
  </si>
  <si>
    <t>TFAT13,8 TF1-A (Banco 1)</t>
  </si>
  <si>
    <t>Substituição de 105 cadeias de isolador em 35 estrutura(s) da LT 230 kV BANABUIU /AQUIRAZ II C-1 CE-04C8 (014/1;014/2;014/3;015/1;015/2;016/1;016/2;016/3;017/1;017/2;017/3;018/1;018/2;018/3;019/1;019/2;020/1;020/2;021/1;021/2;021/3;022/1;022/2;023/1;023/2;023/3;024/1;024/2;025/1;025/2;025/3;026/1;026/2;027/1;027/2).</t>
  </si>
  <si>
    <t>0006815/2024</t>
  </si>
  <si>
    <t>d-saqdsbnb-04c8-cade-2</t>
  </si>
  <si>
    <t>Substituição de Transformador de Corrente 230 kV, referente ao TR3 230/138 kV da SE Passo Fundo, DJ772, Fase B. Associado à obra, são esperadas substituições/adaptações de fundações e suportes, caixa de junção, cabos de controle/potência, barramento, conectores e conexão de aterramento. Funções do TC: proteção e medição.</t>
  </si>
  <si>
    <t>0006817/2024</t>
  </si>
  <si>
    <t>Substituição de 129 cadeias de isolador em 35 estrutura(s) da LT 230 kV BANABUIU /AQUIRAZ II C-3 CE-04C6 (130/4;131/1;131/2;131/3;131/4;132/1;132/2;132/3;133/1;133/2;133/3;133/4;134/1;134/2;134/3;134/4;135/1;135/2;135/3;136/1;136/2;137/1;137/2;137/3;137/4;138/1;138/2;138/3;139/1;139/2;139/3;140/1;140/2;140/3;140/4).</t>
  </si>
  <si>
    <t>0006818/2024</t>
  </si>
  <si>
    <t>d-saqdsbnb-04c6-cade-13</t>
  </si>
  <si>
    <t>Substituição de 129 cadeias de isolador em 35 estrutura(s) da LT 230 kV BANABUIU /AQUIRAZ II C-3 CE-04C6 (141/1;141/2;141/3;141/4;142/1;142/2;142/3;142/4;143/1;143/2;143/3;144/1;144/2;144/3;144/4;145/1;145/2;145/3;146/1;146/2;147/1;147/2;148/1;148/2;148/3;148/4;149/1;149/2;149/3;150/1;150/2;150/3;151/1;151/2;151/3).</t>
  </si>
  <si>
    <t>0006821/2024</t>
  </si>
  <si>
    <t>d-saqdsbnb-04c6-cade-14</t>
  </si>
  <si>
    <t>Substituição das Unidades Centrais do sistema de registro de perturbações (RDP), MIMRDP_138_1 e MIMRDP_138_2, para monitoração de variáveis associadas a SE U. Mimoso. Atualmente estas unidades monitoram os seguintes bays: LT Mimoso 2 C-3, C.Grande C-4, Jupiá C-3 e Jupiá C-4.</t>
  </si>
  <si>
    <t>MG U.MIMOSO / CCO-2001-057 - DIT</t>
  </si>
  <si>
    <t>0006822/2024</t>
  </si>
  <si>
    <t>Substituição de 153 cadeias de isolador em 35 estrutura(s) da LT 230 kV BANABUIU /AQUIRAZ II C-3 CE-04C6 (151/4;152/1;152/2;152/3;152/4;153/1;153/2;153/3;154/1;154/2;155/1;155/2;155/3;156/1;156/2;156/3;157/1;157/2;157/3;157/4;158/1;158/2;158/3;159/1;159/2;159/3;159/4;160/1;160/2;160/3;161/1;161/2;161/3;161/4;162/1).</t>
  </si>
  <si>
    <t>0006825/2024</t>
  </si>
  <si>
    <t>d-saqdsbnb-04c6-cade-15</t>
  </si>
  <si>
    <t>Substituição do sistema de registro de perturbações (RDP - unidade de bay), para monitoração das variáveis associadas a LT 138 kV U. Mimoso - Campo Grande C-4.</t>
  </si>
  <si>
    <t>0006826/2024</t>
  </si>
  <si>
    <t>RDP - LT CGR C-4</t>
  </si>
  <si>
    <t>Substituição de 105 cadeias de isolador em 35 estrutura(s) da LT 230 kV BANABUIU /AQUIRAZ II C-2 CE-04C7 (085/2;085/3;086/1;086/2;087/1;087/2;088/1;088/2;088/3;089/1;089/2;089/3;089/4;090/1;090/2;090/3;091/1;091/2;091/3;092/1;092/2;093/1;093/2;094/1;094/2;095/1;095/2;096/1;096/2;097/1;097/2;098/1;098/2;098/3;099/1).</t>
  </si>
  <si>
    <t>0006828/2024</t>
  </si>
  <si>
    <t>d-saqdsbnb-04c7-cade-7</t>
  </si>
  <si>
    <t>Substituição de Transformador de Aterramento (Banco 1) 13,8 kV, 0,25MVA, fase C, arranjo BS, associado ao TR2 na SE GRAVATAI.</t>
  </si>
  <si>
    <t>0006830/2024</t>
  </si>
  <si>
    <t>TFAT13,8 TF2-C (Banco 1)</t>
  </si>
  <si>
    <t>Substituição de 36 cadeias de isolador em 6 estrutura(s) da LT 69 kV RECIFE II/ PIRAPAMA II C-1 PE-02V1 (021/2;021/3;021/4;022/1;021/5;022/2).</t>
  </si>
  <si>
    <t>0006831/2024</t>
  </si>
  <si>
    <t>d-srcdsprd-02v1-cade-3</t>
  </si>
  <si>
    <t>Substituição de 84 cadeias de isolador em 6 estrutura(s) da LT 500 kV P. AFONSO IV /USINA XINGO C-1 BA/AL-05V6 (052/2;052/3;053/1;053/2;053/3;053/4).</t>
  </si>
  <si>
    <t>0006834/2024</t>
  </si>
  <si>
    <t>d-spaqsxgo-05v6-cade-4</t>
  </si>
  <si>
    <t>Substituição de Transformador de Aterramento (Banco 1)  13,8 kV, 0,25MVA, fase B, arranjo BS, associado ao TR1 na  SE GRAVATAI.</t>
  </si>
  <si>
    <t>0006840/2024</t>
  </si>
  <si>
    <t>TFAT13,8 TF1-B (Banco 1)</t>
  </si>
  <si>
    <t>Substituição de 18 cadeias de isolador em 6 estrutura(s) da LT 230 kV ARAPIRACA III /PENEDO C-1 AL-04S9 (047/1;049/2;051/1;062/2;064/1;072/2).</t>
  </si>
  <si>
    <t>0006836/2024</t>
  </si>
  <si>
    <t>d-sartspen-04s9-cade-1</t>
  </si>
  <si>
    <t>Substituição do sistema de registro de perturbações (RDP - unidade de bay), para monitoração das variáveis associadas a LT 138 kV U. Mimoso - Jupiá C-3.</t>
  </si>
  <si>
    <t>0006841/2024</t>
  </si>
  <si>
    <t>RDP - LT JUP C-3</t>
  </si>
  <si>
    <t>Substituição de 42 cadeias de isolador em 14 estrutura(s) da LT 230 kV RIO LARGO II /ARAPIRACA III C-1 AL-04F1 (048/2;052/2;055/3;058/1;065/3;066/2;072/2;077/2;081/3;085/2;087/2;089/2;093/3;114/1).</t>
  </si>
  <si>
    <t>0006842/2024</t>
  </si>
  <si>
    <t>d-srldsart-04f1-cade-1</t>
  </si>
  <si>
    <t>Substituição do sistema de registro de perturbações (RDP - unidade de bay), para monitoração das variáveis associadas a LT 138 kV U. Mimoso - Jupiá C-4.</t>
  </si>
  <si>
    <t>0006843/2024</t>
  </si>
  <si>
    <t>RDP - LT JUP C-4</t>
  </si>
  <si>
    <t>Substituição de 9 cadeias de isolador em 3 estrutura(s) da LT 500 kV PECEM II /FORTALEZA II C-1 CE-05C2 (206/1;207/1;207/2).</t>
  </si>
  <si>
    <t>0006845/2024</t>
  </si>
  <si>
    <t>d-spedsfzd-05c2-cade-1</t>
  </si>
  <si>
    <t>Substituição do sistema de registro de perturbações (RDP - unidade de bay), para monitoração das variáveis associadas a LT 138 kV U. Mimoso - Mimoso 2 C-3.</t>
  </si>
  <si>
    <t>0006846/2024</t>
  </si>
  <si>
    <t>RDP - LT MIM2 C-3</t>
  </si>
  <si>
    <t>Substituição de 27 cadeias de isolador em 9 estrutura(s) da LT 500 kV MILAGRES /QUIXADA C-1 CE-05V3 (039/2;040/1;040/2;041/1;064/2;065/1;085/1;085/2;118/2).</t>
  </si>
  <si>
    <t>0006847/2024</t>
  </si>
  <si>
    <t>d-smlgsqxa-05v3-cade-1</t>
  </si>
  <si>
    <t>Substituição de Transformador de Aterramento (Banco 1) 13,8 kV, 0,25MVA, fase C, arranjo BS, associado ao TR1 na  SE GRAVATAI.</t>
  </si>
  <si>
    <t>0006849/2024</t>
  </si>
  <si>
    <t>TFAT13,8 TF1-C (Banco 1)</t>
  </si>
  <si>
    <t>Substituição de 01 (um) conjunto de Isolador Pedestal 69kV posição operacional 02J4 da Subestação ITB</t>
  </si>
  <si>
    <t>0006850/2024</t>
  </si>
  <si>
    <t>12627516</t>
  </si>
  <si>
    <t>MACHADINHO</t>
  </si>
  <si>
    <t>Substituição da Unidade Central do sistema de registro de perturbações (RDP), MCHRDP_525_1, para monitoração de variáveis associadas a SE Machadinho. Atualmente esta unidade monitora os seguintes bays: LT Itá C-1, LT C.Novos C-1 e IB DJ1132.</t>
  </si>
  <si>
    <t>MG MACHADINHO / CCO-2001-057 - RB</t>
  </si>
  <si>
    <t>0006851/2024</t>
  </si>
  <si>
    <t>Substituição de 11 (onze) conjuntos de Isoladores Pedestal 69kV posição operacional 02BP da Subestação MRD</t>
  </si>
  <si>
    <t>0006854/2024</t>
  </si>
  <si>
    <t>12627518</t>
  </si>
  <si>
    <t>Substituição do sistema de registro de perturbações (RDP - unidade de bay), para monitoração das variáveis associadas a LT 525 kV Machadinho - Itá C-1.</t>
  </si>
  <si>
    <t>0006855/2024</t>
  </si>
  <si>
    <t>RDP - LT YTA C-1</t>
  </si>
  <si>
    <t>Substituição de 11 (onze) conjuntos de Isoladores Pedestal 69kV posição operacional 02BA da Subestação MRD</t>
  </si>
  <si>
    <t>0006857/2024</t>
  </si>
  <si>
    <t>12627519</t>
  </si>
  <si>
    <t>Substituição do sistema de registro de perturbações (RDP - unidade de bay), para monitoração das variáveis associadas a LT 525 kV Machadinho - Campos Novos C-1.</t>
  </si>
  <si>
    <t>0006859/2024</t>
  </si>
  <si>
    <t>RDP - LT CNO C-1</t>
  </si>
  <si>
    <t>Substituição de 02 (dois) conjuntos de Isoladores Pedestal 230kV posição operacional 04BP da Subestação MRD</t>
  </si>
  <si>
    <t>0006860/2024</t>
  </si>
  <si>
    <t>12627520</t>
  </si>
  <si>
    <t>Substituição do sistema de registro de perturbações (RDP - unidade de bay), para monitoração das variáveis associadas ao Interligador de Barras 525 kV, IB DJ1132, da SE Machadinho.</t>
  </si>
  <si>
    <t>0006861/2024</t>
  </si>
  <si>
    <t>RDP - DJ1132</t>
  </si>
  <si>
    <t>Substituição de 02 (dois) conjuntos de Isoladores Pedestal 230kV posição operacional 04BA da Subestação MRD</t>
  </si>
  <si>
    <t>0006865/2024</t>
  </si>
  <si>
    <t>12627521</t>
  </si>
  <si>
    <t>Substituição de 06 (seis) conjuntos de Isoladores Pedestal 69kV posição operacional 02BP-1 da Subestação CGD</t>
  </si>
  <si>
    <t>0006867/2024</t>
  </si>
  <si>
    <t>12627522</t>
  </si>
  <si>
    <t>Substituição de conjunto de Resistor de Aterramento (Banco 1) associado ao TR1 na SE GRAVATAI.</t>
  </si>
  <si>
    <t>0007063/2024</t>
  </si>
  <si>
    <t>RAT13,8 TF1 (Banco 1)</t>
  </si>
  <si>
    <t>Substituição de Transformador de Potencial Capacitivo 230 kV, referente a EL da LT Charqueadas - Santa Cruz C-1, Fase A. Associado à obra são esperadas substituições/adaptações de fundações, suportes, caixa de junção, cabos de controle/potência, barramento, conectores e conexão de aterramento</t>
  </si>
  <si>
    <t>0006869/2024</t>
  </si>
  <si>
    <t>Substituição de 07 (sete) conjuntos de Isoladores Pedestal 69kV posição operacional 02BA-1 da Subestação CGD</t>
  </si>
  <si>
    <t>0006870/2024</t>
  </si>
  <si>
    <t>12627523</t>
  </si>
  <si>
    <t>LT 230 kV FORQUILHINHA / L.GRANDE C-1</t>
  </si>
  <si>
    <t>Substituição de 01 torre metálica completa da LT 230 kV Forquilhinha - Lajeado Grande C-1. A torre envolvida é a de número de operação: 060.</t>
  </si>
  <si>
    <t>LT 230 kV FORQUILHINHA / L.GRANDE C-1 SC</t>
  </si>
  <si>
    <t>0006872/2024</t>
  </si>
  <si>
    <t>Substituição de 11 (onze) conjuntos de Isoladores Pedestal 230kV posição operacional 04BP da Subestação CGD</t>
  </si>
  <si>
    <t>0006873/2024</t>
  </si>
  <si>
    <t>12627524</t>
  </si>
  <si>
    <t>LT 230 kV FORQUILHINHA / SIDEROPOLIS ESU C-1</t>
  </si>
  <si>
    <t>Substituição de 01 torre metálica (somente Estrutura) da LT 230 kV Forquilhinha - Siderópolis C-1. A torre envolvida é a de número de operação: 021.</t>
  </si>
  <si>
    <t>LT 230 kV FORQUILHINHA / SIDEROPOLIS ESU C-1 SC</t>
  </si>
  <si>
    <t>0006877/2024</t>
  </si>
  <si>
    <t>Substituição de 11 (onze) conjuntos de Isoladores Pedestal 230kV posição operacional 04BA da Subestação CGD</t>
  </si>
  <si>
    <t>0006878/2024</t>
  </si>
  <si>
    <t>12627525</t>
  </si>
  <si>
    <t>Substituição de Transformador de Aterramento (Banco 2) 13,8 kV, 0,25MVA, fase A, arranjo BS, associado ao TR1 na  SE GRAVATAI.</t>
  </si>
  <si>
    <t>0006881/2024</t>
  </si>
  <si>
    <t>TFAT13,8 TF1-A (Banco 2)</t>
  </si>
  <si>
    <t>Substituição de 04 (quatro) conjuntos de Isoladores Pedestal 69kV posição operacional 02BP-1 da Subestação JDM</t>
  </si>
  <si>
    <t>0006883/2024</t>
  </si>
  <si>
    <t>12627527</t>
  </si>
  <si>
    <t>Substituição de 08 (oito) conjuntos de Isoladores Pedestal 69kV posição operacional 02BP-2 da Subestação JDM</t>
  </si>
  <si>
    <t>0006889/2024</t>
  </si>
  <si>
    <t>12627528</t>
  </si>
  <si>
    <t>Substituição dos cubículos e disjuntores 13,8 kV, referentes aos Serviços Auxiliares da SE Nova Santa Rita, e dos cabos associados.</t>
  </si>
  <si>
    <t>0006893/2024</t>
  </si>
  <si>
    <t>SKO1 / SKO2 / SKO3 / SKO4 / SKO5</t>
  </si>
  <si>
    <t>Substituição de 01 (um) conjunto de Isoladores Pedestal 69kV posição operacional 02BP-3 da Subestação JDM</t>
  </si>
  <si>
    <t>0006895/2024</t>
  </si>
  <si>
    <t>12627517</t>
  </si>
  <si>
    <t>Substituição de Transformador de Aterramento (Banco 2) 13,8 kV, 0,25MVA, fase B, arranjo BS, associado ao TR1 na  SE GRAVATAI.</t>
  </si>
  <si>
    <t>0006896/2024</t>
  </si>
  <si>
    <t>TFAT13,8 TF1-B (Banco 2)</t>
  </si>
  <si>
    <t>Substituição de 15 (quinze) conjuntos de Isoladores Pedestal 69kV posição operacional 02BA da Subestação JDM</t>
  </si>
  <si>
    <t>0006899/2024</t>
  </si>
  <si>
    <t>12627529</t>
  </si>
  <si>
    <t>Substituição dos Painéis de Distribuição 125 VCC (2PD01, 5PD34, 5PD56, 5SC1, 5SC2) e cabos associados, referentes aos Serviços Auxiliares da SE Nova Santa Rita.</t>
  </si>
  <si>
    <t>0006900/2024</t>
  </si>
  <si>
    <t>Substituição dos Painéis de Distribuição 380 VCA (5SA4A, 5SA4B) e cabos associados, referentes aos Serviços Auxiliares da SE Nova Santa Rita.</t>
  </si>
  <si>
    <t>0009022/2024</t>
  </si>
  <si>
    <t>Substituição de Transformador de Aterramento (Banco 2) 13,8 kV, 0,25MVA, fase C, arranjo BS, associado ao TR1 na  SE GRAVATAI.</t>
  </si>
  <si>
    <t>0006906/2024</t>
  </si>
  <si>
    <t>TFAT13,8 TF1-C (Banco 2)</t>
  </si>
  <si>
    <t>Substituição de 01 (uma) Seccionadora 6.9 kV posição operacional 36H1-8 da Subestação NTD</t>
  </si>
  <si>
    <t>CE 20/-0 Mvar NATAL II CE1 RN (06Q1)</t>
  </si>
  <si>
    <t>0006909/2024</t>
  </si>
  <si>
    <t>11338477</t>
  </si>
  <si>
    <t>Substituição chave-seccionadora SC831, 345kV, arranjo BD5, associado ao AT03, na SE CAMPINAS.</t>
  </si>
  <si>
    <t>0006910/2024</t>
  </si>
  <si>
    <t>SC831</t>
  </si>
  <si>
    <t>Substituição de 01 (uma) Seccionadora 6,9 kV posição operacional 36H2-7 da Subestação NTD</t>
  </si>
  <si>
    <t>0006911/2024</t>
  </si>
  <si>
    <t>11343412</t>
  </si>
  <si>
    <t>Substituição do Sistema de Registro de Perturbação das posições operacionais 02M2 e 02V2, na subestação ABAIXADORA, composto por: 01 Oscilógrafo.</t>
  </si>
  <si>
    <t>0006915/2024</t>
  </si>
  <si>
    <t>11446307</t>
  </si>
  <si>
    <t>Substituição chave-seccionadora SC833, 345kV, arranjo BD5, associado ao AT03, na SE CAMPINAS.</t>
  </si>
  <si>
    <t>0006917/2024</t>
  </si>
  <si>
    <t>SC833</t>
  </si>
  <si>
    <t>Substituição do Sistema de Registro de Perturbação das posições operacionais 04T3 e 04T5, na subestação ACU II, composto por: 01 Oscilógrafo.</t>
  </si>
  <si>
    <t>0006921/2024</t>
  </si>
  <si>
    <t>11446241</t>
  </si>
  <si>
    <t>Substituição chave-seccionadora SC835, 345kV, arranjo BD5, associado ao AT03, na SE CAMPINAS.</t>
  </si>
  <si>
    <t>0006922/2024</t>
  </si>
  <si>
    <t>SC835</t>
  </si>
  <si>
    <t>Substituição de 01 (uma) Seccionadora 6.9 kV posição operacional 36H2-8 da Subestação NTD</t>
  </si>
  <si>
    <t>0006925/2024</t>
  </si>
  <si>
    <t>11338478</t>
  </si>
  <si>
    <t>Substituição dos cubículos de 15 kV, na SE GRAVATAÍ.</t>
  </si>
  <si>
    <t>MG 525 kV GRAVATAI MG1 RS</t>
  </si>
  <si>
    <t>0006927/2024</t>
  </si>
  <si>
    <t>Cubículo</t>
  </si>
  <si>
    <t>Substituição de 01 (uma) Seccionadora 6,9 kV posição operacional 36H3-7 da Subestação NTD</t>
  </si>
  <si>
    <t>0006928/2024</t>
  </si>
  <si>
    <t>11343413</t>
  </si>
  <si>
    <t>Substituição de 01 (uma) Seccionadora 6.9 kV posição operacional 36H3-8 da Subestação NTD</t>
  </si>
  <si>
    <t>0006931/2024</t>
  </si>
  <si>
    <t>11338479</t>
  </si>
  <si>
    <t>Substituição de 01 (uma) Seccionadora 6,9 kV posição operacional 36H4-7 da Subestação NTD</t>
  </si>
  <si>
    <t>0006932/2024</t>
  </si>
  <si>
    <t>11343414</t>
  </si>
  <si>
    <t>Substituição do Sistema de Registro de Perturbação da posição operacional 03T1, na subestação PILOES, composto por: 01 Oscilógrafo.</t>
  </si>
  <si>
    <t>MG 138 kV PILOES MG1 PB</t>
  </si>
  <si>
    <t>0006933/2024</t>
  </si>
  <si>
    <t>11449583</t>
  </si>
  <si>
    <t>Substituição de 01 (uma) Seccionadora 6.9 kV posição operacional 36H4-8 da Subestação NTD</t>
  </si>
  <si>
    <t>0006934/2024</t>
  </si>
  <si>
    <t>11338480</t>
  </si>
  <si>
    <t>Substituição de 01 (uma) Seccionadora 6,9 kV posição operacional 36H5-7 da Subestação NTD</t>
  </si>
  <si>
    <t>CE 20/-0 Mvar NATAL II CE2 RN (06Q2)</t>
  </si>
  <si>
    <t>0006935/2024</t>
  </si>
  <si>
    <t>11343415</t>
  </si>
  <si>
    <t>Substituição de 01 (uma) Seccionadora 6.9 kV posição operacional 36H5-8 da Subestação NTD</t>
  </si>
  <si>
    <t>0006936/2024</t>
  </si>
  <si>
    <t>11338481</t>
  </si>
  <si>
    <t>Dispositivo de Proteção Relé</t>
  </si>
  <si>
    <t>Substituição do sistema de SPCS do Banco de Capacitor 2 de 13,8kV da SE Sinop (SPBC202).</t>
  </si>
  <si>
    <t>0007126/2024</t>
  </si>
  <si>
    <t>SPBC202</t>
  </si>
  <si>
    <t>Substituição de bateria - 125 Vcc - SACC125-BAT52 (setor de 525 kV) na SE Santo Ângelo.</t>
  </si>
  <si>
    <t>0006938/2024</t>
  </si>
  <si>
    <t>Substituição de sistema de oscilógrafa Registrador digital de perturbações - RDP-4 - CE201.</t>
  </si>
  <si>
    <t>BC 13,8 kV 9,6 MVAr COXIPO BC2 MT</t>
  </si>
  <si>
    <t>0007322/2024</t>
  </si>
  <si>
    <t>CXSPR01-AY</t>
  </si>
  <si>
    <t>Substituição de 01 (uma) Seccionadora 6,9 kV posição operacional 36H6-7 da Subestação NTD</t>
  </si>
  <si>
    <t>0006939/2024</t>
  </si>
  <si>
    <t>11343416</t>
  </si>
  <si>
    <t>Substituição do sistema de SPCS do Banco de Capacitores 1 da SE Ji-Paraná ( JPBC6-01.) Será necessário o desligamento da FT do banco JPBC6-01, JPBC6-02 e JPBC6-03</t>
  </si>
  <si>
    <t>0007130/2024</t>
  </si>
  <si>
    <t>JPSPR01-06FX</t>
  </si>
  <si>
    <t>Substituição do sistema de SPCS do Banco de Capacitores 2 da SE Ji-Paraná ( JPBC6-02.) Será necessário o desligamento da FT do banco JPBC6-01, JPBC6-02 e JPBC6-03</t>
  </si>
  <si>
    <t>0007326/2024</t>
  </si>
  <si>
    <t>Substituição de bateria - 48 Vcc - SACC48-BAT1 na SE Siderópolis.</t>
  </si>
  <si>
    <t>0006941/2024</t>
  </si>
  <si>
    <t>Substituição de 01 (uma) Seccionadora 6.9 kV posição operacional 36H6-8 da Subestação NTD</t>
  </si>
  <si>
    <t>0006942/2024</t>
  </si>
  <si>
    <t>11338482</t>
  </si>
  <si>
    <t>Substituição do sistema de SPCS do Banco de Capacitores 3 da SE Ji-Paraná ( JPBC6-03.) Será necessário o desligamento da FT do banco JPBC6-01, JPBC6-02 e JPBC6-03</t>
  </si>
  <si>
    <t>0007327/2024</t>
  </si>
  <si>
    <t>Substituição do sistema de SPCS do Banco de Capacitores 1 da SE Sinop (SPBC6-01.) Será necessário o desligamento da FT do banco SPBC6-01</t>
  </si>
  <si>
    <t>BC 230 kV 30 MVAr SINOP BC1 MT</t>
  </si>
  <si>
    <t>0007331/2024</t>
  </si>
  <si>
    <t>SPBC6-01</t>
  </si>
  <si>
    <t>Substituição de bateria - 48 Vcc - SACC48-BAT2 na SE Siderópolis.</t>
  </si>
  <si>
    <t>0006944/2024</t>
  </si>
  <si>
    <t>Substituição do sistemas da instrumentação e do sistema de controle e proteção do Compensador Estático 1 da SE Sinop - SPCE1-01.</t>
  </si>
  <si>
    <t>0007332/2024</t>
  </si>
  <si>
    <t>SPCE1-01</t>
  </si>
  <si>
    <t>Substituição de 01 (uma) Seccionadora 6,9 kV posição operacional 36H7-7 da Subestação NTD</t>
  </si>
  <si>
    <t>0006945/2024</t>
  </si>
  <si>
    <t>11343417</t>
  </si>
  <si>
    <t>Substituição do sistema de SPCS do vão da linha de Transmissão de Sinop DIST1 (SNSPLI501) na SE SINOP.</t>
  </si>
  <si>
    <t>0007337/2024</t>
  </si>
  <si>
    <t>SNSPLI501</t>
  </si>
  <si>
    <t>Substituição de Multiplexador Óptico SDH, na subestação B. ESPERANCA, composto por: 01 Multiplexador.</t>
  </si>
  <si>
    <t>0006946/2024</t>
  </si>
  <si>
    <t>11373020</t>
  </si>
  <si>
    <t>Substituir sistema de SPCS do linha Abunã Rio Branco 230kV C2 na SE Abunã (ANRBLT6-02-ANRE605-ANSPR01). Será necessário o desligamento da própria linha ANRBLT6-02 e do reator ANRE6-05.</t>
  </si>
  <si>
    <t>0007342/2024</t>
  </si>
  <si>
    <t>ANSPR01-06BY</t>
  </si>
  <si>
    <t>Substituição de bateria - 125 Vcc - SACC125-BAT2 na SE Santa Vitória do Palmar 2.</t>
  </si>
  <si>
    <t>0006947/2024</t>
  </si>
  <si>
    <t>Substituir o RDP - ECIL OSC-1000 que contemplam a linha RVBP-LI6-0.</t>
  </si>
  <si>
    <t>LT 230 kV RIB.GONCALVES /BALSAS C-1 PI/MA</t>
  </si>
  <si>
    <t>0007346/2024</t>
  </si>
  <si>
    <t>RVBPLI6-01</t>
  </si>
  <si>
    <t>Substituição de 01 (uma) Seccionadora 6.9 kV posição operacional 36H7-8 da Subestação NTD</t>
  </si>
  <si>
    <t>0006948/2024</t>
  </si>
  <si>
    <t>11338483</t>
  </si>
  <si>
    <t>Substituição de sistema de oscilógrafa Registrador digital de perturbações - RPV 310 - CXNBLT601.</t>
  </si>
  <si>
    <t>0007347/2024</t>
  </si>
  <si>
    <t>CXSPRLT-B1Y</t>
  </si>
  <si>
    <t>Substituição de Multiplexador Óptico SDH, na subestação DELM. GOUVEIA, composto por: 01 Multiplexador.</t>
  </si>
  <si>
    <t>0006949/2024</t>
  </si>
  <si>
    <t>11374707</t>
  </si>
  <si>
    <t>Substituição de bateria - 48 Vcc - SACC48-BAT2 na SE Santa Vitória do Palmar 2.</t>
  </si>
  <si>
    <t>0006950/2024</t>
  </si>
  <si>
    <t>Substituição de 01 (uma) Seccionadora 6,9 kV posição operacional 36H8-7 da Subestação NTD</t>
  </si>
  <si>
    <t>0006952/2024</t>
  </si>
  <si>
    <t>11343418</t>
  </si>
  <si>
    <t>Substituição de sistema de oscilógrafa Registrador digital de perturbações - RPV 310 - RPCXLT601.</t>
  </si>
  <si>
    <t>0007352/2024</t>
  </si>
  <si>
    <t>CXSPRPP-CX</t>
  </si>
  <si>
    <t>Substituição de Multiplexador Óptico SDH, na subestação STO.A.JESUS, composto por: 01 Multiplexador.</t>
  </si>
  <si>
    <t>0006954/2024</t>
  </si>
  <si>
    <t>11374134</t>
  </si>
  <si>
    <t>Substituição de sistema de oscilógrafa Registrador digital de perturbações - RPV 310 - RPCXLT602.</t>
  </si>
  <si>
    <t>0007353/2024</t>
  </si>
  <si>
    <t>CXSPR01-DX</t>
  </si>
  <si>
    <t>Substituição de bateria - 48 Vcc - SACC48-BAT2 na SE Tapera 2.</t>
  </si>
  <si>
    <t>0006955/2024</t>
  </si>
  <si>
    <t>Substituição de sistema de oscilógrafa Registrador digital de perturbações - RPV 310 - JUVDLI601.</t>
  </si>
  <si>
    <t>0007355/2024</t>
  </si>
  <si>
    <t>JUVDLI6-01</t>
  </si>
  <si>
    <t>Substituição de 01 (uma) Seccionadora 6.9 kV posição operacional 36H8-8 da Subestação NTD</t>
  </si>
  <si>
    <t>0006956/2024</t>
  </si>
  <si>
    <t>11338484</t>
  </si>
  <si>
    <t>Substituição de sistema de oscilógrafa Registrador digital de perturbações - RPV 310 - JUVDLI602</t>
  </si>
  <si>
    <t>0007357/2024</t>
  </si>
  <si>
    <t>JUVDLI6-02</t>
  </si>
  <si>
    <t>Substituição de Multiplexador Óptico SDH, na subestação EUNAPOLIS, composto por: 01 Multiplexador.</t>
  </si>
  <si>
    <t>0006959/2024</t>
  </si>
  <si>
    <t>11374139</t>
  </si>
  <si>
    <t>Substituição de Retificador (Carregador de Baterias) 125 Vcc - SACC125-RET1, da SE Tapera 2.</t>
  </si>
  <si>
    <t>0006960/2024</t>
  </si>
  <si>
    <t>Substituição do Sistema de Proteção e Controle (SPCS) da linha Nova Mutum - Sorriso circuito 1, na SE Nova Mutum, (QPC1-6CY - UCD1-2).</t>
  </si>
  <si>
    <t>LT 230 kV NOVA MUTUM /SORRISO C-1 MT</t>
  </si>
  <si>
    <t>0007367/2024</t>
  </si>
  <si>
    <t>NMSPRLT-6CY</t>
  </si>
  <si>
    <t>Substituição de 01 (uma) Seccionadora 13.8 kV posição operacional 41T8-8 da Subestação IRE</t>
  </si>
  <si>
    <t>0006961/2024</t>
  </si>
  <si>
    <t>12621037</t>
  </si>
  <si>
    <t>Substituição de sistema de oscilógrafa Registrador digital de perturbações - RPV 310 - AQTC6-01 - Vão 06AX</t>
  </si>
  <si>
    <t>MG 230 kV ARIQUEMES MG1 RO</t>
  </si>
  <si>
    <t>0007368/2024</t>
  </si>
  <si>
    <t>AQTC601-06AX</t>
  </si>
  <si>
    <t>Substituição de sistema de oscilografia Registrador digital de perturbações - RPV 310 - AQTC601 - Vão 06CX.</t>
  </si>
  <si>
    <t>0007370/2024</t>
  </si>
  <si>
    <t>AQTC601-06CX</t>
  </si>
  <si>
    <t>Substituição de Retificador (Carregador de Baterias) 125 Vcc - SACC125-RET2, da SE Tapera 2.</t>
  </si>
  <si>
    <t>0006964/2024</t>
  </si>
  <si>
    <t>Substituição de sistema de oscilógrafa Registrador digital de perturbações - RPV 310 - AQTC601 - Vão 06AY</t>
  </si>
  <si>
    <t>0007371/2024</t>
  </si>
  <si>
    <t>AQTC601-06AY</t>
  </si>
  <si>
    <t>Substituição de 01 (um) conjunto de TP de medição 13.8 kV posição operacional 81k1 da Subestação IRE</t>
  </si>
  <si>
    <t>0006966/2024</t>
  </si>
  <si>
    <t>12621102</t>
  </si>
  <si>
    <t>Substituição do SPCS da Unidade de Controle do vão de transferência (interligação de barras) da SE Ji-Paraná (JPSPR01). Será necessário do desligamento das barras JPBR6-01 e JPBR6-02.</t>
  </si>
  <si>
    <t>0007372/2024</t>
  </si>
  <si>
    <t>JPSPR01</t>
  </si>
  <si>
    <t>Substituir da proteção de Barras da SE Pimenta Bueno (UPDB-UNID. Prot. Barra 7SS52 siemens) . Para execução desta melhoria será necessário a indisponibilidade de atuação da proteção de barras 01 e 02 da SE Pimenta Bueno e de todos os vãos da SE Pimenta Bueno.</t>
  </si>
  <si>
    <t>MG 230 kV PIMENTA BUENO MG1 RO</t>
  </si>
  <si>
    <t>0007375/2024</t>
  </si>
  <si>
    <t>PBSPR01</t>
  </si>
  <si>
    <t>Substituição de 01 (um) TC 13.8 kV posição operacional 91k1-2 da Subestação IRE</t>
  </si>
  <si>
    <t>0006968/2024</t>
  </si>
  <si>
    <t>12621103</t>
  </si>
  <si>
    <t>Substituição de 02 Monitores De 50" para substituir as telas do SAGE na SE Abunã (ANAUS00).</t>
  </si>
  <si>
    <t>0007376/2024</t>
  </si>
  <si>
    <t>ANAUS00</t>
  </si>
  <si>
    <t>Substituir sistema de SPCS do Serviço Auxiliar CC da SE Abunã (ANSPR00 - SSC01). Será necessário o desligamento do proprio Serviço Auxiliar CC da SE Abunã.</t>
  </si>
  <si>
    <t>0007377/2024</t>
  </si>
  <si>
    <t>ANSPR00 - SSC01</t>
  </si>
  <si>
    <t>Substituir sistema de SPCS do Serviço Auxiliar CA da SE Abunã (ANSPR00 - SSA01). Será necessário o desligamento do proprio Serviço Auxiliar CA da SE Abunã.</t>
  </si>
  <si>
    <t>0007378/2024</t>
  </si>
  <si>
    <t>ANSPR00 - SSA01</t>
  </si>
  <si>
    <t>Substituição de 01 (um) TC 13.8 kV posição operacional 91k1-3.A da Subestação IRE</t>
  </si>
  <si>
    <t>0006969/2024</t>
  </si>
  <si>
    <t>12621104</t>
  </si>
  <si>
    <t>Substituição de bateria - 125 Vcc - SACC125-BAT2 na SE Mimoso (vinculada a LT 138 kV Mimoso - Campo Grande C-4).</t>
  </si>
  <si>
    <t>0006970/2024</t>
  </si>
  <si>
    <t>Substituição de 02 Monitores De 50" para substituir as telas do SAGE na SE Ariquemes. Será necessário o desligamento de toda supervisão da SE Ariquemes.</t>
  </si>
  <si>
    <t>0007380/2024</t>
  </si>
  <si>
    <t>MG (AQAUS00)</t>
  </si>
  <si>
    <t>Substituição do Sistema de Registro de Perturbação na Entrada de Linha 04S1, na subestação CEARA MIRIM II, composto por: 01 Oscilógrafo.</t>
  </si>
  <si>
    <t>LT 230 kV TOUROS /CEARA MIRIM II C-1 RN</t>
  </si>
  <si>
    <t>0006971/2024</t>
  </si>
  <si>
    <t>12445133</t>
  </si>
  <si>
    <t>Substituição SPCS do vão de transferência (- CJBR6-01-SPR01). Com desligamento do próprio vão de transferência e disjuntor e seccionadoras.</t>
  </si>
  <si>
    <t>0007390/2024</t>
  </si>
  <si>
    <t>CJBR6-01</t>
  </si>
  <si>
    <t>Substituição de 01 (um) TC 13.8 kV posição operacional 91k1-3.B da Subestação IRE</t>
  </si>
  <si>
    <t>0006973/2024</t>
  </si>
  <si>
    <t>12621105</t>
  </si>
  <si>
    <t>Substituição de 02 Monitores De 50" para substituir as telas do SAGE da SE Jaru. Será necessário o desligamento de toda supervisão da SE Jaru.</t>
  </si>
  <si>
    <t>MG 230 kV JARU MG1 RO</t>
  </si>
  <si>
    <t>0007389/2024</t>
  </si>
  <si>
    <t>MG (JRAUS01)</t>
  </si>
  <si>
    <t>Substituição de bateria - 48 Vcc - SACC48-BAT1 na SE Mimoso (vinculada a LT 138 kV Mimoso - Campo Grande C-4).</t>
  </si>
  <si>
    <t>0006974/2024</t>
  </si>
  <si>
    <t>Substituição do Sistema de proteção e controle de Barra única (JUSPRAT01 - BR201) de 13.8KV - . Como existe apenas uma barra única de 13,8 KV, haverá necessidade de desligameno do lado de baixa das FT JUAT601, JUAT602 e todo o barramento de 13,8kV.</t>
  </si>
  <si>
    <t>0007387/2024</t>
  </si>
  <si>
    <t>JUSPRAT01</t>
  </si>
  <si>
    <t>Substituição do Sistema de Registro de Perturbação na Entrada de Linha 04S4, na subestação MESSIAS, composto por: 01 Oscilógrafo.</t>
  </si>
  <si>
    <t>0006975/2024</t>
  </si>
  <si>
    <t>12445621</t>
  </si>
  <si>
    <t>Substituição do sistema de proteção e controle do sistema de 13.8KV ( JUSPRAT6-02 - BR202.) Como existe apenas uma barra única de 13,8 KV, haverá necessidade de desligameno do lado de baixa das FT JUAT6-01, JUAT6-02 e todo o barramento de 13,8kV.</t>
  </si>
  <si>
    <t>0007385/2024</t>
  </si>
  <si>
    <t>JUSPRAT02</t>
  </si>
  <si>
    <t>Substituição de 01 (um) TC 13.8 kV posição operacional 91k1-3.C da Subestação IRE</t>
  </si>
  <si>
    <t>0006978/2024</t>
  </si>
  <si>
    <t>12621106</t>
  </si>
  <si>
    <t>Substituição do sistema de proteção e controle do sistema (SPCS) do serviço auxiliar 1 (JUSPRAT - SSA01). Será necessário o desligamento do proprio Serviço Auxiliar CC e CA da SE Jauru.</t>
  </si>
  <si>
    <t>0007384/2024</t>
  </si>
  <si>
    <t>JUSPRAT - SSA01</t>
  </si>
  <si>
    <t>Substituição de bateria - 48 Vcc - SACC48-BAT2 na SE Mimoso (vinculada a LT 138 kV Mimoso - Campo Grande C-4).</t>
  </si>
  <si>
    <t>0006980/2024</t>
  </si>
  <si>
    <t>Substituição do Sistema de Registro de Perturbação associado ao vão de Entrada de Linha 04N2 (LT 230 kV GARANHUNS II /ANGELIM C-1), na subestação ANGELIM, composto por: 01 Oscilógrafo e infraestrutura de comunicação associada.</t>
  </si>
  <si>
    <t>0006982/2024</t>
  </si>
  <si>
    <t>12442036</t>
  </si>
  <si>
    <t>Substituição do microcomputador 2 (SICAM PAS 1-UIN MG230-AUS00) interface das unidades de controle e proteção para o SAGE da SE Ji-Paraná. Será necessário o desligamento de toda supervisão da SE Jí-Paraná.</t>
  </si>
  <si>
    <t>0007397/2024</t>
  </si>
  <si>
    <t>MG230-AUS00</t>
  </si>
  <si>
    <t>Substituição de 01 (um) TC 13.8 kV posição operacional 91k1-4.A da Subestação IRE</t>
  </si>
  <si>
    <t>0006985/2024</t>
  </si>
  <si>
    <t>12621107</t>
  </si>
  <si>
    <t>Substituição do microcomputador 1 (SICAM PAS 2-UIN- MG230-AUS00) da SE Ji-Paraná. interface entre as unidades de controle e proteção para o SAGE. Será necessário o desligamento de toda supervisão da SE Jí-Paraná.</t>
  </si>
  <si>
    <t>0007398/2024</t>
  </si>
  <si>
    <t>0006986/2024</t>
  </si>
  <si>
    <t>Substituir sistema de SPCS do Serviço Auxiliar CC da SE Ji-Paraná (JPSPR00 - SSA01).</t>
  </si>
  <si>
    <t>0007399/2024</t>
  </si>
  <si>
    <t>JPSPR00 - SSA01</t>
  </si>
  <si>
    <t>Substituição do Sistema de Registro de Perturbação associado ao vão de Entrada de Linha 04M1 (LT 230 kV CATU /CAMACARI IV C-1), na subestação CATU, composto por: 01 Oscilógrafo e infraestrutura de comunicação associada.</t>
  </si>
  <si>
    <t>0006987/2024</t>
  </si>
  <si>
    <t>12447625</t>
  </si>
  <si>
    <t>Substituir sistema de SPCS do Serviço Auxiliar CA da SE Jiparaná (JPSPR00- SSA01). Será necessário o desligamento de toda supervisão da SE Jí-Paraná.</t>
  </si>
  <si>
    <t>0007401/2024</t>
  </si>
  <si>
    <t>JPSPR00- SSA01</t>
  </si>
  <si>
    <t>Substituição de 01 (um) TC 13.8 kV posição operacional 91k1-4.B da Subestação IRE</t>
  </si>
  <si>
    <t>0006990/2024</t>
  </si>
  <si>
    <t>12621108</t>
  </si>
  <si>
    <t>Substituição de 02 Monitores De 50" para substituir as telas do SAGE na SE Ji-Paraná.</t>
  </si>
  <si>
    <t>0007403/2024</t>
  </si>
  <si>
    <t>Substituição do SPCS da Unidade de Controle do vão de transferência - (NBSPRBR601). Será necessário o desligamento barra 01.</t>
  </si>
  <si>
    <t>0007407/2024</t>
  </si>
  <si>
    <t>NBSPRBR601</t>
  </si>
  <si>
    <t>Substituição do Sistema de Registro de Perturbação associado ao vão de Entrada de Linha  04M2 (LT 230 kV CATU /CAMACARI IV C-2), na subestação CATU, composto por: 01 Oscilógrafo e infraestrutura de comunicação associada.</t>
  </si>
  <si>
    <t>0006992/2024</t>
  </si>
  <si>
    <t>12447633</t>
  </si>
  <si>
    <t>Substituição de 01 (um) TC 13.8 kV posição operacional 91k1-4.C da Subestação IRE</t>
  </si>
  <si>
    <t>0006994/2024</t>
  </si>
  <si>
    <t>12621109</t>
  </si>
  <si>
    <t>Substituição de 02 Monitores De 50" para substituir as telas do SAGE da SE Pimenta Bueno (PBSPR01). Será necessário o desligamento de toda supervisão da SE Pimenta Bueno.</t>
  </si>
  <si>
    <t>0007408/2024</t>
  </si>
  <si>
    <t>MG (PBSPR01)</t>
  </si>
  <si>
    <t>Substituição do Microcomputador 1 (Sicam PAS 1-UIN-1) interface das unidades de controle e proteção para o SAGE da SE Pimenta Bueno. Será necessário o desligamento de toda supervisão da SE Pimenta Bueno.</t>
  </si>
  <si>
    <t>0007409/2024</t>
  </si>
  <si>
    <t>AUS01</t>
  </si>
  <si>
    <t>Substituição do Sistema de Registro de Perturbação associado ao vão de Entrada de Linha 04M1 (LT 230 kV CATU /CAMACARI IV C-1), na subestação CAMACARI IV, composto por: 01 Oscilógrafo e infraestrutura de comunicação associada.</t>
  </si>
  <si>
    <t>0007157/2024</t>
  </si>
  <si>
    <t>12447743</t>
  </si>
  <si>
    <t>Substituição de 01 (um) TC 13.8 kV posição operacional 91k1-5.A da Subestação IRE</t>
  </si>
  <si>
    <t>0006997/2024</t>
  </si>
  <si>
    <t>12621110</t>
  </si>
  <si>
    <t>Substituição do Microcomputador 2 (Sicam PAS 2-UIN-2) interface das unidades de controle e proteção para o SAGE da SE Pimenta Bueno. Será necessário o desligamento de toda supervisão da SE Pimenta Bueno.</t>
  </si>
  <si>
    <t>0007411/2024</t>
  </si>
  <si>
    <t>Substituição de 02 Monitores De 50" para substituir as telas do SAGE -na SE Porto Velho (U29PBVSPR01). Será necessário o desligamento de toda supervisão da SE Porto Velho.</t>
  </si>
  <si>
    <t>0007412/2024</t>
  </si>
  <si>
    <t>MG (PVAUS00)</t>
  </si>
  <si>
    <t>Substituição do microcomputador 1 (Sicam PAS 1-UIN-1 MG230-SSA01) interface entre as unidades de controle e proteção para o SAGE na SE Porto Velho. Será necessário o desligamento de toda supervisão da SE Porto Velho.</t>
  </si>
  <si>
    <t>0007418/2024</t>
  </si>
  <si>
    <t>AUS00</t>
  </si>
  <si>
    <t>Substituição de 01 (um) TC 13.8 kV posição operacional 91k1-5.B da Subestação IRE</t>
  </si>
  <si>
    <t>0006999/2024</t>
  </si>
  <si>
    <t>12621111</t>
  </si>
  <si>
    <t>Substituição do Sistema de Registro de Perturbação associado ao vão de Entrada de Linha  04M2 (LT 230 kV CATU /CAMACARI IV C-2), na subestação CAMACARI IV, composto por: 01 Oscilógrafo e infraestrutura de comunicação associada.</t>
  </si>
  <si>
    <t>0007000/2024</t>
  </si>
  <si>
    <t>12447741</t>
  </si>
  <si>
    <t>Substituição de Microcomputador 3 (Sicam PAS 2-UIN-2 MG230-SSA01) interface entre as unidades de controle e proteção para o SAGE na SE Porto Velho. Será necessário o desligamento de toda supervisão da SE Porto Velho.</t>
  </si>
  <si>
    <t>0007428/2024</t>
  </si>
  <si>
    <t>SSA01</t>
  </si>
  <si>
    <t>Substituição de Microcomputador 2 (Sicam PAS 1-UIN-1 - PVAUS00) interface entre as unidades de controle e proteção para o SAGE. Será necessário o desligamento de toda supervisão da SE Porto Velho.</t>
  </si>
  <si>
    <t>0007419/2024</t>
  </si>
  <si>
    <t>Substituição de 01 (um) TC 13.8 kV posição operacional 91k1-5.C da Subestação IRE</t>
  </si>
  <si>
    <t>0007003/2024</t>
  </si>
  <si>
    <t>12621112</t>
  </si>
  <si>
    <t>Substituição de Microcomputador 4 (Sicam PAS 2-UIN-2 - PVAUS00) interface entre as unidades de controle e proteção para o SAGE, na SE Porto Velho. Será necessário o desligamento de toda supervisão da SE Porto Velho.</t>
  </si>
  <si>
    <t>0007420/2024</t>
  </si>
  <si>
    <t>Substituição de 02 Monitores De 50" para substituir as telas do SAGE da SE Samuel (SMAUS00). Será necessário o desligamento de toda supervisão da SE Samuel.</t>
  </si>
  <si>
    <t>0007422/2024</t>
  </si>
  <si>
    <t>MG (SMAUS00)</t>
  </si>
  <si>
    <t>Substituição da Unidade de Controle do vão de transferência. BR601-SPSPRBR. Será necessário o desligamento do vão de transferência e disjunto e seccionadoras.</t>
  </si>
  <si>
    <t>MG 230 kV SINOP MG1 MT</t>
  </si>
  <si>
    <t>0007430/2024</t>
  </si>
  <si>
    <t>SPSPRBR-CY</t>
  </si>
  <si>
    <t>Substituição de 01 (um) TC 13.8 kV posição operacional 91T9.A da Subestação IRE</t>
  </si>
  <si>
    <t>0007005/2024</t>
  </si>
  <si>
    <t>12621113</t>
  </si>
  <si>
    <t>Substituição de 01 (um) TC 13.8 kV posição operacional 91T9.B da Subestação IRE</t>
  </si>
  <si>
    <t>0007009/2024</t>
  </si>
  <si>
    <t>12621114</t>
  </si>
  <si>
    <t>Substituição do Sistema de Registro de Perturbação associado ao vão de Entrada de Linha  04L3 (LT 230 kV COTEGIPE /JACARACANGA C-1), na subestação COTEGIPE, composto por: 01 Oscilógrafo e infraestrutura de comunicação associada.</t>
  </si>
  <si>
    <t>0007010/2024</t>
  </si>
  <si>
    <t>12448378</t>
  </si>
  <si>
    <t>Substituição de 01 (um) TC 13.8 kV posição operacional 91T9.C da Subestação IRE</t>
  </si>
  <si>
    <t>0007013/2024</t>
  </si>
  <si>
    <t>12621115</t>
  </si>
  <si>
    <t>Substituição do Sistema de Registro de Perturbação associado ao vão de Entrada de Linha  04L4 (LT 230 kV COTEGIPE /MATATU C-1), na subestação COTEGIPE, composto por: 01 Oscilógrafo e infraestrutura de comunicação associada.</t>
  </si>
  <si>
    <t>0007154/2024</t>
  </si>
  <si>
    <t>12448382</t>
  </si>
  <si>
    <t>Substituição de 01 (um) TC 13.8 kV posição operacional 96k1-1.A da Subestação IRE</t>
  </si>
  <si>
    <t>0007015/2024</t>
  </si>
  <si>
    <t>12621116</t>
  </si>
  <si>
    <t>Substituição do Sistema de Registro de Perturbação associado ao vão de Entrada de Linha  04M5 (LT 230 kV CAMACARI II /COTEGIPE C-1), na subestação COTEGIPE, composto por: 01 Oscilógrafo e infraestrutura de comunicação associada.</t>
  </si>
  <si>
    <t>0007016/2024</t>
  </si>
  <si>
    <t>12448380</t>
  </si>
  <si>
    <t>Substituição de conjunto de Resistor de Aterramento (Banco 2) associado ao TR1 na SE GRAVATAI.</t>
  </si>
  <si>
    <t>0007068/2024</t>
  </si>
  <si>
    <t>RAT13,8 TF1 (Banco 2)</t>
  </si>
  <si>
    <t>Substituição do sistema de SPCS do SERVIÇO AUXILIAR (QCD-02) SETOR 13,8KV.</t>
  </si>
  <si>
    <t>0007431/2024</t>
  </si>
  <si>
    <t>SPSPRCA</t>
  </si>
  <si>
    <t>Substituição de 01 (um) TC 13.8 kV posição operacional 96k1-1.B da Subestação IRE</t>
  </si>
  <si>
    <t>0007019/2024</t>
  </si>
  <si>
    <t>12621117</t>
  </si>
  <si>
    <t>Substituição do Sistema de Registro de Perturbação associado ao vão de Entrada de Linha  04M6 (LT 230 kV CAMACARI IV /COTEGIPE C-1), na subestação CAMACARI IV, composto por: 01 Oscilógrafo e infraestrutura de comunicação associada.</t>
  </si>
  <si>
    <t>0007020/2024</t>
  </si>
  <si>
    <t>12447738</t>
  </si>
  <si>
    <t>Substituição da Proteção e Controle - SPCS do Reator 2 de 230kV (RBRE6-02) da SE Rio Branco.</t>
  </si>
  <si>
    <t>RTB 230 kV 20 Mvar RIO BRANCO 1 RT2 AC</t>
  </si>
  <si>
    <t>0007436/2024</t>
  </si>
  <si>
    <t>RBSPR01-06DX</t>
  </si>
  <si>
    <t>Substituição dos Painéis de Distribuição 220 VCA (5SA5) e cabos associados, referentes aos Serviços Auxiliares da SE Nova Santa Rita.</t>
  </si>
  <si>
    <t>0007022/2024</t>
  </si>
  <si>
    <t>Substituição do sistema de SPCS do Reator 2 da SE Sinop (SPRE6-02). Será necessário o desligamento da FT da linha LT 230 kV SINOP /SORRISO C-1 MT .</t>
  </si>
  <si>
    <t>0007438/2024</t>
  </si>
  <si>
    <t>SPRE6-02</t>
  </si>
  <si>
    <t>Substituição de 01 (um) TC 13.8 kV posição operacional 96k1-1.C da Subestação IRE</t>
  </si>
  <si>
    <t>0007023/2024</t>
  </si>
  <si>
    <t>12621118</t>
  </si>
  <si>
    <t>Substituição de Pára-raios fase A, 138kV, arranjo BS, associado ao AT03, na SE CAMPINAS.</t>
  </si>
  <si>
    <t>0007024/2024</t>
  </si>
  <si>
    <t>PR LITQCA3 STCAM FASE A</t>
  </si>
  <si>
    <t>Substituição do sistema de SPCS do Reator 1 da linha Sorriso/Sinop C1 na SE Sinop (SPRE6-01). Será necessário o desligamento da FT do reator SPRE6-01 e da linha Sorriso/Sinop C1.</t>
  </si>
  <si>
    <t>0007443/2024</t>
  </si>
  <si>
    <t>SPRE6-01</t>
  </si>
  <si>
    <t>Substituição do Sistema de Registro de Perturbação associado ao Transformador 04T3, na subestação GOIANINHA, composto por: 01 Oscilógrafo e infraestrutura de comunicação associada.</t>
  </si>
  <si>
    <t>0007026/2024</t>
  </si>
  <si>
    <t>12441505</t>
  </si>
  <si>
    <t>Substituir sistema de SPCS do Autotransformador 230/138kV numero 1 da SE Abunã (ANAT6-01-ANSPR01). Será necessário o desligamento do autotransformador ANAT602.</t>
  </si>
  <si>
    <t>0007445/2024</t>
  </si>
  <si>
    <t>ANAT601</t>
  </si>
  <si>
    <t>Substituição de Retificador (Carregador de Baterias) 48 Vcc - SACC48-RET1, da SE Osório 2.</t>
  </si>
  <si>
    <t>0007027/2024</t>
  </si>
  <si>
    <t>Substituir sistema de SPCS do Autotransformador 1 da SE Ji-Paraná ( JPAT6-01). Será necessário desligamento do auto-transformador JPAT602</t>
  </si>
  <si>
    <t>0007447/2024</t>
  </si>
  <si>
    <t>JPAT601-06DY</t>
  </si>
  <si>
    <t>Substituição de 01 (um) TC 13.8 kV posição operacional 96k1-2.A da Subestação IRE</t>
  </si>
  <si>
    <t>0007029/2024</t>
  </si>
  <si>
    <t>12621119</t>
  </si>
  <si>
    <t>Substituição do Sistema de Registro de Perturbação associado ao vão de Entrada de Linha  04C7 (LT 230 kV PAU FERRO /GOIANINHA C-1), na subestação PAU FERRO, composto por: 01 Oscilógrafo e infraestrutura de comunicação associada.</t>
  </si>
  <si>
    <t>0007031/2024</t>
  </si>
  <si>
    <t>12442122</t>
  </si>
  <si>
    <t>Substituição do sistema de SPCS do Autotransformador 2 da SE Sinop ( SPAT6-02). Será necessário o desligamento da FT do autotransformador SPAT6-01.</t>
  </si>
  <si>
    <t>TR 230/138 kV SINOP TR2 MT</t>
  </si>
  <si>
    <t>0007448/2024</t>
  </si>
  <si>
    <t>SPAT6-02</t>
  </si>
  <si>
    <t>Substituição de Pára-raios fase B, 138kV, arranjo BS, associado ao AT03, na SE CAMPINAS.</t>
  </si>
  <si>
    <t>0007032/2024</t>
  </si>
  <si>
    <t>PR LITQCA3 STCAM FASE B</t>
  </si>
  <si>
    <t>Substituição de Retificador (Carregador de Baterias) 125 Vcc - SACC125-RET1, da SE Osório 2.</t>
  </si>
  <si>
    <t>0007034/2024</t>
  </si>
  <si>
    <t>Substituição do Sistema de Proteção e Controle da proteção de barras associada ao Transformador 1 da SE Nova Mutum (QPC1-6BX - UPD3(BU)). Será necessário desligar o proprio transformador NMTF601. Para a substituição da UPD3 precisa desligar as barras NMBR6-01 e NMBR6-02.</t>
  </si>
  <si>
    <t>0007449/2024</t>
  </si>
  <si>
    <t>NMSPRTF - 6BX</t>
  </si>
  <si>
    <t>Substituição de 01 (um) TC 13.8 kV posição operacional 96k1-2.B da Subestação IRE</t>
  </si>
  <si>
    <t>0007036/2024</t>
  </si>
  <si>
    <t>12621120</t>
  </si>
  <si>
    <t>Substituição do comando do OLTC do trafo TR58-A (cod. Furnas: 10182450 - COD. OBRA: F00451).</t>
  </si>
  <si>
    <t>TR 500 / 138 kV ANGRA FUR 58 RJ</t>
  </si>
  <si>
    <t>0007105/2024</t>
  </si>
  <si>
    <t>TR58-A</t>
  </si>
  <si>
    <t>Substituição do Sistema de Registro de Perturbação associado ao vão de Entrada de Linha 04C1 (LT 230 kV G.MANGABEIRA /SAPEACU C-1), na subestação G.MANGABEIRA, composto por: 01 Oscilógrafo e infraestrutura de comunicação associada.</t>
  </si>
  <si>
    <t>0007038/2024</t>
  </si>
  <si>
    <t>12448309</t>
  </si>
  <si>
    <t>Substituição do Sistema de Proteção e Controle (SPCS) QPC1-6AX - UCD2. Será necessário desligar o próprio transformador NMTF6-02.</t>
  </si>
  <si>
    <t>0007478/2024</t>
  </si>
  <si>
    <t>NMSPRTF-6AX</t>
  </si>
  <si>
    <t>Substituição de Retificador (Carregador de Baterias) 125 Vcc - SACC125-RET2, da SE Osório 2.</t>
  </si>
  <si>
    <t>0007039/2024</t>
  </si>
  <si>
    <t>RIO BRANCO 1</t>
  </si>
  <si>
    <t>Substituição da Proteção e Controle do Transformador 1 230/69kV (RBTF6-01) da SE Rio Branco.</t>
  </si>
  <si>
    <t>TR 230/69 kV RIO BRANCO 1 TR1 AC</t>
  </si>
  <si>
    <t>0007479/2024</t>
  </si>
  <si>
    <t>RBSPR01-06EX</t>
  </si>
  <si>
    <t>Substituição de 01 (um) TC 13.8 kV posição operacional 96k1-2.C da Subestação IRE</t>
  </si>
  <si>
    <t>0007040/2024</t>
  </si>
  <si>
    <t>12621121</t>
  </si>
  <si>
    <t>Substituição da proteção da LT 230 kV Sorriso - Sorriso II na SE Sorriso (QPC1-6DY - UPD1 referente ao SSSX-LT6-01). Será necessário o desligamento da LT 230 kV Sorriso - Sorriso II.</t>
  </si>
  <si>
    <t>LT 230 kV SORRISO II /SORRISO C-1 MT</t>
  </si>
  <si>
    <t>0007483/2024</t>
  </si>
  <si>
    <t>SSSPRLT-06DY</t>
  </si>
  <si>
    <t>Substituição de Transformador de Aterramento (Banco 1) 13,8 kV, 0,25MVA, fase A, arranjo BS, associado ao TR2 na SE GRAVATAI.</t>
  </si>
  <si>
    <t>0007042/2024</t>
  </si>
  <si>
    <t>TFAT13,8 TF2-A (Banco 1)</t>
  </si>
  <si>
    <t>Substituição do Sistema de Registro de Perturbação associado ao vão de Entrada de Linha 04C2 (LT 230 kV G.MANGABEIRA /SAPEACU C-2), na subestação G.MANGABEIRA, composto por: 01 Oscilógrafo e infraestrutura de comunicação associada.</t>
  </si>
  <si>
    <t>0007043/2024</t>
  </si>
  <si>
    <t>12448308</t>
  </si>
  <si>
    <t>Substituição de 01 (um) TC 13.8 kV posição operacional 96k1-3.A da Subestação IRE</t>
  </si>
  <si>
    <t>0007044/2024</t>
  </si>
  <si>
    <t>12621122</t>
  </si>
  <si>
    <t>Substituição de Pára-raios fase C, 138kV, arranjo BS, associado ao AT03, na SE CAMPINAS.</t>
  </si>
  <si>
    <t>0007046/2024</t>
  </si>
  <si>
    <t>PR LITQCA3 STCAM FASE C</t>
  </si>
  <si>
    <t>Substituição do Sistema de Registro de Perturbação associado ao vão de Entrada de Linha 04C3 (LT 230 kV G.MANGABEIRA /SAPEACU C-3), na subestação G.MANGABEIRA, composto por: 01 Oscilógrafo e infraestrutura de comunicação associada.</t>
  </si>
  <si>
    <t>0007047/2024</t>
  </si>
  <si>
    <t>12448307</t>
  </si>
  <si>
    <t>POVO NOVO</t>
  </si>
  <si>
    <t>Substituição de bateria - 125 Vcc - SACC125-BAT2 na SE Povo Novo.</t>
  </si>
  <si>
    <t>MG POVO NOVO / CCO-2012-020 - RB</t>
  </si>
  <si>
    <t>0007048/2024</t>
  </si>
  <si>
    <t>Substituição do comando do OLTC do trafo TR58-B (cod. Furnas: 10182451 - COD. OBRA: F00452).</t>
  </si>
  <si>
    <t>0007106/2024</t>
  </si>
  <si>
    <t>TR58-B</t>
  </si>
  <si>
    <t>Substituição de 01 (um) TC 13.8 kV posição operacional 96k1-3.B da Subestação IRE</t>
  </si>
  <si>
    <t>0007049/2024</t>
  </si>
  <si>
    <t>12621123</t>
  </si>
  <si>
    <t>Substituição de Transformador de Aterramento (Banco 1) 13,8 kV, 0,25MVA, fase B, arranjo BS, associado ao TR2 na SE GRAVATAI.</t>
  </si>
  <si>
    <t>0007052/2024</t>
  </si>
  <si>
    <t>TFAT13,8 TF2-B (Banco 1)</t>
  </si>
  <si>
    <t>Substituição do Sistema de Registro de Perturbação associado ao vão de Entrada de Linha 04C3 (LT 230 kV G.MANGABEIRA /SAPEACU C-3), na subestação SAPEACU, composto por: 01 Oscilógrafo e infraestrutura de comunicação associada.</t>
  </si>
  <si>
    <t>0007053/2024</t>
  </si>
  <si>
    <t>12447399</t>
  </si>
  <si>
    <t>Substituição de bateria - 48 Vcc - SACC48-BAT2 na SE Povo Novo.</t>
  </si>
  <si>
    <t>0007054/2024</t>
  </si>
  <si>
    <t>Substituição de 01 (um) TC 13.8 kV posição operacional 96k1-3.C da Subestação IRE</t>
  </si>
  <si>
    <t>0007055/2024</t>
  </si>
  <si>
    <t>12621124</t>
  </si>
  <si>
    <t>Substituição de bateria - 220 Vcc - SACC220-BAT1 na SE P. Médici (vinculada a LT 230 kV P.Médici - Santa Cruz 1).</t>
  </si>
  <si>
    <t>0007056/2024</t>
  </si>
  <si>
    <t>BAT1 - 220 VCC</t>
  </si>
  <si>
    <t>BROTAS.MACAUBAS</t>
  </si>
  <si>
    <t>Substituição do Sistema de Registro de Perturbação associado ao vão de Entrada de Linha 04F2 (LT 230 kV IRECE /BROT.MACAUBAS C-1), na subestação BROT.MACAUBAS, composto por: 01 Oscilógrafo e infraestrutura de comunicação associada.</t>
  </si>
  <si>
    <t>0007057/2024</t>
  </si>
  <si>
    <t>12441172</t>
  </si>
  <si>
    <t>Substituição de 01 (um) TC 13.8 kV posição operacional 96k1-4.A da Subestação IRE</t>
  </si>
  <si>
    <t>0007062/2024</t>
  </si>
  <si>
    <t>12621125</t>
  </si>
  <si>
    <t>Substituição de bateria - 125 Vcc - SACC125/CS1/2-BAT2 na SE Marmeleiro 2 (vinculada aos Compensadores Síncronos).</t>
  </si>
  <si>
    <t>0007064/2024</t>
  </si>
  <si>
    <t>BAT2 - CS1/2 - 125 VCC</t>
  </si>
  <si>
    <t>Substituição do Sistema de Registro de Perturbação associado ao vão de Entrada de Linha 03N2 (LT 138 kV IRECE /BAIXIOS), na subestação IRECE, composto por: 01 Oscilógrafo e infraestrutura de comunicação associada.</t>
  </si>
  <si>
    <t>0007065/2024</t>
  </si>
  <si>
    <t>12479366</t>
  </si>
  <si>
    <t>Substituição de 01 (um) TC 13.8 kV posição operacional 96k1-4.B da Subestação IRE</t>
  </si>
  <si>
    <t>0007067/2024</t>
  </si>
  <si>
    <t>12621126</t>
  </si>
  <si>
    <t>Substituição do comando do OLTC do trafo TR58-C (cod. Furnas: 10182453 - COD. OBRA: F00453).</t>
  </si>
  <si>
    <t>0007121/2024</t>
  </si>
  <si>
    <t>TR58-C</t>
  </si>
  <si>
    <t>Substituição de bateria - 125 Vcc - SACC125-BAT2 na SE Marmeleiro 2.</t>
  </si>
  <si>
    <t>0007069/2024</t>
  </si>
  <si>
    <t>Substituição do Sistema de Registro de Perturbação associado ao vão de Entrada de Linha  04V1 (LT 230 kV C.GRANDE II /PARAISO C-2 ), na subestação C.GRANDE II, composto por: 01 Oscilógrafo e infraestrutura de comunicação associada.</t>
  </si>
  <si>
    <t>0007071/2024</t>
  </si>
  <si>
    <t>12446745</t>
  </si>
  <si>
    <t>Substituição de 01 (um) TC 13.8 kV posição operacional 96k1-4.C da Subestação IRE</t>
  </si>
  <si>
    <t>0007073/2024</t>
  </si>
  <si>
    <t>12621127</t>
  </si>
  <si>
    <t>Substituição de bateria - 48 Vcc - SACC48-BAT2 na SE Salto Osório.</t>
  </si>
  <si>
    <t>0007074/2024</t>
  </si>
  <si>
    <t>Substituição de bateria - 48 Vcc - SACC48-BAT2 na SE Marmeleiro 2.</t>
  </si>
  <si>
    <t>0007075/2024</t>
  </si>
  <si>
    <t>Substituição de 01 (um) TC 13.8 kV posição operacional 96k1-5.A da Subestação IRE</t>
  </si>
  <si>
    <t>0007077/2024</t>
  </si>
  <si>
    <t>12621128</t>
  </si>
  <si>
    <t>Substituição do Sistema de Registro de Perturbação associado ao vão de Entrada de Linha  04V2 (LT 230 kV C.GRANDE II /PARAISO C-1), na subestação PARAISO, composto por: 01 Oscilógrafo e infraestrutura de comunicação associada.</t>
  </si>
  <si>
    <t>0007145/2024</t>
  </si>
  <si>
    <t>12445675</t>
  </si>
  <si>
    <t>Substituição do comando do OLTC do trafo TRR1 (cod. Furnas: 10182452 - COD. OBRA: F00454).</t>
  </si>
  <si>
    <t>TRR 500 / 138 kV ANGRA FUR TRR1 RJ</t>
  </si>
  <si>
    <t>0007122/2024</t>
  </si>
  <si>
    <t>TRR1</t>
  </si>
  <si>
    <t>Substituição de 01 (um) TC 13.8 kV posição operacional 96k1-5.B da Subestação IRE</t>
  </si>
  <si>
    <t>0007079/2024</t>
  </si>
  <si>
    <t>12621129</t>
  </si>
  <si>
    <t>Substituição do Sistema de Registro de Perturbação associado ao vão de Entrada de Linha 04M7 (LT 230 kV CAMACARI II /MATATU C-1), na subestação MATATU, composto por: 01 Oscilógrafo e infraestrutura de comunicação associada.</t>
  </si>
  <si>
    <t>0007081/2024</t>
  </si>
  <si>
    <t>12447557</t>
  </si>
  <si>
    <t>Substituição de conjunto de Resistor de Aterramento (Banco 1) associado ao TR3 na SE GRAVATAI.</t>
  </si>
  <si>
    <t>0007083/2024</t>
  </si>
  <si>
    <t>RAT13,8 TF3 (Banco 1)</t>
  </si>
  <si>
    <t>Substituição de 01 (um) TC 13.8 kV posição operacional 96k1-5.C da Subestação IRE</t>
  </si>
  <si>
    <t>0007085/2024</t>
  </si>
  <si>
    <t>12621130</t>
  </si>
  <si>
    <t>Substituição do Sistema de Registro de Perturbação associada ao vão de Entrada de Linha 04M1 (LT 230 kV RIBEIRAO /RECIFE II C-1), na subestação RECIFE II, composto por: 01 Oscilógrafo e infraestrutura de comunicação associada.</t>
  </si>
  <si>
    <t>0007086/2024</t>
  </si>
  <si>
    <t>12444345</t>
  </si>
  <si>
    <t>Substituição de bombas do circuito aberto do Sistema de Resfriamento de Equipamentos, referentes aos Compensadores Síncronos da SE Marmeleiro 2.</t>
  </si>
  <si>
    <t>0007087/2024</t>
  </si>
  <si>
    <t>Bomba</t>
  </si>
  <si>
    <t>Substituição do Sistema de Registro de Perturbação associado ao vão de Entrada de Linha 04V2 (LT 230 kV RECIFE II /JOAIRAM C-2), na subestação RECIFE II, composto por: 01 Oscilógrafo e infraestrutura de comunicação associada.</t>
  </si>
  <si>
    <t>0007088/2024</t>
  </si>
  <si>
    <t>12444312</t>
  </si>
  <si>
    <t>Substituição de bombas do circuito fechado do Sistema de Resfriamento de Equipamentos, referentes aos Compensadores Síncronos da SE Marmeleiro 2.</t>
  </si>
  <si>
    <t>0007089/2024</t>
  </si>
  <si>
    <t>Substituição do Sistema de Registro de Perturbação associada ao vão de Entrada de Linha 04V3 (LT 230 kV RECIFE II /JOAIRAM C-3), na subestação RECIFE II, composto por: 01 Oscilógrafo e infraestrutura de comunicação associada.</t>
  </si>
  <si>
    <t>0007090/2024</t>
  </si>
  <si>
    <t>12444317</t>
  </si>
  <si>
    <t>Substituição do Painel de Controle MVW1 do Ponymotor (Compensador de Partida), referente aos Compensadores Síncronos da SE Marmeleiro 2.</t>
  </si>
  <si>
    <t>0007092/2024</t>
  </si>
  <si>
    <t>Painel de Controle</t>
  </si>
  <si>
    <t>Substituição do Sistema de Registro de Perturbação associada ao Banco de Capacitores 04H1, na subestação RECIFE II, composto por: 01 Oscilógrafo e infraestrutura de comunicação associada.</t>
  </si>
  <si>
    <t>0007093/2024</t>
  </si>
  <si>
    <t>12444306</t>
  </si>
  <si>
    <t>Substituição do Painel de Controle MVW2 do Ponymotor (Compensador de Partida), referente aos Compensadores Síncronos da SE Marmeleiro 2.</t>
  </si>
  <si>
    <t>0007095/2024</t>
  </si>
  <si>
    <t>Substituição do Sistema de Registro de Perturbação associado ao vão de Entrada de Linha 04C5 (LT 230 kV RECIFE II /MIRUEIRA C-2), na subestação MIRUEIRA, composto por: 01 Oscilógrafo e infraestrutura de comunicação associada.</t>
  </si>
  <si>
    <t>0007096/2024</t>
  </si>
  <si>
    <t>12441608</t>
  </si>
  <si>
    <t>Substituição dos Painéis de Distribuição 480 VCA (5SA1, 5SA2A, 5SA2B, 5SA3) e cabos associados, referentes aos Serviços Auxiliares da SE Nova Santa Rita.</t>
  </si>
  <si>
    <t>0007098/2024</t>
  </si>
  <si>
    <t>Substituir o RDP - ECIL OSC-1000 que contemplam a linha RVBP-LI6-02.</t>
  </si>
  <si>
    <t>0007481/2024</t>
  </si>
  <si>
    <t>RVBP-LI6-02</t>
  </si>
  <si>
    <t>Substituição de Ponymotor (Compensador de Partida), referente aos Compensadores Síncronos da SE Marmeleiro 2.</t>
  </si>
  <si>
    <t>0007099/2024</t>
  </si>
  <si>
    <t>Ponymotor</t>
  </si>
  <si>
    <t>Substituição de sistema de oscilografia Registrador digital de perturbações - RPV 310 - PVANLT601</t>
  </si>
  <si>
    <t>0007484/2024</t>
  </si>
  <si>
    <t>PVANLT601-06BY</t>
  </si>
  <si>
    <t>Substituição do Sistema de Registro de Perturbação associado ao vão de Entrada de Linha 04C6 (LT 230 kV RECIFE II /MIRUEIRA C-3), na subestação MIRUEIRA, composto por: 01 Oscilógrafo e infraestrutura de comunicação associada.</t>
  </si>
  <si>
    <t>0007140/2024</t>
  </si>
  <si>
    <t>12441599</t>
  </si>
  <si>
    <t>Substituição do Transformador IGTF3-02 34,5KV/380V.</t>
  </si>
  <si>
    <t>MG 230 kV INTEGRADORA MG1 PA</t>
  </si>
  <si>
    <t>0007489/2024</t>
  </si>
  <si>
    <t>IGTF3-02</t>
  </si>
  <si>
    <t>Substituição do comando do OLTC do trafo TRTD01 (cod. Furnas: 10232004 - COD. OBRA: F00739).</t>
  </si>
  <si>
    <t>0007133/2024</t>
  </si>
  <si>
    <t>TRTD01</t>
  </si>
  <si>
    <t>Substituição de sistema de oscilógrafa Registrador digital de perturbações - RPV 310 JP-MG601.</t>
  </si>
  <si>
    <t>0007490/2024</t>
  </si>
  <si>
    <t>AUS00-06AY</t>
  </si>
  <si>
    <t>Substituição de sistema de oscilógrafa Registrador digital de perturbações - RPV 310 - JP-MG601.</t>
  </si>
  <si>
    <t>0007491/2024</t>
  </si>
  <si>
    <t>JP-MG601-06BY</t>
  </si>
  <si>
    <t>Substituição de sistema de oscilografia Registrador digital de perturbações - RPV 310 - ROPB-MG601 - 06DY.</t>
  </si>
  <si>
    <t>0007492/2024</t>
  </si>
  <si>
    <t>OSC01-06DY</t>
  </si>
  <si>
    <t>Substituição de sistema de oscilografia Registrador digital de perturbações - RPV 310 - ROPB-MG601 - 06DX</t>
  </si>
  <si>
    <t>0007493/2024</t>
  </si>
  <si>
    <t>OSC01-06DX</t>
  </si>
  <si>
    <t>Substituição de sistema de oscilografia Registrador digital de perturbações - RPV 310 - ROPB-MG601 - 06BY.</t>
  </si>
  <si>
    <t>0007495/2024</t>
  </si>
  <si>
    <t>OSC01-06BY</t>
  </si>
  <si>
    <t>Substituição de sistema de oscilografia Registrador digital de perturbações - RPV 310 - ROPB-MG601 - 06CY.</t>
  </si>
  <si>
    <t>0007496/2024</t>
  </si>
  <si>
    <t>OSC01-06CY</t>
  </si>
  <si>
    <t>Substituição de sistema de oscilografia Registrador digital de perturbações - RPV 310 - MG230-OSC01.</t>
  </si>
  <si>
    <t>0007497/2024</t>
  </si>
  <si>
    <t>MG230-OSC01</t>
  </si>
  <si>
    <t>Substituição de sistema de oscilografia Registrador digital de perturbações - RPV 310 -MG230-OSC01- VAO 06AX.</t>
  </si>
  <si>
    <t>0007498/2024</t>
  </si>
  <si>
    <t>OSC01-06AX</t>
  </si>
  <si>
    <t>Substituição de sistema de oscilografia Registrador digital de perturbações - RPV 310 -MG230-OSC01 VAO-06BX.</t>
  </si>
  <si>
    <t>0007499/2024</t>
  </si>
  <si>
    <t>OSC01-06BX</t>
  </si>
  <si>
    <t>Substituição de sistema de oscilografia Registrador digital de perturbações - RPV 310 - MG230-OSC01 VAO-06DX</t>
  </si>
  <si>
    <t>0007507/2024</t>
  </si>
  <si>
    <t>Substituição de sistema de oscilografia Registrador digital de perturbações - RPV 310 -MG230-OSC01VAO-06EX</t>
  </si>
  <si>
    <t>0007506/2024</t>
  </si>
  <si>
    <t>OSC01-06EX</t>
  </si>
  <si>
    <t>Substituição de sistema de oscilografia Registrador digital de perturbações - RPV 310 -MG230-OSC01VAO-06FX.</t>
  </si>
  <si>
    <t>0007508/2024</t>
  </si>
  <si>
    <t>OSC01-06FX</t>
  </si>
  <si>
    <t>Substituição de sistema de oscilografia Registrador digital de perturbações - RPV 310 - MG230-OSC01 - VAO 06CY.</t>
  </si>
  <si>
    <t>0007503/2024</t>
  </si>
  <si>
    <t>Substituição de sistema de oscilografia Registrador digital de perturbações - RPV 310 - MG230-OSC01-VAO-06DY.</t>
  </si>
  <si>
    <t>0007505/2024</t>
  </si>
  <si>
    <t>SUBSTITUIÇÃO DO SPCS (SISTEMA DE PROTEÇÃO, CONTROLE E SUPERVISÃO) DOS RV (REGULADORES DE VELOCIDADE) E RT (REGULADORES DE TENSÃO) DA UG01 DA UHE ITUMBIARA</t>
  </si>
  <si>
    <t>UG01 UHITB</t>
  </si>
  <si>
    <t>0007163/2024</t>
  </si>
  <si>
    <t>Substituição de sistema de oscilografia Registrador digital de perturbações - RPV 310 - ROVN-MG601 - 06EX.</t>
  </si>
  <si>
    <t>0007502/2024</t>
  </si>
  <si>
    <t>MG230-06EX</t>
  </si>
  <si>
    <t>Substituição de sistema de oscilografia Registrador digital de perturbações - RPV 310 - ROVN-MG601 - 06GY.</t>
  </si>
  <si>
    <t>0007510/2024</t>
  </si>
  <si>
    <t>MG230-06GY</t>
  </si>
  <si>
    <t>SUBSTITUIÇÃO DO SPCS (SISTEMA DE PROTEÇÃO, CONTROLE E SUPERVISÃO) DOS RV (REGULADORES DE VELOCIDADE) E RT (REGULADORES DE TENSÃO) DA UG02 DA UHE ITUMBIARA</t>
  </si>
  <si>
    <t>UG02 UHITB</t>
  </si>
  <si>
    <t>0007168/2024</t>
  </si>
  <si>
    <t>Substituição de sistema de oscilografia Registrador digital de perturbações - RPV 310 - ROVN-MG601 - 06BY.</t>
  </si>
  <si>
    <t>0007511/2024</t>
  </si>
  <si>
    <t>MG230-06BY</t>
  </si>
  <si>
    <t>SUBSTITUIÇÃO DO SPCS (SISTEMA DE PROTEÇÃO, CONTROLE E SUPERVISÃO) DOS RV (REGULADORES DE VELOCIDADE) E RT (REGULADORES DE TENSÃO) DA UG03 DA UHE ITUMBIARA</t>
  </si>
  <si>
    <t>UG03 UHITB</t>
  </si>
  <si>
    <t>0007171/2024</t>
  </si>
  <si>
    <t>Substituição de Buchas, Vedação, Painel de instrumentação/ventilação, Válvulas, Indicador de nivel de óleo, Relés de Gás e Bolsa de expansão, Etc, do Autotransformadores MRAT6-01.</t>
  </si>
  <si>
    <t>0007512/2024</t>
  </si>
  <si>
    <t>MRAT601</t>
  </si>
  <si>
    <t>M. MORAES</t>
  </si>
  <si>
    <t>SUBSTITUIÇÃO DO DO SPCS (SISTEMA DE PROTEÇÃO, CONTROLE E SUPERVISÃO), RV (REGULADOR DE TENSÃO) E RDP (REGISTRADOR DIGITAL DE PERTURBAÇÕES) DA UG01 DA UHE MASCARENHAS DE MORAES.</t>
  </si>
  <si>
    <t>UG01 UHMMO</t>
  </si>
  <si>
    <t>0007172/2024</t>
  </si>
  <si>
    <t>SUBSTITUIÇÃO DO SPCS (SISTEMA DE PROTEÇÃO, CONTROLE E SUPERVISÃO) DOS RV (REGULADORES DE VELOCIDADE) E RT (REGULADORES DE TENSÃO) DA UG04 DA UHE ITUMBIARA</t>
  </si>
  <si>
    <t>UG04 UHITB</t>
  </si>
  <si>
    <t>0007174/2024</t>
  </si>
  <si>
    <t>Substituição de buchas 230kV fase V do transformador PFTF6-01</t>
  </si>
  <si>
    <t>0007513/2024</t>
  </si>
  <si>
    <t>PFAT601</t>
  </si>
  <si>
    <t>Substituição de Transformador de Corrente 69 kV, referente ao ramal de atendimento aos Serviços Auxiliares, LT Salto Osório - Salto Santiago C-1, Fase B. Associado à obra, são esperadas substituições/adaptações de fundações e suportes, caixa de junção, cabos de controle/potência, barramento, conectores e conexão de aterramento. Funções do TC: proteção e medição.</t>
  </si>
  <si>
    <t>LT 69 kV S.OSORIO/ S.SANTIAGO C-1 PR</t>
  </si>
  <si>
    <t>0007176/2024</t>
  </si>
  <si>
    <t>SUBSTITUIÇÃO DO SPCS (SISTEMA DE PROTEÇÃO, CONTROLE E SUPERVISÃO) DOS RV (REGULADORES DE VELOCIDADE) E RT (REGULADORES DE TENSÃO) DA UG05 DA UHE ITUMBIARA</t>
  </si>
  <si>
    <t>UG05 UHITB</t>
  </si>
  <si>
    <t>0007175/2024</t>
  </si>
  <si>
    <t>Revitalização do SPAT6-01. Substituição de Buchas 138 KV, Vedações, Relé de Gás e Bolsa de Expansão, Etc.</t>
  </si>
  <si>
    <t>0007516/2024</t>
  </si>
  <si>
    <t>SPAT601</t>
  </si>
  <si>
    <t>SUBSTITUIÇÃO DO SPCS (SISTEMA DE PROTEÇÃO, CONTROLE E SUPERVISÃO) DOS RV (REGULADORES DE VELOCIDADE) E RT (REGULADORES DE TENSÃO) DA UG06 DA UHE ITUMBIARA</t>
  </si>
  <si>
    <t>UG06 UHITB</t>
  </si>
  <si>
    <t>0007177/2024</t>
  </si>
  <si>
    <t>Substituição de buchas 230kV fase A do transformador PFTF6-01.</t>
  </si>
  <si>
    <t>0007524/2024</t>
  </si>
  <si>
    <t>PFTF601</t>
  </si>
  <si>
    <t>SUBSTITUIÇÃO DO DO SPCS (SISTEMA DE PROTEÇÃO, CONTROLE E SUPERVISÃO), RV (REGULADOR DE TENSÃO) E RDP (REGISTRADOR DIGITAL DE PERTURBAÇÕES) DA UG02 DA UHE MASCARENHAS DE MORAES.</t>
  </si>
  <si>
    <t>UG02 UHMMO</t>
  </si>
  <si>
    <t>0007179/2024</t>
  </si>
  <si>
    <t>Substituição de buchas 230kV fase B do transformador PFTF6-01.</t>
  </si>
  <si>
    <t>0007518/2024</t>
  </si>
  <si>
    <t>Substituição de Transformador de Corrente 69 kV, referente ao ramal de atendimento aos Serviços Auxiliares, LT Salto Osório - Salto Santiago C-1, Fase A. Associado à obra, são esperadas substituições/adaptações de fundações e suportes, caixa de junção, cabos de controle/potência, barramento, conectores e conexão de aterramento. Funções do TC: proteção e medição.</t>
  </si>
  <si>
    <t>0007180/2024</t>
  </si>
  <si>
    <t>SUBSTITUIÇÃO DO DO SPCS (SISTEMA DE PROTEÇÃO, CONTROLE E SUPERVISÃO), RV (REGULADOR DE TENSÃO) E RDP (REGISTRADOR DIGITAL DE PERTURBAÇÕES) DA UG03 DA UHE MASCARENHAS DE MORAES.</t>
  </si>
  <si>
    <t>UG03 UHMMO</t>
  </si>
  <si>
    <t>0007181/2024</t>
  </si>
  <si>
    <t>Substituição de buchas 69kV fase A do transformador PFTF6-01</t>
  </si>
  <si>
    <t>0007520/2024</t>
  </si>
  <si>
    <t>SUBSTITUIÇÃO DO DO ESTATOR DO GERADOR DA UG07 E DO DISTRIBUIDOR DA TURBINA DA UG07 DA UHE FURNAS.</t>
  </si>
  <si>
    <t>UG07 UHFUR</t>
  </si>
  <si>
    <t>0007182/2024</t>
  </si>
  <si>
    <t>Substituição de buchas 69kV fase B do transformador PFTF6-01</t>
  </si>
  <si>
    <t>0007535/2024</t>
  </si>
  <si>
    <t>SUBSTITUIÇÃO DO DO SPCS (SISTEMA DE PROTEÇÃO, CONTROLE E SUPERVISÃO), RV (REGULADOR DE TENSÃO) E RDP (REGISTRADOR DIGITAL DE PERTURBAÇÕES) DA UG04 DA UHE MASCARENHAS DE MORAES.</t>
  </si>
  <si>
    <t>UG04 UHMMO</t>
  </si>
  <si>
    <t>0007184/2024</t>
  </si>
  <si>
    <t>Substituição de Transformador de Corrente 69 kV, referente ao ramal de atendimento aos Serviços Auxiliares, LT Salto Osório - Salto Santiago C-1, Fase C. Associado à obra, são esperadas substituições/adaptações de fundações e suportes, caixa de junção, cabos de controle/potência, barramento, conectores e conexão de aterramento. Funções do TC: proteção e medição.</t>
  </si>
  <si>
    <t>0007185/2024</t>
  </si>
  <si>
    <t>SUBSTITUIÇÃO DO DO ESTATOR DO GERADOR DA UG08 E DO DISTRIBUIDOR DA TURBINA DA UG08 DA UHE FURNAS.</t>
  </si>
  <si>
    <t>UG08 UHFUR</t>
  </si>
  <si>
    <t>0007186/2024</t>
  </si>
  <si>
    <t>SUBSTITUIÇÃO DO DO SPCS (SISTEMA DE PROTEÇÃO, CONTROLE E SUPERVISÃO), RV (REGULADOR DE TENSÃO) E RDP (REGISTRADOR DIGITAL DE PERTURBAÇÕES) DA UG05 DA UHE MASCARENHAS DE MORAES.</t>
  </si>
  <si>
    <t>UG05 UHMMO</t>
  </si>
  <si>
    <t>0007187/2024</t>
  </si>
  <si>
    <t>Substituição de buchas 69kV fase V do transformador PFTF6-01</t>
  </si>
  <si>
    <t>0007537/2024</t>
  </si>
  <si>
    <t>Substituição  de buchas 69kV fase B do transformador PFTF6-02</t>
  </si>
  <si>
    <t>0007538/2024</t>
  </si>
  <si>
    <t>PFTF602</t>
  </si>
  <si>
    <t>SUBSTITUIÇÃO DO DO SPCS (SISTEMA DE PROTEÇÃO, CONTROLE E SUPERVISÃO), RV (REGULADOR DE TENSÃO) E RDP (REGISTRADOR DIGITAL DE PERTURBAÇÕES) DA UG06 DA UHE MASCARENHAS DE MORAES.</t>
  </si>
  <si>
    <t>UG06 UHMMO</t>
  </si>
  <si>
    <t>0007190/2024</t>
  </si>
  <si>
    <t>Substituição de Transformador de Potencial 69 kV, referente ao ramal de atendimento aos Serviços Auxiliares, LT Salto Osório - Salto Santiago C-1, Fase A. Associado à obra são esperadas substituições/adaptações de fundações, suportes, caixa de junção, cabos de controle/potência, barramento, conectores e conexão de aterramento.</t>
  </si>
  <si>
    <t>0007191/2024</t>
  </si>
  <si>
    <t>SUBSTITUIÇÃO DO DO SPCS (SISTEMA DE PROTEÇÃO, CONTROLE E SUPERVISÃO) DA UG 01 DA UHE FURNAS.</t>
  </si>
  <si>
    <t>UG01 UHFUR</t>
  </si>
  <si>
    <t>0007192/2024</t>
  </si>
  <si>
    <t>Substituição de buchas 69kV fase V do transformador PFTF6-02</t>
  </si>
  <si>
    <t>0007540/2024</t>
  </si>
  <si>
    <t>SUBSTITUIÇÃO DO DO SPCS (SISTEMA DE PROTEÇÃO, CONTROLE E SUPERVISÃO), RV (REGULADOR DE TENSÃO) E RDP (REGISTRADOR DIGITAL DE PERTURBAÇÕES) DA UG07 DA UHE MASCARENHAS DE MORAES.</t>
  </si>
  <si>
    <t>UG07 UHMMO</t>
  </si>
  <si>
    <t>0007193/2024</t>
  </si>
  <si>
    <t>Substituição de buchas 230kV fase A do transformador PFTF6-02</t>
  </si>
  <si>
    <t>0007541/2024</t>
  </si>
  <si>
    <t>SUBSTITUIÇÃO DO DO SPCS (SISTEMA DE PROTEÇÃO, CONTROLE E SUPERVISÃO), RV (REGULADOR DE TENSÃO) E RDP (REGISTRADOR DIGITAL DE PERTURBAÇÕES) DA UG08 DA UHE MASCARENHAS DE MORAES.</t>
  </si>
  <si>
    <t>UG08 UHMMO</t>
  </si>
  <si>
    <t>0007194/2024</t>
  </si>
  <si>
    <t>SUBSTITUIÇÃO DO DO SPCS (SISTEMA DE PROTEÇÃO, CONTROLE E SUPERVISÃO) DA UG 02 DA UHE FURNAS.</t>
  </si>
  <si>
    <t>UG02 UHFUR</t>
  </si>
  <si>
    <t>0007195/2024</t>
  </si>
  <si>
    <t>Substituição  de buchas 230kV fase B do transformador PFTF6-02</t>
  </si>
  <si>
    <t>0007549/2024</t>
  </si>
  <si>
    <t>SUBSTITUIÇÃO DO DO SPCS (SISTEMA DE PROTEÇÃO, CONTROLE E SUPERVISÃO), RV (REGULADOR DE TENSÃO) E RDP (REGISTRADOR DIGITAL DE PERTURBAÇÕES) DA UG09 DA UHE MASCARENHAS DE MORAES.</t>
  </si>
  <si>
    <t>UG09 UHMMO</t>
  </si>
  <si>
    <t>0007198/2024</t>
  </si>
  <si>
    <t>SUBSTITUIÇÃO DO DO SPCS (SISTEMA DE PROTEÇÃO, CONTROLE E SUPERVISÃO) DA UG 03 DA UHE FURNAS.</t>
  </si>
  <si>
    <t>UG03 UHFUR</t>
  </si>
  <si>
    <t>0007199/2024</t>
  </si>
  <si>
    <t>Substituição de buchas 230kV fase V do transformador PFTF6-02</t>
  </si>
  <si>
    <t>0007528/2024</t>
  </si>
  <si>
    <t>SUBSTITUIÇÃO DO DO SPCS (SISTEMA DE PROTEÇÃO, CONTROLE E SUPERVISÃO) DA UG 04 DA UHE FURNAS.</t>
  </si>
  <si>
    <t>UG04 UHFUR</t>
  </si>
  <si>
    <t>0007200/2024</t>
  </si>
  <si>
    <t>SUBSTITUIÇÃO DO DO SPCS (SISTEMA DE PROTEÇÃO, CONTROLE E SUPERVISÃO), RV (REGULADOR DE TENSÃO) E RDP (REGISTRADOR DIGITAL DE PERTURBAÇÕES) DA UG10 DA UHE MASCARENHAS DE MORAES.</t>
  </si>
  <si>
    <t>UG10 UHMMO</t>
  </si>
  <si>
    <t>0007201/2024</t>
  </si>
  <si>
    <t>Substituição de conjunto de Resistor de Aterramento (Banco 1) associado ao TR2 na SE GRAVATAI.</t>
  </si>
  <si>
    <t>0007202/2024</t>
  </si>
  <si>
    <t>RAT13,8 TF2 (Banco 1)</t>
  </si>
  <si>
    <t>0007529/2024</t>
  </si>
  <si>
    <t>SUBSTITUIÇÃO DO DO SPCS (SISTEMA DE PROTEÇÃO, CONTROLE E SUPERVISÃO) DA UG 05 DA UHE FURNAS.</t>
  </si>
  <si>
    <t>UG05 UHFUR</t>
  </si>
  <si>
    <t>0007203/2024</t>
  </si>
  <si>
    <t>0007548/2024</t>
  </si>
  <si>
    <t>PVSPRTF-06DY</t>
  </si>
  <si>
    <t>SUBSTITUIÇÃO DO DO SPCS (SISTEMA DE PROTEÇÃO, CONTROLE E SUPERVISÃO) DA UG 06 DA UHE FURNAS.</t>
  </si>
  <si>
    <t>UG06 UHFUR</t>
  </si>
  <si>
    <t>0007205/2024</t>
  </si>
  <si>
    <t>Substituição de sistema de oscilografia Registrador digital de perturbações - RPV 310 -MG230-OSC01.</t>
  </si>
  <si>
    <t>TR 230/69 kV PORTO VELHO TR3 RO</t>
  </si>
  <si>
    <t>0007547/2024</t>
  </si>
  <si>
    <t>PVSPRTF-06EY</t>
  </si>
  <si>
    <t>SUBSTITUIÇÃO DO DO SPCS (SISTEMA DE PROTEÇÃO, CONTROLE E SUPERVISÃO) DA UG 07 DA UHE FURNAS.</t>
  </si>
  <si>
    <t>0007206/2024</t>
  </si>
  <si>
    <t>Substituição de Buchas, Vedação, Painel de instrumentação/ventilação, Válvulas, Indicador de nivel de óleo, Relés de Gás e Bolsa de expansão, Etc, do Transformador MCTF7-01 Fase A - Vão C.</t>
  </si>
  <si>
    <t>0007532/2024</t>
  </si>
  <si>
    <t>MCTF7-01</t>
  </si>
  <si>
    <t>SUBSTITUIÇÃO DO DO SPCS (SISTEMA DE PROTEÇÃO, CONTROLE E SUPERVISÃO) DA UG 08 DA UHE FURNAS.</t>
  </si>
  <si>
    <t>0007208/2024</t>
  </si>
  <si>
    <t>Substituição de Buchas, Vedação, Painel de instrumentação/ventilação, Válvulas, Indicador de nivel de óleo, Relés de Gás e Bolsa de expansão, Etc, do Transformador MCTF7-01 Fase B - Vão C.</t>
  </si>
  <si>
    <t>0007527/2024</t>
  </si>
  <si>
    <t>MCTF701</t>
  </si>
  <si>
    <t>Substituição de Buchas, Vedação, Painel de instrumentação/ventilação, Válvulas, Indicador de nivel de óleo, Relés de Gás e Bolsa de expansão, Etc, do Transformador MCTF7-01 Fase V - Vão C.</t>
  </si>
  <si>
    <t>0007546/2024</t>
  </si>
  <si>
    <t>Substituição de Vedações, Válvulas, Indicador de nivel de óleo e Relé de Gás do Autotransformador - MRTF6-03.</t>
  </si>
  <si>
    <t>TR 230/69 kV MIRANDA II TR3 MA</t>
  </si>
  <si>
    <t>0007545/2024</t>
  </si>
  <si>
    <t>MRTF603</t>
  </si>
  <si>
    <t>Substituição da bucha de neutro fase A do IZRE7-04 - Necessário desligamento da função LT 500 kV IMPERATRIZ /P.DUTRA C-2 MA.</t>
  </si>
  <si>
    <t>0007569/2024</t>
  </si>
  <si>
    <t>IZRE7-04-FASE A</t>
  </si>
  <si>
    <t>Substituir o relé do sistema de proteção da linha Porto Velho Abunã 230kV C2 na SE Abunã (Relés REF545 (UPD4) da PVANLT6-02-ANSPPR) e como consequencia eliminação do sistema MicroScada desta função, migrando para o sistema SAGE. Será necessário o desligamento da própria linha e do reator da linha.</t>
  </si>
  <si>
    <t>0007578/2024</t>
  </si>
  <si>
    <t>ANSPPR-06BX</t>
  </si>
  <si>
    <t>Substituição do SPCS principal das Barras 500 kV , na subestação SOBRAL III, composto por: 01 painel, 01 unidade central de proteção de barras (principal), do tipo adaptativa e distribuída, com capacidade para atender, no mínimo, 08 vãos, 08 unidades de bay de proteção de barras (principal) e infraestrutura de comunicação associados.</t>
  </si>
  <si>
    <t>0007218/2024</t>
  </si>
  <si>
    <t>12442606</t>
  </si>
  <si>
    <t>LT 230 kV MIRANDA II /PERITORO MA</t>
  </si>
  <si>
    <t>Substituição Cabo para raio MRPR-LT601  - Substituir em toda a Linha de Transmissão.</t>
  </si>
  <si>
    <t>0007586/2024</t>
  </si>
  <si>
    <t>MRPRLT601</t>
  </si>
  <si>
    <t>LT 230 kV SAO LUIS II /MIRANDA II MA</t>
  </si>
  <si>
    <t>Substituição Cabo para raio LDMR-LT601  -  Substituir em toda a Linha de Transmissão</t>
  </si>
  <si>
    <t>0007584/2024</t>
  </si>
  <si>
    <t>LDMR-LT601</t>
  </si>
  <si>
    <t>Substituição de sistema de oscilografia Registrador digital de perturbações - RPV 310 - ROVN-MG601 - 06CY.</t>
  </si>
  <si>
    <t>0007577/2024</t>
  </si>
  <si>
    <t>MG230-06CY</t>
  </si>
  <si>
    <t>Substituição do SPCS do Transformador 01T3, na subestação GOIANINHA, composto por: 01 painel, 01 unidade de proteção e controle, cabos de controle e infraestrutura de comunicação associados.</t>
  </si>
  <si>
    <t>0007220/2024</t>
  </si>
  <si>
    <t>11364018</t>
  </si>
  <si>
    <t>SUBSTITUIÇÃO DO DO SISTEMA DE ESVAZIAMENTO E DRENAGEM DA CASA DE FORÇA DA UHE MASCARENHAS DE MORAES</t>
  </si>
  <si>
    <t>UHMMO</t>
  </si>
  <si>
    <t>0007221/2024</t>
  </si>
  <si>
    <t>Substituição das proteções Principal, Alternada e Falha de Disjuntor, referentes a LT 525 kV Campos Novos - Nova Santa Rita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</si>
  <si>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0007222/2024</t>
  </si>
  <si>
    <t>PP, PA, BF - LT NSR C-1</t>
  </si>
  <si>
    <t>Substituição de sistema de oscilografia Registrador digital de perturbações - RPV 310 - ROVN-MG601 - 06DX.</t>
  </si>
  <si>
    <t>0007576/2024</t>
  </si>
  <si>
    <t>MG230-06DX</t>
  </si>
  <si>
    <t>REFORMA DA COMPORTA DE MANUTENÇÃO (STOP LOG) DA UG01 DA UHE MASCARENHAS DE MORAES</t>
  </si>
  <si>
    <t>UHMMO UG01</t>
  </si>
  <si>
    <t>0007223/2024</t>
  </si>
  <si>
    <t>Substituição de 5Km de Cabo Para-Raio por OPGW na LT 04F2 AQD/FZD C-2</t>
  </si>
  <si>
    <t>0007224/2024</t>
  </si>
  <si>
    <t>d-saqdsftz-04f2-cprr</t>
  </si>
  <si>
    <t>Substituição de bucha de 230kV - BSTF6-01 - Fases A</t>
  </si>
  <si>
    <t>0007571/2024</t>
  </si>
  <si>
    <t>BSTF601</t>
  </si>
  <si>
    <t>Substituição do SPCS do Transformador 01T5, na subestação GOIANINHA, composto por: 01 painel, 01 unidade de proteção e controle, cabos de controle e infraestrutura de comunicação associados.</t>
  </si>
  <si>
    <t>0007225/2024</t>
  </si>
  <si>
    <t>11362999</t>
  </si>
  <si>
    <t>Substituição de bucha de 230kV - BSTF6-01 - Fases B</t>
  </si>
  <si>
    <t>0007567/2024</t>
  </si>
  <si>
    <t>Substituição da cadeia de proteção de barras principal, referente às barras P e PT de 230 kV da SE Caxias 5, incluindo uma Unidade Central e sete unidades de Bay (vãos TF 1 230/13,8 kV, TF 2 230/13,8 kV, TF 3 230/69 kV, Interligador de Barras - IB, LT Caxias C-1, LT Farroupilha C-1 e LT Lajeado Grande C-1), painéis e cabos de controle e potência associados.</t>
  </si>
  <si>
    <t>0007227/2024</t>
  </si>
  <si>
    <t>Substituição de bucha de 230kV - BSTF6-01 - Fases V</t>
  </si>
  <si>
    <t>0007564/2024</t>
  </si>
  <si>
    <t>Substituição de bucha de 230kV - RGTF601 - Fase A</t>
  </si>
  <si>
    <t>TR 230/69 kV RIB.GONCALVES TR1 PI</t>
  </si>
  <si>
    <t>0007563/2024</t>
  </si>
  <si>
    <t>RGTF601</t>
  </si>
  <si>
    <t>Substituição do SPCS do Disjuntor de Interligação de Barras 12D1, na subestação G.MANGABEIRA, composto por: 01 painel, 02 proteções (principal e alternada), 01 unidade de controle, cabos de controle e infraestrutura de comunicação associados.</t>
  </si>
  <si>
    <t>IB 69 kV MG 230 kV G.MANGABEIRA MG1 BA IB1 (12D1)</t>
  </si>
  <si>
    <t>0007230/2024</t>
  </si>
  <si>
    <t>12448310</t>
  </si>
  <si>
    <t>Substituição das proteções Principal, Alternada e Falha de Disjuntor, referentes a LT 525 kV Gravataí - Nova Santa Rita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</si>
  <si>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LT 525 kV GRAVATAI /NOVA STA RITA C-1 RS</t>
  </si>
  <si>
    <t>0007231/2024</t>
  </si>
  <si>
    <t>LT 500 kV SAO LUIS II /BACABEIRA MA</t>
  </si>
  <si>
    <t>Substituição Cabo para raio LDBC-LI701 - Substituir em toda a Linha de Transmissão</t>
  </si>
  <si>
    <t>0007595/2024</t>
  </si>
  <si>
    <t>LDBCLI701</t>
  </si>
  <si>
    <t>Substituição do SPCS do Reator de Barra 01E1, na subestação MILAGRES, composto por: 01 painel, 01 unidade de proteção e controle, cabos de controle e infraestrutura de comunicação associados.</t>
  </si>
  <si>
    <t>RTB 13,8 kV 5 MVAr MILAGRES RT1 CE</t>
  </si>
  <si>
    <t>0007232/2024</t>
  </si>
  <si>
    <t>11350864</t>
  </si>
  <si>
    <t>Substituição de 5Km de Cabo Para-Raio por OPGW na LT 04N2 PRS/NTD C-1</t>
  </si>
  <si>
    <t>0007233/2024</t>
  </si>
  <si>
    <t>d-sprssntd-04n2-cprr</t>
  </si>
  <si>
    <t>Substituição Cabo para raio LDBC-LI702 -Substituir em toda a Linha de Transmissão</t>
  </si>
  <si>
    <t>0007594/2024</t>
  </si>
  <si>
    <t>LDBCLI702</t>
  </si>
  <si>
    <t>Substituição das proteções Principal, Alternada e Falha de Disjuntor, referentes a LT 525 kV Itá - Nova Santa Rita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</si>
  <si>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0007234/2024</t>
  </si>
  <si>
    <t>REFORMA DA COMPORTA DE MANUTENÇÃO (STOP LOG) DA UG06 DA UHE MASCARENHAS DE MORAES</t>
  </si>
  <si>
    <t>UHMMO UG06</t>
  </si>
  <si>
    <t>0007235/2024</t>
  </si>
  <si>
    <t>LT 500kV  MIRANDA II / BACABEIRA - C1</t>
  </si>
  <si>
    <t>Substituição Cabo para raio MRBC-LI701 -Substituir em toda a Linha de Transmissão</t>
  </si>
  <si>
    <t>LT 500 kV BACABEIRA /MIRANDA II C-1 MA</t>
  </si>
  <si>
    <t>0007593/2024</t>
  </si>
  <si>
    <t>MRBCLI701</t>
  </si>
  <si>
    <t>REFORMA DA COMPORTA DE MANUTENÇÃO (STOP LOG) DA UG02 DA UHE MASCARENHAS DE MORAES</t>
  </si>
  <si>
    <t>UHMMO UG02</t>
  </si>
  <si>
    <t>0007236/2024</t>
  </si>
  <si>
    <t>Substituição do SPCS do Reator de Barra 01E2, na subestação MILAGRES, composto por: 01 painel, 01 unidade de proteção e controle, cabos de controle e infraestrutura de comunicação associados.</t>
  </si>
  <si>
    <t>RTB 13,8 kV 10 Mvar MILAGRES RT2 CE</t>
  </si>
  <si>
    <t>0007237/2024</t>
  </si>
  <si>
    <t>11350865</t>
  </si>
  <si>
    <t>LT 500kV  MIRANDA II / BACABEIRA-C2</t>
  </si>
  <si>
    <t>Substituição Cabo para raio  MRBC-LI702 -Substituir em toda a Linha de Transmissão</t>
  </si>
  <si>
    <t>0007590/2024</t>
  </si>
  <si>
    <t>MRBCLI702</t>
  </si>
  <si>
    <t>Substituição de 5Km de Cabo Para-Raio por OPGW na LT 04V4 CGT/CGD C-3</t>
  </si>
  <si>
    <t>0007243/2024</t>
  </si>
  <si>
    <t>d-scgdscgt-04v4-cprr</t>
  </si>
  <si>
    <t>Substituição das proteções Principal, Alternada e Falha de Disjuntor, referentes a LT 525 kV Itá - Nova Santa Rita C-2.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</si>
  <si>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LT 525 kV ITA /NOVA STA RITA C-2 SC/RS</t>
  </si>
  <si>
    <t>0007238/2024</t>
  </si>
  <si>
    <t>PP, PA, BF - LT NSR C-2</t>
  </si>
  <si>
    <t>LT 500 kV IMPERATRIZ /P.DUTRA MA</t>
  </si>
  <si>
    <t>Substituição 6 Fundações Grelha IZPD-LT701 - Torre: 290.</t>
  </si>
  <si>
    <t>0007598/2024</t>
  </si>
  <si>
    <t>Substituição do SPCS principal das Barras 230 kV , na subestação SOBRAL III, composto por: 01 painel, 01 unidade central de proteção de barras (principal), do tipo adaptativa e distribuída, com capacidade para atender, no mínimo, 09 vãos, 09 unidades de bay de proteção de barras (principal) e infraestrutura de comunicação associados.</t>
  </si>
  <si>
    <t>0007239/2024</t>
  </si>
  <si>
    <t>11366650</t>
  </si>
  <si>
    <t>LT 500 kV TUCURUI /VILA DO CONDE PA</t>
  </si>
  <si>
    <t>Substituição de isoladores de suspensão e ancoragem, incluindo ferragens TCVCLT701</t>
  </si>
  <si>
    <t>0007600/2024</t>
  </si>
  <si>
    <t>TCVCLT701</t>
  </si>
  <si>
    <t>REFORMA DA COMPORTA DE MANUTENÇÃO (STOP LOG) DA UG03 DA UHE MASCARENHAS DE MORAES</t>
  </si>
  <si>
    <t>UHMMO UG03</t>
  </si>
  <si>
    <t>0007240/2024</t>
  </si>
  <si>
    <t>REFORMA DA COMPORTA DE MANUTENÇÃO (STOP LOG) DA UG07 DA UHE MASCARENHAS DE MORAES</t>
  </si>
  <si>
    <t>UHMMO UG07</t>
  </si>
  <si>
    <t>0007241/2024</t>
  </si>
  <si>
    <t>Substituição do SPCS do Transformador 04T3, na subestação CAUIPE, composto por: 02 painéis, 02 proteções (principal e alternada), 02 unidades de controle, 02 falhas de disjuntor (principal e alternada), cabos de controle e infraestrutura de comunicação associados.</t>
  </si>
  <si>
    <t>0007242/2024</t>
  </si>
  <si>
    <t>11365418</t>
  </si>
  <si>
    <t>REFORMA DA COMPORTA DE MANUTENÇÃO (STOP LOG) DA UG04 DA UHE MASCARENHAS DE MORAES</t>
  </si>
  <si>
    <t>UHMMO UG04</t>
  </si>
  <si>
    <t>0007245/2024</t>
  </si>
  <si>
    <t>REFORMA DA COMPORTA DE MANUTENÇÃO (STOP LOG) DA UG08 DA UHE MASCARENHAS DE MORAES</t>
  </si>
  <si>
    <t>UHMMO UG08</t>
  </si>
  <si>
    <t>0007246/2024</t>
  </si>
  <si>
    <t>Substituição do SPCS associado ao vão da Entrada de Linha 04M1 (LT 230 kV CATU /CAMACARI IV C-1), na subestação CAMACARI IV, composto por: 02 painéis, 02 proteções (principal e alternada), 01 unidade de controle, 02 falhas de disjuntor (principal e alternada), cabos de controle e infraestrutura de comunicação associados.</t>
  </si>
  <si>
    <t>0007247/2024</t>
  </si>
  <si>
    <t>11360711</t>
  </si>
  <si>
    <t>REFORMA DA COMPORTA DE MANUTENÇÃO (STOP LOG) DA UG05 DA UHE MASCARENHAS DE MORAES</t>
  </si>
  <si>
    <t>UHMMO UG05</t>
  </si>
  <si>
    <t>0007249/2024</t>
  </si>
  <si>
    <t>Substituição do SPCS associado ao vão da Entrada de Linha 04M2 (LT 230 kV CATU /CAMACARI IV C-2), na subestação CAMACARI IV, composto por: 02 painéis, 02 proteções (principal e alternada), 01 unidade de controle, 02 falhas de disjuntor (principal e alternada), cabos de controle e infraestrutura de comunicação associados.</t>
  </si>
  <si>
    <t>0007251/2024</t>
  </si>
  <si>
    <t>11360713</t>
  </si>
  <si>
    <t>REFORMA DA COMPORTA DE MANUTENÇÃO (STOP LOG) DA UG09 DA UHE MASCARENHAS DE MORAES</t>
  </si>
  <si>
    <t>UHMMO UG09</t>
  </si>
  <si>
    <t>0007252/2024</t>
  </si>
  <si>
    <t>Substituição do SPCS associado ao vão da Entrada de Linha 04C2 (LT 230 kV BANABUIU /ICO C-1), na subestação BANABUIU, composto por: 02 painéis, 02 proteções (principal e alternada), 01 unidade de controle, 02 falhas de disjuntor (principal e alternada), cabos de controle e infraestrutura de comunicação associados.</t>
  </si>
  <si>
    <t>0007253/2024</t>
  </si>
  <si>
    <t>11361337</t>
  </si>
  <si>
    <t>AQUISIÇÃO DE SISTEMA DE MONITORAMENTO DE ÓLEO PARA O POÇO DE DRENAGEM DA UHE MASCARENHAS DE MORAES</t>
  </si>
  <si>
    <t>0007254/2024</t>
  </si>
  <si>
    <t>REFORMA DA COMPORTA DE MANUTENÇÃO (STOP LOG) DA UG10 DA UHE MASCARENHAS DE MORAES</t>
  </si>
  <si>
    <t>UHMMO UG10</t>
  </si>
  <si>
    <t>0007258/2024</t>
  </si>
  <si>
    <t>Substituição do SPCS associado ao vão da Entrada de Linha 04M1 (LT 230 kV MILAGRES /BANABUIU C-1), na subestação BANABUIU, composto por: 02 painéis, 02 proteções (principal e alternada), 01 unidade de controle, 02 falhas de disjuntor (principal e alternada), cabos de controle e infraestrutura de comunicação associados.</t>
  </si>
  <si>
    <t>0007256/2024</t>
  </si>
  <si>
    <t>11365231</t>
  </si>
  <si>
    <t>Substituição do SPCS do Banco de Capacitores 04H1, na subestação BANABUIU, composto por: 02 painéis, 02 proteções (principal e alternada), 01 unidade de controle, 02 falhas de disjuntor (principal e alternada), cabos de controle e infraestrutura de comunicação associados.</t>
  </si>
  <si>
    <t>BC 230 kV 50,5 MVAr BANABUIU BC1 CE</t>
  </si>
  <si>
    <t>0007257/2024</t>
  </si>
  <si>
    <t>11364873</t>
  </si>
  <si>
    <t>Substituição de 01 (um) Transformador de serviço auxiliar posição operacional 400T3 da subestação PAQ.</t>
  </si>
  <si>
    <t>0007261/2024</t>
  </si>
  <si>
    <t>11456568</t>
  </si>
  <si>
    <t>Substituição do SPCS do Banco de Capacitores 04H2, na subestação BANABUIU, composto por: 02 painéis, 02 proteções (principal e alternada), 01 unidade de controle, 02 falhas de disjuntor (principal e alternada), cabos de controle e infraestrutura de comunicação associados.</t>
  </si>
  <si>
    <t>BC 230 kV 50,5 MVAr BANABUIU BC2 CE</t>
  </si>
  <si>
    <t>0007262/2024</t>
  </si>
  <si>
    <t>11364875</t>
  </si>
  <si>
    <t>Substituição de 01 (um) Transformador de serviço auxiliar posição operacional 400T4 da subestação PAQ.</t>
  </si>
  <si>
    <t>0007264/2024</t>
  </si>
  <si>
    <t>11456569</t>
  </si>
  <si>
    <t>Substituição de 01 (um) Transformador de serviço auxiliar posição operacional 01T1 da subestação RCD.</t>
  </si>
  <si>
    <t>0007266/2024</t>
  </si>
  <si>
    <t>11347957</t>
  </si>
  <si>
    <t>Substituição de 01 (um) Transformador de serviço auxiliar posição operacional RCD_01T2 da subestação RCD.</t>
  </si>
  <si>
    <t>0007267/2024</t>
  </si>
  <si>
    <t>11347958</t>
  </si>
  <si>
    <t>Substituição do SPCS associado ao vão da Entrada de Linha 02C5 (LT 69 kV COTEGIPE /CIA III), na subestação COTEGIPE, composto por: 01 painel, 02 proteções (principal e alternada), 01 unidade de controle, cabos de controle e infraestrutura de comunicação associados.</t>
  </si>
  <si>
    <t>EL 69 kV COTEGIPE LT 69 kV PITUACU /COTEGIPE C-2 BA (12C5)</t>
  </si>
  <si>
    <t>0007269/2024</t>
  </si>
  <si>
    <t>11365521</t>
  </si>
  <si>
    <t>Substituição de 01 (um) Transformador de serviço auxiliar posição operacional 01T2 da subestação OLD.</t>
  </si>
  <si>
    <t>0007471/2024</t>
  </si>
  <si>
    <t>11347961</t>
  </si>
  <si>
    <t>Substituição do SPCS associado ao vão da Entrada de Linha 02J4 (LT 69 kV COTEGIPE /CAMACARI I), na subestação COTEGIPE, composto por: 01 painel, 02 proteções (principal e alternada), 01 unidade de controle, cabos de controle e infraestrutura de comunicação associados.</t>
  </si>
  <si>
    <t>0007270/2024</t>
  </si>
  <si>
    <t>11357772</t>
  </si>
  <si>
    <t>Substituição do SPCS associado ao vão da Entrada de Linha 02J6 (LT 69 kV CATU /COTEGIPE C-2), na subestação COTEGIPE, composto por: 01 painel, 02 proteções (principal e alternada), 01 unidade de controle, cabos de controle e infraestrutura de comunicação associados.</t>
  </si>
  <si>
    <t>EL 69 kV COTEGIPE LT 69 kV CATU /COTEGIPE C-2 BA (12J6)</t>
  </si>
  <si>
    <t>0007469/2024</t>
  </si>
  <si>
    <t>11357776</t>
  </si>
  <si>
    <t>Substituição do SPCS do Transformador 04T2, na subestação COTEGIPE, composto por: 02 painéis, 02 proteções (principal e alternada), 02 unidades de controle, 02 falhas de disjuntor (principal e alternada), cabos de controle e infraestrutura de comunicação associados.</t>
  </si>
  <si>
    <t>0007271/2024</t>
  </si>
  <si>
    <t>11359142</t>
  </si>
  <si>
    <t>Substituição do SPCS associado ao vão da Entrada de Linha 04M6 (LT 230 kV CAMACARI IV /COTEGIPE C-1), na subestação CAMACARI IV, composto por: 02 painéis, 02 proteções (principal e alternada), 01 unidade de controle, 02 falhas de disjuntor (principal e alternada), cabos de controle e infraestrutura de comunicação associados.</t>
  </si>
  <si>
    <t>0007273/2024</t>
  </si>
  <si>
    <t>11360703</t>
  </si>
  <si>
    <t>Substituição do SPCS associado ao vão da Entrada de Linha 02M3 (LT 69 kV GOIANINHA /GOIANA), na subestação GOIANINHA, composto por: 01 painel, 02 proteções (principal e alternada), 01 unidade de controle, cabos de controle e infraestrutura de comunicação associados.</t>
  </si>
  <si>
    <t>EL 69 kV GOIANINHA DIST2 (12M3)</t>
  </si>
  <si>
    <t>0007274/2024</t>
  </si>
  <si>
    <t>11362942</t>
  </si>
  <si>
    <t>Substituição de 01 (um) Transformador de serviço auxiliar posição operacional 01T7 da subestação SJI.</t>
  </si>
  <si>
    <t>0007275/2024</t>
  </si>
  <si>
    <t>11348059</t>
  </si>
  <si>
    <t>Substituição do SPCS associado ao vão da Entrada de Linha 02M4 (LT 69 kV GOIANINHA /GOIANA), na subestação GOIANINHA, composto por: 01 painel, 02 proteções (principal e alternada), 01 unidade de controle, cabos de controle e infraestrutura de comunicação associados.</t>
  </si>
  <si>
    <t>EL 69 kV GOIANINHA DIST3 (12M4)</t>
  </si>
  <si>
    <t>0007276/2024</t>
  </si>
  <si>
    <t>11362944</t>
  </si>
  <si>
    <t>Substituição de Transformador de Corrente de Neutro, referente ao TR2 138/69 kV da SE Joinville.</t>
  </si>
  <si>
    <t>0007277/2024</t>
  </si>
  <si>
    <t>TCN</t>
  </si>
  <si>
    <t>Substituição de 01 (um) Transformador de serviço auxiliar posição operacional 01T9 da subestação RCD.</t>
  </si>
  <si>
    <t>0007278/2024</t>
  </si>
  <si>
    <t>11456489</t>
  </si>
  <si>
    <t>Substituição do SPCS associado ao vão da Entrada de Linha 02M5 (LT 69 kV GOIANINHA /MONJOPE), na subestação GOIANINHA, composto por: 01 painel, 02 proteções (principal e alternada), 01 unidade de controle, cabos de controle e infraestrutura de comunicação associados.</t>
  </si>
  <si>
    <t>EL 69 kV GOIANINHA DIST4 (12M5)</t>
  </si>
  <si>
    <t>0007279/2024</t>
  </si>
  <si>
    <t>11364102</t>
  </si>
  <si>
    <t>Substituição da cadeia de proteção de barras principal, referente às barras A e B de 525 kV da SE Nova Santa Rita, incluindo Unidade Central e doze unidades de Bay (vãos TF 1 525/230 kV, TF 2 525/230 kV, TF 3 525/230 kV, TF 4 525/230 kV, LT Gravataí C-1, LT Guaíba 3 C-1, LT Guaíba 3 C-2, LT C.Novos C-1, LT Itá C-1, LT Itá C-2, IB DJ1110 e IB DJ1090), painéis e cabos de controle e potência associados.</t>
  </si>
  <si>
    <t>0007280/2024</t>
  </si>
  <si>
    <t>Substituição de 01 (um) Transformador de serviço auxiliar posição operacional 01T1 da subestação MLG.</t>
  </si>
  <si>
    <t>0007281/2024</t>
  </si>
  <si>
    <t>11456496</t>
  </si>
  <si>
    <t>Substituição do SPCS associado ao vão da Entrada de Linha 04C7 (LT 230 kV PAU FERRO /GOIANINHA C-1), na subestação GOIANINHA, composto por: 02 painéis, 02 proteções (principal e alternada), 01 unidade de controle, 02 falhas de disjuntor (principal e alternada), cabos de controle e infraestrutura de comunicação associados.</t>
  </si>
  <si>
    <t>0007282/2024</t>
  </si>
  <si>
    <t>11353304</t>
  </si>
  <si>
    <t>Substituição de 01 (um) Transformador de serviço auxiliar posição operacional 01T2 da subestação MLG.</t>
  </si>
  <si>
    <t>0007283/2024</t>
  </si>
  <si>
    <t>11456497</t>
  </si>
  <si>
    <t>Substituição da cadeia de proteção de barras principal, referente às barras P e PT de 230 kV da SE Nova Santa Rita, incluindo Unidade Central e quinze unidades de Bay (vãos TF 1 525/230 kV, TF 2 525/230 kV, TF 3 525/230 kV, TF 4 525/230 kV, LT Scharlau 2 C-1, LT Scharlau 2 C-2, LT C.Industrial C-1, LT C.Industrial C-2, LT C.Industrial C-3, LT P.Alegre 9 C-1, LT Camaquã 3 C-1, LT P.Petroquímico C-1, LT Candelária 2 C-1, LT Lajeado 2 C-1 e IB 230 kV), painéis e cabos de controle e potência associa</t>
  </si>
  <si>
    <t>0007284/2024</t>
  </si>
  <si>
    <t>Substituição do SPCS associado ao vão da Entrada de Linha 04C7 (LT 230 kV PAU FERRO /GOIANINHA C-1), na subestação PAU FERRO, composto por: 02 painéis, 02 proteções (principal e alternada), 01 unidade de controle, 02 falhas de disjuntor (principal e alternada), cabos de controle e infraestrutura de comunicação associados.</t>
  </si>
  <si>
    <t>0007285/2024</t>
  </si>
  <si>
    <t>12402674</t>
  </si>
  <si>
    <t>Substituição de 01 (um) Transformador de serviço auxiliar posição operacional 01T6 da subestação LGZ.</t>
  </si>
  <si>
    <t>0007286/2024</t>
  </si>
  <si>
    <t>11456563</t>
  </si>
  <si>
    <t>Substituição da proteção Falha de Disjuntor, referente ao Interligador de Barras (IB) 230 kV da SE Nova Santa Rita, DJ812.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</si>
  <si>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0007287/2024</t>
  </si>
  <si>
    <t>BF - DJ812</t>
  </si>
  <si>
    <t>Substituição do SPCS associado ao vão da Entrada de Linha 04F2 (LT 230 kV IRECE /BROT.MACAUBAS C-1), na subestação IRECE, composto por: 02 painéis, 02 proteções (principal e alternada), 01 unidade de controle, 02 falhas de disjuntor (principal e alternada), cabos de controle e infraestrutura de comunicação associados.</t>
  </si>
  <si>
    <t>0007288/2024</t>
  </si>
  <si>
    <t>11361424</t>
  </si>
  <si>
    <t>Substituição de 01 (um) Transformador de serviço auxiliar posição operacional 01T7 da subestação LGZ.</t>
  </si>
  <si>
    <t>0007289/2024</t>
  </si>
  <si>
    <t>11456564</t>
  </si>
  <si>
    <t>Substituição da proteção Falha de Disjuntor, referente ao Interligador de Barras (IB) 525 kV da SE Nova Santa Rita, DJ1010 (vão entre o TF1 e a LT Guaíba 3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</si>
  <si>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0007290/2024</t>
  </si>
  <si>
    <t>Substituição do SPCS associado ao vão da Entrada de Linha 04F2 (LT 230 kV IRECE /BROT.MACAUBAS C-1), na subestação BROT.MACAUBAS, composto por: 02 painéis, 02 proteções (principal e alternada), 01 unidade de controle, 02 falhas de disjuntor (principal e alternada), cabos de controle e infraestrutura de comunicação associados.</t>
  </si>
  <si>
    <t>0007291/2024</t>
  </si>
  <si>
    <t>11361406</t>
  </si>
  <si>
    <t>Substituição de 01 (um) Transformador de serviço auxiliar posição operacional 400T8 da subestação LGZ.</t>
  </si>
  <si>
    <t>0007292/2024</t>
  </si>
  <si>
    <t>11456565</t>
  </si>
  <si>
    <t>Substituição da proteção Falha de Disjuntor, referente ao Interligador de Barras (IB) 525 kV da SE Nova Santa Rita, DJ1030 (vão entre o TF2 e a LT Itá C-2).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</si>
  <si>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0007293/2024</t>
  </si>
  <si>
    <t>Substituição de 01 (um) Transformador de serviço auxiliar posição operacional 400T9 da subestação LGZ.</t>
  </si>
  <si>
    <t>0007296/2024</t>
  </si>
  <si>
    <t>11456567</t>
  </si>
  <si>
    <t>Substituição da proteção Falha de Disjuntor, referente ao Interligador de Barras (IB) 525 kV da SE Nova Santa Rita, DJ1050 (vão entre o TF3 e a LT Itá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</si>
  <si>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0007298/2024</t>
  </si>
  <si>
    <t>Substituição do SPCS associado ao vão da Entrada de Linha 04V4 (LT 230 kV C.GRANDE III /C.GRANDE II C-3), na subestação C.GRANDE III, composto por: 02 painéis, 02 proteções (principal e alternada), 01 unidade de controle, 02 falhas de disjuntor (principal e alternada), cabos de controle e infraestrutura de comunicação associados.</t>
  </si>
  <si>
    <t>0007465/2024</t>
  </si>
  <si>
    <t>12361202</t>
  </si>
  <si>
    <t>Substituição de 01 (um) Transformador de serviço auxiliar posição operacional 01T3 da subestação CMD.</t>
  </si>
  <si>
    <t>0007303/2024</t>
  </si>
  <si>
    <t>11456612</t>
  </si>
  <si>
    <t>Substituição da proteção Falha de Disjuntor, referente ao Interligador de Barras (IB) 525 kV da SE Nova Santa Rita, DJ1070 (vão entre o TF4 e a LT C.Novos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</si>
  <si>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0007304/2024</t>
  </si>
  <si>
    <t>Substituição do SPCS associado ao vão da Entrada de Linha 04C7 (LT 230 kV CAMACARI II /G.MANGABEIRA C-1), na subestação CAMACARI II, composto por: 02 painéis, 02 proteções (principal e alternada), 01 unidade de controle, 02 falhas de disjuntor (principal e alternada), cabos de controle e infraestrutura de comunicação associados.</t>
  </si>
  <si>
    <t>0007307/2024</t>
  </si>
  <si>
    <t>11365573</t>
  </si>
  <si>
    <t>Substituição de 01 (um) Transformador de serviço auxiliar posição operacional 01T4 da subestação CMD.</t>
  </si>
  <si>
    <t>0007308/2024</t>
  </si>
  <si>
    <t>11456613</t>
  </si>
  <si>
    <t>Substituição da proteção Falha de Disjuntor, referente ao Interligador de Barras (IB) 525 kV da SE Nova Santa Rita, DJ1110 (vão da LT Gravataí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</si>
  <si>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0007310/2024</t>
  </si>
  <si>
    <t>Substituição de 01 (um) Transformador de serviço auxiliar posição operacional 400T5 da subestação AGD.</t>
  </si>
  <si>
    <t>0007314/2024</t>
  </si>
  <si>
    <t>11456666</t>
  </si>
  <si>
    <t>Substituição do SPCS associado ao vão da Entrada de Linha 04N1 (LT 230 kV CAMACARI II /BRASKEM C-1), na subestação CAMACARI II, composto por: 02 painéis, 02 proteções (principal e alternada), 01 unidade de controle, 02 falhas de disjuntor (principal e alternada), cabos de controle e infraestrutura de comunicação associados.</t>
  </si>
  <si>
    <t>EL 230 kV CAMACARI II LT 230 kV CAMACARI II /BRASKEM C-1 BA (14N1)</t>
  </si>
  <si>
    <t>0007315/2024</t>
  </si>
  <si>
    <t>11361725</t>
  </si>
  <si>
    <t>Substituição das proteções Principal, Alternada e Falha de Disjuntor, referentes a LT 230 kV Nova Santa Rita - Camaquã 3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</si>
  <si>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LT 230 kV CAMAQUA 3 /NOVA STA RITA C-1 RS</t>
  </si>
  <si>
    <t>0007317/2024</t>
  </si>
  <si>
    <t>PP, PA, BF - LT CAM3 C-1</t>
  </si>
  <si>
    <t>Substituição de 01 (um) Transformador de serviço auxiliar posição operacional 400T6 da subestação AGD.</t>
  </si>
  <si>
    <t>0007319/2024</t>
  </si>
  <si>
    <t>11456667</t>
  </si>
  <si>
    <t>Substituição do SPCS do Transformador 04T5, na subestação CAMACARI II, composto por: 02 painéis, 02 proteções (principal e alternada), 02 unidades de controle, 02 falhas de disjuntor (principal e alternada), cabos de controle e infraestrutura de comunicação associados.</t>
  </si>
  <si>
    <t>0007320/2024</t>
  </si>
  <si>
    <t>11358865</t>
  </si>
  <si>
    <t>Substituição das proteções Principal, Alternada e Falha de Disjuntor, referentes a LT 525 kV Nova Santa Rita - Campos Novos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</si>
  <si>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0007321/2024</t>
  </si>
  <si>
    <t>PP, PA, BF - LT CNO C-1</t>
  </si>
  <si>
    <t>Substituição de 01 (um) Transformador de serviço auxiliar posição operacional 400T4 da subestação OLD.</t>
  </si>
  <si>
    <t>0007323/2024</t>
  </si>
  <si>
    <t>12587121</t>
  </si>
  <si>
    <t>Substituição do SPCS do Transformador 05T3, na subestação CAMACARI II, composto por: 02 painéis, 02 proteções (principal e alternada), 02 unidades de controle, 02 falhas de disjuntor (principal e alternada), cabos de controle e infraestrutura de comunicação associados.</t>
  </si>
  <si>
    <t>0007324/2024</t>
  </si>
  <si>
    <t>11359710</t>
  </si>
  <si>
    <t>Substituição das proteções Principal, Alternada e Falha de Disjuntor, referentes a LT 525 kV Nova Santa Rita - Gravataí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</si>
  <si>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0007325/2024</t>
  </si>
  <si>
    <t>PP, PA, BF - LT GRA C-1</t>
  </si>
  <si>
    <t>Substituição de 01 (um) Transformador de serviço auxiliar posição operacional 400T5 da subestação OLD.</t>
  </si>
  <si>
    <t>0007328/2024</t>
  </si>
  <si>
    <t>12587122</t>
  </si>
  <si>
    <t>Substituição do SPCS do Disjuntor de Interligação de Barras 15D2, na subestação CAMACARI II, composto por: 01 painel, 01 unidade de controle, 02 falhas de disjuntor (principal e alternada), cabos de controle e infraestrutura de comunicação associados.</t>
  </si>
  <si>
    <t>0007329/2024</t>
  </si>
  <si>
    <t>11357323</t>
  </si>
  <si>
    <t>Substituição das proteções Principal, Alternada e Falha de Disjuntor, referentes a LT 525 kV Nova Santa Rita - Guaíba 3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</si>
  <si>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LT 525 kV GUAIBA 3 / NOVA STA RITA C 1 RS</t>
  </si>
  <si>
    <t>0007330/2024</t>
  </si>
  <si>
    <t>PP, PA, BF - LT GUA3 C-1</t>
  </si>
  <si>
    <t>Substituição de 01 (um) Transformador de serviço auxiliar posição operacional 400T3 da subestação CMD.</t>
  </si>
  <si>
    <t>0007334/2024</t>
  </si>
  <si>
    <t>12587130</t>
  </si>
  <si>
    <t>Substituição das proteções Principal, Alternada e Falha de Disjuntor, referentes a LT 525 kV Nova Santa Rita - Itá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</si>
  <si>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0007335/2024</t>
  </si>
  <si>
    <t>PP, PA, BF - LT YTA C-1</t>
  </si>
  <si>
    <t>Substituição de 01 (um) Transformador de serviço auxiliar posição operacional 400T4 da subestação CMD.</t>
  </si>
  <si>
    <t>0007336/2024</t>
  </si>
  <si>
    <t>12587131</t>
  </si>
  <si>
    <t>Substituição das proteções Principal, Alternada e Falha de Disjuntor, referentes a LT 525 kV Nova Santa Rita - Itá C-2.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</si>
  <si>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0007338/2024</t>
  </si>
  <si>
    <t>PP, PA, BF - LT YTA C-2</t>
  </si>
  <si>
    <t>Substituição de 01 (um) Transformador de serviço auxiliar posição operacional 400T5 da subestação CMD.</t>
  </si>
  <si>
    <t>0007339/2024</t>
  </si>
  <si>
    <t>12587132</t>
  </si>
  <si>
    <t>Substituição das proteções Principal, Alternada e Falha de Disjuntor, referentes ao Reator 1 (RT1) da SE Nova Santa Rita.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</si>
  <si>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RT 525 kV 150 Mvar NOVA STA RITA RT1 RS</t>
  </si>
  <si>
    <t>0007340/2024</t>
  </si>
  <si>
    <t>Substituição de 01 (um) Transformador de serviço auxiliar posição operacional 400T6 da subestação CMD.</t>
  </si>
  <si>
    <t>0007343/2024</t>
  </si>
  <si>
    <t>12587133</t>
  </si>
  <si>
    <t>Substituição das proteções Principal, Alternada e Falha de Disjuntor, referentes ao Reator 2 (RT2) da SE Nova Santa Rita.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</si>
  <si>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RT 525 kV 150 Mvar NOVA STA RITA RT2 RS</t>
  </si>
  <si>
    <t>0007344/2024</t>
  </si>
  <si>
    <t>Substituição do Sistema de Registro de Perturbação no Reator 05E1, na subestação ANGELIM II, composto por: 01 Oscilógrafo.</t>
  </si>
  <si>
    <t>RTB 500 kV 150 MVAr ANGELIM II RT1 PE</t>
  </si>
  <si>
    <t>0007345/2024</t>
  </si>
  <si>
    <t>11446225</t>
  </si>
  <si>
    <t>Substituição de 01 (um) Transformador de serviço auxiliar posição operacional 400T3 da subestação RCD.</t>
  </si>
  <si>
    <t>0007349/2024</t>
  </si>
  <si>
    <t>12587148</t>
  </si>
  <si>
    <t>Substituição das proteções Principal, Alternada e Falha de Disjuntor, referentes ao Reator 3 (RT3) da SE Nova Santa Rita.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</si>
  <si>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RT 525 kV 150 Mvar NOVA STA RITA RT3 RS</t>
  </si>
  <si>
    <t>0007350/2024</t>
  </si>
  <si>
    <t>PP, PA, BF - RT3</t>
  </si>
  <si>
    <t>Substituição do Sistema de Registro de Perturbação no Trafo 04T1, na subestação ELISEU MARTIN, composto por: 01 Oscilógrafo.</t>
  </si>
  <si>
    <t>0007351/2024</t>
  </si>
  <si>
    <t>11446286</t>
  </si>
  <si>
    <t>Substituição de 01 (um) Transformador de serviço auxiliar posição operacional 400T4 da subestação RCD.</t>
  </si>
  <si>
    <t>0007354/2024</t>
  </si>
  <si>
    <t>12587149</t>
  </si>
  <si>
    <t>Substituição das proteções Principal, Alternada e Falha de Disjuntor, referentes ao TR1 525/230 kV da SE Nova Santa Rita, lados de 525 e 230 kV.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</si>
  <si>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TR 525 / 230 kV NOVA STA RITA 1 RS</t>
  </si>
  <si>
    <t>0007356/2024</t>
  </si>
  <si>
    <t>Substituição do Sistema de Registro de Perturbação no Trafo 04T2, na subestação ELISEU MARTIN, composto por: 01 Oscilógrafo.</t>
  </si>
  <si>
    <t>TR 230/69 kV ELISEU MARTIN TR2 PI</t>
  </si>
  <si>
    <t>0007358/2024</t>
  </si>
  <si>
    <t>11446287</t>
  </si>
  <si>
    <t>Substituição de 01 (um) Transformador de serviço auxiliar posição operacional 400T11 da subestação RCD.</t>
  </si>
  <si>
    <t>0007360/2024</t>
  </si>
  <si>
    <t>12587150</t>
  </si>
  <si>
    <t>Substituição das proteções Principal, Alternada e Falha de Disjuntor, referentes ao TR2 525/230 kV da SE Nova Santa Rita, lados de 525 e 230 kV.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</si>
  <si>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0007361/2024</t>
  </si>
  <si>
    <t>Substituição do Sistema de Registro de Perturbação no Trafo 04T1 230 kV, na subestação JOAIRAM, composto por: 01 Oscilógrafo.</t>
  </si>
  <si>
    <t>0007362/2024</t>
  </si>
  <si>
    <t>11449237</t>
  </si>
  <si>
    <t>Substituição de 01 (um) Transformador de serviço auxiliar posição operacional 400T12 da subestação RCD.</t>
  </si>
  <si>
    <t>0007363/2024</t>
  </si>
  <si>
    <t>12587151</t>
  </si>
  <si>
    <t>Substituição das proteções Principal, Alternada e Falha de Disjuntor, referentes ao TR3 525/230 kV da SE Nova Santa Rita, lados de 525 e 230 kV.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</si>
  <si>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0007364/2024</t>
  </si>
  <si>
    <t>Substituição do Sistema de Registro de Perturbação no Trafo 04T2 230 kV, na subestação JOAIRAM, composto por: 01 Oscilógrafo.</t>
  </si>
  <si>
    <t>0007365/2024</t>
  </si>
  <si>
    <t>11449238</t>
  </si>
  <si>
    <t>Substituição de 01 (um) Transformador de serviço auxiliar posição operacional 400T6 da subestação SOB.</t>
  </si>
  <si>
    <t>0007366/2024</t>
  </si>
  <si>
    <t>12587162</t>
  </si>
  <si>
    <t>Substituição das proteções Principal, Alternada e Falha de Disjuntor, referentes ao TR4 525/230 kV da SE Nova Santa Rita, lados de 525 e 230 kV.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</si>
  <si>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0007369/2024</t>
  </si>
  <si>
    <t>PP, PA, BF - TF4</t>
  </si>
  <si>
    <t>12,3</t>
  </si>
  <si>
    <t>Substituição do Sistema de Registro de Perturbação no Compensador Estático 01Q1, na subestação MILAGRES, composto por: 01 Oscilógrafo.</t>
  </si>
  <si>
    <t>0007474/2024</t>
  </si>
  <si>
    <t>11462601</t>
  </si>
  <si>
    <t>Substituição de 01 (um) Transformador de serviço auxiliar posição operacional 400T7 da subestação SOB.</t>
  </si>
  <si>
    <t>0007373/2024</t>
  </si>
  <si>
    <t>12587163</t>
  </si>
  <si>
    <t>Substituição do sistema de controle e supervisão (com unidade redundante) da LT 230 kV Nova Santa Rita - Camaquã 3 C-1, incluindo painéis e cabos de controle e potência associados.</t>
  </si>
  <si>
    <t>0007374/2024</t>
  </si>
  <si>
    <t>Controle - LT CAM3 C-1</t>
  </si>
  <si>
    <t>Substituição do Sistema de Registro de Perturbação no Compensador Estático 01Q2, na subestação MILAGRES, composto por: 01 Oscilógrafo.</t>
  </si>
  <si>
    <t>CE 58/-35 MvAr MILAGRES CE2 CE</t>
  </si>
  <si>
    <t>0007475/2024</t>
  </si>
  <si>
    <t>11462602</t>
  </si>
  <si>
    <t>Substituição de 01 (um) Transformador de serviço auxiliar posição operacional 400T8 da subestação SOB.</t>
  </si>
  <si>
    <t>0007379/2024</t>
  </si>
  <si>
    <t>12587164</t>
  </si>
  <si>
    <t>Substituição do sistema de controle e supervisão (com unidade redundante) da LT 525 kV Nova Santa Rita - Campos Novos C-1, incluindo painéis e cabos de controle e potência associados.</t>
  </si>
  <si>
    <t>0007381/2024</t>
  </si>
  <si>
    <t>Substituição do Sistema de Registro de Perturbação na RTB04E2, na subestação PICOS, composto por: 01 Oscilógrafo.</t>
  </si>
  <si>
    <t>RTB 230 kV 15 Mvar PICOS RT1 PI</t>
  </si>
  <si>
    <t>0007382/2024</t>
  </si>
  <si>
    <t>11446401</t>
  </si>
  <si>
    <t>Substituição de 01 (um) Transformador de serviço auxiliar posição operacional 400T9 da subestação SOB.</t>
  </si>
  <si>
    <t>0007383/2024</t>
  </si>
  <si>
    <t>12587165</t>
  </si>
  <si>
    <t>Substituição do sistema de controle e supervisão (com unidade redundante) da LT 525 kV Nova Santa Rita - Gravataí C-1, incluindo painéis e cabos de controle e potência associados.</t>
  </si>
  <si>
    <t>0007386/2024</t>
  </si>
  <si>
    <t>Substituição do Sistema de Registro de Perturbação no Trafo 04T2, na subestação RUSSAS II, composto por: 01 Oscilógrafo.</t>
  </si>
  <si>
    <t>TR 230/69 kV RUSSAS II TR4 CE</t>
  </si>
  <si>
    <t>0007388/2024</t>
  </si>
  <si>
    <t>11449263</t>
  </si>
  <si>
    <t>Substituição de 01 (um) Transformador de serviço auxiliar posição operacional 400T8 da subestação SJI.</t>
  </si>
  <si>
    <t>0007391/2024</t>
  </si>
  <si>
    <t>12587170</t>
  </si>
  <si>
    <t>Substituição do sistema de controle e supervisão (com unidade redundante) da LT 525 kV Nova Santa Rita - Guaíba 3 C-1, incluindo painéis e cabos de controle e potência associados.</t>
  </si>
  <si>
    <t>0007392/2024</t>
  </si>
  <si>
    <t>Controle - LT GUA3 C-1</t>
  </si>
  <si>
    <t>Substituição do Sistema de Registro de Perturbação no Trafo 04T3, na subestação RUSSAS II, composto por: 01 Oscilógrafo.</t>
  </si>
  <si>
    <t>0007393/2024</t>
  </si>
  <si>
    <t>11446262</t>
  </si>
  <si>
    <t>Substituição de 01 (um) Transformador de serviço auxiliar posição operacional 400T9 da subestação SJI.</t>
  </si>
  <si>
    <t>0007394/2024</t>
  </si>
  <si>
    <t>12587171</t>
  </si>
  <si>
    <t>Substituição do sistema de controle e supervisão (com unidade redundante) da LT 525 kV Nova Santa Rita - Itá C-1, incluindo painéis e cabos de controle e potência associados.</t>
  </si>
  <si>
    <t>0007395/2024</t>
  </si>
  <si>
    <t>Substituição do Sistema de Registro de Perturbação no Trafo 05T1, na subestação SOBRAL III, composto por: 01 Oscilógrafo.</t>
  </si>
  <si>
    <t>0007396/2024</t>
  </si>
  <si>
    <t>11446259</t>
  </si>
  <si>
    <t>Substituição de 01 (um) Transformador de serviço auxiliar posição operacional 01T1 da subestação AGD.</t>
  </si>
  <si>
    <t>0007400/2024</t>
  </si>
  <si>
    <t>11347955</t>
  </si>
  <si>
    <t>Substituição do sistema de controle e supervisão (com unidade redundante) da LT 525 kV Nova Santa Rita - Itá C-2, incluindo painéis e cabos de controle e potência associados.</t>
  </si>
  <si>
    <t>0007402/2024</t>
  </si>
  <si>
    <t>Controle - LT YTA C-2</t>
  </si>
  <si>
    <t>Substituição do Sistema de Registro de Perturbação no Trafo 05T4, na subestação U.SOBRADINHO, composto por: 01 Oscilógrafo.</t>
  </si>
  <si>
    <t>0007404/2024</t>
  </si>
  <si>
    <t>11446192</t>
  </si>
  <si>
    <t>Substituição de 01 (um) Transformador de serviço auxiliar posição operacional 01T2 da subestação AGD.</t>
  </si>
  <si>
    <t>0007405/2024</t>
  </si>
  <si>
    <t>11347956</t>
  </si>
  <si>
    <t>Substituição do sistema de controle e supervisão (com unidade redundante) do Interligador de Barras (IB) 230 kV da SE Nova Santa Rita, DJ812, incluindo painéis e cabos de controle e potência associados.</t>
  </si>
  <si>
    <t>0007406/2024</t>
  </si>
  <si>
    <t>Controle - DJ812</t>
  </si>
  <si>
    <t>Substituição do Sistema de Registro de Perturbação no Trafo 05T5, na subestação U.SOBRADINHO, composto por: 01 Oscilógrafo.</t>
  </si>
  <si>
    <t>0007410/2024</t>
  </si>
  <si>
    <t>11446193</t>
  </si>
  <si>
    <t>Substituição de 01 (um) Transformador de serviço auxiliar posição operacional 01T4 da subestação BEA</t>
  </si>
  <si>
    <t>0007413/2024</t>
  </si>
  <si>
    <t>11348060</t>
  </si>
  <si>
    <t>Substituição do sistema de controle e supervisão (com unidade redundante) do Interligador de Barras (IB) 525 kV da SE Nova Santa Rita, DJ1010 (vão entre o TF1 e a LT Guaíba 3 C-1), incluindo painéis e cabos de controle e potência associados.</t>
  </si>
  <si>
    <t>0007414/2024</t>
  </si>
  <si>
    <t>Substituição do Sistema de Registro de Perturbação no Trafo 04T1, na subestação TAUA II, composto por: 01 Oscilógrafo.</t>
  </si>
  <si>
    <t>TR 230/69 kV TAUA II TR1 CE</t>
  </si>
  <si>
    <t>0007415/2024</t>
  </si>
  <si>
    <t>11446264</t>
  </si>
  <si>
    <t>Substituição de 01 (um) Transformador de serviço auxiliar posição operacional 01T3 da subestação BEA</t>
  </si>
  <si>
    <t>0007416/2024</t>
  </si>
  <si>
    <t>11348058</t>
  </si>
  <si>
    <t>Substituição do sistema de controle e supervisão (com unidade redundante) do Interligador de Barras (IB) 525 kV da SE Nova Santa Rita, DJ1030 (vão entre o TF2 e a LT Itá C-2), incluindo painéis e cabos de controle e potência associados.</t>
  </si>
  <si>
    <t>0007417/2024</t>
  </si>
  <si>
    <t>Substituição do Sistema de Registro de Perturbação no Trafo 05T6, na subestação JARDIM, composto por: 01 Oscilógrafo.</t>
  </si>
  <si>
    <t>0007421/2024</t>
  </si>
  <si>
    <t>11446341</t>
  </si>
  <si>
    <t>Substituição de 01 (um) Transformador de serviço auxiliar posição operacional 01T8-A da subestação TSA</t>
  </si>
  <si>
    <t>0007423/2024</t>
  </si>
  <si>
    <t>11456550</t>
  </si>
  <si>
    <t>Substituição do sistema de controle e supervisão (com unidade redundante) do Interligador de Barras (IB) 525 kV da SE Nova Santa Rita, DJ1050 (vão entre o TF3 e a LT Itá C-1), incluindo painéis e cabos de controle e potência associados.</t>
  </si>
  <si>
    <t>0007424/2024</t>
  </si>
  <si>
    <t>Substituição do Sistema de Registro de Perturbação no Reator 04E3, na subestação NATAL II, composto por: 01 Oscilógrafo.</t>
  </si>
  <si>
    <t>RTL 230 kV 9,9 MVAr NATAL II RT3 RN</t>
  </si>
  <si>
    <t>0007425/2024</t>
  </si>
  <si>
    <t>11446388</t>
  </si>
  <si>
    <t>Substituição de 01 (um) Transformador de serviço auxiliar posição operacional 01T6 da subestação DMG</t>
  </si>
  <si>
    <t>0007426/2024</t>
  </si>
  <si>
    <t>11456503</t>
  </si>
  <si>
    <t>Substituição do sistema de controle e supervisão (com unidade redundante) do Interligador de Barras (IB) 525 kV da SE Nova Santa Rita, DJ1070 (vão entre o TF4 e a LT C.Novos C-1), incluindo painéis e cabos de controle e potência associados.</t>
  </si>
  <si>
    <t>0007427/2024</t>
  </si>
  <si>
    <t>Substituição do Sistema de Registro de Perturbação no Trafo 05T4, na subestação RECIFE II, composto por: 01 Oscilógrafo.</t>
  </si>
  <si>
    <t>0007429/2024</t>
  </si>
  <si>
    <t>11446205</t>
  </si>
  <si>
    <t>Substituição de 01 (um) Transformador de serviço auxiliar posição operacional 01T4 da subestação SBD</t>
  </si>
  <si>
    <t>0007432/2024</t>
  </si>
  <si>
    <t>11348311</t>
  </si>
  <si>
    <t>Substituição do sistema de controle e supervisão (com unidade redundante) do Interligador de Barras (IB) 525 kV da SE Nova Santa Rita, DJ1110 (vão da LT Gravataí C-1), incluindo painéis e cabos de controle e potência associados.</t>
  </si>
  <si>
    <t>0007433/2024</t>
  </si>
  <si>
    <t>Substituição do Sistema de Registro de Perturbação no Reator 04E1, na subestação TAUA II, composto por: 01 Oscilógrafo.</t>
  </si>
  <si>
    <t>RTB 230 kV 15 Mvar TAUA II RT1 CE</t>
  </si>
  <si>
    <t>0007434/2024</t>
  </si>
  <si>
    <t>11446391</t>
  </si>
  <si>
    <t>Substituição de 01 (um) Transformador de serviço auxiliar posição operacional 01T7 da subestação AGL</t>
  </si>
  <si>
    <t>0007435/2024</t>
  </si>
  <si>
    <t>11456669</t>
  </si>
  <si>
    <t>Substituição do sistema de controle e supervisão (com unidade redundante) do Reator 1 (RT1) da SE Nova Santa Rita, incluindo painéis e cabos de controle e potência associados.</t>
  </si>
  <si>
    <t>0007437/2024</t>
  </si>
  <si>
    <t>Substituição do Sistema de Registro de Perturbação associado ao Banco de Capacitores 04H2, na subestação RECIFE II, composto por: 01 Oscilógrafo e infraestrutura de comunicação associada.</t>
  </si>
  <si>
    <t>0007439/2024</t>
  </si>
  <si>
    <t>11444085</t>
  </si>
  <si>
    <t>Substituição do sistema de controle e supervisão (com unidade redundante) do Reator 2 (RT2) da SE Nova Santa Rita, incluindo painéis e cabos de controle e potência associados.</t>
  </si>
  <si>
    <t>0009023/2024</t>
  </si>
  <si>
    <t>Substituição de 01 (um) Transformador de serviço auxiliar posição operacional 01T8 da subestação AGL</t>
  </si>
  <si>
    <t>0007441/2024</t>
  </si>
  <si>
    <t>11456668</t>
  </si>
  <si>
    <t>Substituição do Sistema de Registro de Perturbação associado ao Transformador 05T6, na subestação MILAGRES, composto por: 01 Oscilógrafo e infraestrutura de comunicação associada.</t>
  </si>
  <si>
    <t>0007442/2024</t>
  </si>
  <si>
    <t>11444170</t>
  </si>
  <si>
    <t>Substituição de 01 (um) Transformador de serviço auxiliar posição operacional 01T1 da subestação NTD.</t>
  </si>
  <si>
    <t>0007444/2024</t>
  </si>
  <si>
    <t>11456453</t>
  </si>
  <si>
    <t>Substituição do sistema de controle e supervisão (com unidade redundante) do Reator 3 (RT3) da SE Nova Santa Rita, incluindo painéis e cabos de controle e potência associados.</t>
  </si>
  <si>
    <t>0007446/2024</t>
  </si>
  <si>
    <t>Controle - RT3</t>
  </si>
  <si>
    <t>Substituição do Sistema de Registro de Perturbação dos vãos 04G10 e o4G12 na subestação P.AFONSO III, composto por: 01 Oscilógrafo.</t>
  </si>
  <si>
    <t>0007450/2024</t>
  </si>
  <si>
    <t>11446314</t>
  </si>
  <si>
    <t>Substituição do sistema de controle e supervisão (com unidade redundante) do Reator Reserva 1 (RER 1) da SE Nova Santa Rita, incluindo painéis e cabos de controle e potência associados.</t>
  </si>
  <si>
    <t>RTR 525 kV 50 Mvar NOVA STA RITA RTR1 RS</t>
  </si>
  <si>
    <t>0007451/2024</t>
  </si>
  <si>
    <t>Substituição de 01 (um) Transformador de serviço auxiliar posição operacional 01T2 da subestação NTD.</t>
  </si>
  <si>
    <t>0007452/2024</t>
  </si>
  <si>
    <t>11456456</t>
  </si>
  <si>
    <t>Substituição do Sistema de Registro de Perturbação dos vãos 04T3, 04T4, 02BP e 02A1, na subestação S.JOAO PIAUI, composto por: 01 Oscilógrafo.</t>
  </si>
  <si>
    <t>0007453/2024</t>
  </si>
  <si>
    <t>11446291</t>
  </si>
  <si>
    <t>Substituição do sistema de controle e supervisão (com unidade redundante) do Reator Reserva 3 (RER 3) da SE Nova Santa Rita, incluindo painéis e cabos de controle e potência associados.</t>
  </si>
  <si>
    <t>RTR 525 kV 50 Mvar NOVA STA RITA RTR3 RS</t>
  </si>
  <si>
    <t>0007454/2024</t>
  </si>
  <si>
    <t>Controle - RTR3</t>
  </si>
  <si>
    <t>Substituição do Sistema de Registro de Perturbação dos vãos 04T3, 04T4 e 04B1, na subestação S.JOAO PIAUI, composto por: 01 Oscilógrafo.</t>
  </si>
  <si>
    <t>0007455/2024</t>
  </si>
  <si>
    <t>11446290</t>
  </si>
  <si>
    <t>Substituição do sistema de controle e supervisão (com unidade redundante) do TR1 525/230 kV da SE Nova Santa Rita, lados de 525 e 230 kV, incluindo painéis e cabos de controle e potência associados.</t>
  </si>
  <si>
    <t>0007456/2024</t>
  </si>
  <si>
    <t>Substituição do Sistema de Registro de Perturbação dos vãos 05G1 e 05G2 na USINA XINGO, composto por: 01 Oscilógrafo.</t>
  </si>
  <si>
    <t>0007457/2024</t>
  </si>
  <si>
    <t>11446312</t>
  </si>
  <si>
    <t>Substituição do sistema de controle e supervisão (com unidade redundante) do TR2 525/230 kV da SE Nova Santa Rita, lados de 525 e 230 kV, incluindo painéis e cabos de controle e potência associados.</t>
  </si>
  <si>
    <t>0007458/2024</t>
  </si>
  <si>
    <t>Substituição do Sistema de Registro de Perturbação dos vãos 05G4 e 05V4 na USINA XINGO, composto por: 01 Oscilógrafo.</t>
  </si>
  <si>
    <t>0007459/2024</t>
  </si>
  <si>
    <t>11446310</t>
  </si>
  <si>
    <t>Substituição do sistema de controle e supervisão (com unidade redundante) do TR3 525/230 kV da SE Nova Santa Rita, lados de 525 e 230 kV, incluindo painéis e cabos de controle e potência associados.</t>
  </si>
  <si>
    <t>0007460/2024</t>
  </si>
  <si>
    <t>Substituição do Sistema de Registro de Perturbação dos vãos 05G6 e 05V6 na USINA XINGO, composto por: 01 Oscilógrafo.</t>
  </si>
  <si>
    <t>0007461/2024</t>
  </si>
  <si>
    <t>11446308</t>
  </si>
  <si>
    <t>Substituição do sistema de controle e supervisão (com unidade redundante) do TR4 525/230 kV da SE Nova Santa Rita, lados de 525 e 230 kV, incluindo painéis e cabos de controle e potência associados.</t>
  </si>
  <si>
    <t>0007462/2024</t>
  </si>
  <si>
    <t>Controle - TF4</t>
  </si>
  <si>
    <t>Substituição do sistema de controle e supervisão (com unidade redundante) do TRR1 525/230 kV Unidade Reserva da SE Nova Santa Rita, lados de 525 e 230 kV, incluindo painéis e cabos de controle e potência associados.</t>
  </si>
  <si>
    <t>TRR 525/230 kV NOVA STA RITA TRR1 RS</t>
  </si>
  <si>
    <t>0007463/2024</t>
  </si>
  <si>
    <t>Substituição do Sistema de Registro de Perturbação dos vãos 04M1 e 04M2, na subestação P.AFONSO III, composto por: 01 Oscilógrafo.</t>
  </si>
  <si>
    <t>0007464/2024</t>
  </si>
  <si>
    <t>11446315</t>
  </si>
  <si>
    <t>Substituição do Sistema de Proteção, Controle e Supervisão (SPCS) dos cubículos e serviços auxiliares CA / CC, da SE Nova Santa Rita, pátio de 525 kV, incluindo painéis e cabos associados.</t>
  </si>
  <si>
    <t>0007466/2024</t>
  </si>
  <si>
    <t>Substituição do Sistema de Registro de Perturbação associado ao vão de Entrada de Linha 04C1 (LT 230 kV G.MANGABEIRA /SAPEACU C-1), na subestação SAPEACU, composto por: 01 Oscilógrafo e infraestrutura de comunicação associada.</t>
  </si>
  <si>
    <t>0007468/2024</t>
  </si>
  <si>
    <t>11444223</t>
  </si>
  <si>
    <t>Substituição do Sistema de Registro de Perturbação associado ao vão de Entrada de Linha 04L4 (LT 230 kV PITUACU /RL (COTEGIPE / MATATU) C-1), na subestação PITUACU, composto por: 01 Oscilógrafo e infraestrutura de comunicação associada.</t>
  </si>
  <si>
    <t>0007470/2024</t>
  </si>
  <si>
    <t>11446328</t>
  </si>
  <si>
    <t>Substituição do Sistema de Registro de Perturbação associado ao vão de Entrada de Linha 04N1 (LT 230 kV CAMACARI II /BRASKEM C-1), na subestação CAMACARI II, composto por: 01 Oscilógrafo e infraestrutura de comunicação associada.</t>
  </si>
  <si>
    <t>0007472/2024</t>
  </si>
  <si>
    <t>12451436</t>
  </si>
  <si>
    <t>Substituição do Sistema de Registro de Perturbação associado ao vão de Entrada de Linha 04C5 (LT 230 kV RECIFE II /MIRUEIRA C-2), na subestação RECIFE II, composto por: 01 Oscilógrafo e infraestrutura de comunicação associada.</t>
  </si>
  <si>
    <t>0007473/2024</t>
  </si>
  <si>
    <t>11446207</t>
  </si>
  <si>
    <t>Substituição do Sistema de Registro de Perturbação associado ao vão de Entrada de Linha  04C8 (LT 230 kV BANABUIU /AQUIRAZ II C-1), na subestação AQUIRAZ II, composto por: 01 Oscilógrafo e infraestrutura de comunicação associada.</t>
  </si>
  <si>
    <t>0007485/2024</t>
  </si>
  <si>
    <t>12441358</t>
  </si>
  <si>
    <t>Substituição do Sistema de Registro de Perturbação associado ao vão de Entrada de Linha  04C7 (LT 230 kV PAU FERRO /GOIANINHA C-1), na subestação GOIANINHA, composto por: 01 Oscilógrafo e infraestrutura de comunicação associada.</t>
  </si>
  <si>
    <t>0007488/2024</t>
  </si>
  <si>
    <t>11446229</t>
  </si>
  <si>
    <t>Substituição do Sistema de Registro de Perturbação associado ao vão de Entrada de Linha  04C8 (LT 230 kV RECIFE II /GOIANINHA C-1), na subestação GOIANINHA, composto por: 01 Oscilógrafo e infraestrutura de comunicação associada.</t>
  </si>
  <si>
    <t>0007494/2024</t>
  </si>
  <si>
    <t>11446228</t>
  </si>
  <si>
    <t>Substituição do Sistema de Registro de Perturbação associado ao vão de Entrada de Linha 04C1 (LT 230 kV RECIFE II /PIRAPAMA II C-2), na subestação RECIFE II, composto por: 01 Oscilógrafo e infraestrutura de comunicação associada.</t>
  </si>
  <si>
    <t>0007500/2024</t>
  </si>
  <si>
    <t>11444083</t>
  </si>
  <si>
    <t>Substituição do Sistema de Registro de Perturbação associado ao vão de Entrada de Linha 04C8 (LT 230 kV RECIFE II /GOIANINHA C-1), na subestação RECIFE II, composto por: 01 Oscilógrafo e infraestrutura de comunicação associada.</t>
  </si>
  <si>
    <t>0007501/2024</t>
  </si>
  <si>
    <t>11444089</t>
  </si>
  <si>
    <t>Substituição do Sistema de Registro de Perturbação associado ao vão de Entrada de Linha 04C4 (LT 230 kV RECIFE II /MIRUEIRA C-1), na subestação MIRUEIRA, composto por: 01 Oscilógrafo e infraestrutura de comunicação associada.</t>
  </si>
  <si>
    <t>0007504/2024</t>
  </si>
  <si>
    <t>12365326</t>
  </si>
  <si>
    <t>SANTA CRUZ II</t>
  </si>
  <si>
    <t>Substituição de 01 (um) PR 69 kV  posição operacional 72W1-2.A da Subestação STD</t>
  </si>
  <si>
    <t>MC 69 kV TR 69/13,8 kV SANTA CRUZ II TR2A RN (12T2-A)</t>
  </si>
  <si>
    <t>0007517/2024</t>
  </si>
  <si>
    <t>72W1-2.A</t>
  </si>
  <si>
    <t>Substituição de 01 (um) PR 69 kV  posição operacional 72W1-2.B da Subestação STD</t>
  </si>
  <si>
    <t>0007521/2024</t>
  </si>
  <si>
    <t>72W1-2.B</t>
  </si>
  <si>
    <t>Substituição de 01 (um) PR 69 kV  posição operacional 72W1-2.C da Subestação STD</t>
  </si>
  <si>
    <t>0007523/2024</t>
  </si>
  <si>
    <t>72W1-2.C</t>
  </si>
  <si>
    <t>Substituição de 01 (uma) Seccionadora 6.9 kV posição operacional 36T7-8 da Subestação IRE</t>
  </si>
  <si>
    <t>0007525/2024</t>
  </si>
  <si>
    <t>36T7-8</t>
  </si>
  <si>
    <t>Substituição de Retificador (Carregador de Baterias) 125 Vcc - SACC125-RET1, da SE Santa Cruz 1 (vinculada a LT 230 kV P.Médici - S.Cruz 1).</t>
  </si>
  <si>
    <t>0007526/2024</t>
  </si>
  <si>
    <t>Substituição de 01 (uma) Seccionadora 6.9 kV posição operacional 36K1-8 da Subestação IRE</t>
  </si>
  <si>
    <t>0007530/2024</t>
  </si>
  <si>
    <t>36K1-8</t>
  </si>
  <si>
    <t>Substituição de Retificador (Carregador de Baterias) 125 Vcc - SACC125-RET2, da SE Santa Cruz 1 (vinculada a LT 230 kV P.Médici - S.Cruz 1).</t>
  </si>
  <si>
    <t>0007531/2024</t>
  </si>
  <si>
    <t>Substituição de 01 (um) disjuntor 13,8 KV, posição operacional 11T7 da subestação BJS</t>
  </si>
  <si>
    <t>0007533/2024</t>
  </si>
  <si>
    <t>11T7</t>
  </si>
  <si>
    <t>SANTA MARIA 3</t>
  </si>
  <si>
    <t>Substituição de bateria - 125 Vcc - SACC125-BAT2 na SE Santa Maria 3.</t>
  </si>
  <si>
    <t>MG SANTA MARIA 3 / CCO-2014-007 - RB</t>
  </si>
  <si>
    <t>0007534/2024</t>
  </si>
  <si>
    <t>Substituição de bateria - 125 Vcc - SACC125-BAT51 (setor de 525 kV) na SE Santo Ângelo.</t>
  </si>
  <si>
    <t>0007536/2024</t>
  </si>
  <si>
    <t>Substituição de 01 (um) disjuntor 13,8 KV, posição operacional 11T9 da subestação BJS</t>
  </si>
  <si>
    <t>0007774/2024</t>
  </si>
  <si>
    <t>11T9</t>
  </si>
  <si>
    <t>Substituição de bateria - 125 Vcc - SACC125-BAT1 na SE Mimoso (vinculada a LT 138 kV Mimoso - Campo Grande C-4).</t>
  </si>
  <si>
    <t>0007539/2024</t>
  </si>
  <si>
    <t>Substituição de Retificador (Carregador de Baterias) 125 Vcc - SACC125-RET1, da SE Xanxerê.</t>
  </si>
  <si>
    <t>0007542/2024</t>
  </si>
  <si>
    <t>Substituição de Retificador (Carregador de Baterias) 125 Vcc - SACC125-RET2, da SE Xanxerê.</t>
  </si>
  <si>
    <t>0007543/2024</t>
  </si>
  <si>
    <t>Substituição de 01 (um) TP 13.8 kV posição operacional 01K1/BAB42 fase B da Subestação TSD</t>
  </si>
  <si>
    <t>CS 150/-105 MVAr TERESINA II CS1 PI</t>
  </si>
  <si>
    <t>0007544/2024</t>
  </si>
  <si>
    <t>12621985</t>
  </si>
  <si>
    <t>Substituição da cadeia de proteção de barras principal, referente às barras P e PT de 230 kV da SE Londrina, incluindo uma Unidade Central e quatorze unidades de Bay (vãos TF 1, TF 3, TF 4, IBP C2, IBP C1, LNA C1, LNA C2, SDI C1, LNS C1, MGA C2, FRA C1, FRA C2, APA C2 e Interligador de Barras (IB - DJ762)), painéis e cabos de controle e potência associados.</t>
  </si>
  <si>
    <t>0007550/2024</t>
  </si>
  <si>
    <t>Substituição de 01 (um) TP 13.8 kV posição operacional 01K1/BAB42 fase C da Subestação TSD</t>
  </si>
  <si>
    <t>0007552/2024</t>
  </si>
  <si>
    <t>12621986</t>
  </si>
  <si>
    <t>Substituição do sistema de teleproteção com comunicação do tipo OPLAT, para a LT 230 kV Anastácio - Dourados C-1, no terminal da SE Anastácio.</t>
  </si>
  <si>
    <t>0007553/2024</t>
  </si>
  <si>
    <t>Sistema de Teleproteção</t>
  </si>
  <si>
    <t>Substituição de 01 (um) TC 13.8 kV posição operacional 01K1/BAB25 fase A da Subestação TSD</t>
  </si>
  <si>
    <t>0007555/2024</t>
  </si>
  <si>
    <t>12621987</t>
  </si>
  <si>
    <t>Substituição do sistema de teleproteção com comunicação do tipo OPLAT, para a LT 230 kV Anastácio - Dourados C-1, no terminal da SE Dourados.</t>
  </si>
  <si>
    <t>0007556/2024</t>
  </si>
  <si>
    <t>Substituição de 01 (um) TC 13.8 kV posição operacional 01K1/BAB25 fase B da Subestação TSD</t>
  </si>
  <si>
    <t>0007558/2024</t>
  </si>
  <si>
    <t>12621988</t>
  </si>
  <si>
    <t>Substituição do sistema de teleproteção com comunicação do tipo OPLAT, para a LT 525 kV Areia - Segredo C-1, no terminal da SE Areia.</t>
  </si>
  <si>
    <t>0007560/2024</t>
  </si>
  <si>
    <t>Substituição de 01 (um) TC 13.8 kV posição operacional 01K1/BAB25 fase C da Subestação TSD</t>
  </si>
  <si>
    <t>0007562/2024</t>
  </si>
  <si>
    <t>12621989</t>
  </si>
  <si>
    <t>SEGREDO</t>
  </si>
  <si>
    <t>Substituição do sistema de teleproteção com comunicação do tipo OPLAT, para a LT 525 kV Areia - Segredo C-1, no terminal da SE Segredo.</t>
  </si>
  <si>
    <t>0007565/2024</t>
  </si>
  <si>
    <t>Substituição de 01 (um) TC 13.8 kV posição operacional 01K1/BAC20 fase A da Subestação TSD</t>
  </si>
  <si>
    <t>0007566/2024</t>
  </si>
  <si>
    <t>12621990</t>
  </si>
  <si>
    <t>Substituição do sistema de teleproteção com comunicação do tipo OPLAT, para a LT 525 kV Cascavel Oeste - Guaíra C-1, no terminal da SE Cascavel Oeste.</t>
  </si>
  <si>
    <t>LT 525 kV GUAIRA / CASCAVEL OEST C 1 PR</t>
  </si>
  <si>
    <t>0007568/2024</t>
  </si>
  <si>
    <t>Substituição de 01 (um) TC 13.8 kV posição operacional 01K1/BAC20 fase B da Subestação TSD</t>
  </si>
  <si>
    <t>0007570/2024</t>
  </si>
  <si>
    <t>12621991</t>
  </si>
  <si>
    <t>GUAIRA</t>
  </si>
  <si>
    <t>Substituição do sistema de teleproteção com comunicação do tipo OPLAT, para a LT 525 kV Cascavel Oeste - Guaíra C-1, no terminal da SE Guaíra.</t>
  </si>
  <si>
    <t>0007572/2024</t>
  </si>
  <si>
    <t>Substituição de 01 (um) TC 13.8 kV posição operacional 01K1/BAC20 fase C da Subestação TSD</t>
  </si>
  <si>
    <t>0007574/2024</t>
  </si>
  <si>
    <t>12621992</t>
  </si>
  <si>
    <t>Substituição do sistema de teleproteção com comunicação do tipo OPLAT, para a LT 525 kV Machadinho - Itá C-1, no terminal da SE Machadinho.</t>
  </si>
  <si>
    <t>0007575/2024</t>
  </si>
  <si>
    <t>Substituição de 01 (um) TC 13.8 kV posição operacional 01K1/BAX10 fase A da Subestação TSD</t>
  </si>
  <si>
    <t>0007580/2024</t>
  </si>
  <si>
    <t>12621993</t>
  </si>
  <si>
    <t>Substituição do sistema de teleproteção com comunicação do tipo OPLAT, para a LT 525 kV Machadinho - Itá C-1, no terminal da SE Itá.</t>
  </si>
  <si>
    <t>0007581/2024</t>
  </si>
  <si>
    <t>Substituição de 01 (um) TC 13.8 kV posição operacional 01K1/BAX10 fase B da Subestação TSD</t>
  </si>
  <si>
    <t>0007583/2024</t>
  </si>
  <si>
    <t>12621994</t>
  </si>
  <si>
    <t>Substituição do sistema de teleproteção com comunicação do tipo OPLAT, para a LT 230 kV Presidente Médici - Santa Cruz 1 C-1, no terminal da SE Presidente Médici.</t>
  </si>
  <si>
    <t>0007585/2024</t>
  </si>
  <si>
    <t>Substituição de 01 (um) TC 13.8 kV posição operacional 01K1/BAX10 fase C da Subestação TSD</t>
  </si>
  <si>
    <t>0007588/2024</t>
  </si>
  <si>
    <t>12621995</t>
  </si>
  <si>
    <t>Substituição do sistema de teleproteção com comunicação do tipo OPLAT, para a LT 230 kV Presidente Médici - Santa Cruz 1 C-1, no terminal da SE Santa Cruz 1.</t>
  </si>
  <si>
    <t>0007589/2024</t>
  </si>
  <si>
    <t>Substituição de 01 (um) TC 13.8 kV posição operacional 01K1/BBA14 fase A da Subestação TSD</t>
  </si>
  <si>
    <t>0007591/2024</t>
  </si>
  <si>
    <t>12621996</t>
  </si>
  <si>
    <t>Substituição do sistema de teleproteção com comunicação do tipo OPLAT, para a LT 525 kV Salto Santiago - Segredo C-1, no terminal da SE Salto Santiago.</t>
  </si>
  <si>
    <t>0007596/2024</t>
  </si>
  <si>
    <t>Substituição do sistema de teleproteção com comunicação do tipo OPLAT, para a LT 525 kV Salto Santiago - Segredo C-1, no terminal da SE Segredo.</t>
  </si>
  <si>
    <t>0007599/2024</t>
  </si>
  <si>
    <t>Substituição de 01 (um) TC 69kV, posição operacional 92H1.N da Subestação CTG</t>
  </si>
  <si>
    <t>0007601/2024</t>
  </si>
  <si>
    <t>92H1.N</t>
  </si>
  <si>
    <t>Substituição de 01 (um) TC 69kV, posição operacional 92H2.N da Subestação CTG</t>
  </si>
  <si>
    <t>0007602/2024</t>
  </si>
  <si>
    <t>92H2.N</t>
  </si>
  <si>
    <t>CAMAQUA 3</t>
  </si>
  <si>
    <t>Substituição das proteções Principal, Alternada e Falha de Disjuntor, referentes a LT 230 kV Camaquã 3 - Nova Santa Rita C-1. Associada a obra estão previstos serviços de engenharia de especificações técnicas, projeto, teleproteção, adequações no sistema digital de supervisão e controle, fabricação dos equipamentos, peças reservas, substituição de painéis e cabos associados, e adaptações na casa de controle.</t>
  </si>
  <si>
    <t>0007603/2024</t>
  </si>
  <si>
    <t>Substituição de UTR, na subestação SOBRAL II, composto por: 01 Unidade Remota.</t>
  </si>
  <si>
    <t>0007607/2024</t>
  </si>
  <si>
    <t>12434637</t>
  </si>
  <si>
    <t>Substituição de UTR, na subestação ITABAIANA, composto por: 01 Unidade Remota.</t>
  </si>
  <si>
    <t>0007609/2024</t>
  </si>
  <si>
    <t>11444265</t>
  </si>
  <si>
    <t>Substituição de UTR, na subestação RIBEIRAO, composto por: 01 Unidade Remota.</t>
  </si>
  <si>
    <t>0007610/2024</t>
  </si>
  <si>
    <t>11444250</t>
  </si>
  <si>
    <t>Substituição de UTR, na subestação IRECE, composto por: 01 Unidade Remota.</t>
  </si>
  <si>
    <t>0007612/2024</t>
  </si>
  <si>
    <t>11444685</t>
  </si>
  <si>
    <t>Substituição de UTR, na subestação FUNIL, composto por: 01 Unidade Remota.</t>
  </si>
  <si>
    <t>0007613/2024</t>
  </si>
  <si>
    <t>11444694</t>
  </si>
  <si>
    <t>Substituição de UTR, na subestação COREMAS, composto por: 01 Unidade Remota.</t>
  </si>
  <si>
    <t>0007615/2024</t>
  </si>
  <si>
    <t>11444260</t>
  </si>
  <si>
    <t>Substituição de 01 (um) TC 13.8 kV posição operacional 01K1/BBA14 fase C da Subestação TSD</t>
  </si>
  <si>
    <t>0007616/2024</t>
  </si>
  <si>
    <t>12621998</t>
  </si>
  <si>
    <t>Substituição de UTR, na subestação TERESINA, composto por: 01 Unidade Remota.</t>
  </si>
  <si>
    <t>0007617/2024</t>
  </si>
  <si>
    <t>11444689</t>
  </si>
  <si>
    <t>Substituição de 01 (um) TC 13.8 kV posição operacional 01K1/BBA11 fase A da Subestação TSD</t>
  </si>
  <si>
    <t>0007619/2024</t>
  </si>
  <si>
    <t>12621999</t>
  </si>
  <si>
    <t>Substituição de UTR, na subestação BARREIRAS, composto por: 01 Unidade Remota.</t>
  </si>
  <si>
    <t>0007620/2024</t>
  </si>
  <si>
    <t>11444684</t>
  </si>
  <si>
    <t>Substituição de 01 (um) TC 13.8 kV posição operacional 01K1/BBA11 fase B da Subestação TSD</t>
  </si>
  <si>
    <t>0007621/2024</t>
  </si>
  <si>
    <t>12622000</t>
  </si>
  <si>
    <t>Substituição de UTR, na subestação EUNAPOLIS, composto por: 01 Unidade Remota.</t>
  </si>
  <si>
    <t>0007622/2024</t>
  </si>
  <si>
    <t>11444272</t>
  </si>
  <si>
    <t>Substituição de 01 (um) TC 13.8 kV posição operacional 01K1/BBA11 fase C da Subestação TSD</t>
  </si>
  <si>
    <t>0007624/2024</t>
  </si>
  <si>
    <t>12622001</t>
  </si>
  <si>
    <t>Substituição de 01 (um) pólo de disjuntor 230 KV, posição operacional 15D4 da Subestação PED</t>
  </si>
  <si>
    <t>0007625/2024</t>
  </si>
  <si>
    <t>12660018</t>
  </si>
  <si>
    <t>Substituição de 01 (um) TC 13.8 kV posição operacional 01K1/BBA12 fase A da Subestação TSD</t>
  </si>
  <si>
    <t>0007626/2024</t>
  </si>
  <si>
    <t>12622002</t>
  </si>
  <si>
    <t>Substituição de 01 (um) pólo de disjuntor 230 KV, posição operacional 15T2 da Subestação PED</t>
  </si>
  <si>
    <t>TR 500/230 kV PECEM II TR2 CE</t>
  </si>
  <si>
    <t>0007628/2024</t>
  </si>
  <si>
    <t>12660022</t>
  </si>
  <si>
    <t>Substituição de 01 (um) TC 13.8 kV posição operacional 01K1/BBA12 fase B da Subestação TSD</t>
  </si>
  <si>
    <t>0007629/2024</t>
  </si>
  <si>
    <t>12622003</t>
  </si>
  <si>
    <t>Substituição de 01 (um) pólo de disjuntor 500 KV, posição operacional 15V7 da Subestação SBT</t>
  </si>
  <si>
    <t>0007630/2024</t>
  </si>
  <si>
    <t>12660023</t>
  </si>
  <si>
    <t>Substituição de 01 (um) TC 13.8 kV posição operacional 01K1/BBA12 fase C da Subestação TSD</t>
  </si>
  <si>
    <t>0007632/2024</t>
  </si>
  <si>
    <t>12622004</t>
  </si>
  <si>
    <t>Substituição de 01 (um) pólo de disjuntor 500 KV, posição operacional 15D1 da Subestação SBT</t>
  </si>
  <si>
    <t>0007633/2024</t>
  </si>
  <si>
    <t>12660024</t>
  </si>
  <si>
    <t>Substituição de 01 (um) TC 13.8 kV posição operacional 01K1/BBA13 fase A da Subestação TSD</t>
  </si>
  <si>
    <t>0007634/2024</t>
  </si>
  <si>
    <t>12622005</t>
  </si>
  <si>
    <t>Substituição de 01 (um) pólo de disjuntor 500 KV, posição operacional 15D1 da Subestação QXA</t>
  </si>
  <si>
    <t>0007635/2024</t>
  </si>
  <si>
    <t>12660119</t>
  </si>
  <si>
    <t>Substituição de 01 (um) pólo de disjuntor 500 KV, posição operacional 15V5 da Subestação QXA</t>
  </si>
  <si>
    <t>0007637/2024</t>
  </si>
  <si>
    <t>12660120</t>
  </si>
  <si>
    <t>Substituição de 01 (um) TC 13.8 kV posição operacional 01K1/BBA13 fase B da Subestação TSD</t>
  </si>
  <si>
    <t>0007638/2024</t>
  </si>
  <si>
    <t>12622006</t>
  </si>
  <si>
    <t>Substituição de 01 (um) pólo de disjuntor 500 KV, posição operacional 15D1 da Subestação FZD</t>
  </si>
  <si>
    <t>0007639/2024</t>
  </si>
  <si>
    <t>12660122</t>
  </si>
  <si>
    <t>Substituição de 01 (um) TC 13.8 kV posição operacional 01K1/BBA13 fase C da Subestação TSD</t>
  </si>
  <si>
    <t>0007641/2024</t>
  </si>
  <si>
    <t>12622007</t>
  </si>
  <si>
    <t>Substituição de 01 (um) pólo de disjuntor 230 KV, posição operacional 14Z5 da Subestação FZD</t>
  </si>
  <si>
    <t>0007642/2024</t>
  </si>
  <si>
    <t>12660124</t>
  </si>
  <si>
    <t>Substituição de 01 (um) pólo de disjuntor 500 KV, posição operacional 15C2 da Subestação FZD</t>
  </si>
  <si>
    <t>0007644/2024</t>
  </si>
  <si>
    <t>12660126</t>
  </si>
  <si>
    <t>Substituição de 01 (um) pólo de disjuntor 500 KV, posição operacional 15T2 da Subestação FZD</t>
  </si>
  <si>
    <t>0007645/2024</t>
  </si>
  <si>
    <t>12660127</t>
  </si>
  <si>
    <t>Substituição do Sistema de Regulação dos ATRs , na subestação U.SOBRADINHO, composto por: 04 painéis; 03 unidades remotas de aquisição de dados; 02 CLPs, 01 IHM, 08 conversores óptos, 04 DIOS, 10 Transdutores de TAP.</t>
  </si>
  <si>
    <t>0007646/2024</t>
  </si>
  <si>
    <t>11445768</t>
  </si>
  <si>
    <t>Substituição do Sistema de Regulação dos ATRs , na subestação CAMACARI II, composto por: 05 painéis, 04 unidades remotas de aquisição de dados, 02 CLPs, 01 IHM, 10 conversores óptos, 05 DIOS, 13 Transdutores de TAP.</t>
  </si>
  <si>
    <t>0007647/2024</t>
  </si>
  <si>
    <t>12367799</t>
  </si>
  <si>
    <t>Substituição de 01 (um) Transformador de serviço auxiliar posição operacional 01T3 da subestação OLD.</t>
  </si>
  <si>
    <t>0007648/2024</t>
  </si>
  <si>
    <t>11347962</t>
  </si>
  <si>
    <t>Substituição de 01 (um) Transformador de serviço auxiliar posição operacional 01T1 da subestação CMD.</t>
  </si>
  <si>
    <t>0007649/2024</t>
  </si>
  <si>
    <t>11347963</t>
  </si>
  <si>
    <t>Substituição de 01 (um) Transformador de serviço auxiliar posição operacional 01T2 da subestação CMD.</t>
  </si>
  <si>
    <t>0007650/2024</t>
  </si>
  <si>
    <t>11347964</t>
  </si>
  <si>
    <t>Substituição de 01 (um) Transformador de serviço auxiliar posição operacional 01T6 da subestação SJI.</t>
  </si>
  <si>
    <t>0007651/2024</t>
  </si>
  <si>
    <t>11348057</t>
  </si>
  <si>
    <t>Substituição de estruturas de concreto armado do Isolador de Pedestal dos barramentos 05B1 (110 un), na SE JDM, composto por: Desmontagem e/ou demolição de peça desgastada e implantação de novo suporte, completo (coluna+capitél) ou apenas capitel dos IPs.</t>
  </si>
  <si>
    <t>0007652/2024</t>
  </si>
  <si>
    <t>12658554</t>
  </si>
  <si>
    <t>Substituição de estruturas de concreto armado do Isolador de Pedestal dos barramentos 05B2 (110 un), na SE JDM, composto por: Desmontagem e/ou demolição de peça desgastada e implantação de novo suporte, completo (coluna+capitél) ou apenas capitel dos IPs.</t>
  </si>
  <si>
    <t>0007653/2024</t>
  </si>
  <si>
    <t>12658556</t>
  </si>
  <si>
    <t>Substituição estruturas de concreto armado do Isolador Pedestal dos barramentos 05D1 (36 und) na USINA XINGO, composto por: Desmontagem e/ou demolição de peça desgastada e implantação de novo suporte, completo (coluna+capitél) ou apenas capitel dos IPs.</t>
  </si>
  <si>
    <t>0007654/2024</t>
  </si>
  <si>
    <t>12658568</t>
  </si>
  <si>
    <t>Substituição estruturas de concreto armado do Isolador Pedestal dos barramentos 05D2 (36 und) na USINA XINGO, composto por: Desmontagem e/ou demolição de peça desgastada e implantação de novo suporte, completo (coluna+capitél) ou apenas capitel dos IPs.</t>
  </si>
  <si>
    <t>0007655/2024</t>
  </si>
  <si>
    <t>12658570</t>
  </si>
  <si>
    <t>Substituição estruturas de concreto armado do Isolador Pedestal dos barramentos 05D3 (37 und) na USINA XINGO, composto por: Desmontagem e/ou demolição de peça desgastada e implantação de novo suporte, completo (coluna+capitél) ou apenas capitel dos IPs.</t>
  </si>
  <si>
    <t>0007656/2024</t>
  </si>
  <si>
    <t>12658572</t>
  </si>
  <si>
    <t>Substituição estruturas de concreto armado do Isolador Pedestal dos barramentos 05D4 (37 und) na USINA XINGO, composto por: Desmontagem e/ou demolição de peça desgastada e implantação de novo suporte, completo (coluna+capitél) ou apenas capitel dos IPs.</t>
  </si>
  <si>
    <t>0007657/2024</t>
  </si>
  <si>
    <t>12658574</t>
  </si>
  <si>
    <t>Substituição estruturas de concreto armado do Isolador Pedestal dos barramentos 05D5 (37 und) na USINA XINGO, composto por: Desmontagem e/ou demolição de peça desgastada e implantação de novo suporte, completo (coluna+capitél) ou apenas capitel dos IPs.</t>
  </si>
  <si>
    <t>0007658/2024</t>
  </si>
  <si>
    <t>12658576</t>
  </si>
  <si>
    <t>Substituição estruturas de concreto armado do Isolador Pedestal dos barramentos 05D6 (37 und) na USINA XINGO, composto por: Desmontagem e/ou demolição de peça desgastada e implantação de novo suporte, completo (coluna+capitél) ou apenas capitel dos IPs.</t>
  </si>
  <si>
    <t>0007659/2024</t>
  </si>
  <si>
    <t>12658578</t>
  </si>
  <si>
    <t>Substituição dos suportes de concreto de eqptos que compõem o módulo de manobras do 04H1 (90 sup.), na SE IRE, composto por: Desmontagem e/ou demolição de peça desgastada e implantação de novo suporte, completo (coluna+capitél) ou apenas capitel dos IPs.</t>
  </si>
  <si>
    <t>CR 230 kV 81 MVAr IRECE BC1 BA</t>
  </si>
  <si>
    <t>0007660/2024</t>
  </si>
  <si>
    <t>12658582</t>
  </si>
  <si>
    <t>Substituição do Disjuntor de 69KV - MBDB4-01.</t>
  </si>
  <si>
    <t>0008784/2024</t>
  </si>
  <si>
    <t>MBDB401</t>
  </si>
  <si>
    <t>Substituição do Disjuntor de 69KV - MBDJ4-01.</t>
  </si>
  <si>
    <t>0008785/2024</t>
  </si>
  <si>
    <t>MBDJ401</t>
  </si>
  <si>
    <t>Substituição do Disjuntor de 69KV - MBDJ4-04.</t>
  </si>
  <si>
    <t>0008786/2024</t>
  </si>
  <si>
    <t>MBDJ404</t>
  </si>
  <si>
    <t>Substituição  de buchas 69kV fase A do transformador PFTF6-02</t>
  </si>
  <si>
    <t>0008544/2024</t>
  </si>
  <si>
    <t>ROCHA LEAO</t>
  </si>
  <si>
    <t>Substituição dos sistemas de proteção da LLT 138 kV IRIRI /ROCHA LEAO C-2 RJ (Nome Furnas LTIRRL) e instalação de controle do vão, incluindo rearmes dos relés de bloqueio (86) e de seleção de transferência de proteção (43T), e validação das lógicas de comandos e intertravamentos das UACs da linha (LTIRRL) LT 138 kV IRIRI /ROCHA LEAO C-2 RJ</t>
  </si>
  <si>
    <t>LT 138 kV IRIRI /ROCHA LEAO C-2 RJ</t>
  </si>
  <si>
    <t>0007754/2024</t>
  </si>
  <si>
    <t>Substituição de bucha de 230kV - RGTF601 - Fase B</t>
  </si>
  <si>
    <t>0008546/2024</t>
  </si>
  <si>
    <t>Substituição de bucha de 230kV - RGTF601 - Fase V</t>
  </si>
  <si>
    <t>0008552/2024</t>
  </si>
  <si>
    <t>Substituição de Retificador (Carregador de Baterias) 125 Vcc - SACC125-RET51 (setor de 525 kV), da SE Campos Novos.</t>
  </si>
  <si>
    <t>0007765/2024</t>
  </si>
  <si>
    <t>RET51 - 125 VCC</t>
  </si>
  <si>
    <t>Substituição dos sistemas de proteção do BC 138 kV 75 Mvar ROCHA LEAO BC1 RJ e instalação de controle do vão, incluindo rearmes dos relés de bloqueio (86) e de seleção de transferência de proteção (43T), e validação das lógicas de comandos e intertravamentos das UACs do Banco de Capacitores (BC01) BC 138 kV 75 Mvar ROCHA LEAO BC1 RJ</t>
  </si>
  <si>
    <t>BC 138 kV 75 Mvar ROCHA LEAO BC1 RJ</t>
  </si>
  <si>
    <t>0007766/2024</t>
  </si>
  <si>
    <t>Instalação de 1 (um) módulo de conexão em 230kV, arranjo BPT associado ao atual transformador 04T3-B na SE Eunápolis.</t>
  </si>
  <si>
    <t>TR 230 / 138 kV EUNAPOLIS T3A BA</t>
  </si>
  <si>
    <t>0008213/2024</t>
  </si>
  <si>
    <t>Substituição do Transformador de corrente de 230KV - MCMBLI6-01 - Fase A - Linha Marabá / D. Industrial.</t>
  </si>
  <si>
    <t>0008487/2024</t>
  </si>
  <si>
    <t>MBTC601</t>
  </si>
  <si>
    <t>Substituição do Transformador de corrente de 230KV - MCMBLI6-01 - Fase B - Linha Marabá / D. Industrial.</t>
  </si>
  <si>
    <t>0008488/2024</t>
  </si>
  <si>
    <t>Substituição do Transformador de corrente de 500KV - TCMBLT7-02 - Fase A.</t>
  </si>
  <si>
    <t>0008489/2024</t>
  </si>
  <si>
    <t>MBTC701</t>
  </si>
  <si>
    <t>Substituição do Transformador de corrente de 500KV - TCMBLT7-02 - Fase B.</t>
  </si>
  <si>
    <t>0008491/2024</t>
  </si>
  <si>
    <t>Substituição do Transformador de Serviço Auxiliar TSA1 13,8/0,48 kV, 1.000 kVA, arranjo BS, na SE AREIA. Associado à obra são esperadas adaptações/substituições da base existente, da caixa separadora de óleo, e cabos associados.</t>
  </si>
  <si>
    <t>0008011/2024</t>
  </si>
  <si>
    <t>Substituição de Transformador de Corrente 345 kV, fase C, arranjo AN, associado ao IB DJ8718 - Vão 71 na SE VITORIA.</t>
  </si>
  <si>
    <t>MG VITORIA / CCO-2001-062 - RB</t>
  </si>
  <si>
    <t>0008096/2024</t>
  </si>
  <si>
    <t>TC8718 C</t>
  </si>
  <si>
    <t>Instalação de 1 (um) módulo de conexão em 138kV, arranjo BPT associado ao atual transformador 04T3-B na SE Eunápolis.</t>
  </si>
  <si>
    <t>0008233/2024</t>
  </si>
  <si>
    <t>Substituição do Transformador de Serviço Auxiliar TSA2 13,8/0,48 kV, 1.000 kVA, arranjo BS, na SE AREIA. Associado à obra são esperadas adaptações/substituições da base existente, da caixa separadora de óleo, e cabos associados.</t>
  </si>
  <si>
    <t>0008017/2024</t>
  </si>
  <si>
    <t>Substituição de Retificador (Carregador de Baterias) 125 Vcc - SACC125-RET52 (setor de 525 kV), da SE Campos Novos.</t>
  </si>
  <si>
    <t>0007813/2024</t>
  </si>
  <si>
    <t>RET52 - 125 VCC</t>
  </si>
  <si>
    <t>Substituição dos sistemas de proteção do BC 138 kV 75 Mvar ROCHA LEAO BC2 RJ e instalação de controle do vão, incluindo rearmes dos relés de bloqueio (86) e de seleção de transferência de proteção (43T), e validação das lógicas de comandos e intertravamentos das UACs do Banco de Capacitores (BC02) BC 138 kV 75 Mvar ROCHA LEAO BC2 RJ</t>
  </si>
  <si>
    <t>BC 138 kV 75 Mvar ROCHA LEAO BC2 RJ</t>
  </si>
  <si>
    <t>0007804/2024</t>
  </si>
  <si>
    <t>Substituição de Grupo Motor Gerador Diesel, 480 Vca, e cabos associados, referente aos Serviços Auxiliares da SE AREIA.</t>
  </si>
  <si>
    <t>0008028/2024</t>
  </si>
  <si>
    <t>GMGD 480Vca</t>
  </si>
  <si>
    <t>Substituição de Transformador de Potencial 138 kV, fase A, arranjo BS, associado a EL VITORIA/PITANGA C-1  na SE VITORIA.</t>
  </si>
  <si>
    <t>0008110/2024</t>
  </si>
  <si>
    <t>TP LIVITPIT 1 A</t>
  </si>
  <si>
    <t>Substituição de Retificador (Carregador de Baterias) 125 Vcc - SACC220-RET1, da SE P. Médici (vinculada a LT 230 kV P.Médici - S.Cruz 1).</t>
  </si>
  <si>
    <t>0007821/2024</t>
  </si>
  <si>
    <t>RET1 - 220 VCC</t>
  </si>
  <si>
    <t>Substituição do Transformador Auxiliar TFAX 1, 480/220/127 Vca, arranjo BS, na SE AREIA.</t>
  </si>
  <si>
    <t>0008035/2024</t>
  </si>
  <si>
    <t>TFAX1</t>
  </si>
  <si>
    <t>Substituição dos sistemas de proteção da BR6I, BR6O1, BR6O2 e BR6O3 e substituição da UAC7, referente ao vão de Amarre e Barras</t>
  </si>
  <si>
    <t>MG 138 kV ROCHA LEAO MG1 RJ</t>
  </si>
  <si>
    <t>0007831/2024</t>
  </si>
  <si>
    <t>BR6I BR6O1 BR6O2 BR6O3</t>
  </si>
  <si>
    <t>LT 230 kV GASPAR 2 / PALHOCA ESU C-1</t>
  </si>
  <si>
    <t>Substituição de 01 torre metálica (somente Estrutura) da LT 230 kV Gaspar 2 - Palhoça C-1. A torre envolvida é a de número de operação: 103.</t>
  </si>
  <si>
    <t>LT 230 kV GASPAR 2 / PALHOCA ESU C-1 SC</t>
  </si>
  <si>
    <t>0007834/2024</t>
  </si>
  <si>
    <t>Substituição do Sistema de Registro de Perturbação no Compenasador Estático 09Q1, na subestação C.GRANDE II, composto por: 01 Oscilógrafo.</t>
  </si>
  <si>
    <t>CE 100/-0 Mvar C.GRANDE II CE1 PB</t>
  </si>
  <si>
    <t>0007839/2024</t>
  </si>
  <si>
    <t>11446238</t>
  </si>
  <si>
    <t>LT 230 kV J.LACERDA-B / PALHOCA ESU C-1</t>
  </si>
  <si>
    <t>Substituição de 01 torre metálica completa da LT 230 kV J. Lacerda B - Palhoça C-1. A torre envolvida é a de número de operação: 005.</t>
  </si>
  <si>
    <t>LT 230 kV J.LACERDA-B / PALHOCA ESU C-1 SC</t>
  </si>
  <si>
    <t>0007842/2024</t>
  </si>
  <si>
    <t>Substituição de Transformador de Potencial 138 kV, fase B, arranjo BS, associado a EL VITORIA/PITANGA C-1  na SE VITORIA.</t>
  </si>
  <si>
    <t>0008115/2024</t>
  </si>
  <si>
    <t>TP LIVITPIT 1 B</t>
  </si>
  <si>
    <t>Substituição do Sistema de Registro de Perturbação no Compensador Estático 01Q1-1, na subestação FUNIL, composto por: 01 Oscilógrafo.</t>
  </si>
  <si>
    <t>0007846/2024</t>
  </si>
  <si>
    <t>11462607</t>
  </si>
  <si>
    <t>Substituição de 01 torre metálica completa da LT 230 kV J. Lacerda B - Palhoça C-1. A torre envolvida é a de número de operação: 007.</t>
  </si>
  <si>
    <t>0007847/2024</t>
  </si>
  <si>
    <t>Substituição do Transformador de corrente de 230KV - MRBC6-01 - Fase B.</t>
  </si>
  <si>
    <t>BC 230 kV 20 Mvar MIRANDA II BC1 MA</t>
  </si>
  <si>
    <t>0008492/2024</t>
  </si>
  <si>
    <t>MRTC601</t>
  </si>
  <si>
    <t>Substituição do Sistema de Registro de Perturbação no Compensador Estático 01Q1-2, na subestação FUNIL, composto por: 01 Oscilógrafo.</t>
  </si>
  <si>
    <t>0007852/2024</t>
  </si>
  <si>
    <t>11462606</t>
  </si>
  <si>
    <t>LT 230 kV BIGUACU / J.LACERDA-B C-1</t>
  </si>
  <si>
    <t>Substituição de 01 torre metálica completa da LT 230 kV Biguaçu - J. Lacerda B C-1. A torre envolvida é a de número de operação: 003.</t>
  </si>
  <si>
    <t>0007853/2024</t>
  </si>
  <si>
    <t>Substituição do Cubículo e Disjuntor de 13,8KV MBDJ2-02.</t>
  </si>
  <si>
    <t>[SEM FT]</t>
  </si>
  <si>
    <t>0008787/2024</t>
  </si>
  <si>
    <t>MBDJ202</t>
  </si>
  <si>
    <t>Substituição do Cubículo e Disjuntor de 13,8KV MBDJ2-10.</t>
  </si>
  <si>
    <t>0008789/2024</t>
  </si>
  <si>
    <t>MBDJ210</t>
  </si>
  <si>
    <t>Substituição do Transformador Auxiliar TFAX 2, 480/220/127 Vca, arranjo BS, na SE AREIA.</t>
  </si>
  <si>
    <t>0008041/2024</t>
  </si>
  <si>
    <t>TFAX2</t>
  </si>
  <si>
    <t>Substituição dos sistemas de proteção de Falha de Disjuntor DJ604.</t>
  </si>
  <si>
    <t>0007855/2024</t>
  </si>
  <si>
    <t>DJ604</t>
  </si>
  <si>
    <t>Substituição do Transformador de corrente de 230KV - MCMBLI6-01 - Fase V - Linha Marabá / D. Industrial.</t>
  </si>
  <si>
    <t>TR 230/69 kV MARABA TR3 PA</t>
  </si>
  <si>
    <t>0008500/2024</t>
  </si>
  <si>
    <t>3,3</t>
  </si>
  <si>
    <t>Substituição do Sistema de Registro de Perturbação no Módulo de Conexão 06Q1, na subestação MOSSORO II, composto por: 01 Oscilógrafo.</t>
  </si>
  <si>
    <t>MC 3,3 kV CE MOSSORO II CE1 RN (06Q1)</t>
  </si>
  <si>
    <t>0007904/2024</t>
  </si>
  <si>
    <t>11446245</t>
  </si>
  <si>
    <t>Substituição do Transformador de corrente de 500KV - TCMBLT7-02 - Fase V.</t>
  </si>
  <si>
    <t>0008497/2024</t>
  </si>
  <si>
    <t>Substituição do Transformador Auxiliar TFAX 3, 480/220/127 Vca, arranjo BS, na SE AREIA.</t>
  </si>
  <si>
    <t>0008048/2024</t>
  </si>
  <si>
    <t>TFAX3</t>
  </si>
  <si>
    <t>Substituição do Cubículo e Disjuntor de 13,8KV MBDJ2-08.</t>
  </si>
  <si>
    <t>0008799/2024</t>
  </si>
  <si>
    <t>MBDJ208</t>
  </si>
  <si>
    <t>Substituição do Sistema de Registro de Perturbação no Compensador Estático 06Q1, na subestação NATAL II, composto por: 01 Oscilógrafo.</t>
  </si>
  <si>
    <t>MC 3,3 kV CE 20/-0 Mvar NATAL II CE1 RN (06B1)</t>
  </si>
  <si>
    <t>0007900/2024</t>
  </si>
  <si>
    <t>11446235</t>
  </si>
  <si>
    <t>Substituição do SPCS (Sistema de proteção, controle e supervisão), dos RV (Reguladores de velocidade) e RT (Reguladores de tensão) da UG01 da UHE APOLÔNIO SALES.</t>
  </si>
  <si>
    <t>UAS UG01</t>
  </si>
  <si>
    <t>0007858/2024</t>
  </si>
  <si>
    <t>Substituição do Cubículo e Disjuntor de 13,8KV MBDJ2-09.</t>
  </si>
  <si>
    <t>0008798/2024</t>
  </si>
  <si>
    <t>MBDJ209</t>
  </si>
  <si>
    <t>Substituição dos sistemas de proteção do RTB 345 kV 60 Mvar ITUTINGA RT1 MG</t>
  </si>
  <si>
    <t>RT 345 kV 60 Mvar ITUTINGA RT1 MG</t>
  </si>
  <si>
    <t>0007860/2024</t>
  </si>
  <si>
    <t>Substituição do Cubículo e Disjuntor de 13,8KV MBDJ2-11.</t>
  </si>
  <si>
    <t>0008796/2024</t>
  </si>
  <si>
    <t>MBDJ211</t>
  </si>
  <si>
    <t>Substituição do Sistema de Registro de Perturbação no Compensador Estático 06Q2, na subestação NATAL II, composto por: 01 Oscilógrafo.</t>
  </si>
  <si>
    <t>MC 3,3 kV CE 20/-0 Mvar NATAL II CE2 RN (06B2)</t>
  </si>
  <si>
    <t>0007901/2024</t>
  </si>
  <si>
    <t>11446236</t>
  </si>
  <si>
    <t>Substituição do Cubículo e Disjuntor de 13,8KV MBDJ2-12.</t>
  </si>
  <si>
    <t>0008795/2024</t>
  </si>
  <si>
    <t>MBDJ212</t>
  </si>
  <si>
    <t>Substituição do Transformador Auxiliar TFAX 4, 480/220/127 Vca, arranjo BS, na SE AREIA.</t>
  </si>
  <si>
    <t>0008057/2024</t>
  </si>
  <si>
    <t>TFAX4</t>
  </si>
  <si>
    <t>Substituição do registrador de perturbações digital do RTB 345 kV 60 Mvar ITUTINGA RT1 MG</t>
  </si>
  <si>
    <t>0007864/2024</t>
  </si>
  <si>
    <t>Substituição do Sistema de Registro de Perturbação no Compensador 05H1, na subestação S.JOAO PIAUI, composto por: 01 Oscilógrafo.</t>
  </si>
  <si>
    <t>CR 500 kV 436 MVAr S.JOAO PIAUI BC1 PI</t>
  </si>
  <si>
    <t>0007903/2024</t>
  </si>
  <si>
    <t>11446276</t>
  </si>
  <si>
    <t>Substituição de 01 torre metálica completa da LT 230 kV Biguaçu - J. Lacerda B C-1. A torre envolvida é a de número de operação: 005.</t>
  </si>
  <si>
    <t>0007865/2024</t>
  </si>
  <si>
    <t>Substituição de 01 (uma) Seccionadora 69 kV, posição operacional 32T1-4 da Subestação RCD</t>
  </si>
  <si>
    <t>0007866/2024</t>
  </si>
  <si>
    <t>Substituição do Transformador Auxiliar TFAX 5, 480/220/127 Vca, arranjo BS, na SE AREIA.</t>
  </si>
  <si>
    <t>0008062/2024</t>
  </si>
  <si>
    <t>TFAX5</t>
  </si>
  <si>
    <t>Substituição do Sistema de Registro de Perturbação no Compensador 05H2, na subestação S.JOAO PIAUI, composto por: 01 Oscilógrafo.</t>
  </si>
  <si>
    <t>CR 500 kV 484 MVAr S.JOAO PIAUI BC2 PI</t>
  </si>
  <si>
    <t>0007902/2024</t>
  </si>
  <si>
    <t>11446277</t>
  </si>
  <si>
    <t>Substituição de 01 (uma) Seccionadora 69 kV, posição operacional 32T1-5 da Subestação RCD</t>
  </si>
  <si>
    <t>0007871/2024</t>
  </si>
  <si>
    <t>Substituição do SPCS (Sistema de proteção, controle e supervisão), dos RV (Reguladores de velocidade) e RT (Reguladores de tensão) da UG02 da UHE APOLÔNIO SALES.</t>
  </si>
  <si>
    <t>UAS UG02</t>
  </si>
  <si>
    <t>0007872/2024</t>
  </si>
  <si>
    <t>Substituição do Transformador Auxiliar TFAX 1, 460/380/220 Vca, arranjo BS, na SE AREIA.</t>
  </si>
  <si>
    <t>0008068/2024</t>
  </si>
  <si>
    <t>Substituição do SPCS (Sistema de proteção, controle e supervisão), dos RV (Reguladores de velocidade) e RT (Reguladores de tensão) da UG03 da UHE APOLÔNIO SALES.</t>
  </si>
  <si>
    <t>UAS UG03</t>
  </si>
  <si>
    <t>0007874/2024</t>
  </si>
  <si>
    <t>Substituição de 01 (uma) Seccionadora 69 kV, posição operacional 32T2-4 da Subestação RCD</t>
  </si>
  <si>
    <t>0007876/2024</t>
  </si>
  <si>
    <t>Substituição do SPCS (Sistema de proteção, controle e supervisão), dos RV (Reguladores de velocidade) e RT (Reguladores de tensão) da UG04 da UHE APOLÔNIO SALES.</t>
  </si>
  <si>
    <t>UAS UG04</t>
  </si>
  <si>
    <t>0007879/2024</t>
  </si>
  <si>
    <t>Substituição do Transformador Auxiliar TFAX 4, 460/380/220 Vca, arranjo BS, na SE AREIA.</t>
  </si>
  <si>
    <t>0008074/2024</t>
  </si>
  <si>
    <t>Substituição de 01 (uma) Seccionadora 69 kV, posição operacional 32T2-5 da Subestação RCD</t>
  </si>
  <si>
    <t>0007883/2024</t>
  </si>
  <si>
    <t>Substituição de Transformador de Potencial 138 kV, fase C, arranjo BS, associado a EL VITORIA/PITANGA C-1  na SE VITORIA.</t>
  </si>
  <si>
    <t>0008130/2024</t>
  </si>
  <si>
    <t>TP LIVITPIT 1 C</t>
  </si>
  <si>
    <t>Substituição dos sistemas de proteção da LT 345 kV FURNAS /ITUTINGA C-1 MG</t>
  </si>
  <si>
    <t>0007888/2024</t>
  </si>
  <si>
    <t>Substituição de 01 (uma) Seccionadora 69 kV, posição operacional 32V1-4 da Subestação RCD</t>
  </si>
  <si>
    <t>0008027/2024</t>
  </si>
  <si>
    <t>Substituição de 01 torre metálica completa da LT 230 kV Biguaçu - J. Lacerda B C-1. A torre envolvida é a de número de operação: 006.</t>
  </si>
  <si>
    <t>0007891/2024</t>
  </si>
  <si>
    <t>Substituição de 01 (uma) Seccionadora com lâmina de terra 69 kV, posição operacional 32V1-5/7 da Subestação RCD</t>
  </si>
  <si>
    <t>0008029/2024</t>
  </si>
  <si>
    <t>0007896/2024</t>
  </si>
  <si>
    <t>Substituição do registrador de perturbações digital com localizador de faltas por ondas viajantes (TW)  da  LT 345 kV FURNAS /ITUTINGA C-1 MG</t>
  </si>
  <si>
    <t>0007899/2024</t>
  </si>
  <si>
    <t>Substituição de Transformador de Potencial Capacitivo 345 kV, fase A, arranjo AN, associado a EL VIANA/VITORIA na SE VITORIA.</t>
  </si>
  <si>
    <t>0008136/2024</t>
  </si>
  <si>
    <t>TP LTVIAVIT A</t>
  </si>
  <si>
    <t>SUBSTITUIÇÃO DO ESTATOR DA UG08 DA UHE PAULO AFONSO II</t>
  </si>
  <si>
    <t>USD UG08</t>
  </si>
  <si>
    <t>0007914/2024</t>
  </si>
  <si>
    <t>SUBSTITUIÇÃO DO ESTATOR DA UG09 DA UHE PAULO AFONSO II</t>
  </si>
  <si>
    <t>USD UG09</t>
  </si>
  <si>
    <t>0007918/2024</t>
  </si>
  <si>
    <t>Substituição do registrador de perturbações digital da LT 138 kV IRIRI /ROCHA LEAO C-2 RJ (Nome Furnas LTIRRL)</t>
  </si>
  <si>
    <t>0007905/2024</t>
  </si>
  <si>
    <t>RDP LT138 kV IRIRI /ROCHA LEAO C-2 RJ</t>
  </si>
  <si>
    <t>Substituição do Transformador Auxiliar TFAX 2, 460/220/127 Vca, arranjo BS, na SE AREIA.</t>
  </si>
  <si>
    <t>0008079/2024</t>
  </si>
  <si>
    <t>Substituição dos sistemas de proteção da LT 345 kV ADRIANOPOLIS /ITUTINGA C-1 RJ/MG</t>
  </si>
  <si>
    <t>0007906/2024</t>
  </si>
  <si>
    <t>Substituição de Transformador de Potencial Capacitivo 345 kV, fase B, arranjo AN, associado a EL VIANA/VITORIA na SE VITORIA.</t>
  </si>
  <si>
    <t>0008139/2024</t>
  </si>
  <si>
    <t>TP LTVIAVIT B</t>
  </si>
  <si>
    <t>Substituição dos sistemas de proteção da LT 345 kV ADRIANOPOLIS /ITUTINGA C-2 RJ/MG</t>
  </si>
  <si>
    <t>0007908/2024</t>
  </si>
  <si>
    <t>Substituição do registrador de perturbações digital do BC 138 kV 75 Mvar ROCHA LEAO BC1 RJ</t>
  </si>
  <si>
    <t>0007910/2024</t>
  </si>
  <si>
    <t>RDP BC 138 kV 75 Mvar ROCHA LEAO BC1</t>
  </si>
  <si>
    <t>Substituição de Transformador de Potencial Capacitivo 345 kV, fase C, arranjo AN, associado a EL VIANA/VITORIA na SE VITORIA.</t>
  </si>
  <si>
    <t>0008145/2024</t>
  </si>
  <si>
    <t>TP LTVIAVIT C</t>
  </si>
  <si>
    <t>Substituição do registrador de perturbações digital do BC 138 kV 75 Mvar ROCHA LEAO BC2 RJ</t>
  </si>
  <si>
    <t>0007915/2024</t>
  </si>
  <si>
    <t>RDP BC 138 kV 75 Mvar ROCHA LEAO BC2</t>
  </si>
  <si>
    <t>PINHALZINHO</t>
  </si>
  <si>
    <t>Substituição de bateria - 125 Vcc - SACC125-BAT2 na SE Pinhalzinho 2.</t>
  </si>
  <si>
    <t>MG PINHALZINHO 2 / CCO-2014-007 - RB</t>
  </si>
  <si>
    <t>0007919/2024</t>
  </si>
  <si>
    <t>Substituição de Transformador de Potencial Capacitivo 345 kV, fase B, arranjo AN, associado a EL VIANA/VITORIA (BARRA) na SE VITORIA.</t>
  </si>
  <si>
    <t>0008149/2024</t>
  </si>
  <si>
    <t>TPC345 EL VIA/VIT (BARRA)-B</t>
  </si>
  <si>
    <t>Substituição do Módulo Concentrador de Informações de oscilografia (MCRDP) na SE ITUTINGA</t>
  </si>
  <si>
    <t>0007920/2024</t>
  </si>
  <si>
    <t>Substituição de 01 (uma) Seccionadora 69 kV, posição operacional 32V2-4 da Subestação RCD</t>
  </si>
  <si>
    <t>0007922/2024</t>
  </si>
  <si>
    <t>Substituição do Módulo de Sincronização das informações (RARP) na SE ITUTINGA</t>
  </si>
  <si>
    <t>0007925/2024</t>
  </si>
  <si>
    <t>Substituição de bateria - 48 Vcc - SACC48-BAT2 na SE Quinta (vinculada a LT 230 kV Quinta - Povo Novo).</t>
  </si>
  <si>
    <t>LT 230 kV POVO NOVO /QUINTA C-1 RS</t>
  </si>
  <si>
    <t>0007923/2024</t>
  </si>
  <si>
    <t>Substituição de 01 (uma) Seccionadora com lâmina de terra 69 kV, posição operacional 32V2-5/7 da Subestação RCD</t>
  </si>
  <si>
    <t>0007926/2024</t>
  </si>
  <si>
    <t>Substituição dos painel de intertravamento do setor de 345kV (barra dupla cinco chaves). Para substituição deste painel será necessário realizar o desligamento das barras e de cada vão do setor de 345kV.</t>
  </si>
  <si>
    <t>0007928/2024</t>
  </si>
  <si>
    <t>Substituição de 01 (uma) Seccionadora 230 kV, posição operacional 34C1-2 da subestação JDM</t>
  </si>
  <si>
    <t>0007929/2024</t>
  </si>
  <si>
    <t>Substituição de 01 (uma) Seccionadora 230 kV, posição operacional 34C1-4 da subestação JDM</t>
  </si>
  <si>
    <t>0007931/2024</t>
  </si>
  <si>
    <t>Substituição da UAC - SICAM eRTU de supervisão do BANCO DE REATORES (RT01) RTB 345 kV 60 Mvar ITUTINGA RT1</t>
  </si>
  <si>
    <t>0007933/2024</t>
  </si>
  <si>
    <t>10218611</t>
  </si>
  <si>
    <t>Substituição de 01 (uma) Seccionadora 230 kV, posição operacional 34C1-5 da subestação JDM</t>
  </si>
  <si>
    <t>0007934/2024</t>
  </si>
  <si>
    <t>Substituição de 01 (uma) Seccionadora com lâmina de terra 230 kV, posição operacional 34C1-6/7 da subestação JDM</t>
  </si>
  <si>
    <t>0007935/2024</t>
  </si>
  <si>
    <t>Substituição de Teleproteção Principal na LT PARAISO /NATAL II C-2 (04N1), na subestação PARAISO, composto por: 01 Transceptor de dados.</t>
  </si>
  <si>
    <t>0007936/2024</t>
  </si>
  <si>
    <t>11369882</t>
  </si>
  <si>
    <t>Substituição de Teleproteção Alternada na LT PARAISO /NATAL II C-2 (04N1), na subestação PARAISO, composto por: 01 Transceptor de dados.</t>
  </si>
  <si>
    <t>0007937/2024</t>
  </si>
  <si>
    <t>11369883</t>
  </si>
  <si>
    <t>NATAL III</t>
  </si>
  <si>
    <t>Substituição de Teleproteção Principal na LT NATAL III /NATAL II C-1 (04N3), na subestação NATAL III, composto por: 01 Transceptor de dados.</t>
  </si>
  <si>
    <t>0007938/2024</t>
  </si>
  <si>
    <t>11373891</t>
  </si>
  <si>
    <t>Substituição de 01 (um) disjuntor de 69 kV, posição operacional 12V1, da Subestação de RCD.</t>
  </si>
  <si>
    <t>0008032/2024</t>
  </si>
  <si>
    <t>12V1</t>
  </si>
  <si>
    <t>Substituição de Teleproteção Alternada na LT NATAL III /NATAL II C-1 (04N3), na subestação NATAL III, composto por: 01 Transceptor de dados.</t>
  </si>
  <si>
    <t>0007940/2024</t>
  </si>
  <si>
    <t>11373892</t>
  </si>
  <si>
    <t>Substituição de 01 (um) disjuntor de 69 kV, posição operacional 12T1, da Subestação de RCD.</t>
  </si>
  <si>
    <t>0007941/2024</t>
  </si>
  <si>
    <t>12T1</t>
  </si>
  <si>
    <t>Substituição de Teleproteção Principal na LT SOBRAL III /PECEM II C-1 (05V7), na subestação SOBRAL III, composto por: 01 Transceptor de dados.</t>
  </si>
  <si>
    <t>0007943/2024</t>
  </si>
  <si>
    <t>11373864</t>
  </si>
  <si>
    <t>Substituição de Teleproteção Alternada na LT SOBRAL III /PECEM II C-1 (05V7), na subestação SOBRAL III, composto por: 01 Transceptor de dados.</t>
  </si>
  <si>
    <t>0007945/2024</t>
  </si>
  <si>
    <t>11373865</t>
  </si>
  <si>
    <t>Substituição de 01 (um) disjuntor de 69 kV, posição operacional 12T2, da Subestação de RCD.</t>
  </si>
  <si>
    <t>0008507/2024</t>
  </si>
  <si>
    <t>12T2</t>
  </si>
  <si>
    <t>Substituição de Teleproteção Principal na LT PARAISO /NATAL II C-2 (04N1), na subestação NATAL II, composto por: 01 Transceptor de dados.</t>
  </si>
  <si>
    <t>0007948/2024</t>
  </si>
  <si>
    <t>11369884</t>
  </si>
  <si>
    <t>Substituição de Teleproteção Alternada na LT PARAISO /NATAL II C-2 (04N1), na subestação NATAL II, composto por: 01 Transceptor de dados.</t>
  </si>
  <si>
    <t>0007950/2024</t>
  </si>
  <si>
    <t>11369885</t>
  </si>
  <si>
    <t>Substituição de Teleproteção Principal na LT NATAL III /NATAL II C-1 (04N3), na subestação NATAL II, composto por: 01 Transceptor de dados.</t>
  </si>
  <si>
    <t>0007952/2024</t>
  </si>
  <si>
    <t>11373886</t>
  </si>
  <si>
    <t>Substituição de Teleproteção Alternada na LT NATAL III /NATAL II C-1 (04N3), na subestação NATAL II, composto por: 01 Transceptor de dados.</t>
  </si>
  <si>
    <t>0007954/2024</t>
  </si>
  <si>
    <t>11373888</t>
  </si>
  <si>
    <t>Substituição de 01 (um) Transformador 13,8kV posição operacional 01T1 da subestação PAQ.</t>
  </si>
  <si>
    <t>0007957/2024</t>
  </si>
  <si>
    <t>11347959</t>
  </si>
  <si>
    <t>Substituição de Teleproteção Principal na LT SOBRAL III /PECEM II C-1 (05V7), na subestação PECEM II, composto por: 01 Transceptor de dados.</t>
  </si>
  <si>
    <t>0007958/2024</t>
  </si>
  <si>
    <t>11373866</t>
  </si>
  <si>
    <t>Substituição de 01 (um) Transformador 13,8kV posição operacional 01T2 da subestação PAQ.</t>
  </si>
  <si>
    <t>0007960/2024</t>
  </si>
  <si>
    <t>11347960</t>
  </si>
  <si>
    <t>Substituição de Teleproteção Alternada na LT SOBRAL III /PECEM II C-1 (05V7), na subestação PECEM II, composto por: 01 Transceptor de dados.</t>
  </si>
  <si>
    <t>0007961/2024</t>
  </si>
  <si>
    <t>11373867</t>
  </si>
  <si>
    <t>Substituição de 01 (um) sistema de monitoramento para transformador de força 13,8kV, posição operacional 01T4, da subestação BEA.</t>
  </si>
  <si>
    <t>0007964/2024</t>
  </si>
  <si>
    <t>12627627</t>
  </si>
  <si>
    <t>LT 230 kV CANOINHAS ESU / S.MATEUS SUL C-1</t>
  </si>
  <si>
    <t>Substituição de 01 (um) dos cabos para-raios da LT 230 kV Canoinhas - São Mateus do Sul C-1, em toda a sua extensão (47,7 km), por cabos tipo OPGW.</t>
  </si>
  <si>
    <t>LT 230 kV CANOINHAS ESU / S.MATEUS SUL C-1 SC</t>
  </si>
  <si>
    <t>0007970/2024</t>
  </si>
  <si>
    <t>LT 230 kV ANASTACIO / DOURADOS C-1</t>
  </si>
  <si>
    <t>Substituição de 01 (um) dos cabos para-raios da LT 230 kV Anastácio - Dourados C-1, em toda a sua extensão (210,9 km), por cabos tipo OPGW.</t>
  </si>
  <si>
    <t>LT 230 kV ANASTACIO / DOURADOS C-1 MS</t>
  </si>
  <si>
    <t>0007973/2024</t>
  </si>
  <si>
    <t>Substituição de 01 (um) Retificador, posição operacional 200R1 da subestação QXR</t>
  </si>
  <si>
    <t>0007974/2024</t>
  </si>
  <si>
    <t>11420059</t>
  </si>
  <si>
    <t>LT 230 kV DOURADOS / GUAIRA C-1</t>
  </si>
  <si>
    <t>Substituição de 01 (um) dos cabos para-raios da LT 230 kV Dourados - Guaíra C-1, por cabos tipo OPGW. O trecho a ser substituído será a partir da SE Dourados até o ponto de seccionamento da linha na nova SE Iguatemi 2 (aproximadamente 173 km).</t>
  </si>
  <si>
    <t>LT 230 kV DOURADOS / GUAIRA C-1 MS</t>
  </si>
  <si>
    <t>0007975/2024</t>
  </si>
  <si>
    <t>Substituição de 01 (um) Retificador, posição operacional 200R2 da subestação QXR</t>
  </si>
  <si>
    <t>0007976/2024</t>
  </si>
  <si>
    <t>11420060</t>
  </si>
  <si>
    <t>LT 525 kV CASCAVEL OEST / GUAIRA C-1</t>
  </si>
  <si>
    <t>Substituição de 01 (um) dos cabos para-raios da LT 525 kV Cascavel Oeste - Guaíra C-1, em toda a sua extensão (126 km), por cabos tipo OPGW.</t>
  </si>
  <si>
    <t>0007979/2024</t>
  </si>
  <si>
    <t>LT 525 kV S.SANTIAGO / UH S.SANTIAGO C-1</t>
  </si>
  <si>
    <t>Substituição de 01 (um) dos cabos para-raios da LT 525 kV Salto Santiago - UH. Salto Santiago C-1, em toda a sua extensão (0,6 km), por cabos tipo OPGW.</t>
  </si>
  <si>
    <t>LT 525 kV S.SANTIAGO / UH S.SANTIAGO C-1 PR</t>
  </si>
  <si>
    <t>0007980/2024</t>
  </si>
  <si>
    <t>Substituição do registrador de perturbações digital da BR6O1</t>
  </si>
  <si>
    <t>0007982/2024</t>
  </si>
  <si>
    <t>RDP BR601</t>
  </si>
  <si>
    <t>LT 525 kV S.SANTIAGO / UH S.SANTIAGO C-2</t>
  </si>
  <si>
    <t>Substituição de 01 (um) dos cabos para-raios da LT 525 kV Salto Santiago - UH. Salto Santiago C-2, em toda a sua extensão (0,7 km), por cabos tipo OPGW.</t>
  </si>
  <si>
    <t>LT 525 kV S.SANTIAGO / UH S.SANTIAGO C-2 PR</t>
  </si>
  <si>
    <t>0007983/2024</t>
  </si>
  <si>
    <t>Substituição do registrador de perturbações digital da BR6O2</t>
  </si>
  <si>
    <t>0007985/2024</t>
  </si>
  <si>
    <t>RDP BR602</t>
  </si>
  <si>
    <t>Substituição do Módulo Concentrador de Informações de oscilografia (MCRDP) na SE ROCHA LEAO</t>
  </si>
  <si>
    <t>0007988/2024</t>
  </si>
  <si>
    <t>MCRDP</t>
  </si>
  <si>
    <t>Substituição do Módulo de Sincronização das informações (RARP) na SE ROCHA LEAO</t>
  </si>
  <si>
    <t>0007990/2024</t>
  </si>
  <si>
    <t>RARP</t>
  </si>
  <si>
    <t>Substituição do Disjuntor de 230KV - IZDJ6-04.</t>
  </si>
  <si>
    <t>0008794/2024</t>
  </si>
  <si>
    <t>IZDJ604</t>
  </si>
  <si>
    <t>Substituição do Disjuntor de 230KV - PRDJ6-02.</t>
  </si>
  <si>
    <t>0008810/2024</t>
  </si>
  <si>
    <t>PRDJ602</t>
  </si>
  <si>
    <t>Substituição do Disjuntor de 230KV - PRDJ6-03.</t>
  </si>
  <si>
    <t>LT 230 kV PERITORO /CAXIAS II C-1 MA</t>
  </si>
  <si>
    <t>0008811/2024</t>
  </si>
  <si>
    <t>PRDJ603</t>
  </si>
  <si>
    <t>Substituição do Disjuntor de 230KV - PRDJ6-04.</t>
  </si>
  <si>
    <t>0008812/2024</t>
  </si>
  <si>
    <t>PRDJ604</t>
  </si>
  <si>
    <t>Substituição do Disjuntor de 230KV - PFDB6-01.</t>
  </si>
  <si>
    <t>0008813/2024</t>
  </si>
  <si>
    <t>PFDB601</t>
  </si>
  <si>
    <t>Substituição do Disjuntor de 230KV - PFDJ6-01.</t>
  </si>
  <si>
    <t>0008814/2024</t>
  </si>
  <si>
    <t>PFDJ601</t>
  </si>
  <si>
    <t>Substituição do Disjuntor de 230KV - PFDJ6-02.</t>
  </si>
  <si>
    <t>0008816/2024</t>
  </si>
  <si>
    <t>PFDJ602</t>
  </si>
  <si>
    <t>Substituição do Disjuntor de 230KV - PFDJ6-03.</t>
  </si>
  <si>
    <t>0008818/2024</t>
  </si>
  <si>
    <t>PFDJ603</t>
  </si>
  <si>
    <t>Substituição do Disjuntor de 230KV - PFDJ6-04.</t>
  </si>
  <si>
    <t>0008820/2024</t>
  </si>
  <si>
    <t>PFDJ604</t>
  </si>
  <si>
    <t>Substituição do Disjuntor de 69KV - PFDJ5-02.</t>
  </si>
  <si>
    <t>0008821/2024</t>
  </si>
  <si>
    <t>PFDJ502</t>
  </si>
  <si>
    <t>Substituição do Disjuntor de 69KV - PFDJ5-03.</t>
  </si>
  <si>
    <t>0008822/2024</t>
  </si>
  <si>
    <t>PFDJ503</t>
  </si>
  <si>
    <t>Substituição do Transformador de Corrente 230kV - IZPF-LT601 - Fase V.</t>
  </si>
  <si>
    <t>0008458/2024</t>
  </si>
  <si>
    <t>IZTC601</t>
  </si>
  <si>
    <t>Substituição do Disjuntor de 69KV - PFDJ5-01.</t>
  </si>
  <si>
    <t>0008826/2024</t>
  </si>
  <si>
    <t>PFDJ501</t>
  </si>
  <si>
    <t>Substituição do Transformador de corrente de 230KV - MRBC6-01 - Fase V.</t>
  </si>
  <si>
    <t>0008457/2024</t>
  </si>
  <si>
    <t>Substituição do Transformador de corrente de 230KV - MRBC6-02 - Fase A.</t>
  </si>
  <si>
    <t>BC 230 kV 20 Mvar MIRANDA II BC2 MA</t>
  </si>
  <si>
    <t>0008456/2024</t>
  </si>
  <si>
    <t>Substituição dos Painel de Distribuição QD1, 460 Vca e cabos associados, referentes aos Serviços Auxiliares da SE CURITIBA.</t>
  </si>
  <si>
    <t>MG 500 kV CURITIBA MG1 PR</t>
  </si>
  <si>
    <t>0008025/2024</t>
  </si>
  <si>
    <t>QD1</t>
  </si>
  <si>
    <t>Substituição do Transformador de corrente de 230KV - MRBC6-02 - Fase V.</t>
  </si>
  <si>
    <t>0008455/2024</t>
  </si>
  <si>
    <t>Substituição do Transformador de Corrente 230kV - PDCS201-TC601 - Fase A.</t>
  </si>
  <si>
    <t>0008453/2024</t>
  </si>
  <si>
    <t>PDTC601</t>
  </si>
  <si>
    <t>Substituição do Transformador de Corrente 230kV - PDCS201-TC601 - Fase B.</t>
  </si>
  <si>
    <t>0008466/2024</t>
  </si>
  <si>
    <t>Substituição dos Painel de Distribuição QD2, 460 Vca e cabos associados, referentes aos Serviços Auxiliares da SE CURITIBA.</t>
  </si>
  <si>
    <t>0008038/2024</t>
  </si>
  <si>
    <t>QD2</t>
  </si>
  <si>
    <t>Substituição do Transformador de Corrente 230kV - PDCS201-TC601 - Fase V.</t>
  </si>
  <si>
    <t>0008465/2024</t>
  </si>
  <si>
    <t>Substituição do Transformador de corrente 230kV - TF604-IZTC601 - Fase A.</t>
  </si>
  <si>
    <t>0008475/2024</t>
  </si>
  <si>
    <t>Substituição do Transformador de corrente 230kV - TF604-IZTC601 - Fase V.</t>
  </si>
  <si>
    <t>0008469/2024</t>
  </si>
  <si>
    <t>Substituição do Transformador de corrente 230kV - IZDJ603-TC601 - Fase V.</t>
  </si>
  <si>
    <t>0008470/2024</t>
  </si>
  <si>
    <t>Substituição do Transformador de corrente 230kV - IZDJ604-TC601 - Fase V</t>
  </si>
  <si>
    <t>0008477/2024</t>
  </si>
  <si>
    <t>Substituição dos Painel de Distribuição QD1/2, 460 Vca e cabos associados, referentes aos Serviços Auxiliares da SE CURITIBA.</t>
  </si>
  <si>
    <t>0008053/2024</t>
  </si>
  <si>
    <t>QD1/2</t>
  </si>
  <si>
    <t>Substituição do Transformador de Corrente 230kV - PDDJ601-TC601 - Fase A.</t>
  </si>
  <si>
    <t>0008478/2024</t>
  </si>
  <si>
    <t>Substituição do Transformador de Corrente 230kV - PDDJ601-TC601 - Fase B.</t>
  </si>
  <si>
    <t>0008479/2024</t>
  </si>
  <si>
    <t>Substituição do Transformador de Corrente 230kV - PDDJ601-TC601 - Fase V.</t>
  </si>
  <si>
    <t>0008481/2024</t>
  </si>
  <si>
    <t>Substituição do Transformador de Corrente 500kV - PDRE709-TC701 - Fase V.</t>
  </si>
  <si>
    <t>0008504/2024</t>
  </si>
  <si>
    <t>PDTC701</t>
  </si>
  <si>
    <t>Substituição Para-raios 500KV - Do Transformador IZAT7-01 - Fase V.</t>
  </si>
  <si>
    <t>0008858/2024</t>
  </si>
  <si>
    <t>IZPR701</t>
  </si>
  <si>
    <t>Substituição do Painel de Distribuição QD1, 380 Vca, e cabos associados, referente aos Serviços Auxiliares da SE CURITIBA.</t>
  </si>
  <si>
    <t>0008061/2024</t>
  </si>
  <si>
    <t>Substituição Para-raios 500KV - Do Transformador IZAT7-01 - Fase B.</t>
  </si>
  <si>
    <t>0008857/2024</t>
  </si>
  <si>
    <t>Substituição do Disjuntor de 69KV - PFDJ4-02.</t>
  </si>
  <si>
    <t>0008827/2024</t>
  </si>
  <si>
    <t>PFDJ402</t>
  </si>
  <si>
    <t>Substituição dos Painel de Distribuição QD1, 220 Vca e cabos associados, referentes aos Serviços Auxiliares da SE CURITIBA.</t>
  </si>
  <si>
    <t>0008067/2024</t>
  </si>
  <si>
    <t>Substituição dos Painel de Distribuição QPD9, 480 Vca e cabos associados, referentes aos Serviços Auxiliares da SE Blumenau.</t>
  </si>
  <si>
    <t>MG BLUMENAU / CCO-2000-088 - RB</t>
  </si>
  <si>
    <t>0008073/2024</t>
  </si>
  <si>
    <t>QPD9</t>
  </si>
  <si>
    <t>Substituição dos Painel de Distribuição QPD1, 220 Vca e cabos associados, referentes aos Serviços Auxiliares da SE CURITIBA.</t>
  </si>
  <si>
    <t>0008071/2024</t>
  </si>
  <si>
    <t>QPD1</t>
  </si>
  <si>
    <t>Substituição do Disjuntor de 230KV - IZDJ6-05.</t>
  </si>
  <si>
    <t>0008828/2024</t>
  </si>
  <si>
    <t>IZDJ605</t>
  </si>
  <si>
    <t>Substituição do Disjuntor de 230KV - IZDJ6-07.</t>
  </si>
  <si>
    <t>0008829/2024</t>
  </si>
  <si>
    <t>IZDJ607</t>
  </si>
  <si>
    <t>Substituição do Disjuntor de 230KV - IZDJ6-08.</t>
  </si>
  <si>
    <t>0008832/2024</t>
  </si>
  <si>
    <t>IZDJ608</t>
  </si>
  <si>
    <t>Substituição dos Painel de Distribuição QPD2, 220 Vca e cabos associados, referentes aos Serviços Auxiliares da SE CURITIBA.</t>
  </si>
  <si>
    <t>0008077/2024</t>
  </si>
  <si>
    <t>QPD2</t>
  </si>
  <si>
    <t>Substituição do Disjuntor de 69KV - IZDJ4-02.</t>
  </si>
  <si>
    <t>0008837/2024</t>
  </si>
  <si>
    <t>IZDJ402</t>
  </si>
  <si>
    <t>Substituição do Disjuntor de 69KV - IZDJ4-07.</t>
  </si>
  <si>
    <t>0008838/2024</t>
  </si>
  <si>
    <t>IZDJ407</t>
  </si>
  <si>
    <t>Substituição do Disjuntor de 500KV - IZDJ7-11.</t>
  </si>
  <si>
    <t>0008840/2024</t>
  </si>
  <si>
    <t>IZDJ711</t>
  </si>
  <si>
    <t>Substituição do Disjuntor de 500KV - IZDJ7-10.</t>
  </si>
  <si>
    <t>0008841/2024</t>
  </si>
  <si>
    <t>IZDJ710</t>
  </si>
  <si>
    <t>Substituição dos Painel de Distribuição QD1, 125 Vcc e cabos associados, referentes aos Serviços Auxiliares da SE CURITIBA.</t>
  </si>
  <si>
    <t>0008083/2024</t>
  </si>
  <si>
    <t>Substituição do Disjuntor de 500KV - MBDJ7-09.</t>
  </si>
  <si>
    <t>0008842/2024</t>
  </si>
  <si>
    <t>MBDJ709</t>
  </si>
  <si>
    <t>Substituição do Transformador de Potencial (TP) 69kV - do Transformador IZTF6-03 - Fase A.</t>
  </si>
  <si>
    <t>0008505/2024</t>
  </si>
  <si>
    <t>IZTP401</t>
  </si>
  <si>
    <t>Substituição do Transformador de Potencial (TP) 69kV - do Transformador IZTF6-04 - Fase A.</t>
  </si>
  <si>
    <t>0008506/2024</t>
  </si>
  <si>
    <t>Substituição do Transformador de Potencial (TP) 69kV - do Transformador IZTF6-04 - Fase B.</t>
  </si>
  <si>
    <t>0008515/2024</t>
  </si>
  <si>
    <t>Substituição do Transformador de Potencial (TP) 69kV - do Transformador IZTF6-04 - Fase V.</t>
  </si>
  <si>
    <t>0008516/2024</t>
  </si>
  <si>
    <t>Substituição dos Painel de Distribuição QD2, 125 Vcc e cabos associados, referentes aos Serviços Auxiliares da SE CURITIBA.</t>
  </si>
  <si>
    <t>0008088/2024</t>
  </si>
  <si>
    <t>Substituição da proteção de Falha de Disjuntor DJ12876 principal do IB, arranjo DJM, na SE IVAIPORA.</t>
  </si>
  <si>
    <t>0008259/2024</t>
  </si>
  <si>
    <t>Substituição do Disjuntor de 500KV - IZDJ7-19.</t>
  </si>
  <si>
    <t>0008846/2024</t>
  </si>
  <si>
    <t>IZDJ719</t>
  </si>
  <si>
    <t>Substituição do Transformador de Potencial (TP) 69kV - do Transformador IZTF6-03 - Fase B.</t>
  </si>
  <si>
    <t>0008517/2024</t>
  </si>
  <si>
    <t>Substituição dos Painel de Distribuição QD3, 125 Vcc e cabos associados, referentes aos Serviços Auxiliares da SE CURITIBA.</t>
  </si>
  <si>
    <t>0008093/2024</t>
  </si>
  <si>
    <t>QD3</t>
  </si>
  <si>
    <t>Substituição do Transformador de Potencial (TP) 69kV - do Transformador IZTF6-03 - Fase V.</t>
  </si>
  <si>
    <t>0008518/2024</t>
  </si>
  <si>
    <t>Substituição dos Painel de Distribuição QPD1, 125 Vcc e cabos associados, referentes aos Serviços Auxiliares da SE CURITIBA.</t>
  </si>
  <si>
    <t>0008098/2024</t>
  </si>
  <si>
    <t>Substituição do Transformador de Potencial (TP) 69kV - do Transformador PFTF6-01 - Fase A.</t>
  </si>
  <si>
    <t>0008521/2024</t>
  </si>
  <si>
    <t>PFTP401</t>
  </si>
  <si>
    <t>Substituição de Transformador de Corrente 345 kV, fase C, arranjo AN, associado ao IB DJ8728 - Vão 72 na SE VITORIA.</t>
  </si>
  <si>
    <t>0008099/2024</t>
  </si>
  <si>
    <t>TC8728 C</t>
  </si>
  <si>
    <t>Substituição de Retificador (Carregador de Baterias) SACC125-RET21, 125 Vcc, na SE BLUMENAU.</t>
  </si>
  <si>
    <t>0008100/2024</t>
  </si>
  <si>
    <t>RET21</t>
  </si>
  <si>
    <t>Substituição de Transformador de Corrente 345 kV, fase B, arranjo AN, associado ao IB DJ8728 - Vão 72 na SE VITORIA.</t>
  </si>
  <si>
    <t>0008102/2024</t>
  </si>
  <si>
    <t>TC8728 B</t>
  </si>
  <si>
    <t>Substituição do Transformador de Potencial (TP) 69kV - do Transformador PFTF6-01 - Fase B.</t>
  </si>
  <si>
    <t>0008526/2024</t>
  </si>
  <si>
    <t>Substituição de 01 (uma) Seccionadora 230 kV posição operacional 34T2-8 da Subestação TSA</t>
  </si>
  <si>
    <t>0008103/2024</t>
  </si>
  <si>
    <t>34T2-8</t>
  </si>
  <si>
    <t>Substituição de Transformador de Corrente 345 kV, fase A, arranjo AN, associado ao IB DJ8728 - Vão 72 na SE VITORIA.</t>
  </si>
  <si>
    <t>0008104/2024</t>
  </si>
  <si>
    <t>TC8728 A</t>
  </si>
  <si>
    <t>Substituição do Transformador de potencial (TP) 69kV - do Transformador PFTF6-01 - Fase V.</t>
  </si>
  <si>
    <t>0008527/2024</t>
  </si>
  <si>
    <t>Substituição dos Painel de Distribuição QPD2, 125 Vcc e cabos associados, referentes aos Serviços Auxiliares da SE CURITIBA.</t>
  </si>
  <si>
    <t>0008109/2024</t>
  </si>
  <si>
    <t>Substituição de 01 (uma) Seccionadora 69 kV posição operacional 32T2-4 da Subestação PRD</t>
  </si>
  <si>
    <t>0008113/2024</t>
  </si>
  <si>
    <t>Substituição do Transformador de potencial (TP) 69kV - do Transformador PFTF6-02- Fase A.</t>
  </si>
  <si>
    <t>0008528/2024</t>
  </si>
  <si>
    <t>Substituição de 01 (uma) Seccionadora 230 kV, posição operacional 34S1-5 da Subestação PRD</t>
  </si>
  <si>
    <t>0008121/2024</t>
  </si>
  <si>
    <t>34S1-5</t>
  </si>
  <si>
    <t>Substituição do Transformador de potencial (TP) 69kV - do Transformador PFTF6-02- Fase B.</t>
  </si>
  <si>
    <t>0008529/2024</t>
  </si>
  <si>
    <t>Substituição de Retificador (Carregador de Baterias) SACC125-RET22, 125 Vcc, na SE BLUMENAU.</t>
  </si>
  <si>
    <t>0008123/2024</t>
  </si>
  <si>
    <t>RET22</t>
  </si>
  <si>
    <t>Substituição do Transformador de potencial (TP) 69kV - do Transformador PFTF6-02- Fase V.</t>
  </si>
  <si>
    <t>0008531/2024</t>
  </si>
  <si>
    <t>Substituição dos Painel de Distribuição QPD1, 48 Vcc e cabos associados, referentes aos Serviços Auxiliares da SE CURITIBA.</t>
  </si>
  <si>
    <t>0008126/2024</t>
  </si>
  <si>
    <t>Substituição do Painel de Distribuição QPD1, 480 Vca, e cabos associados, referentes aos Serviços Auxiliares da SE AREIA.</t>
  </si>
  <si>
    <t>0008129/2024</t>
  </si>
  <si>
    <t>Substituição do Disjuntor de 500KV - MBDJ7-08.</t>
  </si>
  <si>
    <t>0008844/2024</t>
  </si>
  <si>
    <t>MBDJ708</t>
  </si>
  <si>
    <t>Substituição dos Painel de Distribuição QPD2, 48 Vcc e cabos associados, referentes aos Serviços Auxiliares da SE CURITIBA.</t>
  </si>
  <si>
    <t>0008135/2024</t>
  </si>
  <si>
    <t>Substituição do Painel de Distribuição QPD2, 480 Vca, e cabos associados, referentes aos Serviços Auxiliares da SE AREIA.</t>
  </si>
  <si>
    <t>0008140/2024</t>
  </si>
  <si>
    <t>Substituição dos Painel de Distribuição QPD3, 48 Vcc e cabos associados, referentes aos Serviços Auxiliares da SE CURITIBA.</t>
  </si>
  <si>
    <t>0008141/2024</t>
  </si>
  <si>
    <t>QPD3</t>
  </si>
  <si>
    <t>Substituição do Transformador de Serviço Auxiliar TSA5, 13,8/0,48 kV, 1.000 kVA, na SE BLUMENAU. Associado à obra são esperadas adaptações/substituições da base existente, da caixa separadora de óleo, e cabos associados.</t>
  </si>
  <si>
    <t>0008146/2024</t>
  </si>
  <si>
    <t>TSA5</t>
  </si>
  <si>
    <t>Substituição do Painel de Distribuição QPD3, 480 Vca, e cabos associados, referentes aos Serviços Auxiliares da SE AREIA.</t>
  </si>
  <si>
    <t>0008148/2024</t>
  </si>
  <si>
    <t>Substituição do Transformador de Serviço Auxiliar TSA6, 13,8/0,48 kV, 1.000 kVA, na SE BLUMENAU. Associado à obra são esperadas adaptações/substituições da base existente, da caixa separadora de óleo, e cabos associados.</t>
  </si>
  <si>
    <t>0008151/2024</t>
  </si>
  <si>
    <t>TSA6</t>
  </si>
  <si>
    <t>Substituição do Painel de Distribuição QPD4, 480 Vca, e cabos associados, referentes aos Serviços Auxiliares da SE AREIA.</t>
  </si>
  <si>
    <t>0008152/2024</t>
  </si>
  <si>
    <t>QPD4</t>
  </si>
  <si>
    <t>Substituição Para-raios 500KV - MCPR7-DX - Fase B.</t>
  </si>
  <si>
    <t>0008873/2024</t>
  </si>
  <si>
    <t>MCPR701</t>
  </si>
  <si>
    <t>Substituição Para-raios 500KV - MCPR7-DX - Fase V.</t>
  </si>
  <si>
    <t>0008876/2024</t>
  </si>
  <si>
    <t>Substituição de Transformador de Corrente 345 kV, fase A, arranjo AN, associado ao IB DJ8718 - Vão 71 na SE VITORIA.</t>
  </si>
  <si>
    <t>0008157/2024</t>
  </si>
  <si>
    <t>TC8718 A</t>
  </si>
  <si>
    <t>Substituição de Transformador de Corrente 345 kV, fase B, arranjo AN, associado ao IB DJ8718 - Vão 71 na SE VITORIA.</t>
  </si>
  <si>
    <t>0008158/2024</t>
  </si>
  <si>
    <t>TC8718 B</t>
  </si>
  <si>
    <t>Substituição Para-raios 500KV - MCPR7-DX - Fase A.</t>
  </si>
  <si>
    <t>0008877/2024</t>
  </si>
  <si>
    <t>Substituição do Painel de Distribuição QPD5, 480 Vca, e cabos associados, referentes aos Serviços Auxiliares da SE AREIA.</t>
  </si>
  <si>
    <t>0008160/2024</t>
  </si>
  <si>
    <t>QPD5</t>
  </si>
  <si>
    <t>LT 230 kV GUAMA /MARITUBA PA</t>
  </si>
  <si>
    <t>Substituição de isoladores de suspensão e ancoragem, incluindo ferragens UGMTLT6-01</t>
  </si>
  <si>
    <t>LT 230 kV GUAMA /MARITUBA C-1 PA</t>
  </si>
  <si>
    <t>0008676/2024</t>
  </si>
  <si>
    <t>UGMTLT6-01</t>
  </si>
  <si>
    <t>Substituição de isoladores de suspensão e ancoragem, incluindo ferragens UGMMLT6-01</t>
  </si>
  <si>
    <t>0008679/2024</t>
  </si>
  <si>
    <t>UGMMLT6-01</t>
  </si>
  <si>
    <t>Substituição de isoladores de suspensão e ancoragem, incluindo ferragens UGMTLT6-02</t>
  </si>
  <si>
    <t>0008680/2024</t>
  </si>
  <si>
    <t>UGMTLT6-02</t>
  </si>
  <si>
    <t>Substituição de isoladores de suspensão e ancoragem, incluindo ferragens UGMMLT6-02</t>
  </si>
  <si>
    <t>0008683/2024</t>
  </si>
  <si>
    <t>UGMMLT6-02</t>
  </si>
  <si>
    <t>LT 230 kV VILA DO CONDE /GUAMA PA</t>
  </si>
  <si>
    <t>Substituição de isoladores de suspensão e ancoragem, incluindo ferragens VCGMLT6-01</t>
  </si>
  <si>
    <t>0008685/2024</t>
  </si>
  <si>
    <t>VCGMLT6-01</t>
  </si>
  <si>
    <t>Substituição de isoladores de suspensão e ancoragem, incluindo ferragens VCGMLT6-02</t>
  </si>
  <si>
    <t>0008689/2024</t>
  </si>
  <si>
    <t>VCGMLT6-02</t>
  </si>
  <si>
    <t>Substituição do Painel de Distribuição QPD6, 480 Vca, e cabos associados, referentes aos Serviços Auxiliares da SE AREIA.</t>
  </si>
  <si>
    <t>0008167/2024</t>
  </si>
  <si>
    <t>QPD6</t>
  </si>
  <si>
    <t>Substituição Para-raios 230KV - TF601 - Fase A - revestimento cerâmico por polimérico.</t>
  </si>
  <si>
    <t>0008878/2024</t>
  </si>
  <si>
    <t>CHPR601</t>
  </si>
  <si>
    <t>Substituição Para-raios 230KV - TF601 - Fase B - revestimento cerâmico por polimérico.</t>
  </si>
  <si>
    <t>0008880/2024</t>
  </si>
  <si>
    <t>Substituição Para-raios 230KV - TF601 - Fase V - revestimento cerâmico por polimérico.</t>
  </si>
  <si>
    <t>0008881/2024</t>
  </si>
  <si>
    <t>Substituição Para-raios 500KV - PDRE7-09 - Fase A - De  carboneto de silicio por oxido de zinco.</t>
  </si>
  <si>
    <t>0008882/2024</t>
  </si>
  <si>
    <t>PDPR701</t>
  </si>
  <si>
    <t>Substituição Para-raios 500KV - PDRE7-09 - Fase B - De  carboneto de silicio por oxido de zinco</t>
  </si>
  <si>
    <t>0008883/2024</t>
  </si>
  <si>
    <t>Substituição Para-raios 500KV - PDRE7-09 - Fase V - De  carboneto de silicio por oxido de zinco.</t>
  </si>
  <si>
    <t>0008884/2024</t>
  </si>
  <si>
    <t>Substituição Para-raios 500KV - PDMR-LT702 - Fase B - com revesimento cerâmico por polimerico.</t>
  </si>
  <si>
    <t>0008885/2024</t>
  </si>
  <si>
    <t>Substituição Para-raios 500KV - PDMR-LT702 - Fase V - com revesimento cerâmico por polimerico.</t>
  </si>
  <si>
    <t>0008886/2024</t>
  </si>
  <si>
    <t>Substituição de isoladores de suspensão e ancoragem, incluindo ferragens GMMTLT6-01</t>
  </si>
  <si>
    <t>0008690/2024</t>
  </si>
  <si>
    <t>GMMTLT6-01</t>
  </si>
  <si>
    <t>Substituição de isoladores de suspensão e ancoragem, incluindo ferragens GMMTLT6-02</t>
  </si>
  <si>
    <t>0008691/2024</t>
  </si>
  <si>
    <t>GMMTLT6-02</t>
  </si>
  <si>
    <t>Substituição do Painel de Distribuição QPD6, 380 Vca e cabos associados, referente aos Serviços Auxiliares da SE Blumenau.</t>
  </si>
  <si>
    <t>0008176/2024</t>
  </si>
  <si>
    <t>Substituição do Transformador de Serviço Auxiliar TSA1 13,8/0,48 kV, 1.000 kVA, arranjo BS, na SE CURITIBA. Associado à obra são esperadas adaptações/substituições da base existente, da caixa separadora de óleo, e cabos associados.</t>
  </si>
  <si>
    <t>0008182/2024</t>
  </si>
  <si>
    <t>Substituição dos Painéis de Distribuição QPD16, 220 Vca e cabos associados, referentes aos Serviços Auxiliares da SE Blumenau.</t>
  </si>
  <si>
    <t>0008184/2024</t>
  </si>
  <si>
    <t>QPD16</t>
  </si>
  <si>
    <t>Substituição Para-raios 500KV - COPR7-CZ - Fase A.</t>
  </si>
  <si>
    <t>0008888/2024</t>
  </si>
  <si>
    <t>COPR701</t>
  </si>
  <si>
    <t>Substituição de 01 transformador Elevador 525/13,8 kV e serviços complementares da Fase A da UG01 da UHE Itumbiara.</t>
  </si>
  <si>
    <t>F-U-UHITB-UG01-TRUG01</t>
  </si>
  <si>
    <t>0008185/2024</t>
  </si>
  <si>
    <t>Substituição de 01 transformador Elevador 525/13,8 kV e serviços complementares da Fase A da UG04 da UHE Itumbiara.</t>
  </si>
  <si>
    <t>F-U-UHITB-UG04-TRUG04</t>
  </si>
  <si>
    <t>0008186/2024</t>
  </si>
  <si>
    <t>Substituição do Transformador de Serviço Auxiliar TSA2 13,8/0,48 kV, 1.000 kVA, arranjo BS, na SE CURITIBA. Associado à obra são esperadas adaptações/substituições da base existente, da caixa separadora de óleo, e cabos associados.</t>
  </si>
  <si>
    <t>0008187/2024</t>
  </si>
  <si>
    <t>Substituição Para-raios 69KV - MCPR4-DX - MCMCRN4-01 - 11916750.</t>
  </si>
  <si>
    <t>0008889/2024</t>
  </si>
  <si>
    <t>MCPR401</t>
  </si>
  <si>
    <t>Substituição Para-raios 69KV - MCPR4-DZ - MCMCRN4-02 FASE A - 11981495.</t>
  </si>
  <si>
    <t>0008890/2024</t>
  </si>
  <si>
    <t>Substituição do Transformador Auxiliar TFAX 3, 460/220/127 Vca, arranjo BS, na SE AREIA.</t>
  </si>
  <si>
    <t>0008188/2024</t>
  </si>
  <si>
    <t>Substituição dos Painéis de Distribuição QPD17, 220 Vca e cabos associados, referentes aos Serviços Auxiliares da SE Blumenau.</t>
  </si>
  <si>
    <t>0008189/2024</t>
  </si>
  <si>
    <t>QPD17</t>
  </si>
  <si>
    <t>Substituição de 01 transformador Elevador 525/13,8 kV e serviços complementares da Fase B da UG04 da UHE Itumbiara.</t>
  </si>
  <si>
    <t>0008190/2024</t>
  </si>
  <si>
    <t>Substituição de 01 transformador Elevador 525/13,8 kV e serviços complementares da Fase B da UG01 da UHE Itumbiara.</t>
  </si>
  <si>
    <t>0008191/2024</t>
  </si>
  <si>
    <t>Substituição Para-raios 500KV - COPR7-CL701 - Fase A.</t>
  </si>
  <si>
    <t>0008891/2024</t>
  </si>
  <si>
    <t>Substituição Para-raios 500KV - MCPR2-TF2 - Fase A.</t>
  </si>
  <si>
    <t>0008892/2024</t>
  </si>
  <si>
    <t>MCPR201</t>
  </si>
  <si>
    <t>Substituição de 01 transformador Elevador 525/13,8 kV e serviços complementares da Fase C da UG01 da UHE Itumbiara.</t>
  </si>
  <si>
    <t>0008193/2024</t>
  </si>
  <si>
    <t>Substituição Para-raios 500KV - MCPR7-RE1 - Fase A.</t>
  </si>
  <si>
    <t>0008893/2024</t>
  </si>
  <si>
    <t>Substituição de 01 transformador Elevador 525/13,8 kV e serviços complementares da Fase C da UG04 da UHE Itumbiara.</t>
  </si>
  <si>
    <t>0008194/2024</t>
  </si>
  <si>
    <t>Substituição de 01 transformador Elevador 525/13,8 kV e serviços complementares da Fase A da UG02 da UHE Itumbiara.</t>
  </si>
  <si>
    <t>F-U-UHITB-UG02-TRUG02</t>
  </si>
  <si>
    <t>0008195/2024</t>
  </si>
  <si>
    <t>Substituição Para-raios 500KV - MCPR7-RR - Fase R.</t>
  </si>
  <si>
    <t>TR 500/138 kV ANGRA FUR TR58 RJ</t>
  </si>
  <si>
    <t>0008894/2024</t>
  </si>
  <si>
    <t>MCPR7RR</t>
  </si>
  <si>
    <t>Substituição de 01 transformador Elevador 525/13,8 kV e serviços complementares da Fase B da UG02 da UHE Itumbiara.</t>
  </si>
  <si>
    <t>0008197/2024</t>
  </si>
  <si>
    <t>Substituição Para-raios 500KV - PDRE7-09 - Fase R - De  carboneto de silicio por oxido de zinco.</t>
  </si>
  <si>
    <t>0008896/2024</t>
  </si>
  <si>
    <t>PDRE7-09</t>
  </si>
  <si>
    <t>Substituição de Grupo Motor Gerador Diesel, 480 Vca, e cabos associados, referente aos Serviços Auxiliares da SE CURITIBA.</t>
  </si>
  <si>
    <t>0008198/2024</t>
  </si>
  <si>
    <t>Substituição de 01 transformador Elevador 525/13,8 kV e serviços complementares da Fase C da UG02 da UHE Itumbiara.</t>
  </si>
  <si>
    <t>0008199/2024</t>
  </si>
  <si>
    <t>Substituição dos Painel de Distribuição PD01, 125 Vcc e cabos associados, referentes aos Serviços Auxiliares da SE Blumenau.</t>
  </si>
  <si>
    <t>0008200/2024</t>
  </si>
  <si>
    <t>PD01</t>
  </si>
  <si>
    <t>Substituição de 01 transformador Elevador 525/13,8 kV e serviços complementares da Fase A da UG05 da UHE Itumbiara.</t>
  </si>
  <si>
    <t>F-U-UHITB-UG05-TRUG05</t>
  </si>
  <si>
    <t>0008202/2024</t>
  </si>
  <si>
    <t>Substituição de 01 transformador Elevador 525/13,8 kV e serviços complementares da Fase A da UG03 da UHE Itumbiara.</t>
  </si>
  <si>
    <t>F-U-UHITB-UG03-TRUG03</t>
  </si>
  <si>
    <t>0008204/2024</t>
  </si>
  <si>
    <t>Substituição de 01 transformador Elevador 525/13,8 kV e serviços complementares da Fase B da UG05 da UHE Itumbiara.</t>
  </si>
  <si>
    <t>0008205/2024</t>
  </si>
  <si>
    <t>Substituição de 01 transformador Elevador 525/13,8 kV e serviços complementares da Fase B da UG03 da UHE Itumbiara.</t>
  </si>
  <si>
    <t>0008207/2024</t>
  </si>
  <si>
    <t>Substituição de Retificador (Carregador de Baterias) SACC125-RET21, 125 Vcc, na SE AREIA.</t>
  </si>
  <si>
    <t>0008208/2024</t>
  </si>
  <si>
    <t>Substituição de 01 transformador Elevador 525/13,8 kV e serviços complementares da Fase C da UG05 da UHE Itumbiara.</t>
  </si>
  <si>
    <t>0008209/2024</t>
  </si>
  <si>
    <t>Substituição de 01 transformador Elevador 525/13,8 kV e serviços complementares da Fase C da UG03 da UHE Itumbiara.</t>
  </si>
  <si>
    <t>0008211/2024</t>
  </si>
  <si>
    <t>Substituição de 01 transformador Elevador 525/13,8 kV e serviços complementares da Fase A da UG06 da UHE Itumbiara.</t>
  </si>
  <si>
    <t>F-U-UHITB-UG06-TRUG06</t>
  </si>
  <si>
    <t>0008215/2024</t>
  </si>
  <si>
    <t>Substituição de isoladores de suspensão e ancoragem, incluindo ferragens SRCNLI6-02</t>
  </si>
  <si>
    <t>0008692/2024</t>
  </si>
  <si>
    <t>SRCNLI6-02</t>
  </si>
  <si>
    <t>Substituição do Transformador Auxiliar TFAX 11, 480/220/127 Vca, arranjo BS, na SE CURITIBA.</t>
  </si>
  <si>
    <t>0008220/2024</t>
  </si>
  <si>
    <t>TFAX11</t>
  </si>
  <si>
    <t>Substituição Para-raios 500KV - COPR7-CX - Fase A.</t>
  </si>
  <si>
    <t>0008897/2024</t>
  </si>
  <si>
    <t>Substituição de 01 transformador Elevador 525/13,8 kV e serviços complementares da Fase C da UG06 da UHE Itumbiara.</t>
  </si>
  <si>
    <t>0008222/2024</t>
  </si>
  <si>
    <t>Substituição de 01 transformador Elevador 525/13,8 kV e serviços complementares da Fase B da UG06 da UHE Itumbiara.</t>
  </si>
  <si>
    <t>0008223/2024</t>
  </si>
  <si>
    <t>Substituição dos Painel de Distribuição QPD1, 480 Vca, e cabos associados, referentes aos Serviços Auxiliares da SE CURITIBA.</t>
  </si>
  <si>
    <t>MG 230 kV C.I.CURITIBA MG1 PR</t>
  </si>
  <si>
    <t>0008224/2024</t>
  </si>
  <si>
    <t>Substituição de isoladores de suspensão e ancoragem, incluindo ferragens UGCNLT6-01</t>
  </si>
  <si>
    <t>LT 230 kV UTINGA /CASTANHAL C-1 PA</t>
  </si>
  <si>
    <t>0008698/2024</t>
  </si>
  <si>
    <t>UGCNLT6-01</t>
  </si>
  <si>
    <t>Substituição Fundação Grelha MRPR-LT601 - Torre: 5.</t>
  </si>
  <si>
    <t>0008569/2024</t>
  </si>
  <si>
    <t>MRPR-LT601</t>
  </si>
  <si>
    <t>Substituição de Fundações Grelha de LDMR-LT601</t>
  </si>
  <si>
    <t>0008672/2024</t>
  </si>
  <si>
    <t>Substituição Para-raios 500KV - MCPR7-RE4 - Fase A.</t>
  </si>
  <si>
    <t>RTB 500 kV 165 Mvar COLINAS RT4 TO</t>
  </si>
  <si>
    <t>0008905/2024</t>
  </si>
  <si>
    <t>COPR704</t>
  </si>
  <si>
    <t>Substituição de Retificador (Carregador de Baterias) SACC125-RET22, 125 Vcc, na SE AREIA.</t>
  </si>
  <si>
    <t>0008227/2024</t>
  </si>
  <si>
    <t>Substituição dos Painel de Distribuição QPD2, 480 Vca, e cabos associados, referentes aos Serviços Auxiliares da SE CURITIBA.</t>
  </si>
  <si>
    <t>0008228/2024</t>
  </si>
  <si>
    <t>Substituição Para-raios 500KV - COPR7-RE1 - Fase A.</t>
  </si>
  <si>
    <t>0008906/2024</t>
  </si>
  <si>
    <t>Substituição Para-raios 500KV - COPR7-RE2 - Fase A.</t>
  </si>
  <si>
    <t>0008907/2024</t>
  </si>
  <si>
    <t>Substituição Para-raios 500KV - COPR7-RR2 - Fase R.</t>
  </si>
  <si>
    <t>0008908/2024</t>
  </si>
  <si>
    <t>COPR702</t>
  </si>
  <si>
    <t>Substituição de Retificador (Carregador de Baterias) SACC125-RET21, 125 Vcc, na SE CURITIBA.</t>
  </si>
  <si>
    <t>0008235/2024</t>
  </si>
  <si>
    <t>Substituição para-raios 500KV - Do Transformador IZAT7-01 - Fase R.</t>
  </si>
  <si>
    <t>0008910/2024</t>
  </si>
  <si>
    <t>IZATR7-01</t>
  </si>
  <si>
    <t>Substituição dos Painel de Distribuição QPD3, 480 Vca, e cabos associados, referentes aos Serviços Auxiliares da SE CURITIBA.</t>
  </si>
  <si>
    <t>0008236/2024</t>
  </si>
  <si>
    <t>Substituição Para-raios 500KV - COPR7-RR1 - Fase R.</t>
  </si>
  <si>
    <t>RTL 500 kV 40 Mvar JARDIM RTR1 SE</t>
  </si>
  <si>
    <t>0008911/2024</t>
  </si>
  <si>
    <t>Substituição dos Painel de Distribuição PS125, 125 Vcc e cabos associados, referentes aos Serviços Auxiliares da SE Blumenau.</t>
  </si>
  <si>
    <t>0008239/2024</t>
  </si>
  <si>
    <t>PS125</t>
  </si>
  <si>
    <t>Substituição dos Painel de Distribuição QPD4, 480 Vca, e cabos associados, referentes aos Serviços Auxiliares da SE CURITIBA.</t>
  </si>
  <si>
    <t>0008240/2024</t>
  </si>
  <si>
    <t>Substituição de Retificador (Carregador de Baterias) SACC125-RET22, 125 Vcc, na SE CURITIBA.</t>
  </si>
  <si>
    <t>0008242/2024</t>
  </si>
  <si>
    <t>Substituição dos Painel de Distribuição QPD5, 480 Vca, e cabos associados, referentes aos Serviços Auxiliares da SE CURITIBA.</t>
  </si>
  <si>
    <t>0008244/2024</t>
  </si>
  <si>
    <t>Substituição de Retificador (Carregador de Baterias) SACC125-RET51, 125 Vcc, na SE AREIA.</t>
  </si>
  <si>
    <t>0008246/2024</t>
  </si>
  <si>
    <t>RET51</t>
  </si>
  <si>
    <t>Substituição de Retificador (Carregador de Baterias) SACC48-RET1, 48 Vcc, na SE CURITIBA.</t>
  </si>
  <si>
    <t>0008247/2024</t>
  </si>
  <si>
    <t>Substituição dos Painel de Distribuição QPD6, 480 Vca, e cabos associados, referentes aos Serviços Auxiliares da SE CURITIBA.</t>
  </si>
  <si>
    <t>0008250/2024</t>
  </si>
  <si>
    <t>Substituição de Retificador (Carregador de Baterias) SACC48-RET2, 48 Vcc, na SE CURITIBA.</t>
  </si>
  <si>
    <t>0008251/2024</t>
  </si>
  <si>
    <t>Substituição do reator de neutro CORN4-01 à óleo, por núcleo ar - Necessário desligamento da função LT 500 kV IMPERATRIZ /COLINAS C-1 MA/TO</t>
  </si>
  <si>
    <t>0008750/2024</t>
  </si>
  <si>
    <t>CORN401</t>
  </si>
  <si>
    <t>Substituição do reator de neutro MCRN4-01 à óleo, por núcleo ar - Necessário desligamento da função LT 500 kV COLINAS /MIRACEMA C-1 TO.</t>
  </si>
  <si>
    <t>0008748/2024</t>
  </si>
  <si>
    <t>MCRN401</t>
  </si>
  <si>
    <t>Substituição do reator de neutro MCRN4-02 à óleo, por núcleo ar - Necessário desligamento da função LT 500 kV GURUPI /MIRACEMA C-1 TO</t>
  </si>
  <si>
    <t>0008749/2024</t>
  </si>
  <si>
    <t>MCRN402</t>
  </si>
  <si>
    <t>Substituição dos Painel de Distribuição QPD7, 480 Vca, e cabos associados, referentes aos Serviços Auxiliares da SE CURITIBA.</t>
  </si>
  <si>
    <t>0008253/2024</t>
  </si>
  <si>
    <t>QPD7</t>
  </si>
  <si>
    <t>Compensador síncrono</t>
  </si>
  <si>
    <t>Substituição dos sistema de excitação, proteção e controle de partida e parada do compensador síncrono CS01 da SE Vítoria</t>
  </si>
  <si>
    <t>CS 60/-30 Mvar VITORIA CS1 + TR1A ES</t>
  </si>
  <si>
    <t>0008255/2024</t>
  </si>
  <si>
    <t>CS01</t>
  </si>
  <si>
    <t>Substituição do Sistema de Registro de Perturbação do vão 02T3 , na subestação BOM NOME, composto por: 01 Oscilógrafo.</t>
  </si>
  <si>
    <t>MC 69 kV TR 69/13,8 kV BOM NOME TR3A PE (32T3-8A)</t>
  </si>
  <si>
    <t>0008258/2024</t>
  </si>
  <si>
    <t>11446313</t>
  </si>
  <si>
    <t>Substituição dos sistema de excitação, proteção e controle de partida e parada do compensador síncrono CS02 da SE Vítoria</t>
  </si>
  <si>
    <t>0008261/2024</t>
  </si>
  <si>
    <t>CS02</t>
  </si>
  <si>
    <t>Substituição do Sistema de Registro de Perturbação dos vãos  03C1 e 04T3, na subestação BARREIRAS, composto por: 01 Oscilógrafo.</t>
  </si>
  <si>
    <t>0008262/2024</t>
  </si>
  <si>
    <t>11446190</t>
  </si>
  <si>
    <t>Substituição de Retificador (Carregador de Baterias) SACC125-RET52, 125 Vcc, na SE AREIA.</t>
  </si>
  <si>
    <t>0008264/2024</t>
  </si>
  <si>
    <t>RET52</t>
  </si>
  <si>
    <t>Substituição do Sistema de Registro de Perturbação do vão 04BP, na subestação C.GRANDE II, composto por: 01 Oscilógrafo.</t>
  </si>
  <si>
    <t>0008267/2024</t>
  </si>
  <si>
    <t>11446382</t>
  </si>
  <si>
    <t>Substituição do Sistema de Registro de Perturbação dos vãos 02BP1 e 02BP2, na subestação COTEGIPE, composto por: 01 Oscilógrafo.</t>
  </si>
  <si>
    <t>0008412/2024</t>
  </si>
  <si>
    <t>11446337</t>
  </si>
  <si>
    <t>Substituição Fundação Grelha MRPR-LT601 - Torre: 7.</t>
  </si>
  <si>
    <t>0008571/2024</t>
  </si>
  <si>
    <t>Substituição Fundação Grelha MRPR-LT601 - Torre: 8.</t>
  </si>
  <si>
    <t>0008572/2024</t>
  </si>
  <si>
    <t>Substituição dos Painel de Distribuição QPD1, 125 Vcc e cabos associados, referentes aos Serviços Auxiliares da SE Blumenau.</t>
  </si>
  <si>
    <t>0008270/2024</t>
  </si>
  <si>
    <t>Substituição Fundação Grelha MRPR-LT601 - Torre: 9.</t>
  </si>
  <si>
    <t>0008575/2024</t>
  </si>
  <si>
    <t>Substituição do reator de neutro CORN4-02 à óleo, por núcleo ar - Necessário desligamento da função LT 500 kV IMPERATRIZ /COLINAS C-1 MA/TO.</t>
  </si>
  <si>
    <t>0008751/2024</t>
  </si>
  <si>
    <t>CORN402</t>
  </si>
  <si>
    <t>Substituição de Retificador (Carregador de Baterias) SACC48-RET1, 48 Vcc, na SE AREIA.</t>
  </si>
  <si>
    <t>0008271/2024</t>
  </si>
  <si>
    <t>Substituição do reator de neutro PDRE4-02 à óleo, por núcleo ar - Necessário desligamento da função LT 500 kV SANTO A. DOS LOPES /P.DUTRA C-1 MA.</t>
  </si>
  <si>
    <t>0008754/2024</t>
  </si>
  <si>
    <t>PDRE702</t>
  </si>
  <si>
    <t>Substituição dos Painel de Distribuição QPD2, 125 Vcc e cabos associados, referentes aos Serviços Auxiliares da SE Blumenau.</t>
  </si>
  <si>
    <t>0008275/2024</t>
  </si>
  <si>
    <t>Substituição de Retificador (Carregador de Baterias) SACC48-RET2, 48 Vcc, na SE AREIA.</t>
  </si>
  <si>
    <t>0008276/2024</t>
  </si>
  <si>
    <t>Substituição do Painel de Distribuição QD3, 125 Vcc, e cabos associados, referentes aos Serviços Auxiliares da SE AREIA.</t>
  </si>
  <si>
    <t>MG 230 kV AREIA MG1 PR</t>
  </si>
  <si>
    <t>0008278/2024</t>
  </si>
  <si>
    <t>Substituição dos Painel de Distribuição QPD7, 125 Vcc e cabos associados, referentes aos Serviços Auxiliares da SE Blumenau.</t>
  </si>
  <si>
    <t>0008279/2024</t>
  </si>
  <si>
    <t>Substituição do Painel de Distribuição QPD7, 480 Vca, e cabos associados, referentes aos Serviços Auxiliares da SE AREIA.</t>
  </si>
  <si>
    <t>0008280/2024</t>
  </si>
  <si>
    <t>Substituição do Painel de Distribuição QPD1, 125 Vcc, e cabos associados, referentes aos Serviços Auxiliares da SE AREIA.</t>
  </si>
  <si>
    <t>0008282/2024</t>
  </si>
  <si>
    <t>Substituição dos Painel de Distribuição QPD8, 125 Vcc e cabos associados, referentes aos Serviços Auxiliares da SE Blumenau.</t>
  </si>
  <si>
    <t>0008285/2024</t>
  </si>
  <si>
    <t>QPD8</t>
  </si>
  <si>
    <t>Substituição Fundação Grelha MRPR-LT601 - Torre: 10.</t>
  </si>
  <si>
    <t>0008582/2024</t>
  </si>
  <si>
    <t>Substituição do Painel de Distribuição QPD2, 125 Vcc, e cabos associados, referentes aos Serviços Auxiliares da SE AREIA.</t>
  </si>
  <si>
    <t>0008284/2024</t>
  </si>
  <si>
    <t>Substituição de Transformador de Potencial Capacitivo 230 kV, referente a EL da LT Charqueadas - Santa Cruz C-1, Fase C. Associado à obra são esperadas substituições/adaptações de fundações, suportes, caixa de junção, cabos de controle/potência, barramento, conectores e conexão de aterramento</t>
  </si>
  <si>
    <t>0008286/2024</t>
  </si>
  <si>
    <t>Substituição dos Painéis de Distribuição QPD1, 48 Vcc, e cabos associados, referentes aos Serviços Auxiliares da SE AREIA.</t>
  </si>
  <si>
    <t>0008288/2024</t>
  </si>
  <si>
    <t>Substituição Fundação Grelha MRPR-LT601 - Torre: 11.</t>
  </si>
  <si>
    <t>0008583/2024</t>
  </si>
  <si>
    <t>Substituição dos Painéis de Distribuição QPD2, 48 Vcc, e cabos associados, referentes aos Serviços Auxiliares da SE AREIA.</t>
  </si>
  <si>
    <t>0008289/2024</t>
  </si>
  <si>
    <t>Substituição do Painel de Distribuição QPD1, 220 Vca, e cabos associados, referente aos Serviços Auxiliares da SE AREIA.</t>
  </si>
  <si>
    <t>0008291/2024</t>
  </si>
  <si>
    <t>Substituição dos Painel de Distribuição QPD18, 48 Vcc e cabos associados, referentes aos Serviços Auxiliares da SE Blumenau.</t>
  </si>
  <si>
    <t>0008292/2024</t>
  </si>
  <si>
    <t>QPD18</t>
  </si>
  <si>
    <t>Substituição do Sistema de Registro de Perturbação do vão 04BP, na subestação G.MANGABEIRA, composto por: 01 Oscilógrafo.</t>
  </si>
  <si>
    <t>0008293/2024</t>
  </si>
  <si>
    <t>11449327</t>
  </si>
  <si>
    <t>Substituição dos Painéis de Distribuição QPD3, 48 Vcc, e cabos associados, referentes aos Serviços Auxiliares da SE AREIA.</t>
  </si>
  <si>
    <t>0008294/2024</t>
  </si>
  <si>
    <t>Substituição do Sistema de Registro de Perturbação dos vãos 05T2 e 05T3, na subestação MESSIAS, composto por: 01 Oscilógrafo.</t>
  </si>
  <si>
    <t>0008411/2024</t>
  </si>
  <si>
    <t>11446212</t>
  </si>
  <si>
    <t>Substituição dos Painel de Distribuição QPD19, 48 Vcc e cabos associados, referentes aos Serviços Auxiliares da SE Blumenau.</t>
  </si>
  <si>
    <t>0008295/2024</t>
  </si>
  <si>
    <t>QPD19</t>
  </si>
  <si>
    <t>Substituição do Painel de Distribuição QD1, 125 Vcc, e cabos associados, referentes aos Serviços Auxiliares da SE AREIA.</t>
  </si>
  <si>
    <t>0008296/2024</t>
  </si>
  <si>
    <t>Substituição do Sistema de Registro de Perturbação dos vãos 02M1 e 02V1, na subestação MOXOTO, composto por: 01 Oscilógrafo.</t>
  </si>
  <si>
    <t>MG 69 kV MOXOTO MG1 BA</t>
  </si>
  <si>
    <t>0008297/2024</t>
  </si>
  <si>
    <t>11446305</t>
  </si>
  <si>
    <t>Substituição dos Painel de Distribuição QPD5, 440 Vca e cabos associados, referentes aos Serviços Auxiliares da SE Blumenau.</t>
  </si>
  <si>
    <t>0008300/2024</t>
  </si>
  <si>
    <t>Substituição do Sistema de Registro de Perturbação do vão 04BP, na subestação PIRAPAMA II, composto por: 01 Oscilógrafo.</t>
  </si>
  <si>
    <t>0008298/2024</t>
  </si>
  <si>
    <t>11446234</t>
  </si>
  <si>
    <t>Substituição dos Painel de Distribuição QPD20, 48 Vcc e cabos associados, referentes aos Serviços Auxiliares da SE Blumenau.</t>
  </si>
  <si>
    <t>0008299/2024</t>
  </si>
  <si>
    <t>QPD20</t>
  </si>
  <si>
    <t>Substituição do Painel de Distribuição QD2, 125 Vcc, e cabos associados, referentes aos Serviços Auxiliares da SE AREIA.</t>
  </si>
  <si>
    <t>0008301/2024</t>
  </si>
  <si>
    <t>Substituição do Sistema de Registro de Perturbação dos vãos 05V7 e 05E2, na subestação SOBRAL III, composto por: 01 Oscilógrafo.</t>
  </si>
  <si>
    <t>0008302/2024</t>
  </si>
  <si>
    <t>11446263</t>
  </si>
  <si>
    <t>Substituição dos Painel de Distribuição QPD10, 480 Vca e cabos associados, referentes aos Serviços Auxiliares da SE Blumenau.</t>
  </si>
  <si>
    <t>0008303/2024</t>
  </si>
  <si>
    <t>QPD10</t>
  </si>
  <si>
    <t>ALEX</t>
  </si>
  <si>
    <t>Substituição do Sistema de Registro de Perturbação associado ao vão de Entrada de Linha  04C5 (LT 230 kV BANABUIU /ALEX C-1), na subestação ALEX, composto por: 01 Oscilógrafo e infraestrutura de comunicação associada.</t>
  </si>
  <si>
    <t>0008305/2024</t>
  </si>
  <si>
    <t>12389804</t>
  </si>
  <si>
    <t>Substituição dos Painel de Distribuição QPD4, 440 Vca e cabos associados, referentes aos Serviços Auxiliares da SE Blumenau.</t>
  </si>
  <si>
    <t>0008306/2024</t>
  </si>
  <si>
    <t>Substituição dos Painel de Distribuição QPD3, 440 Vca e cabos associados, referentes aos Serviços Auxiliares da SE Blumenau.</t>
  </si>
  <si>
    <t>0008308/2024</t>
  </si>
  <si>
    <t>Substituição Fundação Grelha MRPR-LT601 - Torre: 12.</t>
  </si>
  <si>
    <t>0008585/2024</t>
  </si>
  <si>
    <t>Substituição dos Painel de Distribuição QPD12, 480 Vca e cabos associados, referentes aos Serviços Auxiliares da SE Blumenau.</t>
  </si>
  <si>
    <t>0008310/2024</t>
  </si>
  <si>
    <t>QPD12</t>
  </si>
  <si>
    <t>Substituição dos Painel de Distribuição QPD15, 480 Vca e cabos associados, referentes aos Serviços Auxiliares da SE Blumenau.</t>
  </si>
  <si>
    <t>0008311/2024</t>
  </si>
  <si>
    <t>QPD15</t>
  </si>
  <si>
    <t>Substituição dos Painel de Distribuição QPD14, 480 Vca e cabos associados, referentes aos Serviços Auxiliares da SE Blumenau.</t>
  </si>
  <si>
    <t>0008312/2024</t>
  </si>
  <si>
    <t>QPD14</t>
  </si>
  <si>
    <t>Substituição dos Painel de Distribuição QPD11, 480 Vca e cabos associados, referentes aos Serviços Auxiliares da SE Blumenau.</t>
  </si>
  <si>
    <t>0008313/2024</t>
  </si>
  <si>
    <t>QPD11</t>
  </si>
  <si>
    <t>Substituição dos Painel de Distribuição QPD13, 480 Vca e cabos associados, referentes aos Serviços Auxiliares da SE Blumenau.</t>
  </si>
  <si>
    <t>0008314/2024</t>
  </si>
  <si>
    <t>QPD13</t>
  </si>
  <si>
    <t>Troca de 30 cadeias de isoladores ao longo da LT.</t>
  </si>
  <si>
    <t>0008331/2024</t>
  </si>
  <si>
    <t>GUPMIC1</t>
  </si>
  <si>
    <t>Substituição Fundação Grelha MRPR-LT601 - Torre: 15.</t>
  </si>
  <si>
    <t>0008586/2024</t>
  </si>
  <si>
    <t>Substituição Fundação Grelha MRPR-LT601 - Torre: 16.</t>
  </si>
  <si>
    <t>0008587/2024</t>
  </si>
  <si>
    <t>Substituição Fundação Grelha MRPR-LT601 - Torre: 17.</t>
  </si>
  <si>
    <t>0008591/2024</t>
  </si>
  <si>
    <t>Substituição Fundação Grelha MRPR-LT601 - Torre: 18.</t>
  </si>
  <si>
    <t>0008592/2024</t>
  </si>
  <si>
    <t>Substituição Fundação Grelha MRPR-LT601 - Torre: 19.</t>
  </si>
  <si>
    <t>0008594/2024</t>
  </si>
  <si>
    <t>Troca de 3 cadeias de isoladores ao longo da LT.</t>
  </si>
  <si>
    <t>0008345/2024</t>
  </si>
  <si>
    <t>BSLALI</t>
  </si>
  <si>
    <t>Substituição Fundação Grelha MRPR-LT601 - Torre: 56.</t>
  </si>
  <si>
    <t>0008595/2024</t>
  </si>
  <si>
    <t>Substituição Fundação Grelha MRPR-LT601 - Torre: 58.</t>
  </si>
  <si>
    <t>0008596/2024</t>
  </si>
  <si>
    <t>Troca de 5 cadeias de isoladores ao longo da LT.</t>
  </si>
  <si>
    <t>0008353/2024</t>
  </si>
  <si>
    <t>BTOALI</t>
  </si>
  <si>
    <t>Substituição Fundação Grelha MRPR-LT601 - Torre: 59.</t>
  </si>
  <si>
    <t>0008598/2024</t>
  </si>
  <si>
    <t>Substituição Fundação Grelha MRPR-LT601 - Torre: 68.</t>
  </si>
  <si>
    <t>0008599/2024</t>
  </si>
  <si>
    <t>Substituição Fundação Grelha MRPR-LT601 - Torre: 78.</t>
  </si>
  <si>
    <t>0008602/2024</t>
  </si>
  <si>
    <t>Substituição Fundação Grelha MRPR-LT601 - Torre: 32.</t>
  </si>
  <si>
    <t>0008603/2024</t>
  </si>
  <si>
    <t>Substituição Fundação Grelha MRPR-LT601 - Torre: 37.</t>
  </si>
  <si>
    <t>0008605/2024</t>
  </si>
  <si>
    <t>Substituição Fundação Grelha MRPR-LT601 - Torre: 47.</t>
  </si>
  <si>
    <t>0008611/2024</t>
  </si>
  <si>
    <t>Substituição Fundação Grelha MRPR-LT601 - Torre: 51.</t>
  </si>
  <si>
    <t>0008612/2024</t>
  </si>
  <si>
    <t>Substituição Fundação Grelha MRPR-LT601 - Torre: 53.</t>
  </si>
  <si>
    <t>0008613/2024</t>
  </si>
  <si>
    <t>Substituição Fundação Grelha MRPR-LT601 - Torre: 20.</t>
  </si>
  <si>
    <t>0008614/2024</t>
  </si>
  <si>
    <t>Substituição Fundação Grelha MRPR-LT601 - Torre: 22.</t>
  </si>
  <si>
    <t>0008617/2024</t>
  </si>
  <si>
    <t>Substituição Fundação Grelha MRPR-LT601 - Torre: 23.</t>
  </si>
  <si>
    <t>0008620/2024</t>
  </si>
  <si>
    <t>Substituição Fundação Grelha MRPR-LT601 - Torre: 27.</t>
  </si>
  <si>
    <t>0008623/2024</t>
  </si>
  <si>
    <t>Substituição Fundação Grelha MRPR-LT601 - Torre: 30.</t>
  </si>
  <si>
    <t>0008624/2024</t>
  </si>
  <si>
    <t>Substituição Fundação Grelha MRPR-LT601 - Torre: 31.</t>
  </si>
  <si>
    <t>0008625/2024</t>
  </si>
  <si>
    <t>Substituição Fundação Grelha MRPR-LT601 - Torre: 86.</t>
  </si>
  <si>
    <t>0008626/2024</t>
  </si>
  <si>
    <t>Substituição Fundação Grelha MRPR-LT601 - Torre: 90.</t>
  </si>
  <si>
    <t>0008633/2024</t>
  </si>
  <si>
    <t>Substituição Fundação Grelha MRPR-LT601 - Torre: 100.</t>
  </si>
  <si>
    <t>0008634/2024</t>
  </si>
  <si>
    <t>Substituição Fundação Grelha MRPR-LT601 - Torre: 134.</t>
  </si>
  <si>
    <t>0008636/2024</t>
  </si>
  <si>
    <t>Substituição Fundação Grelha MRPR-LT601 - Torre: 135.</t>
  </si>
  <si>
    <t>0008637/2024</t>
  </si>
  <si>
    <t>Substituição Fundação Grelha MRPR-LT601 - Torre: 85.</t>
  </si>
  <si>
    <t>0008639/2024</t>
  </si>
  <si>
    <t>Substituição Fundação Grelha MRPR-LT601 - Torre: 145.</t>
  </si>
  <si>
    <t>0008644/2024</t>
  </si>
  <si>
    <t>Substituição Fundação Grelha MRPR-LT601 - Torre: 139.</t>
  </si>
  <si>
    <t>0008646/2024</t>
  </si>
  <si>
    <t>Substituição de 01 (um) sistema de monitoramento do Transformador de Força 230kV posição operacional 04T7 da subestação TSA</t>
  </si>
  <si>
    <t>TR 230/69 kV TERESINA TRX PI</t>
  </si>
  <si>
    <t>0008359/2024</t>
  </si>
  <si>
    <t>12627618</t>
  </si>
  <si>
    <t>LT 500kV IMPERATRIZ / PRESIDENTE DUTRA-C1</t>
  </si>
  <si>
    <t>Substituição 6 Fundações Grelha IZPD-LT701 - Torre: 96.</t>
  </si>
  <si>
    <t>0008647/2024</t>
  </si>
  <si>
    <t>IZPDLT701</t>
  </si>
  <si>
    <t>Substituição de 01 (um) sistema de monitoramento do Transformador de Força 230kV posição operacional 04T3 da subestação PIC</t>
  </si>
  <si>
    <t>TR 230/69 kV PICOS TR3 PI</t>
  </si>
  <si>
    <t>0008360/2024</t>
  </si>
  <si>
    <t>12627619</t>
  </si>
  <si>
    <t>Substituição de 01 (um) sistema de monitoramento do Transformador de Força 230kV posição operacional 04T1 da subestação PRI</t>
  </si>
  <si>
    <t>0008362/2024</t>
  </si>
  <si>
    <t>12627620</t>
  </si>
  <si>
    <t>Substituição de 01 (um) sistema de monitoramento do Reator 230kV posição operacional 04E1 da subestação PIC</t>
  </si>
  <si>
    <t>0008364/2024</t>
  </si>
  <si>
    <t>12627621</t>
  </si>
  <si>
    <t>LT 230 kV PIRINEUS /XAVANTES C-1 GO</t>
  </si>
  <si>
    <t>Substituição de 4 esferas ao longo da LT</t>
  </si>
  <si>
    <t>0008365/2024</t>
  </si>
  <si>
    <t>PRSXAV1</t>
  </si>
  <si>
    <t>Substituição 6 Fundações Grelha IZPD-LT701 - Torre: 168.</t>
  </si>
  <si>
    <t>0008648/2024</t>
  </si>
  <si>
    <t>Substituição de 01 (um) sistema de monitoramento do Transformador de Força 230kV posição operacional 04T5 da subestação PRI</t>
  </si>
  <si>
    <t>TR 230/138 kV PIRIPIRI TR5 PI</t>
  </si>
  <si>
    <t>0008367/2024</t>
  </si>
  <si>
    <t>12627622</t>
  </si>
  <si>
    <t>LT 345 kV BRAS. SUL /SAMAMBAIA C-2 DF</t>
  </si>
  <si>
    <t>0008368/2024</t>
  </si>
  <si>
    <t>BSLSBA2</t>
  </si>
  <si>
    <t>Substituição de 01 (um) sistema de monitoramento do Transformador de Força 500kV posição operacional 05T2.B da subestação TSD</t>
  </si>
  <si>
    <t>0008369/2024</t>
  </si>
  <si>
    <t>12627624</t>
  </si>
  <si>
    <t>Substituição de 01 (um) sistema de monitoramento do Reator 500kV posição operacional 05ER-2.M da subestação TSD</t>
  </si>
  <si>
    <t>RTL 500 kV 60 Mvar TERESINA II RTR1 PI</t>
  </si>
  <si>
    <t>0008371/2024</t>
  </si>
  <si>
    <t>12627625</t>
  </si>
  <si>
    <t>LT MIRANDA-PERITORÓ, C1</t>
  </si>
  <si>
    <t>Substituição Fundação Grelha MRPR-LT601 - Torre: 55.</t>
  </si>
  <si>
    <t>0008663/2024</t>
  </si>
  <si>
    <t>LT 345 kV BRAS. SUL /SAMAMBAIA C-1 DF</t>
  </si>
  <si>
    <t>Troca de 2 cadeias de isoladores ao longo da LT</t>
  </si>
  <si>
    <t>0008372/2024</t>
  </si>
  <si>
    <t>BSLSBA1</t>
  </si>
  <si>
    <t>Substituição de 01 (um) sistema de monitoramento do Reator 500kV posição operacional 05E3.C da subestação TSD</t>
  </si>
  <si>
    <t>0008373/2024</t>
  </si>
  <si>
    <t>12627626</t>
  </si>
  <si>
    <t>Substituição 6 Fundações Grelha IZPD-LT701 - Torre: 175.</t>
  </si>
  <si>
    <t>0008649/2024</t>
  </si>
  <si>
    <t>Substituição 6 Fundações Grelha IZPD-LT701 - Torre: 182.</t>
  </si>
  <si>
    <t>0008652/2024</t>
  </si>
  <si>
    <t>Substituição 6 Fundações Grelha IZPD-LT701 - Torre: 197.</t>
  </si>
  <si>
    <t>0008653/2024</t>
  </si>
  <si>
    <t>Substituição 6 Fundações Grelha IZPD-LT701 - Torre: 217.</t>
  </si>
  <si>
    <t>0008654/2024</t>
  </si>
  <si>
    <t>Substituição de 01 (um) sistema de monitoramento do Transformador de Força 230 kV posição operacional 04T2 da Subestação ENP</t>
  </si>
  <si>
    <t>0008376/2024</t>
  </si>
  <si>
    <t>12656901</t>
  </si>
  <si>
    <t>Substituição 6 Fundações Grelha IZPD-LT701 - Torre: 275.</t>
  </si>
  <si>
    <t>0008656/2024</t>
  </si>
  <si>
    <t>Substituição de 7 esferas ao longo da LT.</t>
  </si>
  <si>
    <t>0008377/2024</t>
  </si>
  <si>
    <t>BSLPRS</t>
  </si>
  <si>
    <t>Substituição de 01 (um) sistema de monitoramento do Transformador de Força 230 kV  posição operacional 04T2 da Subestação ICA</t>
  </si>
  <si>
    <t>0008378/2024</t>
  </si>
  <si>
    <t>11348275</t>
  </si>
  <si>
    <t>Substituição SPCS(cadeia alternada), Instrumentação (Um monitor de variáveis (temperatura, pressão etc)) e Sistema de Regulação de velocidade e de tensão do Compensador Síncrono 02 da SE Vila do Conde (VCSPR02 (CS202) (Alternada))</t>
  </si>
  <si>
    <t>0008769/2024</t>
  </si>
  <si>
    <t>VCSPR01</t>
  </si>
  <si>
    <t>Substituição SPCS(cadeia principal), Instrumentação (Um monitor de variáveis (temperatura, pressão etc)) e Sistema de Regulação de velocidade e de tensão do Compensador Síncrono 01 da SE Vila do Conde (VCSPR01 (CS201) (principal))</t>
  </si>
  <si>
    <t>CS 150/-90 MVAr VILA DO CONDE CS1 PA</t>
  </si>
  <si>
    <t>0008770/2024</t>
  </si>
  <si>
    <t>Substituição de 01 (um) sistema de monitoramento do Transformador de Força 230 kV posição operacional 04T4 da Subestação ENP</t>
  </si>
  <si>
    <t>0008380/2024</t>
  </si>
  <si>
    <t>11348276</t>
  </si>
  <si>
    <t>Substituição SPCS(cadeia alternada), Instrumentação (Um monitor de variáveis (temperatura, pressão etc)) e Sistema de Regulação de velocidade e de tensão do Compensador Síncrono 01 da SE Vila do Conde (VCSPR02 (CS201) (Alternada))</t>
  </si>
  <si>
    <t>0008771/2024</t>
  </si>
  <si>
    <t>VCSPR02</t>
  </si>
  <si>
    <t>Substituição SPCS(cadeia principal), Instrumentação (Um monitor de variáveis (temperatura, pressão etc)) e Sistema de Regulação de velocidade e de tensão do Compensador Síncrono 02 da SE Vila do Conde (VCSPR01 (CS202) (principal))</t>
  </si>
  <si>
    <t>0008773/2024</t>
  </si>
  <si>
    <t>Substituição da bucha de neutro fase B do IZRE7-04 - Necessário desligamento da função LT 500 kV IMPERATRIZ /P.DUTRA C-2 MA.</t>
  </si>
  <si>
    <t>0008746/2024</t>
  </si>
  <si>
    <t>IZRR714</t>
  </si>
  <si>
    <t>LT 500 kV IBIUNA /ITATIBA C-1 SP</t>
  </si>
  <si>
    <t>Substituição de 12 esferas de sinalização em atendimento a legislação pertinente.</t>
  </si>
  <si>
    <t>0008385/2024</t>
  </si>
  <si>
    <t>IBNTBA</t>
  </si>
  <si>
    <t>Substituição de Buchas, Vedação, Painel de instrumentação/ventilação, Válvulas, Indicador de nivel de óleo, Relés de Gás e Bolsa de expansão, Etc, do Reator MCRE7-01 Fase R.</t>
  </si>
  <si>
    <t>0008742/2024</t>
  </si>
  <si>
    <t>MCRE701</t>
  </si>
  <si>
    <t>Substituição de Buchas, Vedação, Painel de instrumentação/ventilação, Válvulas, Indicador de nivel de óleo, Relés de Gás e Bolsa de expansão, Etc, do Reator MCRE7-01 Fase A.</t>
  </si>
  <si>
    <t>0008743/2024</t>
  </si>
  <si>
    <t>LT 345 kV ESTREITO/M. MORAES C-1 MG</t>
  </si>
  <si>
    <t>Substituição de 4 cadeias de isoladores completas ao longo da LT 345 kV ESTREITO/M. MORAES C-1.</t>
  </si>
  <si>
    <t>0008386/2024</t>
  </si>
  <si>
    <t>MMOEST</t>
  </si>
  <si>
    <t>Substituição de 4 cadeias de isoladores completas ao longo da LT 345 kV FURNAS/POCOS CALDAS C-2.</t>
  </si>
  <si>
    <t>0008387/2024</t>
  </si>
  <si>
    <t>FURPCA2</t>
  </si>
  <si>
    <t>750</t>
  </si>
  <si>
    <t>Substituição de 30 Esferas de Sinalização.</t>
  </si>
  <si>
    <t>0008388/2024</t>
  </si>
  <si>
    <t>IABIVP1</t>
  </si>
  <si>
    <t>Substituição de Buchas, Vedação, Painel de instrumentação/ventilação, Válvulas, Indicador de nivel de óleo, Relés de Gás e Bolsa de expansão, Etc, do Reator MCRE7-01 Fase B.</t>
  </si>
  <si>
    <t>0008744/2024</t>
  </si>
  <si>
    <t>Substituição de Buchas, Vedação, Painel de instrumentação/ventilação, Válvulas, Indicador de nivel de óleo, Relés de Gás e Bolsa de expansão, Etc, do Reator MCRE7-01 Fase V.</t>
  </si>
  <si>
    <t>0008745/2024</t>
  </si>
  <si>
    <t>Substituição de Buchas, Vedação, Painel de instrumentação/ventilação, Válvulas, Indicador de nivel de óleo, Relés de Gás e Bolsa de expansão, Etc, do Reator MCRE7-02 Fase R.</t>
  </si>
  <si>
    <t>0008738/2024</t>
  </si>
  <si>
    <t>MCRE702</t>
  </si>
  <si>
    <t>Substituição completa de 340 pencas de isoladores (equivalente a 41 cadeias) da LT 750 kV ITABERA /IVAIPORA C-2</t>
  </si>
  <si>
    <t>0008389/2024</t>
  </si>
  <si>
    <t>IABIVP2</t>
  </si>
  <si>
    <t>Substituição de Buchas, Vedação, Painel de instrumentação/ventilação, Válvulas, Indicador de nivel de óleo, Relés de Gás e Bolsa de expansão, Etc, do Reator MCRE7-02 Fase A.</t>
  </si>
  <si>
    <t>0008737/2024</t>
  </si>
  <si>
    <t>LT 345 kV FURNAS/POCOS CALDAS C-1 MG</t>
  </si>
  <si>
    <t>Substituição de 5 cadeias de isoladores completas ao longo da LT 345 kV FURNAS/POCOS CALDAS C-1.</t>
  </si>
  <si>
    <t>0008390/2024</t>
  </si>
  <si>
    <t>FURPCA1</t>
  </si>
  <si>
    <t>Substituição de Buchas, Vedação, Painel de instrumentação/ventilação, Válvulas, Indicador de nivel de óleo, Relés de Gás e Bolsa de expansão, Etc, do Reator MCRE7-02 Fase B.</t>
  </si>
  <si>
    <t>0008736/2024</t>
  </si>
  <si>
    <t>Substituição de Buchas, Vedação, Painel de instrumentação/ventilação, Válvulas, Indicador de nivel de óleo, Relés de Gás e Bolsa de expansão, Etc, do Reator MCRE7-02 Fase V.</t>
  </si>
  <si>
    <t>0008735/2024</t>
  </si>
  <si>
    <t>Substituição de Buchas, Vedação, Painel de instrumentação/ventilação, Válvulas, Indicador de nivel de óleo, Relés de Gás e Bolsa de expansão, Etc, do Reator MCRE7-03 Fase A.</t>
  </si>
  <si>
    <t>0008739/2024</t>
  </si>
  <si>
    <t>MCRE703</t>
  </si>
  <si>
    <t>Substituição de Buchas, Vedação, Painel de instrumentação/ventilação, Válvulas, Indicador de nivel de óleo, Relés de Gás e Bolsa de expansão, Etc, do Reator MCRE7-03 Fase B.</t>
  </si>
  <si>
    <t>0008740/2024</t>
  </si>
  <si>
    <t>Substituição de Buchas, Vedação, Painel de instrumentação/ventilação, Válvulas, Indicador de nivel de óleo, Relés de Gás e Bolsa de expansão, Etc, do Reator MCRE7-03 Fase V.</t>
  </si>
  <si>
    <t>0008741/2024</t>
  </si>
  <si>
    <t>LT 345 kV FURNAS/ITUTINGA C-1 MG</t>
  </si>
  <si>
    <t>Substituição de 2 cadeias de isoladores completas ao longo da LT 345 kV FURNAS/ITUTINGA C-1.</t>
  </si>
  <si>
    <t>0008391/2024</t>
  </si>
  <si>
    <t>FURITU1</t>
  </si>
  <si>
    <t>LT 345 kV VARGINHA 4/ITUTINGA C-1 MG</t>
  </si>
  <si>
    <t>Substituição de 1 cadeias de isoladores completas ao longo da LT 345 kV VARGINHA 4/ITUTINGA C-1.</t>
  </si>
  <si>
    <t>0008392/2024</t>
  </si>
  <si>
    <t>ITUVGA</t>
  </si>
  <si>
    <t>LT 345 kV GUARULHOS/POCOS CALDAS C-1 SP/MG</t>
  </si>
  <si>
    <t>Substituição de 4 cadeias de isoladores completas ao longo da LT 345 kV GUARULHOS/POCOS CALDAS C-1.</t>
  </si>
  <si>
    <t>0008393/2024</t>
  </si>
  <si>
    <t>GARPCA1</t>
  </si>
  <si>
    <t>LT 345 kV GUARULHOS/POCOS CALDAS C-2 SP/MG</t>
  </si>
  <si>
    <t>Substituição de 3 cadeias de isoladores completas ao longo da LT 345 kV GUARULHOS/POCOS CALDAS C-2.</t>
  </si>
  <si>
    <t>0008394/2024</t>
  </si>
  <si>
    <t>GARPCA2</t>
  </si>
  <si>
    <t>LT 345 kV L.C.BARRETO/POCOS CALDAS C-1 SP/MG</t>
  </si>
  <si>
    <t>Substituição de 3 cadeias de isoladores completas ao longo da LT 345 kV L.C.BARRETO/POCOS CALDAS C-1.</t>
  </si>
  <si>
    <t>0008395/2024</t>
  </si>
  <si>
    <t>LBAPCA1</t>
  </si>
  <si>
    <t>LT 345 kV L.C.BARRETO/POCOS CALDAS C-2 SP/MG</t>
  </si>
  <si>
    <t>Substituição de 4 cadeias de isoladores completas ao longo da LT 345 kV L.C.BARRETO/POCOS CALDAS C-2 .</t>
  </si>
  <si>
    <t>0008396/2024</t>
  </si>
  <si>
    <t>LBAPCA2</t>
  </si>
  <si>
    <t>LT 345 kV ADRIANOPOLIS/ITUTINGA C-2 RJ/MG</t>
  </si>
  <si>
    <t>Substituição de 2 cadeias de isoladores completas ao longo da LT 345 kV ADRIANOPOLIS/ITUTINGA C-2.</t>
  </si>
  <si>
    <t>0008397/2024</t>
  </si>
  <si>
    <t>ADRITU2</t>
  </si>
  <si>
    <t>LT 345 kV ATIBAIA 2/POCOS CALDAS C-1 SP/MG</t>
  </si>
  <si>
    <t>Substituição de 2 cadeias de isoladores completas ao longo da LT 345 kV ATIBAIA 2/POCOS CALDAS C-1.</t>
  </si>
  <si>
    <t>0008398/2024</t>
  </si>
  <si>
    <t>PCAABA</t>
  </si>
  <si>
    <t>Substituição de 01 (um) sistema de monitoramento do Reator 500kV posição operacional 05E2.B da subestação SBT</t>
  </si>
  <si>
    <t>0008400/2024</t>
  </si>
  <si>
    <t>11344094</t>
  </si>
  <si>
    <t>LT 138 kV IRIRI/ROCHA LEAO C-1 RJ</t>
  </si>
  <si>
    <t>Substituição de 08 cadeias de isoladores completas ao longo da LT.</t>
  </si>
  <si>
    <t>0008401/2024</t>
  </si>
  <si>
    <t>Substituição de 01 (um) sistema de monitoramento do Reator 500kV posição operacional 05E2.C da subestação SBT</t>
  </si>
  <si>
    <t>0008402/2024</t>
  </si>
  <si>
    <t>11344095</t>
  </si>
  <si>
    <t>0008403/2024</t>
  </si>
  <si>
    <t>IABTPR2</t>
  </si>
  <si>
    <t>0008404/2024</t>
  </si>
  <si>
    <t>Substituição de 01 (um) sistema de monitoramento do Reator 500kV posição operacional 05ER da subestação SBT</t>
  </si>
  <si>
    <t>RTL 500 kV 60 Mvar SOBRAL III RTR1 CE</t>
  </si>
  <si>
    <t>0008405/2024</t>
  </si>
  <si>
    <t>11344096</t>
  </si>
  <si>
    <t>Substituição de 01 (um) sistema de monitoramento do Reator 230kV posição operacional 04E1 fase B da Subestação NTD.</t>
  </si>
  <si>
    <t>0008406/2024</t>
  </si>
  <si>
    <t>11344116</t>
  </si>
  <si>
    <t>Substituição de 30 cadeias de isoladores completas ao longo da LT.</t>
  </si>
  <si>
    <t>0008408/2024</t>
  </si>
  <si>
    <t>LT 345 kV CAMPOS/MACAE MERCHAN C-1 RJ</t>
  </si>
  <si>
    <t>Substituição de 100 cadeias de isoladores completas ao longo da LT.</t>
  </si>
  <si>
    <t>0008409/2024</t>
  </si>
  <si>
    <t>Substituição de alambrado banco de capacitores (100m) 02H1, na subestação GOIANINHA, composto por: Remoção do alambrado existente, implantação de novo alambrado do perímetro do banco e de novo portão de acesso.</t>
  </si>
  <si>
    <t>BC 69 kV 21,3 Mvar GOIANINHA BC1 PE (02H1)</t>
  </si>
  <si>
    <t>0008410/2024</t>
  </si>
  <si>
    <t>12658410</t>
  </si>
  <si>
    <t>Substituição de alambrado banco de capacitores 02H1 (75m), na subestação MIRUEIRA, composto por: Remoção do alambrado existente, implantação de novo alambrado do perímetro do banco e de novo portão de acesso.</t>
  </si>
  <si>
    <t>BC 69 kV 20,3 Mvar MIRUEIRA BC1 PE (02H1)</t>
  </si>
  <si>
    <t>0008413/2024</t>
  </si>
  <si>
    <t>12658412</t>
  </si>
  <si>
    <t>Substituição da pavimentação dos bancos de capacitores 04H2 230 kV (250m² ), na subestação RECIFE II.</t>
  </si>
  <si>
    <t>BC 230 kV 50,5 Mvar RECIFE II BC2 PE</t>
  </si>
  <si>
    <t>0008485/2024</t>
  </si>
  <si>
    <t>12658423</t>
  </si>
  <si>
    <t>Substituição de 01 (um) relé de fluxo para comutador da posição operacional 05T4-B da Subestação IGT</t>
  </si>
  <si>
    <t>0008424/2024</t>
  </si>
  <si>
    <t>12627617</t>
  </si>
  <si>
    <t>Substituição de 01 (um) disjuntor de 230 KV, posição operacional 14D1 da Subestação PRD</t>
  </si>
  <si>
    <t>0008425/2024</t>
  </si>
  <si>
    <t>Substituição de 01 (um) TP  posição operacional 85C1.C da Subestação PAQ</t>
  </si>
  <si>
    <t>0008426/2024</t>
  </si>
  <si>
    <t>85C1.C</t>
  </si>
  <si>
    <t>Substituição de 01 (uma) Seccionadora 69 KV posição operacional 32J6-6 da Subestação MSD</t>
  </si>
  <si>
    <t>0008430/2024</t>
  </si>
  <si>
    <t>Substituição do SPCS associado ao vão da Entrada de Linha 04C5 (LT 230 kV BANABUIU /ALEX C-1), na subestação ALEX, composto por: 02 painéis, 02 proteções (principal e alternada), 01 unidade de controle, 02 falhas de disjuntor (principal e alternada), cabos de controle e infraestrutura de comunicação associados.</t>
  </si>
  <si>
    <t>0008431/2024</t>
  </si>
  <si>
    <t>12389828</t>
  </si>
  <si>
    <t>Substituição de 01 (uma) Seccionadora 69 KV posição operacional 32J1-4 da Subestação GNN</t>
  </si>
  <si>
    <t>EL 69 kV GOIANINHA DIST7 (12J1)</t>
  </si>
  <si>
    <t>0008432/2024</t>
  </si>
  <si>
    <t>Substituição do SPCS do Transformador de Aterramento 02A1, na subestação COTEGIPE, composto por: 01 painel, 02 proteções (principal e alternada), 01 unidade de controle, cabos de controle e infraestrutura de comunicação associados.</t>
  </si>
  <si>
    <t>MC 69 kV TT 69/13,8 kV COTEGIPE TA1 BA (32A1)</t>
  </si>
  <si>
    <t>0008474/2024</t>
  </si>
  <si>
    <t>11361229</t>
  </si>
  <si>
    <t>Substituição de um anel coletor do compensador síncrono 13,8 kv, posição 01k1 da substação de RCD</t>
  </si>
  <si>
    <t>0008433/2024</t>
  </si>
  <si>
    <t>12622074</t>
  </si>
  <si>
    <t>Substituição de 01 (uma) Seccionadora 69 KV posição operacional 32J2-5 da Subestação GNN</t>
  </si>
  <si>
    <t>0008434/2024</t>
  </si>
  <si>
    <t>Substituição de 01 (uma) Seccionadora 69 KV posição operacional 32M2-4 da Subestação GNN</t>
  </si>
  <si>
    <t>0008435/2024</t>
  </si>
  <si>
    <t>32M2-4</t>
  </si>
  <si>
    <t>Substituição de 01 (uma) Seccionadora 69 KV posição operacional 32M4-5 da Subestação GNN</t>
  </si>
  <si>
    <t>0008436/2024</t>
  </si>
  <si>
    <t>32M4-5</t>
  </si>
  <si>
    <t>Substituição de 01 (uma) Seccionadora 69 KV posição operacional 32M5-4 da Subestação GNN</t>
  </si>
  <si>
    <t>0008437/2024</t>
  </si>
  <si>
    <t>32M5-4</t>
  </si>
  <si>
    <t>Substituição de 01 (uma) Seccionadora 69 KV posição operacional 32M5-5 da Subestação GNN</t>
  </si>
  <si>
    <t>0008438/2024</t>
  </si>
  <si>
    <t>32M5-5</t>
  </si>
  <si>
    <t>Substituição de 01 (uma) Seccionadora com lâmina de terra 69 kV, posição operacional 32M5-6/7 da Subestação GNN</t>
  </si>
  <si>
    <t>0008439/2024</t>
  </si>
  <si>
    <t>32M5-6</t>
  </si>
  <si>
    <t>Substituição de 01 (uma) Seccionadora 69 KV posição operacional 32A1-8 da Subestação BNB</t>
  </si>
  <si>
    <t>MC 69 kV TT 69/13,8 kV BANABUIU TA1 CE</t>
  </si>
  <si>
    <t>0008473/2024</t>
  </si>
  <si>
    <t>LT 345 kV COMPERJ/LAGOS C-1 RJ</t>
  </si>
  <si>
    <t>0008440/2024</t>
  </si>
  <si>
    <t>Substituição de 01 (uma) Seccionadora 69 KV posição operacional 32J2-4 da Subestação GNN</t>
  </si>
  <si>
    <t>0008441/2024</t>
  </si>
  <si>
    <t>Substituição de 01 (uma) Seccionadora 69 KV posição operacional 32M1-4 da Subestação GNN</t>
  </si>
  <si>
    <t>EL 69 kV GOIANINHA DIST9 (12M1)</t>
  </si>
  <si>
    <t>0008443/2024</t>
  </si>
  <si>
    <t>32M1-4</t>
  </si>
  <si>
    <t>LT 345 kV CAMPOS/MACAE MERCHAN C-2 RJ</t>
  </si>
  <si>
    <t>Substituição de 60 cadeias de isoladores completas ao longo da LT.</t>
  </si>
  <si>
    <t>0008444/2024</t>
  </si>
  <si>
    <t>LT 345 kV CAMPOS/RIO NOVO DO SUL C-1 RJ/ES</t>
  </si>
  <si>
    <t>0008445/2024</t>
  </si>
  <si>
    <t>Substituição de 01 (uma) Seccionadora 69 KV posição operacional 32M2-5 da Subestação GNN</t>
  </si>
  <si>
    <t>0008446/2024</t>
  </si>
  <si>
    <t>32M2-5</t>
  </si>
  <si>
    <t>Substituição de 01 (uma) Seccionadora 69 KV posição operacional 32M4-4 da Subestação GNN</t>
  </si>
  <si>
    <t>0008448/2024</t>
  </si>
  <si>
    <t>32M4-4</t>
  </si>
  <si>
    <t>Substituição de 01 (um) dispositivo de proteção (relé de gás) para autotransformador da posição operacional 05TR-M da Subestação FZD.</t>
  </si>
  <si>
    <t>TR 500/230 kV FORTALEZA II TRR1 CE</t>
  </si>
  <si>
    <t>0008450/2024</t>
  </si>
  <si>
    <t>12627684</t>
  </si>
  <si>
    <t>Substituição de 01 (um) dispositivo de proteção posição operacional 05T1-B da Subestação ICA</t>
  </si>
  <si>
    <t>0008451/2024</t>
  </si>
  <si>
    <t>12656897</t>
  </si>
  <si>
    <t>Substituição de 01 (um) dispositivo de proteção posição operacional 05T1-C da Subestação ICA</t>
  </si>
  <si>
    <t>0008452/2024</t>
  </si>
  <si>
    <t>12657695</t>
  </si>
  <si>
    <t>Substituição de 01  (um) dispositivo de proteção posição operacional 04T8-A da Subestação FNL</t>
  </si>
  <si>
    <t>0008468/2024</t>
  </si>
  <si>
    <t>12656902</t>
  </si>
  <si>
    <t>Substituição de 01  (um) dispositivo de proteção posição operacional 04T8-B da Subestação FNL</t>
  </si>
  <si>
    <t>0008471/2024</t>
  </si>
  <si>
    <t>12656903</t>
  </si>
  <si>
    <t>Substituição de 01  (um) dispositivo de proteção posição operacional 04T8-C da Subestação FNL</t>
  </si>
  <si>
    <t>0008472/2024</t>
  </si>
  <si>
    <t>12656904</t>
  </si>
  <si>
    <t>Substituição de 01  (um) dispositivo de proteção posição operacional 04T1 da Subestação ENP</t>
  </si>
  <si>
    <t>TR 230/138 kV EUNAPOLIS TR1 BA</t>
  </si>
  <si>
    <t>0008454/2024</t>
  </si>
  <si>
    <t>12656905</t>
  </si>
  <si>
    <t>Substituição de 01 (um) dispositivo de proteção posição operacional 04T1 da Subestação FNL</t>
  </si>
  <si>
    <t>0008461/2024</t>
  </si>
  <si>
    <t>12656906</t>
  </si>
  <si>
    <t>Substituição de 01 (um) TP  posição operacional 84D1.A da Subestação CMD</t>
  </si>
  <si>
    <t>0008462/2024</t>
  </si>
  <si>
    <t>84D1.A</t>
  </si>
  <si>
    <t>Substituição de 01 (um) dispositivo de proteção posição operacional 04T3 da Subestação FNL</t>
  </si>
  <si>
    <t>0008463/2024</t>
  </si>
  <si>
    <t>12656895</t>
  </si>
  <si>
    <t>Substituição de 01  (um) dispositivo de proteção posição operacional 04T6 da Subestação FNL</t>
  </si>
  <si>
    <t>0008467/2024</t>
  </si>
  <si>
    <t>12656907</t>
  </si>
  <si>
    <t>Substituição de 1.500m de cabos OPGW da LT 750 kV ITABERA /TIJUCO PRETO C-3</t>
  </si>
  <si>
    <t>0008480/2024</t>
  </si>
  <si>
    <t>IABTPR3</t>
  </si>
  <si>
    <t>Substituição de 1.500m de cabos OPGW da LT 750 kV ITABERA /TIJUCO PRETO C-2</t>
  </si>
  <si>
    <t>0008483/2024</t>
  </si>
  <si>
    <t>Substituição dos cabos para raios do trecho total da OOTSA.F entre as torres 543 (primeira ancoragem de PR trecho OOTSA.F) à 727 (76,639 km).</t>
  </si>
  <si>
    <t>0008486/2024</t>
  </si>
  <si>
    <t>Substituição de 01 (um) TP  posição operacional 84D1.C da Subestação CMD</t>
  </si>
  <si>
    <t>0008494/2024</t>
  </si>
  <si>
    <t>84D1.C</t>
  </si>
  <si>
    <t>Substituição de 60 esferas de sinalização em atendimento a legislação pertinente.</t>
  </si>
  <si>
    <t>0008498/2024</t>
  </si>
  <si>
    <t>TPRTAU</t>
  </si>
  <si>
    <t>Substituição de 01 (um) TP  69kV, posição operacional 82BP-1.A da Subestação CTU</t>
  </si>
  <si>
    <t>0008499/2024</t>
  </si>
  <si>
    <t>82BP-1.A</t>
  </si>
  <si>
    <t>Substituição de 01 (um) TP  posição operacional 82BP-1.B da Subestação CTU</t>
  </si>
  <si>
    <t>0008503/2024</t>
  </si>
  <si>
    <t>82BP-1.B</t>
  </si>
  <si>
    <t>Substituição de 01 (um) TP  posição operacional 82BP-1.C da Subestação CTU</t>
  </si>
  <si>
    <t>0008509/2024</t>
  </si>
  <si>
    <t>82BP-1.C</t>
  </si>
  <si>
    <t>Substituição de 01 Unidade de Controle na Entrada de Linha 04F1, na subestação ARAPIRACA III.</t>
  </si>
  <si>
    <t>0008510/2024</t>
  </si>
  <si>
    <t>11444738</t>
  </si>
  <si>
    <t>Substituição de 01 (um) TP  69kV, posição operacional 82BP-1.A da Subestação JCR</t>
  </si>
  <si>
    <t>0008511/2024</t>
  </si>
  <si>
    <t>Substituição de 01 Unidade de Controle no Banco Capactor 04H1, na subestação ARAPIRACA III.</t>
  </si>
  <si>
    <t>BC 230 kV 30 Mvar ARAPIRACA III BC1 AL</t>
  </si>
  <si>
    <t>0008513/2024</t>
  </si>
  <si>
    <t>11444731</t>
  </si>
  <si>
    <t>Substituição de 01 (um) TP  69kV, posição operacional 82BP-1.B da Subestação JCR</t>
  </si>
  <si>
    <t>0008514/2024</t>
  </si>
  <si>
    <t>Substituição de 01 Unidade de Controle no Banco Capacitor 04H2, na subestação ARAPIRACA III.</t>
  </si>
  <si>
    <t>BC 230 kV 30 Mvar ARAPIRACA III BC2 AL</t>
  </si>
  <si>
    <t>0008519/2024</t>
  </si>
  <si>
    <t>11444732</t>
  </si>
  <si>
    <t>Substituição de 01 (um) TP  69kV, posição operacional 82BP-1.C da Subestação JCR</t>
  </si>
  <si>
    <t>0008520/2024</t>
  </si>
  <si>
    <t>LT 500 kV ITATIBA /CAMPINAS C-1 SP</t>
  </si>
  <si>
    <t>Substituição de 27 esferas de sinalização em atendimento a legislação pertinente.</t>
  </si>
  <si>
    <t>0008522/2024</t>
  </si>
  <si>
    <t>CAMTBA</t>
  </si>
  <si>
    <t>Substituição de 01 (um) TP  69kV, posição operacional 82BP-1.A da Subestação MRR</t>
  </si>
  <si>
    <t>0008523/2024</t>
  </si>
  <si>
    <t>Substituição de 01 Unidade de Controle na Entrada de Linha 04S9, na subestação ARAPIRACA III.</t>
  </si>
  <si>
    <t>0008524/2024</t>
  </si>
  <si>
    <t>11444739</t>
  </si>
  <si>
    <t>Substituição de 43 esferas de sinalização em atendimento a legislação pertinente.</t>
  </si>
  <si>
    <t>0008525/2024</t>
  </si>
  <si>
    <t>Substituição de 01 (um) TP  69kV, posição operacional 82BP-1.C da Subestação MRR</t>
  </si>
  <si>
    <t>0008532/2024</t>
  </si>
  <si>
    <t>Substituição de 01 Unidade de Controle no Trafo 04T1, na subestação ARAPIRACA III.</t>
  </si>
  <si>
    <t>TR 230/69 kV ARAPIRACA III TR1 AL</t>
  </si>
  <si>
    <t>0008533/2024</t>
  </si>
  <si>
    <t>11444735</t>
  </si>
  <si>
    <t>Substituição de 01 (um) TP  230kV, posição operacional 84B1.B da Subestação MSI</t>
  </si>
  <si>
    <t>0008535/2024</t>
  </si>
  <si>
    <t>84B1.B</t>
  </si>
  <si>
    <t>Substituição de 01 Unidade de Controle na Entrada de Linha 03C2, na subestação BARREIRAS.</t>
  </si>
  <si>
    <t>0008536/2024</t>
  </si>
  <si>
    <t>11445677</t>
  </si>
  <si>
    <t>Substituição de 01 (um) TP  69kV, posição operacional 82BP-1.A da Subestação RIB</t>
  </si>
  <si>
    <t>0008537/2024</t>
  </si>
  <si>
    <t>Substituição de 01 Unidade de Controle no Trafo 04T2, na subestação BARREIRAS.</t>
  </si>
  <si>
    <t>TR 230/69 kV BARREIRAS TR2 BA</t>
  </si>
  <si>
    <t>0008538/2024</t>
  </si>
  <si>
    <t>11444699</t>
  </si>
  <si>
    <t>Substituição de 01 (um) TP  69kV, posição operacional 82BP-1.B da Subestação RIB</t>
  </si>
  <si>
    <t>0008539/2024</t>
  </si>
  <si>
    <t>Substituição de 01 Unidade de Controle na Trafo 04T4, na subestação BARREIRAS.</t>
  </si>
  <si>
    <t>TR 230/138 kV BARREIRAS TR4 BA</t>
  </si>
  <si>
    <t>0008540/2024</t>
  </si>
  <si>
    <t>11445675</t>
  </si>
  <si>
    <t>Substituição de 01 (um) TP  69kV, posição operacional 82BP-1.C da Subestação RIB</t>
  </si>
  <si>
    <t>0008541/2024</t>
  </si>
  <si>
    <t>Substituição de 01 Unidade de Controle na Interconexão de Barra 13D1, na subestação BARREIRAS.</t>
  </si>
  <si>
    <t>IB 138 kV MG 230 kV BARREIRAS MG1 BA IB2 (13D1)</t>
  </si>
  <si>
    <t>0008542/2024</t>
  </si>
  <si>
    <t>11445678</t>
  </si>
  <si>
    <t>Substituição de 01 (um) PR 230kV,  posição operacional 74TR.M da Subestação MSI</t>
  </si>
  <si>
    <t>TR 500/230 kV MESSIAS TRR1 AL</t>
  </si>
  <si>
    <t>0008543/2024</t>
  </si>
  <si>
    <t>74TR.M</t>
  </si>
  <si>
    <t>Substituição de 01 Unidade de Controle no Trafo 04T3, na subestação MOSSORO II.</t>
  </si>
  <si>
    <t>TR 230/69 kV MOSSORO II TR3 RN</t>
  </si>
  <si>
    <t>0008545/2024</t>
  </si>
  <si>
    <t>11365164</t>
  </si>
  <si>
    <t>Substituição de 01 (um) TP posição operacional 83B2-C da Subestação FNL</t>
  </si>
  <si>
    <t>0008547/2024</t>
  </si>
  <si>
    <t>83B2.C</t>
  </si>
  <si>
    <t>Substituição de 01 Unidade de Controle no Trafo 04T1, na subestação PICI II.</t>
  </si>
  <si>
    <t>0008548/2024</t>
  </si>
  <si>
    <t>11444751</t>
  </si>
  <si>
    <t>LT 345 kV VIANA/VITORIA C-1 ES</t>
  </si>
  <si>
    <t>Substituição de 57 cadeias de isoladores completas ao logo da LT.</t>
  </si>
  <si>
    <t>0008551/2024</t>
  </si>
  <si>
    <t>Substituição de 01 (um) TP 13,8kV posição operacional 81B1 fase A da Subestação ACD.</t>
  </si>
  <si>
    <t>0008553/2024</t>
  </si>
  <si>
    <t>81B1.A</t>
  </si>
  <si>
    <t>Substituição de 01 Unidade de Controle no Reator de Linha 04E1, na subestação PENEDO.</t>
  </si>
  <si>
    <t>RTL 230 kV 10 Mvar PENEDO RT1 AL</t>
  </si>
  <si>
    <t>0008554/2024</t>
  </si>
  <si>
    <t>11444740</t>
  </si>
  <si>
    <t>Substituição de 01 (um) TP 13,8kV posição operacional 81B1 fase C da Subestação ACD.</t>
  </si>
  <si>
    <t>0008555/2024</t>
  </si>
  <si>
    <t>81B1.C</t>
  </si>
  <si>
    <t>Substituição de 49 cadeias de isoladores completas ao logo da LT.</t>
  </si>
  <si>
    <t>0008556/2024</t>
  </si>
  <si>
    <t>Substituição de 01 Unidade de Controle na Entrada de Linha 04S9, na subestação PENEDO.</t>
  </si>
  <si>
    <t>0008557/2024</t>
  </si>
  <si>
    <t>11444741</t>
  </si>
  <si>
    <t>Substituição de 01 Unidade de Controle no Trafo 04T3, na subestação PENEDO.</t>
  </si>
  <si>
    <t>0008559/2024</t>
  </si>
  <si>
    <t>11448988</t>
  </si>
  <si>
    <t>LT 345 kV RIO NOVO DO SUL/VITORIA C-1 ES</t>
  </si>
  <si>
    <t>Substituição de 137 cadeias de isoladores completas ao logo da LT.</t>
  </si>
  <si>
    <t>0008561/2024</t>
  </si>
  <si>
    <t>VITRNS1</t>
  </si>
  <si>
    <t>Substituição de 01 Unidade de Controle no Trafo 04T3, na subestação PICOS.</t>
  </si>
  <si>
    <t>0008562/2024</t>
  </si>
  <si>
    <t>11444754</t>
  </si>
  <si>
    <t>Substituição de 01 (um) disjuntor de 13,8 KV, posição operacional 11Y3 da Subestação TSA.</t>
  </si>
  <si>
    <t>EL 13,8 kV TERESINA DIST3 (01Y3)</t>
  </si>
  <si>
    <t>0008563/2024</t>
  </si>
  <si>
    <t>11Y3</t>
  </si>
  <si>
    <t>LT 345 kV CAMPOS/RIO NOVO DO SUL C-2 RJ/ES</t>
  </si>
  <si>
    <t>Substituição de 93 cadeias de isoladores completas ao logo da LT.</t>
  </si>
  <si>
    <t>0008564/2024</t>
  </si>
  <si>
    <t>Substituição de 01 Unidade de Controle na Entrada de Linha 04L1, na subestação SOBRAL II.</t>
  </si>
  <si>
    <t>0008565/2024</t>
  </si>
  <si>
    <t>11444753</t>
  </si>
  <si>
    <t>Substituição de 100 cadeias de isoladores completas ao longo da LT 500 kV ADRIANOPOLIS /GRAJAU C-1</t>
  </si>
  <si>
    <t>0008568/2024</t>
  </si>
  <si>
    <t>ADRGRA</t>
  </si>
  <si>
    <t>LT 345 kV RIO NOVO DO SUL/VIANA C-1 ES</t>
  </si>
  <si>
    <t>0008570/2024</t>
  </si>
  <si>
    <t>Substituição de 01 Unidade de Controle na Entrada de Linha 04S1, na subestação PIRAPAMA II.</t>
  </si>
  <si>
    <t>0008573/2024</t>
  </si>
  <si>
    <t>12276444</t>
  </si>
  <si>
    <t>0008574/2024</t>
  </si>
  <si>
    <t>ADRSJS</t>
  </si>
  <si>
    <t>LT 500 kV ANGRA FUR /ZONA OESTE C-1 RJ</t>
  </si>
  <si>
    <t>0008576/2024</t>
  </si>
  <si>
    <t>ANGZOE</t>
  </si>
  <si>
    <t>Substituição de 01 Unidade de Controle no Trafo 04T4, na subestação PIRAPAMA II.</t>
  </si>
  <si>
    <t>0008577/2024</t>
  </si>
  <si>
    <t>11444705</t>
  </si>
  <si>
    <t>LT 500 kV B. FLUMINENSE / C. PAULISTA C 1 RJ/SP</t>
  </si>
  <si>
    <t>Substituição de 25 cadeias de isoladores completas ao longo da LT.</t>
  </si>
  <si>
    <t>0008578/2024</t>
  </si>
  <si>
    <t>BFLCHP</t>
  </si>
  <si>
    <t>Substituição de 01 Unidade de Controle no Trafo 04T3, na subestação PIRIPIRI.</t>
  </si>
  <si>
    <t>0008580/2024</t>
  </si>
  <si>
    <t>11444759</t>
  </si>
  <si>
    <t>Substituição de 10 cadeias de isoladores completas ao longo da LT.</t>
  </si>
  <si>
    <t>0008581/2024</t>
  </si>
  <si>
    <t>CHPRSD</t>
  </si>
  <si>
    <t>Substituição de 01 Unidade de Controle na Interconexão de Barra 13D1, na subestação PIRIPIRI.</t>
  </si>
  <si>
    <t>IB 138 kV MG 230 kV PIRIPIRI MG1 PI IB1 (13D1)</t>
  </si>
  <si>
    <t>0008589/2024</t>
  </si>
  <si>
    <t>11444758</t>
  </si>
  <si>
    <t>0008590/2024</t>
  </si>
  <si>
    <t>CHPTAU</t>
  </si>
  <si>
    <t>Substituição de 01 (um) seccionador de 230 KV, posição operacional 34N1-2 da Subestação PRS.</t>
  </si>
  <si>
    <t>0008677/2024</t>
  </si>
  <si>
    <t>34N1-2</t>
  </si>
  <si>
    <t>Substituição de 01 Unidade de Controle no Trafo 04T2, na subestação STO.A.JESUS.</t>
  </si>
  <si>
    <t>0008640/2024</t>
  </si>
  <si>
    <t>11444773</t>
  </si>
  <si>
    <t>Substituição do Sistema de Registro de Perturbação no Compensador Estático 09Q2, na subestação FORTALEZA, composto por: 01 Oscilógrafo.</t>
  </si>
  <si>
    <t>CE 100/-70 MvAr FORTALEZA CE1 CE</t>
  </si>
  <si>
    <t>0008600/2024</t>
  </si>
  <si>
    <t>11462603</t>
  </si>
  <si>
    <t>Substituição de 01 Unidade de Controle na Entrada de Linha 04F3, na subestação STO.A.JESUS.</t>
  </si>
  <si>
    <t>LT 230 kV SAPEACU /STO.A.JESUS C-2 BA</t>
  </si>
  <si>
    <t>0008601/2024</t>
  </si>
  <si>
    <t>11444774</t>
  </si>
  <si>
    <t>Substituição do Sistema de Registro de Perturbação no Trafo 04T1 69 kV, na subestação JOAIRAM, composto por: 01 Oscilógrafo.</t>
  </si>
  <si>
    <t>0008604/2024</t>
  </si>
  <si>
    <t>11449235</t>
  </si>
  <si>
    <t>Substituição de 01 Unidade de Controle na Entrada de Linha 04L2, na subestação STO.A.JESUS.</t>
  </si>
  <si>
    <t>LT 230 kV SAPEACU /STO.A.JESUS C-1 BA</t>
  </si>
  <si>
    <t>0008607/2024</t>
  </si>
  <si>
    <t>11444769</t>
  </si>
  <si>
    <t>Substituição do Sistema de Registro de Perturbação no Trafo 04T2 69 kV, na subestação JOAIRAM, composto por: 01 Oscilógrafo.</t>
  </si>
  <si>
    <t>0008608/2024</t>
  </si>
  <si>
    <t>11449236</t>
  </si>
  <si>
    <t>Substituição de 01 Unidade de Controle na Entrada de Linha 04L3, na subestação STO.A.JESUS.</t>
  </si>
  <si>
    <t>0008609/2024</t>
  </si>
  <si>
    <t>11444771</t>
  </si>
  <si>
    <t>Substituição de 01 (um) dispositivo de proteção posição operacional 05T1-A da Subestação ICA</t>
  </si>
  <si>
    <t>0008610/2024</t>
  </si>
  <si>
    <t>12660407</t>
  </si>
  <si>
    <t>Substituição do Sistema de Automação e Controle dos equipamentos de pátio do CS 01K1, na subestação IRECE, composto por: 01 Painel Exclusivo, 01 CLP, 01 IHM, 01 Medidor, 01 Switch, 01 GPS, 01 distribuidor ótico.</t>
  </si>
  <si>
    <t>0008615/2024</t>
  </si>
  <si>
    <t>12364426</t>
  </si>
  <si>
    <t>Substituição de 01 (um) dispositivo de proteção posição operacional 04T2 da Subestação FNL</t>
  </si>
  <si>
    <t>0008616/2024</t>
  </si>
  <si>
    <t>Substituição do Sistema de Controle de tensão do CS 01K1, na subestação IRECE, composto por: 01 Painel Exclusivo, 01 CLP, 01 IHM, 01 Medidor, 01 Switch.</t>
  </si>
  <si>
    <t>0008618/2024</t>
  </si>
  <si>
    <t>12627689</t>
  </si>
  <si>
    <t>Substituição de 01 (um) dispositivo de proteção posição operacional 04E2-A da Subestação FNL</t>
  </si>
  <si>
    <t>0008619/2024</t>
  </si>
  <si>
    <t>12660408</t>
  </si>
  <si>
    <t>LT 500 kV TERMINAL RIO /C. PAULISTA C-1 RJ/SPP RJ</t>
  </si>
  <si>
    <t>0008621/2024</t>
  </si>
  <si>
    <t>CHPTMR</t>
  </si>
  <si>
    <t>Substituição de 01 (um) dispositivo de proteção posição operacional 04E2-B da Subestação FNL</t>
  </si>
  <si>
    <t>0008622/2024</t>
  </si>
  <si>
    <t>12660409</t>
  </si>
  <si>
    <t>LT 500 kV NOVA IGUACU /GRAJAU C-1 RJ</t>
  </si>
  <si>
    <t>Substituição de 60 cadeias de isoladores completas ao longo da LT 500 kV NOVA IGUACU /GRAJAU C-1.</t>
  </si>
  <si>
    <t>0008628/2024</t>
  </si>
  <si>
    <t>GRANIG</t>
  </si>
  <si>
    <t>Substituição de 01 (um) dispositivo de proteção posição operacional 04E2-C da Subestação FNL</t>
  </si>
  <si>
    <t>0008629/2024</t>
  </si>
  <si>
    <t>12660410</t>
  </si>
  <si>
    <t>LT 500 kV NOVA IGUACU /SAO JOSE C-1 RJ</t>
  </si>
  <si>
    <t>0008630/2024</t>
  </si>
  <si>
    <t>SJSNIG</t>
  </si>
  <si>
    <t>Substituição de 01  (um) dispositivo de proteção posição operacional 04E1-A da Subestação ENP</t>
  </si>
  <si>
    <t>0008632/2024</t>
  </si>
  <si>
    <t>12660411</t>
  </si>
  <si>
    <t>Substituição de 01 (um) TP  posição operacional 84BP-1.A da Subestação FTZ</t>
  </si>
  <si>
    <t>0008635/2024</t>
  </si>
  <si>
    <t>84BP-1.A</t>
  </si>
  <si>
    <t>Substituição de 01  (um) dispositivo de proteção posição operacional 04E1-B da Subestação ENP</t>
  </si>
  <si>
    <t>0008638/2024</t>
  </si>
  <si>
    <t>12660412</t>
  </si>
  <si>
    <t>Substituição de 01 (um) TP 13,8kV posição operacional 81Y1 fase B da Subestação NTD.</t>
  </si>
  <si>
    <t>MG 230 kV NATAL II MG1 RN</t>
  </si>
  <si>
    <t>0008641/2024</t>
  </si>
  <si>
    <t>81Y1.B</t>
  </si>
  <si>
    <t>Substituição de 01  (um) dispositivo de proteção posição operacional 04E1-C da Subestação ENP</t>
  </si>
  <si>
    <t>0008642/2024</t>
  </si>
  <si>
    <t>12660413</t>
  </si>
  <si>
    <t>Substituição de 01 (um) TP 13,8kV posição operacional 81Y1 fase C da Subestação NTD.</t>
  </si>
  <si>
    <t>0008643/2024</t>
  </si>
  <si>
    <t>81Y1.C</t>
  </si>
  <si>
    <t>Substituição de 01  (um) dispositivo de proteção posição operacional 04T2 da Subestação ENP</t>
  </si>
  <si>
    <t>0008645/2024</t>
  </si>
  <si>
    <t>12657429</t>
  </si>
  <si>
    <t>Substituição de 01 (um) TP 13,8kV posição operacional 81B1 fase B da Subestação NTD.</t>
  </si>
  <si>
    <t>0008650/2024</t>
  </si>
  <si>
    <t>LT 500 kV ZONA OESTE /NOVA IGUACU C-1 RJ</t>
  </si>
  <si>
    <t>0008651/2024</t>
  </si>
  <si>
    <t>ZOENIG</t>
  </si>
  <si>
    <t>Substituição de 01 (um) TP 13,8kV posição operacional 81B1 fase C da Subestação NTD.</t>
  </si>
  <si>
    <t>0008655/2024</t>
  </si>
  <si>
    <t>LT 345 kV ADRIANOPOLIS /VENDA PEDRAS C-1 RJ</t>
  </si>
  <si>
    <t>0008657/2024</t>
  </si>
  <si>
    <t>ADRVDP</t>
  </si>
  <si>
    <t>Substituição de 01 (um) TP 13,8kV, posição operacional 81B1-A SE PTU</t>
  </si>
  <si>
    <t>MG PITUACU / CCO-2001-061 - RB</t>
  </si>
  <si>
    <t>0008658/2024</t>
  </si>
  <si>
    <t>Substituição de 01 (um) TP 13,8kV, posição operacional 81B1-B SE PTU</t>
  </si>
  <si>
    <t>0008660/2024</t>
  </si>
  <si>
    <t>81B1.B</t>
  </si>
  <si>
    <t>LT 500 kV ADRIANOPOLIS / B. FLUMINENSE C 1 RJ</t>
  </si>
  <si>
    <t>Substituição de 03 cadeias de isoladores completas ao longo da LT.</t>
  </si>
  <si>
    <t>0008661/2024</t>
  </si>
  <si>
    <t>ADRBFL</t>
  </si>
  <si>
    <t>LT  345 KV JACAREPAGUA / NOVA IGUACU C 1  RJ</t>
  </si>
  <si>
    <t>Substituição de 12 cadeias de isoladores completas ao longo da LT.</t>
  </si>
  <si>
    <t>0008662/2024</t>
  </si>
  <si>
    <t>Substituição de 01 (um) TP 13,8kV, posição operacional 81B1-C SE PTU</t>
  </si>
  <si>
    <t>0008664/2024</t>
  </si>
  <si>
    <t>LT 345 kV MACAE MERCHAN /VENDA PEDRAS C-1 RJ</t>
  </si>
  <si>
    <t>0008666/2024</t>
  </si>
  <si>
    <t>LT RIBEIRO GONÇALVES - BALSAS, C1</t>
  </si>
  <si>
    <t>Substituição de 01 Torre - 171 - RGBS-LT601.</t>
  </si>
  <si>
    <t>0008667/2024</t>
  </si>
  <si>
    <t>RGBS-LT601</t>
  </si>
  <si>
    <t>Substituição de 01 Torre - 172 - RGBS-LT601.</t>
  </si>
  <si>
    <t>0008669/2024</t>
  </si>
  <si>
    <t>Substituição de 05 cadeias de isoladores completas ao longo da LT.</t>
  </si>
  <si>
    <t>0008670/2024</t>
  </si>
  <si>
    <t>LT 345 kV COMPERJ / LAGOS C 1 RJ</t>
  </si>
  <si>
    <t>0008671/2024</t>
  </si>
  <si>
    <t>Substituição de 01 (um) Transformador do Serviços Auxiliares posição operacional 01T1 da Subestação  PCD.</t>
  </si>
  <si>
    <t>0008678/2024</t>
  </si>
  <si>
    <t>11456530</t>
  </si>
  <si>
    <t>Substituição do Sistema de Registro de Perturbação no Compensador Estático 09Q2, na subestação C.GRANDE II, composto por: 01 Oscilógrafo.</t>
  </si>
  <si>
    <t>0008681/2024</t>
  </si>
  <si>
    <t>11462600</t>
  </si>
  <si>
    <t>Substituição do Sistema de Proteção do CS 01K1, na subestação IRECE, composto por: 01 painel exclusivo , 01 relé digital PP, 01 relé digital PA.</t>
  </si>
  <si>
    <t>0008682/2024</t>
  </si>
  <si>
    <t>11360952</t>
  </si>
  <si>
    <t>Substituição de alambrado banco de capacitores 02H2 (75m), na subestação MIRUEIRA, composto por: Remoção do alambrado existente, implantação de novo alambrado do perímetro do banco e de novo portão de acesso.</t>
  </si>
  <si>
    <t>0008684/2024</t>
  </si>
  <si>
    <t>12658414</t>
  </si>
  <si>
    <t>Substituição da pavimentação dos bancos de capacitores 04H1 230 kV (250m² ), na subestação RECIFE II.</t>
  </si>
  <si>
    <t>0008686/2024</t>
  </si>
  <si>
    <t>12658421</t>
  </si>
  <si>
    <t>Substituição de UTR, na subestação B. ESPERANCA, composto por: 03 Unidades Remotas.</t>
  </si>
  <si>
    <t>0008687/2024</t>
  </si>
  <si>
    <t>11444690</t>
  </si>
  <si>
    <t>Substituição de 01 Unidade de Controle no Trafo 04T5, na subestação PIRIPIRI.</t>
  </si>
  <si>
    <t>0008688/2024</t>
  </si>
  <si>
    <t>11444756</t>
  </si>
  <si>
    <t>Substituição de 17 cadeias de isoladores completas ao longo da LT, incluindo pórticos e demais estruturas.</t>
  </si>
  <si>
    <t>0008694/2024</t>
  </si>
  <si>
    <t>CLOVGR</t>
  </si>
  <si>
    <t>0008697/2024</t>
  </si>
  <si>
    <t>ITBCLO</t>
  </si>
  <si>
    <t>LT 345 kV L.C.BARRETO /VOLTA GRANDE C-1 SP/MG</t>
  </si>
  <si>
    <t>LT 345 kV L.C.BARRETO /VOLTA GRANDE C-1 SP/MGC 1 SP/MG</t>
  </si>
  <si>
    <t>0008700/2024</t>
  </si>
  <si>
    <t>LBAVGR1</t>
  </si>
  <si>
    <t>LT 345 kV MARIMBONDO /P. COLOMBIA C-1 MGG</t>
  </si>
  <si>
    <t>0008702/2024</t>
  </si>
  <si>
    <t>MRICLO</t>
  </si>
  <si>
    <t>Substituição de 01 (uma) Seccionadora 69 kV, posição operacional 32T7-4 da Subestação TSA</t>
  </si>
  <si>
    <t>0008703/2024</t>
  </si>
  <si>
    <t>32T7-4</t>
  </si>
  <si>
    <t>LT 500 kV ARARAQUARA FURNAS /CAMPINAS C-1 SP</t>
  </si>
  <si>
    <t>0008705/2024</t>
  </si>
  <si>
    <t>ARACAM</t>
  </si>
  <si>
    <t>Substituição de 01 (uma) Seccionadora 69 kV, posição operacional 32T7-5 da Subestação TSA</t>
  </si>
  <si>
    <t>0008707/2024</t>
  </si>
  <si>
    <t>32T7-5</t>
  </si>
  <si>
    <t>Substituição de 01 (uma) Seccionadora 69 kV, posição operacional 32T7-6 da Subestação TSA</t>
  </si>
  <si>
    <t>0008710/2024</t>
  </si>
  <si>
    <t>32T7-6</t>
  </si>
  <si>
    <t>0008711/2024</t>
  </si>
  <si>
    <t>ARAMAR1</t>
  </si>
  <si>
    <t>0008713/2024</t>
  </si>
  <si>
    <t>ARAMAR2</t>
  </si>
  <si>
    <t>Substituição de 01 (uma) Seccionadora 69 KV posição operacional 32D2-1 da Subestação GNN</t>
  </si>
  <si>
    <t>0008715/2024</t>
  </si>
  <si>
    <t>32D2-1</t>
  </si>
  <si>
    <t>0008716/2024</t>
  </si>
  <si>
    <t>Substituição de sistema de oscilografia Registrador digital de perturbações - RPV 310 -MG230-OSC01-VAO-06EY.</t>
  </si>
  <si>
    <t>0008717/2024</t>
  </si>
  <si>
    <t>OSC01-06EY</t>
  </si>
  <si>
    <t>Substituição de 01 (uma) Seccionadora 69 KV posição operacional 32D2-2 da Subestação GNN</t>
  </si>
  <si>
    <t>0008719/2024</t>
  </si>
  <si>
    <t>32D2-2</t>
  </si>
  <si>
    <t>0008720/2024</t>
  </si>
  <si>
    <t>MRIAVE1</t>
  </si>
  <si>
    <t>LT 500 kV MARIMBONDO /MARIMBONDO II C-1 MG</t>
  </si>
  <si>
    <t>0008721/2024</t>
  </si>
  <si>
    <t>MRIMAR1</t>
  </si>
  <si>
    <t>Substituição de 01 (uma) Seccionadora 69 KV posição operacional 32M6-4 da Subestação GNN</t>
  </si>
  <si>
    <t>0008723/2024</t>
  </si>
  <si>
    <t>32M6-4</t>
  </si>
  <si>
    <t>Substituição de Buchas, Vedação, Painel de instrumentação/ventilação, Válvulas, Indicador de nivel de óleo, Relés de Gás e Bolsa de expansão, Etc, do Transformador MCTF7-01 Fase R - Vão C.</t>
  </si>
  <si>
    <t>0008724/2024</t>
  </si>
  <si>
    <t>LT 500 kV MARIMBONDO /MARIMBONDO II C-2 MG</t>
  </si>
  <si>
    <t>0008725/2024</t>
  </si>
  <si>
    <t>MRIMAR2</t>
  </si>
  <si>
    <t>LT 345 kV VITORIA /PADRE FIALHO C-1 ES/MG</t>
  </si>
  <si>
    <t>Substituição de 17 cadeias de isoladores completas ao longo da LT 345 kV VITORIA /PADRE FIALHO C-1, incluindo pórticos e demais estruturas.</t>
  </si>
  <si>
    <t>0008726/2024</t>
  </si>
  <si>
    <t>VITPFI</t>
  </si>
  <si>
    <t>Substituição de 01 (uma) Seccionadora com lâmina de terra 69 kV, posição operacional 32M6-6/7 da Subestação GNN</t>
  </si>
  <si>
    <t>0008727/2024</t>
  </si>
  <si>
    <t>32M6-6</t>
  </si>
  <si>
    <t>Substituição de 17 cadeias de isoladores completas ao longo da LT 345 kV ADRIANOPOLIS /ITUTINGA C-1, incluindo pórticos e demais estruturas.</t>
  </si>
  <si>
    <t>0008728/2024</t>
  </si>
  <si>
    <t>ADRITU1</t>
  </si>
  <si>
    <t>LT  345 KV BARREIRO 1 / SARZEDO  C 1  MG</t>
  </si>
  <si>
    <t>Substituição de 17 cadeias de isoladores completas ao longo da LT 345 KV BARREIRO 1 / SARZEDO C 1, incluindo pórticos e demais estruturas.</t>
  </si>
  <si>
    <t>0008729/2024</t>
  </si>
  <si>
    <t>BARSZD</t>
  </si>
  <si>
    <t>LT 345 kV BARRO BRANCO /OURO PRETO 2 C-1 MG</t>
  </si>
  <si>
    <t>Substituição de 17 cadeias de isoladores completas ao longo da LT 345 kV BARRO BRANCO /OURO PRETO 2, incluindo pórticos e demais estruturas.</t>
  </si>
  <si>
    <t>0008730/2024</t>
  </si>
  <si>
    <t>BBROPR</t>
  </si>
  <si>
    <t>Substituição de bucha 230kV Fase B do Autotransformador PFAT6-01</t>
  </si>
  <si>
    <t>0008731/2024</t>
  </si>
  <si>
    <t>PFAT6-01</t>
  </si>
  <si>
    <t>LT 345 kV PADRE FIALHO /BARRO BRANCO C-1 MG</t>
  </si>
  <si>
    <t>Substituição de 17 cadeias de isoladores completas ao longo da LT 345 kV PADRE FIALHO /BARRO BRANCO C-1, incluindo pórticos e demais estruturas.</t>
  </si>
  <si>
    <t>0008732/2024</t>
  </si>
  <si>
    <t>BBRPFI</t>
  </si>
  <si>
    <t>LT 345 kV CAMPINAS /POCOS CALDAS C-1 SP/MG</t>
  </si>
  <si>
    <t>Substituição de 17 cadeias de isoladores completas ao longo da LT 345 kV CAMPINAS /POCOS CALDAS C-1, incluindo pórticos e demais estruturas.</t>
  </si>
  <si>
    <t>0008733/2024</t>
  </si>
  <si>
    <t>CAMPCA</t>
  </si>
  <si>
    <t>LT 345 kV ESTREITO /FURNAS C-1 MG</t>
  </si>
  <si>
    <t>Substituição de 17 cadeias de isoladores completas ao longo da LT 345 kV ESTREITO /FURNAS C-1, incluindo pórticos e demais estruturas.</t>
  </si>
  <si>
    <t>0008734/2024</t>
  </si>
  <si>
    <t>FUREST</t>
  </si>
  <si>
    <t>Substituição de 17 cadeias de isoladores completas ao longo da LT 345 kV FURNAS /M. MORAES C-1, incluindo pórticos e demais estruturas.</t>
  </si>
  <si>
    <t>0008752/2024</t>
  </si>
  <si>
    <t>FURMMO</t>
  </si>
  <si>
    <t>LT 345 kV FURNAS /VARGINHA 4 C-1 MG</t>
  </si>
  <si>
    <t>Substituição de 17 cadeias de isoladores completas ao longo da LT 345 kV FURNAS /VARGINHA 4 C-1, incluindo pórticos e demais estruturas.</t>
  </si>
  <si>
    <t>0008756/2024</t>
  </si>
  <si>
    <t>FURVGA</t>
  </si>
  <si>
    <t>LT 345 kV PIMENTA / SARZEDO C 1 MG</t>
  </si>
  <si>
    <t>Substituição de 17 cadeias de isoladores completas ao longo da LT 345 kV PIMENTA / SARZEDO C 1, incluindo pórticos e demais estruturas.</t>
  </si>
  <si>
    <t>0008758/2024</t>
  </si>
  <si>
    <t>PIMSZD</t>
  </si>
  <si>
    <t>LT 345 kV ESTREITO /L.C.BARRETO C-1 MG/SP</t>
  </si>
  <si>
    <t>Substituição de 17 cadeias de isoladores completas ao longo da LT 345 kV ESTREITO /L.C.BARRETO C-1, incluindo pórticos e demais estruturas.</t>
  </si>
  <si>
    <t>LT 345 kV ESTREITO /L.C.BARRETO C-1 MG/SP/SP</t>
  </si>
  <si>
    <t>0008760/2024</t>
  </si>
  <si>
    <t>LBAEST1</t>
  </si>
  <si>
    <t>Substituição do reator de neutro PDRE4-03 à óleo, por núcleo ar - Necessário desligamento da função LT 500 kV MIRANDA II /P.DUTRA C-2 MA.</t>
  </si>
  <si>
    <t>0008762/2024</t>
  </si>
  <si>
    <t>PDRE403</t>
  </si>
  <si>
    <t>LT 345 kV ESTREITO /L.C.BARRETO C-2 MG/SP</t>
  </si>
  <si>
    <t>Substituição de 17 cadeias de isoladores completas ao longo da LT 345 kV ESTREITO /L.C.BARRETO C-2, incluindo pórticos e demais estruturas.</t>
  </si>
  <si>
    <t>LT 345 kV ESTREITO /L.C.BARRETO C-2 MG/SPSP</t>
  </si>
  <si>
    <t>0008764/2024</t>
  </si>
  <si>
    <t>LBAEST2</t>
  </si>
  <si>
    <t>LT 500 kV ARARAQUARA FURNAS /POCOS CALDAS C-1 SP/MG</t>
  </si>
  <si>
    <t>Substituição de 17 cadeias de isoladores completas ao longo da LT 500 kV ARARAQUARA FURNAS /POCOS CALDAS C-1, incluindo pórticos e demais estruturas.</t>
  </si>
  <si>
    <t>0008766/2024</t>
  </si>
  <si>
    <t>ARAPCA1</t>
  </si>
  <si>
    <t>Substituição de 01 (uma) Seccionadora 230 KV posição operacional 34E2-8 da Subestação BNB</t>
  </si>
  <si>
    <t>0008895/2024</t>
  </si>
  <si>
    <t>Substituição de 17 cadeias de isoladores completas ao longo da LT 500 kV POCOS CALDAS /ITAJUBA 3 C-1, incluindo pórticos e demais estruturas.</t>
  </si>
  <si>
    <t>0008767/2024</t>
  </si>
  <si>
    <t>PCAIJU</t>
  </si>
  <si>
    <t>Recuperação de erosão - 2ª etapa Linha Barro Branco Ouro Preto</t>
  </si>
  <si>
    <t>0008774/2024</t>
  </si>
  <si>
    <t>Substituição de 01 (um) TC 13,8kV posição operacional 91Y1 fase A da Subestação NTD.</t>
  </si>
  <si>
    <t>0008792/2024</t>
  </si>
  <si>
    <t>91Y1-1.A</t>
  </si>
  <si>
    <t>Substituição de 01 (um) TC 13,8kV posição operacional 91Y1 fase B da Subestação NTD.</t>
  </si>
  <si>
    <t>0008797/2024</t>
  </si>
  <si>
    <t>91Y1-1.B</t>
  </si>
  <si>
    <t>Substituição de 01 (um) TC 13,8kV posição operacional 91Y1 fase C da Subestação NTD.</t>
  </si>
  <si>
    <t>0008801/2024</t>
  </si>
  <si>
    <t>91Y1-1.C</t>
  </si>
  <si>
    <t>Substituição de 01 (um) TC 69kV, posição operacional 92C2-1.A da Subestação de JDM</t>
  </si>
  <si>
    <t>EL 69 kV JARDIM 02X2 (VAGO) (12C2)</t>
  </si>
  <si>
    <t>0008901/2024</t>
  </si>
  <si>
    <t>92C2-1.A</t>
  </si>
  <si>
    <t>Substituição de 01 (um) TC 69kV, posição operacional 92C2-1.B da Subestação de JDM</t>
  </si>
  <si>
    <t>0008902/2024</t>
  </si>
  <si>
    <t>92C2-1.B</t>
  </si>
  <si>
    <t>Substituição de 01 (um) TC 69kV, posição operacional 92C2-1.C da Subestação de JDM</t>
  </si>
  <si>
    <t>0008903/2024</t>
  </si>
  <si>
    <t>92C2-1.C</t>
  </si>
  <si>
    <t>Substituição do Disjuntor de 69KV - PFDJ4-07.</t>
  </si>
  <si>
    <t>TR 230/69 kV PORTO FRANCO TF3 MA</t>
  </si>
  <si>
    <t>0008849/2024</t>
  </si>
  <si>
    <t>PFDJ407</t>
  </si>
  <si>
    <t>Recuperação de erosão no "Taludes" na LT 345 kV VITORIA /PADRE FIALHO C-1</t>
  </si>
  <si>
    <t>0008872/2024</t>
  </si>
  <si>
    <t>Substituição de 01 (um) disjuntor 13,8 KV, posição operacional 11E1 da subestação BJS</t>
  </si>
  <si>
    <t>RTB 13,8 kV 5 MVAr B.JESUS LAPA RT1 BA</t>
  </si>
  <si>
    <t>0008904/2024</t>
  </si>
  <si>
    <t>11E1</t>
  </si>
  <si>
    <t>Substituição de 01 (um) disjuntor 13,8 KV, posição operacional 11E2 da subestação BJS</t>
  </si>
  <si>
    <t>RTB 13,8 kV 5 MVAr B.JESUS LAPA RT2 BA</t>
  </si>
  <si>
    <t>0008909/2024</t>
  </si>
  <si>
    <t>LT 345 kV IBIÚNA/TIJUCO PRETO C1 SP</t>
  </si>
  <si>
    <t>Recuperação da fundação da torre n° 144 danificada por processo erosivo da LT 345 kV IBIÚNA/TIJUCO PRETO C1</t>
  </si>
  <si>
    <t>0008916/2024</t>
  </si>
  <si>
    <t>IBNTPR1</t>
  </si>
  <si>
    <t>LT 750 kV ITABERÁ/TIJUCO PRETO C1 SP</t>
  </si>
  <si>
    <t>Substituição de 30 esferas de sinalização, referentes a 10 vãos da LT 750 kV ITABERÁ/TIJUCO PRETO C1</t>
  </si>
  <si>
    <t>0008918/2024</t>
  </si>
  <si>
    <t>IABTPR1</t>
  </si>
  <si>
    <t>LT 500 kV CACHOEIRA PAULISTA/TIJUCO PRETO C1 SP</t>
  </si>
  <si>
    <t>Substituição de 442 metros de cabo contrapeso, referentes a 5 torres da LT 500 kV CACHOEIRA PAULISTA/TIJUCO PRETO C1</t>
  </si>
  <si>
    <t>0008919/2024</t>
  </si>
  <si>
    <t>CHPTPR1</t>
  </si>
  <si>
    <t>LT 500 KV TIJUCO PRETO/TAUBATÉ SP</t>
  </si>
  <si>
    <t>Substituição de 557,6 metros de cabo contrapeso, referente a 7 torres da LT 500 KV TIJUCO PRETO/TAUBATÉ</t>
  </si>
  <si>
    <t>0008920/2024</t>
  </si>
  <si>
    <t>LT 345 kV IBIÚNA/TIJUCO PRETO C2 SP</t>
  </si>
  <si>
    <t>Substituição completa de 309 pencas de isoladores (equivalente a 170 cadeias) da LT 345 kV IBIÚNA/TIJUCO PRETO C2</t>
  </si>
  <si>
    <t>0008921/2024</t>
  </si>
  <si>
    <t>IBNTPR2</t>
  </si>
  <si>
    <t>Substituição completa de 38 pencas de isoladores (equivalente a 9 cadeias) da LT 750 kV ITABERÁ/TIJUCO PRETO C1</t>
  </si>
  <si>
    <t>0008922/2024</t>
  </si>
  <si>
    <t>Substituição de 01 (uma) Seccionadora 6,9 kV posição operacional 36H1-7 da Subestação NTD</t>
  </si>
  <si>
    <t>0008923/2024</t>
  </si>
  <si>
    <t>36H1-7</t>
  </si>
  <si>
    <t>Substituição de 01 (uma) Seccionadora 69 kV posição operacional 32B1-1 da Subestação NTD</t>
  </si>
  <si>
    <t>0008924/2024</t>
  </si>
  <si>
    <t>32B1-1</t>
  </si>
  <si>
    <t>Substituição completa de 908 pencas de isoladores (equivalente a 483 cadeias) da LT 750 kV ITABERÁ/TIJUCO PRETO C1</t>
  </si>
  <si>
    <t>0008925/2024</t>
  </si>
  <si>
    <t>Substituição de 01 (uma) Seccionadora 69 kV, posição operacional 32BP-1 da subestação JDM</t>
  </si>
  <si>
    <t>0008926/2024</t>
  </si>
  <si>
    <t>32BP-1</t>
  </si>
  <si>
    <t>LT 750 kV ITABERÁ/TIJUCO PRETO C2 SP</t>
  </si>
  <si>
    <t>Substituição completa de 340 pencas de isoladores (equivalente a 41 cadeias)</t>
  </si>
  <si>
    <t>0008927/2024</t>
  </si>
  <si>
    <t>Substituição de 01 (uma) Seccionadora 69 kV, posição operacional 32BP-2 da subestação JDM</t>
  </si>
  <si>
    <t>0008928/2024</t>
  </si>
  <si>
    <t>32BP-2</t>
  </si>
  <si>
    <t>Substituição completa de 789 pencas de isoladores (equivalente a 463 cadeias).</t>
  </si>
  <si>
    <t>0008929/2024</t>
  </si>
  <si>
    <t>Substituição de 01 (um) TP 3,3kV posição operacional 86B1 fase B da Subestação NTD.</t>
  </si>
  <si>
    <t>0008930/2024</t>
  </si>
  <si>
    <t>86B1.B</t>
  </si>
  <si>
    <t>Substituição de 01 (um) TP 3,3kV posição operacional 86B1 fase C da Subestação NTD.</t>
  </si>
  <si>
    <t>0008931/2024</t>
  </si>
  <si>
    <t>86B1.C</t>
  </si>
  <si>
    <t>Substituição de 01 (um) TP 3,3kV posição operacional 86B2 fase A da Subestação NTD.</t>
  </si>
  <si>
    <t>0008932/2024</t>
  </si>
  <si>
    <t>86B2.A</t>
  </si>
  <si>
    <t>Substituição de 01 (um) TP 3,3kV posição operacional 86B2 fase B da Subestação NTD.</t>
  </si>
  <si>
    <t>0008933/2024</t>
  </si>
  <si>
    <t>86B2.B</t>
  </si>
  <si>
    <t>Substituição de 01 (um) disjuntor 13,8 KV, posição operacional 11T2 da subestação CGD</t>
  </si>
  <si>
    <t>0008945/2024</t>
  </si>
  <si>
    <t>11T2</t>
  </si>
  <si>
    <t>Substituição de 01 (um) TP 3,3kV posição operacional 86B2 fase C da Subestação NTD.</t>
  </si>
  <si>
    <t>0008934/2024</t>
  </si>
  <si>
    <t>86B2.C</t>
  </si>
  <si>
    <t>Substituição de 01 (um) disjuntor 13,8 KV, posição operacional 11T1 da subestação MSD</t>
  </si>
  <si>
    <t>0008946/2024</t>
  </si>
  <si>
    <t>11T1</t>
  </si>
  <si>
    <t>Substituição da Excitatriz CS 01K1, na subestação IRECE, composto por: 01 Excitatriz, 01 disjuntor de campo.</t>
  </si>
  <si>
    <t>0008935/2024</t>
  </si>
  <si>
    <t>12627687</t>
  </si>
  <si>
    <t>Substituição de 01 (um) conjunto de TC de medição 13.8 kV posição operacional 91K1-1 da Subestação IRE</t>
  </si>
  <si>
    <t>0008936/2024</t>
  </si>
  <si>
    <t>12621101</t>
  </si>
  <si>
    <t>Substituição de 01 (um) TC 13.8 kV posição operacional 01K1/BAB42 fase A da Subestação TSD</t>
  </si>
  <si>
    <t>0008937/2024</t>
  </si>
  <si>
    <t>12621984</t>
  </si>
  <si>
    <t>Substituição de 01 (um) TC 13.8 kV posição operacional 01K1/BBA14 fase B da Subestação TSD</t>
  </si>
  <si>
    <t>0008938/2024</t>
  </si>
  <si>
    <t>12621997</t>
  </si>
  <si>
    <t>Substituição de motor do aeroventilador (superior a 7,5  CV) do trocador de calor água/ar do CS 01k1 da TSD.</t>
  </si>
  <si>
    <t>0008939/2024</t>
  </si>
  <si>
    <t>12622071</t>
  </si>
  <si>
    <t>Substituição de uma motobomba (motor&gt;7,5 cv) de água do trocador de calor água/ar do CS 01k1 da TSD</t>
  </si>
  <si>
    <t>0008940/2024</t>
  </si>
  <si>
    <t>12622072</t>
  </si>
  <si>
    <t>Substituição do transformador de partida de 13,8/6,9 kV, posição 04T7 da subestação BJS</t>
  </si>
  <si>
    <t>0008941/2024</t>
  </si>
  <si>
    <t>12574413</t>
  </si>
  <si>
    <t>Substituição do transformador de excitação de 13,8/0,46 kV, posição 04T8 da subestação BJS</t>
  </si>
  <si>
    <t>0008942/2024</t>
  </si>
  <si>
    <t>11456640</t>
  </si>
  <si>
    <t>Substituição de 12 células capacitivas do Banco de capacitores filtro 7ª Harmônica 01H7 CID.</t>
  </si>
  <si>
    <t>0008943/2024</t>
  </si>
  <si>
    <t>12623287</t>
  </si>
  <si>
    <t>Substituição de 01 (um) sistema de monitoramento do Reator 500kV posição operacional 05E2.A da subestação SBT</t>
  </si>
  <si>
    <t>0008944/2024</t>
  </si>
  <si>
    <t>11344092</t>
  </si>
  <si>
    <t>Substituição de 01 (um) TP 3,3kV posição operacional 86B1 fase A da Subestação NTD.</t>
  </si>
  <si>
    <t>0008949/2024</t>
  </si>
  <si>
    <t>86B1.A</t>
  </si>
  <si>
    <t>Substituição de 01 (um) pólo de disjuntor 69 kV, posição operacional 12T2 da subestação de RSD.</t>
  </si>
  <si>
    <t>0008950/2024</t>
  </si>
  <si>
    <t>12660414</t>
  </si>
  <si>
    <t>Substituição de 01 (um) mecanismo de operação do disjuntor de 230 KV, posição operacional 14S4 da Subestação GVM.</t>
  </si>
  <si>
    <t>0008952/2024</t>
  </si>
  <si>
    <t>12628802</t>
  </si>
  <si>
    <t>Substituição de 01 (um) armário de comando do seccionador, posição operacional 34F2-4 da Subestação FTZ.</t>
  </si>
  <si>
    <t>0008954/2024</t>
  </si>
  <si>
    <t>12658274</t>
  </si>
  <si>
    <t>IBIAPINA II</t>
  </si>
  <si>
    <t>Substituição de 01 (um) Dispositivo de Proteção do Transformador 230 kV posição operacional 04T1 da Subestação IBD.</t>
  </si>
  <si>
    <t>TR 230/69 kV IBIAPINA II TR1 CE</t>
  </si>
  <si>
    <t>0008955/2024</t>
  </si>
  <si>
    <t>12611437</t>
  </si>
  <si>
    <t>Substituição de 01 (um) conjunto de contatos fixos do seccionador, posição operacional 34Z1-4 da Subestação PAF.</t>
  </si>
  <si>
    <t>0008957/2024</t>
  </si>
  <si>
    <t>12612174</t>
  </si>
  <si>
    <t>Substituição de 01 (um) conjunto de contatos móveis do seccionador, posição operacional 34Z1-4 da Subestação PAF.</t>
  </si>
  <si>
    <t>0008958/2024</t>
  </si>
  <si>
    <t>12612176</t>
  </si>
  <si>
    <t>Substituir 20,26 km de cabos para-raios (EHS 3/8") em 43 vãos da LT 230 kV LAGOA DO CARRO /PAU FERRO C-1 PE-04F8 (PFE;001/1;001/2;002/1;002/2;003/1;003/2;003/3;004/1;004/2;004/3;005/1;006/1;006/2;007/1;007/2;008/1;008/2;008/3;009/1;009/2;010/1;010/2;011/1;011/2;012/1;012/2;013/1;013/2;014/1;015/1;015/2;016/1;016/2;016/3;017/1;017/2;018/1;018/2;019/1;019/2;020/1;020/2).</t>
  </si>
  <si>
    <t>0008960/2024</t>
  </si>
  <si>
    <t>d-spfeslac-04f8-cprr-000128/2024</t>
  </si>
  <si>
    <t>Substituir 19,05 km de cabos para-raios (EHS 3/8") em 42 vãos da LT 230 kV LAGOA DO CARRO /PAU FERRO C-1 PE-04F8 (021/1;021/2;022/1;022/2;022/3;023/1;023/2;024/1;024/2;025/1;025/2;026/1;026/2;027/1;028/1;028/2;029/1;029/2;029/3;030/1;030/2;031/1;031/2;032/1;032/2;033/1;033/2;034/1;034/2;035/1;035/2;035/3;036/1;036/2;037/1;037/2;037/3;038/1;038/2;039/1;039/2;040/1).</t>
  </si>
  <si>
    <t>0008961/2024</t>
  </si>
  <si>
    <t>d-spfeslac-04f8-cprr-000129/2024</t>
  </si>
  <si>
    <t>Substituir 10,7 km de cabos para-raios (EHS 3/8") em 23 vãos da LT 230 kV COTEMINAS /LAGOA DO CARRO C-1 PB/PE-04F9 (040/2;041/1;041/2;042/1;042/2;042/3;043/1;044/1;044/2;045/1;045/2;046/1;046/2;047/1;047/2;047/3;048/1;048/2;048/3;049/1;049/2;050/1;050/2).</t>
  </si>
  <si>
    <t>0008962/2024</t>
  </si>
  <si>
    <t>d-slacsctm-04f9-cprr-000130/2024</t>
  </si>
  <si>
    <t>Substituir 25 km de cabos para-raios (EHS 3/8") em 45 vãos da LT 230 kV COTEMINAS /LAGOA DO CARRO C-1 PB/PE-04F9 (051/1;052/1;052/2;053/1;053/2;053/3;054/1;055/1;055/2;056/1;056/2;057/1;057/2;058/1;059/1;059/2;060/1;060/2;061/1;061/2;062/1;063/1;063/2;063/3;064/1;065/1;065/2;066/1;067/1;068/1;068/2;069/1;069/2;070/1;071/1;071/2;072/1;072/2;073/1;073/2;074/1;074/2;075/1;075/2;075/3).</t>
  </si>
  <si>
    <t>0008963/2024</t>
  </si>
  <si>
    <t>d-slacsctm-04f9-cprr-000131/2024</t>
  </si>
  <si>
    <t>Substituir 22,55 km de cabos para-raios (EHS 3/8") em 45 vãos da LT 230 kV COTEMINAS /LAGOA DO CARRO C-1 PB/PE-04F9 (076/1;076/2;077/1;077/2;078/1;078/2;079/1;079/2;079/3;080/1;081/1;082/1;083/1;083/2;083/3;084/1;084/2;085/1;085/2;086/1;086/2;087/1;087/2;088/1;088/2;089/1;089/2;090/1;090/2;091/1;091/2;092/1;093/1;093/2;094/1;094/2;094/3;095/1;095/2;096/1;096/2;097/1;097/2;098/1;098/2).</t>
  </si>
  <si>
    <t>0008964/2024</t>
  </si>
  <si>
    <t>d-slacsctm-04f9-cprr-000132/2024</t>
  </si>
  <si>
    <t>Substituir 23,73 km de cabos para-raios (EHS 3/8") em 46 vãos da LT 230 kV COTEMINAS /LAGOA DO CARRO C-1 PB/PE-04F9 (098/3;099/1;099/2;100/1;100/2;101/1;101/2;102/1;102/2;103/1;104/1;104/2;105/1;106/1;106/2;107/1;108/1;108/2;109/1;109/2;110/1;110/2;111/1;111/2;112/1;112/2;113/1;113/2;113/3;114/1;115/1;115/2;116/1;116/2;117/1;117/2;117/3;118/1;118/2;119/1;119/2;120/1;120/2;120/3;121/1;121/2).</t>
  </si>
  <si>
    <t>0008965/2024</t>
  </si>
  <si>
    <t>d-slacsctm-04f9-cprr-000133/2024</t>
  </si>
  <si>
    <t>Substituir 55,73 km de cabos para-raios (Alumoweld) em 60 vãos da LT 500 kV ANGELIM II /PAU FERRO C-1 PE-05L3 (AGD;000/1;000/2;000/3;001/1;002/1;002/2;002/3;003/1;003/2;003/3;003/4;004/1;004/2;005/1;005/2;005/3;005/4;006/1;006/2;006/3;007/1;007/2;008/1;008/2;009/1;009/2;010/1;010/2;011/1;011/2;012/1;012/2;013/1;013/2;014/1;015/1;016/1;016/2;017/1;018/1;018/2;019/1;019/2;020/1;020/2;021/1;021/2;021/3;022/1;022/2;023/1;024/1;024/2;025/1;025/2;026/1;026/2;027/1;027/2).</t>
  </si>
  <si>
    <t>0008966/2024</t>
  </si>
  <si>
    <t>d-sagdspfe-05l3-cprr-000134/2024</t>
  </si>
  <si>
    <t>Substituir 60,03 km de cabos para-raios (Alumoweld) em 60 vãos da LT 500 kV ANGELIM II /PAU FERRO C-1 PE-05L3 (028/1;028/2;028/3;029/1;030/1;030/2;031/1;031/2;032/1;033/1;033/2;033/3;034/1;035/1;035/2;036/1;036/2;037/1;037/2;038/1;039/1;039/2;039/3;040/1;040/2;041/1;041/2;042/1;043/1;043/2;043/3;044/1;044/2;045/1;045/2;046/1;047/1;047/2;048/1;048/2;049/1;049/2;050/1;050/2;051/1;051/2;052/1;052/2;052/3;053/1;053/2;054/1;054/2;055/1;055/2;056/1;056/2;057/1;057/2;057/3).</t>
  </si>
  <si>
    <t>0008967/2024</t>
  </si>
  <si>
    <t>d-sagdspfe-05l3-cprr-000135/2024</t>
  </si>
  <si>
    <t>Substituir 44,88 km de cabos para-raios (Alumoweld) em 52 vãos da LT 500 kV ANGELIM II /PAU FERRO C-1 PE-05L3 (057/4;058/1;058/2;059/1;059/2;060/1;060/2;061/1;061/2;061/3;062/1;063/1;063/2;064/1;064/2;064/3;065/1;065/2;066/1;066/2;066/3;067/1;067/2;067/3;068/1;068/2;068/3;069/1;070/1;070/2;070/3;071/1;071/2;072/1;072/2;073/1;073/2;073/3;074/1;074/2;074/3;075/1;075/2;076/1;076/2;077/1;077/2;078/1;078/2;079/1;079/2;079/3).</t>
  </si>
  <si>
    <t>0008968/2024</t>
  </si>
  <si>
    <t>d-sagdspfe-05l3-cprr-000136/2024</t>
  </si>
  <si>
    <t>Substituir 49,14 km de cabos para-raios (Alumoweld) em 60 vãos da LT 500 kV ANGELIM II /PAU FERRO C-1 PE-05L3 (080/1;080/2;081/1;081/2;081/3;082/1;082/2;082/3;083/1;083/2;083/3;084/1;084/2;085/1;085/2;085/3;086/1;086/2;087/1;087/2;088/1;088/2;088/3;089/1;089/2;090/1;090/2;091/1;092/1;092/2;093/1;093/2;093/3;094/1;094/2;095/1;096/1;096/2;096/3;097/1;097/2;098/1;098/2;098/3;098/4;099/1;099/2;100/1;100/2;100/3;100/4;101/1;101/2;101/3;102/1;102/2;103/1;103/2;103/3;104/1).</t>
  </si>
  <si>
    <t>0008969/2024</t>
  </si>
  <si>
    <t>d-sagdspfe-05l3-cprr-000137/2024</t>
  </si>
  <si>
    <t>Substituir 46,16 km de cabos para-raios (Alumoweld) em 60 vãos da LT 500 kV ANGELIM II /PAU FERRO C-1 PE-05L3 (104/2;105/1;105/2;106/1;106/2;107/1;107/2;107/3;108/1;108/2;109/1;109/2;109/3;110/1;110/2;110/3;111/1;111/2;111/3;112/1;112/2;112/3;113/1;113/2;114/1;114/2;115/1;115/2;115/3;115/4;116/1;116/2;117/1;117/2;118/1;118/2;118/3;119/1;119/2;119/3;120/1;121/1;121/2;121/3;122/1;122/2;122/3;123/1;123/2;123/3;124/1;124/2;124/3;125/1;125/2;126/1;126/2;126/3;127/1;127/2).</t>
  </si>
  <si>
    <t>0008970/2024</t>
  </si>
  <si>
    <t>d-sagdspfe-05l3-cprr-000138/2024</t>
  </si>
  <si>
    <t>Substituir 21,99 km de cabos para-raios (Alumoweld) em 27 vãos da LT 500 kV ANGELIM II /PAU FERRO C-1 PE-05L3 (127/3;128/1;128/2;128/3;128/4;129/1;129/2;129/3;130/1;130/2;130/3;131/1;131/2;132/1;132/2;132/3;133/1;133/2;133/3;134/1;135/1;136/1;136/2;136/3;137/1;137/2;138/1).</t>
  </si>
  <si>
    <t>0008971/2024</t>
  </si>
  <si>
    <t>d-sagdspfe-05l3-cprr-000139/2024</t>
  </si>
  <si>
    <t>Substituir 48,75 km de cabos para-raios (Alumoweld) em 82 vãos da LT 500 kV OLINDINA /CAMACARI II C-1 BA-05L4 (OLD;1;2;3;4;5;6;7;8;9;10;11;12;13;14;15;16;17;18;19;20;21;22;23;24;25;26;27;28;29;30;31;32;33;34;35;36;37;38;39;40;41;42;43;44;45;46;47;48;49;50;51;52;53;54;55;56;57;58;59;60;61;62;63;64;65;66;67;68;69;70;71;72;73;74;75;76;77;78;79;80;81).</t>
  </si>
  <si>
    <t>0008972/2024</t>
  </si>
  <si>
    <t>d-soldscmd-05l4-cprr-000141/2024</t>
  </si>
  <si>
    <t>Substituir 54,16 km de cabos para-raios (Alumoweld) em 82 vãos da LT 500 kV OLINDINA /CAMACARI II C-1 BA-05L4 (82;83;84;85;86;87;88;89;90;91;92;93;94;95;96;97;98;99;100;101;102;103;104;105;106;107;108;109;110;111;112;113;114;115;116;117;118;119;120;121;122;123;124;125;126;127;128;129;130;131;132;133;134;135;136;137;138;139;140;141;142;143;144;145;146;147;148;149;150;151;152;153;154;155;156;157;158;159;160;161;162;163).</t>
  </si>
  <si>
    <t>0008973/2024</t>
  </si>
  <si>
    <t>d-soldscmd-05l4-cprr-000142/2024</t>
  </si>
  <si>
    <t>Substituir 52,95 km de cabos para-raios (EHS 3/8") em 82 vãos da LT 500 kV OLINDINA /CAMACARI II C-1 BA-05L4 (164;165;166;167;168;169;170;171;172;173;174;175;176;177;178;179;180;181;182;183;184;185;186;187;188;189;190;191;192;193;194;195;196;197;198;199;200;201;202;203;204;205;206;207;208;209;210;211;212;213;214;215;216;217;218;219;220;221;222;223;224;225;226;227;228;229;230;231;232;233;234;235;236;237;238;239;240;241;242;243;244;245).</t>
  </si>
  <si>
    <t>0008974/2024</t>
  </si>
  <si>
    <t>d-soldscmd-05l4-cprr-000143/2024</t>
  </si>
  <si>
    <t>Substituir 50,37 km de cabos para-raios (EHS 3/8") em 82 vãos da LT 500 kV OLINDINA /CAMACARI II C-1 BA-05L4 (246;247;248;249;250;251;252;253;254;255;256;257;258;259;260;261;262;263;264;265;266;267;268;269;270;271;272;273;274;275;276;277;278;279;280;281;282;283;284;285;286;287;288;289;290;291;292;293;294;295;296;297;298;299;300;301;302;303;304;305;306;307;308;309;310;311;312;313;314;315;316;317;318;319;320;321;322;323;324;325;326;327).</t>
  </si>
  <si>
    <t>0008975/2024</t>
  </si>
  <si>
    <t>d-soldscmd-05l4-cprr-000144/2024</t>
  </si>
  <si>
    <t>Substituir 67,33 km de cabos para-raios (EHS 3/8") em 82 vãos da LT 500 kV OLINDINA /CAMACARI II C-1 BA-05L4 (328;329;330;331;332;333;334;335;336;337;338;339;340;341;342;343;344;345;346;347;348;349;350;351;352;353;354;355;356;357;358;359;360;361;362;363;364;365;366;367;368;369;370;371;372;373;374;375;376;377;378;379;380;381;382;383;384;385;386;387;388;389;390;391;392;393;394;395;396;397;398;399;400;401;402;403;404;405;406;407;408;409).</t>
  </si>
  <si>
    <t>0008976/2024</t>
  </si>
  <si>
    <t>d-soldscmd-05l4-cprr-000145/2024</t>
  </si>
  <si>
    <t>Substituir 20,92 km de cabos para-raios (EHS 3/8") em 29 vãos da LT 500 kV OLINDINA /CAMACARI II C-1 BA-05L4 (410;411;412;413;414;415;416;417;418;419;420;421;422;423;424;425;426;427;428;429;430;431;432;433;434;435;436;437;438).</t>
  </si>
  <si>
    <t>0008977/2024</t>
  </si>
  <si>
    <t>d-soldscmd-05l4-cprr-000146/2024</t>
  </si>
  <si>
    <t>Substituir 32,74 km de cabos para-raios (EHS 3/8") em 55 vãos da LT 230 kV SAPEACU /FUNIL C-1 BA-04F1 (SPU;001/1;001/2;001/3;002/1;002/2;002/3;002/4;002/5;002/6;003/1;003/2;004/1;004/2;004/3;004/4;005/1;005/2;005/3;006/1;006/2;006/3;007/1;007/2;007/3;008/1;008/2;008/3;008/4;009/1;009/2;009/3;010/1;010/2;010/3;010/4;011/1;011/2;012/1;012/2;012/3;013/1;013/2;013/3;013/4;014/1;014/2;014/3;015/1;015/2;015/3;016/1;016/2;016/3;016/4).</t>
  </si>
  <si>
    <t>0008978/2024</t>
  </si>
  <si>
    <t>d-sspusfnl-04f1-cprr-000147/2024</t>
  </si>
  <si>
    <t>Substituir 33,53 km de cabos para-raios (EHS 3/8") em 55 vãos da LT 230 kV SAPEACU /FUNIL C-1 BA-04F1 (017/1;017/2;017/3;018/1;018/2;019/1;019/2;019/3;020/1;020/2;020/3;021/1;021/2;021/3;022/1;022/2;022/3;022/4;023/1;023/2;023/3;023/4;023/5;024/1;024/2;024/3;024/4;025/1;025/2;025/3;025/4;026/1;026/2;026/3;027/1;027/2;027/3;028/1;028/2;028/3;029/1;029/2;029/3;030/1;030/2;030/3;031/1;031/2;031/3;032/1;032/2;032/3;033/1;033/2;033/3).</t>
  </si>
  <si>
    <t>0008979/2024</t>
  </si>
  <si>
    <t>d-sspusfnl-04f1-cprr-000148/2024</t>
  </si>
  <si>
    <t>Substituir 38,16 km de cabos para-raios (EHS 3/8") em 60 vãos da LT 230 kV SAPEACU /FUNIL C-1 BA-04F1 (033/4;034/1;034/2;035/1;035/2;035/3;036/1;036/2;036/3;037/1;037/2;037/3;038/1;038/2;038/3;038/4;038/5;039/1;039/2;039/3;040/1;040/2;040/3;041/1;041/2;041/3;042/1;042/2;043/1;043/2;043/3;044/1;044/2;044/3;045/1;045/2;045/3;045/4;046/1;046/2;046/3;046/4;047/1;047/2;047/3;048/1;048/2;048/3;049/1;049/2;049/3;049/4;050/1;050/2;051/1;051/2;051/3;052/1;052/2;052/3).</t>
  </si>
  <si>
    <t>0008980/2024</t>
  </si>
  <si>
    <t>d-sspusfnl-04f1-cprr-000149/2024</t>
  </si>
  <si>
    <t>Substituir 37,01 km de cabos para-raios (EHS 3/8") em 60 vãos da LT 230 kV SAPEACU /FUNIL C-1 BA-04F1 (053/1;053/2;053/3;054/1;054/2;054/3;055/1;055/2;055/3;056/1;056/2;056/3;057/1;057/2;057/3;057/4;058/1;058/2;058/3;059/1;059/2;059/3;060/1;060/2;060/3;060/4;061/1;061/2;061/3;062/1;062/2;062/3;062/4;063/1;063/2;063/3;063/4;064/1;064/2;064/3;065/1;065/2;065/3;066/1;066/2;066/3;067/1;067/2;068/1;068/2;068/3;069/1;069/2;069/3;069/4;070/1;070/2;070/3;071/1;071/2).</t>
  </si>
  <si>
    <t>0008981/2024</t>
  </si>
  <si>
    <t>d-sspusfnl-04f1-cprr-000150/2024</t>
  </si>
  <si>
    <t>Substituir 42,88 km de cabos para-raios (EHS 3/8") em 60 vãos da LT 230 kV SAPEACU /FUNIL C-1 BA-04F1 (071/3;071/4;072/1;072/2;072/3;073/1;073/2;073/3;073/4;074/1;074/2;075/1;075/2;076/1;076/2;077/1;078/1;078/2;078/3;079/1;079/2;079/3;080/1;080/2;080/3;081/1;081/2;081/3;082/1;082/2;083/1;083/2;083/3;084/1;084/2;084/3;085/1;085/2;085/3;085/4;086/1;086/2;086/3;087/1;087/2;087/3;087/4;088/1;088/2;088/3;089/1;089/2;089/3;090/1;090/2;090/3;091/1;091/2;091/3;092/1).</t>
  </si>
  <si>
    <t>0008982/2024</t>
  </si>
  <si>
    <t>d-sspusfnl-04f1-cprr-000151/2024</t>
  </si>
  <si>
    <t>Substituir 49,21 km de cabos para-raios (EHS 3/8") em 60 vãos da LT 230 kV SAPEACU /FUNIL C-1 BA-04F1 (092/2;093/1;093/2;094/1;094/2;094/3;095/1;095/2;095/3;096/1;096/2;097/1;097/2;098/1;098/2;098/3;099/1;099/2;099/3;100/1;100/2;100/3;100/4;101/1;101/2;102/1;102/2;102/3;103/1;103/2;103/3;104/1;104/2;105/1;105/2;106/1;106/2;107/1;107/2;107/3;108/1;109/1;109/2;110/1;110/2;110/3;111/1;111/2;112/1;112/2;113/1;113/2;114/1;114/2;115/1;115/2;115/3;116/1;116/2;117/1).</t>
  </si>
  <si>
    <t>0008983/2024</t>
  </si>
  <si>
    <t>d-sspusfnl-04f1-cprr-000152/2024</t>
  </si>
  <si>
    <t>Substituir 60,99 km de cabos para-raios (EHS 3/8") em 60 vãos da LT 230 kV SAPEACU /FUNIL C-1 BA-04F1 (117/2;117/3;118/1;118/2;119/1;119/2;119/3;120/1;120/2;121/1;121/2;122/1;122/2;123/1;123/2;124/1;125/1;126/1;127/1;127/2;127/3;128/1;129/1;130/1;130/2;131/1;132/1;132/2;133/1;134/1;134/2;135/1;135/2;136/1;136/2;137/1;138/1;138/2;138/3;139/1;140/1;140/2;140/3;141/1;141/2;142/1;142/2;143/1;143/2;144/1;144/2;144/3;145/1;145/2;145/3;146/1;146/2;147/1;147/2;147/3).</t>
  </si>
  <si>
    <t>0008984/2024</t>
  </si>
  <si>
    <t>d-sspusfnl-04f1-cprr-000153/2024</t>
  </si>
  <si>
    <t>Substituir 58,41 km de cabos para-raios (EHS 3/8") em 60 vãos da LT 230 kV SAPEACU /FUNIL C-1 BA-04F1 (148/1;148/2;149/1;149/2;150/1;150/2;150/3;151/1;151/2;151/3;152/1;153/1;153/2;153/3;154/1;154/2;155/1;156/1;156/2;156/3;157/1;157/2;158/1;158/2;159/1;159/2;160/1;160/2;160/3;161/1;162/1;162/2;163/1;163/2;164/1;164/2;164/3;165/1;166/1;167/1;167/2;168/1;168/2;169/1;169/2;170/1;170/2;170/3;171/1;171/2;171/3;172/1;172/2;173/1;173/2;174/1;174/2;175/1;175/2;176/1).</t>
  </si>
  <si>
    <t>0008985/2024</t>
  </si>
  <si>
    <t>d-sspusfnl-04f1-cprr-000154/2024</t>
  </si>
  <si>
    <t>Substituir 37,91 km de cabos para-raios (EHS 3/8") em 41 vãos da LT 230 kV SAPEACU /FUNIL C-1 BA-04F1 (177/1;177/2;178/1;179/1;180/1;180/2;181/1;181/2;182/1;182/2;183/1;183/2;184/1;184/2;185/1;185/2;186/1;186/2;187/1;187/2;187/3;188/1;188/2;189/1;189/2;190/1;190/2;191/1;191/2;192/1;192/2;192/3;193/1;193/2;194/1;194/2;194/3;195/1;196/1;196/2;196/3).</t>
  </si>
  <si>
    <t>0008986/2024</t>
  </si>
  <si>
    <t>d-sspusfnl-04f1-cprr-000155/2024</t>
  </si>
  <si>
    <t>Substituição de Teleproteção Principal na LT SAPEACU /STO.A.JESUS C-2 (04F3), na subestação SAPEACU, composto por: 01 Transceptor de dados.</t>
  </si>
  <si>
    <t>0008987/2024</t>
  </si>
  <si>
    <t>11373911</t>
  </si>
  <si>
    <t>Substituição de Teleproteção Alternada na LT SAPEACU /STO.A.JESUS C-2 (04F3), na subestação SAPEACU, composto por: 01 Transceptor de dados.</t>
  </si>
  <si>
    <t>0008988/2024</t>
  </si>
  <si>
    <t>11373913</t>
  </si>
  <si>
    <t>Substituição de Teleproteção Principal na LT PARAISO /ACU II C-2 (04L4), na subestação PARAISO, composto por: 01 Transceptor de dados.</t>
  </si>
  <si>
    <t>0008989/2024</t>
  </si>
  <si>
    <t>11369890</t>
  </si>
  <si>
    <t>Substituição de Teleproteção Alternada na LT PARAISO /ACU II C-2 (04L4), na subestação PARAISO, composto por: 01 Transceptor de dados.</t>
  </si>
  <si>
    <t>0008990/2024</t>
  </si>
  <si>
    <t>11369891</t>
  </si>
  <si>
    <t>Substituição de Teleproteção Principal na LT SAPEACU /STO.A.JESUS C-2 (04F3), na subestação STO.A.JESUS, composto por: 01 Transceptor de dados.</t>
  </si>
  <si>
    <t>0008991/2024</t>
  </si>
  <si>
    <t>11372998</t>
  </si>
  <si>
    <t>Substituição de Teleproteção Alternada na LT SAPEACU /STO.A.JESUS C-2 (04F3), na subestação STO.A.JESUS, composto por: 01 Transceptor de dados.</t>
  </si>
  <si>
    <t>0008992/2024</t>
  </si>
  <si>
    <t>11372994</t>
  </si>
  <si>
    <t>Substituição de Teleproteção Principal na LT PARAISO /ACU II C-2 (04L4), na subestação ACU II, composto por: 01 Transceptor de dados.</t>
  </si>
  <si>
    <t>0008993/2024</t>
  </si>
  <si>
    <t>11369888</t>
  </si>
  <si>
    <t>Substituição de Teleproteção Alternada na LT PARAISO /ACU II C-2 (04L4), na subestação ACU II, composto por: 01 Transceptor de dados.</t>
  </si>
  <si>
    <t>0008994/2024</t>
  </si>
  <si>
    <t>11369889</t>
  </si>
  <si>
    <t>Substituição de 01 (um) disjuntor 13,8 KV, posição operacional 11BP da subestação FNL</t>
  </si>
  <si>
    <t>0008995/2024</t>
  </si>
  <si>
    <t>11BP</t>
  </si>
  <si>
    <t>Substituição de 01 (um) disjuntor 13,8 KV, posição operacional 11E2 da subestação IRE</t>
  </si>
  <si>
    <t>0008996/2024</t>
  </si>
  <si>
    <t>Substituição de 01 (um) disjuntor 13,8 KV, posição operacional 11T5 da subestação MLG</t>
  </si>
  <si>
    <t>0008997/2024</t>
  </si>
  <si>
    <t>11T5</t>
  </si>
  <si>
    <t>Substituição de 01 (um) disjuntor 13,8 KV, posição operacional 11T6 da subestação MLG</t>
  </si>
  <si>
    <t>MC 13,8 kV TR 69/13,8 kV MILAGRES TR6 CE (31T6-9)</t>
  </si>
  <si>
    <t>0009001/2024</t>
  </si>
  <si>
    <t>11T6</t>
  </si>
  <si>
    <t>Substituição de 01 (um) disjuntor 13,8 KV, posição operacional 11E1 da subestação PRI</t>
  </si>
  <si>
    <t>0008998/2024</t>
  </si>
  <si>
    <t>Substituição de 01 (um) disjuntor 13,8 KV, posição operacional 11E1 da subestação MSD</t>
  </si>
  <si>
    <t>RTB 13,8 kV 5 MVAr MOSSORO II RT1 RN</t>
  </si>
  <si>
    <t>0008999/2024</t>
  </si>
  <si>
    <t>Substituição de 01 (um) disjuntor 13,8 KV, posição operacional 11T2 da subestação MSD</t>
  </si>
  <si>
    <t>TR 230/69 kV MOSSORO II TR2 RN</t>
  </si>
  <si>
    <t>0009000/2024</t>
  </si>
  <si>
    <t>Substituição de 01 (um) disjuntor 13,8 KV, posição operacional 11T3 da subestação MLG</t>
  </si>
  <si>
    <t>0009002/2024</t>
  </si>
  <si>
    <t>11T3</t>
  </si>
  <si>
    <t>Substituição de 01 (um) disjuntor 13,8 KV, posição operacional 11T4 da subestação MLG</t>
  </si>
  <si>
    <t>0009003/2024</t>
  </si>
  <si>
    <t>11T4</t>
  </si>
  <si>
    <t>Substituição de 01 (uma) seccionadora 13,8 KV, posição operacional 31T3-4 da subestação MLG</t>
  </si>
  <si>
    <t>0009004/2024</t>
  </si>
  <si>
    <t>31T3-4</t>
  </si>
  <si>
    <t>Substituição de 01 (uma) seccionadora 13,8 KV, posição operacional 31T3-5 da subestação MLG</t>
  </si>
  <si>
    <t>0009005/2024</t>
  </si>
  <si>
    <t>31T3-5</t>
  </si>
  <si>
    <t>Substituição de 01 (um) disjuntor 13,8 KV, posição operacional 11Y1 da subestação FNL</t>
  </si>
  <si>
    <t>EL 13,8 kV FUNIL GER1 (11Y1)</t>
  </si>
  <si>
    <t>0009006/2024</t>
  </si>
  <si>
    <t>11Y1</t>
  </si>
  <si>
    <t>Substituição do Sistema de Registro de Perturbação, na subestação ACU II, composto por: 01 Oscilógrafo.</t>
  </si>
  <si>
    <t>0009007/2024</t>
  </si>
  <si>
    <t>12445253</t>
  </si>
  <si>
    <t>Substituição do Sistema de Registro de Perturbação, na subestação COTEGIPE, composto por: 01 Oscilógrafo.</t>
  </si>
  <si>
    <t>0009008/2024</t>
  </si>
  <si>
    <t>11449349</t>
  </si>
  <si>
    <t>Substituição do Sistema de Registro de Perturbação, na subestação DELM. GOUVEIA, composto por: 01 Oscilógrafo.</t>
  </si>
  <si>
    <t>0009009/2024</t>
  </si>
  <si>
    <t>11449278</t>
  </si>
  <si>
    <t>Substituição do Sistema de Registro de Perturbação, na subestação PICOS, composto por: 01 Oscilógrafo.</t>
  </si>
  <si>
    <t>0009010/2024</t>
  </si>
  <si>
    <t>11446278</t>
  </si>
  <si>
    <t>Substituição do Sistema de Registro de Perturbação, na subestação STO.A.JESUS, composto por: 01 Oscilógrafo.</t>
  </si>
  <si>
    <t>0009011/2024</t>
  </si>
  <si>
    <t>11446326</t>
  </si>
  <si>
    <t>Substituição de 01 Unidade de Controle no Módulo Geral, na subestação PICOS.</t>
  </si>
  <si>
    <t>0009012/2024</t>
  </si>
  <si>
    <t>12406411</t>
  </si>
  <si>
    <t>Substituição de 01 (um) pólo de disjuntor 230 KV, posição operacional 14T2 da Subestação RSD</t>
  </si>
  <si>
    <t>0009013/2024</t>
  </si>
  <si>
    <t>12660128</t>
  </si>
  <si>
    <t>Substituição de 01 (uma) seccionadora 13,8 KV, posição operacional 31T4-4 da subestação MLG</t>
  </si>
  <si>
    <t>0009017/2024</t>
  </si>
  <si>
    <t>31T4-4</t>
  </si>
  <si>
    <t>Substituição de 01 (uma) seccionadora 13,8 KV, posição operacional 31T4-5 da subestação MLG</t>
  </si>
  <si>
    <t>0009018/2024</t>
  </si>
  <si>
    <t>31T4-5</t>
  </si>
  <si>
    <t>Substituição de 01 (um) transformador de corrente 13,8 KV, posição operacional 91T3.A da subestação MLG</t>
  </si>
  <si>
    <t>0009027/2024</t>
  </si>
  <si>
    <t>91T3.A</t>
  </si>
  <si>
    <t>Substituição de 01 (um) transformador de corrente 13,8 KV, posição operacional 91T3.B da subestação MLG</t>
  </si>
  <si>
    <t>0009028/2024</t>
  </si>
  <si>
    <t>91T3.B</t>
  </si>
  <si>
    <t>Substituição de 01 (um) transformador de corrente 13,8 KV, posição operacional 91T3.C da subestação MLG</t>
  </si>
  <si>
    <t>0009029/2024</t>
  </si>
  <si>
    <t>91T3.C</t>
  </si>
  <si>
    <t>Substituição de 01 (um) transformador de corrente 13,8 KV, posição operacional 91T4.A da subestação MLG</t>
  </si>
  <si>
    <t>0009030/2024</t>
  </si>
  <si>
    <t>91T4.A</t>
  </si>
  <si>
    <t>Substituição de 01 (um) transformador de corrente 13,8 KV, posição operacional 91T4.B da subestação MLG</t>
  </si>
  <si>
    <t>0009031/2024</t>
  </si>
  <si>
    <t>91T4-A.B</t>
  </si>
  <si>
    <t>Substituição de 01 (um) transformador de corrente 13,8 KV, posição operacional 91T4.C da subestação MLG</t>
  </si>
  <si>
    <t>0009032/2024</t>
  </si>
  <si>
    <t>91T4-A.C</t>
  </si>
  <si>
    <t>Substituição de 01 (um) transformador de corrente 13,8 KV, posição operacional 91T4.A-A da subestação MLG</t>
  </si>
  <si>
    <t>0009033/2024</t>
  </si>
  <si>
    <t>91T4-A.A</t>
  </si>
  <si>
    <t>Substituição de 01 (um) disjuntor 13,8 KV, posição operacional 11E1 da subestação IRE.</t>
  </si>
  <si>
    <t>0009034/2024</t>
  </si>
  <si>
    <t>Substituição de 2000 metros de Cabo Isolado de 13,8 kV, posição operacional 11T3 da subestação MLG</t>
  </si>
  <si>
    <t>0009035/2024</t>
  </si>
  <si>
    <t>12660134</t>
  </si>
  <si>
    <t>Substituição de 2000 metros de Cabo Isolado de 13,8 kV, posição operacional 11T4 da subestação MLG</t>
  </si>
  <si>
    <t>0009036/2024</t>
  </si>
  <si>
    <t>12660135</t>
  </si>
  <si>
    <t>Substituição de 01 (um) painel de fechamento de delta de 13,8 KV, posição operacional 05T1 da subestação CMD</t>
  </si>
  <si>
    <t>0009037/2024</t>
  </si>
  <si>
    <t>12658281</t>
  </si>
  <si>
    <t>Substituição de 01 (um) painel de fechamento de delta de 13,8 KV, posição operacional 05T2 da subestação CMD</t>
  </si>
  <si>
    <t>0009038/2024</t>
  </si>
  <si>
    <t>12658282</t>
  </si>
  <si>
    <t>Substituição de 01 (um) painel de fechamento de delta de 13,8 KV, posição operacional 05T3 da subestação CMD</t>
  </si>
  <si>
    <t>0009039/2024</t>
  </si>
  <si>
    <t>12658283</t>
  </si>
  <si>
    <t>Substituição de 01 (um) painel de ventilação 13,8 KV, posição operacional 05T1 da subestação CMD</t>
  </si>
  <si>
    <t>0009040/2024</t>
  </si>
  <si>
    <t>12660138</t>
  </si>
  <si>
    <t>Substituição de 01 (um) painel de ventilação 13,8 KV, posição operacional 05T2 da subestação CMD</t>
  </si>
  <si>
    <t>0009041/2024</t>
  </si>
  <si>
    <t>12660139</t>
  </si>
  <si>
    <t>Substituição de 01 (um) painel de ventilação 13,8 KV, posição operacional 05T3 da subestação CMD</t>
  </si>
  <si>
    <t>0009042/2024</t>
  </si>
  <si>
    <t>12660137</t>
  </si>
  <si>
    <t>Substituição de proteção de Barra Principal e Alternada da barra BR8B e BR8D, na SE Ibiúna.</t>
  </si>
  <si>
    <t>MG IBIUNA / CCO-2001-062 - RB</t>
  </si>
  <si>
    <t>0009179/2024</t>
  </si>
  <si>
    <t>SPCS345 Barra BR8B e BR8D</t>
  </si>
  <si>
    <t>Substituição do Reator de 500KV - PDRE7-09 - Fase V - 11991554.</t>
  </si>
  <si>
    <t>0000044/2025</t>
  </si>
  <si>
    <t>PDRE709</t>
  </si>
  <si>
    <t>Substituição do Reator de 500KV - PDRE7-09 - Fase R - 11991549.</t>
  </si>
  <si>
    <t>0000067/2025</t>
  </si>
  <si>
    <t>PDRE709 FASE R</t>
  </si>
  <si>
    <t>Substituição do Autotransformador Regulador Trifásico de 230kV - BPAT6-03 - 50MVA - 230/138/13,8 kV - 11912442</t>
  </si>
  <si>
    <t>0000106/2025</t>
  </si>
  <si>
    <t>BPAT603</t>
  </si>
  <si>
    <t>Substituição de 1 (um) Disjuntor 500 kV posição operacional 15D4 da Subestação PAQ</t>
  </si>
  <si>
    <t>0000484/2025</t>
  </si>
  <si>
    <t>15D4</t>
  </si>
  <si>
    <t>Substituição do Transformador Monofásico TR2 (AT02) 750/500 kV, 550MVA, fase A, na SE F.IGUACU 60HZ.</t>
  </si>
  <si>
    <t>TR 765/500 kV F.IGUACU 60HZ TR2 PR</t>
  </si>
  <si>
    <t>0000651/2025</t>
  </si>
  <si>
    <t>AT02 A</t>
  </si>
  <si>
    <t>Substituição do Transformador Trifásico TF1 (PRTF6-01) 230/69kV, 100MVA, na SE PERITORO.</t>
  </si>
  <si>
    <t>0000700/2025</t>
  </si>
  <si>
    <t>PRTF601</t>
  </si>
  <si>
    <t>Substituição do Transformador Monofásico TR6 (TF6) 525/230/13,8kV, 224MVA, fase A, na SE BLUMENAU</t>
  </si>
  <si>
    <t>TR 500/230 kV BLUMENAU TR6 SC</t>
  </si>
  <si>
    <t>0000709/2025</t>
  </si>
  <si>
    <t>TF6-A</t>
  </si>
  <si>
    <t>Substituição do Transformador Monofásico TR6 (TF6) 525/230/13,8kV, 224MVA, fase B, na SE BLUMENAU</t>
  </si>
  <si>
    <t>0000710/2025</t>
  </si>
  <si>
    <t>TF6-B</t>
  </si>
  <si>
    <t>Substituição do Reator de Barra Monofásico RT1 (RE1-A) 525kV 50MVAr. fase A, na SE BLUMENAU.</t>
  </si>
  <si>
    <t>RTB 500 kV 150 Mvar BLUMENAU RT1 SC</t>
  </si>
  <si>
    <t>0000711/2025</t>
  </si>
  <si>
    <t>RE1-A</t>
  </si>
  <si>
    <t>Substituição do Reator de Barra Monofásico RT1 (RE1-B) 525kV 50MVAr. fase B, na SE BLUMENAU.</t>
  </si>
  <si>
    <t>0000712/2025</t>
  </si>
  <si>
    <t>RE1-B</t>
  </si>
  <si>
    <t>Substituição do Reator de Barra Monofásico RT1 (RE1-C) 525kV 50MVAr. fase C, na SE BLUMENAU.</t>
  </si>
  <si>
    <t>0000713/2025</t>
  </si>
  <si>
    <t>RE1-C</t>
  </si>
  <si>
    <t>Substituição do Reator de Barra Monofásico (RE-R) 525kV 50MVAr. fase Reserva, na SE BLUMENAU.</t>
  </si>
  <si>
    <t>RTB 500 kV 50 Mvar BLUMENAU RTR1 SC</t>
  </si>
  <si>
    <t>0000714/2025</t>
  </si>
  <si>
    <t>RE1-R</t>
  </si>
  <si>
    <t>Substituição do Banco de Capacitor Derivação BC1 230kV, 100MVAr, arranjo BPT, na SE XANXERE ESU.</t>
  </si>
  <si>
    <t>BC 230 kV 100 Mvar XANXERE ESU BC1 SC</t>
  </si>
  <si>
    <t>0000715/2025</t>
  </si>
  <si>
    <t>Substituição do Transformador Trifásico TR7 (TF7) 230/69kV, 33,3MVA, na SE S. OSORIO.</t>
  </si>
  <si>
    <t>TR 230/69 kV S. OSORIO TR7 PR</t>
  </si>
  <si>
    <t>0000716/2025</t>
  </si>
  <si>
    <t>TF7</t>
  </si>
  <si>
    <t>Substituição do Reator de Barra Monofásico RT1 (Shunt RE1) 525kV, 50MVAr, Fase B, na SE CURITIBA.</t>
  </si>
  <si>
    <t>RTB 500 kV 150 Mvar CURITIBA RT1 PR</t>
  </si>
  <si>
    <t>0000717/2025</t>
  </si>
  <si>
    <t>Substituição do Reator de Barra Monofásico RT1 (Shunt RE1) 525kV, 50MVAr, Fase C, na SE CURITIBA.</t>
  </si>
  <si>
    <t>0000718/2025</t>
  </si>
  <si>
    <t>Substituição do transformador trifásico TR2 (TF2) 138/69/13,2 KV, 33MVA na SE JOINVILLE</t>
  </si>
  <si>
    <t>0000719/2025</t>
  </si>
  <si>
    <t>TF2</t>
  </si>
  <si>
    <t>Substituição do Transformador Trifásico TR10 (TF10) 230/69kV, 83MVA, na SE J.LACERDA-A.</t>
  </si>
  <si>
    <t>0000720/2025</t>
  </si>
  <si>
    <t>Substituição do Reator de Linha Monofásico RT8 (PDRE7-08) 500kV, 50 MVAr, fase B, na SE P.DUTRA</t>
  </si>
  <si>
    <t>0000721/2025</t>
  </si>
  <si>
    <t>PDRE708</t>
  </si>
  <si>
    <t>Substituição do Reator de Linha Monofásico RT8 (PDRE7-08) 500kV, 50 MVAr, fase V, na SE P.DUTRA</t>
  </si>
  <si>
    <t>0000722/2025</t>
  </si>
  <si>
    <t>Substituição do Reator de Linha Monofásico RTR1 (PDRE7-08) 500kV, 50 MVAr, fase R, na SE P.DUTRA</t>
  </si>
  <si>
    <t>RTL 500 kV 50 Mvar P.DUTRA RTR1 MA</t>
  </si>
  <si>
    <t>0000723/2025</t>
  </si>
  <si>
    <t>PDRR708</t>
  </si>
  <si>
    <t>Substituição do Reator de Barra Monofásico RT9 (PDRE7-09-A) 500kV, 60 MVAr, fase A, na SE P.DUTRA</t>
  </si>
  <si>
    <t>0000724/2025</t>
  </si>
  <si>
    <t>Substituição do Reator de Barra Monofásico RT9 (PDRE7-09-B) 500kV, 60 MVAr, fase B, na SE P.DUTRA</t>
  </si>
  <si>
    <t>0000725/2025</t>
  </si>
  <si>
    <t>Substituição do Reator de Barra Trifásico RT1 ( MRRE6-01) 230kV, 10 MVAr,  na SE MIRANDA II.</t>
  </si>
  <si>
    <t>RTB 230 kV 10 MVAr MIRANDA II RT1 MA</t>
  </si>
  <si>
    <t>0000726/2025</t>
  </si>
  <si>
    <t>MRRE601</t>
  </si>
  <si>
    <t>Substituição do Reator de Barra Trifásico RT2  (MRRE6-02) 230kV, 10MVAr, na SE MIRANDA II.</t>
  </si>
  <si>
    <t>RTB 230 kV 10 MVAr MIRANDA II RT2 MA</t>
  </si>
  <si>
    <t>0000727/2025</t>
  </si>
  <si>
    <t>MRRE602</t>
  </si>
  <si>
    <t>Substituição do Banco de Capacitor Derivação BC1 (SSBC201) 13,8kV, 3,6 MVAr, arranjo BS, na SE SORRISO</t>
  </si>
  <si>
    <t>BC 13,8 kV 3,6 MVAr SORRISO BC1 MT</t>
  </si>
  <si>
    <t>0000728/2025</t>
  </si>
  <si>
    <t>SSBC201</t>
  </si>
  <si>
    <t>Substituição do Banco de Capacitor Derivação BC2 (SSBC202) 13,8kV, 3,6 MVAr, arranjo BS, na SE SORRISO</t>
  </si>
  <si>
    <t>BC 13,8 kV 3,6 MVAr SORRISO BC2 MT</t>
  </si>
  <si>
    <t>0000729/2025</t>
  </si>
  <si>
    <t>SSBC202</t>
  </si>
  <si>
    <t>Substituição do Banco de Capacitor Derivação BC1 (CJBC601) 230kV, 30 MVAr, arranjo BD4, na SE CARAJAS</t>
  </si>
  <si>
    <t>BC 230 kV 30 MVAr CARAJAS BC1 PA</t>
  </si>
  <si>
    <t>0000730/2025</t>
  </si>
  <si>
    <t>CJBC601</t>
  </si>
  <si>
    <t>Substituição do Banco de Capacitor Derivação BC3 (VNBC603) 230kV, 116MVAr,  arranjo BD4, na SE VILHENA</t>
  </si>
  <si>
    <t>BC 230 kV 18,5 Mvar VILHENA BC3 RO</t>
  </si>
  <si>
    <t>0000731/2025</t>
  </si>
  <si>
    <t>VNBC603</t>
  </si>
  <si>
    <t>Substituição do Reator de Linha Monofásico RT4 (IZRE7-04) 500kV, 50 MVAr, fase A, na SE IMPERATRIZ</t>
  </si>
  <si>
    <t>0000732/2025</t>
  </si>
  <si>
    <t>IZRE704</t>
  </si>
  <si>
    <t>Substituição do Reator de Linha Monofásico RT4 (IZRE7-04) 500kV, 50 MVAr, fase B, na SE IMPERATRIZ</t>
  </si>
  <si>
    <t>0000733/2025</t>
  </si>
  <si>
    <t>Substituição do Reator de Linha Monofásico RT4 (IZRE7-04) 500kV, 50 MVAr, fase V, na SE IMPERATRIZ</t>
  </si>
  <si>
    <t>0000734/2025</t>
  </si>
  <si>
    <t>Substituição do Reator de Barra Monofásico RT14 (IZRE7-14-A) 500kV, 60MVAr, fase A, na SE IMPERATRIZ.</t>
  </si>
  <si>
    <t>0000735/2025</t>
  </si>
  <si>
    <t>IZRE7-14 A</t>
  </si>
  <si>
    <t>Substituição do Reator de Barra Monofásico RT14 (IZRE7-14-B) 500kV, 60MVAr, fase B, na SE IMPERATRIZ.</t>
  </si>
  <si>
    <t>0000736/2025</t>
  </si>
  <si>
    <t>IZRE714</t>
  </si>
  <si>
    <t>Substituição do Reator de Barra Monofásico RT14 (IZRE7-14-V) 500kV, 60MVAr, fase V, na SE IMPERATRIZ.</t>
  </si>
  <si>
    <t>0000737/2025</t>
  </si>
  <si>
    <t>Substituição do Reator de Barra Monofásico RTR14 (IZRE7-14-R) 500kV, 60MVAr, fase R, na SE IMPERATRIZ.</t>
  </si>
  <si>
    <t>RTB 500 kV 54,4 Mvar IMPERATRIZ RTR14 MA</t>
  </si>
  <si>
    <t>0000738/2025</t>
  </si>
  <si>
    <t>Substituição do Reator de Barra Monofásico RT11 ( IZRE711-A) 500kV, 55MVAr, fase A, na SE IMPERATRIZ.</t>
  </si>
  <si>
    <t>0000739/2025</t>
  </si>
  <si>
    <t>IZRE711</t>
  </si>
  <si>
    <t>Substituição do Reator de Barra Monofásico RT11 ( IZRE711-B) 500kV, 55MVAr, fase B, na SE IMPERATRIZ.</t>
  </si>
  <si>
    <t>0000740/2025</t>
  </si>
  <si>
    <t>Substituição do Reator de Barra Monofásico RT11 ( IZRE711-V) 500kV, 55MVAr, fase V, na SE IMPERATRIZ.</t>
  </si>
  <si>
    <t>0000741/2025</t>
  </si>
  <si>
    <t>Substituição do Banco de Capacitor Derivação BC2 (JPBC6-02) 230KV, 18,5MVAR, arranjo BD3, na SE JI-PARANA.</t>
  </si>
  <si>
    <t>BC 230 kV 18,5 Mvar JI-PARANA BC2 RO</t>
  </si>
  <si>
    <t>0000742/2025</t>
  </si>
  <si>
    <t>JPBC602</t>
  </si>
  <si>
    <t>Substituição do Banco de Capacitor Derivação BC1 (JPBC6-01) 230KV, 18,5MVAR, arranjo BD3, na SE JI-PARANA.</t>
  </si>
  <si>
    <t>0000743/2025</t>
  </si>
  <si>
    <t>JPBC601</t>
  </si>
  <si>
    <t>Substituição da Reator de Linha Trifásico RT1 (JPRE6-01) 230kV, 20 MVAR, na SE JI-PARANA.</t>
  </si>
  <si>
    <t>RTL 230 kV 20 Mvar JI-PARANA RT1 RO</t>
  </si>
  <si>
    <t>0000744/2025</t>
  </si>
  <si>
    <t>JPRE601</t>
  </si>
  <si>
    <t>Substituição do Transformador Trifásico Reserva TRR1 (BPATR601) 230/138kV, 50 MVA, na SE BARRA PEIXE</t>
  </si>
  <si>
    <t>TR 230/138 kV BARRA PEIXE TRR1 MT</t>
  </si>
  <si>
    <t>0000745/2025</t>
  </si>
  <si>
    <t>BPATR601</t>
  </si>
  <si>
    <t>Substituição do Reator de Linha Trifásico RT1 (BPRE601) 230kV, 20 MVAr, arranjo BD4, na SE BARRA PEIXE</t>
  </si>
  <si>
    <t>0000746/2025</t>
  </si>
  <si>
    <t>BPRE601</t>
  </si>
  <si>
    <t>Substituição do Transformador Monofásico TR1 (BPAT601) 230/138/13,8 kV, 16,67 MVA, fase A, na SE BARRA PEIXE</t>
  </si>
  <si>
    <t>TR 230/138 kV BARRA PEIXE TR1 MT</t>
  </si>
  <si>
    <t>0000747/2025</t>
  </si>
  <si>
    <t>BPAT601</t>
  </si>
  <si>
    <t>Substituição do Transformador Monofásico TR1 (BPAT601) 230/138/13,8 kV, 16,67 MVA, fase B, na SE BARRA PEIXE</t>
  </si>
  <si>
    <t>0000748/2025</t>
  </si>
  <si>
    <t>Substituição do Transformador Trifásico TF1 (PFTF601) 230/69 kV, 33 MVA, na SE PORTO FRANCO</t>
  </si>
  <si>
    <t>0000749/2025</t>
  </si>
  <si>
    <t>Substituição do Transformador Trifásico TF2 (PFTF602) 230/69kV, 33MVA, na SE PORTO FRANCO</t>
  </si>
  <si>
    <t>0000750/2025</t>
  </si>
  <si>
    <t>Substituição do Reator de Linha Monofásico RT2 (CORE7-02) 500kV, 55MVAr, fase A, na SE COLINAS.</t>
  </si>
  <si>
    <t>0000751/2025</t>
  </si>
  <si>
    <t>CORE702</t>
  </si>
  <si>
    <t>Substituição do Transformador Trifásico TR1 (LITF6-01) 230/69kV, 100MVA, na SE SAO LUIS I.</t>
  </si>
  <si>
    <t>0000752/2025</t>
  </si>
  <si>
    <t>LITF601</t>
  </si>
  <si>
    <t>Substituição do Transformador Trifásico TR1 (AQTF601) 230/69kV, 60 MVA, na SE ARIQUEMES</t>
  </si>
  <si>
    <t>0000753/2025</t>
  </si>
  <si>
    <t>AQTF601</t>
  </si>
  <si>
    <t>Substituição do Transformador Trifásico TR2 (AQTF602) 230/69kV, 60 MVA, na SE ARIQUEMES</t>
  </si>
  <si>
    <t>0000754/2025</t>
  </si>
  <si>
    <t>AQTF602</t>
  </si>
  <si>
    <t>Substituição do Transformador Trifásico TR2 (TVTF4-02) 69/13,8KV, 10MVA, na SE TUCURUI VILA.</t>
  </si>
  <si>
    <t>0000755/2025</t>
  </si>
  <si>
    <t>TVTF402</t>
  </si>
  <si>
    <t>Substituição de Banco de Capacitor Derivação BC1 (TVBC2-02) 13,8kV, 3MVAr, arranjo BS, na SE TUCURUI VILA.</t>
  </si>
  <si>
    <t>BC 13,8 kV 3 Mvar TUCURUI VILA BC1 PA</t>
  </si>
  <si>
    <t>0000756/2025</t>
  </si>
  <si>
    <t>TVBC202</t>
  </si>
  <si>
    <t>Substituição do Banco de Capacitor Derivação BC1 (BVBC201) 13,8kV, 3,6 MVAr, arranjo BS, na SE BOA VISTA</t>
  </si>
  <si>
    <t>BC 13,8 kV 3,6 Mvar BOA VISTA BC1 RR</t>
  </si>
  <si>
    <t>0000757/2025</t>
  </si>
  <si>
    <t>BVBC201</t>
  </si>
  <si>
    <t>Substituição do Banco de Capacitor Derivação BC2 (BVBC202) 13,8kV, 3,6 MVAr, arranjo BS, na SE BOA VISTA</t>
  </si>
  <si>
    <t>BC 13,8 kV 3,6 Mvar BOA VISTA BC2 RR</t>
  </si>
  <si>
    <t>0000758/2025</t>
  </si>
  <si>
    <t>BVBC202</t>
  </si>
  <si>
    <t>Substituição do Banco de Capacitor Derivação BC3 (BVBC203) 13,8kV, 3,6 MVAr, arranjo BS, na SE BOA VISTA</t>
  </si>
  <si>
    <t>BC 13,8 kV 3,6 Mvar BOA VISTA BC3 RR</t>
  </si>
  <si>
    <t>0000759/2025</t>
  </si>
  <si>
    <t>BVBC203</t>
  </si>
  <si>
    <t>Substituição do Banco de Capacitor Derivação BC4 (BVBC204) 13,8kV, 3,6 MVAr, arranjo BS, na SE BOA VISTA</t>
  </si>
  <si>
    <t>BC 13,8 kV 3,6 Mvar BOA VISTA BC4 RR</t>
  </si>
  <si>
    <t>0000760/2025</t>
  </si>
  <si>
    <t>BVBC204</t>
  </si>
  <si>
    <t>Substituição do Banco de Capacitor Derivação BC5 (BVBC205) 13,8kV, 3,6 MVAr, arranjo BS, na SE BOA VISTA</t>
  </si>
  <si>
    <t>BC 13,8 kV 3,6 Mvar BOA VISTA BC5 RR</t>
  </si>
  <si>
    <t>0000761/2025</t>
  </si>
  <si>
    <t>BVBC205</t>
  </si>
  <si>
    <t>Substituição do Banco de Capacitor Derivação BC6 (BVBC206) 13,8kV, 3,6 MVAr, arranjo BS, na SE BOA VISTA</t>
  </si>
  <si>
    <t>BC 13,8 kV 3,6 Mvar BOA VISTA BC6 RR</t>
  </si>
  <si>
    <t>0000762/2025</t>
  </si>
  <si>
    <t>BVBC206</t>
  </si>
  <si>
    <t>Substituição do Banco de Capacitor Derivação BC7 (BVBC207) 13,8kV, 3,6 MVAr, arranjo BS, na SE BOA VISTA</t>
  </si>
  <si>
    <t>BC 13,8 kV 3,6 Mvar BOA VISTA BC7 RR</t>
  </si>
  <si>
    <t>0000763/2025</t>
  </si>
  <si>
    <t>BVBC207</t>
  </si>
  <si>
    <t>Substituição do Banco de Capacitor Derivação BC8 (BVBC208) 13,8kV, 3,6 MVAr, arranjo BS, na SE BOA VISTA</t>
  </si>
  <si>
    <t>BC 13,8 kV 3,6 Mvar BOA VISTA BC8 RR</t>
  </si>
  <si>
    <t>0000764/2025</t>
  </si>
  <si>
    <t>BVBC208</t>
  </si>
  <si>
    <t>Substituição do Banco de Capacitor Derivação BC9 (BVBC209) 13,8kV, 3,6 MVAr, arranjo BS, na SE BOA VISTA</t>
  </si>
  <si>
    <t>BC 13,8 kV 3,6 Mvar BOA VISTA BC9 RR</t>
  </si>
  <si>
    <t>0000765/2025</t>
  </si>
  <si>
    <t>BVBC209</t>
  </si>
  <si>
    <t>Substituição do Banco de Capacitor Derivação BC10 (BVBC210) 13,8kV, 3,6 MVAr, arranjo BS, na SE BOA VISTA</t>
  </si>
  <si>
    <t>BC 13,8 kV 3,6 Mvar BOA VISTA BC10 RR</t>
  </si>
  <si>
    <t>0000766/2025</t>
  </si>
  <si>
    <t>BVBC210</t>
  </si>
  <si>
    <t>Substituição do Reator de Linha Trifásico RT4 (RPRE604) 230kV, 20MVAr, na SE RONDONOPOLIS.</t>
  </si>
  <si>
    <t>0000767/2025</t>
  </si>
  <si>
    <t>RPRE604</t>
  </si>
  <si>
    <t>Substituição do Reator de Linha Trifásico RT2 (RPRE602) 230kV, 30 MVAr, na SE RONDONOPOLIS</t>
  </si>
  <si>
    <t>0000768/2025</t>
  </si>
  <si>
    <t>RPRR602</t>
  </si>
  <si>
    <t>Substituição do Reator de Barra Trifásico RT3 (RPRE603) 230kV, 30 MVAr, na SE RONDONOPOLIS</t>
  </si>
  <si>
    <t>RTB 230 kV 30 MVAr RONDONOPOLIS RT3 MT</t>
  </si>
  <si>
    <t>0000769/2025</t>
  </si>
  <si>
    <t>RPRE603</t>
  </si>
  <si>
    <t>Substituição do Reator de Linha Trifásico RT2 (SPRE602) 230kV, 20 MVAr,  na SE SINOP</t>
  </si>
  <si>
    <t>LT 230 kV SINOP /SORRISO II C-1 MT</t>
  </si>
  <si>
    <t>0000770/2025</t>
  </si>
  <si>
    <t>SPRE602</t>
  </si>
  <si>
    <t>Substituição do Reator de Linha Trifásico RT2 (CXRE502) 138kV, 5 MVAr, na SE COXIPO</t>
  </si>
  <si>
    <t>RTL 138 kV 5 Mvar COXIPO RT2 MT</t>
  </si>
  <si>
    <t>0000771/2025</t>
  </si>
  <si>
    <t>CXRE502</t>
  </si>
  <si>
    <t>Substituição do Reator de Linha Monofásico RT8 (PDRE7-08) 500kV, 50 MVAr, fase A, na SE P.DUTRA</t>
  </si>
  <si>
    <t>0000772/2025</t>
  </si>
  <si>
    <t>Substituição do Reator de Linha Trifásico RT1 (AQRE601) 230kV, 20 MVAr, na SE ARIQUEMES</t>
  </si>
  <si>
    <t>RTL 230 kV 20 Mvar ARIQUEMES RT1 RO</t>
  </si>
  <si>
    <t>0000773/2025</t>
  </si>
  <si>
    <t>AQRE601</t>
  </si>
  <si>
    <t>Substituição do Transformador Trifásico TR2 (04T2 ) 230/69 kV, 100 MVA, na SE COTEGIPE.</t>
  </si>
  <si>
    <t>TR  230/69   kV COTEGIPE       TR2 BA</t>
  </si>
  <si>
    <t>0000774/2025</t>
  </si>
  <si>
    <t>04T2</t>
  </si>
  <si>
    <t>Substituição do Transformador Trifásico Reserva TRR1 (04TR) 230/13,8/13,8 kV, 40 MVA,  na SE MATATU.</t>
  </si>
  <si>
    <t>TR 230/11,9 kV MATATU TRR1 BA</t>
  </si>
  <si>
    <t>0000775/2025</t>
  </si>
  <si>
    <t>04T4R</t>
  </si>
  <si>
    <t>Substituição do Reator de Barra Monofásico RTR1 (04ER) 230 kV, 3,33 MVAr, na SE BANABUIU.</t>
  </si>
  <si>
    <t>RTB 230 kV 3,33 MVAr BANABUIU RTR1 CE</t>
  </si>
  <si>
    <t>0000776/2025</t>
  </si>
  <si>
    <t>04ER</t>
  </si>
  <si>
    <t>Substituição do Transformador Trifásico TR1 (04T1) 230/69 kV, 33 MVA, na SE BANABUIU.</t>
  </si>
  <si>
    <t>0000777/2025</t>
  </si>
  <si>
    <t>Substituição do Reator de Barra Trifásico RT1 (04E1) 230 kV, 10 MVAr, na SE C.GRANDE II.</t>
  </si>
  <si>
    <t>0000778/2025</t>
  </si>
  <si>
    <t>04E1</t>
  </si>
  <si>
    <t>Substituição de Transformador Trifásico TR1 (04T1) 230/69 kV, 100 MVA, arranjo BPT, na SE MUSSURE II.</t>
  </si>
  <si>
    <t>TR  230/69   kV MUSSURE II     TR1 PB</t>
  </si>
  <si>
    <t>0000779/2025</t>
  </si>
  <si>
    <t>Substituição do Transformador Trifásico TR7 (04T7)  230/13,8 kV, 40 MVA, na SE BONGI.</t>
  </si>
  <si>
    <t>0000780/2025</t>
  </si>
  <si>
    <t>04T7</t>
  </si>
  <si>
    <t>Substituição do Transformador Trifásico TR6 (04T6) 230/13,8 kV, 40 MVA, na SE BONGI.</t>
  </si>
  <si>
    <t>0000781/2025</t>
  </si>
  <si>
    <t>04T6</t>
  </si>
  <si>
    <t>Substituição do Reator de Barra Trifásico RT1 (04E1) 230 kV, 10 MVAr, na SE GOIANINHA.</t>
  </si>
  <si>
    <t>0000782/2025</t>
  </si>
  <si>
    <t>Substituição do Transformador Monofásico TR2 (05T2.A) 500/230 kV, 200 MVA, fase A, na SE RECIFE II.</t>
  </si>
  <si>
    <t>TR  500/230  kV RECIFE II      TR2 PE</t>
  </si>
  <si>
    <t>0000783/2025</t>
  </si>
  <si>
    <t>05T2.A</t>
  </si>
  <si>
    <t>Substituição do Transformador Monofásico TR2 (05T2.B) 500/230 kV, 200 MVA, fase B, na SE RECIFE II.</t>
  </si>
  <si>
    <t>0000784/2025</t>
  </si>
  <si>
    <t>05T2.B</t>
  </si>
  <si>
    <t>Substituição do Transformador Monofásico TR2 (05T2.C) 500/230 kV, 200 MVA, fase C, na SE RECIFE II.</t>
  </si>
  <si>
    <t>0000785/2025</t>
  </si>
  <si>
    <t>05T2.C</t>
  </si>
  <si>
    <t>Substituição do Reator de Barra Trifásico RT1 (01E1) 13,8 kV, 5 MVAr, na SE PIRIPIRI.</t>
  </si>
  <si>
    <t>0000786/2025</t>
  </si>
  <si>
    <t>01E1</t>
  </si>
  <si>
    <t>Substituição do Transformador Trifásico TR4 (04T4) 230/69 kV, 100 MVA, arranjo BD5, na SE TERESINA.</t>
  </si>
  <si>
    <t>TR  230/69   kV TERESINA       TR4 PI</t>
  </si>
  <si>
    <t>0000787/2025</t>
  </si>
  <si>
    <t>04T4</t>
  </si>
  <si>
    <t>Substituição do Reator de Linha Monofásico RTR1 (04ER.M) 230 kV, 3,33 MVAr, fase reserva, na SE TERESINA.</t>
  </si>
  <si>
    <t>RTL 230 kV 3,33 Mvar TERESINA RTR1 PI</t>
  </si>
  <si>
    <t>0000788/2025</t>
  </si>
  <si>
    <t>04ER.M</t>
  </si>
  <si>
    <t>Substituição de Reator de Linha Monofásico RT2 (04E2) 230 kV, 3,3 MVAr, fase A, na SE NATAL II.</t>
  </si>
  <si>
    <t>RTL 230 kV 9,9 MVAr NATAL II RT2 RN</t>
  </si>
  <si>
    <t>0000789/2025</t>
  </si>
  <si>
    <t>04E2.A</t>
  </si>
  <si>
    <t>Substituição de Reator de Linha Monofásico RT2 (04E2) 230 kV, 3,3 MVAr, fase B, na SE NATAL II.</t>
  </si>
  <si>
    <t>0000790/2025</t>
  </si>
  <si>
    <t>04E2.B</t>
  </si>
  <si>
    <t>Substituição de Reator de Linha Monofásico RT2 (04E2) 230 kV, 3,3 MVAr, fase C, na SE NATAL II.</t>
  </si>
  <si>
    <t>0000791/2025</t>
  </si>
  <si>
    <t>04E2.C</t>
  </si>
  <si>
    <t>Substituição do Reator de Linha Monofásico RTR1 (04ER) 230 kV, 5 MVAr, arranjo BPT, na SE B.JESUS LAPA.</t>
  </si>
  <si>
    <t>RTL 230 kV 5 Mvar B.JESUS LAPA RTR1 BA</t>
  </si>
  <si>
    <t>0000792/2025</t>
  </si>
  <si>
    <t>Substituição do Reator de Barra Trifásico RT3 (04E3) 230 kV, 3,33 MVAr, na SE B.JESUS LAPA.</t>
  </si>
  <si>
    <t>RTB 230 kV 10 Mvar B.JESUS LAPA RT3 BA</t>
  </si>
  <si>
    <t>0000793/2025</t>
  </si>
  <si>
    <t>04E3</t>
  </si>
  <si>
    <t>Substituição do Transformador Trifásico TR8 (02T8) 69/13,8 kV, 5 MVA, na SE CAMACARI II.</t>
  </si>
  <si>
    <t>0000794/2025</t>
  </si>
  <si>
    <t>02T8</t>
  </si>
  <si>
    <t>Substituição do Transformador Monofásico TR7 (04T7) 230/13,8 kV, 100 MVA, fase C, na SE CAMACARI II.</t>
  </si>
  <si>
    <t>0000795/2025</t>
  </si>
  <si>
    <t>04T7.C</t>
  </si>
  <si>
    <t>Substituição do Transformador Monofásico TRR1 (04TR) 230/13,8 kV, 100 MVA, fase reserva, na SE CAMACARI II.</t>
  </si>
  <si>
    <t>TR 230/13,8 kV CAMACARI II TRR1 BA</t>
  </si>
  <si>
    <t>0000796/2025</t>
  </si>
  <si>
    <t>04TR.M</t>
  </si>
  <si>
    <t>Substituição do Transformador Monofásico TR2 (05T2.A) 500/230 kV, 200 MVA, fase A, na SE CAMACARI II.</t>
  </si>
  <si>
    <t>TR  500/230  kV CAMACARI II    TR2 BA</t>
  </si>
  <si>
    <t>0000797/2025</t>
  </si>
  <si>
    <t>Substituição do Transformador Monofásico TR2 (05T2.B) 500/230 kV, 200 MVA, fase B, na SE CAMACARI II.</t>
  </si>
  <si>
    <t>0000798/2025</t>
  </si>
  <si>
    <t>Substituição do Transformador Monofásico TR2 (05T2.C) 500/230 kV, 200 MVA, fase C, na SE CAMACARI II.</t>
  </si>
  <si>
    <t>0000799/2025</t>
  </si>
  <si>
    <t>Substituição do Reator de Linha Trifásico RTR1 (04ER) 230 kV, 5 MVAr, na SE IRECE.</t>
  </si>
  <si>
    <t>RTL 230 kV 5 Mvar IRECE RTR1 BA</t>
  </si>
  <si>
    <t>0000800/2025</t>
  </si>
  <si>
    <t>Substituição do Transformador Regulador de Potência TREG2 (02R2) 69/69 kV, 40 MVA, na IRECE.</t>
  </si>
  <si>
    <t>TR  230/69   kV IRECE          TR2 BA</t>
  </si>
  <si>
    <t>0000801/2025</t>
  </si>
  <si>
    <t>02R2</t>
  </si>
  <si>
    <t>Substituição do Reator de Linha Monofásico RT3 (05E3.A) 500 kV, 50 MVA, fase A, na SE U.SOBRADINHO.</t>
  </si>
  <si>
    <t>LT 500 kV FUTURA /U.SOBRADINHO C-1 BA</t>
  </si>
  <si>
    <t>0000802/2025</t>
  </si>
  <si>
    <t>05E3.A</t>
  </si>
  <si>
    <t>Substituição do Reator de Linha Monofásico RT3 (05E3.B) 500 kV, 50 MVA, fase B, na SE U.SOBRADINHO.</t>
  </si>
  <si>
    <t>0000803/2025</t>
  </si>
  <si>
    <t>05E3.B</t>
  </si>
  <si>
    <t>Substituição do Reator de Linha Monofásico RT3 (05E3.C) 500 kV, 50 MVA, fase C, na SE U.SOBRADINHO.</t>
  </si>
  <si>
    <t>0000804/2025</t>
  </si>
  <si>
    <t>05E3.C</t>
  </si>
  <si>
    <t>Substituição do Transformador Monofásico TRR1 (05TR) 500/230 kV, 100 MVA, na SE U.SOBRADINHO.</t>
  </si>
  <si>
    <t>TR 500/230 kV U.SOBRADINHO TRR1 BA</t>
  </si>
  <si>
    <t>0000805/2025</t>
  </si>
  <si>
    <t>05T4R.M</t>
  </si>
  <si>
    <t>Substituição do Transformador Monofásico TR4 (05T4.A) 500/230 kV, 100 MVA, fase A, na SE U.SOBRADINHO.</t>
  </si>
  <si>
    <t>TR  500/230  kV U.SOBRADINHO   TR4 BA</t>
  </si>
  <si>
    <t>0000806/2025</t>
  </si>
  <si>
    <t>05T4.A</t>
  </si>
  <si>
    <t>Substituição do Transformador Monofásico TR4 (05T4.B) 500/230 kV, 100 MVA, fase B, na SE U.SOBRADINHO.</t>
  </si>
  <si>
    <t>0000807/2025</t>
  </si>
  <si>
    <t>05T4.B</t>
  </si>
  <si>
    <t>Substituição do Transformador Monofásico TR4 (05T4.C) 500/230 kV, 100 MVA, fase C, na SE U.SOBRADINHO.</t>
  </si>
  <si>
    <t>0000808/2025</t>
  </si>
  <si>
    <t>05T4.C</t>
  </si>
  <si>
    <t>Substituição do Reator de Linha Monofásico RT5 (05E5.A) 500 kV, 33,3 MVAr, fase A, na SE U.SOBRADINHO.</t>
  </si>
  <si>
    <t>LT  500 kV U.SOBRADINHO /S.JOAO PIAUI  C-1 BA/PI</t>
  </si>
  <si>
    <t>0000809/2025</t>
  </si>
  <si>
    <t>05E5.A</t>
  </si>
  <si>
    <t>Substituição do Reator de Linha Monofásico RT5 (05E5.B) 500 kV, 33,3 MVAr, fase B, na SE U.SOBRADINHO.</t>
  </si>
  <si>
    <t>0000810/2025</t>
  </si>
  <si>
    <t>05E5.B</t>
  </si>
  <si>
    <t>Substituição do Reator de Linha Monofásico RT5 (05E5.C) 500 kV, 33,3 MVAr, fase C, na SE U.SOBRADINHO.</t>
  </si>
  <si>
    <t>0000811/2025</t>
  </si>
  <si>
    <t>05E5.C</t>
  </si>
  <si>
    <t>Substituição do Reator de Linha Monofásico RT4 (05E4.A) 500 kV, 33,3 MVAr, fase A, na SE U.SOBRADINHO.</t>
  </si>
  <si>
    <t>0000812/2025</t>
  </si>
  <si>
    <t>05E4.A</t>
  </si>
  <si>
    <t>Substituição do Reator de Linha Monofásico RT4 (05E4.B) 500 kV, 33,3 MVAr, fase B, na SE U.SOBRADINHO.</t>
  </si>
  <si>
    <t>0000813/2025</t>
  </si>
  <si>
    <t>05E4.B</t>
  </si>
  <si>
    <t>Substituição do Reator de Linha Monofásico RT4 (05E4.C) 500 kV, 33,3 MVAr, fase C, na SE U.SOBRADINHO.</t>
  </si>
  <si>
    <t>0000814/2025</t>
  </si>
  <si>
    <t>05E4.C</t>
  </si>
  <si>
    <t>Substituição do Transformador Monofásico TRR1 (05TR.M) 500/230 kV, 200 MVA, fase Reserva, na SE P. AFONSO IV.</t>
  </si>
  <si>
    <t>0000815/2025</t>
  </si>
  <si>
    <t>05TR.M</t>
  </si>
  <si>
    <t>Substituição do Transformador Monofásico TR8 (05T8.A) 500/230 kV, 200 MVA, fase A, na SE P. AFONSO IV.</t>
  </si>
  <si>
    <t>TR  500/230  kV P. AFONSO IV   TR8 BA</t>
  </si>
  <si>
    <t>0000816/2025</t>
  </si>
  <si>
    <t>05T8.A</t>
  </si>
  <si>
    <t>Substituição do Transformador Monofásico TR8 (05T8.B) 500/230 kV, 200 MVA, fase B, na SE P. AFONSO IV.</t>
  </si>
  <si>
    <t>0000817/2025</t>
  </si>
  <si>
    <t>05T8.B</t>
  </si>
  <si>
    <t>Substituição do Transformador Monofásico TR8 (05T8.C) 500/230 kV, 200 MVA, fase C, na SE P. AFONSO IV.</t>
  </si>
  <si>
    <t>0000818/2025</t>
  </si>
  <si>
    <t>05T8.C</t>
  </si>
  <si>
    <t>Substituição do Transformador Trifásico TR1 (04T1) 230/13,8 kV, 40 MVA na SE OLINDINA.</t>
  </si>
  <si>
    <t>TR  230/13,8 kV OLINDINA       TR1 BA</t>
  </si>
  <si>
    <t>0000819/2025</t>
  </si>
  <si>
    <t>Substituição do Transformador Trifásico TR5 (02T5) 69/13,8 kV, 1 MVA, na SE S.JOAO PIAUI.</t>
  </si>
  <si>
    <t>0000820/2025</t>
  </si>
  <si>
    <t>02T5</t>
  </si>
  <si>
    <t>Substituição do Reator de Linha Monofásico RT1 (05E1.A) 500 kV, 33,3 MVAr, fase A, na SE S.JOAO PIAUI.</t>
  </si>
  <si>
    <t>RTL 500 kV 100 MVAr S.JOAO PIAUI RT1 PI</t>
  </si>
  <si>
    <t>0000821/2025</t>
  </si>
  <si>
    <t>05E1.A</t>
  </si>
  <si>
    <t>Substituição do Reator de Linha Monofásico RT1 (05E1.B) 500 kV, 33,3 MVAr, fase B, na SE S.JOAO PIAUI.</t>
  </si>
  <si>
    <t>0000822/2025</t>
  </si>
  <si>
    <t>05E1.B</t>
  </si>
  <si>
    <t>Substituição do Reator de Linha Monofásico RT1 (05E1.C) 500 kV, 33,3 MVAr, fase C, na SE S.JOAO PIAUI.</t>
  </si>
  <si>
    <t>0000823/2025</t>
  </si>
  <si>
    <t>05E1.C</t>
  </si>
  <si>
    <t>Substituição do Transformador Trifásico TR2 (04T2) 230/69/13,8 kV, 39 MVA, na SE PICOS.</t>
  </si>
  <si>
    <t>TR  230/69   kV PICOS          TR2 PI</t>
  </si>
  <si>
    <t>0000824/2025</t>
  </si>
  <si>
    <t>Substituição do Transformador Trifásico TR6 (04T6) 230/69/13,8 kV, 33,34 MVA na SE UB.ESPERANCA.</t>
  </si>
  <si>
    <t>TR  230/69   kV UB.ESPERANCA   TR6 PI</t>
  </si>
  <si>
    <t>0000825/2025</t>
  </si>
  <si>
    <t>Substituição do Transformador Trifásico TR7 (02T7) 69/13,8 kV, 5 MVA, na SE UB.ESPERANCA.</t>
  </si>
  <si>
    <t>TR 69/13,8 kV UB.ESPERANCA TR7 PI</t>
  </si>
  <si>
    <t>0000826/2025</t>
  </si>
  <si>
    <t>02T7</t>
  </si>
  <si>
    <t>Substituição do Transformador Trifásico TF1 (MCTF5-01) 138/13,8kV, 2MVA, na SE MIRACEMA.</t>
  </si>
  <si>
    <t>0000829/2025</t>
  </si>
  <si>
    <t>MCTF5-01</t>
  </si>
  <si>
    <t>Substituição de Transformador Trifásico TR3 (04T3) 230/69 kV, 100 MVA, arranjo BPT, na SE MUSSURE II.</t>
  </si>
  <si>
    <t>TR  230/69   kV MUSSURE II     TR3 PB</t>
  </si>
  <si>
    <t>0000830/2025</t>
  </si>
  <si>
    <t>04T3</t>
  </si>
  <si>
    <t>Substituição do Transformador Monofásico TR7 (04T7) 230/13,8 kV, 100 MVA, fase A, na SE CAMACARI II.</t>
  </si>
  <si>
    <t>0000831/2025</t>
  </si>
  <si>
    <t>04T7.A</t>
  </si>
  <si>
    <t>Substituição de Reator de Linha Monofásico RT1 (05E1.A) 500 kV, 33,3 MVAr, fase A, arranjo DJM, associado a EL de S.J Piauí, na SE B. ESPERANCA.</t>
  </si>
  <si>
    <t>LT  500 kV S.JOAO PIAUI /B. ESPERANCA  C-1 PI</t>
  </si>
  <si>
    <t>0000832/2025</t>
  </si>
  <si>
    <t>Substituição do Transformador Trifásico TR4 (TF4)  69/13,8kV, 15MVA na SE S.SANTIAGO.</t>
  </si>
  <si>
    <t>TR 69/13,8 kV S.SANTIAGO TR4 PR</t>
  </si>
  <si>
    <t>0000872/2025</t>
  </si>
  <si>
    <t>Substituição do Transformador Monofásico TR2 (AT02-A) 345/230kV, 75MVA, fase A, na SE BANDEIRANTES.</t>
  </si>
  <si>
    <t>TR 345/230 kV BANDEIRANTES TR2 GO</t>
  </si>
  <si>
    <t>0000918/2025</t>
  </si>
  <si>
    <t>Substituição do Transformador Monofásico TR2 (AT02-B) 345/230kV, 75MVA, fase B, na SE BANDEIRANTES.</t>
  </si>
  <si>
    <t>0000919/2025</t>
  </si>
  <si>
    <t>AT02 B</t>
  </si>
  <si>
    <t>Substituição do Transformador Monofásico TR2 (AT02-C) 345/230kV, 75MVA, fase C, na SE BANDEIRANTES.</t>
  </si>
  <si>
    <t>0000920/2025</t>
  </si>
  <si>
    <t>AT02 C</t>
  </si>
  <si>
    <t>Substituição do Reator de Linha Monofásico RTR1 (RT8V1), 345kV, 20 MVAr, na SE BANDEIRANTES.</t>
  </si>
  <si>
    <t>RTL 345 kV 20 Mvar BANDEIRANTES RTR1 GO</t>
  </si>
  <si>
    <t>0000921/2025</t>
  </si>
  <si>
    <t>RT8V1</t>
  </si>
  <si>
    <t>Substituição do Reator de Linha Monofásico RT6 (RT06-A), 345kV, 20MVAr, fase A, na SE CAMPOS.</t>
  </si>
  <si>
    <t>RTL 345 kV 60 MVAr CAMPOS RT6 RJ</t>
  </si>
  <si>
    <t>0000922/2025</t>
  </si>
  <si>
    <t>RTL 6 A</t>
  </si>
  <si>
    <t>Substituição do Reator de Linha Monofásico RT6 (RT06-B), 345kV, 20MVAr, fase B, na SE CAMPOS.</t>
  </si>
  <si>
    <t>0000923/2025</t>
  </si>
  <si>
    <t>RTL 6 B</t>
  </si>
  <si>
    <t>Substituição do Reator de Linha Monofásico  RT6 (RT06-C), 345kV, 20MVAr, fase C, na SE CAMPOS.</t>
  </si>
  <si>
    <t>0000924/2025</t>
  </si>
  <si>
    <t>RTL 6 C</t>
  </si>
  <si>
    <t>Substituição do Reator de Linha Monofásico  RTR1, 345kV, 20MVAr, fase reserva, na SE CAMPOS.</t>
  </si>
  <si>
    <t>RTL 345 kV 20 Mvar CAMPOS RTR1 RJ</t>
  </si>
  <si>
    <t>0000925/2025</t>
  </si>
  <si>
    <t>RTL RS</t>
  </si>
  <si>
    <t>Substituição do Transformador Monofásico TR3 (AT03-A) 345/230kV, 75MVA, fase A, na SE BRAS. SUL</t>
  </si>
  <si>
    <t>TR 345/230 kV BRAS. SUL TR3 DF</t>
  </si>
  <si>
    <t>0000926/2025</t>
  </si>
  <si>
    <t>AT87V1</t>
  </si>
  <si>
    <t>Substituição do Transformador Monofásico TR3 (AT03-B) 345/230kV, 75MVA, fase B, na SE BRAS. SUL.</t>
  </si>
  <si>
    <t>0000927/2025</t>
  </si>
  <si>
    <t>AT03 A</t>
  </si>
  <si>
    <t>Substituição do Transformador Monofásico TR3 (AT03-C) 345/230kV, 75MVA, fase C, na SE BRAS. SUL.</t>
  </si>
  <si>
    <t>0000928/2025</t>
  </si>
  <si>
    <t>AT03 B</t>
  </si>
  <si>
    <t>Substituição do Transformador Monofásico TRR2 (AT87V1) 345/230kV, 75 MVA, fase Reserva, na SE BRAS. SUL.</t>
  </si>
  <si>
    <t>TR 345/230 kV BRAS. SUL TRR2 DF</t>
  </si>
  <si>
    <t>0000929/2025</t>
  </si>
  <si>
    <t>AT03 C</t>
  </si>
  <si>
    <t>Substituição do Transformador Monofásico TR3 500/345kV, 350MVA, fase B, na SE SAMAMBAIA.</t>
  </si>
  <si>
    <t>TR 500/345 kV SAMAMBAIA TR3 DF</t>
  </si>
  <si>
    <t>0000930/2025</t>
  </si>
  <si>
    <t>Substituição do Transformador Monofásico TR8 500/345kV, 350MVA, fase C, na SE SAMAMBAIA.</t>
  </si>
  <si>
    <t>TR 500/345 kV SAMAMBAIA TR7 DF</t>
  </si>
  <si>
    <t>0000931/2025</t>
  </si>
  <si>
    <t>AT08 C</t>
  </si>
  <si>
    <t>Substituição do Transformador Monofásico TR2 500/345kV, 350MVA, fase A, na SE SAMAMBAIA.</t>
  </si>
  <si>
    <t>TR 500/345 kV SAMAMBAIA TR2 DF</t>
  </si>
  <si>
    <t>0000932/2025</t>
  </si>
  <si>
    <t>STSB_AT02 (FASE A)</t>
  </si>
  <si>
    <t>Capacitor série</t>
  </si>
  <si>
    <t>Substituição do Banco de Capacitor de Série BC1A (BSINBC1A) 500kV, 127,5MVAr, fases A, B e C, arranjo DJM, na SE IBIUNA</t>
  </si>
  <si>
    <t>CR 500 kV 382 MVAr IBIUNA BC1A SP</t>
  </si>
  <si>
    <t>0000933/2025</t>
  </si>
  <si>
    <t>10251958</t>
  </si>
  <si>
    <t>Substituição do Banco de Capacitor de Série BC2A (BSINBC2A) 500kV, 127,5MVAr, fases A, B e C, arranjo DJM, na SE IBIUNA</t>
  </si>
  <si>
    <t>CR 500 kV 382 MVAr IBIUNA BC2A SP</t>
  </si>
  <si>
    <t>0000934/2025</t>
  </si>
  <si>
    <t>10251957</t>
  </si>
  <si>
    <t>Substituição do Transformador Monofásico AT2B 345/138kV, 75MVA, fase C, na SE JACAREPAGUA.</t>
  </si>
  <si>
    <t>TR 345/138 kV JACAREPAGUA TR2B RJ</t>
  </si>
  <si>
    <t>0000935/2025</t>
  </si>
  <si>
    <t>TR96V2</t>
  </si>
  <si>
    <t>Substituição do Transformador Monofásico TRR2 345/138kV, 75MVA, na SE JACAREPAGUA</t>
  </si>
  <si>
    <t>TR 345/138 kV JACAREPAGUA TRR2 RJ</t>
  </si>
  <si>
    <t>0000936/2025</t>
  </si>
  <si>
    <t>TR RES</t>
  </si>
  <si>
    <t>Substituição do Banco de Capacitor Derivação BC2 138kV, 100Mvar, arranjo BD5, na SE SÃO JOSÉ.</t>
  </si>
  <si>
    <t>BC 138 kV 100 Mvar SAO JOSE BC2 RJ</t>
  </si>
  <si>
    <t>0000937/2025</t>
  </si>
  <si>
    <t>BC02</t>
  </si>
  <si>
    <t>Substituição do Banco de Capacitor Derivação BC1 138kV, 150Mvar, arranjo BD5, na SE SÃO JOSÉ.</t>
  </si>
  <si>
    <t>BC 138 kV 150 Mvar SAO JOSE BC1 RJ</t>
  </si>
  <si>
    <t>0000938/2025</t>
  </si>
  <si>
    <t>BC01</t>
  </si>
  <si>
    <t>Substituição do Banco de Capacitor Derivação BC3 138kV, 150Mvar, arranjo BD5, na SE SÃO JOSÉ</t>
  </si>
  <si>
    <t>BC 138 kV 150 Mvar SAO JOSE BC3 RJ</t>
  </si>
  <si>
    <t>0000939/2025</t>
  </si>
  <si>
    <t>BC03</t>
  </si>
  <si>
    <t>Substituição do Banco de Capacitor Derivação BC4 138kV, 100Mvar, arranjo BD5, na SE SÃO JOSÉ.</t>
  </si>
  <si>
    <t>BC 138 kV 100 Mvar SAO JOSE BC4 RJ</t>
  </si>
  <si>
    <t>0000940/2025</t>
  </si>
  <si>
    <t>BC04</t>
  </si>
  <si>
    <t>Substituição do Banco de Capacitor Derivação BC5 345kV, 200Mvar, arranjo DJM, na SE TIJUCO PRETO</t>
  </si>
  <si>
    <t>BC 345 kV 200 Mvar TIJUCO PRETO BC5 SP</t>
  </si>
  <si>
    <t>0000941/2025</t>
  </si>
  <si>
    <t>BC05</t>
  </si>
  <si>
    <t>Substituição do Banco de Capacitor Derivação BC2 345kV, 200Mvar, arranjo DJM, na SE TIJUCO PRETO</t>
  </si>
  <si>
    <t>BC 345 kV 200 MVAr TIJUCO PRETO BC2 SP</t>
  </si>
  <si>
    <t>0000942/2025</t>
  </si>
  <si>
    <t>Substituição do Banco de Capacitor Derivação BC6 345kV, 200Mvar, arranjo DJM, na SE TIJUCO PRETO</t>
  </si>
  <si>
    <t>BC 345 kV 200 MVAr TIJUCO PRETO BC6 SP</t>
  </si>
  <si>
    <t>0000943/2025</t>
  </si>
  <si>
    <t>BC06</t>
  </si>
  <si>
    <t>Substituição do Banco de Capacitor Derivação BC9 345kV, 200Mvar, arranjo DJM, na SE TIJUCO PRETO</t>
  </si>
  <si>
    <t>BC 345 kV 200 MVAr TIJUCO PRETO BC9 SP</t>
  </si>
  <si>
    <t>0000944/2025</t>
  </si>
  <si>
    <t>BC09</t>
  </si>
  <si>
    <t>Substituição do Banco de Capacitor Derivação BC4 345kV, 200Mvar, arranjo DJM, na SE TIJUCO PRETO</t>
  </si>
  <si>
    <t>BC 345 kV 200 MVAr TIJUCO PRETO BC4 SP</t>
  </si>
  <si>
    <t>0000945/2025</t>
  </si>
  <si>
    <t xml:space="preserve">BC04 </t>
  </si>
  <si>
    <t>Substituição do Banco de Capacitor Derivação BC10 345kV, 200Mvar, arranjo DJM, na SE TIJUCO PRETO.</t>
  </si>
  <si>
    <t>0000946/2025</t>
  </si>
  <si>
    <t>Substituição do Reator de Linha Monofásico RTR4 500kV, 37MVAr, fase reserva, na SE ITUMBIARA.</t>
  </si>
  <si>
    <t>RTL 500 kV 37 Mvar ITUMBIARA RTR4 MG</t>
  </si>
  <si>
    <t>0000947/2025</t>
  </si>
  <si>
    <t>RTEBIM FASE A</t>
  </si>
  <si>
    <t>Substituição do Reator de Linha Monofásico  RTEBIM 500kV, 37MVAr, fase B, na SE ITUMBIARA.</t>
  </si>
  <si>
    <t>0000948/2025</t>
  </si>
  <si>
    <t>RTEBIM FASE B</t>
  </si>
  <si>
    <t>Substituição do Reator de Linha Monofásico  RTEBIM 500kV, 37MVAr, fase C, na SE ITUMBIARA.</t>
  </si>
  <si>
    <t>0000949/2025</t>
  </si>
  <si>
    <t>RTEBIM FASE C</t>
  </si>
  <si>
    <t>Substituição do Transformador Monofásico TR49 (AT49) 500/345kV, 186,7MVA, fase A, na SE ITUMBIARA.</t>
  </si>
  <si>
    <t>0000950/2025</t>
  </si>
  <si>
    <t>AT49 FASE A</t>
  </si>
  <si>
    <t>Substituição do Transformador Monofásico TR49 (AT49) 500/345kV, 186,7MVA, fase B, na SE ITUMBIARA.</t>
  </si>
  <si>
    <t>0000951/2025</t>
  </si>
  <si>
    <t>AT49 FASE B</t>
  </si>
  <si>
    <t>Substituição do Transformador Monofásico TR49 (AT49) 500/345kV, 186,7MVA, fase C, na SE ITUMBIARA.</t>
  </si>
  <si>
    <t>0000952/2025</t>
  </si>
  <si>
    <t>AT49 FASE C</t>
  </si>
  <si>
    <t>Substituição do Banco de Capacitor Série BC1 (BSIMRV1 - C) 230kV, 11,3MVAr, fase C, arranjo BD5, na SE ITUMBIARA.</t>
  </si>
  <si>
    <t>CR 230 kV 33,9 Mvar ITUMBIARA BC1 MG</t>
  </si>
  <si>
    <t>0000953/2025</t>
  </si>
  <si>
    <t>10252478</t>
  </si>
  <si>
    <t>Substituição do Banco de Capacitor Série BC2 (BSIMRV2 - B) 230kV, 61MVAr, fase B, arranjo BD5, na SE ITUMBIARA</t>
  </si>
  <si>
    <t>CR 230 kV 183 Mvar ITUMBIARA BC2 MG</t>
  </si>
  <si>
    <t>0000954/2025</t>
  </si>
  <si>
    <t>10252474</t>
  </si>
  <si>
    <t>Substituição do Banco de Capacitor Série BC2 (BSIMRV2 - C) 230kV, 61MVAr, fase C, arranjo BD5, na SE ITUMBIARA</t>
  </si>
  <si>
    <t>0000955/2025</t>
  </si>
  <si>
    <t>10252475</t>
  </si>
  <si>
    <t>Substituição do Banco de Capacitor Série BC1 (BSIMRV1 - A) 230kV, 11,3MVAr, fase A arranjo BD5, na SE ITUMBIARA.</t>
  </si>
  <si>
    <t>0000956/2025</t>
  </si>
  <si>
    <t>10252476</t>
  </si>
  <si>
    <t>Substituição do Banco de Capacitor Série BC2 (BSIMRV2 - A) 230kV, 61MVAr, fase A, arranjo BD5, na SE ITUMBIARA</t>
  </si>
  <si>
    <t>0000957/2025</t>
  </si>
  <si>
    <t>10252473</t>
  </si>
  <si>
    <t>Substituição do Banco de Capacitor Derivação BC1 (BSRVBP1) 230kV, 37,2MVAr, arranjo BD5, na SE RIO VERDE FUR</t>
  </si>
  <si>
    <t>CR 230 kV 37,2 Mvar RIO VERDE FUR BC1 GO</t>
  </si>
  <si>
    <t>0000958/2025</t>
  </si>
  <si>
    <t>10251386</t>
  </si>
  <si>
    <t>Substituição do Reator de Barra Trifásico RT4 138kV, 15MVA, na SE RIO VERDE FUR.</t>
  </si>
  <si>
    <t>0000959/2025</t>
  </si>
  <si>
    <t>RT04</t>
  </si>
  <si>
    <t>Substituição do Banco de Capacitor Derivação BC3 (BSIMRV1) 230kV, 33,9MVAr, arranjo BD5, na SE RIO VERDE FUR</t>
  </si>
  <si>
    <t>CR 230 kV 34 Mvar RIO VERDE FUR BC3 GO</t>
  </si>
  <si>
    <t>0000960/2025</t>
  </si>
  <si>
    <t>10251389</t>
  </si>
  <si>
    <t>TR 750/500 kV F.IGUACU 60HZ TR2 PR</t>
  </si>
  <si>
    <t>0000961/2025</t>
  </si>
  <si>
    <t>Substituição do Transformador Monofásico  TR2 (AT02) 750/500 kV, 550MVA, fase B, na SE F.IGUACU 60HZ.</t>
  </si>
  <si>
    <t>0000962/2025</t>
  </si>
  <si>
    <t>Substituição do Transformador Monofásico  TR2 (AT02) 750/500 kV, 550MVA, fase C, na SE F.IGUACU 60HZ.</t>
  </si>
  <si>
    <t>0000963/2025</t>
  </si>
  <si>
    <t>Substituição do Transformador Monofásico TRR5 (AT912V) 750/500kV, 550MVA, fase Reserva, na SE F.IGUACU 60HZ.</t>
  </si>
  <si>
    <t>TR 750/500 kV F.IGUACU 60HZ TRR5 PR</t>
  </si>
  <si>
    <t>0000964/2025</t>
  </si>
  <si>
    <t>AT912V</t>
  </si>
  <si>
    <t>SANTA CRUZ</t>
  </si>
  <si>
    <t>Substituição do Transformador trifásico TR12 138/34,5kV,  1x30MVA, na SE SANTA CRUZ</t>
  </si>
  <si>
    <t>TR 138/34,5 kV SANTA CRUZ TR12 RJ</t>
  </si>
  <si>
    <t>0000965/2025</t>
  </si>
  <si>
    <t>TR-12</t>
  </si>
  <si>
    <t>Substituição do Transformador trifásico TR34 138/34,5kV,  1x30MVA, na SE SANTA CRUZ</t>
  </si>
  <si>
    <t>TR 138/34,5 kV SANTA CRUZ TR34 RJ</t>
  </si>
  <si>
    <t>0000966/2025</t>
  </si>
  <si>
    <t>TR-34</t>
  </si>
  <si>
    <t>Substituição do Banco de Capacitor Série BC1 (BSIMRV1 - B) 230kV, 11,3MVAr, fase B arranjo BD5, na SE ITUMBIARA.</t>
  </si>
  <si>
    <t>0000967/2025</t>
  </si>
  <si>
    <t>10252477</t>
  </si>
  <si>
    <t>LT 230 kV PIRIPIRI /IBIAPINA II PI/CE</t>
  </si>
  <si>
    <t>Desativação de Linha de Transmissão, LT 230 kV Ibiapina II - Piripiri, C1, CS, posição operacional 04N1, extensão 86,21km, 1 x 636 MCM (GROSBEAK/Flint OPGW).</t>
  </si>
  <si>
    <t>LT 230 kV PIRIPIRI /IBIAPINA II C-1 PI/CE</t>
  </si>
  <si>
    <t>0000968/2025</t>
  </si>
  <si>
    <t>11402868</t>
  </si>
  <si>
    <t>Desativação do Reator de Linha  Monosáfico RT1 (04E1.A) 230 kV, 3,33MVAr,  fase A, associado a EL BOM NOME C1, na SE MILAGRES</t>
  </si>
  <si>
    <t>LT  230 kV BOM NOME     /MILAGRES      C-1 PE/CE</t>
  </si>
  <si>
    <t>0000970/2025</t>
  </si>
  <si>
    <t>11343917</t>
  </si>
  <si>
    <t>Desativação do Reator de Linha  Monosáfico RT1 (04E1.B) 230 kV, 3,33MVAr,  fase B, ssociado a EL BOM NOME C1, na SE MILAGRES</t>
  </si>
  <si>
    <t>0000971/2025</t>
  </si>
  <si>
    <t>11343916</t>
  </si>
  <si>
    <t>Desativação do Reator de Linha Monosáfico RT1 (04E1.C) 230 kV, 3,33MVAr,  fase C, ssociado a EL BOM NOME C1, na SE MILAGRES</t>
  </si>
  <si>
    <t>0000972/2025</t>
  </si>
  <si>
    <t>11343918</t>
  </si>
  <si>
    <t>Desativação de Reator de Linha Monosáfico RT2 (04E2) 230kV, 3,3Mvar fase B , associado a EL ABAIARA C1, na SE MILAGRES.</t>
  </si>
  <si>
    <t>LT 230 kV ABAIARA /MILAGRES C-1 CE</t>
  </si>
  <si>
    <t>0000973/2025</t>
  </si>
  <si>
    <t>11343872</t>
  </si>
  <si>
    <t>Desativação de Reator de Linha  Monosáfico RT2  (04E2) 230kV, 3,3Mvar fase C, associado a EL ABAIARA C1, na SE MILAGRES.</t>
  </si>
  <si>
    <t>0000974/2025</t>
  </si>
  <si>
    <t>11343873</t>
  </si>
  <si>
    <t>Desativação de Reator de Linha  Monosáfico RT2  (04E2) 230kV, 3,3Mvar fase A, associado a EL ABAIARA C1, na SE MILAGRES.</t>
  </si>
  <si>
    <t>0000975/2025</t>
  </si>
  <si>
    <t>11343871</t>
  </si>
  <si>
    <t>Desativação de Reator de Linha Trifásico RT3 (04E3) 230kV, 10 Mvar, associado a EL ARATICUM C1, na SE MILAGRES.</t>
  </si>
  <si>
    <t>LT  230 kV BOM NOME     /MILAGRES      C-3 PE/CE</t>
  </si>
  <si>
    <t>0000976/2025</t>
  </si>
  <si>
    <t>11344038</t>
  </si>
  <si>
    <t>CURRAIS NOVOS 2</t>
  </si>
  <si>
    <t>Desativação do Banco Capacitor 13,8 kV, posição operacional 01H1, na SE Currais Novos II 138/69 kV.</t>
  </si>
  <si>
    <t>BC 13,8 kV 3,6 Mvar CUR.NOVOS II BC1 RN (01H1)</t>
  </si>
  <si>
    <t>0000977/2025</t>
  </si>
  <si>
    <t>11342811</t>
  </si>
  <si>
    <t>Desativação do Banco Capacitor 13,8 kV, posição operacional 01H2, na SE Currais Novos II 138/69 kV.</t>
  </si>
  <si>
    <t>BC 13,8 kV 3,6 Mvar CUR.NOVOS II BC2 RN (01H2)</t>
  </si>
  <si>
    <t>0000978/2025</t>
  </si>
  <si>
    <t>11342812</t>
  </si>
  <si>
    <t>Desativação do Banco Capacitor 13,8 kV, posição operacional 01H3, na SE Currais Novos II 138/69 kV.</t>
  </si>
  <si>
    <t>BC 13,8 kV 3,6 Mvar CUR.NOVOS II BC3 RN (01H3)</t>
  </si>
  <si>
    <t>0000979/2025</t>
  </si>
  <si>
    <t>11342813</t>
  </si>
  <si>
    <t>Desativação de Entrada de Linha 138 kV, da LT 138kV Santana dos Matos II / Currais Novos II C-1 RN, posição operacional 13C1, na SE Currais Novos II 138/69 kV</t>
  </si>
  <si>
    <t>EL 138 kV CUR.NOVOS II LT 138 kV SAN.MATOS II /CUR.NOVOS II C-1 RN (13C1)</t>
  </si>
  <si>
    <t>0000980/2025</t>
  </si>
  <si>
    <t>11341741</t>
  </si>
  <si>
    <t>Desativação do Módulo de Conexão do Banco Capacitor 13,8 kV, posição operacional 01H1, na SE Currais Novos II 138/69 kV.</t>
  </si>
  <si>
    <t>MC 13,8 kV BC 13,8 kV 3,6 Mvar CUR.NOVOS II BC1 RN (11H1)</t>
  </si>
  <si>
    <t>0000981/2025</t>
  </si>
  <si>
    <t>11341820</t>
  </si>
  <si>
    <t>Desativação do Módulo de Conexão do Banco Capacitor 13,8 kV, posição operacional 01H2, na SE Currais Novos II 138/69 kV.</t>
  </si>
  <si>
    <t>MC 13,8 kV BC 13,8 kV 3,6 Mvar CUR.NOVOS II BC2 RN (11H2)</t>
  </si>
  <si>
    <t>0000982/2025</t>
  </si>
  <si>
    <t>11457461</t>
  </si>
  <si>
    <t>Desativação do Módulo de Conexão do Banco Capacitor 13,8 kV, posição operacional 01H3, na SE Currais Novos II 138/69 kV.</t>
  </si>
  <si>
    <t>MC 13,8 kV BC 13,8 kV 3,6 Mvar CUR.NOVOS II BC3 RN (11H3)</t>
  </si>
  <si>
    <t>0000983/2025</t>
  </si>
  <si>
    <t>11457462</t>
  </si>
  <si>
    <t>Desativação do Módulo de Conexão do Transformador Trifásico 138kV, posição operacional 13T1, na SE Currais Novos II 138/69 kV.</t>
  </si>
  <si>
    <t>TR 138/69 kV CUR.NOVOS II TR1 RN</t>
  </si>
  <si>
    <t>0000984/2025</t>
  </si>
  <si>
    <t>11338530</t>
  </si>
  <si>
    <t>Desativação do Módulo de Conexão do Transformador Trifásico 138kV, posição operacional 13T2, na SE Currais Novos II 138/69 kV.</t>
  </si>
  <si>
    <t>TR 138/69 kV CUR.NOVOS II TR2 RN</t>
  </si>
  <si>
    <t>0000985/2025</t>
  </si>
  <si>
    <t>11338448</t>
  </si>
  <si>
    <t>Desativação do Módulo de Conexão do Transformador de Aterramento 69kV, posição operacional 32A1, na SE Currais Novos II 138/69 kV.</t>
  </si>
  <si>
    <t>MC 69 kV TT 69/13,8 kV CUR.NOVOS II TA1 RN (32A1)</t>
  </si>
  <si>
    <t>0000986/2025</t>
  </si>
  <si>
    <t>11338514</t>
  </si>
  <si>
    <t>Desativação do Módulo Geral 138 kV, na SE Currais Novos II 138/69 kV.</t>
  </si>
  <si>
    <t>MG 138 kV CUR.NOVOS II MG1 RN</t>
  </si>
  <si>
    <t>0000987/2025</t>
  </si>
  <si>
    <t>12365899</t>
  </si>
  <si>
    <t>Desativação do Regulador Série 69 kV, posição operacional 02R1, potência 40 Mvar, na SE Currais Novos II 138/69 kV.</t>
  </si>
  <si>
    <t>RTS 69 kV 40 Mvar CUR.NOVOS II RT1 RN (02R1)</t>
  </si>
  <si>
    <t>0000988/2025</t>
  </si>
  <si>
    <t>traf8.00013-3</t>
  </si>
  <si>
    <t>Desativação do Transformador Trifásico, 138 kV, posição operacional 03T1, na SE Currais Novos II 138/69 kV.</t>
  </si>
  <si>
    <t>0000989/2025</t>
  </si>
  <si>
    <t>11347651</t>
  </si>
  <si>
    <t>Desativação do Transformador Trifásico, 138 kV, posição operacional 03T2, na SE Currais Novos II 138/69 kV.</t>
  </si>
  <si>
    <t>0000990/2025</t>
  </si>
  <si>
    <t>11348017</t>
  </si>
  <si>
    <t>Desativação do Transformador de Aterramento, 69 kV, posição operacional 02A1, na SE Currais Novos II 138/69 kV.</t>
  </si>
  <si>
    <t>TT 69/13,8 kV CUR.NOVOS II TA1 RN (02A1)</t>
  </si>
  <si>
    <t>0000991/2025</t>
  </si>
  <si>
    <t>11344307</t>
  </si>
  <si>
    <t>Desativação do Modulo Geral 69 k, obras no pátio de 69 kV, na SE Currais Novos II.</t>
  </si>
  <si>
    <t>0000992/2025</t>
  </si>
  <si>
    <t>12365898</t>
  </si>
  <si>
    <t>LT 138 kV CUR.NOVOS II /SANTA CRUZ II RN</t>
  </si>
  <si>
    <t>Desativação da Linha de transmissão LT 138kV Currais Novos II /Santa Cruz II, posição operacional 03M2.</t>
  </si>
  <si>
    <t>LT 138 kV CUR.NOVOS II /SANTA CRUZ II C-1 RN</t>
  </si>
  <si>
    <t>0000993/2025</t>
  </si>
  <si>
    <t>11387625</t>
  </si>
  <si>
    <t>LT 138 kV SAN.MATOS II /CUR.NOVOS II RN</t>
  </si>
  <si>
    <t>Desativação da Linha de transmissão LT 138kV Santana dos Matos II / Currais Novos II, posição operacional 03C1.</t>
  </si>
  <si>
    <t>LT 138 kV SAN.MATOS II /CUR.NOVOS II C-1 RN</t>
  </si>
  <si>
    <t>0000994/2025</t>
  </si>
  <si>
    <t>11386009</t>
  </si>
  <si>
    <t>Desativação de Reator de Linha Trifasico, posição operacional 04E3, 230kV, 10Mvar, associado a LT 230 kV MILAGRES /BANABUIU C-2, na SE BANABUIU.</t>
  </si>
  <si>
    <t>LT  230 kV MILAGRES     /BANABUIU      C-2 CE</t>
  </si>
  <si>
    <t>0000995/2025</t>
  </si>
  <si>
    <t>11343876</t>
  </si>
  <si>
    <t>Desativação de Entrada de Linha 69 kV, posição operacional 12F1, na SE Currais Novos II 138/69 kV</t>
  </si>
  <si>
    <t>EL 69 kV CUR.NOVOS II  DIST1 (12F1)</t>
  </si>
  <si>
    <t>0000996/2025</t>
  </si>
  <si>
    <t>11338554</t>
  </si>
  <si>
    <t>Desativação da Entrada de linha 69 kV, posição operacional 12F2, na SE Currais Novos II 138/69 kV.</t>
  </si>
  <si>
    <t>EL 69 kV CUR.NOVOS II  DIST2 (12F2)</t>
  </si>
  <si>
    <t>0000997/2025</t>
  </si>
  <si>
    <t>11342076</t>
  </si>
  <si>
    <t>Desativação do Módulo de Conexão 69 kV, posição operacional 12T1, na SE Currais Novos II 138/69 kV.</t>
  </si>
  <si>
    <t>0000998/2025</t>
  </si>
  <si>
    <t>11338490</t>
  </si>
  <si>
    <t>Desativação do Módulo de Conexão do Transformador Trifásico 69kV, posição operacional 12T2, na SE Currais Novos II 138/69 kV.</t>
  </si>
  <si>
    <t>0000999/2025</t>
  </si>
  <si>
    <t>11338513</t>
  </si>
  <si>
    <t>Desativação de Entrada de Linha 138 kV, da LT 138kV Currais Novos II / Santa Cruz II C-1 RN, posição operacional 13M2, na SE Currais Novos II 138/69 kV</t>
  </si>
  <si>
    <t>EL 138 kV CUR.NOVOS II LT 138 kV CUR.NOVOS II /SANTA CRUZ II C-1 RN  (13M2)</t>
  </si>
  <si>
    <t>0001000/2025</t>
  </si>
  <si>
    <t>11341652</t>
  </si>
  <si>
    <t>Instalação de painel e cabos do SEP 345kV AD-RNS na SE Adrianópolis, para monitoramento dos vãos das LT 345kV Adrianópolis -  Comperj e LT 345kV Adrianópolis - Venda das Pedras.</t>
  </si>
  <si>
    <t>MG 500 kV ADRIANOPOLIS MG1 RJ</t>
  </si>
  <si>
    <t>Solicitado</t>
  </si>
  <si>
    <t>0001102/2025</t>
  </si>
  <si>
    <t>na</t>
  </si>
  <si>
    <t>Instalação dos painéis de rede/segurança do SEP 345kV AD-RNS na SE Adrianópolis.</t>
  </si>
  <si>
    <t>0001103/2025</t>
  </si>
  <si>
    <t>Modernização do sistema de transmissão optico para atendimento ao requisitos  do SEP 345kV AD-RNS na SE Adrianópolis, consistindo na substituição de um painel com equipamentos SDH e serviços relacionados. (PNL1)</t>
  </si>
  <si>
    <t>0001104/2025</t>
  </si>
  <si>
    <t>10206851 / 10206852 / 10256125</t>
  </si>
  <si>
    <t>Modernização do sistema de transmissão optico para atendimento ao requisitos  do SEP 345kV AD-RNS na SE Adrianópolis, consistindo na substituição de um painel com equipamentos SDH e serviços relacionados. (PNL2)</t>
  </si>
  <si>
    <t>0001105/2025</t>
  </si>
  <si>
    <t>Instalação do Disjuntor 9144 em nova localização no anel de 500 kV, visando atender a configuração proposta na NT-ONS DPL 0046/2024. Na nova configuração o DJ9144 passa a conectar a UNE Angra 2 à UNE Angra 1. Essa obra está associada ao empreendimento autorizado pela ReA ANEEL 6787/2017 (T2017-068 - remanejamento de vãos 500 kV).</t>
  </si>
  <si>
    <t>LT 500 kV ANGRA FUR /NOVA IGUACU C-1 RJ</t>
  </si>
  <si>
    <t>0001106/2025</t>
  </si>
  <si>
    <t>Substituição do disjuntor do anel de 500 kV - DJ 9124 (COD_SAP: 10191536; NUM_SERIE: 1133-4R-016).</t>
  </si>
  <si>
    <t>MC 500 kV TR 500/25 kV ANGRA FUR TRG2 RJ</t>
  </si>
  <si>
    <t>Substituição da chave seccionadora do anel de 500 kV - SC9125 (COD_SAP: 10195259; NUM_SERIE: 986).</t>
  </si>
  <si>
    <t>Substituição da chave seccionadora do anel de 500 kV - SC9127 (COD_SAP: 10195258; NUM_SERIE: M972).</t>
  </si>
  <si>
    <t>Substituição da fase A do TC do disjuntor do anel - DJ9124 (TC DJ9124 FASE A; COD_SAP: 10187371; NUM_SERIE: GDP40385).</t>
  </si>
  <si>
    <t>ND</t>
  </si>
  <si>
    <t>Substituição da fase B do TC do disjuntor do anel - DJ9124 (TC DJ9124 FASE B; COD_SAP: 10187372; NUM_SERIE: GDP40382).</t>
  </si>
  <si>
    <t>Substituição da fase C do TC do disjuntor do anel - DJ9124 (TC DJ9124 FASE C; COD_SAP: 10187373; NUM_SERIE: GDP40381).</t>
  </si>
  <si>
    <t>Substituição da fase A do TC do disjuntor do anel - DJ9144 (TC DJ9144 FASE A; COD_SAP: 10187365; NUM_SERIE: GDP-40383).</t>
  </si>
  <si>
    <t>Substituição da fase B do TC do disjuntor do anel - DJ9144 (TC DJ9144 FASE B; COD_SAP: 10187366; NUM_SERIE: GDP-40384).</t>
  </si>
  <si>
    <t>Substituição da fase C do TC do disjuntor do anel - DJ9144 (TC DJ9144 FASE C; COD_SAP: 10187367; NUM_SERIE: GDP-40386).</t>
  </si>
  <si>
    <t>Modernização do sistema de transmissão optico da SE Campos para atendimento ao requisitos  do SEP 345kV AD-RNS, consistindo na substituição de um painel com equipamentos SDH e serviços relacionados.</t>
  </si>
  <si>
    <t>MG 345 kV CAMPOS MG1 RJ</t>
  </si>
  <si>
    <t>0001107/2025</t>
  </si>
  <si>
    <t>10206881</t>
  </si>
  <si>
    <t>Modernização do sistema de transmissão optico da SE Macaé para atendimento ao requisitos  do SEP 345kV AD-RNS, consistindo na substituição de um painel com equipamentos SDH e serviços relacionados.</t>
  </si>
  <si>
    <t>0001108/2025</t>
  </si>
  <si>
    <t>12687968</t>
  </si>
  <si>
    <t>Modernização do sistema de transmissão optico da SE Rocha Leão e Rocha Leão ENEL  para atendimento ao requisitos  do SEP 345kV AD-RNS, consistindo na substituição de um painel com equipamentos SDH e serviços relacionados.(PNL1)</t>
  </si>
  <si>
    <t>0001109/2025</t>
  </si>
  <si>
    <t>10206879</t>
  </si>
  <si>
    <t>Modernização do sistema de transmissão optico da SE Rocha Leão e Rocha Leão ENEL  para atendimento ao requisitos  do SEP 345kV AD-RNS, consistindo na substituição de um painel com equipamentos SDH e serviços relacionados. (PNL2)</t>
  </si>
  <si>
    <t>0001110/2025</t>
  </si>
  <si>
    <t>12595325</t>
  </si>
  <si>
    <t>Modernização do sistema de transmissão optico da SE Iriri para atendimento ao requisitos  do SEP 345kV AD-RNS, consistindo na substituição de um painel com equipamentos SDH e serviços relacionados.</t>
  </si>
  <si>
    <t>0001111/2025</t>
  </si>
  <si>
    <t>12687967</t>
  </si>
  <si>
    <t>VENDA PEDRAS</t>
  </si>
  <si>
    <t>Modernização do sistema de transmissão optico da SE Venda das Pedras para atendimento ao requisitos  do SEP 345kV AD-RNS, consistindo na substituição de um painel com equipamentos SDH e serviços relacionados.</t>
  </si>
  <si>
    <t>0001112/2025</t>
  </si>
  <si>
    <t>10247038</t>
  </si>
  <si>
    <t>LAGOS</t>
  </si>
  <si>
    <t>Instalação de painel e cabos do SEP 345kV AD-RNS na SE Lagos, para monitoramento dos vãos das LT 345kV Adrianópolis -  Comperj e LT 345kV Lagos - Comperj.</t>
  </si>
  <si>
    <t>MG 345 kV LAGOS MG3 RJ</t>
  </si>
  <si>
    <t>0001113/2025</t>
  </si>
  <si>
    <t>Instalação dos painéis rede/seguranças do SEP 345kV AD-RNS na SE Lagos.</t>
  </si>
  <si>
    <t>0001114/2025</t>
  </si>
  <si>
    <t>Modernização do sistema de transmissão optico da SE Lagos para atendimento ao requisitos  do SEP 345kV AD-RNS, consistindo na substituição de um painel com equipamentos SDH e serviços relacionados.</t>
  </si>
  <si>
    <t>0001115/2025</t>
  </si>
  <si>
    <t>12687965</t>
  </si>
  <si>
    <t>COMPERJ</t>
  </si>
  <si>
    <t>Instalação de painel e cabos do SEP 345kV AD-RNS na SE Comperj, para monitoramento dos vãos das LT 345kV Adrianópolis -  Comperj e LT 345kV Lagos - Comperj.</t>
  </si>
  <si>
    <t>MG 345 kV COMPERJ MG2 RJ</t>
  </si>
  <si>
    <t>0001116/2025</t>
  </si>
  <si>
    <t>Modernização do sistema de transmissão optico da SE Comperj para atendimento ao requisitos  do SEP 345kV AD-RNS, consistindo na substituição de um painel com equipamentos SDH e serviços relacionados.</t>
  </si>
  <si>
    <t>0001117/2025</t>
  </si>
  <si>
    <t>12480781</t>
  </si>
  <si>
    <t>LT 345 kV ADRIANOPOLIS /COMPERJ RJ</t>
  </si>
  <si>
    <t>Instalação de 67km de cabo OPGW na LT 345kV Adrianópolis - Comperj</t>
  </si>
  <si>
    <t>LT 345 kV ADRIANOPOLIS /COMPERJ C-1 RJ</t>
  </si>
  <si>
    <t>CaboOticoNovoLT-Adr-Comp</t>
  </si>
  <si>
    <t>LT 345 kV COMPERJ /LAGOS RJ</t>
  </si>
  <si>
    <t>Instalação de 97km cabo OPGW na LT 345kV Comperj - Lagos, incluindo derivação de fibras para a SE Rocha Leão</t>
  </si>
  <si>
    <t>FT LT 345 kV COMPERJ /LAGOS C-1 RJ</t>
  </si>
  <si>
    <t>Instalação dos painéis rede/segurança do SEP 345kV AD-RNS na SE Comperj.</t>
  </si>
  <si>
    <t>0001137/2025</t>
  </si>
  <si>
    <t>RIO NOVO SUL</t>
  </si>
  <si>
    <t>Modernização do sistema de transmissão optico da SE Rio Novo do Sul para atendimento ao requisitos  do SEP 345kV AD-RNS, consistindo na substituição de um painel com equipamentos SDH e serviços relacionados.</t>
  </si>
  <si>
    <t>MG 345 kV RIO NOVO DO SUL MG3 ES</t>
  </si>
  <si>
    <t>0001139/2025</t>
  </si>
  <si>
    <t>12687969</t>
  </si>
  <si>
    <t>Substituição de 1300 m de cabo para-raio, do tipo OPGW, no trecho compreendido entre estruturas 73-76 e 82-84 na LT 230 kV PITUACU /RL (COTEGIPE / MATATU) C-1 BA/PE (04L4) no trecho PITUACU/MATATU.</t>
  </si>
  <si>
    <t>RL 230 kV PITUACU C-1 LT COTEGIPE /MATATU C-1 BA</t>
  </si>
  <si>
    <t>0001141/2025</t>
  </si>
  <si>
    <t>11898927</t>
  </si>
  <si>
    <t>Substituição de 01 (um) TC 230 kV posição operacional 94H1-2 fase A, na subestação TERESINA (TSA).</t>
  </si>
  <si>
    <t>BC  230 kV 50,5 Mvar TERESINA       BC1 PI</t>
  </si>
  <si>
    <t>0001216/2025</t>
  </si>
  <si>
    <t>94H1-2.A</t>
  </si>
  <si>
    <t>Substituição de 01 (um) TC 230 kV posição operacional 94H1-2 fase B, na subestação TERESINA (TSA).</t>
  </si>
  <si>
    <t>0001217/2025</t>
  </si>
  <si>
    <t>94H1-2.B</t>
  </si>
  <si>
    <t>Substituição de 01 (um) TC 230 kV posição operacional 94H1-2 fase C, na subestação TERESINA (TSA).</t>
  </si>
  <si>
    <t>0001218/2025</t>
  </si>
  <si>
    <t>94H1-2.C</t>
  </si>
  <si>
    <t>Substituição de 01 (um) TC 230 kV posição operacional 94H2-2 fase A, na subestação TERESINA (TSA).</t>
  </si>
  <si>
    <t>BC  230 kV 50,5 Mvar TERESINA       BC2 PI</t>
  </si>
  <si>
    <t>0001219/2025</t>
  </si>
  <si>
    <t>94H2-2.A</t>
  </si>
  <si>
    <t>Substituição de 01 (um) TC 230 kV posição operacional 94H2-2 fase B, na subestação TERESINA (TSA).</t>
  </si>
  <si>
    <t>0001220/2025</t>
  </si>
  <si>
    <t>Substituição de 01 (um) TC 230 kV posição operacional 94H2-2 fase C, na subestação TERESINA (TSA).</t>
  </si>
  <si>
    <t>0001221/2025</t>
  </si>
  <si>
    <t>Substituição de 01 (um) TC 69 kV posição operacional 92T4.A fase A, na subestação MIRUEIRA (MRR).</t>
  </si>
  <si>
    <t>TR  230/69   kV MIRUEIRA       TR4 PE</t>
  </si>
  <si>
    <t>0001222/2025</t>
  </si>
  <si>
    <t>92T4.A</t>
  </si>
  <si>
    <t>Substituição de 01 (um) TC 69 kV posição operacional 92T4.B fase B, na subestação MIRUEIRA (MRR).</t>
  </si>
  <si>
    <t>0001223/2025</t>
  </si>
  <si>
    <t>92T4.B</t>
  </si>
  <si>
    <t>Substituição de 01 (um) TC 69 kV posição operacional 92T4.C fase C, na subestação MIRUEIRA (MRR).</t>
  </si>
  <si>
    <t>0001224/2025</t>
  </si>
  <si>
    <t>92T4.C</t>
  </si>
  <si>
    <t>Substituição de 01 (um) TC 69 kV posição operacional 92T3.A fase A, na subestação IRECE (IRE).</t>
  </si>
  <si>
    <t>TR  230/69   kV IRECE          TR3 BA</t>
  </si>
  <si>
    <t>0001225/2025</t>
  </si>
  <si>
    <t>92T3.A</t>
  </si>
  <si>
    <t>Substituição de 01 (um) TC 69 kV posição operacional 92T3.B fase B, na subestação IRECE (IRE).</t>
  </si>
  <si>
    <t>0001226/2025</t>
  </si>
  <si>
    <t>Substituição de 01 (um) TC 69 kV posição operacional 92T3.C fase C, na subestação IRECE (IRE).</t>
  </si>
  <si>
    <t>0001227/2025</t>
  </si>
  <si>
    <t>Substituição de 01 (um) TC 138 kV posição operacional 93T4 fase A, na subestação IRECE (IRE).</t>
  </si>
  <si>
    <t>TR  230/138  kV IRECE          TR4 BA</t>
  </si>
  <si>
    <t>0001229/2025</t>
  </si>
  <si>
    <t>93T4.A</t>
  </si>
  <si>
    <t>Substituição de 01 (um) TC 138 kV posição operacional 93T4 fase B, na subestação IRECE (IRE).</t>
  </si>
  <si>
    <t>0001230/2025</t>
  </si>
  <si>
    <t>93T4.B</t>
  </si>
  <si>
    <t>Substituição de 01 (um) TC 138 kV posição operacional 93T4 fase C, na subestação IRECE (IRE).</t>
  </si>
  <si>
    <t>0001231/2025</t>
  </si>
  <si>
    <t>93T4.C</t>
  </si>
  <si>
    <t>Substituição de 01 (um) TC 138 kV posição operacional 93T5 fase A, na subestação IRECE (IRE).</t>
  </si>
  <si>
    <t>TR  230/138  kV IRECE          TR5 BA</t>
  </si>
  <si>
    <t>0001232/2025</t>
  </si>
  <si>
    <t>93T5.A</t>
  </si>
  <si>
    <t>Substituição de 01 (um) TC 138 kV posição operacional 93T5 fase B, na subestação IRECE (IRE).</t>
  </si>
  <si>
    <t>0001233/2025</t>
  </si>
  <si>
    <t>93T5.B</t>
  </si>
  <si>
    <t>Substituição de 01 (um) TC 138 kV posição operacional 93T5 fase C, na subestação IRECE (IRE).</t>
  </si>
  <si>
    <t>0001234/2025</t>
  </si>
  <si>
    <t>93T5.C</t>
  </si>
  <si>
    <t>Substituição de 01 (um) TC 69 kV posição operacional 92D1.A fase A, na subestação ANGELIM (AGL).</t>
  </si>
  <si>
    <t>0001235/2025</t>
  </si>
  <si>
    <t>92D1.A</t>
  </si>
  <si>
    <t>Substituição de 01 (um) TC 69 kV posição operacional 92D1.B fase B, na subestação ANGELIM (AGL).</t>
  </si>
  <si>
    <t>0001236/2025</t>
  </si>
  <si>
    <t>92D1.B</t>
  </si>
  <si>
    <t>Substituição de 01 (um) TC 69 kV posição operacional 92D1.C fase C, na subestação ANGELIM (AGL).</t>
  </si>
  <si>
    <t>0001237/2025</t>
  </si>
  <si>
    <t>92D1.C</t>
  </si>
  <si>
    <t>Substituição de 01 (um) TC 69 kV posição operacional 92T5.A fase A, na subestação ANGELIM (AGL).</t>
  </si>
  <si>
    <t>TR  230/69   kV ANGELIM        TR5 PE</t>
  </si>
  <si>
    <t>0001238/2025</t>
  </si>
  <si>
    <t>92T5.A</t>
  </si>
  <si>
    <t>Substituição de 01 (um) TC 230 kV posição operacional 94M4 fase A, na subestação ANGELIM (AGL).</t>
  </si>
  <si>
    <t>0001239/2025</t>
  </si>
  <si>
    <t>94M4.A</t>
  </si>
  <si>
    <t>Substituição de 01 (um) TC 230 kV posição operacional 94M4 fase B, na subestação ANGELIM (AGL).</t>
  </si>
  <si>
    <t>0001240/2025</t>
  </si>
  <si>
    <t>94M4.B</t>
  </si>
  <si>
    <t>Substituição de 01 (um) TC 230 kV posição operacional 94M4 fase C, na subestação ANGELIM (AGL).</t>
  </si>
  <si>
    <t>0001241/2025</t>
  </si>
  <si>
    <t>94M4.C</t>
  </si>
  <si>
    <t>Substituição de 01 (um) TC 230 kV posição operacional 94M5 fase A, na subestação ANGELIM (AGL).</t>
  </si>
  <si>
    <t>0001242/2025</t>
  </si>
  <si>
    <t>94M5.A</t>
  </si>
  <si>
    <t>Substituição de 01 (um) TC 230 kV posição operacional 94M5 fase B, na subestação ANGELIM (AGL).</t>
  </si>
  <si>
    <t>0001243/2025</t>
  </si>
  <si>
    <t>94M5.B</t>
  </si>
  <si>
    <t>Substituição de 01 (um) TC 230 kV posição operacional 94M5 fase C, na subestação ANGELIM (AGL).</t>
  </si>
  <si>
    <t>0001244/2025</t>
  </si>
  <si>
    <t>94M5.C</t>
  </si>
  <si>
    <t>Substituição de 01 (um) TC 69 kV posição operacional 92T5.B fase B, na subestação ANGELIM (AGL).</t>
  </si>
  <si>
    <t>0001245/2025</t>
  </si>
  <si>
    <t>92T5.B</t>
  </si>
  <si>
    <t>Substituição de 01 (um) TC 69 kV posição operacional 92T5.C fase C, na subestação ANGELIM (AGL).</t>
  </si>
  <si>
    <t>0001246/2025</t>
  </si>
  <si>
    <t>92T5.C</t>
  </si>
  <si>
    <t>Substituição de 01 (um) TC 69 kV posição operacional 92T3.A fase A, na subestação PICI II (PCD).</t>
  </si>
  <si>
    <t>TR  230/69   kV PICI II        TR3 CE</t>
  </si>
  <si>
    <t>0001247/2025</t>
  </si>
  <si>
    <t>Substituição de 01 (um) TC 69 kV posição operacional 92T3.B fase B, na subestação PICI II (PCD).</t>
  </si>
  <si>
    <t>0001248/2025</t>
  </si>
  <si>
    <t>Substituição de 01 (um) TC 69 kV posição operacional 92T3.C fase C, na subestação PICI II (PCD).</t>
  </si>
  <si>
    <t>0001249/2025</t>
  </si>
  <si>
    <t>Substituição de 01 (um) TC 69 kV posição operacional 92T2 fase A, na subestação PICI II (PCD).</t>
  </si>
  <si>
    <t>TR  230/69   kV PICI II        TR2 CE</t>
  </si>
  <si>
    <t>0001250/2025</t>
  </si>
  <si>
    <t>92T2.A</t>
  </si>
  <si>
    <t>Substituição de 01 (um) TC 69 kV posição operacional 92T2 fase B, na subestação PICI II (PCD).</t>
  </si>
  <si>
    <t>0001251/2025</t>
  </si>
  <si>
    <t>92T2.B</t>
  </si>
  <si>
    <t>Substituição de 01 (um) TC 69 kV posição operacional 92T2 fase C, na subestação PICI II (PCD).</t>
  </si>
  <si>
    <t>0001252/2025</t>
  </si>
  <si>
    <t>92T2.C</t>
  </si>
  <si>
    <t>Instalação de 01 Cubículo de Disjuntor 15KV. (Cubículo 1)</t>
  </si>
  <si>
    <t>MG 500 kV GURUPI MG2 TO</t>
  </si>
  <si>
    <t>0001306/2025</t>
  </si>
  <si>
    <t>Instalação de 01 Cubículo de Disjuntor 15KV. (Cubículo 2)</t>
  </si>
  <si>
    <t>0001307/2025</t>
  </si>
  <si>
    <t>Instalação do sistema de proteção de barra alternado BR9A e BR9B, 500 kV , arranjo DJM, na SE SAO JOSE.</t>
  </si>
  <si>
    <t>0001309/2025</t>
  </si>
  <si>
    <t>Instalação do sistema de proteção de Falha de Disjuntor alternado DJ9158, 500kV, arranjo DJM, associado a Entrada de Linha Adrianópolis, na SE SAO JOSE.</t>
  </si>
  <si>
    <t>0001310/2025</t>
  </si>
  <si>
    <t>Instalação do sistema de proteção de Falha de Disjuntor alternado DJ9168, 500kV, arranjo DJM, associado a Entrada de Linha Nova Iguaçu, na SE SAO JOSE.</t>
  </si>
  <si>
    <t>0001311/2025</t>
  </si>
  <si>
    <t>Instalação do sistema de proteção de Falha de Disjuntor alternado DJ9178, 500kV, arranjo DJM, associado ao TR14, na SE SAO JOSE.</t>
  </si>
  <si>
    <t>TR  500/138  kV SAO JOSE      TR14 RJ</t>
  </si>
  <si>
    <t>0001312/2025</t>
  </si>
  <si>
    <t>Instalação do sistema de proteção de Falha de Disjuntor alternado DJ9358, 500kV, arranjo DJM, associado ao TR11, na SE SAO JOSE.</t>
  </si>
  <si>
    <t>TR  500/138  kV SAO JOSE      TR11 RJ</t>
  </si>
  <si>
    <t>0001315/2025</t>
  </si>
  <si>
    <t>Instalação do sistema de proteção de Falha de Disjuntor alternado DJ9368, 500kV, arranjo DJM, associado ao TR12, na SE SAO JOSE.</t>
  </si>
  <si>
    <t>TR  500/138  kV SAO JOSE      TR12 RJ</t>
  </si>
  <si>
    <t>0001319/2025</t>
  </si>
  <si>
    <t>Instalação do sistema de proteção de Falha de Disjuntor alternado DJ9378, 500kV, arranjo DJM, associado ao TR13, na SE SAO JOSE.</t>
  </si>
  <si>
    <t>TR  500/138  kV SAO JOSE      TR13 RJ</t>
  </si>
  <si>
    <t>0001320/2025</t>
  </si>
  <si>
    <t>Instalação de 01 (um) Cubículo de 13,8kV Nº03, 01 (um) painel de proteção e controle, todos os cabos de força e comando e respectiva obra civil  na subestação Carajás.</t>
  </si>
  <si>
    <t>0001339/2025</t>
  </si>
  <si>
    <t>Instalação de 01 (um) Cubículo de 13,8kV Nº04, 01 (um) painel de proteção e controle, todos os cabos de força e comando e respectiva obra civil  na subestação Carajás.</t>
  </si>
  <si>
    <t>0001340/2025</t>
  </si>
  <si>
    <t>Instalação de 01 (um) Cubículo de 13,8kV  Nº 01,  01 (um) painel de proteção e controle, todos os cabos de força e comando e respectiva obra civil  na subestação Colinas.</t>
  </si>
  <si>
    <t>0001341/2025</t>
  </si>
  <si>
    <t>Instalação de 01 (um) Cubículo de 13,8kV Nº 02,  01 (um) painel de proteção e controle, todos os cabos de força e comando e respectiva obra civil  na subestação Colinas.</t>
  </si>
  <si>
    <t>0001342/2025</t>
  </si>
  <si>
    <t>Instalação de 01 (um) Cubículo de 13,8kV Nº01, 01 (um) painel de proteção e controle, todos os cabos de força e comando e respectiva obra civil  na subestação Integradora.</t>
  </si>
  <si>
    <t>0001343/2025</t>
  </si>
  <si>
    <t>Instalação de 01 (um) Cubículo de 13,8kV Nº02, 01 (um) painel de proteção e controle, todos os cabos de força e comando e respectiva obra civil  na subestação Integradora.</t>
  </si>
  <si>
    <t>0001345/2025</t>
  </si>
  <si>
    <t>Substituição do transformador de 34,5kV/0,38kV/0,22kV 200kVA (IGTF3-01) por um de 13,8kV/0,38kV/0,22kV 200kVA da subestação Integradora.</t>
  </si>
  <si>
    <t>0001346/2025</t>
  </si>
  <si>
    <t>12336951</t>
  </si>
  <si>
    <t>Substituição do transformador de 34,5kV/0,38kV/0,22kV 200kVA (IGTF3-02) por um de 13,8kV/0,38kV/0,22kV 200kVA da subestação Integradora.</t>
  </si>
  <si>
    <t>0001347/2025</t>
  </si>
  <si>
    <t>12336956</t>
  </si>
  <si>
    <t>Instalação de proteção alternada de falha do disjuntor  ANDJ6-06 230kV, associado à Entrada de Linha Porto Velho C2, na SE ABUNA.</t>
  </si>
  <si>
    <t>0001364/2025</t>
  </si>
  <si>
    <t>Instalação de proteção alternada de falha do disjuntor  ANDJ6-07 230kV, associado à Entrada de Linha Rio Branco C2, na ABUNA.</t>
  </si>
  <si>
    <t>0001365/2025</t>
  </si>
  <si>
    <t>Instalação de proteção alternada de falha do disjuntor  ANDJ6-01 230kV, associado à Interligação de Barras IB1. na SE ABUNA.</t>
  </si>
  <si>
    <t>0001366/2025</t>
  </si>
  <si>
    <t>Instalação de proteção alternada de falha do disjuntor  ANDJ6-09 230kV, associado ao TR1, na SE ABUNA.</t>
  </si>
  <si>
    <t>0001367/2025</t>
  </si>
  <si>
    <t>Instalação de proteção alternada de falha do disjuntor  ANDJ6-08 230kV, associado ao RT4, na ABUNA.</t>
  </si>
  <si>
    <t>RTB 230 kV 30 Mvar ABUNA RT4 RO</t>
  </si>
  <si>
    <t>0001368/2025</t>
  </si>
  <si>
    <t>Instalação de proteção alternada de falha do disjuntor  ANDJ6-10 230kV, associado ao TR2, na SE ABUNA.</t>
  </si>
  <si>
    <t>TR 230/138 kV ABUNA TR2 RO</t>
  </si>
  <si>
    <t>0001369/2025</t>
  </si>
  <si>
    <t>Instalação de 01 (um) TC 230 kV posição operacional 94E1 fase C, na subestação BANABUIU (BNB).</t>
  </si>
  <si>
    <t>0001378/2025</t>
  </si>
  <si>
    <t>Instalação de 01 (um) TC 230 kV posição operacional 94E3 fase A, na subestação BANABUIU (BNB).</t>
  </si>
  <si>
    <t>0001379/2025</t>
  </si>
  <si>
    <t>Instalação de 01 (um) TC 230 kV posição operacional 94E3 fase C, na subestação BANABUIU (BNB).</t>
  </si>
  <si>
    <t>0001380/2025</t>
  </si>
  <si>
    <t>Instalação de 01 (um) TC 230 kV posição operacional 94E1 fase A, na subestação GOIANINHA (GNN).</t>
  </si>
  <si>
    <t>0001381/2025</t>
  </si>
  <si>
    <t>Implantação da proteção diferencial de barras Unidade de Bay Principal e Alternada e dos cabos de controle e potência associados (1000 m), referente a LT 230 kV Osório 2 - Atlântida 2.</t>
  </si>
  <si>
    <t>LT 230 kV ATLANTIDA 2 /OSORIO 2 C-1 RS</t>
  </si>
  <si>
    <t>0001382/2025</t>
  </si>
  <si>
    <t>Implantação da proteção diferencial de barras Unidade de Bay Principal e Alternada e dos cabos de controle e potência associados (1000 m), referente a LT 230 kV Presidente Médici  - Santa Cruz 1.</t>
  </si>
  <si>
    <t>LT 230 kV PRE.MEDICI /SANTA CRUZ 1 C-1 RS</t>
  </si>
  <si>
    <t>0001383/2025</t>
  </si>
  <si>
    <t>Instalação de 01 (um) TC 230 kV posição operacional 94E1 fase B, na subestação GOIANINHA (GNN).</t>
  </si>
  <si>
    <t>0001384/2025</t>
  </si>
  <si>
    <t>Instalação de 01 (um) TC 230 kV posição operacional 94E1 fase C, na subestação GOIANINHA (GNN).</t>
  </si>
  <si>
    <t>0001385/2025</t>
  </si>
  <si>
    <t>Instalação de 01 (um) TC 69 kV posição operacional 92T1 fase A, na subestação GOIANINHA (GNN).</t>
  </si>
  <si>
    <t>0001386/2025</t>
  </si>
  <si>
    <t>Implantação da proteção diferencial de barras Unidade de Bay Principal e Alternada e dos cabos de controle e potência associados (1000 m), referente a TF 6 setor 230 kV .</t>
  </si>
  <si>
    <t>TR 230/138 kV SANTA MARIA 3 TR4 RS</t>
  </si>
  <si>
    <t>0001387/2025</t>
  </si>
  <si>
    <t>Instalação de 01 (um) TC 69 kV posição operacional 92T1 fase B, na subestação GOIANINHA (GNN).</t>
  </si>
  <si>
    <t>0001388/2025</t>
  </si>
  <si>
    <t>Implantação da proteção diferencial de barras Unidade de Bay Principal e Alternada e dos cabos de controle e potência associados (1000 m), referente a TF 7 setor 230 kV .</t>
  </si>
  <si>
    <t>TR 230/138 kV SANTA MARIA 3 TR3 RS</t>
  </si>
  <si>
    <t>0001389/2025</t>
  </si>
  <si>
    <t>Instalação de 01 (um) TC 69 kV posição operacional 92T1 fase C, na subestação GOIANINHA (GNN).</t>
  </si>
  <si>
    <t>0001390/2025</t>
  </si>
  <si>
    <t>Instalação de 01 (um) TC 230 kV posição operacional 94H1-3 fase A, na subestação B.JESUS LAPA (BJS).</t>
  </si>
  <si>
    <t>CR 230 kV 34,9 Mvar B.JESUS LAPA BC1 BA</t>
  </si>
  <si>
    <t>0001391/2025</t>
  </si>
  <si>
    <t>Instalação de 01 (um) TC 230 kV posição operacional 94H1-3 fase B, na subestação B.JESUS LAPA (BJS).</t>
  </si>
  <si>
    <t>0001392/2025</t>
  </si>
  <si>
    <t>Instalação de 01 (um) TC 230 kV posição operacional 94H1-3 fase C, na subestação B.JESUS LAPA (BJS).</t>
  </si>
  <si>
    <t>0001393/2025</t>
  </si>
  <si>
    <t>Substituição do Registrador Digital de Perturbações (RDP) de 13,8 KV com integração ao SPERT, codigo operacional CS13CS1, Vão DX da subestação Imperatriz.</t>
  </si>
  <si>
    <t>0001394/2025</t>
  </si>
  <si>
    <t>119846</t>
  </si>
  <si>
    <t>Substituição do Registrador Digital de Perturbações (RDP) de 13,8 KV com integração ao SPERT, codigo operacional CS13CS2, Vão DX da subestação Imperatriz.</t>
  </si>
  <si>
    <t>CS 100/-70 Mvar IMPERATRIZ CS2 MA</t>
  </si>
  <si>
    <t>0001395/2025</t>
  </si>
  <si>
    <t>11984699</t>
  </si>
  <si>
    <t>Instalação de 01 (um) TC 230 kV posição operacional 94H1-3 fase A, na subestação IRECE (IRE).</t>
  </si>
  <si>
    <t>CR 230 kV 81 Mvar IRECE BC1 BA</t>
  </si>
  <si>
    <t>0001396/2025</t>
  </si>
  <si>
    <t>Instalação de 01 (um) TC 230 kV posição operacional 94H1-3 fase B, na subestação IRECE (IRE).</t>
  </si>
  <si>
    <t>0001397/2025</t>
  </si>
  <si>
    <t>Instalação de 01 (um) TC 230 kV posição operacional 94H1-3 fase C, na subestação IRECE (IRE).</t>
  </si>
  <si>
    <t>0001398/2025</t>
  </si>
  <si>
    <t>Substituição do Registrador Digital de Perturbações (RDP) de 13,8 KV com integração ao SPERT, codigo operacional CS201 - PDSPR01, Vão AX da subestação Presidente Dutra.</t>
  </si>
  <si>
    <t>0001399/2025</t>
  </si>
  <si>
    <t>11990226</t>
  </si>
  <si>
    <t>Instalação de OPLAT e equipamentos associados, relacionados à teleproteção alternada do vão da Entrada de Linha 04L3 (LT 230 kV GOIANINHA /C.GRANDE II C-1), na subestação C.GRANDE II, composto por: 01 sistema de teleproteção alternado.</t>
  </si>
  <si>
    <t>0001400/2025</t>
  </si>
  <si>
    <t>Substituição do Registrador Digital de Perturbações (RDP) de 13,8 KV com integração ao SPERT, codigo operacional CS202 - PDSPR01, Vão AX da subestação Presidente Dutra.</t>
  </si>
  <si>
    <t>CS 100/-70 Mvar P.DUTRA CS2 MA</t>
  </si>
  <si>
    <t>0001401/2025</t>
  </si>
  <si>
    <t>11990436</t>
  </si>
  <si>
    <t>Instalação de equipamentos de teleproteção associados ao vão da Entrada de Linha 04L3 (LT 230 kV GOIANINHA /C.GRANDE II C-1), na subestação C.GRANDE II, composto por: 02 Bobinas de Bloqueio.</t>
  </si>
  <si>
    <t>0001402/2025</t>
  </si>
  <si>
    <t>Instalação de OPLAT e equipamentos associados, relacionados à teleproteção alternada do vão da Entrada de Linha 04C7 (LT 230 kV PAU FERRO /GOIANINHA C-1), na subestação GOIANINHA, composto por: 01 sistema de teleproteção alternado.</t>
  </si>
  <si>
    <t>0001404/2025</t>
  </si>
  <si>
    <t>Instalação de OPLAT e equipamentos associados, relacionados à teleproteção alternada do vão da Entrada de Linha 04C8 (LT 230 kV RECIFE II /GOIANINHA C-1), na subestação GOIANINHA, composto por: 01 sistema de teleproteção alternado.</t>
  </si>
  <si>
    <t>0001405/2025</t>
  </si>
  <si>
    <t>Instalação de OPLAT e equipamentos associados, relacionados à teleproteção alternada do vão da Entrada de Linha 04C9 (LT 230 kV RECIFE II /GOIANINHA C-2), na subestação GOIANINHA, composto por: 01 sistema de teleproteção alternado.</t>
  </si>
  <si>
    <t>0001406/2025</t>
  </si>
  <si>
    <t>Instalação de OPLAT e equipamentos associados, relacionados à teleproteção alternada do vão da Entrada de Linha 04L3 (LT 230 kV GOIANINHA /C.GRANDE II C-1), na subestação GOIANINHA, composto por: 01 sistema de teleproteção alternado.</t>
  </si>
  <si>
    <t>0001407/2025</t>
  </si>
  <si>
    <t>Instalação de equipamentos de teleproteção associados ao vão da Entrada de Linha 04C7 (LT 230 kV PAU FERRO /GOIANINHA C-1), na subestação GOIANINHA, composto por: 02 Bobinas de Bloqueio.</t>
  </si>
  <si>
    <t>0001409/2025</t>
  </si>
  <si>
    <t>Instalação de equipamentos de teleproteção associados ao vão da Entrada de Linha 04C8 (LT 230 kV RECIFE II /GOIANINHA C-1), na subestação GOIANINHA, composto por: 02 Bobinas de Bloqueio.</t>
  </si>
  <si>
    <t>lt 230 Kv recife ii /goianinha c-1 pe</t>
  </si>
  <si>
    <t>0001410/2025</t>
  </si>
  <si>
    <t>Instalação de equipamentos de teleproteção associados ao vão da Entrada de Linha 04C9 (LT 230 kV RECIFE II /GOIANINHA C-2), na subestação GOIANINHA, composto por: 02 Bobinas de Bloqueio.</t>
  </si>
  <si>
    <t>0001411/2025</t>
  </si>
  <si>
    <t>Instalação de equipamentos de teleproteção associados ao vão da Entrada de Linha 04L3 (LT 230 kV GOIANINHA /C.GRANDE II C-1), na subestação GOIANINHA, composto por: 02 Bobinas de Bloqueio.</t>
  </si>
  <si>
    <t>0001412/2025</t>
  </si>
  <si>
    <t>Instalação de OPLAT e equipamentos associados, relacionados à teleproteção alternada do vão da Entrada de Linha 04C8 (LT 230 kV RECIFE II /GOIANINHA C-1), na subestação RECIFE II, composto por: 01 sistema de teleproteção alternado.</t>
  </si>
  <si>
    <t>0001413/2025</t>
  </si>
  <si>
    <t>Instalação de OPLAT e equipamentos associados, relacionados à teleproteção alternada do vão da Entrada de Linha 04C9 (LT 230 kV RECIFE II /GOIANINHA C-2), na subestação RECIFE II, composto por: 01 sistema de teleproteção alternado.</t>
  </si>
  <si>
    <t>0001414/2025</t>
  </si>
  <si>
    <t>Instalação de equipamentos de teleproteção associados ao vão da Entrada de Linha 04C8 (LT 230 kV RECIFE II /GOIANINHA C-1), na subestação RECIFE II, composto por: 02 Bobinas de Bloqueio.</t>
  </si>
  <si>
    <t>0001415/2025</t>
  </si>
  <si>
    <t>Instalação de equipamentos de teleproteção associados ao vão da Entrada de Linha 04C9 (LT 230 kV RECIFE II /GOIANINHA C-2), na subestação RECIFE II, composto por: 02 Bobinas de Bloqueio.</t>
  </si>
  <si>
    <t>0001416/2025</t>
  </si>
  <si>
    <t>Instalação de OPLAT e equipamentos associados, relacionados à teleproteção alternada do vão da Entrada de Linha 04C7 (LT 230 kV PAU FERRO /GOIANINHA C-1), na subestação PAU FERRO, composto por: 01 sistema de teleproteção alternado.</t>
  </si>
  <si>
    <t>0001417/2025</t>
  </si>
  <si>
    <t>Instalação de equipamentos de teleproteção associados ao vão da Entrada de Linha 04C7 (LT 230 kV PAU FERRO /GOIANINHA C-1), na subestação PAU FERRO, composto por: 02 Bobinas de Bloqueio.</t>
  </si>
  <si>
    <t>0001419/2025</t>
  </si>
  <si>
    <t>Instalação de lógica de transferência automática de carga, na contingência transferência entre os transformadores TR1, TR2 e TR3 de 230/13,8 kV, na SE CAXIAS SUL 5.</t>
  </si>
  <si>
    <t>MG 230 kV CAXIAS SUL 5 MG1 RS</t>
  </si>
  <si>
    <t>0001422/2025</t>
  </si>
  <si>
    <t>Instalação de Interligação de Barras 13,8 kV para interligar as barras P3 e P1 (existente), arranjo BPT, na SE CAXIAS SUL 5.</t>
  </si>
  <si>
    <t>IB 13,8 kV MG 230 kV CAXIAS SUL 5 RS P3 e P1</t>
  </si>
  <si>
    <t>0001423/2025</t>
  </si>
  <si>
    <t>Instalação de Interligação de Barras 13,8 kV para interligar as barras P3 e T3, arranjo BPT, na SE CAXIAS SUL 5.</t>
  </si>
  <si>
    <t>IB 13,8 kV MG 230 kV CAXIAS SUL 5 RS P3 e T3</t>
  </si>
  <si>
    <t>0001424/2025</t>
  </si>
  <si>
    <t>Instalação de Módulo de Conexão Transformador 13,8kV, arranjo BPT,  associado ao TR3, na SE CAXIAS SUL 5.</t>
  </si>
  <si>
    <t>MC 13,8 kV TR 230/13,8 kV CAXIAS SUL 5 TR3 RS</t>
  </si>
  <si>
    <t>0001425/2025</t>
  </si>
  <si>
    <t>Instalação  da proteção alternada contra falha de disjuntor do módulo de conexão do reator RE1 de 230 kV (DJ722) na SE DOURADOS</t>
  </si>
  <si>
    <t>RTB 230 kV 27 Mvar DOURADOS RT1 MS</t>
  </si>
  <si>
    <t>0001426/2025</t>
  </si>
  <si>
    <t>Instalação da proteção alternada contra falha de disjuntor do módulo de conexão do TR3 230kV (DJ752) na SE DOURADOS</t>
  </si>
  <si>
    <t>0001427/2025</t>
  </si>
  <si>
    <t>Instalação  da proteção alternada contra falha de disjuntor do módulo de conexão do TR4 230kV (DJ772) na SE DOURADOS</t>
  </si>
  <si>
    <t>0001428/2025</t>
  </si>
  <si>
    <t>Instalação da proteção alternada contra falha de disjuntor (DJ 862) 230 kV, arranjo BD4, associado ao TR3, na SE LONDRINA ESU</t>
  </si>
  <si>
    <t>TR 500/230 kV LONDRINA ESU TR3 PR</t>
  </si>
  <si>
    <t>0001429/2025</t>
  </si>
  <si>
    <t>Instalação do sistema de proteção e controle alternado para as barras  230kV, na SE ABUNA.</t>
  </si>
  <si>
    <t>0001430/2025</t>
  </si>
  <si>
    <t>Instalação de Registrador Digital de Perturbações RDP 230kV, arranjo BD4, associado a Entrada de Linha Jauru C2, na SE VARZEA GRANDE.</t>
  </si>
  <si>
    <t>0001440/2025</t>
  </si>
  <si>
    <t>Substituição da proteção de Barras BR7A e BR7B 230kV, arranjo BD4, na SE NIQUELÂNDIA.</t>
  </si>
  <si>
    <t>0001441/2025</t>
  </si>
  <si>
    <t>10217226</t>
  </si>
  <si>
    <t>Substituição da proteção de Falha do disjuntor DJ7116, 230kV (S.da Mesa-Niquelândia C2),  arranjo BD4, na SE NIQUELÂNDIA.</t>
  </si>
  <si>
    <t>LT 230 kV S.DA MESA /NIQUELANDIA C-2 GO</t>
  </si>
  <si>
    <t>0001442/2025</t>
  </si>
  <si>
    <t>10255812</t>
  </si>
  <si>
    <t>Substituição da proteção de Falha do disjuntor DJ7106, 230kV (S.da Mesa-Niquelândia C1), arranjo BD4, na SE NIQUELÂNDIA.</t>
  </si>
  <si>
    <t>LT 230 kV S.DA MESA /NIQUELANDIA C-1 GO</t>
  </si>
  <si>
    <t>0001443/2025</t>
  </si>
  <si>
    <t>12673951</t>
  </si>
  <si>
    <t>Substituição da proteção de Falha do disjuntor DJ706, 230kV, arranjo BD4, na SE NIQUELÂNDIA.</t>
  </si>
  <si>
    <t>0001444/2025</t>
  </si>
  <si>
    <t>10256745</t>
  </si>
  <si>
    <t>Substituição da proteção de Falha do disjuntor DJ7626, 230kV (Niquelândia-Codemin C1), arranjo BD4, na NIQUELÂNDIA.</t>
  </si>
  <si>
    <t>EL 230 kV NIQUELANDIA LT 230 kV NIQUELANDIA /CODEMIN C-1 GO</t>
  </si>
  <si>
    <t>0001445/2025</t>
  </si>
  <si>
    <t>12595809</t>
  </si>
  <si>
    <t>Substituição da proteção de Falha do disjuntor DJ7546, 230kV (Barro Alto-Niquelândia C2), arranjo BD4, na NIQUELÂNDIA.</t>
  </si>
  <si>
    <t>LT 230 kV BARRO ALTO /NIQUELANDIA C-2 GO</t>
  </si>
  <si>
    <t>0001446/2025</t>
  </si>
  <si>
    <t>10255808</t>
  </si>
  <si>
    <t>Substituição da proteção de Falha do disjuntor DJ7526, 230kV  (Barro Alto-Niquelândia C1), arranjo BD4, na SE NIQUELÂNDIA.</t>
  </si>
  <si>
    <t>LT 230 kV BARRO ALTO /NIQUELANDIA C-1 GO</t>
  </si>
  <si>
    <t>0001447/2025</t>
  </si>
  <si>
    <t>12595707</t>
  </si>
  <si>
    <t>Substituição da proteção de Falha do disjuntor DJ7616, 230kV (Niquelândia Dist 1), arranjo BD4, na NIQUELÂNDIA.</t>
  </si>
  <si>
    <t>EL 230 kV NIQUELANDIA DIST1</t>
  </si>
  <si>
    <t>0001448/2025</t>
  </si>
  <si>
    <t>12595793</t>
  </si>
  <si>
    <t>Instalação de 04 (quatro) Merging Units nos novos painéis no pátio de 500 kV e 08 (oito) pares de fibras óticas para conecta-las aos DIOs, localização operacional IZPD-LT7-01 da subestação Imperatiz.</t>
  </si>
  <si>
    <t>0001455/2025</t>
  </si>
  <si>
    <t>Instalação de 04 (quatro) DIOs nos novos painéis no pátio de 500 kV e cordões de fibras óticas conectando-os aos DIOs na casa de relés Nº 507 realizando a conexão das Merging Units ao barramento de processo e aos relés de proteção dos equipamentos da linha, localização operacional IZPD-LT7-01 da subestação Imperatiz.</t>
  </si>
  <si>
    <t>0001456/2025</t>
  </si>
  <si>
    <t>Instalação de 02 (dois) painéis no pátio de 500kV, 01 (um) junto ao reator IZRE7-01 Fase R e 01 (um) junto ao banco de reatores IZRE7-02, para instalação das Merging Units e dos DIOs, localização operacional IZPD-LT7-01 da subestação Imperatiz.</t>
  </si>
  <si>
    <t>0001458/2025</t>
  </si>
  <si>
    <t>Instalação de 04 (quatro) Merging Units nos novos painéis no pátio de 500 kV e 08 (oito) pares de fibras óticas para conecta-las aos DIOs, localização operacional IZPD-LT7-02 da subestação Imperatiz.</t>
  </si>
  <si>
    <t>0001459/2025</t>
  </si>
  <si>
    <t>Instalação de 04 (quatro) DIOs nos novos painéis no pátio de 500 kV e cordões de fibras óticas conectando-os aos DIOs na casa de relés Nº 507 realizando a conexão das Merging Units ao barramento de processo e aos relés de proteção dos equipamentos da linha, localização operacional IZPD-LT7-02 da subestação Imperatiz.</t>
  </si>
  <si>
    <t>0001460/2025</t>
  </si>
  <si>
    <t>Instalação de 02 (dois) painéis no pátio de 500kV, 1 (um) junto ao reator IZRE7-01 Fase R e 01 (um) junto ao banco de reatores IZRE7-04, para instalação das Merging Units e dos DIOs, localização operacional IZPD-LT7-01 da subestação Imperatiz.</t>
  </si>
  <si>
    <t>0001461/2025</t>
  </si>
  <si>
    <t>Instalação de 02 (duas) unidades de controle no novo painél de automatismo na casa de relés Nº 502 e 08 (oito) pares de fibras óticas para conexão com os barramentos de estação e processo.</t>
  </si>
  <si>
    <t>0001463/2025</t>
  </si>
  <si>
    <t>Substituição 01 (uma) secionadora IZSR7-02  de 500 kV pela chave seccionadora de 750 kV semi pantográfica com abertura vertical e fechamento horizontal, com  adequações civis, eletromecânicas e de controle, para transferência de fase do banco de reatores de linha IZRE7-02 da subestação Imperatriz.</t>
  </si>
  <si>
    <t>0001464/2025</t>
  </si>
  <si>
    <t>IZSR702</t>
  </si>
  <si>
    <t>Substituição 01 (uma) secionadora IZSR7-04 pela chave seccionadora de 750 kV semi pantográfica com abertura vertical e fechamento horizontal, com  adequações civis, eletromecânicas e de controle, para transferência de fase do banco de reatores de linha IZRE7-04 da subestação Imperatriz.</t>
  </si>
  <si>
    <t>0001465/2025</t>
  </si>
  <si>
    <t>IZSR704</t>
  </si>
  <si>
    <t>Instalação de 01 (um) novo secionador para neutro de 69, adequações civis, eletromecânicas e de controle, para transferência de fase do banco de reatores de linha IZRE7-02 - aplicação no neutropara adequação de projeto de substituição de secionadores conjugados semi-pantográficos da subestação Imperatriz.</t>
  </si>
  <si>
    <t>0001467/2025</t>
  </si>
  <si>
    <t>516</t>
  </si>
  <si>
    <t>Instalação de 01 (um) novo secionador para neutro de 69 kV, adequações civis, eletromecânicas e de controle, para transferência de fase do banco de reatores de linha IZRE7-04 - aplicação no neutro, para adequação de projeto de substituição de secionadores conjugados semi-pantográficos da subestação Imperatriz.</t>
  </si>
  <si>
    <t>0001468/2025</t>
  </si>
  <si>
    <t>517</t>
  </si>
  <si>
    <t>Instalação de 01 (um) painel de automatismo na casa de relés 502 para instalação das unidades de controle.</t>
  </si>
  <si>
    <t>0001469/2025</t>
  </si>
  <si>
    <t>Substituição de 01 (uma) secionadora PDSR7-03 de 500 kV pela chave seccionadora de 750 kV semi pantográfica com abertura vertical e fechamento horizontal, com  adequações civis, eletromecânicas e de controle, para transferência de fase do banco de reatores de linha PDRE7-04 da subestação Presidente Dutra.</t>
  </si>
  <si>
    <t>0001471/2025</t>
  </si>
  <si>
    <t>PDSR703</t>
  </si>
  <si>
    <t>Substituição 01 (uma) secionadora PDSR7-05 de 500 kV pela chave seccionadora de 750 kV semi pantográfica com abertura vertical e fechamento horizontal, com  adequações civis, eletromecânicas e de controle, para transferência de fase do banco de reatores de linha PDRE7-07 da subestação Presidente Dutra.</t>
  </si>
  <si>
    <t>0001472/2025</t>
  </si>
  <si>
    <t>PDSR705</t>
  </si>
  <si>
    <t>Instalação de 01 (um) novo secionador para neutro de 69 kV, adequações civis, eletromecânicas e de controle, para transferência de fase do banco de reatores de linha PDRE7-04 - aplicação no neutro, para adequação de projeto de substituição de secionadores conjugados semi-pantográficos  da subestação Presidente Dutra.</t>
  </si>
  <si>
    <t>0001473/2025</t>
  </si>
  <si>
    <t>514</t>
  </si>
  <si>
    <t>Instalação de 01 (um) novo secionador para neutro de 69 kV, adequações civis, eletromecânicas e de controle, para transferência de fase do banco de reatores de linha PDRE7-07 - aplicação no neutropara adequação de projeto de substituição de secionadores conjugados semi-pantográficos da subestação Presidente Dutra.</t>
  </si>
  <si>
    <t>0001474/2025</t>
  </si>
  <si>
    <t>515</t>
  </si>
  <si>
    <t>Instalação de sistema completo de Grupo Gerador de Emergência Nº 02 para atender o Serviço Auxiliar da subestação Porto Velho.</t>
  </si>
  <si>
    <t>0001475/2025</t>
  </si>
  <si>
    <t>Instalação de 01 (um) TC 230 kV posição operacional 94E3 fase B, na subestação BANABUIU (BNB).</t>
  </si>
  <si>
    <t>0001476/2025</t>
  </si>
  <si>
    <t>Instalação de OPLAT e equipamentos associados, relacionados à teleproteção alternada do vão da Entrada de Linha 04F6 (LT 230 kV FUNIL /ITAPEBI C-1), na subestação FUNIL, composto por: 01 sistema de teleproteção alternado.</t>
  </si>
  <si>
    <t>LT 230 kV FUNIL /ITAPEBI C-1 BA</t>
  </si>
  <si>
    <t>0001477/2025</t>
  </si>
  <si>
    <t>Instalação de equipamentos de teleproteção associados ao vão da Entrada de Linha 04F6 (LT 230 kV FUNIL /ITAPEBI C-1), na subestação FUNIL, composto por: 02 Bobinas de Bloqueio.</t>
  </si>
  <si>
    <t>0001478/2025</t>
  </si>
  <si>
    <t>Instalação de OPLAT e equipamentos associados, relacionados à teleproteção alternada do vão da Entrada de Linha 04M2 (LT 230 kV ICO /MILAGRES C-1), na subestação MILAGRES, composto por: 01 sistema de teleproteção alternado.</t>
  </si>
  <si>
    <t>0001479/2025</t>
  </si>
  <si>
    <t>Instalação de OPLAT e equipamentos associados, relacionados à teleproteção alternada do vão da Entrada de Linha 04M5 (LT 230 kV MILAGRES /COREMAS C-2), na subestação MILAGRES, composto por: 01 sistema de teleproteção alternado.</t>
  </si>
  <si>
    <t>0001480/2025</t>
  </si>
  <si>
    <t>Instalação de OPLAT e equipamentos associados, relacionados à teleproteção alternada do vão da Entrada de Linha 04M6 (LT 230 kV MILAGRES /COREMAS C-1), na subestação MILAGRES, composto por: 01 sistema de teleproteção alternado.</t>
  </si>
  <si>
    <t>0001481/2025</t>
  </si>
  <si>
    <t>Instalação de OPLAT e equipamentos associados, relacionados à teleproteção alternada do vão da Entrada de Linha 05V3 (MILAGRES /QUIXADA C-1), na subestação MILAGRES, composto por: 01 sistema de teleproteção alternado.</t>
  </si>
  <si>
    <t>0001482/2025</t>
  </si>
  <si>
    <t>Instalação de equipamentos de teleproteção associados ao vão da Entrada de Linha 04M2 (LT 230 kV ICO /MILAGRES C-1), na subestação MILAGRES, composto por: 02 Bobinas de Bloqueio.</t>
  </si>
  <si>
    <t>0001483/2025</t>
  </si>
  <si>
    <t>Instalação de equipamentos de teleproteção associados ao vão da Entrada de Linha 04M5 (LT 230 kV MILAGRES /COREMAS C-2), na subestação MILAGRES, composto por: 02 Bobinas de Bloqueio.</t>
  </si>
  <si>
    <t>0001484/2025</t>
  </si>
  <si>
    <t>Instalação de equipamentos de teleproteção associados ao vão da Entrada de Linha 04M6 (LT 230 kV MILAGRES /COREMAS C-1), na subestação MILAGRES, composto por: 02 Bobinas de Bloqueio.</t>
  </si>
  <si>
    <t>0001485/2025</t>
  </si>
  <si>
    <t>Instalação de equipamentos de teleproteção associados ao vão da Entrada de Linha 05V3 (LT 500 kV MILAGRES /QUIXADA C-1), na subestação MILAGRES, composto por: 02 Bobinas de Bloqueio.</t>
  </si>
  <si>
    <t>0001486/2025</t>
  </si>
  <si>
    <t>ITAPEBI SE</t>
  </si>
  <si>
    <t>Instalação de OPLAT e equipamentos associados, relacionados à teleproteção alternada do vão da Entrada de Linha 04F6 (LT 230 kV FUNIL /ITAPEBI C-1), na subestação ITAPEBI, composto por: 01 sistema de teleproteção alternado.</t>
  </si>
  <si>
    <t>0001487/2025</t>
  </si>
  <si>
    <t>Instalação de OPLAT e equipamentos associados, relacionados à teleproteção alternada do vão da Entrada de Linha 04N1 (LT 230 kV ITAPEBI /EUNAPOLIS C-1), na subestação ITAPEBI, composto por: 01 sistema de teleproteção alternado.</t>
  </si>
  <si>
    <t>0001488/2025</t>
  </si>
  <si>
    <t>Instalação de OPLAT e equipamentos associados, relacionados à teleproteção alternada do vão da Entrada de Linha 04N2 (LT 230 kV ITAPEBI /EUNAPOLIS C-2), na subestação ITAPEBI, composto por: 01 sistema de teleproteção alternado.</t>
  </si>
  <si>
    <t>LT 230 kV ITAPEBI /EUNAPOLIS C-2 BA</t>
  </si>
  <si>
    <t>0001489/2025</t>
  </si>
  <si>
    <t>Código</t>
  </si>
  <si>
    <t>Corporativo ou SPE?</t>
  </si>
  <si>
    <t>Categoria do Investimento</t>
  </si>
  <si>
    <t>Empresa</t>
  </si>
  <si>
    <t>Descrição detalhada do emprendimento
 (escopo)</t>
  </si>
  <si>
    <t>Tipo de Equipamento
(Equip. principal)</t>
  </si>
  <si>
    <t>T2023-201</t>
  </si>
  <si>
    <t>RGP</t>
  </si>
  <si>
    <t>Reforço na SE Anastácio: Instalação do 2º reator de barra de 27 Mvar em 230 Kv</t>
  </si>
  <si>
    <t>T2023-104</t>
  </si>
  <si>
    <t>Reforço na SE Sorriso: Instalação do 4º TF 230/69/13,8 kV, 1 x 60 MVA trifásico</t>
  </si>
  <si>
    <t>T2023-142</t>
  </si>
  <si>
    <t>Reforço SE Joinville: substituição TF1 138/69 kV - 50 MVA por TF de 138/69 kV – 66 MVA</t>
  </si>
  <si>
    <t>T2023-160</t>
  </si>
  <si>
    <t>Reforço na SE Açu II: Substituição do TR4 230/69 kV - 39 MVA para 100 MVA</t>
  </si>
  <si>
    <t>T2023-159</t>
  </si>
  <si>
    <t>Reforço na SE Bom Jesus da Lapa: Substituição do TR2 230/69 kV - 33 MVA para 100 MVA</t>
  </si>
  <si>
    <t>T2023-161</t>
  </si>
  <si>
    <t>Reforço na SE Irecê: Substituição do TR2 e TR3 230/69 kV - 33 MVA por dois TRs de 100 MVA</t>
  </si>
  <si>
    <t>T2023-181</t>
  </si>
  <si>
    <t>Reforço na SE Olindina: Instalação do 3º banco de reatores de barra de 3 x 50 Mvar em 500 kV</t>
  </si>
  <si>
    <t>T2023-167</t>
  </si>
  <si>
    <t>Reforço na SE Resende: Instalação do 1º RTB 500 kV - (3+1)x66,66 Mvar</t>
  </si>
  <si>
    <t>T2023-167-A</t>
  </si>
  <si>
    <t>Instalação da fase reserva para o 1º RTB 500 kV - (3+1)x66,66 Mvar, na SE Resende.</t>
  </si>
  <si>
    <t>T2023-149</t>
  </si>
  <si>
    <t>Reforço na SE Jorge Lacerda A: substituição do TF9 - 138/69 kV - 50 MVA existente, por TF de 60 MVA</t>
  </si>
  <si>
    <t>T2023-134</t>
  </si>
  <si>
    <t>Reforço na SE Presidente Dutra: substituição do TR1 500/230 kV, (3+1)x100 MVA, por (3+1)x150 MVA.</t>
  </si>
  <si>
    <t>T2023-114</t>
  </si>
  <si>
    <t>Reforço na SE Pimenta Bueno: Instalação do 3° Autotransformador 230/138 kV, 55 MVA.</t>
  </si>
  <si>
    <t>T2023-109</t>
  </si>
  <si>
    <t>Reforço na SE Bom Nome: Instalação do 4º TF 230/138 kV - 100 MVA</t>
  </si>
  <si>
    <t>T2023-003</t>
  </si>
  <si>
    <t>MGP</t>
  </si>
  <si>
    <t>Melhoria na SE Campos Novos: substituição do reator monofásico, RE1, 525 kV, 3x33,333 Mvar</t>
  </si>
  <si>
    <t>T2023-005</t>
  </si>
  <si>
    <t>Melhoria na SE Campos Novos: substituição do reator monofásico, RE2, 525 kV, 3x33,333 Mvar</t>
  </si>
  <si>
    <t>T2023-004</t>
  </si>
  <si>
    <t>Melhoria na SE Campos Novos: substituição do reator monofásico, 525 kV, 33,333 Mvar, Fase Reserva 1</t>
  </si>
  <si>
    <t>T2023-030</t>
  </si>
  <si>
    <t>Melhoria na SE Blumenau: substituição da Fase C do TF6, 525/230 kV, 224 MVA</t>
  </si>
  <si>
    <t>T2023-031</t>
  </si>
  <si>
    <t>Melhoria na SE Curitiba: substituição da Fase A do RE1, 525 kV, 50 Mvar</t>
  </si>
  <si>
    <t>T2023-033</t>
  </si>
  <si>
    <t>Melhoria na SE Dourados: substituição do autotransformador trifásico, TF1, 230/138 kV, 75 MVA</t>
  </si>
  <si>
    <t>T2023-034</t>
  </si>
  <si>
    <t>Melhoria na SE Dourados: substituição do autotransformador trifásico TF3, 230/138 kV, 75 MVA</t>
  </si>
  <si>
    <t>T2023-035</t>
  </si>
  <si>
    <t>Melhoria na SE Dourados: substituição do autotransformador trifásico, TF4, 230/138 kV, 75 MVA</t>
  </si>
  <si>
    <t>T2023-136</t>
  </si>
  <si>
    <t>Reforço na SE Marabá: substituição do TR1 500/230 kV, 3x100 MVA, por 3x150 MVA.</t>
  </si>
  <si>
    <t>T2023-012</t>
  </si>
  <si>
    <t>Melhoria na SE Gravataí: Substituição do autotransformador monofásico TF3, 525/230 kV, 3x224 MVA</t>
  </si>
  <si>
    <t>T2023-162</t>
  </si>
  <si>
    <t>Reforço na SE Itabaiana: Substituição do 1º e 2º TR 230/69 kV - 100 MVA para 150 MVA</t>
  </si>
  <si>
    <t>T2023-006</t>
  </si>
  <si>
    <t>Melhoria na SE Itá: substituição do reator monofásico, RE1, 525 kV, 3x50 Mvar</t>
  </si>
  <si>
    <t>T2022-069</t>
  </si>
  <si>
    <t>Reforço na SE Gravataí - Instalação de banco de reatores de barra 525 kV, (3+1R)x50 Mvar e conexões</t>
  </si>
  <si>
    <t>T2023-007</t>
  </si>
  <si>
    <t>Melhoria na SE Itá: substituição do reator monofásico, RTR1, 525 kV, 50 Mvar, Fase Reserva 1</t>
  </si>
  <si>
    <t>T2024-005</t>
  </si>
  <si>
    <t>SE GRAVATAÍ 3: Instalação do 2º Transformador 230/69 kV, 3x 55 MVA, na SE Gravataí 3.</t>
  </si>
  <si>
    <t>T2023-029</t>
  </si>
  <si>
    <t>Melhoria na SE Londrina: substituição de banco de autotransformadores, TF3, 525/230 kV, 3x224 MVA</t>
  </si>
  <si>
    <t>T2023-190</t>
  </si>
  <si>
    <t xml:space="preserve">Reforço na SE Vitória: Substituição do ATR1 345/138 kV por novo banco (3+1)x133,33MVA. </t>
  </si>
  <si>
    <t>T2023-013</t>
  </si>
  <si>
    <t>Melhoria na SE Passo Fundo: substituição do autotransformador monofásico TF3, 230/138 kV, 3x28 MVA</t>
  </si>
  <si>
    <t>T2023-169</t>
  </si>
  <si>
    <t>Reforço na SE Ibiúna: Instalação do 1º RTB 345 kV - 3x44 Mvar</t>
  </si>
  <si>
    <t>T2023-014</t>
  </si>
  <si>
    <t>Melhoria na SE Passo Fundo: substituição do autotransformador, 230/138 kV, 28 MVA, Fase Reserva</t>
  </si>
  <si>
    <t>T2023-169-A</t>
  </si>
  <si>
    <t>Instalação da fase reserva para o 1º RTB 345 kV - (3+1)x44 Mvar, na SE Ibiúna.</t>
  </si>
  <si>
    <t>T2023-032</t>
  </si>
  <si>
    <t>Melhoria na SE Santo Ângelo: substituição do banco de reatores monofásicos, RE1, 525 kV, 3x50 Mvar</t>
  </si>
  <si>
    <t>T2023-171</t>
  </si>
  <si>
    <t>Reforço na SE Ibiúna: Instalação do 2º RTB 345 kV - 3x44 Mvar</t>
  </si>
  <si>
    <t>T2022-042</t>
  </si>
  <si>
    <t>Melhoria SE P. Dutra - substituição do reator RT1, 500 kV, 3x50 MVAR</t>
  </si>
  <si>
    <t>T2023-171-A</t>
  </si>
  <si>
    <t>Instalação da fase reserva para o 2º RTB 345 kV - (3+1)x44 Mvar, na SE Ibiúna</t>
  </si>
  <si>
    <t>T2022-036</t>
  </si>
  <si>
    <t>Melhoria na SE P. Dutra - substituição de reator RT6, 500 kV, 3x33,33 MVAr</t>
  </si>
  <si>
    <t>T2024-001</t>
  </si>
  <si>
    <t>SE Guarulhos: Instalação do primeiro banco de reatores de barras em 345 kV</t>
  </si>
  <si>
    <t>T2024-002</t>
  </si>
  <si>
    <t>SE Guarulhos: Instalação de uma fase reserva para o RT1, 345 kV, 44MVar</t>
  </si>
  <si>
    <t>T2024-096</t>
  </si>
  <si>
    <t>Melhoria na SE Adrianópolis: Substituição do banco de transformadores TR2A 345/138 kV, 3x75 MVA</t>
  </si>
  <si>
    <t>T2024-003</t>
  </si>
  <si>
    <t>SE Guarulhos: Instalação do segundo banco de reatores de barras, 345 kV, 3x44MVar</t>
  </si>
  <si>
    <t>T2024-004</t>
  </si>
  <si>
    <t>SE Guarulhos: Instalação de uma fase reserva para o RT2, 345 kV, 44MVar</t>
  </si>
  <si>
    <t>T2023-074</t>
  </si>
  <si>
    <t xml:space="preserve">Melhoria na SE Couto Magalhaes: substituição do transformador 138/13.8kV - 15MVA - NÚMERO 1  </t>
  </si>
  <si>
    <t>T2024-122</t>
  </si>
  <si>
    <t>Reforço na SE Campinas: Substituição do banco de autotransformadores TR1, de 345/138 kV</t>
  </si>
  <si>
    <t>T2023-075</t>
  </si>
  <si>
    <t>Melhoria na SE Coxipó: substituição do Reator 230kV 30MVAr número 1 da SE Coxipó - CXRE6-01</t>
  </si>
  <si>
    <t>T2024-123</t>
  </si>
  <si>
    <t>Reforço na SE Campinas: Substituição do autotransformador reserva 345/138 kV, de 50MVA para 100 MVA</t>
  </si>
  <si>
    <t>T2023-076</t>
  </si>
  <si>
    <t>Melhoria na SE Coxipó: substituição do Reator 230kV 30MVAr número 2 da SE Coxipó - CXRE6-02.</t>
  </si>
  <si>
    <t>T2024-133</t>
  </si>
  <si>
    <t>Reforço na SE Campinas: Substituição do banco de autotransformadores TR2, de 345/138 kV</t>
  </si>
  <si>
    <t>T2022-010</t>
  </si>
  <si>
    <t xml:space="preserve">Melhoria na C. Paulista - substituição do transformador monofásico TR57, 500/138 kV, 3x83,33 MVA </t>
  </si>
  <si>
    <t>T2024-134</t>
  </si>
  <si>
    <t>Reforço na SE Campinas: Substituição do banco de autotransformadores TR3, de 345/138 kV</t>
  </si>
  <si>
    <t>T2022-011</t>
  </si>
  <si>
    <t>Melhoria na SE C. Paulista - susbtituição do transformador monofásico TR59, 500/138 kV, 3x83,33 MVA</t>
  </si>
  <si>
    <t>T2024-135</t>
  </si>
  <si>
    <t>Reforço na SE Campinas: Substituição do banco de autotransformadores TR4, de 345/138 kV</t>
  </si>
  <si>
    <t>T2022-012</t>
  </si>
  <si>
    <t>Melhoria na SE C. Paulista - substituição do transformador reserva TRR1, 500/138 kV, 1x83,33 MVA</t>
  </si>
  <si>
    <t>T2023-131</t>
  </si>
  <si>
    <t>Reforço - Seccionamento da LT P.Afonso III-Floresta II C1 na SE Tacaratu.</t>
  </si>
  <si>
    <t>T2022-013</t>
  </si>
  <si>
    <t>Melhoria na SE Campinas - substituição do transformador monofásico TR51, 500/345 kV, 3x186,66 MVA</t>
  </si>
  <si>
    <t>T2021-026</t>
  </si>
  <si>
    <t>SE Angelim II 500 kV - instalação do 2º banco de reatores de barra 500 kV</t>
  </si>
  <si>
    <t>T2023-072</t>
  </si>
  <si>
    <t>Melhoria na SE São Luís I: substituição do transformador de força Nº 03 230/69kV DE 100MVA.</t>
  </si>
  <si>
    <t>T2021-028</t>
  </si>
  <si>
    <t>SE Olindina - instalação do segundo banco de reator de barra 500kV</t>
  </si>
  <si>
    <t>T2023-073</t>
  </si>
  <si>
    <t>Melhoria na SE São Luís II: substituição dos autotransformadores de força Nº 01 500/230kV de 200MVA.</t>
  </si>
  <si>
    <t>T2023-129</t>
  </si>
  <si>
    <t>Reforço - Seccionamento da LT P.Afonso III-Bom Nome C3 na SE Floresta II.</t>
  </si>
  <si>
    <t>T2023-068</t>
  </si>
  <si>
    <t xml:space="preserve">Melhoria na SE Vila do Conde: substituição banco de autotransformador de força - VCAT7 02 </t>
  </si>
  <si>
    <t>T2023-128</t>
  </si>
  <si>
    <t>Reforço - Seccionamento da LT Banabuiú-Milagres C2 na SE Icó.</t>
  </si>
  <si>
    <t>T2023-069</t>
  </si>
  <si>
    <t>Melhoria na SE Vila do Conde: substituição do banco de autotransformador de potência - VCAT7 01.</t>
  </si>
  <si>
    <t>T2023-137</t>
  </si>
  <si>
    <t>Reforço na SE Marabá: substituição do TF3 230/69 kV, 33 MVA, por nova unidade de 100 MVA.</t>
  </si>
  <si>
    <t>T2023-070</t>
  </si>
  <si>
    <t>Melhoria na SE Marabá: substituição do reator - MBRE7 04 SUB MARABA somente as Fases A e V.</t>
  </si>
  <si>
    <t>T2019-074</t>
  </si>
  <si>
    <t>Seccionamento da LT 500 kV Sobradinho - Luiz Gonzaga C2 na SE Juazeiro III</t>
  </si>
  <si>
    <t>T2022-103</t>
  </si>
  <si>
    <t>Melhoria na SE C. Paulista-Substituição de reator monofásico reserva RTR2.</t>
  </si>
  <si>
    <t>T2022-028</t>
  </si>
  <si>
    <t>SE Campina Grande III - instalação de banco de reatores de barra 500kV - 3x50Mvar</t>
  </si>
  <si>
    <t>T2023-028</t>
  </si>
  <si>
    <t>Melhoria na SE Campo Grande: substituição de Banco de Capacitores, BC1, 138 kV, 30 Mvar</t>
  </si>
  <si>
    <t>T2024-006</t>
  </si>
  <si>
    <t>SE MOSSORÓ IV: Instalação do 2º Transformador de 230/69 kV</t>
  </si>
  <si>
    <t>T2024-012</t>
  </si>
  <si>
    <t>Melhoria na SE Caxias do Sul 5: Substituição de Banco de Capacitores BC1, 13,8 kV, 3,6 Mvar</t>
  </si>
  <si>
    <t>T2019-090</t>
  </si>
  <si>
    <t>Seccionamento da LT 500 kV Luiz Gonzaga - Milagres C1 na SE Milagres II</t>
  </si>
  <si>
    <t>T2024-013</t>
  </si>
  <si>
    <t>Melhoria na SE Caxias do Sul 5: Substituição de Banco de Capacitores BC2, 13,8 kV, 3,6 Mvar</t>
  </si>
  <si>
    <t>T2022-112</t>
  </si>
  <si>
    <t>Seccionamento da LT 345 kV Venda das Pedras – Macaé C1 na SE Lagos</t>
  </si>
  <si>
    <t>T2024-014</t>
  </si>
  <si>
    <t>Melhoria na SE Caxias do Sul 5: Substituição de Banco de Capacitores BC3, 13,8 kV, 3,6 Mvar</t>
  </si>
  <si>
    <t>T2023-202</t>
  </si>
  <si>
    <t>Reforço na SE Dourados: Substituição do Reator de Barra 1 de 27 Mvar por 1x50Mvar, 230 kV</t>
  </si>
  <si>
    <t>T2024-015</t>
  </si>
  <si>
    <t>Melhoria na SE Caxias do Sul 5: Substituição de Banco de Capacitores BC4, 13,8 kV, 3,6 Mvar</t>
  </si>
  <si>
    <t>T2022-113</t>
  </si>
  <si>
    <t>Seccionamento da LT 230 kV OLINDINA – CATU C1 na SE ALAGOINHAS II</t>
  </si>
  <si>
    <t>T2021-113</t>
  </si>
  <si>
    <t>Melhoria na SE Gravataí - substituição do autotransformador monofásico reserva, 525/230 kV , 224 MVA</t>
  </si>
  <si>
    <t>T2023-130</t>
  </si>
  <si>
    <t xml:space="preserve">Reforço - Seccionamento da LT P.Afonso III-Bom Nome C2 na SE Tacaratu. </t>
  </si>
  <si>
    <t>T2021-099</t>
  </si>
  <si>
    <t>Melhoria na SE Gravataí – substituição das fases A e C do TF1 525/230 kV 224 MVA cada.</t>
  </si>
  <si>
    <t>T2023-187</t>
  </si>
  <si>
    <t>SE 138/13,8 kV Angra - Transformação 138/13,8 kV - 15 MVA.</t>
  </si>
  <si>
    <t>T2023-154</t>
  </si>
  <si>
    <t>SE Imperatriz- Substituição BC1 500 kV, 390MVAr, da LT Imperatriz-PDutra, por outro de 543MVAr.</t>
  </si>
  <si>
    <t>T2023-002</t>
  </si>
  <si>
    <t>Melhoria na SE Gravatai: substituição do reator monofásico, RE2, 525 kV, 3x50 Mvar, Fases A e C</t>
  </si>
  <si>
    <t>T2023-153</t>
  </si>
  <si>
    <t>SE P. Dutra- Substituição do BC1 500 kV, 390MVAr, da LT Imperatriz-PDutra, por outro de 543MVAr.</t>
  </si>
  <si>
    <t>T2023-138</t>
  </si>
  <si>
    <t>Reforço SE Jorge Lacerda A: substituição TF5 230/138 kV - 79 MVA por TF de 230/138 kV – 120 MVA</t>
  </si>
  <si>
    <t>T2023-145</t>
  </si>
  <si>
    <t>Reforço na SE Jorge Lacerda A: substituição do TF7 230/138 kV - 79 MVA, por TR de 120 MVA</t>
  </si>
  <si>
    <t>T2023-148</t>
  </si>
  <si>
    <t>Reforço na SE Jorge Lacerda A: substituição do TF8 138/69 kV - 25 MVA existente, por TF de 60 MVA</t>
  </si>
  <si>
    <t>T2023-166-A</t>
  </si>
  <si>
    <t>Instalação da fase reserva para o 2º RTB 765 kV - (3+1)x66,66 Mvar, na SE Ivaiporã</t>
  </si>
  <si>
    <t>T2023-166</t>
  </si>
  <si>
    <t>Reforço na SE Ivaiporã: Instalação do 2º RTB 765 kV - 3x110 Mvar</t>
  </si>
  <si>
    <t>T2023-168-A</t>
  </si>
  <si>
    <t>Instalação da fase reserva para o 1º RTB 500 kV - (3+1)x66,66 Mvar, na SE Baixada Fluminense</t>
  </si>
  <si>
    <t>T2023-168</t>
  </si>
  <si>
    <t>Reforço na SE Baixada Fluminense: Instalação do 1º RTB 500 kV - (3+1)x66,66 Mvar</t>
  </si>
  <si>
    <t>T2024-011</t>
  </si>
  <si>
    <t>Reforço na SE Camaçari IV: Instalação do 1º Banco de Reatores de Barra em 500 kV</t>
  </si>
  <si>
    <t>T2024-103</t>
  </si>
  <si>
    <t xml:space="preserve">Reforço na SE Coremas: Instalação do 4º TR 230/69 kV </t>
  </si>
  <si>
    <t>T2024-034</t>
  </si>
  <si>
    <t>Reforço na SE Zebu: Instalação do 4º TF 230/69</t>
  </si>
  <si>
    <t>T2024-127</t>
  </si>
  <si>
    <t>Reforço na SE Rondonópolis: substituição do transformador RPAT6-02 230/138/13,8 kV</t>
  </si>
  <si>
    <t>T2024-119</t>
  </si>
  <si>
    <t>Reforço na SE Rondonópolis: substituição do transformador RPAT6-01 230/138/13,8 kV</t>
  </si>
  <si>
    <t>T2015-048</t>
  </si>
  <si>
    <t>LT 138kV ANGRA/ANGRA (AMPLA) - Reconstrução do circuito simples, substituindo cabo 397MCM por 954MCM</t>
  </si>
  <si>
    <t>T2021-046</t>
  </si>
  <si>
    <t>SE Itaberá - Instalação 3° reator de barra 765kV, (3+1)x110 MVAr e um IB.</t>
  </si>
  <si>
    <t>T2021-052</t>
  </si>
  <si>
    <t>SE Adrianópolis - instalação do 1º banco de reatores de barra em 500 kV,  (3+1) x 45,3 Mvar</t>
  </si>
  <si>
    <t>T2024-078</t>
  </si>
  <si>
    <t>Melhoria na SE Ivaipora Fur: Substituição de trafo potencia AT01 FASES A e C</t>
  </si>
  <si>
    <t>T2022-099</t>
  </si>
  <si>
    <t>SE Camaçari IV - Instalação do 1° Capacitor em Derivação 230 kV, 1 x 100 Mvar trifásico</t>
  </si>
  <si>
    <t>T2024-081</t>
  </si>
  <si>
    <t>Melhoria na SE MARIMBONDO 500 kV: Substituição de trafo potencia AT09 500/345KV FASE A, B e C</t>
  </si>
  <si>
    <t>T2022-032</t>
  </si>
  <si>
    <t>SE Bongi - Instalação do 5ª transformador  e substituição de três transformadores</t>
  </si>
  <si>
    <t>T2024-087</t>
  </si>
  <si>
    <t>Melhoria na SE TIJUCO PRETO: Substituição de trafo potencia TRRG 03 - FASES A, B e C</t>
  </si>
  <si>
    <t>T2017-068</t>
  </si>
  <si>
    <t>SE ANGRA - remanejamento de vãos 500 kV</t>
  </si>
  <si>
    <t>T2024-098</t>
  </si>
  <si>
    <t>Melhoria na SE Tijuco Preto: Substituição do banco de autotransformadores TR3 750/500 kV, 3x550 MVA</t>
  </si>
  <si>
    <t>T2021-065</t>
  </si>
  <si>
    <t>SE Poções II - Instalação do 3° transformador 230/138 kV, 100 MVA.</t>
  </si>
  <si>
    <t>T2019-029</t>
  </si>
  <si>
    <t>SE São João do Piauí - Instalação do segundo autotransformador 500/230 kV, 300 MVA e conexões.</t>
  </si>
  <si>
    <t>T2022-041</t>
  </si>
  <si>
    <t>Melhoria na SE Imperatriz - substituição do reator monofásico RTR6 , 500 kV , 1x45,33 MVAr</t>
  </si>
  <si>
    <t>T2021-072</t>
  </si>
  <si>
    <t>Seccionamento da LT 138kV Rondonópolis-Couto Magalhães na SE Petrovina</t>
  </si>
  <si>
    <t>T2022-040</t>
  </si>
  <si>
    <t>Melhoria na SE Imperatriz - substituição do reator RT6 , 500 kV , 3x45,33 MVAr</t>
  </si>
  <si>
    <t>T2020-031</t>
  </si>
  <si>
    <t>SE Porto Velho: Instalação de 2 reatores de barra 500 kV, (6 + 1R) x 50 Mvar e módulos de conexão</t>
  </si>
  <si>
    <t>T2023-067</t>
  </si>
  <si>
    <t>Melhoria na SE Rondonópolis: Substituição do banco de capacitores 13,8 kV, número 2.</t>
  </si>
  <si>
    <t>T2021-053</t>
  </si>
  <si>
    <t>SE Campinas - instalação do 1º reator de barra 500 kV e remanejamento de um reator de linha.</t>
  </si>
  <si>
    <t>T2023-065</t>
  </si>
  <si>
    <t>Melhoria na SE Rondonópolis: Substituição do banco de capacitores 13,8 kV, número 1.</t>
  </si>
  <si>
    <t>T2021-075</t>
  </si>
  <si>
    <t>SE Poços de Caldas - substituição do transformador 500/345 kV</t>
  </si>
  <si>
    <t>T2023-066</t>
  </si>
  <si>
    <t>Melhoria na SE Rondonópolis: Substituição do banco de capacitores 13,8 kV, número 3.</t>
  </si>
  <si>
    <t>T2022-066</t>
  </si>
  <si>
    <t>Reforço na SE Viana - instalação do 1º banco de reatores de barra (3+1)x20 Mvar, 345 kV</t>
  </si>
  <si>
    <t>T2020-012</t>
  </si>
  <si>
    <t>SE Jacaracanga: substituição do transformador trifásico TR2 230/69 kV - 100 MVA (melhoria)</t>
  </si>
  <si>
    <t>T2019-073</t>
  </si>
  <si>
    <t>Secc. LT 500 kV Angelim II - Recife II na SE Suape II.</t>
  </si>
  <si>
    <t>T2019-032</t>
  </si>
  <si>
    <t>SE Milagres - Instalação do quarto transformador 230/69 kV, 100 MVA e conexões</t>
  </si>
  <si>
    <t>T2019-072</t>
  </si>
  <si>
    <t>Instalação do 1° Banco de Reatores de Barra 500 kV - 3X50 MVA na SE Sobral III</t>
  </si>
  <si>
    <t>T2022-065</t>
  </si>
  <si>
    <t>Reforço na SE Teresina II - Instalação do 2º banco de reatores de barra 500 kV (3+1)x66,6 Mvar</t>
  </si>
  <si>
    <t>T2019-066</t>
  </si>
  <si>
    <t>Seccionamento na SE Iriri da LT 138 kV Rocha Leão – Campos C1</t>
  </si>
  <si>
    <t>T2017-073</t>
  </si>
  <si>
    <t>SE Campos - adequação do setor de 138 kV</t>
  </si>
  <si>
    <t>T2022-070</t>
  </si>
  <si>
    <t>Reforço na SE Vitória - Instalação do 1º banco de reatores de barra 345 kV, (3+1)x20 Mvar</t>
  </si>
  <si>
    <t>T2020-010</t>
  </si>
  <si>
    <t>SE Jacaracanga: substituição do transformador trifásico TR1 230/69 kV - 100 MVA (melhoria)</t>
  </si>
  <si>
    <t>T2022-134</t>
  </si>
  <si>
    <t>SE USI CAMPOS - substituição do AT03 de 67 MVA pelo TR03 de 73 MVA</t>
  </si>
  <si>
    <t>T2020-016</t>
  </si>
  <si>
    <t>SE Matatu: substituição do transformador trifásico TR3 230/69 kV - 100 MVA (melhoria)</t>
  </si>
  <si>
    <t>T2022-101</t>
  </si>
  <si>
    <t>SE São João do Piauí - Instalação do terceiro autotransformador 500/230 kV, 3X100 MVA e conexões.</t>
  </si>
  <si>
    <t>T2022-133</t>
  </si>
  <si>
    <t>SE USI CAMPOS - substituição do AT01 de 20 MVA pelo TR01 de 73 MVA</t>
  </si>
  <si>
    <t>T2023-110</t>
  </si>
  <si>
    <t>Reforço na SE Bom Jesus da Lapa: substituição do TR3 230/69 kV</t>
  </si>
  <si>
    <t>T2023-113</t>
  </si>
  <si>
    <t>Reforço na SE S. João do Piauí: substituição do TR4 230/69 kV 33 MVA por 100 MVA</t>
  </si>
  <si>
    <t>T2023-011</t>
  </si>
  <si>
    <t>Melhoria na SE Gravataí: substituição do autotransformador monofásico,TF2, 525/230 kV, 3x224 MVA</t>
  </si>
  <si>
    <t>T2023-107</t>
  </si>
  <si>
    <t>Reforço na SE Boa Esperança: substituição do banco ATR1 500/230 kV</t>
  </si>
  <si>
    <t>T2023-108</t>
  </si>
  <si>
    <t>Reforço na SE Boa Esprança: substituição da fase reserva do ATR1 500/230 kV</t>
  </si>
  <si>
    <t>T2023-112</t>
  </si>
  <si>
    <t>Reforço na SE S. João do Piauí: substituição do TR3 230/69 kV 33 MVA por 100 MVA</t>
  </si>
  <si>
    <t>T2022-001</t>
  </si>
  <si>
    <t>Melhoria na SE Vitória - substituição da fase A do transformador monofásico TR4, 345/138 kV, 75 MVA.</t>
  </si>
  <si>
    <t>T2023-080</t>
  </si>
  <si>
    <t>Reforço na SE Barreiras: instalação do TR3, 230/138 kV, de 100 MVA.</t>
  </si>
  <si>
    <t>T2022-102</t>
  </si>
  <si>
    <t>SE Imperatriz - Substituição do Banco de Capacitores Série.</t>
  </si>
  <si>
    <t>T2019-030</t>
  </si>
  <si>
    <t>SE Morro do Chapéu II - Instalação do segundo transformador 230/69 kV, 150 MVA e conexões.</t>
  </si>
  <si>
    <t>T2019-031</t>
  </si>
  <si>
    <t>SE Icó - Instalação do terceiro transformador, 230/69 kV, 100 MVA e conexões.</t>
  </si>
  <si>
    <t>T2019-068</t>
  </si>
  <si>
    <t>SE Eunápolis - instalação do primeiro banco de capacitores em derivação trifásico 230 kV - 20 MVar</t>
  </si>
  <si>
    <t>T2019-067</t>
  </si>
  <si>
    <t>3° BANCO DE AUTORANSFORMADOR 500/230-13,8 kV, 3x200 MVA e conexões, na SE Messias.</t>
  </si>
  <si>
    <t>T2023-010</t>
  </si>
  <si>
    <t>Melhoria na SE Palhoça: substituição do banco de capacitores, BC1, 230 kV, 50 Mvar</t>
  </si>
  <si>
    <t>T2016-048</t>
  </si>
  <si>
    <t>LT 230 kV PIRIPIRI / SOBRAL - recapacitação da capacidade de curta duração de 595 A para 630 A.</t>
  </si>
  <si>
    <t>T2023-008</t>
  </si>
  <si>
    <t>Melhoria na SE Gravataí 2: substituição do banco de capacitores, BC4, 230 kV, 100 Mvar</t>
  </si>
  <si>
    <t>T2016-062</t>
  </si>
  <si>
    <t>SE Fortaleza - instalação do quinto transformador 230/69 kV</t>
  </si>
  <si>
    <t>T2023-009</t>
  </si>
  <si>
    <t>Melhoria na SE Gravataí 2: substituição do banco de capacitores, BC5, 230 kV, 100 Mvar</t>
  </si>
  <si>
    <t>T2016-088</t>
  </si>
  <si>
    <t>SE Camaçari II - Seccionamento longitudinal das barras de 230 kV e adequações associadas.</t>
  </si>
  <si>
    <t>T2016-087</t>
  </si>
  <si>
    <t>SE Recife II - Seccionamento longitudinal das barras de 230 kV e adequações associadas.</t>
  </si>
  <si>
    <t>T2020-030</t>
  </si>
  <si>
    <t>LT Cascavel Oeste - Guaíra: alteração da tensão operativa de 230kV para 500kV.</t>
  </si>
  <si>
    <t>T2020-024</t>
  </si>
  <si>
    <t>Seccionamento da LT 230kV Londrina ESUL-Maringá na SE Sarandi</t>
  </si>
  <si>
    <t>T2022-008</t>
  </si>
  <si>
    <t>Melhoria na SE Campos - substituição da fase A e B do reator monofásico RT5, 345 kV, 2x20 MVAr</t>
  </si>
  <si>
    <t>T2019-005</t>
  </si>
  <si>
    <t>SE Itumbiara - Instalação dos módulos de conexão 345 e 230 kV para o 4º TR 345/230 kV – 225 MVA</t>
  </si>
  <si>
    <t>T2019-004</t>
  </si>
  <si>
    <t>SE Itumbiara - Instalar dois novos disjuntores nos vãos do TR 53 e da LT para Marimbondo</t>
  </si>
  <si>
    <t>T2019-065</t>
  </si>
  <si>
    <t>SE Barreiro 1: Adequação da entrada de linha para a SE Pimenta (345KV - BDDD.)</t>
  </si>
  <si>
    <t>T2014-061</t>
  </si>
  <si>
    <t>Instalação na SE Aquiraz II do 4º Transformador Trifásico e do 2º Transformador de Aterramento</t>
  </si>
  <si>
    <t>T2020-063</t>
  </si>
  <si>
    <t>Instalação do 2º ATF 500/138-13,8 kV, 3 x 300 MVA, na SE Zona Oeste</t>
  </si>
  <si>
    <t>T2021-002</t>
  </si>
  <si>
    <t>Recapacitação LT 230kV Blumenau - Joinville Norte</t>
  </si>
  <si>
    <t>T2024-090</t>
  </si>
  <si>
    <t>Melhoria na SE BANDEIRANTES: Substituição de reator REATOR DE LINHA - RTBDSB1 FASES A, B e C</t>
  </si>
  <si>
    <t>T2021-004</t>
  </si>
  <si>
    <t>Recapacitação LT 230 kV Blumenau - Joinville</t>
  </si>
  <si>
    <t>T2024-093</t>
  </si>
  <si>
    <t>Melhoria na SE BANDEIRANTES: Substituição de trafo potencia AT87V - AUTOTRAFO RESERVA</t>
  </si>
  <si>
    <t>T2020-022</t>
  </si>
  <si>
    <t>SE Miranda II - Instalação do TR3 230/69 kV, 100MVA.</t>
  </si>
  <si>
    <t>T2021-031</t>
  </si>
  <si>
    <t>SE Vilhena - instalação de um reator de barra 230kV</t>
  </si>
  <si>
    <t>T2024-030</t>
  </si>
  <si>
    <t>Melhoria na SE Pirapama II: Substituição do Transformador Trifásico TR1, 230/69/13,8 kV, 100 MVA</t>
  </si>
  <si>
    <t>T2021-051</t>
  </si>
  <si>
    <t>SE Vilhena - instalação de um reator de barra 230kV.</t>
  </si>
  <si>
    <t>T2021-079</t>
  </si>
  <si>
    <t>SE Rio Verde - instalação de um banco de capacitores de 80 Mvar, 138 kV.</t>
  </si>
  <si>
    <t>T2024-076</t>
  </si>
  <si>
    <t>Melhoria na SE BANDEIRANTES 345 Kv: Substituição do banco capacitor</t>
  </si>
  <si>
    <t>T2021-080</t>
  </si>
  <si>
    <t>Instalação do 1º reator de barra 230kV na SE Anastácio</t>
  </si>
  <si>
    <t>T2024-032</t>
  </si>
  <si>
    <t>Melhoria na SE Campina Grande II: Substituição do Transformador Trifásico TR4 230/69 kV, 100 MVA</t>
  </si>
  <si>
    <t>T2020-071</t>
  </si>
  <si>
    <t>SE Marabá: Substituição TF2 230/69 kV, 33MVA, por unidade de 100 MVA.</t>
  </si>
  <si>
    <t>T2024-031</t>
  </si>
  <si>
    <t>Melhoria na SE Campina Grande II: Substituição do Transformador Trifásico TR3 230/69 kV, 100 MVA</t>
  </si>
  <si>
    <t>T2021-078</t>
  </si>
  <si>
    <t>SE Bandeirantes - instalação de fase reserva para o AT05</t>
  </si>
  <si>
    <t>T2024-029</t>
  </si>
  <si>
    <t>Melhoria na SE São João do Piauí: Substituição do Banco de Autotransformadores 500/230 kV, 3x100 MVA</t>
  </si>
  <si>
    <t>T2024-191</t>
  </si>
  <si>
    <t>Reforço na SE Arapiraca III: Instalação do 3º Transformador de Potência Trifásico de 230/69 kV</t>
  </si>
  <si>
    <t>T2024-028</t>
  </si>
  <si>
    <t>Melhoria na SE São João do Piauí: Substituição de 1 Autotransformador 500/230 kV, 100 MVA</t>
  </si>
  <si>
    <t>T2024-192</t>
  </si>
  <si>
    <t>Reforço na SE Teixeira de Freitas II: Instalação do 3º AT Monofásico de 230/138 kV - 3 x 33,33 MVA</t>
  </si>
  <si>
    <t>T2024-077</t>
  </si>
  <si>
    <t>Melhoria na SE P. COLOMBIA 138 Kv: Substituição do transformador TR5MVA</t>
  </si>
  <si>
    <t>T2024-151</t>
  </si>
  <si>
    <t xml:space="preserve">Reforço na SE Imperatriz: Instalação do 4º TR230/69 kV - 100 MVA e conexões </t>
  </si>
  <si>
    <t>T2024-082</t>
  </si>
  <si>
    <t>Melhoria na SE Ivaipora Fur: Substituição de trafo potencia TRRG09V</t>
  </si>
  <si>
    <t>T2024-152</t>
  </si>
  <si>
    <t>Reforço na SE Ji-Paraná: Substituição do TR1 230/69 kV de 60 MVA por 100 MVA</t>
  </si>
  <si>
    <t>T2024-086</t>
  </si>
  <si>
    <t>Melhoria na SE IVAIPORA FUR: Substituição de reator RT1C FASE A, B e C</t>
  </si>
  <si>
    <t>T2024-153</t>
  </si>
  <si>
    <t xml:space="preserve">Reforço na SE Ji-Paraná: Instalação do 3º TF 230/138/13,8 kV </t>
  </si>
  <si>
    <t>T2024-092</t>
  </si>
  <si>
    <t>Melhoria na SE RIO VERDE FUR: Substituição de trafo potencia AT76V - AUTOTRAFO RESERVA</t>
  </si>
  <si>
    <t>T2024-156</t>
  </si>
  <si>
    <t>Reforço na SE Presidente Dutra: Fase reserva  reator de barra 50 MVar - 550 kV</t>
  </si>
  <si>
    <t>T2024-101</t>
  </si>
  <si>
    <t>Melhoria na SE Barro Alto: Substituição do banco de transformadores TR1 230/69 kV, 3x16,67 MVA</t>
  </si>
  <si>
    <t>T2024-157</t>
  </si>
  <si>
    <t>Reforço na SE Vilhena: 3° TF 230/69/13,8 kV</t>
  </si>
  <si>
    <t>T2024-091</t>
  </si>
  <si>
    <t>Melhoria na SE IVAIPORA FUR: Substituição de trafo potencia AT129V - AUTOTRAFO RESERVA</t>
  </si>
  <si>
    <t>T2024-215</t>
  </si>
  <si>
    <t>Reforço na SE Ji-Paraná: Substituição do TR2 230/69 kV de 60 MVA por 100 MVA</t>
  </si>
  <si>
    <t>T2024-100</t>
  </si>
  <si>
    <t>Melhoria na SE Rio Verde Furnas: Substituição do banco de autotransformadores TR1 230/138 kV</t>
  </si>
  <si>
    <t>T2024-154</t>
  </si>
  <si>
    <t>Reforço na SE Nobres: Instalação do 3º TF 230/138/13,8 kV</t>
  </si>
  <si>
    <t>T2024-079</t>
  </si>
  <si>
    <t>Melhoria na SE Ivaipora Fur: Substituição de reator RT1A FASES A, B e C</t>
  </si>
  <si>
    <t>T2024-155</t>
  </si>
  <si>
    <t>Reforço na SE Porto Franco: 4º TR 230/69/13,8 kV - 100 MVA e conexões</t>
  </si>
  <si>
    <t>T2024-083</t>
  </si>
  <si>
    <t>Melhoria na SE IVAIPORA FUR: Substituição de reator RT1B FASE A, B e C</t>
  </si>
  <si>
    <t>T2024-228</t>
  </si>
  <si>
    <t>Reforço na SE Porto Velho: Instalação do 5º TF 230/69 kV – 1 x 150 MVA e Conexoes</t>
  </si>
  <si>
    <t>T2024-097</t>
  </si>
  <si>
    <t>Melhoria na SE Marimbondo: Substituição do transformador reserva TRR1 500/345 kV, 62,33 Mvar</t>
  </si>
  <si>
    <t>T2024-230</t>
  </si>
  <si>
    <t>Reforço na SE IBICOARA: Instalação do 3° ATF 230/138 kV, 1 x 100 MVA 3? e conexões</t>
  </si>
  <si>
    <t>T2024-102</t>
  </si>
  <si>
    <t>Melhoria na SE Brasília Sul: Substituição da fase C do autotransformador TR4, 345/138 kV, 50 MVA</t>
  </si>
  <si>
    <t>T2024-237</t>
  </si>
  <si>
    <t>Reforço: Seccionamento da LT 230kV Bom Nome-PauloAfonso III C3 na SE Zebu III</t>
  </si>
  <si>
    <t>T2024-069</t>
  </si>
  <si>
    <t>Melhoria na SE Rondonópolis: Substituição do Reator de Linha RT1 230 kV, 30Mvar</t>
  </si>
  <si>
    <t>T2024-238</t>
  </si>
  <si>
    <t>Reforço: Seccionamento da LT 230kV Floresta II-PauloAfonso III C2 na SE Zebu III.</t>
  </si>
  <si>
    <t>T2024-085</t>
  </si>
  <si>
    <t>Melhoria na SE TIJUCO PRETO: Substituição de reator RTIATP2 FASES B e C</t>
  </si>
  <si>
    <t>T2024-225</t>
  </si>
  <si>
    <t>Reforço na SE São José: Substituição do TR11 pelo TF 500/138kV, 3 x 300 MVA</t>
  </si>
  <si>
    <t>T2024-089</t>
  </si>
  <si>
    <t>Melhoria na SE TIJUCO PRETO: Substituição de reator RT02 FASE A, B e C</t>
  </si>
  <si>
    <t>T2024-226</t>
  </si>
  <si>
    <t>Reforço na SE São José: Substituição do TR12 pelo TF 500/138kV, 3 x 300 MVA</t>
  </si>
  <si>
    <t>T2024-080</t>
  </si>
  <si>
    <t>Melhoria na SE Tijuco Preto: Substituição do banco de capacitor BC07 345 kV</t>
  </si>
  <si>
    <t>T2024-227</t>
  </si>
  <si>
    <t>Reforço na SE São José: Substituição da Fase Reserva para o TR11 e TR12 - TF 500/138kV, 1 x 300 MVA</t>
  </si>
  <si>
    <t>T2024-095</t>
  </si>
  <si>
    <t>Melhoria na SE Itaberá: Substituição do banco de reatores de linha RIV1 765 kV, 3x109,67 Mvar</t>
  </si>
  <si>
    <t>T2025-001</t>
  </si>
  <si>
    <t>Reforço: Recondutoramento LT 230 kVSAPEAÇU - SANTO ANTONIO DE JESUS C-1.</t>
  </si>
  <si>
    <t>T2024-075</t>
  </si>
  <si>
    <t>Melhoria na SE TIJUCO PRETO: Substituição de banco de capacitor BC03</t>
  </si>
  <si>
    <t>T2025-002</t>
  </si>
  <si>
    <t>Reforço: Recondutoramento LT 230 kVSAPEAÇU - SANTO ANTONIO DE JESUS C-2.</t>
  </si>
  <si>
    <t>T2024-088</t>
  </si>
  <si>
    <t>Melhoria na SE TIJUCO PRETO: Substituição de reator RT01 FASES A, B e C</t>
  </si>
  <si>
    <t>T2025-004</t>
  </si>
  <si>
    <t>Reforço SE Rondonopolis: Instalação do 3º ATF 230/138 kV – 150 MVA (5° unidade da subestação).</t>
  </si>
  <si>
    <t>T2024-071</t>
  </si>
  <si>
    <t>Melhoria na SE São Luis I: Substituição do Transformador Trifásico TF4, 230/69 kV, 100 MVA</t>
  </si>
  <si>
    <t>T2025-005</t>
  </si>
  <si>
    <t>Reforço SE Sinop: Instalação do 4º ATF 230/138 kV – 150 MVA.</t>
  </si>
  <si>
    <t>T2024-074</t>
  </si>
  <si>
    <t>Melhoria na SE Presidente Dutra: Substituição do Reator Reserva RTR1, 525 kV, 50 Mvar</t>
  </si>
  <si>
    <t>T2025-006</t>
  </si>
  <si>
    <t>Reforço SE Nova Mutum: Instalação do 4º ATF 230/69 kV – 75 MVA.</t>
  </si>
  <si>
    <t>T2024-070</t>
  </si>
  <si>
    <t>Melhoria na SE Imperatriz: Substituição do Transformador Trifásico TF4, 230/69/13,8 kV, 100 MVA</t>
  </si>
  <si>
    <t>T2025-007</t>
  </si>
  <si>
    <t>Reforço SE Nova Mutum: Substituição TF1 230/69 kV.</t>
  </si>
  <si>
    <t>T2024-073</t>
  </si>
  <si>
    <t>Melhoria na SE Presidente Dutra: Substituição do Banco de Reatores RT2, 525 kV, 150 Mvar</t>
  </si>
  <si>
    <t>T2024-242</t>
  </si>
  <si>
    <t>Reforço: Recondutoramento LT 230 kV ITAPEBI /EUNAPOLIS C-1 BA.</t>
  </si>
  <si>
    <t>T2024-072</t>
  </si>
  <si>
    <t>Melhoria na SE Presidente Dutra: Substituição do Banco de Reatores RT3, 525 kV, 150 Mvar</t>
  </si>
  <si>
    <t>T2024-243</t>
  </si>
  <si>
    <t xml:space="preserve">Reforço: Recondutoramento LT 230 kV ITAPEBI /EUNAPOLIS C2 BA </t>
  </si>
  <si>
    <t>T2025-032</t>
  </si>
  <si>
    <t>Reforço na SE Poços de Caldas: Instalação do 2° ATF 500/345 kV, 3 x 200 MVA.</t>
  </si>
  <si>
    <t>T2025-036</t>
  </si>
  <si>
    <t>Reforço na SE 230/69 kV Mirueira: Substituição do transformador 04TR3 (100 MVA)</t>
  </si>
  <si>
    <t>T2022-047</t>
  </si>
  <si>
    <t>Melhoria na SE Araraquara FUR - Substituição do reator RTPC, 500 kV, 3x24,4667 MVAr</t>
  </si>
  <si>
    <t>T2025-037</t>
  </si>
  <si>
    <t>Reforço na SE 230/69 kV Mirueira: Substituição do transformador 04TR4 (100 MVA)</t>
  </si>
  <si>
    <t>T2025-041</t>
  </si>
  <si>
    <t>Reforço na SE Sorriso: Substituição do TF 230/69 kV, T-01, 1 x 30 MVA por uma 1 x 100 MVA</t>
  </si>
  <si>
    <t>T2022-059</t>
  </si>
  <si>
    <t>Melhoria-SE Ivaiporã-Substituição da compensação série LT765kV Ivaiporã-Itaberá C2.</t>
  </si>
  <si>
    <t>T2025-042</t>
  </si>
  <si>
    <t>Reforço na SE Sorriso: instalação do 5° TF 230/69 kV, 1 x 100 MVA</t>
  </si>
  <si>
    <t>T2021-102</t>
  </si>
  <si>
    <t>Melhoria na SE Assis - substituição do transformador monofásico reserva - TFR1, 440/230 kV, 112 MVA</t>
  </si>
  <si>
    <t>T2025-045</t>
  </si>
  <si>
    <t>Reforço na SE Jacarepaguá: Instalação do 1º reator de barra trifásico - 30 Mvar/138 kV</t>
  </si>
  <si>
    <t>T2025-047</t>
  </si>
  <si>
    <t>Reforço na SE Mirueira II: Instalação do 3° TF 230/69 kV, 1 x 150 MVA</t>
  </si>
  <si>
    <t>T2025-050</t>
  </si>
  <si>
    <t>Reforço na SE Lucas do Rio Verde: instalação do 3° ATF 230/138 kV, 3 x 25 MVA</t>
  </si>
  <si>
    <t>T2025-052</t>
  </si>
  <si>
    <t>Reforço na SE Siderópolis: instalação do 4º TF 230/69 kV – 150 MVA</t>
  </si>
  <si>
    <t>T2022-104</t>
  </si>
  <si>
    <t>Melhoria na SE Araraquara Furnas-Substituição de reator monofásico reserva RTR1, 500kV,27MVAr.</t>
  </si>
  <si>
    <t>T2022-061</t>
  </si>
  <si>
    <t>Melhoria-SE Itaberá-Substituição da compensação série da LT 765kV Itaberá-Tijuco Preto C1.</t>
  </si>
  <si>
    <t>T2022-117</t>
  </si>
  <si>
    <t>Melhoria na SE Ivaiporã - Substituição de Banco de Capacitor Série da LT para F. do Iguaçu C1.</t>
  </si>
  <si>
    <t>T2022-003</t>
  </si>
  <si>
    <t>Melhoria na SE Poços de Caldas - substituição do transformador reserva, 345/138 kV, 1x50 MVA</t>
  </si>
  <si>
    <t>T2022-063</t>
  </si>
  <si>
    <t>Melhoria-SE Itaberá-Substituição da compensação série da LT 765kV Itaberá-Tijuco Preto C3.</t>
  </si>
  <si>
    <t>T2020-014</t>
  </si>
  <si>
    <t>SE Jardim: substituição do transformador trifásico TR2 230/69 kV - 100 MVA (melhoria)</t>
  </si>
  <si>
    <t>T2022-049</t>
  </si>
  <si>
    <t>Melhoria na SE Araraquara FUR - Substituição do reator, RMR2, 500 kV, 3x24,4667 MVAr</t>
  </si>
  <si>
    <t>T2022-058</t>
  </si>
  <si>
    <t>Melhoria-SE Ivaiporã-Substituição da compensação série LT765kV Ivaiporã-Itaberá C1.</t>
  </si>
  <si>
    <t>T2020-015</t>
  </si>
  <si>
    <t>SE Vila do Conde-Substituição de 4 bancos de capacitores 230 kV, 111 MVAr cada. (Melhoria)</t>
  </si>
  <si>
    <t>T2021-106</t>
  </si>
  <si>
    <t>Melhoria na SE Blumenau - substituição do banco de capacitores BC1, 230 kV, 125 MVAr</t>
  </si>
  <si>
    <t>T2022-005</t>
  </si>
  <si>
    <t>Melhorias na SE Poços de Caldas - substituição do transformador monofásico TR2, 345/138 kV, 3x50 MVA</t>
  </si>
  <si>
    <t>T2021-101</t>
  </si>
  <si>
    <t>Melhoria na SE Assis - substituição do transformador monofásico TF1 - 440/230 kV, 336 MA</t>
  </si>
  <si>
    <t>T2022-045</t>
  </si>
  <si>
    <t>Melhoria SE Marabá - substituição do reator RT1, 500 kV, 3x50 MVAR</t>
  </si>
  <si>
    <t>T2022-007</t>
  </si>
  <si>
    <t>Melhoria na SE Ivaiporã - substituição da fase A do reator monofásico RIA2, 750 kV, 1x110 MVAr</t>
  </si>
  <si>
    <t>T2022-060</t>
  </si>
  <si>
    <t>Melhoria-SE Ivaiporã-Substituição da compensação série LT765kV Ivaiporã-Itaberá C3.</t>
  </si>
  <si>
    <t>T2022-119</t>
  </si>
  <si>
    <t>Melhoria na SE Ivaiporã - Substituição de Banco de Capacitor Série da LT para F. do Iguaçu C3.</t>
  </si>
  <si>
    <t>T2021-108</t>
  </si>
  <si>
    <t>Melhoria na SE Blumenau - substituição do autotransformador monofásico TF5, Fases A, B e C, 672 MVA</t>
  </si>
  <si>
    <t>T2022-009</t>
  </si>
  <si>
    <t>Melhoria na SE Bras. Sul - substituição do transformador monofásico TR6, 345/230 kV, 3x75 MVA</t>
  </si>
  <si>
    <t>T2021-103</t>
  </si>
  <si>
    <t>Melhoria na SE Areia - substituição do autotransformador monofásico, TF2, 525/230 kV, 672 MVA</t>
  </si>
  <si>
    <t>T2022-002</t>
  </si>
  <si>
    <t>Melhoria na SE Bras. Sul - revitalização do transformador monofásico TR1, 345/138 kV, 3x50 MVA</t>
  </si>
  <si>
    <t>T2022-105</t>
  </si>
  <si>
    <t>Melhoria na SE Ivaiporã - Substituição de reator monofásico reserva RTR1, 750 kV, 110MVAr.</t>
  </si>
  <si>
    <t>T2022-048</t>
  </si>
  <si>
    <t>Melhoria na SE Araraquara FUR - Substituição do reator RMR1, 500 kV, 3x24,4667 MVAr</t>
  </si>
  <si>
    <t>T2019-021</t>
  </si>
  <si>
    <t>Melhorias Furnas - SE Adrianópolis - Substituição Reator, AT53, AT1B, AT2A e AT2B</t>
  </si>
  <si>
    <t>T2022-004</t>
  </si>
  <si>
    <t>Melhoria na SE Poços de Caldas - substituição da fase C do transformador TR1, 345/138 kV, 1x50 MVA</t>
  </si>
  <si>
    <t>T2022-050</t>
  </si>
  <si>
    <t>Melhoria na SE Araraquara FUR - Substituição do reator, RTCA, 500 kV, 3x24,4667 MVAr</t>
  </si>
  <si>
    <t>T2022-062</t>
  </si>
  <si>
    <t>Melhoria-SE Itaberá-Substituição da compensação série da LT 765kV Itaberá-Tijuco Preto C2.</t>
  </si>
  <si>
    <t>T2020-007</t>
  </si>
  <si>
    <t>SE Guamá - Substituição de transformador de potência TR1 230/69 kV- (3+1)x50 MVA (Melhoria)</t>
  </si>
  <si>
    <t>T2022-118</t>
  </si>
  <si>
    <t>Melhoria na SE Ivaiporã - Substituição de Banco de Capacitor Série da LT para F. do Iguaçu C2.</t>
  </si>
  <si>
    <t>T2022-006</t>
  </si>
  <si>
    <t>Melhoria na SE Ivaiporã - substituição da fase B e C do reator monofásico RIA1, 750 kV, 2x110 MVAr</t>
  </si>
  <si>
    <t>T2021-100</t>
  </si>
  <si>
    <t>Melhoria na SE Farroupilha - substituição do transformador trifásico - TF2 - 230/69 kV - 88 MVA</t>
  </si>
  <si>
    <t>T2021-107</t>
  </si>
  <si>
    <t>Melhoria na SE Blumenau - substituição do banco de capacitores BC2, 230 kV, 125 MVAr</t>
  </si>
  <si>
    <t>T2021-111</t>
  </si>
  <si>
    <t>Melhoria na SE Curitiba - substituição do autotransformador monofásico reserva 525/230 kV, 224 MVA</t>
  </si>
  <si>
    <t>T2022-035</t>
  </si>
  <si>
    <t>Melhoria na SE P. Dutra - substituição do reator RT5, 500 kV, 3x33,33 MVAr</t>
  </si>
  <si>
    <t>T2022-039</t>
  </si>
  <si>
    <t>Melhoria na SE Imperatriz - substituição do reator RT2, 500 kV , 3x50 MVAr</t>
  </si>
  <si>
    <t>T2022-043</t>
  </si>
  <si>
    <t>Melhoria na SE São Luis II - substituição do reator RT3, 500 kV, 3x45,33 MVAR</t>
  </si>
  <si>
    <t>T2022-055</t>
  </si>
  <si>
    <t>Melhoria na SE Marabá - Substituir o banco de capacitores série MBCL7-01, BC1 500 kV, 3x116 MVAr</t>
  </si>
  <si>
    <t>T2022-064</t>
  </si>
  <si>
    <t>Melhoria-SE Itabera-Substituição das fases A e B do banco de reatores RT1 765kV.</t>
  </si>
  <si>
    <t>T2022-083</t>
  </si>
  <si>
    <t>Melhoria na SE Recife II - substituição do reator RT2, 500 kV, 100 Mvar</t>
  </si>
  <si>
    <t>T2023-054</t>
  </si>
  <si>
    <t>Melhoria na SE Maceió: Substituição do transformador 04T3 da SE MCO.</t>
  </si>
  <si>
    <t>T2023-056</t>
  </si>
  <si>
    <t>Melhoria na SE Angelim II: Substituição de 3 Reatores monofásicos, 3x50 MVAr, posição 05E3</t>
  </si>
  <si>
    <t>T2023-057</t>
  </si>
  <si>
    <t>Melhoria na SE Angelim II: Substituição de 3 Reatores monofásicos, 3x50 MVAr, posição 05E2</t>
  </si>
  <si>
    <t>T2023-059</t>
  </si>
  <si>
    <t>Melhoria na SE Olindina II: Substituição de 3 Reatores monofásicos, 3x50 MVAr, posição 05E1</t>
  </si>
  <si>
    <t>T2023-071</t>
  </si>
  <si>
    <t>Melhoria na SE Transamazônica: substituição do reator 230 kV 30 MVAr - TMRE6.01</t>
  </si>
  <si>
    <t>T2022-044</t>
  </si>
  <si>
    <t>Melhoria na SE São Luís II - substituição do reator reserva RTR1, 500 kV, 1x45,33 MVAR</t>
  </si>
  <si>
    <t>T2022-081</t>
  </si>
  <si>
    <t xml:space="preserve">Melhoria na SE Camacari II - substituição do reator reserva RTR1, 500 kV, 33,3 Mvar </t>
  </si>
  <si>
    <t>T2023-052</t>
  </si>
  <si>
    <t>Melhoria na SE Fortaleza: Substituição do transformador 04T4 da SE FTZ</t>
  </si>
  <si>
    <t>T2022-086</t>
  </si>
  <si>
    <t>Melhoria na U.Sobradinho 500 kV - subsituição do reator shunt reserva RTR1, 500 kV, 33,3 Mvar</t>
  </si>
  <si>
    <t>T2021-110</t>
  </si>
  <si>
    <t>Melhoria na SE Curitiba - substituição do reator monofásico reserva RER1, 525 kV, 50 MVAr</t>
  </si>
  <si>
    <t>T2022-034</t>
  </si>
  <si>
    <t>Melhoria na SE P. Dutra - substituição do reator RT4, 500 kV, 3x50 MVAr</t>
  </si>
  <si>
    <t>T2021-109</t>
  </si>
  <si>
    <t>Melhoria na SE Curitiba - substituição do reator monofásico RE2, 525 kV, 150 MVAr, Fases A, B e C</t>
  </si>
  <si>
    <t>T2021-112</t>
  </si>
  <si>
    <t>Melhoria na SE Curitiba - substituição do autotransformador monofásico TF2, 525/230 kV , 672 MVA</t>
  </si>
  <si>
    <t>T2021-098</t>
  </si>
  <si>
    <t>Melhoria na SE Curitiba – substituição das fases B e C do TF1 525/230 kV 224 MVA cada.</t>
  </si>
  <si>
    <t>T2022-080</t>
  </si>
  <si>
    <t>Melhoria na SE Camacari II - substituição de reator RT1, 500 kV, 100 Mvar</t>
  </si>
  <si>
    <t>T2022-084</t>
  </si>
  <si>
    <t>Melhoria na SE Recife II - substituição do reator reserva RTR1, 500 kV, 33,3 Mvar</t>
  </si>
  <si>
    <t>T2023-051</t>
  </si>
  <si>
    <t>Melhoria na SE Fortaleza: Substituição do transformador 04T2 da SE FTZ.</t>
  </si>
  <si>
    <t>T2023-055</t>
  </si>
  <si>
    <t>Melhoria na SE Angelim II: Substituição de Reator monofásico, 50 MVAr, posição operacional 05ER</t>
  </si>
  <si>
    <t>T2023-058</t>
  </si>
  <si>
    <t>Melhoria na SE Olindina II: Substituição de um Reator monofásico, 50 MVAr, posição operacional 05ER</t>
  </si>
  <si>
    <t>T2020-041</t>
  </si>
  <si>
    <t>SE Boa Esperança (Melhorias)-Substituição de reatores monofásicos</t>
  </si>
  <si>
    <t>T2019-007</t>
  </si>
  <si>
    <t>SE Itumbiara - Substituição dos autotransformadores AT50, AT53, AT01, AT02 e AT-Reserva</t>
  </si>
  <si>
    <t>T2021-007</t>
  </si>
  <si>
    <t>Melhoria-SE S. J. do Piauí-Substituição do reator monofásico reserva 500kV,33,3Mvar.</t>
  </si>
  <si>
    <t>T2020-008</t>
  </si>
  <si>
    <t>SE Governador Mangabeira: substituição do transformador trifásico TR1 230/69 kV - 100 MVA (melhoria)</t>
  </si>
  <si>
    <t>T2020-009</t>
  </si>
  <si>
    <t>SE Guamá - Substituição de transformador de potência TR2 230/69 kV- 3x50 MVA (Melhoria)</t>
  </si>
  <si>
    <t>T2020-011</t>
  </si>
  <si>
    <t>SE Utinga - Substituição de transformador de potência TF1 230/69 kV- 3x50 MVA (Melhoria)</t>
  </si>
  <si>
    <t>T2020-013</t>
  </si>
  <si>
    <t>SE Utinga - Substituição de transformador de potência TF2 230/69 kV- 3x50 MVA (Melhoria)</t>
  </si>
  <si>
    <t>T2020-017</t>
  </si>
  <si>
    <t>SE Vila do Conde-Substituição de bancos de reatores 500 kV, (3+1)x55 MVAr (Melhoria)</t>
  </si>
  <si>
    <t>T2020-019</t>
  </si>
  <si>
    <t>SE Colinas - Substituição de compensação série fixa BC2 500 kV, 161 MVA (Melhoria)</t>
  </si>
  <si>
    <t>T2021-016</t>
  </si>
  <si>
    <t>SE Imperatriz-Substituição do reator RT1 500 kV, 3x50 MVAr, e RTR5 500 kV, 50 MVAr (Melhoria)</t>
  </si>
  <si>
    <t>T2021-017</t>
  </si>
  <si>
    <t>SE Imperatriz-Substituição da compensação série BC2 500kV, 451 Mvar. (Melhoria)</t>
  </si>
  <si>
    <t>T2021-018</t>
  </si>
  <si>
    <t>SE Imperatriz-Substituição do reator RT3 500 kV, 3x33,3 MVAr, e RTR4 500 kV, 33,3 MVAr (Melhoria)</t>
  </si>
  <si>
    <t>T2021-019</t>
  </si>
  <si>
    <t>SE Marabá- Substituição da compensação série BC2 500kV,283 Mvar. (Melhoria)</t>
  </si>
  <si>
    <t>T2021-020</t>
  </si>
  <si>
    <t>SE Marabá-Substituição dos reator 500kV RT3,3x45,33Mvar. (Melhoria)</t>
  </si>
  <si>
    <t>T2021-021</t>
  </si>
  <si>
    <t>SE Marabá -Substituição dos reatores 500kV RTR2, 45,33Mvar, e RT2,3x45,33Mvar. (Melhoria)</t>
  </si>
  <si>
    <t>T2021-022</t>
  </si>
  <si>
    <t>SE Rondonópolis-Substituição do BC1 230 kV, 30 MVAr. (Melhoria)</t>
  </si>
  <si>
    <t>T2021-023</t>
  </si>
  <si>
    <t>SE Pres. Dutra-Substituição dos reatores 500 kV RTR1, 50 Mvar, e RTR1, 33,3Mvar (Melhoria)</t>
  </si>
  <si>
    <t>T2021-024</t>
  </si>
  <si>
    <t>SE Pres. Dutra-Substituição da compensação série BC2 500 kV, 454 Mvar. (Melhoria)</t>
  </si>
  <si>
    <t>T2021-025</t>
  </si>
  <si>
    <t>SE P.DUTRA-Substituição de um Banco de Reatores RT7 500 kV - 136 Mvar. (Melhoria)</t>
  </si>
  <si>
    <t>T2021-050</t>
  </si>
  <si>
    <t>Melhoria na SE Mascarenhas de Moraes - substituição dos dois transformadores 138/13,8 kV - 30 MVA</t>
  </si>
  <si>
    <t>T2021-104</t>
  </si>
  <si>
    <t>Melhoria na SE Blumenau - substituição do transformador trifásico TF3, 230/138 kV , 150 MVA</t>
  </si>
  <si>
    <t>T2021-105</t>
  </si>
  <si>
    <t>Melhoria na SE Blumenau - substituição do transformador trifásico TR4, 230/138 kV, 150 MVA</t>
  </si>
  <si>
    <t>T2022-053</t>
  </si>
  <si>
    <t>Revitalização da SE Ibiúna - revitalização da fase C (7197231)</t>
  </si>
  <si>
    <t>T2022-054</t>
  </si>
  <si>
    <t>SE IBIUNA: Revitalização da Unidade atualmente na Reserva  (7197232)</t>
  </si>
  <si>
    <t>T2023-077</t>
  </si>
  <si>
    <t>Melhoria na SE Rio Branco I: substituição do reator de derivação trifásico 230 kV/ RBRE6-02 - 20MVAr</t>
  </si>
  <si>
    <t>T2023-103</t>
  </si>
  <si>
    <t>Melhoria na SE Vila do Conde: substituição da fase reserva do VCAT7 01</t>
  </si>
  <si>
    <t>T2024-190</t>
  </si>
  <si>
    <t>Melhoria na SE Ivaiporã: Substituição de trafo potencia TRRG01</t>
  </si>
  <si>
    <t>T2025-018</t>
  </si>
  <si>
    <t>Melhoria na SE Foz do Iguaçu: revitalização do transformador conversor 57844</t>
  </si>
  <si>
    <t>T2025-019</t>
  </si>
  <si>
    <t>Melhoria na SE Foz do Iguaçu: revitalização do transformador conversor 7197219</t>
  </si>
  <si>
    <t>T2025-020</t>
  </si>
  <si>
    <t>Melhoria na SE Ibiuna: revitalização do transformador conversor 57855</t>
  </si>
  <si>
    <t>T2025-021</t>
  </si>
  <si>
    <t>Melhoria na SE Ibiuna: revitalização do transformador conversor 7197222</t>
  </si>
  <si>
    <t>T2025-022</t>
  </si>
  <si>
    <t>Melhoria na SE Ibiuna: revitalização do transformador conversor 7476860</t>
  </si>
  <si>
    <t>T2025-023</t>
  </si>
  <si>
    <t>Melhoria na SE Ibiuna: revitalização do transformador conversor 7197223</t>
  </si>
  <si>
    <t>T2025-024</t>
  </si>
  <si>
    <t>Melhoria na SE Ibiuna: revitalização do transformador conversor 7197226</t>
  </si>
  <si>
    <t>T2025-025</t>
  </si>
  <si>
    <t>Melhoria na SE Ibiuna: revitalização do transformador conversor 58778</t>
  </si>
  <si>
    <t>T2024-187</t>
  </si>
  <si>
    <t>Melhoria na SE Tijuco Preto: Substituição de reator RESERVA 1 - RTIATP1/2/3</t>
  </si>
  <si>
    <t>TAP.2025.274</t>
  </si>
  <si>
    <t>MPP</t>
  </si>
  <si>
    <t>Substituição do Disjuntor (11T5) 13,8 kV, arranjo BS, associado ao TR5, na SE ACU II</t>
  </si>
  <si>
    <t>Substituição do Para-raios (71T5.A) 13,8 kV, arranjo BS, associado ao TR5, na SE ACU II</t>
  </si>
  <si>
    <t>Para-raio</t>
  </si>
  <si>
    <t>Substituição do Transformador de Corrente TC (91T521.A) 13.8 kV, arranjo BS, associado ao TR5, na SE ACU II</t>
  </si>
  <si>
    <t>Substituição da Seccionadora (31T5-5) 13,8 kV, arranjo BS, associado ao  TR5, na SE ACU II</t>
  </si>
  <si>
    <t>Substituição do Transformador de Corrente TC (91T523.C) 13,8kV, arranjo BS, associado ao TR5, na SE ACU II</t>
  </si>
  <si>
    <t>Substituição da Seccionadora (31T5-4) 13,8kV, arranjo BS, associado ao  TR5, na SE ACU II</t>
  </si>
  <si>
    <t>Substituição do Transformador de Corrente TC (91T522.B) 13,8kV, arranjo BS, associado ao TR5, na SE ACU II</t>
  </si>
  <si>
    <t>Substituição do Para-raios (71T5.C) 13,8 kV, arranjo BS, associado ao TR5, na SE ACU II</t>
  </si>
  <si>
    <t>Substituição do Para-raios (71T5.B) 13,8 kV, arranjo BS, associado ao TR5, na SE ACU II</t>
  </si>
  <si>
    <t>TAP.2023.068</t>
  </si>
  <si>
    <t>Substituição do Disjuntor (14T4) 230 kV, arranjo BD5, associado ao TR4, na SE ACU II</t>
  </si>
  <si>
    <t>Substituição da Seccionadora (31T4-4) 13,8kV, arranjo BS, associado ao TR4, na SE ACU II</t>
  </si>
  <si>
    <t>Substituição do Disjuntor (11T4) 13,8k V, arranjo BS, associado ao TR4, na SE ACU II</t>
  </si>
  <si>
    <t>Substituição do Para-raios (71T4.B) 13,8kV, fase B, arranjo BS, associado ao TR4, na SE ACU II</t>
  </si>
  <si>
    <t>Substituição do Para-raios (71T4.C) 13,8kV, fase C, arranjo BS, associado ao TR4, na SE ACU II</t>
  </si>
  <si>
    <t>Substituição da Seccionadora (31T4-5) 13,8kV, arranjo BS, associado ao TR4 , na SE ACU II</t>
  </si>
  <si>
    <t>Substituição do Transformador de Corrente TC (91T421.A) 13,8kV, fase A, arranjo BS, associado ao TR4, na SE ACU II</t>
  </si>
  <si>
    <t>Substituição do Transformador de Corrente TC (91T422.B  13,8kV, fase B, arranjo BS, associado ao TR4, na SE ACU II</t>
  </si>
  <si>
    <t>Substituição do Transformador de Corrente TC (91T423.C) 13,8kV, fase C, arranjo BS, associado ao TR4, na SE ACU II</t>
  </si>
  <si>
    <t>Substituição do Para-raios (71T4.A ) 13,8 kV, fase A, arranjo BS, associado ao TR4, na SE ACU II</t>
  </si>
  <si>
    <t>Substituição do SPCS 230V, associado ao TR4, na SE ACU II</t>
  </si>
  <si>
    <t>Proteção e Controle</t>
  </si>
  <si>
    <t>Substituição do SPCS (04T5) 230kV, associado ao TR5, na SE ACU II</t>
  </si>
  <si>
    <t>Substituição do SPCS 69kV, associado ao TR4, na SE ACU II</t>
  </si>
  <si>
    <t>Substituição do SPCS (04T5)  69kV, associado ao TR5, na SE ACU II</t>
  </si>
  <si>
    <t>Substituição do Transformador Trifásico TR5 (04T5 ) 230/69/13,8kV, 39 MVA, na SE ACU II.</t>
  </si>
  <si>
    <t>TAP.2025.210</t>
  </si>
  <si>
    <t>Reator de Linha</t>
  </si>
  <si>
    <t>Substituição do SPCS AQSPR00 13,8kV, associado ao RT1, na SE ARIQUEMES</t>
  </si>
  <si>
    <t>TAP.2025.211</t>
  </si>
  <si>
    <t>Substituição do SPCS QPC1-6AY 230KV, associado ao TR1, na SE ARIQUEMES</t>
  </si>
  <si>
    <t>Substituição do SPCS QPC2-6AY 230KV, associado ao TR1, na SE ARIQUEMES</t>
  </si>
  <si>
    <t>Substituição do SPCS QPC-4AX 230KV, associado ao TR1, na SE ARIQUEMES</t>
  </si>
  <si>
    <t>Substituição do Para-raios AQPR6-01 230kV, fase A, arranjo BD4, associado ao TR1, na SE ARIQUEMES</t>
  </si>
  <si>
    <t>Substituição do Para-raios AQPR6-01 230kV, fase B, arranjo BD4, associado ao TR1, na SE ARIQUEMES</t>
  </si>
  <si>
    <t>Substituição do Para-Raio AQPR6-01 230kV, fase V, arranjo BD4, associado ao TR1, na SE ARIQUEMES</t>
  </si>
  <si>
    <t>Substituição do Para-Raio AQPR4-01 69kV, fase A, arranjo BPT, associado ao TR1, na SE ARIQUEMES</t>
  </si>
  <si>
    <t>Substituição do Para-Raio AQPR4-01 69kV, fase B, arranjo BPT, associado ao TR1, na SE ARIQUEMES</t>
  </si>
  <si>
    <t>Substituição do Para-Raio AQPR4-01 69kV, fase V, arranjo BPT, associado ao TR1, na SE ARIQUEMES</t>
  </si>
  <si>
    <t>TAP.2025.212</t>
  </si>
  <si>
    <t>Substituição do SPCS QPC1-6BY 230kV, associado ao TR2, na SE ARIQUEMES</t>
  </si>
  <si>
    <t>Substituição do SPCS  QPC2-6BY 230kV, associado ao TR2, na SE ARIQUEMES</t>
  </si>
  <si>
    <t>Substituição do SPCS QPC-4CX 230KV, associado a EL JARU, na SE ARIQUEMES</t>
  </si>
  <si>
    <t>Substituição do Para-Raio AQPR601 230kV, fase A, arranjo BD4, associado ao TR2, na SE ARIQUEMES</t>
  </si>
  <si>
    <t>Substituição do Para-Raio AQPR601 230kV, fase B, arranjo BD4, associado ao TR2, na SE ARIQUEMES</t>
  </si>
  <si>
    <t>Substituição do Para-Raio AQPR601 230kV, fase V, arranjo BD4, associado ao TR2, na SE ARIQUEMES</t>
  </si>
  <si>
    <t>Substituição do Para-Raio AQPR401 69kV, fase A, arranjo BPT, associado ao TR2, na SE ARIQUEMES</t>
  </si>
  <si>
    <t>Substituição do Para-Raio AQPR401 69kV, fase B, arranjo BPT, associado ao TR2, na SE ARIQUEMES</t>
  </si>
  <si>
    <t>Substituição do Para-Raio AQPR401 69kV, fase V, arranjo BPT, associado ao TR2, na SE ARIQUEMES</t>
  </si>
  <si>
    <t>Substituição da Seccionadora AQSB605 230kV, arranjo BD4, associado ao TR2, na SE ARIQUEMES</t>
  </si>
  <si>
    <t>Substituição da Seccionadora AQSB606 230kV, arranjo BD4, associado ao TR2, na SE ARIQUEMES</t>
  </si>
  <si>
    <t>Substituição da Seccionadora AQSY603 230kV, arranjo BD4, associado ao TR2, na SE ARIQUEMES</t>
  </si>
  <si>
    <t>Substituição da Seccionadora AQSD410 69kV, arranjo BPT, associado ao TR2, na SE ARIQUEMES</t>
  </si>
  <si>
    <t>Substituição da Seccionadora AQSY404 69kV, arranjo BPT, associado ao TR2, na SE ARIQUEMES</t>
  </si>
  <si>
    <t>Substituição do Transformador de Corrente AQTC401 69kV, fase A, arranjo BPT, associado ao TR2, na SE ARIQUEMES</t>
  </si>
  <si>
    <t>Substituição do Transformador de Corrente AQTC401 69kV, fase B, arranjo BPT, associado ao TR2, na SE ARIQUEMES</t>
  </si>
  <si>
    <t>Substituição do Transformador de Corrente AQTC401 69kV, fase V, arranjo BPT, associado ao TR2, na SE ARIQUEMES</t>
  </si>
  <si>
    <t>TAP.2025.346</t>
  </si>
  <si>
    <t>Substituição de Reator de Linha Monofásico RT1 (05E1-A) 500kV, 33,3MVAr, fase A, arranjo DJM, associado a EL de S.J Piauí, na SE B.ESPERANCA.</t>
  </si>
  <si>
    <t>Substituição do Reator de Linha de Neutro (09E1.N) 13,8kV, 0,23MVAr, associado à EL de S.J PIiauí, na SE B.ESPERANCA.</t>
  </si>
  <si>
    <t>TAP.2023.060</t>
  </si>
  <si>
    <t>Substituição da Seccionadora (34T2-6) 230 kV, arranjo BPT, associado ao TR2, na SE B.JESUS LAPA</t>
  </si>
  <si>
    <t>Substituição do Para-raio (71T2.A) 13,8 kV, arranjo BS, associado ao TR2, na SE B.JESUS LAPA</t>
  </si>
  <si>
    <t>Substituição do Disjuntor (11T2 ) 13,8 kV, arranjo BS, associado ao TR2, na SE B.JESUS LAPA</t>
  </si>
  <si>
    <t>TAP.2025.268</t>
  </si>
  <si>
    <t>Substituição do Reator Limitador de Corrente RT2 (01E2-L.A) 13,8 kV. 1,66MVAr, fase A, arranjo BS na SE B.JESUS LAPA</t>
  </si>
  <si>
    <t>Reator Limitador de Corrente</t>
  </si>
  <si>
    <t>Substituição do Reator Limitador de Corrente RT2 (01E2-L.C) 13,8 kV, 1,66MVAr, fase C, arranjo BS na SE B.JESUS LAPA</t>
  </si>
  <si>
    <t>Substituição do Para-raio (71T2.C) 13,8 kV, arranjo BS, associado ao TR2, na SE B.JESUS LAPA</t>
  </si>
  <si>
    <t>Substituição da Seccionadora (32T2-5) 69kV, arranjo BPT, associado ao TR2, na SE B.JESUS LAPA</t>
  </si>
  <si>
    <t>Substituição do Reator Limitador de Corrente RT2 (01E2-L.B) 13,8 kV, 1,66MVAr, fase B, arranjo BS na SE B.JESUS LAPA</t>
  </si>
  <si>
    <t>Reator de Barra</t>
  </si>
  <si>
    <t>Substituição do Para-raio (71T2.B) 13,8 kV, arranjo BS, associado ao TR2, na SE B.JESUS LAPA</t>
  </si>
  <si>
    <t>Substituição da Seccionadora (31T2-5) 13,8 kV, arranjo BS, associado ao TR2, na SE B.JESUS LAPA</t>
  </si>
  <si>
    <t>Substituição da Seccionadora (32T2-6) 69 kV, arranjo BPT, associado ao TR2, na SE B.JESUS LAPA</t>
  </si>
  <si>
    <t>Substituição da Seccionadora (32T2-4) 69 kV, arranjo BPT, associado ao TR2, na SE B.JESUS LAPA</t>
  </si>
  <si>
    <t>Substituição do Disjuntor (12T2) 69 kV, arranjo BPT, associado ao TR2, na SE B.JESUS LAPA</t>
  </si>
  <si>
    <t>Substituição do Reator de Linha Monofásico RTR1 (04ER) 230 kV, 5MVAr, arranjo BPT, na SE B.JESUS LAPA</t>
  </si>
  <si>
    <t>TAP.2025.259</t>
  </si>
  <si>
    <t>Substituição do Reator de Barra Trifásico RT3 (04E3) 230 kV, 3,33MVAr, na SE B.JESUS LAPA</t>
  </si>
  <si>
    <t>Substituição do SPCS 230kV, associado ao RT3, na  na SE B.JESUS LAPA</t>
  </si>
  <si>
    <t>TAP.2023.131</t>
  </si>
  <si>
    <t>Substituição do Transformador Regulador de Potência TREG1 (02R1) 69/69 kV,  40MVAr, na SE BANABUIU</t>
  </si>
  <si>
    <t>Substituição do Transformador Trifásico TR1 (04T1) 230/69kV, 33MVA, na SE BANABUIU</t>
  </si>
  <si>
    <t>TAP.2025.251</t>
  </si>
  <si>
    <t>Substituição do Reator de Linha Monofásico RT1 (04E1.C) 230 kV, 3,33MVAr, fase C, na SE BANABUIU</t>
  </si>
  <si>
    <t>TAP.2025.263</t>
  </si>
  <si>
    <t>Substituição do Reator de Barra Monofásico RTR1 (04ER) 230 kV, 3,33MVAr, na SE BANABUIU</t>
  </si>
  <si>
    <t>Substituição do SPCS 230kV, associado ao TR1, na SE BANABUIU</t>
  </si>
  <si>
    <t>Substituição do SPCS 69kV,  associado ao TR1, na SE BANABUIU</t>
  </si>
  <si>
    <t>TAP.2025.200</t>
  </si>
  <si>
    <t>Substituição do Disjuntor DJ2332, 13,8kV, arranjo BS, associado á IB, na SE BANDEIRANTES.</t>
  </si>
  <si>
    <t>Substituição da Seccionadora SC821, 345kV, arranjo BD5, associado ao TR2, na SE BANDEIRANTES.</t>
  </si>
  <si>
    <t>Substituição da Seccionadora SC823, 345kV, arranjo BD5, associado ao TR2, na SE BANDEIRANTES.</t>
  </si>
  <si>
    <t>Substituição da Seccionadora SC825, 345kV, arranjo BD5, associado ao TR2, na SE BANDEIRANTES.</t>
  </si>
  <si>
    <t>Substituição da Seccionadora SC827, 345kV, arranjo BD5, associado ao TR2, na SE BANDEIRANTES.</t>
  </si>
  <si>
    <t>Substituição da Seccionadora SC829 345kV, arranjo BD5, associado ao TR2, na SE BANDEIRANTES.</t>
  </si>
  <si>
    <t>TAP.2025.201</t>
  </si>
  <si>
    <t>TAP.2023.082</t>
  </si>
  <si>
    <t>Substituição do Para-raio 345kV, fase A, arranjo BD5, associado ao BC1, na SE BANDEIRANTES</t>
  </si>
  <si>
    <t>Substituição do Para-raio 345kV, fase B, arranjo BD5, associado ao BC1, na SE BANDEIRANTES</t>
  </si>
  <si>
    <t>Substituição do Para-raio 345kV, fase C, arranjo BD5, associado ao BC1, na SE BANDEIRANTES</t>
  </si>
  <si>
    <t>Substituição da Seccionadora SC880T 345kV, arranjo BD5, associado ao BC1, na SE BANDEIRANTES</t>
  </si>
  <si>
    <t>Substituição da Seccionadora SC881C 345kV, arranjo BD5, associado ao BC1, na SE BANDEIRANTES</t>
  </si>
  <si>
    <t>Substituição da Seccionadora SC883C 345kV, arranjo BD5, associado ao BC1, na SE BANDEIRANTES</t>
  </si>
  <si>
    <t>Substituição da Seccionadora SC885C 345kV, arranjo BD5, associado ao BC1, na SE BANDEIRANTES</t>
  </si>
  <si>
    <t>Substituição da CLP - PLC2 AT02 SAT  AUTOMATION de supervisão de Chaveamento associado ao Transformador Reserva TRR2 na SE BANDEIRANTES.</t>
  </si>
  <si>
    <t>TAP.2025.383</t>
  </si>
  <si>
    <t>Substituição do Barramento Flexivel (BPBR00) 230kV, associado ao TR1, na SE BARRA PEIXE</t>
  </si>
  <si>
    <t>Substituição do Cubiculo (BPCB203) 13,8kV, associado ao TR1, na SE BARRA PEIXE</t>
  </si>
  <si>
    <t>Substituição do Disjuntor (BPDJ205) 13,8kV, arranjo BS, associado ao TR1, na SE BARRA PEIXE</t>
  </si>
  <si>
    <t>Substituição do Para-Raio (BPPR201) 13,8kV, fase A, arranjo BS, associado ao TR1, na SE BARRA PEIXE</t>
  </si>
  <si>
    <t>Substituição do Para-Raio (BPPR201) 13,8kV, fase B, arranjo BS, associado ao TR1, na SE BARRA PEIXE</t>
  </si>
  <si>
    <t>TAP.2025.213</t>
  </si>
  <si>
    <t>Substituição do Para-Raio BPPR201 13,8kV, fase R, arranjo BS, associado ao TRR1, na SE BARRA PEIXE</t>
  </si>
  <si>
    <t>Substituição do Para-Raio BPPR501 138kV, fase R, arranjo BPT, associado ao TRR1, na SE BARRA PEIXE</t>
  </si>
  <si>
    <t>Substituição do Para-Raio BPPR601 230kV, fase R, arranjo BD4, associado ao TRR1, na SE BARRA PEIXE</t>
  </si>
  <si>
    <t>TAP.2025.215</t>
  </si>
  <si>
    <t>Substituição do Transformador Trifásico TR3 (BPAT6-03) 230/138kV, 50 MVA, na SE BARRA PEIXE</t>
  </si>
  <si>
    <t>Substituição do SPCS BPSPRAT 13,8KV, associado ao TR3, na SE BARRA PEIXE</t>
  </si>
  <si>
    <t>Substituição do SPCS  BPSPRRE 230KV, associado ao RT1, na SE BARRA PEIXE</t>
  </si>
  <si>
    <t>Substituição do SPCS  BPSPRLI 230KV, associado a Entrada de Linha Rio Verde, na SE BARRA PEIXE</t>
  </si>
  <si>
    <t>Substituição do SPCS BPSPRLI 230KV, associado a Entrada de Linha Rio verde C2, na SE BARRA PEIXE</t>
  </si>
  <si>
    <t>Substituição do Para-Raio (BPPR201) 13,8kV, fase V, arranjo BS, associado ao TR1, na SE BARRA PEIXE</t>
  </si>
  <si>
    <t>Substituição do Sistema de Medição (BPAT601 - BPSME01) 230 kV, associado ao TR1, na SE BARRA PEIXE</t>
  </si>
  <si>
    <t>Substituição do SPCS (BPSPRAT) 230 kV, associado ao TR1, na SE BARRA PEIXE</t>
  </si>
  <si>
    <t>Substituição do Transformador de Corrente (BPTC201-A) 13,8V, fase A, arranjo BS, associado ao TR1, na SE BARRA PEIXE</t>
  </si>
  <si>
    <t>Substituição do Transformador de Corrente (BPTC201-B) 13,8V, fase B, arranjo BS, associado ao TR1, na SE BARRA PEIXE</t>
  </si>
  <si>
    <t>Substituição do Transformador de Corrente (BPTC201-V) 13,8V, fase V, arranjo BS, associado ao TR1, na SE BARRA PEIXE</t>
  </si>
  <si>
    <t>Substituição da Transformador de Potencial (BPTP201-A) 13,8KV, fase A, arranjo BS, associado ao TR1, na SE BARRA PEIXE</t>
  </si>
  <si>
    <t>Substituição da Transformador de Potencial (BPTP201-B) 13,8KV, fase B, arranjo BS, associado ao TR1, na SE BARRA PEIXE</t>
  </si>
  <si>
    <t>Substituição da Transformador de Potencial (BPTP201-V) 13,8KV, fase V, arranjo BS, associado ao TR1, na SE BARRA PEIXE</t>
  </si>
  <si>
    <t>Substituição do Sistema de Medição (BPAT601 - BPSME01) 138KV, associado ao TR1, na SE BARRA PEIXE</t>
  </si>
  <si>
    <t>Substituição do SPCS (BPSPRAT) 138kV, associado ao TR1, na SE BARRA PEIXE</t>
  </si>
  <si>
    <t>TAP.2025.207</t>
  </si>
  <si>
    <t>Substituição dos sistemas de proteção da LT 500 kV IBIUNA /BATEIAS C-1 SP/PR e proteção de falha do disjuntor DJ52-103, na SE BATEIAS</t>
  </si>
  <si>
    <t>Substituição do registrador de perturbações digital com localizador de faltas por ondas viajantes (TW)  da  LT 500 kV IBIUNA /BATEIAS C-1 SP/PR, na SE BATEIAS</t>
  </si>
  <si>
    <t>Substituição dos sistemas de proteção do Reator de Linha 500 kV, 165 Mvar, associado ao RTL3, na SE BATEIAS</t>
  </si>
  <si>
    <t>Substituição do registrador de perturbações digital 500 kV 165 Mvar, associado ao RTL3, na SE BATEIAS</t>
  </si>
  <si>
    <t>Substituição dos sistemas de proteção da LT 500 kV IBIUNA /BATEIAS C-2 SP/PR  e proteção de falha do disjutor DJ52-106, na SE BATEIAS</t>
  </si>
  <si>
    <t>Substituição do registrador de perturbações digital com localizador de faltas por ondas viajantes (TW)  da  LT 500 kV IBIUNA /BATEIAS C-2 SP/PR, na SE BATEIAS</t>
  </si>
  <si>
    <t>Substituição dos sistemas de proteção do Reator de Linha 500 kV 165 Mvar, associado ao RTL4, na SE BATEIAS</t>
  </si>
  <si>
    <t>Substituição do registrador de perturbações digital do  RTL 500 kV 165 Mvar, associado ao RTL4, na SE BATEIAS</t>
  </si>
  <si>
    <t>Substituição dos sistemas de proteção de falha de disjutor do DJ52-118, 500 kV, na SE BATEIAS</t>
  </si>
  <si>
    <t>Substituição do sistema de teleproteção primário digital da LT 500 kV IBIUNA /BATEIAS C1, na SE BATEIAS</t>
  </si>
  <si>
    <t>Substituição do sistema de teleproteção alternado OPLAT, incluindo as bobinas de bloqueio, da LT 500 kV IBIUNA /BATEIAS C1, na SE BATEIAS</t>
  </si>
  <si>
    <t>Substituição do sistema de teleproteção primário digital da LT 500 kV IBIUNA /BATEIAS C2, na SE BATEIAS</t>
  </si>
  <si>
    <t>Substituição do sistema de teleproteção alternado OPLAT, incluindo as bobinas de bloqueio, da LT 500 kV IBIUNA /BATEIAS C2, na SE BATEIAS</t>
  </si>
  <si>
    <t>TAP.2025.310</t>
  </si>
  <si>
    <t>TAP.2023.110</t>
  </si>
  <si>
    <t>Substituição do Transformador de Corrente TC 500kV, fase B, arranjo DJM, associado ao TR6, na SE BLUMENAU</t>
  </si>
  <si>
    <t>Substituição do Transformador de Corrente TC 500kV, fase C, arranjo DJM, associado ao TR6, na SE BLUMENAU</t>
  </si>
  <si>
    <t>Substituição do Para-raios 525kV, arranjo DJM, associado ao RT1, na SE BLUMENAU.</t>
  </si>
  <si>
    <t>TAP.2025.216</t>
  </si>
  <si>
    <t>Banco de Capacitor</t>
  </si>
  <si>
    <t>Substituição do Transformador de Corrente de Neutro BVTC201 13,8kV, arranjo BS, associado ao BC1, na SE BOA VISTA</t>
  </si>
  <si>
    <t>Substituição do Transformador de Corrente BVTC201 13,8kV, fase A, arranjo BS, associado ao BC1, na SE BOA VISTA</t>
  </si>
  <si>
    <t>Substituição do Transformador de Corrente BVTC201 13,8kV, fase B, arranjo BS, associado ao BC1, na SE BOA VISTA</t>
  </si>
  <si>
    <t>Substituição do Transformador de Corrente BVTC201 13,8kV, fase V, arranjo BS, associado ao BC1, na SE BOA VISTA</t>
  </si>
  <si>
    <t>Substituição do SPCS BVSPRBC 13,8kV, associado ao BC1, na SE BOA VISTA</t>
  </si>
  <si>
    <t>TAP.2025.217</t>
  </si>
  <si>
    <t>Substituição do Transformador de Corrente de Neutro BVTC201 13,8kV, arranjo BS, associado ao BC2, na SE BOA VISTA</t>
  </si>
  <si>
    <t>TAP.2025.218</t>
  </si>
  <si>
    <t>Substituição do Transformador de Corrente de Neutro BVTC201 13,8kV, arranjo BS, associado ao BC3, na SE BOA VISTA</t>
  </si>
  <si>
    <t>TAP.2025.219</t>
  </si>
  <si>
    <t>Substituição do Transformador de Corrente de Neutro BVTC201 13,8kV, arranjo BS, associado ao BC4, na SE BOA VISTA</t>
  </si>
  <si>
    <t>Substituição do Transformador de Corrente BVTC201 13,8kV, fase A, arranjo BS, associado ao BC4, na SE BOA VISTA</t>
  </si>
  <si>
    <t>Substituição do Transformador de Corrente BVTC201 13,8kV, fase B, arranjo BS, associado ao BC4, na SE BOA VISTA</t>
  </si>
  <si>
    <t>Substituição do Transformador de Corrente BVTC201 13,8kV, fase V, arranjo BS, associado ao BC4, na SE BOA VISTA</t>
  </si>
  <si>
    <t>Substituição do SPCS BVSPRBC 13,8kV, associado ao BC4, na SE BOA VISTA</t>
  </si>
  <si>
    <t>TAP.2025.220</t>
  </si>
  <si>
    <t>Substituição do Transformador de Corrente de Neutro BVTC201 13,8kV, arranjo BS, associado ao BC5, na SE BOA VISTA</t>
  </si>
  <si>
    <t>TAP.2025.221</t>
  </si>
  <si>
    <t>Substituição do Transformador de Corrente de Neutro BVTC201 13,8kV, arranjo BS, associado ao BC6, na SE BOA VISTA</t>
  </si>
  <si>
    <t>Substituição do Transformador de Corrente BVTC201 13,8kV, fase A, arranjo BS, associado ao BC6, na SE BOA VISTA</t>
  </si>
  <si>
    <t>Substituição do Transformador de Corrente BVTC201 13,8kV, fase B, arranjo BS, associado ao BC6, na SE BOA VISTA</t>
  </si>
  <si>
    <t>Substituição do Transformador de Corrente BVTC201 13,8kV, fase V, arranjo BS, associado ao BC6, na SE BOA VISTA</t>
  </si>
  <si>
    <t>Substituição do SPCS BVSPRBC 13,8kV, associado ao BC6, na SE BOA VISTA</t>
  </si>
  <si>
    <t>TAP.2025.222</t>
  </si>
  <si>
    <t>Substituição do Transformador de Corrente de Neutro BVTC201 13,8kV, arranjo BS, associado ao BC7, na SE BOA VISTA</t>
  </si>
  <si>
    <t>TAP.2025.223</t>
  </si>
  <si>
    <t>Substituição do Transformador de Corrente de Neutro BVTC201 13,8kV, arranjo BS, associado ao BC8, na SE BOA VISTA</t>
  </si>
  <si>
    <t>TAP.2025.224</t>
  </si>
  <si>
    <t>Substituição do Transformador de Corrente de Neutro  BVTC201 13,8kV, arranjo BS, associado ao BC9, na SE BOA VISTA</t>
  </si>
  <si>
    <t>Substituição do Transformador de Corrente BVTC201 13,8kV, fase A, arranjo BS, associado ao BC9, na SE BOA VISTA</t>
  </si>
  <si>
    <t>Substituição do Transformador de Corrente BVTC201 13,8kV, fase B, arranjo BS, associado ao BC9, na SE BOA VISTA</t>
  </si>
  <si>
    <t>Substituição do Transformador de Corrente BVTC201 13,8kV, fase V, arranjo BS, associado ao BC9, na SE BOA VISTA</t>
  </si>
  <si>
    <t>Substituição do SPCS BVSPRBC 13,8kV, associado ao BC9, na SE BOA VISTA</t>
  </si>
  <si>
    <t>TAP.2025.225</t>
  </si>
  <si>
    <t>Substituição do Transformador de Corrente de Neutro BVTC201 13,8kV, arranjo BS, associado ao BC10, na SE BOA VISTA</t>
  </si>
  <si>
    <t>TAP.2025.276</t>
  </si>
  <si>
    <t>Substituição do Transformador Trifásico TR7 (04T7)  230/13,8kV, 40MVA, na SE BONGI</t>
  </si>
  <si>
    <t>Substituição do Para-raios (71T7-1.B) 13,8 kV, fase B, arranjo BS, associado ao TR7, na SE BONGI</t>
  </si>
  <si>
    <t>Substituição da Seccionadora (31T7-6) 13,8 kV, arranjo BS, associado ao TR7, na SE BONGI</t>
  </si>
  <si>
    <t>Substituição do Para-raios (71T7-2.C) 13,8 kV, fase C, arranjo BS, associado ao TR7, na SE BONGI</t>
  </si>
  <si>
    <t>Substituição do Disjuntor (14T7) 230 kV, arranjo BPT, associado ao TR7, na SE BONGI</t>
  </si>
  <si>
    <t>Substituição do Transformador de Corrente TC (91T7-2.A) 13,8 kV, fase A, arranjo BS, associado ao TR7, na SE BONGI</t>
  </si>
  <si>
    <t>Substituição do Para-raios (71T7-2.A) 13,8 kV, fase A, arranjo BS, associado ao TR7, na SE BONGI</t>
  </si>
  <si>
    <t>Substituição do Disjuntor (11T7) 13,8 kV, arranjo BS, associado ao TR7, na SE BONGI</t>
  </si>
  <si>
    <t>Substituição da Seccionadora (31T7-4) 13,8 kV, arranjo BS, associado ao TR7, na SE BONGI</t>
  </si>
  <si>
    <t>Substituição da Seccionadora (31T7-8) 13,8 kV, arranjo BS, associado ao TR7, na SE BONGI</t>
  </si>
  <si>
    <t>Substituição da Seccionadora (31T7-5) 13,8 kV, arranjo BS, associado ao TR7, na SE BONGI</t>
  </si>
  <si>
    <t>Substituição do Transformador de Corrente TC (91T7-2.C) 13,8 kV, fase C, arranjo BS, associado ao TR7, na SE BONGI</t>
  </si>
  <si>
    <t>Substituição do Para-raios (71T7-1.A) 13,8 kV, fase A, arranjo BS, associado ao TR7, na SE BONGI</t>
  </si>
  <si>
    <t>Substituição do Para-raios (71T7-2.B) 13,8 kV, fase B, arranjo BS, associado ao TR7, na SE BONGI</t>
  </si>
  <si>
    <t>Substituição do Para-raios (71T7-1.C ) 13,8 kV, fase C, arranjo BS, associado ao TR7, na SE BONGI</t>
  </si>
  <si>
    <t>Substituição do Transformador de Corrente TC (91T7-2.B) 13,8 kV, fase B, arranjo BS, associado ao TR7, na SE BONGI</t>
  </si>
  <si>
    <t>TAP.2025.275</t>
  </si>
  <si>
    <t>Substituição do Transformador  Trifásico TR6 (04T6) 230/13,8kV, 40MVA, na SE BONGI</t>
  </si>
  <si>
    <t>Substituição da Seccionadora (31T6-5) 13,8 kV, arranjo BS, associado ao TR6, na SE BONGI</t>
  </si>
  <si>
    <t>Substituição do Para-raios (71T6-1.C ) 13,8 kV fase C, arranjo BS, associado ao TR6, na SE BONGI</t>
  </si>
  <si>
    <t>Substituição da Seccionadora ( 31T6-4 ) 13,8 kV, arranjo BS, associado ao TR6, na SE BONGI</t>
  </si>
  <si>
    <t>Substituição do Transformador de Corrente TC (91T6-2.B) 13,8 kV, fase B, arranjo BS, associado ao TR6, na SE BONGI</t>
  </si>
  <si>
    <t>Substituição do Transformador de Corrente TC (91T6-2.C) 13,8 kV, fase C, arranjo BS, associado ao TR6, na SE BONGI</t>
  </si>
  <si>
    <t>Substituição do Para-raios (71T6-1.A) 13,8 kV fase A, arranjo BS, associado ao TR6, na SE BONGI</t>
  </si>
  <si>
    <t>Substituição do Para-raios (71T6-2.C) 13,8 kV, fase C, arranjo BS, associado ao TR6, na SE BONGI</t>
  </si>
  <si>
    <t>Substituição do Disjuntor (11T6) 13,8 kV, arranjo BS, associado ao TR6, na SE BONGI</t>
  </si>
  <si>
    <t>Substituição do Para-raios (71T6-2.A) 13,8 kV fase A, arranjo BS, associado ao TR6, na SE BONGI</t>
  </si>
  <si>
    <t>Substituição da Seccionadora (31T6-6 ) 13,8 kV, arranjo BS, associado ao TR6, na SE BONGI</t>
  </si>
  <si>
    <t>Substituição do Reator Limitador de Corrente Monofásico  (01E2-L.C ) 13,8 kV, 2 MVAr, fase C, associado ao TR6, na SE BONGI</t>
  </si>
  <si>
    <t>Substituição do Transformador de Corrente TC (91T6-2.A) 13,8 kV fase A, arranjo BS, associado ao TR6, na SE BONGI</t>
  </si>
  <si>
    <t>Substituição da Seccionadora (31T6-8) 13,8 kV, fase B, arranjo BS, associado ao TR6, na SE BONGI</t>
  </si>
  <si>
    <t>Substituição do Para-raios (71T6-2.B) 13,8 kV, fase Barranjo BS, associado ao TR6, na SE BONGI</t>
  </si>
  <si>
    <t>Substituição do Reator Limitador de Corrente (01E2-L.A) 13,8 kV, 2 MVAr, fase A, associado ao TR6, na SE BONGI</t>
  </si>
  <si>
    <t>Substituição do Para-raios (71T6-1.B) 13,8 kV, fase Barranjo BS, associado ao TR6, na SE BONGI</t>
  </si>
  <si>
    <t>Substituição do Disjuntor (14T6) 230 kV, arranjo BPT, associado ao TR6, na SE BONGI</t>
  </si>
  <si>
    <t>Substituição do Reator Limitador de Corrente Monofásico  (01E2-L.B) 13,8 kV, 2 MVAr, fase B, associado ao TR6, na SE BONGI</t>
  </si>
  <si>
    <t>Substituição do SPCS 230kV, associado ao TR6, na SE BONGI</t>
  </si>
  <si>
    <t>Substituição do SPCS 230kV, associado ao TR7, na SE BONGI</t>
  </si>
  <si>
    <t>Substituição do SPCS 13,8kV, associado ao TR6, na SE BONGI</t>
  </si>
  <si>
    <t>Substituição do SPCS 13,8kV,  associado ao TR7, na SE BONGI</t>
  </si>
  <si>
    <t>TAP.2025.304</t>
  </si>
  <si>
    <t>Substituição do Para-raios 230kV, fase A, arranjo BD5, associado ao TR3, na SE BRAS.SUL.</t>
  </si>
  <si>
    <t>Substituição do Para-raios 230kV, fase B, arranjo BD5, associado ao TR3, na SE BRAS.SUL.</t>
  </si>
  <si>
    <t>Substituição do Para-raios 230kV, fase C, arranjo BD5, associado ao TR3, na SE BRAS.SUL.</t>
  </si>
  <si>
    <t>Substituição da Seccionadora SC731, 230kV, arranjo BD5, associado ao TR3, na SE BRAS. SUL.</t>
  </si>
  <si>
    <t>Substituição da Seccionadora SC733, 230kV, arranjo BD5, associado ao TR3, na SE BRAS. SUL</t>
  </si>
  <si>
    <t>Substituição da Seccionadora SC735, 230kV, arranjo BD5, associado ao TR3, na SE BRAS. SUL.</t>
  </si>
  <si>
    <t>Substituição da Seccionadora SC737, 230kV, arranjo BD5, associado ao TR3, na SE BRAS. SUL.</t>
  </si>
  <si>
    <t>Substituição da Seccionadora SC739, 230kV, arranjo BD5, associado ao TR3, na SE BRAS. SUL.</t>
  </si>
  <si>
    <t>Substituição do Transformador de Corrente TC lado SC737, 230kV, fase A, arranjo BD5, associado ao TR3, na SE BRAS. SUL</t>
  </si>
  <si>
    <t>Substituição do Transformador de Corrente TC lado SC737, 230kV, fase B, arranjo BD5, associado ao TR3, na SE BRAS. SUL.</t>
  </si>
  <si>
    <t>Substituição do Transformador de Corrente TC lado SC737, 230kV, fase C, arranjo BD5, associado ao TR3, na SE BRAS. SUL.</t>
  </si>
  <si>
    <t>Substituição do Para-raios 345kV, fase A,  arranjo BD5, associado ao TR3, na SE BRAS.SUL.</t>
  </si>
  <si>
    <t>Substituição do Para-raios 345kV, fase B,  arranjo BD5, associado ao TR3, na SE BRAS.SUL.</t>
  </si>
  <si>
    <t>Substituição do Para-raios 345kV, fase C, arranjo BD5, associado ao TR3, na SE BRAS.SUL.</t>
  </si>
  <si>
    <t>Substituição da Seccionadora SC835, 345kV, arranjo BD5, associado ao TR3, na SE BRAS. SUL.</t>
  </si>
  <si>
    <t>Substituição da Seccionadora SC837, 345kV, arranjo BD5, associado ao TR3, na SE BRAS. SUL.</t>
  </si>
  <si>
    <t>Substituição da Seccionadora SC839, 345kV, arranjo BD5, associado ao TR3, na SE BRAS. SUL.</t>
  </si>
  <si>
    <t>Substituição do Transformador de Corrente TC lado SC837, 345kV, fase A, arranjo BD5, associado ao TR3, na SE BRAS. SUL</t>
  </si>
  <si>
    <t>Substituição do Transformador de Corrente TC lado SC837, 345kV, fase B, arranjo BD5, associado ao TR3, na SE BRAS. SUL.</t>
  </si>
  <si>
    <t>Substituição do Transformador de Corrente TC lado SC837, 345kV, fase C, arranjo BD5, associado ao TR3, na SE BRAS. SUL.</t>
  </si>
  <si>
    <t>Substituição do Para-raios Terciário 13,8kV, fase A, arranjo BS, associado ao TR3, na SE BRAS. SUL.</t>
  </si>
  <si>
    <t>Substituição do Para-raios Terciário 13,8kV, fase B,  arranjo BS, associado ao TR3, na SE BRAS. SUL.</t>
  </si>
  <si>
    <t>Substituição do Para-raios Terciário 13,8kV, fase C,  arranjo BS, associado ao TR3, na SE BRAS. SUL.</t>
  </si>
  <si>
    <t>Substituição do Transformador de Aterramento TFAT - Terciário 13.8/0,12KV, 25MVA, fase A, arranjo BS, na SE BRAS. SUL.</t>
  </si>
  <si>
    <t>Substituição do Transformador de Aterramento TFAT - Terciário 13.8/0,12KV, 25MVA, fase B, arranjo BS, na SE BRAS. SUL.</t>
  </si>
  <si>
    <t>Substituição do Transformador de Aterramento TFAT - Terciário 13.8/0,12KV, 25MVA, fase C, arranjo BS, na SE BRAS. SUL.</t>
  </si>
  <si>
    <t>Substituição da UAC21 - SINOCON de supervisão de 138kV, associado ao TR1, na SE BRAS. SUL</t>
  </si>
  <si>
    <t>Substituição da UAC22 - SINOCON de supervisão de 345kV, associado ao TR1 na SE BRAS. SUL.</t>
  </si>
  <si>
    <t>Substituição da UAC03 - SINOCON de supervisão de 230kV, associado ao TR3 na SE BRAS. SUL.</t>
  </si>
  <si>
    <t>Substituição da UAC04 - SINOCON de supervisão de 345kV, associado ao TR3 na SE BRAS. SUL.</t>
  </si>
  <si>
    <t>TAP.2024.170</t>
  </si>
  <si>
    <t>Substituição do Reator  de Barra Monofásico RT1 (09E2-C) 26 kV, 100 MVAr, fase C na SE C.GRANDE II</t>
  </si>
  <si>
    <t>TAP.2025.252</t>
  </si>
  <si>
    <t>TAP.2025.284</t>
  </si>
  <si>
    <t>Substituição do Transformador Monofásico TR2 (05T2.A) 500/230kV, 200MVA, fase A, na SE CAMACARI II.</t>
  </si>
  <si>
    <t>Substituição do Transformador Monofásico TR2 (05T2.B) 500/230kV, 200MVA, fase B, na SE CAMACARI II.</t>
  </si>
  <si>
    <t>Substituição do Transformador Monofásico TR2 (05T2.C) 500/230kV, 200MVA, fase C, na SE CAMACARI II.</t>
  </si>
  <si>
    <t>Substituição da Seccionadora (34T2-7)  500kV, arranjo BD6, associado ao TR2, na SE CAMACARI II.</t>
  </si>
  <si>
    <t>TAP.2025.318</t>
  </si>
  <si>
    <t>Substituição do Transformador Trifásico TR8 (02T8) 69/13,8kV, 5MVA, na SE CAMACARI II.</t>
  </si>
  <si>
    <t>TAP.2024.029</t>
  </si>
  <si>
    <t>Substituição do Transformador Monofásico TR7 (04T7) 230/13,8 kV, 100MVA, fase A, na SE CAMACARI II</t>
  </si>
  <si>
    <t>Substituição do Transformador  Monofásico TR7 (04T7) 230/13,8 kV, 100MVA, fase C, na SE CAMACARI II</t>
  </si>
  <si>
    <t>Substituição do Transformador  Monofásico TRR1 (04TR) 230/13,8kV, 100MVA, fase reserva, na SE CAMACARI II</t>
  </si>
  <si>
    <t>Substituição do SPCS 500kV, associado ao TR2, na SE CAMACARI II.</t>
  </si>
  <si>
    <t>Substituição do SPCS 230kV, associado ao TR2, na SE CAMACARI II.</t>
  </si>
  <si>
    <t>TAP.2023.040</t>
  </si>
  <si>
    <t>Substituição da Seccionadora com lâmina de terra SC9127/SC9120T 500 kV, arranjo AN, associada à EL ARARAQUARA FURNAS C1, na SE CAMPINAS.</t>
  </si>
  <si>
    <t>Substituição da Seccionadora SC9205 500 kV, arranjo AN, associada à EL ARARAQUARA FURNAS C1, na SE CAMPINAS.</t>
  </si>
  <si>
    <t>Substituição da Seccionadora SC9207 500 kV, arranjo AN, associada à EL ARARAQUARA FURNAS C1, na SE CAMPINAS.</t>
  </si>
  <si>
    <t>Substituição da Seccionadora SC9215 500 kV, arranjo AN, associada à EL FERNÃO DIAS C1, na SE CAMPINAS.</t>
  </si>
  <si>
    <t>Substituição da Seccionadora SC9217 500 kV, arranjo AN, associada à EL FERNÃO DIAS C1, na SE CAMPINAS.</t>
  </si>
  <si>
    <t>Substituição da Seccionadora com lâmina de terra SC9317/SC9310T 500 kV, arranjo AN, associada à EL FERNÃO DIAS C1, na SE CAMPINAS.</t>
  </si>
  <si>
    <t>Substituição do Disjuntor DJ9208 500kV, arranjo AN, associado à EL ARARAQUARA FURNAS C1, na SE CAMPINAS</t>
  </si>
  <si>
    <t>Substituição do Disjuntor DJ9218 500kV, arranjo AN, associado  à EL FERNÃO DIAS C1, na SE CAMPINAS</t>
  </si>
  <si>
    <t>Substituição do Transformador de Corrente TC DJ9208 500 kV, fase A, arranjo AN, associado à EL ARARAQUARA FURNAS C1, na SE CAMPINAS</t>
  </si>
  <si>
    <t>Substituição do Transformador de Corrente TC DJ9208 500 kV, fase B, arranjo AN, associado à EL ARARAQUARA FURNAS C1, na SE CAMPINAS</t>
  </si>
  <si>
    <t>Substituição do Transformador de Corrente TC DJ9208 500 kV, fase C, arranjo AN, associado à EL ARARAQUARA FURNAS C1, na SE CAMPINAS</t>
  </si>
  <si>
    <t>Substituição do Transformador de Corrente TC DJ9218 500 kV, Fase A, arranjo AN, associado  à EL FERNÃO DIAS C1, na SE CAMPINAS</t>
  </si>
  <si>
    <t>Substituição do Transformador do Corrente TC DJ9218 500 kV, Fase B, arranjo AN, associado  à EL FERNÃO DIAS C1, na SE CAMPINAS</t>
  </si>
  <si>
    <t>Substituição do Transformador de Corrente TC DJ9218 500 kV, Fase C, arranjo AN,  associado  à EL FERNÃO DIAS C1, na SE CAMPINAS</t>
  </si>
  <si>
    <t>Substituição do sistema de proteção principal, lado de baixa 345 kV, associados ao AT51, na SE CAMPINAS.</t>
  </si>
  <si>
    <t>Substituição do sistema de controle e supervisão 500 kV, módulo de alta, associado ao AT51 na SE CAMPINAS.</t>
  </si>
  <si>
    <t>Substituição do sistema de controle e supervisão 345 kV, módulo de baixa, associado ao AT51, na SE CAMPINAS.</t>
  </si>
  <si>
    <t>Substituição do registrador digital de perturbações 500/345 kV, associados ao AT51, na SE CAMPINAS.</t>
  </si>
  <si>
    <t>Substituição do sistema de proteção principal, lado de alta 500 kV, associados ao AT51, na SE CAMPINAS.</t>
  </si>
  <si>
    <t>TAP.2025.202</t>
  </si>
  <si>
    <t>Substituição do Disjuntor DJ8732, 345kV, arranjo AN, associado à EL MACAÉ MERCHAN C2, na SE CAMPOS.</t>
  </si>
  <si>
    <t>Substituição da Seccionadora SC8731, 345kV, arranjo AN, associado à EL MACAÉ MERCHAN C2, na SE CAMPOS.</t>
  </si>
  <si>
    <t>Substituição da Seccionadora SC8733, 345kV, arranjo AN, associado à EL MACAÉ MERCHAN C2, na SE CAMPOS.</t>
  </si>
  <si>
    <t>Substituição de Transformador de Corrente TC 345KV DJ8732 LTCMMH2 345kV, fase C, arranjo AN, associado à EL MACAÉ MERCHAN C2, na SE CAMPOS.</t>
  </si>
  <si>
    <t>Substituição da Seccionadora SC880R, 345kV, arranjo AN, associado ao RT6, na SE CAMPOS.</t>
  </si>
  <si>
    <t>Substituição da Seccionadora SC8121 345kV, arranjo AN, associado à EL MACAÉ RIO NOVO DO SUL C1, na SE CAMPOS.</t>
  </si>
  <si>
    <t>Substituição da Seccionadora SC8123 345kV, arranjo AN, associada à EL RIO NOVO DO SUL C1, na SE CAMPOS.</t>
  </si>
  <si>
    <t>Substituição de Transformador de Corrente TC 345KV DJ8122 LTCMSRNS1, fase A, arranjo AN, associado à EL RIO NOVO DO SUL C1, na SE CAMPOS.</t>
  </si>
  <si>
    <t>Substituição de Transformador de Corrente TC 345KV DJ8122 LTCMSRNS1, fase B, arranjo AN, associado à EL RIO NOVO DO SUL C1, na SE CAMPOS.</t>
  </si>
  <si>
    <t>Substituição de Transformador de Corrente TC 345KV DJ8122 LTCMSRNS1, fase C, arranjo AN, associado à EL RIO NOVO DO SUL C1, na SE CAMPOS.</t>
  </si>
  <si>
    <t>Substituição dos sistemas de proteção do RTL 345 kV, 60 MVAr, associado ao RT6 e da proteção de falha do disjuntor DJ882R na SE CAMPOS.</t>
  </si>
  <si>
    <t>Substituição da UAC06 - SINOCON de supervisão 345 kV,  associado ao RT6, na SE CAMPOS.</t>
  </si>
  <si>
    <t>TAP.2025.226</t>
  </si>
  <si>
    <t>Substituição do SPCS CJSPRBC 230kV, associado ao BC1, na SE CARAJAS</t>
  </si>
  <si>
    <t>Substituição do Para-Raio CJPR601 230kV, arranjo BD4, associado ao BC1, na SE CARAJAS</t>
  </si>
  <si>
    <t>TAP.2025.332</t>
  </si>
  <si>
    <t>Substituição da Seccionadora COSR702 500kV, arranjo DJM, associado ao RT2 na SE COLINAS</t>
  </si>
  <si>
    <t>TAP.2025.319</t>
  </si>
  <si>
    <t>Substituição do Transformador Trifásico TR2 (04T2 ) 230/69 kV, 100 MVA, na SE COTEGIPE</t>
  </si>
  <si>
    <t>TAP.2025.227</t>
  </si>
  <si>
    <t>Substituição do Para-Raio CXRE502 138kV, fase A, arranjo BD5, associado ao RT2, na SE COXIPO</t>
  </si>
  <si>
    <t>Substituição do Para-Raio CXRE502 138kV, fase B, arranjo BD5, associado ao RT2, na SE COXIPO</t>
  </si>
  <si>
    <t>Substituição do Para-Raio CXRE502 138kV, fase V, arranjo BD5, associado ao RT2, na SE COXIPO</t>
  </si>
  <si>
    <t>Substituição da Seccionadora CXRE502 138kV, arranjo BD5, associada ao RT2, na SE COXIPO</t>
  </si>
  <si>
    <t>Substituição do Transformador de Corrente CXRE502 138kV , fase A, arranjo BD5, associado ao RT2, na SE COXIPO</t>
  </si>
  <si>
    <t>Substituição do Transformador de Corrente CXRE502 138kV , fase B, arranjo BD5, associado ao RT2, na SE COXIPO</t>
  </si>
  <si>
    <t>Substituição do Transformador de Corrente CXRE502 138kV , fase V, arranjo BD5, associado ao RT2, na SE COXIPO</t>
  </si>
  <si>
    <t>TAP.2025.312</t>
  </si>
  <si>
    <t>Substituição do para-raios 525kV, fase A, arranjo DJM, associado ao RT1, na SE CURITIBA.</t>
  </si>
  <si>
    <t>TAP.2024.091</t>
  </si>
  <si>
    <t>Substituição de Transformador de Corrente 94T4-A, 230kV, arranjo BD5, associado ao TR4, na SE DELM. GOUVEIA</t>
  </si>
  <si>
    <t>Substituição de Transformador de Corrente 94T4-C, 230kV, arranjo BD5, associado ao TR4, na SE DELM. GOUVEIA</t>
  </si>
  <si>
    <t>Substituição de Transformador de Corrente 94T4-B, 230kV, arranjo BD5, associado ao TR4, na SE DELM. GOUVEIA</t>
  </si>
  <si>
    <t>TAP.2023.012</t>
  </si>
  <si>
    <t>Substituição do sistema de supervisão, controle contra falha de disjuntor do módulo de conexão do reator RE1 de 230 kV (DJ722) na SE DOURADOS</t>
  </si>
  <si>
    <t>TAP.2023.112</t>
  </si>
  <si>
    <t>Substituição do sistema de supervisão, controle contra falha de disjuntor do módulo de conexão do TR3 230kV (DJ752) na SE DOURADOS</t>
  </si>
  <si>
    <t>Substituição do sistema de supervisão, controle contra falha de disjuntor do módulo de conexão do TR4 230kV (DJ772) na SE DOURADOS</t>
  </si>
  <si>
    <t>TAP.2025.205</t>
  </si>
  <si>
    <t>Substituição da Seccionadora SC12221 750kV, arranjo DJM, associado a Interligação de Barras do TR2, na SE F.IGUACU 60HZ.</t>
  </si>
  <si>
    <t>Substituição da Seccionadora SC12223 750kV, arranjo DJM, associado a Interligação de Barras do TR2, na SE F.IGUACU 60HZ.</t>
  </si>
  <si>
    <t>Substituição de Transformador de Corrente TC (DJ12224), 750kV, fase A, arranjo DJM, associado a Interligação de Barras do TR2, na SE F.IGUACU 60HZ.</t>
  </si>
  <si>
    <t>Substituição de Transformador de Corrente TC (DJ12224), 750kV, fase B, arranjo DJM, associado a Interligação de Barras do TR2, na SE F.IGUACU 60HZ.</t>
  </si>
  <si>
    <t>Substituição de Transformador de Corrente TC (DJ12224), 750kV, fase C, arranjo DJM, associado a Interligação de Barras do TR2, na SE F.IGUACU 60HZ.</t>
  </si>
  <si>
    <t>Substituição da Seccionadora SC5267 69kV, arranjo BS, associado ao TR2, na SE F.IGUACU 60HZ.</t>
  </si>
  <si>
    <t>Substituição do Transformador Trifásico do Serviço Auxiliar TR (TSA2) 69/13,8 kV, 3MVA, na SE F.IGUACU 60HZ.</t>
  </si>
  <si>
    <t>Substituição do Transformador de Potencial TP (AT02-5) 69kV, fase A, arranjo BS, associado ao TR2, na SE F.IGUACU 60HZ.</t>
  </si>
  <si>
    <t>Substituição do Transformador de Potencial TP (AT02-5) 69kV, fase B, arranjo BS, associado ao TR2, na SE F.IGUACU 60HZ.</t>
  </si>
  <si>
    <t>Substituição do Transformador de Potencial TP (AT02-5) 69kV, fase C, arranjo BS, associado ao TR2, na SE F.IGUACU 60HZ.</t>
  </si>
  <si>
    <t>Substituição do Disjuntor DJ12264 750kV,arranjo DJM, associado ao TR2, na SE F.IGUACU 60HZ.</t>
  </si>
  <si>
    <t>Substituição da Seccionadora com lamina de terra (SC12261/SC12120T) 750kV,arranjo DJM, associado ao TR2, na SE F.IGUACU 60HZ.</t>
  </si>
  <si>
    <t>Substituição da Seccionadora SC12263 750kV,arranjo DJM, associado ao TR2, na SE F.IGUACU 60HZ.</t>
  </si>
  <si>
    <t>Substituição da Seccionadora SC12265 750kV,arranjo DJM, associado ao TR2, na SE F.IGUACU 60HZ.</t>
  </si>
  <si>
    <t>Substituição de Transformador de Corrente TC (DJ12264), 750kV, fase A, arranjo DJM, associado ao TR2, na SE F.IGUACU 60HZ.</t>
  </si>
  <si>
    <t>Substituição de Transformador de Corrente TC (DJ12264), 750kV, fase B, arranjo DJM, associado ao TR2, na SE F.IGUACU 60HZ.</t>
  </si>
  <si>
    <t>Substituição de Transformador de Corrente TC (DJ12264), 750kV, fase C, arranjo DJM, associado ao TR2, na SE F.IGUACU 60HZ.</t>
  </si>
  <si>
    <t>Substituição do para-raios PR AT912V-9 750kV, arranjo DJM, associado ao TRR5, na SE F.IGUACU 60HZ.</t>
  </si>
  <si>
    <t>Substituição da KXD.1 de supervisão de Sala de Relês Elevadora 750 KV, na SE F.IGUACU 60HZ.</t>
  </si>
  <si>
    <t>Substituição da KXE.1 de supervisão de Sala de Relês Elevadora 750 KV, na SE F.IGUACU 60HZ.</t>
  </si>
  <si>
    <t>TAP.2024.003</t>
  </si>
  <si>
    <t>Substituição do Reator de Linha Monofásico RT4 (04E4.A) 230 kV, 3,33MVAr, fase A, na SE FORTALEZA</t>
  </si>
  <si>
    <t>Substituição do Reator de Linha Monofásico RT4 (04E4.B) 230 kV, 3,33MVAr, fase B, na SE FORTALEZA</t>
  </si>
  <si>
    <t>Substituição do Reator de Linha Monofásico RT4 (04E4.C) 230 kV, 3,33MVAr, fase C, na SE FORTALEZA</t>
  </si>
  <si>
    <t>Substituição do Reator de Linha Monofásico RT3 (04E3.A) 230 kV, 3,33MVAr, fase A, na SE FORTALEZA</t>
  </si>
  <si>
    <t>Substituição do Reator de Linha Monofásico RT3 (04E3.B) 230 kV, 3,33MVAr, fase B, na SE FORTALEZA</t>
  </si>
  <si>
    <t>Substituição do Reator de Linha Monofásico RT3 (04E3.C) 230 kV, 3,33MVAr, fase C, na SE FORTALEZA</t>
  </si>
  <si>
    <t>Substituição da Seccionadora (34X3-7R) 230 kV, arranjo BPT, associada ao RT3, na SE FORTALEZA</t>
  </si>
  <si>
    <t>TAP.2025.256</t>
  </si>
  <si>
    <t>Substituição do Reator de Linha Monofásico RT2 (04E2.A) 230 kV, 3,33MVAr, fase A, na SE FORTALEZA</t>
  </si>
  <si>
    <t>Substituição da Seccionadora (34X2-7R) 230 kV, arranjo BPT, associado ao RT2, na SE FORTALEZA</t>
  </si>
  <si>
    <t>Substituição do Reator de Linha Monofásico RT2 (04E2.B) 230 kV, 3,33MVAr, fase B, na SE FORTALEZA.</t>
  </si>
  <si>
    <t>Substituição do Reator de Linha Monofásico RT2 (04E2.C) 230 kV, 3,33MVAr, fase C, arranjo BPT, na SE FORTALEZA</t>
  </si>
  <si>
    <t>TAP.2025.253</t>
  </si>
  <si>
    <t>Substituição do Reator de Barra Trifásico RT1 (04E1) 230 kV, 10 MVAr, na SE GOIANINHA</t>
  </si>
  <si>
    <t>TAP.2024.093</t>
  </si>
  <si>
    <t>Substituição de Transformador de Corrente 94T2-A, 230kV, arranjo BPT, associado ao TR2, na SE GOIANINHA.</t>
  </si>
  <si>
    <t>Substituição de Transformador de Corrente 94T2-B, 230kV, arranjo BPT, associado ao TR2, na SE GOIANINHA.</t>
  </si>
  <si>
    <t>Substituição de Transformador de Corrente 94T2-C, 230kV, arranjo BPT, associado ao TR2, na SE GOIANINHA.</t>
  </si>
  <si>
    <t>Substituição do Banco de Capacitor de Série BC1A (BSINBC1A) 500kV, 127,5MVAr, fase A, arranjo DJM, na SE IBIUNA</t>
  </si>
  <si>
    <t>Substituição do para-raios PR24F30C 500kV, fase A, arranjo DJM, associado à EL BATEIAS C-1, na SE IBIUNA</t>
  </si>
  <si>
    <t>Substituição do para-raios PR24F30C 500kV, fase B, arranjo DJM,  associado à EL BATEIAS C-1, na SE IBIUNA</t>
  </si>
  <si>
    <t>Substituição para-raios PR24F30C 500kV, fase C, arranjo DJM,  associado à EL BATEIAS C-1, na SE IBIUNA</t>
  </si>
  <si>
    <t>Substituição da Seccionadora SC24F19 500kV, arranjo DJM,  associada à EL BATEIAS C1, na SE IBIUNA</t>
  </si>
  <si>
    <t>Substituição da Seccionadora SC24F4 500kV, arranjo DJM,  associado à EL BATEIAS C1, na SE IBIUNA</t>
  </si>
  <si>
    <t>Substituição da Seccionadora SC24F5 500kV, arranjo DJM, associado à EL BATEIAS C1, na SE IBIUNA</t>
  </si>
  <si>
    <t>Substituição do Banco de Capacitor de Série BC2A (BSINBC2A) 500kV,  127,5MVAr, fase A, arranjo DJM, na SE IBIUNA</t>
  </si>
  <si>
    <t>Substituição do Para-raios PR22F30C 500kV, fase A, arranjo DJM,  associado à EL BATEIAS C-2, na SE IBIUNA</t>
  </si>
  <si>
    <t>Substituição do Para-raios PR22F30C 500kV, fase B, arranjo DJM associado à EL BATEIAS C-2, na SE IBIUNA</t>
  </si>
  <si>
    <t>Substituição do Para-raios PR22F30C 500kV, fase C, arranjo DJM,  associado à EL BATEIAS C-2, na SE IBIUNA</t>
  </si>
  <si>
    <t>Substituição da Seccionadora SC22F19 500kV, arranjo DJM,  associada à EL BATEIAS C2, na SE IBIUNA</t>
  </si>
  <si>
    <t>Substituição da Seccionadora SC22F4 500kV, arranjo DJM,  associado à EL BATEIAS C2 na SE IBIUNA</t>
  </si>
  <si>
    <t>Substituição da Seccionadora SC22F5 500kV, arranjo DJM,  associado à EL BATEIAS C2, na SE IBIUNA</t>
  </si>
  <si>
    <t>Substituição dos sistemas de proteção da LT 500 kV IBIUNA /BATEIAS C-1 SP/PR , na SE IBIUNA</t>
  </si>
  <si>
    <t>Substituição do registrador de perturbações digital com localizador de faltas por ondas viajantes (TW)  da  LT 500 kV IBIUNA /BATEIAS C-1 SP/PR , na SE IBIUNA</t>
  </si>
  <si>
    <t>Substituição dos sistemas de proteção do RTL 500 kV 105 Mvar IBIUNA RTINBC1 SP, na SE IBIUNA</t>
  </si>
  <si>
    <t>Substituição do registrador de perturbações digital do  RTL 500 kV 105 Mvar IBIUNA RTINBC1 SP, na SE IBIUNA</t>
  </si>
  <si>
    <t>Substituição dos sistemas de proteção do CR 500 kV 382 MVAr IBIUNA BC1A SP (BSINBC1A) , na SE IBIUNA</t>
  </si>
  <si>
    <t>Substituição do registrador de perturbações digital do  RTL CR 500 kV 382 MVAr IBIUNA BC1A SP  (BSINBC1A)  na SE IBIUNA</t>
  </si>
  <si>
    <t>Substituição dos sistemas de proteção do CR 500 kV 382 MVAr IBIUNA BC1B SP (BSINBC1B) , na SE IBIUNA</t>
  </si>
  <si>
    <t>Substituição do registrador de perturbações digital do  RTL CR 500 kV 382 MVAr IBIUNA BC1B SP  (BSINBC1B), na SE IBIUNA</t>
  </si>
  <si>
    <t>Substituição dos sistemas de proteção de falha de disjutor do DJ24F2, na SE IBIUNA</t>
  </si>
  <si>
    <t>Substituição dos sistemas de proteção da LT 500 kV IBIUNA /BATEIAS C-2 SP/PR , na SE IBIUNA</t>
  </si>
  <si>
    <t>Substituição do registrador de perturbações digital com localizador de faltas por ondas viajantes (TW)  da  LT 500 kV IBIUNA /BATEIAS C-2 SP/PR , na SE IBIUNA</t>
  </si>
  <si>
    <t>Substituição dos sistemas de proteção do RTL 500 kV 105 Mvar IBIUNA RTINBC2 SP, na SE IBIUNA</t>
  </si>
  <si>
    <t>Substituição do registrador de perturbações digital do  RTL 500 kV 105 Mvar IBIUNA RTINBC2 SP, na SE IBIUNA</t>
  </si>
  <si>
    <t>Substituição dos sistemas de proteção do CR 500 kV 382 MVAr IBIUNA BC2A SP (BSINBC2A), na SE IBIUNA</t>
  </si>
  <si>
    <t>Substituição do registrador de perturbações digital do  RTL CR 500 kV 382 MVAr IBIUNA BC2A SP  (BSINBC2A), na SE IBIUNA</t>
  </si>
  <si>
    <t>Substituição dos sistemas de proteção do CR 500 kV 382 MVAr IBIUNA BC2B SP (BSINBC2B), na SE IBIUNA</t>
  </si>
  <si>
    <t>Substituição do registrador de perturbações digital do  RTL CR 500 kV 382 MVAr IBIUNA BC2B SP  (BSINBC2B), na SE IBIUNA</t>
  </si>
  <si>
    <t>Substituição dos sistemas de proteção de falha de disjutor do DJ22F2, na SE IBIUNA</t>
  </si>
  <si>
    <t>Substituição do sistema de teleproteção primário digital da LT 500 kV IBIUNA /BATEIAS C1, na SE IBIUNA</t>
  </si>
  <si>
    <t>Substituição do sistema de teleproteção alternado OPLAT, incluindo as bobinas de bloqueio, da LT 500 kV IBIUNA /BATEIAS C1, na SE IBIUNA</t>
  </si>
  <si>
    <t>Substituição do sistema de teleproteção primário digital da LT 500 kV IBIUNA /BATEIAS C2, na SE IBIUNA</t>
  </si>
  <si>
    <t>Substituição do sistema de teleproteção alternado OPLAT, incluindo as bobinas de bloqueio, da LT 500 kV IBIUNA /BATEIAS C2, na SE IBIUNA</t>
  </si>
  <si>
    <t>Substituição do Banco de Capacitor de Série BC1A (BSINBC1A) 500kV,  127,5MVAr, fase B, arranjo DJM, na SE IBIUNA</t>
  </si>
  <si>
    <t>Substituição do Banco de Capacitor de Série BC1A (BSINBC1A) 500kV,  127,5MVAr, fase C, arranjo DJM, na SE IBIUNA</t>
  </si>
  <si>
    <t>Substituição do Banco de Capacitor de Série BC2A (BSINBC2A) 500kV,  127,5MVAr, fase B, arranjo DJM, na SE IBIUNA</t>
  </si>
  <si>
    <t>Substituição do Banco de Capacitor de Série BC2A (BSINBC2A) 500kV, 127,5MVAr, fase C, arranjo DJM, na SE IBIUNA</t>
  </si>
  <si>
    <t>TAP.2025.228</t>
  </si>
  <si>
    <t>Substituição do Para-Raio IZPR7-01 500kV, fase A, arranjo DJM, associado ao RT4, na SE IMPERATRIZ</t>
  </si>
  <si>
    <t>Substituição do Para-Raio IZPR7-01 500kV, fase B, arranjo DJM, associado ao RT4, na SE IMPERATRIZ</t>
  </si>
  <si>
    <t>Substituição do Para-Raio IZPR7-01 500kV, fase V, arranjo DJM, associado ao RT4, na SE IMPERATRIZ</t>
  </si>
  <si>
    <t>Substituição da Seccionadora IZSR7-04 500kV, arranjo DJM, associado ao RT4, na SE IMPERATRIZ</t>
  </si>
  <si>
    <t>TAP.2025.335</t>
  </si>
  <si>
    <t>Substituição do Para-raio (IZPR7-01-A) 500kV, fase A, arranjo DJM, associado ao RT14 na SE IMPERATRIZ.</t>
  </si>
  <si>
    <t>Substituição do Para-raio (IZPR7-01-B) 500kV, fase B, arranjo DJM, associado ao RT14 na SE IMPERATRIZ.</t>
  </si>
  <si>
    <t>Substituição do Para-raio (IZPR7-01-C) 500kV, fase C arranjo DJM, associado ao RT14 na SE IMPERATRIZ.</t>
  </si>
  <si>
    <t>Substituição da Seccionadora (IZSR2-01) 13,8kV, arranjo BS, associado ao RT14 na SE IMPERATRIZ.</t>
  </si>
  <si>
    <t>Substituição do SPCS (IZSPRRE) 500kV, associado ao RT14 na SE IMPERATRIZ.</t>
  </si>
  <si>
    <t>Substituição do SPCS (IZSPRDJ) 500kV, associado ao RT14 na SE IMPERATRIZ.</t>
  </si>
  <si>
    <t>TAP.2025.333</t>
  </si>
  <si>
    <t>Substituição do SPCS (IZSPRRE) 500kV, associado ao RT11, na SE IMPERATRIZ.</t>
  </si>
  <si>
    <t>Substituição do Para-Raios (IZPR701-A) 500kV, fase A, arranjo DJM, associado ao RT11, na SE IMPERATRIZ.</t>
  </si>
  <si>
    <t>Substituição da Seccionadora (IZSD736) 500kV, arranjo BS, associado ao RT11, na SE IMPERATRIZ.</t>
  </si>
  <si>
    <t>Substituição do SPCS (IZSPRDJ) 500kV, associado ao RT11, na SE IMPERATRIZ.</t>
  </si>
  <si>
    <t>TAP.2024.078</t>
  </si>
  <si>
    <t>Substituição do SPCS (IZSPRRE) 500kV, associado ao RT12, na SE IMPERATRIZ.</t>
  </si>
  <si>
    <t>Substituição do Para-Raios (IZPR701-B) 500kV, fase B, arranjo DJM, associado ao RT12, na SE IMPERATRIZ.</t>
  </si>
  <si>
    <t>Substituição do Para-Raios (IZPR701-V) 500kV, fase V, arranjo DJM, associado ao RT12, na SE IMPERATRIZ.</t>
  </si>
  <si>
    <t>Substituição da Seccionadora (IZSR712) 500kV, arranjo DJM, associado ao RT12, na SE IMPERATRIZ.</t>
  </si>
  <si>
    <t>TAP.2023.130</t>
  </si>
  <si>
    <t>Substituição de Seccionadora com lâmina de Terra IZCA7-05 500 kV, arranjo DJM, associada à EL MARABA C1, na SE IMPERATRIZ</t>
  </si>
  <si>
    <t>TAP.2023.070</t>
  </si>
  <si>
    <t>Substituição do Disjuntor (11T2) 13,8 kV, arranjo BS, associado ao TR2, na SE IRECE</t>
  </si>
  <si>
    <t>Substituição do Reator Limitador de Corrente Monofásico  RLCC (01E2-L.B) 13,8kV, 0,66MVAr, fase B, na SE IRECE.</t>
  </si>
  <si>
    <t>Substituição do Reator Limitador de Corrente Monofásico RLCC  (01E2-L.C) 13.8 kV, 0,66MVAr, fase C, na SE IRECE.</t>
  </si>
  <si>
    <t>Substituição do Para-raio (71T2.A) 13,8 kV, arranjo BS, associado ao TR2, na SE IRECE</t>
  </si>
  <si>
    <t>Substituição do Reator Limitador de Corrente Monofásico RLCC (01E2-L.A) 13,8kV, 0,66MVAr, fase A, na SE IRECE</t>
  </si>
  <si>
    <t>Substituição do Para-raio (71T2.C) 13,8 kV, arranjo BS, associado ao TR2, na SE IRECE</t>
  </si>
  <si>
    <t>Substituição do Para-raio (71T2.B) 13,8 kV, arranjo B5, associado ao TR2, na SE IRECE</t>
  </si>
  <si>
    <t>TAP.2025.264</t>
  </si>
  <si>
    <t>Substituição do Reator de Linha Trifásico RTR1 (04ER) 230 kV, 5MVAr, na SE IRECE</t>
  </si>
  <si>
    <t>TAP.2025.340</t>
  </si>
  <si>
    <t>Substituição do Para-raio (76T7.A) 6,9kV, arranjo BS, associado ao TR7, na SE IRECE.</t>
  </si>
  <si>
    <t>Substituição do Para-raio (71T8.B) 13,8kV, arranjo BS, associado ao TR7, na SE IRECE.</t>
  </si>
  <si>
    <t>Substituição da Seccionadora (31T9-8) 13,8kV, arranjo BS, associado ao TR7, na SE IRECE.</t>
  </si>
  <si>
    <t>Substituição do Para-raio (71T7.B) 13,8kV, arranjo BS, associado ao TR7, na SE IRECE.</t>
  </si>
  <si>
    <t>Substituição do Para-raio (71T7.A) 13,8kV, arranjo BS, associado ao TR7, na SE IRECE.</t>
  </si>
  <si>
    <t>Substituição do Para-raio (74T7.A) 230kV, arranjo BD5, associado ao TR7, na SE IRECE</t>
  </si>
  <si>
    <t>Substituição do Para-raio (76T7.B) 6,9kV, arranjo BS, associado ao TR7, na SE IRECE.</t>
  </si>
  <si>
    <t>Substituição do Para-raio (76T7.C) 6,9 kV, arranjo BS, associado ao TR7, na SE IRECE.</t>
  </si>
  <si>
    <t>Substituição do Para-raio (74T7.B ) 230kV, arranjo BD5, associado ao TR7, na SE IRECE.</t>
  </si>
  <si>
    <t>Substituição do Para-raio (71T7.C ) 13,8kV, arranjo BS, associado ao TR7, na SE IRECE.</t>
  </si>
  <si>
    <t>TAP.2025.250</t>
  </si>
  <si>
    <t>Substituição do Transformador Regulador de Potência TREG2 (02R2) 69/69kV, 40 MVA, na IRECE</t>
  </si>
  <si>
    <t>Transformador Regulador</t>
  </si>
  <si>
    <t>Substituição do Transformador Trifásico TR7 (04T7) 230/13,8/6,9kV, 40 MVA, na SE IRECE.</t>
  </si>
  <si>
    <t>TAP.2023.071</t>
  </si>
  <si>
    <t>Substituição do sistema de supervisão, controle e proteção (principal e alternada) associado ao módulo de conexão do reator RT1 (RE1- DJ1072) na SE ITA</t>
  </si>
  <si>
    <t>Substituição do sistema de supervisão, controle do módulo de entrada de linha NSR C1(DJ 1062) na SE ITA</t>
  </si>
  <si>
    <t>Substituição do sistema de supervisão, controle do módulo de entrada de linha Machadinho (DJ 1112) na SE ITA</t>
  </si>
  <si>
    <t>TAP.2025.271</t>
  </si>
  <si>
    <t>Substituição do Transformador de Corrente TC (92T2-B) 69 kV, arranjo BPT, fase B, associado ao TR2, na SE ITABAIANINHA</t>
  </si>
  <si>
    <t>Substituição do Transformador de Corrente TC (92T2.A) 69 kV, arranjo BPT, fase A, associado ao TR2 , na SE ITABAIANINHA</t>
  </si>
  <si>
    <t>Substituição do SPCS 230kV, associado ao TR2, na SE ITABAIANINHA</t>
  </si>
  <si>
    <t>Substituição do SPCS 69 kV, associado ao TR2, na SE ITABAIANINHA</t>
  </si>
  <si>
    <t>Substituição do Transformador TR2 (04T2) 230/69/13,8 kV, 39MVA, na SE ITABAIANINHA</t>
  </si>
  <si>
    <t>TAP.2025.203</t>
  </si>
  <si>
    <t>TAP.2025.204</t>
  </si>
  <si>
    <t>Substituição da Seccionadora SC851 345kV, arranjo BD5, associado ao TR49, na SE ITUMBIARA.</t>
  </si>
  <si>
    <t>Substituição da Seccionadora SC853 345kV, arranjo BD5, associado ao TR49, na SE ITUMBIARA.</t>
  </si>
  <si>
    <t>Substituição da Seccionadora SC855 345kV, arranjo BD5, associado ao TR49, na SE ITUMBIARA.</t>
  </si>
  <si>
    <t>Substituição da Seccionadora SC857 345kV, arranjo BD5, associado ao TR49, na SE ITUMBIARA.</t>
  </si>
  <si>
    <t>Substituição da Seccionadora SC859 345kV, arranjo BD5, associado ao TR49, na SE ITUMBIARA.</t>
  </si>
  <si>
    <t>TAP.2025.248</t>
  </si>
  <si>
    <t>Substituição da Seccionadora SC7341 230kV, arranjo BD5, associado à EL RIO VERDE FUR C2, na SE ITUMBIARA</t>
  </si>
  <si>
    <t>Substituição da Seccionadora SC7343 230kV, arranjo BD5, associado à EL RIO VERDE FUR C2, na SE ITUMBIARA</t>
  </si>
  <si>
    <t>Substituição da Seccionadora SC7345 230kV, arranjo BD5, associado à EL RIO VERDE FUR C2, na SE ITUMBIARA</t>
  </si>
  <si>
    <t>Substituição da Seccionadora SC7347 230kV, arranjo BD5, associado à EL RIO VERDE FUR C2, na SE ITUMBIARA</t>
  </si>
  <si>
    <t>Substituição da Seccionadora SC7349 230kV, arranjo BD5, associado à EL RIO VERDE FUR C2, na SE ITUMBIARA</t>
  </si>
  <si>
    <t>Substituição do Transformador de Corrente TC LTIMRV2 230kV, fase A, arranjo BD5, associado à EL RIO VERDE FUR C2, na SE ITUMBIARA</t>
  </si>
  <si>
    <t>Substituição do Transformador de Corrente TC LTIMRV2 230kV, fase B, arranjo BD5,associado à EL RIO VERDE FUR C2, na SE ITUMBIARA</t>
  </si>
  <si>
    <t>Substituição do Transformador de Corrente TC LTIMRV2 230kV, fase C, arranjo BD5, associado à EL RIO VERDE FUR C2, na SE ITUMBIARA</t>
  </si>
  <si>
    <t>TAP.2025.209</t>
  </si>
  <si>
    <t>Substituição da Seccionadora SC7321 230kV, arranjo BD5, associado à EL RIO VERDE FUR C1, na SE ITUMBIARA.</t>
  </si>
  <si>
    <t>Substituição da Seccionadora SC7323 230kV, arranjo BD5, associado à EL RIO VERDE FUR C1, na SE ITUMBIARA.</t>
  </si>
  <si>
    <t>Substituição da Seccionadora SC7325 230kV, arranjo BD5, associado à EL RIO VERDE FUR C1, na SE ITUMBIARA.</t>
  </si>
  <si>
    <t>Substituição da Seccionadora SC7327 230kV, arranjo BD5, associado à EL RIO VERDE FUR C1, na SE ITUMBIARA.</t>
  </si>
  <si>
    <t>Substituição da Seccionadora SC7329 230kV, arranjo BD5, associado à EL RIO VERDE FUR C1, na SE ITUMBIARA.</t>
  </si>
  <si>
    <t>Substituição do Transformador de Corrente TC LTIMRV1  230kV, fase B, arranjo BD5, associado à EL RIO VERDE FUR C1, na SE ITUMBIARA.</t>
  </si>
  <si>
    <t>Substituição do Transformador de Corrente TC LTIMRV1 230kV, fase C, arranjo BD5, associado à EL RIO VERDE FUR C1, na SE ITUMBIARA.</t>
  </si>
  <si>
    <t>Substituição do Transformador de Potencial DCP LTIMRV1 230kV, fase A, arranjo BD5, associado à EL RIO VERDE FUR C1, na SE ITUMBIARA.</t>
  </si>
  <si>
    <t>Substituição do Transformador de Potencial  DCP LTIMRV1 230kV, fase C, arranjo BD5, associado à EL RIO VERDE FUR C1, na SE ITUMBIARA.</t>
  </si>
  <si>
    <t>Substituição do Para-raios (PR LTIMRV2 UHITB) 230kV, fase A, arranjo BD5, associado à associado à EL RIO VERDE FUR C2, na SE ITUMBIARA</t>
  </si>
  <si>
    <t>Substituição do Para-raios (PR LTIMRV2 UHITB) 230kV, fase B, arranjo BD5, associado à EL RIO VERDE FUR C2, na SE ITUMBIARA</t>
  </si>
  <si>
    <t>Substituição do Para-raios (PR LTIMRV2 UHITB) 230kV, fase C, arranjo BD5, associado à EL RIO VERDE FUR C2, na SE ITUMBIARA</t>
  </si>
  <si>
    <t>TAP.2025.501</t>
  </si>
  <si>
    <t>Substituição do Transformador de Potencial TP LTIMCL 345kV, fase A, arranjo BD5, associado à EL PORTO COLOMBIA C1, na  SE ITUMBIARA.</t>
  </si>
  <si>
    <t>Substituição do Transformador de Potencial TP LTIMCL 345kV, fase B, arranjo BD5, associado à EL PORTO COLOMBIA C1, na  SE ITUMBIARA.</t>
  </si>
  <si>
    <t>Substituição do Transformador de Potencial TP LTIMCL 345kV, fase C, arranjo BD5, associado à EL PORTO COLOMBIA C1, na  SE ITUMBIARA.</t>
  </si>
  <si>
    <t>Substituição dos sistemas de proteção (BSIMRV1) do CR 230 kV 33,9 Mvar, associado ao BC1 na SE ITUMBIARA.</t>
  </si>
  <si>
    <t>Substituição do registrador de perturbações digital  (BSIMRV1) do CR 230 kV 33,9 Mvar, associado ao BC1 na SE ITUMBIARA.</t>
  </si>
  <si>
    <t>Substituição dos sistemas de proteção  (BSIMRV2) do CR 230 kV 183 Mvar, associado BC2, na SE ITUMBIARA</t>
  </si>
  <si>
    <t>Substituição do registrador de perturbações digital (BSIMRV2) do CR 230 kV 183 Mvarr, associado BC2, na SE ITUMBIARA</t>
  </si>
  <si>
    <t>Substituição da UAC19 SINOCON 345kV de supervisão de Banco de transformadores, associado ao TR49, na SE ITUMBIARA.</t>
  </si>
  <si>
    <t>Substituição da UAC20 SINOCON 500KV de supervisão de Banco de transformadores, associado ao TR49, na SE ITUMBIARA.</t>
  </si>
  <si>
    <t>Substituição da MACH2 de supervisão de Banco de Capacitores Série 230kV, associado a EL RIO VERDE C1, na SE ITUMBIARA.</t>
  </si>
  <si>
    <t>Substituição da DEAL de supervisão de Banco de Capacitores Séria (BSIMRV2) 230KV, associado à RIO VERDE FUR C2, na SE ITUMBIARA</t>
  </si>
  <si>
    <t>TAP.2025.313</t>
  </si>
  <si>
    <t>TAP.2025.354</t>
  </si>
  <si>
    <t>TAP.2025.307</t>
  </si>
  <si>
    <t>Substituição do SPCS (JPSPRPR) 230kV, associado ao RT1, na SE JI-PARANA.</t>
  </si>
  <si>
    <t>TAP.2025.306</t>
  </si>
  <si>
    <t>Substituição da Banco de Capacitor Derivação BC2 (JPBC6-02) 230KV, 18,5MVAR, arranjo BD3, na SE JI-PARANA.</t>
  </si>
  <si>
    <t>TAP.2025.305</t>
  </si>
  <si>
    <t>Substituição da Banco de Capacitor Derivação BC1 (JPBC6-01) 230KV, 18,5MVAR, arranjo BD3, na SE JI-PARANA.</t>
  </si>
  <si>
    <t>Substituição da Transformador de Potencial (JPTP2-01 - A) 230 KV, fase A, arranjo BD3, associado ao BC1, na SE JI-PARANA.</t>
  </si>
  <si>
    <t>Substituição da Transformador de Potencial (JPTP2-01 - B) 230 KV, fase B, arranjo BD3, associado ao BC1, na SE JI-PARANA.</t>
  </si>
  <si>
    <t>Substituição da Transformador de Potencial (JPTP2-01 - C) 230 KV, fase C, arranjo BD3, associado ao BC1, na SE JI-PARANA.</t>
  </si>
  <si>
    <t>Substituição da Para-Raios (JPPR6-01-A) 230kV, fase A, arranjo BD4, associado ao RT1, na SE JI-PARANA</t>
  </si>
  <si>
    <t>Substituição da Para-Raios (JPPR6-01-B) 230kV, fase B, arranjo BD4, associado ao RT1, na SE JI-PARANA.</t>
  </si>
  <si>
    <t>Substituição da Para-Raios (JPPR6-01-C) 230kV, fase C, arranjo BD4, associado ao RT1, na SE JI-PARANA.</t>
  </si>
  <si>
    <t>Substituição da Seccionadora (JPSR6-01) 230kV, arranjo BD4, associada ao RT1, na SE JI-PARANA.</t>
  </si>
  <si>
    <t>TAP.2023.132</t>
  </si>
  <si>
    <t>Substituição das proteções Principal, Alternada e Falha de Disjuntor, referentes a LT 230 kV Curitiba - Joinville Norte C-1, incluindo painéis e cabos de controle e potência associados, na SE JOINVILLE NORTE</t>
  </si>
  <si>
    <t>Substituição do sistema de controle e supervisão (com unidade redundante) da LT 230 kV Curitiba - Joinville Norte C-1, incluindo painéis e cabos de controle e potência associados, na SE JOINVILLE NORTE</t>
  </si>
  <si>
    <t>TAP.2025.389</t>
  </si>
  <si>
    <t>TAP.2023.002</t>
  </si>
  <si>
    <t>Substituição da proteção principal contra falha de disjuntor (DJ 862) 230 kV,  associado ao TR3, na SE LONDRINA ESU</t>
  </si>
  <si>
    <t>Substituição da proteção principal contra falha de disjuntor (DJ 1052) 500 kV,  associado ao TR3, na SE LONDRINA ESU</t>
  </si>
  <si>
    <t>Substituição dos sistemas de supervisão e controle 230 kV, associado ao TR3, na SE LONDRINA ESU</t>
  </si>
  <si>
    <t>Substituição dos painéis de distribuição de 48 Vcc, na SE LONDRINA ESU</t>
  </si>
  <si>
    <t>Serviços Auxiliares</t>
  </si>
  <si>
    <t>Substituição dos painéis de distribuição de 125 Vcc, na SE LONDRINA ESU</t>
  </si>
  <si>
    <t>Substituição da UAC que supervisiona os serviços auxiliares, na SE LONDRINA ESU</t>
  </si>
  <si>
    <t>Substituição dos sistemas de supervisão e controle da IB 230 kV incluindo a proteção Falha de Disjuntor,  na SE LONDRINA ESU</t>
  </si>
  <si>
    <t>Substituição do sistema de supervisão e controle 500 kV, associado ao TR3, na SE LONDRINA ESU</t>
  </si>
  <si>
    <t>TAP.2025.386</t>
  </si>
  <si>
    <t>Substituição da seccionadora (MBSB6-21) 230kV, arranjo BD4, associado ao TF3, na SE MARABA</t>
  </si>
  <si>
    <t>TAP.2025.229</t>
  </si>
  <si>
    <t>Substituição do Transformador Trifásico MBAT2-01 13,8/13,8kV, 41,8MVA, arranjo BS, associado ao Compensador Síncrono CS1, na SE MARABA</t>
  </si>
  <si>
    <t>Substituição do Transformador de Corrente CS201-MC13-AT201-MBTC201 13,8kV, fase A, arranjo BS, associado ao Compensador Síncrono CS1, na SE MARABA</t>
  </si>
  <si>
    <t>Substituição do Transformador de Corrente CS201-MC13-AT201-MBTC201 13,8kV, fase B, arranjo BS, associado ao Compensador Síncrono CS1, na SE MARABA</t>
  </si>
  <si>
    <t>Substituição do Transformador de Corrente CS201-MC13-AT201-MBTC201 13,8kV, fase V, arranjo BS, associado ao Compensador Síncrono CS1, na SE MARABA</t>
  </si>
  <si>
    <t>Substituição do Transformador de Corrente CS201-MC13-AT201-MBTC202 13,8kV, fase A, arranjo BS, associado ao Compensador Síncrono CS1, na SE MARABA</t>
  </si>
  <si>
    <t>Substituição do Transformador de Corrente CS201-MC13-AT201-MBTC202 13,8kV, fase B, arranjo BS, associado ao Compensador Síncrono CS1, na SE MARABA</t>
  </si>
  <si>
    <t>Substituição do Transformador de Corrente CS201-MC13-AT201-MBTC202 13,8kV, fase V, arranjo BS, associado ao Compensador Síncrono CS1, na SE MARABA</t>
  </si>
  <si>
    <t>Substituição do Transformador de Corrente CS201-MC13-AT201-MBTC203 13,8kV, fase A, arranjo BS, associado ao Compensador Síncrono CS1, na SE MARABA</t>
  </si>
  <si>
    <t>Substituição do Transformador de Corrente CS201-MC13-AT201-MBTC203 13,8kV, fase B, arranjo BS, associado ao Compensador Síncrono CS1, na SE MARABA</t>
  </si>
  <si>
    <t>Substituição do Transformador de Corrente CS201-MC13-AT201-MBTC203 13,8kV, fase V, arranjo BS, associado ao Compensador Síncrono CS1, na SE MARABA</t>
  </si>
  <si>
    <t>TAP.2025.230</t>
  </si>
  <si>
    <t>Substituição do Transformador Monofásico MBTF2-01 13,8/0,44 kV, 0,79 MVA, fase A, arranjo BS, associado ao Compensador Síncrono CS1, na SE MARABA</t>
  </si>
  <si>
    <t>Substituição do Transformador Monofásico MBTF2-01 13,8/0,44 kV, 0,79 MVA, fase B, arranjo BS, associado ao Compensador Síncrono CS1, na SE MARABA</t>
  </si>
  <si>
    <t>Substituição do Transformador Monofásico MBTF2-01 13,8/0,44 kV, 0,79 MVA, fase V, arranjo BS, associado ao Compensador Síncrono CS1, na SE MARABA</t>
  </si>
  <si>
    <t>Substituição do Reator Limitador de Corrente Monofásico MBRL202 13,8kV, fase A, associado ao Compensador Síncrono CS1, na SE MARABA</t>
  </si>
  <si>
    <t>Substituição do Reator Limitador de Corrente Monofásico MBRL202 13,8kV, fase B, associado ao Compensador Síncrono CS1, na SE MARABA</t>
  </si>
  <si>
    <t>Substituição do Reator Limitador de Corrente Monofásico MBRL202 13,8kV, fase V, associado ao Compensador Síncrono CS1, na SE MARABA</t>
  </si>
  <si>
    <t>Substituição do Transformador de Corrente CS201-MC13-TF201-MBTC201 13,8kV, fase A, arranjo BS, associado ao Compensador Síncrono CS1, na SE MARABA</t>
  </si>
  <si>
    <t>Substituição do Transformador de Corrente CS201-MC13-TF201-MBTC201 13,8kV, fase B, arranjo BS, associado ao Compensador Síncrono CS1, na SE MARABA</t>
  </si>
  <si>
    <t>Substituição do Transformador de Corrente CS201-MC13-TF201-MBTC201 13,8kV, fase V, arranjo BS, associado ao Compensador SíncronoCS1, na SE MARABA</t>
  </si>
  <si>
    <t>Substituição do Transformador de Corrente CS201-MC13-TF201-MBTC202 13,8kV, fase A, arranjo BS, associado ao Compensador Síncrono CS1, na SE MARABA</t>
  </si>
  <si>
    <t>Substituição do Transformador de Corrente CS201-MC13-TF201-MBTC202 13,8kV, fase B, arranjo BS, associado ao Compensador Síncrono CS1, na SE MARABA</t>
  </si>
  <si>
    <t>Substituição do Transformador de Corrente CS201-MC13-TF201-MBTC202 13,8kV, fase V, arranjo BS, associado ao Compensador Síncrono CS1, na SE MARABA</t>
  </si>
  <si>
    <t>TAP.2025.231</t>
  </si>
  <si>
    <t>Substituição do Transformador de Potencial MBTP2-01 230kV, fase A, arranjo BD5, associado ao TF1, na SE MARABA</t>
  </si>
  <si>
    <t>Substituição do Transformador de Potencial MBTP2-01 230kV, fase B, arranjo BD5, associado ao TF1, na SE MARABA</t>
  </si>
  <si>
    <t>Substituição do Transformador de Potencial MBTP2-01 230kV, fase V, arranjo BD5, associado ao TF1, na SE MARABA</t>
  </si>
  <si>
    <t>Substituição da Seccionadora MBSB6-03 230KV, arranjo BD5, associado ao TF1, na SE MARABA</t>
  </si>
  <si>
    <t>Substituição da Seccionadora MBSB6-04 230KV, arranjo BD5, associado ao TF1, na SE MARABA</t>
  </si>
  <si>
    <t>Substituição da Seccionadora MBSD6-03 230KV, arranjo BD5, associado ao TF1, na SE MARABA</t>
  </si>
  <si>
    <t>Substituição da Seccionadora MBSD6-04 230KV, arranjo BD5, associado ao TF1, na SE MARABA</t>
  </si>
  <si>
    <t>Substituição da Seccionadora com lamina de terra (MBSY6-02/MBCA6-04) 230KV, arranjo BD5, associado ao TF1, na SE MARABA</t>
  </si>
  <si>
    <t>Substituição do SPCS MBSPRTF 230KV, associado ao TF1, na SE MARABA</t>
  </si>
  <si>
    <t>Substituição do Transformador de Corrente CS201-MC230-MBTC601 230KV, fase A, arranjo BD5, associado ao TF1, na SE MARABA</t>
  </si>
  <si>
    <t>Substituição do Transformador de Corrente CS201-MC230-MBTC601 230KV, fase B, arranjo BD5, associado ao TF1, na SE MARABA</t>
  </si>
  <si>
    <t>Substituição do Transformador de Corrente CS201-MC230-MBTC601 230KV, fase V, arranjo BD5, associado ao TF1, na SE MARABA</t>
  </si>
  <si>
    <t>Substituição da seccionadora (MBSB6-22) 230kV, arranjo BD4, associado ao TF3, na SE MARABA</t>
  </si>
  <si>
    <t>Substituição da seccionadora (MBSD6-23) 230kV, arranjo BD4, associado ao TF3, na SE MARABA</t>
  </si>
  <si>
    <t>Substituição da seccionadora (MBSD6-24) 230kV, arranjo BD4, associado ao TF3, na SE MARABA</t>
  </si>
  <si>
    <t>Substituição da seccionadora (MBSY6-11) 230kV, arranjo BD4, associado ao TF3, na SE MARABA</t>
  </si>
  <si>
    <t>TAP.2025.325</t>
  </si>
  <si>
    <t>Substituição de Para-Raios 500kV, fase A, arranjo DJM, associado à EL IMPERATRIZ C1, na SE MARABA.</t>
  </si>
  <si>
    <t>Substituição de Para-Raios 500kV, fase B, arranjo DJM, associado à EL IMPERATRIZ C1, na SE MARABA.</t>
  </si>
  <si>
    <t>Substituição de Para-Raios 500kV, fase C, arranjo DJM, associado à EL IMPERATRIZ C1, na SE MARABA.</t>
  </si>
  <si>
    <t>Substituição de Transformador de Potencial Capacitivo 500kV, fase A, arranjo DJM, associado à EL IMPERATRIZ C1, na SE MARABA.</t>
  </si>
  <si>
    <t>Substituição de Transformador de Potencial Capacitivo 500kV, fase B, arranjo DJM, associado à EL IMPERATRIZ C1, na SE MARABA.</t>
  </si>
  <si>
    <t>Substituição de Transformador de Potencial Capacitivo 500 kV, fase C, arranjo DJM, associado à EL IMPERATRIZ C1, na SE MARABA.</t>
  </si>
  <si>
    <t>Substituição do Disjuntor (MBDJ6-11) 230kV, arranjo BD4, associado ao TF3, na SE MARABA</t>
  </si>
  <si>
    <t>Substituição do Transformador de corrente TF603-MC230-MBTC601 230kV, fase A, arranjo BD4, associado ao TF3 , na SE MARABA</t>
  </si>
  <si>
    <t>Substituição do Transformador de corrente TF603-MC230-MBTC601 230kV, fase B, arranjo BD4, associado ao TF3 , na SE MARABA</t>
  </si>
  <si>
    <t>Substituição do Transformador de corrente TF603-MC230-MBTC601 230kV, fase C, arranjo BD4, associado ao TF3 , na SE MARABA</t>
  </si>
  <si>
    <t>Substituição do Para-raios ( MBTF6-03-A) 230kV, fase A, arranjo BD4, associado ao TF3 , na SE MARABA</t>
  </si>
  <si>
    <t>Substituição do Para-raios ( MBTF6-03-B) 230kV, fase B, arranjo BD4, associado ao TF3 , na SE MARABA</t>
  </si>
  <si>
    <t>Substituição do Para-raios ( MBTF6-03-C) 230kV, fase C, arranjo BD4, associado ao TF3 , na SE MARABA</t>
  </si>
  <si>
    <t>Substituição dos painéis de SPCS ( MBTF6-03) 230kV, associado ao TF3, na SE MARABA</t>
  </si>
  <si>
    <t>Substituição da seccionadora (MBSD4-09) 69kV, arranjo BPT, associado ao TF3, na SE MARABA</t>
  </si>
  <si>
    <t>Substituição da seccionadora (MBSD4-10) 69kV, arranjo BPT, associado ao TF3, na SE MARABA</t>
  </si>
  <si>
    <t>Substituição da seccionadora (MBSY4-04) 69kV, arranjo BPT, associado ao TF3, na SE MARABA</t>
  </si>
  <si>
    <t>Substituição do Transformador de correnteTF603-MC69-MBTC401 69kV, fase A, arranjo BPT, associado ao TF3 , na SE MARABA</t>
  </si>
  <si>
    <t>Substituição do Transformador de corrente TF603-MC69-MBTC401 69kV, fase B, arranjo BPT, associado ao TF3 , na SE MARABA</t>
  </si>
  <si>
    <t>Substituição do Transformador de corrente TF603-MC69-MBTC401 69kV, fase C, arranjo BPT, associado ao TF3 , na SE MARABA</t>
  </si>
  <si>
    <t>Substituição do Para-raios (MBTF6-03-A) 69kV, fase A, arranjo BPT, associado ao TF3, na SE MARABA</t>
  </si>
  <si>
    <t>Substituição do Para-raios (MBTF6-03-B) 69kV, fase B, arranjo BPT, associado ao TF3, na SE MARABA</t>
  </si>
  <si>
    <t>Substituição do Para-raios (MBTF6-03-C) 69kV, fase C, arranjo BPT, associado ao TF3, na SE MARABA</t>
  </si>
  <si>
    <t>Substituição dos painéis de SPCS ( MBTF6-03) 69kV,  associado ao TF3, na SE MARABA</t>
  </si>
  <si>
    <t>TAP.2025.278</t>
  </si>
  <si>
    <t>Substituição do Transformador Trifásico Reserva TRR1 (04TR) 230/13,8/13,8 kV, 40MVA,  na SE MATATU</t>
  </si>
  <si>
    <t>TAP.2025.336</t>
  </si>
  <si>
    <t>Substituição do Transformador de Corrente (MCTC501) 138kV, fase A, associado ao TF1 138/13,8kV na SE MIRACEMA.</t>
  </si>
  <si>
    <t>Substituição do Transformador de Corrente (MCTC501) 138kV, fase B, associado ao TF1 138/13,8kV na SE MIRACEMA.</t>
  </si>
  <si>
    <t>Substituição do Transformador de Corrente (MCTC501) 138kV, fase V, associado ao TF1 138/13,8kV na SE MIRACEMA.</t>
  </si>
  <si>
    <t>TAP.2025.337</t>
  </si>
  <si>
    <t>Substituição do SPCS (MRSPRRE) 230kV, associado ao RT1, na SE MIRANDA II.</t>
  </si>
  <si>
    <t>Substituição do Para-raios (MRPR601) 230kV, fase A, arranjo BD4, associado ao RT1, na SE MIRANDA II.</t>
  </si>
  <si>
    <t>Substituição do Para-raios (MRPR601) 230kV, fase B, arranjo BD4, associado ao RT1, na SE MIRANDA II.</t>
  </si>
  <si>
    <t>Substituição do Para-raios (MRPR601) 230kV, fase V, arranjo BD4, associado ao RT1, na SE MIRANDA II</t>
  </si>
  <si>
    <t>Substituição do SPCS (MRSPRDJ) 230kV, associado ao RT1, na SE MIRANDA II</t>
  </si>
  <si>
    <t>TAP.2025.338</t>
  </si>
  <si>
    <t>Substituição do SPCS (MRSPRRE) 230kV, associado ao RT2, na SE MIRANDA II.</t>
  </si>
  <si>
    <t>Substituição do SPCS (MRSPRDJ) 230kV, associado ao RT2, na SE MIRANDA II.</t>
  </si>
  <si>
    <t>TAP.2025.369</t>
  </si>
  <si>
    <t>Subsituição de Transformador Trifásico TR1 (04T1) 230/69 kV, 100 MVA, arranjo BPT, na SE MUSSURE II</t>
  </si>
  <si>
    <t>TAP.2025.370</t>
  </si>
  <si>
    <t>Substituição de Transformador Trifásico TR3 (04T3) 230/69 kV, 100 MVA, arranjo BPT, na SE MUSSURE II</t>
  </si>
  <si>
    <t>TAP.2025.384</t>
  </si>
  <si>
    <t>Substituição de Reator de Linha Monofásico RT2 (04E2) 230 kV, 3,3MVAr, fase A, na SE NATAL II.</t>
  </si>
  <si>
    <t>Substituição de Reator de Linha Monofásico RT2 (04E2) 230 kV, 3,3MVAr, fase B, na SE NATAL II.</t>
  </si>
  <si>
    <t>Substituição de Reator de Linha Monofásico RT2 (04E2) 230 kV, 3,3MVAr, fase C, na SE NATAL II.</t>
  </si>
  <si>
    <t>Substituição do SPCS 230kV, associado ao RT2, na SE NATAL II</t>
  </si>
  <si>
    <t>TAP.2024.094</t>
  </si>
  <si>
    <t>Substituição de Transformador de Corrente 94N1-A, 230kV, arranjo BPT, na SE NATAL II.</t>
  </si>
  <si>
    <t>Substituição de Transformador de Corrente 94N1-B, 230kV, arranjo BPT, na SE NATAL II.</t>
  </si>
  <si>
    <t>Substituição de Transformador de Corrente 94N1-C, 230kV, arranjo BPT, na SE NATAL II.</t>
  </si>
  <si>
    <t>TAP.2025.267</t>
  </si>
  <si>
    <t>Substituição do Transformador Trifásico TR1 (04T1) 230/13,8 kV, 40MVA na SE OLINDINA</t>
  </si>
  <si>
    <t>Substituição do Disjuntor (14T1-A) 230 kV, arranjo BS, associado ao TR1, na SE OLINDINA</t>
  </si>
  <si>
    <t>Substituição do Transformador de Corrente TC (91T1.B) 13,8 kV, arranjo BS, associado ao TR1, na SE OLINDINA</t>
  </si>
  <si>
    <t>Substituição do Para-raio (71T1.A ) 13,8 kV, fase A, arranjo BS, associado ao TR1, na SE OLINDINA</t>
  </si>
  <si>
    <t>Substituição do Para-raio (71T1.B ) 13,8 kV, fase B, arranjo BS, associado ao TR1, na SE OLINDINA</t>
  </si>
  <si>
    <t>Substituição do Para-raio (71T1.C ) 13,8 kV, fase C, arranjo BS, associado ao TR1, na SE OLINDINA</t>
  </si>
  <si>
    <t>Substituição do Transformador de Corrente TC (91T1.C) 13,8 kV, arranjo BS, associado ao TR1, na SE OLINDINA</t>
  </si>
  <si>
    <t>Substituição do SPCS 230kV, associado ao TR1 na SE OLINDINA</t>
  </si>
  <si>
    <t>Substituição do SPCS 13,8kV, associado ao TR1 na SE OLINDINA</t>
  </si>
  <si>
    <t>TAP.2025.287</t>
  </si>
  <si>
    <t>Substituição do Transformador Monofásico TRR1 (05TR.M) 500/230kV, 200MVA, fase Reserva, na SE P.AFONSO IV.</t>
  </si>
  <si>
    <t>Substituição do Transformador Monofásico TR8 (05T8.A) 500/230kV, 200MVA, fase A, na SE P.AFONSO IV.</t>
  </si>
  <si>
    <t>Substituição do Transformador Monofásico TR8 (05T8.B) 500/230kV, 200MVA, fase B, na SE P.AFONSO IV.</t>
  </si>
  <si>
    <t>Substituição do Transformador Monofásico TR8 (05T8.C) 500/230kV, 200MVA, fase C, na SE P.AFONSO IV.</t>
  </si>
  <si>
    <t>Substituição da Seccionadora (35T8-7A) 500kV, arranjo DJM, associado à IB, na SE P.AFONSO IV.</t>
  </si>
  <si>
    <t>Substituição da Seccionadora (35T8-7B) 500kV, arranjo DJM, associado a IB, na SE P.AFONSO IV.</t>
  </si>
  <si>
    <t>Substituição do SPCS 500kV, associado ao TR8, na SE P.AFONSO IV.</t>
  </si>
  <si>
    <t>Substituição do SPCS 230kV, associado ao TR8, na SE P.AFONSO IV.</t>
  </si>
  <si>
    <t>TAP.2025.232</t>
  </si>
  <si>
    <t>Substituição da Seccionadora PDSD725 500kV, arranjo DJM, associado à EL TERESINA II , na SE P.DUTRA</t>
  </si>
  <si>
    <t>Substituição da Seccionadora PDSD726 500kV, arranjo DJM, associado à EL TERESINA II, na SE P.DUTRA</t>
  </si>
  <si>
    <t>Substituição da Seccionadora com lamina de terra (PDSL706/PDCA715) 500kV, arranjo DJM, associado à EL TERESINA II, na SE P.DUTRA</t>
  </si>
  <si>
    <t>Substituição da Seccionadora PDSR708 500kV, arranjo DJM, associado ao RT8, na SE P.DUTRA</t>
  </si>
  <si>
    <t>TAP.2025.233</t>
  </si>
  <si>
    <t>Substituição do Para-Raio PDPR7-01 500kV, fase A, arranjo DJM, associado ao RT9, na SE P.DUTRA</t>
  </si>
  <si>
    <t>Substituição do Para-Raio PDPR7-01 500kV, fase B, arranjo DJM, associado ao RT9, na SE P.DUTRA</t>
  </si>
  <si>
    <t>Substituição do Para-Raio PDPR7-01 500kV, fase V, arranjo DJM, associado ao RT9, na SE P.DUTRA</t>
  </si>
  <si>
    <t>Substituição da Disjuntor PDDJ7-13 500kV, arranjo DJM, associado ao RT9, na SE P.DUTRA</t>
  </si>
  <si>
    <t>Substituição da Seccionadora PDSD7-24 500kV, arranjo DJM, associado ao RT9, na SE P.DUTRA</t>
  </si>
  <si>
    <t>Substituição do Reator de Barra Monofásico RT9 (PDRE7-09 -V) 500KV, 60 MVAr, fase V, na SE P.DUTRA</t>
  </si>
  <si>
    <t>Substituição do Reator de Barra Monofásico RTR1 (PDRE7-09 -R) 500KV, 60 MVAr, fase Reserva, na SE P.DUTRA</t>
  </si>
  <si>
    <t>TAP.2025.339</t>
  </si>
  <si>
    <t>Substituição do Para-raio (PRPR201) 13,8kV, fase A, arranjo BS, associado ao TF1, na SE PERITORO.</t>
  </si>
  <si>
    <t>Substituição do Para-raio (PRPR201) 13,8kV, fase B, arranjo BS, associado ao TF1, na SE PERITORO.</t>
  </si>
  <si>
    <t>Substituição do Para-raio (PRPR201) 13,8kV, fase V, arranjo BS, associado ao TF1, na SE PERITOR.</t>
  </si>
  <si>
    <t>Substituição da Seccionadora (PRSD206 ) 13,8kV, arranjo BS, associado ao TF1, na SE PERITORO.</t>
  </si>
  <si>
    <t>Substituição da Seccionadora (PRSD207 ) 13,8kV, arranjo BS, associado ao TF1, na SE PERITORO.</t>
  </si>
  <si>
    <t>Substituição do SPCS (PRSPRTF) 230kV, associado ao TF1, na SE PERITORO.</t>
  </si>
  <si>
    <t>Substituição da Seccionadora (PRST201) 13,8kV, arranjo BS, associado ao TF1, na SE PERITORO.</t>
  </si>
  <si>
    <t>Substituição do Transformador de Corrente (PRTC201) 13,8kV, fase A, arranjo BS, associado ao TF1, na SE PERITORO.</t>
  </si>
  <si>
    <t>Substituição do Transformador de Corrente (PRTC201) 13,8kV, fase B, arranjo BS, associado ao TF1, na SE PERITORO.</t>
  </si>
  <si>
    <t>Substituição do Transformador de Corrente (PRTC201) 13,8kV, fase V, arranjo BS, associado ao TF1, na SE PERITORO.</t>
  </si>
  <si>
    <t>Substituição do Para-raio (PRPR401) 69kV, fase A, arranjo BPT, associado ao TF1, na SE PERITORO.</t>
  </si>
  <si>
    <t>Substituição do Para-raio (PRPR401) 69kV, fase B, arranjo BPT, associado ao TF1, na SE PERITORO</t>
  </si>
  <si>
    <t>Substituição do Para-raio (PRPR401) 69kV, fase V, arranjo BPT, associado ao TF1, na SE PERITORO.</t>
  </si>
  <si>
    <t>Substituição da Seccionadora (PRSB401) 69kV, arranjo BPT, associado ao TF1, na SE PERITORO.</t>
  </si>
  <si>
    <t>Substituição da Seccionadora (PRSD401) 69kV, arranjo BPT, associado ao TF1, na SE PERITORO.</t>
  </si>
  <si>
    <t>Substituição da Seccionadora (PRSD402) 69kV, arranjo BPT, associado ao TF1, na SE PERITORO.</t>
  </si>
  <si>
    <t>Substituição da Seccionadora (PRSB603) 230kV, arranjo BD5, associado ao TF1, na SE PERITORO.</t>
  </si>
  <si>
    <t>Substituição da Seccionadora (PRSB604) 230kV, arranjo BD5, associado ao TF1, na SE PERITORO.</t>
  </si>
  <si>
    <t>Substituição da Seccionadora (PRSD603) 230kV, arranjo BD5, associado ao TF1, na SE PERITORO.</t>
  </si>
  <si>
    <t>Substituição da Seccionadora (PRSD604) 230kV, arranjo BD5, associado ao TF1, na SE PERITORO.</t>
  </si>
  <si>
    <t>Substituição da Seccionadora (PRSY602) 230kV, arranjo BD5, associado ao TF1, na SE PERITORO</t>
  </si>
  <si>
    <t>Substituição do Transformador de Corrente (PRTC601) 230kV, fase B, arranjo BD5, associado ao TF1, na SE PERITORO.</t>
  </si>
  <si>
    <t>Substituição do Transformador de Corrente (PRTC601) 230kV, fase V, arranjo BD5, associado ao TF1, na SE PERITORO</t>
  </si>
  <si>
    <t>TAP.2025.352</t>
  </si>
  <si>
    <t>Substituição do SPCS 230kV, associado ao TR2, na SE PICOS.</t>
  </si>
  <si>
    <t>Substituição do SPCS 69kV, associado ao TR2, na SE PICOS.</t>
  </si>
  <si>
    <t>Substituição do Transformador Trifásico TR2 (04T2) 230/69/13,8 kV, 39MVA, na SE PICOS.</t>
  </si>
  <si>
    <t>TAP.2025.349</t>
  </si>
  <si>
    <t>Substituição do Reator de Barra Trifásico RT1 (01E1) 13,8kV, 5MVAr, na SE PIRIPIRI.</t>
  </si>
  <si>
    <t>TAP.2025.350</t>
  </si>
  <si>
    <t>Substituição do Reator Limitador de Corrente Monofásico RTS1 (01E2-L.A) 13,8kV, 1,666MVAr, fase A, na SE PIRIPIRI.</t>
  </si>
  <si>
    <t>Substituição do Reator Limitador de Corrente Monofásico RTS1 (01E2-L.B) 13,8kV, 1,666MVAr, fase B, na SE PIRIPIRI.</t>
  </si>
  <si>
    <t>Substituição do Reator Limitador de Corrente Monofásico RTS1 (01E2-L.C) 13,8kV, 1,666MVAr, fase C, na SE PIRIPIRI.</t>
  </si>
  <si>
    <t>Substituição da Seccionadora (31E1-4) 13,8kV, arranjo BS, associado ao RT1, na SE PIRIPIRI.</t>
  </si>
  <si>
    <t>Substituição  do Transformador de Corrente TC 91E1.C 13,8kV, fase C, arranjo BS, associado ao RT1, na SE PIRIPIRI</t>
  </si>
  <si>
    <t>Substituição  do Transformador de Corrente TC 91E1.B 13,8kV, fase B, arranjo BS, associado ao RT1, na SE PIRIPIRI</t>
  </si>
  <si>
    <t>Substituição  do Transformador de Corrente TC 91E1.A 13,8kV, fase A, arranjo BS, associado ao RT1, na SE PIRIPIRI</t>
  </si>
  <si>
    <t>TAP.2025.234</t>
  </si>
  <si>
    <t>Substituição do SPCS (PFSPRTF)  230kV, associado ao TF1, na SE PORTO FRANCO</t>
  </si>
  <si>
    <t>Substituição do SPCS PFSPRDJ 69kV, associado ao TF1, na SE PORTO FRANCO</t>
  </si>
  <si>
    <t>TAP.2025.235</t>
  </si>
  <si>
    <t>Substituição do SPCS PFSPRDJ 230kV, associado ao TF2, na SE PORTO FRANCO</t>
  </si>
  <si>
    <t>TAP.2025.285</t>
  </si>
  <si>
    <t>Substituição do Transformador Monofásico TR2 (05T2.A) 500/230kV, 200MVA, fase A, na SE RECIFE II.</t>
  </si>
  <si>
    <t>Substituição do Transformador Monofásico TR2 (05T2.B) 500/230kV, 200MVA, fase B, na SE RECIFE II.</t>
  </si>
  <si>
    <t>Substituição do Transformador Monofásico TR2 (05T2.C) 500/230kV, 200MVA, fase C, na SE RECIFE II.</t>
  </si>
  <si>
    <t>Substituição da Seccionadora (34T2-7 ) 230kV, arranjo BD5, associado ao TR2, na SE RECIFE II.</t>
  </si>
  <si>
    <t>TAP.2025.249</t>
  </si>
  <si>
    <t>TAP.2025.247</t>
  </si>
  <si>
    <t>Substituição da Seccionadora SC7321 230kV, arranjo BD5, associado à EL RIO VERDE FUR C1, na SE RIO VERDE FUR</t>
  </si>
  <si>
    <t>Substituição da Seccionadora SC7323 230kV, arranjo BD5, associado à EL RIO VERDE FUR C1, na SE RIO VERDE FUR</t>
  </si>
  <si>
    <t>Substituição da Seccionadora SC7325 230kV, arranjo BD5, associado à EL RIO VERDE FUR C1, na SE RIO VERDE FUR</t>
  </si>
  <si>
    <t>Substituição da Seccionadora SC7327 230kV, arranjo BD5, associado à EL RIO VERDE FUR C1, na SE RIO VERDE FUR</t>
  </si>
  <si>
    <t>Substituição da Seccionadora SC7329 230kV, arranjo BD5, associado à EL ITUMBIARA/RIO VERDE FUR C1, na SE RIO VERDE FUR</t>
  </si>
  <si>
    <t>Substituição do Transformador de Corrente TC LTIMRV1 230kV, fase A, arranjo BD5, associado à EL ITUMBIARA/RIO VERDE FUR C1, na SE RIO VERDE FUR</t>
  </si>
  <si>
    <t>Substituição do Transformador de Corrente  TC LTIMRV1 230kV, fase B, arranjo BD5, associado à EL ITUMBIARA/RIO VERDE FUR C1, na SE RIO VERDE FUR</t>
  </si>
  <si>
    <t>Substituição do Transformador de Corrente  TC LTIMRV1 230kV, fase C, arranjo BD5, associado à EL ITUMBIARA/RIO VERDE FUR C1, na SE RIO VERDE FUR</t>
  </si>
  <si>
    <t>Substituição da Seccionadora com lâmina de terra SC7079/SC7770T 230kV, arranjo BD5, associado à EL BARRA PEIXE C1, na SE RIO VERDE FUR</t>
  </si>
  <si>
    <t>Substituição do para-raios (PR LIRVBP1) 230kV, fase A, arranjo BD5, associado à EL BARRA PEIXE C1, na SE RIO VERDE FUR</t>
  </si>
  <si>
    <t>Substituição do para-raios (PR LIRVBP1) 230kV, fase B, arranjo BD5, associado à EL BARRA PEIXE C1, na SE RIO VERDE FUR</t>
  </si>
  <si>
    <t>Substituição do para-raios (PR LIRVBP1) 230kV, fase C, arranjo BD5, associado à EL BARRA PEIXE C1, na SE RIO VERDE FUR</t>
  </si>
  <si>
    <t>Substituição da Seccionadora SC7771 230kV, arranjo BD5, associado à EL BARRA PEIXE C1, na SE RIO VERDE FUR</t>
  </si>
  <si>
    <t>Substituição da Seccionadora SC7773 230kV, arranjo BD5, associado à EL BARRA PEIXE C1, na SE RIO VERDE FUR</t>
  </si>
  <si>
    <t>Substituição da Seccionadora SC7775 230kV, arranjo BD5, associado à EL BARRA PEIXE C1, na SE RIO VERDE FUR</t>
  </si>
  <si>
    <t>Substituição da Seccionadora SC7777 230kV, arranjo BD5, associado à EL BARRA PEIXE C1, na SE RIO VERDE FUR</t>
  </si>
  <si>
    <t>Substituição da Seccionadora SC7779 230kV, arranjo BD5, associado à EL BARRA PEIXE C1, na SE RIO VERDE FUR</t>
  </si>
  <si>
    <t>Substituição de Transformador de Corrente TC LIRVBP1 230kV, fase A, arranjo BD5, associado à EL BARRA PEIXE C1, na SE RIO VERDE FUR</t>
  </si>
  <si>
    <t>Substituição de Transformador de Corrente TC LIRVBP1 230kV, fase B, arranjo BD5, associado à EL BARRA PEIXE C1, na SE RIO VERDE FUR</t>
  </si>
  <si>
    <t>Substituição de Transformador de Corrente TC LIRVBP1 230kV, fase C, arranjo BD5, associado à EL BARRA PEIXE C1, na SE RIO VERDE FUR</t>
  </si>
  <si>
    <t>Substituição do Transformador de Potencial DCP LIRVBP1 230kV, fase A, arranjo BD5, associado à EL BARRA PEIXE C1, na SE RIO VERDE FUR</t>
  </si>
  <si>
    <t>Substituição do Transformador de Potencial DCP LIRVBP1 230kV, fase B, arranjo BD5, associado à EL BARRA PEIXE C1, na SE RIO VERDE FUR</t>
  </si>
  <si>
    <t>TAP.2025.351</t>
  </si>
  <si>
    <t>Substituição do Transformador de Corrente 138kV, fase A, arranjo BD3, associado ao RT4, na SE RIO VERDE FUR.</t>
  </si>
  <si>
    <t>Substituição do Transformador de Corrente 138kV, fase B, arranjo BD3, associado ao RT4, na SE RIO VERDE FUR.</t>
  </si>
  <si>
    <t>Substituição do Transformador de Corrente 138kV, fase C, arranjo BD3, associado ao RT4, na SE RIO VERDE FUR.</t>
  </si>
  <si>
    <t>Substituição dos sistemas de proteção (BSIMRV1) do CR 230 kV, 34 Mvar, associado ao BC3, na SE RIO VERDE FUR</t>
  </si>
  <si>
    <t>Substituição do registrador de perturbações digital  (BSIMRV1) do CR 230 kV 34 Mvar, associado ao BC3, na SE RIO VERDE FUR</t>
  </si>
  <si>
    <t>Substituição dos sistemas de proteção  (BSRVBP1) do CR 230 kV 37,2 Mvar,  associado ao BC1, na SE RIO VERDE FUR</t>
  </si>
  <si>
    <t>Substituição do registrador de perturbações digital (BSRVBP1) do CR 230 kV 37,2 Mvar, associado ao BC1, na SE RIO VERDE FUR</t>
  </si>
  <si>
    <t>Substituição da MACH 1 / MACH 2 de supervisão de Banco Capacitores Série, associado à EL ITUMBIARA - RIO VERDE  C1 - 230KV, na SE RIO VERDE FUR</t>
  </si>
  <si>
    <t>TAP.2025.236</t>
  </si>
  <si>
    <t>Substituição da Seccionadora RPSR602 230kV, arranjo BD5, associada ao RT2, na SE RONDONOPOLIS</t>
  </si>
  <si>
    <t>Substituição do Transformador de Corrente RPTC601 230kV, fase A, arranjo BD5, associado ao RT2, na SE RONDONOPOLIS</t>
  </si>
  <si>
    <t>Substituição do Transformador de Corrente RPTC601 230kV, fase B, arranjo BD5, associado ao RT2, na SE RONDONOPOLIS</t>
  </si>
  <si>
    <t>Substituição do Transformador de Corrente RPTC601 230kV, fase V, arranjo BD5, associado ao RT2, na SE RONDONOPOLIS</t>
  </si>
  <si>
    <t>Substituição do SPCS 230kV,  associado ao RT2, na SE RONDONOPOLIS</t>
  </si>
  <si>
    <t>TAP.2025.237</t>
  </si>
  <si>
    <t>Substituição do SPCS 230kV,  associado ao RT3, na SE RONDONOPOLIS</t>
  </si>
  <si>
    <t>TAP.2025.366</t>
  </si>
  <si>
    <t>Substituição da Seccionadora RPSR603 230kV, arranjo BD5, associada ao RT4, na SE RONDONOPOLIS.</t>
  </si>
  <si>
    <t>Substituição do SPCS 230kV, associado ao RT4, na SE RONDONOPOLIS.</t>
  </si>
  <si>
    <t>TAP.2025.314</t>
  </si>
  <si>
    <t>Substituição da seccionadora CS421 69kV, arranjo BS, associado ao TR7, na SE S. OSORIO.</t>
  </si>
  <si>
    <t>Substituição da seccionadora CS801 230kV, arranjo BPT, associado ao TR7, na SE S. OSORIO.</t>
  </si>
  <si>
    <t>Substituição da seccionadora CS803 230kV, arranjo BPT, associado ao TR7, na SE S. OSORIO.</t>
  </si>
  <si>
    <t>Substituição da seccionadora CS805 230kV, arranjo BPT, associado ao TR7, na SE S. OSORIO.</t>
  </si>
  <si>
    <t>Substituição da seccionadora CS807 230kV, arranjo BPT, associado ao TR7, na SE S. OSORIO.</t>
  </si>
  <si>
    <t>Substituição da seccionadora CS809 230kV, arranjo BPT, associado ao TR7, na SE S. OSORIO.</t>
  </si>
  <si>
    <t>Substituição do Disjuntor DJ802 230kV, arranjo BPT, associado ao TR7, na SE S. OSORIO.</t>
  </si>
  <si>
    <t>TAP.2025.280</t>
  </si>
  <si>
    <t>Substituição do Reator de Linha Monofásico RT1 (05E1.A) 500kV, 33,3MVAr, fase A, na SE S.JOAO PIAUI.</t>
  </si>
  <si>
    <t>Substituição do Reator de Linha Monofásico RT1 (05E1.B) 500kV, 33,3MVAr, fase B, na SE S.JOAO PIAUI.</t>
  </si>
  <si>
    <t>Substituição do Reator de Linha Monofásico RT1 (05E1.C) 500kV, 33,3MVAr, fase C, na SE S.JOAO PIAUI.</t>
  </si>
  <si>
    <t>Substituição do Reator de Aterramento RTN1 (02E1.N) 69kV, 0,23MVAr, na SE S.JOAO PIAUI.</t>
  </si>
  <si>
    <t>TAP.2025.371</t>
  </si>
  <si>
    <t>Substituição do SPCS 230kV, associado ao TR3 na SE S.JOAO PIAUI.</t>
  </si>
  <si>
    <t>TAP.2025.372</t>
  </si>
  <si>
    <t>Substituição do SPCS 230kV, associado ao TR4, na SE S.JOAO PIAUI</t>
  </si>
  <si>
    <t>Substituição do SPCS 500kV,  associado ao Reator RT1 (05E1) na SE S.JOAO PIAUI.</t>
  </si>
  <si>
    <t>TAP.2025.373</t>
  </si>
  <si>
    <t>Substituição do Reator de Aterramento RTN2 (02E2.N) 69kV, 0,23MVAr, na SE S.JOAO PIAUI.</t>
  </si>
  <si>
    <t>Reator de Aterramento</t>
  </si>
  <si>
    <t>Substituição do SPCS 69kV, associado ao TR3, na SE S.JOAO PIAUI.</t>
  </si>
  <si>
    <t>Substituição do SPCS 69kV, associado ao TR4,  na SE S.JOAO PIAUI</t>
  </si>
  <si>
    <t>TAP.2025.374</t>
  </si>
  <si>
    <t>Substituição  do Transformador Trifásico TR5 (02T5) 69/13,8 kV, 1MVA, na SE S.JOAO PIAUI</t>
  </si>
  <si>
    <t>TAP.2025.315</t>
  </si>
  <si>
    <t>TAP.2023.133</t>
  </si>
  <si>
    <t>TAP.2023.134</t>
  </si>
  <si>
    <t>TAP.2025.390</t>
  </si>
  <si>
    <t>Substituição do Disjuntor DJ652 138kV, arranjo BD5, associado ao TR12, na SE SANTA CRUZ</t>
  </si>
  <si>
    <t>Substituição do Para-raios PR652-A 138kV, fase A, arranjo BD5, associado ao TR12, na SE SANTA CRUZ</t>
  </si>
  <si>
    <t>Substituição do Para-raios PR652-B 138kV, fase B, arranjo BD5, associado ao TR12, na SE SANTA CRUZ</t>
  </si>
  <si>
    <t>Substituição do Para-raios PR652-C 138kV, fase C, arranjo BD5, associado ao TR12, na SE SANTA CRUZ</t>
  </si>
  <si>
    <t>Substituição da Seccionadora SC651 138kV, arranjo BD5, associado ao TR12, na SE SANTA CRUZ</t>
  </si>
  <si>
    <t>Substituição da Seccionadora SC653 138kV, arranjo BD5, associado ao TR12, na SE SANTA CRUZ</t>
  </si>
  <si>
    <t>Substituição da Seccionadora SC655 138kV, arranjo BD5, associado ao TR12, na SE SANTA CRUZ</t>
  </si>
  <si>
    <t>Substituição da Seccionadora SC657 138kV, arranjo BD5, associado ao TR12, na SE SANTA CRUZ</t>
  </si>
  <si>
    <t>Substituição da Seccionadora SC659 138kV, arranjo BD5, associado ao TR12, na SE SANTA CRUZ</t>
  </si>
  <si>
    <t>Substituição do Transformador de Corrente TC652-A 138kV, fase A, arranjo BD5, associado ao TR12, na SE SANTA CRUZ</t>
  </si>
  <si>
    <t>Substituição do Transformador de Corrente TC652-B 138kV, fase B, arranjo BD5, associado ao TR12, na SE SANTA CRUZ</t>
  </si>
  <si>
    <t>Substituição do Transformador de Corrente TC652-C 138kV, fase C, arranjo BD5, associado ao TR12, na SE SANTA CRUZ</t>
  </si>
  <si>
    <t>TAP.2025.391</t>
  </si>
  <si>
    <t>Substituição do Disjuntor DJ662 138kV, arranjo BD5, associado ao TR34, na SE SANTA CRUZ</t>
  </si>
  <si>
    <t>Substituição do Para-raios PR662-A 138kV, fase A, arranjo BD5, associado ao TR34, na SE SANTA CRUZ</t>
  </si>
  <si>
    <t>Substituição do Para-raios PR662-B 138kV, fase B, arranjo BD5, associado ao TR34, na SE SANTA CRUZ</t>
  </si>
  <si>
    <t>Substituição do Para-raios PR662-C 138kV, fase C, arranjo BD5, associado ao TR34, na SE SANTA CRUZ</t>
  </si>
  <si>
    <t>Substituição da Seccionadora SC661 138kV, arranjo BD5, associado ao TR34, na SE SANTA CRUZ</t>
  </si>
  <si>
    <t>Substituição da Seccionadora SC663 138kV, arranjo BD5, associado ao TR34, na SE SANTA CRUZ</t>
  </si>
  <si>
    <t>Substituição da Seccionadora SC665 138kV, arranjo BD5, associado ao TR34, na SE SANTA CRUZ</t>
  </si>
  <si>
    <t>Substituição da Seccionadora SC667 138kV, arranjo BD5, associado ao TR34, na SE SANTA CRUZ</t>
  </si>
  <si>
    <t>Substituição da Seccionadora SC669 138kV, arranjo BD5, associado ao TR34, na SE SANTA CRUZ</t>
  </si>
  <si>
    <t>Substituição do Transformador de Corrente TC667-A 138kV, fase A, arranjo BD5, associado ao TR34, na SE SANTA CRUZ</t>
  </si>
  <si>
    <t>Substituição do Transformador de Corrente TC667-B 138kV, fase B, arranjo BD5, associado ao TR34, na SE SANTA CRUZ</t>
  </si>
  <si>
    <t>Substituição do Transformador de Corrente TC667-C 138kV, fase C, arranjo BD5, associado ao TR34, na SE SANTA CRUZ</t>
  </si>
  <si>
    <t>TAP.2025.357</t>
  </si>
  <si>
    <t>TAP.2025.356</t>
  </si>
  <si>
    <t>Substituição da Seccionadora SC655C 138kV, arranjo BD5, associado aos BC1e BC2, na SE SÃO JOSÉ.</t>
  </si>
  <si>
    <t>Substituição da Seccionadora SC675C 138kV, arranjo BD5, associado aos BC1e BC2, na SE SÃO JOSÉ.</t>
  </si>
  <si>
    <t>Substituição do Disjuntor DJ658C 138kV, arranjo BD5, associado aos BC1e BC2, na SE SÃO JOSÉ.</t>
  </si>
  <si>
    <t>Substituição do Para-raio PR650T01 138kV, fase A, arranjo BD5, associado aos BC1e BC2,  na SE SÃO JOSÉ.</t>
  </si>
  <si>
    <t>Substituição do Para-raio PR650T01 138kV, fase B, arranjo BD5, associado aos BC1e BC2,  na SE SÃO JOSÉ.</t>
  </si>
  <si>
    <t>Substituição do Para-raio PR650T01 138kV, fase C, arranjo BD5, associado aos BC1e BC2,  na SE SÃO JOSÉ.</t>
  </si>
  <si>
    <t>Substituição do Para-raio PR650T02 138kV, fase A, arranjo BD5, associado aos BC1e BC2, na SE SÃO JOSÉ.</t>
  </si>
  <si>
    <t>Substituição do Para-raio PR650T02 138kV, fase B, arranjo BD5, associado aos BC1e BC2, na SE SÃO JOSÉ.</t>
  </si>
  <si>
    <t>Substituição do Para-raio PR650T02 138kV, fase C, arranjo BD5, associado aos BC1e BC2, na SE SÃO JOSÉ.</t>
  </si>
  <si>
    <t>Substituição da Seccionadora SC651C 138kV, arranjo BD5, associada aos BC1e BC2, na SE SÃO JOSÉ.</t>
  </si>
  <si>
    <t>Substituição da Seccionadora SC653C 138kV, arranjo BD5, associada aos BC1e BC2, na SE SÃO JOSÉ.</t>
  </si>
  <si>
    <t>Substituição da Seccionadora com lamina de terra (SC657C/SC650T) 138kV, arranjo BD5, associada aos BC1e BC2, na SE SÃO JOSÉ</t>
  </si>
  <si>
    <t>Substituição do Transformador de Potencial DCPBR6A2 138kV, fase A, arranjo BD5, associado ao Barramento BRRM05, na SE SÃO JOSÉ.</t>
  </si>
  <si>
    <t>Substituição do Transformador de Potencial DCPBR6A2 138kV, fase B, arranjo BD5, associado ao Barramento BRRM05, na SE SÃO JOSÉ</t>
  </si>
  <si>
    <t>Substituição do Transformador de Potencial DCPBR6A2 138kV, fase C, arranjo BD5, associado ao Barramento BRRM05, na SE SÃO JOSÉ.</t>
  </si>
  <si>
    <t>Substituição do Transformador de Potencial TPBR6B2 138kV, fase A, arranjo BD5, associado ao Barramento BRRM07, na SE SÃO JOSÉ.</t>
  </si>
  <si>
    <t>Substituição do Transformador de Potencial TPBR6B2 138kV, fase B, arranjo BD5, associado ao Barramento BRRM07, na SE SÃO JOSÉ.</t>
  </si>
  <si>
    <t>Substituição do Transformador de Potencial TPBR6B2 138kV, fase C, arranjo BD5, associado ao Barramento BRRM07, na SE SÃO JOSÉ.</t>
  </si>
  <si>
    <t>TAP.2025.358</t>
  </si>
  <si>
    <t>Substituição da Seccionadora SC665C 138kV, arranjo BD5, associada aos BC3 e BC4, na SE SÃO JOSÉ</t>
  </si>
  <si>
    <t>Substituição do Disjuntor DJ668C 138kV, arranjo BD5, associado aos BC3 e BC4, na SE SÃO JOSÉ</t>
  </si>
  <si>
    <t>Substituição do Para-raio PR660T01 138kV, fase A, arranjo BD5, associado aos BC3 e BC4,, na SE SÃO JOSÉ</t>
  </si>
  <si>
    <t>Substituição do Para-raio PR660T01 138kV, fase B, arranjo BD5, associado aos BC3 e BC4, na SE SÃO JOSÉ</t>
  </si>
  <si>
    <t>Substituição do Para-raio PR660T01 138kV, fase C, arranjo BD5, associado aos BC3 e BC4, na SE SÃO JOSÉ</t>
  </si>
  <si>
    <t>Substituição do Para-raio PR660T02 138kV, fase A, arranjo BD5, associado aos BC3 e BC4, na SE SÃO JOSÉ</t>
  </si>
  <si>
    <t>Substituição do Para-raio PR660T02 138kV, fase B, arranjo BD5, associado aos BC3 e BC4, na SE SÃO JOSÉ</t>
  </si>
  <si>
    <t>Substituição do Para-raio PR660T02 138kV, fase C, arranjo BD5, associado aos BC3 e BC4,na SE SÃO JOSÉ</t>
  </si>
  <si>
    <t>Substituição da Seccionadora com lamina de terra (SC661C/SC660T) 138kV, arranjo BD5, associada aos BC3 e BC4,na SE SÃO JOSÉ</t>
  </si>
  <si>
    <t>Substituição da Seccionadora SC663C 138kV, arranjo BD5, associada aos BC3 e BC4, na SE SÃO JOSÉ</t>
  </si>
  <si>
    <t>Substituição da Seccionadora SC667C 138kV, arranjo BD5, associada aos BC3 e BC4, na SE SÃO JOSÉ</t>
  </si>
  <si>
    <t>TAP.2025.359</t>
  </si>
  <si>
    <t>Substituição da Seccionadora SC685C 138kV, arranjo BD5, associada aos BC3 e BC4,, na SE SÃO JOSÉ</t>
  </si>
  <si>
    <t>Substituição do sistema de proteção e controle 138 kV, 150 Mvar, associado ao BC1, na SE SAO JOSE</t>
  </si>
  <si>
    <t>Substituição do registrador de perturbações digital 138kV, 150Mvar, associado ao BC1, na SE SAO JOSE.</t>
  </si>
  <si>
    <t>Substituição do sistema de proteção 138kV, 150Mvar, associado ao BC2, na SE SAO JOSE.</t>
  </si>
  <si>
    <t>Substituição do registrador de perturbações digital 138kV, 150Mvar, associado aos BC1 e BC2, na SE SAO JOSE.</t>
  </si>
  <si>
    <t>Substituição do sistema de proteção 138 kV, 150 Mvar, associado ao BC3, na SE SAO JOSE</t>
  </si>
  <si>
    <t>Substituição do registrador de perturbações digital 138 kV, 150 Mvar, associado ao BC3, na SE SAO JOSE</t>
  </si>
  <si>
    <t>Substituição dos sistemas de proteção 138 kV, 150 Mvar, associado ao BC4, na SE SAO JOSE</t>
  </si>
  <si>
    <t>Substituição do registrador de perturbações digital 138 kV, 150 Mvar, associado ao BC4, na SE SAO JOSE</t>
  </si>
  <si>
    <t>Substituição da UAC23 138kV de supervisão dos BC1(150Mvar) e BC2  (100Mvar), na SE SAO JOSE.</t>
  </si>
  <si>
    <t>Substituição da UAC24 138 kV de supervisão dos BC3 (150 Mvar) e BC4  (100 Mvar), na SE SAO JOSE</t>
  </si>
  <si>
    <t>TAP.2025.342</t>
  </si>
  <si>
    <t>Substituição do SPCS (LISPRTF) 230kV,  associado ao TR1, na SE SAO LUIS I.</t>
  </si>
  <si>
    <t>Substituição do SPCS (LISPRDJ) 69kV,  associado ao TR1, na SE SAO LUIS I</t>
  </si>
  <si>
    <t>TAP.2025.239</t>
  </si>
  <si>
    <t>Substituição da Seccionadora SPSR602 230kV, arranjo BD4, associado ao RT2, na SE SINOP</t>
  </si>
  <si>
    <t>Substituição do SPCS SPSR602 230kV, associado ao RT2, na SE SINOP</t>
  </si>
  <si>
    <t>TAP.2024.508</t>
  </si>
  <si>
    <t>Substituição do Reator de Linha Monofásico RT2 (04E2.B) 230 kV, 3,33MVAr, fase B, na SE SOBRAL II</t>
  </si>
  <si>
    <t>Substituição do Reator de Linha Monofásico RT2 (04E2.C) 230 kV, 3,33MVAr, fase C, na SE SOBRAL II</t>
  </si>
  <si>
    <t>TAP.2025.254</t>
  </si>
  <si>
    <t>Substituição do Reator de Linha Monofásico RT1 (04E1.B) 230 kV, 3,33MVAr, fase B, na SE SOBRAL II</t>
  </si>
  <si>
    <t>Substituição do Reator de Linha Monofásico RT1 (04E1.C) 230 kV, 3,33MVAr, fase C, na SE SOBRAL II</t>
  </si>
  <si>
    <t>Substituição do Reator de Linha Monofásico RT2 (04E2-A) 230 kV 3,33MVAr, fase A, na SE SOBRAL II</t>
  </si>
  <si>
    <t>Substituição do Reator de Linha Monofásico RT1 (04E1.A) 230 kV, 3,33MVAr, fase A, na SE SOBRAL II</t>
  </si>
  <si>
    <t>TAP.2025.240</t>
  </si>
  <si>
    <t>Substituição do Para-Raio SSPR201 13,8kV, fase A, arranjo BS , associado ao BC1, na SE SORRISO</t>
  </si>
  <si>
    <t>Substituição do Para-Raio SSPR201 13,8kV, fase B, arranjo BS, associado BC1, na SE SORRISO</t>
  </si>
  <si>
    <t>Substituição do Para-Raio SSPR201 13,8kV, fase V, arranjo BS, associado BC1, na SE SORRISO</t>
  </si>
  <si>
    <t>Substituição da Seccionadora SSCA201 13,8kV, arranjo BS, associado ao BC1, na SE SORRISO</t>
  </si>
  <si>
    <t>Substituição da Seccionadora SSSC201 13,8kV, arranjo BS, associado ao BC1, na SE SORRISO</t>
  </si>
  <si>
    <t>Substituição da Seccionadora SSSC202 13,8kV, arranjo BS, associado ao BC1, na SE SORRISO</t>
  </si>
  <si>
    <t>Substituição do Transformador de Corrente SSTC201 13,8kV, fase A, arranjo BS, associado ao BC1, na SE SORRISO</t>
  </si>
  <si>
    <t>Substituição do Transformador de Corrente SSTC201 13,8kV, fase B, arranjo BS, associado ao BC1, na SE SORRISO</t>
  </si>
  <si>
    <t>Substituição do Transformador de Corrente SSTC201 13,8kV, fase V, arranjo BS, associado ao BC1, na SE SORRISO</t>
  </si>
  <si>
    <t>TAP.2025.241</t>
  </si>
  <si>
    <t>Substituição do Para-Raio SSPR202 13,8kV, fase A, arranjo BS, associado ao BC2, na SE SORRISO</t>
  </si>
  <si>
    <t>Substituição do Para-Raio SSPR202 13,8kV, fase B, arranjo BS, associado ao BC2, na SE SORRISO</t>
  </si>
  <si>
    <t>Substituição do Para-Raio SSPR202 13,8kV, fase V, arranjo BS, associado ao BC2, na SE SORRISO</t>
  </si>
  <si>
    <t>Substituição da Seccionadora SSCA202 13,8kV, arranjo BS, associado ao BC2, na SE SORRISO</t>
  </si>
  <si>
    <t>Substituição da Seccionadora SSSC203 13,8kV, arranjo BS, associado ao BC2, na SE SORRISO</t>
  </si>
  <si>
    <t>Substituição da Seccionadora SSSC204 13,8kV, arranjo BS, associado ao BC2, na SE SORRISO</t>
  </si>
  <si>
    <t>Substituição do SPCS (SSSPRBC)13,8kV, associado aos BC1 e BC2, na SE SORRISO</t>
  </si>
  <si>
    <t>TAP.2025.345</t>
  </si>
  <si>
    <t>Substituição do Transformador Trifásico TR1 (TJTF6-01) 230/69kV, 30MVA, na SE TAPE DE JIRAU.</t>
  </si>
  <si>
    <t>Substituição do SPCS (TJSPRTF) 230kV, associado ao TR1 na SE TAPE DE JIRAU.</t>
  </si>
  <si>
    <t>TAP.2025.255</t>
  </si>
  <si>
    <t>Substituição do Reator de Linha Monofásico RTR1 (04ER.M) 230 kV, 3.33MVAr, fase reserva, na SE TERESINA</t>
  </si>
  <si>
    <t>TAP.2025.258</t>
  </si>
  <si>
    <t>Substituição do Reator de Linha Monofásico RT2 (04E2-A) 230 kV, 3.33MVAr, fase A, na SE TERESINA</t>
  </si>
  <si>
    <t>Substituição do Reator de Linha Monofásico RT1 (04E1-A) 230 kV, 3.33MVAr, fase A, na SE TERESINA</t>
  </si>
  <si>
    <t>Substituição do Reator de Linha Monofásico RT2 (04E2.B) 230 kV, 3,33MVAr, fase B, na SE TERESINA</t>
  </si>
  <si>
    <t>Substituição do Reator de Linha Monofásico RT1 (04E1.B) 230 kV, 3,33MVAr, fase B, na SE TERESINA</t>
  </si>
  <si>
    <t>Substituição do Reator de Linha Monofásico RT1 (04E1.C) 230 kV, 3,33MVAr, fase C, na SE TERESINA</t>
  </si>
  <si>
    <t>TAP.2025.375</t>
  </si>
  <si>
    <t>Subsituição  de Transformador Trifásico TR4 (04T4) 230/69 kV, 100 MVA, arranjo BD5, na SE TERESINA</t>
  </si>
  <si>
    <t>Subsituição de seccionadora (32T4-5) 69 kV, arranjo BPT, associado ao TR4, na SE TERESINA</t>
  </si>
  <si>
    <t>Subsituição de seccionadora (32T4-4) 69 kV, arranjo BPT, associado ao TR4, na SE TERESINA</t>
  </si>
  <si>
    <t>TAP.2025.361</t>
  </si>
  <si>
    <t>Substituição do Transformador de Corrente TC DJ844C 345kV, fase B, arranjo DJM, associado ao BC4, na SE TIJUCO PRETO</t>
  </si>
  <si>
    <t>Substituição do Transformador de Corrente TC DJ844C 345kV, fase C, arranjo DJM, associado ao BC4, na SE TIJUCO PRETO</t>
  </si>
  <si>
    <t>Substituição do Disjuntor DJ8554 345kV, arranjo DJM, associado ao BC4, na SE TIJUCO PRETO</t>
  </si>
  <si>
    <t>Substituição da Seccionadora SC8551 345kV, arranjo DJM, associada ao BC4, na SE TIJUCO PRETO</t>
  </si>
  <si>
    <t>Substituição da Seccionadora SC8553 345kV, arranjo DJM, associada ao BC4, na SE TIJUCO PRETO</t>
  </si>
  <si>
    <t>Substituição da Seccionadora SC8555 345kV, arranjo DJM, associada ao BC4, na SE TIJUCO PRETO</t>
  </si>
  <si>
    <t>Substituição da Seccionadora SC8531 345kV, arranjo DJM, associada à IB8534, na SE TIJUCO PRETO</t>
  </si>
  <si>
    <t>Substituição da Seccionadora SC8533 345kV, arranjo DJM, associada à IB8534, na SE TIJUCO PRETO</t>
  </si>
  <si>
    <t>TAP.2025.362</t>
  </si>
  <si>
    <t>Substituição da Seccionadora com lamina de terra (SC857C/SC850T) 345kV, arranjo DJM, associado ao BC5, na SE TIJUCO PRETO</t>
  </si>
  <si>
    <t>Substituição do Transformador de Corrente TC DJ854C 345kV, fase A, arranjo DJM, associado ao BC5, na SE TIJUCO PRETO</t>
  </si>
  <si>
    <t>Substituição do Transformador de Corrente TC DJ854C 345kV, fase B, arranjo DJM, associado ao BC5, na SE TIJUCO PRETO</t>
  </si>
  <si>
    <t>Substituição do Transformador de Corrente TC DJ854C 345kV, fase C, arranjo DJM, associado ao BC5, na SE TIJUCO PRETO</t>
  </si>
  <si>
    <t>TAP.2025.360</t>
  </si>
  <si>
    <t>TAP.2025.363</t>
  </si>
  <si>
    <t>Substituição da Seccionadora com lamina de terra (SC867C/SC860T) 345kV, arranjo DJM, associado ao BC6, na SE TIJUCO PRETO</t>
  </si>
  <si>
    <t>TAP.2025.364</t>
  </si>
  <si>
    <t>Substituição da Seccionadora com lamina de terra (SC897C/SC890T) 345kV, arranjo DJM, associado ao BC9, na SE TIJUCO PRETO</t>
  </si>
  <si>
    <t>TAP.2025.365</t>
  </si>
  <si>
    <t>Substituição da Seccionadora com lamina de terra (SC807C/SC800T) 345kV, arranjo DJM, associado ao BC10, na SE TIJUCO PRETO.</t>
  </si>
  <si>
    <t>Substituição do Transformador de Corrente TC DJ804C 345kV, fase A, arranjo DJM, associado ao BC10, na SE TIJUCO PRETO.</t>
  </si>
  <si>
    <t>Substituição do Transformador de Corrente TC DJ804C 345kV, fase B, arranjo DJM, associado ao BC10, na SE TIJUCO PRETO</t>
  </si>
  <si>
    <t>Substituição do Transformador de Corrente TC DJ804C 345kV, fase C, arranjo DJM, associado ao BC10, na SE TIJUCO PRETO.</t>
  </si>
  <si>
    <t>Substituição da Seccionadora com lamina de terra (SC847C/SC840T) 345kV, arranjo DJM, associado ao BC4, na SE TIJUCO PRETO</t>
  </si>
  <si>
    <t>Substituição do Transformador de Corrente TC DJ844C 345kV, fase A, arranjo DJM, associado ao BC4, na SE TIJUCO PRETO</t>
  </si>
  <si>
    <t>Substituição dos sistemas de proteção 345 kV, associado ao BC2, na SE TIJUCO PRETO</t>
  </si>
  <si>
    <t>Substituição do registrador de perturbações digital 345 kV, associado ao BC2, na SE TIJUCO PRETO</t>
  </si>
  <si>
    <t>Substituição dos sistemas de proteção 345 kV, associado ao BC4, na SE TIJUCO PRETO</t>
  </si>
  <si>
    <t>Substituição do registrador de perturbações digital 345 kV, associado ao BC4, na SE TIJUCO PRETO</t>
  </si>
  <si>
    <t>Substituição dos sistemas de proteção  345 kV, associado ao BC5, na SE TIJUCO PRETO</t>
  </si>
  <si>
    <t>Substituição do registrador de perturbações digital 345 kV, associado ao BC5, na SE TIJUCO PRETO</t>
  </si>
  <si>
    <t>Substituição dos sistemas de proteção 345 kV, associado ao BC6, na SE TIJUCO PRETO</t>
  </si>
  <si>
    <t>Substituição do registrador de perturbações digital  345 kV,  associado ao BC6, na SE TIJUCO PRETO</t>
  </si>
  <si>
    <t>Substituição dos sistemas de proteção 345 kV, associado ao BC9, na SE TIJUCO PRETO</t>
  </si>
  <si>
    <t>Substituição do registrador de perturbações digital 345 kV, associado ao BC9, na SE TIJUCO PRETO</t>
  </si>
  <si>
    <t>Substituição dos sistemas de proteção 345kV, associado ao BC10, na SE TIJUCO PRETO.</t>
  </si>
  <si>
    <t>Substituição do registrador de perturbações digital 345kV, associado ao BC10, na SE TIJUCO PRETO.</t>
  </si>
  <si>
    <t>Substituição dos sistemas de proteção das barras BR8C1, BR8C2, BR8C3 e BR8C4 e da proteção dos disjuntores DJ824C, DJ834C, DJ844C, DJ854C, DJ864C, DJ874C, DJ884C, DJ894C e DJ804C na SE TIJUCO PRETO</t>
  </si>
  <si>
    <t>Substituição da UAC18 de supervisão 345KV, associado ao BC2 e BC3, na SE TIJUCO PRETO</t>
  </si>
  <si>
    <t>Substituição da UAC19 de supervisão 345KV, associado ao vão dos BC2 e BC3, na SE TIJUCO PRETO</t>
  </si>
  <si>
    <t>Substituição da UAC20 de supervisão 345KV, associado aos BC4 e BC5, na SE TIJUCO PRETO</t>
  </si>
  <si>
    <t>Substituição da UAC21 de supervisão 345kV, associado aos BC4 e BC5, na SE TIJUCO PRETO</t>
  </si>
  <si>
    <t>Substituição da UAC22 de supervisão  345KV, associado aos BC6, BC7 e BC8, na SE TIJUCO PRETO</t>
  </si>
  <si>
    <t>Substituição da UAC23 de supervisão  345KV,  associado aos BC6, BC7 e BC8, na SE TIJUCO PRETO</t>
  </si>
  <si>
    <t>Substituição da UAC24 de supervisão 345kV, associado ao vão dos BC9 e BC10, na SE TIJUCO PRETO.</t>
  </si>
  <si>
    <t>Substituição da UAC25 de supervisão 345kV, associado ao vão dos BC9 e BC10, na SE TIJUCO PRETO</t>
  </si>
  <si>
    <t>TAP.2025.344</t>
  </si>
  <si>
    <t>Substituição do SPCS (TVSPRTF) 69KV, associado ao TR2, na SE TUCURUI VILA.</t>
  </si>
  <si>
    <t>Substituição de Para-Raios (TVPR401) 69KV, fase A, arranjo BS, associado ao TR2, na SE TUCURUI VILA.</t>
  </si>
  <si>
    <t>Substituição de Para-Raios (TVPR401) 69KV, fase B, arranjo BS, associado ao TR2, na SE TUCURUI VILA</t>
  </si>
  <si>
    <t>Substituição de Para-Raios (TVPR401) 69KV, fase V, arranjo BS, associado ao TR2, na SE TUCURUI VILA.</t>
  </si>
  <si>
    <t>Substituição da Seccionadora (TVST402 ) 69KV, arranjo BS, associado ao TR2, na SE TUCURUI VILA</t>
  </si>
  <si>
    <t>TAP.2025.343</t>
  </si>
  <si>
    <t>Substituição da Seccionadora (TVCA2-02) 13,8kV, arranjo BS associado ao BC1, na SE TUCURUI VILA</t>
  </si>
  <si>
    <t>Substituição da Seccionadora (TVSC2-02) 13,8kV, arranjo BS, associado ao BC1, na SE TUCURUI VILA.</t>
  </si>
  <si>
    <t>Substituição da Seccionadora (TVSC2-12) 13,8kV, arranjo BS, associado ao BC1, na SE TUCURUI VILA.</t>
  </si>
  <si>
    <t>Substituição da Transformador de Corrente (TVTC2-01) 13,8kV, fase B, arranjo BS, associado ao BC1, na SE TUCURUI VILA.</t>
  </si>
  <si>
    <t>Substituição do SPCS (TVSPR01) 13,8kV, associado ao BC1, na SE TUCURUI VILA</t>
  </si>
  <si>
    <t>TAP.2025.286</t>
  </si>
  <si>
    <t>Substituição do Transformador Monofásico TRR1 (05TR) 500/230kV, 100MVA, na SE U.SOBRADINHO.</t>
  </si>
  <si>
    <t>Substituição do Transformador Monofásico TR4 (05T4.A) 500/230kV, 100MVA, fase A, na SE U.SOBRADINHO.</t>
  </si>
  <si>
    <t>Substituição do Transformador Monofásico TR4 (05T4.B) 500/230kV, 100MVA, fase B, na SE U.SOBRADINHO.</t>
  </si>
  <si>
    <t>Substituição do Transformador Monofásico TR4 (05T4.C) 500/230kV, 100MVA, fase C, na SE U.SOBRADINHO.</t>
  </si>
  <si>
    <t>Substituição da Seccionadora (35T4-7A) 500kV, arranjo DJM, associado ao TR4, na SE U.SOBRADINHO.</t>
  </si>
  <si>
    <t>Substituição da Seccionadora (34T4-1A) 230kV, arranjo BD5, associado ao TR4, na SE U.SOBRADINHO.</t>
  </si>
  <si>
    <t>Substituição do Disjuntor (11T4 ) 13,8kV, arranjo BS, associado ao TR4, na SE U.SOBRADINHO.</t>
  </si>
  <si>
    <t>Substituição da Seccionadora (34T4-5B) 230kV, arranjo BD5, associada ao TR4, na SE U.SOBRADINHO.</t>
  </si>
  <si>
    <t>Substituição da Seccionadora (34T4-2B) 230kV, arranjo BD5, associada ao TR4, na SE U.SOBRADINHO.</t>
  </si>
  <si>
    <t>Substituição do Disjuntor (14T4-A ) 230kV, arranjo BD5, associado ao TR4, na SE U.SOBRADINHO.</t>
  </si>
  <si>
    <t>Substituição do Disjuntor (14T4-B ) 230kV, arranjo BD5, associado ao TR4, na SE U.SOBRADINHO.</t>
  </si>
  <si>
    <t>Substituição da Seccionadora (34T4-5A) 230kV, arranjo BD5, associada ao TR4, na SE U.SOBRADINHO.</t>
  </si>
  <si>
    <t>Substituição da Seccionadora (34T4-2A) 230kV, arranjo BD5, associada ao TR4, na SE U.SOBRADINHO.</t>
  </si>
  <si>
    <t>Substituição da Seccionadora (34T4-1B) 230kV, arranjo BD5, associado ao TR4, na SE U.SOBRADINHO.</t>
  </si>
  <si>
    <t>Substituição da Seccionadora (34T4-7C) 230kV, arranjo BD5, associado ao TR4, na SE U.SOBRADINHO.</t>
  </si>
  <si>
    <t>Substituição da Seccionadora (34T4-7A) 230kV, arranjo BD5, associado ao TR4, na SE U.SOBRADINHO.</t>
  </si>
  <si>
    <t>TAP.2025.283</t>
  </si>
  <si>
    <t>Substituição do Reator de Linha Monofásico RT5 (05E5.A) 500kV, 33,3MVAr, fase A, na SE U.SOBRADINHO.</t>
  </si>
  <si>
    <t>Substituição do Reator de Linha Monofásico RT5 (05E5.B) 500kV, 33,3MVAr, fase B, na SE U.SOBRADINHO.</t>
  </si>
  <si>
    <t>Substituição do Reator de Linha Monofásico RT5 (05E5.C) 500kV, 33,3MVAr, fase C, na SE U.SOBRADINHO.</t>
  </si>
  <si>
    <t>Substituição do Reator de Aterramento RTN5 (02E5.N) 69kV, 0,23MVAr, na SE U.SOBRADINHO.</t>
  </si>
  <si>
    <t>TAP.2025.282</t>
  </si>
  <si>
    <t>Substituição do Reator de Linha Monofásico RT4 (05E4.A ) 500kV, 33,3MVAr, fase A, na SE U.SOBRADINHO.</t>
  </si>
  <si>
    <t>Substituição do Reator de Linha Monofásico RT4 (05E4.B ) 500kV, 33,3MVAr, fase B, na SE U.SOBRADINHO.</t>
  </si>
  <si>
    <t>Substituição do Reator de Linha Monofásico RT4 (05E4.C ) 500kV, 33,3MVAr, fase C, na SE U.SOBRADINHO.</t>
  </si>
  <si>
    <t>Substituição do Reator de Aterramento RTN4 (02E4.N) 69kV, 0,23MVAr, na SE U.SOBRADINHO.</t>
  </si>
  <si>
    <t>TAP.2025.281</t>
  </si>
  <si>
    <t>Substituição do Reator de Aterramento RTN3 (02E3.N) 69kV, 0,35MVAr, na SE U.SOBRADINHO.</t>
  </si>
  <si>
    <t>Substituição do SPCS 500 kV, associado ao RT3 na SE U.SOBRADINHO.</t>
  </si>
  <si>
    <t>Substituição do SPCS 500Kv, associado ao RT4 na SE U.SOBRADINHO.</t>
  </si>
  <si>
    <t>Substituição do SPCS 500kV, associado ao RT5, na SE U.SOBRADINHO.</t>
  </si>
  <si>
    <t>Substituição do SPCS 500Kv, associado ao TR4, na SE U.SOBRADINHO.</t>
  </si>
  <si>
    <t>Substituição do SPCS 230kV, associado ao TR4, na SE U.SOBRADINHO.</t>
  </si>
  <si>
    <t>Substituição do Reator de Linha Monofásico RT3 (05E3.A) 500kV, 50MVA, fase A, na SE U.SOBRADINHO.</t>
  </si>
  <si>
    <t>Substituição do Reator de Linha Monofásico RT3 (05E3.B) 500kV, 50MVA, fase B, na SE U.SOBRADINHO.</t>
  </si>
  <si>
    <t>Substituição do Reator de Linha Monofásico RT3 (05E3.C) 500kV, 50MVA, fase C, na SE U.SOBRADINHO.</t>
  </si>
  <si>
    <t>TAP.2025.347</t>
  </si>
  <si>
    <t>Substituição do Transformador Trifásico TR6 (04T6) 230/69/13,8kV, 33,34MVA na SE UB.ESPERANCA.</t>
  </si>
  <si>
    <t>TAP.2025.348</t>
  </si>
  <si>
    <t>Substituição do Transformador Trifásico TR7 (02T7) 69/13,8kV, 5MVA, na SE UB.ESPERANCA.</t>
  </si>
  <si>
    <t>Substituição de Para-raios (72T7.A) 69kV, fase A arranjo BS, associado ao TR7, na SE UB.ESPERANCA.</t>
  </si>
  <si>
    <t>Substituição de Para-raios (71T7) 13,8kV, arranjo BS, associado ao TR7, na SE UB.ESPERANCA.</t>
  </si>
  <si>
    <t>Substituição de Para-raios (72T7.B) 69kV, fase B, arranjo BS, associado ao TR7, na SE UB.ESPERANCA.</t>
  </si>
  <si>
    <t>Substituição de Para-raios (72T7.C) 69kV, fase C, arranjo BS, associado ao TR7, na SE UB.ESPERANCA.</t>
  </si>
  <si>
    <t>TAP.2025.242</t>
  </si>
  <si>
    <t>Substituição do Transformador Trifásico VCAT201 13,8/13,8kV, 41,8MVA, associado ao CS1, na SE VILA DO CONDE</t>
  </si>
  <si>
    <t>Substituição do Disjuntor VCDJ2-04 13,8kV, arranjo BS, associado ao  CS1, na SE VILA DO CONDE</t>
  </si>
  <si>
    <t>Substituição do Disjuntor VCDJ2-05 13,8kV, arranjo BS, associado ao  CS1, na SE VILA DO CONDE</t>
  </si>
  <si>
    <t>Substituição do Transformador de Corrente CS201-MC13-AT201-VCTC201 13,8kV, fase A, arranjo BS, associado ao  CS1, na SE VILA DO CONDE</t>
  </si>
  <si>
    <t>Substituição do Transformador de Corrente CS201-MC13-AT201-VCTC201 13,8kV, fase B, arranjo BS, associado ao CS1, na SE VILA DO CONDE</t>
  </si>
  <si>
    <t>Substituição do Transformador de Corrente CS201-MC13-AT201-VCTC201 13,8kV, fase V, arranjo BS, associado ao CS1, na SE VILA DO CONDE</t>
  </si>
  <si>
    <t>Substituição do Transformador de Corrente CS201-MC13-AT201-VCTC202 13,8kV, fase A, arranjo BS, associado ao CS1, na SE VILA DO CONDE</t>
  </si>
  <si>
    <t>Substituição do Transformador de Corrente CS201-MC13-AT201-VCTC202 13,8kV, fase B, arranjo BS, associado ao CS1, na SE VILA DO CONDE</t>
  </si>
  <si>
    <t>Substituição do Transformador de Corrente CS201-MC13-AT201-VCTC202 13,8kV, fase V, arranjo BS, associado ao CS1, na SE VILA DO CONDE</t>
  </si>
  <si>
    <t>Substituição do Transformador de Corrente CS201-MC13-AT201-VCTC203 13,8kV, fase A, arranjo BS, associado ao CS1, na SE VILA DO CONDE</t>
  </si>
  <si>
    <t>Substituição do Transformador de Corrente CS201-MC13-AT201-VCTC203 13,8kV, fase B, arranjo BS, associado ao CS1, na SE VILA DO CONDE</t>
  </si>
  <si>
    <t>Substituição do Transformador de Corrente CS201-MC13-AT201-VCTC203 13,8kV, fase V, arranjo BS, associado ao CS1, na SE VILA DO CONDE</t>
  </si>
  <si>
    <t>TAP.2025.244</t>
  </si>
  <si>
    <t>Substituição do SPCS VCSPRTF 230kV, associado ao TF1, na SE VILA DO CONDE</t>
  </si>
  <si>
    <t>Substituição do Seccionadora VCCA6-14 230kV, arranjo DJM, associada ao TF1, na SE VILA DO CONDE</t>
  </si>
  <si>
    <t>Substituição do Seccionadora VCST6-04 230kV, arranjo DJM, associada ao TF1, na SE VILA DO CONDE</t>
  </si>
  <si>
    <t>Substituição do Disjuntor VCDJ6-25 230kV, arranjo DJM, associado ao TF1, na SE VILA DO CONDE</t>
  </si>
  <si>
    <t>Substituição do Seccionadora VCSD6-49 230kV, arranjo DJM, associada ao TF1, na SE VILA DO CONDE</t>
  </si>
  <si>
    <t>Substituição do Seccionadora VCSD6-50  230kV, arranjo DJM, associada ao TF1, na SE VILA DO CONDE</t>
  </si>
  <si>
    <t>Substituição do Transformador de Corrente CS201-MC230-VCTC601 230kV, fase A, arranjo DJM, associado ao TF1, na SE VILA DO CONDE</t>
  </si>
  <si>
    <t>Substituição do Transformador de Corrente CS201-MC230-VCTC601 230kV, fase B, arranjo DJM, associado ao TF1, na SE VILA DO CONDE</t>
  </si>
  <si>
    <t>Substituição do Transformador de Corrente CS201-MC230-VCTC601 230kV, fase V, arranjo DJM, associado ao TF1, na SE VILA DO CONDE</t>
  </si>
  <si>
    <t>TAP.2025.243</t>
  </si>
  <si>
    <t>Substituição do Transformador Trifásico VCTF201 13,8/0,44kV, 0,4MVA, associado ao CS1, na SE VILA DO CONDE</t>
  </si>
  <si>
    <t>Substituição do Disjuntor VCDJ203 13,8kV, arranjo BS, associado ao TF201, na SE VILA DO CONDE</t>
  </si>
  <si>
    <t>Substituição do Reator Limitador de Corrente Monofásico VCRL202 13,8kV, 0,69 MVAr, fase A, associado ao TF201, na SE VILA DO CONDE</t>
  </si>
  <si>
    <t>Substituição do Reator Limitador de Corrente Monofásico VCRL202 13,8kV, 0,69 MVAr, fase B, associado ao TF201, na SE VILA DO CONDE</t>
  </si>
  <si>
    <t>Substituição do Reator Limitador de Corrente Monofásico VCRL202 13,8kV, 0,69 MVAr, fase V, associado ao TF201, na SE VILA DO CONDE</t>
  </si>
  <si>
    <t>Substituição do Transformador de Corrente CS201-MC13-TF201-VCTC201 13,8kV, fase A, arranjo BS, associado ao TF201, na SE VILA DO CONDE</t>
  </si>
  <si>
    <t>Substituição do Transformador de Corrente CS201-MC13-TF201-VCTC201 13,8kV, fase B, arranjo BS, associado ao TF201, na SE VILA DO CONDE</t>
  </si>
  <si>
    <t>Substituição do Transformador de Corrente CS201-MC13-TF201-VCTC201 13,8kV, fase V, arranjo BS, associado ao TF201, na SE VILA DO CONDE</t>
  </si>
  <si>
    <t>Substituição do Transformador de Corrente CS201-MC13-TF201-VCTC202 13,8kV, fase A, arranjo BS, associado ao TF201, na SE VILA DO CONDE</t>
  </si>
  <si>
    <t>Substituição do Transformador de Corrente CS201-MC13-TF201-VCTC202 13,8kV, fase B, arranjo BS, associado ao TF201, na SE VILA DO CONDE</t>
  </si>
  <si>
    <t>Substituição do Transformador de Corrente CS201-MC13-TF201-VCTC202 13,8kV, fase V, arranjo BS, associado ao TF201, na SE VILA DO CONDE</t>
  </si>
  <si>
    <t>TAP.2025.245</t>
  </si>
  <si>
    <t>Substituição do SPCS VCSPRTF 230kV, associado ao TF2, na SE VILA DO CONDE</t>
  </si>
  <si>
    <t>Substituição do Disjuntor VCDJ6-28 230kV, arranjo DJM, associado ao TF2, na SE VILA DO CONDE</t>
  </si>
  <si>
    <t>Substituição do Transformador de Corrente CS202-MC230-VCTC601 230kV, fase A, arranjo DJM, associado ao TF2, na SE VILA DO CONDE</t>
  </si>
  <si>
    <t>Substituição do Transformador de Corrente CS202-MC230-VCTC601 230kV, fase B, arranjo DJM, associado ao TF2, na SE VILA DO CONDE</t>
  </si>
  <si>
    <t>Substituição do Transformador de Corrente CS202-MC230-VCTC601 230kV, fase V, arranjo DJM, associado ao TF2, na SE VILA DO CONDE</t>
  </si>
  <si>
    <t>TAP.2025.367</t>
  </si>
  <si>
    <t>Substituição do Disjuntor VCDJ2-12 13,8kV, arranjo BS, associado ao  CS2, na SE VILA DO CONDE.</t>
  </si>
  <si>
    <t>Substituição do Seccionadora VCSS2-02 13,8kV, arranjo BS, associado ao CS2, na SE VILA DO CONDE.</t>
  </si>
  <si>
    <t>Substituição do Transformador VCTF2-06 B 13,8/0,514kV, 0,79MVA,  associado ao CS2, na SE VILA DO CONDE.</t>
  </si>
  <si>
    <t>Substituição do Transformador  VCTF2-06 V 13,8/0,514kV, 0,79MVA, associado ao CS2, na SE VILA DO CONDE.</t>
  </si>
  <si>
    <t>TAP.2025.246</t>
  </si>
  <si>
    <t>Substituição do SPCS VNSPR01 230kV, associado ao BC3, na SE VILHENA</t>
  </si>
  <si>
    <t>TAP.2025.316</t>
  </si>
  <si>
    <t>Substituição do Reator Limitador de Corrente Monofásico RLC1-A 230kV, 0,12MVAr, fase A, na SE XANXERÊ.</t>
  </si>
  <si>
    <t>Substituição do Reator Limitador de Corrente Monofásico RLC1-B 230kV, 0,12MVAr, fase B, na SE XANXERÊ.</t>
  </si>
  <si>
    <t>Substituição do Reator Limitador de Corrente Monofásico RLC1-C 230kV, 0,12MVAr, fase C, na SE XANXERÊ.</t>
  </si>
  <si>
    <t>TAP.2025.387</t>
  </si>
  <si>
    <t>Substituição do sistema de controle e supervisão (com unidade redundante) da LT 230kV Passo Fundo - Xanxerê C1, e dos cabos de controle e potência associados, na SE XANXERE ESU.</t>
  </si>
  <si>
    <t>Substituição do sistema de controle e supervisão (com unidade redundante) da LT 230kV Passo Fundo - Xanxerê C2, e dos cabos de controle e potência associados, na SE XANXERE ESU.</t>
  </si>
  <si>
    <t>TAP.2024.135 - 057/2001</t>
  </si>
  <si>
    <t>TAP.2025.322 - 057/2001</t>
  </si>
  <si>
    <t>TAP.2023.007 - 062/2001</t>
  </si>
  <si>
    <t>B. FLUMINENSE</t>
  </si>
  <si>
    <t>TAP.2023.060 - 061/2001</t>
  </si>
  <si>
    <t>TAP.2023.086 - 062/2001</t>
  </si>
  <si>
    <t>TAP.2025.378 - 061/2001</t>
  </si>
  <si>
    <t>TAP.2023.087 - 062/2001</t>
  </si>
  <si>
    <t>TAP.2023.110 - 057/2001</t>
  </si>
  <si>
    <t>TAP.2024.097 - 061/2001</t>
  </si>
  <si>
    <t>TAP.2025.394 - 061/2001</t>
  </si>
  <si>
    <t>TAP.2025.395 - 061/2001</t>
  </si>
  <si>
    <t>TAP.2023.027 - 058/2001</t>
  </si>
  <si>
    <t>TAP.2023.040 - 062/2001</t>
  </si>
  <si>
    <t>TAP.2023.001 - 062/2001</t>
  </si>
  <si>
    <t>TAP.2025.379 - 061/2001</t>
  </si>
  <si>
    <t>TAP.2025.404 - 058/2001</t>
  </si>
  <si>
    <t>CAXIAS II</t>
  </si>
  <si>
    <t>TAP.2024.067 - 057/2001</t>
  </si>
  <si>
    <t>TAP.2025.397 - 058/2001</t>
  </si>
  <si>
    <t>TAP.2025.398 - 058/2001</t>
  </si>
  <si>
    <t>TAP.2023.012 - 057/2001</t>
  </si>
  <si>
    <t>TAP.2023.112 - 057/2001</t>
  </si>
  <si>
    <t>TAP.2025.380 - 061/2001</t>
  </si>
  <si>
    <t>TAP.2024.166 - 061/2001</t>
  </si>
  <si>
    <t>TAP.2025.408 - 062/2001</t>
  </si>
  <si>
    <t>TAP.2023.006 - 062/2001</t>
  </si>
  <si>
    <t>TAP.2024.171 - 061/2001</t>
  </si>
  <si>
    <t>TAP.2023.004 - 062/2001</t>
  </si>
  <si>
    <t>TAP.2024.165 - 061/2001</t>
  </si>
  <si>
    <t>TAP.2025.341 - 061/2001</t>
  </si>
  <si>
    <t>TAP.2023.070 - 061/2001</t>
  </si>
  <si>
    <t>TAP.2023.077 - 061/2001</t>
  </si>
  <si>
    <t>TAP.2024.015 - 062/2001</t>
  </si>
  <si>
    <t>TAP.2023.046 - 062/2001</t>
  </si>
  <si>
    <t>TAP.2023.073 - 058/2001</t>
  </si>
  <si>
    <t>TAP.2023.002 - 057/2001</t>
  </si>
  <si>
    <t>TAP.2024.098 - 061/2001</t>
  </si>
  <si>
    <t>LT 500 kV MILAGRES II /MILAGRES CE</t>
  </si>
  <si>
    <t>TAP.2025.019 - 061/2001</t>
  </si>
  <si>
    <t>TAP.2025.020 - 061/2001</t>
  </si>
  <si>
    <t>TAP.2025.011 - 061/2001</t>
  </si>
  <si>
    <t>TAP.2025.405 - 062/2001</t>
  </si>
  <si>
    <t>TAP.2024.009 - 061/2001</t>
  </si>
  <si>
    <t>TAP.2025.013 - 062/2001</t>
  </si>
  <si>
    <t>TAP.2023.003 - 058/2001</t>
  </si>
  <si>
    <t>TAP.2023.005 - 062/2001</t>
  </si>
  <si>
    <t>TAP.2025.003 - 058/2001</t>
  </si>
  <si>
    <t>TAP.2025.381 - 061/2001</t>
  </si>
  <si>
    <t>TAP.2024.026 - 062/2001</t>
  </si>
  <si>
    <t>TAP.2024.178 - 061/2001</t>
  </si>
  <si>
    <t>TAP.2024.057 - 061/2001</t>
  </si>
  <si>
    <t>TAP.2023.026 - 061/2001</t>
  </si>
  <si>
    <t>TAP.2025.021 - 061/2001</t>
  </si>
  <si>
    <t>TAP.2023.011 - 057/2001</t>
  </si>
  <si>
    <t>TAP.2025.029 - 058/2001</t>
  </si>
  <si>
    <t>TAP.2025.382 - 061/2001</t>
  </si>
  <si>
    <t>TAP.2025.400 - 061/2001</t>
  </si>
  <si>
    <t>TEIX. FREITAS II</t>
  </si>
  <si>
    <t>TAP.2025.401 - 058/2001</t>
  </si>
  <si>
    <t>VARZEA GRANDE</t>
  </si>
  <si>
    <t>TAP.2023.016 - 062/2001</t>
  </si>
  <si>
    <t>TAP.2025.403 - 061/2001</t>
  </si>
  <si>
    <t>ZEBU II</t>
  </si>
  <si>
    <t>NPR0006 - 058/2001</t>
  </si>
  <si>
    <t>Substituição de RDP (Atendimento aos procedimento de Rede)</t>
  </si>
  <si>
    <t>NPR0001 - 058/2001</t>
  </si>
  <si>
    <t>Instalação do Reator de neutro e equipamento Complementares</t>
  </si>
  <si>
    <t>NPR0005 - 058/2001</t>
  </si>
  <si>
    <t>Instalação de SPCS 500 kV no Sistema Maranhão</t>
  </si>
  <si>
    <t>NPR0002 - 058/2001</t>
  </si>
  <si>
    <t>Instalação de secionador  de 500 kV no Sistema Maranhão</t>
  </si>
  <si>
    <t>NPR0003 - 058/2001</t>
  </si>
  <si>
    <t>Instalação de secionador  de 69 kV no Sistema Maranhão</t>
  </si>
  <si>
    <t>NPR0004 - 058/2001</t>
  </si>
  <si>
    <t>Instalação de Para-raios de 500KV no Sistema Maranhão</t>
  </si>
  <si>
    <t>NPR0007 - 058/2001</t>
  </si>
  <si>
    <t>Instalação de Grupo Gerador Diesel</t>
  </si>
  <si>
    <t>NPR0008 - 012/2009</t>
  </si>
  <si>
    <t>Operação BTB Stand Alone com UHE Jirau</t>
  </si>
  <si>
    <t>NPR0009 - 012/2009</t>
  </si>
  <si>
    <t>Operação Conjunta do BTB com UHE Jirau e UHE Santo Antonio</t>
  </si>
  <si>
    <t>NPR0010 - 012/2009</t>
  </si>
  <si>
    <t>Operação Paralela do BTB com o TF13</t>
  </si>
  <si>
    <t>NPR0011 - 012/2009</t>
  </si>
  <si>
    <t>Configuração Y na SE Coletora Porto Velho</t>
  </si>
  <si>
    <t>NPR0012 - 012/2009</t>
  </si>
  <si>
    <t>Automatismo do Modo Isolado do BTB</t>
  </si>
  <si>
    <t>NPR0013 - 058/2001</t>
  </si>
  <si>
    <t>Adequação do Serviço auxiliar 13,8kV para atendimento ao procedimento de rede</t>
  </si>
  <si>
    <t>CP00084 - 061/2001</t>
  </si>
  <si>
    <t>Adequação NBR 13.231</t>
  </si>
  <si>
    <t>CP00085 - 061/2001</t>
  </si>
  <si>
    <t>Implantação da 2ª fonte de SAUX</t>
  </si>
  <si>
    <t>CP00086 - 061/2001</t>
  </si>
  <si>
    <t>PDIG Reforço</t>
  </si>
  <si>
    <t>CP00089 - 061/2001</t>
  </si>
  <si>
    <t>RDP Reforço</t>
  </si>
  <si>
    <t>CP00087 - 061/2001</t>
  </si>
  <si>
    <t>Projeto de instalação do bay de 69 kV no 02T5 SE SJI</t>
  </si>
  <si>
    <t>CP00088 - 061/2001</t>
  </si>
  <si>
    <t>Implantação Chaves Secionadoras monopolares para Automatização de Transferência do Reator Reserva</t>
  </si>
  <si>
    <t>CP00090 - 061/2001</t>
  </si>
  <si>
    <t>Substituição de Reator de Aterramento</t>
  </si>
  <si>
    <t>CP00090 - 020/2010</t>
  </si>
  <si>
    <t>CP00090 - 019/2010</t>
  </si>
  <si>
    <t>CP00091 - 061/2001</t>
  </si>
  <si>
    <t>RDPs Compensadores - Adequação aos PR do ONS [Reforço]</t>
  </si>
  <si>
    <t>CP00092 - 061/2001</t>
  </si>
  <si>
    <t>RDPs Transformadores e Reatores - Adequação aos PR do ONS [Reforço]</t>
  </si>
  <si>
    <t>CP00098 - 061/2001</t>
  </si>
  <si>
    <t>PDIG LOTE 3D</t>
  </si>
  <si>
    <t>CP00099 - 061/2001</t>
  </si>
  <si>
    <t>PDIG LOTE 5</t>
  </si>
  <si>
    <t>CP00094 - 061/2001</t>
  </si>
  <si>
    <t>SEP SNB E CFO</t>
  </si>
  <si>
    <t>CP00095 - 019/2010</t>
  </si>
  <si>
    <t>REESTRUTURAÇÃO DA REDE DE PROCESSO</t>
  </si>
  <si>
    <t>CP00101 - 061/2001</t>
  </si>
  <si>
    <t>CABOS OPGW LOTE 2 - REFORÇO</t>
  </si>
  <si>
    <t>CP00102 - 061/2001</t>
  </si>
  <si>
    <t>NOVOS SDH FASE 2 - REFORÇO</t>
  </si>
  <si>
    <t>CP00100 - 061/2001</t>
  </si>
  <si>
    <t>NOVOS SDH FASE 4 - REFORÇO</t>
  </si>
  <si>
    <t>CP00096 - 061/2001</t>
  </si>
  <si>
    <t>PDIG LOTE 3C</t>
  </si>
  <si>
    <t>CP00097 - 061/2001</t>
  </si>
  <si>
    <t>PDIG LOTE 3B</t>
  </si>
  <si>
    <t>CP00097 - 008/2005</t>
  </si>
  <si>
    <t>CP00093 - 061/2001</t>
  </si>
  <si>
    <t>PDIG LOTE 3A</t>
  </si>
  <si>
    <t>CP00100 - 004/2010</t>
  </si>
  <si>
    <t>CP00103 - 061/2001</t>
  </si>
  <si>
    <t>CABOS OPGW LOTE 3 - REFORÇO</t>
  </si>
  <si>
    <t>CP00103 - 007/2005</t>
  </si>
  <si>
    <t>SP00039 - 007/2014</t>
  </si>
  <si>
    <t xml:space="preserve">SE DIVERSAS -  Proteção diferencial de barras Unidade de Bay Principal e Alternada - SE's CPFL </t>
  </si>
  <si>
    <t>SP00039 - 004/2008</t>
  </si>
  <si>
    <t>SP00039 - 057/2001</t>
  </si>
  <si>
    <t>SP00040 - 057/2001</t>
  </si>
  <si>
    <t xml:space="preserve">SE CAMPOS NOVOS - Substituição de Equipamentos </t>
  </si>
  <si>
    <t>SP00041 - 057/2001</t>
  </si>
  <si>
    <t xml:space="preserve">SE Biguaçu - Substituição de Equipamentos </t>
  </si>
  <si>
    <t>FP00092 - 062/2001</t>
  </si>
  <si>
    <t>SE Adrianopolis - RPP 2025</t>
  </si>
  <si>
    <t>FP00094 - 062/2001</t>
  </si>
  <si>
    <t>SE Rocha Leão - RPP 2025</t>
  </si>
  <si>
    <t>FP00095 - 062/2001</t>
  </si>
  <si>
    <t>SE BRASÍLIA SUL</t>
  </si>
  <si>
    <t>FP00096 - 062/2001</t>
  </si>
  <si>
    <t>SE Angra - RPP 2025</t>
  </si>
  <si>
    <t>FP00097 - 062/2001</t>
  </si>
  <si>
    <t>SE Angra - MPP 2025</t>
  </si>
  <si>
    <t>FP00093 - 062/2001</t>
  </si>
  <si>
    <t>SEP 345kV AD-RN - RPP 2025</t>
  </si>
  <si>
    <t>FP00098 - 062/2001</t>
  </si>
  <si>
    <t>SE Santa Cruz - SAUX RPP 2025</t>
  </si>
  <si>
    <t>FP00099 - 062/2001</t>
  </si>
  <si>
    <t>SE Guarulhos - RPP 2025</t>
  </si>
  <si>
    <t>FP00101 - 062/2001</t>
  </si>
  <si>
    <t>Instalação de OPGW - SP/MG - RPP 2025</t>
  </si>
  <si>
    <t>FP00100 - 062/2001</t>
  </si>
  <si>
    <t>Instalação de OPGW - RJ/ES - RPP 2025</t>
  </si>
  <si>
    <t>FP00005A - 062/2001</t>
  </si>
  <si>
    <t>SE São José - Substituição de diversos equipamentos por superação do 138kV - complemento</t>
  </si>
  <si>
    <t>FP00026 - 062/2001</t>
  </si>
  <si>
    <t>Gurupi - Teleassistência (Complementação)</t>
  </si>
  <si>
    <t>TAP.2025.414 - 058/2001</t>
  </si>
  <si>
    <t>ABUNÃ</t>
  </si>
  <si>
    <t>TAP.2025.415 - 058/2001</t>
  </si>
  <si>
    <t>Origem</t>
  </si>
  <si>
    <t>Número da LO</t>
  </si>
  <si>
    <t>Data de Emissão</t>
  </si>
  <si>
    <t>Data de Validade</t>
  </si>
  <si>
    <t>Status da Licença</t>
  </si>
  <si>
    <t>Ativos</t>
  </si>
  <si>
    <t>LO Nº 2811/2023</t>
  </si>
  <si>
    <t>LO válida</t>
  </si>
  <si>
    <t>PCH Barra do Rio Chapéu</t>
  </si>
  <si>
    <t>RLIO nº 2473/2024</t>
  </si>
  <si>
    <t>CGH Cachoeira Branca</t>
  </si>
  <si>
    <t>LO nº 991/2010 - 1ª Renovação</t>
  </si>
  <si>
    <t>UTE Candiota III</t>
  </si>
  <si>
    <t>LO nº 245/2019</t>
  </si>
  <si>
    <t>UHE São Domingos</t>
  </si>
  <si>
    <t>LO Nº 1685/2024</t>
  </si>
  <si>
    <t>Parque Eólico Coxilha Negra</t>
  </si>
  <si>
    <t>LO n° 1128/2023</t>
  </si>
  <si>
    <t>PCH João Borges</t>
  </si>
  <si>
    <t>LO nº 2478/2023</t>
  </si>
  <si>
    <t>UHE Passo São João</t>
  </si>
  <si>
    <t>LO nº 2269/2023</t>
  </si>
  <si>
    <t>UEE Capão do Inglês , UEE Cerro Chato 1 , UEE Cerro Chato 2 , UEE Cerro Chato 3 , UEE Coxilha Seca , UEE Galpões</t>
  </si>
  <si>
    <t>LO - Nº 03.00074.2025</t>
  </si>
  <si>
    <t>CRESP</t>
  </si>
  <si>
    <t>LO N° 1641/2025</t>
  </si>
  <si>
    <t>UHE LUIZ GONZAGA</t>
  </si>
  <si>
    <t>1633/2023</t>
  </si>
  <si>
    <t>UHE CUREMAS</t>
  </si>
  <si>
    <t>406/2004 - 1° Renovação</t>
  </si>
  <si>
    <t>UHE SOBRADINHO</t>
  </si>
  <si>
    <t>509/2005</t>
  </si>
  <si>
    <t>UHE APOLONIO SALES , UHE Paulo Afonso I , UHE Paulo Afonso II , UHE Paulo Afonso III , UHE Paulo Afonso IV</t>
  </si>
  <si>
    <t>Portaria 27.402/2022</t>
  </si>
  <si>
    <t>UHE PEDRA</t>
  </si>
  <si>
    <t>147/2001</t>
  </si>
  <si>
    <t>UHE XINGO</t>
  </si>
  <si>
    <t>Portaria nº 18.876</t>
  </si>
  <si>
    <t>LO Solicitada renovação no prazo</t>
  </si>
  <si>
    <t>UEE TAMANDUÁ MIRIM 2</t>
  </si>
  <si>
    <t>Portaria nº 18.071</t>
  </si>
  <si>
    <t>UEE ANGICAL 2</t>
  </si>
  <si>
    <t>PORTARIA 15.278/2017</t>
  </si>
  <si>
    <t>UEE CASA NOVA III</t>
  </si>
  <si>
    <t>PORTARIA 21.786/2020</t>
  </si>
  <si>
    <t>CASA NOVA A</t>
  </si>
  <si>
    <t>Portaria nº 17.723</t>
  </si>
  <si>
    <t>COQUEIRINHO 2</t>
  </si>
  <si>
    <t>Portaria nº 18.601</t>
  </si>
  <si>
    <t>UEE ACAUÃ</t>
  </si>
  <si>
    <t>Portaria nº 18.873</t>
  </si>
  <si>
    <t>PAPAGAIO</t>
  </si>
  <si>
    <t>Portaria nº 19.580</t>
  </si>
  <si>
    <t>UEE ARAPAPÁ</t>
  </si>
  <si>
    <t>Portaria nº 19.581</t>
  </si>
  <si>
    <t>UEE TEIU 2</t>
  </si>
  <si>
    <t>Portaria nº 19.914</t>
  </si>
  <si>
    <t>UEE CAITITU 2</t>
  </si>
  <si>
    <t>Portaria 25.820</t>
  </si>
  <si>
    <t>Planta Piloto Eólico Solar Casa Nova I A</t>
  </si>
  <si>
    <t>PORTARIA 15.279/2017</t>
  </si>
  <si>
    <t>UEE CASA NOVA II</t>
  </si>
  <si>
    <t>RESOLUÇÃO CEPRAM 2861</t>
  </si>
  <si>
    <t>Portaria nº 20.085</t>
  </si>
  <si>
    <t>UEE CORRUPIÃO 3</t>
  </si>
  <si>
    <t>Portaria nº 20.107</t>
  </si>
  <si>
    <t>UEE CARCARÁ</t>
  </si>
  <si>
    <t>Portaria nº 19.927</t>
  </si>
  <si>
    <t>UEE CAITITU 3</t>
  </si>
  <si>
    <t>319/2013</t>
  </si>
  <si>
    <t>UHE BOA ESPERANÇA</t>
  </si>
  <si>
    <t>342/99-15</t>
  </si>
  <si>
    <t>UTE Aparecida</t>
  </si>
  <si>
    <t>13777/2022</t>
  </si>
  <si>
    <t>UHE CURUÁ-UNA</t>
  </si>
  <si>
    <t>624/13-04</t>
  </si>
  <si>
    <t>UTE ANORI</t>
  </si>
  <si>
    <t>554/13-04</t>
  </si>
  <si>
    <t>UTE CAAPIRANGA</t>
  </si>
  <si>
    <t>544/13-04</t>
  </si>
  <si>
    <t>UTE ANAMÃ</t>
  </si>
  <si>
    <t>UHE SAMUEL</t>
  </si>
  <si>
    <t>13592/2022</t>
  </si>
  <si>
    <t>UHE TUCURUÍ</t>
  </si>
  <si>
    <t>031/17-02</t>
  </si>
  <si>
    <t>UTE MAUÁ 3</t>
  </si>
  <si>
    <t>368/13-03</t>
  </si>
  <si>
    <t>UTE CODAJÁS</t>
  </si>
  <si>
    <t>043/95-15</t>
  </si>
  <si>
    <t>UTE RIO NEGRO</t>
  </si>
  <si>
    <t>0484/2016</t>
  </si>
  <si>
    <t>UHE COARACY NUNES</t>
  </si>
  <si>
    <t>023/87-17</t>
  </si>
  <si>
    <t>UHE BALBINA</t>
  </si>
  <si>
    <t>Operação Sudeste</t>
  </si>
  <si>
    <t>LO 1305-2015 1ª Renovação</t>
  </si>
  <si>
    <t>UHE Porto Colômbia</t>
  </si>
  <si>
    <t>LO 1392-2017</t>
  </si>
  <si>
    <t>UHE Luiz Carlos Barreto de Carvalho</t>
  </si>
  <si>
    <t>LO 1074-2012 (Retificação)</t>
  </si>
  <si>
    <t>AHE Simplício - Queda Única</t>
  </si>
  <si>
    <t>LO REN 613-2007</t>
  </si>
  <si>
    <t>UHE Itumbiara</t>
  </si>
  <si>
    <t>LO 1079-2012  - 1ª Renovação 1ª Retificação</t>
  </si>
  <si>
    <t>UHE Funil</t>
  </si>
  <si>
    <t>LO Nº IN003988</t>
  </si>
  <si>
    <t>UTE Santa Cruz</t>
  </si>
  <si>
    <t>LO nº 1687/2024</t>
  </si>
  <si>
    <t>UHE Batalha</t>
  </si>
  <si>
    <t>LO FE002662</t>
  </si>
  <si>
    <t>UTE Campos</t>
  </si>
  <si>
    <t>LO 088/2003 - 1a. RENOVAÇÃO</t>
  </si>
  <si>
    <t>UHE Serra da Mesa</t>
  </si>
  <si>
    <t>LO 1036/2011</t>
  </si>
  <si>
    <t>UHE Marimbondo</t>
  </si>
  <si>
    <t>Licença de Funcionamento 1051-2016</t>
  </si>
  <si>
    <t>UHE Corumbá</t>
  </si>
  <si>
    <t>LO 318804/2019</t>
  </si>
  <si>
    <t>APM Manso</t>
  </si>
  <si>
    <t>LO N° 1044/2011 - 1° Renovação - 3° Retificação</t>
  </si>
  <si>
    <t>UHE Santo Antônio</t>
  </si>
  <si>
    <t>LO Nº 1272/2014 - 2ª Renovação</t>
  </si>
  <si>
    <t>UHE Teles Pires</t>
  </si>
  <si>
    <t>LO nº001-SUPRAM CM</t>
  </si>
  <si>
    <t>UHE Retiro Baixo</t>
  </si>
  <si>
    <t>2016-102112/TEC/RLO-0228</t>
  </si>
  <si>
    <t>LO nº 291647</t>
  </si>
  <si>
    <t>LT 230kV Areia - Guarapuava Oeste C1 (SE Guarapuava Oeste até a torre VOO18R) , LT 230kV Guarapuava Oeste - Irati Norte C1 (SE Guarapuava Oeste até á torre VOO18R)</t>
  </si>
  <si>
    <t>LAO Nº 7517/2022</t>
  </si>
  <si>
    <t>LT 230kV Joinville - Vega do Sul C1 , LT 230kV Joinville - Vega do Sul C2</t>
  </si>
  <si>
    <t>RLO n° 134/2022</t>
  </si>
  <si>
    <t>LT 138kV Água Clara - São Domingos C1</t>
  </si>
  <si>
    <t>LO nº 111/2022</t>
  </si>
  <si>
    <t>SE Coletora Itararé</t>
  </si>
  <si>
    <t>273616-R1</t>
  </si>
  <si>
    <t>SE Ivaiporã , SE Ivaiporã</t>
  </si>
  <si>
    <t>LAO N. 2494/2024</t>
  </si>
  <si>
    <t>SE Biguaçu</t>
  </si>
  <si>
    <t>LO nº 1229/2019</t>
  </si>
  <si>
    <t>SE Joinville Norte</t>
  </si>
  <si>
    <t>LO n° 2370/2020</t>
  </si>
  <si>
    <t>LT Jorge Lacerda B - Palhoça C1 (em CD comJLA-JLB C2 até a torre 7130TO002) , LT 230kV Jorge Lacerda A - Jorge Lacerda B C2 (em CD com torre 7130TO002 JLB-PAL C1)</t>
  </si>
  <si>
    <t>LO n° 5256/2020</t>
  </si>
  <si>
    <t>LT 525kV Biguaçu - Abdon Batista C1 , LT 525kV Abdon Batista - Campos Novos C1 , LT 525kV Biguaçu - Blumenau C1</t>
  </si>
  <si>
    <t>1699/2024</t>
  </si>
  <si>
    <t>LT 230 kV Biguaçu - Palhoça , LT 230kV Biguaçu - Desterro , SE Desterro</t>
  </si>
  <si>
    <t>LO n° 7984/2022</t>
  </si>
  <si>
    <t>LT 230kV Curitiba - Joinville Norte C1 (SE Joinville Norte até a torre 7050TO005R) , LT 230kV Joinville - Joinville Norte C1 (SE Joinville Norte até a torre 7050TO005R)</t>
  </si>
  <si>
    <t>LO n° 11/2023</t>
  </si>
  <si>
    <t>LT 230kV Blumenau - Joinville Norte C1 (SE Joinv. Norte até a torre 7110TO157)</t>
  </si>
  <si>
    <t>LO nº 298211</t>
  </si>
  <si>
    <t>LT 230kV Irati Norte - Ponta Grossa (SE Ponta Grossa até a torre V0344R) , LT 230kV Ponta Grossa Norte- Ponta Grossa  C1 (SE Ponta Grossa até a torre V0344R)</t>
  </si>
  <si>
    <t>LO nº 2165/2018</t>
  </si>
  <si>
    <t>LT 525kV Itá - Campos Novos</t>
  </si>
  <si>
    <t>LO nº 839/2024</t>
  </si>
  <si>
    <t>LT 69kV Barra do Rio Chapéu - Braço do Norte</t>
  </si>
  <si>
    <t>7547/2024</t>
  </si>
  <si>
    <t>SE Itajaí</t>
  </si>
  <si>
    <t>LO nº 303226-R1</t>
  </si>
  <si>
    <t>LT 230kV Guarapuava Oeste - Irati Norte C1 (SE Irati Norte até a torre V0240R) , LT 230kV Irati Norte - Ponta Grossa (SE Irati Norte até a torre V0240R)</t>
  </si>
  <si>
    <t>LO nº 836/2009</t>
  </si>
  <si>
    <t>LT 525kV Campos Novos - Nova Santa Rita</t>
  </si>
  <si>
    <t>LO n° 00911/2024</t>
  </si>
  <si>
    <t>LT 525kV Guaíba 3 - Nova Santa Rita C1 (SE Nova Santa Rita até a Torre V0076R) , LT 525 kV Povo Novo - Marmeleiro2 , LT 525kV Guaíba 3 - Povo Novo C1 (Torre 8580TO075 até a SE Povo Novo) , SE Marmeleiro 2 , SE Povo Novo , SE Santa Vitória do Palmar 2 , LT 525 kV Marmeleiro2 - Santa Vitória do Palmar2 C1</t>
  </si>
  <si>
    <t>LO nº 1223/2014</t>
  </si>
  <si>
    <t>LT 525kV Itá - Nova Santa Rita C2 , LT 525kV Itá - Salto Santiago  C2</t>
  </si>
  <si>
    <t>LOER nº 3200/2024</t>
  </si>
  <si>
    <t>LT 230kV Santo Ângelo - Maçambará C2</t>
  </si>
  <si>
    <t>LO Nº 199/2002 - 3ª Renovação - 1ª Retificação</t>
  </si>
  <si>
    <t>LT 525kV Itá - Caxias</t>
  </si>
  <si>
    <t>LO nº 1609/2021</t>
  </si>
  <si>
    <t>LT 230KV Foz do Chapecó - Pinhalzinho2 C2</t>
  </si>
  <si>
    <t>LO nº 1428/2018 - 1ª RETIFICAÇÃO</t>
  </si>
  <si>
    <t>LT 230KV Foz do Chapecó - Pinhalzinho2 C1 , SE Pinhalzinho 2</t>
  </si>
  <si>
    <t>LO nº 1225/2014 - 1ª Retificação</t>
  </si>
  <si>
    <t>LT Itajaí - Camboriú Morro do Boi (ITJ-CMB) , LT Itajaí - Itajaí Fazenda (ITJ-IFA) , LT Joinville - Joinville GM (JOI-JGM) , LT 230 kV Biguaçu - Gaspar 2 C1 , LT 230kV Biguaçu - Jorge Lacerda B, C1 , LT 230kV Blumenau - Gaspar2 C1 , LT 230kV Blumenau - Gaspar2 C2 , LT 230kV Blumenau - Joinville C1 , LT 230kV Blumenau - Joinville Norte C1 , LT 230kV Gaspar2 - Palhoça C1 , LT 230kV Jorge Lacerda B - Palhoça C1 , LT 230kV Jorge Lacerda B - Siderópolis C1 , LT 230kV Jorge Lacerda B - Siderópolis C2 , LT 230kV Jorge Lacerda B - UT Jorge Lacerda C1 , LT 230kV Jorge Lacerda B - UT Jorge Lacerda C2 , LT Araquari Hyosung - Joinville SC (AHG-JSC) , LT Biguaçu - Itajaí Fazenda (BIG-IFA) , LT Biguaçu - Tijucas (BIG-TJS) , LT Blumenau - Gaspar (BLU-GPR) , LT Blumenau - Ilhota (BLU-ITA) , LT Camboriú Morro do Boi - Tijucas (CMB-TJS) , LT Florianópolis - Palhoça 1 (FLO-PAL-1) , LT Florianópolis - Palhoça 2 (FLO-PAL-2) , LT Ilhota - Araquari Hyosung (ITA-AHG) , LT Ilhota - Gaspar (ITA-GPR) , LT Ilhota - Itajaí 1 (ITA-ITJ-1) , LT Ilhota - Itajaí 1 (ITA-ITJ-2) , LT Ilhota - Piçarras (ITA-PCS) , LT Imbituba - Palhoça Pinheira (IBA-PPA) , LT Joinville - Joinville Santa Catarina (JOI-JSC) , LT Joinville GM - Joinville SC (JGM-JSC) , LT Joinville Santa Catarina - Piçarras (JSC-PCS) , LT Jorge Lacerda A - Imbituba (JLA-IBA) , LT Jorge Lacerda A - Palhoça (JLA-PAL) , LT Palhoça - Palhoça Pinheira (PAL-PPA) , SE Blumenau , SE Florianópolis , SE Ilhota , SE Joinville , SE Jorge Lacerda A , SE Jorge Lacerda B , SE Palhoça , SE Siderópolis</t>
  </si>
  <si>
    <t>LO N° 1281/2014 - 1° RENOVAÇÃO</t>
  </si>
  <si>
    <t>LT 230kV Candiota - Presidente Médici C1 , LT 525kV Candiota - CO Melo C1 , SE Candiota</t>
  </si>
  <si>
    <t>LO nº 00674/2024</t>
  </si>
  <si>
    <t>LT 230 kV Camaquã3 - Nova Santa Rita , LT 230 kV Camaquã3 - Povo Novo , LT 230 kV Povo Novo - Quinta , SE Camaquã 3</t>
  </si>
  <si>
    <t>LO nº 2372/2023</t>
  </si>
  <si>
    <t>LT 230kV Biguaçu - Gaspar2 C1 (SE Gaspar 2 até a torre 7430TO422R) , LT 230kV Blumenau - Gaspar2 C1 (SE Gaspar 2 até a torre 7440TO422R)</t>
  </si>
  <si>
    <t>LO n° 1664/2023</t>
  </si>
  <si>
    <t>LT 230kV Londrina - Sarandi C1 (SE Sarandi até a torre 7340TO048) , LT 230kV Maringá - Sarandi C2 (SE Sarandi até a torre 7340TO047)</t>
  </si>
  <si>
    <t>LO n° 2167/2024</t>
  </si>
  <si>
    <t>LT Ramal GRA3 230 kV (trecho da LT GRA3 - CIAG – a partir da TO 0006 até SE GRA3 , Trecho da LT 230kV Vila Maria – Nova Prata 2 C2 (torres 0303R – 299R – Pórtico) , Trecho da LT 525kV Ytá – Nova Santa Rita C1 (torres 0668 até o Pórtico SE nova Santa Rita) , LT 230 kV Atlântida 2 - Gravataí 3 (em CD com ATL-OSO3 até TO 0084 ) , LT 230 kV Atlântida 2 - Osório 2 (em Circuito Duplo (CD) com ATL-GRA3) , LT 230 kV Caxias - Caxias 5 , LT 230 kV Garibaldi 1 – Vinhedos C1 (em CD com MCL-VIN entre as TO0058R e 0067R , LT 230 kV Monte Claro – Vinhedos C1 (em CD com GAR-VIN entre as TO0058R e 0067R) , LT 230kV Presidente Médici - Santa Cruz C1 , LT Ramal GRA3 230 kV (trecho da LTGRA2-GRA3 – a partir da TO 0030 até SE GRA3) , SE Atlântida 2 , SE Caxias , SE Caxias 6 , SE Cerro Chato , SE Foz do Chapecó , SE Gravataí 3 , SE Ijuí 2 , SE Lajeado Grande , SE Missões , SE Nova Petrópolis 2 , SE Nova Santa Rita , SE Santo Ângelo , SE Tapera 2 , Trecho da LT 230kV Caxias 5 – Lajeado Grande  (torres 0135/0136/0004R até o Pórtico SE Caxias 5 – em CD a partir da TO 0004R com trecho da FAR-CAX5 C1) , Trecho da LT 230kV Farroupilha – Caxias 5  (torres 0006/0005/0004R até o Pórtico SE Caxias 55 – em CD a partir da TO 0004R com trecho da LGR-CAX5 C1) , Trecho da LT 230kV Monte Claro - Nova Prata 2 C2 (torres 0025R – 0001R -  Pórtico SE Nova Prata 2– em CD com trecho da NPR2-VMT C2" , Trecho da LT 230kV Nova Prata 2 – Vila Maria C2 (torres  0025R – 0001R - Pórtico SE Nova Prata 2 – em CD com trecho da MLC-NPR2 C2) , Trecho da LT 230kV Passo Fundo – Vila Maria C1 – (torres 0301R – 0302R – Pórtico) , Trecho da LT 230kV Passo Fundo – Vila Maria C2 (torres 0303R – 0302R – Pórtico) , Trecho da LT 230kV Vila Maria – Nova Prata 2 C1 (torres 300R – 299R – Pórtico) , Trecho da LT 525kV  Gravataí – Nova Santa Rita C1 (torres 0005 até o Pórtico SE nova Santa Rita</t>
  </si>
  <si>
    <t>LO nº 956/2010 - 1º Renovação</t>
  </si>
  <si>
    <t>LT 230kV Foz do Chapecó - Guarita C1 , LT 230kV Foz do Chapecó - Xanxerê C1 , LT 230kV Foz do Chapecó - Xanxerê C2</t>
  </si>
  <si>
    <t>LO n° 1350/2016</t>
  </si>
  <si>
    <t>LT 138kV Ivinhema2 - Nova Andradina C1 (SE Nova Andradina até a torre 6380TO001R) , LT 138kV Nova Andradina - Porto Primavera C1 (SE Nova Andradina até a torre 6380TO001R)</t>
  </si>
  <si>
    <t>LO n° 7487/2016</t>
  </si>
  <si>
    <t>LT 230kV Londrina - Londrina Copel C2 (SE Londrina até a torre 7330TO068R) , LT 230kV Londrina - Sarandi C1 (SE Londrina até a torre 7330TO068R)</t>
  </si>
  <si>
    <t>LO nº 36352/2019</t>
  </si>
  <si>
    <t>LT 525kV Cascavel Oeste - Ivaiporã C1 , LT 525kV Ivaiporã - Salto Santiago C2</t>
  </si>
  <si>
    <t>LO n° 235/2019</t>
  </si>
  <si>
    <t>SE Ivinhema 2</t>
  </si>
  <si>
    <t>LO nº 807/2008 - 1ª Renovação</t>
  </si>
  <si>
    <t>LT 230 kV Biguaçu - Gaspar 2 (SEBIG até TO250) , LT 230 kV Biguaçu - Jorge Lacerda B (SEBIG até TO248) , LT Biguaçu - Florianópolis C1 (BIG-FLO) até Torre 011R , LT Biguaçu - Florianópolis C2 (BIG-FLO) até Torre 011R , LT Biguaçu - Itajaí Fazenda (BIG-IFA) até Torre 011R , LT Biguaçu - Tijucas (BIG-TJS) até Torre 011R</t>
  </si>
  <si>
    <t>LO nº 1259/2014</t>
  </si>
  <si>
    <t>LT 230kV Areia - Salto Osório C1 , LT 230kV Areia - Salto Osório C2 , LT 230kV Passo Fundo - Xanxerê C1 , LT 230kV Passo Fundo - Xanxerê C2 , LT 230kV Pato Branco - Xanxerê C1 , LT 230kV Salto Osório - Pato Branco C1 , LT 230kV Salto Osório - Xanxerê C1 , LT 525kV Areia - Campos Novos C1 , LT 525kV Areia - UH Gov. Bento Munhoz C1 , LT 525kV Areia - UH Gov. Bento Munhoz C2 , LT 525kV Areia -Segredo C1 , LT 525kV Salto Santiago - Itá C1 , LT 525kV Salto Santiago -Segredo C1 , LT 69kV Salto Osório - Salto Santiago C1 , SE Areia , SE Campos Novos , SE Itá , SE Machadinho , SE Passo Fundo , SE Salto Osório , SE Salto Santiago , SE Xanxerê</t>
  </si>
  <si>
    <t>1672/2025</t>
  </si>
  <si>
    <t>LT 138kV Campo Grande - Mimoso C2 , LT 138kV Campo Grande - Mimoso C3 , LT 138kV Campo Grande - Mimoso C4 , LT 138kV Jupiá - Mimoso C2 , LT 138kV Jupiá - Mimoso C3 , LT 138kV Jupiá - Mimoso C4 , SE Campo Grande , SE Mimoso</t>
  </si>
  <si>
    <t>LO Nº 7247/2021</t>
  </si>
  <si>
    <t>LT 230kV Blumenau - Itajaí C1 , LT 230kV Blumenau - Itajaí C2</t>
  </si>
  <si>
    <t>2024.0205154975.EXP.LON</t>
  </si>
  <si>
    <t>SE RIO LARGO II</t>
  </si>
  <si>
    <t>05.21.03.001110-6</t>
  </si>
  <si>
    <t>ANGELIM - TACAIMBO, 230 KV, C1 , ANGELIM - TACAIMBO, 230 KV, C2 , SE TACAIMBO</t>
  </si>
  <si>
    <t>001/2023 - SUDEMA - PREF ICO</t>
  </si>
  <si>
    <t>SE ICO</t>
  </si>
  <si>
    <t>216/2024</t>
  </si>
  <si>
    <t>SE CAUIPE</t>
  </si>
  <si>
    <t>05.21.03.000715-4</t>
  </si>
  <si>
    <t>SE JOAIRAM</t>
  </si>
  <si>
    <t>05.21.03.000721-5</t>
  </si>
  <si>
    <t>ANGELIM - RECIFE II, 230 KV, C2</t>
  </si>
  <si>
    <t>05.21.03.000720-8</t>
  </si>
  <si>
    <t>SE RECIFE II</t>
  </si>
  <si>
    <t>159/2023</t>
  </si>
  <si>
    <t>SE IBIAPINA II</t>
  </si>
  <si>
    <t>86/2000 2 Renovação</t>
  </si>
  <si>
    <t>JARDIM - CAMACARI IV, 500 KV, C1 , SE CAMAÇARI II , SE CAMAÇARI IV , SE JARDIM</t>
  </si>
  <si>
    <t>2019-133717/TEC/RLO-0110</t>
  </si>
  <si>
    <t>SE NATAL III</t>
  </si>
  <si>
    <t>2019-147623/TEC/RLO-0994</t>
  </si>
  <si>
    <t>SE SE TOUROS</t>
  </si>
  <si>
    <t>05.21.02.000535-1</t>
  </si>
  <si>
    <t>RIBEIRAO - RECIFE II, 230 KV, C1</t>
  </si>
  <si>
    <t>231/2022</t>
  </si>
  <si>
    <t>LIBRA - LIBRA, 230 KV, C1</t>
  </si>
  <si>
    <t>2021-170427/TEC/RLO-1155</t>
  </si>
  <si>
    <t>SANTANA DO MATOS II - ACU II, 138 KV, C1</t>
  </si>
  <si>
    <t>2021-172420/TEC/RLS-0417</t>
  </si>
  <si>
    <t>SE EXTREMOZ II</t>
  </si>
  <si>
    <t>05.21.03.000728-4</t>
  </si>
  <si>
    <t>SE MIRUEIRA , SE MIRUEIRA II , RECIFE II - MIRUEIRA, 230 KV, C1</t>
  </si>
  <si>
    <t>128/2020</t>
  </si>
  <si>
    <t>CAUIPE - FORTALEZA II, 230 KV, C1 (04S3)</t>
  </si>
  <si>
    <t>211/2020</t>
  </si>
  <si>
    <t>FORTALEZA II - DELMIRO GOUVEIA, 230 KV, C1 , FORTALEZA II - DELMIRO GOUVEIA, 230 KV, C2</t>
  </si>
  <si>
    <t>2019-131292/TEC/LO-0015</t>
  </si>
  <si>
    <t>SE SANTA CRUZ II</t>
  </si>
  <si>
    <t>05.22.08.003640-8</t>
  </si>
  <si>
    <t>JOAIRAM - BONGI, 230 KV, C1 , JOAIRAM - BONGI, 230 KV, C2 , JOAIRAM - BONGI, 230 KV, C3</t>
  </si>
  <si>
    <t>2020-152885/TEC/RLO-0783</t>
  </si>
  <si>
    <t>PARAISO - LAGOA NOVA II, 230 KV, C1</t>
  </si>
  <si>
    <t>2017-109093/TEC/LO-0103</t>
  </si>
  <si>
    <t>SE MOSSORO II</t>
  </si>
  <si>
    <t>2021-171155/TEC/RLO-1187</t>
  </si>
  <si>
    <t>JOAO CAMARA III - CEARA MIRIM II, 500 KV, C1</t>
  </si>
  <si>
    <t>2018-125166/TEC/RLO-0890</t>
  </si>
  <si>
    <t>PARAISO - NATAL II, 230 KV, C1 , PARAISO - NATAL II, 230 KV, C2</t>
  </si>
  <si>
    <t>2020-156494/TEC/LO-0256</t>
  </si>
  <si>
    <t>MOSSORO II - ACU II, 230 kV, C2 , PARAISO - ACU C3</t>
  </si>
  <si>
    <t>107/2025</t>
  </si>
  <si>
    <t>XINGO - JARDIM, 500 KV, C1</t>
  </si>
  <si>
    <t>075/2024</t>
  </si>
  <si>
    <t>SE SOBRAL II</t>
  </si>
  <si>
    <t>1395/2017-2ª Retificação</t>
  </si>
  <si>
    <t>SE FORTALEZA I , SE FORTALEZA II , FORTALEZA II - CAUIPE, 230 KV, C1 (04S1) , FORTALEZA II - FORTALEZA, 230 KV, C1 , FORTALEZA II - FORTALEZA, 230 KV, C2 , FORTALEZA II - FORTALEZA, 230 KV, C3 , FORTALEZA II - MARACANAU II, 230 KV, C1 , MARACANAU II - CAUIPE, 230 KV, C1 , SE PECEM II , PECEM II - FORTALEZA II, 500 KV, C1 , PRESIDENTE DUTRA - TERESINA II, 500 KV, C1 , PRESIDENTE DUTRA - TERESINA II, 500 KV, C2 , SE SOBRAL III , SOBRAL III - PECEM II, 500 KV, C1 , SE TERESINA II , TERESINA II - SOBRAL III, 500 KV, C1 , SE TIANGUA II , Teresina II/Tianguá II, 500 kV , Tianguá II/ Sobral III 500kV</t>
  </si>
  <si>
    <t>004/2024</t>
  </si>
  <si>
    <t>SE QUIXADA</t>
  </si>
  <si>
    <t>03.22.08.003742-5</t>
  </si>
  <si>
    <t>RECIFE II - JOAIRAM, 230 KV, C1 , RECIFE II - JOAIRAM, 230 KV, C2 , RECIFE II - JOAIRAM, 230 KV, C3</t>
  </si>
  <si>
    <t>371/2024</t>
  </si>
  <si>
    <t>SE MILAGRES</t>
  </si>
  <si>
    <t>2059/2022</t>
  </si>
  <si>
    <t>SE PILOES II</t>
  </si>
  <si>
    <t>2021-165038/TEC/RLO-0718</t>
  </si>
  <si>
    <t>MOSSORO II - MOSSORO IV, 230 KV, C1</t>
  </si>
  <si>
    <t>1400/2017</t>
  </si>
  <si>
    <t>IBIAPINA II - PIRIPIRI, 230 KV, C1 , BOA ESPERANCA - TERESINA, 230 KV, C1 , BOA ESPERANCA - TERESINA, 230 KV, C2 , SAO JOAO PIAUI - BOA ESPERANCA, 500 KV, C1 , BOA ESPERANCA , BOA ESPERANÇA II , LT 230 kV BOA ESPERANÇA - BOA ESPERANÇA II</t>
  </si>
  <si>
    <t>Nº PI-RLO.05655-7/2023</t>
  </si>
  <si>
    <t>SE PICOS , SAO JOAO PIAUI - PICOS, 230 KV, C1</t>
  </si>
  <si>
    <t>2024.10.02-0001</t>
  </si>
  <si>
    <t>SE ACARAU II</t>
  </si>
  <si>
    <t>LO PD063/2023</t>
  </si>
  <si>
    <t>SE PICI II</t>
  </si>
  <si>
    <t>0034/2024</t>
  </si>
  <si>
    <t>SE COTEMINAS</t>
  </si>
  <si>
    <t>563/2022</t>
  </si>
  <si>
    <t>GOIANINHA - SANTA RITA II, 230 KV, C1 , SE SANTA RITA II , SANTA RITA II - MUSSURE II, 230 KV, C1</t>
  </si>
  <si>
    <t>001/2024</t>
  </si>
  <si>
    <t>SE TAUA II</t>
  </si>
  <si>
    <t>D000007/24</t>
  </si>
  <si>
    <t>TERESINA - PIRIPIRI, 230 KV, C1 , SE PIRIPIRI , SE TERESINA I</t>
  </si>
  <si>
    <t>110/2025</t>
  </si>
  <si>
    <t>QUIXADA - FORTALEZA II, 500 KV, C1</t>
  </si>
  <si>
    <t>05.25.04.002618-1</t>
  </si>
  <si>
    <t>SE BONGI , BONGI - ACONORTE, 230 KV, C1</t>
  </si>
  <si>
    <t>05.25.04.002557-3</t>
  </si>
  <si>
    <t>SE JABOATAO II , JABOATAO II - PIRAPAMA II, 230 KV, C1 , RECIFE II - JABOATAO II, 230 KV, C1</t>
  </si>
  <si>
    <t>05.25.04.002616-7</t>
  </si>
  <si>
    <t>SE PIRAPAMA II , RECIFE II - PIRAPAMA II, 230 KV, C1 , RECIFE II - PIRAPAMA II, 230 KV, C2</t>
  </si>
  <si>
    <t>D000005/25</t>
  </si>
  <si>
    <t>SE ELISEU MARTINS</t>
  </si>
  <si>
    <t>2025.20051644986.EXP.LON</t>
  </si>
  <si>
    <t>RIO LARGO II - BRASKEM, 230 KV, C1</t>
  </si>
  <si>
    <t>2025.21051645675.EXP.LON</t>
  </si>
  <si>
    <t>MESSIAS - RIO LARGO II, 230 KV, C1 , MESSIAS - RIO LARGO II, 230 KV, C2 , MESSIAS - RIO LARGO II, 230 KV, C3</t>
  </si>
  <si>
    <t>2024-206611/TEC/RLO-1036</t>
  </si>
  <si>
    <t>CEARA MIRIM II - JOAO CAMARA II, 230 KV, C1</t>
  </si>
  <si>
    <t>1066/2012</t>
  </si>
  <si>
    <t>SE BOM NOME , BOM NOME - MILAGRES, 230 KV, C1 , BOM NOME - MILAGRES, 230 KV, C2 , BOM NOME - MILAGRES, 230 KV, C3 , FLORESTA II - BOM NOME, 230 KV, C1 , LUIZ GONZAGA - MILAGRES, 500 KV, C1 , PAULO AFONSO III - BOM NOME, 230 KV, C3 , PAULO AFONSO III - FLORESTA II, 230 KV, C1 , TACARATU - BOM NOME, 230 KV, C1 , TACARATU - PAULO AFONSO III, 230 KV, C1</t>
  </si>
  <si>
    <t>1601/2021</t>
  </si>
  <si>
    <t>PAU FERRO - SANTA RITA II, 230 KV, C1</t>
  </si>
  <si>
    <t>Nº PI-RLO.03324-0/2023</t>
  </si>
  <si>
    <t>SAO JOAO PIAUI - ELISEU MARTINS, 230 KV, C1</t>
  </si>
  <si>
    <t>269/2002</t>
  </si>
  <si>
    <t>TERESINA II - TERESINA, 230 KV, C1 , TERESINA II - TERESINA, 230 KV, C2</t>
  </si>
  <si>
    <t>198 10249008</t>
  </si>
  <si>
    <t>SE TERESINA III</t>
  </si>
  <si>
    <t>TERESINA II - TERESINA III, 230 KV, C1 , TERESINA II - TERESINA III, 230 KV, C2</t>
  </si>
  <si>
    <t>2022.27051273353.EXP.LON</t>
  </si>
  <si>
    <t>SE MACEIO II , MESSIAS - MACEIO II, 230 KV, C1</t>
  </si>
  <si>
    <t>2024.17121595268.EXP.LON</t>
  </si>
  <si>
    <t>SE ARAPIRACA III , SECC RIO LARGO II - PENEDO, 230 KV, C1 NA SE ARAPIRACA III</t>
  </si>
  <si>
    <t>2025.27011605033.EXP.LON</t>
  </si>
  <si>
    <t>PAULO AFONSO III - ZEBU II, 230 KV, C1 , PAULO AFONSO III - ZEBU II, 230 KV, C2 , SE ZEBU II</t>
  </si>
  <si>
    <t>36/2025</t>
  </si>
  <si>
    <t>SE ITABAIANA , ITABAIANA - JARDIM, 230 KV, C1 , ITABAIANA - JARDIM, 230 KV, C2</t>
  </si>
  <si>
    <t>05.23.03.001586-3</t>
  </si>
  <si>
    <t>RECIFE II - MIRUEIRA, 230 KV, C2 , RECIFE II - MIRUEIRA, 230 KV, C3</t>
  </si>
  <si>
    <t>2020-155269-TEC-RLO-1174</t>
  </si>
  <si>
    <t>SE MOSSORO IV</t>
  </si>
  <si>
    <t>2024-208253/TEC/RLO-1103</t>
  </si>
  <si>
    <t>SANTA CRUZ II - CURRAIS NOVOS II, 138 KV, C1</t>
  </si>
  <si>
    <t>2019-131229/TEC/RLO-0026</t>
  </si>
  <si>
    <t>EXTREMOZ II - CEARA MIRIM II, 230 KV, C1 , CEARA MIRIM II - EXTREMOZ II, 230 KV, C2</t>
  </si>
  <si>
    <t>2024-212548/TEC/RLO-1296</t>
  </si>
  <si>
    <t>SE JOAO CAMARA III</t>
  </si>
  <si>
    <t>404/2020</t>
  </si>
  <si>
    <t>MILAGRES - QUIXADA, 500 KV, C1</t>
  </si>
  <si>
    <t>530/2019</t>
  </si>
  <si>
    <t>SE QUIXERE</t>
  </si>
  <si>
    <t>216/2020</t>
  </si>
  <si>
    <t>BANABUIU - RUSSAS II, 230 KV, C1</t>
  </si>
  <si>
    <t>80/2020</t>
  </si>
  <si>
    <t>RUSSAS II - BANABUIU, 230 KV, C2</t>
  </si>
  <si>
    <t>63/2025-DICOP</t>
  </si>
  <si>
    <t>SE BANABUIU</t>
  </si>
  <si>
    <t>1464/2018</t>
  </si>
  <si>
    <t>SE FLORESTA</t>
  </si>
  <si>
    <t>013/2025</t>
  </si>
  <si>
    <t>SE RUSSAS II</t>
  </si>
  <si>
    <t>027/2023</t>
  </si>
  <si>
    <t>SE AQUIRAZ II</t>
  </si>
  <si>
    <t>1476/2019ª Renovação - 1ª Retificação</t>
  </si>
  <si>
    <t>CAMPINA GRANDE II - GOIANINHA, 230 KV, C1 , CAMPINA GRANDE II - PARAISO, 230 KV, C1 (04V1) , CAMPINA GRANDE II - PARAISO, 230 KV, C2 (04V2) , CAMPINA GRANDE II - PILOES II, 138 KV, C1 (03L2); , CAMPINA GRANDE II - SANTACRUZ II, 138 KV, C1 (03L1); , MILAGRES - COREMAS, 230 KV, C1 (04M6) , MILAGRES - COREMAS, 230 KV, C2 (04M5) , SE MUSSURE II , PARAISO - SANTA CRUZ II, 138 KV, C1 , PILOES II - PARAISO, 138 KV, C1 , QUIXERE - MOSSORO II, 230 KV, C1 (04L1) , RUSSAS II - QUIXERE, 230 KV, C1 (04C2) , SE COREMAS , TACAIMBO - CAMPINA GRANDE II, 230 KV, C1 (04C1) , TACAIMBO - CAMPINA GRANDE II, 230 KV, C2 (04C2) , Goianinha - João Pessoa II, 230 kV (04N3) , Goianinha - João Pessoa II 230 kV (04N2) , João Pessoa II - Mussuré II, 230 kV (04F1) , João Pessoa II - Santa Rita II , 230 kV (04J1) , João Pessoa II - Mussuré II , 230 kV (04F2) , JOAO PESSOA II - SANTA RITA II, 230 kV, C2 (04F4)</t>
  </si>
  <si>
    <t>523/2020</t>
  </si>
  <si>
    <t>AQUIRAZ II - BANABUIU, 230 KV, C1 , AQUIRAZ II - BANABUIU, 230 KV, C2 , AQUIRAZ II - BANABUIU, 230 KV, C3 , BANABUIU - FORTALEZA, 230 KV, C1 , BANABUIU - FORTALEZA, 230 KV, C2</t>
  </si>
  <si>
    <t>1328/2016</t>
  </si>
  <si>
    <t>ANGELIM II - PAU FERRO, 500 KV, C1 , RECIFE II - PAU FERRO, 500 KV, C1</t>
  </si>
  <si>
    <t>2025-242782/TEC/LO-0111</t>
  </si>
  <si>
    <t>SE AÇU II</t>
  </si>
  <si>
    <t>058/1999</t>
  </si>
  <si>
    <t>MESSIAS - SUAPE II, 500 KV, C1 , SUAPE II - RECIFE II, 500 KV, C1</t>
  </si>
  <si>
    <t>SE Abaiara</t>
  </si>
  <si>
    <t>212/2024</t>
  </si>
  <si>
    <t>SOCORRO - FAFEN, 230 KV, C1</t>
  </si>
  <si>
    <t>05.24.02.001202-2</t>
  </si>
  <si>
    <t>SECC MIRUEIRA - GOIANINHA, 230 KV, C1 NA SE PAU FERRO , LT 230 kV Pau Ferro / Goianinha</t>
  </si>
  <si>
    <t>060/1999</t>
  </si>
  <si>
    <t>SE CAMPINA GRANDE II , CAMPINA GRANDE II - COTEMINAS, 230 KV, C1 , CAMPINA GRANDE III - EXTREMOZ II 230 KV, C2 , CAMPINA GRANDE III - EXTREMOZ II, 230 KV, C1 , CAMPINA GRANDE III - NATAL III 230 KV, C1 , SE NATAL II , NATAL III - NATAL II, 230 KV, C1 , NATAL III - NATAL II, 230 KV, C2 , PAU FERRO - CAMPINA GRANDE II, 230 KV, C1 , PAU FERRO - CAMPINA GRANDE II, 230 KV, C2 , PAU FERRO - COTEMINAS, 230 KV, C1 , NATAL III - EXTREMOZ II, C1, 230 kV , NATAL III - EXTREMOZ II, C2, 230 kV</t>
  </si>
  <si>
    <t>05.24.09.007564-4</t>
  </si>
  <si>
    <t>SECC MIRUEIRA - GOIANINHA, 230 KV, C1 NA SE PAU FERRO , LT 230 kV Mirueira - Pau Ferro C1 , LT 230 kV Mirueira - Pau Ferro C2</t>
  </si>
  <si>
    <t>05.23.09.007829-7</t>
  </si>
  <si>
    <t>SE GOIANINHA , RECIFE II - GOIANINHA, 230 KV, C1 , RECIFE II - GOIANINHA, 230 KV, C2</t>
  </si>
  <si>
    <t>05.20.09.002646-4</t>
  </si>
  <si>
    <t>JABOATAO - RECIFE II, 69 KV, C1</t>
  </si>
  <si>
    <t>394/2004</t>
  </si>
  <si>
    <t>SE PAU FERRO , RECIFE II - PAU FERRO, 230 KV, C1 , RECIFE II - PAU FERRO, 230 KV, C2</t>
  </si>
  <si>
    <t>1375/2017</t>
  </si>
  <si>
    <t>SOCORRO - PENEDO, 230 KV, C1</t>
  </si>
  <si>
    <t>03.23.10.008906-6</t>
  </si>
  <si>
    <t>ANGELIM - TACAIMBO, 230 KV, C3</t>
  </si>
  <si>
    <t>03.23.10.008686-7</t>
  </si>
  <si>
    <t>SECCIONAMENTO ANGELIM - RECIFE II, 230 KV, CD NA SE RIBEIRÃO</t>
  </si>
  <si>
    <t>343/2024 - DICOP</t>
  </si>
  <si>
    <t>SE DELMIRO GOUVEIA</t>
  </si>
  <si>
    <t>1331/2016</t>
  </si>
  <si>
    <t>ABAIXADORA - ZEBU, 69 KV, C1 , SE CATU , SE CICERO DANTAS , SE ITABAIANINHA , ITABAIANINHA - CATU, 230 KV, C1 , SE ITAPARICA , ABAIXADORA - MULUNGU, 69 KV, C1 , USINA I - PAULO AFONSO III, 230 KV, C1 , SE LUIZ GONZAGA , LUIZ GONZAGA - OLINDINA, 500 KV, C1 , SE OLINDINA , PAULO AFONSO III - CICERO DANTAS, 230 KV, C1 , PAULO AFONSO III - CICERO DANTAS, 230 KV, C2 , PAULO AFONSO III - ITABAIANA, 230 KV, C2 , PAULO AFONSO III - ITABAIANA, 230 KV, C3 , PAULO AFONSO IV - LUIZ GONZAGA, 500 KV, C1 , PAULO AFONSO IV - OLINDINA, 500 KV, C2 , SE USINA APOLONIO SALES , USINA I - PAULO AFONSO III, 230 KV, C2 , USINA II - PAULO AFONSO III 230 KV, C1 , USINA II - PAULO AFONSO III 230 KV, C3 , USINA II - PAULO AFONSO III 230 KV, C4 , USINA II - PAULO AFONSO III 230 KV, C5 , USINA II - ZEBU, 138 KV, C1 , USINA III - PAULO AFONSO III, 230 KV, C1 , USINA III - PAULO AFONSO III, 230 KV, C2 , USINA III - PAULO AFONSO III, 230 KV, C3 , USINA III - PAULO AFONSO III, 230 KV, C4 , USINA IV - PAULO AFONSO IV, 500 KV, C1 , USINA IV - PAULO AFONSO IV, 500 KV, C2 , USINA IV - PAULO AFONSO IV, 500 KV, C3 , USINA IV - PAULO AFONSO IV, 500 KV, C4 , USINA IV - PAULO AFONSO IV, 500 KV, C5 , USINA IV - PAULO AFONSO IV, 500 KV, C6 , SE USINA LUIZ GONZAGA , SE USINA PAULO AFONSO I , SE USINA PAULO AFONSO II , SE USINA PAULO AFONSO III , SE USINA PAULO AFONSO IV , VILA ZEBU - ITAPARICA, 69 KV, C1 , ZEBU - MOXOTO, 69 KV, C1 , USINA II - PAULO AFONSO III 230 KV, C2 , P. Afonso III-Itabaiana , USINA LUIZ GONZAGA - LUIZ GONZAGA, 500 KV C1 , USINA LUIZ GONZAGA - LUIZ GONZAGA, 500 KV, C2 , USINA LUIZ GONZAGA - LUIZ GONZAGA, 500 KV, C3</t>
  </si>
  <si>
    <t>2018-125908/TEC/LO-0227</t>
  </si>
  <si>
    <t>SE PARAISO</t>
  </si>
  <si>
    <t>1406/2017</t>
  </si>
  <si>
    <t>FUTURA - SOBRADINHO, 500 KV, C1 , IBIAPINA II - SOBRAL II, 230 KV, C1 , JUAZEIRO III - FUTURA, 500 KV, C1 , JUAZEIRO III - LUIZ GONZAGA, 500 KV, C1 , LUIZ GONZAGA - SOBRADINHO, 500 KV, C1 , SE SAO JOAO DO PIAUI , SE SOBRADINHO , SOBRADINHO - JUAZEIRO III, 500 KV, C1 , SOBRADINHO - LUIZ GONZAGA, 500 KV, C2 , SOBRADINHO - SAO JOAO PIAUI, 500 KV, C1</t>
  </si>
  <si>
    <t>35/2025</t>
  </si>
  <si>
    <t>SOBRAL II - CAUIPE, 230 KV, C1</t>
  </si>
  <si>
    <t>03.21.11.004744-1</t>
  </si>
  <si>
    <t>SECC BOM NOME - PAULO AFONSO, 230 KV, C1 , SE TACARATU</t>
  </si>
  <si>
    <t>05.24.02.001072-1</t>
  </si>
  <si>
    <t>PIRAPAMA II - SUAPE II, 230 KV, C1 , PIRAPAMA II - SUAPE II, 230 KV, C2 , SE SUAPE II , SUAPE II - SUAPE III, 230 KV, C1 , SUAPE II - SUAPE III, 230 KV, C2 , SE SUAPE III</t>
  </si>
  <si>
    <t>05.23.05.004201-6</t>
  </si>
  <si>
    <t>ANGELIM II - RECIFE II, 500 KV, C2</t>
  </si>
  <si>
    <t>32-3/2025</t>
  </si>
  <si>
    <t>JARDIM - NOSSA SENHORA SOCORRO, 230 KV, C1 , SE NOSSA SENHORA DO SOCORRO</t>
  </si>
  <si>
    <t>183/2024</t>
  </si>
  <si>
    <t>ITABAIANA - ITABAIANINHA, 230 KV, C1</t>
  </si>
  <si>
    <t>05.21.07.002811-9</t>
  </si>
  <si>
    <t>PIRAPAMA II - RECIFE II, 69 KV, C1</t>
  </si>
  <si>
    <t>213/2024</t>
  </si>
  <si>
    <t>JARDIM - CIA. VALE DO RIO DOCE, 230 KV, C1</t>
  </si>
  <si>
    <t>05.21.04.001630-6</t>
  </si>
  <si>
    <t>ANGELIM - RIBEIRAO, 230 KV, C1 , SE RIBEIRAO</t>
  </si>
  <si>
    <t>085/2024</t>
  </si>
  <si>
    <t>SOBRAL III - SOBRAL II, 230 KV, C1 , SOBRAL III - SOBRAL II, 230 KV, C2</t>
  </si>
  <si>
    <t>1309/2015</t>
  </si>
  <si>
    <t>CEARA MIRIM II - CAMPINA GRANDE III 500 KV, C1</t>
  </si>
  <si>
    <t>2016-097335/TEC/LO-0050</t>
  </si>
  <si>
    <t>TOUROS - CEARA MIRIM II, 230 KV, C1</t>
  </si>
  <si>
    <t>2018-119177/TEC/LO-0124</t>
  </si>
  <si>
    <t>SE CEARA MIRIM II</t>
  </si>
  <si>
    <t>1235/2014</t>
  </si>
  <si>
    <t>PICOS - TAUA II, 230 KV, C1</t>
  </si>
  <si>
    <t>2018-125495/TEC/RLO-0990</t>
  </si>
  <si>
    <t>SE LAGOA NOVA II</t>
  </si>
  <si>
    <t>524/2017</t>
  </si>
  <si>
    <t>ICO - BANABUIU, 230 KV, C1 , MILAGRES - BANABUIU, 230 KV, C1 , MILAGRES - BANABUIU, 230 KV, C2 , MILAGRES - ICO, 230 KV, C1</t>
  </si>
  <si>
    <t>LO 2016-105096/TEC/RLO-0608</t>
  </si>
  <si>
    <t>2023.15091433765.EXP.LOR</t>
  </si>
  <si>
    <t>SE PENEDO</t>
  </si>
  <si>
    <t>2023.0591428152.EXP.LOR</t>
  </si>
  <si>
    <t>USINA APOLONIO SALES - PAULO AFONSO III, 230 KV, C1 , USINA APOLONIO SALES - PAULO AFONSO III, 230 KV, C2</t>
  </si>
  <si>
    <t>2019-145167/TEC/LO-0316</t>
  </si>
  <si>
    <t>SE SANTANA DOS MATOS II</t>
  </si>
  <si>
    <t>2023.15091433870.EXP.LOR</t>
  </si>
  <si>
    <t>SE MACEIO</t>
  </si>
  <si>
    <t>2023.05091428257.EXP.LOR</t>
  </si>
  <si>
    <t>PAULO AFONSO IV - PAULO AFONSO III, 230 KV, C1 , PAULO AFONSO IV - PAULO AFONSO III, 230 KV, C2</t>
  </si>
  <si>
    <t>2023.25091437046.EXP.LOR</t>
  </si>
  <si>
    <t>MESSIAS - MACEIO, 230 KV, C1 , MESSIAS - MACEIO, 230 KV, C2</t>
  </si>
  <si>
    <t>1.238/2014 - 2ª Retificação</t>
  </si>
  <si>
    <t>SE ANGELIM , ANGELIM - MESSIAS, 230 KV, C1 , ANGELIM - MESSIAS, 230 KV, C2 , ANGELIM - MESSIAS, 230 KV, C3 , SE ANGELIM II , GARANHUNS II - ANGELIM II, 500 KV, C1 (05L5) , GARANHUNS II - ANGELIM, 230 KV, C1 , GARANHUNS II - ANGELIM, 230 KV, C2 , LUIZ GONZAGA - GARANHUNS II, 500 KV, C1 (05Z1) , SE MESSIAS , SE PAULO AFONSO III , PAULO AFONSO III - ANGELIM, 230 KV, C1 , PAULO AFONSO III - GARANHUNS II, 230 KV, C1 , PAULO AFONSO III - GARANHUNS II, 230 KV, C2 , PAULO AFONSO III - GARANHUNS II, 230 KV, C3 , PAULO AFONSO III - SANTANA II C1, 230 KV (04L1) , SE PAULO AFONSO IV , PAULO AFONSO IV - ANGELIM II, 500 KV, C1 (05L6) , PAULO AFONSO IV - XINGO, 500 KV, C1 , SANTANA II  - ANGELIM C1, 230 KV (04Z9) , USINA XINGO - XINGO, 500 KV, C1 , USINA XINGO - XINGO, 500 KV, C2 , USINA XINGO - XINGO, 500 KV, C3 , USINA XINGO - XINGO, 500 KV, C4 , USINA XINGO - XINGO, 500 KV, C5 , USINA XINGO - XINGO, 500 KV, C6 , XINGO - MESSIAS, 500 KV, C1 , SE XINGO 500 KV , SE XINGO 69 KV , SE ZEBU</t>
  </si>
  <si>
    <t>1693/2024</t>
  </si>
  <si>
    <t>SE CAMPINA GRANDE III</t>
  </si>
  <si>
    <t>2019-136655/TEC/LS-0249</t>
  </si>
  <si>
    <t>SECC MOSSORO II - ACU II, 230 KV, C2 NA SE ACU III</t>
  </si>
  <si>
    <t>329/2003</t>
  </si>
  <si>
    <t>BANABUIU - MOSSORO II, 230 KV, C1 , BANABUIU - MOSSORO II, 230 KV, C2</t>
  </si>
  <si>
    <t>463/2020</t>
  </si>
  <si>
    <t>FORTALEZA II - PICI II, 230 KV, C1 , FORTALEZA II - PICI II, 230 KV, C2</t>
  </si>
  <si>
    <t>391/2021</t>
  </si>
  <si>
    <t>MILAGRES - TAUA II, 230 KV, C1</t>
  </si>
  <si>
    <t>1196257/2021</t>
  </si>
  <si>
    <t>SAO LUIS II - SAO LUIS III, 230 KV, C2</t>
  </si>
  <si>
    <t>87/2019</t>
  </si>
  <si>
    <t>AQUIRAZ II - FORTALEZA, 230 KV, C2 , AQUIRAZ II - FORTALEZA, 230 KV, C3 , AQUIRAZ II - FORTALEZA, 230 KV, C1</t>
  </si>
  <si>
    <t>115/2021</t>
  </si>
  <si>
    <t>ACARAU II - SOBRAL III, 230 KV, C2</t>
  </si>
  <si>
    <t>2015-092659/TEC-RLO-0859</t>
  </si>
  <si>
    <t>MOSSORO II - ACU II, 230 KV, C1</t>
  </si>
  <si>
    <t>03.20.06.001.902-7</t>
  </si>
  <si>
    <t>SECC PAU FERRO - COTEMINAS na SE LAGOA DO CARRO</t>
  </si>
  <si>
    <t>1111/2020</t>
  </si>
  <si>
    <t>CAMPINA GRANDE II - CAMPINA GRANDE III, 230 KV, C1 , CAMPINA GRANDE II - CAMPINA GRANDE III, 230 KV, C2 , CAMPINA GRANDE III - CAMPINA GRANDE II, 230 KV, C3</t>
  </si>
  <si>
    <t>2023.19091435248.EXP.LOR</t>
  </si>
  <si>
    <t>RIO LARGO II - PENEDO, 230 KV, C1</t>
  </si>
  <si>
    <t>2013-063478/TEC/LO-0426</t>
  </si>
  <si>
    <t>SE JOAO CAMARA II</t>
  </si>
  <si>
    <t>2019-136653/TEC/LSIO-0004</t>
  </si>
  <si>
    <t>SECC MOSSORO II - ACU II, 230 KV, C1 NA SE ACU III</t>
  </si>
  <si>
    <t>D000099/17</t>
  </si>
  <si>
    <t>2012-057024/TEC/RLO-0730</t>
  </si>
  <si>
    <t>PARAISO - ACU II, 230 KV, C2</t>
  </si>
  <si>
    <t>2016-103071/TEC/RLO-0313</t>
  </si>
  <si>
    <t>LO INATIVA - Solicitada renovação fora do prazo</t>
  </si>
  <si>
    <t>CURRAIS NOVOS II - SANTANA DO MATOS II, 138 KV, C1</t>
  </si>
  <si>
    <t>2008-019349/TEC/RLO-0483</t>
  </si>
  <si>
    <t>SE CURRAIS NOVOS II</t>
  </si>
  <si>
    <t>1019314/2024</t>
  </si>
  <si>
    <t>SE Imperatriz</t>
  </si>
  <si>
    <t>13896/2023</t>
  </si>
  <si>
    <t>LT 230 kV Marabá / Carajás - C1 , SE Carajás , SE Integradora , SE Marabá</t>
  </si>
  <si>
    <t>494/13 - 02</t>
  </si>
  <si>
    <t>LT 230 kV Jorge Teixeira / Lechuga - C3 , LT 230 kV Jorge Teixeira / Lechuga - CD</t>
  </si>
  <si>
    <t>126/15-03</t>
  </si>
  <si>
    <t>SE Lechuga</t>
  </si>
  <si>
    <t>1014616/2024</t>
  </si>
  <si>
    <t>SE São Luís II</t>
  </si>
  <si>
    <t>323711/2021</t>
  </si>
  <si>
    <t>SE Lucas do Rio Verde</t>
  </si>
  <si>
    <t>157489/2023</t>
  </si>
  <si>
    <t>SE Ariquemes</t>
  </si>
  <si>
    <t>1030160/2024</t>
  </si>
  <si>
    <t>LT 500 kV Presidente Dutra / Boa Esperança - C1</t>
  </si>
  <si>
    <t>1030005/2024</t>
  </si>
  <si>
    <t>LT 230 kV Imperatriz / Porto Franco</t>
  </si>
  <si>
    <t>1019403/2024</t>
  </si>
  <si>
    <t>SE Coelho Neto</t>
  </si>
  <si>
    <t>14377/2023</t>
  </si>
  <si>
    <t>LT 138 kV Curuá-Una / Tapajós</t>
  </si>
  <si>
    <t>0133/2021 (2 Renovação)</t>
  </si>
  <si>
    <t>LT 230 kV Boa Vista / Santa Elena (Venezuela) - C1 , SE Boa Vista</t>
  </si>
  <si>
    <t>1019233/2024</t>
  </si>
  <si>
    <t>SE Miranda II</t>
  </si>
  <si>
    <t>1114732/2024</t>
  </si>
  <si>
    <t>LT 230 kV São Luís II / Miranda / Peritoró / Coelho Neto / Teresina - C1</t>
  </si>
  <si>
    <t>328643/2023</t>
  </si>
  <si>
    <t>LT 230 KV Coxipó / Jauru - C1 e C2 (CD)</t>
  </si>
  <si>
    <t>1590/2020</t>
  </si>
  <si>
    <t>Seccionamento da LT Miranda II/São Luís II - C1  e C2 até SE Bacabeira</t>
  </si>
  <si>
    <t>332969/2024</t>
  </si>
  <si>
    <t>LT 230 kV Barra do Peixe / Rondonópolis - C1 , SE Barra do Peixe</t>
  </si>
  <si>
    <t>333070/2024</t>
  </si>
  <si>
    <t>LT 230 kV Coxipó / Nobres / Nova Mutum / Sorriso / Sinop- C1 , SE Coxipó , SE Nobres , SE Nova Mutum , SE Sinop , SE Sorriso</t>
  </si>
  <si>
    <t>1050/2011 - 2ª Renovação</t>
  </si>
  <si>
    <t>LT 230 kV Ribeiro Gonçalves / Balsas , SE Balsas , SE Ribeiro Gonçalves</t>
  </si>
  <si>
    <t>329123/2023</t>
  </si>
  <si>
    <t>SE Jaurú</t>
  </si>
  <si>
    <t>332971/2024</t>
  </si>
  <si>
    <t>LT 138 kV Couto Magalhães / Rondonópolis - C1 , LT 230 kV Couto Magalhães / Rondonópolis , SE Couto Magalhães</t>
  </si>
  <si>
    <t>156585/2022</t>
  </si>
  <si>
    <t>SE Vilhena</t>
  </si>
  <si>
    <t>322247/2020</t>
  </si>
  <si>
    <t>LT 230 kV Barra do Peixe / Rondonópolis - C2 , SE Rondonópolis</t>
  </si>
  <si>
    <t>1053/2011</t>
  </si>
  <si>
    <t>Estações Conversoras CA/CC/CA, tipo back to back, 400MW , LT 230 kV Coletora Porto Velho / Porto Velho - C1 e C2 , SE Coletora Porto Velho</t>
  </si>
  <si>
    <t>1150/2013</t>
  </si>
  <si>
    <t>Eletrodo de Terra associado à Estação Retificadora 01 CC/CA/500/±600kV, instalado na SE Coletora PV , Linha do Eletrodo associada à Est. Retificadora 01 CA/CC, 500/±600kV, na SE Coletora PV</t>
  </si>
  <si>
    <t>1151/2013</t>
  </si>
  <si>
    <t>Eletrodo de Terra associada à Estação Inversora 01 CC/CA/600/±500kV, instalado na SE Araraquara 2 , Linha do Eletrodo associado à Estação Inversora 01 CC /CA 600/±500 Kv</t>
  </si>
  <si>
    <t>322661/2020</t>
  </si>
  <si>
    <t>LT 138 kV Rondonópolis / Coxipó , LT 230 kV Rondonópolis / Coxipó C1 , LT 230 kV Rondonópolis / Coxipó C2</t>
  </si>
  <si>
    <t>0265/02</t>
  </si>
  <si>
    <t>LT 500 kV Tucuruí / Marabá / Imperatriz / Presidente Dutra / São Luís - C1 e C2</t>
  </si>
  <si>
    <t>1132/2013</t>
  </si>
  <si>
    <t>Estação Retificadora nº 01 CC/CA, 500/±600 kV, instalada na SE Coletora Porto Velho</t>
  </si>
  <si>
    <t>1338/2016</t>
  </si>
  <si>
    <t>LT 230 kV Jaurú / Porto Velho - C3</t>
  </si>
  <si>
    <t>1131/2013</t>
  </si>
  <si>
    <t>Estação Inversora nº 01 CC/CA, 600/±500 kV, instalada na SE Coletora Araraquara 2</t>
  </si>
  <si>
    <t>152861/2021</t>
  </si>
  <si>
    <t>SE Jaru</t>
  </si>
  <si>
    <t>9172/2015</t>
  </si>
  <si>
    <t>LT 138 kV Tucuruí / Cametá , SE Cametá , SE Tucuruí Vila</t>
  </si>
  <si>
    <t>150069/2020</t>
  </si>
  <si>
    <t>LT 230kV Porto Velho / Vilhena C1 , SE Porto Velho , SE Samuel</t>
  </si>
  <si>
    <t>14829/2024</t>
  </si>
  <si>
    <t>LT 230 kV Vila do Conde / Guamá - C1 , LT 500/230 kV Tucuruí / Vila do Conde - C1 , SE Guamá , SE Tucuruí , SE Vila do Conde , LT 230 kV Vila do Conde / Guamá - C2</t>
  </si>
  <si>
    <t>1122/2013</t>
  </si>
  <si>
    <t>LT 230 kV Porto Velho / Abunã / Rio Branco - C2</t>
  </si>
  <si>
    <t>342/2003</t>
  </si>
  <si>
    <t>LT 500 kV Imperatriz / Colinas / Miracema - C1 , SE Colinas , SE Miracema</t>
  </si>
  <si>
    <t>10111/16</t>
  </si>
  <si>
    <t>LT 230 kV Guamá / Utinga - C1 e C2 , LT 230 kV Santa Maria / Castanhal - C2 , LT 230 kV Utinga / Castanhal -C1 , LT 230 kV Utinga / Miramar-C1 e C2 , SE Miramar , SE Santa Maria , SE Utinga</t>
  </si>
  <si>
    <t>11043/2018</t>
  </si>
  <si>
    <t>LT 230 kV Tucuruí / Altamira / Transamazônica / Ruropolis - C1 , SE Altamira , SE Rurópolis , SE Transamazônica</t>
  </si>
  <si>
    <t>1080/2012</t>
  </si>
  <si>
    <t>LT 230 kV Porto Velho / Abunã / Rio Branco - C1 , SE Abunã , SE Rio Branco</t>
  </si>
  <si>
    <t>152322/2021</t>
  </si>
  <si>
    <t>SE Ji-Paraná</t>
  </si>
  <si>
    <t>152863/2021</t>
  </si>
  <si>
    <t>SE Pimenta Bueno</t>
  </si>
  <si>
    <t>514/2022</t>
  </si>
  <si>
    <t>SE Vitoria</t>
  </si>
  <si>
    <t>93/2000 Renovação</t>
  </si>
  <si>
    <t>LT 750 kV Itaberá - Ivaiporã 3</t>
  </si>
  <si>
    <t>019/2022</t>
  </si>
  <si>
    <t>SE Bandeirantes</t>
  </si>
  <si>
    <t>299/2020</t>
  </si>
  <si>
    <t>SE Barro Alto</t>
  </si>
  <si>
    <t>90/2023</t>
  </si>
  <si>
    <t>SE Viana</t>
  </si>
  <si>
    <t>003/2021</t>
  </si>
  <si>
    <t>SE Adrianópolis</t>
  </si>
  <si>
    <t>LT 345 kV Marimbondo - Porto Colômbia</t>
  </si>
  <si>
    <t>LT 500 kV Marimbondo - Água Vermelha</t>
  </si>
  <si>
    <t>LT 345 kV Itumbiara - Porto Colômbia</t>
  </si>
  <si>
    <t>40/2013</t>
  </si>
  <si>
    <t>LT 138 kV Batalha - Paracatu</t>
  </si>
  <si>
    <t>30/2022</t>
  </si>
  <si>
    <t>SE Niquelândia</t>
  </si>
  <si>
    <t>90/2021</t>
  </si>
  <si>
    <t>LT 230 kV Xavantes - Pirineus C2 , SE Pirineus</t>
  </si>
  <si>
    <t>LO Nº 153/2023</t>
  </si>
  <si>
    <t>LT 230 kV Barro Alto - Niquelândia</t>
  </si>
  <si>
    <t>CA IN0020996</t>
  </si>
  <si>
    <t>LT 138 kV Alcântara - Adrianópolis I</t>
  </si>
  <si>
    <t>CA IN002986</t>
  </si>
  <si>
    <t>LT 345 kV Macaé - Campos 2</t>
  </si>
  <si>
    <t>CA IN002995</t>
  </si>
  <si>
    <t>LT 138 kV Campos (Usina) - Campos (Subestação) 1</t>
  </si>
  <si>
    <t>CA IN002993</t>
  </si>
  <si>
    <t>LT 138 kV Santa Cruz - Palmares II</t>
  </si>
  <si>
    <t>CA IN002992</t>
  </si>
  <si>
    <t>LT 138 kV Campos (Usina) - Campos (Subestação) 2</t>
  </si>
  <si>
    <t>CA IN002991</t>
  </si>
  <si>
    <t>LT 345 kV Macaé - Campos 1</t>
  </si>
  <si>
    <t>CA IN002988</t>
  </si>
  <si>
    <t>LT 138 kV Imbariê - São José 1</t>
  </si>
  <si>
    <t>CA IN002987</t>
  </si>
  <si>
    <t>LT 138 kV Imbariê - São José 2</t>
  </si>
  <si>
    <t>CA IN0020991</t>
  </si>
  <si>
    <t>LT 138 kV Alcântara - Imbariê - Adrianópolis</t>
  </si>
  <si>
    <t>CA IN0020978</t>
  </si>
  <si>
    <t>LT 138 kV Adrianópolis - CEPEL 2</t>
  </si>
  <si>
    <t>296-2005</t>
  </si>
  <si>
    <t>SE COMPERJ (GASLUB)</t>
  </si>
  <si>
    <t>CA IN003313</t>
  </si>
  <si>
    <t>LT 138 kV Jacarepaguá - Palmares</t>
  </si>
  <si>
    <t>SE Foz do  Iguaçu 50 HZ , SE Foz do  Iguaçu 60 HZ</t>
  </si>
  <si>
    <t>1656/2023</t>
  </si>
  <si>
    <t>LT 138 kV Campos - Cachoeiro do Itapemirim Circuito 1 , LT 138 kV Campos - Cachoeiro do Itapemirim Circuito 2 , LT 138 kV Campos - Iriri , LT 138 kV Campos - Rochão Leão , LT 138 kV Iriri - Rocha Leão , LT 138 kV Rocha Leão - Magé 1 , LT 138 kV Rocha Leão - Magé 2 , LT 345 kV Adrianópolis - Venda das Pedras , LT 345 kV Campos - Viana , LT 345 kV Campos - Vitória , LT 345 kV Viana - Vitória , LT 500 kV Adrianópolis - São José , SE Angra dos Reis</t>
  </si>
  <si>
    <t>1657/2023</t>
  </si>
  <si>
    <t>LT 600 kV Foz do Iguaçu - Ibiuna 1 - Bipolo 1 (Polo 1 e 2) , LT 600 kV Foz do Iguaçu - Ibiuna 1 - Bipolo 2 (Polo  3 e 4) , LT 750 kV Itaberá - Ivaiporã 1 , LT 750 kV Itaberá - Ivaiporã 2</t>
  </si>
  <si>
    <t>170/2001</t>
  </si>
  <si>
    <t>LT 750 kV Foz do Iguaçu - Ivaiporã 3</t>
  </si>
  <si>
    <t>863/2018</t>
  </si>
  <si>
    <t>SE Rio Verde</t>
  </si>
  <si>
    <t>SE Brasilia Sul</t>
  </si>
  <si>
    <t>174/2021 - IBRAM/PRESI</t>
  </si>
  <si>
    <t>SE Brasilia Geral</t>
  </si>
  <si>
    <t>1666/2024</t>
  </si>
  <si>
    <t>LT 138 kV Angra (Furnas) - Angra (Enel)</t>
  </si>
  <si>
    <t>LO Nº 1116/2012 - 1ª Renovação</t>
  </si>
  <si>
    <t>LT 138 kV Anta - Simplício , LT 138 kV Simplício - Rocha Leão</t>
  </si>
  <si>
    <t>238/2002 - 2ª RENOVAÇÃO</t>
  </si>
  <si>
    <t>SE Samambaia</t>
  </si>
  <si>
    <t>1669/2024</t>
  </si>
  <si>
    <t>LT 138 kV Cachoeira Paulista  - Volta Redonda 1 , LT 138 kV Cachoeira Paulista  - Volta Redonda 2 , LT 345 kV Adrianópolis  - Itutinga 1 , LT 345 kV Adrianópolis  - Itutinga 2 , LT 345 kV Campinas  - Poços de Caldas , LT 345 kV Furnas  - Pimenta , LT 345 kV Furnas - Estreito , LT 345 kV Furnas - Poços de Caldas 1 , LT 345 kV Furnas - Poços de Caldas 2 , LT 345 kV Guarulhos - Poços de Caldas 1 , LT 345 kV Guarulhos - Poços de Caldas 2 , LT 345 kV Luiz Carlos Barreto  - Estreito 1 , LT 345 kV Luiz Carlos Barreto  - Estreito 2 , LT 345 kV Mogi das Cruzes - Poços de Caldas (Mogi das Cruzes - Atibaia -Poços de Caldas) , LT 345 kV Porto Colômbia - Volta Grande , LT 500 kV Adrianópolis - Cachoeira Paulista 1 (Adrianópolis - Terminal Rio - Cachoeira Paulista 1) , LT 500 kV Adrianópolis - Resende (Adrianópolis - Terminal Rio - Resende) , LT 500 kV Araraquara - Marimbondo C1 (Araraquara - Marimbondo 2 - Marimbondo C1) , LT 500 kV Araraquara - Marimbondo C2 (Araraquara - Marimbondo 2 - Marimbondo C2) , LT 500 kV Araraquara - Poços de Caldas , LT 500 kV Cachoeira Paulista - Itajubá , LT 500 kV Cachoeira Paulista - Resende , LT 500 kV Poços de Caldas - Itajubá , LT 138kV Funil - Cachoeira Paulista , LT 138kV Funil - Volta Redonda</t>
  </si>
  <si>
    <t>1705/2024</t>
  </si>
  <si>
    <t>LT 345kV Itumbiara - Brasília Sul (Itumbiara - Corumbá - Brasília Sul)</t>
  </si>
  <si>
    <t>1349-2016</t>
  </si>
  <si>
    <t>LT 500 kV Araraquara - Marimbondo - Seccionamento na SE Marimbondo II (Guaraciaba Transmissora)</t>
  </si>
  <si>
    <t>CA IN003314</t>
  </si>
  <si>
    <t>LT 138 kV Jacarepaguá - ZIN</t>
  </si>
  <si>
    <t>CA IN002990</t>
  </si>
  <si>
    <t>LT 138 kV Palmares - Mato Alto</t>
  </si>
  <si>
    <t>CA IN003316</t>
  </si>
  <si>
    <t>LT 138 kV Muriqui - Brisamar</t>
  </si>
  <si>
    <t>LO 1002</t>
  </si>
  <si>
    <t>SE São José</t>
  </si>
  <si>
    <t>IN051678</t>
  </si>
  <si>
    <t>SE Baixada Fluminense</t>
  </si>
  <si>
    <t>325307/2021</t>
  </si>
  <si>
    <t>LT 230 kV Manso - Nobres</t>
  </si>
  <si>
    <t>CA IN016320</t>
  </si>
  <si>
    <t>LT 138 kV Zona Oeste - ZIN I</t>
  </si>
  <si>
    <t>CA IN003311</t>
  </si>
  <si>
    <t>LT 345 kV Adrianópolis  - Jacarepaguá 1 , LT 345 kV Adrianópolis  - Jacarepaguá 2 (Adrianópolis  - Nova Iguaçu - Jacarepaguá)</t>
  </si>
  <si>
    <t>CA IN003309</t>
  </si>
  <si>
    <t>LT 138 kV Muriqui - Angra</t>
  </si>
  <si>
    <t>CA IN003208</t>
  </si>
  <si>
    <t>LT 138 kV Santa Cruz - Brisamar I</t>
  </si>
  <si>
    <t>CA IN003315</t>
  </si>
  <si>
    <t>LT 138 kV Jacuacanga - Brisamar</t>
  </si>
  <si>
    <t>1403/2017</t>
  </si>
  <si>
    <t>LT 230 kV Serra da Mesa - Niquelândia</t>
  </si>
  <si>
    <t>CA IN0020992</t>
  </si>
  <si>
    <t>LT 138 kV Alcântara - Adrianópolis III</t>
  </si>
  <si>
    <t>434/2005</t>
  </si>
  <si>
    <t>LT 345 kV Ouro Preto 2 - Vitoria (Vitória - Padre Fialho - Barro Branco - Ouro Preto)</t>
  </si>
  <si>
    <t>140/2001 REN</t>
  </si>
  <si>
    <t>LT 750 kV Itaberá - Tijuco Preto 3</t>
  </si>
  <si>
    <t>CA IN003456</t>
  </si>
  <si>
    <t>LT 138 kV Santa Cruz - ZIN 2 (antiga Santa Cruz - ZIN - Ari Franco)</t>
  </si>
  <si>
    <t>IN050637</t>
  </si>
  <si>
    <t>LT 138 kV Adrianópolis - Magé 1 , LT 138 kV Adrianópolis - Magé 2</t>
  </si>
  <si>
    <t>LO CA IN 0020979</t>
  </si>
  <si>
    <t>LT 138 kV Adrianópolis - CEPEL 1</t>
  </si>
  <si>
    <t>CA IN016321</t>
  </si>
  <si>
    <t>LT 138 kV Santa Cruz - Palmares I</t>
  </si>
  <si>
    <t>312/2003 - 2ª Renovação</t>
  </si>
  <si>
    <t>LT 500 kV Bateias - Ibiúna</t>
  </si>
  <si>
    <t>IN052795</t>
  </si>
  <si>
    <t>LT 345 kV Macaé - Campos 3 , SE Campos , SE Macaé</t>
  </si>
  <si>
    <t>CA IN016322</t>
  </si>
  <si>
    <t>LT 138 kV Santa Cruz - ZIN 1 (antiga Santa Cruz - ZIN - Comos)</t>
  </si>
  <si>
    <t>CA IN0020980</t>
  </si>
  <si>
    <t>LT 138 kV Alcântara - Adrianópolis II</t>
  </si>
  <si>
    <t>CA IN020047</t>
  </si>
  <si>
    <t>LT 138 kV Jacarepaguá I - Mato Alto</t>
  </si>
  <si>
    <t>IN050654</t>
  </si>
  <si>
    <t>LT 138 kV São José - Magé I , LT 138 kV São José - Magé II</t>
  </si>
  <si>
    <t>LT 345 kV Tijuco Preto - Itapeti -Nordeste - Trecho Itapeti -Nordeste</t>
  </si>
  <si>
    <t>341-2003</t>
  </si>
  <si>
    <t>SE Gurupi , LT 500 KV Norte - Sul 1</t>
  </si>
  <si>
    <t>LO 159/2001 2° renovação</t>
  </si>
  <si>
    <t>ETEL Araçoiaba da Serra</t>
  </si>
  <si>
    <t>IN051682</t>
  </si>
  <si>
    <t>SE Resende</t>
  </si>
  <si>
    <t>182/2001</t>
  </si>
  <si>
    <t>LT 500 kV Serra da Mesa - Samambaia I</t>
  </si>
  <si>
    <t>30/98</t>
  </si>
  <si>
    <t>LT 500 kV Serra da Mesa - Samambaia II</t>
  </si>
  <si>
    <t>LMO 001707</t>
  </si>
  <si>
    <t>LT 138 kV Zona Oeste - ZIN II (Santa Cruz - Jacarepaguá I - Torre 02 À SE Zona Oeste)</t>
  </si>
  <si>
    <t>1011/2011 - 1° Retificação</t>
  </si>
  <si>
    <t>LT 500 kV Angra - Rio 2 (Angra Loop São José - Grajaú) , SE Zona Oeste</t>
  </si>
  <si>
    <t>82/2018</t>
  </si>
  <si>
    <t>LT 230 kV Mascarenhas - Linhares , SE Linhares</t>
  </si>
  <si>
    <t>LT 345 kV Tijuco Preto - Itapeti -Nordeste - Trecho Tijuco Preto - Itapeti</t>
  </si>
  <si>
    <t>SE Tijuco Preto</t>
  </si>
  <si>
    <t>389/2004</t>
  </si>
  <si>
    <t>LT 500 kV Cachoeira Paulista - Adrianopolis 3</t>
  </si>
  <si>
    <t>088/2003 - 1a. RENOVAÇÃO</t>
  </si>
  <si>
    <t>SE Serra da Mesa</t>
  </si>
  <si>
    <t>015/2014 SUPRAM CM</t>
  </si>
  <si>
    <t>SE Barro Branco</t>
  </si>
  <si>
    <t xml:space="preserve">Investimentos PE 2025 </t>
  </si>
  <si>
    <t>PREENCHER</t>
  </si>
  <si>
    <t>Dados Automáticos</t>
  </si>
  <si>
    <t>Informar o Departamento do responsável pela informação</t>
  </si>
  <si>
    <r>
      <t/>
    </r>
    <r>
      <rPr>
        <b/>
        <sz val="8"/>
        <color rgb="FFff0000"/>
        <rFont val="Calibri"/>
        <family val="2"/>
        <scheme val="minor"/>
      </rPr>
      <t xml:space="preserve">OBRIGATÓRIA:
</t>
    </r>
    <r>
      <rPr>
        <b/>
        <sz val="8"/>
        <color theme="1"/>
        <rFont val="Calibri"/>
        <family val="2"/>
        <scheme val="minor"/>
      </rPr>
      <t>1.</t>
    </r>
    <r>
      <rPr>
        <b/>
        <sz val="8"/>
        <color rgb="FFff0000"/>
        <rFont val="Calibri"/>
        <family val="2"/>
        <scheme val="minor"/>
      </rPr>
      <t xml:space="preserve"> </t>
    </r>
    <r>
      <rPr>
        <b/>
        <sz val="8"/>
        <color rgb="FF000000"/>
        <rFont val="Calibri"/>
        <family val="2"/>
        <scheme val="minor"/>
      </rPr>
      <t xml:space="preserve"> Indicar o número do coletor PEP ou OI. 
2. NÃO informar PEP que não esteja aberto no SAP.
3. TRANSMISSÃO:  informação deve ser considerada uma
linha para cada código SGPMR (nesse caso, repetir o PEP).</t>
    </r>
  </si>
  <si>
    <t>De 2026 à 2030</t>
  </si>
  <si>
    <t>Arquivo</t>
  </si>
  <si>
    <t>Responsável Preenchimento</t>
  </si>
  <si>
    <t>OOMI.C</t>
  </si>
  <si>
    <t xml:space="preserve">Linhas preenchidas = </t>
  </si>
  <si>
    <t>CAMPOS EXTRAS INFRAESTRUTURA</t>
  </si>
  <si>
    <t>NÃO PREENCHER - AUTOMÁTICO + EDEP + EDEI</t>
  </si>
  <si>
    <t>CATEGORIZAÇÃO DO INVESTIMENTO</t>
  </si>
  <si>
    <t>Dados SAP</t>
  </si>
  <si>
    <t>COMPLEMENTO</t>
  </si>
  <si>
    <t>Investimentos R$ mil - nominal</t>
  </si>
  <si>
    <t>Demanda Candidata 2025</t>
  </si>
  <si>
    <t>PE 2025-2029</t>
  </si>
  <si>
    <t>Dados Complementares - Análise Investimentos TI</t>
  </si>
  <si>
    <t>Analise Estrategia</t>
  </si>
  <si>
    <t>Check</t>
  </si>
  <si>
    <t>Responsável</t>
  </si>
  <si>
    <t>Conferido</t>
  </si>
  <si>
    <t>Id PE</t>
  </si>
  <si>
    <t>Corporativo ou SPE</t>
  </si>
  <si>
    <t>Categoria Cise</t>
  </si>
  <si>
    <t>Subcategoria CISE</t>
  </si>
  <si>
    <t>Coletor de Custo</t>
  </si>
  <si>
    <t>Cód Projeto VED</t>
  </si>
  <si>
    <t>Cód SGPMR</t>
  </si>
  <si>
    <t>Descrição do Projeto / Descrição da Ação</t>
  </si>
  <si>
    <t>Especificação</t>
  </si>
  <si>
    <t>Local da Instalação</t>
  </si>
  <si>
    <t>jan/26</t>
  </si>
  <si>
    <t>fev/26</t>
  </si>
  <si>
    <t>mar/26</t>
  </si>
  <si>
    <t>abr/26</t>
  </si>
  <si>
    <t>mai/26</t>
  </si>
  <si>
    <t>jun/26</t>
  </si>
  <si>
    <t>jul/26</t>
  </si>
  <si>
    <t>ago/26</t>
  </si>
  <si>
    <t>set/26</t>
  </si>
  <si>
    <t>out/26</t>
  </si>
  <si>
    <t>nov/26</t>
  </si>
  <si>
    <t>dez/26</t>
  </si>
  <si>
    <t>2026-2030</t>
  </si>
  <si>
    <t>2026-2035</t>
  </si>
  <si>
    <t>Sequencial</t>
  </si>
  <si>
    <t>Órgão Responsável</t>
  </si>
  <si>
    <t>PE de Origem</t>
  </si>
  <si>
    <t>Código Projeto OOIV</t>
  </si>
  <si>
    <t>ID Financeiro</t>
  </si>
  <si>
    <t>Status Contratação</t>
  </si>
  <si>
    <t>Descrição Detalhada do Projeto</t>
  </si>
  <si>
    <t>Observações</t>
  </si>
  <si>
    <t>Líder</t>
  </si>
  <si>
    <t>Centro Financeiro</t>
  </si>
  <si>
    <t>Item Financeiro</t>
  </si>
  <si>
    <t>Pacote</t>
  </si>
  <si>
    <t>Subpacote</t>
  </si>
  <si>
    <t>Técnico</t>
  </si>
  <si>
    <t>Estratégico</t>
  </si>
  <si>
    <t>Área de Aplicação da Demanda</t>
  </si>
  <si>
    <t>ID EV</t>
  </si>
  <si>
    <t>Nome do Projeto/Contratação</t>
  </si>
  <si>
    <t>Meta Associada</t>
  </si>
  <si>
    <t>Contratação</t>
  </si>
  <si>
    <t>Número do Pedido</t>
  </si>
  <si>
    <t>Prioridade</t>
  </si>
  <si>
    <t>Observação</t>
  </si>
  <si>
    <t>Orçado 2026 (PE25-29)</t>
  </si>
  <si>
    <t>Orçado 2026 (PE26-30)</t>
  </si>
  <si>
    <t>Dif</t>
  </si>
  <si>
    <t>Orçado 26/30 (PE25-29)</t>
  </si>
  <si>
    <t>Orçado 26/30 (PE26-30)</t>
  </si>
  <si>
    <t>Dif2</t>
  </si>
  <si>
    <t>Dif2 %</t>
  </si>
  <si>
    <t>true</t>
  </si>
  <si>
    <t>Capex Orcamentário_PE2026_2030_COO (Consolidada).xlsx</t>
  </si>
  <si>
    <t>COO_161</t>
  </si>
  <si>
    <t>MH.6002</t>
  </si>
  <si>
    <t>Substituição de bancos de baterias para diversas usinas da Chesf</t>
  </si>
  <si>
    <t>Eletromecânica</t>
  </si>
  <si>
    <t>Diversos</t>
  </si>
  <si>
    <t>OOMG.C</t>
  </si>
  <si>
    <t>2026 (novo)</t>
  </si>
  <si>
    <t>CHSF.00001</t>
  </si>
  <si>
    <t>Nova demanda</t>
  </si>
  <si>
    <t>Substituição de bancos de baterias para as UHE's Sobradinho, Boa Esperança e Paulo Afonso II</t>
  </si>
  <si>
    <t>Fabio Duarte de Menezes</t>
  </si>
  <si>
    <t>COO_175</t>
  </si>
  <si>
    <t>Implantação de sistema de monitoramento das unidades geradoras de diversas usinas da Chesf</t>
  </si>
  <si>
    <t>CHSF.00002</t>
  </si>
  <si>
    <t>Leonardo Marques Camelo de Almeida</t>
  </si>
  <si>
    <t>COO_152</t>
  </si>
  <si>
    <t>Implantação de sistema de monitoramento de vibração das usinas eólicas da Chesf</t>
  </si>
  <si>
    <t>CHSF.00003</t>
  </si>
  <si>
    <t>Implantação de sistema de monitoramento de vibração de todas as usinas eólicas da Chesf</t>
  </si>
  <si>
    <t>André Emanoel Poroca Lins</t>
  </si>
  <si>
    <t>COO_160</t>
  </si>
  <si>
    <t>Modernização do sistema de iluminação de diversas usinas da Chesf</t>
  </si>
  <si>
    <t>CHSF.00004</t>
  </si>
  <si>
    <t>COO_153</t>
  </si>
  <si>
    <t>Aquisição de equipamentos para composição de reserva técnica de diversas usinas da Chesf</t>
  </si>
  <si>
    <t>CHSF.00005</t>
  </si>
  <si>
    <t>Fernando Xavier da Silva</t>
  </si>
  <si>
    <t>COO_162</t>
  </si>
  <si>
    <t>Substituição de computadores para o sistema digital da UHE Boa Esperança</t>
  </si>
  <si>
    <t>UHE Boa Esperança</t>
  </si>
  <si>
    <t>CHSF.00006</t>
  </si>
  <si>
    <t>Rubem Danilo Rezende Soares</t>
  </si>
  <si>
    <t>COO_168</t>
  </si>
  <si>
    <t>Substituição de relés de temperatura e sobrecorrente da UHE Boa Esperança</t>
  </si>
  <si>
    <t>CHSF.00007</t>
  </si>
  <si>
    <t>COO_176</t>
  </si>
  <si>
    <t>Substituição dos trocadores de calor do mancal combinado da UHE Boa Esperança</t>
  </si>
  <si>
    <t>CHSF.00008</t>
  </si>
  <si>
    <t>Joaquim Jorge Franca da Silva</t>
  </si>
  <si>
    <t>COO_158</t>
  </si>
  <si>
    <t>Modernização do sistema de detecção e alarme de incêndio da UHE Boa Esperança</t>
  </si>
  <si>
    <t>CHSF.00009</t>
  </si>
  <si>
    <t>COO_170</t>
  </si>
  <si>
    <t>Modernização dos elevadores da casa de força da UHE Xingó</t>
  </si>
  <si>
    <t>UHE Xingó</t>
  </si>
  <si>
    <t>CHSF.00010</t>
  </si>
  <si>
    <t>COO_156</t>
  </si>
  <si>
    <t>Substituição/Implantação de exaustores paras as UHEs Paulo Afonso I e Xingó</t>
  </si>
  <si>
    <t>CHSF.00011</t>
  </si>
  <si>
    <t>COO_147</t>
  </si>
  <si>
    <t>Modernização dos painéis de controle dos geradores da UHE Paulo Afonso I</t>
  </si>
  <si>
    <t>UHE Paulo Afonso I</t>
  </si>
  <si>
    <t>CHSF.00012</t>
  </si>
  <si>
    <t>Hormisdas Cavalcanti Franco</t>
  </si>
  <si>
    <t>COO_157</t>
  </si>
  <si>
    <t>Substituição de compressores do RV para a UHE Paulo Afonso I</t>
  </si>
  <si>
    <t>CHSF.00013</t>
  </si>
  <si>
    <t>Arthur Guilherme Félix de Andrade Lira</t>
  </si>
  <si>
    <t>COO_159</t>
  </si>
  <si>
    <t>Substituição do rotor e anéis de desgaste da turbina da 01G5 da UHE Paulo Afonso II</t>
  </si>
  <si>
    <t>UHE Paulo Afonso II</t>
  </si>
  <si>
    <t>CHSF.00014</t>
  </si>
  <si>
    <t>Em contratação</t>
  </si>
  <si>
    <t>Winter Sousa Freire</t>
  </si>
  <si>
    <t>COO_169</t>
  </si>
  <si>
    <t>Substituição do rotor e anéis de desgaste da turbina da 01G4 da UHE Paulo Afonso II</t>
  </si>
  <si>
    <t>CHSF.00015</t>
  </si>
  <si>
    <t>COO_154</t>
  </si>
  <si>
    <t>Instalação de elevador cremalheira no extravasor da UHE Sobradinho</t>
  </si>
  <si>
    <t>UHE Sobradinho</t>
  </si>
  <si>
    <t>CHSF.00016</t>
  </si>
  <si>
    <t>Marcelo Rosa Nogueira</t>
  </si>
  <si>
    <t>COO_165</t>
  </si>
  <si>
    <t>Implantação de sistema de resfriamento do regulador de velocidade na PCH Pedra</t>
  </si>
  <si>
    <t>PCH Pedra</t>
  </si>
  <si>
    <t>CHSF.00017</t>
  </si>
  <si>
    <t>Jorge Evangelista Guedes Filho</t>
  </si>
  <si>
    <t>COO_164</t>
  </si>
  <si>
    <t>Modernização da automação e controle do sistema de drenagem da UHE Luiz Gonzaga</t>
  </si>
  <si>
    <t>UHE Luiz Gonzaga</t>
  </si>
  <si>
    <t>CHSF.00018</t>
  </si>
  <si>
    <t>Luis Gustavo Medeiros Rolim</t>
  </si>
  <si>
    <t>COO_155</t>
  </si>
  <si>
    <t>Substituição dos transformadores reguladores de tensão trifásicos 10 MVA 16/13,8 kV (incluindo adequação civil das suas bases) da UHE Luiz Gonzaga</t>
  </si>
  <si>
    <t>CHSF.00019</t>
  </si>
  <si>
    <t>Retirado do escopo da modernização VEE</t>
  </si>
  <si>
    <t>COO_151</t>
  </si>
  <si>
    <t>Substituição do grupo gerador de emergência do sistema do vertedouro da UHE Luiz Gonzaga</t>
  </si>
  <si>
    <t>CHSF.00020</t>
  </si>
  <si>
    <t>Frederico Guilherme Gondim Pimentel</t>
  </si>
  <si>
    <t>COO_146</t>
  </si>
  <si>
    <t>Modernização do sistema de ventilação da UHE Luiz Gonzaga</t>
  </si>
  <si>
    <t>CHSF.00021</t>
  </si>
  <si>
    <t>COO_163</t>
  </si>
  <si>
    <t>Modernização do sistema de acionamento das coberturas metálicas (tampas) da casa de força da UHE Luiz Gonzaga</t>
  </si>
  <si>
    <t>CHSF.00022</t>
  </si>
  <si>
    <t>COO_149</t>
  </si>
  <si>
    <t>Modernização do sistema de proteção contra incêndio dos transformadores elevadores e reguladores da UHE Luiz Gonzaga</t>
  </si>
  <si>
    <t>CHSF.00023</t>
  </si>
  <si>
    <t>COO_171</t>
  </si>
  <si>
    <t>Construção civil de edificação para apoio operacional, incluindo a reforma dos banheiros, na UHE Luiz Gonzaga</t>
  </si>
  <si>
    <t>Civil - Geração</t>
  </si>
  <si>
    <t>OOMB.C</t>
  </si>
  <si>
    <t>CHSF.00024</t>
  </si>
  <si>
    <t>Patrícia Neves Silva</t>
  </si>
  <si>
    <t>COO_172</t>
  </si>
  <si>
    <t>Modernização dos sistemas de tratamento de água e de esgoto da UHE Luiz Gonzaga</t>
  </si>
  <si>
    <t>CHSF.00025</t>
  </si>
  <si>
    <t>COO_166</t>
  </si>
  <si>
    <t>Implantação de estruturas de proteção de acesso das barragens das UHEs Luiz Gonzaga e Sobradinho e da PCH Funil</t>
  </si>
  <si>
    <t>CHSF.00026</t>
  </si>
  <si>
    <t>COO_167</t>
  </si>
  <si>
    <t>Substituição da cobertura da casa de força da UHE Apolônio Sales</t>
  </si>
  <si>
    <t>UHE Apolônio Sales</t>
  </si>
  <si>
    <t>CHSF.00027</t>
  </si>
  <si>
    <t>COO_173</t>
  </si>
  <si>
    <t>Implantação do sistema de drenagem da cobertura (abóboda) da casa de força da UHE Paulo Afonso III</t>
  </si>
  <si>
    <t>UHE Paulo Afonso III</t>
  </si>
  <si>
    <t>CHSF.00028</t>
  </si>
  <si>
    <t>COO_174</t>
  </si>
  <si>
    <t>Reforço estrutural das bases dos aerogeradores da EOL Casa Nova A</t>
  </si>
  <si>
    <t>UEE Casa Nova A</t>
  </si>
  <si>
    <t>CHSF.00029</t>
  </si>
  <si>
    <t>COO_148</t>
  </si>
  <si>
    <t>Substituição de 02 servomotores do regulador de velocidades da UHE Boa Esperança</t>
  </si>
  <si>
    <t>CHSF.00030</t>
  </si>
  <si>
    <t>COO_150</t>
  </si>
  <si>
    <t>Substituição da tubulação de água da galeria de registros da UHE Sobradinho</t>
  </si>
  <si>
    <t>CHSF.00031</t>
  </si>
  <si>
    <t>Leonardo Pinheiro de Souza</t>
  </si>
  <si>
    <t>COO_178</t>
  </si>
  <si>
    <t>Instalação de 01 compressor adicional e modernização do painel de supervisão e controle do QA1, para o sistema de ar comprimido de uso geral da UHE Xingó</t>
  </si>
  <si>
    <t>COO0122</t>
  </si>
  <si>
    <t>Fabio Gualberto Chagas Santos</t>
  </si>
  <si>
    <t>COO_179</t>
  </si>
  <si>
    <t>Substituição dos equipamentos do sistema de exaustão da UHE Xingó</t>
  </si>
  <si>
    <t>COO0209</t>
  </si>
  <si>
    <t>COO_180</t>
  </si>
  <si>
    <t>Aquisição do Caminho Rolamento do Pórtico Móvel da UHE Sobradinho</t>
  </si>
  <si>
    <t>COO0087</t>
  </si>
  <si>
    <t>TR/Projeto básico</t>
  </si>
  <si>
    <t>COO_181</t>
  </si>
  <si>
    <t>Aquisição de 02 retificadores para a PCH Funil</t>
  </si>
  <si>
    <t>PCH Funil</t>
  </si>
  <si>
    <t>COO0090</t>
  </si>
  <si>
    <t>COO_182</t>
  </si>
  <si>
    <t>Aquisição de 02 retificadores para a PCH Pedra</t>
  </si>
  <si>
    <t>COO0091</t>
  </si>
  <si>
    <t>COO_183</t>
  </si>
  <si>
    <t>Aquisição da Interface Homem-Máquina do sistema supervisório da PCH Pedra</t>
  </si>
  <si>
    <t>COO0097</t>
  </si>
  <si>
    <t>COO_184</t>
  </si>
  <si>
    <t>Aquisição de resfriadores de ar dos geradores para reserva técnica de usinas da Chesf</t>
  </si>
  <si>
    <t>COO0098</t>
  </si>
  <si>
    <t>Aquisição de resfriadores de ar dos geradores para diversas usinas da Chesf</t>
  </si>
  <si>
    <t>Rogerio Adriano da Fonseca Santiago</t>
  </si>
  <si>
    <t>COO_185</t>
  </si>
  <si>
    <t>Aquisição de sistema de filtragem de óleo dos reguladores de velocidade de diversas usinas da Chesf</t>
  </si>
  <si>
    <t>COO0099</t>
  </si>
  <si>
    <t>COO_186</t>
  </si>
  <si>
    <t>Aquisição de válvulas do sistema de água industrial da UHE Luiz Gonzaga</t>
  </si>
  <si>
    <t>COO0100</t>
  </si>
  <si>
    <t>COO_187</t>
  </si>
  <si>
    <t>Expansão da rede de fibra óptica do EOL Pindaí</t>
  </si>
  <si>
    <t>COO0101</t>
  </si>
  <si>
    <t>COO_188</t>
  </si>
  <si>
    <t>Implantação dos sistemas de drenagem das plataformas da EOL GPEXPAN</t>
  </si>
  <si>
    <t>COO0103</t>
  </si>
  <si>
    <t>COO_189</t>
  </si>
  <si>
    <t>Implantação dos sistemas de drenagem das plataformas da EOL Casa Nova A</t>
  </si>
  <si>
    <t>COO0104</t>
  </si>
  <si>
    <t>COO_190</t>
  </si>
  <si>
    <t>Implantação de elevadores na UHE Boa Esperança e PCH Funil</t>
  </si>
  <si>
    <t>COO0110</t>
  </si>
  <si>
    <t>COO_191</t>
  </si>
  <si>
    <t>Substituição do sistema de grades de retenção na tomada d'água das UHE Paulo Afonso I e III</t>
  </si>
  <si>
    <t>COO0111</t>
  </si>
  <si>
    <t>COO_192</t>
  </si>
  <si>
    <t>Substituição das bombas do sistema de drenagem e esgotamento de diversas usinas da Chesf</t>
  </si>
  <si>
    <t>COO0112</t>
  </si>
  <si>
    <t>COO_193</t>
  </si>
  <si>
    <t>Substituição de um Gerador Diesel de Emergência para a UHE Apolônio Sales</t>
  </si>
  <si>
    <t>COO0115</t>
  </si>
  <si>
    <t>COO_194</t>
  </si>
  <si>
    <t>Implantação do sistema de rebaixamento da UHE Xingó</t>
  </si>
  <si>
    <t>COO0116</t>
  </si>
  <si>
    <t>COO_195</t>
  </si>
  <si>
    <t>Aquisição de transformadores elevadores para diversas usinas Chesf</t>
  </si>
  <si>
    <t>COO0118</t>
  </si>
  <si>
    <t>Natasha Benjamim Barbosa</t>
  </si>
  <si>
    <t>COO_196</t>
  </si>
  <si>
    <t>UH.6015</t>
  </si>
  <si>
    <t>Implantação de 06 Postos Hidrométricos de Calha de Rio</t>
  </si>
  <si>
    <t>Automação</t>
  </si>
  <si>
    <t>OOPM.C</t>
  </si>
  <si>
    <t>COO0119</t>
  </si>
  <si>
    <t>Joenildo Cesar Bezerra Ferreira</t>
  </si>
  <si>
    <t>COO_197</t>
  </si>
  <si>
    <t>Implantação de sistema indicador de posição das comportas do vertedouro da UHE Xingó</t>
  </si>
  <si>
    <t>COO0120</t>
  </si>
  <si>
    <t>COO_198</t>
  </si>
  <si>
    <t>Implantação de sistema indicador de posição das comporta do vertedouro da PCH Pedra</t>
  </si>
  <si>
    <t>COO0121</t>
  </si>
  <si>
    <t>COO_199</t>
  </si>
  <si>
    <t>Substituição do sistema de vedação do distribuidor da UHE Xingó</t>
  </si>
  <si>
    <t>COO0124</t>
  </si>
  <si>
    <t>COO_200</t>
  </si>
  <si>
    <t>Implantação de sistemas de limpa-grade na tomada d'água das UHE Paulo Afonso I e II</t>
  </si>
  <si>
    <t>COO0125</t>
  </si>
  <si>
    <t>Implantação de sistemas de limpa-grade na tomada d'água das UHE Paulo Afonso I e III</t>
  </si>
  <si>
    <t>COO_201</t>
  </si>
  <si>
    <t>Implantação de operação teleassistida da UHE Boa Esperança</t>
  </si>
  <si>
    <t>COO0126</t>
  </si>
  <si>
    <t>COO_202</t>
  </si>
  <si>
    <t>Modernização do sistema de detecção de inundação de diversas usinas da Chesf</t>
  </si>
  <si>
    <t>COO0129</t>
  </si>
  <si>
    <t>Monnik Cassia de Oliveira</t>
  </si>
  <si>
    <t>COO_203</t>
  </si>
  <si>
    <t>Implantação de sistema de detecção de umidade no air housing (gerador) de diversas usinas da Chesf</t>
  </si>
  <si>
    <t>COO0130</t>
  </si>
  <si>
    <t>COO_204</t>
  </si>
  <si>
    <t>Implantação do sistema de fechamento de emergência das comportas da UHE Paulo Afonso I</t>
  </si>
  <si>
    <t>COO0131</t>
  </si>
  <si>
    <t>Luciano Teixeira Alves</t>
  </si>
  <si>
    <t>COO_205</t>
  </si>
  <si>
    <t>Implantação de sistema de injeção química na UHE Boa Esperança</t>
  </si>
  <si>
    <t>COO0132</t>
  </si>
  <si>
    <t>COO_206</t>
  </si>
  <si>
    <t>Implantação de sistema de separação água/óleo dos poços de drenagem da UHE.</t>
  </si>
  <si>
    <t>COO0133</t>
  </si>
  <si>
    <t>Elerson Carlos da Silva</t>
  </si>
  <si>
    <t>COO_207</t>
  </si>
  <si>
    <t>Modernização da estação de tratamento de água (ETA) da PCH Pedra</t>
  </si>
  <si>
    <t>COO0138</t>
  </si>
  <si>
    <t>COO_208</t>
  </si>
  <si>
    <t>Modernização da estação de tratamento de água (ETA) da UHE Xingó</t>
  </si>
  <si>
    <t>COO0139</t>
  </si>
  <si>
    <t>COO_209</t>
  </si>
  <si>
    <t>Modernização do sistema de iluminação das UHE Paulo Afonso I, II, III e UHE Apolônio Sales</t>
  </si>
  <si>
    <t>COO0140</t>
  </si>
  <si>
    <t>COO_210</t>
  </si>
  <si>
    <t>Modernização de Postos de diversas usinas da Chesf</t>
  </si>
  <si>
    <t>COO0145</t>
  </si>
  <si>
    <t>COO_211</t>
  </si>
  <si>
    <t>Modernização do sistema de proteção, controle e supervisão (SPCS) da UHE Xingó - CCX2</t>
  </si>
  <si>
    <t>COO0150</t>
  </si>
  <si>
    <t>COO_212</t>
  </si>
  <si>
    <t>Modernização do sistema de frenagem da UHE Boa esperança</t>
  </si>
  <si>
    <t>COO0152</t>
  </si>
  <si>
    <t>COO_213</t>
  </si>
  <si>
    <t>Modernização do sistema de alimentação do Vertedouro e Tomada d'água da UHE Xingó</t>
  </si>
  <si>
    <t>COO0155</t>
  </si>
  <si>
    <t>COO_214</t>
  </si>
  <si>
    <t>Modernização dos reguladores de velocidade das usinas Paulo Afonso I, II e III</t>
  </si>
  <si>
    <t>COO0156</t>
  </si>
  <si>
    <t>Rodrigo Ferreira de Melo Silva</t>
  </si>
  <si>
    <t>COO_215</t>
  </si>
  <si>
    <t>Modernização do sistema de proteção contra incêndio dos geradores de diversas usinas da Chesf</t>
  </si>
  <si>
    <t>COO0157</t>
  </si>
  <si>
    <t>COO_216</t>
  </si>
  <si>
    <t>Modernização de vertedouros das diversas usinas da Chesf</t>
  </si>
  <si>
    <t>COO0158</t>
  </si>
  <si>
    <t>COO_217</t>
  </si>
  <si>
    <t>UH.6011</t>
  </si>
  <si>
    <t>Modernização eletromecânica da PCH Funil</t>
  </si>
  <si>
    <t>COO0159</t>
  </si>
  <si>
    <t>COO_218</t>
  </si>
  <si>
    <t>Modernização da UHE Paulo Afonso III</t>
  </si>
  <si>
    <t>COO0160</t>
  </si>
  <si>
    <t>Rogerio Jose Aureliano da Rocha</t>
  </si>
  <si>
    <t>COO_219</t>
  </si>
  <si>
    <t>Modernização Postos Calhas de Rio (Grupo 2)</t>
  </si>
  <si>
    <t>COO0162</t>
  </si>
  <si>
    <t>COO_220</t>
  </si>
  <si>
    <t>Aquisição das válvulas de by-bass da caixa espiral e tubo de Sucção da UHE Xingó</t>
  </si>
  <si>
    <t>COO0164</t>
  </si>
  <si>
    <t>COO_221</t>
  </si>
  <si>
    <t>HSED.0005</t>
  </si>
  <si>
    <t>Adequação às NRs das instalações das usinas da Chesf - Projeto Previnir+</t>
  </si>
  <si>
    <t>Requisitos legais</t>
  </si>
  <si>
    <t>GRPSC</t>
  </si>
  <si>
    <t>COO0167</t>
  </si>
  <si>
    <t>Tiago de Medeiros Balensifer</t>
  </si>
  <si>
    <t>COO_222</t>
  </si>
  <si>
    <t>Modernização dos reguladores de tensão das diversas usinas da Chesf</t>
  </si>
  <si>
    <t>COO0171</t>
  </si>
  <si>
    <t>Bernardo Vitor Brito Barros</t>
  </si>
  <si>
    <t>COO_223</t>
  </si>
  <si>
    <t>Modernização do sistema de drenagem dos taludes da EOL Pindaí</t>
  </si>
  <si>
    <t>COO0172</t>
  </si>
  <si>
    <t>COO_224</t>
  </si>
  <si>
    <t>MS.6002</t>
  </si>
  <si>
    <t>Modernização dos equipamentos de SE da UHE.</t>
  </si>
  <si>
    <t>Subestação</t>
  </si>
  <si>
    <t>OOMS.C</t>
  </si>
  <si>
    <t>COO0174</t>
  </si>
  <si>
    <t>Modernização dos equipamentos de SE da UHE.
- Subsituição de 4 seccionadores na SE UBE (2026 - 2027) - R$ 1.812.677,77
- Contigência 2026 - R$ 362.976,24 (Baseado nos 7 primeiros meses de 2025);
- Subsituição de 4 seccionadores na SE UAS Aditivo GE (provável) - R$ 1.812.677,77</t>
  </si>
  <si>
    <t>Charlles de Souza Marinho</t>
  </si>
  <si>
    <t>COO_225</t>
  </si>
  <si>
    <t>Modernização das unidades hidráulicas das comporta da PCH Pedra</t>
  </si>
  <si>
    <t>COO0176</t>
  </si>
  <si>
    <t>COO_226</t>
  </si>
  <si>
    <t>Modernização de 02 transformadores do serviço auxiliar da UHE Boa Esperança</t>
  </si>
  <si>
    <t>COO0179</t>
  </si>
  <si>
    <t>COO_227</t>
  </si>
  <si>
    <t>Modernização do sistema de esgotamento da UHE Paulo Afonso III</t>
  </si>
  <si>
    <t>COO0180</t>
  </si>
  <si>
    <t>COO_228</t>
  </si>
  <si>
    <t>Modernização do sistema de ventilação e exaustão da UHE Paulo Afonso II</t>
  </si>
  <si>
    <t>COO0182</t>
  </si>
  <si>
    <t>COO_229</t>
  </si>
  <si>
    <t>Modernização dos motofreios das comportas tomada d'água da UHE Boa Esperança</t>
  </si>
  <si>
    <t>COO0187</t>
  </si>
  <si>
    <t>COO_230</t>
  </si>
  <si>
    <t>Modernização dos motores das comportas das PCH Pedra</t>
  </si>
  <si>
    <t>COO0188</t>
  </si>
  <si>
    <t>COO_231</t>
  </si>
  <si>
    <t>Modernização do sistema de drenagem da PCH Funil</t>
  </si>
  <si>
    <t>COO0191</t>
  </si>
  <si>
    <t>COO_232</t>
  </si>
  <si>
    <t>Modernização do sistema de enchimento do adutor da PCH Funil</t>
  </si>
  <si>
    <t>COO0192</t>
  </si>
  <si>
    <t>COO_233</t>
  </si>
  <si>
    <t>Modernização das barras estatóricas das UG08 e UG09 da UHE Paulo Afonso II</t>
  </si>
  <si>
    <t>COO0195</t>
  </si>
  <si>
    <t>COO_234</t>
  </si>
  <si>
    <t>Implantação do sistema de injeção química para combate ao mexilhão dourado na UHE Luiz Gonzaga</t>
  </si>
  <si>
    <t>COO0203</t>
  </si>
  <si>
    <t>COO_235</t>
  </si>
  <si>
    <t>Modernização de 02 transformadores reguladores para UHE Sobradinho</t>
  </si>
  <si>
    <t>COO0205</t>
  </si>
  <si>
    <t>COO_236</t>
  </si>
  <si>
    <t>Modernização do sistema de controle AUX1 e AUX2 da UHE Boa Esperança</t>
  </si>
  <si>
    <t>COO0206</t>
  </si>
  <si>
    <t>COO_237</t>
  </si>
  <si>
    <t>Modernização do sistema de ventilação da UHE Xingó</t>
  </si>
  <si>
    <t>COO0210</t>
  </si>
  <si>
    <t>COO_238</t>
  </si>
  <si>
    <t>Adequação da cobertura das instalações do Complexo Paulo Afonso</t>
  </si>
  <si>
    <t>COO0212</t>
  </si>
  <si>
    <t>COO_239</t>
  </si>
  <si>
    <t>Modernização do sistema de ventilação da UHE  Boa Esperança</t>
  </si>
  <si>
    <t>COO0225</t>
  </si>
  <si>
    <t>COO_243</t>
  </si>
  <si>
    <t>Substituição de painéis da UA das unidades geradoras 7, 8 e 9 da UHE Paulo Afonso II</t>
  </si>
  <si>
    <t>COO0190</t>
  </si>
  <si>
    <t>COO_177</t>
  </si>
  <si>
    <t>MH.6001</t>
  </si>
  <si>
    <t>Melhorias dos diques e barragens da USQ</t>
  </si>
  <si>
    <t>Civil - Segurança de barragem</t>
  </si>
  <si>
    <t>UHE Paulo Afonso IV</t>
  </si>
  <si>
    <t>COO0136</t>
  </si>
  <si>
    <t>COO_240</t>
  </si>
  <si>
    <t>Melhoria das Instalações de UXG- Melhoria no acesso e  drenagem dos diques 3 e 4</t>
  </si>
  <si>
    <t>COO0123</t>
  </si>
  <si>
    <t>COO_241</t>
  </si>
  <si>
    <t>Melhoria das Instalações de UXG-Sistema de iluminação nos túneis 1, 2, 3 e 4.</t>
  </si>
  <si>
    <t>COO0127</t>
  </si>
  <si>
    <t>COO_242</t>
  </si>
  <si>
    <t>Implantação Sistema de Auscultação  de barragens em diversas usinas</t>
  </si>
  <si>
    <t>ver observações</t>
  </si>
  <si>
    <t>Agrupamento dos projetos COO0215, COO0217, COO0218, COO0220, COO0222, COO0223 e COO0224 do PE 2025-2029</t>
  </si>
  <si>
    <t>COO_244</t>
  </si>
  <si>
    <t>Melhorias e Adequações na barragem da UHE Luiz Gonzaga</t>
  </si>
  <si>
    <t>COO0137</t>
  </si>
  <si>
    <t>COO_245</t>
  </si>
  <si>
    <t>Sinalização Náutica para diversas usinas</t>
  </si>
  <si>
    <t>COO0216</t>
  </si>
  <si>
    <t>COO_246</t>
  </si>
  <si>
    <t>Proteção das encostas laterais a Barragem de UFL e UPE</t>
  </si>
  <si>
    <t>COO0219</t>
  </si>
  <si>
    <t>COO_247</t>
  </si>
  <si>
    <t>HGHI.0012</t>
  </si>
  <si>
    <t>Projeto Domus - Automatização de instrumentação das Usinas Paulo Afonso I, II e III</t>
  </si>
  <si>
    <t>Holding</t>
  </si>
  <si>
    <t>COO_344</t>
  </si>
  <si>
    <t>HGHI.0006</t>
  </si>
  <si>
    <t>SEGREGAÇÃO DE REDES - USINAS</t>
  </si>
  <si>
    <t>OOPT.C</t>
  </si>
  <si>
    <t>COO0095</t>
  </si>
  <si>
    <t>Aquisição de Switches Industriais para segregação das redes em Usinas</t>
  </si>
  <si>
    <t>COO_347</t>
  </si>
  <si>
    <t>HSTC.0003</t>
  </si>
  <si>
    <t>MUX SDH - FASE 3 -USINAS</t>
  </si>
  <si>
    <t>COO0166</t>
  </si>
  <si>
    <t>Aquisição de MUX SDH para Usinas</t>
  </si>
  <si>
    <t>COO_369</t>
  </si>
  <si>
    <t>Substituição de retificadores da UHE Xingó</t>
  </si>
  <si>
    <t>OOGXI.C</t>
  </si>
  <si>
    <t>Aquisição de retificadores para aplicação na casa de força e vertedouro da UHE Xingó</t>
  </si>
  <si>
    <t>Total</t>
  </si>
  <si>
    <r>
      <t/>
    </r>
    <r>
      <rPr>
        <b/>
        <sz val="8"/>
        <color rgb="FFff0000"/>
        <rFont val="Calibri"/>
        <family val="2"/>
        <scheme val="minor"/>
      </rPr>
      <t xml:space="preserve">OBRIGATÓRIA:
</t>
    </r>
    <r>
      <rPr>
        <b/>
        <sz val="8"/>
        <color theme="1"/>
        <rFont val="Calibri"/>
        <family val="2"/>
        <scheme val="minor"/>
      </rPr>
      <t>1.</t>
    </r>
    <r>
      <rPr>
        <b/>
        <sz val="8"/>
        <color rgb="FFff0000"/>
        <rFont val="Calibri"/>
        <family val="2"/>
        <scheme val="minor"/>
      </rPr>
      <t xml:space="preserve"> </t>
    </r>
    <r>
      <rPr>
        <b/>
        <sz val="8"/>
        <color rgb="FF000000"/>
        <rFont val="Calibri"/>
        <family val="2"/>
        <scheme val="minor"/>
      </rPr>
      <t xml:space="preserve"> Indicar o número do coletor PEP ou OI. 
2. NÃO informar PEP que não esteja aberto no SAP.
3. TRANSMISSÃO:  informação deve ser considerada uma linha para cada código SGPMR (nesse caso, repetir o PEP).</t>
    </r>
  </si>
  <si>
    <t>Lucas Martins</t>
  </si>
  <si>
    <t>Descrição do projeto</t>
  </si>
  <si>
    <t>ID de demanda candidata</t>
  </si>
  <si>
    <t>Melhoria de pequeno porte</t>
  </si>
  <si>
    <t>FGHI.0103</t>
  </si>
  <si>
    <t>Modernização do Sistema de Controle da UHE Simplicio</t>
  </si>
  <si>
    <t>UHE Simplício</t>
  </si>
  <si>
    <t>OOMG.F</t>
  </si>
  <si>
    <t>COO1969</t>
  </si>
  <si>
    <t>Rodrigo Pinto Da Silva</t>
  </si>
  <si>
    <t>Modernização pequeno porte</t>
  </si>
  <si>
    <t>FGHI.0011</t>
  </si>
  <si>
    <t>UHE Manso - Modernização dos módulos das UAC de controle das Unidades Geradoras</t>
  </si>
  <si>
    <t>Aquisição de módulos da UAC para atualização do SSC das unidades geradoras. Equipamentos existentes sem reposição-UHE Manso</t>
  </si>
  <si>
    <t>UHE Manso</t>
  </si>
  <si>
    <t>OOGG.F</t>
  </si>
  <si>
    <t>ELET.00016</t>
  </si>
  <si>
    <t>Wilson Wagner Barbosa</t>
  </si>
  <si>
    <t>Modernização dos Módulos das UAC de Controle das Unidades Geradoras da UHE Manso</t>
  </si>
  <si>
    <t>COO1976</t>
  </si>
  <si>
    <t>FGHI.0098</t>
  </si>
  <si>
    <t>Modernização do sistema de resfriamento dos geradores da UHE Marimbondo</t>
  </si>
  <si>
    <t>COO1979</t>
  </si>
  <si>
    <t>Alan Paulo Rodrigues Dos Santos</t>
  </si>
  <si>
    <t>UHE Manso - Modernização dos relés de sincronismo para as Unidades Geradoras</t>
  </si>
  <si>
    <t>Aquisição de relés para individualização do sincronismo das Unidades Geradoras para aumentar a confiabilidade operacional. Atualmente, a UHE Manso tem apenas um sincronizador automático, compartilhado para todas as UGs e para a LIMSNO</t>
  </si>
  <si>
    <t>ELET.00018</t>
  </si>
  <si>
    <t>Modernização dos Relés de Sincronismo para as Unidades Geradoras da UHE Manso</t>
  </si>
  <si>
    <t>COO1980</t>
  </si>
  <si>
    <t>Modernização de grande porte</t>
  </si>
  <si>
    <t>FGHI.0156</t>
  </si>
  <si>
    <t>Adequação as Normas da Segurança do Trabalho</t>
  </si>
  <si>
    <t>Implantação de Linhas de Vida na PCH Anta</t>
  </si>
  <si>
    <t>Divisão O&amp;M Simplício / Anta</t>
  </si>
  <si>
    <t>OOGSI.F</t>
  </si>
  <si>
    <t>Geovane Abraão Benfica</t>
  </si>
  <si>
    <t>Implantação de Linhas de Vida na UHE Simplício</t>
  </si>
  <si>
    <t>Implantação de sistema de injeção química na UHE Simplicio</t>
  </si>
  <si>
    <t>COO2021</t>
  </si>
  <si>
    <t>FGHI.0134</t>
  </si>
  <si>
    <t>Modernização do sistema de proteção, controle e supervisão, Regulador de Tensão e Velocidade da UHE Itumbiara</t>
  </si>
  <si>
    <t>COO2037</t>
  </si>
  <si>
    <t>Ricardo Da Rocha Manhaes</t>
  </si>
  <si>
    <t>UHE Manso - Modernização dos pórticos e pontes rolantes</t>
  </si>
  <si>
    <t>ELET.00015</t>
  </si>
  <si>
    <t>Aquisição de dois conjuntos de servomotores para as Unidades 01 e 02 da UHE Simplício</t>
  </si>
  <si>
    <t>COO2041</t>
  </si>
  <si>
    <t>Novo</t>
  </si>
  <si>
    <t>Modernização do controle dos Reguladores de tensão da UHE Corumbá</t>
  </si>
  <si>
    <t>COO2045</t>
  </si>
  <si>
    <t>Renato Filippe Caldeira Lessa</t>
  </si>
  <si>
    <t>Modernização do controle dos reguladores de velocidade da UHE Corumbá</t>
  </si>
  <si>
    <t>COO2046</t>
  </si>
  <si>
    <t>Modernização do controle dos reguladores de tensão da UHE Manso</t>
  </si>
  <si>
    <t>COO2047</t>
  </si>
  <si>
    <t>FGHI.0075</t>
  </si>
  <si>
    <t>Modernização do sistema digital de supervisão e controle da UHE Mascarenhas de Moraes</t>
  </si>
  <si>
    <t>UHE Mascarenhas de Moraes</t>
  </si>
  <si>
    <t>COO2048</t>
  </si>
  <si>
    <t>Modernização do sistema de proteção contra incêndio da UHE Simplicio</t>
  </si>
  <si>
    <t>COO2050</t>
  </si>
  <si>
    <t>FGHI.0165</t>
  </si>
  <si>
    <t>Modernização do sistema de drenagem e Esvaziamento da casa de Força da UHE Marimbondo</t>
  </si>
  <si>
    <t>Divisão O&amp;M Marimb. P. Colom.</t>
  </si>
  <si>
    <t>OOGM.F</t>
  </si>
  <si>
    <t>Rodrigo Ferreira Moreno</t>
  </si>
  <si>
    <t>FGHI.0164</t>
  </si>
  <si>
    <t>UHE Manso - Modernização do sistema de monitoramento de temperatura dos mancais</t>
  </si>
  <si>
    <t>Modernização do sistema de monitoramento de temperatura dos mancais  das UG's da UHE Manso. Modernização do sistema que se encontra obsoleto e com equipamentos descontinuados, sem peças de reposição.</t>
  </si>
  <si>
    <t>ELET.00021</t>
  </si>
  <si>
    <t>UHE Manso - Sistema de retro lavagem dos filtros separadores de sedimento</t>
  </si>
  <si>
    <t>Modernização do sistema de retro lavagem dos filtros separadores de sedimento da UHE MANSO. Componentes em final de vida útil, obsoletos e  com desgaste oriundo  de ferro bactérias</t>
  </si>
  <si>
    <t>ELET.00013</t>
  </si>
  <si>
    <t>Modernização dos filtros separadores de sedimento da UHE Manso</t>
  </si>
  <si>
    <t>COO2059</t>
  </si>
  <si>
    <t>FGHI.0137</t>
  </si>
  <si>
    <t>Modernização dos estatores das UGs 07 e 08 da UHE Furnas</t>
  </si>
  <si>
    <t>UHE Furnas</t>
  </si>
  <si>
    <t>COO2067</t>
  </si>
  <si>
    <t>FGHI.0161</t>
  </si>
  <si>
    <t>UHE Itumbiara - Modernização dos fan coils dos TADs da Central de condicionamento de ar</t>
  </si>
  <si>
    <t>Modernização dos fan coils dos TADs da Central de condicionamento de ar da Usina devido obsolescência dos equipamentos-UHE Itumbiara</t>
  </si>
  <si>
    <t>ELET.00010</t>
  </si>
  <si>
    <t>Juarez Evangelista reis</t>
  </si>
  <si>
    <t>UHE Itumbiara - Modernização do Sistema de Destilação de água tratada</t>
  </si>
  <si>
    <t>Modernização dos equipamentos para destilação de água visando manutenção em bancos de baterias-UHE Itumbiara</t>
  </si>
  <si>
    <t>ELET.00011</t>
  </si>
  <si>
    <t xml:space="preserve">UHE Itumbiara - Modernização do sistema de drenagem e esvaziamento da </t>
  </si>
  <si>
    <t>Modernização ou substituição de todas as bombas de drenagem e esvaziamento da casa de força da usina, da UHE Itumbiara, equipamentos com alta taxa de falha, baixa eficiência, dificuldade de encontrar peças de reposição, fim da vida útil.</t>
  </si>
  <si>
    <t>ELET.00001</t>
  </si>
  <si>
    <t>UHE Itumbiara - Substituição das vedações das comportas do vertedouro e stop logs</t>
  </si>
  <si>
    <t>Substituição das vedações das comportas do vertedouro devido ao tempo de vida útil das borrachas de vedação (vazamentos de água nas comportas) e pintura das comportas</t>
  </si>
  <si>
    <t>ELET.00006</t>
  </si>
  <si>
    <t>UHE Manso - Substituição dos compressores de ar de regulação</t>
  </si>
  <si>
    <t>Substituição dos compressores de ar de regulação da UHE Manso. Compressores em final de vida útil, obsoletos e dificuldades de aquisição de peças reposição.</t>
  </si>
  <si>
    <t>ELET.00017</t>
  </si>
  <si>
    <t>Modernização dos compressores de ar de regulação da UHE Manso</t>
  </si>
  <si>
    <t>COO2099</t>
  </si>
  <si>
    <t>Modernização do controle dos Reguladores da UHE Luiz Carlos Barreto de Carvalho</t>
  </si>
  <si>
    <t>COO2101</t>
  </si>
  <si>
    <t>UHE Manso - Modernização do sistema de resfriamento dos Geradores</t>
  </si>
  <si>
    <t>Substituição dos radiadores de ar do gerador Usina de Manso  em  final de  vida útil. Cada unidade geradora utiliza 6 radiadores. A UHE Manso tem 4 unidades geradoras.</t>
  </si>
  <si>
    <t>ELET.00029</t>
  </si>
  <si>
    <t>Modernização do sistema de resfriamento dos Geradores da UHE Manso</t>
  </si>
  <si>
    <t>COO2104</t>
  </si>
  <si>
    <t>UHE Itumbiara - Modernização dos trocadores de calor do mancal guia turbina UG's</t>
  </si>
  <si>
    <t>Substituição dos trocadores de calor dos mancais em fim de vida útil, desgaste excessivo das paredes internas devido abrasividade da água, passagem de óleo para a água-UHE Itumbiara</t>
  </si>
  <si>
    <t>ELET.00008</t>
  </si>
  <si>
    <t>UHE Itumbiara - Modernização dos trocadores de calor do regulador de velocidade das UG's</t>
  </si>
  <si>
    <t>Substituição dos trocadores de calor dos reguladores de velocidade em fim de vida útil, desgaste excessivo das paredes internas devido abrasividade da água, passagem de óleo para a água-UHE Itumbiara</t>
  </si>
  <si>
    <t>ELET.00009</t>
  </si>
  <si>
    <t>UHE Manso - Modernização dos servomotores do aro de regulação das Turbinas</t>
  </si>
  <si>
    <t>Modernização dos servomotores do Aro de Regulação das Turbinas da Usina de Manso, substituindo 02 servomotores que apresentam elevado desgaste das partes metálicas com tendencia crescente de vazamento de óleo.</t>
  </si>
  <si>
    <t>ELET.00026</t>
  </si>
  <si>
    <t>UHE Manso - Modernização do sistema SMARTRUNK</t>
  </si>
  <si>
    <t>Modernização do sistema SMARTRUNK da UHE Manso. Sistema obsoleto, com funcionamento parcial</t>
  </si>
  <si>
    <t>ELET.00028</t>
  </si>
  <si>
    <t>UHE Manso - Modernização do Sistema de resfriamento dos mancais das UG's</t>
  </si>
  <si>
    <t>Substituição dos trocadores de calor dos mancais em fim de vida útil, desgaste excessivo das paredes internas devido abrasividade da água, passagem de óleo para a água-UHE Manso</t>
  </si>
  <si>
    <t>ELET.00030</t>
  </si>
  <si>
    <t>UHE Manso - Modernização do sistema dos bicos de injeção da caixa de vedação</t>
  </si>
  <si>
    <t>Modernização do sistema dos bicos de injeção da caixa de vedação, por um sistema que permita a limpeza sem ocorrer desligamento de Unidades Geradoras-UHE Manso. Bicos de injeção da caixa de vedação em fim de vida útil, em virtude da ação de ferrobactérias</t>
  </si>
  <si>
    <t>ELET.00031</t>
  </si>
  <si>
    <t>UHE Manso - Extratores de Vapor das Unidades Geradoras</t>
  </si>
  <si>
    <t>Modernização do sistema de Extratores de Vapor das Unidades Geradoras-UHE Manso. Componentes em final de vida útil, obsoletos e dificuldades de aquisição de peças reposição.</t>
  </si>
  <si>
    <t>ELET.00032</t>
  </si>
  <si>
    <t>UHE Manso - Modernização do sistema de indicação de posição das comportas de serviço</t>
  </si>
  <si>
    <t>Modernização do sistema de indicação de posição das comportas de serviço da UHE Manso, que se encontra obsoleto e com equipamentos descontinuados, sem peças de reposição.</t>
  </si>
  <si>
    <t>ELET.00033</t>
  </si>
  <si>
    <t>UHE Manso - Modernização do sistema de drenagem e esvaziamento</t>
  </si>
  <si>
    <t>Fabricante do sistema existente descontinuado (ESCO). Dificuldades de encontrar empresas que trabalham com essa marca-UHE Manso</t>
  </si>
  <si>
    <t>ELET.00034</t>
  </si>
  <si>
    <t>FGHI.0157</t>
  </si>
  <si>
    <t>UHE Batalha - Modernização do sistema de iluminação</t>
  </si>
  <si>
    <t>Modernização da iluminação externa, vias, subestação área externa da UHE Batalha. Sistema obsoleto e com componentes em fim de vida útil.</t>
  </si>
  <si>
    <t>ELET.00035</t>
  </si>
  <si>
    <t>Vitor Barbosa Pereira</t>
  </si>
  <si>
    <t>UHE Batalha - Modernização do Sistema de Destilação de água tratada</t>
  </si>
  <si>
    <t>Modernização dos equipamentos para destilação de água visando manutenção em bancos de baterias-UHE Batalha</t>
  </si>
  <si>
    <t>ELET.00038</t>
  </si>
  <si>
    <t>UHE Batalha - Modernização do Pórtico da Tomada Dágua</t>
  </si>
  <si>
    <t>Substituição completa do painél incluindo controle e operação-UHE Batalha</t>
  </si>
  <si>
    <t>ELET.00039</t>
  </si>
  <si>
    <t>UHE Batalha - Melhoria na ponte rolante da casa de força</t>
  </si>
  <si>
    <t>Melhoria na ponte rolante da casa de força com implementação de controle remoto individual-UHE Batalha</t>
  </si>
  <si>
    <t>ELET.00040</t>
  </si>
  <si>
    <t>UHE Batalha - Modernização do sistema SMARTRUNK</t>
  </si>
  <si>
    <t>Modernização do sistema de comunicação-UHE Batalha. Sistema atual está obsoleto com necessidade de modernização</t>
  </si>
  <si>
    <t>ELET.00041</t>
  </si>
  <si>
    <t>FGHI.0158</t>
  </si>
  <si>
    <t>UHE Corumbá - Disjuntores do serviço auxiliar 13,8kV</t>
  </si>
  <si>
    <t>Substituição dos disjuntores do serviço auxiliar 13,8kV (DG1, DG2 e DG3 e DL)-UHE Corumbá. Disjuntores já está obsoleto com necessidade de segurança operacional</t>
  </si>
  <si>
    <t>UHE Corumba</t>
  </si>
  <si>
    <t>ELET.00042</t>
  </si>
  <si>
    <t>UHE Corumbá - Modernização das pontes rolantes da casa de força</t>
  </si>
  <si>
    <t>Melhoria nas pontes rolantes da casa de força com implementação de controle remoto individual -UHE Corumbá</t>
  </si>
  <si>
    <t>ELET.00043</t>
  </si>
  <si>
    <t>UHE Corumbá - Sistema de Registro de Perturbações</t>
  </si>
  <si>
    <t>Aquisição de Sistema de Registro de Perturbações para as Unidades Geradoras de Corumbá, visando substituir as atuais em final de vida útil</t>
  </si>
  <si>
    <t>ELET.00046</t>
  </si>
  <si>
    <t>UHE Corumbá - Modernização do Sistema de Proteção de Combate à incêndio-SPCI da Casa de Força</t>
  </si>
  <si>
    <t>Modernização de toda a instalação do SPCI incluindo novo painel, sistema de detecção, layout e laudo do corpo de bombeiros-UHE Corumbá</t>
  </si>
  <si>
    <t>ELET.00047</t>
  </si>
  <si>
    <t>UHE Corumbá - Modernização dos controles das Comportas do Vertedouro</t>
  </si>
  <si>
    <t>Subtituição de 2 paineis incluindo novos controles interligando com o sistema SAGE-UHE Corumbá</t>
  </si>
  <si>
    <t>ELET.00048</t>
  </si>
  <si>
    <t>UHE Corumbá - Modernização do Sistema de Destilação de água tratada</t>
  </si>
  <si>
    <t>Modernização dos equipamentos para destilação de água visando manutenção em bancos de baterias-UHE Corumbá</t>
  </si>
  <si>
    <t>ELET.00049</t>
  </si>
  <si>
    <t>UHE Corumbá - Alimentação do serviço auxiliar da Usina pelo terciário AT01 (CNT)</t>
  </si>
  <si>
    <t>Alimentação externa através do terciário do AT01 (CNT) para alimentar o serviço auxiliar da usina deixando a estação com mais uma redundância de segurança em caso de falta de alimentação pelo gerador diesel da central-UHE Corumbá</t>
  </si>
  <si>
    <t>ELET.00050</t>
  </si>
  <si>
    <t>UHE Corumbá - Modernização da instrumentação de supervisão dos mancais das Unidades Geradoras</t>
  </si>
  <si>
    <t>Implementação de nova instrumetação incluindo pressostatos, fluxômetros, termômetros, sensores etc-UHE Corumbá</t>
  </si>
  <si>
    <t>ELET.00051</t>
  </si>
  <si>
    <t>FGHI.0167</t>
  </si>
  <si>
    <t>Obra- Implantação de caixa separadora água-óleo atendentendo aos requisitos ambientais da UHE Porto Colombia</t>
  </si>
  <si>
    <t>Desenvolvimento do projeto básico  e contratação  da execução  da obra</t>
  </si>
  <si>
    <t>ELET.00084.001</t>
  </si>
  <si>
    <t>Obra - Substituição do Telhado da casa de Força da UHE Porto Colômbia</t>
  </si>
  <si>
    <t>Contratação dos serviços de susbtituição da cobertura do telahado da casa de força</t>
  </si>
  <si>
    <t>ELET.00086.001</t>
  </si>
  <si>
    <t>FGHI.0160</t>
  </si>
  <si>
    <t xml:space="preserve">Modern. SDTT UG07 e 08 da UHE Furnas </t>
  </si>
  <si>
    <t>Sistema obsoleto e com componentes em fim de vida útil. Adequação do sistema de drenagem.</t>
  </si>
  <si>
    <t>Divisão O&amp;M de Furnas</t>
  </si>
  <si>
    <t>ELET.00148.001</t>
  </si>
  <si>
    <t>Luis Junio Leonel Mendes</t>
  </si>
  <si>
    <t>Modern. Sist. Resf. MC UG07 UHE Furnas</t>
  </si>
  <si>
    <t>Sistema obsoleto e com componentes em fim de vida útil.</t>
  </si>
  <si>
    <t>ELET.00151.001</t>
  </si>
  <si>
    <t xml:space="preserve">Mod. palhetas da UG07 da UHE Furnas </t>
  </si>
  <si>
    <t>ELET.00153.001</t>
  </si>
  <si>
    <t xml:space="preserve">Mod. palhetas da UG08 da UHE Furnas </t>
  </si>
  <si>
    <t>ELET.00153.002</t>
  </si>
  <si>
    <t>Segurança de barragem</t>
  </si>
  <si>
    <t>FGHI.0143</t>
  </si>
  <si>
    <t>Obra - Reforço /melgoria no conduto forçado - UHE Simplício</t>
  </si>
  <si>
    <t>Injeção de Poliuretano nos condutos forçados das UG02 e UG03</t>
  </si>
  <si>
    <t>ELET.00157.001</t>
  </si>
  <si>
    <t>Obra - Modernização e adequação das instalações para atendimento aos requisitos da Segurança de Barragem</t>
  </si>
  <si>
    <t>Construção de escadas e acessos aos equipamentos de Instrumentação dos Diques co complexo Simplício/Anta</t>
  </si>
  <si>
    <t>ELET.00158.001</t>
  </si>
  <si>
    <t>Obra - Adequação as Normas da Segurança do Trabalho</t>
  </si>
  <si>
    <t>Implantação de guard-rail nas vias da área industrial</t>
  </si>
  <si>
    <t>ELET.00162.001</t>
  </si>
  <si>
    <t>FGHI.0159</t>
  </si>
  <si>
    <t>Obra - Pavimentação da área industrial</t>
  </si>
  <si>
    <t>Pavimentação das vias internas da área industrial - acesso ao VME / VMD</t>
  </si>
  <si>
    <t>Divisão O&amp;M Funil</t>
  </si>
  <si>
    <t>OOGFU.F</t>
  </si>
  <si>
    <t>ELET.00163.001</t>
  </si>
  <si>
    <t>Renderson Clayton dos Santos Lopes</t>
  </si>
  <si>
    <t>FGHI.0155</t>
  </si>
  <si>
    <t>UHE Serra da Mesa - Atividade PSSBI-Serviços de mapeamento geológico</t>
  </si>
  <si>
    <t>Mapeamento geológio-geotécnico, projeto e orçamento, bate-choco, ancoragens e instalação de tela metálica para escavações em rocha. (Atividades PSSBI USSM-014.2019, USSM-009.2022 e USSM-006.2023)</t>
  </si>
  <si>
    <t>Fabiano Henrique de Paula</t>
  </si>
  <si>
    <t>Modernização do sistema anti-incêndio da casa de máquinas da usina de Furna</t>
  </si>
  <si>
    <t>Substituição de equipamentos por obsolescência</t>
  </si>
  <si>
    <t>UHE Manso - Obra - Pavimentação de vias internas da área industrial</t>
  </si>
  <si>
    <t>Pavimentação das vias internas da área industrial - acesso a Barragem / Antena de comunicação</t>
  </si>
  <si>
    <t>UHE Itumbiara - Implantação de um sistema de proteção contra incêndio na planta de H2 verde</t>
  </si>
  <si>
    <t>H2 verde - SPCI da UHE Itumbiara.  Implantação de um Sistema de Proteção contra Incêndio-SPCI, que é uma exigência legal do Corpo de Bombeiros para a emissão da Licença de Operação da Planta de Hidrogênio existente</t>
  </si>
  <si>
    <t>NOVO</t>
  </si>
  <si>
    <t>UHE Colíder - Modernização do sistema de monitoramento de descargas parciais</t>
  </si>
  <si>
    <t>UHE Colíder</t>
  </si>
  <si>
    <t>A planejar</t>
  </si>
  <si>
    <t>Automação de Instrumentação de Auscultação Civil de Segurança de Barrages - UHE Funil</t>
  </si>
  <si>
    <t>OOMB.F</t>
  </si>
  <si>
    <t>Ravy Delatorre Costa</t>
  </si>
  <si>
    <t>UHE Serra da Mesa - Atividade PSSBI-Serviços de substituição de peças fixas e materias</t>
  </si>
  <si>
    <t>Mapeamento de substituição das grelhas e vigas de sustentação, talhas e fornecimento de materiais. (Atividades PSSBI USSM-008.2023 e USSM-009.2023)</t>
  </si>
  <si>
    <t>UHE Colíder - Modernização  - Enrolamento estator</t>
  </si>
  <si>
    <t>UHE Colíder - Modernização do pórtico rolante de montante</t>
  </si>
  <si>
    <t xml:space="preserve">Melhoria das canaletas de drenagem e pista de acesso a Subestação da UHE Batalha.  </t>
  </si>
  <si>
    <t>Segurança de Barragens/Mitigação de risco regulatório</t>
  </si>
  <si>
    <t>Marco Aurelio Lima Cupertino</t>
  </si>
  <si>
    <t>UHE Colíder - Aquisição de sobressalentes críticos (reguladores de velocidade, SDSC, Serv Auxiliares, etc)</t>
  </si>
  <si>
    <t>UHE Manso - Obra - Adequação civil das estruturas e acessos da casa de força</t>
  </si>
  <si>
    <t>Modernização de telhado e fachadas, impermeabilização de lajes, pintura interna e externa da casa de força</t>
  </si>
  <si>
    <t>FGHI.0142</t>
  </si>
  <si>
    <t xml:space="preserve"> Serviços de monitoramento sismológico.</t>
  </si>
  <si>
    <t>Prestação de serviços de monitoramento sismológico de usinas hidrelétricas e seus reservatórios da Eletrobras Operação Sudeste.  Projeto DOMUS</t>
  </si>
  <si>
    <t>Diversas</t>
  </si>
  <si>
    <t>Ricardo Moreira Vilhena</t>
  </si>
  <si>
    <t>Revisão Periódica de Segurança de Barragem  - UHE Luiz Carlos Barreto de Carvalho</t>
  </si>
  <si>
    <t>Contratação da Revisão de Segurança de Barragem da UHE Luiz Carlos Barreto de Carvalho, serviços de engenharia e Análise de Risco</t>
  </si>
  <si>
    <t>Revisão Periódica de Segurança de Barragem  - UHE Manso</t>
  </si>
  <si>
    <t>Contratação da Revisão de Segurança de Barragem da UHE Manso, serviços de engenharia e Análise de Risco</t>
  </si>
  <si>
    <t>Ricardo Moreira Soares</t>
  </si>
  <si>
    <t>Revisão Periódica de Segurança de Barragem  - UHE Batalha</t>
  </si>
  <si>
    <t>Contratação da Revisão de Segurança de Barragem da UHE Batalha, serviços de engenharia e Análise de Risco</t>
  </si>
  <si>
    <t>Revisão Periódica de Segurança de Barragem  - UHE Simplício</t>
  </si>
  <si>
    <t>Contratação da Revisão de Segurança de Barragem da UHE Simplício, serviços de engenharia e Análise de Risco</t>
  </si>
  <si>
    <t>Substitução da rede de abastecimento da água tratada UHE Marimbondo</t>
  </si>
  <si>
    <t>FGHI.0163</t>
  </si>
  <si>
    <t>Retrofit do sistema de controle da comporta de adução da UG04 / UG 05 / UG 06</t>
  </si>
  <si>
    <t>Possível indisponibilidade prolongada do ativo de geração e perda de receita por inexistência de sobressalentes. Equipamentos com fabricação descontinuada.</t>
  </si>
  <si>
    <t>Divisão O&amp;M LCB Carvalho</t>
  </si>
  <si>
    <t>César Coelho Vieira</t>
  </si>
  <si>
    <t>UHE Colíder - Aquisição de trafo de excitação sobressalente</t>
  </si>
  <si>
    <t>Contratação de empresa para atividades de manutenção do PAE</t>
  </si>
  <si>
    <t>Instalação de placas de sinalização de RF e PE, realização de exercícios simulados e atividades de comunicação/divulgação para a população</t>
  </si>
  <si>
    <t>Cristiano Neves Simão e LF Alves</t>
  </si>
  <si>
    <t>UHE Colíder - Aquisição e instalação de sistema de ventilação nos trafos de excitação</t>
  </si>
  <si>
    <t>UHE Luiz Carlos Barreto</t>
  </si>
  <si>
    <t>UHE Manso - Modernização/ampliação do sistema de CITV</t>
  </si>
  <si>
    <t>Modernização comportas do vertedouro - VME e VME</t>
  </si>
  <si>
    <t>Moderização de 03 comportas em cada um dos vertedouro</t>
  </si>
  <si>
    <t>FGHI.0166</t>
  </si>
  <si>
    <t>Modernização do sistema de esvaziamento e drenagem da casa de força da UHE Mascarenhas de Moraes</t>
  </si>
  <si>
    <t>Construção de caixa SAO</t>
  </si>
  <si>
    <t>Divisão O&amp;M Marechal M.  Moraes</t>
  </si>
  <si>
    <t>Gustavo Moreira Granzoto</t>
  </si>
  <si>
    <t>Modernização das comportas ensecadeiras tomada dágua e canal de fuga</t>
  </si>
  <si>
    <t>Modernização das comportas das 03 UGs + Válvula difusora</t>
  </si>
  <si>
    <t>FGHI.0144</t>
  </si>
  <si>
    <t>UHE Batalha - Obra - Construção de Estruturas para contenção de taludes</t>
  </si>
  <si>
    <t>Construção de estruturas de contenção no talude da margem esquerda junto a Subestação e margem direita (proximo ao canal de fuga) da UHE Batalha</t>
  </si>
  <si>
    <t>UHE Colíder - Obra - Pavimentação e drenagem superficial</t>
  </si>
  <si>
    <t>Pavimantação da crista da barragem</t>
  </si>
  <si>
    <t>FGHI.0152</t>
  </si>
  <si>
    <t>Obra - Pavimantação asfáltica das bermas da barragem de terra - MD e ME</t>
  </si>
  <si>
    <t>Atendimento ao Relatório de Inspeção de Segurança de barragem</t>
  </si>
  <si>
    <t>Instalação de CITV na UHE Marimbondo</t>
  </si>
  <si>
    <t>Sobressalentes UAC - ALTUS - UHE Jaguari</t>
  </si>
  <si>
    <t>FGHI.0151</t>
  </si>
  <si>
    <t>UHE Manso - Obra - Cercamento da área industrial</t>
  </si>
  <si>
    <t>Cercamento das divisas de propriedade em atendimento ao Relatório de Inspeção de Segurança Regular - RISR</t>
  </si>
  <si>
    <t>UHE Batalha - Obra - Implantação de escadas e acessos aos instrumentos de Segurnça de Barragem</t>
  </si>
  <si>
    <t>Implantação de escadas e passarelas metálicas para acesso aos instrumentos de segurança de barragem junto ao vertedouro e demais estruturas de concreto</t>
  </si>
  <si>
    <t>Modernização das comportas de manutenção do canal de Fuga</t>
  </si>
  <si>
    <t>Modernização de 16 comportas de manutenção do canal de fuga</t>
  </si>
  <si>
    <t xml:space="preserve"> Modernização dos CLPs das UAsC de supervisão e controle das Comportas Segmento do Vertedouro - PCH Anta</t>
  </si>
  <si>
    <t>Modernização de sistema supervisão e controle de O&amp;M</t>
  </si>
  <si>
    <t>Modernização dos CLPs das UACs de supervisão e controle das Unidades Geradoras - PCH Anta</t>
  </si>
  <si>
    <t>Modernização do Sistema de Registro de Perturbações</t>
  </si>
  <si>
    <t>Substituição das bombas das unidades hidráulicas</t>
  </si>
  <si>
    <t>Substituição das dos equipamentos das 03 UGs</t>
  </si>
  <si>
    <t>Instalação de sistema de comunicação local - UHE Funil</t>
  </si>
  <si>
    <t>Implantação de sistema de comunicação e busca na árae industrial</t>
  </si>
  <si>
    <t>FGHI.0162</t>
  </si>
  <si>
    <t>Implantação de linha de vida - UHE Jaguari</t>
  </si>
  <si>
    <t>Atendimento as Normas da Segurança do Trabalho</t>
  </si>
  <si>
    <t>Modernização dos CLPs das UACs de supervisão e controle das Comportas de Emergência - PCH Anta</t>
  </si>
  <si>
    <t>Instalação de CITV  - UHE Jaguari</t>
  </si>
  <si>
    <t>Isnatalação de sistema de vigilância e monitoramento</t>
  </si>
  <si>
    <t>Modernização/Retrofit de tubulação na Casa de Força da UHE Marimbondo</t>
  </si>
  <si>
    <t>Substituição de parte das tubulações (galeria de drenagem) do sistema de ar de serviço (UC 385) por obsolescência - material e serviço</t>
  </si>
  <si>
    <t xml:space="preserve"> Modernização do CLP da UAC de supervisão e controle do Serviço Auxiliar - PCH Anta</t>
  </si>
  <si>
    <t xml:space="preserve">Modernização do CLP da UAC de supervisão e controle da Subestação - PCH Anta </t>
  </si>
  <si>
    <t>Obra- UHE Marimbondo - Vegetação de proteção da barragem de terra</t>
  </si>
  <si>
    <t xml:space="preserve">Recuperação da vegetação de cobertura conforme Relatório de Inspeção de Segurança Barragem </t>
  </si>
  <si>
    <t>Implantação de Sistema de Tratamento de Água - UHE Jaguari</t>
  </si>
  <si>
    <t>Implantação de ETA completa para atendimento das demandas da usina</t>
  </si>
  <si>
    <t>UHE Colíder - Obra - Cercamento da área industrial</t>
  </si>
  <si>
    <t>Construção de alambrados na área industrial</t>
  </si>
  <si>
    <t>Substituição da UPS da Sala de Controle - PCH Anta</t>
  </si>
  <si>
    <t>Modernização da Ponte Rolante - UHE Simplício</t>
  </si>
  <si>
    <t>Modernização dos equipamentos de içamento da usina</t>
  </si>
  <si>
    <t>Modernização do Pórtico Rolante do Tubo de Sucção - UHE Simplício</t>
  </si>
  <si>
    <t>Modernização do Pórtico Rolante da Tomada d`Água - UHE Simplício</t>
  </si>
  <si>
    <t>Instalação de CITV no VME</t>
  </si>
  <si>
    <t xml:space="preserve">Ampliação da cobertura de monitoramento da vigilância - UHE Simplício - </t>
  </si>
  <si>
    <t>Modernização de sistema de comunicação</t>
  </si>
  <si>
    <t>PCH Anta - Ampliação da cobertura de monitoramento da vigilância</t>
  </si>
  <si>
    <t>PCH Anta - Ampliação da cobertura de monitoramento das manobras da operação</t>
  </si>
  <si>
    <t>FGHI.0148</t>
  </si>
  <si>
    <t>UHE Itumbiara - Obra - Vegetação de proteção da barragem de terra</t>
  </si>
  <si>
    <t>Obra - Estabilização de taludes na área industrial</t>
  </si>
  <si>
    <t>Estabilização de taludes na via de acesso ao VME</t>
  </si>
  <si>
    <t>Automatização de Instrumentos  UHE Itumbiara.</t>
  </si>
  <si>
    <t>Automatização de Instrumentos de Monitoramento de Barragens – UHE Itumbiara.</t>
  </si>
  <si>
    <t>UHE Colíder - Obra -Reparos gerais para atendimento a recomendações de ISR</t>
  </si>
  <si>
    <t>Atendimentos dos requisitos da Segurança de Barragem - instalação e moderização de equipamentos diversos</t>
  </si>
  <si>
    <t>Implantar o projeto de construção das escadas metálicas e guardas-corpo nos acessos aos instrumentos de auscultação civil.</t>
  </si>
  <si>
    <t>FGHI.0147</t>
  </si>
  <si>
    <t>Obra- Estabilização de taludes na área industrial</t>
  </si>
  <si>
    <t>Instalação de tela no talude rochoso próxima a Casa de Força para contenção de blocos de rocha</t>
  </si>
  <si>
    <t>Instalação de nova instrumentação de auscultação nas galerias de drenagem das estruturas de concreto da UHE Corumbá.</t>
  </si>
  <si>
    <t>Instalação de novos piezômetros nas galerias de drenagem das estruturas de concreto da UHE Corumbá, conforme Nota técnica ja elaborada.</t>
  </si>
  <si>
    <t>Modernização dos tranformadores elevadores da UHE Funil</t>
  </si>
  <si>
    <t>Modernização de 04 transformadores</t>
  </si>
  <si>
    <t>Reforma das comportas de manutenção (STOP LOG)</t>
  </si>
  <si>
    <t>UHE Colíder - Obra - Instrumentação das estruturas civis</t>
  </si>
  <si>
    <t>FGHI.0128</t>
  </si>
  <si>
    <t>Melhoria e modernização dos terminais de leitura das células de carga instaladas na cortina atirantada da UHE Simplício</t>
  </si>
  <si>
    <t>Projeto e execução de modernização e melhoria dos terminais de leitura das referidas células de carga, conforme projeto contratado, com instalação de dataloggers, substituição do cabeamento e redirecionamento de rede para minimizar a geração de ruídos e perda de sinal, proporcionando maior confiabilidade nas leituras executadas.</t>
  </si>
  <si>
    <t>Modernização das válvulas dos Sistemas de Drenagem Parcial e Total das Unidades Geradoras</t>
  </si>
  <si>
    <t>Modernização do CLPs das UACs de supervisão e controle das Unidade Geradoras</t>
  </si>
  <si>
    <t>Substituição de parte das tubulações (galeria de drenagem) do sistema de água de alimentação (água de serviço - UC 365) por obsolescência - material e serviço</t>
  </si>
  <si>
    <t xml:space="preserve">Licença do Sistema de Gestão de Emergência – SYSDAM ALERT </t>
  </si>
  <si>
    <t xml:space="preserve"> Concessão da licença do Sistema de Gestão de Emergência – SYSDAM ALERT de 13 empredimentos da Operação Sudeste (PAE)</t>
  </si>
  <si>
    <t>UHE Corumbá - Substituição das vedações das comportas do vertedouro</t>
  </si>
  <si>
    <t>Substituição das vedações das comportas do vertedouro da UHE Corumbá devido ao tempo de vida útil das borrachas de vedação. Vazamentos de água nas comportas.</t>
  </si>
  <si>
    <t>UHE Itumbiara - Modernização dos compressores de ar de serviço</t>
  </si>
  <si>
    <t>Substituição dos compressores de ar de serviço da UHE Itumbiara. Compressores em final de vida útil, obsoletos e dificuldades de aquisição de peças reposição.</t>
  </si>
  <si>
    <t>Modernização dos indicadores digitais de instrumentação das UGs</t>
  </si>
  <si>
    <t>Modernização das 06 Unidades geradoras</t>
  </si>
  <si>
    <t>Ampliação e melhoria do sistema de drenagem profunda do pátio de manobras anexo à Casa de Força/Área de Montagem da UHE Itumbiara.</t>
  </si>
  <si>
    <t>UHE Colíder - Moderização do sistema de drenagem da galeria (bombeamento e tubulações)</t>
  </si>
  <si>
    <t>UHE Colíder - Modernização/ampliação do sistema de comunicação (rádio, telefonia)</t>
  </si>
  <si>
    <t>Obra - Adequação de instalações diversas</t>
  </si>
  <si>
    <t>Instalação de guard-rail em trechos das vias da área industrial</t>
  </si>
  <si>
    <t>Retrofit parcial das UAC's 1 e 2, com fornecimento de sobrerssalentes</t>
  </si>
  <si>
    <t>Modernização do sistema de ar de serviço da UHE Porto Colombia</t>
  </si>
  <si>
    <t>Aquisição de Retificadores - UHE Jaguari</t>
  </si>
  <si>
    <t>Atendimento de demandas de O&amp;M</t>
  </si>
  <si>
    <t>Modernização/Retrifit de compressores</t>
  </si>
  <si>
    <t>Substituição dos compressores (UC 385) da central de ar de regulação dos tanques de ar dos reguladores de velocidade da UHMR - obsolescência</t>
  </si>
  <si>
    <t>Revisão Periódica de Segurança de Barragem  - UHE Corumbá</t>
  </si>
  <si>
    <t>Contratação da Revisão de Segurança de Barragem da UHE Corumbá, serviços de engenharia e análise de risco</t>
  </si>
  <si>
    <t>Revisão Periódica de Segurança de Barragem  - UHE Serra da Mesa</t>
  </si>
  <si>
    <t>Contratação da Revisão de Segurança de Barragem da UHE Serra da Mesa, serviços de engenharia e Análise de Risco</t>
  </si>
  <si>
    <t>Revisão Periódica de Segurança de Barragem  - UHE Porto Colômbia</t>
  </si>
  <si>
    <t>Contratação da Revisão de Segurança de Barragem da UHE Porto Colômbia, serviços de engenharia e Análise de Risco</t>
  </si>
  <si>
    <t>Revisão Periódica de Segurança de Barragem  - UHE Funil</t>
  </si>
  <si>
    <t>Contratação da Revisão de Segurança de Barragem da UHE Funil, serviços de engenharia e Análise de Risco</t>
  </si>
  <si>
    <t>Revisão Periódica de Segurança de Barragem  - UHE Marimbondo</t>
  </si>
  <si>
    <t>Contratação da Revisão de Segurança de Barragem da UHE Marimbondo, serviços de engenharia e Análise de Risco</t>
  </si>
  <si>
    <t>Revisão Periódica de Segurança de Barragem  - UHE Itumbiara</t>
  </si>
  <si>
    <t>Contratação da Revisão de Segurança de Barragem da UHE Itumbiara, serviços de engenharia e Análise de risco</t>
  </si>
  <si>
    <t>Retrofit do sistema de controle da comporta de adução da UG01 / UG 02 / UG 03</t>
  </si>
  <si>
    <t xml:space="preserve">Retrofit do Sistema SPCI das UGs </t>
  </si>
  <si>
    <t>Modernização das 08 Unidades geradoras</t>
  </si>
  <si>
    <t>FGHI.0076</t>
  </si>
  <si>
    <t>Automatização de Instrumentos de Monitoramento de Barragens – UHE Batalha.</t>
  </si>
  <si>
    <t>Execução da Automatização de Instrumentos de Monitoramento de Barragens – UHE Batalha.</t>
  </si>
  <si>
    <t>Modernização da Linha de 13.8 K - Alimentação do VME.</t>
  </si>
  <si>
    <t>Modernização dos Sistema de partida dos motores dos ventiladores do Sistema de Ventilação da Casa de Força</t>
  </si>
  <si>
    <t>UHE Batalha - Sistema de Registro de Perturbações</t>
  </si>
  <si>
    <t>Aquisição de Sistema de Registro de Perturbações para instalação nas unidades geradoras de Batalha, que não possuem tal dispositivo.</t>
  </si>
  <si>
    <t>UHE Corumbá - Sistema de alimentação de emergência</t>
  </si>
  <si>
    <t>Substituição dos painéis de controle dos GMG's da usina e subestação da UHE Corumbá. Modernização do sistema que se encontra obsoleto e com equipamentos descontinuados, sem peças de reposição.</t>
  </si>
  <si>
    <t>UHE Manso - Obra - Construção de rampas de barcos</t>
  </si>
  <si>
    <t>Construção de rampas de acesso ao reservatório - Jusante / Montante</t>
  </si>
  <si>
    <t>Implantação da Sinalização Náutica - Reservatório</t>
  </si>
  <si>
    <t>Atendimento de requisitos da NORMAN -17 da Marinha do Brasil</t>
  </si>
  <si>
    <t>FGHI.0150</t>
  </si>
  <si>
    <t>Implantação da Sinalização Náutica - Reservatório - UHE Marimbondo</t>
  </si>
  <si>
    <t>FGHI.0154</t>
  </si>
  <si>
    <t>Implantação da Sinalização Náutica - Reservatório - Porto Colômbia</t>
  </si>
  <si>
    <t>FGHI.0146</t>
  </si>
  <si>
    <t>Implantação da Sinalização Náutica - Reservatório -  UHE Funil</t>
  </si>
  <si>
    <t>FGHI.0149</t>
  </si>
  <si>
    <t>Implantação da Sinalização Náutica - Reservatório -  UHE Jaguari</t>
  </si>
  <si>
    <t>Implantação da Sinalização Náutica - Reservatório - PCH Anta</t>
  </si>
  <si>
    <t>UHE Itumbiara - Implantação da Sinalização Náutica - Reservatório</t>
  </si>
  <si>
    <t>FGHI.0145</t>
  </si>
  <si>
    <t>UHE Corumbá - Implantação da Sinalização Náutica - Reservatório</t>
  </si>
  <si>
    <t>UHE Batalha - Implantação da Sinalização Náutica - Reservatório</t>
  </si>
  <si>
    <t>UHE Serra da Mesa - Implantação da Sinalização Náutica - Reservatório</t>
  </si>
  <si>
    <t>UHE Manso - Implantação da Sinalização Náutica - Reservatório</t>
  </si>
  <si>
    <t>UHE Colíder - Implantação da Sinalização Náutica - Reservatório</t>
  </si>
  <si>
    <t>UHE Colíder - Modernização do sistema de indicação de abertura das comportas do vertedouro</t>
  </si>
  <si>
    <t>Modernização dos sistema de medição de niveis do reservatorio e canal de fuga do UHE Porto Colômbia</t>
  </si>
  <si>
    <t>Modernização dos sistema de medição de niveis do reservatorio e canal de fuga do UHE Marimbondo</t>
  </si>
  <si>
    <t>Elaboração da especificação para contratação do serviço em 2025 Instalação de Piezometros e Medidores de vazão para atendimentos a recomendação de consultres no ambito da Revisão Periódica de Segurança de Barragens, em 2026</t>
  </si>
  <si>
    <t>Modernização do CLP da UAC de supervisão e controle da unidade hidráulica das Comportas de Emergência</t>
  </si>
  <si>
    <t xml:space="preserve">Modernização do CLP da UAC de supervisão e controle do Serviço Auxiliar </t>
  </si>
  <si>
    <t>Modernização do CLP da UAC de supervisão e controle da Subestação</t>
  </si>
  <si>
    <t>Modernização do sistema de iluminação da UHE Marimbondo</t>
  </si>
  <si>
    <t>Contratação de empresa para elaboração dos estudos de ruptura em cascata</t>
  </si>
  <si>
    <t>Elaboração dos estudos de ruptura em cascata da Bacia do Rio Paraná, englobando toda a cascata do Rio Grande e do Rio Paranaíba</t>
  </si>
  <si>
    <t>Trocadores de calor para os RV's</t>
  </si>
  <si>
    <t>Projeto de implantação de sistema de drenagem superficial à jusante da Barragem da UHE Corumbá</t>
  </si>
  <si>
    <t>Contratação de Projeto para levantamento topográfico e elaboração de projeto, quantitativos e orçamentação para execução de sistema de drenagem na região de jusante da Barragem da UHE Corumbá</t>
  </si>
  <si>
    <t>UHE Batalha - Melhoria estrutura civil casa força</t>
  </si>
  <si>
    <t>Instalação de acesso as estruturas civis da UHE Batalha (cobertura da casa de força, calha do vertedouro e equipamentos de instrumentação) Falta de acesso a estruturas dificultando manutenções das instalações prediais</t>
  </si>
  <si>
    <t>Aquisição de dispositivo para avaliação da calibração  de inclinômetro - UHE Serra da Mesa</t>
  </si>
  <si>
    <t>Aquisição de equipamento para avaliar a calibração de fábrica do inclinômetro</t>
  </si>
  <si>
    <t>Modernização dos CLPs das UACs de supervisão e controle das Comportas de Emergência</t>
  </si>
  <si>
    <t>DIVERSOS</t>
  </si>
  <si>
    <t>DIVERSOS - Modernização do sistema de monitoramento por câmera das usinas da Operação Sudeste</t>
  </si>
  <si>
    <t>Manutenção no sistema visando melhoria da confiabilidade</t>
  </si>
  <si>
    <t>DIVERSAS</t>
  </si>
  <si>
    <t>UHE Itumbiara - Construção de caixa separadora água e óleo</t>
  </si>
  <si>
    <t>Construção de caixa separadora - esgotamento da usina-UHE Itumbiara</t>
  </si>
  <si>
    <t>Contratação de empresa para elaboração de projeto e executar a instalação dos novos piezômetros nas galerias de drenagem das estruturas de concreto da UHE Porto Marimbondo.</t>
  </si>
  <si>
    <t>Instalação de novos piezômetros nas galerias de drenagem das estruturas de concreto da UHE Marimbondo.</t>
  </si>
  <si>
    <t>Contratação de empresa para elaboração de projeto e executar a instalação dos novos piezômetros nas galerias de drenagem das estruturas de concreto da UHE Porto Colômbia.</t>
  </si>
  <si>
    <t>Instalação de novos piezômetros nas galerias de drenagem das estruturas de concreto da UHE Porto Colombia.</t>
  </si>
  <si>
    <t>FGSM.0015</t>
  </si>
  <si>
    <t>Licença e implantação do Sistema de Gestão de Emergências SYSDAM ALERT, em conformidade com o Plano de Ação de Emergência (PAE) da UHE Jaguari</t>
  </si>
  <si>
    <t>UHE Jaguari</t>
  </si>
  <si>
    <t>Substituição de 04 tanques acumuladores do sistema de ar contra cavitação e instabilidade hidráulica.</t>
  </si>
  <si>
    <t>Perda de eficiência do sistema de ar contra cavitação e instabilidade com resultante deterioração acentuada da turbina do gerador por processo cavitacional com necessidade de longas paradas para recuperação.</t>
  </si>
  <si>
    <t>Ampliação da cobertura de monitoramento das manobras da operação - UHE Simplício</t>
  </si>
  <si>
    <t>Substituição dos compressores ARCAV-05 e ARCAV-06  do sistema de ar contra cavitação e instabilidade hidráulica.</t>
  </si>
  <si>
    <t>Modernização dos Sistemas de partida das bombas dos poços de Drenagem e Esvaziamento.</t>
  </si>
  <si>
    <t>Automatização de Instrumentos  UHE  Serra da Mesa</t>
  </si>
  <si>
    <t>Automatização de Instrumentos de Instrumentação de Auscultação Civil de Segurança de Barrages - UHE Serra da Mesa</t>
  </si>
  <si>
    <t>GeraçãoModernização</t>
  </si>
  <si>
    <t>2026</t>
  </si>
  <si>
    <t>2027</t>
  </si>
  <si>
    <t>2028</t>
  </si>
  <si>
    <t>2029</t>
  </si>
  <si>
    <t>2030</t>
  </si>
  <si>
    <t>2031</t>
  </si>
  <si>
    <t>2032</t>
  </si>
  <si>
    <t>2033</t>
  </si>
  <si>
    <t>2034</t>
  </si>
  <si>
    <t>2035</t>
  </si>
  <si>
    <t>NGHI.0066</t>
  </si>
  <si>
    <t>Modernização SPCS+ UHE Tucuruí</t>
  </si>
  <si>
    <t>Modernização SPCS, TR, RV, Servomotores, Distribuidor, Instrumentação e Auxiliareas CC e CA da UHE Tucuruí</t>
  </si>
  <si>
    <t>UHE Tucuruí</t>
  </si>
  <si>
    <t>OOPE.N</t>
  </si>
  <si>
    <t>ENOR.00500.313</t>
  </si>
  <si>
    <t>COO0613</t>
  </si>
  <si>
    <t>Requisitado e Contratado</t>
  </si>
  <si>
    <t>NGHI.0099</t>
  </si>
  <si>
    <t>Substituição Transformador 550kV UHE Tucuruí</t>
  </si>
  <si>
    <t>Substituição devido superação da corrente de curto circuito</t>
  </si>
  <si>
    <t>OORV</t>
  </si>
  <si>
    <t>ENOR.00304</t>
  </si>
  <si>
    <t>COO0601</t>
  </si>
  <si>
    <t>Requisitado</t>
  </si>
  <si>
    <t>NGHI.0139</t>
  </si>
  <si>
    <t>#N/A</t>
  </si>
  <si>
    <t>Auscultação e Gestão de Segurança de Barragens</t>
  </si>
  <si>
    <t>Investimentos em Segurança de Barragens condicionantes a Licença de Operação das UHE's</t>
  </si>
  <si>
    <t>UHE Tucuruí, UHE Samuel, UHE Balbina, UHE Coaracy Nunes, UHE Curua Una</t>
  </si>
  <si>
    <t>OOMB.N</t>
  </si>
  <si>
    <t>ENOR.00400.024</t>
  </si>
  <si>
    <t>Não Requisitado</t>
  </si>
  <si>
    <t>NGHI.0143</t>
  </si>
  <si>
    <t>Substituição das capas isolantes dos geradores da casa de força 2 da UHE Tucuruí</t>
  </si>
  <si>
    <t>Serviço de alteração das capas isolantes dos geradores da casa de força 2</t>
  </si>
  <si>
    <t>OOGTE.N</t>
  </si>
  <si>
    <t>ENOR.00003.001</t>
  </si>
  <si>
    <t>COO0719</t>
  </si>
  <si>
    <t>NGHI.0086</t>
  </si>
  <si>
    <t>Substituição GIS UHE Tucuruí</t>
  </si>
  <si>
    <t>ENOR.00303</t>
  </si>
  <si>
    <t>COO0596</t>
  </si>
  <si>
    <t>NGHI.0147</t>
  </si>
  <si>
    <t>Modernização RVT UHE Samuel</t>
  </si>
  <si>
    <t>Substituição dos comandos eletrônicos, de potencia e hidráulico dos reguladores de velocidade e tensão da UHE Samuel</t>
  </si>
  <si>
    <t>UHE Samuel</t>
  </si>
  <si>
    <t>OOGSA.N</t>
  </si>
  <si>
    <t>ENOR.00501.011</t>
  </si>
  <si>
    <t>COO0708</t>
  </si>
  <si>
    <t>NGHI.0141</t>
  </si>
  <si>
    <t>Modernização RVT UHE Balbina</t>
  </si>
  <si>
    <t>UG01_MODERNIZAÇÃO RV ELETRONICO /RV HIDRAULICO  (TRANSFORMADOR DE EXECITAÇÃO E ARMARIO COM PONTE DE TIRISTORES) incluindo rele de sobre frequencia de saida do Bay)</t>
  </si>
  <si>
    <t>OOGBA.N</t>
  </si>
  <si>
    <t>ENOR.00011.011</t>
  </si>
  <si>
    <t>Recuperação de cavitação e trincas nas UGHs da CF1 e CF2</t>
  </si>
  <si>
    <t>Contratação de empresa especializada para manutenção e reforço operacional sistema de turbina recuperação de cavitação/trincas</t>
  </si>
  <si>
    <t>OOGTM.N</t>
  </si>
  <si>
    <t>COO0685</t>
  </si>
  <si>
    <t>Aquisição de 2 jogos de SotpLogs</t>
  </si>
  <si>
    <t>Fornecimento de dois jogos de SptoLogs, um para a CF I e outro para a CF 2.</t>
  </si>
  <si>
    <t>ENOR.00027</t>
  </si>
  <si>
    <t>COO0628</t>
  </si>
  <si>
    <t>Revitalização de transformador para a  UHE Tucurui</t>
  </si>
  <si>
    <t>Revitalização dos transforamadores atualmente em operação na UHE Tucuruí</t>
  </si>
  <si>
    <t>OOMG.N</t>
  </si>
  <si>
    <t>ENOR.00100</t>
  </si>
  <si>
    <t>COO0662</t>
  </si>
  <si>
    <t>Revitalização do Vertedouro da UHCN</t>
  </si>
  <si>
    <t>COMPORTA VERTEDOURO VT-01,02,03,04,05,06,07,08, 09,10</t>
  </si>
  <si>
    <t xml:space="preserve">UHE Coaracy Nunes </t>
  </si>
  <si>
    <t>2026 (Nova Demanda)</t>
  </si>
  <si>
    <t>ENOR.00094</t>
  </si>
  <si>
    <t>Modernização Pórtico UHE Tucuruí</t>
  </si>
  <si>
    <t>Modernização dos pórticos de Jusante e montante da UHE Tucuruí</t>
  </si>
  <si>
    <t>ENOR.00301.001</t>
  </si>
  <si>
    <t>COO0559</t>
  </si>
  <si>
    <t>Modernização de 02 Transformadores elevadores de 69kV (UGHs 24 e 25) da UHE Tucuruí</t>
  </si>
  <si>
    <t xml:space="preserve">Aquisição de 2 (dois) transformadores elevadores trifásicos 69/13,8 kV – 28,75 MVA para casa de força I </t>
  </si>
  <si>
    <t>ENOR.00102</t>
  </si>
  <si>
    <t>COO0615</t>
  </si>
  <si>
    <t>NGHI.0154</t>
  </si>
  <si>
    <t>Curva CAV - UHE Tucuruí</t>
  </si>
  <si>
    <t>Atualização das curvas Cota x Área x Volume do reservatório</t>
  </si>
  <si>
    <t>OOOH.N</t>
  </si>
  <si>
    <t>ENOR.00307</t>
  </si>
  <si>
    <t>NGHI.0077</t>
  </si>
  <si>
    <t>Modernização do pórtico tomada d'água da UHE Tucuruí</t>
  </si>
  <si>
    <t>AQUISICAO DE PORTICO PARA TOMADA D'AGUA PARA A CASA DE FORCA</t>
  </si>
  <si>
    <t>ENOR.00111.001</t>
  </si>
  <si>
    <t>COO0599</t>
  </si>
  <si>
    <t>Modernização do sistema de resfriamento da UHE Tucuruí - Projeto Siri</t>
  </si>
  <si>
    <t>Contratação de empresa especializada para montagem, instalação e comissionamento de sistema de monitoramento da água de resfriamento e gerenciamento inteligente para 4 unidades geradoras da UHE Tucuruí.</t>
  </si>
  <si>
    <t>ENOR.00097.001</t>
  </si>
  <si>
    <t>SPCS balbina</t>
  </si>
  <si>
    <t>UG01, UG02, UG04, UG05 e VERTEDOURO_ modernização do SPCS balbina</t>
  </si>
  <si>
    <t>ENOR.00013.006</t>
  </si>
  <si>
    <t>Substituição de transformador para a UHE Curuá-Una - UGH02 e reserva</t>
  </si>
  <si>
    <t>Substituição de transformador para a UHE Curuá-Una</t>
  </si>
  <si>
    <t>UHE Curuá Una</t>
  </si>
  <si>
    <t>ENOR.00046</t>
  </si>
  <si>
    <t>COO0554</t>
  </si>
  <si>
    <t>Modernização dos Stop Logs da UHE Tucuruí</t>
  </si>
  <si>
    <t>Contratação de Serviço de Revitalização dos Stop Logs das Casas de Força 01 e 02 da UHE Tucuruí.</t>
  </si>
  <si>
    <t>ENOR.00027.001</t>
  </si>
  <si>
    <t>Aquisição de um Gerador Diesel de Emergência</t>
  </si>
  <si>
    <t>Implantação de Grupo Gerador cabinado</t>
  </si>
  <si>
    <t>UHE Balbina</t>
  </si>
  <si>
    <t>ENOR.00129.001</t>
  </si>
  <si>
    <t>MODERNIZAÇÃO DO SISTEMA DE AR DE REGULAÇÃO UHE BALBINA</t>
  </si>
  <si>
    <t>MODERNIZAÇÃO DO SISTEMA DE AR DE REGULAÇÃO - COMPRESSORES AO-AP-AQ - UHE BALBINA</t>
  </si>
  <si>
    <t>ENOR.00074.001</t>
  </si>
  <si>
    <t>Sobressalentes Estrategicos UHCN</t>
  </si>
  <si>
    <t xml:space="preserve">Sobressalentes Estrategicos _CNUGH-01, 02, 03  Banco de Transformadores CNTF5-01 Pocos de Drenagem </t>
  </si>
  <si>
    <t>OOGCN.N</t>
  </si>
  <si>
    <t>ENOR.00093.005</t>
  </si>
  <si>
    <t>NSTC.0040</t>
  </si>
  <si>
    <t>SISTEMA DE ALIMENTAÇÃO -48VCC</t>
  </si>
  <si>
    <t>Implantação de Alimentação -48VCC</t>
  </si>
  <si>
    <t>OOPT.N</t>
  </si>
  <si>
    <t>ENOR.00202.001</t>
  </si>
  <si>
    <t>COO1080</t>
  </si>
  <si>
    <t>Aquisição de peças sobressalentes do mecanismo distribuidor das UGHs da CF2</t>
  </si>
  <si>
    <t>Necessidade de peças sobressalentes para uso na manutenção do distribuidor.</t>
  </si>
  <si>
    <t>ENOR.00127.001</t>
  </si>
  <si>
    <t>COO0747</t>
  </si>
  <si>
    <t>NGHI.0075</t>
  </si>
  <si>
    <t>Aquisição de Sistema de Incendio  UHE Tucuruí - CF  I e CF II</t>
  </si>
  <si>
    <t>Sistema de proteção contra incêndio da UHE Tucuruí - Casa de Força I e II</t>
  </si>
  <si>
    <t>ENOR.00001</t>
  </si>
  <si>
    <t>COO0701</t>
  </si>
  <si>
    <t>Modernização de 01 transformador monofásico 13,8kV (trafo limitador) CF2 da UHE Tucuruí</t>
  </si>
  <si>
    <t xml:space="preserve">13,8kV (trafo limitador) CF2 da UHE Tucuruí 13,8kV (trafo limitador) CF2 da UHE Tucuruí/ Transformador regulador CF1 para alimentação do serviço auxiliar </t>
  </si>
  <si>
    <t>ENOR.00107.001</t>
  </si>
  <si>
    <t>Aquisição das rodas das comportas de emergência da UHE Tucuruí</t>
  </si>
  <si>
    <t>Substituição das rodas das comportas de emergência</t>
  </si>
  <si>
    <t>ENOR.00126.001</t>
  </si>
  <si>
    <t>COO0726</t>
  </si>
  <si>
    <t>Modernização das estruturas metálicas da UHE Tucuruí</t>
  </si>
  <si>
    <t>Contratação de serviço para Revitalização de Estruturas Metálicas das partes metálicas da UHE Tucuruí. (Termo aditivo previsto VT)</t>
  </si>
  <si>
    <t>ENOR.00026.001</t>
  </si>
  <si>
    <t>COO0626</t>
  </si>
  <si>
    <t>Modernização Sistema de Proteção CNUGH-01 / CNUGH-02</t>
  </si>
  <si>
    <t>Modernização Sistema de Proteção - CNUGH-01/ CNUGH-02</t>
  </si>
  <si>
    <t>OOPM.N</t>
  </si>
  <si>
    <t>ENOR.00088</t>
  </si>
  <si>
    <t>Modernização Ponte rolante da UHCN</t>
  </si>
  <si>
    <t>Modernização_ Ponte rolante CF</t>
  </si>
  <si>
    <t>ENOR.00090.001</t>
  </si>
  <si>
    <t>Modernização do sistema de resfriamento em circuito fechado dos equipamentos da UHE Tucuruí</t>
  </si>
  <si>
    <t>Instalação de sistema de resfriamento em cirtuito fechado para o transformador, Regulador de tensão e Velocidade.</t>
  </si>
  <si>
    <t>ENOR.00106.001</t>
  </si>
  <si>
    <t>MODERNIZAÇÃO DO RTVX DAS UGHs 01,02 e 03</t>
  </si>
  <si>
    <t>Modernização dos sistemas de Regulação de Tensão e Velocidade, com automatismos RTVAX POWER</t>
  </si>
  <si>
    <t>OOGCU.N</t>
  </si>
  <si>
    <t>ENOR.00044</t>
  </si>
  <si>
    <t>COO0589</t>
  </si>
  <si>
    <t>Modernização das turbinas hidráulicas da UHE Curuá-Una UGH01.02 e 03</t>
  </si>
  <si>
    <t>Substituição de Turbinas para ganho de potencia na Geração</t>
  </si>
  <si>
    <t>ENOR.00043</t>
  </si>
  <si>
    <t>MODERNIZAÇÃO DO SISTEMA RESFR. MANCAL COMBINADO UHE BALBINA</t>
  </si>
  <si>
    <t>MODERNIZAÇÃO DO SISTEMA RESFR. MANCAL COMBINADO - UGH 01,02,03,04,05</t>
  </si>
  <si>
    <t>ENOR.00075</t>
  </si>
  <si>
    <t>Instalação de câmeras interna e externa a casa de força</t>
  </si>
  <si>
    <t xml:space="preserve">Implantação de monitoramento on-line </t>
  </si>
  <si>
    <t>ENOR.00033.001</t>
  </si>
  <si>
    <t>Substituição de cadeias de isoladores da linha CUTA</t>
  </si>
  <si>
    <t>Modernização de isoladores e para-raios da Linha CUTALI5-01</t>
  </si>
  <si>
    <t>ENOR.00034.001</t>
  </si>
  <si>
    <t>NGHI.0028</t>
  </si>
  <si>
    <t>Modernização do sistema de drenagem e esgotamento da UHE Tucuruí</t>
  </si>
  <si>
    <t>Fornecimento, adequação, instalação e comissionamento de bombasverticais do sistema de drenagem e esgotamento da UHE Tucuruí no âmbitoda Superintendência de Produção da Geração Hidráulica – OGH, comfornecimento de materiais, equipamentos e mão de obra especializada.</t>
  </si>
  <si>
    <t>ENOR.00113.001</t>
  </si>
  <si>
    <t>COO0619</t>
  </si>
  <si>
    <t>NGHI.0146</t>
  </si>
  <si>
    <t>Implantação do sistema de injeção química para combate ao mexilhão dourado na UHE Tucuruí</t>
  </si>
  <si>
    <t>Fornecimento de sistema de injeção automático e controle analítico on-line para dosagem de hipoclorito de cálcio 65% em tabletes de lenta dissolução, com fornecimento de materiais, equipamentos e mão de obra para tratamento da água de resfriamento da UHE Tucuruí, nas Casas de Força I, II e Auxiliares em sistemas de dosagem independentes</t>
  </si>
  <si>
    <t>ENOR.00096.001</t>
  </si>
  <si>
    <t>Modernização do cubículo de  6,9kV para a UHE Curuá-Una</t>
  </si>
  <si>
    <t>Modernização do disjuntor 6,9kV</t>
  </si>
  <si>
    <t>ENOR.00036</t>
  </si>
  <si>
    <t>COO0564</t>
  </si>
  <si>
    <t xml:space="preserve">Modernização da instrumentação da UHE Curuá-Una CUUGH01, 02 e 03 </t>
  </si>
  <si>
    <t>Substituição de equipamentos com fim de vida util</t>
  </si>
  <si>
    <t>ENOR.00037</t>
  </si>
  <si>
    <t>COO0583</t>
  </si>
  <si>
    <t xml:space="preserve">Modernização do serviço auxiliar da usina, com substituição de cubículos e gavetas do circuito CA </t>
  </si>
  <si>
    <t>Modernização de cubiculos CA e CC</t>
  </si>
  <si>
    <t>ENOR.00031.001</t>
  </si>
  <si>
    <t>Implantação da mesa de comando da sala de controle da UHE Curuá-Una</t>
  </si>
  <si>
    <t>Implantação de mesa para facilitação do comando das UGHs</t>
  </si>
  <si>
    <t>ENOR.00041.001</t>
  </si>
  <si>
    <t>Curva CAV - UHE Samuel</t>
  </si>
  <si>
    <t>Modernização do Painel de comando dos GDE's</t>
  </si>
  <si>
    <t>Modernização Painel GDE</t>
  </si>
  <si>
    <t>ENOR.00092.001</t>
  </si>
  <si>
    <t>Aquisição de para-raios e DCP de linha para a UHE Tucuruí</t>
  </si>
  <si>
    <t>Aquisição de equipamentos de proteção e limitadores  de valores dos surtos de tensão transitórios</t>
  </si>
  <si>
    <t>ENOR.00115.001</t>
  </si>
  <si>
    <t>COO0648</t>
  </si>
  <si>
    <t>Modernização do sistema de resfriamento dos mancais da CFI da UHE Tucuruí</t>
  </si>
  <si>
    <t>Conjunto de motobombas, trocadores de calor, válvulas, instrumenção etc., para os sistemas do MGG, MGT e ME.</t>
  </si>
  <si>
    <t>ENOR.00123.001</t>
  </si>
  <si>
    <t>COO0675</t>
  </si>
  <si>
    <t>Aquisição de 02 (duas) válvulas de isolamento motorizadas de 10” para aplicação no sistema de injeção de ar de rebaixamento da Central AN 01 - UGH 02</t>
  </si>
  <si>
    <t>Alteração no sistema de acionamento de manual para motorizado - Celebrado o contratopara fornecimento de 08 válvula - Fornecedor: RTS Indústria e Comércio de Válvulas Ltda</t>
  </si>
  <si>
    <t>ENOR.00004.001</t>
  </si>
  <si>
    <t>COO0727</t>
  </si>
  <si>
    <t>Modernização dos mancais de guia da Turbina CUUGH01, 02 e 03</t>
  </si>
  <si>
    <t xml:space="preserve">Alteração de projeto mancal tipo bucha para mancal tipo segmento </t>
  </si>
  <si>
    <t>ENOR.00030</t>
  </si>
  <si>
    <t>COO0588</t>
  </si>
  <si>
    <t>Modernização do geradores elétricos da UHE Curuá-Uma-UGH01, 02 e 03</t>
  </si>
  <si>
    <t>Modernização do geradores elétricos da UHE Curuá-Una</t>
  </si>
  <si>
    <t>ENOR.00045</t>
  </si>
  <si>
    <t>Aquisição Pára Raios 230KV</t>
  </si>
  <si>
    <t>UG1_PR_SE_SAMUEL</t>
  </si>
  <si>
    <t>ENOR.00063.001</t>
  </si>
  <si>
    <t>Aquisição TPC 230KV</t>
  </si>
  <si>
    <t>UG1_TPC_SE_SAMUEL</t>
  </si>
  <si>
    <t>ENOR.00065.001</t>
  </si>
  <si>
    <t xml:space="preserve">Aquisição de compressores para aplicação no sistema de ar de rebaixamento </t>
  </si>
  <si>
    <t>Instalação de novos equipamentos nas centrais s - Processo está na fase de contratação.</t>
  </si>
  <si>
    <t>ENOR.00005</t>
  </si>
  <si>
    <t>Aquisição e instalação de tubulação de Sistema de de drenagem de poços - CF I</t>
  </si>
  <si>
    <t>Sistema de tubulação para interligação de tubos para drenagem da agua os poços 11/12</t>
  </si>
  <si>
    <t>ENOR.00002.001</t>
  </si>
  <si>
    <t>Modernização do sistema de iluminação da UHE Tucuruí</t>
  </si>
  <si>
    <t>ENOR.00109.001</t>
  </si>
  <si>
    <t>COO0580</t>
  </si>
  <si>
    <t>NSTC.0038</t>
  </si>
  <si>
    <t>REDE MPLS ELETRONORTE</t>
  </si>
  <si>
    <t>Implantação de Roteadores de TO para ampliação e melhoria dos Sistemas de Telecomunicações dos Centros de Operação e CGRT da Eletronorte</t>
  </si>
  <si>
    <t>ENOR.00203.001</t>
  </si>
  <si>
    <t>COO1085</t>
  </si>
  <si>
    <t xml:space="preserve">Modernização de transformadores 13,8/440V para alimentação Vertedouro e serviço auxiliar da UHE Tucuruí </t>
  </si>
  <si>
    <t>Aquisição de Transformadores de 13,8/440V para alimentação Vertedouro e Serviço auxiliar</t>
  </si>
  <si>
    <t>ENOR.00105</t>
  </si>
  <si>
    <t>COO0647</t>
  </si>
  <si>
    <t>MODERNIZAÇÃO DO SISTEMA DE AR DE SERVIÇO UHE BALBINA</t>
  </si>
  <si>
    <t>MODERNIZAÇÃO DO SISTEMA DE AR DE SERVIÇO - COMPRESSORES 03 E 04 - UHE BALBINA</t>
  </si>
  <si>
    <t>ENOR.00073.001</t>
  </si>
  <si>
    <t>MODERNIZAÇÃO DO SIST INJEÇÃO DE ÓLEO MANCAL ESCORA UHE BALBINA</t>
  </si>
  <si>
    <t>MODERNIZAÇÃO DO SIST INJEÇÃO DE ÓLEO MANCAL ESCORA - UGH 01,02,03,04,05</t>
  </si>
  <si>
    <t>ENOR.00077</t>
  </si>
  <si>
    <t>Aquisição de servomotor do distribuir da UHE Tucuruí</t>
  </si>
  <si>
    <t>Aquisição de um conjunto de servomotores (4) do distribuidor da CF2</t>
  </si>
  <si>
    <t>ENOR.00108.001</t>
  </si>
  <si>
    <t>COO0567</t>
  </si>
  <si>
    <t>Aquisição de motobombas para o sistema de circulação de óleo dos mancais MGT, MGG e ME - Casa de Força 01</t>
  </si>
  <si>
    <t>Necessidade de equipamentos sobressalentes</t>
  </si>
  <si>
    <t>ENOR.00007.001</t>
  </si>
  <si>
    <t>Unidade de filtração hidraulica do Regulador de velocidade com elemento absoluto e sistema monitoramento</t>
  </si>
  <si>
    <t>UG01, UG02, UG03, UG04, UG05_ROTROFIT REGULADOR DE VELOCidade _Unidade de filtração hidraulica do Regulador de velocidade com elemento absoluto e sistema monitoramento</t>
  </si>
  <si>
    <t>ENOR.00012.005</t>
  </si>
  <si>
    <t>Aquisição das bombas do sistema de regulação de velocidade da UHE Curuá-Una UGH01,02,03</t>
  </si>
  <si>
    <t>Aquisição de MB para o sistema de Regulação de Velocidade</t>
  </si>
  <si>
    <t>ENOR.00038</t>
  </si>
  <si>
    <t>COO0600</t>
  </si>
  <si>
    <t>Modernizaçãosistema de resfriamento das uidades geradoras da UHE Curuá-Una</t>
  </si>
  <si>
    <t>ENOR.00042</t>
  </si>
  <si>
    <t>COO0670</t>
  </si>
  <si>
    <t>Substituição dos cabos para-raios da LT CUTA-LI5-01 da UHE Curuá-Una</t>
  </si>
  <si>
    <t>Substituição do cabo para raios da linha de CUTA-LI5-01</t>
  </si>
  <si>
    <t>ENOR.00048.001</t>
  </si>
  <si>
    <t>NGHI.0091</t>
  </si>
  <si>
    <t>Recuperação da comporta 17 do Vertedouro da UHE Tucuruí</t>
  </si>
  <si>
    <t>Contratação de empresa para de fabricação, fornecimento e instalação do painel inferior, acrescido dos serviços de recuperação da soleira inferior,da Comporta de Segmento no 17 do Vertedouro da UHE Tucuruí.</t>
  </si>
  <si>
    <t>ENOR.00025</t>
  </si>
  <si>
    <t>COO0597</t>
  </si>
  <si>
    <t xml:space="preserve">Sistema SPCI água nebulizada tanques diesel GDE 01, 02,03,04.05,06 e 07 </t>
  </si>
  <si>
    <t>Implantação de SPCI por água nebulizada nos GDE's da UHE Tucuruí</t>
  </si>
  <si>
    <t>ENOR.00009</t>
  </si>
  <si>
    <t>Aquisição Disjuntor 230KV</t>
  </si>
  <si>
    <t>UG1_DJ_SE_SAMUEL</t>
  </si>
  <si>
    <t>ENOR.00064.001</t>
  </si>
  <si>
    <t>Reserva imobilizada para UHE Tucuruí</t>
  </si>
  <si>
    <t>Aquisição Sobressalentes Estrategicos sistema Gerador (sensores, barras, cunhas, travas, reisolação polos, molas, porta escova, calço e capas isolantes)</t>
  </si>
  <si>
    <t>ENOR.00119.001</t>
  </si>
  <si>
    <t>COO0659</t>
  </si>
  <si>
    <t>Aquisição Sobressalentes Estrategicos sistema transformador</t>
  </si>
  <si>
    <t>Aquisição Sobressalentes Estrategicos sistema Subestação Blindada a Gas</t>
  </si>
  <si>
    <t>NGHI.0023</t>
  </si>
  <si>
    <t>Modernização do sistema auto-limpante de água industrial da UHE Tucuruí</t>
  </si>
  <si>
    <t>Fornecimento, retirada de equipamento em operação, adequação, instalação e comissionamento de filtros autolimpantes multielementos com sistema Flushing e Backflushing, totalmente automático, com corpo construído em chapas de Aço Carbono ASTM A285-C e elementos em inox 304, 316 ou superior, no âmbito da Superintendência de Produção da Geração Hidráulica – OGH.</t>
  </si>
  <si>
    <t>ENOR.00095.001</t>
  </si>
  <si>
    <t>RevitalizaçãoSistema de Água Tratada</t>
  </si>
  <si>
    <t>Revitalização ETA</t>
  </si>
  <si>
    <t>ENOR.00067.001</t>
  </si>
  <si>
    <t>Revitalização ETE</t>
  </si>
  <si>
    <t>ENOR.00068.001</t>
  </si>
  <si>
    <t>MODERNIZAÇÃO DO SISTEMA RESFR. MANCAL GERADOR UHE BALBINA</t>
  </si>
  <si>
    <t>MODERNIZAÇÃO DO SISTEMA RESFR. MANCAL GERADOR - UGH 01,02, 03, 04,05</t>
  </si>
  <si>
    <t>ENOR.00076</t>
  </si>
  <si>
    <t>MODERNIZACAO DO SISTEMA DRENAGEM TAMPA DA TURBINA UHE BALBINA</t>
  </si>
  <si>
    <t>MODERNIZACAO DO SISTEMA DRENAGEM TAMPA DA TURBINA - UGH 01, 02,03,04,05</t>
  </si>
  <si>
    <t>ENOR.00078</t>
  </si>
  <si>
    <t>sistema de refrigeração predial edificio comando, Supervisão e ULCPS</t>
  </si>
  <si>
    <t>sistema de refrigeração predial edificio comando</t>
  </si>
  <si>
    <t>ENOR.00024</t>
  </si>
  <si>
    <t>NSTC.0037</t>
  </si>
  <si>
    <t>SWITCHES DE TO</t>
  </si>
  <si>
    <t>Implantação de Switches de TO para ampliação e melhoria dos Sistemas de Telecomunicações dos Centros de Operação e CGRT da Eletronorte</t>
  </si>
  <si>
    <t>ENOR.00204.001</t>
  </si>
  <si>
    <t>COO1089</t>
  </si>
  <si>
    <t>TL.9006</t>
  </si>
  <si>
    <t>OPGW CURUÁ-UNA/TAPAJÓS</t>
  </si>
  <si>
    <t>Implantação de Cabo OPGW entre UHE CURUÁ-UNA e SE TAPAJÓS</t>
  </si>
  <si>
    <t>ENOR.00201.001</t>
  </si>
  <si>
    <t>COO0696</t>
  </si>
  <si>
    <t>Aquisição de bombas vertical, tipo parafuso, para o sistema de circulação de óleo do Regulador de Velocidade - UGHs Casa de Força 01</t>
  </si>
  <si>
    <t>ENOR.00010.001</t>
  </si>
  <si>
    <t>sistema de ventilação e exaustão CF1, CF2, vertedouro e tomada agua</t>
  </si>
  <si>
    <t>ENOR.00023</t>
  </si>
  <si>
    <t>Modernização da Ponte Rolante e Porticos da Casa de Força e Vertedouro</t>
  </si>
  <si>
    <t>Modernização de equipamentos de içamento</t>
  </si>
  <si>
    <t>ENOR.00035.001</t>
  </si>
  <si>
    <t>Modernização da subestação 138kV da UHE.</t>
  </si>
  <si>
    <t>ENOR.00047.001</t>
  </si>
  <si>
    <t>Instalar comando e controle sistema de drenagem e esgotamento da UHE Balbina</t>
  </si>
  <si>
    <t>Instalar comando e controle sistema de drenagem e esgotamento - MOTOBOMBA DE DRENAGEM BDR-001,002,003,004</t>
  </si>
  <si>
    <t>ENOR.00029.003</t>
  </si>
  <si>
    <t>COO0562</t>
  </si>
  <si>
    <t>sistema de drenagem tampa turbina CF1, UG01,02,03,04,05,06,07,08,09,10,11 e 12</t>
  </si>
  <si>
    <t>sistema de drenagem tampa turbina CF1 - modernização UG01,02,03,04,05,06,07,08,09,10,11 e 12</t>
  </si>
  <si>
    <t>ENOR.00022</t>
  </si>
  <si>
    <t>Aquisição de conjunto completo da junta de vedação do eixo (UGH18): parte fixa e móvel</t>
  </si>
  <si>
    <t>Necessidade de equipamentos sobressalente para substituição nas UGHs da CF2</t>
  </si>
  <si>
    <t>ENOR.00021.001</t>
  </si>
  <si>
    <t>Sistema de Ventilação e exaustão das  galerias da UHE Balbina.</t>
  </si>
  <si>
    <t>Melhoria no sistema de exaustão e ventilação das galerias da UHE Balbina.</t>
  </si>
  <si>
    <t>ENOR.00085</t>
  </si>
  <si>
    <t>Aquisição de novo GDE de 400KVA</t>
  </si>
  <si>
    <t>Aquisição de Grupo Diesel de 400KVA</t>
  </si>
  <si>
    <t>ENOR.00091.001</t>
  </si>
  <si>
    <t>Modernização de equipamentos de linha UHE Tucuruí</t>
  </si>
  <si>
    <t>ENOR.00302.001</t>
  </si>
  <si>
    <t>Implatação de rede aérea de alimentação na UHE Balbina</t>
  </si>
  <si>
    <t>Implantação do circuito de alimentação de energia da Sala de Contigência da UHE Balbina</t>
  </si>
  <si>
    <t>ENOR.00028.001</t>
  </si>
  <si>
    <t>COO0574</t>
  </si>
  <si>
    <t>Aquisição de um Gerador Diesel de Emergência para a CFII da UHE Tucuruí</t>
  </si>
  <si>
    <t>ENOR.00099.001</t>
  </si>
  <si>
    <t>NGHI.0087</t>
  </si>
  <si>
    <t>Modernização do Barramento Blindado (13,8kV) UG19 da UHE Tucuruí</t>
  </si>
  <si>
    <t>Recuperação do BARRAMENTO BLINDADO DE FASES ISOLADAS 13.8kV, da unidade geradora 19 (TUUGH-19) da UHE Tucuruí/PA.</t>
  </si>
  <si>
    <t>ENOR.00101.001</t>
  </si>
  <si>
    <t>NGHI.0083</t>
  </si>
  <si>
    <t>Modernização da GIS TUUGH-19 da UHE Tucuruí</t>
  </si>
  <si>
    <t>Fornecimento de peças "Equipamentos o Materiais" e serviços de inspeção,montagem e comissionamento "Serviços" para revitalização da subestaçãoisolada a gás SF6 tuugh-19 da UHE Tucuruí.</t>
  </si>
  <si>
    <t>ENOR.00104.001</t>
  </si>
  <si>
    <t>Modernização RDPs UHE Samuel</t>
  </si>
  <si>
    <t>MODERNIZAÇÃO RDP UG1</t>
  </si>
  <si>
    <t>ENOR.00060.001</t>
  </si>
  <si>
    <t>COO0563</t>
  </si>
  <si>
    <t>Modernização do conjunto de TCs da LT CUTA-LI5-01 da UHE Curuá-Una</t>
  </si>
  <si>
    <t>Substituição do conjunto de TC's da linha de CUTA-LI5-01 no terminal da SE Tapajós</t>
  </si>
  <si>
    <t>ENOR.00049.001</t>
  </si>
  <si>
    <t>Modernização dos Centros de Carga Miscelânea 380 VCA UHE SAMUEL</t>
  </si>
  <si>
    <t>UG01_MODERNIZAÇÃO CCU1</t>
  </si>
  <si>
    <t>ENOR.00050.001</t>
  </si>
  <si>
    <t>Modernização do Serviço Auxiliar 13,8 KVCA UHE SAMUEL</t>
  </si>
  <si>
    <t>UG01_MODERNIZAÇÃO CUBÍCULO DO DAG 1</t>
  </si>
  <si>
    <t>ENOR.00051.001</t>
  </si>
  <si>
    <t>Substituição Transformador Regulador 01 13,8 KVCA UHE SAMUEL</t>
  </si>
  <si>
    <t>AUXCF_SUBSTITUIÇÃO SUTR201</t>
  </si>
  <si>
    <t>ENOR.00052.001</t>
  </si>
  <si>
    <t>Substituição Transformador Serviço Auxiliar 01 13,8/0,38 KVCA UHE SAMUEL</t>
  </si>
  <si>
    <t>AUXCF_SUBSTITUIÇÃO SUTF201</t>
  </si>
  <si>
    <t>ENOR.00053.001</t>
  </si>
  <si>
    <t>Modernização do Serviço Auxiliar 125 VCC UHE SAMUEL</t>
  </si>
  <si>
    <t>UG01_MODERNIZAÇÃO CCCU1</t>
  </si>
  <si>
    <t>ENOR.00054.001</t>
  </si>
  <si>
    <t>Modernização Comportas de Emergência UHE SAMUEL</t>
  </si>
  <si>
    <t>UG01_MODERNIZAÇÃO COMPORTA DE EMERGÊNCIA</t>
  </si>
  <si>
    <t>ENOR.00055.001</t>
  </si>
  <si>
    <t>Modernização Comportas Vertedouro UHE SAMUEL</t>
  </si>
  <si>
    <t>AUXVT_MODERNIZAÇÃO COMPORTA VERTEDOURO 01</t>
  </si>
  <si>
    <t>ENOR.00056.002</t>
  </si>
  <si>
    <t>Modernização Pórtico UHE SAMUEL</t>
  </si>
  <si>
    <t>AUXCF_MODERNIZAÇÃO PÓRTICO JUSANTE</t>
  </si>
  <si>
    <t>ENOR.00057.001</t>
  </si>
  <si>
    <t>Modernização Pontes Rolantes UHE SAMUEL</t>
  </si>
  <si>
    <t>AUXCF_MODERNIZAÇÃO PONTE ROLANTE Nº1</t>
  </si>
  <si>
    <t>ENOR.00058.001</t>
  </si>
  <si>
    <t>Modernização do disjuntor da LT CUTA-LI5-01 da UHE Curuá-Una</t>
  </si>
  <si>
    <t>Substituição do disjuntor da linha de CUTA-LI5-01 no terminal da SE Tapajós</t>
  </si>
  <si>
    <t>ENOR.00072.001</t>
  </si>
  <si>
    <t>Modernização Sistema Anti-Incêndio UHE SAMUEL</t>
  </si>
  <si>
    <t>AUXCF_MODERNIZAÇÃO SISTEMA ANTI-INCÊNDIO CO2</t>
  </si>
  <si>
    <t>ENOR.00059.001</t>
  </si>
  <si>
    <t>Revitalização de Painéis Elétricos</t>
  </si>
  <si>
    <t>UG1_FRENAGEM E LEVANTAMENTO</t>
  </si>
  <si>
    <t>ENOR.00061.001</t>
  </si>
  <si>
    <t>Integração de Sistemas ao Supervisório</t>
  </si>
  <si>
    <t>Integração do Sistema de Drenagem da Casa de Força</t>
  </si>
  <si>
    <t>ENOR.00062.004</t>
  </si>
  <si>
    <t>MODERNIZACAO SISTEMA DE CLORO BARRILHA UHE BALBINA</t>
  </si>
  <si>
    <t>MODERNIZACAO SISTEMA DE CLORO BARRILHA A UHE BALBINA</t>
  </si>
  <si>
    <t>ENOR.00079.001</t>
  </si>
  <si>
    <t>Modernização Comportas Vertedouro UHE BALBINA</t>
  </si>
  <si>
    <t>Modernização Comportas Vertedouro 01 , 02, 03, 04 UHE BALBINA</t>
  </si>
  <si>
    <t>ENOR.00081.001</t>
  </si>
  <si>
    <t>Modernização Comportas Tomada D'agua UHE BALBINA</t>
  </si>
  <si>
    <t>Modernização Comportas Tomada D'agua UHE BALBINA - UHG 01,02,03,04,05</t>
  </si>
  <si>
    <t>ENOR.00082.005</t>
  </si>
  <si>
    <t>Modernização Pórtico UHE BALBINA</t>
  </si>
  <si>
    <t>Modernização Pórtico Montante, Jusante 01 e 02 UHE BALBINA</t>
  </si>
  <si>
    <t>ENOR.00083.002</t>
  </si>
  <si>
    <t>Modernização Ponte Rolante UHE BALBINA</t>
  </si>
  <si>
    <t>Modernização Ponte Rolante 02 UHE BALBINA</t>
  </si>
  <si>
    <t>ENOR.00084.001</t>
  </si>
  <si>
    <t>Modernização dos Centros de Carga Miscelânea 380 VCA UHE Balbina</t>
  </si>
  <si>
    <t>UG01_MODERNIZAÇÃO CGCU1,2,3,4,5, CGCA1,2,CCE001,002, CCG EMERCENCIA, CGCV</t>
  </si>
  <si>
    <t>ENOR.00085.005</t>
  </si>
  <si>
    <t>Modernização do Serviço Auxiliar 13,8 KVCA UHE Balbina</t>
  </si>
  <si>
    <t xml:space="preserve">AUXTA_MODERNIZAÇÃO CGCTA, SISTEMA DE ALIMENTAÇÃO - BARRA 1-2 DISJUNTOR 2-01/0-02/2-03 DIJUNTOR DE BARRAS </t>
  </si>
  <si>
    <t>ENOR.00086.001</t>
  </si>
  <si>
    <t>Modernização do Serviço Auxiliar 125 VCC UHE Balbina</t>
  </si>
  <si>
    <t>SISTEMA DE ALIMENTAÇÃO 13,8 KV  DISJUNTOR BADJ2-11 / UG01_MODERNIZAÇÃO BACCI-U1/ UG02_MODERNIZAÇÃO BACCI-U2/ UG03_MODERNIZAÇÃO BACCI-U3/ UG04_MODERNIZAÇÃO BACCI-U4/UG05_MODERNIZAÇÃO BACCI-U5</t>
  </si>
  <si>
    <t>ENOR.00087.001</t>
  </si>
  <si>
    <t>Modernização Sistema de Supervisão da UHCN</t>
  </si>
  <si>
    <t>Modernização Sistema de Supervisão - UCC01 UCC02</t>
  </si>
  <si>
    <t>ENOR.00089.001</t>
  </si>
  <si>
    <t>NGHI.0070</t>
  </si>
  <si>
    <t>Monitoramento de buchas de transformador</t>
  </si>
  <si>
    <t>Garantir o monitoramento da capactancia de bucha dos transformadores</t>
  </si>
  <si>
    <t>OOMS.N</t>
  </si>
  <si>
    <t>ENOR.00306</t>
  </si>
  <si>
    <t>COO0551</t>
  </si>
  <si>
    <t>Aquisição de banco de baterias 125VCC</t>
  </si>
  <si>
    <t>Substituição de banco de baterias UHE Samuel</t>
  </si>
  <si>
    <t>ENOR.00066.001</t>
  </si>
  <si>
    <t>Estação de tratamento de agua de serviço para minimizar a contaminação ferro bactéria</t>
  </si>
  <si>
    <t>Implantação de sistema de combate a agentes nocivos aos sistema de resfriamento</t>
  </si>
  <si>
    <t>ENOR.00032.001</t>
  </si>
  <si>
    <t>Atualização dos Servidores do SPCS</t>
  </si>
  <si>
    <t>ENOR.00069.001</t>
  </si>
  <si>
    <t>Modernização dos disjuntores MERLIN GERIN para a UHE Tucuruí</t>
  </si>
  <si>
    <t>Fornecimento de disjuntores para substituição dos disjuntores fora de linha de fabricação MERLIN GERIN, modelo NT 12H1, número de série 424289.</t>
  </si>
  <si>
    <t>ENOR.00112.001</t>
  </si>
  <si>
    <t>COO0606</t>
  </si>
  <si>
    <t>Superação equipamentos vão da UG 03 da UHCN</t>
  </si>
  <si>
    <t>Substituição do disjuntor e seccionadora do Vão da 3ª unidade de Coaracy Nunes devido superação de curto Circtuito</t>
  </si>
  <si>
    <t>ENOR.00308.001</t>
  </si>
  <si>
    <t>Tem SGPMR cadastrado</t>
  </si>
  <si>
    <t>MODERNIZAÇÃO DOS ANÉIS COLETORES COM INSTALAÇÃO DE SISTEMA DE LIMPEZA AUTOMÁTICA UHE BALBINA</t>
  </si>
  <si>
    <t>MODERNIZAÇÃO DOS ANÉIS COLETORES COM INSTALAÇÃO DE SISTEMA DE LIMPEZA AUTOMÁTICA DA UGH-01,02,03,04,05</t>
  </si>
  <si>
    <t>ENOR.00080.001</t>
  </si>
  <si>
    <t>SGHI00010600003001</t>
  </si>
  <si>
    <t>Implantação de Linhas de Vida na PCH Barra do Rio Chapéu</t>
  </si>
  <si>
    <t>Melhoria no Sistema de Proteção Contra Quedas (SPQ) - Linha de Vida da PCH Barra do Rio Chapéu, proporcionando maior segurança em trabalhos  desenvolvidos em altura ou com risco de queda</t>
  </si>
  <si>
    <t xml:space="preserve"> </t>
  </si>
  <si>
    <t>OOMGS</t>
  </si>
  <si>
    <t>ESUL.00004.001</t>
  </si>
  <si>
    <t>COO1337</t>
  </si>
  <si>
    <t>Matheus Ferreira Inácio</t>
  </si>
  <si>
    <t>SGHI00010500001001</t>
  </si>
  <si>
    <t>Implantação de Linhas de Vida na PCH João Borges</t>
  </si>
  <si>
    <t>Melhoria no Sistema de Proteção Contra Quedas (SPQ) - Linha de Vida da PCH João Borges, proporcionando maior segurança em trabalhos  desenvolvidos em altura ou com risco de queda</t>
  </si>
  <si>
    <t>ESUL.00004.002</t>
  </si>
  <si>
    <t>COO1338</t>
  </si>
  <si>
    <t>SGHI00010400001001</t>
  </si>
  <si>
    <t>Implantação de Linhas de Vida na UHE Passo São João</t>
  </si>
  <si>
    <t>Melhoria no Sistema de Proteção Contra Quedas (SPQ) - Linha de Vida da UHE Passo São João, proporcionando maior segurança em trabalhos  desenvolvidos em altura ou com risco de queda</t>
  </si>
  <si>
    <t>ESUL.00004.003</t>
  </si>
  <si>
    <t>COO1339</t>
  </si>
  <si>
    <t>SGHI00010200005001</t>
  </si>
  <si>
    <t>Implantação de Linhas de Vida na UHE São Domingos</t>
  </si>
  <si>
    <t>Melhoria no Sistema de Proteção Contra Quedas (SPQ) - Linha de Vida da UHE São Domingos, proporcionando maior segurança em trabalhos  desenvolvidos em altura ou com risco de queda</t>
  </si>
  <si>
    <t>ESUL.00004.004</t>
  </si>
  <si>
    <t>COO1340</t>
  </si>
  <si>
    <t>SGHI00010500003006</t>
  </si>
  <si>
    <t>Implantação de plataforma de acesso à caixa espiral na PCH João Borges - UG01</t>
  </si>
  <si>
    <t>Melhoria no Sistema de Proteção Contra Quedas (SPQ) - Plataforma UG01 da PCH João Borges, proporcionando maior segurança em trabalhos  desenvolvidos em altura ou com risco de queda</t>
  </si>
  <si>
    <t>ESUL.00004.005</t>
  </si>
  <si>
    <t>COO1341</t>
  </si>
  <si>
    <t>SGHI00010500003005</t>
  </si>
  <si>
    <t>Implantação de plataforma de acesso à caixa espiral na PCH João Borges - UG02</t>
  </si>
  <si>
    <t>Melhoria no Sistema de Proteção Contra Quedas (SPQ) - Plataforma UG02 da PCH João Borges, proporcionando maior segurança em trabalhos  desenvolvidos em altura ou com risco de queda</t>
  </si>
  <si>
    <t>ESUL.00004.006</t>
  </si>
  <si>
    <t>Implantação de plataforma de acesso à caixa espiral na PCH João Borges - UG03</t>
  </si>
  <si>
    <t>Melhoria no Sistema de Proteção Contra Quedas (SPQ) - Plataforma UG03 da PCH João Borges, proporcionando maior segurança em trabalhos  desenvolvidos em altura ou com risco de queda</t>
  </si>
  <si>
    <t>ESUL.00004.007</t>
  </si>
  <si>
    <t>SGHI00010500003007</t>
  </si>
  <si>
    <t>Implantação de plataforma de acesso à caixa espiral na PCH Barra do Rio Chapéu - UG02</t>
  </si>
  <si>
    <t>Melhoria no Sistema de Proteção Contra Quedas (SPQ) - Plataforma UG02 da PCH Barra do Rio Chapéu, proporcionando maior segurança em trabalhos  desenvolvidos em altura ou com risco de queda</t>
  </si>
  <si>
    <t>ESUL.00004.008</t>
  </si>
  <si>
    <t>SGHI00010600004001</t>
  </si>
  <si>
    <t>Modernização da turbina Kaplan da UG02 da UHE São Domingos</t>
  </si>
  <si>
    <t>Substituição do rotor Kaplan da unidade geradora 02 da UHE São Domingos</t>
  </si>
  <si>
    <t>ESUL.00009.001</t>
  </si>
  <si>
    <t>COO1326</t>
  </si>
  <si>
    <t>Cleyzer Marcondes Bastos</t>
  </si>
  <si>
    <t>SGHI00030100001001</t>
  </si>
  <si>
    <t>Instalação e Comissionamento do regulador de tensão e velociade da UHE Passo São João</t>
  </si>
  <si>
    <t>Necessidade de modernizar e implantar uma nova plataforma Serviços de instalação e comissionamento Aquisição de Notebook de Processo</t>
  </si>
  <si>
    <t>ESUL.00010.001</t>
  </si>
  <si>
    <t>COO1322</t>
  </si>
  <si>
    <t>Thiago Minatto Machado</t>
  </si>
  <si>
    <t>SGHI00060100001001</t>
  </si>
  <si>
    <t>Modernização do regulador de tensão da UHE Passo São João - UG01</t>
  </si>
  <si>
    <t>Necessidade de modernizar e implantar uma nova plataforma Substituição da parte de controle do RT</t>
  </si>
  <si>
    <t>ESUL.00010.002</t>
  </si>
  <si>
    <t>SGHI00060100001002</t>
  </si>
  <si>
    <t>Modernização do regulador de velocidade da UHE Passo São João - UG01</t>
  </si>
  <si>
    <t>Necessidade de modernizar e implantar uma nova plataforma Substituição da parte de controle do RV</t>
  </si>
  <si>
    <t>ESUL.00010.003</t>
  </si>
  <si>
    <t>SGHI00060100001003</t>
  </si>
  <si>
    <t>Modernização do painel da unidade hidráulica do RV da UHE Passo São João - UG01</t>
  </si>
  <si>
    <t>Necessidade de modernizar e implantar uma nova plataforma Substituição da parte de controle do PUH</t>
  </si>
  <si>
    <t>ESUL.00010.004</t>
  </si>
  <si>
    <t>SGHI00060100001004</t>
  </si>
  <si>
    <t>Modernização do regulador de tensão da UHE Passo São João - UG02</t>
  </si>
  <si>
    <t>ESUL.00010.005</t>
  </si>
  <si>
    <t>SGHI00060100001005</t>
  </si>
  <si>
    <t>Modernização do regulador de velocidade da UHE Passo São João - UG02</t>
  </si>
  <si>
    <t>ESUL.00010.006</t>
  </si>
  <si>
    <t>SGHI00060100001006</t>
  </si>
  <si>
    <t>Modernização do painel da unidade hidráulica do RV da UHE Passo São João - UG02</t>
  </si>
  <si>
    <t>ESUL.00010.007</t>
  </si>
  <si>
    <t>SGHI00060100001007</t>
  </si>
  <si>
    <t>Instalação e Comissionamento do regulador de tensão e velociade da UHE São Domingos</t>
  </si>
  <si>
    <t>ESUL.00010.008</t>
  </si>
  <si>
    <t>COO1323</t>
  </si>
  <si>
    <t>SGHI00060200002001</t>
  </si>
  <si>
    <t>Modernização do regulador de tensão da UHE São Domingos - UG01</t>
  </si>
  <si>
    <t>ESUL.00010.009</t>
  </si>
  <si>
    <t>SGHI00060200002002</t>
  </si>
  <si>
    <t>Modernização do regulador de velocidade da UHE São Domingos - UG01</t>
  </si>
  <si>
    <t>ESUL.00010.010</t>
  </si>
  <si>
    <t>SGHI00060200002003</t>
  </si>
  <si>
    <t>Modernização do painel da unidade hidráulica do RV da UHE São Domingos - UG01</t>
  </si>
  <si>
    <t>ESUL.00010.011</t>
  </si>
  <si>
    <t>SGHI00060200002004</t>
  </si>
  <si>
    <t>Modernização do regulador de tensão da UHE São Domingos - UG02</t>
  </si>
  <si>
    <t>ESUL.00010.012</t>
  </si>
  <si>
    <t>SGHI00060200002005</t>
  </si>
  <si>
    <t>Modernização do regulador de velocidade da UHE São Domingos - UG02</t>
  </si>
  <si>
    <t>ESUL.00010.013</t>
  </si>
  <si>
    <t>SGHI00060200002006</t>
  </si>
  <si>
    <t>Modernização do painel da unidade hidráulica do RV da UHE São Domingos - UG02</t>
  </si>
  <si>
    <t>ESUL.00010.014</t>
  </si>
  <si>
    <t>SGHI00060200002007</t>
  </si>
  <si>
    <t>Implantação do sistema de monitoramento online de vibração da EOL Cerro Chato 1 - AEG01</t>
  </si>
  <si>
    <t>Instalação do sistema de monitoramento de vibrações online para os Parques Eólicos Cerro Chato e Entorno 2</t>
  </si>
  <si>
    <t>Cerro Chato 1</t>
  </si>
  <si>
    <t>ESUL.00012.001</t>
  </si>
  <si>
    <t>COO1327</t>
  </si>
  <si>
    <t>Liziane Castegnaro</t>
  </si>
  <si>
    <t>SGEO00010100002001</t>
  </si>
  <si>
    <t>Implantação do sistema de monitoramento online de vibração da EOL Cerro Chato 1 - AEG02</t>
  </si>
  <si>
    <t>ESUL.00012.002</t>
  </si>
  <si>
    <t>SGEO00010100003001</t>
  </si>
  <si>
    <t>Implantação do sistema de monitoramento online de vibração da EOL Cerro Chato 1 - AEG03</t>
  </si>
  <si>
    <t>ESUL.00012.003</t>
  </si>
  <si>
    <t>SGEO00010100004001</t>
  </si>
  <si>
    <t>Implantação do sistema de monitoramento online de vibração da EOL Cerro Chato 1 - AEG04</t>
  </si>
  <si>
    <t>ESUL.00012.004</t>
  </si>
  <si>
    <t>SGEO00010100005001</t>
  </si>
  <si>
    <t>Implantação do sistema de monitoramento online de vibração da EOL Cerro Chato 1 - AEG05</t>
  </si>
  <si>
    <t>ESUL.00012.005</t>
  </si>
  <si>
    <t>SGEO00010100006001</t>
  </si>
  <si>
    <t>Implantação do sistema de monitoramento online de vibração da EOL Cerro Chato 1 - AEG06</t>
  </si>
  <si>
    <t>ESUL.00012.006</t>
  </si>
  <si>
    <t>SGEO00010100007001</t>
  </si>
  <si>
    <t>Implantação do sistema de monitoramento online de vibração da EOL Cerro Chato 1 - AEG07</t>
  </si>
  <si>
    <t>ESUL.00012.007</t>
  </si>
  <si>
    <t>SGEO00010100008001</t>
  </si>
  <si>
    <t>Implantação do sistema de monitoramento online de vibração da EOL Cerro Chato 1 - AEG08</t>
  </si>
  <si>
    <t>ESUL.00012.008</t>
  </si>
  <si>
    <t>SGEO00010100009001</t>
  </si>
  <si>
    <t>Implantação do sistema de monitoramento online de vibração da EOL Cerro Chato 1 - AEG09</t>
  </si>
  <si>
    <t>ESUL.00012.009</t>
  </si>
  <si>
    <t>SGEO00010100010001</t>
  </si>
  <si>
    <t>Implantação do sistema de monitoramento online de vibração da EOL Cerro Chato 1 - AEG10</t>
  </si>
  <si>
    <t>ESUL.00012.010</t>
  </si>
  <si>
    <t>SGEO00010100011001</t>
  </si>
  <si>
    <t>Implantação do sistema de monitoramento online de vibração da EOL Cerro Chato 1 - AEG11</t>
  </si>
  <si>
    <t>ESUL.00012.011</t>
  </si>
  <si>
    <t>SGEO00010100012001</t>
  </si>
  <si>
    <t>Implantação do sistema de monitoramento online de vibração da EOL Cerro Chato 1 - AEG12</t>
  </si>
  <si>
    <t>ESUL.00012.012</t>
  </si>
  <si>
    <t>SGEO00010100013001</t>
  </si>
  <si>
    <t>Implantação do sistema de monitoramento online de vibração da EOL Cerro Chato 1 - AEG13</t>
  </si>
  <si>
    <t>ESUL.00012.013</t>
  </si>
  <si>
    <t>SGEO00010100014001</t>
  </si>
  <si>
    <t>Implantação do sistema de monitoramento online de vibração da EOL Cerro Chato 1 - AEG14</t>
  </si>
  <si>
    <t>ESUL.00012.014</t>
  </si>
  <si>
    <t>SGEO00010100015001</t>
  </si>
  <si>
    <t>Implantação do sistema de monitoramento online de vibração da EOL Cerro Chato 1 - AEG15</t>
  </si>
  <si>
    <t>ESUL.00012.015</t>
  </si>
  <si>
    <t>SGEO00010100016001</t>
  </si>
  <si>
    <t>Implantação do sistema de monitoramento online de vibração da EOL Cerro Chato 2 - AEG01</t>
  </si>
  <si>
    <t>Cerro Chato 2</t>
  </si>
  <si>
    <t>ESUL.00012.016</t>
  </si>
  <si>
    <t>COO1328</t>
  </si>
  <si>
    <t>SGEO00010200002001</t>
  </si>
  <si>
    <t>Implantação do sistema de monitoramento online de vibração da EOL Cerro Chato 2 - AEG02</t>
  </si>
  <si>
    <t>ESUL.00012.017</t>
  </si>
  <si>
    <t>SGEO00010200003001</t>
  </si>
  <si>
    <t>Implantação do sistema de monitoramento online de vibração da EOL Cerro Chato 2 - AEG03</t>
  </si>
  <si>
    <t>ESUL.00012.018</t>
  </si>
  <si>
    <t>SGEO00010200004001</t>
  </si>
  <si>
    <t>Implantação do sistema de monitoramento online de vibração da EOL Cerro Chato 2 - AEG04</t>
  </si>
  <si>
    <t>ESUL.00012.019</t>
  </si>
  <si>
    <t>SGEO00010200005001</t>
  </si>
  <si>
    <t>Implantação do sistema de monitoramento online de vibração da EOL Cerro Chato 2 - AEG05</t>
  </si>
  <si>
    <t>ESUL.00012.020</t>
  </si>
  <si>
    <t>SGEO00010200006001</t>
  </si>
  <si>
    <t>Implantação do sistema de monitoramento online de vibração da EOL Cerro Chato 2 - AEG06</t>
  </si>
  <si>
    <t>ESUL.00012.021</t>
  </si>
  <si>
    <t>SGEO00010200007001</t>
  </si>
  <si>
    <t>Implantação do sistema de monitoramento online de vibração da EOL Cerro Chato 2 - AEG07</t>
  </si>
  <si>
    <t>ESUL.00012.022</t>
  </si>
  <si>
    <t>SGEO00010200008001</t>
  </si>
  <si>
    <t>Implantação do sistema de monitoramento online de vibração da EOL Cerro Chato 2 - AEG08</t>
  </si>
  <si>
    <t>ESUL.00012.023</t>
  </si>
  <si>
    <t>SGEO00010200009001</t>
  </si>
  <si>
    <t>Implantação do sistema de monitoramento online de vibração da EOL Cerro Chato 2 - AEG09</t>
  </si>
  <si>
    <t>ESUL.00012.024</t>
  </si>
  <si>
    <t>SGEO00010200010001</t>
  </si>
  <si>
    <t>Implantação do sistema de monitoramento online de vibração da EOL Cerro Chato 2 - AEG10</t>
  </si>
  <si>
    <t>ESUL.00012.025</t>
  </si>
  <si>
    <t>SGEO00010200011001</t>
  </si>
  <si>
    <t>Implantação do sistema de monitoramento online de vibração da EOL Cerro Chato 2 - AEG11</t>
  </si>
  <si>
    <t>ESUL.00012.026</t>
  </si>
  <si>
    <t>SGEO00010200012001</t>
  </si>
  <si>
    <t>Implantação do sistema de monitoramento online de vibração da EOL Cerro Chato 2 - AEG12</t>
  </si>
  <si>
    <t>ESUL.00012.027</t>
  </si>
  <si>
    <t>SGEO00010200013001</t>
  </si>
  <si>
    <t>Implantação do sistema de monitoramento online de vibração da EOL Cerro Chato 2 - AEG13</t>
  </si>
  <si>
    <t>ESUL.00012.028</t>
  </si>
  <si>
    <t>SGEO00010200014001</t>
  </si>
  <si>
    <t>Implantação do sistema de monitoramento online de vibração da EOL Cerro Chato 2 - AEG14</t>
  </si>
  <si>
    <t>ESUL.00012.029</t>
  </si>
  <si>
    <t>SGEO00010200015001</t>
  </si>
  <si>
    <t>Implantação do sistema de monitoramento online de vibração da EOL Cerro Chato 2 - AEG15</t>
  </si>
  <si>
    <t>ESUL.00012.030</t>
  </si>
  <si>
    <t>SGEO00010200016001</t>
  </si>
  <si>
    <t>Implantação do sistema de monitoramento online de vibração da EOL Cerro Chato 3 - AEG01</t>
  </si>
  <si>
    <t>Cerro Chato 3</t>
  </si>
  <si>
    <t>ESUL.00012.031</t>
  </si>
  <si>
    <t>COO1329</t>
  </si>
  <si>
    <t>SGEO00010300002001</t>
  </si>
  <si>
    <t>Implantação do sistema de monitoramento online de vibração da EOL Cerro Chato 3 - AEG02</t>
  </si>
  <si>
    <t>ESUL.00012.032</t>
  </si>
  <si>
    <t>SGEO00010300003001</t>
  </si>
  <si>
    <t>Implantação do sistema de monitoramento online de vibração da EOL Cerro Chato 3 - AEG03</t>
  </si>
  <si>
    <t>ESUL.00012.033</t>
  </si>
  <si>
    <t>SGEO00010300004001</t>
  </si>
  <si>
    <t>Implantação do sistema de monitoramento online de vibração da EOL Cerro Chato 3 - AEG04</t>
  </si>
  <si>
    <t>ESUL.00012.034</t>
  </si>
  <si>
    <t>SGEO00010300005001</t>
  </si>
  <si>
    <t>Implantação do sistema de monitoramento online de vibração da EOL Cerro Chato 3 - AEG05</t>
  </si>
  <si>
    <t>ESUL.00012.035</t>
  </si>
  <si>
    <t>SGEO00010300006001</t>
  </si>
  <si>
    <t>Implantação do sistema de monitoramento online de vibração da EOL Cerro Chato 3 - AEG06</t>
  </si>
  <si>
    <t>ESUL.00012.036</t>
  </si>
  <si>
    <t>SGEO00010300007001</t>
  </si>
  <si>
    <t>Implantação do sistema de monitoramento online de vibração da EOL Cerro Chato 3 - AEG07</t>
  </si>
  <si>
    <t>ESUL.00012.037</t>
  </si>
  <si>
    <t>SGEO00010300008001</t>
  </si>
  <si>
    <t>Implantação do sistema de monitoramento online de vibração da EOL Cerro Chato 3 - AEG08</t>
  </si>
  <si>
    <t>ESUL.00012.038</t>
  </si>
  <si>
    <t>SGEO00010300009001</t>
  </si>
  <si>
    <t>Implantação do sistema de monitoramento online de vibração da EOL Cerro Chato 3 - AEG09</t>
  </si>
  <si>
    <t>ESUL.00012.039</t>
  </si>
  <si>
    <t>SGEO00010300010001</t>
  </si>
  <si>
    <t>Implantação do sistema de monitoramento online de vibração da EOL Cerro Chato 3 - AEG10</t>
  </si>
  <si>
    <t>ESUL.00012.040</t>
  </si>
  <si>
    <t>SGEO00010300011001</t>
  </si>
  <si>
    <t>Implantação do sistema de monitoramento online de vibração da EOL Cerro Chato 3 - AEG11</t>
  </si>
  <si>
    <t>ESUL.00012.041</t>
  </si>
  <si>
    <t>SGEO00010300012001</t>
  </si>
  <si>
    <t>Implantação do sistema de monitoramento online de vibração da EOL Cerro Chato 3 - AEG12</t>
  </si>
  <si>
    <t>ESUL.00012.042</t>
  </si>
  <si>
    <t>SGEO00010300013001</t>
  </si>
  <si>
    <t>Implantação do sistema de monitoramento online de vibração da EOL Cerro Chato 3 - AEG13</t>
  </si>
  <si>
    <t>ESUL.00012.043</t>
  </si>
  <si>
    <t>SGEO00010300014001</t>
  </si>
  <si>
    <t>Implantação do sistema de monitoramento online de vibração da EOL Cerro Chato 3 - AEG14</t>
  </si>
  <si>
    <t>ESUL.00012.044</t>
  </si>
  <si>
    <t>SGEO00010300015001</t>
  </si>
  <si>
    <t>Implantação do sistema de monitoramento online de vibração da EOL Cerro Chato 3 - AEG15</t>
  </si>
  <si>
    <t>ESUL.00012.045</t>
  </si>
  <si>
    <t>SGEO00010300016001</t>
  </si>
  <si>
    <t>Implantação do sistema de monitoramento online de vibração da EOL Coxilha Seca - AEG01</t>
  </si>
  <si>
    <t>Coxilha Seca</t>
  </si>
  <si>
    <t>ESUL.00012.046</t>
  </si>
  <si>
    <t>COO1330</t>
  </si>
  <si>
    <t>SGEO00010600002001</t>
  </si>
  <si>
    <t>Implantação do sistema de monitoramento online de vibração da EOL Coxilha Seca - AEG02</t>
  </si>
  <si>
    <t>ESUL.00012.047</t>
  </si>
  <si>
    <t>SGEO00010600003001</t>
  </si>
  <si>
    <t>Implantação do sistema de monitoramento online de vibração da EOL Coxilha Seca - AEG03</t>
  </si>
  <si>
    <t>ESUL.00012.048</t>
  </si>
  <si>
    <t>SGEO00010600004001</t>
  </si>
  <si>
    <t>Implantação do sistema de monitoramento online de vibração da EOL Coxilha Seca - AEG04</t>
  </si>
  <si>
    <t>ESUL.00012.049</t>
  </si>
  <si>
    <t>SGEO00010600005001</t>
  </si>
  <si>
    <t>Implantação do sistema de monitoramento online de vibração da EOL Coxilha Seca - AEG05</t>
  </si>
  <si>
    <t>ESUL.00012.050</t>
  </si>
  <si>
    <t>SGEO00010600006001</t>
  </si>
  <si>
    <t>Implantação do sistema de monitoramento online de vibração da EOL Coxilha Seca - AEG06</t>
  </si>
  <si>
    <t>ESUL.00012.051</t>
  </si>
  <si>
    <t>SGEO00010600007001</t>
  </si>
  <si>
    <t>Implantação do sistema de monitoramento online de vibração da EOL Coxilha Seca - AEG07</t>
  </si>
  <si>
    <t>ESUL.00012.052</t>
  </si>
  <si>
    <t>SGEO00010600008001</t>
  </si>
  <si>
    <t>Implantação do sistema de monitoramento online de vibração da EOL Coxilha Seca - AEG08</t>
  </si>
  <si>
    <t>ESUL.00012.053</t>
  </si>
  <si>
    <t>SGEO00010600009001</t>
  </si>
  <si>
    <t>Implantação do sistema de monitoramento online de vibração da EOL Coxilha Seca - AEG09</t>
  </si>
  <si>
    <t>ESUL.00012.054</t>
  </si>
  <si>
    <t>SGEO00010600010001</t>
  </si>
  <si>
    <t>Implantação do sistema de monitoramento online de vibração da EOL Coxilha Seca - AEG10</t>
  </si>
  <si>
    <t>ESUL.00012.055</t>
  </si>
  <si>
    <t>SGEO00010600011001</t>
  </si>
  <si>
    <t>Implantação do sistema de monitoramento online de vibração da EOL Coxilha Seca - AEG11</t>
  </si>
  <si>
    <t>ESUL.00012.056</t>
  </si>
  <si>
    <t>SGEO00010600012001</t>
  </si>
  <si>
    <t>Implantação do sistema de monitoramento online de vibração da EOL Coxilha Seca - AEG12</t>
  </si>
  <si>
    <t>ESUL.00012.057</t>
  </si>
  <si>
    <t>SGEO00010600013001</t>
  </si>
  <si>
    <t>Implantação do sistema de monitoramento online de vibração da EOL Coxilha Seca - AEG13</t>
  </si>
  <si>
    <t>ESUL.00012.058</t>
  </si>
  <si>
    <t>SGEO00010600014001</t>
  </si>
  <si>
    <t>Implantação do sistema de monitoramento online de vibração da EOL Coxilha Seca - AEG14</t>
  </si>
  <si>
    <t>ESUL.00012.059</t>
  </si>
  <si>
    <t>SGEO00010600015001</t>
  </si>
  <si>
    <t>Implantação do sistema de monitoramento online de vibração da EOL Coxilha Seca - AEG15</t>
  </si>
  <si>
    <t>ESUL.00012.060</t>
  </si>
  <si>
    <t>SGEO00010600016001</t>
  </si>
  <si>
    <t>Implantação do sistema de monitoramento online de vibração da EOL Galpões - AEG01</t>
  </si>
  <si>
    <t>Galpões</t>
  </si>
  <si>
    <t>ESUL.00012.061</t>
  </si>
  <si>
    <t>COO1334</t>
  </si>
  <si>
    <t>SGEO00010400002001</t>
  </si>
  <si>
    <t>Implantação do sistema de monitoramento online de vibração da EOL Galpões - AEG02</t>
  </si>
  <si>
    <t>ESUL.00012.062</t>
  </si>
  <si>
    <t>SGEO00010400003001</t>
  </si>
  <si>
    <t>Implantação do sistema de monitoramento online de vibração da EOL Galpões - AEG03</t>
  </si>
  <si>
    <t>ESUL.00012.063</t>
  </si>
  <si>
    <t>SGEO00010400004001</t>
  </si>
  <si>
    <t>Implantação do sistema de monitoramento online de vibração da EOL Galpões - AEG04</t>
  </si>
  <si>
    <t>ESUL.00012.064</t>
  </si>
  <si>
    <t>SGEO00010400005001</t>
  </si>
  <si>
    <t>Implantação do sistema de monitoramento online de vibração da EOL Capão do Inglês - AEG01</t>
  </si>
  <si>
    <t>Capão do Inglês</t>
  </si>
  <si>
    <t>ESUL.00012.065</t>
  </si>
  <si>
    <t>COO1335</t>
  </si>
  <si>
    <t>SGEO00010500002001</t>
  </si>
  <si>
    <t>Implantação do sistema de monitoramento online de vibração da EOL Capão do Inglês - AEG02</t>
  </si>
  <si>
    <t>ESUL.00012.066</t>
  </si>
  <si>
    <t>SGEO00010500003001</t>
  </si>
  <si>
    <t>Implantação do sistema de monitoramento online de vibração da EOL Capão do Inglês - AEG03</t>
  </si>
  <si>
    <t>ESUL.00012.067</t>
  </si>
  <si>
    <t>SGEO00010500004001</t>
  </si>
  <si>
    <t>Implantação do sistema de monitoramento online de vibração da EOL Capão do Inglês - AEG04</t>
  </si>
  <si>
    <t>ESUL.00012.068</t>
  </si>
  <si>
    <t>SGEO00010500005001</t>
  </si>
  <si>
    <t>Implantação do sistema de monitoramento online de vibração da EOL Capão do Inglês - AEG05</t>
  </si>
  <si>
    <t>ESUL.00012.069</t>
  </si>
  <si>
    <t>SGEO00010500006001</t>
  </si>
  <si>
    <t>Modernização do sistema de supervisão SCADA da EOL Entorno 2 - Perfil 485055</t>
  </si>
  <si>
    <t>Modernização do sistema de supervisão SCADA da EOL Entorno 2</t>
  </si>
  <si>
    <t>SE Cerro Chato</t>
  </si>
  <si>
    <t>ESUL.00013.001</t>
  </si>
  <si>
    <t>COO1346</t>
  </si>
  <si>
    <t>Breno Torres Meyer</t>
  </si>
  <si>
    <t>SGEO00010800001001</t>
  </si>
  <si>
    <t>Modernização do sistema de supervisão SCADA da EOL Entorno 2 - Perfil 375015</t>
  </si>
  <si>
    <t>ESUL.00013.002</t>
  </si>
  <si>
    <t>COO1347</t>
  </si>
  <si>
    <t>SGEO00010800001002</t>
  </si>
  <si>
    <t>Modernização do sistema de supervisão SCADA da EOL Entorno 2 - Perfil 535021</t>
  </si>
  <si>
    <t>ESUL.00013.003</t>
  </si>
  <si>
    <t>COO1348</t>
  </si>
  <si>
    <t>SGEO00010800001003</t>
  </si>
  <si>
    <t>Implantação do sistema de monitoramento online de vibração da EOL Coxilha Negra 4 - AEG01</t>
  </si>
  <si>
    <t>Instalação do sistema de monitoramento de vibrações online para os Parques Eólicos Coxilha Negra 2, 3 e 4</t>
  </si>
  <si>
    <t>Coxilha Negra 4</t>
  </si>
  <si>
    <t>ESUL.00014.001</t>
  </si>
  <si>
    <t>COO1331</t>
  </si>
  <si>
    <t>SGEO00040400002001</t>
  </si>
  <si>
    <t>Implantação do sistema de monitoramento online de vibração da EOL Coxilha Negra 4 - AEG02</t>
  </si>
  <si>
    <t>ESUL.00014.002</t>
  </si>
  <si>
    <t>SGEO00040400003001</t>
  </si>
  <si>
    <t>Implantação do sistema de monitoramento online de vibração da EOL Coxilha Negra 4 - AEG03</t>
  </si>
  <si>
    <t>ESUL.00014.003</t>
  </si>
  <si>
    <t>SGEO00040400004001</t>
  </si>
  <si>
    <t>Implantação do sistema de monitoramento online de vibração da EOL Coxilha Negra 4 - AEG04</t>
  </si>
  <si>
    <t>ESUL.00014.004</t>
  </si>
  <si>
    <t>SGEO00040400005001</t>
  </si>
  <si>
    <t>Implantação do sistema de monitoramento online de vibração da EOL Coxilha Negra 4 - AEG05</t>
  </si>
  <si>
    <t>ESUL.00014.005</t>
  </si>
  <si>
    <t>SGEO00040400006001</t>
  </si>
  <si>
    <t>Implantação do sistema de monitoramento online de vibração da EOL Coxilha Negra 4 - AEG06</t>
  </si>
  <si>
    <t>ESUL.00014.006</t>
  </si>
  <si>
    <t>SGEO00040400007001</t>
  </si>
  <si>
    <t>Implantação do sistema de monitoramento online de vibração da EOL Coxilha Negra 4 - AEG07</t>
  </si>
  <si>
    <t>ESUL.00014.007</t>
  </si>
  <si>
    <t>SGEO00040400008001</t>
  </si>
  <si>
    <t>Implantação do sistema de monitoramento online de vibração da EOL Coxilha Negra 4 - AEG08</t>
  </si>
  <si>
    <t>ESUL.00014.008</t>
  </si>
  <si>
    <t>SGEO00040400009001</t>
  </si>
  <si>
    <t>Implantação do sistema de monitoramento online de vibração da EOL Coxilha Negra 4 - AEG09</t>
  </si>
  <si>
    <t>ESUL.00014.009</t>
  </si>
  <si>
    <t>SGEO00040400010001</t>
  </si>
  <si>
    <t>Implantação do sistema de monitoramento online de vibração da EOL Coxilha Negra 4 - AEG10</t>
  </si>
  <si>
    <t>ESUL.00014.010</t>
  </si>
  <si>
    <t>SGEO00040400011001</t>
  </si>
  <si>
    <t>Implantação do sistema de monitoramento online de vibração da EOL Coxilha Negra 4 - AEG11</t>
  </si>
  <si>
    <t>ESUL.00014.011</t>
  </si>
  <si>
    <t>SGEO00040400012001</t>
  </si>
  <si>
    <t>Implantação do sistema de monitoramento online de vibração da EOL Coxilha Negra 4 - AEG12</t>
  </si>
  <si>
    <t>ESUL.00014.012</t>
  </si>
  <si>
    <t>SGEO00040400013001</t>
  </si>
  <si>
    <t>Implantação do sistema de monitoramento online de vibração da EOL Coxilha Negra 4 - AEG13</t>
  </si>
  <si>
    <t>ESUL.00014.013</t>
  </si>
  <si>
    <t>SGEO00040400014001</t>
  </si>
  <si>
    <t>Implantação do sistema de monitoramento online de vibração da EOL Coxilha Negra 4 - AEG14</t>
  </si>
  <si>
    <t>ESUL.00014.014</t>
  </si>
  <si>
    <t>SGEO00040400015001</t>
  </si>
  <si>
    <t>Implantação do sistema de monitoramento online de vibração da EOL Coxilha Negra 4 - AEG15</t>
  </si>
  <si>
    <t>ESUL.00014.015</t>
  </si>
  <si>
    <t>SGEO00040400016001</t>
  </si>
  <si>
    <t>Implantação do sistema de monitoramento online de vibração da EOL Coxilha Negra 4 - AEG16</t>
  </si>
  <si>
    <t>ESUL.00014.016</t>
  </si>
  <si>
    <t>SGEO00040400017001</t>
  </si>
  <si>
    <t>Implantação do sistema de monitoramento online de vibração da EOL Coxilha Negra 4 - AEG17</t>
  </si>
  <si>
    <t>ESUL.00014.017</t>
  </si>
  <si>
    <t>SGEO00040400018001</t>
  </si>
  <si>
    <t>Implantação do sistema de monitoramento online de vibração da EOL Coxilha Negra 4 - AEG18</t>
  </si>
  <si>
    <t>ESUL.00014.018</t>
  </si>
  <si>
    <t>SGEO00040400019001</t>
  </si>
  <si>
    <t>Implantação do sistema de monitoramento online de vibração da EOL Coxilha Negra 4 - AEG19</t>
  </si>
  <si>
    <t>ESUL.00014.019</t>
  </si>
  <si>
    <t>SGEO00040400020001</t>
  </si>
  <si>
    <t>Implantação do sistema de monitoramento online de vibração da EOL Coxilha Negra 4 - AEG20</t>
  </si>
  <si>
    <t>ESUL.00014.020</t>
  </si>
  <si>
    <t>SGEO00040400021001</t>
  </si>
  <si>
    <t>Implantação do sistema de monitoramento online de vibração da EOL Coxilha Negra 4 - AEG21</t>
  </si>
  <si>
    <t>ESUL.00014.021</t>
  </si>
  <si>
    <t>SGEO00040400022001</t>
  </si>
  <si>
    <t>Implantação do sistema de monitoramento online de vibração da EOL Coxilha Negra 4 - AEG22</t>
  </si>
  <si>
    <t>ESUL.00014.022</t>
  </si>
  <si>
    <t>SGEO00040400023001</t>
  </si>
  <si>
    <t>Implantação do sistema de monitoramento online de vibração da EOL Coxilha Negra 4 - AEG23</t>
  </si>
  <si>
    <t>ESUL.00014.023</t>
  </si>
  <si>
    <t>SGEO00040400024001</t>
  </si>
  <si>
    <t>Implantação do sistema de monitoramento online de vibração da EOL Coxilha Negra 2 - AEG01</t>
  </si>
  <si>
    <t>Coxilha Negra 2</t>
  </si>
  <si>
    <t>ESUL.00014.024</t>
  </si>
  <si>
    <t>COO1332</t>
  </si>
  <si>
    <t>SGEO00040200002001</t>
  </si>
  <si>
    <t>Implantação do sistema de monitoramento online de vibração da EOL Coxilha Negra 2 - AEG02</t>
  </si>
  <si>
    <t>ESUL.00014.025</t>
  </si>
  <si>
    <t>SGEO00040200003001</t>
  </si>
  <si>
    <t>Implantação do sistema de monitoramento online de vibração da EOL Coxilha Negra 2 - AEG03</t>
  </si>
  <si>
    <t>ESUL.00014.026</t>
  </si>
  <si>
    <t>SGEO00040200004001</t>
  </si>
  <si>
    <t>Implantação do sistema de monitoramento online de vibração da EOL Coxilha Negra 2 - AEG04</t>
  </si>
  <si>
    <t>ESUL.00014.027</t>
  </si>
  <si>
    <t>SGEO00040200005001</t>
  </si>
  <si>
    <t>Implantação do sistema de monitoramento online de vibração da EOL Coxilha Negra 2 - AEG05</t>
  </si>
  <si>
    <t>ESUL.00014.028</t>
  </si>
  <si>
    <t>SGEO00040200006001</t>
  </si>
  <si>
    <t>Implantação do sistema de monitoramento online de vibração da EOL Coxilha Negra 2 - AEG06</t>
  </si>
  <si>
    <t>ESUL.00014.029</t>
  </si>
  <si>
    <t>SGEO00040200007001</t>
  </si>
  <si>
    <t>Implantação do sistema de monitoramento online de vibração da EOL Coxilha Negra 2 - AEG07</t>
  </si>
  <si>
    <t>ESUL.00014.030</t>
  </si>
  <si>
    <t>SGEO00040200008001</t>
  </si>
  <si>
    <t>Implantação do sistema de monitoramento online de vibração da EOL Coxilha Negra 2 - AEG08</t>
  </si>
  <si>
    <t>ESUL.00014.031</t>
  </si>
  <si>
    <t>SGEO00040200009001</t>
  </si>
  <si>
    <t>Implantação do sistema de monitoramento online de vibração da EOL Coxilha Negra 2 - AEG09</t>
  </si>
  <si>
    <t>ESUL.00014.032</t>
  </si>
  <si>
    <t>SGEO00040200010001</t>
  </si>
  <si>
    <t>Implantação do sistema de monitoramento online de vibração da EOL Coxilha Negra 2 - AEG10</t>
  </si>
  <si>
    <t>ESUL.00014.033</t>
  </si>
  <si>
    <t>SGEO00040200011001</t>
  </si>
  <si>
    <t>Implantação do sistema de monitoramento online de vibração da EOL Coxilha Negra 2 - AEG11</t>
  </si>
  <si>
    <t>ESUL.00014.034</t>
  </si>
  <si>
    <t>SGEO00040200012001</t>
  </si>
  <si>
    <t>Implantação do sistema de monitoramento online de vibração da EOL Coxilha Negra 2 - AEG12</t>
  </si>
  <si>
    <t>ESUL.00014.035</t>
  </si>
  <si>
    <t>SGEO00040200013001</t>
  </si>
  <si>
    <t>Implantação do sistema de monitoramento online de vibração da EOL Coxilha Negra 2 - AEG13</t>
  </si>
  <si>
    <t>ESUL.00014.036</t>
  </si>
  <si>
    <t>SGEO00040200014001</t>
  </si>
  <si>
    <t>Implantação do sistema de monitoramento online de vibração da EOL Coxilha Negra 2 - AEG14</t>
  </si>
  <si>
    <t>ESUL.00014.037</t>
  </si>
  <si>
    <t>SGEO00040200015001</t>
  </si>
  <si>
    <t>Implantação do sistema de monitoramento online de vibração da EOL Coxilha Negra 2 - AEG15</t>
  </si>
  <si>
    <t>ESUL.00014.038</t>
  </si>
  <si>
    <t>SGEO00040200016001</t>
  </si>
  <si>
    <t>Implantação do sistema de monitoramento online de vibração da EOL Coxilha Negra 2 - AEG16</t>
  </si>
  <si>
    <t>ESUL.00014.039</t>
  </si>
  <si>
    <t>SGEO00040200017001</t>
  </si>
  <si>
    <t>Implantação do sistema de monitoramento online de vibração da EOL Coxilha Negra 2 - AEG17</t>
  </si>
  <si>
    <t>ESUL.00014.040</t>
  </si>
  <si>
    <t>SGEO00040200018001</t>
  </si>
  <si>
    <t>Implantação do sistema de monitoramento online de vibração da EOL Coxilha Negra 2 - AEG18</t>
  </si>
  <si>
    <t>ESUL.00014.041</t>
  </si>
  <si>
    <t>SGEO00040200019001</t>
  </si>
  <si>
    <t>Implantação do sistema de monitoramento online de vibração da EOL Coxilha Negra 2 - AEG19</t>
  </si>
  <si>
    <t>ESUL.00014.042</t>
  </si>
  <si>
    <t>SGEO00040200020001</t>
  </si>
  <si>
    <t>Implantação do sistema de monitoramento online de vibração da EOL Coxilha Negra 2 - AEG20</t>
  </si>
  <si>
    <t>ESUL.00014.043</t>
  </si>
  <si>
    <t>SGEO00040200021001</t>
  </si>
  <si>
    <t>Implantação do sistema de monitoramento online de vibração da EOL Coxilha Negra 2 - AEG21</t>
  </si>
  <si>
    <t>ESUL.00014.044</t>
  </si>
  <si>
    <t>SGEO00040200022001</t>
  </si>
  <si>
    <t>Implantação do sistema de monitoramento online de vibração da EOL Coxilha Negra 2 - AEG22</t>
  </si>
  <si>
    <t>ESUL.00014.045</t>
  </si>
  <si>
    <t>SGEO00040200023001</t>
  </si>
  <si>
    <t>Implantação do sistema de monitoramento online de vibração da EOL Coxilha Negra 2 - AEG23</t>
  </si>
  <si>
    <t>ESUL.00014.046</t>
  </si>
  <si>
    <t>SGEO00040200024001</t>
  </si>
  <si>
    <t>Implantação do sistema de monitoramento online de vibração da EOL Coxilha Negra 2 - AEG24</t>
  </si>
  <si>
    <t>ESUL.00014.047</t>
  </si>
  <si>
    <t>SGEO00040200025001</t>
  </si>
  <si>
    <t>Implantação do sistema de monitoramento online de vibração da EOL Coxilha Negra 3 - AEG01</t>
  </si>
  <si>
    <t>Coxilha Negra 3</t>
  </si>
  <si>
    <t>ESUL.00014.048</t>
  </si>
  <si>
    <t>COO1333</t>
  </si>
  <si>
    <t>SGEO00040300002001</t>
  </si>
  <si>
    <t>Implantação do sistema de monitoramento online de vibração da EOL Coxilha Negra 3 - AEG02</t>
  </si>
  <si>
    <t>ESUL.00014.049</t>
  </si>
  <si>
    <t>SGEO00040300003001</t>
  </si>
  <si>
    <t>Implantação do sistema de monitoramento online de vibração da EOL Coxilha Negra 3 - AEG03</t>
  </si>
  <si>
    <t>ESUL.00014.050</t>
  </si>
  <si>
    <t>SGEO00040300004001</t>
  </si>
  <si>
    <t>Implantação do sistema de monitoramento online de vibração da EOL Coxilha Negra 3 - AEG04</t>
  </si>
  <si>
    <t>ESUL.00014.051</t>
  </si>
  <si>
    <t>SGEO00040300005001</t>
  </si>
  <si>
    <t>Implantação do sistema de monitoramento online de vibração da EOL Coxilha Negra 3 - AEG05</t>
  </si>
  <si>
    <t>ESUL.00014.052</t>
  </si>
  <si>
    <t>SGEO00040300006001</t>
  </si>
  <si>
    <t>Implantação do sistema de monitoramento online de vibração da EOL Coxilha Negra 3 - AEG06</t>
  </si>
  <si>
    <t>ESUL.00014.053</t>
  </si>
  <si>
    <t>SGEO00040300007001</t>
  </si>
  <si>
    <t>Implantação do sistema de monitoramento online de vibração da EOL Coxilha Negra 3 - AEG07</t>
  </si>
  <si>
    <t>ESUL.00014.054</t>
  </si>
  <si>
    <t>SGEO00040300008001</t>
  </si>
  <si>
    <t>Implantação do sistema de monitoramento online de vibração da EOL Coxilha Negra 3 - AEG08</t>
  </si>
  <si>
    <t>ESUL.00014.055</t>
  </si>
  <si>
    <t>SGEO00040300009001</t>
  </si>
  <si>
    <t>Implantação do sistema de monitoramento online de vibração da EOL Coxilha Negra 3 - AEG09</t>
  </si>
  <si>
    <t>ESUL.00014.056</t>
  </si>
  <si>
    <t>SGEO00040300010001</t>
  </si>
  <si>
    <t>Implantação do sistema de monitoramento online de vibração da EOL Coxilha Negra 3 - AEG10</t>
  </si>
  <si>
    <t>ESUL.00014.057</t>
  </si>
  <si>
    <t>SGEO00040300011001</t>
  </si>
  <si>
    <t>Implantação do sistema de monitoramento online de vibração da EOL Coxilha Negra 3 - AEG11</t>
  </si>
  <si>
    <t>ESUL.00014.058</t>
  </si>
  <si>
    <t>SGEO00040300012001</t>
  </si>
  <si>
    <t>Implantação do sistema de monitoramento online de vibração da EOL Coxilha Negra 3 - AEG12</t>
  </si>
  <si>
    <t>ESUL.00014.059</t>
  </si>
  <si>
    <t>SGEO00040300013001</t>
  </si>
  <si>
    <t>Implantação do sistema de monitoramento online de vibração da EOL Coxilha Negra 3 - AEG13</t>
  </si>
  <si>
    <t>ESUL.00014.060</t>
  </si>
  <si>
    <t>SGEO00040300014001</t>
  </si>
  <si>
    <t>Implantação do sistema de monitoramento online de vibração da EOL Coxilha Negra 3 - AEG14</t>
  </si>
  <si>
    <t>ESUL.00014.061</t>
  </si>
  <si>
    <t>SGEO00040300015001</t>
  </si>
  <si>
    <t>Implantação do sistema de monitoramento online de vibração da EOL Coxilha Negra 3 - AEG15</t>
  </si>
  <si>
    <t>ESUL.00014.062</t>
  </si>
  <si>
    <t>SGEO00040300016001</t>
  </si>
  <si>
    <t>Implantação do sistema de monitoramento online de vibração da EOL Coxilha Negra 3 - AEG16</t>
  </si>
  <si>
    <t>ESUL.00014.063</t>
  </si>
  <si>
    <t>SGEO00040300017001</t>
  </si>
  <si>
    <t>Implantação do sistema de monitoramento online de vibração da EOL Coxilha Negra 3 - AEG17</t>
  </si>
  <si>
    <t>ESUL.00014.064</t>
  </si>
  <si>
    <t>SGEO00040300018001</t>
  </si>
  <si>
    <t>Implantação do sistema de monitoramento online de vibração da EOL Coxilha Negra 3 - AEG18</t>
  </si>
  <si>
    <t>ESUL.00014.065</t>
  </si>
  <si>
    <t>SGEO00040300019001</t>
  </si>
  <si>
    <t>Implantação do sistema de monitoramento online de vibração da EOL Coxilha Negra 3 - AEG19</t>
  </si>
  <si>
    <t>ESUL.00014.066</t>
  </si>
  <si>
    <t>SGEO00040300020001</t>
  </si>
  <si>
    <t>Implantação do sistema de monitoramento online de vibração da EOL Coxilha Negra 3 - AEG20</t>
  </si>
  <si>
    <t>ESUL.00014.067</t>
  </si>
  <si>
    <t>SGEO00040300021001</t>
  </si>
  <si>
    <t>Implantação do sistema de monitoramento online de vibração da EOL Coxilha Negra 3 - AEG21</t>
  </si>
  <si>
    <t>ESUL.00014.068</t>
  </si>
  <si>
    <t>SGEO00040300022001</t>
  </si>
  <si>
    <t>Implantação do sistema de monitoramento online de vibração da EOL Coxilha Negra 3 - AEG22</t>
  </si>
  <si>
    <t>ESUL.00014.069</t>
  </si>
  <si>
    <t>SGEO00040300023001</t>
  </si>
  <si>
    <t>Implantação do sistema de monitoramento online de vibração da EOL Coxilha Negra 3 - AEG23</t>
  </si>
  <si>
    <t>ESUL.00014.070</t>
  </si>
  <si>
    <t>SGEO00040300024001</t>
  </si>
  <si>
    <t>Implantação do sistema de monitoramento online de vibração da EOL Coxilha Negra 3 - AEG24</t>
  </si>
  <si>
    <t>ESUL.00014.071</t>
  </si>
  <si>
    <t>SGEO00040300025001</t>
  </si>
  <si>
    <t>Implantação do sistema de monitoramento online de vibração da EOL Coxilha Negra 3 - AEG25</t>
  </si>
  <si>
    <t>ESUL.00014.072</t>
  </si>
  <si>
    <t>SGEO00040300026001</t>
  </si>
  <si>
    <t>Aquisição das CPUs para a unidade de aquisição e controle do vertedouro (UACVT) na UHE Passo São João</t>
  </si>
  <si>
    <t>Aquisição de CPUs para as unidade de aquisição e controle do vertedouro (UACVT), última versão, para elevar a quantidade de sobressalentes disponíveis de 1 unidade para 3 unidades do modelo da CPU instalada (10 uni), que está com fabricação descontinuada</t>
  </si>
  <si>
    <t>OOGRS</t>
  </si>
  <si>
    <t>ESUL.00048.001</t>
  </si>
  <si>
    <t>Lucas da Silva Reis</t>
  </si>
  <si>
    <t>Substituição das CPUs da UACVT, upgrade de firmware nas CPUs antigas, instalação e configuração dos softwares com apoio de empresa especializada e fornecimento de notebook com softwares licenciados na UHE Passo São João</t>
  </si>
  <si>
    <t>Serviço de instalação das CPUs das unidade de aquisição e controle do vertedouro (UACVT), última versão, e compatibilização dos projetos com a novas CPUs e softwares Realização de upgrade nos softwares de manipulação das CPUs antigas e firmware, padronizando os softwares e sistema operacional Fornecimento de notebook com softwares licenciados</t>
  </si>
  <si>
    <t>ESUL.00048.002</t>
  </si>
  <si>
    <t>Aquisição das CPUs da unidade de aquisição e controle do vertedouro (UACVT) na UHE São Domingos</t>
  </si>
  <si>
    <t>Aquisição de CPUs para as unidade de aquisição e controle do vertedouro (QUACVRT), última versão, para elevar a quantidade de sobressalentes disponíveis de 1 unidade para 3 unidades da CPU instalada, total de 10, que está com fabricação descontinuada</t>
  </si>
  <si>
    <t>ESUL.00049.001</t>
  </si>
  <si>
    <t>Substituição das CPUs da QUACVRT, upgrade de firmware nas CPUs antigas, instalação e configuração dos softwares com apoio de empresa especializada e fornecimento de notebook com softwares licenciados na UHE São Domingos</t>
  </si>
  <si>
    <t>Serviço de instalação das CPUs das unidade de aquisição e controle do vertedouro (QUACVRT), última versão, e compatibilização dos projetos com a novas CPUs e softwares Realização de upgrade nos softwares de manipulação das CPUs antigas e firmware, padronizando os softwares e sistema operacional Fornecimento de notebook com softwares licenciados</t>
  </si>
  <si>
    <t>ESUL.00049.002</t>
  </si>
  <si>
    <t>Aquisição de trocador de calor 1 da unidade hidráulica de lubrificação dos mancais da UG1 na UHE São Domingos</t>
  </si>
  <si>
    <t xml:space="preserve">Aquisição  do trocador de calor para a unidade hidráulica de lubrificação dos mancais </t>
  </si>
  <si>
    <t>ESUL.00050.001</t>
  </si>
  <si>
    <t>Substituição do trocador de calor 1 da unidade hidráulica de lubrificação dos mancais da UG1 na UHE São Domingos</t>
  </si>
  <si>
    <t>Contratação de serviço de empresa especializada para substituição do trocador de calor São necessárias modificações nas tubulações e conexões, levando em conta que o trocador ficará instalado ao lado do tanque sem pressão</t>
  </si>
  <si>
    <t>ESUL.00050.002</t>
  </si>
  <si>
    <t>Aquisição de trocador de calor 2 da unidade hidráulica de lubrificação dos mancais da UG1 na UHE São Domingos</t>
  </si>
  <si>
    <t>ESUL.00050.003</t>
  </si>
  <si>
    <t>Substituição do trocador de calor 2 da unidade hidráulica de lubrificação dos mancais da UG1 na UHE São Domingos</t>
  </si>
  <si>
    <t>ESUL.00050.004</t>
  </si>
  <si>
    <t>Aquisição de trocador de calor 1 da unidade hidráulica de lubrificação dos mancais da UG2 na UHE São Domingos</t>
  </si>
  <si>
    <t>ESUL.00050.005</t>
  </si>
  <si>
    <t>Substituição do trocador de calor 1 da unidade hidráulica de lubrificação dos mancais da UG2 na UHE São Domingos</t>
  </si>
  <si>
    <t>ESUL.00050.006</t>
  </si>
  <si>
    <t>Aquisição de trocador de calor 2 da unidade hidráulica de lubrificação dos mancais da UG2 na UHE São Domingos</t>
  </si>
  <si>
    <t>ESUL.00050.007</t>
  </si>
  <si>
    <t>Substituição do trocador de calor 2 da unidade hidráulica de lubrificação dos mancais da UG2 na UHE São Domingos</t>
  </si>
  <si>
    <t>ESUL.00050.008</t>
  </si>
  <si>
    <t>Aquisição de motor sobressalente para o sistema de água de resfriamento das UGs na UHE Passo São João</t>
  </si>
  <si>
    <t>Aquisição de equipamento sobressalente</t>
  </si>
  <si>
    <t>ESUL.00051.001</t>
  </si>
  <si>
    <t>Aquisição de bomba sobressalente para o sistema de água de resfriamento das UGs na UHE Passo São João</t>
  </si>
  <si>
    <t>ESUL.00051.002</t>
  </si>
  <si>
    <t>Aquisição de bomba sobressalente para o sistema de lubrificação dos mancais na UHE Passo São João</t>
  </si>
  <si>
    <t>ESUL.00051.003</t>
  </si>
  <si>
    <t>Aquisição de motobomba sobressalente  para o sistema de drenagem da casa de força na UHE Passo São João</t>
  </si>
  <si>
    <t>ESUL.00051.004</t>
  </si>
  <si>
    <t>Aquisição da Unidade de Supervisão e Controle Automático (USCA) sobressalente para o gerador de emergência na UHE Passo São João</t>
  </si>
  <si>
    <t>ESUL.00051.005</t>
  </si>
  <si>
    <t>Aquisição de bombas reservas para a motobomba do distribuidor da unidade hidráulica do regulador de velocidade na UHE Passo São João</t>
  </si>
  <si>
    <t>ESUL.00051.006</t>
  </si>
  <si>
    <t>Aquisição de bombas reservas para a motobomba  kaplan da unidade hidráulica do regulador de velocidade</t>
  </si>
  <si>
    <t>ESUL.00051.007</t>
  </si>
  <si>
    <t>Aquisição de um registrador digital de pertubações (RDP) sobressalente na UHE Passo São João</t>
  </si>
  <si>
    <t>ESUL.00051.008</t>
  </si>
  <si>
    <t>Aquisição das CPUs sobressalentes para as unidades de aquisição e controle (UAC) na UHE Passo São João</t>
  </si>
  <si>
    <t>ESUL.00051.009</t>
  </si>
  <si>
    <t>Aquisição de motobomba sobressalente  para o sistema de drenagem da casa de força na UHE São Domingos</t>
  </si>
  <si>
    <t>UHE Passo São Domingos</t>
  </si>
  <si>
    <t>ESUL.00052.001</t>
  </si>
  <si>
    <t>Aquisição de USCA sobressalente para o gerador de emergência na UHE São Domingos</t>
  </si>
  <si>
    <t>ESUL.00052.002</t>
  </si>
  <si>
    <t>Relé de proteção do gerador sobressalente da UG na PCH João Borges</t>
  </si>
  <si>
    <t>ESUL.00053.001</t>
  </si>
  <si>
    <t xml:space="preserve">Aquisição de motobomba sobressalente  para o sistema de drenagem da casa de força </t>
  </si>
  <si>
    <t>ESUL.00053.002</t>
  </si>
  <si>
    <t>Aquisição de motobomba sobressalente  para o sistema de esgotamento da casa de força</t>
  </si>
  <si>
    <t>ESUL.00053.003</t>
  </si>
  <si>
    <t>Aquisição de bombas sobressalente para a unidade hidráulica do regulador de velocidade</t>
  </si>
  <si>
    <t>ESUL.00053.004</t>
  </si>
  <si>
    <t>Aquisição de motor sobressalente para a unidade hidráulica do regulador de velocidade</t>
  </si>
  <si>
    <t>ESUL.00053.005</t>
  </si>
  <si>
    <t>Aquisição de bombas sobressalente para a unidade hidráulica de lubrificação dos mancais</t>
  </si>
  <si>
    <t>ESUL.00053.006</t>
  </si>
  <si>
    <t>Aquisição de motor sobressalente para a unidade hidráulicade lubrificação dos mancais</t>
  </si>
  <si>
    <t>ESUL.00053.007</t>
  </si>
  <si>
    <t>Aquisição de CPU sobresalente para a unidade de aquisição e controle das UGs</t>
  </si>
  <si>
    <t>ESUL.00054.001</t>
  </si>
  <si>
    <t>ESUL.00054.002</t>
  </si>
  <si>
    <t>ESUL.00054.003</t>
  </si>
  <si>
    <t>ESUL.00054.004</t>
  </si>
  <si>
    <t>ESUL.00054.005</t>
  </si>
  <si>
    <t>Aquisição dos painéis de comando e força, além de instrumentação do sistemas de drenagem e esgotamento na PCH João Borges</t>
  </si>
  <si>
    <t>Aquisição e instalação de novos painéis de comando para o sistema de drenagem e esgotamento</t>
  </si>
  <si>
    <t>ESUL.00060.001</t>
  </si>
  <si>
    <t>Serviço de instalação e testes dos novos painéis de comando e força, e também instrumentação do sistemas de drenagem e esgotamento na PCH João Borges</t>
  </si>
  <si>
    <t>ESUL.00060.002</t>
  </si>
  <si>
    <t>Aquisição de relé de proteção sobressalente para UHE Passo São João</t>
  </si>
  <si>
    <t>ESUL.00061.001</t>
  </si>
  <si>
    <t>Contratação de serviço de engenharia para elaboração da aplicação (projeto) para a nova versão do relé com base na aplicação dos relés em operação na UHE Passo São João</t>
  </si>
  <si>
    <t xml:space="preserve">Compatibilização do projeto atual embarcado no relé de proteção com o novo relé Upgrade do software </t>
  </si>
  <si>
    <t>ESUL.00061.002</t>
  </si>
  <si>
    <t>Aquisição de relé de proteção sobressalente UHE São Domingos</t>
  </si>
  <si>
    <t>ESUL.00062.001</t>
  </si>
  <si>
    <t>Contratação de serviço de engenharia para elaboração da aplicação (projeto) para a nova versão do relé com base na aplicação dos relés em operação na UHE São Domingos</t>
  </si>
  <si>
    <t>ESUL.00062.002</t>
  </si>
  <si>
    <t>Modernização do Sistema de Detecção e Alarme de Incêndio das Unidades Geradores UG1 - UHSD</t>
  </si>
  <si>
    <t xml:space="preserve">Efetuar a substituição geral do sistema de detecção e alarme do Sistema Anti-incêndio dos geradores das unidades UG1 e UG2 da Usina Hidrelétrica São Domingos </t>
  </si>
  <si>
    <t>ESUL.00081.001</t>
  </si>
  <si>
    <t>Pietro Leonardo Heinsch Griotti</t>
  </si>
  <si>
    <t>Modernização do Sistema de Detecção e Alarme de Incêndio das Unidades Geradores UG2 - UHSD</t>
  </si>
  <si>
    <t>ESUL.00081.002</t>
  </si>
  <si>
    <t>Aquisição de 6 cubículos de 34,5 kV para acomodação de pára-raios</t>
  </si>
  <si>
    <t>Construção de cubículo com para-raios ECSE-01</t>
  </si>
  <si>
    <t>ESUL.00045.001</t>
  </si>
  <si>
    <t>Construção de cubículo com para-raios ECSE-02</t>
  </si>
  <si>
    <t>ESUL.00045.002</t>
  </si>
  <si>
    <t>Construção de cubículo com para-raios ECSE-06</t>
  </si>
  <si>
    <t>ESUL.00045.003</t>
  </si>
  <si>
    <t>Construção de cubículo com para-raios ECSE-10</t>
  </si>
  <si>
    <t>ESUL.00045.004</t>
  </si>
  <si>
    <t>Construção de cubículo com para-raios ECSE-14</t>
  </si>
  <si>
    <t>ESUL.00045.005</t>
  </si>
  <si>
    <t>Construção de cubículo com para-raios ECIN-01</t>
  </si>
  <si>
    <t>ESUL.00084.001</t>
  </si>
  <si>
    <t>Aquisição de 2 carregadores de baterias para UHJB</t>
  </si>
  <si>
    <t>ESUL.00047.001</t>
  </si>
  <si>
    <t>Diogo César Coelho</t>
  </si>
  <si>
    <t>ESUL.00047.002</t>
  </si>
  <si>
    <t>Substituição das baterias da UHPJ</t>
  </si>
  <si>
    <t>Bateria 1 - CFR - 125 Vcc</t>
  </si>
  <si>
    <t>ESUL.00082.001</t>
  </si>
  <si>
    <t>Bateria 2 - CFR - 125 Vcc</t>
  </si>
  <si>
    <t>ESUL.00082.002</t>
  </si>
  <si>
    <t>Bateria 1 - CFR - 48 Vcc</t>
  </si>
  <si>
    <t>ESUL.00082.003</t>
  </si>
  <si>
    <t>Bateria 2 - CFR - 48 Vcc</t>
  </si>
  <si>
    <t>ESUL.00082.004</t>
  </si>
  <si>
    <t>Bateria 1 - VRT - 125 Vcc</t>
  </si>
  <si>
    <t>ESUL.00082.005</t>
  </si>
  <si>
    <t>Substituição das baterias da UHSD</t>
  </si>
  <si>
    <t>ESUL.00085.001</t>
  </si>
  <si>
    <t>ESUL.00085.002</t>
  </si>
  <si>
    <t>ESUL.00085.003</t>
  </si>
  <si>
    <t>ESUL.00085.004</t>
  </si>
  <si>
    <t>ESUL.00085.005</t>
  </si>
  <si>
    <t>Substituição das baterias da UHJB</t>
  </si>
  <si>
    <t>ESUL.00086.001</t>
  </si>
  <si>
    <t>ESUL.00086.002</t>
  </si>
  <si>
    <t>Substituição das baterias da UHBC</t>
  </si>
  <si>
    <t>ESUL.00087.001</t>
  </si>
  <si>
    <t>ESUL.00087.002</t>
  </si>
  <si>
    <t>Substituição de todas as baterias do MegaWattSolar</t>
  </si>
  <si>
    <t>Aquisição de baterias para substituição do Megawattsolar</t>
  </si>
  <si>
    <t>UFV MegaWatt Solar</t>
  </si>
  <si>
    <t>ESUL.00083.001</t>
  </si>
  <si>
    <t>ESUL.00083.002</t>
  </si>
  <si>
    <t>Projeto 13 - Domus - Automação de instrumentação</t>
  </si>
  <si>
    <t>Automatização de instrumentos de monitoramento da barragem</t>
  </si>
  <si>
    <t>OOMBS</t>
  </si>
  <si>
    <t>ESUL.00076.001</t>
  </si>
  <si>
    <t>Nathan André Oliveira Socha</t>
  </si>
  <si>
    <t>Gestão interna do projeto</t>
  </si>
  <si>
    <t>ESUL.00076.002</t>
  </si>
  <si>
    <t>UHJB - Automatização Instrumentos SB</t>
  </si>
  <si>
    <t>Automatização Instrumentos SB</t>
  </si>
  <si>
    <t>Solução para melhoria do MV-06</t>
  </si>
  <si>
    <t>Solução para melhoria do MV-06 UHSD</t>
  </si>
  <si>
    <t>ESUL.00078</t>
  </si>
  <si>
    <t>Eólicas - Automatização Instrumentos</t>
  </si>
  <si>
    <t>Automatização Instrumentos</t>
  </si>
  <si>
    <t>PECN - Coxilha Negra 2</t>
  </si>
  <si>
    <t>PECN - Coxilha Negra 3</t>
  </si>
  <si>
    <t>PECN - Coxilha Negra 4</t>
  </si>
  <si>
    <t>CAPEX 2024 - Sistema de sinalização de massa Sirenes UHPJ</t>
  </si>
  <si>
    <t>Instalação de sirenes de evacuação de área ZAS - PAE</t>
  </si>
  <si>
    <t>ESUL.00071.001</t>
  </si>
  <si>
    <t>COO1325</t>
  </si>
  <si>
    <t>CAPEX 2024 - Sistema de sinalização de massa Sirenes UHBC</t>
  </si>
  <si>
    <t>ESUL.00070.001</t>
  </si>
  <si>
    <t>COO1324</t>
  </si>
  <si>
    <t>CAPEX 2025 - Instrumentos PZs Elétricos Fundação CCR</t>
  </si>
  <si>
    <t>Instalação Instrumentos Elétricos na Barragem</t>
  </si>
  <si>
    <t>ESUL.00073</t>
  </si>
  <si>
    <t>COO1351</t>
  </si>
  <si>
    <t>Sistema de monitoramento de Vibrações</t>
  </si>
  <si>
    <t>Análise preditiva da condição do ativo</t>
  </si>
  <si>
    <t>ESUL.00092</t>
  </si>
  <si>
    <t>Substituição de Retificador (Carregador de Baterias) - 48 Vcc - SACC48 - RET1 na SE CCH Capacidade do novo equipamento:</t>
  </si>
  <si>
    <t>Equipamento apresenta elevada taxa de falhas e baixo número de sobressalentes Fabricante não fornece sobressalentes, somente retrofit do sistema</t>
  </si>
  <si>
    <t>OOMIS</t>
  </si>
  <si>
    <t>ESUL.00089.001</t>
  </si>
  <si>
    <t>Doris Kühlkamp de Barros</t>
  </si>
  <si>
    <t>Substituição de Retificador (Carregador de Baterias) - 125 Vcc - SACC125 - RET1 na SE CCH Capacidade do novo equipamento:</t>
  </si>
  <si>
    <t>ESUL.00089.002</t>
  </si>
  <si>
    <t>Substituição de Retificador (Carregador de Baterias) - 125 Vcc - SACC125 - RET2 na SE CCH Capacidade do novo equipamento:</t>
  </si>
  <si>
    <t>ESUL.00089.003</t>
  </si>
  <si>
    <t>Equipamento com degradação de desempenho, baixa confiabilidade e sem sobressalente</t>
  </si>
  <si>
    <t>ESUL.00089.004</t>
  </si>
  <si>
    <t>ESUL.00089.005</t>
  </si>
  <si>
    <t>Aquisição de motobomba submersa sobressalente para o sistema de drenagem do vertedouro</t>
  </si>
  <si>
    <t>Necessidade de aquisição de motobomba sobressalente devido a importância do equipamento para as instalações</t>
  </si>
  <si>
    <t>ESUL.00090.001</t>
  </si>
  <si>
    <t>Aquisição das CPUs sobressalentes para as unidades de aquisição e controle (UAC) na UHE São Domingos</t>
  </si>
  <si>
    <t>Necessidade de aquisição de CPU sobressalente devido a importância do equipamento para as instalações</t>
  </si>
  <si>
    <t>ESUL.00091.001</t>
  </si>
  <si>
    <t>Substituição de Disjuntor tripolar 34,5kV, DJ212, referente ao TR 138/34KV TR1 na SE  ITR</t>
  </si>
  <si>
    <t>Substituição de Disjuntor tripolar 34,5kV, DJ212, referente ao TR 138/34KV TR1 na SE  ITR. Associado à obra são esperadas substituições/adaptações de fundações, suportes, cabos de controle/potência, barramento, conectores e conexão de aterramento.</t>
  </si>
  <si>
    <t>SE Itararé</t>
  </si>
  <si>
    <t>ESUL.00088.001</t>
  </si>
  <si>
    <t>Descrição da Instalação</t>
  </si>
  <si>
    <t>Descrição Resumida</t>
  </si>
  <si>
    <t>Risco</t>
  </si>
  <si>
    <t>Status</t>
  </si>
  <si>
    <t>2025-2029</t>
  </si>
  <si>
    <t>Modernização Completa da UHE Luiz Gonzaga</t>
  </si>
  <si>
    <t>Moderado</t>
  </si>
  <si>
    <t>Crítico</t>
  </si>
  <si>
    <t>Modernização Completa da UHE Sobradinho</t>
  </si>
  <si>
    <t>UHE Paulo Afonto IV</t>
  </si>
  <si>
    <t>Modernização Completa da UHE Paulo Afonso IV</t>
  </si>
  <si>
    <t>Modernização Completa da UHE Porto Colômbia</t>
  </si>
  <si>
    <t>Reforma Geradores 01,03,05,07,09 da UHE Tucurui</t>
  </si>
  <si>
    <t>Diversas UHE</t>
  </si>
  <si>
    <t>Modernização dos Equipamentos de Elevação de diversas usinas da Chesf</t>
  </si>
  <si>
    <t>Aquisição de 02 conjuntos de comportas de manutenção para a UHE Tucuruí</t>
  </si>
  <si>
    <t>Revitalização de transformador para a UHE Tucurui</t>
  </si>
  <si>
    <t>Sistemas de Monitoramento para Transformadores</t>
  </si>
  <si>
    <t>Rótulos de Linha</t>
  </si>
  <si>
    <t>Soma de 2026</t>
  </si>
  <si>
    <t>Soma de 2027</t>
  </si>
  <si>
    <t>Soma de 2028</t>
  </si>
  <si>
    <t>Soma de 2029</t>
  </si>
  <si>
    <t>Soma de 2030</t>
  </si>
  <si>
    <t>Soma de 2026-2030</t>
  </si>
  <si>
    <t>Nova Demanda</t>
  </si>
  <si>
    <t>Reajuste</t>
  </si>
  <si>
    <t>RC não emitida</t>
  </si>
  <si>
    <t>Total Geral</t>
  </si>
  <si>
    <t>Status por VP</t>
  </si>
  <si>
    <t>AGCGNO</t>
  </si>
  <si>
    <t>AGMGNO</t>
  </si>
  <si>
    <t>AGVA</t>
  </si>
  <si>
    <t>ATMTLN</t>
  </si>
  <si>
    <t>ATMTSN</t>
  </si>
  <si>
    <t>OO LAGF</t>
  </si>
  <si>
    <t>OOGT.N</t>
  </si>
  <si>
    <t>#N/D</t>
  </si>
  <si>
    <t>(Vários itens)</t>
  </si>
  <si>
    <t>Contagem de ID</t>
  </si>
  <si>
    <t>Grupo 1</t>
  </si>
  <si>
    <t>Grupo 2</t>
  </si>
  <si>
    <t>Grupo 3</t>
  </si>
  <si>
    <t>Grupo 4</t>
  </si>
  <si>
    <t>Grupo 5</t>
  </si>
  <si>
    <t>Soma de 2029-2030</t>
  </si>
  <si>
    <t>Grandes projetos</t>
  </si>
  <si>
    <t>A definir</t>
  </si>
  <si>
    <t>Frederico Rodolfo Parente Doerner</t>
  </si>
  <si>
    <t>Murilo Mascarenhas Menezes</t>
  </si>
  <si>
    <t>Wandre Matos De Medeiros</t>
  </si>
  <si>
    <t>Daniel Branquinho Ferreira</t>
  </si>
  <si>
    <t>Gilton Carlos De Andrade</t>
  </si>
  <si>
    <t>Fernanda Baracho Dourado Madureira</t>
  </si>
  <si>
    <t>Romulo Cesar Pereira e cordenadores das demais usinas</t>
  </si>
  <si>
    <t>Klenio Dias Timoteo</t>
  </si>
  <si>
    <t>Carlos Henrique Oliveira Da Rocha</t>
  </si>
  <si>
    <t>NSTC.0044</t>
  </si>
  <si>
    <t>João André Peixoto De Souza</t>
  </si>
  <si>
    <t>PEP</t>
  </si>
  <si>
    <t>Descrição</t>
  </si>
  <si>
    <t>PA|UHE TUCURUÍ|SISTEMA DE RESFRIAMENTO</t>
  </si>
  <si>
    <t>UHTU- MODERNIZAÇÃO DE SISTEMAS DA USINA</t>
  </si>
  <si>
    <t>GERHID|RVA|MONIT.BUCHA</t>
  </si>
  <si>
    <t>UHTU|Aquisição Pórtico de Tomada D’agua</t>
  </si>
  <si>
    <t>UHTU | REFORMA GIS SF6</t>
  </si>
  <si>
    <t>UHE TUCURUI - Substituição de 4 Módulos</t>
  </si>
  <si>
    <t>OO|MODERN|UHTU|UGH-19 Barramento 13,8kv</t>
  </si>
  <si>
    <t>OO#SEG#G#UHTU# Revit. comporta VT17</t>
  </si>
  <si>
    <t>UHTU|TRANSFORMADOR ELEVADOR CF1</t>
  </si>
  <si>
    <t>OOM Modern. G PP 2025</t>
  </si>
  <si>
    <t>OOG Modern. G PP 2025</t>
  </si>
  <si>
    <t>OO#MAN#G#UHTU#Sistem Injeção hipoclorito</t>
  </si>
  <si>
    <t>OO#MOD#G#UHSM#Regulador Velocidad Tensão</t>
  </si>
  <si>
    <t>PA#RO#CURVA CAV UHE TUCURUI E UHE SAMUEL</t>
  </si>
  <si>
    <t>Em negociação</t>
  </si>
  <si>
    <t>Não iniciado</t>
  </si>
  <si>
    <t>RC aprovada</t>
  </si>
  <si>
    <t>TR em elaboração</t>
  </si>
  <si>
    <t>Demana candidata geração</t>
  </si>
  <si>
    <t>sem segurança de barragem</t>
  </si>
  <si>
    <t>Valor proposto via demanda candidata</t>
  </si>
  <si>
    <t>Detalhamento</t>
  </si>
  <si>
    <t>Valor 2026</t>
  </si>
  <si>
    <t>%</t>
  </si>
  <si>
    <t>Contratado/reajuste</t>
  </si>
  <si>
    <t>Sem requisição</t>
  </si>
  <si>
    <t>Valor reduzido</t>
  </si>
  <si>
    <t>1 rodada de redução</t>
  </si>
  <si>
    <t>2 rodada de redução</t>
  </si>
  <si>
    <t>Meta de redução 35%</t>
  </si>
  <si>
    <t>Redução SPCS+</t>
  </si>
  <si>
    <t>Curva ajustada SPCS</t>
  </si>
  <si>
    <t>Doc.compras</t>
  </si>
  <si>
    <t>Nome Fornecedor</t>
  </si>
  <si>
    <t>HYDAC TECNOLOGIA LTDA</t>
  </si>
  <si>
    <t>IMBIL IND E MAN DE BOMBAS ITA LTDA</t>
  </si>
  <si>
    <t>TREETECH TECNOLOGIA</t>
  </si>
  <si>
    <t>OPEMACS SERVICOS TECNICOS LTDA</t>
  </si>
  <si>
    <t>HITACHI ENERGY BRASIL LTDA</t>
  </si>
  <si>
    <t>GRID SOLUTIONS TRANSMISSAO DE ENERG</t>
  </si>
  <si>
    <t>MEGATRANZ TRANSPORTES</t>
  </si>
  <si>
    <t>POWERBUS EQUIPAMENTOS ELETRICOS</t>
  </si>
  <si>
    <t>INNOVATIVE WATER CARE IND E COM DE</t>
  </si>
  <si>
    <t>VOITH HYDRO</t>
  </si>
  <si>
    <t>BARDELLA SA INDUSTRIAS MECANICAS EM</t>
  </si>
  <si>
    <t>VALETEL COMERCIO E SERVICOS LTDA</t>
  </si>
  <si>
    <t>REIVAX AUTOMAÇÃO E CONTROLE LTDA</t>
  </si>
  <si>
    <t>ELECTRISA SOLUCOES EM ENERGIA LTDA</t>
  </si>
  <si>
    <t>ENERGIA CONSULT ENGENHARIA CONSULTE</t>
  </si>
  <si>
    <t>RTS INDUSTRIA E COMERCIO DE VALVULA</t>
  </si>
  <si>
    <t>SAUER DO BRASIL INDUSTRIA COMERCIO</t>
  </si>
  <si>
    <t>ALPHA MARKTEC MATERIAIS ELETRICOS L</t>
  </si>
  <si>
    <t>SIEMENS ENERGY BRASIL LTDA</t>
  </si>
  <si>
    <t>V MARQUES DA SILVA LTDA</t>
  </si>
  <si>
    <t>Categoria Cise2</t>
  </si>
  <si>
    <t>Subcategoria CISE3</t>
  </si>
  <si>
    <t>Coletor de Custo4</t>
  </si>
  <si>
    <t>Contrato/Pedido/RC</t>
  </si>
  <si>
    <t>4500080379/4500083678/4600002316</t>
  </si>
  <si>
    <t>Substituição Transformador 550kV UHE Tucuruí (5 trafo)</t>
  </si>
  <si>
    <t>4500078421/3400004035</t>
  </si>
  <si>
    <t>4500080069/4500083678</t>
  </si>
  <si>
    <t>Curva CAV - UHE Tucuruí e UHE Samuel</t>
  </si>
  <si>
    <t>Contrato criado via CSC</t>
  </si>
  <si>
    <t>4500073938/4500078421</t>
  </si>
  <si>
    <t>Não emitido</t>
  </si>
  <si>
    <t>Aquisição de transformador elevador 13,8/230 kV, 59 MVA para a UHE Samuel</t>
  </si>
  <si>
    <t>Ver contrato telecon</t>
  </si>
  <si>
    <t>4500071331-Aditivo</t>
  </si>
  <si>
    <t>Aquisição de DCP para UHE Tucuruí</t>
  </si>
  <si>
    <t>Aquisição de para-raios para a UHE Tucuruí</t>
  </si>
  <si>
    <t>Pedido</t>
  </si>
  <si>
    <t>Contrato</t>
  </si>
  <si>
    <t>ID real</t>
  </si>
  <si>
    <t>COO.NO26.005</t>
  </si>
  <si>
    <t>COO.NO26.008</t>
  </si>
  <si>
    <t>COO.NO26.006</t>
  </si>
  <si>
    <t>COO.NO26.014</t>
  </si>
  <si>
    <t>COO.NO26.052</t>
  </si>
  <si>
    <t>COO.NO26.012</t>
  </si>
  <si>
    <t>COO.NO26.010</t>
  </si>
  <si>
    <t>COO.NO26.009</t>
  </si>
  <si>
    <t>COO.NO26.021</t>
  </si>
  <si>
    <t>COO.NO26.015</t>
  </si>
  <si>
    <t>COO.NO26.011</t>
  </si>
  <si>
    <t>COO.NO26.016</t>
  </si>
  <si>
    <t>COO.NO26.013</t>
  </si>
  <si>
    <t>COO.NO26.059</t>
  </si>
  <si>
    <t>COO.NO26.018</t>
  </si>
  <si>
    <t>COO.NO26.017</t>
  </si>
  <si>
    <t>COO.NO26.079</t>
  </si>
  <si>
    <t>COO.NO26.083</t>
  </si>
  <si>
    <t>COO.NO26.019</t>
  </si>
  <si>
    <t>COO.NO26.094</t>
  </si>
  <si>
    <t>COO.NO26.060</t>
  </si>
  <si>
    <t>COO.NO26.029</t>
  </si>
  <si>
    <t>COO.NO26.003</t>
  </si>
  <si>
    <t>COO.NO26.028</t>
  </si>
  <si>
    <t>COO.NO26.020</t>
  </si>
  <si>
    <t>COO.NO26.022</t>
  </si>
  <si>
    <t>COO.NO26.050</t>
  </si>
  <si>
    <t>COO.NO26.092</t>
  </si>
  <si>
    <t>COO.NO26.093</t>
  </si>
  <si>
    <t>COO.NO26.066</t>
  </si>
  <si>
    <t>COO.NO26.102</t>
  </si>
  <si>
    <t>COO.NO26.023</t>
  </si>
  <si>
    <t>COO.NO26.024</t>
  </si>
  <si>
    <t>COO.NO26.105</t>
  </si>
  <si>
    <t>COO.NO26.106</t>
  </si>
  <si>
    <t>COO.NO26.096</t>
  </si>
  <si>
    <t>COO.NO26.039</t>
  </si>
  <si>
    <t>COO.NO26.042</t>
  </si>
  <si>
    <t>COO.NO26.095</t>
  </si>
  <si>
    <t>COO.NO26.076</t>
  </si>
  <si>
    <t>COO.NO26.031</t>
  </si>
  <si>
    <t>COO.NO26.037</t>
  </si>
  <si>
    <t>COO.NO26.068</t>
  </si>
  <si>
    <t>COO.NO26.032</t>
  </si>
  <si>
    <t>COO.NO26.088</t>
  </si>
  <si>
    <t>COO.NO26.087</t>
  </si>
  <si>
    <t>COO.NO26.030</t>
  </si>
  <si>
    <t>COO.NO26.027</t>
  </si>
  <si>
    <t>COO.NO26.033</t>
  </si>
  <si>
    <t>COO.NO26.058</t>
  </si>
  <si>
    <t>COO.NO26.064</t>
  </si>
  <si>
    <t>COO.NO26.004</t>
  </si>
  <si>
    <t>COO.NO26.069</t>
  </si>
  <si>
    <t>COO.NO26.036</t>
  </si>
  <si>
    <t>COO.NO26.084</t>
  </si>
  <si>
    <t>COO.NO26.103</t>
  </si>
  <si>
    <t>COO.NO26.034</t>
  </si>
  <si>
    <t>COO.NO26.007</t>
  </si>
  <si>
    <t>COO.NO26.045</t>
  </si>
  <si>
    <t>COO.NO26.040</t>
  </si>
  <si>
    <t>COO.NO26.025</t>
  </si>
  <si>
    <t>COO.NO26.026</t>
  </si>
  <si>
    <t>COO.NO26.048</t>
  </si>
  <si>
    <t>COO.NO26.047</t>
  </si>
  <si>
    <t>COO.NO26.038</t>
  </si>
  <si>
    <t>COO.NO26.002</t>
  </si>
  <si>
    <t>COO.NO26.044</t>
  </si>
  <si>
    <t>COO.NO26.104</t>
  </si>
  <si>
    <t>COO.NO26.097</t>
  </si>
  <si>
    <t>COO.NO26.046</t>
  </si>
  <si>
    <t>COO.NO26.057</t>
  </si>
  <si>
    <t>COO.NO26.049</t>
  </si>
  <si>
    <t>COO.NO26.041</t>
  </si>
  <si>
    <t>COO.NO26.035</t>
  </si>
  <si>
    <t>COO.NO26.098</t>
  </si>
  <si>
    <t>COO.NO26.051</t>
  </si>
  <si>
    <t>COO.NO26.101</t>
  </si>
  <si>
    <t>COO.NO26.001</t>
  </si>
  <si>
    <t>COO.NO26.053</t>
  </si>
  <si>
    <t>COO.NO26.054</t>
  </si>
  <si>
    <t>COO.NO26.055</t>
  </si>
  <si>
    <t>COO.NO26.056</t>
  </si>
  <si>
    <t>COO.NO26.062</t>
  </si>
  <si>
    <t>COO.NO26.061</t>
  </si>
  <si>
    <t>COO.NO26.067</t>
  </si>
  <si>
    <t>COO.NO26.063</t>
  </si>
  <si>
    <t>COO.NO26.070</t>
  </si>
  <si>
    <t>COO.NO26.074</t>
  </si>
  <si>
    <t>COO.NO26.086</t>
  </si>
  <si>
    <t>COO.NO26.077</t>
  </si>
  <si>
    <t>COO.NO26.075</t>
  </si>
  <si>
    <t>COO.NO26.085</t>
  </si>
  <si>
    <t>COO.NO26.082</t>
  </si>
  <si>
    <t>COO.NO26.081</t>
  </si>
  <si>
    <t>COO.NO26.080</t>
  </si>
  <si>
    <t>COO.NO26.078</t>
  </si>
  <si>
    <t>COO.NO26.089</t>
  </si>
  <si>
    <t>COO.NO26.090</t>
  </si>
  <si>
    <t>COO.NO26.071</t>
  </si>
  <si>
    <t>COO.NO26.118</t>
  </si>
  <si>
    <t>COO.NO26.073</t>
  </si>
  <si>
    <t>COO.NO26.091</t>
  </si>
  <si>
    <t>COO.NO26.122</t>
  </si>
  <si>
    <t>COO.NO26.107</t>
  </si>
  <si>
    <t>COO.NO26.123</t>
  </si>
  <si>
    <t>COO.NO26.113</t>
  </si>
  <si>
    <t>COO.NO26.112</t>
  </si>
  <si>
    <t>COO.NO26.120</t>
  </si>
  <si>
    <t>COO.NO26.121</t>
  </si>
  <si>
    <t>COO.NO26.111</t>
  </si>
  <si>
    <t>COO.NO26.109</t>
  </si>
  <si>
    <t>COO.NO26.110</t>
  </si>
  <si>
    <t>COO.NO26.115</t>
  </si>
  <si>
    <t>COO.NO26.114</t>
  </si>
  <si>
    <t>COO.NO26.117</t>
  </si>
  <si>
    <t>COO.NO26.116</t>
  </si>
  <si>
    <t>COO.NO26.119</t>
  </si>
  <si>
    <t>COO.NO26.108</t>
  </si>
  <si>
    <t>COO.NO26.065</t>
  </si>
  <si>
    <t>COO.NO26.072</t>
  </si>
  <si>
    <t>COO.NO26.100</t>
  </si>
  <si>
    <t>COO.NO26.099</t>
  </si>
  <si>
    <t>2026 geral</t>
  </si>
  <si>
    <t>2026 Carga não</t>
  </si>
  <si>
    <t>SAP 04/02/2026</t>
  </si>
  <si>
    <t>Empresa_G_COO_xxxx</t>
  </si>
  <si>
    <t>Tubtotal 2026</t>
  </si>
  <si>
    <t>Total 2026</t>
  </si>
  <si>
    <t>ID real3</t>
  </si>
  <si>
    <t>Coletor de Custo (Carga)</t>
  </si>
  <si>
    <t>PEP SIGEP</t>
  </si>
  <si>
    <t>PEP especifico</t>
  </si>
  <si>
    <t>RC</t>
  </si>
  <si>
    <t>Valor RC</t>
  </si>
  <si>
    <t>Valor Contrato</t>
  </si>
  <si>
    <t>Valor Pedido</t>
  </si>
  <si>
    <t>Objeto</t>
  </si>
  <si>
    <t>Contratada</t>
  </si>
  <si>
    <t>sequencial</t>
  </si>
  <si>
    <t>ID real2</t>
  </si>
  <si>
    <t>GRUPO</t>
  </si>
  <si>
    <t>ID real22</t>
  </si>
  <si>
    <t>De_Para</t>
  </si>
  <si>
    <t>Status CISE</t>
  </si>
  <si>
    <t>Valor original 2026</t>
  </si>
  <si>
    <t>ID real222</t>
  </si>
  <si>
    <t>Descrição do Projeto2</t>
  </si>
  <si>
    <t>SPCS +</t>
  </si>
  <si>
    <t>(PE) Requisitado e Contratado e com ID Financeira</t>
  </si>
  <si>
    <t>Curva reduzida em 83%</t>
  </si>
  <si>
    <t>Suporte técnico a projetos de modernização e reforços da geração.</t>
  </si>
  <si>
    <t>CABO ELÉTRICO 0,75KV 2X2,</t>
  </si>
  <si>
    <t>SUP.TECNICO SPCS</t>
  </si>
  <si>
    <t>TRANSFORMADOR FORÇA</t>
  </si>
  <si>
    <t>Ajustado conforme contrato</t>
  </si>
  <si>
    <t>Denis De Oliveira Neto</t>
  </si>
  <si>
    <t>SUP.TECNICO Trafos TUC</t>
  </si>
  <si>
    <t>Substituição de 4 módulos da subestação blindada SF6 550 kV da CF1.</t>
  </si>
  <si>
    <t>Não alterado</t>
  </si>
  <si>
    <t>SUP.TECNICO TUC.GIS</t>
  </si>
  <si>
    <t>NGHI.0086.01.00001.004</t>
  </si>
  <si>
    <t>Recebimento e armazenamento de material</t>
  </si>
  <si>
    <t>A. A. Moura</t>
  </si>
  <si>
    <t>(PE) Requisitado e com ID Financeira</t>
  </si>
  <si>
    <t>RD 2026 a 2028</t>
  </si>
  <si>
    <t>Substituição das capas do enrolamento do gerador</t>
  </si>
  <si>
    <t>INSIGHT ENERGIA SERVICOS</t>
  </si>
  <si>
    <t>RD 2027 a 2029</t>
  </si>
  <si>
    <t>Albert Ferraz Botelho Da Silva</t>
  </si>
  <si>
    <t>(PE) Não Requisitado e com ID Financeira</t>
  </si>
  <si>
    <t>Avaliar projeto, pois não houve responsavel pelo projeto. Passar para o Fred</t>
  </si>
  <si>
    <t>Cavitação</t>
  </si>
  <si>
    <t>ENOR.00124</t>
  </si>
  <si>
    <t>Gilton Carlos De Andrade Furtado</t>
  </si>
  <si>
    <t>RD 2026  a 2029</t>
  </si>
  <si>
    <t>NGHI.0143.10.00001.001</t>
  </si>
  <si>
    <t>RD 2026 a 2027</t>
  </si>
  <si>
    <t>Milton Pereira Menezes</t>
  </si>
  <si>
    <t>Reparo em 3 transformadores elevadores da UHE Tucuruí.</t>
  </si>
  <si>
    <t>Reduzido em 2026</t>
  </si>
  <si>
    <t>Aquisição e montagem de pórtico para tomada d’água da CF1 e vertedouro.</t>
  </si>
  <si>
    <t>Substituição técnica de trafos 500/69 kV no pátio da UHE Tucuruí.</t>
  </si>
  <si>
    <t>Revitalização dos stop logs das Casas de Força 01 e 02 da UHE Tucuruí.</t>
  </si>
  <si>
    <t>RD 2026 e 2mi para 20278</t>
  </si>
  <si>
    <t>RD 2027-2028</t>
  </si>
  <si>
    <t>Naim Damasceno Campos</t>
  </si>
  <si>
    <t>PE sem cód ID Financeira</t>
  </si>
  <si>
    <t>Avaliar continuidade do projeto</t>
  </si>
  <si>
    <t>RD 2027 a 2028</t>
  </si>
  <si>
    <t>TOPOCART TOPOGRAFIA ENGENHARIA</t>
  </si>
  <si>
    <t>Carlos Henrique Oliveira da Rocha</t>
  </si>
  <si>
    <t>Monitoramento da água de resfriamento para 4 UGs da UHE Tucuruí. (SIRI)</t>
  </si>
  <si>
    <t>COO0550</t>
  </si>
  <si>
    <t>Robinson Percy Holder</t>
  </si>
  <si>
    <t>RD 2025 1,8 2028</t>
  </si>
  <si>
    <t>Modernização dos sistemas RTVAX POWER na UHE Curuá‑Una.</t>
  </si>
  <si>
    <t>Requisitado e Contratado mas sem ID Financeira</t>
  </si>
  <si>
    <t>RD 2027 o 2029</t>
  </si>
  <si>
    <t>Cancelado</t>
  </si>
  <si>
    <t>Projeto cancelado devido ausencia de responsavel</t>
  </si>
  <si>
    <t>RD 2027</t>
  </si>
  <si>
    <t>Airton Rego Bentes</t>
  </si>
  <si>
    <t>Geovane Andrade Melo Luz</t>
  </si>
  <si>
    <t>Cancelar processo, pois não foi reconhecido pela equipe</t>
  </si>
  <si>
    <t>NGHI.0143.60.00001.005</t>
  </si>
  <si>
    <t>Revitalização da pintura das partes metálicas da UHE Tucuruí.</t>
  </si>
  <si>
    <t xml:space="preserve"> </t>
  </si>
  <si>
    <t>RD 2027 a 2029.
Não emitido (SPCI + CO2 CF II)</t>
  </si>
  <si>
    <t>Romulo Cesar Pereira</t>
  </si>
  <si>
    <t>MODERNIZAÇÃO SISTEMA ANTI-INCÊNDIO</t>
  </si>
  <si>
    <t>SERGON SERVICOS LTDA</t>
  </si>
  <si>
    <t>RD 2026 e 2027</t>
  </si>
  <si>
    <t>Cancelar. Solução técnica inviável.</t>
  </si>
  <si>
    <t>COO0677</t>
  </si>
  <si>
    <t>Jimmison Levi Monteiro De Oliveira</t>
  </si>
  <si>
    <t>PROJETO E INSTALAÇÃO TUBULAÇÃO</t>
  </si>
  <si>
    <t>Será antecipado para 2026</t>
  </si>
  <si>
    <t>Avaliar escopo do serviço</t>
  </si>
  <si>
    <t>istema automático de dosagem de hipoclorito para água de resfriamento.</t>
  </si>
  <si>
    <t>COO0549</t>
  </si>
  <si>
    <t>Fornecimento e instalação de filtros autolimpantes na OGH.</t>
  </si>
  <si>
    <t>COO0548</t>
  </si>
  <si>
    <t>Reserva Imobilizada para UHE Tucuruí (Sistema Gerador)</t>
  </si>
  <si>
    <t>NGHI.0143.19.00002.001</t>
  </si>
  <si>
    <t>SERVIÇOS POLOS GERADORES 350MVA</t>
  </si>
  <si>
    <t>GE ENERGIAS</t>
  </si>
  <si>
    <t>Reserva imobilizada para UHE Tucuruí (Transformador)</t>
  </si>
  <si>
    <t>Movimentação e montagem da parte ativa do trafo elevador 378 MVA. (TUTF7-10)</t>
  </si>
  <si>
    <t>Contrato concluido. Fatura foi paga no contrato 4500073938. Precisa encerrar o contrato e ver com ajustar o faturamento; NF 32528</t>
  </si>
  <si>
    <t>Reserva imobilizada para UHE Tucuruí (GIS)</t>
  </si>
  <si>
    <t>Fornecimento de equipmanetos para manuseio de gás SF6.</t>
  </si>
  <si>
    <t>RD 2027 e 2028</t>
  </si>
  <si>
    <t>AQUISIÇÃO DE VALVULA</t>
  </si>
  <si>
    <t>Aquisição de compressores em atendimento à Tucuruí.</t>
  </si>
  <si>
    <t>GRUPO MOTOR GERADOR</t>
  </si>
  <si>
    <t>DISTRIBUIDORA CUMMINS MINAS LTDA</t>
  </si>
  <si>
    <t>COO0558</t>
  </si>
  <si>
    <t>Embutir</t>
  </si>
  <si>
    <t>Fornecimento e instalação do painel inferior da comporta do vertedouro 17.</t>
  </si>
  <si>
    <t>Projeto e instalação de sistema de monitoramento de bucha online.</t>
  </si>
  <si>
    <t>Francisco Figueiredo Silva Neto</t>
  </si>
  <si>
    <t>NGHI.0143.62.00001.001</t>
  </si>
  <si>
    <t>Confirmado execução (Cleomar)</t>
  </si>
  <si>
    <t>NGHI.0141.02.00001.001</t>
  </si>
  <si>
    <t>ATERRAMENTO CUTA</t>
  </si>
  <si>
    <t>ECOLIMP SERVIÇOS DE MAO DE OBRA</t>
  </si>
  <si>
    <t>COO0743</t>
  </si>
  <si>
    <t>Recuperação do barramento blindado 13,8 kV da UG‑19 da UHE Tucuruí.</t>
  </si>
  <si>
    <t>COO0585</t>
  </si>
  <si>
    <t>false</t>
  </si>
  <si>
    <t>NGHI.0157</t>
  </si>
  <si>
    <t>Sistemas de Monitoramento para Transformadores (Liga - AGVA - Sistema de monitoramento)</t>
  </si>
  <si>
    <t>COO0697</t>
  </si>
  <si>
    <t>RD 2026</t>
  </si>
  <si>
    <t>Aquisição de bomba em atendimento à UHE Curuá-Una.</t>
  </si>
  <si>
    <t>COO0744</t>
  </si>
  <si>
    <t>COO0745</t>
  </si>
  <si>
    <t>Peças e serviços para revitalização da subestação SF6 TUUGH‑19.</t>
  </si>
  <si>
    <t>COO0630</t>
  </si>
  <si>
    <t>Fornecimento e comissionamento de bombas verticais da drenagem da UHE Tucuruí.</t>
  </si>
  <si>
    <t>Contrato zerado</t>
  </si>
  <si>
    <t>ID</t>
  </si>
  <si>
    <t>Gupo</t>
  </si>
  <si>
    <t>Projeto</t>
  </si>
  <si>
    <t>Usina</t>
  </si>
  <si>
    <t>2029-2030</t>
  </si>
  <si>
    <t>Gerencia</t>
  </si>
  <si>
    <t>Status da contratação</t>
  </si>
  <si>
    <t>Gestão do Projeto</t>
  </si>
  <si>
    <t>Acompanhamento</t>
  </si>
  <si>
    <t>Cleomar</t>
  </si>
  <si>
    <t>Geovane</t>
  </si>
  <si>
    <t>COO.NO26.043</t>
  </si>
  <si>
    <t>Marcio</t>
  </si>
  <si>
    <t>Murilo</t>
  </si>
  <si>
    <t>Denis Oliveira</t>
  </si>
  <si>
    <t>Daniel Branquinho</t>
  </si>
  <si>
    <t>Marcio Maia</t>
  </si>
  <si>
    <t>Frederico</t>
  </si>
  <si>
    <t>Camila</t>
  </si>
  <si>
    <t>Denis Robson</t>
  </si>
  <si>
    <t>Gilton</t>
  </si>
  <si>
    <t>Id</t>
  </si>
  <si>
    <t>Solicitar às áreas a indicação de quais colunas utilizam para sanear a quantidade de informação necessária</t>
  </si>
  <si>
    <t>Em andamento
Email 28/05, recebido até 05/06 VEE, COO, OORC, VID</t>
  </si>
  <si>
    <t>Acertar com Jairo planilhas acessórias para SAP no caso dos R&amp;M de pp</t>
  </si>
  <si>
    <t>Para Transmissão, alinhar:
COO: usava [Categorização CISE] + [Destinação do investimento] para R&amp;M
VEE: usava [Categorização CISE] + [Descrição detalhada do investimento (escopo)]</t>
  </si>
  <si>
    <t>Solução da planilha excel para recebimento e consolidação dos dados:
A. A logica de consolidação continua e mesma?
B. quais campos devem ter seu conteúdo limitado a uma lista.
C. Atualizar guia de intruções de preenchimento
D. Bloquear a inclusão de novas colunas?</t>
  </si>
  <si>
    <t>Estudar colunas que serão utilizadas para o PE 2025 e fazer proposição para as áreas do modelo final (se possível junto com as demais melhorias a seguir).
1. Proposta fechada com EDEP + EDEI + FRPCA
2. Proposta fechada com as áreas de projeção FRPP (Planejamento) + Regulação (receita de T) + VED SPEs
3. Proposta fechada com áreas finais</t>
  </si>
  <si>
    <t>Dashboard
1. Saída de dadose visualização
2. Comparação com ciclo anterior
3. Verificação de duplicidades</t>
  </si>
  <si>
    <t>Categorias CISE + Analise interna
1. Serão revistas?
2. A ideia de uma pré classificação interna será mantida?</t>
  </si>
  <si>
    <t>As projeções do PE 2024 serão limitadoras ou só comparadoras?</t>
  </si>
  <si>
    <t>Instruções de preenchimento</t>
  </si>
  <si>
    <t>1. Indicar nas células em amarelo da coluna D se a área utiliza ou não o campo na planilha de Capex</t>
  </si>
  <si>
    <t>2. Campos em branco serão entendidos como não utilizados</t>
  </si>
  <si>
    <t>3. Campos em azul já preenchidos pela EDE</t>
  </si>
  <si>
    <t>4. Os campos seguem a mesma sequência da planilha original, em caso de dúvida o campo original está na guia "MODELO" deste arquivo</t>
  </si>
  <si>
    <t>Coluna</t>
  </si>
  <si>
    <t>Descrição do Campo</t>
  </si>
  <si>
    <t>Área utiliza Projeção? (Sim/Não)</t>
  </si>
  <si>
    <t>Suporte EDE</t>
  </si>
  <si>
    <t>Necessário</t>
  </si>
  <si>
    <t>Id PDNG</t>
  </si>
  <si>
    <r>
      <t>N°</t>
    </r>
    <r>
      <rPr>
        <b/>
        <sz val="6"/>
        <color theme="1"/>
        <rFont val="Calibri"/>
        <family val="2"/>
        <scheme val="minor"/>
      </rPr>
      <t xml:space="preserve"> </t>
    </r>
    <r>
      <rPr>
        <b/>
        <sz val="9"/>
        <color theme="1"/>
        <rFont val="Calibri"/>
        <family val="2"/>
        <scheme val="minor"/>
      </rPr>
      <t>PDNG</t>
    </r>
  </si>
  <si>
    <t>Código SAP</t>
  </si>
  <si>
    <t>Necessário quando existente</t>
  </si>
  <si>
    <t>Necessário quando puder especificar</t>
  </si>
  <si>
    <t>Número da ação 
 ou
 Nome Projeto</t>
  </si>
  <si>
    <t>Fonte de geração</t>
  </si>
  <si>
    <t>Período e prazo de execução do projeto (Projetos de Geração)</t>
  </si>
  <si>
    <t>Especificar receita</t>
  </si>
  <si>
    <t>Data de início da operação comercial</t>
  </si>
  <si>
    <t>Necessário para novos investimentos</t>
  </si>
  <si>
    <t>Fonte de recurso</t>
  </si>
  <si>
    <t>MW (Projetos de Geração)</t>
  </si>
  <si>
    <t>Evidência</t>
  </si>
  <si>
    <t>Status financeiro do investimento</t>
  </si>
  <si>
    <t>Descrição detalhada do investimento
 (escopo)</t>
  </si>
  <si>
    <t>Área responsável</t>
  </si>
  <si>
    <t>Categorização CISE</t>
  </si>
  <si>
    <t xml:space="preserve">Destinação investimento </t>
  </si>
  <si>
    <t>PROJEÇÃO</t>
  </si>
  <si>
    <t>jan/24</t>
  </si>
  <si>
    <t>fev/24</t>
  </si>
  <si>
    <t>mar/24</t>
  </si>
  <si>
    <t>abr/24</t>
  </si>
  <si>
    <t>mai/24</t>
  </si>
  <si>
    <t>jun/24</t>
  </si>
  <si>
    <t>jul/24</t>
  </si>
  <si>
    <t>ago/24</t>
  </si>
  <si>
    <t>set/24</t>
  </si>
  <si>
    <t>out/24</t>
  </si>
  <si>
    <t>nov/24</t>
  </si>
  <si>
    <t>dez/24</t>
  </si>
  <si>
    <t>2024</t>
  </si>
  <si>
    <t>2025</t>
  </si>
  <si>
    <t>2024-2028</t>
  </si>
  <si>
    <t>Necessário quando existir estimativa</t>
  </si>
  <si>
    <t>2024-2033</t>
  </si>
  <si>
    <t>DEMAIS INFORMAÇÕES PARA TRANSMISSÃO</t>
  </si>
  <si>
    <t>Receita_jan/24</t>
  </si>
  <si>
    <t>Receita_fev/24</t>
  </si>
  <si>
    <t>Receita_mar/24</t>
  </si>
  <si>
    <t>Receita_abr/24</t>
  </si>
  <si>
    <t>Receita_mai/24</t>
  </si>
  <si>
    <t>Receita_jun/24</t>
  </si>
  <si>
    <t>Receita_jul/24</t>
  </si>
  <si>
    <t>Receita_ago/24</t>
  </si>
  <si>
    <t>Receita_set/24</t>
  </si>
  <si>
    <t>Receita_out/24</t>
  </si>
  <si>
    <t>Receita_nov/24</t>
  </si>
  <si>
    <t>Receita_dez/24</t>
  </si>
  <si>
    <t>Receita_2024</t>
  </si>
  <si>
    <t>Receita_2025</t>
  </si>
  <si>
    <t>Receita_2026</t>
  </si>
  <si>
    <t>Receita_2027</t>
  </si>
  <si>
    <t>Receita_2028</t>
  </si>
  <si>
    <t>Receita_2024-2028</t>
  </si>
  <si>
    <t>Receita_2029</t>
  </si>
  <si>
    <t>Receita_2030</t>
  </si>
  <si>
    <t>Receita_2031</t>
  </si>
  <si>
    <t>Receita_2032</t>
  </si>
  <si>
    <t>Receita_2033</t>
  </si>
  <si>
    <t>Receita_2024-2033</t>
  </si>
  <si>
    <t>Obrigacao_Regulatoria</t>
  </si>
  <si>
    <t>Num_SGPMR</t>
  </si>
  <si>
    <t>Estado atual da contratação do investimento</t>
  </si>
  <si>
    <t>Autorização REA referente</t>
  </si>
  <si>
    <t>Contrato de Concessão</t>
  </si>
  <si>
    <t>Fim da Concessão</t>
  </si>
  <si>
    <t>Data de Início da Obra</t>
  </si>
  <si>
    <t>Conclusão da Obra</t>
  </si>
  <si>
    <t>Investimento 2020 (R$ mil)</t>
  </si>
  <si>
    <t>Investimento 2021 (R$ mil)</t>
  </si>
  <si>
    <t>Investimento 2022 (R$ mil)</t>
  </si>
  <si>
    <t>Data Base do Investimento</t>
  </si>
  <si>
    <t>Data de início da Operação Comercial4</t>
  </si>
  <si>
    <t>Taxa Interna de Retorno (TIR)</t>
  </si>
  <si>
    <t>Investimento Aneel (R$ mil)</t>
  </si>
  <si>
    <t>RAP REA           (R$ mil)</t>
  </si>
  <si>
    <t>Data base</t>
  </si>
  <si>
    <t>Vida Útil/Vigência da RAP (anos)</t>
  </si>
  <si>
    <t>O&amp;M</t>
  </si>
  <si>
    <t>Prazo para Entrada (meses)</t>
  </si>
  <si>
    <t>Data Publicação REA</t>
  </si>
  <si>
    <t>Data de Entrada em Operação Aneel</t>
  </si>
  <si>
    <t>WACC</t>
  </si>
  <si>
    <t>Investimento Contratado_ANEEL</t>
  </si>
</sst>
</file>

<file path=xl/styles.xml><?xml version="1.0" encoding="utf-8"?>
<styleSheet xmlns="http://schemas.openxmlformats.org/spreadsheetml/2006/main" xmlns:x14ac="http://schemas.microsoft.com/office/spreadsheetml/2009/9/ac" xmlns:mc="http://schemas.openxmlformats.org/markup-compatibility/2006" mc:Ignorable="x14ac">
  <numFmts count="5">
    <numFmt numFmtId="164" formatCode="#,##0%"/>
    <numFmt numFmtId="165" formatCode="$#,##0_);($#,##0)"/>
    <numFmt numFmtId="166" formatCode="#,##0.00,,"/>
    <numFmt numFmtId="167" formatCode="$#,##0.00,,_);($#,##0.00,,)"/>
    <numFmt numFmtId="168" formatCode="#,##0.0%"/>
  </numFmts>
  <fonts count="52" x14ac:knownFonts="1">
    <font>
      <sz val="11"/>
      <color theme="1"/>
      <name val="Calibri"/>
      <family val="2"/>
      <scheme val="minor"/>
    </font>
    <font>
      <sz val="11"/>
      <color theme="1"/>
      <name val="Calibri"/>
      <family val="2"/>
    </font>
    <font>
      <sz val="11"/>
      <color rgb="FF000000"/>
      <name val="Calibri"/>
      <family val="2"/>
    </font>
    <font>
      <b/>
      <sz val="10"/>
      <color rgb="FFffffff"/>
      <name val="Calibri"/>
      <family val="2"/>
    </font>
    <font>
      <b/>
      <sz val="10"/>
      <color theme="1"/>
      <name val="Calibri"/>
      <family val="2"/>
    </font>
    <font>
      <sz val="12"/>
      <color rgb="FF000000"/>
      <name val="Aptos"/>
      <family val="2"/>
    </font>
    <font>
      <sz val="8"/>
      <color rgb="FF000000"/>
      <name val="Calibri"/>
      <family val="2"/>
    </font>
    <font>
      <b/>
      <sz val="20"/>
      <color rgb="FF000000"/>
      <name val="Calibri"/>
      <family val="2"/>
    </font>
    <font>
      <b/>
      <sz val="11"/>
      <color theme="1"/>
      <name val="Calibri"/>
      <family val="2"/>
    </font>
    <font>
      <sz val="11"/>
      <color rgb="FFffffff"/>
      <name val="Calibri"/>
      <family val="2"/>
    </font>
    <font>
      <b/>
      <sz val="11"/>
      <color rgb="FF808080"/>
      <name val="Calibri"/>
      <family val="2"/>
    </font>
    <font>
      <b/>
      <sz val="8"/>
      <color rgb="FF000000"/>
      <name val="Calibri"/>
      <family val="2"/>
    </font>
    <font>
      <b/>
      <sz val="16"/>
      <color rgb="FF000000"/>
      <name val="Calibri"/>
      <family val="2"/>
    </font>
    <font>
      <b/>
      <sz val="11"/>
      <color rgb="FF000000"/>
      <name val="Calibri"/>
      <family val="2"/>
    </font>
    <font>
      <sz val="11"/>
      <color rgb="FF808080"/>
      <name val="Calibri"/>
      <family val="2"/>
    </font>
    <font>
      <sz val="11"/>
      <color rgb="FF00b0f0"/>
      <name val="Calibri"/>
      <family val="2"/>
    </font>
    <font>
      <sz val="12"/>
      <color rgb="FF000000"/>
      <name val="Times New Roman"/>
      <family val="2"/>
    </font>
    <font>
      <sz val="8"/>
      <color rgb="FFffffff"/>
      <name val="Calibri"/>
      <family val="2"/>
    </font>
    <font>
      <b/>
      <sz val="20"/>
      <color rgb="FFff0000"/>
      <name val="Calibri"/>
      <family val="2"/>
    </font>
    <font>
      <b/>
      <sz val="16"/>
      <color rgb="FFff0000"/>
      <name val="Calibri"/>
      <family val="2"/>
    </font>
    <font>
      <b/>
      <sz val="12"/>
      <color rgb="FF000000"/>
      <name val="Calibri"/>
      <family val="2"/>
    </font>
    <font>
      <b/>
      <sz val="16"/>
      <color rgb="FFffffff"/>
      <name val="Calibri"/>
      <family val="2"/>
    </font>
    <font>
      <b/>
      <sz val="15"/>
      <color rgb="FFffffff"/>
      <name val="Calibri"/>
      <family val="2"/>
    </font>
    <font>
      <sz val="15"/>
      <color rgb="FF000000"/>
      <name val="Calibri"/>
      <family val="2"/>
    </font>
    <font>
      <b/>
      <sz val="15"/>
      <color theme="1"/>
      <name val="Calibri"/>
      <family val="2"/>
    </font>
    <font>
      <sz val="15"/>
      <color theme="1"/>
      <name val="Calibri"/>
      <family val="2"/>
    </font>
    <font>
      <sz val="9"/>
      <color rgb="FFffffff"/>
      <name val="Calibri"/>
      <family val="2"/>
    </font>
    <font>
      <sz val="9"/>
      <color theme="1"/>
      <name val="Calibri"/>
      <family val="2"/>
    </font>
    <font>
      <sz val="10"/>
      <color rgb="FFffffff"/>
      <name val="Calibri"/>
      <family val="2"/>
    </font>
    <font>
      <sz val="10"/>
      <color theme="1"/>
      <name val="Calibri"/>
      <family val="2"/>
    </font>
    <font>
      <b/>
      <sz val="9"/>
      <color rgb="FFffffff"/>
      <name val="Calibri"/>
      <family val="2"/>
    </font>
    <font>
      <sz val="11"/>
      <color rgb="FFff0000"/>
      <name val="Calibri"/>
      <family val="2"/>
    </font>
    <font>
      <b/>
      <sz val="9"/>
      <color theme="1"/>
      <name val="Calibri"/>
      <family val="2"/>
    </font>
    <font>
      <sz val="8"/>
      <color theme="1"/>
      <name val="Calibri"/>
      <family val="2"/>
    </font>
    <font>
      <sz val="11"/>
      <color theme="1"/>
      <name val="Calibri"/>
      <family val="2"/>
    </font>
    <font>
      <sz val="11"/>
      <color theme="1"/>
      <name val="Aptos Narrow"/>
      <family val="2"/>
    </font>
    <font>
      <sz val="11"/>
      <color rgb="FF000000"/>
      <name val="Aptos Narrow"/>
      <family val="2"/>
    </font>
    <font>
      <sz val="11"/>
      <color rgb="FF242424"/>
      <name val="Calibri"/>
      <family val="2"/>
    </font>
    <font>
      <b/>
      <sz val="11"/>
      <color rgb="FFffffff"/>
      <name val="Aptos Narrow"/>
      <family val="2"/>
    </font>
    <font>
      <b/>
      <sz val="12"/>
      <color rgb="FFffffff"/>
      <name val="Calibri"/>
      <family val="2"/>
    </font>
    <font>
      <sz val="12"/>
      <color rgb="FF000000"/>
      <name val="Calibri"/>
      <family val="2"/>
    </font>
    <font>
      <b/>
      <sz val="11"/>
      <color rgb="FFffffff"/>
      <name val="Calibri"/>
      <family val="2"/>
    </font>
    <font>
      <b/>
      <sz val="10"/>
      <color rgb="FF000000"/>
      <name val="Calibri"/>
      <family val="2"/>
    </font>
    <font>
      <b/>
      <sz val="6"/>
      <color rgb="FFffffff"/>
      <name val="Calibri"/>
      <family val="2"/>
    </font>
    <font>
      <sz val="7"/>
      <color rgb="FF000000"/>
      <name val="Calibri"/>
      <family val="2"/>
    </font>
    <font>
      <b/>
      <sz val="10"/>
      <color rgb="FFff0000"/>
      <name val="Calibri"/>
      <family val="2"/>
    </font>
    <font>
      <sz val="10"/>
      <color rgb="FF000000"/>
      <name val="Calibri"/>
      <family val="2"/>
    </font>
    <font>
      <sz val="8"/>
      <color rgb="FFff0000"/>
      <name val="Calibri"/>
      <family val="2"/>
    </font>
    <font>
      <b/>
      <u/>
      <sz val="10"/>
      <color theme="1"/>
      <name val="Calibri"/>
      <family val="2"/>
    </font>
    <font>
      <sz val="10"/>
      <color rgb="FF808080"/>
      <name val="Calibri"/>
      <family val="2"/>
    </font>
    <font>
      <b/>
      <sz val="10"/>
      <color rgb="FF333f50"/>
      <name val="Calibri"/>
      <family val="2"/>
    </font>
    <font>
      <b/>
      <sz val="15"/>
      <color rgb="FF808080"/>
      <name val="Calibri"/>
      <family val="2"/>
    </font>
  </fonts>
  <fills count="33">
    <fill>
      <patternFill patternType="none"/>
    </fill>
    <fill>
      <patternFill patternType="gray125"/>
    </fill>
    <fill>
      <patternFill patternType="solid">
        <fgColor rgb="FFf8cbad"/>
      </patternFill>
    </fill>
    <fill>
      <patternFill patternType="solid">
        <fgColor rgb="FFfbe5d6"/>
      </patternFill>
    </fill>
    <fill>
      <patternFill patternType="solid">
        <fgColor rgb="FFd9e2f3"/>
      </patternFill>
    </fill>
    <fill>
      <patternFill patternType="solid">
        <fgColor rgb="FF000000"/>
      </patternFill>
    </fill>
    <fill>
      <patternFill patternType="solid">
        <fgColor rgb="FF99a8bd"/>
      </patternFill>
    </fill>
    <fill>
      <patternFill patternType="solid">
        <fgColor rgb="FFc00000"/>
      </patternFill>
    </fill>
    <fill>
      <patternFill patternType="solid">
        <fgColor rgb="FFd6dce5"/>
      </patternFill>
    </fill>
    <fill>
      <patternFill patternType="solid">
        <fgColor rgb="FFd9d9d9"/>
      </patternFill>
    </fill>
    <fill>
      <patternFill patternType="solid">
        <fgColor rgb="FFf2f2f2"/>
      </patternFill>
    </fill>
    <fill>
      <patternFill patternType="solid">
        <fgColor rgb="FFff0000"/>
      </patternFill>
    </fill>
    <fill>
      <patternFill patternType="solid">
        <fgColor rgb="FFff00ff"/>
      </patternFill>
    </fill>
    <fill>
      <patternFill patternType="solid">
        <fgColor rgb="FF808080"/>
      </patternFill>
    </fill>
    <fill>
      <patternFill patternType="solid">
        <fgColor rgb="FFd6eb00"/>
      </patternFill>
    </fill>
    <fill>
      <patternFill patternType="solid">
        <fgColor rgb="FFc55a11"/>
      </patternFill>
    </fill>
    <fill>
      <patternFill patternType="solid">
        <fgColor rgb="FF00b0f0"/>
      </patternFill>
    </fill>
    <fill>
      <patternFill patternType="solid">
        <fgColor rgb="FF2e75b6"/>
      </patternFill>
    </fill>
    <fill>
      <patternFill patternType="solid">
        <fgColor rgb="FF4472c4"/>
      </patternFill>
    </fill>
    <fill>
      <patternFill patternType="solid">
        <fgColor rgb="FFa6a6a6"/>
      </patternFill>
    </fill>
    <fill>
      <patternFill patternType="solid">
        <fgColor rgb="FFed7d31"/>
      </patternFill>
    </fill>
    <fill>
      <patternFill patternType="solid">
        <fgColor rgb="FF0090c6"/>
      </patternFill>
    </fill>
    <fill>
      <patternFill patternType="solid">
        <fgColor rgb="FFffc000"/>
      </patternFill>
    </fill>
    <fill>
      <patternFill patternType="solid">
        <fgColor rgb="FF657d9d"/>
      </patternFill>
    </fill>
    <fill>
      <patternFill patternType="solid">
        <fgColor rgb="FFdae3f3"/>
      </patternFill>
    </fill>
    <fill>
      <patternFill patternType="solid">
        <fgColor rgb="FFebeef2"/>
      </patternFill>
    </fill>
    <fill>
      <patternFill patternType="solid">
        <fgColor rgb="FFffff00"/>
      </patternFill>
    </fill>
    <fill>
      <patternFill patternType="solid">
        <fgColor rgb="FF7030a0"/>
      </patternFill>
    </fill>
    <fill>
      <patternFill patternType="solid">
        <fgColor rgb="FF44546a"/>
      </patternFill>
    </fill>
    <fill>
      <patternFill patternType="solid">
        <fgColor rgb="FFadb9ca"/>
      </patternFill>
    </fill>
    <fill>
      <patternFill patternType="solid">
        <fgColor rgb="FF8497b0"/>
      </patternFill>
    </fill>
    <fill>
      <patternFill patternType="solid">
        <fgColor rgb="FFfff2cc"/>
      </patternFill>
    </fill>
    <fill>
      <patternFill patternType="solid">
        <fgColor rgb="FFffe699"/>
      </patternFill>
    </fill>
  </fills>
  <borders count="66">
    <border>
      <left/>
      <right/>
      <top/>
      <bottom/>
      <diagonal/>
    </border>
    <border>
      <left/>
      <right/>
      <top/>
      <bottom/>
      <diagonal/>
    </border>
    <border>
      <left style="thin">
        <color rgb="FFc6c6c6"/>
      </left>
      <right style="thin">
        <color rgb="FFc6c6c6"/>
      </right>
      <top style="thin">
        <color rgb="FFffffff"/>
      </top>
      <bottom style="thin">
        <color rgb="FFffffff"/>
      </bottom>
      <diagonal/>
    </border>
    <border>
      <left style="thin">
        <color rgb="FFc6c6c6"/>
      </left>
      <right style="thin">
        <color rgb="FFc6c6c6"/>
      </right>
      <top style="thin">
        <color rgb="FFffffff"/>
      </top>
      <bottom style="thin">
        <color rgb="FFc6c6c6"/>
      </bottom>
      <diagonal/>
    </border>
    <border>
      <left style="medium">
        <color rgb="FF8eaadb"/>
      </left>
      <right style="medium">
        <color rgb="FF8eaadb"/>
      </right>
      <top style="medium">
        <color rgb="FF8eaadb"/>
      </top>
      <bottom style="thin">
        <color rgb="FFc6c6c6"/>
      </bottom>
      <diagonal/>
    </border>
    <border>
      <left style="dotted">
        <color rgb="FFdae3f3"/>
      </left>
      <right style="dotted">
        <color rgb="FFdae3f3"/>
      </right>
      <top/>
      <bottom/>
      <diagonal/>
    </border>
    <border>
      <left style="thin">
        <color rgb="FF000000"/>
      </left>
      <right style="thin">
        <color rgb="FF000000"/>
      </right>
      <top style="thin">
        <color rgb="FFc6c6c6"/>
      </top>
      <bottom style="thin">
        <color rgb="FFc6c6c6"/>
      </bottom>
      <diagonal/>
    </border>
    <border>
      <left style="thin">
        <color rgb="FF000000"/>
      </left>
      <right style="thin">
        <color rgb="FF000000"/>
      </right>
      <top style="thin">
        <color rgb="FF000000"/>
      </top>
      <bottom style="thin">
        <color rgb="FF000000"/>
      </bottom>
      <diagonal/>
    </border>
    <border>
      <left style="medium">
        <color rgb="FFffffff"/>
      </left>
      <right style="medium">
        <color rgb="FFffffff"/>
      </right>
      <top style="medium">
        <color rgb="FFffffff"/>
      </top>
      <bottom style="medium">
        <color rgb="FFffffff"/>
      </bottom>
      <diagonal/>
    </border>
    <border>
      <left style="thin">
        <color rgb="FFffffff"/>
      </left>
      <right style="thin">
        <color rgb="FFffffff"/>
      </right>
      <top style="thin">
        <color rgb="FFc6c6c6"/>
      </top>
      <bottom style="thin">
        <color rgb="FFffffff"/>
      </bottom>
      <diagonal/>
    </border>
    <border>
      <left style="thin">
        <color rgb="FFc6c6c6"/>
      </left>
      <right style="thin">
        <color rgb="FFc6c6c6"/>
      </right>
      <top style="thin">
        <color rgb="FFc6c6c6"/>
      </top>
      <bottom style="thin">
        <color rgb="FFc6c6c6"/>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style="thin">
        <color rgb="FFffffff"/>
      </right>
      <top/>
      <bottom/>
      <diagonal/>
    </border>
    <border>
      <left/>
      <right/>
      <top/>
      <bottom style="thin">
        <color rgb="FFffffff"/>
      </bottom>
      <diagonal/>
    </border>
    <border>
      <left style="thin">
        <color rgb="FFffffff"/>
      </left>
      <right style="thin">
        <color rgb="FFc6c6c6"/>
      </right>
      <top style="thin">
        <color rgb="FFffffff"/>
      </top>
      <bottom style="thin">
        <color rgb="FFffffff"/>
      </bottom>
      <diagonal/>
    </border>
    <border>
      <left style="thin">
        <color rgb="FFc6c6c6"/>
      </left>
      <right style="thin">
        <color rgb="FFffffff"/>
      </right>
      <top style="thin">
        <color rgb="FFffffff"/>
      </top>
      <bottom style="thin">
        <color rgb="FFffffff"/>
      </bottom>
      <diagonal/>
    </border>
    <border>
      <left style="dotted">
        <color rgb="FFdae3f3"/>
      </left>
      <right style="thin">
        <color rgb="FFc6c6c6"/>
      </right>
      <top style="thin">
        <color rgb="FFc6c6c6"/>
      </top>
      <bottom style="thin">
        <color rgb="FFc6c6c6"/>
      </bottom>
      <diagonal/>
    </border>
    <border>
      <left style="thin">
        <color rgb="FFffffff"/>
      </left>
      <right style="thin">
        <color rgb="FFc6c6c6"/>
      </right>
      <top style="thin">
        <color rgb="FFffffff"/>
      </top>
      <bottom style="thin">
        <color rgb="FFc6c6c6"/>
      </bottom>
      <diagonal/>
    </border>
    <border>
      <left style="thin">
        <color rgb="FFffffff"/>
      </left>
      <right style="thin">
        <color rgb="FFc6c6c6"/>
      </right>
      <top style="thin">
        <color rgb="FFc6c6c6"/>
      </top>
      <bottom style="thin">
        <color rgb="FFc6c6c6"/>
      </bottom>
      <diagonal/>
    </border>
    <border>
      <left style="dotted">
        <color rgb="FFdae3f3"/>
      </left>
      <right style="dotted">
        <color rgb="FFdae3f3"/>
      </right>
      <top style="thin">
        <color rgb="FFc6c6c6"/>
      </top>
      <bottom style="thin">
        <color rgb="FFc6c6c6"/>
      </bottom>
      <diagonal/>
    </border>
    <border>
      <left style="dotted">
        <color rgb="FFdae3f3"/>
      </left>
      <right style="dotted">
        <color rgb="FFdae3f3"/>
      </right>
      <top style="thin">
        <color rgb="FFc6c6c6"/>
      </top>
      <bottom style="thick">
        <color rgb="FFffffff"/>
      </bottom>
      <diagonal/>
    </border>
    <border>
      <left style="thin">
        <color rgb="FFffffff"/>
      </left>
      <right style="thin">
        <color rgb="FFffffff"/>
      </right>
      <top style="thin">
        <color rgb="FFc6c6c6"/>
      </top>
      <bottom style="thick">
        <color rgb="FFffffff"/>
      </bottom>
      <diagonal/>
    </border>
    <border>
      <left style="thin">
        <color rgb="FFffffff"/>
      </left>
      <right style="thin">
        <color rgb="FFffffff"/>
      </right>
      <top style="thin">
        <color rgb="FFc6c6c6"/>
      </top>
      <bottom style="thin">
        <color rgb="FFc6c6c6"/>
      </bottom>
      <diagonal/>
    </border>
    <border>
      <left style="thin">
        <color rgb="FFffffff"/>
      </left>
      <right style="thin">
        <color rgb="FFffffff"/>
      </right>
      <top style="thin">
        <color rgb="FFffffff"/>
      </top>
      <bottom style="thin">
        <color rgb="FFc6c6c6"/>
      </bottom>
      <diagonal/>
    </border>
    <border>
      <left style="thin">
        <color rgb="FFffffff"/>
      </left>
      <right style="thin">
        <color rgb="FFc6c6c6"/>
      </right>
      <top style="thin">
        <color rgb="FF000000"/>
      </top>
      <bottom style="thin">
        <color rgb="FF000000"/>
      </bottom>
      <diagonal/>
    </border>
    <border>
      <left style="dotted">
        <color rgb="FFdae3f3"/>
      </left>
      <right style="thin">
        <color rgb="FFc6c6c6"/>
      </right>
      <top style="thin">
        <color rgb="FF000000"/>
      </top>
      <bottom style="thin">
        <color rgb="FF000000"/>
      </bottom>
      <diagonal/>
    </border>
    <border>
      <left style="thin">
        <color rgb="FFffffff"/>
      </left>
      <right style="thin">
        <color rgb="FFc6c6c6"/>
      </right>
      <top style="thin">
        <color rgb="FF000000"/>
      </top>
      <bottom style="thin">
        <color rgb="FFc6c6c6"/>
      </bottom>
      <diagonal/>
    </border>
    <border>
      <left style="dotted">
        <color rgb="FFdae3f3"/>
      </left>
      <right style="thin">
        <color rgb="FFc6c6c6"/>
      </right>
      <top style="thin">
        <color rgb="FF000000"/>
      </top>
      <bottom style="thin">
        <color rgb="FFc6c6c6"/>
      </bottom>
      <diagonal/>
    </border>
    <border>
      <left/>
      <right/>
      <top style="thin">
        <color rgb="FF44b3e1"/>
      </top>
      <bottom style="thin">
        <color rgb="FF44b3e1"/>
      </bottom>
      <diagonal/>
    </border>
    <border>
      <left/>
      <right style="thin">
        <color rgb="FFf2f2f2"/>
      </right>
      <top style="thin">
        <color rgb="FF44b3e1"/>
      </top>
      <bottom style="thin">
        <color rgb="FF44b3e1"/>
      </bottom>
      <diagonal/>
    </border>
    <border>
      <left/>
      <right style="thin">
        <color rgb="FF44b3e1"/>
      </right>
      <top style="thin">
        <color rgb="FF44b3e1"/>
      </top>
      <bottom style="thin">
        <color rgb="FF44b3e1"/>
      </bottom>
      <diagonal/>
    </border>
    <border>
      <left style="thin">
        <color rgb="FF44b3e1"/>
      </left>
      <right/>
      <top style="thin">
        <color rgb="FF44b3e1"/>
      </top>
      <bottom style="thin">
        <color rgb="FF44b3e1"/>
      </bottom>
      <diagonal/>
    </border>
    <border>
      <left/>
      <right/>
      <top/>
      <bottom style="thin">
        <color rgb="FF44b3e1"/>
      </bottom>
      <diagonal/>
    </border>
    <border>
      <left/>
      <right/>
      <top style="thin">
        <color rgb="FF44b3e1"/>
      </top>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c6c6c6"/>
      </left>
      <right style="thin">
        <color rgb="FFc6c6c6"/>
      </right>
      <top style="thin">
        <color rgb="FFc6c6c6"/>
      </top>
      <bottom style="thin">
        <color rgb="FF8faadc"/>
      </bottom>
      <diagonal/>
    </border>
    <border>
      <left style="thin">
        <color rgb="FFc6c6c6"/>
      </left>
      <right style="thin">
        <color rgb="FFc6c6c6"/>
      </right>
      <top style="thin">
        <color rgb="FF8faadc"/>
      </top>
      <bottom style="thin">
        <color rgb="FFc6c6c6"/>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ffffff"/>
      </left>
      <right style="thin">
        <color rgb="FFc6c6c6"/>
      </right>
      <top style="thin">
        <color rgb="FFffffff"/>
      </top>
      <bottom style="thin">
        <color rgb="FF000000"/>
      </bottom>
      <diagonal/>
    </border>
    <border>
      <left style="thin">
        <color rgb="FFffffff"/>
      </left>
      <right/>
      <top style="thin">
        <color rgb="FFffffff"/>
      </top>
      <bottom/>
      <diagonal/>
    </border>
    <border>
      <left style="thin">
        <color rgb="FFc6c6c6"/>
      </left>
      <right style="thin">
        <color rgb="FFc6c6c6"/>
      </right>
      <top style="thin">
        <color rgb="FFc6c6c6"/>
      </top>
      <bottom style="thin">
        <color rgb="FF000000"/>
      </bottom>
      <diagonal/>
    </border>
    <border>
      <left/>
      <right/>
      <top style="thin">
        <color rgb="FFffffff"/>
      </top>
      <bottom/>
      <diagonal/>
    </border>
    <border>
      <left/>
      <right/>
      <top/>
      <bottom style="thin">
        <color rgb="FF000000"/>
      </bottom>
      <diagonal/>
    </border>
    <border>
      <left style="thin">
        <color rgb="FFffffff"/>
      </left>
      <right/>
      <top/>
      <bottom style="thin">
        <color rgb="FFffffff"/>
      </bottom>
      <diagonal/>
    </border>
    <border>
      <left style="thin">
        <color rgb="FFffffff"/>
      </left>
      <right/>
      <top style="thin">
        <color rgb="FFffffff"/>
      </top>
      <bottom style="thin">
        <color rgb="FFffffff"/>
      </bottom>
      <diagonal/>
    </border>
    <border>
      <left style="thin">
        <color rgb="FFc6c6c6"/>
      </left>
      <right style="thin">
        <color rgb="FFc6c6c6"/>
      </right>
      <top style="thin">
        <color rgb="FFc6c6c6"/>
      </top>
      <bottom style="thin">
        <color rgb="FFd9d9d9"/>
      </bottom>
      <diagonal/>
    </border>
    <border>
      <left/>
      <right/>
      <top style="thin">
        <color rgb="FFffffff"/>
      </top>
      <bottom style="thin">
        <color rgb="FFffffff"/>
      </bottom>
      <diagonal/>
    </border>
    <border>
      <left style="thin">
        <color rgb="FFc6c6c6"/>
      </left>
      <right style="thin">
        <color rgb="FFc6c6c6"/>
      </right>
      <top style="thin">
        <color rgb="FFc6c6c6"/>
      </top>
      <bottom style="thin">
        <color rgb="FFffffff"/>
      </bottom>
      <diagonal/>
    </border>
    <border>
      <left style="thin">
        <color rgb="FFffffff"/>
      </left>
      <right style="thin">
        <color rgb="FFffffff"/>
      </right>
      <top style="thin">
        <color rgb="FF000000"/>
      </top>
      <bottom style="thin">
        <color rgb="FF000000"/>
      </bottom>
      <diagonal/>
    </border>
  </borders>
  <cellStyleXfs count="1">
    <xf numFmtId="0" fontId="0" fillId="0" borderId="0"/>
  </cellStyleXfs>
  <cellXfs count="441">
    <xf xfId="0" numFmtId="0" borderId="0" fontId="0" fillId="0"/>
    <xf xfId="0" numFmtId="0" borderId="0" fontId="0" fillId="0" applyAlignment="1">
      <alignment horizontal="general"/>
    </xf>
    <xf xfId="0" numFmtId="0" borderId="0" fontId="0" fillId="0" applyAlignment="1">
      <alignment horizontal="general" wrapText="1"/>
    </xf>
    <xf xfId="0" numFmtId="0" borderId="1" applyBorder="1" fontId="1" applyFont="1" fillId="0" applyAlignment="1">
      <alignment horizontal="left"/>
    </xf>
    <xf xfId="0" numFmtId="0" borderId="2" applyBorder="1" fontId="1" applyFont="1" fillId="2" applyFill="1" applyAlignment="1">
      <alignment horizontal="left"/>
    </xf>
    <xf xfId="0" numFmtId="0" borderId="2" applyBorder="1" fontId="1" applyFont="1" fillId="3" applyFill="1" applyAlignment="1">
      <alignment horizontal="left"/>
    </xf>
    <xf xfId="0" numFmtId="0" borderId="3" applyBorder="1" fontId="1" applyFont="1" fillId="3" applyFill="1" applyAlignment="1">
      <alignment horizontal="left"/>
    </xf>
    <xf xfId="0" numFmtId="0" borderId="4" applyBorder="1" fontId="2" applyFont="1" fillId="4" applyFill="1" applyAlignment="1">
      <alignment horizontal="left"/>
    </xf>
    <xf xfId="0" numFmtId="0" borderId="1" applyBorder="1" fontId="1" applyFont="1" fillId="0" applyAlignment="1">
      <alignment horizontal="left" wrapText="1"/>
    </xf>
    <xf xfId="0" numFmtId="0" borderId="5" applyBorder="1" fontId="3" applyFont="1" fillId="0" applyAlignment="1">
      <alignment horizontal="left" wrapText="1"/>
    </xf>
    <xf xfId="0" numFmtId="0" borderId="1" applyBorder="1" fontId="3" applyFont="1" fillId="0" applyAlignment="1">
      <alignment horizontal="left" wrapText="1"/>
    </xf>
    <xf xfId="0" numFmtId="0" borderId="1" applyBorder="1" fontId="4" applyFont="1" fillId="0" applyAlignment="1">
      <alignment horizontal="left" wrapText="1"/>
    </xf>
    <xf xfId="0" numFmtId="0" borderId="3" applyBorder="1" fontId="1" applyFont="1" fillId="2" applyFill="1" applyAlignment="1">
      <alignment horizontal="left"/>
    </xf>
    <xf xfId="0" numFmtId="0" borderId="1" applyBorder="1" fontId="2" applyFont="1" fillId="0" applyAlignment="1">
      <alignment horizontal="left"/>
    </xf>
    <xf xfId="0" numFmtId="0" borderId="1" applyBorder="1" fontId="5" applyFont="1" fillId="0" applyAlignment="1">
      <alignment horizontal="left"/>
    </xf>
    <xf xfId="0" numFmtId="0" borderId="0" fontId="0" fillId="0" applyAlignment="1">
      <alignment horizontal="general"/>
    </xf>
    <xf xfId="0" numFmtId="0" borderId="0" fontId="0" fillId="0" applyAlignment="1">
      <alignment horizontal="general" wrapText="1"/>
    </xf>
    <xf xfId="0" numFmtId="3" applyNumberFormat="1" borderId="0" fontId="0" fillId="0" applyAlignment="1">
      <alignment horizontal="general"/>
    </xf>
    <xf xfId="0" numFmtId="0" borderId="0" fontId="0" fillId="0" applyAlignment="1">
      <alignment wrapText="1"/>
    </xf>
    <xf xfId="0" numFmtId="0" borderId="6" applyBorder="1" fontId="3" applyFont="1" fillId="5" applyFill="1" applyAlignment="1">
      <alignment horizontal="center" wrapText="1"/>
    </xf>
    <xf xfId="0" numFmtId="3" applyNumberFormat="1" borderId="0" fontId="0" fillId="0" applyAlignment="1">
      <alignment horizontal="general" wrapText="1"/>
    </xf>
    <xf xfId="0" numFmtId="0" borderId="0" fontId="0" fillId="0" applyAlignment="1">
      <alignment horizontal="general"/>
    </xf>
    <xf xfId="0" numFmtId="3" applyNumberFormat="1" borderId="1" applyBorder="1" fontId="1" applyFont="1" fillId="0" applyAlignment="1">
      <alignment horizontal="right"/>
    </xf>
    <xf xfId="0" numFmtId="3" applyNumberFormat="1" borderId="0" fontId="0" fillId="0" applyAlignment="1">
      <alignment horizontal="general"/>
    </xf>
    <xf xfId="0" numFmtId="14" applyNumberFormat="1" borderId="0" fontId="0" fillId="0" applyAlignment="1">
      <alignment horizontal="center"/>
    </xf>
    <xf xfId="0" numFmtId="0" borderId="7" applyBorder="1" fontId="1" applyFont="1" fillId="6" applyFill="1" applyAlignment="1">
      <alignment horizontal="center"/>
    </xf>
    <xf xfId="0" numFmtId="3" applyNumberFormat="1" borderId="7" applyBorder="1" fontId="1" applyFont="1" fillId="6" applyFill="1" applyAlignment="1">
      <alignment horizontal="center"/>
    </xf>
    <xf xfId="0" numFmtId="14" applyNumberFormat="1" borderId="7" applyBorder="1" fontId="1" applyFont="1" fillId="6" applyFill="1" applyAlignment="1">
      <alignment horizontal="center"/>
    </xf>
    <xf xfId="0" numFmtId="0" borderId="7" applyBorder="1" fontId="1" applyFont="1" fillId="0" applyAlignment="1">
      <alignment horizontal="left"/>
    </xf>
    <xf xfId="0" numFmtId="3" applyNumberFormat="1" borderId="7" applyBorder="1" fontId="1" applyFont="1" fillId="0" applyAlignment="1">
      <alignment horizontal="left"/>
    </xf>
    <xf xfId="0" numFmtId="14" applyNumberFormat="1" borderId="7" applyBorder="1" fontId="1" applyFont="1" fillId="0" applyAlignment="1">
      <alignment horizontal="center"/>
    </xf>
    <xf xfId="0" numFmtId="3" applyNumberFormat="1" borderId="7" applyBorder="1" fontId="1" applyFont="1" fillId="0" applyAlignment="1">
      <alignment horizontal="right"/>
    </xf>
    <xf xfId="0" numFmtId="17" applyNumberFormat="1" borderId="7" applyBorder="1" fontId="1" applyFont="1" fillId="0" applyAlignment="1">
      <alignment horizontal="left"/>
    </xf>
    <xf xfId="0" numFmtId="14" applyNumberFormat="1" borderId="0" fontId="0" fillId="0" applyAlignment="1">
      <alignment horizontal="center"/>
    </xf>
    <xf xfId="0" numFmtId="0" borderId="1" applyBorder="1" fontId="6" applyFont="1" fillId="0" applyAlignment="1">
      <alignment horizontal="left"/>
    </xf>
    <xf xfId="0" numFmtId="0" borderId="1" applyBorder="1" fontId="2" applyFont="1" fillId="0" applyAlignment="1">
      <alignment horizontal="center"/>
    </xf>
    <xf xfId="0" numFmtId="0" borderId="1" applyBorder="1" fontId="2" applyFont="1" fillId="0" applyAlignment="1">
      <alignment horizontal="left" wrapText="1"/>
    </xf>
    <xf xfId="0" numFmtId="4" applyNumberFormat="1" borderId="1" applyBorder="1" fontId="2" applyFont="1" fillId="0" applyAlignment="1">
      <alignment horizontal="left"/>
    </xf>
    <xf xfId="0" numFmtId="4" applyNumberFormat="1" borderId="0" fontId="0" fillId="0" applyAlignment="1">
      <alignment horizontal="general"/>
    </xf>
    <xf xfId="0" numFmtId="3" applyNumberFormat="1" borderId="1" applyBorder="1" fontId="2" applyFont="1" fillId="0" applyAlignment="1">
      <alignment horizontal="right"/>
    </xf>
    <xf xfId="0" numFmtId="7" applyNumberFormat="1" borderId="0" fontId="0" fillId="0" applyAlignment="1">
      <alignment horizontal="general"/>
    </xf>
    <xf xfId="0" numFmtId="0" borderId="1" applyBorder="1" fontId="7" applyFont="1" fillId="0" applyAlignment="1">
      <alignment horizontal="left"/>
    </xf>
    <xf xfId="0" numFmtId="0" borderId="1" applyBorder="1" fontId="8" applyFont="1" fillId="0" applyAlignment="1">
      <alignment horizontal="right"/>
    </xf>
    <xf xfId="0" numFmtId="0" borderId="8" applyBorder="1" fontId="9" applyFont="1" fillId="7" applyFill="1" applyAlignment="1">
      <alignment horizontal="left"/>
    </xf>
    <xf xfId="0" numFmtId="0" borderId="1" applyBorder="1" fontId="10" applyFont="1" fillId="0" applyAlignment="1">
      <alignment horizontal="left"/>
    </xf>
    <xf xfId="0" numFmtId="0" borderId="1" applyBorder="1" fontId="11" applyFont="1" fillId="0" applyAlignment="1">
      <alignment horizontal="center" vertical="top" wrapText="1"/>
    </xf>
    <xf xfId="0" numFmtId="0" borderId="1" applyBorder="1" fontId="11" applyFont="1" fillId="0" applyAlignment="1">
      <alignment horizontal="left" vertical="top" wrapText="1"/>
    </xf>
    <xf xfId="0" numFmtId="0" borderId="1" applyBorder="1" fontId="11" applyFont="1" fillId="0" applyAlignment="1">
      <alignment horizontal="left" wrapText="1"/>
    </xf>
    <xf xfId="0" numFmtId="0" borderId="1" applyBorder="1" fontId="12" applyFont="1" fillId="0" applyAlignment="1">
      <alignment horizontal="left"/>
    </xf>
    <xf xfId="0" numFmtId="0" borderId="1" applyBorder="1" fontId="13" applyFont="1" fillId="0" applyAlignment="1">
      <alignment horizontal="left"/>
    </xf>
    <xf xfId="0" numFmtId="0" borderId="1" applyBorder="1" fontId="2" applyFont="1" fillId="0" applyAlignment="1">
      <alignment horizontal="right"/>
    </xf>
    <xf xfId="0" numFmtId="0" borderId="9" applyBorder="1" fontId="2" applyFont="1" fillId="8" applyFill="1" applyAlignment="1">
      <alignment horizontal="left"/>
    </xf>
    <xf xfId="0" numFmtId="0" borderId="1" applyBorder="1" fontId="14" applyFont="1" fillId="0" applyAlignment="1">
      <alignment horizontal="right"/>
    </xf>
    <xf xfId="0" numFmtId="0" borderId="1" applyBorder="1" fontId="15" applyFont="1" fillId="0" applyAlignment="1">
      <alignment horizontal="left"/>
    </xf>
    <xf xfId="0" numFmtId="0" borderId="1" applyBorder="1" fontId="11" applyFont="1" fillId="0" applyAlignment="1">
      <alignment horizontal="center" wrapText="1"/>
    </xf>
    <xf xfId="0" numFmtId="3" applyNumberFormat="1" borderId="10" applyBorder="1" fontId="2" applyFont="1" fillId="9" applyFill="1" applyAlignment="1">
      <alignment horizontal="center"/>
    </xf>
    <xf xfId="0" numFmtId="0" borderId="1" applyBorder="1" fontId="16" applyFont="1" fillId="0" applyAlignment="1">
      <alignment horizontal="left"/>
    </xf>
    <xf xfId="0" numFmtId="0" borderId="11" applyBorder="1" fontId="2" applyFont="1" fillId="8" applyFill="1" applyAlignment="1">
      <alignment horizontal="left"/>
    </xf>
    <xf xfId="0" numFmtId="0" borderId="12" applyBorder="1" fontId="2" applyFont="1" fillId="0" applyAlignment="1">
      <alignment horizontal="left"/>
    </xf>
    <xf xfId="0" numFmtId="3" applyNumberFormat="1" borderId="10" applyBorder="1" fontId="2" applyFont="1" fillId="10" applyFill="1" applyAlignment="1">
      <alignment horizontal="center"/>
    </xf>
    <xf xfId="0" numFmtId="0" borderId="8" applyBorder="1" fontId="17" applyFont="1" fillId="11" applyFill="1" applyAlignment="1">
      <alignment horizontal="center" wrapText="1"/>
    </xf>
    <xf xfId="0" numFmtId="0" borderId="1" applyBorder="1" fontId="18" applyFont="1" fillId="0" applyAlignment="1">
      <alignment horizontal="left"/>
    </xf>
    <xf xfId="0" numFmtId="0" borderId="1" applyBorder="1" fontId="19" applyFont="1" fillId="0" applyAlignment="1">
      <alignment horizontal="left"/>
    </xf>
    <xf xfId="0" numFmtId="4" applyNumberFormat="1" borderId="1" applyBorder="1" fontId="2" applyFont="1" fillId="0" applyAlignment="1">
      <alignment horizontal="center"/>
    </xf>
    <xf xfId="0" numFmtId="3" applyNumberFormat="1" borderId="12" applyBorder="1" fontId="20" applyFont="1" fillId="0" applyAlignment="1">
      <alignment horizontal="left"/>
    </xf>
    <xf xfId="0" numFmtId="0" borderId="13" applyBorder="1" fontId="20" applyFont="1" fillId="0" applyAlignment="1">
      <alignment horizontal="left"/>
    </xf>
    <xf xfId="0" numFmtId="3" applyNumberFormat="1" borderId="1" applyBorder="1" fontId="20" applyFont="1" fillId="0" applyAlignment="1">
      <alignment horizontal="left"/>
    </xf>
    <xf xfId="0" numFmtId="0" borderId="14" applyBorder="1" fontId="11" applyFont="1" fillId="0" applyAlignment="1">
      <alignment horizontal="center" wrapText="1"/>
    </xf>
    <xf xfId="0" numFmtId="0" borderId="14" applyBorder="1" fontId="11" applyFont="1" fillId="0" applyAlignment="1">
      <alignment horizontal="left" wrapText="1"/>
    </xf>
    <xf xfId="0" numFmtId="7" applyNumberFormat="1" borderId="1" applyBorder="1" fontId="2" applyFont="1" fillId="0" applyAlignment="1">
      <alignment horizontal="right"/>
    </xf>
    <xf xfId="0" numFmtId="0" borderId="10" applyBorder="1" fontId="21" applyFont="1" fillId="12" applyFill="1" applyAlignment="1">
      <alignment horizontal="left"/>
    </xf>
    <xf xfId="0" numFmtId="0" borderId="15" applyBorder="1" fontId="22" applyFont="1" fillId="13" applyFill="1" applyAlignment="1">
      <alignment horizontal="left"/>
    </xf>
    <xf xfId="0" numFmtId="0" borderId="2" applyBorder="1" fontId="23" applyFont="1" fillId="13" applyFill="1" applyAlignment="1">
      <alignment horizontal="right"/>
    </xf>
    <xf xfId="0" numFmtId="0" borderId="2" applyBorder="1" fontId="23" applyFont="1" fillId="13" applyFill="1" applyAlignment="1">
      <alignment horizontal="left"/>
    </xf>
    <xf xfId="0" numFmtId="0" borderId="16" applyBorder="1" fontId="23" applyFont="1" fillId="13" applyFill="1" applyAlignment="1">
      <alignment horizontal="left"/>
    </xf>
    <xf xfId="0" numFmtId="0" borderId="15" applyBorder="1" fontId="24" applyFont="1" fillId="14" applyFill="1" applyAlignment="1">
      <alignment horizontal="left"/>
    </xf>
    <xf xfId="0" numFmtId="0" borderId="2" applyBorder="1" fontId="25" applyFont="1" fillId="14" applyFill="1" applyAlignment="1">
      <alignment horizontal="left" wrapText="1"/>
    </xf>
    <xf xfId="0" numFmtId="3" applyNumberFormat="1" borderId="2" applyBorder="1" fontId="25" applyFont="1" fillId="14" applyFill="1" applyAlignment="1">
      <alignment horizontal="left" wrapText="1"/>
    </xf>
    <xf xfId="0" numFmtId="0" borderId="2" applyBorder="1" fontId="25" applyFont="1" fillId="14" applyFill="1" applyAlignment="1">
      <alignment horizontal="left"/>
    </xf>
    <xf xfId="0" numFmtId="0" borderId="15" applyBorder="1" fontId="22" applyFont="1" fillId="15" applyFill="1" applyAlignment="1">
      <alignment horizontal="left"/>
    </xf>
    <xf xfId="0" numFmtId="0" borderId="2" applyBorder="1" fontId="25" applyFont="1" fillId="16" applyFill="1" applyAlignment="1">
      <alignment horizontal="left" wrapText="1"/>
    </xf>
    <xf xfId="0" numFmtId="0" borderId="2" applyBorder="1" fontId="23" applyFont="1" fillId="16" applyFill="1" applyAlignment="1">
      <alignment horizontal="left"/>
    </xf>
    <xf xfId="0" numFmtId="4" applyNumberFormat="1" borderId="2" applyBorder="1" fontId="22" applyFont="1" fillId="17" applyFill="1" applyAlignment="1">
      <alignment horizontal="left"/>
    </xf>
    <xf xfId="0" numFmtId="3" applyNumberFormat="1" borderId="2" applyBorder="1" fontId="22" applyFont="1" fillId="17" applyFill="1" applyAlignment="1">
      <alignment horizontal="right"/>
    </xf>
    <xf xfId="0" numFmtId="3" applyNumberFormat="1" borderId="16" applyBorder="1" fontId="22" applyFont="1" fillId="17" applyFill="1" applyAlignment="1">
      <alignment horizontal="right"/>
    </xf>
    <xf xfId="0" numFmtId="0" borderId="1" applyBorder="1" fontId="23" applyFont="1" fillId="0" applyAlignment="1">
      <alignment horizontal="left"/>
    </xf>
    <xf xfId="0" numFmtId="3" applyNumberFormat="1" borderId="1" applyBorder="1" fontId="23" applyFont="1" fillId="0" applyAlignment="1">
      <alignment horizontal="right"/>
    </xf>
    <xf xfId="0" numFmtId="3" applyNumberFormat="1" borderId="1" applyBorder="1" fontId="6" applyFont="1" fillId="0" applyAlignment="1">
      <alignment horizontal="center" wrapText="1"/>
    </xf>
    <xf xfId="0" numFmtId="0" borderId="1" applyBorder="1" fontId="6" applyFont="1" fillId="0" applyAlignment="1">
      <alignment horizontal="center" wrapText="1"/>
    </xf>
    <xf xfId="0" numFmtId="0" borderId="1" applyBorder="1" fontId="23" applyFont="1" fillId="0" applyAlignment="1">
      <alignment horizontal="left" wrapText="1"/>
    </xf>
    <xf xfId="0" numFmtId="0" borderId="2" applyBorder="1" fontId="22" applyFont="1" fillId="15" applyFill="1" applyAlignment="1">
      <alignment horizontal="left"/>
    </xf>
    <xf xfId="0" numFmtId="0" borderId="2" applyBorder="1" fontId="22" applyFont="1" fillId="18" applyFill="1" applyAlignment="1">
      <alignment horizontal="center"/>
    </xf>
    <xf xfId="0" numFmtId="3" applyNumberFormat="1" borderId="1" applyBorder="1" fontId="23" applyFont="1" fillId="0" applyAlignment="1">
      <alignment horizontal="left"/>
    </xf>
    <xf xfId="0" numFmtId="0" borderId="17" applyBorder="1" fontId="26" applyFont="1" fillId="19" applyFill="1" applyAlignment="1">
      <alignment horizontal="center" wrapText="1"/>
    </xf>
    <xf xfId="0" numFmtId="0" borderId="17" applyBorder="1" fontId="27" applyFont="1" fillId="14" applyFill="1" applyAlignment="1">
      <alignment horizontal="left" wrapText="1"/>
    </xf>
    <xf xfId="0" numFmtId="3" applyNumberFormat="1" borderId="17" applyBorder="1" fontId="27" applyFont="1" fillId="14" applyFill="1" applyAlignment="1">
      <alignment horizontal="left" wrapText="1"/>
    </xf>
    <xf xfId="0" numFmtId="0" borderId="18" applyBorder="1" fontId="28" applyFont="1" fillId="20" applyFill="1" applyAlignment="1">
      <alignment horizontal="left" wrapText="1"/>
    </xf>
    <xf xfId="0" numFmtId="0" borderId="19" applyBorder="1" fontId="26" applyFont="1" fillId="21" applyFill="1" applyAlignment="1">
      <alignment horizontal="center" wrapText="1"/>
    </xf>
    <xf xfId="0" numFmtId="0" borderId="17" applyBorder="1" fontId="26" applyFont="1" fillId="21" applyFill="1" applyAlignment="1">
      <alignment horizontal="center" wrapText="1"/>
    </xf>
    <xf xfId="0" numFmtId="4" applyNumberFormat="1" borderId="18" applyBorder="1" fontId="28" applyFont="1" fillId="21" applyFill="1" applyAlignment="1">
      <alignment horizontal="center" wrapText="1"/>
    </xf>
    <xf xfId="0" numFmtId="3" applyNumberFormat="1" borderId="19" applyBorder="1" fontId="29" applyFont="1" fillId="22" applyFill="1" applyAlignment="1">
      <alignment horizontal="center" wrapText="1"/>
    </xf>
    <xf xfId="0" numFmtId="0" borderId="17" applyBorder="1" fontId="28" applyFont="1" fillId="5" applyFill="1" applyAlignment="1">
      <alignment horizontal="center" wrapText="1"/>
    </xf>
    <xf xfId="0" numFmtId="3" applyNumberFormat="1" borderId="19" applyBorder="1" fontId="28" applyFont="1" fillId="5" applyFill="1" applyAlignment="1">
      <alignment horizontal="center" wrapText="1"/>
    </xf>
    <xf xfId="0" numFmtId="0" borderId="20" applyBorder="1" fontId="28" applyFont="1" fillId="5" applyFill="1" applyAlignment="1">
      <alignment horizontal="center" wrapText="1"/>
    </xf>
    <xf xfId="0" numFmtId="0" borderId="10" applyBorder="1" fontId="3" applyFont="1" fillId="20" applyFill="1" applyAlignment="1">
      <alignment horizontal="left" wrapText="1"/>
    </xf>
    <xf xfId="0" numFmtId="0" borderId="10" applyBorder="1" fontId="3" applyFont="1" fillId="18" applyFill="1" applyAlignment="1">
      <alignment horizontal="left" wrapText="1"/>
    </xf>
    <xf xfId="0" numFmtId="0" borderId="10" applyBorder="1" fontId="3" applyFont="1" fillId="18" applyFill="1" applyAlignment="1">
      <alignment horizontal="center" wrapText="1"/>
    </xf>
    <xf xfId="0" numFmtId="0" borderId="21" applyBorder="1" fontId="30" applyFont="1" fillId="21" applyFill="1" applyAlignment="1">
      <alignment horizontal="center" wrapText="1"/>
    </xf>
    <xf xfId="0" numFmtId="0" borderId="22" applyBorder="1" fontId="30" applyFont="1" fillId="21" applyFill="1" applyAlignment="1">
      <alignment horizontal="center" wrapText="1"/>
    </xf>
    <xf xfId="0" numFmtId="3" applyNumberFormat="1" borderId="10" applyBorder="1" fontId="28" applyFont="1" fillId="5" applyFill="1" applyAlignment="1">
      <alignment horizontal="center" wrapText="1"/>
    </xf>
    <xf xfId="0" numFmtId="7" applyNumberFormat="1" borderId="10" applyBorder="1" fontId="28" applyFont="1" fillId="5" applyFill="1" applyAlignment="1">
      <alignment horizontal="center" wrapText="1"/>
    </xf>
    <xf xfId="0" numFmtId="0" borderId="1" applyBorder="1" fontId="31" applyFont="1" fillId="0" applyAlignment="1">
      <alignment horizontal="left" wrapText="1"/>
    </xf>
    <xf xfId="0" numFmtId="0" borderId="9" applyBorder="1" fontId="17" applyFont="1" fillId="7" applyFill="1" applyAlignment="1">
      <alignment horizontal="center" wrapText="1"/>
    </xf>
    <xf xfId="0" numFmtId="3" applyNumberFormat="1" borderId="1" applyBorder="1" fontId="1" applyFont="1" fillId="0" applyAlignment="1">
      <alignment horizontal="left"/>
    </xf>
    <xf xfId="0" numFmtId="4" applyNumberFormat="1" borderId="1" applyBorder="1" fontId="2" applyFont="1" fillId="0" applyAlignment="1">
      <alignment horizontal="right"/>
    </xf>
    <xf xfId="0" numFmtId="3" applyNumberFormat="1" borderId="1" applyBorder="1" fontId="1" applyFont="1" fillId="0" applyAlignment="1">
      <alignment horizontal="center"/>
    </xf>
    <xf xfId="0" numFmtId="7" applyNumberFormat="1" borderId="1" applyBorder="1" fontId="1" applyFont="1" fillId="0" applyAlignment="1">
      <alignment horizontal="center"/>
    </xf>
    <xf xfId="0" numFmtId="7" applyNumberFormat="1" borderId="1" applyBorder="1" fontId="1" applyFont="1" fillId="0" applyAlignment="1">
      <alignment horizontal="right"/>
    </xf>
    <xf xfId="0" numFmtId="0" borderId="11" applyBorder="1" fontId="17" applyFont="1" fillId="7" applyFill="1" applyAlignment="1">
      <alignment horizontal="center" wrapText="1"/>
    </xf>
    <xf xfId="0" numFmtId="164" applyNumberFormat="1" borderId="1" applyBorder="1" fontId="1" applyFont="1" fillId="0" applyAlignment="1">
      <alignment horizontal="right"/>
    </xf>
    <xf xfId="0" numFmtId="0" borderId="23" applyBorder="1" fontId="17" applyFont="1" fillId="7" applyFill="1" applyAlignment="1">
      <alignment horizontal="center" wrapText="1"/>
    </xf>
    <xf xfId="0" numFmtId="4" applyNumberFormat="1" borderId="1" applyBorder="1" fontId="1" applyFont="1" fillId="0" applyAlignment="1">
      <alignment horizontal="left"/>
    </xf>
    <xf xfId="0" numFmtId="4" applyNumberFormat="1" borderId="1" applyBorder="1" fontId="1" applyFont="1" fillId="0" applyAlignment="1">
      <alignment horizontal="right"/>
    </xf>
    <xf xfId="0" numFmtId="7" applyNumberFormat="1" borderId="1" applyBorder="1" fontId="1" applyFont="1" fillId="0" applyAlignment="1">
      <alignment horizontal="left"/>
    </xf>
    <xf xfId="0" numFmtId="4" applyNumberFormat="1" borderId="0" fontId="0" fillId="0" applyAlignment="1">
      <alignment horizontal="general" wrapText="1"/>
    </xf>
    <xf xfId="0" numFmtId="7" applyNumberFormat="1" borderId="0" fontId="0" fillId="0" applyAlignment="1">
      <alignment horizontal="general" wrapText="1"/>
    </xf>
    <xf xfId="0" numFmtId="4" applyNumberFormat="1" borderId="0" fontId="0" fillId="0" applyAlignment="1">
      <alignment horizontal="general"/>
    </xf>
    <xf xfId="0" numFmtId="7" applyNumberFormat="1" borderId="0" fontId="0" fillId="0" applyAlignment="1">
      <alignment horizontal="general"/>
    </xf>
    <xf xfId="0" numFmtId="3" applyNumberFormat="1" borderId="1" applyBorder="1" fontId="2" applyFont="1" fillId="0" applyAlignment="1">
      <alignment horizontal="left"/>
    </xf>
    <xf xfId="0" numFmtId="0" borderId="1" applyBorder="1" fontId="14" applyFont="1" fillId="0" applyAlignment="1">
      <alignment horizontal="left"/>
    </xf>
    <xf xfId="0" numFmtId="3" applyNumberFormat="1" borderId="10" applyBorder="1" fontId="1" applyFont="1" fillId="9" applyFill="1" applyAlignment="1">
      <alignment horizontal="center"/>
    </xf>
    <xf xfId="0" numFmtId="0" borderId="11" applyBorder="1" fontId="2" applyFont="1" fillId="0" applyAlignment="1">
      <alignment horizontal="left"/>
    </xf>
    <xf xfId="0" numFmtId="3" applyNumberFormat="1" borderId="10" applyBorder="1" fontId="1" applyFont="1" fillId="10" applyFill="1" applyAlignment="1">
      <alignment horizontal="center"/>
    </xf>
    <xf xfId="0" numFmtId="0" borderId="8" applyBorder="1" fontId="1" applyFont="1" fillId="11" applyFill="1" applyAlignment="1">
      <alignment horizontal="center" wrapText="1"/>
    </xf>
    <xf xfId="0" numFmtId="3" applyNumberFormat="1" borderId="1" applyBorder="1" fontId="2" applyFont="1" fillId="0" applyAlignment="1">
      <alignment horizontal="center"/>
    </xf>
    <xf xfId="0" numFmtId="0" borderId="12" applyBorder="1" fontId="20" applyFont="1" fillId="0" applyAlignment="1">
      <alignment horizontal="left"/>
    </xf>
    <xf xfId="0" numFmtId="3" applyNumberFormat="1" borderId="2" applyBorder="1" fontId="22" applyFont="1" fillId="17" applyFill="1" applyAlignment="1">
      <alignment horizontal="left"/>
    </xf>
    <xf xfId="0" numFmtId="0" borderId="17" applyBorder="1" fontId="30" applyFont="1" fillId="19" applyFill="1" applyAlignment="1">
      <alignment horizontal="center" wrapText="1"/>
    </xf>
    <xf xfId="0" numFmtId="0" borderId="17" applyBorder="1" fontId="32" applyFont="1" fillId="14" applyFill="1" applyAlignment="1">
      <alignment horizontal="left" wrapText="1"/>
    </xf>
    <xf xfId="0" numFmtId="3" applyNumberFormat="1" borderId="17" applyBorder="1" fontId="32" applyFont="1" fillId="14" applyFill="1" applyAlignment="1">
      <alignment horizontal="left" wrapText="1"/>
    </xf>
    <xf xfId="0" numFmtId="0" borderId="18" applyBorder="1" fontId="3" applyFont="1" fillId="20" applyFill="1" applyAlignment="1">
      <alignment horizontal="left" wrapText="1"/>
    </xf>
    <xf xfId="0" numFmtId="0" borderId="19" applyBorder="1" fontId="30" applyFont="1" fillId="21" applyFill="1" applyAlignment="1">
      <alignment horizontal="center" wrapText="1"/>
    </xf>
    <xf xfId="0" numFmtId="0" borderId="17" applyBorder="1" fontId="30" applyFont="1" fillId="21" applyFill="1" applyAlignment="1">
      <alignment horizontal="center" wrapText="1"/>
    </xf>
    <xf xfId="0" numFmtId="3" applyNumberFormat="1" borderId="18" applyBorder="1" fontId="3" applyFont="1" fillId="21" applyFill="1" applyAlignment="1">
      <alignment horizontal="center"/>
    </xf>
    <xf xfId="0" numFmtId="3" applyNumberFormat="1" borderId="24" applyBorder="1" fontId="3" applyFont="1" fillId="21" applyFill="1" applyAlignment="1">
      <alignment horizontal="center"/>
    </xf>
    <xf xfId="0" numFmtId="0" borderId="25" applyBorder="1" fontId="4" applyFont="1" fillId="22" applyFill="1" applyAlignment="1">
      <alignment horizontal="center" wrapText="1"/>
    </xf>
    <xf xfId="0" numFmtId="0" borderId="26" applyBorder="1" fontId="3" applyFont="1" fillId="5" applyFill="1" applyAlignment="1">
      <alignment horizontal="center" wrapText="1"/>
    </xf>
    <xf xfId="0" numFmtId="3" applyNumberFormat="1" borderId="25" applyBorder="1" fontId="3" applyFont="1" fillId="5" applyFill="1" applyAlignment="1">
      <alignment horizontal="center" wrapText="1"/>
    </xf>
    <xf xfId="0" numFmtId="0" borderId="25" applyBorder="1" fontId="3" applyFont="1" fillId="5" applyFill="1" applyAlignment="1">
      <alignment horizontal="center" wrapText="1"/>
    </xf>
    <xf xfId="0" numFmtId="0" borderId="18" applyBorder="1" fontId="6" applyFont="1" fillId="19" applyFill="1" applyAlignment="1">
      <alignment horizontal="left"/>
    </xf>
    <xf xfId="0" numFmtId="0" borderId="18" applyBorder="1" fontId="17" applyFont="1" fillId="7" applyFill="1" applyAlignment="1">
      <alignment horizontal="center" wrapText="1"/>
    </xf>
    <xf xfId="0" numFmtId="0" borderId="18" applyBorder="1" fontId="33" applyFont="1" fillId="19" applyFill="1" applyAlignment="1">
      <alignment horizontal="center" wrapText="1"/>
    </xf>
    <xf xfId="0" numFmtId="0" borderId="18" applyBorder="1" fontId="33" applyFont="1" fillId="19" applyFill="1" applyAlignment="1">
      <alignment horizontal="center" wrapText="1"/>
    </xf>
    <xf xfId="0" numFmtId="0" borderId="18" applyBorder="1" fontId="33" applyFont="1" fillId="19" applyFill="1" applyAlignment="1">
      <alignment horizontal="left" wrapText="1"/>
    </xf>
    <xf xfId="0" numFmtId="3" applyNumberFormat="1" borderId="18" applyBorder="1" fontId="33" applyFont="1" fillId="19" applyFill="1" applyAlignment="1">
      <alignment horizontal="left" wrapText="1"/>
    </xf>
    <xf xfId="0" numFmtId="0" borderId="18" applyBorder="1" fontId="2" applyFont="1" fillId="19" applyFill="1" applyAlignment="1">
      <alignment horizontal="left"/>
    </xf>
    <xf xfId="0" numFmtId="3" applyNumberFormat="1" borderId="18" applyBorder="1" fontId="2" applyFont="1" fillId="19" applyFill="1" applyAlignment="1">
      <alignment horizontal="left"/>
    </xf>
    <xf xfId="0" numFmtId="3" applyNumberFormat="1" borderId="18" applyBorder="1" fontId="2" applyFont="1" fillId="19" applyFill="1" applyAlignment="1">
      <alignment horizontal="right"/>
    </xf>
    <xf xfId="0" numFmtId="3" applyNumberFormat="1" borderId="18" applyBorder="1" fontId="1" applyFont="1" fillId="19" applyFill="1" applyAlignment="1">
      <alignment horizontal="right"/>
    </xf>
    <xf xfId="0" numFmtId="3" applyNumberFormat="1" borderId="24" applyBorder="1" fontId="2" applyFont="1" fillId="19" applyFill="1" applyAlignment="1">
      <alignment horizontal="right"/>
    </xf>
    <xf xfId="0" numFmtId="0" borderId="1" applyBorder="1" fontId="2" applyFont="1" fillId="0" applyAlignment="1">
      <alignment horizontal="left"/>
    </xf>
    <xf xfId="0" numFmtId="0" borderId="18" applyBorder="1" fontId="6" applyFont="1" fillId="9" applyFill="1" applyAlignment="1">
      <alignment horizontal="left"/>
    </xf>
    <xf xfId="0" numFmtId="0" borderId="18" applyBorder="1" fontId="33" applyFont="1" fillId="9" applyFill="1" applyAlignment="1">
      <alignment horizontal="center" wrapText="1"/>
    </xf>
    <xf xfId="0" numFmtId="0" borderId="18" applyBorder="1" fontId="33" applyFont="1" fillId="9" applyFill="1" applyAlignment="1">
      <alignment horizontal="center" wrapText="1"/>
    </xf>
    <xf xfId="0" numFmtId="0" borderId="18" applyBorder="1" fontId="33" applyFont="1" fillId="9" applyFill="1" applyAlignment="1">
      <alignment horizontal="left" wrapText="1"/>
    </xf>
    <xf xfId="0" numFmtId="3" applyNumberFormat="1" borderId="18" applyBorder="1" fontId="33" applyFont="1" fillId="9" applyFill="1" applyAlignment="1">
      <alignment horizontal="left" wrapText="1"/>
    </xf>
    <xf xfId="0" numFmtId="0" borderId="18" applyBorder="1" fontId="2" applyFont="1" fillId="9" applyFill="1" applyAlignment="1">
      <alignment horizontal="left"/>
    </xf>
    <xf xfId="0" numFmtId="3" applyNumberFormat="1" borderId="18" applyBorder="1" fontId="2" applyFont="1" fillId="9" applyFill="1" applyAlignment="1">
      <alignment horizontal="left"/>
    </xf>
    <xf xfId="0" numFmtId="3" applyNumberFormat="1" borderId="18" applyBorder="1" fontId="2" applyFont="1" fillId="9" applyFill="1" applyAlignment="1">
      <alignment horizontal="right"/>
    </xf>
    <xf xfId="0" numFmtId="3" applyNumberFormat="1" borderId="18" applyBorder="1" fontId="1" applyFont="1" fillId="9" applyFill="1" applyAlignment="1">
      <alignment horizontal="right"/>
    </xf>
    <xf xfId="0" numFmtId="3" applyNumberFormat="1" borderId="24" applyBorder="1" fontId="2" applyFont="1" fillId="9" applyFill="1" applyAlignment="1">
      <alignment horizontal="right"/>
    </xf>
    <xf xfId="0" numFmtId="3" applyNumberFormat="1" borderId="18" applyBorder="1" fontId="33" applyFont="1" fillId="19" applyFill="1" applyAlignment="1">
      <alignment horizontal="center" wrapText="1"/>
    </xf>
    <xf xfId="0" numFmtId="3" applyNumberFormat="1" borderId="24" applyBorder="1" fontId="33" applyFont="1" fillId="19" applyFill="1" applyAlignment="1">
      <alignment horizontal="center" wrapText="1"/>
    </xf>
    <xf xfId="0" numFmtId="3" applyNumberFormat="1" borderId="18" applyBorder="1" fontId="33" applyFont="1" fillId="9" applyFill="1" applyAlignment="1">
      <alignment horizontal="center" wrapText="1"/>
    </xf>
    <xf xfId="0" numFmtId="3" applyNumberFormat="1" borderId="24" applyBorder="1" fontId="33" applyFont="1" fillId="9" applyFill="1" applyAlignment="1">
      <alignment horizontal="center" wrapText="1"/>
    </xf>
    <xf xfId="0" numFmtId="0" borderId="15" applyBorder="1" fontId="6" applyFont="1" fillId="19" applyFill="1" applyAlignment="1">
      <alignment horizontal="left"/>
    </xf>
    <xf xfId="0" numFmtId="0" borderId="15" applyBorder="1" fontId="17" applyFont="1" fillId="7" applyFill="1" applyAlignment="1">
      <alignment horizontal="center" wrapText="1"/>
    </xf>
    <xf xfId="0" numFmtId="0" borderId="15" applyBorder="1" fontId="33" applyFont="1" fillId="19" applyFill="1" applyAlignment="1">
      <alignment horizontal="center" wrapText="1"/>
    </xf>
    <xf xfId="0" numFmtId="0" borderId="15" applyBorder="1" fontId="33" applyFont="1" fillId="19" applyFill="1" applyAlignment="1">
      <alignment horizontal="center" wrapText="1"/>
    </xf>
    <xf xfId="0" numFmtId="0" borderId="15" applyBorder="1" fontId="33" applyFont="1" fillId="19" applyFill="1" applyAlignment="1">
      <alignment horizontal="left" wrapText="1"/>
    </xf>
    <xf xfId="0" numFmtId="3" applyNumberFormat="1" borderId="15" applyBorder="1" fontId="33" applyFont="1" fillId="19" applyFill="1" applyAlignment="1">
      <alignment horizontal="left" wrapText="1"/>
    </xf>
    <xf xfId="0" numFmtId="0" borderId="15" applyBorder="1" fontId="2" applyFont="1" fillId="19" applyFill="1" applyAlignment="1">
      <alignment horizontal="left"/>
    </xf>
    <xf xfId="0" numFmtId="3" applyNumberFormat="1" borderId="15" applyBorder="1" fontId="2" applyFont="1" fillId="19" applyFill="1" applyAlignment="1">
      <alignment horizontal="left"/>
    </xf>
    <xf xfId="0" numFmtId="3" applyNumberFormat="1" borderId="15" applyBorder="1" fontId="2" applyFont="1" fillId="19" applyFill="1" applyAlignment="1">
      <alignment horizontal="right"/>
    </xf>
    <xf xfId="0" numFmtId="3" applyNumberFormat="1" borderId="15" applyBorder="1" fontId="1" applyFont="1" fillId="19" applyFill="1" applyAlignment="1">
      <alignment horizontal="right"/>
    </xf>
    <xf xfId="0" numFmtId="3" applyNumberFormat="1" borderId="11" applyBorder="1" fontId="2" applyFont="1" fillId="19" applyFill="1" applyAlignment="1">
      <alignment horizontal="right"/>
    </xf>
    <xf xfId="0" numFmtId="0" borderId="10" applyBorder="1" fontId="33" applyFont="1" fillId="19" applyFill="1" applyAlignment="1">
      <alignment horizontal="left" wrapText="1"/>
    </xf>
    <xf xfId="0" numFmtId="0" borderId="19" applyBorder="1" fontId="6" applyFont="1" fillId="19" applyFill="1" applyAlignment="1">
      <alignment horizontal="left"/>
    </xf>
    <xf xfId="0" numFmtId="0" borderId="19" applyBorder="1" fontId="17" applyFont="1" fillId="7" applyFill="1" applyAlignment="1">
      <alignment horizontal="center" wrapText="1"/>
    </xf>
    <xf xfId="0" numFmtId="0" borderId="19" applyBorder="1" fontId="33" applyFont="1" fillId="19" applyFill="1" applyAlignment="1">
      <alignment horizontal="center" wrapText="1"/>
    </xf>
    <xf xfId="0" numFmtId="0" borderId="19" applyBorder="1" fontId="33" applyFont="1" fillId="19" applyFill="1" applyAlignment="1">
      <alignment horizontal="center" wrapText="1"/>
    </xf>
    <xf xfId="0" numFmtId="0" borderId="19" applyBorder="1" fontId="33" applyFont="1" fillId="19" applyFill="1" applyAlignment="1">
      <alignment horizontal="left" wrapText="1"/>
    </xf>
    <xf xfId="0" numFmtId="3" applyNumberFormat="1" borderId="19" applyBorder="1" fontId="33" applyFont="1" fillId="19" applyFill="1" applyAlignment="1">
      <alignment horizontal="left" wrapText="1"/>
    </xf>
    <xf xfId="0" numFmtId="0" borderId="19" applyBorder="1" fontId="2" applyFont="1" fillId="19" applyFill="1" applyAlignment="1">
      <alignment horizontal="left"/>
    </xf>
    <xf xfId="0" numFmtId="3" applyNumberFormat="1" borderId="19" applyBorder="1" fontId="2" applyFont="1" fillId="19" applyFill="1" applyAlignment="1">
      <alignment horizontal="left"/>
    </xf>
    <xf xfId="0" numFmtId="3" applyNumberFormat="1" borderId="19" applyBorder="1" fontId="2" applyFont="1" fillId="19" applyFill="1" applyAlignment="1">
      <alignment horizontal="right"/>
    </xf>
    <xf xfId="0" numFmtId="3" applyNumberFormat="1" borderId="19" applyBorder="1" fontId="1" applyFont="1" fillId="19" applyFill="1" applyAlignment="1">
      <alignment horizontal="right"/>
    </xf>
    <xf xfId="0" numFmtId="3" applyNumberFormat="1" borderId="23" applyBorder="1" fontId="2" applyFont="1" fillId="19" applyFill="1" applyAlignment="1">
      <alignment horizontal="right"/>
    </xf>
    <xf xfId="0" numFmtId="0" borderId="19" applyBorder="1" fontId="6" applyFont="1" fillId="9" applyFill="1" applyAlignment="1">
      <alignment horizontal="left"/>
    </xf>
    <xf xfId="0" numFmtId="0" borderId="19" applyBorder="1" fontId="33" applyFont="1" fillId="9" applyFill="1" applyAlignment="1">
      <alignment horizontal="center" wrapText="1"/>
    </xf>
    <xf xfId="0" numFmtId="0" borderId="19" applyBorder="1" fontId="33" applyFont="1" fillId="9" applyFill="1" applyAlignment="1">
      <alignment horizontal="center" wrapText="1"/>
    </xf>
    <xf xfId="0" numFmtId="0" borderId="10" applyBorder="1" fontId="33" applyFont="1" fillId="9" applyFill="1" applyAlignment="1">
      <alignment horizontal="left" wrapText="1"/>
    </xf>
    <xf xfId="0" numFmtId="0" borderId="19" applyBorder="1" fontId="33" applyFont="1" fillId="9" applyFill="1" applyAlignment="1">
      <alignment horizontal="left" wrapText="1"/>
    </xf>
    <xf xfId="0" numFmtId="3" applyNumberFormat="1" borderId="19" applyBorder="1" fontId="33" applyFont="1" fillId="9" applyFill="1" applyAlignment="1">
      <alignment horizontal="left" wrapText="1"/>
    </xf>
    <xf xfId="0" numFmtId="0" borderId="19" applyBorder="1" fontId="2" applyFont="1" fillId="9" applyFill="1" applyAlignment="1">
      <alignment horizontal="left"/>
    </xf>
    <xf xfId="0" numFmtId="3" applyNumberFormat="1" borderId="19" applyBorder="1" fontId="2" applyFont="1" fillId="9" applyFill="1" applyAlignment="1">
      <alignment horizontal="left"/>
    </xf>
    <xf xfId="0" numFmtId="3" applyNumberFormat="1" borderId="19" applyBorder="1" fontId="2" applyFont="1" fillId="9" applyFill="1" applyAlignment="1">
      <alignment horizontal="right"/>
    </xf>
    <xf xfId="0" numFmtId="3" applyNumberFormat="1" borderId="19" applyBorder="1" fontId="1" applyFont="1" fillId="9" applyFill="1" applyAlignment="1">
      <alignment horizontal="right"/>
    </xf>
    <xf xfId="0" numFmtId="3" applyNumberFormat="1" borderId="23" applyBorder="1" fontId="2" applyFont="1" fillId="9" applyFill="1" applyAlignment="1">
      <alignment horizontal="right"/>
    </xf>
    <xf xfId="0" numFmtId="0" borderId="10" applyBorder="1" fontId="17" applyFont="1" fillId="7" applyFill="1" applyAlignment="1">
      <alignment horizontal="center" wrapText="1"/>
    </xf>
    <xf xfId="0" numFmtId="0" borderId="1" applyBorder="1" fontId="33" applyFont="1" fillId="0" applyAlignment="1">
      <alignment horizontal="center" wrapText="1"/>
    </xf>
    <xf xfId="0" numFmtId="3" applyNumberFormat="1" borderId="1" applyBorder="1" fontId="33" applyFont="1" fillId="0" applyAlignment="1">
      <alignment horizontal="center" wrapText="1"/>
    </xf>
    <xf xfId="0" numFmtId="0" borderId="1" applyBorder="1" fontId="33" applyFont="1" fillId="0" applyAlignment="1">
      <alignment horizontal="left" wrapText="1"/>
    </xf>
    <xf xfId="0" numFmtId="3" applyNumberFormat="1" borderId="1" applyBorder="1" fontId="33" applyFont="1" fillId="0" applyAlignment="1">
      <alignment horizontal="left" wrapText="1"/>
    </xf>
    <xf xfId="0" numFmtId="4" applyNumberFormat="1" borderId="10" applyBorder="1" fontId="1" applyFont="1" fillId="9" applyFill="1" applyAlignment="1">
      <alignment horizontal="center"/>
    </xf>
    <xf xfId="0" numFmtId="4" applyNumberFormat="1" borderId="10" applyBorder="1" fontId="1" applyFont="1" fillId="10" applyFill="1" applyAlignment="1">
      <alignment horizontal="center"/>
    </xf>
    <xf xfId="0" numFmtId="3" applyNumberFormat="1" borderId="2" applyBorder="1" fontId="23" applyFont="1" fillId="16" applyFill="1" applyAlignment="1">
      <alignment horizontal="left"/>
    </xf>
    <xf xfId="0" numFmtId="4" applyNumberFormat="1" borderId="2" applyBorder="1" fontId="22" applyFont="1" fillId="17" applyFill="1" applyAlignment="1">
      <alignment horizontal="right"/>
    </xf>
    <xf xfId="0" numFmtId="3" applyNumberFormat="1" borderId="17" applyBorder="1" fontId="30" applyFont="1" fillId="21" applyFill="1" applyAlignment="1">
      <alignment horizontal="center" wrapText="1"/>
    </xf>
    <xf xfId="0" numFmtId="4" applyNumberFormat="1" borderId="18" applyBorder="1" fontId="3" applyFont="1" fillId="21" applyFill="1" applyAlignment="1">
      <alignment horizontal="center"/>
    </xf>
    <xf xfId="0" numFmtId="0" borderId="18" applyBorder="1" fontId="3" applyFont="1" fillId="21" applyFill="1" applyAlignment="1">
      <alignment horizontal="center"/>
    </xf>
    <xf xfId="0" numFmtId="4" applyNumberFormat="1" borderId="24" applyBorder="1" fontId="3" applyFont="1" fillId="21" applyFill="1" applyAlignment="1">
      <alignment horizontal="center"/>
    </xf>
    <xf xfId="0" numFmtId="3" applyNumberFormat="1" borderId="25" applyBorder="1" fontId="4" applyFont="1" fillId="22" applyFill="1" applyAlignment="1">
      <alignment horizontal="center" wrapText="1"/>
    </xf>
    <xf xfId="0" numFmtId="3" applyNumberFormat="1" borderId="26" applyBorder="1" fontId="3" applyFont="1" fillId="5" applyFill="1" applyAlignment="1">
      <alignment horizontal="center" wrapText="1"/>
    </xf>
    <xf xfId="0" numFmtId="0" borderId="1" applyBorder="1" fontId="34" applyFont="1" fillId="0" applyAlignment="1">
      <alignment horizontal="left"/>
    </xf>
    <xf xfId="0" numFmtId="3" applyNumberFormat="1" borderId="1" applyBorder="1" fontId="34" applyFont="1" fillId="0" applyAlignment="1">
      <alignment horizontal="left"/>
    </xf>
    <xf xfId="0" numFmtId="0" borderId="1" applyBorder="1" fontId="35" applyFont="1" fillId="0" applyAlignment="1">
      <alignment horizontal="left"/>
    </xf>
    <xf xfId="0" numFmtId="3" applyNumberFormat="1" borderId="10" applyBorder="1" fontId="36" applyFont="1" fillId="9" applyFill="1" applyAlignment="1">
      <alignment horizontal="left"/>
    </xf>
    <xf xfId="0" numFmtId="7" applyNumberFormat="1" borderId="1" applyBorder="1" fontId="2" applyFont="1" fillId="0" applyAlignment="1">
      <alignment horizontal="left"/>
    </xf>
    <xf xfId="0" numFmtId="7" applyNumberFormat="1" borderId="1" applyBorder="1" fontId="2" applyFont="1" fillId="0" applyAlignment="1">
      <alignment horizontal="center"/>
    </xf>
    <xf xfId="0" numFmtId="7" applyNumberFormat="1" borderId="2" applyBorder="1" fontId="22" applyFont="1" fillId="17" applyFill="1" applyAlignment="1">
      <alignment horizontal="left"/>
    </xf>
    <xf xfId="0" numFmtId="7" applyNumberFormat="1" borderId="18" applyBorder="1" fontId="3" applyFont="1" fillId="21" applyFill="1" applyAlignment="1">
      <alignment horizontal="center"/>
    </xf>
    <xf xfId="0" numFmtId="7" applyNumberFormat="1" borderId="24" applyBorder="1" fontId="3" applyFont="1" fillId="21" applyFill="1" applyAlignment="1">
      <alignment horizontal="center"/>
    </xf>
    <xf xfId="0" numFmtId="0" borderId="27" applyBorder="1" fontId="4" applyFont="1" fillId="22" applyFill="1" applyAlignment="1">
      <alignment horizontal="center" wrapText="1"/>
    </xf>
    <xf xfId="0" numFmtId="0" borderId="28" applyBorder="1" fontId="3" applyFont="1" fillId="5" applyFill="1" applyAlignment="1">
      <alignment horizontal="center" wrapText="1"/>
    </xf>
    <xf xfId="0" numFmtId="3" applyNumberFormat="1" borderId="27" applyBorder="1" fontId="3" applyFont="1" fillId="5" applyFill="1" applyAlignment="1">
      <alignment horizontal="center" wrapText="1"/>
    </xf>
    <xf xfId="0" numFmtId="0" borderId="27" applyBorder="1" fontId="3" applyFont="1" fillId="5" applyFill="1" applyAlignment="1">
      <alignment horizontal="center" wrapText="1"/>
    </xf>
    <xf xfId="0" numFmtId="0" borderId="1" applyBorder="1" fontId="17" applyFont="1" fillId="0" applyAlignment="1">
      <alignment horizontal="center" wrapText="1"/>
    </xf>
    <xf xfId="0" numFmtId="0" borderId="1" applyBorder="1" fontId="33" applyFont="1" fillId="0" applyAlignment="1">
      <alignment horizontal="center" wrapText="1"/>
    </xf>
    <xf xfId="0" numFmtId="0" borderId="29" applyBorder="1" fontId="36" applyFont="1" fillId="0" applyAlignment="1">
      <alignment horizontal="left"/>
    </xf>
    <xf xfId="0" numFmtId="7" applyNumberFormat="1" borderId="29" applyBorder="1" fontId="36" applyFont="1" fillId="0" applyAlignment="1">
      <alignment horizontal="left"/>
    </xf>
    <xf xfId="0" numFmtId="7" applyNumberFormat="1" borderId="30" applyBorder="1" fontId="36" applyFont="1" fillId="0" applyAlignment="1">
      <alignment horizontal="left"/>
    </xf>
    <xf xfId="0" numFmtId="7" applyNumberFormat="1" borderId="31" applyBorder="1" fontId="36" applyFont="1" fillId="0" applyAlignment="1">
      <alignment horizontal="left"/>
    </xf>
    <xf xfId="0" numFmtId="3" applyNumberFormat="1" borderId="32" applyBorder="1" fontId="36" applyFont="1" fillId="0" applyAlignment="1">
      <alignment horizontal="right"/>
    </xf>
    <xf xfId="0" numFmtId="7" applyNumberFormat="1" borderId="1" applyBorder="1" fontId="36" applyFont="1" fillId="0" applyAlignment="1">
      <alignment horizontal="left"/>
    </xf>
    <xf xfId="0" numFmtId="0" borderId="1" applyBorder="1" fontId="37" applyFont="1" fillId="0" applyAlignment="1">
      <alignment horizontal="left"/>
    </xf>
    <xf xfId="0" numFmtId="0" borderId="1" applyBorder="1" fontId="36" applyFont="1" fillId="0" applyAlignment="1">
      <alignment horizontal="left"/>
    </xf>
    <xf xfId="0" numFmtId="3" applyNumberFormat="1" borderId="32" applyBorder="1" fontId="36" applyFont="1" fillId="0" applyAlignment="1">
      <alignment horizontal="left"/>
    </xf>
    <xf xfId="0" numFmtId="165" applyNumberFormat="1" borderId="1" applyBorder="1" fontId="1" applyFont="1" fillId="0" applyAlignment="1">
      <alignment horizontal="center"/>
    </xf>
    <xf xfId="0" numFmtId="0" borderId="33" applyBorder="1" fontId="38" applyFont="1" fillId="0" applyAlignment="1">
      <alignment horizontal="center"/>
    </xf>
    <xf xfId="0" numFmtId="166" applyNumberFormat="1" borderId="33" applyBorder="1" fontId="38" applyFont="1" fillId="0" applyAlignment="1">
      <alignment horizontal="center"/>
    </xf>
    <xf xfId="0" numFmtId="0" borderId="29" applyBorder="1" fontId="36" applyFont="1" fillId="0" applyAlignment="1">
      <alignment horizontal="center"/>
    </xf>
    <xf xfId="0" numFmtId="166" applyNumberFormat="1" borderId="29" applyBorder="1" fontId="36" applyFont="1" fillId="0" applyAlignment="1">
      <alignment horizontal="center"/>
    </xf>
    <xf xfId="0" numFmtId="0" borderId="29" applyBorder="1" fontId="35" applyFont="1" fillId="0" applyAlignment="1">
      <alignment horizontal="center"/>
    </xf>
    <xf xfId="0" numFmtId="0" borderId="34" applyBorder="1" fontId="36" applyFont="1" fillId="0" applyAlignment="1">
      <alignment horizontal="center"/>
    </xf>
    <xf xfId="0" numFmtId="166" applyNumberFormat="1" borderId="34" applyBorder="1" fontId="36" applyFont="1" fillId="0" applyAlignment="1">
      <alignment horizontal="center"/>
    </xf>
    <xf xfId="0" numFmtId="0" borderId="0" fontId="0" fillId="0" applyAlignment="1">
      <alignment horizontal="center"/>
    </xf>
    <xf xfId="0" numFmtId="166" applyNumberFormat="1" borderId="0" fontId="0" fillId="0" applyAlignment="1">
      <alignment horizontal="center"/>
    </xf>
    <xf xfId="0" numFmtId="0" borderId="0" fontId="0" fillId="0" applyAlignment="1">
      <alignment horizontal="left"/>
    </xf>
    <xf xfId="0" numFmtId="167" applyNumberFormat="1" borderId="0" fontId="0" fillId="0" applyAlignment="1">
      <alignment horizontal="right"/>
    </xf>
    <xf xfId="0" numFmtId="166" applyNumberFormat="1" borderId="0" fontId="0" fillId="0" applyAlignment="1">
      <alignment horizontal="general"/>
    </xf>
    <xf xfId="0" numFmtId="166" applyNumberFormat="1" borderId="1" applyBorder="1" fontId="1" applyFont="1" fillId="0" applyAlignment="1">
      <alignment horizontal="right"/>
    </xf>
    <xf xfId="0" numFmtId="166" applyNumberFormat="1" borderId="35" applyBorder="1" fontId="39" applyFont="1" fillId="23" applyFill="1" applyAlignment="1">
      <alignment horizontal="center"/>
    </xf>
    <xf xfId="0" numFmtId="0" borderId="36" applyBorder="1" fontId="40" applyFont="1" fillId="0" applyAlignment="1">
      <alignment horizontal="center"/>
    </xf>
    <xf xfId="0" numFmtId="166" applyNumberFormat="1" borderId="7" applyBorder="1" fontId="40" applyFont="1" fillId="0" applyAlignment="1">
      <alignment horizontal="center"/>
    </xf>
    <xf xfId="0" numFmtId="166" applyNumberFormat="1" borderId="37" applyBorder="1" fontId="40" applyFont="1" fillId="0" applyAlignment="1">
      <alignment horizontal="center"/>
    </xf>
    <xf xfId="0" numFmtId="0" borderId="38" applyBorder="1" fontId="20" applyFont="1" fillId="24" applyFill="1" applyAlignment="1">
      <alignment horizontal="center"/>
    </xf>
    <xf xfId="0" numFmtId="166" applyNumberFormat="1" borderId="39" applyBorder="1" fontId="20" applyFont="1" fillId="24" applyFill="1" applyAlignment="1">
      <alignment horizontal="center"/>
    </xf>
    <xf xfId="0" numFmtId="166" applyNumberFormat="1" borderId="40" applyBorder="1" fontId="20" applyFont="1" fillId="24" applyFill="1" applyAlignment="1">
      <alignment horizontal="center"/>
    </xf>
    <xf xfId="0" numFmtId="0" borderId="41" applyBorder="1" fontId="41" applyFont="1" fillId="23" applyFill="1" applyAlignment="1">
      <alignment horizontal="center"/>
    </xf>
    <xf xfId="0" numFmtId="3" applyNumberFormat="1" borderId="42" applyBorder="1" fontId="41" applyFont="1" fillId="23" applyFill="1" applyAlignment="1">
      <alignment horizontal="center"/>
    </xf>
    <xf xfId="0" numFmtId="166" applyNumberFormat="1" borderId="35" applyBorder="1" fontId="41" applyFont="1" fillId="23" applyFill="1" applyAlignment="1">
      <alignment horizontal="center"/>
    </xf>
    <xf xfId="0" numFmtId="0" borderId="36" applyBorder="1" fontId="13" applyFont="1" fillId="25" applyFill="1" applyAlignment="1">
      <alignment horizontal="center"/>
    </xf>
    <xf xfId="0" numFmtId="166" applyNumberFormat="1" borderId="7" applyBorder="1" fontId="13" applyFont="1" fillId="25" applyFill="1" applyAlignment="1">
      <alignment horizontal="center"/>
    </xf>
    <xf xfId="0" numFmtId="166" applyNumberFormat="1" borderId="37" applyBorder="1" fontId="13" applyFont="1" fillId="25" applyFill="1" applyAlignment="1">
      <alignment horizontal="center"/>
    </xf>
    <xf xfId="0" numFmtId="0" borderId="36" applyBorder="1" fontId="1" applyFont="1" fillId="0" applyAlignment="1">
      <alignment horizontal="center"/>
    </xf>
    <xf xfId="0" numFmtId="166" applyNumberFormat="1" borderId="7" applyBorder="1" fontId="1" applyFont="1" fillId="0" applyAlignment="1">
      <alignment horizontal="center"/>
    </xf>
    <xf xfId="0" numFmtId="166" applyNumberFormat="1" borderId="37" applyBorder="1" fontId="1" applyFont="1" fillId="0" applyAlignment="1">
      <alignment horizontal="center"/>
    </xf>
    <xf xfId="0" numFmtId="167" applyNumberFormat="1" borderId="7" applyBorder="1" fontId="13" applyFont="1" fillId="25" applyFill="1" applyAlignment="1">
      <alignment horizontal="center"/>
    </xf>
    <xf xfId="0" numFmtId="167" applyNumberFormat="1" borderId="7" applyBorder="1" fontId="1" applyFont="1" fillId="0" applyAlignment="1">
      <alignment horizontal="center"/>
    </xf>
    <xf xfId="0" numFmtId="0" borderId="43" applyBorder="1" fontId="1" applyFont="1" fillId="0" applyAlignment="1">
      <alignment horizontal="center"/>
    </xf>
    <xf xfId="0" numFmtId="167" applyNumberFormat="1" borderId="44" applyBorder="1" fontId="1" applyFont="1" fillId="0" applyAlignment="1">
      <alignment horizontal="center"/>
    </xf>
    <xf xfId="0" numFmtId="166" applyNumberFormat="1" borderId="44" applyBorder="1" fontId="1" applyFont="1" fillId="0" applyAlignment="1">
      <alignment horizontal="center"/>
    </xf>
    <xf xfId="0" numFmtId="166" applyNumberFormat="1" borderId="45" applyBorder="1" fontId="1" applyFont="1" fillId="0" applyAlignment="1">
      <alignment horizontal="center"/>
    </xf>
    <xf xfId="0" numFmtId="0" borderId="38" applyBorder="1" fontId="13" applyFont="1" fillId="24" applyFill="1" applyAlignment="1">
      <alignment horizontal="center"/>
    </xf>
    <xf xfId="0" numFmtId="166" applyNumberFormat="1" borderId="39" applyBorder="1" fontId="13" applyFont="1" fillId="24" applyFill="1" applyAlignment="1">
      <alignment horizontal="center"/>
    </xf>
    <xf xfId="0" numFmtId="166" applyNumberFormat="1" borderId="40" applyBorder="1" fontId="13" applyFont="1" fillId="24" applyFill="1" applyAlignment="1">
      <alignment horizontal="center"/>
    </xf>
    <xf xfId="0" numFmtId="167" applyNumberFormat="1" borderId="1" applyBorder="1" fontId="1" applyFont="1" fillId="0" applyAlignment="1">
      <alignment horizontal="right"/>
    </xf>
    <xf xfId="0" numFmtId="166" applyNumberFormat="1" borderId="46" applyBorder="1" fontId="42" applyFont="1" fillId="24" applyFill="1" applyAlignment="1">
      <alignment horizontal="left"/>
    </xf>
    <xf xfId="0" numFmtId="0" borderId="46" applyBorder="1" fontId="42" applyFont="1" fillId="24" applyFill="1" applyAlignment="1">
      <alignment horizontal="left"/>
    </xf>
    <xf xfId="0" numFmtId="4" applyNumberFormat="1" borderId="46" applyBorder="1" fontId="42" applyFont="1" fillId="24" applyFill="1" applyAlignment="1">
      <alignment horizontal="left"/>
    </xf>
    <xf xfId="0" numFmtId="166" applyNumberFormat="1" borderId="1" applyBorder="1" fontId="1" applyFont="1" fillId="0" applyAlignment="1">
      <alignment horizontal="left"/>
    </xf>
    <xf xfId="0" numFmtId="166" applyNumberFormat="1" borderId="47" applyBorder="1" fontId="42" applyFont="1" fillId="24" applyFill="1" applyAlignment="1">
      <alignment horizontal="left"/>
    </xf>
    <xf xfId="0" numFmtId="4" applyNumberFormat="1" borderId="47" applyBorder="1" fontId="42" applyFont="1" fillId="24" applyFill="1" applyAlignment="1">
      <alignment horizontal="right"/>
    </xf>
    <xf xfId="0" numFmtId="0" borderId="0" fontId="0" fillId="0" applyAlignment="1">
      <alignment horizontal="left"/>
    </xf>
    <xf xfId="0" numFmtId="167" applyNumberFormat="1" borderId="0" fontId="0" fillId="0" applyAlignment="1">
      <alignment horizontal="right"/>
    </xf>
    <xf xfId="0" numFmtId="166" applyNumberFormat="1" borderId="0" fontId="0" fillId="0" applyAlignment="1">
      <alignment horizontal="general"/>
    </xf>
    <xf xfId="0" numFmtId="3" applyNumberFormat="1" borderId="0" fontId="0" fillId="0" applyAlignment="1">
      <alignment horizontal="right"/>
    </xf>
    <xf xfId="0" numFmtId="7" applyNumberFormat="1" borderId="0" fontId="0" fillId="0" applyAlignment="1">
      <alignment horizontal="right"/>
    </xf>
    <xf xfId="0" numFmtId="3" applyNumberFormat="1" borderId="0" fontId="0" fillId="0" applyAlignment="1">
      <alignment horizontal="right"/>
    </xf>
    <xf xfId="0" numFmtId="7" applyNumberFormat="1" borderId="0" fontId="0" fillId="0" applyAlignment="1">
      <alignment horizontal="right"/>
    </xf>
    <xf xfId="0" numFmtId="0" borderId="1" applyBorder="1" fontId="1" applyFont="1" fillId="0" applyAlignment="1">
      <alignment horizontal="left"/>
    </xf>
    <xf xfId="0" numFmtId="0" borderId="48" applyBorder="1" fontId="1" applyFont="1" fillId="0" applyAlignment="1">
      <alignment horizontal="left"/>
    </xf>
    <xf xfId="0" numFmtId="4" applyNumberFormat="1" borderId="49" applyBorder="1" fontId="1" applyFont="1" fillId="0" applyAlignment="1">
      <alignment horizontal="left"/>
    </xf>
    <xf xfId="0" numFmtId="7" applyNumberFormat="1" borderId="49" applyBorder="1" fontId="1" applyFont="1" fillId="0" applyAlignment="1">
      <alignment horizontal="left"/>
    </xf>
    <xf xfId="0" numFmtId="0" borderId="50" applyBorder="1" fontId="1" applyFont="1" fillId="0" applyAlignment="1">
      <alignment horizontal="left"/>
    </xf>
    <xf xfId="0" numFmtId="0" borderId="51" applyBorder="1" fontId="1" applyFont="1" fillId="0" applyAlignment="1">
      <alignment horizontal="left"/>
    </xf>
    <xf xfId="0" numFmtId="4" applyNumberFormat="1" borderId="7" applyBorder="1" fontId="1" applyFont="1" fillId="0" applyAlignment="1">
      <alignment horizontal="left"/>
    </xf>
    <xf xfId="0" numFmtId="7" applyNumberFormat="1" borderId="7" applyBorder="1" fontId="1" applyFont="1" fillId="0" applyAlignment="1">
      <alignment horizontal="right"/>
    </xf>
    <xf xfId="0" numFmtId="0" borderId="52" applyBorder="1" fontId="1" applyFont="1" fillId="0" applyAlignment="1">
      <alignment horizontal="left"/>
    </xf>
    <xf xfId="0" numFmtId="0" borderId="53" applyBorder="1" fontId="1" applyFont="1" fillId="0" applyAlignment="1">
      <alignment horizontal="left"/>
    </xf>
    <xf xfId="0" numFmtId="4" applyNumberFormat="1" borderId="44" applyBorder="1" fontId="1" applyFont="1" fillId="0" applyAlignment="1">
      <alignment horizontal="left"/>
    </xf>
    <xf xfId="0" numFmtId="7" applyNumberFormat="1" borderId="44" applyBorder="1" fontId="1" applyFont="1" fillId="0" applyAlignment="1">
      <alignment horizontal="right"/>
    </xf>
    <xf xfId="0" numFmtId="0" borderId="54" applyBorder="1" fontId="1" applyFont="1" fillId="0" applyAlignment="1">
      <alignment horizontal="left"/>
    </xf>
    <xf xfId="0" numFmtId="168" applyNumberFormat="1" borderId="0" fontId="0" fillId="0" applyAlignment="1">
      <alignment horizontal="general"/>
    </xf>
    <xf xfId="0" numFmtId="168" applyNumberFormat="1" borderId="1" applyBorder="1" fontId="1" applyFont="1" fillId="0" applyAlignment="1">
      <alignment horizontal="right"/>
    </xf>
    <xf xfId="0" numFmtId="168" applyNumberFormat="1" borderId="0" fontId="0" fillId="0" applyAlignment="1">
      <alignment horizontal="general"/>
    </xf>
    <xf xfId="0" numFmtId="164" applyNumberFormat="1" borderId="0" fontId="0" fillId="0" applyAlignment="1">
      <alignment horizontal="right"/>
    </xf>
    <xf xfId="0" numFmtId="0" borderId="7" applyBorder="1" fontId="1" applyFont="1" fillId="0" applyAlignment="1">
      <alignment horizontal="center"/>
    </xf>
    <xf xfId="0" numFmtId="164" applyNumberFormat="1" borderId="7" applyBorder="1" fontId="1" applyFont="1" fillId="0" applyAlignment="1">
      <alignment horizontal="center"/>
    </xf>
    <xf xfId="0" numFmtId="7" applyNumberFormat="1" borderId="7" applyBorder="1" fontId="1" applyFont="1" fillId="0" applyAlignment="1">
      <alignment horizontal="center"/>
    </xf>
    <xf xfId="0" numFmtId="164" applyNumberFormat="1" borderId="7" applyBorder="1" fontId="1" applyFont="1" fillId="0" applyAlignment="1">
      <alignment horizontal="left"/>
    </xf>
    <xf xfId="0" numFmtId="7" applyNumberFormat="1" borderId="7" applyBorder="1" fontId="1" applyFont="1" fillId="0" applyAlignment="1">
      <alignment horizontal="left"/>
    </xf>
    <xf xfId="0" numFmtId="164" applyNumberFormat="1" borderId="7" applyBorder="1" fontId="1" applyFont="1" fillId="0" applyAlignment="1">
      <alignment horizontal="right"/>
    </xf>
    <xf xfId="0" numFmtId="164" applyNumberFormat="1" borderId="0" fontId="0" fillId="0" applyAlignment="1">
      <alignment horizontal="right"/>
    </xf>
    <xf xfId="0" numFmtId="3" applyNumberFormat="1" borderId="0" fontId="0" fillId="0" applyAlignment="1">
      <alignment horizontal="left"/>
    </xf>
    <xf xfId="0" numFmtId="4" applyNumberFormat="1" borderId="0" fontId="0" fillId="0" applyAlignment="1">
      <alignment horizontal="left"/>
    </xf>
    <xf xfId="0" numFmtId="0" borderId="26" applyBorder="1" fontId="30" applyFont="1" fillId="21" applyFill="1" applyAlignment="1">
      <alignment horizontal="center" wrapText="1"/>
    </xf>
    <xf xfId="0" numFmtId="0" borderId="26" applyBorder="1" fontId="32" applyFont="1" fillId="14" applyFill="1" applyAlignment="1">
      <alignment horizontal="left" wrapText="1"/>
    </xf>
    <xf xfId="0" numFmtId="0" borderId="55" applyBorder="1" fontId="3" applyFont="1" fillId="20" applyFill="1" applyAlignment="1">
      <alignment horizontal="left" wrapText="1"/>
    </xf>
    <xf xfId="0" numFmtId="3" applyNumberFormat="1" borderId="26" applyBorder="1" fontId="30" applyFont="1" fillId="21" applyFill="1" applyAlignment="1">
      <alignment horizontal="center" wrapText="1"/>
    </xf>
    <xf xfId="0" numFmtId="4" applyNumberFormat="1" borderId="55" applyBorder="1" fontId="3" applyFont="1" fillId="21" applyFill="1" applyAlignment="1">
      <alignment horizontal="center"/>
    </xf>
    <xf xfId="0" numFmtId="0" borderId="18" applyBorder="1" fontId="33" applyFont="1" fillId="9" applyFill="1" applyAlignment="1">
      <alignment horizontal="left"/>
    </xf>
    <xf xfId="0" numFmtId="3" applyNumberFormat="1" borderId="18" applyBorder="1" fontId="33" applyFont="1" fillId="9" applyFill="1" applyAlignment="1">
      <alignment horizontal="left"/>
    </xf>
    <xf xfId="0" numFmtId="4" applyNumberFormat="1" borderId="18" applyBorder="1" fontId="33" applyFont="1" fillId="9" applyFill="1" applyAlignment="1">
      <alignment horizontal="left"/>
    </xf>
    <xf xfId="0" numFmtId="0" borderId="56" applyBorder="1" fontId="33" applyFont="1" fillId="0" applyAlignment="1">
      <alignment horizontal="left"/>
    </xf>
    <xf xfId="0" numFmtId="3" applyNumberFormat="1" borderId="56" applyBorder="1" fontId="33" applyFont="1" fillId="0" applyAlignment="1">
      <alignment horizontal="left"/>
    </xf>
    <xf xfId="0" numFmtId="4" applyNumberFormat="1" borderId="56" applyBorder="1" fontId="33" applyFont="1" fillId="0" applyAlignment="1">
      <alignment horizontal="left"/>
    </xf>
    <xf xfId="0" numFmtId="0" borderId="55" applyBorder="1" fontId="33" applyFont="1" fillId="9" applyFill="1" applyAlignment="1">
      <alignment horizontal="left"/>
    </xf>
    <xf xfId="0" numFmtId="3" applyNumberFormat="1" borderId="55" applyBorder="1" fontId="33" applyFont="1" fillId="9" applyFill="1" applyAlignment="1">
      <alignment horizontal="left"/>
    </xf>
    <xf xfId="0" numFmtId="3" applyNumberFormat="1" borderId="0" fontId="0" fillId="0" applyAlignment="1">
      <alignment horizontal="left"/>
    </xf>
    <xf xfId="0" numFmtId="4" applyNumberFormat="1" borderId="0" fontId="0" fillId="0" applyAlignment="1">
      <alignment horizontal="left"/>
    </xf>
    <xf xfId="0" numFmtId="0" borderId="1" applyBorder="1" fontId="33" applyFont="1" fillId="0" applyAlignment="1">
      <alignment horizontal="left"/>
    </xf>
    <xf xfId="0" numFmtId="3" applyNumberFormat="1" borderId="56" applyBorder="1" fontId="33" applyFont="1" fillId="0" applyAlignment="1">
      <alignment horizontal="left" wrapText="1"/>
    </xf>
    <xf xfId="0" numFmtId="3" applyNumberFormat="1" borderId="18" applyBorder="1" fontId="33" applyFont="1" fillId="26" applyFill="1" applyAlignment="1">
      <alignment horizontal="left" wrapText="1"/>
    </xf>
    <xf xfId="0" numFmtId="0" borderId="55" applyBorder="1" fontId="43" applyFont="1" fillId="20" applyFill="1" applyAlignment="1">
      <alignment horizontal="center" wrapText="1"/>
    </xf>
    <xf xfId="0" numFmtId="7" applyNumberFormat="1" borderId="0" fontId="0" fillId="0" applyAlignment="1">
      <alignment horizontal="right" wrapText="1"/>
    </xf>
    <xf xfId="0" numFmtId="0" borderId="10" applyBorder="1" fontId="6" applyFont="1" fillId="9" applyFill="1" applyAlignment="1">
      <alignment horizontal="center"/>
    </xf>
    <xf xfId="0" numFmtId="0" borderId="10" applyBorder="1" fontId="6" applyFont="1" fillId="9" applyFill="1" applyAlignment="1">
      <alignment horizontal="left" wrapText="1"/>
    </xf>
    <xf xfId="0" numFmtId="0" borderId="10" applyBorder="1" fontId="6" applyFont="1" fillId="9" applyFill="1" applyAlignment="1">
      <alignment horizontal="left"/>
    </xf>
    <xf xfId="0" numFmtId="4" applyNumberFormat="1" borderId="10" applyBorder="1" fontId="44" applyFont="1" fillId="9" applyFill="1" applyAlignment="1">
      <alignment horizontal="right"/>
    </xf>
    <xf xfId="0" numFmtId="0" borderId="1" applyBorder="1" fontId="6" applyFont="1" fillId="0" applyAlignment="1">
      <alignment horizontal="center"/>
    </xf>
    <xf xfId="0" numFmtId="0" borderId="1" applyBorder="1" fontId="6" applyFont="1" fillId="0" applyAlignment="1">
      <alignment horizontal="left" wrapText="1"/>
    </xf>
    <xf xfId="0" numFmtId="4" applyNumberFormat="1" borderId="1" applyBorder="1" fontId="44" applyFont="1" fillId="0" applyAlignment="1">
      <alignment horizontal="right"/>
    </xf>
    <xf xfId="0" numFmtId="0" borderId="57" applyBorder="1" fontId="6" applyFont="1" fillId="9" applyFill="1" applyAlignment="1">
      <alignment horizontal="center"/>
    </xf>
    <xf xfId="0" numFmtId="0" borderId="57" applyBorder="1" fontId="6" applyFont="1" fillId="9" applyFill="1" applyAlignment="1">
      <alignment horizontal="left" wrapText="1"/>
    </xf>
    <xf xfId="0" numFmtId="0" borderId="57" applyBorder="1" fontId="6" applyFont="1" fillId="9" applyFill="1" applyAlignment="1">
      <alignment horizontal="left"/>
    </xf>
    <xf xfId="0" numFmtId="4" applyNumberFormat="1" borderId="57" applyBorder="1" fontId="44" applyFont="1" fillId="9" applyFill="1" applyAlignment="1">
      <alignment horizontal="right"/>
    </xf>
    <xf xfId="0" numFmtId="7" applyNumberFormat="1" borderId="10" applyBorder="1" fontId="1" applyFont="1" fillId="26" applyFill="1" applyAlignment="1">
      <alignment horizontal="right"/>
    </xf>
    <xf xfId="0" numFmtId="3" applyNumberFormat="1" borderId="8" applyBorder="1" fontId="1" applyFont="1" fillId="11" applyFill="1" applyAlignment="1">
      <alignment horizontal="center" wrapText="1"/>
    </xf>
    <xf xfId="0" numFmtId="3" applyNumberFormat="1" borderId="15" applyBorder="1" fontId="22" applyFont="1" fillId="13" applyFill="1" applyAlignment="1">
      <alignment horizontal="left"/>
    </xf>
    <xf xfId="0" numFmtId="7" applyNumberFormat="1" borderId="2" applyBorder="1" fontId="23" applyFont="1" fillId="16" applyFill="1" applyAlignment="1">
      <alignment horizontal="right"/>
    </xf>
    <xf xfId="0" numFmtId="0" borderId="10" applyBorder="1" fontId="23" applyFont="1" fillId="16" applyFill="1" applyAlignment="1">
      <alignment horizontal="left"/>
    </xf>
    <xf xfId="0" numFmtId="7" applyNumberFormat="1" borderId="1" applyBorder="1" fontId="23" applyFont="1" fillId="0" applyAlignment="1">
      <alignment horizontal="right"/>
    </xf>
    <xf xfId="0" numFmtId="3" applyNumberFormat="1" borderId="17" applyBorder="1" fontId="30" applyFont="1" fillId="19" applyFill="1" applyAlignment="1">
      <alignment horizontal="center" wrapText="1"/>
    </xf>
    <xf xfId="0" numFmtId="7" applyNumberFormat="1" borderId="17" applyBorder="1" fontId="30" applyFont="1" fillId="21" applyFill="1" applyAlignment="1">
      <alignment horizontal="center" wrapText="1"/>
    </xf>
    <xf xfId="0" numFmtId="0" borderId="17" applyBorder="1" fontId="30" applyFont="1" fillId="27" applyFill="1" applyAlignment="1">
      <alignment horizontal="center" wrapText="1"/>
    </xf>
    <xf xfId="0" numFmtId="0" borderId="21" applyBorder="1" fontId="4" applyFont="1" fillId="22" applyFill="1" applyAlignment="1">
      <alignment horizontal="center" wrapText="1"/>
    </xf>
    <xf xfId="0" numFmtId="0" borderId="26" applyBorder="1" fontId="45" applyFont="1" fillId="5" applyFill="1" applyAlignment="1">
      <alignment horizontal="center" wrapText="1"/>
    </xf>
    <xf xfId="0" numFmtId="7" applyNumberFormat="1" borderId="26" applyBorder="1" fontId="3" applyFont="1" fillId="5" applyFill="1" applyAlignment="1">
      <alignment horizontal="center" wrapText="1"/>
    </xf>
    <xf xfId="0" numFmtId="7" applyNumberFormat="1" borderId="10" applyBorder="1" fontId="3" applyFont="1" fillId="5" applyFill="1" applyAlignment="1">
      <alignment horizontal="center" wrapText="1"/>
    </xf>
    <xf xfId="0" numFmtId="0" borderId="56" applyBorder="1" fontId="33" applyFont="1" fillId="0" applyAlignment="1">
      <alignment horizontal="left"/>
    </xf>
    <xf xfId="0" numFmtId="7" applyNumberFormat="1" borderId="56" applyBorder="1" fontId="33" applyFont="1" fillId="0" applyAlignment="1">
      <alignment horizontal="left"/>
    </xf>
    <xf xfId="0" numFmtId="4" applyNumberFormat="1" borderId="12" applyBorder="1" fontId="33" applyFont="1" fillId="0" applyAlignment="1">
      <alignment horizontal="left"/>
    </xf>
    <xf xfId="0" numFmtId="0" borderId="1" applyBorder="1" fontId="33" applyFont="1" fillId="0" applyAlignment="1">
      <alignment horizontal="left"/>
    </xf>
    <xf xfId="0" numFmtId="3" applyNumberFormat="1" borderId="1" applyBorder="1" fontId="33" applyFont="1" fillId="0" applyAlignment="1">
      <alignment horizontal="left"/>
    </xf>
    <xf xfId="0" numFmtId="7" applyNumberFormat="1" borderId="1" applyBorder="1" fontId="33" applyFont="1" fillId="0" applyAlignment="1">
      <alignment horizontal="left"/>
    </xf>
    <xf xfId="0" numFmtId="0" borderId="58" applyBorder="1" fontId="33" applyFont="1" fillId="0" applyAlignment="1">
      <alignment horizontal="left"/>
    </xf>
    <xf xfId="0" numFmtId="0" borderId="12" applyBorder="1" fontId="33" applyFont="1" fillId="0" applyAlignment="1">
      <alignment horizontal="left"/>
    </xf>
    <xf xfId="0" numFmtId="0" borderId="58" applyBorder="1" fontId="33" applyFont="1" fillId="0" applyAlignment="1">
      <alignment horizontal="left"/>
    </xf>
    <xf xfId="0" numFmtId="0" borderId="1" applyBorder="1" fontId="46" applyFont="1" fillId="0" applyAlignment="1">
      <alignment horizontal="left"/>
    </xf>
    <xf xfId="0" numFmtId="4" applyNumberFormat="1" borderId="56" applyBorder="1" fontId="47" applyFont="1" fillId="0" applyAlignment="1">
      <alignment horizontal="left"/>
    </xf>
    <xf xfId="0" numFmtId="0" borderId="18" applyBorder="1" fontId="33" applyFont="1" fillId="26" applyFill="1" applyAlignment="1">
      <alignment horizontal="left"/>
    </xf>
    <xf xfId="0" numFmtId="0" borderId="56" applyBorder="1" fontId="33" applyFont="1" fillId="0" applyAlignment="1">
      <alignment horizontal="left" wrapText="1"/>
    </xf>
    <xf xfId="0" numFmtId="0" borderId="56" applyBorder="1" fontId="1" applyFont="1" fillId="0" applyAlignment="1">
      <alignment horizontal="left"/>
    </xf>
    <xf xfId="0" numFmtId="7" applyNumberFormat="1" borderId="56" applyBorder="1" fontId="33" applyFont="1" fillId="0" applyAlignment="1">
      <alignment horizontal="left" wrapText="1"/>
    </xf>
    <xf xfId="0" numFmtId="7" applyNumberFormat="1" borderId="18" applyBorder="1" fontId="33" applyFont="1" fillId="26" applyFill="1" applyAlignment="1">
      <alignment horizontal="left" wrapText="1"/>
    </xf>
    <xf xfId="0" numFmtId="0" borderId="18" applyBorder="1" fontId="1" applyFont="1" fillId="9" applyFill="1" applyAlignment="1">
      <alignment horizontal="left"/>
    </xf>
    <xf xfId="0" numFmtId="0" borderId="59" applyBorder="1" fontId="33" applyFont="1" fillId="0" applyAlignment="1">
      <alignment horizontal="left"/>
    </xf>
    <xf xfId="0" numFmtId="1" applyNumberFormat="1" borderId="56" applyBorder="1" fontId="33" applyFont="1" fillId="0" applyAlignment="1">
      <alignment horizontal="left"/>
    </xf>
    <xf xfId="0" numFmtId="7" applyNumberFormat="1" borderId="1" applyBorder="1" fontId="1" applyFont="1" fillId="0" applyAlignment="1">
      <alignment horizontal="left" wrapText="1"/>
    </xf>
    <xf xfId="0" numFmtId="0" borderId="57" applyBorder="1" fontId="1" applyFont="1" fillId="9" applyFill="1" applyAlignment="1">
      <alignment horizontal="left"/>
    </xf>
    <xf xfId="0" numFmtId="164" applyNumberFormat="1" borderId="1" applyBorder="1" fontId="2" applyFont="1" fillId="0" applyAlignment="1">
      <alignment horizontal="right"/>
    </xf>
    <xf xfId="0" numFmtId="4" applyNumberFormat="1" borderId="1" applyBorder="1" fontId="1" applyFont="1" fillId="0" applyAlignment="1">
      <alignment horizontal="left" wrapText="1"/>
    </xf>
    <xf xfId="0" numFmtId="4" applyNumberFormat="1" borderId="1" applyBorder="1" fontId="1" applyFont="1" fillId="0" applyAlignment="1">
      <alignment horizontal="right" wrapText="1"/>
    </xf>
    <xf xfId="0" numFmtId="0" borderId="7" applyBorder="1" fontId="1" applyFont="1" fillId="0" applyAlignment="1">
      <alignment horizontal="center" wrapText="1"/>
    </xf>
    <xf xfId="0" numFmtId="3" applyNumberFormat="1" borderId="7" applyBorder="1" fontId="1" applyFont="1" fillId="0" applyAlignment="1">
      <alignment horizontal="center" wrapText="1"/>
    </xf>
    <xf xfId="0" numFmtId="3" applyNumberFormat="1" borderId="7" applyBorder="1" fontId="1" applyFont="1" fillId="0" applyAlignment="1">
      <alignment horizontal="right" wrapText="1"/>
    </xf>
    <xf xfId="0" numFmtId="7" applyNumberFormat="1" borderId="7" applyBorder="1" fontId="1" applyFont="1" fillId="0" applyAlignment="1">
      <alignment horizontal="center" wrapText="1"/>
    </xf>
    <xf xfId="0" numFmtId="0" borderId="7" applyBorder="1" fontId="6" applyFont="1" fillId="9" applyFill="1" applyAlignment="1">
      <alignment horizontal="center"/>
    </xf>
    <xf xfId="0" numFmtId="0" borderId="7" applyBorder="1" fontId="1" applyFont="1" fillId="0" applyAlignment="1">
      <alignment horizontal="left" wrapText="1"/>
    </xf>
    <xf xfId="0" numFmtId="0" borderId="7" applyBorder="1" fontId="1" applyFont="1" fillId="0" applyAlignment="1">
      <alignment horizontal="left"/>
    </xf>
    <xf xfId="0" numFmtId="0" borderId="7" applyBorder="1" fontId="6" applyFont="1" fillId="0" applyAlignment="1">
      <alignment horizontal="center"/>
    </xf>
    <xf xfId="0" numFmtId="0" borderId="7" applyBorder="1" fontId="1" applyFont="1" fillId="26" applyFill="1" applyAlignment="1">
      <alignment horizontal="left" wrapText="1"/>
    </xf>
    <xf xfId="0" numFmtId="3" applyNumberFormat="1" borderId="0" fontId="0" fillId="0" applyAlignment="1">
      <alignment horizontal="center"/>
    </xf>
    <xf xfId="0" numFmtId="3" applyNumberFormat="1" borderId="11" applyBorder="1" fontId="28" applyFont="1" fillId="28" applyFill="1" applyAlignment="1">
      <alignment horizontal="center"/>
    </xf>
    <xf xfId="0" numFmtId="0" borderId="11" applyBorder="1" fontId="28" applyFont="1" fillId="28" applyFill="1" applyAlignment="1">
      <alignment horizontal="left" wrapText="1"/>
    </xf>
    <xf xfId="0" numFmtId="0" borderId="11" applyBorder="1" fontId="28" applyFont="1" fillId="28" applyFill="1" applyAlignment="1">
      <alignment horizontal="left"/>
    </xf>
    <xf xfId="0" numFmtId="3" applyNumberFormat="1" borderId="11" applyBorder="1" fontId="29" applyFont="1" fillId="0" applyAlignment="1">
      <alignment horizontal="center"/>
    </xf>
    <xf xfId="0" numFmtId="0" borderId="11" applyBorder="1" fontId="29" applyFont="1" fillId="0" applyAlignment="1">
      <alignment horizontal="left" wrapText="1"/>
    </xf>
    <xf xfId="0" numFmtId="0" borderId="11" applyBorder="1" fontId="29" applyFont="1" fillId="0" applyAlignment="1">
      <alignment horizontal="left"/>
    </xf>
    <xf xfId="0" numFmtId="3" applyNumberFormat="1" borderId="0" fontId="0" fillId="0" applyAlignment="1">
      <alignment horizontal="center"/>
    </xf>
    <xf xfId="0" numFmtId="0" borderId="0" fontId="0" fillId="0" applyAlignment="1">
      <alignment horizontal="center"/>
    </xf>
    <xf xfId="0" numFmtId="3" applyNumberFormat="1" borderId="1" applyBorder="1" fontId="48" applyFont="1" fillId="0" applyAlignment="1">
      <alignment horizontal="left"/>
    </xf>
    <xf xfId="0" numFmtId="3" applyNumberFormat="1" borderId="1" applyBorder="1" fontId="29" applyFont="1" fillId="0" applyAlignment="1">
      <alignment horizontal="left"/>
    </xf>
    <xf xfId="0" numFmtId="3" applyNumberFormat="1" borderId="9" applyBorder="1" fontId="28" applyFont="1" fillId="28" applyFill="1" applyAlignment="1">
      <alignment horizontal="center"/>
    </xf>
    <xf xfId="0" numFmtId="0" borderId="11" applyBorder="1" fontId="28" applyFont="1" fillId="28" applyFill="1" applyAlignment="1">
      <alignment horizontal="center"/>
    </xf>
    <xf xfId="0" numFmtId="3" applyNumberFormat="1" borderId="60" applyBorder="1" fontId="49" applyFont="1" fillId="0" applyAlignment="1">
      <alignment horizontal="center" wrapText="1"/>
    </xf>
    <xf xfId="0" numFmtId="0" borderId="11" applyBorder="1" fontId="32" applyFont="1" fillId="0" applyAlignment="1">
      <alignment horizontal="center" wrapText="1"/>
    </xf>
    <xf xfId="0" numFmtId="0" borderId="11" applyBorder="1" fontId="50" applyFont="1" fillId="29" applyFill="1" applyAlignment="1">
      <alignment horizontal="center"/>
    </xf>
    <xf xfId="0" numFmtId="3" applyNumberFormat="1" borderId="61" applyBorder="1" fontId="49" applyFont="1" fillId="0" applyAlignment="1">
      <alignment horizontal="center" wrapText="1"/>
    </xf>
    <xf xfId="0" numFmtId="0" borderId="11" applyBorder="1" fontId="3" applyFont="1" fillId="30" applyFill="1" applyAlignment="1">
      <alignment horizontal="center"/>
    </xf>
    <xf xfId="0" numFmtId="0" borderId="11" applyBorder="1" fontId="4" applyFont="1" fillId="31" applyFill="1" applyAlignment="1">
      <alignment horizontal="center"/>
    </xf>
    <xf xfId="0" numFmtId="0" borderId="11" applyBorder="1" fontId="4" applyFont="1" fillId="32" applyFill="1" applyAlignment="1">
      <alignment horizontal="center"/>
    </xf>
    <xf xfId="0" numFmtId="0" borderId="11" applyBorder="1" fontId="4" applyFont="1" fillId="0" applyAlignment="1">
      <alignment horizontal="center"/>
    </xf>
    <xf xfId="0" numFmtId="0" borderId="61" applyBorder="1" fontId="4" applyFont="1" fillId="0" applyAlignment="1">
      <alignment horizontal="center" wrapText="1"/>
    </xf>
    <xf xfId="0" numFmtId="3" applyNumberFormat="1" borderId="62" applyBorder="1" fontId="10" applyFont="1" fillId="14" applyFill="1" applyAlignment="1">
      <alignment horizontal="left" wrapText="1"/>
    </xf>
    <xf xfId="0" numFmtId="0" borderId="62" applyBorder="1" fontId="8" applyFont="1" fillId="14" applyFill="1" applyAlignment="1">
      <alignment horizontal="left"/>
    </xf>
    <xf xfId="0" numFmtId="0" borderId="62" applyBorder="1" fontId="34" applyFont="1" fillId="14" applyFill="1" applyAlignment="1">
      <alignment horizontal="left" wrapText="1"/>
    </xf>
    <xf xfId="0" numFmtId="0" borderId="11" applyBorder="1" fontId="4" applyFont="1" fillId="0" applyAlignment="1">
      <alignment horizontal="center" wrapText="1"/>
    </xf>
    <xf xfId="0" numFmtId="0" borderId="63" applyBorder="1" fontId="4" applyFont="1" fillId="0" applyAlignment="1">
      <alignment horizontal="center" wrapText="1"/>
    </xf>
    <xf xfId="0" numFmtId="3" applyNumberFormat="1" borderId="64" applyBorder="1" fontId="51" applyFont="1" fillId="21" applyFill="1" applyAlignment="1">
      <alignment horizontal="right"/>
    </xf>
    <xf xfId="0" numFmtId="0" borderId="64" applyBorder="1" fontId="41" applyFont="1" fillId="21" applyFill="1" applyAlignment="1">
      <alignment horizontal="left"/>
    </xf>
    <xf xfId="0" numFmtId="3" applyNumberFormat="1" borderId="64" applyBorder="1" fontId="22" applyFont="1" fillId="21" applyFill="1" applyAlignment="1">
      <alignment horizontal="right"/>
    </xf>
    <xf xfId="0" numFmtId="0" borderId="11" applyBorder="1" fontId="34" applyFont="1" fillId="0" applyAlignment="1">
      <alignment horizontal="center"/>
    </xf>
    <xf xfId="0" numFmtId="3" applyNumberFormat="1" borderId="64" applyBorder="1" fontId="51" applyFont="1" fillId="20" applyFill="1" applyAlignment="1">
      <alignment horizontal="right"/>
    </xf>
    <xf xfId="0" numFmtId="0" borderId="64" applyBorder="1" fontId="41" applyFont="1" fillId="20" applyFill="1" applyAlignment="1">
      <alignment horizontal="left"/>
    </xf>
    <xf xfId="0" numFmtId="3" applyNumberFormat="1" borderId="64" applyBorder="1" fontId="22" applyFont="1" fillId="20" applyFill="1" applyAlignment="1">
      <alignment horizontal="right"/>
    </xf>
    <xf xfId="0" numFmtId="3" applyNumberFormat="1" borderId="65" applyBorder="1" fontId="49" applyFont="1" fillId="0" applyAlignment="1">
      <alignment horizontal="center" wrapText="1"/>
    </xf>
    <xf xfId="0" numFmtId="0" borderId="65" applyBorder="1" fontId="4" applyFont="1" fillId="0" applyAlignment="1">
      <alignment horizontal="center" wrapText="1"/>
    </xf>
    <xf xfId="0" numFmtId="0" borderId="65" applyBorder="1" fontId="4" applyFont="1" fillId="32" applyFill="1" applyAlignment="1">
      <alignment horizontal="center"/>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worksheets/sheet3.xml" Type="http://schemas.openxmlformats.org/officeDocument/2006/relationships/worksheet" Id="rId3"/><Relationship Target="worksheets/sheet4.xml" Type="http://schemas.openxmlformats.org/officeDocument/2006/relationships/worksheet" Id="rId4"/><Relationship Target="worksheets/sheet5.xml" Type="http://schemas.openxmlformats.org/officeDocument/2006/relationships/worksheet" Id="rId5"/><Relationship Target="worksheets/sheet6.xml" Type="http://schemas.openxmlformats.org/officeDocument/2006/relationships/worksheet" Id="rId6"/><Relationship Target="worksheets/sheet7.xml" Type="http://schemas.openxmlformats.org/officeDocument/2006/relationships/worksheet" Id="rId7"/><Relationship Target="worksheets/sheet8.xml" Type="http://schemas.openxmlformats.org/officeDocument/2006/relationships/worksheet" Id="rId8"/><Relationship Target="worksheets/sheet9.xml" Type="http://schemas.openxmlformats.org/officeDocument/2006/relationships/worksheet" Id="rId9"/><Relationship Target="worksheets/sheet10.xml" Type="http://schemas.openxmlformats.org/officeDocument/2006/relationships/worksheet" Id="rId10"/><Relationship Target="worksheets/sheet11.xml" Type="http://schemas.openxmlformats.org/officeDocument/2006/relationships/worksheet" Id="rId11"/><Relationship Target="worksheets/sheet12.xml" Type="http://schemas.openxmlformats.org/officeDocument/2006/relationships/worksheet" Id="rId12"/><Relationship Target="worksheets/sheet13.xml" Type="http://schemas.openxmlformats.org/officeDocument/2006/relationships/worksheet" Id="rId13"/><Relationship Target="worksheets/sheet14.xml" Type="http://schemas.openxmlformats.org/officeDocument/2006/relationships/worksheet" Id="rId14"/><Relationship Target="worksheets/sheet15.xml" Type="http://schemas.openxmlformats.org/officeDocument/2006/relationships/worksheet" Id="rId15"/><Relationship Target="worksheets/sheet16.xml" Type="http://schemas.openxmlformats.org/officeDocument/2006/relationships/worksheet" Id="rId16"/><Relationship Target="worksheets/sheet17.xml" Type="http://schemas.openxmlformats.org/officeDocument/2006/relationships/worksheet" Id="rId17"/><Relationship Target="worksheets/sheet18.xml" Type="http://schemas.openxmlformats.org/officeDocument/2006/relationships/worksheet" Id="rId18"/><Relationship Target="worksheets/sheet19.xml" Type="http://schemas.openxmlformats.org/officeDocument/2006/relationships/worksheet" Id="rId19"/><Relationship Target="worksheets/sheet20.xml" Type="http://schemas.openxmlformats.org/officeDocument/2006/relationships/worksheet" Id="rId20"/><Relationship Target="worksheets/sheet21.xml" Type="http://schemas.openxmlformats.org/officeDocument/2006/relationships/worksheet" Id="rId21"/><Relationship Target="worksheets/sheet22.xml" Type="http://schemas.openxmlformats.org/officeDocument/2006/relationships/worksheet" Id="rId22"/><Relationship Target="worksheets/sheet23.xml" Type="http://schemas.openxmlformats.org/officeDocument/2006/relationships/worksheet" Id="rId23"/><Relationship Target="worksheets/sheet24.xml" Type="http://schemas.openxmlformats.org/officeDocument/2006/relationships/worksheet" Id="rId24"/><Relationship Target="worksheets/sheet25.xml" Type="http://schemas.openxmlformats.org/officeDocument/2006/relationships/worksheet" Id="rId25"/><Relationship Target="sharedStrings.xml" Type="http://schemas.openxmlformats.org/officeDocument/2006/relationships/sharedStrings" Id="rId26"/><Relationship Target="styles.xml" Type="http://schemas.openxmlformats.org/officeDocument/2006/relationships/styles" Id="rId27"/><Relationship Target="theme/theme1.xml" Type="http://schemas.openxmlformats.org/officeDocument/2006/relationships/theme" Id="rId28"/></Relationships>
</file>

<file path=xl/tables/table1.xml><?xml version="1.0" encoding="utf-8"?>
<table xmlns="http://schemas.openxmlformats.org/spreadsheetml/2006/main" ref="F14:F17" displayName="Tabela24" name="Tabela24" id="1" totalsRowShown="0">
  <autoFilter ref="F14:F17"/>
  <tableColumns count="1">
    <tableColumn name="Investimento Contratado" id="1"/>
  </tableColumns>
  <tableStyleInfo name="TableStyleLight1" showColumnStripes="0" showRowStripes="1" showLastColumn="0" showFirstColumn="0"/>
</table>
</file>

<file path=xl/tables/table2.xml><?xml version="1.0" encoding="utf-8"?>
<table xmlns="http://schemas.openxmlformats.org/spreadsheetml/2006/main" ref="H14:H16" displayName="Tabela22" name="Tabela22" id="2" totalsRowShown="0">
  <autoFilter ref="H14:H16"/>
  <tableColumns count="1">
    <tableColumn name="Investimento Novo" id="1"/>
  </tableColumns>
  <tableStyleInfo name="TableStyleLight1" showColumnStripes="0" showRowStripes="1" showLastColumn="0" showFirstColumn="0"/>
</table>
</file>

<file path=xl/tables/table3.xml><?xml version="1.0" encoding="utf-8"?>
<table xmlns="http://schemas.openxmlformats.org/spreadsheetml/2006/main" ref="C4:D20" displayName="_tVP" name="_tVP" id="3" totalsRowShown="0">
  <autoFilter ref="C4:D20">
    <filterColumn hiddenButton="1" colId="0"/>
    <filterColumn hiddenButton="1" colId="1"/>
  </autoFilter>
  <tableColumns count="2">
    <tableColumn name="VP" id="1"/>
    <tableColumn name="Descricao" id="2"/>
  </tableColumns>
  <tableStyleInfo name="TableStyleLight1" showColumnStripes="0" showRowStripes="1" showLastColumn="0" showFirstColumn="0"/>
</table>
</file>

<file path=xl/tables/table4.xml><?xml version="1.0" encoding="utf-8"?>
<table xmlns="http://schemas.openxmlformats.org/spreadsheetml/2006/main" ref="F4:F6" displayName="_tCorporativo" name="_tCorporativo" id="4" totalsRowShown="0">
  <autoFilter ref="F4:F6">
    <filterColumn hiddenButton="1" colId="0"/>
  </autoFilter>
  <tableColumns count="1">
    <tableColumn name="Corporativo_SPE" id="1"/>
  </tableColumns>
  <tableStyleInfo name="TableStyleLight1" showColumnStripes="0" showRowStripes="1" showLastColumn="0" showFirstColumn="0"/>
</table>
</file>

<file path=xl/tables/table5.xml><?xml version="1.0" encoding="utf-8"?>
<table xmlns="http://schemas.openxmlformats.org/spreadsheetml/2006/main" ref="H4:H8" displayName="Tabela19" name="Tabela19" id="5" totalsRowShown="0">
  <autoFilter ref="H4:H8"/>
  <tableColumns count="1">
    <tableColumn name="Segmento" id="1"/>
  </tableColumns>
  <tableStyleInfo name="TableStyleLight1" showColumnStripes="0" showRowStripes="1" showLastColumn="0" showFirstColumn="0"/>
</table>
</file>

<file path=xl/tables/table6.xml><?xml version="1.0" encoding="utf-8"?>
<table xmlns="http://schemas.openxmlformats.org/spreadsheetml/2006/main" ref="B3:H1473" displayName="RMGDE" name="RMGDE" id="6" totalsRowShown="0">
  <autoFilter ref="B3:H1473"/>
  <tableColumns count="7">
    <tableColumn name="Código" id="1"/>
    <tableColumn name="Segmento" id="2"/>
    <tableColumn name="Corporativo ou SPE?" id="3"/>
    <tableColumn name="Categoria do Investimento" id="4"/>
    <tableColumn name="Empresa" id="5"/>
    <tableColumn name="Descrição detalhada do emprendimento_x000a_ (escopo)" id="6"/>
    <tableColumn name="Tipo de Equipamento_x000a_(Equip. principal)" id="7"/>
  </tableColumns>
  <tableStyleInfo name="TableStyleLight1" showColumnStripes="0" showRowStripes="1" showLastColumn="0" showFirstColumn="0"/>
</table>
</file>

<file path=xl/tables/table7.xml><?xml version="1.0" encoding="utf-8"?>
<table xmlns="http://schemas.openxmlformats.org/spreadsheetml/2006/main" ref="A8:BV114" displayName="_tPE26_29_Consolidada" name="_tPE26_29_Consolidada" id="7" totalsRowCount="1">
  <autoFilter ref="A8:BV113"/>
  <tableColumns count="74">
    <tableColumn name="Analise Estrategia" id="1" totalsRowLabel="Total"/>
    <tableColumn name="Check" id="2"/>
    <tableColumn name="Arquivo" id="3"/>
    <tableColumn name="VP" id="4"/>
    <tableColumn name="Responsável" id="5"/>
    <tableColumn name="Conferido" id="6"/>
    <tableColumn name="Id PE" id="7"/>
    <tableColumn name="Corporativo ou SPE" id="8"/>
    <tableColumn name="Empresa" id="9"/>
    <tableColumn name="Segmento" id="10"/>
    <tableColumn name="Categoria Cise" id="11"/>
    <tableColumn name="Subcategoria CISE" id="12"/>
    <tableColumn name="Coletor de Custo" id="13"/>
    <tableColumn name="Cód Projeto VED" id="14"/>
    <tableColumn name="Cód SGPMR" id="15"/>
    <tableColumn name="Número da LO" id="16"/>
    <tableColumn name="Descrição do Projeto / Descrição da Ação" id="17"/>
    <tableColumn name="Especificação" id="18"/>
    <tableColumn name="Local da Instalação" id="19"/>
    <tableColumn name="jan/26" id="20"/>
    <tableColumn name="fev/26" id="21"/>
    <tableColumn name="mar/26" id="22"/>
    <tableColumn name="abr/26" id="23"/>
    <tableColumn name="mai/26" id="24"/>
    <tableColumn name="jun/26" id="25"/>
    <tableColumn name="jul/26" id="26"/>
    <tableColumn name="ago/26" id="27"/>
    <tableColumn name="set/26" id="28"/>
    <tableColumn name="out/26" id="29"/>
    <tableColumn name="nov/26" id="30"/>
    <tableColumn name="dez/26" id="31"/>
    <tableColumn name="2026" id="32" totalsRowFunction="sum"/>
    <tableColumn name="2027" id="33" totalsRowFunction="sum"/>
    <tableColumn name="2028" id="34" totalsRowFunction="sum"/>
    <tableColumn name="2029" id="35" totalsRowFunction="sum"/>
    <tableColumn name="2030" id="36" totalsRowFunction="sum"/>
    <tableColumn name="2026-2030" id="37"/>
    <tableColumn name="2031" id="38"/>
    <tableColumn name="2032" id="39"/>
    <tableColumn name="2033" id="40"/>
    <tableColumn name="2034" id="41"/>
    <tableColumn name="2035" id="42"/>
    <tableColumn name="2026-2035" id="43"/>
    <tableColumn name="Sequencial" id="44"/>
    <tableColumn name="Órgão Responsável" id="45"/>
    <tableColumn name="PE de Origem" id="46"/>
    <tableColumn name="Código Projeto OOIV" id="47"/>
    <tableColumn name="ID Financeiro" id="48"/>
    <tableColumn name="Status Contratação" id="49"/>
    <tableColumn name="Descrição Detalhada do Projeto" id="50"/>
    <tableColumn name="Observações" id="51"/>
    <tableColumn name="Líder" id="52"/>
    <tableColumn name="Centro Financeiro" id="53"/>
    <tableColumn name="Item Financeiro" id="54"/>
    <tableColumn name="Pacote" id="55"/>
    <tableColumn name="Subpacote" id="56"/>
    <tableColumn name="Ativos" id="57"/>
    <tableColumn name="Técnico" id="58"/>
    <tableColumn name="Estratégico" id="59"/>
    <tableColumn name="Área de Aplicação da Demanda" id="60"/>
    <tableColumn name="ID EV" id="61"/>
    <tableColumn name="Nome do Projeto/Contratação" id="62"/>
    <tableColumn name="Meta Associada" id="63"/>
    <tableColumn name="Contratação" id="64"/>
    <tableColumn name="Número do Pedido" id="65"/>
    <tableColumn name="Prioridade" id="66"/>
    <tableColumn name="Observação" id="67"/>
    <tableColumn name="Orçado 2026 (PE25-29)" id="68"/>
    <tableColumn name="Orçado 2026 (PE26-30)" id="69"/>
    <tableColumn name="Dif" id="70"/>
    <tableColumn name="Orçado 26/30 (PE25-29)" id="71"/>
    <tableColumn name="Orçado 26/30 (PE26-30)" id="72"/>
    <tableColumn name="Dif2" id="73"/>
    <tableColumn name="Dif2 %" id="74" totalsRowFunction="sum"/>
  </tableColumns>
  <tableStyleInfo name="TableStyleLight1" showColumnStripes="0" showRowStripes="1" showLastColumn="0" showFirstColumn="0"/>
</table>
</file>

<file path=xl/tables/table8.xml><?xml version="1.0" encoding="utf-8"?>
<table xmlns="http://schemas.openxmlformats.org/spreadsheetml/2006/main" ref="A8:AZ217" displayName="Tabela99" name="Tabela99" id="8" totalsRowShown="0">
  <autoFilter ref="A8:AZ217"/>
  <tableColumns count="52">
    <tableColumn name="Analise Estrategia" id="1"/>
    <tableColumn name="Check" id="2"/>
    <tableColumn name="Arquivo" id="3"/>
    <tableColumn name="VP" id="4"/>
    <tableColumn name="Responsável" id="5"/>
    <tableColumn name="Conferido" id="6"/>
    <tableColumn name="Id PE" id="7"/>
    <tableColumn name="Corporativo ou SPE" id="8"/>
    <tableColumn name="Empresa" id="9"/>
    <tableColumn name="Segmento" id="10"/>
    <tableColumn name="Categoria Cise" id="11"/>
    <tableColumn name="Subcategoria CISE" id="12"/>
    <tableColumn name="Coletor de Custo" id="13"/>
    <tableColumn name="Cód Projeto VED" id="14"/>
    <tableColumn name="Cód SGPMR" id="15"/>
    <tableColumn name="Número da LO" id="16"/>
    <tableColumn name="Descrição do projeto" id="17"/>
    <tableColumn name="Especificação" id="18"/>
    <tableColumn name="Local da Instalação" id="19"/>
    <tableColumn name="jan/26" id="20"/>
    <tableColumn name="fev/26" id="21"/>
    <tableColumn name="mar/26" id="22"/>
    <tableColumn name="abr/26" id="23"/>
    <tableColumn name="mai/26" id="24"/>
    <tableColumn name="jun/26" id="25"/>
    <tableColumn name="jul/26" id="26"/>
    <tableColumn name="ago/26" id="27"/>
    <tableColumn name="set/26" id="28"/>
    <tableColumn name="out/26" id="29"/>
    <tableColumn name="nov/26" id="30"/>
    <tableColumn name="dez/26" id="31"/>
    <tableColumn name="2026" id="32"/>
    <tableColumn name="2027" id="33"/>
    <tableColumn name="2028" id="34"/>
    <tableColumn name="2029" id="35"/>
    <tableColumn name="2030" id="36"/>
    <tableColumn name="2026-2030" id="37"/>
    <tableColumn name="2031" id="38"/>
    <tableColumn name="2032" id="39"/>
    <tableColumn name="2033" id="40"/>
    <tableColumn name="2034" id="41"/>
    <tableColumn name="2035" id="42"/>
    <tableColumn name="2026-2035" id="43"/>
    <tableColumn name="Sequencial" id="44"/>
    <tableColumn name="Órgão Responsável" id="45"/>
    <tableColumn name="PE de Origem" id="46"/>
    <tableColumn name="ID de demanda candidata" id="47"/>
    <tableColumn name="ID Financeiro" id="48"/>
    <tableColumn name="Status Contratação" id="49"/>
    <tableColumn name="Descrição Detalhada do Projeto" id="50"/>
    <tableColumn name="Observações" id="51"/>
    <tableColumn name="Líder" id="52"/>
  </tableColumns>
  <tableStyleInfo name="TableStyleLight1" showColumnStripes="0" showRowStripes="1" showLastColumn="0" showFirstColumn="0"/>
</table>
</file>

<file path=xl/tables/table9.xml><?xml version="1.0" encoding="utf-8"?>
<table xmlns="http://schemas.openxmlformats.org/spreadsheetml/2006/main" ref="A8:AZ131" displayName="Tabela98" name="Tabela98" id="9" totalsRowShown="0">
  <autoFilter ref="A8:AZ131"/>
  <tableColumns count="52">
    <tableColumn name="Analise Estrategia" id="1"/>
    <tableColumn name="Check" id="2"/>
    <tableColumn name="Arquivo" id="3"/>
    <tableColumn name="VP" id="4"/>
    <tableColumn name="Responsável" id="5"/>
    <tableColumn name="Conferido" id="6"/>
    <tableColumn name="Id PE" id="7"/>
    <tableColumn name="Corporativo ou SPE" id="8"/>
    <tableColumn name="Empresa" id="9"/>
    <tableColumn name="Segmento" id="10"/>
    <tableColumn name="Categoria Cise" id="11"/>
    <tableColumn name="Subcategoria CISE" id="12"/>
    <tableColumn name="Coletor de Custo" id="13"/>
    <tableColumn name="Cód Projeto VED" id="14"/>
    <tableColumn name="Cód SGPMR" id="15"/>
    <tableColumn name="Número da LO" id="16"/>
    <tableColumn name="Descrição do projeto" id="17"/>
    <tableColumn name="Especificação" id="18"/>
    <tableColumn name="Local da Instalação" id="19"/>
    <tableColumn name="jan/26" id="20"/>
    <tableColumn name="fev/26" id="21"/>
    <tableColumn name="mar/26" id="22"/>
    <tableColumn name="abr/26" id="23"/>
    <tableColumn name="mai/26" id="24"/>
    <tableColumn name="jun/26" id="25"/>
    <tableColumn name="jul/26" id="26"/>
    <tableColumn name="ago/26" id="27"/>
    <tableColumn name="set/26" id="28"/>
    <tableColumn name="out/26" id="29"/>
    <tableColumn name="nov/26" id="30"/>
    <tableColumn name="dez/26" id="31"/>
    <tableColumn name="2026" id="32"/>
    <tableColumn name="2027" id="33"/>
    <tableColumn name="2028" id="34"/>
    <tableColumn name="2029" id="35"/>
    <tableColumn name="2030" id="36"/>
    <tableColumn name="2026-2030" id="37"/>
    <tableColumn name="2031" id="38"/>
    <tableColumn name="2032" id="39"/>
    <tableColumn name="2033" id="40"/>
    <tableColumn name="2034" id="41"/>
    <tableColumn name="2035" id="42"/>
    <tableColumn name="2026-2035" id="43"/>
    <tableColumn name="Sequencial" id="44"/>
    <tableColumn name="Órgão Responsável" id="45"/>
    <tableColumn name="PE de Origem" id="46"/>
    <tableColumn name="ID de demanda candidata" id="47"/>
    <tableColumn name="ID Financeiro" id="48"/>
    <tableColumn name="Status Contratação" id="49"/>
    <tableColumn name="Descrição Detalhada do Projeto" id="50"/>
    <tableColumn name="Observações" id="51"/>
    <tableColumn name="Líder" id="52"/>
  </tableColumns>
  <tableStyleInfo name="TableStyleLight1" showColumnStripes="0" showRowStripes="1" showLastColumn="0" showFirstColumn="0"/>
</table>
</file>

<file path=xl/tables/table10.xml><?xml version="1.0" encoding="utf-8"?>
<table xmlns="http://schemas.openxmlformats.org/spreadsheetml/2006/main" ref="A8:AZ261" displayName="Tabela96" name="Tabela96" id="10" totalsRowShown="0">
  <autoFilter ref="A8:AZ261"/>
  <tableColumns count="52">
    <tableColumn name="Analise Estrategia" id="1"/>
    <tableColumn name="Check" id="2"/>
    <tableColumn name="Arquivo" id="3"/>
    <tableColumn name="VP" id="4"/>
    <tableColumn name="Responsável" id="5"/>
    <tableColumn name="Conferido" id="6"/>
    <tableColumn name="Id PE" id="7"/>
    <tableColumn name="Corporativo ou SPE" id="8"/>
    <tableColumn name="Empresa" id="9"/>
    <tableColumn name="Segmento" id="10"/>
    <tableColumn name="Categoria Cise" id="11"/>
    <tableColumn name="Subcategoria CISE" id="12"/>
    <tableColumn name="Coletor de Custo" id="13"/>
    <tableColumn name="Cód Projeto VED" id="14"/>
    <tableColumn name="Cód SGPMR" id="15"/>
    <tableColumn name="Número da LO" id="16"/>
    <tableColumn name="Descrição do projeto" id="17"/>
    <tableColumn name="Especificação" id="18"/>
    <tableColumn name="Local da Instalação" id="19"/>
    <tableColumn name="jan/26" id="20"/>
    <tableColumn name="fev/26" id="21"/>
    <tableColumn name="mar/26" id="22"/>
    <tableColumn name="abr/26" id="23"/>
    <tableColumn name="mai/26" id="24"/>
    <tableColumn name="jun/26" id="25"/>
    <tableColumn name="jul/26" id="26"/>
    <tableColumn name="ago/26" id="27"/>
    <tableColumn name="set/26" id="28"/>
    <tableColumn name="out/26" id="29"/>
    <tableColumn name="nov/26" id="30"/>
    <tableColumn name="dez/26" id="31"/>
    <tableColumn name="2026" id="32"/>
    <tableColumn name="2027" id="33"/>
    <tableColumn name="2028" id="34"/>
    <tableColumn name="2029" id="35"/>
    <tableColumn name="2030" id="36"/>
    <tableColumn name="2026-2030" id="37"/>
    <tableColumn name="2031" id="38"/>
    <tableColumn name="2032" id="39"/>
    <tableColumn name="2033" id="40"/>
    <tableColumn name="2034" id="41"/>
    <tableColumn name="2035" id="42"/>
    <tableColumn name="2026-2035" id="43"/>
    <tableColumn name="Sequencial" id="44"/>
    <tableColumn name="Órgão Responsável" id="45"/>
    <tableColumn name="PE de Origem" id="46"/>
    <tableColumn name="ID de demanda candidata" id="47"/>
    <tableColumn name="ID Financeiro" id="48"/>
    <tableColumn name="Status Contratação" id="49"/>
    <tableColumn name="Descrição Detalhada do Projeto" id="50"/>
    <tableColumn name="Observações" id="51"/>
    <tableColumn name="Líder" id="52"/>
  </tableColumns>
  <tableStyleInfo name="TableStyleLight1" showColumnStripes="0" showRowStripes="1" showLastColumn="0" showFirstColumn="0"/>
</table>
</file>

<file path=xl/tables/table11.xml><?xml version="1.0" encoding="utf-8"?>
<table xmlns="http://schemas.openxmlformats.org/spreadsheetml/2006/main" ref="A1:K16" displayName="Tabela6" name="Tabela6" id="11" totalsRowShown="0">
  <autoFilter ref="A1:K16"/>
  <tableColumns count="11">
    <tableColumn name="Empresa" id="1"/>
    <tableColumn name="Descrição da Instalação" id="2"/>
    <tableColumn name="Descrição Resumida" id="3"/>
    <tableColumn name="Risco" id="4"/>
    <tableColumn name="Status" id="5"/>
    <tableColumn name="2025" id="6"/>
    <tableColumn name="2026" id="7"/>
    <tableColumn name="2027" id="8"/>
    <tableColumn name="2028" id="9"/>
    <tableColumn name="2029" id="10"/>
    <tableColumn name="2025-2029" id="11"/>
  </tableColumns>
  <tableStyleInfo name="TableStyleLight1" showColumnStripes="0" showRowStripes="1" showLastColumn="0" showFirstColumn="0"/>
</table>
</file>

<file path=xl/tables/table12.xml><?xml version="1.0" encoding="utf-8"?>
<table xmlns="http://schemas.openxmlformats.org/spreadsheetml/2006/main" ref="A29:D45" displayName="Tabela9" name="Tabela9" id="12" totalsRowShown="0">
  <autoFilter ref="A29:D45"/>
  <tableColumns count="4">
    <tableColumn name="PEP" id="1"/>
    <tableColumn name="Descrição" id="2"/>
    <tableColumn name="Soma de 2026" id="3"/>
    <tableColumn name="Responsável" id="4"/>
  </tableColumns>
  <tableStyleInfo name="TableStyleLight1" showColumnStripes="0" showRowStripes="1" showLastColumn="0" showFirstColumn="0"/>
</table>
</file>

<file path=xl/tables/table13.xml><?xml version="1.0" encoding="utf-8"?>
<table xmlns="http://schemas.openxmlformats.org/spreadsheetml/2006/main" ref="A18:BV147" displayName="Tabela10" name="Tabela10" id="13" totalsRowShown="0">
  <autoFilter ref="A18:BV147"/>
  <tableColumns count="74">
    <tableColumn name="Analise Estrategia" id="1"/>
    <tableColumn name="Check" id="2"/>
    <tableColumn name="Arquivo" id="3"/>
    <tableColumn name="VP" id="4"/>
    <tableColumn name="Responsável" id="5"/>
    <tableColumn name="Conferido" id="6"/>
    <tableColumn name="Id PE" id="7"/>
    <tableColumn name="Corporativo ou SPE" id="8"/>
    <tableColumn name="Empresa" id="9"/>
    <tableColumn name="Segmento" id="10"/>
    <tableColumn name="Categoria Cise" id="11"/>
    <tableColumn name="Subcategoria CISE" id="12"/>
    <tableColumn name="Coletor de Custo" id="13"/>
    <tableColumn name="Cód Projeto VED" id="14"/>
    <tableColumn name="Cód SGPMR" id="15"/>
    <tableColumn name="Número da LO" id="16"/>
    <tableColumn name="ID real" id="17"/>
    <tableColumn name="Descrição do projeto" id="18"/>
    <tableColumn name="ID real3" id="19"/>
    <tableColumn name="Categoria Cise2" id="20"/>
    <tableColumn name="Subcategoria CISE3" id="21"/>
    <tableColumn name="Coletor de Custo (Carga)" id="22"/>
    <tableColumn name="PEP SIGEP" id="23"/>
    <tableColumn name="PEP especifico" id="24"/>
    <tableColumn name="RC" id="25"/>
    <tableColumn name="Valor RC" id="26"/>
    <tableColumn name="Contrato" id="27"/>
    <tableColumn name="Valor Contrato" id="28"/>
    <tableColumn name="Pedido" id="29"/>
    <tableColumn name="Valor Pedido" id="30"/>
    <tableColumn name="Objeto" id="31"/>
    <tableColumn name="Contratada" id="32"/>
    <tableColumn name="Especificação" id="33"/>
    <tableColumn name="Local da Instalação" id="34"/>
    <tableColumn name="jan/26" id="35"/>
    <tableColumn name="fev/26" id="36"/>
    <tableColumn name="mar/26" id="37"/>
    <tableColumn name="abr/26" id="38"/>
    <tableColumn name="mai/26" id="39"/>
    <tableColumn name="jun/26" id="40"/>
    <tableColumn name="jul/26" id="41"/>
    <tableColumn name="ago/26" id="42"/>
    <tableColumn name="set/26" id="43"/>
    <tableColumn name="out/26" id="44"/>
    <tableColumn name="nov/26" id="45"/>
    <tableColumn name="dez/26" id="46"/>
    <tableColumn name="2026" id="47"/>
    <tableColumn name="2027" id="48"/>
    <tableColumn name="2028" id="49"/>
    <tableColumn name="2029" id="50"/>
    <tableColumn name="2030" id="51"/>
    <tableColumn name="2026-2030" id="52"/>
    <tableColumn name="2031" id="53"/>
    <tableColumn name="2032" id="54"/>
    <tableColumn name="2033" id="55"/>
    <tableColumn name="2034" id="56"/>
    <tableColumn name="2035" id="57"/>
    <tableColumn name="2026-2035" id="58"/>
    <tableColumn name="sequencial" id="59"/>
    <tableColumn name="ID real2" id="60"/>
    <tableColumn name="GRUPO" id="61"/>
    <tableColumn name="Órgão Responsável" id="62"/>
    <tableColumn name="PE de Origem" id="63"/>
    <tableColumn name="ID de demanda candidata" id="64"/>
    <tableColumn name="ID Financeiro" id="65"/>
    <tableColumn name="ID real22" id="66"/>
    <tableColumn name="Status Contratação" id="67"/>
    <tableColumn name="De_Para" id="68"/>
    <tableColumn name="Status CISE" id="69"/>
    <tableColumn name="Valor original 2026" id="70"/>
    <tableColumn name="Observações" id="71"/>
    <tableColumn name="ID real222" id="72"/>
    <tableColumn name="Líder" id="73"/>
    <tableColumn name="Descrição do Projeto2" id="74"/>
  </tableColumns>
  <tableStyleInfo name="TableStyleLight1" showColumnStripes="0" showRowStripes="1" showLastColumn="0" showFirstColumn="0"/>
</table>
</file>

<file path=xl/tables/table14.xml><?xml version="1.0" encoding="utf-8"?>
<table xmlns="http://schemas.openxmlformats.org/spreadsheetml/2006/main" ref="B3:D12" displayName="Tabela3" name="Tabela3" id="14" totalsRowShown="0">
  <autoFilter ref="B3:D12">
    <filterColumn hiddenButton="1" colId="0"/>
    <filterColumn hiddenButton="1" colId="1"/>
    <filterColumn hiddenButton="1" colId="2"/>
  </autoFilter>
  <tableColumns count="3">
    <tableColumn name="Id" id="1"/>
    <tableColumn name="Descrição" id="2"/>
    <tableColumn name="Status" id="3"/>
  </tableColumns>
  <tableStyleInfo name="TableStyleLight1" showColumnStripes="0" showRowStripes="1" showLastColumn="0" showFirstColumn="0"/>
</table>
</file>

<file path=xl/tables/table15.xml><?xml version="1.0" encoding="utf-8"?>
<table xmlns="http://schemas.openxmlformats.org/spreadsheetml/2006/main" ref="B11:D120" displayName="Tabela2" name="Tabela2" id="15" totalsRowShown="0">
  <autoFilter ref="B11:D120">
    <filterColumn hiddenButton="1" colId="0"/>
    <filterColumn hiddenButton="1" colId="1"/>
    <filterColumn hiddenButton="1" colId="2"/>
  </autoFilter>
  <tableColumns count="3">
    <tableColumn name="Coluna" id="1"/>
    <tableColumn name="Descrição do Campo" id="2" totalsRowLabel="Total"/>
    <tableColumn name="Área utiliza Projeção? (Sim/Não)" id="3" totalsRowFunction="count"/>
  </tableColumns>
  <tableStyleInfo name="TableStyleLight1" showColumnStripes="0" showRowStripes="1" showLastColumn="0" showFirstColumn="0"/>
</table>
</file>

<file path=xl/theme/theme1.xml><?xml version="1.0" encoding="utf-8"?>
<a:theme xmlns:a="http://schemas.openxmlformats.org/drawingml/2006/main" name="Office Theme">
  <a:themeElements>
    <a:clrScheme name="Office">
      <a:dk1>
        <a:sysClr lastClr="000000" val="windowText"/>
      </a:dk1>
      <a:lt1>
        <a:sysClr lastClr="FFFFFF" val="window"/>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Target="../tables/table15.xml" Type="http://schemas.openxmlformats.org/officeDocument/2006/relationships/table" Id="rId1"/></Relationships>
</file>

<file path=xl/worksheets/_rels/sheet2.xml.rels><?xml version="1.0" encoding="UTF-8" standalone="yes"?><Relationships xmlns="http://schemas.openxmlformats.org/package/2006/relationships"><Relationship Target="../tables/table14.xml" Type="http://schemas.openxmlformats.org/officeDocument/2006/relationships/table" Id="rId1"/></Relationships>
</file>

<file path=xl/worksheets/_rels/sheet5.xml.rels><?xml version="1.0" encoding="UTF-8" standalone="yes"?><Relationships xmlns="http://schemas.openxmlformats.org/package/2006/relationships"><Relationship Target="../tables/table13.xml" Type="http://schemas.openxmlformats.org/officeDocument/2006/relationships/table" Id="rId1"/></Relationships>
</file>

<file path=xl/worksheets/_rels/sheet13.xml.rels><?xml version="1.0" encoding="UTF-8" standalone="yes"?><Relationships xmlns="http://schemas.openxmlformats.org/package/2006/relationships"><Relationship Target="../tables/table12.xml" Type="http://schemas.openxmlformats.org/officeDocument/2006/relationships/table" Id="rId1"/></Relationships>
</file>

<file path=xl/worksheets/_rels/sheet17.xml.rels><?xml version="1.0" encoding="UTF-8" standalone="yes"?><Relationships xmlns="http://schemas.openxmlformats.org/package/2006/relationships"><Relationship Target="../tables/table11.xml" Type="http://schemas.openxmlformats.org/officeDocument/2006/relationships/table" Id="rId1"/></Relationships>
</file>

<file path=xl/worksheets/_rels/sheet18.xml.rels><?xml version="1.0" encoding="UTF-8" standalone="yes"?><Relationships xmlns="http://schemas.openxmlformats.org/package/2006/relationships"><Relationship Target="../tables/table10.xml" Type="http://schemas.openxmlformats.org/officeDocument/2006/relationships/table" Id="rId1"/></Relationships>
</file>

<file path=xl/worksheets/_rels/sheet19.xml.rels><?xml version="1.0" encoding="UTF-8" standalone="yes"?><Relationships xmlns="http://schemas.openxmlformats.org/package/2006/relationships"><Relationship Target="../tables/table9.xml" Type="http://schemas.openxmlformats.org/officeDocument/2006/relationships/table" Id="rId1"/></Relationships>
</file>

<file path=xl/worksheets/_rels/sheet20.xml.rels><?xml version="1.0" encoding="UTF-8" standalone="yes"?><Relationships xmlns="http://schemas.openxmlformats.org/package/2006/relationships"><Relationship Target="../tables/table8.xml" Type="http://schemas.openxmlformats.org/officeDocument/2006/relationships/table" Id="rId1"/></Relationships>
</file>

<file path=xl/worksheets/_rels/sheet21.xml.rels><?xml version="1.0" encoding="UTF-8" standalone="yes"?><Relationships xmlns="http://schemas.openxmlformats.org/package/2006/relationships"><Relationship Target="../tables/table7.xml" Type="http://schemas.openxmlformats.org/officeDocument/2006/relationships/table" Id="rId1"/></Relationships>
</file>

<file path=xl/worksheets/_rels/sheet23.xml.rels><?xml version="1.0" encoding="UTF-8" standalone="yes"?><Relationships xmlns="http://schemas.openxmlformats.org/package/2006/relationships"><Relationship Target="../tables/table6.xml" Type="http://schemas.openxmlformats.org/officeDocument/2006/relationships/table" Id="rId1"/></Relationships>
</file>

<file path=xl/worksheets/_rels/sheet25.xml.rels><?xml version="1.0" encoding="UTF-8" standalone="yes"?><Relationships xmlns="http://schemas.openxmlformats.org/package/2006/relationships"><Relationship Target="../tables/table1.xml" Type="http://schemas.openxmlformats.org/officeDocument/2006/relationships/table" Id="rId1"/><Relationship Target="../tables/table2.xml" Type="http://schemas.openxmlformats.org/officeDocument/2006/relationships/table" Id="rId2"/><Relationship Target="../tables/table3.xml" Type="http://schemas.openxmlformats.org/officeDocument/2006/relationships/table" Id="rId3"/><Relationship Target="../tables/table4.xml" Type="http://schemas.openxmlformats.org/officeDocument/2006/relationships/table" Id="rId4"/><Relationship Target="../tables/table5.xml" Type="http://schemas.openxmlformats.org/officeDocument/2006/relationships/table" Id="rId5"/></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20"/>
  <sheetViews>
    <sheetView workbookViewId="0"/>
  </sheetViews>
  <sheetFormatPr defaultRowHeight="15" x14ac:dyDescent="0.25"/>
  <cols>
    <col min="1" max="1" style="15" width="15.719285714285713" customWidth="1" bestFit="1"/>
    <col min="2" max="2" style="411" width="6.719285714285714" customWidth="1" bestFit="1"/>
    <col min="3" max="3" style="256" width="38.29071428571429" customWidth="1" bestFit="1"/>
    <col min="4" max="4" style="256" width="38.71928571428572" customWidth="1" bestFit="1"/>
  </cols>
  <sheetData>
    <row x14ac:dyDescent="0.25" r="1" customHeight="1" ht="18.75">
      <c r="A1" s="1"/>
      <c r="B1" s="404"/>
      <c r="C1" s="412"/>
      <c r="D1" s="412"/>
    </row>
    <row x14ac:dyDescent="0.25" r="2" customHeight="1" ht="18.75">
      <c r="A2" s="1"/>
      <c r="B2" s="404"/>
      <c r="C2" s="412"/>
      <c r="D2" s="412"/>
    </row>
    <row x14ac:dyDescent="0.25" r="3" customHeight="1" ht="18.75">
      <c r="A3" s="1"/>
      <c r="B3" s="413" t="s">
        <v>41523</v>
      </c>
      <c r="C3" s="412"/>
      <c r="D3" s="412"/>
    </row>
    <row x14ac:dyDescent="0.25" r="4" customHeight="1" ht="18.75">
      <c r="A4" s="1"/>
      <c r="B4" s="404"/>
      <c r="C4" s="412"/>
      <c r="D4" s="412"/>
    </row>
    <row x14ac:dyDescent="0.25" r="5" customHeight="1" ht="18.75">
      <c r="A5" s="1"/>
      <c r="B5" s="414" t="s">
        <v>41524</v>
      </c>
      <c r="C5" s="412"/>
      <c r="D5" s="412"/>
    </row>
    <row x14ac:dyDescent="0.25" r="6" customHeight="1" ht="18.75">
      <c r="A6" s="1"/>
      <c r="B6" s="414" t="s">
        <v>41525</v>
      </c>
      <c r="C6" s="412"/>
      <c r="D6" s="412"/>
    </row>
    <row x14ac:dyDescent="0.25" r="7" customHeight="1" ht="18.75">
      <c r="A7" s="1"/>
      <c r="B7" s="414" t="s">
        <v>41526</v>
      </c>
      <c r="C7" s="412"/>
      <c r="D7" s="412"/>
    </row>
    <row x14ac:dyDescent="0.25" r="8" customHeight="1" ht="18.75">
      <c r="A8" s="1"/>
      <c r="B8" s="414" t="s">
        <v>41527</v>
      </c>
      <c r="C8" s="412"/>
      <c r="D8" s="412"/>
    </row>
    <row x14ac:dyDescent="0.25" r="9" customHeight="1" ht="18.75">
      <c r="A9" s="1"/>
      <c r="B9" s="404"/>
      <c r="C9" s="412"/>
      <c r="D9" s="412"/>
    </row>
    <row x14ac:dyDescent="0.25" r="10" customHeight="1" ht="18.75">
      <c r="A10" s="1"/>
      <c r="B10" s="404"/>
      <c r="C10" s="412"/>
      <c r="D10" s="412"/>
    </row>
    <row x14ac:dyDescent="0.25" r="11" customHeight="1" ht="22.5">
      <c r="A11" s="1"/>
      <c r="B11" s="415" t="s">
        <v>41528</v>
      </c>
      <c r="C11" s="416" t="s">
        <v>41529</v>
      </c>
      <c r="D11" s="416" t="s">
        <v>41530</v>
      </c>
    </row>
    <row x14ac:dyDescent="0.25" r="12" customHeight="1" ht="18.75">
      <c r="A12" s="1"/>
      <c r="B12" s="417">
        <v>1</v>
      </c>
      <c r="C12" s="418" t="s">
        <v>38994</v>
      </c>
      <c r="D12" s="419" t="s">
        <v>41531</v>
      </c>
    </row>
    <row x14ac:dyDescent="0.25" r="13" customHeight="1" ht="18.75">
      <c r="A13" s="1"/>
      <c r="B13" s="420">
        <v>2</v>
      </c>
      <c r="C13" s="418" t="s">
        <v>38995</v>
      </c>
      <c r="D13" s="419" t="s">
        <v>41531</v>
      </c>
    </row>
    <row x14ac:dyDescent="0.25" r="14" customHeight="1" ht="18.75">
      <c r="A14" s="1"/>
      <c r="B14" s="417">
        <v>3</v>
      </c>
      <c r="C14" s="418" t="s">
        <v>38981</v>
      </c>
      <c r="D14" s="419" t="s">
        <v>41531</v>
      </c>
    </row>
    <row x14ac:dyDescent="0.25" r="15" customHeight="1" ht="18.75">
      <c r="A15" s="1"/>
      <c r="B15" s="420">
        <v>4</v>
      </c>
      <c r="C15" s="418" t="s">
        <v>38276</v>
      </c>
      <c r="D15" s="419" t="s">
        <v>41531</v>
      </c>
    </row>
    <row x14ac:dyDescent="0.25" r="16" customHeight="1" ht="18.75">
      <c r="A16" s="1"/>
      <c r="B16" s="417">
        <v>5</v>
      </c>
      <c r="C16" s="418" t="s">
        <v>0</v>
      </c>
      <c r="D16" s="421" t="s">
        <v>41532</v>
      </c>
    </row>
    <row x14ac:dyDescent="0.25" r="17" customHeight="1" ht="18.75">
      <c r="A17" s="1"/>
      <c r="B17" s="420">
        <v>6</v>
      </c>
      <c r="C17" s="418" t="s">
        <v>38996</v>
      </c>
      <c r="D17" s="421" t="s">
        <v>41532</v>
      </c>
    </row>
    <row x14ac:dyDescent="0.25" r="18" customHeight="1" ht="18.75">
      <c r="A18" s="1"/>
      <c r="B18" s="417">
        <v>7</v>
      </c>
      <c r="C18" s="418" t="s">
        <v>38997</v>
      </c>
      <c r="D18" s="421" t="s">
        <v>41532</v>
      </c>
    </row>
    <row x14ac:dyDescent="0.25" r="19" customHeight="1" ht="18.75">
      <c r="A19" s="1"/>
      <c r="B19" s="420">
        <v>8</v>
      </c>
      <c r="C19" s="418" t="s">
        <v>41533</v>
      </c>
      <c r="D19" s="422"/>
    </row>
    <row x14ac:dyDescent="0.25" r="20" customHeight="1" ht="18.75">
      <c r="A20" s="1"/>
      <c r="B20" s="417">
        <v>9</v>
      </c>
      <c r="C20" s="418" t="s">
        <v>41534</v>
      </c>
      <c r="D20" s="423"/>
    </row>
    <row x14ac:dyDescent="0.25" r="21" customHeight="1" ht="18.75">
      <c r="A21" s="1"/>
      <c r="B21" s="420">
        <v>10</v>
      </c>
      <c r="C21" s="418" t="s">
        <v>36364</v>
      </c>
      <c r="D21" s="421" t="s">
        <v>41532</v>
      </c>
    </row>
    <row x14ac:dyDescent="0.25" r="22" customHeight="1" ht="18.75">
      <c r="A22" s="1"/>
      <c r="B22" s="417">
        <v>11</v>
      </c>
      <c r="C22" s="418" t="s">
        <v>38999</v>
      </c>
      <c r="D22" s="421" t="s">
        <v>41532</v>
      </c>
    </row>
    <row x14ac:dyDescent="0.25" r="23" customHeight="1" ht="18.75">
      <c r="A23" s="1"/>
      <c r="B23" s="420">
        <v>12</v>
      </c>
      <c r="C23" s="418" t="s">
        <v>3</v>
      </c>
      <c r="D23" s="421" t="s">
        <v>41532</v>
      </c>
    </row>
    <row x14ac:dyDescent="0.25" r="24" customHeight="1" ht="18.75">
      <c r="A24" s="1"/>
      <c r="B24" s="417">
        <v>13</v>
      </c>
      <c r="C24" s="418" t="s">
        <v>89</v>
      </c>
      <c r="D24" s="424"/>
    </row>
    <row x14ac:dyDescent="0.25" r="25" customHeight="1" ht="18.75">
      <c r="A25" s="1"/>
      <c r="B25" s="420"/>
      <c r="C25" s="425"/>
      <c r="D25" s="424"/>
    </row>
    <row x14ac:dyDescent="0.25" r="26" customHeight="1" ht="25.5">
      <c r="A26" s="1"/>
      <c r="B26" s="426"/>
      <c r="C26" s="427" t="s">
        <v>38987</v>
      </c>
      <c r="D26" s="428"/>
    </row>
    <row x14ac:dyDescent="0.25" r="27" customHeight="1" ht="18.75">
      <c r="A27" s="1"/>
      <c r="B27" s="420">
        <v>14</v>
      </c>
      <c r="C27" s="418" t="s">
        <v>90</v>
      </c>
      <c r="D27" s="422"/>
    </row>
    <row x14ac:dyDescent="0.25" r="28" customHeight="1" ht="18.75">
      <c r="A28" s="1"/>
      <c r="B28" s="420">
        <v>15</v>
      </c>
      <c r="C28" s="418" t="s">
        <v>41535</v>
      </c>
      <c r="D28" s="421" t="s">
        <v>41536</v>
      </c>
    </row>
    <row x14ac:dyDescent="0.25" r="29" customHeight="1" ht="18.75">
      <c r="A29" s="1"/>
      <c r="B29" s="420">
        <v>16</v>
      </c>
      <c r="C29" s="418" t="s">
        <v>3586</v>
      </c>
      <c r="D29" s="421" t="s">
        <v>41537</v>
      </c>
    </row>
    <row x14ac:dyDescent="0.25" r="30" customHeight="1" ht="18.75">
      <c r="A30" s="1"/>
      <c r="B30" s="420">
        <v>17</v>
      </c>
      <c r="C30" s="429" t="s">
        <v>42</v>
      </c>
      <c r="D30" s="421" t="s">
        <v>41532</v>
      </c>
    </row>
    <row x14ac:dyDescent="0.25" r="31" customHeight="1" ht="18.75">
      <c r="A31" s="1"/>
      <c r="B31" s="420">
        <v>18</v>
      </c>
      <c r="C31" s="418" t="s">
        <v>41538</v>
      </c>
      <c r="D31" s="422"/>
    </row>
    <row x14ac:dyDescent="0.25" r="32" customHeight="1" ht="18.75">
      <c r="A32" s="1"/>
      <c r="B32" s="420">
        <v>19</v>
      </c>
      <c r="C32" s="418" t="s">
        <v>41539</v>
      </c>
      <c r="D32" s="423"/>
    </row>
    <row x14ac:dyDescent="0.25" r="33" customHeight="1" ht="18.75">
      <c r="A33" s="1"/>
      <c r="B33" s="420">
        <v>20</v>
      </c>
      <c r="C33" s="418" t="s">
        <v>41540</v>
      </c>
      <c r="D33" s="422"/>
    </row>
    <row x14ac:dyDescent="0.25" r="34" customHeight="1" ht="18.75">
      <c r="A34" s="1"/>
      <c r="B34" s="420">
        <v>21</v>
      </c>
      <c r="C34" s="429" t="s">
        <v>41541</v>
      </c>
      <c r="D34" s="423"/>
    </row>
    <row x14ac:dyDescent="0.25" r="35" customHeight="1" ht="18.75">
      <c r="A35" s="1"/>
      <c r="B35" s="420">
        <v>22</v>
      </c>
      <c r="C35" s="418" t="s">
        <v>41542</v>
      </c>
      <c r="D35" s="421" t="s">
        <v>41543</v>
      </c>
    </row>
    <row x14ac:dyDescent="0.25" r="36" customHeight="1" ht="18.75">
      <c r="A36" s="1"/>
      <c r="B36" s="420">
        <v>23</v>
      </c>
      <c r="C36" s="418" t="s">
        <v>41544</v>
      </c>
      <c r="D36" s="423"/>
    </row>
    <row x14ac:dyDescent="0.25" r="37" customHeight="1" ht="18.75">
      <c r="A37" s="1"/>
      <c r="B37" s="420">
        <v>24</v>
      </c>
      <c r="C37" s="418" t="s">
        <v>41545</v>
      </c>
      <c r="D37" s="422"/>
    </row>
    <row x14ac:dyDescent="0.25" r="38" customHeight="1" ht="18.75">
      <c r="A38" s="1"/>
      <c r="B38" s="420">
        <v>25</v>
      </c>
      <c r="C38" s="418" t="s">
        <v>41</v>
      </c>
      <c r="D38" s="423"/>
    </row>
    <row x14ac:dyDescent="0.25" r="39" customHeight="1" ht="18.75">
      <c r="A39" s="1"/>
      <c r="B39" s="420">
        <v>26</v>
      </c>
      <c r="C39" s="418" t="s">
        <v>41546</v>
      </c>
      <c r="D39" s="422"/>
    </row>
    <row x14ac:dyDescent="0.25" r="40" customHeight="1" ht="18.75">
      <c r="A40" s="1"/>
      <c r="B40" s="420">
        <v>27</v>
      </c>
      <c r="C40" s="418" t="s">
        <v>41547</v>
      </c>
      <c r="D40" s="423"/>
    </row>
    <row x14ac:dyDescent="0.25" r="41" customHeight="1" ht="18.75">
      <c r="A41" s="1"/>
      <c r="B41" s="420">
        <v>28</v>
      </c>
      <c r="C41" s="418" t="s">
        <v>41548</v>
      </c>
      <c r="D41" s="422"/>
    </row>
    <row x14ac:dyDescent="0.25" r="42" customHeight="1" ht="18.75">
      <c r="A42" s="1"/>
      <c r="B42" s="420">
        <v>29</v>
      </c>
      <c r="C42" s="429" t="s">
        <v>41549</v>
      </c>
      <c r="D42" s="423"/>
    </row>
    <row x14ac:dyDescent="0.25" r="43" customHeight="1" ht="18.75">
      <c r="A43" s="1"/>
      <c r="B43" s="420">
        <v>30</v>
      </c>
      <c r="C43" s="429" t="s">
        <v>41550</v>
      </c>
      <c r="D43" s="422"/>
    </row>
    <row x14ac:dyDescent="0.25" r="44" customHeight="1" ht="18.75">
      <c r="A44" s="1"/>
      <c r="B44" s="420">
        <v>31</v>
      </c>
      <c r="C44" s="429" t="s">
        <v>41551</v>
      </c>
      <c r="D44" s="423"/>
    </row>
    <row x14ac:dyDescent="0.25" r="45" customHeight="1" ht="18.75">
      <c r="A45" s="1"/>
      <c r="B45" s="420"/>
      <c r="C45" s="430"/>
      <c r="D45" s="424"/>
    </row>
    <row x14ac:dyDescent="0.25" r="46" customHeight="1" ht="24.75">
      <c r="A46" s="1"/>
      <c r="B46" s="431"/>
      <c r="C46" s="432" t="s">
        <v>41552</v>
      </c>
      <c r="D46" s="433"/>
    </row>
    <row x14ac:dyDescent="0.25" r="47" customHeight="1" ht="18.75">
      <c r="A47" s="1"/>
      <c r="B47" s="420">
        <v>32</v>
      </c>
      <c r="C47" s="424" t="s">
        <v>41553</v>
      </c>
      <c r="D47" s="421" t="s">
        <v>41532</v>
      </c>
    </row>
    <row x14ac:dyDescent="0.25" r="48" customHeight="1" ht="18.75">
      <c r="A48" s="1"/>
      <c r="B48" s="420">
        <v>33</v>
      </c>
      <c r="C48" s="424" t="s">
        <v>41554</v>
      </c>
      <c r="D48" s="421" t="s">
        <v>41532</v>
      </c>
    </row>
    <row x14ac:dyDescent="0.25" r="49" customHeight="1" ht="18.75">
      <c r="A49" s="1"/>
      <c r="B49" s="420">
        <v>34</v>
      </c>
      <c r="C49" s="424" t="s">
        <v>41555</v>
      </c>
      <c r="D49" s="421" t="s">
        <v>41532</v>
      </c>
    </row>
    <row x14ac:dyDescent="0.25" r="50" customHeight="1" ht="18.75">
      <c r="A50" s="1"/>
      <c r="B50" s="420">
        <v>35</v>
      </c>
      <c r="C50" s="424" t="s">
        <v>41556</v>
      </c>
      <c r="D50" s="421" t="s">
        <v>41532</v>
      </c>
    </row>
    <row x14ac:dyDescent="0.25" r="51" customHeight="1" ht="18.75">
      <c r="A51" s="1"/>
      <c r="B51" s="420">
        <v>36</v>
      </c>
      <c r="C51" s="424" t="s">
        <v>41557</v>
      </c>
      <c r="D51" s="421" t="s">
        <v>41532</v>
      </c>
    </row>
    <row x14ac:dyDescent="0.25" r="52" customHeight="1" ht="18.75">
      <c r="A52" s="1"/>
      <c r="B52" s="420">
        <v>37</v>
      </c>
      <c r="C52" s="424" t="s">
        <v>41558</v>
      </c>
      <c r="D52" s="421" t="s">
        <v>41532</v>
      </c>
    </row>
    <row x14ac:dyDescent="0.25" r="53" customHeight="1" ht="18.75">
      <c r="A53" s="1"/>
      <c r="B53" s="420">
        <v>38</v>
      </c>
      <c r="C53" s="424" t="s">
        <v>41559</v>
      </c>
      <c r="D53" s="421" t="s">
        <v>41532</v>
      </c>
    </row>
    <row x14ac:dyDescent="0.25" r="54" customHeight="1" ht="18.75">
      <c r="A54" s="1"/>
      <c r="B54" s="420">
        <v>39</v>
      </c>
      <c r="C54" s="424" t="s">
        <v>41560</v>
      </c>
      <c r="D54" s="421" t="s">
        <v>41532</v>
      </c>
    </row>
    <row x14ac:dyDescent="0.25" r="55" customHeight="1" ht="18.75">
      <c r="A55" s="1"/>
      <c r="B55" s="420">
        <v>40</v>
      </c>
      <c r="C55" s="424" t="s">
        <v>41561</v>
      </c>
      <c r="D55" s="421" t="s">
        <v>41532</v>
      </c>
    </row>
    <row x14ac:dyDescent="0.25" r="56" customHeight="1" ht="18.75">
      <c r="A56" s="1"/>
      <c r="B56" s="420">
        <v>41</v>
      </c>
      <c r="C56" s="424" t="s">
        <v>41562</v>
      </c>
      <c r="D56" s="421" t="s">
        <v>41532</v>
      </c>
    </row>
    <row x14ac:dyDescent="0.25" r="57" customHeight="1" ht="18.75">
      <c r="A57" s="1"/>
      <c r="B57" s="420">
        <v>42</v>
      </c>
      <c r="C57" s="424" t="s">
        <v>41563</v>
      </c>
      <c r="D57" s="421" t="s">
        <v>41532</v>
      </c>
    </row>
    <row x14ac:dyDescent="0.25" r="58" customHeight="1" ht="18.75">
      <c r="A58" s="1"/>
      <c r="B58" s="420">
        <v>43</v>
      </c>
      <c r="C58" s="424" t="s">
        <v>41564</v>
      </c>
      <c r="D58" s="421" t="s">
        <v>41532</v>
      </c>
    </row>
    <row x14ac:dyDescent="0.25" r="59" customHeight="1" ht="18.75">
      <c r="A59" s="1"/>
      <c r="B59" s="420">
        <v>44</v>
      </c>
      <c r="C59" s="424" t="s">
        <v>41565</v>
      </c>
      <c r="D59" s="421" t="s">
        <v>41532</v>
      </c>
    </row>
    <row x14ac:dyDescent="0.25" r="60" customHeight="1" ht="18.75">
      <c r="A60" s="1"/>
      <c r="B60" s="420">
        <v>45</v>
      </c>
      <c r="C60" s="424" t="s">
        <v>41566</v>
      </c>
      <c r="D60" s="421" t="s">
        <v>41532</v>
      </c>
    </row>
    <row x14ac:dyDescent="0.25" r="61" customHeight="1" ht="18.75">
      <c r="A61" s="1"/>
      <c r="B61" s="420">
        <v>46</v>
      </c>
      <c r="C61" s="424" t="s">
        <v>39899</v>
      </c>
      <c r="D61" s="421" t="s">
        <v>41532</v>
      </c>
    </row>
    <row x14ac:dyDescent="0.25" r="62" customHeight="1" ht="18.75">
      <c r="A62" s="1"/>
      <c r="B62" s="420">
        <v>47</v>
      </c>
      <c r="C62" s="424" t="s">
        <v>39900</v>
      </c>
      <c r="D62" s="421" t="s">
        <v>41532</v>
      </c>
    </row>
    <row x14ac:dyDescent="0.25" r="63" customHeight="1" ht="18.75">
      <c r="A63" s="1"/>
      <c r="B63" s="420">
        <v>48</v>
      </c>
      <c r="C63" s="424" t="s">
        <v>39901</v>
      </c>
      <c r="D63" s="421" t="s">
        <v>41532</v>
      </c>
    </row>
    <row x14ac:dyDescent="0.25" r="64" customHeight="1" ht="18.75">
      <c r="A64" s="1"/>
      <c r="B64" s="420">
        <v>49</v>
      </c>
      <c r="C64" s="424" t="s">
        <v>41567</v>
      </c>
      <c r="D64" s="421" t="s">
        <v>41532</v>
      </c>
    </row>
    <row x14ac:dyDescent="0.25" r="65" customHeight="1" ht="18.75">
      <c r="A65" s="1"/>
      <c r="B65" s="420">
        <v>50</v>
      </c>
      <c r="C65" s="424" t="s">
        <v>39902</v>
      </c>
      <c r="D65" s="421" t="s">
        <v>41568</v>
      </c>
    </row>
    <row x14ac:dyDescent="0.25" r="66" customHeight="1" ht="18.75">
      <c r="A66" s="1"/>
      <c r="B66" s="420">
        <v>51</v>
      </c>
      <c r="C66" s="424" t="s">
        <v>39903</v>
      </c>
      <c r="D66" s="421" t="s">
        <v>41568</v>
      </c>
    </row>
    <row x14ac:dyDescent="0.25" r="67" customHeight="1" ht="18.75">
      <c r="A67" s="1"/>
      <c r="B67" s="420">
        <v>52</v>
      </c>
      <c r="C67" s="424" t="s">
        <v>39904</v>
      </c>
      <c r="D67" s="421" t="s">
        <v>41568</v>
      </c>
    </row>
    <row x14ac:dyDescent="0.25" r="68" customHeight="1" ht="18.75">
      <c r="A68" s="1"/>
      <c r="B68" s="420">
        <v>53</v>
      </c>
      <c r="C68" s="424" t="s">
        <v>39905</v>
      </c>
      <c r="D68" s="421" t="s">
        <v>41568</v>
      </c>
    </row>
    <row x14ac:dyDescent="0.25" r="69" customHeight="1" ht="18.75">
      <c r="A69" s="1"/>
      <c r="B69" s="420">
        <v>54</v>
      </c>
      <c r="C69" s="424" t="s">
        <v>39906</v>
      </c>
      <c r="D69" s="421" t="s">
        <v>41568</v>
      </c>
    </row>
    <row x14ac:dyDescent="0.25" r="70" customHeight="1" ht="18.75">
      <c r="A70" s="1"/>
      <c r="B70" s="420">
        <v>55</v>
      </c>
      <c r="C70" s="424" t="s">
        <v>41569</v>
      </c>
      <c r="D70" s="421" t="s">
        <v>41568</v>
      </c>
    </row>
    <row x14ac:dyDescent="0.25" r="71" customHeight="1" ht="18.75">
      <c r="A71" s="1"/>
      <c r="B71" s="420"/>
      <c r="C71" s="434"/>
      <c r="D71" s="424"/>
    </row>
    <row x14ac:dyDescent="0.25" r="72" customHeight="1" ht="18.75">
      <c r="A72" s="1"/>
      <c r="B72" s="435"/>
      <c r="C72" s="436" t="s">
        <v>41570</v>
      </c>
      <c r="D72" s="437"/>
    </row>
    <row x14ac:dyDescent="0.25" r="73" customHeight="1" ht="18.75">
      <c r="A73" s="1"/>
      <c r="B73" s="420">
        <v>56</v>
      </c>
      <c r="C73" s="429" t="s">
        <v>41571</v>
      </c>
      <c r="D73" s="422"/>
    </row>
    <row x14ac:dyDescent="0.25" r="74" customHeight="1" ht="18.75">
      <c r="A74" s="1"/>
      <c r="B74" s="420">
        <v>57</v>
      </c>
      <c r="C74" s="429" t="s">
        <v>41572</v>
      </c>
      <c r="D74" s="423"/>
    </row>
    <row x14ac:dyDescent="0.25" r="75" customHeight="1" ht="18.75">
      <c r="A75" s="1"/>
      <c r="B75" s="420">
        <v>58</v>
      </c>
      <c r="C75" s="429" t="s">
        <v>41573</v>
      </c>
      <c r="D75" s="422"/>
    </row>
    <row x14ac:dyDescent="0.25" r="76" customHeight="1" ht="18.75">
      <c r="A76" s="1"/>
      <c r="B76" s="420">
        <v>59</v>
      </c>
      <c r="C76" s="429" t="s">
        <v>41574</v>
      </c>
      <c r="D76" s="423"/>
    </row>
    <row x14ac:dyDescent="0.25" r="77" customHeight="1" ht="18.75">
      <c r="A77" s="1"/>
      <c r="B77" s="420">
        <v>60</v>
      </c>
      <c r="C77" s="429" t="s">
        <v>41575</v>
      </c>
      <c r="D77" s="422"/>
    </row>
    <row x14ac:dyDescent="0.25" r="78" customHeight="1" ht="18.75">
      <c r="A78" s="1"/>
      <c r="B78" s="420">
        <v>61</v>
      </c>
      <c r="C78" s="429" t="s">
        <v>41576</v>
      </c>
      <c r="D78" s="423"/>
    </row>
    <row x14ac:dyDescent="0.25" r="79" customHeight="1" ht="18.75">
      <c r="A79" s="1"/>
      <c r="B79" s="420">
        <v>62</v>
      </c>
      <c r="C79" s="429" t="s">
        <v>41577</v>
      </c>
      <c r="D79" s="422"/>
    </row>
    <row x14ac:dyDescent="0.25" r="80" customHeight="1" ht="18.75">
      <c r="A80" s="1"/>
      <c r="B80" s="420">
        <v>63</v>
      </c>
      <c r="C80" s="429" t="s">
        <v>41578</v>
      </c>
      <c r="D80" s="423"/>
    </row>
    <row x14ac:dyDescent="0.25" r="81" customHeight="1" ht="18.75">
      <c r="A81" s="1"/>
      <c r="B81" s="420">
        <v>64</v>
      </c>
      <c r="C81" s="429" t="s">
        <v>41579</v>
      </c>
      <c r="D81" s="422"/>
    </row>
    <row x14ac:dyDescent="0.25" r="82" customHeight="1" ht="18.75">
      <c r="A82" s="1"/>
      <c r="B82" s="420">
        <v>65</v>
      </c>
      <c r="C82" s="429" t="s">
        <v>41580</v>
      </c>
      <c r="D82" s="423"/>
    </row>
    <row x14ac:dyDescent="0.25" r="83" customHeight="1" ht="18.75">
      <c r="A83" s="1"/>
      <c r="B83" s="420">
        <v>66</v>
      </c>
      <c r="C83" s="429" t="s">
        <v>41581</v>
      </c>
      <c r="D83" s="422"/>
    </row>
    <row x14ac:dyDescent="0.25" r="84" customHeight="1" ht="18.75">
      <c r="A84" s="1"/>
      <c r="B84" s="420">
        <v>67</v>
      </c>
      <c r="C84" s="429" t="s">
        <v>41582</v>
      </c>
      <c r="D84" s="423"/>
    </row>
    <row x14ac:dyDescent="0.25" r="85" customHeight="1" ht="18.75">
      <c r="A85" s="1"/>
      <c r="B85" s="420">
        <v>68</v>
      </c>
      <c r="C85" s="429" t="s">
        <v>41583</v>
      </c>
      <c r="D85" s="422"/>
    </row>
    <row x14ac:dyDescent="0.25" r="86" customHeight="1" ht="18.75">
      <c r="A86" s="1"/>
      <c r="B86" s="420">
        <v>69</v>
      </c>
      <c r="C86" s="429" t="s">
        <v>41584</v>
      </c>
      <c r="D86" s="423"/>
    </row>
    <row x14ac:dyDescent="0.25" r="87" customHeight="1" ht="18.75">
      <c r="A87" s="1"/>
      <c r="B87" s="420">
        <v>70</v>
      </c>
      <c r="C87" s="429" t="s">
        <v>41585</v>
      </c>
      <c r="D87" s="422"/>
    </row>
    <row x14ac:dyDescent="0.25" r="88" customHeight="1" ht="18.75">
      <c r="A88" s="1"/>
      <c r="B88" s="420">
        <v>71</v>
      </c>
      <c r="C88" s="429" t="s">
        <v>41586</v>
      </c>
      <c r="D88" s="423"/>
    </row>
    <row x14ac:dyDescent="0.25" r="89" customHeight="1" ht="18.75">
      <c r="A89" s="1"/>
      <c r="B89" s="420">
        <v>72</v>
      </c>
      <c r="C89" s="429" t="s">
        <v>41587</v>
      </c>
      <c r="D89" s="422"/>
    </row>
    <row x14ac:dyDescent="0.25" r="90" customHeight="1" ht="18.75">
      <c r="A90" s="1"/>
      <c r="B90" s="420">
        <v>73</v>
      </c>
      <c r="C90" s="429" t="s">
        <v>41588</v>
      </c>
      <c r="D90" s="423"/>
    </row>
    <row x14ac:dyDescent="0.25" r="91" customHeight="1" ht="18.75">
      <c r="A91" s="1"/>
      <c r="B91" s="420">
        <v>74</v>
      </c>
      <c r="C91" s="429" t="s">
        <v>41589</v>
      </c>
      <c r="D91" s="422"/>
    </row>
    <row x14ac:dyDescent="0.25" r="92" customHeight="1" ht="18.75">
      <c r="A92" s="1"/>
      <c r="B92" s="420">
        <v>75</v>
      </c>
      <c r="C92" s="429" t="s">
        <v>41590</v>
      </c>
      <c r="D92" s="423"/>
    </row>
    <row x14ac:dyDescent="0.25" r="93" customHeight="1" ht="18.75">
      <c r="A93" s="1"/>
      <c r="B93" s="420">
        <v>76</v>
      </c>
      <c r="C93" s="429" t="s">
        <v>41591</v>
      </c>
      <c r="D93" s="422"/>
    </row>
    <row x14ac:dyDescent="0.25" r="94" customHeight="1" ht="18.75">
      <c r="A94" s="1"/>
      <c r="B94" s="420">
        <v>77</v>
      </c>
      <c r="C94" s="429" t="s">
        <v>41592</v>
      </c>
      <c r="D94" s="423"/>
    </row>
    <row x14ac:dyDescent="0.25" r="95" customHeight="1" ht="18.75">
      <c r="A95" s="1"/>
      <c r="B95" s="420">
        <v>78</v>
      </c>
      <c r="C95" s="429" t="s">
        <v>41593</v>
      </c>
      <c r="D95" s="422"/>
    </row>
    <row x14ac:dyDescent="0.25" r="96" customHeight="1" ht="18.75">
      <c r="A96" s="1"/>
      <c r="B96" s="420">
        <v>79</v>
      </c>
      <c r="C96" s="429" t="s">
        <v>41594</v>
      </c>
      <c r="D96" s="423"/>
    </row>
    <row x14ac:dyDescent="0.25" r="97" customHeight="1" ht="18.75">
      <c r="A97" s="1"/>
      <c r="B97" s="420">
        <v>80</v>
      </c>
      <c r="C97" s="418" t="s">
        <v>41595</v>
      </c>
      <c r="D97" s="422"/>
    </row>
    <row x14ac:dyDescent="0.25" r="98" customHeight="1" ht="18.75">
      <c r="A98" s="1"/>
      <c r="B98" s="420">
        <v>81</v>
      </c>
      <c r="C98" s="418" t="s">
        <v>41596</v>
      </c>
      <c r="D98" s="423"/>
    </row>
    <row x14ac:dyDescent="0.25" r="99" customHeight="1" ht="18.75">
      <c r="A99" s="1"/>
      <c r="B99" s="420">
        <v>82</v>
      </c>
      <c r="C99" s="429" t="s">
        <v>41597</v>
      </c>
      <c r="D99" s="422"/>
    </row>
    <row x14ac:dyDescent="0.25" r="100" customHeight="1" ht="18.75">
      <c r="A100" s="1"/>
      <c r="B100" s="420">
        <v>83</v>
      </c>
      <c r="C100" s="429" t="s">
        <v>41598</v>
      </c>
      <c r="D100" s="423"/>
    </row>
    <row x14ac:dyDescent="0.25" r="101" customHeight="1" ht="18.75">
      <c r="A101" s="1"/>
      <c r="B101" s="420">
        <v>84</v>
      </c>
      <c r="C101" s="429" t="s">
        <v>41599</v>
      </c>
      <c r="D101" s="422"/>
    </row>
    <row x14ac:dyDescent="0.25" r="102" customHeight="1" ht="18.75">
      <c r="A102" s="1"/>
      <c r="B102" s="420">
        <v>85</v>
      </c>
      <c r="C102" s="429" t="s">
        <v>41600</v>
      </c>
      <c r="D102" s="423"/>
    </row>
    <row x14ac:dyDescent="0.25" r="103" customHeight="1" ht="18.75">
      <c r="A103" s="1"/>
      <c r="B103" s="420">
        <v>86</v>
      </c>
      <c r="C103" s="429" t="s">
        <v>41601</v>
      </c>
      <c r="D103" s="422"/>
    </row>
    <row x14ac:dyDescent="0.25" r="104" customHeight="1" ht="18.75">
      <c r="A104" s="1"/>
      <c r="B104" s="420">
        <v>87</v>
      </c>
      <c r="C104" s="429" t="s">
        <v>41602</v>
      </c>
      <c r="D104" s="423"/>
    </row>
    <row x14ac:dyDescent="0.25" r="105" customHeight="1" ht="18.75">
      <c r="A105" s="1"/>
      <c r="B105" s="420">
        <v>88</v>
      </c>
      <c r="C105" s="429" t="s">
        <v>41603</v>
      </c>
      <c r="D105" s="422"/>
    </row>
    <row x14ac:dyDescent="0.25" r="106" customHeight="1" ht="18.75">
      <c r="A106" s="1"/>
      <c r="B106" s="420">
        <v>89</v>
      </c>
      <c r="C106" s="429" t="s">
        <v>41604</v>
      </c>
      <c r="D106" s="423"/>
    </row>
    <row x14ac:dyDescent="0.25" r="107" customHeight="1" ht="18.75">
      <c r="A107" s="1"/>
      <c r="B107" s="420">
        <v>90</v>
      </c>
      <c r="C107" s="429" t="s">
        <v>41605</v>
      </c>
      <c r="D107" s="422"/>
    </row>
    <row x14ac:dyDescent="0.25" r="108" customHeight="1" ht="18.75">
      <c r="A108" s="1"/>
      <c r="B108" s="420">
        <v>91</v>
      </c>
      <c r="C108" s="429" t="s">
        <v>41606</v>
      </c>
      <c r="D108" s="423"/>
    </row>
    <row x14ac:dyDescent="0.25" r="109" customHeight="1" ht="18.75">
      <c r="A109" s="1"/>
      <c r="B109" s="420">
        <v>92</v>
      </c>
      <c r="C109" s="429" t="s">
        <v>41607</v>
      </c>
      <c r="D109" s="422"/>
    </row>
    <row x14ac:dyDescent="0.25" r="110" customHeight="1" ht="18.75">
      <c r="A110" s="1"/>
      <c r="B110" s="420">
        <v>93</v>
      </c>
      <c r="C110" s="429" t="s">
        <v>41608</v>
      </c>
      <c r="D110" s="423"/>
    </row>
    <row x14ac:dyDescent="0.25" r="111" customHeight="1" ht="18.75">
      <c r="A111" s="1"/>
      <c r="B111" s="420">
        <v>94</v>
      </c>
      <c r="C111" s="429" t="s">
        <v>41609</v>
      </c>
      <c r="D111" s="422"/>
    </row>
    <row x14ac:dyDescent="0.25" r="112" customHeight="1" ht="18.75">
      <c r="A112" s="1"/>
      <c r="B112" s="420">
        <v>95</v>
      </c>
      <c r="C112" s="429" t="s">
        <v>41610</v>
      </c>
      <c r="D112" s="423"/>
    </row>
    <row x14ac:dyDescent="0.25" r="113" customHeight="1" ht="18.75">
      <c r="A113" s="1"/>
      <c r="B113" s="420">
        <v>96</v>
      </c>
      <c r="C113" s="429" t="s">
        <v>41611</v>
      </c>
      <c r="D113" s="422"/>
    </row>
    <row x14ac:dyDescent="0.25" r="114" customHeight="1" ht="18.75">
      <c r="A114" s="1"/>
      <c r="B114" s="420">
        <v>97</v>
      </c>
      <c r="C114" s="429" t="s">
        <v>41612</v>
      </c>
      <c r="D114" s="423"/>
    </row>
    <row x14ac:dyDescent="0.25" r="115" customHeight="1" ht="18.75">
      <c r="A115" s="1"/>
      <c r="B115" s="420">
        <v>98</v>
      </c>
      <c r="C115" s="429" t="s">
        <v>41613</v>
      </c>
      <c r="D115" s="422"/>
    </row>
    <row x14ac:dyDescent="0.25" r="116" customHeight="1" ht="18.75">
      <c r="A116" s="1"/>
      <c r="B116" s="420">
        <v>99</v>
      </c>
      <c r="C116" s="429" t="s">
        <v>41614</v>
      </c>
      <c r="D116" s="423"/>
    </row>
    <row x14ac:dyDescent="0.25" r="117" customHeight="1" ht="18.75">
      <c r="A117" s="1"/>
      <c r="B117" s="420">
        <v>100</v>
      </c>
      <c r="C117" s="429" t="s">
        <v>41615</v>
      </c>
      <c r="D117" s="422"/>
    </row>
    <row x14ac:dyDescent="0.25" r="118" customHeight="1" ht="18.75">
      <c r="A118" s="1"/>
      <c r="B118" s="420">
        <v>101</v>
      </c>
      <c r="C118" s="429" t="s">
        <v>41616</v>
      </c>
      <c r="D118" s="423"/>
    </row>
    <row x14ac:dyDescent="0.25" r="119" customHeight="1" ht="18.75">
      <c r="A119" s="1"/>
      <c r="B119" s="420">
        <v>102</v>
      </c>
      <c r="C119" s="429" t="s">
        <v>41617</v>
      </c>
      <c r="D119" s="422"/>
    </row>
    <row x14ac:dyDescent="0.25" r="120" customHeight="1" ht="18.75">
      <c r="A120" s="1"/>
      <c r="B120" s="438">
        <v>103</v>
      </c>
      <c r="C120" s="439" t="s">
        <v>41618</v>
      </c>
      <c r="D120" s="440"/>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2"/>
  <sheetViews>
    <sheetView workbookViewId="0"/>
  </sheetViews>
  <sheetFormatPr defaultRowHeight="15" x14ac:dyDescent="0.25"/>
  <cols>
    <col min="1" max="1" style="15" width="9.147857142857141" customWidth="1" bestFit="1"/>
    <col min="2" max="2" style="411" width="9.147857142857141" customWidth="1" bestFit="1"/>
    <col min="3" max="3" style="16" width="84.86214285714286" customWidth="1" bestFit="1"/>
    <col min="4" max="4" style="294" width="53.43357142857143" customWidth="1" bestFit="1"/>
  </cols>
  <sheetData>
    <row x14ac:dyDescent="0.25" r="1" customHeight="1" ht="18.75">
      <c r="A1" s="1"/>
      <c r="B1" s="404"/>
      <c r="C1" s="2"/>
      <c r="D1" s="258"/>
    </row>
    <row x14ac:dyDescent="0.25" r="2" customHeight="1" ht="18.75">
      <c r="A2" s="1"/>
      <c r="B2" s="404"/>
      <c r="C2" s="2"/>
      <c r="D2" s="258"/>
    </row>
    <row x14ac:dyDescent="0.25" r="3" customHeight="1" ht="18">
      <c r="A3" s="1"/>
      <c r="B3" s="405" t="s">
        <v>41513</v>
      </c>
      <c r="C3" s="406" t="s">
        <v>41156</v>
      </c>
      <c r="D3" s="407" t="s">
        <v>41099</v>
      </c>
    </row>
    <row x14ac:dyDescent="0.25" r="4" customHeight="1" ht="45">
      <c r="A4" s="1"/>
      <c r="B4" s="408">
        <f>ROW(Tabela3[[#This Row], [Id]])-ROW(Tabela3[[#Headers],[Id]])</f>
      </c>
      <c r="C4" s="409" t="s">
        <v>41514</v>
      </c>
      <c r="D4" s="409" t="s">
        <v>41515</v>
      </c>
    </row>
    <row x14ac:dyDescent="0.25" r="5" customHeight="1" ht="39">
      <c r="A5" s="1"/>
      <c r="B5" s="408">
        <f>ROW(Tabela3[[#This Row], [Id]])-ROW(Tabela3[[#Headers],[Id]])</f>
      </c>
      <c r="C5" s="409" t="s">
        <v>41516</v>
      </c>
      <c r="D5" s="409"/>
    </row>
    <row x14ac:dyDescent="0.25" r="6" customHeight="1" ht="77.25">
      <c r="A6" s="1"/>
      <c r="B6" s="408">
        <f>ROW(Tabela3[[#This Row], [Id]])-ROW(Tabela3[[#Headers],[Id]])</f>
      </c>
      <c r="C6" s="409" t="s">
        <v>41517</v>
      </c>
      <c r="D6" s="410"/>
    </row>
    <row x14ac:dyDescent="0.25" r="7" customHeight="1" ht="78">
      <c r="A7" s="1"/>
      <c r="B7" s="408">
        <f>ROW(Tabela3[[#This Row], [Id]])-ROW(Tabela3[[#Headers],[Id]])</f>
      </c>
      <c r="C7" s="409" t="s">
        <v>41518</v>
      </c>
      <c r="D7" s="410"/>
    </row>
    <row x14ac:dyDescent="0.25" r="8" customHeight="1" ht="81.75">
      <c r="A8" s="1"/>
      <c r="B8" s="408">
        <f>ROW(Tabela3[[#This Row], [Id]])-ROW(Tabela3[[#Headers],[Id]])</f>
      </c>
      <c r="C8" s="409" t="s">
        <v>41519</v>
      </c>
      <c r="D8" s="410"/>
    </row>
    <row x14ac:dyDescent="0.25" r="9" customHeight="1" ht="64.5">
      <c r="A9" s="1"/>
      <c r="B9" s="408">
        <f>ROW(Tabela3[[#This Row], [Id]])-ROW(Tabela3[[#Headers],[Id]])</f>
      </c>
      <c r="C9" s="409" t="s">
        <v>41520</v>
      </c>
      <c r="D9" s="410"/>
    </row>
    <row x14ac:dyDescent="0.25" r="10" customHeight="1" ht="59.25">
      <c r="A10" s="1"/>
      <c r="B10" s="408">
        <f>ROW(Tabela3[[#This Row], [Id]])-ROW(Tabela3[[#Headers],[Id]])</f>
      </c>
      <c r="C10" s="409" t="s">
        <v>41521</v>
      </c>
      <c r="D10" s="410"/>
    </row>
    <row x14ac:dyDescent="0.25" r="11" customHeight="1" ht="38.25">
      <c r="A11" s="1"/>
      <c r="B11" s="408">
        <f>ROW(Tabela3[[#This Row], [Id]])-ROW(Tabela3[[#Headers],[Id]])</f>
      </c>
      <c r="C11" s="409" t="s">
        <v>41522</v>
      </c>
      <c r="D11" s="410"/>
    </row>
    <row x14ac:dyDescent="0.25" r="12" customHeight="1" ht="75">
      <c r="A12" s="1"/>
      <c r="B12" s="408">
        <f>ROW(Tabela3[[#This Row], [Id]])-ROW(Tabela3[[#Headers],[Id]])</f>
      </c>
      <c r="C12" s="409"/>
      <c r="D12" s="410"/>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5"/>
  <sheetViews>
    <sheetView workbookViewId="0"/>
  </sheetViews>
  <sheetFormatPr defaultRowHeight="15" x14ac:dyDescent="0.25"/>
  <cols>
    <col min="1" max="1" style="294" width="17.433571428571426" customWidth="1" bestFit="1"/>
    <col min="2" max="2" style="299" width="12.576428571428572" customWidth="1" bestFit="1"/>
    <col min="3" max="3" style="299" width="17.433571428571426" customWidth="1" bestFit="1"/>
  </cols>
  <sheetData>
    <row x14ac:dyDescent="0.25" r="1" customHeight="1" ht="18.75">
      <c r="A1" s="258"/>
      <c r="B1" s="297"/>
      <c r="C1" s="297"/>
    </row>
    <row x14ac:dyDescent="0.25" r="2" customHeight="1" ht="18.75">
      <c r="A2" s="258"/>
      <c r="B2" s="297"/>
      <c r="C2" s="297"/>
    </row>
    <row x14ac:dyDescent="0.25" r="3" customHeight="1" ht="18.75">
      <c r="A3" s="258" t="s">
        <v>41114</v>
      </c>
      <c r="B3" s="297" t="s">
        <v>41115</v>
      </c>
      <c r="C3" s="297" t="s">
        <v>41120</v>
      </c>
    </row>
    <row x14ac:dyDescent="0.25" r="4" customHeight="1" ht="18.75">
      <c r="A4" s="3" t="s">
        <v>87</v>
      </c>
      <c r="B4" s="22">
        <v>14369772</v>
      </c>
      <c r="C4" s="22">
        <v>37223176.2</v>
      </c>
    </row>
    <row x14ac:dyDescent="0.25" r="5" customHeight="1" ht="18.75">
      <c r="A5" s="3" t="s">
        <v>41124</v>
      </c>
      <c r="B5" s="22">
        <v>14369772</v>
      </c>
      <c r="C5" s="22">
        <v>37223176.2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124"/>
  <sheetViews>
    <sheetView workbookViewId="0"/>
  </sheetViews>
  <sheetFormatPr defaultRowHeight="15" x14ac:dyDescent="0.25"/>
  <cols>
    <col min="1" max="1" style="256" width="11.005" customWidth="1" bestFit="1"/>
    <col min="2" max="2" style="256" width="6.2907142857142855" customWidth="1" bestFit="1"/>
    <col min="3" max="3" style="16" width="59.29071428571429" customWidth="1" bestFit="1"/>
    <col min="4" max="4" style="15" width="11.43357142857143" customWidth="1" bestFit="1"/>
    <col min="5" max="5" style="300" width="17.433571428571426" customWidth="1" bestFit="1"/>
    <col min="6" max="6" style="300" width="17.433571428571426" customWidth="1" bestFit="1"/>
    <col min="7" max="7" style="300" width="17.433571428571426" customWidth="1" bestFit="1"/>
    <col min="8" max="8" style="300" width="16.290714285714284" customWidth="1" bestFit="1"/>
    <col min="9" max="9" style="300" width="15.290714285714287" customWidth="1" bestFit="1"/>
    <col min="10" max="10" style="300" width="17.433571428571426" customWidth="1" bestFit="1"/>
    <col min="11" max="11" style="15" width="10.576428571428572" customWidth="1" bestFit="1"/>
    <col min="12" max="12" style="15" width="19.433571428571426" customWidth="1" bestFit="1"/>
    <col min="13" max="13" style="15" width="12.147857142857141" customWidth="1" bestFit="1"/>
    <col min="14" max="14" style="15" width="10.862142857142858" customWidth="1" bestFit="1"/>
  </cols>
  <sheetData>
    <row x14ac:dyDescent="0.25" r="1" customHeight="1" ht="25" customFormat="1" s="18">
      <c r="A1" s="395" t="s">
        <v>41492</v>
      </c>
      <c r="B1" s="395" t="s">
        <v>41493</v>
      </c>
      <c r="C1" s="395" t="s">
        <v>41494</v>
      </c>
      <c r="D1" s="395" t="s">
        <v>41495</v>
      </c>
      <c r="E1" s="396">
        <v>2026</v>
      </c>
      <c r="F1" s="397">
        <v>2027</v>
      </c>
      <c r="G1" s="397">
        <v>2028</v>
      </c>
      <c r="H1" s="397">
        <v>2029</v>
      </c>
      <c r="I1" s="397">
        <v>2030</v>
      </c>
      <c r="J1" s="398" t="s">
        <v>41496</v>
      </c>
      <c r="K1" s="395" t="s">
        <v>41497</v>
      </c>
      <c r="L1" s="395" t="s">
        <v>41498</v>
      </c>
      <c r="M1" s="395" t="s">
        <v>41499</v>
      </c>
      <c r="N1" s="395" t="s">
        <v>41500</v>
      </c>
    </row>
    <row x14ac:dyDescent="0.25" r="2" customHeight="1" ht="18.75" hidden="1">
      <c r="A2" s="399" t="s">
        <v>41308</v>
      </c>
      <c r="B2" s="399" t="s">
        <v>41139</v>
      </c>
      <c r="C2" s="400" t="s">
        <v>41113</v>
      </c>
      <c r="D2" s="28" t="s">
        <v>41109</v>
      </c>
      <c r="E2" s="308">
        <v>0</v>
      </c>
      <c r="F2" s="308">
        <v>0</v>
      </c>
      <c r="G2" s="308">
        <v>7820000</v>
      </c>
      <c r="H2" s="308">
        <v>4692000</v>
      </c>
      <c r="I2" s="308">
        <v>0</v>
      </c>
      <c r="J2" s="308">
        <v>12512000</v>
      </c>
      <c r="K2" s="28" t="s">
        <v>39925</v>
      </c>
      <c r="L2" s="401">
        <f>VLOOKUP(A2,'Consolidado-Eletronorte'!BN:BO,2,FALSE)</f>
      </c>
      <c r="M2" s="28" t="s">
        <v>65</v>
      </c>
      <c r="N2" s="28" t="s">
        <v>65</v>
      </c>
    </row>
    <row x14ac:dyDescent="0.25" r="3" customHeight="1" ht="18.75" hidden="1">
      <c r="A3" s="402" t="s">
        <v>41288</v>
      </c>
      <c r="B3" s="402" t="s">
        <v>41137</v>
      </c>
      <c r="C3" s="400" t="s">
        <v>40151</v>
      </c>
      <c r="D3" s="28" t="s">
        <v>38369</v>
      </c>
      <c r="E3" s="308">
        <v>0</v>
      </c>
      <c r="F3" s="308">
        <v>200000</v>
      </c>
      <c r="G3" s="308">
        <v>650000</v>
      </c>
      <c r="H3" s="308">
        <v>466666.67</v>
      </c>
      <c r="I3" s="308">
        <v>0</v>
      </c>
      <c r="J3" s="308">
        <v>1316666.67</v>
      </c>
      <c r="K3" s="28" t="s">
        <v>41127</v>
      </c>
      <c r="L3" s="401">
        <f>VLOOKUP(A3,'Consolidado-Eletronorte'!BN:BO,2,FALSE)</f>
      </c>
      <c r="M3" s="28"/>
      <c r="N3" s="28"/>
    </row>
    <row x14ac:dyDescent="0.25" r="4" customHeight="1" ht="18.75" hidden="1">
      <c r="A4" s="399" t="s">
        <v>41240</v>
      </c>
      <c r="B4" s="399" t="s">
        <v>41139</v>
      </c>
      <c r="C4" s="400" t="s">
        <v>40004</v>
      </c>
      <c r="D4" s="28" t="s">
        <v>40006</v>
      </c>
      <c r="E4" s="308">
        <v>4000000</v>
      </c>
      <c r="F4" s="308">
        <v>2000000</v>
      </c>
      <c r="G4" s="308">
        <v>0</v>
      </c>
      <c r="H4" s="308">
        <v>0</v>
      </c>
      <c r="I4" s="308">
        <v>0</v>
      </c>
      <c r="J4" s="308">
        <v>6000000</v>
      </c>
      <c r="K4" s="28" t="s">
        <v>39952</v>
      </c>
      <c r="L4" s="401">
        <f>VLOOKUP(A4,'Consolidado-Eletronorte'!BN:BO,2,FALSE)</f>
      </c>
      <c r="M4" s="28" t="s">
        <v>41501</v>
      </c>
      <c r="N4" s="28" t="s">
        <v>41502</v>
      </c>
    </row>
    <row x14ac:dyDescent="0.25" r="5" customHeight="1" ht="18.75" hidden="1">
      <c r="A5" s="402" t="s">
        <v>41309</v>
      </c>
      <c r="B5" s="402" t="s">
        <v>41140</v>
      </c>
      <c r="C5" s="400" t="s">
        <v>39950</v>
      </c>
      <c r="D5" s="28" t="s">
        <v>38369</v>
      </c>
      <c r="E5" s="308">
        <v>0</v>
      </c>
      <c r="F5" s="308">
        <v>20910319</v>
      </c>
      <c r="G5" s="308">
        <v>6233333.33</v>
      </c>
      <c r="H5" s="308">
        <v>0</v>
      </c>
      <c r="I5" s="308">
        <v>0</v>
      </c>
      <c r="J5" s="308">
        <v>27143652.33</v>
      </c>
      <c r="K5" s="28" t="s">
        <v>40043</v>
      </c>
      <c r="L5" s="401">
        <f>VLOOKUP(A5,'Consolidado-Eletronorte'!BN:BO,2,FALSE)</f>
      </c>
      <c r="M5" s="28" t="s">
        <v>41502</v>
      </c>
      <c r="N5" s="28" t="s">
        <v>41502</v>
      </c>
    </row>
    <row x14ac:dyDescent="0.25" r="6" customHeight="1" ht="18.75" hidden="1">
      <c r="A6" s="399" t="s">
        <v>41310</v>
      </c>
      <c r="B6" s="399" t="s">
        <v>41139</v>
      </c>
      <c r="C6" s="400" t="s">
        <v>39993</v>
      </c>
      <c r="D6" s="28" t="s">
        <v>38369</v>
      </c>
      <c r="E6" s="308">
        <v>0</v>
      </c>
      <c r="F6" s="308">
        <v>7200000</v>
      </c>
      <c r="G6" s="308">
        <v>0</v>
      </c>
      <c r="H6" s="308">
        <v>0</v>
      </c>
      <c r="I6" s="308">
        <v>0</v>
      </c>
      <c r="J6" s="308">
        <v>7200000</v>
      </c>
      <c r="K6" s="28" t="s">
        <v>40043</v>
      </c>
      <c r="L6" s="401">
        <f>VLOOKUP(A6,'Consolidado-Eletronorte'!BN:BO,2,FALSE)</f>
      </c>
      <c r="M6" s="28" t="s">
        <v>41502</v>
      </c>
      <c r="N6" s="28" t="s">
        <v>41502</v>
      </c>
    </row>
    <row x14ac:dyDescent="0.25" r="7" customHeight="1" ht="18.75" hidden="1">
      <c r="A7" s="402" t="s">
        <v>41311</v>
      </c>
      <c r="B7" s="402" t="s">
        <v>41139</v>
      </c>
      <c r="C7" s="400" t="s">
        <v>40008</v>
      </c>
      <c r="D7" s="28" t="s">
        <v>40006</v>
      </c>
      <c r="E7" s="308">
        <v>0</v>
      </c>
      <c r="F7" s="308">
        <v>3000000</v>
      </c>
      <c r="G7" s="308">
        <v>3000000</v>
      </c>
      <c r="H7" s="308">
        <v>0</v>
      </c>
      <c r="I7" s="308">
        <v>0</v>
      </c>
      <c r="J7" s="308">
        <v>6000000</v>
      </c>
      <c r="K7" s="28" t="s">
        <v>39952</v>
      </c>
      <c r="L7" s="401">
        <f>VLOOKUP(A7,'Consolidado-Eletronorte'!BN:BO,2,FALSE)</f>
      </c>
      <c r="M7" s="28" t="s">
        <v>41502</v>
      </c>
      <c r="N7" s="28" t="s">
        <v>41502</v>
      </c>
    </row>
    <row x14ac:dyDescent="0.25" r="8" customHeight="1" ht="18.75" hidden="1">
      <c r="A8" s="399" t="s">
        <v>41312</v>
      </c>
      <c r="B8" s="399" t="s">
        <v>41138</v>
      </c>
      <c r="C8" s="400" t="s">
        <v>40059</v>
      </c>
      <c r="D8" s="28" t="s">
        <v>40006</v>
      </c>
      <c r="E8" s="308">
        <v>0</v>
      </c>
      <c r="F8" s="308">
        <v>3000000</v>
      </c>
      <c r="G8" s="308">
        <v>500000</v>
      </c>
      <c r="H8" s="308">
        <v>0</v>
      </c>
      <c r="I8" s="308">
        <v>0</v>
      </c>
      <c r="J8" s="308">
        <v>3500000</v>
      </c>
      <c r="K8" s="28" t="s">
        <v>39952</v>
      </c>
      <c r="L8" s="401">
        <f>VLOOKUP(A8,'Consolidado-Eletronorte'!BN:BO,2,FALSE)</f>
      </c>
      <c r="M8" s="28"/>
      <c r="N8" s="28"/>
    </row>
    <row x14ac:dyDescent="0.25" r="9" customHeight="1" ht="18.75" hidden="1">
      <c r="A9" s="402" t="s">
        <v>41314</v>
      </c>
      <c r="B9" s="402" t="s">
        <v>41137</v>
      </c>
      <c r="C9" s="400" t="s">
        <v>40141</v>
      </c>
      <c r="D9" s="28" t="s">
        <v>40006</v>
      </c>
      <c r="E9" s="308">
        <v>0</v>
      </c>
      <c r="F9" s="308">
        <v>1200000</v>
      </c>
      <c r="G9" s="308">
        <v>300000</v>
      </c>
      <c r="H9" s="308">
        <v>0</v>
      </c>
      <c r="I9" s="308">
        <v>0</v>
      </c>
      <c r="J9" s="308">
        <v>1500000</v>
      </c>
      <c r="K9" s="28" t="s">
        <v>39952</v>
      </c>
      <c r="L9" s="401">
        <f>VLOOKUP(A9,'Consolidado-Eletronorte'!BN:BO,2,FALSE)</f>
      </c>
      <c r="M9" s="28"/>
      <c r="N9" s="28"/>
    </row>
    <row x14ac:dyDescent="0.25" r="10" customHeight="1" ht="18.75" hidden="1">
      <c r="A10" s="399" t="s">
        <v>41313</v>
      </c>
      <c r="B10" s="399" t="s">
        <v>41137</v>
      </c>
      <c r="C10" s="400" t="s">
        <v>40138</v>
      </c>
      <c r="D10" s="28" t="s">
        <v>40006</v>
      </c>
      <c r="E10" s="308">
        <v>0</v>
      </c>
      <c r="F10" s="308">
        <v>500000</v>
      </c>
      <c r="G10" s="308">
        <v>1000000</v>
      </c>
      <c r="H10" s="308">
        <v>0</v>
      </c>
      <c r="I10" s="308">
        <v>0</v>
      </c>
      <c r="J10" s="308">
        <v>1500000</v>
      </c>
      <c r="K10" s="28" t="s">
        <v>39952</v>
      </c>
      <c r="L10" s="401">
        <f>VLOOKUP(A10,'Consolidado-Eletronorte'!BN:BO,2,FALSE)</f>
      </c>
      <c r="M10" s="28"/>
      <c r="N10" s="28"/>
    </row>
    <row x14ac:dyDescent="0.25" r="11" customHeight="1" ht="18.75" hidden="1">
      <c r="A11" s="402" t="s">
        <v>41316</v>
      </c>
      <c r="B11" s="402" t="s">
        <v>41137</v>
      </c>
      <c r="C11" s="400" t="s">
        <v>40193</v>
      </c>
      <c r="D11" s="28" t="s">
        <v>40006</v>
      </c>
      <c r="E11" s="308">
        <v>0</v>
      </c>
      <c r="F11" s="308">
        <v>600000</v>
      </c>
      <c r="G11" s="308">
        <v>400000</v>
      </c>
      <c r="H11" s="308">
        <v>0</v>
      </c>
      <c r="I11" s="308">
        <v>0</v>
      </c>
      <c r="J11" s="308">
        <v>1000000</v>
      </c>
      <c r="K11" s="28" t="s">
        <v>39952</v>
      </c>
      <c r="L11" s="401">
        <f>VLOOKUP(A11,'Consolidado-Eletronorte'!BN:BO,2,FALSE)</f>
      </c>
      <c r="M11" s="28"/>
      <c r="N11" s="28"/>
    </row>
    <row x14ac:dyDescent="0.25" r="12" customHeight="1" ht="18.75" hidden="1">
      <c r="A12" s="399" t="s">
        <v>41315</v>
      </c>
      <c r="B12" s="399" t="s">
        <v>41137</v>
      </c>
      <c r="C12" s="400" t="s">
        <v>40190</v>
      </c>
      <c r="D12" s="28" t="s">
        <v>40006</v>
      </c>
      <c r="E12" s="308">
        <v>0</v>
      </c>
      <c r="F12" s="308">
        <v>1000000</v>
      </c>
      <c r="G12" s="308">
        <v>0</v>
      </c>
      <c r="H12" s="308">
        <v>0</v>
      </c>
      <c r="I12" s="308">
        <v>0</v>
      </c>
      <c r="J12" s="308">
        <v>1000000</v>
      </c>
      <c r="K12" s="28" t="s">
        <v>39952</v>
      </c>
      <c r="L12" s="401">
        <f>VLOOKUP(A12,'Consolidado-Eletronorte'!BN:BO,2,FALSE)</f>
      </c>
      <c r="M12" s="28"/>
      <c r="N12" s="28"/>
    </row>
    <row x14ac:dyDescent="0.25" r="13" customHeight="1" ht="18.75" hidden="1">
      <c r="A13" s="402" t="s">
        <v>41317</v>
      </c>
      <c r="B13" s="402" t="s">
        <v>41137</v>
      </c>
      <c r="C13" s="400" t="s">
        <v>40218</v>
      </c>
      <c r="D13" s="28" t="s">
        <v>38369</v>
      </c>
      <c r="E13" s="308">
        <v>0</v>
      </c>
      <c r="F13" s="308">
        <v>800000</v>
      </c>
      <c r="G13" s="308">
        <v>0</v>
      </c>
      <c r="H13" s="308">
        <v>0</v>
      </c>
      <c r="I13" s="308">
        <v>0</v>
      </c>
      <c r="J13" s="308">
        <v>800000</v>
      </c>
      <c r="K13" s="28" t="s">
        <v>40043</v>
      </c>
      <c r="L13" s="401">
        <f>VLOOKUP(A13,'Consolidado-Eletronorte'!BN:BO,2,FALSE)</f>
      </c>
      <c r="M13" s="28"/>
      <c r="N13" s="28"/>
    </row>
    <row x14ac:dyDescent="0.25" r="14" customHeight="1" ht="18.75" hidden="1">
      <c r="A14" s="399" t="s">
        <v>41318</v>
      </c>
      <c r="B14" s="399" t="s">
        <v>41137</v>
      </c>
      <c r="C14" s="400" t="s">
        <v>40236</v>
      </c>
      <c r="D14" s="28" t="s">
        <v>38369</v>
      </c>
      <c r="E14" s="308">
        <v>0</v>
      </c>
      <c r="F14" s="308">
        <v>600000</v>
      </c>
      <c r="G14" s="308">
        <v>0</v>
      </c>
      <c r="H14" s="308">
        <v>0</v>
      </c>
      <c r="I14" s="308">
        <v>0</v>
      </c>
      <c r="J14" s="308">
        <v>600000</v>
      </c>
      <c r="K14" s="28" t="s">
        <v>40043</v>
      </c>
      <c r="L14" s="401">
        <f>VLOOKUP(A14,'Consolidado-Eletronorte'!BN:BO,2,FALSE)</f>
      </c>
      <c r="M14" s="28"/>
      <c r="N14" s="28"/>
    </row>
    <row x14ac:dyDescent="0.25" r="15" customHeight="1" ht="18.75" hidden="1">
      <c r="A15" s="402" t="s">
        <v>41321</v>
      </c>
      <c r="B15" s="402" t="s">
        <v>41136</v>
      </c>
      <c r="C15" s="400" t="s">
        <v>40302</v>
      </c>
      <c r="D15" s="28" t="s">
        <v>38369</v>
      </c>
      <c r="E15" s="308">
        <v>0</v>
      </c>
      <c r="F15" s="308">
        <v>250000</v>
      </c>
      <c r="G15" s="308">
        <v>250000</v>
      </c>
      <c r="H15" s="308">
        <v>0</v>
      </c>
      <c r="I15" s="308">
        <v>0</v>
      </c>
      <c r="J15" s="308">
        <v>500000</v>
      </c>
      <c r="K15" s="28" t="s">
        <v>41127</v>
      </c>
      <c r="L15" s="401">
        <f>VLOOKUP(A15,'Consolidado-Eletronorte'!BN:BO,2,FALSE)</f>
      </c>
      <c r="M15" s="28"/>
      <c r="N15" s="28"/>
    </row>
    <row x14ac:dyDescent="0.25" r="16" customHeight="1" ht="18.75" hidden="1">
      <c r="A16" s="399" t="s">
        <v>41320</v>
      </c>
      <c r="B16" s="399" t="s">
        <v>41136</v>
      </c>
      <c r="C16" s="400" t="s">
        <v>40299</v>
      </c>
      <c r="D16" s="28" t="s">
        <v>38369</v>
      </c>
      <c r="E16" s="308">
        <v>0</v>
      </c>
      <c r="F16" s="308">
        <v>250000</v>
      </c>
      <c r="G16" s="308">
        <v>250000</v>
      </c>
      <c r="H16" s="308">
        <v>0</v>
      </c>
      <c r="I16" s="308">
        <v>0</v>
      </c>
      <c r="J16" s="308">
        <v>500000</v>
      </c>
      <c r="K16" s="28" t="s">
        <v>41127</v>
      </c>
      <c r="L16" s="401">
        <f>VLOOKUP(A16,'Consolidado-Eletronorte'!BN:BO,2,FALSE)</f>
      </c>
      <c r="M16" s="28"/>
      <c r="N16" s="28"/>
    </row>
    <row x14ac:dyDescent="0.25" r="17" customHeight="1" ht="18.75" hidden="1">
      <c r="A17" s="402" t="s">
        <v>41326</v>
      </c>
      <c r="B17" s="402" t="s">
        <v>41136</v>
      </c>
      <c r="C17" s="400" t="s">
        <v>40317</v>
      </c>
      <c r="D17" s="28" t="s">
        <v>38369</v>
      </c>
      <c r="E17" s="308">
        <v>0</v>
      </c>
      <c r="F17" s="308">
        <v>250000</v>
      </c>
      <c r="G17" s="308">
        <v>250000</v>
      </c>
      <c r="H17" s="308">
        <v>0</v>
      </c>
      <c r="I17" s="308">
        <v>0</v>
      </c>
      <c r="J17" s="308">
        <v>500000</v>
      </c>
      <c r="K17" s="28" t="s">
        <v>41127</v>
      </c>
      <c r="L17" s="401">
        <f>VLOOKUP(A17,'Consolidado-Eletronorte'!BN:BO,2,FALSE)</f>
      </c>
      <c r="M17" s="28"/>
      <c r="N17" s="28"/>
    </row>
    <row x14ac:dyDescent="0.25" r="18" customHeight="1" ht="18.75" hidden="1">
      <c r="A18" s="399" t="s">
        <v>41325</v>
      </c>
      <c r="B18" s="399" t="s">
        <v>41136</v>
      </c>
      <c r="C18" s="400" t="s">
        <v>40314</v>
      </c>
      <c r="D18" s="28" t="s">
        <v>38369</v>
      </c>
      <c r="E18" s="308">
        <v>0</v>
      </c>
      <c r="F18" s="308">
        <v>250000</v>
      </c>
      <c r="G18" s="308">
        <v>250000</v>
      </c>
      <c r="H18" s="308">
        <v>0</v>
      </c>
      <c r="I18" s="308">
        <v>0</v>
      </c>
      <c r="J18" s="308">
        <v>500000</v>
      </c>
      <c r="K18" s="28" t="s">
        <v>41127</v>
      </c>
      <c r="L18" s="401">
        <f>VLOOKUP(A18,'Consolidado-Eletronorte'!BN:BO,2,FALSE)</f>
      </c>
      <c r="M18" s="28"/>
      <c r="N18" s="28"/>
    </row>
    <row x14ac:dyDescent="0.25" r="19" customHeight="1" ht="18.75" hidden="1">
      <c r="A19" s="402" t="s">
        <v>41324</v>
      </c>
      <c r="B19" s="402" t="s">
        <v>41136</v>
      </c>
      <c r="C19" s="400" t="s">
        <v>40311</v>
      </c>
      <c r="D19" s="28" t="s">
        <v>38369</v>
      </c>
      <c r="E19" s="308">
        <v>0</v>
      </c>
      <c r="F19" s="308">
        <v>250000</v>
      </c>
      <c r="G19" s="308">
        <v>250000</v>
      </c>
      <c r="H19" s="308">
        <v>0</v>
      </c>
      <c r="I19" s="308">
        <v>0</v>
      </c>
      <c r="J19" s="308">
        <v>500000</v>
      </c>
      <c r="K19" s="28" t="s">
        <v>41127</v>
      </c>
      <c r="L19" s="401">
        <f>VLOOKUP(A19,'Consolidado-Eletronorte'!BN:BO,2,FALSE)</f>
      </c>
      <c r="M19" s="28"/>
      <c r="N19" s="28"/>
    </row>
    <row x14ac:dyDescent="0.25" r="20" customHeight="1" ht="18.75" hidden="1">
      <c r="A20" s="399" t="s">
        <v>41323</v>
      </c>
      <c r="B20" s="399" t="s">
        <v>41136</v>
      </c>
      <c r="C20" s="400" t="s">
        <v>40308</v>
      </c>
      <c r="D20" s="28" t="s">
        <v>38369</v>
      </c>
      <c r="E20" s="308">
        <v>0</v>
      </c>
      <c r="F20" s="308">
        <v>250000</v>
      </c>
      <c r="G20" s="308">
        <v>250000</v>
      </c>
      <c r="H20" s="308">
        <v>0</v>
      </c>
      <c r="I20" s="308">
        <v>0</v>
      </c>
      <c r="J20" s="308">
        <v>500000</v>
      </c>
      <c r="K20" s="28" t="s">
        <v>41127</v>
      </c>
      <c r="L20" s="401">
        <f>VLOOKUP(A20,'Consolidado-Eletronorte'!BN:BO,2,FALSE)</f>
      </c>
      <c r="M20" s="28"/>
      <c r="N20" s="28"/>
    </row>
    <row x14ac:dyDescent="0.25" r="21" customHeight="1" ht="18.75" hidden="1">
      <c r="A21" s="402" t="s">
        <v>41322</v>
      </c>
      <c r="B21" s="402" t="s">
        <v>41136</v>
      </c>
      <c r="C21" s="400" t="s">
        <v>40305</v>
      </c>
      <c r="D21" s="28" t="s">
        <v>38369</v>
      </c>
      <c r="E21" s="308">
        <v>0</v>
      </c>
      <c r="F21" s="308">
        <v>250000</v>
      </c>
      <c r="G21" s="308">
        <v>250000</v>
      </c>
      <c r="H21" s="308">
        <v>0</v>
      </c>
      <c r="I21" s="308">
        <v>0</v>
      </c>
      <c r="J21" s="308">
        <v>500000</v>
      </c>
      <c r="K21" s="28" t="s">
        <v>41127</v>
      </c>
      <c r="L21" s="401">
        <f>VLOOKUP(A21,'Consolidado-Eletronorte'!BN:BO,2,FALSE)</f>
      </c>
      <c r="M21" s="28"/>
      <c r="N21" s="28"/>
    </row>
    <row x14ac:dyDescent="0.25" r="22" customHeight="1" ht="18.75" hidden="1">
      <c r="A22" s="399" t="s">
        <v>41319</v>
      </c>
      <c r="B22" s="399" t="s">
        <v>41136</v>
      </c>
      <c r="C22" s="400" t="s">
        <v>40296</v>
      </c>
      <c r="D22" s="28" t="s">
        <v>38369</v>
      </c>
      <c r="E22" s="308">
        <v>0</v>
      </c>
      <c r="F22" s="308">
        <v>250000</v>
      </c>
      <c r="G22" s="308">
        <v>250000</v>
      </c>
      <c r="H22" s="308">
        <v>0</v>
      </c>
      <c r="I22" s="308">
        <v>0</v>
      </c>
      <c r="J22" s="308">
        <v>500000</v>
      </c>
      <c r="K22" s="28" t="s">
        <v>41127</v>
      </c>
      <c r="L22" s="401">
        <f>VLOOKUP(A22,'Consolidado-Eletronorte'!BN:BO,2,FALSE)</f>
      </c>
      <c r="M22" s="28"/>
      <c r="N22" s="28"/>
    </row>
    <row x14ac:dyDescent="0.25" r="23" customHeight="1" ht="18.75" hidden="1">
      <c r="A23" s="402" t="s">
        <v>41327</v>
      </c>
      <c r="B23" s="402" t="s">
        <v>41136</v>
      </c>
      <c r="C23" s="400" t="s">
        <v>40335</v>
      </c>
      <c r="D23" s="28" t="s">
        <v>38369</v>
      </c>
      <c r="E23" s="308">
        <v>0</v>
      </c>
      <c r="F23" s="308">
        <v>250000</v>
      </c>
      <c r="G23" s="308">
        <v>0</v>
      </c>
      <c r="H23" s="308">
        <v>0</v>
      </c>
      <c r="I23" s="308">
        <v>0</v>
      </c>
      <c r="J23" s="308">
        <v>250000</v>
      </c>
      <c r="K23" s="28" t="s">
        <v>40043</v>
      </c>
      <c r="L23" s="401">
        <f>VLOOKUP(A23,'Consolidado-Eletronorte'!BN:BO,2,FALSE)</f>
      </c>
      <c r="M23" s="28"/>
      <c r="N23" s="28"/>
    </row>
    <row x14ac:dyDescent="0.25" r="24" customHeight="1" ht="18.75" hidden="1">
      <c r="A24" s="399" t="s">
        <v>41328</v>
      </c>
      <c r="B24" s="399" t="s">
        <v>41136</v>
      </c>
      <c r="C24" s="400" t="s">
        <v>40345</v>
      </c>
      <c r="D24" s="28" t="s">
        <v>38369</v>
      </c>
      <c r="E24" s="308">
        <v>0</v>
      </c>
      <c r="F24" s="308">
        <v>100000</v>
      </c>
      <c r="G24" s="308">
        <v>0</v>
      </c>
      <c r="H24" s="308">
        <v>0</v>
      </c>
      <c r="I24" s="308">
        <v>0</v>
      </c>
      <c r="J24" s="308">
        <v>100000</v>
      </c>
      <c r="K24" s="28" t="s">
        <v>41127</v>
      </c>
      <c r="L24" s="401">
        <f>VLOOKUP(A24,'Consolidado-Eletronorte'!BN:BO,2,FALSE)</f>
      </c>
      <c r="M24" s="28"/>
      <c r="N24" s="28"/>
    </row>
    <row x14ac:dyDescent="0.25" r="25" customHeight="1" ht="18.75" hidden="1">
      <c r="A25" s="402" t="s">
        <v>41303</v>
      </c>
      <c r="B25" s="402" t="s">
        <v>41137</v>
      </c>
      <c r="C25" s="400" t="s">
        <v>40228</v>
      </c>
      <c r="D25" s="28" t="s">
        <v>40006</v>
      </c>
      <c r="E25" s="308">
        <v>600000</v>
      </c>
      <c r="F25" s="308">
        <v>500000</v>
      </c>
      <c r="G25" s="308">
        <v>0</v>
      </c>
      <c r="H25" s="308">
        <v>0</v>
      </c>
      <c r="I25" s="308">
        <v>0</v>
      </c>
      <c r="J25" s="308">
        <v>1100000</v>
      </c>
      <c r="K25" s="28" t="s">
        <v>39952</v>
      </c>
      <c r="L25" s="401">
        <f>VLOOKUP(A25,'Consolidado-Eletronorte'!BN:BO,2,FALSE)</f>
      </c>
      <c r="M25" s="28"/>
      <c r="N25" s="28"/>
    </row>
    <row x14ac:dyDescent="0.25" r="26" customHeight="1" ht="18.75" hidden="1">
      <c r="A26" s="399" t="s">
        <v>41289</v>
      </c>
      <c r="B26" s="399" t="s">
        <v>41136</v>
      </c>
      <c r="C26" s="400" t="s">
        <v>40341</v>
      </c>
      <c r="D26" s="28" t="s">
        <v>39969</v>
      </c>
      <c r="E26" s="308">
        <v>200000</v>
      </c>
      <c r="F26" s="308">
        <v>0</v>
      </c>
      <c r="G26" s="308">
        <v>0</v>
      </c>
      <c r="H26" s="308">
        <v>0</v>
      </c>
      <c r="I26" s="308">
        <v>0</v>
      </c>
      <c r="J26" s="308">
        <v>200000</v>
      </c>
      <c r="K26" s="28" t="s">
        <v>41126</v>
      </c>
      <c r="L26" s="401">
        <f>VLOOKUP(A26,'Consolidado-Eletronorte'!BN:BO,2,FALSE)</f>
      </c>
      <c r="M26" s="28" t="s">
        <v>41502</v>
      </c>
      <c r="N26" s="28" t="s">
        <v>41502</v>
      </c>
    </row>
    <row x14ac:dyDescent="0.25" r="27" customHeight="1" ht="18.75" hidden="1">
      <c r="A27" s="402" t="s">
        <v>41283</v>
      </c>
      <c r="B27" s="402" t="s">
        <v>41138</v>
      </c>
      <c r="C27" s="400" t="s">
        <v>40041</v>
      </c>
      <c r="D27" s="28" t="s">
        <v>39969</v>
      </c>
      <c r="E27" s="308">
        <v>0</v>
      </c>
      <c r="F27" s="308">
        <v>1000000</v>
      </c>
      <c r="G27" s="308">
        <v>3000000</v>
      </c>
      <c r="H27" s="308">
        <v>500000</v>
      </c>
      <c r="I27" s="308">
        <v>0</v>
      </c>
      <c r="J27" s="308">
        <v>4500000</v>
      </c>
      <c r="K27" s="28" t="s">
        <v>40043</v>
      </c>
      <c r="L27" s="401">
        <f>VLOOKUP(A27,'Consolidado-Eletronorte'!BN:BO,2,FALSE)</f>
      </c>
      <c r="M27" s="28"/>
      <c r="N27" s="28"/>
    </row>
    <row x14ac:dyDescent="0.25" r="28" customHeight="1" ht="18.75" hidden="1">
      <c r="A28" s="399" t="s">
        <v>41329</v>
      </c>
      <c r="B28" s="399" t="s">
        <v>41138</v>
      </c>
      <c r="C28" s="400" t="s">
        <v>40045</v>
      </c>
      <c r="D28" s="28" t="s">
        <v>39969</v>
      </c>
      <c r="E28" s="308">
        <v>0</v>
      </c>
      <c r="F28" s="308">
        <v>0</v>
      </c>
      <c r="G28" s="308">
        <v>1000000</v>
      </c>
      <c r="H28" s="308">
        <v>2000000</v>
      </c>
      <c r="I28" s="308">
        <v>1000000</v>
      </c>
      <c r="J28" s="308">
        <v>4000000</v>
      </c>
      <c r="K28" s="28" t="s">
        <v>41127</v>
      </c>
      <c r="L28" s="401">
        <f>VLOOKUP(A28,'Consolidado-Eletronorte'!BN:BO,2,FALSE)</f>
      </c>
      <c r="M28" s="28"/>
      <c r="N28" s="28"/>
    </row>
    <row x14ac:dyDescent="0.25" r="29" customHeight="1" ht="18.75" hidden="1">
      <c r="A29" s="402" t="s">
        <v>41285</v>
      </c>
      <c r="B29" s="402" t="s">
        <v>41138</v>
      </c>
      <c r="C29" s="400" t="s">
        <v>40092</v>
      </c>
      <c r="D29" s="28" t="s">
        <v>39969</v>
      </c>
      <c r="E29" s="308">
        <v>0</v>
      </c>
      <c r="F29" s="308">
        <v>1000000</v>
      </c>
      <c r="G29" s="308">
        <v>500000</v>
      </c>
      <c r="H29" s="308">
        <v>1000000</v>
      </c>
      <c r="I29" s="308">
        <v>0</v>
      </c>
      <c r="J29" s="308">
        <v>2500000</v>
      </c>
      <c r="K29" s="28" t="s">
        <v>41127</v>
      </c>
      <c r="L29" s="401">
        <f>VLOOKUP(A29,'Consolidado-Eletronorte'!BN:BO,2,FALSE)</f>
      </c>
      <c r="M29" s="28"/>
      <c r="N29" s="28"/>
    </row>
    <row x14ac:dyDescent="0.25" r="30" customHeight="1" ht="18.75" hidden="1">
      <c r="A30" s="399" t="s">
        <v>41298</v>
      </c>
      <c r="B30" s="399" t="s">
        <v>41137</v>
      </c>
      <c r="C30" s="400" t="s">
        <v>40231</v>
      </c>
      <c r="D30" s="28" t="s">
        <v>39969</v>
      </c>
      <c r="E30" s="308">
        <v>0</v>
      </c>
      <c r="F30" s="308">
        <v>600000</v>
      </c>
      <c r="G30" s="308">
        <v>300000</v>
      </c>
      <c r="H30" s="308">
        <v>0</v>
      </c>
      <c r="I30" s="308">
        <v>0</v>
      </c>
      <c r="J30" s="308">
        <v>900000</v>
      </c>
      <c r="K30" s="28" t="s">
        <v>41127</v>
      </c>
      <c r="L30" s="401">
        <f>VLOOKUP(A30,'Consolidado-Eletronorte'!BN:BO,2,FALSE)</f>
      </c>
      <c r="M30" s="28"/>
      <c r="N30" s="28"/>
    </row>
    <row x14ac:dyDescent="0.25" r="31" customHeight="1" ht="18.75" hidden="1">
      <c r="A31" s="402" t="s">
        <v>41330</v>
      </c>
      <c r="B31" s="402" t="s">
        <v>41136</v>
      </c>
      <c r="C31" s="400" t="s">
        <v>40320</v>
      </c>
      <c r="D31" s="28" t="s">
        <v>39969</v>
      </c>
      <c r="E31" s="308">
        <v>0</v>
      </c>
      <c r="F31" s="308">
        <v>250000</v>
      </c>
      <c r="G31" s="308">
        <v>250000</v>
      </c>
      <c r="H31" s="308">
        <v>0</v>
      </c>
      <c r="I31" s="308">
        <v>0</v>
      </c>
      <c r="J31" s="308">
        <v>500000</v>
      </c>
      <c r="K31" s="28" t="s">
        <v>40043</v>
      </c>
      <c r="L31" s="401">
        <f>VLOOKUP(A31,'Consolidado-Eletronorte'!BN:BO,2,FALSE)</f>
      </c>
      <c r="M31" s="28"/>
      <c r="N31" s="28"/>
    </row>
    <row x14ac:dyDescent="0.25" r="32" customHeight="1" ht="18.75" hidden="1">
      <c r="A32" s="399" t="s">
        <v>41252</v>
      </c>
      <c r="B32" s="399" t="s">
        <v>41139</v>
      </c>
      <c r="C32" s="400" t="s">
        <v>40011</v>
      </c>
      <c r="D32" s="28" t="s">
        <v>39969</v>
      </c>
      <c r="E32" s="308">
        <v>500000</v>
      </c>
      <c r="F32" s="308">
        <v>3200000</v>
      </c>
      <c r="G32" s="308">
        <v>1800000</v>
      </c>
      <c r="H32" s="308">
        <v>0</v>
      </c>
      <c r="I32" s="308">
        <v>0</v>
      </c>
      <c r="J32" s="308">
        <v>5500000</v>
      </c>
      <c r="K32" s="28" t="s">
        <v>40013</v>
      </c>
      <c r="L32" s="401">
        <f>VLOOKUP(A32,'Consolidado-Eletronorte'!BN:BO,2,FALSE)</f>
      </c>
      <c r="M32" s="28" t="s">
        <v>41502</v>
      </c>
      <c r="N32" s="28" t="s">
        <v>41502</v>
      </c>
    </row>
    <row x14ac:dyDescent="0.25" r="33" customHeight="1" ht="18.75" hidden="1">
      <c r="A33" s="402" t="s">
        <v>41244</v>
      </c>
      <c r="B33" s="402" t="s">
        <v>41139</v>
      </c>
      <c r="C33" s="400" t="s">
        <v>39967</v>
      </c>
      <c r="D33" s="28" t="s">
        <v>39969</v>
      </c>
      <c r="E33" s="308">
        <v>0</v>
      </c>
      <c r="F33" s="308">
        <v>7500000</v>
      </c>
      <c r="G33" s="308">
        <v>7500000</v>
      </c>
      <c r="H33" s="308">
        <v>0</v>
      </c>
      <c r="I33" s="308">
        <v>0</v>
      </c>
      <c r="J33" s="308">
        <v>15000000</v>
      </c>
      <c r="K33" s="28" t="s">
        <v>40013</v>
      </c>
      <c r="L33" s="401">
        <f>VLOOKUP(A33,'Consolidado-Eletronorte'!BN:BO,2,FALSE)</f>
      </c>
      <c r="M33" s="28" t="s">
        <v>41502</v>
      </c>
      <c r="N33" s="28" t="s">
        <v>41502</v>
      </c>
    </row>
    <row x14ac:dyDescent="0.25" r="34" customHeight="1" ht="18.75" hidden="1">
      <c r="A34" s="399" t="s">
        <v>41254</v>
      </c>
      <c r="B34" s="399" t="s">
        <v>41138</v>
      </c>
      <c r="C34" s="400" t="s">
        <v>40081</v>
      </c>
      <c r="D34" s="28" t="s">
        <v>39998</v>
      </c>
      <c r="E34" s="308">
        <v>1000000</v>
      </c>
      <c r="F34" s="308">
        <v>2100000</v>
      </c>
      <c r="G34" s="308">
        <v>0</v>
      </c>
      <c r="H34" s="308">
        <v>0</v>
      </c>
      <c r="I34" s="308">
        <v>0</v>
      </c>
      <c r="J34" s="308">
        <v>3100000</v>
      </c>
      <c r="K34" s="28" t="s">
        <v>41127</v>
      </c>
      <c r="L34" s="401">
        <f>VLOOKUP(A34,'Consolidado-Eletronorte'!BN:BO,2,FALSE)</f>
      </c>
      <c r="M34" s="28"/>
      <c r="N34" s="28"/>
    </row>
    <row x14ac:dyDescent="0.25" r="35" customHeight="1" ht="18.75" hidden="1">
      <c r="A35" s="402" t="s">
        <v>41503</v>
      </c>
      <c r="B35" s="402" t="s">
        <v>41137</v>
      </c>
      <c r="C35" s="400" t="s">
        <v>40216</v>
      </c>
      <c r="D35" s="28" t="s">
        <v>39998</v>
      </c>
      <c r="E35" s="308">
        <v>577030.003</v>
      </c>
      <c r="F35" s="308">
        <v>900000</v>
      </c>
      <c r="G35" s="308">
        <v>0</v>
      </c>
      <c r="H35" s="308">
        <v>0</v>
      </c>
      <c r="I35" s="308">
        <v>0</v>
      </c>
      <c r="J35" s="308">
        <v>1477030.003</v>
      </c>
      <c r="K35" s="28" t="s">
        <v>41126</v>
      </c>
      <c r="L35" s="401">
        <f>VLOOKUP(A35,'Consolidado-Eletronorte'!BN:BO,2,FALSE)</f>
      </c>
      <c r="M35" s="28" t="s">
        <v>41502</v>
      </c>
      <c r="N35" s="28" t="s">
        <v>41502</v>
      </c>
    </row>
    <row x14ac:dyDescent="0.25" r="36" customHeight="1" ht="18.75" hidden="1">
      <c r="A36" s="399" t="s">
        <v>41246</v>
      </c>
      <c r="B36" s="399" t="s">
        <v>41139</v>
      </c>
      <c r="C36" s="400" t="s">
        <v>39996</v>
      </c>
      <c r="D36" s="28" t="s">
        <v>39998</v>
      </c>
      <c r="E36" s="308">
        <v>3000000</v>
      </c>
      <c r="F36" s="308">
        <v>1500000</v>
      </c>
      <c r="G36" s="308">
        <v>2000000</v>
      </c>
      <c r="H36" s="308">
        <v>0</v>
      </c>
      <c r="I36" s="308">
        <v>0</v>
      </c>
      <c r="J36" s="308">
        <v>6500000</v>
      </c>
      <c r="K36" s="28" t="s">
        <v>41127</v>
      </c>
      <c r="L36" s="401">
        <f>VLOOKUP(A36,'Consolidado-Eletronorte'!BN:BO,2,FALSE)</f>
      </c>
      <c r="M36" s="28" t="s">
        <v>41504</v>
      </c>
      <c r="N36" s="28" t="s">
        <v>41504</v>
      </c>
    </row>
    <row x14ac:dyDescent="0.25" r="37" customHeight="1" ht="18.75" hidden="1">
      <c r="A37" s="402" t="s">
        <v>41245</v>
      </c>
      <c r="B37" s="402" t="s">
        <v>41138</v>
      </c>
      <c r="C37" s="400" t="s">
        <v>40051</v>
      </c>
      <c r="D37" s="28" t="s">
        <v>39998</v>
      </c>
      <c r="E37" s="308">
        <v>3000000</v>
      </c>
      <c r="F37" s="308">
        <v>0</v>
      </c>
      <c r="G37" s="308">
        <v>0</v>
      </c>
      <c r="H37" s="308">
        <v>0</v>
      </c>
      <c r="I37" s="308">
        <v>0</v>
      </c>
      <c r="J37" s="308">
        <v>3000000</v>
      </c>
      <c r="K37" s="28" t="s">
        <v>40043</v>
      </c>
      <c r="L37" s="401">
        <f>VLOOKUP(A37,'Consolidado-Eletronorte'!BN:BO,2,FALSE)</f>
      </c>
      <c r="M37" s="28"/>
      <c r="N37" s="28"/>
    </row>
    <row x14ac:dyDescent="0.25" r="38" customHeight="1" ht="18.75" hidden="1">
      <c r="A38" s="399" t="s">
        <v>41331</v>
      </c>
      <c r="B38" s="399" t="s">
        <v>41138</v>
      </c>
      <c r="C38" s="400" t="s">
        <v>40056</v>
      </c>
      <c r="D38" s="28" t="s">
        <v>39998</v>
      </c>
      <c r="E38" s="308">
        <v>0</v>
      </c>
      <c r="F38" s="308">
        <v>3600000</v>
      </c>
      <c r="G38" s="308">
        <v>0</v>
      </c>
      <c r="H38" s="308">
        <v>0</v>
      </c>
      <c r="I38" s="308">
        <v>0</v>
      </c>
      <c r="J38" s="308">
        <v>3600000</v>
      </c>
      <c r="K38" s="28" t="s">
        <v>39925</v>
      </c>
      <c r="L38" s="401">
        <f>VLOOKUP(A38,'Consolidado-Eletronorte'!BN:BO,2,FALSE)</f>
      </c>
      <c r="M38" s="28"/>
      <c r="N38" s="28"/>
    </row>
    <row x14ac:dyDescent="0.25" r="39" customHeight="1" ht="18.75" hidden="1">
      <c r="A39" s="402" t="s">
        <v>41270</v>
      </c>
      <c r="B39" s="402" t="s">
        <v>41138</v>
      </c>
      <c r="C39" s="400" t="s">
        <v>40085</v>
      </c>
      <c r="D39" s="28" t="s">
        <v>39998</v>
      </c>
      <c r="E39" s="308">
        <v>0</v>
      </c>
      <c r="F39" s="308">
        <v>2000000</v>
      </c>
      <c r="G39" s="308">
        <v>1500000</v>
      </c>
      <c r="H39" s="308">
        <v>0</v>
      </c>
      <c r="I39" s="308">
        <v>0</v>
      </c>
      <c r="J39" s="308">
        <v>3500000</v>
      </c>
      <c r="K39" s="28" t="s">
        <v>41127</v>
      </c>
      <c r="L39" s="401">
        <f>VLOOKUP(A39,'Consolidado-Eletronorte'!BN:BO,2,FALSE)</f>
      </c>
      <c r="M39" s="28"/>
      <c r="N39" s="28"/>
    </row>
    <row x14ac:dyDescent="0.25" r="40" customHeight="1" ht="18.75" hidden="1">
      <c r="A40" s="399" t="s">
        <v>41332</v>
      </c>
      <c r="B40" s="399" t="s">
        <v>41137</v>
      </c>
      <c r="C40" s="400" t="s">
        <v>40111</v>
      </c>
      <c r="D40" s="28" t="s">
        <v>39998</v>
      </c>
      <c r="E40" s="308">
        <v>0</v>
      </c>
      <c r="F40" s="308">
        <v>1800000</v>
      </c>
      <c r="G40" s="308">
        <v>0</v>
      </c>
      <c r="H40" s="308">
        <v>0</v>
      </c>
      <c r="I40" s="308">
        <v>0</v>
      </c>
      <c r="J40" s="308">
        <v>1800000</v>
      </c>
      <c r="K40" s="28" t="s">
        <v>39925</v>
      </c>
      <c r="L40" s="401">
        <f>VLOOKUP(A40,'Consolidado-Eletronorte'!BN:BO,2,FALSE)</f>
      </c>
      <c r="M40" s="28"/>
      <c r="N40" s="28"/>
    </row>
    <row x14ac:dyDescent="0.25" r="41" customHeight="1" ht="18.75" hidden="1">
      <c r="A41" s="402" t="s">
        <v>41299</v>
      </c>
      <c r="B41" s="402" t="s">
        <v>41137</v>
      </c>
      <c r="C41" s="400" t="s">
        <v>40213</v>
      </c>
      <c r="D41" s="28" t="s">
        <v>39998</v>
      </c>
      <c r="E41" s="308">
        <v>0</v>
      </c>
      <c r="F41" s="308">
        <v>600000</v>
      </c>
      <c r="G41" s="308">
        <v>600000</v>
      </c>
      <c r="H41" s="308">
        <v>0</v>
      </c>
      <c r="I41" s="308">
        <v>0</v>
      </c>
      <c r="J41" s="308">
        <v>1200000</v>
      </c>
      <c r="K41" s="28" t="s">
        <v>41127</v>
      </c>
      <c r="L41" s="401">
        <f>VLOOKUP(A41,'Consolidado-Eletronorte'!BN:BO,2,FALSE)</f>
      </c>
      <c r="M41" s="28"/>
      <c r="N41" s="28"/>
    </row>
    <row x14ac:dyDescent="0.25" r="42" customHeight="1" ht="18.75" hidden="1">
      <c r="A42" s="399" t="s">
        <v>41334</v>
      </c>
      <c r="B42" s="399" t="s">
        <v>41136</v>
      </c>
      <c r="C42" s="400" t="s">
        <v>40284</v>
      </c>
      <c r="D42" s="28" t="s">
        <v>39998</v>
      </c>
      <c r="E42" s="308">
        <v>0</v>
      </c>
      <c r="F42" s="308">
        <v>500000</v>
      </c>
      <c r="G42" s="308">
        <v>0</v>
      </c>
      <c r="H42" s="308">
        <v>0</v>
      </c>
      <c r="I42" s="308">
        <v>0</v>
      </c>
      <c r="J42" s="308">
        <v>500000</v>
      </c>
      <c r="K42" s="28" t="s">
        <v>40053</v>
      </c>
      <c r="L42" s="401">
        <f>VLOOKUP(A42,'Consolidado-Eletronorte'!BN:BO,2,FALSE)</f>
      </c>
      <c r="M42" s="28"/>
      <c r="N42" s="28"/>
    </row>
    <row x14ac:dyDescent="0.25" r="43" customHeight="1" ht="18.75" hidden="1">
      <c r="A43" s="402" t="s">
        <v>41335</v>
      </c>
      <c r="B43" s="402" t="s">
        <v>41136</v>
      </c>
      <c r="C43" s="400" t="s">
        <v>40332</v>
      </c>
      <c r="D43" s="28" t="s">
        <v>39998</v>
      </c>
      <c r="E43" s="308">
        <v>0</v>
      </c>
      <c r="F43" s="308">
        <v>250000</v>
      </c>
      <c r="G43" s="308">
        <v>0</v>
      </c>
      <c r="H43" s="308">
        <v>0</v>
      </c>
      <c r="I43" s="308">
        <v>0</v>
      </c>
      <c r="J43" s="308">
        <v>250000</v>
      </c>
      <c r="K43" s="28" t="s">
        <v>41127</v>
      </c>
      <c r="L43" s="401">
        <f>VLOOKUP(A43,'Consolidado-Eletronorte'!BN:BO,2,FALSE)</f>
      </c>
      <c r="M43" s="28"/>
      <c r="N43" s="28"/>
    </row>
    <row x14ac:dyDescent="0.25" r="44" customHeight="1" ht="18.75" hidden="1">
      <c r="A44" s="399" t="s">
        <v>41247</v>
      </c>
      <c r="B44" s="399" t="s">
        <v>41138</v>
      </c>
      <c r="C44" s="400" t="s">
        <v>40062</v>
      </c>
      <c r="D44" s="28" t="s">
        <v>39998</v>
      </c>
      <c r="E44" s="308">
        <v>0</v>
      </c>
      <c r="F44" s="308">
        <v>3000000</v>
      </c>
      <c r="G44" s="308">
        <v>0</v>
      </c>
      <c r="H44" s="308">
        <v>0</v>
      </c>
      <c r="I44" s="308">
        <v>0</v>
      </c>
      <c r="J44" s="308">
        <v>3000000</v>
      </c>
      <c r="K44" s="28" t="s">
        <v>40053</v>
      </c>
      <c r="L44" s="401">
        <f>VLOOKUP(A44,'Consolidado-Eletronorte'!BN:BO,2,FALSE)</f>
      </c>
      <c r="M44" s="28"/>
      <c r="N44" s="28"/>
    </row>
    <row x14ac:dyDescent="0.25" r="45" customHeight="1" ht="18.75" hidden="1">
      <c r="A45" s="402" t="s">
        <v>41248</v>
      </c>
      <c r="B45" s="402" t="s">
        <v>41138</v>
      </c>
      <c r="C45" s="400" t="s">
        <v>40065</v>
      </c>
      <c r="D45" s="28" t="s">
        <v>39998</v>
      </c>
      <c r="E45" s="308">
        <v>0</v>
      </c>
      <c r="F45" s="308">
        <v>3000000</v>
      </c>
      <c r="G45" s="308">
        <v>0</v>
      </c>
      <c r="H45" s="308">
        <v>0</v>
      </c>
      <c r="I45" s="308">
        <v>0</v>
      </c>
      <c r="J45" s="308">
        <v>3000000</v>
      </c>
      <c r="K45" s="28" t="s">
        <v>41129</v>
      </c>
      <c r="L45" s="401">
        <f>VLOOKUP(A45,'Consolidado-Eletronorte'!BN:BO,2,FALSE)</f>
      </c>
      <c r="M45" s="28"/>
      <c r="N45" s="28"/>
    </row>
    <row x14ac:dyDescent="0.25" r="46" customHeight="1" ht="18.75" hidden="1">
      <c r="A46" s="399" t="s">
        <v>41305</v>
      </c>
      <c r="B46" s="399" t="s">
        <v>41137</v>
      </c>
      <c r="C46" s="400" t="s">
        <v>40161</v>
      </c>
      <c r="D46" s="28" t="s">
        <v>39998</v>
      </c>
      <c r="E46" s="308">
        <v>0</v>
      </c>
      <c r="F46" s="308">
        <v>1100000</v>
      </c>
      <c r="G46" s="308">
        <v>0</v>
      </c>
      <c r="H46" s="308">
        <v>0</v>
      </c>
      <c r="I46" s="308">
        <v>0</v>
      </c>
      <c r="J46" s="308">
        <v>1100000</v>
      </c>
      <c r="K46" s="28" t="s">
        <v>41129</v>
      </c>
      <c r="L46" s="401">
        <f>VLOOKUP(A46,'Consolidado-Eletronorte'!BN:BO,2,FALSE)</f>
      </c>
      <c r="M46" s="28"/>
      <c r="N46" s="28"/>
    </row>
    <row x14ac:dyDescent="0.25" r="47" customHeight="1" ht="18.75" hidden="1">
      <c r="A47" s="402" t="s">
        <v>41333</v>
      </c>
      <c r="B47" s="402" t="s">
        <v>41136</v>
      </c>
      <c r="C47" s="400" t="s">
        <v>40254</v>
      </c>
      <c r="D47" s="28" t="s">
        <v>39998</v>
      </c>
      <c r="E47" s="308">
        <v>0</v>
      </c>
      <c r="F47" s="308">
        <v>500000</v>
      </c>
      <c r="G47" s="308">
        <v>0</v>
      </c>
      <c r="H47" s="308">
        <v>0</v>
      </c>
      <c r="I47" s="308">
        <v>0</v>
      </c>
      <c r="J47" s="308">
        <v>500000</v>
      </c>
      <c r="K47" s="28" t="s">
        <v>40053</v>
      </c>
      <c r="L47" s="401">
        <f>VLOOKUP(A47,'Consolidado-Eletronorte'!BN:BO,2,FALSE)</f>
      </c>
      <c r="M47" s="28"/>
      <c r="N47" s="28"/>
    </row>
    <row x14ac:dyDescent="0.25" r="48" customHeight="1" ht="18.75" hidden="1">
      <c r="A48" s="399" t="s">
        <v>41253</v>
      </c>
      <c r="B48" s="399" t="s">
        <v>41139</v>
      </c>
      <c r="C48" s="400" t="s">
        <v>40016</v>
      </c>
      <c r="D48" s="28" t="s">
        <v>39998</v>
      </c>
      <c r="E48" s="308">
        <v>2262000</v>
      </c>
      <c r="F48" s="308">
        <v>2790000</v>
      </c>
      <c r="G48" s="308">
        <v>678000</v>
      </c>
      <c r="H48" s="308">
        <v>0</v>
      </c>
      <c r="I48" s="308">
        <v>0</v>
      </c>
      <c r="J48" s="308">
        <v>5730000</v>
      </c>
      <c r="K48" s="28" t="s">
        <v>40018</v>
      </c>
      <c r="L48" s="401">
        <f>VLOOKUP(A48,'Consolidado-Eletronorte'!BN:BO,2,FALSE)</f>
      </c>
      <c r="M48" s="28" t="s">
        <v>41502</v>
      </c>
      <c r="N48" s="28" t="s">
        <v>41502</v>
      </c>
    </row>
    <row x14ac:dyDescent="0.25" r="49" customHeight="1" ht="18.75" hidden="1">
      <c r="A49" s="402" t="s">
        <v>41307</v>
      </c>
      <c r="B49" s="402" t="s">
        <v>41137</v>
      </c>
      <c r="C49" s="400" t="s">
        <v>40205</v>
      </c>
      <c r="D49" s="28" t="s">
        <v>39998</v>
      </c>
      <c r="E49" s="308">
        <v>0</v>
      </c>
      <c r="F49" s="308">
        <v>1000000</v>
      </c>
      <c r="G49" s="308">
        <v>0</v>
      </c>
      <c r="H49" s="308">
        <v>0</v>
      </c>
      <c r="I49" s="308">
        <v>0</v>
      </c>
      <c r="J49" s="308">
        <v>1000000</v>
      </c>
      <c r="K49" s="28" t="s">
        <v>40018</v>
      </c>
      <c r="L49" s="401">
        <f>VLOOKUP(A49,'Consolidado-Eletronorte'!BN:BO,2,FALSE)</f>
      </c>
      <c r="M49" s="28"/>
      <c r="N49" s="28"/>
    </row>
    <row x14ac:dyDescent="0.25" r="50" customHeight="1" ht="18.75" hidden="1">
      <c r="A50" s="399" t="s">
        <v>41271</v>
      </c>
      <c r="B50" s="399" t="s">
        <v>41138</v>
      </c>
      <c r="C50" s="400" t="s">
        <v>40077</v>
      </c>
      <c r="D50" s="28" t="s">
        <v>39998</v>
      </c>
      <c r="E50" s="308">
        <v>1000000</v>
      </c>
      <c r="F50" s="308">
        <v>1000000</v>
      </c>
      <c r="G50" s="308">
        <v>700000</v>
      </c>
      <c r="H50" s="308">
        <v>0</v>
      </c>
      <c r="I50" s="308">
        <v>0</v>
      </c>
      <c r="J50" s="308">
        <v>2700000</v>
      </c>
      <c r="K50" s="28" t="s">
        <v>41127</v>
      </c>
      <c r="L50" s="401">
        <f>VLOOKUP(A50,'Consolidado-Eletronorte'!BN:BO,2,FALSE)</f>
      </c>
      <c r="M50" s="28"/>
      <c r="N50" s="28"/>
    </row>
    <row x14ac:dyDescent="0.25" r="51" customHeight="1" ht="18.75" hidden="1">
      <c r="A51" s="402" t="s">
        <v>41267</v>
      </c>
      <c r="B51" s="402" t="s">
        <v>41137</v>
      </c>
      <c r="C51" s="400" t="s">
        <v>40107</v>
      </c>
      <c r="D51" s="28" t="s">
        <v>39998</v>
      </c>
      <c r="E51" s="308">
        <v>600000</v>
      </c>
      <c r="F51" s="308">
        <v>1200000</v>
      </c>
      <c r="G51" s="308">
        <v>0</v>
      </c>
      <c r="H51" s="308">
        <v>0</v>
      </c>
      <c r="I51" s="308">
        <v>0</v>
      </c>
      <c r="J51" s="308">
        <v>1800000</v>
      </c>
      <c r="K51" s="28" t="s">
        <v>41127</v>
      </c>
      <c r="L51" s="401">
        <f>VLOOKUP(A51,'Consolidado-Eletronorte'!BN:BO,2,FALSE)</f>
      </c>
      <c r="M51" s="28" t="s">
        <v>41504</v>
      </c>
      <c r="N51" s="28" t="s">
        <v>41504</v>
      </c>
    </row>
    <row x14ac:dyDescent="0.25" r="52" customHeight="1" ht="18.75" hidden="1">
      <c r="A52" s="399" t="s">
        <v>41290</v>
      </c>
      <c r="B52" s="399" t="s">
        <v>41137</v>
      </c>
      <c r="C52" s="400" t="s">
        <v>40158</v>
      </c>
      <c r="D52" s="28" t="s">
        <v>39998</v>
      </c>
      <c r="E52" s="308">
        <v>600000</v>
      </c>
      <c r="F52" s="308">
        <v>600000</v>
      </c>
      <c r="G52" s="308">
        <v>0</v>
      </c>
      <c r="H52" s="308">
        <v>0</v>
      </c>
      <c r="I52" s="308">
        <v>0</v>
      </c>
      <c r="J52" s="308">
        <v>1200000</v>
      </c>
      <c r="K52" s="28" t="s">
        <v>40053</v>
      </c>
      <c r="L52" s="401">
        <f>VLOOKUP(A52,'Consolidado-Eletronorte'!BN:BO,2,FALSE)</f>
      </c>
      <c r="M52" s="28"/>
      <c r="N52" s="28"/>
    </row>
    <row x14ac:dyDescent="0.25" r="53" customHeight="1" ht="18.75" hidden="1">
      <c r="A53" s="402" t="s">
        <v>41268</v>
      </c>
      <c r="B53" s="402" t="s">
        <v>41137</v>
      </c>
      <c r="C53" s="400" t="s">
        <v>40154</v>
      </c>
      <c r="D53" s="28" t="s">
        <v>39998</v>
      </c>
      <c r="E53" s="308">
        <v>600000</v>
      </c>
      <c r="F53" s="308">
        <v>0</v>
      </c>
      <c r="G53" s="308">
        <v>0</v>
      </c>
      <c r="H53" s="308">
        <v>0</v>
      </c>
      <c r="I53" s="308">
        <v>0</v>
      </c>
      <c r="J53" s="308">
        <v>600000</v>
      </c>
      <c r="K53" s="28" t="s">
        <v>40053</v>
      </c>
      <c r="L53" s="401">
        <f>VLOOKUP(A53,'Consolidado-Eletronorte'!BN:BO,2,FALSE)</f>
      </c>
      <c r="M53" s="28"/>
      <c r="N53" s="28"/>
    </row>
    <row x14ac:dyDescent="0.25" r="54" customHeight="1" ht="18.75" hidden="1">
      <c r="A54" s="399" t="s">
        <v>41257</v>
      </c>
      <c r="B54" s="399" t="s">
        <v>41137</v>
      </c>
      <c r="C54" s="400" t="s">
        <v>40088</v>
      </c>
      <c r="D54" s="28" t="s">
        <v>39998</v>
      </c>
      <c r="E54" s="308">
        <v>100000</v>
      </c>
      <c r="F54" s="308">
        <v>500000</v>
      </c>
      <c r="G54" s="308">
        <v>0</v>
      </c>
      <c r="H54" s="308">
        <v>0</v>
      </c>
      <c r="I54" s="308">
        <v>0</v>
      </c>
      <c r="J54" s="308">
        <v>600000</v>
      </c>
      <c r="K54" s="28" t="s">
        <v>40053</v>
      </c>
      <c r="L54" s="401">
        <f>VLOOKUP(A54,'Consolidado-Eletronorte'!BN:BO,2,FALSE)</f>
      </c>
      <c r="M54" s="28"/>
      <c r="N54" s="28"/>
    </row>
    <row x14ac:dyDescent="0.25" r="55" customHeight="1" ht="18.75" hidden="1">
      <c r="A55" s="402" t="s">
        <v>41234</v>
      </c>
      <c r="B55" s="402" t="s">
        <v>41140</v>
      </c>
      <c r="C55" s="400" t="s">
        <v>39943</v>
      </c>
      <c r="D55" s="28" t="s">
        <v>39945</v>
      </c>
      <c r="E55" s="308">
        <v>4000000</v>
      </c>
      <c r="F55" s="308">
        <v>23500000</v>
      </c>
      <c r="G55" s="308">
        <v>0</v>
      </c>
      <c r="H55" s="308">
        <v>0</v>
      </c>
      <c r="I55" s="308">
        <v>0</v>
      </c>
      <c r="J55" s="308">
        <v>27500000</v>
      </c>
      <c r="K55" s="28" t="s">
        <v>40043</v>
      </c>
      <c r="L55" s="401">
        <f>VLOOKUP(A55,'Consolidado-Eletronorte'!BN:BO,2,FALSE)</f>
      </c>
      <c r="M55" s="28" t="s">
        <v>41502</v>
      </c>
      <c r="N55" s="28" t="s">
        <v>41502</v>
      </c>
    </row>
    <row x14ac:dyDescent="0.25" r="56" customHeight="1" ht="18.75" hidden="1">
      <c r="A56" s="399" t="s">
        <v>41251</v>
      </c>
      <c r="B56" s="399" t="s">
        <v>41139</v>
      </c>
      <c r="C56" s="400" t="s">
        <v>41223</v>
      </c>
      <c r="D56" s="28" t="s">
        <v>39945</v>
      </c>
      <c r="E56" s="308">
        <v>0</v>
      </c>
      <c r="F56" s="308">
        <v>6000000</v>
      </c>
      <c r="G56" s="308">
        <v>6000000</v>
      </c>
      <c r="H56" s="308">
        <v>0</v>
      </c>
      <c r="I56" s="308">
        <v>0</v>
      </c>
      <c r="J56" s="308">
        <v>12000000</v>
      </c>
      <c r="K56" s="28" t="s">
        <v>39946</v>
      </c>
      <c r="L56" s="401">
        <f>VLOOKUP(A56,'Consolidado-Eletronorte'!BN:BO,2,FALSE)</f>
      </c>
      <c r="M56" s="28" t="s">
        <v>41504</v>
      </c>
      <c r="N56" s="28" t="s">
        <v>41504</v>
      </c>
    </row>
    <row x14ac:dyDescent="0.25" r="57" customHeight="1" ht="18.75" hidden="1">
      <c r="A57" s="402" t="s">
        <v>41258</v>
      </c>
      <c r="B57" s="402" t="s">
        <v>41137</v>
      </c>
      <c r="C57" s="400" t="s">
        <v>40114</v>
      </c>
      <c r="D57" s="28" t="s">
        <v>39945</v>
      </c>
      <c r="E57" s="308">
        <v>0</v>
      </c>
      <c r="F57" s="308">
        <v>1750000</v>
      </c>
      <c r="G57" s="308">
        <v>0</v>
      </c>
      <c r="H57" s="308">
        <v>0</v>
      </c>
      <c r="I57" s="308">
        <v>0</v>
      </c>
      <c r="J57" s="308">
        <v>1750000</v>
      </c>
      <c r="K57" s="28" t="s">
        <v>41126</v>
      </c>
      <c r="L57" s="401">
        <f>VLOOKUP(A57,'Consolidado-Eletronorte'!BN:BO,2,FALSE)</f>
      </c>
      <c r="M57" s="28" t="s">
        <v>41504</v>
      </c>
      <c r="N57" s="28" t="s">
        <v>41504</v>
      </c>
    </row>
    <row x14ac:dyDescent="0.25" r="58" customHeight="1" ht="18.75" hidden="1">
      <c r="A58" s="399" t="s">
        <v>41259</v>
      </c>
      <c r="B58" s="399" t="s">
        <v>41137</v>
      </c>
      <c r="C58" s="400" t="s">
        <v>40117</v>
      </c>
      <c r="D58" s="28" t="s">
        <v>39945</v>
      </c>
      <c r="E58" s="308">
        <v>0</v>
      </c>
      <c r="F58" s="308">
        <v>1750000</v>
      </c>
      <c r="G58" s="308">
        <v>0</v>
      </c>
      <c r="H58" s="308">
        <v>0</v>
      </c>
      <c r="I58" s="308">
        <v>0</v>
      </c>
      <c r="J58" s="308">
        <v>1750000</v>
      </c>
      <c r="K58" s="28" t="s">
        <v>41126</v>
      </c>
      <c r="L58" s="401">
        <f>VLOOKUP(A58,'Consolidado-Eletronorte'!BN:BO,2,FALSE)</f>
      </c>
      <c r="M58" s="28" t="s">
        <v>41504</v>
      </c>
      <c r="N58" s="28" t="s">
        <v>41504</v>
      </c>
    </row>
    <row x14ac:dyDescent="0.25" r="59" customHeight="1" ht="18.75" hidden="1">
      <c r="A59" s="402" t="s">
        <v>41348</v>
      </c>
      <c r="B59" s="402" t="s">
        <v>41136</v>
      </c>
      <c r="C59" s="400" t="s">
        <v>40293</v>
      </c>
      <c r="D59" s="28" t="s">
        <v>39945</v>
      </c>
      <c r="E59" s="308">
        <v>0</v>
      </c>
      <c r="F59" s="308">
        <v>250000</v>
      </c>
      <c r="G59" s="308">
        <v>250000</v>
      </c>
      <c r="H59" s="308">
        <v>0</v>
      </c>
      <c r="I59" s="308">
        <v>0</v>
      </c>
      <c r="J59" s="308">
        <v>500000</v>
      </c>
      <c r="K59" s="28" t="s">
        <v>40043</v>
      </c>
      <c r="L59" s="401">
        <f>VLOOKUP(A59,'Consolidado-Eletronorte'!BN:BO,2,FALSE)</f>
      </c>
      <c r="M59" s="28"/>
      <c r="N59" s="28"/>
    </row>
    <row x14ac:dyDescent="0.25" r="60" customHeight="1" ht="18.75" hidden="1">
      <c r="A60" s="399" t="s">
        <v>41341</v>
      </c>
      <c r="B60" s="399" t="s">
        <v>41136</v>
      </c>
      <c r="C60" s="400" t="s">
        <v>40272</v>
      </c>
      <c r="D60" s="28" t="s">
        <v>39945</v>
      </c>
      <c r="E60" s="308">
        <v>0</v>
      </c>
      <c r="F60" s="308">
        <v>250000</v>
      </c>
      <c r="G60" s="308">
        <v>250000</v>
      </c>
      <c r="H60" s="308">
        <v>0</v>
      </c>
      <c r="I60" s="308">
        <v>0</v>
      </c>
      <c r="J60" s="308">
        <v>500000</v>
      </c>
      <c r="K60" s="28" t="s">
        <v>41127</v>
      </c>
      <c r="L60" s="401">
        <f>VLOOKUP(A60,'Consolidado-Eletronorte'!BN:BO,2,FALSE)</f>
      </c>
      <c r="M60" s="28"/>
      <c r="N60" s="28"/>
    </row>
    <row x14ac:dyDescent="0.25" r="61" customHeight="1" ht="18.75" hidden="1">
      <c r="A61" s="402" t="s">
        <v>41342</v>
      </c>
      <c r="B61" s="402" t="s">
        <v>41136</v>
      </c>
      <c r="C61" s="400" t="s">
        <v>40275</v>
      </c>
      <c r="D61" s="28" t="s">
        <v>39945</v>
      </c>
      <c r="E61" s="308">
        <v>0</v>
      </c>
      <c r="F61" s="308">
        <v>250000</v>
      </c>
      <c r="G61" s="308">
        <v>250000</v>
      </c>
      <c r="H61" s="308">
        <v>0</v>
      </c>
      <c r="I61" s="308">
        <v>0</v>
      </c>
      <c r="J61" s="308">
        <v>500000</v>
      </c>
      <c r="K61" s="28" t="s">
        <v>41127</v>
      </c>
      <c r="L61" s="401">
        <f>VLOOKUP(A61,'Consolidado-Eletronorte'!BN:BO,2,FALSE)</f>
      </c>
      <c r="M61" s="28"/>
      <c r="N61" s="28"/>
    </row>
    <row x14ac:dyDescent="0.25" r="62" customHeight="1" ht="18.75" hidden="1">
      <c r="A62" s="399" t="s">
        <v>41340</v>
      </c>
      <c r="B62" s="399" t="s">
        <v>41136</v>
      </c>
      <c r="C62" s="400" t="s">
        <v>40269</v>
      </c>
      <c r="D62" s="28" t="s">
        <v>39945</v>
      </c>
      <c r="E62" s="308">
        <v>0</v>
      </c>
      <c r="F62" s="308">
        <v>250000</v>
      </c>
      <c r="G62" s="308">
        <v>250000</v>
      </c>
      <c r="H62" s="308">
        <v>0</v>
      </c>
      <c r="I62" s="308">
        <v>0</v>
      </c>
      <c r="J62" s="308">
        <v>500000</v>
      </c>
      <c r="K62" s="28" t="s">
        <v>41127</v>
      </c>
      <c r="L62" s="401">
        <f>VLOOKUP(A62,'Consolidado-Eletronorte'!BN:BO,2,FALSE)</f>
      </c>
      <c r="M62" s="28"/>
      <c r="N62" s="28"/>
    </row>
    <row x14ac:dyDescent="0.25" r="63" customHeight="1" ht="18.75" hidden="1">
      <c r="A63" s="402" t="s">
        <v>41337</v>
      </c>
      <c r="B63" s="402" t="s">
        <v>41136</v>
      </c>
      <c r="C63" s="400" t="s">
        <v>40260</v>
      </c>
      <c r="D63" s="28" t="s">
        <v>39945</v>
      </c>
      <c r="E63" s="308">
        <v>0</v>
      </c>
      <c r="F63" s="308">
        <v>250000</v>
      </c>
      <c r="G63" s="308">
        <v>250000</v>
      </c>
      <c r="H63" s="308">
        <v>0</v>
      </c>
      <c r="I63" s="308">
        <v>0</v>
      </c>
      <c r="J63" s="308">
        <v>500000</v>
      </c>
      <c r="K63" s="28" t="s">
        <v>41127</v>
      </c>
      <c r="L63" s="401">
        <f>VLOOKUP(A63,'Consolidado-Eletronorte'!BN:BO,2,FALSE)</f>
      </c>
      <c r="M63" s="28"/>
      <c r="N63" s="28"/>
    </row>
    <row x14ac:dyDescent="0.25" r="64" customHeight="1" ht="18.75" hidden="1">
      <c r="A64" s="399" t="s">
        <v>41336</v>
      </c>
      <c r="B64" s="399" t="s">
        <v>41136</v>
      </c>
      <c r="C64" s="400" t="s">
        <v>40257</v>
      </c>
      <c r="D64" s="28" t="s">
        <v>39945</v>
      </c>
      <c r="E64" s="308">
        <v>0</v>
      </c>
      <c r="F64" s="308">
        <v>250000</v>
      </c>
      <c r="G64" s="308">
        <v>250000</v>
      </c>
      <c r="H64" s="308">
        <v>0</v>
      </c>
      <c r="I64" s="308">
        <v>0</v>
      </c>
      <c r="J64" s="308">
        <v>500000</v>
      </c>
      <c r="K64" s="28" t="s">
        <v>41127</v>
      </c>
      <c r="L64" s="401">
        <f>VLOOKUP(A64,'Consolidado-Eletronorte'!BN:BO,2,FALSE)</f>
      </c>
      <c r="M64" s="28"/>
      <c r="N64" s="28"/>
    </row>
    <row x14ac:dyDescent="0.25" r="65" customHeight="1" ht="18.75" hidden="1">
      <c r="A65" s="402" t="s">
        <v>41344</v>
      </c>
      <c r="B65" s="402" t="s">
        <v>41136</v>
      </c>
      <c r="C65" s="400" t="s">
        <v>40281</v>
      </c>
      <c r="D65" s="28" t="s">
        <v>39945</v>
      </c>
      <c r="E65" s="308">
        <v>0</v>
      </c>
      <c r="F65" s="308">
        <v>250000</v>
      </c>
      <c r="G65" s="308">
        <v>250000</v>
      </c>
      <c r="H65" s="308">
        <v>0</v>
      </c>
      <c r="I65" s="308">
        <v>0</v>
      </c>
      <c r="J65" s="308">
        <v>500000</v>
      </c>
      <c r="K65" s="28" t="s">
        <v>41127</v>
      </c>
      <c r="L65" s="401">
        <f>VLOOKUP(A65,'Consolidado-Eletronorte'!BN:BO,2,FALSE)</f>
      </c>
      <c r="M65" s="28"/>
      <c r="N65" s="28"/>
    </row>
    <row x14ac:dyDescent="0.25" r="66" customHeight="1" ht="18.75" hidden="1">
      <c r="A66" s="399" t="s">
        <v>41343</v>
      </c>
      <c r="B66" s="399" t="s">
        <v>41136</v>
      </c>
      <c r="C66" s="400" t="s">
        <v>40278</v>
      </c>
      <c r="D66" s="28" t="s">
        <v>39945</v>
      </c>
      <c r="E66" s="308">
        <v>0</v>
      </c>
      <c r="F66" s="308">
        <v>250000</v>
      </c>
      <c r="G66" s="308">
        <v>250000</v>
      </c>
      <c r="H66" s="308">
        <v>0</v>
      </c>
      <c r="I66" s="308">
        <v>0</v>
      </c>
      <c r="J66" s="308">
        <v>500000</v>
      </c>
      <c r="K66" s="28" t="s">
        <v>41127</v>
      </c>
      <c r="L66" s="401">
        <f>VLOOKUP(A66,'Consolidado-Eletronorte'!BN:BO,2,FALSE)</f>
      </c>
      <c r="M66" s="28"/>
      <c r="N66" s="28"/>
    </row>
    <row x14ac:dyDescent="0.25" r="67" customHeight="1" ht="18.75" hidden="1">
      <c r="A67" s="402" t="s">
        <v>41346</v>
      </c>
      <c r="B67" s="402" t="s">
        <v>41136</v>
      </c>
      <c r="C67" s="400" t="s">
        <v>40250</v>
      </c>
      <c r="D67" s="28" t="s">
        <v>39945</v>
      </c>
      <c r="E67" s="308">
        <v>0</v>
      </c>
      <c r="F67" s="308">
        <v>250000</v>
      </c>
      <c r="G67" s="308">
        <v>250000</v>
      </c>
      <c r="H67" s="308">
        <v>0</v>
      </c>
      <c r="I67" s="308">
        <v>0</v>
      </c>
      <c r="J67" s="308">
        <v>500000</v>
      </c>
      <c r="K67" s="28" t="s">
        <v>40043</v>
      </c>
      <c r="L67" s="401">
        <f>VLOOKUP(A67,'Consolidado-Eletronorte'!BN:BO,2,FALSE)</f>
      </c>
      <c r="M67" s="28"/>
      <c r="N67" s="28"/>
    </row>
    <row x14ac:dyDescent="0.25" r="68" customHeight="1" ht="18.75" hidden="1">
      <c r="A68" s="399" t="s">
        <v>41345</v>
      </c>
      <c r="B68" s="399" t="s">
        <v>41136</v>
      </c>
      <c r="C68" s="400" t="s">
        <v>40287</v>
      </c>
      <c r="D68" s="28" t="s">
        <v>39945</v>
      </c>
      <c r="E68" s="308">
        <v>0</v>
      </c>
      <c r="F68" s="308">
        <v>250000</v>
      </c>
      <c r="G68" s="308">
        <v>250000</v>
      </c>
      <c r="H68" s="308">
        <v>0</v>
      </c>
      <c r="I68" s="308">
        <v>0</v>
      </c>
      <c r="J68" s="308">
        <v>500000</v>
      </c>
      <c r="K68" s="28" t="s">
        <v>41127</v>
      </c>
      <c r="L68" s="401">
        <f>VLOOKUP(A68,'Consolidado-Eletronorte'!BN:BO,2,FALSE)</f>
      </c>
      <c r="M68" s="28"/>
      <c r="N68" s="28"/>
    </row>
    <row x14ac:dyDescent="0.25" r="69" customHeight="1" ht="18.75" hidden="1">
      <c r="A69" s="402" t="s">
        <v>41347</v>
      </c>
      <c r="B69" s="402" t="s">
        <v>41136</v>
      </c>
      <c r="C69" s="400" t="s">
        <v>40290</v>
      </c>
      <c r="D69" s="28" t="s">
        <v>39945</v>
      </c>
      <c r="E69" s="308">
        <v>0</v>
      </c>
      <c r="F69" s="308">
        <v>250000</v>
      </c>
      <c r="G69" s="308">
        <v>250000</v>
      </c>
      <c r="H69" s="308">
        <v>0</v>
      </c>
      <c r="I69" s="308">
        <v>0</v>
      </c>
      <c r="J69" s="308">
        <v>500000</v>
      </c>
      <c r="K69" s="28" t="s">
        <v>41127</v>
      </c>
      <c r="L69" s="401">
        <f>VLOOKUP(A69,'Consolidado-Eletronorte'!BN:BO,2,FALSE)</f>
      </c>
      <c r="M69" s="28"/>
      <c r="N69" s="28"/>
    </row>
    <row x14ac:dyDescent="0.25" r="70" customHeight="1" ht="18.75" hidden="1">
      <c r="A70" s="399" t="s">
        <v>41338</v>
      </c>
      <c r="B70" s="399" t="s">
        <v>41136</v>
      </c>
      <c r="C70" s="400" t="s">
        <v>40263</v>
      </c>
      <c r="D70" s="28" t="s">
        <v>39945</v>
      </c>
      <c r="E70" s="308">
        <v>0</v>
      </c>
      <c r="F70" s="308">
        <v>250000</v>
      </c>
      <c r="G70" s="308">
        <v>250000</v>
      </c>
      <c r="H70" s="308">
        <v>0</v>
      </c>
      <c r="I70" s="308">
        <v>0</v>
      </c>
      <c r="J70" s="308">
        <v>500000</v>
      </c>
      <c r="K70" s="28" t="s">
        <v>41127</v>
      </c>
      <c r="L70" s="401">
        <f>VLOOKUP(A70,'Consolidado-Eletronorte'!BN:BO,2,FALSE)</f>
      </c>
      <c r="M70" s="28"/>
      <c r="N70" s="28"/>
    </row>
    <row x14ac:dyDescent="0.25" r="71" customHeight="1" ht="18.75" hidden="1">
      <c r="A71" s="402" t="s">
        <v>41339</v>
      </c>
      <c r="B71" s="402" t="s">
        <v>41136</v>
      </c>
      <c r="C71" s="400" t="s">
        <v>40266</v>
      </c>
      <c r="D71" s="28" t="s">
        <v>39945</v>
      </c>
      <c r="E71" s="308">
        <v>0</v>
      </c>
      <c r="F71" s="308">
        <v>250000</v>
      </c>
      <c r="G71" s="308">
        <v>250000</v>
      </c>
      <c r="H71" s="308">
        <v>0</v>
      </c>
      <c r="I71" s="308">
        <v>0</v>
      </c>
      <c r="J71" s="308">
        <v>500000</v>
      </c>
      <c r="K71" s="28" t="s">
        <v>41127</v>
      </c>
      <c r="L71" s="401">
        <f>VLOOKUP(A71,'Consolidado-Eletronorte'!BN:BO,2,FALSE)</f>
      </c>
      <c r="M71" s="28"/>
      <c r="N71" s="28"/>
    </row>
    <row x14ac:dyDescent="0.25" r="72" customHeight="1" ht="18.75" hidden="1">
      <c r="A72" s="399" t="s">
        <v>41304</v>
      </c>
      <c r="B72" s="399" t="s">
        <v>41136</v>
      </c>
      <c r="C72" s="400" t="s">
        <v>40329</v>
      </c>
      <c r="D72" s="28" t="s">
        <v>39945</v>
      </c>
      <c r="E72" s="308">
        <v>300000</v>
      </c>
      <c r="F72" s="308">
        <v>200000</v>
      </c>
      <c r="G72" s="308">
        <v>0</v>
      </c>
      <c r="H72" s="308">
        <v>0</v>
      </c>
      <c r="I72" s="308">
        <v>0</v>
      </c>
      <c r="J72" s="308">
        <v>500000</v>
      </c>
      <c r="K72" s="28" t="s">
        <v>41126</v>
      </c>
      <c r="L72" s="401">
        <f>VLOOKUP(A72,'Consolidado-Eletronorte'!BN:BO,2,FALSE)</f>
      </c>
      <c r="M72" s="28" t="s">
        <v>41502</v>
      </c>
      <c r="N72" s="28" t="s">
        <v>41502</v>
      </c>
    </row>
    <row x14ac:dyDescent="0.25" r="73" customHeight="1" ht="18.75" hidden="1">
      <c r="A73" s="402" t="s">
        <v>41272</v>
      </c>
      <c r="B73" s="402" t="s">
        <v>41139</v>
      </c>
      <c r="C73" s="400" t="s">
        <v>40172</v>
      </c>
      <c r="D73" s="28" t="s">
        <v>39945</v>
      </c>
      <c r="E73" s="308">
        <v>912050</v>
      </c>
      <c r="F73" s="308">
        <v>4560250</v>
      </c>
      <c r="G73" s="308">
        <v>0</v>
      </c>
      <c r="H73" s="308">
        <v>0</v>
      </c>
      <c r="I73" s="308">
        <v>0</v>
      </c>
      <c r="J73" s="308">
        <v>5472300</v>
      </c>
      <c r="K73" s="28" t="s">
        <v>41126</v>
      </c>
      <c r="L73" s="401">
        <f>VLOOKUP(A73,'Consolidado-Eletronorte'!BN:BO,2,FALSE)</f>
      </c>
      <c r="M73" s="28" t="s">
        <v>41504</v>
      </c>
      <c r="N73" s="28" t="s">
        <v>41504</v>
      </c>
    </row>
    <row x14ac:dyDescent="0.25" r="74" customHeight="1" ht="18.75" hidden="1">
      <c r="A74" s="399" t="s">
        <v>41296</v>
      </c>
      <c r="B74" s="399" t="s">
        <v>41136</v>
      </c>
      <c r="C74" s="400" t="s">
        <v>40324</v>
      </c>
      <c r="D74" s="28" t="s">
        <v>39945</v>
      </c>
      <c r="E74" s="308">
        <v>450000</v>
      </c>
      <c r="F74" s="308">
        <v>0</v>
      </c>
      <c r="G74" s="308">
        <v>0</v>
      </c>
      <c r="H74" s="308">
        <v>0</v>
      </c>
      <c r="I74" s="308">
        <v>0</v>
      </c>
      <c r="J74" s="308">
        <v>450000</v>
      </c>
      <c r="K74" s="28" t="s">
        <v>41130</v>
      </c>
      <c r="L74" s="401">
        <f>VLOOKUP(A74,'Consolidado-Eletronorte'!BN:BO,2,FALSE)</f>
      </c>
      <c r="M74" s="28"/>
      <c r="N74" s="28"/>
    </row>
    <row x14ac:dyDescent="0.25" r="75" customHeight="1" ht="18.75">
      <c r="A75" s="402" t="s">
        <v>41231</v>
      </c>
      <c r="B75" s="402" t="s">
        <v>41140</v>
      </c>
      <c r="C75" s="400" t="s">
        <v>39910</v>
      </c>
      <c r="D75" s="28" t="s">
        <v>39912</v>
      </c>
      <c r="E75" s="308">
        <v>149463997.76</v>
      </c>
      <c r="F75" s="308">
        <v>186404977.93658334</v>
      </c>
      <c r="G75" s="308">
        <v>138328625.18250006</v>
      </c>
      <c r="H75" s="308">
        <v>69976375.79</v>
      </c>
      <c r="I75" s="308">
        <v>500000</v>
      </c>
      <c r="J75" s="308">
        <v>544673976.6690834</v>
      </c>
      <c r="K75" s="28" t="s">
        <v>41128</v>
      </c>
      <c r="L75" s="401">
        <f>VLOOKUP(A75,'Consolidado-Eletronorte'!BN:BO,2,FALSE)</f>
      </c>
      <c r="M75" s="28" t="s">
        <v>41505</v>
      </c>
      <c r="N75" s="28" t="s">
        <v>41502</v>
      </c>
    </row>
    <row x14ac:dyDescent="0.25" r="76" customHeight="1" ht="18.75">
      <c r="A76" s="399" t="s">
        <v>41232</v>
      </c>
      <c r="B76" s="399" t="s">
        <v>41140</v>
      </c>
      <c r="C76" s="400" t="s">
        <v>41216</v>
      </c>
      <c r="D76" s="28" t="s">
        <v>39912</v>
      </c>
      <c r="E76" s="308">
        <v>30742118.607745</v>
      </c>
      <c r="F76" s="308">
        <v>165692110.97322997</v>
      </c>
      <c r="G76" s="308">
        <v>0</v>
      </c>
      <c r="H76" s="308">
        <v>0</v>
      </c>
      <c r="I76" s="308">
        <v>0</v>
      </c>
      <c r="J76" s="308">
        <v>196434229.58097497</v>
      </c>
      <c r="K76" s="28" t="s">
        <v>41128</v>
      </c>
      <c r="L76" s="401">
        <f>VLOOKUP(A76,'Consolidado-Eletronorte'!BN:BO,2,FALSE)</f>
      </c>
      <c r="M76" s="28" t="s">
        <v>41506</v>
      </c>
      <c r="N76" s="28" t="s">
        <v>41502</v>
      </c>
    </row>
    <row x14ac:dyDescent="0.25" r="77" customHeight="1" ht="18.75">
      <c r="A77" s="402" t="s">
        <v>41233</v>
      </c>
      <c r="B77" s="402" t="s">
        <v>41140</v>
      </c>
      <c r="C77" s="400" t="s">
        <v>39939</v>
      </c>
      <c r="D77" s="28" t="s">
        <v>39912</v>
      </c>
      <c r="E77" s="308">
        <v>38256203.993333325</v>
      </c>
      <c r="F77" s="308">
        <v>10144019.02</v>
      </c>
      <c r="G77" s="308">
        <v>221463.61</v>
      </c>
      <c r="H77" s="308">
        <v>0</v>
      </c>
      <c r="I77" s="308">
        <v>0</v>
      </c>
      <c r="J77" s="308">
        <v>48621686.62333332</v>
      </c>
      <c r="K77" s="28" t="s">
        <v>41128</v>
      </c>
      <c r="L77" s="401">
        <f>VLOOKUP(A77,'Consolidado-Eletronorte'!BN:BO,2,FALSE)</f>
      </c>
      <c r="M77" s="28" t="s">
        <v>41507</v>
      </c>
      <c r="N77" s="28" t="s">
        <v>41502</v>
      </c>
    </row>
    <row x14ac:dyDescent="0.25" r="78" customHeight="1" ht="18.75">
      <c r="A78" s="399" t="s">
        <v>41238</v>
      </c>
      <c r="B78" s="399" t="s">
        <v>41139</v>
      </c>
      <c r="C78" s="400" t="s">
        <v>39986</v>
      </c>
      <c r="D78" s="28" t="s">
        <v>39912</v>
      </c>
      <c r="E78" s="308">
        <v>10000000</v>
      </c>
      <c r="F78" s="308">
        <v>0</v>
      </c>
      <c r="G78" s="308">
        <v>0</v>
      </c>
      <c r="H78" s="308">
        <v>0</v>
      </c>
      <c r="I78" s="308">
        <v>0</v>
      </c>
      <c r="J78" s="308">
        <v>10000000</v>
      </c>
      <c r="K78" s="28" t="s">
        <v>41127</v>
      </c>
      <c r="L78" s="401">
        <f>VLOOKUP(A78,'Consolidado-Eletronorte'!BN:BO,2,FALSE)</f>
      </c>
      <c r="M78" s="28" t="s">
        <v>41508</v>
      </c>
      <c r="N78" s="28" t="s">
        <v>41508</v>
      </c>
    </row>
    <row x14ac:dyDescent="0.25" r="79" customHeight="1" ht="18.75">
      <c r="A79" s="402" t="s">
        <v>41237</v>
      </c>
      <c r="B79" s="402" t="s">
        <v>41139</v>
      </c>
      <c r="C79" s="400" t="s">
        <v>41219</v>
      </c>
      <c r="D79" s="28" t="s">
        <v>39912</v>
      </c>
      <c r="E79" s="308">
        <v>8500000</v>
      </c>
      <c r="F79" s="308">
        <v>0</v>
      </c>
      <c r="G79" s="308">
        <v>0</v>
      </c>
      <c r="H79" s="308">
        <v>0</v>
      </c>
      <c r="I79" s="308">
        <v>0</v>
      </c>
      <c r="J79" s="308">
        <v>8500000</v>
      </c>
      <c r="K79" s="28" t="s">
        <v>41131</v>
      </c>
      <c r="L79" s="401">
        <f>VLOOKUP(A79,'Consolidado-Eletronorte'!BN:BO,2,FALSE)</f>
      </c>
      <c r="M79" s="28" t="s">
        <v>41502</v>
      </c>
      <c r="N79" s="28" t="s">
        <v>41502</v>
      </c>
    </row>
    <row x14ac:dyDescent="0.25" r="80" customHeight="1" ht="18.75">
      <c r="A80" s="399" t="s">
        <v>41242</v>
      </c>
      <c r="B80" s="399" t="s">
        <v>41139</v>
      </c>
      <c r="C80" s="400" t="s">
        <v>39962</v>
      </c>
      <c r="D80" s="28" t="s">
        <v>39912</v>
      </c>
      <c r="E80" s="308">
        <v>3000000</v>
      </c>
      <c r="F80" s="308">
        <v>7500000</v>
      </c>
      <c r="G80" s="308">
        <v>5000000</v>
      </c>
      <c r="H80" s="308">
        <v>0</v>
      </c>
      <c r="I80" s="308">
        <v>0</v>
      </c>
      <c r="J80" s="308">
        <v>15500000</v>
      </c>
      <c r="K80" s="28" t="s">
        <v>41127</v>
      </c>
      <c r="L80" s="401">
        <f>VLOOKUP(A80,'Consolidado-Eletronorte'!BN:BO,2,FALSE)</f>
      </c>
      <c r="M80" s="28" t="s">
        <v>41509</v>
      </c>
      <c r="N80" s="28" t="s">
        <v>41502</v>
      </c>
    </row>
    <row x14ac:dyDescent="0.25" r="81" customHeight="1" ht="18.75">
      <c r="A81" s="402" t="s">
        <v>41274</v>
      </c>
      <c r="B81" s="402" t="s">
        <v>41138</v>
      </c>
      <c r="C81" s="400" t="s">
        <v>40099</v>
      </c>
      <c r="D81" s="28" t="s">
        <v>39912</v>
      </c>
      <c r="E81" s="308">
        <v>1000000</v>
      </c>
      <c r="F81" s="308">
        <v>1500000</v>
      </c>
      <c r="G81" s="308">
        <v>0</v>
      </c>
      <c r="H81" s="308">
        <v>0</v>
      </c>
      <c r="I81" s="308">
        <v>0</v>
      </c>
      <c r="J81" s="308">
        <v>2500000</v>
      </c>
      <c r="K81" s="28" t="s">
        <v>41127</v>
      </c>
      <c r="L81" s="401">
        <f>VLOOKUP(A81,'Consolidado-Eletronorte'!BN:BO,2,FALSE)</f>
      </c>
      <c r="M81" s="28"/>
      <c r="N81" s="28"/>
    </row>
    <row x14ac:dyDescent="0.25" r="82" customHeight="1" ht="18.75">
      <c r="A82" s="399" t="s">
        <v>41256</v>
      </c>
      <c r="B82" s="399" t="s">
        <v>41137</v>
      </c>
      <c r="C82" s="400" t="s">
        <v>40103</v>
      </c>
      <c r="D82" s="28" t="s">
        <v>39912</v>
      </c>
      <c r="E82" s="308">
        <v>1824336</v>
      </c>
      <c r="F82" s="308">
        <v>0</v>
      </c>
      <c r="G82" s="308">
        <v>0</v>
      </c>
      <c r="H82" s="308">
        <v>0</v>
      </c>
      <c r="I82" s="308">
        <v>0</v>
      </c>
      <c r="J82" s="308">
        <v>1824336</v>
      </c>
      <c r="K82" s="28" t="s">
        <v>39956</v>
      </c>
      <c r="L82" s="401">
        <f>VLOOKUP(A82,'Consolidado-Eletronorte'!BN:BO,2,FALSE)</f>
      </c>
      <c r="M82" s="28"/>
      <c r="N82" s="28"/>
    </row>
    <row x14ac:dyDescent="0.25" r="83" customHeight="1" ht="18.75">
      <c r="A83" s="402" t="s">
        <v>41284</v>
      </c>
      <c r="B83" s="402" t="s">
        <v>41138</v>
      </c>
      <c r="C83" s="400" t="s">
        <v>40130</v>
      </c>
      <c r="D83" s="28" t="s">
        <v>38359</v>
      </c>
      <c r="E83" s="308">
        <v>950000</v>
      </c>
      <c r="F83" s="308">
        <v>1000000</v>
      </c>
      <c r="G83" s="308">
        <v>100000</v>
      </c>
      <c r="H83" s="308">
        <v>0</v>
      </c>
      <c r="I83" s="308">
        <v>0</v>
      </c>
      <c r="J83" s="308">
        <v>2050000</v>
      </c>
      <c r="K83" s="28" t="s">
        <v>40018</v>
      </c>
      <c r="L83" s="401">
        <f>VLOOKUP(A83,'Consolidado-Eletronorte'!BN:BO,2,FALSE)</f>
      </c>
      <c r="M83" s="28"/>
      <c r="N83" s="28"/>
    </row>
    <row x14ac:dyDescent="0.25" r="84" customHeight="1" ht="18.75">
      <c r="A84" s="399" t="s">
        <v>41255</v>
      </c>
      <c r="B84" s="399" t="s">
        <v>41138</v>
      </c>
      <c r="C84" s="400" t="s">
        <v>40037</v>
      </c>
      <c r="D84" s="28" t="s">
        <v>39912</v>
      </c>
      <c r="E84" s="308">
        <v>2000000.0000000002</v>
      </c>
      <c r="F84" s="308">
        <v>2000000</v>
      </c>
      <c r="G84" s="308">
        <v>1000000</v>
      </c>
      <c r="H84" s="308">
        <v>0</v>
      </c>
      <c r="I84" s="308">
        <v>0</v>
      </c>
      <c r="J84" s="308">
        <v>5000000</v>
      </c>
      <c r="K84" s="28" t="s">
        <v>39956</v>
      </c>
      <c r="L84" s="401">
        <f>VLOOKUP(A84,'Consolidado-Eletronorte'!BN:BO,2,FALSE)</f>
      </c>
      <c r="M84" s="28"/>
      <c r="N84" s="28"/>
    </row>
    <row x14ac:dyDescent="0.25" r="85" customHeight="1" ht="18.75">
      <c r="A85" s="402" t="s">
        <v>41260</v>
      </c>
      <c r="B85" s="402" t="s">
        <v>41138</v>
      </c>
      <c r="C85" s="400" t="s">
        <v>40026</v>
      </c>
      <c r="D85" s="28" t="s">
        <v>39912</v>
      </c>
      <c r="E85" s="308">
        <v>0</v>
      </c>
      <c r="F85" s="308">
        <v>1300000</v>
      </c>
      <c r="G85" s="308">
        <v>1300000</v>
      </c>
      <c r="H85" s="308">
        <v>1950000</v>
      </c>
      <c r="I85" s="308">
        <v>0</v>
      </c>
      <c r="J85" s="308">
        <v>4550000</v>
      </c>
      <c r="K85" s="28" t="s">
        <v>41132</v>
      </c>
      <c r="L85" s="401">
        <f>VLOOKUP(A85,'Consolidado-Eletronorte'!BN:BO,2,FALSE)</f>
      </c>
      <c r="M85" s="28"/>
      <c r="N85" s="28"/>
    </row>
    <row x14ac:dyDescent="0.25" r="86" customHeight="1" ht="18.75">
      <c r="A86" s="399" t="s">
        <v>41241</v>
      </c>
      <c r="B86" s="399" t="s">
        <v>41140</v>
      </c>
      <c r="C86" s="400" t="s">
        <v>39954</v>
      </c>
      <c r="D86" s="28" t="s">
        <v>39912</v>
      </c>
      <c r="E86" s="308">
        <v>6000000</v>
      </c>
      <c r="F86" s="308">
        <v>7000000</v>
      </c>
      <c r="G86" s="308">
        <v>4000000</v>
      </c>
      <c r="H86" s="308">
        <v>4000000</v>
      </c>
      <c r="I86" s="308">
        <v>0</v>
      </c>
      <c r="J86" s="308">
        <v>21000000</v>
      </c>
      <c r="K86" s="28" t="s">
        <v>39956</v>
      </c>
      <c r="L86" s="401">
        <f>VLOOKUP(A86,'Consolidado-Eletronorte'!BN:BO,2,FALSE)</f>
      </c>
      <c r="M86" s="28" t="s">
        <v>41508</v>
      </c>
      <c r="N86" s="28" t="s">
        <v>41508</v>
      </c>
    </row>
    <row x14ac:dyDescent="0.25" r="87" customHeight="1" ht="18.75">
      <c r="A87" s="402" t="s">
        <v>41236</v>
      </c>
      <c r="B87" s="402" t="s">
        <v>41139</v>
      </c>
      <c r="C87" s="400" t="s">
        <v>39976</v>
      </c>
      <c r="D87" s="28" t="s">
        <v>39912</v>
      </c>
      <c r="E87" s="308">
        <v>5000000</v>
      </c>
      <c r="F87" s="308">
        <v>6750000</v>
      </c>
      <c r="G87" s="308">
        <v>5000000</v>
      </c>
      <c r="H87" s="308">
        <v>0</v>
      </c>
      <c r="I87" s="308">
        <v>0</v>
      </c>
      <c r="J87" s="308">
        <v>16750000</v>
      </c>
      <c r="K87" s="28" t="s">
        <v>41127</v>
      </c>
      <c r="L87" s="401">
        <f>VLOOKUP(A87,'Consolidado-Eletronorte'!BN:BO,2,FALSE)</f>
      </c>
      <c r="M87" s="28" t="s">
        <v>41508</v>
      </c>
      <c r="N87" s="28" t="s">
        <v>41508</v>
      </c>
    </row>
    <row x14ac:dyDescent="0.25" r="88" customHeight="1" ht="18.75">
      <c r="A88" s="399" t="s">
        <v>41243</v>
      </c>
      <c r="B88" s="399" t="s">
        <v>41139</v>
      </c>
      <c r="C88" s="400" t="s">
        <v>39990</v>
      </c>
      <c r="D88" s="28" t="s">
        <v>39912</v>
      </c>
      <c r="E88" s="308">
        <v>5000000</v>
      </c>
      <c r="F88" s="308">
        <v>2500000</v>
      </c>
      <c r="G88" s="308">
        <v>0</v>
      </c>
      <c r="H88" s="308">
        <v>0</v>
      </c>
      <c r="I88" s="308">
        <v>0</v>
      </c>
      <c r="J88" s="308">
        <v>7500000</v>
      </c>
      <c r="K88" s="28" t="s">
        <v>41127</v>
      </c>
      <c r="L88" s="401">
        <f>VLOOKUP(A88,'Consolidado-Eletronorte'!BN:BO,2,FALSE)</f>
      </c>
      <c r="M88" s="28" t="s">
        <v>41510</v>
      </c>
      <c r="N88" s="28" t="s">
        <v>41508</v>
      </c>
    </row>
    <row x14ac:dyDescent="0.25" r="89" customHeight="1" ht="18.75">
      <c r="A89" s="402" t="s">
        <v>41249</v>
      </c>
      <c r="B89" s="402" t="s">
        <v>41139</v>
      </c>
      <c r="C89" s="400" t="s">
        <v>40001</v>
      </c>
      <c r="D89" s="28" t="s">
        <v>39912</v>
      </c>
      <c r="E89" s="308">
        <v>2980204</v>
      </c>
      <c r="F89" s="308">
        <v>4000000</v>
      </c>
      <c r="G89" s="308">
        <v>2000000</v>
      </c>
      <c r="H89" s="308">
        <v>0</v>
      </c>
      <c r="I89" s="308">
        <v>0</v>
      </c>
      <c r="J89" s="308">
        <v>8980204</v>
      </c>
      <c r="K89" s="28" t="s">
        <v>39956</v>
      </c>
      <c r="L89" s="401">
        <f>VLOOKUP(A89,'Consolidado-Eletronorte'!BN:BO,2,FALSE)</f>
      </c>
      <c r="M89" s="28" t="s">
        <v>41511</v>
      </c>
      <c r="N89" s="28" t="s">
        <v>41508</v>
      </c>
    </row>
    <row x14ac:dyDescent="0.25" r="90" customHeight="1" ht="18.75">
      <c r="A90" s="399" t="s">
        <v>41281</v>
      </c>
      <c r="B90" s="399" t="s">
        <v>41139</v>
      </c>
      <c r="C90" s="400" t="s">
        <v>40030</v>
      </c>
      <c r="D90" s="28" t="s">
        <v>39912</v>
      </c>
      <c r="E90" s="308">
        <v>0</v>
      </c>
      <c r="F90" s="308">
        <v>2000000</v>
      </c>
      <c r="G90" s="308">
        <v>2500000</v>
      </c>
      <c r="H90" s="308">
        <v>1500000</v>
      </c>
      <c r="I90" s="308">
        <v>0</v>
      </c>
      <c r="J90" s="308">
        <v>6000000</v>
      </c>
      <c r="K90" s="28" t="s">
        <v>41127</v>
      </c>
      <c r="L90" s="401">
        <f>VLOOKUP(A90,'Consolidado-Eletronorte'!BN:BO,2,FALSE)</f>
      </c>
      <c r="M90" s="28" t="s">
        <v>41502</v>
      </c>
      <c r="N90" s="28" t="s">
        <v>41502</v>
      </c>
    </row>
    <row x14ac:dyDescent="0.25" r="91" customHeight="1" ht="18.75">
      <c r="A91" s="402" t="s">
        <v>41350</v>
      </c>
      <c r="B91" s="402" t="s">
        <v>41138</v>
      </c>
      <c r="C91" s="400" t="s">
        <v>40048</v>
      </c>
      <c r="D91" s="28" t="s">
        <v>39912</v>
      </c>
      <c r="E91" s="308">
        <v>0</v>
      </c>
      <c r="F91" s="308">
        <v>1000000</v>
      </c>
      <c r="G91" s="308">
        <v>3000000</v>
      </c>
      <c r="H91" s="308">
        <v>0</v>
      </c>
      <c r="I91" s="308">
        <v>0</v>
      </c>
      <c r="J91" s="308">
        <v>4000000</v>
      </c>
      <c r="K91" s="28" t="s">
        <v>39925</v>
      </c>
      <c r="L91" s="401">
        <f>VLOOKUP(A91,'Consolidado-Eletronorte'!BN:BO,2,FALSE)</f>
      </c>
      <c r="M91" s="28"/>
      <c r="N91" s="28"/>
    </row>
    <row x14ac:dyDescent="0.25" r="92" customHeight="1" ht="18.75">
      <c r="A92" s="399" t="s">
        <v>41275</v>
      </c>
      <c r="B92" s="399" t="s">
        <v>41138</v>
      </c>
      <c r="C92" s="400" t="s">
        <v>40123</v>
      </c>
      <c r="D92" s="28" t="s">
        <v>39912</v>
      </c>
      <c r="E92" s="308">
        <v>0</v>
      </c>
      <c r="F92" s="308">
        <v>1000000</v>
      </c>
      <c r="G92" s="308">
        <v>1000000</v>
      </c>
      <c r="H92" s="308">
        <v>500000</v>
      </c>
      <c r="I92" s="308">
        <v>0</v>
      </c>
      <c r="J92" s="308">
        <v>2500000</v>
      </c>
      <c r="K92" s="28" t="s">
        <v>39956</v>
      </c>
      <c r="L92" s="401">
        <f>VLOOKUP(A92,'Consolidado-Eletronorte'!BN:BO,2,FALSE)</f>
      </c>
      <c r="M92" s="28"/>
      <c r="N92" s="28"/>
    </row>
    <row x14ac:dyDescent="0.25" r="93" customHeight="1" ht="18.75">
      <c r="A93" s="402" t="s">
        <v>41352</v>
      </c>
      <c r="B93" s="402" t="s">
        <v>41137</v>
      </c>
      <c r="C93" s="400" t="s">
        <v>40188</v>
      </c>
      <c r="D93" s="28" t="s">
        <v>39912</v>
      </c>
      <c r="E93" s="308">
        <v>0</v>
      </c>
      <c r="F93" s="308">
        <v>1000000</v>
      </c>
      <c r="G93" s="308">
        <v>0</v>
      </c>
      <c r="H93" s="308">
        <v>0</v>
      </c>
      <c r="I93" s="308">
        <v>0</v>
      </c>
      <c r="J93" s="308">
        <v>1000000</v>
      </c>
      <c r="K93" s="28" t="s">
        <v>39925</v>
      </c>
      <c r="L93" s="401">
        <f>VLOOKUP(A93,'Consolidado-Eletronorte'!BN:BO,2,FALSE)</f>
      </c>
      <c r="M93" s="28"/>
      <c r="N93" s="28"/>
    </row>
    <row x14ac:dyDescent="0.25" r="94" customHeight="1" ht="18.75">
      <c r="A94" s="399" t="s">
        <v>41351</v>
      </c>
      <c r="B94" s="399" t="s">
        <v>41137</v>
      </c>
      <c r="C94" s="400" t="s">
        <v>40185</v>
      </c>
      <c r="D94" s="28" t="s">
        <v>39912</v>
      </c>
      <c r="E94" s="308">
        <v>0</v>
      </c>
      <c r="F94" s="308">
        <v>1000000</v>
      </c>
      <c r="G94" s="308">
        <v>0</v>
      </c>
      <c r="H94" s="308">
        <v>0</v>
      </c>
      <c r="I94" s="308">
        <v>0</v>
      </c>
      <c r="J94" s="308">
        <v>1000000</v>
      </c>
      <c r="K94" s="28" t="s">
        <v>39925</v>
      </c>
      <c r="L94" s="401">
        <f>VLOOKUP(A94,'Consolidado-Eletronorte'!BN:BO,2,FALSE)</f>
      </c>
      <c r="M94" s="28"/>
      <c r="N94" s="28"/>
    </row>
    <row x14ac:dyDescent="0.25" r="95" customHeight="1" ht="18.75">
      <c r="A95" s="402" t="s">
        <v>41264</v>
      </c>
      <c r="B95" s="402" t="s">
        <v>41137</v>
      </c>
      <c r="C95" s="400" t="s">
        <v>40211</v>
      </c>
      <c r="D95" s="28" t="s">
        <v>39912</v>
      </c>
      <c r="E95" s="308">
        <v>0</v>
      </c>
      <c r="F95" s="308">
        <v>900000</v>
      </c>
      <c r="G95" s="308">
        <v>0</v>
      </c>
      <c r="H95" s="308">
        <v>0</v>
      </c>
      <c r="I95" s="308">
        <v>0</v>
      </c>
      <c r="J95" s="308">
        <v>900000</v>
      </c>
      <c r="K95" s="28" t="s">
        <v>41132</v>
      </c>
      <c r="L95" s="401">
        <f>VLOOKUP(A95,'Consolidado-Eletronorte'!BN:BO,2,FALSE)</f>
      </c>
      <c r="M95" s="28"/>
      <c r="N95" s="28"/>
    </row>
    <row x14ac:dyDescent="0.25" r="96" customHeight="1" ht="18.75">
      <c r="A96" s="399" t="s">
        <v>41265</v>
      </c>
      <c r="B96" s="399" t="s">
        <v>41137</v>
      </c>
      <c r="C96" s="400" t="s">
        <v>40222</v>
      </c>
      <c r="D96" s="28" t="s">
        <v>39912</v>
      </c>
      <c r="E96" s="308">
        <v>0</v>
      </c>
      <c r="F96" s="308">
        <v>720000</v>
      </c>
      <c r="G96" s="308">
        <v>0</v>
      </c>
      <c r="H96" s="308">
        <v>0</v>
      </c>
      <c r="I96" s="308">
        <v>0</v>
      </c>
      <c r="J96" s="308">
        <v>720000</v>
      </c>
      <c r="K96" s="28" t="s">
        <v>41127</v>
      </c>
      <c r="L96" s="401">
        <f>VLOOKUP(A96,'Consolidado-Eletronorte'!BN:BO,2,FALSE)</f>
      </c>
      <c r="M96" s="28"/>
      <c r="N96" s="28"/>
    </row>
    <row x14ac:dyDescent="0.25" r="97" customHeight="1" ht="18.75">
      <c r="A97" s="402" t="s">
        <v>41282</v>
      </c>
      <c r="B97" s="402" t="s">
        <v>41139</v>
      </c>
      <c r="C97" s="400" t="s">
        <v>40033</v>
      </c>
      <c r="D97" s="28" t="s">
        <v>39912</v>
      </c>
      <c r="E97" s="308">
        <v>1000000</v>
      </c>
      <c r="F97" s="308">
        <v>2500000</v>
      </c>
      <c r="G97" s="308">
        <v>2500000</v>
      </c>
      <c r="H97" s="308">
        <v>0</v>
      </c>
      <c r="I97" s="308">
        <v>0</v>
      </c>
      <c r="J97" s="308">
        <v>6000000</v>
      </c>
      <c r="K97" s="28" t="s">
        <v>39925</v>
      </c>
      <c r="L97" s="401">
        <f>VLOOKUP(A97,'Consolidado-Eletronorte'!BN:BO,2,FALSE)</f>
      </c>
      <c r="M97" s="28" t="s">
        <v>41508</v>
      </c>
      <c r="N97" s="28" t="s">
        <v>41508</v>
      </c>
    </row>
    <row x14ac:dyDescent="0.25" r="98" customHeight="1" ht="18.75">
      <c r="A98" s="399" t="s">
        <v>41239</v>
      </c>
      <c r="B98" s="399" t="s">
        <v>41139</v>
      </c>
      <c r="C98" s="400" t="s">
        <v>39972</v>
      </c>
      <c r="D98" s="28" t="s">
        <v>39912</v>
      </c>
      <c r="E98" s="308">
        <v>2000000</v>
      </c>
      <c r="F98" s="308">
        <v>7400000</v>
      </c>
      <c r="G98" s="308">
        <v>4000000</v>
      </c>
      <c r="H98" s="308">
        <v>5000000</v>
      </c>
      <c r="I98" s="308">
        <v>0</v>
      </c>
      <c r="J98" s="308">
        <v>18400000</v>
      </c>
      <c r="K98" s="28" t="s">
        <v>41127</v>
      </c>
      <c r="L98" s="401">
        <f>VLOOKUP(A98,'Consolidado-Eletronorte'!BN:BO,2,FALSE)</f>
      </c>
      <c r="M98" s="28" t="s">
        <v>41508</v>
      </c>
      <c r="N98" s="28" t="s">
        <v>41508</v>
      </c>
    </row>
    <row x14ac:dyDescent="0.25" r="99" customHeight="1" ht="18.75">
      <c r="A99" s="402" t="s">
        <v>41287</v>
      </c>
      <c r="B99" s="402" t="s">
        <v>41137</v>
      </c>
      <c r="C99" s="403" t="s">
        <v>40225</v>
      </c>
      <c r="D99" s="28" t="s">
        <v>39912</v>
      </c>
      <c r="E99" s="308">
        <v>350000</v>
      </c>
      <c r="F99" s="308">
        <v>350000</v>
      </c>
      <c r="G99" s="308">
        <v>0</v>
      </c>
      <c r="H99" s="308">
        <v>0</v>
      </c>
      <c r="I99" s="308">
        <v>0</v>
      </c>
      <c r="J99" s="308">
        <v>700000</v>
      </c>
      <c r="K99" s="28" t="s">
        <v>39956</v>
      </c>
      <c r="L99" s="401">
        <f>VLOOKUP(A99,'Consolidado-Eletronorte'!BN:BO,2,FALSE)</f>
      </c>
      <c r="M99" s="28"/>
      <c r="N99" s="28"/>
    </row>
    <row x14ac:dyDescent="0.25" r="100" customHeight="1" ht="18.75">
      <c r="A100" s="399" t="s">
        <v>41295</v>
      </c>
      <c r="B100" s="399" t="s">
        <v>41137</v>
      </c>
      <c r="C100" s="400" t="s">
        <v>41453</v>
      </c>
      <c r="D100" s="28" t="s">
        <v>39912</v>
      </c>
      <c r="E100" s="308">
        <v>250000</v>
      </c>
      <c r="F100" s="308">
        <v>900000</v>
      </c>
      <c r="G100" s="308">
        <v>750000</v>
      </c>
      <c r="H100" s="308">
        <v>0</v>
      </c>
      <c r="I100" s="308">
        <v>0</v>
      </c>
      <c r="J100" s="308">
        <v>1900000</v>
      </c>
      <c r="K100" s="28" t="s">
        <v>39935</v>
      </c>
      <c r="L100" s="401">
        <f>VLOOKUP(A100,'Consolidado-Eletronorte'!BN:BO,2,FALSE)</f>
      </c>
      <c r="M100" s="28"/>
      <c r="N100" s="28"/>
    </row>
    <row x14ac:dyDescent="0.25" r="101" customHeight="1" ht="18.75">
      <c r="A101" s="402" t="s">
        <v>41262</v>
      </c>
      <c r="B101" s="402" t="s">
        <v>41138</v>
      </c>
      <c r="C101" s="400" t="s">
        <v>40074</v>
      </c>
      <c r="D101" s="28" t="s">
        <v>39912</v>
      </c>
      <c r="E101" s="308">
        <v>1800000</v>
      </c>
      <c r="F101" s="308">
        <v>557200</v>
      </c>
      <c r="G101" s="308">
        <v>0</v>
      </c>
      <c r="H101" s="308">
        <v>0</v>
      </c>
      <c r="I101" s="308">
        <v>0</v>
      </c>
      <c r="J101" s="308">
        <v>2357200</v>
      </c>
      <c r="K101" s="28" t="s">
        <v>41127</v>
      </c>
      <c r="L101" s="401">
        <f>VLOOKUP(A101,'Consolidado-Eletronorte'!BN:BO,2,FALSE)</f>
      </c>
      <c r="M101" s="28"/>
      <c r="N101" s="28"/>
    </row>
    <row x14ac:dyDescent="0.25" r="102" customHeight="1" ht="18.75">
      <c r="A102" s="399" t="s">
        <v>41297</v>
      </c>
      <c r="B102" s="399" t="s">
        <v>41137</v>
      </c>
      <c r="C102" s="400" t="s">
        <v>41460</v>
      </c>
      <c r="D102" s="28" t="s">
        <v>39912</v>
      </c>
      <c r="E102" s="308">
        <v>150000</v>
      </c>
      <c r="F102" s="308">
        <v>900000</v>
      </c>
      <c r="G102" s="308">
        <v>850000</v>
      </c>
      <c r="H102" s="308">
        <v>0</v>
      </c>
      <c r="I102" s="308">
        <v>0</v>
      </c>
      <c r="J102" s="308">
        <v>1900000</v>
      </c>
      <c r="K102" s="28" t="s">
        <v>39935</v>
      </c>
      <c r="L102" s="401">
        <f>VLOOKUP(A102,'Consolidado-Eletronorte'!BN:BO,2,FALSE)</f>
      </c>
      <c r="M102" s="28"/>
      <c r="N102" s="28"/>
    </row>
    <row x14ac:dyDescent="0.25" r="103" customHeight="1" ht="18.75">
      <c r="A103" s="402" t="s">
        <v>41300</v>
      </c>
      <c r="B103" s="402" t="s">
        <v>41137</v>
      </c>
      <c r="C103" s="400" t="s">
        <v>41457</v>
      </c>
      <c r="D103" s="28" t="s">
        <v>39912</v>
      </c>
      <c r="E103" s="308">
        <v>200000</v>
      </c>
      <c r="F103" s="308">
        <v>900000</v>
      </c>
      <c r="G103" s="308">
        <v>800000</v>
      </c>
      <c r="H103" s="308">
        <v>0</v>
      </c>
      <c r="I103" s="308">
        <v>0</v>
      </c>
      <c r="J103" s="308">
        <v>1900000</v>
      </c>
      <c r="K103" s="28" t="s">
        <v>41127</v>
      </c>
      <c r="L103" s="401">
        <f>VLOOKUP(A103,'Consolidado-Eletronorte'!BN:BO,2,FALSE)</f>
      </c>
      <c r="M103" s="28"/>
      <c r="N103" s="28"/>
    </row>
    <row x14ac:dyDescent="0.25" r="104" customHeight="1" ht="18.75">
      <c r="A104" s="399" t="s">
        <v>41263</v>
      </c>
      <c r="B104" s="399" t="s">
        <v>41137</v>
      </c>
      <c r="C104" s="400" t="s">
        <v>40120</v>
      </c>
      <c r="D104" s="28" t="s">
        <v>39912</v>
      </c>
      <c r="E104" s="308">
        <v>1680000</v>
      </c>
      <c r="F104" s="308">
        <v>0</v>
      </c>
      <c r="G104" s="308">
        <v>0</v>
      </c>
      <c r="H104" s="308">
        <v>0</v>
      </c>
      <c r="I104" s="308">
        <v>0</v>
      </c>
      <c r="J104" s="308">
        <v>1680000</v>
      </c>
      <c r="K104" s="28" t="s">
        <v>39956</v>
      </c>
      <c r="L104" s="401">
        <f>VLOOKUP(A104,'Consolidado-Eletronorte'!BN:BO,2,FALSE)</f>
      </c>
      <c r="M104" s="28"/>
      <c r="N104" s="28"/>
    </row>
    <row x14ac:dyDescent="0.25" r="105" customHeight="1" ht="18.75">
      <c r="A105" s="402" t="s">
        <v>41280</v>
      </c>
      <c r="B105" s="402" t="s">
        <v>41140</v>
      </c>
      <c r="C105" s="400" t="s">
        <v>39958</v>
      </c>
      <c r="D105" s="28" t="s">
        <v>39912</v>
      </c>
      <c r="E105" s="308">
        <v>0</v>
      </c>
      <c r="F105" s="308">
        <v>2000000</v>
      </c>
      <c r="G105" s="308">
        <v>9500000</v>
      </c>
      <c r="H105" s="308">
        <v>10000000</v>
      </c>
      <c r="I105" s="308">
        <v>0</v>
      </c>
      <c r="J105" s="308">
        <v>21500000</v>
      </c>
      <c r="K105" s="28" t="s">
        <v>39925</v>
      </c>
      <c r="L105" s="401">
        <f>VLOOKUP(A105,'Consolidado-Eletronorte'!BN:BO,2,FALSE)</f>
      </c>
      <c r="M105" s="28" t="s">
        <v>41508</v>
      </c>
      <c r="N105" s="28" t="s">
        <v>41508</v>
      </c>
    </row>
    <row x14ac:dyDescent="0.25" r="106" customHeight="1" ht="18.75">
      <c r="A106" s="399" t="s">
        <v>41349</v>
      </c>
      <c r="B106" s="399" t="s">
        <v>41139</v>
      </c>
      <c r="C106" s="403" t="s">
        <v>40021</v>
      </c>
      <c r="D106" s="28" t="s">
        <v>39912</v>
      </c>
      <c r="E106" s="308">
        <v>0</v>
      </c>
      <c r="F106" s="308">
        <v>3000000</v>
      </c>
      <c r="G106" s="308">
        <v>2500000</v>
      </c>
      <c r="H106" s="308">
        <v>0</v>
      </c>
      <c r="I106" s="308">
        <v>0</v>
      </c>
      <c r="J106" s="308">
        <v>5500000</v>
      </c>
      <c r="K106" s="28" t="s">
        <v>39925</v>
      </c>
      <c r="L106" s="401">
        <f>VLOOKUP(A106,'Consolidado-Eletronorte'!BN:BO,2,FALSE)</f>
      </c>
      <c r="M106" s="28" t="s">
        <v>41512</v>
      </c>
      <c r="N106" s="28" t="s">
        <v>41508</v>
      </c>
    </row>
    <row x14ac:dyDescent="0.25" r="107" customHeight="1" ht="18.75">
      <c r="A107" s="402" t="s">
        <v>41276</v>
      </c>
      <c r="B107" s="402" t="s">
        <v>41138</v>
      </c>
      <c r="C107" s="400" t="s">
        <v>40126</v>
      </c>
      <c r="D107" s="28" t="s">
        <v>39912</v>
      </c>
      <c r="E107" s="308">
        <v>0</v>
      </c>
      <c r="F107" s="308">
        <v>1000000</v>
      </c>
      <c r="G107" s="308">
        <v>1500000</v>
      </c>
      <c r="H107" s="308">
        <v>0</v>
      </c>
      <c r="I107" s="308">
        <v>0</v>
      </c>
      <c r="J107" s="308">
        <v>2500000</v>
      </c>
      <c r="K107" s="28" t="s">
        <v>39956</v>
      </c>
      <c r="L107" s="401">
        <f>VLOOKUP(A107,'Consolidado-Eletronorte'!BN:BO,2,FALSE)</f>
      </c>
      <c r="M107" s="28"/>
      <c r="N107" s="28"/>
    </row>
    <row x14ac:dyDescent="0.25" r="108" customHeight="1" ht="18.75">
      <c r="A108" s="399" t="s">
        <v>41269</v>
      </c>
      <c r="B108" s="399" t="s">
        <v>41137</v>
      </c>
      <c r="C108" s="403" t="s">
        <v>40144</v>
      </c>
      <c r="D108" s="28" t="s">
        <v>39912</v>
      </c>
      <c r="E108" s="308">
        <v>0</v>
      </c>
      <c r="F108" s="308">
        <v>650000</v>
      </c>
      <c r="G108" s="308">
        <v>750000</v>
      </c>
      <c r="H108" s="308">
        <v>0</v>
      </c>
      <c r="I108" s="308">
        <v>0</v>
      </c>
      <c r="J108" s="308">
        <v>1400000</v>
      </c>
      <c r="K108" s="28" t="s">
        <v>39925</v>
      </c>
      <c r="L108" s="401">
        <f>VLOOKUP(A108,'Consolidado-Eletronorte'!BN:BO,2,FALSE)</f>
      </c>
      <c r="M108" s="28"/>
      <c r="N108" s="28"/>
    </row>
    <row x14ac:dyDescent="0.25" r="109" customHeight="1" ht="18.75">
      <c r="A109" s="402" t="s">
        <v>41266</v>
      </c>
      <c r="B109" s="402" t="s">
        <v>41137</v>
      </c>
      <c r="C109" s="400" t="s">
        <v>40148</v>
      </c>
      <c r="D109" s="28" t="s">
        <v>39912</v>
      </c>
      <c r="E109" s="308">
        <v>0</v>
      </c>
      <c r="F109" s="308">
        <v>695254.2</v>
      </c>
      <c r="G109" s="308">
        <v>695254.2</v>
      </c>
      <c r="H109" s="308">
        <v>0</v>
      </c>
      <c r="I109" s="308">
        <v>0</v>
      </c>
      <c r="J109" s="308">
        <v>1390508.4</v>
      </c>
      <c r="K109" s="28" t="s">
        <v>39956</v>
      </c>
      <c r="L109" s="401">
        <f>VLOOKUP(A109,'Consolidado-Eletronorte'!BN:BO,2,FALSE)</f>
      </c>
      <c r="M109" s="28"/>
      <c r="N109" s="28"/>
    </row>
    <row x14ac:dyDescent="0.25" r="110" customHeight="1" ht="18.75">
      <c r="A110" s="399" t="s">
        <v>41261</v>
      </c>
      <c r="B110" s="399" t="s">
        <v>41137</v>
      </c>
      <c r="C110" s="400" t="s">
        <v>40196</v>
      </c>
      <c r="D110" s="28" t="s">
        <v>39912</v>
      </c>
      <c r="E110" s="308">
        <v>0</v>
      </c>
      <c r="F110" s="308">
        <v>951000</v>
      </c>
      <c r="G110" s="308">
        <v>0</v>
      </c>
      <c r="H110" s="308">
        <v>0</v>
      </c>
      <c r="I110" s="308">
        <v>0</v>
      </c>
      <c r="J110" s="308">
        <v>951000</v>
      </c>
      <c r="K110" s="28" t="s">
        <v>39925</v>
      </c>
      <c r="L110" s="401">
        <f>VLOOKUP(A110,'Consolidado-Eletronorte'!BN:BO,2,FALSE)</f>
      </c>
      <c r="M110" s="28"/>
      <c r="N110" s="28"/>
    </row>
    <row x14ac:dyDescent="0.25" r="111" customHeight="1" ht="18.75">
      <c r="A111" s="402" t="s">
        <v>41286</v>
      </c>
      <c r="B111" s="402" t="s">
        <v>41137</v>
      </c>
      <c r="C111" s="400" t="s">
        <v>40209</v>
      </c>
      <c r="D111" s="28" t="s">
        <v>39912</v>
      </c>
      <c r="E111" s="308">
        <v>0</v>
      </c>
      <c r="F111" s="308">
        <v>450280</v>
      </c>
      <c r="G111" s="308">
        <v>450280</v>
      </c>
      <c r="H111" s="308">
        <v>0</v>
      </c>
      <c r="I111" s="308">
        <v>0</v>
      </c>
      <c r="J111" s="308">
        <v>900560</v>
      </c>
      <c r="K111" s="28" t="s">
        <v>39925</v>
      </c>
      <c r="L111" s="401">
        <f>VLOOKUP(A111,'Consolidado-Eletronorte'!BN:BO,2,FALSE)</f>
      </c>
      <c r="M111" s="28"/>
      <c r="N111" s="28"/>
    </row>
    <row x14ac:dyDescent="0.25" r="112" customHeight="1" ht="18.75">
      <c r="A112" s="399" t="s">
        <v>41291</v>
      </c>
      <c r="B112" s="399" t="s">
        <v>41137</v>
      </c>
      <c r="C112" s="400" t="s">
        <v>40182</v>
      </c>
      <c r="D112" s="28" t="s">
        <v>39912</v>
      </c>
      <c r="E112" s="308">
        <v>1500000</v>
      </c>
      <c r="F112" s="308">
        <v>500000</v>
      </c>
      <c r="G112" s="308">
        <v>0</v>
      </c>
      <c r="H112" s="308">
        <v>0</v>
      </c>
      <c r="I112" s="308">
        <v>0</v>
      </c>
      <c r="J112" s="308">
        <v>2000000</v>
      </c>
      <c r="K112" s="28" t="s">
        <v>41127</v>
      </c>
      <c r="L112" s="401">
        <f>VLOOKUP(A112,'Consolidado-Eletronorte'!BN:BO,2,FALSE)</f>
      </c>
      <c r="M112" s="28"/>
      <c r="N112" s="28"/>
    </row>
    <row x14ac:dyDescent="0.25" r="113" customHeight="1" ht="18.75">
      <c r="A113" s="402" t="s">
        <v>41292</v>
      </c>
      <c r="B113" s="402" t="s">
        <v>41137</v>
      </c>
      <c r="C113" s="400" t="s">
        <v>40240</v>
      </c>
      <c r="D113" s="28" t="s">
        <v>39912</v>
      </c>
      <c r="E113" s="308">
        <v>1500000</v>
      </c>
      <c r="F113" s="308">
        <v>0</v>
      </c>
      <c r="G113" s="308">
        <v>0</v>
      </c>
      <c r="H113" s="308">
        <v>0</v>
      </c>
      <c r="I113" s="308">
        <v>0</v>
      </c>
      <c r="J113" s="308">
        <v>1500000</v>
      </c>
      <c r="K113" s="28" t="s">
        <v>41127</v>
      </c>
      <c r="L113" s="401">
        <f>VLOOKUP(A113,'Consolidado-Eletronorte'!BN:BO,2,FALSE)</f>
      </c>
      <c r="M113" s="28"/>
      <c r="N113" s="28"/>
    </row>
    <row x14ac:dyDescent="0.25" r="114" customHeight="1" ht="18.75">
      <c r="A114" s="399" t="s">
        <v>41279</v>
      </c>
      <c r="B114" s="399" t="s">
        <v>41137</v>
      </c>
      <c r="C114" s="400" t="s">
        <v>40165</v>
      </c>
      <c r="D114" s="28" t="s">
        <v>39912</v>
      </c>
      <c r="E114" s="308">
        <v>1000000</v>
      </c>
      <c r="F114" s="308">
        <v>0</v>
      </c>
      <c r="G114" s="308">
        <v>0</v>
      </c>
      <c r="H114" s="308">
        <v>0</v>
      </c>
      <c r="I114" s="308">
        <v>0</v>
      </c>
      <c r="J114" s="308">
        <v>1000000</v>
      </c>
      <c r="K114" s="28" t="s">
        <v>39956</v>
      </c>
      <c r="L114" s="401">
        <f>VLOOKUP(A114,'Consolidado-Eletronorte'!BN:BO,2,FALSE)</f>
      </c>
      <c r="M114" s="28"/>
      <c r="N114" s="28"/>
    </row>
    <row x14ac:dyDescent="0.25" r="115" customHeight="1" ht="18.75">
      <c r="A115" s="402" t="s">
        <v>41278</v>
      </c>
      <c r="B115" s="402" t="s">
        <v>41138</v>
      </c>
      <c r="C115" s="400" t="s">
        <v>40169</v>
      </c>
      <c r="D115" s="28" t="s">
        <v>39912</v>
      </c>
      <c r="E115" s="308">
        <v>1000000</v>
      </c>
      <c r="F115" s="308">
        <v>3000000</v>
      </c>
      <c r="G115" s="308">
        <v>0</v>
      </c>
      <c r="H115" s="308">
        <v>0</v>
      </c>
      <c r="I115" s="308">
        <v>0</v>
      </c>
      <c r="J115" s="308">
        <v>4000000</v>
      </c>
      <c r="K115" s="28" t="s">
        <v>39956</v>
      </c>
      <c r="L115" s="401">
        <f>VLOOKUP(A115,'Consolidado-Eletronorte'!BN:BO,2,FALSE)</f>
      </c>
      <c r="M115" s="28"/>
      <c r="N115" s="28"/>
    </row>
    <row x14ac:dyDescent="0.25" r="116" customHeight="1" ht="18.75">
      <c r="A116" s="399" t="s">
        <v>41277</v>
      </c>
      <c r="B116" s="399" t="s">
        <v>41138</v>
      </c>
      <c r="C116" s="400" t="s">
        <v>40134</v>
      </c>
      <c r="D116" s="28" t="s">
        <v>39912</v>
      </c>
      <c r="E116" s="308">
        <v>1000000</v>
      </c>
      <c r="F116" s="308">
        <v>1000000</v>
      </c>
      <c r="G116" s="308">
        <v>1000000</v>
      </c>
      <c r="H116" s="308">
        <v>0</v>
      </c>
      <c r="I116" s="308">
        <v>0</v>
      </c>
      <c r="J116" s="308">
        <v>3000000</v>
      </c>
      <c r="K116" s="28" t="s">
        <v>41127</v>
      </c>
      <c r="L116" s="401">
        <f>VLOOKUP(A116,'Consolidado-Eletronorte'!BN:BO,2,FALSE)</f>
      </c>
      <c r="M116" s="28"/>
      <c r="N116" s="28"/>
    </row>
    <row x14ac:dyDescent="0.25" r="117" customHeight="1" ht="18.75">
      <c r="A117" s="402" t="s">
        <v>41294</v>
      </c>
      <c r="B117" s="402" t="s">
        <v>41136</v>
      </c>
      <c r="C117" s="400" t="s">
        <v>40247</v>
      </c>
      <c r="D117" s="28" t="s">
        <v>39912</v>
      </c>
      <c r="E117" s="308">
        <v>500000</v>
      </c>
      <c r="F117" s="308">
        <v>0</v>
      </c>
      <c r="G117" s="308">
        <v>0</v>
      </c>
      <c r="H117" s="308">
        <v>0</v>
      </c>
      <c r="I117" s="308">
        <v>0</v>
      </c>
      <c r="J117" s="308">
        <v>500000</v>
      </c>
      <c r="K117" s="28" t="s">
        <v>41127</v>
      </c>
      <c r="L117" s="401">
        <f>VLOOKUP(A117,'Consolidado-Eletronorte'!BN:BO,2,FALSE)</f>
      </c>
      <c r="M117" s="28"/>
      <c r="N117" s="28"/>
    </row>
    <row x14ac:dyDescent="0.25" r="118" customHeight="1" ht="18.75">
      <c r="A118" s="399" t="s">
        <v>41293</v>
      </c>
      <c r="B118" s="399" t="s">
        <v>41136</v>
      </c>
      <c r="C118" s="400" t="s">
        <v>40243</v>
      </c>
      <c r="D118" s="28" t="s">
        <v>39912</v>
      </c>
      <c r="E118" s="308">
        <v>500000</v>
      </c>
      <c r="F118" s="308">
        <v>0</v>
      </c>
      <c r="G118" s="308">
        <v>0</v>
      </c>
      <c r="H118" s="308">
        <v>0</v>
      </c>
      <c r="I118" s="308">
        <v>0</v>
      </c>
      <c r="J118" s="308">
        <v>500000</v>
      </c>
      <c r="K118" s="28" t="s">
        <v>41127</v>
      </c>
      <c r="L118" s="401">
        <f>VLOOKUP(A118,'Consolidado-Eletronorte'!BN:BO,2,FALSE)</f>
      </c>
      <c r="M118" s="28"/>
      <c r="N118" s="28"/>
    </row>
    <row x14ac:dyDescent="0.25" r="119" customHeight="1" ht="18.75">
      <c r="A119" s="402" t="s">
        <v>41302</v>
      </c>
      <c r="B119" s="402" t="s">
        <v>41136</v>
      </c>
      <c r="C119" s="400" t="s">
        <v>40337</v>
      </c>
      <c r="D119" s="28" t="s">
        <v>39912</v>
      </c>
      <c r="E119" s="308">
        <v>223686</v>
      </c>
      <c r="F119" s="308">
        <v>0</v>
      </c>
      <c r="G119" s="308">
        <v>0</v>
      </c>
      <c r="H119" s="308">
        <v>0</v>
      </c>
      <c r="I119" s="308">
        <v>0</v>
      </c>
      <c r="J119" s="308">
        <v>223686</v>
      </c>
      <c r="K119" s="28" t="s">
        <v>39935</v>
      </c>
      <c r="L119" s="401">
        <f>VLOOKUP(A119,'Consolidado-Eletronorte'!BN:BO,2,FALSE)</f>
      </c>
      <c r="M119" s="28"/>
      <c r="N119" s="28"/>
    </row>
    <row x14ac:dyDescent="0.25" r="120" customHeight="1" ht="18.75">
      <c r="A120" s="399" t="s">
        <v>41306</v>
      </c>
      <c r="B120" s="399" t="s">
        <v>41136</v>
      </c>
      <c r="C120" s="400" t="s">
        <v>40200</v>
      </c>
      <c r="D120" s="28" t="s">
        <v>38359</v>
      </c>
      <c r="E120" s="308">
        <v>53000</v>
      </c>
      <c r="F120" s="308">
        <v>0</v>
      </c>
      <c r="G120" s="308">
        <v>0</v>
      </c>
      <c r="H120" s="308">
        <v>0</v>
      </c>
      <c r="I120" s="308">
        <v>0</v>
      </c>
      <c r="J120" s="308">
        <v>53000</v>
      </c>
      <c r="K120" s="28" t="s">
        <v>40018</v>
      </c>
      <c r="L120" s="401">
        <f>VLOOKUP(A120,'Consolidado-Eletronorte'!BN:BO,2,FALSE)</f>
      </c>
      <c r="M120" s="28"/>
      <c r="N120" s="28"/>
    </row>
    <row x14ac:dyDescent="0.25" r="121" customHeight="1" ht="18.75">
      <c r="A121" s="402" t="s">
        <v>41250</v>
      </c>
      <c r="B121" s="402" t="s">
        <v>41136</v>
      </c>
      <c r="C121" s="400" t="s">
        <v>40069</v>
      </c>
      <c r="D121" s="28" t="s">
        <v>39912</v>
      </c>
      <c r="E121" s="308">
        <v>0</v>
      </c>
      <c r="F121" s="308">
        <v>0</v>
      </c>
      <c r="G121" s="308">
        <v>0</v>
      </c>
      <c r="H121" s="308">
        <v>0</v>
      </c>
      <c r="I121" s="308">
        <v>0</v>
      </c>
      <c r="J121" s="308">
        <v>0</v>
      </c>
      <c r="K121" s="28" t="s">
        <v>41132</v>
      </c>
      <c r="L121" s="401">
        <f>VLOOKUP(A121,'Consolidado-Eletronorte'!BN:BO,2,FALSE)</f>
      </c>
      <c r="M121" s="28"/>
      <c r="N121" s="28"/>
    </row>
    <row x14ac:dyDescent="0.25" r="122" customHeight="1" ht="18.75">
      <c r="A122" s="399" t="s">
        <v>41301</v>
      </c>
      <c r="B122" s="399" t="s">
        <v>41137</v>
      </c>
      <c r="C122" s="400" t="s">
        <v>41227</v>
      </c>
      <c r="D122" s="28" t="s">
        <v>39912</v>
      </c>
      <c r="E122" s="308">
        <v>0</v>
      </c>
      <c r="F122" s="308">
        <v>1000000</v>
      </c>
      <c r="G122" s="308">
        <v>1000000</v>
      </c>
      <c r="H122" s="308">
        <v>0</v>
      </c>
      <c r="I122" s="308">
        <v>0</v>
      </c>
      <c r="J122" s="308">
        <v>2000000</v>
      </c>
      <c r="K122" s="28" t="s">
        <v>41127</v>
      </c>
      <c r="L122" s="401">
        <f>VLOOKUP(A122,'Consolidado-Eletronorte'!BN:BO,2,FALSE)</f>
      </c>
      <c r="M122" s="28"/>
      <c r="N122" s="28"/>
    </row>
    <row x14ac:dyDescent="0.25" r="123" customHeight="1" ht="18.75">
      <c r="A123" s="402" t="s">
        <v>41273</v>
      </c>
      <c r="B123" s="402" t="s">
        <v>41137</v>
      </c>
      <c r="C123" s="400" t="s">
        <v>41226</v>
      </c>
      <c r="D123" s="28" t="s">
        <v>39912</v>
      </c>
      <c r="E123" s="308">
        <v>0</v>
      </c>
      <c r="F123" s="308">
        <v>897510</v>
      </c>
      <c r="G123" s="308">
        <v>0</v>
      </c>
      <c r="H123" s="308">
        <v>0</v>
      </c>
      <c r="I123" s="308">
        <v>0</v>
      </c>
      <c r="J123" s="308">
        <v>897510</v>
      </c>
      <c r="K123" s="28" t="s">
        <v>41127</v>
      </c>
      <c r="L123" s="401">
        <f>VLOOKUP(A123,'Consolidado-Eletronorte'!BN:BO,2,FALSE)</f>
      </c>
      <c r="M123" s="28"/>
      <c r="N123" s="28"/>
    </row>
    <row x14ac:dyDescent="0.25" r="124" customHeight="1" ht="18.75">
      <c r="A124" s="399" t="s">
        <v>41235</v>
      </c>
      <c r="B124" s="399" t="s">
        <v>41140</v>
      </c>
      <c r="C124" s="400" t="s">
        <v>39933</v>
      </c>
      <c r="D124" s="28" t="s">
        <v>39912</v>
      </c>
      <c r="E124" s="308">
        <v>0</v>
      </c>
      <c r="F124" s="308">
        <v>16000000</v>
      </c>
      <c r="G124" s="308">
        <v>16000000</v>
      </c>
      <c r="H124" s="308">
        <v>16000000</v>
      </c>
      <c r="I124" s="308">
        <v>0</v>
      </c>
      <c r="J124" s="308">
        <v>48000000</v>
      </c>
      <c r="K124" s="28" t="s">
        <v>39935</v>
      </c>
      <c r="L124" s="401">
        <f>VLOOKUP(A124,'Consolidado-Eletronorte'!BN:BO,2,FALSE)</f>
      </c>
      <c r="M124" s="28" t="s">
        <v>41508</v>
      </c>
      <c r="N124" s="28" t="s">
        <v>41508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V169"/>
  <sheetViews>
    <sheetView workbookViewId="0" tabSelected="1"/>
  </sheetViews>
  <sheetFormatPr defaultRowHeight="15" x14ac:dyDescent="0.25"/>
  <cols>
    <col min="1" max="1" style="23" width="16.433571428571426" customWidth="1" bestFit="1"/>
    <col min="2" max="2" style="15" width="13.43357142857143" customWidth="1" bestFit="1"/>
    <col min="3" max="3" style="15" width="29.719285714285714" customWidth="1" bestFit="1"/>
    <col min="4" max="4" style="15" width="8.005" customWidth="1" bestFit="1"/>
    <col min="5" max="5" style="15" width="13.576428571428572" customWidth="1" bestFit="1" hidden="1"/>
    <col min="6" max="6" style="15" width="13.576428571428572" customWidth="1" bestFit="1" hidden="1"/>
    <col min="7" max="7" style="15" width="13.576428571428572" customWidth="1" bestFit="1" hidden="1"/>
    <col min="8" max="8" style="15" width="13.576428571428572" customWidth="1" bestFit="1" hidden="1"/>
    <col min="9" max="9" style="15" width="10.576428571428572" customWidth="1" bestFit="1"/>
    <col min="10" max="10" style="15" width="16.576428571428572" customWidth="1" bestFit="1"/>
    <col min="11" max="11" style="23" width="21.005" customWidth="1" bestFit="1"/>
    <col min="12" max="12" style="15" width="13.719285714285713" customWidth="1" bestFit="1"/>
    <col min="13" max="13" style="15" width="17.14785714285714" customWidth="1" bestFit="1"/>
    <col min="14" max="14" style="15" width="18.290714285714284" customWidth="1" bestFit="1"/>
    <col min="15" max="15" style="15" width="14.862142857142858" customWidth="1" bestFit="1"/>
    <col min="16" max="16" style="23" width="16.719285714285714" customWidth="1" bestFit="1"/>
    <col min="17" max="17" style="15" width="16.719285714285714" customWidth="1" bestFit="1"/>
    <col min="18" max="18" style="15" width="75.57642857142856" customWidth="1" bestFit="1"/>
    <col min="19" max="19" style="15" width="16.719285714285714" customWidth="1" bestFit="1"/>
    <col min="20" max="20" style="15" width="12.290714285714287" customWidth="1" bestFit="1"/>
    <col min="21" max="21" style="15" width="11.43357142857143" customWidth="1" bestFit="1"/>
    <col min="22" max="22" style="15" width="12.147857142857141" customWidth="1" bestFit="1"/>
    <col min="23" max="23" style="15" width="12.147857142857141" customWidth="1" bestFit="1"/>
    <col min="24" max="24" style="15" width="23.14785714285714" customWidth="1" bestFit="1"/>
    <col min="25" max="25" style="23" width="12.147857142857141" customWidth="1" bestFit="1"/>
    <col min="26" max="26" style="127" width="14.43357142857143" customWidth="1" bestFit="1"/>
    <col min="27" max="27" style="23" width="16.005" customWidth="1" bestFit="1"/>
    <col min="28" max="28" style="127" width="16.14785714285714" customWidth="1" bestFit="1"/>
    <col min="29" max="29" style="23" width="10.862142857142858" customWidth="1" bestFit="1"/>
    <col min="30" max="30" style="127" width="14.719285714285713" customWidth="1" bestFit="1"/>
    <col min="31" max="31" style="15" width="28.433571428571426" customWidth="1" bestFit="1"/>
    <col min="32" max="32" style="15" width="28.433571428571426" customWidth="1" bestFit="1"/>
    <col min="33" max="33" style="15" width="77.005" customWidth="1" bestFit="1"/>
    <col min="34" max="34" style="15" width="11.43357142857143" customWidth="1" bestFit="1"/>
    <col min="35" max="35" style="126" width="19.433571428571426" customWidth="1" bestFit="1"/>
    <col min="36" max="36" style="126" width="16.005" customWidth="1" bestFit="1"/>
    <col min="37" max="37" style="126" width="14.862142857142858" customWidth="1" bestFit="1"/>
    <col min="38" max="38" style="126" width="12.290714285714287" customWidth="1" bestFit="1"/>
    <col min="39" max="39" style="126" width="12.290714285714287" customWidth="1" bestFit="1"/>
    <col min="40" max="40" style="126" width="15.290714285714287" customWidth="1" bestFit="1"/>
    <col min="41" max="41" style="126" width="17.862142857142857" customWidth="1" bestFit="1"/>
    <col min="42" max="42" style="126" width="17.862142857142857" customWidth="1" bestFit="1"/>
    <col min="43" max="43" style="126" width="15.005" customWidth="1" bestFit="1"/>
    <col min="44" max="44" style="126" width="17.862142857142857" customWidth="1" bestFit="1"/>
    <col min="45" max="45" style="126" width="17.862142857142857" customWidth="1" bestFit="1"/>
    <col min="46" max="46" style="126" width="15.43357142857143" customWidth="1" bestFit="1"/>
    <col min="47" max="47" style="126" width="18.005" customWidth="1" bestFit="1"/>
    <col min="48" max="48" style="126" width="17.290714285714284" customWidth="1" bestFit="1"/>
    <col min="49" max="49" style="126" width="14.290714285714287" customWidth="1" bestFit="1"/>
    <col min="50" max="50" style="126" width="15.719285714285713" customWidth="1" bestFit="1"/>
    <col min="51" max="51" style="126" width="13.147857142857141" customWidth="1" bestFit="1"/>
    <col min="52" max="52" style="126" width="16.14785714285714" customWidth="1" bestFit="1"/>
    <col min="53" max="53" style="126" width="13.576428571428572" customWidth="1" bestFit="1" hidden="1"/>
    <col min="54" max="54" style="126" width="13.576428571428572" customWidth="1" bestFit="1" hidden="1"/>
    <col min="55" max="55" style="126" width="13.576428571428572" customWidth="1" bestFit="1" hidden="1"/>
    <col min="56" max="56" style="126" width="13.576428571428572" customWidth="1" bestFit="1" hidden="1"/>
    <col min="57" max="57" style="126" width="13.576428571428572" customWidth="1" bestFit="1" hidden="1"/>
    <col min="58" max="58" style="126" width="13.576428571428572" customWidth="1" bestFit="1" hidden="1"/>
    <col min="59" max="59" style="15" width="13.576428571428572" customWidth="1" bestFit="1" hidden="1"/>
    <col min="60" max="60" style="15" width="13.576428571428572" customWidth="1" bestFit="1" hidden="1"/>
    <col min="61" max="61" style="15" width="13.576428571428572" customWidth="1" bestFit="1" hidden="1"/>
    <col min="62" max="62" style="15" width="16.576428571428572" customWidth="1" bestFit="1"/>
    <col min="63" max="63" style="23" width="16.14785714285714" customWidth="1" bestFit="1"/>
    <col min="64" max="64" style="15" width="25.719285714285714" customWidth="1" bestFit="1"/>
    <col min="65" max="65" style="23" width="15.719285714285713" customWidth="1" bestFit="1"/>
    <col min="66" max="66" style="15" width="16.719285714285714" customWidth="1" bestFit="1"/>
    <col min="67" max="67" style="15" width="22.14785714285714" customWidth="1" bestFit="1"/>
    <col min="68" max="68" style="15" width="37.005" customWidth="1" bestFit="1"/>
    <col min="69" max="69" style="15" width="18.005" customWidth="1" bestFit="1"/>
    <col min="70" max="70" style="127" width="20.290714285714284" customWidth="1" bestFit="1"/>
    <col min="71" max="71" style="15" width="18.862142857142857" customWidth="1" bestFit="1"/>
    <col min="72" max="72" style="15" width="16.719285714285714" customWidth="1" bestFit="1"/>
    <col min="73" max="73" style="127" width="28.862142857142857" customWidth="1" bestFit="1"/>
    <col min="74" max="74" style="127" width="13.576428571428572" customWidth="1" bestFit="1"/>
  </cols>
  <sheetData>
    <row x14ac:dyDescent="0.25" r="1" customHeight="1" ht="19.5">
      <c r="A1" s="17"/>
      <c r="B1" s="1"/>
      <c r="C1" s="1"/>
      <c r="D1" s="1"/>
      <c r="E1" s="1"/>
      <c r="F1" s="1"/>
      <c r="G1" s="1"/>
      <c r="H1" s="1"/>
      <c r="I1" s="1"/>
      <c r="J1" s="1"/>
      <c r="K1" s="17"/>
      <c r="L1" s="1"/>
      <c r="M1" s="1"/>
      <c r="N1" s="1"/>
      <c r="O1" s="1"/>
      <c r="P1" s="17"/>
      <c r="Q1" s="1"/>
      <c r="R1" s="13"/>
      <c r="S1" s="1"/>
      <c r="T1" s="13"/>
      <c r="U1" s="13"/>
      <c r="V1" s="13"/>
      <c r="W1" s="13"/>
      <c r="X1" s="13"/>
      <c r="Y1" s="128"/>
      <c r="Z1" s="228"/>
      <c r="AA1" s="128"/>
      <c r="AB1" s="228"/>
      <c r="AC1" s="128"/>
      <c r="AD1" s="228"/>
      <c r="AE1" s="13"/>
      <c r="AF1" s="13"/>
      <c r="AG1" s="13"/>
      <c r="AH1" s="13"/>
      <c r="AI1" s="38"/>
      <c r="AJ1" s="38"/>
      <c r="AK1" s="38"/>
      <c r="AL1" s="38"/>
      <c r="AM1" s="38"/>
      <c r="AN1" s="38"/>
      <c r="AO1" s="38"/>
      <c r="AP1" s="38"/>
      <c r="AQ1" s="38"/>
      <c r="AR1" s="38"/>
      <c r="AS1" s="38"/>
      <c r="AT1" s="38"/>
      <c r="AU1" s="38"/>
      <c r="AV1" s="38"/>
      <c r="AW1" s="38"/>
      <c r="AX1" s="38"/>
      <c r="AY1" s="38"/>
      <c r="AZ1" s="38"/>
      <c r="BA1" s="38"/>
      <c r="BB1" s="38"/>
      <c r="BC1" s="38"/>
      <c r="BD1" s="38"/>
      <c r="BE1" s="38"/>
      <c r="BF1" s="38"/>
      <c r="BG1" s="1"/>
      <c r="BH1" s="1"/>
      <c r="BI1" s="1"/>
      <c r="BJ1" s="1"/>
      <c r="BK1" s="17"/>
      <c r="BL1" s="1"/>
      <c r="BM1" s="17"/>
      <c r="BN1" s="1"/>
      <c r="BO1" s="1"/>
      <c r="BP1" s="1"/>
      <c r="BQ1" s="1"/>
      <c r="BR1" s="40"/>
      <c r="BS1" s="1"/>
      <c r="BT1" s="1"/>
      <c r="BU1" s="40"/>
      <c r="BV1" s="40"/>
    </row>
    <row x14ac:dyDescent="0.25" r="2" customHeight="1" ht="19.5">
      <c r="A2" s="17"/>
      <c r="B2" s="1"/>
      <c r="C2" s="1"/>
      <c r="D2" s="1"/>
      <c r="E2" s="1"/>
      <c r="F2" s="1"/>
      <c r="G2" s="1"/>
      <c r="H2" s="1"/>
      <c r="I2" s="1"/>
      <c r="J2" s="1"/>
      <c r="K2" s="17"/>
      <c r="L2" s="1"/>
      <c r="M2" s="1"/>
      <c r="N2" s="1"/>
      <c r="O2" s="1"/>
      <c r="P2" s="17"/>
      <c r="Q2" s="1"/>
      <c r="R2" s="13"/>
      <c r="S2" s="1"/>
      <c r="T2" s="13"/>
      <c r="U2" s="13"/>
      <c r="V2" s="13"/>
      <c r="W2" s="13"/>
      <c r="X2" s="13"/>
      <c r="Y2" s="128"/>
      <c r="Z2" s="228"/>
      <c r="AA2" s="128"/>
      <c r="AB2" s="228"/>
      <c r="AC2" s="128"/>
      <c r="AD2" s="228"/>
      <c r="AE2" s="13"/>
      <c r="AF2" s="13"/>
      <c r="AG2" s="13"/>
      <c r="AH2" s="13"/>
      <c r="AI2" s="38"/>
      <c r="AJ2" s="38"/>
      <c r="AK2" s="38"/>
      <c r="AL2" s="38"/>
      <c r="AM2" s="38"/>
      <c r="AN2" s="38"/>
      <c r="AO2" s="38"/>
      <c r="AP2" s="38"/>
      <c r="AQ2" s="38"/>
      <c r="AR2" s="38"/>
      <c r="AS2" s="38"/>
      <c r="AT2" s="38"/>
      <c r="AU2" s="38"/>
      <c r="AV2" s="38"/>
      <c r="AW2" s="38"/>
      <c r="AX2" s="38"/>
      <c r="AY2" s="38"/>
      <c r="AZ2" s="38"/>
      <c r="BA2" s="38"/>
      <c r="BB2" s="38"/>
      <c r="BC2" s="38"/>
      <c r="BD2" s="38"/>
      <c r="BE2" s="38"/>
      <c r="BF2" s="38"/>
      <c r="BG2" s="1"/>
      <c r="BH2" s="1"/>
      <c r="BI2" s="1"/>
      <c r="BJ2" s="1"/>
      <c r="BK2" s="17"/>
      <c r="BL2" s="1"/>
      <c r="BM2" s="17"/>
      <c r="BN2" s="1"/>
      <c r="BO2" s="1"/>
      <c r="BP2" s="1"/>
      <c r="BQ2" s="1"/>
      <c r="BR2" s="40"/>
      <c r="BS2" s="1"/>
      <c r="BT2" s="1"/>
      <c r="BU2" s="40"/>
      <c r="BV2" s="40"/>
    </row>
    <row x14ac:dyDescent="0.25" r="3" customHeight="1" ht="19.5">
      <c r="A3" s="17"/>
      <c r="B3" s="1"/>
      <c r="C3" s="1"/>
      <c r="D3" s="1"/>
      <c r="E3" s="1"/>
      <c r="F3" s="1"/>
      <c r="G3" s="1"/>
      <c r="H3" s="1"/>
      <c r="I3" s="1"/>
      <c r="J3" s="1"/>
      <c r="K3" s="17"/>
      <c r="L3" s="1"/>
      <c r="M3" s="1"/>
      <c r="N3" s="1"/>
      <c r="O3" s="1"/>
      <c r="P3" s="17"/>
      <c r="Q3" s="1"/>
      <c r="R3" s="13"/>
      <c r="S3" s="1"/>
      <c r="T3" s="13"/>
      <c r="U3" s="13"/>
      <c r="V3" s="13"/>
      <c r="W3" s="13"/>
      <c r="X3" s="13"/>
      <c r="Y3" s="128"/>
      <c r="Z3" s="228"/>
      <c r="AA3" s="128"/>
      <c r="AB3" s="228"/>
      <c r="AC3" s="128"/>
      <c r="AD3" s="228"/>
      <c r="AE3" s="13"/>
      <c r="AF3" s="13"/>
      <c r="AG3" s="114"/>
      <c r="AH3" s="114"/>
      <c r="AI3" s="114"/>
      <c r="AJ3" s="114"/>
      <c r="AK3" s="38"/>
      <c r="AL3" s="38"/>
      <c r="AM3" s="38"/>
      <c r="AN3" s="38"/>
      <c r="AO3" s="38"/>
      <c r="AP3" s="38"/>
      <c r="AQ3" s="38"/>
      <c r="AR3" s="38"/>
      <c r="AS3" s="38"/>
      <c r="AT3" s="38"/>
      <c r="AU3" s="38"/>
      <c r="AV3" s="38"/>
      <c r="AW3" s="38"/>
      <c r="AX3" s="38"/>
      <c r="AY3" s="38"/>
      <c r="AZ3" s="38"/>
      <c r="BA3" s="38"/>
      <c r="BB3" s="38"/>
      <c r="BC3" s="38"/>
      <c r="BD3" s="38"/>
      <c r="BE3" s="38"/>
      <c r="BF3" s="38"/>
      <c r="BG3" s="1"/>
      <c r="BH3" s="1"/>
      <c r="BI3" s="1"/>
      <c r="BJ3" s="1"/>
      <c r="BK3" s="17"/>
      <c r="BL3" s="1"/>
      <c r="BM3" s="17"/>
      <c r="BN3" s="1"/>
      <c r="BO3" s="1"/>
      <c r="BP3" s="1"/>
      <c r="BQ3" s="1"/>
      <c r="BR3" s="40"/>
      <c r="BS3" s="1"/>
      <c r="BT3" s="1"/>
      <c r="BU3" s="40"/>
      <c r="BV3" s="40"/>
    </row>
    <row x14ac:dyDescent="0.25" r="4" customHeight="1" ht="19.5">
      <c r="A4" s="17"/>
      <c r="B4" s="1"/>
      <c r="C4" s="1"/>
      <c r="D4" s="1"/>
      <c r="E4" s="1"/>
      <c r="F4" s="1"/>
      <c r="G4" s="1"/>
      <c r="H4" s="1"/>
      <c r="I4" s="1"/>
      <c r="J4" s="1"/>
      <c r="K4" s="17"/>
      <c r="L4" s="1"/>
      <c r="M4" s="1"/>
      <c r="N4" s="1"/>
      <c r="O4" s="1"/>
      <c r="P4" s="17"/>
      <c r="Q4" s="1"/>
      <c r="R4" s="13"/>
      <c r="S4" s="1"/>
      <c r="T4" s="13"/>
      <c r="U4" s="13"/>
      <c r="V4" s="13"/>
      <c r="W4" s="13"/>
      <c r="X4" s="13"/>
      <c r="Y4" s="128"/>
      <c r="Z4" s="228"/>
      <c r="AA4" s="128"/>
      <c r="AB4" s="228"/>
      <c r="AC4" s="128"/>
      <c r="AD4" s="228"/>
      <c r="AE4" s="13"/>
      <c r="AF4" s="13"/>
      <c r="AG4" s="114"/>
      <c r="AH4" s="114"/>
      <c r="AI4" s="114"/>
      <c r="AJ4" s="114"/>
      <c r="AK4" s="38"/>
      <c r="AL4" s="38"/>
      <c r="AM4" s="38"/>
      <c r="AN4" s="38"/>
      <c r="AO4" s="38"/>
      <c r="AP4" s="38"/>
      <c r="AQ4" s="38"/>
      <c r="AR4" s="38"/>
      <c r="AS4" s="38"/>
      <c r="AT4" s="38"/>
      <c r="AU4" s="38"/>
      <c r="AV4" s="38"/>
      <c r="AW4" s="38"/>
      <c r="AX4" s="38"/>
      <c r="AY4" s="38"/>
      <c r="AZ4" s="38"/>
      <c r="BA4" s="38"/>
      <c r="BB4" s="38"/>
      <c r="BC4" s="38"/>
      <c r="BD4" s="38"/>
      <c r="BE4" s="38"/>
      <c r="BF4" s="38"/>
      <c r="BG4" s="1"/>
      <c r="BH4" s="1"/>
      <c r="BI4" s="1"/>
      <c r="BJ4" s="1"/>
      <c r="BK4" s="17"/>
      <c r="BL4" s="1"/>
      <c r="BM4" s="17"/>
      <c r="BN4" s="1"/>
      <c r="BO4" s="1"/>
      <c r="BP4" s="1"/>
      <c r="BQ4" s="1"/>
      <c r="BR4" s="40"/>
      <c r="BS4" s="1"/>
      <c r="BT4" s="1"/>
      <c r="BU4" s="40"/>
      <c r="BV4" s="40"/>
    </row>
    <row x14ac:dyDescent="0.25" r="5" customHeight="1" ht="19.5">
      <c r="A5" s="17"/>
      <c r="B5" s="1"/>
      <c r="C5" s="1"/>
      <c r="D5" s="1"/>
      <c r="E5" s="1"/>
      <c r="F5" s="1"/>
      <c r="G5" s="1"/>
      <c r="H5" s="1"/>
      <c r="I5" s="1"/>
      <c r="J5" s="1"/>
      <c r="K5" s="17"/>
      <c r="L5" s="1"/>
      <c r="M5" s="1"/>
      <c r="N5" s="1"/>
      <c r="O5" s="1"/>
      <c r="P5" s="17"/>
      <c r="Q5" s="1"/>
      <c r="R5" s="1"/>
      <c r="S5" s="1"/>
      <c r="T5" s="1"/>
      <c r="U5" s="1"/>
      <c r="V5" s="1"/>
      <c r="W5" s="1"/>
      <c r="X5" s="1"/>
      <c r="Y5" s="17"/>
      <c r="Z5" s="40"/>
      <c r="AA5" s="17"/>
      <c r="AB5" s="40"/>
      <c r="AC5" s="17"/>
      <c r="AD5" s="40"/>
      <c r="AE5" s="1"/>
      <c r="AF5" s="1"/>
      <c r="AG5" s="114"/>
      <c r="AH5" s="114"/>
      <c r="AI5" s="114"/>
      <c r="AJ5" s="114"/>
      <c r="AK5" s="38"/>
      <c r="AL5" s="38"/>
      <c r="AM5" s="38"/>
      <c r="AN5" s="38"/>
      <c r="AO5" s="38"/>
      <c r="AP5" s="38"/>
      <c r="AQ5" s="38"/>
      <c r="AR5" s="38"/>
      <c r="AS5" s="38"/>
      <c r="AT5" s="38"/>
      <c r="AU5" s="38"/>
      <c r="AV5" s="38"/>
      <c r="AW5" s="38"/>
      <c r="AX5" s="38"/>
      <c r="AY5" s="38"/>
      <c r="AZ5" s="38"/>
      <c r="BA5" s="38"/>
      <c r="BB5" s="38"/>
      <c r="BC5" s="38"/>
      <c r="BD5" s="38"/>
      <c r="BE5" s="38"/>
      <c r="BF5" s="38"/>
      <c r="BG5" s="1"/>
      <c r="BH5" s="1"/>
      <c r="BI5" s="1"/>
      <c r="BJ5" s="1"/>
      <c r="BK5" s="17"/>
      <c r="BL5" s="1"/>
      <c r="BM5" s="17"/>
      <c r="BN5" s="1"/>
      <c r="BO5" s="1"/>
      <c r="BP5" s="1"/>
      <c r="BQ5" s="1"/>
      <c r="BR5" s="40"/>
      <c r="BS5" s="1"/>
      <c r="BT5" s="1"/>
      <c r="BU5" s="40"/>
      <c r="BV5" s="40"/>
    </row>
    <row x14ac:dyDescent="0.25" r="6" customHeight="1" ht="19.5">
      <c r="A6" s="17"/>
      <c r="B6" s="1"/>
      <c r="C6" s="1"/>
      <c r="D6" s="1"/>
      <c r="E6" s="1"/>
      <c r="F6" s="1"/>
      <c r="G6" s="1"/>
      <c r="H6" s="1"/>
      <c r="I6" s="1"/>
      <c r="J6" s="1"/>
      <c r="K6" s="17"/>
      <c r="L6" s="1"/>
      <c r="M6" s="1"/>
      <c r="N6" s="1"/>
      <c r="O6" s="1"/>
      <c r="P6" s="17"/>
      <c r="Q6" s="1"/>
      <c r="R6" s="1"/>
      <c r="S6" s="1"/>
      <c r="T6" s="1"/>
      <c r="U6" s="1"/>
      <c r="V6" s="1"/>
      <c r="W6" s="1"/>
      <c r="X6" s="1"/>
      <c r="Y6" s="17"/>
      <c r="Z6" s="40"/>
      <c r="AA6" s="17"/>
      <c r="AB6" s="40"/>
      <c r="AC6" s="17"/>
      <c r="AD6" s="40"/>
      <c r="AE6" s="1"/>
      <c r="AF6" s="1"/>
      <c r="AG6" s="114"/>
      <c r="AH6" s="114"/>
      <c r="AI6" s="114"/>
      <c r="AJ6" s="114"/>
      <c r="AK6" s="38"/>
      <c r="AL6" s="38"/>
      <c r="AM6" s="38"/>
      <c r="AN6" s="38"/>
      <c r="AO6" s="38"/>
      <c r="AP6" s="38"/>
      <c r="AQ6" s="38"/>
      <c r="AR6" s="38"/>
      <c r="AS6" s="38"/>
      <c r="AT6" s="38"/>
      <c r="AU6" s="38"/>
      <c r="AV6" s="38"/>
      <c r="AW6" s="38"/>
      <c r="AX6" s="38"/>
      <c r="AY6" s="38"/>
      <c r="AZ6" s="39"/>
      <c r="BA6" s="38"/>
      <c r="BB6" s="38"/>
      <c r="BC6" s="38"/>
      <c r="BD6" s="38"/>
      <c r="BE6" s="38"/>
      <c r="BF6" s="38"/>
      <c r="BG6" s="1"/>
      <c r="BH6" s="1"/>
      <c r="BI6" s="1"/>
      <c r="BJ6" s="1"/>
      <c r="BK6" s="17"/>
      <c r="BL6" s="1"/>
      <c r="BM6" s="17"/>
      <c r="BN6" s="1"/>
      <c r="BO6" s="1"/>
      <c r="BP6" s="1"/>
      <c r="BQ6" s="1"/>
      <c r="BR6" s="40"/>
      <c r="BS6" s="1"/>
      <c r="BT6" s="1"/>
      <c r="BU6" s="40"/>
      <c r="BV6" s="40"/>
    </row>
    <row x14ac:dyDescent="0.25" r="7" customHeight="1" ht="19.5">
      <c r="A7" s="17"/>
      <c r="B7" s="1"/>
      <c r="C7" s="1"/>
      <c r="D7" s="1"/>
      <c r="E7" s="1"/>
      <c r="F7" s="1"/>
      <c r="G7" s="1"/>
      <c r="H7" s="1"/>
      <c r="I7" s="1"/>
      <c r="J7" s="1"/>
      <c r="K7" s="17"/>
      <c r="L7" s="1"/>
      <c r="M7" s="1"/>
      <c r="N7" s="1"/>
      <c r="O7" s="1"/>
      <c r="P7" s="17"/>
      <c r="Q7" s="1"/>
      <c r="R7" s="1"/>
      <c r="S7" s="1"/>
      <c r="T7" s="1"/>
      <c r="U7" s="1"/>
      <c r="V7" s="1"/>
      <c r="W7" s="1"/>
      <c r="X7" s="1"/>
      <c r="Y7" s="17"/>
      <c r="Z7" s="40"/>
      <c r="AA7" s="17"/>
      <c r="AB7" s="40"/>
      <c r="AC7" s="17"/>
      <c r="AD7" s="40"/>
      <c r="AE7" s="1"/>
      <c r="AF7" s="1"/>
      <c r="AG7" s="114"/>
      <c r="AH7" s="114"/>
      <c r="AI7" s="114"/>
      <c r="AJ7" s="114"/>
      <c r="AK7" s="38"/>
      <c r="AL7" s="38"/>
      <c r="AM7" s="38"/>
      <c r="AN7" s="38"/>
      <c r="AO7" s="38"/>
      <c r="AP7" s="38"/>
      <c r="AQ7" s="38"/>
      <c r="AR7" s="38"/>
      <c r="AS7" s="38"/>
      <c r="AT7" s="38"/>
      <c r="AU7" s="38"/>
      <c r="AV7" s="38"/>
      <c r="AW7" s="38"/>
      <c r="AX7" s="38"/>
      <c r="AY7" s="38"/>
      <c r="AZ7" s="38"/>
      <c r="BA7" s="38"/>
      <c r="BB7" s="38"/>
      <c r="BC7" s="38"/>
      <c r="BD7" s="38"/>
      <c r="BE7" s="38"/>
      <c r="BF7" s="38"/>
      <c r="BG7" s="1"/>
      <c r="BH7" s="1"/>
      <c r="BI7" s="1"/>
      <c r="BJ7" s="1"/>
      <c r="BK7" s="17"/>
      <c r="BL7" s="1"/>
      <c r="BM7" s="17"/>
      <c r="BN7" s="1"/>
      <c r="BO7" s="1"/>
      <c r="BP7" s="1"/>
      <c r="BQ7" s="1"/>
      <c r="BR7" s="40"/>
      <c r="BS7" s="1"/>
      <c r="BT7" s="1"/>
      <c r="BU7" s="114"/>
      <c r="BV7" s="40"/>
    </row>
    <row x14ac:dyDescent="0.25" r="8" customHeight="1" ht="19.5">
      <c r="A8" s="17"/>
      <c r="B8" s="1"/>
      <c r="C8" s="1"/>
      <c r="D8" s="1"/>
      <c r="E8" s="1"/>
      <c r="F8" s="1"/>
      <c r="G8" s="1"/>
      <c r="H8" s="1"/>
      <c r="I8" s="1"/>
      <c r="J8" s="1"/>
      <c r="K8" s="17"/>
      <c r="L8" s="1"/>
      <c r="M8" s="1"/>
      <c r="N8" s="1"/>
      <c r="O8" s="1"/>
      <c r="P8" s="17"/>
      <c r="Q8" s="1"/>
      <c r="R8" s="1"/>
      <c r="S8" s="1"/>
      <c r="T8" s="1"/>
      <c r="U8" s="1"/>
      <c r="V8" s="1"/>
      <c r="W8" s="1"/>
      <c r="X8" s="1"/>
      <c r="Y8" s="17"/>
      <c r="Z8" s="40"/>
      <c r="AA8" s="17"/>
      <c r="AB8" s="40"/>
      <c r="AC8" s="17"/>
      <c r="AD8" s="40"/>
      <c r="AE8" s="1"/>
      <c r="AF8" s="1"/>
      <c r="AG8" s="114"/>
      <c r="AH8" s="114"/>
      <c r="AI8" s="114"/>
      <c r="AJ8" s="114"/>
      <c r="AK8" s="38"/>
      <c r="AL8" s="38"/>
      <c r="AM8" s="38"/>
      <c r="AN8" s="38"/>
      <c r="AO8" s="38"/>
      <c r="AP8" s="38"/>
      <c r="AQ8" s="38"/>
      <c r="AR8" s="38"/>
      <c r="AS8" s="38"/>
      <c r="AT8" s="38"/>
      <c r="AU8" s="38"/>
      <c r="AV8" s="38"/>
      <c r="AW8" s="38"/>
      <c r="AX8" s="38"/>
      <c r="AY8" s="38"/>
      <c r="AZ8" s="38"/>
      <c r="BA8" s="38"/>
      <c r="BB8" s="38"/>
      <c r="BC8" s="38"/>
      <c r="BD8" s="38"/>
      <c r="BE8" s="38"/>
      <c r="BF8" s="38"/>
      <c r="BG8" s="1"/>
      <c r="BH8" s="1"/>
      <c r="BI8" s="1"/>
      <c r="BJ8" s="1"/>
      <c r="BK8" s="17"/>
      <c r="BL8" s="1"/>
      <c r="BM8" s="17"/>
      <c r="BN8" s="1"/>
      <c r="BO8" s="1"/>
      <c r="BP8" s="1"/>
      <c r="BQ8" s="1"/>
      <c r="BR8" s="40"/>
      <c r="BS8" s="1"/>
      <c r="BT8" s="1"/>
      <c r="BU8" s="114"/>
      <c r="BV8" s="40"/>
    </row>
    <row x14ac:dyDescent="0.25" r="9" customHeight="1" ht="19.5">
      <c r="A9" s="17"/>
      <c r="B9" s="1"/>
      <c r="C9" s="1"/>
      <c r="D9" s="1"/>
      <c r="E9" s="1"/>
      <c r="F9" s="1"/>
      <c r="G9" s="1"/>
      <c r="H9" s="1"/>
      <c r="I9" s="1"/>
      <c r="J9" s="1"/>
      <c r="K9" s="17"/>
      <c r="L9" s="1"/>
      <c r="M9" s="1"/>
      <c r="N9" s="1"/>
      <c r="O9" s="1"/>
      <c r="P9" s="17"/>
      <c r="Q9" s="1"/>
      <c r="R9" s="1"/>
      <c r="S9" s="1"/>
      <c r="T9" s="1"/>
      <c r="U9" s="1"/>
      <c r="V9" s="1"/>
      <c r="W9" s="1"/>
      <c r="X9" s="1"/>
      <c r="Y9" s="17"/>
      <c r="Z9" s="40"/>
      <c r="AA9" s="17"/>
      <c r="AB9" s="40"/>
      <c r="AC9" s="17"/>
      <c r="AD9" s="40"/>
      <c r="AE9" s="1"/>
      <c r="AF9" s="1"/>
      <c r="AG9" s="114"/>
      <c r="AH9" s="114"/>
      <c r="AI9" s="114"/>
      <c r="AJ9" s="114"/>
      <c r="AK9" s="38"/>
      <c r="AL9" s="38"/>
      <c r="AM9" s="38"/>
      <c r="AN9" s="38"/>
      <c r="AO9" s="38"/>
      <c r="AP9" s="38"/>
      <c r="AQ9" s="38"/>
      <c r="AR9" s="38"/>
      <c r="AS9" s="38"/>
      <c r="AT9" s="38"/>
      <c r="AU9" s="38"/>
      <c r="AV9" s="114"/>
      <c r="AW9" s="114"/>
      <c r="AX9" s="114"/>
      <c r="AY9" s="38"/>
      <c r="AZ9" s="38"/>
      <c r="BA9" s="38"/>
      <c r="BB9" s="38"/>
      <c r="BC9" s="38"/>
      <c r="BD9" s="38"/>
      <c r="BE9" s="38"/>
      <c r="BF9" s="38"/>
      <c r="BG9" s="1"/>
      <c r="BH9" s="1"/>
      <c r="BI9" s="1"/>
      <c r="BJ9" s="1"/>
      <c r="BK9" s="17"/>
      <c r="BL9" s="1"/>
      <c r="BM9" s="17"/>
      <c r="BN9" s="1"/>
      <c r="BO9" s="1"/>
      <c r="BP9" s="1"/>
      <c r="BQ9" s="1"/>
      <c r="BR9" s="40"/>
      <c r="BS9" s="1"/>
      <c r="BT9" s="1"/>
      <c r="BU9" s="114"/>
      <c r="BV9" s="40"/>
    </row>
    <row x14ac:dyDescent="0.25" r="10" customHeight="1" ht="19.5">
      <c r="A10" s="17"/>
      <c r="B10" s="1"/>
      <c r="C10" s="1"/>
      <c r="D10" s="1"/>
      <c r="E10" s="1"/>
      <c r="F10" s="1"/>
      <c r="G10" s="1"/>
      <c r="H10" s="1"/>
      <c r="I10" s="1"/>
      <c r="J10" s="1"/>
      <c r="K10" s="17"/>
      <c r="L10" s="1"/>
      <c r="M10" s="1"/>
      <c r="N10" s="1"/>
      <c r="O10" s="1"/>
      <c r="P10" s="17"/>
      <c r="Q10" s="1"/>
      <c r="R10" s="13"/>
      <c r="S10" s="1"/>
      <c r="T10" s="13"/>
      <c r="U10" s="13"/>
      <c r="V10" s="13"/>
      <c r="W10" s="13"/>
      <c r="X10" s="13"/>
      <c r="Y10" s="128"/>
      <c r="Z10" s="228"/>
      <c r="AA10" s="128"/>
      <c r="AB10" s="228"/>
      <c r="AC10" s="128"/>
      <c r="AD10" s="228"/>
      <c r="AE10" s="13"/>
      <c r="AF10" s="13"/>
      <c r="AG10" s="114"/>
      <c r="AH10" s="114"/>
      <c r="AI10" s="114"/>
      <c r="AJ10" s="114"/>
      <c r="AK10" s="37"/>
      <c r="AL10" s="38"/>
      <c r="AM10" s="38"/>
      <c r="AN10" s="38"/>
      <c r="AO10" s="38"/>
      <c r="AP10" s="38"/>
      <c r="AQ10" s="38"/>
      <c r="AR10" s="38"/>
      <c r="AS10" s="38"/>
      <c r="AT10" s="38"/>
      <c r="AU10" s="38"/>
      <c r="AV10" s="38"/>
      <c r="AW10" s="38"/>
      <c r="AX10" s="38"/>
      <c r="AY10" s="38"/>
      <c r="AZ10" s="38"/>
      <c r="BA10" s="38"/>
      <c r="BB10" s="38"/>
      <c r="BC10" s="38"/>
      <c r="BD10" s="38"/>
      <c r="BE10" s="38"/>
      <c r="BF10" s="38"/>
      <c r="BG10" s="1"/>
      <c r="BH10" s="1"/>
      <c r="BI10" s="1"/>
      <c r="BJ10" s="1"/>
      <c r="BK10" s="17"/>
      <c r="BL10" s="1"/>
      <c r="BM10" s="17"/>
      <c r="BN10" s="1"/>
      <c r="BO10" s="1"/>
      <c r="BP10" s="1"/>
      <c r="BQ10" s="1"/>
      <c r="BR10" s="40"/>
      <c r="BS10" s="1"/>
      <c r="BT10" s="1"/>
      <c r="BU10" s="40"/>
      <c r="BV10" s="40"/>
    </row>
    <row x14ac:dyDescent="0.25" r="11" customHeight="1" ht="19.5">
      <c r="A11" s="17"/>
      <c r="B11" s="1"/>
      <c r="C11" s="35" t="s">
        <v>41356</v>
      </c>
      <c r="D11" s="1"/>
      <c r="E11" s="1"/>
      <c r="F11" s="1"/>
      <c r="G11" s="1"/>
      <c r="H11" s="1"/>
      <c r="I11" s="1"/>
      <c r="J11" s="1"/>
      <c r="K11" s="17"/>
      <c r="L11" s="1"/>
      <c r="M11" s="1"/>
      <c r="N11" s="1"/>
      <c r="O11" s="36"/>
      <c r="P11" s="17"/>
      <c r="Q11" s="1"/>
      <c r="R11" s="1"/>
      <c r="S11" s="1"/>
      <c r="T11" s="1"/>
      <c r="U11" s="1"/>
      <c r="V11" s="1"/>
      <c r="W11" s="1"/>
      <c r="X11" s="1"/>
      <c r="Y11" s="17"/>
      <c r="Z11" s="40"/>
      <c r="AA11" s="17"/>
      <c r="AB11" s="40"/>
      <c r="AC11" s="17"/>
      <c r="AD11" s="40"/>
      <c r="AE11" s="1"/>
      <c r="AF11" s="1"/>
      <c r="AG11" s="37"/>
      <c r="AH11" s="1"/>
      <c r="AI11" s="37"/>
      <c r="AJ11" s="38"/>
      <c r="AK11" s="37"/>
      <c r="AL11" s="37"/>
      <c r="AM11" s="37"/>
      <c r="AN11" s="37"/>
      <c r="AO11" s="37"/>
      <c r="AP11" s="38"/>
      <c r="AQ11" s="38"/>
      <c r="AR11" s="38"/>
      <c r="AS11" s="38"/>
      <c r="AT11" s="38"/>
      <c r="AU11" s="38"/>
      <c r="AV11" s="38"/>
      <c r="AW11" s="38"/>
      <c r="AX11" s="38"/>
      <c r="AY11" s="38"/>
      <c r="AZ11" s="39">
        <f>AZ13-AZ12</f>
      </c>
      <c r="BA11" s="38"/>
      <c r="BB11" s="38"/>
      <c r="BC11" s="38"/>
      <c r="BD11" s="38"/>
      <c r="BE11" s="38"/>
      <c r="BF11" s="38"/>
      <c r="BG11" s="1"/>
      <c r="BH11" s="1"/>
      <c r="BI11" s="1"/>
      <c r="BJ11" s="1"/>
      <c r="BK11" s="17"/>
      <c r="BL11" s="1"/>
      <c r="BM11" s="17"/>
      <c r="BN11" s="1"/>
      <c r="BO11" s="1"/>
      <c r="BP11" s="1"/>
      <c r="BQ11" s="1"/>
      <c r="BR11" s="40"/>
      <c r="BS11" s="114"/>
      <c r="BT11" s="1"/>
      <c r="BU11" s="40"/>
      <c r="BV11" s="40"/>
    </row>
    <row x14ac:dyDescent="0.25" r="12" customHeight="1" ht="30.75">
      <c r="A12" s="128"/>
      <c r="B12" s="41" t="s">
        <v>38975</v>
      </c>
      <c r="C12" s="41"/>
      <c r="D12" s="1"/>
      <c r="E12" s="1"/>
      <c r="F12" s="1"/>
      <c r="G12" s="42" t="s">
        <v>38976</v>
      </c>
      <c r="H12" s="43">
        <f>AND($H$13&lt;&gt;"",$H$14&lt;&gt;"")</f>
      </c>
      <c r="I12" s="1"/>
      <c r="J12" s="44" t="s">
        <v>38977</v>
      </c>
      <c r="K12" s="17"/>
      <c r="L12" s="45" t="s">
        <v>38978</v>
      </c>
      <c r="M12" s="45" t="s">
        <v>39445</v>
      </c>
      <c r="N12" s="54"/>
      <c r="O12" s="54"/>
      <c r="P12" s="17"/>
      <c r="Q12" s="1"/>
      <c r="R12" s="1"/>
      <c r="S12" s="1"/>
      <c r="T12" s="1"/>
      <c r="U12" s="1"/>
      <c r="V12" s="1"/>
      <c r="W12" s="1"/>
      <c r="X12" s="1"/>
      <c r="Y12" s="17"/>
      <c r="Z12" s="40"/>
      <c r="AA12" s="17"/>
      <c r="AB12" s="40"/>
      <c r="AC12" s="17"/>
      <c r="AD12" s="40"/>
      <c r="AE12" s="1"/>
      <c r="AF12" s="1"/>
      <c r="AG12" s="37"/>
      <c r="AH12" s="1"/>
      <c r="AI12" s="37"/>
      <c r="AJ12" s="38"/>
      <c r="AK12" s="37"/>
      <c r="AL12" s="37"/>
      <c r="AM12" s="37"/>
      <c r="AN12" s="37"/>
      <c r="AO12" s="39"/>
      <c r="AP12" s="39"/>
      <c r="AQ12" s="39"/>
      <c r="AR12" s="39"/>
      <c r="AS12" s="39"/>
      <c r="AT12" s="39"/>
      <c r="AU12" s="38"/>
      <c r="AV12" s="38"/>
      <c r="AW12" s="38"/>
      <c r="AX12" s="38"/>
      <c r="AY12" s="39"/>
      <c r="AZ12" s="39">
        <v>8172120000</v>
      </c>
      <c r="BA12" s="38"/>
      <c r="BB12" s="38"/>
      <c r="BC12" s="38"/>
      <c r="BD12" s="38"/>
      <c r="BE12" s="39"/>
      <c r="BF12" s="38"/>
      <c r="BG12" s="1"/>
      <c r="BH12" s="1"/>
      <c r="BI12" s="1"/>
      <c r="BJ12" s="1"/>
      <c r="BK12" s="17"/>
      <c r="BL12" s="1"/>
      <c r="BM12" s="17"/>
      <c r="BN12" s="1"/>
      <c r="BO12" s="1"/>
      <c r="BP12" s="1"/>
      <c r="BQ12" s="1"/>
      <c r="BR12" s="40"/>
      <c r="BS12" s="114"/>
      <c r="BT12" s="1"/>
      <c r="BU12" s="40"/>
      <c r="BV12" s="40"/>
    </row>
    <row x14ac:dyDescent="0.25" r="13" customHeight="1" ht="24.75">
      <c r="A13" s="128"/>
      <c r="B13" s="48" t="s">
        <v>38980</v>
      </c>
      <c r="C13" s="49"/>
      <c r="D13" s="1"/>
      <c r="E13" s="1"/>
      <c r="F13" s="1"/>
      <c r="G13" s="50" t="s">
        <v>0</v>
      </c>
      <c r="H13" s="51" t="s">
        <v>8</v>
      </c>
      <c r="I13" s="129" t="s">
        <v>38981</v>
      </c>
      <c r="J13" s="53">
        <f>MID(CELL("filename"),SEARCH("[",CELL("filename"))+1,SEARCH("]",CELL("filename"))-SEARCH("[",CELL("filename"))-1)</f>
      </c>
      <c r="K13" s="17"/>
      <c r="L13" s="54"/>
      <c r="M13" s="54"/>
      <c r="N13" s="54"/>
      <c r="O13" s="54"/>
      <c r="P13" s="17"/>
      <c r="Q13" s="1"/>
      <c r="R13" s="1"/>
      <c r="S13" s="1"/>
      <c r="T13" s="1"/>
      <c r="U13" s="1"/>
      <c r="V13" s="1"/>
      <c r="W13" s="1"/>
      <c r="X13" s="1"/>
      <c r="Y13" s="17"/>
      <c r="Z13" s="40"/>
      <c r="AA13" s="17"/>
      <c r="AB13" s="40"/>
      <c r="AC13" s="17"/>
      <c r="AD13" s="40"/>
      <c r="AE13" s="1"/>
      <c r="AF13" s="1"/>
      <c r="AG13" s="1"/>
      <c r="AH13" s="1"/>
      <c r="AI13" s="130">
        <f>SUBTOTAL(9,'Consolidado-Eletronorte'!$AI$19:$AI$147)</f>
      </c>
      <c r="AJ13" s="130">
        <f>SUBTOTAL(9,'Consolidado-Eletronorte'!$AJ$19:$AJ$147)</f>
      </c>
      <c r="AK13" s="130">
        <f>SUBTOTAL(9,'Consolidado-Eletronorte'!$AK$19:$AK$147)</f>
      </c>
      <c r="AL13" s="130">
        <f>SUBTOTAL(9,'Consolidado-Eletronorte'!$AL$19:$AL$147)</f>
      </c>
      <c r="AM13" s="130">
        <f>SUBTOTAL(9,'Consolidado-Eletronorte'!$AM$19:$AM$147)</f>
      </c>
      <c r="AN13" s="130">
        <f>SUBTOTAL(9,'Consolidado-Eletronorte'!$AN$19:$AN$147)</f>
      </c>
      <c r="AO13" s="130">
        <f>SUBTOTAL(9,'Consolidado-Eletronorte'!$AO$19:$AO$147)</f>
      </c>
      <c r="AP13" s="130">
        <f>SUBTOTAL(9,'Consolidado-Eletronorte'!$AP$19:$AP$147)</f>
      </c>
      <c r="AQ13" s="130">
        <f>SUBTOTAL(9,'Consolidado-Eletronorte'!$AQ$19:$AQ$147)</f>
      </c>
      <c r="AR13" s="130">
        <f>SUBTOTAL(9,'Consolidado-Eletronorte'!$AR$19:$AR$147)</f>
      </c>
      <c r="AS13" s="130">
        <f>SUBTOTAL(9,'Consolidado-Eletronorte'!$AS$19:$AS$147)</f>
      </c>
      <c r="AT13" s="130">
        <f>SUBTOTAL(9,'Consolidado-Eletronorte'!$AT$19:$AT$147)</f>
      </c>
      <c r="AU13" s="130">
        <f>SUBTOTAL(9,'Consolidado-Eletronorte'!$AU$19:$AU$147)</f>
      </c>
      <c r="AV13" s="130">
        <f>SUBTOTAL(9,'Consolidado-Eletronorte'!$AV$19:$AV$147)</f>
      </c>
      <c r="AW13" s="130">
        <f>SUBTOTAL(9,'Consolidado-Eletronorte'!$AW$19:$AW$147)</f>
      </c>
      <c r="AX13" s="130">
        <f>SUBTOTAL(9,'Consolidado-Eletronorte'!$AX$19:$AX$147)</f>
      </c>
      <c r="AY13" s="130">
        <f>SUBTOTAL(9,'Consolidado-Eletronorte'!$AY$19:$AY$147)</f>
      </c>
      <c r="AZ13" s="130">
        <f>SUBTOTAL(9,'Consolidado-Eletronorte'!$AZ$19:$AZ$147)</f>
      </c>
      <c r="BA13" s="130">
        <f>SUBTOTAL(9,'Consolidado-Eletronorte'!$BA$19:$BA$147)</f>
      </c>
      <c r="BB13" s="130">
        <f>SUBTOTAL(9,'Consolidado-Eletronorte'!$BB$19:$BB$147)</f>
      </c>
      <c r="BC13" s="130">
        <f>SUBTOTAL(9,'Consolidado-Eletronorte'!$BC$19:$BC$147)</f>
      </c>
      <c r="BD13" s="130">
        <f>SUBTOTAL(9,'Consolidado-Eletronorte'!$BD$19:$BD$147)</f>
      </c>
      <c r="BE13" s="130">
        <f>SUBTOTAL(9,'Consolidado-Eletronorte'!$BE$19:$BE$147)</f>
      </c>
      <c r="BF13" s="130">
        <f>SUBTOTAL(9,'Consolidado-Eletronorte'!$BF$19:$BF$147)</f>
      </c>
      <c r="BG13" s="1"/>
      <c r="BH13" s="1"/>
      <c r="BI13" s="1"/>
      <c r="BJ13" s="1"/>
      <c r="BK13" s="17"/>
      <c r="BL13" s="1"/>
      <c r="BM13" s="17"/>
      <c r="BN13" s="1"/>
      <c r="BO13" s="1"/>
      <c r="BP13" s="1"/>
      <c r="BQ13" s="114"/>
      <c r="BR13" s="117">
        <f>SUBTOTAL(9,'Consolidado-Eletronorte'!$BR$19:$BR$147)</f>
      </c>
      <c r="BS13" s="13" t="s">
        <v>41357</v>
      </c>
      <c r="BT13" s="1"/>
      <c r="BU13" s="40"/>
      <c r="BV13" s="40"/>
    </row>
    <row x14ac:dyDescent="0.25" r="14" customHeight="1" ht="19.5">
      <c r="A14" s="128"/>
      <c r="B14" s="1"/>
      <c r="C14" s="13"/>
      <c r="D14" s="56"/>
      <c r="E14" s="1"/>
      <c r="F14" s="1"/>
      <c r="G14" s="50" t="s">
        <v>38982</v>
      </c>
      <c r="H14" s="57" t="s">
        <v>39446</v>
      </c>
      <c r="I14" s="1"/>
      <c r="J14" s="131"/>
      <c r="K14" s="17"/>
      <c r="L14" s="54"/>
      <c r="M14" s="54"/>
      <c r="N14" s="54"/>
      <c r="O14" s="54"/>
      <c r="P14" s="17"/>
      <c r="Q14" s="1"/>
      <c r="R14" s="1"/>
      <c r="S14" s="1"/>
      <c r="T14" s="1"/>
      <c r="U14" s="1"/>
      <c r="V14" s="1"/>
      <c r="W14" s="1"/>
      <c r="X14" s="1"/>
      <c r="Y14" s="17"/>
      <c r="Z14" s="40"/>
      <c r="AA14" s="17"/>
      <c r="AB14" s="40"/>
      <c r="AC14" s="17"/>
      <c r="AD14" s="40"/>
      <c r="AE14" s="1"/>
      <c r="AF14" s="1"/>
      <c r="AG14" s="1"/>
      <c r="AH14" s="1"/>
      <c r="AI14" s="132">
        <f>SUM('Consolidado-Eletronorte'!$AI$19:$AI$147)</f>
      </c>
      <c r="AJ14" s="132">
        <f>SUM('Consolidado-Eletronorte'!$AJ$19:$AJ$147)</f>
      </c>
      <c r="AK14" s="132">
        <f>SUM('Consolidado-Eletronorte'!$AK$19:$AK$147)</f>
      </c>
      <c r="AL14" s="132">
        <f>SUM('Consolidado-Eletronorte'!$AL$19:$AL$147)</f>
      </c>
      <c r="AM14" s="132">
        <f>SUM('Consolidado-Eletronorte'!$AM$19:$AM$147)</f>
      </c>
      <c r="AN14" s="132">
        <f>SUM('Consolidado-Eletronorte'!$AN$19:$AN$147)</f>
      </c>
      <c r="AO14" s="132">
        <f>SUM('Consolidado-Eletronorte'!$AO$19:$AO$147)</f>
      </c>
      <c r="AP14" s="132">
        <f>SUM('Consolidado-Eletronorte'!$AP$19:$AP$147)</f>
      </c>
      <c r="AQ14" s="132">
        <f>SUM('Consolidado-Eletronorte'!$AQ$19:$AQ$147)</f>
      </c>
      <c r="AR14" s="132">
        <f>SUM('Consolidado-Eletronorte'!$AR$19:$AR$147)</f>
      </c>
      <c r="AS14" s="132">
        <f>SUM('Consolidado-Eletronorte'!$AS$19:$AS$147)</f>
      </c>
      <c r="AT14" s="132">
        <f>SUM('Consolidado-Eletronorte'!$AT$19:$AT$147)</f>
      </c>
      <c r="AU14" s="132">
        <f>SUM('Consolidado-Eletronorte'!$AU$19:$AU$147)</f>
      </c>
      <c r="AV14" s="132">
        <f>SUM('Consolidado-Eletronorte'!$AV$19:$AV$147)</f>
      </c>
      <c r="AW14" s="132">
        <f>SUM('Consolidado-Eletronorte'!$AW$19:$AW$147)</f>
      </c>
      <c r="AX14" s="132">
        <f>SUM('Consolidado-Eletronorte'!$AX$19:$AX$147)</f>
      </c>
      <c r="AY14" s="132">
        <f>SUM('Consolidado-Eletronorte'!$AY$19:$AY$147)</f>
      </c>
      <c r="AZ14" s="132">
        <f>SUM('Consolidado-Eletronorte'!$AZ$19:$AZ$147)</f>
      </c>
      <c r="BA14" s="132">
        <f>SUM('Consolidado-Eletronorte'!$BA$19:$BA$147)</f>
      </c>
      <c r="BB14" s="132">
        <f>SUM('Consolidado-Eletronorte'!$BB$19:$BB$147)</f>
      </c>
      <c r="BC14" s="132">
        <f>SUM('Consolidado-Eletronorte'!$BC$19:$BC$147)</f>
      </c>
      <c r="BD14" s="132">
        <f>SUM('Consolidado-Eletronorte'!$BD$19:$BD$147)</f>
      </c>
      <c r="BE14" s="132">
        <f>SUM('Consolidado-Eletronorte'!$BE$19:$BE$147)</f>
      </c>
      <c r="BF14" s="132">
        <f>SUM('Consolidado-Eletronorte'!$BF$19:$BF$147)</f>
      </c>
      <c r="BG14" s="1"/>
      <c r="BH14" s="1"/>
      <c r="BI14" s="1"/>
      <c r="BJ14" s="1"/>
      <c r="BK14" s="17"/>
      <c r="BL14" s="1"/>
      <c r="BM14" s="17"/>
      <c r="BN14" s="1"/>
      <c r="BO14" s="1"/>
      <c r="BP14" s="1"/>
      <c r="BQ14" s="114"/>
      <c r="BR14" s="117">
        <f>SUM('Consolidado-Eletronorte'!$BR$19:$BR$147)</f>
      </c>
      <c r="BS14" s="13" t="s">
        <v>41358</v>
      </c>
      <c r="BT14" s="1"/>
      <c r="BU14" s="40"/>
      <c r="BV14" s="40"/>
    </row>
    <row x14ac:dyDescent="0.25" r="15" customHeight="1" ht="30.75">
      <c r="A15" s="359">
        <f>AND($H$12,'Consolidado-Eletronorte'!$B$19:$B$147)</f>
      </c>
      <c r="B15" s="61">
        <f>_xlfn.CONCAT(D19)</f>
      </c>
      <c r="C15" s="62"/>
      <c r="D15" s="1"/>
      <c r="E15" s="1"/>
      <c r="F15" s="1"/>
      <c r="G15" s="1"/>
      <c r="H15" s="1"/>
      <c r="I15" s="1"/>
      <c r="J15" s="131"/>
      <c r="K15" s="17"/>
      <c r="L15" s="54"/>
      <c r="M15" s="54"/>
      <c r="N15" s="54"/>
      <c r="O15" s="54"/>
      <c r="P15" s="17"/>
      <c r="Q15" s="1"/>
      <c r="R15" s="1"/>
      <c r="S15" s="1"/>
      <c r="T15" s="1"/>
      <c r="U15" s="1"/>
      <c r="V15" s="1"/>
      <c r="W15" s="1"/>
      <c r="X15" s="1"/>
      <c r="Y15" s="17"/>
      <c r="Z15" s="40"/>
      <c r="AA15" s="17"/>
      <c r="AB15" s="40"/>
      <c r="AC15" s="17"/>
      <c r="AD15" s="40"/>
      <c r="AE15" s="1"/>
      <c r="AF15" s="1"/>
      <c r="AG15" s="1"/>
      <c r="AH15" s="1"/>
      <c r="AI15" s="37"/>
      <c r="AJ15" s="37"/>
      <c r="AK15" s="37"/>
      <c r="AL15" s="37"/>
      <c r="AM15" s="37"/>
      <c r="AN15" s="37"/>
      <c r="AO15" s="63"/>
      <c r="AP15" s="63"/>
      <c r="AQ15" s="63"/>
      <c r="AR15" s="63"/>
      <c r="AS15" s="63"/>
      <c r="AT15" s="63"/>
      <c r="AU15" s="63"/>
      <c r="AV15" s="63"/>
      <c r="AW15" s="63"/>
      <c r="AX15" s="63"/>
      <c r="AY15" s="63"/>
      <c r="AZ15" s="63"/>
      <c r="BA15" s="63"/>
      <c r="BB15" s="63"/>
      <c r="BC15" s="63"/>
      <c r="BD15" s="63"/>
      <c r="BE15" s="38"/>
      <c r="BF15" s="38"/>
      <c r="BG15" s="1"/>
      <c r="BH15" s="1"/>
      <c r="BI15" s="1"/>
      <c r="BJ15" s="1"/>
      <c r="BK15" s="17"/>
      <c r="BL15" s="1"/>
      <c r="BM15" s="17"/>
      <c r="BN15" s="1"/>
      <c r="BO15" s="1"/>
      <c r="BP15" s="1"/>
      <c r="BQ15" s="114"/>
      <c r="BR15" s="40"/>
      <c r="BS15" s="1"/>
      <c r="BT15" s="1"/>
      <c r="BU15" s="114">
        <v>5472300</v>
      </c>
      <c r="BV15" s="69">
        <f>BU16*5</f>
      </c>
    </row>
    <row x14ac:dyDescent="0.25" r="16" customHeight="1" ht="20.25">
      <c r="A16" s="17"/>
      <c r="B16" s="1"/>
      <c r="C16" s="13"/>
      <c r="D16" s="1"/>
      <c r="E16" s="1"/>
      <c r="F16" s="1"/>
      <c r="G16" s="1"/>
      <c r="H16" s="13"/>
      <c r="I16" s="64"/>
      <c r="J16" s="135" t="s">
        <v>38984</v>
      </c>
      <c r="K16" s="113">
        <f>COUNTIF('Consolidado-Eletronorte'!$B$19:$B$147,TRUE)</f>
      </c>
      <c r="L16" s="54"/>
      <c r="M16" s="54"/>
      <c r="N16" s="54"/>
      <c r="O16" s="54"/>
      <c r="P16" s="17"/>
      <c r="Q16" s="1"/>
      <c r="R16" s="1"/>
      <c r="S16" s="1"/>
      <c r="T16" s="1"/>
      <c r="U16" s="1"/>
      <c r="V16" s="1"/>
      <c r="W16" s="1"/>
      <c r="X16" s="1"/>
      <c r="Y16" s="17"/>
      <c r="Z16" s="40"/>
      <c r="AA16" s="17"/>
      <c r="AB16" s="40"/>
      <c r="AC16" s="17"/>
      <c r="AD16" s="40"/>
      <c r="AE16" s="1"/>
      <c r="AF16" s="1"/>
      <c r="AG16" s="1"/>
      <c r="AH16" s="1"/>
      <c r="AI16" s="37"/>
      <c r="AJ16" s="37"/>
      <c r="AK16" s="37"/>
      <c r="AL16" s="37"/>
      <c r="AM16" s="37"/>
      <c r="AN16" s="37"/>
      <c r="AO16" s="63"/>
      <c r="AP16" s="63"/>
      <c r="AQ16" s="63"/>
      <c r="AR16" s="63"/>
      <c r="AS16" s="63"/>
      <c r="AT16" s="63"/>
      <c r="AU16" s="63"/>
      <c r="AV16" s="63"/>
      <c r="AW16" s="63"/>
      <c r="AX16" s="63"/>
      <c r="AY16" s="63"/>
      <c r="AZ16" s="63"/>
      <c r="BA16" s="63"/>
      <c r="BB16" s="63"/>
      <c r="BC16" s="63"/>
      <c r="BD16" s="63"/>
      <c r="BE16" s="38"/>
      <c r="BF16" s="38"/>
      <c r="BG16" s="1"/>
      <c r="BH16" s="1"/>
      <c r="BI16" s="1"/>
      <c r="BJ16" s="1"/>
      <c r="BK16" s="17"/>
      <c r="BL16" s="1"/>
      <c r="BM16" s="17"/>
      <c r="BN16" s="1"/>
      <c r="BO16" s="1"/>
      <c r="BP16" s="1"/>
      <c r="BQ16" s="1"/>
      <c r="BR16" s="40"/>
      <c r="BS16" s="1"/>
      <c r="BT16" s="1"/>
      <c r="BU16" s="69">
        <f>BU15/6</f>
      </c>
      <c r="BV16" s="40"/>
    </row>
    <row x14ac:dyDescent="0.25" r="17" customHeight="1" ht="43.5">
      <c r="A17" s="360" t="s">
        <v>38986</v>
      </c>
      <c r="B17" s="72"/>
      <c r="C17" s="73"/>
      <c r="D17" s="73"/>
      <c r="E17" s="73"/>
      <c r="F17" s="73"/>
      <c r="G17" s="74"/>
      <c r="H17" s="75" t="s">
        <v>38987</v>
      </c>
      <c r="I17" s="76"/>
      <c r="J17" s="76"/>
      <c r="K17" s="77"/>
      <c r="L17" s="78"/>
      <c r="M17" s="79" t="s">
        <v>38988</v>
      </c>
      <c r="N17" s="80" t="s">
        <v>38989</v>
      </c>
      <c r="O17" s="80"/>
      <c r="P17" s="216"/>
      <c r="Q17" s="81"/>
      <c r="R17" s="81"/>
      <c r="S17" s="81"/>
      <c r="T17" s="81"/>
      <c r="U17" s="81"/>
      <c r="V17" s="81"/>
      <c r="W17" s="81"/>
      <c r="X17" s="81"/>
      <c r="Y17" s="216"/>
      <c r="Z17" s="361"/>
      <c r="AA17" s="216"/>
      <c r="AB17" s="361"/>
      <c r="AC17" s="216"/>
      <c r="AD17" s="361"/>
      <c r="AE17" s="81"/>
      <c r="AF17" s="81"/>
      <c r="AG17" s="81"/>
      <c r="AH17" s="81"/>
      <c r="AI17" s="82" t="s">
        <v>38990</v>
      </c>
      <c r="AJ17" s="83"/>
      <c r="AK17" s="83"/>
      <c r="AL17" s="83"/>
      <c r="AM17" s="83"/>
      <c r="AN17" s="83"/>
      <c r="AO17" s="83"/>
      <c r="AP17" s="83"/>
      <c r="AQ17" s="83"/>
      <c r="AR17" s="83"/>
      <c r="AS17" s="83"/>
      <c r="AT17" s="83"/>
      <c r="AU17" s="83"/>
      <c r="AV17" s="83"/>
      <c r="AW17" s="83"/>
      <c r="AX17" s="83"/>
      <c r="AY17" s="83"/>
      <c r="AZ17" s="83"/>
      <c r="BA17" s="83"/>
      <c r="BB17" s="83"/>
      <c r="BC17" s="83"/>
      <c r="BD17" s="83"/>
      <c r="BE17" s="83"/>
      <c r="BF17" s="83"/>
      <c r="BG17" s="84"/>
      <c r="BH17" s="81"/>
      <c r="BI17" s="362"/>
      <c r="BJ17" s="85"/>
      <c r="BK17" s="17"/>
      <c r="BL17" s="1"/>
      <c r="BM17" s="17"/>
      <c r="BN17" s="81"/>
      <c r="BO17" s="1"/>
      <c r="BP17" s="1"/>
      <c r="BQ17" s="1"/>
      <c r="BR17" s="363"/>
      <c r="BS17" s="1"/>
      <c r="BT17" s="81"/>
      <c r="BU17" s="40"/>
      <c r="BV17" s="40"/>
    </row>
    <row x14ac:dyDescent="0.25" r="18" customHeight="1" ht="30">
      <c r="A18" s="364" t="s">
        <v>38994</v>
      </c>
      <c r="B18" s="137" t="s">
        <v>38995</v>
      </c>
      <c r="C18" s="137" t="s">
        <v>38981</v>
      </c>
      <c r="D18" s="137" t="s">
        <v>0</v>
      </c>
      <c r="E18" s="137" t="s">
        <v>38996</v>
      </c>
      <c r="F18" s="137" t="s">
        <v>38997</v>
      </c>
      <c r="G18" s="137" t="s">
        <v>38998</v>
      </c>
      <c r="H18" s="138" t="s">
        <v>38999</v>
      </c>
      <c r="I18" s="138" t="s">
        <v>36364</v>
      </c>
      <c r="J18" s="138" t="s">
        <v>3</v>
      </c>
      <c r="K18" s="139" t="s">
        <v>39000</v>
      </c>
      <c r="L18" s="138" t="s">
        <v>39001</v>
      </c>
      <c r="M18" s="140" t="s">
        <v>39002</v>
      </c>
      <c r="N18" s="141" t="s">
        <v>39003</v>
      </c>
      <c r="O18" s="142" t="s">
        <v>39004</v>
      </c>
      <c r="P18" s="218" t="s">
        <v>38277</v>
      </c>
      <c r="Q18" s="142" t="s">
        <v>41230</v>
      </c>
      <c r="R18" s="142" t="s">
        <v>39447</v>
      </c>
      <c r="S18" s="142" t="s">
        <v>41359</v>
      </c>
      <c r="T18" s="138" t="s">
        <v>41211</v>
      </c>
      <c r="U18" s="138" t="s">
        <v>41212</v>
      </c>
      <c r="V18" s="140" t="s">
        <v>41360</v>
      </c>
      <c r="W18" s="104" t="s">
        <v>41361</v>
      </c>
      <c r="X18" s="104" t="s">
        <v>41362</v>
      </c>
      <c r="Y18" s="218" t="s">
        <v>41363</v>
      </c>
      <c r="Z18" s="365" t="s">
        <v>41364</v>
      </c>
      <c r="AA18" s="218" t="s">
        <v>41229</v>
      </c>
      <c r="AB18" s="365" t="s">
        <v>41365</v>
      </c>
      <c r="AC18" s="218" t="s">
        <v>41228</v>
      </c>
      <c r="AD18" s="365" t="s">
        <v>41366</v>
      </c>
      <c r="AE18" s="142" t="s">
        <v>41367</v>
      </c>
      <c r="AF18" s="142" t="s">
        <v>41368</v>
      </c>
      <c r="AG18" s="142" t="s">
        <v>39006</v>
      </c>
      <c r="AH18" s="366" t="s">
        <v>39007</v>
      </c>
      <c r="AI18" s="219" t="s">
        <v>39008</v>
      </c>
      <c r="AJ18" s="219" t="s">
        <v>39009</v>
      </c>
      <c r="AK18" s="219" t="s">
        <v>39010</v>
      </c>
      <c r="AL18" s="219" t="s">
        <v>39011</v>
      </c>
      <c r="AM18" s="219" t="s">
        <v>39012</v>
      </c>
      <c r="AN18" s="219" t="s">
        <v>39013</v>
      </c>
      <c r="AO18" s="219" t="s">
        <v>39014</v>
      </c>
      <c r="AP18" s="219" t="s">
        <v>39015</v>
      </c>
      <c r="AQ18" s="219" t="s">
        <v>39016</v>
      </c>
      <c r="AR18" s="219" t="s">
        <v>39017</v>
      </c>
      <c r="AS18" s="219" t="s">
        <v>39018</v>
      </c>
      <c r="AT18" s="219" t="s">
        <v>39019</v>
      </c>
      <c r="AU18" s="219">
        <v>2026</v>
      </c>
      <c r="AV18" s="219">
        <v>2027</v>
      </c>
      <c r="AW18" s="219">
        <v>2028</v>
      </c>
      <c r="AX18" s="219">
        <v>2029</v>
      </c>
      <c r="AY18" s="219">
        <v>2030</v>
      </c>
      <c r="AZ18" s="219" t="s">
        <v>39020</v>
      </c>
      <c r="BA18" s="219">
        <v>2031</v>
      </c>
      <c r="BB18" s="219">
        <v>2032</v>
      </c>
      <c r="BC18" s="219">
        <v>2033</v>
      </c>
      <c r="BD18" s="219">
        <v>2034</v>
      </c>
      <c r="BE18" s="219">
        <v>2035</v>
      </c>
      <c r="BF18" s="221" t="s">
        <v>39021</v>
      </c>
      <c r="BG18" s="367" t="s">
        <v>41369</v>
      </c>
      <c r="BH18" s="142" t="s">
        <v>41370</v>
      </c>
      <c r="BI18" s="142" t="s">
        <v>41371</v>
      </c>
      <c r="BJ18" s="146" t="s">
        <v>39023</v>
      </c>
      <c r="BK18" s="147" t="s">
        <v>39024</v>
      </c>
      <c r="BL18" s="148" t="s">
        <v>39448</v>
      </c>
      <c r="BM18" s="223" t="s">
        <v>39026</v>
      </c>
      <c r="BN18" s="142" t="s">
        <v>41372</v>
      </c>
      <c r="BO18" s="368" t="s">
        <v>39027</v>
      </c>
      <c r="BP18" s="146" t="s">
        <v>41373</v>
      </c>
      <c r="BQ18" s="146" t="s">
        <v>41374</v>
      </c>
      <c r="BR18" s="369" t="s">
        <v>41375</v>
      </c>
      <c r="BS18" s="146" t="s">
        <v>39029</v>
      </c>
      <c r="BT18" s="142" t="s">
        <v>41376</v>
      </c>
      <c r="BU18" s="369" t="s">
        <v>39030</v>
      </c>
      <c r="BV18" s="370" t="s">
        <v>41377</v>
      </c>
    </row>
    <row x14ac:dyDescent="0.25" r="19" customHeight="1" ht="18.75">
      <c r="A19" s="336">
        <v>378</v>
      </c>
      <c r="B19" s="371">
        <f>AND(ISTEXT('Consolidado-Eletronorte'!#REF!),SUM('Consolidado-Eletronorte'!#REF!)&gt;0)</f>
      </c>
      <c r="C19" s="371">
        <f>$J$13</f>
      </c>
      <c r="D19" s="371">
        <f>$H$13</f>
      </c>
      <c r="E19" s="371">
        <f>$H$14</f>
      </c>
      <c r="F19" s="371">
        <f>_xlfn.CONCAT(Tabela10[[#This Row], [VP]],Tabela10[[#This Row], [Analise Estrategia]])</f>
      </c>
      <c r="G19" s="371">
        <f>_xlfn.CONCAT('Consolidado-Eletronorte'!#REF!,"_",ROW('Consolidado-Eletronorte'!#REF!)-ROW('Consolidado-Eletronorte'!$G$18))</f>
      </c>
      <c r="H19" s="335" t="s">
        <v>10</v>
      </c>
      <c r="I19" s="335" t="s">
        <v>88</v>
      </c>
      <c r="J19" s="335" t="s">
        <v>5</v>
      </c>
      <c r="K19" s="336" t="s">
        <v>21</v>
      </c>
      <c r="L19" s="335" t="s">
        <v>21</v>
      </c>
      <c r="M19" s="335" t="s">
        <v>39909</v>
      </c>
      <c r="N19" s="335"/>
      <c r="O19" s="335"/>
      <c r="P19" s="336" t="s">
        <v>38358</v>
      </c>
      <c r="Q19" s="342" t="s">
        <v>41231</v>
      </c>
      <c r="R19" s="335" t="s">
        <v>39910</v>
      </c>
      <c r="S19" s="342" t="s">
        <v>41231</v>
      </c>
      <c r="T19" s="335" t="s">
        <v>21</v>
      </c>
      <c r="U19" s="335" t="s">
        <v>21</v>
      </c>
      <c r="V19" s="335" t="s">
        <v>39909</v>
      </c>
      <c r="W19" s="335" t="s">
        <v>39909</v>
      </c>
      <c r="X19" s="335"/>
      <c r="Y19" s="336"/>
      <c r="Z19" s="372"/>
      <c r="AA19" s="336"/>
      <c r="AB19" s="372"/>
      <c r="AC19" s="336">
        <v>4500080379</v>
      </c>
      <c r="AD19" s="372">
        <v>900678920.33</v>
      </c>
      <c r="AE19" s="335" t="s">
        <v>41378</v>
      </c>
      <c r="AF19" s="335" t="s">
        <v>41200</v>
      </c>
      <c r="AG19" s="335" t="s">
        <v>39911</v>
      </c>
      <c r="AH19" s="335" t="s">
        <v>39912</v>
      </c>
      <c r="AI19" s="337">
        <v>11888566.659999998</v>
      </c>
      <c r="AJ19" s="337">
        <v>20886113.57</v>
      </c>
      <c r="AK19" s="337">
        <v>6922894.609999999</v>
      </c>
      <c r="AL19" s="337">
        <v>1909305.8399999999</v>
      </c>
      <c r="AM19" s="337">
        <v>35832721.410000004</v>
      </c>
      <c r="AN19" s="337">
        <v>15091386.969999999</v>
      </c>
      <c r="AO19" s="337">
        <v>16898137.74</v>
      </c>
      <c r="AP19" s="337">
        <v>22249745.649999995</v>
      </c>
      <c r="AQ19" s="337">
        <v>993648.17</v>
      </c>
      <c r="AR19" s="337">
        <v>11791477.140000002</v>
      </c>
      <c r="AS19" s="337">
        <v>2500000</v>
      </c>
      <c r="AT19" s="337">
        <v>2500000</v>
      </c>
      <c r="AU19" s="337">
        <f>SUM(Tabela10[[#This Row], [jan/26]:[dez/26]])</f>
      </c>
      <c r="AV19" s="337">
        <v>186404977.93658334</v>
      </c>
      <c r="AW19" s="337">
        <v>138328625.18250006</v>
      </c>
      <c r="AX19" s="337">
        <v>69976375.79</v>
      </c>
      <c r="AY19" s="337">
        <v>500000</v>
      </c>
      <c r="AZ19" s="337">
        <f>SUM(Tabela10[[#This Row], [2026]:[2030]])</f>
      </c>
      <c r="BA19" s="337">
        <v>0</v>
      </c>
      <c r="BB19" s="337">
        <v>0</v>
      </c>
      <c r="BC19" s="337">
        <v>0</v>
      </c>
      <c r="BD19" s="337">
        <v>0</v>
      </c>
      <c r="BE19" s="337">
        <v>0</v>
      </c>
      <c r="BF19" s="373">
        <f>SUM(Tabela10[[#This Row], [2026-2030]:[2035]])</f>
      </c>
      <c r="BG19" s="374">
        <f>_xlfn.SEQUENCE(COUNTA(Tabela10[Empresa]),1,1)</f>
      </c>
      <c r="BH19" s="342" t="s">
        <v>41231</v>
      </c>
      <c r="BI19" s="374">
        <f>VLOOKUP(Tabela10[[#This Row], [ID real2]],[2]CONSOLIDADA!$AU:$AZ,6,FALSE)</f>
      </c>
      <c r="BJ19" s="342" t="s">
        <v>41128</v>
      </c>
      <c r="BK19" s="375">
        <v>2024</v>
      </c>
      <c r="BL19" s="342" t="s">
        <v>39914</v>
      </c>
      <c r="BM19" s="375" t="s">
        <v>39915</v>
      </c>
      <c r="BN19" s="342" t="s">
        <v>41231</v>
      </c>
      <c r="BO19" s="342" t="s">
        <v>46</v>
      </c>
      <c r="BP19" s="342" t="s">
        <v>41379</v>
      </c>
      <c r="BQ19" s="342" t="s">
        <v>46</v>
      </c>
      <c r="BR19" s="376">
        <v>171280364.7544725</v>
      </c>
      <c r="BS19" s="342" t="s">
        <v>41380</v>
      </c>
      <c r="BT19" s="342" t="s">
        <v>41231</v>
      </c>
      <c r="BU19" s="376" t="s">
        <v>41145</v>
      </c>
      <c r="BV19" s="376">
        <f>Tabela10[[#This Row], [Descrição do projeto]]</f>
      </c>
    </row>
    <row x14ac:dyDescent="0.25" r="20" customHeight="1" ht="18.75">
      <c r="A20" s="336"/>
      <c r="B20" s="377"/>
      <c r="C20" s="335"/>
      <c r="D20" s="336"/>
      <c r="E20" s="378">
        <f>_xlfn.SEQUENCE(COUNTA(E29[Empresa]),1,1)</f>
      </c>
      <c r="F20" s="335"/>
      <c r="G20" s="379">
        <f>_xlfn.CONCAT('Consolidado-Eletronorte'!$D20,"_",ROW('Consolidado-Eletronorte'!$G20)-ROW('Consolidado-Eletronorte'!$G$18))</f>
      </c>
      <c r="H20" s="335"/>
      <c r="I20" s="335"/>
      <c r="J20" s="335"/>
      <c r="K20" s="336"/>
      <c r="L20" s="335"/>
      <c r="M20" s="335"/>
      <c r="N20" s="335"/>
      <c r="O20" s="335"/>
      <c r="P20" s="336"/>
      <c r="Q20" s="342" t="s">
        <v>41231</v>
      </c>
      <c r="R20" s="335" t="s">
        <v>39910</v>
      </c>
      <c r="S20" s="342" t="s">
        <v>41231</v>
      </c>
      <c r="T20" s="335" t="s">
        <v>21</v>
      </c>
      <c r="U20" s="335" t="s">
        <v>21</v>
      </c>
      <c r="V20" s="335" t="s">
        <v>39909</v>
      </c>
      <c r="W20" s="335" t="s">
        <v>39909</v>
      </c>
      <c r="X20" s="335"/>
      <c r="Y20" s="336"/>
      <c r="Z20" s="372"/>
      <c r="AA20" s="336"/>
      <c r="AB20" s="372"/>
      <c r="AC20" s="336">
        <v>4500083678</v>
      </c>
      <c r="AD20" s="372">
        <v>6623940.5</v>
      </c>
      <c r="AE20" s="335" t="s">
        <v>41381</v>
      </c>
      <c r="AF20" s="335" t="s">
        <v>41205</v>
      </c>
      <c r="AG20" s="335"/>
      <c r="AH20" s="335"/>
      <c r="AI20" s="337"/>
      <c r="AJ20" s="337"/>
      <c r="AK20" s="337"/>
      <c r="AL20" s="337"/>
      <c r="AM20" s="337"/>
      <c r="AN20" s="337"/>
      <c r="AO20" s="337"/>
      <c r="AP20" s="337"/>
      <c r="AQ20" s="337"/>
      <c r="AR20" s="337"/>
      <c r="AS20" s="337"/>
      <c r="AT20" s="337"/>
      <c r="AU20" s="337">
        <f>SUM(Tabela10[[#This Row], [jan/26]:[dez/26]])</f>
      </c>
      <c r="AV20" s="337"/>
      <c r="AW20" s="337"/>
      <c r="AX20" s="337"/>
      <c r="AY20" s="337"/>
      <c r="AZ20" s="337">
        <f>SUM(Tabela10[[#This Row], [2026]:[2030]])</f>
      </c>
      <c r="BA20" s="337"/>
      <c r="BB20" s="337"/>
      <c r="BC20" s="337"/>
      <c r="BD20" s="337"/>
      <c r="BE20" s="337"/>
      <c r="BF20" s="373">
        <f>SUM(Tabela10[[#This Row], [2026-2030]:[2035]])</f>
      </c>
      <c r="BG20" s="374">
        <f>_xlfn.SEQUENCE(COUNTA(Tabela10[Empresa]),1,1)</f>
      </c>
      <c r="BH20" s="342" t="s">
        <v>41231</v>
      </c>
      <c r="BI20" s="374">
        <f>VLOOKUP(Tabela10[[#This Row], [ID real2]],[2]CONSOLIDADA!$AU:$AZ,6,FALSE)</f>
      </c>
      <c r="BJ20" s="342" t="s">
        <v>41128</v>
      </c>
      <c r="BK20" s="375"/>
      <c r="BL20" s="342"/>
      <c r="BM20" s="375"/>
      <c r="BN20" s="342" t="s">
        <v>41231</v>
      </c>
      <c r="BO20" s="342"/>
      <c r="BP20" s="342"/>
      <c r="BQ20" s="342"/>
      <c r="BR20" s="376"/>
      <c r="BS20" s="342"/>
      <c r="BT20" s="342" t="s">
        <v>41231</v>
      </c>
      <c r="BU20" s="376" t="s">
        <v>41145</v>
      </c>
      <c r="BV20" s="376">
        <f>Tabela10[[#This Row], [Descrição do projeto]]</f>
      </c>
    </row>
    <row x14ac:dyDescent="0.25" r="21" customHeight="1" ht="18.75">
      <c r="A21" s="336"/>
      <c r="B21" s="379">
        <f>AND(ISTEXT('Consolidado-Eletronorte'!$H21:$M21),SUM('Consolidado-Eletronorte'!$AI21:$BF21)&gt;0)</f>
      </c>
      <c r="C21" s="371">
        <f>$J$13</f>
      </c>
      <c r="D21" s="371">
        <f>$H$13</f>
      </c>
      <c r="E21" s="378">
        <f>_xlfn.SEQUENCE(COUNTA(E30[Empresa]),1,1)</f>
      </c>
      <c r="F21" s="335"/>
      <c r="G21" s="379">
        <f>_xlfn.CONCAT('Consolidado-Eletronorte'!$D21,"_",ROW('Consolidado-Eletronorte'!$G21)-ROW('Consolidado-Eletronorte'!$G$18))</f>
      </c>
      <c r="H21" s="335"/>
      <c r="I21" s="335"/>
      <c r="J21" s="335"/>
      <c r="K21" s="336"/>
      <c r="L21" s="335"/>
      <c r="M21" s="335"/>
      <c r="N21" s="335"/>
      <c r="O21" s="335"/>
      <c r="P21" s="336"/>
      <c r="Q21" s="342" t="s">
        <v>41231</v>
      </c>
      <c r="R21" s="335" t="s">
        <v>39910</v>
      </c>
      <c r="S21" s="342" t="s">
        <v>41231</v>
      </c>
      <c r="T21" s="335" t="s">
        <v>21</v>
      </c>
      <c r="U21" s="335" t="s">
        <v>21</v>
      </c>
      <c r="V21" s="335" t="s">
        <v>39909</v>
      </c>
      <c r="W21" s="335" t="s">
        <v>39909</v>
      </c>
      <c r="X21" s="335"/>
      <c r="Y21" s="336"/>
      <c r="Z21" s="372"/>
      <c r="AA21" s="336">
        <v>4600002316</v>
      </c>
      <c r="AB21" s="372">
        <v>4906000.6</v>
      </c>
      <c r="AC21" s="336">
        <v>4500092563</v>
      </c>
      <c r="AD21" s="372">
        <v>4906000.6</v>
      </c>
      <c r="AE21" s="335" t="s">
        <v>41382</v>
      </c>
      <c r="AF21" s="335" t="s">
        <v>41208</v>
      </c>
      <c r="AG21" s="335"/>
      <c r="AH21" s="335"/>
      <c r="AI21" s="337"/>
      <c r="AJ21" s="337"/>
      <c r="AK21" s="337"/>
      <c r="AL21" s="337"/>
      <c r="AM21" s="337"/>
      <c r="AN21" s="337"/>
      <c r="AO21" s="337"/>
      <c r="AP21" s="337"/>
      <c r="AQ21" s="337"/>
      <c r="AR21" s="337"/>
      <c r="AS21" s="337"/>
      <c r="AT21" s="337"/>
      <c r="AU21" s="337">
        <f>SUM(Tabela10[[#This Row], [jan/26]:[dez/26]])</f>
      </c>
      <c r="AV21" s="337"/>
      <c r="AW21" s="337"/>
      <c r="AX21" s="337"/>
      <c r="AY21" s="337"/>
      <c r="AZ21" s="337">
        <f>SUM(Tabela10[[#This Row], [2026]:[2030]])</f>
      </c>
      <c r="BA21" s="337"/>
      <c r="BB21" s="337"/>
      <c r="BC21" s="337"/>
      <c r="BD21" s="337"/>
      <c r="BE21" s="337"/>
      <c r="BF21" s="373">
        <f>SUM(Tabela10[[#This Row], [2026-2030]:[2035]])</f>
      </c>
      <c r="BG21" s="374">
        <f>_xlfn.SEQUENCE(COUNTA(Tabela10[Empresa]),1,1)</f>
      </c>
      <c r="BH21" s="342" t="s">
        <v>41231</v>
      </c>
      <c r="BI21" s="374">
        <f>VLOOKUP(Tabela10[[#This Row], [ID real2]],[2]CONSOLIDADA!$AU:$AZ,6,FALSE)</f>
      </c>
      <c r="BJ21" s="342" t="s">
        <v>41128</v>
      </c>
      <c r="BK21" s="375"/>
      <c r="BL21" s="342"/>
      <c r="BM21" s="375"/>
      <c r="BN21" s="342" t="s">
        <v>41231</v>
      </c>
      <c r="BO21" s="342"/>
      <c r="BP21" s="342"/>
      <c r="BQ21" s="342"/>
      <c r="BR21" s="376"/>
      <c r="BS21" s="342"/>
      <c r="BT21" s="342" t="s">
        <v>41231</v>
      </c>
      <c r="BU21" s="376" t="s">
        <v>41145</v>
      </c>
      <c r="BV21" s="376">
        <f>Tabela10[[#This Row], [Descrição do projeto]]</f>
      </c>
    </row>
    <row x14ac:dyDescent="0.25" r="22" customHeight="1" ht="18.75">
      <c r="A22" s="336"/>
      <c r="B22" s="379">
        <f>AND(ISTEXT('Consolidado-Eletronorte'!$H22:$M22),SUM('Consolidado-Eletronorte'!$AI22:$BF22)&gt;0)</f>
      </c>
      <c r="C22" s="371">
        <f>$J$13</f>
      </c>
      <c r="D22" s="371">
        <f>$H$13</f>
      </c>
      <c r="E22" s="378">
        <f>_xlfn.SEQUENCE(COUNTA(E31[Empresa]),1,1)</f>
      </c>
      <c r="F22" s="335"/>
      <c r="G22" s="379">
        <f>_xlfn.CONCAT('Consolidado-Eletronorte'!$D22,"_",ROW('Consolidado-Eletronorte'!$G22)-ROW('Consolidado-Eletronorte'!$G$18))</f>
      </c>
      <c r="H22" s="335"/>
      <c r="I22" s="335"/>
      <c r="J22" s="335"/>
      <c r="K22" s="336"/>
      <c r="L22" s="335"/>
      <c r="M22" s="335"/>
      <c r="N22" s="335"/>
      <c r="O22" s="335"/>
      <c r="P22" s="336"/>
      <c r="Q22" s="342" t="s">
        <v>41231</v>
      </c>
      <c r="R22" s="335" t="s">
        <v>39910</v>
      </c>
      <c r="S22" s="342" t="s">
        <v>41231</v>
      </c>
      <c r="T22" s="335"/>
      <c r="U22" s="335"/>
      <c r="V22" s="335"/>
      <c r="W22" s="335"/>
      <c r="X22" s="335"/>
      <c r="Y22" s="336"/>
      <c r="Z22" s="372"/>
      <c r="AA22" s="336"/>
      <c r="AB22" s="372"/>
      <c r="AC22" s="336">
        <v>4500083678</v>
      </c>
      <c r="AD22" s="372">
        <v>6623940.5</v>
      </c>
      <c r="AE22" s="335" t="s">
        <v>41383</v>
      </c>
      <c r="AF22" s="335" t="s">
        <v>41205</v>
      </c>
      <c r="AG22" s="335"/>
      <c r="AH22" s="335"/>
      <c r="AI22" s="337"/>
      <c r="AJ22" s="337"/>
      <c r="AK22" s="337"/>
      <c r="AL22" s="337"/>
      <c r="AM22" s="337"/>
      <c r="AN22" s="337"/>
      <c r="AO22" s="337"/>
      <c r="AP22" s="337"/>
      <c r="AQ22" s="337"/>
      <c r="AR22" s="337"/>
      <c r="AS22" s="337"/>
      <c r="AT22" s="337"/>
      <c r="AU22" s="337">
        <f>SUM(Tabela10[[#This Row], [jan/26]:[dez/26]])</f>
      </c>
      <c r="AV22" s="337"/>
      <c r="AW22" s="337"/>
      <c r="AX22" s="337"/>
      <c r="AY22" s="337"/>
      <c r="AZ22" s="337">
        <f>SUM(Tabela10[[#This Row], [2026]:[2030]])</f>
      </c>
      <c r="BA22" s="337"/>
      <c r="BB22" s="337"/>
      <c r="BC22" s="337"/>
      <c r="BD22" s="337"/>
      <c r="BE22" s="337"/>
      <c r="BF22" s="373">
        <f>SUM(Tabela10[[#This Row], [2026-2030]:[2035]])</f>
      </c>
      <c r="BG22" s="374">
        <f>_xlfn.SEQUENCE(COUNTA(Tabela10[Empresa]),1,1)</f>
      </c>
      <c r="BH22" s="342"/>
      <c r="BI22" s="374">
        <f>VLOOKUP(Tabela10[[#This Row], [ID real2]],[2]CONSOLIDADA!$AU:$AZ,6,FALSE)</f>
      </c>
      <c r="BJ22" s="342"/>
      <c r="BK22" s="375"/>
      <c r="BL22" s="342"/>
      <c r="BM22" s="375"/>
      <c r="BN22" s="342"/>
      <c r="BO22" s="342"/>
      <c r="BP22" s="342"/>
      <c r="BQ22" s="342"/>
      <c r="BR22" s="376"/>
      <c r="BS22" s="342"/>
      <c r="BT22" s="342"/>
      <c r="BU22" s="376"/>
      <c r="BV22" s="376">
        <f>Tabela10[[#This Row], [Descrição do projeto]]</f>
      </c>
    </row>
    <row x14ac:dyDescent="0.25" r="23" customHeight="1" ht="18.75">
      <c r="A23" s="336">
        <v>373</v>
      </c>
      <c r="B23" s="371">
        <f>AND(ISTEXT('Consolidado-Eletronorte'!#REF!),SUM('Consolidado-Eletronorte'!#REF!)&gt;0)</f>
      </c>
      <c r="C23" s="371">
        <f>$J$13</f>
      </c>
      <c r="D23" s="371">
        <f>$H$13</f>
      </c>
      <c r="E23" s="371">
        <f>_xlfn.SEQUENCE(COUNTA(E32[Empresa]),1,1)</f>
      </c>
      <c r="F23" s="371">
        <f>_xlfn.CONCAT(Tabela10[[#This Row], [VP]],Tabela10[[#This Row], [Analise Estrategia]])</f>
      </c>
      <c r="G23" s="371">
        <f>_xlfn.CONCAT('Consolidado-Eletronorte'!#REF!,"_",ROW('Consolidado-Eletronorte'!#REF!)-ROW('Consolidado-Eletronorte'!$G$18))</f>
      </c>
      <c r="H23" s="335" t="s">
        <v>10</v>
      </c>
      <c r="I23" s="335" t="s">
        <v>88</v>
      </c>
      <c r="J23" s="335" t="s">
        <v>5</v>
      </c>
      <c r="K23" s="336" t="s">
        <v>21</v>
      </c>
      <c r="L23" s="335" t="s">
        <v>21</v>
      </c>
      <c r="M23" s="335" t="s">
        <v>39917</v>
      </c>
      <c r="N23" s="335"/>
      <c r="O23" s="335"/>
      <c r="P23" s="336" t="s">
        <v>38358</v>
      </c>
      <c r="Q23" s="342" t="s">
        <v>41232</v>
      </c>
      <c r="R23" s="335" t="s">
        <v>41216</v>
      </c>
      <c r="S23" s="342" t="s">
        <v>41232</v>
      </c>
      <c r="T23" s="335" t="s">
        <v>21</v>
      </c>
      <c r="U23" s="335" t="s">
        <v>21</v>
      </c>
      <c r="V23" s="335" t="s">
        <v>39917</v>
      </c>
      <c r="W23" s="335" t="s">
        <v>39917</v>
      </c>
      <c r="X23" s="335"/>
      <c r="Y23" s="336">
        <v>3400004035</v>
      </c>
      <c r="Z23" s="372">
        <v>226000000</v>
      </c>
      <c r="AA23" s="336">
        <v>4600002745</v>
      </c>
      <c r="AB23" s="372">
        <v>175279839.15</v>
      </c>
      <c r="AC23" s="336">
        <v>4500093709</v>
      </c>
      <c r="AD23" s="372">
        <v>175279839.15</v>
      </c>
      <c r="AE23" s="335" t="s">
        <v>41384</v>
      </c>
      <c r="AF23" s="335" t="s">
        <v>41209</v>
      </c>
      <c r="AG23" s="335" t="s">
        <v>39919</v>
      </c>
      <c r="AH23" s="335" t="s">
        <v>39912</v>
      </c>
      <c r="AI23" s="337">
        <v>0</v>
      </c>
      <c r="AJ23" s="337"/>
      <c r="AK23" s="337"/>
      <c r="AL23" s="337">
        <v>0</v>
      </c>
      <c r="AM23" s="337">
        <v>0</v>
      </c>
      <c r="AN23" s="337"/>
      <c r="AO23" s="337">
        <v>0</v>
      </c>
      <c r="AP23" s="337">
        <v>19838463.6179</v>
      </c>
      <c r="AQ23" s="337"/>
      <c r="AR23" s="337"/>
      <c r="AS23" s="337"/>
      <c r="AT23" s="337">
        <v>10903654.989845</v>
      </c>
      <c r="AU23" s="337">
        <f>SUM(Tabela10[[#This Row], [jan/26]:[dez/26]])</f>
      </c>
      <c r="AV23" s="337">
        <v>165692110.97322997</v>
      </c>
      <c r="AW23" s="337"/>
      <c r="AX23" s="337">
        <v>0</v>
      </c>
      <c r="AY23" s="337">
        <v>0</v>
      </c>
      <c r="AZ23" s="337">
        <f>SUM(Tabela10[[#This Row], [2026]:[2030]])</f>
      </c>
      <c r="BA23" s="337">
        <v>0</v>
      </c>
      <c r="BB23" s="337">
        <v>0</v>
      </c>
      <c r="BC23" s="337">
        <v>0</v>
      </c>
      <c r="BD23" s="337">
        <v>0</v>
      </c>
      <c r="BE23" s="337">
        <v>0</v>
      </c>
      <c r="BF23" s="373">
        <f>SUM(Tabela10[[#This Row], [2026-2030]:[2035]])</f>
      </c>
      <c r="BG23" s="374">
        <f>_xlfn.SEQUENCE(COUNTA(Tabela10[Empresa]),1,1)</f>
      </c>
      <c r="BH23" s="342" t="s">
        <v>41232</v>
      </c>
      <c r="BI23" s="374">
        <f>VLOOKUP(Tabela10[[#This Row], [ID real2]],[2]CONSOLIDADA!$AU:$AZ,6,FALSE)</f>
      </c>
      <c r="BJ23" s="342" t="s">
        <v>41128</v>
      </c>
      <c r="BK23" s="375">
        <v>2024</v>
      </c>
      <c r="BL23" s="342" t="s">
        <v>39921</v>
      </c>
      <c r="BM23" s="375" t="s">
        <v>39922</v>
      </c>
      <c r="BN23" s="342" t="s">
        <v>41232</v>
      </c>
      <c r="BO23" s="342" t="s">
        <v>46</v>
      </c>
      <c r="BP23" s="342" t="s">
        <v>41379</v>
      </c>
      <c r="BQ23" s="342" t="s">
        <v>46</v>
      </c>
      <c r="BR23" s="376">
        <v>71760000</v>
      </c>
      <c r="BS23" s="342" t="s">
        <v>41385</v>
      </c>
      <c r="BT23" s="342" t="s">
        <v>41232</v>
      </c>
      <c r="BU23" s="376" t="s">
        <v>41386</v>
      </c>
      <c r="BV23" s="376">
        <f>Tabela10[[#This Row], [Descrição do projeto]]</f>
      </c>
    </row>
    <row x14ac:dyDescent="0.25" r="24" customHeight="1" ht="18.75">
      <c r="A24" s="336"/>
      <c r="B24" s="379">
        <f>AND(ISTEXT('Consolidado-Eletronorte'!$H24:$M24),SUM('Consolidado-Eletronorte'!$AI24:$BF24)&gt;0)</f>
      </c>
      <c r="C24" s="371">
        <f>$J$13</f>
      </c>
      <c r="D24" s="371">
        <f>$H$13</f>
      </c>
      <c r="E24" s="378">
        <f>_xlfn.SEQUENCE(COUNTA(E33[Empresa]),1,1)</f>
      </c>
      <c r="F24" s="335"/>
      <c r="G24" s="379">
        <f>_xlfn.CONCAT('Consolidado-Eletronorte'!$D24,"_",ROW('Consolidado-Eletronorte'!$G24)-ROW('Consolidado-Eletronorte'!$G$18))</f>
      </c>
      <c r="H24" s="335"/>
      <c r="I24" s="335"/>
      <c r="J24" s="335"/>
      <c r="K24" s="336"/>
      <c r="L24" s="335"/>
      <c r="M24" s="335"/>
      <c r="N24" s="335"/>
      <c r="O24" s="335"/>
      <c r="P24" s="336"/>
      <c r="Q24" s="342" t="s">
        <v>41232</v>
      </c>
      <c r="R24" s="335" t="s">
        <v>41216</v>
      </c>
      <c r="S24" s="342" t="s">
        <v>41232</v>
      </c>
      <c r="T24" s="335"/>
      <c r="U24" s="335"/>
      <c r="V24" s="335"/>
      <c r="W24" s="335"/>
      <c r="X24" s="335"/>
      <c r="Y24" s="336"/>
      <c r="Z24" s="372"/>
      <c r="AA24" s="336"/>
      <c r="AB24" s="372"/>
      <c r="AC24" s="336">
        <v>4500083678</v>
      </c>
      <c r="AD24" s="372">
        <v>6623940.5</v>
      </c>
      <c r="AE24" s="335" t="s">
        <v>41387</v>
      </c>
      <c r="AF24" s="335" t="s">
        <v>41205</v>
      </c>
      <c r="AG24" s="335"/>
      <c r="AH24" s="335"/>
      <c r="AI24" s="337"/>
      <c r="AJ24" s="337"/>
      <c r="AK24" s="337"/>
      <c r="AL24" s="337"/>
      <c r="AM24" s="337"/>
      <c r="AN24" s="337"/>
      <c r="AO24" s="337"/>
      <c r="AP24" s="337"/>
      <c r="AQ24" s="337"/>
      <c r="AR24" s="337"/>
      <c r="AS24" s="337"/>
      <c r="AT24" s="337"/>
      <c r="AU24" s="337">
        <f>SUM(Tabela10[[#This Row], [jan/26]:[dez/26]])</f>
      </c>
      <c r="AV24" s="337"/>
      <c r="AW24" s="337"/>
      <c r="AX24" s="337"/>
      <c r="AY24" s="337"/>
      <c r="AZ24" s="337">
        <f>SUM(Tabela10[[#This Row], [2026]:[2030]])</f>
      </c>
      <c r="BA24" s="337"/>
      <c r="BB24" s="337"/>
      <c r="BC24" s="337"/>
      <c r="BD24" s="337"/>
      <c r="BE24" s="337"/>
      <c r="BF24" s="373">
        <f>SUM(Tabela10[[#This Row], [2026-2030]:[2035]])</f>
      </c>
      <c r="BG24" s="374">
        <f>_xlfn.SEQUENCE(COUNTA(Tabela10[Empresa]),1,1)</f>
      </c>
      <c r="BH24" s="342"/>
      <c r="BI24" s="374">
        <f>VLOOKUP(Tabela10[[#This Row], [ID real2]],[2]CONSOLIDADA!$AU:$AZ,6,FALSE)</f>
      </c>
      <c r="BJ24" s="342"/>
      <c r="BK24" s="375"/>
      <c r="BL24" s="342"/>
      <c r="BM24" s="375"/>
      <c r="BN24" s="342"/>
      <c r="BO24" s="342"/>
      <c r="BP24" s="342"/>
      <c r="BQ24" s="342"/>
      <c r="BR24" s="376"/>
      <c r="BS24" s="342"/>
      <c r="BT24" s="342"/>
      <c r="BU24" s="376"/>
      <c r="BV24" s="376">
        <f>Tabela10[[#This Row], [Descrição do projeto]]</f>
      </c>
    </row>
    <row x14ac:dyDescent="0.25" r="25" customHeight="1" ht="18.75">
      <c r="A25" s="336">
        <v>372</v>
      </c>
      <c r="B25" s="371">
        <f>AND(ISTEXT('Consolidado-Eletronorte'!#REF!),SUM('Consolidado-Eletronorte'!#REF!)&gt;0)</f>
      </c>
      <c r="C25" s="371">
        <f>$J$13</f>
      </c>
      <c r="D25" s="371">
        <f>$H$13</f>
      </c>
      <c r="E25" s="371">
        <f>_xlfn.SEQUENCE(COUNTA(E34[Empresa]),1,1)</f>
      </c>
      <c r="F25" s="371">
        <f>_xlfn.CONCAT(Tabela10[[#This Row], [VP]],Tabela10[[#This Row], [Analise Estrategia]])</f>
      </c>
      <c r="G25" s="371">
        <f>_xlfn.CONCAT('Consolidado-Eletronorte'!#REF!,"_",ROW('Consolidado-Eletronorte'!#REF!)-ROW('Consolidado-Eletronorte'!$G$18))</f>
      </c>
      <c r="H25" s="335" t="s">
        <v>10</v>
      </c>
      <c r="I25" s="335" t="s">
        <v>88</v>
      </c>
      <c r="J25" s="335" t="s">
        <v>5</v>
      </c>
      <c r="K25" s="336" t="s">
        <v>21</v>
      </c>
      <c r="L25" s="335" t="s">
        <v>21</v>
      </c>
      <c r="M25" s="335" t="s">
        <v>39938</v>
      </c>
      <c r="N25" s="335"/>
      <c r="O25" s="335"/>
      <c r="P25" s="336" t="s">
        <v>38358</v>
      </c>
      <c r="Q25" s="342" t="s">
        <v>41233</v>
      </c>
      <c r="R25" s="335" t="s">
        <v>39939</v>
      </c>
      <c r="S25" s="342" t="s">
        <v>41233</v>
      </c>
      <c r="T25" s="335" t="s">
        <v>21</v>
      </c>
      <c r="U25" s="335" t="s">
        <v>21</v>
      </c>
      <c r="V25" s="335" t="s">
        <v>39938</v>
      </c>
      <c r="W25" s="335" t="s">
        <v>39938</v>
      </c>
      <c r="X25" s="335"/>
      <c r="Y25" s="336"/>
      <c r="Z25" s="372"/>
      <c r="AA25" s="336"/>
      <c r="AB25" s="372"/>
      <c r="AC25" s="336">
        <v>4500080069</v>
      </c>
      <c r="AD25" s="372">
        <v>97552544.55</v>
      </c>
      <c r="AE25" s="335" t="s">
        <v>41388</v>
      </c>
      <c r="AF25" s="335" t="s">
        <v>41195</v>
      </c>
      <c r="AG25" s="335" t="s">
        <v>39919</v>
      </c>
      <c r="AH25" s="335" t="s">
        <v>39912</v>
      </c>
      <c r="AI25" s="337">
        <v>173385.48750000002</v>
      </c>
      <c r="AJ25" s="337">
        <v>173385.48750000002</v>
      </c>
      <c r="AK25" s="337">
        <v>173385.48750000002</v>
      </c>
      <c r="AL25" s="337">
        <v>9038805.977500001</v>
      </c>
      <c r="AM25" s="337">
        <v>7332139.154166667</v>
      </c>
      <c r="AN25" s="337">
        <v>173385.48750000002</v>
      </c>
      <c r="AO25" s="337">
        <v>281638.6475</v>
      </c>
      <c r="AP25" s="337">
        <v>12423385.4875</v>
      </c>
      <c r="AQ25" s="337">
        <v>676343.0475</v>
      </c>
      <c r="AR25" s="337">
        <v>7463578.754166666</v>
      </c>
      <c r="AS25" s="337">
        <v>173385.48750000002</v>
      </c>
      <c r="AT25" s="337">
        <v>173385.48750000002</v>
      </c>
      <c r="AU25" s="337">
        <f>SUM(Tabela10[[#This Row], [jan/26]:[dez/26]])</f>
      </c>
      <c r="AV25" s="337">
        <v>10144019.02</v>
      </c>
      <c r="AW25" s="337">
        <v>221463.61</v>
      </c>
      <c r="AX25" s="337">
        <v>0</v>
      </c>
      <c r="AY25" s="337">
        <v>0</v>
      </c>
      <c r="AZ25" s="337">
        <f>SUM(Tabela10[[#This Row], [2026]:[2030]])</f>
      </c>
      <c r="BA25" s="337">
        <v>0</v>
      </c>
      <c r="BB25" s="337">
        <v>0</v>
      </c>
      <c r="BC25" s="337">
        <v>0</v>
      </c>
      <c r="BD25" s="337">
        <v>0</v>
      </c>
      <c r="BE25" s="337">
        <v>0</v>
      </c>
      <c r="BF25" s="373">
        <f>SUM(Tabela10[[#This Row], [2026-2030]:[2035]])</f>
      </c>
      <c r="BG25" s="374">
        <f>_xlfn.SEQUENCE(COUNTA(Tabela10[Empresa]),1,1)</f>
      </c>
      <c r="BH25" s="342" t="s">
        <v>41233</v>
      </c>
      <c r="BI25" s="374">
        <f>VLOOKUP(Tabela10[[#This Row], [ID real2]],[2]CONSOLIDADA!$AU:$AZ,6,FALSE)</f>
      </c>
      <c r="BJ25" s="342" t="s">
        <v>41128</v>
      </c>
      <c r="BK25" s="375">
        <v>2024</v>
      </c>
      <c r="BL25" s="342" t="s">
        <v>39940</v>
      </c>
      <c r="BM25" s="375" t="s">
        <v>39941</v>
      </c>
      <c r="BN25" s="342" t="s">
        <v>41233</v>
      </c>
      <c r="BO25" s="342" t="s">
        <v>46</v>
      </c>
      <c r="BP25" s="342" t="s">
        <v>41379</v>
      </c>
      <c r="BQ25" s="342" t="s">
        <v>46</v>
      </c>
      <c r="BR25" s="376">
        <v>33164957.66</v>
      </c>
      <c r="BS25" s="342" t="s">
        <v>41389</v>
      </c>
      <c r="BT25" s="342" t="s">
        <v>41233</v>
      </c>
      <c r="BU25" s="376" t="s">
        <v>41147</v>
      </c>
      <c r="BV25" s="376">
        <f>Tabela10[[#This Row], [Descrição do projeto]]</f>
      </c>
    </row>
    <row x14ac:dyDescent="0.25" r="26" customHeight="1" ht="18.75">
      <c r="A26" s="336"/>
      <c r="B26" s="379">
        <f>AND(ISTEXT('Consolidado-Eletronorte'!$H26:$M26),SUM('Consolidado-Eletronorte'!$AI26:$BF26)&gt;0)</f>
      </c>
      <c r="C26" s="371">
        <f>$J$13</f>
      </c>
      <c r="D26" s="371">
        <f>$H$13</f>
      </c>
      <c r="E26" s="378">
        <f>_xlfn.SEQUENCE(COUNTA(E35[Empresa]),1,1)</f>
      </c>
      <c r="F26" s="335"/>
      <c r="G26" s="379">
        <f>_xlfn.CONCAT('Consolidado-Eletronorte'!$D26,"_",ROW('Consolidado-Eletronorte'!$G26)-ROW('Consolidado-Eletronorte'!$G$18))</f>
      </c>
      <c r="H26" s="335"/>
      <c r="I26" s="335"/>
      <c r="J26" s="335"/>
      <c r="K26" s="336"/>
      <c r="L26" s="335"/>
      <c r="M26" s="335"/>
      <c r="N26" s="335"/>
      <c r="O26" s="335"/>
      <c r="P26" s="336"/>
      <c r="Q26" s="342" t="s">
        <v>41233</v>
      </c>
      <c r="R26" s="335" t="s">
        <v>39939</v>
      </c>
      <c r="S26" s="342" t="s">
        <v>41233</v>
      </c>
      <c r="T26" s="335"/>
      <c r="U26" s="335"/>
      <c r="V26" s="335"/>
      <c r="W26" s="335"/>
      <c r="X26" s="335"/>
      <c r="Y26" s="336"/>
      <c r="Z26" s="372"/>
      <c r="AA26" s="336"/>
      <c r="AB26" s="372"/>
      <c r="AC26" s="336">
        <v>4500083678</v>
      </c>
      <c r="AD26" s="372">
        <v>6623940.5</v>
      </c>
      <c r="AE26" s="335" t="s">
        <v>41390</v>
      </c>
      <c r="AF26" s="335" t="s">
        <v>41205</v>
      </c>
      <c r="AG26" s="335"/>
      <c r="AH26" s="335"/>
      <c r="AI26" s="337"/>
      <c r="AJ26" s="337"/>
      <c r="AK26" s="337"/>
      <c r="AL26" s="337"/>
      <c r="AM26" s="337"/>
      <c r="AN26" s="337"/>
      <c r="AO26" s="337"/>
      <c r="AP26" s="337"/>
      <c r="AQ26" s="337"/>
      <c r="AR26" s="337"/>
      <c r="AS26" s="337"/>
      <c r="AT26" s="337"/>
      <c r="AU26" s="337">
        <f>SUM(Tabela10[[#This Row], [jan/26]:[dez/26]])</f>
      </c>
      <c r="AV26" s="337"/>
      <c r="AW26" s="337"/>
      <c r="AX26" s="337"/>
      <c r="AY26" s="337"/>
      <c r="AZ26" s="337">
        <f>SUM(Tabela10[[#This Row], [2026]:[2030]])</f>
      </c>
      <c r="BA26" s="337"/>
      <c r="BB26" s="337"/>
      <c r="BC26" s="337"/>
      <c r="BD26" s="337"/>
      <c r="BE26" s="337"/>
      <c r="BF26" s="373">
        <f>SUM(Tabela10[[#This Row], [2026-2030]:[2035]])</f>
      </c>
      <c r="BG26" s="374">
        <f>_xlfn.SEQUENCE(COUNTA(Tabela10[Empresa]),1,1)</f>
      </c>
      <c r="BH26" s="342"/>
      <c r="BI26" s="374">
        <f>VLOOKUP(Tabela10[[#This Row], [ID real2]],[2]CONSOLIDADA!$AU:$AZ,6,FALSE)</f>
      </c>
      <c r="BJ26" s="342"/>
      <c r="BK26" s="375"/>
      <c r="BL26" s="342"/>
      <c r="BM26" s="375"/>
      <c r="BN26" s="342"/>
      <c r="BO26" s="342"/>
      <c r="BP26" s="342"/>
      <c r="BQ26" s="342"/>
      <c r="BR26" s="376"/>
      <c r="BS26" s="342"/>
      <c r="BT26" s="342"/>
      <c r="BU26" s="376"/>
      <c r="BV26" s="376">
        <f>Tabela10[[#This Row], [Descrição do projeto]]</f>
      </c>
    </row>
    <row x14ac:dyDescent="0.25" r="27" customHeight="1" ht="18.75">
      <c r="A27" s="336"/>
      <c r="B27" s="379">
        <f>AND(ISTEXT('Consolidado-Eletronorte'!$H27:$M27),SUM('Consolidado-Eletronorte'!$AI27:$BF27)&gt;0)</f>
      </c>
      <c r="C27" s="371">
        <f>$J$13</f>
      </c>
      <c r="D27" s="371">
        <f>$H$13</f>
      </c>
      <c r="E27" s="378">
        <f>_xlfn.SEQUENCE(COUNTA(E36[Empresa]),1,1)</f>
      </c>
      <c r="F27" s="335"/>
      <c r="G27" s="379">
        <f>_xlfn.CONCAT('Consolidado-Eletronorte'!$D27,"_",ROW('Consolidado-Eletronorte'!$G27)-ROW('Consolidado-Eletronorte'!$G$18))</f>
      </c>
      <c r="H27" s="335"/>
      <c r="I27" s="335"/>
      <c r="J27" s="335"/>
      <c r="K27" s="336"/>
      <c r="L27" s="335"/>
      <c r="M27" s="335"/>
      <c r="N27" s="335"/>
      <c r="O27" s="335"/>
      <c r="P27" s="336"/>
      <c r="Q27" s="342" t="s">
        <v>41233</v>
      </c>
      <c r="R27" s="335" t="s">
        <v>39939</v>
      </c>
      <c r="S27" s="342" t="s">
        <v>41233</v>
      </c>
      <c r="T27" s="335"/>
      <c r="U27" s="335"/>
      <c r="V27" s="335"/>
      <c r="W27" s="335"/>
      <c r="X27" s="380" t="s">
        <v>41391</v>
      </c>
      <c r="Y27" s="336"/>
      <c r="Z27" s="372"/>
      <c r="AA27" s="336"/>
      <c r="AB27" s="372"/>
      <c r="AC27" s="336">
        <v>4500044911</v>
      </c>
      <c r="AD27" s="372">
        <v>309000</v>
      </c>
      <c r="AE27" s="335" t="s">
        <v>41392</v>
      </c>
      <c r="AF27" s="335" t="s">
        <v>41393</v>
      </c>
      <c r="AG27" s="335"/>
      <c r="AH27" s="335"/>
      <c r="AI27" s="337"/>
      <c r="AJ27" s="337"/>
      <c r="AK27" s="337"/>
      <c r="AL27" s="337"/>
      <c r="AM27" s="337"/>
      <c r="AN27" s="337"/>
      <c r="AO27" s="337"/>
      <c r="AP27" s="337"/>
      <c r="AQ27" s="337"/>
      <c r="AR27" s="337"/>
      <c r="AS27" s="337"/>
      <c r="AT27" s="337"/>
      <c r="AU27" s="337">
        <f>SUM(Tabela10[[#This Row], [jan/26]:[dez/26]])</f>
      </c>
      <c r="AV27" s="337"/>
      <c r="AW27" s="337"/>
      <c r="AX27" s="337"/>
      <c r="AY27" s="337"/>
      <c r="AZ27" s="337">
        <f>SUM(Tabela10[[#This Row], [2026]:[2030]])</f>
      </c>
      <c r="BA27" s="337"/>
      <c r="BB27" s="337"/>
      <c r="BC27" s="337"/>
      <c r="BD27" s="337"/>
      <c r="BE27" s="337"/>
      <c r="BF27" s="373">
        <f>SUM(Tabela10[[#This Row], [2026-2030]:[2035]])</f>
      </c>
      <c r="BG27" s="374">
        <f>_xlfn.SEQUENCE(COUNTA(Tabela10[Empresa]),1,1)</f>
      </c>
      <c r="BH27" s="342"/>
      <c r="BI27" s="374">
        <f>VLOOKUP(Tabela10[[#This Row], [ID real2]],[2]CONSOLIDADA!$AU:$AZ,6,FALSE)</f>
      </c>
      <c r="BJ27" s="342"/>
      <c r="BK27" s="375"/>
      <c r="BL27" s="342"/>
      <c r="BM27" s="375"/>
      <c r="BN27" s="342"/>
      <c r="BO27" s="342"/>
      <c r="BP27" s="342"/>
      <c r="BQ27" s="342"/>
      <c r="BR27" s="376"/>
      <c r="BS27" s="342"/>
      <c r="BT27" s="342"/>
      <c r="BU27" s="376"/>
      <c r="BV27" s="376">
        <f>Tabela10[[#This Row], [Descrição do projeto]]</f>
      </c>
    </row>
    <row x14ac:dyDescent="0.25" r="28" customHeight="1" ht="18.75" hidden="1">
      <c r="A28" s="336">
        <v>379</v>
      </c>
      <c r="B28" s="371">
        <f>AND(ISTEXT('Consolidado-Eletronorte'!#REF!),SUM('Consolidado-Eletronorte'!#REF!)&gt;0)</f>
      </c>
      <c r="C28" s="371">
        <f>$J$13</f>
      </c>
      <c r="D28" s="371">
        <f>$H$13</f>
      </c>
      <c r="E28" s="371">
        <f>_xlfn.SEQUENCE(COUNTA(E37[Empresa]),1,1)</f>
      </c>
      <c r="F28" s="371">
        <f>_xlfn.CONCAT(Tabela10[[#This Row], [VP]],Tabela10[[#This Row], [Analise Estrategia]])</f>
      </c>
      <c r="G28" s="371">
        <f>_xlfn.CONCAT('Consolidado-Eletronorte'!#REF!,"_",ROW('Consolidado-Eletronorte'!#REF!)-ROW('Consolidado-Eletronorte'!$G$18))</f>
      </c>
      <c r="H28" s="335" t="s">
        <v>10</v>
      </c>
      <c r="I28" s="335" t="s">
        <v>88</v>
      </c>
      <c r="J28" s="335" t="s">
        <v>5</v>
      </c>
      <c r="K28" s="336" t="s">
        <v>21</v>
      </c>
      <c r="L28" s="335" t="s">
        <v>21</v>
      </c>
      <c r="M28" s="335" t="s">
        <v>39942</v>
      </c>
      <c r="N28" s="335"/>
      <c r="O28" s="335"/>
      <c r="P28" s="336">
        <v>157189</v>
      </c>
      <c r="Q28" s="342" t="s">
        <v>41234</v>
      </c>
      <c r="R28" s="335" t="s">
        <v>39943</v>
      </c>
      <c r="S28" s="342" t="s">
        <v>41234</v>
      </c>
      <c r="T28" s="335" t="s">
        <v>21</v>
      </c>
      <c r="U28" s="335" t="s">
        <v>21</v>
      </c>
      <c r="V28" s="335" t="s">
        <v>39942</v>
      </c>
      <c r="W28" s="335" t="s">
        <v>39942</v>
      </c>
      <c r="X28" s="335"/>
      <c r="Y28" s="336">
        <v>3700008198</v>
      </c>
      <c r="Z28" s="372">
        <v>27910319</v>
      </c>
      <c r="AA28" s="336"/>
      <c r="AB28" s="372"/>
      <c r="AC28" s="336"/>
      <c r="AD28" s="372"/>
      <c r="AE28" s="335"/>
      <c r="AF28" s="335"/>
      <c r="AG28" s="335" t="s">
        <v>39944</v>
      </c>
      <c r="AH28" s="335" t="s">
        <v>39945</v>
      </c>
      <c r="AI28" s="337">
        <v>0</v>
      </c>
      <c r="AJ28" s="337"/>
      <c r="AK28" s="337">
        <v>0</v>
      </c>
      <c r="AL28" s="337">
        <v>0</v>
      </c>
      <c r="AM28" s="337">
        <v>0</v>
      </c>
      <c r="AN28" s="337"/>
      <c r="AO28" s="337">
        <v>0</v>
      </c>
      <c r="AP28" s="337">
        <v>0</v>
      </c>
      <c r="AQ28" s="337">
        <v>0</v>
      </c>
      <c r="AR28" s="337">
        <v>2000000</v>
      </c>
      <c r="AS28" s="337">
        <v>2000000</v>
      </c>
      <c r="AT28" s="337">
        <v>0</v>
      </c>
      <c r="AU28" s="381">
        <f>SUM(Tabela10[[#This Row], [jan/26]:[dez/26]])</f>
      </c>
      <c r="AV28" s="381">
        <v>23500000</v>
      </c>
      <c r="AW28" s="337">
        <v>0</v>
      </c>
      <c r="AX28" s="337">
        <v>0</v>
      </c>
      <c r="AY28" s="337">
        <v>0</v>
      </c>
      <c r="AZ28" s="337">
        <f>SUM(Tabela10[[#This Row], [2026]:[2030]])</f>
      </c>
      <c r="BA28" s="337">
        <v>0</v>
      </c>
      <c r="BB28" s="337">
        <v>0</v>
      </c>
      <c r="BC28" s="337">
        <v>0</v>
      </c>
      <c r="BD28" s="337">
        <v>0</v>
      </c>
      <c r="BE28" s="337">
        <v>0</v>
      </c>
      <c r="BF28" s="373">
        <f>SUM(Tabela10[[#This Row], [2026-2030]:[2035]])</f>
      </c>
      <c r="BG28" s="374">
        <f>_xlfn.SEQUENCE(COUNTA(Tabela10[Empresa]),1,1)</f>
      </c>
      <c r="BH28" s="342" t="s">
        <v>41234</v>
      </c>
      <c r="BI28" s="374">
        <f>VLOOKUP(Tabela10[[#This Row], [ID real2]],[2]CONSOLIDADA!$AU:$AZ,6,FALSE)</f>
      </c>
      <c r="BJ28" s="342" t="s">
        <v>40043</v>
      </c>
      <c r="BK28" s="375">
        <v>2025</v>
      </c>
      <c r="BL28" s="342" t="s">
        <v>39947</v>
      </c>
      <c r="BM28" s="375" t="s">
        <v>39948</v>
      </c>
      <c r="BN28" s="342" t="s">
        <v>41234</v>
      </c>
      <c r="BO28" s="342" t="s">
        <v>41171</v>
      </c>
      <c r="BP28" s="342" t="s">
        <v>41394</v>
      </c>
      <c r="BQ28" s="342" t="s">
        <v>64</v>
      </c>
      <c r="BR28" s="376">
        <v>13955159.55</v>
      </c>
      <c r="BS28" s="342" t="s">
        <v>41395</v>
      </c>
      <c r="BT28" s="342" t="s">
        <v>41234</v>
      </c>
      <c r="BU28" s="376" t="s">
        <v>41151</v>
      </c>
      <c r="BV28" s="376">
        <f>Tabela10[[#This Row], [Descrição do projeto]]</f>
      </c>
    </row>
    <row x14ac:dyDescent="0.25" r="29" customHeight="1" ht="18.75" hidden="1">
      <c r="A29" s="336">
        <v>265</v>
      </c>
      <c r="B29" s="371">
        <f>AND(ISTEXT('Consolidado-Eletronorte'!#REF!),SUM('Consolidado-Eletronorte'!#REF!)&gt;0)</f>
      </c>
      <c r="C29" s="371">
        <f>$J$13</f>
      </c>
      <c r="D29" s="371">
        <f>$H$13</f>
      </c>
      <c r="E29" s="371">
        <f>_xlfn.SEQUENCE(COUNTA(E38[Empresa]),1,1)</f>
      </c>
      <c r="F29" s="371">
        <f>_xlfn.CONCAT(Tabela10[[#This Row], [VP]],Tabela10[[#This Row], [Analise Estrategia]])</f>
      </c>
      <c r="G29" s="371">
        <f>_xlfn.CONCAT('Consolidado-Eletronorte'!#REF!,"_",ROW('Consolidado-Eletronorte'!#REF!)-ROW('Consolidado-Eletronorte'!$G$18))</f>
      </c>
      <c r="H29" s="335" t="s">
        <v>10</v>
      </c>
      <c r="I29" s="335" t="s">
        <v>88</v>
      </c>
      <c r="J29" s="335" t="s">
        <v>5</v>
      </c>
      <c r="K29" s="336" t="s">
        <v>21</v>
      </c>
      <c r="L29" s="335" t="s">
        <v>21</v>
      </c>
      <c r="M29" s="335" t="s">
        <v>39932</v>
      </c>
      <c r="N29" s="335"/>
      <c r="O29" s="335"/>
      <c r="P29" s="336" t="s">
        <v>38358</v>
      </c>
      <c r="Q29" s="342" t="s">
        <v>41235</v>
      </c>
      <c r="R29" s="335" t="s">
        <v>39933</v>
      </c>
      <c r="S29" s="342" t="s">
        <v>41235</v>
      </c>
      <c r="T29" s="335" t="s">
        <v>21</v>
      </c>
      <c r="U29" s="335" t="s">
        <v>21</v>
      </c>
      <c r="V29" s="335" t="s">
        <v>39932</v>
      </c>
      <c r="W29" s="335" t="s">
        <v>39932</v>
      </c>
      <c r="X29" s="335"/>
      <c r="Y29" s="336">
        <v>3400004379</v>
      </c>
      <c r="Z29" s="372">
        <v>16274073.14</v>
      </c>
      <c r="AA29" s="336">
        <v>4600003254</v>
      </c>
      <c r="AB29" s="372">
        <v>14290397.53</v>
      </c>
      <c r="AC29" s="336"/>
      <c r="AD29" s="372"/>
      <c r="AE29" s="335" t="s">
        <v>41396</v>
      </c>
      <c r="AF29" s="335" t="s">
        <v>41397</v>
      </c>
      <c r="AG29" s="335" t="s">
        <v>39934</v>
      </c>
      <c r="AH29" s="335" t="s">
        <v>39912</v>
      </c>
      <c r="AI29" s="337">
        <v>0</v>
      </c>
      <c r="AJ29" s="337">
        <v>0</v>
      </c>
      <c r="AK29" s="337">
        <v>0</v>
      </c>
      <c r="AL29" s="337">
        <v>0</v>
      </c>
      <c r="AM29" s="337">
        <v>0</v>
      </c>
      <c r="AN29" s="337">
        <v>0</v>
      </c>
      <c r="AO29" s="337">
        <v>0</v>
      </c>
      <c r="AP29" s="337">
        <v>0</v>
      </c>
      <c r="AQ29" s="337">
        <v>0</v>
      </c>
      <c r="AR29" s="337"/>
      <c r="AS29" s="337">
        <v>0</v>
      </c>
      <c r="AT29" s="337"/>
      <c r="AU29" s="381">
        <f>SUM(Tabela10[[#This Row], [jan/26]:[dez/26]])</f>
      </c>
      <c r="AV29" s="381">
        <v>16000000</v>
      </c>
      <c r="AW29" s="381">
        <v>16000000</v>
      </c>
      <c r="AX29" s="381">
        <v>16000000</v>
      </c>
      <c r="AY29" s="337">
        <v>0</v>
      </c>
      <c r="AZ29" s="337">
        <f>SUM(Tabela10[[#This Row], [2026]:[2030]])</f>
      </c>
      <c r="BA29" s="337">
        <v>0</v>
      </c>
      <c r="BB29" s="337">
        <v>0</v>
      </c>
      <c r="BC29" s="337">
        <v>0</v>
      </c>
      <c r="BD29" s="337">
        <v>0</v>
      </c>
      <c r="BE29" s="337">
        <v>0</v>
      </c>
      <c r="BF29" s="373">
        <f>SUM(Tabela10[[#This Row], [2026-2030]:[2035]])</f>
      </c>
      <c r="BG29" s="374">
        <f>_xlfn.SEQUENCE(COUNTA(Tabela10[Empresa]),1,1)</f>
      </c>
      <c r="BH29" s="342" t="s">
        <v>41235</v>
      </c>
      <c r="BI29" s="374">
        <f>VLOOKUP(Tabela10[[#This Row], [ID real2]],[2]CONSOLIDADA!$AU:$AZ,6,FALSE)</f>
      </c>
      <c r="BJ29" s="342" t="s">
        <v>39935</v>
      </c>
      <c r="BK29" s="375">
        <v>2025</v>
      </c>
      <c r="BL29" s="342" t="s">
        <v>39936</v>
      </c>
      <c r="BM29" s="375" t="s">
        <v>39937</v>
      </c>
      <c r="BN29" s="342" t="s">
        <v>41235</v>
      </c>
      <c r="BO29" s="342" t="s">
        <v>41171</v>
      </c>
      <c r="BP29" s="342" t="s">
        <v>41121</v>
      </c>
      <c r="BQ29" s="342" t="s">
        <v>64</v>
      </c>
      <c r="BR29" s="376">
        <v>12833768.05</v>
      </c>
      <c r="BS29" s="342" t="s">
        <v>41398</v>
      </c>
      <c r="BT29" s="342" t="s">
        <v>41235</v>
      </c>
      <c r="BU29" s="376" t="s">
        <v>41399</v>
      </c>
      <c r="BV29" s="376">
        <f>Tabela10[[#This Row], [Descrição do projeto]]</f>
      </c>
    </row>
    <row x14ac:dyDescent="0.25" r="30" customHeight="1" ht="18.75" hidden="1">
      <c r="A30" s="336">
        <v>356</v>
      </c>
      <c r="B30" s="371">
        <f>AND(ISTEXT('Consolidado-Eletronorte'!#REF!),SUM('Consolidado-Eletronorte'!#REF!)&gt;0)</f>
      </c>
      <c r="C30" s="371">
        <f>$J$13</f>
      </c>
      <c r="D30" s="371">
        <f>$H$13</f>
      </c>
      <c r="E30" s="371">
        <f>_xlfn.SEQUENCE(COUNTA(E39[Empresa]),1,1)</f>
      </c>
      <c r="F30" s="371">
        <f>_xlfn.CONCAT(Tabela10[[#This Row], [VP]],Tabela10[[#This Row], [Analise Estrategia]])</f>
      </c>
      <c r="G30" s="371">
        <f>_xlfn.CONCAT('Consolidado-Eletronorte'!#REF!,"_",ROW('Consolidado-Eletronorte'!#REF!)-ROW('Consolidado-Eletronorte'!$G$18))</f>
      </c>
      <c r="H30" s="335" t="s">
        <v>10</v>
      </c>
      <c r="I30" s="335" t="s">
        <v>88</v>
      </c>
      <c r="J30" s="335" t="s">
        <v>5</v>
      </c>
      <c r="K30" s="336" t="s">
        <v>21</v>
      </c>
      <c r="L30" s="335" t="s">
        <v>21</v>
      </c>
      <c r="M30" s="335" t="s">
        <v>39932</v>
      </c>
      <c r="N30" s="335"/>
      <c r="O30" s="335"/>
      <c r="P30" s="336" t="s">
        <v>38358</v>
      </c>
      <c r="Q30" s="342" t="s">
        <v>41280</v>
      </c>
      <c r="R30" s="335" t="s">
        <v>39958</v>
      </c>
      <c r="S30" s="342" t="s">
        <v>41280</v>
      </c>
      <c r="T30" s="335" t="s">
        <v>21</v>
      </c>
      <c r="U30" s="335" t="s">
        <v>21</v>
      </c>
      <c r="V30" s="335" t="s">
        <v>39932</v>
      </c>
      <c r="W30" s="335" t="s">
        <v>39932</v>
      </c>
      <c r="X30" s="335"/>
      <c r="Y30" s="336" t="s">
        <v>41222</v>
      </c>
      <c r="Z30" s="372"/>
      <c r="AA30" s="336"/>
      <c r="AB30" s="372"/>
      <c r="AC30" s="336"/>
      <c r="AD30" s="372"/>
      <c r="AE30" s="335"/>
      <c r="AF30" s="335"/>
      <c r="AG30" s="335" t="s">
        <v>39959</v>
      </c>
      <c r="AH30" s="335" t="s">
        <v>39912</v>
      </c>
      <c r="AI30" s="337">
        <v>0</v>
      </c>
      <c r="AJ30" s="337">
        <v>0</v>
      </c>
      <c r="AK30" s="337">
        <v>0</v>
      </c>
      <c r="AL30" s="337">
        <v>0</v>
      </c>
      <c r="AM30" s="337">
        <v>0</v>
      </c>
      <c r="AN30" s="337">
        <v>0</v>
      </c>
      <c r="AO30" s="337">
        <v>0</v>
      </c>
      <c r="AP30" s="337">
        <v>0</v>
      </c>
      <c r="AQ30" s="337">
        <v>0</v>
      </c>
      <c r="AR30" s="337"/>
      <c r="AS30" s="337">
        <v>0</v>
      </c>
      <c r="AT30" s="337"/>
      <c r="AU30" s="381">
        <f>SUM(Tabela10[[#This Row], [jan/26]:[dez/26]])</f>
      </c>
      <c r="AV30" s="381">
        <v>2000000</v>
      </c>
      <c r="AW30" s="381">
        <v>9500000</v>
      </c>
      <c r="AX30" s="381">
        <v>10000000</v>
      </c>
      <c r="AY30" s="337">
        <v>0</v>
      </c>
      <c r="AZ30" s="337">
        <f>SUM(Tabela10[[#This Row], [2026]:[2030]])</f>
      </c>
      <c r="BA30" s="337">
        <v>0</v>
      </c>
      <c r="BB30" s="337">
        <v>0</v>
      </c>
      <c r="BC30" s="337">
        <v>0</v>
      </c>
      <c r="BD30" s="337">
        <v>0</v>
      </c>
      <c r="BE30" s="337">
        <v>0</v>
      </c>
      <c r="BF30" s="373">
        <f>SUM(Tabela10[[#This Row], [2026-2030]:[2035]])</f>
      </c>
      <c r="BG30" s="374">
        <f>_xlfn.SEQUENCE(COUNTA(Tabela10[Empresa]),1,1)</f>
      </c>
      <c r="BH30" s="342" t="s">
        <v>41280</v>
      </c>
      <c r="BI30" s="374">
        <f>VLOOKUP(Tabela10[[#This Row], [ID real2]],[2]CONSOLIDADA!$AU:$AZ,6,FALSE)</f>
      </c>
      <c r="BJ30" s="342" t="s">
        <v>39925</v>
      </c>
      <c r="BK30" s="375">
        <v>2025</v>
      </c>
      <c r="BL30" s="342" t="s">
        <v>39960</v>
      </c>
      <c r="BM30" s="375" t="s">
        <v>39961</v>
      </c>
      <c r="BN30" s="342" t="s">
        <v>41280</v>
      </c>
      <c r="BO30" s="342" t="s">
        <v>41172</v>
      </c>
      <c r="BP30" s="342" t="s">
        <v>41400</v>
      </c>
      <c r="BQ30" s="342" t="s">
        <v>41123</v>
      </c>
      <c r="BR30" s="376">
        <v>2000000</v>
      </c>
      <c r="BS30" s="342" t="s">
        <v>41401</v>
      </c>
      <c r="BT30" s="342" t="s">
        <v>41280</v>
      </c>
      <c r="BU30" s="376" t="s">
        <v>39925</v>
      </c>
      <c r="BV30" s="376">
        <f>Tabela10[[#This Row], [Descrição do projeto]]</f>
      </c>
    </row>
    <row x14ac:dyDescent="0.25" r="31" customHeight="1" ht="18.75" hidden="1">
      <c r="A31" s="336">
        <v>362</v>
      </c>
      <c r="B31" s="371">
        <f>AND(ISTEXT('Consolidado-Eletronorte'!#REF!),SUM('Consolidado-Eletronorte'!#REF!)&gt;0)</f>
      </c>
      <c r="C31" s="371">
        <f>$J$13</f>
      </c>
      <c r="D31" s="371">
        <f>$H$13</f>
      </c>
      <c r="E31" s="371">
        <f>_xlfn.SEQUENCE(COUNTA(E40[Empresa]),1,1)</f>
      </c>
      <c r="F31" s="371">
        <f>_xlfn.CONCAT(Tabela10[[#This Row], [VP]],Tabela10[[#This Row], [Analise Estrategia]])</f>
      </c>
      <c r="G31" s="371">
        <f>_xlfn.CONCAT('Consolidado-Eletronorte'!#REF!,"_",ROW('Consolidado-Eletronorte'!#REF!)-ROW('Consolidado-Eletronorte'!$G$18))</f>
      </c>
      <c r="H31" s="335" t="s">
        <v>10</v>
      </c>
      <c r="I31" s="335" t="s">
        <v>88</v>
      </c>
      <c r="J31" s="335" t="s">
        <v>5</v>
      </c>
      <c r="K31" s="336" t="s">
        <v>21</v>
      </c>
      <c r="L31" s="335" t="s">
        <v>21</v>
      </c>
      <c r="M31" s="335" t="s">
        <v>39932</v>
      </c>
      <c r="N31" s="335"/>
      <c r="O31" s="335"/>
      <c r="P31" s="336" t="s">
        <v>38358</v>
      </c>
      <c r="Q31" s="342" t="s">
        <v>41241</v>
      </c>
      <c r="R31" s="335" t="s">
        <v>39954</v>
      </c>
      <c r="S31" s="342" t="s">
        <v>41241</v>
      </c>
      <c r="T31" s="335" t="s">
        <v>21</v>
      </c>
      <c r="U31" s="335" t="s">
        <v>21</v>
      </c>
      <c r="V31" s="335" t="s">
        <v>39932</v>
      </c>
      <c r="W31" s="335" t="s">
        <v>39932</v>
      </c>
      <c r="X31" s="335"/>
      <c r="Y31" s="336"/>
      <c r="Z31" s="372"/>
      <c r="AA31" s="336">
        <v>4600001776</v>
      </c>
      <c r="AB31" s="372">
        <v>15210890.8</v>
      </c>
      <c r="AC31" s="336"/>
      <c r="AD31" s="372"/>
      <c r="AE31" s="335" t="s">
        <v>41402</v>
      </c>
      <c r="AF31" s="342" t="s">
        <v>41397</v>
      </c>
      <c r="AG31" s="335" t="s">
        <v>39955</v>
      </c>
      <c r="AH31" s="335" t="s">
        <v>39912</v>
      </c>
      <c r="AI31" s="337">
        <v>0</v>
      </c>
      <c r="AJ31" s="337">
        <v>0</v>
      </c>
      <c r="AK31" s="337">
        <v>0</v>
      </c>
      <c r="AL31" s="337">
        <v>0</v>
      </c>
      <c r="AM31" s="337">
        <v>0</v>
      </c>
      <c r="AN31" s="337">
        <v>0</v>
      </c>
      <c r="AO31" s="337">
        <v>0</v>
      </c>
      <c r="AP31" s="337">
        <v>0</v>
      </c>
      <c r="AQ31" s="337">
        <v>2000000</v>
      </c>
      <c r="AR31" s="337">
        <v>0</v>
      </c>
      <c r="AS31" s="337">
        <v>2000000</v>
      </c>
      <c r="AT31" s="337">
        <v>2000000</v>
      </c>
      <c r="AU31" s="337">
        <f>SUM(Tabela10[[#This Row], [jan/26]:[dez/26]])</f>
      </c>
      <c r="AV31" s="337">
        <v>7000000</v>
      </c>
      <c r="AW31" s="337">
        <v>4000000</v>
      </c>
      <c r="AX31" s="337">
        <v>4000000</v>
      </c>
      <c r="AY31" s="337">
        <v>0</v>
      </c>
      <c r="AZ31" s="337">
        <f>SUM(Tabela10[[#This Row], [2026]:[2030]])</f>
      </c>
      <c r="BA31" s="337">
        <v>0</v>
      </c>
      <c r="BB31" s="337">
        <v>0</v>
      </c>
      <c r="BC31" s="337">
        <v>0</v>
      </c>
      <c r="BD31" s="337">
        <v>0</v>
      </c>
      <c r="BE31" s="337">
        <v>0</v>
      </c>
      <c r="BF31" s="373">
        <f>SUM(Tabela10[[#This Row], [2026-2030]:[2035]])</f>
      </c>
      <c r="BG31" s="374">
        <f>_xlfn.SEQUENCE(COUNTA(Tabela10[Empresa]),1,1)</f>
      </c>
      <c r="BH31" s="342" t="s">
        <v>41241</v>
      </c>
      <c r="BI31" s="374">
        <f>VLOOKUP(Tabela10[[#This Row], [ID real2]],[2]CONSOLIDADA!$AU:$AZ,6,FALSE)</f>
      </c>
      <c r="BJ31" s="342" t="s">
        <v>39956</v>
      </c>
      <c r="BK31" s="375">
        <v>2025</v>
      </c>
      <c r="BL31" s="342" t="s">
        <v>41403</v>
      </c>
      <c r="BM31" s="375" t="s">
        <v>39957</v>
      </c>
      <c r="BN31" s="342" t="s">
        <v>41241</v>
      </c>
      <c r="BO31" s="342" t="s">
        <v>46</v>
      </c>
      <c r="BP31" s="342" t="s">
        <v>41400</v>
      </c>
      <c r="BQ31" s="342" t="s">
        <v>46</v>
      </c>
      <c r="BR31" s="376">
        <v>6000000</v>
      </c>
      <c r="BS31" s="342" t="s">
        <v>41389</v>
      </c>
      <c r="BT31" s="342" t="s">
        <v>41241</v>
      </c>
      <c r="BU31" s="376" t="s">
        <v>41404</v>
      </c>
      <c r="BV31" s="376">
        <f>Tabela10[[#This Row], [Descrição do projeto]]</f>
      </c>
    </row>
    <row x14ac:dyDescent="0.25" r="32" customHeight="1" ht="18.75" hidden="1">
      <c r="A32" s="336">
        <v>370</v>
      </c>
      <c r="B32" s="371">
        <f>AND(ISTEXT('Consolidado-Eletronorte'!#REF!),SUM('Consolidado-Eletronorte'!#REF!)&gt;0)</f>
      </c>
      <c r="C32" s="371">
        <f>$J$13</f>
      </c>
      <c r="D32" s="371">
        <f>$H$13</f>
      </c>
      <c r="E32" s="371">
        <f>_xlfn.SEQUENCE(COUNTA(E41[Empresa]),1,1)</f>
      </c>
      <c r="F32" s="371">
        <f>_xlfn.CONCAT(Tabela10[[#This Row], [VP]],Tabela10[[#This Row], [Analise Estrategia]])</f>
      </c>
      <c r="G32" s="371">
        <f>_xlfn.CONCAT('Consolidado-Eletronorte'!#REF!,"_",ROW('Consolidado-Eletronorte'!#REF!)-ROW('Consolidado-Eletronorte'!$G$18))</f>
      </c>
      <c r="H32" s="335" t="s">
        <v>10</v>
      </c>
      <c r="I32" s="335" t="s">
        <v>88</v>
      </c>
      <c r="J32" s="335" t="s">
        <v>5</v>
      </c>
      <c r="K32" s="336" t="s">
        <v>21</v>
      </c>
      <c r="L32" s="335" t="s">
        <v>21</v>
      </c>
      <c r="M32" s="335" t="s">
        <v>39949</v>
      </c>
      <c r="N32" s="335"/>
      <c r="O32" s="335"/>
      <c r="P32" s="336" t="s">
        <v>38358</v>
      </c>
      <c r="Q32" s="342" t="s">
        <v>41239</v>
      </c>
      <c r="R32" s="335" t="s">
        <v>39972</v>
      </c>
      <c r="S32" s="342" t="s">
        <v>41239</v>
      </c>
      <c r="T32" s="335" t="s">
        <v>21</v>
      </c>
      <c r="U32" s="335" t="s">
        <v>21</v>
      </c>
      <c r="V32" s="335" t="s">
        <v>39949</v>
      </c>
      <c r="W32" s="335" t="s">
        <v>39949</v>
      </c>
      <c r="X32" s="335"/>
      <c r="Y32" s="336">
        <v>3400006178</v>
      </c>
      <c r="Z32" s="372"/>
      <c r="AA32" s="336"/>
      <c r="AB32" s="372"/>
      <c r="AC32" s="336"/>
      <c r="AD32" s="372"/>
      <c r="AE32" s="335"/>
      <c r="AF32" s="335"/>
      <c r="AG32" s="335" t="s">
        <v>39973</v>
      </c>
      <c r="AH32" s="335" t="s">
        <v>39912</v>
      </c>
      <c r="AI32" s="337">
        <v>0</v>
      </c>
      <c r="AJ32" s="337">
        <v>0</v>
      </c>
      <c r="AK32" s="337"/>
      <c r="AL32" s="337">
        <v>0</v>
      </c>
      <c r="AM32" s="337">
        <v>0</v>
      </c>
      <c r="AN32" s="337">
        <v>0</v>
      </c>
      <c r="AO32" s="337"/>
      <c r="AP32" s="337">
        <v>0</v>
      </c>
      <c r="AQ32" s="337">
        <v>0</v>
      </c>
      <c r="AR32" s="337">
        <v>0</v>
      </c>
      <c r="AS32" s="337">
        <v>2000000</v>
      </c>
      <c r="AT32" s="337"/>
      <c r="AU32" s="381">
        <f>SUM(Tabela10[[#This Row], [jan/26]:[dez/26]])</f>
      </c>
      <c r="AV32" s="337">
        <v>7400000</v>
      </c>
      <c r="AW32" s="381">
        <v>4000000</v>
      </c>
      <c r="AX32" s="381">
        <v>5000000</v>
      </c>
      <c r="AY32" s="337">
        <v>0</v>
      </c>
      <c r="AZ32" s="337">
        <f>SUM(Tabela10[[#This Row], [2026]:[2030]])</f>
      </c>
      <c r="BA32" s="337">
        <v>0</v>
      </c>
      <c r="BB32" s="337">
        <v>0</v>
      </c>
      <c r="BC32" s="337">
        <v>0</v>
      </c>
      <c r="BD32" s="337">
        <v>0</v>
      </c>
      <c r="BE32" s="337">
        <v>0</v>
      </c>
      <c r="BF32" s="373">
        <f>SUM(Tabela10[[#This Row], [2026-2030]:[2035]])</f>
      </c>
      <c r="BG32" s="374">
        <f>_xlfn.SEQUENCE(COUNTA(Tabela10[Empresa]),1,1)</f>
      </c>
      <c r="BH32" s="342" t="s">
        <v>41239</v>
      </c>
      <c r="BI32" s="374">
        <f>VLOOKUP(Tabela10[[#This Row], [ID real2]],[2]CONSOLIDADA!$AU:$AZ,6,FALSE)</f>
      </c>
      <c r="BJ32" s="342" t="s">
        <v>41127</v>
      </c>
      <c r="BK32" s="375">
        <v>2025</v>
      </c>
      <c r="BL32" s="342" t="s">
        <v>39974</v>
      </c>
      <c r="BM32" s="375" t="s">
        <v>39975</v>
      </c>
      <c r="BN32" s="342" t="s">
        <v>41239</v>
      </c>
      <c r="BO32" s="342" t="s">
        <v>41173</v>
      </c>
      <c r="BP32" s="342" t="s">
        <v>41394</v>
      </c>
      <c r="BQ32" s="342" t="s">
        <v>64</v>
      </c>
      <c r="BR32" s="376">
        <v>7000000</v>
      </c>
      <c r="BS32" s="342" t="s">
        <v>41405</v>
      </c>
      <c r="BT32" s="342" t="s">
        <v>41239</v>
      </c>
      <c r="BU32" s="376" t="s">
        <v>41144</v>
      </c>
      <c r="BV32" s="376">
        <f>Tabela10[[#This Row], [Descrição do projeto]]</f>
      </c>
    </row>
    <row x14ac:dyDescent="0.25" r="33" customHeight="1" ht="18.75" hidden="1">
      <c r="A33" s="336">
        <v>380</v>
      </c>
      <c r="B33" s="371">
        <f>AND(ISTEXT('Consolidado-Eletronorte'!#REF!),SUM('Consolidado-Eletronorte'!#REF!)&gt;0)</f>
      </c>
      <c r="C33" s="371">
        <f>$J$13</f>
      </c>
      <c r="D33" s="371">
        <f>$H$13</f>
      </c>
      <c r="E33" s="371">
        <f>_xlfn.SEQUENCE(COUNTA(E42[Empresa]),1,1)</f>
      </c>
      <c r="F33" s="371">
        <f>_xlfn.CONCAT(Tabela10[[#This Row], [VP]],Tabela10[[#This Row], [Analise Estrategia]])</f>
      </c>
      <c r="G33" s="371">
        <f>_xlfn.CONCAT('Consolidado-Eletronorte'!#REF!,"_",ROW('Consolidado-Eletronorte'!#REF!)-ROW('Consolidado-Eletronorte'!$G$18))</f>
      </c>
      <c r="H33" s="335" t="s">
        <v>10</v>
      </c>
      <c r="I33" s="335" t="s">
        <v>88</v>
      </c>
      <c r="J33" s="335" t="s">
        <v>5</v>
      </c>
      <c r="K33" s="336" t="s">
        <v>21</v>
      </c>
      <c r="L33" s="335" t="s">
        <v>21</v>
      </c>
      <c r="M33" s="335" t="s">
        <v>39917</v>
      </c>
      <c r="N33" s="335"/>
      <c r="O33" s="335"/>
      <c r="P33" s="336" t="s">
        <v>38358</v>
      </c>
      <c r="Q33" s="342" t="s">
        <v>41236</v>
      </c>
      <c r="R33" s="335" t="s">
        <v>39976</v>
      </c>
      <c r="S33" s="342" t="s">
        <v>41236</v>
      </c>
      <c r="T33" s="335" t="s">
        <v>21</v>
      </c>
      <c r="U33" s="335" t="s">
        <v>21</v>
      </c>
      <c r="V33" s="335" t="s">
        <v>39917</v>
      </c>
      <c r="W33" s="335" t="s">
        <v>39917</v>
      </c>
      <c r="X33" s="335"/>
      <c r="Y33" s="336">
        <v>3400004381</v>
      </c>
      <c r="Z33" s="372">
        <v>12868088</v>
      </c>
      <c r="AA33" s="336"/>
      <c r="AB33" s="372"/>
      <c r="AC33" s="336"/>
      <c r="AD33" s="372"/>
      <c r="AE33" s="335"/>
      <c r="AF33" s="335"/>
      <c r="AG33" s="335" t="s">
        <v>39977</v>
      </c>
      <c r="AH33" s="335" t="s">
        <v>39912</v>
      </c>
      <c r="AI33" s="337">
        <v>0</v>
      </c>
      <c r="AJ33" s="337">
        <v>0</v>
      </c>
      <c r="AK33" s="337"/>
      <c r="AL33" s="337">
        <v>0</v>
      </c>
      <c r="AM33" s="337">
        <v>0</v>
      </c>
      <c r="AN33" s="337">
        <v>1500000</v>
      </c>
      <c r="AO33" s="337">
        <v>0</v>
      </c>
      <c r="AP33" s="337">
        <v>0</v>
      </c>
      <c r="AQ33" s="337">
        <v>0</v>
      </c>
      <c r="AR33" s="337">
        <v>3500000</v>
      </c>
      <c r="AS33" s="337"/>
      <c r="AT33" s="337">
        <v>0</v>
      </c>
      <c r="AU33" s="381">
        <f>SUM(Tabela10[[#This Row], [jan/26]:[dez/26]])</f>
      </c>
      <c r="AV33" s="381">
        <v>6750000</v>
      </c>
      <c r="AW33" s="381">
        <v>5000000</v>
      </c>
      <c r="AX33" s="337">
        <v>0</v>
      </c>
      <c r="AY33" s="337">
        <v>0</v>
      </c>
      <c r="AZ33" s="337">
        <f>SUM(Tabela10[[#This Row], [2026]:[2030]])</f>
      </c>
      <c r="BA33" s="337">
        <v>0</v>
      </c>
      <c r="BB33" s="337">
        <v>0</v>
      </c>
      <c r="BC33" s="337">
        <v>0</v>
      </c>
      <c r="BD33" s="337">
        <v>0</v>
      </c>
      <c r="BE33" s="337">
        <v>0</v>
      </c>
      <c r="BF33" s="373">
        <f>SUM(Tabela10[[#This Row], [2026-2030]:[2035]])</f>
      </c>
      <c r="BG33" s="374">
        <f>_xlfn.SEQUENCE(COUNTA(Tabela10[Empresa]),1,1)</f>
      </c>
      <c r="BH33" s="342" t="s">
        <v>41236</v>
      </c>
      <c r="BI33" s="374">
        <f>VLOOKUP(Tabela10[[#This Row], [ID real2]],[2]CONSOLIDADA!$AU:$AZ,6,FALSE)</f>
      </c>
      <c r="BJ33" s="342" t="s">
        <v>41127</v>
      </c>
      <c r="BK33" s="375">
        <v>2025</v>
      </c>
      <c r="BL33" s="342" t="s">
        <v>39978</v>
      </c>
      <c r="BM33" s="375" t="s">
        <v>39979</v>
      </c>
      <c r="BN33" s="342" t="s">
        <v>41236</v>
      </c>
      <c r="BO33" s="342" t="s">
        <v>41171</v>
      </c>
      <c r="BP33" s="342" t="s">
        <v>41121</v>
      </c>
      <c r="BQ33" s="342" t="s">
        <v>64</v>
      </c>
      <c r="BR33" s="376">
        <v>10000000</v>
      </c>
      <c r="BS33" s="342" t="s">
        <v>41395</v>
      </c>
      <c r="BT33" s="342" t="s">
        <v>41236</v>
      </c>
      <c r="BU33" s="376" t="s">
        <v>41144</v>
      </c>
      <c r="BV33" s="376">
        <f>Tabela10[[#This Row], [Descrição do projeto]]</f>
      </c>
    </row>
    <row x14ac:dyDescent="0.25" r="34" customHeight="1" ht="18.75" hidden="1">
      <c r="A34" s="336">
        <v>365</v>
      </c>
      <c r="B34" s="371">
        <f>AND(ISTEXT('Consolidado-Eletronorte'!#REF!),SUM('Consolidado-Eletronorte'!#REF!)&gt;0)</f>
      </c>
      <c r="C34" s="371">
        <f>$J$13</f>
      </c>
      <c r="D34" s="371">
        <f>$H$13</f>
      </c>
      <c r="E34" s="371">
        <f>_xlfn.SEQUENCE(COUNTA(E43[Empresa]),1,1)</f>
      </c>
      <c r="F34" s="371">
        <f>_xlfn.CONCAT(Tabela10[[#This Row], [VP]],Tabela10[[#This Row], [Analise Estrategia]])</f>
      </c>
      <c r="G34" s="371">
        <f>_xlfn.CONCAT('Consolidado-Eletronorte'!#REF!,"_",ROW('Consolidado-Eletronorte'!#REF!)-ROW('Consolidado-Eletronorte'!$G$18))</f>
      </c>
      <c r="H34" s="335" t="s">
        <v>10</v>
      </c>
      <c r="I34" s="335" t="s">
        <v>88</v>
      </c>
      <c r="J34" s="335" t="s">
        <v>5</v>
      </c>
      <c r="K34" s="336" t="s">
        <v>21</v>
      </c>
      <c r="L34" s="335" t="s">
        <v>21</v>
      </c>
      <c r="M34" s="335" t="s">
        <v>39932</v>
      </c>
      <c r="N34" s="335"/>
      <c r="O34" s="335"/>
      <c r="P34" s="336" t="s">
        <v>38368</v>
      </c>
      <c r="Q34" s="342" t="s">
        <v>41240</v>
      </c>
      <c r="R34" s="335" t="s">
        <v>40004</v>
      </c>
      <c r="S34" s="342" t="s">
        <v>41240</v>
      </c>
      <c r="T34" s="335" t="s">
        <v>21</v>
      </c>
      <c r="U34" s="335" t="s">
        <v>21</v>
      </c>
      <c r="V34" s="335" t="s">
        <v>39932</v>
      </c>
      <c r="W34" s="335" t="s">
        <v>39932</v>
      </c>
      <c r="X34" s="3" t="s">
        <v>41406</v>
      </c>
      <c r="Y34" s="336">
        <v>3400006809</v>
      </c>
      <c r="Z34" s="372">
        <v>8500000</v>
      </c>
      <c r="AA34" s="336"/>
      <c r="AB34" s="372"/>
      <c r="AC34" s="336"/>
      <c r="AD34" s="372"/>
      <c r="AE34" s="335"/>
      <c r="AF34" s="335"/>
      <c r="AG34" s="335" t="s">
        <v>40005</v>
      </c>
      <c r="AH34" s="335" t="s">
        <v>40006</v>
      </c>
      <c r="AI34" s="337">
        <v>0</v>
      </c>
      <c r="AJ34" s="337">
        <v>0</v>
      </c>
      <c r="AK34" s="337">
        <v>0</v>
      </c>
      <c r="AL34" s="337">
        <v>0</v>
      </c>
      <c r="AM34" s="337">
        <v>0</v>
      </c>
      <c r="AN34" s="337">
        <v>0</v>
      </c>
      <c r="AO34" s="337">
        <v>0</v>
      </c>
      <c r="AP34" s="337">
        <v>0</v>
      </c>
      <c r="AQ34" s="337">
        <v>2000000</v>
      </c>
      <c r="AR34" s="337">
        <v>0</v>
      </c>
      <c r="AS34" s="337">
        <v>0</v>
      </c>
      <c r="AT34" s="337">
        <v>2000000</v>
      </c>
      <c r="AU34" s="381">
        <f>SUM(Tabela10[[#This Row], [jan/26]:[dez/26]])</f>
      </c>
      <c r="AV34" s="381">
        <v>2000000</v>
      </c>
      <c r="AW34" s="337">
        <v>0</v>
      </c>
      <c r="AX34" s="337">
        <v>0</v>
      </c>
      <c r="AY34" s="337">
        <v>0</v>
      </c>
      <c r="AZ34" s="337">
        <f>SUM(Tabela10[[#This Row], [2026]:[2030]])</f>
      </c>
      <c r="BA34" s="337">
        <v>0</v>
      </c>
      <c r="BB34" s="337">
        <v>0</v>
      </c>
      <c r="BC34" s="337">
        <v>0</v>
      </c>
      <c r="BD34" s="337">
        <v>0</v>
      </c>
      <c r="BE34" s="337">
        <v>0</v>
      </c>
      <c r="BF34" s="373">
        <f>SUM(Tabela10[[#This Row], [2026-2030]:[2035]])</f>
      </c>
      <c r="BG34" s="374">
        <f>_xlfn.SEQUENCE(COUNTA(Tabela10[Empresa]),1,1)</f>
      </c>
      <c r="BH34" s="342" t="s">
        <v>41240</v>
      </c>
      <c r="BI34" s="374">
        <f>VLOOKUP(Tabela10[[#This Row], [ID real2]],[2]CONSOLIDADA!$AU:$AZ,6,FALSE)</f>
      </c>
      <c r="BJ34" s="342" t="s">
        <v>39952</v>
      </c>
      <c r="BK34" s="375">
        <v>2026</v>
      </c>
      <c r="BL34" s="342" t="s">
        <v>40007</v>
      </c>
      <c r="BM34" s="375">
        <v>0</v>
      </c>
      <c r="BN34" s="342" t="s">
        <v>41240</v>
      </c>
      <c r="BO34" s="342" t="s">
        <v>41171</v>
      </c>
      <c r="BP34" s="342" t="s">
        <v>41121</v>
      </c>
      <c r="BQ34" s="342" t="s">
        <v>64</v>
      </c>
      <c r="BR34" s="376">
        <v>6000000</v>
      </c>
      <c r="BS34" s="342" t="s">
        <v>41407</v>
      </c>
      <c r="BT34" s="342" t="s">
        <v>41240</v>
      </c>
      <c r="BU34" s="376" t="s">
        <v>41408</v>
      </c>
      <c r="BV34" s="376">
        <f>Tabela10[[#This Row], [Descrição do projeto]]</f>
      </c>
    </row>
    <row x14ac:dyDescent="0.25" r="35" customHeight="1" ht="18.75">
      <c r="A35" s="336">
        <v>382</v>
      </c>
      <c r="B35" s="371">
        <f>AND(ISTEXT('Consolidado-Eletronorte'!#REF!),SUM('Consolidado-Eletronorte'!#REF!)&gt;0)</f>
      </c>
      <c r="C35" s="371">
        <f>$J$13</f>
      </c>
      <c r="D35" s="371">
        <f>$H$13</f>
      </c>
      <c r="E35" s="371">
        <f>_xlfn.SEQUENCE(COUNTA(E44[Empresa]),1,1)</f>
      </c>
      <c r="F35" s="371">
        <f>_xlfn.CONCAT(Tabela10[[#This Row], [VP]],Tabela10[[#This Row], [Analise Estrategia]])</f>
      </c>
      <c r="G35" s="371">
        <f>_xlfn.CONCAT('Consolidado-Eletronorte'!#REF!,"_",ROW('Consolidado-Eletronorte'!#REF!)-ROW('Consolidado-Eletronorte'!$G$18))</f>
      </c>
      <c r="H35" s="335" t="s">
        <v>10</v>
      </c>
      <c r="I35" s="335" t="s">
        <v>88</v>
      </c>
      <c r="J35" s="335" t="s">
        <v>5</v>
      </c>
      <c r="K35" s="336" t="s">
        <v>21</v>
      </c>
      <c r="L35" s="335" t="s">
        <v>21</v>
      </c>
      <c r="M35" s="335" t="s">
        <v>39917</v>
      </c>
      <c r="N35" s="335"/>
      <c r="O35" s="335"/>
      <c r="P35" s="336" t="s">
        <v>38358</v>
      </c>
      <c r="Q35" s="342" t="s">
        <v>41242</v>
      </c>
      <c r="R35" s="335" t="s">
        <v>39962</v>
      </c>
      <c r="S35" s="342" t="s">
        <v>41242</v>
      </c>
      <c r="T35" s="335" t="s">
        <v>21</v>
      </c>
      <c r="U35" s="335" t="s">
        <v>21</v>
      </c>
      <c r="V35" s="335" t="s">
        <v>39917</v>
      </c>
      <c r="W35" s="335" t="s">
        <v>39917</v>
      </c>
      <c r="X35" s="335"/>
      <c r="Y35" s="336"/>
      <c r="Z35" s="372"/>
      <c r="AA35" s="336"/>
      <c r="AB35" s="372"/>
      <c r="AC35" s="336">
        <v>4500073938</v>
      </c>
      <c r="AD35" s="372">
        <v>7839949.49</v>
      </c>
      <c r="AE35" s="335" t="s">
        <v>41409</v>
      </c>
      <c r="AF35" s="335" t="s">
        <v>41195</v>
      </c>
      <c r="AG35" s="335" t="s">
        <v>39963</v>
      </c>
      <c r="AH35" s="335" t="s">
        <v>39912</v>
      </c>
      <c r="AI35" s="337">
        <v>0</v>
      </c>
      <c r="AJ35" s="337"/>
      <c r="AK35" s="337">
        <v>0</v>
      </c>
      <c r="AL35" s="337"/>
      <c r="AM35" s="337">
        <v>0</v>
      </c>
      <c r="AN35" s="337">
        <v>1000000</v>
      </c>
      <c r="AO35" s="337">
        <v>0</v>
      </c>
      <c r="AP35" s="337">
        <v>1000000</v>
      </c>
      <c r="AQ35" s="337">
        <v>0</v>
      </c>
      <c r="AR35" s="337">
        <v>1000000</v>
      </c>
      <c r="AS35" s="337">
        <v>0</v>
      </c>
      <c r="AT35" s="337">
        <v>0</v>
      </c>
      <c r="AU35" s="381">
        <f>SUM(Tabela10[[#This Row], [jan/26]:[dez/26]])</f>
      </c>
      <c r="AV35" s="337">
        <v>7500000</v>
      </c>
      <c r="AW35" s="337">
        <v>5000000</v>
      </c>
      <c r="AX35" s="337">
        <v>0</v>
      </c>
      <c r="AY35" s="337">
        <v>0</v>
      </c>
      <c r="AZ35" s="337">
        <f>SUM(Tabela10[[#This Row], [2026]:[2030]])</f>
      </c>
      <c r="BA35" s="337">
        <v>0</v>
      </c>
      <c r="BB35" s="337">
        <v>0</v>
      </c>
      <c r="BC35" s="337">
        <v>0</v>
      </c>
      <c r="BD35" s="337">
        <v>0</v>
      </c>
      <c r="BE35" s="337">
        <v>0</v>
      </c>
      <c r="BF35" s="373">
        <f>SUM(Tabela10[[#This Row], [2026-2030]:[2035]])</f>
      </c>
      <c r="BG35" s="374">
        <f>_xlfn.SEQUENCE(COUNTA(Tabela10[Empresa]),1,1)</f>
      </c>
      <c r="BH35" s="342" t="s">
        <v>41242</v>
      </c>
      <c r="BI35" s="374">
        <f>VLOOKUP(Tabela10[[#This Row], [ID real2]],[2]CONSOLIDADA!$AU:$AZ,6,FALSE)</f>
      </c>
      <c r="BJ35" s="342" t="s">
        <v>41127</v>
      </c>
      <c r="BK35" s="375">
        <v>2025</v>
      </c>
      <c r="BL35" s="342" t="s">
        <v>39965</v>
      </c>
      <c r="BM35" s="375" t="s">
        <v>39966</v>
      </c>
      <c r="BN35" s="342" t="s">
        <v>41242</v>
      </c>
      <c r="BO35" s="342" t="s">
        <v>46</v>
      </c>
      <c r="BP35" s="342" t="s">
        <v>41121</v>
      </c>
      <c r="BQ35" s="342" t="s">
        <v>46</v>
      </c>
      <c r="BR35" s="376">
        <v>5000000</v>
      </c>
      <c r="BS35" s="342" t="s">
        <v>41410</v>
      </c>
      <c r="BT35" s="342" t="s">
        <v>41242</v>
      </c>
      <c r="BU35" s="376" t="s">
        <v>41144</v>
      </c>
      <c r="BV35" s="376">
        <f>Tabela10[[#This Row], [Descrição do projeto]]</f>
      </c>
    </row>
    <row x14ac:dyDescent="0.25" r="36" customHeight="1" ht="18.75">
      <c r="A36" s="336">
        <v>353</v>
      </c>
      <c r="B36" s="371">
        <f>AND(ISTEXT('Consolidado-Eletronorte'!#REF!),SUM('Consolidado-Eletronorte'!#REF!)&gt;0)</f>
      </c>
      <c r="C36" s="371">
        <f>$J$13</f>
      </c>
      <c r="D36" s="371">
        <f>$H$13</f>
      </c>
      <c r="E36" s="371">
        <f>_xlfn.SEQUENCE(COUNTA(E45[Empresa]),1,1)</f>
      </c>
      <c r="F36" s="371">
        <f>_xlfn.CONCAT(Tabela10[[#This Row], [VP]],Tabela10[[#This Row], [Analise Estrategia]])</f>
      </c>
      <c r="G36" s="371">
        <f>_xlfn.CONCAT('Consolidado-Eletronorte'!#REF!,"_",ROW('Consolidado-Eletronorte'!#REF!)-ROW('Consolidado-Eletronorte'!$G$18))</f>
      </c>
      <c r="H36" s="335" t="s">
        <v>10</v>
      </c>
      <c r="I36" s="335" t="s">
        <v>88</v>
      </c>
      <c r="J36" s="335" t="s">
        <v>5</v>
      </c>
      <c r="K36" s="336" t="s">
        <v>21</v>
      </c>
      <c r="L36" s="335" t="s">
        <v>21</v>
      </c>
      <c r="M36" s="335" t="s">
        <v>39985</v>
      </c>
      <c r="N36" s="335"/>
      <c r="O36" s="335"/>
      <c r="P36" s="336" t="s">
        <v>38358</v>
      </c>
      <c r="Q36" s="342" t="s">
        <v>41238</v>
      </c>
      <c r="R36" s="335" t="s">
        <v>39986</v>
      </c>
      <c r="S36" s="342" t="s">
        <v>41238</v>
      </c>
      <c r="T36" s="335" t="s">
        <v>21</v>
      </c>
      <c r="U36" s="335" t="s">
        <v>21</v>
      </c>
      <c r="V36" s="335" t="s">
        <v>39985</v>
      </c>
      <c r="W36" s="335" t="s">
        <v>39985</v>
      </c>
      <c r="X36" s="335"/>
      <c r="Y36" s="336"/>
      <c r="Z36" s="372"/>
      <c r="AA36" s="336"/>
      <c r="AB36" s="372"/>
      <c r="AC36" s="336">
        <v>4500082946</v>
      </c>
      <c r="AD36" s="372">
        <v>15130000</v>
      </c>
      <c r="AE36" s="335" t="s">
        <v>41411</v>
      </c>
      <c r="AF36" s="335" t="s">
        <v>41201</v>
      </c>
      <c r="AG36" s="335" t="s">
        <v>39987</v>
      </c>
      <c r="AH36" s="335" t="s">
        <v>39912</v>
      </c>
      <c r="AI36" s="337">
        <v>0</v>
      </c>
      <c r="AJ36" s="337">
        <v>0</v>
      </c>
      <c r="AK36" s="337">
        <v>0</v>
      </c>
      <c r="AL36" s="337">
        <v>3500000</v>
      </c>
      <c r="AM36" s="337">
        <v>0</v>
      </c>
      <c r="AN36" s="337">
        <v>0</v>
      </c>
      <c r="AO36" s="337">
        <v>0</v>
      </c>
      <c r="AP36" s="337">
        <v>3500000</v>
      </c>
      <c r="AQ36" s="337">
        <v>0</v>
      </c>
      <c r="AR36" s="337">
        <v>3000000</v>
      </c>
      <c r="AS36" s="337">
        <v>0</v>
      </c>
      <c r="AT36" s="337">
        <v>0</v>
      </c>
      <c r="AU36" s="337">
        <f>SUM(Tabela10[[#This Row], [jan/26]:[dez/26]])</f>
      </c>
      <c r="AV36" s="337">
        <v>0</v>
      </c>
      <c r="AW36" s="337">
        <v>0</v>
      </c>
      <c r="AX36" s="337">
        <v>0</v>
      </c>
      <c r="AY36" s="337">
        <v>0</v>
      </c>
      <c r="AZ36" s="337">
        <f>SUM(Tabela10[[#This Row], [2026]:[2030]])</f>
      </c>
      <c r="BA36" s="337">
        <v>0</v>
      </c>
      <c r="BB36" s="337">
        <v>0</v>
      </c>
      <c r="BC36" s="337">
        <v>0</v>
      </c>
      <c r="BD36" s="337">
        <v>0</v>
      </c>
      <c r="BE36" s="337">
        <v>0</v>
      </c>
      <c r="BF36" s="373">
        <f>SUM(Tabela10[[#This Row], [2026-2030]:[2035]])</f>
      </c>
      <c r="BG36" s="374">
        <f>_xlfn.SEQUENCE(COUNTA(Tabela10[Empresa]),1,1)</f>
      </c>
      <c r="BH36" s="342" t="s">
        <v>41238</v>
      </c>
      <c r="BI36" s="374">
        <f>VLOOKUP(Tabela10[[#This Row], [ID real2]],[2]CONSOLIDADA!$AU:$AZ,6,FALSE)</f>
      </c>
      <c r="BJ36" s="342" t="s">
        <v>41127</v>
      </c>
      <c r="BK36" s="375">
        <v>2025</v>
      </c>
      <c r="BL36" s="342" t="s">
        <v>39988</v>
      </c>
      <c r="BM36" s="375" t="s">
        <v>39989</v>
      </c>
      <c r="BN36" s="342" t="s">
        <v>41238</v>
      </c>
      <c r="BO36" s="342" t="s">
        <v>46</v>
      </c>
      <c r="BP36" s="342" t="s">
        <v>41400</v>
      </c>
      <c r="BQ36" s="342" t="s">
        <v>41122</v>
      </c>
      <c r="BR36" s="376">
        <v>7865000</v>
      </c>
      <c r="BS36" s="342" t="s">
        <v>41385</v>
      </c>
      <c r="BT36" s="342" t="s">
        <v>41238</v>
      </c>
      <c r="BU36" s="376" t="s">
        <v>41144</v>
      </c>
      <c r="BV36" s="376">
        <f>Tabela10[[#This Row], [Descrição do projeto]]</f>
      </c>
    </row>
    <row x14ac:dyDescent="0.25" r="37" customHeight="1" ht="18.75">
      <c r="A37" s="336"/>
      <c r="B37" s="379">
        <f>AND(ISTEXT('Consolidado-Eletronorte'!$H37:$M37),SUM('Consolidado-Eletronorte'!$AI37:$BF37)&gt;0)</f>
      </c>
      <c r="C37" s="371">
        <f>$J$13</f>
      </c>
      <c r="D37" s="371">
        <f>$H$13</f>
      </c>
      <c r="E37" s="378">
        <f>_xlfn.SEQUENCE(COUNTA(E46[Empresa]),1,1)</f>
      </c>
      <c r="F37" s="335"/>
      <c r="G37" s="379">
        <f>_xlfn.CONCAT('Consolidado-Eletronorte'!$D37,"_",ROW('Consolidado-Eletronorte'!$G37)-ROW('Consolidado-Eletronorte'!$G$18))</f>
      </c>
      <c r="H37" s="335"/>
      <c r="I37" s="335"/>
      <c r="J37" s="335"/>
      <c r="K37" s="336"/>
      <c r="L37" s="335"/>
      <c r="M37" s="335"/>
      <c r="N37" s="335"/>
      <c r="O37" s="335"/>
      <c r="P37" s="336"/>
      <c r="Q37" s="342" t="s">
        <v>41242</v>
      </c>
      <c r="R37" s="335" t="s">
        <v>39962</v>
      </c>
      <c r="S37" s="342" t="s">
        <v>41242</v>
      </c>
      <c r="T37" s="335"/>
      <c r="U37" s="335"/>
      <c r="V37" s="335" t="s">
        <v>39917</v>
      </c>
      <c r="W37" s="335" t="s">
        <v>39917</v>
      </c>
      <c r="X37" s="335"/>
      <c r="Y37" s="336"/>
      <c r="Z37" s="372"/>
      <c r="AA37" s="336"/>
      <c r="AB37" s="372"/>
      <c r="AC37" s="336">
        <v>4500078421</v>
      </c>
      <c r="AD37" s="372">
        <v>4553427.15</v>
      </c>
      <c r="AE37" s="335" t="s">
        <v>41412</v>
      </c>
      <c r="AF37" s="335" t="s">
        <v>41197</v>
      </c>
      <c r="AG37" s="335"/>
      <c r="AH37" s="335"/>
      <c r="AI37" s="337"/>
      <c r="AJ37" s="337"/>
      <c r="AK37" s="337"/>
      <c r="AL37" s="337"/>
      <c r="AM37" s="337"/>
      <c r="AN37" s="337"/>
      <c r="AO37" s="337"/>
      <c r="AP37" s="337"/>
      <c r="AQ37" s="337"/>
      <c r="AR37" s="337"/>
      <c r="AS37" s="337"/>
      <c r="AT37" s="337"/>
      <c r="AU37" s="337">
        <f>SUM(Tabela10[[#This Row], [jan/26]:[dez/26]])</f>
      </c>
      <c r="AV37" s="337"/>
      <c r="AW37" s="337"/>
      <c r="AX37" s="337"/>
      <c r="AY37" s="337"/>
      <c r="AZ37" s="337">
        <f>SUM(Tabela10[[#This Row], [2026]:[2030]])</f>
      </c>
      <c r="BA37" s="337"/>
      <c r="BB37" s="337"/>
      <c r="BC37" s="337"/>
      <c r="BD37" s="337"/>
      <c r="BE37" s="337"/>
      <c r="BF37" s="373">
        <f>SUM(Tabela10[[#This Row], [2026-2030]:[2035]])</f>
      </c>
      <c r="BG37" s="374">
        <f>_xlfn.SEQUENCE(COUNTA(Tabela10[Empresa]),1,1)</f>
      </c>
      <c r="BH37" s="342"/>
      <c r="BI37" s="374">
        <f>VLOOKUP(Tabela10[[#This Row], [ID real2]],[2]CONSOLIDADA!$AU:$AZ,6,FALSE)</f>
      </c>
      <c r="BJ37" s="342"/>
      <c r="BK37" s="375"/>
      <c r="BL37" s="342"/>
      <c r="BM37" s="375"/>
      <c r="BN37" s="342"/>
      <c r="BO37" s="342"/>
      <c r="BP37" s="342"/>
      <c r="BQ37" s="342"/>
      <c r="BR37" s="376"/>
      <c r="BS37" s="342"/>
      <c r="BT37" s="342"/>
      <c r="BU37" s="376"/>
      <c r="BV37" s="376">
        <f>Tabela10[[#This Row], [Descrição do projeto]]</f>
      </c>
    </row>
    <row x14ac:dyDescent="0.25" r="38" customHeight="1" ht="18.75">
      <c r="A38" s="336">
        <v>280</v>
      </c>
      <c r="B38" s="371">
        <f>AND(ISTEXT('Consolidado-Eletronorte'!#REF!),SUM('Consolidado-Eletronorte'!#REF!)&gt;0)</f>
      </c>
      <c r="C38" s="371">
        <f>$J$13</f>
      </c>
      <c r="D38" s="371">
        <f>$H$13</f>
      </c>
      <c r="E38" s="371">
        <f>_xlfn.SEQUENCE(COUNTA(E47[Empresa]),1,1)</f>
      </c>
      <c r="F38" s="371">
        <f>_xlfn.CONCAT(Tabela10[[#This Row], [VP]],Tabela10[[#This Row], [Analise Estrategia]])</f>
      </c>
      <c r="G38" s="371">
        <f>_xlfn.CONCAT('Consolidado-Eletronorte'!#REF!,"_",ROW('Consolidado-Eletronorte'!#REF!)-ROW('Consolidado-Eletronorte'!$G$18))</f>
      </c>
      <c r="H38" s="335" t="s">
        <v>10</v>
      </c>
      <c r="I38" s="335" t="s">
        <v>88</v>
      </c>
      <c r="J38" s="335" t="s">
        <v>5</v>
      </c>
      <c r="K38" s="336" t="s">
        <v>21</v>
      </c>
      <c r="L38" s="335" t="s">
        <v>21</v>
      </c>
      <c r="M38" s="382" t="s">
        <v>39932</v>
      </c>
      <c r="N38" s="335"/>
      <c r="O38" s="335"/>
      <c r="P38" s="336" t="s">
        <v>38358</v>
      </c>
      <c r="Q38" s="342" t="s">
        <v>41249</v>
      </c>
      <c r="R38" s="335" t="s">
        <v>40001</v>
      </c>
      <c r="S38" s="342" t="s">
        <v>41249</v>
      </c>
      <c r="T38" s="335" t="s">
        <v>21</v>
      </c>
      <c r="U38" s="335" t="s">
        <v>21</v>
      </c>
      <c r="V38" s="335" t="s">
        <v>39932</v>
      </c>
      <c r="W38" s="335" t="s">
        <v>39932</v>
      </c>
      <c r="X38" s="335"/>
      <c r="Y38" s="336"/>
      <c r="Z38" s="372"/>
      <c r="AA38" s="336"/>
      <c r="AB38" s="372"/>
      <c r="AC38" s="336">
        <v>4500073892</v>
      </c>
      <c r="AD38" s="372">
        <v>10734567.36</v>
      </c>
      <c r="AE38" s="335" t="s">
        <v>41413</v>
      </c>
      <c r="AF38" s="335" t="s">
        <v>41194</v>
      </c>
      <c r="AG38" s="335" t="s">
        <v>40002</v>
      </c>
      <c r="AH38" s="335" t="s">
        <v>39912</v>
      </c>
      <c r="AI38" s="337"/>
      <c r="AJ38" s="337"/>
      <c r="AK38" s="337">
        <v>745051</v>
      </c>
      <c r="AL38" s="337"/>
      <c r="AM38" s="337"/>
      <c r="AN38" s="337">
        <v>745051</v>
      </c>
      <c r="AO38" s="337"/>
      <c r="AP38" s="337"/>
      <c r="AQ38" s="337">
        <v>745051</v>
      </c>
      <c r="AR38" s="337"/>
      <c r="AS38" s="337">
        <v>745051</v>
      </c>
      <c r="AT38" s="337"/>
      <c r="AU38" s="381">
        <f>SUM(Tabela10[[#This Row], [jan/26]:[dez/26]])</f>
      </c>
      <c r="AV38" s="337">
        <v>4000000</v>
      </c>
      <c r="AW38" s="381">
        <v>2000000</v>
      </c>
      <c r="AX38" s="337">
        <v>0</v>
      </c>
      <c r="AY38" s="337">
        <v>0</v>
      </c>
      <c r="AZ38" s="337">
        <f>SUM(Tabela10[[#This Row], [2026]:[2030]])</f>
      </c>
      <c r="BA38" s="337">
        <v>0</v>
      </c>
      <c r="BB38" s="337">
        <v>0</v>
      </c>
      <c r="BC38" s="337">
        <v>0</v>
      </c>
      <c r="BD38" s="337">
        <v>0</v>
      </c>
      <c r="BE38" s="337">
        <v>0</v>
      </c>
      <c r="BF38" s="373">
        <f>SUM(Tabela10[[#This Row], [2026-2030]:[2035]])</f>
      </c>
      <c r="BG38" s="374">
        <f>_xlfn.SEQUENCE(COUNTA(Tabela10[Empresa]),1,1)</f>
      </c>
      <c r="BH38" s="342" t="s">
        <v>41249</v>
      </c>
      <c r="BI38" s="374">
        <f>VLOOKUP(Tabela10[[#This Row], [ID real2]],[2]CONSOLIDADA!$AU:$AZ,6,FALSE)</f>
      </c>
      <c r="BJ38" s="342" t="s">
        <v>39956</v>
      </c>
      <c r="BK38" s="375">
        <v>2025</v>
      </c>
      <c r="BL38" s="342" t="s">
        <v>40003</v>
      </c>
      <c r="BM38" s="375" t="s">
        <v>39961</v>
      </c>
      <c r="BN38" s="342" t="s">
        <v>41249</v>
      </c>
      <c r="BO38" s="342" t="s">
        <v>46</v>
      </c>
      <c r="BP38" s="342" t="s">
        <v>41400</v>
      </c>
      <c r="BQ38" s="342" t="s">
        <v>41123</v>
      </c>
      <c r="BR38" s="376">
        <v>4980204</v>
      </c>
      <c r="BS38" s="342" t="s">
        <v>41414</v>
      </c>
      <c r="BT38" s="342" t="s">
        <v>41249</v>
      </c>
      <c r="BU38" s="376" t="s">
        <v>41404</v>
      </c>
      <c r="BV38" s="376">
        <f>Tabela10[[#This Row], [Descrição do projeto]]</f>
      </c>
    </row>
    <row x14ac:dyDescent="0.25" r="39" customHeight="1" ht="18.75" hidden="1">
      <c r="A39" s="336">
        <v>342</v>
      </c>
      <c r="B39" s="371">
        <f>AND(ISTEXT('Consolidado-Eletronorte'!#REF!),SUM('Consolidado-Eletronorte'!#REF!)&gt;0)</f>
      </c>
      <c r="C39" s="371">
        <f>$J$13</f>
      </c>
      <c r="D39" s="371">
        <f>$H$13</f>
      </c>
      <c r="E39" s="371">
        <f>_xlfn.SEQUENCE(COUNTA(E48[Empresa]),1,1)</f>
      </c>
      <c r="F39" s="371">
        <f>_xlfn.CONCAT(Tabela10[[#This Row], [VP]],Tabela10[[#This Row], [Analise Estrategia]])</f>
      </c>
      <c r="G39" s="371">
        <f>_xlfn.CONCAT('Consolidado-Eletronorte'!#REF!,"_",ROW('Consolidado-Eletronorte'!#REF!)-ROW('Consolidado-Eletronorte'!$G$18))</f>
      </c>
      <c r="H39" s="335" t="s">
        <v>10</v>
      </c>
      <c r="I39" s="335" t="s">
        <v>88</v>
      </c>
      <c r="J39" s="335" t="s">
        <v>5</v>
      </c>
      <c r="K39" s="336" t="s">
        <v>21</v>
      </c>
      <c r="L39" s="335" t="s">
        <v>21</v>
      </c>
      <c r="M39" s="335" t="s">
        <v>39932</v>
      </c>
      <c r="N39" s="335"/>
      <c r="O39" s="335"/>
      <c r="P39" s="336" t="s">
        <v>38366</v>
      </c>
      <c r="Q39" s="342" t="s">
        <v>41244</v>
      </c>
      <c r="R39" s="335" t="s">
        <v>39967</v>
      </c>
      <c r="S39" s="342" t="s">
        <v>41244</v>
      </c>
      <c r="T39" s="335" t="s">
        <v>21</v>
      </c>
      <c r="U39" s="335" t="s">
        <v>21</v>
      </c>
      <c r="V39" s="335" t="s">
        <v>39932</v>
      </c>
      <c r="W39" s="335" t="s">
        <v>39932</v>
      </c>
      <c r="X39" s="335"/>
      <c r="Y39" s="336" t="s">
        <v>41222</v>
      </c>
      <c r="Z39" s="372"/>
      <c r="AA39" s="336"/>
      <c r="AB39" s="372"/>
      <c r="AC39" s="336"/>
      <c r="AD39" s="372"/>
      <c r="AE39" s="335"/>
      <c r="AF39" s="335"/>
      <c r="AG39" s="335" t="s">
        <v>39968</v>
      </c>
      <c r="AH39" s="335" t="s">
        <v>39969</v>
      </c>
      <c r="AI39" s="337">
        <v>0</v>
      </c>
      <c r="AJ39" s="337">
        <v>0</v>
      </c>
      <c r="AK39" s="337">
        <v>0</v>
      </c>
      <c r="AL39" s="337">
        <v>0</v>
      </c>
      <c r="AM39" s="337">
        <v>0</v>
      </c>
      <c r="AN39" s="337">
        <v>0</v>
      </c>
      <c r="AO39" s="337"/>
      <c r="AP39" s="337">
        <v>0</v>
      </c>
      <c r="AQ39" s="337"/>
      <c r="AR39" s="337">
        <v>0</v>
      </c>
      <c r="AS39" s="337">
        <v>0</v>
      </c>
      <c r="AT39" s="337"/>
      <c r="AU39" s="337">
        <f>SUM(Tabela10[[#This Row], [jan/26]:[dez/26]])</f>
      </c>
      <c r="AV39" s="381">
        <v>7500000</v>
      </c>
      <c r="AW39" s="381">
        <v>7500000</v>
      </c>
      <c r="AX39" s="337">
        <v>0</v>
      </c>
      <c r="AY39" s="337">
        <v>0</v>
      </c>
      <c r="AZ39" s="337">
        <f>SUM(Tabela10[[#This Row], [2026]:[2030]])</f>
      </c>
      <c r="BA39" s="337">
        <v>0</v>
      </c>
      <c r="BB39" s="337">
        <v>0</v>
      </c>
      <c r="BC39" s="337">
        <v>0</v>
      </c>
      <c r="BD39" s="337">
        <v>0</v>
      </c>
      <c r="BE39" s="337">
        <v>0</v>
      </c>
      <c r="BF39" s="373">
        <f>SUM(Tabela10[[#This Row], [2026-2030]:[2035]])</f>
      </c>
      <c r="BG39" s="374">
        <f>_xlfn.SEQUENCE(COUNTA(Tabela10[Empresa]),1,1)</f>
      </c>
      <c r="BH39" s="342" t="s">
        <v>41244</v>
      </c>
      <c r="BI39" s="374">
        <f>VLOOKUP(Tabela10[[#This Row], [ID real2]],[2]CONSOLIDADA!$AU:$AZ,6,FALSE)</f>
      </c>
      <c r="BJ39" s="342" t="s">
        <v>40013</v>
      </c>
      <c r="BK39" s="375">
        <v>2026</v>
      </c>
      <c r="BL39" s="342" t="s">
        <v>39971</v>
      </c>
      <c r="BM39" s="375">
        <v>0</v>
      </c>
      <c r="BN39" s="342" t="s">
        <v>41244</v>
      </c>
      <c r="BO39" s="342" t="s">
        <v>41172</v>
      </c>
      <c r="BP39" s="342" t="s">
        <v>41121</v>
      </c>
      <c r="BQ39" s="342" t="s">
        <v>41123</v>
      </c>
      <c r="BR39" s="376">
        <v>3000000</v>
      </c>
      <c r="BS39" s="342" t="s">
        <v>41415</v>
      </c>
      <c r="BT39" s="342" t="s">
        <v>41244</v>
      </c>
      <c r="BU39" s="376" t="s">
        <v>41416</v>
      </c>
      <c r="BV39" s="376">
        <f>Tabela10[[#This Row], [Descrição do projeto]]</f>
      </c>
    </row>
    <row x14ac:dyDescent="0.25" r="40" customHeight="1" ht="18.75" hidden="1">
      <c r="A40" s="336">
        <v>296</v>
      </c>
      <c r="B40" s="371">
        <f>AND(ISTEXT('Consolidado-Eletronorte'!#REF!),SUM('Consolidado-Eletronorte'!#REF!)&gt;0)</f>
      </c>
      <c r="C40" s="371">
        <f>$J$13</f>
      </c>
      <c r="D40" s="371">
        <f>$H$13</f>
      </c>
      <c r="E40" s="371">
        <f>$H$14</f>
      </c>
      <c r="F40" s="371">
        <f>_xlfn.CONCAT(Tabela10[[#This Row], [VP]],Tabela10[[#This Row], [Analise Estrategia]])</f>
      </c>
      <c r="G40" s="371">
        <f>_xlfn.CONCAT('Consolidado-Eletronorte'!#REF!,"_",ROW('Consolidado-Eletronorte'!#REF!)-ROW('Consolidado-Eletronorte'!$G$18))</f>
      </c>
      <c r="H40" s="335" t="s">
        <v>10</v>
      </c>
      <c r="I40" s="335" t="s">
        <v>88</v>
      </c>
      <c r="J40" s="335" t="s">
        <v>5</v>
      </c>
      <c r="K40" s="336" t="s">
        <v>21</v>
      </c>
      <c r="L40" s="335" t="s">
        <v>21</v>
      </c>
      <c r="M40" s="335" t="s">
        <v>39949</v>
      </c>
      <c r="N40" s="335"/>
      <c r="O40" s="335"/>
      <c r="P40" s="336" t="s">
        <v>38349</v>
      </c>
      <c r="Q40" s="342" t="s">
        <v>41246</v>
      </c>
      <c r="R40" s="335" t="s">
        <v>39996</v>
      </c>
      <c r="S40" s="342" t="s">
        <v>41246</v>
      </c>
      <c r="T40" s="335" t="s">
        <v>21</v>
      </c>
      <c r="U40" s="335" t="s">
        <v>21</v>
      </c>
      <c r="V40" s="335" t="s">
        <v>39949</v>
      </c>
      <c r="W40" s="335" t="s">
        <v>39949</v>
      </c>
      <c r="X40" s="335"/>
      <c r="Y40" s="336">
        <v>3400004383</v>
      </c>
      <c r="Z40" s="372">
        <v>6596000</v>
      </c>
      <c r="AA40" s="336"/>
      <c r="AB40" s="372"/>
      <c r="AC40" s="336"/>
      <c r="AD40" s="372"/>
      <c r="AE40" s="335"/>
      <c r="AF40" s="335"/>
      <c r="AG40" s="335" t="s">
        <v>39997</v>
      </c>
      <c r="AH40" s="335" t="s">
        <v>39998</v>
      </c>
      <c r="AI40" s="337">
        <v>0</v>
      </c>
      <c r="AJ40" s="337"/>
      <c r="AK40" s="337">
        <v>0</v>
      </c>
      <c r="AL40" s="337">
        <v>0</v>
      </c>
      <c r="AM40" s="337">
        <v>0</v>
      </c>
      <c r="AN40" s="337">
        <v>1500000</v>
      </c>
      <c r="AO40" s="337">
        <v>0</v>
      </c>
      <c r="AP40" s="337"/>
      <c r="AQ40" s="337">
        <v>0</v>
      </c>
      <c r="AR40" s="337">
        <v>1500000</v>
      </c>
      <c r="AS40" s="337">
        <v>0</v>
      </c>
      <c r="AT40" s="337">
        <v>0</v>
      </c>
      <c r="AU40" s="337">
        <f>SUM(Tabela10[[#This Row], [jan/26]:[dez/26]])</f>
      </c>
      <c r="AV40" s="337">
        <v>1500000</v>
      </c>
      <c r="AW40" s="337">
        <v>2000000</v>
      </c>
      <c r="AX40" s="337">
        <v>0</v>
      </c>
      <c r="AY40" s="337">
        <v>0</v>
      </c>
      <c r="AZ40" s="337">
        <f>SUM(Tabela10[[#This Row], [2026]:[2030]])</f>
      </c>
      <c r="BA40" s="337">
        <v>0</v>
      </c>
      <c r="BB40" s="337">
        <v>0</v>
      </c>
      <c r="BC40" s="337">
        <v>0</v>
      </c>
      <c r="BD40" s="337">
        <v>0</v>
      </c>
      <c r="BE40" s="337">
        <v>0</v>
      </c>
      <c r="BF40" s="373">
        <f>SUM(Tabela10[[#This Row], [2026-2030]:[2035]])</f>
      </c>
      <c r="BG40" s="374">
        <f>_xlfn.SEQUENCE(COUNTA(Tabela10[Empresa]),1,1)</f>
      </c>
      <c r="BH40" s="342" t="s">
        <v>41246</v>
      </c>
      <c r="BI40" s="374">
        <f>VLOOKUP(Tabela10[[#This Row], [ID real2]],[2]CONSOLIDADA!$AU:$AZ,6,FALSE)</f>
      </c>
      <c r="BJ40" s="342" t="s">
        <v>41127</v>
      </c>
      <c r="BK40" s="375">
        <v>2025</v>
      </c>
      <c r="BL40" s="342" t="s">
        <v>39999</v>
      </c>
      <c r="BM40" s="375" t="s">
        <v>40000</v>
      </c>
      <c r="BN40" s="342" t="s">
        <v>41246</v>
      </c>
      <c r="BO40" s="342" t="s">
        <v>41171</v>
      </c>
      <c r="BP40" s="342" t="s">
        <v>41417</v>
      </c>
      <c r="BQ40" s="342" t="s">
        <v>64</v>
      </c>
      <c r="BR40" s="376">
        <v>3500000</v>
      </c>
      <c r="BS40" s="342" t="s">
        <v>41389</v>
      </c>
      <c r="BT40" s="342" t="s">
        <v>41246</v>
      </c>
      <c r="BU40" s="376" t="s">
        <v>41144</v>
      </c>
      <c r="BV40" s="376">
        <f>Tabela10[[#This Row], [Descrição do projeto]]</f>
      </c>
    </row>
    <row x14ac:dyDescent="0.25" r="41" customHeight="1" ht="18.75" hidden="1">
      <c r="A41" s="336">
        <v>367</v>
      </c>
      <c r="B41" s="371">
        <f>AND(ISTEXT('Consolidado-Eletronorte'!#REF!),SUM('Consolidado-Eletronorte'!#REF!)&gt;0)</f>
      </c>
      <c r="C41" s="371">
        <f>$J$13</f>
      </c>
      <c r="D41" s="371">
        <f>$H$13</f>
      </c>
      <c r="E41" s="371">
        <f>$H$14</f>
      </c>
      <c r="F41" s="371">
        <f>_xlfn.CONCAT(Tabela10[[#This Row], [VP]],Tabela10[[#This Row], [Analise Estrategia]])</f>
      </c>
      <c r="G41" s="371">
        <f>_xlfn.CONCAT('Consolidado-Eletronorte'!#REF!,"_",ROW('Consolidado-Eletronorte'!#REF!)-ROW('Consolidado-Eletronorte'!$G$18))</f>
      </c>
      <c r="H41" s="335" t="s">
        <v>10</v>
      </c>
      <c r="I41" s="335" t="s">
        <v>88</v>
      </c>
      <c r="J41" s="335" t="s">
        <v>5</v>
      </c>
      <c r="K41" s="336" t="s">
        <v>21</v>
      </c>
      <c r="L41" s="335" t="s">
        <v>74</v>
      </c>
      <c r="M41" s="335" t="s">
        <v>40015</v>
      </c>
      <c r="N41" s="335"/>
      <c r="O41" s="335"/>
      <c r="P41" s="336" t="s">
        <v>38349</v>
      </c>
      <c r="Q41" s="342" t="s">
        <v>41253</v>
      </c>
      <c r="R41" s="335" t="s">
        <v>40016</v>
      </c>
      <c r="S41" s="342" t="s">
        <v>41253</v>
      </c>
      <c r="T41" s="335" t="s">
        <v>21</v>
      </c>
      <c r="U41" s="335" t="s">
        <v>74</v>
      </c>
      <c r="V41" s="335" t="s">
        <v>41153</v>
      </c>
      <c r="W41" s="335" t="s">
        <v>41153</v>
      </c>
      <c r="X41" s="335"/>
      <c r="Y41" s="336" t="s">
        <v>41222</v>
      </c>
      <c r="Z41" s="372"/>
      <c r="AA41" s="336"/>
      <c r="AB41" s="372"/>
      <c r="AC41" s="336"/>
      <c r="AD41" s="372"/>
      <c r="AE41" s="335"/>
      <c r="AF41" s="335"/>
      <c r="AG41" s="335" t="s">
        <v>40017</v>
      </c>
      <c r="AH41" s="335" t="s">
        <v>39998</v>
      </c>
      <c r="AI41" s="337">
        <v>0</v>
      </c>
      <c r="AJ41" s="337">
        <v>0</v>
      </c>
      <c r="AK41" s="337">
        <v>565500</v>
      </c>
      <c r="AL41" s="337">
        <v>0</v>
      </c>
      <c r="AM41" s="337">
        <v>0</v>
      </c>
      <c r="AN41" s="337">
        <v>565500</v>
      </c>
      <c r="AO41" s="337">
        <v>0</v>
      </c>
      <c r="AP41" s="337">
        <v>0</v>
      </c>
      <c r="AQ41" s="337">
        <v>565500</v>
      </c>
      <c r="AR41" s="337">
        <v>0</v>
      </c>
      <c r="AS41" s="337">
        <v>0</v>
      </c>
      <c r="AT41" s="337">
        <v>565500</v>
      </c>
      <c r="AU41" s="337">
        <f>SUM(Tabela10[[#This Row], [jan/26]:[dez/26]])</f>
      </c>
      <c r="AV41" s="337">
        <v>2790000</v>
      </c>
      <c r="AW41" s="337">
        <v>678000</v>
      </c>
      <c r="AX41" s="337">
        <v>0</v>
      </c>
      <c r="AY41" s="337">
        <v>0</v>
      </c>
      <c r="AZ41" s="337">
        <f>SUM(Tabela10[[#This Row], [2026]:[2030]])</f>
      </c>
      <c r="BA41" s="337">
        <v>0</v>
      </c>
      <c r="BB41" s="337">
        <v>0</v>
      </c>
      <c r="BC41" s="337">
        <v>0</v>
      </c>
      <c r="BD41" s="337">
        <v>0</v>
      </c>
      <c r="BE41" s="337">
        <v>0</v>
      </c>
      <c r="BF41" s="373">
        <f>SUM(Tabela10[[#This Row], [2026-2030]:[2035]])</f>
      </c>
      <c r="BG41" s="374">
        <f>_xlfn.SEQUENCE(COUNTA(Tabela10[Empresa]),1,1)</f>
      </c>
      <c r="BH41" s="342" t="s">
        <v>41253</v>
      </c>
      <c r="BI41" s="374">
        <f>VLOOKUP(Tabela10[[#This Row], [ID real2]],[2]CONSOLIDADA!$AU:$AZ,6,FALSE)</f>
      </c>
      <c r="BJ41" s="342" t="s">
        <v>40018</v>
      </c>
      <c r="BK41" s="375">
        <v>2025</v>
      </c>
      <c r="BL41" s="342" t="s">
        <v>40019</v>
      </c>
      <c r="BM41" s="375" t="s">
        <v>40020</v>
      </c>
      <c r="BN41" s="342" t="s">
        <v>41253</v>
      </c>
      <c r="BO41" s="342" t="s">
        <v>41174</v>
      </c>
      <c r="BP41" s="342" t="s">
        <v>41400</v>
      </c>
      <c r="BQ41" s="342" t="s">
        <v>64</v>
      </c>
      <c r="BR41" s="376">
        <v>2262000</v>
      </c>
      <c r="BS41" s="342" t="s">
        <v>41389</v>
      </c>
      <c r="BT41" s="342" t="s">
        <v>41253</v>
      </c>
      <c r="BU41" s="376" t="s">
        <v>41154</v>
      </c>
      <c r="BV41" s="376">
        <f>Tabela10[[#This Row], [Descrição do projeto]]</f>
      </c>
    </row>
    <row x14ac:dyDescent="0.25" r="42" customHeight="1" ht="18.75" hidden="1">
      <c r="A42" s="336">
        <v>293</v>
      </c>
      <c r="B42" s="371">
        <f>AND(ISTEXT('Consolidado-Eletronorte'!#REF!),SUM('Consolidado-Eletronorte'!#REF!)&gt;0)</f>
      </c>
      <c r="C42" s="371">
        <f>$J$13</f>
      </c>
      <c r="D42" s="371">
        <f>$H$13</f>
      </c>
      <c r="E42" s="371">
        <f>$H$14</f>
      </c>
      <c r="F42" s="371">
        <f>_xlfn.CONCAT(Tabela10[[#This Row], [VP]],Tabela10[[#This Row], [Analise Estrategia]])</f>
      </c>
      <c r="G42" s="371">
        <f>_xlfn.CONCAT('Consolidado-Eletronorte'!#REF!,"_",ROW('Consolidado-Eletronorte'!#REF!)-ROW('Consolidado-Eletronorte'!$G$18))</f>
      </c>
      <c r="H42" s="335" t="s">
        <v>10</v>
      </c>
      <c r="I42" s="335" t="s">
        <v>88</v>
      </c>
      <c r="J42" s="335" t="s">
        <v>5</v>
      </c>
      <c r="K42" s="336" t="s">
        <v>21</v>
      </c>
      <c r="L42" s="335" t="s">
        <v>21</v>
      </c>
      <c r="M42" s="335" t="s">
        <v>39949</v>
      </c>
      <c r="N42" s="335"/>
      <c r="O42" s="335"/>
      <c r="P42" s="336" t="s">
        <v>38349</v>
      </c>
      <c r="Q42" s="342" t="s">
        <v>41331</v>
      </c>
      <c r="R42" s="335" t="s">
        <v>40056</v>
      </c>
      <c r="S42" s="342" t="s">
        <v>41331</v>
      </c>
      <c r="T42" s="335" t="s">
        <v>21</v>
      </c>
      <c r="U42" s="335" t="s">
        <v>21</v>
      </c>
      <c r="V42" s="335" t="s">
        <v>39949</v>
      </c>
      <c r="W42" s="335" t="s">
        <v>39949</v>
      </c>
      <c r="X42" s="335"/>
      <c r="Y42" s="336" t="s">
        <v>41222</v>
      </c>
      <c r="Z42" s="372"/>
      <c r="AA42" s="336"/>
      <c r="AB42" s="372"/>
      <c r="AC42" s="336"/>
      <c r="AD42" s="372"/>
      <c r="AE42" s="335"/>
      <c r="AF42" s="335"/>
      <c r="AG42" s="335" t="s">
        <v>40057</v>
      </c>
      <c r="AH42" s="335" t="s">
        <v>39998</v>
      </c>
      <c r="AI42" s="337">
        <v>0</v>
      </c>
      <c r="AJ42" s="337">
        <v>0</v>
      </c>
      <c r="AK42" s="337">
        <v>0</v>
      </c>
      <c r="AL42" s="337">
        <v>0</v>
      </c>
      <c r="AM42" s="337">
        <v>0</v>
      </c>
      <c r="AN42" s="337">
        <v>0</v>
      </c>
      <c r="AO42" s="337">
        <v>0</v>
      </c>
      <c r="AP42" s="337">
        <v>0</v>
      </c>
      <c r="AQ42" s="337">
        <v>0</v>
      </c>
      <c r="AR42" s="337">
        <v>0</v>
      </c>
      <c r="AS42" s="337">
        <v>0</v>
      </c>
      <c r="AT42" s="337">
        <v>0</v>
      </c>
      <c r="AU42" s="337">
        <f>SUM(Tabela10[[#This Row], [jan/26]:[dez/26]])</f>
      </c>
      <c r="AV42" s="337">
        <v>3600000</v>
      </c>
      <c r="AW42" s="337">
        <v>0</v>
      </c>
      <c r="AX42" s="337">
        <v>0</v>
      </c>
      <c r="AY42" s="337">
        <v>0</v>
      </c>
      <c r="AZ42" s="337">
        <f>SUM(Tabela10[[#This Row], [2026]:[2030]])</f>
      </c>
      <c r="BA42" s="337">
        <v>0</v>
      </c>
      <c r="BB42" s="337">
        <v>0</v>
      </c>
      <c r="BC42" s="337">
        <v>0</v>
      </c>
      <c r="BD42" s="337">
        <v>0</v>
      </c>
      <c r="BE42" s="337">
        <v>0</v>
      </c>
      <c r="BF42" s="373">
        <f>SUM(Tabela10[[#This Row], [2026-2030]:[2035]])</f>
      </c>
      <c r="BG42" s="374">
        <f>_xlfn.SEQUENCE(COUNTA(Tabela10[Empresa]),1,1)</f>
      </c>
      <c r="BH42" s="342" t="s">
        <v>41331</v>
      </c>
      <c r="BI42" s="374">
        <f>VLOOKUP(Tabela10[[#This Row], [ID real2]],[2]CONSOLIDADA!$AU:$AZ,6,FALSE)</f>
      </c>
      <c r="BJ42" s="342" t="s">
        <v>39925</v>
      </c>
      <c r="BK42" s="375">
        <v>2026</v>
      </c>
      <c r="BL42" s="342" t="s">
        <v>40058</v>
      </c>
      <c r="BM42" s="375">
        <v>0</v>
      </c>
      <c r="BN42" s="342" t="s">
        <v>41331</v>
      </c>
      <c r="BO42" s="342" t="s">
        <v>41172</v>
      </c>
      <c r="BP42" s="342" t="s">
        <v>41417</v>
      </c>
      <c r="BQ42" s="342" t="s">
        <v>41121</v>
      </c>
      <c r="BR42" s="376">
        <v>0</v>
      </c>
      <c r="BS42" s="342" t="s">
        <v>41418</v>
      </c>
      <c r="BT42" s="342" t="s">
        <v>41331</v>
      </c>
      <c r="BU42" s="376" t="s">
        <v>39925</v>
      </c>
      <c r="BV42" s="376">
        <f>Tabela10[[#This Row], [Descrição do projeto]]</f>
      </c>
    </row>
    <row x14ac:dyDescent="0.25" r="43" customHeight="1" ht="18.75" hidden="1">
      <c r="A43" s="336">
        <v>284</v>
      </c>
      <c r="B43" s="371">
        <f>AND(ISTEXT('Consolidado-Eletronorte'!#REF!),SUM('Consolidado-Eletronorte'!#REF!)&gt;0)</f>
      </c>
      <c r="C43" s="371">
        <f>$J$13</f>
      </c>
      <c r="D43" s="371">
        <f>$H$13</f>
      </c>
      <c r="E43" s="371">
        <f>$H$14</f>
      </c>
      <c r="F43" s="371">
        <f>_xlfn.CONCAT(Tabela10[[#This Row], [VP]],Tabela10[[#This Row], [Analise Estrategia]])</f>
      </c>
      <c r="G43" s="371">
        <f>_xlfn.CONCAT('Consolidado-Eletronorte'!#REF!,"_",ROW('Consolidado-Eletronorte'!#REF!)-ROW('Consolidado-Eletronorte'!$G$18))</f>
      </c>
      <c r="H43" s="335" t="s">
        <v>10</v>
      </c>
      <c r="I43" s="335" t="s">
        <v>88</v>
      </c>
      <c r="J43" s="335" t="s">
        <v>5</v>
      </c>
      <c r="K43" s="336" t="s">
        <v>21</v>
      </c>
      <c r="L43" s="335" t="s">
        <v>21</v>
      </c>
      <c r="M43" s="335" t="s">
        <v>39949</v>
      </c>
      <c r="N43" s="335"/>
      <c r="O43" s="335"/>
      <c r="P43" s="336" t="s">
        <v>38349</v>
      </c>
      <c r="Q43" s="342" t="s">
        <v>41270</v>
      </c>
      <c r="R43" s="383" t="s">
        <v>40085</v>
      </c>
      <c r="S43" s="342" t="s">
        <v>41270</v>
      </c>
      <c r="T43" s="335" t="s">
        <v>21</v>
      </c>
      <c r="U43" s="335" t="s">
        <v>21</v>
      </c>
      <c r="V43" s="335" t="s">
        <v>39949</v>
      </c>
      <c r="W43" s="335" t="s">
        <v>39949</v>
      </c>
      <c r="X43" s="335"/>
      <c r="Y43" s="336" t="s">
        <v>41222</v>
      </c>
      <c r="Z43" s="372"/>
      <c r="AA43" s="336"/>
      <c r="AB43" s="372"/>
      <c r="AC43" s="336"/>
      <c r="AD43" s="372"/>
      <c r="AE43" s="335"/>
      <c r="AF43" s="335"/>
      <c r="AG43" s="335" t="s">
        <v>40086</v>
      </c>
      <c r="AH43" s="335" t="s">
        <v>39998</v>
      </c>
      <c r="AI43" s="337">
        <v>0</v>
      </c>
      <c r="AJ43" s="337">
        <v>0</v>
      </c>
      <c r="AK43" s="337">
        <v>0</v>
      </c>
      <c r="AL43" s="337">
        <v>0</v>
      </c>
      <c r="AM43" s="337">
        <v>0</v>
      </c>
      <c r="AN43" s="337">
        <v>0</v>
      </c>
      <c r="AO43" s="337">
        <v>0</v>
      </c>
      <c r="AP43" s="337">
        <v>0</v>
      </c>
      <c r="AQ43" s="337">
        <v>0</v>
      </c>
      <c r="AR43" s="337">
        <v>0</v>
      </c>
      <c r="AS43" s="337"/>
      <c r="AT43" s="337">
        <v>0</v>
      </c>
      <c r="AU43" s="381">
        <f>SUM(Tabela10[[#This Row], [jan/26]:[dez/26]])</f>
      </c>
      <c r="AV43" s="381">
        <v>2000000</v>
      </c>
      <c r="AW43" s="381">
        <v>1500000</v>
      </c>
      <c r="AX43" s="337">
        <v>0</v>
      </c>
      <c r="AY43" s="337">
        <v>0</v>
      </c>
      <c r="AZ43" s="337">
        <f>SUM(Tabela10[[#This Row], [2026]:[2030]])</f>
      </c>
      <c r="BA43" s="337">
        <v>0</v>
      </c>
      <c r="BB43" s="337">
        <v>0</v>
      </c>
      <c r="BC43" s="337">
        <v>0</v>
      </c>
      <c r="BD43" s="337">
        <v>0</v>
      </c>
      <c r="BE43" s="337">
        <v>0</v>
      </c>
      <c r="BF43" s="373">
        <f>SUM(Tabela10[[#This Row], [2026-2030]:[2035]])</f>
      </c>
      <c r="BG43" s="374">
        <f>_xlfn.SEQUENCE(COUNTA(Tabela10[Empresa]),1,1)</f>
      </c>
      <c r="BH43" s="342" t="s">
        <v>41270</v>
      </c>
      <c r="BI43" s="374">
        <f>VLOOKUP(Tabela10[[#This Row], [ID real2]],[2]CONSOLIDADA!$AU:$AZ,6,FALSE)</f>
      </c>
      <c r="BJ43" s="342" t="s">
        <v>41127</v>
      </c>
      <c r="BK43" s="375">
        <v>2026</v>
      </c>
      <c r="BL43" s="342" t="s">
        <v>40087</v>
      </c>
      <c r="BM43" s="375">
        <v>0</v>
      </c>
      <c r="BN43" s="342" t="s">
        <v>41270</v>
      </c>
      <c r="BO43" s="342" t="s">
        <v>41172</v>
      </c>
      <c r="BP43" s="342" t="s">
        <v>41121</v>
      </c>
      <c r="BQ43" s="342" t="s">
        <v>41123</v>
      </c>
      <c r="BR43" s="376">
        <v>2000000</v>
      </c>
      <c r="BS43" s="342" t="s">
        <v>41419</v>
      </c>
      <c r="BT43" s="342" t="s">
        <v>41270</v>
      </c>
      <c r="BU43" s="376" t="s">
        <v>41144</v>
      </c>
      <c r="BV43" s="376">
        <f>Tabela10[[#This Row], [Descrição do projeto]]</f>
      </c>
    </row>
    <row x14ac:dyDescent="0.25" r="44" customHeight="1" ht="18.75">
      <c r="A44" s="336">
        <v>381</v>
      </c>
      <c r="B44" s="371">
        <f>AND(ISTEXT('Consolidado-Eletronorte'!#REF!),SUM('Consolidado-Eletronorte'!#REF!)&gt;0)</f>
      </c>
      <c r="C44" s="371">
        <f>$J$13</f>
      </c>
      <c r="D44" s="371">
        <f>$H$13</f>
      </c>
      <c r="E44" s="371">
        <f>$H$14</f>
      </c>
      <c r="F44" s="371">
        <f>_xlfn.CONCAT(Tabela10[[#This Row], [VP]],Tabela10[[#This Row], [Analise Estrategia]])</f>
      </c>
      <c r="G44" s="371">
        <f>_xlfn.CONCAT('Consolidado-Eletronorte'!#REF!,"_",ROW('Consolidado-Eletronorte'!#REF!)-ROW('Consolidado-Eletronorte'!$G$18))</f>
      </c>
      <c r="H44" s="335" t="s">
        <v>10</v>
      </c>
      <c r="I44" s="335" t="s">
        <v>88</v>
      </c>
      <c r="J44" s="335" t="s">
        <v>5</v>
      </c>
      <c r="K44" s="336" t="s">
        <v>21</v>
      </c>
      <c r="L44" s="335" t="s">
        <v>21</v>
      </c>
      <c r="M44" s="335" t="s">
        <v>39980</v>
      </c>
      <c r="N44" s="335"/>
      <c r="O44" s="335"/>
      <c r="P44" s="336" t="s">
        <v>38358</v>
      </c>
      <c r="Q44" s="342" t="s">
        <v>41237</v>
      </c>
      <c r="R44" s="335" t="s">
        <v>41219</v>
      </c>
      <c r="S44" s="342" t="s">
        <v>41237</v>
      </c>
      <c r="T44" s="335" t="s">
        <v>21</v>
      </c>
      <c r="U44" s="335" t="s">
        <v>21</v>
      </c>
      <c r="V44" s="335" t="s">
        <v>39980</v>
      </c>
      <c r="W44" s="335" t="s">
        <v>39980</v>
      </c>
      <c r="X44" s="335"/>
      <c r="Y44" s="336"/>
      <c r="Z44" s="372"/>
      <c r="AA44" s="336">
        <v>4600001891</v>
      </c>
      <c r="AB44" s="372">
        <v>1226627.35</v>
      </c>
      <c r="AC44" s="336">
        <v>4500089266</v>
      </c>
      <c r="AD44" s="372">
        <v>1226627.35</v>
      </c>
      <c r="AE44" s="335" t="s">
        <v>41219</v>
      </c>
      <c r="AF44" s="384" t="s">
        <v>41420</v>
      </c>
      <c r="AG44" s="335" t="s">
        <v>39982</v>
      </c>
      <c r="AH44" s="335" t="s">
        <v>39912</v>
      </c>
      <c r="AI44" s="337">
        <v>0</v>
      </c>
      <c r="AJ44" s="337">
        <v>2125000</v>
      </c>
      <c r="AK44" s="337">
        <v>0</v>
      </c>
      <c r="AL44" s="337">
        <v>2125000</v>
      </c>
      <c r="AM44" s="337">
        <v>0</v>
      </c>
      <c r="AN44" s="337">
        <v>2125000</v>
      </c>
      <c r="AO44" s="337">
        <v>0</v>
      </c>
      <c r="AP44" s="337">
        <v>2125000</v>
      </c>
      <c r="AQ44" s="337">
        <v>0</v>
      </c>
      <c r="AR44" s="337">
        <v>0</v>
      </c>
      <c r="AS44" s="337">
        <v>0</v>
      </c>
      <c r="AT44" s="337">
        <v>0</v>
      </c>
      <c r="AU44" s="381">
        <f>SUM(Tabela10[[#This Row], [jan/26]:[dez/26]])</f>
      </c>
      <c r="AV44" s="337">
        <v>0</v>
      </c>
      <c r="AW44" s="337">
        <v>0</v>
      </c>
      <c r="AX44" s="337">
        <v>0</v>
      </c>
      <c r="AY44" s="337">
        <v>0</v>
      </c>
      <c r="AZ44" s="337">
        <f>SUM(Tabela10[[#This Row], [2026]:[2030]])</f>
      </c>
      <c r="BA44" s="337">
        <v>0</v>
      </c>
      <c r="BB44" s="337">
        <v>0</v>
      </c>
      <c r="BC44" s="337">
        <v>0</v>
      </c>
      <c r="BD44" s="337">
        <v>0</v>
      </c>
      <c r="BE44" s="337">
        <v>0</v>
      </c>
      <c r="BF44" s="373">
        <f>SUM(Tabela10[[#This Row], [2026-2030]:[2035]])</f>
      </c>
      <c r="BG44" s="374">
        <f>_xlfn.SEQUENCE(COUNTA(Tabela10[Empresa]),1,1)</f>
      </c>
      <c r="BH44" s="342" t="s">
        <v>41237</v>
      </c>
      <c r="BI44" s="374">
        <f>VLOOKUP(Tabela10[[#This Row], [ID real2]],[2]CONSOLIDADA!$AU:$AZ,6,FALSE)</f>
      </c>
      <c r="BJ44" s="342" t="s">
        <v>41131</v>
      </c>
      <c r="BK44" s="375">
        <v>2025</v>
      </c>
      <c r="BL44" s="342" t="s">
        <v>39984</v>
      </c>
      <c r="BM44" s="375" t="s">
        <v>39957</v>
      </c>
      <c r="BN44" s="342" t="s">
        <v>41237</v>
      </c>
      <c r="BO44" s="342" t="s">
        <v>46</v>
      </c>
      <c r="BP44" s="342" t="s">
        <v>41394</v>
      </c>
      <c r="BQ44" s="342" t="s">
        <v>46</v>
      </c>
      <c r="BR44" s="376">
        <v>8000000</v>
      </c>
      <c r="BS44" s="342" t="s">
        <v>41385</v>
      </c>
      <c r="BT44" s="342" t="s">
        <v>41237</v>
      </c>
      <c r="BU44" s="376" t="s">
        <v>41421</v>
      </c>
      <c r="BV44" s="376">
        <f>Tabela10[[#This Row], [Descrição do projeto]]</f>
      </c>
    </row>
    <row x14ac:dyDescent="0.25" r="45" customHeight="1" ht="18.75">
      <c r="A45" s="336">
        <v>345</v>
      </c>
      <c r="B45" s="371">
        <f>AND(ISTEXT('Consolidado-Eletronorte'!#REF!),SUM('Consolidado-Eletronorte'!#REF!)&gt;0)</f>
      </c>
      <c r="C45" s="371">
        <f>$J$13</f>
      </c>
      <c r="D45" s="371">
        <f>$H$13</f>
      </c>
      <c r="E45" s="371">
        <f>$H$14</f>
      </c>
      <c r="F45" s="371">
        <f>_xlfn.CONCAT(Tabela10[[#This Row], [VP]],Tabela10[[#This Row], [Analise Estrategia]])</f>
      </c>
      <c r="G45" s="371">
        <f>_xlfn.CONCAT('Consolidado-Eletronorte'!#REF!,"_",ROW('Consolidado-Eletronorte'!#REF!)-ROW('Consolidado-Eletronorte'!$G$18))</f>
      </c>
      <c r="H45" s="335" t="s">
        <v>10</v>
      </c>
      <c r="I45" s="335" t="s">
        <v>88</v>
      </c>
      <c r="J45" s="335" t="s">
        <v>5</v>
      </c>
      <c r="K45" s="336" t="s">
        <v>21</v>
      </c>
      <c r="L45" s="335" t="s">
        <v>21</v>
      </c>
      <c r="M45" s="382" t="s">
        <v>39949</v>
      </c>
      <c r="N45" s="335"/>
      <c r="O45" s="335"/>
      <c r="P45" s="336" t="s">
        <v>38358</v>
      </c>
      <c r="Q45" s="342" t="s">
        <v>41243</v>
      </c>
      <c r="R45" s="335" t="s">
        <v>39990</v>
      </c>
      <c r="S45" s="342" t="s">
        <v>41243</v>
      </c>
      <c r="T45" s="335" t="s">
        <v>21</v>
      </c>
      <c r="U45" s="335" t="s">
        <v>21</v>
      </c>
      <c r="V45" s="335" t="s">
        <v>39949</v>
      </c>
      <c r="W45" s="335" t="s">
        <v>39949</v>
      </c>
      <c r="X45" s="335"/>
      <c r="Y45" s="336"/>
      <c r="Z45" s="372"/>
      <c r="AA45" s="336"/>
      <c r="AB45" s="372"/>
      <c r="AC45" s="336">
        <v>4500081780</v>
      </c>
      <c r="AD45" s="372">
        <v>7883893.27</v>
      </c>
      <c r="AE45" s="335" t="s">
        <v>41422</v>
      </c>
      <c r="AF45" s="335" t="s">
        <v>41202</v>
      </c>
      <c r="AG45" s="335" t="s">
        <v>39991</v>
      </c>
      <c r="AH45" s="335" t="s">
        <v>39912</v>
      </c>
      <c r="AI45" s="337">
        <v>0</v>
      </c>
      <c r="AJ45" s="337">
        <v>0</v>
      </c>
      <c r="AK45" s="337">
        <v>0</v>
      </c>
      <c r="AL45" s="337">
        <v>0</v>
      </c>
      <c r="AM45" s="337">
        <v>2500000</v>
      </c>
      <c r="AN45" s="337">
        <v>0</v>
      </c>
      <c r="AO45" s="337">
        <v>0</v>
      </c>
      <c r="AP45" s="337">
        <v>0</v>
      </c>
      <c r="AQ45" s="337">
        <v>0</v>
      </c>
      <c r="AR45" s="337">
        <v>2500000</v>
      </c>
      <c r="AS45" s="337">
        <v>0</v>
      </c>
      <c r="AT45" s="337">
        <v>0</v>
      </c>
      <c r="AU45" s="337">
        <f>SUM(Tabela10[[#This Row], [jan/26]:[dez/26]])</f>
      </c>
      <c r="AV45" s="337">
        <v>2500000</v>
      </c>
      <c r="AW45" s="337">
        <v>0</v>
      </c>
      <c r="AX45" s="337">
        <v>0</v>
      </c>
      <c r="AY45" s="337">
        <v>0</v>
      </c>
      <c r="AZ45" s="337">
        <f>SUM(Tabela10[[#This Row], [2026]:[2030]])</f>
      </c>
      <c r="BA45" s="337">
        <v>0</v>
      </c>
      <c r="BB45" s="337">
        <v>0</v>
      </c>
      <c r="BC45" s="337">
        <v>0</v>
      </c>
      <c r="BD45" s="337">
        <v>0</v>
      </c>
      <c r="BE45" s="337">
        <v>0</v>
      </c>
      <c r="BF45" s="373">
        <f>SUM(Tabela10[[#This Row], [2026-2030]:[2035]])</f>
      </c>
      <c r="BG45" s="374">
        <f>_xlfn.SEQUENCE(COUNTA(Tabela10[Empresa]),1,1)</f>
      </c>
      <c r="BH45" s="342" t="s">
        <v>41243</v>
      </c>
      <c r="BI45" s="374">
        <f>VLOOKUP(Tabela10[[#This Row], [ID real2]],[2]CONSOLIDADA!$AU:$AZ,6,FALSE)</f>
      </c>
      <c r="BJ45" s="342" t="s">
        <v>41127</v>
      </c>
      <c r="BK45" s="375">
        <v>2025</v>
      </c>
      <c r="BL45" s="342" t="s">
        <v>39992</v>
      </c>
      <c r="BM45" s="375" t="s">
        <v>41423</v>
      </c>
      <c r="BN45" s="342" t="s">
        <v>41243</v>
      </c>
      <c r="BO45" s="342" t="s">
        <v>46</v>
      </c>
      <c r="BP45" s="342" t="s">
        <v>41121</v>
      </c>
      <c r="BQ45" s="342" t="s">
        <v>46</v>
      </c>
      <c r="BR45" s="376">
        <v>5000000</v>
      </c>
      <c r="BS45" s="342" t="s">
        <v>41389</v>
      </c>
      <c r="BT45" s="342" t="s">
        <v>41243</v>
      </c>
      <c r="BU45" s="376" t="s">
        <v>41144</v>
      </c>
      <c r="BV45" s="376">
        <f>Tabela10[[#This Row], [Descrição do projeto]]</f>
      </c>
    </row>
    <row x14ac:dyDescent="0.25" r="46" customHeight="1" ht="18.75" hidden="1">
      <c r="A46" s="336">
        <v>761</v>
      </c>
      <c r="B46" s="371">
        <f>AND(ISTEXT('Consolidado-Eletronorte'!#REF!),SUM('Consolidado-Eletronorte'!#REF!)&gt;0)</f>
      </c>
      <c r="C46" s="371">
        <f>$J$13</f>
      </c>
      <c r="D46" s="371">
        <f>$H$13</f>
      </c>
      <c r="E46" s="371">
        <f>$H$14</f>
      </c>
      <c r="F46" s="371">
        <f>_xlfn.CONCAT(Tabela10[[#This Row], [VP]],Tabela10[[#This Row], [Analise Estrategia]])</f>
      </c>
      <c r="G46" s="371">
        <f>_xlfn.CONCAT('Consolidado-Eletronorte'!#REF!,"_",ROW('Consolidado-Eletronorte'!#REF!)-ROW('Consolidado-Eletronorte'!$G$18))</f>
      </c>
      <c r="H46" s="335" t="s">
        <v>10</v>
      </c>
      <c r="I46" s="335" t="s">
        <v>88</v>
      </c>
      <c r="J46" s="335" t="s">
        <v>5</v>
      </c>
      <c r="K46" s="336" t="s">
        <v>21</v>
      </c>
      <c r="L46" s="335" t="s">
        <v>21</v>
      </c>
      <c r="M46" s="335" t="s">
        <v>39949</v>
      </c>
      <c r="N46" s="335"/>
      <c r="O46" s="335"/>
      <c r="P46" s="336"/>
      <c r="Q46" s="342" t="s">
        <v>41251</v>
      </c>
      <c r="R46" s="335" t="s">
        <v>41223</v>
      </c>
      <c r="S46" s="342" t="s">
        <v>41251</v>
      </c>
      <c r="T46" s="335" t="s">
        <v>21</v>
      </c>
      <c r="U46" s="335" t="s">
        <v>21</v>
      </c>
      <c r="V46" s="335" t="s">
        <v>39949</v>
      </c>
      <c r="W46" s="335" t="s">
        <v>39949</v>
      </c>
      <c r="X46" s="335"/>
      <c r="Y46" s="336" t="s">
        <v>41222</v>
      </c>
      <c r="Z46" s="372"/>
      <c r="AA46" s="336"/>
      <c r="AB46" s="372"/>
      <c r="AC46" s="336"/>
      <c r="AD46" s="372"/>
      <c r="AE46" s="335"/>
      <c r="AF46" s="335"/>
      <c r="AG46" s="335"/>
      <c r="AH46" s="335" t="s">
        <v>39945</v>
      </c>
      <c r="AI46" s="337">
        <v>0</v>
      </c>
      <c r="AJ46" s="337">
        <v>0</v>
      </c>
      <c r="AK46" s="337">
        <v>0</v>
      </c>
      <c r="AL46" s="337">
        <v>0</v>
      </c>
      <c r="AM46" s="337">
        <v>0</v>
      </c>
      <c r="AN46" s="337">
        <v>0</v>
      </c>
      <c r="AO46" s="337"/>
      <c r="AP46" s="337">
        <v>0</v>
      </c>
      <c r="AQ46" s="337">
        <v>0</v>
      </c>
      <c r="AR46" s="337">
        <v>0</v>
      </c>
      <c r="AS46" s="337">
        <v>0</v>
      </c>
      <c r="AT46" s="337"/>
      <c r="AU46" s="337">
        <f>SUM(Tabela10[[#This Row], [jan/26]:[dez/26]])</f>
      </c>
      <c r="AV46" s="381">
        <v>6000000</v>
      </c>
      <c r="AW46" s="381">
        <v>6000000</v>
      </c>
      <c r="AX46" s="337">
        <v>0</v>
      </c>
      <c r="AY46" s="337">
        <v>0</v>
      </c>
      <c r="AZ46" s="337">
        <f>SUM(Tabela10[[#This Row], [2026]:[2030]])</f>
      </c>
      <c r="BA46" s="337">
        <v>0</v>
      </c>
      <c r="BB46" s="337">
        <v>0</v>
      </c>
      <c r="BC46" s="337">
        <v>0</v>
      </c>
      <c r="BD46" s="337">
        <v>0</v>
      </c>
      <c r="BE46" s="337">
        <v>0</v>
      </c>
      <c r="BF46" s="373">
        <f>SUM(Tabela10[[#This Row], [2026-2030]:[2035]])</f>
      </c>
      <c r="BG46" s="374">
        <f>_xlfn.SEQUENCE(COUNTA(Tabela10[Empresa]),1,1)</f>
      </c>
      <c r="BH46" s="342" t="s">
        <v>41251</v>
      </c>
      <c r="BI46" s="374">
        <f>VLOOKUP(Tabela10[[#This Row], [ID real2]],[2]CONSOLIDADA!$AU:$AZ,6,FALSE)</f>
      </c>
      <c r="BJ46" s="342" t="s">
        <v>39946</v>
      </c>
      <c r="BK46" s="375"/>
      <c r="BL46" s="342"/>
      <c r="BM46" s="375"/>
      <c r="BN46" s="342" t="s">
        <v>41251</v>
      </c>
      <c r="BO46" s="342" t="s">
        <v>41174</v>
      </c>
      <c r="BP46" s="342"/>
      <c r="BQ46" s="342" t="s">
        <v>41123</v>
      </c>
      <c r="BR46" s="376">
        <v>2400000</v>
      </c>
      <c r="BS46" s="342" t="s">
        <v>41419</v>
      </c>
      <c r="BT46" s="342" t="s">
        <v>41251</v>
      </c>
      <c r="BU46" s="376" t="s">
        <v>41424</v>
      </c>
      <c r="BV46" s="376">
        <f>Tabela10[[#This Row], [Descrição do projeto]]</f>
      </c>
    </row>
    <row x14ac:dyDescent="0.25" r="47" customHeight="1" ht="18.75" hidden="1">
      <c r="A47" s="336">
        <v>341</v>
      </c>
      <c r="B47" s="371">
        <f>AND(ISTEXT('Consolidado-Eletronorte'!#REF!),SUM('Consolidado-Eletronorte'!#REF!)&gt;0)</f>
      </c>
      <c r="C47" s="371">
        <f>$J$13</f>
      </c>
      <c r="D47" s="371">
        <f>$H$13</f>
      </c>
      <c r="E47" s="371">
        <f>$H$14</f>
      </c>
      <c r="F47" s="371">
        <f>_xlfn.CONCAT(Tabela10[[#This Row], [VP]],Tabela10[[#This Row], [Analise Estrategia]])</f>
      </c>
      <c r="G47" s="371">
        <f>_xlfn.CONCAT('Consolidado-Eletronorte'!#REF!,"_",ROW('Consolidado-Eletronorte'!#REF!)-ROW('Consolidado-Eletronorte'!$G$18))</f>
      </c>
      <c r="H47" s="335" t="s">
        <v>10</v>
      </c>
      <c r="I47" s="335" t="s">
        <v>88</v>
      </c>
      <c r="J47" s="335" t="s">
        <v>5</v>
      </c>
      <c r="K47" s="336" t="s">
        <v>21</v>
      </c>
      <c r="L47" s="335" t="s">
        <v>21</v>
      </c>
      <c r="M47" s="335" t="s">
        <v>39932</v>
      </c>
      <c r="N47" s="335"/>
      <c r="O47" s="335"/>
      <c r="P47" s="336" t="s">
        <v>38366</v>
      </c>
      <c r="Q47" s="342" t="s">
        <v>41252</v>
      </c>
      <c r="R47" s="335" t="s">
        <v>40011</v>
      </c>
      <c r="S47" s="342" t="s">
        <v>41252</v>
      </c>
      <c r="T47" s="335" t="s">
        <v>21</v>
      </c>
      <c r="U47" s="335" t="s">
        <v>21</v>
      </c>
      <c r="V47" s="335" t="s">
        <v>39932</v>
      </c>
      <c r="W47" s="335" t="s">
        <v>39932</v>
      </c>
      <c r="X47" s="335"/>
      <c r="Y47" s="336" t="s">
        <v>41222</v>
      </c>
      <c r="Z47" s="372"/>
      <c r="AA47" s="336"/>
      <c r="AB47" s="372"/>
      <c r="AC47" s="336"/>
      <c r="AD47" s="372"/>
      <c r="AE47" s="335"/>
      <c r="AF47" s="335"/>
      <c r="AG47" s="335" t="s">
        <v>40012</v>
      </c>
      <c r="AH47" s="335" t="s">
        <v>39969</v>
      </c>
      <c r="AI47" s="337">
        <v>0</v>
      </c>
      <c r="AJ47" s="337">
        <v>0</v>
      </c>
      <c r="AK47" s="337">
        <v>0</v>
      </c>
      <c r="AL47" s="337">
        <v>0</v>
      </c>
      <c r="AM47" s="337"/>
      <c r="AN47" s="337">
        <v>0</v>
      </c>
      <c r="AO47" s="337">
        <v>0</v>
      </c>
      <c r="AP47" s="337"/>
      <c r="AQ47" s="337">
        <v>0</v>
      </c>
      <c r="AR47" s="381">
        <v>500000</v>
      </c>
      <c r="AS47" s="337"/>
      <c r="AT47" s="337">
        <v>0</v>
      </c>
      <c r="AU47" s="337">
        <f>SUM(Tabela10[[#This Row], [jan/26]:[dez/26]])</f>
      </c>
      <c r="AV47" s="337">
        <v>3200000</v>
      </c>
      <c r="AW47" s="381">
        <v>1800000</v>
      </c>
      <c r="AX47" s="337">
        <v>0</v>
      </c>
      <c r="AY47" s="337">
        <v>0</v>
      </c>
      <c r="AZ47" s="337">
        <f>SUM(Tabela10[[#This Row], [2026]:[2030]])</f>
      </c>
      <c r="BA47" s="337">
        <v>0</v>
      </c>
      <c r="BB47" s="337">
        <v>0</v>
      </c>
      <c r="BC47" s="337">
        <v>0</v>
      </c>
      <c r="BD47" s="337">
        <v>0</v>
      </c>
      <c r="BE47" s="337">
        <v>0</v>
      </c>
      <c r="BF47" s="373">
        <f>SUM(Tabela10[[#This Row], [2026-2030]:[2035]])</f>
      </c>
      <c r="BG47" s="374">
        <f>_xlfn.SEQUENCE(COUNTA(Tabela10[Empresa]),1,1)</f>
      </c>
      <c r="BH47" s="342" t="s">
        <v>41252</v>
      </c>
      <c r="BI47" s="374">
        <f>VLOOKUP(Tabela10[[#This Row], [ID real2]],[2]CONSOLIDADA!$AU:$AZ,6,FALSE)</f>
      </c>
      <c r="BJ47" s="342" t="s">
        <v>40013</v>
      </c>
      <c r="BK47" s="375">
        <v>2026</v>
      </c>
      <c r="BL47" s="342" t="s">
        <v>40014</v>
      </c>
      <c r="BM47" s="375">
        <v>0</v>
      </c>
      <c r="BN47" s="342" t="s">
        <v>41252</v>
      </c>
      <c r="BO47" s="342" t="s">
        <v>41172</v>
      </c>
      <c r="BP47" s="342" t="s">
        <v>41121</v>
      </c>
      <c r="BQ47" s="342" t="s">
        <v>41123</v>
      </c>
      <c r="BR47" s="376">
        <v>2300000</v>
      </c>
      <c r="BS47" s="342" t="s">
        <v>41425</v>
      </c>
      <c r="BT47" s="342" t="s">
        <v>41252</v>
      </c>
      <c r="BU47" s="376" t="s">
        <v>41416</v>
      </c>
      <c r="BV47" s="376">
        <f>Tabela10[[#This Row], [Descrição do projeto]]</f>
      </c>
    </row>
    <row x14ac:dyDescent="0.25" r="48" customHeight="1" ht="18.75" hidden="1">
      <c r="A48" s="336">
        <v>290</v>
      </c>
      <c r="B48" s="371">
        <f>AND(ISTEXT('Consolidado-Eletronorte'!#REF!),SUM('Consolidado-Eletronorte'!#REF!)&gt;0)</f>
      </c>
      <c r="C48" s="371">
        <f>$J$13</f>
      </c>
      <c r="D48" s="371">
        <f>$H$13</f>
      </c>
      <c r="E48" s="371">
        <f>$H$14</f>
      </c>
      <c r="F48" s="371">
        <f>_xlfn.CONCAT(Tabela10[[#This Row], [VP]],Tabela10[[#This Row], [Analise Estrategia]])</f>
      </c>
      <c r="G48" s="371">
        <f>_xlfn.CONCAT('Consolidado-Eletronorte'!#REF!,"_",ROW('Consolidado-Eletronorte'!#REF!)-ROW('Consolidado-Eletronorte'!$G$18))</f>
      </c>
      <c r="H48" s="335" t="s">
        <v>10</v>
      </c>
      <c r="I48" s="335" t="s">
        <v>88</v>
      </c>
      <c r="J48" s="335" t="s">
        <v>5</v>
      </c>
      <c r="K48" s="336" t="s">
        <v>21</v>
      </c>
      <c r="L48" s="335" t="s">
        <v>21</v>
      </c>
      <c r="M48" s="335" t="s">
        <v>39949</v>
      </c>
      <c r="N48" s="335"/>
      <c r="O48" s="335"/>
      <c r="P48" s="336" t="s">
        <v>38349</v>
      </c>
      <c r="Q48" s="342" t="s">
        <v>41254</v>
      </c>
      <c r="R48" s="335" t="s">
        <v>40081</v>
      </c>
      <c r="S48" s="342" t="s">
        <v>41254</v>
      </c>
      <c r="T48" s="335" t="s">
        <v>21</v>
      </c>
      <c r="U48" s="335" t="s">
        <v>21</v>
      </c>
      <c r="V48" s="335" t="s">
        <v>39949</v>
      </c>
      <c r="W48" s="335" t="s">
        <v>39949</v>
      </c>
      <c r="X48" s="335"/>
      <c r="Y48" s="336">
        <v>3400002925</v>
      </c>
      <c r="Z48" s="372">
        <v>10000000</v>
      </c>
      <c r="AA48" s="336"/>
      <c r="AB48" s="372"/>
      <c r="AC48" s="336"/>
      <c r="AD48" s="372"/>
      <c r="AE48" s="335"/>
      <c r="AF48" s="335"/>
      <c r="AG48" s="335" t="s">
        <v>40082</v>
      </c>
      <c r="AH48" s="335" t="s">
        <v>39998</v>
      </c>
      <c r="AI48" s="337">
        <v>0</v>
      </c>
      <c r="AJ48" s="337">
        <v>0</v>
      </c>
      <c r="AK48" s="337"/>
      <c r="AL48" s="337">
        <v>0</v>
      </c>
      <c r="AM48" s="337">
        <v>0</v>
      </c>
      <c r="AN48" s="337">
        <v>0</v>
      </c>
      <c r="AO48" s="337"/>
      <c r="AP48" s="337">
        <v>1000000</v>
      </c>
      <c r="AQ48" s="337">
        <v>0</v>
      </c>
      <c r="AR48" s="337"/>
      <c r="AS48" s="337">
        <v>0</v>
      </c>
      <c r="AT48" s="337">
        <v>0</v>
      </c>
      <c r="AU48" s="381">
        <f>SUM(Tabela10[[#This Row], [jan/26]:[dez/26]])</f>
      </c>
      <c r="AV48" s="381">
        <v>2100000</v>
      </c>
      <c r="AW48" s="337">
        <v>0</v>
      </c>
      <c r="AX48" s="337">
        <v>0</v>
      </c>
      <c r="AY48" s="337">
        <v>0</v>
      </c>
      <c r="AZ48" s="337">
        <f>SUM(Tabela10[[#This Row], [2026]:[2030]])</f>
      </c>
      <c r="BA48" s="337">
        <v>0</v>
      </c>
      <c r="BB48" s="337">
        <v>0</v>
      </c>
      <c r="BC48" s="337">
        <v>0</v>
      </c>
      <c r="BD48" s="337">
        <v>0</v>
      </c>
      <c r="BE48" s="337">
        <v>0</v>
      </c>
      <c r="BF48" s="373">
        <f>SUM(Tabela10[[#This Row], [2026-2030]:[2035]])</f>
      </c>
      <c r="BG48" s="374">
        <f>_xlfn.SEQUENCE(COUNTA(Tabela10[Empresa]),1,1)</f>
      </c>
      <c r="BH48" s="342" t="s">
        <v>41254</v>
      </c>
      <c r="BI48" s="374">
        <f>VLOOKUP(Tabela10[[#This Row], [ID real2]],[2]CONSOLIDADA!$AU:$AZ,6,FALSE)</f>
      </c>
      <c r="BJ48" s="342" t="s">
        <v>41127</v>
      </c>
      <c r="BK48" s="375">
        <v>2025</v>
      </c>
      <c r="BL48" s="342" t="s">
        <v>40083</v>
      </c>
      <c r="BM48" s="375" t="s">
        <v>40084</v>
      </c>
      <c r="BN48" s="342" t="s">
        <v>41254</v>
      </c>
      <c r="BO48" s="342" t="s">
        <v>41171</v>
      </c>
      <c r="BP48" s="342" t="s">
        <v>41417</v>
      </c>
      <c r="BQ48" s="342" t="s">
        <v>64</v>
      </c>
      <c r="BR48" s="376">
        <v>2100000</v>
      </c>
      <c r="BS48" s="342" t="s">
        <v>41407</v>
      </c>
      <c r="BT48" s="342" t="s">
        <v>41254</v>
      </c>
      <c r="BU48" s="376" t="s">
        <v>41144</v>
      </c>
      <c r="BV48" s="376">
        <f>Tabela10[[#This Row], [Descrição do projeto]]</f>
      </c>
    </row>
    <row x14ac:dyDescent="0.25" r="49" customHeight="1" ht="18.75">
      <c r="A49" s="336">
        <v>294</v>
      </c>
      <c r="B49" s="371">
        <f>AND(ISTEXT('Consolidado-Eletronorte'!#REF!),SUM('Consolidado-Eletronorte'!#REF!)&gt;0)</f>
      </c>
      <c r="C49" s="371">
        <f>$J$13</f>
      </c>
      <c r="D49" s="371">
        <f>$H$13</f>
      </c>
      <c r="E49" s="371">
        <f>$H$14</f>
      </c>
      <c r="F49" s="371">
        <f>_xlfn.CONCAT(Tabela10[[#This Row], [VP]],Tabela10[[#This Row], [Analise Estrategia]])</f>
      </c>
      <c r="G49" s="371">
        <f>_xlfn.CONCAT('Consolidado-Eletronorte'!#REF!,"_",ROW('Consolidado-Eletronorte'!#REF!)-ROW('Consolidado-Eletronorte'!$G$18))</f>
      </c>
      <c r="H49" s="335" t="s">
        <v>10</v>
      </c>
      <c r="I49" s="335" t="s">
        <v>88</v>
      </c>
      <c r="J49" s="335" t="s">
        <v>5</v>
      </c>
      <c r="K49" s="336" t="s">
        <v>21</v>
      </c>
      <c r="L49" s="335" t="s">
        <v>21</v>
      </c>
      <c r="M49" s="382" t="s">
        <v>39949</v>
      </c>
      <c r="N49" s="335" t="s">
        <v>41245</v>
      </c>
      <c r="O49" s="335"/>
      <c r="P49" s="336" t="s">
        <v>38349</v>
      </c>
      <c r="Q49" s="342" t="s">
        <v>41245</v>
      </c>
      <c r="R49" s="335" t="s">
        <v>40051</v>
      </c>
      <c r="S49" s="342" t="s">
        <v>41245</v>
      </c>
      <c r="T49" s="335" t="s">
        <v>21</v>
      </c>
      <c r="U49" s="335" t="s">
        <v>21</v>
      </c>
      <c r="V49" s="335" t="s">
        <v>39949</v>
      </c>
      <c r="W49" s="335" t="s">
        <v>39949</v>
      </c>
      <c r="X49" s="335"/>
      <c r="Y49" s="336"/>
      <c r="Z49" s="372"/>
      <c r="AA49" s="336"/>
      <c r="AB49" s="372"/>
      <c r="AC49" s="336">
        <v>4500083041</v>
      </c>
      <c r="AD49" s="372">
        <v>3975828.92</v>
      </c>
      <c r="AE49" s="335" t="s">
        <v>41426</v>
      </c>
      <c r="AF49" s="335" t="s">
        <v>41203</v>
      </c>
      <c r="AG49" s="335" t="s">
        <v>40052</v>
      </c>
      <c r="AH49" s="335" t="s">
        <v>39998</v>
      </c>
      <c r="AI49" s="337">
        <v>0</v>
      </c>
      <c r="AJ49" s="337">
        <v>500000</v>
      </c>
      <c r="AK49" s="337">
        <v>0</v>
      </c>
      <c r="AL49" s="337">
        <v>0</v>
      </c>
      <c r="AM49" s="337">
        <v>0</v>
      </c>
      <c r="AN49" s="337">
        <v>1000000</v>
      </c>
      <c r="AO49" s="337">
        <v>0</v>
      </c>
      <c r="AP49" s="337">
        <v>0</v>
      </c>
      <c r="AQ49" s="337">
        <v>0</v>
      </c>
      <c r="AR49" s="337">
        <v>1500000</v>
      </c>
      <c r="AS49" s="337">
        <v>0</v>
      </c>
      <c r="AT49" s="337">
        <v>0</v>
      </c>
      <c r="AU49" s="381">
        <f>SUM(Tabela10[[#This Row], [jan/26]:[dez/26]])</f>
      </c>
      <c r="AV49" s="337">
        <v>0</v>
      </c>
      <c r="AW49" s="337">
        <v>0</v>
      </c>
      <c r="AX49" s="337">
        <v>0</v>
      </c>
      <c r="AY49" s="337">
        <v>0</v>
      </c>
      <c r="AZ49" s="337">
        <f>SUM(Tabela10[[#This Row], [2026]:[2030]])</f>
      </c>
      <c r="BA49" s="337">
        <v>0</v>
      </c>
      <c r="BB49" s="337">
        <v>0</v>
      </c>
      <c r="BC49" s="337">
        <v>0</v>
      </c>
      <c r="BD49" s="337">
        <v>0</v>
      </c>
      <c r="BE49" s="337">
        <v>0</v>
      </c>
      <c r="BF49" s="373">
        <f>SUM(Tabela10[[#This Row], [2026-2030]:[2035]])</f>
      </c>
      <c r="BG49" s="374">
        <f>_xlfn.SEQUENCE(COUNTA(Tabela10[Empresa]),1,1)</f>
      </c>
      <c r="BH49" s="342" t="s">
        <v>41245</v>
      </c>
      <c r="BI49" s="374">
        <f>VLOOKUP(Tabela10[[#This Row], [ID real2]],[2]CONSOLIDADA!$AU:$AZ,6,FALSE)</f>
      </c>
      <c r="BJ49" s="342" t="s">
        <v>40043</v>
      </c>
      <c r="BK49" s="375">
        <v>2025</v>
      </c>
      <c r="BL49" s="342" t="s">
        <v>40054</v>
      </c>
      <c r="BM49" s="375" t="s">
        <v>40055</v>
      </c>
      <c r="BN49" s="342" t="s">
        <v>41245</v>
      </c>
      <c r="BO49" s="342" t="s">
        <v>46</v>
      </c>
      <c r="BP49" s="342" t="s">
        <v>41427</v>
      </c>
      <c r="BQ49" s="342" t="s">
        <v>46</v>
      </c>
      <c r="BR49" s="376">
        <v>3997404</v>
      </c>
      <c r="BS49" s="342" t="s">
        <v>41410</v>
      </c>
      <c r="BT49" s="342" t="s">
        <v>41245</v>
      </c>
      <c r="BU49" s="376" t="s">
        <v>41151</v>
      </c>
      <c r="BV49" s="376">
        <f>Tabela10[[#This Row], [Descrição do projeto]]</f>
      </c>
    </row>
    <row x14ac:dyDescent="0.25" r="50" customHeight="1" ht="18.75" hidden="1">
      <c r="A50" s="336">
        <v>350</v>
      </c>
      <c r="B50" s="371">
        <f>AND(ISTEXT('Consolidado-Eletronorte'!#REF!),SUM('Consolidado-Eletronorte'!#REF!)&gt;0)</f>
      </c>
      <c r="C50" s="371">
        <f>$J$13</f>
      </c>
      <c r="D50" s="371">
        <f>$H$13</f>
      </c>
      <c r="E50" s="371">
        <f>$H$14</f>
      </c>
      <c r="F50" s="371">
        <f>_xlfn.CONCAT(Tabela10[[#This Row], [VP]],Tabela10[[#This Row], [Analise Estrategia]])</f>
      </c>
      <c r="G50" s="371">
        <f>_xlfn.CONCAT('Consolidado-Eletronorte'!#REF!,"_",ROW('Consolidado-Eletronorte'!#REF!)-ROW('Consolidado-Eletronorte'!$G$18))</f>
      </c>
      <c r="H50" s="335" t="s">
        <v>10</v>
      </c>
      <c r="I50" s="335" t="s">
        <v>88</v>
      </c>
      <c r="J50" s="335" t="s">
        <v>5</v>
      </c>
      <c r="K50" s="336" t="s">
        <v>21</v>
      </c>
      <c r="L50" s="335" t="s">
        <v>21</v>
      </c>
      <c r="M50" s="335" t="s">
        <v>39949</v>
      </c>
      <c r="N50" s="335"/>
      <c r="O50" s="335"/>
      <c r="P50" s="336" t="s">
        <v>38358</v>
      </c>
      <c r="Q50" s="342" t="s">
        <v>41281</v>
      </c>
      <c r="R50" s="335" t="s">
        <v>40030</v>
      </c>
      <c r="S50" s="342" t="s">
        <v>41281</v>
      </c>
      <c r="T50" s="335" t="s">
        <v>21</v>
      </c>
      <c r="U50" s="335" t="s">
        <v>21</v>
      </c>
      <c r="V50" s="335" t="s">
        <v>39949</v>
      </c>
      <c r="W50" s="335" t="s">
        <v>39949</v>
      </c>
      <c r="X50" s="335"/>
      <c r="Y50" s="336" t="s">
        <v>41222</v>
      </c>
      <c r="Z50" s="372"/>
      <c r="AA50" s="336"/>
      <c r="AB50" s="372"/>
      <c r="AC50" s="336"/>
      <c r="AD50" s="372"/>
      <c r="AE50" s="335"/>
      <c r="AF50" s="335"/>
      <c r="AG50" s="335" t="s">
        <v>40031</v>
      </c>
      <c r="AH50" s="335" t="s">
        <v>39912</v>
      </c>
      <c r="AI50" s="337">
        <v>0</v>
      </c>
      <c r="AJ50" s="337">
        <v>0</v>
      </c>
      <c r="AK50" s="337">
        <v>0</v>
      </c>
      <c r="AL50" s="337">
        <v>0</v>
      </c>
      <c r="AM50" s="337">
        <v>0</v>
      </c>
      <c r="AN50" s="337"/>
      <c r="AO50" s="337">
        <v>0</v>
      </c>
      <c r="AP50" s="337">
        <v>0</v>
      </c>
      <c r="AQ50" s="337">
        <v>0</v>
      </c>
      <c r="AR50" s="337"/>
      <c r="AS50" s="337">
        <v>0</v>
      </c>
      <c r="AT50" s="337">
        <v>0</v>
      </c>
      <c r="AU50" s="381">
        <f>SUM(Tabela10[[#This Row], [jan/26]:[dez/26]])</f>
      </c>
      <c r="AV50" s="381">
        <v>2000000</v>
      </c>
      <c r="AW50" s="381">
        <v>2500000</v>
      </c>
      <c r="AX50" s="381">
        <v>1500000</v>
      </c>
      <c r="AY50" s="337">
        <v>0</v>
      </c>
      <c r="AZ50" s="337">
        <f>SUM(Tabela10[[#This Row], [2026]:[2030]])</f>
      </c>
      <c r="BA50" s="337">
        <v>0</v>
      </c>
      <c r="BB50" s="337">
        <v>0</v>
      </c>
      <c r="BC50" s="337">
        <v>0</v>
      </c>
      <c r="BD50" s="337">
        <v>0</v>
      </c>
      <c r="BE50" s="337">
        <v>0</v>
      </c>
      <c r="BF50" s="373">
        <f>SUM(Tabela10[[#This Row], [2026-2030]:[2035]])</f>
      </c>
      <c r="BG50" s="374">
        <f>_xlfn.SEQUENCE(COUNTA(Tabela10[Empresa]),1,1)</f>
      </c>
      <c r="BH50" s="342" t="s">
        <v>41281</v>
      </c>
      <c r="BI50" s="374">
        <f>VLOOKUP(Tabela10[[#This Row], [ID real2]],[2]CONSOLIDADA!$AU:$AZ,6,FALSE)</f>
      </c>
      <c r="BJ50" s="342" t="s">
        <v>41127</v>
      </c>
      <c r="BK50" s="375">
        <v>2026</v>
      </c>
      <c r="BL50" s="342" t="s">
        <v>40032</v>
      </c>
      <c r="BM50" s="375">
        <v>0</v>
      </c>
      <c r="BN50" s="342" t="s">
        <v>41281</v>
      </c>
      <c r="BO50" s="342" t="s">
        <v>41172</v>
      </c>
      <c r="BP50" s="342" t="s">
        <v>41121</v>
      </c>
      <c r="BQ50" s="342" t="s">
        <v>41123</v>
      </c>
      <c r="BR50" s="376">
        <v>2000000</v>
      </c>
      <c r="BS50" s="342" t="s">
        <v>41428</v>
      </c>
      <c r="BT50" s="342" t="s">
        <v>41281</v>
      </c>
      <c r="BU50" s="376" t="s">
        <v>41144</v>
      </c>
      <c r="BV50" s="376">
        <f>Tabela10[[#This Row], [Descrição do projeto]]</f>
      </c>
    </row>
    <row x14ac:dyDescent="0.25" r="51" customHeight="1" ht="18.75" hidden="1">
      <c r="A51" s="336">
        <v>363</v>
      </c>
      <c r="B51" s="371">
        <f>AND(ISTEXT('Consolidado-Eletronorte'!#REF!),SUM('Consolidado-Eletronorte'!#REF!)&gt;0)</f>
      </c>
      <c r="C51" s="371">
        <f>$J$13</f>
      </c>
      <c r="D51" s="371">
        <f>$H$13</f>
      </c>
      <c r="E51" s="371">
        <f>$H$14</f>
      </c>
      <c r="F51" s="371">
        <f>_xlfn.CONCAT(Tabela10[[#This Row], [VP]],Tabela10[[#This Row], [Analise Estrategia]])</f>
      </c>
      <c r="G51" s="371">
        <f>_xlfn.CONCAT('Consolidado-Eletronorte'!#REF!,"_",ROW('Consolidado-Eletronorte'!#REF!)-ROW('Consolidado-Eletronorte'!$G$18))</f>
      </c>
      <c r="H51" s="335" t="s">
        <v>10</v>
      </c>
      <c r="I51" s="335" t="s">
        <v>88</v>
      </c>
      <c r="J51" s="335" t="s">
        <v>5</v>
      </c>
      <c r="K51" s="336" t="s">
        <v>21</v>
      </c>
      <c r="L51" s="335" t="s">
        <v>21</v>
      </c>
      <c r="M51" s="335" t="s">
        <v>39932</v>
      </c>
      <c r="N51" s="335"/>
      <c r="O51" s="335"/>
      <c r="P51" s="336" t="s">
        <v>38358</v>
      </c>
      <c r="Q51" s="342" t="s">
        <v>41282</v>
      </c>
      <c r="R51" s="335" t="s">
        <v>40033</v>
      </c>
      <c r="S51" s="342" t="s">
        <v>41282</v>
      </c>
      <c r="T51" s="335" t="s">
        <v>21</v>
      </c>
      <c r="U51" s="335" t="s">
        <v>21</v>
      </c>
      <c r="V51" s="335" t="s">
        <v>39932</v>
      </c>
      <c r="W51" s="335" t="s">
        <v>39932</v>
      </c>
      <c r="X51" s="335"/>
      <c r="Y51" s="336" t="s">
        <v>41429</v>
      </c>
      <c r="Z51" s="372"/>
      <c r="AA51" s="336"/>
      <c r="AB51" s="372"/>
      <c r="AC51" s="336"/>
      <c r="AD51" s="372"/>
      <c r="AE51" s="335"/>
      <c r="AF51" s="335"/>
      <c r="AG51" s="335" t="s">
        <v>40034</v>
      </c>
      <c r="AH51" s="335" t="s">
        <v>39912</v>
      </c>
      <c r="AI51" s="337">
        <v>0</v>
      </c>
      <c r="AJ51" s="337">
        <v>0</v>
      </c>
      <c r="AK51" s="337">
        <v>0</v>
      </c>
      <c r="AL51" s="337">
        <v>0</v>
      </c>
      <c r="AM51" s="337">
        <v>0</v>
      </c>
      <c r="AN51" s="337">
        <v>0</v>
      </c>
      <c r="AO51" s="337">
        <v>0</v>
      </c>
      <c r="AP51" s="337"/>
      <c r="AQ51" s="337">
        <v>0</v>
      </c>
      <c r="AR51" s="337"/>
      <c r="AS51" s="337">
        <v>1000000</v>
      </c>
      <c r="AT51" s="337">
        <v>0</v>
      </c>
      <c r="AU51" s="381">
        <f>SUM(Tabela10[[#This Row], [jan/26]:[dez/26]])</f>
      </c>
      <c r="AV51" s="381">
        <v>2500000</v>
      </c>
      <c r="AW51" s="381">
        <v>2500000</v>
      </c>
      <c r="AX51" s="337">
        <v>0</v>
      </c>
      <c r="AY51" s="337">
        <v>0</v>
      </c>
      <c r="AZ51" s="337">
        <f>SUM(Tabela10[[#This Row], [2026]:[2030]])</f>
      </c>
      <c r="BA51" s="337">
        <v>0</v>
      </c>
      <c r="BB51" s="337">
        <v>0</v>
      </c>
      <c r="BC51" s="337">
        <v>0</v>
      </c>
      <c r="BD51" s="337">
        <v>0</v>
      </c>
      <c r="BE51" s="337">
        <v>0</v>
      </c>
      <c r="BF51" s="373">
        <f>SUM(Tabela10[[#This Row], [2026-2030]:[2035]])</f>
      </c>
      <c r="BG51" s="374">
        <f>_xlfn.SEQUENCE(COUNTA(Tabela10[Empresa]),1,1)</f>
      </c>
      <c r="BH51" s="342" t="s">
        <v>41282</v>
      </c>
      <c r="BI51" s="374">
        <f>VLOOKUP(Tabela10[[#This Row], [ID real2]],[2]CONSOLIDADA!$AU:$AZ,6,FALSE)</f>
      </c>
      <c r="BJ51" s="342" t="s">
        <v>39925</v>
      </c>
      <c r="BK51" s="375">
        <v>2025</v>
      </c>
      <c r="BL51" s="342" t="s">
        <v>40035</v>
      </c>
      <c r="BM51" s="375" t="s">
        <v>40036</v>
      </c>
      <c r="BN51" s="342" t="s">
        <v>41282</v>
      </c>
      <c r="BO51" s="342" t="s">
        <v>41172</v>
      </c>
      <c r="BP51" s="342" t="s">
        <v>41400</v>
      </c>
      <c r="BQ51" s="342" t="s">
        <v>41429</v>
      </c>
      <c r="BR51" s="376">
        <v>2000000</v>
      </c>
      <c r="BS51" s="342" t="s">
        <v>41430</v>
      </c>
      <c r="BT51" s="342" t="s">
        <v>41282</v>
      </c>
      <c r="BU51" s="376" t="s">
        <v>39925</v>
      </c>
      <c r="BV51" s="376">
        <f>Tabela10[[#This Row], [Descrição do projeto]]</f>
      </c>
    </row>
    <row x14ac:dyDescent="0.25" r="52" customHeight="1" ht="18.75" hidden="1">
      <c r="A52" s="336">
        <v>286</v>
      </c>
      <c r="B52" s="371">
        <f>AND(ISTEXT('Consolidado-Eletronorte'!#REF!),SUM('Consolidado-Eletronorte'!#REF!)&gt;0)</f>
      </c>
      <c r="C52" s="371">
        <f>$J$13</f>
      </c>
      <c r="D52" s="371">
        <f>$H$13</f>
      </c>
      <c r="E52" s="371">
        <f>$H$14</f>
      </c>
      <c r="F52" s="371">
        <f>_xlfn.CONCAT(Tabela10[[#This Row], [VP]],Tabela10[[#This Row], [Analise Estrategia]])</f>
      </c>
      <c r="G52" s="371">
        <f>_xlfn.CONCAT('Consolidado-Eletronorte'!#REF!,"_",ROW('Consolidado-Eletronorte'!#REF!)-ROW('Consolidado-Eletronorte'!$G$18))</f>
      </c>
      <c r="H52" s="335" t="s">
        <v>10</v>
      </c>
      <c r="I52" s="335" t="s">
        <v>88</v>
      </c>
      <c r="J52" s="335" t="s">
        <v>5</v>
      </c>
      <c r="K52" s="336" t="s">
        <v>21</v>
      </c>
      <c r="L52" s="335" t="s">
        <v>21</v>
      </c>
      <c r="M52" s="335" t="s">
        <v>39932</v>
      </c>
      <c r="N52" s="335"/>
      <c r="O52" s="335"/>
      <c r="P52" s="336" t="s">
        <v>38349</v>
      </c>
      <c r="Q52" s="342" t="s">
        <v>41247</v>
      </c>
      <c r="R52" s="335" t="s">
        <v>40062</v>
      </c>
      <c r="S52" s="342" t="s">
        <v>41247</v>
      </c>
      <c r="T52" s="335" t="s">
        <v>21</v>
      </c>
      <c r="U52" s="335" t="s">
        <v>21</v>
      </c>
      <c r="V52" s="335" t="s">
        <v>39932</v>
      </c>
      <c r="W52" s="335" t="s">
        <v>39932</v>
      </c>
      <c r="X52" s="335"/>
      <c r="Y52" s="336" t="s">
        <v>41222</v>
      </c>
      <c r="Z52" s="372"/>
      <c r="AA52" s="336"/>
      <c r="AB52" s="372"/>
      <c r="AC52" s="336"/>
      <c r="AD52" s="372"/>
      <c r="AE52" s="335"/>
      <c r="AF52" s="335"/>
      <c r="AG52" s="335" t="s">
        <v>40063</v>
      </c>
      <c r="AH52" s="335" t="s">
        <v>39998</v>
      </c>
      <c r="AI52" s="337">
        <v>0</v>
      </c>
      <c r="AJ52" s="337">
        <v>0</v>
      </c>
      <c r="AK52" s="337">
        <v>0</v>
      </c>
      <c r="AL52" s="337">
        <v>0</v>
      </c>
      <c r="AM52" s="337"/>
      <c r="AN52" s="337">
        <v>0</v>
      </c>
      <c r="AO52" s="337">
        <v>0</v>
      </c>
      <c r="AP52" s="337">
        <v>0</v>
      </c>
      <c r="AQ52" s="337"/>
      <c r="AR52" s="337">
        <v>0</v>
      </c>
      <c r="AS52" s="337">
        <v>0</v>
      </c>
      <c r="AT52" s="337"/>
      <c r="AU52" s="337">
        <f>SUM(Tabela10[[#This Row], [jan/26]:[dez/26]])</f>
      </c>
      <c r="AV52" s="381">
        <v>3000000</v>
      </c>
      <c r="AW52" s="337">
        <v>0</v>
      </c>
      <c r="AX52" s="337">
        <v>0</v>
      </c>
      <c r="AY52" s="337">
        <v>0</v>
      </c>
      <c r="AZ52" s="337">
        <f>SUM(Tabela10[[#This Row], [2026]:[2030]])</f>
      </c>
      <c r="BA52" s="337">
        <v>0</v>
      </c>
      <c r="BB52" s="337">
        <v>0</v>
      </c>
      <c r="BC52" s="337">
        <v>0</v>
      </c>
      <c r="BD52" s="337">
        <v>0</v>
      </c>
      <c r="BE52" s="337">
        <v>0</v>
      </c>
      <c r="BF52" s="373">
        <f>SUM(Tabela10[[#This Row], [2026-2030]:[2035]])</f>
      </c>
      <c r="BG52" s="374">
        <f>_xlfn.SEQUENCE(COUNTA(Tabela10[Empresa]),1,1)</f>
      </c>
      <c r="BH52" s="342" t="s">
        <v>41247</v>
      </c>
      <c r="BI52" s="374">
        <f>VLOOKUP(Tabela10[[#This Row], [ID real2]],[2]CONSOLIDADA!$AU:$AZ,6,FALSE)</f>
      </c>
      <c r="BJ52" s="342" t="s">
        <v>40053</v>
      </c>
      <c r="BK52" s="375">
        <v>2026</v>
      </c>
      <c r="BL52" s="342" t="s">
        <v>40064</v>
      </c>
      <c r="BM52" s="375">
        <v>0</v>
      </c>
      <c r="BN52" s="342" t="s">
        <v>41247</v>
      </c>
      <c r="BO52" s="342" t="s">
        <v>41172</v>
      </c>
      <c r="BP52" s="342" t="s">
        <v>41121</v>
      </c>
      <c r="BQ52" s="342" t="s">
        <v>41123</v>
      </c>
      <c r="BR52" s="376">
        <v>3000000</v>
      </c>
      <c r="BS52" s="342" t="s">
        <v>41431</v>
      </c>
      <c r="BT52" s="342" t="s">
        <v>41247</v>
      </c>
      <c r="BU52" s="376" t="s">
        <v>41432</v>
      </c>
      <c r="BV52" s="376">
        <f>Tabela10[[#This Row], [Descrição do projeto]]</f>
      </c>
    </row>
    <row x14ac:dyDescent="0.25" r="53" customHeight="1" ht="18.75" hidden="1">
      <c r="A53" s="336">
        <v>313</v>
      </c>
      <c r="B53" s="371">
        <f>AND(ISTEXT('Consolidado-Eletronorte'!#REF!),SUM('Consolidado-Eletronorte'!#REF!)&gt;0)</f>
      </c>
      <c r="C53" s="371">
        <f>$J$13</f>
      </c>
      <c r="D53" s="371">
        <f>$H$13</f>
      </c>
      <c r="E53" s="371">
        <f>$H$14</f>
      </c>
      <c r="F53" s="371">
        <f>_xlfn.CONCAT(Tabela10[[#This Row], [VP]],Tabela10[[#This Row], [Analise Estrategia]])</f>
      </c>
      <c r="G53" s="371">
        <f>_xlfn.CONCAT('Consolidado-Eletronorte'!#REF!,"_",ROW('Consolidado-Eletronorte'!#REF!)-ROW('Consolidado-Eletronorte'!$G$18))</f>
      </c>
      <c r="H53" s="335" t="s">
        <v>10</v>
      </c>
      <c r="I53" s="335" t="s">
        <v>88</v>
      </c>
      <c r="J53" s="335" t="s">
        <v>5</v>
      </c>
      <c r="K53" s="336" t="s">
        <v>21</v>
      </c>
      <c r="L53" s="335" t="s">
        <v>21</v>
      </c>
      <c r="M53" s="335" t="s">
        <v>39949</v>
      </c>
      <c r="N53" s="335"/>
      <c r="O53" s="335"/>
      <c r="P53" s="336">
        <v>157189</v>
      </c>
      <c r="Q53" s="342" t="s">
        <v>41258</v>
      </c>
      <c r="R53" s="335" t="s">
        <v>40114</v>
      </c>
      <c r="S53" s="342" t="s">
        <v>41258</v>
      </c>
      <c r="T53" s="335" t="s">
        <v>21</v>
      </c>
      <c r="U53" s="335" t="s">
        <v>21</v>
      </c>
      <c r="V53" s="335" t="s">
        <v>39949</v>
      </c>
      <c r="W53" s="335" t="s">
        <v>39949</v>
      </c>
      <c r="X53" s="335"/>
      <c r="Y53" s="336" t="s">
        <v>41222</v>
      </c>
      <c r="Z53" s="372"/>
      <c r="AA53" s="336"/>
      <c r="AB53" s="372"/>
      <c r="AC53" s="336"/>
      <c r="AD53" s="372"/>
      <c r="AE53" s="335"/>
      <c r="AF53" s="335"/>
      <c r="AG53" s="335" t="s">
        <v>40115</v>
      </c>
      <c r="AH53" s="335" t="s">
        <v>39945</v>
      </c>
      <c r="AI53" s="337">
        <v>0</v>
      </c>
      <c r="AJ53" s="337">
        <v>0</v>
      </c>
      <c r="AK53" s="337">
        <v>0</v>
      </c>
      <c r="AL53" s="337">
        <v>0</v>
      </c>
      <c r="AM53" s="337">
        <v>0</v>
      </c>
      <c r="AN53" s="337">
        <v>0</v>
      </c>
      <c r="AO53" s="337">
        <v>0</v>
      </c>
      <c r="AP53" s="337">
        <v>0</v>
      </c>
      <c r="AQ53" s="337"/>
      <c r="AR53" s="337">
        <v>0</v>
      </c>
      <c r="AS53" s="337">
        <v>0</v>
      </c>
      <c r="AT53" s="337">
        <v>0</v>
      </c>
      <c r="AU53" s="337">
        <f>SUM(Tabela10[[#This Row], [jan/26]:[dez/26]])</f>
      </c>
      <c r="AV53" s="381">
        <v>1750000</v>
      </c>
      <c r="AW53" s="337">
        <v>0</v>
      </c>
      <c r="AX53" s="337">
        <v>0</v>
      </c>
      <c r="AY53" s="337">
        <v>0</v>
      </c>
      <c r="AZ53" s="337">
        <f>SUM(Tabela10[[#This Row], [2026]:[2030]])</f>
      </c>
      <c r="BA53" s="337">
        <v>0</v>
      </c>
      <c r="BB53" s="337">
        <v>0</v>
      </c>
      <c r="BC53" s="337">
        <v>0</v>
      </c>
      <c r="BD53" s="337">
        <v>0</v>
      </c>
      <c r="BE53" s="337">
        <v>0</v>
      </c>
      <c r="BF53" s="373">
        <f>SUM(Tabela10[[#This Row], [2026-2030]:[2035]])</f>
      </c>
      <c r="BG53" s="374">
        <f>_xlfn.SEQUENCE(COUNTA(Tabela10[Empresa]),1,1)</f>
      </c>
      <c r="BH53" s="342" t="s">
        <v>41258</v>
      </c>
      <c r="BI53" s="374">
        <f>VLOOKUP(Tabela10[[#This Row], [ID real2]],[2]CONSOLIDADA!$AU:$AZ,6,FALSE)</f>
      </c>
      <c r="BJ53" s="342" t="s">
        <v>41126</v>
      </c>
      <c r="BK53" s="375">
        <v>2026</v>
      </c>
      <c r="BL53" s="342" t="s">
        <v>40116</v>
      </c>
      <c r="BM53" s="375">
        <v>0</v>
      </c>
      <c r="BN53" s="342" t="s">
        <v>41258</v>
      </c>
      <c r="BO53" s="342" t="s">
        <v>41174</v>
      </c>
      <c r="BP53" s="342" t="s">
        <v>41121</v>
      </c>
      <c r="BQ53" s="342" t="s">
        <v>41123</v>
      </c>
      <c r="BR53" s="376">
        <v>1500000</v>
      </c>
      <c r="BS53" s="342" t="s">
        <v>41431</v>
      </c>
      <c r="BT53" s="342" t="s">
        <v>41258</v>
      </c>
      <c r="BU53" s="376" t="s">
        <v>41433</v>
      </c>
      <c r="BV53" s="376">
        <f>Tabela10[[#This Row], [Descrição do projeto]]</f>
      </c>
    </row>
    <row x14ac:dyDescent="0.25" r="54" customHeight="1" ht="18.75" hidden="1">
      <c r="A54" s="336">
        <v>315</v>
      </c>
      <c r="B54" s="371">
        <f>AND(ISTEXT('Consolidado-Eletronorte'!#REF!),SUM('Consolidado-Eletronorte'!#REF!)&gt;0)</f>
      </c>
      <c r="C54" s="371">
        <f>$J$13</f>
      </c>
      <c r="D54" s="371">
        <f>$H$13</f>
      </c>
      <c r="E54" s="371">
        <f>$H$14</f>
      </c>
      <c r="F54" s="371">
        <f>_xlfn.CONCAT(Tabela10[[#This Row], [VP]],Tabela10[[#This Row], [Analise Estrategia]])</f>
      </c>
      <c r="G54" s="371">
        <f>_xlfn.CONCAT('Consolidado-Eletronorte'!#REF!,"_",ROW('Consolidado-Eletronorte'!#REF!)-ROW('Consolidado-Eletronorte'!$G$18))</f>
      </c>
      <c r="H54" s="335" t="s">
        <v>10</v>
      </c>
      <c r="I54" s="335" t="s">
        <v>88</v>
      </c>
      <c r="J54" s="335" t="s">
        <v>5</v>
      </c>
      <c r="K54" s="336" t="s">
        <v>21</v>
      </c>
      <c r="L54" s="335" t="s">
        <v>21</v>
      </c>
      <c r="M54" s="335" t="s">
        <v>39949</v>
      </c>
      <c r="N54" s="335"/>
      <c r="O54" s="335"/>
      <c r="P54" s="336">
        <v>157189</v>
      </c>
      <c r="Q54" s="342" t="s">
        <v>41259</v>
      </c>
      <c r="R54" s="335" t="s">
        <v>40117</v>
      </c>
      <c r="S54" s="342" t="s">
        <v>41259</v>
      </c>
      <c r="T54" s="335" t="s">
        <v>21</v>
      </c>
      <c r="U54" s="335" t="s">
        <v>21</v>
      </c>
      <c r="V54" s="335" t="s">
        <v>39949</v>
      </c>
      <c r="W54" s="335" t="s">
        <v>39949</v>
      </c>
      <c r="X54" s="335"/>
      <c r="Y54" s="336" t="s">
        <v>41222</v>
      </c>
      <c r="Z54" s="372"/>
      <c r="AA54" s="336"/>
      <c r="AB54" s="372"/>
      <c r="AC54" s="336"/>
      <c r="AD54" s="372"/>
      <c r="AE54" s="335"/>
      <c r="AF54" s="335"/>
      <c r="AG54" s="335" t="s">
        <v>40118</v>
      </c>
      <c r="AH54" s="335" t="s">
        <v>39945</v>
      </c>
      <c r="AI54" s="337">
        <v>0</v>
      </c>
      <c r="AJ54" s="337">
        <v>0</v>
      </c>
      <c r="AK54" s="337">
        <v>0</v>
      </c>
      <c r="AL54" s="337">
        <v>0</v>
      </c>
      <c r="AM54" s="337">
        <v>0</v>
      </c>
      <c r="AN54" s="337">
        <v>0</v>
      </c>
      <c r="AO54" s="337">
        <v>0</v>
      </c>
      <c r="AP54" s="337">
        <v>0</v>
      </c>
      <c r="AQ54" s="337">
        <v>0</v>
      </c>
      <c r="AR54" s="337"/>
      <c r="AS54" s="337">
        <v>0</v>
      </c>
      <c r="AT54" s="337">
        <v>0</v>
      </c>
      <c r="AU54" s="337">
        <f>SUM(Tabela10[[#This Row], [jan/26]:[dez/26]])</f>
      </c>
      <c r="AV54" s="381">
        <v>1750000</v>
      </c>
      <c r="AW54" s="337">
        <v>0</v>
      </c>
      <c r="AX54" s="337">
        <v>0</v>
      </c>
      <c r="AY54" s="337">
        <v>0</v>
      </c>
      <c r="AZ54" s="337">
        <f>SUM(Tabela10[[#This Row], [2026]:[2030]])</f>
      </c>
      <c r="BA54" s="337">
        <v>0</v>
      </c>
      <c r="BB54" s="337">
        <v>0</v>
      </c>
      <c r="BC54" s="337">
        <v>0</v>
      </c>
      <c r="BD54" s="337">
        <v>0</v>
      </c>
      <c r="BE54" s="337">
        <v>0</v>
      </c>
      <c r="BF54" s="373">
        <f>SUM(Tabela10[[#This Row], [2026-2030]:[2035]])</f>
      </c>
      <c r="BG54" s="374">
        <f>_xlfn.SEQUENCE(COUNTA(Tabela10[Empresa]),1,1)</f>
      </c>
      <c r="BH54" s="342" t="s">
        <v>41259</v>
      </c>
      <c r="BI54" s="374">
        <f>VLOOKUP(Tabela10[[#This Row], [ID real2]],[2]CONSOLIDADA!$AU:$AZ,6,FALSE)</f>
      </c>
      <c r="BJ54" s="342" t="s">
        <v>41126</v>
      </c>
      <c r="BK54" s="375">
        <v>2026</v>
      </c>
      <c r="BL54" s="342" t="s">
        <v>40119</v>
      </c>
      <c r="BM54" s="375">
        <v>0</v>
      </c>
      <c r="BN54" s="342" t="s">
        <v>41259</v>
      </c>
      <c r="BO54" s="342" t="s">
        <v>41174</v>
      </c>
      <c r="BP54" s="342" t="s">
        <v>41121</v>
      </c>
      <c r="BQ54" s="342" t="s">
        <v>41123</v>
      </c>
      <c r="BR54" s="376">
        <v>1500000</v>
      </c>
      <c r="BS54" s="342" t="s">
        <v>41431</v>
      </c>
      <c r="BT54" s="342" t="s">
        <v>41259</v>
      </c>
      <c r="BU54" s="376" t="s">
        <v>41433</v>
      </c>
      <c r="BV54" s="376">
        <f>Tabela10[[#This Row], [Descrição do projeto]]</f>
      </c>
    </row>
    <row x14ac:dyDescent="0.25" r="55" customHeight="1" ht="18.75" hidden="1">
      <c r="A55" s="336">
        <v>364</v>
      </c>
      <c r="B55" s="371">
        <f>AND(ISTEXT('Consolidado-Eletronorte'!#REF!),SUM('Consolidado-Eletronorte'!#REF!)&gt;0)</f>
      </c>
      <c r="C55" s="371">
        <f>$J$13</f>
      </c>
      <c r="D55" s="371">
        <f>$H$13</f>
      </c>
      <c r="E55" s="371">
        <f>$H$14</f>
      </c>
      <c r="F55" s="371">
        <f>_xlfn.CONCAT(Tabela10[[#This Row], [VP]],Tabela10[[#This Row], [Analise Estrategia]])</f>
      </c>
      <c r="G55" s="371">
        <f>_xlfn.CONCAT('Consolidado-Eletronorte'!#REF!,"_",ROW('Consolidado-Eletronorte'!#REF!)-ROW('Consolidado-Eletronorte'!$G$18))</f>
      </c>
      <c r="H55" s="335" t="s">
        <v>10</v>
      </c>
      <c r="I55" s="335" t="s">
        <v>88</v>
      </c>
      <c r="J55" s="335" t="s">
        <v>5</v>
      </c>
      <c r="K55" s="336" t="s">
        <v>21</v>
      </c>
      <c r="L55" s="335" t="s">
        <v>21</v>
      </c>
      <c r="M55" s="335" t="s">
        <v>39932</v>
      </c>
      <c r="N55" s="335"/>
      <c r="O55" s="335"/>
      <c r="P55" s="336" t="s">
        <v>38358</v>
      </c>
      <c r="Q55" s="342" t="s">
        <v>41349</v>
      </c>
      <c r="R55" s="335" t="s">
        <v>40021</v>
      </c>
      <c r="S55" s="342" t="s">
        <v>41349</v>
      </c>
      <c r="T55" s="335" t="s">
        <v>21</v>
      </c>
      <c r="U55" s="335" t="s">
        <v>21</v>
      </c>
      <c r="V55" s="335" t="s">
        <v>39932</v>
      </c>
      <c r="W55" s="335" t="s">
        <v>39932</v>
      </c>
      <c r="X55" s="335"/>
      <c r="Y55" s="336" t="s">
        <v>41222</v>
      </c>
      <c r="Z55" s="372"/>
      <c r="AA55" s="336"/>
      <c r="AB55" s="372"/>
      <c r="AC55" s="336"/>
      <c r="AD55" s="372"/>
      <c r="AE55" s="335"/>
      <c r="AF55" s="335"/>
      <c r="AG55" s="335" t="s">
        <v>40022</v>
      </c>
      <c r="AH55" s="335" t="s">
        <v>39912</v>
      </c>
      <c r="AI55" s="337">
        <v>0</v>
      </c>
      <c r="AJ55" s="337">
        <v>0</v>
      </c>
      <c r="AK55" s="337">
        <v>0</v>
      </c>
      <c r="AL55" s="337">
        <v>0</v>
      </c>
      <c r="AM55" s="337">
        <v>0</v>
      </c>
      <c r="AN55" s="337">
        <v>0</v>
      </c>
      <c r="AO55" s="337">
        <v>0</v>
      </c>
      <c r="AP55" s="337">
        <v>0</v>
      </c>
      <c r="AQ55" s="337">
        <v>0</v>
      </c>
      <c r="AR55" s="337">
        <v>0</v>
      </c>
      <c r="AS55" s="337">
        <v>0</v>
      </c>
      <c r="AT55" s="337">
        <v>0</v>
      </c>
      <c r="AU55" s="337">
        <f>SUM(Tabela10[[#This Row], [jan/26]:[dez/26]])</f>
      </c>
      <c r="AV55" s="337">
        <v>3000000</v>
      </c>
      <c r="AW55" s="337">
        <v>2500000</v>
      </c>
      <c r="AX55" s="337">
        <v>0</v>
      </c>
      <c r="AY55" s="337">
        <v>0</v>
      </c>
      <c r="AZ55" s="337">
        <f>SUM(Tabela10[[#This Row], [2026]:[2030]])</f>
      </c>
      <c r="BA55" s="337">
        <v>0</v>
      </c>
      <c r="BB55" s="337">
        <v>0</v>
      </c>
      <c r="BC55" s="337">
        <v>0</v>
      </c>
      <c r="BD55" s="337">
        <v>0</v>
      </c>
      <c r="BE55" s="337">
        <v>0</v>
      </c>
      <c r="BF55" s="373">
        <f>SUM(Tabela10[[#This Row], [2026-2030]:[2035]])</f>
      </c>
      <c r="BG55" s="374">
        <f>_xlfn.SEQUENCE(COUNTA(Tabela10[Empresa]),1,1)</f>
      </c>
      <c r="BH55" s="342" t="s">
        <v>41349</v>
      </c>
      <c r="BI55" s="374">
        <f>VLOOKUP(Tabela10[[#This Row], [ID real2]],[2]CONSOLIDADA!$AU:$AZ,6,FALSE)</f>
      </c>
      <c r="BJ55" s="342" t="s">
        <v>39925</v>
      </c>
      <c r="BK55" s="375">
        <v>2025</v>
      </c>
      <c r="BL55" s="342" t="s">
        <v>40023</v>
      </c>
      <c r="BM55" s="375" t="s">
        <v>40024</v>
      </c>
      <c r="BN55" s="342" t="s">
        <v>41349</v>
      </c>
      <c r="BO55" s="342" t="s">
        <v>41172</v>
      </c>
      <c r="BP55" s="342" t="s">
        <v>41400</v>
      </c>
      <c r="BQ55" s="342" t="s">
        <v>41121</v>
      </c>
      <c r="BR55" s="376">
        <v>0</v>
      </c>
      <c r="BS55" s="342" t="s">
        <v>41434</v>
      </c>
      <c r="BT55" s="342" t="s">
        <v>41349</v>
      </c>
      <c r="BU55" s="376" t="s">
        <v>39925</v>
      </c>
      <c r="BV55" s="376">
        <f>Tabela10[[#This Row], [Descrição do projeto]]</f>
      </c>
    </row>
    <row x14ac:dyDescent="0.25" r="56" customHeight="1" ht="18.75">
      <c r="A56" s="336">
        <v>279</v>
      </c>
      <c r="B56" s="371">
        <f>AND(ISTEXT('Consolidado-Eletronorte'!#REF!),SUM('Consolidado-Eletronorte'!#REF!)&gt;0)</f>
      </c>
      <c r="C56" s="371">
        <f>$J$13</f>
      </c>
      <c r="D56" s="371">
        <f>$H$13</f>
      </c>
      <c r="E56" s="371">
        <f>$H$14</f>
      </c>
      <c r="F56" s="371">
        <f>_xlfn.CONCAT(Tabela10[[#This Row], [VP]],Tabela10[[#This Row], [Analise Estrategia]])</f>
      </c>
      <c r="G56" s="371">
        <f>_xlfn.CONCAT('Consolidado-Eletronorte'!#REF!,"_",ROW('Consolidado-Eletronorte'!#REF!)-ROW('Consolidado-Eletronorte'!$G$18))</f>
      </c>
      <c r="H56" s="335" t="s">
        <v>10</v>
      </c>
      <c r="I56" s="335" t="s">
        <v>88</v>
      </c>
      <c r="J56" s="335" t="s">
        <v>5</v>
      </c>
      <c r="K56" s="336" t="s">
        <v>21</v>
      </c>
      <c r="L56" s="335" t="s">
        <v>21</v>
      </c>
      <c r="M56" s="382" t="s">
        <v>39932</v>
      </c>
      <c r="N56" s="335"/>
      <c r="O56" s="335"/>
      <c r="P56" s="336" t="s">
        <v>38358</v>
      </c>
      <c r="Q56" s="342" t="s">
        <v>41255</v>
      </c>
      <c r="R56" s="335" t="s">
        <v>40037</v>
      </c>
      <c r="S56" s="342" t="s">
        <v>41255</v>
      </c>
      <c r="T56" s="335" t="s">
        <v>21</v>
      </c>
      <c r="U56" s="335" t="s">
        <v>21</v>
      </c>
      <c r="V56" s="335" t="s">
        <v>39932</v>
      </c>
      <c r="W56" s="335" t="s">
        <v>39932</v>
      </c>
      <c r="X56" s="335" t="s">
        <v>41435</v>
      </c>
      <c r="Y56" s="336"/>
      <c r="Z56" s="372"/>
      <c r="AA56" s="336"/>
      <c r="AB56" s="372"/>
      <c r="AC56" s="336">
        <v>4500071331</v>
      </c>
      <c r="AD56" s="372">
        <v>16267264.69</v>
      </c>
      <c r="AE56" s="335" t="s">
        <v>41436</v>
      </c>
      <c r="AF56" s="335" t="s">
        <v>41194</v>
      </c>
      <c r="AG56" s="335" t="s">
        <v>40038</v>
      </c>
      <c r="AH56" s="335" t="s">
        <v>39912</v>
      </c>
      <c r="AI56" s="337">
        <v>166666.66666666666</v>
      </c>
      <c r="AJ56" s="337">
        <v>166666.66666666666</v>
      </c>
      <c r="AK56" s="337">
        <v>166666.66666666666</v>
      </c>
      <c r="AL56" s="337">
        <v>166666.66666666666</v>
      </c>
      <c r="AM56" s="337">
        <v>166666.66666666666</v>
      </c>
      <c r="AN56" s="337">
        <v>166666.66666666666</v>
      </c>
      <c r="AO56" s="337">
        <v>166666.66666666666</v>
      </c>
      <c r="AP56" s="337">
        <v>166666.66666666666</v>
      </c>
      <c r="AQ56" s="337">
        <v>166666.66666666666</v>
      </c>
      <c r="AR56" s="337">
        <v>166666.66666666666</v>
      </c>
      <c r="AS56" s="337">
        <v>166666.66666666666</v>
      </c>
      <c r="AT56" s="337">
        <v>166666.66666666666</v>
      </c>
      <c r="AU56" s="381">
        <f>SUM(Tabela10[[#This Row], [jan/26]:[dez/26]])</f>
      </c>
      <c r="AV56" s="337">
        <v>2000000</v>
      </c>
      <c r="AW56" s="381">
        <v>1000000</v>
      </c>
      <c r="AX56" s="337">
        <v>0</v>
      </c>
      <c r="AY56" s="337">
        <v>0</v>
      </c>
      <c r="AZ56" s="337">
        <f>SUM(Tabela10[[#This Row], [2026]:[2030]])</f>
      </c>
      <c r="BA56" s="337">
        <v>0</v>
      </c>
      <c r="BB56" s="337">
        <v>0</v>
      </c>
      <c r="BC56" s="337">
        <v>0</v>
      </c>
      <c r="BD56" s="337">
        <v>0</v>
      </c>
      <c r="BE56" s="337">
        <v>0</v>
      </c>
      <c r="BF56" s="373">
        <f>SUM(Tabela10[[#This Row], [2026-2030]:[2035]])</f>
      </c>
      <c r="BG56" s="374">
        <f>_xlfn.SEQUENCE(COUNTA(Tabela10[Empresa]),1,1)</f>
      </c>
      <c r="BH56" s="342" t="s">
        <v>41255</v>
      </c>
      <c r="BI56" s="374">
        <f>VLOOKUP(Tabela10[[#This Row], [ID real2]],[2]CONSOLIDADA!$AU:$AZ,6,FALSE)</f>
      </c>
      <c r="BJ56" s="342" t="s">
        <v>39956</v>
      </c>
      <c r="BK56" s="375">
        <v>2025</v>
      </c>
      <c r="BL56" s="342" t="s">
        <v>40039</v>
      </c>
      <c r="BM56" s="375" t="s">
        <v>40040</v>
      </c>
      <c r="BN56" s="342" t="s">
        <v>41255</v>
      </c>
      <c r="BO56" s="342" t="s">
        <v>46</v>
      </c>
      <c r="BP56" s="342" t="s">
        <v>41400</v>
      </c>
      <c r="BQ56" s="342" t="s">
        <v>64</v>
      </c>
      <c r="BR56" s="376">
        <v>2000000.0000000002</v>
      </c>
      <c r="BS56" s="342" t="s">
        <v>41389</v>
      </c>
      <c r="BT56" s="342" t="s">
        <v>41255</v>
      </c>
      <c r="BU56" s="376" t="s">
        <v>41404</v>
      </c>
      <c r="BV56" s="376">
        <f>Tabela10[[#This Row], [Descrição do projeto]]</f>
      </c>
    </row>
    <row x14ac:dyDescent="0.25" r="57" customHeight="1" ht="18.75" hidden="1">
      <c r="A57" s="336">
        <v>263</v>
      </c>
      <c r="B57" s="371">
        <f>AND(ISTEXT('Consolidado-Eletronorte'!#REF!),SUM('Consolidado-Eletronorte'!#REF!)&gt;0)</f>
      </c>
      <c r="C57" s="371">
        <f>$J$13</f>
      </c>
      <c r="D57" s="371">
        <f>$H$13</f>
      </c>
      <c r="E57" s="371">
        <f>$H$14</f>
      </c>
      <c r="F57" s="371">
        <f>_xlfn.CONCAT(Tabela10[[#This Row], [VP]],Tabela10[[#This Row], [Analise Estrategia]])</f>
      </c>
      <c r="G57" s="371">
        <f>_xlfn.CONCAT('Consolidado-Eletronorte'!#REF!,"_",ROW('Consolidado-Eletronorte'!#REF!)-ROW('Consolidado-Eletronorte'!$G$18))</f>
      </c>
      <c r="H57" s="335" t="s">
        <v>10</v>
      </c>
      <c r="I57" s="335" t="s">
        <v>88</v>
      </c>
      <c r="J57" s="335" t="s">
        <v>5</v>
      </c>
      <c r="K57" s="336" t="s">
        <v>21</v>
      </c>
      <c r="L57" s="335" t="s">
        <v>21</v>
      </c>
      <c r="M57" s="335" t="s">
        <v>40025</v>
      </c>
      <c r="N57" s="335"/>
      <c r="O57" s="335"/>
      <c r="P57" s="336" t="s">
        <v>38358</v>
      </c>
      <c r="Q57" s="342" t="s">
        <v>41260</v>
      </c>
      <c r="R57" s="335" t="s">
        <v>40026</v>
      </c>
      <c r="S57" s="342" t="s">
        <v>41260</v>
      </c>
      <c r="T57" s="335" t="s">
        <v>21</v>
      </c>
      <c r="U57" s="335" t="s">
        <v>21</v>
      </c>
      <c r="V57" s="335" t="s">
        <v>40025</v>
      </c>
      <c r="W57" s="335" t="s">
        <v>40025</v>
      </c>
      <c r="X57" s="335"/>
      <c r="Y57" s="343"/>
      <c r="Z57" s="385"/>
      <c r="AA57" s="336"/>
      <c r="AB57" s="372"/>
      <c r="AC57" s="343"/>
      <c r="AD57" s="385"/>
      <c r="AE57" s="383"/>
      <c r="AF57" s="383"/>
      <c r="AG57" s="335" t="s">
        <v>40027</v>
      </c>
      <c r="AH57" s="335" t="s">
        <v>39912</v>
      </c>
      <c r="AI57" s="337">
        <v>0</v>
      </c>
      <c r="AJ57" s="337">
        <v>0</v>
      </c>
      <c r="AK57" s="337"/>
      <c r="AL57" s="335" t="s">
        <v>41437</v>
      </c>
      <c r="AM57" s="337">
        <v>0</v>
      </c>
      <c r="AN57" s="337"/>
      <c r="AO57" s="337">
        <v>0</v>
      </c>
      <c r="AP57" s="337"/>
      <c r="AQ57" s="337">
        <v>0</v>
      </c>
      <c r="AR57" s="337">
        <v>0</v>
      </c>
      <c r="AS57" s="337"/>
      <c r="AT57" s="337">
        <v>0</v>
      </c>
      <c r="AU57" s="337">
        <f>SUM(Tabela10[[#This Row], [jan/26]:[dez/26]])</f>
      </c>
      <c r="AV57" s="337">
        <v>1300000</v>
      </c>
      <c r="AW57" s="337">
        <v>1300000</v>
      </c>
      <c r="AX57" s="337">
        <v>1950000</v>
      </c>
      <c r="AY57" s="337">
        <v>0</v>
      </c>
      <c r="AZ57" s="337">
        <f>SUM(Tabela10[[#This Row], [2026]:[2030]])</f>
      </c>
      <c r="BA57" s="337">
        <v>0</v>
      </c>
      <c r="BB57" s="337">
        <v>0</v>
      </c>
      <c r="BC57" s="337">
        <v>0</v>
      </c>
      <c r="BD57" s="337">
        <v>0</v>
      </c>
      <c r="BE57" s="337">
        <v>0</v>
      </c>
      <c r="BF57" s="373">
        <f>SUM(Tabela10[[#This Row], [2026-2030]:[2035]])</f>
      </c>
      <c r="BG57" s="374">
        <f>_xlfn.SEQUENCE(COUNTA(Tabela10[Empresa]),1,1)</f>
      </c>
      <c r="BH57" s="342" t="s">
        <v>41260</v>
      </c>
      <c r="BI57" s="374">
        <f>VLOOKUP(Tabela10[[#This Row], [ID real2]],[2]CONSOLIDADA!$AU:$AZ,6,FALSE)</f>
      </c>
      <c r="BJ57" s="342" t="s">
        <v>41132</v>
      </c>
      <c r="BK57" s="375">
        <v>2025</v>
      </c>
      <c r="BL57" s="342" t="s">
        <v>40028</v>
      </c>
      <c r="BM57" s="375" t="s">
        <v>40029</v>
      </c>
      <c r="BN57" s="342" t="s">
        <v>41260</v>
      </c>
      <c r="BO57" s="342" t="s">
        <v>41174</v>
      </c>
      <c r="BP57" s="342" t="s">
        <v>41417</v>
      </c>
      <c r="BQ57" s="342" t="s">
        <v>41123</v>
      </c>
      <c r="BR57" s="376">
        <v>1300000</v>
      </c>
      <c r="BS57" s="212" t="s">
        <v>41438</v>
      </c>
      <c r="BT57" s="342" t="s">
        <v>41260</v>
      </c>
      <c r="BU57" s="376" t="s">
        <v>41439</v>
      </c>
      <c r="BV57" s="376">
        <f>Tabela10[[#This Row], [Descrição do projeto]]</f>
      </c>
    </row>
    <row x14ac:dyDescent="0.25" r="58" customHeight="1" ht="18.75" hidden="1">
      <c r="A58" s="336">
        <v>269</v>
      </c>
      <c r="B58" s="371">
        <f>AND(ISTEXT('Consolidado-Eletronorte'!#REF!),SUM('Consolidado-Eletronorte'!#REF!)&gt;0)</f>
      </c>
      <c r="C58" s="371">
        <f>$J$13</f>
      </c>
      <c r="D58" s="371">
        <f>$H$13</f>
      </c>
      <c r="E58" s="371">
        <f>$H$14</f>
      </c>
      <c r="F58" s="371">
        <f>_xlfn.CONCAT(Tabela10[[#This Row], [VP]],Tabela10[[#This Row], [Analise Estrategia]])</f>
      </c>
      <c r="G58" s="371">
        <f>_xlfn.CONCAT('Consolidado-Eletronorte'!#REF!,"_",ROW('Consolidado-Eletronorte'!#REF!)-ROW('Consolidado-Eletronorte'!$G$18))</f>
      </c>
      <c r="H58" s="335" t="s">
        <v>10</v>
      </c>
      <c r="I58" s="335" t="s">
        <v>88</v>
      </c>
      <c r="J58" s="335" t="s">
        <v>5</v>
      </c>
      <c r="K58" s="336" t="s">
        <v>21</v>
      </c>
      <c r="L58" s="335" t="s">
        <v>21</v>
      </c>
      <c r="M58" s="335" t="s">
        <v>39949</v>
      </c>
      <c r="N58" s="335"/>
      <c r="O58" s="335"/>
      <c r="P58" s="336" t="s">
        <v>38358</v>
      </c>
      <c r="Q58" s="342" t="s">
        <v>41278</v>
      </c>
      <c r="R58" s="335" t="s">
        <v>40169</v>
      </c>
      <c r="S58" s="342" t="s">
        <v>41278</v>
      </c>
      <c r="T58" s="335" t="s">
        <v>21</v>
      </c>
      <c r="U58" s="335" t="s">
        <v>21</v>
      </c>
      <c r="V58" s="335" t="s">
        <v>39949</v>
      </c>
      <c r="W58" s="335" t="s">
        <v>39949</v>
      </c>
      <c r="X58" s="335"/>
      <c r="Y58" s="336">
        <v>3700014472</v>
      </c>
      <c r="Z58" s="372">
        <v>4151111.83</v>
      </c>
      <c r="AA58" s="336">
        <v>4600003365</v>
      </c>
      <c r="AB58" s="372">
        <v>4106761.68</v>
      </c>
      <c r="AC58" s="336"/>
      <c r="AD58" s="372"/>
      <c r="AE58" s="383" t="s">
        <v>41440</v>
      </c>
      <c r="AF58" s="383" t="s">
        <v>41441</v>
      </c>
      <c r="AG58" s="335" t="s">
        <v>40170</v>
      </c>
      <c r="AH58" s="335" t="s">
        <v>39912</v>
      </c>
      <c r="AI58" s="337">
        <v>0</v>
      </c>
      <c r="AJ58" s="337">
        <v>0</v>
      </c>
      <c r="AK58" s="337">
        <v>450000</v>
      </c>
      <c r="AL58" s="337">
        <v>0</v>
      </c>
      <c r="AM58" s="337">
        <v>550000</v>
      </c>
      <c r="AN58" s="337">
        <v>0</v>
      </c>
      <c r="AO58" s="337">
        <v>0</v>
      </c>
      <c r="AP58" s="337">
        <v>0</v>
      </c>
      <c r="AQ58" s="337">
        <v>0</v>
      </c>
      <c r="AR58" s="337">
        <v>0</v>
      </c>
      <c r="AS58" s="337">
        <v>0</v>
      </c>
      <c r="AT58" s="337">
        <v>0</v>
      </c>
      <c r="AU58" s="337">
        <f>SUM(Tabela10[[#This Row], [jan/26]:[dez/26]])</f>
      </c>
      <c r="AV58" s="337">
        <v>3000000</v>
      </c>
      <c r="AW58" s="337">
        <v>0</v>
      </c>
      <c r="AX58" s="337">
        <v>0</v>
      </c>
      <c r="AY58" s="337">
        <v>0</v>
      </c>
      <c r="AZ58" s="337">
        <f>SUM(Tabela10[[#This Row], [2026]:[2030]])</f>
      </c>
      <c r="BA58" s="337">
        <v>0</v>
      </c>
      <c r="BB58" s="337">
        <v>0</v>
      </c>
      <c r="BC58" s="337">
        <v>0</v>
      </c>
      <c r="BD58" s="337">
        <v>0</v>
      </c>
      <c r="BE58" s="337">
        <v>0</v>
      </c>
      <c r="BF58" s="373">
        <f>SUM(Tabela10[[#This Row], [2026-2030]:[2035]])</f>
      </c>
      <c r="BG58" s="374">
        <f>_xlfn.SEQUENCE(COUNTA(Tabela10[Empresa]),1,1)</f>
      </c>
      <c r="BH58" s="342" t="s">
        <v>41278</v>
      </c>
      <c r="BI58" s="374">
        <f>VLOOKUP(Tabela10[[#This Row], [ID real2]],[2]CONSOLIDADA!$AU:$AZ,6,FALSE)</f>
      </c>
      <c r="BJ58" s="342" t="s">
        <v>39956</v>
      </c>
      <c r="BK58" s="375">
        <v>2026</v>
      </c>
      <c r="BL58" s="342" t="s">
        <v>40171</v>
      </c>
      <c r="BM58" s="375">
        <v>0</v>
      </c>
      <c r="BN58" s="342" t="s">
        <v>41278</v>
      </c>
      <c r="BO58" s="342" t="s">
        <v>41171</v>
      </c>
      <c r="BP58" s="342" t="s">
        <v>41121</v>
      </c>
      <c r="BQ58" s="342" t="s">
        <v>64</v>
      </c>
      <c r="BR58" s="376">
        <v>1000000</v>
      </c>
      <c r="BS58" s="342" t="s">
        <v>41442</v>
      </c>
      <c r="BT58" s="342" t="s">
        <v>41278</v>
      </c>
      <c r="BU58" s="376" t="s">
        <v>41404</v>
      </c>
      <c r="BV58" s="376">
        <f>Tabela10[[#This Row], [Descrição do projeto]]</f>
      </c>
    </row>
    <row x14ac:dyDescent="0.25" r="59" customHeight="1" ht="18.75" hidden="1">
      <c r="A59" s="336">
        <v>349</v>
      </c>
      <c r="B59" s="371">
        <f>AND(ISTEXT('Consolidado-Eletronorte'!#REF!),SUM('Consolidado-Eletronorte'!#REF!)&gt;0)</f>
      </c>
      <c r="C59" s="371">
        <f>$J$13</f>
      </c>
      <c r="D59" s="371">
        <f>$H$13</f>
      </c>
      <c r="E59" s="371">
        <f>$H$14</f>
      </c>
      <c r="F59" s="371">
        <f>_xlfn.CONCAT(Tabela10[[#This Row], [VP]],Tabela10[[#This Row], [Analise Estrategia]])</f>
      </c>
      <c r="G59" s="371">
        <f>_xlfn.CONCAT('Consolidado-Eletronorte'!#REF!,"_",ROW('Consolidado-Eletronorte'!#REF!)-ROW('Consolidado-Eletronorte'!$G$18))</f>
      </c>
      <c r="H59" s="335" t="s">
        <v>10</v>
      </c>
      <c r="I59" s="335" t="s">
        <v>88</v>
      </c>
      <c r="J59" s="335" t="s">
        <v>5</v>
      </c>
      <c r="K59" s="336" t="s">
        <v>21</v>
      </c>
      <c r="L59" s="335" t="s">
        <v>21</v>
      </c>
      <c r="M59" s="335" t="s">
        <v>39949</v>
      </c>
      <c r="N59" s="335"/>
      <c r="O59" s="335"/>
      <c r="P59" s="336" t="s">
        <v>38358</v>
      </c>
      <c r="Q59" s="342" t="s">
        <v>41350</v>
      </c>
      <c r="R59" s="335" t="s">
        <v>40048</v>
      </c>
      <c r="S59" s="342" t="s">
        <v>41350</v>
      </c>
      <c r="T59" s="335" t="s">
        <v>21</v>
      </c>
      <c r="U59" s="335" t="s">
        <v>21</v>
      </c>
      <c r="V59" s="335" t="s">
        <v>39949</v>
      </c>
      <c r="W59" s="335" t="s">
        <v>39949</v>
      </c>
      <c r="X59" s="335"/>
      <c r="Y59" s="336" t="s">
        <v>41222</v>
      </c>
      <c r="Z59" s="372"/>
      <c r="AA59" s="336"/>
      <c r="AB59" s="372"/>
      <c r="AC59" s="336"/>
      <c r="AD59" s="372"/>
      <c r="AE59" s="335"/>
      <c r="AF59" s="335"/>
      <c r="AG59" s="335" t="s">
        <v>40049</v>
      </c>
      <c r="AH59" s="335" t="s">
        <v>39912</v>
      </c>
      <c r="AI59" s="337">
        <v>0</v>
      </c>
      <c r="AJ59" s="337">
        <v>0</v>
      </c>
      <c r="AK59" s="337">
        <v>0</v>
      </c>
      <c r="AL59" s="337">
        <v>0</v>
      </c>
      <c r="AM59" s="337">
        <v>0</v>
      </c>
      <c r="AN59" s="337">
        <v>0</v>
      </c>
      <c r="AO59" s="337">
        <v>0</v>
      </c>
      <c r="AP59" s="337">
        <v>0</v>
      </c>
      <c r="AQ59" s="337">
        <v>0</v>
      </c>
      <c r="AR59" s="337">
        <v>0</v>
      </c>
      <c r="AS59" s="337">
        <v>0</v>
      </c>
      <c r="AT59" s="337">
        <v>0</v>
      </c>
      <c r="AU59" s="337">
        <f>SUM(Tabela10[[#This Row], [jan/26]:[dez/26]])</f>
      </c>
      <c r="AV59" s="337">
        <v>1000000</v>
      </c>
      <c r="AW59" s="337">
        <v>3000000</v>
      </c>
      <c r="AX59" s="337">
        <v>0</v>
      </c>
      <c r="AY59" s="337">
        <v>0</v>
      </c>
      <c r="AZ59" s="337">
        <f>SUM(Tabela10[[#This Row], [2026]:[2030]])</f>
      </c>
      <c r="BA59" s="337">
        <v>0</v>
      </c>
      <c r="BB59" s="337">
        <v>0</v>
      </c>
      <c r="BC59" s="337">
        <v>0</v>
      </c>
      <c r="BD59" s="337">
        <v>0</v>
      </c>
      <c r="BE59" s="337">
        <v>0</v>
      </c>
      <c r="BF59" s="373">
        <f>SUM(Tabela10[[#This Row], [2026-2030]:[2035]])</f>
      </c>
      <c r="BG59" s="374">
        <f>_xlfn.SEQUENCE(COUNTA(Tabela10[Empresa]),1,1)</f>
      </c>
      <c r="BH59" s="342" t="s">
        <v>41350</v>
      </c>
      <c r="BI59" s="374">
        <f>VLOOKUP(Tabela10[[#This Row], [ID real2]],[2]CONSOLIDADA!$AU:$AZ,6,FALSE)</f>
      </c>
      <c r="BJ59" s="342" t="s">
        <v>39925</v>
      </c>
      <c r="BK59" s="375">
        <v>2026</v>
      </c>
      <c r="BL59" s="342" t="s">
        <v>40050</v>
      </c>
      <c r="BM59" s="375">
        <v>0</v>
      </c>
      <c r="BN59" s="342" t="s">
        <v>41350</v>
      </c>
      <c r="BO59" s="342" t="s">
        <v>41429</v>
      </c>
      <c r="BP59" s="342" t="s">
        <v>41121</v>
      </c>
      <c r="BQ59" s="342" t="s">
        <v>41121</v>
      </c>
      <c r="BR59" s="376">
        <v>0</v>
      </c>
      <c r="BS59" s="342" t="s">
        <v>41443</v>
      </c>
      <c r="BT59" s="342" t="s">
        <v>41350</v>
      </c>
      <c r="BU59" s="376" t="s">
        <v>39925</v>
      </c>
      <c r="BV59" s="376">
        <f>Tabela10[[#This Row], [Descrição do projeto]]</f>
      </c>
    </row>
    <row x14ac:dyDescent="0.25" r="60" customHeight="1" ht="18.75" hidden="1">
      <c r="A60" s="336">
        <v>384</v>
      </c>
      <c r="B60" s="371">
        <f>AND(ISTEXT('Consolidado-Eletronorte'!#REF!),SUM('Consolidado-Eletronorte'!#REF!)&gt;0)</f>
      </c>
      <c r="C60" s="371">
        <f>$J$13</f>
      </c>
      <c r="D60" s="371">
        <f>$H$13</f>
      </c>
      <c r="E60" s="371">
        <f>$H$14</f>
      </c>
      <c r="F60" s="371">
        <f>_xlfn.CONCAT(Tabela10[[#This Row], [VP]],Tabela10[[#This Row], [Analise Estrategia]])</f>
      </c>
      <c r="G60" s="371">
        <f>_xlfn.CONCAT('Consolidado-Eletronorte'!#REF!,"_",ROW('Consolidado-Eletronorte'!#REF!)-ROW('Consolidado-Eletronorte'!$G$18))</f>
      </c>
      <c r="H60" s="335" t="s">
        <v>10</v>
      </c>
      <c r="I60" s="335" t="s">
        <v>88</v>
      </c>
      <c r="J60" s="335" t="s">
        <v>5</v>
      </c>
      <c r="K60" s="336" t="s">
        <v>21</v>
      </c>
      <c r="L60" s="335" t="s">
        <v>21</v>
      </c>
      <c r="M60" s="335" t="s">
        <v>39949</v>
      </c>
      <c r="N60" s="335"/>
      <c r="O60" s="335"/>
      <c r="P60" s="336" t="s">
        <v>38358</v>
      </c>
      <c r="Q60" s="342" t="s">
        <v>41277</v>
      </c>
      <c r="R60" s="335" t="s">
        <v>40134</v>
      </c>
      <c r="S60" s="342" t="s">
        <v>41277</v>
      </c>
      <c r="T60" s="335" t="s">
        <v>21</v>
      </c>
      <c r="U60" s="335" t="s">
        <v>21</v>
      </c>
      <c r="V60" s="335" t="s">
        <v>39949</v>
      </c>
      <c r="W60" s="335" t="s">
        <v>39949</v>
      </c>
      <c r="X60" s="335"/>
      <c r="Y60" s="336">
        <v>3400004384</v>
      </c>
      <c r="Z60" s="372">
        <v>3000000</v>
      </c>
      <c r="AA60" s="336"/>
      <c r="AB60" s="372"/>
      <c r="AC60" s="336"/>
      <c r="AD60" s="372"/>
      <c r="AE60" s="335"/>
      <c r="AF60" s="335"/>
      <c r="AG60" s="335" t="s">
        <v>40135</v>
      </c>
      <c r="AH60" s="335" t="s">
        <v>39912</v>
      </c>
      <c r="AI60" s="337">
        <v>0</v>
      </c>
      <c r="AJ60" s="337">
        <v>0</v>
      </c>
      <c r="AK60" s="337">
        <v>0</v>
      </c>
      <c r="AL60" s="337">
        <v>0</v>
      </c>
      <c r="AM60" s="337">
        <v>0</v>
      </c>
      <c r="AN60" s="337">
        <v>0</v>
      </c>
      <c r="AO60" s="337">
        <v>0</v>
      </c>
      <c r="AP60" s="337"/>
      <c r="AQ60" s="337">
        <v>1000000</v>
      </c>
      <c r="AR60" s="337">
        <v>0</v>
      </c>
      <c r="AS60" s="337">
        <v>0</v>
      </c>
      <c r="AT60" s="337">
        <v>0</v>
      </c>
      <c r="AU60" s="381">
        <f>SUM(Tabela10[[#This Row], [jan/26]:[dez/26]])</f>
      </c>
      <c r="AV60" s="381">
        <v>1000000</v>
      </c>
      <c r="AW60" s="381">
        <v>1000000</v>
      </c>
      <c r="AX60" s="337">
        <v>0</v>
      </c>
      <c r="AY60" s="337">
        <v>0</v>
      </c>
      <c r="AZ60" s="337">
        <f>SUM(Tabela10[[#This Row], [2026]:[2030]])</f>
      </c>
      <c r="BA60" s="337">
        <v>0</v>
      </c>
      <c r="BB60" s="337">
        <v>0</v>
      </c>
      <c r="BC60" s="337">
        <v>0</v>
      </c>
      <c r="BD60" s="337">
        <v>0</v>
      </c>
      <c r="BE60" s="337">
        <v>0</v>
      </c>
      <c r="BF60" s="373">
        <f>SUM(Tabela10[[#This Row], [2026-2030]:[2035]])</f>
      </c>
      <c r="BG60" s="374">
        <f>_xlfn.SEQUENCE(COUNTA(Tabela10[Empresa]),1,1)</f>
      </c>
      <c r="BH60" s="342" t="s">
        <v>41277</v>
      </c>
      <c r="BI60" s="374">
        <f>VLOOKUP(Tabela10[[#This Row], [ID real2]],[2]CONSOLIDADA!$AU:$AZ,6,FALSE)</f>
      </c>
      <c r="BJ60" s="342" t="s">
        <v>41127</v>
      </c>
      <c r="BK60" s="375">
        <v>2025</v>
      </c>
      <c r="BL60" s="342" t="s">
        <v>40136</v>
      </c>
      <c r="BM60" s="375" t="s">
        <v>41444</v>
      </c>
      <c r="BN60" s="342" t="s">
        <v>41277</v>
      </c>
      <c r="BO60" s="342" t="s">
        <v>41171</v>
      </c>
      <c r="BP60" s="342" t="s">
        <v>41121</v>
      </c>
      <c r="BQ60" s="342" t="s">
        <v>64</v>
      </c>
      <c r="BR60" s="376">
        <v>1000000</v>
      </c>
      <c r="BS60" s="342" t="s">
        <v>41395</v>
      </c>
      <c r="BT60" s="342" t="s">
        <v>41277</v>
      </c>
      <c r="BU60" s="376" t="s">
        <v>41144</v>
      </c>
      <c r="BV60" s="376">
        <f>Tabela10[[#This Row], [Descrição do projeto]]</f>
      </c>
    </row>
    <row x14ac:dyDescent="0.25" r="61" customHeight="1" ht="18.75" hidden="1">
      <c r="A61" s="336">
        <v>361</v>
      </c>
      <c r="B61" s="371">
        <f>AND(ISTEXT('Consolidado-Eletronorte'!#REF!),SUM('Consolidado-Eletronorte'!#REF!)&gt;0)</f>
      </c>
      <c r="C61" s="371">
        <f>$J$13</f>
      </c>
      <c r="D61" s="371">
        <f>$H$13</f>
      </c>
      <c r="E61" s="371">
        <f>$H$14</f>
      </c>
      <c r="F61" s="371">
        <f>_xlfn.CONCAT(Tabela10[[#This Row], [VP]],Tabela10[[#This Row], [Analise Estrategia]])</f>
      </c>
      <c r="G61" s="371">
        <f>_xlfn.CONCAT('Consolidado-Eletronorte'!#REF!,"_",ROW('Consolidado-Eletronorte'!#REF!)-ROW('Consolidado-Eletronorte'!$G$18))</f>
      </c>
      <c r="H61" s="335" t="s">
        <v>10</v>
      </c>
      <c r="I61" s="335" t="s">
        <v>88</v>
      </c>
      <c r="J61" s="335" t="s">
        <v>5</v>
      </c>
      <c r="K61" s="336" t="s">
        <v>21</v>
      </c>
      <c r="L61" s="335" t="s">
        <v>21</v>
      </c>
      <c r="M61" s="335" t="s">
        <v>39932</v>
      </c>
      <c r="N61" s="335"/>
      <c r="O61" s="335"/>
      <c r="P61" s="336" t="s">
        <v>38358</v>
      </c>
      <c r="Q61" s="342" t="s">
        <v>41274</v>
      </c>
      <c r="R61" s="335" t="s">
        <v>40099</v>
      </c>
      <c r="S61" s="342" t="s">
        <v>41274</v>
      </c>
      <c r="T61" s="335" t="s">
        <v>21</v>
      </c>
      <c r="U61" s="335" t="s">
        <v>21</v>
      </c>
      <c r="V61" s="335" t="s">
        <v>39932</v>
      </c>
      <c r="W61" s="335" t="s">
        <v>39932</v>
      </c>
      <c r="X61" s="335"/>
      <c r="Y61" s="336">
        <v>3700007704</v>
      </c>
      <c r="Z61" s="372" t="s">
        <v>41429</v>
      </c>
      <c r="AA61" s="336"/>
      <c r="AB61" s="372"/>
      <c r="AC61" s="336"/>
      <c r="AD61" s="372"/>
      <c r="AE61" s="335"/>
      <c r="AF61" s="335"/>
      <c r="AG61" s="335" t="s">
        <v>40100</v>
      </c>
      <c r="AH61" s="335" t="s">
        <v>39912</v>
      </c>
      <c r="AI61" s="337">
        <v>0</v>
      </c>
      <c r="AJ61" s="337">
        <v>500000</v>
      </c>
      <c r="AK61" s="337">
        <v>0</v>
      </c>
      <c r="AL61" s="337">
        <v>0</v>
      </c>
      <c r="AM61" s="337">
        <v>0</v>
      </c>
      <c r="AN61" s="337">
        <v>0</v>
      </c>
      <c r="AO61" s="337">
        <v>0</v>
      </c>
      <c r="AP61" s="337">
        <v>500000</v>
      </c>
      <c r="AQ61" s="337">
        <v>0</v>
      </c>
      <c r="AR61" s="337">
        <v>0</v>
      </c>
      <c r="AS61" s="337">
        <v>0</v>
      </c>
      <c r="AT61" s="337">
        <v>0</v>
      </c>
      <c r="AU61" s="381">
        <f>SUM(Tabela10[[#This Row], [jan/26]:[dez/26]])</f>
      </c>
      <c r="AV61" s="381">
        <v>1500000</v>
      </c>
      <c r="AW61" s="381">
        <v>0</v>
      </c>
      <c r="AX61" s="337">
        <v>0</v>
      </c>
      <c r="AY61" s="337">
        <v>0</v>
      </c>
      <c r="AZ61" s="337">
        <f>SUM(Tabela10[[#This Row], [2026]:[2030]])</f>
      </c>
      <c r="BA61" s="337">
        <v>0</v>
      </c>
      <c r="BB61" s="337">
        <v>0</v>
      </c>
      <c r="BC61" s="337">
        <v>0</v>
      </c>
      <c r="BD61" s="337">
        <v>0</v>
      </c>
      <c r="BE61" s="337">
        <v>0</v>
      </c>
      <c r="BF61" s="373">
        <f>SUM(Tabela10[[#This Row], [2026-2030]:[2035]])</f>
      </c>
      <c r="BG61" s="374">
        <f>_xlfn.SEQUENCE(COUNTA(Tabela10[Empresa]),1,1)</f>
      </c>
      <c r="BH61" s="342" t="s">
        <v>41274</v>
      </c>
      <c r="BI61" s="374">
        <f>VLOOKUP(Tabela10[[#This Row], [ID real2]],[2]CONSOLIDADA!$AU:$AZ,6,FALSE)</f>
      </c>
      <c r="BJ61" s="342" t="s">
        <v>41127</v>
      </c>
      <c r="BK61" s="375">
        <v>2025</v>
      </c>
      <c r="BL61" s="342" t="s">
        <v>40101</v>
      </c>
      <c r="BM61" s="375" t="s">
        <v>40102</v>
      </c>
      <c r="BN61" s="342" t="s">
        <v>41274</v>
      </c>
      <c r="BO61" s="342" t="s">
        <v>41171</v>
      </c>
      <c r="BP61" s="342" t="s">
        <v>41400</v>
      </c>
      <c r="BQ61" s="342" t="s">
        <v>64</v>
      </c>
      <c r="BR61" s="376">
        <v>1000000</v>
      </c>
      <c r="BS61" s="342" t="s">
        <v>41389</v>
      </c>
      <c r="BT61" s="342" t="s">
        <v>41274</v>
      </c>
      <c r="BU61" s="376" t="s">
        <v>41144</v>
      </c>
      <c r="BV61" s="376">
        <f>Tabela10[[#This Row], [Descrição do projeto]]</f>
      </c>
    </row>
    <row x14ac:dyDescent="0.25" r="62" customHeight="1" ht="18.75" hidden="1">
      <c r="A62" s="336">
        <v>287</v>
      </c>
      <c r="B62" s="371">
        <f>AND(ISTEXT('Consolidado-Eletronorte'!#REF!),SUM('Consolidado-Eletronorte'!#REF!)&gt;0)</f>
      </c>
      <c r="C62" s="371">
        <f>$J$13</f>
      </c>
      <c r="D62" s="371">
        <f>$H$13</f>
      </c>
      <c r="E62" s="371">
        <f>$H$14</f>
      </c>
      <c r="F62" s="371">
        <f>_xlfn.CONCAT(Tabela10[[#This Row], [VP]],Tabela10[[#This Row], [Analise Estrategia]])</f>
      </c>
      <c r="G62" s="371">
        <f>_xlfn.CONCAT('Consolidado-Eletronorte'!#REF!,"_",ROW('Consolidado-Eletronorte'!#REF!)-ROW('Consolidado-Eletronorte'!$G$18))</f>
      </c>
      <c r="H62" s="335" t="s">
        <v>10</v>
      </c>
      <c r="I62" s="335" t="s">
        <v>88</v>
      </c>
      <c r="J62" s="335" t="s">
        <v>5</v>
      </c>
      <c r="K62" s="336" t="s">
        <v>21</v>
      </c>
      <c r="L62" s="335" t="s">
        <v>21</v>
      </c>
      <c r="M62" s="335" t="s">
        <v>39932</v>
      </c>
      <c r="N62" s="335"/>
      <c r="O62" s="335"/>
      <c r="P62" s="336" t="s">
        <v>38349</v>
      </c>
      <c r="Q62" s="342" t="s">
        <v>41248</v>
      </c>
      <c r="R62" s="335" t="s">
        <v>40065</v>
      </c>
      <c r="S62" s="342" t="s">
        <v>41248</v>
      </c>
      <c r="T62" s="335" t="s">
        <v>21</v>
      </c>
      <c r="U62" s="335" t="s">
        <v>21</v>
      </c>
      <c r="V62" s="335" t="s">
        <v>39932</v>
      </c>
      <c r="W62" s="335" t="s">
        <v>39932</v>
      </c>
      <c r="X62" s="335"/>
      <c r="Y62" s="336" t="s">
        <v>41222</v>
      </c>
      <c r="Z62" s="372"/>
      <c r="AA62" s="336"/>
      <c r="AB62" s="372"/>
      <c r="AC62" s="336"/>
      <c r="AD62" s="372"/>
      <c r="AE62" s="335"/>
      <c r="AF62" s="335"/>
      <c r="AG62" s="335" t="s">
        <v>40066</v>
      </c>
      <c r="AH62" s="335" t="s">
        <v>39998</v>
      </c>
      <c r="AI62" s="337">
        <v>0</v>
      </c>
      <c r="AJ62" s="337">
        <v>0</v>
      </c>
      <c r="AK62" s="337">
        <v>0</v>
      </c>
      <c r="AL62" s="337">
        <v>0</v>
      </c>
      <c r="AM62" s="337">
        <v>0</v>
      </c>
      <c r="AN62" s="337"/>
      <c r="AO62" s="337">
        <v>0</v>
      </c>
      <c r="AP62" s="337">
        <v>0</v>
      </c>
      <c r="AQ62" s="337">
        <v>0</v>
      </c>
      <c r="AR62" s="337"/>
      <c r="AS62" s="337">
        <v>0</v>
      </c>
      <c r="AT62" s="337">
        <v>0</v>
      </c>
      <c r="AU62" s="337">
        <f>SUM(Tabela10[[#This Row], [jan/26]:[dez/26]])</f>
      </c>
      <c r="AV62" s="381">
        <v>3000000</v>
      </c>
      <c r="AW62" s="337">
        <v>0</v>
      </c>
      <c r="AX62" s="337">
        <v>0</v>
      </c>
      <c r="AY62" s="337">
        <v>0</v>
      </c>
      <c r="AZ62" s="337">
        <f>SUM(Tabela10[[#This Row], [2026]:[2030]])</f>
      </c>
      <c r="BA62" s="337">
        <v>0</v>
      </c>
      <c r="BB62" s="337">
        <v>0</v>
      </c>
      <c r="BC62" s="337">
        <v>0</v>
      </c>
      <c r="BD62" s="337">
        <v>0</v>
      </c>
      <c r="BE62" s="337">
        <v>0</v>
      </c>
      <c r="BF62" s="373">
        <f>SUM(Tabela10[[#This Row], [2026-2030]:[2035]])</f>
      </c>
      <c r="BG62" s="374">
        <f>_xlfn.SEQUENCE(COUNTA(Tabela10[Empresa]),1,1)</f>
      </c>
      <c r="BH62" s="342" t="s">
        <v>41248</v>
      </c>
      <c r="BI62" s="374">
        <f>VLOOKUP(Tabela10[[#This Row], [ID real2]],[2]CONSOLIDADA!$AU:$AZ,6,FALSE)</f>
      </c>
      <c r="BJ62" s="342" t="s">
        <v>41129</v>
      </c>
      <c r="BK62" s="375">
        <v>2026</v>
      </c>
      <c r="BL62" s="342" t="s">
        <v>40067</v>
      </c>
      <c r="BM62" s="375">
        <v>0</v>
      </c>
      <c r="BN62" s="342" t="s">
        <v>41248</v>
      </c>
      <c r="BO62" s="342" t="s">
        <v>41172</v>
      </c>
      <c r="BP62" s="342" t="s">
        <v>41121</v>
      </c>
      <c r="BQ62" s="342" t="s">
        <v>41123</v>
      </c>
      <c r="BR62" s="376">
        <v>3000000</v>
      </c>
      <c r="BS62" s="342" t="s">
        <v>41431</v>
      </c>
      <c r="BT62" s="342" t="s">
        <v>41248</v>
      </c>
      <c r="BU62" s="376" t="s">
        <v>41445</v>
      </c>
      <c r="BV62" s="376">
        <f>Tabela10[[#This Row], [Descrição do projeto]]</f>
      </c>
    </row>
    <row x14ac:dyDescent="0.25" r="63" customHeight="1" ht="18.75" hidden="1">
      <c r="A63" s="336">
        <v>289</v>
      </c>
      <c r="B63" s="371">
        <f>AND(ISTEXT('Consolidado-Eletronorte'!#REF!),SUM('Consolidado-Eletronorte'!#REF!)&gt;0)</f>
      </c>
      <c r="C63" s="371">
        <f>$J$13</f>
      </c>
      <c r="D63" s="371">
        <f>$H$13</f>
      </c>
      <c r="E63" s="371">
        <f>$H$14</f>
      </c>
      <c r="F63" s="371">
        <f>_xlfn.CONCAT(Tabela10[[#This Row], [VP]],Tabela10[[#This Row], [Analise Estrategia]])</f>
      </c>
      <c r="G63" s="371">
        <f>_xlfn.CONCAT('Consolidado-Eletronorte'!#REF!,"_",ROW('Consolidado-Eletronorte'!#REF!)-ROW('Consolidado-Eletronorte'!$G$18))</f>
      </c>
      <c r="H63" s="335" t="s">
        <v>10</v>
      </c>
      <c r="I63" s="335" t="s">
        <v>88</v>
      </c>
      <c r="J63" s="335" t="s">
        <v>5</v>
      </c>
      <c r="K63" s="336" t="s">
        <v>21</v>
      </c>
      <c r="L63" s="335" t="s">
        <v>21</v>
      </c>
      <c r="M63" s="335" t="s">
        <v>39949</v>
      </c>
      <c r="N63" s="335"/>
      <c r="O63" s="335"/>
      <c r="P63" s="336" t="s">
        <v>38349</v>
      </c>
      <c r="Q63" s="342" t="s">
        <v>41271</v>
      </c>
      <c r="R63" s="335" t="s">
        <v>40077</v>
      </c>
      <c r="S63" s="342" t="s">
        <v>41271</v>
      </c>
      <c r="T63" s="335" t="s">
        <v>21</v>
      </c>
      <c r="U63" s="335" t="s">
        <v>21</v>
      </c>
      <c r="V63" s="335" t="s">
        <v>39949</v>
      </c>
      <c r="W63" s="335" t="s">
        <v>39949</v>
      </c>
      <c r="X63" s="335"/>
      <c r="Y63" s="336">
        <v>3400002922</v>
      </c>
      <c r="Z63" s="372">
        <v>700000</v>
      </c>
      <c r="AA63" s="336"/>
      <c r="AB63" s="372"/>
      <c r="AC63" s="336"/>
      <c r="AD63" s="372"/>
      <c r="AE63" s="335"/>
      <c r="AF63" s="335"/>
      <c r="AG63" s="335" t="s">
        <v>40078</v>
      </c>
      <c r="AH63" s="335" t="s">
        <v>39998</v>
      </c>
      <c r="AI63" s="337">
        <v>0</v>
      </c>
      <c r="AJ63" s="337">
        <v>0</v>
      </c>
      <c r="AK63" s="337">
        <v>0</v>
      </c>
      <c r="AL63" s="337">
        <v>0</v>
      </c>
      <c r="AM63" s="337">
        <v>0</v>
      </c>
      <c r="AN63" s="337">
        <v>0</v>
      </c>
      <c r="AO63" s="337">
        <v>0</v>
      </c>
      <c r="AP63" s="337">
        <v>0</v>
      </c>
      <c r="AQ63" s="337">
        <v>500000</v>
      </c>
      <c r="AR63" s="337">
        <v>0</v>
      </c>
      <c r="AS63" s="337">
        <v>0</v>
      </c>
      <c r="AT63" s="337">
        <v>500000</v>
      </c>
      <c r="AU63" s="381">
        <f>SUM(Tabela10[[#This Row], [jan/26]:[dez/26]])</f>
      </c>
      <c r="AV63" s="337">
        <v>1000000</v>
      </c>
      <c r="AW63" s="381">
        <v>700000</v>
      </c>
      <c r="AX63" s="337">
        <v>0</v>
      </c>
      <c r="AY63" s="337">
        <v>0</v>
      </c>
      <c r="AZ63" s="337">
        <f>SUM(Tabela10[[#This Row], [2026]:[2030]])</f>
      </c>
      <c r="BA63" s="337">
        <v>0</v>
      </c>
      <c r="BB63" s="337">
        <v>0</v>
      </c>
      <c r="BC63" s="337">
        <v>0</v>
      </c>
      <c r="BD63" s="337">
        <v>0</v>
      </c>
      <c r="BE63" s="337">
        <v>0</v>
      </c>
      <c r="BF63" s="373">
        <f>SUM(Tabela10[[#This Row], [2026-2030]:[2035]])</f>
      </c>
      <c r="BG63" s="374">
        <f>_xlfn.SEQUENCE(COUNTA(Tabela10[Empresa]),1,1)</f>
      </c>
      <c r="BH63" s="342" t="s">
        <v>41271</v>
      </c>
      <c r="BI63" s="374">
        <f>VLOOKUP(Tabela10[[#This Row], [ID real2]],[2]CONSOLIDADA!$AU:$AZ,6,FALSE)</f>
      </c>
      <c r="BJ63" s="342" t="s">
        <v>41127</v>
      </c>
      <c r="BK63" s="375">
        <v>2025</v>
      </c>
      <c r="BL63" s="342" t="s">
        <v>40079</v>
      </c>
      <c r="BM63" s="375" t="s">
        <v>40080</v>
      </c>
      <c r="BN63" s="342" t="s">
        <v>41271</v>
      </c>
      <c r="BO63" s="342" t="s">
        <v>41171</v>
      </c>
      <c r="BP63" s="342" t="s">
        <v>41417</v>
      </c>
      <c r="BQ63" s="342" t="s">
        <v>64</v>
      </c>
      <c r="BR63" s="376">
        <v>1000000</v>
      </c>
      <c r="BS63" s="342" t="s">
        <v>41389</v>
      </c>
      <c r="BT63" s="342" t="s">
        <v>41271</v>
      </c>
      <c r="BU63" s="376" t="s">
        <v>41144</v>
      </c>
      <c r="BV63" s="376">
        <f>Tabela10[[#This Row], [Descrição do projeto]]</f>
      </c>
    </row>
    <row x14ac:dyDescent="0.25" r="64" customHeight="1" ht="18.75">
      <c r="A64" s="336">
        <v>264</v>
      </c>
      <c r="B64" s="371">
        <f>AND(ISTEXT('Consolidado-Eletronorte'!#REF!),SUM('Consolidado-Eletronorte'!#REF!)&gt;0)</f>
      </c>
      <c r="C64" s="371">
        <f>$J$13</f>
      </c>
      <c r="D64" s="371">
        <f>$H$13</f>
      </c>
      <c r="E64" s="371">
        <f>$H$14</f>
      </c>
      <c r="F64" s="371">
        <f>_xlfn.CONCAT(Tabela10[[#This Row], [VP]],Tabela10[[#This Row], [Analise Estrategia]])</f>
      </c>
      <c r="G64" s="371">
        <f>_xlfn.CONCAT('Consolidado-Eletronorte'!#REF!,"_",ROW('Consolidado-Eletronorte'!#REF!)-ROW('Consolidado-Eletronorte'!$G$18))</f>
      </c>
      <c r="H64" s="335" t="s">
        <v>10</v>
      </c>
      <c r="I64" s="335" t="s">
        <v>88</v>
      </c>
      <c r="J64" s="335" t="s">
        <v>5</v>
      </c>
      <c r="K64" s="336" t="s">
        <v>21</v>
      </c>
      <c r="L64" s="335" t="s">
        <v>21</v>
      </c>
      <c r="M64" s="382" t="s">
        <v>39949</v>
      </c>
      <c r="N64" s="335"/>
      <c r="O64" s="335"/>
      <c r="P64" s="336" t="s">
        <v>38358</v>
      </c>
      <c r="Q64" s="342" t="s">
        <v>41275</v>
      </c>
      <c r="R64" s="335" t="s">
        <v>40123</v>
      </c>
      <c r="S64" s="342" t="s">
        <v>41275</v>
      </c>
      <c r="T64" s="335" t="s">
        <v>21</v>
      </c>
      <c r="U64" s="335" t="s">
        <v>21</v>
      </c>
      <c r="V64" s="335" t="s">
        <v>39932</v>
      </c>
      <c r="W64" s="335" t="s">
        <v>39949</v>
      </c>
      <c r="X64" s="335"/>
      <c r="Y64" s="336">
        <v>3400002164</v>
      </c>
      <c r="Z64" s="372">
        <v>2535190.2</v>
      </c>
      <c r="AA64" s="343">
        <v>4600002965</v>
      </c>
      <c r="AB64" s="385">
        <v>833206.66</v>
      </c>
      <c r="AC64" s="344">
        <v>4500094983</v>
      </c>
      <c r="AD64" s="386">
        <v>833206.66</v>
      </c>
      <c r="AE64" s="383" t="s">
        <v>41446</v>
      </c>
      <c r="AF64" s="335" t="s">
        <v>41210</v>
      </c>
      <c r="AG64" s="335" t="s">
        <v>40124</v>
      </c>
      <c r="AH64" s="335" t="s">
        <v>39912</v>
      </c>
      <c r="AI64" s="337">
        <v>0</v>
      </c>
      <c r="AJ64" s="337"/>
      <c r="AK64" s="337">
        <v>0</v>
      </c>
      <c r="AL64" s="337"/>
      <c r="AM64" s="337">
        <v>0</v>
      </c>
      <c r="AN64" s="337">
        <v>0</v>
      </c>
      <c r="AO64" s="337">
        <v>0</v>
      </c>
      <c r="AP64" s="337">
        <v>0</v>
      </c>
      <c r="AQ64" s="337">
        <v>0</v>
      </c>
      <c r="AR64" s="337">
        <v>0</v>
      </c>
      <c r="AS64" s="337">
        <v>0</v>
      </c>
      <c r="AT64" s="337">
        <v>0</v>
      </c>
      <c r="AU64" s="381">
        <f>SUM(Tabela10[[#This Row], [jan/26]:[dez/26]])</f>
      </c>
      <c r="AV64" s="381">
        <v>1000000</v>
      </c>
      <c r="AW64" s="381">
        <v>1000000</v>
      </c>
      <c r="AX64" s="337">
        <v>500000</v>
      </c>
      <c r="AY64" s="337">
        <v>0</v>
      </c>
      <c r="AZ64" s="337">
        <f>SUM(Tabela10[[#This Row], [2026]:[2030]])</f>
      </c>
      <c r="BA64" s="337">
        <v>0</v>
      </c>
      <c r="BB64" s="337">
        <v>0</v>
      </c>
      <c r="BC64" s="337">
        <v>0</v>
      </c>
      <c r="BD64" s="337">
        <v>0</v>
      </c>
      <c r="BE64" s="337">
        <v>0</v>
      </c>
      <c r="BF64" s="373">
        <f>SUM(Tabela10[[#This Row], [2026-2030]:[2035]])</f>
      </c>
      <c r="BG64" s="374">
        <f>_xlfn.SEQUENCE(COUNTA(Tabela10[Empresa]),1,1)</f>
      </c>
      <c r="BH64" s="342" t="s">
        <v>41275</v>
      </c>
      <c r="BI64" s="374">
        <f>VLOOKUP(Tabela10[[#This Row], [ID real2]],[2]CONSOLIDADA!$AU:$AZ,6,FALSE)</f>
      </c>
      <c r="BJ64" s="342" t="s">
        <v>39956</v>
      </c>
      <c r="BK64" s="375">
        <v>2026</v>
      </c>
      <c r="BL64" s="342" t="s">
        <v>40125</v>
      </c>
      <c r="BM64" s="375">
        <v>0</v>
      </c>
      <c r="BN64" s="342" t="s">
        <v>41275</v>
      </c>
      <c r="BO64" s="342" t="s">
        <v>41174</v>
      </c>
      <c r="BP64" s="342" t="s">
        <v>41121</v>
      </c>
      <c r="BQ64" s="342" t="s">
        <v>46</v>
      </c>
      <c r="BR64" s="376">
        <v>1000000</v>
      </c>
      <c r="BS64" s="342" t="s">
        <v>41447</v>
      </c>
      <c r="BT64" s="342" t="s">
        <v>41275</v>
      </c>
      <c r="BU64" s="376" t="s">
        <v>41404</v>
      </c>
      <c r="BV64" s="376">
        <f>Tabela10[[#This Row], [Descrição do projeto]]</f>
      </c>
    </row>
    <row x14ac:dyDescent="0.25" r="65" customHeight="1" ht="18.75" hidden="1">
      <c r="A65" s="336">
        <v>283</v>
      </c>
      <c r="B65" s="371">
        <f>AND(ISTEXT('Consolidado-Eletronorte'!#REF!),SUM('Consolidado-Eletronorte'!#REF!)&gt;0)</f>
      </c>
      <c r="C65" s="371">
        <f>$J$13</f>
      </c>
      <c r="D65" s="371">
        <f>$H$13</f>
      </c>
      <c r="E65" s="371">
        <f>$H$14</f>
      </c>
      <c r="F65" s="371">
        <f>_xlfn.CONCAT(Tabela10[[#This Row], [VP]],Tabela10[[#This Row], [Analise Estrategia]])</f>
      </c>
      <c r="G65" s="371">
        <f>_xlfn.CONCAT('Consolidado-Eletronorte'!#REF!,"_",ROW('Consolidado-Eletronorte'!#REF!)-ROW('Consolidado-Eletronorte'!$G$18))</f>
      </c>
      <c r="H65" s="335" t="s">
        <v>10</v>
      </c>
      <c r="I65" s="335" t="s">
        <v>88</v>
      </c>
      <c r="J65" s="335" t="s">
        <v>5</v>
      </c>
      <c r="K65" s="336" t="s">
        <v>21</v>
      </c>
      <c r="L65" s="335" t="s">
        <v>21</v>
      </c>
      <c r="M65" s="335" t="s">
        <v>39949</v>
      </c>
      <c r="N65" s="335"/>
      <c r="O65" s="335"/>
      <c r="P65" s="336" t="s">
        <v>38349</v>
      </c>
      <c r="Q65" s="342" t="s">
        <v>41267</v>
      </c>
      <c r="R65" s="335" t="s">
        <v>40107</v>
      </c>
      <c r="S65" s="342" t="s">
        <v>41267</v>
      </c>
      <c r="T65" s="335" t="s">
        <v>21</v>
      </c>
      <c r="U65" s="335" t="s">
        <v>21</v>
      </c>
      <c r="V65" s="335" t="s">
        <v>39949</v>
      </c>
      <c r="W65" s="335" t="s">
        <v>39949</v>
      </c>
      <c r="X65" s="335"/>
      <c r="Y65" s="336">
        <v>3400002926</v>
      </c>
      <c r="Z65" s="372">
        <v>1000000</v>
      </c>
      <c r="AA65" s="336"/>
      <c r="AB65" s="372"/>
      <c r="AC65" s="336"/>
      <c r="AD65" s="372"/>
      <c r="AE65" s="335"/>
      <c r="AF65" s="335"/>
      <c r="AG65" s="335" t="s">
        <v>40108</v>
      </c>
      <c r="AH65" s="335" t="s">
        <v>39998</v>
      </c>
      <c r="AI65" s="337">
        <v>0</v>
      </c>
      <c r="AJ65" s="337">
        <v>0</v>
      </c>
      <c r="AK65" s="337">
        <v>0</v>
      </c>
      <c r="AL65" s="337">
        <v>0</v>
      </c>
      <c r="AM65" s="337">
        <v>0</v>
      </c>
      <c r="AN65" s="337">
        <v>0</v>
      </c>
      <c r="AO65" s="337">
        <v>0</v>
      </c>
      <c r="AP65" s="337">
        <v>0</v>
      </c>
      <c r="AQ65" s="337">
        <v>0</v>
      </c>
      <c r="AR65" s="337">
        <v>600000</v>
      </c>
      <c r="AS65" s="337">
        <v>0</v>
      </c>
      <c r="AT65" s="337">
        <v>0</v>
      </c>
      <c r="AU65" s="337">
        <f>SUM(Tabela10[[#This Row], [jan/26]:[dez/26]])</f>
      </c>
      <c r="AV65" s="337">
        <v>1200000</v>
      </c>
      <c r="AW65" s="337">
        <v>0</v>
      </c>
      <c r="AX65" s="337">
        <v>0</v>
      </c>
      <c r="AY65" s="337">
        <v>0</v>
      </c>
      <c r="AZ65" s="337">
        <f>SUM(Tabela10[[#This Row], [2026]:[2030]])</f>
      </c>
      <c r="BA65" s="337">
        <v>0</v>
      </c>
      <c r="BB65" s="337">
        <v>0</v>
      </c>
      <c r="BC65" s="337">
        <v>0</v>
      </c>
      <c r="BD65" s="337">
        <v>0</v>
      </c>
      <c r="BE65" s="337">
        <v>0</v>
      </c>
      <c r="BF65" s="373">
        <f>SUM(Tabela10[[#This Row], [2026-2030]:[2035]])</f>
      </c>
      <c r="BG65" s="374">
        <f>_xlfn.SEQUENCE(COUNTA(Tabela10[Empresa]),1,1)</f>
      </c>
      <c r="BH65" s="342" t="s">
        <v>41267</v>
      </c>
      <c r="BI65" s="374">
        <f>VLOOKUP(Tabela10[[#This Row], [ID real2]],[2]CONSOLIDADA!$AU:$AZ,6,FALSE)</f>
      </c>
      <c r="BJ65" s="342" t="s">
        <v>41127</v>
      </c>
      <c r="BK65" s="375">
        <v>2025</v>
      </c>
      <c r="BL65" s="342" t="s">
        <v>40109</v>
      </c>
      <c r="BM65" s="375" t="s">
        <v>40110</v>
      </c>
      <c r="BN65" s="342" t="s">
        <v>41267</v>
      </c>
      <c r="BO65" s="342" t="s">
        <v>41171</v>
      </c>
      <c r="BP65" s="342" t="s">
        <v>41121</v>
      </c>
      <c r="BQ65" s="342" t="s">
        <v>64</v>
      </c>
      <c r="BR65" s="376">
        <v>1200000</v>
      </c>
      <c r="BS65" s="342" t="s">
        <v>41407</v>
      </c>
      <c r="BT65" s="342" t="s">
        <v>41267</v>
      </c>
      <c r="BU65" s="376" t="s">
        <v>41144</v>
      </c>
      <c r="BV65" s="376">
        <f>Tabela10[[#This Row], [Descrição do projeto]]</f>
      </c>
    </row>
    <row x14ac:dyDescent="0.25" r="66" customHeight="1" ht="18.75" hidden="1">
      <c r="A66" s="336">
        <v>295</v>
      </c>
      <c r="B66" s="371">
        <f>AND(ISTEXT('Consolidado-Eletronorte'!#REF!),SUM('Consolidado-Eletronorte'!#REF!)&gt;0)</f>
      </c>
      <c r="C66" s="371">
        <f>$J$13</f>
      </c>
      <c r="D66" s="371">
        <f>$H$13</f>
      </c>
      <c r="E66" s="371">
        <f>$H$14</f>
      </c>
      <c r="F66" s="371">
        <f>_xlfn.CONCAT(Tabela10[[#This Row], [VP]],Tabela10[[#This Row], [Analise Estrategia]])</f>
      </c>
      <c r="G66" s="371">
        <f>_xlfn.CONCAT('Consolidado-Eletronorte'!#REF!,"_",ROW('Consolidado-Eletronorte'!#REF!)-ROW('Consolidado-Eletronorte'!$G$18))</f>
      </c>
      <c r="H66" s="335" t="s">
        <v>10</v>
      </c>
      <c r="I66" s="335" t="s">
        <v>88</v>
      </c>
      <c r="J66" s="335" t="s">
        <v>5</v>
      </c>
      <c r="K66" s="336" t="s">
        <v>21</v>
      </c>
      <c r="L66" s="335" t="s">
        <v>21</v>
      </c>
      <c r="M66" s="335" t="s">
        <v>39949</v>
      </c>
      <c r="N66" s="335"/>
      <c r="O66" s="335"/>
      <c r="P66" s="336" t="s">
        <v>38349</v>
      </c>
      <c r="Q66" s="342" t="s">
        <v>41332</v>
      </c>
      <c r="R66" s="335" t="s">
        <v>40111</v>
      </c>
      <c r="S66" s="342" t="s">
        <v>41332</v>
      </c>
      <c r="T66" s="335" t="s">
        <v>21</v>
      </c>
      <c r="U66" s="335" t="s">
        <v>21</v>
      </c>
      <c r="V66" s="335" t="s">
        <v>39949</v>
      </c>
      <c r="W66" s="335" t="s">
        <v>39949</v>
      </c>
      <c r="X66" s="335"/>
      <c r="Y66" s="336" t="s">
        <v>41222</v>
      </c>
      <c r="Z66" s="372"/>
      <c r="AA66" s="336"/>
      <c r="AB66" s="372"/>
      <c r="AC66" s="336"/>
      <c r="AD66" s="372"/>
      <c r="AE66" s="335"/>
      <c r="AF66" s="335"/>
      <c r="AG66" s="335" t="s">
        <v>40112</v>
      </c>
      <c r="AH66" s="335" t="s">
        <v>39998</v>
      </c>
      <c r="AI66" s="337">
        <v>0</v>
      </c>
      <c r="AJ66" s="337">
        <v>0</v>
      </c>
      <c r="AK66" s="337">
        <v>0</v>
      </c>
      <c r="AL66" s="337">
        <v>0</v>
      </c>
      <c r="AM66" s="337">
        <v>0</v>
      </c>
      <c r="AN66" s="337">
        <v>0</v>
      </c>
      <c r="AO66" s="337">
        <v>0</v>
      </c>
      <c r="AP66" s="337">
        <v>0</v>
      </c>
      <c r="AQ66" s="337">
        <v>0</v>
      </c>
      <c r="AR66" s="337">
        <v>0</v>
      </c>
      <c r="AS66" s="337">
        <v>0</v>
      </c>
      <c r="AT66" s="337">
        <v>0</v>
      </c>
      <c r="AU66" s="337">
        <f>SUM(Tabela10[[#This Row], [jan/26]:[dez/26]])</f>
      </c>
      <c r="AV66" s="337">
        <v>1800000</v>
      </c>
      <c r="AW66" s="337">
        <v>0</v>
      </c>
      <c r="AX66" s="337">
        <v>0</v>
      </c>
      <c r="AY66" s="337">
        <v>0</v>
      </c>
      <c r="AZ66" s="337">
        <f>SUM(Tabela10[[#This Row], [2026]:[2030]])</f>
      </c>
      <c r="BA66" s="337">
        <v>0</v>
      </c>
      <c r="BB66" s="337">
        <v>0</v>
      </c>
      <c r="BC66" s="337">
        <v>0</v>
      </c>
      <c r="BD66" s="337">
        <v>0</v>
      </c>
      <c r="BE66" s="337">
        <v>0</v>
      </c>
      <c r="BF66" s="373">
        <f>SUM(Tabela10[[#This Row], [2026-2030]:[2035]])</f>
      </c>
      <c r="BG66" s="374">
        <f>_xlfn.SEQUENCE(COUNTA(Tabela10[Empresa]),1,1)</f>
      </c>
      <c r="BH66" s="342" t="s">
        <v>41332</v>
      </c>
      <c r="BI66" s="374">
        <f>VLOOKUP(Tabela10[[#This Row], [ID real2]],[2]CONSOLIDADA!$AU:$AZ,6,FALSE)</f>
      </c>
      <c r="BJ66" s="342" t="s">
        <v>39925</v>
      </c>
      <c r="BK66" s="375">
        <v>2026</v>
      </c>
      <c r="BL66" s="342" t="s">
        <v>40113</v>
      </c>
      <c r="BM66" s="375">
        <v>0</v>
      </c>
      <c r="BN66" s="342" t="s">
        <v>41332</v>
      </c>
      <c r="BO66" s="342" t="s">
        <v>41172</v>
      </c>
      <c r="BP66" s="342" t="s">
        <v>41417</v>
      </c>
      <c r="BQ66" s="342" t="s">
        <v>41121</v>
      </c>
      <c r="BR66" s="376">
        <v>0</v>
      </c>
      <c r="BS66" s="342" t="s">
        <v>41448</v>
      </c>
      <c r="BT66" s="342" t="s">
        <v>41332</v>
      </c>
      <c r="BU66" s="376" t="s">
        <v>39925</v>
      </c>
      <c r="BV66" s="376">
        <f>Tabela10[[#This Row], [Descrição do projeto]]</f>
      </c>
    </row>
    <row x14ac:dyDescent="0.25" r="67" customHeight="1" ht="18.75" hidden="1">
      <c r="A67" s="336">
        <v>314</v>
      </c>
      <c r="B67" s="371">
        <f>AND(ISTEXT('Consolidado-Eletronorte'!#REF!),SUM('Consolidado-Eletronorte'!#REF!)&gt;0)</f>
      </c>
      <c r="C67" s="371">
        <f>$J$13</f>
      </c>
      <c r="D67" s="371">
        <f>$H$13</f>
      </c>
      <c r="E67" s="371">
        <f>$H$14</f>
      </c>
      <c r="F67" s="371">
        <f>_xlfn.CONCAT(Tabela10[[#This Row], [VP]],Tabela10[[#This Row], [Analise Estrategia]])</f>
      </c>
      <c r="G67" s="371">
        <f>_xlfn.CONCAT('Consolidado-Eletronorte'!#REF!,"_",ROW('Consolidado-Eletronorte'!#REF!)-ROW('Consolidado-Eletronorte'!$G$18))</f>
      </c>
      <c r="H67" s="335" t="s">
        <v>10</v>
      </c>
      <c r="I67" s="335" t="s">
        <v>88</v>
      </c>
      <c r="J67" s="335" t="s">
        <v>5</v>
      </c>
      <c r="K67" s="336" t="s">
        <v>21</v>
      </c>
      <c r="L67" s="335" t="s">
        <v>21</v>
      </c>
      <c r="M67" s="335" t="s">
        <v>39949</v>
      </c>
      <c r="N67" s="335"/>
      <c r="O67" s="335"/>
      <c r="P67" s="336">
        <v>157189</v>
      </c>
      <c r="Q67" s="342" t="s">
        <v>41272</v>
      </c>
      <c r="R67" s="335" t="s">
        <v>40172</v>
      </c>
      <c r="S67" s="342" t="s">
        <v>41272</v>
      </c>
      <c r="T67" s="335" t="s">
        <v>21</v>
      </c>
      <c r="U67" s="335" t="s">
        <v>21</v>
      </c>
      <c r="V67" s="335" t="s">
        <v>39949</v>
      </c>
      <c r="W67" s="335" t="s">
        <v>39949</v>
      </c>
      <c r="X67" s="335"/>
      <c r="Y67" s="336">
        <v>3400004646</v>
      </c>
      <c r="Z67" s="372">
        <v>5742925</v>
      </c>
      <c r="AA67" s="336"/>
      <c r="AB67" s="372"/>
      <c r="AC67" s="336"/>
      <c r="AD67" s="372"/>
      <c r="AE67" s="335"/>
      <c r="AF67" s="335"/>
      <c r="AG67" s="335" t="s">
        <v>40173</v>
      </c>
      <c r="AH67" s="335" t="s">
        <v>39945</v>
      </c>
      <c r="AI67" s="337">
        <v>0</v>
      </c>
      <c r="AJ67" s="337">
        <v>0</v>
      </c>
      <c r="AK67" s="337">
        <v>0</v>
      </c>
      <c r="AL67" s="337">
        <v>0</v>
      </c>
      <c r="AM67" s="337">
        <v>0</v>
      </c>
      <c r="AN67" s="337">
        <v>0</v>
      </c>
      <c r="AO67" s="337">
        <v>0</v>
      </c>
      <c r="AP67" s="337">
        <v>0</v>
      </c>
      <c r="AQ67" s="337">
        <v>0</v>
      </c>
      <c r="AR67" s="337"/>
      <c r="AS67" s="337">
        <v>912050</v>
      </c>
      <c r="AT67" s="337">
        <v>0</v>
      </c>
      <c r="AU67" s="381">
        <f>SUM(Tabela10[[#This Row], [jan/26]:[dez/26]])</f>
      </c>
      <c r="AV67" s="381">
        <v>4560250</v>
      </c>
      <c r="AW67" s="337">
        <v>0</v>
      </c>
      <c r="AX67" s="337">
        <v>0</v>
      </c>
      <c r="AY67" s="337">
        <v>0</v>
      </c>
      <c r="AZ67" s="337">
        <f>SUM(Tabela10[[#This Row], [2026]:[2030]])</f>
      </c>
      <c r="BA67" s="337">
        <v>0</v>
      </c>
      <c r="BB67" s="337">
        <v>0</v>
      </c>
      <c r="BC67" s="337">
        <v>0</v>
      </c>
      <c r="BD67" s="337">
        <v>0</v>
      </c>
      <c r="BE67" s="337">
        <v>0</v>
      </c>
      <c r="BF67" s="373">
        <f>SUM(Tabela10[[#This Row], [2026-2030]:[2035]])</f>
      </c>
      <c r="BG67" s="374">
        <f>_xlfn.SEQUENCE(COUNTA(Tabela10[Empresa]),1,1)</f>
      </c>
      <c r="BH67" s="342" t="s">
        <v>41272</v>
      </c>
      <c r="BI67" s="374">
        <f>VLOOKUP(Tabela10[[#This Row], [ID real2]],[2]CONSOLIDADA!$AU:$AZ,6,FALSE)</f>
      </c>
      <c r="BJ67" s="342" t="s">
        <v>41126</v>
      </c>
      <c r="BK67" s="375">
        <v>2026</v>
      </c>
      <c r="BL67" s="342" t="s">
        <v>40174</v>
      </c>
      <c r="BM67" s="375">
        <v>0</v>
      </c>
      <c r="BN67" s="342" t="s">
        <v>41272</v>
      </c>
      <c r="BO67" s="342" t="s">
        <v>41171</v>
      </c>
      <c r="BP67" s="342" t="s">
        <v>41121</v>
      </c>
      <c r="BQ67" s="342" t="s">
        <v>64</v>
      </c>
      <c r="BR67" s="376">
        <v>1000000</v>
      </c>
      <c r="BS67" s="342" t="s">
        <v>41442</v>
      </c>
      <c r="BT67" s="342" t="s">
        <v>41272</v>
      </c>
      <c r="BU67" s="376" t="s">
        <v>41433</v>
      </c>
      <c r="BV67" s="376">
        <f>Tabela10[[#This Row], [Descrição do projeto]]</f>
      </c>
    </row>
    <row x14ac:dyDescent="0.25" r="68" customHeight="1" ht="18.75" hidden="1">
      <c r="A68" s="336">
        <v>352</v>
      </c>
      <c r="B68" s="371">
        <f>AND(ISTEXT('Consolidado-Eletronorte'!#REF!),SUM('Consolidado-Eletronorte'!#REF!)&gt;0)</f>
      </c>
      <c r="C68" s="371">
        <f>$J$13</f>
      </c>
      <c r="D68" s="371">
        <f>$H$13</f>
      </c>
      <c r="E68" s="371">
        <f>$H$14</f>
      </c>
      <c r="F68" s="371">
        <f>_xlfn.CONCAT(Tabela10[[#This Row], [VP]],Tabela10[[#This Row], [Analise Estrategia]])</f>
      </c>
      <c r="G68" s="371">
        <f>_xlfn.CONCAT('Consolidado-Eletronorte'!#REF!,"_",ROW('Consolidado-Eletronorte'!#REF!)-ROW('Consolidado-Eletronorte'!$G$18))</f>
      </c>
      <c r="H68" s="335" t="s">
        <v>10</v>
      </c>
      <c r="I68" s="335" t="s">
        <v>88</v>
      </c>
      <c r="J68" s="335" t="s">
        <v>5</v>
      </c>
      <c r="K68" s="336" t="s">
        <v>21</v>
      </c>
      <c r="L68" s="335" t="s">
        <v>21</v>
      </c>
      <c r="M68" s="335" t="s">
        <v>39932</v>
      </c>
      <c r="N68" s="335"/>
      <c r="O68" s="335"/>
      <c r="P68" s="336" t="s">
        <v>38358</v>
      </c>
      <c r="Q68" s="342" t="s">
        <v>41276</v>
      </c>
      <c r="R68" s="335" t="s">
        <v>40126</v>
      </c>
      <c r="S68" s="342" t="s">
        <v>41276</v>
      </c>
      <c r="T68" s="335" t="s">
        <v>21</v>
      </c>
      <c r="U68" s="335" t="s">
        <v>21</v>
      </c>
      <c r="V68" s="335" t="s">
        <v>39932</v>
      </c>
      <c r="W68" s="335" t="s">
        <v>39932</v>
      </c>
      <c r="X68" s="335"/>
      <c r="Y68" s="336" t="s">
        <v>41222</v>
      </c>
      <c r="Z68" s="372"/>
      <c r="AA68" s="336"/>
      <c r="AB68" s="372"/>
      <c r="AC68" s="336"/>
      <c r="AD68" s="372"/>
      <c r="AE68" s="335"/>
      <c r="AF68" s="335"/>
      <c r="AG68" s="335" t="s">
        <v>40126</v>
      </c>
      <c r="AH68" s="335" t="s">
        <v>39912</v>
      </c>
      <c r="AI68" s="337">
        <v>0</v>
      </c>
      <c r="AJ68" s="337">
        <v>0</v>
      </c>
      <c r="AK68" s="337">
        <v>0</v>
      </c>
      <c r="AL68" s="337">
        <v>0</v>
      </c>
      <c r="AM68" s="337">
        <v>0</v>
      </c>
      <c r="AN68" s="337">
        <v>0</v>
      </c>
      <c r="AO68" s="337">
        <v>0</v>
      </c>
      <c r="AP68" s="337"/>
      <c r="AQ68" s="337"/>
      <c r="AR68" s="337">
        <v>0</v>
      </c>
      <c r="AS68" s="337"/>
      <c r="AT68" s="337">
        <v>0</v>
      </c>
      <c r="AU68" s="381">
        <f>SUM(Tabela10[[#This Row], [jan/26]:[dez/26]])</f>
      </c>
      <c r="AV68" s="381">
        <v>1000000</v>
      </c>
      <c r="AW68" s="381">
        <v>1500000</v>
      </c>
      <c r="AX68" s="337">
        <v>0</v>
      </c>
      <c r="AY68" s="337">
        <v>0</v>
      </c>
      <c r="AZ68" s="337">
        <f>SUM(Tabela10[[#This Row], [2026]:[2030]])</f>
      </c>
      <c r="BA68" s="337">
        <v>0</v>
      </c>
      <c r="BB68" s="337">
        <v>0</v>
      </c>
      <c r="BC68" s="337">
        <v>0</v>
      </c>
      <c r="BD68" s="337">
        <v>0</v>
      </c>
      <c r="BE68" s="337">
        <v>0</v>
      </c>
      <c r="BF68" s="373">
        <f>SUM(Tabela10[[#This Row], [2026-2030]:[2035]])</f>
      </c>
      <c r="BG68" s="374">
        <f>_xlfn.SEQUENCE(COUNTA(Tabela10[Empresa]),1,1)</f>
      </c>
      <c r="BH68" s="342" t="s">
        <v>41276</v>
      </c>
      <c r="BI68" s="374">
        <f>VLOOKUP(Tabela10[[#This Row], [ID real2]],[2]CONSOLIDADA!$AU:$AZ,6,FALSE)</f>
      </c>
      <c r="BJ68" s="342" t="s">
        <v>39956</v>
      </c>
      <c r="BK68" s="375">
        <v>2025</v>
      </c>
      <c r="BL68" s="342" t="s">
        <v>40127</v>
      </c>
      <c r="BM68" s="375" t="s">
        <v>40128</v>
      </c>
      <c r="BN68" s="342" t="s">
        <v>41276</v>
      </c>
      <c r="BO68" s="342" t="s">
        <v>41172</v>
      </c>
      <c r="BP68" s="342" t="s">
        <v>41400</v>
      </c>
      <c r="BQ68" s="342" t="s">
        <v>41123</v>
      </c>
      <c r="BR68" s="376">
        <v>1000000</v>
      </c>
      <c r="BS68" s="342" t="s">
        <v>41419</v>
      </c>
      <c r="BT68" s="342" t="s">
        <v>41276</v>
      </c>
      <c r="BU68" s="376" t="s">
        <v>41404</v>
      </c>
      <c r="BV68" s="376">
        <f>Tabela10[[#This Row], [Descrição do projeto]]</f>
      </c>
    </row>
    <row x14ac:dyDescent="0.25" r="69" customHeight="1" ht="18.75">
      <c r="A69" s="336">
        <v>344</v>
      </c>
      <c r="B69" s="371">
        <f>AND(ISTEXT('Consolidado-Eletronorte'!#REF!),SUM('Consolidado-Eletronorte'!#REF!)&gt;0)</f>
      </c>
      <c r="C69" s="371">
        <f>$J$13</f>
      </c>
      <c r="D69" s="371">
        <f>$H$13</f>
      </c>
      <c r="E69" s="371">
        <f>$H$14</f>
      </c>
      <c r="F69" s="371">
        <f>_xlfn.CONCAT(Tabela10[[#This Row], [VP]],Tabela10[[#This Row], [Analise Estrategia]])</f>
      </c>
      <c r="G69" s="371">
        <f>_xlfn.CONCAT('Consolidado-Eletronorte'!#REF!,"_",ROW('Consolidado-Eletronorte'!#REF!)-ROW('Consolidado-Eletronorte'!$G$18))</f>
      </c>
      <c r="H69" s="335" t="s">
        <v>10</v>
      </c>
      <c r="I69" s="335" t="s">
        <v>88</v>
      </c>
      <c r="J69" s="335" t="s">
        <v>5</v>
      </c>
      <c r="K69" s="336" t="s">
        <v>21</v>
      </c>
      <c r="L69" s="335" t="s">
        <v>21</v>
      </c>
      <c r="M69" s="382" t="s">
        <v>40073</v>
      </c>
      <c r="N69" s="335"/>
      <c r="O69" s="335"/>
      <c r="P69" s="336" t="s">
        <v>38358</v>
      </c>
      <c r="Q69" s="342" t="s">
        <v>41262</v>
      </c>
      <c r="R69" s="335" t="s">
        <v>40074</v>
      </c>
      <c r="S69" s="342" t="s">
        <v>41262</v>
      </c>
      <c r="T69" s="335" t="s">
        <v>21</v>
      </c>
      <c r="U69" s="335" t="s">
        <v>21</v>
      </c>
      <c r="V69" s="335" t="s">
        <v>40073</v>
      </c>
      <c r="W69" s="335" t="s">
        <v>40073</v>
      </c>
      <c r="X69" s="335"/>
      <c r="Y69" s="336"/>
      <c r="Z69" s="372"/>
      <c r="AA69" s="336"/>
      <c r="AB69" s="372"/>
      <c r="AC69" s="336">
        <v>4500079784</v>
      </c>
      <c r="AD69" s="372">
        <v>17163070.89</v>
      </c>
      <c r="AE69" s="335" t="s">
        <v>41449</v>
      </c>
      <c r="AF69" s="335" t="s">
        <v>41199</v>
      </c>
      <c r="AG69" s="335" t="s">
        <v>40075</v>
      </c>
      <c r="AH69" s="335" t="s">
        <v>39912</v>
      </c>
      <c r="AI69" s="337">
        <v>0</v>
      </c>
      <c r="AJ69" s="337">
        <v>0</v>
      </c>
      <c r="AK69" s="337">
        <v>0</v>
      </c>
      <c r="AL69" s="337">
        <v>900000</v>
      </c>
      <c r="AM69" s="337">
        <v>0</v>
      </c>
      <c r="AN69" s="337">
        <v>0</v>
      </c>
      <c r="AO69" s="337">
        <v>0</v>
      </c>
      <c r="AP69" s="337">
        <v>0</v>
      </c>
      <c r="AQ69" s="337">
        <v>900000</v>
      </c>
      <c r="AR69" s="337">
        <v>0</v>
      </c>
      <c r="AS69" s="337">
        <v>0</v>
      </c>
      <c r="AT69" s="337">
        <v>0</v>
      </c>
      <c r="AU69" s="337">
        <f>SUM(Tabela10[[#This Row], [jan/26]:[dez/26]])</f>
      </c>
      <c r="AV69" s="337">
        <v>557200</v>
      </c>
      <c r="AW69" s="337">
        <v>0</v>
      </c>
      <c r="AX69" s="337">
        <v>0</v>
      </c>
      <c r="AY69" s="337">
        <v>0</v>
      </c>
      <c r="AZ69" s="337">
        <f>SUM(Tabela10[[#This Row], [2026]:[2030]])</f>
      </c>
      <c r="BA69" s="337">
        <v>0</v>
      </c>
      <c r="BB69" s="337">
        <v>0</v>
      </c>
      <c r="BC69" s="337">
        <v>0</v>
      </c>
      <c r="BD69" s="337">
        <v>0</v>
      </c>
      <c r="BE69" s="337">
        <v>0</v>
      </c>
      <c r="BF69" s="373">
        <f>SUM(Tabela10[[#This Row], [2026-2030]:[2035]])</f>
      </c>
      <c r="BG69" s="374">
        <f>_xlfn.SEQUENCE(COUNTA(Tabela10[Empresa]),1,1)</f>
      </c>
      <c r="BH69" s="342" t="s">
        <v>41262</v>
      </c>
      <c r="BI69" s="374">
        <f>VLOOKUP(Tabela10[[#This Row], [ID real2]],[2]CONSOLIDADA!$AU:$AZ,6,FALSE)</f>
      </c>
      <c r="BJ69" s="342" t="s">
        <v>41127</v>
      </c>
      <c r="BK69" s="375">
        <v>2025</v>
      </c>
      <c r="BL69" s="342" t="s">
        <v>40076</v>
      </c>
      <c r="BM69" s="375" t="s">
        <v>41450</v>
      </c>
      <c r="BN69" s="342" t="s">
        <v>41262</v>
      </c>
      <c r="BO69" s="342" t="s">
        <v>46</v>
      </c>
      <c r="BP69" s="342" t="s">
        <v>41121</v>
      </c>
      <c r="BQ69" s="342" t="s">
        <v>46</v>
      </c>
      <c r="BR69" s="376">
        <v>1800000</v>
      </c>
      <c r="BS69" s="342" t="s">
        <v>41389</v>
      </c>
      <c r="BT69" s="342" t="s">
        <v>41262</v>
      </c>
      <c r="BU69" s="376" t="s">
        <v>41144</v>
      </c>
      <c r="BV69" s="376">
        <f>Tabela10[[#This Row], [Descrição do projeto]]</f>
      </c>
    </row>
    <row x14ac:dyDescent="0.25" r="70" customHeight="1" ht="18.75" hidden="1">
      <c r="A70" s="336">
        <v>368</v>
      </c>
      <c r="B70" s="371">
        <f>AND(ISTEXT('Consolidado-Eletronorte'!#REF!),SUM('Consolidado-Eletronorte'!#REF!)&gt;0)</f>
      </c>
      <c r="C70" s="371">
        <f>$J$13</f>
      </c>
      <c r="D70" s="371">
        <f>$H$13</f>
      </c>
      <c r="E70" s="371">
        <f>$H$14</f>
      </c>
      <c r="F70" s="371">
        <f>_xlfn.CONCAT(Tabela10[[#This Row], [VP]],Tabela10[[#This Row], [Analise Estrategia]])</f>
      </c>
      <c r="G70" s="371">
        <f>_xlfn.CONCAT('Consolidado-Eletronorte'!#REF!,"_",ROW('Consolidado-Eletronorte'!#REF!)-ROW('Consolidado-Eletronorte'!$G$18))</f>
      </c>
      <c r="H70" s="335" t="s">
        <v>10</v>
      </c>
      <c r="I70" s="335" t="s">
        <v>88</v>
      </c>
      <c r="J70" s="335" t="s">
        <v>5</v>
      </c>
      <c r="K70" s="336" t="s">
        <v>21</v>
      </c>
      <c r="L70" s="335" t="s">
        <v>74</v>
      </c>
      <c r="M70" s="335" t="s">
        <v>40129</v>
      </c>
      <c r="N70" s="335"/>
      <c r="O70" s="335"/>
      <c r="P70" s="336" t="s">
        <v>38358</v>
      </c>
      <c r="Q70" s="342" t="s">
        <v>41284</v>
      </c>
      <c r="R70" s="335" t="s">
        <v>40130</v>
      </c>
      <c r="S70" s="342" t="s">
        <v>41284</v>
      </c>
      <c r="T70" s="335" t="s">
        <v>21</v>
      </c>
      <c r="U70" s="335" t="s">
        <v>74</v>
      </c>
      <c r="V70" s="335" t="s">
        <v>41153</v>
      </c>
      <c r="W70" s="335" t="s">
        <v>41153</v>
      </c>
      <c r="X70" s="335"/>
      <c r="Y70" s="336" t="s">
        <v>41224</v>
      </c>
      <c r="Z70" s="372"/>
      <c r="AA70" s="336"/>
      <c r="AB70" s="372"/>
      <c r="AC70" s="336"/>
      <c r="AD70" s="372"/>
      <c r="AE70" s="335"/>
      <c r="AF70" s="335"/>
      <c r="AG70" s="335" t="s">
        <v>40131</v>
      </c>
      <c r="AH70" s="335" t="s">
        <v>38359</v>
      </c>
      <c r="AI70" s="337">
        <v>0</v>
      </c>
      <c r="AJ70" s="337">
        <v>237500</v>
      </c>
      <c r="AK70" s="337">
        <v>0</v>
      </c>
      <c r="AL70" s="337">
        <v>0</v>
      </c>
      <c r="AM70" s="337">
        <v>237500</v>
      </c>
      <c r="AN70" s="337">
        <v>0</v>
      </c>
      <c r="AO70" s="337">
        <v>0</v>
      </c>
      <c r="AP70" s="337">
        <v>237500</v>
      </c>
      <c r="AQ70" s="337">
        <v>0</v>
      </c>
      <c r="AR70" s="337">
        <v>0</v>
      </c>
      <c r="AS70" s="337">
        <v>237500</v>
      </c>
      <c r="AT70" s="337">
        <v>0</v>
      </c>
      <c r="AU70" s="337">
        <f>SUM(Tabela10[[#This Row], [jan/26]:[dez/26]])</f>
      </c>
      <c r="AV70" s="337">
        <v>1000000</v>
      </c>
      <c r="AW70" s="337">
        <v>100000</v>
      </c>
      <c r="AX70" s="337">
        <v>0</v>
      </c>
      <c r="AY70" s="337">
        <v>0</v>
      </c>
      <c r="AZ70" s="337">
        <f>SUM(Tabela10[[#This Row], [2026]:[2030]])</f>
      </c>
      <c r="BA70" s="337">
        <v>0</v>
      </c>
      <c r="BB70" s="337">
        <v>0</v>
      </c>
      <c r="BC70" s="337">
        <v>0</v>
      </c>
      <c r="BD70" s="337">
        <v>0</v>
      </c>
      <c r="BE70" s="337">
        <v>0</v>
      </c>
      <c r="BF70" s="373">
        <f>SUM(Tabela10[[#This Row], [2026-2030]:[2035]])</f>
      </c>
      <c r="BG70" s="374">
        <f>_xlfn.SEQUENCE(COUNTA(Tabela10[Empresa]),1,1)</f>
      </c>
      <c r="BH70" s="342" t="s">
        <v>41284</v>
      </c>
      <c r="BI70" s="374">
        <f>VLOOKUP(Tabela10[[#This Row], [ID real2]],[2]CONSOLIDADA!$AU:$AZ,6,FALSE)</f>
      </c>
      <c r="BJ70" s="342" t="s">
        <v>40018</v>
      </c>
      <c r="BK70" s="375">
        <v>2025</v>
      </c>
      <c r="BL70" s="342" t="s">
        <v>40132</v>
      </c>
      <c r="BM70" s="375" t="s">
        <v>40133</v>
      </c>
      <c r="BN70" s="342" t="s">
        <v>41284</v>
      </c>
      <c r="BO70" s="342" t="s">
        <v>41171</v>
      </c>
      <c r="BP70" s="342" t="s">
        <v>41400</v>
      </c>
      <c r="BQ70" s="342" t="s">
        <v>64</v>
      </c>
      <c r="BR70" s="376">
        <v>950000</v>
      </c>
      <c r="BS70" s="342" t="s">
        <v>41389</v>
      </c>
      <c r="BT70" s="342" t="s">
        <v>41284</v>
      </c>
      <c r="BU70" s="376" t="s">
        <v>41154</v>
      </c>
      <c r="BV70" s="376">
        <f>Tabela10[[#This Row], [Descrição do projeto]]</f>
      </c>
    </row>
    <row x14ac:dyDescent="0.25" r="71" customHeight="1" ht="18.75">
      <c r="A71" s="336">
        <v>343</v>
      </c>
      <c r="B71" s="371">
        <f>AND(ISTEXT('Consolidado-Eletronorte'!#REF!),SUM('Consolidado-Eletronorte'!#REF!)&gt;0)</f>
      </c>
      <c r="C71" s="371">
        <f>$J$13</f>
      </c>
      <c r="D71" s="371">
        <f>$H$13</f>
      </c>
      <c r="E71" s="371">
        <f>$H$14</f>
      </c>
      <c r="F71" s="371">
        <f>_xlfn.CONCAT(Tabela10[[#This Row], [VP]],Tabela10[[#This Row], [Analise Estrategia]])</f>
      </c>
      <c r="G71" s="371">
        <f>_xlfn.CONCAT('Consolidado-Eletronorte'!#REF!,"_",ROW('Consolidado-Eletronorte'!#REF!)-ROW('Consolidado-Eletronorte'!$G$18))</f>
      </c>
      <c r="H71" s="335" t="s">
        <v>10</v>
      </c>
      <c r="I71" s="335" t="s">
        <v>88</v>
      </c>
      <c r="J71" s="335" t="s">
        <v>5</v>
      </c>
      <c r="K71" s="336" t="s">
        <v>21</v>
      </c>
      <c r="L71" s="335" t="s">
        <v>21</v>
      </c>
      <c r="M71" s="335" t="s">
        <v>40181</v>
      </c>
      <c r="N71" s="335"/>
      <c r="O71" s="335"/>
      <c r="P71" s="336" t="s">
        <v>38358</v>
      </c>
      <c r="Q71" s="342" t="s">
        <v>41291</v>
      </c>
      <c r="R71" s="335" t="s">
        <v>40182</v>
      </c>
      <c r="S71" s="342" t="s">
        <v>41291</v>
      </c>
      <c r="T71" s="335" t="s">
        <v>21</v>
      </c>
      <c r="U71" s="335" t="s">
        <v>21</v>
      </c>
      <c r="V71" s="335" t="s">
        <v>40181</v>
      </c>
      <c r="W71" s="335" t="s">
        <v>40181</v>
      </c>
      <c r="X71" s="335"/>
      <c r="Y71" s="336"/>
      <c r="Z71" s="372"/>
      <c r="AA71" s="336"/>
      <c r="AB71" s="372"/>
      <c r="AC71" s="336">
        <v>4500057018</v>
      </c>
      <c r="AD71" s="372">
        <v>25431614.67</v>
      </c>
      <c r="AE71" s="335" t="s">
        <v>41451</v>
      </c>
      <c r="AF71" s="335" t="s">
        <v>41191</v>
      </c>
      <c r="AG71" s="335" t="s">
        <v>40183</v>
      </c>
      <c r="AH71" s="335" t="s">
        <v>39912</v>
      </c>
      <c r="AI71" s="337">
        <v>0</v>
      </c>
      <c r="AJ71" s="337">
        <v>0</v>
      </c>
      <c r="AK71" s="337">
        <v>0</v>
      </c>
      <c r="AL71" s="337">
        <v>0</v>
      </c>
      <c r="AM71" s="337">
        <v>0</v>
      </c>
      <c r="AN71" s="337">
        <v>0</v>
      </c>
      <c r="AO71" s="337">
        <v>500000</v>
      </c>
      <c r="AP71" s="337">
        <v>0</v>
      </c>
      <c r="AQ71" s="337">
        <v>0</v>
      </c>
      <c r="AR71" s="337">
        <v>500000</v>
      </c>
      <c r="AS71" s="337">
        <v>0</v>
      </c>
      <c r="AT71" s="337">
        <v>500000</v>
      </c>
      <c r="AU71" s="337">
        <f>SUM(Tabela10[[#This Row], [jan/26]:[dez/26]])</f>
      </c>
      <c r="AV71" s="337">
        <v>500000</v>
      </c>
      <c r="AW71" s="337">
        <v>0</v>
      </c>
      <c r="AX71" s="337">
        <v>0</v>
      </c>
      <c r="AY71" s="337">
        <v>0</v>
      </c>
      <c r="AZ71" s="337">
        <f>SUM(Tabela10[[#This Row], [2026]:[2030]])</f>
      </c>
      <c r="BA71" s="337">
        <v>0</v>
      </c>
      <c r="BB71" s="337">
        <v>0</v>
      </c>
      <c r="BC71" s="337">
        <v>0</v>
      </c>
      <c r="BD71" s="337">
        <v>0</v>
      </c>
      <c r="BE71" s="337">
        <v>0</v>
      </c>
      <c r="BF71" s="373">
        <f>SUM(Tabela10[[#This Row], [2026-2030]:[2035]])</f>
      </c>
      <c r="BG71" s="374">
        <f>_xlfn.SEQUENCE(COUNTA(Tabela10[Empresa]),1,1)</f>
      </c>
      <c r="BH71" s="342" t="s">
        <v>41291</v>
      </c>
      <c r="BI71" s="374">
        <f>VLOOKUP(Tabela10[[#This Row], [ID real2]],[2]CONSOLIDADA!$AU:$AZ,6,FALSE)</f>
      </c>
      <c r="BJ71" s="342" t="s">
        <v>41127</v>
      </c>
      <c r="BK71" s="375">
        <v>2025</v>
      </c>
      <c r="BL71" s="342" t="s">
        <v>40184</v>
      </c>
      <c r="BM71" s="375" t="s">
        <v>41452</v>
      </c>
      <c r="BN71" s="342" t="s">
        <v>41291</v>
      </c>
      <c r="BO71" s="342" t="s">
        <v>46</v>
      </c>
      <c r="BP71" s="342" t="s">
        <v>41121</v>
      </c>
      <c r="BQ71" s="342" t="s">
        <v>46</v>
      </c>
      <c r="BR71" s="376">
        <v>500000</v>
      </c>
      <c r="BS71" s="342" t="s">
        <v>41385</v>
      </c>
      <c r="BT71" s="342" t="s">
        <v>41291</v>
      </c>
      <c r="BU71" s="376" t="s">
        <v>41144</v>
      </c>
      <c r="BV71" s="376">
        <f>Tabela10[[#This Row], [Descrição do projeto]]</f>
      </c>
    </row>
    <row x14ac:dyDescent="0.25" r="72" customHeight="1" ht="18.75" hidden="1">
      <c r="A72" s="336">
        <v>371</v>
      </c>
      <c r="B72" s="371">
        <f>AND(ISTEXT('Consolidado-Eletronorte'!#REF!),SUM('Consolidado-Eletronorte'!#REF!)&gt;0)</f>
      </c>
      <c r="C72" s="371">
        <f>$J$13</f>
      </c>
      <c r="D72" s="371">
        <f>$H$13</f>
      </c>
      <c r="E72" s="371">
        <f>$H$14</f>
      </c>
      <c r="F72" s="371">
        <f>_xlfn.CONCAT(Tabela10[[#This Row], [VP]],Tabela10[[#This Row], [Analise Estrategia]])</f>
      </c>
      <c r="G72" s="371">
        <f>_xlfn.CONCAT('Consolidado-Eletronorte'!#REF!,"_",ROW('Consolidado-Eletronorte'!#REF!)-ROW('Consolidado-Eletronorte'!$G$18))</f>
      </c>
      <c r="H72" s="335" t="s">
        <v>10</v>
      </c>
      <c r="I72" s="335" t="s">
        <v>88</v>
      </c>
      <c r="J72" s="335" t="s">
        <v>5</v>
      </c>
      <c r="K72" s="336" t="s">
        <v>21</v>
      </c>
      <c r="L72" s="335" t="s">
        <v>21</v>
      </c>
      <c r="M72" s="335" t="s">
        <v>39949</v>
      </c>
      <c r="N72" s="335"/>
      <c r="O72" s="335"/>
      <c r="P72" s="336" t="s">
        <v>38358</v>
      </c>
      <c r="Q72" s="342" t="s">
        <v>41301</v>
      </c>
      <c r="R72" s="335" t="s">
        <v>41227</v>
      </c>
      <c r="S72" s="342" t="s">
        <v>41301</v>
      </c>
      <c r="T72" s="335" t="s">
        <v>21</v>
      </c>
      <c r="U72" s="335" t="s">
        <v>21</v>
      </c>
      <c r="V72" s="335" t="s">
        <v>39949</v>
      </c>
      <c r="W72" s="335" t="s">
        <v>39949</v>
      </c>
      <c r="X72" s="335"/>
      <c r="Y72" s="336">
        <v>3400004230</v>
      </c>
      <c r="Z72" s="372">
        <v>2000000</v>
      </c>
      <c r="AA72" s="336"/>
      <c r="AB72" s="372"/>
      <c r="AC72" s="336"/>
      <c r="AD72" s="372"/>
      <c r="AE72" s="335"/>
      <c r="AF72" s="335"/>
      <c r="AG72" s="335" t="s">
        <v>18828</v>
      </c>
      <c r="AH72" s="335" t="s">
        <v>39912</v>
      </c>
      <c r="AI72" s="337">
        <v>0</v>
      </c>
      <c r="AJ72" s="337">
        <v>0</v>
      </c>
      <c r="AK72" s="337">
        <v>0</v>
      </c>
      <c r="AL72" s="337">
        <v>0</v>
      </c>
      <c r="AM72" s="337">
        <v>0</v>
      </c>
      <c r="AN72" s="337">
        <v>0</v>
      </c>
      <c r="AO72" s="337">
        <v>0</v>
      </c>
      <c r="AP72" s="337">
        <v>0</v>
      </c>
      <c r="AQ72" s="337">
        <v>0</v>
      </c>
      <c r="AR72" s="337">
        <v>0</v>
      </c>
      <c r="AS72" s="337"/>
      <c r="AT72" s="337">
        <v>0</v>
      </c>
      <c r="AU72" s="337">
        <f>SUM(Tabela10[[#This Row], [jan/26]:[dez/26]])</f>
      </c>
      <c r="AV72" s="381">
        <v>1000000</v>
      </c>
      <c r="AW72" s="381">
        <v>1000000</v>
      </c>
      <c r="AX72" s="337">
        <v>0</v>
      </c>
      <c r="AY72" s="337">
        <v>0</v>
      </c>
      <c r="AZ72" s="337">
        <f>SUM(Tabela10[[#This Row], [2026]:[2030]])</f>
      </c>
      <c r="BA72" s="337">
        <v>0</v>
      </c>
      <c r="BB72" s="337">
        <v>0</v>
      </c>
      <c r="BC72" s="337">
        <v>0</v>
      </c>
      <c r="BD72" s="337">
        <v>0</v>
      </c>
      <c r="BE72" s="337">
        <v>0</v>
      </c>
      <c r="BF72" s="373">
        <f>SUM(Tabela10[[#This Row], [2026-2030]:[2035]])</f>
      </c>
      <c r="BG72" s="374">
        <f>_xlfn.SEQUENCE(COUNTA(Tabela10[Empresa]),1,1)</f>
      </c>
      <c r="BH72" s="342" t="s">
        <v>41301</v>
      </c>
      <c r="BI72" s="374">
        <f>VLOOKUP(Tabela10[[#This Row], [ID real2]],[2]CONSOLIDADA!$AU:$AZ,6,FALSE)</f>
      </c>
      <c r="BJ72" s="342" t="s">
        <v>41127</v>
      </c>
      <c r="BK72" s="375">
        <v>2025</v>
      </c>
      <c r="BL72" s="342" t="s">
        <v>40235</v>
      </c>
      <c r="BM72" s="375" t="s">
        <v>40098</v>
      </c>
      <c r="BN72" s="342" t="s">
        <v>41301</v>
      </c>
      <c r="BO72" s="342" t="s">
        <v>41173</v>
      </c>
      <c r="BP72" s="342" t="s">
        <v>41400</v>
      </c>
      <c r="BQ72" s="342" t="s">
        <v>64</v>
      </c>
      <c r="BR72" s="376">
        <v>300000</v>
      </c>
      <c r="BS72" s="342" t="s">
        <v>41419</v>
      </c>
      <c r="BT72" s="342" t="s">
        <v>41301</v>
      </c>
      <c r="BU72" s="376" t="s">
        <v>41144</v>
      </c>
      <c r="BV72" s="376">
        <f>Tabela10[[#This Row], [Descrição do projeto]]</f>
      </c>
    </row>
    <row x14ac:dyDescent="0.25" r="73" customHeight="1" ht="18.75">
      <c r="A73" s="336">
        <v>358</v>
      </c>
      <c r="B73" s="371">
        <f>AND(ISTEXT('Consolidado-Eletronorte'!#REF!),SUM('Consolidado-Eletronorte'!#REF!)&gt;0)</f>
      </c>
      <c r="C73" s="371">
        <f>$J$13</f>
      </c>
      <c r="D73" s="371">
        <f>$H$13</f>
      </c>
      <c r="E73" s="371">
        <f>$H$14</f>
      </c>
      <c r="F73" s="371">
        <f>_xlfn.CONCAT(Tabela10[[#This Row], [VP]],Tabela10[[#This Row], [Analise Estrategia]])</f>
      </c>
      <c r="G73" s="371">
        <f>_xlfn.CONCAT('Consolidado-Eletronorte'!#REF!,"_",ROW('Consolidado-Eletronorte'!#REF!)-ROW('Consolidado-Eletronorte'!$G$18))</f>
      </c>
      <c r="H73" s="335" t="s">
        <v>10</v>
      </c>
      <c r="I73" s="335" t="s">
        <v>88</v>
      </c>
      <c r="J73" s="335" t="s">
        <v>5</v>
      </c>
      <c r="K73" s="336" t="s">
        <v>21</v>
      </c>
      <c r="L73" s="335" t="s">
        <v>21</v>
      </c>
      <c r="M73" s="382" t="s">
        <v>39932</v>
      </c>
      <c r="N73" s="335"/>
      <c r="O73" s="335"/>
      <c r="P73" s="336" t="s">
        <v>38358</v>
      </c>
      <c r="Q73" s="342" t="s">
        <v>41295</v>
      </c>
      <c r="R73" s="384" t="s">
        <v>41453</v>
      </c>
      <c r="S73" s="342" t="s">
        <v>41295</v>
      </c>
      <c r="T73" s="335" t="s">
        <v>21</v>
      </c>
      <c r="U73" s="335" t="s">
        <v>21</v>
      </c>
      <c r="V73" s="335" t="s">
        <v>39932</v>
      </c>
      <c r="W73" s="335" t="s">
        <v>39932</v>
      </c>
      <c r="X73" s="335" t="s">
        <v>41454</v>
      </c>
      <c r="Y73" s="336"/>
      <c r="Z73" s="372"/>
      <c r="AA73" s="336">
        <v>4600001418</v>
      </c>
      <c r="AB73" s="372">
        <v>524134.78</v>
      </c>
      <c r="AC73" s="336">
        <v>4500095158</v>
      </c>
      <c r="AD73" s="372">
        <v>524134.78</v>
      </c>
      <c r="AE73" s="335" t="s">
        <v>41455</v>
      </c>
      <c r="AF73" s="384" t="s">
        <v>41456</v>
      </c>
      <c r="AG73" s="335" t="s">
        <v>40176</v>
      </c>
      <c r="AH73" s="335" t="s">
        <v>39912</v>
      </c>
      <c r="AI73" s="337">
        <v>0</v>
      </c>
      <c r="AJ73" s="337">
        <v>0</v>
      </c>
      <c r="AK73" s="337">
        <v>0</v>
      </c>
      <c r="AL73" s="337">
        <v>0</v>
      </c>
      <c r="AM73" s="337"/>
      <c r="AN73" s="337">
        <v>0</v>
      </c>
      <c r="AO73" s="337"/>
      <c r="AP73" s="337">
        <v>0</v>
      </c>
      <c r="AQ73" s="337"/>
      <c r="AR73" s="337">
        <v>0</v>
      </c>
      <c r="AS73" s="337">
        <v>0</v>
      </c>
      <c r="AT73" s="337">
        <v>250000</v>
      </c>
      <c r="AU73" s="381">
        <f>SUM(Tabela10[[#This Row], [jan/26]:[dez/26]])</f>
      </c>
      <c r="AV73" s="381">
        <v>900000</v>
      </c>
      <c r="AW73" s="381">
        <v>750000</v>
      </c>
      <c r="AX73" s="337">
        <v>0</v>
      </c>
      <c r="AY73" s="337">
        <v>0</v>
      </c>
      <c r="AZ73" s="337">
        <f>SUM(Tabela10[[#This Row], [2026]:[2030]])</f>
      </c>
      <c r="BA73" s="337">
        <v>0</v>
      </c>
      <c r="BB73" s="337">
        <v>0</v>
      </c>
      <c r="BC73" s="337">
        <v>0</v>
      </c>
      <c r="BD73" s="337">
        <v>0</v>
      </c>
      <c r="BE73" s="337">
        <v>0</v>
      </c>
      <c r="BF73" s="373">
        <f>SUM(Tabela10[[#This Row], [2026-2030]:[2035]])</f>
      </c>
      <c r="BG73" s="374">
        <f>_xlfn.SEQUENCE(COUNTA(Tabela10[Empresa]),1,1)</f>
      </c>
      <c r="BH73" s="342" t="s">
        <v>41295</v>
      </c>
      <c r="BI73" s="374">
        <f>VLOOKUP(Tabela10[[#This Row], [ID real2]],[2]CONSOLIDADA!$AU:$AZ,6,FALSE)</f>
      </c>
      <c r="BJ73" s="342" t="s">
        <v>39935</v>
      </c>
      <c r="BK73" s="375">
        <v>2025</v>
      </c>
      <c r="BL73" s="342" t="s">
        <v>40177</v>
      </c>
      <c r="BM73" s="375" t="s">
        <v>40178</v>
      </c>
      <c r="BN73" s="342" t="s">
        <v>41295</v>
      </c>
      <c r="BO73" s="342" t="s">
        <v>46</v>
      </c>
      <c r="BP73" s="342" t="s">
        <v>41400</v>
      </c>
      <c r="BQ73" s="342" t="s">
        <v>41123</v>
      </c>
      <c r="BR73" s="376">
        <v>1000000</v>
      </c>
      <c r="BS73" s="342" t="s">
        <v>41395</v>
      </c>
      <c r="BT73" s="342" t="s">
        <v>41295</v>
      </c>
      <c r="BU73" s="376" t="s">
        <v>41399</v>
      </c>
      <c r="BV73" s="376">
        <f>Tabela10[[#This Row], [Descrição do projeto]]</f>
      </c>
    </row>
    <row x14ac:dyDescent="0.25" r="74" customHeight="1" ht="18.75">
      <c r="A74" s="336">
        <v>359</v>
      </c>
      <c r="B74" s="371">
        <f>AND(ISTEXT('Consolidado-Eletronorte'!#REF!),SUM('Consolidado-Eletronorte'!#REF!)&gt;0)</f>
      </c>
      <c r="C74" s="371">
        <f>$J$13</f>
      </c>
      <c r="D74" s="371">
        <f>$H$13</f>
      </c>
      <c r="E74" s="371">
        <f>$H$14</f>
      </c>
      <c r="F74" s="371">
        <f>_xlfn.CONCAT(Tabela10[[#This Row], [VP]],Tabela10[[#This Row], [Analise Estrategia]])</f>
      </c>
      <c r="G74" s="371">
        <f>_xlfn.CONCAT('Consolidado-Eletronorte'!#REF!,"_",ROW('Consolidado-Eletronorte'!#REF!)-ROW('Consolidado-Eletronorte'!$G$18))</f>
      </c>
      <c r="H74" s="335" t="s">
        <v>10</v>
      </c>
      <c r="I74" s="335" t="s">
        <v>88</v>
      </c>
      <c r="J74" s="335" t="s">
        <v>5</v>
      </c>
      <c r="K74" s="336" t="s">
        <v>21</v>
      </c>
      <c r="L74" s="335" t="s">
        <v>21</v>
      </c>
      <c r="M74" s="335" t="s">
        <v>39917</v>
      </c>
      <c r="N74" s="335"/>
      <c r="O74" s="335"/>
      <c r="P74" s="336" t="s">
        <v>38358</v>
      </c>
      <c r="Q74" s="342" t="s">
        <v>41297</v>
      </c>
      <c r="R74" s="387" t="s">
        <v>41457</v>
      </c>
      <c r="S74" s="342" t="s">
        <v>41297</v>
      </c>
      <c r="T74" s="335" t="s">
        <v>21</v>
      </c>
      <c r="U74" s="335" t="s">
        <v>21</v>
      </c>
      <c r="V74" s="335" t="s">
        <v>39932</v>
      </c>
      <c r="W74" s="335" t="s">
        <v>39932</v>
      </c>
      <c r="X74" s="335"/>
      <c r="Y74" s="336"/>
      <c r="Z74" s="372"/>
      <c r="AA74" s="336"/>
      <c r="AB74" s="372"/>
      <c r="AC74" s="336">
        <v>4500084143</v>
      </c>
      <c r="AD74" s="372">
        <v>383076.64</v>
      </c>
      <c r="AE74" s="335" t="s">
        <v>41458</v>
      </c>
      <c r="AF74" s="335" t="s">
        <v>41195</v>
      </c>
      <c r="AG74" s="335" t="s">
        <v>40179</v>
      </c>
      <c r="AH74" s="335" t="s">
        <v>39912</v>
      </c>
      <c r="AI74" s="337">
        <v>0</v>
      </c>
      <c r="AJ74" s="337">
        <v>0</v>
      </c>
      <c r="AK74" s="337">
        <v>0</v>
      </c>
      <c r="AL74" s="337">
        <v>0</v>
      </c>
      <c r="AM74" s="337">
        <v>0</v>
      </c>
      <c r="AN74" s="337"/>
      <c r="AO74" s="337">
        <v>0</v>
      </c>
      <c r="AP74" s="337"/>
      <c r="AQ74" s="337">
        <v>0</v>
      </c>
      <c r="AR74" s="337"/>
      <c r="AS74" s="337">
        <v>0</v>
      </c>
      <c r="AT74" s="337">
        <v>150000</v>
      </c>
      <c r="AU74" s="381">
        <f>SUM(Tabela10[[#This Row], [jan/26]:[dez/26]])</f>
      </c>
      <c r="AV74" s="381">
        <v>900000</v>
      </c>
      <c r="AW74" s="381">
        <v>850000</v>
      </c>
      <c r="AX74" s="337">
        <v>0</v>
      </c>
      <c r="AY74" s="337">
        <v>0</v>
      </c>
      <c r="AZ74" s="337">
        <f>SUM(Tabela10[[#This Row], [2026]:[2030]])</f>
      </c>
      <c r="BA74" s="337">
        <v>0</v>
      </c>
      <c r="BB74" s="337">
        <v>0</v>
      </c>
      <c r="BC74" s="337">
        <v>0</v>
      </c>
      <c r="BD74" s="337">
        <v>0</v>
      </c>
      <c r="BE74" s="337">
        <v>0</v>
      </c>
      <c r="BF74" s="373">
        <f>SUM(Tabela10[[#This Row], [2026-2030]:[2035]])</f>
      </c>
      <c r="BG74" s="374">
        <f>_xlfn.SEQUENCE(COUNTA(Tabela10[Empresa]),1,1)</f>
      </c>
      <c r="BH74" s="342" t="s">
        <v>41297</v>
      </c>
      <c r="BI74" s="374">
        <f>VLOOKUP(Tabela10[[#This Row], [ID real2]],[2]CONSOLIDADA!$AU:$AZ,6,FALSE)</f>
      </c>
      <c r="BJ74" s="342" t="s">
        <v>39935</v>
      </c>
      <c r="BK74" s="375">
        <v>2025</v>
      </c>
      <c r="BL74" s="342" t="s">
        <v>40177</v>
      </c>
      <c r="BM74" s="375" t="s">
        <v>40178</v>
      </c>
      <c r="BN74" s="342" t="s">
        <v>41297</v>
      </c>
      <c r="BO74" s="342" t="s">
        <v>46</v>
      </c>
      <c r="BP74" s="342" t="s">
        <v>41400</v>
      </c>
      <c r="BQ74" s="342" t="s">
        <v>41123</v>
      </c>
      <c r="BR74" s="376">
        <v>1000000</v>
      </c>
      <c r="BS74" s="342" t="s">
        <v>41459</v>
      </c>
      <c r="BT74" s="342" t="s">
        <v>41297</v>
      </c>
      <c r="BU74" s="376" t="s">
        <v>41399</v>
      </c>
      <c r="BV74" s="376">
        <f>Tabela10[[#This Row], [Descrição do projeto]]</f>
      </c>
    </row>
    <row x14ac:dyDescent="0.25" r="75" customHeight="1" ht="18.75">
      <c r="A75" s="336">
        <v>360</v>
      </c>
      <c r="B75" s="371">
        <f>AND(ISTEXT('Consolidado-Eletronorte'!#REF!),SUM('Consolidado-Eletronorte'!#REF!)&gt;0)</f>
      </c>
      <c r="C75" s="371">
        <f>$J$13</f>
      </c>
      <c r="D75" s="371">
        <f>$H$13</f>
      </c>
      <c r="E75" s="371">
        <f>$H$14</f>
      </c>
      <c r="F75" s="371">
        <f>_xlfn.CONCAT(Tabela10[[#This Row], [VP]],Tabela10[[#This Row], [Analise Estrategia]])</f>
      </c>
      <c r="G75" s="371">
        <f>_xlfn.CONCAT('Consolidado-Eletronorte'!#REF!,"_",ROW('Consolidado-Eletronorte'!#REF!)-ROW('Consolidado-Eletronorte'!$G$18))</f>
      </c>
      <c r="H75" s="335" t="s">
        <v>10</v>
      </c>
      <c r="I75" s="335" t="s">
        <v>88</v>
      </c>
      <c r="J75" s="335" t="s">
        <v>5</v>
      </c>
      <c r="K75" s="336" t="s">
        <v>21</v>
      </c>
      <c r="L75" s="335" t="s">
        <v>21</v>
      </c>
      <c r="M75" s="382" t="s">
        <v>39932</v>
      </c>
      <c r="N75" s="335"/>
      <c r="O75" s="335"/>
      <c r="P75" s="336" t="s">
        <v>38358</v>
      </c>
      <c r="Q75" s="342" t="s">
        <v>41300</v>
      </c>
      <c r="R75" s="384" t="s">
        <v>41460</v>
      </c>
      <c r="S75" s="342" t="s">
        <v>41300</v>
      </c>
      <c r="T75" s="335" t="s">
        <v>21</v>
      </c>
      <c r="U75" s="335" t="s">
        <v>21</v>
      </c>
      <c r="V75" s="335" t="s">
        <v>39932</v>
      </c>
      <c r="W75" s="335" t="s">
        <v>39932</v>
      </c>
      <c r="X75" s="335"/>
      <c r="Y75" s="336"/>
      <c r="Z75" s="372"/>
      <c r="AA75" s="336"/>
      <c r="AB75" s="372"/>
      <c r="AC75" s="336">
        <v>4500083316</v>
      </c>
      <c r="AD75" s="372">
        <v>1716504.33</v>
      </c>
      <c r="AE75" s="335" t="s">
        <v>41461</v>
      </c>
      <c r="AF75" s="335" t="s">
        <v>41204</v>
      </c>
      <c r="AG75" s="335" t="s">
        <v>40180</v>
      </c>
      <c r="AH75" s="335" t="s">
        <v>39912</v>
      </c>
      <c r="AI75" s="337">
        <v>0</v>
      </c>
      <c r="AJ75" s="337">
        <v>0</v>
      </c>
      <c r="AK75" s="337">
        <v>0</v>
      </c>
      <c r="AL75" s="337">
        <v>0</v>
      </c>
      <c r="AM75" s="337"/>
      <c r="AN75" s="337">
        <v>0</v>
      </c>
      <c r="AO75" s="337"/>
      <c r="AP75" s="337">
        <v>0</v>
      </c>
      <c r="AQ75" s="337"/>
      <c r="AR75" s="337">
        <v>0</v>
      </c>
      <c r="AS75" s="337">
        <v>0</v>
      </c>
      <c r="AT75" s="337">
        <v>200000</v>
      </c>
      <c r="AU75" s="381">
        <f>SUM(Tabela10[[#This Row], [jan/26]:[dez/26]])</f>
      </c>
      <c r="AV75" s="381">
        <v>900000</v>
      </c>
      <c r="AW75" s="381">
        <v>800000</v>
      </c>
      <c r="AX75" s="337">
        <v>0</v>
      </c>
      <c r="AY75" s="337">
        <v>0</v>
      </c>
      <c r="AZ75" s="337">
        <f>SUM(Tabela10[[#This Row], [2026]:[2030]])</f>
      </c>
      <c r="BA75" s="337">
        <v>0</v>
      </c>
      <c r="BB75" s="337">
        <v>0</v>
      </c>
      <c r="BC75" s="337">
        <v>0</v>
      </c>
      <c r="BD75" s="337">
        <v>0</v>
      </c>
      <c r="BE75" s="337">
        <v>0</v>
      </c>
      <c r="BF75" s="373">
        <f>SUM(Tabela10[[#This Row], [2026-2030]:[2035]])</f>
      </c>
      <c r="BG75" s="374">
        <f>_xlfn.SEQUENCE(COUNTA(Tabela10[Empresa]),1,1)</f>
      </c>
      <c r="BH75" s="342" t="s">
        <v>41300</v>
      </c>
      <c r="BI75" s="374">
        <f>VLOOKUP(Tabela10[[#This Row], [ID real2]],[2]CONSOLIDADA!$AU:$AZ,6,FALSE)</f>
      </c>
      <c r="BJ75" s="342" t="s">
        <v>41127</v>
      </c>
      <c r="BK75" s="375">
        <v>2025</v>
      </c>
      <c r="BL75" s="342" t="s">
        <v>40177</v>
      </c>
      <c r="BM75" s="375" t="s">
        <v>40178</v>
      </c>
      <c r="BN75" s="342" t="s">
        <v>41300</v>
      </c>
      <c r="BO75" s="342" t="s">
        <v>46</v>
      </c>
      <c r="BP75" s="342" t="s">
        <v>41400</v>
      </c>
      <c r="BQ75" s="342" t="s">
        <v>41123</v>
      </c>
      <c r="BR75" s="376">
        <v>1000000</v>
      </c>
      <c r="BS75" s="342" t="s">
        <v>41462</v>
      </c>
      <c r="BT75" s="342" t="s">
        <v>41300</v>
      </c>
      <c r="BU75" s="376" t="s">
        <v>41144</v>
      </c>
      <c r="BV75" s="376">
        <f>Tabela10[[#This Row], [Descrição do projeto]]</f>
      </c>
    </row>
    <row x14ac:dyDescent="0.25" r="76" customHeight="1" ht="18.75">
      <c r="A76" s="336">
        <v>266</v>
      </c>
      <c r="B76" s="371">
        <f>AND(ISTEXT('Consolidado-Eletronorte'!#REF!),SUM('Consolidado-Eletronorte'!#REF!)&gt;0)</f>
      </c>
      <c r="C76" s="371">
        <f>$J$13</f>
      </c>
      <c r="D76" s="371">
        <f>$H$13</f>
      </c>
      <c r="E76" s="371">
        <f>$H$14</f>
      </c>
      <c r="F76" s="371">
        <f>_xlfn.CONCAT(Tabela10[[#This Row], [VP]],Tabela10[[#This Row], [Analise Estrategia]])</f>
      </c>
      <c r="G76" s="371">
        <f>_xlfn.CONCAT('Consolidado-Eletronorte'!#REF!,"_",ROW('Consolidado-Eletronorte'!#REF!)-ROW('Consolidado-Eletronorte'!$G$18))</f>
      </c>
      <c r="H76" s="335" t="s">
        <v>10</v>
      </c>
      <c r="I76" s="335" t="s">
        <v>88</v>
      </c>
      <c r="J76" s="335" t="s">
        <v>5</v>
      </c>
      <c r="K76" s="336" t="s">
        <v>21</v>
      </c>
      <c r="L76" s="335" t="s">
        <v>21</v>
      </c>
      <c r="M76" s="382" t="s">
        <v>39932</v>
      </c>
      <c r="N76" s="335"/>
      <c r="O76" s="335"/>
      <c r="P76" s="336" t="s">
        <v>38358</v>
      </c>
      <c r="Q76" s="342" t="s">
        <v>41256</v>
      </c>
      <c r="R76" s="335" t="s">
        <v>40103</v>
      </c>
      <c r="S76" s="342" t="s">
        <v>41256</v>
      </c>
      <c r="T76" s="335" t="s">
        <v>21</v>
      </c>
      <c r="U76" s="335" t="s">
        <v>21</v>
      </c>
      <c r="V76" s="335" t="s">
        <v>39932</v>
      </c>
      <c r="W76" s="335" t="s">
        <v>39932</v>
      </c>
      <c r="X76" s="335"/>
      <c r="Y76" s="336"/>
      <c r="Z76" s="372"/>
      <c r="AA76" s="336"/>
      <c r="AB76" s="372"/>
      <c r="AC76" s="336">
        <v>4500084896</v>
      </c>
      <c r="AD76" s="372">
        <v>492570.72</v>
      </c>
      <c r="AE76" s="335" t="s">
        <v>41463</v>
      </c>
      <c r="AF76" s="335" t="s">
        <v>41206</v>
      </c>
      <c r="AG76" s="335" t="s">
        <v>40104</v>
      </c>
      <c r="AH76" s="335" t="s">
        <v>39912</v>
      </c>
      <c r="AI76" s="337">
        <v>0</v>
      </c>
      <c r="AJ76" s="337">
        <v>0</v>
      </c>
      <c r="AK76" s="337">
        <v>300000</v>
      </c>
      <c r="AL76" s="337">
        <v>0</v>
      </c>
      <c r="AM76" s="337">
        <v>0</v>
      </c>
      <c r="AN76" s="337">
        <v>424336</v>
      </c>
      <c r="AO76" s="337">
        <v>0</v>
      </c>
      <c r="AP76" s="337">
        <v>400000</v>
      </c>
      <c r="AQ76" s="337">
        <v>0</v>
      </c>
      <c r="AR76" s="337">
        <v>0</v>
      </c>
      <c r="AS76" s="337">
        <v>0</v>
      </c>
      <c r="AT76" s="337">
        <v>700000</v>
      </c>
      <c r="AU76" s="337">
        <f>SUM(Tabela10[[#This Row], [jan/26]:[dez/26]])</f>
      </c>
      <c r="AV76" s="337">
        <v>0</v>
      </c>
      <c r="AW76" s="337">
        <v>0</v>
      </c>
      <c r="AX76" s="337">
        <v>0</v>
      </c>
      <c r="AY76" s="337">
        <v>0</v>
      </c>
      <c r="AZ76" s="337">
        <f>SUM(Tabela10[[#This Row], [2026]:[2030]])</f>
      </c>
      <c r="BA76" s="337">
        <v>0</v>
      </c>
      <c r="BB76" s="337">
        <v>0</v>
      </c>
      <c r="BC76" s="337">
        <v>0</v>
      </c>
      <c r="BD76" s="337">
        <v>0</v>
      </c>
      <c r="BE76" s="337">
        <v>0</v>
      </c>
      <c r="BF76" s="373">
        <f>SUM(Tabela10[[#This Row], [2026-2030]:[2035]])</f>
      </c>
      <c r="BG76" s="374">
        <f>_xlfn.SEQUENCE(COUNTA(Tabela10[Empresa]),1,1)</f>
      </c>
      <c r="BH76" s="342" t="s">
        <v>41256</v>
      </c>
      <c r="BI76" s="374">
        <f>VLOOKUP(Tabela10[[#This Row], [ID real2]],[2]CONSOLIDADA!$AU:$AZ,6,FALSE)</f>
      </c>
      <c r="BJ76" s="342" t="s">
        <v>39956</v>
      </c>
      <c r="BK76" s="375">
        <v>2025</v>
      </c>
      <c r="BL76" s="342" t="s">
        <v>40105</v>
      </c>
      <c r="BM76" s="375" t="s">
        <v>40106</v>
      </c>
      <c r="BN76" s="342" t="s">
        <v>41256</v>
      </c>
      <c r="BO76" s="342" t="s">
        <v>46</v>
      </c>
      <c r="BP76" s="342" t="s">
        <v>41394</v>
      </c>
      <c r="BQ76" s="342" t="s">
        <v>41123</v>
      </c>
      <c r="BR76" s="376">
        <v>1824336</v>
      </c>
      <c r="BS76" s="342" t="s">
        <v>41389</v>
      </c>
      <c r="BT76" s="342" t="s">
        <v>41256</v>
      </c>
      <c r="BU76" s="376" t="s">
        <v>41404</v>
      </c>
      <c r="BV76" s="376">
        <f>Tabela10[[#This Row], [Descrição do projeto]]</f>
      </c>
    </row>
    <row x14ac:dyDescent="0.25" r="77" customHeight="1" ht="18.75">
      <c r="A77" s="336">
        <v>267</v>
      </c>
      <c r="B77" s="371">
        <f>AND(ISTEXT('Consolidado-Eletronorte'!#REF!),SUM('Consolidado-Eletronorte'!#REF!)&gt;0)</f>
      </c>
      <c r="C77" s="371">
        <f>$J$13</f>
      </c>
      <c r="D77" s="371">
        <f>$H$13</f>
      </c>
      <c r="E77" s="371">
        <f>$H$14</f>
      </c>
      <c r="F77" s="371">
        <f>_xlfn.CONCAT(Tabela10[[#This Row], [VP]],Tabela10[[#This Row], [Analise Estrategia]])</f>
      </c>
      <c r="G77" s="371">
        <f>_xlfn.CONCAT('Consolidado-Eletronorte'!#REF!,"_",ROW('Consolidado-Eletronorte'!#REF!)-ROW('Consolidado-Eletronorte'!$G$18))</f>
      </c>
      <c r="H77" s="335" t="s">
        <v>10</v>
      </c>
      <c r="I77" s="335" t="s">
        <v>88</v>
      </c>
      <c r="J77" s="335" t="s">
        <v>5</v>
      </c>
      <c r="K77" s="336" t="s">
        <v>21</v>
      </c>
      <c r="L77" s="335" t="s">
        <v>21</v>
      </c>
      <c r="M77" s="382" t="s">
        <v>39932</v>
      </c>
      <c r="N77" s="335"/>
      <c r="O77" s="335"/>
      <c r="P77" s="336" t="s">
        <v>38358</v>
      </c>
      <c r="Q77" s="342" t="s">
        <v>41263</v>
      </c>
      <c r="R77" s="335" t="s">
        <v>40120</v>
      </c>
      <c r="S77" s="342" t="s">
        <v>41263</v>
      </c>
      <c r="T77" s="335" t="s">
        <v>21</v>
      </c>
      <c r="U77" s="335" t="s">
        <v>21</v>
      </c>
      <c r="V77" s="335" t="s">
        <v>39932</v>
      </c>
      <c r="W77" s="335" t="s">
        <v>39932</v>
      </c>
      <c r="X77" s="335"/>
      <c r="Y77" s="336"/>
      <c r="Z77" s="372"/>
      <c r="AA77" s="336"/>
      <c r="AB77" s="372"/>
      <c r="AC77" s="336">
        <v>4500086920</v>
      </c>
      <c r="AD77" s="372">
        <v>1612800</v>
      </c>
      <c r="AE77" s="335" t="s">
        <v>41464</v>
      </c>
      <c r="AF77" s="335" t="s">
        <v>41207</v>
      </c>
      <c r="AG77" s="335" t="s">
        <v>40121</v>
      </c>
      <c r="AH77" s="335" t="s">
        <v>39912</v>
      </c>
      <c r="AI77" s="337"/>
      <c r="AJ77" s="337">
        <v>0</v>
      </c>
      <c r="AK77" s="337">
        <v>840000</v>
      </c>
      <c r="AL77" s="337">
        <v>0</v>
      </c>
      <c r="AM77" s="337">
        <v>840000</v>
      </c>
      <c r="AN77" s="337">
        <v>0</v>
      </c>
      <c r="AO77" s="337">
        <v>0</v>
      </c>
      <c r="AP77" s="337">
        <v>0</v>
      </c>
      <c r="AQ77" s="337">
        <v>0</v>
      </c>
      <c r="AR77" s="337">
        <v>0</v>
      </c>
      <c r="AS77" s="337">
        <v>0</v>
      </c>
      <c r="AT77" s="337">
        <v>0</v>
      </c>
      <c r="AU77" s="337">
        <f>SUM(Tabela10[[#This Row], [jan/26]:[dez/26]])</f>
      </c>
      <c r="AV77" s="337">
        <v>0</v>
      </c>
      <c r="AW77" s="337">
        <v>0</v>
      </c>
      <c r="AX77" s="337">
        <v>0</v>
      </c>
      <c r="AY77" s="337">
        <v>0</v>
      </c>
      <c r="AZ77" s="337">
        <f>SUM(Tabela10[[#This Row], [2026]:[2030]])</f>
      </c>
      <c r="BA77" s="337">
        <v>0</v>
      </c>
      <c r="BB77" s="337">
        <v>0</v>
      </c>
      <c r="BC77" s="337">
        <v>0</v>
      </c>
      <c r="BD77" s="337">
        <v>0</v>
      </c>
      <c r="BE77" s="337">
        <v>0</v>
      </c>
      <c r="BF77" s="373">
        <f>SUM(Tabela10[[#This Row], [2026-2030]:[2035]])</f>
      </c>
      <c r="BG77" s="374">
        <f>_xlfn.SEQUENCE(COUNTA(Tabela10[Empresa]),1,1)</f>
      </c>
      <c r="BH77" s="342" t="s">
        <v>41263</v>
      </c>
      <c r="BI77" s="374">
        <f>VLOOKUP(Tabela10[[#This Row], [ID real2]],[2]CONSOLIDADA!$AU:$AZ,6,FALSE)</f>
      </c>
      <c r="BJ77" s="342" t="s">
        <v>39956</v>
      </c>
      <c r="BK77" s="375">
        <v>2025</v>
      </c>
      <c r="BL77" s="342" t="s">
        <v>40122</v>
      </c>
      <c r="BM77" s="375" t="s">
        <v>40106</v>
      </c>
      <c r="BN77" s="342" t="s">
        <v>41263</v>
      </c>
      <c r="BO77" s="342" t="s">
        <v>46</v>
      </c>
      <c r="BP77" s="342" t="s">
        <v>41400</v>
      </c>
      <c r="BQ77" s="342" t="s">
        <v>46</v>
      </c>
      <c r="BR77" s="376">
        <v>1680000</v>
      </c>
      <c r="BS77" s="342" t="s">
        <v>41389</v>
      </c>
      <c r="BT77" s="342" t="s">
        <v>41263</v>
      </c>
      <c r="BU77" s="376" t="s">
        <v>41404</v>
      </c>
      <c r="BV77" s="376">
        <f>Tabela10[[#This Row], [Descrição do projeto]]</f>
      </c>
    </row>
    <row x14ac:dyDescent="0.25" r="78" customHeight="1" ht="18.75" hidden="1">
      <c r="A78" s="336">
        <v>336</v>
      </c>
      <c r="B78" s="371">
        <f>AND(ISTEXT('Consolidado-Eletronorte'!#REF!),SUM('Consolidado-Eletronorte'!#REF!)&gt;0)</f>
      </c>
      <c r="C78" s="371">
        <f>$J$13</f>
      </c>
      <c r="D78" s="371">
        <f>$H$13</f>
      </c>
      <c r="E78" s="371">
        <f>$H$14</f>
      </c>
      <c r="F78" s="371">
        <f>_xlfn.CONCAT(Tabela10[[#This Row], [VP]],Tabela10[[#This Row], [Analise Estrategia]])</f>
      </c>
      <c r="G78" s="371">
        <f>_xlfn.CONCAT('Consolidado-Eletronorte'!#REF!,"_",ROW('Consolidado-Eletronorte'!#REF!)-ROW('Consolidado-Eletronorte'!$G$18))</f>
      </c>
      <c r="H78" s="335" t="s">
        <v>10</v>
      </c>
      <c r="I78" s="335" t="s">
        <v>88</v>
      </c>
      <c r="J78" s="335" t="s">
        <v>5</v>
      </c>
      <c r="K78" s="336" t="s">
        <v>21</v>
      </c>
      <c r="L78" s="335" t="s">
        <v>21</v>
      </c>
      <c r="M78" s="335" t="s">
        <v>39949</v>
      </c>
      <c r="N78" s="335"/>
      <c r="O78" s="335"/>
      <c r="P78" s="336" t="s">
        <v>38366</v>
      </c>
      <c r="Q78" s="342" t="s">
        <v>41283</v>
      </c>
      <c r="R78" s="335" t="s">
        <v>40041</v>
      </c>
      <c r="S78" s="342" t="s">
        <v>41283</v>
      </c>
      <c r="T78" s="335" t="s">
        <v>21</v>
      </c>
      <c r="U78" s="335" t="s">
        <v>21</v>
      </c>
      <c r="V78" s="335" t="s">
        <v>39949</v>
      </c>
      <c r="W78" s="335" t="s">
        <v>39949</v>
      </c>
      <c r="X78" s="335"/>
      <c r="Y78" s="336" t="s">
        <v>41222</v>
      </c>
      <c r="Z78" s="372"/>
      <c r="AA78" s="336"/>
      <c r="AB78" s="372"/>
      <c r="AC78" s="336"/>
      <c r="AD78" s="372"/>
      <c r="AE78" s="335"/>
      <c r="AF78" s="335"/>
      <c r="AG78" s="335" t="s">
        <v>40042</v>
      </c>
      <c r="AH78" s="335" t="s">
        <v>39969</v>
      </c>
      <c r="AI78" s="337">
        <v>0</v>
      </c>
      <c r="AJ78" s="337">
        <v>0</v>
      </c>
      <c r="AK78" s="337">
        <v>0</v>
      </c>
      <c r="AL78" s="337">
        <v>0</v>
      </c>
      <c r="AM78" s="337">
        <v>0</v>
      </c>
      <c r="AN78" s="337">
        <v>0</v>
      </c>
      <c r="AO78" s="337">
        <v>0</v>
      </c>
      <c r="AP78" s="337"/>
      <c r="AQ78" s="337">
        <v>0</v>
      </c>
      <c r="AR78" s="337">
        <v>0</v>
      </c>
      <c r="AS78" s="337"/>
      <c r="AT78" s="337">
        <v>0</v>
      </c>
      <c r="AU78" s="381">
        <f>SUM(Tabela10[[#This Row], [jan/26]:[dez/26]])</f>
      </c>
      <c r="AV78" s="381">
        <v>1000000</v>
      </c>
      <c r="AW78" s="381">
        <v>3000000</v>
      </c>
      <c r="AX78" s="381">
        <v>500000</v>
      </c>
      <c r="AY78" s="337">
        <v>0</v>
      </c>
      <c r="AZ78" s="337">
        <f>SUM(Tabela10[[#This Row], [2026]:[2030]])</f>
      </c>
      <c r="BA78" s="337">
        <v>0</v>
      </c>
      <c r="BB78" s="337">
        <v>0</v>
      </c>
      <c r="BC78" s="337">
        <v>0</v>
      </c>
      <c r="BD78" s="337">
        <v>0</v>
      </c>
      <c r="BE78" s="337">
        <v>0</v>
      </c>
      <c r="BF78" s="373">
        <f>SUM(Tabela10[[#This Row], [2026-2030]:[2035]])</f>
      </c>
      <c r="BG78" s="374">
        <f>_xlfn.SEQUENCE(COUNTA(Tabela10[Empresa]),1,1)</f>
      </c>
      <c r="BH78" s="342" t="s">
        <v>41283</v>
      </c>
      <c r="BI78" s="374">
        <f>VLOOKUP(Tabela10[[#This Row], [ID real2]],[2]CONSOLIDADA!$AU:$AZ,6,FALSE)</f>
      </c>
      <c r="BJ78" s="342" t="s">
        <v>40043</v>
      </c>
      <c r="BK78" s="375">
        <v>2026</v>
      </c>
      <c r="BL78" s="342" t="s">
        <v>40044</v>
      </c>
      <c r="BM78" s="375">
        <v>0</v>
      </c>
      <c r="BN78" s="342" t="s">
        <v>41283</v>
      </c>
      <c r="BO78" s="342" t="s">
        <v>41172</v>
      </c>
      <c r="BP78" s="342" t="s">
        <v>41121</v>
      </c>
      <c r="BQ78" s="342" t="s">
        <v>41123</v>
      </c>
      <c r="BR78" s="376">
        <v>1000000</v>
      </c>
      <c r="BS78" s="342" t="s">
        <v>41428</v>
      </c>
      <c r="BT78" s="342" t="s">
        <v>41283</v>
      </c>
      <c r="BU78" s="376" t="s">
        <v>41151</v>
      </c>
      <c r="BV78" s="376">
        <f>Tabela10[[#This Row], [Descrição do projeto]]</f>
      </c>
    </row>
    <row x14ac:dyDescent="0.25" r="79" customHeight="1" ht="18.75">
      <c r="A79" s="336">
        <v>346</v>
      </c>
      <c r="B79" s="371">
        <f>AND(ISTEXT('Consolidado-Eletronorte'!#REF!),SUM('Consolidado-Eletronorte'!#REF!)&gt;0)</f>
      </c>
      <c r="C79" s="371">
        <f>$J$13</f>
      </c>
      <c r="D79" s="371">
        <f>$H$13</f>
      </c>
      <c r="E79" s="371">
        <f>$H$14</f>
      </c>
      <c r="F79" s="371">
        <f>_xlfn.CONCAT(Tabela10[[#This Row], [VP]],Tabela10[[#This Row], [Analise Estrategia]])</f>
      </c>
      <c r="G79" s="371">
        <f>_xlfn.CONCAT('Consolidado-Eletronorte'!#REF!,"_",ROW('Consolidado-Eletronorte'!#REF!)-ROW('Consolidado-Eletronorte'!$G$18))</f>
      </c>
      <c r="H79" s="335" t="s">
        <v>10</v>
      </c>
      <c r="I79" s="335" t="s">
        <v>88</v>
      </c>
      <c r="J79" s="335" t="s">
        <v>5</v>
      </c>
      <c r="K79" s="336" t="s">
        <v>21</v>
      </c>
      <c r="L79" s="335" t="s">
        <v>21</v>
      </c>
      <c r="M79" s="382" t="s">
        <v>39949</v>
      </c>
      <c r="N79" s="335"/>
      <c r="O79" s="335"/>
      <c r="P79" s="336" t="s">
        <v>38358</v>
      </c>
      <c r="Q79" s="342" t="s">
        <v>41292</v>
      </c>
      <c r="R79" s="335" t="s">
        <v>40240</v>
      </c>
      <c r="S79" s="342" t="s">
        <v>41292</v>
      </c>
      <c r="T79" s="335" t="s">
        <v>21</v>
      </c>
      <c r="U79" s="335" t="s">
        <v>21</v>
      </c>
      <c r="V79" s="335" t="s">
        <v>39949</v>
      </c>
      <c r="W79" s="335" t="s">
        <v>39949</v>
      </c>
      <c r="X79" s="335"/>
      <c r="Y79" s="336"/>
      <c r="Z79" s="372"/>
      <c r="AA79" s="336">
        <v>4600002614</v>
      </c>
      <c r="AB79" s="372">
        <v>1771225.2</v>
      </c>
      <c r="AC79" s="336">
        <v>4500095170</v>
      </c>
      <c r="AD79" s="372">
        <v>1771225.2</v>
      </c>
      <c r="AE79" s="335" t="s">
        <v>41465</v>
      </c>
      <c r="AF79" s="384" t="s">
        <v>41466</v>
      </c>
      <c r="AG79" s="335"/>
      <c r="AH79" s="335" t="s">
        <v>39912</v>
      </c>
      <c r="AI79" s="337">
        <v>0</v>
      </c>
      <c r="AJ79" s="337">
        <v>0</v>
      </c>
      <c r="AK79" s="337">
        <v>0</v>
      </c>
      <c r="AL79" s="337">
        <v>0</v>
      </c>
      <c r="AM79" s="337">
        <v>500000</v>
      </c>
      <c r="AN79" s="337">
        <v>0</v>
      </c>
      <c r="AO79" s="337">
        <v>500000</v>
      </c>
      <c r="AP79" s="337">
        <v>0</v>
      </c>
      <c r="AQ79" s="337">
        <v>500000</v>
      </c>
      <c r="AR79" s="337">
        <v>0</v>
      </c>
      <c r="AS79" s="337">
        <v>0</v>
      </c>
      <c r="AT79" s="337">
        <v>0</v>
      </c>
      <c r="AU79" s="337">
        <f>SUM(Tabela10[[#This Row], [jan/26]:[dez/26]])</f>
      </c>
      <c r="AV79" s="337">
        <v>0</v>
      </c>
      <c r="AW79" s="337">
        <v>0</v>
      </c>
      <c r="AX79" s="337">
        <v>0</v>
      </c>
      <c r="AY79" s="337">
        <v>0</v>
      </c>
      <c r="AZ79" s="337">
        <f>SUM(Tabela10[[#This Row], [2026]:[2030]])</f>
      </c>
      <c r="BA79" s="337">
        <v>0</v>
      </c>
      <c r="BB79" s="337">
        <v>0</v>
      </c>
      <c r="BC79" s="337">
        <v>0</v>
      </c>
      <c r="BD79" s="337">
        <v>0</v>
      </c>
      <c r="BE79" s="337">
        <v>0</v>
      </c>
      <c r="BF79" s="373">
        <f>SUM(Tabela10[[#This Row], [2026-2030]:[2035]])</f>
      </c>
      <c r="BG79" s="374">
        <f>_xlfn.SEQUENCE(COUNTA(Tabela10[Empresa]),1,1)</f>
      </c>
      <c r="BH79" s="342" t="s">
        <v>41292</v>
      </c>
      <c r="BI79" s="374">
        <f>VLOOKUP(Tabela10[[#This Row], [ID real2]],[2]CONSOLIDADA!$AU:$AZ,6,FALSE)</f>
      </c>
      <c r="BJ79" s="342" t="s">
        <v>41127</v>
      </c>
      <c r="BK79" s="375">
        <v>2026</v>
      </c>
      <c r="BL79" s="342" t="s">
        <v>40241</v>
      </c>
      <c r="BM79" s="375" t="s">
        <v>41467</v>
      </c>
      <c r="BN79" s="342" t="s">
        <v>41292</v>
      </c>
      <c r="BO79" s="342" t="s">
        <v>46</v>
      </c>
      <c r="BP79" s="342" t="s">
        <v>41121</v>
      </c>
      <c r="BQ79" s="342" t="s">
        <v>64</v>
      </c>
      <c r="BR79" s="376">
        <v>500000</v>
      </c>
      <c r="BS79" s="342" t="s">
        <v>41385</v>
      </c>
      <c r="BT79" s="342" t="s">
        <v>41292</v>
      </c>
      <c r="BU79" s="376" t="s">
        <v>41144</v>
      </c>
      <c r="BV79" s="376">
        <f>Tabela10[[#This Row], [Descrição do projeto]]</f>
      </c>
    </row>
    <row x14ac:dyDescent="0.25" r="80" customHeight="1" ht="18.75" hidden="1">
      <c r="A80" s="336">
        <v>340</v>
      </c>
      <c r="B80" s="371">
        <f>AND(ISTEXT('Consolidado-Eletronorte'!#REF!),SUM('Consolidado-Eletronorte'!#REF!)&gt;0)</f>
      </c>
      <c r="C80" s="371">
        <f>$J$13</f>
      </c>
      <c r="D80" s="371">
        <f>$H$13</f>
      </c>
      <c r="E80" s="371">
        <f>$H$14</f>
      </c>
      <c r="F80" s="371">
        <f>_xlfn.CONCAT(Tabela10[[#This Row], [VP]],Tabela10[[#This Row], [Analise Estrategia]])</f>
      </c>
      <c r="G80" s="371">
        <f>_xlfn.CONCAT('Consolidado-Eletronorte'!#REF!,"_",ROW('Consolidado-Eletronorte'!#REF!)-ROW('Consolidado-Eletronorte'!$G$18))</f>
      </c>
      <c r="H80" s="335" t="s">
        <v>10</v>
      </c>
      <c r="I80" s="335" t="s">
        <v>88</v>
      </c>
      <c r="J80" s="335" t="s">
        <v>5</v>
      </c>
      <c r="K80" s="336" t="s">
        <v>21</v>
      </c>
      <c r="L80" s="335" t="s">
        <v>21</v>
      </c>
      <c r="M80" s="335" t="s">
        <v>39949</v>
      </c>
      <c r="N80" s="335"/>
      <c r="O80" s="335"/>
      <c r="P80" s="336" t="s">
        <v>38366</v>
      </c>
      <c r="Q80" s="342" t="s">
        <v>41285</v>
      </c>
      <c r="R80" s="335" t="s">
        <v>40092</v>
      </c>
      <c r="S80" s="342" t="s">
        <v>41285</v>
      </c>
      <c r="T80" s="335" t="s">
        <v>21</v>
      </c>
      <c r="U80" s="335" t="s">
        <v>21</v>
      </c>
      <c r="V80" s="335" t="s">
        <v>39949</v>
      </c>
      <c r="W80" s="335" t="s">
        <v>39949</v>
      </c>
      <c r="X80" s="335"/>
      <c r="Y80" s="336" t="s">
        <v>41222</v>
      </c>
      <c r="Z80" s="372"/>
      <c r="AA80" s="336"/>
      <c r="AB80" s="372"/>
      <c r="AC80" s="336"/>
      <c r="AD80" s="372"/>
      <c r="AE80" s="335"/>
      <c r="AF80" s="335"/>
      <c r="AG80" s="335" t="s">
        <v>40093</v>
      </c>
      <c r="AH80" s="335" t="s">
        <v>39969</v>
      </c>
      <c r="AI80" s="337">
        <v>0</v>
      </c>
      <c r="AJ80" s="337">
        <v>0</v>
      </c>
      <c r="AK80" s="337">
        <v>0</v>
      </c>
      <c r="AL80" s="337">
        <v>0</v>
      </c>
      <c r="AM80" s="337">
        <v>0</v>
      </c>
      <c r="AN80" s="337">
        <v>0</v>
      </c>
      <c r="AO80" s="337"/>
      <c r="AP80" s="337">
        <v>0</v>
      </c>
      <c r="AQ80" s="337"/>
      <c r="AR80" s="337">
        <v>0</v>
      </c>
      <c r="AS80" s="337">
        <v>0</v>
      </c>
      <c r="AT80" s="337"/>
      <c r="AU80" s="381">
        <f>SUM(Tabela10[[#This Row], [jan/26]:[dez/26]])</f>
      </c>
      <c r="AV80" s="381">
        <v>1000000</v>
      </c>
      <c r="AW80" s="381">
        <v>500000</v>
      </c>
      <c r="AX80" s="381">
        <v>1000000</v>
      </c>
      <c r="AY80" s="337">
        <v>0</v>
      </c>
      <c r="AZ80" s="337">
        <f>SUM(Tabela10[[#This Row], [2026]:[2030]])</f>
      </c>
      <c r="BA80" s="337">
        <v>0</v>
      </c>
      <c r="BB80" s="337">
        <v>0</v>
      </c>
      <c r="BC80" s="337">
        <v>0</v>
      </c>
      <c r="BD80" s="337">
        <v>0</v>
      </c>
      <c r="BE80" s="337">
        <v>0</v>
      </c>
      <c r="BF80" s="373">
        <f>SUM(Tabela10[[#This Row], [2026-2030]:[2035]])</f>
      </c>
      <c r="BG80" s="374">
        <f>_xlfn.SEQUENCE(COUNTA(Tabela10[Empresa]),1,1)</f>
      </c>
      <c r="BH80" s="342" t="s">
        <v>41285</v>
      </c>
      <c r="BI80" s="374">
        <f>VLOOKUP(Tabela10[[#This Row], [ID real2]],[2]CONSOLIDADA!$AU:$AZ,6,FALSE)</f>
      </c>
      <c r="BJ80" s="342" t="s">
        <v>41127</v>
      </c>
      <c r="BK80" s="375">
        <v>2026</v>
      </c>
      <c r="BL80" s="342" t="s">
        <v>40094</v>
      </c>
      <c r="BM80" s="375">
        <v>0</v>
      </c>
      <c r="BN80" s="342" t="s">
        <v>41285</v>
      </c>
      <c r="BO80" s="342" t="s">
        <v>41172</v>
      </c>
      <c r="BP80" s="342" t="s">
        <v>41121</v>
      </c>
      <c r="BQ80" s="342" t="s">
        <v>41123</v>
      </c>
      <c r="BR80" s="376">
        <v>1000000</v>
      </c>
      <c r="BS80" s="342" t="s">
        <v>41428</v>
      </c>
      <c r="BT80" s="342" t="s">
        <v>41285</v>
      </c>
      <c r="BU80" s="376" t="s">
        <v>41144</v>
      </c>
      <c r="BV80" s="376">
        <f>Tabela10[[#This Row], [Descrição do projeto]]</f>
      </c>
    </row>
    <row x14ac:dyDescent="0.25" r="81" customHeight="1" ht="18.75">
      <c r="A81" s="336">
        <v>351</v>
      </c>
      <c r="B81" s="371">
        <f>AND(ISTEXT('Consolidado-Eletronorte'!#REF!),SUM('Consolidado-Eletronorte'!#REF!)&gt;0)</f>
      </c>
      <c r="C81" s="371">
        <f>$J$13</f>
      </c>
      <c r="D81" s="371">
        <f>$H$13</f>
      </c>
      <c r="E81" s="371">
        <f>$H$14</f>
      </c>
      <c r="F81" s="371">
        <f>_xlfn.CONCAT(Tabela10[[#This Row], [VP]],Tabela10[[#This Row], [Analise Estrategia]])</f>
      </c>
      <c r="G81" s="371">
        <f>_xlfn.CONCAT('Consolidado-Eletronorte'!#REF!,"_",ROW('Consolidado-Eletronorte'!#REF!)-ROW('Consolidado-Eletronorte'!$G$18))</f>
      </c>
      <c r="H81" s="335" t="s">
        <v>10</v>
      </c>
      <c r="I81" s="335" t="s">
        <v>88</v>
      </c>
      <c r="J81" s="335" t="s">
        <v>5</v>
      </c>
      <c r="K81" s="336" t="s">
        <v>21</v>
      </c>
      <c r="L81" s="335" t="s">
        <v>21</v>
      </c>
      <c r="M81" s="382" t="s">
        <v>39932</v>
      </c>
      <c r="N81" s="335"/>
      <c r="O81" s="335"/>
      <c r="P81" s="336" t="s">
        <v>38358</v>
      </c>
      <c r="Q81" s="342" t="s">
        <v>41269</v>
      </c>
      <c r="R81" s="335" t="s">
        <v>40144</v>
      </c>
      <c r="S81" s="342" t="s">
        <v>41269</v>
      </c>
      <c r="T81" s="335" t="s">
        <v>21</v>
      </c>
      <c r="U81" s="335" t="s">
        <v>21</v>
      </c>
      <c r="V81" s="335" t="s">
        <v>39932</v>
      </c>
      <c r="W81" s="335" t="s">
        <v>39932</v>
      </c>
      <c r="X81" s="335"/>
      <c r="Y81" s="336" t="s">
        <v>41222</v>
      </c>
      <c r="Z81" s="372"/>
      <c r="AA81" s="336"/>
      <c r="AB81" s="372" t="s">
        <v>41468</v>
      </c>
      <c r="AC81" s="336">
        <v>4500080352</v>
      </c>
      <c r="AD81" s="372"/>
      <c r="AE81" s="335"/>
      <c r="AF81" s="335"/>
      <c r="AG81" s="335" t="s">
        <v>40145</v>
      </c>
      <c r="AH81" s="335" t="s">
        <v>39912</v>
      </c>
      <c r="AI81" s="337">
        <v>0</v>
      </c>
      <c r="AJ81" s="337">
        <v>0</v>
      </c>
      <c r="AK81" s="337">
        <v>0</v>
      </c>
      <c r="AL81" s="337">
        <v>0</v>
      </c>
      <c r="AM81" s="337">
        <v>0</v>
      </c>
      <c r="AN81" s="337">
        <v>0</v>
      </c>
      <c r="AO81" s="337">
        <v>0</v>
      </c>
      <c r="AP81" s="337">
        <v>0</v>
      </c>
      <c r="AQ81" s="337">
        <v>0</v>
      </c>
      <c r="AR81" s="337"/>
      <c r="AS81" s="337">
        <v>0</v>
      </c>
      <c r="AT81" s="337"/>
      <c r="AU81" s="337">
        <f>SUM(Tabela10[[#This Row], [jan/26]:[dez/26]])</f>
      </c>
      <c r="AV81" s="381">
        <v>650000</v>
      </c>
      <c r="AW81" s="381">
        <v>750000</v>
      </c>
      <c r="AX81" s="337">
        <v>0</v>
      </c>
      <c r="AY81" s="337">
        <v>0</v>
      </c>
      <c r="AZ81" s="337">
        <f>SUM(Tabela10[[#This Row], [2026]:[2030]])</f>
      </c>
      <c r="BA81" s="337">
        <v>0</v>
      </c>
      <c r="BB81" s="337">
        <v>0</v>
      </c>
      <c r="BC81" s="337">
        <v>0</v>
      </c>
      <c r="BD81" s="337">
        <v>0</v>
      </c>
      <c r="BE81" s="337">
        <v>0</v>
      </c>
      <c r="BF81" s="373">
        <f>SUM(Tabela10[[#This Row], [2026-2030]:[2035]])</f>
      </c>
      <c r="BG81" s="374">
        <f>_xlfn.SEQUENCE(COUNTA(Tabela10[Empresa]),1,1)</f>
      </c>
      <c r="BH81" s="342" t="s">
        <v>41269</v>
      </c>
      <c r="BI81" s="374">
        <f>VLOOKUP(Tabela10[[#This Row], [ID real2]],[2]CONSOLIDADA!$AU:$AZ,6,FALSE)</f>
      </c>
      <c r="BJ81" s="342" t="s">
        <v>39925</v>
      </c>
      <c r="BK81" s="375">
        <v>2025</v>
      </c>
      <c r="BL81" s="342" t="s">
        <v>40146</v>
      </c>
      <c r="BM81" s="375" t="s">
        <v>40147</v>
      </c>
      <c r="BN81" s="342" t="s">
        <v>41269</v>
      </c>
      <c r="BO81" s="342" t="s">
        <v>41172</v>
      </c>
      <c r="BP81" s="342" t="s">
        <v>41400</v>
      </c>
      <c r="BQ81" s="342" t="s">
        <v>41123</v>
      </c>
      <c r="BR81" s="376">
        <v>650000</v>
      </c>
      <c r="BS81" s="342" t="s">
        <v>41448</v>
      </c>
      <c r="BT81" s="342" t="s">
        <v>41269</v>
      </c>
      <c r="BU81" s="376" t="s">
        <v>39925</v>
      </c>
      <c r="BV81" s="376">
        <f>Tabela10[[#This Row], [Descrição do projeto]]</f>
      </c>
    </row>
    <row x14ac:dyDescent="0.25" r="82" customHeight="1" ht="18.75" hidden="1">
      <c r="A82" s="336">
        <v>268</v>
      </c>
      <c r="B82" s="371">
        <f>AND(ISTEXT('Consolidado-Eletronorte'!#REF!),SUM('Consolidado-Eletronorte'!#REF!)&gt;0)</f>
      </c>
      <c r="C82" s="371">
        <f>$J$13</f>
      </c>
      <c r="D82" s="371">
        <f>$H$13</f>
      </c>
      <c r="E82" s="371">
        <f>$H$14</f>
      </c>
      <c r="F82" s="371">
        <f>_xlfn.CONCAT(Tabela10[[#This Row], [VP]],Tabela10[[#This Row], [Analise Estrategia]])</f>
      </c>
      <c r="G82" s="371">
        <f>_xlfn.CONCAT('Consolidado-Eletronorte'!#REF!,"_",ROW('Consolidado-Eletronorte'!#REF!)-ROW('Consolidado-Eletronorte'!$G$18))</f>
      </c>
      <c r="H82" s="335" t="s">
        <v>10</v>
      </c>
      <c r="I82" s="335" t="s">
        <v>88</v>
      </c>
      <c r="J82" s="335" t="s">
        <v>5</v>
      </c>
      <c r="K82" s="336" t="s">
        <v>21</v>
      </c>
      <c r="L82" s="335" t="s">
        <v>21</v>
      </c>
      <c r="M82" s="335" t="s">
        <v>39932</v>
      </c>
      <c r="N82" s="335"/>
      <c r="O82" s="335"/>
      <c r="P82" s="336" t="s">
        <v>38358</v>
      </c>
      <c r="Q82" s="342" t="s">
        <v>41266</v>
      </c>
      <c r="R82" s="335" t="s">
        <v>40148</v>
      </c>
      <c r="S82" s="342" t="s">
        <v>41266</v>
      </c>
      <c r="T82" s="335" t="s">
        <v>21</v>
      </c>
      <c r="U82" s="335" t="s">
        <v>21</v>
      </c>
      <c r="V82" s="335" t="s">
        <v>39932</v>
      </c>
      <c r="W82" s="335" t="s">
        <v>39932</v>
      </c>
      <c r="X82" s="335"/>
      <c r="Y82" s="336" t="s">
        <v>41222</v>
      </c>
      <c r="Z82" s="372"/>
      <c r="AA82" s="336"/>
      <c r="AB82" s="372"/>
      <c r="AC82" s="336"/>
      <c r="AD82" s="372"/>
      <c r="AE82" s="335"/>
      <c r="AF82" s="335"/>
      <c r="AG82" s="335" t="s">
        <v>40149</v>
      </c>
      <c r="AH82" s="335" t="s">
        <v>39912</v>
      </c>
      <c r="AI82" s="337">
        <v>0</v>
      </c>
      <c r="AJ82" s="337">
        <v>0</v>
      </c>
      <c r="AK82" s="337">
        <v>0</v>
      </c>
      <c r="AL82" s="337">
        <v>0</v>
      </c>
      <c r="AM82" s="337">
        <v>0</v>
      </c>
      <c r="AN82" s="337">
        <v>0</v>
      </c>
      <c r="AO82" s="337">
        <v>0</v>
      </c>
      <c r="AP82" s="337"/>
      <c r="AQ82" s="337">
        <v>0</v>
      </c>
      <c r="AR82" s="337">
        <v>0</v>
      </c>
      <c r="AS82" s="337"/>
      <c r="AT82" s="337">
        <v>0</v>
      </c>
      <c r="AU82" s="337">
        <f>SUM(Tabela10[[#This Row], [jan/26]:[dez/26]])</f>
      </c>
      <c r="AV82" s="381">
        <v>695254.2</v>
      </c>
      <c r="AW82" s="381">
        <v>695254.2</v>
      </c>
      <c r="AX82" s="337">
        <v>0</v>
      </c>
      <c r="AY82" s="337">
        <v>0</v>
      </c>
      <c r="AZ82" s="337">
        <f>SUM(Tabela10[[#This Row], [2026]:[2030]])</f>
      </c>
      <c r="BA82" s="337">
        <v>0</v>
      </c>
      <c r="BB82" s="337">
        <v>0</v>
      </c>
      <c r="BC82" s="337">
        <v>0</v>
      </c>
      <c r="BD82" s="337">
        <v>0</v>
      </c>
      <c r="BE82" s="337">
        <v>0</v>
      </c>
      <c r="BF82" s="373">
        <f>SUM(Tabela10[[#This Row], [2026-2030]:[2035]])</f>
      </c>
      <c r="BG82" s="374">
        <f>_xlfn.SEQUENCE(COUNTA(Tabela10[Empresa]),1,1)</f>
      </c>
      <c r="BH82" s="342" t="s">
        <v>41266</v>
      </c>
      <c r="BI82" s="374">
        <f>VLOOKUP(Tabela10[[#This Row], [ID real2]],[2]CONSOLIDADA!$AU:$AZ,6,FALSE)</f>
      </c>
      <c r="BJ82" s="342" t="s">
        <v>39956</v>
      </c>
      <c r="BK82" s="375">
        <v>2026</v>
      </c>
      <c r="BL82" s="342" t="s">
        <v>40150</v>
      </c>
      <c r="BM82" s="375">
        <v>0</v>
      </c>
      <c r="BN82" s="342" t="s">
        <v>41266</v>
      </c>
      <c r="BO82" s="342" t="s">
        <v>41174</v>
      </c>
      <c r="BP82" s="342" t="s">
        <v>41121</v>
      </c>
      <c r="BQ82" s="342" t="s">
        <v>41123</v>
      </c>
      <c r="BR82" s="376">
        <v>695254.2</v>
      </c>
      <c r="BS82" s="342" t="s">
        <v>41419</v>
      </c>
      <c r="BT82" s="342" t="s">
        <v>41266</v>
      </c>
      <c r="BU82" s="376" t="s">
        <v>41404</v>
      </c>
      <c r="BV82" s="376">
        <f>Tabela10[[#This Row], [Descrição do projeto]]</f>
      </c>
    </row>
    <row x14ac:dyDescent="0.25" r="83" customHeight="1" ht="18.75" hidden="1">
      <c r="A83" s="336">
        <v>272</v>
      </c>
      <c r="B83" s="371">
        <f>AND(ISTEXT('Consolidado-Eletronorte'!#REF!),SUM('Consolidado-Eletronorte'!#REF!)&gt;0)</f>
      </c>
      <c r="C83" s="371">
        <f>$J$13</f>
      </c>
      <c r="D83" s="371">
        <f>$H$13</f>
      </c>
      <c r="E83" s="371">
        <f>$H$14</f>
      </c>
      <c r="F83" s="371">
        <f>_xlfn.CONCAT(Tabela10[[#This Row], [VP]],Tabela10[[#This Row], [Analise Estrategia]])</f>
      </c>
      <c r="G83" s="371">
        <f>_xlfn.CONCAT('Consolidado-Eletronorte'!#REF!,"_",ROW('Consolidado-Eletronorte'!#REF!)-ROW('Consolidado-Eletronorte'!$G$18))</f>
      </c>
      <c r="H83" s="335" t="s">
        <v>10</v>
      </c>
      <c r="I83" s="335" t="s">
        <v>88</v>
      </c>
      <c r="J83" s="335" t="s">
        <v>5</v>
      </c>
      <c r="K83" s="336" t="s">
        <v>21</v>
      </c>
      <c r="L83" s="335" t="s">
        <v>21</v>
      </c>
      <c r="M83" s="335" t="s">
        <v>39949</v>
      </c>
      <c r="N83" s="335"/>
      <c r="O83" s="335"/>
      <c r="P83" s="336" t="s">
        <v>38368</v>
      </c>
      <c r="Q83" s="342" t="s">
        <v>41288</v>
      </c>
      <c r="R83" s="335" t="s">
        <v>40151</v>
      </c>
      <c r="S83" s="342" t="s">
        <v>41288</v>
      </c>
      <c r="T83" s="335" t="s">
        <v>21</v>
      </c>
      <c r="U83" s="335" t="s">
        <v>21</v>
      </c>
      <c r="V83" s="335" t="s">
        <v>39949</v>
      </c>
      <c r="W83" s="335" t="s">
        <v>39949</v>
      </c>
      <c r="X83" s="335"/>
      <c r="Y83" s="336" t="s">
        <v>41222</v>
      </c>
      <c r="Z83" s="372"/>
      <c r="AA83" s="336"/>
      <c r="AB83" s="372"/>
      <c r="AC83" s="336"/>
      <c r="AD83" s="372"/>
      <c r="AE83" s="335"/>
      <c r="AF83" s="335"/>
      <c r="AG83" s="335" t="s">
        <v>40152</v>
      </c>
      <c r="AH83" s="335" t="s">
        <v>38369</v>
      </c>
      <c r="AI83" s="337">
        <v>0</v>
      </c>
      <c r="AJ83" s="337">
        <v>0</v>
      </c>
      <c r="AK83" s="337">
        <v>0</v>
      </c>
      <c r="AL83" s="337">
        <v>0</v>
      </c>
      <c r="AM83" s="337"/>
      <c r="AN83" s="337">
        <v>0</v>
      </c>
      <c r="AO83" s="337">
        <v>0</v>
      </c>
      <c r="AP83" s="337">
        <v>0</v>
      </c>
      <c r="AQ83" s="337"/>
      <c r="AR83" s="337">
        <v>0</v>
      </c>
      <c r="AS83" s="337">
        <v>0</v>
      </c>
      <c r="AT83" s="337">
        <v>0</v>
      </c>
      <c r="AU83" s="337">
        <f>SUM(Tabela10[[#This Row], [jan/26]:[dez/26]])</f>
      </c>
      <c r="AV83" s="381">
        <v>200000</v>
      </c>
      <c r="AW83" s="381">
        <v>650000</v>
      </c>
      <c r="AX83" s="381">
        <v>466666.67</v>
      </c>
      <c r="AY83" s="337">
        <v>0</v>
      </c>
      <c r="AZ83" s="337">
        <f>SUM(Tabela10[[#This Row], [2026]:[2030]])</f>
      </c>
      <c r="BA83" s="337">
        <v>0</v>
      </c>
      <c r="BB83" s="337">
        <v>0</v>
      </c>
      <c r="BC83" s="337">
        <v>0</v>
      </c>
      <c r="BD83" s="337">
        <v>0</v>
      </c>
      <c r="BE83" s="337">
        <v>0</v>
      </c>
      <c r="BF83" s="373">
        <f>SUM(Tabela10[[#This Row], [2026-2030]:[2035]])</f>
      </c>
      <c r="BG83" s="374">
        <f>_xlfn.SEQUENCE(COUNTA(Tabela10[Empresa]),1,1)</f>
      </c>
      <c r="BH83" s="342" t="s">
        <v>41288</v>
      </c>
      <c r="BI83" s="374">
        <f>VLOOKUP(Tabela10[[#This Row], [ID real2]],[2]CONSOLIDADA!$AU:$AZ,6,FALSE)</f>
      </c>
      <c r="BJ83" s="342" t="s">
        <v>41127</v>
      </c>
      <c r="BK83" s="375">
        <v>2026</v>
      </c>
      <c r="BL83" s="342" t="s">
        <v>40153</v>
      </c>
      <c r="BM83" s="375">
        <v>0</v>
      </c>
      <c r="BN83" s="342" t="s">
        <v>41288</v>
      </c>
      <c r="BO83" s="342" t="s">
        <v>41172</v>
      </c>
      <c r="BP83" s="342" t="s">
        <v>41121</v>
      </c>
      <c r="BQ83" s="342" t="s">
        <v>41123</v>
      </c>
      <c r="BR83" s="376">
        <v>200000</v>
      </c>
      <c r="BS83" s="342" t="s">
        <v>41428</v>
      </c>
      <c r="BT83" s="342" t="s">
        <v>41288</v>
      </c>
      <c r="BU83" s="376" t="s">
        <v>41144</v>
      </c>
      <c r="BV83" s="376">
        <f>Tabela10[[#This Row], [Descrição do projeto]]</f>
      </c>
    </row>
    <row x14ac:dyDescent="0.25" r="84" customHeight="1" ht="18.75" hidden="1">
      <c r="A84" s="336">
        <v>375</v>
      </c>
      <c r="B84" s="371">
        <f>AND(ISTEXT('Consolidado-Eletronorte'!#REF!),SUM('Consolidado-Eletronorte'!#REF!)&gt;0)</f>
      </c>
      <c r="C84" s="371">
        <f>$J$13</f>
      </c>
      <c r="D84" s="371">
        <f>$H$13</f>
      </c>
      <c r="E84" s="371">
        <f>$H$14</f>
      </c>
      <c r="F84" s="371">
        <f>_xlfn.CONCAT(Tabela10[[#This Row], [VP]],Tabela10[[#This Row], [Analise Estrategia]])</f>
      </c>
      <c r="G84" s="371">
        <f>_xlfn.CONCAT('Consolidado-Eletronorte'!#REF!,"_",ROW('Consolidado-Eletronorte'!#REF!)-ROW('Consolidado-Eletronorte'!$G$18))</f>
      </c>
      <c r="H84" s="335" t="s">
        <v>10</v>
      </c>
      <c r="I84" s="335" t="s">
        <v>88</v>
      </c>
      <c r="J84" s="335" t="s">
        <v>5</v>
      </c>
      <c r="K84" s="336" t="s">
        <v>21</v>
      </c>
      <c r="L84" s="335" t="s">
        <v>21</v>
      </c>
      <c r="M84" s="335" t="s">
        <v>39949</v>
      </c>
      <c r="N84" s="335"/>
      <c r="O84" s="335"/>
      <c r="P84" s="336" t="s">
        <v>38366</v>
      </c>
      <c r="Q84" s="342" t="s">
        <v>41289</v>
      </c>
      <c r="R84" s="335" t="s">
        <v>40341</v>
      </c>
      <c r="S84" s="342" t="s">
        <v>41289</v>
      </c>
      <c r="T84" s="335" t="s">
        <v>21</v>
      </c>
      <c r="U84" s="335" t="s">
        <v>21</v>
      </c>
      <c r="V84" s="335" t="s">
        <v>39949</v>
      </c>
      <c r="W84" s="335" t="s">
        <v>39949</v>
      </c>
      <c r="X84" s="335"/>
      <c r="Y84" s="336" t="s">
        <v>41222</v>
      </c>
      <c r="Z84" s="372"/>
      <c r="AA84" s="336"/>
      <c r="AB84" s="372"/>
      <c r="AC84" s="336"/>
      <c r="AD84" s="372"/>
      <c r="AE84" s="335"/>
      <c r="AF84" s="335"/>
      <c r="AG84" s="335" t="s">
        <v>40342</v>
      </c>
      <c r="AH84" s="335" t="s">
        <v>39969</v>
      </c>
      <c r="AI84" s="337">
        <v>0</v>
      </c>
      <c r="AJ84" s="337">
        <v>0</v>
      </c>
      <c r="AK84" s="337">
        <v>0</v>
      </c>
      <c r="AL84" s="337">
        <v>0</v>
      </c>
      <c r="AM84" s="337">
        <v>0</v>
      </c>
      <c r="AN84" s="337">
        <v>0</v>
      </c>
      <c r="AO84" s="337">
        <v>0</v>
      </c>
      <c r="AP84" s="337">
        <v>0</v>
      </c>
      <c r="AQ84" s="337"/>
      <c r="AR84" s="337">
        <v>0</v>
      </c>
      <c r="AS84" s="337">
        <v>200000</v>
      </c>
      <c r="AT84" s="337">
        <v>0</v>
      </c>
      <c r="AU84" s="337">
        <f>SUM(Tabela10[[#This Row], [jan/26]:[dez/26]])</f>
      </c>
      <c r="AV84" s="337">
        <v>0</v>
      </c>
      <c r="AW84" s="337">
        <v>0</v>
      </c>
      <c r="AX84" s="337">
        <v>0</v>
      </c>
      <c r="AY84" s="337">
        <v>0</v>
      </c>
      <c r="AZ84" s="337">
        <f>SUM(Tabela10[[#This Row], [2026]:[2030]])</f>
      </c>
      <c r="BA84" s="337">
        <v>0</v>
      </c>
      <c r="BB84" s="337">
        <v>0</v>
      </c>
      <c r="BC84" s="337">
        <v>0</v>
      </c>
      <c r="BD84" s="337">
        <v>0</v>
      </c>
      <c r="BE84" s="337">
        <v>0</v>
      </c>
      <c r="BF84" s="373">
        <f>SUM(Tabela10[[#This Row], [2026-2030]:[2035]])</f>
      </c>
      <c r="BG84" s="374">
        <f>_xlfn.SEQUENCE(COUNTA(Tabela10[Empresa]),1,1)</f>
      </c>
      <c r="BH84" s="342" t="s">
        <v>41289</v>
      </c>
      <c r="BI84" s="374">
        <f>VLOOKUP(Tabela10[[#This Row], [ID real2]],[2]CONSOLIDADA!$AU:$AZ,6,FALSE)</f>
      </c>
      <c r="BJ84" s="342" t="s">
        <v>41126</v>
      </c>
      <c r="BK84" s="375">
        <v>2026</v>
      </c>
      <c r="BL84" s="342" t="s">
        <v>40343</v>
      </c>
      <c r="BM84" s="375">
        <v>0</v>
      </c>
      <c r="BN84" s="342" t="s">
        <v>41289</v>
      </c>
      <c r="BO84" s="342" t="s">
        <v>41174</v>
      </c>
      <c r="BP84" s="342" t="s">
        <v>41121</v>
      </c>
      <c r="BQ84" s="342" t="s">
        <v>41123</v>
      </c>
      <c r="BR84" s="376">
        <v>200000</v>
      </c>
      <c r="BS84" s="342" t="s">
        <v>41389</v>
      </c>
      <c r="BT84" s="342" t="s">
        <v>41289</v>
      </c>
      <c r="BU84" s="376" t="s">
        <v>41433</v>
      </c>
      <c r="BV84" s="376">
        <f>Tabela10[[#This Row], [Descrição do projeto]]</f>
      </c>
    </row>
    <row x14ac:dyDescent="0.25" r="85" customHeight="1" ht="18.75" hidden="1">
      <c r="A85" s="336">
        <v>386</v>
      </c>
      <c r="B85" s="371">
        <f>AND(ISTEXT('Consolidado-Eletronorte'!#REF!),SUM('Consolidado-Eletronorte'!#REF!)&gt;0)</f>
      </c>
      <c r="C85" s="371">
        <f>$J$13</f>
      </c>
      <c r="D85" s="371">
        <f>$H$13</f>
      </c>
      <c r="E85" s="371">
        <f>$H$14</f>
      </c>
      <c r="F85" s="371">
        <f>_xlfn.CONCAT(Tabela10[[#This Row], [VP]],Tabela10[[#This Row], [Analise Estrategia]])</f>
      </c>
      <c r="G85" s="371">
        <f>_xlfn.CONCAT('Consolidado-Eletronorte'!#REF!,"_",ROW('Consolidado-Eletronorte'!#REF!)-ROW('Consolidado-Eletronorte'!$G$18))</f>
      </c>
      <c r="H85" s="335" t="s">
        <v>10</v>
      </c>
      <c r="I85" s="335" t="s">
        <v>88</v>
      </c>
      <c r="J85" s="335" t="s">
        <v>5</v>
      </c>
      <c r="K85" s="336" t="s">
        <v>21</v>
      </c>
      <c r="L85" s="335" t="s">
        <v>21</v>
      </c>
      <c r="M85" s="335" t="s">
        <v>39932</v>
      </c>
      <c r="N85" s="335"/>
      <c r="O85" s="335"/>
      <c r="P85" s="336" t="s">
        <v>38349</v>
      </c>
      <c r="Q85" s="342" t="s">
        <v>41290</v>
      </c>
      <c r="R85" s="335" t="s">
        <v>40158</v>
      </c>
      <c r="S85" s="342" t="s">
        <v>41290</v>
      </c>
      <c r="T85" s="335" t="s">
        <v>21</v>
      </c>
      <c r="U85" s="335" t="s">
        <v>21</v>
      </c>
      <c r="V85" s="335" t="s">
        <v>39932</v>
      </c>
      <c r="W85" s="335" t="s">
        <v>39932</v>
      </c>
      <c r="X85" s="335"/>
      <c r="Y85" s="336">
        <v>3500007336</v>
      </c>
      <c r="Z85" s="372">
        <v>300000</v>
      </c>
      <c r="AA85" s="336"/>
      <c r="AB85" s="372"/>
      <c r="AC85" s="336"/>
      <c r="AD85" s="372"/>
      <c r="AE85" s="335"/>
      <c r="AF85" s="335"/>
      <c r="AG85" s="335" t="s">
        <v>40082</v>
      </c>
      <c r="AH85" s="335" t="s">
        <v>39998</v>
      </c>
      <c r="AI85" s="337">
        <v>0</v>
      </c>
      <c r="AJ85" s="337">
        <v>0</v>
      </c>
      <c r="AK85" s="337">
        <v>0</v>
      </c>
      <c r="AL85" s="337">
        <v>0</v>
      </c>
      <c r="AM85" s="337">
        <v>0</v>
      </c>
      <c r="AN85" s="337">
        <v>0</v>
      </c>
      <c r="AO85" s="337">
        <v>0</v>
      </c>
      <c r="AP85" s="337">
        <v>0</v>
      </c>
      <c r="AQ85" s="337">
        <v>300000</v>
      </c>
      <c r="AR85" s="337">
        <v>0</v>
      </c>
      <c r="AS85" s="337">
        <v>300000</v>
      </c>
      <c r="AT85" s="337">
        <v>0</v>
      </c>
      <c r="AU85" s="337">
        <f>SUM(Tabela10[[#This Row], [jan/26]:[dez/26]])</f>
      </c>
      <c r="AV85" s="337">
        <v>600000</v>
      </c>
      <c r="AW85" s="337">
        <v>0</v>
      </c>
      <c r="AX85" s="337">
        <v>0</v>
      </c>
      <c r="AY85" s="337">
        <v>0</v>
      </c>
      <c r="AZ85" s="337">
        <f>SUM(Tabela10[[#This Row], [2026]:[2030]])</f>
      </c>
      <c r="BA85" s="337">
        <v>0</v>
      </c>
      <c r="BB85" s="337">
        <v>0</v>
      </c>
      <c r="BC85" s="337">
        <v>0</v>
      </c>
      <c r="BD85" s="337">
        <v>0</v>
      </c>
      <c r="BE85" s="337">
        <v>0</v>
      </c>
      <c r="BF85" s="373">
        <f>SUM(Tabela10[[#This Row], [2026-2030]:[2035]])</f>
      </c>
      <c r="BG85" s="374">
        <f>_xlfn.SEQUENCE(COUNTA(Tabela10[Empresa]),1,1)</f>
      </c>
      <c r="BH85" s="342" t="s">
        <v>41290</v>
      </c>
      <c r="BI85" s="374">
        <f>VLOOKUP(Tabela10[[#This Row], [ID real2]],[2]CONSOLIDADA!$AU:$AZ,6,FALSE)</f>
      </c>
      <c r="BJ85" s="342" t="s">
        <v>40053</v>
      </c>
      <c r="BK85" s="375">
        <v>2025</v>
      </c>
      <c r="BL85" s="342" t="s">
        <v>40159</v>
      </c>
      <c r="BM85" s="375" t="s">
        <v>40160</v>
      </c>
      <c r="BN85" s="342" t="s">
        <v>41290</v>
      </c>
      <c r="BO85" s="342" t="s">
        <v>41171</v>
      </c>
      <c r="BP85" s="342" t="s">
        <v>41417</v>
      </c>
      <c r="BQ85" s="342" t="s">
        <v>64</v>
      </c>
      <c r="BR85" s="376">
        <v>600000</v>
      </c>
      <c r="BS85" s="342" t="s">
        <v>41389</v>
      </c>
      <c r="BT85" s="342" t="s">
        <v>41290</v>
      </c>
      <c r="BU85" s="376" t="s">
        <v>41432</v>
      </c>
      <c r="BV85" s="376">
        <f>Tabela10[[#This Row], [Descrição do projeto]]</f>
      </c>
    </row>
    <row x14ac:dyDescent="0.25" r="86" customHeight="1" ht="18.75">
      <c r="A86" s="336">
        <v>278</v>
      </c>
      <c r="B86" s="371">
        <f>AND(ISTEXT('Consolidado-Eletronorte'!#REF!),SUM('Consolidado-Eletronorte'!#REF!)&gt;0)</f>
      </c>
      <c r="C86" s="371">
        <f>$J$13</f>
      </c>
      <c r="D86" s="371">
        <f>$H$13</f>
      </c>
      <c r="E86" s="371">
        <f>$H$14</f>
      </c>
      <c r="F86" s="371">
        <f>_xlfn.CONCAT(Tabela10[[#This Row], [VP]],Tabela10[[#This Row], [Analise Estrategia]])</f>
      </c>
      <c r="G86" s="371">
        <f>_xlfn.CONCAT('Consolidado-Eletronorte'!#REF!,"_",ROW('Consolidado-Eletronorte'!#REF!)-ROW('Consolidado-Eletronorte'!$G$18))</f>
      </c>
      <c r="H86" s="335" t="s">
        <v>10</v>
      </c>
      <c r="I86" s="335" t="s">
        <v>88</v>
      </c>
      <c r="J86" s="335" t="s">
        <v>5</v>
      </c>
      <c r="K86" s="336" t="s">
        <v>21</v>
      </c>
      <c r="L86" s="335" t="s">
        <v>21</v>
      </c>
      <c r="M86" s="335" t="s">
        <v>40164</v>
      </c>
      <c r="N86" s="335"/>
      <c r="O86" s="335"/>
      <c r="P86" s="336" t="s">
        <v>38358</v>
      </c>
      <c r="Q86" s="342" t="s">
        <v>41279</v>
      </c>
      <c r="R86" s="335" t="s">
        <v>40165</v>
      </c>
      <c r="S86" s="342" t="s">
        <v>41279</v>
      </c>
      <c r="T86" s="335" t="s">
        <v>21</v>
      </c>
      <c r="U86" s="335" t="s">
        <v>21</v>
      </c>
      <c r="V86" s="335" t="s">
        <v>40164</v>
      </c>
      <c r="W86" s="335" t="s">
        <v>40164</v>
      </c>
      <c r="X86" s="335"/>
      <c r="Y86" s="336"/>
      <c r="Z86" s="372"/>
      <c r="AA86" s="336"/>
      <c r="AB86" s="372"/>
      <c r="AC86" s="336">
        <v>4500081111</v>
      </c>
      <c r="AD86" s="372">
        <v>3086790.84</v>
      </c>
      <c r="AE86" s="335" t="s">
        <v>41469</v>
      </c>
      <c r="AF86" s="335" t="s">
        <v>41201</v>
      </c>
      <c r="AG86" s="335" t="s">
        <v>40166</v>
      </c>
      <c r="AH86" s="335" t="s">
        <v>39912</v>
      </c>
      <c r="AI86" s="337">
        <v>0</v>
      </c>
      <c r="AJ86" s="337"/>
      <c r="AK86" s="337">
        <v>1000000</v>
      </c>
      <c r="AL86" s="337">
        <v>0</v>
      </c>
      <c r="AM86" s="337">
        <v>0</v>
      </c>
      <c r="AN86" s="337">
        <v>0</v>
      </c>
      <c r="AO86" s="337">
        <v>0</v>
      </c>
      <c r="AP86" s="337">
        <v>0</v>
      </c>
      <c r="AQ86" s="337">
        <v>0</v>
      </c>
      <c r="AR86" s="337">
        <v>0</v>
      </c>
      <c r="AS86" s="337">
        <v>0</v>
      </c>
      <c r="AT86" s="337">
        <v>0</v>
      </c>
      <c r="AU86" s="337">
        <f>SUM(Tabela10[[#This Row], [jan/26]:[dez/26]])</f>
      </c>
      <c r="AV86" s="337">
        <v>0</v>
      </c>
      <c r="AW86" s="337">
        <v>0</v>
      </c>
      <c r="AX86" s="337">
        <v>0</v>
      </c>
      <c r="AY86" s="337">
        <v>0</v>
      </c>
      <c r="AZ86" s="337">
        <f>SUM(Tabela10[[#This Row], [2026]:[2030]])</f>
      </c>
      <c r="BA86" s="337">
        <v>0</v>
      </c>
      <c r="BB86" s="337">
        <v>0</v>
      </c>
      <c r="BC86" s="337">
        <v>0</v>
      </c>
      <c r="BD86" s="337">
        <v>0</v>
      </c>
      <c r="BE86" s="337">
        <v>0</v>
      </c>
      <c r="BF86" s="373">
        <f>SUM(Tabela10[[#This Row], [2026-2030]:[2035]])</f>
      </c>
      <c r="BG86" s="374">
        <f>_xlfn.SEQUENCE(COUNTA(Tabela10[Empresa]),1,1)</f>
      </c>
      <c r="BH86" s="342" t="s">
        <v>41279</v>
      </c>
      <c r="BI86" s="374">
        <f>VLOOKUP(Tabela10[[#This Row], [ID real2]],[2]CONSOLIDADA!$AU:$AZ,6,FALSE)</f>
      </c>
      <c r="BJ86" s="342" t="s">
        <v>39956</v>
      </c>
      <c r="BK86" s="375">
        <v>2025</v>
      </c>
      <c r="BL86" s="342" t="s">
        <v>40167</v>
      </c>
      <c r="BM86" s="375" t="s">
        <v>40168</v>
      </c>
      <c r="BN86" s="342" t="s">
        <v>41279</v>
      </c>
      <c r="BO86" s="342" t="s">
        <v>46</v>
      </c>
      <c r="BP86" s="342" t="s">
        <v>41400</v>
      </c>
      <c r="BQ86" s="342" t="s">
        <v>46</v>
      </c>
      <c r="BR86" s="376">
        <v>1000000</v>
      </c>
      <c r="BS86" s="342" t="s">
        <v>41385</v>
      </c>
      <c r="BT86" s="342" t="s">
        <v>41279</v>
      </c>
      <c r="BU86" s="376" t="s">
        <v>41404</v>
      </c>
      <c r="BV86" s="376">
        <f>Tabela10[[#This Row], [Descrição do projeto]]</f>
      </c>
    </row>
    <row x14ac:dyDescent="0.25" r="87" customHeight="1" ht="18.75" hidden="1">
      <c r="A87" s="336">
        <v>317</v>
      </c>
      <c r="B87" s="371">
        <f>AND(ISTEXT('Consolidado-Eletronorte'!#REF!),SUM('Consolidado-Eletronorte'!#REF!)&gt;0)</f>
      </c>
      <c r="C87" s="371">
        <f>$J$13</f>
      </c>
      <c r="D87" s="371">
        <f>$H$13</f>
      </c>
      <c r="E87" s="371">
        <f>$H$14</f>
      </c>
      <c r="F87" s="371">
        <f>_xlfn.CONCAT(Tabela10[[#This Row], [VP]],Tabela10[[#This Row], [Analise Estrategia]])</f>
      </c>
      <c r="G87" s="371">
        <f>_xlfn.CONCAT('Consolidado-Eletronorte'!#REF!,"_",ROW('Consolidado-Eletronorte'!#REF!)-ROW('Consolidado-Eletronorte'!$G$18))</f>
      </c>
      <c r="H87" s="335" t="s">
        <v>10</v>
      </c>
      <c r="I87" s="335" t="s">
        <v>88</v>
      </c>
      <c r="J87" s="335" t="s">
        <v>5</v>
      </c>
      <c r="K87" s="336" t="s">
        <v>21</v>
      </c>
      <c r="L87" s="335" t="s">
        <v>21</v>
      </c>
      <c r="M87" s="335" t="s">
        <v>39949</v>
      </c>
      <c r="N87" s="335"/>
      <c r="O87" s="335"/>
      <c r="P87" s="336" t="s">
        <v>38358</v>
      </c>
      <c r="Q87" s="342" t="s">
        <v>41351</v>
      </c>
      <c r="R87" s="335" t="s">
        <v>40185</v>
      </c>
      <c r="S87" s="342" t="s">
        <v>41351</v>
      </c>
      <c r="T87" s="335" t="s">
        <v>21</v>
      </c>
      <c r="U87" s="335" t="s">
        <v>21</v>
      </c>
      <c r="V87" s="335" t="s">
        <v>39949</v>
      </c>
      <c r="W87" s="335" t="s">
        <v>39949</v>
      </c>
      <c r="X87" s="335"/>
      <c r="Y87" s="336" t="s">
        <v>41222</v>
      </c>
      <c r="Z87" s="372"/>
      <c r="AA87" s="336"/>
      <c r="AB87" s="372"/>
      <c r="AC87" s="336"/>
      <c r="AD87" s="372"/>
      <c r="AE87" s="335"/>
      <c r="AF87" s="342"/>
      <c r="AG87" s="335" t="s">
        <v>40186</v>
      </c>
      <c r="AH87" s="335" t="s">
        <v>39912</v>
      </c>
      <c r="AI87" s="337">
        <v>0</v>
      </c>
      <c r="AJ87" s="337">
        <v>0</v>
      </c>
      <c r="AK87" s="337">
        <v>0</v>
      </c>
      <c r="AL87" s="337">
        <v>0</v>
      </c>
      <c r="AM87" s="337">
        <v>0</v>
      </c>
      <c r="AN87" s="337">
        <v>0</v>
      </c>
      <c r="AO87" s="337">
        <v>0</v>
      </c>
      <c r="AP87" s="337">
        <v>0</v>
      </c>
      <c r="AQ87" s="337">
        <v>0</v>
      </c>
      <c r="AR87" s="337">
        <v>0</v>
      </c>
      <c r="AS87" s="337">
        <v>0</v>
      </c>
      <c r="AT87" s="337">
        <v>0</v>
      </c>
      <c r="AU87" s="337">
        <f>SUM(Tabela10[[#This Row], [jan/26]:[dez/26]])</f>
      </c>
      <c r="AV87" s="337">
        <v>1000000</v>
      </c>
      <c r="AW87" s="337">
        <v>0</v>
      </c>
      <c r="AX87" s="337">
        <v>0</v>
      </c>
      <c r="AY87" s="337">
        <v>0</v>
      </c>
      <c r="AZ87" s="337">
        <f>SUM(Tabela10[[#This Row], [2026]:[2030]])</f>
      </c>
      <c r="BA87" s="337">
        <v>0</v>
      </c>
      <c r="BB87" s="337">
        <v>0</v>
      </c>
      <c r="BC87" s="337">
        <v>0</v>
      </c>
      <c r="BD87" s="337">
        <v>0</v>
      </c>
      <c r="BE87" s="337">
        <v>0</v>
      </c>
      <c r="BF87" s="373">
        <f>SUM(Tabela10[[#This Row], [2026-2030]:[2035]])</f>
      </c>
      <c r="BG87" s="374">
        <f>_xlfn.SEQUENCE(COUNTA(Tabela10[Empresa]),1,1)</f>
      </c>
      <c r="BH87" s="342" t="s">
        <v>41351</v>
      </c>
      <c r="BI87" s="374">
        <f>VLOOKUP(Tabela10[[#This Row], [ID real2]],[2]CONSOLIDADA!$AU:$AZ,6,FALSE)</f>
      </c>
      <c r="BJ87" s="342" t="s">
        <v>39925</v>
      </c>
      <c r="BK87" s="375">
        <v>2026</v>
      </c>
      <c r="BL87" s="342" t="s">
        <v>40187</v>
      </c>
      <c r="BM87" s="375">
        <v>0</v>
      </c>
      <c r="BN87" s="342" t="s">
        <v>41351</v>
      </c>
      <c r="BO87" s="342" t="s">
        <v>41172</v>
      </c>
      <c r="BP87" s="342" t="s">
        <v>41121</v>
      </c>
      <c r="BQ87" s="342" t="s">
        <v>41121</v>
      </c>
      <c r="BR87" s="376">
        <v>0</v>
      </c>
      <c r="BS87" s="342" t="s">
        <v>41448</v>
      </c>
      <c r="BT87" s="342" t="s">
        <v>41351</v>
      </c>
      <c r="BU87" s="376" t="s">
        <v>39925</v>
      </c>
      <c r="BV87" s="376">
        <f>Tabela10[[#This Row], [Descrição do projeto]]</f>
      </c>
    </row>
    <row x14ac:dyDescent="0.25" r="88" customHeight="1" ht="18.75" hidden="1">
      <c r="A88" s="336">
        <v>318</v>
      </c>
      <c r="B88" s="371">
        <f>AND(ISTEXT('Consolidado-Eletronorte'!#REF!),SUM('Consolidado-Eletronorte'!#REF!)&gt;0)</f>
      </c>
      <c r="C88" s="371">
        <f>$J$13</f>
      </c>
      <c r="D88" s="371">
        <f>$H$13</f>
      </c>
      <c r="E88" s="371">
        <f>$H$14</f>
      </c>
      <c r="F88" s="371">
        <f>_xlfn.CONCAT(Tabela10[[#This Row], [VP]],Tabela10[[#This Row], [Analise Estrategia]])</f>
      </c>
      <c r="G88" s="371">
        <f>_xlfn.CONCAT('Consolidado-Eletronorte'!#REF!,"_",ROW('Consolidado-Eletronorte'!#REF!)-ROW('Consolidado-Eletronorte'!$G$18))</f>
      </c>
      <c r="H88" s="335" t="s">
        <v>10</v>
      </c>
      <c r="I88" s="335" t="s">
        <v>88</v>
      </c>
      <c r="J88" s="335" t="s">
        <v>5</v>
      </c>
      <c r="K88" s="336" t="s">
        <v>21</v>
      </c>
      <c r="L88" s="335" t="s">
        <v>21</v>
      </c>
      <c r="M88" s="335" t="s">
        <v>39949</v>
      </c>
      <c r="N88" s="335"/>
      <c r="O88" s="335"/>
      <c r="P88" s="336" t="s">
        <v>38358</v>
      </c>
      <c r="Q88" s="342" t="s">
        <v>41352</v>
      </c>
      <c r="R88" s="335" t="s">
        <v>40188</v>
      </c>
      <c r="S88" s="342" t="s">
        <v>41352</v>
      </c>
      <c r="T88" s="335" t="s">
        <v>21</v>
      </c>
      <c r="U88" s="335" t="s">
        <v>21</v>
      </c>
      <c r="V88" s="335" t="s">
        <v>39949</v>
      </c>
      <c r="W88" s="335" t="s">
        <v>39949</v>
      </c>
      <c r="X88" s="335"/>
      <c r="Y88" s="336" t="s">
        <v>41222</v>
      </c>
      <c r="Z88" s="372"/>
      <c r="AA88" s="336"/>
      <c r="AB88" s="372"/>
      <c r="AC88" s="336"/>
      <c r="AD88" s="372"/>
      <c r="AE88" s="335"/>
      <c r="AF88" s="335"/>
      <c r="AG88" s="335" t="s">
        <v>40188</v>
      </c>
      <c r="AH88" s="335" t="s">
        <v>39912</v>
      </c>
      <c r="AI88" s="337">
        <v>0</v>
      </c>
      <c r="AJ88" s="337">
        <v>0</v>
      </c>
      <c r="AK88" s="337">
        <v>0</v>
      </c>
      <c r="AL88" s="337">
        <v>0</v>
      </c>
      <c r="AM88" s="337">
        <v>0</v>
      </c>
      <c r="AN88" s="337">
        <v>0</v>
      </c>
      <c r="AO88" s="337">
        <v>0</v>
      </c>
      <c r="AP88" s="337">
        <v>0</v>
      </c>
      <c r="AQ88" s="337">
        <v>0</v>
      </c>
      <c r="AR88" s="337">
        <v>0</v>
      </c>
      <c r="AS88" s="337">
        <v>0</v>
      </c>
      <c r="AT88" s="337">
        <v>0</v>
      </c>
      <c r="AU88" s="337">
        <f>SUM(Tabela10[[#This Row], [jan/26]:[dez/26]])</f>
      </c>
      <c r="AV88" s="337">
        <v>1000000</v>
      </c>
      <c r="AW88" s="337">
        <v>0</v>
      </c>
      <c r="AX88" s="337">
        <v>0</v>
      </c>
      <c r="AY88" s="337">
        <v>0</v>
      </c>
      <c r="AZ88" s="337">
        <f>SUM(Tabela10[[#This Row], [2026]:[2030]])</f>
      </c>
      <c r="BA88" s="337">
        <v>0</v>
      </c>
      <c r="BB88" s="337">
        <v>0</v>
      </c>
      <c r="BC88" s="337">
        <v>0</v>
      </c>
      <c r="BD88" s="337">
        <v>0</v>
      </c>
      <c r="BE88" s="337">
        <v>0</v>
      </c>
      <c r="BF88" s="373">
        <f>SUM(Tabela10[[#This Row], [2026-2030]:[2035]])</f>
      </c>
      <c r="BG88" s="374">
        <f>_xlfn.SEQUENCE(COUNTA(Tabela10[Empresa]),1,1)</f>
      </c>
      <c r="BH88" s="342" t="s">
        <v>41352</v>
      </c>
      <c r="BI88" s="374">
        <f>VLOOKUP(Tabela10[[#This Row], [ID real2]],[2]CONSOLIDADA!$AU:$AZ,6,FALSE)</f>
      </c>
      <c r="BJ88" s="342" t="s">
        <v>39925</v>
      </c>
      <c r="BK88" s="375">
        <v>2026</v>
      </c>
      <c r="BL88" s="342" t="s">
        <v>40189</v>
      </c>
      <c r="BM88" s="375">
        <v>0</v>
      </c>
      <c r="BN88" s="342" t="s">
        <v>41352</v>
      </c>
      <c r="BO88" s="342" t="s">
        <v>41172</v>
      </c>
      <c r="BP88" s="342" t="s">
        <v>41121</v>
      </c>
      <c r="BQ88" s="342" t="s">
        <v>41121</v>
      </c>
      <c r="BR88" s="376">
        <v>0</v>
      </c>
      <c r="BS88" s="342" t="s">
        <v>41448</v>
      </c>
      <c r="BT88" s="342" t="s">
        <v>41352</v>
      </c>
      <c r="BU88" s="376" t="s">
        <v>39925</v>
      </c>
      <c r="BV88" s="376">
        <f>Tabela10[[#This Row], [Descrição do projeto]]</f>
      </c>
    </row>
    <row x14ac:dyDescent="0.25" r="89" customHeight="1" ht="18.75" hidden="1">
      <c r="A89" s="336">
        <v>277</v>
      </c>
      <c r="B89" s="371">
        <f>AND(ISTEXT('Consolidado-Eletronorte'!#REF!),SUM('Consolidado-Eletronorte'!#REF!)&gt;0)</f>
      </c>
      <c r="C89" s="371">
        <f>$J$13</f>
      </c>
      <c r="D89" s="371">
        <f>$H$13</f>
      </c>
      <c r="E89" s="371">
        <f>$H$14</f>
      </c>
      <c r="F89" s="371">
        <f>_xlfn.CONCAT(Tabela10[[#This Row], [VP]],Tabela10[[#This Row], [Analise Estrategia]])</f>
      </c>
      <c r="G89" s="371">
        <f>_xlfn.CONCAT('Consolidado-Eletronorte'!#REF!,"_",ROW('Consolidado-Eletronorte'!#REF!)-ROW('Consolidado-Eletronorte'!$G$18))</f>
      </c>
      <c r="H89" s="335" t="s">
        <v>10</v>
      </c>
      <c r="I89" s="335" t="s">
        <v>88</v>
      </c>
      <c r="J89" s="335" t="s">
        <v>5</v>
      </c>
      <c r="K89" s="336" t="s">
        <v>21</v>
      </c>
      <c r="L89" s="335" t="s">
        <v>21</v>
      </c>
      <c r="M89" s="335" t="s">
        <v>39949</v>
      </c>
      <c r="N89" s="335"/>
      <c r="O89" s="335"/>
      <c r="P89" s="336" t="s">
        <v>38358</v>
      </c>
      <c r="Q89" s="342" t="s">
        <v>41261</v>
      </c>
      <c r="R89" s="335" t="s">
        <v>40196</v>
      </c>
      <c r="S89" s="342" t="s">
        <v>41261</v>
      </c>
      <c r="T89" s="335" t="s">
        <v>21</v>
      </c>
      <c r="U89" s="335" t="s">
        <v>21</v>
      </c>
      <c r="V89" s="335" t="s">
        <v>39932</v>
      </c>
      <c r="W89" s="335" t="s">
        <v>39932</v>
      </c>
      <c r="X89" s="335"/>
      <c r="Y89" s="336" t="s">
        <v>41222</v>
      </c>
      <c r="Z89" s="372"/>
      <c r="AA89" s="336"/>
      <c r="AB89" s="372"/>
      <c r="AC89" s="336"/>
      <c r="AD89" s="372"/>
      <c r="AE89" s="335"/>
      <c r="AF89" s="335"/>
      <c r="AG89" s="335" t="s">
        <v>40197</v>
      </c>
      <c r="AH89" s="335" t="s">
        <v>39912</v>
      </c>
      <c r="AI89" s="337">
        <v>0</v>
      </c>
      <c r="AJ89" s="337">
        <v>0</v>
      </c>
      <c r="AK89" s="337">
        <v>0</v>
      </c>
      <c r="AL89" s="337"/>
      <c r="AM89" s="337">
        <v>0</v>
      </c>
      <c r="AN89" s="337">
        <v>0</v>
      </c>
      <c r="AO89" s="337">
        <v>0</v>
      </c>
      <c r="AP89" s="337"/>
      <c r="AQ89" s="337">
        <v>0</v>
      </c>
      <c r="AR89" s="337">
        <v>0</v>
      </c>
      <c r="AS89" s="337"/>
      <c r="AT89" s="337">
        <v>0</v>
      </c>
      <c r="AU89" s="337">
        <f>SUM(Tabela10[[#This Row], [jan/26]:[dez/26]])</f>
      </c>
      <c r="AV89" s="381">
        <v>951000</v>
      </c>
      <c r="AW89" s="337">
        <v>0</v>
      </c>
      <c r="AX89" s="337">
        <v>0</v>
      </c>
      <c r="AY89" s="337">
        <v>0</v>
      </c>
      <c r="AZ89" s="337">
        <f>SUM(Tabela10[[#This Row], [2026]:[2030]])</f>
      </c>
      <c r="BA89" s="337">
        <v>0</v>
      </c>
      <c r="BB89" s="337">
        <v>0</v>
      </c>
      <c r="BC89" s="337">
        <v>0</v>
      </c>
      <c r="BD89" s="337">
        <v>0</v>
      </c>
      <c r="BE89" s="337">
        <v>0</v>
      </c>
      <c r="BF89" s="373">
        <f>SUM(Tabela10[[#This Row], [2026-2030]:[2035]])</f>
      </c>
      <c r="BG89" s="374">
        <f>_xlfn.SEQUENCE(COUNTA(Tabela10[Empresa]),1,1)</f>
      </c>
      <c r="BH89" s="342" t="s">
        <v>41261</v>
      </c>
      <c r="BI89" s="374">
        <f>VLOOKUP(Tabela10[[#This Row], [ID real2]],[2]CONSOLIDADA!$AU:$AZ,6,FALSE)</f>
      </c>
      <c r="BJ89" s="342" t="s">
        <v>39925</v>
      </c>
      <c r="BK89" s="375">
        <v>2026</v>
      </c>
      <c r="BL89" s="342" t="s">
        <v>40198</v>
      </c>
      <c r="BM89" s="375">
        <v>0</v>
      </c>
      <c r="BN89" s="342" t="s">
        <v>41261</v>
      </c>
      <c r="BO89" s="342" t="s">
        <v>41172</v>
      </c>
      <c r="BP89" s="342" t="s">
        <v>41121</v>
      </c>
      <c r="BQ89" s="342" t="s">
        <v>41123</v>
      </c>
      <c r="BR89" s="376">
        <v>951000</v>
      </c>
      <c r="BS89" s="342" t="s">
        <v>41448</v>
      </c>
      <c r="BT89" s="342" t="s">
        <v>41261</v>
      </c>
      <c r="BU89" s="376" t="s">
        <v>39925</v>
      </c>
      <c r="BV89" s="376">
        <f>Tabela10[[#This Row], [Descrição do projeto]]</f>
      </c>
    </row>
    <row x14ac:dyDescent="0.25" r="90" customHeight="1" ht="18.75" hidden="1">
      <c r="A90" s="336">
        <v>270</v>
      </c>
      <c r="B90" s="371">
        <f>AND(ISTEXT('Consolidado-Eletronorte'!#REF!),SUM('Consolidado-Eletronorte'!#REF!)&gt;0)</f>
      </c>
      <c r="C90" s="371">
        <f>$J$13</f>
      </c>
      <c r="D90" s="371">
        <f>$H$13</f>
      </c>
      <c r="E90" s="371">
        <f>$H$14</f>
      </c>
      <c r="F90" s="371">
        <f>_xlfn.CONCAT(Tabela10[[#This Row], [VP]],Tabela10[[#This Row], [Analise Estrategia]])</f>
      </c>
      <c r="G90" s="371">
        <f>_xlfn.CONCAT('Consolidado-Eletronorte'!#REF!,"_",ROW('Consolidado-Eletronorte'!#REF!)-ROW('Consolidado-Eletronorte'!$G$18))</f>
      </c>
      <c r="H90" s="335" t="s">
        <v>10</v>
      </c>
      <c r="I90" s="335" t="s">
        <v>88</v>
      </c>
      <c r="J90" s="335" t="s">
        <v>5</v>
      </c>
      <c r="K90" s="336" t="s">
        <v>21</v>
      </c>
      <c r="L90" s="335" t="s">
        <v>21</v>
      </c>
      <c r="M90" s="335" t="s">
        <v>39932</v>
      </c>
      <c r="N90" s="335"/>
      <c r="O90" s="335"/>
      <c r="P90" s="336" t="s">
        <v>38358</v>
      </c>
      <c r="Q90" s="342" t="s">
        <v>41286</v>
      </c>
      <c r="R90" s="342" t="s">
        <v>40209</v>
      </c>
      <c r="S90" s="342" t="s">
        <v>41286</v>
      </c>
      <c r="T90" s="335" t="s">
        <v>21</v>
      </c>
      <c r="U90" s="335" t="s">
        <v>21</v>
      </c>
      <c r="V90" s="335" t="s">
        <v>39932</v>
      </c>
      <c r="W90" s="335" t="s">
        <v>39932</v>
      </c>
      <c r="X90" s="335"/>
      <c r="Y90" s="336" t="s">
        <v>41222</v>
      </c>
      <c r="Z90" s="372"/>
      <c r="AA90" s="336"/>
      <c r="AB90" s="372"/>
      <c r="AC90" s="336"/>
      <c r="AD90" s="372"/>
      <c r="AE90" s="335"/>
      <c r="AF90" s="342"/>
      <c r="AG90" s="335" t="s">
        <v>40149</v>
      </c>
      <c r="AH90" s="335" t="s">
        <v>39912</v>
      </c>
      <c r="AI90" s="337">
        <v>0</v>
      </c>
      <c r="AJ90" s="337">
        <v>0</v>
      </c>
      <c r="AK90" s="337">
        <v>0</v>
      </c>
      <c r="AL90" s="337"/>
      <c r="AM90" s="337">
        <v>0</v>
      </c>
      <c r="AN90" s="337">
        <v>0</v>
      </c>
      <c r="AO90" s="337">
        <v>0</v>
      </c>
      <c r="AP90" s="337"/>
      <c r="AQ90" s="337">
        <v>0</v>
      </c>
      <c r="AR90" s="337">
        <v>0</v>
      </c>
      <c r="AS90" s="337">
        <v>0</v>
      </c>
      <c r="AT90" s="337">
        <v>0</v>
      </c>
      <c r="AU90" s="337">
        <f>SUM(Tabela10[[#This Row], [jan/26]:[dez/26]])</f>
      </c>
      <c r="AV90" s="381">
        <v>450280</v>
      </c>
      <c r="AW90" s="381">
        <v>450280</v>
      </c>
      <c r="AX90" s="337">
        <v>0</v>
      </c>
      <c r="AY90" s="337">
        <v>0</v>
      </c>
      <c r="AZ90" s="337">
        <f>SUM(Tabela10[[#This Row], [2026]:[2030]])</f>
      </c>
      <c r="BA90" s="337">
        <v>0</v>
      </c>
      <c r="BB90" s="337">
        <v>0</v>
      </c>
      <c r="BC90" s="337">
        <v>0</v>
      </c>
      <c r="BD90" s="337">
        <v>0</v>
      </c>
      <c r="BE90" s="337">
        <v>0</v>
      </c>
      <c r="BF90" s="373">
        <f>SUM(Tabela10[[#This Row], [2026-2030]:[2035]])</f>
      </c>
      <c r="BG90" s="374">
        <f>_xlfn.SEQUENCE(COUNTA(Tabela10[Empresa]),1,1)</f>
      </c>
      <c r="BH90" s="342" t="s">
        <v>41286</v>
      </c>
      <c r="BI90" s="374">
        <f>VLOOKUP(Tabela10[[#This Row], [ID real2]],[2]CONSOLIDADA!$AU:$AZ,6,FALSE)</f>
      </c>
      <c r="BJ90" s="342" t="s">
        <v>39925</v>
      </c>
      <c r="BK90" s="375">
        <v>2025</v>
      </c>
      <c r="BL90" s="342" t="s">
        <v>40210</v>
      </c>
      <c r="BM90" s="375" t="s">
        <v>39975</v>
      </c>
      <c r="BN90" s="342" t="s">
        <v>41286</v>
      </c>
      <c r="BO90" s="342" t="s">
        <v>41174</v>
      </c>
      <c r="BP90" s="342" t="s">
        <v>41400</v>
      </c>
      <c r="BQ90" s="342" t="s">
        <v>41123</v>
      </c>
      <c r="BR90" s="376">
        <v>450280</v>
      </c>
      <c r="BS90" s="342" t="s">
        <v>41448</v>
      </c>
      <c r="BT90" s="342" t="s">
        <v>41286</v>
      </c>
      <c r="BU90" s="376" t="s">
        <v>39925</v>
      </c>
      <c r="BV90" s="376">
        <f>Tabela10[[#This Row], [Descrição do projeto]]</f>
      </c>
    </row>
    <row x14ac:dyDescent="0.25" r="91" customHeight="1" ht="18.75">
      <c r="A91" s="336">
        <v>374</v>
      </c>
      <c r="B91" s="371">
        <f>AND(ISTEXT('Consolidado-Eletronorte'!#REF!),SUM('Consolidado-Eletronorte'!#REF!)&gt;0)</f>
      </c>
      <c r="C91" s="371">
        <f>$J$13</f>
      </c>
      <c r="D91" s="371">
        <f>$H$13</f>
      </c>
      <c r="E91" s="371">
        <f>$H$14</f>
      </c>
      <c r="F91" s="371">
        <f>_xlfn.CONCAT(Tabela10[[#This Row], [VP]],Tabela10[[#This Row], [Analise Estrategia]])</f>
      </c>
      <c r="G91" s="371">
        <f>_xlfn.CONCAT('Consolidado-Eletronorte'!#REF!,"_",ROW('Consolidado-Eletronorte'!#REF!)-ROW('Consolidado-Eletronorte'!$G$18))</f>
      </c>
      <c r="H91" s="335" t="s">
        <v>10</v>
      </c>
      <c r="I91" s="335" t="s">
        <v>88</v>
      </c>
      <c r="J91" s="335" t="s">
        <v>5</v>
      </c>
      <c r="K91" s="336" t="s">
        <v>21</v>
      </c>
      <c r="L91" s="335" t="s">
        <v>21</v>
      </c>
      <c r="M91" s="335" t="s">
        <v>40323</v>
      </c>
      <c r="N91" s="335"/>
      <c r="O91" s="335"/>
      <c r="P91" s="336">
        <v>157189</v>
      </c>
      <c r="Q91" s="342" t="s">
        <v>41296</v>
      </c>
      <c r="R91" s="335" t="s">
        <v>40324</v>
      </c>
      <c r="S91" s="342" t="s">
        <v>41296</v>
      </c>
      <c r="T91" s="335" t="s">
        <v>21</v>
      </c>
      <c r="U91" s="335" t="s">
        <v>21</v>
      </c>
      <c r="V91" s="335" t="s">
        <v>40323</v>
      </c>
      <c r="W91" s="335" t="s">
        <v>40323</v>
      </c>
      <c r="X91" s="335"/>
      <c r="Y91" s="336"/>
      <c r="Z91" s="372"/>
      <c r="AA91" s="336"/>
      <c r="AB91" s="372"/>
      <c r="AC91" s="336">
        <v>4500067440</v>
      </c>
      <c r="AD91" s="372">
        <v>61982755.4</v>
      </c>
      <c r="AE91" s="335" t="s">
        <v>41470</v>
      </c>
      <c r="AF91" s="335" t="s">
        <v>41193</v>
      </c>
      <c r="AG91" s="335" t="s">
        <v>40325</v>
      </c>
      <c r="AH91" s="335" t="s">
        <v>39945</v>
      </c>
      <c r="AI91" s="337">
        <v>0</v>
      </c>
      <c r="AJ91" s="337">
        <v>0</v>
      </c>
      <c r="AK91" s="337">
        <v>0</v>
      </c>
      <c r="AL91" s="337">
        <v>0</v>
      </c>
      <c r="AM91" s="337">
        <v>0</v>
      </c>
      <c r="AN91" s="337">
        <v>0</v>
      </c>
      <c r="AO91" s="337">
        <v>450000</v>
      </c>
      <c r="AP91" s="337">
        <v>0</v>
      </c>
      <c r="AQ91" s="337">
        <v>0</v>
      </c>
      <c r="AR91" s="337">
        <v>0</v>
      </c>
      <c r="AS91" s="337">
        <v>0</v>
      </c>
      <c r="AT91" s="337">
        <v>0</v>
      </c>
      <c r="AU91" s="337">
        <f>SUM(Tabela10[[#This Row], [jan/26]:[dez/26]])</f>
      </c>
      <c r="AV91" s="337">
        <v>0</v>
      </c>
      <c r="AW91" s="337">
        <v>0</v>
      </c>
      <c r="AX91" s="337">
        <v>0</v>
      </c>
      <c r="AY91" s="337">
        <v>0</v>
      </c>
      <c r="AZ91" s="337">
        <f>SUM(Tabela10[[#This Row], [2026]:[2030]])</f>
      </c>
      <c r="BA91" s="337">
        <v>0</v>
      </c>
      <c r="BB91" s="337">
        <v>0</v>
      </c>
      <c r="BC91" s="337">
        <v>0</v>
      </c>
      <c r="BD91" s="337">
        <v>0</v>
      </c>
      <c r="BE91" s="337">
        <v>0</v>
      </c>
      <c r="BF91" s="373">
        <f>SUM(Tabela10[[#This Row], [2026-2030]:[2035]])</f>
      </c>
      <c r="BG91" s="374">
        <f>_xlfn.SEQUENCE(COUNTA(Tabela10[Empresa]),1,1)</f>
      </c>
      <c r="BH91" s="342" t="s">
        <v>41296</v>
      </c>
      <c r="BI91" s="374">
        <f>VLOOKUP(Tabela10[[#This Row], [ID real2]],[2]CONSOLIDADA!$AU:$AZ,6,FALSE)</f>
      </c>
      <c r="BJ91" s="342" t="s">
        <v>41130</v>
      </c>
      <c r="BK91" s="375">
        <v>2024</v>
      </c>
      <c r="BL91" s="342" t="s">
        <v>40327</v>
      </c>
      <c r="BM91" s="375" t="s">
        <v>40328</v>
      </c>
      <c r="BN91" s="342" t="s">
        <v>41296</v>
      </c>
      <c r="BO91" s="342" t="s">
        <v>46</v>
      </c>
      <c r="BP91" s="342" t="s">
        <v>41379</v>
      </c>
      <c r="BQ91" s="342" t="s">
        <v>46</v>
      </c>
      <c r="BR91" s="376">
        <v>450000</v>
      </c>
      <c r="BS91" s="342" t="s">
        <v>41389</v>
      </c>
      <c r="BT91" s="342" t="s">
        <v>41296</v>
      </c>
      <c r="BU91" s="376" t="s">
        <v>41471</v>
      </c>
      <c r="BV91" s="376">
        <f>Tabela10[[#This Row], [Descrição do projeto]]</f>
      </c>
    </row>
    <row x14ac:dyDescent="0.25" r="92" customHeight="1" ht="18.75" hidden="1">
      <c r="A92" s="336">
        <v>276</v>
      </c>
      <c r="B92" s="371">
        <f>AND(ISTEXT('Consolidado-Eletronorte'!#REF!),SUM('Consolidado-Eletronorte'!#REF!)&gt;0)</f>
      </c>
      <c r="C92" s="371">
        <f>$J$13</f>
      </c>
      <c r="D92" s="371">
        <f>$H$13</f>
      </c>
      <c r="E92" s="371">
        <f>$H$14</f>
      </c>
      <c r="F92" s="371">
        <f>_xlfn.CONCAT(Tabela10[[#This Row], [VP]],Tabela10[[#This Row], [Analise Estrategia]])</f>
      </c>
      <c r="G92" s="371">
        <f>_xlfn.CONCAT('Consolidado-Eletronorte'!#REF!,"_",ROW('Consolidado-Eletronorte'!#REF!)-ROW('Consolidado-Eletronorte'!$G$18))</f>
      </c>
      <c r="H92" s="335" t="s">
        <v>10</v>
      </c>
      <c r="I92" s="335" t="s">
        <v>88</v>
      </c>
      <c r="J92" s="335" t="s">
        <v>5</v>
      </c>
      <c r="K92" s="336" t="s">
        <v>21</v>
      </c>
      <c r="L92" s="335" t="s">
        <v>21</v>
      </c>
      <c r="M92" s="335" t="s">
        <v>39949</v>
      </c>
      <c r="N92" s="335"/>
      <c r="O92" s="335"/>
      <c r="P92" s="336" t="s">
        <v>38358</v>
      </c>
      <c r="Q92" s="342" t="s">
        <v>41264</v>
      </c>
      <c r="R92" s="388" t="s">
        <v>40211</v>
      </c>
      <c r="S92" s="342" t="s">
        <v>41264</v>
      </c>
      <c r="T92" s="335" t="s">
        <v>21</v>
      </c>
      <c r="U92" s="335" t="s">
        <v>21</v>
      </c>
      <c r="V92" s="335" t="s">
        <v>39949</v>
      </c>
      <c r="W92" s="335" t="s">
        <v>39949</v>
      </c>
      <c r="X92" s="335"/>
      <c r="Y92" s="336" t="s">
        <v>41222</v>
      </c>
      <c r="Z92" s="372"/>
      <c r="AA92" s="336"/>
      <c r="AB92" s="372"/>
      <c r="AC92" s="336"/>
      <c r="AD92" s="372"/>
      <c r="AE92" s="335"/>
      <c r="AF92" s="335"/>
      <c r="AG92" s="335" t="s">
        <v>40211</v>
      </c>
      <c r="AH92" s="335" t="s">
        <v>39912</v>
      </c>
      <c r="AI92" s="337">
        <v>0</v>
      </c>
      <c r="AJ92" s="337">
        <v>0</v>
      </c>
      <c r="AK92" s="337">
        <v>0</v>
      </c>
      <c r="AL92" s="337"/>
      <c r="AM92" s="337">
        <v>0</v>
      </c>
      <c r="AN92" s="337">
        <v>0</v>
      </c>
      <c r="AO92" s="337">
        <v>0</v>
      </c>
      <c r="AP92" s="337"/>
      <c r="AQ92" s="337">
        <v>0</v>
      </c>
      <c r="AR92" s="337">
        <v>0</v>
      </c>
      <c r="AS92" s="337"/>
      <c r="AT92" s="337">
        <v>0</v>
      </c>
      <c r="AU92" s="337">
        <f>SUM(Tabela10[[#This Row], [jan/26]:[dez/26]])</f>
      </c>
      <c r="AV92" s="381">
        <v>900000</v>
      </c>
      <c r="AW92" s="337">
        <v>0</v>
      </c>
      <c r="AX92" s="337">
        <v>0</v>
      </c>
      <c r="AY92" s="337">
        <v>0</v>
      </c>
      <c r="AZ92" s="337">
        <f>SUM(Tabela10[[#This Row], [2026]:[2030]])</f>
      </c>
      <c r="BA92" s="337">
        <v>0</v>
      </c>
      <c r="BB92" s="337">
        <v>0</v>
      </c>
      <c r="BC92" s="337">
        <v>0</v>
      </c>
      <c r="BD92" s="337">
        <v>0</v>
      </c>
      <c r="BE92" s="337">
        <v>0</v>
      </c>
      <c r="BF92" s="373">
        <f>SUM(Tabela10[[#This Row], [2026-2030]:[2035]])</f>
      </c>
      <c r="BG92" s="374">
        <f>_xlfn.SEQUENCE(COUNTA(Tabela10[Empresa]),1,1)</f>
      </c>
      <c r="BH92" s="342" t="s">
        <v>41264</v>
      </c>
      <c r="BI92" s="374">
        <f>VLOOKUP(Tabela10[[#This Row], [ID real2]],[2]CONSOLIDADA!$AU:$AZ,6,FALSE)</f>
      </c>
      <c r="BJ92" s="342" t="s">
        <v>41132</v>
      </c>
      <c r="BK92" s="375">
        <v>2026</v>
      </c>
      <c r="BL92" s="342" t="s">
        <v>40212</v>
      </c>
      <c r="BM92" s="375">
        <v>0</v>
      </c>
      <c r="BN92" s="342" t="s">
        <v>41264</v>
      </c>
      <c r="BO92" s="342" t="s">
        <v>41172</v>
      </c>
      <c r="BP92" s="342" t="s">
        <v>41121</v>
      </c>
      <c r="BQ92" s="342" t="s">
        <v>41123</v>
      </c>
      <c r="BR92" s="376">
        <v>900000</v>
      </c>
      <c r="BS92" s="342" t="s">
        <v>41431</v>
      </c>
      <c r="BT92" s="342" t="s">
        <v>41264</v>
      </c>
      <c r="BU92" s="376" t="s">
        <v>41439</v>
      </c>
      <c r="BV92" s="376">
        <f>Tabela10[[#This Row], [Descrição do projeto]]</f>
      </c>
    </row>
    <row x14ac:dyDescent="0.25" r="93" customHeight="1" ht="18.75" hidden="1">
      <c r="A93" s="336">
        <v>339</v>
      </c>
      <c r="B93" s="371">
        <f>AND(ISTEXT('Consolidado-Eletronorte'!#REF!),SUM('Consolidado-Eletronorte'!#REF!)&gt;0)</f>
      </c>
      <c r="C93" s="371">
        <f>$J$13</f>
      </c>
      <c r="D93" s="371">
        <f>$H$13</f>
      </c>
      <c r="E93" s="371">
        <f>$H$14</f>
      </c>
      <c r="F93" s="371">
        <f>_xlfn.CONCAT(Tabela10[[#This Row], [VP]],Tabela10[[#This Row], [Analise Estrategia]])</f>
      </c>
      <c r="G93" s="371">
        <f>_xlfn.CONCAT('Consolidado-Eletronorte'!#REF!,"_",ROW('Consolidado-Eletronorte'!#REF!)-ROW('Consolidado-Eletronorte'!$G$18))</f>
      </c>
      <c r="H93" s="335" t="s">
        <v>10</v>
      </c>
      <c r="I93" s="335" t="s">
        <v>88</v>
      </c>
      <c r="J93" s="335" t="s">
        <v>5</v>
      </c>
      <c r="K93" s="336" t="s">
        <v>21</v>
      </c>
      <c r="L93" s="335" t="s">
        <v>21</v>
      </c>
      <c r="M93" s="335" t="s">
        <v>39949</v>
      </c>
      <c r="N93" s="335"/>
      <c r="O93" s="335"/>
      <c r="P93" s="336" t="s">
        <v>38366</v>
      </c>
      <c r="Q93" s="342" t="s">
        <v>41298</v>
      </c>
      <c r="R93" s="335" t="s">
        <v>40231</v>
      </c>
      <c r="S93" s="342" t="s">
        <v>41298</v>
      </c>
      <c r="T93" s="335" t="s">
        <v>21</v>
      </c>
      <c r="U93" s="335" t="s">
        <v>21</v>
      </c>
      <c r="V93" s="335" t="s">
        <v>39949</v>
      </c>
      <c r="W93" s="335" t="s">
        <v>39949</v>
      </c>
      <c r="X93" s="335"/>
      <c r="Y93" s="336" t="s">
        <v>41222</v>
      </c>
      <c r="Z93" s="372"/>
      <c r="AA93" s="336"/>
      <c r="AB93" s="372"/>
      <c r="AC93" s="336"/>
      <c r="AD93" s="372"/>
      <c r="AE93" s="335"/>
      <c r="AF93" s="335"/>
      <c r="AG93" s="335" t="s">
        <v>40232</v>
      </c>
      <c r="AH93" s="335" t="s">
        <v>39969</v>
      </c>
      <c r="AI93" s="337">
        <v>0</v>
      </c>
      <c r="AJ93" s="337">
        <v>0</v>
      </c>
      <c r="AK93" s="337">
        <v>0</v>
      </c>
      <c r="AL93" s="337">
        <v>0</v>
      </c>
      <c r="AM93" s="337">
        <v>0</v>
      </c>
      <c r="AN93" s="337">
        <v>0</v>
      </c>
      <c r="AO93" s="337">
        <v>0</v>
      </c>
      <c r="AP93" s="337">
        <v>0</v>
      </c>
      <c r="AQ93" s="337">
        <v>0</v>
      </c>
      <c r="AR93" s="337"/>
      <c r="AS93" s="337">
        <v>0</v>
      </c>
      <c r="AT93" s="337">
        <v>0</v>
      </c>
      <c r="AU93" s="381">
        <f>SUM(Tabela10[[#This Row], [jan/26]:[dez/26]])</f>
      </c>
      <c r="AV93" s="381">
        <v>600000</v>
      </c>
      <c r="AW93" s="381">
        <v>300000</v>
      </c>
      <c r="AX93" s="337">
        <v>0</v>
      </c>
      <c r="AY93" s="337">
        <v>0</v>
      </c>
      <c r="AZ93" s="337">
        <f>SUM(Tabela10[[#This Row], [2026]:[2030]])</f>
      </c>
      <c r="BA93" s="337">
        <v>0</v>
      </c>
      <c r="BB93" s="337">
        <v>0</v>
      </c>
      <c r="BC93" s="337">
        <v>0</v>
      </c>
      <c r="BD93" s="337">
        <v>0</v>
      </c>
      <c r="BE93" s="337">
        <v>0</v>
      </c>
      <c r="BF93" s="373">
        <f>SUM(Tabela10[[#This Row], [2026-2030]:[2035]])</f>
      </c>
      <c r="BG93" s="374">
        <f>_xlfn.SEQUENCE(COUNTA(Tabela10[Empresa]),1,1)</f>
      </c>
      <c r="BH93" s="342" t="s">
        <v>41298</v>
      </c>
      <c r="BI93" s="374">
        <f>VLOOKUP(Tabela10[[#This Row], [ID real2]],[2]CONSOLIDADA!$AU:$AZ,6,FALSE)</f>
      </c>
      <c r="BJ93" s="342" t="s">
        <v>41127</v>
      </c>
      <c r="BK93" s="375">
        <v>2026</v>
      </c>
      <c r="BL93" s="342" t="s">
        <v>40233</v>
      </c>
      <c r="BM93" s="375">
        <v>0</v>
      </c>
      <c r="BN93" s="342" t="s">
        <v>41298</v>
      </c>
      <c r="BO93" s="342" t="s">
        <v>41172</v>
      </c>
      <c r="BP93" s="342" t="s">
        <v>41121</v>
      </c>
      <c r="BQ93" s="342" t="s">
        <v>41123</v>
      </c>
      <c r="BR93" s="376">
        <v>300000</v>
      </c>
      <c r="BS93" s="342" t="s">
        <v>41462</v>
      </c>
      <c r="BT93" s="342" t="s">
        <v>41298</v>
      </c>
      <c r="BU93" s="376" t="s">
        <v>41144</v>
      </c>
      <c r="BV93" s="376">
        <f>Tabela10[[#This Row], [Descrição do projeto]]</f>
      </c>
    </row>
    <row x14ac:dyDescent="0.25" r="94" customHeight="1" ht="18.75" hidden="1">
      <c r="A94" s="336">
        <v>288</v>
      </c>
      <c r="B94" s="371">
        <f>AND(ISTEXT('Consolidado-Eletronorte'!#REF!),SUM('Consolidado-Eletronorte'!#REF!)&gt;0)</f>
      </c>
      <c r="C94" s="371">
        <f>$J$13</f>
      </c>
      <c r="D94" s="371">
        <f>$H$13</f>
      </c>
      <c r="E94" s="371">
        <f>$H$14</f>
      </c>
      <c r="F94" s="371">
        <f>_xlfn.CONCAT(Tabela10[[#This Row], [VP]],Tabela10[[#This Row], [Analise Estrategia]])</f>
      </c>
      <c r="G94" s="371">
        <f>_xlfn.CONCAT('Consolidado-Eletronorte'!#REF!,"_",ROW('Consolidado-Eletronorte'!#REF!)-ROW('Consolidado-Eletronorte'!$G$18))</f>
      </c>
      <c r="H94" s="335" t="s">
        <v>10</v>
      </c>
      <c r="I94" s="335" t="s">
        <v>88</v>
      </c>
      <c r="J94" s="335" t="s">
        <v>5</v>
      </c>
      <c r="K94" s="336" t="s">
        <v>21</v>
      </c>
      <c r="L94" s="335" t="s">
        <v>21</v>
      </c>
      <c r="M94" s="335" t="s">
        <v>39949</v>
      </c>
      <c r="N94" s="335"/>
      <c r="O94" s="335"/>
      <c r="P94" s="336" t="s">
        <v>38349</v>
      </c>
      <c r="Q94" s="342" t="s">
        <v>41299</v>
      </c>
      <c r="R94" s="335" t="s">
        <v>40213</v>
      </c>
      <c r="S94" s="342" t="s">
        <v>41299</v>
      </c>
      <c r="T94" s="335" t="s">
        <v>21</v>
      </c>
      <c r="U94" s="335" t="s">
        <v>21</v>
      </c>
      <c r="V94" s="335" t="s">
        <v>39949</v>
      </c>
      <c r="W94" s="335" t="s">
        <v>39949</v>
      </c>
      <c r="X94" s="335"/>
      <c r="Y94" s="336" t="s">
        <v>41222</v>
      </c>
      <c r="Z94" s="372"/>
      <c r="AA94" s="336"/>
      <c r="AB94" s="372"/>
      <c r="AC94" s="336"/>
      <c r="AD94" s="372"/>
      <c r="AE94" s="335"/>
      <c r="AF94" s="335"/>
      <c r="AG94" s="335" t="s">
        <v>40214</v>
      </c>
      <c r="AH94" s="335" t="s">
        <v>39998</v>
      </c>
      <c r="AI94" s="337">
        <v>0</v>
      </c>
      <c r="AJ94" s="337">
        <v>0</v>
      </c>
      <c r="AK94" s="337">
        <v>0</v>
      </c>
      <c r="AL94" s="337">
        <v>0</v>
      </c>
      <c r="AM94" s="337">
        <v>0</v>
      </c>
      <c r="AN94" s="337">
        <v>0</v>
      </c>
      <c r="AO94" s="337">
        <v>0</v>
      </c>
      <c r="AP94" s="337">
        <v>0</v>
      </c>
      <c r="AQ94" s="337">
        <v>0</v>
      </c>
      <c r="AR94" s="337">
        <v>0</v>
      </c>
      <c r="AS94" s="337">
        <v>0</v>
      </c>
      <c r="AT94" s="337"/>
      <c r="AU94" s="381">
        <f>SUM(Tabela10[[#This Row], [jan/26]:[dez/26]])</f>
      </c>
      <c r="AV94" s="381">
        <v>600000</v>
      </c>
      <c r="AW94" s="381">
        <v>600000</v>
      </c>
      <c r="AX94" s="337">
        <v>0</v>
      </c>
      <c r="AY94" s="337">
        <v>0</v>
      </c>
      <c r="AZ94" s="337">
        <f>SUM(Tabela10[[#This Row], [2026]:[2030]])</f>
      </c>
      <c r="BA94" s="337">
        <v>0</v>
      </c>
      <c r="BB94" s="337">
        <v>0</v>
      </c>
      <c r="BC94" s="337">
        <v>0</v>
      </c>
      <c r="BD94" s="337">
        <v>0</v>
      </c>
      <c r="BE94" s="337">
        <v>0</v>
      </c>
      <c r="BF94" s="373">
        <f>SUM(Tabela10[[#This Row], [2026-2030]:[2035]])</f>
      </c>
      <c r="BG94" s="374">
        <f>_xlfn.SEQUENCE(COUNTA(Tabela10[Empresa]),1,1)</f>
      </c>
      <c r="BH94" s="342" t="s">
        <v>41299</v>
      </c>
      <c r="BI94" s="374">
        <f>VLOOKUP(Tabela10[[#This Row], [ID real2]],[2]CONSOLIDADA!$AU:$AZ,6,FALSE)</f>
      </c>
      <c r="BJ94" s="342" t="s">
        <v>41127</v>
      </c>
      <c r="BK94" s="375">
        <v>2026</v>
      </c>
      <c r="BL94" s="342" t="s">
        <v>40215</v>
      </c>
      <c r="BM94" s="375">
        <v>0</v>
      </c>
      <c r="BN94" s="342" t="s">
        <v>41299</v>
      </c>
      <c r="BO94" s="342" t="s">
        <v>41172</v>
      </c>
      <c r="BP94" s="342" t="s">
        <v>41121</v>
      </c>
      <c r="BQ94" s="342" t="s">
        <v>41123</v>
      </c>
      <c r="BR94" s="376">
        <v>300000</v>
      </c>
      <c r="BS94" s="342" t="s">
        <v>41462</v>
      </c>
      <c r="BT94" s="342" t="s">
        <v>41299</v>
      </c>
      <c r="BU94" s="376" t="s">
        <v>41144</v>
      </c>
      <c r="BV94" s="376">
        <f>Tabela10[[#This Row], [Descrição do projeto]]</f>
      </c>
    </row>
    <row x14ac:dyDescent="0.25" r="95" customHeight="1" ht="18.75" hidden="1">
      <c r="A95" s="336">
        <v>357</v>
      </c>
      <c r="B95" s="371">
        <f>AND(ISTEXT('Consolidado-Eletronorte'!#REF!),SUM('Consolidado-Eletronorte'!#REF!)&gt;0)</f>
      </c>
      <c r="C95" s="371">
        <f>$J$13</f>
      </c>
      <c r="D95" s="371">
        <f>$H$13</f>
      </c>
      <c r="E95" s="371">
        <f>$H$14</f>
      </c>
      <c r="F95" s="371">
        <f>_xlfn.CONCAT(Tabela10[[#This Row], [VP]],Tabela10[[#This Row], [Analise Estrategia]])</f>
      </c>
      <c r="G95" s="371">
        <f>_xlfn.CONCAT('Consolidado-Eletronorte'!#REF!,"_",ROW('Consolidado-Eletronorte'!#REF!)-ROW('Consolidado-Eletronorte'!$G$18))</f>
      </c>
      <c r="H95" s="335" t="s">
        <v>10</v>
      </c>
      <c r="I95" s="335" t="s">
        <v>88</v>
      </c>
      <c r="J95" s="335" t="s">
        <v>5</v>
      </c>
      <c r="K95" s="336" t="s">
        <v>21</v>
      </c>
      <c r="L95" s="335" t="s">
        <v>21</v>
      </c>
      <c r="M95" s="335" t="s">
        <v>39949</v>
      </c>
      <c r="N95" s="335"/>
      <c r="O95" s="335"/>
      <c r="P95" s="336" t="s">
        <v>38358</v>
      </c>
      <c r="Q95" s="342" t="s">
        <v>41273</v>
      </c>
      <c r="R95" s="342" t="s">
        <v>41226</v>
      </c>
      <c r="S95" s="342" t="s">
        <v>41273</v>
      </c>
      <c r="T95" s="335" t="s">
        <v>21</v>
      </c>
      <c r="U95" s="335" t="s">
        <v>21</v>
      </c>
      <c r="V95" s="335" t="s">
        <v>39949</v>
      </c>
      <c r="W95" s="335" t="s">
        <v>39949</v>
      </c>
      <c r="X95" s="335"/>
      <c r="Y95" s="336">
        <v>3400005392</v>
      </c>
      <c r="Z95" s="372">
        <v>897510</v>
      </c>
      <c r="AA95" s="336"/>
      <c r="AB95" s="372"/>
      <c r="AC95" s="336"/>
      <c r="AD95" s="372"/>
      <c r="AE95" s="335"/>
      <c r="AF95" s="335"/>
      <c r="AG95" s="335" t="s">
        <v>40096</v>
      </c>
      <c r="AH95" s="335" t="s">
        <v>39912</v>
      </c>
      <c r="AI95" s="337">
        <v>0</v>
      </c>
      <c r="AJ95" s="337">
        <v>0</v>
      </c>
      <c r="AK95" s="337">
        <v>0</v>
      </c>
      <c r="AL95" s="337">
        <v>0</v>
      </c>
      <c r="AM95" s="337">
        <v>0</v>
      </c>
      <c r="AN95" s="337"/>
      <c r="AO95" s="337"/>
      <c r="AP95" s="337">
        <v>0</v>
      </c>
      <c r="AQ95" s="337">
        <v>0</v>
      </c>
      <c r="AR95" s="337">
        <v>0</v>
      </c>
      <c r="AS95" s="337"/>
      <c r="AT95" s="337">
        <v>0</v>
      </c>
      <c r="AU95" s="381">
        <f>SUM(Tabela10[[#This Row], [jan/26]:[dez/26]])</f>
      </c>
      <c r="AV95" s="381">
        <v>897510</v>
      </c>
      <c r="AW95" s="381"/>
      <c r="AX95" s="337">
        <v>0</v>
      </c>
      <c r="AY95" s="337">
        <v>0</v>
      </c>
      <c r="AZ95" s="337">
        <f>SUM(Tabela10[[#This Row], [2026]:[2030]])</f>
      </c>
      <c r="BA95" s="337">
        <v>0</v>
      </c>
      <c r="BB95" s="337">
        <v>0</v>
      </c>
      <c r="BC95" s="337">
        <v>0</v>
      </c>
      <c r="BD95" s="337">
        <v>0</v>
      </c>
      <c r="BE95" s="337">
        <v>0</v>
      </c>
      <c r="BF95" s="373">
        <f>SUM(Tabela10[[#This Row], [2026-2030]:[2035]])</f>
      </c>
      <c r="BG95" s="374">
        <f>_xlfn.SEQUENCE(COUNTA(Tabela10[Empresa]),1,1)</f>
      </c>
      <c r="BH95" s="342" t="s">
        <v>41273</v>
      </c>
      <c r="BI95" s="374">
        <f>VLOOKUP(Tabela10[[#This Row], [ID real2]],[2]CONSOLIDADA!$AU:$AZ,6,FALSE)</f>
      </c>
      <c r="BJ95" s="342" t="s">
        <v>41127</v>
      </c>
      <c r="BK95" s="375">
        <v>2025</v>
      </c>
      <c r="BL95" s="342" t="s">
        <v>40097</v>
      </c>
      <c r="BM95" s="375" t="s">
        <v>40098</v>
      </c>
      <c r="BN95" s="342" t="s">
        <v>41273</v>
      </c>
      <c r="BO95" s="342" t="s">
        <v>41173</v>
      </c>
      <c r="BP95" s="342" t="s">
        <v>41400</v>
      </c>
      <c r="BQ95" s="342" t="s">
        <v>64</v>
      </c>
      <c r="BR95" s="376">
        <v>1000000</v>
      </c>
      <c r="BS95" s="342" t="s">
        <v>41431</v>
      </c>
      <c r="BT95" s="342" t="s">
        <v>41273</v>
      </c>
      <c r="BU95" s="376" t="s">
        <v>41144</v>
      </c>
      <c r="BV95" s="376">
        <f>Tabela10[[#This Row], [Descrição do projeto]]</f>
      </c>
    </row>
    <row x14ac:dyDescent="0.25" r="96" customHeight="1" ht="18.75" hidden="1">
      <c r="A96" s="336">
        <v>275</v>
      </c>
      <c r="B96" s="371">
        <f>AND(ISTEXT('Consolidado-Eletronorte'!#REF!),SUM('Consolidado-Eletronorte'!#REF!)&gt;0)</f>
      </c>
      <c r="C96" s="371">
        <f>$J$13</f>
      </c>
      <c r="D96" s="371">
        <f>$H$13</f>
      </c>
      <c r="E96" s="371">
        <f>$H$14</f>
      </c>
      <c r="F96" s="371">
        <f>_xlfn.CONCAT(Tabela10[[#This Row], [VP]],Tabela10[[#This Row], [Analise Estrategia]])</f>
      </c>
      <c r="G96" s="371">
        <f>_xlfn.CONCAT('Consolidado-Eletronorte'!#REF!,"_",ROW('Consolidado-Eletronorte'!#REF!)-ROW('Consolidado-Eletronorte'!$G$18))</f>
      </c>
      <c r="H96" s="335" t="s">
        <v>10</v>
      </c>
      <c r="I96" s="335" t="s">
        <v>88</v>
      </c>
      <c r="J96" s="335" t="s">
        <v>5</v>
      </c>
      <c r="K96" s="336" t="s">
        <v>21</v>
      </c>
      <c r="L96" s="335" t="s">
        <v>21</v>
      </c>
      <c r="M96" s="335" t="s">
        <v>39949</v>
      </c>
      <c r="N96" s="335"/>
      <c r="O96" s="335"/>
      <c r="P96" s="336" t="s">
        <v>38358</v>
      </c>
      <c r="Q96" s="342" t="s">
        <v>41265</v>
      </c>
      <c r="R96" s="335" t="s">
        <v>40222</v>
      </c>
      <c r="S96" s="342" t="s">
        <v>41265</v>
      </c>
      <c r="T96" s="335" t="s">
        <v>21</v>
      </c>
      <c r="U96" s="335" t="s">
        <v>21</v>
      </c>
      <c r="V96" s="335" t="s">
        <v>39949</v>
      </c>
      <c r="W96" s="335" t="s">
        <v>39949</v>
      </c>
      <c r="X96" s="335"/>
      <c r="Y96" s="336" t="s">
        <v>41222</v>
      </c>
      <c r="Z96" s="372"/>
      <c r="AA96" s="336"/>
      <c r="AB96" s="372"/>
      <c r="AC96" s="336"/>
      <c r="AD96" s="372"/>
      <c r="AE96" s="335"/>
      <c r="AF96" s="335"/>
      <c r="AG96" s="335" t="s">
        <v>40223</v>
      </c>
      <c r="AH96" s="335" t="s">
        <v>39912</v>
      </c>
      <c r="AI96" s="337">
        <v>0</v>
      </c>
      <c r="AJ96" s="337">
        <v>0</v>
      </c>
      <c r="AK96" s="337"/>
      <c r="AL96" s="337">
        <v>0</v>
      </c>
      <c r="AM96" s="337">
        <v>0</v>
      </c>
      <c r="AN96" s="337"/>
      <c r="AO96" s="337">
        <v>0</v>
      </c>
      <c r="AP96" s="337"/>
      <c r="AQ96" s="337"/>
      <c r="AR96" s="337"/>
      <c r="AS96" s="337"/>
      <c r="AT96" s="337">
        <v>0</v>
      </c>
      <c r="AU96" s="337">
        <f>SUM(Tabela10[[#This Row], [jan/26]:[dez/26]])</f>
      </c>
      <c r="AV96" s="381">
        <v>720000</v>
      </c>
      <c r="AW96" s="337">
        <v>0</v>
      </c>
      <c r="AX96" s="337">
        <v>0</v>
      </c>
      <c r="AY96" s="337">
        <v>0</v>
      </c>
      <c r="AZ96" s="337">
        <f>SUM(Tabela10[[#This Row], [2026]:[2030]])</f>
      </c>
      <c r="BA96" s="337">
        <v>0</v>
      </c>
      <c r="BB96" s="337">
        <v>0</v>
      </c>
      <c r="BC96" s="337">
        <v>0</v>
      </c>
      <c r="BD96" s="337">
        <v>0</v>
      </c>
      <c r="BE96" s="337">
        <v>0</v>
      </c>
      <c r="BF96" s="373">
        <f>SUM(Tabela10[[#This Row], [2026-2030]:[2035]])</f>
      </c>
      <c r="BG96" s="374">
        <f>_xlfn.SEQUENCE(COUNTA(Tabela10[Empresa]),1,1)</f>
      </c>
      <c r="BH96" s="342" t="s">
        <v>41265</v>
      </c>
      <c r="BI96" s="374">
        <f>VLOOKUP(Tabela10[[#This Row], [ID real2]],[2]CONSOLIDADA!$AU:$AZ,6,FALSE)</f>
      </c>
      <c r="BJ96" s="342" t="s">
        <v>41127</v>
      </c>
      <c r="BK96" s="375">
        <v>2026</v>
      </c>
      <c r="BL96" s="342" t="s">
        <v>40224</v>
      </c>
      <c r="BM96" s="375">
        <v>0</v>
      </c>
      <c r="BN96" s="342" t="s">
        <v>41265</v>
      </c>
      <c r="BO96" s="342" t="s">
        <v>41172</v>
      </c>
      <c r="BP96" s="342" t="s">
        <v>41121</v>
      </c>
      <c r="BQ96" s="342" t="s">
        <v>41123</v>
      </c>
      <c r="BR96" s="376">
        <v>720000</v>
      </c>
      <c r="BS96" s="342" t="s">
        <v>41431</v>
      </c>
      <c r="BT96" s="342" t="s">
        <v>41265</v>
      </c>
      <c r="BU96" s="376" t="s">
        <v>41144</v>
      </c>
      <c r="BV96" s="376">
        <f>Tabela10[[#This Row], [Descrição do projeto]]</f>
      </c>
    </row>
    <row x14ac:dyDescent="0.25" r="97" customHeight="1" ht="18.75">
      <c r="A97" s="336">
        <v>274</v>
      </c>
      <c r="B97" s="371">
        <f>AND(ISTEXT('Consolidado-Eletronorte'!#REF!),SUM('Consolidado-Eletronorte'!#REF!)&gt;0)</f>
      </c>
      <c r="C97" s="371">
        <f>$J$13</f>
      </c>
      <c r="D97" s="371">
        <f>$H$13</f>
      </c>
      <c r="E97" s="371">
        <f>$H$14</f>
      </c>
      <c r="F97" s="371">
        <f>_xlfn.CONCAT(Tabela10[[#This Row], [VP]],Tabela10[[#This Row], [Analise Estrategia]])</f>
      </c>
      <c r="G97" s="371">
        <f>_xlfn.CONCAT('Consolidado-Eletronorte'!#REF!,"_",ROW('Consolidado-Eletronorte'!#REF!)-ROW('Consolidado-Eletronorte'!$G$18))</f>
      </c>
      <c r="H97" s="335" t="s">
        <v>10</v>
      </c>
      <c r="I97" s="335" t="s">
        <v>88</v>
      </c>
      <c r="J97" s="335" t="s">
        <v>5</v>
      </c>
      <c r="K97" s="336" t="s">
        <v>21</v>
      </c>
      <c r="L97" s="335" t="s">
        <v>21</v>
      </c>
      <c r="M97" s="382" t="s">
        <v>39932</v>
      </c>
      <c r="N97" s="335"/>
      <c r="O97" s="335"/>
      <c r="P97" s="336" t="s">
        <v>38358</v>
      </c>
      <c r="Q97" s="342" t="s">
        <v>41287</v>
      </c>
      <c r="R97" s="335" t="s">
        <v>40225</v>
      </c>
      <c r="S97" s="342" t="s">
        <v>41287</v>
      </c>
      <c r="T97" s="335" t="s">
        <v>21</v>
      </c>
      <c r="U97" s="335" t="s">
        <v>21</v>
      </c>
      <c r="V97" s="335" t="s">
        <v>39932</v>
      </c>
      <c r="W97" s="335" t="s">
        <v>39932</v>
      </c>
      <c r="X97" s="335" t="s">
        <v>41472</v>
      </c>
      <c r="Y97" s="336"/>
      <c r="Z97" s="372"/>
      <c r="AA97" s="389"/>
      <c r="AB97" s="372"/>
      <c r="AC97" s="336">
        <v>4500097004</v>
      </c>
      <c r="AD97" s="372">
        <v>918100</v>
      </c>
      <c r="AE97" s="335"/>
      <c r="AF97" s="335"/>
      <c r="AG97" s="335" t="s">
        <v>40226</v>
      </c>
      <c r="AH97" s="335" t="s">
        <v>39912</v>
      </c>
      <c r="AI97" s="337">
        <v>0</v>
      </c>
      <c r="AJ97" s="337">
        <v>0</v>
      </c>
      <c r="AK97" s="337">
        <v>0</v>
      </c>
      <c r="AL97" s="337">
        <v>0</v>
      </c>
      <c r="AM97" s="337">
        <v>0</v>
      </c>
      <c r="AN97" s="337">
        <v>0</v>
      </c>
      <c r="AO97" s="337">
        <v>0</v>
      </c>
      <c r="AP97" s="337">
        <v>0</v>
      </c>
      <c r="AQ97" s="337">
        <v>0</v>
      </c>
      <c r="AR97" s="337">
        <v>350000</v>
      </c>
      <c r="AS97" s="337">
        <v>0</v>
      </c>
      <c r="AT97" s="337">
        <v>0</v>
      </c>
      <c r="AU97" s="337">
        <f>SUM(Tabela10[[#This Row], [jan/26]:[dez/26]])</f>
      </c>
      <c r="AV97" s="337">
        <v>350000</v>
      </c>
      <c r="AW97" s="337">
        <v>0</v>
      </c>
      <c r="AX97" s="337">
        <v>0</v>
      </c>
      <c r="AY97" s="337">
        <v>0</v>
      </c>
      <c r="AZ97" s="337">
        <f>SUM(Tabela10[[#This Row], [2026]:[2030]])</f>
      </c>
      <c r="BA97" s="337">
        <v>0</v>
      </c>
      <c r="BB97" s="337">
        <v>0</v>
      </c>
      <c r="BC97" s="337">
        <v>0</v>
      </c>
      <c r="BD97" s="337">
        <v>0</v>
      </c>
      <c r="BE97" s="337">
        <v>0</v>
      </c>
      <c r="BF97" s="373">
        <f>SUM(Tabela10[[#This Row], [2026-2030]:[2035]])</f>
      </c>
      <c r="BG97" s="374">
        <f>_xlfn.SEQUENCE(COUNTA(Tabela10[Empresa]),1,1)</f>
      </c>
      <c r="BH97" s="342" t="s">
        <v>41287</v>
      </c>
      <c r="BI97" s="374">
        <f>VLOOKUP(Tabela10[[#This Row], [ID real2]],[2]CONSOLIDADA!$AU:$AZ,6,FALSE)</f>
      </c>
      <c r="BJ97" s="342" t="s">
        <v>39956</v>
      </c>
      <c r="BK97" s="375">
        <v>2025</v>
      </c>
      <c r="BL97" s="342" t="s">
        <v>40227</v>
      </c>
      <c r="BM97" s="375" t="s">
        <v>39975</v>
      </c>
      <c r="BN97" s="342" t="s">
        <v>41287</v>
      </c>
      <c r="BO97" s="342" t="s">
        <v>41174</v>
      </c>
      <c r="BP97" s="342" t="s">
        <v>41400</v>
      </c>
      <c r="BQ97" s="342" t="s">
        <v>41123</v>
      </c>
      <c r="BR97" s="376">
        <v>350000</v>
      </c>
      <c r="BS97" s="342" t="s">
        <v>41389</v>
      </c>
      <c r="BT97" s="342" t="s">
        <v>41287</v>
      </c>
      <c r="BU97" s="376" t="s">
        <v>41404</v>
      </c>
      <c r="BV97" s="376">
        <f>Tabela10[[#This Row], [Descrição do projeto]]</f>
      </c>
    </row>
    <row x14ac:dyDescent="0.25" r="98" customHeight="1" ht="18.75" hidden="1">
      <c r="A98" s="336">
        <v>385</v>
      </c>
      <c r="B98" s="371">
        <f>AND(ISTEXT('Consolidado-Eletronorte'!#REF!),SUM('Consolidado-Eletronorte'!#REF!)&gt;0)</f>
      </c>
      <c r="C98" s="371">
        <f>$J$13</f>
      </c>
      <c r="D98" s="371">
        <f>$H$13</f>
      </c>
      <c r="E98" s="371">
        <f>$H$14</f>
      </c>
      <c r="F98" s="371">
        <f>_xlfn.CONCAT(Tabela10[[#This Row], [VP]],Tabela10[[#This Row], [Analise Estrategia]])</f>
      </c>
      <c r="G98" s="371">
        <f>_xlfn.CONCAT('Consolidado-Eletronorte'!#REF!,"_",ROW('Consolidado-Eletronorte'!#REF!)-ROW('Consolidado-Eletronorte'!$G$18))</f>
      </c>
      <c r="H98" s="335" t="s">
        <v>10</v>
      </c>
      <c r="I98" s="335" t="s">
        <v>88</v>
      </c>
      <c r="J98" s="335" t="s">
        <v>5</v>
      </c>
      <c r="K98" s="336" t="s">
        <v>21</v>
      </c>
      <c r="L98" s="335" t="s">
        <v>21</v>
      </c>
      <c r="M98" s="335" t="s">
        <v>39932</v>
      </c>
      <c r="N98" s="335"/>
      <c r="O98" s="335"/>
      <c r="P98" s="336" t="s">
        <v>38368</v>
      </c>
      <c r="Q98" s="342" t="s">
        <v>41303</v>
      </c>
      <c r="R98" s="335" t="s">
        <v>40228</v>
      </c>
      <c r="S98" s="342" t="s">
        <v>41303</v>
      </c>
      <c r="T98" s="335" t="s">
        <v>21</v>
      </c>
      <c r="U98" s="335" t="s">
        <v>21</v>
      </c>
      <c r="V98" s="335" t="s">
        <v>39932</v>
      </c>
      <c r="W98" s="335" t="s">
        <v>39932</v>
      </c>
      <c r="X98" s="335"/>
      <c r="Y98" s="336">
        <v>3500006131</v>
      </c>
      <c r="Z98" s="372">
        <v>524597.63</v>
      </c>
      <c r="AA98" s="336"/>
      <c r="AB98" s="372"/>
      <c r="AC98" s="336"/>
      <c r="AD98" s="372"/>
      <c r="AE98" s="335"/>
      <c r="AF98" s="335"/>
      <c r="AG98" s="335" t="s">
        <v>40229</v>
      </c>
      <c r="AH98" s="335" t="s">
        <v>40006</v>
      </c>
      <c r="AI98" s="337">
        <v>0</v>
      </c>
      <c r="AJ98" s="337">
        <v>0</v>
      </c>
      <c r="AK98" s="337">
        <v>0</v>
      </c>
      <c r="AL98" s="337">
        <v>0</v>
      </c>
      <c r="AM98" s="337">
        <v>150000</v>
      </c>
      <c r="AN98" s="337">
        <v>0</v>
      </c>
      <c r="AO98" s="337">
        <v>200000</v>
      </c>
      <c r="AP98" s="337">
        <v>0</v>
      </c>
      <c r="AQ98" s="337">
        <v>150000</v>
      </c>
      <c r="AR98" s="337">
        <v>0</v>
      </c>
      <c r="AS98" s="337">
        <v>100000</v>
      </c>
      <c r="AT98" s="337">
        <v>0</v>
      </c>
      <c r="AU98" s="381">
        <f>SUM(Tabela10[[#This Row], [jan/26]:[dez/26]])</f>
      </c>
      <c r="AV98" s="381">
        <v>500000</v>
      </c>
      <c r="AW98" s="337">
        <v>0</v>
      </c>
      <c r="AX98" s="337">
        <v>0</v>
      </c>
      <c r="AY98" s="337">
        <v>0</v>
      </c>
      <c r="AZ98" s="337">
        <f>SUM(Tabela10[[#This Row], [2026]:[2030]])</f>
      </c>
      <c r="BA98" s="337">
        <v>0</v>
      </c>
      <c r="BB98" s="337">
        <v>0</v>
      </c>
      <c r="BC98" s="337">
        <v>0</v>
      </c>
      <c r="BD98" s="337">
        <v>0</v>
      </c>
      <c r="BE98" s="337">
        <v>0</v>
      </c>
      <c r="BF98" s="373">
        <f>SUM(Tabela10[[#This Row], [2026-2030]:[2035]])</f>
      </c>
      <c r="BG98" s="374">
        <f>_xlfn.SEQUENCE(COUNTA(Tabela10[Empresa]),1,1)</f>
      </c>
      <c r="BH98" s="342" t="s">
        <v>41303</v>
      </c>
      <c r="BI98" s="374">
        <f>VLOOKUP(Tabela10[[#This Row], [ID real2]],[2]CONSOLIDADA!$AU:$AZ,6,FALSE)</f>
      </c>
      <c r="BJ98" s="342" t="s">
        <v>39952</v>
      </c>
      <c r="BK98" s="375">
        <v>2026</v>
      </c>
      <c r="BL98" s="342" t="s">
        <v>40230</v>
      </c>
      <c r="BM98" s="375">
        <v>0</v>
      </c>
      <c r="BN98" s="342" t="s">
        <v>41303</v>
      </c>
      <c r="BO98" s="342" t="s">
        <v>41171</v>
      </c>
      <c r="BP98" s="342" t="s">
        <v>41121</v>
      </c>
      <c r="BQ98" s="342" t="s">
        <v>41123</v>
      </c>
      <c r="BR98" s="376">
        <v>600000</v>
      </c>
      <c r="BS98" s="342" t="s">
        <v>41473</v>
      </c>
      <c r="BT98" s="342" t="s">
        <v>41303</v>
      </c>
      <c r="BU98" s="376" t="s">
        <v>41408</v>
      </c>
      <c r="BV98" s="376">
        <f>Tabela10[[#This Row], [Descrição do projeto]]</f>
      </c>
    </row>
    <row x14ac:dyDescent="0.25" r="99" customHeight="1" ht="18.75" hidden="1">
      <c r="A99" s="336">
        <v>316</v>
      </c>
      <c r="B99" s="371">
        <f>AND(ISTEXT('Consolidado-Eletronorte'!#REF!),SUM('Consolidado-Eletronorte'!#REF!)&gt;0)</f>
      </c>
      <c r="C99" s="371">
        <f>$J$13</f>
      </c>
      <c r="D99" s="371">
        <f>$H$13</f>
      </c>
      <c r="E99" s="371">
        <f>$H$14</f>
      </c>
      <c r="F99" s="371">
        <f>_xlfn.CONCAT(Tabela10[[#This Row], [VP]],Tabela10[[#This Row], [Analise Estrategia]])</f>
      </c>
      <c r="G99" s="371">
        <f>_xlfn.CONCAT('Consolidado-Eletronorte'!#REF!,"_",ROW('Consolidado-Eletronorte'!#REF!)-ROW('Consolidado-Eletronorte'!$G$18))</f>
      </c>
      <c r="H99" s="335" t="s">
        <v>10</v>
      </c>
      <c r="I99" s="335" t="s">
        <v>88</v>
      </c>
      <c r="J99" s="335" t="s">
        <v>5</v>
      </c>
      <c r="K99" s="336" t="s">
        <v>21</v>
      </c>
      <c r="L99" s="335" t="s">
        <v>21</v>
      </c>
      <c r="M99" s="335" t="s">
        <v>39932</v>
      </c>
      <c r="N99" s="335"/>
      <c r="O99" s="335"/>
      <c r="P99" s="336">
        <v>157189</v>
      </c>
      <c r="Q99" s="342" t="s">
        <v>41304</v>
      </c>
      <c r="R99" s="335" t="s">
        <v>40329</v>
      </c>
      <c r="S99" s="342" t="s">
        <v>41304</v>
      </c>
      <c r="T99" s="335" t="s">
        <v>21</v>
      </c>
      <c r="U99" s="335" t="s">
        <v>21</v>
      </c>
      <c r="V99" s="335" t="s">
        <v>39932</v>
      </c>
      <c r="W99" s="335" t="s">
        <v>39932</v>
      </c>
      <c r="X99" s="335"/>
      <c r="Y99" s="336" t="s">
        <v>41222</v>
      </c>
      <c r="Z99" s="372"/>
      <c r="AA99" s="336"/>
      <c r="AB99" s="372"/>
      <c r="AC99" s="336"/>
      <c r="AD99" s="372"/>
      <c r="AE99" s="335"/>
      <c r="AF99" s="335"/>
      <c r="AG99" s="335" t="s">
        <v>40330</v>
      </c>
      <c r="AH99" s="335" t="s">
        <v>39945</v>
      </c>
      <c r="AI99" s="337">
        <v>0</v>
      </c>
      <c r="AJ99" s="337">
        <v>0</v>
      </c>
      <c r="AK99" s="337">
        <v>0</v>
      </c>
      <c r="AL99" s="337">
        <v>0</v>
      </c>
      <c r="AM99" s="337">
        <v>0</v>
      </c>
      <c r="AN99" s="337">
        <v>0</v>
      </c>
      <c r="AO99" s="337">
        <v>0</v>
      </c>
      <c r="AP99" s="337">
        <v>0</v>
      </c>
      <c r="AQ99" s="337">
        <v>0</v>
      </c>
      <c r="AR99" s="337">
        <v>0</v>
      </c>
      <c r="AS99" s="337">
        <v>300000</v>
      </c>
      <c r="AT99" s="337">
        <v>0</v>
      </c>
      <c r="AU99" s="381">
        <f>SUM(Tabela10[[#This Row], [jan/26]:[dez/26]])</f>
      </c>
      <c r="AV99" s="381">
        <v>200000</v>
      </c>
      <c r="AW99" s="337">
        <v>0</v>
      </c>
      <c r="AX99" s="337">
        <v>0</v>
      </c>
      <c r="AY99" s="337">
        <v>0</v>
      </c>
      <c r="AZ99" s="337">
        <f>SUM(Tabela10[[#This Row], [2026]:[2030]])</f>
      </c>
      <c r="BA99" s="337">
        <v>0</v>
      </c>
      <c r="BB99" s="337">
        <v>0</v>
      </c>
      <c r="BC99" s="337">
        <v>0</v>
      </c>
      <c r="BD99" s="337">
        <v>0</v>
      </c>
      <c r="BE99" s="337">
        <v>0</v>
      </c>
      <c r="BF99" s="373">
        <f>SUM(Tabela10[[#This Row], [2026-2030]:[2035]])</f>
      </c>
      <c r="BG99" s="374">
        <f>_xlfn.SEQUENCE(COUNTA(Tabela10[Empresa]),1,1)</f>
      </c>
      <c r="BH99" s="342" t="s">
        <v>41304</v>
      </c>
      <c r="BI99" s="374">
        <f>VLOOKUP(Tabela10[[#This Row], [ID real2]],[2]CONSOLIDADA!$AU:$AZ,6,FALSE)</f>
      </c>
      <c r="BJ99" s="342" t="s">
        <v>41126</v>
      </c>
      <c r="BK99" s="375">
        <v>2026</v>
      </c>
      <c r="BL99" s="342" t="s">
        <v>40331</v>
      </c>
      <c r="BM99" s="375">
        <v>0</v>
      </c>
      <c r="BN99" s="342" t="s">
        <v>41304</v>
      </c>
      <c r="BO99" s="342" t="s">
        <v>41174</v>
      </c>
      <c r="BP99" s="342" t="s">
        <v>41121</v>
      </c>
      <c r="BQ99" s="342" t="s">
        <v>41123</v>
      </c>
      <c r="BR99" s="376">
        <v>300000</v>
      </c>
      <c r="BS99" s="342" t="s">
        <v>41407</v>
      </c>
      <c r="BT99" s="342" t="s">
        <v>41304</v>
      </c>
      <c r="BU99" s="376" t="s">
        <v>41433</v>
      </c>
      <c r="BV99" s="376">
        <f>Tabela10[[#This Row], [Descrição do projeto]]</f>
      </c>
    </row>
    <row x14ac:dyDescent="0.25" r="100" customHeight="1" ht="18.75">
      <c r="A100" s="336">
        <v>298</v>
      </c>
      <c r="B100" s="371">
        <f>AND(ISTEXT('Consolidado-Eletronorte'!#REF!),SUM('Consolidado-Eletronorte'!#REF!)&gt;0)</f>
      </c>
      <c r="C100" s="371">
        <f>$J$13</f>
      </c>
      <c r="D100" s="371">
        <f>$H$13</f>
      </c>
      <c r="E100" s="371">
        <f>$H$14</f>
      </c>
      <c r="F100" s="371">
        <f>_xlfn.CONCAT(Tabela10[[#This Row], [VP]],Tabela10[[#This Row], [Analise Estrategia]])</f>
      </c>
      <c r="G100" s="371">
        <f>_xlfn.CONCAT('Consolidado-Eletronorte'!#REF!,"_",ROW('Consolidado-Eletronorte'!#REF!)-ROW('Consolidado-Eletronorte'!$G$18))</f>
      </c>
      <c r="H100" s="335" t="s">
        <v>10</v>
      </c>
      <c r="I100" s="335" t="s">
        <v>88</v>
      </c>
      <c r="J100" s="335" t="s">
        <v>5</v>
      </c>
      <c r="K100" s="336" t="s">
        <v>21</v>
      </c>
      <c r="L100" s="335" t="s">
        <v>21</v>
      </c>
      <c r="M100" s="382" t="s">
        <v>39932</v>
      </c>
      <c r="N100" s="335" t="s">
        <v>41305</v>
      </c>
      <c r="O100" s="335"/>
      <c r="P100" s="336" t="s">
        <v>38349</v>
      </c>
      <c r="Q100" s="342" t="s">
        <v>41305</v>
      </c>
      <c r="R100" s="335" t="s">
        <v>40161</v>
      </c>
      <c r="S100" s="342" t="s">
        <v>41305</v>
      </c>
      <c r="T100" s="335" t="s">
        <v>21</v>
      </c>
      <c r="U100" s="335" t="s">
        <v>21</v>
      </c>
      <c r="V100" s="335" t="s">
        <v>39932</v>
      </c>
      <c r="W100" s="335" t="s">
        <v>39932</v>
      </c>
      <c r="X100" s="335" t="s">
        <v>41474</v>
      </c>
      <c r="Y100" s="336"/>
      <c r="Z100" s="372"/>
      <c r="AA100" s="336">
        <v>4600001858</v>
      </c>
      <c r="AB100" s="372">
        <v>2700260</v>
      </c>
      <c r="AC100" s="336">
        <v>4500091371</v>
      </c>
      <c r="AD100" s="372">
        <v>2700259.99</v>
      </c>
      <c r="AE100" s="335" t="s">
        <v>41475</v>
      </c>
      <c r="AF100" s="335" t="s">
        <v>41476</v>
      </c>
      <c r="AG100" s="335" t="s">
        <v>40162</v>
      </c>
      <c r="AH100" s="335" t="s">
        <v>39998</v>
      </c>
      <c r="AI100" s="337">
        <v>0</v>
      </c>
      <c r="AJ100" s="337">
        <v>0</v>
      </c>
      <c r="AK100" s="337">
        <v>0</v>
      </c>
      <c r="AL100" s="337">
        <v>0</v>
      </c>
      <c r="AM100" s="337">
        <v>0</v>
      </c>
      <c r="AN100" s="337">
        <v>0</v>
      </c>
      <c r="AO100" s="337">
        <v>0</v>
      </c>
      <c r="AP100" s="337">
        <v>0</v>
      </c>
      <c r="AQ100" s="337"/>
      <c r="AR100" s="337">
        <v>0</v>
      </c>
      <c r="AS100" s="337">
        <v>0</v>
      </c>
      <c r="AT100" s="337">
        <v>0</v>
      </c>
      <c r="AU100" s="337">
        <f>SUM(Tabela10[[#This Row], [jan/26]:[dez/26]])</f>
      </c>
      <c r="AV100" s="381">
        <v>1100000</v>
      </c>
      <c r="AW100" s="337">
        <v>0</v>
      </c>
      <c r="AX100" s="337">
        <v>0</v>
      </c>
      <c r="AY100" s="337">
        <v>0</v>
      </c>
      <c r="AZ100" s="337">
        <f>SUM(Tabela10[[#This Row], [2026]:[2030]])</f>
      </c>
      <c r="BA100" s="337">
        <v>0</v>
      </c>
      <c r="BB100" s="337">
        <v>0</v>
      </c>
      <c r="BC100" s="337">
        <v>0</v>
      </c>
      <c r="BD100" s="337">
        <v>0</v>
      </c>
      <c r="BE100" s="337">
        <v>0</v>
      </c>
      <c r="BF100" s="373">
        <f>SUM(Tabela10[[#This Row], [2026-2030]:[2035]])</f>
      </c>
      <c r="BG100" s="374">
        <f>_xlfn.SEQUENCE(COUNTA(Tabela10[Empresa]),1,1)</f>
      </c>
      <c r="BH100" s="342" t="s">
        <v>41305</v>
      </c>
      <c r="BI100" s="374">
        <f>VLOOKUP(Tabela10[[#This Row], [ID real2]],[2]CONSOLIDADA!$AU:$AZ,6,FALSE)</f>
      </c>
      <c r="BJ100" s="342" t="s">
        <v>41129</v>
      </c>
      <c r="BK100" s="375">
        <v>2025</v>
      </c>
      <c r="BL100" s="342" t="s">
        <v>40163</v>
      </c>
      <c r="BM100" s="375" t="s">
        <v>41477</v>
      </c>
      <c r="BN100" s="342" t="s">
        <v>41305</v>
      </c>
      <c r="BO100" s="342" t="s">
        <v>41172</v>
      </c>
      <c r="BP100" s="342" t="s">
        <v>41417</v>
      </c>
      <c r="BQ100" s="342" t="s">
        <v>41123</v>
      </c>
      <c r="BR100" s="376">
        <v>100000</v>
      </c>
      <c r="BS100" s="342" t="s">
        <v>41431</v>
      </c>
      <c r="BT100" s="342" t="s">
        <v>41305</v>
      </c>
      <c r="BU100" s="376" t="s">
        <v>41445</v>
      </c>
      <c r="BV100" s="376">
        <f>Tabela10[[#This Row], [Descrição do projeto]]</f>
      </c>
    </row>
    <row x14ac:dyDescent="0.25" r="101" customHeight="1" ht="18.75">
      <c r="A101" s="336">
        <v>347</v>
      </c>
      <c r="B101" s="371">
        <f>AND(ISTEXT('Consolidado-Eletronorte'!#REF!),SUM('Consolidado-Eletronorte'!#REF!)&gt;0)</f>
      </c>
      <c r="C101" s="371">
        <f>$J$13</f>
      </c>
      <c r="D101" s="371">
        <f>$H$13</f>
      </c>
      <c r="E101" s="371">
        <f>$H$14</f>
      </c>
      <c r="F101" s="371">
        <f>_xlfn.CONCAT(Tabela10[[#This Row], [VP]],Tabela10[[#This Row], [Analise Estrategia]])</f>
      </c>
      <c r="G101" s="371">
        <f>_xlfn.CONCAT('Consolidado-Eletronorte'!#REF!,"_",ROW('Consolidado-Eletronorte'!#REF!)-ROW('Consolidado-Eletronorte'!$G$18))</f>
      </c>
      <c r="H101" s="335" t="s">
        <v>10</v>
      </c>
      <c r="I101" s="335" t="s">
        <v>88</v>
      </c>
      <c r="J101" s="335" t="s">
        <v>5</v>
      </c>
      <c r="K101" s="336" t="s">
        <v>21</v>
      </c>
      <c r="L101" s="335" t="s">
        <v>21</v>
      </c>
      <c r="M101" s="335" t="s">
        <v>40242</v>
      </c>
      <c r="N101" s="335"/>
      <c r="O101" s="335"/>
      <c r="P101" s="336" t="s">
        <v>38358</v>
      </c>
      <c r="Q101" s="342" t="s">
        <v>41293</v>
      </c>
      <c r="R101" s="335" t="s">
        <v>40243</v>
      </c>
      <c r="S101" s="342" t="s">
        <v>41293</v>
      </c>
      <c r="T101" s="335" t="s">
        <v>21</v>
      </c>
      <c r="U101" s="335" t="s">
        <v>21</v>
      </c>
      <c r="V101" s="335" t="s">
        <v>40242</v>
      </c>
      <c r="W101" s="335" t="s">
        <v>40242</v>
      </c>
      <c r="X101" s="335"/>
      <c r="Y101" s="336"/>
      <c r="Z101" s="372"/>
      <c r="AA101" s="336"/>
      <c r="AB101" s="372"/>
      <c r="AC101" s="336">
        <v>4500079631</v>
      </c>
      <c r="AD101" s="372">
        <v>6503294.76</v>
      </c>
      <c r="AE101" s="335" t="s">
        <v>41478</v>
      </c>
      <c r="AF101" s="335" t="s">
        <v>41198</v>
      </c>
      <c r="AG101" s="335" t="s">
        <v>40244</v>
      </c>
      <c r="AH101" s="335" t="s">
        <v>39912</v>
      </c>
      <c r="AI101" s="337">
        <v>0</v>
      </c>
      <c r="AJ101" s="337">
        <v>500000</v>
      </c>
      <c r="AK101" s="337">
        <v>0</v>
      </c>
      <c r="AL101" s="337">
        <v>0</v>
      </c>
      <c r="AM101" s="337">
        <v>0</v>
      </c>
      <c r="AN101" s="337">
        <v>0</v>
      </c>
      <c r="AO101" s="337">
        <v>0</v>
      </c>
      <c r="AP101" s="337">
        <v>0</v>
      </c>
      <c r="AQ101" s="337">
        <v>0</v>
      </c>
      <c r="AR101" s="337">
        <v>0</v>
      </c>
      <c r="AS101" s="337">
        <v>0</v>
      </c>
      <c r="AT101" s="337">
        <v>0</v>
      </c>
      <c r="AU101" s="337">
        <f>SUM(Tabela10[[#This Row], [jan/26]:[dez/26]])</f>
      </c>
      <c r="AV101" s="337">
        <v>0</v>
      </c>
      <c r="AW101" s="337">
        <v>0</v>
      </c>
      <c r="AX101" s="337">
        <v>0</v>
      </c>
      <c r="AY101" s="337">
        <v>0</v>
      </c>
      <c r="AZ101" s="337">
        <f>SUM(Tabela10[[#This Row], [2026]:[2030]])</f>
      </c>
      <c r="BA101" s="337">
        <v>0</v>
      </c>
      <c r="BB101" s="337">
        <v>0</v>
      </c>
      <c r="BC101" s="337">
        <v>0</v>
      </c>
      <c r="BD101" s="337">
        <v>0</v>
      </c>
      <c r="BE101" s="337">
        <v>0</v>
      </c>
      <c r="BF101" s="373">
        <f>SUM(Tabela10[[#This Row], [2026-2030]:[2035]])</f>
      </c>
      <c r="BG101" s="374">
        <f>_xlfn.SEQUENCE(COUNTA(Tabela10[Empresa]),1,1)</f>
      </c>
      <c r="BH101" s="342" t="s">
        <v>41293</v>
      </c>
      <c r="BI101" s="374">
        <f>VLOOKUP(Tabela10[[#This Row], [ID real2]],[2]CONSOLIDADA!$AU:$AZ,6,FALSE)</f>
      </c>
      <c r="BJ101" s="342" t="s">
        <v>41127</v>
      </c>
      <c r="BK101" s="375">
        <v>2025</v>
      </c>
      <c r="BL101" s="342" t="s">
        <v>40245</v>
      </c>
      <c r="BM101" s="375" t="s">
        <v>41479</v>
      </c>
      <c r="BN101" s="342" t="s">
        <v>41293</v>
      </c>
      <c r="BO101" s="342" t="s">
        <v>46</v>
      </c>
      <c r="BP101" s="342" t="s">
        <v>41121</v>
      </c>
      <c r="BQ101" s="342" t="s">
        <v>46</v>
      </c>
      <c r="BR101" s="376">
        <v>500000</v>
      </c>
      <c r="BS101" s="342" t="s">
        <v>41389</v>
      </c>
      <c r="BT101" s="342" t="s">
        <v>41293</v>
      </c>
      <c r="BU101" s="376" t="s">
        <v>41144</v>
      </c>
      <c r="BV101" s="376">
        <f>Tabela10[[#This Row], [Descrição do projeto]]</f>
      </c>
    </row>
    <row x14ac:dyDescent="0.25" r="102" customHeight="1" ht="18.75" hidden="1">
      <c r="A102" s="336">
        <v>366</v>
      </c>
      <c r="B102" s="371">
        <f>AND(ISTEXT('Consolidado-Eletronorte'!#REF!),SUM('Consolidado-Eletronorte'!#REF!)&gt;0)</f>
      </c>
      <c r="C102" s="371">
        <f>$J$13</f>
      </c>
      <c r="D102" s="371">
        <f>$H$13</f>
      </c>
      <c r="E102" s="371">
        <f>$H$14</f>
      </c>
      <c r="F102" s="371">
        <f>_xlfn.CONCAT(Tabela10[[#This Row], [VP]],Tabela10[[#This Row], [Analise Estrategia]])</f>
      </c>
      <c r="G102" s="371">
        <f>_xlfn.CONCAT('Consolidado-Eletronorte'!#REF!,"_",ROW('Consolidado-Eletronorte'!#REF!)-ROW('Consolidado-Eletronorte'!$G$18))</f>
      </c>
      <c r="H102" s="335" t="s">
        <v>10</v>
      </c>
      <c r="I102" s="335" t="s">
        <v>88</v>
      </c>
      <c r="J102" s="335" t="s">
        <v>5</v>
      </c>
      <c r="K102" s="336" t="s">
        <v>21</v>
      </c>
      <c r="L102" s="335" t="s">
        <v>74</v>
      </c>
      <c r="M102" s="335" t="s">
        <v>40204</v>
      </c>
      <c r="N102" s="335"/>
      <c r="O102" s="335"/>
      <c r="P102" s="336" t="s">
        <v>38349</v>
      </c>
      <c r="Q102" s="342" t="s">
        <v>41307</v>
      </c>
      <c r="R102" s="335" t="s">
        <v>40205</v>
      </c>
      <c r="S102" s="342" t="s">
        <v>41307</v>
      </c>
      <c r="T102" s="335" t="s">
        <v>21</v>
      </c>
      <c r="U102" s="335" t="s">
        <v>74</v>
      </c>
      <c r="V102" s="335" t="s">
        <v>41153</v>
      </c>
      <c r="W102" s="335" t="s">
        <v>41153</v>
      </c>
      <c r="X102" s="335"/>
      <c r="Y102" s="336" t="s">
        <v>41224</v>
      </c>
      <c r="Z102" s="372"/>
      <c r="AA102" s="336"/>
      <c r="AB102" s="372"/>
      <c r="AC102" s="336"/>
      <c r="AD102" s="372"/>
      <c r="AE102" s="335"/>
      <c r="AF102" s="335"/>
      <c r="AG102" s="335" t="s">
        <v>40206</v>
      </c>
      <c r="AH102" s="335" t="s">
        <v>39998</v>
      </c>
      <c r="AI102" s="337">
        <v>0</v>
      </c>
      <c r="AJ102" s="337">
        <v>0</v>
      </c>
      <c r="AK102" s="337">
        <v>0</v>
      </c>
      <c r="AL102" s="337">
        <v>0</v>
      </c>
      <c r="AM102" s="337">
        <v>0</v>
      </c>
      <c r="AN102" s="337"/>
      <c r="AO102" s="337">
        <v>0</v>
      </c>
      <c r="AP102" s="337">
        <v>0</v>
      </c>
      <c r="AQ102" s="337">
        <v>0</v>
      </c>
      <c r="AR102" s="337">
        <v>0</v>
      </c>
      <c r="AS102" s="337">
        <v>0</v>
      </c>
      <c r="AT102" s="337">
        <v>0</v>
      </c>
      <c r="AU102" s="337">
        <f>SUM(Tabela10[[#This Row], [jan/26]:[dez/26]])</f>
      </c>
      <c r="AV102" s="337">
        <v>1000000</v>
      </c>
      <c r="AW102" s="337">
        <v>0</v>
      </c>
      <c r="AX102" s="337">
        <v>0</v>
      </c>
      <c r="AY102" s="337">
        <v>0</v>
      </c>
      <c r="AZ102" s="337">
        <f>SUM(Tabela10[[#This Row], [2026]:[2030]])</f>
      </c>
      <c r="BA102" s="337">
        <v>0</v>
      </c>
      <c r="BB102" s="337">
        <v>0</v>
      </c>
      <c r="BC102" s="337">
        <v>0</v>
      </c>
      <c r="BD102" s="337">
        <v>0</v>
      </c>
      <c r="BE102" s="337">
        <v>0</v>
      </c>
      <c r="BF102" s="373">
        <f>SUM(Tabela10[[#This Row], [2026-2030]:[2035]])</f>
      </c>
      <c r="BG102" s="374">
        <f>_xlfn.SEQUENCE(COUNTA(Tabela10[Empresa]),1,1)</f>
      </c>
      <c r="BH102" s="342" t="s">
        <v>41307</v>
      </c>
      <c r="BI102" s="374">
        <f>VLOOKUP(Tabela10[[#This Row], [ID real2]],[2]CONSOLIDADA!$AU:$AZ,6,FALSE)</f>
      </c>
      <c r="BJ102" s="342" t="s">
        <v>40018</v>
      </c>
      <c r="BK102" s="375">
        <v>2025</v>
      </c>
      <c r="BL102" s="342" t="s">
        <v>40207</v>
      </c>
      <c r="BM102" s="375" t="s">
        <v>40208</v>
      </c>
      <c r="BN102" s="342" t="s">
        <v>41307</v>
      </c>
      <c r="BO102" s="342" t="s">
        <v>41174</v>
      </c>
      <c r="BP102" s="342" t="s">
        <v>41400</v>
      </c>
      <c r="BQ102" s="342" t="s">
        <v>64</v>
      </c>
      <c r="BR102" s="376">
        <v>9000</v>
      </c>
      <c r="BS102" s="342" t="s">
        <v>41431</v>
      </c>
      <c r="BT102" s="342" t="s">
        <v>41307</v>
      </c>
      <c r="BU102" s="376" t="s">
        <v>41154</v>
      </c>
      <c r="BV102" s="376">
        <f>Tabela10[[#This Row], [Descrição do projeto]]</f>
      </c>
    </row>
    <row x14ac:dyDescent="0.25" r="103" customHeight="1" ht="18.75" hidden="1">
      <c r="A103" s="336">
        <v>773</v>
      </c>
      <c r="B103" s="335" t="s">
        <v>41480</v>
      </c>
      <c r="C103" s="335"/>
      <c r="D103" s="335" t="s">
        <v>8</v>
      </c>
      <c r="E103" s="335" t="s">
        <v>39446</v>
      </c>
      <c r="F103" s="371">
        <f>_xlfn.CONCAT(Tabela10[[#This Row], [VP]],Tabela10[[#This Row], [Analise Estrategia]])</f>
      </c>
      <c r="G103" s="371">
        <f>_xlfn.CONCAT('Consolidado-Eletronorte'!#REF!,"_",ROW('Consolidado-Eletronorte'!#REF!)-ROW('Consolidado-Eletronorte'!$G$18))</f>
      </c>
      <c r="H103" s="335" t="s">
        <v>10</v>
      </c>
      <c r="I103" s="335" t="s">
        <v>88</v>
      </c>
      <c r="J103" s="335" t="s">
        <v>5</v>
      </c>
      <c r="K103" s="336" t="s">
        <v>21</v>
      </c>
      <c r="L103" s="335" t="s">
        <v>21</v>
      </c>
      <c r="M103" s="335" t="s">
        <v>41143</v>
      </c>
      <c r="N103" s="335"/>
      <c r="O103" s="335"/>
      <c r="P103" s="337"/>
      <c r="Q103" s="342" t="s">
        <v>41308</v>
      </c>
      <c r="R103" s="335" t="s">
        <v>41113</v>
      </c>
      <c r="S103" s="342" t="s">
        <v>41308</v>
      </c>
      <c r="T103" s="335" t="s">
        <v>21</v>
      </c>
      <c r="U103" s="335" t="s">
        <v>21</v>
      </c>
      <c r="V103" s="335" t="s">
        <v>41143</v>
      </c>
      <c r="W103" s="335" t="s">
        <v>41481</v>
      </c>
      <c r="X103" s="335"/>
      <c r="Y103" s="336" t="s">
        <v>41222</v>
      </c>
      <c r="Z103" s="372"/>
      <c r="AA103" s="336"/>
      <c r="AB103" s="372"/>
      <c r="AC103" s="336"/>
      <c r="AD103" s="372"/>
      <c r="AE103" s="335"/>
      <c r="AF103" s="335"/>
      <c r="AG103" s="337"/>
      <c r="AH103" s="335" t="s">
        <v>41109</v>
      </c>
      <c r="AI103" s="337"/>
      <c r="AJ103" s="337"/>
      <c r="AK103" s="337"/>
      <c r="AL103" s="337"/>
      <c r="AM103" s="337"/>
      <c r="AN103" s="337"/>
      <c r="AO103" s="337"/>
      <c r="AP103" s="337"/>
      <c r="AQ103" s="337"/>
      <c r="AR103" s="337"/>
      <c r="AS103" s="337"/>
      <c r="AT103" s="337"/>
      <c r="AU103" s="337">
        <f>SUM(Tabela10[[#This Row], [jan/26]:[dez/26]])</f>
      </c>
      <c r="AV103" s="337"/>
      <c r="AW103" s="337">
        <v>7820000</v>
      </c>
      <c r="AX103" s="337">
        <v>4692000</v>
      </c>
      <c r="AY103" s="337">
        <v>0</v>
      </c>
      <c r="AZ103" s="337">
        <f>SUM(Tabela10[[#This Row], [2026]:[2030]])</f>
      </c>
      <c r="BA103" s="337"/>
      <c r="BB103" s="337"/>
      <c r="BC103" s="337"/>
      <c r="BD103" s="337"/>
      <c r="BE103" s="337"/>
      <c r="BF103" s="373">
        <f>SUM(Tabela10[[#This Row], [2026-2030]:[2035]])</f>
      </c>
      <c r="BG103" s="342"/>
      <c r="BH103" s="342" t="s">
        <v>41308</v>
      </c>
      <c r="BI103" s="374">
        <f>VLOOKUP(Tabela10[[#This Row], [ID real2]],[2]CONSOLIDADA!$AU:$AZ,6,FALSE)</f>
      </c>
      <c r="BJ103" s="342" t="s">
        <v>39925</v>
      </c>
      <c r="BK103" s="375">
        <v>2025</v>
      </c>
      <c r="BL103" s="342"/>
      <c r="BM103" s="375"/>
      <c r="BN103" s="342" t="s">
        <v>41308</v>
      </c>
      <c r="BO103" s="342" t="s">
        <v>46</v>
      </c>
      <c r="BP103" s="342" t="s">
        <v>46</v>
      </c>
      <c r="BQ103" s="342" t="s">
        <v>46</v>
      </c>
      <c r="BR103" s="376">
        <v>0</v>
      </c>
      <c r="BS103" s="342" t="s">
        <v>41389</v>
      </c>
      <c r="BT103" s="342" t="s">
        <v>41308</v>
      </c>
      <c r="BU103" s="376" t="s">
        <v>39925</v>
      </c>
      <c r="BV103" s="390" t="s">
        <v>41482</v>
      </c>
    </row>
    <row x14ac:dyDescent="0.25" r="104" customHeight="1" ht="18.75" hidden="1">
      <c r="A104" s="336">
        <v>271</v>
      </c>
      <c r="B104" s="371">
        <f>AND(ISTEXT('Consolidado-Eletronorte'!#REF!),SUM('Consolidado-Eletronorte'!#REF!)&gt;0)</f>
      </c>
      <c r="C104" s="371">
        <f>$J$13</f>
      </c>
      <c r="D104" s="371">
        <f>$H$13</f>
      </c>
      <c r="E104" s="371">
        <f>$H$14</f>
      </c>
      <c r="F104" s="371">
        <f>_xlfn.CONCAT(Tabela10[[#This Row], [VP]],Tabela10[[#This Row], [Analise Estrategia]])</f>
      </c>
      <c r="G104" s="371">
        <f>_xlfn.CONCAT('Consolidado-Eletronorte'!#REF!,"_",ROW('Consolidado-Eletronorte'!#REF!)-ROW('Consolidado-Eletronorte'!$G$18))</f>
      </c>
      <c r="H104" s="335" t="s">
        <v>10</v>
      </c>
      <c r="I104" s="335" t="s">
        <v>88</v>
      </c>
      <c r="J104" s="335" t="s">
        <v>5</v>
      </c>
      <c r="K104" s="336" t="s">
        <v>21</v>
      </c>
      <c r="L104" s="335" t="s">
        <v>21</v>
      </c>
      <c r="M104" s="335" t="s">
        <v>39949</v>
      </c>
      <c r="N104" s="335"/>
      <c r="O104" s="335"/>
      <c r="P104" s="336" t="s">
        <v>38368</v>
      </c>
      <c r="Q104" s="342" t="s">
        <v>41309</v>
      </c>
      <c r="R104" s="335" t="s">
        <v>39950</v>
      </c>
      <c r="S104" s="342" t="s">
        <v>41309</v>
      </c>
      <c r="T104" s="335" t="s">
        <v>21</v>
      </c>
      <c r="U104" s="335" t="s">
        <v>21</v>
      </c>
      <c r="V104" s="335" t="s">
        <v>39949</v>
      </c>
      <c r="W104" s="335" t="s">
        <v>39949</v>
      </c>
      <c r="X104" s="335"/>
      <c r="Y104" s="336" t="s">
        <v>41222</v>
      </c>
      <c r="Z104" s="372"/>
      <c r="AA104" s="336"/>
      <c r="AB104" s="372"/>
      <c r="AC104" s="336"/>
      <c r="AD104" s="372"/>
      <c r="AE104" s="335"/>
      <c r="AF104" s="335"/>
      <c r="AG104" s="335" t="s">
        <v>39951</v>
      </c>
      <c r="AH104" s="335" t="s">
        <v>38369</v>
      </c>
      <c r="AI104" s="337">
        <v>0</v>
      </c>
      <c r="AJ104" s="337">
        <v>0</v>
      </c>
      <c r="AK104" s="337">
        <v>0</v>
      </c>
      <c r="AL104" s="337">
        <v>0</v>
      </c>
      <c r="AM104" s="337">
        <v>0</v>
      </c>
      <c r="AN104" s="337">
        <v>0</v>
      </c>
      <c r="AO104" s="337">
        <v>0</v>
      </c>
      <c r="AP104" s="337">
        <v>0</v>
      </c>
      <c r="AQ104" s="337">
        <v>0</v>
      </c>
      <c r="AR104" s="337">
        <v>0</v>
      </c>
      <c r="AS104" s="337">
        <v>0</v>
      </c>
      <c r="AT104" s="337">
        <v>0</v>
      </c>
      <c r="AU104" s="337">
        <f>SUM(Tabela10[[#This Row], [jan/26]:[dez/26]])</f>
      </c>
      <c r="AV104" s="337">
        <v>20910319</v>
      </c>
      <c r="AW104" s="337">
        <v>6233333.33</v>
      </c>
      <c r="AX104" s="337">
        <v>0</v>
      </c>
      <c r="AY104" s="337">
        <v>0</v>
      </c>
      <c r="AZ104" s="337">
        <f>SUM(Tabela10[[#This Row], [2026]:[2030]])</f>
      </c>
      <c r="BA104" s="337">
        <v>0</v>
      </c>
      <c r="BB104" s="337">
        <v>0</v>
      </c>
      <c r="BC104" s="337">
        <v>0</v>
      </c>
      <c r="BD104" s="337">
        <v>0</v>
      </c>
      <c r="BE104" s="337">
        <v>0</v>
      </c>
      <c r="BF104" s="373">
        <f>SUM(Tabela10[[#This Row], [2026-2030]:[2035]])</f>
      </c>
      <c r="BG104" s="374">
        <f>_xlfn.SEQUENCE(COUNTA(Tabela10[Empresa]),1,1)</f>
      </c>
      <c r="BH104" s="342" t="s">
        <v>41309</v>
      </c>
      <c r="BI104" s="374">
        <f>VLOOKUP(Tabela10[[#This Row], [ID real2]],[2]CONSOLIDADA!$AU:$AZ,6,FALSE)</f>
      </c>
      <c r="BJ104" s="342" t="s">
        <v>40043</v>
      </c>
      <c r="BK104" s="375">
        <v>2026</v>
      </c>
      <c r="BL104" s="342" t="s">
        <v>39953</v>
      </c>
      <c r="BM104" s="375">
        <v>0</v>
      </c>
      <c r="BN104" s="342" t="s">
        <v>41309</v>
      </c>
      <c r="BO104" s="342" t="s">
        <v>41172</v>
      </c>
      <c r="BP104" s="342" t="s">
        <v>41121</v>
      </c>
      <c r="BQ104" s="342" t="s">
        <v>41121</v>
      </c>
      <c r="BR104" s="376">
        <v>0</v>
      </c>
      <c r="BS104" s="342"/>
      <c r="BT104" s="342" t="s">
        <v>41309</v>
      </c>
      <c r="BU104" s="376" t="s">
        <v>41151</v>
      </c>
      <c r="BV104" s="376">
        <f>Tabela10[[#This Row], [Descrição do projeto]]</f>
      </c>
    </row>
    <row x14ac:dyDescent="0.25" r="105" customHeight="1" ht="18.75" hidden="1">
      <c r="A105" s="336">
        <v>273</v>
      </c>
      <c r="B105" s="371">
        <f>AND(ISTEXT('Consolidado-Eletronorte'!#REF!),SUM('Consolidado-Eletronorte'!#REF!)&gt;0)</f>
      </c>
      <c r="C105" s="371">
        <f>$J$13</f>
      </c>
      <c r="D105" s="371">
        <f>$H$13</f>
      </c>
      <c r="E105" s="371">
        <f>$H$14</f>
      </c>
      <c r="F105" s="371">
        <f>_xlfn.CONCAT(Tabela10[[#This Row], [VP]],Tabela10[[#This Row], [Analise Estrategia]])</f>
      </c>
      <c r="G105" s="371">
        <f>_xlfn.CONCAT('Consolidado-Eletronorte'!#REF!,"_",ROW('Consolidado-Eletronorte'!#REF!)-ROW('Consolidado-Eletronorte'!$G$18))</f>
      </c>
      <c r="H105" s="335" t="s">
        <v>10</v>
      </c>
      <c r="I105" s="335" t="s">
        <v>88</v>
      </c>
      <c r="J105" s="335" t="s">
        <v>5</v>
      </c>
      <c r="K105" s="336" t="s">
        <v>21</v>
      </c>
      <c r="L105" s="335" t="s">
        <v>21</v>
      </c>
      <c r="M105" s="335" t="s">
        <v>39949</v>
      </c>
      <c r="N105" s="335"/>
      <c r="O105" s="335"/>
      <c r="P105" s="336" t="s">
        <v>38368</v>
      </c>
      <c r="Q105" s="342" t="s">
        <v>41310</v>
      </c>
      <c r="R105" s="335" t="s">
        <v>39993</v>
      </c>
      <c r="S105" s="342" t="s">
        <v>41310</v>
      </c>
      <c r="T105" s="335" t="s">
        <v>21</v>
      </c>
      <c r="U105" s="335" t="s">
        <v>21</v>
      </c>
      <c r="V105" s="335" t="s">
        <v>39949</v>
      </c>
      <c r="W105" s="335" t="s">
        <v>39949</v>
      </c>
      <c r="X105" s="335"/>
      <c r="Y105" s="336" t="s">
        <v>41222</v>
      </c>
      <c r="Z105" s="372"/>
      <c r="AA105" s="336"/>
      <c r="AB105" s="372"/>
      <c r="AC105" s="336"/>
      <c r="AD105" s="372"/>
      <c r="AE105" s="335"/>
      <c r="AF105" s="335"/>
      <c r="AG105" s="335" t="s">
        <v>39994</v>
      </c>
      <c r="AH105" s="335" t="s">
        <v>38369</v>
      </c>
      <c r="AI105" s="337">
        <v>0</v>
      </c>
      <c r="AJ105" s="337">
        <v>0</v>
      </c>
      <c r="AK105" s="337">
        <v>0</v>
      </c>
      <c r="AL105" s="337">
        <v>0</v>
      </c>
      <c r="AM105" s="337">
        <v>0</v>
      </c>
      <c r="AN105" s="337">
        <v>0</v>
      </c>
      <c r="AO105" s="337">
        <v>0</v>
      </c>
      <c r="AP105" s="337">
        <v>0</v>
      </c>
      <c r="AQ105" s="337">
        <v>0</v>
      </c>
      <c r="AR105" s="337">
        <v>0</v>
      </c>
      <c r="AS105" s="337">
        <v>0</v>
      </c>
      <c r="AT105" s="337">
        <v>0</v>
      </c>
      <c r="AU105" s="337">
        <f>SUM(Tabela10[[#This Row], [jan/26]:[dez/26]])</f>
      </c>
      <c r="AV105" s="337">
        <v>7200000</v>
      </c>
      <c r="AW105" s="337">
        <v>0</v>
      </c>
      <c r="AX105" s="337">
        <v>0</v>
      </c>
      <c r="AY105" s="337">
        <v>0</v>
      </c>
      <c r="AZ105" s="337">
        <f>SUM(Tabela10[[#This Row], [2026]:[2030]])</f>
      </c>
      <c r="BA105" s="337">
        <v>0</v>
      </c>
      <c r="BB105" s="337">
        <v>0</v>
      </c>
      <c r="BC105" s="337">
        <v>0</v>
      </c>
      <c r="BD105" s="337">
        <v>0</v>
      </c>
      <c r="BE105" s="337">
        <v>0</v>
      </c>
      <c r="BF105" s="373">
        <f>SUM(Tabela10[[#This Row], [2026-2030]:[2035]])</f>
      </c>
      <c r="BG105" s="374">
        <f>_xlfn.SEQUENCE(COUNTA(Tabela10[Empresa]),1,1)</f>
      </c>
      <c r="BH105" s="342" t="s">
        <v>41310</v>
      </c>
      <c r="BI105" s="374">
        <f>VLOOKUP(Tabela10[[#This Row], [ID real2]],[2]CONSOLIDADA!$AU:$AZ,6,FALSE)</f>
      </c>
      <c r="BJ105" s="342" t="s">
        <v>40043</v>
      </c>
      <c r="BK105" s="375">
        <v>2026</v>
      </c>
      <c r="BL105" s="342" t="s">
        <v>39995</v>
      </c>
      <c r="BM105" s="375">
        <v>0</v>
      </c>
      <c r="BN105" s="342" t="s">
        <v>41310</v>
      </c>
      <c r="BO105" s="342" t="s">
        <v>41172</v>
      </c>
      <c r="BP105" s="342" t="s">
        <v>41121</v>
      </c>
      <c r="BQ105" s="342" t="s">
        <v>41121</v>
      </c>
      <c r="BR105" s="376">
        <v>0</v>
      </c>
      <c r="BS105" s="342"/>
      <c r="BT105" s="342" t="s">
        <v>41310</v>
      </c>
      <c r="BU105" s="376" t="s">
        <v>41151</v>
      </c>
      <c r="BV105" s="376">
        <f>Tabela10[[#This Row], [Descrição do projeto]]</f>
      </c>
    </row>
    <row x14ac:dyDescent="0.25" r="106" customHeight="1" ht="18.75" hidden="1">
      <c r="A106" s="336">
        <v>322</v>
      </c>
      <c r="B106" s="371">
        <f>AND(ISTEXT('Consolidado-Eletronorte'!#REF!),SUM('Consolidado-Eletronorte'!#REF!)&gt;0)</f>
      </c>
      <c r="C106" s="371">
        <f>$J$13</f>
      </c>
      <c r="D106" s="371">
        <f>$H$13</f>
      </c>
      <c r="E106" s="371">
        <f>$H$14</f>
      </c>
      <c r="F106" s="371">
        <f>_xlfn.CONCAT(Tabela10[[#This Row], [VP]],Tabela10[[#This Row], [Analise Estrategia]])</f>
      </c>
      <c r="G106" s="371">
        <f>_xlfn.CONCAT('Consolidado-Eletronorte'!#REF!,"_",ROW('Consolidado-Eletronorte'!#REF!)-ROW('Consolidado-Eletronorte'!$G$18))</f>
      </c>
      <c r="H106" s="335" t="s">
        <v>10</v>
      </c>
      <c r="I106" s="335" t="s">
        <v>88</v>
      </c>
      <c r="J106" s="335" t="s">
        <v>5</v>
      </c>
      <c r="K106" s="336" t="s">
        <v>21</v>
      </c>
      <c r="L106" s="335" t="s">
        <v>21</v>
      </c>
      <c r="M106" s="335" t="s">
        <v>39949</v>
      </c>
      <c r="N106" s="335"/>
      <c r="O106" s="335"/>
      <c r="P106" s="336" t="s">
        <v>38368</v>
      </c>
      <c r="Q106" s="342" t="s">
        <v>41311</v>
      </c>
      <c r="R106" s="335" t="s">
        <v>40008</v>
      </c>
      <c r="S106" s="342" t="s">
        <v>41311</v>
      </c>
      <c r="T106" s="335" t="s">
        <v>21</v>
      </c>
      <c r="U106" s="335" t="s">
        <v>21</v>
      </c>
      <c r="V106" s="335" t="s">
        <v>39949</v>
      </c>
      <c r="W106" s="335" t="s">
        <v>39949</v>
      </c>
      <c r="X106" s="335"/>
      <c r="Y106" s="336" t="s">
        <v>41222</v>
      </c>
      <c r="Z106" s="372"/>
      <c r="AA106" s="336"/>
      <c r="AB106" s="372"/>
      <c r="AC106" s="336"/>
      <c r="AD106" s="372"/>
      <c r="AE106" s="335"/>
      <c r="AF106" s="335"/>
      <c r="AG106" s="335" t="s">
        <v>40009</v>
      </c>
      <c r="AH106" s="335" t="s">
        <v>40006</v>
      </c>
      <c r="AI106" s="337">
        <v>0</v>
      </c>
      <c r="AJ106" s="337">
        <v>0</v>
      </c>
      <c r="AK106" s="337">
        <v>0</v>
      </c>
      <c r="AL106" s="337">
        <v>0</v>
      </c>
      <c r="AM106" s="337">
        <v>0</v>
      </c>
      <c r="AN106" s="337">
        <v>0</v>
      </c>
      <c r="AO106" s="337">
        <v>0</v>
      </c>
      <c r="AP106" s="337">
        <v>0</v>
      </c>
      <c r="AQ106" s="337">
        <v>0</v>
      </c>
      <c r="AR106" s="337">
        <v>0</v>
      </c>
      <c r="AS106" s="337">
        <v>0</v>
      </c>
      <c r="AT106" s="337">
        <v>0</v>
      </c>
      <c r="AU106" s="337">
        <f>SUM(Tabela10[[#This Row], [jan/26]:[dez/26]])</f>
      </c>
      <c r="AV106" s="337">
        <v>3000000</v>
      </c>
      <c r="AW106" s="337">
        <v>3000000</v>
      </c>
      <c r="AX106" s="337">
        <v>0</v>
      </c>
      <c r="AY106" s="337">
        <v>0</v>
      </c>
      <c r="AZ106" s="337">
        <f>SUM(Tabela10[[#This Row], [2026]:[2030]])</f>
      </c>
      <c r="BA106" s="337">
        <v>0</v>
      </c>
      <c r="BB106" s="337">
        <v>0</v>
      </c>
      <c r="BC106" s="337">
        <v>0</v>
      </c>
      <c r="BD106" s="337">
        <v>0</v>
      </c>
      <c r="BE106" s="337">
        <v>0</v>
      </c>
      <c r="BF106" s="373">
        <f>SUM(Tabela10[[#This Row], [2026-2030]:[2035]])</f>
      </c>
      <c r="BG106" s="374">
        <f>_xlfn.SEQUENCE(COUNTA(Tabela10[Empresa]),1,1)</f>
      </c>
      <c r="BH106" s="342" t="s">
        <v>41311</v>
      </c>
      <c r="BI106" s="374">
        <f>VLOOKUP(Tabela10[[#This Row], [ID real2]],[2]CONSOLIDADA!$AU:$AZ,6,FALSE)</f>
      </c>
      <c r="BJ106" s="342" t="s">
        <v>39952</v>
      </c>
      <c r="BK106" s="375">
        <v>2026</v>
      </c>
      <c r="BL106" s="342" t="s">
        <v>40010</v>
      </c>
      <c r="BM106" s="375">
        <v>0</v>
      </c>
      <c r="BN106" s="342" t="s">
        <v>41311</v>
      </c>
      <c r="BO106" s="342" t="s">
        <v>41172</v>
      </c>
      <c r="BP106" s="342" t="s">
        <v>41121</v>
      </c>
      <c r="BQ106" s="342" t="s">
        <v>41121</v>
      </c>
      <c r="BR106" s="376">
        <v>0</v>
      </c>
      <c r="BS106" s="342"/>
      <c r="BT106" s="342" t="s">
        <v>41311</v>
      </c>
      <c r="BU106" s="376" t="s">
        <v>41408</v>
      </c>
      <c r="BV106" s="376">
        <f>Tabela10[[#This Row], [Descrição do projeto]]</f>
      </c>
    </row>
    <row x14ac:dyDescent="0.25" r="107" customHeight="1" ht="18.75" hidden="1">
      <c r="A107" s="336">
        <v>323</v>
      </c>
      <c r="B107" s="371">
        <f>AND(ISTEXT('Consolidado-Eletronorte'!#REF!),SUM('Consolidado-Eletronorte'!#REF!)&gt;0)</f>
      </c>
      <c r="C107" s="371">
        <f>$J$13</f>
      </c>
      <c r="D107" s="371">
        <f>$H$13</f>
      </c>
      <c r="E107" s="371">
        <f>$H$14</f>
      </c>
      <c r="F107" s="371">
        <f>_xlfn.CONCAT(Tabela10[[#This Row], [VP]],Tabela10[[#This Row], [Analise Estrategia]])</f>
      </c>
      <c r="G107" s="371">
        <f>_xlfn.CONCAT('Consolidado-Eletronorte'!#REF!,"_",ROW('Consolidado-Eletronorte'!#REF!)-ROW('Consolidado-Eletronorte'!$G$18))</f>
      </c>
      <c r="H107" s="335" t="s">
        <v>10</v>
      </c>
      <c r="I107" s="335" t="s">
        <v>88</v>
      </c>
      <c r="J107" s="335" t="s">
        <v>5</v>
      </c>
      <c r="K107" s="336" t="s">
        <v>21</v>
      </c>
      <c r="L107" s="335" t="s">
        <v>21</v>
      </c>
      <c r="M107" s="335" t="s">
        <v>39949</v>
      </c>
      <c r="N107" s="335"/>
      <c r="O107" s="335"/>
      <c r="P107" s="336" t="s">
        <v>38368</v>
      </c>
      <c r="Q107" s="342" t="s">
        <v>41312</v>
      </c>
      <c r="R107" s="335" t="s">
        <v>40059</v>
      </c>
      <c r="S107" s="342" t="s">
        <v>41312</v>
      </c>
      <c r="T107" s="335" t="s">
        <v>21</v>
      </c>
      <c r="U107" s="335" t="s">
        <v>21</v>
      </c>
      <c r="V107" s="335" t="s">
        <v>39949</v>
      </c>
      <c r="W107" s="335" t="s">
        <v>39949</v>
      </c>
      <c r="X107" s="335"/>
      <c r="Y107" s="336" t="s">
        <v>41222</v>
      </c>
      <c r="Z107" s="372"/>
      <c r="AA107" s="336"/>
      <c r="AB107" s="372"/>
      <c r="AC107" s="336"/>
      <c r="AD107" s="372"/>
      <c r="AE107" s="335"/>
      <c r="AF107" s="335"/>
      <c r="AG107" s="335" t="s">
        <v>40060</v>
      </c>
      <c r="AH107" s="335" t="s">
        <v>40006</v>
      </c>
      <c r="AI107" s="337">
        <v>0</v>
      </c>
      <c r="AJ107" s="337">
        <v>0</v>
      </c>
      <c r="AK107" s="337">
        <v>0</v>
      </c>
      <c r="AL107" s="337">
        <v>0</v>
      </c>
      <c r="AM107" s="337">
        <v>0</v>
      </c>
      <c r="AN107" s="337">
        <v>0</v>
      </c>
      <c r="AO107" s="337">
        <v>0</v>
      </c>
      <c r="AP107" s="337">
        <v>0</v>
      </c>
      <c r="AQ107" s="337">
        <v>0</v>
      </c>
      <c r="AR107" s="337">
        <v>0</v>
      </c>
      <c r="AS107" s="337">
        <v>0</v>
      </c>
      <c r="AT107" s="337">
        <v>0</v>
      </c>
      <c r="AU107" s="337">
        <f>SUM(Tabela10[[#This Row], [jan/26]:[dez/26]])</f>
      </c>
      <c r="AV107" s="337">
        <v>3000000</v>
      </c>
      <c r="AW107" s="337">
        <v>500000</v>
      </c>
      <c r="AX107" s="337">
        <v>0</v>
      </c>
      <c r="AY107" s="337">
        <v>0</v>
      </c>
      <c r="AZ107" s="337">
        <f>SUM(Tabela10[[#This Row], [2026]:[2030]])</f>
      </c>
      <c r="BA107" s="337">
        <v>0</v>
      </c>
      <c r="BB107" s="337">
        <v>0</v>
      </c>
      <c r="BC107" s="337">
        <v>0</v>
      </c>
      <c r="BD107" s="337">
        <v>0</v>
      </c>
      <c r="BE107" s="337">
        <v>0</v>
      </c>
      <c r="BF107" s="373">
        <f>SUM(Tabela10[[#This Row], [2026-2030]:[2035]])</f>
      </c>
      <c r="BG107" s="374">
        <f>_xlfn.SEQUENCE(COUNTA(Tabela10[Empresa]),1,1)</f>
      </c>
      <c r="BH107" s="342" t="s">
        <v>41312</v>
      </c>
      <c r="BI107" s="374">
        <f>VLOOKUP(Tabela10[[#This Row], [ID real2]],[2]CONSOLIDADA!$AU:$AZ,6,FALSE)</f>
      </c>
      <c r="BJ107" s="342" t="s">
        <v>39952</v>
      </c>
      <c r="BK107" s="375">
        <v>2026</v>
      </c>
      <c r="BL107" s="342" t="s">
        <v>40061</v>
      </c>
      <c r="BM107" s="375">
        <v>0</v>
      </c>
      <c r="BN107" s="342" t="s">
        <v>41312</v>
      </c>
      <c r="BO107" s="342" t="s">
        <v>41172</v>
      </c>
      <c r="BP107" s="342" t="s">
        <v>41121</v>
      </c>
      <c r="BQ107" s="342" t="s">
        <v>41121</v>
      </c>
      <c r="BR107" s="376">
        <v>0</v>
      </c>
      <c r="BS107" s="342"/>
      <c r="BT107" s="342" t="s">
        <v>41312</v>
      </c>
      <c r="BU107" s="376" t="s">
        <v>41408</v>
      </c>
      <c r="BV107" s="376">
        <f>Tabela10[[#This Row], [Descrição do projeto]]</f>
      </c>
    </row>
    <row x14ac:dyDescent="0.25" r="108" customHeight="1" ht="18.75" hidden="1">
      <c r="A108" s="336">
        <v>321</v>
      </c>
      <c r="B108" s="371">
        <f>AND(ISTEXT('Consolidado-Eletronorte'!#REF!),SUM('Consolidado-Eletronorte'!#REF!)&gt;0)</f>
      </c>
      <c r="C108" s="371">
        <f>$J$13</f>
      </c>
      <c r="D108" s="371">
        <f>$H$13</f>
      </c>
      <c r="E108" s="371">
        <f>$H$14</f>
      </c>
      <c r="F108" s="371">
        <f>_xlfn.CONCAT(Tabela10[[#This Row], [VP]],Tabela10[[#This Row], [Analise Estrategia]])</f>
      </c>
      <c r="G108" s="371">
        <f>_xlfn.CONCAT('Consolidado-Eletronorte'!#REF!,"_",ROW('Consolidado-Eletronorte'!#REF!)-ROW('Consolidado-Eletronorte'!$G$18))</f>
      </c>
      <c r="H108" s="335" t="s">
        <v>10</v>
      </c>
      <c r="I108" s="335" t="s">
        <v>88</v>
      </c>
      <c r="J108" s="335" t="s">
        <v>5</v>
      </c>
      <c r="K108" s="336" t="s">
        <v>21</v>
      </c>
      <c r="L108" s="335" t="s">
        <v>21</v>
      </c>
      <c r="M108" s="335" t="s">
        <v>39949</v>
      </c>
      <c r="N108" s="335"/>
      <c r="O108" s="335"/>
      <c r="P108" s="336" t="s">
        <v>38368</v>
      </c>
      <c r="Q108" s="342" t="s">
        <v>41313</v>
      </c>
      <c r="R108" s="335" t="s">
        <v>40138</v>
      </c>
      <c r="S108" s="342" t="s">
        <v>41313</v>
      </c>
      <c r="T108" s="335" t="s">
        <v>21</v>
      </c>
      <c r="U108" s="335" t="s">
        <v>21</v>
      </c>
      <c r="V108" s="335" t="s">
        <v>39949</v>
      </c>
      <c r="W108" s="335" t="s">
        <v>39949</v>
      </c>
      <c r="X108" s="335"/>
      <c r="Y108" s="336" t="s">
        <v>41222</v>
      </c>
      <c r="Z108" s="372"/>
      <c r="AA108" s="336"/>
      <c r="AB108" s="372"/>
      <c r="AC108" s="336"/>
      <c r="AD108" s="372"/>
      <c r="AE108" s="335"/>
      <c r="AF108" s="335"/>
      <c r="AG108" s="335" t="s">
        <v>40139</v>
      </c>
      <c r="AH108" s="335" t="s">
        <v>40006</v>
      </c>
      <c r="AI108" s="337">
        <v>0</v>
      </c>
      <c r="AJ108" s="337">
        <v>0</v>
      </c>
      <c r="AK108" s="337">
        <v>0</v>
      </c>
      <c r="AL108" s="337">
        <v>0</v>
      </c>
      <c r="AM108" s="337">
        <v>0</v>
      </c>
      <c r="AN108" s="337">
        <v>0</v>
      </c>
      <c r="AO108" s="337">
        <v>0</v>
      </c>
      <c r="AP108" s="337">
        <v>0</v>
      </c>
      <c r="AQ108" s="337">
        <v>0</v>
      </c>
      <c r="AR108" s="337">
        <v>0</v>
      </c>
      <c r="AS108" s="337">
        <v>0</v>
      </c>
      <c r="AT108" s="337">
        <v>0</v>
      </c>
      <c r="AU108" s="337">
        <f>SUM(Tabela10[[#This Row], [jan/26]:[dez/26]])</f>
      </c>
      <c r="AV108" s="337">
        <v>500000</v>
      </c>
      <c r="AW108" s="337">
        <v>1000000</v>
      </c>
      <c r="AX108" s="337">
        <v>0</v>
      </c>
      <c r="AY108" s="337">
        <v>0</v>
      </c>
      <c r="AZ108" s="337">
        <f>SUM(Tabela10[[#This Row], [2026]:[2030]])</f>
      </c>
      <c r="BA108" s="337">
        <v>0</v>
      </c>
      <c r="BB108" s="337">
        <v>0</v>
      </c>
      <c r="BC108" s="337">
        <v>0</v>
      </c>
      <c r="BD108" s="337">
        <v>0</v>
      </c>
      <c r="BE108" s="337">
        <v>0</v>
      </c>
      <c r="BF108" s="373">
        <f>SUM(Tabela10[[#This Row], [2026-2030]:[2035]])</f>
      </c>
      <c r="BG108" s="374">
        <f>_xlfn.SEQUENCE(COUNTA(Tabela10[Empresa]),1,1)</f>
      </c>
      <c r="BH108" s="342" t="s">
        <v>41313</v>
      </c>
      <c r="BI108" s="374">
        <f>VLOOKUP(Tabela10[[#This Row], [ID real2]],[2]CONSOLIDADA!$AU:$AZ,6,FALSE)</f>
      </c>
      <c r="BJ108" s="342" t="s">
        <v>39952</v>
      </c>
      <c r="BK108" s="375">
        <v>2026</v>
      </c>
      <c r="BL108" s="342" t="s">
        <v>40140</v>
      </c>
      <c r="BM108" s="375">
        <v>0</v>
      </c>
      <c r="BN108" s="342" t="s">
        <v>41313</v>
      </c>
      <c r="BO108" s="342" t="s">
        <v>41172</v>
      </c>
      <c r="BP108" s="342" t="s">
        <v>41121</v>
      </c>
      <c r="BQ108" s="342" t="s">
        <v>41121</v>
      </c>
      <c r="BR108" s="376">
        <v>0</v>
      </c>
      <c r="BS108" s="342"/>
      <c r="BT108" s="342" t="s">
        <v>41313</v>
      </c>
      <c r="BU108" s="376" t="s">
        <v>41408</v>
      </c>
      <c r="BV108" s="376">
        <f>Tabela10[[#This Row], [Descrição do projeto]]</f>
      </c>
    </row>
    <row x14ac:dyDescent="0.25" r="109" customHeight="1" ht="18.75" hidden="1">
      <c r="A109" s="336">
        <v>325</v>
      </c>
      <c r="B109" s="371">
        <f>AND(ISTEXT('Consolidado-Eletronorte'!#REF!),SUM('Consolidado-Eletronorte'!#REF!)&gt;0)</f>
      </c>
      <c r="C109" s="371">
        <f>$J$13</f>
      </c>
      <c r="D109" s="371">
        <f>$H$13</f>
      </c>
      <c r="E109" s="371">
        <f>$H$14</f>
      </c>
      <c r="F109" s="371">
        <f>_xlfn.CONCAT(Tabela10[[#This Row], [VP]],Tabela10[[#This Row], [Analise Estrategia]])</f>
      </c>
      <c r="G109" s="371">
        <f>_xlfn.CONCAT('Consolidado-Eletronorte'!#REF!,"_",ROW('Consolidado-Eletronorte'!#REF!)-ROW('Consolidado-Eletronorte'!$G$18))</f>
      </c>
      <c r="H109" s="335" t="s">
        <v>10</v>
      </c>
      <c r="I109" s="335" t="s">
        <v>88</v>
      </c>
      <c r="J109" s="335" t="s">
        <v>5</v>
      </c>
      <c r="K109" s="336" t="s">
        <v>21</v>
      </c>
      <c r="L109" s="335" t="s">
        <v>21</v>
      </c>
      <c r="M109" s="335" t="s">
        <v>39949</v>
      </c>
      <c r="N109" s="335"/>
      <c r="O109" s="335"/>
      <c r="P109" s="336" t="s">
        <v>38368</v>
      </c>
      <c r="Q109" s="342" t="s">
        <v>41314</v>
      </c>
      <c r="R109" s="335" t="s">
        <v>40141</v>
      </c>
      <c r="S109" s="342" t="s">
        <v>41314</v>
      </c>
      <c r="T109" s="335" t="s">
        <v>21</v>
      </c>
      <c r="U109" s="335" t="s">
        <v>21</v>
      </c>
      <c r="V109" s="335" t="s">
        <v>39949</v>
      </c>
      <c r="W109" s="335" t="s">
        <v>39949</v>
      </c>
      <c r="X109" s="335"/>
      <c r="Y109" s="336" t="s">
        <v>41222</v>
      </c>
      <c r="Z109" s="372"/>
      <c r="AA109" s="336"/>
      <c r="AB109" s="372"/>
      <c r="AC109" s="336"/>
      <c r="AD109" s="372"/>
      <c r="AE109" s="335"/>
      <c r="AF109" s="335"/>
      <c r="AG109" s="335" t="s">
        <v>40142</v>
      </c>
      <c r="AH109" s="335" t="s">
        <v>40006</v>
      </c>
      <c r="AI109" s="337">
        <v>0</v>
      </c>
      <c r="AJ109" s="337">
        <v>0</v>
      </c>
      <c r="AK109" s="337">
        <v>0</v>
      </c>
      <c r="AL109" s="337">
        <v>0</v>
      </c>
      <c r="AM109" s="337">
        <v>0</v>
      </c>
      <c r="AN109" s="337">
        <v>0</v>
      </c>
      <c r="AO109" s="337">
        <v>0</v>
      </c>
      <c r="AP109" s="337">
        <v>0</v>
      </c>
      <c r="AQ109" s="337">
        <v>0</v>
      </c>
      <c r="AR109" s="337">
        <v>0</v>
      </c>
      <c r="AS109" s="337">
        <v>0</v>
      </c>
      <c r="AT109" s="337">
        <v>0</v>
      </c>
      <c r="AU109" s="337">
        <f>SUM(Tabela10[[#This Row], [jan/26]:[dez/26]])</f>
      </c>
      <c r="AV109" s="337">
        <v>1200000</v>
      </c>
      <c r="AW109" s="337">
        <v>300000</v>
      </c>
      <c r="AX109" s="337">
        <v>0</v>
      </c>
      <c r="AY109" s="337">
        <v>0</v>
      </c>
      <c r="AZ109" s="337">
        <f>SUM(Tabela10[[#This Row], [2026]:[2030]])</f>
      </c>
      <c r="BA109" s="337">
        <v>0</v>
      </c>
      <c r="BB109" s="337">
        <v>0</v>
      </c>
      <c r="BC109" s="337">
        <v>0</v>
      </c>
      <c r="BD109" s="337">
        <v>0</v>
      </c>
      <c r="BE109" s="337">
        <v>0</v>
      </c>
      <c r="BF109" s="373">
        <f>SUM(Tabela10[[#This Row], [2026-2030]:[2035]])</f>
      </c>
      <c r="BG109" s="374">
        <f>_xlfn.SEQUENCE(COUNTA(Tabela10[Empresa]),1,1)</f>
      </c>
      <c r="BH109" s="342" t="s">
        <v>41314</v>
      </c>
      <c r="BI109" s="374">
        <f>VLOOKUP(Tabela10[[#This Row], [ID real2]],[2]CONSOLIDADA!$AU:$AZ,6,FALSE)</f>
      </c>
      <c r="BJ109" s="342" t="s">
        <v>39952</v>
      </c>
      <c r="BK109" s="375">
        <v>2026</v>
      </c>
      <c r="BL109" s="342" t="s">
        <v>40143</v>
      </c>
      <c r="BM109" s="375">
        <v>0</v>
      </c>
      <c r="BN109" s="342" t="s">
        <v>41314</v>
      </c>
      <c r="BO109" s="342" t="s">
        <v>41172</v>
      </c>
      <c r="BP109" s="342" t="s">
        <v>41121</v>
      </c>
      <c r="BQ109" s="342" t="s">
        <v>41121</v>
      </c>
      <c r="BR109" s="376">
        <v>0</v>
      </c>
      <c r="BS109" s="342"/>
      <c r="BT109" s="342" t="s">
        <v>41314</v>
      </c>
      <c r="BU109" s="376" t="s">
        <v>41408</v>
      </c>
      <c r="BV109" s="376">
        <f>Tabela10[[#This Row], [Descrição do projeto]]</f>
      </c>
    </row>
    <row x14ac:dyDescent="0.25" r="110" customHeight="1" ht="18.75" hidden="1">
      <c r="A110" s="336">
        <v>324</v>
      </c>
      <c r="B110" s="371">
        <f>AND(ISTEXT('Consolidado-Eletronorte'!#REF!),SUM('Consolidado-Eletronorte'!#REF!)&gt;0)</f>
      </c>
      <c r="C110" s="371">
        <f>$J$13</f>
      </c>
      <c r="D110" s="371">
        <f>$H$13</f>
      </c>
      <c r="E110" s="371">
        <f>$H$14</f>
      </c>
      <c r="F110" s="371">
        <f>_xlfn.CONCAT(Tabela10[[#This Row], [VP]],Tabela10[[#This Row], [Analise Estrategia]])</f>
      </c>
      <c r="G110" s="371">
        <f>_xlfn.CONCAT('Consolidado-Eletronorte'!#REF!,"_",ROW('Consolidado-Eletronorte'!#REF!)-ROW('Consolidado-Eletronorte'!$G$18))</f>
      </c>
      <c r="H110" s="335" t="s">
        <v>10</v>
      </c>
      <c r="I110" s="335" t="s">
        <v>88</v>
      </c>
      <c r="J110" s="335" t="s">
        <v>5</v>
      </c>
      <c r="K110" s="336" t="s">
        <v>21</v>
      </c>
      <c r="L110" s="335" t="s">
        <v>21</v>
      </c>
      <c r="M110" s="335" t="s">
        <v>39949</v>
      </c>
      <c r="N110" s="335"/>
      <c r="O110" s="335"/>
      <c r="P110" s="336" t="s">
        <v>38368</v>
      </c>
      <c r="Q110" s="342" t="s">
        <v>41315</v>
      </c>
      <c r="R110" s="335" t="s">
        <v>40190</v>
      </c>
      <c r="S110" s="342" t="s">
        <v>41315</v>
      </c>
      <c r="T110" s="335" t="s">
        <v>21</v>
      </c>
      <c r="U110" s="335" t="s">
        <v>21</v>
      </c>
      <c r="V110" s="335" t="s">
        <v>39949</v>
      </c>
      <c r="W110" s="335" t="s">
        <v>39949</v>
      </c>
      <c r="X110" s="335"/>
      <c r="Y110" s="336" t="s">
        <v>41222</v>
      </c>
      <c r="Z110" s="372"/>
      <c r="AA110" s="336"/>
      <c r="AB110" s="372"/>
      <c r="AC110" s="336"/>
      <c r="AD110" s="372"/>
      <c r="AE110" s="335"/>
      <c r="AF110" s="335"/>
      <c r="AG110" s="335" t="s">
        <v>40191</v>
      </c>
      <c r="AH110" s="335" t="s">
        <v>40006</v>
      </c>
      <c r="AI110" s="337">
        <v>0</v>
      </c>
      <c r="AJ110" s="337">
        <v>0</v>
      </c>
      <c r="AK110" s="337">
        <v>0</v>
      </c>
      <c r="AL110" s="337">
        <v>0</v>
      </c>
      <c r="AM110" s="337">
        <v>0</v>
      </c>
      <c r="AN110" s="337">
        <v>0</v>
      </c>
      <c r="AO110" s="337">
        <v>0</v>
      </c>
      <c r="AP110" s="337">
        <v>0</v>
      </c>
      <c r="AQ110" s="337">
        <v>0</v>
      </c>
      <c r="AR110" s="337">
        <v>0</v>
      </c>
      <c r="AS110" s="337">
        <v>0</v>
      </c>
      <c r="AT110" s="337">
        <v>0</v>
      </c>
      <c r="AU110" s="337">
        <f>SUM(Tabela10[[#This Row], [jan/26]:[dez/26]])</f>
      </c>
      <c r="AV110" s="337">
        <v>1000000</v>
      </c>
      <c r="AW110" s="337">
        <v>0</v>
      </c>
      <c r="AX110" s="337">
        <v>0</v>
      </c>
      <c r="AY110" s="337">
        <v>0</v>
      </c>
      <c r="AZ110" s="337">
        <f>SUM(Tabela10[[#This Row], [2026]:[2030]])</f>
      </c>
      <c r="BA110" s="337">
        <v>0</v>
      </c>
      <c r="BB110" s="337">
        <v>0</v>
      </c>
      <c r="BC110" s="337">
        <v>0</v>
      </c>
      <c r="BD110" s="337">
        <v>0</v>
      </c>
      <c r="BE110" s="337">
        <v>0</v>
      </c>
      <c r="BF110" s="373">
        <f>SUM(Tabela10[[#This Row], [2026-2030]:[2035]])</f>
      </c>
      <c r="BG110" s="374">
        <f>_xlfn.SEQUENCE(COUNTA(Tabela10[Empresa]),1,1)</f>
      </c>
      <c r="BH110" s="342" t="s">
        <v>41315</v>
      </c>
      <c r="BI110" s="374">
        <f>VLOOKUP(Tabela10[[#This Row], [ID real2]],[2]CONSOLIDADA!$AU:$AZ,6,FALSE)</f>
      </c>
      <c r="BJ110" s="342" t="s">
        <v>39952</v>
      </c>
      <c r="BK110" s="375">
        <v>2026</v>
      </c>
      <c r="BL110" s="342" t="s">
        <v>40192</v>
      </c>
      <c r="BM110" s="375">
        <v>0</v>
      </c>
      <c r="BN110" s="342" t="s">
        <v>41315</v>
      </c>
      <c r="BO110" s="342" t="s">
        <v>41172</v>
      </c>
      <c r="BP110" s="342" t="s">
        <v>41121</v>
      </c>
      <c r="BQ110" s="342" t="s">
        <v>41121</v>
      </c>
      <c r="BR110" s="376">
        <v>0</v>
      </c>
      <c r="BS110" s="342"/>
      <c r="BT110" s="342" t="s">
        <v>41315</v>
      </c>
      <c r="BU110" s="376" t="s">
        <v>41408</v>
      </c>
      <c r="BV110" s="376">
        <f>Tabela10[[#This Row], [Descrição do projeto]]</f>
      </c>
    </row>
    <row x14ac:dyDescent="0.25" r="111" customHeight="1" ht="18.75" hidden="1">
      <c r="A111" s="336">
        <v>326</v>
      </c>
      <c r="B111" s="371">
        <f>AND(ISTEXT('Consolidado-Eletronorte'!#REF!),SUM('Consolidado-Eletronorte'!#REF!)&gt;0)</f>
      </c>
      <c r="C111" s="371">
        <f>$J$13</f>
      </c>
      <c r="D111" s="371">
        <f>$H$13</f>
      </c>
      <c r="E111" s="371">
        <f>$H$14</f>
      </c>
      <c r="F111" s="371">
        <f>_xlfn.CONCAT(Tabela10[[#This Row], [VP]],Tabela10[[#This Row], [Analise Estrategia]])</f>
      </c>
      <c r="G111" s="371">
        <f>_xlfn.CONCAT('Consolidado-Eletronorte'!#REF!,"_",ROW('Consolidado-Eletronorte'!#REF!)-ROW('Consolidado-Eletronorte'!$G$18))</f>
      </c>
      <c r="H111" s="335" t="s">
        <v>10</v>
      </c>
      <c r="I111" s="335" t="s">
        <v>88</v>
      </c>
      <c r="J111" s="335" t="s">
        <v>5</v>
      </c>
      <c r="K111" s="336" t="s">
        <v>21</v>
      </c>
      <c r="L111" s="335" t="s">
        <v>21</v>
      </c>
      <c r="M111" s="335" t="s">
        <v>39949</v>
      </c>
      <c r="N111" s="335"/>
      <c r="O111" s="335"/>
      <c r="P111" s="336" t="s">
        <v>38368</v>
      </c>
      <c r="Q111" s="342" t="s">
        <v>41316</v>
      </c>
      <c r="R111" s="335" t="s">
        <v>40193</v>
      </c>
      <c r="S111" s="342" t="s">
        <v>41316</v>
      </c>
      <c r="T111" s="335" t="s">
        <v>21</v>
      </c>
      <c r="U111" s="335" t="s">
        <v>21</v>
      </c>
      <c r="V111" s="335" t="s">
        <v>39949</v>
      </c>
      <c r="W111" s="335" t="s">
        <v>39949</v>
      </c>
      <c r="X111" s="335"/>
      <c r="Y111" s="336" t="s">
        <v>41222</v>
      </c>
      <c r="Z111" s="372"/>
      <c r="AA111" s="336"/>
      <c r="AB111" s="372"/>
      <c r="AC111" s="336"/>
      <c r="AD111" s="372"/>
      <c r="AE111" s="335"/>
      <c r="AF111" s="335"/>
      <c r="AG111" s="335" t="s">
        <v>40194</v>
      </c>
      <c r="AH111" s="335" t="s">
        <v>40006</v>
      </c>
      <c r="AI111" s="337">
        <v>0</v>
      </c>
      <c r="AJ111" s="337">
        <v>0</v>
      </c>
      <c r="AK111" s="337">
        <v>0</v>
      </c>
      <c r="AL111" s="337">
        <v>0</v>
      </c>
      <c r="AM111" s="337">
        <v>0</v>
      </c>
      <c r="AN111" s="337">
        <v>0</v>
      </c>
      <c r="AO111" s="337">
        <v>0</v>
      </c>
      <c r="AP111" s="337">
        <v>0</v>
      </c>
      <c r="AQ111" s="337">
        <v>0</v>
      </c>
      <c r="AR111" s="337">
        <v>0</v>
      </c>
      <c r="AS111" s="337">
        <v>0</v>
      </c>
      <c r="AT111" s="337">
        <v>0</v>
      </c>
      <c r="AU111" s="337">
        <f>SUM(Tabela10[[#This Row], [jan/26]:[dez/26]])</f>
      </c>
      <c r="AV111" s="337">
        <v>600000</v>
      </c>
      <c r="AW111" s="337">
        <v>400000</v>
      </c>
      <c r="AX111" s="337">
        <v>0</v>
      </c>
      <c r="AY111" s="337">
        <v>0</v>
      </c>
      <c r="AZ111" s="337">
        <f>SUM(Tabela10[[#This Row], [2026]:[2030]])</f>
      </c>
      <c r="BA111" s="337">
        <v>0</v>
      </c>
      <c r="BB111" s="337">
        <v>0</v>
      </c>
      <c r="BC111" s="337">
        <v>0</v>
      </c>
      <c r="BD111" s="337">
        <v>0</v>
      </c>
      <c r="BE111" s="337">
        <v>0</v>
      </c>
      <c r="BF111" s="373">
        <f>SUM(Tabela10[[#This Row], [2026-2030]:[2035]])</f>
      </c>
      <c r="BG111" s="374">
        <f>_xlfn.SEQUENCE(COUNTA(Tabela10[Empresa]),1,1)</f>
      </c>
      <c r="BH111" s="342" t="s">
        <v>41316</v>
      </c>
      <c r="BI111" s="374">
        <f>VLOOKUP(Tabela10[[#This Row], [ID real2]],[2]CONSOLIDADA!$AU:$AZ,6,FALSE)</f>
      </c>
      <c r="BJ111" s="342" t="s">
        <v>39952</v>
      </c>
      <c r="BK111" s="375">
        <v>2026</v>
      </c>
      <c r="BL111" s="342" t="s">
        <v>40195</v>
      </c>
      <c r="BM111" s="375">
        <v>0</v>
      </c>
      <c r="BN111" s="342" t="s">
        <v>41316</v>
      </c>
      <c r="BO111" s="342" t="s">
        <v>41172</v>
      </c>
      <c r="BP111" s="342" t="s">
        <v>41121</v>
      </c>
      <c r="BQ111" s="342" t="s">
        <v>41121</v>
      </c>
      <c r="BR111" s="376">
        <v>0</v>
      </c>
      <c r="BS111" s="342"/>
      <c r="BT111" s="342" t="s">
        <v>41316</v>
      </c>
      <c r="BU111" s="376" t="s">
        <v>41408</v>
      </c>
      <c r="BV111" s="376">
        <f>Tabela10[[#This Row], [Descrição do projeto]]</f>
      </c>
    </row>
    <row x14ac:dyDescent="0.25" r="112" customHeight="1" ht="18.75" hidden="1">
      <c r="A112" s="336">
        <v>282</v>
      </c>
      <c r="B112" s="371">
        <f>AND(ISTEXT('Consolidado-Eletronorte'!#REF!),SUM('Consolidado-Eletronorte'!#REF!)&gt;0)</f>
      </c>
      <c r="C112" s="371">
        <f>$J$13</f>
      </c>
      <c r="D112" s="371">
        <f>$H$13</f>
      </c>
      <c r="E112" s="371">
        <f>$H$14</f>
      </c>
      <c r="F112" s="371">
        <f>_xlfn.CONCAT(Tabela10[[#This Row], [VP]],Tabela10[[#This Row], [Analise Estrategia]])</f>
      </c>
      <c r="G112" s="371">
        <f>_xlfn.CONCAT('Consolidado-Eletronorte'!#REF!,"_",ROW('Consolidado-Eletronorte'!#REF!)-ROW('Consolidado-Eletronorte'!$G$18))</f>
      </c>
      <c r="H112" s="335" t="s">
        <v>10</v>
      </c>
      <c r="I112" s="335" t="s">
        <v>88</v>
      </c>
      <c r="J112" s="335" t="s">
        <v>5</v>
      </c>
      <c r="K112" s="336" t="s">
        <v>21</v>
      </c>
      <c r="L112" s="335" t="s">
        <v>21</v>
      </c>
      <c r="M112" s="335" t="s">
        <v>39949</v>
      </c>
      <c r="N112" s="335"/>
      <c r="O112" s="335"/>
      <c r="P112" s="336" t="s">
        <v>38368</v>
      </c>
      <c r="Q112" s="342" t="s">
        <v>41317</v>
      </c>
      <c r="R112" s="335" t="s">
        <v>40218</v>
      </c>
      <c r="S112" s="342" t="s">
        <v>41317</v>
      </c>
      <c r="T112" s="335" t="s">
        <v>21</v>
      </c>
      <c r="U112" s="335" t="s">
        <v>21</v>
      </c>
      <c r="V112" s="335" t="s">
        <v>39949</v>
      </c>
      <c r="W112" s="335" t="s">
        <v>39949</v>
      </c>
      <c r="X112" s="335"/>
      <c r="Y112" s="336" t="s">
        <v>41222</v>
      </c>
      <c r="Z112" s="372"/>
      <c r="AA112" s="336"/>
      <c r="AB112" s="372"/>
      <c r="AC112" s="336"/>
      <c r="AD112" s="372"/>
      <c r="AE112" s="335"/>
      <c r="AF112" s="335"/>
      <c r="AG112" s="335" t="s">
        <v>40219</v>
      </c>
      <c r="AH112" s="335" t="s">
        <v>38369</v>
      </c>
      <c r="AI112" s="337">
        <v>0</v>
      </c>
      <c r="AJ112" s="337">
        <v>0</v>
      </c>
      <c r="AK112" s="337">
        <v>0</v>
      </c>
      <c r="AL112" s="337">
        <v>0</v>
      </c>
      <c r="AM112" s="337">
        <v>0</v>
      </c>
      <c r="AN112" s="337">
        <v>0</v>
      </c>
      <c r="AO112" s="337">
        <v>0</v>
      </c>
      <c r="AP112" s="337">
        <v>0</v>
      </c>
      <c r="AQ112" s="337">
        <v>0</v>
      </c>
      <c r="AR112" s="337">
        <v>0</v>
      </c>
      <c r="AS112" s="337">
        <v>0</v>
      </c>
      <c r="AT112" s="337">
        <v>0</v>
      </c>
      <c r="AU112" s="337">
        <f>SUM(Tabela10[[#This Row], [jan/26]:[dez/26]])</f>
      </c>
      <c r="AV112" s="337">
        <v>800000</v>
      </c>
      <c r="AW112" s="337">
        <v>0</v>
      </c>
      <c r="AX112" s="337">
        <v>0</v>
      </c>
      <c r="AY112" s="337">
        <v>0</v>
      </c>
      <c r="AZ112" s="337">
        <f>SUM(Tabela10[[#This Row], [2026]:[2030]])</f>
      </c>
      <c r="BA112" s="337">
        <v>0</v>
      </c>
      <c r="BB112" s="337">
        <v>0</v>
      </c>
      <c r="BC112" s="337">
        <v>0</v>
      </c>
      <c r="BD112" s="337">
        <v>0</v>
      </c>
      <c r="BE112" s="337">
        <v>0</v>
      </c>
      <c r="BF112" s="373">
        <f>SUM(Tabela10[[#This Row], [2026-2030]:[2035]])</f>
      </c>
      <c r="BG112" s="374">
        <f>_xlfn.SEQUENCE(COUNTA(Tabela10[Empresa]),1,1)</f>
      </c>
      <c r="BH112" s="342" t="s">
        <v>41317</v>
      </c>
      <c r="BI112" s="374">
        <f>VLOOKUP(Tabela10[[#This Row], [ID real2]],[2]CONSOLIDADA!$AU:$AZ,6,FALSE)</f>
      </c>
      <c r="BJ112" s="342" t="s">
        <v>40043</v>
      </c>
      <c r="BK112" s="375">
        <v>2025</v>
      </c>
      <c r="BL112" s="342" t="s">
        <v>40220</v>
      </c>
      <c r="BM112" s="375" t="s">
        <v>40221</v>
      </c>
      <c r="BN112" s="342" t="s">
        <v>41317</v>
      </c>
      <c r="BO112" s="342" t="s">
        <v>41172</v>
      </c>
      <c r="BP112" s="342" t="s">
        <v>41400</v>
      </c>
      <c r="BQ112" s="342" t="s">
        <v>41121</v>
      </c>
      <c r="BR112" s="376">
        <v>0</v>
      </c>
      <c r="BS112" s="342"/>
      <c r="BT112" s="342" t="s">
        <v>41317</v>
      </c>
      <c r="BU112" s="376" t="s">
        <v>41151</v>
      </c>
      <c r="BV112" s="376">
        <f>Tabela10[[#This Row], [Descrição do projeto]]</f>
      </c>
    </row>
    <row x14ac:dyDescent="0.25" r="113" customHeight="1" ht="18.75" hidden="1">
      <c r="A113" s="336">
        <v>281</v>
      </c>
      <c r="B113" s="371">
        <f>AND(ISTEXT('Consolidado-Eletronorte'!#REF!),SUM('Consolidado-Eletronorte'!#REF!)&gt;0)</f>
      </c>
      <c r="C113" s="371">
        <f>$J$13</f>
      </c>
      <c r="D113" s="371">
        <f>$H$13</f>
      </c>
      <c r="E113" s="371">
        <f>$H$14</f>
      </c>
      <c r="F113" s="371">
        <f>_xlfn.CONCAT(Tabela10[[#This Row], [VP]],Tabela10[[#This Row], [Analise Estrategia]])</f>
      </c>
      <c r="G113" s="371">
        <f>_xlfn.CONCAT('Consolidado-Eletronorte'!#REF!,"_",ROW('Consolidado-Eletronorte'!#REF!)-ROW('Consolidado-Eletronorte'!$G$18))</f>
      </c>
      <c r="H113" s="335" t="s">
        <v>10</v>
      </c>
      <c r="I113" s="335" t="s">
        <v>88</v>
      </c>
      <c r="J113" s="335" t="s">
        <v>5</v>
      </c>
      <c r="K113" s="336" t="s">
        <v>21</v>
      </c>
      <c r="L113" s="335" t="s">
        <v>21</v>
      </c>
      <c r="M113" s="335" t="s">
        <v>39949</v>
      </c>
      <c r="N113" s="335"/>
      <c r="O113" s="335"/>
      <c r="P113" s="336" t="s">
        <v>38368</v>
      </c>
      <c r="Q113" s="342" t="s">
        <v>41318</v>
      </c>
      <c r="R113" s="335" t="s">
        <v>40236</v>
      </c>
      <c r="S113" s="342" t="s">
        <v>41318</v>
      </c>
      <c r="T113" s="335" t="s">
        <v>21</v>
      </c>
      <c r="U113" s="335" t="s">
        <v>21</v>
      </c>
      <c r="V113" s="335" t="s">
        <v>39949</v>
      </c>
      <c r="W113" s="335" t="s">
        <v>39949</v>
      </c>
      <c r="X113" s="335"/>
      <c r="Y113" s="336" t="s">
        <v>41222</v>
      </c>
      <c r="Z113" s="372"/>
      <c r="AA113" s="336"/>
      <c r="AB113" s="372"/>
      <c r="AC113" s="336"/>
      <c r="AD113" s="372"/>
      <c r="AE113" s="335"/>
      <c r="AF113" s="335"/>
      <c r="AG113" s="335" t="s">
        <v>40237</v>
      </c>
      <c r="AH113" s="335" t="s">
        <v>38369</v>
      </c>
      <c r="AI113" s="337">
        <v>0</v>
      </c>
      <c r="AJ113" s="337">
        <v>0</v>
      </c>
      <c r="AK113" s="337">
        <v>0</v>
      </c>
      <c r="AL113" s="337">
        <v>0</v>
      </c>
      <c r="AM113" s="337">
        <v>0</v>
      </c>
      <c r="AN113" s="337">
        <v>0</v>
      </c>
      <c r="AO113" s="337">
        <v>0</v>
      </c>
      <c r="AP113" s="337">
        <v>0</v>
      </c>
      <c r="AQ113" s="337">
        <v>0</v>
      </c>
      <c r="AR113" s="337">
        <v>0</v>
      </c>
      <c r="AS113" s="337">
        <v>0</v>
      </c>
      <c r="AT113" s="337">
        <v>0</v>
      </c>
      <c r="AU113" s="337">
        <f>SUM(Tabela10[[#This Row], [jan/26]:[dez/26]])</f>
      </c>
      <c r="AV113" s="337">
        <v>600000</v>
      </c>
      <c r="AW113" s="337">
        <v>0</v>
      </c>
      <c r="AX113" s="337">
        <v>0</v>
      </c>
      <c r="AY113" s="337">
        <v>0</v>
      </c>
      <c r="AZ113" s="337">
        <f>SUM(Tabela10[[#This Row], [2026]:[2030]])</f>
      </c>
      <c r="BA113" s="337">
        <v>0</v>
      </c>
      <c r="BB113" s="337">
        <v>0</v>
      </c>
      <c r="BC113" s="337">
        <v>0</v>
      </c>
      <c r="BD113" s="337">
        <v>0</v>
      </c>
      <c r="BE113" s="337">
        <v>0</v>
      </c>
      <c r="BF113" s="373">
        <f>SUM(Tabela10[[#This Row], [2026-2030]:[2035]])</f>
      </c>
      <c r="BG113" s="374">
        <f>_xlfn.SEQUENCE(COUNTA(Tabela10[Empresa]),1,1)</f>
      </c>
      <c r="BH113" s="342" t="s">
        <v>41318</v>
      </c>
      <c r="BI113" s="374">
        <f>VLOOKUP(Tabela10[[#This Row], [ID real2]],[2]CONSOLIDADA!$AU:$AZ,6,FALSE)</f>
      </c>
      <c r="BJ113" s="342" t="s">
        <v>40043</v>
      </c>
      <c r="BK113" s="375">
        <v>2025</v>
      </c>
      <c r="BL113" s="342" t="s">
        <v>40238</v>
      </c>
      <c r="BM113" s="375" t="s">
        <v>40239</v>
      </c>
      <c r="BN113" s="342" t="s">
        <v>41318</v>
      </c>
      <c r="BO113" s="342" t="s">
        <v>41172</v>
      </c>
      <c r="BP113" s="342" t="s">
        <v>41400</v>
      </c>
      <c r="BQ113" s="342" t="s">
        <v>64</v>
      </c>
      <c r="BR113" s="376">
        <v>0</v>
      </c>
      <c r="BS113" s="342"/>
      <c r="BT113" s="342" t="s">
        <v>41318</v>
      </c>
      <c r="BU113" s="376" t="s">
        <v>41151</v>
      </c>
      <c r="BV113" s="376">
        <f>Tabela10[[#This Row], [Descrição do projeto]]</f>
      </c>
    </row>
    <row x14ac:dyDescent="0.25" r="114" customHeight="1" ht="18.75" hidden="1">
      <c r="A114" s="336">
        <v>327</v>
      </c>
      <c r="B114" s="371">
        <f>AND(ISTEXT('Consolidado-Eletronorte'!#REF!),SUM('Consolidado-Eletronorte'!#REF!)&gt;0)</f>
      </c>
      <c r="C114" s="371">
        <f>$J$13</f>
      </c>
      <c r="D114" s="371">
        <f>$H$13</f>
      </c>
      <c r="E114" s="371">
        <f>$H$14</f>
      </c>
      <c r="F114" s="371">
        <f>_xlfn.CONCAT(Tabela10[[#This Row], [VP]],Tabela10[[#This Row], [Analise Estrategia]])</f>
      </c>
      <c r="G114" s="371">
        <f>_xlfn.CONCAT('Consolidado-Eletronorte'!#REF!,"_",ROW('Consolidado-Eletronorte'!#REF!)-ROW('Consolidado-Eletronorte'!$G$18))</f>
      </c>
      <c r="H114" s="335" t="s">
        <v>10</v>
      </c>
      <c r="I114" s="335" t="s">
        <v>88</v>
      </c>
      <c r="J114" s="335" t="s">
        <v>5</v>
      </c>
      <c r="K114" s="336" t="s">
        <v>21</v>
      </c>
      <c r="L114" s="335" t="s">
        <v>21</v>
      </c>
      <c r="M114" s="335" t="s">
        <v>39949</v>
      </c>
      <c r="N114" s="335"/>
      <c r="O114" s="335"/>
      <c r="P114" s="336" t="s">
        <v>38368</v>
      </c>
      <c r="Q114" s="342" t="s">
        <v>41319</v>
      </c>
      <c r="R114" s="335" t="s">
        <v>40296</v>
      </c>
      <c r="S114" s="342" t="s">
        <v>41319</v>
      </c>
      <c r="T114" s="335" t="s">
        <v>21</v>
      </c>
      <c r="U114" s="335" t="s">
        <v>21</v>
      </c>
      <c r="V114" s="335" t="s">
        <v>39949</v>
      </c>
      <c r="W114" s="335" t="s">
        <v>39949</v>
      </c>
      <c r="X114" s="335"/>
      <c r="Y114" s="336" t="s">
        <v>41222</v>
      </c>
      <c r="Z114" s="372"/>
      <c r="AA114" s="336"/>
      <c r="AB114" s="372"/>
      <c r="AC114" s="336"/>
      <c r="AD114" s="372"/>
      <c r="AE114" s="335"/>
      <c r="AF114" s="335"/>
      <c r="AG114" s="335" t="s">
        <v>40297</v>
      </c>
      <c r="AH114" s="335" t="s">
        <v>38369</v>
      </c>
      <c r="AI114" s="337">
        <v>0</v>
      </c>
      <c r="AJ114" s="337">
        <v>0</v>
      </c>
      <c r="AK114" s="337">
        <v>0</v>
      </c>
      <c r="AL114" s="337">
        <v>0</v>
      </c>
      <c r="AM114" s="337">
        <v>0</v>
      </c>
      <c r="AN114" s="337">
        <v>0</v>
      </c>
      <c r="AO114" s="337">
        <v>0</v>
      </c>
      <c r="AP114" s="337">
        <v>0</v>
      </c>
      <c r="AQ114" s="337">
        <v>0</v>
      </c>
      <c r="AR114" s="337">
        <v>0</v>
      </c>
      <c r="AS114" s="337">
        <v>0</v>
      </c>
      <c r="AT114" s="337">
        <v>0</v>
      </c>
      <c r="AU114" s="337">
        <f>SUM(Tabela10[[#This Row], [jan/26]:[dez/26]])</f>
      </c>
      <c r="AV114" s="337">
        <v>250000</v>
      </c>
      <c r="AW114" s="337">
        <v>250000</v>
      </c>
      <c r="AX114" s="337">
        <v>0</v>
      </c>
      <c r="AY114" s="337">
        <v>0</v>
      </c>
      <c r="AZ114" s="337">
        <f>SUM(Tabela10[[#This Row], [2026]:[2030]])</f>
      </c>
      <c r="BA114" s="337">
        <v>0</v>
      </c>
      <c r="BB114" s="337">
        <v>0</v>
      </c>
      <c r="BC114" s="337">
        <v>0</v>
      </c>
      <c r="BD114" s="337">
        <v>0</v>
      </c>
      <c r="BE114" s="337">
        <v>0</v>
      </c>
      <c r="BF114" s="373">
        <f>SUM(Tabela10[[#This Row], [2026-2030]:[2035]])</f>
      </c>
      <c r="BG114" s="374">
        <f>_xlfn.SEQUENCE(COUNTA(Tabela10[Empresa]),1,1)</f>
      </c>
      <c r="BH114" s="342" t="s">
        <v>41319</v>
      </c>
      <c r="BI114" s="374">
        <f>VLOOKUP(Tabela10[[#This Row], [ID real2]],[2]CONSOLIDADA!$AU:$AZ,6,FALSE)</f>
      </c>
      <c r="BJ114" s="342" t="s">
        <v>41127</v>
      </c>
      <c r="BK114" s="375">
        <v>2026</v>
      </c>
      <c r="BL114" s="342" t="s">
        <v>40298</v>
      </c>
      <c r="BM114" s="375">
        <v>0</v>
      </c>
      <c r="BN114" s="342" t="s">
        <v>41319</v>
      </c>
      <c r="BO114" s="342" t="s">
        <v>41172</v>
      </c>
      <c r="BP114" s="342" t="s">
        <v>41121</v>
      </c>
      <c r="BQ114" s="342" t="s">
        <v>41121</v>
      </c>
      <c r="BR114" s="376">
        <v>0</v>
      </c>
      <c r="BS114" s="342"/>
      <c r="BT114" s="342" t="s">
        <v>41319</v>
      </c>
      <c r="BU114" s="376" t="s">
        <v>41144</v>
      </c>
      <c r="BV114" s="376">
        <f>Tabela10[[#This Row], [Descrição do projeto]]</f>
      </c>
    </row>
    <row x14ac:dyDescent="0.25" r="115" customHeight="1" ht="18.75" hidden="1">
      <c r="A115" s="336">
        <v>329</v>
      </c>
      <c r="B115" s="371">
        <f>AND(ISTEXT('Consolidado-Eletronorte'!#REF!),SUM('Consolidado-Eletronorte'!#REF!)&gt;0)</f>
      </c>
      <c r="C115" s="371">
        <f>$J$13</f>
      </c>
      <c r="D115" s="371">
        <f>$H$13</f>
      </c>
      <c r="E115" s="371">
        <f>$H$14</f>
      </c>
      <c r="F115" s="371">
        <f>_xlfn.CONCAT(Tabela10[[#This Row], [VP]],Tabela10[[#This Row], [Analise Estrategia]])</f>
      </c>
      <c r="G115" s="371">
        <f>_xlfn.CONCAT('Consolidado-Eletronorte'!#REF!,"_",ROW('Consolidado-Eletronorte'!#REF!)-ROW('Consolidado-Eletronorte'!$G$18))</f>
      </c>
      <c r="H115" s="335" t="s">
        <v>10</v>
      </c>
      <c r="I115" s="335" t="s">
        <v>88</v>
      </c>
      <c r="J115" s="335" t="s">
        <v>5</v>
      </c>
      <c r="K115" s="336" t="s">
        <v>21</v>
      </c>
      <c r="L115" s="335" t="s">
        <v>21</v>
      </c>
      <c r="M115" s="335" t="s">
        <v>39949</v>
      </c>
      <c r="N115" s="335"/>
      <c r="O115" s="335"/>
      <c r="P115" s="336" t="s">
        <v>38368</v>
      </c>
      <c r="Q115" s="342" t="s">
        <v>41320</v>
      </c>
      <c r="R115" s="335" t="s">
        <v>40299</v>
      </c>
      <c r="S115" s="342" t="s">
        <v>41320</v>
      </c>
      <c r="T115" s="335" t="s">
        <v>21</v>
      </c>
      <c r="U115" s="335" t="s">
        <v>21</v>
      </c>
      <c r="V115" s="335" t="s">
        <v>39949</v>
      </c>
      <c r="W115" s="335" t="s">
        <v>39949</v>
      </c>
      <c r="X115" s="335"/>
      <c r="Y115" s="336" t="s">
        <v>41222</v>
      </c>
      <c r="Z115" s="372"/>
      <c r="AA115" s="336"/>
      <c r="AB115" s="372"/>
      <c r="AC115" s="336"/>
      <c r="AD115" s="372"/>
      <c r="AE115" s="335"/>
      <c r="AF115" s="335"/>
      <c r="AG115" s="335" t="s">
        <v>40300</v>
      </c>
      <c r="AH115" s="335" t="s">
        <v>38369</v>
      </c>
      <c r="AI115" s="337">
        <v>0</v>
      </c>
      <c r="AJ115" s="337">
        <v>0</v>
      </c>
      <c r="AK115" s="337">
        <v>0</v>
      </c>
      <c r="AL115" s="337">
        <v>0</v>
      </c>
      <c r="AM115" s="337">
        <v>0</v>
      </c>
      <c r="AN115" s="337">
        <v>0</v>
      </c>
      <c r="AO115" s="337">
        <v>0</v>
      </c>
      <c r="AP115" s="337">
        <v>0</v>
      </c>
      <c r="AQ115" s="337">
        <v>0</v>
      </c>
      <c r="AR115" s="337">
        <v>0</v>
      </c>
      <c r="AS115" s="337">
        <v>0</v>
      </c>
      <c r="AT115" s="337">
        <v>0</v>
      </c>
      <c r="AU115" s="337">
        <f>SUM(Tabela10[[#This Row], [jan/26]:[dez/26]])</f>
      </c>
      <c r="AV115" s="337">
        <v>250000</v>
      </c>
      <c r="AW115" s="337">
        <v>250000</v>
      </c>
      <c r="AX115" s="337">
        <v>0</v>
      </c>
      <c r="AY115" s="337">
        <v>0</v>
      </c>
      <c r="AZ115" s="337">
        <f>SUM(Tabela10[[#This Row], [2026]:[2030]])</f>
      </c>
      <c r="BA115" s="337">
        <v>0</v>
      </c>
      <c r="BB115" s="337">
        <v>0</v>
      </c>
      <c r="BC115" s="337">
        <v>0</v>
      </c>
      <c r="BD115" s="337">
        <v>0</v>
      </c>
      <c r="BE115" s="337">
        <v>0</v>
      </c>
      <c r="BF115" s="373">
        <f>SUM(Tabela10[[#This Row], [2026-2030]:[2035]])</f>
      </c>
      <c r="BG115" s="374">
        <f>_xlfn.SEQUENCE(COUNTA(Tabela10[Empresa]),1,1)</f>
      </c>
      <c r="BH115" s="342" t="s">
        <v>41320</v>
      </c>
      <c r="BI115" s="374">
        <f>VLOOKUP(Tabela10[[#This Row], [ID real2]],[2]CONSOLIDADA!$AU:$AZ,6,FALSE)</f>
      </c>
      <c r="BJ115" s="342" t="s">
        <v>41127</v>
      </c>
      <c r="BK115" s="375">
        <v>2026</v>
      </c>
      <c r="BL115" s="342" t="s">
        <v>40301</v>
      </c>
      <c r="BM115" s="375">
        <v>0</v>
      </c>
      <c r="BN115" s="342" t="s">
        <v>41320</v>
      </c>
      <c r="BO115" s="342" t="s">
        <v>41172</v>
      </c>
      <c r="BP115" s="342" t="s">
        <v>41121</v>
      </c>
      <c r="BQ115" s="342" t="s">
        <v>41121</v>
      </c>
      <c r="BR115" s="376">
        <v>0</v>
      </c>
      <c r="BS115" s="342"/>
      <c r="BT115" s="342" t="s">
        <v>41320</v>
      </c>
      <c r="BU115" s="376" t="s">
        <v>41144</v>
      </c>
      <c r="BV115" s="376">
        <f>Tabela10[[#This Row], [Descrição do projeto]]</f>
      </c>
    </row>
    <row x14ac:dyDescent="0.25" r="116" customHeight="1" ht="18.75" hidden="1">
      <c r="A116" s="336">
        <v>330</v>
      </c>
      <c r="B116" s="371">
        <f>AND(ISTEXT('Consolidado-Eletronorte'!#REF!),SUM('Consolidado-Eletronorte'!#REF!)&gt;0)</f>
      </c>
      <c r="C116" s="371">
        <f>$J$13</f>
      </c>
      <c r="D116" s="371">
        <f>$H$13</f>
      </c>
      <c r="E116" s="371">
        <f>$H$14</f>
      </c>
      <c r="F116" s="371">
        <f>_xlfn.CONCAT(Tabela10[[#This Row], [VP]],Tabela10[[#This Row], [Analise Estrategia]])</f>
      </c>
      <c r="G116" s="371">
        <f>_xlfn.CONCAT('Consolidado-Eletronorte'!#REF!,"_",ROW('Consolidado-Eletronorte'!#REF!)-ROW('Consolidado-Eletronorte'!$G$18))</f>
      </c>
      <c r="H116" s="335" t="s">
        <v>10</v>
      </c>
      <c r="I116" s="335" t="s">
        <v>88</v>
      </c>
      <c r="J116" s="335" t="s">
        <v>5</v>
      </c>
      <c r="K116" s="336" t="s">
        <v>21</v>
      </c>
      <c r="L116" s="335" t="s">
        <v>21</v>
      </c>
      <c r="M116" s="335" t="s">
        <v>39949</v>
      </c>
      <c r="N116" s="335"/>
      <c r="O116" s="335"/>
      <c r="P116" s="336" t="s">
        <v>38368</v>
      </c>
      <c r="Q116" s="342" t="s">
        <v>41321</v>
      </c>
      <c r="R116" s="335" t="s">
        <v>40302</v>
      </c>
      <c r="S116" s="342" t="s">
        <v>41321</v>
      </c>
      <c r="T116" s="335" t="s">
        <v>21</v>
      </c>
      <c r="U116" s="335" t="s">
        <v>21</v>
      </c>
      <c r="V116" s="335" t="s">
        <v>39949</v>
      </c>
      <c r="W116" s="335" t="s">
        <v>39949</v>
      </c>
      <c r="X116" s="335"/>
      <c r="Y116" s="336" t="s">
        <v>41222</v>
      </c>
      <c r="Z116" s="372"/>
      <c r="AA116" s="336"/>
      <c r="AB116" s="372"/>
      <c r="AC116" s="336"/>
      <c r="AD116" s="372"/>
      <c r="AE116" s="335"/>
      <c r="AF116" s="335"/>
      <c r="AG116" s="335" t="s">
        <v>40303</v>
      </c>
      <c r="AH116" s="335" t="s">
        <v>38369</v>
      </c>
      <c r="AI116" s="337">
        <v>0</v>
      </c>
      <c r="AJ116" s="337">
        <v>0</v>
      </c>
      <c r="AK116" s="337">
        <v>0</v>
      </c>
      <c r="AL116" s="337">
        <v>0</v>
      </c>
      <c r="AM116" s="337">
        <v>0</v>
      </c>
      <c r="AN116" s="337">
        <v>0</v>
      </c>
      <c r="AO116" s="337">
        <v>0</v>
      </c>
      <c r="AP116" s="337">
        <v>0</v>
      </c>
      <c r="AQ116" s="337">
        <v>0</v>
      </c>
      <c r="AR116" s="337">
        <v>0</v>
      </c>
      <c r="AS116" s="337">
        <v>0</v>
      </c>
      <c r="AT116" s="337">
        <v>0</v>
      </c>
      <c r="AU116" s="337">
        <f>SUM(Tabela10[[#This Row], [jan/26]:[dez/26]])</f>
      </c>
      <c r="AV116" s="337">
        <v>250000</v>
      </c>
      <c r="AW116" s="337">
        <v>250000</v>
      </c>
      <c r="AX116" s="337">
        <v>0</v>
      </c>
      <c r="AY116" s="337">
        <v>0</v>
      </c>
      <c r="AZ116" s="337">
        <f>SUM(Tabela10[[#This Row], [2026]:[2030]])</f>
      </c>
      <c r="BA116" s="337">
        <v>0</v>
      </c>
      <c r="BB116" s="337">
        <v>0</v>
      </c>
      <c r="BC116" s="337">
        <v>0</v>
      </c>
      <c r="BD116" s="337">
        <v>0</v>
      </c>
      <c r="BE116" s="337">
        <v>0</v>
      </c>
      <c r="BF116" s="373">
        <f>SUM(Tabela10[[#This Row], [2026-2030]:[2035]])</f>
      </c>
      <c r="BG116" s="374">
        <f>_xlfn.SEQUENCE(COUNTA(Tabela10[Empresa]),1,1)</f>
      </c>
      <c r="BH116" s="342" t="s">
        <v>41321</v>
      </c>
      <c r="BI116" s="374">
        <f>VLOOKUP(Tabela10[[#This Row], [ID real2]],[2]CONSOLIDADA!$AU:$AZ,6,FALSE)</f>
      </c>
      <c r="BJ116" s="342" t="s">
        <v>41127</v>
      </c>
      <c r="BK116" s="375">
        <v>2026</v>
      </c>
      <c r="BL116" s="342" t="s">
        <v>40304</v>
      </c>
      <c r="BM116" s="375">
        <v>0</v>
      </c>
      <c r="BN116" s="342" t="s">
        <v>41321</v>
      </c>
      <c r="BO116" s="342" t="s">
        <v>41172</v>
      </c>
      <c r="BP116" s="342" t="s">
        <v>41121</v>
      </c>
      <c r="BQ116" s="342" t="s">
        <v>41121</v>
      </c>
      <c r="BR116" s="376">
        <v>0</v>
      </c>
      <c r="BS116" s="342"/>
      <c r="BT116" s="342" t="s">
        <v>41321</v>
      </c>
      <c r="BU116" s="376" t="s">
        <v>41144</v>
      </c>
      <c r="BV116" s="376">
        <f>Tabela10[[#This Row], [Descrição do projeto]]</f>
      </c>
    </row>
    <row x14ac:dyDescent="0.25" r="117" customHeight="1" ht="18.75" hidden="1">
      <c r="A117" s="336">
        <v>331</v>
      </c>
      <c r="B117" s="371">
        <f>AND(ISTEXT('Consolidado-Eletronorte'!#REF!),SUM('Consolidado-Eletronorte'!#REF!)&gt;0)</f>
      </c>
      <c r="C117" s="371">
        <f>$J$13</f>
      </c>
      <c r="D117" s="371">
        <f>$H$13</f>
      </c>
      <c r="E117" s="371">
        <f>$H$14</f>
      </c>
      <c r="F117" s="371">
        <f>_xlfn.CONCAT(Tabela10[[#This Row], [VP]],Tabela10[[#This Row], [Analise Estrategia]])</f>
      </c>
      <c r="G117" s="371">
        <f>_xlfn.CONCAT('Consolidado-Eletronorte'!#REF!,"_",ROW('Consolidado-Eletronorte'!#REF!)-ROW('Consolidado-Eletronorte'!$G$18))</f>
      </c>
      <c r="H117" s="335" t="s">
        <v>10</v>
      </c>
      <c r="I117" s="335" t="s">
        <v>88</v>
      </c>
      <c r="J117" s="335" t="s">
        <v>5</v>
      </c>
      <c r="K117" s="336" t="s">
        <v>21</v>
      </c>
      <c r="L117" s="335" t="s">
        <v>21</v>
      </c>
      <c r="M117" s="335" t="s">
        <v>39949</v>
      </c>
      <c r="N117" s="335"/>
      <c r="O117" s="335"/>
      <c r="P117" s="336" t="s">
        <v>38368</v>
      </c>
      <c r="Q117" s="342" t="s">
        <v>41322</v>
      </c>
      <c r="R117" s="335" t="s">
        <v>40305</v>
      </c>
      <c r="S117" s="342" t="s">
        <v>41322</v>
      </c>
      <c r="T117" s="335" t="s">
        <v>21</v>
      </c>
      <c r="U117" s="335" t="s">
        <v>21</v>
      </c>
      <c r="V117" s="335" t="s">
        <v>39949</v>
      </c>
      <c r="W117" s="335" t="s">
        <v>39949</v>
      </c>
      <c r="X117" s="335"/>
      <c r="Y117" s="336" t="s">
        <v>41222</v>
      </c>
      <c r="Z117" s="372"/>
      <c r="AA117" s="336"/>
      <c r="AB117" s="372"/>
      <c r="AC117" s="336"/>
      <c r="AD117" s="372"/>
      <c r="AE117" s="335"/>
      <c r="AF117" s="335"/>
      <c r="AG117" s="335" t="s">
        <v>40306</v>
      </c>
      <c r="AH117" s="335" t="s">
        <v>38369</v>
      </c>
      <c r="AI117" s="337">
        <v>0</v>
      </c>
      <c r="AJ117" s="337">
        <v>0</v>
      </c>
      <c r="AK117" s="337">
        <v>0</v>
      </c>
      <c r="AL117" s="337">
        <v>0</v>
      </c>
      <c r="AM117" s="337">
        <v>0</v>
      </c>
      <c r="AN117" s="337">
        <v>0</v>
      </c>
      <c r="AO117" s="337">
        <v>0</v>
      </c>
      <c r="AP117" s="337">
        <v>0</v>
      </c>
      <c r="AQ117" s="337">
        <v>0</v>
      </c>
      <c r="AR117" s="337">
        <v>0</v>
      </c>
      <c r="AS117" s="337">
        <v>0</v>
      </c>
      <c r="AT117" s="337">
        <v>0</v>
      </c>
      <c r="AU117" s="337">
        <f>SUM(Tabela10[[#This Row], [jan/26]:[dez/26]])</f>
      </c>
      <c r="AV117" s="337">
        <v>250000</v>
      </c>
      <c r="AW117" s="337">
        <v>250000</v>
      </c>
      <c r="AX117" s="337">
        <v>0</v>
      </c>
      <c r="AY117" s="337">
        <v>0</v>
      </c>
      <c r="AZ117" s="337">
        <f>SUM(Tabela10[[#This Row], [2026]:[2030]])</f>
      </c>
      <c r="BA117" s="337">
        <v>0</v>
      </c>
      <c r="BB117" s="337">
        <v>0</v>
      </c>
      <c r="BC117" s="337">
        <v>0</v>
      </c>
      <c r="BD117" s="337">
        <v>0</v>
      </c>
      <c r="BE117" s="337">
        <v>0</v>
      </c>
      <c r="BF117" s="373">
        <f>SUM(Tabela10[[#This Row], [2026-2030]:[2035]])</f>
      </c>
      <c r="BG117" s="374">
        <f>_xlfn.SEQUENCE(COUNTA(Tabela10[Empresa]),1,1)</f>
      </c>
      <c r="BH117" s="342" t="s">
        <v>41322</v>
      </c>
      <c r="BI117" s="374">
        <f>VLOOKUP(Tabela10[[#This Row], [ID real2]],[2]CONSOLIDADA!$AU:$AZ,6,FALSE)</f>
      </c>
      <c r="BJ117" s="342" t="s">
        <v>41127</v>
      </c>
      <c r="BK117" s="375">
        <v>2026</v>
      </c>
      <c r="BL117" s="342" t="s">
        <v>40307</v>
      </c>
      <c r="BM117" s="375">
        <v>0</v>
      </c>
      <c r="BN117" s="342" t="s">
        <v>41322</v>
      </c>
      <c r="BO117" s="342" t="s">
        <v>41172</v>
      </c>
      <c r="BP117" s="342" t="s">
        <v>41121</v>
      </c>
      <c r="BQ117" s="342" t="s">
        <v>41121</v>
      </c>
      <c r="BR117" s="376">
        <v>0</v>
      </c>
      <c r="BS117" s="342"/>
      <c r="BT117" s="342" t="s">
        <v>41322</v>
      </c>
      <c r="BU117" s="376" t="s">
        <v>41144</v>
      </c>
      <c r="BV117" s="376">
        <f>Tabela10[[#This Row], [Descrição do projeto]]</f>
      </c>
    </row>
    <row x14ac:dyDescent="0.25" r="118" customHeight="1" ht="18.75" hidden="1">
      <c r="A118" s="336">
        <v>332</v>
      </c>
      <c r="B118" s="371">
        <f>AND(ISTEXT('Consolidado-Eletronorte'!#REF!),SUM('Consolidado-Eletronorte'!#REF!)&gt;0)</f>
      </c>
      <c r="C118" s="371">
        <f>$J$13</f>
      </c>
      <c r="D118" s="371">
        <f>$H$13</f>
      </c>
      <c r="E118" s="371">
        <f>$H$14</f>
      </c>
      <c r="F118" s="371">
        <f>_xlfn.CONCAT(Tabela10[[#This Row], [VP]],Tabela10[[#This Row], [Analise Estrategia]])</f>
      </c>
      <c r="G118" s="371">
        <f>_xlfn.CONCAT('Consolidado-Eletronorte'!#REF!,"_",ROW('Consolidado-Eletronorte'!#REF!)-ROW('Consolidado-Eletronorte'!$G$18))</f>
      </c>
      <c r="H118" s="335" t="s">
        <v>10</v>
      </c>
      <c r="I118" s="335" t="s">
        <v>88</v>
      </c>
      <c r="J118" s="335" t="s">
        <v>5</v>
      </c>
      <c r="K118" s="336" t="s">
        <v>21</v>
      </c>
      <c r="L118" s="335" t="s">
        <v>21</v>
      </c>
      <c r="M118" s="335" t="s">
        <v>39949</v>
      </c>
      <c r="N118" s="335"/>
      <c r="O118" s="335"/>
      <c r="P118" s="336" t="s">
        <v>38368</v>
      </c>
      <c r="Q118" s="342" t="s">
        <v>41323</v>
      </c>
      <c r="R118" s="335" t="s">
        <v>40308</v>
      </c>
      <c r="S118" s="342" t="s">
        <v>41323</v>
      </c>
      <c r="T118" s="335" t="s">
        <v>21</v>
      </c>
      <c r="U118" s="335" t="s">
        <v>21</v>
      </c>
      <c r="V118" s="335" t="s">
        <v>39949</v>
      </c>
      <c r="W118" s="335" t="s">
        <v>39949</v>
      </c>
      <c r="X118" s="335"/>
      <c r="Y118" s="336" t="s">
        <v>41222</v>
      </c>
      <c r="Z118" s="372"/>
      <c r="AA118" s="336"/>
      <c r="AB118" s="372"/>
      <c r="AC118" s="336"/>
      <c r="AD118" s="372"/>
      <c r="AE118" s="335"/>
      <c r="AF118" s="335"/>
      <c r="AG118" s="335" t="s">
        <v>40309</v>
      </c>
      <c r="AH118" s="335" t="s">
        <v>38369</v>
      </c>
      <c r="AI118" s="337">
        <v>0</v>
      </c>
      <c r="AJ118" s="337">
        <v>0</v>
      </c>
      <c r="AK118" s="337">
        <v>0</v>
      </c>
      <c r="AL118" s="337">
        <v>0</v>
      </c>
      <c r="AM118" s="337">
        <v>0</v>
      </c>
      <c r="AN118" s="337">
        <v>0</v>
      </c>
      <c r="AO118" s="337">
        <v>0</v>
      </c>
      <c r="AP118" s="337">
        <v>0</v>
      </c>
      <c r="AQ118" s="337">
        <v>0</v>
      </c>
      <c r="AR118" s="337">
        <v>0</v>
      </c>
      <c r="AS118" s="337">
        <v>0</v>
      </c>
      <c r="AT118" s="337">
        <v>0</v>
      </c>
      <c r="AU118" s="337">
        <f>SUM(Tabela10[[#This Row], [jan/26]:[dez/26]])</f>
      </c>
      <c r="AV118" s="337">
        <v>250000</v>
      </c>
      <c r="AW118" s="337">
        <v>250000</v>
      </c>
      <c r="AX118" s="337">
        <v>0</v>
      </c>
      <c r="AY118" s="337">
        <v>0</v>
      </c>
      <c r="AZ118" s="337">
        <f>SUM(Tabela10[[#This Row], [2026]:[2030]])</f>
      </c>
      <c r="BA118" s="337">
        <v>0</v>
      </c>
      <c r="BB118" s="337">
        <v>0</v>
      </c>
      <c r="BC118" s="337">
        <v>0</v>
      </c>
      <c r="BD118" s="337">
        <v>0</v>
      </c>
      <c r="BE118" s="337">
        <v>0</v>
      </c>
      <c r="BF118" s="373">
        <f>SUM(Tabela10[[#This Row], [2026-2030]:[2035]])</f>
      </c>
      <c r="BG118" s="374">
        <f>_xlfn.SEQUENCE(COUNTA(Tabela10[Empresa]),1,1)</f>
      </c>
      <c r="BH118" s="342" t="s">
        <v>41323</v>
      </c>
      <c r="BI118" s="374">
        <f>VLOOKUP(Tabela10[[#This Row], [ID real2]],[2]CONSOLIDADA!$AU:$AZ,6,FALSE)</f>
      </c>
      <c r="BJ118" s="342" t="s">
        <v>41127</v>
      </c>
      <c r="BK118" s="375">
        <v>2026</v>
      </c>
      <c r="BL118" s="342" t="s">
        <v>40310</v>
      </c>
      <c r="BM118" s="375">
        <v>0</v>
      </c>
      <c r="BN118" s="342" t="s">
        <v>41323</v>
      </c>
      <c r="BO118" s="342" t="s">
        <v>41172</v>
      </c>
      <c r="BP118" s="342" t="s">
        <v>41121</v>
      </c>
      <c r="BQ118" s="342" t="s">
        <v>41121</v>
      </c>
      <c r="BR118" s="376">
        <v>0</v>
      </c>
      <c r="BS118" s="342"/>
      <c r="BT118" s="342" t="s">
        <v>41323</v>
      </c>
      <c r="BU118" s="376" t="s">
        <v>41144</v>
      </c>
      <c r="BV118" s="376">
        <f>Tabela10[[#This Row], [Descrição do projeto]]</f>
      </c>
    </row>
    <row x14ac:dyDescent="0.25" r="119" customHeight="1" ht="18.75" hidden="1">
      <c r="A119" s="336">
        <v>333</v>
      </c>
      <c r="B119" s="371">
        <f>AND(ISTEXT('Consolidado-Eletronorte'!#REF!),SUM('Consolidado-Eletronorte'!#REF!)&gt;0)</f>
      </c>
      <c r="C119" s="371">
        <f>$J$13</f>
      </c>
      <c r="D119" s="371">
        <f>$H$13</f>
      </c>
      <c r="E119" s="371">
        <f>$H$14</f>
      </c>
      <c r="F119" s="371">
        <f>_xlfn.CONCAT(Tabela10[[#This Row], [VP]],Tabela10[[#This Row], [Analise Estrategia]])</f>
      </c>
      <c r="G119" s="371">
        <f>_xlfn.CONCAT('Consolidado-Eletronorte'!#REF!,"_",ROW('Consolidado-Eletronorte'!#REF!)-ROW('Consolidado-Eletronorte'!$G$18))</f>
      </c>
      <c r="H119" s="335" t="s">
        <v>10</v>
      </c>
      <c r="I119" s="335" t="s">
        <v>88</v>
      </c>
      <c r="J119" s="335" t="s">
        <v>5</v>
      </c>
      <c r="K119" s="336" t="s">
        <v>21</v>
      </c>
      <c r="L119" s="335" t="s">
        <v>21</v>
      </c>
      <c r="M119" s="335" t="s">
        <v>39949</v>
      </c>
      <c r="N119" s="335"/>
      <c r="O119" s="335"/>
      <c r="P119" s="336" t="s">
        <v>38368</v>
      </c>
      <c r="Q119" s="342" t="s">
        <v>41324</v>
      </c>
      <c r="R119" s="335" t="s">
        <v>40311</v>
      </c>
      <c r="S119" s="342" t="s">
        <v>41324</v>
      </c>
      <c r="T119" s="335" t="s">
        <v>21</v>
      </c>
      <c r="U119" s="335" t="s">
        <v>21</v>
      </c>
      <c r="V119" s="335" t="s">
        <v>39949</v>
      </c>
      <c r="W119" s="335" t="s">
        <v>39949</v>
      </c>
      <c r="X119" s="335"/>
      <c r="Y119" s="336" t="s">
        <v>41222</v>
      </c>
      <c r="Z119" s="372"/>
      <c r="AA119" s="336"/>
      <c r="AB119" s="372"/>
      <c r="AC119" s="336"/>
      <c r="AD119" s="372"/>
      <c r="AE119" s="335"/>
      <c r="AF119" s="335"/>
      <c r="AG119" s="335" t="s">
        <v>40312</v>
      </c>
      <c r="AH119" s="335" t="s">
        <v>38369</v>
      </c>
      <c r="AI119" s="337">
        <v>0</v>
      </c>
      <c r="AJ119" s="337">
        <v>0</v>
      </c>
      <c r="AK119" s="337">
        <v>0</v>
      </c>
      <c r="AL119" s="337">
        <v>0</v>
      </c>
      <c r="AM119" s="337">
        <v>0</v>
      </c>
      <c r="AN119" s="337">
        <v>0</v>
      </c>
      <c r="AO119" s="337">
        <v>0</v>
      </c>
      <c r="AP119" s="337">
        <v>0</v>
      </c>
      <c r="AQ119" s="337">
        <v>0</v>
      </c>
      <c r="AR119" s="337">
        <v>0</v>
      </c>
      <c r="AS119" s="337">
        <v>0</v>
      </c>
      <c r="AT119" s="337">
        <v>0</v>
      </c>
      <c r="AU119" s="337">
        <f>SUM(Tabela10[[#This Row], [jan/26]:[dez/26]])</f>
      </c>
      <c r="AV119" s="337">
        <v>250000</v>
      </c>
      <c r="AW119" s="337">
        <v>250000</v>
      </c>
      <c r="AX119" s="337">
        <v>0</v>
      </c>
      <c r="AY119" s="337">
        <v>0</v>
      </c>
      <c r="AZ119" s="337">
        <f>SUM(Tabela10[[#This Row], [2026]:[2030]])</f>
      </c>
      <c r="BA119" s="337">
        <v>0</v>
      </c>
      <c r="BB119" s="337">
        <v>0</v>
      </c>
      <c r="BC119" s="337">
        <v>0</v>
      </c>
      <c r="BD119" s="337">
        <v>0</v>
      </c>
      <c r="BE119" s="337">
        <v>0</v>
      </c>
      <c r="BF119" s="373">
        <f>SUM(Tabela10[[#This Row], [2026-2030]:[2035]])</f>
      </c>
      <c r="BG119" s="374">
        <f>_xlfn.SEQUENCE(COUNTA(Tabela10[Empresa]),1,1)</f>
      </c>
      <c r="BH119" s="342" t="s">
        <v>41324</v>
      </c>
      <c r="BI119" s="374">
        <f>VLOOKUP(Tabela10[[#This Row], [ID real2]],[2]CONSOLIDADA!$AU:$AZ,6,FALSE)</f>
      </c>
      <c r="BJ119" s="342" t="s">
        <v>41127</v>
      </c>
      <c r="BK119" s="375">
        <v>2026</v>
      </c>
      <c r="BL119" s="342" t="s">
        <v>40313</v>
      </c>
      <c r="BM119" s="375">
        <v>0</v>
      </c>
      <c r="BN119" s="342" t="s">
        <v>41324</v>
      </c>
      <c r="BO119" s="342" t="s">
        <v>41172</v>
      </c>
      <c r="BP119" s="342" t="s">
        <v>41121</v>
      </c>
      <c r="BQ119" s="342" t="s">
        <v>41121</v>
      </c>
      <c r="BR119" s="376">
        <v>0</v>
      </c>
      <c r="BS119" s="342"/>
      <c r="BT119" s="342" t="s">
        <v>41324</v>
      </c>
      <c r="BU119" s="376" t="s">
        <v>41144</v>
      </c>
      <c r="BV119" s="376">
        <f>Tabela10[[#This Row], [Descrição do projeto]]</f>
      </c>
    </row>
    <row x14ac:dyDescent="0.25" r="120" customHeight="1" ht="18.75" hidden="1">
      <c r="A120" s="336">
        <v>334</v>
      </c>
      <c r="B120" s="371">
        <f>AND(ISTEXT('Consolidado-Eletronorte'!#REF!),SUM('Consolidado-Eletronorte'!#REF!)&gt;0)</f>
      </c>
      <c r="C120" s="371">
        <f>$J$13</f>
      </c>
      <c r="D120" s="371">
        <f>$H$13</f>
      </c>
      <c r="E120" s="371">
        <f>$H$14</f>
      </c>
      <c r="F120" s="371">
        <f>_xlfn.CONCAT(Tabela10[[#This Row], [VP]],Tabela10[[#This Row], [Analise Estrategia]])</f>
      </c>
      <c r="G120" s="371">
        <f>_xlfn.CONCAT('Consolidado-Eletronorte'!#REF!,"_",ROW('Consolidado-Eletronorte'!#REF!)-ROW('Consolidado-Eletronorte'!$G$18))</f>
      </c>
      <c r="H120" s="335" t="s">
        <v>10</v>
      </c>
      <c r="I120" s="335" t="s">
        <v>88</v>
      </c>
      <c r="J120" s="335" t="s">
        <v>5</v>
      </c>
      <c r="K120" s="336" t="s">
        <v>21</v>
      </c>
      <c r="L120" s="335" t="s">
        <v>21</v>
      </c>
      <c r="M120" s="335" t="s">
        <v>39949</v>
      </c>
      <c r="N120" s="335"/>
      <c r="O120" s="335"/>
      <c r="P120" s="336" t="s">
        <v>38368</v>
      </c>
      <c r="Q120" s="342" t="s">
        <v>41325</v>
      </c>
      <c r="R120" s="335" t="s">
        <v>40314</v>
      </c>
      <c r="S120" s="342" t="s">
        <v>41325</v>
      </c>
      <c r="T120" s="335" t="s">
        <v>21</v>
      </c>
      <c r="U120" s="335" t="s">
        <v>21</v>
      </c>
      <c r="V120" s="335" t="s">
        <v>39949</v>
      </c>
      <c r="W120" s="335" t="s">
        <v>39949</v>
      </c>
      <c r="X120" s="335"/>
      <c r="Y120" s="336" t="s">
        <v>41222</v>
      </c>
      <c r="Z120" s="372"/>
      <c r="AA120" s="336"/>
      <c r="AB120" s="372"/>
      <c r="AC120" s="336"/>
      <c r="AD120" s="372"/>
      <c r="AE120" s="335"/>
      <c r="AF120" s="335"/>
      <c r="AG120" s="335" t="s">
        <v>40315</v>
      </c>
      <c r="AH120" s="335" t="s">
        <v>38369</v>
      </c>
      <c r="AI120" s="337">
        <v>0</v>
      </c>
      <c r="AJ120" s="337">
        <v>0</v>
      </c>
      <c r="AK120" s="337">
        <v>0</v>
      </c>
      <c r="AL120" s="337">
        <v>0</v>
      </c>
      <c r="AM120" s="337">
        <v>0</v>
      </c>
      <c r="AN120" s="337">
        <v>0</v>
      </c>
      <c r="AO120" s="337">
        <v>0</v>
      </c>
      <c r="AP120" s="337">
        <v>0</v>
      </c>
      <c r="AQ120" s="337">
        <v>0</v>
      </c>
      <c r="AR120" s="337">
        <v>0</v>
      </c>
      <c r="AS120" s="337">
        <v>0</v>
      </c>
      <c r="AT120" s="337">
        <v>0</v>
      </c>
      <c r="AU120" s="337">
        <f>SUM(Tabela10[[#This Row], [jan/26]:[dez/26]])</f>
      </c>
      <c r="AV120" s="337">
        <v>250000</v>
      </c>
      <c r="AW120" s="337">
        <v>250000</v>
      </c>
      <c r="AX120" s="337">
        <v>0</v>
      </c>
      <c r="AY120" s="337">
        <v>0</v>
      </c>
      <c r="AZ120" s="337">
        <f>SUM(Tabela10[[#This Row], [2026]:[2030]])</f>
      </c>
      <c r="BA120" s="337">
        <v>0</v>
      </c>
      <c r="BB120" s="337">
        <v>0</v>
      </c>
      <c r="BC120" s="337">
        <v>0</v>
      </c>
      <c r="BD120" s="337">
        <v>0</v>
      </c>
      <c r="BE120" s="337">
        <v>0</v>
      </c>
      <c r="BF120" s="373">
        <f>SUM(Tabela10[[#This Row], [2026-2030]:[2035]])</f>
      </c>
      <c r="BG120" s="374">
        <f>_xlfn.SEQUENCE(COUNTA(Tabela10[Empresa]),1,1)</f>
      </c>
      <c r="BH120" s="342" t="s">
        <v>41325</v>
      </c>
      <c r="BI120" s="374">
        <f>VLOOKUP(Tabela10[[#This Row], [ID real2]],[2]CONSOLIDADA!$AU:$AZ,6,FALSE)</f>
      </c>
      <c r="BJ120" s="342" t="s">
        <v>41127</v>
      </c>
      <c r="BK120" s="375">
        <v>2026</v>
      </c>
      <c r="BL120" s="342" t="s">
        <v>40316</v>
      </c>
      <c r="BM120" s="375">
        <v>0</v>
      </c>
      <c r="BN120" s="342" t="s">
        <v>41325</v>
      </c>
      <c r="BO120" s="342" t="s">
        <v>41172</v>
      </c>
      <c r="BP120" s="342" t="s">
        <v>41121</v>
      </c>
      <c r="BQ120" s="342" t="s">
        <v>41121</v>
      </c>
      <c r="BR120" s="376">
        <v>0</v>
      </c>
      <c r="BS120" s="342"/>
      <c r="BT120" s="342" t="s">
        <v>41325</v>
      </c>
      <c r="BU120" s="376" t="s">
        <v>41144</v>
      </c>
      <c r="BV120" s="376">
        <f>Tabela10[[#This Row], [Descrição do projeto]]</f>
      </c>
    </row>
    <row x14ac:dyDescent="0.25" r="121" customHeight="1" ht="18.75" hidden="1">
      <c r="A121" s="336">
        <v>335</v>
      </c>
      <c r="B121" s="371">
        <f>AND(ISTEXT('Consolidado-Eletronorte'!#REF!),SUM('Consolidado-Eletronorte'!#REF!)&gt;0)</f>
      </c>
      <c r="C121" s="371">
        <f>$J$13</f>
      </c>
      <c r="D121" s="371">
        <f>$H$13</f>
      </c>
      <c r="E121" s="371">
        <f>$H$14</f>
      </c>
      <c r="F121" s="371">
        <f>_xlfn.CONCAT(Tabela10[[#This Row], [VP]],Tabela10[[#This Row], [Analise Estrategia]])</f>
      </c>
      <c r="G121" s="371">
        <f>_xlfn.CONCAT('Consolidado-Eletronorte'!#REF!,"_",ROW('Consolidado-Eletronorte'!#REF!)-ROW('Consolidado-Eletronorte'!$G$18))</f>
      </c>
      <c r="H121" s="335" t="s">
        <v>10</v>
      </c>
      <c r="I121" s="335" t="s">
        <v>88</v>
      </c>
      <c r="J121" s="335" t="s">
        <v>5</v>
      </c>
      <c r="K121" s="336" t="s">
        <v>21</v>
      </c>
      <c r="L121" s="335" t="s">
        <v>21</v>
      </c>
      <c r="M121" s="335" t="s">
        <v>39949</v>
      </c>
      <c r="N121" s="335"/>
      <c r="O121" s="335"/>
      <c r="P121" s="336" t="s">
        <v>38368</v>
      </c>
      <c r="Q121" s="342" t="s">
        <v>41326</v>
      </c>
      <c r="R121" s="335" t="s">
        <v>40317</v>
      </c>
      <c r="S121" s="342" t="s">
        <v>41326</v>
      </c>
      <c r="T121" s="335" t="s">
        <v>21</v>
      </c>
      <c r="U121" s="335" t="s">
        <v>21</v>
      </c>
      <c r="V121" s="335" t="s">
        <v>39949</v>
      </c>
      <c r="W121" s="335" t="s">
        <v>39949</v>
      </c>
      <c r="X121" s="335"/>
      <c r="Y121" s="336" t="s">
        <v>41222</v>
      </c>
      <c r="Z121" s="372"/>
      <c r="AA121" s="336"/>
      <c r="AB121" s="372"/>
      <c r="AC121" s="336"/>
      <c r="AD121" s="372"/>
      <c r="AE121" s="335"/>
      <c r="AF121" s="335"/>
      <c r="AG121" s="335" t="s">
        <v>40318</v>
      </c>
      <c r="AH121" s="335" t="s">
        <v>38369</v>
      </c>
      <c r="AI121" s="337">
        <v>0</v>
      </c>
      <c r="AJ121" s="337">
        <v>0</v>
      </c>
      <c r="AK121" s="337">
        <v>0</v>
      </c>
      <c r="AL121" s="337">
        <v>0</v>
      </c>
      <c r="AM121" s="337">
        <v>0</v>
      </c>
      <c r="AN121" s="337">
        <v>0</v>
      </c>
      <c r="AO121" s="337">
        <v>0</v>
      </c>
      <c r="AP121" s="337">
        <v>0</v>
      </c>
      <c r="AQ121" s="337">
        <v>0</v>
      </c>
      <c r="AR121" s="337">
        <v>0</v>
      </c>
      <c r="AS121" s="337">
        <v>0</v>
      </c>
      <c r="AT121" s="337">
        <v>0</v>
      </c>
      <c r="AU121" s="337">
        <f>SUM(Tabela10[[#This Row], [jan/26]:[dez/26]])</f>
      </c>
      <c r="AV121" s="337">
        <v>250000</v>
      </c>
      <c r="AW121" s="337">
        <v>250000</v>
      </c>
      <c r="AX121" s="337">
        <v>0</v>
      </c>
      <c r="AY121" s="337">
        <v>0</v>
      </c>
      <c r="AZ121" s="337">
        <f>SUM(Tabela10[[#This Row], [2026]:[2030]])</f>
      </c>
      <c r="BA121" s="337">
        <v>0</v>
      </c>
      <c r="BB121" s="337">
        <v>0</v>
      </c>
      <c r="BC121" s="337">
        <v>0</v>
      </c>
      <c r="BD121" s="337">
        <v>0</v>
      </c>
      <c r="BE121" s="337">
        <v>0</v>
      </c>
      <c r="BF121" s="373">
        <f>SUM(Tabela10[[#This Row], [2026-2030]:[2035]])</f>
      </c>
      <c r="BG121" s="374">
        <f>_xlfn.SEQUENCE(COUNTA(Tabela10[Empresa]),1,1)</f>
      </c>
      <c r="BH121" s="342" t="s">
        <v>41326</v>
      </c>
      <c r="BI121" s="374">
        <f>VLOOKUP(Tabela10[[#This Row], [ID real2]],[2]CONSOLIDADA!$AU:$AZ,6,FALSE)</f>
      </c>
      <c r="BJ121" s="342" t="s">
        <v>41127</v>
      </c>
      <c r="BK121" s="375">
        <v>2026</v>
      </c>
      <c r="BL121" s="342" t="s">
        <v>40319</v>
      </c>
      <c r="BM121" s="375">
        <v>0</v>
      </c>
      <c r="BN121" s="342" t="s">
        <v>41326</v>
      </c>
      <c r="BO121" s="342" t="s">
        <v>41172</v>
      </c>
      <c r="BP121" s="342" t="s">
        <v>41121</v>
      </c>
      <c r="BQ121" s="342" t="s">
        <v>41121</v>
      </c>
      <c r="BR121" s="376">
        <v>0</v>
      </c>
      <c r="BS121" s="342"/>
      <c r="BT121" s="342" t="s">
        <v>41326</v>
      </c>
      <c r="BU121" s="376" t="s">
        <v>41144</v>
      </c>
      <c r="BV121" s="376">
        <f>Tabela10[[#This Row], [Descrição do projeto]]</f>
      </c>
    </row>
    <row x14ac:dyDescent="0.25" r="122" customHeight="1" ht="18.75" hidden="1">
      <c r="A122" s="336">
        <v>319</v>
      </c>
      <c r="B122" s="371">
        <f>AND(ISTEXT('Consolidado-Eletronorte'!#REF!),SUM('Consolidado-Eletronorte'!#REF!)&gt;0)</f>
      </c>
      <c r="C122" s="371">
        <f>$J$13</f>
      </c>
      <c r="D122" s="371">
        <f>$H$13</f>
      </c>
      <c r="E122" s="371">
        <f>$H$14</f>
      </c>
      <c r="F122" s="371">
        <f>_xlfn.CONCAT(Tabela10[[#This Row], [VP]],Tabela10[[#This Row], [Analise Estrategia]])</f>
      </c>
      <c r="G122" s="371">
        <f>_xlfn.CONCAT('Consolidado-Eletronorte'!#REF!,"_",ROW('Consolidado-Eletronorte'!#REF!)-ROW('Consolidado-Eletronorte'!$G$18))</f>
      </c>
      <c r="H122" s="335" t="s">
        <v>10</v>
      </c>
      <c r="I122" s="335" t="s">
        <v>88</v>
      </c>
      <c r="J122" s="335" t="s">
        <v>5</v>
      </c>
      <c r="K122" s="336" t="s">
        <v>21</v>
      </c>
      <c r="L122" s="335" t="s">
        <v>21</v>
      </c>
      <c r="M122" s="335" t="s">
        <v>39949</v>
      </c>
      <c r="N122" s="335"/>
      <c r="O122" s="335"/>
      <c r="P122" s="336" t="s">
        <v>38368</v>
      </c>
      <c r="Q122" s="342" t="s">
        <v>41327</v>
      </c>
      <c r="R122" s="335" t="s">
        <v>40335</v>
      </c>
      <c r="S122" s="342" t="s">
        <v>41327</v>
      </c>
      <c r="T122" s="335" t="s">
        <v>21</v>
      </c>
      <c r="U122" s="335" t="s">
        <v>21</v>
      </c>
      <c r="V122" s="335" t="s">
        <v>39949</v>
      </c>
      <c r="W122" s="335" t="s">
        <v>39949</v>
      </c>
      <c r="X122" s="335"/>
      <c r="Y122" s="336" t="s">
        <v>41222</v>
      </c>
      <c r="Z122" s="372"/>
      <c r="AA122" s="336"/>
      <c r="AB122" s="372"/>
      <c r="AC122" s="336"/>
      <c r="AD122" s="372"/>
      <c r="AE122" s="335"/>
      <c r="AF122" s="335"/>
      <c r="AG122" s="335" t="s">
        <v>40335</v>
      </c>
      <c r="AH122" s="335" t="s">
        <v>38369</v>
      </c>
      <c r="AI122" s="337">
        <v>0</v>
      </c>
      <c r="AJ122" s="337">
        <v>0</v>
      </c>
      <c r="AK122" s="337">
        <v>0</v>
      </c>
      <c r="AL122" s="337">
        <v>0</v>
      </c>
      <c r="AM122" s="337">
        <v>0</v>
      </c>
      <c r="AN122" s="337">
        <v>0</v>
      </c>
      <c r="AO122" s="337">
        <v>0</v>
      </c>
      <c r="AP122" s="337">
        <v>0</v>
      </c>
      <c r="AQ122" s="337">
        <v>0</v>
      </c>
      <c r="AR122" s="337">
        <v>0</v>
      </c>
      <c r="AS122" s="337">
        <v>0</v>
      </c>
      <c r="AT122" s="337">
        <v>0</v>
      </c>
      <c r="AU122" s="337">
        <f>SUM(Tabela10[[#This Row], [jan/26]:[dez/26]])</f>
      </c>
      <c r="AV122" s="337">
        <v>250000</v>
      </c>
      <c r="AW122" s="337">
        <v>0</v>
      </c>
      <c r="AX122" s="337">
        <v>0</v>
      </c>
      <c r="AY122" s="337">
        <v>0</v>
      </c>
      <c r="AZ122" s="337">
        <f>SUM(Tabela10[[#This Row], [2026]:[2030]])</f>
      </c>
      <c r="BA122" s="337">
        <v>0</v>
      </c>
      <c r="BB122" s="337">
        <v>0</v>
      </c>
      <c r="BC122" s="337">
        <v>0</v>
      </c>
      <c r="BD122" s="337">
        <v>0</v>
      </c>
      <c r="BE122" s="337">
        <v>0</v>
      </c>
      <c r="BF122" s="373">
        <f>SUM(Tabela10[[#This Row], [2026-2030]:[2035]])</f>
      </c>
      <c r="BG122" s="374">
        <f>_xlfn.SEQUENCE(COUNTA(Tabela10[Empresa]),1,1)</f>
      </c>
      <c r="BH122" s="342" t="s">
        <v>41327</v>
      </c>
      <c r="BI122" s="374">
        <f>VLOOKUP(Tabela10[[#This Row], [ID real2]],[2]CONSOLIDADA!$AU:$AZ,6,FALSE)</f>
      </c>
      <c r="BJ122" s="342" t="s">
        <v>40043</v>
      </c>
      <c r="BK122" s="375">
        <v>2026</v>
      </c>
      <c r="BL122" s="342" t="s">
        <v>40336</v>
      </c>
      <c r="BM122" s="375">
        <v>0</v>
      </c>
      <c r="BN122" s="342" t="s">
        <v>41327</v>
      </c>
      <c r="BO122" s="342" t="s">
        <v>41172</v>
      </c>
      <c r="BP122" s="342" t="s">
        <v>41121</v>
      </c>
      <c r="BQ122" s="342" t="s">
        <v>41121</v>
      </c>
      <c r="BR122" s="376">
        <v>0</v>
      </c>
      <c r="BS122" s="342"/>
      <c r="BT122" s="342" t="s">
        <v>41327</v>
      </c>
      <c r="BU122" s="376" t="s">
        <v>41151</v>
      </c>
      <c r="BV122" s="376">
        <f>Tabela10[[#This Row], [Descrição do projeto]]</f>
      </c>
    </row>
    <row x14ac:dyDescent="0.25" r="123" customHeight="1" ht="18.75" hidden="1">
      <c r="A123" s="336">
        <v>328</v>
      </c>
      <c r="B123" s="371">
        <f>AND(ISTEXT('Consolidado-Eletronorte'!#REF!),SUM('Consolidado-Eletronorte'!#REF!)&gt;0)</f>
      </c>
      <c r="C123" s="371">
        <f>$J$13</f>
      </c>
      <c r="D123" s="371">
        <f>$H$13</f>
      </c>
      <c r="E123" s="371">
        <f>$H$14</f>
      </c>
      <c r="F123" s="371">
        <f>_xlfn.CONCAT(Tabela10[[#This Row], [VP]],Tabela10[[#This Row], [Analise Estrategia]])</f>
      </c>
      <c r="G123" s="371">
        <f>_xlfn.CONCAT('Consolidado-Eletronorte'!#REF!,"_",ROW('Consolidado-Eletronorte'!#REF!)-ROW('Consolidado-Eletronorte'!$G$18))</f>
      </c>
      <c r="H123" s="335" t="s">
        <v>10</v>
      </c>
      <c r="I123" s="335" t="s">
        <v>88</v>
      </c>
      <c r="J123" s="335" t="s">
        <v>5</v>
      </c>
      <c r="K123" s="336" t="s">
        <v>21</v>
      </c>
      <c r="L123" s="335" t="s">
        <v>21</v>
      </c>
      <c r="M123" s="335" t="s">
        <v>39949</v>
      </c>
      <c r="N123" s="335"/>
      <c r="O123" s="335"/>
      <c r="P123" s="336" t="s">
        <v>38368</v>
      </c>
      <c r="Q123" s="342" t="s">
        <v>41328</v>
      </c>
      <c r="R123" s="335" t="s">
        <v>40345</v>
      </c>
      <c r="S123" s="342" t="s">
        <v>41328</v>
      </c>
      <c r="T123" s="335" t="s">
        <v>21</v>
      </c>
      <c r="U123" s="335" t="s">
        <v>21</v>
      </c>
      <c r="V123" s="335" t="s">
        <v>39949</v>
      </c>
      <c r="W123" s="335" t="s">
        <v>39949</v>
      </c>
      <c r="X123" s="335"/>
      <c r="Y123" s="336" t="s">
        <v>41222</v>
      </c>
      <c r="Z123" s="372"/>
      <c r="AA123" s="336"/>
      <c r="AB123" s="372"/>
      <c r="AC123" s="336"/>
      <c r="AD123" s="372"/>
      <c r="AE123" s="335"/>
      <c r="AF123" s="335"/>
      <c r="AG123" s="335" t="s">
        <v>40346</v>
      </c>
      <c r="AH123" s="335" t="s">
        <v>38369</v>
      </c>
      <c r="AI123" s="337">
        <v>0</v>
      </c>
      <c r="AJ123" s="337">
        <v>0</v>
      </c>
      <c r="AK123" s="337">
        <v>0</v>
      </c>
      <c r="AL123" s="337">
        <v>0</v>
      </c>
      <c r="AM123" s="337">
        <v>0</v>
      </c>
      <c r="AN123" s="337">
        <v>0</v>
      </c>
      <c r="AO123" s="337">
        <v>0</v>
      </c>
      <c r="AP123" s="337">
        <v>0</v>
      </c>
      <c r="AQ123" s="337">
        <v>0</v>
      </c>
      <c r="AR123" s="337">
        <v>0</v>
      </c>
      <c r="AS123" s="337">
        <v>0</v>
      </c>
      <c r="AT123" s="337">
        <v>0</v>
      </c>
      <c r="AU123" s="337">
        <f>SUM(Tabela10[[#This Row], [jan/26]:[dez/26]])</f>
      </c>
      <c r="AV123" s="337">
        <v>100000</v>
      </c>
      <c r="AW123" s="337">
        <v>0</v>
      </c>
      <c r="AX123" s="337">
        <v>0</v>
      </c>
      <c r="AY123" s="337">
        <v>0</v>
      </c>
      <c r="AZ123" s="337">
        <f>SUM(Tabela10[[#This Row], [2026]:[2030]])</f>
      </c>
      <c r="BA123" s="337">
        <v>0</v>
      </c>
      <c r="BB123" s="337">
        <v>0</v>
      </c>
      <c r="BC123" s="337">
        <v>0</v>
      </c>
      <c r="BD123" s="337">
        <v>0</v>
      </c>
      <c r="BE123" s="337">
        <v>0</v>
      </c>
      <c r="BF123" s="373">
        <f>SUM(Tabela10[[#This Row], [2026-2030]:[2035]])</f>
      </c>
      <c r="BG123" s="374">
        <f>_xlfn.SEQUENCE(COUNTA(Tabela10[Empresa]),1,1)</f>
      </c>
      <c r="BH123" s="342" t="s">
        <v>41328</v>
      </c>
      <c r="BI123" s="374">
        <f>VLOOKUP(Tabela10[[#This Row], [ID real2]],[2]CONSOLIDADA!$AU:$AZ,6,FALSE)</f>
      </c>
      <c r="BJ123" s="342" t="s">
        <v>41127</v>
      </c>
      <c r="BK123" s="375">
        <v>2026</v>
      </c>
      <c r="BL123" s="342" t="s">
        <v>40347</v>
      </c>
      <c r="BM123" s="375">
        <v>0</v>
      </c>
      <c r="BN123" s="342" t="s">
        <v>41328</v>
      </c>
      <c r="BO123" s="342" t="s">
        <v>41172</v>
      </c>
      <c r="BP123" s="342" t="s">
        <v>41121</v>
      </c>
      <c r="BQ123" s="342" t="s">
        <v>41121</v>
      </c>
      <c r="BR123" s="376">
        <v>0</v>
      </c>
      <c r="BS123" s="342"/>
      <c r="BT123" s="342" t="s">
        <v>41328</v>
      </c>
      <c r="BU123" s="376" t="s">
        <v>41144</v>
      </c>
      <c r="BV123" s="376">
        <f>Tabela10[[#This Row], [Descrição do projeto]]</f>
      </c>
    </row>
    <row x14ac:dyDescent="0.25" r="124" customHeight="1" ht="18.75" hidden="1">
      <c r="A124" s="336">
        <v>338</v>
      </c>
      <c r="B124" s="371">
        <f>AND(ISTEXT('Consolidado-Eletronorte'!#REF!),SUM('Consolidado-Eletronorte'!#REF!)&gt;0)</f>
      </c>
      <c r="C124" s="371">
        <f>$J$13</f>
      </c>
      <c r="D124" s="371">
        <f>$H$13</f>
      </c>
      <c r="E124" s="371">
        <f>$H$14</f>
      </c>
      <c r="F124" s="371">
        <f>_xlfn.CONCAT(Tabela10[[#This Row], [VP]],Tabela10[[#This Row], [Analise Estrategia]])</f>
      </c>
      <c r="G124" s="371">
        <f>_xlfn.CONCAT('Consolidado-Eletronorte'!#REF!,"_",ROW('Consolidado-Eletronorte'!#REF!)-ROW('Consolidado-Eletronorte'!$G$18))</f>
      </c>
      <c r="H124" s="335" t="s">
        <v>10</v>
      </c>
      <c r="I124" s="335" t="s">
        <v>88</v>
      </c>
      <c r="J124" s="335" t="s">
        <v>5</v>
      </c>
      <c r="K124" s="336" t="s">
        <v>21</v>
      </c>
      <c r="L124" s="335" t="s">
        <v>21</v>
      </c>
      <c r="M124" s="335" t="s">
        <v>39949</v>
      </c>
      <c r="N124" s="335"/>
      <c r="O124" s="335"/>
      <c r="P124" s="336" t="s">
        <v>38366</v>
      </c>
      <c r="Q124" s="342" t="s">
        <v>41329</v>
      </c>
      <c r="R124" s="335" t="s">
        <v>40045</v>
      </c>
      <c r="S124" s="342" t="s">
        <v>41329</v>
      </c>
      <c r="T124" s="335" t="s">
        <v>21</v>
      </c>
      <c r="U124" s="335" t="s">
        <v>21</v>
      </c>
      <c r="V124" s="335" t="s">
        <v>39949</v>
      </c>
      <c r="W124" s="335" t="s">
        <v>39949</v>
      </c>
      <c r="X124" s="335"/>
      <c r="Y124" s="336" t="s">
        <v>41222</v>
      </c>
      <c r="Z124" s="372"/>
      <c r="AA124" s="336"/>
      <c r="AB124" s="372"/>
      <c r="AC124" s="336"/>
      <c r="AD124" s="372"/>
      <c r="AE124" s="335"/>
      <c r="AF124" s="335"/>
      <c r="AG124" s="335" t="s">
        <v>40046</v>
      </c>
      <c r="AH124" s="335" t="s">
        <v>39969</v>
      </c>
      <c r="AI124" s="337">
        <v>0</v>
      </c>
      <c r="AJ124" s="337">
        <v>0</v>
      </c>
      <c r="AK124" s="337">
        <v>0</v>
      </c>
      <c r="AL124" s="337">
        <v>0</v>
      </c>
      <c r="AM124" s="337">
        <v>0</v>
      </c>
      <c r="AN124" s="337">
        <v>0</v>
      </c>
      <c r="AO124" s="337">
        <v>0</v>
      </c>
      <c r="AP124" s="337">
        <v>0</v>
      </c>
      <c r="AQ124" s="337">
        <v>0</v>
      </c>
      <c r="AR124" s="337">
        <v>0</v>
      </c>
      <c r="AS124" s="337">
        <v>0</v>
      </c>
      <c r="AT124" s="337">
        <v>0</v>
      </c>
      <c r="AU124" s="337">
        <f>SUM(Tabela10[[#This Row], [jan/26]:[dez/26]])</f>
      </c>
      <c r="AV124" s="337">
        <v>0</v>
      </c>
      <c r="AW124" s="337">
        <v>1000000</v>
      </c>
      <c r="AX124" s="337">
        <v>2000000</v>
      </c>
      <c r="AY124" s="337">
        <v>1000000</v>
      </c>
      <c r="AZ124" s="337">
        <f>SUM(Tabela10[[#This Row], [2026]:[2030]])</f>
      </c>
      <c r="BA124" s="337">
        <v>0</v>
      </c>
      <c r="BB124" s="337">
        <v>0</v>
      </c>
      <c r="BC124" s="337">
        <v>0</v>
      </c>
      <c r="BD124" s="337">
        <v>0</v>
      </c>
      <c r="BE124" s="337">
        <v>0</v>
      </c>
      <c r="BF124" s="373">
        <f>SUM(Tabela10[[#This Row], [2026-2030]:[2035]])</f>
      </c>
      <c r="BG124" s="374">
        <f>_xlfn.SEQUENCE(COUNTA(Tabela10[Empresa]),1,1)</f>
      </c>
      <c r="BH124" s="342" t="s">
        <v>41329</v>
      </c>
      <c r="BI124" s="374">
        <f>VLOOKUP(Tabela10[[#This Row], [ID real2]],[2]CONSOLIDADA!$AU:$AZ,6,FALSE)</f>
      </c>
      <c r="BJ124" s="342" t="s">
        <v>41127</v>
      </c>
      <c r="BK124" s="375">
        <v>2026</v>
      </c>
      <c r="BL124" s="342" t="s">
        <v>40047</v>
      </c>
      <c r="BM124" s="375">
        <v>0</v>
      </c>
      <c r="BN124" s="342" t="s">
        <v>41329</v>
      </c>
      <c r="BO124" s="342" t="s">
        <v>41172</v>
      </c>
      <c r="BP124" s="342" t="s">
        <v>41121</v>
      </c>
      <c r="BQ124" s="342" t="s">
        <v>41121</v>
      </c>
      <c r="BR124" s="376">
        <v>0</v>
      </c>
      <c r="BS124" s="342"/>
      <c r="BT124" s="342" t="s">
        <v>41329</v>
      </c>
      <c r="BU124" s="376" t="s">
        <v>41144</v>
      </c>
      <c r="BV124" s="376">
        <f>Tabela10[[#This Row], [Descrição do projeto]]</f>
      </c>
    </row>
    <row x14ac:dyDescent="0.25" r="125" customHeight="1" ht="18.75" hidden="1">
      <c r="A125" s="336">
        <v>337</v>
      </c>
      <c r="B125" s="371">
        <f>AND(ISTEXT('Consolidado-Eletronorte'!#REF!),SUM('Consolidado-Eletronorte'!#REF!)&gt;0)</f>
      </c>
      <c r="C125" s="371">
        <f>$J$13</f>
      </c>
      <c r="D125" s="371">
        <f>$H$13</f>
      </c>
      <c r="E125" s="371">
        <f>$H$14</f>
      </c>
      <c r="F125" s="371">
        <f>_xlfn.CONCAT(Tabela10[[#This Row], [VP]],Tabela10[[#This Row], [Analise Estrategia]])</f>
      </c>
      <c r="G125" s="371">
        <f>_xlfn.CONCAT('Consolidado-Eletronorte'!#REF!,"_",ROW('Consolidado-Eletronorte'!#REF!)-ROW('Consolidado-Eletronorte'!$G$18))</f>
      </c>
      <c r="H125" s="335" t="s">
        <v>10</v>
      </c>
      <c r="I125" s="335" t="s">
        <v>88</v>
      </c>
      <c r="J125" s="335" t="s">
        <v>5</v>
      </c>
      <c r="K125" s="336" t="s">
        <v>21</v>
      </c>
      <c r="L125" s="335" t="s">
        <v>21</v>
      </c>
      <c r="M125" s="335" t="s">
        <v>39949</v>
      </c>
      <c r="N125" s="335"/>
      <c r="O125" s="335"/>
      <c r="P125" s="336" t="s">
        <v>38366</v>
      </c>
      <c r="Q125" s="342" t="s">
        <v>41330</v>
      </c>
      <c r="R125" s="335" t="s">
        <v>40320</v>
      </c>
      <c r="S125" s="342" t="s">
        <v>41330</v>
      </c>
      <c r="T125" s="335" t="s">
        <v>21</v>
      </c>
      <c r="U125" s="335" t="s">
        <v>21</v>
      </c>
      <c r="V125" s="335" t="s">
        <v>39949</v>
      </c>
      <c r="W125" s="335" t="s">
        <v>39949</v>
      </c>
      <c r="X125" s="335"/>
      <c r="Y125" s="336" t="s">
        <v>41222</v>
      </c>
      <c r="Z125" s="372"/>
      <c r="AA125" s="336"/>
      <c r="AB125" s="372"/>
      <c r="AC125" s="336"/>
      <c r="AD125" s="372"/>
      <c r="AE125" s="335"/>
      <c r="AF125" s="335"/>
      <c r="AG125" s="335" t="s">
        <v>40321</v>
      </c>
      <c r="AH125" s="335" t="s">
        <v>39969</v>
      </c>
      <c r="AI125" s="337">
        <v>0</v>
      </c>
      <c r="AJ125" s="337">
        <v>0</v>
      </c>
      <c r="AK125" s="337">
        <v>0</v>
      </c>
      <c r="AL125" s="337">
        <v>0</v>
      </c>
      <c r="AM125" s="337">
        <v>0</v>
      </c>
      <c r="AN125" s="337">
        <v>0</v>
      </c>
      <c r="AO125" s="337">
        <v>0</v>
      </c>
      <c r="AP125" s="337">
        <v>0</v>
      </c>
      <c r="AQ125" s="337">
        <v>0</v>
      </c>
      <c r="AR125" s="337">
        <v>0</v>
      </c>
      <c r="AS125" s="337">
        <v>0</v>
      </c>
      <c r="AT125" s="337">
        <v>0</v>
      </c>
      <c r="AU125" s="337">
        <f>SUM(Tabela10[[#This Row], [jan/26]:[dez/26]])</f>
      </c>
      <c r="AV125" s="337">
        <v>250000</v>
      </c>
      <c r="AW125" s="337">
        <v>250000</v>
      </c>
      <c r="AX125" s="337">
        <v>0</v>
      </c>
      <c r="AY125" s="337">
        <v>0</v>
      </c>
      <c r="AZ125" s="337">
        <f>SUM(Tabela10[[#This Row], [2026]:[2030]])</f>
      </c>
      <c r="BA125" s="337">
        <v>0</v>
      </c>
      <c r="BB125" s="337">
        <v>0</v>
      </c>
      <c r="BC125" s="337">
        <v>0</v>
      </c>
      <c r="BD125" s="337">
        <v>0</v>
      </c>
      <c r="BE125" s="337">
        <v>0</v>
      </c>
      <c r="BF125" s="373">
        <f>SUM(Tabela10[[#This Row], [2026-2030]:[2035]])</f>
      </c>
      <c r="BG125" s="374">
        <f>_xlfn.SEQUENCE(COUNTA(Tabela10[Empresa]),1,1)</f>
      </c>
      <c r="BH125" s="342" t="s">
        <v>41330</v>
      </c>
      <c r="BI125" s="374">
        <f>VLOOKUP(Tabela10[[#This Row], [ID real2]],[2]CONSOLIDADA!$AU:$AZ,6,FALSE)</f>
      </c>
      <c r="BJ125" s="342" t="s">
        <v>40043</v>
      </c>
      <c r="BK125" s="375">
        <v>2026</v>
      </c>
      <c r="BL125" s="342" t="s">
        <v>40322</v>
      </c>
      <c r="BM125" s="375">
        <v>0</v>
      </c>
      <c r="BN125" s="342" t="s">
        <v>41330</v>
      </c>
      <c r="BO125" s="342" t="s">
        <v>41172</v>
      </c>
      <c r="BP125" s="342" t="s">
        <v>41121</v>
      </c>
      <c r="BQ125" s="342" t="s">
        <v>41121</v>
      </c>
      <c r="BR125" s="376">
        <v>0</v>
      </c>
      <c r="BS125" s="342"/>
      <c r="BT125" s="342" t="s">
        <v>41330</v>
      </c>
      <c r="BU125" s="376" t="s">
        <v>41151</v>
      </c>
      <c r="BV125" s="376">
        <f>Tabela10[[#This Row], [Descrição do projeto]]</f>
      </c>
    </row>
    <row x14ac:dyDescent="0.25" r="126" customHeight="1" ht="18.75" hidden="1">
      <c r="A126" s="336">
        <v>292</v>
      </c>
      <c r="B126" s="371">
        <f>AND(ISTEXT('Consolidado-Eletronorte'!#REF!),SUM('Consolidado-Eletronorte'!#REF!)&gt;0)</f>
      </c>
      <c r="C126" s="371">
        <f>$J$13</f>
      </c>
      <c r="D126" s="371">
        <f>$H$13</f>
      </c>
      <c r="E126" s="371">
        <f>$H$14</f>
      </c>
      <c r="F126" s="371">
        <f>_xlfn.CONCAT(Tabela10[[#This Row], [VP]],Tabela10[[#This Row], [Analise Estrategia]])</f>
      </c>
      <c r="G126" s="371">
        <f>_xlfn.CONCAT('Consolidado-Eletronorte'!#REF!,"_",ROW('Consolidado-Eletronorte'!#REF!)-ROW('Consolidado-Eletronorte'!$G$18))</f>
      </c>
      <c r="H126" s="335" t="s">
        <v>10</v>
      </c>
      <c r="I126" s="335" t="s">
        <v>88</v>
      </c>
      <c r="J126" s="335" t="s">
        <v>5</v>
      </c>
      <c r="K126" s="336" t="s">
        <v>21</v>
      </c>
      <c r="L126" s="335" t="s">
        <v>21</v>
      </c>
      <c r="M126" s="335" t="s">
        <v>39932</v>
      </c>
      <c r="N126" s="335"/>
      <c r="O126" s="335"/>
      <c r="P126" s="336" t="s">
        <v>38349</v>
      </c>
      <c r="Q126" s="342" t="s">
        <v>41257</v>
      </c>
      <c r="R126" s="335" t="s">
        <v>40088</v>
      </c>
      <c r="S126" s="342" t="s">
        <v>41257</v>
      </c>
      <c r="T126" s="335" t="s">
        <v>21</v>
      </c>
      <c r="U126" s="335" t="s">
        <v>21</v>
      </c>
      <c r="V126" s="335" t="s">
        <v>39932</v>
      </c>
      <c r="W126" s="335" t="s">
        <v>39932</v>
      </c>
      <c r="X126" s="335"/>
      <c r="Y126" s="336">
        <v>3400004431</v>
      </c>
      <c r="Z126" s="372">
        <v>100000</v>
      </c>
      <c r="AA126" s="336"/>
      <c r="AB126" s="372"/>
      <c r="AC126" s="336"/>
      <c r="AD126" s="372"/>
      <c r="AE126" s="335"/>
      <c r="AF126" s="335"/>
      <c r="AG126" s="335" t="s">
        <v>40089</v>
      </c>
      <c r="AH126" s="335" t="s">
        <v>39998</v>
      </c>
      <c r="AI126" s="337">
        <v>0</v>
      </c>
      <c r="AJ126" s="337">
        <v>0</v>
      </c>
      <c r="AK126" s="337">
        <v>0</v>
      </c>
      <c r="AL126" s="337">
        <v>0</v>
      </c>
      <c r="AM126" s="337">
        <v>0</v>
      </c>
      <c r="AN126" s="337">
        <v>0</v>
      </c>
      <c r="AO126" s="337"/>
      <c r="AP126" s="337">
        <v>0</v>
      </c>
      <c r="AQ126" s="337">
        <v>0</v>
      </c>
      <c r="AR126" s="337">
        <v>100000</v>
      </c>
      <c r="AS126" s="337">
        <v>0</v>
      </c>
      <c r="AT126" s="337">
        <v>0</v>
      </c>
      <c r="AU126" s="381">
        <f>SUM(Tabela10[[#This Row], [jan/26]:[dez/26]])</f>
      </c>
      <c r="AV126" s="381">
        <v>500000</v>
      </c>
      <c r="AW126" s="381"/>
      <c r="AX126" s="337">
        <v>0</v>
      </c>
      <c r="AY126" s="337">
        <v>0</v>
      </c>
      <c r="AZ126" s="337">
        <f>SUM(Tabela10[[#This Row], [2026]:[2030]])</f>
      </c>
      <c r="BA126" s="337">
        <v>0</v>
      </c>
      <c r="BB126" s="337">
        <v>0</v>
      </c>
      <c r="BC126" s="337">
        <v>0</v>
      </c>
      <c r="BD126" s="337">
        <v>0</v>
      </c>
      <c r="BE126" s="337">
        <v>0</v>
      </c>
      <c r="BF126" s="373">
        <f>SUM(Tabela10[[#This Row], [2026-2030]:[2035]])</f>
      </c>
      <c r="BG126" s="374">
        <f>_xlfn.SEQUENCE(COUNTA(Tabela10[Empresa]),1,1)</f>
      </c>
      <c r="BH126" s="342" t="s">
        <v>41257</v>
      </c>
      <c r="BI126" s="374">
        <f>VLOOKUP(Tabela10[[#This Row], [ID real2]],[2]CONSOLIDADA!$AU:$AZ,6,FALSE)</f>
      </c>
      <c r="BJ126" s="342" t="s">
        <v>40053</v>
      </c>
      <c r="BK126" s="375">
        <v>2025</v>
      </c>
      <c r="BL126" s="342" t="s">
        <v>40090</v>
      </c>
      <c r="BM126" s="375" t="s">
        <v>41483</v>
      </c>
      <c r="BN126" s="342" t="s">
        <v>41257</v>
      </c>
      <c r="BO126" s="342" t="s">
        <v>41173</v>
      </c>
      <c r="BP126" s="342" t="s">
        <v>41417</v>
      </c>
      <c r="BQ126" s="342" t="s">
        <v>64</v>
      </c>
      <c r="BR126" s="376">
        <v>2000000</v>
      </c>
      <c r="BS126" s="342" t="s">
        <v>41484</v>
      </c>
      <c r="BT126" s="342" t="s">
        <v>41257</v>
      </c>
      <c r="BU126" s="376" t="s">
        <v>41432</v>
      </c>
      <c r="BV126" s="376">
        <f>Tabela10[[#This Row], [Descrição do projeto]]</f>
      </c>
    </row>
    <row x14ac:dyDescent="0.25" r="127" customHeight="1" ht="18.75">
      <c r="A127" s="336">
        <v>291</v>
      </c>
      <c r="B127" s="371">
        <f>AND(ISTEXT('Consolidado-Eletronorte'!#REF!),SUM('Consolidado-Eletronorte'!#REF!)&gt;0)</f>
      </c>
      <c r="C127" s="371">
        <f>$J$13</f>
      </c>
      <c r="D127" s="371">
        <f>$H$13</f>
      </c>
      <c r="E127" s="371">
        <f>$H$14</f>
      </c>
      <c r="F127" s="371">
        <f>_xlfn.CONCAT(Tabela10[[#This Row], [VP]],Tabela10[[#This Row], [Analise Estrategia]])</f>
      </c>
      <c r="G127" s="371">
        <f>_xlfn.CONCAT('Consolidado-Eletronorte'!#REF!,"_",ROW('Consolidado-Eletronorte'!#REF!)-ROW('Consolidado-Eletronorte'!$G$18))</f>
      </c>
      <c r="H127" s="335" t="s">
        <v>10</v>
      </c>
      <c r="I127" s="335" t="s">
        <v>88</v>
      </c>
      <c r="J127" s="335" t="s">
        <v>5</v>
      </c>
      <c r="K127" s="336" t="s">
        <v>21</v>
      </c>
      <c r="L127" s="335" t="s">
        <v>21</v>
      </c>
      <c r="M127" s="382" t="s">
        <v>39932</v>
      </c>
      <c r="N127" s="335" t="s">
        <v>41268</v>
      </c>
      <c r="O127" s="335"/>
      <c r="P127" s="336" t="s">
        <v>38349</v>
      </c>
      <c r="Q127" s="342" t="s">
        <v>41268</v>
      </c>
      <c r="R127" s="335" t="s">
        <v>40154</v>
      </c>
      <c r="S127" s="342" t="s">
        <v>41268</v>
      </c>
      <c r="T127" s="335" t="s">
        <v>21</v>
      </c>
      <c r="U127" s="335" t="s">
        <v>21</v>
      </c>
      <c r="V127" s="335" t="s">
        <v>39932</v>
      </c>
      <c r="W127" s="335" t="s">
        <v>39932</v>
      </c>
      <c r="X127" s="335"/>
      <c r="Y127" s="336"/>
      <c r="Z127" s="372"/>
      <c r="AA127" s="336"/>
      <c r="AB127" s="372"/>
      <c r="AC127" s="336">
        <v>4500088525</v>
      </c>
      <c r="AD127" s="372">
        <v>490817.92</v>
      </c>
      <c r="AE127" s="335" t="s">
        <v>41485</v>
      </c>
      <c r="AF127" s="335" t="s">
        <v>41191</v>
      </c>
      <c r="AG127" s="335" t="s">
        <v>40155</v>
      </c>
      <c r="AH127" s="335" t="s">
        <v>39998</v>
      </c>
      <c r="AI127" s="337">
        <v>0</v>
      </c>
      <c r="AJ127" s="337"/>
      <c r="AK127" s="337">
        <v>0</v>
      </c>
      <c r="AL127" s="337">
        <v>600000</v>
      </c>
      <c r="AM127" s="337">
        <v>0</v>
      </c>
      <c r="AN127" s="337">
        <v>0</v>
      </c>
      <c r="AO127" s="337">
        <v>0</v>
      </c>
      <c r="AP127" s="337">
        <v>0</v>
      </c>
      <c r="AQ127" s="337">
        <v>0</v>
      </c>
      <c r="AR127" s="337">
        <v>0</v>
      </c>
      <c r="AS127" s="337">
        <v>0</v>
      </c>
      <c r="AT127" s="337">
        <v>0</v>
      </c>
      <c r="AU127" s="337">
        <f>SUM(Tabela10[[#This Row], [jan/26]:[dez/26]])</f>
      </c>
      <c r="AV127" s="337">
        <v>0</v>
      </c>
      <c r="AW127" s="337">
        <v>0</v>
      </c>
      <c r="AX127" s="337">
        <v>0</v>
      </c>
      <c r="AY127" s="337">
        <v>0</v>
      </c>
      <c r="AZ127" s="337">
        <f>SUM(Tabela10[[#This Row], [2026]:[2030]])</f>
      </c>
      <c r="BA127" s="337">
        <v>0</v>
      </c>
      <c r="BB127" s="337">
        <v>0</v>
      </c>
      <c r="BC127" s="337">
        <v>0</v>
      </c>
      <c r="BD127" s="337">
        <v>0</v>
      </c>
      <c r="BE127" s="337">
        <v>0</v>
      </c>
      <c r="BF127" s="373">
        <f>SUM(Tabela10[[#This Row], [2026-2030]:[2035]])</f>
      </c>
      <c r="BG127" s="374">
        <f>_xlfn.SEQUENCE(COUNTA(Tabela10[Empresa]),1,1)</f>
      </c>
      <c r="BH127" s="342" t="s">
        <v>41268</v>
      </c>
      <c r="BI127" s="374">
        <f>VLOOKUP(Tabela10[[#This Row], [ID real2]],[2]CONSOLIDADA!$AU:$AZ,6,FALSE)</f>
      </c>
      <c r="BJ127" s="342" t="s">
        <v>40053</v>
      </c>
      <c r="BK127" s="375">
        <v>2025</v>
      </c>
      <c r="BL127" s="342" t="s">
        <v>40156</v>
      </c>
      <c r="BM127" s="375" t="s">
        <v>40157</v>
      </c>
      <c r="BN127" s="342" t="s">
        <v>41268</v>
      </c>
      <c r="BO127" s="342" t="s">
        <v>46</v>
      </c>
      <c r="BP127" s="342" t="s">
        <v>41417</v>
      </c>
      <c r="BQ127" s="342" t="s">
        <v>46</v>
      </c>
      <c r="BR127" s="376">
        <v>1200000</v>
      </c>
      <c r="BS127" s="342" t="s">
        <v>41385</v>
      </c>
      <c r="BT127" s="342" t="s">
        <v>41268</v>
      </c>
      <c r="BU127" s="376" t="s">
        <v>41432</v>
      </c>
      <c r="BV127" s="376">
        <f>Tabela10[[#This Row], [Descrição do projeto]]</f>
      </c>
    </row>
    <row x14ac:dyDescent="0.25" r="128" customHeight="1" ht="18.75" hidden="1">
      <c r="A128" s="336">
        <v>299</v>
      </c>
      <c r="B128" s="371">
        <f>AND(ISTEXT('Consolidado-Eletronorte'!#REF!),SUM('Consolidado-Eletronorte'!#REF!)&gt;0)</f>
      </c>
      <c r="C128" s="371">
        <f>$J$13</f>
      </c>
      <c r="D128" s="371">
        <f>$H$13</f>
      </c>
      <c r="E128" s="371">
        <f>$H$14</f>
      </c>
      <c r="F128" s="371">
        <f>_xlfn.CONCAT(Tabela10[[#This Row], [VP]],Tabela10[[#This Row], [Analise Estrategia]])</f>
      </c>
      <c r="G128" s="371">
        <f>_xlfn.CONCAT('Consolidado-Eletronorte'!#REF!,"_",ROW('Consolidado-Eletronorte'!#REF!)-ROW('Consolidado-Eletronorte'!$G$18))</f>
      </c>
      <c r="H128" s="335" t="s">
        <v>10</v>
      </c>
      <c r="I128" s="335" t="s">
        <v>88</v>
      </c>
      <c r="J128" s="335" t="s">
        <v>5</v>
      </c>
      <c r="K128" s="336" t="s">
        <v>21</v>
      </c>
      <c r="L128" s="335" t="s">
        <v>21</v>
      </c>
      <c r="M128" s="335" t="s">
        <v>39932</v>
      </c>
      <c r="N128" s="335"/>
      <c r="O128" s="335"/>
      <c r="P128" s="336" t="s">
        <v>38349</v>
      </c>
      <c r="Q128" s="342" t="s">
        <v>41333</v>
      </c>
      <c r="R128" s="335" t="s">
        <v>40254</v>
      </c>
      <c r="S128" s="342" t="s">
        <v>41333</v>
      </c>
      <c r="T128" s="335" t="s">
        <v>21</v>
      </c>
      <c r="U128" s="335" t="s">
        <v>21</v>
      </c>
      <c r="V128" s="335" t="s">
        <v>39932</v>
      </c>
      <c r="W128" s="335" t="s">
        <v>39932</v>
      </c>
      <c r="X128" s="335"/>
      <c r="Y128" s="336" t="s">
        <v>41222</v>
      </c>
      <c r="Z128" s="372"/>
      <c r="AA128" s="336"/>
      <c r="AB128" s="372"/>
      <c r="AC128" s="336"/>
      <c r="AD128" s="372"/>
      <c r="AE128" s="335"/>
      <c r="AF128" s="335"/>
      <c r="AG128" s="335" t="s">
        <v>40255</v>
      </c>
      <c r="AH128" s="335" t="s">
        <v>39998</v>
      </c>
      <c r="AI128" s="337">
        <v>0</v>
      </c>
      <c r="AJ128" s="337">
        <v>0</v>
      </c>
      <c r="AK128" s="337">
        <v>0</v>
      </c>
      <c r="AL128" s="337">
        <v>0</v>
      </c>
      <c r="AM128" s="337">
        <v>0</v>
      </c>
      <c r="AN128" s="337">
        <v>0</v>
      </c>
      <c r="AO128" s="337">
        <v>0</v>
      </c>
      <c r="AP128" s="337">
        <v>0</v>
      </c>
      <c r="AQ128" s="337">
        <v>0</v>
      </c>
      <c r="AR128" s="337">
        <v>0</v>
      </c>
      <c r="AS128" s="337">
        <v>0</v>
      </c>
      <c r="AT128" s="337">
        <v>0</v>
      </c>
      <c r="AU128" s="337">
        <f>SUM(Tabela10[[#This Row], [jan/26]:[dez/26]])</f>
      </c>
      <c r="AV128" s="337">
        <v>500000</v>
      </c>
      <c r="AW128" s="337">
        <v>0</v>
      </c>
      <c r="AX128" s="337">
        <v>0</v>
      </c>
      <c r="AY128" s="337">
        <v>0</v>
      </c>
      <c r="AZ128" s="337">
        <f>SUM(Tabela10[[#This Row], [2026]:[2030]])</f>
      </c>
      <c r="BA128" s="337">
        <v>0</v>
      </c>
      <c r="BB128" s="337">
        <v>0</v>
      </c>
      <c r="BC128" s="337">
        <v>0</v>
      </c>
      <c r="BD128" s="337">
        <v>0</v>
      </c>
      <c r="BE128" s="337">
        <v>0</v>
      </c>
      <c r="BF128" s="373">
        <f>SUM(Tabela10[[#This Row], [2026-2030]:[2035]])</f>
      </c>
      <c r="BG128" s="374">
        <f>_xlfn.SEQUENCE(COUNTA(Tabela10[Empresa]),1,1)</f>
      </c>
      <c r="BH128" s="342" t="s">
        <v>41333</v>
      </c>
      <c r="BI128" s="374">
        <f>VLOOKUP(Tabela10[[#This Row], [ID real2]],[2]CONSOLIDADA!$AU:$AZ,6,FALSE)</f>
      </c>
      <c r="BJ128" s="342" t="s">
        <v>40053</v>
      </c>
      <c r="BK128" s="375">
        <v>2025</v>
      </c>
      <c r="BL128" s="342" t="s">
        <v>40256</v>
      </c>
      <c r="BM128" s="375" t="s">
        <v>41486</v>
      </c>
      <c r="BN128" s="342" t="s">
        <v>41333</v>
      </c>
      <c r="BO128" s="342" t="s">
        <v>41172</v>
      </c>
      <c r="BP128" s="342" t="s">
        <v>41417</v>
      </c>
      <c r="BQ128" s="342" t="s">
        <v>64</v>
      </c>
      <c r="BR128" s="376">
        <v>0</v>
      </c>
      <c r="BS128" s="342"/>
      <c r="BT128" s="342" t="s">
        <v>41333</v>
      </c>
      <c r="BU128" s="376" t="s">
        <v>41432</v>
      </c>
      <c r="BV128" s="376">
        <f>Tabela10[[#This Row], [Descrição do projeto]]</f>
      </c>
    </row>
    <row x14ac:dyDescent="0.25" r="129" customHeight="1" ht="18.75" hidden="1">
      <c r="A129" s="336">
        <v>320</v>
      </c>
      <c r="B129" s="371">
        <f>AND(ISTEXT('Consolidado-Eletronorte'!#REF!),SUM('Consolidado-Eletronorte'!#REF!)&gt;0)</f>
      </c>
      <c r="C129" s="371">
        <f>$J$13</f>
      </c>
      <c r="D129" s="371">
        <f>$H$13</f>
      </c>
      <c r="E129" s="371">
        <f>$H$14</f>
      </c>
      <c r="F129" s="371">
        <f>_xlfn.CONCAT(Tabela10[[#This Row], [VP]],Tabela10[[#This Row], [Analise Estrategia]])</f>
      </c>
      <c r="G129" s="371">
        <f>_xlfn.CONCAT('Consolidado-Eletronorte'!#REF!,"_",ROW('Consolidado-Eletronorte'!#REF!)-ROW('Consolidado-Eletronorte'!$G$18))</f>
      </c>
      <c r="H129" s="335" t="s">
        <v>10</v>
      </c>
      <c r="I129" s="335" t="s">
        <v>88</v>
      </c>
      <c r="J129" s="335" t="s">
        <v>5</v>
      </c>
      <c r="K129" s="336" t="s">
        <v>21</v>
      </c>
      <c r="L129" s="335" t="s">
        <v>21</v>
      </c>
      <c r="M129" s="335" t="s">
        <v>39949</v>
      </c>
      <c r="N129" s="335"/>
      <c r="O129" s="335"/>
      <c r="P129" s="336" t="s">
        <v>38349</v>
      </c>
      <c r="Q129" s="342" t="s">
        <v>41334</v>
      </c>
      <c r="R129" s="335" t="s">
        <v>40284</v>
      </c>
      <c r="S129" s="342" t="s">
        <v>41334</v>
      </c>
      <c r="T129" s="335" t="s">
        <v>21</v>
      </c>
      <c r="U129" s="335" t="s">
        <v>21</v>
      </c>
      <c r="V129" s="335" t="s">
        <v>39949</v>
      </c>
      <c r="W129" s="335" t="s">
        <v>39949</v>
      </c>
      <c r="X129" s="335"/>
      <c r="Y129" s="336" t="s">
        <v>41222</v>
      </c>
      <c r="Z129" s="372"/>
      <c r="AA129" s="336"/>
      <c r="AB129" s="372"/>
      <c r="AC129" s="336"/>
      <c r="AD129" s="372"/>
      <c r="AE129" s="335"/>
      <c r="AF129" s="335"/>
      <c r="AG129" s="335" t="s">
        <v>40285</v>
      </c>
      <c r="AH129" s="335" t="s">
        <v>39998</v>
      </c>
      <c r="AI129" s="337">
        <v>0</v>
      </c>
      <c r="AJ129" s="337">
        <v>0</v>
      </c>
      <c r="AK129" s="337">
        <v>0</v>
      </c>
      <c r="AL129" s="337">
        <v>0</v>
      </c>
      <c r="AM129" s="337">
        <v>0</v>
      </c>
      <c r="AN129" s="337">
        <v>0</v>
      </c>
      <c r="AO129" s="337">
        <v>0</v>
      </c>
      <c r="AP129" s="337">
        <v>0</v>
      </c>
      <c r="AQ129" s="337">
        <v>0</v>
      </c>
      <c r="AR129" s="337">
        <v>0</v>
      </c>
      <c r="AS129" s="337">
        <v>0</v>
      </c>
      <c r="AT129" s="337">
        <v>0</v>
      </c>
      <c r="AU129" s="337">
        <f>SUM(Tabela10[[#This Row], [jan/26]:[dez/26]])</f>
      </c>
      <c r="AV129" s="337">
        <v>500000</v>
      </c>
      <c r="AW129" s="337">
        <v>0</v>
      </c>
      <c r="AX129" s="337">
        <v>0</v>
      </c>
      <c r="AY129" s="337">
        <v>0</v>
      </c>
      <c r="AZ129" s="337">
        <f>SUM(Tabela10[[#This Row], [2026]:[2030]])</f>
      </c>
      <c r="BA129" s="337">
        <v>0</v>
      </c>
      <c r="BB129" s="337">
        <v>0</v>
      </c>
      <c r="BC129" s="337">
        <v>0</v>
      </c>
      <c r="BD129" s="337">
        <v>0</v>
      </c>
      <c r="BE129" s="337">
        <v>0</v>
      </c>
      <c r="BF129" s="373">
        <f>SUM(Tabela10[[#This Row], [2026-2030]:[2035]])</f>
      </c>
      <c r="BG129" s="374">
        <f>_xlfn.SEQUENCE(COUNTA(Tabela10[Empresa]),1,1)</f>
      </c>
      <c r="BH129" s="342" t="s">
        <v>41334</v>
      </c>
      <c r="BI129" s="374">
        <f>VLOOKUP(Tabela10[[#This Row], [ID real2]],[2]CONSOLIDADA!$AU:$AZ,6,FALSE)</f>
      </c>
      <c r="BJ129" s="342" t="s">
        <v>40053</v>
      </c>
      <c r="BK129" s="375">
        <v>2025</v>
      </c>
      <c r="BL129" s="342" t="s">
        <v>40286</v>
      </c>
      <c r="BM129" s="375" t="s">
        <v>41487</v>
      </c>
      <c r="BN129" s="342" t="s">
        <v>41334</v>
      </c>
      <c r="BO129" s="342" t="s">
        <v>41172</v>
      </c>
      <c r="BP129" s="342" t="s">
        <v>41417</v>
      </c>
      <c r="BQ129" s="342" t="s">
        <v>64</v>
      </c>
      <c r="BR129" s="376">
        <v>0</v>
      </c>
      <c r="BS129" s="342"/>
      <c r="BT129" s="342" t="s">
        <v>41334</v>
      </c>
      <c r="BU129" s="376" t="s">
        <v>41432</v>
      </c>
      <c r="BV129" s="376">
        <f>Tabela10[[#This Row], [Descrição do projeto]]</f>
      </c>
    </row>
    <row x14ac:dyDescent="0.25" r="130" customHeight="1" ht="18.75" hidden="1">
      <c r="A130" s="336">
        <v>285</v>
      </c>
      <c r="B130" s="371">
        <f>AND(ISTEXT('Consolidado-Eletronorte'!#REF!),SUM('Consolidado-Eletronorte'!#REF!)&gt;0)</f>
      </c>
      <c r="C130" s="371">
        <f>$J$13</f>
      </c>
      <c r="D130" s="371">
        <f>$H$13</f>
      </c>
      <c r="E130" s="371">
        <f>$H$14</f>
      </c>
      <c r="F130" s="371">
        <f>_xlfn.CONCAT(Tabela10[[#This Row], [VP]],Tabela10[[#This Row], [Analise Estrategia]])</f>
      </c>
      <c r="G130" s="371">
        <f>_xlfn.CONCAT('Consolidado-Eletronorte'!#REF!,"_",ROW('Consolidado-Eletronorte'!#REF!)-ROW('Consolidado-Eletronorte'!$G$18))</f>
      </c>
      <c r="H130" s="335" t="s">
        <v>10</v>
      </c>
      <c r="I130" s="335" t="s">
        <v>88</v>
      </c>
      <c r="J130" s="335" t="s">
        <v>5</v>
      </c>
      <c r="K130" s="336" t="s">
        <v>21</v>
      </c>
      <c r="L130" s="335" t="s">
        <v>21</v>
      </c>
      <c r="M130" s="335" t="s">
        <v>39949</v>
      </c>
      <c r="N130" s="335"/>
      <c r="O130" s="335"/>
      <c r="P130" s="336" t="s">
        <v>38349</v>
      </c>
      <c r="Q130" s="342" t="s">
        <v>41335</v>
      </c>
      <c r="R130" s="335" t="s">
        <v>40332</v>
      </c>
      <c r="S130" s="342" t="s">
        <v>41335</v>
      </c>
      <c r="T130" s="335" t="s">
        <v>21</v>
      </c>
      <c r="U130" s="335" t="s">
        <v>21</v>
      </c>
      <c r="V130" s="335" t="s">
        <v>39949</v>
      </c>
      <c r="W130" s="335" t="s">
        <v>39949</v>
      </c>
      <c r="X130" s="335"/>
      <c r="Y130" s="336" t="s">
        <v>41222</v>
      </c>
      <c r="Z130" s="372"/>
      <c r="AA130" s="336"/>
      <c r="AB130" s="372"/>
      <c r="AC130" s="336"/>
      <c r="AD130" s="372"/>
      <c r="AE130" s="335"/>
      <c r="AF130" s="335"/>
      <c r="AG130" s="335" t="s">
        <v>40333</v>
      </c>
      <c r="AH130" s="335" t="s">
        <v>39998</v>
      </c>
      <c r="AI130" s="337">
        <v>0</v>
      </c>
      <c r="AJ130" s="337">
        <v>0</v>
      </c>
      <c r="AK130" s="337">
        <v>0</v>
      </c>
      <c r="AL130" s="337">
        <v>0</v>
      </c>
      <c r="AM130" s="337">
        <v>0</v>
      </c>
      <c r="AN130" s="337">
        <v>0</v>
      </c>
      <c r="AO130" s="337">
        <v>0</v>
      </c>
      <c r="AP130" s="337">
        <v>0</v>
      </c>
      <c r="AQ130" s="337">
        <v>0</v>
      </c>
      <c r="AR130" s="337">
        <v>0</v>
      </c>
      <c r="AS130" s="337">
        <v>0</v>
      </c>
      <c r="AT130" s="337">
        <v>0</v>
      </c>
      <c r="AU130" s="337">
        <f>SUM(Tabela10[[#This Row], [jan/26]:[dez/26]])</f>
      </c>
      <c r="AV130" s="337">
        <v>250000</v>
      </c>
      <c r="AW130" s="337">
        <v>0</v>
      </c>
      <c r="AX130" s="337">
        <v>0</v>
      </c>
      <c r="AY130" s="337">
        <v>0</v>
      </c>
      <c r="AZ130" s="337">
        <f>SUM(Tabela10[[#This Row], [2026]:[2030]])</f>
      </c>
      <c r="BA130" s="337">
        <v>0</v>
      </c>
      <c r="BB130" s="337">
        <v>0</v>
      </c>
      <c r="BC130" s="337">
        <v>0</v>
      </c>
      <c r="BD130" s="337">
        <v>0</v>
      </c>
      <c r="BE130" s="337">
        <v>0</v>
      </c>
      <c r="BF130" s="373">
        <f>SUM(Tabela10[[#This Row], [2026-2030]:[2035]])</f>
      </c>
      <c r="BG130" s="374">
        <f>_xlfn.SEQUENCE(COUNTA(Tabela10[Empresa]),1,1)</f>
      </c>
      <c r="BH130" s="342" t="s">
        <v>41335</v>
      </c>
      <c r="BI130" s="374">
        <f>VLOOKUP(Tabela10[[#This Row], [ID real2]],[2]CONSOLIDADA!$AU:$AZ,6,FALSE)</f>
      </c>
      <c r="BJ130" s="342" t="s">
        <v>41127</v>
      </c>
      <c r="BK130" s="375">
        <v>2026</v>
      </c>
      <c r="BL130" s="342" t="s">
        <v>40334</v>
      </c>
      <c r="BM130" s="375">
        <v>0</v>
      </c>
      <c r="BN130" s="342" t="s">
        <v>41335</v>
      </c>
      <c r="BO130" s="342" t="s">
        <v>41172</v>
      </c>
      <c r="BP130" s="342" t="s">
        <v>41121</v>
      </c>
      <c r="BQ130" s="342" t="s">
        <v>41121</v>
      </c>
      <c r="BR130" s="376">
        <v>0</v>
      </c>
      <c r="BS130" s="342"/>
      <c r="BT130" s="342" t="s">
        <v>41335</v>
      </c>
      <c r="BU130" s="376" t="s">
        <v>41144</v>
      </c>
      <c r="BV130" s="376">
        <f>Tabela10[[#This Row], [Descrição do projeto]]</f>
      </c>
    </row>
    <row x14ac:dyDescent="0.25" r="131" customHeight="1" ht="18.75" hidden="1">
      <c r="A131" s="336">
        <v>300</v>
      </c>
      <c r="B131" s="371">
        <f>AND(ISTEXT('Consolidado-Eletronorte'!#REF!),SUM('Consolidado-Eletronorte'!#REF!)&gt;0)</f>
      </c>
      <c r="C131" s="371">
        <f>$J$13</f>
      </c>
      <c r="D131" s="371">
        <f>$H$13</f>
      </c>
      <c r="E131" s="371">
        <f>$H$14</f>
      </c>
      <c r="F131" s="371">
        <f>_xlfn.CONCAT(Tabela10[[#This Row], [VP]],Tabela10[[#This Row], [Analise Estrategia]])</f>
      </c>
      <c r="G131" s="371">
        <f>_xlfn.CONCAT('Consolidado-Eletronorte'!#REF!,"_",ROW('Consolidado-Eletronorte'!#REF!)-ROW('Consolidado-Eletronorte'!$G$18))</f>
      </c>
      <c r="H131" s="335" t="s">
        <v>10</v>
      </c>
      <c r="I131" s="335" t="s">
        <v>88</v>
      </c>
      <c r="J131" s="335" t="s">
        <v>5</v>
      </c>
      <c r="K131" s="336" t="s">
        <v>21</v>
      </c>
      <c r="L131" s="335" t="s">
        <v>21</v>
      </c>
      <c r="M131" s="335" t="s">
        <v>39949</v>
      </c>
      <c r="N131" s="335"/>
      <c r="O131" s="335"/>
      <c r="P131" s="336">
        <v>157189</v>
      </c>
      <c r="Q131" s="342" t="s">
        <v>41336</v>
      </c>
      <c r="R131" s="335" t="s">
        <v>40257</v>
      </c>
      <c r="S131" s="342" t="s">
        <v>41336</v>
      </c>
      <c r="T131" s="335" t="s">
        <v>21</v>
      </c>
      <c r="U131" s="335" t="s">
        <v>21</v>
      </c>
      <c r="V131" s="335" t="s">
        <v>39949</v>
      </c>
      <c r="W131" s="335" t="s">
        <v>39949</v>
      </c>
      <c r="X131" s="335"/>
      <c r="Y131" s="336" t="s">
        <v>41222</v>
      </c>
      <c r="Z131" s="372"/>
      <c r="AA131" s="336"/>
      <c r="AB131" s="372"/>
      <c r="AC131" s="336"/>
      <c r="AD131" s="372"/>
      <c r="AE131" s="335"/>
      <c r="AF131" s="335"/>
      <c r="AG131" s="335" t="s">
        <v>40258</v>
      </c>
      <c r="AH131" s="335" t="s">
        <v>39945</v>
      </c>
      <c r="AI131" s="337">
        <v>0</v>
      </c>
      <c r="AJ131" s="337">
        <v>0</v>
      </c>
      <c r="AK131" s="337">
        <v>0</v>
      </c>
      <c r="AL131" s="337">
        <v>0</v>
      </c>
      <c r="AM131" s="337">
        <v>0</v>
      </c>
      <c r="AN131" s="337">
        <v>0</v>
      </c>
      <c r="AO131" s="337">
        <v>0</v>
      </c>
      <c r="AP131" s="337">
        <v>0</v>
      </c>
      <c r="AQ131" s="337">
        <v>0</v>
      </c>
      <c r="AR131" s="337">
        <v>0</v>
      </c>
      <c r="AS131" s="337">
        <v>0</v>
      </c>
      <c r="AT131" s="337">
        <v>0</v>
      </c>
      <c r="AU131" s="337">
        <f>SUM(Tabela10[[#This Row], [jan/26]:[dez/26]])</f>
      </c>
      <c r="AV131" s="337">
        <v>250000</v>
      </c>
      <c r="AW131" s="337">
        <v>250000</v>
      </c>
      <c r="AX131" s="337">
        <v>0</v>
      </c>
      <c r="AY131" s="337">
        <v>0</v>
      </c>
      <c r="AZ131" s="337">
        <f>SUM(Tabela10[[#This Row], [2026]:[2030]])</f>
      </c>
      <c r="BA131" s="337">
        <v>0</v>
      </c>
      <c r="BB131" s="337">
        <v>0</v>
      </c>
      <c r="BC131" s="337">
        <v>0</v>
      </c>
      <c r="BD131" s="337">
        <v>0</v>
      </c>
      <c r="BE131" s="337">
        <v>0</v>
      </c>
      <c r="BF131" s="373">
        <f>SUM(Tabela10[[#This Row], [2026-2030]:[2035]])</f>
      </c>
      <c r="BG131" s="374">
        <f>_xlfn.SEQUENCE(COUNTA(Tabela10[Empresa]),1,1)</f>
      </c>
      <c r="BH131" s="342" t="s">
        <v>41336</v>
      </c>
      <c r="BI131" s="374">
        <f>VLOOKUP(Tabela10[[#This Row], [ID real2]],[2]CONSOLIDADA!$AU:$AZ,6,FALSE)</f>
      </c>
      <c r="BJ131" s="342" t="s">
        <v>41127</v>
      </c>
      <c r="BK131" s="375">
        <v>2026</v>
      </c>
      <c r="BL131" s="342" t="s">
        <v>40259</v>
      </c>
      <c r="BM131" s="375">
        <v>0</v>
      </c>
      <c r="BN131" s="342" t="s">
        <v>41336</v>
      </c>
      <c r="BO131" s="342" t="s">
        <v>41172</v>
      </c>
      <c r="BP131" s="342" t="s">
        <v>41121</v>
      </c>
      <c r="BQ131" s="342" t="s">
        <v>41121</v>
      </c>
      <c r="BR131" s="376">
        <v>0</v>
      </c>
      <c r="BS131" s="342"/>
      <c r="BT131" s="342" t="s">
        <v>41336</v>
      </c>
      <c r="BU131" s="376" t="s">
        <v>41144</v>
      </c>
      <c r="BV131" s="376">
        <f>Tabela10[[#This Row], [Descrição do projeto]]</f>
      </c>
    </row>
    <row x14ac:dyDescent="0.25" r="132" customHeight="1" ht="18.75" hidden="1">
      <c r="A132" s="336">
        <v>301</v>
      </c>
      <c r="B132" s="371">
        <f>AND(ISTEXT('Consolidado-Eletronorte'!#REF!),SUM('Consolidado-Eletronorte'!#REF!)&gt;0)</f>
      </c>
      <c r="C132" s="371">
        <f>$J$13</f>
      </c>
      <c r="D132" s="371">
        <f>$H$13</f>
      </c>
      <c r="E132" s="371">
        <f>$H$14</f>
      </c>
      <c r="F132" s="371">
        <f>_xlfn.CONCAT(Tabela10[[#This Row], [VP]],Tabela10[[#This Row], [Analise Estrategia]])</f>
      </c>
      <c r="G132" s="371">
        <f>_xlfn.CONCAT('Consolidado-Eletronorte'!#REF!,"_",ROW('Consolidado-Eletronorte'!#REF!)-ROW('Consolidado-Eletronorte'!$G$18))</f>
      </c>
      <c r="H132" s="335" t="s">
        <v>10</v>
      </c>
      <c r="I132" s="335" t="s">
        <v>88</v>
      </c>
      <c r="J132" s="335" t="s">
        <v>5</v>
      </c>
      <c r="K132" s="336" t="s">
        <v>21</v>
      </c>
      <c r="L132" s="335" t="s">
        <v>21</v>
      </c>
      <c r="M132" s="335" t="s">
        <v>39949</v>
      </c>
      <c r="N132" s="335"/>
      <c r="O132" s="335"/>
      <c r="P132" s="336">
        <v>157189</v>
      </c>
      <c r="Q132" s="342" t="s">
        <v>41337</v>
      </c>
      <c r="R132" s="335" t="s">
        <v>40260</v>
      </c>
      <c r="S132" s="342" t="s">
        <v>41337</v>
      </c>
      <c r="T132" s="335" t="s">
        <v>21</v>
      </c>
      <c r="U132" s="335" t="s">
        <v>21</v>
      </c>
      <c r="V132" s="335" t="s">
        <v>39949</v>
      </c>
      <c r="W132" s="335" t="s">
        <v>39949</v>
      </c>
      <c r="X132" s="335"/>
      <c r="Y132" s="336" t="s">
        <v>41222</v>
      </c>
      <c r="Z132" s="372"/>
      <c r="AA132" s="336"/>
      <c r="AB132" s="372"/>
      <c r="AC132" s="336"/>
      <c r="AD132" s="372"/>
      <c r="AE132" s="335"/>
      <c r="AF132" s="335"/>
      <c r="AG132" s="335" t="s">
        <v>40261</v>
      </c>
      <c r="AH132" s="335" t="s">
        <v>39945</v>
      </c>
      <c r="AI132" s="337">
        <v>0</v>
      </c>
      <c r="AJ132" s="337">
        <v>0</v>
      </c>
      <c r="AK132" s="337">
        <v>0</v>
      </c>
      <c r="AL132" s="337">
        <v>0</v>
      </c>
      <c r="AM132" s="337">
        <v>0</v>
      </c>
      <c r="AN132" s="337">
        <v>0</v>
      </c>
      <c r="AO132" s="337">
        <v>0</v>
      </c>
      <c r="AP132" s="337">
        <v>0</v>
      </c>
      <c r="AQ132" s="337">
        <v>0</v>
      </c>
      <c r="AR132" s="337">
        <v>0</v>
      </c>
      <c r="AS132" s="337">
        <v>0</v>
      </c>
      <c r="AT132" s="337">
        <v>0</v>
      </c>
      <c r="AU132" s="337">
        <f>SUM(Tabela10[[#This Row], [jan/26]:[dez/26]])</f>
      </c>
      <c r="AV132" s="337">
        <v>250000</v>
      </c>
      <c r="AW132" s="337">
        <v>250000</v>
      </c>
      <c r="AX132" s="337">
        <v>0</v>
      </c>
      <c r="AY132" s="337">
        <v>0</v>
      </c>
      <c r="AZ132" s="337">
        <f>SUM(Tabela10[[#This Row], [2026]:[2030]])</f>
      </c>
      <c r="BA132" s="337">
        <v>0</v>
      </c>
      <c r="BB132" s="337">
        <v>0</v>
      </c>
      <c r="BC132" s="337">
        <v>0</v>
      </c>
      <c r="BD132" s="337">
        <v>0</v>
      </c>
      <c r="BE132" s="337">
        <v>0</v>
      </c>
      <c r="BF132" s="373">
        <f>SUM(Tabela10[[#This Row], [2026-2030]:[2035]])</f>
      </c>
      <c r="BG132" s="374">
        <f>_xlfn.SEQUENCE(COUNTA(Tabela10[Empresa]),1,1)</f>
      </c>
      <c r="BH132" s="342" t="s">
        <v>41337</v>
      </c>
      <c r="BI132" s="374">
        <f>VLOOKUP(Tabela10[[#This Row], [ID real2]],[2]CONSOLIDADA!$AU:$AZ,6,FALSE)</f>
      </c>
      <c r="BJ132" s="342" t="s">
        <v>41127</v>
      </c>
      <c r="BK132" s="375">
        <v>2026</v>
      </c>
      <c r="BL132" s="342" t="s">
        <v>40262</v>
      </c>
      <c r="BM132" s="375">
        <v>0</v>
      </c>
      <c r="BN132" s="342" t="s">
        <v>41337</v>
      </c>
      <c r="BO132" s="342" t="s">
        <v>41172</v>
      </c>
      <c r="BP132" s="342" t="s">
        <v>41121</v>
      </c>
      <c r="BQ132" s="342" t="s">
        <v>41121</v>
      </c>
      <c r="BR132" s="376">
        <v>0</v>
      </c>
      <c r="BS132" s="342"/>
      <c r="BT132" s="342" t="s">
        <v>41337</v>
      </c>
      <c r="BU132" s="376" t="s">
        <v>41144</v>
      </c>
      <c r="BV132" s="376">
        <f>Tabela10[[#This Row], [Descrição do projeto]]</f>
      </c>
    </row>
    <row x14ac:dyDescent="0.25" r="133" customHeight="1" ht="18.75" hidden="1">
      <c r="A133" s="336">
        <v>302</v>
      </c>
      <c r="B133" s="371">
        <f>AND(ISTEXT('Consolidado-Eletronorte'!#REF!),SUM('Consolidado-Eletronorte'!#REF!)&gt;0)</f>
      </c>
      <c r="C133" s="371">
        <f>$J$13</f>
      </c>
      <c r="D133" s="371">
        <f>$H$13</f>
      </c>
      <c r="E133" s="371">
        <f>$H$14</f>
      </c>
      <c r="F133" s="371">
        <f>_xlfn.CONCAT(Tabela10[[#This Row], [VP]],Tabela10[[#This Row], [Analise Estrategia]])</f>
      </c>
      <c r="G133" s="371">
        <f>_xlfn.CONCAT('Consolidado-Eletronorte'!#REF!,"_",ROW('Consolidado-Eletronorte'!#REF!)-ROW('Consolidado-Eletronorte'!$G$18))</f>
      </c>
      <c r="H133" s="335" t="s">
        <v>10</v>
      </c>
      <c r="I133" s="335" t="s">
        <v>88</v>
      </c>
      <c r="J133" s="335" t="s">
        <v>5</v>
      </c>
      <c r="K133" s="336" t="s">
        <v>21</v>
      </c>
      <c r="L133" s="335" t="s">
        <v>21</v>
      </c>
      <c r="M133" s="335" t="s">
        <v>39949</v>
      </c>
      <c r="N133" s="335"/>
      <c r="O133" s="335"/>
      <c r="P133" s="336">
        <v>157189</v>
      </c>
      <c r="Q133" s="342" t="s">
        <v>41338</v>
      </c>
      <c r="R133" s="335" t="s">
        <v>40263</v>
      </c>
      <c r="S133" s="342" t="s">
        <v>41338</v>
      </c>
      <c r="T133" s="335" t="s">
        <v>21</v>
      </c>
      <c r="U133" s="335" t="s">
        <v>21</v>
      </c>
      <c r="V133" s="335" t="s">
        <v>39949</v>
      </c>
      <c r="W133" s="335" t="s">
        <v>39949</v>
      </c>
      <c r="X133" s="335"/>
      <c r="Y133" s="336" t="s">
        <v>41222</v>
      </c>
      <c r="Z133" s="372"/>
      <c r="AA133" s="336"/>
      <c r="AB133" s="372"/>
      <c r="AC133" s="336"/>
      <c r="AD133" s="372"/>
      <c r="AE133" s="335"/>
      <c r="AF133" s="335"/>
      <c r="AG133" s="335" t="s">
        <v>40264</v>
      </c>
      <c r="AH133" s="335" t="s">
        <v>39945</v>
      </c>
      <c r="AI133" s="337">
        <v>0</v>
      </c>
      <c r="AJ133" s="337">
        <v>0</v>
      </c>
      <c r="AK133" s="337">
        <v>0</v>
      </c>
      <c r="AL133" s="337">
        <v>0</v>
      </c>
      <c r="AM133" s="337">
        <v>0</v>
      </c>
      <c r="AN133" s="337">
        <v>0</v>
      </c>
      <c r="AO133" s="337">
        <v>0</v>
      </c>
      <c r="AP133" s="337">
        <v>0</v>
      </c>
      <c r="AQ133" s="337">
        <v>0</v>
      </c>
      <c r="AR133" s="337">
        <v>0</v>
      </c>
      <c r="AS133" s="337">
        <v>0</v>
      </c>
      <c r="AT133" s="337">
        <v>0</v>
      </c>
      <c r="AU133" s="337">
        <f>SUM(Tabela10[[#This Row], [jan/26]:[dez/26]])</f>
      </c>
      <c r="AV133" s="337">
        <v>250000</v>
      </c>
      <c r="AW133" s="337">
        <v>250000</v>
      </c>
      <c r="AX133" s="337">
        <v>0</v>
      </c>
      <c r="AY133" s="337">
        <v>0</v>
      </c>
      <c r="AZ133" s="337">
        <f>SUM(Tabela10[[#This Row], [2026]:[2030]])</f>
      </c>
      <c r="BA133" s="337">
        <v>0</v>
      </c>
      <c r="BB133" s="337">
        <v>0</v>
      </c>
      <c r="BC133" s="337">
        <v>0</v>
      </c>
      <c r="BD133" s="337">
        <v>0</v>
      </c>
      <c r="BE133" s="337">
        <v>0</v>
      </c>
      <c r="BF133" s="373">
        <f>SUM(Tabela10[[#This Row], [2026-2030]:[2035]])</f>
      </c>
      <c r="BG133" s="374">
        <f>_xlfn.SEQUENCE(COUNTA(Tabela10[Empresa]),1,1)</f>
      </c>
      <c r="BH133" s="342" t="s">
        <v>41338</v>
      </c>
      <c r="BI133" s="374">
        <f>VLOOKUP(Tabela10[[#This Row], [ID real2]],[2]CONSOLIDADA!$AU:$AZ,6,FALSE)</f>
      </c>
      <c r="BJ133" s="342" t="s">
        <v>41127</v>
      </c>
      <c r="BK133" s="375">
        <v>2026</v>
      </c>
      <c r="BL133" s="342" t="s">
        <v>40265</v>
      </c>
      <c r="BM133" s="375">
        <v>0</v>
      </c>
      <c r="BN133" s="342" t="s">
        <v>41338</v>
      </c>
      <c r="BO133" s="342" t="s">
        <v>41172</v>
      </c>
      <c r="BP133" s="342" t="s">
        <v>41121</v>
      </c>
      <c r="BQ133" s="342" t="s">
        <v>41121</v>
      </c>
      <c r="BR133" s="376">
        <v>0</v>
      </c>
      <c r="BS133" s="342"/>
      <c r="BT133" s="342" t="s">
        <v>41338</v>
      </c>
      <c r="BU133" s="376" t="s">
        <v>41144</v>
      </c>
      <c r="BV133" s="376">
        <f>Tabela10[[#This Row], [Descrição do projeto]]</f>
      </c>
    </row>
    <row x14ac:dyDescent="0.25" r="134" customHeight="1" ht="18.75" hidden="1">
      <c r="A134" s="336">
        <v>303</v>
      </c>
      <c r="B134" s="371">
        <f>AND(ISTEXT('Consolidado-Eletronorte'!#REF!),SUM('Consolidado-Eletronorte'!#REF!)&gt;0)</f>
      </c>
      <c r="C134" s="371">
        <f>$J$13</f>
      </c>
      <c r="D134" s="371">
        <f>$H$13</f>
      </c>
      <c r="E134" s="371">
        <f>$H$14</f>
      </c>
      <c r="F134" s="371">
        <f>_xlfn.CONCAT(Tabela10[[#This Row], [VP]],Tabela10[[#This Row], [Analise Estrategia]])</f>
      </c>
      <c r="G134" s="371">
        <f>_xlfn.CONCAT('Consolidado-Eletronorte'!#REF!,"_",ROW('Consolidado-Eletronorte'!#REF!)-ROW('Consolidado-Eletronorte'!$G$18))</f>
      </c>
      <c r="H134" s="335" t="s">
        <v>10</v>
      </c>
      <c r="I134" s="335" t="s">
        <v>88</v>
      </c>
      <c r="J134" s="335" t="s">
        <v>5</v>
      </c>
      <c r="K134" s="336" t="s">
        <v>21</v>
      </c>
      <c r="L134" s="335" t="s">
        <v>21</v>
      </c>
      <c r="M134" s="335" t="s">
        <v>39949</v>
      </c>
      <c r="N134" s="335"/>
      <c r="O134" s="335"/>
      <c r="P134" s="336">
        <v>157189</v>
      </c>
      <c r="Q134" s="342" t="s">
        <v>41339</v>
      </c>
      <c r="R134" s="335" t="s">
        <v>40266</v>
      </c>
      <c r="S134" s="342" t="s">
        <v>41339</v>
      </c>
      <c r="T134" s="335" t="s">
        <v>21</v>
      </c>
      <c r="U134" s="335" t="s">
        <v>21</v>
      </c>
      <c r="V134" s="335" t="s">
        <v>39949</v>
      </c>
      <c r="W134" s="335" t="s">
        <v>39949</v>
      </c>
      <c r="X134" s="335"/>
      <c r="Y134" s="336" t="s">
        <v>41222</v>
      </c>
      <c r="Z134" s="372"/>
      <c r="AA134" s="336"/>
      <c r="AB134" s="372"/>
      <c r="AC134" s="336"/>
      <c r="AD134" s="372"/>
      <c r="AE134" s="335"/>
      <c r="AF134" s="335"/>
      <c r="AG134" s="335" t="s">
        <v>40267</v>
      </c>
      <c r="AH134" s="335" t="s">
        <v>39945</v>
      </c>
      <c r="AI134" s="337">
        <v>0</v>
      </c>
      <c r="AJ134" s="337">
        <v>0</v>
      </c>
      <c r="AK134" s="337">
        <v>0</v>
      </c>
      <c r="AL134" s="337">
        <v>0</v>
      </c>
      <c r="AM134" s="337">
        <v>0</v>
      </c>
      <c r="AN134" s="337">
        <v>0</v>
      </c>
      <c r="AO134" s="337">
        <v>0</v>
      </c>
      <c r="AP134" s="337">
        <v>0</v>
      </c>
      <c r="AQ134" s="337">
        <v>0</v>
      </c>
      <c r="AR134" s="337">
        <v>0</v>
      </c>
      <c r="AS134" s="337">
        <v>0</v>
      </c>
      <c r="AT134" s="337">
        <v>0</v>
      </c>
      <c r="AU134" s="337">
        <f>SUM(Tabela10[[#This Row], [jan/26]:[dez/26]])</f>
      </c>
      <c r="AV134" s="337">
        <v>250000</v>
      </c>
      <c r="AW134" s="337">
        <v>250000</v>
      </c>
      <c r="AX134" s="337">
        <v>0</v>
      </c>
      <c r="AY134" s="337">
        <v>0</v>
      </c>
      <c r="AZ134" s="337">
        <f>SUM(Tabela10[[#This Row], [2026]:[2030]])</f>
      </c>
      <c r="BA134" s="337">
        <v>0</v>
      </c>
      <c r="BB134" s="337">
        <v>0</v>
      </c>
      <c r="BC134" s="337">
        <v>0</v>
      </c>
      <c r="BD134" s="337">
        <v>0</v>
      </c>
      <c r="BE134" s="337">
        <v>0</v>
      </c>
      <c r="BF134" s="373">
        <f>SUM(Tabela10[[#This Row], [2026-2030]:[2035]])</f>
      </c>
      <c r="BG134" s="374">
        <f>_xlfn.SEQUENCE(COUNTA(Tabela10[Empresa]),1,1)</f>
      </c>
      <c r="BH134" s="342" t="s">
        <v>41339</v>
      </c>
      <c r="BI134" s="374">
        <f>VLOOKUP(Tabela10[[#This Row], [ID real2]],[2]CONSOLIDADA!$AU:$AZ,6,FALSE)</f>
      </c>
      <c r="BJ134" s="342" t="s">
        <v>41127</v>
      </c>
      <c r="BK134" s="375">
        <v>2026</v>
      </c>
      <c r="BL134" s="342" t="s">
        <v>40268</v>
      </c>
      <c r="BM134" s="375">
        <v>0</v>
      </c>
      <c r="BN134" s="342" t="s">
        <v>41339</v>
      </c>
      <c r="BO134" s="342" t="s">
        <v>41172</v>
      </c>
      <c r="BP134" s="342" t="s">
        <v>41121</v>
      </c>
      <c r="BQ134" s="342" t="s">
        <v>41121</v>
      </c>
      <c r="BR134" s="376">
        <v>0</v>
      </c>
      <c r="BS134" s="342"/>
      <c r="BT134" s="342" t="s">
        <v>41339</v>
      </c>
      <c r="BU134" s="376" t="s">
        <v>41144</v>
      </c>
      <c r="BV134" s="376">
        <f>Tabela10[[#This Row], [Descrição do projeto]]</f>
      </c>
    </row>
    <row x14ac:dyDescent="0.25" r="135" customHeight="1" ht="18.75" hidden="1">
      <c r="A135" s="336">
        <v>304</v>
      </c>
      <c r="B135" s="371">
        <f>AND(ISTEXT('Consolidado-Eletronorte'!#REF!),SUM('Consolidado-Eletronorte'!#REF!)&gt;0)</f>
      </c>
      <c r="C135" s="371">
        <f>$J$13</f>
      </c>
      <c r="D135" s="371">
        <f>$H$13</f>
      </c>
      <c r="E135" s="371">
        <f>$H$14</f>
      </c>
      <c r="F135" s="371">
        <f>_xlfn.CONCAT(Tabela10[[#This Row], [VP]],Tabela10[[#This Row], [Analise Estrategia]])</f>
      </c>
      <c r="G135" s="371">
        <f>_xlfn.CONCAT('Consolidado-Eletronorte'!#REF!,"_",ROW('Consolidado-Eletronorte'!#REF!)-ROW('Consolidado-Eletronorte'!$G$18))</f>
      </c>
      <c r="H135" s="335" t="s">
        <v>10</v>
      </c>
      <c r="I135" s="335" t="s">
        <v>88</v>
      </c>
      <c r="J135" s="335" t="s">
        <v>5</v>
      </c>
      <c r="K135" s="336" t="s">
        <v>21</v>
      </c>
      <c r="L135" s="335" t="s">
        <v>21</v>
      </c>
      <c r="M135" s="335" t="s">
        <v>39949</v>
      </c>
      <c r="N135" s="335"/>
      <c r="O135" s="335"/>
      <c r="P135" s="336">
        <v>157189</v>
      </c>
      <c r="Q135" s="342" t="s">
        <v>41340</v>
      </c>
      <c r="R135" s="335" t="s">
        <v>40269</v>
      </c>
      <c r="S135" s="342" t="s">
        <v>41340</v>
      </c>
      <c r="T135" s="335" t="s">
        <v>21</v>
      </c>
      <c r="U135" s="335" t="s">
        <v>21</v>
      </c>
      <c r="V135" s="335" t="s">
        <v>39949</v>
      </c>
      <c r="W135" s="335" t="s">
        <v>39949</v>
      </c>
      <c r="X135" s="335"/>
      <c r="Y135" s="336" t="s">
        <v>41222</v>
      </c>
      <c r="Z135" s="372"/>
      <c r="AA135" s="336"/>
      <c r="AB135" s="372"/>
      <c r="AC135" s="336"/>
      <c r="AD135" s="372"/>
      <c r="AE135" s="335"/>
      <c r="AF135" s="335"/>
      <c r="AG135" s="335" t="s">
        <v>40270</v>
      </c>
      <c r="AH135" s="335" t="s">
        <v>39945</v>
      </c>
      <c r="AI135" s="337">
        <v>0</v>
      </c>
      <c r="AJ135" s="337">
        <v>0</v>
      </c>
      <c r="AK135" s="337">
        <v>0</v>
      </c>
      <c r="AL135" s="337">
        <v>0</v>
      </c>
      <c r="AM135" s="337">
        <v>0</v>
      </c>
      <c r="AN135" s="337">
        <v>0</v>
      </c>
      <c r="AO135" s="337">
        <v>0</v>
      </c>
      <c r="AP135" s="337">
        <v>0</v>
      </c>
      <c r="AQ135" s="337">
        <v>0</v>
      </c>
      <c r="AR135" s="337">
        <v>0</v>
      </c>
      <c r="AS135" s="337">
        <v>0</v>
      </c>
      <c r="AT135" s="337">
        <v>0</v>
      </c>
      <c r="AU135" s="337">
        <f>SUM(Tabela10[[#This Row], [jan/26]:[dez/26]])</f>
      </c>
      <c r="AV135" s="337">
        <v>250000</v>
      </c>
      <c r="AW135" s="337">
        <v>250000</v>
      </c>
      <c r="AX135" s="337">
        <v>0</v>
      </c>
      <c r="AY135" s="337">
        <v>0</v>
      </c>
      <c r="AZ135" s="337">
        <f>SUM(Tabela10[[#This Row], [2026]:[2030]])</f>
      </c>
      <c r="BA135" s="337">
        <v>0</v>
      </c>
      <c r="BB135" s="337">
        <v>0</v>
      </c>
      <c r="BC135" s="337">
        <v>0</v>
      </c>
      <c r="BD135" s="337">
        <v>0</v>
      </c>
      <c r="BE135" s="337">
        <v>0</v>
      </c>
      <c r="BF135" s="373">
        <f>SUM(Tabela10[[#This Row], [2026-2030]:[2035]])</f>
      </c>
      <c r="BG135" s="374">
        <f>_xlfn.SEQUENCE(COUNTA(Tabela10[Empresa]),1,1)</f>
      </c>
      <c r="BH135" s="342" t="s">
        <v>41340</v>
      </c>
      <c r="BI135" s="374">
        <f>VLOOKUP(Tabela10[[#This Row], [ID real2]],[2]CONSOLIDADA!$AU:$AZ,6,FALSE)</f>
      </c>
      <c r="BJ135" s="342" t="s">
        <v>41127</v>
      </c>
      <c r="BK135" s="375">
        <v>2026</v>
      </c>
      <c r="BL135" s="342" t="s">
        <v>40271</v>
      </c>
      <c r="BM135" s="375">
        <v>0</v>
      </c>
      <c r="BN135" s="342" t="s">
        <v>41340</v>
      </c>
      <c r="BO135" s="342" t="s">
        <v>41172</v>
      </c>
      <c r="BP135" s="342" t="s">
        <v>41121</v>
      </c>
      <c r="BQ135" s="342" t="s">
        <v>41121</v>
      </c>
      <c r="BR135" s="376">
        <v>0</v>
      </c>
      <c r="BS135" s="342"/>
      <c r="BT135" s="342" t="s">
        <v>41340</v>
      </c>
      <c r="BU135" s="376" t="s">
        <v>41144</v>
      </c>
      <c r="BV135" s="376">
        <f>Tabela10[[#This Row], [Descrição do projeto]]</f>
      </c>
    </row>
    <row x14ac:dyDescent="0.25" r="136" customHeight="1" ht="18.75" hidden="1">
      <c r="A136" s="336">
        <v>305</v>
      </c>
      <c r="B136" s="371">
        <f>AND(ISTEXT('Consolidado-Eletronorte'!#REF!),SUM('Consolidado-Eletronorte'!#REF!)&gt;0)</f>
      </c>
      <c r="C136" s="371">
        <f>$J$13</f>
      </c>
      <c r="D136" s="371">
        <f>$H$13</f>
      </c>
      <c r="E136" s="371">
        <f>$H$14</f>
      </c>
      <c r="F136" s="371">
        <f>_xlfn.CONCAT(Tabela10[[#This Row], [VP]],Tabela10[[#This Row], [Analise Estrategia]])</f>
      </c>
      <c r="G136" s="371">
        <f>_xlfn.CONCAT('Consolidado-Eletronorte'!#REF!,"_",ROW('Consolidado-Eletronorte'!#REF!)-ROW('Consolidado-Eletronorte'!$G$18))</f>
      </c>
      <c r="H136" s="335" t="s">
        <v>10</v>
      </c>
      <c r="I136" s="335" t="s">
        <v>88</v>
      </c>
      <c r="J136" s="335" t="s">
        <v>5</v>
      </c>
      <c r="K136" s="336" t="s">
        <v>21</v>
      </c>
      <c r="L136" s="335" t="s">
        <v>21</v>
      </c>
      <c r="M136" s="335" t="s">
        <v>39949</v>
      </c>
      <c r="N136" s="335"/>
      <c r="O136" s="335"/>
      <c r="P136" s="336">
        <v>157189</v>
      </c>
      <c r="Q136" s="342" t="s">
        <v>41341</v>
      </c>
      <c r="R136" s="335" t="s">
        <v>40272</v>
      </c>
      <c r="S136" s="342" t="s">
        <v>41341</v>
      </c>
      <c r="T136" s="335" t="s">
        <v>21</v>
      </c>
      <c r="U136" s="335" t="s">
        <v>21</v>
      </c>
      <c r="V136" s="335" t="s">
        <v>39949</v>
      </c>
      <c r="W136" s="335" t="s">
        <v>39949</v>
      </c>
      <c r="X136" s="335"/>
      <c r="Y136" s="336" t="s">
        <v>41222</v>
      </c>
      <c r="Z136" s="372"/>
      <c r="AA136" s="336"/>
      <c r="AB136" s="372"/>
      <c r="AC136" s="336"/>
      <c r="AD136" s="372"/>
      <c r="AE136" s="335"/>
      <c r="AF136" s="335"/>
      <c r="AG136" s="335" t="s">
        <v>40273</v>
      </c>
      <c r="AH136" s="335" t="s">
        <v>39945</v>
      </c>
      <c r="AI136" s="337">
        <v>0</v>
      </c>
      <c r="AJ136" s="337">
        <v>0</v>
      </c>
      <c r="AK136" s="337">
        <v>0</v>
      </c>
      <c r="AL136" s="337">
        <v>0</v>
      </c>
      <c r="AM136" s="337">
        <v>0</v>
      </c>
      <c r="AN136" s="337">
        <v>0</v>
      </c>
      <c r="AO136" s="337">
        <v>0</v>
      </c>
      <c r="AP136" s="337">
        <v>0</v>
      </c>
      <c r="AQ136" s="337">
        <v>0</v>
      </c>
      <c r="AR136" s="337">
        <v>0</v>
      </c>
      <c r="AS136" s="337">
        <v>0</v>
      </c>
      <c r="AT136" s="337">
        <v>0</v>
      </c>
      <c r="AU136" s="337">
        <f>SUM(Tabela10[[#This Row], [jan/26]:[dez/26]])</f>
      </c>
      <c r="AV136" s="337">
        <v>250000</v>
      </c>
      <c r="AW136" s="337">
        <v>250000</v>
      </c>
      <c r="AX136" s="337">
        <v>0</v>
      </c>
      <c r="AY136" s="337">
        <v>0</v>
      </c>
      <c r="AZ136" s="337">
        <f>SUM(Tabela10[[#This Row], [2026]:[2030]])</f>
      </c>
      <c r="BA136" s="337">
        <v>0</v>
      </c>
      <c r="BB136" s="337">
        <v>0</v>
      </c>
      <c r="BC136" s="337">
        <v>0</v>
      </c>
      <c r="BD136" s="337">
        <v>0</v>
      </c>
      <c r="BE136" s="337">
        <v>0</v>
      </c>
      <c r="BF136" s="373">
        <f>SUM(Tabela10[[#This Row], [2026-2030]:[2035]])</f>
      </c>
      <c r="BG136" s="374">
        <f>_xlfn.SEQUENCE(COUNTA(Tabela10[Empresa]),1,1)</f>
      </c>
      <c r="BH136" s="342" t="s">
        <v>41341</v>
      </c>
      <c r="BI136" s="374">
        <f>VLOOKUP(Tabela10[[#This Row], [ID real2]],[2]CONSOLIDADA!$AU:$AZ,6,FALSE)</f>
      </c>
      <c r="BJ136" s="342" t="s">
        <v>41127</v>
      </c>
      <c r="BK136" s="375">
        <v>2026</v>
      </c>
      <c r="BL136" s="342" t="s">
        <v>40274</v>
      </c>
      <c r="BM136" s="375">
        <v>0</v>
      </c>
      <c r="BN136" s="342" t="s">
        <v>41341</v>
      </c>
      <c r="BO136" s="342" t="s">
        <v>41172</v>
      </c>
      <c r="BP136" s="342" t="s">
        <v>41121</v>
      </c>
      <c r="BQ136" s="342" t="s">
        <v>41121</v>
      </c>
      <c r="BR136" s="376">
        <v>0</v>
      </c>
      <c r="BS136" s="342"/>
      <c r="BT136" s="342" t="s">
        <v>41341</v>
      </c>
      <c r="BU136" s="376" t="s">
        <v>41144</v>
      </c>
      <c r="BV136" s="376">
        <f>Tabela10[[#This Row], [Descrição do projeto]]</f>
      </c>
    </row>
    <row x14ac:dyDescent="0.25" r="137" customHeight="1" ht="18.75" hidden="1">
      <c r="A137" s="336">
        <v>306</v>
      </c>
      <c r="B137" s="371">
        <f>AND(ISTEXT('Consolidado-Eletronorte'!#REF!),SUM('Consolidado-Eletronorte'!#REF!)&gt;0)</f>
      </c>
      <c r="C137" s="371">
        <f>$J$13</f>
      </c>
      <c r="D137" s="371">
        <f>$H$13</f>
      </c>
      <c r="E137" s="371">
        <f>$H$14</f>
      </c>
      <c r="F137" s="371">
        <f>_xlfn.CONCAT(Tabela10[[#This Row], [VP]],Tabela10[[#This Row], [Analise Estrategia]])</f>
      </c>
      <c r="G137" s="371">
        <f>_xlfn.CONCAT('Consolidado-Eletronorte'!#REF!,"_",ROW('Consolidado-Eletronorte'!#REF!)-ROW('Consolidado-Eletronorte'!$G$18))</f>
      </c>
      <c r="H137" s="335" t="s">
        <v>10</v>
      </c>
      <c r="I137" s="335" t="s">
        <v>88</v>
      </c>
      <c r="J137" s="335" t="s">
        <v>5</v>
      </c>
      <c r="K137" s="336" t="s">
        <v>21</v>
      </c>
      <c r="L137" s="335" t="s">
        <v>21</v>
      </c>
      <c r="M137" s="335" t="s">
        <v>39949</v>
      </c>
      <c r="N137" s="335"/>
      <c r="O137" s="335"/>
      <c r="P137" s="336">
        <v>157189</v>
      </c>
      <c r="Q137" s="342" t="s">
        <v>41342</v>
      </c>
      <c r="R137" s="335" t="s">
        <v>40275</v>
      </c>
      <c r="S137" s="342" t="s">
        <v>41342</v>
      </c>
      <c r="T137" s="335" t="s">
        <v>21</v>
      </c>
      <c r="U137" s="335" t="s">
        <v>21</v>
      </c>
      <c r="V137" s="335" t="s">
        <v>39949</v>
      </c>
      <c r="W137" s="335" t="s">
        <v>39949</v>
      </c>
      <c r="X137" s="335"/>
      <c r="Y137" s="336" t="s">
        <v>41222</v>
      </c>
      <c r="Z137" s="372"/>
      <c r="AA137" s="336"/>
      <c r="AB137" s="372"/>
      <c r="AC137" s="336"/>
      <c r="AD137" s="372"/>
      <c r="AE137" s="335"/>
      <c r="AF137" s="335"/>
      <c r="AG137" s="335" t="s">
        <v>40276</v>
      </c>
      <c r="AH137" s="335" t="s">
        <v>39945</v>
      </c>
      <c r="AI137" s="337">
        <v>0</v>
      </c>
      <c r="AJ137" s="337">
        <v>0</v>
      </c>
      <c r="AK137" s="337">
        <v>0</v>
      </c>
      <c r="AL137" s="337">
        <v>0</v>
      </c>
      <c r="AM137" s="337">
        <v>0</v>
      </c>
      <c r="AN137" s="337">
        <v>0</v>
      </c>
      <c r="AO137" s="337">
        <v>0</v>
      </c>
      <c r="AP137" s="337">
        <v>0</v>
      </c>
      <c r="AQ137" s="337">
        <v>0</v>
      </c>
      <c r="AR137" s="337">
        <v>0</v>
      </c>
      <c r="AS137" s="337">
        <v>0</v>
      </c>
      <c r="AT137" s="337">
        <v>0</v>
      </c>
      <c r="AU137" s="337">
        <f>SUM(Tabela10[[#This Row], [jan/26]:[dez/26]])</f>
      </c>
      <c r="AV137" s="337">
        <v>250000</v>
      </c>
      <c r="AW137" s="337">
        <v>250000</v>
      </c>
      <c r="AX137" s="337">
        <v>0</v>
      </c>
      <c r="AY137" s="337">
        <v>0</v>
      </c>
      <c r="AZ137" s="337">
        <f>SUM(Tabela10[[#This Row], [2026]:[2030]])</f>
      </c>
      <c r="BA137" s="337">
        <v>0</v>
      </c>
      <c r="BB137" s="337">
        <v>0</v>
      </c>
      <c r="BC137" s="337">
        <v>0</v>
      </c>
      <c r="BD137" s="337">
        <v>0</v>
      </c>
      <c r="BE137" s="337">
        <v>0</v>
      </c>
      <c r="BF137" s="373">
        <f>SUM(Tabela10[[#This Row], [2026-2030]:[2035]])</f>
      </c>
      <c r="BG137" s="374">
        <f>_xlfn.SEQUENCE(COUNTA(Tabela10[Empresa]),1,1)</f>
      </c>
      <c r="BH137" s="342" t="s">
        <v>41342</v>
      </c>
      <c r="BI137" s="374">
        <f>VLOOKUP(Tabela10[[#This Row], [ID real2]],[2]CONSOLIDADA!$AU:$AZ,6,FALSE)</f>
      </c>
      <c r="BJ137" s="342" t="s">
        <v>41127</v>
      </c>
      <c r="BK137" s="375">
        <v>2026</v>
      </c>
      <c r="BL137" s="342" t="s">
        <v>40277</v>
      </c>
      <c r="BM137" s="375">
        <v>0</v>
      </c>
      <c r="BN137" s="342" t="s">
        <v>41342</v>
      </c>
      <c r="BO137" s="342" t="s">
        <v>41172</v>
      </c>
      <c r="BP137" s="342" t="s">
        <v>41121</v>
      </c>
      <c r="BQ137" s="342" t="s">
        <v>41121</v>
      </c>
      <c r="BR137" s="376">
        <v>0</v>
      </c>
      <c r="BS137" s="342"/>
      <c r="BT137" s="342" t="s">
        <v>41342</v>
      </c>
      <c r="BU137" s="376" t="s">
        <v>41144</v>
      </c>
      <c r="BV137" s="376">
        <f>Tabela10[[#This Row], [Descrição do projeto]]</f>
      </c>
    </row>
    <row x14ac:dyDescent="0.25" r="138" customHeight="1" ht="18.75" hidden="1">
      <c r="A138" s="336">
        <v>307</v>
      </c>
      <c r="B138" s="371">
        <f>AND(ISTEXT('Consolidado-Eletronorte'!#REF!),SUM('Consolidado-Eletronorte'!#REF!)&gt;0)</f>
      </c>
      <c r="C138" s="371">
        <f>$J$13</f>
      </c>
      <c r="D138" s="371">
        <f>$H$13</f>
      </c>
      <c r="E138" s="371">
        <f>$H$14</f>
      </c>
      <c r="F138" s="371">
        <f>_xlfn.CONCAT(Tabela10[[#This Row], [VP]],Tabela10[[#This Row], [Analise Estrategia]])</f>
      </c>
      <c r="G138" s="371">
        <f>_xlfn.CONCAT('Consolidado-Eletronorte'!#REF!,"_",ROW('Consolidado-Eletronorte'!#REF!)-ROW('Consolidado-Eletronorte'!$G$18))</f>
      </c>
      <c r="H138" s="335" t="s">
        <v>10</v>
      </c>
      <c r="I138" s="335" t="s">
        <v>88</v>
      </c>
      <c r="J138" s="335" t="s">
        <v>5</v>
      </c>
      <c r="K138" s="336" t="s">
        <v>21</v>
      </c>
      <c r="L138" s="335" t="s">
        <v>21</v>
      </c>
      <c r="M138" s="335" t="s">
        <v>39949</v>
      </c>
      <c r="N138" s="335"/>
      <c r="O138" s="335"/>
      <c r="P138" s="336">
        <v>157189</v>
      </c>
      <c r="Q138" s="342" t="s">
        <v>41343</v>
      </c>
      <c r="R138" s="335" t="s">
        <v>40278</v>
      </c>
      <c r="S138" s="342" t="s">
        <v>41343</v>
      </c>
      <c r="T138" s="335" t="s">
        <v>21</v>
      </c>
      <c r="U138" s="335" t="s">
        <v>21</v>
      </c>
      <c r="V138" s="335" t="s">
        <v>39949</v>
      </c>
      <c r="W138" s="335" t="s">
        <v>39949</v>
      </c>
      <c r="X138" s="335"/>
      <c r="Y138" s="336" t="s">
        <v>41222</v>
      </c>
      <c r="Z138" s="372"/>
      <c r="AA138" s="336"/>
      <c r="AB138" s="372"/>
      <c r="AC138" s="336"/>
      <c r="AD138" s="372"/>
      <c r="AE138" s="335"/>
      <c r="AF138" s="335"/>
      <c r="AG138" s="335" t="s">
        <v>40279</v>
      </c>
      <c r="AH138" s="335" t="s">
        <v>39945</v>
      </c>
      <c r="AI138" s="337">
        <v>0</v>
      </c>
      <c r="AJ138" s="337">
        <v>0</v>
      </c>
      <c r="AK138" s="337">
        <v>0</v>
      </c>
      <c r="AL138" s="337">
        <v>0</v>
      </c>
      <c r="AM138" s="337">
        <v>0</v>
      </c>
      <c r="AN138" s="337">
        <v>0</v>
      </c>
      <c r="AO138" s="337">
        <v>0</v>
      </c>
      <c r="AP138" s="337">
        <v>0</v>
      </c>
      <c r="AQ138" s="337">
        <v>0</v>
      </c>
      <c r="AR138" s="337">
        <v>0</v>
      </c>
      <c r="AS138" s="337">
        <v>0</v>
      </c>
      <c r="AT138" s="337">
        <v>0</v>
      </c>
      <c r="AU138" s="337">
        <f>SUM(Tabela10[[#This Row], [jan/26]:[dez/26]])</f>
      </c>
      <c r="AV138" s="337">
        <v>250000</v>
      </c>
      <c r="AW138" s="337">
        <v>250000</v>
      </c>
      <c r="AX138" s="337">
        <v>0</v>
      </c>
      <c r="AY138" s="337">
        <v>0</v>
      </c>
      <c r="AZ138" s="337">
        <f>SUM(Tabela10[[#This Row], [2026]:[2030]])</f>
      </c>
      <c r="BA138" s="337">
        <v>0</v>
      </c>
      <c r="BB138" s="337">
        <v>0</v>
      </c>
      <c r="BC138" s="337">
        <v>0</v>
      </c>
      <c r="BD138" s="337">
        <v>0</v>
      </c>
      <c r="BE138" s="337">
        <v>0</v>
      </c>
      <c r="BF138" s="373">
        <f>SUM(Tabela10[[#This Row], [2026-2030]:[2035]])</f>
      </c>
      <c r="BG138" s="374">
        <f>_xlfn.SEQUENCE(COUNTA(Tabela10[Empresa]),1,1)</f>
      </c>
      <c r="BH138" s="342" t="s">
        <v>41343</v>
      </c>
      <c r="BI138" s="374">
        <f>VLOOKUP(Tabela10[[#This Row], [ID real2]],[2]CONSOLIDADA!$AU:$AZ,6,FALSE)</f>
      </c>
      <c r="BJ138" s="342" t="s">
        <v>41127</v>
      </c>
      <c r="BK138" s="375">
        <v>2026</v>
      </c>
      <c r="BL138" s="342" t="s">
        <v>40280</v>
      </c>
      <c r="BM138" s="375">
        <v>0</v>
      </c>
      <c r="BN138" s="342" t="s">
        <v>41343</v>
      </c>
      <c r="BO138" s="342" t="s">
        <v>41172</v>
      </c>
      <c r="BP138" s="342" t="s">
        <v>41121</v>
      </c>
      <c r="BQ138" s="342" t="s">
        <v>41121</v>
      </c>
      <c r="BR138" s="376">
        <v>0</v>
      </c>
      <c r="BS138" s="342"/>
      <c r="BT138" s="342" t="s">
        <v>41343</v>
      </c>
      <c r="BU138" s="376" t="s">
        <v>41144</v>
      </c>
      <c r="BV138" s="376">
        <f>Tabela10[[#This Row], [Descrição do projeto]]</f>
      </c>
    </row>
    <row x14ac:dyDescent="0.25" r="139" customHeight="1" ht="18.75" hidden="1">
      <c r="A139" s="336">
        <v>308</v>
      </c>
      <c r="B139" s="371">
        <f>AND(ISTEXT('Consolidado-Eletronorte'!#REF!),SUM('Consolidado-Eletronorte'!#REF!)&gt;0)</f>
      </c>
      <c r="C139" s="371">
        <f>$J$13</f>
      </c>
      <c r="D139" s="371">
        <f>$H$13</f>
      </c>
      <c r="E139" s="371">
        <f>$H$14</f>
      </c>
      <c r="F139" s="371">
        <f>_xlfn.CONCAT(Tabela10[[#This Row], [VP]],Tabela10[[#This Row], [Analise Estrategia]])</f>
      </c>
      <c r="G139" s="371">
        <f>_xlfn.CONCAT('Consolidado-Eletronorte'!#REF!,"_",ROW('Consolidado-Eletronorte'!#REF!)-ROW('Consolidado-Eletronorte'!$G$18))</f>
      </c>
      <c r="H139" s="335" t="s">
        <v>10</v>
      </c>
      <c r="I139" s="335" t="s">
        <v>88</v>
      </c>
      <c r="J139" s="335" t="s">
        <v>5</v>
      </c>
      <c r="K139" s="336" t="s">
        <v>21</v>
      </c>
      <c r="L139" s="335" t="s">
        <v>21</v>
      </c>
      <c r="M139" s="335" t="s">
        <v>39949</v>
      </c>
      <c r="N139" s="335"/>
      <c r="O139" s="335"/>
      <c r="P139" s="336">
        <v>157189</v>
      </c>
      <c r="Q139" s="342" t="s">
        <v>41344</v>
      </c>
      <c r="R139" s="335" t="s">
        <v>40281</v>
      </c>
      <c r="S139" s="342" t="s">
        <v>41344</v>
      </c>
      <c r="T139" s="335" t="s">
        <v>21</v>
      </c>
      <c r="U139" s="335" t="s">
        <v>21</v>
      </c>
      <c r="V139" s="335" t="s">
        <v>39949</v>
      </c>
      <c r="W139" s="335" t="s">
        <v>39949</v>
      </c>
      <c r="X139" s="335"/>
      <c r="Y139" s="336" t="s">
        <v>41222</v>
      </c>
      <c r="Z139" s="372"/>
      <c r="AA139" s="336"/>
      <c r="AB139" s="372"/>
      <c r="AC139" s="336"/>
      <c r="AD139" s="372"/>
      <c r="AE139" s="335"/>
      <c r="AF139" s="335"/>
      <c r="AG139" s="335" t="s">
        <v>40282</v>
      </c>
      <c r="AH139" s="335" t="s">
        <v>39945</v>
      </c>
      <c r="AI139" s="337">
        <v>0</v>
      </c>
      <c r="AJ139" s="337">
        <v>0</v>
      </c>
      <c r="AK139" s="337">
        <v>0</v>
      </c>
      <c r="AL139" s="337">
        <v>0</v>
      </c>
      <c r="AM139" s="337">
        <v>0</v>
      </c>
      <c r="AN139" s="337">
        <v>0</v>
      </c>
      <c r="AO139" s="337">
        <v>0</v>
      </c>
      <c r="AP139" s="337">
        <v>0</v>
      </c>
      <c r="AQ139" s="337">
        <v>0</v>
      </c>
      <c r="AR139" s="337">
        <v>0</v>
      </c>
      <c r="AS139" s="337">
        <v>0</v>
      </c>
      <c r="AT139" s="337">
        <v>0</v>
      </c>
      <c r="AU139" s="337">
        <f>SUM(Tabela10[[#This Row], [jan/26]:[dez/26]])</f>
      </c>
      <c r="AV139" s="337">
        <v>250000</v>
      </c>
      <c r="AW139" s="337">
        <v>250000</v>
      </c>
      <c r="AX139" s="337">
        <v>0</v>
      </c>
      <c r="AY139" s="337">
        <v>0</v>
      </c>
      <c r="AZ139" s="337">
        <f>SUM(Tabela10[[#This Row], [2026]:[2030]])</f>
      </c>
      <c r="BA139" s="337">
        <v>0</v>
      </c>
      <c r="BB139" s="337">
        <v>0</v>
      </c>
      <c r="BC139" s="337">
        <v>0</v>
      </c>
      <c r="BD139" s="337">
        <v>0</v>
      </c>
      <c r="BE139" s="337">
        <v>0</v>
      </c>
      <c r="BF139" s="373">
        <f>SUM(Tabela10[[#This Row], [2026-2030]:[2035]])</f>
      </c>
      <c r="BG139" s="374">
        <f>_xlfn.SEQUENCE(COUNTA(Tabela10[Empresa]),1,1)</f>
      </c>
      <c r="BH139" s="342" t="s">
        <v>41344</v>
      </c>
      <c r="BI139" s="374">
        <f>VLOOKUP(Tabela10[[#This Row], [ID real2]],[2]CONSOLIDADA!$AU:$AZ,6,FALSE)</f>
      </c>
      <c r="BJ139" s="342" t="s">
        <v>41127</v>
      </c>
      <c r="BK139" s="375">
        <v>2026</v>
      </c>
      <c r="BL139" s="342" t="s">
        <v>40283</v>
      </c>
      <c r="BM139" s="375">
        <v>0</v>
      </c>
      <c r="BN139" s="342" t="s">
        <v>41344</v>
      </c>
      <c r="BO139" s="342" t="s">
        <v>41172</v>
      </c>
      <c r="BP139" s="342" t="s">
        <v>41121</v>
      </c>
      <c r="BQ139" s="342" t="s">
        <v>41121</v>
      </c>
      <c r="BR139" s="376">
        <v>0</v>
      </c>
      <c r="BS139" s="342"/>
      <c r="BT139" s="342" t="s">
        <v>41344</v>
      </c>
      <c r="BU139" s="376" t="s">
        <v>41144</v>
      </c>
      <c r="BV139" s="376">
        <f>Tabela10[[#This Row], [Descrição do projeto]]</f>
      </c>
    </row>
    <row x14ac:dyDescent="0.25" r="140" customHeight="1" ht="18.75" hidden="1">
      <c r="A140" s="336">
        <v>309</v>
      </c>
      <c r="B140" s="371">
        <f>AND(ISTEXT('Consolidado-Eletronorte'!#REF!),SUM('Consolidado-Eletronorte'!#REF!)&gt;0)</f>
      </c>
      <c r="C140" s="371">
        <f>$J$13</f>
      </c>
      <c r="D140" s="371">
        <f>$H$13</f>
      </c>
      <c r="E140" s="371">
        <f>$H$14</f>
      </c>
      <c r="F140" s="371">
        <f>_xlfn.CONCAT(Tabela10[[#This Row], [VP]],Tabela10[[#This Row], [Analise Estrategia]])</f>
      </c>
      <c r="G140" s="371">
        <f>_xlfn.CONCAT('Consolidado-Eletronorte'!#REF!,"_",ROW('Consolidado-Eletronorte'!#REF!)-ROW('Consolidado-Eletronorte'!$G$18))</f>
      </c>
      <c r="H140" s="335" t="s">
        <v>10</v>
      </c>
      <c r="I140" s="335" t="s">
        <v>88</v>
      </c>
      <c r="J140" s="335" t="s">
        <v>5</v>
      </c>
      <c r="K140" s="336" t="s">
        <v>21</v>
      </c>
      <c r="L140" s="335" t="s">
        <v>21</v>
      </c>
      <c r="M140" s="335" t="s">
        <v>39949</v>
      </c>
      <c r="N140" s="335"/>
      <c r="O140" s="335"/>
      <c r="P140" s="336">
        <v>157189</v>
      </c>
      <c r="Q140" s="342" t="s">
        <v>41345</v>
      </c>
      <c r="R140" s="335" t="s">
        <v>40287</v>
      </c>
      <c r="S140" s="342" t="s">
        <v>41345</v>
      </c>
      <c r="T140" s="335" t="s">
        <v>21</v>
      </c>
      <c r="U140" s="335" t="s">
        <v>21</v>
      </c>
      <c r="V140" s="335" t="s">
        <v>39949</v>
      </c>
      <c r="W140" s="335" t="s">
        <v>39949</v>
      </c>
      <c r="X140" s="335"/>
      <c r="Y140" s="336" t="s">
        <v>41222</v>
      </c>
      <c r="Z140" s="372"/>
      <c r="AA140" s="336"/>
      <c r="AB140" s="372"/>
      <c r="AC140" s="336"/>
      <c r="AD140" s="372"/>
      <c r="AE140" s="335"/>
      <c r="AF140" s="335"/>
      <c r="AG140" s="335" t="s">
        <v>40288</v>
      </c>
      <c r="AH140" s="335" t="s">
        <v>39945</v>
      </c>
      <c r="AI140" s="337">
        <v>0</v>
      </c>
      <c r="AJ140" s="337">
        <v>0</v>
      </c>
      <c r="AK140" s="337">
        <v>0</v>
      </c>
      <c r="AL140" s="337">
        <v>0</v>
      </c>
      <c r="AM140" s="337">
        <v>0</v>
      </c>
      <c r="AN140" s="337">
        <v>0</v>
      </c>
      <c r="AO140" s="337">
        <v>0</v>
      </c>
      <c r="AP140" s="337">
        <v>0</v>
      </c>
      <c r="AQ140" s="337">
        <v>0</v>
      </c>
      <c r="AR140" s="337">
        <v>0</v>
      </c>
      <c r="AS140" s="337">
        <v>0</v>
      </c>
      <c r="AT140" s="337">
        <v>0</v>
      </c>
      <c r="AU140" s="337">
        <f>SUM(Tabela10[[#This Row], [jan/26]:[dez/26]])</f>
      </c>
      <c r="AV140" s="337">
        <v>250000</v>
      </c>
      <c r="AW140" s="337">
        <v>250000</v>
      </c>
      <c r="AX140" s="337">
        <v>0</v>
      </c>
      <c r="AY140" s="337">
        <v>0</v>
      </c>
      <c r="AZ140" s="337">
        <f>SUM(Tabela10[[#This Row], [2026]:[2030]])</f>
      </c>
      <c r="BA140" s="337">
        <v>0</v>
      </c>
      <c r="BB140" s="337">
        <v>0</v>
      </c>
      <c r="BC140" s="337">
        <v>0</v>
      </c>
      <c r="BD140" s="337">
        <v>0</v>
      </c>
      <c r="BE140" s="337">
        <v>0</v>
      </c>
      <c r="BF140" s="373">
        <f>SUM(Tabela10[[#This Row], [2026-2030]:[2035]])</f>
      </c>
      <c r="BG140" s="374">
        <f>_xlfn.SEQUENCE(COUNTA(Tabela10[Empresa]),1,1)</f>
      </c>
      <c r="BH140" s="342" t="s">
        <v>41345</v>
      </c>
      <c r="BI140" s="374">
        <f>VLOOKUP(Tabela10[[#This Row], [ID real2]],[2]CONSOLIDADA!$AU:$AZ,6,FALSE)</f>
      </c>
      <c r="BJ140" s="342" t="s">
        <v>41127</v>
      </c>
      <c r="BK140" s="375">
        <v>2026</v>
      </c>
      <c r="BL140" s="342" t="s">
        <v>40289</v>
      </c>
      <c r="BM140" s="375">
        <v>0</v>
      </c>
      <c r="BN140" s="342" t="s">
        <v>41345</v>
      </c>
      <c r="BO140" s="342" t="s">
        <v>41172</v>
      </c>
      <c r="BP140" s="342" t="s">
        <v>41121</v>
      </c>
      <c r="BQ140" s="342" t="s">
        <v>41121</v>
      </c>
      <c r="BR140" s="376">
        <v>0</v>
      </c>
      <c r="BS140" s="342"/>
      <c r="BT140" s="342" t="s">
        <v>41345</v>
      </c>
      <c r="BU140" s="376" t="s">
        <v>41144</v>
      </c>
      <c r="BV140" s="376">
        <f>Tabela10[[#This Row], [Descrição do projeto]]</f>
      </c>
    </row>
    <row x14ac:dyDescent="0.25" r="141" customHeight="1" ht="18.75" hidden="1">
      <c r="A141" s="336">
        <v>310</v>
      </c>
      <c r="B141" s="371">
        <f>AND(ISTEXT('Consolidado-Eletronorte'!#REF!),SUM('Consolidado-Eletronorte'!#REF!)&gt;0)</f>
      </c>
      <c r="C141" s="371">
        <f>$J$13</f>
      </c>
      <c r="D141" s="371">
        <f>$H$13</f>
      </c>
      <c r="E141" s="371">
        <f>$H$14</f>
      </c>
      <c r="F141" s="371">
        <f>_xlfn.CONCAT(Tabela10[[#This Row], [VP]],Tabela10[[#This Row], [Analise Estrategia]])</f>
      </c>
      <c r="G141" s="371">
        <f>_xlfn.CONCAT('Consolidado-Eletronorte'!#REF!,"_",ROW('Consolidado-Eletronorte'!#REF!)-ROW('Consolidado-Eletronorte'!$G$18))</f>
      </c>
      <c r="H141" s="335" t="s">
        <v>10</v>
      </c>
      <c r="I141" s="335" t="s">
        <v>88</v>
      </c>
      <c r="J141" s="335" t="s">
        <v>5</v>
      </c>
      <c r="K141" s="336" t="s">
        <v>21</v>
      </c>
      <c r="L141" s="335" t="s">
        <v>21</v>
      </c>
      <c r="M141" s="335" t="s">
        <v>39949</v>
      </c>
      <c r="N141" s="335"/>
      <c r="O141" s="335"/>
      <c r="P141" s="336">
        <v>157189</v>
      </c>
      <c r="Q141" s="342" t="s">
        <v>41346</v>
      </c>
      <c r="R141" s="335" t="s">
        <v>40250</v>
      </c>
      <c r="S141" s="342" t="s">
        <v>41346</v>
      </c>
      <c r="T141" s="335" t="s">
        <v>21</v>
      </c>
      <c r="U141" s="335" t="s">
        <v>21</v>
      </c>
      <c r="V141" s="335" t="s">
        <v>39949</v>
      </c>
      <c r="W141" s="335" t="s">
        <v>39949</v>
      </c>
      <c r="X141" s="335"/>
      <c r="Y141" s="336" t="s">
        <v>41222</v>
      </c>
      <c r="Z141" s="372"/>
      <c r="AA141" s="336"/>
      <c r="AB141" s="372"/>
      <c r="AC141" s="336"/>
      <c r="AD141" s="372"/>
      <c r="AE141" s="335"/>
      <c r="AF141" s="335"/>
      <c r="AG141" s="335" t="s">
        <v>40251</v>
      </c>
      <c r="AH141" s="335" t="s">
        <v>39945</v>
      </c>
      <c r="AI141" s="337">
        <v>0</v>
      </c>
      <c r="AJ141" s="337">
        <v>0</v>
      </c>
      <c r="AK141" s="337">
        <v>0</v>
      </c>
      <c r="AL141" s="337">
        <v>0</v>
      </c>
      <c r="AM141" s="337">
        <v>0</v>
      </c>
      <c r="AN141" s="337">
        <v>0</v>
      </c>
      <c r="AO141" s="337">
        <v>0</v>
      </c>
      <c r="AP141" s="337">
        <v>0</v>
      </c>
      <c r="AQ141" s="337">
        <v>0</v>
      </c>
      <c r="AR141" s="337">
        <v>0</v>
      </c>
      <c r="AS141" s="337">
        <v>0</v>
      </c>
      <c r="AT141" s="337">
        <v>0</v>
      </c>
      <c r="AU141" s="337">
        <f>SUM(Tabela10[[#This Row], [jan/26]:[dez/26]])</f>
      </c>
      <c r="AV141" s="337">
        <v>250000</v>
      </c>
      <c r="AW141" s="337">
        <v>250000</v>
      </c>
      <c r="AX141" s="337">
        <v>0</v>
      </c>
      <c r="AY141" s="337">
        <v>0</v>
      </c>
      <c r="AZ141" s="337">
        <f>SUM(Tabela10[[#This Row], [2026]:[2030]])</f>
      </c>
      <c r="BA141" s="337">
        <v>0</v>
      </c>
      <c r="BB141" s="337">
        <v>0</v>
      </c>
      <c r="BC141" s="337">
        <v>0</v>
      </c>
      <c r="BD141" s="337">
        <v>0</v>
      </c>
      <c r="BE141" s="337">
        <v>0</v>
      </c>
      <c r="BF141" s="373">
        <f>SUM(Tabela10[[#This Row], [2026-2030]:[2035]])</f>
      </c>
      <c r="BG141" s="374">
        <f>_xlfn.SEQUENCE(COUNTA(Tabela10[Empresa]),1,1)</f>
      </c>
      <c r="BH141" s="342" t="s">
        <v>41346</v>
      </c>
      <c r="BI141" s="374">
        <f>VLOOKUP(Tabela10[[#This Row], [ID real2]],[2]CONSOLIDADA!$AU:$AZ,6,FALSE)</f>
      </c>
      <c r="BJ141" s="342" t="s">
        <v>40043</v>
      </c>
      <c r="BK141" s="375">
        <v>2025</v>
      </c>
      <c r="BL141" s="342" t="s">
        <v>40252</v>
      </c>
      <c r="BM141" s="375" t="s">
        <v>40253</v>
      </c>
      <c r="BN141" s="342" t="s">
        <v>41346</v>
      </c>
      <c r="BO141" s="342" t="s">
        <v>41172</v>
      </c>
      <c r="BP141" s="342" t="s">
        <v>41121</v>
      </c>
      <c r="BQ141" s="342" t="s">
        <v>64</v>
      </c>
      <c r="BR141" s="376">
        <v>0</v>
      </c>
      <c r="BS141" s="342"/>
      <c r="BT141" s="342" t="s">
        <v>41346</v>
      </c>
      <c r="BU141" s="376" t="s">
        <v>41151</v>
      </c>
      <c r="BV141" s="376">
        <f>Tabela10[[#This Row], [Descrição do projeto]]</f>
      </c>
    </row>
    <row x14ac:dyDescent="0.25" r="142" customHeight="1" ht="18.75" hidden="1">
      <c r="A142" s="336">
        <v>311</v>
      </c>
      <c r="B142" s="371">
        <f>AND(ISTEXT('Consolidado-Eletronorte'!#REF!),SUM('Consolidado-Eletronorte'!#REF!)&gt;0)</f>
      </c>
      <c r="C142" s="371">
        <f>$J$13</f>
      </c>
      <c r="D142" s="371">
        <f>$H$13</f>
      </c>
      <c r="E142" s="371">
        <f>$H$14</f>
      </c>
      <c r="F142" s="371">
        <f>_xlfn.CONCAT(Tabela10[[#This Row], [VP]],Tabela10[[#This Row], [Analise Estrategia]])</f>
      </c>
      <c r="G142" s="371">
        <f>_xlfn.CONCAT('Consolidado-Eletronorte'!#REF!,"_",ROW('Consolidado-Eletronorte'!#REF!)-ROW('Consolidado-Eletronorte'!$G$18))</f>
      </c>
      <c r="H142" s="335" t="s">
        <v>10</v>
      </c>
      <c r="I142" s="335" t="s">
        <v>88</v>
      </c>
      <c r="J142" s="335" t="s">
        <v>5</v>
      </c>
      <c r="K142" s="336" t="s">
        <v>21</v>
      </c>
      <c r="L142" s="335" t="s">
        <v>21</v>
      </c>
      <c r="M142" s="335" t="s">
        <v>39949</v>
      </c>
      <c r="N142" s="335"/>
      <c r="O142" s="335"/>
      <c r="P142" s="336">
        <v>157189</v>
      </c>
      <c r="Q142" s="342" t="s">
        <v>41347</v>
      </c>
      <c r="R142" s="335" t="s">
        <v>40290</v>
      </c>
      <c r="S142" s="342" t="s">
        <v>41347</v>
      </c>
      <c r="T142" s="335" t="s">
        <v>21</v>
      </c>
      <c r="U142" s="335" t="s">
        <v>21</v>
      </c>
      <c r="V142" s="335" t="s">
        <v>39949</v>
      </c>
      <c r="W142" s="335" t="s">
        <v>39949</v>
      </c>
      <c r="X142" s="335"/>
      <c r="Y142" s="336" t="s">
        <v>41222</v>
      </c>
      <c r="Z142" s="372"/>
      <c r="AA142" s="336"/>
      <c r="AB142" s="372"/>
      <c r="AC142" s="336"/>
      <c r="AD142" s="372"/>
      <c r="AE142" s="335"/>
      <c r="AF142" s="335"/>
      <c r="AG142" s="335" t="s">
        <v>40291</v>
      </c>
      <c r="AH142" s="335" t="s">
        <v>39945</v>
      </c>
      <c r="AI142" s="337">
        <v>0</v>
      </c>
      <c r="AJ142" s="337">
        <v>0</v>
      </c>
      <c r="AK142" s="337">
        <v>0</v>
      </c>
      <c r="AL142" s="337">
        <v>0</v>
      </c>
      <c r="AM142" s="337">
        <v>0</v>
      </c>
      <c r="AN142" s="337">
        <v>0</v>
      </c>
      <c r="AO142" s="337">
        <v>0</v>
      </c>
      <c r="AP142" s="337">
        <v>0</v>
      </c>
      <c r="AQ142" s="337">
        <v>0</v>
      </c>
      <c r="AR142" s="337">
        <v>0</v>
      </c>
      <c r="AS142" s="337">
        <v>0</v>
      </c>
      <c r="AT142" s="337">
        <v>0</v>
      </c>
      <c r="AU142" s="337">
        <f>SUM(Tabela10[[#This Row], [jan/26]:[dez/26]])</f>
      </c>
      <c r="AV142" s="337">
        <v>250000</v>
      </c>
      <c r="AW142" s="337">
        <v>250000</v>
      </c>
      <c r="AX142" s="337">
        <v>0</v>
      </c>
      <c r="AY142" s="337">
        <v>0</v>
      </c>
      <c r="AZ142" s="337">
        <f>SUM(Tabela10[[#This Row], [2026]:[2030]])</f>
      </c>
      <c r="BA142" s="337">
        <v>0</v>
      </c>
      <c r="BB142" s="337">
        <v>0</v>
      </c>
      <c r="BC142" s="337">
        <v>0</v>
      </c>
      <c r="BD142" s="337">
        <v>0</v>
      </c>
      <c r="BE142" s="337">
        <v>0</v>
      </c>
      <c r="BF142" s="373">
        <f>SUM(Tabela10[[#This Row], [2026-2030]:[2035]])</f>
      </c>
      <c r="BG142" s="374">
        <f>_xlfn.SEQUENCE(COUNTA(Tabela10[Empresa]),1,1)</f>
      </c>
      <c r="BH142" s="342" t="s">
        <v>41347</v>
      </c>
      <c r="BI142" s="374">
        <f>VLOOKUP(Tabela10[[#This Row], [ID real2]],[2]CONSOLIDADA!$AU:$AZ,6,FALSE)</f>
      </c>
      <c r="BJ142" s="342" t="s">
        <v>41127</v>
      </c>
      <c r="BK142" s="375">
        <v>2026</v>
      </c>
      <c r="BL142" s="342" t="s">
        <v>40292</v>
      </c>
      <c r="BM142" s="375">
        <v>0</v>
      </c>
      <c r="BN142" s="342" t="s">
        <v>41347</v>
      </c>
      <c r="BO142" s="342" t="s">
        <v>41172</v>
      </c>
      <c r="BP142" s="342" t="s">
        <v>41121</v>
      </c>
      <c r="BQ142" s="342" t="s">
        <v>41121</v>
      </c>
      <c r="BR142" s="376">
        <v>0</v>
      </c>
      <c r="BS142" s="342"/>
      <c r="BT142" s="342" t="s">
        <v>41347</v>
      </c>
      <c r="BU142" s="376" t="s">
        <v>41144</v>
      </c>
      <c r="BV142" s="376">
        <f>Tabela10[[#This Row], [Descrição do projeto]]</f>
      </c>
    </row>
    <row x14ac:dyDescent="0.25" r="143" customHeight="1" ht="18.75" hidden="1">
      <c r="A143" s="336">
        <v>312</v>
      </c>
      <c r="B143" s="371">
        <f>AND(ISTEXT('Consolidado-Eletronorte'!#REF!),SUM('Consolidado-Eletronorte'!#REF!)&gt;0)</f>
      </c>
      <c r="C143" s="371">
        <f>$J$13</f>
      </c>
      <c r="D143" s="371">
        <f>$H$13</f>
      </c>
      <c r="E143" s="371">
        <f>$H$14</f>
      </c>
      <c r="F143" s="371">
        <f>_xlfn.CONCAT(Tabela10[[#This Row], [VP]],Tabela10[[#This Row], [Analise Estrategia]])</f>
      </c>
      <c r="G143" s="371">
        <f>_xlfn.CONCAT('Consolidado-Eletronorte'!#REF!,"_",ROW('Consolidado-Eletronorte'!#REF!)-ROW('Consolidado-Eletronorte'!$G$18))</f>
      </c>
      <c r="H143" s="335" t="s">
        <v>10</v>
      </c>
      <c r="I143" s="335" t="s">
        <v>88</v>
      </c>
      <c r="J143" s="335" t="s">
        <v>5</v>
      </c>
      <c r="K143" s="336" t="s">
        <v>21</v>
      </c>
      <c r="L143" s="335" t="s">
        <v>21</v>
      </c>
      <c r="M143" s="335" t="s">
        <v>39949</v>
      </c>
      <c r="N143" s="335"/>
      <c r="O143" s="335"/>
      <c r="P143" s="336">
        <v>157189</v>
      </c>
      <c r="Q143" s="342" t="s">
        <v>41348</v>
      </c>
      <c r="R143" s="335" t="s">
        <v>40293</v>
      </c>
      <c r="S143" s="342" t="s">
        <v>41348</v>
      </c>
      <c r="T143" s="335" t="s">
        <v>21</v>
      </c>
      <c r="U143" s="335" t="s">
        <v>21</v>
      </c>
      <c r="V143" s="335" t="s">
        <v>39949</v>
      </c>
      <c r="W143" s="335" t="s">
        <v>39949</v>
      </c>
      <c r="X143" s="335"/>
      <c r="Y143" s="336" t="s">
        <v>41222</v>
      </c>
      <c r="Z143" s="372"/>
      <c r="AA143" s="336"/>
      <c r="AB143" s="372"/>
      <c r="AC143" s="336"/>
      <c r="AD143" s="372"/>
      <c r="AE143" s="335"/>
      <c r="AF143" s="335"/>
      <c r="AG143" s="335" t="s">
        <v>40294</v>
      </c>
      <c r="AH143" s="335" t="s">
        <v>39945</v>
      </c>
      <c r="AI143" s="337">
        <v>0</v>
      </c>
      <c r="AJ143" s="337">
        <v>0</v>
      </c>
      <c r="AK143" s="337">
        <v>0</v>
      </c>
      <c r="AL143" s="337">
        <v>0</v>
      </c>
      <c r="AM143" s="337">
        <v>0</v>
      </c>
      <c r="AN143" s="337">
        <v>0</v>
      </c>
      <c r="AO143" s="337">
        <v>0</v>
      </c>
      <c r="AP143" s="337">
        <v>0</v>
      </c>
      <c r="AQ143" s="337">
        <v>0</v>
      </c>
      <c r="AR143" s="337">
        <v>0</v>
      </c>
      <c r="AS143" s="337">
        <v>0</v>
      </c>
      <c r="AT143" s="337">
        <v>0</v>
      </c>
      <c r="AU143" s="337">
        <f>SUM(Tabela10[[#This Row], [jan/26]:[dez/26]])</f>
      </c>
      <c r="AV143" s="337">
        <v>250000</v>
      </c>
      <c r="AW143" s="337">
        <v>250000</v>
      </c>
      <c r="AX143" s="337">
        <v>0</v>
      </c>
      <c r="AY143" s="337">
        <v>0</v>
      </c>
      <c r="AZ143" s="337">
        <f>SUM(Tabela10[[#This Row], [2026]:[2030]])</f>
      </c>
      <c r="BA143" s="337">
        <v>0</v>
      </c>
      <c r="BB143" s="337">
        <v>0</v>
      </c>
      <c r="BC143" s="337">
        <v>0</v>
      </c>
      <c r="BD143" s="337">
        <v>0</v>
      </c>
      <c r="BE143" s="337">
        <v>0</v>
      </c>
      <c r="BF143" s="373">
        <f>SUM(Tabela10[[#This Row], [2026-2030]:[2035]])</f>
      </c>
      <c r="BG143" s="374">
        <f>_xlfn.SEQUENCE(COUNTA(Tabela10[Empresa]),1,1)</f>
      </c>
      <c r="BH143" s="342" t="s">
        <v>41348</v>
      </c>
      <c r="BI143" s="374">
        <f>VLOOKUP(Tabela10[[#This Row], [ID real2]],[2]CONSOLIDADA!$AU:$AZ,6,FALSE)</f>
      </c>
      <c r="BJ143" s="342" t="s">
        <v>40043</v>
      </c>
      <c r="BK143" s="375">
        <v>2026</v>
      </c>
      <c r="BL143" s="342" t="s">
        <v>40295</v>
      </c>
      <c r="BM143" s="375">
        <v>0</v>
      </c>
      <c r="BN143" s="342" t="s">
        <v>41348</v>
      </c>
      <c r="BO143" s="342" t="s">
        <v>41172</v>
      </c>
      <c r="BP143" s="342" t="s">
        <v>41121</v>
      </c>
      <c r="BQ143" s="342" t="s">
        <v>41121</v>
      </c>
      <c r="BR143" s="376">
        <v>0</v>
      </c>
      <c r="BS143" s="342"/>
      <c r="BT143" s="342" t="s">
        <v>41348</v>
      </c>
      <c r="BU143" s="376" t="s">
        <v>41151</v>
      </c>
      <c r="BV143" s="376">
        <f>Tabela10[[#This Row], [Descrição do projeto]]</f>
      </c>
    </row>
    <row x14ac:dyDescent="0.25" r="144" customHeight="1" ht="18.75">
      <c r="A144" s="336">
        <v>348</v>
      </c>
      <c r="B144" s="371">
        <f>AND(ISTEXT('Consolidado-Eletronorte'!#REF!),SUM('Consolidado-Eletronorte'!#REF!)&gt;0)</f>
      </c>
      <c r="C144" s="371">
        <f>$J$13</f>
      </c>
      <c r="D144" s="371">
        <f>$H$13</f>
      </c>
      <c r="E144" s="371">
        <f>$H$14</f>
      </c>
      <c r="F144" s="371">
        <f>_xlfn.CONCAT(Tabela10[[#This Row], [VP]],Tabela10[[#This Row], [Analise Estrategia]])</f>
      </c>
      <c r="G144" s="371">
        <f>_xlfn.CONCAT('Consolidado-Eletronorte'!#REF!,"_",ROW('Consolidado-Eletronorte'!#REF!)-ROW('Consolidado-Eletronorte'!$G$18))</f>
      </c>
      <c r="H144" s="335" t="s">
        <v>10</v>
      </c>
      <c r="I144" s="335" t="s">
        <v>88</v>
      </c>
      <c r="J144" s="335" t="s">
        <v>5</v>
      </c>
      <c r="K144" s="336" t="s">
        <v>21</v>
      </c>
      <c r="L144" s="335" t="s">
        <v>21</v>
      </c>
      <c r="M144" s="335" t="s">
        <v>40246</v>
      </c>
      <c r="N144" s="335"/>
      <c r="O144" s="335"/>
      <c r="P144" s="336" t="s">
        <v>38358</v>
      </c>
      <c r="Q144" s="342" t="s">
        <v>41294</v>
      </c>
      <c r="R144" s="335" t="s">
        <v>40247</v>
      </c>
      <c r="S144" s="342" t="s">
        <v>41294</v>
      </c>
      <c r="T144" s="335" t="s">
        <v>21</v>
      </c>
      <c r="U144" s="335" t="s">
        <v>21</v>
      </c>
      <c r="V144" s="335" t="s">
        <v>40246</v>
      </c>
      <c r="W144" s="335" t="s">
        <v>40246</v>
      </c>
      <c r="X144" s="335"/>
      <c r="Y144" s="336"/>
      <c r="Z144" s="372"/>
      <c r="AA144" s="336"/>
      <c r="AB144" s="372"/>
      <c r="AC144" s="336">
        <v>4500076990</v>
      </c>
      <c r="AD144" s="372">
        <v>4842186.93</v>
      </c>
      <c r="AE144" s="335" t="s">
        <v>41488</v>
      </c>
      <c r="AF144" s="335" t="s">
        <v>41196</v>
      </c>
      <c r="AG144" s="335" t="s">
        <v>40248</v>
      </c>
      <c r="AH144" s="335" t="s">
        <v>39912</v>
      </c>
      <c r="AI144" s="337">
        <v>0</v>
      </c>
      <c r="AJ144" s="337">
        <v>0</v>
      </c>
      <c r="AK144" s="337">
        <v>500000</v>
      </c>
      <c r="AL144" s="337">
        <v>0</v>
      </c>
      <c r="AM144" s="337">
        <v>0</v>
      </c>
      <c r="AN144" s="337">
        <v>0</v>
      </c>
      <c r="AO144" s="337">
        <v>0</v>
      </c>
      <c r="AP144" s="337">
        <v>0</v>
      </c>
      <c r="AQ144" s="337">
        <v>0</v>
      </c>
      <c r="AR144" s="337">
        <v>0</v>
      </c>
      <c r="AS144" s="337">
        <v>0</v>
      </c>
      <c r="AT144" s="337">
        <v>0</v>
      </c>
      <c r="AU144" s="337">
        <f>SUM(Tabela10[[#This Row], [jan/26]:[dez/26]])</f>
      </c>
      <c r="AV144" s="337">
        <v>0</v>
      </c>
      <c r="AW144" s="337">
        <v>0</v>
      </c>
      <c r="AX144" s="337">
        <v>0</v>
      </c>
      <c r="AY144" s="337">
        <v>0</v>
      </c>
      <c r="AZ144" s="337">
        <f>SUM(Tabela10[[#This Row], [2026]:[2030]])</f>
      </c>
      <c r="BA144" s="337">
        <v>0</v>
      </c>
      <c r="BB144" s="337">
        <v>0</v>
      </c>
      <c r="BC144" s="337">
        <v>0</v>
      </c>
      <c r="BD144" s="337">
        <v>0</v>
      </c>
      <c r="BE144" s="337">
        <v>0</v>
      </c>
      <c r="BF144" s="373">
        <f>SUM(Tabela10[[#This Row], [2026-2030]:[2035]])</f>
      </c>
      <c r="BG144" s="374">
        <f>_xlfn.SEQUENCE(COUNTA(Tabela10[Empresa]),1,1)</f>
      </c>
      <c r="BH144" s="342" t="s">
        <v>41294</v>
      </c>
      <c r="BI144" s="374">
        <f>VLOOKUP(Tabela10[[#This Row], [ID real2]],[2]CONSOLIDADA!$AU:$AZ,6,FALSE)</f>
      </c>
      <c r="BJ144" s="342" t="s">
        <v>41127</v>
      </c>
      <c r="BK144" s="375">
        <v>2025</v>
      </c>
      <c r="BL144" s="342" t="s">
        <v>40249</v>
      </c>
      <c r="BM144" s="375" t="s">
        <v>41489</v>
      </c>
      <c r="BN144" s="342" t="s">
        <v>41294</v>
      </c>
      <c r="BO144" s="342" t="s">
        <v>46</v>
      </c>
      <c r="BP144" s="342" t="s">
        <v>41121</v>
      </c>
      <c r="BQ144" s="342" t="s">
        <v>46</v>
      </c>
      <c r="BR144" s="376">
        <v>500000</v>
      </c>
      <c r="BS144" s="342" t="s">
        <v>41389</v>
      </c>
      <c r="BT144" s="342" t="s">
        <v>41294</v>
      </c>
      <c r="BU144" s="376" t="s">
        <v>41144</v>
      </c>
      <c r="BV144" s="376">
        <f>Tabela10[[#This Row], [Descrição do projeto]]</f>
      </c>
    </row>
    <row x14ac:dyDescent="0.25" r="145" customHeight="1" ht="18.75" hidden="1">
      <c r="A145" s="336">
        <v>354</v>
      </c>
      <c r="B145" s="371">
        <f>AND(ISTEXT('Consolidado-Eletronorte'!#REF!),SUM('Consolidado-Eletronorte'!#REF!)&gt;0)</f>
      </c>
      <c r="C145" s="371">
        <f>$J$13</f>
      </c>
      <c r="D145" s="371">
        <f>$H$13</f>
      </c>
      <c r="E145" s="371">
        <f>$H$14</f>
      </c>
      <c r="F145" s="371">
        <f>_xlfn.CONCAT(Tabela10[[#This Row], [VP]],Tabela10[[#This Row], [Analise Estrategia]])</f>
      </c>
      <c r="G145" s="371">
        <f>_xlfn.CONCAT('Consolidado-Eletronorte'!#REF!,"_",ROW('Consolidado-Eletronorte'!#REF!)-ROW('Consolidado-Eletronorte'!$G$18))</f>
      </c>
      <c r="H145" s="335" t="s">
        <v>10</v>
      </c>
      <c r="I145" s="335" t="s">
        <v>88</v>
      </c>
      <c r="J145" s="335" t="s">
        <v>5</v>
      </c>
      <c r="K145" s="336" t="s">
        <v>21</v>
      </c>
      <c r="L145" s="335" t="s">
        <v>21</v>
      </c>
      <c r="M145" s="335" t="s">
        <v>39932</v>
      </c>
      <c r="N145" s="335"/>
      <c r="O145" s="335"/>
      <c r="P145" s="336" t="s">
        <v>38358</v>
      </c>
      <c r="Q145" s="342" t="s">
        <v>41302</v>
      </c>
      <c r="R145" s="335" t="s">
        <v>40337</v>
      </c>
      <c r="S145" s="342" t="s">
        <v>41302</v>
      </c>
      <c r="T145" s="335" t="s">
        <v>21</v>
      </c>
      <c r="U145" s="335" t="s">
        <v>21</v>
      </c>
      <c r="V145" s="335" t="s">
        <v>39932</v>
      </c>
      <c r="W145" s="335" t="s">
        <v>39932</v>
      </c>
      <c r="X145" s="335"/>
      <c r="Y145" s="336">
        <v>3500007510</v>
      </c>
      <c r="Z145" s="372">
        <v>705000</v>
      </c>
      <c r="AA145" s="336"/>
      <c r="AB145" s="372"/>
      <c r="AC145" s="336"/>
      <c r="AD145" s="372"/>
      <c r="AE145" s="335"/>
      <c r="AF145" s="335"/>
      <c r="AG145" s="335" t="s">
        <v>40338</v>
      </c>
      <c r="AH145" s="335" t="s">
        <v>39912</v>
      </c>
      <c r="AI145" s="337">
        <v>0</v>
      </c>
      <c r="AJ145" s="337">
        <v>223686</v>
      </c>
      <c r="AK145" s="337">
        <v>0</v>
      </c>
      <c r="AL145" s="337">
        <v>0</v>
      </c>
      <c r="AM145" s="337">
        <v>0</v>
      </c>
      <c r="AN145" s="337">
        <v>0</v>
      </c>
      <c r="AO145" s="337">
        <v>0</v>
      </c>
      <c r="AP145" s="337">
        <v>0</v>
      </c>
      <c r="AQ145" s="337">
        <v>0</v>
      </c>
      <c r="AR145" s="337">
        <v>0</v>
      </c>
      <c r="AS145" s="337">
        <v>0</v>
      </c>
      <c r="AT145" s="337">
        <v>0</v>
      </c>
      <c r="AU145" s="337">
        <f>SUM(Tabela10[[#This Row], [jan/26]:[dez/26]])</f>
      </c>
      <c r="AV145" s="337">
        <v>0</v>
      </c>
      <c r="AW145" s="337">
        <v>0</v>
      </c>
      <c r="AX145" s="337">
        <v>0</v>
      </c>
      <c r="AY145" s="337">
        <v>0</v>
      </c>
      <c r="AZ145" s="337">
        <f>SUM(Tabela10[[#This Row], [2026]:[2030]])</f>
      </c>
      <c r="BA145" s="337">
        <v>0</v>
      </c>
      <c r="BB145" s="337">
        <v>0</v>
      </c>
      <c r="BC145" s="337">
        <v>0</v>
      </c>
      <c r="BD145" s="337">
        <v>0</v>
      </c>
      <c r="BE145" s="337">
        <v>0</v>
      </c>
      <c r="BF145" s="373">
        <f>SUM(Tabela10[[#This Row], [2026-2030]:[2035]])</f>
      </c>
      <c r="BG145" s="374">
        <f>_xlfn.SEQUENCE(COUNTA(Tabela10[Empresa]),1,1)</f>
      </c>
      <c r="BH145" s="342" t="s">
        <v>41302</v>
      </c>
      <c r="BI145" s="374">
        <f>VLOOKUP(Tabela10[[#This Row], [ID real2]],[2]CONSOLIDADA!$AU:$AZ,6,FALSE)</f>
      </c>
      <c r="BJ145" s="342" t="s">
        <v>39935</v>
      </c>
      <c r="BK145" s="375">
        <v>2025</v>
      </c>
      <c r="BL145" s="342" t="s">
        <v>40339</v>
      </c>
      <c r="BM145" s="375" t="s">
        <v>40340</v>
      </c>
      <c r="BN145" s="342" t="s">
        <v>41302</v>
      </c>
      <c r="BO145" s="342" t="s">
        <v>41171</v>
      </c>
      <c r="BP145" s="342" t="s">
        <v>41400</v>
      </c>
      <c r="BQ145" s="342" t="s">
        <v>64</v>
      </c>
      <c r="BR145" s="376">
        <v>223686</v>
      </c>
      <c r="BS145" s="342" t="s">
        <v>41389</v>
      </c>
      <c r="BT145" s="342" t="s">
        <v>41302</v>
      </c>
      <c r="BU145" s="376" t="s">
        <v>41399</v>
      </c>
      <c r="BV145" s="376">
        <f>Tabela10[[#This Row], [Descrição do projeto]]</f>
      </c>
    </row>
    <row x14ac:dyDescent="0.25" r="146" customHeight="1" ht="18.75" hidden="1">
      <c r="A146" s="336">
        <v>369</v>
      </c>
      <c r="B146" s="371">
        <f>AND(ISTEXT('Consolidado-Eletronorte'!#REF!),SUM('Consolidado-Eletronorte'!#REF!)&gt;0)</f>
      </c>
      <c r="C146" s="371">
        <f>$J$13</f>
      </c>
      <c r="D146" s="371">
        <f>$H$13</f>
      </c>
      <c r="E146" s="371">
        <f>$H$14</f>
      </c>
      <c r="F146" s="371">
        <f>_xlfn.CONCAT(Tabela10[[#This Row], [VP]],Tabela10[[#This Row], [Analise Estrategia]])</f>
      </c>
      <c r="G146" s="371">
        <f>_xlfn.CONCAT('Consolidado-Eletronorte'!#REF!,"_",ROW('Consolidado-Eletronorte'!#REF!)-ROW('Consolidado-Eletronorte'!$G$18))</f>
      </c>
      <c r="H146" s="335" t="s">
        <v>10</v>
      </c>
      <c r="I146" s="335" t="s">
        <v>88</v>
      </c>
      <c r="J146" s="335" t="s">
        <v>5</v>
      </c>
      <c r="K146" s="336" t="s">
        <v>21</v>
      </c>
      <c r="L146" s="335" t="s">
        <v>74</v>
      </c>
      <c r="M146" s="335" t="s">
        <v>40199</v>
      </c>
      <c r="N146" s="335"/>
      <c r="O146" s="335"/>
      <c r="P146" s="336" t="s">
        <v>38358</v>
      </c>
      <c r="Q146" s="342" t="s">
        <v>41306</v>
      </c>
      <c r="R146" s="335" t="s">
        <v>40200</v>
      </c>
      <c r="S146" s="342" t="s">
        <v>41306</v>
      </c>
      <c r="T146" s="335" t="s">
        <v>21</v>
      </c>
      <c r="U146" s="335" t="s">
        <v>74</v>
      </c>
      <c r="V146" s="335" t="s">
        <v>41153</v>
      </c>
      <c r="W146" s="335" t="s">
        <v>41153</v>
      </c>
      <c r="X146" s="335"/>
      <c r="Y146" s="336" t="s">
        <v>41224</v>
      </c>
      <c r="Z146" s="372"/>
      <c r="AA146" s="336"/>
      <c r="AB146" s="372"/>
      <c r="AC146" s="336"/>
      <c r="AD146" s="372"/>
      <c r="AE146" s="335"/>
      <c r="AF146" s="335"/>
      <c r="AG146" s="335" t="s">
        <v>40201</v>
      </c>
      <c r="AH146" s="335" t="s">
        <v>38359</v>
      </c>
      <c r="AI146" s="337">
        <v>0</v>
      </c>
      <c r="AJ146" s="337">
        <v>0</v>
      </c>
      <c r="AK146" s="337">
        <v>0</v>
      </c>
      <c r="AL146" s="337">
        <v>0</v>
      </c>
      <c r="AM146" s="337">
        <v>53000</v>
      </c>
      <c r="AN146" s="337">
        <v>0</v>
      </c>
      <c r="AO146" s="337">
        <v>0</v>
      </c>
      <c r="AP146" s="337">
        <v>0</v>
      </c>
      <c r="AQ146" s="337">
        <v>0</v>
      </c>
      <c r="AR146" s="337">
        <v>0</v>
      </c>
      <c r="AS146" s="337">
        <v>0</v>
      </c>
      <c r="AT146" s="337">
        <v>0</v>
      </c>
      <c r="AU146" s="337">
        <f>SUM(Tabela10[[#This Row], [jan/26]:[dez/26]])</f>
      </c>
      <c r="AV146" s="337">
        <v>0</v>
      </c>
      <c r="AW146" s="337">
        <v>0</v>
      </c>
      <c r="AX146" s="337">
        <v>0</v>
      </c>
      <c r="AY146" s="337">
        <v>0</v>
      </c>
      <c r="AZ146" s="337">
        <f>SUM(Tabela10[[#This Row], [2026]:[2030]])</f>
      </c>
      <c r="BA146" s="337">
        <v>0</v>
      </c>
      <c r="BB146" s="337">
        <v>0</v>
      </c>
      <c r="BC146" s="337">
        <v>0</v>
      </c>
      <c r="BD146" s="337">
        <v>0</v>
      </c>
      <c r="BE146" s="337">
        <v>0</v>
      </c>
      <c r="BF146" s="373">
        <f>SUM(Tabela10[[#This Row], [2026-2030]:[2035]])</f>
      </c>
      <c r="BG146" s="374">
        <f>_xlfn.SEQUENCE(COUNTA(Tabela10[Empresa]),1,1)</f>
      </c>
      <c r="BH146" s="342" t="s">
        <v>41306</v>
      </c>
      <c r="BI146" s="374">
        <f>VLOOKUP(Tabela10[[#This Row], [ID real2]],[2]CONSOLIDADA!$AU:$AZ,6,FALSE)</f>
      </c>
      <c r="BJ146" s="342" t="s">
        <v>40018</v>
      </c>
      <c r="BK146" s="375">
        <v>2025</v>
      </c>
      <c r="BL146" s="342" t="s">
        <v>40202</v>
      </c>
      <c r="BM146" s="375" t="s">
        <v>40203</v>
      </c>
      <c r="BN146" s="342" t="s">
        <v>41306</v>
      </c>
      <c r="BO146" s="342" t="s">
        <v>41171</v>
      </c>
      <c r="BP146" s="342" t="s">
        <v>41400</v>
      </c>
      <c r="BQ146" s="342" t="s">
        <v>64</v>
      </c>
      <c r="BR146" s="376">
        <v>53000</v>
      </c>
      <c r="BS146" s="342" t="s">
        <v>41389</v>
      </c>
      <c r="BT146" s="342" t="s">
        <v>41306</v>
      </c>
      <c r="BU146" s="376" t="s">
        <v>41154</v>
      </c>
      <c r="BV146" s="376">
        <f>Tabela10[[#This Row], [Descrição do projeto]]</f>
      </c>
    </row>
    <row x14ac:dyDescent="0.25" r="147" customHeight="1" ht="18.75">
      <c r="A147" s="336">
        <v>355</v>
      </c>
      <c r="B147" s="371">
        <f>AND(ISTEXT('Consolidado-Eletronorte'!#REF!),SUM('Consolidado-Eletronorte'!#REF!)&gt;0)</f>
      </c>
      <c r="C147" s="371">
        <f>$J$13</f>
      </c>
      <c r="D147" s="371">
        <f>$H$13</f>
      </c>
      <c r="E147" s="371">
        <f>$H$14</f>
      </c>
      <c r="F147" s="371">
        <f>_xlfn.CONCAT(Tabela10[[#This Row], [VP]],Tabela10[[#This Row], [Analise Estrategia]])</f>
      </c>
      <c r="G147" s="371">
        <f>_xlfn.CONCAT('Consolidado-Eletronorte'!#REF!,"_",ROW('Consolidado-Eletronorte'!#REF!)-ROW('Consolidado-Eletronorte'!$G$18))</f>
      </c>
      <c r="H147" s="335" t="s">
        <v>10</v>
      </c>
      <c r="I147" s="335" t="s">
        <v>88</v>
      </c>
      <c r="J147" s="335" t="s">
        <v>5</v>
      </c>
      <c r="K147" s="336" t="s">
        <v>21</v>
      </c>
      <c r="L147" s="335" t="s">
        <v>21</v>
      </c>
      <c r="M147" s="335" t="s">
        <v>40068</v>
      </c>
      <c r="N147" s="335"/>
      <c r="O147" s="335"/>
      <c r="P147" s="336" t="s">
        <v>38358</v>
      </c>
      <c r="Q147" s="342" t="s">
        <v>41250</v>
      </c>
      <c r="R147" s="335" t="s">
        <v>40069</v>
      </c>
      <c r="S147" s="342" t="s">
        <v>41250</v>
      </c>
      <c r="T147" s="335" t="s">
        <v>21</v>
      </c>
      <c r="U147" s="335" t="s">
        <v>21</v>
      </c>
      <c r="V147" s="335" t="s">
        <v>40068</v>
      </c>
      <c r="W147" s="335" t="s">
        <v>40068</v>
      </c>
      <c r="X147" s="335"/>
      <c r="Y147" s="336"/>
      <c r="Z147" s="372"/>
      <c r="AA147" s="336"/>
      <c r="AB147" s="372"/>
      <c r="AC147" s="336">
        <v>4500063694</v>
      </c>
      <c r="AD147" s="372">
        <v>16249773.04</v>
      </c>
      <c r="AE147" s="335" t="s">
        <v>41490</v>
      </c>
      <c r="AF147" s="335" t="s">
        <v>41192</v>
      </c>
      <c r="AG147" s="335" t="s">
        <v>40070</v>
      </c>
      <c r="AH147" s="335" t="s">
        <v>39912</v>
      </c>
      <c r="AI147" s="337">
        <v>0</v>
      </c>
      <c r="AJ147" s="337">
        <v>0</v>
      </c>
      <c r="AK147" s="337">
        <v>0</v>
      </c>
      <c r="AL147" s="337">
        <v>0</v>
      </c>
      <c r="AM147" s="337">
        <v>0</v>
      </c>
      <c r="AN147" s="337">
        <v>0</v>
      </c>
      <c r="AO147" s="337">
        <v>0</v>
      </c>
      <c r="AP147" s="337">
        <v>0</v>
      </c>
      <c r="AQ147" s="337">
        <v>0</v>
      </c>
      <c r="AR147" s="337">
        <v>0</v>
      </c>
      <c r="AS147" s="337">
        <v>0</v>
      </c>
      <c r="AT147" s="337">
        <v>0</v>
      </c>
      <c r="AU147" s="337">
        <f>SUM(Tabela10[[#This Row], [jan/26]:[dez/26]])</f>
      </c>
      <c r="AV147" s="337">
        <v>0</v>
      </c>
      <c r="AW147" s="337">
        <v>0</v>
      </c>
      <c r="AX147" s="337">
        <v>0</v>
      </c>
      <c r="AY147" s="337">
        <v>0</v>
      </c>
      <c r="AZ147" s="337">
        <f>SUM(Tabela10[[#This Row], [2026]:[2030]])</f>
      </c>
      <c r="BA147" s="337">
        <v>0</v>
      </c>
      <c r="BB147" s="337">
        <v>0</v>
      </c>
      <c r="BC147" s="337">
        <v>0</v>
      </c>
      <c r="BD147" s="337">
        <v>0</v>
      </c>
      <c r="BE147" s="337">
        <v>0</v>
      </c>
      <c r="BF147" s="373">
        <f>SUM(Tabela10[[#This Row], [2026-2030]:[2035]])</f>
      </c>
      <c r="BG147" s="374">
        <f>_xlfn.SEQUENCE(COUNTA(Tabela10[Empresa]),1,1)</f>
      </c>
      <c r="BH147" s="342" t="s">
        <v>41250</v>
      </c>
      <c r="BI147" s="374">
        <f>VLOOKUP(Tabela10[[#This Row], [ID real2]],[2]CONSOLIDADA!$AU:$AZ,6,FALSE)</f>
      </c>
      <c r="BJ147" s="342" t="s">
        <v>41132</v>
      </c>
      <c r="BK147" s="375">
        <v>2025</v>
      </c>
      <c r="BL147" s="342" t="s">
        <v>40071</v>
      </c>
      <c r="BM147" s="375" t="s">
        <v>40072</v>
      </c>
      <c r="BN147" s="342" t="s">
        <v>41250</v>
      </c>
      <c r="BO147" s="342" t="s">
        <v>46</v>
      </c>
      <c r="BP147" s="342" t="s">
        <v>41400</v>
      </c>
      <c r="BQ147" s="342" t="s">
        <v>46</v>
      </c>
      <c r="BR147" s="376">
        <v>3000000</v>
      </c>
      <c r="BS147" s="342" t="s">
        <v>41491</v>
      </c>
      <c r="BT147" s="342" t="s">
        <v>41250</v>
      </c>
      <c r="BU147" s="376" t="s">
        <v>41439</v>
      </c>
      <c r="BV147" s="376">
        <f>Tabela10[[#This Row], [Descrição do projeto]]</f>
      </c>
    </row>
    <row x14ac:dyDescent="0.25" r="148" customHeight="1" ht="18.75">
      <c r="A148" s="17"/>
      <c r="B148" s="1"/>
      <c r="C148" s="1"/>
      <c r="D148" s="1"/>
      <c r="E148" s="1"/>
      <c r="F148" s="1"/>
      <c r="G148" s="1"/>
      <c r="H148" s="1"/>
      <c r="I148" s="1"/>
      <c r="J148" s="1"/>
      <c r="K148" s="17"/>
      <c r="L148" s="1"/>
      <c r="M148" s="1"/>
      <c r="N148" s="1"/>
      <c r="O148" s="1"/>
      <c r="P148" s="17"/>
      <c r="Q148" s="1"/>
      <c r="R148" s="1"/>
      <c r="S148" s="1"/>
      <c r="T148" s="1"/>
      <c r="U148" s="1"/>
      <c r="V148" s="1"/>
      <c r="W148" s="1"/>
      <c r="X148" s="1"/>
      <c r="Y148" s="17"/>
      <c r="Z148" s="40"/>
      <c r="AA148" s="17"/>
      <c r="AB148" s="40"/>
      <c r="AC148" s="17"/>
      <c r="AD148" s="40"/>
      <c r="AE148" s="1"/>
      <c r="AF148" s="1"/>
      <c r="AG148" s="1"/>
      <c r="AH148" s="114"/>
      <c r="AI148" s="39"/>
      <c r="AJ148" s="39"/>
      <c r="AK148" s="39"/>
      <c r="AL148" s="39"/>
      <c r="AM148" s="39"/>
      <c r="AN148" s="39"/>
      <c r="AO148" s="39"/>
      <c r="AP148" s="39"/>
      <c r="AQ148" s="39"/>
      <c r="AR148" s="39"/>
      <c r="AS148" s="39"/>
      <c r="AT148" s="39"/>
      <c r="AU148" s="39"/>
      <c r="AV148" s="38"/>
      <c r="AW148" s="114"/>
      <c r="AX148" s="38"/>
      <c r="AY148" s="38"/>
      <c r="AZ148" s="38"/>
      <c r="BA148" s="38"/>
      <c r="BB148" s="38"/>
      <c r="BC148" s="38"/>
      <c r="BD148" s="38"/>
      <c r="BE148" s="38"/>
      <c r="BF148" s="38"/>
      <c r="BG148" s="1"/>
      <c r="BH148" s="1"/>
      <c r="BI148" s="1"/>
      <c r="BJ148" s="342"/>
      <c r="BK148" s="17"/>
      <c r="BL148" s="1"/>
      <c r="BM148" s="17"/>
      <c r="BN148" s="1"/>
      <c r="BO148" s="1"/>
      <c r="BP148" s="1"/>
      <c r="BQ148" s="1"/>
      <c r="BR148" s="40"/>
      <c r="BS148" s="1"/>
      <c r="BT148" s="1"/>
      <c r="BU148" s="40"/>
      <c r="BV148" s="40"/>
    </row>
    <row x14ac:dyDescent="0.25" r="149" customHeight="1" ht="18.75">
      <c r="A149" s="17"/>
      <c r="B149" s="1"/>
      <c r="C149" s="1"/>
      <c r="D149" s="1"/>
      <c r="E149" s="1"/>
      <c r="F149" s="1"/>
      <c r="G149" s="1"/>
      <c r="H149" s="1"/>
      <c r="I149" s="1"/>
      <c r="J149" s="1"/>
      <c r="K149" s="17"/>
      <c r="L149" s="1"/>
      <c r="M149" s="1"/>
      <c r="N149" s="1"/>
      <c r="O149" s="1"/>
      <c r="P149" s="17"/>
      <c r="Q149" s="1"/>
      <c r="R149" s="391"/>
      <c r="S149" s="1"/>
      <c r="T149" s="1"/>
      <c r="U149" s="1"/>
      <c r="V149" s="1"/>
      <c r="W149" s="1"/>
      <c r="X149" s="1"/>
      <c r="Y149" s="17"/>
      <c r="Z149" s="40"/>
      <c r="AA149" s="17"/>
      <c r="AB149" s="40"/>
      <c r="AC149" s="17"/>
      <c r="AD149" s="40"/>
      <c r="AE149" s="1"/>
      <c r="AF149" s="1"/>
      <c r="AG149" s="1"/>
      <c r="AH149" s="1"/>
      <c r="AI149" s="69"/>
      <c r="AJ149" s="69"/>
      <c r="AK149" s="69"/>
      <c r="AL149" s="69"/>
      <c r="AM149" s="69"/>
      <c r="AN149" s="69"/>
      <c r="AO149" s="69"/>
      <c r="AP149" s="69"/>
      <c r="AQ149" s="69"/>
      <c r="AR149" s="69"/>
      <c r="AS149" s="69"/>
      <c r="AT149" s="69"/>
      <c r="AU149" s="114"/>
      <c r="AV149" s="114"/>
      <c r="AW149" s="114"/>
      <c r="AX149" s="114"/>
      <c r="AY149" s="114"/>
      <c r="AZ149" s="38"/>
      <c r="BA149" s="38"/>
      <c r="BB149" s="38"/>
      <c r="BC149" s="38"/>
      <c r="BD149" s="38"/>
      <c r="BE149" s="38"/>
      <c r="BF149" s="38"/>
      <c r="BG149" s="1"/>
      <c r="BH149" s="1"/>
      <c r="BI149" s="1"/>
      <c r="BJ149" s="1"/>
      <c r="BK149" s="17"/>
      <c r="BL149" s="1"/>
      <c r="BM149" s="17"/>
      <c r="BN149" s="1"/>
      <c r="BO149" s="1"/>
      <c r="BP149" s="1"/>
      <c r="BQ149" s="1"/>
      <c r="BR149" s="40"/>
      <c r="BS149" s="1"/>
      <c r="BT149" s="1"/>
      <c r="BU149" s="40"/>
      <c r="BV149" s="40"/>
    </row>
    <row x14ac:dyDescent="0.25" r="150" customHeight="1" ht="18.75">
      <c r="A150" s="17"/>
      <c r="B150" s="1"/>
      <c r="C150" s="1"/>
      <c r="D150" s="1"/>
      <c r="E150" s="1"/>
      <c r="F150" s="1"/>
      <c r="G150" s="1"/>
      <c r="H150" s="1"/>
      <c r="I150" s="1"/>
      <c r="J150" s="1"/>
      <c r="K150" s="17"/>
      <c r="L150" s="1"/>
      <c r="M150" s="1"/>
      <c r="N150" s="1"/>
      <c r="O150" s="1"/>
      <c r="P150" s="17"/>
      <c r="Q150" s="1"/>
      <c r="R150" s="1"/>
      <c r="S150" s="1"/>
      <c r="T150" s="1"/>
      <c r="U150" s="1"/>
      <c r="V150" s="1"/>
      <c r="W150" s="1"/>
      <c r="X150" s="1"/>
      <c r="Y150" s="17"/>
      <c r="Z150" s="40"/>
      <c r="AA150" s="17"/>
      <c r="AB150" s="40"/>
      <c r="AC150" s="17"/>
      <c r="AD150" s="40"/>
      <c r="AE150" s="1"/>
      <c r="AF150" s="1"/>
      <c r="AG150" s="1"/>
      <c r="AH150" s="114"/>
      <c r="AI150" s="39"/>
      <c r="AJ150" s="39"/>
      <c r="AK150" s="39"/>
      <c r="AL150" s="39"/>
      <c r="AM150" s="39"/>
      <c r="AN150" s="39"/>
      <c r="AO150" s="39"/>
      <c r="AP150" s="39"/>
      <c r="AQ150" s="39"/>
      <c r="AR150" s="39"/>
      <c r="AS150" s="39"/>
      <c r="AT150" s="39"/>
      <c r="AU150" s="39"/>
      <c r="AV150" s="114"/>
      <c r="AW150" s="38"/>
      <c r="AX150" s="38"/>
      <c r="AY150" s="38"/>
      <c r="AZ150" s="38"/>
      <c r="BA150" s="38"/>
      <c r="BB150" s="38"/>
      <c r="BC150" s="38"/>
      <c r="BD150" s="38"/>
      <c r="BE150" s="38"/>
      <c r="BF150" s="38"/>
      <c r="BG150" s="1"/>
      <c r="BH150" s="1"/>
      <c r="BI150" s="1"/>
      <c r="BJ150" s="1"/>
      <c r="BK150" s="17"/>
      <c r="BL150" s="1"/>
      <c r="BM150" s="17"/>
      <c r="BN150" s="1"/>
      <c r="BO150" s="1"/>
      <c r="BP150" s="1"/>
      <c r="BQ150" s="1"/>
      <c r="BR150" s="40"/>
      <c r="BS150" s="1"/>
      <c r="BT150" s="1"/>
      <c r="BU150" s="40"/>
      <c r="BV150" s="40"/>
    </row>
    <row x14ac:dyDescent="0.25" r="151" customHeight="1" ht="18.75">
      <c r="A151" s="17"/>
      <c r="B151" s="1"/>
      <c r="C151" s="1"/>
      <c r="D151" s="1"/>
      <c r="E151" s="1"/>
      <c r="F151" s="1"/>
      <c r="G151" s="1"/>
      <c r="H151" s="1"/>
      <c r="I151" s="1"/>
      <c r="J151" s="1"/>
      <c r="K151" s="17"/>
      <c r="L151" s="1"/>
      <c r="M151" s="1"/>
      <c r="N151" s="1"/>
      <c r="O151" s="1"/>
      <c r="P151" s="17"/>
      <c r="Q151" s="1"/>
      <c r="R151" s="1"/>
      <c r="S151" s="1"/>
      <c r="T151" s="1"/>
      <c r="U151" s="1"/>
      <c r="V151" s="1"/>
      <c r="W151" s="1"/>
      <c r="X151" s="1"/>
      <c r="Y151" s="17"/>
      <c r="Z151" s="40"/>
      <c r="AA151" s="17"/>
      <c r="AB151" s="40"/>
      <c r="AC151" s="17"/>
      <c r="AD151" s="40"/>
      <c r="AE151" s="1"/>
      <c r="AF151" s="1"/>
      <c r="AG151" s="1"/>
      <c r="AH151" s="114"/>
      <c r="AI151" s="392"/>
      <c r="AJ151" s="392"/>
      <c r="AK151" s="392"/>
      <c r="AL151" s="392"/>
      <c r="AM151" s="392"/>
      <c r="AN151" s="392"/>
      <c r="AO151" s="392"/>
      <c r="AP151" s="392"/>
      <c r="AQ151" s="392"/>
      <c r="AR151" s="392"/>
      <c r="AS151" s="392"/>
      <c r="AT151" s="392"/>
      <c r="AU151" s="114"/>
      <c r="AV151" s="38"/>
      <c r="AW151" s="38"/>
      <c r="AX151" s="38"/>
      <c r="AY151" s="38"/>
      <c r="AZ151" s="38"/>
      <c r="BA151" s="38"/>
      <c r="BB151" s="38"/>
      <c r="BC151" s="38"/>
      <c r="BD151" s="38"/>
      <c r="BE151" s="38"/>
      <c r="BF151" s="38"/>
      <c r="BG151" s="1"/>
      <c r="BH151" s="1"/>
      <c r="BI151" s="1"/>
      <c r="BJ151" s="1"/>
      <c r="BK151" s="17"/>
      <c r="BL151" s="1"/>
      <c r="BM151" s="17"/>
      <c r="BN151" s="1"/>
      <c r="BO151" s="1"/>
      <c r="BP151" s="1"/>
      <c r="BQ151" s="1"/>
      <c r="BR151" s="40"/>
      <c r="BS151" s="1"/>
      <c r="BT151" s="1"/>
      <c r="BU151" s="40"/>
      <c r="BV151" s="40"/>
    </row>
    <row x14ac:dyDescent="0.25" r="152" customHeight="1" ht="18.75">
      <c r="A152" s="17"/>
      <c r="B152" s="1"/>
      <c r="C152" s="1"/>
      <c r="D152" s="1"/>
      <c r="E152" s="1"/>
      <c r="F152" s="1"/>
      <c r="G152" s="1"/>
      <c r="H152" s="1"/>
      <c r="I152" s="1"/>
      <c r="J152" s="1"/>
      <c r="K152" s="17"/>
      <c r="L152" s="1"/>
      <c r="M152" s="1"/>
      <c r="N152" s="1"/>
      <c r="O152" s="1"/>
      <c r="P152" s="17"/>
      <c r="Q152" s="1"/>
      <c r="R152" s="1"/>
      <c r="S152" s="1"/>
      <c r="T152" s="1"/>
      <c r="U152" s="1"/>
      <c r="V152" s="1"/>
      <c r="W152" s="1"/>
      <c r="X152" s="1"/>
      <c r="Y152" s="17"/>
      <c r="Z152" s="40"/>
      <c r="AA152" s="17"/>
      <c r="AB152" s="40"/>
      <c r="AC152" s="17"/>
      <c r="AD152" s="40"/>
      <c r="AE152" s="1"/>
      <c r="AF152" s="1"/>
      <c r="AG152" s="1"/>
      <c r="AH152" s="114"/>
      <c r="AI152" s="38"/>
      <c r="AJ152" s="38"/>
      <c r="AK152" s="38"/>
      <c r="AL152" s="38"/>
      <c r="AM152" s="38"/>
      <c r="AN152" s="38"/>
      <c r="AO152" s="38"/>
      <c r="AP152" s="38"/>
      <c r="AQ152" s="38"/>
      <c r="AR152" s="38"/>
      <c r="AS152" s="38"/>
      <c r="AT152" s="38"/>
      <c r="AU152" s="114"/>
      <c r="AV152" s="38"/>
      <c r="AW152" s="38"/>
      <c r="AX152" s="38"/>
      <c r="AY152" s="38"/>
      <c r="AZ152" s="38"/>
      <c r="BA152" s="38"/>
      <c r="BB152" s="38"/>
      <c r="BC152" s="38"/>
      <c r="BD152" s="38"/>
      <c r="BE152" s="38"/>
      <c r="BF152" s="38"/>
      <c r="BG152" s="1"/>
      <c r="BH152" s="1"/>
      <c r="BI152" s="1"/>
      <c r="BJ152" s="1"/>
      <c r="BK152" s="17"/>
      <c r="BL152" s="1"/>
      <c r="BM152" s="17"/>
      <c r="BN152" s="1"/>
      <c r="BO152" s="1"/>
      <c r="BP152" s="1"/>
      <c r="BQ152" s="1"/>
      <c r="BR152" s="40"/>
      <c r="BS152" s="1"/>
      <c r="BT152" s="1"/>
      <c r="BU152" s="40"/>
      <c r="BV152" s="40"/>
    </row>
    <row x14ac:dyDescent="0.25" r="153" customHeight="1" ht="18.75">
      <c r="A153" s="17"/>
      <c r="B153" s="1"/>
      <c r="C153" s="1"/>
      <c r="D153" s="1"/>
      <c r="E153" s="1"/>
      <c r="F153" s="1"/>
      <c r="G153" s="1"/>
      <c r="H153" s="1"/>
      <c r="I153" s="1"/>
      <c r="J153" s="1"/>
      <c r="K153" s="17"/>
      <c r="L153" s="1"/>
      <c r="M153" s="1"/>
      <c r="N153" s="1"/>
      <c r="O153" s="1"/>
      <c r="P153" s="17"/>
      <c r="Q153" s="1"/>
      <c r="R153" s="1"/>
      <c r="S153" s="1"/>
      <c r="T153" s="1"/>
      <c r="U153" s="1"/>
      <c r="V153" s="1"/>
      <c r="W153" s="1"/>
      <c r="X153" s="1"/>
      <c r="Y153" s="17"/>
      <c r="Z153" s="40"/>
      <c r="AA153" s="17"/>
      <c r="AB153" s="40"/>
      <c r="AC153" s="17"/>
      <c r="AD153" s="40"/>
      <c r="AE153" s="1"/>
      <c r="AF153" s="1"/>
      <c r="AG153" s="1"/>
      <c r="AH153" s="114"/>
      <c r="AI153" s="117"/>
      <c r="AJ153" s="117"/>
      <c r="AK153" s="117"/>
      <c r="AL153" s="117"/>
      <c r="AM153" s="393"/>
      <c r="AN153" s="393"/>
      <c r="AO153" s="117"/>
      <c r="AP153" s="117"/>
      <c r="AQ153" s="117"/>
      <c r="AR153" s="117"/>
      <c r="AS153" s="117"/>
      <c r="AT153" s="117"/>
      <c r="AU153" s="114"/>
      <c r="AV153" s="38"/>
      <c r="AW153" s="38"/>
      <c r="AX153" s="38"/>
      <c r="AY153" s="38"/>
      <c r="AZ153" s="38"/>
      <c r="BA153" s="38"/>
      <c r="BB153" s="38"/>
      <c r="BC153" s="38"/>
      <c r="BD153" s="38"/>
      <c r="BE153" s="38"/>
      <c r="BF153" s="38"/>
      <c r="BG153" s="1"/>
      <c r="BH153" s="1"/>
      <c r="BI153" s="1"/>
      <c r="BJ153" s="1"/>
      <c r="BK153" s="17"/>
      <c r="BL153" s="1"/>
      <c r="BM153" s="17"/>
      <c r="BN153" s="1"/>
      <c r="BO153" s="1"/>
      <c r="BP153" s="1"/>
      <c r="BQ153" s="1"/>
      <c r="BR153" s="40"/>
      <c r="BS153" s="1"/>
      <c r="BT153" s="1"/>
      <c r="BU153" s="40"/>
      <c r="BV153" s="40"/>
    </row>
    <row x14ac:dyDescent="0.25" r="154" customHeight="1" ht="18.75">
      <c r="A154" s="17"/>
      <c r="B154" s="1"/>
      <c r="C154" s="1"/>
      <c r="D154" s="1"/>
      <c r="E154" s="1"/>
      <c r="F154" s="1"/>
      <c r="G154" s="1"/>
      <c r="H154" s="1"/>
      <c r="I154" s="1"/>
      <c r="J154" s="1"/>
      <c r="K154" s="17"/>
      <c r="L154" s="1"/>
      <c r="M154" s="1"/>
      <c r="N154" s="1"/>
      <c r="O154" s="1"/>
      <c r="P154" s="17"/>
      <c r="Q154" s="1"/>
      <c r="R154" s="1"/>
      <c r="S154" s="1"/>
      <c r="T154" s="1"/>
      <c r="U154" s="1"/>
      <c r="V154" s="1"/>
      <c r="W154" s="1"/>
      <c r="X154" s="1"/>
      <c r="Y154" s="17"/>
      <c r="Z154" s="40"/>
      <c r="AA154" s="17"/>
      <c r="AB154" s="40"/>
      <c r="AC154" s="17"/>
      <c r="AD154" s="40"/>
      <c r="AE154" s="1"/>
      <c r="AF154" s="1"/>
      <c r="AG154" s="1"/>
      <c r="AH154" s="114"/>
      <c r="AI154" s="38"/>
      <c r="AJ154" s="38"/>
      <c r="AK154" s="38"/>
      <c r="AL154" s="38"/>
      <c r="AM154" s="393"/>
      <c r="AN154" s="394"/>
      <c r="AO154" s="38"/>
      <c r="AP154" s="38"/>
      <c r="AQ154" s="38"/>
      <c r="AR154" s="38"/>
      <c r="AS154" s="38"/>
      <c r="AT154" s="38"/>
      <c r="AU154" s="38"/>
      <c r="AV154" s="38"/>
      <c r="AW154" s="38"/>
      <c r="AX154" s="38"/>
      <c r="AY154" s="38"/>
      <c r="AZ154" s="38"/>
      <c r="BA154" s="38"/>
      <c r="BB154" s="38"/>
      <c r="BC154" s="38"/>
      <c r="BD154" s="38"/>
      <c r="BE154" s="38"/>
      <c r="BF154" s="38"/>
      <c r="BG154" s="1"/>
      <c r="BH154" s="1"/>
      <c r="BI154" s="1"/>
      <c r="BJ154" s="1"/>
      <c r="BK154" s="17"/>
      <c r="BL154" s="1"/>
      <c r="BM154" s="17"/>
      <c r="BN154" s="1"/>
      <c r="BO154" s="1"/>
      <c r="BP154" s="1"/>
      <c r="BQ154" s="1"/>
      <c r="BR154" s="40"/>
      <c r="BS154" s="1"/>
      <c r="BT154" s="1"/>
      <c r="BU154" s="40"/>
      <c r="BV154" s="40"/>
    </row>
    <row x14ac:dyDescent="0.25" r="155" customHeight="1" ht="18.75">
      <c r="A155" s="17"/>
      <c r="B155" s="1"/>
      <c r="C155" s="1"/>
      <c r="D155" s="1"/>
      <c r="E155" s="1"/>
      <c r="F155" s="1"/>
      <c r="G155" s="1"/>
      <c r="H155" s="1"/>
      <c r="I155" s="1"/>
      <c r="J155" s="1"/>
      <c r="K155" s="17"/>
      <c r="L155" s="1"/>
      <c r="M155" s="1"/>
      <c r="N155" s="1"/>
      <c r="O155" s="1"/>
      <c r="P155" s="17"/>
      <c r="Q155" s="1"/>
      <c r="R155" s="1"/>
      <c r="S155" s="1"/>
      <c r="T155" s="1"/>
      <c r="U155" s="1"/>
      <c r="V155" s="1"/>
      <c r="W155" s="1"/>
      <c r="X155" s="1"/>
      <c r="Y155" s="17"/>
      <c r="Z155" s="40"/>
      <c r="AA155" s="17"/>
      <c r="AB155" s="40"/>
      <c r="AC155" s="17"/>
      <c r="AD155" s="40"/>
      <c r="AE155" s="1"/>
      <c r="AF155" s="1"/>
      <c r="AG155" s="1"/>
      <c r="AH155" s="114"/>
      <c r="AI155" s="39"/>
      <c r="AJ155" s="39"/>
      <c r="AK155" s="39"/>
      <c r="AL155" s="39"/>
      <c r="AM155" s="393"/>
      <c r="AN155" s="393"/>
      <c r="AO155" s="39"/>
      <c r="AP155" s="39"/>
      <c r="AQ155" s="39"/>
      <c r="AR155" s="39"/>
      <c r="AS155" s="39"/>
      <c r="AT155" s="39"/>
      <c r="AU155" s="114"/>
      <c r="AV155" s="38"/>
      <c r="AW155" s="38"/>
      <c r="AX155" s="38"/>
      <c r="AY155" s="38"/>
      <c r="AZ155" s="38"/>
      <c r="BA155" s="38"/>
      <c r="BB155" s="38"/>
      <c r="BC155" s="38"/>
      <c r="BD155" s="38"/>
      <c r="BE155" s="38"/>
      <c r="BF155" s="38"/>
      <c r="BG155" s="1"/>
      <c r="BH155" s="1"/>
      <c r="BI155" s="1"/>
      <c r="BJ155" s="1"/>
      <c r="BK155" s="17"/>
      <c r="BL155" s="1"/>
      <c r="BM155" s="17"/>
      <c r="BN155" s="1"/>
      <c r="BO155" s="1"/>
      <c r="BP155" s="1"/>
      <c r="BQ155" s="1"/>
      <c r="BR155" s="40"/>
      <c r="BS155" s="1"/>
      <c r="BT155" s="1"/>
      <c r="BU155" s="40"/>
      <c r="BV155" s="40"/>
    </row>
    <row x14ac:dyDescent="0.25" r="156" customHeight="1" ht="18.75">
      <c r="A156" s="17"/>
      <c r="B156" s="1"/>
      <c r="C156" s="1"/>
      <c r="D156" s="1"/>
      <c r="E156" s="1"/>
      <c r="F156" s="1"/>
      <c r="G156" s="1"/>
      <c r="H156" s="1"/>
      <c r="I156" s="1"/>
      <c r="J156" s="1"/>
      <c r="K156" s="17"/>
      <c r="L156" s="1"/>
      <c r="M156" s="1"/>
      <c r="N156" s="1"/>
      <c r="O156" s="1"/>
      <c r="P156" s="17"/>
      <c r="Q156" s="1"/>
      <c r="R156" s="1"/>
      <c r="S156" s="1"/>
      <c r="T156" s="1"/>
      <c r="U156" s="1"/>
      <c r="V156" s="1"/>
      <c r="W156" s="1"/>
      <c r="X156" s="1"/>
      <c r="Y156" s="17"/>
      <c r="Z156" s="40"/>
      <c r="AA156" s="17"/>
      <c r="AB156" s="40"/>
      <c r="AC156" s="17"/>
      <c r="AD156" s="40"/>
      <c r="AE156" s="1"/>
      <c r="AF156" s="1"/>
      <c r="AG156" s="1"/>
      <c r="AH156" s="114"/>
      <c r="AI156" s="39"/>
      <c r="AJ156" s="39"/>
      <c r="AK156" s="39"/>
      <c r="AL156" s="39"/>
      <c r="AM156" s="393"/>
      <c r="AN156" s="394"/>
      <c r="AO156" s="39"/>
      <c r="AP156" s="39"/>
      <c r="AQ156" s="392"/>
      <c r="AR156" s="39"/>
      <c r="AS156" s="39"/>
      <c r="AT156" s="39"/>
      <c r="AU156" s="38"/>
      <c r="AV156" s="38"/>
      <c r="AW156" s="38"/>
      <c r="AX156" s="38"/>
      <c r="AY156" s="38"/>
      <c r="AZ156" s="38"/>
      <c r="BA156" s="38"/>
      <c r="BB156" s="38"/>
      <c r="BC156" s="38"/>
      <c r="BD156" s="38"/>
      <c r="BE156" s="38"/>
      <c r="BF156" s="38"/>
      <c r="BG156" s="1"/>
      <c r="BH156" s="1"/>
      <c r="BI156" s="1"/>
      <c r="BJ156" s="1"/>
      <c r="BK156" s="17"/>
      <c r="BL156" s="1"/>
      <c r="BM156" s="17"/>
      <c r="BN156" s="1"/>
      <c r="BO156" s="1"/>
      <c r="BP156" s="1"/>
      <c r="BQ156" s="1"/>
      <c r="BR156" s="40"/>
      <c r="BS156" s="1"/>
      <c r="BT156" s="1"/>
      <c r="BU156" s="40"/>
      <c r="BV156" s="40"/>
    </row>
    <row x14ac:dyDescent="0.25" r="157" customHeight="1" ht="18.75">
      <c r="A157" s="17"/>
      <c r="B157" s="1"/>
      <c r="C157" s="1"/>
      <c r="D157" s="1"/>
      <c r="E157" s="1"/>
      <c r="F157" s="1"/>
      <c r="G157" s="1"/>
      <c r="H157" s="1"/>
      <c r="I157" s="1"/>
      <c r="J157" s="1"/>
      <c r="K157" s="17"/>
      <c r="L157" s="1"/>
      <c r="M157" s="1"/>
      <c r="N157" s="1"/>
      <c r="O157" s="1"/>
      <c r="P157" s="17"/>
      <c r="Q157" s="1"/>
      <c r="R157" s="1"/>
      <c r="S157" s="1"/>
      <c r="T157" s="1"/>
      <c r="U157" s="1"/>
      <c r="V157" s="1"/>
      <c r="W157" s="1"/>
      <c r="X157" s="1"/>
      <c r="Y157" s="17"/>
      <c r="Z157" s="40"/>
      <c r="AA157" s="17"/>
      <c r="AB157" s="40"/>
      <c r="AC157" s="17"/>
      <c r="AD157" s="40"/>
      <c r="AE157" s="1"/>
      <c r="AF157" s="1"/>
      <c r="AG157" s="1"/>
      <c r="AH157" s="114"/>
      <c r="AI157" s="38"/>
      <c r="AJ157" s="38"/>
      <c r="AK157" s="38"/>
      <c r="AL157" s="38"/>
      <c r="AM157" s="393"/>
      <c r="AN157" s="394"/>
      <c r="AO157" s="38"/>
      <c r="AP157" s="38"/>
      <c r="AQ157" s="38"/>
      <c r="AR157" s="38"/>
      <c r="AS157" s="38"/>
      <c r="AT157" s="38"/>
      <c r="AU157" s="38"/>
      <c r="AV157" s="38"/>
      <c r="AW157" s="38"/>
      <c r="AX157" s="38"/>
      <c r="AY157" s="38"/>
      <c r="AZ157" s="38"/>
      <c r="BA157" s="38"/>
      <c r="BB157" s="38"/>
      <c r="BC157" s="38"/>
      <c r="BD157" s="38"/>
      <c r="BE157" s="38"/>
      <c r="BF157" s="38"/>
      <c r="BG157" s="1"/>
      <c r="BH157" s="1"/>
      <c r="BI157" s="1"/>
      <c r="BJ157" s="1"/>
      <c r="BK157" s="17"/>
      <c r="BL157" s="1"/>
      <c r="BM157" s="17"/>
      <c r="BN157" s="1"/>
      <c r="BO157" s="1"/>
      <c r="BP157" s="1"/>
      <c r="BQ157" s="1"/>
      <c r="BR157" s="40"/>
      <c r="BS157" s="1"/>
      <c r="BT157" s="1"/>
      <c r="BU157" s="40"/>
      <c r="BV157" s="40"/>
    </row>
    <row x14ac:dyDescent="0.25" r="158" customHeight="1" ht="18.75">
      <c r="A158" s="17"/>
      <c r="B158" s="1"/>
      <c r="C158" s="1"/>
      <c r="D158" s="1"/>
      <c r="E158" s="1"/>
      <c r="F158" s="1"/>
      <c r="G158" s="1"/>
      <c r="H158" s="1"/>
      <c r="I158" s="1"/>
      <c r="J158" s="1"/>
      <c r="K158" s="17"/>
      <c r="L158" s="1"/>
      <c r="M158" s="1"/>
      <c r="N158" s="1"/>
      <c r="O158" s="1"/>
      <c r="P158" s="17"/>
      <c r="Q158" s="1"/>
      <c r="R158" s="1"/>
      <c r="S158" s="1"/>
      <c r="T158" s="1"/>
      <c r="U158" s="1"/>
      <c r="V158" s="1"/>
      <c r="W158" s="1"/>
      <c r="X158" s="1"/>
      <c r="Y158" s="17"/>
      <c r="Z158" s="40"/>
      <c r="AA158" s="17"/>
      <c r="AB158" s="40"/>
      <c r="AC158" s="17"/>
      <c r="AD158" s="40"/>
      <c r="AE158" s="1"/>
      <c r="AF158" s="1"/>
      <c r="AG158" s="1"/>
      <c r="AH158" s="114"/>
      <c r="AI158" s="38"/>
      <c r="AJ158" s="38"/>
      <c r="AK158" s="38"/>
      <c r="AL158" s="38"/>
      <c r="AM158" s="393"/>
      <c r="AN158" s="394"/>
      <c r="AO158" s="117"/>
      <c r="AP158" s="38"/>
      <c r="AQ158" s="38"/>
      <c r="AR158" s="38"/>
      <c r="AS158" s="38"/>
      <c r="AT158" s="38"/>
      <c r="AU158" s="312"/>
      <c r="AV158" s="38"/>
      <c r="AW158" s="38"/>
      <c r="AX158" s="38"/>
      <c r="AY158" s="38"/>
      <c r="AZ158" s="38"/>
      <c r="BA158" s="38"/>
      <c r="BB158" s="38"/>
      <c r="BC158" s="38"/>
      <c r="BD158" s="38"/>
      <c r="BE158" s="38"/>
      <c r="BF158" s="38"/>
      <c r="BG158" s="1"/>
      <c r="BH158" s="1"/>
      <c r="BI158" s="1"/>
      <c r="BJ158" s="1"/>
      <c r="BK158" s="17"/>
      <c r="BL158" s="1"/>
      <c r="BM158" s="17"/>
      <c r="BN158" s="1"/>
      <c r="BO158" s="1"/>
      <c r="BP158" s="1"/>
      <c r="BQ158" s="1"/>
      <c r="BR158" s="40"/>
      <c r="BS158" s="1"/>
      <c r="BT158" s="1"/>
      <c r="BU158" s="40"/>
      <c r="BV158" s="40"/>
    </row>
    <row x14ac:dyDescent="0.25" r="159" customHeight="1" ht="18.75">
      <c r="A159" s="17"/>
      <c r="B159" s="1"/>
      <c r="C159" s="1"/>
      <c r="D159" s="1"/>
      <c r="E159" s="1"/>
      <c r="F159" s="1"/>
      <c r="G159" s="1"/>
      <c r="H159" s="1"/>
      <c r="I159" s="1"/>
      <c r="J159" s="1"/>
      <c r="K159" s="17"/>
      <c r="L159" s="1"/>
      <c r="M159" s="1"/>
      <c r="N159" s="1"/>
      <c r="O159" s="1"/>
      <c r="P159" s="17"/>
      <c r="Q159" s="1"/>
      <c r="R159" s="1"/>
      <c r="S159" s="1"/>
      <c r="T159" s="1"/>
      <c r="U159" s="1"/>
      <c r="V159" s="1"/>
      <c r="W159" s="1"/>
      <c r="X159" s="1"/>
      <c r="Y159" s="17"/>
      <c r="Z159" s="40"/>
      <c r="AA159" s="17"/>
      <c r="AB159" s="40"/>
      <c r="AC159" s="17"/>
      <c r="AD159" s="40"/>
      <c r="AE159" s="1"/>
      <c r="AF159" s="1"/>
      <c r="AG159" s="1"/>
      <c r="AH159" s="114"/>
      <c r="AI159" s="38"/>
      <c r="AJ159" s="38"/>
      <c r="AK159" s="38"/>
      <c r="AL159" s="38"/>
      <c r="AM159" s="393"/>
      <c r="AN159" s="394"/>
      <c r="AO159" s="38"/>
      <c r="AP159" s="38"/>
      <c r="AQ159" s="38"/>
      <c r="AR159" s="38"/>
      <c r="AS159" s="38"/>
      <c r="AT159" s="38"/>
      <c r="AU159" s="38"/>
      <c r="AV159" s="38"/>
      <c r="AW159" s="38"/>
      <c r="AX159" s="38"/>
      <c r="AY159" s="38"/>
      <c r="AZ159" s="38"/>
      <c r="BA159" s="38"/>
      <c r="BB159" s="38"/>
      <c r="BC159" s="38"/>
      <c r="BD159" s="38"/>
      <c r="BE159" s="38"/>
      <c r="BF159" s="38"/>
      <c r="BG159" s="1"/>
      <c r="BH159" s="1"/>
      <c r="BI159" s="1"/>
      <c r="BJ159" s="1"/>
      <c r="BK159" s="17"/>
      <c r="BL159" s="1"/>
      <c r="BM159" s="17"/>
      <c r="BN159" s="1"/>
      <c r="BO159" s="1"/>
      <c r="BP159" s="1"/>
      <c r="BQ159" s="1"/>
      <c r="BR159" s="40"/>
      <c r="BS159" s="1"/>
      <c r="BT159" s="1"/>
      <c r="BU159" s="40"/>
      <c r="BV159" s="40"/>
    </row>
    <row x14ac:dyDescent="0.25" r="160" customHeight="1" ht="18.75" customFormat="1" s="18">
      <c r="A160" s="20"/>
      <c r="B160" s="2"/>
      <c r="C160" s="2"/>
      <c r="D160" s="2"/>
      <c r="E160" s="2"/>
      <c r="F160" s="2"/>
      <c r="G160" s="2"/>
      <c r="H160" s="2"/>
      <c r="I160" s="2"/>
      <c r="J160" s="2"/>
      <c r="K160" s="20"/>
      <c r="L160" s="2"/>
      <c r="M160" s="2"/>
      <c r="N160" s="2"/>
      <c r="O160" s="2"/>
      <c r="P160" s="20"/>
      <c r="Q160" s="2"/>
      <c r="R160" s="2"/>
      <c r="S160" s="2"/>
      <c r="T160" s="2"/>
      <c r="U160" s="2"/>
      <c r="V160" s="2"/>
      <c r="W160" s="2"/>
      <c r="X160" s="2"/>
      <c r="Y160" s="20"/>
      <c r="Z160" s="125"/>
      <c r="AA160" s="20"/>
      <c r="AB160" s="125"/>
      <c r="AC160" s="20"/>
      <c r="AD160" s="125"/>
      <c r="AE160" s="2"/>
      <c r="AF160" s="2"/>
      <c r="AG160" s="2"/>
      <c r="AH160" s="2"/>
      <c r="AI160" s="124"/>
      <c r="AJ160" s="124"/>
      <c r="AK160" s="124"/>
      <c r="AL160" s="124"/>
      <c r="AM160" s="393"/>
      <c r="AN160" s="394"/>
      <c r="AO160" s="124"/>
      <c r="AP160" s="124"/>
      <c r="AQ160" s="124"/>
      <c r="AR160" s="124"/>
      <c r="AS160" s="124"/>
      <c r="AT160" s="124"/>
      <c r="AU160" s="124"/>
      <c r="AV160" s="124"/>
      <c r="AW160" s="124"/>
      <c r="AX160" s="124"/>
      <c r="AY160" s="124"/>
      <c r="AZ160" s="124"/>
      <c r="BA160" s="124"/>
      <c r="BB160" s="124"/>
      <c r="BC160" s="124"/>
      <c r="BD160" s="124"/>
      <c r="BE160" s="124"/>
      <c r="BF160" s="124"/>
      <c r="BG160" s="2"/>
      <c r="BH160" s="2"/>
      <c r="BI160" s="2"/>
      <c r="BJ160" s="2"/>
      <c r="BK160" s="20"/>
      <c r="BL160" s="2"/>
      <c r="BM160" s="20"/>
      <c r="BN160" s="2"/>
      <c r="BO160" s="2"/>
      <c r="BP160" s="2"/>
      <c r="BQ160" s="2"/>
      <c r="BR160" s="125"/>
      <c r="BS160" s="2"/>
      <c r="BT160" s="2"/>
      <c r="BU160" s="125"/>
      <c r="BV160" s="125"/>
    </row>
    <row x14ac:dyDescent="0.25" r="161" customHeight="1" ht="18.75">
      <c r="A161" s="17"/>
      <c r="B161" s="1"/>
      <c r="C161" s="1"/>
      <c r="D161" s="1"/>
      <c r="E161" s="1"/>
      <c r="F161" s="1"/>
      <c r="G161" s="1"/>
      <c r="H161" s="1"/>
      <c r="I161" s="1"/>
      <c r="J161" s="1"/>
      <c r="K161" s="17"/>
      <c r="L161" s="1"/>
      <c r="M161" s="1"/>
      <c r="N161" s="1"/>
      <c r="O161" s="1"/>
      <c r="P161" s="17"/>
      <c r="Q161" s="1"/>
      <c r="R161" s="1"/>
      <c r="S161" s="1"/>
      <c r="T161" s="1"/>
      <c r="U161" s="1"/>
      <c r="V161" s="1"/>
      <c r="W161" s="1"/>
      <c r="X161" s="1"/>
      <c r="Y161" s="17"/>
      <c r="Z161" s="40"/>
      <c r="AA161" s="17"/>
      <c r="AB161" s="40"/>
      <c r="AC161" s="312"/>
      <c r="AD161" s="117"/>
      <c r="AE161" s="117"/>
      <c r="AF161" s="117"/>
      <c r="AG161" s="1"/>
      <c r="AH161" s="114"/>
      <c r="AI161" s="38"/>
      <c r="AJ161" s="38"/>
      <c r="AK161" s="38"/>
      <c r="AL161" s="38"/>
      <c r="AM161" s="393"/>
      <c r="AN161" s="393"/>
      <c r="AO161" s="38"/>
      <c r="AP161" s="38"/>
      <c r="AQ161" s="38"/>
      <c r="AR161" s="38"/>
      <c r="AS161" s="38"/>
      <c r="AT161" s="38"/>
      <c r="AU161" s="69"/>
      <c r="AV161" s="69"/>
      <c r="AW161" s="38"/>
      <c r="AX161" s="38"/>
      <c r="AY161" s="38"/>
      <c r="AZ161" s="38"/>
      <c r="BA161" s="38"/>
      <c r="BB161" s="38"/>
      <c r="BC161" s="38"/>
      <c r="BD161" s="38"/>
      <c r="BE161" s="38"/>
      <c r="BF161" s="38"/>
      <c r="BG161" s="1"/>
      <c r="BH161" s="1"/>
      <c r="BI161" s="1"/>
      <c r="BJ161" s="1"/>
      <c r="BK161" s="17"/>
      <c r="BL161" s="1"/>
      <c r="BM161" s="17"/>
      <c r="BN161" s="1"/>
      <c r="BO161" s="1"/>
      <c r="BP161" s="1"/>
      <c r="BQ161" s="1"/>
      <c r="BR161" s="40"/>
      <c r="BS161" s="1"/>
      <c r="BT161" s="1"/>
      <c r="BU161" s="40"/>
      <c r="BV161" s="40"/>
    </row>
    <row x14ac:dyDescent="0.25" r="162" customHeight="1" ht="18.75">
      <c r="A162" s="17"/>
      <c r="B162" s="1"/>
      <c r="C162" s="1"/>
      <c r="D162" s="1"/>
      <c r="E162" s="1"/>
      <c r="F162" s="1"/>
      <c r="G162" s="1"/>
      <c r="H162" s="1"/>
      <c r="I162" s="1"/>
      <c r="J162" s="1"/>
      <c r="K162" s="17"/>
      <c r="L162" s="1"/>
      <c r="M162" s="1"/>
      <c r="N162" s="1"/>
      <c r="O162" s="1"/>
      <c r="P162" s="17"/>
      <c r="Q162" s="1"/>
      <c r="R162" s="1"/>
      <c r="S162" s="1"/>
      <c r="T162" s="1"/>
      <c r="U162" s="1"/>
      <c r="V162" s="1"/>
      <c r="W162" s="1"/>
      <c r="X162" s="1"/>
      <c r="Y162" s="17"/>
      <c r="Z162" s="40"/>
      <c r="AA162" s="17"/>
      <c r="AB162" s="40"/>
      <c r="AC162" s="17"/>
      <c r="AD162" s="40"/>
      <c r="AE162" s="1"/>
      <c r="AF162" s="1"/>
      <c r="AG162" s="1"/>
      <c r="AH162" s="114"/>
      <c r="AI162" s="38"/>
      <c r="AJ162" s="38"/>
      <c r="AK162" s="38"/>
      <c r="AL162" s="38"/>
      <c r="AM162" s="38"/>
      <c r="AN162" s="38"/>
      <c r="AO162" s="38"/>
      <c r="AP162" s="38"/>
      <c r="AQ162" s="38"/>
      <c r="AR162" s="38"/>
      <c r="AS162" s="38"/>
      <c r="AT162" s="38"/>
      <c r="AU162" s="69"/>
      <c r="AV162" s="69"/>
      <c r="AW162" s="38"/>
      <c r="AX162" s="38"/>
      <c r="AY162" s="38"/>
      <c r="AZ162" s="38"/>
      <c r="BA162" s="38"/>
      <c r="BB162" s="38"/>
      <c r="BC162" s="38"/>
      <c r="BD162" s="38"/>
      <c r="BE162" s="38"/>
      <c r="BF162" s="38"/>
      <c r="BG162" s="1"/>
      <c r="BH162" s="1"/>
      <c r="BI162" s="1"/>
      <c r="BJ162" s="1"/>
      <c r="BK162" s="17"/>
      <c r="BL162" s="1"/>
      <c r="BM162" s="17"/>
      <c r="BN162" s="1"/>
      <c r="BO162" s="1"/>
      <c r="BP162" s="1"/>
      <c r="BQ162" s="1"/>
      <c r="BR162" s="40"/>
      <c r="BS162" s="1"/>
      <c r="BT162" s="1"/>
      <c r="BU162" s="40"/>
      <c r="BV162" s="40"/>
    </row>
    <row x14ac:dyDescent="0.25" r="163" customHeight="1" ht="18.75">
      <c r="A163" s="17"/>
      <c r="B163" s="1"/>
      <c r="C163" s="1"/>
      <c r="D163" s="1"/>
      <c r="E163" s="1"/>
      <c r="F163" s="1"/>
      <c r="G163" s="1"/>
      <c r="H163" s="1"/>
      <c r="I163" s="1"/>
      <c r="J163" s="1"/>
      <c r="K163" s="17"/>
      <c r="L163" s="1"/>
      <c r="M163" s="1"/>
      <c r="N163" s="1"/>
      <c r="O163" s="1"/>
      <c r="P163" s="17"/>
      <c r="Q163" s="1"/>
      <c r="R163" s="1"/>
      <c r="S163" s="1"/>
      <c r="T163" s="1"/>
      <c r="U163" s="1"/>
      <c r="V163" s="1"/>
      <c r="W163" s="1"/>
      <c r="X163" s="1"/>
      <c r="Y163" s="17"/>
      <c r="Z163" s="40"/>
      <c r="AA163" s="17"/>
      <c r="AB163" s="40"/>
      <c r="AC163" s="69"/>
      <c r="AD163" s="40"/>
      <c r="AE163" s="69"/>
      <c r="AF163" s="69"/>
      <c r="AG163" s="1"/>
      <c r="AH163" s="1"/>
      <c r="AI163" s="38"/>
      <c r="AJ163" s="38"/>
      <c r="AK163" s="37"/>
      <c r="AL163" s="37"/>
      <c r="AM163" s="37"/>
      <c r="AN163" s="37"/>
      <c r="AO163" s="37"/>
      <c r="AP163" s="38"/>
      <c r="AQ163" s="38"/>
      <c r="AR163" s="38"/>
      <c r="AS163" s="38"/>
      <c r="AT163" s="38"/>
      <c r="AU163" s="38"/>
      <c r="AV163" s="38"/>
      <c r="AW163" s="38"/>
      <c r="AX163" s="38"/>
      <c r="AY163" s="38"/>
      <c r="AZ163" s="38"/>
      <c r="BA163" s="38"/>
      <c r="BB163" s="38"/>
      <c r="BC163" s="38"/>
      <c r="BD163" s="38"/>
      <c r="BE163" s="38"/>
      <c r="BF163" s="38"/>
      <c r="BG163" s="1"/>
      <c r="BH163" s="1"/>
      <c r="BI163" s="1"/>
      <c r="BJ163" s="1"/>
      <c r="BK163" s="17"/>
      <c r="BL163" s="1"/>
      <c r="BM163" s="17"/>
      <c r="BN163" s="1"/>
      <c r="BO163" s="1"/>
      <c r="BP163" s="1"/>
      <c r="BQ163" s="1"/>
      <c r="BR163" s="40"/>
      <c r="BS163" s="1"/>
      <c r="BT163" s="1"/>
      <c r="BU163" s="40"/>
      <c r="BV163" s="40"/>
    </row>
    <row x14ac:dyDescent="0.25" r="164" customHeight="1" ht="18.75" customFormat="1" s="18">
      <c r="A164" s="20"/>
      <c r="B164" s="2"/>
      <c r="C164" s="2"/>
      <c r="D164" s="2"/>
      <c r="E164" s="2"/>
      <c r="F164" s="2"/>
      <c r="G164" s="2"/>
      <c r="H164" s="2"/>
      <c r="I164" s="2"/>
      <c r="J164" s="2"/>
      <c r="K164" s="20"/>
      <c r="L164" s="2"/>
      <c r="M164" s="2"/>
      <c r="N164" s="2"/>
      <c r="O164" s="2"/>
      <c r="P164" s="20"/>
      <c r="Q164" s="2"/>
      <c r="R164" s="2"/>
      <c r="S164" s="2"/>
      <c r="T164" s="2"/>
      <c r="U164" s="2"/>
      <c r="V164" s="2"/>
      <c r="W164" s="2"/>
      <c r="X164" s="2"/>
      <c r="Y164" s="20"/>
      <c r="Z164" s="125"/>
      <c r="AA164" s="20"/>
      <c r="AB164" s="125"/>
      <c r="AC164" s="20"/>
      <c r="AD164" s="125"/>
      <c r="AE164" s="2"/>
      <c r="AF164" s="2"/>
      <c r="AG164" s="2"/>
      <c r="AH164" s="2"/>
      <c r="AI164" s="124"/>
      <c r="AJ164" s="124"/>
      <c r="AK164" s="124"/>
      <c r="AL164" s="394"/>
      <c r="AM164" s="124"/>
      <c r="AN164" s="124"/>
      <c r="AO164" s="124"/>
      <c r="AP164" s="124"/>
      <c r="AQ164" s="124"/>
      <c r="AR164" s="124"/>
      <c r="AS164" s="124"/>
      <c r="AT164" s="124"/>
      <c r="AU164" s="124"/>
      <c r="AV164" s="124"/>
      <c r="AW164" s="124"/>
      <c r="AX164" s="124"/>
      <c r="AY164" s="124"/>
      <c r="AZ164" s="124"/>
      <c r="BA164" s="124"/>
      <c r="BB164" s="124"/>
      <c r="BC164" s="124"/>
      <c r="BD164" s="124"/>
      <c r="BE164" s="124"/>
      <c r="BF164" s="124"/>
      <c r="BG164" s="2"/>
      <c r="BH164" s="2"/>
      <c r="BI164" s="2"/>
      <c r="BJ164" s="2"/>
      <c r="BK164" s="20"/>
      <c r="BL164" s="2"/>
      <c r="BM164" s="20"/>
      <c r="BN164" s="2"/>
      <c r="BO164" s="2"/>
      <c r="BP164" s="2"/>
      <c r="BQ164" s="2"/>
      <c r="BR164" s="125"/>
      <c r="BS164" s="2"/>
      <c r="BT164" s="2"/>
      <c r="BU164" s="125"/>
      <c r="BV164" s="125"/>
    </row>
    <row x14ac:dyDescent="0.25" r="165" customHeight="1" ht="18.75">
      <c r="A165" s="17"/>
      <c r="B165" s="1"/>
      <c r="C165" s="1"/>
      <c r="D165" s="1"/>
      <c r="E165" s="1"/>
      <c r="F165" s="1"/>
      <c r="G165" s="1"/>
      <c r="H165" s="1"/>
      <c r="I165" s="1"/>
      <c r="J165" s="1"/>
      <c r="K165" s="17"/>
      <c r="L165" s="1"/>
      <c r="M165" s="1"/>
      <c r="N165" s="1"/>
      <c r="O165" s="1"/>
      <c r="P165" s="17"/>
      <c r="Q165" s="1"/>
      <c r="R165" s="1"/>
      <c r="S165" s="1"/>
      <c r="T165" s="1"/>
      <c r="U165" s="1"/>
      <c r="V165" s="1"/>
      <c r="W165" s="1"/>
      <c r="X165" s="1"/>
      <c r="Y165" s="17"/>
      <c r="Z165" s="40"/>
      <c r="AA165" s="17"/>
      <c r="AB165" s="40"/>
      <c r="AC165" s="17"/>
      <c r="AD165" s="40"/>
      <c r="AE165" s="1"/>
      <c r="AF165" s="1"/>
      <c r="AG165" s="1"/>
      <c r="AH165" s="1"/>
      <c r="AI165" s="38"/>
      <c r="AJ165" s="38"/>
      <c r="AK165" s="38"/>
      <c r="AL165" s="38"/>
      <c r="AM165" s="38"/>
      <c r="AN165" s="38"/>
      <c r="AO165" s="38"/>
      <c r="AP165" s="38"/>
      <c r="AQ165" s="38"/>
      <c r="AR165" s="38"/>
      <c r="AS165" s="38"/>
      <c r="AT165" s="38"/>
      <c r="AU165" s="38"/>
      <c r="AV165" s="38"/>
      <c r="AW165" s="38"/>
      <c r="AX165" s="38"/>
      <c r="AY165" s="38"/>
      <c r="AZ165" s="38"/>
      <c r="BA165" s="38"/>
      <c r="BB165" s="38"/>
      <c r="BC165" s="38"/>
      <c r="BD165" s="38"/>
      <c r="BE165" s="38"/>
      <c r="BF165" s="38"/>
      <c r="BG165" s="1"/>
      <c r="BH165" s="1"/>
      <c r="BI165" s="1"/>
      <c r="BJ165" s="1"/>
      <c r="BK165" s="17"/>
      <c r="BL165" s="1"/>
      <c r="BM165" s="17"/>
      <c r="BN165" s="1"/>
      <c r="BO165" s="1"/>
      <c r="BP165" s="1"/>
      <c r="BQ165" s="1"/>
      <c r="BR165" s="40"/>
      <c r="BS165" s="1"/>
      <c r="BT165" s="1"/>
      <c r="BU165" s="40"/>
      <c r="BV165" s="40"/>
    </row>
    <row x14ac:dyDescent="0.25" r="166" customHeight="1" ht="18.75" customFormat="1" s="18">
      <c r="A166" s="20"/>
      <c r="B166" s="2"/>
      <c r="C166" s="2"/>
      <c r="D166" s="2"/>
      <c r="E166" s="2"/>
      <c r="F166" s="2"/>
      <c r="G166" s="2"/>
      <c r="H166" s="2"/>
      <c r="I166" s="2"/>
      <c r="J166" s="2"/>
      <c r="K166" s="20"/>
      <c r="L166" s="2"/>
      <c r="M166" s="2"/>
      <c r="N166" s="2"/>
      <c r="O166" s="2"/>
      <c r="P166" s="20"/>
      <c r="Q166" s="2"/>
      <c r="R166" s="2"/>
      <c r="S166" s="2"/>
      <c r="T166" s="2"/>
      <c r="U166" s="2"/>
      <c r="V166" s="2"/>
      <c r="W166" s="2"/>
      <c r="X166" s="2"/>
      <c r="Y166" s="20"/>
      <c r="Z166" s="125"/>
      <c r="AA166" s="20"/>
      <c r="AB166" s="125"/>
      <c r="AC166" s="20"/>
      <c r="AD166" s="125"/>
      <c r="AE166" s="2"/>
      <c r="AF166" s="2"/>
      <c r="AG166" s="2"/>
      <c r="AH166" s="2"/>
      <c r="AI166" s="124"/>
      <c r="AJ166" s="124"/>
      <c r="AK166" s="124"/>
      <c r="AL166" s="124"/>
      <c r="AM166" s="124"/>
      <c r="AN166" s="124"/>
      <c r="AO166" s="394"/>
      <c r="AP166" s="124"/>
      <c r="AQ166" s="124"/>
      <c r="AR166" s="124"/>
      <c r="AS166" s="124"/>
      <c r="AT166" s="124"/>
      <c r="AU166" s="124"/>
      <c r="AV166" s="124"/>
      <c r="AW166" s="124"/>
      <c r="AX166" s="124"/>
      <c r="AY166" s="124"/>
      <c r="AZ166" s="124"/>
      <c r="BA166" s="124"/>
      <c r="BB166" s="124"/>
      <c r="BC166" s="124"/>
      <c r="BD166" s="124"/>
      <c r="BE166" s="124"/>
      <c r="BF166" s="124"/>
      <c r="BG166" s="2"/>
      <c r="BH166" s="2"/>
      <c r="BI166" s="2"/>
      <c r="BJ166" s="2"/>
      <c r="BK166" s="20"/>
      <c r="BL166" s="2"/>
      <c r="BM166" s="20"/>
      <c r="BN166" s="2"/>
      <c r="BO166" s="2"/>
      <c r="BP166" s="2"/>
      <c r="BQ166" s="2"/>
      <c r="BR166" s="125"/>
      <c r="BS166" s="2"/>
      <c r="BT166" s="2"/>
      <c r="BU166" s="125"/>
      <c r="BV166" s="125"/>
    </row>
    <row x14ac:dyDescent="0.25" r="167" customHeight="1" ht="18.75">
      <c r="A167" s="17"/>
      <c r="B167" s="1"/>
      <c r="C167" s="1"/>
      <c r="D167" s="1"/>
      <c r="E167" s="1"/>
      <c r="F167" s="1"/>
      <c r="G167" s="1"/>
      <c r="H167" s="1"/>
      <c r="I167" s="1"/>
      <c r="J167" s="1"/>
      <c r="K167" s="17"/>
      <c r="L167" s="1"/>
      <c r="M167" s="1"/>
      <c r="N167" s="1"/>
      <c r="O167" s="1"/>
      <c r="P167" s="17"/>
      <c r="Q167" s="1"/>
      <c r="R167" s="1"/>
      <c r="S167" s="1"/>
      <c r="T167" s="1"/>
      <c r="U167" s="1"/>
      <c r="V167" s="1"/>
      <c r="W167" s="1"/>
      <c r="X167" s="1"/>
      <c r="Y167" s="17"/>
      <c r="Z167" s="40"/>
      <c r="AA167" s="17"/>
      <c r="AB167" s="40"/>
      <c r="AC167" s="17"/>
      <c r="AD167" s="40"/>
      <c r="AE167" s="1"/>
      <c r="AF167" s="1"/>
      <c r="AG167" s="1"/>
      <c r="AH167" s="1"/>
      <c r="AI167" s="38"/>
      <c r="AJ167" s="38"/>
      <c r="AK167" s="38"/>
      <c r="AL167" s="38"/>
      <c r="AM167" s="38"/>
      <c r="AN167" s="38"/>
      <c r="AO167" s="38"/>
      <c r="AP167" s="69"/>
      <c r="AQ167" s="394"/>
      <c r="AR167" s="38"/>
      <c r="AS167" s="38"/>
      <c r="AT167" s="38"/>
      <c r="AU167" s="38"/>
      <c r="AV167" s="38"/>
      <c r="AW167" s="38"/>
      <c r="AX167" s="38"/>
      <c r="AY167" s="38"/>
      <c r="AZ167" s="38"/>
      <c r="BA167" s="38"/>
      <c r="BB167" s="38"/>
      <c r="BC167" s="38"/>
      <c r="BD167" s="38"/>
      <c r="BE167" s="38"/>
      <c r="BF167" s="38"/>
      <c r="BG167" s="1"/>
      <c r="BH167" s="1"/>
      <c r="BI167" s="1"/>
      <c r="BJ167" s="1"/>
      <c r="BK167" s="17"/>
      <c r="BL167" s="1"/>
      <c r="BM167" s="17"/>
      <c r="BN167" s="1"/>
      <c r="BO167" s="1"/>
      <c r="BP167" s="1"/>
      <c r="BQ167" s="1"/>
      <c r="BR167" s="40"/>
      <c r="BS167" s="1"/>
      <c r="BT167" s="1"/>
      <c r="BU167" s="40"/>
      <c r="BV167" s="40"/>
    </row>
    <row x14ac:dyDescent="0.25" r="168" customHeight="1" ht="18.75" customFormat="1" s="18">
      <c r="A168" s="20"/>
      <c r="B168" s="2"/>
      <c r="C168" s="2"/>
      <c r="D168" s="2"/>
      <c r="E168" s="2"/>
      <c r="F168" s="2"/>
      <c r="G168" s="2"/>
      <c r="H168" s="2"/>
      <c r="I168" s="2"/>
      <c r="J168" s="2"/>
      <c r="K168" s="20"/>
      <c r="L168" s="2"/>
      <c r="M168" s="2"/>
      <c r="N168" s="2"/>
      <c r="O168" s="2"/>
      <c r="P168" s="20"/>
      <c r="Q168" s="2"/>
      <c r="R168" s="2"/>
      <c r="S168" s="2"/>
      <c r="T168" s="2"/>
      <c r="U168" s="2"/>
      <c r="V168" s="2"/>
      <c r="W168" s="2"/>
      <c r="X168" s="2"/>
      <c r="Y168" s="20"/>
      <c r="Z168" s="125"/>
      <c r="AA168" s="20"/>
      <c r="AB168" s="125"/>
      <c r="AC168" s="20"/>
      <c r="AD168" s="125"/>
      <c r="AE168" s="2"/>
      <c r="AF168" s="2"/>
      <c r="AG168" s="2"/>
      <c r="AH168" s="2"/>
      <c r="AI168" s="124"/>
      <c r="AJ168" s="124"/>
      <c r="AK168" s="124"/>
      <c r="AL168" s="124"/>
      <c r="AM168" s="124"/>
      <c r="AN168" s="124"/>
      <c r="AO168" s="124"/>
      <c r="AP168" s="124"/>
      <c r="AQ168" s="124"/>
      <c r="AR168" s="394"/>
      <c r="AS168" s="124"/>
      <c r="AT168" s="124"/>
      <c r="AU168" s="124"/>
      <c r="AV168" s="124"/>
      <c r="AW168" s="124"/>
      <c r="AX168" s="124"/>
      <c r="AY168" s="124"/>
      <c r="AZ168" s="124"/>
      <c r="BA168" s="124"/>
      <c r="BB168" s="124"/>
      <c r="BC168" s="124"/>
      <c r="BD168" s="124"/>
      <c r="BE168" s="124"/>
      <c r="BF168" s="124"/>
      <c r="BG168" s="2"/>
      <c r="BH168" s="2"/>
      <c r="BI168" s="2"/>
      <c r="BJ168" s="2"/>
      <c r="BK168" s="20"/>
      <c r="BL168" s="2"/>
      <c r="BM168" s="20"/>
      <c r="BN168" s="2"/>
      <c r="BO168" s="2"/>
      <c r="BP168" s="2"/>
      <c r="BQ168" s="2"/>
      <c r="BR168" s="125"/>
      <c r="BS168" s="2"/>
      <c r="BT168" s="2"/>
      <c r="BU168" s="125"/>
      <c r="BV168" s="125"/>
    </row>
    <row x14ac:dyDescent="0.25" r="169" customHeight="1" ht="18.75">
      <c r="A169" s="17"/>
      <c r="B169" s="1"/>
      <c r="C169" s="1"/>
      <c r="D169" s="1"/>
      <c r="E169" s="1"/>
      <c r="F169" s="1"/>
      <c r="G169" s="1"/>
      <c r="H169" s="1"/>
      <c r="I169" s="1"/>
      <c r="J169" s="1"/>
      <c r="K169" s="17"/>
      <c r="L169" s="1"/>
      <c r="M169" s="1"/>
      <c r="N169" s="1"/>
      <c r="O169" s="1"/>
      <c r="P169" s="17"/>
      <c r="Q169" s="1"/>
      <c r="R169" s="1"/>
      <c r="S169" s="1"/>
      <c r="T169" s="1"/>
      <c r="U169" s="1"/>
      <c r="V169" s="1"/>
      <c r="W169" s="1"/>
      <c r="X169" s="1"/>
      <c r="Y169" s="17"/>
      <c r="Z169" s="40"/>
      <c r="AA169" s="17"/>
      <c r="AB169" s="40"/>
      <c r="AC169" s="17"/>
      <c r="AD169" s="40"/>
      <c r="AE169" s="1"/>
      <c r="AF169" s="1"/>
      <c r="AG169" s="1"/>
      <c r="AH169" s="1"/>
      <c r="AI169" s="69"/>
      <c r="AJ169" s="69"/>
      <c r="AK169" s="69"/>
      <c r="AL169" s="69"/>
      <c r="AM169" s="69"/>
      <c r="AN169" s="69"/>
      <c r="AO169" s="69"/>
      <c r="AP169" s="69"/>
      <c r="AQ169" s="69"/>
      <c r="AR169" s="69"/>
      <c r="AS169" s="69"/>
      <c r="AT169" s="69"/>
      <c r="AU169" s="69"/>
      <c r="AV169" s="38"/>
      <c r="AW169" s="38"/>
      <c r="AX169" s="38"/>
      <c r="AY169" s="38"/>
      <c r="AZ169" s="38"/>
      <c r="BA169" s="38"/>
      <c r="BB169" s="38"/>
      <c r="BC169" s="38"/>
      <c r="BD169" s="38"/>
      <c r="BE169" s="38"/>
      <c r="BF169" s="38"/>
      <c r="BG169" s="1"/>
      <c r="BH169" s="1"/>
      <c r="BI169" s="1"/>
      <c r="BJ169" s="1"/>
      <c r="BK169" s="17"/>
      <c r="BL169" s="1"/>
      <c r="BM169" s="17"/>
      <c r="BN169" s="1"/>
      <c r="BO169" s="1"/>
      <c r="BP169" s="1"/>
      <c r="BQ169" s="1"/>
      <c r="BR169" s="40"/>
      <c r="BS169" s="1"/>
      <c r="BT169" s="1"/>
      <c r="BU169" s="40"/>
      <c r="BV169" s="40"/>
    </row>
  </sheetData>
  <mergeCells count="2">
    <mergeCell ref="L12:L16"/>
    <mergeCell ref="M12:O16"/>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R18"/>
  <sheetViews>
    <sheetView workbookViewId="0"/>
  </sheetViews>
  <sheetFormatPr defaultRowHeight="15" x14ac:dyDescent="0.25"/>
  <cols>
    <col min="1" max="1" style="15" width="9.43357142857143" customWidth="1" bestFit="1"/>
    <col min="2" max="2" style="15" width="18.576428571428572" customWidth="1" bestFit="1"/>
    <col min="3" max="3" style="300" width="16.576428571428572" customWidth="1" bestFit="1"/>
    <col min="4" max="4" style="15" width="18.862142857142857" customWidth="1" bestFit="1"/>
    <col min="5" max="5" style="300" width="18.862142857142857" customWidth="1" bestFit="1"/>
    <col min="6" max="6" style="15" width="13.576428571428572" customWidth="1" bestFit="1"/>
    <col min="7" max="7" style="15" width="16.576428571428572" customWidth="1" bestFit="1"/>
    <col min="8" max="8" style="15" width="13.576428571428572" customWidth="1" bestFit="1"/>
    <col min="9" max="9" style="15" width="13.576428571428572" customWidth="1" bestFit="1"/>
    <col min="10" max="10" style="15" width="13.576428571428572" customWidth="1" bestFit="1"/>
    <col min="11" max="11" style="15" width="13.576428571428572" customWidth="1" bestFit="1"/>
    <col min="12" max="12" style="15" width="13.576428571428572" customWidth="1" bestFit="1"/>
    <col min="13" max="13" style="15" width="13.576428571428572" customWidth="1" bestFit="1"/>
    <col min="14" max="14" style="15" width="12.290714285714287" customWidth="1" bestFit="1"/>
    <col min="15" max="15" style="15" width="9.43357142857143" customWidth="1" bestFit="1"/>
    <col min="16" max="16" style="16" width="19.576428571428572" customWidth="1" bestFit="1"/>
    <col min="17" max="17" style="15" width="16.433571428571426" customWidth="1" bestFit="1"/>
    <col min="18" max="18" style="126" width="8.147857142857141" customWidth="1" bestFit="1"/>
  </cols>
  <sheetData>
    <row x14ac:dyDescent="0.25" r="1" customHeight="1" ht="18.75" customFormat="1" s="18">
      <c r="A1" s="345" t="s">
        <v>39002</v>
      </c>
      <c r="B1" s="2" t="s">
        <v>41353</v>
      </c>
      <c r="C1" s="346" t="s">
        <v>41354</v>
      </c>
      <c r="D1" s="2"/>
      <c r="E1" s="346" t="s">
        <v>41355</v>
      </c>
      <c r="F1" s="2"/>
      <c r="G1" s="2"/>
      <c r="H1" s="2"/>
      <c r="I1" s="2"/>
      <c r="J1" s="2"/>
      <c r="K1" s="2"/>
      <c r="L1" s="2"/>
      <c r="M1" s="2"/>
      <c r="N1" s="2"/>
      <c r="O1" s="2"/>
      <c r="P1" s="2"/>
      <c r="Q1" s="2"/>
      <c r="R1" s="124"/>
    </row>
    <row x14ac:dyDescent="0.25" r="2" customHeight="1" ht="18.75">
      <c r="A2" s="347" t="s">
        <v>39932</v>
      </c>
      <c r="B2" s="301">
        <f>SUMIF([2]CONSOLIDADA!G:W,#REF!,[2]CONSOLIDADA!W:W)*1000</f>
      </c>
      <c r="C2" s="117">
        <v>2750000</v>
      </c>
      <c r="D2" s="1"/>
      <c r="E2" s="117">
        <v>21608230</v>
      </c>
      <c r="F2" s="1"/>
      <c r="G2" s="301">
        <f>B2-E2</f>
      </c>
      <c r="H2" s="1"/>
      <c r="I2" s="1"/>
      <c r="J2" s="1"/>
      <c r="K2" s="1"/>
      <c r="L2" s="1"/>
      <c r="M2" s="1"/>
      <c r="N2" s="347" t="s">
        <v>41289</v>
      </c>
      <c r="O2" s="347" t="s">
        <v>39949</v>
      </c>
      <c r="P2" s="348" t="s">
        <v>40341</v>
      </c>
      <c r="Q2" s="349" t="s">
        <v>39969</v>
      </c>
      <c r="R2" s="350">
        <v>200</v>
      </c>
    </row>
    <row x14ac:dyDescent="0.25" r="3" customHeight="1" ht="18.75">
      <c r="A3" s="347" t="s">
        <v>39949</v>
      </c>
      <c r="B3" s="301">
        <f>SUMIF([2]CONSOLIDADA!G:W,#REF!,[2]CONSOLIDADA!W:W)*1000</f>
      </c>
      <c r="C3" s="117">
        <v>200000</v>
      </c>
      <c r="D3" s="1"/>
      <c r="E3" s="117">
        <v>20589080</v>
      </c>
      <c r="F3" s="1"/>
      <c r="G3" s="301">
        <f>B3-E3</f>
      </c>
      <c r="H3" s="1"/>
      <c r="I3" s="1"/>
      <c r="J3" s="1"/>
      <c r="K3" s="1"/>
      <c r="L3" s="1"/>
      <c r="M3" s="1"/>
      <c r="N3" s="351" t="s">
        <v>41252</v>
      </c>
      <c r="O3" s="351" t="s">
        <v>39932</v>
      </c>
      <c r="P3" s="352" t="s">
        <v>40011</v>
      </c>
      <c r="Q3" s="34" t="s">
        <v>39969</v>
      </c>
      <c r="R3" s="353">
        <v>500</v>
      </c>
    </row>
    <row x14ac:dyDescent="0.25" r="4" customHeight="1" ht="18.75">
      <c r="A4" s="351" t="s">
        <v>39942</v>
      </c>
      <c r="B4" s="301">
        <f>SUMIF([2]CONSOLIDADA!G:W,#REF!,[2]CONSOLIDADA!W:W)*1000</f>
      </c>
      <c r="C4" s="117"/>
      <c r="D4" s="1"/>
      <c r="E4" s="117">
        <v>4000000</v>
      </c>
      <c r="F4" s="1"/>
      <c r="G4" s="301">
        <f>B4-E4</f>
      </c>
      <c r="H4" s="1"/>
      <c r="I4" s="1"/>
      <c r="J4" s="1"/>
      <c r="K4" s="1"/>
      <c r="L4" s="1"/>
      <c r="M4" s="1"/>
      <c r="N4" s="347" t="s">
        <v>41253</v>
      </c>
      <c r="O4" s="347" t="s">
        <v>41153</v>
      </c>
      <c r="P4" s="348" t="s">
        <v>40016</v>
      </c>
      <c r="Q4" s="349" t="s">
        <v>39998</v>
      </c>
      <c r="R4" s="350">
        <v>2262</v>
      </c>
    </row>
    <row x14ac:dyDescent="0.25" r="5" customHeight="1" ht="18.75">
      <c r="A5" s="351" t="s">
        <v>40323</v>
      </c>
      <c r="B5" s="301">
        <f>SUMIF([2]CONSOLIDADA!G:W,#REF!,[2]CONSOLIDADA!W:W)*1000</f>
      </c>
      <c r="C5" s="117"/>
      <c r="D5" s="1"/>
      <c r="E5" s="117">
        <v>450000</v>
      </c>
      <c r="F5" s="1"/>
      <c r="G5" s="301">
        <f>B5-E5</f>
      </c>
      <c r="H5" s="1"/>
      <c r="I5" s="1"/>
      <c r="J5" s="1"/>
      <c r="K5" s="1"/>
      <c r="L5" s="1"/>
      <c r="M5" s="1"/>
      <c r="N5" s="351" t="s">
        <v>41304</v>
      </c>
      <c r="O5" s="351" t="s">
        <v>39932</v>
      </c>
      <c r="P5" s="352" t="s">
        <v>40329</v>
      </c>
      <c r="Q5" s="34" t="s">
        <v>39945</v>
      </c>
      <c r="R5" s="353">
        <v>300</v>
      </c>
    </row>
    <row x14ac:dyDescent="0.25" r="6" customHeight="1" ht="18.75">
      <c r="A6" s="347" t="s">
        <v>39909</v>
      </c>
      <c r="B6" s="301">
        <f>SUMIF([2]CONSOLIDADA!G:W,#REF!,[2]CONSOLIDADA!W:W)*1000</f>
      </c>
      <c r="C6" s="117"/>
      <c r="D6" s="1"/>
      <c r="E6" s="117">
        <v>149463999</v>
      </c>
      <c r="F6" s="1"/>
      <c r="G6" s="301">
        <f>B6-E6</f>
      </c>
      <c r="H6" s="1"/>
      <c r="I6" s="1"/>
      <c r="J6" s="1"/>
      <c r="K6" s="1"/>
      <c r="L6" s="1"/>
      <c r="M6" s="1"/>
      <c r="N6" s="347" t="s">
        <v>41282</v>
      </c>
      <c r="O6" s="347" t="s">
        <v>39932</v>
      </c>
      <c r="P6" s="348" t="s">
        <v>40033</v>
      </c>
      <c r="Q6" s="349" t="s">
        <v>39912</v>
      </c>
      <c r="R6" s="350">
        <v>1000</v>
      </c>
    </row>
    <row x14ac:dyDescent="0.25" r="7" customHeight="1" ht="18.75">
      <c r="A7" s="351" t="s">
        <v>39917</v>
      </c>
      <c r="B7" s="301">
        <f>SUMIF([2]CONSOLIDADA!G:W,#REF!,[2]CONSOLIDADA!W:W)*1000</f>
      </c>
      <c r="C7" s="117"/>
      <c r="D7" s="1"/>
      <c r="E7" s="117">
        <v>38800452</v>
      </c>
      <c r="F7" s="1"/>
      <c r="G7" s="301">
        <f>B7-E7</f>
      </c>
      <c r="H7" s="1"/>
      <c r="I7" s="1"/>
      <c r="J7" s="1"/>
      <c r="K7" s="1"/>
      <c r="L7" s="1"/>
      <c r="M7" s="1"/>
      <c r="N7" s="351" t="s">
        <v>41287</v>
      </c>
      <c r="O7" s="351" t="s">
        <v>39932</v>
      </c>
      <c r="P7" s="352" t="s">
        <v>40225</v>
      </c>
      <c r="Q7" s="34" t="s">
        <v>39912</v>
      </c>
      <c r="R7" s="353">
        <v>350</v>
      </c>
    </row>
    <row x14ac:dyDescent="0.25" r="8" customHeight="1" ht="18.75">
      <c r="A8" s="347" t="s">
        <v>39938</v>
      </c>
      <c r="B8" s="301">
        <f>SUMIF([2]CONSOLIDADA!G:W,#REF!,[2]CONSOLIDADA!W:W)*1000</f>
      </c>
      <c r="C8" s="117"/>
      <c r="D8" s="1"/>
      <c r="E8" s="117">
        <v>40258201</v>
      </c>
      <c r="F8" s="1"/>
      <c r="G8" s="301">
        <f>B8-E8</f>
      </c>
      <c r="H8" s="1"/>
      <c r="I8" s="1"/>
      <c r="J8" s="1"/>
      <c r="K8" s="1"/>
      <c r="L8" s="1"/>
      <c r="M8" s="1"/>
      <c r="N8" s="347" t="s">
        <v>41295</v>
      </c>
      <c r="O8" s="347" t="s">
        <v>39932</v>
      </c>
      <c r="P8" s="348" t="s">
        <v>40175</v>
      </c>
      <c r="Q8" s="349" t="s">
        <v>39912</v>
      </c>
      <c r="R8" s="350">
        <v>250</v>
      </c>
    </row>
    <row x14ac:dyDescent="0.25" r="9" customHeight="1" ht="18.75">
      <c r="A9" s="351" t="s">
        <v>39985</v>
      </c>
      <c r="B9" s="301">
        <f>SUMIF([2]CONSOLIDADA!G:W,#REF!,[2]CONSOLIDADA!W:W)*1000</f>
      </c>
      <c r="C9" s="117"/>
      <c r="D9" s="1"/>
      <c r="E9" s="117">
        <v>10000000</v>
      </c>
      <c r="F9" s="1"/>
      <c r="G9" s="301">
        <f>B9-E9</f>
      </c>
      <c r="H9" s="1"/>
      <c r="I9" s="1"/>
      <c r="J9" s="1"/>
      <c r="K9" s="1"/>
      <c r="L9" s="1"/>
      <c r="M9" s="1"/>
      <c r="N9" s="351" t="s">
        <v>41297</v>
      </c>
      <c r="O9" s="351" t="s">
        <v>39932</v>
      </c>
      <c r="P9" s="352" t="s">
        <v>40175</v>
      </c>
      <c r="Q9" s="34" t="s">
        <v>39912</v>
      </c>
      <c r="R9" s="353">
        <v>200</v>
      </c>
    </row>
    <row x14ac:dyDescent="0.25" r="10" customHeight="1" ht="18.75">
      <c r="A10" s="347" t="s">
        <v>39980</v>
      </c>
      <c r="B10" s="301">
        <f>SUMIF([2]CONSOLIDADA!G:W,#REF!,[2]CONSOLIDADA!W:W)*1000</f>
      </c>
      <c r="C10" s="117"/>
      <c r="D10" s="1"/>
      <c r="E10" s="117">
        <v>8500000</v>
      </c>
      <c r="F10" s="1"/>
      <c r="G10" s="301">
        <f>B10-E10</f>
      </c>
      <c r="H10" s="1"/>
      <c r="I10" s="1"/>
      <c r="J10" s="1"/>
      <c r="K10" s="1"/>
      <c r="L10" s="1"/>
      <c r="M10" s="1"/>
      <c r="N10" s="354" t="s">
        <v>41300</v>
      </c>
      <c r="O10" s="354" t="s">
        <v>39932</v>
      </c>
      <c r="P10" s="355" t="s">
        <v>40175</v>
      </c>
      <c r="Q10" s="356" t="s">
        <v>39912</v>
      </c>
      <c r="R10" s="357">
        <v>150</v>
      </c>
    </row>
    <row x14ac:dyDescent="0.25" r="11" customHeight="1" ht="18.75">
      <c r="A11" s="347" t="s">
        <v>41153</v>
      </c>
      <c r="B11" s="301">
        <f>SUMIF([2]CONSOLIDADA!G:W,#REF!,[2]CONSOLIDADA!W:W)*1000</f>
      </c>
      <c r="C11" s="117">
        <v>2262000</v>
      </c>
      <c r="D11" s="1"/>
      <c r="E11" s="117">
        <v>1003000</v>
      </c>
      <c r="F11" s="1"/>
      <c r="G11" s="301">
        <f>B11-E11</f>
      </c>
      <c r="H11" s="1"/>
      <c r="I11" s="1"/>
      <c r="J11" s="1"/>
      <c r="K11" s="1"/>
      <c r="L11" s="1"/>
      <c r="M11" s="1"/>
      <c r="N11" s="1"/>
      <c r="O11" s="1"/>
      <c r="P11" s="2"/>
      <c r="Q11" s="1"/>
      <c r="R11" s="38"/>
    </row>
    <row x14ac:dyDescent="0.25" r="12" customHeight="1" ht="18.75">
      <c r="A12" s="351" t="s">
        <v>40073</v>
      </c>
      <c r="B12" s="301">
        <f>SUMIF([2]CONSOLIDADA!G:W,#REF!,[2]CONSOLIDADA!W:W)*1000</f>
      </c>
      <c r="C12" s="117"/>
      <c r="D12" s="1"/>
      <c r="E12" s="117">
        <v>1800000</v>
      </c>
      <c r="F12" s="1"/>
      <c r="G12" s="301">
        <f>B12-E12</f>
      </c>
      <c r="H12" s="1"/>
      <c r="I12" s="1"/>
      <c r="J12" s="1"/>
      <c r="K12" s="1"/>
      <c r="L12" s="1"/>
      <c r="M12" s="1"/>
      <c r="N12" s="1"/>
      <c r="O12" s="1"/>
      <c r="P12" s="2"/>
      <c r="Q12" s="1"/>
      <c r="R12" s="38"/>
    </row>
    <row x14ac:dyDescent="0.25" r="13" customHeight="1" ht="18.75">
      <c r="A13" s="351" t="s">
        <v>40181</v>
      </c>
      <c r="B13" s="301">
        <f>SUMIF([2]CONSOLIDADA!G:W,#REF!,[2]CONSOLIDADA!W:W)*1000</f>
      </c>
      <c r="C13" s="117"/>
      <c r="D13" s="1"/>
      <c r="E13" s="117">
        <v>1500000</v>
      </c>
      <c r="F13" s="1"/>
      <c r="G13" s="301">
        <f>B13-E13</f>
      </c>
      <c r="H13" s="1"/>
      <c r="I13" s="1"/>
      <c r="J13" s="1"/>
      <c r="K13" s="1"/>
      <c r="L13" s="1"/>
      <c r="M13" s="1"/>
      <c r="N13" s="1"/>
      <c r="O13" s="1"/>
      <c r="P13" s="2"/>
      <c r="Q13" s="1"/>
      <c r="R13" s="38"/>
    </row>
    <row x14ac:dyDescent="0.25" r="14" customHeight="1" ht="18.75">
      <c r="A14" s="351" t="s">
        <v>40164</v>
      </c>
      <c r="B14" s="301">
        <f>SUMIF([2]CONSOLIDADA!G:W,#REF!,[2]CONSOLIDADA!W:W)*1000</f>
      </c>
      <c r="C14" s="117"/>
      <c r="D14" s="1"/>
      <c r="E14" s="117">
        <v>1000000</v>
      </c>
      <c r="F14" s="1"/>
      <c r="G14" s="301">
        <f>B14-E14</f>
      </c>
      <c r="H14" s="1"/>
      <c r="I14" s="1"/>
      <c r="J14" s="1"/>
      <c r="K14" s="1"/>
      <c r="L14" s="1"/>
      <c r="M14" s="1"/>
      <c r="N14" s="1"/>
      <c r="O14" s="1"/>
      <c r="P14" s="2"/>
      <c r="Q14" s="1"/>
      <c r="R14" s="38"/>
    </row>
    <row x14ac:dyDescent="0.25" r="15" customHeight="1" ht="18.75">
      <c r="A15" s="347" t="s">
        <v>40246</v>
      </c>
      <c r="B15" s="301">
        <f>SUMIF([2]CONSOLIDADA!G:W,#REF!,[2]CONSOLIDADA!W:W)*1000</f>
      </c>
      <c r="C15" s="117"/>
      <c r="D15" s="1"/>
      <c r="E15" s="117">
        <v>500000</v>
      </c>
      <c r="F15" s="1"/>
      <c r="G15" s="301">
        <f>B15-E15</f>
      </c>
      <c r="H15" s="1"/>
      <c r="I15" s="1"/>
      <c r="J15" s="1"/>
      <c r="K15" s="1"/>
      <c r="L15" s="1"/>
      <c r="M15" s="1"/>
      <c r="N15" s="1"/>
      <c r="O15" s="1"/>
      <c r="P15" s="2"/>
      <c r="Q15" s="1"/>
      <c r="R15" s="38"/>
    </row>
    <row x14ac:dyDescent="0.25" r="16" customHeight="1" ht="18.75">
      <c r="A16" s="351" t="s">
        <v>40242</v>
      </c>
      <c r="B16" s="301">
        <f>SUMIF([2]CONSOLIDADA!G:W,#REF!,[2]CONSOLIDADA!W:W)*1000</f>
      </c>
      <c r="C16" s="117"/>
      <c r="D16" s="1"/>
      <c r="E16" s="117">
        <v>500000</v>
      </c>
      <c r="F16" s="1"/>
      <c r="G16" s="301">
        <f>B16-E16</f>
      </c>
      <c r="H16" s="1"/>
      <c r="I16" s="1"/>
      <c r="J16" s="1"/>
      <c r="K16" s="1"/>
      <c r="L16" s="1"/>
      <c r="M16" s="1"/>
      <c r="N16" s="1"/>
      <c r="O16" s="1"/>
      <c r="P16" s="2"/>
      <c r="Q16" s="1"/>
      <c r="R16" s="38"/>
    </row>
    <row x14ac:dyDescent="0.25" r="17" customHeight="1" ht="18.75">
      <c r="A17" s="347" t="s">
        <v>40068</v>
      </c>
      <c r="B17" s="301">
        <f>SUMIF([2]CONSOLIDADA!G:W,#REF!,[2]CONSOLIDADA!W:W)*1000</f>
      </c>
      <c r="C17" s="117"/>
      <c r="D17" s="1"/>
      <c r="E17" s="117">
        <v>0</v>
      </c>
      <c r="F17" s="1"/>
      <c r="G17" s="301">
        <f>B17-E17</f>
      </c>
      <c r="H17" s="1"/>
      <c r="I17" s="1"/>
      <c r="J17" s="1"/>
      <c r="K17" s="1"/>
      <c r="L17" s="1"/>
      <c r="M17" s="1"/>
      <c r="N17" s="1"/>
      <c r="O17" s="1"/>
      <c r="P17" s="2"/>
      <c r="Q17" s="1"/>
      <c r="R17" s="38"/>
    </row>
    <row x14ac:dyDescent="0.25" r="18" customHeight="1" ht="18.75">
      <c r="A18" s="1"/>
      <c r="B18" s="301">
        <f>SUM(B1:B17)</f>
      </c>
      <c r="C18" s="117">
        <f>SUM(C2:C17)</f>
      </c>
      <c r="D18" s="301">
        <f>B18-C18</f>
      </c>
      <c r="E18" s="358">
        <f>SUM(E2:E17)</f>
      </c>
      <c r="F18" s="301">
        <f>E18-D18</f>
      </c>
      <c r="G18" s="301">
        <f>B18-E18</f>
      </c>
      <c r="H18" s="1"/>
      <c r="I18" s="1"/>
      <c r="J18" s="1"/>
      <c r="K18" s="1"/>
      <c r="L18" s="1"/>
      <c r="M18" s="1"/>
      <c r="N18" s="1"/>
      <c r="O18" s="1"/>
      <c r="P18" s="2"/>
      <c r="Q18" s="1"/>
      <c r="R18" s="3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145"/>
  <sheetViews>
    <sheetView workbookViewId="0"/>
  </sheetViews>
  <sheetFormatPr defaultRowHeight="15" x14ac:dyDescent="0.25"/>
  <cols>
    <col min="1" max="1" style="23" width="10.862142857142858" customWidth="1" bestFit="1"/>
    <col min="2" max="2" style="23" width="12.147857142857141" customWidth="1" bestFit="1"/>
    <col min="3" max="3" style="15" width="16.719285714285714" customWidth="1" bestFit="1"/>
  </cols>
  <sheetData>
    <row x14ac:dyDescent="0.25" r="1" customHeight="1" ht="18.75" customFormat="1" s="18">
      <c r="A1" s="218" t="s">
        <v>41228</v>
      </c>
      <c r="B1" s="218" t="s">
        <v>41229</v>
      </c>
      <c r="C1" s="142" t="s">
        <v>41230</v>
      </c>
    </row>
    <row x14ac:dyDescent="0.25" r="2" customHeight="1" ht="18.75">
      <c r="A2" s="336">
        <v>4500080379</v>
      </c>
      <c r="B2" s="336"/>
      <c r="C2" s="342" t="s">
        <v>41231</v>
      </c>
    </row>
    <row x14ac:dyDescent="0.25" r="3" customHeight="1" ht="18.75">
      <c r="A3" s="336">
        <v>4500083678</v>
      </c>
      <c r="B3" s="336"/>
      <c r="C3" s="342" t="s">
        <v>41231</v>
      </c>
    </row>
    <row x14ac:dyDescent="0.25" r="4" customHeight="1" ht="18.75">
      <c r="A4" s="336">
        <v>4500092563</v>
      </c>
      <c r="B4" s="336">
        <v>4600002316</v>
      </c>
      <c r="C4" s="342" t="s">
        <v>41231</v>
      </c>
    </row>
    <row x14ac:dyDescent="0.25" r="5" customHeight="1" ht="18.75">
      <c r="A5" s="336">
        <v>4500083678</v>
      </c>
      <c r="B5" s="336"/>
      <c r="C5" s="342" t="s">
        <v>41231</v>
      </c>
    </row>
    <row x14ac:dyDescent="0.25" r="6" customHeight="1" ht="18.75">
      <c r="A6" s="336">
        <v>4500093709</v>
      </c>
      <c r="B6" s="336">
        <v>4600002745</v>
      </c>
      <c r="C6" s="342" t="s">
        <v>41232</v>
      </c>
    </row>
    <row x14ac:dyDescent="0.25" r="7" customHeight="1" ht="18.75">
      <c r="A7" s="336">
        <v>4500083678</v>
      </c>
      <c r="B7" s="336"/>
      <c r="C7" s="342" t="s">
        <v>41232</v>
      </c>
    </row>
    <row x14ac:dyDescent="0.25" r="8" customHeight="1" ht="18.75">
      <c r="A8" s="336">
        <v>4500080069</v>
      </c>
      <c r="B8" s="336"/>
      <c r="C8" s="342" t="s">
        <v>41233</v>
      </c>
    </row>
    <row x14ac:dyDescent="0.25" r="9" customHeight="1" ht="18.75">
      <c r="A9" s="336">
        <v>4500083678</v>
      </c>
      <c r="B9" s="336"/>
      <c r="C9" s="342" t="s">
        <v>41233</v>
      </c>
    </row>
    <row x14ac:dyDescent="0.25" r="10" customHeight="1" ht="18.75">
      <c r="A10" s="336"/>
      <c r="B10" s="336"/>
      <c r="C10" s="342" t="s">
        <v>41234</v>
      </c>
    </row>
    <row x14ac:dyDescent="0.25" r="11" customHeight="1" ht="18.75">
      <c r="A11" s="336"/>
      <c r="B11" s="336">
        <v>4600003254</v>
      </c>
      <c r="C11" s="342" t="s">
        <v>41235</v>
      </c>
    </row>
    <row x14ac:dyDescent="0.25" r="12" customHeight="1" ht="18.75">
      <c r="A12" s="336"/>
      <c r="B12" s="336"/>
      <c r="C12" s="342" t="s">
        <v>41236</v>
      </c>
    </row>
    <row x14ac:dyDescent="0.25" r="13" customHeight="1" ht="18.75">
      <c r="A13" s="336">
        <v>4500089266</v>
      </c>
      <c r="B13" s="336">
        <v>4600001891</v>
      </c>
      <c r="C13" s="342" t="s">
        <v>41237</v>
      </c>
    </row>
    <row x14ac:dyDescent="0.25" r="14" customHeight="1" ht="18.75">
      <c r="A14" s="336">
        <v>4500082946</v>
      </c>
      <c r="B14" s="336"/>
      <c r="C14" s="342" t="s">
        <v>41238</v>
      </c>
    </row>
    <row x14ac:dyDescent="0.25" r="15" customHeight="1" ht="18.75">
      <c r="A15" s="336"/>
      <c r="B15" s="336"/>
      <c r="C15" s="342" t="s">
        <v>41239</v>
      </c>
    </row>
    <row x14ac:dyDescent="0.25" r="16" customHeight="1" ht="18.75">
      <c r="A16" s="336"/>
      <c r="B16" s="336"/>
      <c r="C16" s="342" t="s">
        <v>41240</v>
      </c>
    </row>
    <row x14ac:dyDescent="0.25" r="17" customHeight="1" ht="18.75">
      <c r="A17" s="336"/>
      <c r="B17" s="336">
        <v>4600001776</v>
      </c>
      <c r="C17" s="342" t="s">
        <v>41241</v>
      </c>
    </row>
    <row x14ac:dyDescent="0.25" r="18" customHeight="1" ht="18.75">
      <c r="A18" s="336">
        <v>4500073938</v>
      </c>
      <c r="B18" s="336"/>
      <c r="C18" s="342" t="s">
        <v>41242</v>
      </c>
    </row>
    <row x14ac:dyDescent="0.25" r="19" customHeight="1" ht="18.75">
      <c r="A19" s="336">
        <v>4500078421</v>
      </c>
      <c r="B19" s="336"/>
      <c r="C19" s="342" t="s">
        <v>41242</v>
      </c>
    </row>
    <row x14ac:dyDescent="0.25" r="20" customHeight="1" ht="18.75">
      <c r="A20" s="336">
        <v>4500081780</v>
      </c>
      <c r="B20" s="336"/>
      <c r="C20" s="342" t="s">
        <v>41243</v>
      </c>
    </row>
    <row x14ac:dyDescent="0.25" r="21" customHeight="1" ht="18.75">
      <c r="A21" s="336"/>
      <c r="B21" s="336"/>
      <c r="C21" s="342" t="s">
        <v>41244</v>
      </c>
    </row>
    <row x14ac:dyDescent="0.25" r="22" customHeight="1" ht="18.75">
      <c r="A22" s="336">
        <v>4500083041</v>
      </c>
      <c r="B22" s="336"/>
      <c r="C22" s="342" t="s">
        <v>41245</v>
      </c>
    </row>
    <row x14ac:dyDescent="0.25" r="23" customHeight="1" ht="18.75">
      <c r="A23" s="336"/>
      <c r="B23" s="336"/>
      <c r="C23" s="342" t="s">
        <v>41246</v>
      </c>
    </row>
    <row x14ac:dyDescent="0.25" r="24" customHeight="1" ht="18.75">
      <c r="A24" s="336"/>
      <c r="B24" s="336"/>
      <c r="C24" s="342" t="s">
        <v>41247</v>
      </c>
    </row>
    <row x14ac:dyDescent="0.25" r="25" customHeight="1" ht="18.75">
      <c r="A25" s="336"/>
      <c r="B25" s="336"/>
      <c r="C25" s="342" t="s">
        <v>41248</v>
      </c>
    </row>
    <row x14ac:dyDescent="0.25" r="26" customHeight="1" ht="18.75">
      <c r="A26" s="336">
        <v>4500073892</v>
      </c>
      <c r="B26" s="336"/>
      <c r="C26" s="342" t="s">
        <v>41249</v>
      </c>
    </row>
    <row x14ac:dyDescent="0.25" r="27" customHeight="1" ht="18.75">
      <c r="A27" s="336">
        <v>4500063694</v>
      </c>
      <c r="B27" s="336"/>
      <c r="C27" s="342" t="s">
        <v>41250</v>
      </c>
    </row>
    <row x14ac:dyDescent="0.25" r="28" customHeight="1" ht="18.75">
      <c r="A28" s="336"/>
      <c r="B28" s="336"/>
      <c r="C28" s="342" t="s">
        <v>41251</v>
      </c>
    </row>
    <row x14ac:dyDescent="0.25" r="29" customHeight="1" ht="18.75">
      <c r="A29" s="336"/>
      <c r="B29" s="336"/>
      <c r="C29" s="342" t="s">
        <v>41252</v>
      </c>
    </row>
    <row x14ac:dyDescent="0.25" r="30" customHeight="1" ht="18.75">
      <c r="A30" s="336"/>
      <c r="B30" s="336"/>
      <c r="C30" s="342" t="s">
        <v>41253</v>
      </c>
    </row>
    <row x14ac:dyDescent="0.25" r="31" customHeight="1" ht="18.75">
      <c r="A31" s="336"/>
      <c r="B31" s="336"/>
      <c r="C31" s="342" t="s">
        <v>41254</v>
      </c>
    </row>
    <row x14ac:dyDescent="0.25" r="32" customHeight="1" ht="18.75">
      <c r="A32" s="336">
        <v>4500071331</v>
      </c>
      <c r="B32" s="336"/>
      <c r="C32" s="342" t="s">
        <v>41255</v>
      </c>
    </row>
    <row x14ac:dyDescent="0.25" r="33" customHeight="1" ht="18.75">
      <c r="A33" s="336">
        <v>4500084896</v>
      </c>
      <c r="B33" s="336"/>
      <c r="C33" s="342" t="s">
        <v>41256</v>
      </c>
    </row>
    <row x14ac:dyDescent="0.25" r="34" customHeight="1" ht="18.75">
      <c r="A34" s="336"/>
      <c r="B34" s="336"/>
      <c r="C34" s="342" t="s">
        <v>41257</v>
      </c>
    </row>
    <row x14ac:dyDescent="0.25" r="35" customHeight="1" ht="18.75">
      <c r="A35" s="336"/>
      <c r="B35" s="336"/>
      <c r="C35" s="342" t="s">
        <v>41258</v>
      </c>
    </row>
    <row x14ac:dyDescent="0.25" r="36" customHeight="1" ht="18.75">
      <c r="A36" s="336"/>
      <c r="B36" s="336"/>
      <c r="C36" s="342" t="s">
        <v>41259</v>
      </c>
    </row>
    <row x14ac:dyDescent="0.25" r="37" customHeight="1" ht="18.75">
      <c r="A37" s="343"/>
      <c r="B37" s="336"/>
      <c r="C37" s="342" t="s">
        <v>41260</v>
      </c>
    </row>
    <row x14ac:dyDescent="0.25" r="38" customHeight="1" ht="18.75">
      <c r="A38" s="336"/>
      <c r="B38" s="336"/>
      <c r="C38" s="342" t="s">
        <v>41261</v>
      </c>
    </row>
    <row x14ac:dyDescent="0.25" r="39" customHeight="1" ht="18.75">
      <c r="A39" s="336">
        <v>4500079784</v>
      </c>
      <c r="B39" s="336"/>
      <c r="C39" s="342" t="s">
        <v>41262</v>
      </c>
    </row>
    <row x14ac:dyDescent="0.25" r="40" customHeight="1" ht="18.75">
      <c r="A40" s="336">
        <v>4500086920</v>
      </c>
      <c r="B40" s="336"/>
      <c r="C40" s="342" t="s">
        <v>41263</v>
      </c>
    </row>
    <row x14ac:dyDescent="0.25" r="41" customHeight="1" ht="18.75">
      <c r="A41" s="336"/>
      <c r="B41" s="336"/>
      <c r="C41" s="342" t="s">
        <v>41264</v>
      </c>
    </row>
    <row x14ac:dyDescent="0.25" r="42" customHeight="1" ht="18.75">
      <c r="A42" s="336"/>
      <c r="B42" s="336"/>
      <c r="C42" s="342" t="s">
        <v>41265</v>
      </c>
    </row>
    <row x14ac:dyDescent="0.25" r="43" customHeight="1" ht="18.75">
      <c r="A43" s="336"/>
      <c r="B43" s="336"/>
      <c r="C43" s="342" t="s">
        <v>41266</v>
      </c>
    </row>
    <row x14ac:dyDescent="0.25" r="44" customHeight="1" ht="18.75">
      <c r="A44" s="336"/>
      <c r="B44" s="336"/>
      <c r="C44" s="342" t="s">
        <v>41267</v>
      </c>
    </row>
    <row x14ac:dyDescent="0.25" r="45" customHeight="1" ht="18.75">
      <c r="A45" s="336">
        <v>4500088525</v>
      </c>
      <c r="B45" s="336"/>
      <c r="C45" s="342" t="s">
        <v>41268</v>
      </c>
    </row>
    <row x14ac:dyDescent="0.25" r="46" customHeight="1" ht="18.75">
      <c r="A46" s="336"/>
      <c r="B46" s="336"/>
      <c r="C46" s="342" t="s">
        <v>41269</v>
      </c>
    </row>
    <row x14ac:dyDescent="0.25" r="47" customHeight="1" ht="18.75">
      <c r="A47" s="336"/>
      <c r="B47" s="336"/>
      <c r="C47" s="342" t="s">
        <v>41270</v>
      </c>
    </row>
    <row x14ac:dyDescent="0.25" r="48" customHeight="1" ht="18.75">
      <c r="A48" s="336"/>
      <c r="B48" s="336"/>
      <c r="C48" s="342" t="s">
        <v>41271</v>
      </c>
    </row>
    <row x14ac:dyDescent="0.25" r="49" customHeight="1" ht="18.75">
      <c r="A49" s="336"/>
      <c r="B49" s="336"/>
      <c r="C49" s="342" t="s">
        <v>41272</v>
      </c>
    </row>
    <row x14ac:dyDescent="0.25" r="50" customHeight="1" ht="18.75">
      <c r="A50" s="336"/>
      <c r="B50" s="336"/>
      <c r="C50" s="342" t="s">
        <v>41273</v>
      </c>
    </row>
    <row x14ac:dyDescent="0.25" r="51" customHeight="1" ht="18.75">
      <c r="A51" s="336"/>
      <c r="B51" s="336"/>
      <c r="C51" s="342" t="s">
        <v>41274</v>
      </c>
    </row>
    <row x14ac:dyDescent="0.25" r="52" customHeight="1" ht="18.75">
      <c r="A52" s="344">
        <v>4500094983</v>
      </c>
      <c r="B52" s="343">
        <v>4600002965</v>
      </c>
      <c r="C52" s="342" t="s">
        <v>41275</v>
      </c>
    </row>
    <row x14ac:dyDescent="0.25" r="53" customHeight="1" ht="18.75">
      <c r="A53" s="336"/>
      <c r="B53" s="336"/>
      <c r="C53" s="342" t="s">
        <v>41276</v>
      </c>
    </row>
    <row x14ac:dyDescent="0.25" r="54" customHeight="1" ht="18.75">
      <c r="A54" s="336"/>
      <c r="B54" s="336"/>
      <c r="C54" s="342" t="s">
        <v>41277</v>
      </c>
    </row>
    <row x14ac:dyDescent="0.25" r="55" customHeight="1" ht="18.75">
      <c r="A55" s="336"/>
      <c r="B55" s="336">
        <v>4600003365</v>
      </c>
      <c r="C55" s="342" t="s">
        <v>41278</v>
      </c>
    </row>
    <row x14ac:dyDescent="0.25" r="56" customHeight="1" ht="18.75">
      <c r="A56" s="336">
        <v>4500081111</v>
      </c>
      <c r="B56" s="336"/>
      <c r="C56" s="342" t="s">
        <v>41279</v>
      </c>
    </row>
    <row x14ac:dyDescent="0.25" r="57" customHeight="1" ht="18.75">
      <c r="A57" s="336"/>
      <c r="B57" s="336"/>
      <c r="C57" s="342" t="s">
        <v>41280</v>
      </c>
    </row>
    <row x14ac:dyDescent="0.25" r="58" customHeight="1" ht="18.75">
      <c r="A58" s="336"/>
      <c r="B58" s="336"/>
      <c r="C58" s="342" t="s">
        <v>41281</v>
      </c>
    </row>
    <row x14ac:dyDescent="0.25" r="59" customHeight="1" ht="18.75">
      <c r="A59" s="336"/>
      <c r="B59" s="336"/>
      <c r="C59" s="342" t="s">
        <v>41282</v>
      </c>
    </row>
    <row x14ac:dyDescent="0.25" r="60" customHeight="1" ht="18.75">
      <c r="A60" s="336"/>
      <c r="B60" s="336"/>
      <c r="C60" s="342" t="s">
        <v>41283</v>
      </c>
    </row>
    <row x14ac:dyDescent="0.25" r="61" customHeight="1" ht="18.75">
      <c r="A61" s="336"/>
      <c r="B61" s="336"/>
      <c r="C61" s="342" t="s">
        <v>41284</v>
      </c>
    </row>
    <row x14ac:dyDescent="0.25" r="62" customHeight="1" ht="18.75">
      <c r="A62" s="336"/>
      <c r="B62" s="336"/>
      <c r="C62" s="342" t="s">
        <v>41285</v>
      </c>
    </row>
    <row x14ac:dyDescent="0.25" r="63" customHeight="1" ht="18.75">
      <c r="A63" s="336"/>
      <c r="B63" s="336"/>
      <c r="C63" s="342" t="s">
        <v>41286</v>
      </c>
    </row>
    <row x14ac:dyDescent="0.25" r="64" customHeight="1" ht="18.75">
      <c r="A64" s="336"/>
      <c r="B64" s="336"/>
      <c r="C64" s="342" t="s">
        <v>41287</v>
      </c>
    </row>
    <row x14ac:dyDescent="0.25" r="65" customHeight="1" ht="18.75">
      <c r="A65" s="336"/>
      <c r="B65" s="336"/>
      <c r="C65" s="342" t="s">
        <v>41288</v>
      </c>
    </row>
    <row x14ac:dyDescent="0.25" r="66" customHeight="1" ht="18.75">
      <c r="A66" s="336"/>
      <c r="B66" s="336"/>
      <c r="C66" s="342" t="s">
        <v>41289</v>
      </c>
    </row>
    <row x14ac:dyDescent="0.25" r="67" customHeight="1" ht="18.75">
      <c r="A67" s="336"/>
      <c r="B67" s="336"/>
      <c r="C67" s="342" t="s">
        <v>41290</v>
      </c>
    </row>
    <row x14ac:dyDescent="0.25" r="68" customHeight="1" ht="18.75">
      <c r="A68" s="336">
        <v>4500057018</v>
      </c>
      <c r="B68" s="336"/>
      <c r="C68" s="342" t="s">
        <v>41291</v>
      </c>
    </row>
    <row x14ac:dyDescent="0.25" r="69" customHeight="1" ht="18.75">
      <c r="A69" s="336">
        <v>4500095170</v>
      </c>
      <c r="B69" s="336">
        <v>4600002614</v>
      </c>
      <c r="C69" s="342" t="s">
        <v>41292</v>
      </c>
    </row>
    <row x14ac:dyDescent="0.25" r="70" customHeight="1" ht="18.75">
      <c r="A70" s="336">
        <v>4500079631</v>
      </c>
      <c r="B70" s="336"/>
      <c r="C70" s="342" t="s">
        <v>41293</v>
      </c>
    </row>
    <row x14ac:dyDescent="0.25" r="71" customHeight="1" ht="18.75">
      <c r="A71" s="336">
        <v>4500076990</v>
      </c>
      <c r="B71" s="336"/>
      <c r="C71" s="342" t="s">
        <v>41294</v>
      </c>
    </row>
    <row x14ac:dyDescent="0.25" r="72" customHeight="1" ht="18.75">
      <c r="A72" s="336">
        <v>4500095158</v>
      </c>
      <c r="B72" s="336">
        <v>4600001418</v>
      </c>
      <c r="C72" s="342" t="s">
        <v>41295</v>
      </c>
    </row>
    <row x14ac:dyDescent="0.25" r="73" customHeight="1" ht="18.75">
      <c r="A73" s="336">
        <v>4500067440</v>
      </c>
      <c r="B73" s="336"/>
      <c r="C73" s="342" t="s">
        <v>41296</v>
      </c>
    </row>
    <row x14ac:dyDescent="0.25" r="74" customHeight="1" ht="18.75">
      <c r="A74" s="336">
        <v>4500084143</v>
      </c>
      <c r="B74" s="336"/>
      <c r="C74" s="342" t="s">
        <v>41297</v>
      </c>
    </row>
    <row x14ac:dyDescent="0.25" r="75" customHeight="1" ht="18.75">
      <c r="A75" s="336"/>
      <c r="B75" s="336"/>
      <c r="C75" s="342" t="s">
        <v>41298</v>
      </c>
    </row>
    <row x14ac:dyDescent="0.25" r="76" customHeight="1" ht="18.75">
      <c r="A76" s="336"/>
      <c r="B76" s="336"/>
      <c r="C76" s="342" t="s">
        <v>41299</v>
      </c>
    </row>
    <row x14ac:dyDescent="0.25" r="77" customHeight="1" ht="18.75">
      <c r="A77" s="336">
        <v>4500083316</v>
      </c>
      <c r="B77" s="336"/>
      <c r="C77" s="342" t="s">
        <v>41300</v>
      </c>
    </row>
    <row x14ac:dyDescent="0.25" r="78" customHeight="1" ht="18.75">
      <c r="A78" s="336"/>
      <c r="B78" s="336"/>
      <c r="C78" s="342" t="s">
        <v>41301</v>
      </c>
    </row>
    <row x14ac:dyDescent="0.25" r="79" customHeight="1" ht="18.75">
      <c r="A79" s="336"/>
      <c r="B79" s="336"/>
      <c r="C79" s="342" t="s">
        <v>41302</v>
      </c>
    </row>
    <row x14ac:dyDescent="0.25" r="80" customHeight="1" ht="18.75">
      <c r="A80" s="336"/>
      <c r="B80" s="336"/>
      <c r="C80" s="342" t="s">
        <v>41303</v>
      </c>
    </row>
    <row x14ac:dyDescent="0.25" r="81" customHeight="1" ht="18.75">
      <c r="A81" s="336"/>
      <c r="B81" s="336"/>
      <c r="C81" s="342" t="s">
        <v>41304</v>
      </c>
    </row>
    <row x14ac:dyDescent="0.25" r="82" customHeight="1" ht="18.75">
      <c r="A82" s="336"/>
      <c r="B82" s="336"/>
      <c r="C82" s="342" t="s">
        <v>41305</v>
      </c>
    </row>
    <row x14ac:dyDescent="0.25" r="83" customHeight="1" ht="18.75">
      <c r="A83" s="336"/>
      <c r="B83" s="336"/>
      <c r="C83" s="342" t="s">
        <v>41306</v>
      </c>
    </row>
    <row x14ac:dyDescent="0.25" r="84" customHeight="1" ht="18.75">
      <c r="A84" s="336"/>
      <c r="B84" s="336"/>
      <c r="C84" s="342" t="s">
        <v>41307</v>
      </c>
    </row>
    <row x14ac:dyDescent="0.25" r="85" customHeight="1" ht="18.75">
      <c r="A85" s="336"/>
      <c r="B85" s="336"/>
      <c r="C85" s="342" t="s">
        <v>41308</v>
      </c>
    </row>
    <row x14ac:dyDescent="0.25" r="86" customHeight="1" ht="18.75">
      <c r="A86" s="336"/>
      <c r="B86" s="336"/>
      <c r="C86" s="342" t="s">
        <v>41309</v>
      </c>
    </row>
    <row x14ac:dyDescent="0.25" r="87" customHeight="1" ht="18.75">
      <c r="A87" s="336"/>
      <c r="B87" s="336"/>
      <c r="C87" s="342" t="s">
        <v>41310</v>
      </c>
    </row>
    <row x14ac:dyDescent="0.25" r="88" customHeight="1" ht="18.75">
      <c r="A88" s="336"/>
      <c r="B88" s="336"/>
      <c r="C88" s="342" t="s">
        <v>41311</v>
      </c>
    </row>
    <row x14ac:dyDescent="0.25" r="89" customHeight="1" ht="18.75">
      <c r="A89" s="336"/>
      <c r="B89" s="336"/>
      <c r="C89" s="342" t="s">
        <v>41312</v>
      </c>
    </row>
    <row x14ac:dyDescent="0.25" r="90" customHeight="1" ht="18.75">
      <c r="A90" s="336"/>
      <c r="B90" s="336"/>
      <c r="C90" s="342" t="s">
        <v>41313</v>
      </c>
    </row>
    <row x14ac:dyDescent="0.25" r="91" customHeight="1" ht="18.75">
      <c r="A91" s="336"/>
      <c r="B91" s="336"/>
      <c r="C91" s="342" t="s">
        <v>41314</v>
      </c>
    </row>
    <row x14ac:dyDescent="0.25" r="92" customHeight="1" ht="18.75">
      <c r="A92" s="336"/>
      <c r="B92" s="336"/>
      <c r="C92" s="342" t="s">
        <v>41315</v>
      </c>
    </row>
    <row x14ac:dyDescent="0.25" r="93" customHeight="1" ht="18.75">
      <c r="A93" s="336"/>
      <c r="B93" s="336"/>
      <c r="C93" s="342" t="s">
        <v>41316</v>
      </c>
    </row>
    <row x14ac:dyDescent="0.25" r="94" customHeight="1" ht="18.75">
      <c r="A94" s="336"/>
      <c r="B94" s="336"/>
      <c r="C94" s="342" t="s">
        <v>41317</v>
      </c>
    </row>
    <row x14ac:dyDescent="0.25" r="95" customHeight="1" ht="18.75">
      <c r="A95" s="336"/>
      <c r="B95" s="336"/>
      <c r="C95" s="342" t="s">
        <v>41318</v>
      </c>
    </row>
    <row x14ac:dyDescent="0.25" r="96" customHeight="1" ht="18.75">
      <c r="A96" s="336"/>
      <c r="B96" s="336"/>
      <c r="C96" s="342" t="s">
        <v>41319</v>
      </c>
    </row>
    <row x14ac:dyDescent="0.25" r="97" customHeight="1" ht="18.75">
      <c r="A97" s="336"/>
      <c r="B97" s="336"/>
      <c r="C97" s="342" t="s">
        <v>41320</v>
      </c>
    </row>
    <row x14ac:dyDescent="0.25" r="98" customHeight="1" ht="18.75">
      <c r="A98" s="336"/>
      <c r="B98" s="336"/>
      <c r="C98" s="342" t="s">
        <v>41321</v>
      </c>
    </row>
    <row x14ac:dyDescent="0.25" r="99" customHeight="1" ht="18.75">
      <c r="A99" s="336"/>
      <c r="B99" s="336"/>
      <c r="C99" s="342" t="s">
        <v>41322</v>
      </c>
    </row>
    <row x14ac:dyDescent="0.25" r="100" customHeight="1" ht="18.75">
      <c r="A100" s="336"/>
      <c r="B100" s="336"/>
      <c r="C100" s="342" t="s">
        <v>41323</v>
      </c>
    </row>
    <row x14ac:dyDescent="0.25" r="101" customHeight="1" ht="18.75">
      <c r="A101" s="336"/>
      <c r="B101" s="336"/>
      <c r="C101" s="342" t="s">
        <v>41324</v>
      </c>
    </row>
    <row x14ac:dyDescent="0.25" r="102" customHeight="1" ht="18.75">
      <c r="A102" s="336"/>
      <c r="B102" s="336"/>
      <c r="C102" s="342" t="s">
        <v>41325</v>
      </c>
    </row>
    <row x14ac:dyDescent="0.25" r="103" customHeight="1" ht="18.75">
      <c r="A103" s="336"/>
      <c r="B103" s="336"/>
      <c r="C103" s="342" t="s">
        <v>41326</v>
      </c>
    </row>
    <row x14ac:dyDescent="0.25" r="104" customHeight="1" ht="18.75">
      <c r="A104" s="336"/>
      <c r="B104" s="336"/>
      <c r="C104" s="342" t="s">
        <v>41327</v>
      </c>
    </row>
    <row x14ac:dyDescent="0.25" r="105" customHeight="1" ht="18.75">
      <c r="A105" s="336"/>
      <c r="B105" s="336"/>
      <c r="C105" s="342" t="s">
        <v>41328</v>
      </c>
    </row>
    <row x14ac:dyDescent="0.25" r="106" customHeight="1" ht="18.75">
      <c r="A106" s="336"/>
      <c r="B106" s="336"/>
      <c r="C106" s="342" t="s">
        <v>41329</v>
      </c>
    </row>
    <row x14ac:dyDescent="0.25" r="107" customHeight="1" ht="18.75">
      <c r="A107" s="336"/>
      <c r="B107" s="336"/>
      <c r="C107" s="342" t="s">
        <v>41330</v>
      </c>
    </row>
    <row x14ac:dyDescent="0.25" r="108" customHeight="1" ht="18.75">
      <c r="A108" s="336"/>
      <c r="B108" s="336"/>
      <c r="C108" s="342" t="s">
        <v>41331</v>
      </c>
    </row>
    <row x14ac:dyDescent="0.25" r="109" customHeight="1" ht="18.75">
      <c r="A109" s="336"/>
      <c r="B109" s="336"/>
      <c r="C109" s="342" t="s">
        <v>41332</v>
      </c>
    </row>
    <row x14ac:dyDescent="0.25" r="110" customHeight="1" ht="18.75">
      <c r="A110" s="336"/>
      <c r="B110" s="336"/>
      <c r="C110" s="342" t="s">
        <v>41333</v>
      </c>
    </row>
    <row x14ac:dyDescent="0.25" r="111" customHeight="1" ht="18.75">
      <c r="A111" s="336"/>
      <c r="B111" s="336"/>
      <c r="C111" s="342" t="s">
        <v>41334</v>
      </c>
    </row>
    <row x14ac:dyDescent="0.25" r="112" customHeight="1" ht="18.75">
      <c r="A112" s="336"/>
      <c r="B112" s="336"/>
      <c r="C112" s="342" t="s">
        <v>41335</v>
      </c>
    </row>
    <row x14ac:dyDescent="0.25" r="113" customHeight="1" ht="18.75">
      <c r="A113" s="336"/>
      <c r="B113" s="336"/>
      <c r="C113" s="342" t="s">
        <v>41336</v>
      </c>
    </row>
    <row x14ac:dyDescent="0.25" r="114" customHeight="1" ht="18.75">
      <c r="A114" s="336"/>
      <c r="B114" s="336"/>
      <c r="C114" s="342" t="s">
        <v>41337</v>
      </c>
    </row>
    <row x14ac:dyDescent="0.25" r="115" customHeight="1" ht="18.75">
      <c r="A115" s="336"/>
      <c r="B115" s="336"/>
      <c r="C115" s="342" t="s">
        <v>41338</v>
      </c>
    </row>
    <row x14ac:dyDescent="0.25" r="116" customHeight="1" ht="18.75">
      <c r="A116" s="336"/>
      <c r="B116" s="336"/>
      <c r="C116" s="342" t="s">
        <v>41339</v>
      </c>
    </row>
    <row x14ac:dyDescent="0.25" r="117" customHeight="1" ht="18.75">
      <c r="A117" s="336"/>
      <c r="B117" s="336"/>
      <c r="C117" s="342" t="s">
        <v>41340</v>
      </c>
    </row>
    <row x14ac:dyDescent="0.25" r="118" customHeight="1" ht="18.75">
      <c r="A118" s="336"/>
      <c r="B118" s="336"/>
      <c r="C118" s="342" t="s">
        <v>41341</v>
      </c>
    </row>
    <row x14ac:dyDescent="0.25" r="119" customHeight="1" ht="18.75">
      <c r="A119" s="336"/>
      <c r="B119" s="336"/>
      <c r="C119" s="342" t="s">
        <v>41342</v>
      </c>
    </row>
    <row x14ac:dyDescent="0.25" r="120" customHeight="1" ht="18.75">
      <c r="A120" s="336"/>
      <c r="B120" s="336"/>
      <c r="C120" s="342" t="s">
        <v>41343</v>
      </c>
    </row>
    <row x14ac:dyDescent="0.25" r="121" customHeight="1" ht="18.75">
      <c r="A121" s="336"/>
      <c r="B121" s="336"/>
      <c r="C121" s="342" t="s">
        <v>41344</v>
      </c>
    </row>
    <row x14ac:dyDescent="0.25" r="122" customHeight="1" ht="18.75">
      <c r="A122" s="336"/>
      <c r="B122" s="336"/>
      <c r="C122" s="342" t="s">
        <v>41345</v>
      </c>
    </row>
    <row x14ac:dyDescent="0.25" r="123" customHeight="1" ht="18.75">
      <c r="A123" s="336"/>
      <c r="B123" s="336"/>
      <c r="C123" s="342" t="s">
        <v>41346</v>
      </c>
    </row>
    <row x14ac:dyDescent="0.25" r="124" customHeight="1" ht="18.75">
      <c r="A124" s="336"/>
      <c r="B124" s="336"/>
      <c r="C124" s="342" t="s">
        <v>41347</v>
      </c>
    </row>
    <row x14ac:dyDescent="0.25" r="125" customHeight="1" ht="18.75">
      <c r="A125" s="336"/>
      <c r="B125" s="336"/>
      <c r="C125" s="342" t="s">
        <v>41348</v>
      </c>
    </row>
    <row x14ac:dyDescent="0.25" r="126" customHeight="1" ht="18.75">
      <c r="A126" s="336"/>
      <c r="B126" s="336"/>
      <c r="C126" s="342" t="s">
        <v>41349</v>
      </c>
    </row>
    <row x14ac:dyDescent="0.25" r="127" customHeight="1" ht="18.75">
      <c r="A127" s="336"/>
      <c r="B127" s="336"/>
      <c r="C127" s="342" t="s">
        <v>41350</v>
      </c>
    </row>
    <row x14ac:dyDescent="0.25" r="128" customHeight="1" ht="18.75">
      <c r="A128" s="336"/>
      <c r="B128" s="336"/>
      <c r="C128" s="342" t="s">
        <v>41351</v>
      </c>
    </row>
    <row x14ac:dyDescent="0.25" r="129" customHeight="1" ht="18.75">
      <c r="A129" s="336"/>
      <c r="B129" s="336"/>
      <c r="C129" s="342" t="s">
        <v>41352</v>
      </c>
    </row>
    <row x14ac:dyDescent="0.25" r="130" customHeight="1" ht="18.75">
      <c r="A130" s="17"/>
      <c r="B130" s="17"/>
      <c r="C130" s="1"/>
    </row>
    <row x14ac:dyDescent="0.25" r="131" customHeight="1" ht="18.75">
      <c r="A131" s="17"/>
      <c r="B131" s="17"/>
      <c r="C131" s="1"/>
    </row>
    <row x14ac:dyDescent="0.25" r="132" customHeight="1" ht="18.75">
      <c r="A132" s="17"/>
      <c r="B132" s="17"/>
      <c r="C132" s="1"/>
    </row>
    <row x14ac:dyDescent="0.25" r="133" customHeight="1" ht="18.75">
      <c r="A133" s="17"/>
      <c r="B133" s="17"/>
      <c r="C133" s="1"/>
    </row>
    <row x14ac:dyDescent="0.25" r="134" customHeight="1" ht="18.75">
      <c r="A134" s="17"/>
      <c r="B134" s="17"/>
      <c r="C134" s="1"/>
    </row>
    <row x14ac:dyDescent="0.25" r="135" customHeight="1" ht="18.75">
      <c r="A135" s="17"/>
      <c r="B135" s="17"/>
      <c r="C135" s="1"/>
    </row>
    <row x14ac:dyDescent="0.25" r="136" customHeight="1" ht="18.75">
      <c r="A136" s="17"/>
      <c r="B136" s="17"/>
      <c r="C136" s="1"/>
    </row>
    <row x14ac:dyDescent="0.25" r="137" customHeight="1" ht="18.75">
      <c r="A137" s="17"/>
      <c r="B137" s="17"/>
      <c r="C137" s="1"/>
    </row>
    <row x14ac:dyDescent="0.25" r="138" customHeight="1" ht="18.75">
      <c r="A138" s="17"/>
      <c r="B138" s="17"/>
      <c r="C138" s="1"/>
    </row>
    <row x14ac:dyDescent="0.25" r="139" customHeight="1" ht="18.75">
      <c r="A139" s="17"/>
      <c r="B139" s="17"/>
      <c r="C139" s="1"/>
    </row>
    <row x14ac:dyDescent="0.25" r="140" customHeight="1" ht="18.75">
      <c r="A140" s="17"/>
      <c r="B140" s="17"/>
      <c r="C140" s="1"/>
    </row>
    <row x14ac:dyDescent="0.25" r="141" customHeight="1" ht="18.75">
      <c r="A141" s="17"/>
      <c r="B141" s="17"/>
      <c r="C141" s="1"/>
    </row>
    <row x14ac:dyDescent="0.25" r="142" customHeight="1" ht="18.75">
      <c r="A142" s="17"/>
      <c r="B142" s="17"/>
      <c r="C142" s="1"/>
    </row>
    <row x14ac:dyDescent="0.25" r="143" customHeight="1" ht="18.75">
      <c r="A143" s="312"/>
      <c r="B143" s="17"/>
      <c r="C143" s="1"/>
    </row>
    <row x14ac:dyDescent="0.25" r="144" customHeight="1" ht="18.75">
      <c r="A144" s="17"/>
      <c r="B144" s="17"/>
      <c r="C144" s="1"/>
    </row>
    <row x14ac:dyDescent="0.25" r="145" customHeight="1" ht="18.75">
      <c r="A145" s="69"/>
      <c r="B145" s="17"/>
      <c r="C145" s="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Z125"/>
  <sheetViews>
    <sheetView workbookViewId="0"/>
  </sheetViews>
  <sheetFormatPr defaultRowHeight="15" x14ac:dyDescent="0.25"/>
  <cols>
    <col min="1" max="1" style="15" width="13.576428571428572" customWidth="1" bestFit="1"/>
    <col min="2" max="2" style="294" width="13.576428571428572" customWidth="1" bestFit="1"/>
    <col min="3" max="3" style="294" width="13.576428571428572" customWidth="1" bestFit="1"/>
    <col min="4" max="4" style="294" width="13.576428571428572" customWidth="1" bestFit="1"/>
    <col min="5" max="5" style="294" width="13.576428571428572" customWidth="1" bestFit="1"/>
    <col min="6" max="6" style="340" width="13.576428571428572" customWidth="1" bestFit="1"/>
    <col min="7" max="7" style="294" width="13.576428571428572" customWidth="1" bestFit="1"/>
    <col min="8" max="8" style="294" width="13.576428571428572" customWidth="1" bestFit="1"/>
    <col min="9" max="9" style="341" width="13.576428571428572" customWidth="1" bestFit="1"/>
    <col min="10" max="10" style="341" width="13.576428571428572" customWidth="1" bestFit="1"/>
    <col min="11" max="11" style="341" width="13.576428571428572" customWidth="1" bestFit="1"/>
    <col min="12" max="12" style="341" width="13.576428571428572" customWidth="1" bestFit="1"/>
    <col min="13" max="13" style="341" width="13.576428571428572" customWidth="1" bestFit="1"/>
    <col min="14" max="14" style="341" width="13.576428571428572" customWidth="1" bestFit="1"/>
    <col min="15" max="15" style="341" width="13.576428571428572" customWidth="1" bestFit="1"/>
    <col min="16" max="16" style="341" width="13.576428571428572" customWidth="1" bestFit="1"/>
    <col min="17" max="17" style="341" width="13.576428571428572" customWidth="1" bestFit="1"/>
    <col min="18" max="18" style="341" width="13.576428571428572" customWidth="1" bestFit="1"/>
    <col min="19" max="19" style="341" width="13.576428571428572" customWidth="1" bestFit="1"/>
    <col min="20" max="20" style="341" width="13.576428571428572" customWidth="1" bestFit="1"/>
    <col min="21" max="21" style="341" width="13.576428571428572" customWidth="1" bestFit="1"/>
    <col min="22" max="22" style="341" width="13.576428571428572" customWidth="1" bestFit="1"/>
    <col min="23" max="23" style="341" width="13.576428571428572" customWidth="1" bestFit="1"/>
    <col min="24" max="24" style="341" width="13.576428571428572" customWidth="1" bestFit="1"/>
    <col min="25" max="25" style="341" width="13.576428571428572" customWidth="1" bestFit="1"/>
    <col min="26" max="26" style="341" width="13.576428571428572" customWidth="1" bestFit="1"/>
  </cols>
  <sheetData>
    <row x14ac:dyDescent="0.25" r="1" customHeight="1" ht="18.75">
      <c r="A1" s="1"/>
      <c r="B1" s="258"/>
      <c r="C1" s="258"/>
      <c r="D1" s="258"/>
      <c r="E1" s="258"/>
      <c r="F1" s="325"/>
      <c r="G1" s="258"/>
      <c r="H1" s="258"/>
      <c r="I1" s="326"/>
      <c r="J1" s="326"/>
      <c r="K1" s="326"/>
      <c r="L1" s="326"/>
      <c r="M1" s="326"/>
      <c r="N1" s="326"/>
      <c r="O1" s="326"/>
      <c r="P1" s="326"/>
      <c r="Q1" s="326"/>
      <c r="R1" s="326"/>
      <c r="S1" s="326"/>
      <c r="T1" s="326"/>
      <c r="U1" s="326"/>
      <c r="V1" s="326"/>
      <c r="W1" s="326"/>
      <c r="X1" s="326"/>
      <c r="Y1" s="326"/>
      <c r="Z1" s="326"/>
    </row>
    <row x14ac:dyDescent="0.25" r="2" customHeight="1" ht="18.75">
      <c r="A2" s="1"/>
      <c r="B2" s="327" t="s">
        <v>39447</v>
      </c>
      <c r="C2" s="328" t="s">
        <v>41211</v>
      </c>
      <c r="D2" s="328" t="s">
        <v>41212</v>
      </c>
      <c r="E2" s="329" t="s">
        <v>41213</v>
      </c>
      <c r="F2" s="330" t="s">
        <v>41214</v>
      </c>
      <c r="G2" s="327" t="s">
        <v>39006</v>
      </c>
      <c r="H2" s="327" t="s">
        <v>39007</v>
      </c>
      <c r="I2" s="331" t="s">
        <v>39008</v>
      </c>
      <c r="J2" s="331" t="s">
        <v>39009</v>
      </c>
      <c r="K2" s="331" t="s">
        <v>39010</v>
      </c>
      <c r="L2" s="331" t="s">
        <v>39011</v>
      </c>
      <c r="M2" s="331" t="s">
        <v>39012</v>
      </c>
      <c r="N2" s="331" t="s">
        <v>39013</v>
      </c>
      <c r="O2" s="331" t="s">
        <v>39014</v>
      </c>
      <c r="P2" s="331" t="s">
        <v>39015</v>
      </c>
      <c r="Q2" s="331" t="s">
        <v>39016</v>
      </c>
      <c r="R2" s="331" t="s">
        <v>39017</v>
      </c>
      <c r="S2" s="331" t="s">
        <v>39018</v>
      </c>
      <c r="T2" s="331" t="s">
        <v>39019</v>
      </c>
      <c r="U2" s="331">
        <v>2026</v>
      </c>
      <c r="V2" s="331">
        <v>2027</v>
      </c>
      <c r="W2" s="331">
        <v>2028</v>
      </c>
      <c r="X2" s="331">
        <v>2029</v>
      </c>
      <c r="Y2" s="331">
        <v>2030</v>
      </c>
      <c r="Z2" s="331" t="s">
        <v>39020</v>
      </c>
    </row>
    <row x14ac:dyDescent="0.25" r="3" customHeight="1" ht="18.75">
      <c r="A3" s="1"/>
      <c r="B3" s="332" t="s">
        <v>39910</v>
      </c>
      <c r="C3" s="332" t="s">
        <v>21</v>
      </c>
      <c r="D3" s="332" t="s">
        <v>21</v>
      </c>
      <c r="E3" s="332" t="s">
        <v>39909</v>
      </c>
      <c r="F3" s="333" t="s">
        <v>41215</v>
      </c>
      <c r="G3" s="332" t="s">
        <v>39911</v>
      </c>
      <c r="H3" s="332" t="s">
        <v>39912</v>
      </c>
      <c r="I3" s="334">
        <f>'Consolidado-Eletronorte'!AI19/1000</f>
      </c>
      <c r="J3" s="334">
        <f>'Consolidado-Eletronorte'!AJ19/1000</f>
      </c>
      <c r="K3" s="334">
        <f>'Consolidado-Eletronorte'!AK19/1000</f>
      </c>
      <c r="L3" s="334">
        <f>'Consolidado-Eletronorte'!AL19/1000</f>
      </c>
      <c r="M3" s="334">
        <f>'Consolidado-Eletronorte'!AM19/1000</f>
      </c>
      <c r="N3" s="334">
        <f>'Consolidado-Eletronorte'!AN19/1000</f>
      </c>
      <c r="O3" s="334">
        <f>'Consolidado-Eletronorte'!AO19/1000</f>
      </c>
      <c r="P3" s="334">
        <f>'Consolidado-Eletronorte'!AP19/1000</f>
      </c>
      <c r="Q3" s="334">
        <f>'Consolidado-Eletronorte'!AQ19/1000</f>
      </c>
      <c r="R3" s="334">
        <f>'Consolidado-Eletronorte'!AR19/1000</f>
      </c>
      <c r="S3" s="334">
        <f>'Consolidado-Eletronorte'!AS19/1000</f>
      </c>
      <c r="T3" s="334">
        <f>'Consolidado-Eletronorte'!AT19/1000</f>
      </c>
      <c r="U3" s="334">
        <f>'Consolidado-Eletronorte'!AU19/1000</f>
      </c>
      <c r="V3" s="334">
        <f>'Consolidado-Eletronorte'!AV19/1000</f>
      </c>
      <c r="W3" s="334">
        <f>'Consolidado-Eletronorte'!AW19/1000</f>
      </c>
      <c r="X3" s="334">
        <f>'Consolidado-Eletronorte'!AX19/1000</f>
      </c>
      <c r="Y3" s="334">
        <f>'Consolidado-Eletronorte'!AY19/1000</f>
      </c>
      <c r="Z3" s="334">
        <f>'Consolidado-Eletronorte'!AZ19/1000</f>
      </c>
    </row>
    <row x14ac:dyDescent="0.25" r="4" customHeight="1" ht="18.75">
      <c r="A4" s="1"/>
      <c r="B4" s="335" t="s">
        <v>41216</v>
      </c>
      <c r="C4" s="335" t="s">
        <v>21</v>
      </c>
      <c r="D4" s="335" t="s">
        <v>21</v>
      </c>
      <c r="E4" s="335" t="s">
        <v>39917</v>
      </c>
      <c r="F4" s="336" t="s">
        <v>41217</v>
      </c>
      <c r="G4" s="335" t="s">
        <v>39919</v>
      </c>
      <c r="H4" s="335" t="s">
        <v>39912</v>
      </c>
      <c r="I4" s="334">
        <f>'Consolidado-Eletronorte'!AI23/1000</f>
      </c>
      <c r="J4" s="334">
        <f>'Consolidado-Eletronorte'!AJ23/1000</f>
      </c>
      <c r="K4" s="334">
        <f>'Consolidado-Eletronorte'!AK23/1000</f>
      </c>
      <c r="L4" s="334">
        <f>'Consolidado-Eletronorte'!AL23/1000</f>
      </c>
      <c r="M4" s="334">
        <f>'Consolidado-Eletronorte'!AM23/1000</f>
      </c>
      <c r="N4" s="334">
        <f>'Consolidado-Eletronorte'!AN23/1000</f>
      </c>
      <c r="O4" s="334">
        <f>'Consolidado-Eletronorte'!AO23/1000</f>
      </c>
      <c r="P4" s="334">
        <f>'Consolidado-Eletronorte'!AP23/1000</f>
      </c>
      <c r="Q4" s="334">
        <f>'Consolidado-Eletronorte'!AQ23/1000</f>
      </c>
      <c r="R4" s="334">
        <f>'Consolidado-Eletronorte'!AR23/1000</f>
      </c>
      <c r="S4" s="334">
        <f>'Consolidado-Eletronorte'!AS23/1000</f>
      </c>
      <c r="T4" s="334">
        <f>'Consolidado-Eletronorte'!AT23/1000</f>
      </c>
      <c r="U4" s="334">
        <f>'Consolidado-Eletronorte'!AU23/1000</f>
      </c>
      <c r="V4" s="334">
        <f>'Consolidado-Eletronorte'!AV23/1000</f>
      </c>
      <c r="W4" s="334">
        <f>'Consolidado-Eletronorte'!AW23/1000</f>
      </c>
      <c r="X4" s="334">
        <f>'Consolidado-Eletronorte'!AX23/1000</f>
      </c>
      <c r="Y4" s="334">
        <f>'Consolidado-Eletronorte'!AY23/1000</f>
      </c>
      <c r="Z4" s="334">
        <f>'Consolidado-Eletronorte'!AZ23/1000</f>
      </c>
    </row>
    <row x14ac:dyDescent="0.25" r="5" customHeight="1" ht="18.75">
      <c r="A5" s="1"/>
      <c r="B5" s="332" t="s">
        <v>39939</v>
      </c>
      <c r="C5" s="332" t="s">
        <v>21</v>
      </c>
      <c r="D5" s="332" t="s">
        <v>21</v>
      </c>
      <c r="E5" s="332" t="s">
        <v>39938</v>
      </c>
      <c r="F5" s="333" t="s">
        <v>41218</v>
      </c>
      <c r="G5" s="332" t="s">
        <v>39919</v>
      </c>
      <c r="H5" s="332" t="s">
        <v>39912</v>
      </c>
      <c r="I5" s="334">
        <f>'Consolidado-Eletronorte'!AI25/1000</f>
      </c>
      <c r="J5" s="334">
        <f>'Consolidado-Eletronorte'!AJ25/1000</f>
      </c>
      <c r="K5" s="334">
        <f>'Consolidado-Eletronorte'!AK25/1000</f>
      </c>
      <c r="L5" s="334">
        <f>'Consolidado-Eletronorte'!AL25/1000</f>
      </c>
      <c r="M5" s="334">
        <f>'Consolidado-Eletronorte'!AM25/1000</f>
      </c>
      <c r="N5" s="334">
        <f>'Consolidado-Eletronorte'!AN25/1000</f>
      </c>
      <c r="O5" s="334">
        <f>'Consolidado-Eletronorte'!AO25/1000</f>
      </c>
      <c r="P5" s="334">
        <f>'Consolidado-Eletronorte'!AP25/1000</f>
      </c>
      <c r="Q5" s="334">
        <f>'Consolidado-Eletronorte'!AQ25/1000</f>
      </c>
      <c r="R5" s="334">
        <f>'Consolidado-Eletronorte'!AR25/1000</f>
      </c>
      <c r="S5" s="334">
        <f>'Consolidado-Eletronorte'!AS25/1000</f>
      </c>
      <c r="T5" s="334">
        <f>'Consolidado-Eletronorte'!AT25/1000</f>
      </c>
      <c r="U5" s="334">
        <f>'Consolidado-Eletronorte'!AU25/1000</f>
      </c>
      <c r="V5" s="334">
        <f>'Consolidado-Eletronorte'!AV25/1000</f>
      </c>
      <c r="W5" s="334">
        <f>'Consolidado-Eletronorte'!AW25/1000</f>
      </c>
      <c r="X5" s="334">
        <f>'Consolidado-Eletronorte'!AX25/1000</f>
      </c>
      <c r="Y5" s="334">
        <f>'Consolidado-Eletronorte'!AY25/1000</f>
      </c>
      <c r="Z5" s="334">
        <f>'Consolidado-Eletronorte'!AZ25/1000</f>
      </c>
    </row>
    <row x14ac:dyDescent="0.25" r="6" customHeight="1" ht="18.75">
      <c r="A6" s="1"/>
      <c r="B6" s="335" t="s">
        <v>39943</v>
      </c>
      <c r="C6" s="335" t="s">
        <v>21</v>
      </c>
      <c r="D6" s="335" t="s">
        <v>21</v>
      </c>
      <c r="E6" s="335" t="s">
        <v>39942</v>
      </c>
      <c r="F6" s="336">
        <v>3700008198</v>
      </c>
      <c r="G6" s="335" t="s">
        <v>39944</v>
      </c>
      <c r="H6" s="335" t="s">
        <v>39945</v>
      </c>
      <c r="I6" s="334">
        <f>'Consolidado-Eletronorte'!AI28/1000</f>
      </c>
      <c r="J6" s="334">
        <f>'Consolidado-Eletronorte'!AJ28/1000</f>
      </c>
      <c r="K6" s="334">
        <f>'Consolidado-Eletronorte'!AK28/1000</f>
      </c>
      <c r="L6" s="334">
        <f>'Consolidado-Eletronorte'!AL28/1000</f>
      </c>
      <c r="M6" s="334">
        <f>'Consolidado-Eletronorte'!AM28/1000</f>
      </c>
      <c r="N6" s="334">
        <f>'Consolidado-Eletronorte'!AN28/1000</f>
      </c>
      <c r="O6" s="334">
        <f>'Consolidado-Eletronorte'!AO28/1000</f>
      </c>
      <c r="P6" s="334">
        <f>'Consolidado-Eletronorte'!AP28/1000</f>
      </c>
      <c r="Q6" s="334">
        <f>'Consolidado-Eletronorte'!AQ28/1000</f>
      </c>
      <c r="R6" s="334">
        <f>'Consolidado-Eletronorte'!AR28/1000</f>
      </c>
      <c r="S6" s="334">
        <f>'Consolidado-Eletronorte'!AS28/1000</f>
      </c>
      <c r="T6" s="334">
        <f>'Consolidado-Eletronorte'!AT28/1000</f>
      </c>
      <c r="U6" s="334">
        <f>'Consolidado-Eletronorte'!AU28/1000</f>
      </c>
      <c r="V6" s="334">
        <f>'Consolidado-Eletronorte'!AV28/1000</f>
      </c>
      <c r="W6" s="334">
        <f>'Consolidado-Eletronorte'!AW28/1000</f>
      </c>
      <c r="X6" s="334">
        <f>'Consolidado-Eletronorte'!AX28/1000</f>
      </c>
      <c r="Y6" s="334">
        <f>'Consolidado-Eletronorte'!AY28/1000</f>
      </c>
      <c r="Z6" s="334">
        <f>'Consolidado-Eletronorte'!AZ28/1000</f>
      </c>
    </row>
    <row x14ac:dyDescent="0.25" r="7" customHeight="1" ht="18.75">
      <c r="A7" s="1"/>
      <c r="B7" s="332" t="s">
        <v>39933</v>
      </c>
      <c r="C7" s="332" t="s">
        <v>21</v>
      </c>
      <c r="D7" s="332" t="s">
        <v>21</v>
      </c>
      <c r="E7" s="332" t="s">
        <v>39932</v>
      </c>
      <c r="F7" s="333">
        <v>3400004379</v>
      </c>
      <c r="G7" s="332" t="s">
        <v>39934</v>
      </c>
      <c r="H7" s="332" t="s">
        <v>39912</v>
      </c>
      <c r="I7" s="334">
        <f>'Consolidado-Eletronorte'!AI29/1000</f>
      </c>
      <c r="J7" s="334">
        <f>'Consolidado-Eletronorte'!AJ29/1000</f>
      </c>
      <c r="K7" s="334">
        <f>'Consolidado-Eletronorte'!AK29/1000</f>
      </c>
      <c r="L7" s="334">
        <f>'Consolidado-Eletronorte'!AL29/1000</f>
      </c>
      <c r="M7" s="334">
        <f>'Consolidado-Eletronorte'!AM29/1000</f>
      </c>
      <c r="N7" s="334">
        <f>'Consolidado-Eletronorte'!AN29/1000</f>
      </c>
      <c r="O7" s="334">
        <f>'Consolidado-Eletronorte'!AO29/1000</f>
      </c>
      <c r="P7" s="334">
        <f>'Consolidado-Eletronorte'!AP29/1000</f>
      </c>
      <c r="Q7" s="334">
        <f>'Consolidado-Eletronorte'!AQ29/1000</f>
      </c>
      <c r="R7" s="334">
        <f>'Consolidado-Eletronorte'!AR29/1000</f>
      </c>
      <c r="S7" s="334">
        <f>'Consolidado-Eletronorte'!AS29/1000</f>
      </c>
      <c r="T7" s="334">
        <f>'Consolidado-Eletronorte'!AT29/1000</f>
      </c>
      <c r="U7" s="334">
        <f>'Consolidado-Eletronorte'!AU29/1000</f>
      </c>
      <c r="V7" s="334">
        <f>'Consolidado-Eletronorte'!AV29/1000</f>
      </c>
      <c r="W7" s="334">
        <f>'Consolidado-Eletronorte'!AW29/1000</f>
      </c>
      <c r="X7" s="334">
        <f>'Consolidado-Eletronorte'!AX29/1000</f>
      </c>
      <c r="Y7" s="334">
        <f>'Consolidado-Eletronorte'!AY29/1000</f>
      </c>
      <c r="Z7" s="334">
        <f>'Consolidado-Eletronorte'!AZ29/1000</f>
      </c>
    </row>
    <row x14ac:dyDescent="0.25" r="8" customHeight="1" ht="18.75">
      <c r="A8" s="1"/>
      <c r="B8" s="335" t="s">
        <v>39976</v>
      </c>
      <c r="C8" s="335" t="s">
        <v>21</v>
      </c>
      <c r="D8" s="335" t="s">
        <v>21</v>
      </c>
      <c r="E8" s="335" t="s">
        <v>39917</v>
      </c>
      <c r="F8" s="336">
        <v>3400004381</v>
      </c>
      <c r="G8" s="335" t="s">
        <v>39977</v>
      </c>
      <c r="H8" s="335" t="s">
        <v>39912</v>
      </c>
      <c r="I8" s="334">
        <f>'Consolidado-Eletronorte'!AI30/1000</f>
      </c>
      <c r="J8" s="334">
        <f>'Consolidado-Eletronorte'!AJ30/1000</f>
      </c>
      <c r="K8" s="334">
        <f>'Consolidado-Eletronorte'!AK30/1000</f>
      </c>
      <c r="L8" s="334">
        <f>'Consolidado-Eletronorte'!AL30/1000</f>
      </c>
      <c r="M8" s="334">
        <f>'Consolidado-Eletronorte'!AM30/1000</f>
      </c>
      <c r="N8" s="334">
        <f>'Consolidado-Eletronorte'!AN30/1000</f>
      </c>
      <c r="O8" s="334">
        <f>'Consolidado-Eletronorte'!AO30/1000</f>
      </c>
      <c r="P8" s="334">
        <f>'Consolidado-Eletronorte'!AP30/1000</f>
      </c>
      <c r="Q8" s="334">
        <f>'Consolidado-Eletronorte'!AQ30/1000</f>
      </c>
      <c r="R8" s="334">
        <f>'Consolidado-Eletronorte'!AR30/1000</f>
      </c>
      <c r="S8" s="334">
        <f>'Consolidado-Eletronorte'!AS30/1000</f>
      </c>
      <c r="T8" s="334">
        <f>'Consolidado-Eletronorte'!AT30/1000</f>
      </c>
      <c r="U8" s="334">
        <f>'Consolidado-Eletronorte'!AU30/1000</f>
      </c>
      <c r="V8" s="334">
        <f>'Consolidado-Eletronorte'!AV30/1000</f>
      </c>
      <c r="W8" s="334">
        <f>'Consolidado-Eletronorte'!AW30/1000</f>
      </c>
      <c r="X8" s="334">
        <f>'Consolidado-Eletronorte'!AX30/1000</f>
      </c>
      <c r="Y8" s="334">
        <f>'Consolidado-Eletronorte'!AY30/1000</f>
      </c>
      <c r="Z8" s="334">
        <f>'Consolidado-Eletronorte'!AZ30/1000</f>
      </c>
    </row>
    <row x14ac:dyDescent="0.25" r="9" customHeight="1" ht="18.75">
      <c r="A9" s="1"/>
      <c r="B9" s="332" t="s">
        <v>41219</v>
      </c>
      <c r="C9" s="332" t="s">
        <v>21</v>
      </c>
      <c r="D9" s="332" t="s">
        <v>21</v>
      </c>
      <c r="E9" s="332" t="s">
        <v>39980</v>
      </c>
      <c r="F9" s="333">
        <v>4600001891</v>
      </c>
      <c r="G9" s="332" t="s">
        <v>39982</v>
      </c>
      <c r="H9" s="332" t="s">
        <v>39912</v>
      </c>
      <c r="I9" s="334">
        <f>'Consolidado-Eletronorte'!AI31/1000</f>
      </c>
      <c r="J9" s="334">
        <f>'Consolidado-Eletronorte'!AJ31/1000</f>
      </c>
      <c r="K9" s="334">
        <f>'Consolidado-Eletronorte'!AK31/1000</f>
      </c>
      <c r="L9" s="334">
        <f>'Consolidado-Eletronorte'!AL31/1000</f>
      </c>
      <c r="M9" s="334">
        <f>'Consolidado-Eletronorte'!AM31/1000</f>
      </c>
      <c r="N9" s="334">
        <f>'Consolidado-Eletronorte'!AN31/1000</f>
      </c>
      <c r="O9" s="334">
        <f>'Consolidado-Eletronorte'!AO31/1000</f>
      </c>
      <c r="P9" s="334">
        <f>'Consolidado-Eletronorte'!AP31/1000</f>
      </c>
      <c r="Q9" s="334">
        <f>'Consolidado-Eletronorte'!AQ31/1000</f>
      </c>
      <c r="R9" s="334">
        <f>'Consolidado-Eletronorte'!AR31/1000</f>
      </c>
      <c r="S9" s="334">
        <f>'Consolidado-Eletronorte'!AS31/1000</f>
      </c>
      <c r="T9" s="334">
        <f>'Consolidado-Eletronorte'!AT31/1000</f>
      </c>
      <c r="U9" s="334">
        <f>'Consolidado-Eletronorte'!AU31/1000</f>
      </c>
      <c r="V9" s="334">
        <f>'Consolidado-Eletronorte'!AV31/1000</f>
      </c>
      <c r="W9" s="334">
        <f>'Consolidado-Eletronorte'!AW31/1000</f>
      </c>
      <c r="X9" s="334">
        <f>'Consolidado-Eletronorte'!AX31/1000</f>
      </c>
      <c r="Y9" s="334">
        <f>'Consolidado-Eletronorte'!AY31/1000</f>
      </c>
      <c r="Z9" s="334">
        <f>'Consolidado-Eletronorte'!AZ31/1000</f>
      </c>
    </row>
    <row x14ac:dyDescent="0.25" r="10" customHeight="1" ht="18.75">
      <c r="A10" s="1"/>
      <c r="B10" s="335" t="s">
        <v>39986</v>
      </c>
      <c r="C10" s="335" t="s">
        <v>21</v>
      </c>
      <c r="D10" s="335" t="s">
        <v>21</v>
      </c>
      <c r="E10" s="335" t="s">
        <v>39985</v>
      </c>
      <c r="F10" s="336">
        <v>4500082946</v>
      </c>
      <c r="G10" s="335" t="s">
        <v>39987</v>
      </c>
      <c r="H10" s="335" t="s">
        <v>39912</v>
      </c>
      <c r="I10" s="334">
        <f>'Consolidado-Eletronorte'!AI32/1000</f>
      </c>
      <c r="J10" s="334">
        <f>'Consolidado-Eletronorte'!AJ32/1000</f>
      </c>
      <c r="K10" s="334">
        <f>'Consolidado-Eletronorte'!AK32/1000</f>
      </c>
      <c r="L10" s="334">
        <f>'Consolidado-Eletronorte'!AL32/1000</f>
      </c>
      <c r="M10" s="334">
        <f>'Consolidado-Eletronorte'!AM32/1000</f>
      </c>
      <c r="N10" s="334">
        <f>'Consolidado-Eletronorte'!AN32/1000</f>
      </c>
      <c r="O10" s="334">
        <f>'Consolidado-Eletronorte'!AO32/1000</f>
      </c>
      <c r="P10" s="334">
        <f>'Consolidado-Eletronorte'!AP32/1000</f>
      </c>
      <c r="Q10" s="334">
        <f>'Consolidado-Eletronorte'!AQ32/1000</f>
      </c>
      <c r="R10" s="334">
        <f>'Consolidado-Eletronorte'!AR32/1000</f>
      </c>
      <c r="S10" s="334">
        <f>'Consolidado-Eletronorte'!AS32/1000</f>
      </c>
      <c r="T10" s="334">
        <f>'Consolidado-Eletronorte'!AT32/1000</f>
      </c>
      <c r="U10" s="334">
        <f>'Consolidado-Eletronorte'!AU32/1000</f>
      </c>
      <c r="V10" s="334">
        <f>'Consolidado-Eletronorte'!AV32/1000</f>
      </c>
      <c r="W10" s="334">
        <f>'Consolidado-Eletronorte'!AW32/1000</f>
      </c>
      <c r="X10" s="334">
        <f>'Consolidado-Eletronorte'!AX32/1000</f>
      </c>
      <c r="Y10" s="334">
        <f>'Consolidado-Eletronorte'!AY32/1000</f>
      </c>
      <c r="Z10" s="334">
        <f>'Consolidado-Eletronorte'!AZ32/1000</f>
      </c>
    </row>
    <row x14ac:dyDescent="0.25" r="11" customHeight="1" ht="18.75">
      <c r="A11" s="1"/>
      <c r="B11" s="332" t="s">
        <v>39972</v>
      </c>
      <c r="C11" s="332" t="s">
        <v>21</v>
      </c>
      <c r="D11" s="332" t="s">
        <v>21</v>
      </c>
      <c r="E11" s="332" t="s">
        <v>39949</v>
      </c>
      <c r="F11" s="333">
        <v>3700014880</v>
      </c>
      <c r="G11" s="332" t="s">
        <v>39973</v>
      </c>
      <c r="H11" s="332" t="s">
        <v>39912</v>
      </c>
      <c r="I11" s="334">
        <f>'Consolidado-Eletronorte'!AI33/1000</f>
      </c>
      <c r="J11" s="334">
        <f>'Consolidado-Eletronorte'!AJ33/1000</f>
      </c>
      <c r="K11" s="334">
        <f>'Consolidado-Eletronorte'!AK33/1000</f>
      </c>
      <c r="L11" s="334">
        <f>'Consolidado-Eletronorte'!AL33/1000</f>
      </c>
      <c r="M11" s="334">
        <f>'Consolidado-Eletronorte'!AM33/1000</f>
      </c>
      <c r="N11" s="334">
        <f>'Consolidado-Eletronorte'!AN33/1000</f>
      </c>
      <c r="O11" s="334">
        <f>'Consolidado-Eletronorte'!AO33/1000</f>
      </c>
      <c r="P11" s="334">
        <f>'Consolidado-Eletronorte'!AP33/1000</f>
      </c>
      <c r="Q11" s="334">
        <f>'Consolidado-Eletronorte'!AQ33/1000</f>
      </c>
      <c r="R11" s="334">
        <f>'Consolidado-Eletronorte'!AR33/1000</f>
      </c>
      <c r="S11" s="334">
        <f>'Consolidado-Eletronorte'!AS33/1000</f>
      </c>
      <c r="T11" s="334">
        <f>'Consolidado-Eletronorte'!AT33/1000</f>
      </c>
      <c r="U11" s="334">
        <f>'Consolidado-Eletronorte'!AU33/1000</f>
      </c>
      <c r="V11" s="334">
        <f>'Consolidado-Eletronorte'!AV33/1000</f>
      </c>
      <c r="W11" s="334">
        <f>'Consolidado-Eletronorte'!AW33/1000</f>
      </c>
      <c r="X11" s="334">
        <f>'Consolidado-Eletronorte'!AX33/1000</f>
      </c>
      <c r="Y11" s="334">
        <f>'Consolidado-Eletronorte'!AY33/1000</f>
      </c>
      <c r="Z11" s="334">
        <f>'Consolidado-Eletronorte'!AZ33/1000</f>
      </c>
    </row>
    <row x14ac:dyDescent="0.25" r="12" customHeight="1" ht="18.75">
      <c r="A12" s="1"/>
      <c r="B12" s="335" t="s">
        <v>40004</v>
      </c>
      <c r="C12" s="335" t="s">
        <v>21</v>
      </c>
      <c r="D12" s="335" t="s">
        <v>21</v>
      </c>
      <c r="E12" s="335" t="s">
        <v>39932</v>
      </c>
      <c r="F12" s="336">
        <v>3700011458</v>
      </c>
      <c r="G12" s="335" t="s">
        <v>40005</v>
      </c>
      <c r="H12" s="335" t="s">
        <v>40006</v>
      </c>
      <c r="I12" s="334">
        <f>'Consolidado-Eletronorte'!AI34/1000</f>
      </c>
      <c r="J12" s="334">
        <f>'Consolidado-Eletronorte'!AJ34/1000</f>
      </c>
      <c r="K12" s="334">
        <f>'Consolidado-Eletronorte'!AK34/1000</f>
      </c>
      <c r="L12" s="334">
        <f>'Consolidado-Eletronorte'!AL34/1000</f>
      </c>
      <c r="M12" s="334">
        <f>'Consolidado-Eletronorte'!AM34/1000</f>
      </c>
      <c r="N12" s="334">
        <f>'Consolidado-Eletronorte'!AN34/1000</f>
      </c>
      <c r="O12" s="334">
        <f>'Consolidado-Eletronorte'!AO34/1000</f>
      </c>
      <c r="P12" s="334">
        <f>'Consolidado-Eletronorte'!AP34/1000</f>
      </c>
      <c r="Q12" s="334">
        <f>'Consolidado-Eletronorte'!AQ34/1000</f>
      </c>
      <c r="R12" s="334">
        <f>'Consolidado-Eletronorte'!AR34/1000</f>
      </c>
      <c r="S12" s="334">
        <f>'Consolidado-Eletronorte'!AS34/1000</f>
      </c>
      <c r="T12" s="334">
        <f>'Consolidado-Eletronorte'!AT34/1000</f>
      </c>
      <c r="U12" s="334">
        <f>'Consolidado-Eletronorte'!AU34/1000</f>
      </c>
      <c r="V12" s="334">
        <f>'Consolidado-Eletronorte'!AV34/1000</f>
      </c>
      <c r="W12" s="334">
        <f>'Consolidado-Eletronorte'!AW34/1000</f>
      </c>
      <c r="X12" s="334">
        <f>'Consolidado-Eletronorte'!AX34/1000</f>
      </c>
      <c r="Y12" s="334">
        <f>'Consolidado-Eletronorte'!AY34/1000</f>
      </c>
      <c r="Z12" s="334">
        <f>'Consolidado-Eletronorte'!AZ34/1000</f>
      </c>
    </row>
    <row x14ac:dyDescent="0.25" r="13" customHeight="1" ht="18.75">
      <c r="A13" s="1"/>
      <c r="B13" s="332" t="s">
        <v>39954</v>
      </c>
      <c r="C13" s="332" t="s">
        <v>21</v>
      </c>
      <c r="D13" s="332" t="s">
        <v>21</v>
      </c>
      <c r="E13" s="332" t="s">
        <v>39932</v>
      </c>
      <c r="F13" s="333" t="s">
        <v>41220</v>
      </c>
      <c r="G13" s="332" t="s">
        <v>39955</v>
      </c>
      <c r="H13" s="332" t="s">
        <v>39912</v>
      </c>
      <c r="I13" s="334">
        <f>'Consolidado-Eletronorte'!AI35/1000</f>
      </c>
      <c r="J13" s="334">
        <f>'Consolidado-Eletronorte'!AJ35/1000</f>
      </c>
      <c r="K13" s="334">
        <f>'Consolidado-Eletronorte'!AK35/1000</f>
      </c>
      <c r="L13" s="334">
        <f>'Consolidado-Eletronorte'!AL35/1000</f>
      </c>
      <c r="M13" s="334">
        <f>'Consolidado-Eletronorte'!AM35/1000</f>
      </c>
      <c r="N13" s="334">
        <f>'Consolidado-Eletronorte'!AN35/1000</f>
      </c>
      <c r="O13" s="334">
        <f>'Consolidado-Eletronorte'!AO35/1000</f>
      </c>
      <c r="P13" s="334">
        <f>'Consolidado-Eletronorte'!AP35/1000</f>
      </c>
      <c r="Q13" s="334">
        <f>'Consolidado-Eletronorte'!AQ35/1000</f>
      </c>
      <c r="R13" s="334">
        <f>'Consolidado-Eletronorte'!AR35/1000</f>
      </c>
      <c r="S13" s="334">
        <f>'Consolidado-Eletronorte'!AS35/1000</f>
      </c>
      <c r="T13" s="334">
        <f>'Consolidado-Eletronorte'!AT35/1000</f>
      </c>
      <c r="U13" s="334">
        <f>'Consolidado-Eletronorte'!AU35/1000</f>
      </c>
      <c r="V13" s="334">
        <f>'Consolidado-Eletronorte'!AV35/1000</f>
      </c>
      <c r="W13" s="334">
        <f>'Consolidado-Eletronorte'!AW35/1000</f>
      </c>
      <c r="X13" s="334">
        <f>'Consolidado-Eletronorte'!AX35/1000</f>
      </c>
      <c r="Y13" s="334">
        <f>'Consolidado-Eletronorte'!AY35/1000</f>
      </c>
      <c r="Z13" s="334">
        <f>'Consolidado-Eletronorte'!AZ35/1000</f>
      </c>
    </row>
    <row x14ac:dyDescent="0.25" r="14" customHeight="1" ht="18.75">
      <c r="A14" s="1"/>
      <c r="B14" s="335" t="s">
        <v>39962</v>
      </c>
      <c r="C14" s="335" t="s">
        <v>21</v>
      </c>
      <c r="D14" s="335" t="s">
        <v>21</v>
      </c>
      <c r="E14" s="335" t="s">
        <v>39917</v>
      </c>
      <c r="F14" s="336" t="s">
        <v>41221</v>
      </c>
      <c r="G14" s="335" t="s">
        <v>39963</v>
      </c>
      <c r="H14" s="335" t="s">
        <v>39912</v>
      </c>
      <c r="I14" s="334">
        <f>'Consolidado-Eletronorte'!AI36/1000</f>
      </c>
      <c r="J14" s="334">
        <f>'Consolidado-Eletronorte'!AJ36/1000</f>
      </c>
      <c r="K14" s="334">
        <f>'Consolidado-Eletronorte'!AK36/1000</f>
      </c>
      <c r="L14" s="334">
        <f>'Consolidado-Eletronorte'!AL36/1000</f>
      </c>
      <c r="M14" s="334">
        <f>'Consolidado-Eletronorte'!AM36/1000</f>
      </c>
      <c r="N14" s="334">
        <f>'Consolidado-Eletronorte'!AN36/1000</f>
      </c>
      <c r="O14" s="334">
        <f>'Consolidado-Eletronorte'!AO36/1000</f>
      </c>
      <c r="P14" s="334">
        <f>'Consolidado-Eletronorte'!AP36/1000</f>
      </c>
      <c r="Q14" s="334">
        <f>'Consolidado-Eletronorte'!AQ36/1000</f>
      </c>
      <c r="R14" s="334">
        <f>'Consolidado-Eletronorte'!AR36/1000</f>
      </c>
      <c r="S14" s="334">
        <f>'Consolidado-Eletronorte'!AS36/1000</f>
      </c>
      <c r="T14" s="334">
        <f>'Consolidado-Eletronorte'!AT36/1000</f>
      </c>
      <c r="U14" s="334">
        <f>'Consolidado-Eletronorte'!AU36/1000</f>
      </c>
      <c r="V14" s="334">
        <f>'Consolidado-Eletronorte'!AV36/1000</f>
      </c>
      <c r="W14" s="334">
        <f>'Consolidado-Eletronorte'!AW36/1000</f>
      </c>
      <c r="X14" s="334">
        <f>'Consolidado-Eletronorte'!AX36/1000</f>
      </c>
      <c r="Y14" s="334">
        <f>'Consolidado-Eletronorte'!AY36/1000</f>
      </c>
      <c r="Z14" s="334">
        <f>'Consolidado-Eletronorte'!AZ36/1000</f>
      </c>
    </row>
    <row x14ac:dyDescent="0.25" r="15" customHeight="1" ht="18.75">
      <c r="A15" s="1"/>
      <c r="B15" s="332" t="s">
        <v>39990</v>
      </c>
      <c r="C15" s="332" t="s">
        <v>21</v>
      </c>
      <c r="D15" s="332" t="s">
        <v>21</v>
      </c>
      <c r="E15" s="332" t="s">
        <v>39949</v>
      </c>
      <c r="F15" s="333">
        <v>4500081780</v>
      </c>
      <c r="G15" s="332" t="s">
        <v>39991</v>
      </c>
      <c r="H15" s="332" t="s">
        <v>39912</v>
      </c>
      <c r="I15" s="334">
        <f>'Consolidado-Eletronorte'!AI38/1000</f>
      </c>
      <c r="J15" s="334">
        <f>'Consolidado-Eletronorte'!AJ38/1000</f>
      </c>
      <c r="K15" s="334">
        <f>'Consolidado-Eletronorte'!AK38/1000</f>
      </c>
      <c r="L15" s="334">
        <f>'Consolidado-Eletronorte'!AL38/1000</f>
      </c>
      <c r="M15" s="334">
        <f>'Consolidado-Eletronorte'!AM38/1000</f>
      </c>
      <c r="N15" s="334">
        <f>'Consolidado-Eletronorte'!AN38/1000</f>
      </c>
      <c r="O15" s="334">
        <f>'Consolidado-Eletronorte'!AO38/1000</f>
      </c>
      <c r="P15" s="334">
        <f>'Consolidado-Eletronorte'!AP38/1000</f>
      </c>
      <c r="Q15" s="334">
        <f>'Consolidado-Eletronorte'!AQ38/1000</f>
      </c>
      <c r="R15" s="334">
        <f>'Consolidado-Eletronorte'!AR38/1000</f>
      </c>
      <c r="S15" s="334">
        <f>'Consolidado-Eletronorte'!AS38/1000</f>
      </c>
      <c r="T15" s="334">
        <f>'Consolidado-Eletronorte'!AT38/1000</f>
      </c>
      <c r="U15" s="334">
        <f>'Consolidado-Eletronorte'!AU38/1000</f>
      </c>
      <c r="V15" s="334">
        <f>'Consolidado-Eletronorte'!AV38/1000</f>
      </c>
      <c r="W15" s="334">
        <f>'Consolidado-Eletronorte'!AW38/1000</f>
      </c>
      <c r="X15" s="334">
        <f>'Consolidado-Eletronorte'!AX38/1000</f>
      </c>
      <c r="Y15" s="334">
        <f>'Consolidado-Eletronorte'!AY38/1000</f>
      </c>
      <c r="Z15" s="334">
        <f>'Consolidado-Eletronorte'!AZ38/1000</f>
      </c>
    </row>
    <row x14ac:dyDescent="0.25" r="16" customHeight="1" ht="18.75">
      <c r="A16" s="1"/>
      <c r="B16" s="335" t="s">
        <v>39967</v>
      </c>
      <c r="C16" s="335" t="s">
        <v>21</v>
      </c>
      <c r="D16" s="335" t="s">
        <v>21</v>
      </c>
      <c r="E16" s="335" t="s">
        <v>39932</v>
      </c>
      <c r="F16" s="336" t="s">
        <v>41222</v>
      </c>
      <c r="G16" s="335" t="s">
        <v>39968</v>
      </c>
      <c r="H16" s="335" t="s">
        <v>39969</v>
      </c>
      <c r="I16" s="334">
        <f>'Consolidado-Eletronorte'!AI39/1000</f>
      </c>
      <c r="J16" s="334">
        <f>'Consolidado-Eletronorte'!AJ39/1000</f>
      </c>
      <c r="K16" s="334">
        <f>'Consolidado-Eletronorte'!AK39/1000</f>
      </c>
      <c r="L16" s="334">
        <f>'Consolidado-Eletronorte'!AL39/1000</f>
      </c>
      <c r="M16" s="334">
        <f>'Consolidado-Eletronorte'!AM39/1000</f>
      </c>
      <c r="N16" s="334">
        <f>'Consolidado-Eletronorte'!AN39/1000</f>
      </c>
      <c r="O16" s="334">
        <f>'Consolidado-Eletronorte'!AO39/1000</f>
      </c>
      <c r="P16" s="334">
        <f>'Consolidado-Eletronorte'!AP39/1000</f>
      </c>
      <c r="Q16" s="334">
        <f>'Consolidado-Eletronorte'!AQ39/1000</f>
      </c>
      <c r="R16" s="334">
        <f>'Consolidado-Eletronorte'!AR39/1000</f>
      </c>
      <c r="S16" s="334">
        <f>'Consolidado-Eletronorte'!AS39/1000</f>
      </c>
      <c r="T16" s="334">
        <f>'Consolidado-Eletronorte'!AT39/1000</f>
      </c>
      <c r="U16" s="334">
        <f>'Consolidado-Eletronorte'!AU39/1000</f>
      </c>
      <c r="V16" s="334">
        <f>'Consolidado-Eletronorte'!AV39/1000</f>
      </c>
      <c r="W16" s="334">
        <f>'Consolidado-Eletronorte'!AW39/1000</f>
      </c>
      <c r="X16" s="334">
        <f>'Consolidado-Eletronorte'!AX39/1000</f>
      </c>
      <c r="Y16" s="334">
        <f>'Consolidado-Eletronorte'!AY39/1000</f>
      </c>
      <c r="Z16" s="334">
        <f>'Consolidado-Eletronorte'!AZ39/1000</f>
      </c>
    </row>
    <row x14ac:dyDescent="0.25" r="17" customHeight="1" ht="18.75">
      <c r="A17" s="1"/>
      <c r="B17" s="332" t="s">
        <v>40051</v>
      </c>
      <c r="C17" s="332" t="s">
        <v>21</v>
      </c>
      <c r="D17" s="332" t="s">
        <v>21</v>
      </c>
      <c r="E17" s="332" t="s">
        <v>39949</v>
      </c>
      <c r="F17" s="333">
        <v>4500083041</v>
      </c>
      <c r="G17" s="332" t="s">
        <v>40052</v>
      </c>
      <c r="H17" s="332" t="s">
        <v>39998</v>
      </c>
      <c r="I17" s="334">
        <f>'Consolidado-Eletronorte'!AI40/1000</f>
      </c>
      <c r="J17" s="334">
        <f>'Consolidado-Eletronorte'!AJ40/1000</f>
      </c>
      <c r="K17" s="334">
        <f>'Consolidado-Eletronorte'!AK40/1000</f>
      </c>
      <c r="L17" s="334">
        <f>'Consolidado-Eletronorte'!AL40/1000</f>
      </c>
      <c r="M17" s="334">
        <f>'Consolidado-Eletronorte'!AM40/1000</f>
      </c>
      <c r="N17" s="334">
        <f>'Consolidado-Eletronorte'!AN40/1000</f>
      </c>
      <c r="O17" s="334">
        <f>'Consolidado-Eletronorte'!AO40/1000</f>
      </c>
      <c r="P17" s="334">
        <f>'Consolidado-Eletronorte'!AP40/1000</f>
      </c>
      <c r="Q17" s="334">
        <f>'Consolidado-Eletronorte'!AQ40/1000</f>
      </c>
      <c r="R17" s="334">
        <f>'Consolidado-Eletronorte'!AR40/1000</f>
      </c>
      <c r="S17" s="334">
        <f>'Consolidado-Eletronorte'!AS40/1000</f>
      </c>
      <c r="T17" s="334">
        <f>'Consolidado-Eletronorte'!AT40/1000</f>
      </c>
      <c r="U17" s="334">
        <f>'Consolidado-Eletronorte'!AU40/1000</f>
      </c>
      <c r="V17" s="334">
        <f>'Consolidado-Eletronorte'!AV40/1000</f>
      </c>
      <c r="W17" s="334">
        <f>'Consolidado-Eletronorte'!AW40/1000</f>
      </c>
      <c r="X17" s="334">
        <f>'Consolidado-Eletronorte'!AX40/1000</f>
      </c>
      <c r="Y17" s="334">
        <f>'Consolidado-Eletronorte'!AY40/1000</f>
      </c>
      <c r="Z17" s="334">
        <f>'Consolidado-Eletronorte'!AZ40/1000</f>
      </c>
    </row>
    <row x14ac:dyDescent="0.25" r="18" customHeight="1" ht="18.75">
      <c r="A18" s="1"/>
      <c r="B18" s="335" t="s">
        <v>39996</v>
      </c>
      <c r="C18" s="335" t="s">
        <v>21</v>
      </c>
      <c r="D18" s="335" t="s">
        <v>21</v>
      </c>
      <c r="E18" s="335" t="s">
        <v>39949</v>
      </c>
      <c r="F18" s="336">
        <v>3400004383</v>
      </c>
      <c r="G18" s="335" t="s">
        <v>39997</v>
      </c>
      <c r="H18" s="335" t="s">
        <v>39998</v>
      </c>
      <c r="I18" s="334">
        <f>'Consolidado-Eletronorte'!AI41/1000</f>
      </c>
      <c r="J18" s="334">
        <f>'Consolidado-Eletronorte'!AJ41/1000</f>
      </c>
      <c r="K18" s="334">
        <f>'Consolidado-Eletronorte'!AK41/1000</f>
      </c>
      <c r="L18" s="334">
        <f>'Consolidado-Eletronorte'!AL41/1000</f>
      </c>
      <c r="M18" s="334">
        <f>'Consolidado-Eletronorte'!AM41/1000</f>
      </c>
      <c r="N18" s="334">
        <f>'Consolidado-Eletronorte'!AN41/1000</f>
      </c>
      <c r="O18" s="334">
        <f>'Consolidado-Eletronorte'!AO41/1000</f>
      </c>
      <c r="P18" s="334">
        <f>'Consolidado-Eletronorte'!AP41/1000</f>
      </c>
      <c r="Q18" s="334">
        <f>'Consolidado-Eletronorte'!AQ41/1000</f>
      </c>
      <c r="R18" s="334">
        <f>'Consolidado-Eletronorte'!AR41/1000</f>
      </c>
      <c r="S18" s="334">
        <f>'Consolidado-Eletronorte'!AS41/1000</f>
      </c>
      <c r="T18" s="334">
        <f>'Consolidado-Eletronorte'!AT41/1000</f>
      </c>
      <c r="U18" s="334">
        <f>'Consolidado-Eletronorte'!AU41/1000</f>
      </c>
      <c r="V18" s="334">
        <f>'Consolidado-Eletronorte'!AV41/1000</f>
      </c>
      <c r="W18" s="334">
        <f>'Consolidado-Eletronorte'!AW41/1000</f>
      </c>
      <c r="X18" s="334">
        <f>'Consolidado-Eletronorte'!AX41/1000</f>
      </c>
      <c r="Y18" s="334">
        <f>'Consolidado-Eletronorte'!AY41/1000</f>
      </c>
      <c r="Z18" s="334">
        <f>'Consolidado-Eletronorte'!AZ41/1000</f>
      </c>
    </row>
    <row x14ac:dyDescent="0.25" r="19" customHeight="1" ht="18.75">
      <c r="A19" s="1"/>
      <c r="B19" s="332" t="s">
        <v>40062</v>
      </c>
      <c r="C19" s="332" t="s">
        <v>21</v>
      </c>
      <c r="D19" s="332" t="s">
        <v>21</v>
      </c>
      <c r="E19" s="332" t="s">
        <v>39932</v>
      </c>
      <c r="F19" s="333" t="s">
        <v>41222</v>
      </c>
      <c r="G19" s="332" t="s">
        <v>40063</v>
      </c>
      <c r="H19" s="332" t="s">
        <v>39998</v>
      </c>
      <c r="I19" s="334">
        <f>'Consolidado-Eletronorte'!AI42/1000</f>
      </c>
      <c r="J19" s="334">
        <f>'Consolidado-Eletronorte'!AJ42/1000</f>
      </c>
      <c r="K19" s="334">
        <f>'Consolidado-Eletronorte'!AK42/1000</f>
      </c>
      <c r="L19" s="334">
        <f>'Consolidado-Eletronorte'!AL42/1000</f>
      </c>
      <c r="M19" s="334">
        <f>'Consolidado-Eletronorte'!AM42/1000</f>
      </c>
      <c r="N19" s="334">
        <f>'Consolidado-Eletronorte'!AN42/1000</f>
      </c>
      <c r="O19" s="334">
        <f>'Consolidado-Eletronorte'!AO42/1000</f>
      </c>
      <c r="P19" s="334">
        <f>'Consolidado-Eletronorte'!AP42/1000</f>
      </c>
      <c r="Q19" s="334">
        <f>'Consolidado-Eletronorte'!AQ42/1000</f>
      </c>
      <c r="R19" s="334">
        <f>'Consolidado-Eletronorte'!AR42/1000</f>
      </c>
      <c r="S19" s="334">
        <f>'Consolidado-Eletronorte'!AS42/1000</f>
      </c>
      <c r="T19" s="334">
        <f>'Consolidado-Eletronorte'!AT42/1000</f>
      </c>
      <c r="U19" s="334">
        <f>'Consolidado-Eletronorte'!AU42/1000</f>
      </c>
      <c r="V19" s="334">
        <f>'Consolidado-Eletronorte'!AV42/1000</f>
      </c>
      <c r="W19" s="334">
        <f>'Consolidado-Eletronorte'!AW42/1000</f>
      </c>
      <c r="X19" s="334">
        <f>'Consolidado-Eletronorte'!AX42/1000</f>
      </c>
      <c r="Y19" s="334">
        <f>'Consolidado-Eletronorte'!AY42/1000</f>
      </c>
      <c r="Z19" s="334">
        <f>'Consolidado-Eletronorte'!AZ42/1000</f>
      </c>
    </row>
    <row x14ac:dyDescent="0.25" r="20" customHeight="1" ht="18.75">
      <c r="A20" s="1"/>
      <c r="B20" s="335" t="s">
        <v>40065</v>
      </c>
      <c r="C20" s="335" t="s">
        <v>21</v>
      </c>
      <c r="D20" s="335" t="s">
        <v>21</v>
      </c>
      <c r="E20" s="335" t="s">
        <v>39932</v>
      </c>
      <c r="F20" s="336" t="s">
        <v>41222</v>
      </c>
      <c r="G20" s="335" t="s">
        <v>40066</v>
      </c>
      <c r="H20" s="335" t="s">
        <v>39998</v>
      </c>
      <c r="I20" s="334">
        <f>'Consolidado-Eletronorte'!AI43/1000</f>
      </c>
      <c r="J20" s="334">
        <f>'Consolidado-Eletronorte'!AJ43/1000</f>
      </c>
      <c r="K20" s="334">
        <f>'Consolidado-Eletronorte'!AK43/1000</f>
      </c>
      <c r="L20" s="334">
        <f>'Consolidado-Eletronorte'!AL43/1000</f>
      </c>
      <c r="M20" s="334">
        <f>'Consolidado-Eletronorte'!AM43/1000</f>
      </c>
      <c r="N20" s="334">
        <f>'Consolidado-Eletronorte'!AN43/1000</f>
      </c>
      <c r="O20" s="334">
        <f>'Consolidado-Eletronorte'!AO43/1000</f>
      </c>
      <c r="P20" s="334">
        <f>'Consolidado-Eletronorte'!AP43/1000</f>
      </c>
      <c r="Q20" s="334">
        <f>'Consolidado-Eletronorte'!AQ43/1000</f>
      </c>
      <c r="R20" s="334">
        <f>'Consolidado-Eletronorte'!AR43/1000</f>
      </c>
      <c r="S20" s="334">
        <f>'Consolidado-Eletronorte'!AS43/1000</f>
      </c>
      <c r="T20" s="334">
        <f>'Consolidado-Eletronorte'!AT43/1000</f>
      </c>
      <c r="U20" s="334">
        <f>'Consolidado-Eletronorte'!AU43/1000</f>
      </c>
      <c r="V20" s="334">
        <f>'Consolidado-Eletronorte'!AV43/1000</f>
      </c>
      <c r="W20" s="334">
        <f>'Consolidado-Eletronorte'!AW43/1000</f>
      </c>
      <c r="X20" s="334">
        <f>'Consolidado-Eletronorte'!AX43/1000</f>
      </c>
      <c r="Y20" s="334">
        <f>'Consolidado-Eletronorte'!AY43/1000</f>
      </c>
      <c r="Z20" s="334">
        <f>'Consolidado-Eletronorte'!AZ43/1000</f>
      </c>
    </row>
    <row x14ac:dyDescent="0.25" r="21" customHeight="1" ht="18.75">
      <c r="A21" s="1"/>
      <c r="B21" s="332" t="s">
        <v>40001</v>
      </c>
      <c r="C21" s="332" t="s">
        <v>21</v>
      </c>
      <c r="D21" s="332" t="s">
        <v>21</v>
      </c>
      <c r="E21" s="332" t="s">
        <v>39932</v>
      </c>
      <c r="F21" s="333">
        <v>4500073892</v>
      </c>
      <c r="G21" s="332" t="s">
        <v>40002</v>
      </c>
      <c r="H21" s="332" t="s">
        <v>39912</v>
      </c>
      <c r="I21" s="334">
        <f>'Consolidado-Eletronorte'!AI44/1000</f>
      </c>
      <c r="J21" s="334">
        <f>'Consolidado-Eletronorte'!AJ44/1000</f>
      </c>
      <c r="K21" s="334">
        <f>'Consolidado-Eletronorte'!AK44/1000</f>
      </c>
      <c r="L21" s="334">
        <f>'Consolidado-Eletronorte'!AL44/1000</f>
      </c>
      <c r="M21" s="334">
        <f>'Consolidado-Eletronorte'!AM44/1000</f>
      </c>
      <c r="N21" s="334">
        <f>'Consolidado-Eletronorte'!AN44/1000</f>
      </c>
      <c r="O21" s="334">
        <f>'Consolidado-Eletronorte'!AO44/1000</f>
      </c>
      <c r="P21" s="334">
        <f>'Consolidado-Eletronorte'!AP44/1000</f>
      </c>
      <c r="Q21" s="334">
        <f>'Consolidado-Eletronorte'!AQ44/1000</f>
      </c>
      <c r="R21" s="334">
        <f>'Consolidado-Eletronorte'!AR44/1000</f>
      </c>
      <c r="S21" s="334">
        <f>'Consolidado-Eletronorte'!AS44/1000</f>
      </c>
      <c r="T21" s="334">
        <f>'Consolidado-Eletronorte'!AT44/1000</f>
      </c>
      <c r="U21" s="334">
        <f>'Consolidado-Eletronorte'!AU44/1000</f>
      </c>
      <c r="V21" s="334">
        <f>'Consolidado-Eletronorte'!AV44/1000</f>
      </c>
      <c r="W21" s="334">
        <f>'Consolidado-Eletronorte'!AW44/1000</f>
      </c>
      <c r="X21" s="334">
        <f>'Consolidado-Eletronorte'!AX44/1000</f>
      </c>
      <c r="Y21" s="334">
        <f>'Consolidado-Eletronorte'!AY44/1000</f>
      </c>
      <c r="Z21" s="334">
        <f>'Consolidado-Eletronorte'!AZ44/1000</f>
      </c>
    </row>
    <row x14ac:dyDescent="0.25" r="22" customHeight="1" ht="18.75">
      <c r="A22" s="1"/>
      <c r="B22" s="335" t="s">
        <v>40069</v>
      </c>
      <c r="C22" s="335" t="s">
        <v>21</v>
      </c>
      <c r="D22" s="335" t="s">
        <v>21</v>
      </c>
      <c r="E22" s="335" t="s">
        <v>40068</v>
      </c>
      <c r="F22" s="336">
        <v>4500063694</v>
      </c>
      <c r="G22" s="335" t="s">
        <v>40070</v>
      </c>
      <c r="H22" s="335" t="s">
        <v>39912</v>
      </c>
      <c r="I22" s="334">
        <f>'Consolidado-Eletronorte'!AI45/1000</f>
      </c>
      <c r="J22" s="334">
        <f>'Consolidado-Eletronorte'!AJ45/1000</f>
      </c>
      <c r="K22" s="334">
        <f>'Consolidado-Eletronorte'!AK45/1000</f>
      </c>
      <c r="L22" s="334">
        <f>'Consolidado-Eletronorte'!AL45/1000</f>
      </c>
      <c r="M22" s="334">
        <f>'Consolidado-Eletronorte'!AM45/1000</f>
      </c>
      <c r="N22" s="334">
        <f>'Consolidado-Eletronorte'!AN45/1000</f>
      </c>
      <c r="O22" s="334">
        <f>'Consolidado-Eletronorte'!AO45/1000</f>
      </c>
      <c r="P22" s="334">
        <f>'Consolidado-Eletronorte'!AP45/1000</f>
      </c>
      <c r="Q22" s="334">
        <f>'Consolidado-Eletronorte'!AQ45/1000</f>
      </c>
      <c r="R22" s="334">
        <f>'Consolidado-Eletronorte'!AR45/1000</f>
      </c>
      <c r="S22" s="334">
        <f>'Consolidado-Eletronorte'!AS45/1000</f>
      </c>
      <c r="T22" s="334">
        <f>'Consolidado-Eletronorte'!AT45/1000</f>
      </c>
      <c r="U22" s="334">
        <f>'Consolidado-Eletronorte'!AU45/1000</f>
      </c>
      <c r="V22" s="334">
        <f>'Consolidado-Eletronorte'!AV45/1000</f>
      </c>
      <c r="W22" s="334">
        <f>'Consolidado-Eletronorte'!AW45/1000</f>
      </c>
      <c r="X22" s="334">
        <f>'Consolidado-Eletronorte'!AX45/1000</f>
      </c>
      <c r="Y22" s="334">
        <f>'Consolidado-Eletronorte'!AY45/1000</f>
      </c>
      <c r="Z22" s="334">
        <f>'Consolidado-Eletronorte'!AZ45/1000</f>
      </c>
    </row>
    <row x14ac:dyDescent="0.25" r="23" customHeight="1" ht="18.75">
      <c r="A23" s="1"/>
      <c r="B23" s="332" t="s">
        <v>41223</v>
      </c>
      <c r="C23" s="332" t="s">
        <v>21</v>
      </c>
      <c r="D23" s="332" t="s">
        <v>21</v>
      </c>
      <c r="E23" s="332" t="s">
        <v>39949</v>
      </c>
      <c r="F23" s="333" t="s">
        <v>41222</v>
      </c>
      <c r="G23" s="332"/>
      <c r="H23" s="332" t="s">
        <v>39945</v>
      </c>
      <c r="I23" s="334">
        <f>'Consolidado-Eletronorte'!AI46/1000</f>
      </c>
      <c r="J23" s="334">
        <f>'Consolidado-Eletronorte'!AJ46/1000</f>
      </c>
      <c r="K23" s="334">
        <f>'Consolidado-Eletronorte'!AK46/1000</f>
      </c>
      <c r="L23" s="334">
        <f>'Consolidado-Eletronorte'!AL46/1000</f>
      </c>
      <c r="M23" s="334">
        <f>'Consolidado-Eletronorte'!AM46/1000</f>
      </c>
      <c r="N23" s="334">
        <f>'Consolidado-Eletronorte'!AN46/1000</f>
      </c>
      <c r="O23" s="334">
        <f>'Consolidado-Eletronorte'!AO46/1000</f>
      </c>
      <c r="P23" s="334">
        <f>'Consolidado-Eletronorte'!AP46/1000</f>
      </c>
      <c r="Q23" s="334">
        <f>'Consolidado-Eletronorte'!AQ46/1000</f>
      </c>
      <c r="R23" s="334">
        <f>'Consolidado-Eletronorte'!AR46/1000</f>
      </c>
      <c r="S23" s="334">
        <f>'Consolidado-Eletronorte'!AS46/1000</f>
      </c>
      <c r="T23" s="334">
        <f>'Consolidado-Eletronorte'!AT46/1000</f>
      </c>
      <c r="U23" s="334">
        <f>'Consolidado-Eletronorte'!AU46/1000</f>
      </c>
      <c r="V23" s="334">
        <f>'Consolidado-Eletronorte'!AV46/1000</f>
      </c>
      <c r="W23" s="334">
        <f>'Consolidado-Eletronorte'!AW46/1000</f>
      </c>
      <c r="X23" s="334">
        <f>'Consolidado-Eletronorte'!AX46/1000</f>
      </c>
      <c r="Y23" s="334">
        <f>'Consolidado-Eletronorte'!AY46/1000</f>
      </c>
      <c r="Z23" s="334">
        <f>'Consolidado-Eletronorte'!AZ46/1000</f>
      </c>
    </row>
    <row x14ac:dyDescent="0.25" r="24" customHeight="1" ht="18.75">
      <c r="A24" s="1"/>
      <c r="B24" s="335" t="s">
        <v>40011</v>
      </c>
      <c r="C24" s="335" t="s">
        <v>21</v>
      </c>
      <c r="D24" s="335" t="s">
        <v>21</v>
      </c>
      <c r="E24" s="335" t="s">
        <v>39932</v>
      </c>
      <c r="F24" s="336" t="s">
        <v>41222</v>
      </c>
      <c r="G24" s="335" t="s">
        <v>40012</v>
      </c>
      <c r="H24" s="335" t="s">
        <v>39969</v>
      </c>
      <c r="I24" s="334">
        <f>'Consolidado-Eletronorte'!AI47/1000</f>
      </c>
      <c r="J24" s="334">
        <f>'Consolidado-Eletronorte'!AJ47/1000</f>
      </c>
      <c r="K24" s="334">
        <f>'Consolidado-Eletronorte'!AK47/1000</f>
      </c>
      <c r="L24" s="334">
        <f>'Consolidado-Eletronorte'!AL47/1000</f>
      </c>
      <c r="M24" s="334">
        <f>'Consolidado-Eletronorte'!AM47/1000</f>
      </c>
      <c r="N24" s="334">
        <f>'Consolidado-Eletronorte'!AN47/1000</f>
      </c>
      <c r="O24" s="334">
        <f>'Consolidado-Eletronorte'!AO47/1000</f>
      </c>
      <c r="P24" s="334">
        <f>'Consolidado-Eletronorte'!AP47/1000</f>
      </c>
      <c r="Q24" s="334">
        <f>'Consolidado-Eletronorte'!AQ47/1000</f>
      </c>
      <c r="R24" s="334">
        <f>'Consolidado-Eletronorte'!AR47/1000</f>
      </c>
      <c r="S24" s="334">
        <f>'Consolidado-Eletronorte'!AS47/1000</f>
      </c>
      <c r="T24" s="334">
        <f>'Consolidado-Eletronorte'!AT47/1000</f>
      </c>
      <c r="U24" s="334">
        <f>'Consolidado-Eletronorte'!AU47/1000</f>
      </c>
      <c r="V24" s="334">
        <f>'Consolidado-Eletronorte'!AV47/1000</f>
      </c>
      <c r="W24" s="334">
        <f>'Consolidado-Eletronorte'!AW47/1000</f>
      </c>
      <c r="X24" s="334">
        <f>'Consolidado-Eletronorte'!AX47/1000</f>
      </c>
      <c r="Y24" s="334">
        <f>'Consolidado-Eletronorte'!AY47/1000</f>
      </c>
      <c r="Z24" s="334">
        <f>'Consolidado-Eletronorte'!AZ47/1000</f>
      </c>
    </row>
    <row x14ac:dyDescent="0.25" r="25" customHeight="1" ht="18.75">
      <c r="A25" s="1"/>
      <c r="B25" s="332" t="s">
        <v>40016</v>
      </c>
      <c r="C25" s="332" t="s">
        <v>21</v>
      </c>
      <c r="D25" s="332" t="s">
        <v>74</v>
      </c>
      <c r="E25" s="332" t="s">
        <v>41153</v>
      </c>
      <c r="F25" s="333" t="s">
        <v>41224</v>
      </c>
      <c r="G25" s="332" t="s">
        <v>40017</v>
      </c>
      <c r="H25" s="332" t="s">
        <v>39998</v>
      </c>
      <c r="I25" s="334">
        <f>'Consolidado-Eletronorte'!AI48/1000</f>
      </c>
      <c r="J25" s="334">
        <f>'Consolidado-Eletronorte'!AJ48/1000</f>
      </c>
      <c r="K25" s="334">
        <f>'Consolidado-Eletronorte'!AK48/1000</f>
      </c>
      <c r="L25" s="334">
        <f>'Consolidado-Eletronorte'!AL48/1000</f>
      </c>
      <c r="M25" s="334">
        <f>'Consolidado-Eletronorte'!AM48/1000</f>
      </c>
      <c r="N25" s="334">
        <f>'Consolidado-Eletronorte'!AN48/1000</f>
      </c>
      <c r="O25" s="334">
        <f>'Consolidado-Eletronorte'!AO48/1000</f>
      </c>
      <c r="P25" s="334">
        <f>'Consolidado-Eletronorte'!AP48/1000</f>
      </c>
      <c r="Q25" s="334">
        <f>'Consolidado-Eletronorte'!AQ48/1000</f>
      </c>
      <c r="R25" s="334">
        <f>'Consolidado-Eletronorte'!AR48/1000</f>
      </c>
      <c r="S25" s="334">
        <f>'Consolidado-Eletronorte'!AS48/1000</f>
      </c>
      <c r="T25" s="334">
        <f>'Consolidado-Eletronorte'!AT48/1000</f>
      </c>
      <c r="U25" s="334">
        <f>'Consolidado-Eletronorte'!AU48/1000</f>
      </c>
      <c r="V25" s="334">
        <f>'Consolidado-Eletronorte'!AV48/1000</f>
      </c>
      <c r="W25" s="334">
        <f>'Consolidado-Eletronorte'!AW48/1000</f>
      </c>
      <c r="X25" s="334">
        <f>'Consolidado-Eletronorte'!AX48/1000</f>
      </c>
      <c r="Y25" s="334">
        <f>'Consolidado-Eletronorte'!AY48/1000</f>
      </c>
      <c r="Z25" s="334">
        <f>'Consolidado-Eletronorte'!AZ48/1000</f>
      </c>
    </row>
    <row x14ac:dyDescent="0.25" r="26" customHeight="1" ht="18.75">
      <c r="A26" s="1"/>
      <c r="B26" s="335" t="s">
        <v>40081</v>
      </c>
      <c r="C26" s="335" t="s">
        <v>21</v>
      </c>
      <c r="D26" s="335" t="s">
        <v>21</v>
      </c>
      <c r="E26" s="335" t="s">
        <v>39949</v>
      </c>
      <c r="F26" s="336">
        <v>3400002925</v>
      </c>
      <c r="G26" s="335" t="s">
        <v>40082</v>
      </c>
      <c r="H26" s="335" t="s">
        <v>39998</v>
      </c>
      <c r="I26" s="334">
        <f>'Consolidado-Eletronorte'!AI49/1000</f>
      </c>
      <c r="J26" s="334">
        <f>'Consolidado-Eletronorte'!AJ49/1000</f>
      </c>
      <c r="K26" s="334">
        <f>'Consolidado-Eletronorte'!AK49/1000</f>
      </c>
      <c r="L26" s="334">
        <f>'Consolidado-Eletronorte'!AL49/1000</f>
      </c>
      <c r="M26" s="334">
        <f>'Consolidado-Eletronorte'!AM49/1000</f>
      </c>
      <c r="N26" s="334">
        <f>'Consolidado-Eletronorte'!AN49/1000</f>
      </c>
      <c r="O26" s="334">
        <f>'Consolidado-Eletronorte'!AO49/1000</f>
      </c>
      <c r="P26" s="334">
        <f>'Consolidado-Eletronorte'!AP49/1000</f>
      </c>
      <c r="Q26" s="334">
        <f>'Consolidado-Eletronorte'!AQ49/1000</f>
      </c>
      <c r="R26" s="334">
        <f>'Consolidado-Eletronorte'!AR49/1000</f>
      </c>
      <c r="S26" s="334">
        <f>'Consolidado-Eletronorte'!AS49/1000</f>
      </c>
      <c r="T26" s="334">
        <f>'Consolidado-Eletronorte'!AT49/1000</f>
      </c>
      <c r="U26" s="334">
        <f>'Consolidado-Eletronorte'!AU49/1000</f>
      </c>
      <c r="V26" s="334">
        <f>'Consolidado-Eletronorte'!AV49/1000</f>
      </c>
      <c r="W26" s="334">
        <f>'Consolidado-Eletronorte'!AW49/1000</f>
      </c>
      <c r="X26" s="334">
        <f>'Consolidado-Eletronorte'!AX49/1000</f>
      </c>
      <c r="Y26" s="334">
        <f>'Consolidado-Eletronorte'!AY49/1000</f>
      </c>
      <c r="Z26" s="334">
        <f>'Consolidado-Eletronorte'!AZ49/1000</f>
      </c>
    </row>
    <row x14ac:dyDescent="0.25" r="27" customHeight="1" ht="18.75">
      <c r="A27" s="1"/>
      <c r="B27" s="332" t="s">
        <v>40037</v>
      </c>
      <c r="C27" s="332" t="s">
        <v>21</v>
      </c>
      <c r="D27" s="332" t="s">
        <v>21</v>
      </c>
      <c r="E27" s="332" t="s">
        <v>39932</v>
      </c>
      <c r="F27" s="333" t="s">
        <v>41225</v>
      </c>
      <c r="G27" s="332" t="s">
        <v>40038</v>
      </c>
      <c r="H27" s="332" t="s">
        <v>39912</v>
      </c>
      <c r="I27" s="334">
        <f>'Consolidado-Eletronorte'!AI50/1000</f>
      </c>
      <c r="J27" s="334">
        <f>'Consolidado-Eletronorte'!AJ50/1000</f>
      </c>
      <c r="K27" s="334">
        <f>'Consolidado-Eletronorte'!AK50/1000</f>
      </c>
      <c r="L27" s="334">
        <f>'Consolidado-Eletronorte'!AL50/1000</f>
      </c>
      <c r="M27" s="334">
        <f>'Consolidado-Eletronorte'!AM50/1000</f>
      </c>
      <c r="N27" s="334">
        <f>'Consolidado-Eletronorte'!AN50/1000</f>
      </c>
      <c r="O27" s="334">
        <f>'Consolidado-Eletronorte'!AO50/1000</f>
      </c>
      <c r="P27" s="334">
        <f>'Consolidado-Eletronorte'!AP50/1000</f>
      </c>
      <c r="Q27" s="334">
        <f>'Consolidado-Eletronorte'!AQ50/1000</f>
      </c>
      <c r="R27" s="334">
        <f>'Consolidado-Eletronorte'!AR50/1000</f>
      </c>
      <c r="S27" s="334">
        <f>'Consolidado-Eletronorte'!AS50/1000</f>
      </c>
      <c r="T27" s="334">
        <f>'Consolidado-Eletronorte'!AT50/1000</f>
      </c>
      <c r="U27" s="334">
        <f>'Consolidado-Eletronorte'!AU50/1000</f>
      </c>
      <c r="V27" s="334">
        <f>'Consolidado-Eletronorte'!AV50/1000</f>
      </c>
      <c r="W27" s="334">
        <f>'Consolidado-Eletronorte'!AW50/1000</f>
      </c>
      <c r="X27" s="334">
        <f>'Consolidado-Eletronorte'!AX50/1000</f>
      </c>
      <c r="Y27" s="334">
        <f>'Consolidado-Eletronorte'!AY50/1000</f>
      </c>
      <c r="Z27" s="334">
        <f>'Consolidado-Eletronorte'!AZ50/1000</f>
      </c>
    </row>
    <row x14ac:dyDescent="0.25" r="28" customHeight="1" ht="18.75">
      <c r="A28" s="1"/>
      <c r="B28" s="335" t="s">
        <v>40103</v>
      </c>
      <c r="C28" s="335" t="s">
        <v>21</v>
      </c>
      <c r="D28" s="335" t="s">
        <v>21</v>
      </c>
      <c r="E28" s="335" t="s">
        <v>39932</v>
      </c>
      <c r="F28" s="336">
        <v>4500084896</v>
      </c>
      <c r="G28" s="335" t="s">
        <v>40104</v>
      </c>
      <c r="H28" s="335" t="s">
        <v>39912</v>
      </c>
      <c r="I28" s="334">
        <f>'Consolidado-Eletronorte'!AI51/1000</f>
      </c>
      <c r="J28" s="334">
        <f>'Consolidado-Eletronorte'!AJ51/1000</f>
      </c>
      <c r="K28" s="334">
        <f>'Consolidado-Eletronorte'!AK51/1000</f>
      </c>
      <c r="L28" s="334">
        <f>'Consolidado-Eletronorte'!AL51/1000</f>
      </c>
      <c r="M28" s="334">
        <f>'Consolidado-Eletronorte'!AM51/1000</f>
      </c>
      <c r="N28" s="334">
        <f>'Consolidado-Eletronorte'!AN51/1000</f>
      </c>
      <c r="O28" s="334">
        <f>'Consolidado-Eletronorte'!AO51/1000</f>
      </c>
      <c r="P28" s="334">
        <f>'Consolidado-Eletronorte'!AP51/1000</f>
      </c>
      <c r="Q28" s="334">
        <f>'Consolidado-Eletronorte'!AQ51/1000</f>
      </c>
      <c r="R28" s="334">
        <f>'Consolidado-Eletronorte'!AR51/1000</f>
      </c>
      <c r="S28" s="334">
        <f>'Consolidado-Eletronorte'!AS51/1000</f>
      </c>
      <c r="T28" s="334">
        <f>'Consolidado-Eletronorte'!AT51/1000</f>
      </c>
      <c r="U28" s="334">
        <f>'Consolidado-Eletronorte'!AU51/1000</f>
      </c>
      <c r="V28" s="334">
        <f>'Consolidado-Eletronorte'!AV51/1000</f>
      </c>
      <c r="W28" s="334">
        <f>'Consolidado-Eletronorte'!AW51/1000</f>
      </c>
      <c r="X28" s="334">
        <f>'Consolidado-Eletronorte'!AX51/1000</f>
      </c>
      <c r="Y28" s="334">
        <f>'Consolidado-Eletronorte'!AY51/1000</f>
      </c>
      <c r="Z28" s="334">
        <f>'Consolidado-Eletronorte'!AZ51/1000</f>
      </c>
    </row>
    <row x14ac:dyDescent="0.25" r="29" customHeight="1" ht="18.75">
      <c r="A29" s="1"/>
      <c r="B29" s="332" t="s">
        <v>40088</v>
      </c>
      <c r="C29" s="332" t="s">
        <v>21</v>
      </c>
      <c r="D29" s="332" t="s">
        <v>21</v>
      </c>
      <c r="E29" s="332" t="s">
        <v>39932</v>
      </c>
      <c r="F29" s="333">
        <v>3400004431</v>
      </c>
      <c r="G29" s="332" t="s">
        <v>40089</v>
      </c>
      <c r="H29" s="332" t="s">
        <v>39998</v>
      </c>
      <c r="I29" s="334">
        <f>'Consolidado-Eletronorte'!AI52/1000</f>
      </c>
      <c r="J29" s="334">
        <f>'Consolidado-Eletronorte'!AJ52/1000</f>
      </c>
      <c r="K29" s="334">
        <f>'Consolidado-Eletronorte'!AK52/1000</f>
      </c>
      <c r="L29" s="334">
        <f>'Consolidado-Eletronorte'!AL52/1000</f>
      </c>
      <c r="M29" s="334">
        <f>'Consolidado-Eletronorte'!AM52/1000</f>
      </c>
      <c r="N29" s="334">
        <f>'Consolidado-Eletronorte'!AN52/1000</f>
      </c>
      <c r="O29" s="334">
        <f>'Consolidado-Eletronorte'!AO52/1000</f>
      </c>
      <c r="P29" s="334">
        <f>'Consolidado-Eletronorte'!AP52/1000</f>
      </c>
      <c r="Q29" s="334">
        <f>'Consolidado-Eletronorte'!AQ52/1000</f>
      </c>
      <c r="R29" s="334">
        <f>'Consolidado-Eletronorte'!AR52/1000</f>
      </c>
      <c r="S29" s="334">
        <f>'Consolidado-Eletronorte'!AS52/1000</f>
      </c>
      <c r="T29" s="334">
        <f>'Consolidado-Eletronorte'!AT52/1000</f>
      </c>
      <c r="U29" s="334">
        <f>'Consolidado-Eletronorte'!AU52/1000</f>
      </c>
      <c r="V29" s="334">
        <f>'Consolidado-Eletronorte'!AV52/1000</f>
      </c>
      <c r="W29" s="334">
        <f>'Consolidado-Eletronorte'!AW52/1000</f>
      </c>
      <c r="X29" s="334">
        <f>'Consolidado-Eletronorte'!AX52/1000</f>
      </c>
      <c r="Y29" s="334">
        <f>'Consolidado-Eletronorte'!AY52/1000</f>
      </c>
      <c r="Z29" s="334">
        <f>'Consolidado-Eletronorte'!AZ52/1000</f>
      </c>
    </row>
    <row x14ac:dyDescent="0.25" r="30" customHeight="1" ht="18.75">
      <c r="A30" s="1"/>
      <c r="B30" s="335" t="s">
        <v>40114</v>
      </c>
      <c r="C30" s="335" t="s">
        <v>21</v>
      </c>
      <c r="D30" s="335" t="s">
        <v>21</v>
      </c>
      <c r="E30" s="335" t="s">
        <v>39949</v>
      </c>
      <c r="F30" s="336" t="s">
        <v>41222</v>
      </c>
      <c r="G30" s="335" t="s">
        <v>40115</v>
      </c>
      <c r="H30" s="335" t="s">
        <v>39945</v>
      </c>
      <c r="I30" s="334">
        <f>'Consolidado-Eletronorte'!AI53/1000</f>
      </c>
      <c r="J30" s="334">
        <f>'Consolidado-Eletronorte'!AJ53/1000</f>
      </c>
      <c r="K30" s="334">
        <f>'Consolidado-Eletronorte'!AK53/1000</f>
      </c>
      <c r="L30" s="334">
        <f>'Consolidado-Eletronorte'!AL53/1000</f>
      </c>
      <c r="M30" s="334">
        <f>'Consolidado-Eletronorte'!AM53/1000</f>
      </c>
      <c r="N30" s="334">
        <f>'Consolidado-Eletronorte'!AN53/1000</f>
      </c>
      <c r="O30" s="334">
        <f>'Consolidado-Eletronorte'!AO53/1000</f>
      </c>
      <c r="P30" s="334">
        <f>'Consolidado-Eletronorte'!AP53/1000</f>
      </c>
      <c r="Q30" s="334">
        <f>'Consolidado-Eletronorte'!AQ53/1000</f>
      </c>
      <c r="R30" s="334">
        <f>'Consolidado-Eletronorte'!AR53/1000</f>
      </c>
      <c r="S30" s="334">
        <f>'Consolidado-Eletronorte'!AS53/1000</f>
      </c>
      <c r="T30" s="334">
        <f>'Consolidado-Eletronorte'!AT53/1000</f>
      </c>
      <c r="U30" s="334">
        <f>'Consolidado-Eletronorte'!AU53/1000</f>
      </c>
      <c r="V30" s="334">
        <f>'Consolidado-Eletronorte'!AV53/1000</f>
      </c>
      <c r="W30" s="334">
        <f>'Consolidado-Eletronorte'!AW53/1000</f>
      </c>
      <c r="X30" s="334">
        <f>'Consolidado-Eletronorte'!AX53/1000</f>
      </c>
      <c r="Y30" s="334">
        <f>'Consolidado-Eletronorte'!AY53/1000</f>
      </c>
      <c r="Z30" s="334">
        <f>'Consolidado-Eletronorte'!AZ53/1000</f>
      </c>
    </row>
    <row x14ac:dyDescent="0.25" r="31" customHeight="1" ht="18.75">
      <c r="A31" s="1"/>
      <c r="B31" s="332" t="s">
        <v>40117</v>
      </c>
      <c r="C31" s="332" t="s">
        <v>21</v>
      </c>
      <c r="D31" s="332" t="s">
        <v>21</v>
      </c>
      <c r="E31" s="332" t="s">
        <v>39949</v>
      </c>
      <c r="F31" s="333" t="s">
        <v>41222</v>
      </c>
      <c r="G31" s="332" t="s">
        <v>40118</v>
      </c>
      <c r="H31" s="332" t="s">
        <v>39945</v>
      </c>
      <c r="I31" s="334">
        <f>'Consolidado-Eletronorte'!AI54/1000</f>
      </c>
      <c r="J31" s="334">
        <f>'Consolidado-Eletronorte'!AJ54/1000</f>
      </c>
      <c r="K31" s="334">
        <f>'Consolidado-Eletronorte'!AK54/1000</f>
      </c>
      <c r="L31" s="334">
        <f>'Consolidado-Eletronorte'!AL54/1000</f>
      </c>
      <c r="M31" s="334">
        <f>'Consolidado-Eletronorte'!AM54/1000</f>
      </c>
      <c r="N31" s="334">
        <f>'Consolidado-Eletronorte'!AN54/1000</f>
      </c>
      <c r="O31" s="334">
        <f>'Consolidado-Eletronorte'!AO54/1000</f>
      </c>
      <c r="P31" s="334">
        <f>'Consolidado-Eletronorte'!AP54/1000</f>
      </c>
      <c r="Q31" s="334">
        <f>'Consolidado-Eletronorte'!AQ54/1000</f>
      </c>
      <c r="R31" s="334">
        <f>'Consolidado-Eletronorte'!AR54/1000</f>
      </c>
      <c r="S31" s="334">
        <f>'Consolidado-Eletronorte'!AS54/1000</f>
      </c>
      <c r="T31" s="334">
        <f>'Consolidado-Eletronorte'!AT54/1000</f>
      </c>
      <c r="U31" s="334">
        <f>'Consolidado-Eletronorte'!AU54/1000</f>
      </c>
      <c r="V31" s="334">
        <f>'Consolidado-Eletronorte'!AV54/1000</f>
      </c>
      <c r="W31" s="334">
        <f>'Consolidado-Eletronorte'!AW54/1000</f>
      </c>
      <c r="X31" s="334">
        <f>'Consolidado-Eletronorte'!AX54/1000</f>
      </c>
      <c r="Y31" s="334">
        <f>'Consolidado-Eletronorte'!AY54/1000</f>
      </c>
      <c r="Z31" s="334">
        <f>'Consolidado-Eletronorte'!AZ54/1000</f>
      </c>
    </row>
    <row x14ac:dyDescent="0.25" r="32" customHeight="1" ht="18.75">
      <c r="A32" s="1"/>
      <c r="B32" s="335" t="s">
        <v>40026</v>
      </c>
      <c r="C32" s="335" t="s">
        <v>21</v>
      </c>
      <c r="D32" s="335" t="s">
        <v>21</v>
      </c>
      <c r="E32" s="335" t="s">
        <v>40025</v>
      </c>
      <c r="F32" s="336" t="s">
        <v>41222</v>
      </c>
      <c r="G32" s="335" t="s">
        <v>40027</v>
      </c>
      <c r="H32" s="335" t="s">
        <v>39912</v>
      </c>
      <c r="I32" s="334">
        <f>'Consolidado-Eletronorte'!AI55/1000</f>
      </c>
      <c r="J32" s="334">
        <f>'Consolidado-Eletronorte'!AJ55/1000</f>
      </c>
      <c r="K32" s="334">
        <f>'Consolidado-Eletronorte'!AK55/1000</f>
      </c>
      <c r="L32" s="334">
        <f>'Consolidado-Eletronorte'!AL55/1000</f>
      </c>
      <c r="M32" s="334">
        <f>'Consolidado-Eletronorte'!AM55/1000</f>
      </c>
      <c r="N32" s="334">
        <f>'Consolidado-Eletronorte'!AN55/1000</f>
      </c>
      <c r="O32" s="334">
        <f>'Consolidado-Eletronorte'!AO55/1000</f>
      </c>
      <c r="P32" s="334">
        <f>'Consolidado-Eletronorte'!AP55/1000</f>
      </c>
      <c r="Q32" s="334">
        <f>'Consolidado-Eletronorte'!AQ55/1000</f>
      </c>
      <c r="R32" s="334">
        <f>'Consolidado-Eletronorte'!AR55/1000</f>
      </c>
      <c r="S32" s="334">
        <f>'Consolidado-Eletronorte'!AS55/1000</f>
      </c>
      <c r="T32" s="334">
        <f>'Consolidado-Eletronorte'!AT55/1000</f>
      </c>
      <c r="U32" s="334">
        <f>'Consolidado-Eletronorte'!AU55/1000</f>
      </c>
      <c r="V32" s="334">
        <f>'Consolidado-Eletronorte'!AV55/1000</f>
      </c>
      <c r="W32" s="334">
        <f>'Consolidado-Eletronorte'!AW55/1000</f>
      </c>
      <c r="X32" s="334">
        <f>'Consolidado-Eletronorte'!AX55/1000</f>
      </c>
      <c r="Y32" s="334">
        <f>'Consolidado-Eletronorte'!AY55/1000</f>
      </c>
      <c r="Z32" s="334">
        <f>'Consolidado-Eletronorte'!AZ55/1000</f>
      </c>
    </row>
    <row x14ac:dyDescent="0.25" r="33" customHeight="1" ht="18.75">
      <c r="A33" s="1"/>
      <c r="B33" s="332" t="s">
        <v>40196</v>
      </c>
      <c r="C33" s="332" t="s">
        <v>21</v>
      </c>
      <c r="D33" s="332" t="s">
        <v>21</v>
      </c>
      <c r="E33" s="332" t="s">
        <v>39932</v>
      </c>
      <c r="F33" s="333" t="s">
        <v>41222</v>
      </c>
      <c r="G33" s="332" t="s">
        <v>40197</v>
      </c>
      <c r="H33" s="332" t="s">
        <v>39912</v>
      </c>
      <c r="I33" s="334">
        <f>'Consolidado-Eletronorte'!AI56/1000</f>
      </c>
      <c r="J33" s="334">
        <f>'Consolidado-Eletronorte'!AJ56/1000</f>
      </c>
      <c r="K33" s="334">
        <f>'Consolidado-Eletronorte'!AK56/1000</f>
      </c>
      <c r="L33" s="334">
        <f>'Consolidado-Eletronorte'!AL56/1000</f>
      </c>
      <c r="M33" s="334">
        <f>'Consolidado-Eletronorte'!AM56/1000</f>
      </c>
      <c r="N33" s="334">
        <f>'Consolidado-Eletronorte'!AN56/1000</f>
      </c>
      <c r="O33" s="334">
        <f>'Consolidado-Eletronorte'!AO56/1000</f>
      </c>
      <c r="P33" s="334">
        <f>'Consolidado-Eletronorte'!AP56/1000</f>
      </c>
      <c r="Q33" s="334">
        <f>'Consolidado-Eletronorte'!AQ56/1000</f>
      </c>
      <c r="R33" s="334">
        <f>'Consolidado-Eletronorte'!AR56/1000</f>
      </c>
      <c r="S33" s="334">
        <f>'Consolidado-Eletronorte'!AS56/1000</f>
      </c>
      <c r="T33" s="334">
        <f>'Consolidado-Eletronorte'!AT56/1000</f>
      </c>
      <c r="U33" s="334">
        <f>'Consolidado-Eletronorte'!AU56/1000</f>
      </c>
      <c r="V33" s="334">
        <f>'Consolidado-Eletronorte'!AV56/1000</f>
      </c>
      <c r="W33" s="334">
        <f>'Consolidado-Eletronorte'!AW56/1000</f>
      </c>
      <c r="X33" s="334">
        <f>'Consolidado-Eletronorte'!AX56/1000</f>
      </c>
      <c r="Y33" s="334">
        <f>'Consolidado-Eletronorte'!AY56/1000</f>
      </c>
      <c r="Z33" s="334">
        <f>'Consolidado-Eletronorte'!AZ56/1000</f>
      </c>
    </row>
    <row x14ac:dyDescent="0.25" r="34" customHeight="1" ht="18.75">
      <c r="A34" s="1"/>
      <c r="B34" s="335" t="s">
        <v>40074</v>
      </c>
      <c r="C34" s="335" t="s">
        <v>21</v>
      </c>
      <c r="D34" s="335" t="s">
        <v>21</v>
      </c>
      <c r="E34" s="335" t="s">
        <v>40073</v>
      </c>
      <c r="F34" s="336">
        <v>4500079784</v>
      </c>
      <c r="G34" s="335" t="s">
        <v>40075</v>
      </c>
      <c r="H34" s="335" t="s">
        <v>39912</v>
      </c>
      <c r="I34" s="334">
        <f>'Consolidado-Eletronorte'!AI57/1000</f>
      </c>
      <c r="J34" s="334">
        <f>'Consolidado-Eletronorte'!AJ57/1000</f>
      </c>
      <c r="K34" s="334">
        <f>'Consolidado-Eletronorte'!AK57/1000</f>
      </c>
      <c r="L34" s="334">
        <f>'Consolidado-Eletronorte'!AL57/1000</f>
      </c>
      <c r="M34" s="334">
        <f>'Consolidado-Eletronorte'!AM57/1000</f>
      </c>
      <c r="N34" s="334">
        <f>'Consolidado-Eletronorte'!AN57/1000</f>
      </c>
      <c r="O34" s="334">
        <f>'Consolidado-Eletronorte'!AO57/1000</f>
      </c>
      <c r="P34" s="334">
        <f>'Consolidado-Eletronorte'!AP57/1000</f>
      </c>
      <c r="Q34" s="334">
        <f>'Consolidado-Eletronorte'!AQ57/1000</f>
      </c>
      <c r="R34" s="334">
        <f>'Consolidado-Eletronorte'!AR57/1000</f>
      </c>
      <c r="S34" s="334">
        <f>'Consolidado-Eletronorte'!AS57/1000</f>
      </c>
      <c r="T34" s="334">
        <f>'Consolidado-Eletronorte'!AT57/1000</f>
      </c>
      <c r="U34" s="334">
        <f>'Consolidado-Eletronorte'!AU57/1000</f>
      </c>
      <c r="V34" s="334">
        <f>'Consolidado-Eletronorte'!AV57/1000</f>
      </c>
      <c r="W34" s="334">
        <f>'Consolidado-Eletronorte'!AW57/1000</f>
      </c>
      <c r="X34" s="334">
        <f>'Consolidado-Eletronorte'!AX57/1000</f>
      </c>
      <c r="Y34" s="334">
        <f>'Consolidado-Eletronorte'!AY57/1000</f>
      </c>
      <c r="Z34" s="334">
        <f>'Consolidado-Eletronorte'!AZ57/1000</f>
      </c>
    </row>
    <row x14ac:dyDescent="0.25" r="35" customHeight="1" ht="18.75">
      <c r="A35" s="1"/>
      <c r="B35" s="332" t="s">
        <v>40120</v>
      </c>
      <c r="C35" s="332" t="s">
        <v>21</v>
      </c>
      <c r="D35" s="332" t="s">
        <v>21</v>
      </c>
      <c r="E35" s="332" t="s">
        <v>39932</v>
      </c>
      <c r="F35" s="333">
        <v>4500086920</v>
      </c>
      <c r="G35" s="332" t="s">
        <v>40121</v>
      </c>
      <c r="H35" s="332" t="s">
        <v>39912</v>
      </c>
      <c r="I35" s="334">
        <f>'Consolidado-Eletronorte'!AI58/1000</f>
      </c>
      <c r="J35" s="334">
        <f>'Consolidado-Eletronorte'!AJ58/1000</f>
      </c>
      <c r="K35" s="334">
        <f>'Consolidado-Eletronorte'!AK58/1000</f>
      </c>
      <c r="L35" s="334">
        <f>'Consolidado-Eletronorte'!AL58/1000</f>
      </c>
      <c r="M35" s="334">
        <f>'Consolidado-Eletronorte'!AM58/1000</f>
      </c>
      <c r="N35" s="334">
        <f>'Consolidado-Eletronorte'!AN58/1000</f>
      </c>
      <c r="O35" s="334">
        <f>'Consolidado-Eletronorte'!AO58/1000</f>
      </c>
      <c r="P35" s="334">
        <f>'Consolidado-Eletronorte'!AP58/1000</f>
      </c>
      <c r="Q35" s="334">
        <f>'Consolidado-Eletronorte'!AQ58/1000</f>
      </c>
      <c r="R35" s="334">
        <f>'Consolidado-Eletronorte'!AR58/1000</f>
      </c>
      <c r="S35" s="334">
        <f>'Consolidado-Eletronorte'!AS58/1000</f>
      </c>
      <c r="T35" s="334">
        <f>'Consolidado-Eletronorte'!AT58/1000</f>
      </c>
      <c r="U35" s="334">
        <f>'Consolidado-Eletronorte'!AU58/1000</f>
      </c>
      <c r="V35" s="334">
        <f>'Consolidado-Eletronorte'!AV58/1000</f>
      </c>
      <c r="W35" s="334">
        <f>'Consolidado-Eletronorte'!AW58/1000</f>
      </c>
      <c r="X35" s="334">
        <f>'Consolidado-Eletronorte'!AX58/1000</f>
      </c>
      <c r="Y35" s="334">
        <f>'Consolidado-Eletronorte'!AY58/1000</f>
      </c>
      <c r="Z35" s="334">
        <f>'Consolidado-Eletronorte'!AZ58/1000</f>
      </c>
    </row>
    <row x14ac:dyDescent="0.25" r="36" customHeight="1" ht="18.75">
      <c r="A36" s="1"/>
      <c r="B36" s="335" t="s">
        <v>40211</v>
      </c>
      <c r="C36" s="335" t="s">
        <v>21</v>
      </c>
      <c r="D36" s="335" t="s">
        <v>21</v>
      </c>
      <c r="E36" s="335" t="s">
        <v>39949</v>
      </c>
      <c r="F36" s="336" t="s">
        <v>41222</v>
      </c>
      <c r="G36" s="335" t="s">
        <v>40211</v>
      </c>
      <c r="H36" s="335" t="s">
        <v>39912</v>
      </c>
      <c r="I36" s="334">
        <f>'Consolidado-Eletronorte'!AI59/1000</f>
      </c>
      <c r="J36" s="334">
        <f>'Consolidado-Eletronorte'!AJ59/1000</f>
      </c>
      <c r="K36" s="334">
        <f>'Consolidado-Eletronorte'!AK59/1000</f>
      </c>
      <c r="L36" s="334">
        <f>'Consolidado-Eletronorte'!AL59/1000</f>
      </c>
      <c r="M36" s="334">
        <f>'Consolidado-Eletronorte'!AM59/1000</f>
      </c>
      <c r="N36" s="334">
        <f>'Consolidado-Eletronorte'!AN59/1000</f>
      </c>
      <c r="O36" s="334">
        <f>'Consolidado-Eletronorte'!AO59/1000</f>
      </c>
      <c r="P36" s="334">
        <f>'Consolidado-Eletronorte'!AP59/1000</f>
      </c>
      <c r="Q36" s="334">
        <f>'Consolidado-Eletronorte'!AQ59/1000</f>
      </c>
      <c r="R36" s="334">
        <f>'Consolidado-Eletronorte'!AR59/1000</f>
      </c>
      <c r="S36" s="334">
        <f>'Consolidado-Eletronorte'!AS59/1000</f>
      </c>
      <c r="T36" s="334">
        <f>'Consolidado-Eletronorte'!AT59/1000</f>
      </c>
      <c r="U36" s="334">
        <f>'Consolidado-Eletronorte'!AU59/1000</f>
      </c>
      <c r="V36" s="334">
        <f>'Consolidado-Eletronorte'!AV59/1000</f>
      </c>
      <c r="W36" s="334">
        <f>'Consolidado-Eletronorte'!AW59/1000</f>
      </c>
      <c r="X36" s="334">
        <f>'Consolidado-Eletronorte'!AX59/1000</f>
      </c>
      <c r="Y36" s="334">
        <f>'Consolidado-Eletronorte'!AY59/1000</f>
      </c>
      <c r="Z36" s="334">
        <f>'Consolidado-Eletronorte'!AZ59/1000</f>
      </c>
    </row>
    <row x14ac:dyDescent="0.25" r="37" customHeight="1" ht="18.75">
      <c r="A37" s="1"/>
      <c r="B37" s="332" t="s">
        <v>40222</v>
      </c>
      <c r="C37" s="332" t="s">
        <v>21</v>
      </c>
      <c r="D37" s="332" t="s">
        <v>21</v>
      </c>
      <c r="E37" s="332" t="s">
        <v>39949</v>
      </c>
      <c r="F37" s="333" t="s">
        <v>41222</v>
      </c>
      <c r="G37" s="332" t="s">
        <v>40223</v>
      </c>
      <c r="H37" s="332" t="s">
        <v>39912</v>
      </c>
      <c r="I37" s="334">
        <f>'Consolidado-Eletronorte'!AI60/1000</f>
      </c>
      <c r="J37" s="334">
        <f>'Consolidado-Eletronorte'!AJ60/1000</f>
      </c>
      <c r="K37" s="334">
        <f>'Consolidado-Eletronorte'!AK60/1000</f>
      </c>
      <c r="L37" s="334">
        <f>'Consolidado-Eletronorte'!AL60/1000</f>
      </c>
      <c r="M37" s="334">
        <f>'Consolidado-Eletronorte'!AM60/1000</f>
      </c>
      <c r="N37" s="334">
        <f>'Consolidado-Eletronorte'!AN60/1000</f>
      </c>
      <c r="O37" s="334">
        <f>'Consolidado-Eletronorte'!AO60/1000</f>
      </c>
      <c r="P37" s="334">
        <f>'Consolidado-Eletronorte'!AP60/1000</f>
      </c>
      <c r="Q37" s="334">
        <f>'Consolidado-Eletronorte'!AQ60/1000</f>
      </c>
      <c r="R37" s="334">
        <f>'Consolidado-Eletronorte'!AR60/1000</f>
      </c>
      <c r="S37" s="334">
        <f>'Consolidado-Eletronorte'!AS60/1000</f>
      </c>
      <c r="T37" s="334">
        <f>'Consolidado-Eletronorte'!AT60/1000</f>
      </c>
      <c r="U37" s="334">
        <f>'Consolidado-Eletronorte'!AU60/1000</f>
      </c>
      <c r="V37" s="334">
        <f>'Consolidado-Eletronorte'!AV60/1000</f>
      </c>
      <c r="W37" s="334">
        <f>'Consolidado-Eletronorte'!AW60/1000</f>
      </c>
      <c r="X37" s="334">
        <f>'Consolidado-Eletronorte'!AX60/1000</f>
      </c>
      <c r="Y37" s="334">
        <f>'Consolidado-Eletronorte'!AY60/1000</f>
      </c>
      <c r="Z37" s="334">
        <f>'Consolidado-Eletronorte'!AZ60/1000</f>
      </c>
    </row>
    <row x14ac:dyDescent="0.25" r="38" customHeight="1" ht="18.75">
      <c r="A38" s="1"/>
      <c r="B38" s="335" t="s">
        <v>40148</v>
      </c>
      <c r="C38" s="335" t="s">
        <v>21</v>
      </c>
      <c r="D38" s="335" t="s">
        <v>21</v>
      </c>
      <c r="E38" s="335" t="s">
        <v>39932</v>
      </c>
      <c r="F38" s="336" t="s">
        <v>41222</v>
      </c>
      <c r="G38" s="335" t="s">
        <v>40149</v>
      </c>
      <c r="H38" s="335" t="s">
        <v>39912</v>
      </c>
      <c r="I38" s="334">
        <f>'Consolidado-Eletronorte'!AI61/1000</f>
      </c>
      <c r="J38" s="334">
        <f>'Consolidado-Eletronorte'!AJ61/1000</f>
      </c>
      <c r="K38" s="334">
        <f>'Consolidado-Eletronorte'!AK61/1000</f>
      </c>
      <c r="L38" s="334">
        <f>'Consolidado-Eletronorte'!AL61/1000</f>
      </c>
      <c r="M38" s="334">
        <f>'Consolidado-Eletronorte'!AM61/1000</f>
      </c>
      <c r="N38" s="334">
        <f>'Consolidado-Eletronorte'!AN61/1000</f>
      </c>
      <c r="O38" s="334">
        <f>'Consolidado-Eletronorte'!AO61/1000</f>
      </c>
      <c r="P38" s="334">
        <f>'Consolidado-Eletronorte'!AP61/1000</f>
      </c>
      <c r="Q38" s="334">
        <f>'Consolidado-Eletronorte'!AQ61/1000</f>
      </c>
      <c r="R38" s="334">
        <f>'Consolidado-Eletronorte'!AR61/1000</f>
      </c>
      <c r="S38" s="334">
        <f>'Consolidado-Eletronorte'!AS61/1000</f>
      </c>
      <c r="T38" s="334">
        <f>'Consolidado-Eletronorte'!AT61/1000</f>
      </c>
      <c r="U38" s="334">
        <f>'Consolidado-Eletronorte'!AU61/1000</f>
      </c>
      <c r="V38" s="334">
        <f>'Consolidado-Eletronorte'!AV61/1000</f>
      </c>
      <c r="W38" s="334">
        <f>'Consolidado-Eletronorte'!AW61/1000</f>
      </c>
      <c r="X38" s="334">
        <f>'Consolidado-Eletronorte'!AX61/1000</f>
      </c>
      <c r="Y38" s="334">
        <f>'Consolidado-Eletronorte'!AY61/1000</f>
      </c>
      <c r="Z38" s="334">
        <f>'Consolidado-Eletronorte'!AZ61/1000</f>
      </c>
    </row>
    <row x14ac:dyDescent="0.25" r="39" customHeight="1" ht="18.75">
      <c r="A39" s="1"/>
      <c r="B39" s="332" t="s">
        <v>40107</v>
      </c>
      <c r="C39" s="332" t="s">
        <v>21</v>
      </c>
      <c r="D39" s="332" t="s">
        <v>21</v>
      </c>
      <c r="E39" s="332" t="s">
        <v>39949</v>
      </c>
      <c r="F39" s="333">
        <v>3400002926</v>
      </c>
      <c r="G39" s="332" t="s">
        <v>40108</v>
      </c>
      <c r="H39" s="332" t="s">
        <v>39998</v>
      </c>
      <c r="I39" s="334">
        <f>'Consolidado-Eletronorte'!AI62/1000</f>
      </c>
      <c r="J39" s="334">
        <f>'Consolidado-Eletronorte'!AJ62/1000</f>
      </c>
      <c r="K39" s="334">
        <f>'Consolidado-Eletronorte'!AK62/1000</f>
      </c>
      <c r="L39" s="334">
        <f>'Consolidado-Eletronorte'!AL62/1000</f>
      </c>
      <c r="M39" s="334">
        <f>'Consolidado-Eletronorte'!AM62/1000</f>
      </c>
      <c r="N39" s="334">
        <f>'Consolidado-Eletronorte'!AN62/1000</f>
      </c>
      <c r="O39" s="334">
        <f>'Consolidado-Eletronorte'!AO62/1000</f>
      </c>
      <c r="P39" s="334">
        <f>'Consolidado-Eletronorte'!AP62/1000</f>
      </c>
      <c r="Q39" s="334">
        <f>'Consolidado-Eletronorte'!AQ62/1000</f>
      </c>
      <c r="R39" s="334">
        <f>'Consolidado-Eletronorte'!AR62/1000</f>
      </c>
      <c r="S39" s="334">
        <f>'Consolidado-Eletronorte'!AS62/1000</f>
      </c>
      <c r="T39" s="334">
        <f>'Consolidado-Eletronorte'!AT62/1000</f>
      </c>
      <c r="U39" s="334">
        <f>'Consolidado-Eletronorte'!AU62/1000</f>
      </c>
      <c r="V39" s="334">
        <f>'Consolidado-Eletronorte'!AV62/1000</f>
      </c>
      <c r="W39" s="334">
        <f>'Consolidado-Eletronorte'!AW62/1000</f>
      </c>
      <c r="X39" s="334">
        <f>'Consolidado-Eletronorte'!AX62/1000</f>
      </c>
      <c r="Y39" s="334">
        <f>'Consolidado-Eletronorte'!AY62/1000</f>
      </c>
      <c r="Z39" s="334">
        <f>'Consolidado-Eletronorte'!AZ62/1000</f>
      </c>
    </row>
    <row x14ac:dyDescent="0.25" r="40" customHeight="1" ht="18.75">
      <c r="A40" s="1"/>
      <c r="B40" s="335" t="s">
        <v>40154</v>
      </c>
      <c r="C40" s="335" t="s">
        <v>21</v>
      </c>
      <c r="D40" s="335" t="s">
        <v>21</v>
      </c>
      <c r="E40" s="335" t="s">
        <v>39932</v>
      </c>
      <c r="F40" s="336">
        <v>4500088525</v>
      </c>
      <c r="G40" s="335" t="s">
        <v>40155</v>
      </c>
      <c r="H40" s="335" t="s">
        <v>39998</v>
      </c>
      <c r="I40" s="334">
        <f>'Consolidado-Eletronorte'!AI63/1000</f>
      </c>
      <c r="J40" s="334">
        <f>'Consolidado-Eletronorte'!AJ63/1000</f>
      </c>
      <c r="K40" s="334">
        <f>'Consolidado-Eletronorte'!AK63/1000</f>
      </c>
      <c r="L40" s="334">
        <f>'Consolidado-Eletronorte'!AL63/1000</f>
      </c>
      <c r="M40" s="334">
        <f>'Consolidado-Eletronorte'!AM63/1000</f>
      </c>
      <c r="N40" s="334">
        <f>'Consolidado-Eletronorte'!AN63/1000</f>
      </c>
      <c r="O40" s="334">
        <f>'Consolidado-Eletronorte'!AO63/1000</f>
      </c>
      <c r="P40" s="334">
        <f>'Consolidado-Eletronorte'!AP63/1000</f>
      </c>
      <c r="Q40" s="334">
        <f>'Consolidado-Eletronorte'!AQ63/1000</f>
      </c>
      <c r="R40" s="334">
        <f>'Consolidado-Eletronorte'!AR63/1000</f>
      </c>
      <c r="S40" s="334">
        <f>'Consolidado-Eletronorte'!AS63/1000</f>
      </c>
      <c r="T40" s="334">
        <f>'Consolidado-Eletronorte'!AT63/1000</f>
      </c>
      <c r="U40" s="334">
        <f>'Consolidado-Eletronorte'!AU63/1000</f>
      </c>
      <c r="V40" s="334">
        <f>'Consolidado-Eletronorte'!AV63/1000</f>
      </c>
      <c r="W40" s="334">
        <f>'Consolidado-Eletronorte'!AW63/1000</f>
      </c>
      <c r="X40" s="334">
        <f>'Consolidado-Eletronorte'!AX63/1000</f>
      </c>
      <c r="Y40" s="334">
        <f>'Consolidado-Eletronorte'!AY63/1000</f>
      </c>
      <c r="Z40" s="334">
        <f>'Consolidado-Eletronorte'!AZ63/1000</f>
      </c>
    </row>
    <row x14ac:dyDescent="0.25" r="41" customHeight="1" ht="18.75">
      <c r="A41" s="1"/>
      <c r="B41" s="332" t="s">
        <v>40144</v>
      </c>
      <c r="C41" s="332" t="s">
        <v>21</v>
      </c>
      <c r="D41" s="332" t="s">
        <v>21</v>
      </c>
      <c r="E41" s="332" t="s">
        <v>39932</v>
      </c>
      <c r="F41" s="333" t="s">
        <v>41222</v>
      </c>
      <c r="G41" s="332" t="s">
        <v>40145</v>
      </c>
      <c r="H41" s="332" t="s">
        <v>39912</v>
      </c>
      <c r="I41" s="334">
        <f>'Consolidado-Eletronorte'!AI64/1000</f>
      </c>
      <c r="J41" s="334">
        <f>'Consolidado-Eletronorte'!AJ64/1000</f>
      </c>
      <c r="K41" s="334">
        <f>'Consolidado-Eletronorte'!AK64/1000</f>
      </c>
      <c r="L41" s="334">
        <f>'Consolidado-Eletronorte'!AL64/1000</f>
      </c>
      <c r="M41" s="334">
        <f>'Consolidado-Eletronorte'!AM64/1000</f>
      </c>
      <c r="N41" s="334">
        <f>'Consolidado-Eletronorte'!AN64/1000</f>
      </c>
      <c r="O41" s="334">
        <f>'Consolidado-Eletronorte'!AO64/1000</f>
      </c>
      <c r="P41" s="334">
        <f>'Consolidado-Eletronorte'!AP64/1000</f>
      </c>
      <c r="Q41" s="334">
        <f>'Consolidado-Eletronorte'!AQ64/1000</f>
      </c>
      <c r="R41" s="334">
        <f>'Consolidado-Eletronorte'!AR64/1000</f>
      </c>
      <c r="S41" s="334">
        <f>'Consolidado-Eletronorte'!AS64/1000</f>
      </c>
      <c r="T41" s="334">
        <f>'Consolidado-Eletronorte'!AT64/1000</f>
      </c>
      <c r="U41" s="334">
        <f>'Consolidado-Eletronorte'!AU64/1000</f>
      </c>
      <c r="V41" s="334">
        <f>'Consolidado-Eletronorte'!AV64/1000</f>
      </c>
      <c r="W41" s="334">
        <f>'Consolidado-Eletronorte'!AW64/1000</f>
      </c>
      <c r="X41" s="334">
        <f>'Consolidado-Eletronorte'!AX64/1000</f>
      </c>
      <c r="Y41" s="334">
        <f>'Consolidado-Eletronorte'!AY64/1000</f>
      </c>
      <c r="Z41" s="334">
        <f>'Consolidado-Eletronorte'!AZ64/1000</f>
      </c>
    </row>
    <row x14ac:dyDescent="0.25" r="42" customHeight="1" ht="18.75">
      <c r="A42" s="1"/>
      <c r="B42" s="335" t="s">
        <v>40085</v>
      </c>
      <c r="C42" s="335" t="s">
        <v>21</v>
      </c>
      <c r="D42" s="335" t="s">
        <v>21</v>
      </c>
      <c r="E42" s="335" t="s">
        <v>39949</v>
      </c>
      <c r="F42" s="336" t="s">
        <v>41222</v>
      </c>
      <c r="G42" s="335" t="s">
        <v>40086</v>
      </c>
      <c r="H42" s="335" t="s">
        <v>39998</v>
      </c>
      <c r="I42" s="334">
        <f>'Consolidado-Eletronorte'!AI65/1000</f>
      </c>
      <c r="J42" s="334">
        <f>'Consolidado-Eletronorte'!AJ65/1000</f>
      </c>
      <c r="K42" s="334">
        <f>'Consolidado-Eletronorte'!AK65/1000</f>
      </c>
      <c r="L42" s="334">
        <f>'Consolidado-Eletronorte'!AL65/1000</f>
      </c>
      <c r="M42" s="334">
        <f>'Consolidado-Eletronorte'!AM65/1000</f>
      </c>
      <c r="N42" s="334">
        <f>'Consolidado-Eletronorte'!AN65/1000</f>
      </c>
      <c r="O42" s="334">
        <f>'Consolidado-Eletronorte'!AO65/1000</f>
      </c>
      <c r="P42" s="334">
        <f>'Consolidado-Eletronorte'!AP65/1000</f>
      </c>
      <c r="Q42" s="334">
        <f>'Consolidado-Eletronorte'!AQ65/1000</f>
      </c>
      <c r="R42" s="334">
        <f>'Consolidado-Eletronorte'!AR65/1000</f>
      </c>
      <c r="S42" s="334">
        <f>'Consolidado-Eletronorte'!AS65/1000</f>
      </c>
      <c r="T42" s="334">
        <f>'Consolidado-Eletronorte'!AT65/1000</f>
      </c>
      <c r="U42" s="334">
        <f>'Consolidado-Eletronorte'!AU65/1000</f>
      </c>
      <c r="V42" s="334">
        <f>'Consolidado-Eletronorte'!AV65/1000</f>
      </c>
      <c r="W42" s="334">
        <f>'Consolidado-Eletronorte'!AW65/1000</f>
      </c>
      <c r="X42" s="334">
        <f>'Consolidado-Eletronorte'!AX65/1000</f>
      </c>
      <c r="Y42" s="334">
        <f>'Consolidado-Eletronorte'!AY65/1000</f>
      </c>
      <c r="Z42" s="334">
        <f>'Consolidado-Eletronorte'!AZ65/1000</f>
      </c>
    </row>
    <row x14ac:dyDescent="0.25" r="43" customHeight="1" ht="18.75">
      <c r="A43" s="1"/>
      <c r="B43" s="332" t="s">
        <v>40077</v>
      </c>
      <c r="C43" s="332" t="s">
        <v>21</v>
      </c>
      <c r="D43" s="332" t="s">
        <v>21</v>
      </c>
      <c r="E43" s="332" t="s">
        <v>39949</v>
      </c>
      <c r="F43" s="333">
        <v>3400002922</v>
      </c>
      <c r="G43" s="332" t="s">
        <v>40078</v>
      </c>
      <c r="H43" s="332" t="s">
        <v>39998</v>
      </c>
      <c r="I43" s="334">
        <f>'Consolidado-Eletronorte'!AI66/1000</f>
      </c>
      <c r="J43" s="334">
        <f>'Consolidado-Eletronorte'!AJ66/1000</f>
      </c>
      <c r="K43" s="334">
        <f>'Consolidado-Eletronorte'!AK66/1000</f>
      </c>
      <c r="L43" s="334">
        <f>'Consolidado-Eletronorte'!AL66/1000</f>
      </c>
      <c r="M43" s="334">
        <f>'Consolidado-Eletronorte'!AM66/1000</f>
      </c>
      <c r="N43" s="334">
        <f>'Consolidado-Eletronorte'!AN66/1000</f>
      </c>
      <c r="O43" s="334">
        <f>'Consolidado-Eletronorte'!AO66/1000</f>
      </c>
      <c r="P43" s="334">
        <f>'Consolidado-Eletronorte'!AP66/1000</f>
      </c>
      <c r="Q43" s="334">
        <f>'Consolidado-Eletronorte'!AQ66/1000</f>
      </c>
      <c r="R43" s="334">
        <f>'Consolidado-Eletronorte'!AR66/1000</f>
      </c>
      <c r="S43" s="334">
        <f>'Consolidado-Eletronorte'!AS66/1000</f>
      </c>
      <c r="T43" s="334">
        <f>'Consolidado-Eletronorte'!AT66/1000</f>
      </c>
      <c r="U43" s="334">
        <f>'Consolidado-Eletronorte'!AU66/1000</f>
      </c>
      <c r="V43" s="334">
        <f>'Consolidado-Eletronorte'!AV66/1000</f>
      </c>
      <c r="W43" s="334">
        <f>'Consolidado-Eletronorte'!AW66/1000</f>
      </c>
      <c r="X43" s="334">
        <f>'Consolidado-Eletronorte'!AX66/1000</f>
      </c>
      <c r="Y43" s="334">
        <f>'Consolidado-Eletronorte'!AY66/1000</f>
      </c>
      <c r="Z43" s="334">
        <f>'Consolidado-Eletronorte'!AZ66/1000</f>
      </c>
    </row>
    <row x14ac:dyDescent="0.25" r="44" customHeight="1" ht="18.75">
      <c r="A44" s="1"/>
      <c r="B44" s="335" t="s">
        <v>40172</v>
      </c>
      <c r="C44" s="335" t="s">
        <v>21</v>
      </c>
      <c r="D44" s="335" t="s">
        <v>21</v>
      </c>
      <c r="E44" s="335" t="s">
        <v>39949</v>
      </c>
      <c r="F44" s="336">
        <v>3400004646</v>
      </c>
      <c r="G44" s="335" t="s">
        <v>40173</v>
      </c>
      <c r="H44" s="335" t="s">
        <v>39945</v>
      </c>
      <c r="I44" s="334">
        <f>'Consolidado-Eletronorte'!AI67/1000</f>
      </c>
      <c r="J44" s="334">
        <f>'Consolidado-Eletronorte'!AJ67/1000</f>
      </c>
      <c r="K44" s="334">
        <f>'Consolidado-Eletronorte'!AK67/1000</f>
      </c>
      <c r="L44" s="334">
        <f>'Consolidado-Eletronorte'!AL67/1000</f>
      </c>
      <c r="M44" s="334">
        <f>'Consolidado-Eletronorte'!AM67/1000</f>
      </c>
      <c r="N44" s="334">
        <f>'Consolidado-Eletronorte'!AN67/1000</f>
      </c>
      <c r="O44" s="334">
        <f>'Consolidado-Eletronorte'!AO67/1000</f>
      </c>
      <c r="P44" s="334">
        <f>'Consolidado-Eletronorte'!AP67/1000</f>
      </c>
      <c r="Q44" s="334">
        <f>'Consolidado-Eletronorte'!AQ67/1000</f>
      </c>
      <c r="R44" s="334">
        <f>'Consolidado-Eletronorte'!AR67/1000</f>
      </c>
      <c r="S44" s="334">
        <f>'Consolidado-Eletronorte'!AS67/1000</f>
      </c>
      <c r="T44" s="334">
        <f>'Consolidado-Eletronorte'!AT67/1000</f>
      </c>
      <c r="U44" s="334">
        <f>'Consolidado-Eletronorte'!AU67/1000</f>
      </c>
      <c r="V44" s="334">
        <f>'Consolidado-Eletronorte'!AV67/1000</f>
      </c>
      <c r="W44" s="334">
        <f>'Consolidado-Eletronorte'!AW67/1000</f>
      </c>
      <c r="X44" s="334">
        <f>'Consolidado-Eletronorte'!AX67/1000</f>
      </c>
      <c r="Y44" s="334">
        <f>'Consolidado-Eletronorte'!AY67/1000</f>
      </c>
      <c r="Z44" s="334">
        <f>'Consolidado-Eletronorte'!AZ67/1000</f>
      </c>
    </row>
    <row x14ac:dyDescent="0.25" r="45" customHeight="1" ht="18.75">
      <c r="A45" s="1"/>
      <c r="B45" s="332" t="s">
        <v>41226</v>
      </c>
      <c r="C45" s="332" t="s">
        <v>21</v>
      </c>
      <c r="D45" s="332" t="s">
        <v>21</v>
      </c>
      <c r="E45" s="332" t="s">
        <v>39949</v>
      </c>
      <c r="F45" s="333">
        <v>3400005392</v>
      </c>
      <c r="G45" s="332" t="s">
        <v>40096</v>
      </c>
      <c r="H45" s="332" t="s">
        <v>39912</v>
      </c>
      <c r="I45" s="334">
        <f>'Consolidado-Eletronorte'!AI68/1000</f>
      </c>
      <c r="J45" s="334">
        <f>'Consolidado-Eletronorte'!AJ68/1000</f>
      </c>
      <c r="K45" s="334">
        <f>'Consolidado-Eletronorte'!AK68/1000</f>
      </c>
      <c r="L45" s="334">
        <f>'Consolidado-Eletronorte'!AL68/1000</f>
      </c>
      <c r="M45" s="334">
        <f>'Consolidado-Eletronorte'!AM68/1000</f>
      </c>
      <c r="N45" s="334">
        <f>'Consolidado-Eletronorte'!AN68/1000</f>
      </c>
      <c r="O45" s="334">
        <f>'Consolidado-Eletronorte'!AO68/1000</f>
      </c>
      <c r="P45" s="334">
        <f>'Consolidado-Eletronorte'!AP68/1000</f>
      </c>
      <c r="Q45" s="334">
        <f>'Consolidado-Eletronorte'!AQ68/1000</f>
      </c>
      <c r="R45" s="334">
        <f>'Consolidado-Eletronorte'!AR68/1000</f>
      </c>
      <c r="S45" s="334">
        <f>'Consolidado-Eletronorte'!AS68/1000</f>
      </c>
      <c r="T45" s="334">
        <f>'Consolidado-Eletronorte'!AT68/1000</f>
      </c>
      <c r="U45" s="334">
        <f>'Consolidado-Eletronorte'!AU68/1000</f>
      </c>
      <c r="V45" s="334">
        <f>'Consolidado-Eletronorte'!AV68/1000</f>
      </c>
      <c r="W45" s="334">
        <f>'Consolidado-Eletronorte'!AW68/1000</f>
      </c>
      <c r="X45" s="334">
        <f>'Consolidado-Eletronorte'!AX68/1000</f>
      </c>
      <c r="Y45" s="334">
        <f>'Consolidado-Eletronorte'!AY68/1000</f>
      </c>
      <c r="Z45" s="334">
        <f>'Consolidado-Eletronorte'!AZ68/1000</f>
      </c>
    </row>
    <row x14ac:dyDescent="0.25" r="46" customHeight="1" ht="18.75">
      <c r="A46" s="1"/>
      <c r="B46" s="335" t="s">
        <v>40099</v>
      </c>
      <c r="C46" s="335" t="s">
        <v>21</v>
      </c>
      <c r="D46" s="335" t="s">
        <v>21</v>
      </c>
      <c r="E46" s="335" t="s">
        <v>39932</v>
      </c>
      <c r="F46" s="336">
        <v>3700007704</v>
      </c>
      <c r="G46" s="335" t="s">
        <v>40100</v>
      </c>
      <c r="H46" s="335" t="s">
        <v>39912</v>
      </c>
      <c r="I46" s="334">
        <f>'Consolidado-Eletronorte'!AI69/1000</f>
      </c>
      <c r="J46" s="334">
        <f>'Consolidado-Eletronorte'!AJ69/1000</f>
      </c>
      <c r="K46" s="334">
        <f>'Consolidado-Eletronorte'!AK69/1000</f>
      </c>
      <c r="L46" s="334">
        <f>'Consolidado-Eletronorte'!AL69/1000</f>
      </c>
      <c r="M46" s="334">
        <f>'Consolidado-Eletronorte'!AM69/1000</f>
      </c>
      <c r="N46" s="334">
        <f>'Consolidado-Eletronorte'!AN69/1000</f>
      </c>
      <c r="O46" s="334">
        <f>'Consolidado-Eletronorte'!AO69/1000</f>
      </c>
      <c r="P46" s="334">
        <f>'Consolidado-Eletronorte'!AP69/1000</f>
      </c>
      <c r="Q46" s="334">
        <f>'Consolidado-Eletronorte'!AQ69/1000</f>
      </c>
      <c r="R46" s="334">
        <f>'Consolidado-Eletronorte'!AR69/1000</f>
      </c>
      <c r="S46" s="334">
        <f>'Consolidado-Eletronorte'!AS69/1000</f>
      </c>
      <c r="T46" s="334">
        <f>'Consolidado-Eletronorte'!AT69/1000</f>
      </c>
      <c r="U46" s="334">
        <f>'Consolidado-Eletronorte'!AU69/1000</f>
      </c>
      <c r="V46" s="334">
        <f>'Consolidado-Eletronorte'!AV69/1000</f>
      </c>
      <c r="W46" s="334">
        <f>'Consolidado-Eletronorte'!AW69/1000</f>
      </c>
      <c r="X46" s="334">
        <f>'Consolidado-Eletronorte'!AX69/1000</f>
      </c>
      <c r="Y46" s="334">
        <f>'Consolidado-Eletronorte'!AY69/1000</f>
      </c>
      <c r="Z46" s="334">
        <f>'Consolidado-Eletronorte'!AZ69/1000</f>
      </c>
    </row>
    <row x14ac:dyDescent="0.25" r="47" customHeight="1" ht="18.75">
      <c r="A47" s="1"/>
      <c r="B47" s="332" t="s">
        <v>40123</v>
      </c>
      <c r="C47" s="332" t="s">
        <v>21</v>
      </c>
      <c r="D47" s="332" t="s">
        <v>21</v>
      </c>
      <c r="E47" s="332" t="s">
        <v>39949</v>
      </c>
      <c r="F47" s="333" t="s">
        <v>41222</v>
      </c>
      <c r="G47" s="332" t="s">
        <v>40124</v>
      </c>
      <c r="H47" s="332" t="s">
        <v>39912</v>
      </c>
      <c r="I47" s="334">
        <f>'Consolidado-Eletronorte'!AI70/1000</f>
      </c>
      <c r="J47" s="334">
        <f>'Consolidado-Eletronorte'!AJ70/1000</f>
      </c>
      <c r="K47" s="334">
        <f>'Consolidado-Eletronorte'!AK70/1000</f>
      </c>
      <c r="L47" s="334">
        <f>'Consolidado-Eletronorte'!AL70/1000</f>
      </c>
      <c r="M47" s="334">
        <f>'Consolidado-Eletronorte'!AM70/1000</f>
      </c>
      <c r="N47" s="334">
        <f>'Consolidado-Eletronorte'!AN70/1000</f>
      </c>
      <c r="O47" s="334">
        <f>'Consolidado-Eletronorte'!AO70/1000</f>
      </c>
      <c r="P47" s="334">
        <f>'Consolidado-Eletronorte'!AP70/1000</f>
      </c>
      <c r="Q47" s="334">
        <f>'Consolidado-Eletronorte'!AQ70/1000</f>
      </c>
      <c r="R47" s="334">
        <f>'Consolidado-Eletronorte'!AR70/1000</f>
      </c>
      <c r="S47" s="334">
        <f>'Consolidado-Eletronorte'!AS70/1000</f>
      </c>
      <c r="T47" s="334">
        <f>'Consolidado-Eletronorte'!AT70/1000</f>
      </c>
      <c r="U47" s="334">
        <f>'Consolidado-Eletronorte'!AU70/1000</f>
      </c>
      <c r="V47" s="334">
        <f>'Consolidado-Eletronorte'!AV70/1000</f>
      </c>
      <c r="W47" s="334">
        <f>'Consolidado-Eletronorte'!AW70/1000</f>
      </c>
      <c r="X47" s="334">
        <f>'Consolidado-Eletronorte'!AX70/1000</f>
      </c>
      <c r="Y47" s="334">
        <f>'Consolidado-Eletronorte'!AY70/1000</f>
      </c>
      <c r="Z47" s="334">
        <f>'Consolidado-Eletronorte'!AZ70/1000</f>
      </c>
    </row>
    <row x14ac:dyDescent="0.25" r="48" customHeight="1" ht="18.75">
      <c r="A48" s="1"/>
      <c r="B48" s="335" t="s">
        <v>40126</v>
      </c>
      <c r="C48" s="335" t="s">
        <v>21</v>
      </c>
      <c r="D48" s="335" t="s">
        <v>21</v>
      </c>
      <c r="E48" s="335" t="s">
        <v>39932</v>
      </c>
      <c r="F48" s="336" t="s">
        <v>41222</v>
      </c>
      <c r="G48" s="335" t="s">
        <v>40126</v>
      </c>
      <c r="H48" s="335" t="s">
        <v>39912</v>
      </c>
      <c r="I48" s="334">
        <f>'Consolidado-Eletronorte'!AI71/1000</f>
      </c>
      <c r="J48" s="334">
        <f>'Consolidado-Eletronorte'!AJ71/1000</f>
      </c>
      <c r="K48" s="334">
        <f>'Consolidado-Eletronorte'!AK71/1000</f>
      </c>
      <c r="L48" s="334">
        <f>'Consolidado-Eletronorte'!AL71/1000</f>
      </c>
      <c r="M48" s="334">
        <f>'Consolidado-Eletronorte'!AM71/1000</f>
      </c>
      <c r="N48" s="334">
        <f>'Consolidado-Eletronorte'!AN71/1000</f>
      </c>
      <c r="O48" s="334">
        <f>'Consolidado-Eletronorte'!AO71/1000</f>
      </c>
      <c r="P48" s="334">
        <f>'Consolidado-Eletronorte'!AP71/1000</f>
      </c>
      <c r="Q48" s="334">
        <f>'Consolidado-Eletronorte'!AQ71/1000</f>
      </c>
      <c r="R48" s="334">
        <f>'Consolidado-Eletronorte'!AR71/1000</f>
      </c>
      <c r="S48" s="334">
        <f>'Consolidado-Eletronorte'!AS71/1000</f>
      </c>
      <c r="T48" s="334">
        <f>'Consolidado-Eletronorte'!AT71/1000</f>
      </c>
      <c r="U48" s="334">
        <f>'Consolidado-Eletronorte'!AU71/1000</f>
      </c>
      <c r="V48" s="334">
        <f>'Consolidado-Eletronorte'!AV71/1000</f>
      </c>
      <c r="W48" s="334">
        <f>'Consolidado-Eletronorte'!AW71/1000</f>
      </c>
      <c r="X48" s="334">
        <f>'Consolidado-Eletronorte'!AX71/1000</f>
      </c>
      <c r="Y48" s="334">
        <f>'Consolidado-Eletronorte'!AY71/1000</f>
      </c>
      <c r="Z48" s="334">
        <f>'Consolidado-Eletronorte'!AZ71/1000</f>
      </c>
    </row>
    <row x14ac:dyDescent="0.25" r="49" customHeight="1" ht="18.75">
      <c r="A49" s="1"/>
      <c r="B49" s="332" t="s">
        <v>40134</v>
      </c>
      <c r="C49" s="332" t="s">
        <v>21</v>
      </c>
      <c r="D49" s="332" t="s">
        <v>21</v>
      </c>
      <c r="E49" s="332" t="s">
        <v>39949</v>
      </c>
      <c r="F49" s="333">
        <v>3400004384</v>
      </c>
      <c r="G49" s="332" t="s">
        <v>40135</v>
      </c>
      <c r="H49" s="332" t="s">
        <v>39912</v>
      </c>
      <c r="I49" s="334">
        <f>'Consolidado-Eletronorte'!AI72/1000</f>
      </c>
      <c r="J49" s="334">
        <f>'Consolidado-Eletronorte'!AJ72/1000</f>
      </c>
      <c r="K49" s="334">
        <f>'Consolidado-Eletronorte'!AK72/1000</f>
      </c>
      <c r="L49" s="334">
        <f>'Consolidado-Eletronorte'!AL72/1000</f>
      </c>
      <c r="M49" s="334">
        <f>'Consolidado-Eletronorte'!AM72/1000</f>
      </c>
      <c r="N49" s="334">
        <f>'Consolidado-Eletronorte'!AN72/1000</f>
      </c>
      <c r="O49" s="334">
        <f>'Consolidado-Eletronorte'!AO72/1000</f>
      </c>
      <c r="P49" s="334">
        <f>'Consolidado-Eletronorte'!AP72/1000</f>
      </c>
      <c r="Q49" s="334">
        <f>'Consolidado-Eletronorte'!AQ72/1000</f>
      </c>
      <c r="R49" s="334">
        <f>'Consolidado-Eletronorte'!AR72/1000</f>
      </c>
      <c r="S49" s="334">
        <f>'Consolidado-Eletronorte'!AS72/1000</f>
      </c>
      <c r="T49" s="334">
        <f>'Consolidado-Eletronorte'!AT72/1000</f>
      </c>
      <c r="U49" s="334">
        <f>'Consolidado-Eletronorte'!AU72/1000</f>
      </c>
      <c r="V49" s="334">
        <f>'Consolidado-Eletronorte'!AV72/1000</f>
      </c>
      <c r="W49" s="334">
        <f>'Consolidado-Eletronorte'!AW72/1000</f>
      </c>
      <c r="X49" s="334">
        <f>'Consolidado-Eletronorte'!AX72/1000</f>
      </c>
      <c r="Y49" s="334">
        <f>'Consolidado-Eletronorte'!AY72/1000</f>
      </c>
      <c r="Z49" s="334">
        <f>'Consolidado-Eletronorte'!AZ72/1000</f>
      </c>
    </row>
    <row x14ac:dyDescent="0.25" r="50" customHeight="1" ht="18.75">
      <c r="A50" s="1"/>
      <c r="B50" s="335" t="s">
        <v>40169</v>
      </c>
      <c r="C50" s="335" t="s">
        <v>21</v>
      </c>
      <c r="D50" s="335" t="s">
        <v>21</v>
      </c>
      <c r="E50" s="335" t="s">
        <v>39949</v>
      </c>
      <c r="F50" s="336">
        <v>3700014472</v>
      </c>
      <c r="G50" s="335" t="s">
        <v>40170</v>
      </c>
      <c r="H50" s="335" t="s">
        <v>39912</v>
      </c>
      <c r="I50" s="334">
        <f>'Consolidado-Eletronorte'!AI73/1000</f>
      </c>
      <c r="J50" s="334">
        <f>'Consolidado-Eletronorte'!AJ73/1000</f>
      </c>
      <c r="K50" s="334">
        <f>'Consolidado-Eletronorte'!AK73/1000</f>
      </c>
      <c r="L50" s="334">
        <f>'Consolidado-Eletronorte'!AL73/1000</f>
      </c>
      <c r="M50" s="334">
        <f>'Consolidado-Eletronorte'!AM73/1000</f>
      </c>
      <c r="N50" s="334">
        <f>'Consolidado-Eletronorte'!AN73/1000</f>
      </c>
      <c r="O50" s="334">
        <f>'Consolidado-Eletronorte'!AO73/1000</f>
      </c>
      <c r="P50" s="334">
        <f>'Consolidado-Eletronorte'!AP73/1000</f>
      </c>
      <c r="Q50" s="334">
        <f>'Consolidado-Eletronorte'!AQ73/1000</f>
      </c>
      <c r="R50" s="334">
        <f>'Consolidado-Eletronorte'!AR73/1000</f>
      </c>
      <c r="S50" s="334">
        <f>'Consolidado-Eletronorte'!AS73/1000</f>
      </c>
      <c r="T50" s="334">
        <f>'Consolidado-Eletronorte'!AT73/1000</f>
      </c>
      <c r="U50" s="334">
        <f>'Consolidado-Eletronorte'!AU73/1000</f>
      </c>
      <c r="V50" s="334">
        <f>'Consolidado-Eletronorte'!AV73/1000</f>
      </c>
      <c r="W50" s="334">
        <f>'Consolidado-Eletronorte'!AW73/1000</f>
      </c>
      <c r="X50" s="334">
        <f>'Consolidado-Eletronorte'!AX73/1000</f>
      </c>
      <c r="Y50" s="334">
        <f>'Consolidado-Eletronorte'!AY73/1000</f>
      </c>
      <c r="Z50" s="334">
        <f>'Consolidado-Eletronorte'!AZ73/1000</f>
      </c>
    </row>
    <row x14ac:dyDescent="0.25" r="51" customHeight="1" ht="18.75">
      <c r="A51" s="1"/>
      <c r="B51" s="332" t="s">
        <v>40165</v>
      </c>
      <c r="C51" s="332" t="s">
        <v>21</v>
      </c>
      <c r="D51" s="332" t="s">
        <v>21</v>
      </c>
      <c r="E51" s="332" t="s">
        <v>40164</v>
      </c>
      <c r="F51" s="333">
        <v>4500081111</v>
      </c>
      <c r="G51" s="332" t="s">
        <v>40166</v>
      </c>
      <c r="H51" s="332" t="s">
        <v>39912</v>
      </c>
      <c r="I51" s="334">
        <f>'Consolidado-Eletronorte'!AI74/1000</f>
      </c>
      <c r="J51" s="334">
        <f>'Consolidado-Eletronorte'!AJ74/1000</f>
      </c>
      <c r="K51" s="334">
        <f>'Consolidado-Eletronorte'!AK74/1000</f>
      </c>
      <c r="L51" s="334">
        <f>'Consolidado-Eletronorte'!AL74/1000</f>
      </c>
      <c r="M51" s="334">
        <f>'Consolidado-Eletronorte'!AM74/1000</f>
      </c>
      <c r="N51" s="334">
        <f>'Consolidado-Eletronorte'!AN74/1000</f>
      </c>
      <c r="O51" s="334">
        <f>'Consolidado-Eletronorte'!AO74/1000</f>
      </c>
      <c r="P51" s="334">
        <f>'Consolidado-Eletronorte'!AP74/1000</f>
      </c>
      <c r="Q51" s="334">
        <f>'Consolidado-Eletronorte'!AQ74/1000</f>
      </c>
      <c r="R51" s="334">
        <f>'Consolidado-Eletronorte'!AR74/1000</f>
      </c>
      <c r="S51" s="334">
        <f>'Consolidado-Eletronorte'!AS74/1000</f>
      </c>
      <c r="T51" s="334">
        <f>'Consolidado-Eletronorte'!AT74/1000</f>
      </c>
      <c r="U51" s="334">
        <f>'Consolidado-Eletronorte'!AU74/1000</f>
      </c>
      <c r="V51" s="334">
        <f>'Consolidado-Eletronorte'!AV74/1000</f>
      </c>
      <c r="W51" s="334">
        <f>'Consolidado-Eletronorte'!AW74/1000</f>
      </c>
      <c r="X51" s="334">
        <f>'Consolidado-Eletronorte'!AX74/1000</f>
      </c>
      <c r="Y51" s="334">
        <f>'Consolidado-Eletronorte'!AY74/1000</f>
      </c>
      <c r="Z51" s="334">
        <f>'Consolidado-Eletronorte'!AZ74/1000</f>
      </c>
    </row>
    <row x14ac:dyDescent="0.25" r="52" customHeight="1" ht="18.75">
      <c r="A52" s="1"/>
      <c r="B52" s="335" t="s">
        <v>39958</v>
      </c>
      <c r="C52" s="335" t="s">
        <v>21</v>
      </c>
      <c r="D52" s="335" t="s">
        <v>21</v>
      </c>
      <c r="E52" s="335" t="s">
        <v>39932</v>
      </c>
      <c r="F52" s="336" t="s">
        <v>41222</v>
      </c>
      <c r="G52" s="335" t="s">
        <v>39959</v>
      </c>
      <c r="H52" s="335" t="s">
        <v>39912</v>
      </c>
      <c r="I52" s="334">
        <f>'Consolidado-Eletronorte'!AI75/1000</f>
      </c>
      <c r="J52" s="334">
        <f>'Consolidado-Eletronorte'!AJ75/1000</f>
      </c>
      <c r="K52" s="334">
        <f>'Consolidado-Eletronorte'!AK75/1000</f>
      </c>
      <c r="L52" s="334">
        <f>'Consolidado-Eletronorte'!AL75/1000</f>
      </c>
      <c r="M52" s="334">
        <f>'Consolidado-Eletronorte'!AM75/1000</f>
      </c>
      <c r="N52" s="334">
        <f>'Consolidado-Eletronorte'!AN75/1000</f>
      </c>
      <c r="O52" s="334">
        <f>'Consolidado-Eletronorte'!AO75/1000</f>
      </c>
      <c r="P52" s="334">
        <f>'Consolidado-Eletronorte'!AP75/1000</f>
      </c>
      <c r="Q52" s="334">
        <f>'Consolidado-Eletronorte'!AQ75/1000</f>
      </c>
      <c r="R52" s="334">
        <f>'Consolidado-Eletronorte'!AR75/1000</f>
      </c>
      <c r="S52" s="334">
        <f>'Consolidado-Eletronorte'!AS75/1000</f>
      </c>
      <c r="T52" s="334">
        <f>'Consolidado-Eletronorte'!AT75/1000</f>
      </c>
      <c r="U52" s="334">
        <f>'Consolidado-Eletronorte'!AU75/1000</f>
      </c>
      <c r="V52" s="334">
        <f>'Consolidado-Eletronorte'!AV75/1000</f>
      </c>
      <c r="W52" s="334">
        <f>'Consolidado-Eletronorte'!AW75/1000</f>
      </c>
      <c r="X52" s="334">
        <f>'Consolidado-Eletronorte'!AX75/1000</f>
      </c>
      <c r="Y52" s="334">
        <f>'Consolidado-Eletronorte'!AY75/1000</f>
      </c>
      <c r="Z52" s="334">
        <f>'Consolidado-Eletronorte'!AZ75/1000</f>
      </c>
    </row>
    <row x14ac:dyDescent="0.25" r="53" customHeight="1" ht="18.75">
      <c r="A53" s="1"/>
      <c r="B53" s="332" t="s">
        <v>40030</v>
      </c>
      <c r="C53" s="332" t="s">
        <v>21</v>
      </c>
      <c r="D53" s="332" t="s">
        <v>21</v>
      </c>
      <c r="E53" s="332" t="s">
        <v>39949</v>
      </c>
      <c r="F53" s="333" t="s">
        <v>41222</v>
      </c>
      <c r="G53" s="332" t="s">
        <v>40031</v>
      </c>
      <c r="H53" s="332" t="s">
        <v>39912</v>
      </c>
      <c r="I53" s="334">
        <f>'Consolidado-Eletronorte'!AI76/1000</f>
      </c>
      <c r="J53" s="334">
        <f>'Consolidado-Eletronorte'!AJ76/1000</f>
      </c>
      <c r="K53" s="334">
        <f>'Consolidado-Eletronorte'!AK76/1000</f>
      </c>
      <c r="L53" s="334">
        <f>'Consolidado-Eletronorte'!AL76/1000</f>
      </c>
      <c r="M53" s="334">
        <f>'Consolidado-Eletronorte'!AM76/1000</f>
      </c>
      <c r="N53" s="334">
        <f>'Consolidado-Eletronorte'!AN76/1000</f>
      </c>
      <c r="O53" s="334">
        <f>'Consolidado-Eletronorte'!AO76/1000</f>
      </c>
      <c r="P53" s="334">
        <f>'Consolidado-Eletronorte'!AP76/1000</f>
      </c>
      <c r="Q53" s="334">
        <f>'Consolidado-Eletronorte'!AQ76/1000</f>
      </c>
      <c r="R53" s="334">
        <f>'Consolidado-Eletronorte'!AR76/1000</f>
      </c>
      <c r="S53" s="334">
        <f>'Consolidado-Eletronorte'!AS76/1000</f>
      </c>
      <c r="T53" s="334">
        <f>'Consolidado-Eletronorte'!AT76/1000</f>
      </c>
      <c r="U53" s="334">
        <f>'Consolidado-Eletronorte'!AU76/1000</f>
      </c>
      <c r="V53" s="334">
        <f>'Consolidado-Eletronorte'!AV76/1000</f>
      </c>
      <c r="W53" s="334">
        <f>'Consolidado-Eletronorte'!AW76/1000</f>
      </c>
      <c r="X53" s="334">
        <f>'Consolidado-Eletronorte'!AX76/1000</f>
      </c>
      <c r="Y53" s="334">
        <f>'Consolidado-Eletronorte'!AY76/1000</f>
      </c>
      <c r="Z53" s="334">
        <f>'Consolidado-Eletronorte'!AZ76/1000</f>
      </c>
    </row>
    <row x14ac:dyDescent="0.25" r="54" customHeight="1" ht="18.75">
      <c r="A54" s="1"/>
      <c r="B54" s="335" t="s">
        <v>40033</v>
      </c>
      <c r="C54" s="335" t="s">
        <v>21</v>
      </c>
      <c r="D54" s="335" t="s">
        <v>21</v>
      </c>
      <c r="E54" s="335" t="s">
        <v>39932</v>
      </c>
      <c r="F54" s="336" t="s">
        <v>41222</v>
      </c>
      <c r="G54" s="335" t="s">
        <v>40034</v>
      </c>
      <c r="H54" s="335" t="s">
        <v>39912</v>
      </c>
      <c r="I54" s="334">
        <f>'Consolidado-Eletronorte'!AI77/1000</f>
      </c>
      <c r="J54" s="334">
        <f>'Consolidado-Eletronorte'!AJ77/1000</f>
      </c>
      <c r="K54" s="334">
        <f>'Consolidado-Eletronorte'!AK77/1000</f>
      </c>
      <c r="L54" s="334">
        <f>'Consolidado-Eletronorte'!AL77/1000</f>
      </c>
      <c r="M54" s="334">
        <f>'Consolidado-Eletronorte'!AM77/1000</f>
      </c>
      <c r="N54" s="334">
        <f>'Consolidado-Eletronorte'!AN77/1000</f>
      </c>
      <c r="O54" s="334">
        <f>'Consolidado-Eletronorte'!AO77/1000</f>
      </c>
      <c r="P54" s="334">
        <f>'Consolidado-Eletronorte'!AP77/1000</f>
      </c>
      <c r="Q54" s="334">
        <f>'Consolidado-Eletronorte'!AQ77/1000</f>
      </c>
      <c r="R54" s="334">
        <f>'Consolidado-Eletronorte'!AR77/1000</f>
      </c>
      <c r="S54" s="334">
        <f>'Consolidado-Eletronorte'!AS77/1000</f>
      </c>
      <c r="T54" s="334">
        <f>'Consolidado-Eletronorte'!AT77/1000</f>
      </c>
      <c r="U54" s="334">
        <f>'Consolidado-Eletronorte'!AU77/1000</f>
      </c>
      <c r="V54" s="334">
        <f>'Consolidado-Eletronorte'!AV77/1000</f>
      </c>
      <c r="W54" s="334">
        <f>'Consolidado-Eletronorte'!AW77/1000</f>
      </c>
      <c r="X54" s="334">
        <f>'Consolidado-Eletronorte'!AX77/1000</f>
      </c>
      <c r="Y54" s="334">
        <f>'Consolidado-Eletronorte'!AY77/1000</f>
      </c>
      <c r="Z54" s="334">
        <f>'Consolidado-Eletronorte'!AZ77/1000</f>
      </c>
    </row>
    <row x14ac:dyDescent="0.25" r="55" customHeight="1" ht="18.75">
      <c r="A55" s="1"/>
      <c r="B55" s="332" t="s">
        <v>40041</v>
      </c>
      <c r="C55" s="332" t="s">
        <v>21</v>
      </c>
      <c r="D55" s="332" t="s">
        <v>21</v>
      </c>
      <c r="E55" s="332" t="s">
        <v>39949</v>
      </c>
      <c r="F55" s="333" t="s">
        <v>41222</v>
      </c>
      <c r="G55" s="332" t="s">
        <v>40042</v>
      </c>
      <c r="H55" s="332" t="s">
        <v>39969</v>
      </c>
      <c r="I55" s="334">
        <f>'Consolidado-Eletronorte'!AI78/1000</f>
      </c>
      <c r="J55" s="334">
        <f>'Consolidado-Eletronorte'!AJ78/1000</f>
      </c>
      <c r="K55" s="334">
        <f>'Consolidado-Eletronorte'!AK78/1000</f>
      </c>
      <c r="L55" s="334">
        <f>'Consolidado-Eletronorte'!AL78/1000</f>
      </c>
      <c r="M55" s="334">
        <f>'Consolidado-Eletronorte'!AM78/1000</f>
      </c>
      <c r="N55" s="334">
        <f>'Consolidado-Eletronorte'!AN78/1000</f>
      </c>
      <c r="O55" s="334">
        <f>'Consolidado-Eletronorte'!AO78/1000</f>
      </c>
      <c r="P55" s="334">
        <f>'Consolidado-Eletronorte'!AP78/1000</f>
      </c>
      <c r="Q55" s="334">
        <f>'Consolidado-Eletronorte'!AQ78/1000</f>
      </c>
      <c r="R55" s="334">
        <f>'Consolidado-Eletronorte'!AR78/1000</f>
      </c>
      <c r="S55" s="334">
        <f>'Consolidado-Eletronorte'!AS78/1000</f>
      </c>
      <c r="T55" s="334">
        <f>'Consolidado-Eletronorte'!AT78/1000</f>
      </c>
      <c r="U55" s="334">
        <f>'Consolidado-Eletronorte'!AU78/1000</f>
      </c>
      <c r="V55" s="334">
        <f>'Consolidado-Eletronorte'!AV78/1000</f>
      </c>
      <c r="W55" s="334">
        <f>'Consolidado-Eletronorte'!AW78/1000</f>
      </c>
      <c r="X55" s="334">
        <f>'Consolidado-Eletronorte'!AX78/1000</f>
      </c>
      <c r="Y55" s="334">
        <f>'Consolidado-Eletronorte'!AY78/1000</f>
      </c>
      <c r="Z55" s="334">
        <f>'Consolidado-Eletronorte'!AZ78/1000</f>
      </c>
    </row>
    <row x14ac:dyDescent="0.25" r="56" customHeight="1" ht="18.75">
      <c r="A56" s="1"/>
      <c r="B56" s="335" t="s">
        <v>40130</v>
      </c>
      <c r="C56" s="335" t="s">
        <v>21</v>
      </c>
      <c r="D56" s="335" t="s">
        <v>74</v>
      </c>
      <c r="E56" s="335" t="s">
        <v>41153</v>
      </c>
      <c r="F56" s="336" t="s">
        <v>41224</v>
      </c>
      <c r="G56" s="335" t="s">
        <v>40131</v>
      </c>
      <c r="H56" s="335" t="s">
        <v>38359</v>
      </c>
      <c r="I56" s="334">
        <f>'Consolidado-Eletronorte'!AI79/1000</f>
      </c>
      <c r="J56" s="334">
        <f>'Consolidado-Eletronorte'!AJ79/1000</f>
      </c>
      <c r="K56" s="334">
        <f>'Consolidado-Eletronorte'!AK79/1000</f>
      </c>
      <c r="L56" s="334">
        <f>'Consolidado-Eletronorte'!AL79/1000</f>
      </c>
      <c r="M56" s="334">
        <f>'Consolidado-Eletronorte'!AM79/1000</f>
      </c>
      <c r="N56" s="334">
        <f>'Consolidado-Eletronorte'!AN79/1000</f>
      </c>
      <c r="O56" s="334">
        <f>'Consolidado-Eletronorte'!AO79/1000</f>
      </c>
      <c r="P56" s="334">
        <f>'Consolidado-Eletronorte'!AP79/1000</f>
      </c>
      <c r="Q56" s="334">
        <f>'Consolidado-Eletronorte'!AQ79/1000</f>
      </c>
      <c r="R56" s="334">
        <f>'Consolidado-Eletronorte'!AR79/1000</f>
      </c>
      <c r="S56" s="334">
        <f>'Consolidado-Eletronorte'!AS79/1000</f>
      </c>
      <c r="T56" s="334">
        <f>'Consolidado-Eletronorte'!AT79/1000</f>
      </c>
      <c r="U56" s="334">
        <f>'Consolidado-Eletronorte'!AU79/1000</f>
      </c>
      <c r="V56" s="334">
        <f>'Consolidado-Eletronorte'!AV79/1000</f>
      </c>
      <c r="W56" s="334">
        <f>'Consolidado-Eletronorte'!AW79/1000</f>
      </c>
      <c r="X56" s="334">
        <f>'Consolidado-Eletronorte'!AX79/1000</f>
      </c>
      <c r="Y56" s="334">
        <f>'Consolidado-Eletronorte'!AY79/1000</f>
      </c>
      <c r="Z56" s="334">
        <f>'Consolidado-Eletronorte'!AZ79/1000</f>
      </c>
    </row>
    <row x14ac:dyDescent="0.25" r="57" customHeight="1" ht="18.75">
      <c r="A57" s="1"/>
      <c r="B57" s="332" t="s">
        <v>40092</v>
      </c>
      <c r="C57" s="332" t="s">
        <v>21</v>
      </c>
      <c r="D57" s="332" t="s">
        <v>21</v>
      </c>
      <c r="E57" s="332" t="s">
        <v>39949</v>
      </c>
      <c r="F57" s="333" t="s">
        <v>41222</v>
      </c>
      <c r="G57" s="332" t="s">
        <v>40093</v>
      </c>
      <c r="H57" s="332" t="s">
        <v>39969</v>
      </c>
      <c r="I57" s="334">
        <f>'Consolidado-Eletronorte'!AI80/1000</f>
      </c>
      <c r="J57" s="334">
        <f>'Consolidado-Eletronorte'!AJ80/1000</f>
      </c>
      <c r="K57" s="334">
        <f>'Consolidado-Eletronorte'!AK80/1000</f>
      </c>
      <c r="L57" s="334">
        <f>'Consolidado-Eletronorte'!AL80/1000</f>
      </c>
      <c r="M57" s="334">
        <f>'Consolidado-Eletronorte'!AM80/1000</f>
      </c>
      <c r="N57" s="334">
        <f>'Consolidado-Eletronorte'!AN80/1000</f>
      </c>
      <c r="O57" s="334">
        <f>'Consolidado-Eletronorte'!AO80/1000</f>
      </c>
      <c r="P57" s="334">
        <f>'Consolidado-Eletronorte'!AP80/1000</f>
      </c>
      <c r="Q57" s="334">
        <f>'Consolidado-Eletronorte'!AQ80/1000</f>
      </c>
      <c r="R57" s="334">
        <f>'Consolidado-Eletronorte'!AR80/1000</f>
      </c>
      <c r="S57" s="334">
        <f>'Consolidado-Eletronorte'!AS80/1000</f>
      </c>
      <c r="T57" s="334">
        <f>'Consolidado-Eletronorte'!AT80/1000</f>
      </c>
      <c r="U57" s="334">
        <f>'Consolidado-Eletronorte'!AU80/1000</f>
      </c>
      <c r="V57" s="334">
        <f>'Consolidado-Eletronorte'!AV80/1000</f>
      </c>
      <c r="W57" s="334">
        <f>'Consolidado-Eletronorte'!AW80/1000</f>
      </c>
      <c r="X57" s="334">
        <f>'Consolidado-Eletronorte'!AX80/1000</f>
      </c>
      <c r="Y57" s="334">
        <f>'Consolidado-Eletronorte'!AY80/1000</f>
      </c>
      <c r="Z57" s="334">
        <f>'Consolidado-Eletronorte'!AZ80/1000</f>
      </c>
    </row>
    <row x14ac:dyDescent="0.25" r="58" customHeight="1" ht="18.75">
      <c r="A58" s="1"/>
      <c r="B58" s="335" t="s">
        <v>40209</v>
      </c>
      <c r="C58" s="335" t="s">
        <v>21</v>
      </c>
      <c r="D58" s="335" t="s">
        <v>21</v>
      </c>
      <c r="E58" s="335" t="s">
        <v>39932</v>
      </c>
      <c r="F58" s="336" t="s">
        <v>41222</v>
      </c>
      <c r="G58" s="335" t="s">
        <v>40149</v>
      </c>
      <c r="H58" s="335" t="s">
        <v>39912</v>
      </c>
      <c r="I58" s="334">
        <f>'Consolidado-Eletronorte'!AI81/1000</f>
      </c>
      <c r="J58" s="334">
        <f>'Consolidado-Eletronorte'!AJ81/1000</f>
      </c>
      <c r="K58" s="334">
        <f>'Consolidado-Eletronorte'!AK81/1000</f>
      </c>
      <c r="L58" s="334">
        <f>'Consolidado-Eletronorte'!AL81/1000</f>
      </c>
      <c r="M58" s="334">
        <f>'Consolidado-Eletronorte'!AM81/1000</f>
      </c>
      <c r="N58" s="334">
        <f>'Consolidado-Eletronorte'!AN81/1000</f>
      </c>
      <c r="O58" s="334">
        <f>'Consolidado-Eletronorte'!AO81/1000</f>
      </c>
      <c r="P58" s="334">
        <f>'Consolidado-Eletronorte'!AP81/1000</f>
      </c>
      <c r="Q58" s="334">
        <f>'Consolidado-Eletronorte'!AQ81/1000</f>
      </c>
      <c r="R58" s="334">
        <f>'Consolidado-Eletronorte'!AR81/1000</f>
      </c>
      <c r="S58" s="334">
        <f>'Consolidado-Eletronorte'!AS81/1000</f>
      </c>
      <c r="T58" s="334">
        <f>'Consolidado-Eletronorte'!AT81/1000</f>
      </c>
      <c r="U58" s="334">
        <f>'Consolidado-Eletronorte'!AU81/1000</f>
      </c>
      <c r="V58" s="334">
        <f>'Consolidado-Eletronorte'!AV81/1000</f>
      </c>
      <c r="W58" s="334">
        <f>'Consolidado-Eletronorte'!AW81/1000</f>
      </c>
      <c r="X58" s="334">
        <f>'Consolidado-Eletronorte'!AX81/1000</f>
      </c>
      <c r="Y58" s="334">
        <f>'Consolidado-Eletronorte'!AY81/1000</f>
      </c>
      <c r="Z58" s="334">
        <f>'Consolidado-Eletronorte'!AZ81/1000</f>
      </c>
    </row>
    <row x14ac:dyDescent="0.25" r="59" customHeight="1" ht="18.75">
      <c r="A59" s="1"/>
      <c r="B59" s="332" t="s">
        <v>40225</v>
      </c>
      <c r="C59" s="332" t="s">
        <v>21</v>
      </c>
      <c r="D59" s="332" t="s">
        <v>21</v>
      </c>
      <c r="E59" s="332" t="s">
        <v>39932</v>
      </c>
      <c r="F59" s="333" t="s">
        <v>41222</v>
      </c>
      <c r="G59" s="332" t="s">
        <v>40226</v>
      </c>
      <c r="H59" s="332" t="s">
        <v>39912</v>
      </c>
      <c r="I59" s="334">
        <f>'Consolidado-Eletronorte'!AI82/1000</f>
      </c>
      <c r="J59" s="334">
        <f>'Consolidado-Eletronorte'!AJ82/1000</f>
      </c>
      <c r="K59" s="334">
        <f>'Consolidado-Eletronorte'!AK82/1000</f>
      </c>
      <c r="L59" s="334">
        <f>'Consolidado-Eletronorte'!AL82/1000</f>
      </c>
      <c r="M59" s="334">
        <f>'Consolidado-Eletronorte'!AM82/1000</f>
      </c>
      <c r="N59" s="334">
        <f>'Consolidado-Eletronorte'!AN82/1000</f>
      </c>
      <c r="O59" s="334">
        <f>'Consolidado-Eletronorte'!AO82/1000</f>
      </c>
      <c r="P59" s="334">
        <f>'Consolidado-Eletronorte'!AP82/1000</f>
      </c>
      <c r="Q59" s="334">
        <f>'Consolidado-Eletronorte'!AQ82/1000</f>
      </c>
      <c r="R59" s="334">
        <f>'Consolidado-Eletronorte'!AR82/1000</f>
      </c>
      <c r="S59" s="334">
        <f>'Consolidado-Eletronorte'!AS82/1000</f>
      </c>
      <c r="T59" s="334">
        <f>'Consolidado-Eletronorte'!AT82/1000</f>
      </c>
      <c r="U59" s="334">
        <f>'Consolidado-Eletronorte'!AU82/1000</f>
      </c>
      <c r="V59" s="334">
        <f>'Consolidado-Eletronorte'!AV82/1000</f>
      </c>
      <c r="W59" s="334">
        <f>'Consolidado-Eletronorte'!AW82/1000</f>
      </c>
      <c r="X59" s="334">
        <f>'Consolidado-Eletronorte'!AX82/1000</f>
      </c>
      <c r="Y59" s="334">
        <f>'Consolidado-Eletronorte'!AY82/1000</f>
      </c>
      <c r="Z59" s="334">
        <f>'Consolidado-Eletronorte'!AZ82/1000</f>
      </c>
    </row>
    <row x14ac:dyDescent="0.25" r="60" customHeight="1" ht="18.75">
      <c r="A60" s="1"/>
      <c r="B60" s="335" t="s">
        <v>40151</v>
      </c>
      <c r="C60" s="335" t="s">
        <v>21</v>
      </c>
      <c r="D60" s="335" t="s">
        <v>21</v>
      </c>
      <c r="E60" s="335" t="s">
        <v>39949</v>
      </c>
      <c r="F60" s="336" t="s">
        <v>41222</v>
      </c>
      <c r="G60" s="335" t="s">
        <v>40152</v>
      </c>
      <c r="H60" s="335" t="s">
        <v>38369</v>
      </c>
      <c r="I60" s="334">
        <f>'Consolidado-Eletronorte'!AI83/1000</f>
      </c>
      <c r="J60" s="334">
        <f>'Consolidado-Eletronorte'!AJ83/1000</f>
      </c>
      <c r="K60" s="334">
        <f>'Consolidado-Eletronorte'!AK83/1000</f>
      </c>
      <c r="L60" s="334">
        <f>'Consolidado-Eletronorte'!AL83/1000</f>
      </c>
      <c r="M60" s="334">
        <f>'Consolidado-Eletronorte'!AM83/1000</f>
      </c>
      <c r="N60" s="334">
        <f>'Consolidado-Eletronorte'!AN83/1000</f>
      </c>
      <c r="O60" s="334">
        <f>'Consolidado-Eletronorte'!AO83/1000</f>
      </c>
      <c r="P60" s="334">
        <f>'Consolidado-Eletronorte'!AP83/1000</f>
      </c>
      <c r="Q60" s="334">
        <f>'Consolidado-Eletronorte'!AQ83/1000</f>
      </c>
      <c r="R60" s="334">
        <f>'Consolidado-Eletronorte'!AR83/1000</f>
      </c>
      <c r="S60" s="334">
        <f>'Consolidado-Eletronorte'!AS83/1000</f>
      </c>
      <c r="T60" s="334">
        <f>'Consolidado-Eletronorte'!AT83/1000</f>
      </c>
      <c r="U60" s="334">
        <f>'Consolidado-Eletronorte'!AU83/1000</f>
      </c>
      <c r="V60" s="334">
        <f>'Consolidado-Eletronorte'!AV83/1000</f>
      </c>
      <c r="W60" s="334">
        <f>'Consolidado-Eletronorte'!AW83/1000</f>
      </c>
      <c r="X60" s="334">
        <f>'Consolidado-Eletronorte'!AX83/1000</f>
      </c>
      <c r="Y60" s="334">
        <f>'Consolidado-Eletronorte'!AY83/1000</f>
      </c>
      <c r="Z60" s="334">
        <f>'Consolidado-Eletronorte'!AZ83/1000</f>
      </c>
    </row>
    <row x14ac:dyDescent="0.25" r="61" customHeight="1" ht="18.75">
      <c r="A61" s="1"/>
      <c r="B61" s="332" t="s">
        <v>40341</v>
      </c>
      <c r="C61" s="332" t="s">
        <v>21</v>
      </c>
      <c r="D61" s="332" t="s">
        <v>21</v>
      </c>
      <c r="E61" s="332" t="s">
        <v>39949</v>
      </c>
      <c r="F61" s="333" t="s">
        <v>41222</v>
      </c>
      <c r="G61" s="332" t="s">
        <v>40342</v>
      </c>
      <c r="H61" s="332" t="s">
        <v>39969</v>
      </c>
      <c r="I61" s="334">
        <f>'Consolidado-Eletronorte'!AI84/1000</f>
      </c>
      <c r="J61" s="334">
        <f>'Consolidado-Eletronorte'!AJ84/1000</f>
      </c>
      <c r="K61" s="334">
        <f>'Consolidado-Eletronorte'!AK84/1000</f>
      </c>
      <c r="L61" s="334">
        <f>'Consolidado-Eletronorte'!AL84/1000</f>
      </c>
      <c r="M61" s="334">
        <f>'Consolidado-Eletronorte'!AM84/1000</f>
      </c>
      <c r="N61" s="334">
        <f>'Consolidado-Eletronorte'!AN84/1000</f>
      </c>
      <c r="O61" s="334">
        <f>'Consolidado-Eletronorte'!AO84/1000</f>
      </c>
      <c r="P61" s="334">
        <f>'Consolidado-Eletronorte'!AP84/1000</f>
      </c>
      <c r="Q61" s="334">
        <f>'Consolidado-Eletronorte'!AQ84/1000</f>
      </c>
      <c r="R61" s="334">
        <f>'Consolidado-Eletronorte'!AR84/1000</f>
      </c>
      <c r="S61" s="334">
        <f>'Consolidado-Eletronorte'!AS84/1000</f>
      </c>
      <c r="T61" s="334">
        <f>'Consolidado-Eletronorte'!AT84/1000</f>
      </c>
      <c r="U61" s="334">
        <f>'Consolidado-Eletronorte'!AU84/1000</f>
      </c>
      <c r="V61" s="334">
        <f>'Consolidado-Eletronorte'!AV84/1000</f>
      </c>
      <c r="W61" s="334">
        <f>'Consolidado-Eletronorte'!AW84/1000</f>
      </c>
      <c r="X61" s="334">
        <f>'Consolidado-Eletronorte'!AX84/1000</f>
      </c>
      <c r="Y61" s="334">
        <f>'Consolidado-Eletronorte'!AY84/1000</f>
      </c>
      <c r="Z61" s="334">
        <f>'Consolidado-Eletronorte'!AZ84/1000</f>
      </c>
    </row>
    <row x14ac:dyDescent="0.25" r="62" customHeight="1" ht="18.75">
      <c r="A62" s="1"/>
      <c r="B62" s="335" t="s">
        <v>40158</v>
      </c>
      <c r="C62" s="335" t="s">
        <v>21</v>
      </c>
      <c r="D62" s="335" t="s">
        <v>21</v>
      </c>
      <c r="E62" s="335" t="s">
        <v>39932</v>
      </c>
      <c r="F62" s="336">
        <v>3400002923</v>
      </c>
      <c r="G62" s="335" t="s">
        <v>40082</v>
      </c>
      <c r="H62" s="335" t="s">
        <v>39998</v>
      </c>
      <c r="I62" s="334">
        <f>'Consolidado-Eletronorte'!AI85/1000</f>
      </c>
      <c r="J62" s="334">
        <f>'Consolidado-Eletronorte'!AJ85/1000</f>
      </c>
      <c r="K62" s="334">
        <f>'Consolidado-Eletronorte'!AK85/1000</f>
      </c>
      <c r="L62" s="334">
        <f>'Consolidado-Eletronorte'!AL85/1000</f>
      </c>
      <c r="M62" s="334">
        <f>'Consolidado-Eletronorte'!AM85/1000</f>
      </c>
      <c r="N62" s="334">
        <f>'Consolidado-Eletronorte'!AN85/1000</f>
      </c>
      <c r="O62" s="334">
        <f>'Consolidado-Eletronorte'!AO85/1000</f>
      </c>
      <c r="P62" s="334">
        <f>'Consolidado-Eletronorte'!AP85/1000</f>
      </c>
      <c r="Q62" s="334">
        <f>'Consolidado-Eletronorte'!AQ85/1000</f>
      </c>
      <c r="R62" s="334">
        <f>'Consolidado-Eletronorte'!AR85/1000</f>
      </c>
      <c r="S62" s="334">
        <f>'Consolidado-Eletronorte'!AS85/1000</f>
      </c>
      <c r="T62" s="334">
        <f>'Consolidado-Eletronorte'!AT85/1000</f>
      </c>
      <c r="U62" s="334">
        <f>'Consolidado-Eletronorte'!AU85/1000</f>
      </c>
      <c r="V62" s="334">
        <f>'Consolidado-Eletronorte'!AV85/1000</f>
      </c>
      <c r="W62" s="334">
        <f>'Consolidado-Eletronorte'!AW85/1000</f>
      </c>
      <c r="X62" s="334">
        <f>'Consolidado-Eletronorte'!AX85/1000</f>
      </c>
      <c r="Y62" s="334">
        <f>'Consolidado-Eletronorte'!AY85/1000</f>
      </c>
      <c r="Z62" s="334">
        <f>'Consolidado-Eletronorte'!AZ85/1000</f>
      </c>
    </row>
    <row x14ac:dyDescent="0.25" r="63" customHeight="1" ht="18.75">
      <c r="A63" s="1"/>
      <c r="B63" s="332" t="s">
        <v>40182</v>
      </c>
      <c r="C63" s="332" t="s">
        <v>21</v>
      </c>
      <c r="D63" s="332" t="s">
        <v>21</v>
      </c>
      <c r="E63" s="332" t="s">
        <v>40181</v>
      </c>
      <c r="F63" s="333">
        <v>4500057018</v>
      </c>
      <c r="G63" s="332" t="s">
        <v>40183</v>
      </c>
      <c r="H63" s="332" t="s">
        <v>39912</v>
      </c>
      <c r="I63" s="334">
        <f>'Consolidado-Eletronorte'!AI86/1000</f>
      </c>
      <c r="J63" s="334">
        <f>'Consolidado-Eletronorte'!AJ86/1000</f>
      </c>
      <c r="K63" s="334">
        <f>'Consolidado-Eletronorte'!AK86/1000</f>
      </c>
      <c r="L63" s="334">
        <f>'Consolidado-Eletronorte'!AL86/1000</f>
      </c>
      <c r="M63" s="334">
        <f>'Consolidado-Eletronorte'!AM86/1000</f>
      </c>
      <c r="N63" s="334">
        <f>'Consolidado-Eletronorte'!AN86/1000</f>
      </c>
      <c r="O63" s="334">
        <f>'Consolidado-Eletronorte'!AO86/1000</f>
      </c>
      <c r="P63" s="334">
        <f>'Consolidado-Eletronorte'!AP86/1000</f>
      </c>
      <c r="Q63" s="334">
        <f>'Consolidado-Eletronorte'!AQ86/1000</f>
      </c>
      <c r="R63" s="334">
        <f>'Consolidado-Eletronorte'!AR86/1000</f>
      </c>
      <c r="S63" s="334">
        <f>'Consolidado-Eletronorte'!AS86/1000</f>
      </c>
      <c r="T63" s="334">
        <f>'Consolidado-Eletronorte'!AT86/1000</f>
      </c>
      <c r="U63" s="334">
        <f>'Consolidado-Eletronorte'!AU86/1000</f>
      </c>
      <c r="V63" s="334">
        <f>'Consolidado-Eletronorte'!AV86/1000</f>
      </c>
      <c r="W63" s="334">
        <f>'Consolidado-Eletronorte'!AW86/1000</f>
      </c>
      <c r="X63" s="334">
        <f>'Consolidado-Eletronorte'!AX86/1000</f>
      </c>
      <c r="Y63" s="334">
        <f>'Consolidado-Eletronorte'!AY86/1000</f>
      </c>
      <c r="Z63" s="334">
        <f>'Consolidado-Eletronorte'!AZ86/1000</f>
      </c>
    </row>
    <row x14ac:dyDescent="0.25" r="64" customHeight="1" ht="18.75">
      <c r="A64" s="1"/>
      <c r="B64" s="335" t="s">
        <v>40240</v>
      </c>
      <c r="C64" s="335" t="s">
        <v>21</v>
      </c>
      <c r="D64" s="335" t="s">
        <v>21</v>
      </c>
      <c r="E64" s="335" t="s">
        <v>39949</v>
      </c>
      <c r="F64" s="336">
        <v>4600002614</v>
      </c>
      <c r="G64" s="335"/>
      <c r="H64" s="335" t="s">
        <v>39912</v>
      </c>
      <c r="I64" s="334">
        <f>'Consolidado-Eletronorte'!AI87/1000</f>
      </c>
      <c r="J64" s="334">
        <f>'Consolidado-Eletronorte'!AJ87/1000</f>
      </c>
      <c r="K64" s="334">
        <f>'Consolidado-Eletronorte'!AK87/1000</f>
      </c>
      <c r="L64" s="334">
        <f>'Consolidado-Eletronorte'!AL87/1000</f>
      </c>
      <c r="M64" s="334">
        <f>'Consolidado-Eletronorte'!AM87/1000</f>
      </c>
      <c r="N64" s="334">
        <f>'Consolidado-Eletronorte'!AN87/1000</f>
      </c>
      <c r="O64" s="334">
        <f>'Consolidado-Eletronorte'!AO87/1000</f>
      </c>
      <c r="P64" s="334">
        <f>'Consolidado-Eletronorte'!AP87/1000</f>
      </c>
      <c r="Q64" s="334">
        <f>'Consolidado-Eletronorte'!AQ87/1000</f>
      </c>
      <c r="R64" s="334">
        <f>'Consolidado-Eletronorte'!AR87/1000</f>
      </c>
      <c r="S64" s="334">
        <f>'Consolidado-Eletronorte'!AS87/1000</f>
      </c>
      <c r="T64" s="334">
        <f>'Consolidado-Eletronorte'!AT87/1000</f>
      </c>
      <c r="U64" s="334">
        <f>'Consolidado-Eletronorte'!AU87/1000</f>
      </c>
      <c r="V64" s="334">
        <f>'Consolidado-Eletronorte'!AV87/1000</f>
      </c>
      <c r="W64" s="334">
        <f>'Consolidado-Eletronorte'!AW87/1000</f>
      </c>
      <c r="X64" s="334">
        <f>'Consolidado-Eletronorte'!AX87/1000</f>
      </c>
      <c r="Y64" s="334">
        <f>'Consolidado-Eletronorte'!AY87/1000</f>
      </c>
      <c r="Z64" s="334">
        <f>'Consolidado-Eletronorte'!AZ87/1000</f>
      </c>
    </row>
    <row x14ac:dyDescent="0.25" r="65" customHeight="1" ht="18.75">
      <c r="A65" s="1"/>
      <c r="B65" s="332" t="s">
        <v>40243</v>
      </c>
      <c r="C65" s="332" t="s">
        <v>21</v>
      </c>
      <c r="D65" s="332" t="s">
        <v>21</v>
      </c>
      <c r="E65" s="332" t="s">
        <v>40242</v>
      </c>
      <c r="F65" s="333">
        <v>4500079631</v>
      </c>
      <c r="G65" s="332" t="s">
        <v>40244</v>
      </c>
      <c r="H65" s="332" t="s">
        <v>39912</v>
      </c>
      <c r="I65" s="334">
        <f>'Consolidado-Eletronorte'!AI88/1000</f>
      </c>
      <c r="J65" s="334">
        <f>'Consolidado-Eletronorte'!AJ88/1000</f>
      </c>
      <c r="K65" s="334">
        <f>'Consolidado-Eletronorte'!AK88/1000</f>
      </c>
      <c r="L65" s="334">
        <f>'Consolidado-Eletronorte'!AL88/1000</f>
      </c>
      <c r="M65" s="334">
        <f>'Consolidado-Eletronorte'!AM88/1000</f>
      </c>
      <c r="N65" s="334">
        <f>'Consolidado-Eletronorte'!AN88/1000</f>
      </c>
      <c r="O65" s="334">
        <f>'Consolidado-Eletronorte'!AO88/1000</f>
      </c>
      <c r="P65" s="334">
        <f>'Consolidado-Eletronorte'!AP88/1000</f>
      </c>
      <c r="Q65" s="334">
        <f>'Consolidado-Eletronorte'!AQ88/1000</f>
      </c>
      <c r="R65" s="334">
        <f>'Consolidado-Eletronorte'!AR88/1000</f>
      </c>
      <c r="S65" s="334">
        <f>'Consolidado-Eletronorte'!AS88/1000</f>
      </c>
      <c r="T65" s="334">
        <f>'Consolidado-Eletronorte'!AT88/1000</f>
      </c>
      <c r="U65" s="334">
        <f>'Consolidado-Eletronorte'!AU88/1000</f>
      </c>
      <c r="V65" s="334">
        <f>'Consolidado-Eletronorte'!AV88/1000</f>
      </c>
      <c r="W65" s="334">
        <f>'Consolidado-Eletronorte'!AW88/1000</f>
      </c>
      <c r="X65" s="334">
        <f>'Consolidado-Eletronorte'!AX88/1000</f>
      </c>
      <c r="Y65" s="334">
        <f>'Consolidado-Eletronorte'!AY88/1000</f>
      </c>
      <c r="Z65" s="334">
        <f>'Consolidado-Eletronorte'!AZ88/1000</f>
      </c>
    </row>
    <row x14ac:dyDescent="0.25" r="66" customHeight="1" ht="18.75">
      <c r="A66" s="1"/>
      <c r="B66" s="335" t="s">
        <v>40247</v>
      </c>
      <c r="C66" s="335" t="s">
        <v>21</v>
      </c>
      <c r="D66" s="335" t="s">
        <v>21</v>
      </c>
      <c r="E66" s="335" t="s">
        <v>40246</v>
      </c>
      <c r="F66" s="336">
        <v>4500076990</v>
      </c>
      <c r="G66" s="335" t="s">
        <v>40248</v>
      </c>
      <c r="H66" s="335" t="s">
        <v>39912</v>
      </c>
      <c r="I66" s="334">
        <f>'Consolidado-Eletronorte'!AI89/1000</f>
      </c>
      <c r="J66" s="334">
        <f>'Consolidado-Eletronorte'!AJ89/1000</f>
      </c>
      <c r="K66" s="334">
        <f>'Consolidado-Eletronorte'!AK89/1000</f>
      </c>
      <c r="L66" s="334">
        <f>'Consolidado-Eletronorte'!AL89/1000</f>
      </c>
      <c r="M66" s="334">
        <f>'Consolidado-Eletronorte'!AM89/1000</f>
      </c>
      <c r="N66" s="334">
        <f>'Consolidado-Eletronorte'!AN89/1000</f>
      </c>
      <c r="O66" s="334">
        <f>'Consolidado-Eletronorte'!AO89/1000</f>
      </c>
      <c r="P66" s="334">
        <f>'Consolidado-Eletronorte'!AP89/1000</f>
      </c>
      <c r="Q66" s="334">
        <f>'Consolidado-Eletronorte'!AQ89/1000</f>
      </c>
      <c r="R66" s="334">
        <f>'Consolidado-Eletronorte'!AR89/1000</f>
      </c>
      <c r="S66" s="334">
        <f>'Consolidado-Eletronorte'!AS89/1000</f>
      </c>
      <c r="T66" s="334">
        <f>'Consolidado-Eletronorte'!AT89/1000</f>
      </c>
      <c r="U66" s="334">
        <f>'Consolidado-Eletronorte'!AU89/1000</f>
      </c>
      <c r="V66" s="334">
        <f>'Consolidado-Eletronorte'!AV89/1000</f>
      </c>
      <c r="W66" s="334">
        <f>'Consolidado-Eletronorte'!AW89/1000</f>
      </c>
      <c r="X66" s="334">
        <f>'Consolidado-Eletronorte'!AX89/1000</f>
      </c>
      <c r="Y66" s="334">
        <f>'Consolidado-Eletronorte'!AY89/1000</f>
      </c>
      <c r="Z66" s="334">
        <f>'Consolidado-Eletronorte'!AZ89/1000</f>
      </c>
    </row>
    <row x14ac:dyDescent="0.25" r="67" customHeight="1" ht="18.75">
      <c r="A67" s="1"/>
      <c r="B67" s="332" t="s">
        <v>40175</v>
      </c>
      <c r="C67" s="332" t="s">
        <v>21</v>
      </c>
      <c r="D67" s="332" t="s">
        <v>21</v>
      </c>
      <c r="E67" s="332" t="s">
        <v>39932</v>
      </c>
      <c r="F67" s="333" t="s">
        <v>41222</v>
      </c>
      <c r="G67" s="332" t="s">
        <v>40176</v>
      </c>
      <c r="H67" s="332" t="s">
        <v>39912</v>
      </c>
      <c r="I67" s="334">
        <f>'Consolidado-Eletronorte'!AI90/1000</f>
      </c>
      <c r="J67" s="334">
        <f>'Consolidado-Eletronorte'!AJ90/1000</f>
      </c>
      <c r="K67" s="334">
        <f>'Consolidado-Eletronorte'!AK90/1000</f>
      </c>
      <c r="L67" s="334">
        <f>'Consolidado-Eletronorte'!AL90/1000</f>
      </c>
      <c r="M67" s="334">
        <f>'Consolidado-Eletronorte'!AM90/1000</f>
      </c>
      <c r="N67" s="334">
        <f>'Consolidado-Eletronorte'!AN90/1000</f>
      </c>
      <c r="O67" s="334">
        <f>'Consolidado-Eletronorte'!AO90/1000</f>
      </c>
      <c r="P67" s="334">
        <f>'Consolidado-Eletronorte'!AP90/1000</f>
      </c>
      <c r="Q67" s="334">
        <f>'Consolidado-Eletronorte'!AQ90/1000</f>
      </c>
      <c r="R67" s="334">
        <f>'Consolidado-Eletronorte'!AR90/1000</f>
      </c>
      <c r="S67" s="334">
        <f>'Consolidado-Eletronorte'!AS90/1000</f>
      </c>
      <c r="T67" s="334">
        <f>'Consolidado-Eletronorte'!AT90/1000</f>
      </c>
      <c r="U67" s="334">
        <f>'Consolidado-Eletronorte'!AU90/1000</f>
      </c>
      <c r="V67" s="334">
        <f>'Consolidado-Eletronorte'!AV90/1000</f>
      </c>
      <c r="W67" s="334">
        <f>'Consolidado-Eletronorte'!AW90/1000</f>
      </c>
      <c r="X67" s="334">
        <f>'Consolidado-Eletronorte'!AX90/1000</f>
      </c>
      <c r="Y67" s="334">
        <f>'Consolidado-Eletronorte'!AY90/1000</f>
      </c>
      <c r="Z67" s="334">
        <f>'Consolidado-Eletronorte'!AZ90/1000</f>
      </c>
    </row>
    <row x14ac:dyDescent="0.25" r="68" customHeight="1" ht="18.75">
      <c r="A68" s="1"/>
      <c r="B68" s="335" t="s">
        <v>40324</v>
      </c>
      <c r="C68" s="335" t="s">
        <v>21</v>
      </c>
      <c r="D68" s="335" t="s">
        <v>21</v>
      </c>
      <c r="E68" s="335" t="s">
        <v>40323</v>
      </c>
      <c r="F68" s="336">
        <v>4500067440</v>
      </c>
      <c r="G68" s="335" t="s">
        <v>40325</v>
      </c>
      <c r="H68" s="335" t="s">
        <v>39945</v>
      </c>
      <c r="I68" s="334">
        <f>'Consolidado-Eletronorte'!AI91/1000</f>
      </c>
      <c r="J68" s="334">
        <f>'Consolidado-Eletronorte'!AJ91/1000</f>
      </c>
      <c r="K68" s="334">
        <f>'Consolidado-Eletronorte'!AK91/1000</f>
      </c>
      <c r="L68" s="334">
        <f>'Consolidado-Eletronorte'!AL91/1000</f>
      </c>
      <c r="M68" s="334">
        <f>'Consolidado-Eletronorte'!AM91/1000</f>
      </c>
      <c r="N68" s="334">
        <f>'Consolidado-Eletronorte'!AN91/1000</f>
      </c>
      <c r="O68" s="334">
        <f>'Consolidado-Eletronorte'!AO91/1000</f>
      </c>
      <c r="P68" s="334">
        <f>'Consolidado-Eletronorte'!AP91/1000</f>
      </c>
      <c r="Q68" s="334">
        <f>'Consolidado-Eletronorte'!AQ91/1000</f>
      </c>
      <c r="R68" s="334">
        <f>'Consolidado-Eletronorte'!AR91/1000</f>
      </c>
      <c r="S68" s="334">
        <f>'Consolidado-Eletronorte'!AS91/1000</f>
      </c>
      <c r="T68" s="334">
        <f>'Consolidado-Eletronorte'!AT91/1000</f>
      </c>
      <c r="U68" s="334">
        <f>'Consolidado-Eletronorte'!AU91/1000</f>
      </c>
      <c r="V68" s="334">
        <f>'Consolidado-Eletronorte'!AV91/1000</f>
      </c>
      <c r="W68" s="334">
        <f>'Consolidado-Eletronorte'!AW91/1000</f>
      </c>
      <c r="X68" s="334">
        <f>'Consolidado-Eletronorte'!AX91/1000</f>
      </c>
      <c r="Y68" s="334">
        <f>'Consolidado-Eletronorte'!AY91/1000</f>
      </c>
      <c r="Z68" s="334">
        <f>'Consolidado-Eletronorte'!AZ91/1000</f>
      </c>
    </row>
    <row x14ac:dyDescent="0.25" r="69" customHeight="1" ht="18.75">
      <c r="A69" s="1"/>
      <c r="B69" s="332" t="s">
        <v>40175</v>
      </c>
      <c r="C69" s="332" t="s">
        <v>21</v>
      </c>
      <c r="D69" s="332" t="s">
        <v>21</v>
      </c>
      <c r="E69" s="332" t="s">
        <v>39932</v>
      </c>
      <c r="F69" s="333" t="s">
        <v>41222</v>
      </c>
      <c r="G69" s="332" t="s">
        <v>40179</v>
      </c>
      <c r="H69" s="332" t="s">
        <v>39912</v>
      </c>
      <c r="I69" s="334">
        <f>'Consolidado-Eletronorte'!AI92/1000</f>
      </c>
      <c r="J69" s="334">
        <f>'Consolidado-Eletronorte'!AJ92/1000</f>
      </c>
      <c r="K69" s="334">
        <f>'Consolidado-Eletronorte'!AK92/1000</f>
      </c>
      <c r="L69" s="334">
        <f>'Consolidado-Eletronorte'!AL92/1000</f>
      </c>
      <c r="M69" s="334">
        <f>'Consolidado-Eletronorte'!AM92/1000</f>
      </c>
      <c r="N69" s="334">
        <f>'Consolidado-Eletronorte'!AN92/1000</f>
      </c>
      <c r="O69" s="334">
        <f>'Consolidado-Eletronorte'!AO92/1000</f>
      </c>
      <c r="P69" s="334">
        <f>'Consolidado-Eletronorte'!AP92/1000</f>
      </c>
      <c r="Q69" s="334">
        <f>'Consolidado-Eletronorte'!AQ92/1000</f>
      </c>
      <c r="R69" s="334">
        <f>'Consolidado-Eletronorte'!AR92/1000</f>
      </c>
      <c r="S69" s="334">
        <f>'Consolidado-Eletronorte'!AS92/1000</f>
      </c>
      <c r="T69" s="334">
        <f>'Consolidado-Eletronorte'!AT92/1000</f>
      </c>
      <c r="U69" s="334">
        <f>'Consolidado-Eletronorte'!AU92/1000</f>
      </c>
      <c r="V69" s="334">
        <f>'Consolidado-Eletronorte'!AV92/1000</f>
      </c>
      <c r="W69" s="334">
        <f>'Consolidado-Eletronorte'!AW92/1000</f>
      </c>
      <c r="X69" s="334">
        <f>'Consolidado-Eletronorte'!AX92/1000</f>
      </c>
      <c r="Y69" s="334">
        <f>'Consolidado-Eletronorte'!AY92/1000</f>
      </c>
      <c r="Z69" s="334">
        <f>'Consolidado-Eletronorte'!AZ92/1000</f>
      </c>
    </row>
    <row x14ac:dyDescent="0.25" r="70" customHeight="1" ht="18.75">
      <c r="A70" s="1"/>
      <c r="B70" s="335" t="s">
        <v>40231</v>
      </c>
      <c r="C70" s="335" t="s">
        <v>21</v>
      </c>
      <c r="D70" s="335" t="s">
        <v>21</v>
      </c>
      <c r="E70" s="335" t="s">
        <v>39949</v>
      </c>
      <c r="F70" s="336" t="s">
        <v>41222</v>
      </c>
      <c r="G70" s="335" t="s">
        <v>40232</v>
      </c>
      <c r="H70" s="335" t="s">
        <v>39969</v>
      </c>
      <c r="I70" s="334">
        <f>'Consolidado-Eletronorte'!AI93/1000</f>
      </c>
      <c r="J70" s="334">
        <f>'Consolidado-Eletronorte'!AJ93/1000</f>
      </c>
      <c r="K70" s="334">
        <f>'Consolidado-Eletronorte'!AK93/1000</f>
      </c>
      <c r="L70" s="334">
        <f>'Consolidado-Eletronorte'!AL93/1000</f>
      </c>
      <c r="M70" s="334">
        <f>'Consolidado-Eletronorte'!AM93/1000</f>
      </c>
      <c r="N70" s="334">
        <f>'Consolidado-Eletronorte'!AN93/1000</f>
      </c>
      <c r="O70" s="334">
        <f>'Consolidado-Eletronorte'!AO93/1000</f>
      </c>
      <c r="P70" s="334">
        <f>'Consolidado-Eletronorte'!AP93/1000</f>
      </c>
      <c r="Q70" s="334">
        <f>'Consolidado-Eletronorte'!AQ93/1000</f>
      </c>
      <c r="R70" s="334">
        <f>'Consolidado-Eletronorte'!AR93/1000</f>
      </c>
      <c r="S70" s="334">
        <f>'Consolidado-Eletronorte'!AS93/1000</f>
      </c>
      <c r="T70" s="334">
        <f>'Consolidado-Eletronorte'!AT93/1000</f>
      </c>
      <c r="U70" s="334">
        <f>'Consolidado-Eletronorte'!AU93/1000</f>
      </c>
      <c r="V70" s="334">
        <f>'Consolidado-Eletronorte'!AV93/1000</f>
      </c>
      <c r="W70" s="334">
        <f>'Consolidado-Eletronorte'!AW93/1000</f>
      </c>
      <c r="X70" s="334">
        <f>'Consolidado-Eletronorte'!AX93/1000</f>
      </c>
      <c r="Y70" s="334">
        <f>'Consolidado-Eletronorte'!AY93/1000</f>
      </c>
      <c r="Z70" s="334">
        <f>'Consolidado-Eletronorte'!AZ93/1000</f>
      </c>
    </row>
    <row x14ac:dyDescent="0.25" r="71" customHeight="1" ht="18.75">
      <c r="A71" s="1"/>
      <c r="B71" s="332" t="s">
        <v>40213</v>
      </c>
      <c r="C71" s="332" t="s">
        <v>21</v>
      </c>
      <c r="D71" s="332" t="s">
        <v>21</v>
      </c>
      <c r="E71" s="332" t="s">
        <v>39949</v>
      </c>
      <c r="F71" s="333" t="s">
        <v>41222</v>
      </c>
      <c r="G71" s="332" t="s">
        <v>40214</v>
      </c>
      <c r="H71" s="332" t="s">
        <v>39998</v>
      </c>
      <c r="I71" s="334">
        <f>'Consolidado-Eletronorte'!AI94/1000</f>
      </c>
      <c r="J71" s="334">
        <f>'Consolidado-Eletronorte'!AJ94/1000</f>
      </c>
      <c r="K71" s="334">
        <f>'Consolidado-Eletronorte'!AK94/1000</f>
      </c>
      <c r="L71" s="334">
        <f>'Consolidado-Eletronorte'!AL94/1000</f>
      </c>
      <c r="M71" s="334">
        <f>'Consolidado-Eletronorte'!AM94/1000</f>
      </c>
      <c r="N71" s="334">
        <f>'Consolidado-Eletronorte'!AN94/1000</f>
      </c>
      <c r="O71" s="334">
        <f>'Consolidado-Eletronorte'!AO94/1000</f>
      </c>
      <c r="P71" s="334">
        <f>'Consolidado-Eletronorte'!AP94/1000</f>
      </c>
      <c r="Q71" s="334">
        <f>'Consolidado-Eletronorte'!AQ94/1000</f>
      </c>
      <c r="R71" s="334">
        <f>'Consolidado-Eletronorte'!AR94/1000</f>
      </c>
      <c r="S71" s="334">
        <f>'Consolidado-Eletronorte'!AS94/1000</f>
      </c>
      <c r="T71" s="334">
        <f>'Consolidado-Eletronorte'!AT94/1000</f>
      </c>
      <c r="U71" s="334">
        <f>'Consolidado-Eletronorte'!AU94/1000</f>
      </c>
      <c r="V71" s="334">
        <f>'Consolidado-Eletronorte'!AV94/1000</f>
      </c>
      <c r="W71" s="334">
        <f>'Consolidado-Eletronorte'!AW94/1000</f>
      </c>
      <c r="X71" s="334">
        <f>'Consolidado-Eletronorte'!AX94/1000</f>
      </c>
      <c r="Y71" s="334">
        <f>'Consolidado-Eletronorte'!AY94/1000</f>
      </c>
      <c r="Z71" s="334">
        <f>'Consolidado-Eletronorte'!AZ94/1000</f>
      </c>
    </row>
    <row x14ac:dyDescent="0.25" r="72" customHeight="1" ht="18.75">
      <c r="A72" s="1"/>
      <c r="B72" s="335" t="s">
        <v>40175</v>
      </c>
      <c r="C72" s="335" t="s">
        <v>21</v>
      </c>
      <c r="D72" s="335" t="s">
        <v>21</v>
      </c>
      <c r="E72" s="335" t="s">
        <v>39932</v>
      </c>
      <c r="F72" s="336" t="s">
        <v>41222</v>
      </c>
      <c r="G72" s="335" t="s">
        <v>40180</v>
      </c>
      <c r="H72" s="335" t="s">
        <v>39912</v>
      </c>
      <c r="I72" s="334">
        <f>'Consolidado-Eletronorte'!AI95/1000</f>
      </c>
      <c r="J72" s="334">
        <f>'Consolidado-Eletronorte'!AJ95/1000</f>
      </c>
      <c r="K72" s="334">
        <f>'Consolidado-Eletronorte'!AK95/1000</f>
      </c>
      <c r="L72" s="334">
        <f>'Consolidado-Eletronorte'!AL95/1000</f>
      </c>
      <c r="M72" s="334">
        <f>'Consolidado-Eletronorte'!AM95/1000</f>
      </c>
      <c r="N72" s="334">
        <f>'Consolidado-Eletronorte'!AN95/1000</f>
      </c>
      <c r="O72" s="334">
        <f>'Consolidado-Eletronorte'!AO95/1000</f>
      </c>
      <c r="P72" s="334">
        <f>'Consolidado-Eletronorte'!AP95/1000</f>
      </c>
      <c r="Q72" s="334">
        <f>'Consolidado-Eletronorte'!AQ95/1000</f>
      </c>
      <c r="R72" s="334">
        <f>'Consolidado-Eletronorte'!AR95/1000</f>
      </c>
      <c r="S72" s="334">
        <f>'Consolidado-Eletronorte'!AS95/1000</f>
      </c>
      <c r="T72" s="334">
        <f>'Consolidado-Eletronorte'!AT95/1000</f>
      </c>
      <c r="U72" s="334">
        <f>'Consolidado-Eletronorte'!AU95/1000</f>
      </c>
      <c r="V72" s="334">
        <f>'Consolidado-Eletronorte'!AV95/1000</f>
      </c>
      <c r="W72" s="334">
        <f>'Consolidado-Eletronorte'!AW95/1000</f>
      </c>
      <c r="X72" s="334">
        <f>'Consolidado-Eletronorte'!AX95/1000</f>
      </c>
      <c r="Y72" s="334">
        <f>'Consolidado-Eletronorte'!AY95/1000</f>
      </c>
      <c r="Z72" s="334">
        <f>'Consolidado-Eletronorte'!AZ95/1000</f>
      </c>
    </row>
    <row x14ac:dyDescent="0.25" r="73" customHeight="1" ht="18.75">
      <c r="A73" s="1"/>
      <c r="B73" s="332" t="s">
        <v>41227</v>
      </c>
      <c r="C73" s="332" t="s">
        <v>21</v>
      </c>
      <c r="D73" s="332" t="s">
        <v>21</v>
      </c>
      <c r="E73" s="332" t="s">
        <v>39949</v>
      </c>
      <c r="F73" s="333">
        <v>3400004230</v>
      </c>
      <c r="G73" s="332" t="s">
        <v>18828</v>
      </c>
      <c r="H73" s="332" t="s">
        <v>39912</v>
      </c>
      <c r="I73" s="334">
        <f>'Consolidado-Eletronorte'!AI96/1000</f>
      </c>
      <c r="J73" s="334">
        <f>'Consolidado-Eletronorte'!AJ96/1000</f>
      </c>
      <c r="K73" s="334">
        <f>'Consolidado-Eletronorte'!AK96/1000</f>
      </c>
      <c r="L73" s="334">
        <f>'Consolidado-Eletronorte'!AL96/1000</f>
      </c>
      <c r="M73" s="334">
        <f>'Consolidado-Eletronorte'!AM96/1000</f>
      </c>
      <c r="N73" s="334">
        <f>'Consolidado-Eletronorte'!AN96/1000</f>
      </c>
      <c r="O73" s="334">
        <f>'Consolidado-Eletronorte'!AO96/1000</f>
      </c>
      <c r="P73" s="334">
        <f>'Consolidado-Eletronorte'!AP96/1000</f>
      </c>
      <c r="Q73" s="334">
        <f>'Consolidado-Eletronorte'!AQ96/1000</f>
      </c>
      <c r="R73" s="334">
        <f>'Consolidado-Eletronorte'!AR96/1000</f>
      </c>
      <c r="S73" s="334">
        <f>'Consolidado-Eletronorte'!AS96/1000</f>
      </c>
      <c r="T73" s="334">
        <f>'Consolidado-Eletronorte'!AT96/1000</f>
      </c>
      <c r="U73" s="334">
        <f>'Consolidado-Eletronorte'!AU96/1000</f>
      </c>
      <c r="V73" s="334">
        <f>'Consolidado-Eletronorte'!AV96/1000</f>
      </c>
      <c r="W73" s="334">
        <f>'Consolidado-Eletronorte'!AW96/1000</f>
      </c>
      <c r="X73" s="334">
        <f>'Consolidado-Eletronorte'!AX96/1000</f>
      </c>
      <c r="Y73" s="334">
        <f>'Consolidado-Eletronorte'!AY96/1000</f>
      </c>
      <c r="Z73" s="334">
        <f>'Consolidado-Eletronorte'!AZ96/1000</f>
      </c>
    </row>
    <row x14ac:dyDescent="0.25" r="74" customHeight="1" ht="18.75">
      <c r="A74" s="1"/>
      <c r="B74" s="335" t="s">
        <v>40337</v>
      </c>
      <c r="C74" s="335" t="s">
        <v>21</v>
      </c>
      <c r="D74" s="335" t="s">
        <v>21</v>
      </c>
      <c r="E74" s="335" t="s">
        <v>39932</v>
      </c>
      <c r="F74" s="336">
        <v>3400004437</v>
      </c>
      <c r="G74" s="335" t="s">
        <v>40338</v>
      </c>
      <c r="H74" s="335" t="s">
        <v>39912</v>
      </c>
      <c r="I74" s="334">
        <f>'Consolidado-Eletronorte'!AI97/1000</f>
      </c>
      <c r="J74" s="334">
        <f>'Consolidado-Eletronorte'!AJ97/1000</f>
      </c>
      <c r="K74" s="334">
        <f>'Consolidado-Eletronorte'!AK97/1000</f>
      </c>
      <c r="L74" s="334">
        <f>'Consolidado-Eletronorte'!AL97/1000</f>
      </c>
      <c r="M74" s="334">
        <f>'Consolidado-Eletronorte'!AM97/1000</f>
      </c>
      <c r="N74" s="334">
        <f>'Consolidado-Eletronorte'!AN97/1000</f>
      </c>
      <c r="O74" s="334">
        <f>'Consolidado-Eletronorte'!AO97/1000</f>
      </c>
      <c r="P74" s="334">
        <f>'Consolidado-Eletronorte'!AP97/1000</f>
      </c>
      <c r="Q74" s="334">
        <f>'Consolidado-Eletronorte'!AQ97/1000</f>
      </c>
      <c r="R74" s="334">
        <f>'Consolidado-Eletronorte'!AR97/1000</f>
      </c>
      <c r="S74" s="334">
        <f>'Consolidado-Eletronorte'!AS97/1000</f>
      </c>
      <c r="T74" s="334">
        <f>'Consolidado-Eletronorte'!AT97/1000</f>
      </c>
      <c r="U74" s="334">
        <f>'Consolidado-Eletronorte'!AU97/1000</f>
      </c>
      <c r="V74" s="334">
        <f>'Consolidado-Eletronorte'!AV97/1000</f>
      </c>
      <c r="W74" s="334">
        <f>'Consolidado-Eletronorte'!AW97/1000</f>
      </c>
      <c r="X74" s="334">
        <f>'Consolidado-Eletronorte'!AX97/1000</f>
      </c>
      <c r="Y74" s="334">
        <f>'Consolidado-Eletronorte'!AY97/1000</f>
      </c>
      <c r="Z74" s="334">
        <f>'Consolidado-Eletronorte'!AZ97/1000</f>
      </c>
    </row>
    <row x14ac:dyDescent="0.25" r="75" customHeight="1" ht="18.75">
      <c r="A75" s="1"/>
      <c r="B75" s="332" t="s">
        <v>40228</v>
      </c>
      <c r="C75" s="332" t="s">
        <v>21</v>
      </c>
      <c r="D75" s="332" t="s">
        <v>21</v>
      </c>
      <c r="E75" s="332" t="s">
        <v>39932</v>
      </c>
      <c r="F75" s="333">
        <v>3500006131</v>
      </c>
      <c r="G75" s="332" t="s">
        <v>40229</v>
      </c>
      <c r="H75" s="332" t="s">
        <v>40006</v>
      </c>
      <c r="I75" s="334">
        <f>'Consolidado-Eletronorte'!AI98/1000</f>
      </c>
      <c r="J75" s="334">
        <f>'Consolidado-Eletronorte'!AJ98/1000</f>
      </c>
      <c r="K75" s="334">
        <f>'Consolidado-Eletronorte'!AK98/1000</f>
      </c>
      <c r="L75" s="334">
        <f>'Consolidado-Eletronorte'!AL98/1000</f>
      </c>
      <c r="M75" s="334">
        <f>'Consolidado-Eletronorte'!AM98/1000</f>
      </c>
      <c r="N75" s="334">
        <f>'Consolidado-Eletronorte'!AN98/1000</f>
      </c>
      <c r="O75" s="334">
        <f>'Consolidado-Eletronorte'!AO98/1000</f>
      </c>
      <c r="P75" s="334">
        <f>'Consolidado-Eletronorte'!AP98/1000</f>
      </c>
      <c r="Q75" s="334">
        <f>'Consolidado-Eletronorte'!AQ98/1000</f>
      </c>
      <c r="R75" s="334">
        <f>'Consolidado-Eletronorte'!AR98/1000</f>
      </c>
      <c r="S75" s="334">
        <f>'Consolidado-Eletronorte'!AS98/1000</f>
      </c>
      <c r="T75" s="334">
        <f>'Consolidado-Eletronorte'!AT98/1000</f>
      </c>
      <c r="U75" s="334">
        <f>'Consolidado-Eletronorte'!AU98/1000</f>
      </c>
      <c r="V75" s="334">
        <f>'Consolidado-Eletronorte'!AV98/1000</f>
      </c>
      <c r="W75" s="334">
        <f>'Consolidado-Eletronorte'!AW98/1000</f>
      </c>
      <c r="X75" s="334">
        <f>'Consolidado-Eletronorte'!AX98/1000</f>
      </c>
      <c r="Y75" s="334">
        <f>'Consolidado-Eletronorte'!AY98/1000</f>
      </c>
      <c r="Z75" s="334">
        <f>'Consolidado-Eletronorte'!AZ98/1000</f>
      </c>
    </row>
    <row x14ac:dyDescent="0.25" r="76" customHeight="1" ht="18.75">
      <c r="A76" s="1"/>
      <c r="B76" s="335" t="s">
        <v>40329</v>
      </c>
      <c r="C76" s="335" t="s">
        <v>21</v>
      </c>
      <c r="D76" s="335" t="s">
        <v>21</v>
      </c>
      <c r="E76" s="335" t="s">
        <v>39932</v>
      </c>
      <c r="F76" s="336" t="s">
        <v>41222</v>
      </c>
      <c r="G76" s="335" t="s">
        <v>40330</v>
      </c>
      <c r="H76" s="335" t="s">
        <v>39945</v>
      </c>
      <c r="I76" s="334">
        <f>'Consolidado-Eletronorte'!AI99/1000</f>
      </c>
      <c r="J76" s="334">
        <f>'Consolidado-Eletronorte'!AJ99/1000</f>
      </c>
      <c r="K76" s="334">
        <f>'Consolidado-Eletronorte'!AK99/1000</f>
      </c>
      <c r="L76" s="334">
        <f>'Consolidado-Eletronorte'!AL99/1000</f>
      </c>
      <c r="M76" s="334">
        <f>'Consolidado-Eletronorte'!AM99/1000</f>
      </c>
      <c r="N76" s="334">
        <f>'Consolidado-Eletronorte'!AN99/1000</f>
      </c>
      <c r="O76" s="334">
        <f>'Consolidado-Eletronorte'!AO99/1000</f>
      </c>
      <c r="P76" s="334">
        <f>'Consolidado-Eletronorte'!AP99/1000</f>
      </c>
      <c r="Q76" s="334">
        <f>'Consolidado-Eletronorte'!AQ99/1000</f>
      </c>
      <c r="R76" s="334">
        <f>'Consolidado-Eletronorte'!AR99/1000</f>
      </c>
      <c r="S76" s="334">
        <f>'Consolidado-Eletronorte'!AS99/1000</f>
      </c>
      <c r="T76" s="334">
        <f>'Consolidado-Eletronorte'!AT99/1000</f>
      </c>
      <c r="U76" s="334">
        <f>'Consolidado-Eletronorte'!AU99/1000</f>
      </c>
      <c r="V76" s="334">
        <f>'Consolidado-Eletronorte'!AV99/1000</f>
      </c>
      <c r="W76" s="334">
        <f>'Consolidado-Eletronorte'!AW99/1000</f>
      </c>
      <c r="X76" s="334">
        <f>'Consolidado-Eletronorte'!AX99/1000</f>
      </c>
      <c r="Y76" s="334">
        <f>'Consolidado-Eletronorte'!AY99/1000</f>
      </c>
      <c r="Z76" s="334">
        <f>'Consolidado-Eletronorte'!AZ99/1000</f>
      </c>
    </row>
    <row x14ac:dyDescent="0.25" r="77" customHeight="1" ht="18.75">
      <c r="A77" s="1"/>
      <c r="B77" s="332" t="s">
        <v>40161</v>
      </c>
      <c r="C77" s="332" t="s">
        <v>21</v>
      </c>
      <c r="D77" s="332" t="s">
        <v>21</v>
      </c>
      <c r="E77" s="332" t="s">
        <v>39932</v>
      </c>
      <c r="F77" s="333" t="s">
        <v>41222</v>
      </c>
      <c r="G77" s="332" t="s">
        <v>40162</v>
      </c>
      <c r="H77" s="332" t="s">
        <v>39998</v>
      </c>
      <c r="I77" s="334">
        <f>'Consolidado-Eletronorte'!AI100/1000</f>
      </c>
      <c r="J77" s="334">
        <f>'Consolidado-Eletronorte'!AJ100/1000</f>
      </c>
      <c r="K77" s="334">
        <f>'Consolidado-Eletronorte'!AK100/1000</f>
      </c>
      <c r="L77" s="334">
        <f>'Consolidado-Eletronorte'!AL100/1000</f>
      </c>
      <c r="M77" s="334">
        <f>'Consolidado-Eletronorte'!AM100/1000</f>
      </c>
      <c r="N77" s="334">
        <f>'Consolidado-Eletronorte'!AN100/1000</f>
      </c>
      <c r="O77" s="334">
        <f>'Consolidado-Eletronorte'!AO100/1000</f>
      </c>
      <c r="P77" s="334">
        <f>'Consolidado-Eletronorte'!AP100/1000</f>
      </c>
      <c r="Q77" s="334">
        <f>'Consolidado-Eletronorte'!AQ100/1000</f>
      </c>
      <c r="R77" s="334">
        <f>'Consolidado-Eletronorte'!AR100/1000</f>
      </c>
      <c r="S77" s="334">
        <f>'Consolidado-Eletronorte'!AS100/1000</f>
      </c>
      <c r="T77" s="334">
        <f>'Consolidado-Eletronorte'!AT100/1000</f>
      </c>
      <c r="U77" s="334">
        <f>'Consolidado-Eletronorte'!AU100/1000</f>
      </c>
      <c r="V77" s="334">
        <f>'Consolidado-Eletronorte'!AV100/1000</f>
      </c>
      <c r="W77" s="334">
        <f>'Consolidado-Eletronorte'!AW100/1000</f>
      </c>
      <c r="X77" s="334">
        <f>'Consolidado-Eletronorte'!AX100/1000</f>
      </c>
      <c r="Y77" s="334">
        <f>'Consolidado-Eletronorte'!AY100/1000</f>
      </c>
      <c r="Z77" s="334">
        <f>'Consolidado-Eletronorte'!AZ100/1000</f>
      </c>
    </row>
    <row x14ac:dyDescent="0.25" r="78" customHeight="1" ht="18.75">
      <c r="A78" s="1"/>
      <c r="B78" s="335" t="s">
        <v>40200</v>
      </c>
      <c r="C78" s="335" t="s">
        <v>21</v>
      </c>
      <c r="D78" s="335" t="s">
        <v>74</v>
      </c>
      <c r="E78" s="335" t="s">
        <v>41153</v>
      </c>
      <c r="F78" s="336" t="s">
        <v>41224</v>
      </c>
      <c r="G78" s="335" t="s">
        <v>40201</v>
      </c>
      <c r="H78" s="335" t="s">
        <v>38359</v>
      </c>
      <c r="I78" s="334">
        <f>'Consolidado-Eletronorte'!AI101/1000</f>
      </c>
      <c r="J78" s="334">
        <f>'Consolidado-Eletronorte'!AJ101/1000</f>
      </c>
      <c r="K78" s="334">
        <f>'Consolidado-Eletronorte'!AK101/1000</f>
      </c>
      <c r="L78" s="334">
        <f>'Consolidado-Eletronorte'!AL101/1000</f>
      </c>
      <c r="M78" s="334">
        <f>'Consolidado-Eletronorte'!AM101/1000</f>
      </c>
      <c r="N78" s="334">
        <f>'Consolidado-Eletronorte'!AN101/1000</f>
      </c>
      <c r="O78" s="334">
        <f>'Consolidado-Eletronorte'!AO101/1000</f>
      </c>
      <c r="P78" s="334">
        <f>'Consolidado-Eletronorte'!AP101/1000</f>
      </c>
      <c r="Q78" s="334">
        <f>'Consolidado-Eletronorte'!AQ101/1000</f>
      </c>
      <c r="R78" s="334">
        <f>'Consolidado-Eletronorte'!AR101/1000</f>
      </c>
      <c r="S78" s="334">
        <f>'Consolidado-Eletronorte'!AS101/1000</f>
      </c>
      <c r="T78" s="334">
        <f>'Consolidado-Eletronorte'!AT101/1000</f>
      </c>
      <c r="U78" s="334">
        <f>'Consolidado-Eletronorte'!AU101/1000</f>
      </c>
      <c r="V78" s="334">
        <f>'Consolidado-Eletronorte'!AV101/1000</f>
      </c>
      <c r="W78" s="334">
        <f>'Consolidado-Eletronorte'!AW101/1000</f>
      </c>
      <c r="X78" s="334">
        <f>'Consolidado-Eletronorte'!AX101/1000</f>
      </c>
      <c r="Y78" s="334">
        <f>'Consolidado-Eletronorte'!AY101/1000</f>
      </c>
      <c r="Z78" s="334">
        <f>'Consolidado-Eletronorte'!AZ101/1000</f>
      </c>
    </row>
    <row x14ac:dyDescent="0.25" r="79" customHeight="1" ht="18.75">
      <c r="A79" s="1"/>
      <c r="B79" s="332" t="s">
        <v>40205</v>
      </c>
      <c r="C79" s="332" t="s">
        <v>21</v>
      </c>
      <c r="D79" s="332" t="s">
        <v>74</v>
      </c>
      <c r="E79" s="332" t="s">
        <v>41153</v>
      </c>
      <c r="F79" s="333" t="s">
        <v>41224</v>
      </c>
      <c r="G79" s="332" t="s">
        <v>40206</v>
      </c>
      <c r="H79" s="332" t="s">
        <v>39998</v>
      </c>
      <c r="I79" s="334">
        <f>'Consolidado-Eletronorte'!AI102/1000</f>
      </c>
      <c r="J79" s="334">
        <f>'Consolidado-Eletronorte'!AJ102/1000</f>
      </c>
      <c r="K79" s="334">
        <f>'Consolidado-Eletronorte'!AK102/1000</f>
      </c>
      <c r="L79" s="334">
        <f>'Consolidado-Eletronorte'!AL102/1000</f>
      </c>
      <c r="M79" s="334">
        <f>'Consolidado-Eletronorte'!AM102/1000</f>
      </c>
      <c r="N79" s="334">
        <f>'Consolidado-Eletronorte'!AN102/1000</f>
      </c>
      <c r="O79" s="334">
        <f>'Consolidado-Eletronorte'!AO102/1000</f>
      </c>
      <c r="P79" s="334">
        <f>'Consolidado-Eletronorte'!AP102/1000</f>
      </c>
      <c r="Q79" s="334">
        <f>'Consolidado-Eletronorte'!AQ102/1000</f>
      </c>
      <c r="R79" s="334">
        <f>'Consolidado-Eletronorte'!AR102/1000</f>
      </c>
      <c r="S79" s="334">
        <f>'Consolidado-Eletronorte'!AS102/1000</f>
      </c>
      <c r="T79" s="334">
        <f>'Consolidado-Eletronorte'!AT102/1000</f>
      </c>
      <c r="U79" s="334">
        <f>'Consolidado-Eletronorte'!AU102/1000</f>
      </c>
      <c r="V79" s="334">
        <f>'Consolidado-Eletronorte'!AV102/1000</f>
      </c>
      <c r="W79" s="334">
        <f>'Consolidado-Eletronorte'!AW102/1000</f>
      </c>
      <c r="X79" s="334">
        <f>'Consolidado-Eletronorte'!AX102/1000</f>
      </c>
      <c r="Y79" s="334">
        <f>'Consolidado-Eletronorte'!AY102/1000</f>
      </c>
      <c r="Z79" s="334">
        <f>'Consolidado-Eletronorte'!AZ102/1000</f>
      </c>
    </row>
    <row x14ac:dyDescent="0.25" r="80" customHeight="1" ht="18.75">
      <c r="A80" s="1"/>
      <c r="B80" s="335" t="s">
        <v>41113</v>
      </c>
      <c r="C80" s="335" t="s">
        <v>21</v>
      </c>
      <c r="D80" s="335" t="s">
        <v>21</v>
      </c>
      <c r="E80" s="335" t="s">
        <v>41143</v>
      </c>
      <c r="F80" s="336"/>
      <c r="G80" s="337"/>
      <c r="H80" s="335" t="s">
        <v>41109</v>
      </c>
      <c r="I80" s="334">
        <f>'Consolidado-Eletronorte'!AI103/1000</f>
      </c>
      <c r="J80" s="334">
        <f>'Consolidado-Eletronorte'!AJ103/1000</f>
      </c>
      <c r="K80" s="334">
        <f>'Consolidado-Eletronorte'!AK103/1000</f>
      </c>
      <c r="L80" s="334">
        <f>'Consolidado-Eletronorte'!AL103/1000</f>
      </c>
      <c r="M80" s="334">
        <f>'Consolidado-Eletronorte'!AM103/1000</f>
      </c>
      <c r="N80" s="334">
        <f>'Consolidado-Eletronorte'!AN103/1000</f>
      </c>
      <c r="O80" s="334">
        <f>'Consolidado-Eletronorte'!AO103/1000</f>
      </c>
      <c r="P80" s="334">
        <f>'Consolidado-Eletronorte'!AP103/1000</f>
      </c>
      <c r="Q80" s="334">
        <f>'Consolidado-Eletronorte'!AQ103/1000</f>
      </c>
      <c r="R80" s="334">
        <f>'Consolidado-Eletronorte'!AR103/1000</f>
      </c>
      <c r="S80" s="334">
        <f>'Consolidado-Eletronorte'!AS103/1000</f>
      </c>
      <c r="T80" s="334">
        <f>'Consolidado-Eletronorte'!AT103/1000</f>
      </c>
      <c r="U80" s="334">
        <f>'Consolidado-Eletronorte'!AU103/1000</f>
      </c>
      <c r="V80" s="334">
        <f>'Consolidado-Eletronorte'!AV103/1000</f>
      </c>
      <c r="W80" s="334">
        <f>'Consolidado-Eletronorte'!AW103/1000</f>
      </c>
      <c r="X80" s="334">
        <f>'Consolidado-Eletronorte'!AX103/1000</f>
      </c>
      <c r="Y80" s="334">
        <f>'Consolidado-Eletronorte'!AY103/1000</f>
      </c>
      <c r="Z80" s="334">
        <f>'Consolidado-Eletronorte'!AZ103/1000</f>
      </c>
    </row>
    <row x14ac:dyDescent="0.25" r="81" customHeight="1" ht="18.75">
      <c r="A81" s="1"/>
      <c r="B81" s="332" t="s">
        <v>39950</v>
      </c>
      <c r="C81" s="332" t="s">
        <v>21</v>
      </c>
      <c r="D81" s="332" t="s">
        <v>21</v>
      </c>
      <c r="E81" s="332" t="s">
        <v>39949</v>
      </c>
      <c r="F81" s="333"/>
      <c r="G81" s="332" t="s">
        <v>39951</v>
      </c>
      <c r="H81" s="332" t="s">
        <v>38369</v>
      </c>
      <c r="I81" s="334">
        <f>'Consolidado-Eletronorte'!AI104/1000</f>
      </c>
      <c r="J81" s="334">
        <f>'Consolidado-Eletronorte'!AJ104/1000</f>
      </c>
      <c r="K81" s="334">
        <f>'Consolidado-Eletronorte'!AK104/1000</f>
      </c>
      <c r="L81" s="334">
        <f>'Consolidado-Eletronorte'!AL104/1000</f>
      </c>
      <c r="M81" s="334">
        <f>'Consolidado-Eletronorte'!AM104/1000</f>
      </c>
      <c r="N81" s="334">
        <f>'Consolidado-Eletronorte'!AN104/1000</f>
      </c>
      <c r="O81" s="334">
        <f>'Consolidado-Eletronorte'!AO104/1000</f>
      </c>
      <c r="P81" s="334">
        <f>'Consolidado-Eletronorte'!AP104/1000</f>
      </c>
      <c r="Q81" s="334">
        <f>'Consolidado-Eletronorte'!AQ104/1000</f>
      </c>
      <c r="R81" s="334">
        <f>'Consolidado-Eletronorte'!AR104/1000</f>
      </c>
      <c r="S81" s="334">
        <f>'Consolidado-Eletronorte'!AS104/1000</f>
      </c>
      <c r="T81" s="334">
        <f>'Consolidado-Eletronorte'!AT104/1000</f>
      </c>
      <c r="U81" s="334">
        <f>'Consolidado-Eletronorte'!AU104/1000</f>
      </c>
      <c r="V81" s="334">
        <f>'Consolidado-Eletronorte'!AV104/1000</f>
      </c>
      <c r="W81" s="334">
        <f>'Consolidado-Eletronorte'!AW104/1000</f>
      </c>
      <c r="X81" s="334">
        <f>'Consolidado-Eletronorte'!AX104/1000</f>
      </c>
      <c r="Y81" s="334">
        <f>'Consolidado-Eletronorte'!AY104/1000</f>
      </c>
      <c r="Z81" s="334">
        <f>'Consolidado-Eletronorte'!AZ104/1000</f>
      </c>
    </row>
    <row x14ac:dyDescent="0.25" r="82" customHeight="1" ht="18.75">
      <c r="A82" s="1"/>
      <c r="B82" s="335" t="s">
        <v>39993</v>
      </c>
      <c r="C82" s="335" t="s">
        <v>21</v>
      </c>
      <c r="D82" s="335" t="s">
        <v>21</v>
      </c>
      <c r="E82" s="335" t="s">
        <v>39949</v>
      </c>
      <c r="F82" s="336"/>
      <c r="G82" s="335" t="s">
        <v>39994</v>
      </c>
      <c r="H82" s="335" t="s">
        <v>38369</v>
      </c>
      <c r="I82" s="334">
        <f>'Consolidado-Eletronorte'!AI105/1000</f>
      </c>
      <c r="J82" s="334">
        <f>'Consolidado-Eletronorte'!AJ105/1000</f>
      </c>
      <c r="K82" s="334">
        <f>'Consolidado-Eletronorte'!AK105/1000</f>
      </c>
      <c r="L82" s="334">
        <f>'Consolidado-Eletronorte'!AL105/1000</f>
      </c>
      <c r="M82" s="334">
        <f>'Consolidado-Eletronorte'!AM105/1000</f>
      </c>
      <c r="N82" s="334">
        <f>'Consolidado-Eletronorte'!AN105/1000</f>
      </c>
      <c r="O82" s="334">
        <f>'Consolidado-Eletronorte'!AO105/1000</f>
      </c>
      <c r="P82" s="334">
        <f>'Consolidado-Eletronorte'!AP105/1000</f>
      </c>
      <c r="Q82" s="334">
        <f>'Consolidado-Eletronorte'!AQ105/1000</f>
      </c>
      <c r="R82" s="334">
        <f>'Consolidado-Eletronorte'!AR105/1000</f>
      </c>
      <c r="S82" s="334">
        <f>'Consolidado-Eletronorte'!AS105/1000</f>
      </c>
      <c r="T82" s="334">
        <f>'Consolidado-Eletronorte'!AT105/1000</f>
      </c>
      <c r="U82" s="334">
        <f>'Consolidado-Eletronorte'!AU105/1000</f>
      </c>
      <c r="V82" s="334">
        <f>'Consolidado-Eletronorte'!AV105/1000</f>
      </c>
      <c r="W82" s="334">
        <f>'Consolidado-Eletronorte'!AW105/1000</f>
      </c>
      <c r="X82" s="334">
        <f>'Consolidado-Eletronorte'!AX105/1000</f>
      </c>
      <c r="Y82" s="334">
        <f>'Consolidado-Eletronorte'!AY105/1000</f>
      </c>
      <c r="Z82" s="334">
        <f>'Consolidado-Eletronorte'!AZ105/1000</f>
      </c>
    </row>
    <row x14ac:dyDescent="0.25" r="83" customHeight="1" ht="18.75">
      <c r="A83" s="1"/>
      <c r="B83" s="332" t="s">
        <v>40008</v>
      </c>
      <c r="C83" s="332" t="s">
        <v>21</v>
      </c>
      <c r="D83" s="332" t="s">
        <v>21</v>
      </c>
      <c r="E83" s="332" t="s">
        <v>39949</v>
      </c>
      <c r="F83" s="333"/>
      <c r="G83" s="332" t="s">
        <v>40009</v>
      </c>
      <c r="H83" s="332" t="s">
        <v>40006</v>
      </c>
      <c r="I83" s="334">
        <f>'Consolidado-Eletronorte'!AI106/1000</f>
      </c>
      <c r="J83" s="334">
        <f>'Consolidado-Eletronorte'!AJ106/1000</f>
      </c>
      <c r="K83" s="334">
        <f>'Consolidado-Eletronorte'!AK106/1000</f>
      </c>
      <c r="L83" s="334">
        <f>'Consolidado-Eletronorte'!AL106/1000</f>
      </c>
      <c r="M83" s="334">
        <f>'Consolidado-Eletronorte'!AM106/1000</f>
      </c>
      <c r="N83" s="334">
        <f>'Consolidado-Eletronorte'!AN106/1000</f>
      </c>
      <c r="O83" s="334">
        <f>'Consolidado-Eletronorte'!AO106/1000</f>
      </c>
      <c r="P83" s="334">
        <f>'Consolidado-Eletronorte'!AP106/1000</f>
      </c>
      <c r="Q83" s="334">
        <f>'Consolidado-Eletronorte'!AQ106/1000</f>
      </c>
      <c r="R83" s="334">
        <f>'Consolidado-Eletronorte'!AR106/1000</f>
      </c>
      <c r="S83" s="334">
        <f>'Consolidado-Eletronorte'!AS106/1000</f>
      </c>
      <c r="T83" s="334">
        <f>'Consolidado-Eletronorte'!AT106/1000</f>
      </c>
      <c r="U83" s="334">
        <f>'Consolidado-Eletronorte'!AU106/1000</f>
      </c>
      <c r="V83" s="334">
        <f>'Consolidado-Eletronorte'!AV106/1000</f>
      </c>
      <c r="W83" s="334">
        <f>'Consolidado-Eletronorte'!AW106/1000</f>
      </c>
      <c r="X83" s="334">
        <f>'Consolidado-Eletronorte'!AX106/1000</f>
      </c>
      <c r="Y83" s="334">
        <f>'Consolidado-Eletronorte'!AY106/1000</f>
      </c>
      <c r="Z83" s="334">
        <f>'Consolidado-Eletronorte'!AZ106/1000</f>
      </c>
    </row>
    <row x14ac:dyDescent="0.25" r="84" customHeight="1" ht="18.75">
      <c r="A84" s="1"/>
      <c r="B84" s="335" t="s">
        <v>40059</v>
      </c>
      <c r="C84" s="335" t="s">
        <v>21</v>
      </c>
      <c r="D84" s="335" t="s">
        <v>21</v>
      </c>
      <c r="E84" s="335" t="s">
        <v>39949</v>
      </c>
      <c r="F84" s="336"/>
      <c r="G84" s="335" t="s">
        <v>40060</v>
      </c>
      <c r="H84" s="335" t="s">
        <v>40006</v>
      </c>
      <c r="I84" s="334">
        <f>'Consolidado-Eletronorte'!AI107/1000</f>
      </c>
      <c r="J84" s="334">
        <f>'Consolidado-Eletronorte'!AJ107/1000</f>
      </c>
      <c r="K84" s="334">
        <f>'Consolidado-Eletronorte'!AK107/1000</f>
      </c>
      <c r="L84" s="334">
        <f>'Consolidado-Eletronorte'!AL107/1000</f>
      </c>
      <c r="M84" s="334">
        <f>'Consolidado-Eletronorte'!AM107/1000</f>
      </c>
      <c r="N84" s="334">
        <f>'Consolidado-Eletronorte'!AN107/1000</f>
      </c>
      <c r="O84" s="334">
        <f>'Consolidado-Eletronorte'!AO107/1000</f>
      </c>
      <c r="P84" s="334">
        <f>'Consolidado-Eletronorte'!AP107/1000</f>
      </c>
      <c r="Q84" s="334">
        <f>'Consolidado-Eletronorte'!AQ107/1000</f>
      </c>
      <c r="R84" s="334">
        <f>'Consolidado-Eletronorte'!AR107/1000</f>
      </c>
      <c r="S84" s="334">
        <f>'Consolidado-Eletronorte'!AS107/1000</f>
      </c>
      <c r="T84" s="334">
        <f>'Consolidado-Eletronorte'!AT107/1000</f>
      </c>
      <c r="U84" s="334">
        <f>'Consolidado-Eletronorte'!AU107/1000</f>
      </c>
      <c r="V84" s="334">
        <f>'Consolidado-Eletronorte'!AV107/1000</f>
      </c>
      <c r="W84" s="334">
        <f>'Consolidado-Eletronorte'!AW107/1000</f>
      </c>
      <c r="X84" s="334">
        <f>'Consolidado-Eletronorte'!AX107/1000</f>
      </c>
      <c r="Y84" s="334">
        <f>'Consolidado-Eletronorte'!AY107/1000</f>
      </c>
      <c r="Z84" s="334">
        <f>'Consolidado-Eletronorte'!AZ107/1000</f>
      </c>
    </row>
    <row x14ac:dyDescent="0.25" r="85" customHeight="1" ht="18.75">
      <c r="A85" s="1"/>
      <c r="B85" s="332" t="s">
        <v>40138</v>
      </c>
      <c r="C85" s="332" t="s">
        <v>21</v>
      </c>
      <c r="D85" s="332" t="s">
        <v>21</v>
      </c>
      <c r="E85" s="332" t="s">
        <v>39949</v>
      </c>
      <c r="F85" s="333"/>
      <c r="G85" s="332" t="s">
        <v>40139</v>
      </c>
      <c r="H85" s="332" t="s">
        <v>40006</v>
      </c>
      <c r="I85" s="334">
        <f>'Consolidado-Eletronorte'!AI108/1000</f>
      </c>
      <c r="J85" s="334">
        <f>'Consolidado-Eletronorte'!AJ108/1000</f>
      </c>
      <c r="K85" s="334">
        <f>'Consolidado-Eletronorte'!AK108/1000</f>
      </c>
      <c r="L85" s="334">
        <f>'Consolidado-Eletronorte'!AL108/1000</f>
      </c>
      <c r="M85" s="334">
        <f>'Consolidado-Eletronorte'!AM108/1000</f>
      </c>
      <c r="N85" s="334">
        <f>'Consolidado-Eletronorte'!AN108/1000</f>
      </c>
      <c r="O85" s="334">
        <f>'Consolidado-Eletronorte'!AO108/1000</f>
      </c>
      <c r="P85" s="334">
        <f>'Consolidado-Eletronorte'!AP108/1000</f>
      </c>
      <c r="Q85" s="334">
        <f>'Consolidado-Eletronorte'!AQ108/1000</f>
      </c>
      <c r="R85" s="334">
        <f>'Consolidado-Eletronorte'!AR108/1000</f>
      </c>
      <c r="S85" s="334">
        <f>'Consolidado-Eletronorte'!AS108/1000</f>
      </c>
      <c r="T85" s="334">
        <f>'Consolidado-Eletronorte'!AT108/1000</f>
      </c>
      <c r="U85" s="334">
        <f>'Consolidado-Eletronorte'!AU108/1000</f>
      </c>
      <c r="V85" s="334">
        <f>'Consolidado-Eletronorte'!AV108/1000</f>
      </c>
      <c r="W85" s="334">
        <f>'Consolidado-Eletronorte'!AW108/1000</f>
      </c>
      <c r="X85" s="334">
        <f>'Consolidado-Eletronorte'!AX108/1000</f>
      </c>
      <c r="Y85" s="334">
        <f>'Consolidado-Eletronorte'!AY108/1000</f>
      </c>
      <c r="Z85" s="334">
        <f>'Consolidado-Eletronorte'!AZ108/1000</f>
      </c>
    </row>
    <row x14ac:dyDescent="0.25" r="86" customHeight="1" ht="18.75">
      <c r="A86" s="1"/>
      <c r="B86" s="335" t="s">
        <v>40141</v>
      </c>
      <c r="C86" s="335" t="s">
        <v>21</v>
      </c>
      <c r="D86" s="335" t="s">
        <v>21</v>
      </c>
      <c r="E86" s="335" t="s">
        <v>39949</v>
      </c>
      <c r="F86" s="336"/>
      <c r="G86" s="335" t="s">
        <v>40142</v>
      </c>
      <c r="H86" s="335" t="s">
        <v>40006</v>
      </c>
      <c r="I86" s="334">
        <f>'Consolidado-Eletronorte'!AI109/1000</f>
      </c>
      <c r="J86" s="334">
        <f>'Consolidado-Eletronorte'!AJ109/1000</f>
      </c>
      <c r="K86" s="334">
        <f>'Consolidado-Eletronorte'!AK109/1000</f>
      </c>
      <c r="L86" s="334">
        <f>'Consolidado-Eletronorte'!AL109/1000</f>
      </c>
      <c r="M86" s="334">
        <f>'Consolidado-Eletronorte'!AM109/1000</f>
      </c>
      <c r="N86" s="334">
        <f>'Consolidado-Eletronorte'!AN109/1000</f>
      </c>
      <c r="O86" s="334">
        <f>'Consolidado-Eletronorte'!AO109/1000</f>
      </c>
      <c r="P86" s="334">
        <f>'Consolidado-Eletronorte'!AP109/1000</f>
      </c>
      <c r="Q86" s="334">
        <f>'Consolidado-Eletronorte'!AQ109/1000</f>
      </c>
      <c r="R86" s="334">
        <f>'Consolidado-Eletronorte'!AR109/1000</f>
      </c>
      <c r="S86" s="334">
        <f>'Consolidado-Eletronorte'!AS109/1000</f>
      </c>
      <c r="T86" s="334">
        <f>'Consolidado-Eletronorte'!AT109/1000</f>
      </c>
      <c r="U86" s="334">
        <f>'Consolidado-Eletronorte'!AU109/1000</f>
      </c>
      <c r="V86" s="334">
        <f>'Consolidado-Eletronorte'!AV109/1000</f>
      </c>
      <c r="W86" s="334">
        <f>'Consolidado-Eletronorte'!AW109/1000</f>
      </c>
      <c r="X86" s="334">
        <f>'Consolidado-Eletronorte'!AX109/1000</f>
      </c>
      <c r="Y86" s="334">
        <f>'Consolidado-Eletronorte'!AY109/1000</f>
      </c>
      <c r="Z86" s="334">
        <f>'Consolidado-Eletronorte'!AZ109/1000</f>
      </c>
    </row>
    <row x14ac:dyDescent="0.25" r="87" customHeight="1" ht="18.75">
      <c r="A87" s="1"/>
      <c r="B87" s="332" t="s">
        <v>40190</v>
      </c>
      <c r="C87" s="332" t="s">
        <v>21</v>
      </c>
      <c r="D87" s="332" t="s">
        <v>21</v>
      </c>
      <c r="E87" s="332" t="s">
        <v>39949</v>
      </c>
      <c r="F87" s="333"/>
      <c r="G87" s="332" t="s">
        <v>40191</v>
      </c>
      <c r="H87" s="332" t="s">
        <v>40006</v>
      </c>
      <c r="I87" s="334">
        <f>'Consolidado-Eletronorte'!AI110/1000</f>
      </c>
      <c r="J87" s="334">
        <f>'Consolidado-Eletronorte'!AJ110/1000</f>
      </c>
      <c r="K87" s="334">
        <f>'Consolidado-Eletronorte'!AK110/1000</f>
      </c>
      <c r="L87" s="334">
        <f>'Consolidado-Eletronorte'!AL110/1000</f>
      </c>
      <c r="M87" s="334">
        <f>'Consolidado-Eletronorte'!AM110/1000</f>
      </c>
      <c r="N87" s="334">
        <f>'Consolidado-Eletronorte'!AN110/1000</f>
      </c>
      <c r="O87" s="334">
        <f>'Consolidado-Eletronorte'!AO110/1000</f>
      </c>
      <c r="P87" s="334">
        <f>'Consolidado-Eletronorte'!AP110/1000</f>
      </c>
      <c r="Q87" s="334">
        <f>'Consolidado-Eletronorte'!AQ110/1000</f>
      </c>
      <c r="R87" s="334">
        <f>'Consolidado-Eletronorte'!AR110/1000</f>
      </c>
      <c r="S87" s="334">
        <f>'Consolidado-Eletronorte'!AS110/1000</f>
      </c>
      <c r="T87" s="334">
        <f>'Consolidado-Eletronorte'!AT110/1000</f>
      </c>
      <c r="U87" s="334">
        <f>'Consolidado-Eletronorte'!AU110/1000</f>
      </c>
      <c r="V87" s="334">
        <f>'Consolidado-Eletronorte'!AV110/1000</f>
      </c>
      <c r="W87" s="334">
        <f>'Consolidado-Eletronorte'!AW110/1000</f>
      </c>
      <c r="X87" s="334">
        <f>'Consolidado-Eletronorte'!AX110/1000</f>
      </c>
      <c r="Y87" s="334">
        <f>'Consolidado-Eletronorte'!AY110/1000</f>
      </c>
      <c r="Z87" s="334">
        <f>'Consolidado-Eletronorte'!AZ110/1000</f>
      </c>
    </row>
    <row x14ac:dyDescent="0.25" r="88" customHeight="1" ht="18.75">
      <c r="A88" s="1"/>
      <c r="B88" s="335" t="s">
        <v>40193</v>
      </c>
      <c r="C88" s="335" t="s">
        <v>21</v>
      </c>
      <c r="D88" s="335" t="s">
        <v>21</v>
      </c>
      <c r="E88" s="335" t="s">
        <v>39949</v>
      </c>
      <c r="F88" s="336"/>
      <c r="G88" s="335" t="s">
        <v>40194</v>
      </c>
      <c r="H88" s="335" t="s">
        <v>40006</v>
      </c>
      <c r="I88" s="334">
        <f>'Consolidado-Eletronorte'!AI111/1000</f>
      </c>
      <c r="J88" s="334">
        <f>'Consolidado-Eletronorte'!AJ111/1000</f>
      </c>
      <c r="K88" s="334">
        <f>'Consolidado-Eletronorte'!AK111/1000</f>
      </c>
      <c r="L88" s="334">
        <f>'Consolidado-Eletronorte'!AL111/1000</f>
      </c>
      <c r="M88" s="334">
        <f>'Consolidado-Eletronorte'!AM111/1000</f>
      </c>
      <c r="N88" s="334">
        <f>'Consolidado-Eletronorte'!AN111/1000</f>
      </c>
      <c r="O88" s="334">
        <f>'Consolidado-Eletronorte'!AO111/1000</f>
      </c>
      <c r="P88" s="334">
        <f>'Consolidado-Eletronorte'!AP111/1000</f>
      </c>
      <c r="Q88" s="334">
        <f>'Consolidado-Eletronorte'!AQ111/1000</f>
      </c>
      <c r="R88" s="334">
        <f>'Consolidado-Eletronorte'!AR111/1000</f>
      </c>
      <c r="S88" s="334">
        <f>'Consolidado-Eletronorte'!AS111/1000</f>
      </c>
      <c r="T88" s="334">
        <f>'Consolidado-Eletronorte'!AT111/1000</f>
      </c>
      <c r="U88" s="334">
        <f>'Consolidado-Eletronorte'!AU111/1000</f>
      </c>
      <c r="V88" s="334">
        <f>'Consolidado-Eletronorte'!AV111/1000</f>
      </c>
      <c r="W88" s="334">
        <f>'Consolidado-Eletronorte'!AW111/1000</f>
      </c>
      <c r="X88" s="334">
        <f>'Consolidado-Eletronorte'!AX111/1000</f>
      </c>
      <c r="Y88" s="334">
        <f>'Consolidado-Eletronorte'!AY111/1000</f>
      </c>
      <c r="Z88" s="334">
        <f>'Consolidado-Eletronorte'!AZ111/1000</f>
      </c>
    </row>
    <row x14ac:dyDescent="0.25" r="89" customHeight="1" ht="18.75">
      <c r="A89" s="1"/>
      <c r="B89" s="332" t="s">
        <v>40218</v>
      </c>
      <c r="C89" s="332" t="s">
        <v>21</v>
      </c>
      <c r="D89" s="332" t="s">
        <v>21</v>
      </c>
      <c r="E89" s="332" t="s">
        <v>39949</v>
      </c>
      <c r="F89" s="333"/>
      <c r="G89" s="332" t="s">
        <v>40219</v>
      </c>
      <c r="H89" s="332" t="s">
        <v>38369</v>
      </c>
      <c r="I89" s="334">
        <f>'Consolidado-Eletronorte'!AI112/1000</f>
      </c>
      <c r="J89" s="334">
        <f>'Consolidado-Eletronorte'!AJ112/1000</f>
      </c>
      <c r="K89" s="334">
        <f>'Consolidado-Eletronorte'!AK112/1000</f>
      </c>
      <c r="L89" s="334">
        <f>'Consolidado-Eletronorte'!AL112/1000</f>
      </c>
      <c r="M89" s="334">
        <f>'Consolidado-Eletronorte'!AM112/1000</f>
      </c>
      <c r="N89" s="334">
        <f>'Consolidado-Eletronorte'!AN112/1000</f>
      </c>
      <c r="O89" s="334">
        <f>'Consolidado-Eletronorte'!AO112/1000</f>
      </c>
      <c r="P89" s="334">
        <f>'Consolidado-Eletronorte'!AP112/1000</f>
      </c>
      <c r="Q89" s="334">
        <f>'Consolidado-Eletronorte'!AQ112/1000</f>
      </c>
      <c r="R89" s="334">
        <f>'Consolidado-Eletronorte'!AR112/1000</f>
      </c>
      <c r="S89" s="334">
        <f>'Consolidado-Eletronorte'!AS112/1000</f>
      </c>
      <c r="T89" s="334">
        <f>'Consolidado-Eletronorte'!AT112/1000</f>
      </c>
      <c r="U89" s="334">
        <f>'Consolidado-Eletronorte'!AU112/1000</f>
      </c>
      <c r="V89" s="334">
        <f>'Consolidado-Eletronorte'!AV112/1000</f>
      </c>
      <c r="W89" s="334">
        <f>'Consolidado-Eletronorte'!AW112/1000</f>
      </c>
      <c r="X89" s="334">
        <f>'Consolidado-Eletronorte'!AX112/1000</f>
      </c>
      <c r="Y89" s="334">
        <f>'Consolidado-Eletronorte'!AY112/1000</f>
      </c>
      <c r="Z89" s="334">
        <f>'Consolidado-Eletronorte'!AZ112/1000</f>
      </c>
    </row>
    <row x14ac:dyDescent="0.25" r="90" customHeight="1" ht="18.75">
      <c r="A90" s="1"/>
      <c r="B90" s="335" t="s">
        <v>40236</v>
      </c>
      <c r="C90" s="335" t="s">
        <v>21</v>
      </c>
      <c r="D90" s="335" t="s">
        <v>21</v>
      </c>
      <c r="E90" s="335" t="s">
        <v>39949</v>
      </c>
      <c r="F90" s="336"/>
      <c r="G90" s="335" t="s">
        <v>40237</v>
      </c>
      <c r="H90" s="335" t="s">
        <v>38369</v>
      </c>
      <c r="I90" s="334">
        <f>'Consolidado-Eletronorte'!AI113/1000</f>
      </c>
      <c r="J90" s="334">
        <f>'Consolidado-Eletronorte'!AJ113/1000</f>
      </c>
      <c r="K90" s="334">
        <f>'Consolidado-Eletronorte'!AK113/1000</f>
      </c>
      <c r="L90" s="334">
        <f>'Consolidado-Eletronorte'!AL113/1000</f>
      </c>
      <c r="M90" s="334">
        <f>'Consolidado-Eletronorte'!AM113/1000</f>
      </c>
      <c r="N90" s="334">
        <f>'Consolidado-Eletronorte'!AN113/1000</f>
      </c>
      <c r="O90" s="334">
        <f>'Consolidado-Eletronorte'!AO113/1000</f>
      </c>
      <c r="P90" s="334">
        <f>'Consolidado-Eletronorte'!AP113/1000</f>
      </c>
      <c r="Q90" s="334">
        <f>'Consolidado-Eletronorte'!AQ113/1000</f>
      </c>
      <c r="R90" s="334">
        <f>'Consolidado-Eletronorte'!AR113/1000</f>
      </c>
      <c r="S90" s="334">
        <f>'Consolidado-Eletronorte'!AS113/1000</f>
      </c>
      <c r="T90" s="334">
        <f>'Consolidado-Eletronorte'!AT113/1000</f>
      </c>
      <c r="U90" s="334">
        <f>'Consolidado-Eletronorte'!AU113/1000</f>
      </c>
      <c r="V90" s="334">
        <f>'Consolidado-Eletronorte'!AV113/1000</f>
      </c>
      <c r="W90" s="334">
        <f>'Consolidado-Eletronorte'!AW113/1000</f>
      </c>
      <c r="X90" s="334">
        <f>'Consolidado-Eletronorte'!AX113/1000</f>
      </c>
      <c r="Y90" s="334">
        <f>'Consolidado-Eletronorte'!AY113/1000</f>
      </c>
      <c r="Z90" s="334">
        <f>'Consolidado-Eletronorte'!AZ113/1000</f>
      </c>
    </row>
    <row x14ac:dyDescent="0.25" r="91" customHeight="1" ht="18.75">
      <c r="A91" s="1"/>
      <c r="B91" s="332" t="s">
        <v>40296</v>
      </c>
      <c r="C91" s="332" t="s">
        <v>21</v>
      </c>
      <c r="D91" s="332" t="s">
        <v>21</v>
      </c>
      <c r="E91" s="332" t="s">
        <v>39949</v>
      </c>
      <c r="F91" s="333"/>
      <c r="G91" s="332" t="s">
        <v>40297</v>
      </c>
      <c r="H91" s="332" t="s">
        <v>38369</v>
      </c>
      <c r="I91" s="334">
        <f>'Consolidado-Eletronorte'!AI114/1000</f>
      </c>
      <c r="J91" s="334">
        <f>'Consolidado-Eletronorte'!AJ114/1000</f>
      </c>
      <c r="K91" s="334">
        <f>'Consolidado-Eletronorte'!AK114/1000</f>
      </c>
      <c r="L91" s="334">
        <f>'Consolidado-Eletronorte'!AL114/1000</f>
      </c>
      <c r="M91" s="334">
        <f>'Consolidado-Eletronorte'!AM114/1000</f>
      </c>
      <c r="N91" s="334">
        <f>'Consolidado-Eletronorte'!AN114/1000</f>
      </c>
      <c r="O91" s="334">
        <f>'Consolidado-Eletronorte'!AO114/1000</f>
      </c>
      <c r="P91" s="334">
        <f>'Consolidado-Eletronorte'!AP114/1000</f>
      </c>
      <c r="Q91" s="334">
        <f>'Consolidado-Eletronorte'!AQ114/1000</f>
      </c>
      <c r="R91" s="334">
        <f>'Consolidado-Eletronorte'!AR114/1000</f>
      </c>
      <c r="S91" s="334">
        <f>'Consolidado-Eletronorte'!AS114/1000</f>
      </c>
      <c r="T91" s="334">
        <f>'Consolidado-Eletronorte'!AT114/1000</f>
      </c>
      <c r="U91" s="334">
        <f>'Consolidado-Eletronorte'!AU114/1000</f>
      </c>
      <c r="V91" s="334">
        <f>'Consolidado-Eletronorte'!AV114/1000</f>
      </c>
      <c r="W91" s="334">
        <f>'Consolidado-Eletronorte'!AW114/1000</f>
      </c>
      <c r="X91" s="334">
        <f>'Consolidado-Eletronorte'!AX114/1000</f>
      </c>
      <c r="Y91" s="334">
        <f>'Consolidado-Eletronorte'!AY114/1000</f>
      </c>
      <c r="Z91" s="334">
        <f>'Consolidado-Eletronorte'!AZ114/1000</f>
      </c>
    </row>
    <row x14ac:dyDescent="0.25" r="92" customHeight="1" ht="18.75">
      <c r="A92" s="1"/>
      <c r="B92" s="335" t="s">
        <v>40299</v>
      </c>
      <c r="C92" s="335" t="s">
        <v>21</v>
      </c>
      <c r="D92" s="335" t="s">
        <v>21</v>
      </c>
      <c r="E92" s="335" t="s">
        <v>39949</v>
      </c>
      <c r="F92" s="336"/>
      <c r="G92" s="335" t="s">
        <v>40300</v>
      </c>
      <c r="H92" s="335" t="s">
        <v>38369</v>
      </c>
      <c r="I92" s="334">
        <f>'Consolidado-Eletronorte'!AI115/1000</f>
      </c>
      <c r="J92" s="334">
        <f>'Consolidado-Eletronorte'!AJ115/1000</f>
      </c>
      <c r="K92" s="334">
        <f>'Consolidado-Eletronorte'!AK115/1000</f>
      </c>
      <c r="L92" s="334">
        <f>'Consolidado-Eletronorte'!AL115/1000</f>
      </c>
      <c r="M92" s="334">
        <f>'Consolidado-Eletronorte'!AM115/1000</f>
      </c>
      <c r="N92" s="334">
        <f>'Consolidado-Eletronorte'!AN115/1000</f>
      </c>
      <c r="O92" s="334">
        <f>'Consolidado-Eletronorte'!AO115/1000</f>
      </c>
      <c r="P92" s="334">
        <f>'Consolidado-Eletronorte'!AP115/1000</f>
      </c>
      <c r="Q92" s="334">
        <f>'Consolidado-Eletronorte'!AQ115/1000</f>
      </c>
      <c r="R92" s="334">
        <f>'Consolidado-Eletronorte'!AR115/1000</f>
      </c>
      <c r="S92" s="334">
        <f>'Consolidado-Eletronorte'!AS115/1000</f>
      </c>
      <c r="T92" s="334">
        <f>'Consolidado-Eletronorte'!AT115/1000</f>
      </c>
      <c r="U92" s="334">
        <f>'Consolidado-Eletronorte'!AU115/1000</f>
      </c>
      <c r="V92" s="334">
        <f>'Consolidado-Eletronorte'!AV115/1000</f>
      </c>
      <c r="W92" s="334">
        <f>'Consolidado-Eletronorte'!AW115/1000</f>
      </c>
      <c r="X92" s="334">
        <f>'Consolidado-Eletronorte'!AX115/1000</f>
      </c>
      <c r="Y92" s="334">
        <f>'Consolidado-Eletronorte'!AY115/1000</f>
      </c>
      <c r="Z92" s="334">
        <f>'Consolidado-Eletronorte'!AZ115/1000</f>
      </c>
    </row>
    <row x14ac:dyDescent="0.25" r="93" customHeight="1" ht="18.75">
      <c r="A93" s="1"/>
      <c r="B93" s="332" t="s">
        <v>40302</v>
      </c>
      <c r="C93" s="332" t="s">
        <v>21</v>
      </c>
      <c r="D93" s="332" t="s">
        <v>21</v>
      </c>
      <c r="E93" s="332" t="s">
        <v>39949</v>
      </c>
      <c r="F93" s="333"/>
      <c r="G93" s="332" t="s">
        <v>40303</v>
      </c>
      <c r="H93" s="332" t="s">
        <v>38369</v>
      </c>
      <c r="I93" s="334">
        <f>'Consolidado-Eletronorte'!AI116/1000</f>
      </c>
      <c r="J93" s="334">
        <f>'Consolidado-Eletronorte'!AJ116/1000</f>
      </c>
      <c r="K93" s="334">
        <f>'Consolidado-Eletronorte'!AK116/1000</f>
      </c>
      <c r="L93" s="334">
        <f>'Consolidado-Eletronorte'!AL116/1000</f>
      </c>
      <c r="M93" s="334">
        <f>'Consolidado-Eletronorte'!AM116/1000</f>
      </c>
      <c r="N93" s="334">
        <f>'Consolidado-Eletronorte'!AN116/1000</f>
      </c>
      <c r="O93" s="334">
        <f>'Consolidado-Eletronorte'!AO116/1000</f>
      </c>
      <c r="P93" s="334">
        <f>'Consolidado-Eletronorte'!AP116/1000</f>
      </c>
      <c r="Q93" s="334">
        <f>'Consolidado-Eletronorte'!AQ116/1000</f>
      </c>
      <c r="R93" s="334">
        <f>'Consolidado-Eletronorte'!AR116/1000</f>
      </c>
      <c r="S93" s="334">
        <f>'Consolidado-Eletronorte'!AS116/1000</f>
      </c>
      <c r="T93" s="334">
        <f>'Consolidado-Eletronorte'!AT116/1000</f>
      </c>
      <c r="U93" s="334">
        <f>'Consolidado-Eletronorte'!AU116/1000</f>
      </c>
      <c r="V93" s="334">
        <f>'Consolidado-Eletronorte'!AV116/1000</f>
      </c>
      <c r="W93" s="334">
        <f>'Consolidado-Eletronorte'!AW116/1000</f>
      </c>
      <c r="X93" s="334">
        <f>'Consolidado-Eletronorte'!AX116/1000</f>
      </c>
      <c r="Y93" s="334">
        <f>'Consolidado-Eletronorte'!AY116/1000</f>
      </c>
      <c r="Z93" s="334">
        <f>'Consolidado-Eletronorte'!AZ116/1000</f>
      </c>
    </row>
    <row x14ac:dyDescent="0.25" r="94" customHeight="1" ht="18.75">
      <c r="A94" s="1"/>
      <c r="B94" s="335" t="s">
        <v>40305</v>
      </c>
      <c r="C94" s="335" t="s">
        <v>21</v>
      </c>
      <c r="D94" s="335" t="s">
        <v>21</v>
      </c>
      <c r="E94" s="335" t="s">
        <v>39949</v>
      </c>
      <c r="F94" s="336"/>
      <c r="G94" s="335" t="s">
        <v>40306</v>
      </c>
      <c r="H94" s="335" t="s">
        <v>38369</v>
      </c>
      <c r="I94" s="334">
        <f>'Consolidado-Eletronorte'!AI117/1000</f>
      </c>
      <c r="J94" s="334">
        <f>'Consolidado-Eletronorte'!AJ117/1000</f>
      </c>
      <c r="K94" s="334">
        <f>'Consolidado-Eletronorte'!AK117/1000</f>
      </c>
      <c r="L94" s="334">
        <f>'Consolidado-Eletronorte'!AL117/1000</f>
      </c>
      <c r="M94" s="334">
        <f>'Consolidado-Eletronorte'!AM117/1000</f>
      </c>
      <c r="N94" s="334">
        <f>'Consolidado-Eletronorte'!AN117/1000</f>
      </c>
      <c r="O94" s="334">
        <f>'Consolidado-Eletronorte'!AO117/1000</f>
      </c>
      <c r="P94" s="334">
        <f>'Consolidado-Eletronorte'!AP117/1000</f>
      </c>
      <c r="Q94" s="334">
        <f>'Consolidado-Eletronorte'!AQ117/1000</f>
      </c>
      <c r="R94" s="334">
        <f>'Consolidado-Eletronorte'!AR117/1000</f>
      </c>
      <c r="S94" s="334">
        <f>'Consolidado-Eletronorte'!AS117/1000</f>
      </c>
      <c r="T94" s="334">
        <f>'Consolidado-Eletronorte'!AT117/1000</f>
      </c>
      <c r="U94" s="334">
        <f>'Consolidado-Eletronorte'!AU117/1000</f>
      </c>
      <c r="V94" s="334">
        <f>'Consolidado-Eletronorte'!AV117/1000</f>
      </c>
      <c r="W94" s="334">
        <f>'Consolidado-Eletronorte'!AW117/1000</f>
      </c>
      <c r="X94" s="334">
        <f>'Consolidado-Eletronorte'!AX117/1000</f>
      </c>
      <c r="Y94" s="334">
        <f>'Consolidado-Eletronorte'!AY117/1000</f>
      </c>
      <c r="Z94" s="334">
        <f>'Consolidado-Eletronorte'!AZ117/1000</f>
      </c>
    </row>
    <row x14ac:dyDescent="0.25" r="95" customHeight="1" ht="18.75">
      <c r="A95" s="1"/>
      <c r="B95" s="332" t="s">
        <v>40308</v>
      </c>
      <c r="C95" s="332" t="s">
        <v>21</v>
      </c>
      <c r="D95" s="332" t="s">
        <v>21</v>
      </c>
      <c r="E95" s="332" t="s">
        <v>39949</v>
      </c>
      <c r="F95" s="333"/>
      <c r="G95" s="332" t="s">
        <v>40309</v>
      </c>
      <c r="H95" s="332" t="s">
        <v>38369</v>
      </c>
      <c r="I95" s="334">
        <f>'Consolidado-Eletronorte'!AI118/1000</f>
      </c>
      <c r="J95" s="334">
        <f>'Consolidado-Eletronorte'!AJ118/1000</f>
      </c>
      <c r="K95" s="334">
        <f>'Consolidado-Eletronorte'!AK118/1000</f>
      </c>
      <c r="L95" s="334">
        <f>'Consolidado-Eletronorte'!AL118/1000</f>
      </c>
      <c r="M95" s="334">
        <f>'Consolidado-Eletronorte'!AM118/1000</f>
      </c>
      <c r="N95" s="334">
        <f>'Consolidado-Eletronorte'!AN118/1000</f>
      </c>
      <c r="O95" s="334">
        <f>'Consolidado-Eletronorte'!AO118/1000</f>
      </c>
      <c r="P95" s="334">
        <f>'Consolidado-Eletronorte'!AP118/1000</f>
      </c>
      <c r="Q95" s="334">
        <f>'Consolidado-Eletronorte'!AQ118/1000</f>
      </c>
      <c r="R95" s="334">
        <f>'Consolidado-Eletronorte'!AR118/1000</f>
      </c>
      <c r="S95" s="334">
        <f>'Consolidado-Eletronorte'!AS118/1000</f>
      </c>
      <c r="T95" s="334">
        <f>'Consolidado-Eletronorte'!AT118/1000</f>
      </c>
      <c r="U95" s="334">
        <f>'Consolidado-Eletronorte'!AU118/1000</f>
      </c>
      <c r="V95" s="334">
        <f>'Consolidado-Eletronorte'!AV118/1000</f>
      </c>
      <c r="W95" s="334">
        <f>'Consolidado-Eletronorte'!AW118/1000</f>
      </c>
      <c r="X95" s="334">
        <f>'Consolidado-Eletronorte'!AX118/1000</f>
      </c>
      <c r="Y95" s="334">
        <f>'Consolidado-Eletronorte'!AY118/1000</f>
      </c>
      <c r="Z95" s="334">
        <f>'Consolidado-Eletronorte'!AZ118/1000</f>
      </c>
    </row>
    <row x14ac:dyDescent="0.25" r="96" customHeight="1" ht="18.75">
      <c r="A96" s="1"/>
      <c r="B96" s="335" t="s">
        <v>40311</v>
      </c>
      <c r="C96" s="335" t="s">
        <v>21</v>
      </c>
      <c r="D96" s="335" t="s">
        <v>21</v>
      </c>
      <c r="E96" s="335" t="s">
        <v>39949</v>
      </c>
      <c r="F96" s="336"/>
      <c r="G96" s="335" t="s">
        <v>40312</v>
      </c>
      <c r="H96" s="335" t="s">
        <v>38369</v>
      </c>
      <c r="I96" s="334">
        <f>'Consolidado-Eletronorte'!AI119/1000</f>
      </c>
      <c r="J96" s="334">
        <f>'Consolidado-Eletronorte'!AJ119/1000</f>
      </c>
      <c r="K96" s="334">
        <f>'Consolidado-Eletronorte'!AK119/1000</f>
      </c>
      <c r="L96" s="334">
        <f>'Consolidado-Eletronorte'!AL119/1000</f>
      </c>
      <c r="M96" s="334">
        <f>'Consolidado-Eletronorte'!AM119/1000</f>
      </c>
      <c r="N96" s="334">
        <f>'Consolidado-Eletronorte'!AN119/1000</f>
      </c>
      <c r="O96" s="334">
        <f>'Consolidado-Eletronorte'!AO119/1000</f>
      </c>
      <c r="P96" s="334">
        <f>'Consolidado-Eletronorte'!AP119/1000</f>
      </c>
      <c r="Q96" s="334">
        <f>'Consolidado-Eletronorte'!AQ119/1000</f>
      </c>
      <c r="R96" s="334">
        <f>'Consolidado-Eletronorte'!AR119/1000</f>
      </c>
      <c r="S96" s="334">
        <f>'Consolidado-Eletronorte'!AS119/1000</f>
      </c>
      <c r="T96" s="334">
        <f>'Consolidado-Eletronorte'!AT119/1000</f>
      </c>
      <c r="U96" s="334">
        <f>'Consolidado-Eletronorte'!AU119/1000</f>
      </c>
      <c r="V96" s="334">
        <f>'Consolidado-Eletronorte'!AV119/1000</f>
      </c>
      <c r="W96" s="334">
        <f>'Consolidado-Eletronorte'!AW119/1000</f>
      </c>
      <c r="X96" s="334">
        <f>'Consolidado-Eletronorte'!AX119/1000</f>
      </c>
      <c r="Y96" s="334">
        <f>'Consolidado-Eletronorte'!AY119/1000</f>
      </c>
      <c r="Z96" s="334">
        <f>'Consolidado-Eletronorte'!AZ119/1000</f>
      </c>
    </row>
    <row x14ac:dyDescent="0.25" r="97" customHeight="1" ht="18.75">
      <c r="A97" s="1"/>
      <c r="B97" s="332" t="s">
        <v>40314</v>
      </c>
      <c r="C97" s="332" t="s">
        <v>21</v>
      </c>
      <c r="D97" s="332" t="s">
        <v>21</v>
      </c>
      <c r="E97" s="332" t="s">
        <v>39949</v>
      </c>
      <c r="F97" s="333"/>
      <c r="G97" s="332" t="s">
        <v>40315</v>
      </c>
      <c r="H97" s="332" t="s">
        <v>38369</v>
      </c>
      <c r="I97" s="334">
        <f>'Consolidado-Eletronorte'!AI120/1000</f>
      </c>
      <c r="J97" s="334">
        <f>'Consolidado-Eletronorte'!AJ120/1000</f>
      </c>
      <c r="K97" s="334">
        <f>'Consolidado-Eletronorte'!AK120/1000</f>
      </c>
      <c r="L97" s="334">
        <f>'Consolidado-Eletronorte'!AL120/1000</f>
      </c>
      <c r="M97" s="334">
        <f>'Consolidado-Eletronorte'!AM120/1000</f>
      </c>
      <c r="N97" s="334">
        <f>'Consolidado-Eletronorte'!AN120/1000</f>
      </c>
      <c r="O97" s="334">
        <f>'Consolidado-Eletronorte'!AO120/1000</f>
      </c>
      <c r="P97" s="334">
        <f>'Consolidado-Eletronorte'!AP120/1000</f>
      </c>
      <c r="Q97" s="334">
        <f>'Consolidado-Eletronorte'!AQ120/1000</f>
      </c>
      <c r="R97" s="334">
        <f>'Consolidado-Eletronorte'!AR120/1000</f>
      </c>
      <c r="S97" s="334">
        <f>'Consolidado-Eletronorte'!AS120/1000</f>
      </c>
      <c r="T97" s="334">
        <f>'Consolidado-Eletronorte'!AT120/1000</f>
      </c>
      <c r="U97" s="334">
        <f>'Consolidado-Eletronorte'!AU120/1000</f>
      </c>
      <c r="V97" s="334">
        <f>'Consolidado-Eletronorte'!AV120/1000</f>
      </c>
      <c r="W97" s="334">
        <f>'Consolidado-Eletronorte'!AW120/1000</f>
      </c>
      <c r="X97" s="334">
        <f>'Consolidado-Eletronorte'!AX120/1000</f>
      </c>
      <c r="Y97" s="334">
        <f>'Consolidado-Eletronorte'!AY120/1000</f>
      </c>
      <c r="Z97" s="334">
        <f>'Consolidado-Eletronorte'!AZ120/1000</f>
      </c>
    </row>
    <row x14ac:dyDescent="0.25" r="98" customHeight="1" ht="18.75">
      <c r="A98" s="1"/>
      <c r="B98" s="335" t="s">
        <v>40317</v>
      </c>
      <c r="C98" s="335" t="s">
        <v>21</v>
      </c>
      <c r="D98" s="335" t="s">
        <v>21</v>
      </c>
      <c r="E98" s="335" t="s">
        <v>39949</v>
      </c>
      <c r="F98" s="336"/>
      <c r="G98" s="335" t="s">
        <v>40318</v>
      </c>
      <c r="H98" s="335" t="s">
        <v>38369</v>
      </c>
      <c r="I98" s="334">
        <f>'Consolidado-Eletronorte'!AI121/1000</f>
      </c>
      <c r="J98" s="334">
        <f>'Consolidado-Eletronorte'!AJ121/1000</f>
      </c>
      <c r="K98" s="334">
        <f>'Consolidado-Eletronorte'!AK121/1000</f>
      </c>
      <c r="L98" s="334">
        <f>'Consolidado-Eletronorte'!AL121/1000</f>
      </c>
      <c r="M98" s="334">
        <f>'Consolidado-Eletronorte'!AM121/1000</f>
      </c>
      <c r="N98" s="334">
        <f>'Consolidado-Eletronorte'!AN121/1000</f>
      </c>
      <c r="O98" s="334">
        <f>'Consolidado-Eletronorte'!AO121/1000</f>
      </c>
      <c r="P98" s="334">
        <f>'Consolidado-Eletronorte'!AP121/1000</f>
      </c>
      <c r="Q98" s="334">
        <f>'Consolidado-Eletronorte'!AQ121/1000</f>
      </c>
      <c r="R98" s="334">
        <f>'Consolidado-Eletronorte'!AR121/1000</f>
      </c>
      <c r="S98" s="334">
        <f>'Consolidado-Eletronorte'!AS121/1000</f>
      </c>
      <c r="T98" s="334">
        <f>'Consolidado-Eletronorte'!AT121/1000</f>
      </c>
      <c r="U98" s="334">
        <f>'Consolidado-Eletronorte'!AU121/1000</f>
      </c>
      <c r="V98" s="334">
        <f>'Consolidado-Eletronorte'!AV121/1000</f>
      </c>
      <c r="W98" s="334">
        <f>'Consolidado-Eletronorte'!AW121/1000</f>
      </c>
      <c r="X98" s="334">
        <f>'Consolidado-Eletronorte'!AX121/1000</f>
      </c>
      <c r="Y98" s="334">
        <f>'Consolidado-Eletronorte'!AY121/1000</f>
      </c>
      <c r="Z98" s="334">
        <f>'Consolidado-Eletronorte'!AZ121/1000</f>
      </c>
    </row>
    <row x14ac:dyDescent="0.25" r="99" customHeight="1" ht="18.75">
      <c r="A99" s="1"/>
      <c r="B99" s="332" t="s">
        <v>40335</v>
      </c>
      <c r="C99" s="332" t="s">
        <v>21</v>
      </c>
      <c r="D99" s="332" t="s">
        <v>21</v>
      </c>
      <c r="E99" s="332" t="s">
        <v>39949</v>
      </c>
      <c r="F99" s="333"/>
      <c r="G99" s="332" t="s">
        <v>40335</v>
      </c>
      <c r="H99" s="332" t="s">
        <v>38369</v>
      </c>
      <c r="I99" s="334">
        <f>'Consolidado-Eletronorte'!AI122/1000</f>
      </c>
      <c r="J99" s="334">
        <f>'Consolidado-Eletronorte'!AJ122/1000</f>
      </c>
      <c r="K99" s="334">
        <f>'Consolidado-Eletronorte'!AK122/1000</f>
      </c>
      <c r="L99" s="334">
        <f>'Consolidado-Eletronorte'!AL122/1000</f>
      </c>
      <c r="M99" s="334">
        <f>'Consolidado-Eletronorte'!AM122/1000</f>
      </c>
      <c r="N99" s="334">
        <f>'Consolidado-Eletronorte'!AN122/1000</f>
      </c>
      <c r="O99" s="334">
        <f>'Consolidado-Eletronorte'!AO122/1000</f>
      </c>
      <c r="P99" s="334">
        <f>'Consolidado-Eletronorte'!AP122/1000</f>
      </c>
      <c r="Q99" s="334">
        <f>'Consolidado-Eletronorte'!AQ122/1000</f>
      </c>
      <c r="R99" s="334">
        <f>'Consolidado-Eletronorte'!AR122/1000</f>
      </c>
      <c r="S99" s="334">
        <f>'Consolidado-Eletronorte'!AS122/1000</f>
      </c>
      <c r="T99" s="334">
        <f>'Consolidado-Eletronorte'!AT122/1000</f>
      </c>
      <c r="U99" s="334">
        <f>'Consolidado-Eletronorte'!AU122/1000</f>
      </c>
      <c r="V99" s="334">
        <f>'Consolidado-Eletronorte'!AV122/1000</f>
      </c>
      <c r="W99" s="334">
        <f>'Consolidado-Eletronorte'!AW122/1000</f>
      </c>
      <c r="X99" s="334">
        <f>'Consolidado-Eletronorte'!AX122/1000</f>
      </c>
      <c r="Y99" s="334">
        <f>'Consolidado-Eletronorte'!AY122/1000</f>
      </c>
      <c r="Z99" s="334">
        <f>'Consolidado-Eletronorte'!AZ122/1000</f>
      </c>
    </row>
    <row x14ac:dyDescent="0.25" r="100" customHeight="1" ht="18.75">
      <c r="A100" s="1"/>
      <c r="B100" s="335" t="s">
        <v>40345</v>
      </c>
      <c r="C100" s="335" t="s">
        <v>21</v>
      </c>
      <c r="D100" s="335" t="s">
        <v>21</v>
      </c>
      <c r="E100" s="335" t="s">
        <v>39949</v>
      </c>
      <c r="F100" s="336"/>
      <c r="G100" s="335" t="s">
        <v>40346</v>
      </c>
      <c r="H100" s="335" t="s">
        <v>38369</v>
      </c>
      <c r="I100" s="334">
        <f>'Consolidado-Eletronorte'!AI123/1000</f>
      </c>
      <c r="J100" s="334">
        <f>'Consolidado-Eletronorte'!AJ123/1000</f>
      </c>
      <c r="K100" s="334">
        <f>'Consolidado-Eletronorte'!AK123/1000</f>
      </c>
      <c r="L100" s="334">
        <f>'Consolidado-Eletronorte'!AL123/1000</f>
      </c>
      <c r="M100" s="334">
        <f>'Consolidado-Eletronorte'!AM123/1000</f>
      </c>
      <c r="N100" s="334">
        <f>'Consolidado-Eletronorte'!AN123/1000</f>
      </c>
      <c r="O100" s="334">
        <f>'Consolidado-Eletronorte'!AO123/1000</f>
      </c>
      <c r="P100" s="334">
        <f>'Consolidado-Eletronorte'!AP123/1000</f>
      </c>
      <c r="Q100" s="334">
        <f>'Consolidado-Eletronorte'!AQ123/1000</f>
      </c>
      <c r="R100" s="334">
        <f>'Consolidado-Eletronorte'!AR123/1000</f>
      </c>
      <c r="S100" s="334">
        <f>'Consolidado-Eletronorte'!AS123/1000</f>
      </c>
      <c r="T100" s="334">
        <f>'Consolidado-Eletronorte'!AT123/1000</f>
      </c>
      <c r="U100" s="334">
        <f>'Consolidado-Eletronorte'!AU123/1000</f>
      </c>
      <c r="V100" s="334">
        <f>'Consolidado-Eletronorte'!AV123/1000</f>
      </c>
      <c r="W100" s="334">
        <f>'Consolidado-Eletronorte'!AW123/1000</f>
      </c>
      <c r="X100" s="334">
        <f>'Consolidado-Eletronorte'!AX123/1000</f>
      </c>
      <c r="Y100" s="334">
        <f>'Consolidado-Eletronorte'!AY123/1000</f>
      </c>
      <c r="Z100" s="334">
        <f>'Consolidado-Eletronorte'!AZ123/1000</f>
      </c>
    </row>
    <row x14ac:dyDescent="0.25" r="101" customHeight="1" ht="18.75">
      <c r="A101" s="1"/>
      <c r="B101" s="332" t="s">
        <v>40045</v>
      </c>
      <c r="C101" s="332" t="s">
        <v>21</v>
      </c>
      <c r="D101" s="332" t="s">
        <v>21</v>
      </c>
      <c r="E101" s="332" t="s">
        <v>39949</v>
      </c>
      <c r="F101" s="333"/>
      <c r="G101" s="332" t="s">
        <v>40046</v>
      </c>
      <c r="H101" s="332" t="s">
        <v>39969</v>
      </c>
      <c r="I101" s="334">
        <f>'Consolidado-Eletronorte'!AI124/1000</f>
      </c>
      <c r="J101" s="334">
        <f>'Consolidado-Eletronorte'!AJ124/1000</f>
      </c>
      <c r="K101" s="334">
        <f>'Consolidado-Eletronorte'!AK124/1000</f>
      </c>
      <c r="L101" s="334">
        <f>'Consolidado-Eletronorte'!AL124/1000</f>
      </c>
      <c r="M101" s="334">
        <f>'Consolidado-Eletronorte'!AM124/1000</f>
      </c>
      <c r="N101" s="334">
        <f>'Consolidado-Eletronorte'!AN124/1000</f>
      </c>
      <c r="O101" s="334">
        <f>'Consolidado-Eletronorte'!AO124/1000</f>
      </c>
      <c r="P101" s="334">
        <f>'Consolidado-Eletronorte'!AP124/1000</f>
      </c>
      <c r="Q101" s="334">
        <f>'Consolidado-Eletronorte'!AQ124/1000</f>
      </c>
      <c r="R101" s="334">
        <f>'Consolidado-Eletronorte'!AR124/1000</f>
      </c>
      <c r="S101" s="334">
        <f>'Consolidado-Eletronorte'!AS124/1000</f>
      </c>
      <c r="T101" s="334">
        <f>'Consolidado-Eletronorte'!AT124/1000</f>
      </c>
      <c r="U101" s="334">
        <f>'Consolidado-Eletronorte'!AU124/1000</f>
      </c>
      <c r="V101" s="334">
        <f>'Consolidado-Eletronorte'!AV124/1000</f>
      </c>
      <c r="W101" s="334">
        <f>'Consolidado-Eletronorte'!AW124/1000</f>
      </c>
      <c r="X101" s="334">
        <f>'Consolidado-Eletronorte'!AX124/1000</f>
      </c>
      <c r="Y101" s="334">
        <f>'Consolidado-Eletronorte'!AY124/1000</f>
      </c>
      <c r="Z101" s="334">
        <f>'Consolidado-Eletronorte'!AZ124/1000</f>
      </c>
    </row>
    <row x14ac:dyDescent="0.25" r="102" customHeight="1" ht="18.75">
      <c r="A102" s="1"/>
      <c r="B102" s="335" t="s">
        <v>40320</v>
      </c>
      <c r="C102" s="335" t="s">
        <v>21</v>
      </c>
      <c r="D102" s="335" t="s">
        <v>21</v>
      </c>
      <c r="E102" s="335" t="s">
        <v>39949</v>
      </c>
      <c r="F102" s="336"/>
      <c r="G102" s="335" t="s">
        <v>40321</v>
      </c>
      <c r="H102" s="335" t="s">
        <v>39969</v>
      </c>
      <c r="I102" s="334">
        <f>'Consolidado-Eletronorte'!AI125/1000</f>
      </c>
      <c r="J102" s="334">
        <f>'Consolidado-Eletronorte'!AJ125/1000</f>
      </c>
      <c r="K102" s="334">
        <f>'Consolidado-Eletronorte'!AK125/1000</f>
      </c>
      <c r="L102" s="334">
        <f>'Consolidado-Eletronorte'!AL125/1000</f>
      </c>
      <c r="M102" s="334">
        <f>'Consolidado-Eletronorte'!AM125/1000</f>
      </c>
      <c r="N102" s="334">
        <f>'Consolidado-Eletronorte'!AN125/1000</f>
      </c>
      <c r="O102" s="334">
        <f>'Consolidado-Eletronorte'!AO125/1000</f>
      </c>
      <c r="P102" s="334">
        <f>'Consolidado-Eletronorte'!AP125/1000</f>
      </c>
      <c r="Q102" s="334">
        <f>'Consolidado-Eletronorte'!AQ125/1000</f>
      </c>
      <c r="R102" s="334">
        <f>'Consolidado-Eletronorte'!AR125/1000</f>
      </c>
      <c r="S102" s="334">
        <f>'Consolidado-Eletronorte'!AS125/1000</f>
      </c>
      <c r="T102" s="334">
        <f>'Consolidado-Eletronorte'!AT125/1000</f>
      </c>
      <c r="U102" s="334">
        <f>'Consolidado-Eletronorte'!AU125/1000</f>
      </c>
      <c r="V102" s="334">
        <f>'Consolidado-Eletronorte'!AV125/1000</f>
      </c>
      <c r="W102" s="334">
        <f>'Consolidado-Eletronorte'!AW125/1000</f>
      </c>
      <c r="X102" s="334">
        <f>'Consolidado-Eletronorte'!AX125/1000</f>
      </c>
      <c r="Y102" s="334">
        <f>'Consolidado-Eletronorte'!AY125/1000</f>
      </c>
      <c r="Z102" s="334">
        <f>'Consolidado-Eletronorte'!AZ125/1000</f>
      </c>
    </row>
    <row x14ac:dyDescent="0.25" r="103" customHeight="1" ht="18.75">
      <c r="A103" s="1"/>
      <c r="B103" s="332" t="s">
        <v>40056</v>
      </c>
      <c r="C103" s="332" t="s">
        <v>21</v>
      </c>
      <c r="D103" s="332" t="s">
        <v>21</v>
      </c>
      <c r="E103" s="332" t="s">
        <v>39949</v>
      </c>
      <c r="F103" s="333"/>
      <c r="G103" s="332" t="s">
        <v>40057</v>
      </c>
      <c r="H103" s="332" t="s">
        <v>39998</v>
      </c>
      <c r="I103" s="334">
        <f>'Consolidado-Eletronorte'!AI126/1000</f>
      </c>
      <c r="J103" s="334">
        <f>'Consolidado-Eletronorte'!AJ126/1000</f>
      </c>
      <c r="K103" s="334">
        <f>'Consolidado-Eletronorte'!AK126/1000</f>
      </c>
      <c r="L103" s="334">
        <f>'Consolidado-Eletronorte'!AL126/1000</f>
      </c>
      <c r="M103" s="334">
        <f>'Consolidado-Eletronorte'!AM126/1000</f>
      </c>
      <c r="N103" s="334">
        <f>'Consolidado-Eletronorte'!AN126/1000</f>
      </c>
      <c r="O103" s="334">
        <f>'Consolidado-Eletronorte'!AO126/1000</f>
      </c>
      <c r="P103" s="334">
        <f>'Consolidado-Eletronorte'!AP126/1000</f>
      </c>
      <c r="Q103" s="334">
        <f>'Consolidado-Eletronorte'!AQ126/1000</f>
      </c>
      <c r="R103" s="334">
        <f>'Consolidado-Eletronorte'!AR126/1000</f>
      </c>
      <c r="S103" s="334">
        <f>'Consolidado-Eletronorte'!AS126/1000</f>
      </c>
      <c r="T103" s="334">
        <f>'Consolidado-Eletronorte'!AT126/1000</f>
      </c>
      <c r="U103" s="334">
        <f>'Consolidado-Eletronorte'!AU126/1000</f>
      </c>
      <c r="V103" s="334">
        <f>'Consolidado-Eletronorte'!AV126/1000</f>
      </c>
      <c r="W103" s="334">
        <f>'Consolidado-Eletronorte'!AW126/1000</f>
      </c>
      <c r="X103" s="334">
        <f>'Consolidado-Eletronorte'!AX126/1000</f>
      </c>
      <c r="Y103" s="334">
        <f>'Consolidado-Eletronorte'!AY126/1000</f>
      </c>
      <c r="Z103" s="334">
        <f>'Consolidado-Eletronorte'!AZ126/1000</f>
      </c>
    </row>
    <row x14ac:dyDescent="0.25" r="104" customHeight="1" ht="18.75">
      <c r="A104" s="1"/>
      <c r="B104" s="335" t="s">
        <v>40111</v>
      </c>
      <c r="C104" s="335" t="s">
        <v>21</v>
      </c>
      <c r="D104" s="335" t="s">
        <v>21</v>
      </c>
      <c r="E104" s="335" t="s">
        <v>39949</v>
      </c>
      <c r="F104" s="336"/>
      <c r="G104" s="335" t="s">
        <v>40112</v>
      </c>
      <c r="H104" s="335" t="s">
        <v>39998</v>
      </c>
      <c r="I104" s="334">
        <f>'Consolidado-Eletronorte'!AI127/1000</f>
      </c>
      <c r="J104" s="334">
        <f>'Consolidado-Eletronorte'!AJ127/1000</f>
      </c>
      <c r="K104" s="334">
        <f>'Consolidado-Eletronorte'!AK127/1000</f>
      </c>
      <c r="L104" s="334">
        <f>'Consolidado-Eletronorte'!AL127/1000</f>
      </c>
      <c r="M104" s="334">
        <f>'Consolidado-Eletronorte'!AM127/1000</f>
      </c>
      <c r="N104" s="334">
        <f>'Consolidado-Eletronorte'!AN127/1000</f>
      </c>
      <c r="O104" s="334">
        <f>'Consolidado-Eletronorte'!AO127/1000</f>
      </c>
      <c r="P104" s="334">
        <f>'Consolidado-Eletronorte'!AP127/1000</f>
      </c>
      <c r="Q104" s="334">
        <f>'Consolidado-Eletronorte'!AQ127/1000</f>
      </c>
      <c r="R104" s="334">
        <f>'Consolidado-Eletronorte'!AR127/1000</f>
      </c>
      <c r="S104" s="334">
        <f>'Consolidado-Eletronorte'!AS127/1000</f>
      </c>
      <c r="T104" s="334">
        <f>'Consolidado-Eletronorte'!AT127/1000</f>
      </c>
      <c r="U104" s="334">
        <f>'Consolidado-Eletronorte'!AU127/1000</f>
      </c>
      <c r="V104" s="334">
        <f>'Consolidado-Eletronorte'!AV127/1000</f>
      </c>
      <c r="W104" s="334">
        <f>'Consolidado-Eletronorte'!AW127/1000</f>
      </c>
      <c r="X104" s="334">
        <f>'Consolidado-Eletronorte'!AX127/1000</f>
      </c>
      <c r="Y104" s="334">
        <f>'Consolidado-Eletronorte'!AY127/1000</f>
      </c>
      <c r="Z104" s="334">
        <f>'Consolidado-Eletronorte'!AZ127/1000</f>
      </c>
    </row>
    <row x14ac:dyDescent="0.25" r="105" customHeight="1" ht="18.75">
      <c r="A105" s="1"/>
      <c r="B105" s="332" t="s">
        <v>40216</v>
      </c>
      <c r="C105" s="332" t="s">
        <v>21</v>
      </c>
      <c r="D105" s="332" t="s">
        <v>21</v>
      </c>
      <c r="E105" s="332" t="s">
        <v>39949</v>
      </c>
      <c r="F105" s="333">
        <v>4600002717</v>
      </c>
      <c r="G105" s="332" t="s">
        <v>40216</v>
      </c>
      <c r="H105" s="332" t="s">
        <v>39998</v>
      </c>
      <c r="I105" s="334">
        <f>'Consolidado-Eletronorte'!#REF!/1000</f>
      </c>
      <c r="J105" s="334">
        <f>'Consolidado-Eletronorte'!#REF!/1000</f>
      </c>
      <c r="K105" s="334">
        <f>'Consolidado-Eletronorte'!#REF!/1000</f>
      </c>
      <c r="L105" s="334">
        <f>'Consolidado-Eletronorte'!#REF!/1000</f>
      </c>
      <c r="M105" s="334">
        <f>'Consolidado-Eletronorte'!#REF!/1000</f>
      </c>
      <c r="N105" s="334">
        <f>'Consolidado-Eletronorte'!#REF!/1000</f>
      </c>
      <c r="O105" s="334">
        <f>'Consolidado-Eletronorte'!#REF!/1000</f>
      </c>
      <c r="P105" s="334">
        <f>'Consolidado-Eletronorte'!#REF!/1000</f>
      </c>
      <c r="Q105" s="334">
        <f>'Consolidado-Eletronorte'!#REF!/1000</f>
      </c>
      <c r="R105" s="334">
        <f>'Consolidado-Eletronorte'!#REF!/1000</f>
      </c>
      <c r="S105" s="334">
        <f>'Consolidado-Eletronorte'!#REF!/1000</f>
      </c>
      <c r="T105" s="334">
        <f>'Consolidado-Eletronorte'!#REF!/1000</f>
      </c>
      <c r="U105" s="334">
        <f>'Consolidado-Eletronorte'!#REF!/1000</f>
      </c>
      <c r="V105" s="334">
        <f>'Consolidado-Eletronorte'!#REF!/1000</f>
      </c>
      <c r="W105" s="334">
        <f>'Consolidado-Eletronorte'!#REF!/1000</f>
      </c>
      <c r="X105" s="334">
        <f>'Consolidado-Eletronorte'!#REF!/1000</f>
      </c>
      <c r="Y105" s="334">
        <f>'Consolidado-Eletronorte'!#REF!/1000</f>
      </c>
      <c r="Z105" s="334">
        <f>'Consolidado-Eletronorte'!#REF!/1000</f>
      </c>
    </row>
    <row x14ac:dyDescent="0.25" r="106" customHeight="1" ht="18.75">
      <c r="A106" s="1"/>
      <c r="B106" s="335" t="s">
        <v>40254</v>
      </c>
      <c r="C106" s="335" t="s">
        <v>21</v>
      </c>
      <c r="D106" s="335" t="s">
        <v>21</v>
      </c>
      <c r="E106" s="335" t="s">
        <v>39932</v>
      </c>
      <c r="F106" s="336"/>
      <c r="G106" s="335" t="s">
        <v>40255</v>
      </c>
      <c r="H106" s="335" t="s">
        <v>39998</v>
      </c>
      <c r="I106" s="334">
        <f>'Consolidado-Eletronorte'!AI128/1000</f>
      </c>
      <c r="J106" s="334">
        <f>'Consolidado-Eletronorte'!AJ128/1000</f>
      </c>
      <c r="K106" s="334">
        <f>'Consolidado-Eletronorte'!AK128/1000</f>
      </c>
      <c r="L106" s="334">
        <f>'Consolidado-Eletronorte'!AL128/1000</f>
      </c>
      <c r="M106" s="334">
        <f>'Consolidado-Eletronorte'!AM128/1000</f>
      </c>
      <c r="N106" s="334">
        <f>'Consolidado-Eletronorte'!AN128/1000</f>
      </c>
      <c r="O106" s="334">
        <f>'Consolidado-Eletronorte'!AO128/1000</f>
      </c>
      <c r="P106" s="334">
        <f>'Consolidado-Eletronorte'!AP128/1000</f>
      </c>
      <c r="Q106" s="334">
        <f>'Consolidado-Eletronorte'!AQ128/1000</f>
      </c>
      <c r="R106" s="334">
        <f>'Consolidado-Eletronorte'!AR128/1000</f>
      </c>
      <c r="S106" s="334">
        <f>'Consolidado-Eletronorte'!AS128/1000</f>
      </c>
      <c r="T106" s="334">
        <f>'Consolidado-Eletronorte'!AT128/1000</f>
      </c>
      <c r="U106" s="334">
        <f>'Consolidado-Eletronorte'!AU128/1000</f>
      </c>
      <c r="V106" s="334">
        <f>'Consolidado-Eletronorte'!AV128/1000</f>
      </c>
      <c r="W106" s="334">
        <f>'Consolidado-Eletronorte'!AW128/1000</f>
      </c>
      <c r="X106" s="334">
        <f>'Consolidado-Eletronorte'!AX128/1000</f>
      </c>
      <c r="Y106" s="334">
        <f>'Consolidado-Eletronorte'!AY128/1000</f>
      </c>
      <c r="Z106" s="334">
        <f>'Consolidado-Eletronorte'!AZ128/1000</f>
      </c>
    </row>
    <row x14ac:dyDescent="0.25" r="107" customHeight="1" ht="18.75">
      <c r="A107" s="1"/>
      <c r="B107" s="332" t="s">
        <v>40284</v>
      </c>
      <c r="C107" s="332" t="s">
        <v>21</v>
      </c>
      <c r="D107" s="332" t="s">
        <v>21</v>
      </c>
      <c r="E107" s="332" t="s">
        <v>39949</v>
      </c>
      <c r="F107" s="333"/>
      <c r="G107" s="332" t="s">
        <v>40285</v>
      </c>
      <c r="H107" s="332" t="s">
        <v>39998</v>
      </c>
      <c r="I107" s="334">
        <f>'Consolidado-Eletronorte'!AI129/1000</f>
      </c>
      <c r="J107" s="334">
        <f>'Consolidado-Eletronorte'!AJ129/1000</f>
      </c>
      <c r="K107" s="334">
        <f>'Consolidado-Eletronorte'!AK129/1000</f>
      </c>
      <c r="L107" s="334">
        <f>'Consolidado-Eletronorte'!AL129/1000</f>
      </c>
      <c r="M107" s="334">
        <f>'Consolidado-Eletronorte'!AM129/1000</f>
      </c>
      <c r="N107" s="334">
        <f>'Consolidado-Eletronorte'!AN129/1000</f>
      </c>
      <c r="O107" s="334">
        <f>'Consolidado-Eletronorte'!AO129/1000</f>
      </c>
      <c r="P107" s="334">
        <f>'Consolidado-Eletronorte'!AP129/1000</f>
      </c>
      <c r="Q107" s="334">
        <f>'Consolidado-Eletronorte'!AQ129/1000</f>
      </c>
      <c r="R107" s="334">
        <f>'Consolidado-Eletronorte'!AR129/1000</f>
      </c>
      <c r="S107" s="334">
        <f>'Consolidado-Eletronorte'!AS129/1000</f>
      </c>
      <c r="T107" s="334">
        <f>'Consolidado-Eletronorte'!AT129/1000</f>
      </c>
      <c r="U107" s="334">
        <f>'Consolidado-Eletronorte'!AU129/1000</f>
      </c>
      <c r="V107" s="334">
        <f>'Consolidado-Eletronorte'!AV129/1000</f>
      </c>
      <c r="W107" s="334">
        <f>'Consolidado-Eletronorte'!AW129/1000</f>
      </c>
      <c r="X107" s="334">
        <f>'Consolidado-Eletronorte'!AX129/1000</f>
      </c>
      <c r="Y107" s="334">
        <f>'Consolidado-Eletronorte'!AY129/1000</f>
      </c>
      <c r="Z107" s="334">
        <f>'Consolidado-Eletronorte'!AZ129/1000</f>
      </c>
    </row>
    <row x14ac:dyDescent="0.25" r="108" customHeight="1" ht="18.75">
      <c r="A108" s="1"/>
      <c r="B108" s="335" t="s">
        <v>40332</v>
      </c>
      <c r="C108" s="335" t="s">
        <v>21</v>
      </c>
      <c r="D108" s="335" t="s">
        <v>21</v>
      </c>
      <c r="E108" s="335" t="s">
        <v>39949</v>
      </c>
      <c r="F108" s="336"/>
      <c r="G108" s="335" t="s">
        <v>40333</v>
      </c>
      <c r="H108" s="335" t="s">
        <v>39998</v>
      </c>
      <c r="I108" s="334">
        <f>'Consolidado-Eletronorte'!AI130/1000</f>
      </c>
      <c r="J108" s="334">
        <f>'Consolidado-Eletronorte'!AJ130/1000</f>
      </c>
      <c r="K108" s="334">
        <f>'Consolidado-Eletronorte'!AK130/1000</f>
      </c>
      <c r="L108" s="334">
        <f>'Consolidado-Eletronorte'!AL130/1000</f>
      </c>
      <c r="M108" s="334">
        <f>'Consolidado-Eletronorte'!AM130/1000</f>
      </c>
      <c r="N108" s="334">
        <f>'Consolidado-Eletronorte'!AN130/1000</f>
      </c>
      <c r="O108" s="334">
        <f>'Consolidado-Eletronorte'!AO130/1000</f>
      </c>
      <c r="P108" s="334">
        <f>'Consolidado-Eletronorte'!AP130/1000</f>
      </c>
      <c r="Q108" s="334">
        <f>'Consolidado-Eletronorte'!AQ130/1000</f>
      </c>
      <c r="R108" s="334">
        <f>'Consolidado-Eletronorte'!AR130/1000</f>
      </c>
      <c r="S108" s="334">
        <f>'Consolidado-Eletronorte'!AS130/1000</f>
      </c>
      <c r="T108" s="334">
        <f>'Consolidado-Eletronorte'!AT130/1000</f>
      </c>
      <c r="U108" s="334">
        <f>'Consolidado-Eletronorte'!AU130/1000</f>
      </c>
      <c r="V108" s="334">
        <f>'Consolidado-Eletronorte'!AV130/1000</f>
      </c>
      <c r="W108" s="334">
        <f>'Consolidado-Eletronorte'!AW130/1000</f>
      </c>
      <c r="X108" s="334">
        <f>'Consolidado-Eletronorte'!AX130/1000</f>
      </c>
      <c r="Y108" s="334">
        <f>'Consolidado-Eletronorte'!AY130/1000</f>
      </c>
      <c r="Z108" s="334">
        <f>'Consolidado-Eletronorte'!AZ130/1000</f>
      </c>
    </row>
    <row x14ac:dyDescent="0.25" r="109" customHeight="1" ht="18.75">
      <c r="A109" s="1"/>
      <c r="B109" s="332" t="s">
        <v>40257</v>
      </c>
      <c r="C109" s="332" t="s">
        <v>21</v>
      </c>
      <c r="D109" s="332" t="s">
        <v>21</v>
      </c>
      <c r="E109" s="332" t="s">
        <v>39949</v>
      </c>
      <c r="F109" s="333"/>
      <c r="G109" s="332" t="s">
        <v>40258</v>
      </c>
      <c r="H109" s="332" t="s">
        <v>39945</v>
      </c>
      <c r="I109" s="334">
        <f>'Consolidado-Eletronorte'!AI131/1000</f>
      </c>
      <c r="J109" s="334">
        <f>'Consolidado-Eletronorte'!AJ131/1000</f>
      </c>
      <c r="K109" s="334">
        <f>'Consolidado-Eletronorte'!AK131/1000</f>
      </c>
      <c r="L109" s="334">
        <f>'Consolidado-Eletronorte'!AL131/1000</f>
      </c>
      <c r="M109" s="334">
        <f>'Consolidado-Eletronorte'!AM131/1000</f>
      </c>
      <c r="N109" s="334">
        <f>'Consolidado-Eletronorte'!AN131/1000</f>
      </c>
      <c r="O109" s="334">
        <f>'Consolidado-Eletronorte'!AO131/1000</f>
      </c>
      <c r="P109" s="334">
        <f>'Consolidado-Eletronorte'!AP131/1000</f>
      </c>
      <c r="Q109" s="334">
        <f>'Consolidado-Eletronorte'!AQ131/1000</f>
      </c>
      <c r="R109" s="334">
        <f>'Consolidado-Eletronorte'!AR131/1000</f>
      </c>
      <c r="S109" s="334">
        <f>'Consolidado-Eletronorte'!AS131/1000</f>
      </c>
      <c r="T109" s="334">
        <f>'Consolidado-Eletronorte'!AT131/1000</f>
      </c>
      <c r="U109" s="334">
        <f>'Consolidado-Eletronorte'!AU131/1000</f>
      </c>
      <c r="V109" s="334">
        <f>'Consolidado-Eletronorte'!AV131/1000</f>
      </c>
      <c r="W109" s="334">
        <f>'Consolidado-Eletronorte'!AW131/1000</f>
      </c>
      <c r="X109" s="334">
        <f>'Consolidado-Eletronorte'!AX131/1000</f>
      </c>
      <c r="Y109" s="334">
        <f>'Consolidado-Eletronorte'!AY131/1000</f>
      </c>
      <c r="Z109" s="334">
        <f>'Consolidado-Eletronorte'!AZ131/1000</f>
      </c>
    </row>
    <row x14ac:dyDescent="0.25" r="110" customHeight="1" ht="18.75">
      <c r="A110" s="1"/>
      <c r="B110" s="335" t="s">
        <v>40260</v>
      </c>
      <c r="C110" s="335" t="s">
        <v>21</v>
      </c>
      <c r="D110" s="335" t="s">
        <v>21</v>
      </c>
      <c r="E110" s="335" t="s">
        <v>39949</v>
      </c>
      <c r="F110" s="336"/>
      <c r="G110" s="335" t="s">
        <v>40261</v>
      </c>
      <c r="H110" s="335" t="s">
        <v>39945</v>
      </c>
      <c r="I110" s="334">
        <f>'Consolidado-Eletronorte'!AI132/1000</f>
      </c>
      <c r="J110" s="334">
        <f>'Consolidado-Eletronorte'!AJ132/1000</f>
      </c>
      <c r="K110" s="334">
        <f>'Consolidado-Eletronorte'!AK132/1000</f>
      </c>
      <c r="L110" s="334">
        <f>'Consolidado-Eletronorte'!AL132/1000</f>
      </c>
      <c r="M110" s="334">
        <f>'Consolidado-Eletronorte'!AM132/1000</f>
      </c>
      <c r="N110" s="334">
        <f>'Consolidado-Eletronorte'!AN132/1000</f>
      </c>
      <c r="O110" s="334">
        <f>'Consolidado-Eletronorte'!AO132/1000</f>
      </c>
      <c r="P110" s="334">
        <f>'Consolidado-Eletronorte'!AP132/1000</f>
      </c>
      <c r="Q110" s="334">
        <f>'Consolidado-Eletronorte'!AQ132/1000</f>
      </c>
      <c r="R110" s="334">
        <f>'Consolidado-Eletronorte'!AR132/1000</f>
      </c>
      <c r="S110" s="334">
        <f>'Consolidado-Eletronorte'!AS132/1000</f>
      </c>
      <c r="T110" s="334">
        <f>'Consolidado-Eletronorte'!AT132/1000</f>
      </c>
      <c r="U110" s="334">
        <f>'Consolidado-Eletronorte'!AU132/1000</f>
      </c>
      <c r="V110" s="334">
        <f>'Consolidado-Eletronorte'!AV132/1000</f>
      </c>
      <c r="W110" s="334">
        <f>'Consolidado-Eletronorte'!AW132/1000</f>
      </c>
      <c r="X110" s="334">
        <f>'Consolidado-Eletronorte'!AX132/1000</f>
      </c>
      <c r="Y110" s="334">
        <f>'Consolidado-Eletronorte'!AY132/1000</f>
      </c>
      <c r="Z110" s="334">
        <f>'Consolidado-Eletronorte'!AZ132/1000</f>
      </c>
    </row>
    <row x14ac:dyDescent="0.25" r="111" customHeight="1" ht="18.75">
      <c r="A111" s="1"/>
      <c r="B111" s="332" t="s">
        <v>40263</v>
      </c>
      <c r="C111" s="332" t="s">
        <v>21</v>
      </c>
      <c r="D111" s="332" t="s">
        <v>21</v>
      </c>
      <c r="E111" s="332" t="s">
        <v>39949</v>
      </c>
      <c r="F111" s="333"/>
      <c r="G111" s="332" t="s">
        <v>40264</v>
      </c>
      <c r="H111" s="332" t="s">
        <v>39945</v>
      </c>
      <c r="I111" s="334">
        <f>'Consolidado-Eletronorte'!AI133/1000</f>
      </c>
      <c r="J111" s="334">
        <f>'Consolidado-Eletronorte'!AJ133/1000</f>
      </c>
      <c r="K111" s="334">
        <f>'Consolidado-Eletronorte'!AK133/1000</f>
      </c>
      <c r="L111" s="334">
        <f>'Consolidado-Eletronorte'!AL133/1000</f>
      </c>
      <c r="M111" s="334">
        <f>'Consolidado-Eletronorte'!AM133/1000</f>
      </c>
      <c r="N111" s="334">
        <f>'Consolidado-Eletronorte'!AN133/1000</f>
      </c>
      <c r="O111" s="334">
        <f>'Consolidado-Eletronorte'!AO133/1000</f>
      </c>
      <c r="P111" s="334">
        <f>'Consolidado-Eletronorte'!AP133/1000</f>
      </c>
      <c r="Q111" s="334">
        <f>'Consolidado-Eletronorte'!AQ133/1000</f>
      </c>
      <c r="R111" s="334">
        <f>'Consolidado-Eletronorte'!AR133/1000</f>
      </c>
      <c r="S111" s="334">
        <f>'Consolidado-Eletronorte'!AS133/1000</f>
      </c>
      <c r="T111" s="334">
        <f>'Consolidado-Eletronorte'!AT133/1000</f>
      </c>
      <c r="U111" s="334">
        <f>'Consolidado-Eletronorte'!AU133/1000</f>
      </c>
      <c r="V111" s="334">
        <f>'Consolidado-Eletronorte'!AV133/1000</f>
      </c>
      <c r="W111" s="334">
        <f>'Consolidado-Eletronorte'!AW133/1000</f>
      </c>
      <c r="X111" s="334">
        <f>'Consolidado-Eletronorte'!AX133/1000</f>
      </c>
      <c r="Y111" s="334">
        <f>'Consolidado-Eletronorte'!AY133/1000</f>
      </c>
      <c r="Z111" s="334">
        <f>'Consolidado-Eletronorte'!AZ133/1000</f>
      </c>
    </row>
    <row x14ac:dyDescent="0.25" r="112" customHeight="1" ht="18.75">
      <c r="A112" s="1"/>
      <c r="B112" s="335" t="s">
        <v>40266</v>
      </c>
      <c r="C112" s="335" t="s">
        <v>21</v>
      </c>
      <c r="D112" s="335" t="s">
        <v>21</v>
      </c>
      <c r="E112" s="335" t="s">
        <v>39949</v>
      </c>
      <c r="F112" s="336"/>
      <c r="G112" s="335" t="s">
        <v>40267</v>
      </c>
      <c r="H112" s="335" t="s">
        <v>39945</v>
      </c>
      <c r="I112" s="334">
        <f>'Consolidado-Eletronorte'!AI134/1000</f>
      </c>
      <c r="J112" s="334">
        <f>'Consolidado-Eletronorte'!AJ134/1000</f>
      </c>
      <c r="K112" s="334">
        <f>'Consolidado-Eletronorte'!AK134/1000</f>
      </c>
      <c r="L112" s="334">
        <f>'Consolidado-Eletronorte'!AL134/1000</f>
      </c>
      <c r="M112" s="334">
        <f>'Consolidado-Eletronorte'!AM134/1000</f>
      </c>
      <c r="N112" s="334">
        <f>'Consolidado-Eletronorte'!AN134/1000</f>
      </c>
      <c r="O112" s="334">
        <f>'Consolidado-Eletronorte'!AO134/1000</f>
      </c>
      <c r="P112" s="334">
        <f>'Consolidado-Eletronorte'!AP134/1000</f>
      </c>
      <c r="Q112" s="334">
        <f>'Consolidado-Eletronorte'!AQ134/1000</f>
      </c>
      <c r="R112" s="334">
        <f>'Consolidado-Eletronorte'!AR134/1000</f>
      </c>
      <c r="S112" s="334">
        <f>'Consolidado-Eletronorte'!AS134/1000</f>
      </c>
      <c r="T112" s="334">
        <f>'Consolidado-Eletronorte'!AT134/1000</f>
      </c>
      <c r="U112" s="334">
        <f>'Consolidado-Eletronorte'!AU134/1000</f>
      </c>
      <c r="V112" s="334">
        <f>'Consolidado-Eletronorte'!AV134/1000</f>
      </c>
      <c r="W112" s="334">
        <f>'Consolidado-Eletronorte'!AW134/1000</f>
      </c>
      <c r="X112" s="334">
        <f>'Consolidado-Eletronorte'!AX134/1000</f>
      </c>
      <c r="Y112" s="334">
        <f>'Consolidado-Eletronorte'!AY134/1000</f>
      </c>
      <c r="Z112" s="334">
        <f>'Consolidado-Eletronorte'!AZ134/1000</f>
      </c>
    </row>
    <row x14ac:dyDescent="0.25" r="113" customHeight="1" ht="18.75">
      <c r="A113" s="1"/>
      <c r="B113" s="332" t="s">
        <v>40269</v>
      </c>
      <c r="C113" s="332" t="s">
        <v>21</v>
      </c>
      <c r="D113" s="332" t="s">
        <v>21</v>
      </c>
      <c r="E113" s="332" t="s">
        <v>39949</v>
      </c>
      <c r="F113" s="333"/>
      <c r="G113" s="332" t="s">
        <v>40270</v>
      </c>
      <c r="H113" s="332" t="s">
        <v>39945</v>
      </c>
      <c r="I113" s="334">
        <f>'Consolidado-Eletronorte'!AI135/1000</f>
      </c>
      <c r="J113" s="334">
        <f>'Consolidado-Eletronorte'!AJ135/1000</f>
      </c>
      <c r="K113" s="334">
        <f>'Consolidado-Eletronorte'!AK135/1000</f>
      </c>
      <c r="L113" s="334">
        <f>'Consolidado-Eletronorte'!AL135/1000</f>
      </c>
      <c r="M113" s="334">
        <f>'Consolidado-Eletronorte'!AM135/1000</f>
      </c>
      <c r="N113" s="334">
        <f>'Consolidado-Eletronorte'!AN135/1000</f>
      </c>
      <c r="O113" s="334">
        <f>'Consolidado-Eletronorte'!AO135/1000</f>
      </c>
      <c r="P113" s="334">
        <f>'Consolidado-Eletronorte'!AP135/1000</f>
      </c>
      <c r="Q113" s="334">
        <f>'Consolidado-Eletronorte'!AQ135/1000</f>
      </c>
      <c r="R113" s="334">
        <f>'Consolidado-Eletronorte'!AR135/1000</f>
      </c>
      <c r="S113" s="334">
        <f>'Consolidado-Eletronorte'!AS135/1000</f>
      </c>
      <c r="T113" s="334">
        <f>'Consolidado-Eletronorte'!AT135/1000</f>
      </c>
      <c r="U113" s="334">
        <f>'Consolidado-Eletronorte'!AU135/1000</f>
      </c>
      <c r="V113" s="334">
        <f>'Consolidado-Eletronorte'!AV135/1000</f>
      </c>
      <c r="W113" s="334">
        <f>'Consolidado-Eletronorte'!AW135/1000</f>
      </c>
      <c r="X113" s="334">
        <f>'Consolidado-Eletronorte'!AX135/1000</f>
      </c>
      <c r="Y113" s="334">
        <f>'Consolidado-Eletronorte'!AY135/1000</f>
      </c>
      <c r="Z113" s="334">
        <f>'Consolidado-Eletronorte'!AZ135/1000</f>
      </c>
    </row>
    <row x14ac:dyDescent="0.25" r="114" customHeight="1" ht="18.75">
      <c r="A114" s="1"/>
      <c r="B114" s="335" t="s">
        <v>40272</v>
      </c>
      <c r="C114" s="335" t="s">
        <v>21</v>
      </c>
      <c r="D114" s="335" t="s">
        <v>21</v>
      </c>
      <c r="E114" s="335" t="s">
        <v>39949</v>
      </c>
      <c r="F114" s="336"/>
      <c r="G114" s="335" t="s">
        <v>40273</v>
      </c>
      <c r="H114" s="335" t="s">
        <v>39945</v>
      </c>
      <c r="I114" s="334">
        <f>'Consolidado-Eletronorte'!AI136/1000</f>
      </c>
      <c r="J114" s="334">
        <f>'Consolidado-Eletronorte'!AJ136/1000</f>
      </c>
      <c r="K114" s="334">
        <f>'Consolidado-Eletronorte'!AK136/1000</f>
      </c>
      <c r="L114" s="334">
        <f>'Consolidado-Eletronorte'!AL136/1000</f>
      </c>
      <c r="M114" s="334">
        <f>'Consolidado-Eletronorte'!AM136/1000</f>
      </c>
      <c r="N114" s="334">
        <f>'Consolidado-Eletronorte'!AN136/1000</f>
      </c>
      <c r="O114" s="334">
        <f>'Consolidado-Eletronorte'!AO136/1000</f>
      </c>
      <c r="P114" s="334">
        <f>'Consolidado-Eletronorte'!AP136/1000</f>
      </c>
      <c r="Q114" s="334">
        <f>'Consolidado-Eletronorte'!AQ136/1000</f>
      </c>
      <c r="R114" s="334">
        <f>'Consolidado-Eletronorte'!AR136/1000</f>
      </c>
      <c r="S114" s="334">
        <f>'Consolidado-Eletronorte'!AS136/1000</f>
      </c>
      <c r="T114" s="334">
        <f>'Consolidado-Eletronorte'!AT136/1000</f>
      </c>
      <c r="U114" s="334">
        <f>'Consolidado-Eletronorte'!AU136/1000</f>
      </c>
      <c r="V114" s="334">
        <f>'Consolidado-Eletronorte'!AV136/1000</f>
      </c>
      <c r="W114" s="334">
        <f>'Consolidado-Eletronorte'!AW136/1000</f>
      </c>
      <c r="X114" s="334">
        <f>'Consolidado-Eletronorte'!AX136/1000</f>
      </c>
      <c r="Y114" s="334">
        <f>'Consolidado-Eletronorte'!AY136/1000</f>
      </c>
      <c r="Z114" s="334">
        <f>'Consolidado-Eletronorte'!AZ136/1000</f>
      </c>
    </row>
    <row x14ac:dyDescent="0.25" r="115" customHeight="1" ht="18.75">
      <c r="A115" s="1"/>
      <c r="B115" s="332" t="s">
        <v>40275</v>
      </c>
      <c r="C115" s="332" t="s">
        <v>21</v>
      </c>
      <c r="D115" s="332" t="s">
        <v>21</v>
      </c>
      <c r="E115" s="332" t="s">
        <v>39949</v>
      </c>
      <c r="F115" s="333"/>
      <c r="G115" s="332" t="s">
        <v>40276</v>
      </c>
      <c r="H115" s="332" t="s">
        <v>39945</v>
      </c>
      <c r="I115" s="334">
        <f>'Consolidado-Eletronorte'!AI137/1000</f>
      </c>
      <c r="J115" s="334">
        <f>'Consolidado-Eletronorte'!AJ137/1000</f>
      </c>
      <c r="K115" s="334">
        <f>'Consolidado-Eletronorte'!AK137/1000</f>
      </c>
      <c r="L115" s="334">
        <f>'Consolidado-Eletronorte'!AL137/1000</f>
      </c>
      <c r="M115" s="334">
        <f>'Consolidado-Eletronorte'!AM137/1000</f>
      </c>
      <c r="N115" s="334">
        <f>'Consolidado-Eletronorte'!AN137/1000</f>
      </c>
      <c r="O115" s="334">
        <f>'Consolidado-Eletronorte'!AO137/1000</f>
      </c>
      <c r="P115" s="334">
        <f>'Consolidado-Eletronorte'!AP137/1000</f>
      </c>
      <c r="Q115" s="334">
        <f>'Consolidado-Eletronorte'!AQ137/1000</f>
      </c>
      <c r="R115" s="334">
        <f>'Consolidado-Eletronorte'!AR137/1000</f>
      </c>
      <c r="S115" s="334">
        <f>'Consolidado-Eletronorte'!AS137/1000</f>
      </c>
      <c r="T115" s="334">
        <f>'Consolidado-Eletronorte'!AT137/1000</f>
      </c>
      <c r="U115" s="334">
        <f>'Consolidado-Eletronorte'!AU137/1000</f>
      </c>
      <c r="V115" s="334">
        <f>'Consolidado-Eletronorte'!AV137/1000</f>
      </c>
      <c r="W115" s="334">
        <f>'Consolidado-Eletronorte'!AW137/1000</f>
      </c>
      <c r="X115" s="334">
        <f>'Consolidado-Eletronorte'!AX137/1000</f>
      </c>
      <c r="Y115" s="334">
        <f>'Consolidado-Eletronorte'!AY137/1000</f>
      </c>
      <c r="Z115" s="334">
        <f>'Consolidado-Eletronorte'!AZ137/1000</f>
      </c>
    </row>
    <row x14ac:dyDescent="0.25" r="116" customHeight="1" ht="18.75">
      <c r="A116" s="1"/>
      <c r="B116" s="335" t="s">
        <v>40278</v>
      </c>
      <c r="C116" s="335" t="s">
        <v>21</v>
      </c>
      <c r="D116" s="335" t="s">
        <v>21</v>
      </c>
      <c r="E116" s="335" t="s">
        <v>39949</v>
      </c>
      <c r="F116" s="336"/>
      <c r="G116" s="335" t="s">
        <v>40279</v>
      </c>
      <c r="H116" s="335" t="s">
        <v>39945</v>
      </c>
      <c r="I116" s="334">
        <f>'Consolidado-Eletronorte'!AI138/1000</f>
      </c>
      <c r="J116" s="334">
        <f>'Consolidado-Eletronorte'!AJ138/1000</f>
      </c>
      <c r="K116" s="334">
        <f>'Consolidado-Eletronorte'!AK138/1000</f>
      </c>
      <c r="L116" s="334">
        <f>'Consolidado-Eletronorte'!AL138/1000</f>
      </c>
      <c r="M116" s="334">
        <f>'Consolidado-Eletronorte'!AM138/1000</f>
      </c>
      <c r="N116" s="334">
        <f>'Consolidado-Eletronorte'!AN138/1000</f>
      </c>
      <c r="O116" s="334">
        <f>'Consolidado-Eletronorte'!AO138/1000</f>
      </c>
      <c r="P116" s="334">
        <f>'Consolidado-Eletronorte'!AP138/1000</f>
      </c>
      <c r="Q116" s="334">
        <f>'Consolidado-Eletronorte'!AQ138/1000</f>
      </c>
      <c r="R116" s="334">
        <f>'Consolidado-Eletronorte'!AR138/1000</f>
      </c>
      <c r="S116" s="334">
        <f>'Consolidado-Eletronorte'!AS138/1000</f>
      </c>
      <c r="T116" s="334">
        <f>'Consolidado-Eletronorte'!AT138/1000</f>
      </c>
      <c r="U116" s="334">
        <f>'Consolidado-Eletronorte'!AU138/1000</f>
      </c>
      <c r="V116" s="334">
        <f>'Consolidado-Eletronorte'!AV138/1000</f>
      </c>
      <c r="W116" s="334">
        <f>'Consolidado-Eletronorte'!AW138/1000</f>
      </c>
      <c r="X116" s="334">
        <f>'Consolidado-Eletronorte'!AX138/1000</f>
      </c>
      <c r="Y116" s="334">
        <f>'Consolidado-Eletronorte'!AY138/1000</f>
      </c>
      <c r="Z116" s="334">
        <f>'Consolidado-Eletronorte'!AZ138/1000</f>
      </c>
    </row>
    <row x14ac:dyDescent="0.25" r="117" customHeight="1" ht="18.75">
      <c r="A117" s="1"/>
      <c r="B117" s="332" t="s">
        <v>40281</v>
      </c>
      <c r="C117" s="332" t="s">
        <v>21</v>
      </c>
      <c r="D117" s="332" t="s">
        <v>21</v>
      </c>
      <c r="E117" s="332" t="s">
        <v>39949</v>
      </c>
      <c r="F117" s="333"/>
      <c r="G117" s="332" t="s">
        <v>40282</v>
      </c>
      <c r="H117" s="332" t="s">
        <v>39945</v>
      </c>
      <c r="I117" s="334">
        <f>'Consolidado-Eletronorte'!AI139/1000</f>
      </c>
      <c r="J117" s="334">
        <f>'Consolidado-Eletronorte'!AJ139/1000</f>
      </c>
      <c r="K117" s="334">
        <f>'Consolidado-Eletronorte'!AK139/1000</f>
      </c>
      <c r="L117" s="334">
        <f>'Consolidado-Eletronorte'!AL139/1000</f>
      </c>
      <c r="M117" s="334">
        <f>'Consolidado-Eletronorte'!AM139/1000</f>
      </c>
      <c r="N117" s="334">
        <f>'Consolidado-Eletronorte'!AN139/1000</f>
      </c>
      <c r="O117" s="334">
        <f>'Consolidado-Eletronorte'!AO139/1000</f>
      </c>
      <c r="P117" s="334">
        <f>'Consolidado-Eletronorte'!AP139/1000</f>
      </c>
      <c r="Q117" s="334">
        <f>'Consolidado-Eletronorte'!AQ139/1000</f>
      </c>
      <c r="R117" s="334">
        <f>'Consolidado-Eletronorte'!AR139/1000</f>
      </c>
      <c r="S117" s="334">
        <f>'Consolidado-Eletronorte'!AS139/1000</f>
      </c>
      <c r="T117" s="334">
        <f>'Consolidado-Eletronorte'!AT139/1000</f>
      </c>
      <c r="U117" s="334">
        <f>'Consolidado-Eletronorte'!AU139/1000</f>
      </c>
      <c r="V117" s="334">
        <f>'Consolidado-Eletronorte'!AV139/1000</f>
      </c>
      <c r="W117" s="334">
        <f>'Consolidado-Eletronorte'!AW139/1000</f>
      </c>
      <c r="X117" s="334">
        <f>'Consolidado-Eletronorte'!AX139/1000</f>
      </c>
      <c r="Y117" s="334">
        <f>'Consolidado-Eletronorte'!AY139/1000</f>
      </c>
      <c r="Z117" s="334">
        <f>'Consolidado-Eletronorte'!AZ139/1000</f>
      </c>
    </row>
    <row x14ac:dyDescent="0.25" r="118" customHeight="1" ht="18.75">
      <c r="A118" s="1"/>
      <c r="B118" s="335" t="s">
        <v>40287</v>
      </c>
      <c r="C118" s="335" t="s">
        <v>21</v>
      </c>
      <c r="D118" s="335" t="s">
        <v>21</v>
      </c>
      <c r="E118" s="335" t="s">
        <v>39949</v>
      </c>
      <c r="F118" s="336"/>
      <c r="G118" s="335" t="s">
        <v>40288</v>
      </c>
      <c r="H118" s="335" t="s">
        <v>39945</v>
      </c>
      <c r="I118" s="334">
        <f>'Consolidado-Eletronorte'!AI140/1000</f>
      </c>
      <c r="J118" s="334">
        <f>'Consolidado-Eletronorte'!AJ140/1000</f>
      </c>
      <c r="K118" s="334">
        <f>'Consolidado-Eletronorte'!AK140/1000</f>
      </c>
      <c r="L118" s="334">
        <f>'Consolidado-Eletronorte'!AL140/1000</f>
      </c>
      <c r="M118" s="334">
        <f>'Consolidado-Eletronorte'!AM140/1000</f>
      </c>
      <c r="N118" s="334">
        <f>'Consolidado-Eletronorte'!AN140/1000</f>
      </c>
      <c r="O118" s="334">
        <f>'Consolidado-Eletronorte'!AO140/1000</f>
      </c>
      <c r="P118" s="334">
        <f>'Consolidado-Eletronorte'!AP140/1000</f>
      </c>
      <c r="Q118" s="334">
        <f>'Consolidado-Eletronorte'!AQ140/1000</f>
      </c>
      <c r="R118" s="334">
        <f>'Consolidado-Eletronorte'!AR140/1000</f>
      </c>
      <c r="S118" s="334">
        <f>'Consolidado-Eletronorte'!AS140/1000</f>
      </c>
      <c r="T118" s="334">
        <f>'Consolidado-Eletronorte'!AT140/1000</f>
      </c>
      <c r="U118" s="334">
        <f>'Consolidado-Eletronorte'!AU140/1000</f>
      </c>
      <c r="V118" s="334">
        <f>'Consolidado-Eletronorte'!AV140/1000</f>
      </c>
      <c r="W118" s="334">
        <f>'Consolidado-Eletronorte'!AW140/1000</f>
      </c>
      <c r="X118" s="334">
        <f>'Consolidado-Eletronorte'!AX140/1000</f>
      </c>
      <c r="Y118" s="334">
        <f>'Consolidado-Eletronorte'!AY140/1000</f>
      </c>
      <c r="Z118" s="334">
        <f>'Consolidado-Eletronorte'!AZ140/1000</f>
      </c>
    </row>
    <row x14ac:dyDescent="0.25" r="119" customHeight="1" ht="18.75">
      <c r="A119" s="1"/>
      <c r="B119" s="332" t="s">
        <v>40250</v>
      </c>
      <c r="C119" s="332" t="s">
        <v>21</v>
      </c>
      <c r="D119" s="332" t="s">
        <v>21</v>
      </c>
      <c r="E119" s="332" t="s">
        <v>39949</v>
      </c>
      <c r="F119" s="333"/>
      <c r="G119" s="332" t="s">
        <v>40251</v>
      </c>
      <c r="H119" s="332" t="s">
        <v>39945</v>
      </c>
      <c r="I119" s="334">
        <f>'Consolidado-Eletronorte'!AI141/1000</f>
      </c>
      <c r="J119" s="334">
        <f>'Consolidado-Eletronorte'!AJ141/1000</f>
      </c>
      <c r="K119" s="334">
        <f>'Consolidado-Eletronorte'!AK141/1000</f>
      </c>
      <c r="L119" s="334">
        <f>'Consolidado-Eletronorte'!AL141/1000</f>
      </c>
      <c r="M119" s="334">
        <f>'Consolidado-Eletronorte'!AM141/1000</f>
      </c>
      <c r="N119" s="334">
        <f>'Consolidado-Eletronorte'!AN141/1000</f>
      </c>
      <c r="O119" s="334">
        <f>'Consolidado-Eletronorte'!AO141/1000</f>
      </c>
      <c r="P119" s="334">
        <f>'Consolidado-Eletronorte'!AP141/1000</f>
      </c>
      <c r="Q119" s="334">
        <f>'Consolidado-Eletronorte'!AQ141/1000</f>
      </c>
      <c r="R119" s="334">
        <f>'Consolidado-Eletronorte'!AR141/1000</f>
      </c>
      <c r="S119" s="334">
        <f>'Consolidado-Eletronorte'!AS141/1000</f>
      </c>
      <c r="T119" s="334">
        <f>'Consolidado-Eletronorte'!AT141/1000</f>
      </c>
      <c r="U119" s="334">
        <f>'Consolidado-Eletronorte'!AU141/1000</f>
      </c>
      <c r="V119" s="334">
        <f>'Consolidado-Eletronorte'!AV141/1000</f>
      </c>
      <c r="W119" s="334">
        <f>'Consolidado-Eletronorte'!AW141/1000</f>
      </c>
      <c r="X119" s="334">
        <f>'Consolidado-Eletronorte'!AX141/1000</f>
      </c>
      <c r="Y119" s="334">
        <f>'Consolidado-Eletronorte'!AY141/1000</f>
      </c>
      <c r="Z119" s="334">
        <f>'Consolidado-Eletronorte'!AZ141/1000</f>
      </c>
    </row>
    <row x14ac:dyDescent="0.25" r="120" customHeight="1" ht="18.75">
      <c r="A120" s="1"/>
      <c r="B120" s="335" t="s">
        <v>40290</v>
      </c>
      <c r="C120" s="335" t="s">
        <v>21</v>
      </c>
      <c r="D120" s="335" t="s">
        <v>21</v>
      </c>
      <c r="E120" s="335" t="s">
        <v>39949</v>
      </c>
      <c r="F120" s="336"/>
      <c r="G120" s="335" t="s">
        <v>40291</v>
      </c>
      <c r="H120" s="335" t="s">
        <v>39945</v>
      </c>
      <c r="I120" s="334">
        <f>'Consolidado-Eletronorte'!AI142/1000</f>
      </c>
      <c r="J120" s="334">
        <f>'Consolidado-Eletronorte'!AJ142/1000</f>
      </c>
      <c r="K120" s="334">
        <f>'Consolidado-Eletronorte'!AK142/1000</f>
      </c>
      <c r="L120" s="334">
        <f>'Consolidado-Eletronorte'!AL142/1000</f>
      </c>
      <c r="M120" s="334">
        <f>'Consolidado-Eletronorte'!AM142/1000</f>
      </c>
      <c r="N120" s="334">
        <f>'Consolidado-Eletronorte'!AN142/1000</f>
      </c>
      <c r="O120" s="334">
        <f>'Consolidado-Eletronorte'!AO142/1000</f>
      </c>
      <c r="P120" s="334">
        <f>'Consolidado-Eletronorte'!AP142/1000</f>
      </c>
      <c r="Q120" s="334">
        <f>'Consolidado-Eletronorte'!AQ142/1000</f>
      </c>
      <c r="R120" s="334">
        <f>'Consolidado-Eletronorte'!AR142/1000</f>
      </c>
      <c r="S120" s="334">
        <f>'Consolidado-Eletronorte'!AS142/1000</f>
      </c>
      <c r="T120" s="334">
        <f>'Consolidado-Eletronorte'!AT142/1000</f>
      </c>
      <c r="U120" s="334">
        <f>'Consolidado-Eletronorte'!AU142/1000</f>
      </c>
      <c r="V120" s="334">
        <f>'Consolidado-Eletronorte'!AV142/1000</f>
      </c>
      <c r="W120" s="334">
        <f>'Consolidado-Eletronorte'!AW142/1000</f>
      </c>
      <c r="X120" s="334">
        <f>'Consolidado-Eletronorte'!AX142/1000</f>
      </c>
      <c r="Y120" s="334">
        <f>'Consolidado-Eletronorte'!AY142/1000</f>
      </c>
      <c r="Z120" s="334">
        <f>'Consolidado-Eletronorte'!AZ142/1000</f>
      </c>
    </row>
    <row x14ac:dyDescent="0.25" r="121" customHeight="1" ht="18.75">
      <c r="A121" s="1"/>
      <c r="B121" s="332" t="s">
        <v>40293</v>
      </c>
      <c r="C121" s="332" t="s">
        <v>21</v>
      </c>
      <c r="D121" s="332" t="s">
        <v>21</v>
      </c>
      <c r="E121" s="332" t="s">
        <v>39949</v>
      </c>
      <c r="F121" s="333"/>
      <c r="G121" s="332" t="s">
        <v>40294</v>
      </c>
      <c r="H121" s="332" t="s">
        <v>39945</v>
      </c>
      <c r="I121" s="334">
        <f>'Consolidado-Eletronorte'!AI143/1000</f>
      </c>
      <c r="J121" s="334">
        <f>'Consolidado-Eletronorte'!AJ143/1000</f>
      </c>
      <c r="K121" s="334">
        <f>'Consolidado-Eletronorte'!AK143/1000</f>
      </c>
      <c r="L121" s="334">
        <f>'Consolidado-Eletronorte'!AL143/1000</f>
      </c>
      <c r="M121" s="334">
        <f>'Consolidado-Eletronorte'!AM143/1000</f>
      </c>
      <c r="N121" s="334">
        <f>'Consolidado-Eletronorte'!AN143/1000</f>
      </c>
      <c r="O121" s="334">
        <f>'Consolidado-Eletronorte'!AO143/1000</f>
      </c>
      <c r="P121" s="334">
        <f>'Consolidado-Eletronorte'!AP143/1000</f>
      </c>
      <c r="Q121" s="334">
        <f>'Consolidado-Eletronorte'!AQ143/1000</f>
      </c>
      <c r="R121" s="334">
        <f>'Consolidado-Eletronorte'!AR143/1000</f>
      </c>
      <c r="S121" s="334">
        <f>'Consolidado-Eletronorte'!AS143/1000</f>
      </c>
      <c r="T121" s="334">
        <f>'Consolidado-Eletronorte'!AT143/1000</f>
      </c>
      <c r="U121" s="334">
        <f>'Consolidado-Eletronorte'!AU143/1000</f>
      </c>
      <c r="V121" s="334">
        <f>'Consolidado-Eletronorte'!AV143/1000</f>
      </c>
      <c r="W121" s="334">
        <f>'Consolidado-Eletronorte'!AW143/1000</f>
      </c>
      <c r="X121" s="334">
        <f>'Consolidado-Eletronorte'!AX143/1000</f>
      </c>
      <c r="Y121" s="334">
        <f>'Consolidado-Eletronorte'!AY143/1000</f>
      </c>
      <c r="Z121" s="334">
        <f>'Consolidado-Eletronorte'!AZ143/1000</f>
      </c>
    </row>
    <row x14ac:dyDescent="0.25" r="122" customHeight="1" ht="18.75">
      <c r="A122" s="1"/>
      <c r="B122" s="335" t="s">
        <v>40021</v>
      </c>
      <c r="C122" s="335" t="s">
        <v>21</v>
      </c>
      <c r="D122" s="335" t="s">
        <v>21</v>
      </c>
      <c r="E122" s="335" t="s">
        <v>39932</v>
      </c>
      <c r="F122" s="336"/>
      <c r="G122" s="335" t="s">
        <v>40022</v>
      </c>
      <c r="H122" s="335" t="s">
        <v>39912</v>
      </c>
      <c r="I122" s="334">
        <f>'Consolidado-Eletronorte'!AI144/1000</f>
      </c>
      <c r="J122" s="334">
        <f>'Consolidado-Eletronorte'!AJ144/1000</f>
      </c>
      <c r="K122" s="334">
        <f>'Consolidado-Eletronorte'!AK144/1000</f>
      </c>
      <c r="L122" s="334">
        <f>'Consolidado-Eletronorte'!AL144/1000</f>
      </c>
      <c r="M122" s="334">
        <f>'Consolidado-Eletronorte'!AM144/1000</f>
      </c>
      <c r="N122" s="334">
        <f>'Consolidado-Eletronorte'!AN144/1000</f>
      </c>
      <c r="O122" s="334">
        <f>'Consolidado-Eletronorte'!AO144/1000</f>
      </c>
      <c r="P122" s="334">
        <f>'Consolidado-Eletronorte'!AP144/1000</f>
      </c>
      <c r="Q122" s="334">
        <f>'Consolidado-Eletronorte'!AQ144/1000</f>
      </c>
      <c r="R122" s="334">
        <f>'Consolidado-Eletronorte'!AR144/1000</f>
      </c>
      <c r="S122" s="334">
        <f>'Consolidado-Eletronorte'!AS144/1000</f>
      </c>
      <c r="T122" s="334">
        <f>'Consolidado-Eletronorte'!AT144/1000</f>
      </c>
      <c r="U122" s="334">
        <f>'Consolidado-Eletronorte'!AU144/1000</f>
      </c>
      <c r="V122" s="334">
        <f>'Consolidado-Eletronorte'!AV144/1000</f>
      </c>
      <c r="W122" s="334">
        <f>'Consolidado-Eletronorte'!AW144/1000</f>
      </c>
      <c r="X122" s="334">
        <f>'Consolidado-Eletronorte'!AX144/1000</f>
      </c>
      <c r="Y122" s="334">
        <f>'Consolidado-Eletronorte'!AY144/1000</f>
      </c>
      <c r="Z122" s="334">
        <f>'Consolidado-Eletronorte'!AZ144/1000</f>
      </c>
    </row>
    <row x14ac:dyDescent="0.25" r="123" customHeight="1" ht="18.75">
      <c r="A123" s="1"/>
      <c r="B123" s="332" t="s">
        <v>40048</v>
      </c>
      <c r="C123" s="332" t="s">
        <v>21</v>
      </c>
      <c r="D123" s="332" t="s">
        <v>21</v>
      </c>
      <c r="E123" s="332" t="s">
        <v>39949</v>
      </c>
      <c r="F123" s="333"/>
      <c r="G123" s="332" t="s">
        <v>40049</v>
      </c>
      <c r="H123" s="332" t="s">
        <v>39912</v>
      </c>
      <c r="I123" s="334">
        <f>'Consolidado-Eletronorte'!AI145/1000</f>
      </c>
      <c r="J123" s="334">
        <f>'Consolidado-Eletronorte'!AJ145/1000</f>
      </c>
      <c r="K123" s="334">
        <f>'Consolidado-Eletronorte'!AK145/1000</f>
      </c>
      <c r="L123" s="334">
        <f>'Consolidado-Eletronorte'!AL145/1000</f>
      </c>
      <c r="M123" s="334">
        <f>'Consolidado-Eletronorte'!AM145/1000</f>
      </c>
      <c r="N123" s="334">
        <f>'Consolidado-Eletronorte'!AN145/1000</f>
      </c>
      <c r="O123" s="334">
        <f>'Consolidado-Eletronorte'!AO145/1000</f>
      </c>
      <c r="P123" s="334">
        <f>'Consolidado-Eletronorte'!AP145/1000</f>
      </c>
      <c r="Q123" s="334">
        <f>'Consolidado-Eletronorte'!AQ145/1000</f>
      </c>
      <c r="R123" s="334">
        <f>'Consolidado-Eletronorte'!AR145/1000</f>
      </c>
      <c r="S123" s="334">
        <f>'Consolidado-Eletronorte'!AS145/1000</f>
      </c>
      <c r="T123" s="334">
        <f>'Consolidado-Eletronorte'!AT145/1000</f>
      </c>
      <c r="U123" s="334">
        <f>'Consolidado-Eletronorte'!AU145/1000</f>
      </c>
      <c r="V123" s="334">
        <f>'Consolidado-Eletronorte'!AV145/1000</f>
      </c>
      <c r="W123" s="334">
        <f>'Consolidado-Eletronorte'!AW145/1000</f>
      </c>
      <c r="X123" s="334">
        <f>'Consolidado-Eletronorte'!AX145/1000</f>
      </c>
      <c r="Y123" s="334">
        <f>'Consolidado-Eletronorte'!AY145/1000</f>
      </c>
      <c r="Z123" s="334">
        <f>'Consolidado-Eletronorte'!AZ145/1000</f>
      </c>
    </row>
    <row x14ac:dyDescent="0.25" r="124" customHeight="1" ht="18.75">
      <c r="A124" s="1"/>
      <c r="B124" s="335" t="s">
        <v>40185</v>
      </c>
      <c r="C124" s="335" t="s">
        <v>21</v>
      </c>
      <c r="D124" s="335" t="s">
        <v>21</v>
      </c>
      <c r="E124" s="335" t="s">
        <v>39949</v>
      </c>
      <c r="F124" s="336"/>
      <c r="G124" s="335" t="s">
        <v>40186</v>
      </c>
      <c r="H124" s="335" t="s">
        <v>39912</v>
      </c>
      <c r="I124" s="334">
        <f>'Consolidado-Eletronorte'!AI146/1000</f>
      </c>
      <c r="J124" s="334">
        <f>'Consolidado-Eletronorte'!AJ146/1000</f>
      </c>
      <c r="K124" s="334">
        <f>'Consolidado-Eletronorte'!AK146/1000</f>
      </c>
      <c r="L124" s="334">
        <f>'Consolidado-Eletronorte'!AL146/1000</f>
      </c>
      <c r="M124" s="334">
        <f>'Consolidado-Eletronorte'!AM146/1000</f>
      </c>
      <c r="N124" s="334">
        <f>'Consolidado-Eletronorte'!AN146/1000</f>
      </c>
      <c r="O124" s="334">
        <f>'Consolidado-Eletronorte'!AO146/1000</f>
      </c>
      <c r="P124" s="334">
        <f>'Consolidado-Eletronorte'!AP146/1000</f>
      </c>
      <c r="Q124" s="334">
        <f>'Consolidado-Eletronorte'!AQ146/1000</f>
      </c>
      <c r="R124" s="334">
        <f>'Consolidado-Eletronorte'!AR146/1000</f>
      </c>
      <c r="S124" s="334">
        <f>'Consolidado-Eletronorte'!AS146/1000</f>
      </c>
      <c r="T124" s="334">
        <f>'Consolidado-Eletronorte'!AT146/1000</f>
      </c>
      <c r="U124" s="334">
        <f>'Consolidado-Eletronorte'!AU146/1000</f>
      </c>
      <c r="V124" s="334">
        <f>'Consolidado-Eletronorte'!AV146/1000</f>
      </c>
      <c r="W124" s="334">
        <f>'Consolidado-Eletronorte'!AW146/1000</f>
      </c>
      <c r="X124" s="334">
        <f>'Consolidado-Eletronorte'!AX146/1000</f>
      </c>
      <c r="Y124" s="334">
        <f>'Consolidado-Eletronorte'!AY146/1000</f>
      </c>
      <c r="Z124" s="334">
        <f>'Consolidado-Eletronorte'!AZ146/1000</f>
      </c>
    </row>
    <row x14ac:dyDescent="0.25" r="125" customHeight="1" ht="18.75">
      <c r="A125" s="1"/>
      <c r="B125" s="338" t="s">
        <v>40188</v>
      </c>
      <c r="C125" s="338" t="s">
        <v>21</v>
      </c>
      <c r="D125" s="338" t="s">
        <v>21</v>
      </c>
      <c r="E125" s="338" t="s">
        <v>39949</v>
      </c>
      <c r="F125" s="339"/>
      <c r="G125" s="338" t="s">
        <v>40188</v>
      </c>
      <c r="H125" s="338" t="s">
        <v>39912</v>
      </c>
      <c r="I125" s="334">
        <f>'Consolidado-Eletronorte'!AI147/1000</f>
      </c>
      <c r="J125" s="334">
        <f>'Consolidado-Eletronorte'!AJ147/1000</f>
      </c>
      <c r="K125" s="334">
        <f>'Consolidado-Eletronorte'!AK147/1000</f>
      </c>
      <c r="L125" s="334">
        <f>'Consolidado-Eletronorte'!AL147/1000</f>
      </c>
      <c r="M125" s="334">
        <f>'Consolidado-Eletronorte'!AM147/1000</f>
      </c>
      <c r="N125" s="334">
        <f>'Consolidado-Eletronorte'!AN147/1000</f>
      </c>
      <c r="O125" s="334">
        <f>'Consolidado-Eletronorte'!AO147/1000</f>
      </c>
      <c r="P125" s="334">
        <f>'Consolidado-Eletronorte'!AP147/1000</f>
      </c>
      <c r="Q125" s="334">
        <f>'Consolidado-Eletronorte'!AQ147/1000</f>
      </c>
      <c r="R125" s="334">
        <f>'Consolidado-Eletronorte'!AR147/1000</f>
      </c>
      <c r="S125" s="334">
        <f>'Consolidado-Eletronorte'!AS147/1000</f>
      </c>
      <c r="T125" s="334">
        <f>'Consolidado-Eletronorte'!AT147/1000</f>
      </c>
      <c r="U125" s="334">
        <f>'Consolidado-Eletronorte'!AU147/1000</f>
      </c>
      <c r="V125" s="334">
        <f>'Consolidado-Eletronorte'!AV147/1000</f>
      </c>
      <c r="W125" s="334">
        <f>'Consolidado-Eletronorte'!AW147/1000</f>
      </c>
      <c r="X125" s="334">
        <f>'Consolidado-Eletronorte'!AX147/1000</f>
      </c>
      <c r="Y125" s="334">
        <f>'Consolidado-Eletronorte'!AY147/1000</f>
      </c>
      <c r="Z125" s="334">
        <f>'Consolidado-Eletronorte'!AZ147/1000</f>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26"/>
  <sheetViews>
    <sheetView workbookViewId="0"/>
  </sheetViews>
  <sheetFormatPr defaultRowHeight="15" x14ac:dyDescent="0.25"/>
  <cols>
    <col min="1" max="1" style="299" width="12.576428571428572" customWidth="1" bestFit="1"/>
    <col min="2" max="2" style="15" width="32.57642857142857" customWidth="1" bestFit="1"/>
  </cols>
  <sheetData>
    <row x14ac:dyDescent="0.25" r="1" customHeight="1" ht="18.75">
      <c r="A1" s="297" t="s">
        <v>41189</v>
      </c>
      <c r="B1" s="1" t="s">
        <v>41190</v>
      </c>
    </row>
    <row x14ac:dyDescent="0.25" r="2" customHeight="1" ht="18.75">
      <c r="A2" s="22">
        <v>4500057018</v>
      </c>
      <c r="B2" s="1" t="s">
        <v>41191</v>
      </c>
    </row>
    <row x14ac:dyDescent="0.25" r="3" customHeight="1" ht="18.75">
      <c r="A3" s="22">
        <v>4500063694</v>
      </c>
      <c r="B3" s="1" t="s">
        <v>41192</v>
      </c>
    </row>
    <row x14ac:dyDescent="0.25" r="4" customHeight="1" ht="18.75">
      <c r="A4" s="22">
        <v>4500067440</v>
      </c>
      <c r="B4" s="1" t="s">
        <v>41193</v>
      </c>
    </row>
    <row x14ac:dyDescent="0.25" r="5" customHeight="1" ht="18.75">
      <c r="A5" s="22">
        <v>4500071331</v>
      </c>
      <c r="B5" s="1" t="s">
        <v>41194</v>
      </c>
    </row>
    <row x14ac:dyDescent="0.25" r="6" customHeight="1" ht="18.75">
      <c r="A6" s="22">
        <v>4500073892</v>
      </c>
      <c r="B6" s="1" t="s">
        <v>41194</v>
      </c>
    </row>
    <row x14ac:dyDescent="0.25" r="7" customHeight="1" ht="18.75">
      <c r="A7" s="22">
        <v>4500073938</v>
      </c>
      <c r="B7" s="1" t="s">
        <v>41195</v>
      </c>
    </row>
    <row x14ac:dyDescent="0.25" r="8" customHeight="1" ht="18.75">
      <c r="A8" s="22">
        <v>4500076990</v>
      </c>
      <c r="B8" s="1" t="s">
        <v>41196</v>
      </c>
    </row>
    <row x14ac:dyDescent="0.25" r="9" customHeight="1" ht="18.75">
      <c r="A9" s="22">
        <v>4500078421</v>
      </c>
      <c r="B9" s="1" t="s">
        <v>41197</v>
      </c>
    </row>
    <row x14ac:dyDescent="0.25" r="10" customHeight="1" ht="18.75">
      <c r="A10" s="22">
        <v>4500079631</v>
      </c>
      <c r="B10" s="1" t="s">
        <v>41198</v>
      </c>
    </row>
    <row x14ac:dyDescent="0.25" r="11" customHeight="1" ht="18.75">
      <c r="A11" s="22">
        <v>4500079784</v>
      </c>
      <c r="B11" s="1" t="s">
        <v>41199</v>
      </c>
    </row>
    <row x14ac:dyDescent="0.25" r="12" customHeight="1" ht="18.75">
      <c r="A12" s="22">
        <v>4500080069</v>
      </c>
      <c r="B12" s="1" t="s">
        <v>41195</v>
      </c>
    </row>
    <row x14ac:dyDescent="0.25" r="13" customHeight="1" ht="18.75">
      <c r="A13" s="22">
        <v>4500080379</v>
      </c>
      <c r="B13" s="1" t="s">
        <v>41200</v>
      </c>
    </row>
    <row x14ac:dyDescent="0.25" r="14" customHeight="1" ht="18.75">
      <c r="A14" s="22">
        <v>4500081111</v>
      </c>
      <c r="B14" s="1" t="s">
        <v>41201</v>
      </c>
    </row>
    <row x14ac:dyDescent="0.25" r="15" customHeight="1" ht="18.75">
      <c r="A15" s="22">
        <v>4500081780</v>
      </c>
      <c r="B15" s="1" t="s">
        <v>41202</v>
      </c>
    </row>
    <row x14ac:dyDescent="0.25" r="16" customHeight="1" ht="18.75">
      <c r="A16" s="22">
        <v>4500082946</v>
      </c>
      <c r="B16" s="1" t="s">
        <v>41201</v>
      </c>
    </row>
    <row x14ac:dyDescent="0.25" r="17" customHeight="1" ht="18.75">
      <c r="A17" s="22">
        <v>4500083041</v>
      </c>
      <c r="B17" s="1" t="s">
        <v>41203</v>
      </c>
    </row>
    <row x14ac:dyDescent="0.25" r="18" customHeight="1" ht="18.75">
      <c r="A18" s="22">
        <v>4500083316</v>
      </c>
      <c r="B18" s="1" t="s">
        <v>41204</v>
      </c>
    </row>
    <row x14ac:dyDescent="0.25" r="19" customHeight="1" ht="18.75">
      <c r="A19" s="22">
        <v>4500083678</v>
      </c>
      <c r="B19" s="1" t="s">
        <v>41205</v>
      </c>
    </row>
    <row x14ac:dyDescent="0.25" r="20" customHeight="1" ht="18.75">
      <c r="A20" s="22">
        <v>4500084143</v>
      </c>
      <c r="B20" s="1" t="s">
        <v>41195</v>
      </c>
    </row>
    <row x14ac:dyDescent="0.25" r="21" customHeight="1" ht="18.75">
      <c r="A21" s="22">
        <v>4500084896</v>
      </c>
      <c r="B21" s="1" t="s">
        <v>41206</v>
      </c>
    </row>
    <row x14ac:dyDescent="0.25" r="22" customHeight="1" ht="18.75">
      <c r="A22" s="22">
        <v>4500086920</v>
      </c>
      <c r="B22" s="1" t="s">
        <v>41207</v>
      </c>
    </row>
    <row x14ac:dyDescent="0.25" r="23" customHeight="1" ht="18.75">
      <c r="A23" s="22">
        <v>4500088525</v>
      </c>
      <c r="B23" s="1" t="s">
        <v>41191</v>
      </c>
    </row>
    <row x14ac:dyDescent="0.25" r="24" customHeight="1" ht="18.75">
      <c r="A24" s="22">
        <v>4500092563</v>
      </c>
      <c r="B24" s="1" t="s">
        <v>41208</v>
      </c>
    </row>
    <row x14ac:dyDescent="0.25" r="25" customHeight="1" ht="18.75">
      <c r="A25" s="22">
        <v>4500093709</v>
      </c>
      <c r="B25" s="1" t="s">
        <v>41209</v>
      </c>
    </row>
    <row x14ac:dyDescent="0.25" r="26" customHeight="1" ht="18.75">
      <c r="A26" s="22">
        <v>4500094983</v>
      </c>
      <c r="B26" s="1" t="s">
        <v>41210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3"/>
  <sheetViews>
    <sheetView workbookViewId="0"/>
  </sheetViews>
  <sheetFormatPr defaultRowHeight="15" x14ac:dyDescent="0.25"/>
  <cols>
    <col min="1" max="1" style="127" width="16.005" customWidth="1" bestFit="1"/>
    <col min="2" max="2" style="127" width="16.005" customWidth="1" bestFit="1"/>
    <col min="3" max="3" style="127" width="15.005" customWidth="1" bestFit="1"/>
    <col min="4" max="4" style="127" width="15.005" customWidth="1" bestFit="1"/>
    <col min="5" max="5" style="127" width="16.005" customWidth="1" bestFit="1"/>
    <col min="6" max="6" style="127" width="16.005" customWidth="1" bestFit="1"/>
    <col min="7" max="7" style="127" width="20.14785714285714" customWidth="1" bestFit="1"/>
    <col min="8" max="8" style="127" width="16.005" customWidth="1" bestFit="1"/>
    <col min="9" max="9" style="127" width="13.576428571428572" customWidth="1" bestFit="1"/>
    <col min="10" max="10" style="127" width="16.433571428571426" customWidth="1" bestFit="1"/>
    <col min="11" max="11" style="127" width="16.005" customWidth="1" bestFit="1"/>
    <col min="12" max="12" style="127" width="16.005" customWidth="1" bestFit="1"/>
    <col min="13" max="13" style="300" width="17.005" customWidth="1" bestFit="1"/>
  </cols>
  <sheetData>
    <row x14ac:dyDescent="0.25" r="1" customHeight="1" ht="18.75">
      <c r="A1" s="40" t="s">
        <v>41188</v>
      </c>
      <c r="B1" s="40"/>
      <c r="C1" s="40"/>
      <c r="D1" s="40"/>
      <c r="E1" s="40"/>
      <c r="F1" s="40"/>
      <c r="G1" s="40"/>
      <c r="H1" s="40"/>
      <c r="I1" s="40"/>
      <c r="J1" s="40"/>
      <c r="K1" s="40"/>
      <c r="L1" s="40"/>
      <c r="M1" s="298"/>
    </row>
    <row x14ac:dyDescent="0.25" r="2" customHeight="1" ht="18.75">
      <c r="A2" s="117">
        <v>11888566.659999998</v>
      </c>
      <c r="B2" s="117">
        <v>20886113.57</v>
      </c>
      <c r="C2" s="117">
        <v>6922894.609999999</v>
      </c>
      <c r="D2" s="117">
        <v>1909305.8399999999</v>
      </c>
      <c r="E2" s="117">
        <v>35832721.410000004</v>
      </c>
      <c r="F2" s="117">
        <v>15091386.969999999</v>
      </c>
      <c r="G2" s="117">
        <v>16898137.74</v>
      </c>
      <c r="H2" s="117">
        <v>22249745.649999995</v>
      </c>
      <c r="I2" s="117">
        <v>993648.17</v>
      </c>
      <c r="J2" s="117">
        <v>11791477.140000002</v>
      </c>
      <c r="K2" s="117">
        <v>10338964.949999997</v>
      </c>
      <c r="L2" s="117">
        <v>19778364.169999987</v>
      </c>
      <c r="M2" s="117">
        <f>SUM(A2:L2)</f>
      </c>
    </row>
    <row x14ac:dyDescent="0.25" r="3" customHeight="1" ht="18.75">
      <c r="A3" s="40"/>
      <c r="B3" s="40"/>
      <c r="C3" s="40"/>
      <c r="D3" s="40"/>
      <c r="E3" s="40"/>
      <c r="F3" s="40"/>
      <c r="G3" s="40"/>
      <c r="H3" s="40"/>
      <c r="I3" s="40"/>
      <c r="J3" s="40"/>
      <c r="K3" s="40"/>
      <c r="L3" s="40"/>
      <c r="M3" s="117">
        <f>M2*0.8</f>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4"/>
  <sheetViews>
    <sheetView workbookViewId="0"/>
  </sheetViews>
  <sheetFormatPr defaultRowHeight="15" x14ac:dyDescent="0.25"/>
  <cols>
    <col min="1" max="1" style="15" width="13.576428571428572" customWidth="1" bestFit="1"/>
    <col min="2" max="2" style="15" width="23.433571428571426" customWidth="1" bestFit="1"/>
    <col min="3" max="3" style="324" width="30.433571428571426" customWidth="1" bestFit="1"/>
    <col min="4" max="4" style="300" width="17.433571428571426" customWidth="1" bestFit="1"/>
    <col min="5" max="5" style="127" width="17.005" customWidth="1" bestFit="1"/>
    <col min="6" max="6" style="127" width="17.005" customWidth="1" bestFit="1"/>
    <col min="7" max="7" style="127" width="15.005" customWidth="1" bestFit="1"/>
    <col min="8" max="8" style="127" width="18.576428571428572" customWidth="1" bestFit="1"/>
    <col min="9" max="9" style="15" width="17.005" customWidth="1" bestFit="1"/>
  </cols>
  <sheetData>
    <row x14ac:dyDescent="0.25" r="1" customHeight="1" ht="18.75">
      <c r="A1" s="1"/>
      <c r="B1" s="1"/>
      <c r="C1" s="317"/>
      <c r="D1" s="298"/>
      <c r="E1" s="40"/>
      <c r="F1" s="40"/>
      <c r="G1" s="40"/>
      <c r="H1" s="40"/>
      <c r="I1" s="1"/>
    </row>
    <row x14ac:dyDescent="0.25" r="2" customHeight="1" ht="18.75">
      <c r="A2" s="1"/>
      <c r="B2" s="1"/>
      <c r="C2" s="22">
        <v>2026</v>
      </c>
      <c r="D2" s="22">
        <v>2027</v>
      </c>
      <c r="E2" s="22">
        <v>2028</v>
      </c>
      <c r="F2" s="22">
        <v>2029</v>
      </c>
      <c r="G2" s="22">
        <v>2030</v>
      </c>
      <c r="H2" s="40" t="s">
        <v>39020</v>
      </c>
      <c r="I2" s="1"/>
    </row>
    <row x14ac:dyDescent="0.25" r="3" customHeight="1" ht="18.75">
      <c r="A3" s="1"/>
      <c r="B3" s="1" t="s">
        <v>41175</v>
      </c>
      <c r="C3" s="117">
        <v>498412155.3455729</v>
      </c>
      <c r="D3" s="117">
        <v>418859352.8973734</v>
      </c>
      <c r="E3" s="117">
        <v>251307710.5097809</v>
      </c>
      <c r="F3" s="117">
        <v>102379989.75519</v>
      </c>
      <c r="G3" s="117">
        <v>9873837.068333063</v>
      </c>
      <c r="H3" s="117">
        <v>1280833045.5762503</v>
      </c>
      <c r="I3" s="1"/>
    </row>
    <row x14ac:dyDescent="0.25" r="4" customHeight="1" ht="18.75">
      <c r="A4" s="1"/>
      <c r="B4" s="1" t="s">
        <v>41176</v>
      </c>
      <c r="C4" s="117">
        <v>448088284.8255729</v>
      </c>
      <c r="D4" s="117">
        <v>410295777.7565834</v>
      </c>
      <c r="E4" s="117">
        <v>243231856.8425001</v>
      </c>
      <c r="F4" s="117">
        <v>87085259.82000001</v>
      </c>
      <c r="G4" s="117">
        <v>1500000</v>
      </c>
      <c r="H4" s="117">
        <v>1190201179.2446563</v>
      </c>
      <c r="I4" s="1"/>
    </row>
    <row x14ac:dyDescent="0.25" r="5" customHeight="1" ht="30">
      <c r="A5" s="1"/>
      <c r="B5" s="318" t="s">
        <v>41177</v>
      </c>
      <c r="C5" s="319"/>
      <c r="D5" s="320"/>
      <c r="E5" s="40"/>
      <c r="F5" s="40"/>
      <c r="G5" s="40"/>
      <c r="H5" s="40"/>
      <c r="I5" s="1"/>
    </row>
    <row x14ac:dyDescent="0.25" r="6" customHeight="1" ht="18.75">
      <c r="A6" s="1"/>
      <c r="B6" s="28" t="s">
        <v>41178</v>
      </c>
      <c r="C6" s="321" t="s">
        <v>41179</v>
      </c>
      <c r="D6" s="322" t="s">
        <v>41180</v>
      </c>
      <c r="E6" s="40"/>
      <c r="F6" s="40"/>
      <c r="G6" s="40"/>
      <c r="H6" s="40"/>
      <c r="I6" s="1"/>
    </row>
    <row x14ac:dyDescent="0.25" r="7" customHeight="1" ht="18.75">
      <c r="A7" s="1"/>
      <c r="B7" s="28" t="s">
        <v>41181</v>
      </c>
      <c r="C7" s="308">
        <v>330080597.0255729</v>
      </c>
      <c r="D7" s="323">
        <f>C7/C4</f>
      </c>
      <c r="E7" s="40"/>
      <c r="F7" s="40"/>
      <c r="G7" s="40"/>
      <c r="H7" s="40"/>
      <c r="I7" s="1"/>
    </row>
    <row x14ac:dyDescent="0.25" r="8" customHeight="1" ht="18.75">
      <c r="A8" s="1"/>
      <c r="B8" s="28" t="s">
        <v>64</v>
      </c>
      <c r="C8" s="308">
        <v>71486613.6</v>
      </c>
      <c r="D8" s="323">
        <f>C8/C4</f>
      </c>
      <c r="E8" s="40"/>
      <c r="F8" s="40"/>
      <c r="G8" s="40"/>
      <c r="H8" s="40"/>
      <c r="I8" s="1"/>
    </row>
    <row x14ac:dyDescent="0.25" r="9" customHeight="1" ht="18.75">
      <c r="A9" s="1"/>
      <c r="B9" s="28" t="s">
        <v>41182</v>
      </c>
      <c r="C9" s="308">
        <v>46521074.2</v>
      </c>
      <c r="D9" s="323">
        <f>C9/C4</f>
      </c>
      <c r="E9" s="40"/>
      <c r="F9" s="40"/>
      <c r="G9" s="40"/>
      <c r="H9" s="40"/>
      <c r="I9" s="1"/>
    </row>
    <row x14ac:dyDescent="0.25" r="10" customHeight="1" ht="18.75">
      <c r="A10" s="1"/>
      <c r="B10" s="28" t="s">
        <v>39444</v>
      </c>
      <c r="C10" s="308">
        <f>SUM(C7:C9)</f>
      </c>
      <c r="D10" s="323">
        <f>SUM(D7:D9)</f>
      </c>
      <c r="E10" s="40"/>
      <c r="F10" s="40"/>
      <c r="G10" s="40"/>
      <c r="H10" s="40"/>
      <c r="I10" s="1"/>
    </row>
    <row x14ac:dyDescent="0.25" r="11" customHeight="1" ht="18.75">
      <c r="A11" s="1"/>
      <c r="B11" s="1"/>
      <c r="C11" s="317"/>
      <c r="D11" s="298"/>
      <c r="E11" s="40"/>
      <c r="F11" s="40"/>
      <c r="G11" s="40"/>
      <c r="H11" s="40"/>
      <c r="I11" s="1"/>
    </row>
    <row x14ac:dyDescent="0.25" r="12" customHeight="1" ht="18.75">
      <c r="A12" s="1"/>
      <c r="B12" s="1"/>
      <c r="C12" s="317"/>
      <c r="D12" s="298"/>
      <c r="E12" s="40"/>
      <c r="F12" s="40"/>
      <c r="G12" s="40"/>
      <c r="H12" s="40"/>
      <c r="I12" s="1"/>
    </row>
    <row x14ac:dyDescent="0.25" r="13" customHeight="1" ht="18.75">
      <c r="A13" s="1"/>
      <c r="B13" s="318" t="s">
        <v>41183</v>
      </c>
      <c r="C13" s="319"/>
      <c r="D13" s="320"/>
      <c r="E13" s="40"/>
      <c r="F13" s="40"/>
      <c r="G13" s="40"/>
      <c r="H13" s="40"/>
      <c r="I13" s="1"/>
    </row>
    <row x14ac:dyDescent="0.25" r="14" customHeight="1" ht="18.75">
      <c r="A14" s="1"/>
      <c r="B14" s="28" t="s">
        <v>41178</v>
      </c>
      <c r="C14" s="321" t="s">
        <v>41179</v>
      </c>
      <c r="D14" s="322" t="s">
        <v>41180</v>
      </c>
      <c r="E14" s="40"/>
      <c r="F14" s="40"/>
      <c r="G14" s="40"/>
      <c r="H14" s="40"/>
      <c r="I14" s="1"/>
    </row>
    <row x14ac:dyDescent="0.25" r="15" customHeight="1" ht="18.75">
      <c r="A15" s="1"/>
      <c r="B15" s="28" t="s">
        <v>41181</v>
      </c>
      <c r="C15" s="308">
        <v>322833193.0255729</v>
      </c>
      <c r="D15" s="323">
        <f>C15/C18</f>
      </c>
      <c r="E15" s="40"/>
      <c r="F15" s="40"/>
      <c r="G15" s="40"/>
      <c r="H15" s="40"/>
      <c r="I15" s="308"/>
    </row>
    <row x14ac:dyDescent="0.25" r="16" customHeight="1" ht="18.75">
      <c r="A16" s="1"/>
      <c r="B16" s="28" t="s">
        <v>64</v>
      </c>
      <c r="C16" s="308">
        <v>47947686</v>
      </c>
      <c r="D16" s="323">
        <f>C16/C18</f>
      </c>
      <c r="E16" s="40"/>
      <c r="F16" s="40"/>
      <c r="G16" s="40"/>
      <c r="H16" s="40"/>
      <c r="I16" s="1"/>
    </row>
    <row x14ac:dyDescent="0.25" r="17" customHeight="1" ht="18.75">
      <c r="A17" s="1"/>
      <c r="B17" s="28" t="s">
        <v>41182</v>
      </c>
      <c r="C17" s="308">
        <v>33521074.2</v>
      </c>
      <c r="D17" s="323">
        <f>C17/C18</f>
      </c>
      <c r="E17" s="40"/>
      <c r="F17" s="40"/>
      <c r="G17" s="40"/>
      <c r="H17" s="40"/>
      <c r="I17" s="1"/>
    </row>
    <row x14ac:dyDescent="0.25" r="18" customHeight="1" ht="18.75">
      <c r="A18" s="1"/>
      <c r="B18" s="28" t="s">
        <v>39444</v>
      </c>
      <c r="C18" s="308">
        <f>SUM(C15:C17)</f>
      </c>
      <c r="D18" s="323"/>
      <c r="E18" s="40"/>
      <c r="F18" s="40"/>
      <c r="G18" s="40"/>
      <c r="H18" s="40"/>
      <c r="I18" s="117"/>
    </row>
    <row x14ac:dyDescent="0.25" r="19" customHeight="1" ht="18.75">
      <c r="A19" s="1"/>
      <c r="B19" s="1"/>
      <c r="C19" s="317"/>
      <c r="D19" s="298"/>
      <c r="E19" s="40"/>
      <c r="F19" s="40"/>
      <c r="G19" s="40"/>
      <c r="H19" s="40"/>
      <c r="I19" s="1"/>
    </row>
    <row x14ac:dyDescent="0.25" r="20" customHeight="1" ht="18.75">
      <c r="A20" s="1"/>
      <c r="B20" s="1"/>
      <c r="C20" s="317"/>
      <c r="D20" s="298"/>
      <c r="E20" s="40"/>
      <c r="F20" s="40"/>
      <c r="G20" s="40"/>
      <c r="H20" s="40"/>
      <c r="I20" s="117"/>
    </row>
    <row x14ac:dyDescent="0.25" r="21" customHeight="1" ht="18.75">
      <c r="A21" s="1"/>
      <c r="B21" s="1" t="s">
        <v>41184</v>
      </c>
      <c r="C21" s="119">
        <f>(C10-C18)/C10</f>
      </c>
      <c r="D21" s="298"/>
      <c r="E21" s="40"/>
      <c r="F21" s="40"/>
      <c r="G21" s="40"/>
      <c r="H21" s="40"/>
      <c r="I21" s="1"/>
    </row>
    <row x14ac:dyDescent="0.25" r="22" customHeight="1" ht="18.75">
      <c r="A22" s="1"/>
      <c r="B22" s="1" t="s">
        <v>41185</v>
      </c>
      <c r="C22" s="119">
        <f>(C4-D22)/C4</f>
      </c>
      <c r="D22" s="117">
        <v>323150709.150745</v>
      </c>
      <c r="E22" s="40"/>
      <c r="F22" s="40"/>
      <c r="G22" s="40"/>
      <c r="H22" s="40"/>
      <c r="I22" s="1"/>
    </row>
    <row x14ac:dyDescent="0.25" r="23" customHeight="1" ht="18.75">
      <c r="A23" s="1"/>
      <c r="B23" s="1" t="s">
        <v>41186</v>
      </c>
      <c r="C23" s="117">
        <f>C4*0.65</f>
      </c>
      <c r="D23" s="298"/>
      <c r="E23" s="40"/>
      <c r="F23" s="40"/>
      <c r="G23" s="40"/>
      <c r="H23" s="40"/>
      <c r="I23" s="1"/>
    </row>
    <row x14ac:dyDescent="0.25" r="24" customHeight="1" ht="18.75">
      <c r="A24" s="1"/>
      <c r="B24" s="1" t="s">
        <v>41187</v>
      </c>
      <c r="C24" s="119">
        <f>(C4-D24)/C4</f>
      </c>
      <c r="D24" s="117">
        <v>303124626.36407834</v>
      </c>
      <c r="E24" s="40"/>
      <c r="F24" s="40"/>
      <c r="G24" s="40"/>
      <c r="H24" s="40"/>
      <c r="I24" s="1"/>
    </row>
  </sheetData>
  <mergeCells count="2">
    <mergeCell ref="B5:D5"/>
    <mergeCell ref="B13:D13"/>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9"/>
  <sheetViews>
    <sheetView workbookViewId="0"/>
  </sheetViews>
  <sheetFormatPr defaultRowHeight="15" x14ac:dyDescent="0.25"/>
  <cols>
    <col min="1" max="1" style="294" width="17.433571428571426" customWidth="1" bestFit="1"/>
    <col min="2" max="2" style="300" width="17.433571428571426" customWidth="1" bestFit="1"/>
    <col min="3" max="3" style="316" width="13.576428571428572" customWidth="1" bestFit="1"/>
  </cols>
  <sheetData>
    <row x14ac:dyDescent="0.25" r="1" customHeight="1" ht="18.75">
      <c r="A1" s="258"/>
      <c r="B1" s="298"/>
      <c r="C1" s="314"/>
    </row>
    <row x14ac:dyDescent="0.25" r="2" customHeight="1" ht="18.75">
      <c r="A2" s="258"/>
      <c r="B2" s="298"/>
      <c r="C2" s="314"/>
    </row>
    <row x14ac:dyDescent="0.25" r="3" customHeight="1" ht="18.75">
      <c r="A3" s="258" t="s">
        <v>41114</v>
      </c>
      <c r="B3" s="298" t="s">
        <v>41115</v>
      </c>
      <c r="C3" s="314"/>
    </row>
    <row x14ac:dyDescent="0.25" r="4" customHeight="1" ht="18.75">
      <c r="A4" s="3" t="s">
        <v>46</v>
      </c>
      <c r="B4" s="117">
        <v>270873890.36407834</v>
      </c>
      <c r="C4" s="315">
        <f>GETPIVOTDATA("2026",$A$3,"Status Contratação","Contratado")/GETPIVOTDATA("2026",$A$3)</f>
      </c>
    </row>
    <row x14ac:dyDescent="0.25" r="5" customHeight="1" ht="18.75">
      <c r="A5" s="3" t="s">
        <v>41171</v>
      </c>
      <c r="B5" s="117">
        <v>24938736</v>
      </c>
      <c r="C5" s="315">
        <f>GETPIVOTDATA("2026",$A$3,"Status Contratação","Em negociação")/GETPIVOTDATA("2026",$A$3)</f>
      </c>
    </row>
    <row x14ac:dyDescent="0.25" r="6" customHeight="1" ht="18.75">
      <c r="A6" s="3" t="s">
        <v>41172</v>
      </c>
      <c r="B6" s="117">
        <v>2100000</v>
      </c>
      <c r="C6" s="315">
        <f>GETPIVOTDATA("2026",$A$3,"Status Contratação","Não iniciado")/GETPIVOTDATA("2026",$A$3)</f>
      </c>
    </row>
    <row x14ac:dyDescent="0.25" r="7" customHeight="1" ht="18.75">
      <c r="A7" s="3" t="s">
        <v>41173</v>
      </c>
      <c r="B7" s="117">
        <v>2100000</v>
      </c>
      <c r="C7" s="315">
        <f>GETPIVOTDATA("2026",$A$3,"Status Contratação","RC aprovada")/GETPIVOTDATA("2026",$A$3)</f>
      </c>
    </row>
    <row x14ac:dyDescent="0.25" r="8" customHeight="1" ht="18.75">
      <c r="A8" s="3" t="s">
        <v>41174</v>
      </c>
      <c r="B8" s="117">
        <v>3112000</v>
      </c>
      <c r="C8" s="315">
        <f>GETPIVOTDATA("2026",$A$3,"Status Contratação","TR em elaboração")/GETPIVOTDATA("2026",$A$3)</f>
      </c>
    </row>
    <row x14ac:dyDescent="0.25" r="9" customHeight="1" ht="18.75">
      <c r="A9" s="3" t="s">
        <v>41124</v>
      </c>
      <c r="B9" s="117">
        <v>303124626.36407834</v>
      </c>
      <c r="C9" s="31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45"/>
  <sheetViews>
    <sheetView workbookViewId="0"/>
  </sheetViews>
  <sheetFormatPr defaultRowHeight="15" x14ac:dyDescent="0.25"/>
  <cols>
    <col min="1" max="1" style="15" width="17.433571428571426" customWidth="1" bestFit="1"/>
    <col min="2" max="2" style="126" width="40.57642857142857" customWidth="1" bestFit="1"/>
    <col min="3" max="3" style="300" width="17.005" customWidth="1" bestFit="1"/>
    <col min="4" max="4" style="15" width="47.005" customWidth="1" bestFit="1"/>
    <col min="5" max="5" style="15" width="13.576428571428572" customWidth="1" bestFit="1"/>
    <col min="6" max="6" style="15" width="13.576428571428572" customWidth="1" bestFit="1"/>
    <col min="7" max="7" style="15" width="13.576428571428572" customWidth="1" bestFit="1"/>
    <col min="8" max="8" style="15" width="14.719285714285713" customWidth="1" bestFit="1"/>
    <col min="9" max="9" style="15" width="13.576428571428572" customWidth="1" bestFit="1"/>
  </cols>
  <sheetData>
    <row x14ac:dyDescent="0.25" r="1" customHeight="1" ht="18.75">
      <c r="A1" s="1"/>
      <c r="B1" s="38"/>
      <c r="C1" s="298"/>
      <c r="D1" s="1"/>
      <c r="E1" s="1"/>
      <c r="F1" s="1"/>
      <c r="G1" s="1"/>
      <c r="H1" s="1"/>
      <c r="I1" s="1"/>
    </row>
    <row x14ac:dyDescent="0.25" r="2" customHeight="1" ht="18.75">
      <c r="A2" s="1"/>
      <c r="B2" s="38"/>
      <c r="C2" s="298"/>
      <c r="D2" s="1"/>
      <c r="E2" s="1"/>
      <c r="F2" s="1"/>
      <c r="G2" s="1"/>
      <c r="H2" s="1"/>
      <c r="I2" s="1"/>
    </row>
    <row x14ac:dyDescent="0.25" r="3" customHeight="1" ht="18.75">
      <c r="A3" s="1" t="s">
        <v>41114</v>
      </c>
      <c r="B3" s="38" t="s">
        <v>41115</v>
      </c>
      <c r="C3" s="298" t="s">
        <v>38996</v>
      </c>
      <c r="D3" s="1"/>
      <c r="E3" s="1"/>
      <c r="F3" s="1"/>
      <c r="G3" s="1"/>
      <c r="H3" s="1" t="s">
        <v>41142</v>
      </c>
      <c r="I3" s="301">
        <f>C7+C12+C15</f>
      </c>
    </row>
    <row x14ac:dyDescent="0.25" r="4" customHeight="1" ht="18.75">
      <c r="A4" s="3" t="s">
        <v>41143</v>
      </c>
      <c r="B4" s="122">
        <v>0</v>
      </c>
      <c r="C4" s="298"/>
      <c r="D4" s="1"/>
      <c r="E4" s="1"/>
      <c r="F4" s="1"/>
      <c r="G4" s="1"/>
      <c r="H4" s="1"/>
      <c r="I4" s="1"/>
    </row>
    <row x14ac:dyDescent="0.25" r="5" customHeight="1" ht="18.75">
      <c r="A5" s="3" t="s">
        <v>40181</v>
      </c>
      <c r="B5" s="122">
        <v>1500000</v>
      </c>
      <c r="C5" s="123" t="s">
        <v>41144</v>
      </c>
      <c r="D5" s="1"/>
      <c r="E5" s="1"/>
      <c r="F5" s="1"/>
      <c r="G5" s="1"/>
      <c r="H5" s="1"/>
      <c r="I5" s="1"/>
    </row>
    <row x14ac:dyDescent="0.25" r="6" customHeight="1" ht="18.75">
      <c r="A6" s="3" t="s">
        <v>40068</v>
      </c>
      <c r="B6" s="122">
        <v>0</v>
      </c>
      <c r="C6" s="298"/>
      <c r="D6" s="1"/>
      <c r="E6" s="1"/>
      <c r="F6" s="1"/>
      <c r="G6" s="1"/>
      <c r="H6" s="1"/>
      <c r="I6" s="1"/>
    </row>
    <row x14ac:dyDescent="0.25" r="7" customHeight="1" ht="18.75">
      <c r="A7" s="3" t="s">
        <v>39909</v>
      </c>
      <c r="B7" s="122">
        <v>149463997.76</v>
      </c>
      <c r="C7" s="123" t="s">
        <v>41145</v>
      </c>
      <c r="D7" s="1"/>
      <c r="E7" s="1"/>
      <c r="F7" s="1"/>
      <c r="G7" s="1"/>
      <c r="H7" s="1"/>
      <c r="I7" s="1"/>
    </row>
    <row x14ac:dyDescent="0.25" r="8" customHeight="1" ht="18.75">
      <c r="A8" s="3" t="s">
        <v>40323</v>
      </c>
      <c r="B8" s="122">
        <v>450000</v>
      </c>
      <c r="C8" s="123" t="s">
        <v>41146</v>
      </c>
      <c r="D8" s="1"/>
      <c r="E8" s="1"/>
      <c r="F8" s="1"/>
      <c r="G8" s="1"/>
      <c r="H8" s="1"/>
      <c r="I8" s="1"/>
    </row>
    <row x14ac:dyDescent="0.25" r="9" customHeight="1" ht="18.75">
      <c r="A9" s="3" t="s">
        <v>40025</v>
      </c>
      <c r="B9" s="122">
        <v>0</v>
      </c>
      <c r="C9" s="298"/>
      <c r="D9" s="1"/>
      <c r="E9" s="1"/>
      <c r="F9" s="1"/>
      <c r="G9" s="1"/>
      <c r="H9" s="1"/>
      <c r="I9" s="1"/>
    </row>
    <row x14ac:dyDescent="0.25" r="10" customHeight="1" ht="18.75">
      <c r="A10" s="3" t="s">
        <v>39985</v>
      </c>
      <c r="B10" s="122">
        <v>10000000</v>
      </c>
      <c r="C10" s="123" t="s">
        <v>41144</v>
      </c>
      <c r="D10" s="1"/>
      <c r="E10" s="1"/>
      <c r="F10" s="1"/>
      <c r="G10" s="1"/>
      <c r="H10" s="1"/>
      <c r="I10" s="1"/>
    </row>
    <row x14ac:dyDescent="0.25" r="11" customHeight="1" ht="18.75">
      <c r="A11" s="3" t="s">
        <v>40246</v>
      </c>
      <c r="B11" s="122">
        <v>500000</v>
      </c>
      <c r="C11" s="123" t="s">
        <v>41144</v>
      </c>
      <c r="D11" s="1"/>
      <c r="E11" s="1"/>
      <c r="F11" s="1"/>
      <c r="G11" s="1"/>
      <c r="H11" s="1"/>
      <c r="I11" s="1"/>
    </row>
    <row x14ac:dyDescent="0.25" r="12" customHeight="1" ht="18.75">
      <c r="A12" s="3" t="s">
        <v>39938</v>
      </c>
      <c r="B12" s="122">
        <v>38256203.993333325</v>
      </c>
      <c r="C12" s="123" t="s">
        <v>41147</v>
      </c>
      <c r="D12" s="1"/>
      <c r="E12" s="1"/>
      <c r="F12" s="1"/>
      <c r="G12" s="1"/>
      <c r="H12" s="1"/>
      <c r="I12" s="1"/>
    </row>
    <row x14ac:dyDescent="0.25" r="13" customHeight="1" ht="18.75">
      <c r="A13" s="3" t="s">
        <v>40242</v>
      </c>
      <c r="B13" s="122">
        <v>500000</v>
      </c>
      <c r="C13" s="123" t="s">
        <v>41144</v>
      </c>
      <c r="D13" s="1"/>
      <c r="E13" s="1"/>
      <c r="F13" s="1"/>
      <c r="G13" s="1"/>
      <c r="H13" s="1"/>
      <c r="I13" s="1"/>
    </row>
    <row x14ac:dyDescent="0.25" r="14" customHeight="1" ht="18.75">
      <c r="A14" s="3" t="s">
        <v>40164</v>
      </c>
      <c r="B14" s="122">
        <v>1000000</v>
      </c>
      <c r="C14" s="298" t="s">
        <v>41148</v>
      </c>
      <c r="D14" s="1"/>
      <c r="E14" s="1"/>
      <c r="F14" s="1"/>
      <c r="G14" s="1"/>
      <c r="H14" s="1"/>
      <c r="I14" s="1"/>
    </row>
    <row x14ac:dyDescent="0.25" r="15" customHeight="1" ht="18.75">
      <c r="A15" s="3" t="s">
        <v>39917</v>
      </c>
      <c r="B15" s="122">
        <v>38742118.607745</v>
      </c>
      <c r="C15" s="123" t="s">
        <v>41149</v>
      </c>
      <c r="D15" s="1"/>
      <c r="E15" s="1"/>
      <c r="F15" s="1"/>
      <c r="G15" s="1"/>
      <c r="H15" s="1"/>
      <c r="I15" s="1"/>
    </row>
    <row x14ac:dyDescent="0.25" r="16" customHeight="1" ht="18.75">
      <c r="A16" s="3" t="s">
        <v>39949</v>
      </c>
      <c r="B16" s="122">
        <v>20789080.003</v>
      </c>
      <c r="C16" s="123" t="s">
        <v>41144</v>
      </c>
      <c r="D16" s="1"/>
      <c r="E16" s="1"/>
      <c r="F16" s="1"/>
      <c r="G16" s="1"/>
      <c r="H16" s="1"/>
      <c r="I16" s="1"/>
    </row>
    <row x14ac:dyDescent="0.25" r="17" customHeight="1" ht="18.75">
      <c r="A17" s="3" t="s">
        <v>39932</v>
      </c>
      <c r="B17" s="122">
        <v>24358226</v>
      </c>
      <c r="C17" s="123" t="s">
        <v>41150</v>
      </c>
      <c r="D17" s="1"/>
      <c r="E17" s="1"/>
      <c r="F17" s="1"/>
      <c r="G17" s="1"/>
      <c r="H17" s="1"/>
      <c r="I17" s="1"/>
    </row>
    <row x14ac:dyDescent="0.25" r="18" customHeight="1" ht="18.75">
      <c r="A18" s="3" t="s">
        <v>40073</v>
      </c>
      <c r="B18" s="122">
        <v>1800000</v>
      </c>
      <c r="C18" s="123" t="s">
        <v>41144</v>
      </c>
      <c r="D18" s="1"/>
      <c r="E18" s="1"/>
      <c r="F18" s="1"/>
      <c r="G18" s="1"/>
      <c r="H18" s="1"/>
      <c r="I18" s="1"/>
    </row>
    <row x14ac:dyDescent="0.25" r="19" customHeight="1" ht="18.75">
      <c r="A19" s="3" t="s">
        <v>39942</v>
      </c>
      <c r="B19" s="122">
        <v>4000000</v>
      </c>
      <c r="C19" s="298" t="s">
        <v>41151</v>
      </c>
      <c r="D19" s="1"/>
      <c r="E19" s="1"/>
      <c r="F19" s="1"/>
      <c r="G19" s="1"/>
      <c r="H19" s="1"/>
      <c r="I19" s="1"/>
    </row>
    <row x14ac:dyDescent="0.25" r="20" customHeight="1" ht="18.75">
      <c r="A20" s="3" t="s">
        <v>39980</v>
      </c>
      <c r="B20" s="122">
        <v>8500000</v>
      </c>
      <c r="C20" s="298" t="s">
        <v>41152</v>
      </c>
      <c r="D20" s="1"/>
      <c r="E20" s="1"/>
      <c r="F20" s="1"/>
      <c r="G20" s="1"/>
      <c r="H20" s="1"/>
      <c r="I20" s="1"/>
    </row>
    <row x14ac:dyDescent="0.25" r="21" customHeight="1" ht="18.75">
      <c r="A21" s="3" t="s">
        <v>41153</v>
      </c>
      <c r="B21" s="122">
        <v>3265000</v>
      </c>
      <c r="C21" s="298" t="s">
        <v>41154</v>
      </c>
      <c r="D21" s="1"/>
      <c r="E21" s="1"/>
      <c r="F21" s="1"/>
      <c r="G21" s="1"/>
      <c r="H21" s="1"/>
      <c r="I21" s="1"/>
    </row>
    <row x14ac:dyDescent="0.25" r="22" customHeight="1" ht="18.75">
      <c r="A22" s="3" t="s">
        <v>41124</v>
      </c>
      <c r="B22" s="122">
        <v>303124626.3640783</v>
      </c>
      <c r="C22" s="298"/>
      <c r="D22" s="1"/>
      <c r="E22" s="1"/>
      <c r="F22" s="1"/>
      <c r="G22" s="1"/>
      <c r="H22" s="1"/>
      <c r="I22" s="1"/>
    </row>
    <row x14ac:dyDescent="0.25" r="23" customHeight="1" ht="18.75">
      <c r="A23" s="1"/>
      <c r="B23" s="38"/>
      <c r="C23" s="298"/>
      <c r="D23" s="1"/>
      <c r="E23" s="1"/>
      <c r="F23" s="1"/>
      <c r="G23" s="1"/>
      <c r="H23" s="1"/>
      <c r="I23" s="1"/>
    </row>
    <row x14ac:dyDescent="0.25" r="24" customHeight="1" ht="18.75">
      <c r="A24" s="1"/>
      <c r="B24" s="38"/>
      <c r="C24" s="298"/>
      <c r="D24" s="1"/>
      <c r="E24" s="1"/>
      <c r="F24" s="1"/>
      <c r="G24" s="1"/>
      <c r="H24" s="1"/>
      <c r="I24" s="1"/>
    </row>
    <row x14ac:dyDescent="0.25" r="25" customHeight="1" ht="18.75">
      <c r="A25" s="1"/>
      <c r="B25" s="38"/>
      <c r="C25" s="298"/>
      <c r="D25" s="1"/>
      <c r="E25" s="1"/>
      <c r="F25" s="1"/>
      <c r="G25" s="1"/>
      <c r="H25" s="1"/>
      <c r="I25" s="1"/>
    </row>
    <row x14ac:dyDescent="0.25" r="26" customHeight="1" ht="18.75">
      <c r="A26" s="1"/>
      <c r="B26" s="38"/>
      <c r="C26" s="298"/>
      <c r="D26" s="1"/>
      <c r="E26" s="1"/>
      <c r="F26" s="1"/>
      <c r="G26" s="1"/>
      <c r="H26" s="1"/>
      <c r="I26" s="1"/>
    </row>
    <row x14ac:dyDescent="0.25" r="27" customHeight="1" ht="18.75">
      <c r="A27" s="1"/>
      <c r="B27" s="38"/>
      <c r="C27" s="298"/>
      <c r="D27" s="1"/>
      <c r="E27" s="1"/>
      <c r="F27" s="1"/>
      <c r="G27" s="1"/>
      <c r="H27" s="1"/>
      <c r="I27" s="1"/>
    </row>
    <row x14ac:dyDescent="0.25" r="28" customHeight="1" ht="18.75">
      <c r="A28" s="1"/>
      <c r="B28" s="38"/>
      <c r="C28" s="298"/>
      <c r="D28" s="1"/>
      <c r="E28" s="1"/>
      <c r="F28" s="1"/>
      <c r="G28" s="1"/>
      <c r="H28" s="1"/>
      <c r="I28" s="1"/>
    </row>
    <row x14ac:dyDescent="0.25" r="29" customHeight="1" ht="18.75">
      <c r="A29" s="302" t="s">
        <v>41155</v>
      </c>
      <c r="B29" s="303" t="s">
        <v>41156</v>
      </c>
      <c r="C29" s="304" t="s">
        <v>41115</v>
      </c>
      <c r="D29" s="305" t="s">
        <v>38996</v>
      </c>
      <c r="E29" s="1"/>
      <c r="F29" s="1"/>
      <c r="G29" s="1"/>
      <c r="H29" s="1"/>
      <c r="I29" s="1"/>
    </row>
    <row x14ac:dyDescent="0.25" r="30" customHeight="1" ht="18.75">
      <c r="A30" s="306" t="s">
        <v>40181</v>
      </c>
      <c r="B30" s="307" t="s">
        <v>41157</v>
      </c>
      <c r="C30" s="308">
        <v>1500000</v>
      </c>
      <c r="D30" s="309" t="s">
        <v>41144</v>
      </c>
      <c r="E30" s="1"/>
      <c r="F30" s="1"/>
      <c r="G30" s="1"/>
      <c r="H30" s="1"/>
      <c r="I30" s="1"/>
    </row>
    <row x14ac:dyDescent="0.25" r="31" customHeight="1" ht="18.75">
      <c r="A31" s="306" t="s">
        <v>39909</v>
      </c>
      <c r="B31" s="307" t="s">
        <v>41158</v>
      </c>
      <c r="C31" s="308">
        <v>149463997.76</v>
      </c>
      <c r="D31" s="309" t="s">
        <v>41145</v>
      </c>
      <c r="E31" s="1"/>
      <c r="F31" s="1"/>
      <c r="G31" s="1"/>
      <c r="H31" s="1"/>
      <c r="I31" s="1"/>
    </row>
    <row x14ac:dyDescent="0.25" r="32" customHeight="1" ht="18.75">
      <c r="A32" s="306" t="s">
        <v>40323</v>
      </c>
      <c r="B32" s="307" t="s">
        <v>41159</v>
      </c>
      <c r="C32" s="308">
        <v>450000</v>
      </c>
      <c r="D32" s="309" t="s">
        <v>41146</v>
      </c>
      <c r="E32" s="1"/>
      <c r="F32" s="1"/>
      <c r="G32" s="1"/>
      <c r="H32" s="1"/>
      <c r="I32" s="1"/>
    </row>
    <row x14ac:dyDescent="0.25" r="33" customHeight="1" ht="18.75">
      <c r="A33" s="306" t="s">
        <v>39985</v>
      </c>
      <c r="B33" s="307" t="s">
        <v>41160</v>
      </c>
      <c r="C33" s="308">
        <v>10000000</v>
      </c>
      <c r="D33" s="309" t="s">
        <v>41144</v>
      </c>
      <c r="E33" s="1"/>
      <c r="F33" s="1"/>
      <c r="G33" s="1"/>
      <c r="H33" s="1"/>
      <c r="I33" s="1"/>
    </row>
    <row x14ac:dyDescent="0.25" r="34" customHeight="1" ht="18.75">
      <c r="A34" s="306" t="s">
        <v>40246</v>
      </c>
      <c r="B34" s="307" t="s">
        <v>41161</v>
      </c>
      <c r="C34" s="308">
        <v>500000</v>
      </c>
      <c r="D34" s="309" t="s">
        <v>41144</v>
      </c>
      <c r="E34" s="1"/>
      <c r="F34" s="1"/>
      <c r="G34" s="1"/>
      <c r="H34" s="1"/>
      <c r="I34" s="1"/>
    </row>
    <row x14ac:dyDescent="0.25" r="35" customHeight="1" ht="18.75">
      <c r="A35" s="306" t="s">
        <v>39938</v>
      </c>
      <c r="B35" s="307" t="s">
        <v>41162</v>
      </c>
      <c r="C35" s="308">
        <v>38256203.993333325</v>
      </c>
      <c r="D35" s="309" t="s">
        <v>41147</v>
      </c>
      <c r="E35" s="1"/>
      <c r="F35" s="1"/>
      <c r="G35" s="1"/>
      <c r="H35" s="1"/>
      <c r="I35" s="1"/>
    </row>
    <row x14ac:dyDescent="0.25" r="36" customHeight="1" ht="18.75">
      <c r="A36" s="306" t="s">
        <v>40242</v>
      </c>
      <c r="B36" s="307" t="s">
        <v>41163</v>
      </c>
      <c r="C36" s="308">
        <v>500000</v>
      </c>
      <c r="D36" s="309" t="s">
        <v>41144</v>
      </c>
      <c r="E36" s="1"/>
      <c r="F36" s="1"/>
      <c r="G36" s="1"/>
      <c r="H36" s="1"/>
      <c r="I36" s="1"/>
    </row>
    <row x14ac:dyDescent="0.25" r="37" customHeight="1" ht="18.75">
      <c r="A37" s="306" t="s">
        <v>40164</v>
      </c>
      <c r="B37" s="307" t="s">
        <v>41164</v>
      </c>
      <c r="C37" s="308">
        <v>1000000</v>
      </c>
      <c r="D37" s="309" t="s">
        <v>41148</v>
      </c>
      <c r="E37" s="1"/>
      <c r="F37" s="1"/>
      <c r="G37" s="1"/>
      <c r="H37" s="1"/>
      <c r="I37" s="1"/>
    </row>
    <row x14ac:dyDescent="0.25" r="38" customHeight="1" ht="18.75">
      <c r="A38" s="306" t="s">
        <v>39917</v>
      </c>
      <c r="B38" s="307" t="s">
        <v>41165</v>
      </c>
      <c r="C38" s="308">
        <v>38742118.607745</v>
      </c>
      <c r="D38" s="309" t="s">
        <v>41149</v>
      </c>
      <c r="E38" s="1"/>
      <c r="F38" s="1"/>
      <c r="G38" s="1"/>
      <c r="H38" s="1"/>
      <c r="I38" s="1"/>
    </row>
    <row x14ac:dyDescent="0.25" r="39" customHeight="1" ht="18.75">
      <c r="A39" s="306" t="s">
        <v>39949</v>
      </c>
      <c r="B39" s="307" t="s">
        <v>41166</v>
      </c>
      <c r="C39" s="308">
        <v>20789080.003</v>
      </c>
      <c r="D39" s="309" t="s">
        <v>41144</v>
      </c>
      <c r="E39" s="1"/>
      <c r="F39" s="1"/>
      <c r="G39" s="1"/>
      <c r="H39" s="1"/>
      <c r="I39" s="1"/>
    </row>
    <row x14ac:dyDescent="0.25" r="40" customHeight="1" ht="18.75">
      <c r="A40" s="306" t="s">
        <v>39932</v>
      </c>
      <c r="B40" s="307" t="s">
        <v>41167</v>
      </c>
      <c r="C40" s="308">
        <v>24358226</v>
      </c>
      <c r="D40" s="309" t="s">
        <v>41150</v>
      </c>
      <c r="E40" s="1"/>
      <c r="F40" s="1"/>
      <c r="G40" s="1"/>
      <c r="H40" s="1"/>
      <c r="I40" s="1"/>
    </row>
    <row x14ac:dyDescent="0.25" r="41" customHeight="1" ht="18.75">
      <c r="A41" s="306" t="s">
        <v>40073</v>
      </c>
      <c r="B41" s="307" t="s">
        <v>41168</v>
      </c>
      <c r="C41" s="308">
        <v>1800000</v>
      </c>
      <c r="D41" s="309" t="s">
        <v>41144</v>
      </c>
      <c r="E41" s="1"/>
      <c r="F41" s="1"/>
      <c r="G41" s="1"/>
      <c r="H41" s="1"/>
      <c r="I41" s="1"/>
    </row>
    <row x14ac:dyDescent="0.25" r="42" customHeight="1" ht="18.75">
      <c r="A42" s="306" t="s">
        <v>39942</v>
      </c>
      <c r="B42" s="307" t="s">
        <v>41169</v>
      </c>
      <c r="C42" s="308">
        <v>4000000</v>
      </c>
      <c r="D42" s="309" t="s">
        <v>41151</v>
      </c>
      <c r="E42" s="1"/>
      <c r="F42" s="1"/>
      <c r="G42" s="1"/>
      <c r="H42" s="1"/>
      <c r="I42" s="1"/>
    </row>
    <row x14ac:dyDescent="0.25" r="43" customHeight="1" ht="18.75">
      <c r="A43" s="306" t="s">
        <v>39980</v>
      </c>
      <c r="B43" s="307" t="s">
        <v>41170</v>
      </c>
      <c r="C43" s="308">
        <v>8500000</v>
      </c>
      <c r="D43" s="309" t="s">
        <v>41152</v>
      </c>
      <c r="E43" s="1"/>
      <c r="F43" s="1"/>
      <c r="G43" s="1"/>
      <c r="H43" s="1"/>
      <c r="I43" s="1"/>
    </row>
    <row x14ac:dyDescent="0.25" r="44" customHeight="1" ht="18.75">
      <c r="A44" s="306" t="s">
        <v>41153</v>
      </c>
      <c r="B44" s="307" t="s">
        <v>40205</v>
      </c>
      <c r="C44" s="308">
        <v>3265000</v>
      </c>
      <c r="D44" s="309" t="s">
        <v>41154</v>
      </c>
      <c r="E44" s="1"/>
      <c r="F44" s="1"/>
      <c r="G44" s="1"/>
      <c r="H44" s="1"/>
      <c r="I44" s="1"/>
    </row>
    <row x14ac:dyDescent="0.25" r="45" customHeight="1" ht="18.75">
      <c r="A45" s="310" t="s">
        <v>41124</v>
      </c>
      <c r="B45" s="311"/>
      <c r="C45" s="312">
        <v>303124626.3640783</v>
      </c>
      <c r="D45" s="313"/>
      <c r="E45" s="1"/>
      <c r="F45" s="1"/>
      <c r="G45" s="1"/>
      <c r="H45" s="1"/>
      <c r="I45" s="1"/>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10"/>
  <sheetViews>
    <sheetView workbookViewId="0"/>
  </sheetViews>
  <sheetFormatPr defaultRowHeight="15" x14ac:dyDescent="0.25"/>
  <cols>
    <col min="1" max="1" style="294" width="18.005" customWidth="1" bestFit="1"/>
    <col min="2" max="2" style="300" width="17.433571428571426" customWidth="1" bestFit="1"/>
    <col min="3" max="3" style="300" width="17.433571428571426" customWidth="1" bestFit="1"/>
    <col min="4" max="4" style="300" width="17.433571428571426" customWidth="1" bestFit="1"/>
    <col min="5" max="5" style="300" width="17.433571428571426" customWidth="1" bestFit="1"/>
    <col min="6" max="6" style="300" width="17.433571428571426" customWidth="1" bestFit="1"/>
  </cols>
  <sheetData>
    <row x14ac:dyDescent="0.25" r="1" customHeight="1" ht="18.75">
      <c r="A1" s="258"/>
      <c r="B1" s="298"/>
      <c r="C1" s="298"/>
      <c r="D1" s="298"/>
      <c r="E1" s="298"/>
      <c r="F1" s="298"/>
    </row>
    <row x14ac:dyDescent="0.25" r="2" customHeight="1" ht="18.75">
      <c r="A2" s="258"/>
      <c r="B2" s="298"/>
      <c r="C2" s="298"/>
      <c r="D2" s="298"/>
      <c r="E2" s="298"/>
      <c r="F2" s="298"/>
    </row>
    <row x14ac:dyDescent="0.25" r="3" customHeight="1" ht="18.75">
      <c r="A3" s="258" t="s">
        <v>41114</v>
      </c>
      <c r="B3" s="298" t="s">
        <v>41115</v>
      </c>
      <c r="C3" s="298" t="s">
        <v>41116</v>
      </c>
      <c r="D3" s="298" t="s">
        <v>41117</v>
      </c>
      <c r="E3" s="298" t="s">
        <v>41118</v>
      </c>
      <c r="F3" s="298"/>
    </row>
    <row x14ac:dyDescent="0.25" r="4" customHeight="1" ht="18.75">
      <c r="A4" s="3" t="s">
        <v>41109</v>
      </c>
      <c r="B4" s="117">
        <v>0</v>
      </c>
      <c r="C4" s="117"/>
      <c r="D4" s="117">
        <v>7820000</v>
      </c>
      <c r="E4" s="117">
        <v>4692000</v>
      </c>
      <c r="F4" s="298"/>
    </row>
    <row x14ac:dyDescent="0.25" r="5" customHeight="1" ht="18.75">
      <c r="A5" s="3" t="s">
        <v>40006</v>
      </c>
      <c r="B5" s="117">
        <v>4600000</v>
      </c>
      <c r="C5" s="117">
        <v>43860319</v>
      </c>
      <c r="D5" s="117">
        <v>14083333.33</v>
      </c>
      <c r="E5" s="117">
        <v>466666.67</v>
      </c>
      <c r="F5" s="117"/>
    </row>
    <row x14ac:dyDescent="0.25" r="6" customHeight="1" ht="18.75">
      <c r="A6" s="3" t="s">
        <v>39969</v>
      </c>
      <c r="B6" s="117">
        <v>700000</v>
      </c>
      <c r="C6" s="117">
        <v>13550000</v>
      </c>
      <c r="D6" s="117">
        <v>14350000</v>
      </c>
      <c r="E6" s="117">
        <v>3500000</v>
      </c>
      <c r="F6" s="117">
        <v>700000</v>
      </c>
    </row>
    <row x14ac:dyDescent="0.25" r="7" customHeight="1" ht="18.75">
      <c r="A7" s="3" t="s">
        <v>39998</v>
      </c>
      <c r="B7" s="117">
        <v>12739030.003</v>
      </c>
      <c r="C7" s="117">
        <v>27940000</v>
      </c>
      <c r="D7" s="117">
        <v>5478000</v>
      </c>
      <c r="E7" s="117">
        <v>0</v>
      </c>
      <c r="F7" s="117">
        <v>12739030.003</v>
      </c>
    </row>
    <row x14ac:dyDescent="0.25" r="8" customHeight="1" ht="18.75">
      <c r="A8" s="3" t="s">
        <v>39945</v>
      </c>
      <c r="B8" s="117">
        <v>5662050</v>
      </c>
      <c r="C8" s="117">
        <v>41010250</v>
      </c>
      <c r="D8" s="117">
        <v>9250000</v>
      </c>
      <c r="E8" s="117">
        <v>0</v>
      </c>
      <c r="F8" s="117">
        <v>5662050</v>
      </c>
    </row>
    <row x14ac:dyDescent="0.25" r="9" customHeight="1" ht="18.75">
      <c r="A9" s="3" t="s">
        <v>39912</v>
      </c>
      <c r="B9" s="117">
        <v>279423546.3610783</v>
      </c>
      <c r="C9" s="117">
        <v>448062352.12981325</v>
      </c>
      <c r="D9" s="117">
        <v>205745622.99250007</v>
      </c>
      <c r="E9" s="117">
        <v>108926375.79</v>
      </c>
      <c r="F9" s="117">
        <v>279423546.3610783</v>
      </c>
    </row>
    <row x14ac:dyDescent="0.25" r="10" customHeight="1" ht="18.75">
      <c r="A10" s="3" t="s">
        <v>41124</v>
      </c>
      <c r="B10" s="117">
        <v>303124626.36407834</v>
      </c>
      <c r="C10" s="117">
        <v>574422921.1298132</v>
      </c>
      <c r="D10" s="117">
        <v>256726956.32250005</v>
      </c>
      <c r="E10" s="117">
        <v>117585042.46000001</v>
      </c>
      <c r="F10" s="117">
        <f>SUM(F5:F9)</f>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42"/>
  <sheetViews>
    <sheetView workbookViewId="0"/>
  </sheetViews>
  <sheetFormatPr defaultRowHeight="15" x14ac:dyDescent="0.25"/>
  <cols>
    <col min="1" max="1" style="294" width="16.290714285714284" customWidth="1" bestFit="1"/>
    <col min="2" max="2" style="299" width="13.576428571428572" customWidth="1" bestFit="1"/>
    <col min="3" max="3" style="300" width="18.576428571428572" customWidth="1" bestFit="1"/>
  </cols>
  <sheetData>
    <row x14ac:dyDescent="0.25" r="1" customHeight="1" ht="18.75">
      <c r="A1" s="258"/>
      <c r="B1" s="297"/>
      <c r="C1" s="298"/>
    </row>
    <row x14ac:dyDescent="0.25" r="2" customHeight="1" ht="18.75">
      <c r="A2" s="258"/>
      <c r="B2" s="297"/>
      <c r="C2" s="298"/>
    </row>
    <row x14ac:dyDescent="0.25" r="3" customHeight="1" ht="18.75">
      <c r="A3" s="258" t="s">
        <v>41114</v>
      </c>
      <c r="B3" s="297" t="s">
        <v>41115</v>
      </c>
      <c r="C3" s="298"/>
    </row>
    <row x14ac:dyDescent="0.25" r="4" customHeight="1" ht="18.75">
      <c r="A4" s="3" t="s">
        <v>41126</v>
      </c>
      <c r="B4" s="117">
        <v>1989080.003</v>
      </c>
      <c r="C4" s="298"/>
    </row>
    <row x14ac:dyDescent="0.25" r="5" customHeight="1" ht="18.75">
      <c r="A5" s="3" t="s">
        <v>41127</v>
      </c>
      <c r="B5" s="117">
        <v>38600000</v>
      </c>
      <c r="C5" s="298"/>
    </row>
    <row x14ac:dyDescent="0.25" r="6" customHeight="1" ht="18.75">
      <c r="A6" s="3" t="s">
        <v>41128</v>
      </c>
      <c r="B6" s="117">
        <v>218462320.36107832</v>
      </c>
      <c r="C6" s="298"/>
    </row>
    <row x14ac:dyDescent="0.25" r="7" customHeight="1" ht="18.75">
      <c r="A7" s="3" t="s">
        <v>41129</v>
      </c>
      <c r="B7" s="117">
        <v>0</v>
      </c>
      <c r="C7" s="298"/>
    </row>
    <row x14ac:dyDescent="0.25" r="8" customHeight="1" ht="18.75">
      <c r="A8" s="3" t="s">
        <v>41130</v>
      </c>
      <c r="B8" s="117">
        <v>450000</v>
      </c>
      <c r="C8" s="298"/>
    </row>
    <row x14ac:dyDescent="0.25" r="9" customHeight="1" ht="18.75">
      <c r="A9" s="3" t="s">
        <v>41131</v>
      </c>
      <c r="B9" s="117">
        <v>8500000</v>
      </c>
      <c r="C9" s="298"/>
    </row>
    <row x14ac:dyDescent="0.25" r="10" customHeight="1" ht="18.75">
      <c r="A10" s="3" t="s">
        <v>39952</v>
      </c>
      <c r="B10" s="117">
        <v>4600000</v>
      </c>
      <c r="C10" s="298"/>
    </row>
    <row x14ac:dyDescent="0.25" r="11" customHeight="1" ht="18.75">
      <c r="A11" s="3" t="s">
        <v>40013</v>
      </c>
      <c r="B11" s="117">
        <v>500000</v>
      </c>
      <c r="C11" s="298"/>
    </row>
    <row x14ac:dyDescent="0.25" r="12" customHeight="1" ht="18.75">
      <c r="A12" s="3" t="s">
        <v>40053</v>
      </c>
      <c r="B12" s="117">
        <v>1300000</v>
      </c>
      <c r="C12" s="298"/>
    </row>
    <row x14ac:dyDescent="0.25" r="13" customHeight="1" ht="18.75">
      <c r="A13" s="3" t="s">
        <v>39946</v>
      </c>
      <c r="B13" s="117">
        <v>0</v>
      </c>
      <c r="C13" s="298"/>
    </row>
    <row x14ac:dyDescent="0.25" r="14" customHeight="1" ht="18.75">
      <c r="A14" s="3" t="s">
        <v>41132</v>
      </c>
      <c r="B14" s="117">
        <v>0</v>
      </c>
      <c r="C14" s="298"/>
    </row>
    <row x14ac:dyDescent="0.25" r="15" customHeight="1" ht="18.75">
      <c r="A15" s="3" t="s">
        <v>39935</v>
      </c>
      <c r="B15" s="117">
        <v>623686</v>
      </c>
      <c r="C15" s="298"/>
    </row>
    <row x14ac:dyDescent="0.25" r="16" customHeight="1" ht="18.75">
      <c r="A16" s="3" t="s">
        <v>39956</v>
      </c>
      <c r="B16" s="117">
        <v>16834540</v>
      </c>
      <c r="C16" s="298"/>
    </row>
    <row x14ac:dyDescent="0.25" r="17" customHeight="1" ht="18.75">
      <c r="A17" s="3" t="s">
        <v>40043</v>
      </c>
      <c r="B17" s="117">
        <v>7000000</v>
      </c>
      <c r="C17" s="298"/>
    </row>
    <row x14ac:dyDescent="0.25" r="18" customHeight="1" ht="18.75">
      <c r="A18" s="3" t="s">
        <v>40018</v>
      </c>
      <c r="B18" s="117">
        <v>3265000</v>
      </c>
      <c r="C18" s="298"/>
    </row>
    <row x14ac:dyDescent="0.25" r="19" customHeight="1" ht="18.75">
      <c r="A19" s="3" t="s">
        <v>41133</v>
      </c>
      <c r="B19" s="117">
        <v>1000000</v>
      </c>
      <c r="C19" s="298"/>
    </row>
    <row x14ac:dyDescent="0.25" r="20" customHeight="1" ht="18.75">
      <c r="A20" s="3" t="s">
        <v>41124</v>
      </c>
      <c r="B20" s="117">
        <v>303124626.3640783</v>
      </c>
      <c r="C20" s="298"/>
    </row>
    <row x14ac:dyDescent="0.25" r="21" customHeight="1" ht="18.75">
      <c r="A21" s="258"/>
      <c r="B21" s="297"/>
      <c r="C21" s="298"/>
    </row>
    <row x14ac:dyDescent="0.25" r="22" customHeight="1" ht="18.75">
      <c r="A22" s="258" t="s">
        <v>39899</v>
      </c>
      <c r="B22" s="297" t="s">
        <v>41134</v>
      </c>
      <c r="C22" s="298"/>
    </row>
    <row x14ac:dyDescent="0.25" r="23" customHeight="1" ht="18.75">
      <c r="A23" s="258"/>
      <c r="B23" s="297"/>
      <c r="C23" s="298"/>
    </row>
    <row x14ac:dyDescent="0.25" r="24" customHeight="1" ht="18.75">
      <c r="A24" s="258" t="s">
        <v>41114</v>
      </c>
      <c r="B24" s="297" t="s">
        <v>41135</v>
      </c>
      <c r="C24" s="298" t="s">
        <v>41115</v>
      </c>
    </row>
    <row x14ac:dyDescent="0.25" r="25" customHeight="1" ht="18.75">
      <c r="A25" s="3" t="s">
        <v>41136</v>
      </c>
      <c r="B25" s="22">
        <v>7</v>
      </c>
      <c r="C25" s="117">
        <v>2226686</v>
      </c>
    </row>
    <row x14ac:dyDescent="0.25" r="26" customHeight="1" ht="18.75">
      <c r="A26" s="3" t="s">
        <v>41137</v>
      </c>
      <c r="B26" s="22">
        <v>15</v>
      </c>
      <c r="C26" s="117">
        <v>11531366.003</v>
      </c>
    </row>
    <row x14ac:dyDescent="0.25" r="27" customHeight="1" ht="18.75">
      <c r="A27" s="3" t="s">
        <v>41138</v>
      </c>
      <c r="B27" s="22">
        <v>9</v>
      </c>
      <c r="C27" s="117">
        <v>12750000</v>
      </c>
    </row>
    <row x14ac:dyDescent="0.25" r="28" customHeight="1" ht="18.75">
      <c r="A28" s="3" t="s">
        <v>41139</v>
      </c>
      <c r="B28" s="22">
        <v>13</v>
      </c>
      <c r="C28" s="117">
        <v>48154254</v>
      </c>
    </row>
    <row x14ac:dyDescent="0.25" r="29" customHeight="1" ht="18.75">
      <c r="A29" s="3" t="s">
        <v>41140</v>
      </c>
      <c r="B29" s="22">
        <v>5</v>
      </c>
      <c r="C29" s="117">
        <v>228462320.36107832</v>
      </c>
    </row>
    <row x14ac:dyDescent="0.25" r="30" customHeight="1" ht="18.75">
      <c r="A30" s="3" t="s">
        <v>41124</v>
      </c>
      <c r="B30" s="22">
        <v>49</v>
      </c>
      <c r="C30" s="117">
        <v>303124626.3640783</v>
      </c>
    </row>
    <row x14ac:dyDescent="0.25" r="31" customHeight="1" ht="18.75">
      <c r="A31" s="258"/>
      <c r="B31" s="297"/>
      <c r="C31" s="298"/>
    </row>
    <row x14ac:dyDescent="0.25" r="32" customHeight="1" ht="18.75">
      <c r="A32" s="258"/>
      <c r="B32" s="297"/>
      <c r="C32" s="298"/>
    </row>
    <row x14ac:dyDescent="0.25" r="33" customHeight="1" ht="18.75">
      <c r="A33" s="258"/>
      <c r="B33" s="297"/>
      <c r="C33" s="298"/>
    </row>
    <row x14ac:dyDescent="0.25" r="34" customHeight="1" ht="18.75">
      <c r="A34" s="258"/>
      <c r="B34" s="297"/>
      <c r="C34" s="298"/>
    </row>
    <row x14ac:dyDescent="0.25" r="35" customHeight="1" ht="18.75">
      <c r="A35" s="258"/>
      <c r="B35" s="297"/>
      <c r="C35" s="298"/>
    </row>
    <row x14ac:dyDescent="0.25" r="36" customHeight="1" ht="18.75">
      <c r="A36" s="258" t="s">
        <v>41114</v>
      </c>
      <c r="B36" s="297" t="s">
        <v>41135</v>
      </c>
      <c r="C36" s="298" t="s">
        <v>41141</v>
      </c>
    </row>
    <row x14ac:dyDescent="0.25" r="37" customHeight="1" ht="18.75">
      <c r="A37" s="3" t="s">
        <v>41136</v>
      </c>
      <c r="B37" s="22">
        <v>35</v>
      </c>
      <c r="C37" s="117">
        <v>15026686</v>
      </c>
    </row>
    <row x14ac:dyDescent="0.25" r="38" customHeight="1" ht="18.75">
      <c r="A38" s="3" t="s">
        <v>41137</v>
      </c>
      <c r="B38" s="22">
        <v>39</v>
      </c>
      <c r="C38" s="117">
        <v>49557611.073</v>
      </c>
    </row>
    <row x14ac:dyDescent="0.25" r="39" customHeight="1" ht="18.75">
      <c r="A39" s="3" t="s">
        <v>41138</v>
      </c>
      <c r="B39" s="22">
        <v>21</v>
      </c>
      <c r="C39" s="117">
        <v>68857200</v>
      </c>
    </row>
    <row x14ac:dyDescent="0.25" r="40" customHeight="1" ht="18.75">
      <c r="A40" s="3" t="s">
        <v>41139</v>
      </c>
      <c r="B40" s="22">
        <v>20</v>
      </c>
      <c r="C40" s="117">
        <v>185044504</v>
      </c>
    </row>
    <row x14ac:dyDescent="0.25" r="41" customHeight="1" ht="18.75">
      <c r="A41" s="3" t="s">
        <v>41140</v>
      </c>
      <c r="B41" s="22">
        <v>8</v>
      </c>
      <c r="C41" s="117">
        <v>934873545.2033917</v>
      </c>
    </row>
    <row x14ac:dyDescent="0.25" r="42" customHeight="1" ht="18.75">
      <c r="A42" s="3" t="s">
        <v>41124</v>
      </c>
      <c r="B42" s="22">
        <v>123</v>
      </c>
      <c r="C42" s="117">
        <v>1253359546.2763915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O161"/>
  <sheetViews>
    <sheetView workbookViewId="0"/>
  </sheetViews>
  <sheetFormatPr defaultRowHeight="15" x14ac:dyDescent="0.25"/>
  <cols>
    <col min="1" max="1" style="294" width="18.005" customWidth="1" bestFit="1"/>
    <col min="2" max="2" style="295" width="17.433571428571426" customWidth="1" bestFit="1"/>
    <col min="3" max="3" style="296" width="14.719285714285713" customWidth="1" bestFit="1"/>
    <col min="4" max="4" style="296" width="14.719285714285713" customWidth="1" bestFit="1"/>
    <col min="5" max="5" style="296" width="14.719285714285713" customWidth="1" bestFit="1"/>
    <col min="6" max="6" style="296" width="12.576428571428572" customWidth="1" bestFit="1"/>
    <col min="7" max="7" style="296" width="17.433571428571426" customWidth="1" bestFit="1"/>
    <col min="8" max="8" style="296" width="15.576428571428572" customWidth="1" bestFit="1"/>
    <col min="9" max="9" style="15" width="17.433571428571426" customWidth="1" bestFit="1"/>
    <col min="10" max="10" style="126" width="15.290714285714287" customWidth="1" bestFit="1"/>
    <col min="11" max="11" style="126" width="13.719285714285713" customWidth="1" bestFit="1"/>
    <col min="12" max="12" style="126" width="13.719285714285713" customWidth="1" bestFit="1"/>
    <col min="13" max="13" style="126" width="12.576428571428572" customWidth="1" bestFit="1"/>
    <col min="14" max="14" style="126" width="12.576428571428572" customWidth="1" bestFit="1"/>
    <col min="15" max="15" style="126" width="17.433571428571426" customWidth="1" bestFit="1"/>
  </cols>
  <sheetData>
    <row x14ac:dyDescent="0.25" r="1" customHeight="1" ht="18.75">
      <c r="A1" s="258"/>
      <c r="B1" s="259"/>
      <c r="C1" s="260"/>
      <c r="D1" s="260"/>
      <c r="E1" s="260"/>
      <c r="F1" s="260"/>
      <c r="G1" s="260"/>
      <c r="H1" s="260"/>
      <c r="I1" s="1"/>
      <c r="J1" s="38"/>
      <c r="K1" s="38"/>
      <c r="L1" s="38"/>
      <c r="M1" s="38"/>
      <c r="N1" s="38"/>
      <c r="O1" s="38"/>
    </row>
    <row x14ac:dyDescent="0.25" r="2" customHeight="1" ht="18.75">
      <c r="A2" s="258"/>
      <c r="B2" s="259"/>
      <c r="C2" s="260"/>
      <c r="D2" s="260"/>
      <c r="E2" s="260"/>
      <c r="F2" s="260"/>
      <c r="G2" s="260"/>
      <c r="H2" s="260"/>
      <c r="I2" s="1"/>
      <c r="J2" s="38"/>
      <c r="K2" s="38"/>
      <c r="L2" s="38"/>
      <c r="M2" s="38"/>
      <c r="N2" s="38"/>
      <c r="O2" s="38"/>
    </row>
    <row x14ac:dyDescent="0.25" r="3" customHeight="1" ht="18.75">
      <c r="A3" s="258" t="s">
        <v>0</v>
      </c>
      <c r="B3" s="259" t="s">
        <v>8</v>
      </c>
      <c r="C3" s="260"/>
      <c r="D3" s="260"/>
      <c r="E3" s="260"/>
      <c r="F3" s="260"/>
      <c r="G3" s="260"/>
      <c r="H3" s="260"/>
      <c r="I3" s="1"/>
      <c r="J3" s="38"/>
      <c r="K3" s="38"/>
      <c r="L3" s="38"/>
      <c r="M3" s="38"/>
      <c r="N3" s="38"/>
      <c r="O3" s="38"/>
    </row>
    <row x14ac:dyDescent="0.25" r="4" customHeight="1" ht="18.75">
      <c r="A4" s="258" t="s">
        <v>39001</v>
      </c>
      <c r="B4" s="259" t="s">
        <v>21</v>
      </c>
      <c r="C4" s="260"/>
      <c r="D4" s="260"/>
      <c r="E4" s="260"/>
      <c r="F4" s="260"/>
      <c r="G4" s="260"/>
      <c r="H4" s="260"/>
      <c r="I4" s="1"/>
      <c r="J4" s="38"/>
      <c r="K4" s="38"/>
      <c r="L4" s="38"/>
      <c r="M4" s="38"/>
      <c r="N4" s="38"/>
      <c r="O4" s="38"/>
    </row>
    <row x14ac:dyDescent="0.25" r="5" customHeight="1" ht="18.75">
      <c r="A5" s="258"/>
      <c r="B5" s="259"/>
      <c r="C5" s="260"/>
      <c r="D5" s="260"/>
      <c r="E5" s="260"/>
      <c r="F5" s="260"/>
      <c r="G5" s="260"/>
      <c r="H5" s="260"/>
      <c r="I5" s="1"/>
      <c r="J5" s="38"/>
      <c r="K5" s="38"/>
      <c r="L5" s="38"/>
      <c r="M5" s="38"/>
      <c r="N5" s="38"/>
      <c r="O5" s="38"/>
    </row>
    <row x14ac:dyDescent="0.25" r="6" customHeight="1" ht="18.75">
      <c r="A6" s="258" t="s">
        <v>41114</v>
      </c>
      <c r="B6" s="259" t="s">
        <v>41115</v>
      </c>
      <c r="C6" s="260" t="s">
        <v>41116</v>
      </c>
      <c r="D6" s="260" t="s">
        <v>41117</v>
      </c>
      <c r="E6" s="260" t="s">
        <v>41118</v>
      </c>
      <c r="F6" s="260" t="s">
        <v>41119</v>
      </c>
      <c r="G6" s="260" t="s">
        <v>41120</v>
      </c>
      <c r="H6" s="260"/>
      <c r="I6" s="1"/>
      <c r="J6" s="38"/>
      <c r="K6" s="38"/>
      <c r="L6" s="38"/>
      <c r="M6" s="38"/>
      <c r="N6" s="38"/>
      <c r="O6" s="38"/>
    </row>
    <row x14ac:dyDescent="0.25" r="7" customHeight="1" ht="18.75">
      <c r="A7" s="3" t="s">
        <v>46</v>
      </c>
      <c r="B7" s="261">
        <v>251992320.36107832</v>
      </c>
      <c r="C7" s="261">
        <v>380298307.92981327</v>
      </c>
      <c r="D7" s="261">
        <v>155370088.79250008</v>
      </c>
      <c r="E7" s="261">
        <v>78668375.79</v>
      </c>
      <c r="F7" s="261">
        <v>500000</v>
      </c>
      <c r="G7" s="261">
        <v>866829092.8733916</v>
      </c>
      <c r="H7" s="260"/>
      <c r="I7" s="1"/>
      <c r="J7" s="38"/>
      <c r="K7" s="38"/>
      <c r="L7" s="38"/>
      <c r="M7" s="38"/>
      <c r="N7" s="38"/>
      <c r="O7" s="38"/>
    </row>
    <row x14ac:dyDescent="0.25" r="8" customHeight="1" ht="18.75">
      <c r="A8" s="3" t="s">
        <v>88</v>
      </c>
      <c r="B8" s="261">
        <v>251992320.36107832</v>
      </c>
      <c r="C8" s="261">
        <v>380298307.92981327</v>
      </c>
      <c r="D8" s="261">
        <v>155370088.79250008</v>
      </c>
      <c r="E8" s="261">
        <v>78668375.79</v>
      </c>
      <c r="F8" s="261">
        <v>500000</v>
      </c>
      <c r="G8" s="261">
        <v>866829092.8733916</v>
      </c>
      <c r="H8" s="260"/>
      <c r="I8" s="1"/>
      <c r="J8" s="38"/>
      <c r="K8" s="38"/>
      <c r="L8" s="38"/>
      <c r="M8" s="38"/>
      <c r="N8" s="38"/>
      <c r="O8" s="38"/>
    </row>
    <row x14ac:dyDescent="0.25" r="9" customHeight="1" ht="18.75">
      <c r="A9" s="3" t="s">
        <v>64</v>
      </c>
      <c r="B9" s="261">
        <v>29512766.003</v>
      </c>
      <c r="C9" s="261">
        <v>79257760</v>
      </c>
      <c r="D9" s="261">
        <v>30950000</v>
      </c>
      <c r="E9" s="261">
        <v>21000000</v>
      </c>
      <c r="F9" s="261">
        <v>0</v>
      </c>
      <c r="G9" s="261">
        <v>160720526.003</v>
      </c>
      <c r="H9" s="260"/>
      <c r="I9" s="1"/>
      <c r="J9" s="38"/>
      <c r="K9" s="38"/>
      <c r="L9" s="38"/>
      <c r="M9" s="38"/>
      <c r="N9" s="38"/>
      <c r="O9" s="38"/>
    </row>
    <row x14ac:dyDescent="0.25" r="10" customHeight="1" ht="18.75">
      <c r="A10" s="3" t="s">
        <v>88</v>
      </c>
      <c r="B10" s="261">
        <v>29512766.003</v>
      </c>
      <c r="C10" s="261">
        <v>79257760</v>
      </c>
      <c r="D10" s="261">
        <v>30950000</v>
      </c>
      <c r="E10" s="261">
        <v>21000000</v>
      </c>
      <c r="F10" s="261">
        <v>0</v>
      </c>
      <c r="G10" s="261">
        <v>160720526.003</v>
      </c>
      <c r="H10" s="260"/>
      <c r="I10" s="1"/>
      <c r="J10" s="38"/>
      <c r="K10" s="38"/>
      <c r="L10" s="38"/>
      <c r="M10" s="38"/>
      <c r="N10" s="38"/>
      <c r="O10" s="38"/>
    </row>
    <row x14ac:dyDescent="0.25" r="11" customHeight="1" ht="18.75">
      <c r="A11" s="3" t="s">
        <v>41121</v>
      </c>
      <c r="B11" s="261">
        <v>0</v>
      </c>
      <c r="C11" s="261">
        <v>55460319</v>
      </c>
      <c r="D11" s="261">
        <v>23183333.33</v>
      </c>
      <c r="E11" s="261">
        <v>2000000</v>
      </c>
      <c r="F11" s="261">
        <v>1000000</v>
      </c>
      <c r="G11" s="261">
        <v>81643652.33</v>
      </c>
      <c r="H11" s="260"/>
      <c r="I11" s="1"/>
      <c r="J11" s="38"/>
      <c r="K11" s="38"/>
      <c r="L11" s="38"/>
      <c r="M11" s="38"/>
      <c r="N11" s="38"/>
      <c r="O11" s="38"/>
    </row>
    <row x14ac:dyDescent="0.25" r="12" customHeight="1" ht="18.75">
      <c r="A12" s="3" t="s">
        <v>88</v>
      </c>
      <c r="B12" s="261">
        <v>0</v>
      </c>
      <c r="C12" s="261">
        <v>55460319</v>
      </c>
      <c r="D12" s="261">
        <v>23183333.33</v>
      </c>
      <c r="E12" s="261">
        <v>2000000</v>
      </c>
      <c r="F12" s="261">
        <v>1000000</v>
      </c>
      <c r="G12" s="261">
        <v>81643652.33</v>
      </c>
      <c r="H12" s="260"/>
      <c r="I12" s="1"/>
      <c r="J12" s="38"/>
      <c r="K12" s="38"/>
      <c r="L12" s="38"/>
      <c r="M12" s="38"/>
      <c r="N12" s="38"/>
      <c r="O12" s="38"/>
    </row>
    <row x14ac:dyDescent="0.25" r="13" customHeight="1" ht="18.75">
      <c r="A13" s="3" t="s">
        <v>41122</v>
      </c>
      <c r="B13" s="261">
        <v>10000000</v>
      </c>
      <c r="C13" s="261">
        <v>0</v>
      </c>
      <c r="D13" s="261">
        <v>0</v>
      </c>
      <c r="E13" s="261">
        <v>0</v>
      </c>
      <c r="F13" s="261">
        <v>0</v>
      </c>
      <c r="G13" s="261">
        <v>10000000</v>
      </c>
      <c r="H13" s="260"/>
      <c r="I13" s="1"/>
      <c r="J13" s="38"/>
      <c r="K13" s="38"/>
      <c r="L13" s="38"/>
      <c r="M13" s="38"/>
      <c r="N13" s="38"/>
      <c r="O13" s="38"/>
    </row>
    <row x14ac:dyDescent="0.25" r="14" customHeight="1" ht="18.75">
      <c r="A14" s="3" t="s">
        <v>88</v>
      </c>
      <c r="B14" s="261">
        <v>10000000</v>
      </c>
      <c r="C14" s="261">
        <v>0</v>
      </c>
      <c r="D14" s="261">
        <v>0</v>
      </c>
      <c r="E14" s="261">
        <v>0</v>
      </c>
      <c r="F14" s="261">
        <v>0</v>
      </c>
      <c r="G14" s="261">
        <v>10000000</v>
      </c>
      <c r="H14" s="260"/>
      <c r="I14" s="1"/>
      <c r="J14" s="38"/>
      <c r="K14" s="38"/>
      <c r="L14" s="38"/>
      <c r="M14" s="38"/>
      <c r="N14" s="38"/>
      <c r="O14" s="38"/>
    </row>
    <row x14ac:dyDescent="0.25" r="15" customHeight="1" ht="18.75">
      <c r="A15" s="3" t="s">
        <v>41123</v>
      </c>
      <c r="B15" s="261">
        <v>8354540</v>
      </c>
      <c r="C15" s="261">
        <v>54616534.2</v>
      </c>
      <c r="D15" s="261">
        <v>46445534.2</v>
      </c>
      <c r="E15" s="261">
        <v>15916666.67</v>
      </c>
      <c r="F15" s="261">
        <v>0</v>
      </c>
      <c r="G15" s="261">
        <v>125333275.07000001</v>
      </c>
      <c r="H15" s="260"/>
      <c r="I15" s="1"/>
      <c r="J15" s="38"/>
      <c r="K15" s="38"/>
      <c r="L15" s="38"/>
      <c r="M15" s="38"/>
      <c r="N15" s="38"/>
      <c r="O15" s="38"/>
    </row>
    <row x14ac:dyDescent="0.25" r="16" customHeight="1" ht="18.75">
      <c r="A16" s="3" t="s">
        <v>88</v>
      </c>
      <c r="B16" s="261">
        <v>8354540</v>
      </c>
      <c r="C16" s="261">
        <v>54616534.2</v>
      </c>
      <c r="D16" s="261">
        <v>46445534.2</v>
      </c>
      <c r="E16" s="261">
        <v>15916666.67</v>
      </c>
      <c r="F16" s="261">
        <v>0</v>
      </c>
      <c r="G16" s="261">
        <v>125333275.07000001</v>
      </c>
      <c r="H16" s="260"/>
      <c r="I16" s="1"/>
      <c r="J16" s="38"/>
      <c r="K16" s="38"/>
      <c r="L16" s="38"/>
      <c r="M16" s="38"/>
      <c r="N16" s="38"/>
      <c r="O16" s="38"/>
    </row>
    <row x14ac:dyDescent="0.25" r="17" customHeight="1" ht="18.75">
      <c r="A17" s="3" t="s">
        <v>41124</v>
      </c>
      <c r="B17" s="261">
        <v>299859626.36407834</v>
      </c>
      <c r="C17" s="261">
        <v>569632921.1298133</v>
      </c>
      <c r="D17" s="261">
        <v>255948956.32250005</v>
      </c>
      <c r="E17" s="261">
        <v>117585042.46000001</v>
      </c>
      <c r="F17" s="261">
        <v>1500000</v>
      </c>
      <c r="G17" s="261">
        <v>1244526546.2763915</v>
      </c>
      <c r="H17" s="260"/>
      <c r="I17" s="1"/>
      <c r="J17" s="38"/>
      <c r="K17" s="38"/>
      <c r="L17" s="38"/>
      <c r="M17" s="38"/>
      <c r="N17" s="38"/>
      <c r="O17" s="38"/>
    </row>
    <row x14ac:dyDescent="0.25" r="18" customHeight="1" ht="18.75">
      <c r="A18" s="258"/>
      <c r="B18" s="259"/>
      <c r="C18" s="260"/>
      <c r="D18" s="260"/>
      <c r="E18" s="260"/>
      <c r="F18" s="260"/>
      <c r="G18" s="260"/>
      <c r="H18" s="260"/>
      <c r="I18" s="1"/>
      <c r="J18" s="38"/>
      <c r="K18" s="38"/>
      <c r="L18" s="38"/>
      <c r="M18" s="38"/>
      <c r="N18" s="38"/>
      <c r="O18" s="38"/>
    </row>
    <row x14ac:dyDescent="0.25" r="19" customHeight="1" ht="18.75">
      <c r="A19" s="258"/>
      <c r="B19" s="259"/>
      <c r="C19" s="260"/>
      <c r="D19" s="260"/>
      <c r="E19" s="260"/>
      <c r="F19" s="260"/>
      <c r="G19" s="260"/>
      <c r="H19" s="260"/>
      <c r="I19" s="1"/>
      <c r="J19" s="38"/>
      <c r="K19" s="38"/>
      <c r="L19" s="38"/>
      <c r="M19" s="38"/>
      <c r="N19" s="38"/>
      <c r="O19" s="38"/>
    </row>
    <row x14ac:dyDescent="0.25" r="20" customHeight="1" ht="18.75">
      <c r="A20" s="258"/>
      <c r="B20" s="259"/>
      <c r="C20" s="260"/>
      <c r="D20" s="260"/>
      <c r="E20" s="260"/>
      <c r="F20" s="260"/>
      <c r="G20" s="260"/>
      <c r="H20" s="260"/>
      <c r="I20" s="1"/>
      <c r="J20" s="38"/>
      <c r="K20" s="38"/>
      <c r="L20" s="38"/>
      <c r="M20" s="38"/>
      <c r="N20" s="38"/>
      <c r="O20" s="38"/>
    </row>
    <row x14ac:dyDescent="0.25" r="21" customHeight="1" ht="18.75">
      <c r="A21" s="258"/>
      <c r="B21" s="259"/>
      <c r="C21" s="260"/>
      <c r="D21" s="260"/>
      <c r="E21" s="260"/>
      <c r="F21" s="260"/>
      <c r="G21" s="260"/>
      <c r="H21" s="260"/>
      <c r="I21" s="1"/>
      <c r="J21" s="38"/>
      <c r="K21" s="38"/>
      <c r="L21" s="38"/>
      <c r="M21" s="38"/>
      <c r="N21" s="38"/>
      <c r="O21" s="38"/>
    </row>
    <row x14ac:dyDescent="0.25" r="22" customHeight="1" ht="18.75">
      <c r="A22" s="258"/>
      <c r="B22" s="259"/>
      <c r="C22" s="260"/>
      <c r="D22" s="260"/>
      <c r="E22" s="260"/>
      <c r="F22" s="260"/>
      <c r="G22" s="260"/>
      <c r="H22" s="260"/>
      <c r="I22" s="1"/>
      <c r="J22" s="38"/>
      <c r="K22" s="38"/>
      <c r="L22" s="38"/>
      <c r="M22" s="38"/>
      <c r="N22" s="38"/>
      <c r="O22" s="38"/>
    </row>
    <row x14ac:dyDescent="0.25" r="23" customHeight="1" ht="18.75">
      <c r="A23" s="258"/>
      <c r="B23" s="259"/>
      <c r="C23" s="260"/>
      <c r="D23" s="260"/>
      <c r="E23" s="260"/>
      <c r="F23" s="260"/>
      <c r="G23" s="260"/>
      <c r="H23" s="260"/>
      <c r="I23" s="1"/>
      <c r="J23" s="38"/>
      <c r="K23" s="38"/>
      <c r="L23" s="38"/>
      <c r="M23" s="38"/>
      <c r="N23" s="38"/>
      <c r="O23" s="38"/>
    </row>
    <row x14ac:dyDescent="0.25" r="24" customHeight="1" ht="18.75">
      <c r="A24" s="258"/>
      <c r="B24" s="259"/>
      <c r="C24" s="260"/>
      <c r="D24" s="260"/>
      <c r="E24" s="260"/>
      <c r="F24" s="260"/>
      <c r="G24" s="260"/>
      <c r="H24" s="260"/>
      <c r="I24" s="1"/>
      <c r="J24" s="38"/>
      <c r="K24" s="38"/>
      <c r="L24" s="38"/>
      <c r="M24" s="38"/>
      <c r="N24" s="38"/>
      <c r="O24" s="38"/>
    </row>
    <row x14ac:dyDescent="0.25" r="25" customHeight="1" ht="18.75">
      <c r="A25" s="258"/>
      <c r="B25" s="259"/>
      <c r="C25" s="260"/>
      <c r="D25" s="260"/>
      <c r="E25" s="260"/>
      <c r="F25" s="260"/>
      <c r="G25" s="260"/>
      <c r="H25" s="260"/>
      <c r="I25" s="1"/>
      <c r="J25" s="38"/>
      <c r="K25" s="38"/>
      <c r="L25" s="38"/>
      <c r="M25" s="38"/>
      <c r="N25" s="38"/>
      <c r="O25" s="38"/>
    </row>
    <row x14ac:dyDescent="0.25" r="26" customHeight="1" ht="18.75">
      <c r="A26" s="258"/>
      <c r="B26" s="259"/>
      <c r="C26" s="260"/>
      <c r="D26" s="260"/>
      <c r="E26" s="260"/>
      <c r="F26" s="260"/>
      <c r="G26" s="260"/>
      <c r="H26" s="260"/>
      <c r="I26" s="1"/>
      <c r="J26" s="38"/>
      <c r="K26" s="38"/>
      <c r="L26" s="38"/>
      <c r="M26" s="38"/>
      <c r="N26" s="38"/>
      <c r="O26" s="38"/>
    </row>
    <row x14ac:dyDescent="0.25" r="27" customHeight="1" ht="18.75">
      <c r="A27" s="258"/>
      <c r="B27" s="259"/>
      <c r="C27" s="260"/>
      <c r="D27" s="260"/>
      <c r="E27" s="260"/>
      <c r="F27" s="260"/>
      <c r="G27" s="260"/>
      <c r="H27" s="260"/>
      <c r="I27" s="1"/>
      <c r="J27" s="38"/>
      <c r="K27" s="38"/>
      <c r="L27" s="38"/>
      <c r="M27" s="38"/>
      <c r="N27" s="38"/>
      <c r="O27" s="38"/>
    </row>
    <row x14ac:dyDescent="0.25" r="28" customHeight="1" ht="18.75">
      <c r="A28" s="258"/>
      <c r="B28" s="259"/>
      <c r="C28" s="260"/>
      <c r="D28" s="260"/>
      <c r="E28" s="260"/>
      <c r="F28" s="260"/>
      <c r="G28" s="260"/>
      <c r="H28" s="260"/>
      <c r="I28" s="1"/>
      <c r="J28" s="38"/>
      <c r="K28" s="38"/>
      <c r="L28" s="38"/>
      <c r="M28" s="38"/>
      <c r="N28" s="38"/>
      <c r="O28" s="38"/>
    </row>
    <row x14ac:dyDescent="0.25" r="29" customHeight="1" ht="18.75">
      <c r="A29" s="3"/>
      <c r="B29" s="261"/>
      <c r="C29" s="261"/>
      <c r="D29" s="261"/>
      <c r="E29" s="261"/>
      <c r="F29" s="261"/>
      <c r="G29" s="260"/>
      <c r="H29" s="260"/>
      <c r="I29" s="1"/>
      <c r="J29" s="38"/>
      <c r="K29" s="38"/>
      <c r="L29" s="38"/>
      <c r="M29" s="38"/>
      <c r="N29" s="38"/>
      <c r="O29" s="38"/>
    </row>
    <row x14ac:dyDescent="0.25" r="30" customHeight="1" ht="18.75">
      <c r="A30" s="3"/>
      <c r="B30" s="261"/>
      <c r="C30" s="261"/>
      <c r="D30" s="261"/>
      <c r="E30" s="261"/>
      <c r="F30" s="261"/>
      <c r="G30" s="260"/>
      <c r="H30" s="260"/>
      <c r="I30" s="1"/>
      <c r="J30" s="38"/>
      <c r="K30" s="38"/>
      <c r="L30" s="38"/>
      <c r="M30" s="38"/>
      <c r="N30" s="38"/>
      <c r="O30" s="38"/>
    </row>
    <row x14ac:dyDescent="0.25" r="31" customHeight="1" ht="18.75">
      <c r="A31" s="3"/>
      <c r="B31" s="261"/>
      <c r="C31" s="261"/>
      <c r="D31" s="261"/>
      <c r="E31" s="261"/>
      <c r="F31" s="261"/>
      <c r="G31" s="260"/>
      <c r="H31" s="260"/>
      <c r="I31" s="1"/>
      <c r="J31" s="38"/>
      <c r="K31" s="38"/>
      <c r="L31" s="38"/>
      <c r="M31" s="38"/>
      <c r="N31" s="38"/>
      <c r="O31" s="38"/>
    </row>
    <row x14ac:dyDescent="0.25" r="32" customHeight="1" ht="18.75">
      <c r="A32" s="3"/>
      <c r="B32" s="261"/>
      <c r="C32" s="261"/>
      <c r="D32" s="261"/>
      <c r="E32" s="261"/>
      <c r="F32" s="261"/>
      <c r="G32" s="260"/>
      <c r="H32" s="260"/>
      <c r="I32" s="1"/>
      <c r="J32" s="38"/>
      <c r="K32" s="38"/>
      <c r="L32" s="38"/>
      <c r="M32" s="38"/>
      <c r="N32" s="38"/>
      <c r="O32" s="38"/>
    </row>
    <row x14ac:dyDescent="0.25" r="33" customHeight="1" ht="18.75">
      <c r="A33" s="258" t="s">
        <v>0</v>
      </c>
      <c r="B33" s="259" t="s">
        <v>8</v>
      </c>
      <c r="C33" s="261"/>
      <c r="D33" s="261"/>
      <c r="E33" s="261"/>
      <c r="F33" s="261"/>
      <c r="G33" s="260"/>
      <c r="H33" s="260"/>
      <c r="I33" s="1"/>
      <c r="J33" s="38"/>
      <c r="K33" s="38"/>
      <c r="L33" s="38"/>
      <c r="M33" s="38"/>
      <c r="N33" s="38"/>
      <c r="O33" s="38"/>
    </row>
    <row x14ac:dyDescent="0.25" r="34" customHeight="1" ht="18.75">
      <c r="A34" s="258" t="s">
        <v>39000</v>
      </c>
      <c r="B34" s="259" t="s">
        <v>21</v>
      </c>
      <c r="C34" s="260"/>
      <c r="D34" s="260"/>
      <c r="E34" s="260"/>
      <c r="F34" s="260"/>
      <c r="G34" s="260"/>
      <c r="H34" s="260"/>
      <c r="I34" s="1"/>
      <c r="J34" s="38"/>
      <c r="K34" s="38"/>
      <c r="L34" s="38"/>
      <c r="M34" s="38"/>
      <c r="N34" s="38"/>
      <c r="O34" s="38"/>
    </row>
    <row x14ac:dyDescent="0.25" r="35" customHeight="1" ht="18.75">
      <c r="A35" s="258" t="s">
        <v>36364</v>
      </c>
      <c r="B35" s="259" t="s">
        <v>88</v>
      </c>
      <c r="C35" s="260"/>
      <c r="D35" s="260"/>
      <c r="E35" s="260"/>
      <c r="F35" s="260"/>
      <c r="G35" s="260"/>
      <c r="H35" s="260"/>
      <c r="I35" s="1" t="s">
        <v>39000</v>
      </c>
      <c r="J35" s="38" t="s">
        <v>21</v>
      </c>
      <c r="K35" s="38"/>
      <c r="L35" s="38"/>
      <c r="M35" s="38"/>
      <c r="N35" s="38"/>
      <c r="O35" s="38"/>
    </row>
    <row x14ac:dyDescent="0.25" r="36" customHeight="1" ht="18.75">
      <c r="A36" s="258" t="s">
        <v>39001</v>
      </c>
      <c r="B36" s="259" t="s">
        <v>21</v>
      </c>
      <c r="C36" s="260"/>
      <c r="D36" s="260"/>
      <c r="E36" s="260"/>
      <c r="F36" s="260"/>
      <c r="G36" s="260"/>
      <c r="H36" s="260"/>
      <c r="I36" s="1" t="s">
        <v>39001</v>
      </c>
      <c r="J36" s="38" t="s">
        <v>21</v>
      </c>
      <c r="K36" s="38"/>
      <c r="L36" s="38"/>
      <c r="M36" s="38"/>
      <c r="N36" s="38"/>
      <c r="O36" s="38"/>
    </row>
    <row x14ac:dyDescent="0.25" r="37" customHeight="1" ht="18.75">
      <c r="A37" s="258"/>
      <c r="B37" s="259"/>
      <c r="C37" s="260"/>
      <c r="D37" s="260"/>
      <c r="E37" s="260"/>
      <c r="F37" s="260"/>
      <c r="G37" s="260"/>
      <c r="H37" s="260"/>
      <c r="I37" s="1"/>
      <c r="J37" s="38"/>
      <c r="K37" s="38"/>
      <c r="L37" s="38"/>
      <c r="M37" s="38"/>
      <c r="N37" s="38"/>
      <c r="O37" s="38"/>
    </row>
    <row x14ac:dyDescent="0.25" r="38" customHeight="1" ht="18.75">
      <c r="A38" s="258" t="s">
        <v>41114</v>
      </c>
      <c r="B38" s="259" t="s">
        <v>41115</v>
      </c>
      <c r="C38" s="260" t="s">
        <v>41116</v>
      </c>
      <c r="D38" s="260" t="s">
        <v>41117</v>
      </c>
      <c r="E38" s="260" t="s">
        <v>41118</v>
      </c>
      <c r="F38" s="260" t="s">
        <v>41119</v>
      </c>
      <c r="G38" s="260" t="s">
        <v>41120</v>
      </c>
      <c r="H38" s="260"/>
      <c r="I38" s="1" t="s">
        <v>41114</v>
      </c>
      <c r="J38" s="38" t="s">
        <v>41115</v>
      </c>
      <c r="K38" s="38" t="s">
        <v>41116</v>
      </c>
      <c r="L38" s="38" t="s">
        <v>41117</v>
      </c>
      <c r="M38" s="38" t="s">
        <v>41118</v>
      </c>
      <c r="N38" s="38" t="s">
        <v>41119</v>
      </c>
      <c r="O38" s="38" t="s">
        <v>41120</v>
      </c>
    </row>
    <row x14ac:dyDescent="0.25" r="39" customHeight="1" ht="18.75">
      <c r="A39" s="3" t="s">
        <v>46</v>
      </c>
      <c r="B39" s="122">
        <v>251992320.36107832</v>
      </c>
      <c r="C39" s="122">
        <v>380298307.92981327</v>
      </c>
      <c r="D39" s="122">
        <v>155370088.79250008</v>
      </c>
      <c r="E39" s="122">
        <v>78668375.79</v>
      </c>
      <c r="F39" s="122">
        <v>500000</v>
      </c>
      <c r="G39" s="122">
        <v>866829092.8733916</v>
      </c>
      <c r="H39" s="260"/>
      <c r="I39" s="3" t="s">
        <v>88</v>
      </c>
      <c r="J39" s="122">
        <v>299859626.36407834</v>
      </c>
      <c r="K39" s="122">
        <v>569632921.1298132</v>
      </c>
      <c r="L39" s="122">
        <v>255948956.32250008</v>
      </c>
      <c r="M39" s="122">
        <v>117585042.46000001</v>
      </c>
      <c r="N39" s="122">
        <v>1500000</v>
      </c>
      <c r="O39" s="122">
        <v>1244526546.2763917</v>
      </c>
    </row>
    <row x14ac:dyDescent="0.25" r="40" customHeight="1" ht="18.75">
      <c r="A40" s="3" t="s">
        <v>64</v>
      </c>
      <c r="B40" s="122">
        <v>29512766.003</v>
      </c>
      <c r="C40" s="122">
        <v>79257760</v>
      </c>
      <c r="D40" s="122">
        <v>30950000</v>
      </c>
      <c r="E40" s="122">
        <v>21000000</v>
      </c>
      <c r="F40" s="122">
        <v>0</v>
      </c>
      <c r="G40" s="122">
        <v>160720526.003</v>
      </c>
      <c r="H40" s="260"/>
      <c r="I40" s="3" t="s">
        <v>41124</v>
      </c>
      <c r="J40" s="122">
        <v>299859626.36407834</v>
      </c>
      <c r="K40" s="122">
        <v>569632921.1298132</v>
      </c>
      <c r="L40" s="122">
        <v>255948956.32250008</v>
      </c>
      <c r="M40" s="122">
        <v>117585042.46000001</v>
      </c>
      <c r="N40" s="122">
        <v>1500000</v>
      </c>
      <c r="O40" s="122">
        <v>1244526546.2763917</v>
      </c>
    </row>
    <row x14ac:dyDescent="0.25" r="41" customHeight="1" ht="18.75">
      <c r="A41" s="3" t="s">
        <v>41121</v>
      </c>
      <c r="B41" s="122">
        <v>0</v>
      </c>
      <c r="C41" s="122">
        <v>55460319</v>
      </c>
      <c r="D41" s="122">
        <v>23183333.33</v>
      </c>
      <c r="E41" s="122">
        <v>2000000</v>
      </c>
      <c r="F41" s="122">
        <v>1000000</v>
      </c>
      <c r="G41" s="122">
        <v>81643652.33</v>
      </c>
      <c r="H41" s="260"/>
      <c r="I41" s="1"/>
      <c r="J41" s="38"/>
      <c r="K41" s="38"/>
      <c r="L41" s="38"/>
      <c r="M41" s="38"/>
      <c r="N41" s="38"/>
      <c r="O41" s="38"/>
    </row>
    <row x14ac:dyDescent="0.25" r="42" customHeight="1" ht="18.75">
      <c r="A42" s="3" t="s">
        <v>41122</v>
      </c>
      <c r="B42" s="122">
        <v>10000000</v>
      </c>
      <c r="C42" s="122">
        <v>0</v>
      </c>
      <c r="D42" s="122">
        <v>0</v>
      </c>
      <c r="E42" s="122">
        <v>0</v>
      </c>
      <c r="F42" s="122">
        <v>0</v>
      </c>
      <c r="G42" s="122">
        <v>10000000</v>
      </c>
      <c r="H42" s="260"/>
      <c r="I42" s="1"/>
      <c r="J42" s="38"/>
      <c r="K42" s="38"/>
      <c r="L42" s="38"/>
      <c r="M42" s="38"/>
      <c r="N42" s="38"/>
      <c r="O42" s="38"/>
    </row>
    <row x14ac:dyDescent="0.25" r="43" customHeight="1" ht="18.75">
      <c r="A43" s="3" t="s">
        <v>41123</v>
      </c>
      <c r="B43" s="122">
        <v>8354540</v>
      </c>
      <c r="C43" s="122">
        <v>54616534.2</v>
      </c>
      <c r="D43" s="122">
        <v>46445534.2</v>
      </c>
      <c r="E43" s="122">
        <v>15916666.67</v>
      </c>
      <c r="F43" s="122">
        <v>0</v>
      </c>
      <c r="G43" s="122">
        <v>125333275.07000001</v>
      </c>
      <c r="H43" s="260"/>
      <c r="I43" s="1"/>
      <c r="J43" s="38"/>
      <c r="K43" s="38"/>
      <c r="L43" s="38"/>
      <c r="M43" s="38"/>
      <c r="N43" s="38"/>
      <c r="O43" s="38"/>
    </row>
    <row x14ac:dyDescent="0.25" r="44" customHeight="1" ht="18.75">
      <c r="A44" s="3" t="s">
        <v>41124</v>
      </c>
      <c r="B44" s="122">
        <v>299859626.36407834</v>
      </c>
      <c r="C44" s="122">
        <v>569632921.1298133</v>
      </c>
      <c r="D44" s="122">
        <v>255948956.32250005</v>
      </c>
      <c r="E44" s="122">
        <v>117585042.46000001</v>
      </c>
      <c r="F44" s="122">
        <v>1500000</v>
      </c>
      <c r="G44" s="122">
        <v>1244526546.2763915</v>
      </c>
      <c r="H44" s="262" t="s">
        <v>39020</v>
      </c>
      <c r="I44" s="1"/>
      <c r="J44" s="38"/>
      <c r="K44" s="38"/>
      <c r="L44" s="38"/>
      <c r="M44" s="38"/>
      <c r="N44" s="38"/>
      <c r="O44" s="38"/>
    </row>
    <row x14ac:dyDescent="0.25" r="45" customHeight="1" ht="18.75">
      <c r="A45" s="263" t="s">
        <v>46</v>
      </c>
      <c r="B45" s="264">
        <v>1249500000</v>
      </c>
      <c r="C45" s="264">
        <f>GETPIVOTDATA("Soma de 2026",$A$38,"Status CISE","Contratado")</f>
      </c>
      <c r="D45" s="264">
        <f>GETPIVOTDATA("Soma de 2027",$A$38,"Status CISE","Contratado")</f>
      </c>
      <c r="E45" s="264">
        <f>GETPIVOTDATA("Soma de 2028",$A$38,"Status CISE","Contratado")</f>
      </c>
      <c r="F45" s="264">
        <f>GETPIVOTDATA("Soma de 2029",$A$38,"Status CISE","Contratado")</f>
      </c>
      <c r="G45" s="264">
        <f>GETPIVOTDATA("Soma de 2030",$A$38,"Status CISE","Contratado")</f>
      </c>
      <c r="H45" s="265">
        <f>SUM(C45:G45)</f>
      </c>
      <c r="I45" s="1"/>
      <c r="J45" s="38"/>
      <c r="K45" s="38"/>
      <c r="L45" s="38"/>
      <c r="M45" s="38"/>
      <c r="N45" s="38"/>
      <c r="O45" s="38"/>
    </row>
    <row x14ac:dyDescent="0.25" r="46" customHeight="1" ht="18.75">
      <c r="A46" s="263" t="s">
        <v>64</v>
      </c>
      <c r="B46" s="264">
        <v>0</v>
      </c>
      <c r="C46" s="264">
        <f>GETPIVOTDATA("Soma de 2026",$A$38,"Status CISE","Em Contratação")</f>
      </c>
      <c r="D46" s="264">
        <f>GETPIVOTDATA("Soma de 2027",$A$38,"Status CISE","Em Contratação")</f>
      </c>
      <c r="E46" s="264">
        <f>GETPIVOTDATA("Soma de 2028",$A$38,"Status CISE","Em Contratação")</f>
      </c>
      <c r="F46" s="264">
        <f>GETPIVOTDATA("Soma de 2029",$A$38,"Status CISE","Em Contratação")</f>
      </c>
      <c r="G46" s="264">
        <f>GETPIVOTDATA("Soma de 2030",$A$38,"Status CISE","Em Contratação")</f>
      </c>
      <c r="H46" s="265">
        <f>SUM(C46:G46)</f>
      </c>
      <c r="I46" s="1"/>
      <c r="J46" s="38"/>
      <c r="K46" s="38"/>
      <c r="L46" s="38"/>
      <c r="M46" s="38"/>
      <c r="N46" s="38"/>
      <c r="O46" s="38"/>
    </row>
    <row x14ac:dyDescent="0.25" r="47" customHeight="1" ht="18.75">
      <c r="A47" s="263" t="s">
        <v>41121</v>
      </c>
      <c r="B47" s="264">
        <v>0</v>
      </c>
      <c r="C47" s="264">
        <f>GETPIVOTDATA("Soma de 2026",$A$38,"Status CISE","Nova Demanda")</f>
      </c>
      <c r="D47" s="264">
        <f>GETPIVOTDATA("Soma de 2027",$A$38,"Status CISE","Nova Demanda")</f>
      </c>
      <c r="E47" s="264">
        <f>GETPIVOTDATA("Soma de 2028",$A$38,"Status CISE","Nova Demanda")</f>
      </c>
      <c r="F47" s="264">
        <f>GETPIVOTDATA("Soma de 2029",$A$38,"Status CISE","Nova Demanda")</f>
      </c>
      <c r="G47" s="264">
        <f>GETPIVOTDATA("Soma de 2030",$A$38,"Status CISE","Nova Demanda")</f>
      </c>
      <c r="H47" s="265">
        <f>SUM(C47:G47)</f>
      </c>
      <c r="I47" s="1"/>
      <c r="J47" s="38"/>
      <c r="K47" s="38"/>
      <c r="L47" s="38"/>
      <c r="M47" s="38"/>
      <c r="N47" s="38"/>
      <c r="O47" s="38"/>
    </row>
    <row x14ac:dyDescent="0.25" r="48" customHeight="1" ht="18.75">
      <c r="A48" s="266" t="s">
        <v>41124</v>
      </c>
      <c r="B48" s="267">
        <f>SUM(B44:B47)</f>
      </c>
      <c r="C48" s="267">
        <f>SUM(C44:C47)</f>
      </c>
      <c r="D48" s="267">
        <f>SUM(D44:D47)</f>
      </c>
      <c r="E48" s="267">
        <f>SUM(E44:E47)</f>
      </c>
      <c r="F48" s="267">
        <f>SUM(F44:F47)</f>
      </c>
      <c r="G48" s="267">
        <f>SUM(G44:G47)</f>
      </c>
      <c r="H48" s="268">
        <f>SUM(H44:H47)</f>
      </c>
      <c r="I48" s="1"/>
      <c r="J48" s="38"/>
      <c r="K48" s="38"/>
      <c r="L48" s="38"/>
      <c r="M48" s="38"/>
      <c r="N48" s="38"/>
      <c r="O48" s="38"/>
    </row>
    <row x14ac:dyDescent="0.25" r="49" customHeight="1" ht="18.75">
      <c r="A49" s="258"/>
      <c r="B49" s="259"/>
      <c r="C49" s="260"/>
      <c r="D49" s="260"/>
      <c r="E49" s="260"/>
      <c r="F49" s="260"/>
      <c r="G49" s="260"/>
      <c r="H49" s="260"/>
      <c r="I49" s="1"/>
      <c r="J49" s="38"/>
      <c r="K49" s="38"/>
      <c r="L49" s="38"/>
      <c r="M49" s="38"/>
      <c r="N49" s="38"/>
      <c r="O49" s="38"/>
    </row>
    <row x14ac:dyDescent="0.25" r="50" customHeight="1" ht="18.75">
      <c r="A50" s="258"/>
      <c r="B50" s="259"/>
      <c r="C50" s="260"/>
      <c r="D50" s="260"/>
      <c r="E50" s="260"/>
      <c r="F50" s="260"/>
      <c r="G50" s="260"/>
      <c r="H50" s="260"/>
      <c r="I50" s="1"/>
      <c r="J50" s="38"/>
      <c r="K50" s="38"/>
      <c r="L50" s="38"/>
      <c r="M50" s="38"/>
      <c r="N50" s="38"/>
      <c r="O50" s="38"/>
    </row>
    <row x14ac:dyDescent="0.25" r="51" customHeight="1" ht="18.75">
      <c r="A51" s="258"/>
      <c r="B51" s="259"/>
      <c r="C51" s="260"/>
      <c r="D51" s="260"/>
      <c r="E51" s="260"/>
      <c r="F51" s="260"/>
      <c r="G51" s="260"/>
      <c r="H51" s="260"/>
      <c r="I51" s="1"/>
      <c r="J51" s="38"/>
      <c r="K51" s="38"/>
      <c r="L51" s="38"/>
      <c r="M51" s="38"/>
      <c r="N51" s="38"/>
      <c r="O51" s="38"/>
    </row>
    <row x14ac:dyDescent="0.25" r="52" customHeight="1" ht="18.75">
      <c r="A52" s="258"/>
      <c r="B52" s="259"/>
      <c r="C52" s="260"/>
      <c r="D52" s="260"/>
      <c r="E52" s="260"/>
      <c r="F52" s="260"/>
      <c r="G52" s="260"/>
      <c r="H52" s="260"/>
      <c r="I52" s="1"/>
      <c r="J52" s="38"/>
      <c r="K52" s="38"/>
      <c r="L52" s="38"/>
      <c r="M52" s="38"/>
      <c r="N52" s="38"/>
      <c r="O52" s="38"/>
    </row>
    <row x14ac:dyDescent="0.25" r="53" customHeight="1" ht="18.75">
      <c r="A53" s="258"/>
      <c r="B53" s="259"/>
      <c r="C53" s="260"/>
      <c r="D53" s="260"/>
      <c r="E53" s="260"/>
      <c r="F53" s="260"/>
      <c r="G53" s="260"/>
      <c r="H53" s="260"/>
      <c r="I53" s="1"/>
      <c r="J53" s="38"/>
      <c r="K53" s="38"/>
      <c r="L53" s="38"/>
      <c r="M53" s="38"/>
      <c r="N53" s="38"/>
      <c r="O53" s="38"/>
    </row>
    <row x14ac:dyDescent="0.25" r="54" customHeight="1" ht="18.75">
      <c r="A54" s="258"/>
      <c r="B54" s="259"/>
      <c r="C54" s="260"/>
      <c r="D54" s="260"/>
      <c r="E54" s="260"/>
      <c r="F54" s="260"/>
      <c r="G54" s="260"/>
      <c r="H54" s="260"/>
      <c r="I54" s="1"/>
      <c r="J54" s="38"/>
      <c r="K54" s="38"/>
      <c r="L54" s="38"/>
      <c r="M54" s="38"/>
      <c r="N54" s="38"/>
      <c r="O54" s="38"/>
    </row>
    <row x14ac:dyDescent="0.25" r="55" customHeight="1" ht="18.75">
      <c r="A55" s="258"/>
      <c r="B55" s="259"/>
      <c r="C55" s="260"/>
      <c r="D55" s="260"/>
      <c r="E55" s="260"/>
      <c r="F55" s="260"/>
      <c r="G55" s="260"/>
      <c r="H55" s="260"/>
      <c r="I55" s="1"/>
      <c r="J55" s="122">
        <f>6489-1249.5</f>
      </c>
      <c r="K55" s="122">
        <f>8116.2-J55</f>
      </c>
      <c r="L55" s="38"/>
      <c r="M55" s="38"/>
      <c r="N55" s="38"/>
      <c r="O55" s="38"/>
    </row>
    <row x14ac:dyDescent="0.25" r="56" customHeight="1" ht="18.75">
      <c r="A56" s="258"/>
      <c r="B56" s="259"/>
      <c r="C56" s="260"/>
      <c r="D56" s="260"/>
      <c r="E56" s="260"/>
      <c r="F56" s="260"/>
      <c r="G56" s="260"/>
      <c r="H56" s="260"/>
      <c r="I56" s="1"/>
      <c r="J56" s="38"/>
      <c r="K56" s="38"/>
      <c r="L56" s="38"/>
      <c r="M56" s="38"/>
      <c r="N56" s="38"/>
      <c r="O56" s="38"/>
    </row>
    <row x14ac:dyDescent="0.25" r="57" customHeight="1" ht="18.75">
      <c r="A57" s="258"/>
      <c r="B57" s="259"/>
      <c r="C57" s="260"/>
      <c r="D57" s="260"/>
      <c r="E57" s="260"/>
      <c r="F57" s="260"/>
      <c r="G57" s="260"/>
      <c r="H57" s="260"/>
      <c r="I57" s="1"/>
      <c r="J57" s="38"/>
      <c r="K57" s="38"/>
      <c r="L57" s="38"/>
      <c r="M57" s="38"/>
      <c r="N57" s="38"/>
      <c r="O57" s="38"/>
    </row>
    <row x14ac:dyDescent="0.25" r="58" customHeight="1" ht="18.75">
      <c r="A58" s="258"/>
      <c r="B58" s="259"/>
      <c r="C58" s="260"/>
      <c r="D58" s="260"/>
      <c r="E58" s="260"/>
      <c r="F58" s="260"/>
      <c r="G58" s="260"/>
      <c r="H58" s="260"/>
      <c r="I58" s="1"/>
      <c r="J58" s="38"/>
      <c r="K58" s="38"/>
      <c r="L58" s="38"/>
      <c r="M58" s="38"/>
      <c r="N58" s="38"/>
      <c r="O58" s="38"/>
    </row>
    <row x14ac:dyDescent="0.25" r="59" customHeight="1" ht="18.75">
      <c r="A59" s="258"/>
      <c r="B59" s="259"/>
      <c r="C59" s="260"/>
      <c r="D59" s="260"/>
      <c r="E59" s="260"/>
      <c r="F59" s="260"/>
      <c r="G59" s="260"/>
      <c r="H59" s="260"/>
      <c r="I59" s="1"/>
      <c r="J59" s="38"/>
      <c r="K59" s="38"/>
      <c r="L59" s="38"/>
      <c r="M59" s="38"/>
      <c r="N59" s="38"/>
      <c r="O59" s="38"/>
    </row>
    <row x14ac:dyDescent="0.25" r="60" customHeight="1" ht="18.75">
      <c r="A60" s="258"/>
      <c r="B60" s="259"/>
      <c r="C60" s="260"/>
      <c r="D60" s="260"/>
      <c r="E60" s="260"/>
      <c r="F60" s="260"/>
      <c r="G60" s="260"/>
      <c r="H60" s="260"/>
      <c r="I60" s="1"/>
      <c r="J60" s="38"/>
      <c r="K60" s="38"/>
      <c r="L60" s="38"/>
      <c r="M60" s="38"/>
      <c r="N60" s="38"/>
      <c r="O60" s="38"/>
    </row>
    <row x14ac:dyDescent="0.25" r="61" customHeight="1" ht="18.75">
      <c r="A61" s="258" t="s">
        <v>39000</v>
      </c>
      <c r="B61" s="259" t="s">
        <v>21</v>
      </c>
      <c r="C61" s="260"/>
      <c r="D61" s="260"/>
      <c r="E61" s="260"/>
      <c r="F61" s="260"/>
      <c r="G61" s="260"/>
      <c r="H61" s="260"/>
      <c r="I61" s="1" t="s">
        <v>0</v>
      </c>
      <c r="J61" s="38" t="s">
        <v>8</v>
      </c>
      <c r="K61" s="261"/>
      <c r="L61" s="261"/>
      <c r="M61" s="261"/>
      <c r="N61" s="261"/>
      <c r="O61" s="38"/>
    </row>
    <row x14ac:dyDescent="0.25" r="62" customHeight="1" ht="18.75">
      <c r="A62" s="258" t="s">
        <v>36364</v>
      </c>
      <c r="B62" s="259" t="s">
        <v>88</v>
      </c>
      <c r="C62" s="260"/>
      <c r="D62" s="260"/>
      <c r="E62" s="260"/>
      <c r="F62" s="260"/>
      <c r="G62" s="260"/>
      <c r="H62" s="260"/>
      <c r="I62" s="1" t="s">
        <v>39000</v>
      </c>
      <c r="J62" s="38" t="s">
        <v>21</v>
      </c>
      <c r="K62" s="38"/>
      <c r="L62" s="38"/>
      <c r="M62" s="38"/>
      <c r="N62" s="38"/>
      <c r="O62" s="38"/>
    </row>
    <row x14ac:dyDescent="0.25" r="63" customHeight="1" ht="18.75">
      <c r="A63" s="258" t="s">
        <v>39001</v>
      </c>
      <c r="B63" s="259" t="s">
        <v>21</v>
      </c>
      <c r="C63" s="260"/>
      <c r="D63" s="260"/>
      <c r="E63" s="260"/>
      <c r="F63" s="260"/>
      <c r="G63" s="260"/>
      <c r="H63" s="260"/>
      <c r="I63" s="1" t="s">
        <v>36364</v>
      </c>
      <c r="J63" s="38" t="s">
        <v>88</v>
      </c>
      <c r="K63" s="38"/>
      <c r="L63" s="38"/>
      <c r="M63" s="38"/>
      <c r="N63" s="38"/>
      <c r="O63" s="38"/>
    </row>
    <row x14ac:dyDescent="0.25" r="64" customHeight="1" ht="18.75">
      <c r="A64" s="258"/>
      <c r="B64" s="259"/>
      <c r="C64" s="260"/>
      <c r="D64" s="260"/>
      <c r="E64" s="260"/>
      <c r="F64" s="260"/>
      <c r="G64" s="260"/>
      <c r="H64" s="260"/>
      <c r="I64" s="1" t="s">
        <v>39001</v>
      </c>
      <c r="J64" s="38" t="s">
        <v>21</v>
      </c>
      <c r="K64" s="38"/>
      <c r="L64" s="38"/>
      <c r="M64" s="38"/>
      <c r="N64" s="38"/>
      <c r="O64" s="38"/>
    </row>
    <row x14ac:dyDescent="0.25" r="65" customHeight="1" ht="18.75">
      <c r="A65" s="258" t="s">
        <v>41114</v>
      </c>
      <c r="B65" s="259" t="s">
        <v>41115</v>
      </c>
      <c r="C65" s="260" t="s">
        <v>41116</v>
      </c>
      <c r="D65" s="260" t="s">
        <v>41117</v>
      </c>
      <c r="E65" s="260" t="s">
        <v>41118</v>
      </c>
      <c r="F65" s="260" t="s">
        <v>41119</v>
      </c>
      <c r="G65" s="260" t="s">
        <v>41120</v>
      </c>
      <c r="H65" s="260"/>
      <c r="I65" s="1"/>
      <c r="J65" s="38"/>
      <c r="K65" s="38"/>
      <c r="L65" s="38"/>
      <c r="M65" s="38"/>
      <c r="N65" s="38"/>
      <c r="O65" s="38"/>
    </row>
    <row x14ac:dyDescent="0.25" r="66" customHeight="1" ht="18.75">
      <c r="A66" s="3" t="s">
        <v>8</v>
      </c>
      <c r="B66" s="122">
        <v>299859626.36407834</v>
      </c>
      <c r="C66" s="122">
        <v>569632921.1298133</v>
      </c>
      <c r="D66" s="122">
        <v>255948956.32250005</v>
      </c>
      <c r="E66" s="122">
        <v>117585042.46000001</v>
      </c>
      <c r="F66" s="122">
        <v>1500000</v>
      </c>
      <c r="G66" s="122">
        <v>1244526546.2763915</v>
      </c>
      <c r="H66" s="260"/>
      <c r="I66" s="1" t="s">
        <v>41114</v>
      </c>
      <c r="J66" s="38" t="s">
        <v>41115</v>
      </c>
      <c r="K66" s="38" t="s">
        <v>41116</v>
      </c>
      <c r="L66" s="38" t="s">
        <v>41117</v>
      </c>
      <c r="M66" s="38" t="s">
        <v>41118</v>
      </c>
      <c r="N66" s="38" t="s">
        <v>41119</v>
      </c>
      <c r="O66" s="38" t="s">
        <v>41120</v>
      </c>
    </row>
    <row x14ac:dyDescent="0.25" r="67" customHeight="1" ht="18.75">
      <c r="A67" s="3" t="s">
        <v>46</v>
      </c>
      <c r="B67" s="122">
        <v>251992320.36107832</v>
      </c>
      <c r="C67" s="122">
        <v>380298307.92981327</v>
      </c>
      <c r="D67" s="122">
        <v>155370088.79250008</v>
      </c>
      <c r="E67" s="122">
        <v>78668375.79</v>
      </c>
      <c r="F67" s="122">
        <v>500000</v>
      </c>
      <c r="G67" s="122">
        <v>866829092.8733916</v>
      </c>
      <c r="H67" s="260"/>
      <c r="I67" s="3" t="s">
        <v>46</v>
      </c>
      <c r="J67" s="122">
        <v>251992320.36107832</v>
      </c>
      <c r="K67" s="122">
        <v>380298307.92981327</v>
      </c>
      <c r="L67" s="122">
        <v>155370088.79250008</v>
      </c>
      <c r="M67" s="122">
        <v>78668375.79</v>
      </c>
      <c r="N67" s="122">
        <v>500000</v>
      </c>
      <c r="O67" s="122">
        <v>866829092.8733916</v>
      </c>
    </row>
    <row x14ac:dyDescent="0.25" r="68" customHeight="1" ht="18.75">
      <c r="A68" s="3" t="s">
        <v>64</v>
      </c>
      <c r="B68" s="122">
        <v>29512766.003</v>
      </c>
      <c r="C68" s="122">
        <v>79257760</v>
      </c>
      <c r="D68" s="122">
        <v>30950000</v>
      </c>
      <c r="E68" s="122">
        <v>21000000</v>
      </c>
      <c r="F68" s="122">
        <v>0</v>
      </c>
      <c r="G68" s="122">
        <v>160720526.003</v>
      </c>
      <c r="H68" s="260"/>
      <c r="I68" s="3" t="s">
        <v>64</v>
      </c>
      <c r="J68" s="122">
        <v>29512766.003</v>
      </c>
      <c r="K68" s="122">
        <v>79257760</v>
      </c>
      <c r="L68" s="122">
        <v>30950000</v>
      </c>
      <c r="M68" s="122">
        <v>21000000</v>
      </c>
      <c r="N68" s="122">
        <v>0</v>
      </c>
      <c r="O68" s="122">
        <v>160720526.00300002</v>
      </c>
    </row>
    <row x14ac:dyDescent="0.25" r="69" customHeight="1" ht="18.75">
      <c r="A69" s="3" t="s">
        <v>41121</v>
      </c>
      <c r="B69" s="122">
        <v>0</v>
      </c>
      <c r="C69" s="122">
        <v>55460319</v>
      </c>
      <c r="D69" s="122">
        <v>23183333.33</v>
      </c>
      <c r="E69" s="122">
        <v>2000000</v>
      </c>
      <c r="F69" s="122">
        <v>1000000</v>
      </c>
      <c r="G69" s="122">
        <v>81643652.33</v>
      </c>
      <c r="H69" s="260"/>
      <c r="I69" s="3" t="s">
        <v>41124</v>
      </c>
      <c r="J69" s="122">
        <v>281505086.36407834</v>
      </c>
      <c r="K69" s="122">
        <v>459556067.92981327</v>
      </c>
      <c r="L69" s="122">
        <v>186320088.79250008</v>
      </c>
      <c r="M69" s="122">
        <v>99668375.79</v>
      </c>
      <c r="N69" s="122">
        <v>500000</v>
      </c>
      <c r="O69" s="122">
        <v>1027549618.8763916</v>
      </c>
    </row>
    <row x14ac:dyDescent="0.25" r="70" customHeight="1" ht="18.75">
      <c r="A70" s="3" t="s">
        <v>41122</v>
      </c>
      <c r="B70" s="122">
        <v>10000000</v>
      </c>
      <c r="C70" s="122">
        <v>0</v>
      </c>
      <c r="D70" s="122">
        <v>0</v>
      </c>
      <c r="E70" s="122">
        <v>0</v>
      </c>
      <c r="F70" s="122">
        <v>0</v>
      </c>
      <c r="G70" s="122">
        <v>10000000</v>
      </c>
      <c r="H70" s="260"/>
      <c r="I70" s="1"/>
      <c r="J70" s="38"/>
      <c r="K70" s="38"/>
      <c r="L70" s="38"/>
      <c r="M70" s="38"/>
      <c r="N70" s="38"/>
      <c r="O70" s="38"/>
    </row>
    <row x14ac:dyDescent="0.25" r="71" customHeight="1" ht="18.75">
      <c r="A71" s="3" t="s">
        <v>41123</v>
      </c>
      <c r="B71" s="122">
        <v>8354540</v>
      </c>
      <c r="C71" s="122">
        <v>54616534.2</v>
      </c>
      <c r="D71" s="122">
        <v>46445534.2</v>
      </c>
      <c r="E71" s="122">
        <v>15916666.67</v>
      </c>
      <c r="F71" s="122">
        <v>0</v>
      </c>
      <c r="G71" s="122">
        <v>125333275.07000001</v>
      </c>
      <c r="H71" s="260"/>
      <c r="I71" s="1"/>
      <c r="J71" s="38"/>
      <c r="K71" s="38"/>
      <c r="L71" s="38"/>
      <c r="M71" s="38"/>
      <c r="N71" s="38"/>
      <c r="O71" s="38"/>
    </row>
    <row x14ac:dyDescent="0.25" r="72" customHeight="1" ht="18.75">
      <c r="A72" s="3" t="s">
        <v>41124</v>
      </c>
      <c r="B72" s="122">
        <v>299859626.36407834</v>
      </c>
      <c r="C72" s="122">
        <v>569632921.1298133</v>
      </c>
      <c r="D72" s="122">
        <v>255948956.32250005</v>
      </c>
      <c r="E72" s="122">
        <v>117585042.46000001</v>
      </c>
      <c r="F72" s="122">
        <v>1500000</v>
      </c>
      <c r="G72" s="122">
        <v>1244526546.2763915</v>
      </c>
      <c r="H72" s="260"/>
      <c r="I72" s="1"/>
      <c r="J72" s="38"/>
      <c r="K72" s="38"/>
      <c r="L72" s="38"/>
      <c r="M72" s="38"/>
      <c r="N72" s="38"/>
      <c r="O72" s="38"/>
    </row>
    <row x14ac:dyDescent="0.25" r="73" customHeight="1" ht="18.75">
      <c r="A73" s="258"/>
      <c r="B73" s="259"/>
      <c r="C73" s="260"/>
      <c r="D73" s="260"/>
      <c r="E73" s="260"/>
      <c r="F73" s="260"/>
      <c r="G73" s="260"/>
      <c r="H73" s="260"/>
      <c r="I73" s="1" t="s">
        <v>0</v>
      </c>
      <c r="J73" s="38" t="s">
        <v>8</v>
      </c>
      <c r="K73" s="261"/>
      <c r="L73" s="261"/>
      <c r="M73" s="261"/>
      <c r="N73" s="261"/>
      <c r="O73" s="38"/>
    </row>
    <row x14ac:dyDescent="0.25" r="74" customHeight="1" ht="18.75">
      <c r="A74" s="258"/>
      <c r="B74" s="259"/>
      <c r="C74" s="260"/>
      <c r="D74" s="260"/>
      <c r="E74" s="260"/>
      <c r="F74" s="260"/>
      <c r="G74" s="260"/>
      <c r="H74" s="260"/>
      <c r="I74" s="1" t="s">
        <v>39000</v>
      </c>
      <c r="J74" s="38" t="s">
        <v>21</v>
      </c>
      <c r="K74" s="38"/>
      <c r="L74" s="38"/>
      <c r="M74" s="38"/>
      <c r="N74" s="38"/>
      <c r="O74" s="38"/>
    </row>
    <row x14ac:dyDescent="0.25" r="75" customHeight="1" ht="18.75">
      <c r="A75" s="258"/>
      <c r="B75" s="259"/>
      <c r="C75" s="260"/>
      <c r="D75" s="260"/>
      <c r="E75" s="260"/>
      <c r="F75" s="260"/>
      <c r="G75" s="260"/>
      <c r="H75" s="260"/>
      <c r="I75" s="1" t="s">
        <v>36364</v>
      </c>
      <c r="J75" s="38" t="s">
        <v>88</v>
      </c>
      <c r="K75" s="38"/>
      <c r="L75" s="38"/>
      <c r="M75" s="38"/>
      <c r="N75" s="38"/>
      <c r="O75" s="38"/>
    </row>
    <row x14ac:dyDescent="0.25" r="76" customHeight="1" ht="18.75">
      <c r="A76" s="258"/>
      <c r="B76" s="259"/>
      <c r="C76" s="260"/>
      <c r="D76" s="260"/>
      <c r="E76" s="260"/>
      <c r="F76" s="260"/>
      <c r="G76" s="260"/>
      <c r="H76" s="260"/>
      <c r="I76" s="1" t="s">
        <v>39001</v>
      </c>
      <c r="J76" s="38" t="s">
        <v>21</v>
      </c>
      <c r="K76" s="38"/>
      <c r="L76" s="38"/>
      <c r="M76" s="38"/>
      <c r="N76" s="38"/>
      <c r="O76" s="38"/>
    </row>
    <row x14ac:dyDescent="0.25" r="77" customHeight="1" ht="18.75">
      <c r="A77" s="258"/>
      <c r="B77" s="259"/>
      <c r="C77" s="260"/>
      <c r="D77" s="260"/>
      <c r="E77" s="260"/>
      <c r="F77" s="260"/>
      <c r="G77" s="260"/>
      <c r="H77" s="260"/>
      <c r="I77" s="1"/>
      <c r="J77" s="38"/>
      <c r="K77" s="38"/>
      <c r="L77" s="38"/>
      <c r="M77" s="38"/>
      <c r="N77" s="38"/>
      <c r="O77" s="38"/>
    </row>
    <row x14ac:dyDescent="0.25" r="78" customHeight="1" ht="18.75">
      <c r="A78" s="269" t="s">
        <v>41125</v>
      </c>
      <c r="B78" s="270">
        <v>2026</v>
      </c>
      <c r="C78" s="270">
        <v>2027</v>
      </c>
      <c r="D78" s="270">
        <v>2028</v>
      </c>
      <c r="E78" s="270">
        <v>2029</v>
      </c>
      <c r="F78" s="270">
        <v>2030</v>
      </c>
      <c r="G78" s="271" t="s">
        <v>39020</v>
      </c>
      <c r="H78" s="260"/>
      <c r="I78" s="1" t="s">
        <v>41114</v>
      </c>
      <c r="J78" s="38" t="s">
        <v>41115</v>
      </c>
      <c r="K78" s="38" t="s">
        <v>41116</v>
      </c>
      <c r="L78" s="38" t="s">
        <v>41117</v>
      </c>
      <c r="M78" s="38" t="s">
        <v>41118</v>
      </c>
      <c r="N78" s="38" t="s">
        <v>41119</v>
      </c>
      <c r="O78" s="38" t="s">
        <v>41120</v>
      </c>
    </row>
    <row x14ac:dyDescent="0.25" r="79" customHeight="1" ht="18.75">
      <c r="A79" s="272" t="s">
        <v>8</v>
      </c>
      <c r="B79" s="273">
        <f>GETPIVOTDATA("Soma de 2026",$A$65,"VP","COO")</f>
      </c>
      <c r="C79" s="273">
        <f>GETPIVOTDATA("Soma de 2027",$A$65,"VP","COO")</f>
      </c>
      <c r="D79" s="273">
        <f>GETPIVOTDATA("Soma de 2028",$A$65,"VP","COO")</f>
      </c>
      <c r="E79" s="273">
        <f>GETPIVOTDATA("Soma de 2029",$A$65,"VP","COO")</f>
      </c>
      <c r="F79" s="273">
        <f>GETPIVOTDATA("Soma de 2030",$A$65,"VP","COO")</f>
      </c>
      <c r="G79" s="274">
        <f>GETPIVOTDATA("Soma de 2026-2030",$A$65,"VP","COO")</f>
      </c>
      <c r="H79" s="260"/>
      <c r="I79" s="3" t="s">
        <v>41121</v>
      </c>
      <c r="J79" s="122">
        <v>0</v>
      </c>
      <c r="K79" s="122">
        <v>55460319</v>
      </c>
      <c r="L79" s="122">
        <v>23183333.33</v>
      </c>
      <c r="M79" s="122">
        <v>2000000</v>
      </c>
      <c r="N79" s="122">
        <v>1000000</v>
      </c>
      <c r="O79" s="122">
        <v>81643652.33</v>
      </c>
    </row>
    <row x14ac:dyDescent="0.25" r="80" customHeight="1" ht="18.75">
      <c r="A80" s="275" t="s">
        <v>46</v>
      </c>
      <c r="B80" s="276">
        <f>GETPIVOTDATA("Soma de 2026",$A$65,"VP","COO","Status CISE","Contratado")</f>
      </c>
      <c r="C80" s="276">
        <f>GETPIVOTDATA("Soma de 2027",$A$65,"VP","COO","Status CISE","Contratado")</f>
      </c>
      <c r="D80" s="276">
        <f>GETPIVOTDATA("Soma de 2028",$A$65,"VP","COO","Status CISE","Contratado")</f>
      </c>
      <c r="E80" s="276">
        <f>GETPIVOTDATA("Soma de 2029",$A$65,"VP","COO","Status CISE","Contratado")</f>
      </c>
      <c r="F80" s="276">
        <f>GETPIVOTDATA("Soma de 2030",$A$65,"VP","COO","Status CISE","Contratado")</f>
      </c>
      <c r="G80" s="277">
        <f>GETPIVOTDATA("Soma de 2026-2030",$A$65,"VP","COO","Status CISE","Contratado")</f>
      </c>
      <c r="H80" s="260"/>
      <c r="I80" s="3" t="s">
        <v>41124</v>
      </c>
      <c r="J80" s="122">
        <v>0</v>
      </c>
      <c r="K80" s="122">
        <v>55460319</v>
      </c>
      <c r="L80" s="122">
        <v>23183333.33</v>
      </c>
      <c r="M80" s="122">
        <v>2000000</v>
      </c>
      <c r="N80" s="122">
        <v>1000000</v>
      </c>
      <c r="O80" s="122">
        <v>81643652.33</v>
      </c>
    </row>
    <row x14ac:dyDescent="0.25" r="81" customHeight="1" ht="18.75">
      <c r="A81" s="275" t="s">
        <v>64</v>
      </c>
      <c r="B81" s="276">
        <f>GETPIVOTDATA("Soma de 2026",$A$65,"VP","COO","Status CISE","Em Contratação")</f>
      </c>
      <c r="C81" s="276">
        <f>GETPIVOTDATA("Soma de 2027",$A$65,"VP","COO","Status CISE","Em Contratação")</f>
      </c>
      <c r="D81" s="276">
        <f>GETPIVOTDATA("Soma de 2028",$A$65,"VP","COO","Status CISE","Em Contratação")</f>
      </c>
      <c r="E81" s="276">
        <f>GETPIVOTDATA("Soma de 2029",$A$65,"VP","COO","Status CISE","Em Contratação")</f>
      </c>
      <c r="F81" s="276">
        <f>GETPIVOTDATA("Soma de 2030",$A$65,"VP","COO","Status CISE","Em Contratação")</f>
      </c>
      <c r="G81" s="277">
        <f>GETPIVOTDATA("Soma de 2026-2030",$A$65,"VP","COO","Status CISE","Em Contratação")</f>
      </c>
      <c r="H81" s="260"/>
      <c r="I81" s="1"/>
      <c r="J81" s="38"/>
      <c r="K81" s="38"/>
      <c r="L81" s="38"/>
      <c r="M81" s="38"/>
      <c r="N81" s="38"/>
      <c r="O81" s="38"/>
    </row>
    <row x14ac:dyDescent="0.25" r="82" customHeight="1" ht="18.75">
      <c r="A82" s="275" t="s">
        <v>41121</v>
      </c>
      <c r="B82" s="276">
        <f>GETPIVOTDATA("Soma de 2026",$A$65,"VP","COO","Status CISE","Nova Demanda")</f>
      </c>
      <c r="C82" s="276">
        <f>GETPIVOTDATA("Soma de 2027",$A$65,"VP","COO","Status CISE","Nova Demanda")</f>
      </c>
      <c r="D82" s="276">
        <f>GETPIVOTDATA("Soma de 2028",$A$65,"VP","COO","Status CISE","Nova Demanda")</f>
      </c>
      <c r="E82" s="276">
        <f>GETPIVOTDATA("Soma de 2029",$A$65,"VP","COO","Status CISE","Nova Demanda")</f>
      </c>
      <c r="F82" s="276">
        <f>GETPIVOTDATA("Soma de 2030",$A$65,"VP","COO","Status CISE","Nova Demanda")</f>
      </c>
      <c r="G82" s="277">
        <f>GETPIVOTDATA("Soma de 2026-2030",$A$65,"VP","COO","Status CISE","Nova Demanda")</f>
      </c>
      <c r="H82" s="260"/>
      <c r="I82" s="1"/>
      <c r="J82" s="38"/>
      <c r="K82" s="38"/>
      <c r="L82" s="38"/>
      <c r="M82" s="38"/>
      <c r="N82" s="38"/>
      <c r="O82" s="38"/>
    </row>
    <row x14ac:dyDescent="0.25" r="83" customHeight="1" ht="18.75">
      <c r="A83" s="275" t="s">
        <v>41122</v>
      </c>
      <c r="B83" s="276">
        <f>GETPIVOTDATA("Soma de 2026",$A$65,"VP","COO","Status CISE","Reajuste")</f>
      </c>
      <c r="C83" s="276">
        <f>GETPIVOTDATA("Soma de 2027",$A$65,"VP","COO","Status CISE","Reajuste")</f>
      </c>
      <c r="D83" s="276">
        <f>GETPIVOTDATA("Soma de 2028",$A$65,"VP","COO","Status CISE","Reajuste")</f>
      </c>
      <c r="E83" s="276">
        <f>GETPIVOTDATA("Soma de 2029",$A$65,"VP","COO","Status CISE","Reajuste")</f>
      </c>
      <c r="F83" s="276">
        <f>GETPIVOTDATA("Soma de 2030",$A$65,"VP","COO","Status CISE","Reajuste")</f>
      </c>
      <c r="G83" s="277">
        <f>GETPIVOTDATA("Soma de 2026-2030",$A$65,"VP","COO","Status CISE","Reajuste")</f>
      </c>
      <c r="H83" s="260"/>
      <c r="I83" s="1"/>
      <c r="J83" s="38"/>
      <c r="K83" s="38"/>
      <c r="L83" s="38"/>
      <c r="M83" s="38"/>
      <c r="N83" s="38"/>
      <c r="O83" s="38"/>
    </row>
    <row x14ac:dyDescent="0.25" r="84" customHeight="1" ht="18.75">
      <c r="A84" s="272" t="s">
        <v>13</v>
      </c>
      <c r="B84" s="278">
        <f>GETPIVOTDATA("Soma de 2026",$A$65,"VP","VEE")</f>
      </c>
      <c r="C84" s="273">
        <f>GETPIVOTDATA("Soma de 2027",$A$65,"VP","VEE")</f>
      </c>
      <c r="D84" s="273">
        <f>GETPIVOTDATA("Soma de 2028",$A$65,"VP","VEE")</f>
      </c>
      <c r="E84" s="273">
        <f>GETPIVOTDATA("Soma de 2029",$A$65,"VP","VEE")</f>
      </c>
      <c r="F84" s="273">
        <f>GETPIVOTDATA("Soma de 2030",$A$65,"VP","VEE")</f>
      </c>
      <c r="G84" s="274">
        <f>GETPIVOTDATA("Soma de 2026-2030",$A$65,"VP","VEE")</f>
      </c>
      <c r="H84" s="260"/>
      <c r="I84" s="1"/>
      <c r="J84" s="38"/>
      <c r="K84" s="38"/>
      <c r="L84" s="38"/>
      <c r="M84" s="38"/>
      <c r="N84" s="38"/>
      <c r="O84" s="38"/>
    </row>
    <row x14ac:dyDescent="0.25" r="85" customHeight="1" ht="18.75">
      <c r="A85" s="275" t="s">
        <v>46</v>
      </c>
      <c r="B85" s="279">
        <f>GETPIVOTDATA("Soma de 2026",$A$65,"VP","VEE","Status CISE","Contratado")</f>
      </c>
      <c r="C85" s="276">
        <f>GETPIVOTDATA("Soma de 2027",$A$65,"VP","VEE","Status CISE","Contratado")</f>
      </c>
      <c r="D85" s="276">
        <f>GETPIVOTDATA("Soma de 2028",$A$65,"VP","VEE","Status CISE","Contratado")</f>
      </c>
      <c r="E85" s="276">
        <f>GETPIVOTDATA("Soma de 2029",$A$65,"VP","VEE","Status CISE","Contratado")</f>
      </c>
      <c r="F85" s="276">
        <f>GETPIVOTDATA("Soma de 2030",$A$65,"VP","VEE","Status CISE","Contratado")</f>
      </c>
      <c r="G85" s="277">
        <f>GETPIVOTDATA("Soma de 2026-2030",$A$65,"VP","VEE","Status CISE","Contratado")</f>
      </c>
      <c r="H85" s="260"/>
      <c r="I85" s="1"/>
      <c r="J85" s="38"/>
      <c r="K85" s="38"/>
      <c r="L85" s="38"/>
      <c r="M85" s="38"/>
      <c r="N85" s="38"/>
      <c r="O85" s="38"/>
    </row>
    <row x14ac:dyDescent="0.25" r="86" customHeight="1" ht="18.75">
      <c r="A86" s="275" t="s">
        <v>64</v>
      </c>
      <c r="B86" s="279">
        <f>GETPIVOTDATA("Soma de 2026",$A$65,"VP","VEE","Status CISE","Em Contratação")</f>
      </c>
      <c r="C86" s="276">
        <f>GETPIVOTDATA("Soma de 2027",$A$65,"VP","VEE","Status CISE","Em Contratação")</f>
      </c>
      <c r="D86" s="276">
        <f>GETPIVOTDATA("Soma de 2028",$A$65,"VP","VEE","Status CISE","Em Contratação")</f>
      </c>
      <c r="E86" s="276">
        <f>GETPIVOTDATA("Soma de 2029",$A$65,"VP","VEE","Status CISE","Em Contratação")</f>
      </c>
      <c r="F86" s="276">
        <f>GETPIVOTDATA("Soma de 2030",$A$65,"VP","VEE","Status CISE","Em Contratação")</f>
      </c>
      <c r="G86" s="277">
        <f>GETPIVOTDATA("Soma de 2026-2030",$A$65,"VP","VEE","Status CISE","Em Contratação")</f>
      </c>
      <c r="H86" s="260"/>
      <c r="I86" s="1"/>
      <c r="J86" s="38"/>
      <c r="K86" s="38"/>
      <c r="L86" s="38"/>
      <c r="M86" s="38"/>
      <c r="N86" s="38"/>
      <c r="O86" s="38"/>
    </row>
    <row x14ac:dyDescent="0.25" r="87" customHeight="1" ht="18.75">
      <c r="A87" s="275" t="s">
        <v>41121</v>
      </c>
      <c r="B87" s="279">
        <f>GETPIVOTDATA("Soma de 2026",$A$65,"VP","VEE","Status CISE","Nova Demanda")</f>
      </c>
      <c r="C87" s="276">
        <f>GETPIVOTDATA("Soma de 2027",$A$65,"VP","VEE","Status CISE","Nova Demanda")</f>
      </c>
      <c r="D87" s="276">
        <f>GETPIVOTDATA("Soma de 2028",$A$65,"VP","VEE","Status CISE","Nova Demanda")</f>
      </c>
      <c r="E87" s="276">
        <f>GETPIVOTDATA("Soma de 2029",$A$65,"VP","VEE","Status CISE","Nova Demanda")</f>
      </c>
      <c r="F87" s="276">
        <f>GETPIVOTDATA("Soma de 2030",$A$65,"VP","VEE","Status CISE","Nova Demanda")</f>
      </c>
      <c r="G87" s="277">
        <f>GETPIVOTDATA("Soma de 2026-2030",$A$65,"VP","VEE","Status CISE","Nova Demanda")</f>
      </c>
      <c r="H87" s="260"/>
      <c r="I87" s="1"/>
      <c r="J87" s="38"/>
      <c r="K87" s="38"/>
      <c r="L87" s="38"/>
      <c r="M87" s="38"/>
      <c r="N87" s="38"/>
      <c r="O87" s="38"/>
    </row>
    <row x14ac:dyDescent="0.25" r="88" customHeight="1" ht="18.75">
      <c r="A88" s="280" t="s">
        <v>41122</v>
      </c>
      <c r="B88" s="281">
        <f>GETPIVOTDATA("Soma de 2026",$A$65,"VP","VEE","Status CISE","Reajuste")</f>
      </c>
      <c r="C88" s="282">
        <f>GETPIVOTDATA("Soma de 2027",$A$65,"VP","VEE","Status CISE","Reajuste")</f>
      </c>
      <c r="D88" s="282">
        <f>GETPIVOTDATA("Soma de 2028",$A$65,"VP","VEE","Status CISE","Reajuste")</f>
      </c>
      <c r="E88" s="282">
        <f>GETPIVOTDATA("Soma de 2029",$A$65,"VP","VEE","Status CISE","Reajuste")</f>
      </c>
      <c r="F88" s="282">
        <f>GETPIVOTDATA("Soma de 2030",$A$65,"VP","VEE","Status CISE","Reajuste")</f>
      </c>
      <c r="G88" s="283">
        <f>GETPIVOTDATA("Soma de 2026-2030",$A$65,"VP","VEE","Status CISE","Reajuste")</f>
      </c>
      <c r="H88" s="260"/>
      <c r="I88" s="1"/>
      <c r="J88" s="38"/>
      <c r="K88" s="38"/>
      <c r="L88" s="38"/>
      <c r="M88" s="38"/>
      <c r="N88" s="38"/>
      <c r="O88" s="38"/>
    </row>
    <row x14ac:dyDescent="0.25" r="89" customHeight="1" ht="18.75">
      <c r="A89" s="284" t="s">
        <v>41124</v>
      </c>
      <c r="B89" s="285">
        <f>GETPIVOTDATA("Soma de 2026",$A$65)</f>
      </c>
      <c r="C89" s="285">
        <f>GETPIVOTDATA("Soma de 2027",$A$65)</f>
      </c>
      <c r="D89" s="285">
        <f>GETPIVOTDATA("Soma de 2028",$A$65)</f>
      </c>
      <c r="E89" s="285">
        <f>GETPIVOTDATA("Soma de 2029",$A$65)</f>
      </c>
      <c r="F89" s="285">
        <f>GETPIVOTDATA("Soma de 2030",$A$65)</f>
      </c>
      <c r="G89" s="286">
        <f>GETPIVOTDATA("Soma de 2026-2030",$A$65)</f>
      </c>
      <c r="H89" s="260"/>
      <c r="I89" s="1"/>
      <c r="J89" s="38"/>
      <c r="K89" s="38"/>
      <c r="L89" s="38"/>
      <c r="M89" s="38"/>
      <c r="N89" s="38"/>
      <c r="O89" s="38"/>
    </row>
    <row x14ac:dyDescent="0.25" r="90" customHeight="1" ht="18.75">
      <c r="A90" s="258"/>
      <c r="B90" s="259"/>
      <c r="C90" s="260"/>
      <c r="D90" s="260"/>
      <c r="E90" s="260"/>
      <c r="F90" s="260"/>
      <c r="G90" s="260"/>
      <c r="H90" s="260"/>
      <c r="I90" s="1"/>
      <c r="J90" s="38"/>
      <c r="K90" s="38"/>
      <c r="L90" s="38"/>
      <c r="M90" s="38"/>
      <c r="N90" s="38"/>
      <c r="O90" s="38"/>
    </row>
    <row x14ac:dyDescent="0.25" r="91" customHeight="1" ht="18.75">
      <c r="A91" s="258"/>
      <c r="B91" s="259"/>
      <c r="C91" s="260"/>
      <c r="D91" s="260"/>
      <c r="E91" s="260"/>
      <c r="F91" s="260"/>
      <c r="G91" s="260"/>
      <c r="H91" s="260"/>
      <c r="I91" s="1"/>
      <c r="J91" s="38"/>
      <c r="K91" s="38"/>
      <c r="L91" s="38"/>
      <c r="M91" s="38"/>
      <c r="N91" s="38"/>
      <c r="O91" s="38"/>
    </row>
    <row x14ac:dyDescent="0.25" r="92" customHeight="1" ht="18.75">
      <c r="A92" s="258" t="s">
        <v>39001</v>
      </c>
      <c r="B92" s="259" t="s">
        <v>21</v>
      </c>
      <c r="C92" s="260"/>
      <c r="D92" s="260"/>
      <c r="E92" s="260"/>
      <c r="F92" s="260"/>
      <c r="G92" s="260"/>
      <c r="H92" s="260"/>
      <c r="I92" s="1"/>
      <c r="J92" s="38"/>
      <c r="K92" s="38"/>
      <c r="L92" s="38"/>
      <c r="M92" s="38"/>
      <c r="N92" s="38"/>
      <c r="O92" s="38"/>
    </row>
    <row x14ac:dyDescent="0.25" r="93" customHeight="1" ht="18.75">
      <c r="A93" s="258"/>
      <c r="B93" s="259"/>
      <c r="C93" s="260"/>
      <c r="D93" s="260"/>
      <c r="E93" s="260"/>
      <c r="F93" s="260"/>
      <c r="G93" s="260"/>
      <c r="H93" s="260"/>
      <c r="I93" s="1"/>
      <c r="J93" s="38"/>
      <c r="K93" s="38"/>
      <c r="L93" s="38"/>
      <c r="M93" s="38"/>
      <c r="N93" s="38"/>
      <c r="O93" s="38"/>
    </row>
    <row x14ac:dyDescent="0.25" r="94" customHeight="1" ht="18.75">
      <c r="A94" s="258" t="s">
        <v>41114</v>
      </c>
      <c r="B94" s="259" t="s">
        <v>41120</v>
      </c>
      <c r="C94" s="260"/>
      <c r="D94" s="260"/>
      <c r="E94" s="260"/>
      <c r="F94" s="260"/>
      <c r="G94" s="260"/>
      <c r="H94" s="260"/>
      <c r="I94" s="1"/>
      <c r="J94" s="38"/>
      <c r="K94" s="38"/>
      <c r="L94" s="38"/>
      <c r="M94" s="38"/>
      <c r="N94" s="38"/>
      <c r="O94" s="38"/>
    </row>
    <row x14ac:dyDescent="0.25" r="95" customHeight="1" ht="18.75">
      <c r="A95" s="3" t="s">
        <v>39912</v>
      </c>
      <c r="B95" s="287">
        <v>1040554897.2733916</v>
      </c>
      <c r="C95" s="260"/>
      <c r="D95" s="260"/>
      <c r="E95" s="260"/>
      <c r="F95" s="288"/>
      <c r="G95" s="288"/>
      <c r="H95" s="288"/>
      <c r="I95" s="289"/>
      <c r="J95" s="290"/>
      <c r="K95" s="290"/>
      <c r="L95" s="38"/>
      <c r="M95" s="38"/>
      <c r="N95" s="38"/>
      <c r="O95" s="38"/>
    </row>
    <row x14ac:dyDescent="0.25" r="96" customHeight="1" ht="18.75">
      <c r="A96" s="3" t="s">
        <v>40006</v>
      </c>
      <c r="B96" s="287">
        <v>63010319</v>
      </c>
      <c r="C96" s="260"/>
      <c r="D96" s="260"/>
      <c r="E96" s="260"/>
      <c r="F96" s="291" t="s">
        <v>46</v>
      </c>
      <c r="G96" s="122">
        <v>2849039964.9319043</v>
      </c>
      <c r="H96" s="122"/>
      <c r="I96" s="122"/>
      <c r="J96" s="122"/>
      <c r="K96" s="122"/>
      <c r="L96" s="38"/>
      <c r="M96" s="38"/>
      <c r="N96" s="38"/>
      <c r="O96" s="38"/>
    </row>
    <row x14ac:dyDescent="0.25" r="97" customHeight="1" ht="18.75">
      <c r="A97" s="3" t="s">
        <v>39945</v>
      </c>
      <c r="B97" s="287">
        <v>55922300</v>
      </c>
      <c r="C97" s="260"/>
      <c r="D97" s="260"/>
      <c r="E97" s="260"/>
      <c r="F97" s="291" t="s">
        <v>64</v>
      </c>
      <c r="G97" s="122">
        <v>3419412949.808614</v>
      </c>
      <c r="H97" s="122"/>
      <c r="I97" s="122"/>
      <c r="J97" s="122"/>
      <c r="K97" s="122"/>
      <c r="L97" s="38"/>
      <c r="M97" s="38"/>
      <c r="N97" s="38"/>
      <c r="O97" s="38"/>
    </row>
    <row x14ac:dyDescent="0.25" r="98" customHeight="1" ht="18.75">
      <c r="A98" s="3" t="s">
        <v>39998</v>
      </c>
      <c r="B98" s="287">
        <v>39427030.003</v>
      </c>
      <c r="C98" s="260"/>
      <c r="D98" s="260"/>
      <c r="E98" s="260"/>
      <c r="F98" s="291" t="s">
        <v>41121</v>
      </c>
      <c r="G98" s="122">
        <v>1847743608.860036</v>
      </c>
      <c r="H98" s="122"/>
      <c r="I98" s="122"/>
      <c r="J98" s="122"/>
      <c r="K98" s="122"/>
      <c r="L98" s="38"/>
      <c r="M98" s="38"/>
      <c r="N98" s="38"/>
      <c r="O98" s="38"/>
    </row>
    <row x14ac:dyDescent="0.25" r="99" customHeight="1" ht="18.75">
      <c r="A99" s="3" t="s">
        <v>39969</v>
      </c>
      <c r="B99" s="287">
        <v>33100000</v>
      </c>
      <c r="C99" s="260"/>
      <c r="D99" s="260"/>
      <c r="E99" s="260"/>
      <c r="F99" s="292" t="s">
        <v>41124</v>
      </c>
      <c r="G99" s="293">
        <v>8116196523.600554</v>
      </c>
      <c r="H99" s="293"/>
      <c r="I99" s="293"/>
      <c r="J99" s="293"/>
      <c r="K99" s="293"/>
      <c r="L99" s="38"/>
      <c r="M99" s="38"/>
      <c r="N99" s="38"/>
      <c r="O99" s="38"/>
    </row>
    <row x14ac:dyDescent="0.25" r="100" customHeight="1" ht="18.75">
      <c r="A100" s="3" t="s">
        <v>41109</v>
      </c>
      <c r="B100" s="287">
        <v>12512000</v>
      </c>
      <c r="C100" s="260"/>
      <c r="D100" s="260"/>
      <c r="E100" s="260"/>
      <c r="F100" s="260"/>
      <c r="G100" s="260"/>
      <c r="H100" s="260"/>
      <c r="I100" s="1"/>
      <c r="J100" s="38"/>
      <c r="K100" s="38"/>
      <c r="L100" s="38"/>
      <c r="M100" s="38"/>
      <c r="N100" s="38"/>
      <c r="O100" s="38"/>
    </row>
    <row x14ac:dyDescent="0.25" r="101" customHeight="1" ht="18.75">
      <c r="A101" s="3" t="s">
        <v>41124</v>
      </c>
      <c r="B101" s="287">
        <v>1244526546.2763915</v>
      </c>
      <c r="C101" s="260"/>
      <c r="D101" s="260"/>
      <c r="E101" s="260"/>
      <c r="F101" s="260"/>
      <c r="G101" s="260"/>
      <c r="H101" s="260"/>
      <c r="I101" s="1"/>
      <c r="J101" s="38"/>
      <c r="K101" s="38"/>
      <c r="L101" s="38"/>
      <c r="M101" s="38"/>
      <c r="N101" s="38"/>
      <c r="O101" s="38"/>
    </row>
    <row x14ac:dyDescent="0.25" r="102" customHeight="1" ht="18.75">
      <c r="A102" s="258"/>
      <c r="B102" s="259"/>
      <c r="C102" s="260"/>
      <c r="D102" s="260"/>
      <c r="E102" s="260"/>
      <c r="F102" s="260"/>
      <c r="G102" s="260"/>
      <c r="H102" s="260"/>
      <c r="I102" s="1"/>
      <c r="J102" s="38"/>
      <c r="K102" s="38"/>
      <c r="L102" s="38"/>
      <c r="M102" s="38"/>
      <c r="N102" s="38"/>
      <c r="O102" s="38"/>
    </row>
    <row x14ac:dyDescent="0.25" r="103" customHeight="1" ht="18.75">
      <c r="A103" s="258"/>
      <c r="B103" s="259"/>
      <c r="C103" s="260"/>
      <c r="D103" s="260"/>
      <c r="E103" s="260"/>
      <c r="F103" s="260"/>
      <c r="G103" s="260"/>
      <c r="H103" s="260"/>
      <c r="I103" s="1"/>
      <c r="J103" s="38"/>
      <c r="K103" s="38"/>
      <c r="L103" s="38"/>
      <c r="M103" s="38"/>
      <c r="N103" s="38"/>
      <c r="O103" s="38"/>
    </row>
    <row x14ac:dyDescent="0.25" r="104" customHeight="1" ht="18.75">
      <c r="A104" s="258"/>
      <c r="B104" s="259"/>
      <c r="C104" s="260"/>
      <c r="D104" s="260"/>
      <c r="E104" s="260"/>
      <c r="F104" s="260"/>
      <c r="G104" s="260"/>
      <c r="H104" s="260"/>
      <c r="I104" s="1"/>
      <c r="J104" s="38"/>
      <c r="K104" s="38"/>
      <c r="L104" s="38"/>
      <c r="M104" s="38"/>
      <c r="N104" s="38"/>
      <c r="O104" s="38"/>
    </row>
    <row x14ac:dyDescent="0.25" r="105" customHeight="1" ht="18.75">
      <c r="A105" s="258"/>
      <c r="B105" s="259"/>
      <c r="C105" s="260"/>
      <c r="D105" s="260"/>
      <c r="E105" s="260"/>
      <c r="F105" s="260" t="s">
        <v>46</v>
      </c>
      <c r="G105" s="261">
        <v>2849039964.9319043</v>
      </c>
      <c r="H105" s="260"/>
      <c r="I105" s="1"/>
      <c r="J105" s="38"/>
      <c r="K105" s="38"/>
      <c r="L105" s="38"/>
      <c r="M105" s="38"/>
      <c r="N105" s="38"/>
      <c r="O105" s="38"/>
    </row>
    <row x14ac:dyDescent="0.25" r="106" customHeight="1" ht="18.75">
      <c r="A106" s="258"/>
      <c r="B106" s="259"/>
      <c r="C106" s="260"/>
      <c r="D106" s="260"/>
      <c r="E106" s="260"/>
      <c r="F106" s="260" t="s">
        <v>64</v>
      </c>
      <c r="G106" s="261">
        <v>3419412949.808614</v>
      </c>
      <c r="H106" s="260"/>
      <c r="I106" s="1"/>
      <c r="J106" s="38"/>
      <c r="K106" s="38"/>
      <c r="L106" s="38"/>
      <c r="M106" s="38"/>
      <c r="N106" s="38"/>
      <c r="O106" s="38"/>
    </row>
    <row x14ac:dyDescent="0.25" r="107" customHeight="1" ht="18.75">
      <c r="A107" s="258"/>
      <c r="B107" s="259"/>
      <c r="C107" s="260"/>
      <c r="D107" s="260"/>
      <c r="E107" s="260"/>
      <c r="F107" s="260" t="s">
        <v>41121</v>
      </c>
      <c r="G107" s="261">
        <v>1847743608.860036</v>
      </c>
      <c r="H107" s="260"/>
      <c r="I107" s="1"/>
      <c r="J107" s="38"/>
      <c r="K107" s="38"/>
      <c r="L107" s="38"/>
      <c r="M107" s="38"/>
      <c r="N107" s="38"/>
      <c r="O107" s="38"/>
    </row>
    <row x14ac:dyDescent="0.25" r="108" customHeight="1" ht="18.75">
      <c r="A108" s="258"/>
      <c r="B108" s="259"/>
      <c r="C108" s="260"/>
      <c r="D108" s="260"/>
      <c r="E108" s="260"/>
      <c r="F108" s="260" t="s">
        <v>41124</v>
      </c>
      <c r="G108" s="261">
        <v>8116196523.600554</v>
      </c>
      <c r="H108" s="260"/>
      <c r="I108" s="1"/>
      <c r="J108" s="38"/>
      <c r="K108" s="38"/>
      <c r="L108" s="38"/>
      <c r="M108" s="38"/>
      <c r="N108" s="38"/>
      <c r="O108" s="38"/>
    </row>
    <row x14ac:dyDescent="0.25" r="109" customHeight="1" ht="18.75">
      <c r="A109" s="258"/>
      <c r="B109" s="259"/>
      <c r="C109" s="260"/>
      <c r="D109" s="260"/>
      <c r="E109" s="260"/>
      <c r="F109" s="260"/>
      <c r="G109" s="260"/>
      <c r="H109" s="260"/>
      <c r="I109" s="1"/>
      <c r="J109" s="38"/>
      <c r="K109" s="38"/>
      <c r="L109" s="38"/>
      <c r="M109" s="38"/>
      <c r="N109" s="38"/>
      <c r="O109" s="38"/>
    </row>
    <row x14ac:dyDescent="0.25" r="110" customHeight="1" ht="18.75">
      <c r="A110" s="258"/>
      <c r="B110" s="259"/>
      <c r="C110" s="260"/>
      <c r="D110" s="260"/>
      <c r="E110" s="260"/>
      <c r="F110" s="260"/>
      <c r="G110" s="260"/>
      <c r="H110" s="260"/>
      <c r="I110" s="1"/>
      <c r="J110" s="38"/>
      <c r="K110" s="38"/>
      <c r="L110" s="38"/>
      <c r="M110" s="38"/>
      <c r="N110" s="38"/>
      <c r="O110" s="38"/>
    </row>
    <row x14ac:dyDescent="0.25" r="111" customHeight="1" ht="18.75">
      <c r="A111" s="258"/>
      <c r="B111" s="259"/>
      <c r="C111" s="260"/>
      <c r="D111" s="260"/>
      <c r="E111" s="260"/>
      <c r="F111" s="260"/>
      <c r="G111" s="260"/>
      <c r="H111" s="260"/>
      <c r="I111" s="1"/>
      <c r="J111" s="38"/>
      <c r="K111" s="38"/>
      <c r="L111" s="38"/>
      <c r="M111" s="38"/>
      <c r="N111" s="38"/>
      <c r="O111" s="38"/>
    </row>
    <row x14ac:dyDescent="0.25" r="112" customHeight="1" ht="18.75">
      <c r="A112" s="258"/>
      <c r="B112" s="259"/>
      <c r="C112" s="260"/>
      <c r="D112" s="260"/>
      <c r="E112" s="260"/>
      <c r="F112" s="260"/>
      <c r="G112" s="260"/>
      <c r="H112" s="260"/>
      <c r="I112" s="1"/>
      <c r="J112" s="38"/>
      <c r="K112" s="38"/>
      <c r="L112" s="38"/>
      <c r="M112" s="38"/>
      <c r="N112" s="38"/>
      <c r="O112" s="38"/>
    </row>
    <row x14ac:dyDescent="0.25" r="113" customHeight="1" ht="18.75">
      <c r="A113" s="258"/>
      <c r="B113" s="259"/>
      <c r="C113" s="260"/>
      <c r="D113" s="260"/>
      <c r="E113" s="260"/>
      <c r="F113" s="260"/>
      <c r="G113" s="260"/>
      <c r="H113" s="260"/>
      <c r="I113" s="1"/>
      <c r="J113" s="38"/>
      <c r="K113" s="38"/>
      <c r="L113" s="38"/>
      <c r="M113" s="38"/>
      <c r="N113" s="38"/>
      <c r="O113" s="38"/>
    </row>
    <row x14ac:dyDescent="0.25" r="114" customHeight="1" ht="18.75">
      <c r="A114" s="258"/>
      <c r="B114" s="259"/>
      <c r="C114" s="260"/>
      <c r="D114" s="260"/>
      <c r="E114" s="260"/>
      <c r="F114" s="260"/>
      <c r="G114" s="260"/>
      <c r="H114" s="260"/>
      <c r="I114" s="1"/>
      <c r="J114" s="38"/>
      <c r="K114" s="38"/>
      <c r="L114" s="38"/>
      <c r="M114" s="38"/>
      <c r="N114" s="38"/>
      <c r="O114" s="38"/>
    </row>
    <row x14ac:dyDescent="0.25" r="115" customHeight="1" ht="18.75">
      <c r="A115" s="258"/>
      <c r="B115" s="259"/>
      <c r="C115" s="260"/>
      <c r="D115" s="260"/>
      <c r="E115" s="260"/>
      <c r="F115" s="260"/>
      <c r="G115" s="260"/>
      <c r="H115" s="260"/>
      <c r="I115" s="1"/>
      <c r="J115" s="38"/>
      <c r="K115" s="38"/>
      <c r="L115" s="38"/>
      <c r="M115" s="38"/>
      <c r="N115" s="38"/>
      <c r="O115" s="38"/>
    </row>
    <row x14ac:dyDescent="0.25" r="116" customHeight="1" ht="18.75">
      <c r="A116" s="258"/>
      <c r="B116" s="259"/>
      <c r="C116" s="260"/>
      <c r="D116" s="260"/>
      <c r="E116" s="260"/>
      <c r="F116" s="260"/>
      <c r="G116" s="260"/>
      <c r="H116" s="260"/>
      <c r="I116" s="1"/>
      <c r="J116" s="38"/>
      <c r="K116" s="38"/>
      <c r="L116" s="38"/>
      <c r="M116" s="38"/>
      <c r="N116" s="38"/>
      <c r="O116" s="38"/>
    </row>
    <row x14ac:dyDescent="0.25" r="117" customHeight="1" ht="18.75">
      <c r="A117" s="258"/>
      <c r="B117" s="259"/>
      <c r="C117" s="260"/>
      <c r="D117" s="260"/>
      <c r="E117" s="260"/>
      <c r="F117" s="260"/>
      <c r="G117" s="260"/>
      <c r="H117" s="260"/>
      <c r="I117" s="1"/>
      <c r="J117" s="38"/>
      <c r="K117" s="38"/>
      <c r="L117" s="38"/>
      <c r="M117" s="38"/>
      <c r="N117" s="38"/>
      <c r="O117" s="38"/>
    </row>
    <row x14ac:dyDescent="0.25" r="118" customHeight="1" ht="18.75">
      <c r="A118" s="258"/>
      <c r="B118" s="259"/>
      <c r="C118" s="260"/>
      <c r="D118" s="260"/>
      <c r="E118" s="260"/>
      <c r="F118" s="260"/>
      <c r="G118" s="260"/>
      <c r="H118" s="260"/>
      <c r="I118" s="1"/>
      <c r="J118" s="38"/>
      <c r="K118" s="38"/>
      <c r="L118" s="38"/>
      <c r="M118" s="38"/>
      <c r="N118" s="38"/>
      <c r="O118" s="38"/>
    </row>
    <row x14ac:dyDescent="0.25" r="119" customHeight="1" ht="18.75">
      <c r="A119" s="258"/>
      <c r="B119" s="259"/>
      <c r="C119" s="260"/>
      <c r="D119" s="260"/>
      <c r="E119" s="260"/>
      <c r="F119" s="260"/>
      <c r="G119" s="260"/>
      <c r="H119" s="260"/>
      <c r="I119" s="1"/>
      <c r="J119" s="38"/>
      <c r="K119" s="38"/>
      <c r="L119" s="38"/>
      <c r="M119" s="38"/>
      <c r="N119" s="38"/>
      <c r="O119" s="38"/>
    </row>
    <row x14ac:dyDescent="0.25" r="120" customHeight="1" ht="18.75">
      <c r="A120" s="258"/>
      <c r="B120" s="259"/>
      <c r="C120" s="260"/>
      <c r="D120" s="260"/>
      <c r="E120" s="260"/>
      <c r="F120" s="260"/>
      <c r="G120" s="260"/>
      <c r="H120" s="260"/>
      <c r="I120" s="1"/>
      <c r="J120" s="38"/>
      <c r="K120" s="38"/>
      <c r="L120" s="38"/>
      <c r="M120" s="38"/>
      <c r="N120" s="38"/>
      <c r="O120" s="38"/>
    </row>
    <row x14ac:dyDescent="0.25" r="121" customHeight="1" ht="18.75">
      <c r="A121" s="258"/>
      <c r="B121" s="259"/>
      <c r="C121" s="260"/>
      <c r="D121" s="260"/>
      <c r="E121" s="260"/>
      <c r="F121" s="260"/>
      <c r="G121" s="260"/>
      <c r="H121" s="260"/>
      <c r="I121" s="1"/>
      <c r="J121" s="38"/>
      <c r="K121" s="38"/>
      <c r="L121" s="38"/>
      <c r="M121" s="38"/>
      <c r="N121" s="38"/>
      <c r="O121" s="38"/>
    </row>
    <row x14ac:dyDescent="0.25" r="122" customHeight="1" ht="18.75">
      <c r="A122" s="258"/>
      <c r="B122" s="259"/>
      <c r="C122" s="260"/>
      <c r="D122" s="260"/>
      <c r="E122" s="260"/>
      <c r="F122" s="260"/>
      <c r="G122" s="260"/>
      <c r="H122" s="260"/>
      <c r="I122" s="1"/>
      <c r="J122" s="38"/>
      <c r="K122" s="38"/>
      <c r="L122" s="38"/>
      <c r="M122" s="38"/>
      <c r="N122" s="38"/>
      <c r="O122" s="38"/>
    </row>
    <row x14ac:dyDescent="0.25" r="123" customHeight="1" ht="18.75">
      <c r="A123" s="258"/>
      <c r="B123" s="259"/>
      <c r="C123" s="260"/>
      <c r="D123" s="260"/>
      <c r="E123" s="260"/>
      <c r="F123" s="260"/>
      <c r="G123" s="260"/>
      <c r="H123" s="260"/>
      <c r="I123" s="1"/>
      <c r="J123" s="38"/>
      <c r="K123" s="38"/>
      <c r="L123" s="38"/>
      <c r="M123" s="38"/>
      <c r="N123" s="38"/>
      <c r="O123" s="38"/>
    </row>
    <row x14ac:dyDescent="0.25" r="124" customHeight="1" ht="18.75">
      <c r="A124" s="258"/>
      <c r="B124" s="259"/>
      <c r="C124" s="260"/>
      <c r="D124" s="260"/>
      <c r="E124" s="260"/>
      <c r="F124" s="260"/>
      <c r="G124" s="260"/>
      <c r="H124" s="260"/>
      <c r="I124" s="1"/>
      <c r="J124" s="38"/>
      <c r="K124" s="38"/>
      <c r="L124" s="38"/>
      <c r="M124" s="38"/>
      <c r="N124" s="38"/>
      <c r="O124" s="38"/>
    </row>
    <row x14ac:dyDescent="0.25" r="125" customHeight="1" ht="18.75">
      <c r="A125" s="258"/>
      <c r="B125" s="259"/>
      <c r="C125" s="260"/>
      <c r="D125" s="260"/>
      <c r="E125" s="260"/>
      <c r="F125" s="260"/>
      <c r="G125" s="260"/>
      <c r="H125" s="260"/>
      <c r="I125" s="1"/>
      <c r="J125" s="38"/>
      <c r="K125" s="38"/>
      <c r="L125" s="38"/>
      <c r="M125" s="38"/>
      <c r="N125" s="38"/>
      <c r="O125" s="38"/>
    </row>
    <row x14ac:dyDescent="0.25" r="126" customHeight="1" ht="18.75">
      <c r="A126" s="258"/>
      <c r="B126" s="259"/>
      <c r="C126" s="260"/>
      <c r="D126" s="260"/>
      <c r="E126" s="260"/>
      <c r="F126" s="260"/>
      <c r="G126" s="260"/>
      <c r="H126" s="260"/>
      <c r="I126" s="1"/>
      <c r="J126" s="38"/>
      <c r="K126" s="38"/>
      <c r="L126" s="38"/>
      <c r="M126" s="38"/>
      <c r="N126" s="38"/>
      <c r="O126" s="38"/>
    </row>
    <row x14ac:dyDescent="0.25" r="127" customHeight="1" ht="18.75">
      <c r="A127" s="258"/>
      <c r="B127" s="259"/>
      <c r="C127" s="260"/>
      <c r="D127" s="260"/>
      <c r="E127" s="260"/>
      <c r="F127" s="260"/>
      <c r="G127" s="260"/>
      <c r="H127" s="260"/>
      <c r="I127" s="1"/>
      <c r="J127" s="38"/>
      <c r="K127" s="38"/>
      <c r="L127" s="38"/>
      <c r="M127" s="38"/>
      <c r="N127" s="38"/>
      <c r="O127" s="38"/>
    </row>
    <row x14ac:dyDescent="0.25" r="128" customHeight="1" ht="18.75">
      <c r="A128" s="258"/>
      <c r="B128" s="259"/>
      <c r="C128" s="260"/>
      <c r="D128" s="260"/>
      <c r="E128" s="260"/>
      <c r="F128" s="260"/>
      <c r="G128" s="260"/>
      <c r="H128" s="260"/>
      <c r="I128" s="1"/>
      <c r="J128" s="38"/>
      <c r="K128" s="38"/>
      <c r="L128" s="38"/>
      <c r="M128" s="38"/>
      <c r="N128" s="38"/>
      <c r="O128" s="38"/>
    </row>
    <row x14ac:dyDescent="0.25" r="129" customHeight="1" ht="18.75">
      <c r="A129" s="258"/>
      <c r="B129" s="259"/>
      <c r="C129" s="260"/>
      <c r="D129" s="260"/>
      <c r="E129" s="260"/>
      <c r="F129" s="260"/>
      <c r="G129" s="260"/>
      <c r="H129" s="260"/>
      <c r="I129" s="1"/>
      <c r="J129" s="38"/>
      <c r="K129" s="38"/>
      <c r="L129" s="38"/>
      <c r="M129" s="38"/>
      <c r="N129" s="38"/>
      <c r="O129" s="38"/>
    </row>
    <row x14ac:dyDescent="0.25" r="130" customHeight="1" ht="18.75">
      <c r="A130" s="258"/>
      <c r="B130" s="259"/>
      <c r="C130" s="260"/>
      <c r="D130" s="260"/>
      <c r="E130" s="260"/>
      <c r="F130" s="260"/>
      <c r="G130" s="260"/>
      <c r="H130" s="260"/>
      <c r="I130" s="1"/>
      <c r="J130" s="38"/>
      <c r="K130" s="38"/>
      <c r="L130" s="38"/>
      <c r="M130" s="38"/>
      <c r="N130" s="38"/>
      <c r="O130" s="38"/>
    </row>
    <row x14ac:dyDescent="0.25" r="131" customHeight="1" ht="18.75">
      <c r="A131" s="258"/>
      <c r="B131" s="259"/>
      <c r="C131" s="260"/>
      <c r="D131" s="260"/>
      <c r="E131" s="260"/>
      <c r="F131" s="260"/>
      <c r="G131" s="260"/>
      <c r="H131" s="260"/>
      <c r="I131" s="1"/>
      <c r="J131" s="38"/>
      <c r="K131" s="38"/>
      <c r="L131" s="38"/>
      <c r="M131" s="38"/>
      <c r="N131" s="38"/>
      <c r="O131" s="38"/>
    </row>
    <row x14ac:dyDescent="0.25" r="132" customHeight="1" ht="18.75">
      <c r="A132" s="258"/>
      <c r="B132" s="259"/>
      <c r="C132" s="260"/>
      <c r="D132" s="260"/>
      <c r="E132" s="260"/>
      <c r="F132" s="260"/>
      <c r="G132" s="260"/>
      <c r="H132" s="260"/>
      <c r="I132" s="1"/>
      <c r="J132" s="38"/>
      <c r="K132" s="38"/>
      <c r="L132" s="38"/>
      <c r="M132" s="38"/>
      <c r="N132" s="38"/>
      <c r="O132" s="38"/>
    </row>
    <row x14ac:dyDescent="0.25" r="133" customHeight="1" ht="18.75">
      <c r="A133" s="258"/>
      <c r="B133" s="259"/>
      <c r="C133" s="260"/>
      <c r="D133" s="260"/>
      <c r="E133" s="260"/>
      <c r="F133" s="260"/>
      <c r="G133" s="260"/>
      <c r="H133" s="260"/>
      <c r="I133" s="1"/>
      <c r="J133" s="38"/>
      <c r="K133" s="38"/>
      <c r="L133" s="38"/>
      <c r="M133" s="38"/>
      <c r="N133" s="38"/>
      <c r="O133" s="38"/>
    </row>
    <row x14ac:dyDescent="0.25" r="134" customHeight="1" ht="18.75">
      <c r="A134" s="258"/>
      <c r="B134" s="259"/>
      <c r="C134" s="260"/>
      <c r="D134" s="260"/>
      <c r="E134" s="260"/>
      <c r="F134" s="260"/>
      <c r="G134" s="260"/>
      <c r="H134" s="260"/>
      <c r="I134" s="1"/>
      <c r="J134" s="38"/>
      <c r="K134" s="38"/>
      <c r="L134" s="38"/>
      <c r="M134" s="38"/>
      <c r="N134" s="38"/>
      <c r="O134" s="38"/>
    </row>
    <row x14ac:dyDescent="0.25" r="135" customHeight="1" ht="18.75">
      <c r="A135" s="258"/>
      <c r="B135" s="259"/>
      <c r="C135" s="260"/>
      <c r="D135" s="260"/>
      <c r="E135" s="260"/>
      <c r="F135" s="260"/>
      <c r="G135" s="260"/>
      <c r="H135" s="260"/>
      <c r="I135" s="1"/>
      <c r="J135" s="38"/>
      <c r="K135" s="38"/>
      <c r="L135" s="38"/>
      <c r="M135" s="38"/>
      <c r="N135" s="38"/>
      <c r="O135" s="38"/>
    </row>
    <row x14ac:dyDescent="0.25" r="136" customHeight="1" ht="18.75">
      <c r="A136" s="258"/>
      <c r="B136" s="259"/>
      <c r="C136" s="260"/>
      <c r="D136" s="260"/>
      <c r="E136" s="260"/>
      <c r="F136" s="260"/>
      <c r="G136" s="260"/>
      <c r="H136" s="260"/>
      <c r="I136" s="1"/>
      <c r="J136" s="38"/>
      <c r="K136" s="38"/>
      <c r="L136" s="38"/>
      <c r="M136" s="38"/>
      <c r="N136" s="38"/>
      <c r="O136" s="38"/>
    </row>
    <row x14ac:dyDescent="0.25" r="137" customHeight="1" ht="18.75">
      <c r="A137" s="258"/>
      <c r="B137" s="259"/>
      <c r="C137" s="260"/>
      <c r="D137" s="260"/>
      <c r="E137" s="260"/>
      <c r="F137" s="260"/>
      <c r="G137" s="260"/>
      <c r="H137" s="260"/>
      <c r="I137" s="1"/>
      <c r="J137" s="38"/>
      <c r="K137" s="38"/>
      <c r="L137" s="38"/>
      <c r="M137" s="38"/>
      <c r="N137" s="38"/>
      <c r="O137" s="38"/>
    </row>
    <row x14ac:dyDescent="0.25" r="138" customHeight="1" ht="18.75">
      <c r="A138" s="258"/>
      <c r="B138" s="259"/>
      <c r="C138" s="260"/>
      <c r="D138" s="260"/>
      <c r="E138" s="260"/>
      <c r="F138" s="260"/>
      <c r="G138" s="260"/>
      <c r="H138" s="260"/>
      <c r="I138" s="1"/>
      <c r="J138" s="38"/>
      <c r="K138" s="38"/>
      <c r="L138" s="38"/>
      <c r="M138" s="38"/>
      <c r="N138" s="38"/>
      <c r="O138" s="38"/>
    </row>
    <row x14ac:dyDescent="0.25" r="139" customHeight="1" ht="18.75">
      <c r="A139" s="258"/>
      <c r="B139" s="259"/>
      <c r="C139" s="260"/>
      <c r="D139" s="260"/>
      <c r="E139" s="260"/>
      <c r="F139" s="260"/>
      <c r="G139" s="260"/>
      <c r="H139" s="260"/>
      <c r="I139" s="1"/>
      <c r="J139" s="38"/>
      <c r="K139" s="38"/>
      <c r="L139" s="38"/>
      <c r="M139" s="38"/>
      <c r="N139" s="38"/>
      <c r="O139" s="38"/>
    </row>
    <row x14ac:dyDescent="0.25" r="140" customHeight="1" ht="18.75">
      <c r="A140" s="258"/>
      <c r="B140" s="259"/>
      <c r="C140" s="260"/>
      <c r="D140" s="260"/>
      <c r="E140" s="260"/>
      <c r="F140" s="260"/>
      <c r="G140" s="260"/>
      <c r="H140" s="260"/>
      <c r="I140" s="1"/>
      <c r="J140" s="38"/>
      <c r="K140" s="38"/>
      <c r="L140" s="38"/>
      <c r="M140" s="38"/>
      <c r="N140" s="38"/>
      <c r="O140" s="38"/>
    </row>
    <row x14ac:dyDescent="0.25" r="141" customHeight="1" ht="18.75">
      <c r="A141" s="258"/>
      <c r="B141" s="259"/>
      <c r="C141" s="260"/>
      <c r="D141" s="260"/>
      <c r="E141" s="260"/>
      <c r="F141" s="260"/>
      <c r="G141" s="260"/>
      <c r="H141" s="260"/>
      <c r="I141" s="1"/>
      <c r="J141" s="38"/>
      <c r="K141" s="38"/>
      <c r="L141" s="38"/>
      <c r="M141" s="38"/>
      <c r="N141" s="38"/>
      <c r="O141" s="38"/>
    </row>
    <row x14ac:dyDescent="0.25" r="142" customHeight="1" ht="18.75">
      <c r="A142" s="258"/>
      <c r="B142" s="259"/>
      <c r="C142" s="260"/>
      <c r="D142" s="260"/>
      <c r="E142" s="260"/>
      <c r="F142" s="260"/>
      <c r="G142" s="260"/>
      <c r="H142" s="260"/>
      <c r="I142" s="1"/>
      <c r="J142" s="38"/>
      <c r="K142" s="38"/>
      <c r="L142" s="38"/>
      <c r="M142" s="38"/>
      <c r="N142" s="38"/>
      <c r="O142" s="38"/>
    </row>
    <row x14ac:dyDescent="0.25" r="143" customHeight="1" ht="18.75">
      <c r="A143" s="258"/>
      <c r="B143" s="259"/>
      <c r="C143" s="260"/>
      <c r="D143" s="260"/>
      <c r="E143" s="260"/>
      <c r="F143" s="260"/>
      <c r="G143" s="260"/>
      <c r="H143" s="260"/>
      <c r="I143" s="1"/>
      <c r="J143" s="38"/>
      <c r="K143" s="38"/>
      <c r="L143" s="38"/>
      <c r="M143" s="38"/>
      <c r="N143" s="38"/>
      <c r="O143" s="38"/>
    </row>
    <row x14ac:dyDescent="0.25" r="144" customHeight="1" ht="18.75">
      <c r="A144" s="258"/>
      <c r="B144" s="259"/>
      <c r="C144" s="260"/>
      <c r="D144" s="260"/>
      <c r="E144" s="260"/>
      <c r="F144" s="260"/>
      <c r="G144" s="260"/>
      <c r="H144" s="260"/>
      <c r="I144" s="1"/>
      <c r="J144" s="38"/>
      <c r="K144" s="38"/>
      <c r="L144" s="38"/>
      <c r="M144" s="38"/>
      <c r="N144" s="38"/>
      <c r="O144" s="38"/>
    </row>
    <row x14ac:dyDescent="0.25" r="145" customHeight="1" ht="18.75">
      <c r="A145" s="258"/>
      <c r="B145" s="259"/>
      <c r="C145" s="260"/>
      <c r="D145" s="260"/>
      <c r="E145" s="260"/>
      <c r="F145" s="260"/>
      <c r="G145" s="260"/>
      <c r="H145" s="260"/>
      <c r="I145" s="1"/>
      <c r="J145" s="38"/>
      <c r="K145" s="38"/>
      <c r="L145" s="38"/>
      <c r="M145" s="38"/>
      <c r="N145" s="38"/>
      <c r="O145" s="38"/>
    </row>
    <row x14ac:dyDescent="0.25" r="146" customHeight="1" ht="18.75">
      <c r="A146" s="258"/>
      <c r="B146" s="259"/>
      <c r="C146" s="260"/>
      <c r="D146" s="260"/>
      <c r="E146" s="260"/>
      <c r="F146" s="260"/>
      <c r="G146" s="260"/>
      <c r="H146" s="260"/>
      <c r="I146" s="1"/>
      <c r="J146" s="38"/>
      <c r="K146" s="38"/>
      <c r="L146" s="38"/>
      <c r="M146" s="38"/>
      <c r="N146" s="38"/>
      <c r="O146" s="38"/>
    </row>
    <row x14ac:dyDescent="0.25" r="147" customHeight="1" ht="18.75">
      <c r="A147" s="258"/>
      <c r="B147" s="259"/>
      <c r="C147" s="260"/>
      <c r="D147" s="260"/>
      <c r="E147" s="260"/>
      <c r="F147" s="260"/>
      <c r="G147" s="260"/>
      <c r="H147" s="260"/>
      <c r="I147" s="1"/>
      <c r="J147" s="38"/>
      <c r="K147" s="38"/>
      <c r="L147" s="38"/>
      <c r="M147" s="38"/>
      <c r="N147" s="38"/>
      <c r="O147" s="38"/>
    </row>
    <row x14ac:dyDescent="0.25" r="148" customHeight="1" ht="18.75">
      <c r="A148" s="258"/>
      <c r="B148" s="259"/>
      <c r="C148" s="260"/>
      <c r="D148" s="260"/>
      <c r="E148" s="260"/>
      <c r="F148" s="260"/>
      <c r="G148" s="260"/>
      <c r="H148" s="260"/>
      <c r="I148" s="1"/>
      <c r="J148" s="38"/>
      <c r="K148" s="38"/>
      <c r="L148" s="38"/>
      <c r="M148" s="38"/>
      <c r="N148" s="38"/>
      <c r="O148" s="38"/>
    </row>
    <row x14ac:dyDescent="0.25" r="149" customHeight="1" ht="18.75">
      <c r="A149" s="258"/>
      <c r="B149" s="259"/>
      <c r="C149" s="260"/>
      <c r="D149" s="260"/>
      <c r="E149" s="260"/>
      <c r="F149" s="260"/>
      <c r="G149" s="260"/>
      <c r="H149" s="260"/>
      <c r="I149" s="1"/>
      <c r="J149" s="38"/>
      <c r="K149" s="38"/>
      <c r="L149" s="38"/>
      <c r="M149" s="38"/>
      <c r="N149" s="38"/>
      <c r="O149" s="38"/>
    </row>
    <row x14ac:dyDescent="0.25" r="150" customHeight="1" ht="18.75">
      <c r="A150" s="258"/>
      <c r="B150" s="259"/>
      <c r="C150" s="260"/>
      <c r="D150" s="260"/>
      <c r="E150" s="260"/>
      <c r="F150" s="260"/>
      <c r="G150" s="260"/>
      <c r="H150" s="260"/>
      <c r="I150" s="1"/>
      <c r="J150" s="38"/>
      <c r="K150" s="38"/>
      <c r="L150" s="38"/>
      <c r="M150" s="38"/>
      <c r="N150" s="38"/>
      <c r="O150" s="38"/>
    </row>
    <row x14ac:dyDescent="0.25" r="151" customHeight="1" ht="18.75">
      <c r="A151" s="258"/>
      <c r="B151" s="259"/>
      <c r="C151" s="260"/>
      <c r="D151" s="260"/>
      <c r="E151" s="260"/>
      <c r="F151" s="260"/>
      <c r="G151" s="260"/>
      <c r="H151" s="260"/>
      <c r="I151" s="1"/>
      <c r="J151" s="38"/>
      <c r="K151" s="38"/>
      <c r="L151" s="38"/>
      <c r="M151" s="38"/>
      <c r="N151" s="38"/>
      <c r="O151" s="38"/>
    </row>
    <row x14ac:dyDescent="0.25" r="152" customHeight="1" ht="18.75">
      <c r="A152" s="258"/>
      <c r="B152" s="259"/>
      <c r="C152" s="260"/>
      <c r="D152" s="260"/>
      <c r="E152" s="260"/>
      <c r="F152" s="260"/>
      <c r="G152" s="260"/>
      <c r="H152" s="260"/>
      <c r="I152" s="1"/>
      <c r="J152" s="38"/>
      <c r="K152" s="38"/>
      <c r="L152" s="38"/>
      <c r="M152" s="38"/>
      <c r="N152" s="38"/>
      <c r="O152" s="38"/>
    </row>
    <row x14ac:dyDescent="0.25" r="153" customHeight="1" ht="18.75">
      <c r="A153" s="258"/>
      <c r="B153" s="259"/>
      <c r="C153" s="260"/>
      <c r="D153" s="260"/>
      <c r="E153" s="260"/>
      <c r="F153" s="260"/>
      <c r="G153" s="260"/>
      <c r="H153" s="260"/>
      <c r="I153" s="1"/>
      <c r="J153" s="38"/>
      <c r="K153" s="38"/>
      <c r="L153" s="38"/>
      <c r="M153" s="38"/>
      <c r="N153" s="38"/>
      <c r="O153" s="38"/>
    </row>
    <row x14ac:dyDescent="0.25" r="154" customHeight="1" ht="18.75">
      <c r="A154" s="258"/>
      <c r="B154" s="259"/>
      <c r="C154" s="260"/>
      <c r="D154" s="260"/>
      <c r="E154" s="260"/>
      <c r="F154" s="260"/>
      <c r="G154" s="260"/>
      <c r="H154" s="260"/>
      <c r="I154" s="1"/>
      <c r="J154" s="38"/>
      <c r="K154" s="38"/>
      <c r="L154" s="38"/>
      <c r="M154" s="38"/>
      <c r="N154" s="38"/>
      <c r="O154" s="38"/>
    </row>
    <row x14ac:dyDescent="0.25" r="155" customHeight="1" ht="18.75">
      <c r="A155" s="258"/>
      <c r="B155" s="259"/>
      <c r="C155" s="260"/>
      <c r="D155" s="260"/>
      <c r="E155" s="260"/>
      <c r="F155" s="260"/>
      <c r="G155" s="260"/>
      <c r="H155" s="260"/>
      <c r="I155" s="1"/>
      <c r="J155" s="38"/>
      <c r="K155" s="38"/>
      <c r="L155" s="38"/>
      <c r="M155" s="38"/>
      <c r="N155" s="38"/>
      <c r="O155" s="38"/>
    </row>
    <row x14ac:dyDescent="0.25" r="156" customHeight="1" ht="18.75">
      <c r="A156" s="258"/>
      <c r="B156" s="259"/>
      <c r="C156" s="260"/>
      <c r="D156" s="260"/>
      <c r="E156" s="260"/>
      <c r="F156" s="260"/>
      <c r="G156" s="260"/>
      <c r="H156" s="260"/>
      <c r="I156" s="1"/>
      <c r="J156" s="38"/>
      <c r="K156" s="38"/>
      <c r="L156" s="38"/>
      <c r="M156" s="38"/>
      <c r="N156" s="38"/>
      <c r="O156" s="38"/>
    </row>
    <row x14ac:dyDescent="0.25" r="157" customHeight="1" ht="18.75">
      <c r="A157" s="258" t="s">
        <v>39001</v>
      </c>
      <c r="B157" s="259" t="s">
        <v>21</v>
      </c>
      <c r="C157" s="260"/>
      <c r="D157" s="260"/>
      <c r="E157" s="260"/>
      <c r="F157" s="260"/>
      <c r="G157" s="260"/>
      <c r="H157" s="260"/>
      <c r="I157" s="1"/>
      <c r="J157" s="38"/>
      <c r="K157" s="38"/>
      <c r="L157" s="38"/>
      <c r="M157" s="38"/>
      <c r="N157" s="38"/>
      <c r="O157" s="38"/>
    </row>
    <row x14ac:dyDescent="0.25" r="158" customHeight="1" ht="18.75">
      <c r="A158" s="258"/>
      <c r="B158" s="259"/>
      <c r="C158" s="260"/>
      <c r="D158" s="260"/>
      <c r="E158" s="260"/>
      <c r="F158" s="260"/>
      <c r="G158" s="260"/>
      <c r="H158" s="260"/>
      <c r="I158" s="1"/>
      <c r="J158" s="38"/>
      <c r="K158" s="38"/>
      <c r="L158" s="38"/>
      <c r="M158" s="38"/>
      <c r="N158" s="38"/>
      <c r="O158" s="38"/>
    </row>
    <row x14ac:dyDescent="0.25" r="159" customHeight="1" ht="18.75">
      <c r="A159" s="258" t="s">
        <v>41114</v>
      </c>
      <c r="B159" s="259" t="s">
        <v>41120</v>
      </c>
      <c r="C159" s="260"/>
      <c r="D159" s="260"/>
      <c r="E159" s="260"/>
      <c r="F159" s="260"/>
      <c r="G159" s="260"/>
      <c r="H159" s="260"/>
      <c r="I159" s="1"/>
      <c r="J159" s="38"/>
      <c r="K159" s="38"/>
      <c r="L159" s="38"/>
      <c r="M159" s="38"/>
      <c r="N159" s="38"/>
      <c r="O159" s="38"/>
    </row>
    <row x14ac:dyDescent="0.25" r="160" customHeight="1" ht="18.75">
      <c r="A160" s="3" t="s">
        <v>88</v>
      </c>
      <c r="B160" s="287">
        <v>1244526546.2763917</v>
      </c>
      <c r="C160" s="260"/>
      <c r="D160" s="260"/>
      <c r="E160" s="260"/>
      <c r="F160" s="260"/>
      <c r="G160" s="260"/>
      <c r="H160" s="260"/>
      <c r="I160" s="1"/>
      <c r="J160" s="38"/>
      <c r="K160" s="38"/>
      <c r="L160" s="38"/>
      <c r="M160" s="38"/>
      <c r="N160" s="38"/>
      <c r="O160" s="38"/>
    </row>
    <row x14ac:dyDescent="0.25" r="161" customHeight="1" ht="18.75">
      <c r="A161" s="3" t="s">
        <v>41124</v>
      </c>
      <c r="B161" s="287">
        <v>1244526546.2763917</v>
      </c>
      <c r="C161" s="260"/>
      <c r="D161" s="260"/>
      <c r="E161" s="260"/>
      <c r="F161" s="260"/>
      <c r="G161" s="260"/>
      <c r="H161" s="260"/>
      <c r="I161" s="1"/>
      <c r="J161" s="38"/>
      <c r="K161" s="38"/>
      <c r="L161" s="38"/>
      <c r="M161" s="38"/>
      <c r="N161" s="38"/>
      <c r="O161" s="38"/>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Q16"/>
  <sheetViews>
    <sheetView workbookViewId="0"/>
  </sheetViews>
  <sheetFormatPr defaultRowHeight="15" x14ac:dyDescent="0.25"/>
  <cols>
    <col min="1" max="1" style="256" width="12.576428571428572" customWidth="1" bestFit="1"/>
    <col min="2" max="2" style="256" width="24.290714285714284" customWidth="1" bestFit="1"/>
    <col min="3" max="3" style="256" width="81.14785714285713" customWidth="1" bestFit="1"/>
    <col min="4" max="4" style="256" width="13.719285714285713" customWidth="1" bestFit="1"/>
    <col min="5" max="5" style="256" width="10.862142857142858" customWidth="1" bestFit="1"/>
    <col min="6" max="6" style="257" width="7.147857142857143" customWidth="1" bestFit="1"/>
    <col min="7" max="7" style="257" width="7.147857142857143" customWidth="1" bestFit="1"/>
    <col min="8" max="8" style="257" width="7.147857142857143" customWidth="1" bestFit="1"/>
    <col min="9" max="9" style="257" width="7.147857142857143" customWidth="1" bestFit="1"/>
    <col min="10" max="10" style="257" width="7.147857142857143" customWidth="1" bestFit="1"/>
    <col min="11" max="11" style="257" width="11.862142857142858" customWidth="1" bestFit="1"/>
    <col min="12" max="12" style="15" width="13.43357142857143" customWidth="1" bestFit="1"/>
    <col min="13" max="13" style="15" width="13.576428571428572" customWidth="1" bestFit="1"/>
    <col min="14" max="14" style="15" width="13.576428571428572" customWidth="1" bestFit="1"/>
    <col min="15" max="15" style="15" width="13.576428571428572" customWidth="1" bestFit="1"/>
    <col min="16" max="16" style="15" width="13.576428571428572" customWidth="1" bestFit="1"/>
    <col min="17" max="17" style="15" width="13.576428571428572" customWidth="1" bestFit="1"/>
  </cols>
  <sheetData>
    <row x14ac:dyDescent="0.25" r="1" customHeight="1" ht="18.75">
      <c r="A1" s="249" t="s">
        <v>36364</v>
      </c>
      <c r="B1" s="249" t="s">
        <v>41096</v>
      </c>
      <c r="C1" s="249" t="s">
        <v>41097</v>
      </c>
      <c r="D1" s="249" t="s">
        <v>41098</v>
      </c>
      <c r="E1" s="249" t="s">
        <v>41099</v>
      </c>
      <c r="F1" s="250">
        <v>2025</v>
      </c>
      <c r="G1" s="250">
        <v>2026</v>
      </c>
      <c r="H1" s="250">
        <v>2027</v>
      </c>
      <c r="I1" s="250">
        <v>2028</v>
      </c>
      <c r="J1" s="250">
        <v>2029</v>
      </c>
      <c r="K1" s="250" t="s">
        <v>41100</v>
      </c>
      <c r="L1" s="1"/>
      <c r="M1" s="1"/>
      <c r="N1" s="1"/>
      <c r="O1" s="1"/>
      <c r="P1" s="1"/>
      <c r="Q1" s="1"/>
    </row>
    <row x14ac:dyDescent="0.25" r="2" customHeight="1" ht="18.75">
      <c r="A2" s="251" t="s">
        <v>86</v>
      </c>
      <c r="B2" s="251" t="s">
        <v>39133</v>
      </c>
      <c r="C2" s="251" t="s">
        <v>41101</v>
      </c>
      <c r="D2" s="251" t="s">
        <v>41102</v>
      </c>
      <c r="E2" s="251" t="s">
        <v>46</v>
      </c>
      <c r="F2" s="252">
        <v>143463830.0217612</v>
      </c>
      <c r="G2" s="252">
        <v>273232900.7579632</v>
      </c>
      <c r="H2" s="252">
        <v>338327908.409693</v>
      </c>
      <c r="I2" s="252">
        <v>229068853.81273466</v>
      </c>
      <c r="J2" s="252">
        <v>95499754.76784794</v>
      </c>
      <c r="K2" s="252">
        <f>SUM(F2:J2)</f>
      </c>
      <c r="L2" s="122"/>
      <c r="M2" s="122"/>
      <c r="N2" s="122"/>
      <c r="O2" s="122"/>
      <c r="P2" s="122"/>
      <c r="Q2" s="122"/>
    </row>
    <row x14ac:dyDescent="0.25" r="3" customHeight="1" ht="18.75">
      <c r="A3" s="251" t="s">
        <v>88</v>
      </c>
      <c r="B3" s="251" t="s">
        <v>39912</v>
      </c>
      <c r="C3" s="251" t="s">
        <v>39910</v>
      </c>
      <c r="D3" s="251" t="s">
        <v>41103</v>
      </c>
      <c r="E3" s="251" t="s">
        <v>46</v>
      </c>
      <c r="F3" s="252">
        <v>171280364.7544725</v>
      </c>
      <c r="G3" s="252">
        <v>180725279.63704008</v>
      </c>
      <c r="H3" s="252">
        <v>134113797.52111384</v>
      </c>
      <c r="I3" s="252">
        <v>67921781.08737358</v>
      </c>
      <c r="J3" s="252">
        <v>0</v>
      </c>
      <c r="K3" s="252">
        <f>SUM(F3:J3)</f>
      </c>
      <c r="L3" s="1"/>
      <c r="M3" s="1"/>
      <c r="N3" s="1"/>
      <c r="O3" s="1"/>
      <c r="P3" s="1"/>
      <c r="Q3" s="1"/>
    </row>
    <row x14ac:dyDescent="0.25" r="4" customHeight="1" ht="18.75">
      <c r="A4" s="251" t="s">
        <v>86</v>
      </c>
      <c r="B4" s="251" t="s">
        <v>39123</v>
      </c>
      <c r="C4" s="251" t="s">
        <v>41104</v>
      </c>
      <c r="D4" s="251" t="s">
        <v>41102</v>
      </c>
      <c r="E4" s="251" t="s">
        <v>46</v>
      </c>
      <c r="F4" s="252">
        <v>33307194.210550047</v>
      </c>
      <c r="G4" s="252">
        <v>105572199.08120485</v>
      </c>
      <c r="H4" s="252">
        <v>107702498.85665253</v>
      </c>
      <c r="I4" s="252">
        <v>33206968.69316189</v>
      </c>
      <c r="J4" s="252">
        <v>6003789.068134827</v>
      </c>
      <c r="K4" s="252">
        <f>SUM(F4:J4)</f>
      </c>
      <c r="L4" s="1"/>
      <c r="M4" s="1"/>
      <c r="N4" s="1"/>
      <c r="O4" s="1"/>
      <c r="P4" s="1"/>
      <c r="Q4" s="1"/>
    </row>
    <row x14ac:dyDescent="0.25" r="5" customHeight="1" ht="18.75">
      <c r="A5" s="251" t="s">
        <v>86</v>
      </c>
      <c r="B5" s="251" t="s">
        <v>41105</v>
      </c>
      <c r="C5" s="251" t="s">
        <v>41106</v>
      </c>
      <c r="D5" s="251" t="s">
        <v>41102</v>
      </c>
      <c r="E5" s="251" t="s">
        <v>46</v>
      </c>
      <c r="F5" s="252">
        <v>193425032.38628048</v>
      </c>
      <c r="G5" s="252">
        <v>43400164.68371953</v>
      </c>
      <c r="H5" s="252">
        <v>0</v>
      </c>
      <c r="I5" s="252">
        <v>0</v>
      </c>
      <c r="J5" s="252">
        <v>0</v>
      </c>
      <c r="K5" s="252">
        <f>SUM(F5:J5)</f>
      </c>
      <c r="L5" s="1"/>
      <c r="M5" s="1"/>
      <c r="N5" s="1"/>
      <c r="O5" s="1"/>
      <c r="P5" s="1"/>
      <c r="Q5" s="1"/>
    </row>
    <row x14ac:dyDescent="0.25" r="6" customHeight="1" ht="18.75">
      <c r="A6" s="251" t="s">
        <v>85</v>
      </c>
      <c r="B6" s="251" t="s">
        <v>38372</v>
      </c>
      <c r="C6" s="251" t="s">
        <v>41107</v>
      </c>
      <c r="D6" s="251" t="s">
        <v>41102</v>
      </c>
      <c r="E6" s="251" t="s">
        <v>46</v>
      </c>
      <c r="F6" s="252">
        <v>91318372.59</v>
      </c>
      <c r="G6" s="252">
        <v>64708475.34</v>
      </c>
      <c r="H6" s="252">
        <v>64268173.33</v>
      </c>
      <c r="I6" s="252">
        <v>453200.10000000003</v>
      </c>
      <c r="J6" s="252">
        <v>0</v>
      </c>
      <c r="K6" s="252">
        <f>SUM(F6:J6)</f>
      </c>
      <c r="L6" s="1"/>
      <c r="M6" s="1"/>
      <c r="N6" s="1"/>
      <c r="O6" s="1"/>
      <c r="P6" s="1"/>
      <c r="Q6" s="1"/>
    </row>
    <row x14ac:dyDescent="0.25" r="7" customHeight="1" ht="18.75">
      <c r="A7" s="251" t="s">
        <v>88</v>
      </c>
      <c r="B7" s="251" t="s">
        <v>39912</v>
      </c>
      <c r="C7" s="251" t="s">
        <v>39918</v>
      </c>
      <c r="D7" s="251" t="s">
        <v>41103</v>
      </c>
      <c r="E7" s="251" t="s">
        <v>46</v>
      </c>
      <c r="F7" s="252">
        <v>71760000</v>
      </c>
      <c r="G7" s="252">
        <v>42000000</v>
      </c>
      <c r="H7" s="252">
        <v>33200000</v>
      </c>
      <c r="I7" s="252">
        <v>0</v>
      </c>
      <c r="J7" s="252">
        <v>0</v>
      </c>
      <c r="K7" s="252">
        <f>SUM(F7:J7)</f>
      </c>
      <c r="L7" s="1"/>
      <c r="M7" s="1"/>
      <c r="N7" s="1"/>
      <c r="O7" s="1"/>
      <c r="P7" s="1"/>
      <c r="Q7" s="1"/>
    </row>
    <row x14ac:dyDescent="0.25" r="8" customHeight="1" ht="18.75">
      <c r="A8" s="251" t="s">
        <v>88</v>
      </c>
      <c r="B8" s="251" t="s">
        <v>39912</v>
      </c>
      <c r="C8" s="251" t="s">
        <v>41108</v>
      </c>
      <c r="D8" s="251" t="s">
        <v>41103</v>
      </c>
      <c r="E8" s="251" t="s">
        <v>46</v>
      </c>
      <c r="F8" s="252">
        <v>60852017.58</v>
      </c>
      <c r="G8" s="252">
        <v>0</v>
      </c>
      <c r="H8" s="252">
        <v>0</v>
      </c>
      <c r="I8" s="252">
        <v>0</v>
      </c>
      <c r="J8" s="252">
        <v>0</v>
      </c>
      <c r="K8" s="252">
        <f>SUM(F8:J8)</f>
      </c>
      <c r="L8" s="1"/>
      <c r="M8" s="1"/>
      <c r="N8" s="1"/>
      <c r="O8" s="1"/>
      <c r="P8" s="1"/>
      <c r="Q8" s="1"/>
    </row>
    <row x14ac:dyDescent="0.25" r="9" customHeight="1" ht="18.75">
      <c r="A9" s="251" t="s">
        <v>88</v>
      </c>
      <c r="B9" s="251" t="s">
        <v>39912</v>
      </c>
      <c r="C9" s="251" t="s">
        <v>39939</v>
      </c>
      <c r="D9" s="251" t="s">
        <v>41103</v>
      </c>
      <c r="E9" s="251" t="s">
        <v>46</v>
      </c>
      <c r="F9" s="252">
        <v>33164957.66</v>
      </c>
      <c r="G9" s="252">
        <v>10144019.02</v>
      </c>
      <c r="H9" s="252">
        <v>221433.61</v>
      </c>
      <c r="I9" s="252">
        <v>0</v>
      </c>
      <c r="J9" s="252">
        <v>0</v>
      </c>
      <c r="K9" s="252">
        <f>SUM(F9:J9)</f>
      </c>
      <c r="L9" s="1"/>
      <c r="M9" s="1"/>
      <c r="N9" s="1"/>
      <c r="O9" s="1"/>
      <c r="P9" s="1"/>
      <c r="Q9" s="1"/>
    </row>
    <row x14ac:dyDescent="0.25" r="10" customHeight="1" ht="18.75">
      <c r="A10" s="251" t="s">
        <v>86</v>
      </c>
      <c r="B10" s="251" t="s">
        <v>39098</v>
      </c>
      <c r="C10" s="251" t="s">
        <v>39298</v>
      </c>
      <c r="D10" s="251" t="s">
        <v>41103</v>
      </c>
      <c r="E10" s="251" t="s">
        <v>46</v>
      </c>
      <c r="F10" s="252">
        <v>28500000</v>
      </c>
      <c r="G10" s="252">
        <v>9000000</v>
      </c>
      <c r="H10" s="252">
        <v>0</v>
      </c>
      <c r="I10" s="252">
        <v>0</v>
      </c>
      <c r="J10" s="252">
        <v>0</v>
      </c>
      <c r="K10" s="252">
        <f>SUM(F10:J10)</f>
      </c>
      <c r="L10" s="1"/>
      <c r="M10" s="1"/>
      <c r="N10" s="1"/>
      <c r="O10" s="1"/>
      <c r="P10" s="1"/>
      <c r="Q10" s="1"/>
    </row>
    <row x14ac:dyDescent="0.25" r="11" customHeight="1" ht="18.75">
      <c r="A11" s="251" t="s">
        <v>88</v>
      </c>
      <c r="B11" s="251" t="s">
        <v>39912</v>
      </c>
      <c r="C11" s="251" t="s">
        <v>39954</v>
      </c>
      <c r="D11" s="251" t="s">
        <v>41103</v>
      </c>
      <c r="E11" s="251" t="s">
        <v>46</v>
      </c>
      <c r="F11" s="252">
        <v>6000000</v>
      </c>
      <c r="G11" s="252">
        <v>7000000</v>
      </c>
      <c r="H11" s="252">
        <v>4000000</v>
      </c>
      <c r="I11" s="252">
        <v>4000000</v>
      </c>
      <c r="J11" s="252">
        <v>0</v>
      </c>
      <c r="K11" s="252">
        <f>SUM(F11:J11)</f>
      </c>
      <c r="L11" s="1"/>
      <c r="M11" s="1"/>
      <c r="N11" s="1"/>
      <c r="O11" s="1"/>
      <c r="P11" s="1"/>
      <c r="Q11" s="1"/>
    </row>
    <row x14ac:dyDescent="0.25" r="12" customHeight="1" ht="18.75">
      <c r="A12" s="251" t="s">
        <v>86</v>
      </c>
      <c r="B12" s="251" t="s">
        <v>41109</v>
      </c>
      <c r="C12" s="251" t="s">
        <v>41110</v>
      </c>
      <c r="D12" s="251" t="s">
        <v>5498</v>
      </c>
      <c r="E12" s="251" t="s">
        <v>46</v>
      </c>
      <c r="F12" s="252">
        <v>20435917.5357</v>
      </c>
      <c r="G12" s="252">
        <v>0</v>
      </c>
      <c r="H12" s="252">
        <v>0</v>
      </c>
      <c r="I12" s="252">
        <v>0</v>
      </c>
      <c r="J12" s="252">
        <v>0</v>
      </c>
      <c r="K12" s="252">
        <f>SUM(F12:J12)</f>
      </c>
      <c r="L12" s="1"/>
      <c r="M12" s="1"/>
      <c r="N12" s="1"/>
      <c r="O12" s="1"/>
      <c r="P12" s="1"/>
      <c r="Q12" s="1"/>
    </row>
    <row x14ac:dyDescent="0.25" r="13" customHeight="1" ht="18.75">
      <c r="A13" s="251" t="s">
        <v>88</v>
      </c>
      <c r="B13" s="251" t="s">
        <v>39912</v>
      </c>
      <c r="C13" s="251" t="s">
        <v>41111</v>
      </c>
      <c r="D13" s="251" t="s">
        <v>41103</v>
      </c>
      <c r="E13" s="251" t="s">
        <v>46</v>
      </c>
      <c r="F13" s="252">
        <v>2000000</v>
      </c>
      <c r="G13" s="252">
        <v>8000000</v>
      </c>
      <c r="H13" s="252">
        <v>10000000</v>
      </c>
      <c r="I13" s="252">
        <v>0</v>
      </c>
      <c r="J13" s="252">
        <v>0</v>
      </c>
      <c r="K13" s="252">
        <f>SUM(F13:J13)</f>
      </c>
      <c r="L13" s="1"/>
      <c r="M13" s="1"/>
      <c r="N13" s="1"/>
      <c r="O13" s="1"/>
      <c r="P13" s="1"/>
      <c r="Q13" s="1"/>
    </row>
    <row x14ac:dyDescent="0.25" r="14" customHeight="1" ht="18.75">
      <c r="A14" s="251" t="s">
        <v>87</v>
      </c>
      <c r="B14" s="251" t="s">
        <v>38290</v>
      </c>
      <c r="C14" s="251" t="s">
        <v>40388</v>
      </c>
      <c r="D14" s="251" t="s">
        <v>41102</v>
      </c>
      <c r="E14" s="251" t="s">
        <v>46</v>
      </c>
      <c r="F14" s="252">
        <v>3367645</v>
      </c>
      <c r="G14" s="252">
        <v>13827521</v>
      </c>
      <c r="H14" s="252"/>
      <c r="I14" s="252">
        <v>0</v>
      </c>
      <c r="J14" s="252">
        <v>0</v>
      </c>
      <c r="K14" s="252">
        <f>SUM(F14:J14)</f>
      </c>
      <c r="L14" s="1"/>
      <c r="M14" s="1"/>
      <c r="N14" s="1"/>
      <c r="O14" s="1"/>
      <c r="P14" s="1"/>
      <c r="Q14" s="1"/>
    </row>
    <row x14ac:dyDescent="0.25" r="15" customHeight="1" ht="18.75">
      <c r="A15" s="253" t="s">
        <v>88</v>
      </c>
      <c r="B15" s="253" t="s">
        <v>39912</v>
      </c>
      <c r="C15" s="253" t="s">
        <v>41112</v>
      </c>
      <c r="D15" s="253" t="s">
        <v>41103</v>
      </c>
      <c r="E15" s="251" t="s">
        <v>46</v>
      </c>
      <c r="F15" s="252">
        <v>5000000</v>
      </c>
      <c r="G15" s="252">
        <v>5000000</v>
      </c>
      <c r="H15" s="252">
        <v>5000000</v>
      </c>
      <c r="I15" s="252">
        <v>0</v>
      </c>
      <c r="J15" s="252">
        <v>0</v>
      </c>
      <c r="K15" s="252">
        <f>SUM(F15:J15)</f>
      </c>
      <c r="L15" s="1"/>
      <c r="M15" s="1"/>
      <c r="N15" s="1"/>
      <c r="O15" s="1"/>
      <c r="P15" s="1"/>
      <c r="Q15" s="1"/>
    </row>
    <row x14ac:dyDescent="0.25" r="16" customHeight="1" ht="18.75">
      <c r="A16" s="254" t="s">
        <v>88</v>
      </c>
      <c r="B16" s="254" t="s">
        <v>41109</v>
      </c>
      <c r="C16" s="254" t="s">
        <v>41113</v>
      </c>
      <c r="D16" s="254" t="s">
        <v>5498</v>
      </c>
      <c r="E16" s="254" t="s">
        <v>46</v>
      </c>
      <c r="F16" s="255">
        <v>0</v>
      </c>
      <c r="G16" s="255"/>
      <c r="H16" s="255">
        <v>7820000</v>
      </c>
      <c r="I16" s="255">
        <v>4692000</v>
      </c>
      <c r="J16" s="255">
        <v>0</v>
      </c>
      <c r="K16" s="255">
        <f>SUM(F16:J16)</f>
      </c>
      <c r="L16" s="1"/>
      <c r="M16" s="1"/>
      <c r="N16" s="1"/>
      <c r="O16" s="1"/>
      <c r="P16" s="1"/>
      <c r="Q16" s="1"/>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Z1002"/>
  <sheetViews>
    <sheetView workbookViewId="0"/>
  </sheetViews>
  <sheetFormatPr defaultRowHeight="15" x14ac:dyDescent="0.25"/>
  <cols>
    <col min="1" max="1" style="15" width="63.43357142857143" customWidth="1" bestFit="1"/>
    <col min="2" max="2" style="15" width="40.86214285714286" customWidth="1" bestFit="1"/>
    <col min="3" max="3" style="15" width="25.862142857142857" customWidth="1" bestFit="1"/>
    <col min="4" max="4" style="15" width="10.147857142857141" customWidth="1" bestFit="1"/>
    <col min="5" max="5" style="15" width="17.719285714285714" customWidth="1" bestFit="1"/>
    <col min="6" max="6" style="15" width="15.862142857142858" customWidth="1" bestFit="1"/>
    <col min="7" max="7" style="15" width="28.576428571428572" customWidth="1" bestFit="1"/>
    <col min="8" max="8" style="15" width="19.433571428571426" customWidth="1" bestFit="1"/>
    <col min="9" max="9" style="15" width="11.43357142857143" customWidth="1" bestFit="1"/>
    <col min="10" max="10" style="15" width="51.005" customWidth="1" bestFit="1"/>
    <col min="11" max="11" style="23" width="21.862142857142857" customWidth="1" bestFit="1"/>
    <col min="12" max="12" style="15" width="26.719285714285714" customWidth="1" bestFit="1"/>
    <col min="13" max="13" style="15" width="21.719285714285714" customWidth="1" bestFit="1"/>
    <col min="14" max="14" style="16" width="21.14785714285714" customWidth="1" bestFit="1"/>
    <col min="15" max="15" style="16" width="17.14785714285714" customWidth="1" bestFit="1"/>
    <col min="16" max="16" style="15" width="19.433571428571426" customWidth="1" bestFit="1"/>
    <col min="17" max="17" style="15" width="129.005" customWidth="1" bestFit="1"/>
    <col min="18" max="18" style="15" width="43.14785714285715" customWidth="1" bestFit="1"/>
    <col min="19" max="19" style="15" width="22.433571428571426" customWidth="1" bestFit="1"/>
    <col min="20" max="20" style="127" width="13.576428571428572" customWidth="1" bestFit="1" hidden="1"/>
    <col min="21" max="21" style="127" width="13.576428571428572" customWidth="1" bestFit="1" hidden="1"/>
    <col min="22" max="22" style="127" width="13.576428571428572" customWidth="1" bestFit="1" hidden="1"/>
    <col min="23" max="23" style="127" width="13.576428571428572" customWidth="1" bestFit="1" hidden="1"/>
    <col min="24" max="24" style="127" width="13.576428571428572" customWidth="1" bestFit="1" hidden="1"/>
    <col min="25" max="25" style="127" width="13.576428571428572" customWidth="1" bestFit="1" hidden="1"/>
    <col min="26" max="26" style="127" width="13.576428571428572" customWidth="1" bestFit="1" hidden="1"/>
    <col min="27" max="27" style="127" width="13.576428571428572" customWidth="1" bestFit="1" hidden="1"/>
    <col min="28" max="28" style="127" width="13.576428571428572" customWidth="1" bestFit="1" hidden="1"/>
    <col min="29" max="29" style="127" width="13.576428571428572" customWidth="1" bestFit="1" hidden="1"/>
    <col min="30" max="30" style="127" width="13.576428571428572" customWidth="1" bestFit="1" hidden="1"/>
    <col min="31" max="31" style="127" width="13.576428571428572" customWidth="1" bestFit="1" hidden="1"/>
    <col min="32" max="32" style="127" width="13.576428571428572" customWidth="1" bestFit="1" hidden="1"/>
    <col min="33" max="33" style="127" width="13.576428571428572" customWidth="1" bestFit="1" hidden="1"/>
    <col min="34" max="34" style="127" width="13.576428571428572" customWidth="1" bestFit="1" hidden="1"/>
    <col min="35" max="35" style="127" width="13.576428571428572" customWidth="1" bestFit="1" hidden="1"/>
    <col min="36" max="36" style="127" width="13.576428571428572" customWidth="1" bestFit="1" hidden="1"/>
    <col min="37" max="37" style="127" width="13.576428571428572" customWidth="1" bestFit="1" hidden="1"/>
    <col min="38" max="38" style="127" width="13.576428571428572" customWidth="1" bestFit="1" hidden="1"/>
    <col min="39" max="39" style="127" width="13.576428571428572" customWidth="1" bestFit="1" hidden="1"/>
    <col min="40" max="40" style="127" width="13.576428571428572" customWidth="1" bestFit="1" hidden="1"/>
    <col min="41" max="41" style="127" width="13.576428571428572" customWidth="1" bestFit="1" hidden="1"/>
    <col min="42" max="42" style="127" width="13.576428571428572" customWidth="1" bestFit="1" hidden="1"/>
    <col min="43" max="43" style="127" width="13.576428571428572" customWidth="1" bestFit="1" hidden="1"/>
    <col min="44" max="44" style="15" width="13.576428571428572" customWidth="1" bestFit="1" hidden="1"/>
    <col min="45" max="45" style="15" width="13.576428571428572" customWidth="1" bestFit="1" hidden="1"/>
    <col min="46" max="46" style="23" width="13.576428571428572" customWidth="1" bestFit="1" hidden="1"/>
    <col min="47" max="47" style="15" width="30.14785714285714" customWidth="1" bestFit="1"/>
    <col min="48" max="48" style="15" width="19.14785714285714" customWidth="1" bestFit="1"/>
    <col min="49" max="49" style="15" width="24.719285714285714" customWidth="1" bestFit="1"/>
    <col min="50" max="50" style="16" width="35.43357142857143" customWidth="1" bestFit="1"/>
    <col min="51" max="51" style="16" width="19.005" customWidth="1" bestFit="1"/>
    <col min="52" max="52" style="15" width="29.433571428571426" customWidth="1" bestFit="1"/>
  </cols>
  <sheetData>
    <row x14ac:dyDescent="0.25" r="1" customHeight="1" ht="18.75" hidden="1">
      <c r="A1" s="1"/>
      <c r="B1" s="1"/>
      <c r="C1" s="1"/>
      <c r="D1" s="1"/>
      <c r="E1" s="1"/>
      <c r="F1" s="1"/>
      <c r="G1" s="1"/>
      <c r="H1" s="1"/>
      <c r="I1" s="1"/>
      <c r="J1" s="1"/>
      <c r="K1" s="17"/>
      <c r="L1" s="1"/>
      <c r="M1" s="1"/>
      <c r="N1" s="2"/>
      <c r="O1" s="36"/>
      <c r="P1" s="1"/>
      <c r="Q1" s="1"/>
      <c r="R1" s="13"/>
      <c r="S1" s="1"/>
      <c r="T1" s="228"/>
      <c r="U1" s="40"/>
      <c r="V1" s="228"/>
      <c r="W1" s="228"/>
      <c r="X1" s="228"/>
      <c r="Y1" s="228"/>
      <c r="Z1" s="228"/>
      <c r="AA1" s="40"/>
      <c r="AB1" s="40"/>
      <c r="AC1" s="40"/>
      <c r="AD1" s="40"/>
      <c r="AE1" s="40"/>
      <c r="AF1" s="40"/>
      <c r="AG1" s="40"/>
      <c r="AH1" s="40"/>
      <c r="AI1" s="40"/>
      <c r="AJ1" s="40"/>
      <c r="AK1" s="40"/>
      <c r="AL1" s="40"/>
      <c r="AM1" s="40"/>
      <c r="AN1" s="40"/>
      <c r="AO1" s="40"/>
      <c r="AP1" s="40"/>
      <c r="AQ1" s="40"/>
      <c r="AR1" s="1"/>
      <c r="AS1" s="1"/>
      <c r="AT1" s="17"/>
      <c r="AU1" s="1"/>
      <c r="AV1" s="1"/>
      <c r="AW1" s="1"/>
      <c r="AX1" s="2"/>
      <c r="AY1" s="2"/>
      <c r="AZ1" s="1"/>
    </row>
    <row x14ac:dyDescent="0.25" r="2" customHeight="1" ht="18.75" hidden="1">
      <c r="A2" s="13"/>
      <c r="B2" s="41" t="s">
        <v>38975</v>
      </c>
      <c r="C2" s="41"/>
      <c r="D2" s="1"/>
      <c r="E2" s="1"/>
      <c r="F2" s="1"/>
      <c r="G2" s="42" t="s">
        <v>38976</v>
      </c>
      <c r="H2" s="43">
        <f>AND($H$3&lt;&gt;"",$H$4&lt;&gt;"")</f>
      </c>
      <c r="I2" s="1"/>
      <c r="J2" s="44" t="s">
        <v>38977</v>
      </c>
      <c r="K2" s="17"/>
      <c r="L2" s="45" t="s">
        <v>38978</v>
      </c>
      <c r="M2" s="47" t="s">
        <v>39445</v>
      </c>
      <c r="N2" s="47"/>
      <c r="O2" s="47"/>
      <c r="P2" s="1"/>
      <c r="Q2" s="1"/>
      <c r="R2" s="13"/>
      <c r="S2" s="1"/>
      <c r="T2" s="228"/>
      <c r="U2" s="40"/>
      <c r="V2" s="228"/>
      <c r="W2" s="228"/>
      <c r="X2" s="228"/>
      <c r="Y2" s="228"/>
      <c r="Z2" s="39"/>
      <c r="AA2" s="39"/>
      <c r="AB2" s="39"/>
      <c r="AC2" s="39"/>
      <c r="AD2" s="39"/>
      <c r="AE2" s="39"/>
      <c r="AF2" s="40"/>
      <c r="AG2" s="40"/>
      <c r="AH2" s="40"/>
      <c r="AI2" s="40"/>
      <c r="AJ2" s="39"/>
      <c r="AK2" s="40"/>
      <c r="AL2" s="40"/>
      <c r="AM2" s="40"/>
      <c r="AN2" s="40"/>
      <c r="AO2" s="40"/>
      <c r="AP2" s="39"/>
      <c r="AQ2" s="40"/>
      <c r="AR2" s="1"/>
      <c r="AS2" s="1"/>
      <c r="AT2" s="17"/>
      <c r="AU2" s="1"/>
      <c r="AV2" s="1"/>
      <c r="AW2" s="1"/>
      <c r="AX2" s="2"/>
      <c r="AY2" s="2"/>
      <c r="AZ2" s="1"/>
    </row>
    <row x14ac:dyDescent="0.25" r="3" customHeight="1" ht="18.75" hidden="1">
      <c r="A3" s="13"/>
      <c r="B3" s="48" t="s">
        <v>38980</v>
      </c>
      <c r="C3" s="49"/>
      <c r="D3" s="1"/>
      <c r="E3" s="1"/>
      <c r="F3" s="1"/>
      <c r="G3" s="50" t="s">
        <v>0</v>
      </c>
      <c r="H3" s="51" t="s">
        <v>8</v>
      </c>
      <c r="I3" s="129" t="s">
        <v>38981</v>
      </c>
      <c r="J3" s="53">
        <f>MID(CELL("filename"),SEARCH("[",CELL("filename"))+1,SEARCH("]",CELL("filename"))-SEARCH("[",CELL("filename"))-1)</f>
      </c>
      <c r="K3" s="17"/>
      <c r="L3" s="54"/>
      <c r="M3" s="47"/>
      <c r="N3" s="47"/>
      <c r="O3" s="47"/>
      <c r="P3" s="1"/>
      <c r="Q3" s="1"/>
      <c r="R3" s="13"/>
      <c r="S3" s="1"/>
      <c r="T3" s="130">
        <f>SUBTOTAL(9,Tabela96[jan/26])</f>
      </c>
      <c r="U3" s="130">
        <f>SUBTOTAL(9,Tabela96[fev/26])</f>
      </c>
      <c r="V3" s="130">
        <f>SUBTOTAL(9,Tabela96[mar/26])</f>
      </c>
      <c r="W3" s="130">
        <f>SUBTOTAL(9,Tabela96[abr/26])</f>
      </c>
      <c r="X3" s="130">
        <f>SUBTOTAL(9,Tabela96[mai/26])</f>
      </c>
      <c r="Y3" s="130">
        <f>SUBTOTAL(9,Tabela96[jun/26])</f>
      </c>
      <c r="Z3" s="130">
        <f>SUBTOTAL(9,Tabela96[jul/26])</f>
      </c>
      <c r="AA3" s="130">
        <f>SUBTOTAL(9,Tabela96[ago/26])</f>
      </c>
      <c r="AB3" s="130">
        <f>SUBTOTAL(9,Tabela96[set/26])</f>
      </c>
      <c r="AC3" s="130">
        <f>SUBTOTAL(9,Tabela96[out/26])</f>
      </c>
      <c r="AD3" s="130">
        <f>SUBTOTAL(9,Tabela96[nov/26])</f>
      </c>
      <c r="AE3" s="130">
        <f>SUBTOTAL(9,Tabela96[dez/26])</f>
      </c>
      <c r="AF3" s="130">
        <f>SUBTOTAL(9,Tabela96[2026])</f>
      </c>
      <c r="AG3" s="130">
        <f>SUBTOTAL(9,Tabela96[2027])</f>
      </c>
      <c r="AH3" s="130">
        <f>SUBTOTAL(9,Tabela96[2028])</f>
      </c>
      <c r="AI3" s="130">
        <f>SUBTOTAL(9,Tabela96[2029])</f>
      </c>
      <c r="AJ3" s="130">
        <f>SUBTOTAL(9,Tabela96[2030])</f>
      </c>
      <c r="AK3" s="130">
        <f>SUBTOTAL(9,Tabela96[2026-2030])</f>
      </c>
      <c r="AL3" s="130">
        <f>SUBTOTAL(9,Tabela96[2031])</f>
      </c>
      <c r="AM3" s="130">
        <f>SUBTOTAL(9,Tabela96[2032])</f>
      </c>
      <c r="AN3" s="130">
        <f>SUBTOTAL(9,Tabela96[2033])</f>
      </c>
      <c r="AO3" s="130">
        <f>SUBTOTAL(9,Tabela96[2034])</f>
      </c>
      <c r="AP3" s="130">
        <f>SUBTOTAL(9,Tabela96[2035])</f>
      </c>
      <c r="AQ3" s="130">
        <f>SUBTOTAL(9,Tabela96[2026-2035])</f>
      </c>
      <c r="AR3" s="1"/>
      <c r="AS3" s="1"/>
      <c r="AT3" s="17"/>
      <c r="AU3" s="1"/>
      <c r="AV3" s="1"/>
      <c r="AW3" s="1"/>
      <c r="AX3" s="2"/>
      <c r="AY3" s="2"/>
      <c r="AZ3" s="1"/>
    </row>
    <row x14ac:dyDescent="0.25" r="4" customHeight="1" ht="18.75" hidden="1">
      <c r="A4" s="13"/>
      <c r="B4" s="1"/>
      <c r="C4" s="13"/>
      <c r="D4" s="56"/>
      <c r="E4" s="1"/>
      <c r="F4" s="1"/>
      <c r="G4" s="50" t="s">
        <v>38982</v>
      </c>
      <c r="H4" s="57" t="s">
        <v>39446</v>
      </c>
      <c r="I4" s="1"/>
      <c r="J4" s="131"/>
      <c r="K4" s="17"/>
      <c r="L4" s="54"/>
      <c r="M4" s="47"/>
      <c r="N4" s="47"/>
      <c r="O4" s="47"/>
      <c r="P4" s="1"/>
      <c r="Q4" s="1"/>
      <c r="R4" s="13"/>
      <c r="S4" s="1"/>
      <c r="T4" s="132">
        <f>SUM(Tabela96[jan/26])</f>
      </c>
      <c r="U4" s="132">
        <f>SUM(Tabela96[fev/26])</f>
      </c>
      <c r="V4" s="132">
        <f>SUM(Tabela96[mar/26])</f>
      </c>
      <c r="W4" s="132">
        <f>SUM(Tabela96[abr/26])</f>
      </c>
      <c r="X4" s="132">
        <f>SUM(Tabela96[mai/26])</f>
      </c>
      <c r="Y4" s="132">
        <f>SUM(Tabela96[jun/26])</f>
      </c>
      <c r="Z4" s="132">
        <f>SUM(Tabela96[jul/26])</f>
      </c>
      <c r="AA4" s="132">
        <f>SUM(Tabela96[ago/26])</f>
      </c>
      <c r="AB4" s="132">
        <f>SUM(Tabela96[set/26])</f>
      </c>
      <c r="AC4" s="132">
        <f>SUM(Tabela96[out/26])</f>
      </c>
      <c r="AD4" s="132">
        <f>SUM(Tabela96[nov/26])</f>
      </c>
      <c r="AE4" s="132">
        <f>SUM(Tabela96[dez/26])</f>
      </c>
      <c r="AF4" s="132">
        <f>SUM(Tabela96[2026])</f>
      </c>
      <c r="AG4" s="132">
        <f>SUM(Tabela96[2027])</f>
      </c>
      <c r="AH4" s="132">
        <f>SUM(Tabela96[2028])</f>
      </c>
      <c r="AI4" s="132">
        <f>SUM(Tabela96[2029])</f>
      </c>
      <c r="AJ4" s="132">
        <f>SUM(Tabela96[2030])</f>
      </c>
      <c r="AK4" s="132">
        <f>SUM(Tabela96[2026-2030])</f>
      </c>
      <c r="AL4" s="132">
        <f>SUM(Tabela96[2031])</f>
      </c>
      <c r="AM4" s="132">
        <f>SUM(Tabela96[2032])</f>
      </c>
      <c r="AN4" s="132">
        <f>SUM(Tabela96[2033])</f>
      </c>
      <c r="AO4" s="132">
        <f>SUM(Tabela96[2034])</f>
      </c>
      <c r="AP4" s="132">
        <f>SUM(Tabela96[2035])</f>
      </c>
      <c r="AQ4" s="132">
        <f>SUM(Tabela96[2026-2035])</f>
      </c>
      <c r="AR4" s="1"/>
      <c r="AS4" s="1"/>
      <c r="AT4" s="17"/>
      <c r="AU4" s="1"/>
      <c r="AV4" s="1"/>
      <c r="AW4" s="1"/>
      <c r="AX4" s="2"/>
      <c r="AY4" s="2"/>
      <c r="AZ4" s="1"/>
    </row>
    <row x14ac:dyDescent="0.25" r="5" customHeight="1" ht="18.75" hidden="1">
      <c r="A5" s="133">
        <f>AND($H$2,'Consolidado-Eletronorte'!$B$19:$B$19)</f>
      </c>
      <c r="B5" s="61">
        <f>_xlfn.CONCAT(D9)</f>
      </c>
      <c r="C5" s="62"/>
      <c r="D5" s="1"/>
      <c r="E5" s="1"/>
      <c r="F5" s="1"/>
      <c r="G5" s="1"/>
      <c r="H5" s="1"/>
      <c r="I5" s="1"/>
      <c r="J5" s="131"/>
      <c r="K5" s="17"/>
      <c r="L5" s="54"/>
      <c r="M5" s="47"/>
      <c r="N5" s="47"/>
      <c r="O5" s="47"/>
      <c r="P5" s="13"/>
      <c r="Q5" s="1"/>
      <c r="R5" s="13"/>
      <c r="S5" s="1"/>
      <c r="T5" s="228"/>
      <c r="U5" s="228"/>
      <c r="V5" s="228"/>
      <c r="W5" s="228"/>
      <c r="X5" s="228"/>
      <c r="Y5" s="228"/>
      <c r="Z5" s="229"/>
      <c r="AA5" s="229"/>
      <c r="AB5" s="229"/>
      <c r="AC5" s="229"/>
      <c r="AD5" s="229"/>
      <c r="AE5" s="229"/>
      <c r="AF5" s="229"/>
      <c r="AG5" s="229"/>
      <c r="AH5" s="229"/>
      <c r="AI5" s="229"/>
      <c r="AJ5" s="229"/>
      <c r="AK5" s="229"/>
      <c r="AL5" s="229"/>
      <c r="AM5" s="229"/>
      <c r="AN5" s="229"/>
      <c r="AO5" s="229"/>
      <c r="AP5" s="40"/>
      <c r="AQ5" s="40"/>
      <c r="AR5" s="1"/>
      <c r="AS5" s="1"/>
      <c r="AT5" s="17"/>
      <c r="AU5" s="1"/>
      <c r="AV5" s="1"/>
      <c r="AW5" s="1"/>
      <c r="AX5" s="2"/>
      <c r="AY5" s="2"/>
      <c r="AZ5" s="1"/>
    </row>
    <row x14ac:dyDescent="0.25" r="6" customHeight="1" ht="18.75" hidden="1">
      <c r="A6" s="1"/>
      <c r="B6" s="1"/>
      <c r="C6" s="13"/>
      <c r="D6" s="1"/>
      <c r="E6" s="1"/>
      <c r="F6" s="1"/>
      <c r="G6" s="1"/>
      <c r="H6" s="13"/>
      <c r="I6" s="64"/>
      <c r="J6" s="135" t="s">
        <v>38984</v>
      </c>
      <c r="K6" s="113">
        <f>COUNTIF('Consolidado-Eletronorte'!$B$19:$B$19,TRUE)</f>
      </c>
      <c r="L6" s="67"/>
      <c r="M6" s="68"/>
      <c r="N6" s="68"/>
      <c r="O6" s="68"/>
      <c r="P6" s="1"/>
      <c r="Q6" s="1"/>
      <c r="R6" s="13"/>
      <c r="S6" s="1"/>
      <c r="T6" s="228"/>
      <c r="U6" s="40"/>
      <c r="V6" s="228"/>
      <c r="W6" s="228"/>
      <c r="X6" s="228"/>
      <c r="Y6" s="228"/>
      <c r="Z6" s="228"/>
      <c r="AA6" s="40"/>
      <c r="AB6" s="40"/>
      <c r="AC6" s="40"/>
      <c r="AD6" s="40"/>
      <c r="AE6" s="40"/>
      <c r="AF6" s="40"/>
      <c r="AG6" s="40"/>
      <c r="AH6" s="40"/>
      <c r="AI6" s="40"/>
      <c r="AJ6" s="40"/>
      <c r="AK6" s="40"/>
      <c r="AL6" s="40"/>
      <c r="AM6" s="40"/>
      <c r="AN6" s="40"/>
      <c r="AO6" s="40"/>
      <c r="AP6" s="40"/>
      <c r="AQ6" s="40"/>
      <c r="AR6" s="1"/>
      <c r="AS6" s="1"/>
      <c r="AT6" s="17"/>
      <c r="AU6" s="1"/>
      <c r="AV6" s="1"/>
      <c r="AW6" s="1"/>
      <c r="AX6" s="2"/>
      <c r="AY6" s="2"/>
      <c r="AZ6" s="1"/>
    </row>
    <row x14ac:dyDescent="0.25" r="7" customHeight="1" ht="40.15">
      <c r="A7" s="71" t="s">
        <v>38986</v>
      </c>
      <c r="B7" s="72"/>
      <c r="C7" s="73"/>
      <c r="D7" s="73"/>
      <c r="E7" s="73"/>
      <c r="F7" s="73"/>
      <c r="G7" s="74"/>
      <c r="H7" s="75" t="s">
        <v>38987</v>
      </c>
      <c r="I7" s="76"/>
      <c r="J7" s="76"/>
      <c r="K7" s="77"/>
      <c r="L7" s="78"/>
      <c r="M7" s="79" t="s">
        <v>38988</v>
      </c>
      <c r="N7" s="80" t="s">
        <v>38989</v>
      </c>
      <c r="O7" s="80"/>
      <c r="P7" s="81"/>
      <c r="Q7" s="81"/>
      <c r="R7" s="81"/>
      <c r="S7" s="81"/>
      <c r="T7" s="230" t="s">
        <v>38990</v>
      </c>
      <c r="U7" s="83"/>
      <c r="V7" s="83"/>
      <c r="W7" s="83"/>
      <c r="X7" s="83"/>
      <c r="Y7" s="83"/>
      <c r="Z7" s="83"/>
      <c r="AA7" s="83"/>
      <c r="AB7" s="83"/>
      <c r="AC7" s="83"/>
      <c r="AD7" s="83"/>
      <c r="AE7" s="83"/>
      <c r="AF7" s="83"/>
      <c r="AG7" s="83"/>
      <c r="AH7" s="83"/>
      <c r="AI7" s="83"/>
      <c r="AJ7" s="83"/>
      <c r="AK7" s="83"/>
      <c r="AL7" s="83"/>
      <c r="AM7" s="83"/>
      <c r="AN7" s="83"/>
      <c r="AO7" s="83"/>
      <c r="AP7" s="83"/>
      <c r="AQ7" s="83"/>
      <c r="AR7" s="84"/>
      <c r="AS7" s="85"/>
      <c r="AT7" s="17"/>
      <c r="AU7" s="1"/>
      <c r="AV7" s="1"/>
      <c r="AW7" s="1"/>
      <c r="AX7" s="2"/>
      <c r="AY7" s="2"/>
      <c r="AZ7" s="1"/>
    </row>
    <row x14ac:dyDescent="0.25" r="8" customHeight="1" ht="18.75">
      <c r="A8" s="137" t="s">
        <v>38994</v>
      </c>
      <c r="B8" s="137" t="s">
        <v>38995</v>
      </c>
      <c r="C8" s="137" t="s">
        <v>38981</v>
      </c>
      <c r="D8" s="137" t="s">
        <v>0</v>
      </c>
      <c r="E8" s="137" t="s">
        <v>38996</v>
      </c>
      <c r="F8" s="137" t="s">
        <v>38997</v>
      </c>
      <c r="G8" s="137" t="s">
        <v>38998</v>
      </c>
      <c r="H8" s="138" t="s">
        <v>38999</v>
      </c>
      <c r="I8" s="138" t="s">
        <v>36364</v>
      </c>
      <c r="J8" s="138" t="s">
        <v>3</v>
      </c>
      <c r="K8" s="139" t="s">
        <v>39000</v>
      </c>
      <c r="L8" s="138" t="s">
        <v>39001</v>
      </c>
      <c r="M8" s="140" t="s">
        <v>39002</v>
      </c>
      <c r="N8" s="141" t="s">
        <v>39003</v>
      </c>
      <c r="O8" s="142" t="s">
        <v>39004</v>
      </c>
      <c r="P8" s="142" t="s">
        <v>38277</v>
      </c>
      <c r="Q8" s="142" t="s">
        <v>39447</v>
      </c>
      <c r="R8" s="142" t="s">
        <v>39006</v>
      </c>
      <c r="S8" s="142" t="s">
        <v>39007</v>
      </c>
      <c r="T8" s="231" t="s">
        <v>39008</v>
      </c>
      <c r="U8" s="231" t="s">
        <v>39009</v>
      </c>
      <c r="V8" s="231" t="s">
        <v>39010</v>
      </c>
      <c r="W8" s="231" t="s">
        <v>39011</v>
      </c>
      <c r="X8" s="231" t="s">
        <v>39012</v>
      </c>
      <c r="Y8" s="231" t="s">
        <v>39013</v>
      </c>
      <c r="Z8" s="231" t="s">
        <v>39014</v>
      </c>
      <c r="AA8" s="231" t="s">
        <v>39015</v>
      </c>
      <c r="AB8" s="231" t="s">
        <v>39016</v>
      </c>
      <c r="AC8" s="231" t="s">
        <v>39017</v>
      </c>
      <c r="AD8" s="231" t="s">
        <v>39018</v>
      </c>
      <c r="AE8" s="231" t="s">
        <v>39019</v>
      </c>
      <c r="AF8" s="231">
        <v>2026</v>
      </c>
      <c r="AG8" s="231">
        <v>2027</v>
      </c>
      <c r="AH8" s="231">
        <v>2028</v>
      </c>
      <c r="AI8" s="231">
        <v>2029</v>
      </c>
      <c r="AJ8" s="231">
        <v>2030</v>
      </c>
      <c r="AK8" s="231" t="s">
        <v>39020</v>
      </c>
      <c r="AL8" s="231">
        <v>2031</v>
      </c>
      <c r="AM8" s="231">
        <v>2032</v>
      </c>
      <c r="AN8" s="231">
        <v>2033</v>
      </c>
      <c r="AO8" s="231">
        <v>2034</v>
      </c>
      <c r="AP8" s="231">
        <v>2035</v>
      </c>
      <c r="AQ8" s="232" t="s">
        <v>39021</v>
      </c>
      <c r="AR8" s="233" t="s">
        <v>39022</v>
      </c>
      <c r="AS8" s="234" t="s">
        <v>39023</v>
      </c>
      <c r="AT8" s="235" t="s">
        <v>39024</v>
      </c>
      <c r="AU8" s="236" t="s">
        <v>39448</v>
      </c>
      <c r="AV8" s="234" t="s">
        <v>39026</v>
      </c>
      <c r="AW8" s="234" t="s">
        <v>39027</v>
      </c>
      <c r="AX8" s="234" t="s">
        <v>39028</v>
      </c>
      <c r="AY8" s="234" t="s">
        <v>39029</v>
      </c>
      <c r="AZ8" s="234" t="s">
        <v>39030</v>
      </c>
    </row>
    <row x14ac:dyDescent="0.25" r="9" customHeight="1" ht="100.5">
      <c r="A9" s="210"/>
      <c r="B9" s="237">
        <f>AND(ISTEXT('Consolidado-Eletronorte'!$H19:$M19),SUM('Consolidado-Eletronorte'!$AI19:$BF19)&gt;0)</f>
      </c>
      <c r="C9" s="238">
        <f>$J$3</f>
      </c>
      <c r="D9" s="238">
        <f>$H$3</f>
      </c>
      <c r="E9" s="238">
        <f>$H$4</f>
      </c>
      <c r="F9" s="210"/>
      <c r="G9" s="238">
        <f>_xlfn.CONCAT('Consolidado-Eletronorte'!$D19,"_",ROW('Consolidado-Eletronorte'!$G19)-ROW('Consolidado-Eletronorte'!$G$18))</f>
      </c>
      <c r="H9" s="212" t="s">
        <v>10</v>
      </c>
      <c r="I9" s="212" t="s">
        <v>87</v>
      </c>
      <c r="J9" s="212" t="s">
        <v>5</v>
      </c>
      <c r="K9" s="213" t="s">
        <v>16</v>
      </c>
      <c r="L9" s="212" t="s">
        <v>67</v>
      </c>
      <c r="M9" s="212" t="s">
        <v>40348</v>
      </c>
      <c r="N9" s="212"/>
      <c r="O9" s="212"/>
      <c r="P9" s="212"/>
      <c r="Q9" s="239" t="s">
        <v>40349</v>
      </c>
      <c r="R9" s="239" t="s">
        <v>40350</v>
      </c>
      <c r="S9" s="239" t="s">
        <v>38284</v>
      </c>
      <c r="T9" s="240">
        <v>15000</v>
      </c>
      <c r="U9" s="240">
        <v>80000</v>
      </c>
      <c r="V9" s="240">
        <v>65000</v>
      </c>
      <c r="W9" s="240">
        <v>40000</v>
      </c>
      <c r="X9" s="239" t="s">
        <v>40351</v>
      </c>
      <c r="Y9" s="239" t="s">
        <v>40351</v>
      </c>
      <c r="Z9" s="239" t="s">
        <v>40351</v>
      </c>
      <c r="AA9" s="239" t="s">
        <v>40351</v>
      </c>
      <c r="AB9" s="239" t="s">
        <v>40351</v>
      </c>
      <c r="AC9" s="239" t="s">
        <v>40351</v>
      </c>
      <c r="AD9" s="239" t="s">
        <v>40351</v>
      </c>
      <c r="AE9" s="239" t="s">
        <v>40351</v>
      </c>
      <c r="AF9" s="241">
        <f>SUM(Tabela96[[#This Row], [jan/26]:[dez/26]])</f>
      </c>
      <c r="AG9" s="240">
        <v>0</v>
      </c>
      <c r="AH9" s="240">
        <v>0</v>
      </c>
      <c r="AI9" s="240">
        <v>0</v>
      </c>
      <c r="AJ9" s="240">
        <v>0</v>
      </c>
      <c r="AK9" s="240">
        <f>SUM(Tabela96[[#This Row], [2026]:[2030]])</f>
      </c>
      <c r="AL9" s="240">
        <v>0</v>
      </c>
      <c r="AM9" s="240">
        <v>0</v>
      </c>
      <c r="AN9" s="240">
        <v>0</v>
      </c>
      <c r="AO9" s="240">
        <v>0</v>
      </c>
      <c r="AP9" s="240">
        <v>0</v>
      </c>
      <c r="AQ9" s="242">
        <f>SUM(Tabela96[[#This Row], [2026-2030]:[2035]])</f>
      </c>
      <c r="AR9" s="1"/>
      <c r="AS9" s="239" t="s">
        <v>40352</v>
      </c>
      <c r="AT9" s="243">
        <v>2025</v>
      </c>
      <c r="AU9" s="239" t="s">
        <v>40353</v>
      </c>
      <c r="AV9" s="3" t="s">
        <v>40354</v>
      </c>
      <c r="AW9" s="239" t="s">
        <v>39116</v>
      </c>
      <c r="AX9" s="2"/>
      <c r="AY9" s="2"/>
      <c r="AZ9" s="239" t="s">
        <v>40355</v>
      </c>
    </row>
    <row x14ac:dyDescent="0.25" r="10" customHeight="1" ht="52.5">
      <c r="A10" s="210"/>
      <c r="B10" s="237">
        <f>AND(ISTEXT('Consolidado-Eletronorte'!#REF!),SUM('Consolidado-Eletronorte'!#REF!)&gt;0)</f>
      </c>
      <c r="C10" s="238">
        <f>INDIRECT(SUBSTITUTE($J19&amp;$K19," ",""))</f>
      </c>
      <c r="D10" s="238">
        <f>$H$3</f>
      </c>
      <c r="E10" s="238">
        <f>$H$4</f>
      </c>
      <c r="F10" s="210"/>
      <c r="G10" s="238">
        <f>_xlfn.CONCAT('Consolidado-Eletronorte'!#REF!,"_",ROW('Consolidado-Eletronorte'!#REF!)-ROW('Consolidado-Eletronorte'!$G$18))</f>
      </c>
      <c r="H10" s="212" t="s">
        <v>10</v>
      </c>
      <c r="I10" s="212" t="s">
        <v>87</v>
      </c>
      <c r="J10" s="212" t="s">
        <v>5</v>
      </c>
      <c r="K10" s="213" t="s">
        <v>16</v>
      </c>
      <c r="L10" s="212" t="s">
        <v>67</v>
      </c>
      <c r="M10" s="239" t="s">
        <v>40356</v>
      </c>
      <c r="N10" s="212"/>
      <c r="O10" s="212"/>
      <c r="P10" s="212"/>
      <c r="Q10" s="239" t="s">
        <v>40357</v>
      </c>
      <c r="R10" s="239" t="s">
        <v>40358</v>
      </c>
      <c r="S10" s="239" t="s">
        <v>38294</v>
      </c>
      <c r="T10" s="240">
        <v>15000</v>
      </c>
      <c r="U10" s="240">
        <v>80000</v>
      </c>
      <c r="V10" s="240">
        <v>65000</v>
      </c>
      <c r="W10" s="240">
        <v>40000</v>
      </c>
      <c r="X10" s="239" t="s">
        <v>40351</v>
      </c>
      <c r="Y10" s="239" t="s">
        <v>40351</v>
      </c>
      <c r="Z10" s="239" t="s">
        <v>40351</v>
      </c>
      <c r="AA10" s="239" t="s">
        <v>40351</v>
      </c>
      <c r="AB10" s="239" t="s">
        <v>40351</v>
      </c>
      <c r="AC10" s="239" t="s">
        <v>40351</v>
      </c>
      <c r="AD10" s="239" t="s">
        <v>40351</v>
      </c>
      <c r="AE10" s="239" t="s">
        <v>40351</v>
      </c>
      <c r="AF10" s="241">
        <f>SUM(Tabela96[[#This Row], [jan/26]:[dez/26]])</f>
      </c>
      <c r="AG10" s="240">
        <v>0</v>
      </c>
      <c r="AH10" s="240">
        <v>0</v>
      </c>
      <c r="AI10" s="240">
        <v>0</v>
      </c>
      <c r="AJ10" s="240">
        <v>0</v>
      </c>
      <c r="AK10" s="240">
        <f>SUM(Tabela96[[#This Row], [2026]:[2030]])</f>
      </c>
      <c r="AL10" s="240">
        <v>0</v>
      </c>
      <c r="AM10" s="240">
        <v>0</v>
      </c>
      <c r="AN10" s="240">
        <v>0</v>
      </c>
      <c r="AO10" s="240">
        <v>0</v>
      </c>
      <c r="AP10" s="240">
        <v>0</v>
      </c>
      <c r="AQ10" s="242">
        <f>SUM(Tabela96[[#This Row], [2026-2030]:[2035]])</f>
      </c>
      <c r="AR10" s="1"/>
      <c r="AS10" s="239" t="s">
        <v>40352</v>
      </c>
      <c r="AT10" s="243">
        <v>2025</v>
      </c>
      <c r="AU10" s="239" t="s">
        <v>40359</v>
      </c>
      <c r="AV10" s="3" t="s">
        <v>40360</v>
      </c>
      <c r="AW10" s="239" t="s">
        <v>39116</v>
      </c>
      <c r="AX10" s="2"/>
      <c r="AY10" s="2"/>
      <c r="AZ10" s="239" t="s">
        <v>40355</v>
      </c>
    </row>
    <row x14ac:dyDescent="0.25" r="11" customHeight="1" ht="24.75">
      <c r="A11" s="1"/>
      <c r="B11" s="237">
        <f>AND(ISTEXT('Consolidado-Eletronorte'!#REF!),SUM('Consolidado-Eletronorte'!#REF!)&gt;0)</f>
      </c>
      <c r="C11" s="238">
        <f>INDIRECT(SUBSTITUTE($J20&amp;$K20," ",""))</f>
      </c>
      <c r="D11" s="238">
        <f>$H$3</f>
      </c>
      <c r="E11" s="238">
        <f>$H$4</f>
      </c>
      <c r="F11" s="210"/>
      <c r="G11" s="238">
        <f>_xlfn.CONCAT('Consolidado-Eletronorte'!#REF!,"_",ROW('Consolidado-Eletronorte'!#REF!)-ROW('Consolidado-Eletronorte'!$G$18))</f>
      </c>
      <c r="H11" s="212" t="s">
        <v>10</v>
      </c>
      <c r="I11" s="212" t="s">
        <v>87</v>
      </c>
      <c r="J11" s="212" t="s">
        <v>5</v>
      </c>
      <c r="K11" s="213" t="s">
        <v>16</v>
      </c>
      <c r="L11" s="212" t="s">
        <v>67</v>
      </c>
      <c r="M11" s="239" t="s">
        <v>40361</v>
      </c>
      <c r="N11" s="212"/>
      <c r="O11" s="212"/>
      <c r="P11" s="212"/>
      <c r="Q11" s="239" t="s">
        <v>40362</v>
      </c>
      <c r="R11" s="239" t="s">
        <v>40363</v>
      </c>
      <c r="S11" s="239" t="s">
        <v>38296</v>
      </c>
      <c r="T11" s="240">
        <v>15000</v>
      </c>
      <c r="U11" s="240">
        <v>80000</v>
      </c>
      <c r="V11" s="240">
        <v>65000</v>
      </c>
      <c r="W11" s="240">
        <v>60000</v>
      </c>
      <c r="X11" s="239" t="s">
        <v>40351</v>
      </c>
      <c r="Y11" s="239" t="s">
        <v>40351</v>
      </c>
      <c r="Z11" s="239" t="s">
        <v>40351</v>
      </c>
      <c r="AA11" s="239" t="s">
        <v>40351</v>
      </c>
      <c r="AB11" s="239" t="s">
        <v>40351</v>
      </c>
      <c r="AC11" s="239" t="s">
        <v>40351</v>
      </c>
      <c r="AD11" s="239" t="s">
        <v>40351</v>
      </c>
      <c r="AE11" s="239" t="s">
        <v>40351</v>
      </c>
      <c r="AF11" s="241">
        <f>SUM(Tabela96[[#This Row], [jan/26]:[dez/26]])</f>
      </c>
      <c r="AG11" s="240">
        <v>0</v>
      </c>
      <c r="AH11" s="240">
        <v>0</v>
      </c>
      <c r="AI11" s="240">
        <v>0</v>
      </c>
      <c r="AJ11" s="240">
        <v>0</v>
      </c>
      <c r="AK11" s="240">
        <f>SUM(Tabela96[[#This Row], [2026]:[2030]])</f>
      </c>
      <c r="AL11" s="240">
        <v>0</v>
      </c>
      <c r="AM11" s="240">
        <v>0</v>
      </c>
      <c r="AN11" s="240">
        <v>0</v>
      </c>
      <c r="AO11" s="240">
        <v>0</v>
      </c>
      <c r="AP11" s="240">
        <v>0</v>
      </c>
      <c r="AQ11" s="242">
        <f>SUM(Tabela96[[#This Row], [2026-2030]:[2035]])</f>
      </c>
      <c r="AR11" s="1"/>
      <c r="AS11" s="239" t="s">
        <v>40352</v>
      </c>
      <c r="AT11" s="243">
        <v>2025</v>
      </c>
      <c r="AU11" s="239" t="s">
        <v>40364</v>
      </c>
      <c r="AV11" s="3" t="s">
        <v>40365</v>
      </c>
      <c r="AW11" s="239" t="s">
        <v>39116</v>
      </c>
      <c r="AX11" s="2"/>
      <c r="AY11" s="2"/>
      <c r="AZ11" s="239" t="s">
        <v>40355</v>
      </c>
    </row>
    <row x14ac:dyDescent="0.25" r="12" customHeight="1" ht="24.75">
      <c r="A12" s="1"/>
      <c r="B12" s="237">
        <f>AND(ISTEXT('Consolidado-Eletronorte'!#REF!),SUM('Consolidado-Eletronorte'!#REF!)&gt;0)</f>
      </c>
      <c r="C12" s="238">
        <f>INDIRECT(SUBSTITUTE($J21&amp;$K21," ",""))</f>
      </c>
      <c r="D12" s="238">
        <f>$H$3</f>
      </c>
      <c r="E12" s="238">
        <f>$H$4</f>
      </c>
      <c r="F12" s="210"/>
      <c r="G12" s="238">
        <f>_xlfn.CONCAT('Consolidado-Eletronorte'!#REF!,"_",ROW('Consolidado-Eletronorte'!#REF!)-ROW('Consolidado-Eletronorte'!$G$18))</f>
      </c>
      <c r="H12" s="212" t="s">
        <v>10</v>
      </c>
      <c r="I12" s="212" t="s">
        <v>87</v>
      </c>
      <c r="J12" s="212" t="s">
        <v>5</v>
      </c>
      <c r="K12" s="213" t="s">
        <v>16</v>
      </c>
      <c r="L12" s="212" t="s">
        <v>67</v>
      </c>
      <c r="M12" s="239" t="s">
        <v>40366</v>
      </c>
      <c r="N12" s="212"/>
      <c r="O12" s="212"/>
      <c r="P12" s="212"/>
      <c r="Q12" s="239" t="s">
        <v>40367</v>
      </c>
      <c r="R12" s="239" t="s">
        <v>40368</v>
      </c>
      <c r="S12" s="239" t="s">
        <v>38290</v>
      </c>
      <c r="T12" s="240">
        <v>15000</v>
      </c>
      <c r="U12" s="240">
        <v>80000</v>
      </c>
      <c r="V12" s="240">
        <v>65000</v>
      </c>
      <c r="W12" s="240">
        <v>60000</v>
      </c>
      <c r="X12" s="239" t="s">
        <v>40351</v>
      </c>
      <c r="Y12" s="239" t="s">
        <v>40351</v>
      </c>
      <c r="Z12" s="239" t="s">
        <v>40351</v>
      </c>
      <c r="AA12" s="239" t="s">
        <v>40351</v>
      </c>
      <c r="AB12" s="239" t="s">
        <v>40351</v>
      </c>
      <c r="AC12" s="239" t="s">
        <v>40351</v>
      </c>
      <c r="AD12" s="239" t="s">
        <v>40351</v>
      </c>
      <c r="AE12" s="239" t="s">
        <v>40351</v>
      </c>
      <c r="AF12" s="241">
        <f>SUM(Tabela96[[#This Row], [jan/26]:[dez/26]])</f>
      </c>
      <c r="AG12" s="240">
        <v>0</v>
      </c>
      <c r="AH12" s="240">
        <v>0</v>
      </c>
      <c r="AI12" s="240">
        <v>0</v>
      </c>
      <c r="AJ12" s="240">
        <v>0</v>
      </c>
      <c r="AK12" s="240">
        <f>SUM(Tabela96[[#This Row], [2026]:[2030]])</f>
      </c>
      <c r="AL12" s="240">
        <v>0</v>
      </c>
      <c r="AM12" s="240">
        <v>0</v>
      </c>
      <c r="AN12" s="240">
        <v>0</v>
      </c>
      <c r="AO12" s="240">
        <v>0</v>
      </c>
      <c r="AP12" s="240">
        <v>0</v>
      </c>
      <c r="AQ12" s="242">
        <f>SUM(Tabela96[[#This Row], [2026-2030]:[2035]])</f>
      </c>
      <c r="AR12" s="1"/>
      <c r="AS12" s="239" t="s">
        <v>40352</v>
      </c>
      <c r="AT12" s="243">
        <v>2025</v>
      </c>
      <c r="AU12" s="239" t="s">
        <v>40369</v>
      </c>
      <c r="AV12" s="3" t="s">
        <v>40370</v>
      </c>
      <c r="AW12" s="239" t="s">
        <v>39116</v>
      </c>
      <c r="AX12" s="2"/>
      <c r="AY12" s="2"/>
      <c r="AZ12" s="239" t="s">
        <v>40355</v>
      </c>
    </row>
    <row x14ac:dyDescent="0.25" r="13" customHeight="1" ht="24.75">
      <c r="A13" s="1"/>
      <c r="B13" s="237">
        <f>AND(ISTEXT('Consolidado-Eletronorte'!#REF!),SUM('Consolidado-Eletronorte'!#REF!)&gt;0)</f>
      </c>
      <c r="C13" s="238">
        <f>INDIRECT(SUBSTITUTE($J22&amp;$K22," ",""))</f>
      </c>
      <c r="D13" s="238">
        <f>$H$3</f>
      </c>
      <c r="E13" s="238">
        <f>$H$4</f>
      </c>
      <c r="F13" s="210"/>
      <c r="G13" s="238">
        <f>_xlfn.CONCAT('Consolidado-Eletronorte'!#REF!,"_",ROW('Consolidado-Eletronorte'!#REF!)-ROW('Consolidado-Eletronorte'!$G$18))</f>
      </c>
      <c r="H13" s="212" t="s">
        <v>10</v>
      </c>
      <c r="I13" s="212" t="s">
        <v>87</v>
      </c>
      <c r="J13" s="212" t="s">
        <v>5</v>
      </c>
      <c r="K13" s="213" t="s">
        <v>16</v>
      </c>
      <c r="L13" s="212" t="s">
        <v>67</v>
      </c>
      <c r="M13" s="239" t="s">
        <v>40371</v>
      </c>
      <c r="N13" s="212"/>
      <c r="O13" s="212"/>
      <c r="P13" s="212"/>
      <c r="Q13" s="239" t="s">
        <v>40372</v>
      </c>
      <c r="R13" s="239" t="s">
        <v>40373</v>
      </c>
      <c r="S13" s="239" t="s">
        <v>38294</v>
      </c>
      <c r="T13" s="240">
        <v>5000</v>
      </c>
      <c r="U13" s="240">
        <v>5000</v>
      </c>
      <c r="V13" s="240">
        <v>5000</v>
      </c>
      <c r="W13" s="240">
        <v>5000</v>
      </c>
      <c r="X13" s="239" t="s">
        <v>40351</v>
      </c>
      <c r="Y13" s="239" t="s">
        <v>40351</v>
      </c>
      <c r="Z13" s="239" t="s">
        <v>40351</v>
      </c>
      <c r="AA13" s="239" t="s">
        <v>40351</v>
      </c>
      <c r="AB13" s="239" t="s">
        <v>40351</v>
      </c>
      <c r="AC13" s="239" t="s">
        <v>40351</v>
      </c>
      <c r="AD13" s="239" t="s">
        <v>40351</v>
      </c>
      <c r="AE13" s="239" t="s">
        <v>40351</v>
      </c>
      <c r="AF13" s="241">
        <f>SUM(Tabela96[[#This Row], [jan/26]:[dez/26]])</f>
      </c>
      <c r="AG13" s="240">
        <v>0</v>
      </c>
      <c r="AH13" s="240">
        <v>0</v>
      </c>
      <c r="AI13" s="240">
        <v>0</v>
      </c>
      <c r="AJ13" s="240">
        <v>0</v>
      </c>
      <c r="AK13" s="240">
        <f>SUM(Tabela96[[#This Row], [2026]:[2030]])</f>
      </c>
      <c r="AL13" s="240">
        <v>0</v>
      </c>
      <c r="AM13" s="240">
        <v>0</v>
      </c>
      <c r="AN13" s="240">
        <v>0</v>
      </c>
      <c r="AO13" s="240">
        <v>0</v>
      </c>
      <c r="AP13" s="240">
        <v>0</v>
      </c>
      <c r="AQ13" s="242">
        <f>SUM(Tabela96[[#This Row], [2026-2030]:[2035]])</f>
      </c>
      <c r="AR13" s="1"/>
      <c r="AS13" s="239" t="s">
        <v>40352</v>
      </c>
      <c r="AT13" s="243">
        <v>2025</v>
      </c>
      <c r="AU13" s="239" t="s">
        <v>40374</v>
      </c>
      <c r="AV13" s="3" t="s">
        <v>40375</v>
      </c>
      <c r="AW13" s="239" t="s">
        <v>39116</v>
      </c>
      <c r="AX13" s="2"/>
      <c r="AY13" s="2"/>
      <c r="AZ13" s="239" t="s">
        <v>40355</v>
      </c>
    </row>
    <row x14ac:dyDescent="0.25" r="14" customHeight="1" ht="24.75">
      <c r="A14" s="1"/>
      <c r="B14" s="237">
        <f>AND(ISTEXT('Consolidado-Eletronorte'!#REF!),SUM('Consolidado-Eletronorte'!#REF!)&gt;0)</f>
      </c>
      <c r="C14" s="238">
        <f>INDIRECT(SUBSTITUTE($J23&amp;$K23," ",""))</f>
      </c>
      <c r="D14" s="238">
        <f>$H$3</f>
      </c>
      <c r="E14" s="238">
        <f>$H$4</f>
      </c>
      <c r="F14" s="210"/>
      <c r="G14" s="238">
        <f>_xlfn.CONCAT('Consolidado-Eletronorte'!#REF!,"_",ROW('Consolidado-Eletronorte'!#REF!)-ROW('Consolidado-Eletronorte'!$G$18))</f>
      </c>
      <c r="H14" s="212" t="s">
        <v>10</v>
      </c>
      <c r="I14" s="212" t="s">
        <v>87</v>
      </c>
      <c r="J14" s="212" t="s">
        <v>5</v>
      </c>
      <c r="K14" s="213" t="s">
        <v>16</v>
      </c>
      <c r="L14" s="212" t="s">
        <v>67</v>
      </c>
      <c r="M14" s="239" t="s">
        <v>40376</v>
      </c>
      <c r="N14" s="212"/>
      <c r="O14" s="212"/>
      <c r="P14" s="212"/>
      <c r="Q14" s="239" t="s">
        <v>40377</v>
      </c>
      <c r="R14" s="239" t="s">
        <v>40378</v>
      </c>
      <c r="S14" s="239" t="s">
        <v>38294</v>
      </c>
      <c r="T14" s="240">
        <v>5000</v>
      </c>
      <c r="U14" s="240">
        <v>5000</v>
      </c>
      <c r="V14" s="240">
        <v>5000</v>
      </c>
      <c r="W14" s="240">
        <v>5000</v>
      </c>
      <c r="X14" s="239" t="s">
        <v>40351</v>
      </c>
      <c r="Y14" s="239" t="s">
        <v>40351</v>
      </c>
      <c r="Z14" s="239" t="s">
        <v>40351</v>
      </c>
      <c r="AA14" s="239" t="s">
        <v>40351</v>
      </c>
      <c r="AB14" s="239" t="s">
        <v>40351</v>
      </c>
      <c r="AC14" s="239" t="s">
        <v>40351</v>
      </c>
      <c r="AD14" s="239" t="s">
        <v>40351</v>
      </c>
      <c r="AE14" s="239" t="s">
        <v>40351</v>
      </c>
      <c r="AF14" s="241">
        <f>SUM(Tabela96[[#This Row], [jan/26]:[dez/26]])</f>
      </c>
      <c r="AG14" s="240">
        <v>0</v>
      </c>
      <c r="AH14" s="240">
        <v>0</v>
      </c>
      <c r="AI14" s="240">
        <v>0</v>
      </c>
      <c r="AJ14" s="240">
        <v>0</v>
      </c>
      <c r="AK14" s="240">
        <f>SUM(Tabela96[[#This Row], [2026]:[2030]])</f>
      </c>
      <c r="AL14" s="240">
        <v>0</v>
      </c>
      <c r="AM14" s="240">
        <v>0</v>
      </c>
      <c r="AN14" s="240">
        <v>0</v>
      </c>
      <c r="AO14" s="240">
        <v>0</v>
      </c>
      <c r="AP14" s="240">
        <v>0</v>
      </c>
      <c r="AQ14" s="242">
        <f>SUM(Tabela96[[#This Row], [2026-2030]:[2035]])</f>
      </c>
      <c r="AR14" s="1"/>
      <c r="AS14" s="239" t="s">
        <v>40352</v>
      </c>
      <c r="AT14" s="243">
        <v>2025</v>
      </c>
      <c r="AU14" s="239" t="s">
        <v>40379</v>
      </c>
      <c r="AV14" s="3" t="s">
        <v>40375</v>
      </c>
      <c r="AW14" s="239" t="s">
        <v>39116</v>
      </c>
      <c r="AX14" s="2"/>
      <c r="AY14" s="2"/>
      <c r="AZ14" s="239" t="s">
        <v>40355</v>
      </c>
    </row>
    <row x14ac:dyDescent="0.25" r="15" customHeight="1" ht="24.75">
      <c r="A15" s="1"/>
      <c r="B15" s="237">
        <f>AND(ISTEXT('Consolidado-Eletronorte'!#REF!),SUM('Consolidado-Eletronorte'!#REF!)&gt;0)</f>
      </c>
      <c r="C15" s="238">
        <f>INDIRECT(SUBSTITUTE($J24&amp;$K24," ",""))</f>
      </c>
      <c r="D15" s="238">
        <f>$H$3</f>
      </c>
      <c r="E15" s="238">
        <f>$H$4</f>
      </c>
      <c r="F15" s="210"/>
      <c r="G15" s="238">
        <f>_xlfn.CONCAT('Consolidado-Eletronorte'!#REF!,"_",ROW('Consolidado-Eletronorte'!#REF!)-ROW('Consolidado-Eletronorte'!$G$18))</f>
      </c>
      <c r="H15" s="212" t="s">
        <v>10</v>
      </c>
      <c r="I15" s="212" t="s">
        <v>87</v>
      </c>
      <c r="J15" s="212" t="s">
        <v>5</v>
      </c>
      <c r="K15" s="213" t="s">
        <v>16</v>
      </c>
      <c r="L15" s="212" t="s">
        <v>67</v>
      </c>
      <c r="M15" s="239" t="s">
        <v>40371</v>
      </c>
      <c r="N15" s="212"/>
      <c r="O15" s="212"/>
      <c r="P15" s="212"/>
      <c r="Q15" s="239" t="s">
        <v>40380</v>
      </c>
      <c r="R15" s="239" t="s">
        <v>40381</v>
      </c>
      <c r="S15" s="239" t="s">
        <v>38294</v>
      </c>
      <c r="T15" s="240">
        <v>5000</v>
      </c>
      <c r="U15" s="240">
        <v>5000</v>
      </c>
      <c r="V15" s="240">
        <v>5000</v>
      </c>
      <c r="W15" s="240">
        <v>5000</v>
      </c>
      <c r="X15" s="239" t="s">
        <v>40351</v>
      </c>
      <c r="Y15" s="239" t="s">
        <v>40351</v>
      </c>
      <c r="Z15" s="239" t="s">
        <v>40351</v>
      </c>
      <c r="AA15" s="239" t="s">
        <v>40351</v>
      </c>
      <c r="AB15" s="239" t="s">
        <v>40351</v>
      </c>
      <c r="AC15" s="239" t="s">
        <v>40351</v>
      </c>
      <c r="AD15" s="239" t="s">
        <v>40351</v>
      </c>
      <c r="AE15" s="239" t="s">
        <v>40351</v>
      </c>
      <c r="AF15" s="241">
        <f>SUM(Tabela96[[#This Row], [jan/26]:[dez/26]])</f>
      </c>
      <c r="AG15" s="240">
        <v>0</v>
      </c>
      <c r="AH15" s="240">
        <v>0</v>
      </c>
      <c r="AI15" s="240">
        <v>0</v>
      </c>
      <c r="AJ15" s="240">
        <v>0</v>
      </c>
      <c r="AK15" s="240">
        <f>SUM(Tabela96[[#This Row], [2026]:[2030]])</f>
      </c>
      <c r="AL15" s="240">
        <v>0</v>
      </c>
      <c r="AM15" s="240">
        <v>0</v>
      </c>
      <c r="AN15" s="240">
        <v>0</v>
      </c>
      <c r="AO15" s="240">
        <v>0</v>
      </c>
      <c r="AP15" s="240">
        <v>0</v>
      </c>
      <c r="AQ15" s="242">
        <f>SUM(Tabela96[[#This Row], [2026-2030]:[2035]])</f>
      </c>
      <c r="AR15" s="1"/>
      <c r="AS15" s="239" t="s">
        <v>40352</v>
      </c>
      <c r="AT15" s="243">
        <v>2025</v>
      </c>
      <c r="AU15" s="239" t="s">
        <v>40382</v>
      </c>
      <c r="AV15" s="3" t="s">
        <v>40375</v>
      </c>
      <c r="AW15" s="239" t="s">
        <v>39116</v>
      </c>
      <c r="AX15" s="2"/>
      <c r="AY15" s="2"/>
      <c r="AZ15" s="239" t="s">
        <v>40355</v>
      </c>
    </row>
    <row x14ac:dyDescent="0.25" r="16" customHeight="1" ht="24.75">
      <c r="A16" s="1"/>
      <c r="B16" s="237">
        <f>AND(ISTEXT('Consolidado-Eletronorte'!#REF!),SUM('Consolidado-Eletronorte'!#REF!)&gt;0)</f>
      </c>
      <c r="C16" s="238">
        <f>INDIRECT(SUBSTITUTE($J25&amp;$K25," ",""))</f>
      </c>
      <c r="D16" s="238">
        <f>$H$3</f>
      </c>
      <c r="E16" s="238">
        <f>$H$4</f>
      </c>
      <c r="F16" s="210"/>
      <c r="G16" s="238">
        <f>_xlfn.CONCAT('Consolidado-Eletronorte'!#REF!,"_",ROW('Consolidado-Eletronorte'!#REF!)-ROW('Consolidado-Eletronorte'!$G$18))</f>
      </c>
      <c r="H16" s="212" t="s">
        <v>10</v>
      </c>
      <c r="I16" s="212" t="s">
        <v>87</v>
      </c>
      <c r="J16" s="212" t="s">
        <v>5</v>
      </c>
      <c r="K16" s="213" t="s">
        <v>16</v>
      </c>
      <c r="L16" s="212" t="s">
        <v>67</v>
      </c>
      <c r="M16" s="239" t="s">
        <v>40383</v>
      </c>
      <c r="N16" s="212"/>
      <c r="O16" s="212"/>
      <c r="P16" s="212"/>
      <c r="Q16" s="239" t="s">
        <v>40384</v>
      </c>
      <c r="R16" s="239" t="s">
        <v>40385</v>
      </c>
      <c r="S16" s="239" t="s">
        <v>38284</v>
      </c>
      <c r="T16" s="240">
        <v>5000</v>
      </c>
      <c r="U16" s="240">
        <v>5000</v>
      </c>
      <c r="V16" s="240">
        <v>5000</v>
      </c>
      <c r="W16" s="240">
        <v>5000</v>
      </c>
      <c r="X16" s="239" t="s">
        <v>40351</v>
      </c>
      <c r="Y16" s="239" t="s">
        <v>40351</v>
      </c>
      <c r="Z16" s="239" t="s">
        <v>40351</v>
      </c>
      <c r="AA16" s="239" t="s">
        <v>40351</v>
      </c>
      <c r="AB16" s="239" t="s">
        <v>40351</v>
      </c>
      <c r="AC16" s="239" t="s">
        <v>40351</v>
      </c>
      <c r="AD16" s="239" t="s">
        <v>40351</v>
      </c>
      <c r="AE16" s="239" t="s">
        <v>40351</v>
      </c>
      <c r="AF16" s="241">
        <f>SUM(Tabela96[[#This Row], [jan/26]:[dez/26]])</f>
      </c>
      <c r="AG16" s="240">
        <v>0</v>
      </c>
      <c r="AH16" s="240">
        <v>0</v>
      </c>
      <c r="AI16" s="240">
        <v>0</v>
      </c>
      <c r="AJ16" s="240">
        <v>0</v>
      </c>
      <c r="AK16" s="240">
        <f>SUM(Tabela96[[#This Row], [2026]:[2030]])</f>
      </c>
      <c r="AL16" s="240">
        <v>0</v>
      </c>
      <c r="AM16" s="240">
        <v>0</v>
      </c>
      <c r="AN16" s="240">
        <v>0</v>
      </c>
      <c r="AO16" s="240">
        <v>0</v>
      </c>
      <c r="AP16" s="240">
        <v>0</v>
      </c>
      <c r="AQ16" s="242">
        <f>SUM(Tabela96[[#This Row], [2026-2030]:[2035]])</f>
      </c>
      <c r="AR16" s="1"/>
      <c r="AS16" s="239" t="s">
        <v>40352</v>
      </c>
      <c r="AT16" s="243">
        <v>2025</v>
      </c>
      <c r="AU16" s="239" t="s">
        <v>40386</v>
      </c>
      <c r="AV16" s="3"/>
      <c r="AW16" s="239" t="s">
        <v>39116</v>
      </c>
      <c r="AX16" s="2"/>
      <c r="AY16" s="2"/>
      <c r="AZ16" s="239" t="s">
        <v>40355</v>
      </c>
    </row>
    <row x14ac:dyDescent="0.25" r="17" customHeight="1" ht="24.75">
      <c r="A17" s="1"/>
      <c r="B17" s="237">
        <f>AND(ISTEXT('Consolidado-Eletronorte'!#REF!),SUM('Consolidado-Eletronorte'!#REF!)&gt;0)</f>
      </c>
      <c r="C17" s="238">
        <f>INDIRECT(SUBSTITUTE($J26&amp;$K26," ",""))</f>
      </c>
      <c r="D17" s="238">
        <f>$H$3</f>
      </c>
      <c r="E17" s="238">
        <f>$H$4</f>
      </c>
      <c r="F17" s="210"/>
      <c r="G17" s="238">
        <f>_xlfn.CONCAT('Consolidado-Eletronorte'!#REF!,"_",ROW('Consolidado-Eletronorte'!#REF!)-ROW('Consolidado-Eletronorte'!$G$18))</f>
      </c>
      <c r="H17" s="212" t="s">
        <v>10</v>
      </c>
      <c r="I17" s="212" t="s">
        <v>87</v>
      </c>
      <c r="J17" s="212" t="s">
        <v>5</v>
      </c>
      <c r="K17" s="213" t="s">
        <v>16</v>
      </c>
      <c r="L17" s="212" t="s">
        <v>67</v>
      </c>
      <c r="M17" s="239" t="s">
        <v>40387</v>
      </c>
      <c r="N17" s="212"/>
      <c r="O17" s="212"/>
      <c r="P17" s="212"/>
      <c r="Q17" s="239" t="s">
        <v>40388</v>
      </c>
      <c r="R17" s="239" t="s">
        <v>40389</v>
      </c>
      <c r="S17" s="239" t="s">
        <v>38290</v>
      </c>
      <c r="T17" s="241">
        <v>20000</v>
      </c>
      <c r="U17" s="241">
        <v>20000</v>
      </c>
      <c r="V17" s="241">
        <v>114947</v>
      </c>
      <c r="W17" s="241">
        <v>170000</v>
      </c>
      <c r="X17" s="241">
        <v>170000</v>
      </c>
      <c r="Y17" s="241">
        <v>20000</v>
      </c>
      <c r="Z17" s="241">
        <v>20000</v>
      </c>
      <c r="AA17" s="241">
        <v>597034</v>
      </c>
      <c r="AB17" s="241">
        <v>448318</v>
      </c>
      <c r="AC17" s="241">
        <v>163140</v>
      </c>
      <c r="AD17" s="241">
        <v>545530</v>
      </c>
      <c r="AE17" s="241">
        <v>1078676</v>
      </c>
      <c r="AF17" s="241">
        <f>SUM(Tabela96[[#This Row], [jan/26]:[dez/26]])</f>
      </c>
      <c r="AG17" s="241">
        <v>13827521</v>
      </c>
      <c r="AH17" s="240"/>
      <c r="AI17" s="240">
        <v>0</v>
      </c>
      <c r="AJ17" s="240">
        <v>0</v>
      </c>
      <c r="AK17" s="240">
        <f>SUM(Tabela96[[#This Row], [2026]:[2030]])</f>
      </c>
      <c r="AL17" s="240">
        <v>0</v>
      </c>
      <c r="AM17" s="240">
        <v>0</v>
      </c>
      <c r="AN17" s="240">
        <v>0</v>
      </c>
      <c r="AO17" s="240">
        <v>0</v>
      </c>
      <c r="AP17" s="240">
        <v>0</v>
      </c>
      <c r="AQ17" s="242">
        <f>SUM(Tabela96[[#This Row], [2026-2030]:[2035]])</f>
      </c>
      <c r="AR17" s="1"/>
      <c r="AS17" s="239" t="s">
        <v>40352</v>
      </c>
      <c r="AT17" s="243">
        <v>2024</v>
      </c>
      <c r="AU17" s="239" t="s">
        <v>40390</v>
      </c>
      <c r="AV17" s="3" t="s">
        <v>40391</v>
      </c>
      <c r="AW17" s="239" t="s">
        <v>46</v>
      </c>
      <c r="AX17" s="2"/>
      <c r="AY17" s="2"/>
      <c r="AZ17" s="239" t="s">
        <v>40392</v>
      </c>
    </row>
    <row x14ac:dyDescent="0.25" r="18" customHeight="1" ht="24.75">
      <c r="A18" s="1"/>
      <c r="B18" s="237">
        <f>AND(ISTEXT('Consolidado-Eletronorte'!#REF!),SUM('Consolidado-Eletronorte'!#REF!)&gt;0)</f>
      </c>
      <c r="C18" s="238">
        <f>INDIRECT(SUBSTITUTE($J27&amp;$K27," ",""))</f>
      </c>
      <c r="D18" s="238">
        <f>$H$3</f>
      </c>
      <c r="E18" s="238">
        <f>$H$4</f>
      </c>
      <c r="F18" s="210"/>
      <c r="G18" s="238">
        <f>_xlfn.CONCAT('Consolidado-Eletronorte'!#REF!,"_",ROW('Consolidado-Eletronorte'!#REF!)-ROW('Consolidado-Eletronorte'!$G$18))</f>
      </c>
      <c r="H18" s="212" t="s">
        <v>10</v>
      </c>
      <c r="I18" s="212" t="s">
        <v>87</v>
      </c>
      <c r="J18" s="212" t="s">
        <v>5</v>
      </c>
      <c r="K18" s="213" t="s">
        <v>16</v>
      </c>
      <c r="L18" s="212" t="s">
        <v>67</v>
      </c>
      <c r="M18" s="239" t="s">
        <v>40393</v>
      </c>
      <c r="N18" s="212"/>
      <c r="O18" s="212"/>
      <c r="P18" s="212"/>
      <c r="Q18" s="239" t="s">
        <v>40394</v>
      </c>
      <c r="R18" s="239" t="s">
        <v>40395</v>
      </c>
      <c r="S18" s="239" t="s">
        <v>38296</v>
      </c>
      <c r="T18" s="239" t="s">
        <v>40351</v>
      </c>
      <c r="U18" s="239" t="s">
        <v>40351</v>
      </c>
      <c r="V18" s="239" t="s">
        <v>40351</v>
      </c>
      <c r="W18" s="239" t="s">
        <v>40351</v>
      </c>
      <c r="X18" s="239" t="s">
        <v>40351</v>
      </c>
      <c r="Y18" s="240">
        <v>41653</v>
      </c>
      <c r="Z18" s="244"/>
      <c r="AA18" s="239" t="s">
        <v>40351</v>
      </c>
      <c r="AB18" s="240">
        <v>181585</v>
      </c>
      <c r="AC18" s="240">
        <v>309406</v>
      </c>
      <c r="AD18" s="240">
        <v>38675</v>
      </c>
      <c r="AE18" s="239" t="s">
        <v>40351</v>
      </c>
      <c r="AF18" s="241">
        <f>SUM(Tabela96[[#This Row], [jan/26]:[dez/26]])</f>
      </c>
      <c r="AG18" s="240">
        <v>425434</v>
      </c>
      <c r="AH18" s="240">
        <v>0</v>
      </c>
      <c r="AI18" s="240">
        <v>0</v>
      </c>
      <c r="AJ18" s="240">
        <v>0</v>
      </c>
      <c r="AK18" s="240">
        <f>SUM(Tabela96[[#This Row], [2026]:[2030]])</f>
      </c>
      <c r="AL18" s="240">
        <v>0</v>
      </c>
      <c r="AM18" s="240">
        <v>0</v>
      </c>
      <c r="AN18" s="240">
        <v>0</v>
      </c>
      <c r="AO18" s="240">
        <v>0</v>
      </c>
      <c r="AP18" s="240">
        <v>0</v>
      </c>
      <c r="AQ18" s="242">
        <f>SUM(Tabela96[[#This Row], [2026-2030]:[2035]])</f>
      </c>
      <c r="AR18" s="1"/>
      <c r="AS18" s="239" t="s">
        <v>40352</v>
      </c>
      <c r="AT18" s="243">
        <v>2025</v>
      </c>
      <c r="AU18" s="239" t="s">
        <v>40396</v>
      </c>
      <c r="AV18" s="3" t="s">
        <v>40397</v>
      </c>
      <c r="AW18" s="239" t="s">
        <v>46</v>
      </c>
      <c r="AX18" s="2"/>
      <c r="AY18" s="2"/>
      <c r="AZ18" s="239" t="s">
        <v>40398</v>
      </c>
    </row>
    <row x14ac:dyDescent="0.25" r="19" customHeight="1" ht="24.75">
      <c r="A19" s="1"/>
      <c r="B19" s="237">
        <f>AND(ISTEXT('Consolidado-Eletronorte'!#REF!),SUM('Consolidado-Eletronorte'!#REF!)&gt;0)</f>
      </c>
      <c r="C19" s="238">
        <f>INDIRECT(SUBSTITUTE($J28&amp;$K28," ",""))</f>
      </c>
      <c r="D19" s="238">
        <f>$H$3</f>
      </c>
      <c r="E19" s="238">
        <f>$H$4</f>
      </c>
      <c r="F19" s="210"/>
      <c r="G19" s="238">
        <f>_xlfn.CONCAT('Consolidado-Eletronorte'!#REF!,"_",ROW('Consolidado-Eletronorte'!#REF!)-ROW('Consolidado-Eletronorte'!$G$18))</f>
      </c>
      <c r="H19" s="212" t="s">
        <v>10</v>
      </c>
      <c r="I19" s="212" t="s">
        <v>87</v>
      </c>
      <c r="J19" s="212" t="s">
        <v>5</v>
      </c>
      <c r="K19" s="213" t="s">
        <v>16</v>
      </c>
      <c r="L19" s="212" t="s">
        <v>67</v>
      </c>
      <c r="M19" s="239" t="s">
        <v>40399</v>
      </c>
      <c r="N19" s="212"/>
      <c r="O19" s="212"/>
      <c r="P19" s="212"/>
      <c r="Q19" s="239" t="s">
        <v>40400</v>
      </c>
      <c r="R19" s="239" t="s">
        <v>40401</v>
      </c>
      <c r="S19" s="239" t="s">
        <v>38296</v>
      </c>
      <c r="T19" s="239" t="s">
        <v>40351</v>
      </c>
      <c r="U19" s="239" t="s">
        <v>40351</v>
      </c>
      <c r="V19" s="239" t="s">
        <v>40351</v>
      </c>
      <c r="W19" s="239" t="s">
        <v>40351</v>
      </c>
      <c r="X19" s="239" t="s">
        <v>40351</v>
      </c>
      <c r="Y19" s="240">
        <v>97484</v>
      </c>
      <c r="Z19" s="244"/>
      <c r="AA19" s="239" t="s">
        <v>40351</v>
      </c>
      <c r="AB19" s="240">
        <v>389937</v>
      </c>
      <c r="AC19" s="244"/>
      <c r="AD19" s="239" t="s">
        <v>40351</v>
      </c>
      <c r="AE19" s="239" t="s">
        <v>40351</v>
      </c>
      <c r="AF19" s="241">
        <f>SUM(Tabela96[[#This Row], [jan/26]:[dez/26]])</f>
      </c>
      <c r="AG19" s="239" t="s">
        <v>40351</v>
      </c>
      <c r="AH19" s="240">
        <v>0</v>
      </c>
      <c r="AI19" s="240">
        <v>0</v>
      </c>
      <c r="AJ19" s="240">
        <v>0</v>
      </c>
      <c r="AK19" s="240">
        <f>SUM(Tabela96[[#This Row], [2026]:[2030]])</f>
      </c>
      <c r="AL19" s="240">
        <v>0</v>
      </c>
      <c r="AM19" s="240">
        <v>0</v>
      </c>
      <c r="AN19" s="240">
        <v>0</v>
      </c>
      <c r="AO19" s="240">
        <v>0</v>
      </c>
      <c r="AP19" s="240">
        <v>0</v>
      </c>
      <c r="AQ19" s="242">
        <f>SUM(Tabela96[[#This Row], [2026-2030]:[2035]])</f>
      </c>
      <c r="AR19" s="1"/>
      <c r="AS19" s="239" t="s">
        <v>40352</v>
      </c>
      <c r="AT19" s="243">
        <v>2025</v>
      </c>
      <c r="AU19" s="239" t="s">
        <v>40402</v>
      </c>
      <c r="AV19" s="3" t="s">
        <v>40397</v>
      </c>
      <c r="AW19" s="239" t="s">
        <v>46</v>
      </c>
      <c r="AX19" s="2"/>
      <c r="AY19" s="2"/>
      <c r="AZ19" s="239" t="s">
        <v>40398</v>
      </c>
    </row>
    <row x14ac:dyDescent="0.25" r="20" customHeight="1" ht="24.75">
      <c r="A20" s="1"/>
      <c r="B20" s="237">
        <f>AND(ISTEXT('Consolidado-Eletronorte'!#REF!),SUM('Consolidado-Eletronorte'!#REF!)&gt;0)</f>
      </c>
      <c r="C20" s="238">
        <f>INDIRECT(SUBSTITUTE($J29&amp;$K29," ",""))</f>
      </c>
      <c r="D20" s="238">
        <f>$H$3</f>
      </c>
      <c r="E20" s="238">
        <f>$H$4</f>
      </c>
      <c r="F20" s="210"/>
      <c r="G20" s="238">
        <f>_xlfn.CONCAT('Consolidado-Eletronorte'!#REF!,"_",ROW('Consolidado-Eletronorte'!#REF!)-ROW('Consolidado-Eletronorte'!$G$18))</f>
      </c>
      <c r="H20" s="212" t="s">
        <v>10</v>
      </c>
      <c r="I20" s="212" t="s">
        <v>87</v>
      </c>
      <c r="J20" s="212" t="s">
        <v>5</v>
      </c>
      <c r="K20" s="213" t="s">
        <v>16</v>
      </c>
      <c r="L20" s="212" t="s">
        <v>67</v>
      </c>
      <c r="M20" s="239" t="s">
        <v>40403</v>
      </c>
      <c r="N20" s="212"/>
      <c r="O20" s="212"/>
      <c r="P20" s="212"/>
      <c r="Q20" s="239" t="s">
        <v>40404</v>
      </c>
      <c r="R20" s="239" t="s">
        <v>40405</v>
      </c>
      <c r="S20" s="239" t="s">
        <v>38296</v>
      </c>
      <c r="T20" s="239" t="s">
        <v>40351</v>
      </c>
      <c r="U20" s="239" t="s">
        <v>40351</v>
      </c>
      <c r="V20" s="239" t="s">
        <v>40351</v>
      </c>
      <c r="W20" s="239" t="s">
        <v>40351</v>
      </c>
      <c r="X20" s="239" t="s">
        <v>40351</v>
      </c>
      <c r="Y20" s="240">
        <v>75676</v>
      </c>
      <c r="Z20" s="244"/>
      <c r="AA20" s="239" t="s">
        <v>40351</v>
      </c>
      <c r="AB20" s="240">
        <v>302707</v>
      </c>
      <c r="AC20" s="244"/>
      <c r="AD20" s="239" t="s">
        <v>40351</v>
      </c>
      <c r="AE20" s="239" t="s">
        <v>40351</v>
      </c>
      <c r="AF20" s="241">
        <f>SUM(Tabela96[[#This Row], [jan/26]:[dez/26]])</f>
      </c>
      <c r="AG20" s="239" t="s">
        <v>40351</v>
      </c>
      <c r="AH20" s="240">
        <v>0</v>
      </c>
      <c r="AI20" s="240">
        <v>0</v>
      </c>
      <c r="AJ20" s="240">
        <v>0</v>
      </c>
      <c r="AK20" s="240">
        <f>SUM(Tabela96[[#This Row], [2026]:[2030]])</f>
      </c>
      <c r="AL20" s="240">
        <v>0</v>
      </c>
      <c r="AM20" s="240">
        <v>0</v>
      </c>
      <c r="AN20" s="240">
        <v>0</v>
      </c>
      <c r="AO20" s="240">
        <v>0</v>
      </c>
      <c r="AP20" s="240">
        <v>0</v>
      </c>
      <c r="AQ20" s="242">
        <f>SUM(Tabela96[[#This Row], [2026-2030]:[2035]])</f>
      </c>
      <c r="AR20" s="1"/>
      <c r="AS20" s="239" t="s">
        <v>40352</v>
      </c>
      <c r="AT20" s="243">
        <v>2025</v>
      </c>
      <c r="AU20" s="239" t="s">
        <v>40406</v>
      </c>
      <c r="AV20" s="3" t="s">
        <v>40397</v>
      </c>
      <c r="AW20" s="239" t="s">
        <v>46</v>
      </c>
      <c r="AX20" s="2"/>
      <c r="AY20" s="2"/>
      <c r="AZ20" s="239" t="s">
        <v>40398</v>
      </c>
    </row>
    <row x14ac:dyDescent="0.25" r="21" customHeight="1" ht="24.75">
      <c r="A21" s="1"/>
      <c r="B21" s="237">
        <f>AND(ISTEXT('Consolidado-Eletronorte'!#REF!),SUM('Consolidado-Eletronorte'!#REF!)&gt;0)</f>
      </c>
      <c r="C21" s="238">
        <f>INDIRECT(SUBSTITUTE($J30&amp;$K30," ",""))</f>
      </c>
      <c r="D21" s="238">
        <f>$H$3</f>
      </c>
      <c r="E21" s="238">
        <f>$H$4</f>
      </c>
      <c r="F21" s="210"/>
      <c r="G21" s="238">
        <f>_xlfn.CONCAT('Consolidado-Eletronorte'!#REF!,"_",ROW('Consolidado-Eletronorte'!#REF!)-ROW('Consolidado-Eletronorte'!$G$18))</f>
      </c>
      <c r="H21" s="212" t="s">
        <v>10</v>
      </c>
      <c r="I21" s="212" t="s">
        <v>87</v>
      </c>
      <c r="J21" s="212" t="s">
        <v>5</v>
      </c>
      <c r="K21" s="213" t="s">
        <v>16</v>
      </c>
      <c r="L21" s="212" t="s">
        <v>67</v>
      </c>
      <c r="M21" s="239" t="s">
        <v>40407</v>
      </c>
      <c r="N21" s="212"/>
      <c r="O21" s="212"/>
      <c r="P21" s="212"/>
      <c r="Q21" s="239" t="s">
        <v>40408</v>
      </c>
      <c r="R21" s="239" t="s">
        <v>40409</v>
      </c>
      <c r="S21" s="239" t="s">
        <v>38296</v>
      </c>
      <c r="T21" s="239" t="s">
        <v>40351</v>
      </c>
      <c r="U21" s="239" t="s">
        <v>40351</v>
      </c>
      <c r="V21" s="239" t="s">
        <v>40351</v>
      </c>
      <c r="W21" s="239" t="s">
        <v>40351</v>
      </c>
      <c r="X21" s="239" t="s">
        <v>40351</v>
      </c>
      <c r="Y21" s="240">
        <v>74508</v>
      </c>
      <c r="Z21" s="244"/>
      <c r="AA21" s="239" t="s">
        <v>40351</v>
      </c>
      <c r="AB21" s="240">
        <v>298034</v>
      </c>
      <c r="AC21" s="244"/>
      <c r="AD21" s="239" t="s">
        <v>40351</v>
      </c>
      <c r="AE21" s="239" t="s">
        <v>40351</v>
      </c>
      <c r="AF21" s="241">
        <f>SUM(Tabela96[[#This Row], [jan/26]:[dez/26]])</f>
      </c>
      <c r="AG21" s="239" t="s">
        <v>40351</v>
      </c>
      <c r="AH21" s="240">
        <v>0</v>
      </c>
      <c r="AI21" s="240">
        <v>0</v>
      </c>
      <c r="AJ21" s="240">
        <v>0</v>
      </c>
      <c r="AK21" s="240">
        <f>SUM(Tabela96[[#This Row], [2026]:[2030]])</f>
      </c>
      <c r="AL21" s="240">
        <v>0</v>
      </c>
      <c r="AM21" s="240">
        <v>0</v>
      </c>
      <c r="AN21" s="240">
        <v>0</v>
      </c>
      <c r="AO21" s="240">
        <v>0</v>
      </c>
      <c r="AP21" s="240">
        <v>0</v>
      </c>
      <c r="AQ21" s="242">
        <f>SUM(Tabela96[[#This Row], [2026-2030]:[2035]])</f>
      </c>
      <c r="AR21" s="1"/>
      <c r="AS21" s="239" t="s">
        <v>40352</v>
      </c>
      <c r="AT21" s="243">
        <v>2025</v>
      </c>
      <c r="AU21" s="239" t="s">
        <v>40410</v>
      </c>
      <c r="AV21" s="3" t="s">
        <v>40397</v>
      </c>
      <c r="AW21" s="239" t="s">
        <v>46</v>
      </c>
      <c r="AX21" s="2"/>
      <c r="AY21" s="2"/>
      <c r="AZ21" s="239" t="s">
        <v>40398</v>
      </c>
    </row>
    <row x14ac:dyDescent="0.25" r="22" customHeight="1" ht="24.75">
      <c r="A22" s="1"/>
      <c r="B22" s="237">
        <f>AND(ISTEXT('Consolidado-Eletronorte'!#REF!),SUM('Consolidado-Eletronorte'!#REF!)&gt;0)</f>
      </c>
      <c r="C22" s="238">
        <f>INDIRECT(SUBSTITUTE($J31&amp;$K31," ",""))</f>
      </c>
      <c r="D22" s="238">
        <f>$H$3</f>
      </c>
      <c r="E22" s="238">
        <f>$H$4</f>
      </c>
      <c r="F22" s="210"/>
      <c r="G22" s="238">
        <f>_xlfn.CONCAT('Consolidado-Eletronorte'!#REF!,"_",ROW('Consolidado-Eletronorte'!#REF!)-ROW('Consolidado-Eletronorte'!$G$18))</f>
      </c>
      <c r="H22" s="212" t="s">
        <v>10</v>
      </c>
      <c r="I22" s="212" t="s">
        <v>87</v>
      </c>
      <c r="J22" s="212" t="s">
        <v>5</v>
      </c>
      <c r="K22" s="213" t="s">
        <v>16</v>
      </c>
      <c r="L22" s="212" t="s">
        <v>67</v>
      </c>
      <c r="M22" s="239" t="s">
        <v>40411</v>
      </c>
      <c r="N22" s="212"/>
      <c r="O22" s="212"/>
      <c r="P22" s="212"/>
      <c r="Q22" s="239" t="s">
        <v>40412</v>
      </c>
      <c r="R22" s="239" t="s">
        <v>40401</v>
      </c>
      <c r="S22" s="239" t="s">
        <v>38296</v>
      </c>
      <c r="T22" s="239" t="s">
        <v>40351</v>
      </c>
      <c r="U22" s="239" t="s">
        <v>40351</v>
      </c>
      <c r="V22" s="239" t="s">
        <v>40351</v>
      </c>
      <c r="W22" s="239" t="s">
        <v>40351</v>
      </c>
      <c r="X22" s="239" t="s">
        <v>40351</v>
      </c>
      <c r="Y22" s="240">
        <v>97484</v>
      </c>
      <c r="Z22" s="244"/>
      <c r="AA22" s="239" t="s">
        <v>40351</v>
      </c>
      <c r="AB22" s="239" t="s">
        <v>40351</v>
      </c>
      <c r="AC22" s="239" t="s">
        <v>40351</v>
      </c>
      <c r="AD22" s="239" t="s">
        <v>40351</v>
      </c>
      <c r="AE22" s="239" t="s">
        <v>40351</v>
      </c>
      <c r="AF22" s="241">
        <f>SUM(Tabela96[[#This Row], [jan/26]:[dez/26]])</f>
      </c>
      <c r="AG22" s="240">
        <v>389937</v>
      </c>
      <c r="AH22" s="240">
        <v>0</v>
      </c>
      <c r="AI22" s="240">
        <v>0</v>
      </c>
      <c r="AJ22" s="240">
        <v>0</v>
      </c>
      <c r="AK22" s="240">
        <f>SUM(Tabela96[[#This Row], [2026]:[2030]])</f>
      </c>
      <c r="AL22" s="240">
        <v>0</v>
      </c>
      <c r="AM22" s="240">
        <v>0</v>
      </c>
      <c r="AN22" s="240">
        <v>0</v>
      </c>
      <c r="AO22" s="240">
        <v>0</v>
      </c>
      <c r="AP22" s="240">
        <v>0</v>
      </c>
      <c r="AQ22" s="242">
        <f>SUM(Tabela96[[#This Row], [2026-2030]:[2035]])</f>
      </c>
      <c r="AR22" s="1"/>
      <c r="AS22" s="239" t="s">
        <v>40352</v>
      </c>
      <c r="AT22" s="243">
        <v>2025</v>
      </c>
      <c r="AU22" s="239" t="s">
        <v>40413</v>
      </c>
      <c r="AV22" s="3" t="s">
        <v>40397</v>
      </c>
      <c r="AW22" s="239" t="s">
        <v>46</v>
      </c>
      <c r="AX22" s="2"/>
      <c r="AY22" s="2"/>
      <c r="AZ22" s="239" t="s">
        <v>40398</v>
      </c>
    </row>
    <row x14ac:dyDescent="0.25" r="23" customHeight="1" ht="24.75">
      <c r="A23" s="1"/>
      <c r="B23" s="237">
        <f>AND(ISTEXT('Consolidado-Eletronorte'!#REF!),SUM('Consolidado-Eletronorte'!#REF!)&gt;0)</f>
      </c>
      <c r="C23" s="238">
        <f>INDIRECT(SUBSTITUTE($J32&amp;$K32," ",""))</f>
      </c>
      <c r="D23" s="238">
        <f>$H$3</f>
      </c>
      <c r="E23" s="238">
        <f>$H$4</f>
      </c>
      <c r="F23" s="210"/>
      <c r="G23" s="238">
        <f>_xlfn.CONCAT('Consolidado-Eletronorte'!#REF!,"_",ROW('Consolidado-Eletronorte'!#REF!)-ROW('Consolidado-Eletronorte'!$G$18))</f>
      </c>
      <c r="H23" s="212" t="s">
        <v>10</v>
      </c>
      <c r="I23" s="212" t="s">
        <v>87</v>
      </c>
      <c r="J23" s="212" t="s">
        <v>5</v>
      </c>
      <c r="K23" s="213" t="s">
        <v>16</v>
      </c>
      <c r="L23" s="212" t="s">
        <v>67</v>
      </c>
      <c r="M23" s="239" t="s">
        <v>40414</v>
      </c>
      <c r="N23" s="212"/>
      <c r="O23" s="212"/>
      <c r="P23" s="212"/>
      <c r="Q23" s="239" t="s">
        <v>40415</v>
      </c>
      <c r="R23" s="239" t="s">
        <v>40405</v>
      </c>
      <c r="S23" s="239" t="s">
        <v>38296</v>
      </c>
      <c r="T23" s="239" t="s">
        <v>40351</v>
      </c>
      <c r="U23" s="239" t="s">
        <v>40351</v>
      </c>
      <c r="V23" s="239" t="s">
        <v>40351</v>
      </c>
      <c r="W23" s="239" t="s">
        <v>40351</v>
      </c>
      <c r="X23" s="239" t="s">
        <v>40351</v>
      </c>
      <c r="Y23" s="240">
        <v>75676</v>
      </c>
      <c r="Z23" s="244"/>
      <c r="AA23" s="239" t="s">
        <v>40351</v>
      </c>
      <c r="AB23" s="239" t="s">
        <v>40351</v>
      </c>
      <c r="AC23" s="239" t="s">
        <v>40351</v>
      </c>
      <c r="AD23" s="239" t="s">
        <v>40351</v>
      </c>
      <c r="AE23" s="239" t="s">
        <v>40351</v>
      </c>
      <c r="AF23" s="241">
        <f>SUM(Tabela96[[#This Row], [jan/26]:[dez/26]])</f>
      </c>
      <c r="AG23" s="240">
        <v>302707</v>
      </c>
      <c r="AH23" s="240">
        <v>0</v>
      </c>
      <c r="AI23" s="240">
        <v>0</v>
      </c>
      <c r="AJ23" s="240">
        <v>0</v>
      </c>
      <c r="AK23" s="240">
        <f>SUM(Tabela96[[#This Row], [2026]:[2030]])</f>
      </c>
      <c r="AL23" s="240">
        <v>0</v>
      </c>
      <c r="AM23" s="240">
        <v>0</v>
      </c>
      <c r="AN23" s="240">
        <v>0</v>
      </c>
      <c r="AO23" s="240">
        <v>0</v>
      </c>
      <c r="AP23" s="240">
        <v>0</v>
      </c>
      <c r="AQ23" s="242">
        <f>SUM(Tabela96[[#This Row], [2026-2030]:[2035]])</f>
      </c>
      <c r="AR23" s="1"/>
      <c r="AS23" s="239" t="s">
        <v>40352</v>
      </c>
      <c r="AT23" s="243">
        <v>2025</v>
      </c>
      <c r="AU23" s="239" t="s">
        <v>40416</v>
      </c>
      <c r="AV23" s="3" t="s">
        <v>40397</v>
      </c>
      <c r="AW23" s="239" t="s">
        <v>46</v>
      </c>
      <c r="AX23" s="2"/>
      <c r="AY23" s="2"/>
      <c r="AZ23" s="239" t="s">
        <v>40398</v>
      </c>
    </row>
    <row x14ac:dyDescent="0.25" r="24" customHeight="1" ht="24.75">
      <c r="A24" s="1"/>
      <c r="B24" s="237">
        <f>AND(ISTEXT('Consolidado-Eletronorte'!#REF!),SUM('Consolidado-Eletronorte'!#REF!)&gt;0)</f>
      </c>
      <c r="C24" s="238">
        <f>INDIRECT(SUBSTITUTE($J33&amp;$K33," ",""))</f>
      </c>
      <c r="D24" s="238">
        <f>$H$3</f>
      </c>
      <c r="E24" s="238">
        <f>$H$4</f>
      </c>
      <c r="F24" s="210"/>
      <c r="G24" s="238">
        <f>_xlfn.CONCAT('Consolidado-Eletronorte'!#REF!,"_",ROW('Consolidado-Eletronorte'!#REF!)-ROW('Consolidado-Eletronorte'!$G$18))</f>
      </c>
      <c r="H24" s="212" t="s">
        <v>10</v>
      </c>
      <c r="I24" s="212" t="s">
        <v>87</v>
      </c>
      <c r="J24" s="212" t="s">
        <v>5</v>
      </c>
      <c r="K24" s="213" t="s">
        <v>16</v>
      </c>
      <c r="L24" s="212" t="s">
        <v>67</v>
      </c>
      <c r="M24" s="239" t="s">
        <v>40417</v>
      </c>
      <c r="N24" s="212"/>
      <c r="O24" s="212"/>
      <c r="P24" s="212"/>
      <c r="Q24" s="239" t="s">
        <v>40418</v>
      </c>
      <c r="R24" s="239" t="s">
        <v>40409</v>
      </c>
      <c r="S24" s="239" t="s">
        <v>38296</v>
      </c>
      <c r="T24" s="239" t="s">
        <v>40351</v>
      </c>
      <c r="U24" s="239" t="s">
        <v>40351</v>
      </c>
      <c r="V24" s="239" t="s">
        <v>40351</v>
      </c>
      <c r="W24" s="239" t="s">
        <v>40351</v>
      </c>
      <c r="X24" s="239" t="s">
        <v>40351</v>
      </c>
      <c r="Y24" s="240">
        <v>74508</v>
      </c>
      <c r="Z24" s="244"/>
      <c r="AA24" s="239" t="s">
        <v>40351</v>
      </c>
      <c r="AB24" s="239" t="s">
        <v>40351</v>
      </c>
      <c r="AC24" s="239" t="s">
        <v>40351</v>
      </c>
      <c r="AD24" s="239" t="s">
        <v>40351</v>
      </c>
      <c r="AE24" s="239" t="s">
        <v>40351</v>
      </c>
      <c r="AF24" s="241">
        <f>SUM(Tabela96[[#This Row], [jan/26]:[dez/26]])</f>
      </c>
      <c r="AG24" s="240">
        <v>298034</v>
      </c>
      <c r="AH24" s="240">
        <v>0</v>
      </c>
      <c r="AI24" s="240">
        <v>0</v>
      </c>
      <c r="AJ24" s="240">
        <v>0</v>
      </c>
      <c r="AK24" s="240">
        <f>SUM(Tabela96[[#This Row], [2026]:[2030]])</f>
      </c>
      <c r="AL24" s="240">
        <v>0</v>
      </c>
      <c r="AM24" s="240">
        <v>0</v>
      </c>
      <c r="AN24" s="240">
        <v>0</v>
      </c>
      <c r="AO24" s="240">
        <v>0</v>
      </c>
      <c r="AP24" s="240">
        <v>0</v>
      </c>
      <c r="AQ24" s="242">
        <f>SUM(Tabela96[[#This Row], [2026-2030]:[2035]])</f>
      </c>
      <c r="AR24" s="1"/>
      <c r="AS24" s="239" t="s">
        <v>40352</v>
      </c>
      <c r="AT24" s="243">
        <v>2025</v>
      </c>
      <c r="AU24" s="239" t="s">
        <v>40419</v>
      </c>
      <c r="AV24" s="3" t="s">
        <v>40397</v>
      </c>
      <c r="AW24" s="239" t="s">
        <v>46</v>
      </c>
      <c r="AX24" s="2"/>
      <c r="AY24" s="2"/>
      <c r="AZ24" s="239" t="s">
        <v>40398</v>
      </c>
    </row>
    <row x14ac:dyDescent="0.25" r="25" customHeight="1" ht="24.75">
      <c r="A25" s="1"/>
      <c r="B25" s="237">
        <f>AND(ISTEXT('Consolidado-Eletronorte'!#REF!),SUM('Consolidado-Eletronorte'!#REF!)&gt;0)</f>
      </c>
      <c r="C25" s="238">
        <f>INDIRECT(SUBSTITUTE($J34&amp;$K34," ",""))</f>
      </c>
      <c r="D25" s="238">
        <f>$H$3</f>
      </c>
      <c r="E25" s="238">
        <f>$H$4</f>
      </c>
      <c r="F25" s="210"/>
      <c r="G25" s="238">
        <f>_xlfn.CONCAT('Consolidado-Eletronorte'!#REF!,"_",ROW('Consolidado-Eletronorte'!#REF!)-ROW('Consolidado-Eletronorte'!$G$18))</f>
      </c>
      <c r="H25" s="212" t="s">
        <v>10</v>
      </c>
      <c r="I25" s="212" t="s">
        <v>87</v>
      </c>
      <c r="J25" s="212" t="s">
        <v>5</v>
      </c>
      <c r="K25" s="213" t="s">
        <v>16</v>
      </c>
      <c r="L25" s="212" t="s">
        <v>67</v>
      </c>
      <c r="M25" s="239" t="s">
        <v>40420</v>
      </c>
      <c r="N25" s="212"/>
      <c r="O25" s="212"/>
      <c r="P25" s="212"/>
      <c r="Q25" s="239" t="s">
        <v>40421</v>
      </c>
      <c r="R25" s="239" t="s">
        <v>40395</v>
      </c>
      <c r="S25" s="239" t="s">
        <v>38290</v>
      </c>
      <c r="T25" s="240">
        <v>78440</v>
      </c>
      <c r="U25" s="240">
        <v>92700</v>
      </c>
      <c r="V25" s="240">
        <v>298318</v>
      </c>
      <c r="W25" s="240">
        <v>37289</v>
      </c>
      <c r="X25" s="244"/>
      <c r="Y25" s="239" t="s">
        <v>40351</v>
      </c>
      <c r="Z25" s="239" t="s">
        <v>40351</v>
      </c>
      <c r="AA25" s="239" t="s">
        <v>40351</v>
      </c>
      <c r="AB25" s="239" t="s">
        <v>40351</v>
      </c>
      <c r="AC25" s="239" t="s">
        <v>40351</v>
      </c>
      <c r="AD25" s="239" t="s">
        <v>40351</v>
      </c>
      <c r="AE25" s="239" t="s">
        <v>40351</v>
      </c>
      <c r="AF25" s="241">
        <f>SUM(Tabela96[[#This Row], [jan/26]:[dez/26]])</f>
      </c>
      <c r="AG25" s="240">
        <v>410187</v>
      </c>
      <c r="AH25" s="240">
        <v>0</v>
      </c>
      <c r="AI25" s="240">
        <v>0</v>
      </c>
      <c r="AJ25" s="240">
        <v>0</v>
      </c>
      <c r="AK25" s="240">
        <f>SUM(Tabela96[[#This Row], [2026]:[2030]])</f>
      </c>
      <c r="AL25" s="240">
        <v>0</v>
      </c>
      <c r="AM25" s="240">
        <v>0</v>
      </c>
      <c r="AN25" s="240">
        <v>0</v>
      </c>
      <c r="AO25" s="240">
        <v>0</v>
      </c>
      <c r="AP25" s="240">
        <v>0</v>
      </c>
      <c r="AQ25" s="242">
        <f>SUM(Tabela96[[#This Row], [2026-2030]:[2035]])</f>
      </c>
      <c r="AR25" s="1"/>
      <c r="AS25" s="239" t="s">
        <v>40352</v>
      </c>
      <c r="AT25" s="243">
        <v>2025</v>
      </c>
      <c r="AU25" s="239" t="s">
        <v>40422</v>
      </c>
      <c r="AV25" s="3" t="s">
        <v>40423</v>
      </c>
      <c r="AW25" s="239" t="s">
        <v>46</v>
      </c>
      <c r="AX25" s="2"/>
      <c r="AY25" s="2"/>
      <c r="AZ25" s="239" t="s">
        <v>40398</v>
      </c>
    </row>
    <row x14ac:dyDescent="0.25" r="26" customHeight="1" ht="24.75">
      <c r="A26" s="1"/>
      <c r="B26" s="237">
        <f>AND(ISTEXT('Consolidado-Eletronorte'!#REF!),SUM('Consolidado-Eletronorte'!#REF!)&gt;0)</f>
      </c>
      <c r="C26" s="238">
        <f>INDIRECT(SUBSTITUTE($J35&amp;$K35," ",""))</f>
      </c>
      <c r="D26" s="238">
        <f>$H$3</f>
      </c>
      <c r="E26" s="238">
        <f>$H$4</f>
      </c>
      <c r="F26" s="210"/>
      <c r="G26" s="238">
        <f>_xlfn.CONCAT('Consolidado-Eletronorte'!#REF!,"_",ROW('Consolidado-Eletronorte'!#REF!)-ROW('Consolidado-Eletronorte'!$G$18))</f>
      </c>
      <c r="H26" s="212" t="s">
        <v>10</v>
      </c>
      <c r="I26" s="212" t="s">
        <v>87</v>
      </c>
      <c r="J26" s="212" t="s">
        <v>5</v>
      </c>
      <c r="K26" s="213" t="s">
        <v>16</v>
      </c>
      <c r="L26" s="212" t="s">
        <v>67</v>
      </c>
      <c r="M26" s="239" t="s">
        <v>40424</v>
      </c>
      <c r="N26" s="212"/>
      <c r="O26" s="212"/>
      <c r="P26" s="212"/>
      <c r="Q26" s="239" t="s">
        <v>40425</v>
      </c>
      <c r="R26" s="239" t="s">
        <v>40401</v>
      </c>
      <c r="S26" s="239" t="s">
        <v>38290</v>
      </c>
      <c r="T26" s="240">
        <v>183148</v>
      </c>
      <c r="U26" s="240">
        <v>183148</v>
      </c>
      <c r="V26" s="239" t="s">
        <v>40351</v>
      </c>
      <c r="W26" s="239" t="s">
        <v>40351</v>
      </c>
      <c r="X26" s="239" t="s">
        <v>40351</v>
      </c>
      <c r="Y26" s="239" t="s">
        <v>40351</v>
      </c>
      <c r="Z26" s="239" t="s">
        <v>40351</v>
      </c>
      <c r="AA26" s="239" t="s">
        <v>40351</v>
      </c>
      <c r="AB26" s="239" t="s">
        <v>40351</v>
      </c>
      <c r="AC26" s="239" t="s">
        <v>40351</v>
      </c>
      <c r="AD26" s="239" t="s">
        <v>40351</v>
      </c>
      <c r="AE26" s="239" t="s">
        <v>40351</v>
      </c>
      <c r="AF26" s="241">
        <f>SUM(Tabela96[[#This Row], [jan/26]:[dez/26]])</f>
      </c>
      <c r="AG26" s="240"/>
      <c r="AH26" s="240">
        <v>0</v>
      </c>
      <c r="AI26" s="240">
        <v>0</v>
      </c>
      <c r="AJ26" s="240">
        <v>0</v>
      </c>
      <c r="AK26" s="240">
        <f>SUM(Tabela96[[#This Row], [2026]:[2030]])</f>
      </c>
      <c r="AL26" s="240">
        <v>0</v>
      </c>
      <c r="AM26" s="240">
        <v>0</v>
      </c>
      <c r="AN26" s="240">
        <v>0</v>
      </c>
      <c r="AO26" s="240">
        <v>0</v>
      </c>
      <c r="AP26" s="240">
        <v>0</v>
      </c>
      <c r="AQ26" s="242">
        <f>SUM(Tabela96[[#This Row], [2026-2030]:[2035]])</f>
      </c>
      <c r="AR26" s="1"/>
      <c r="AS26" s="239" t="s">
        <v>40352</v>
      </c>
      <c r="AT26" s="243">
        <v>2025</v>
      </c>
      <c r="AU26" s="239" t="s">
        <v>40426</v>
      </c>
      <c r="AV26" s="3" t="s">
        <v>40423</v>
      </c>
      <c r="AW26" s="239" t="s">
        <v>46</v>
      </c>
      <c r="AX26" s="2"/>
      <c r="AY26" s="2"/>
      <c r="AZ26" s="239" t="s">
        <v>40398</v>
      </c>
    </row>
    <row x14ac:dyDescent="0.25" r="27" customHeight="1" ht="24.75">
      <c r="A27" s="1"/>
      <c r="B27" s="237">
        <f>AND(ISTEXT('Consolidado-Eletronorte'!#REF!),SUM('Consolidado-Eletronorte'!#REF!)&gt;0)</f>
      </c>
      <c r="C27" s="238">
        <f>INDIRECT(SUBSTITUTE($J36&amp;$K36," ",""))</f>
      </c>
      <c r="D27" s="238">
        <f>$H$3</f>
      </c>
      <c r="E27" s="238">
        <f>$H$4</f>
      </c>
      <c r="F27" s="210"/>
      <c r="G27" s="238">
        <f>_xlfn.CONCAT('Consolidado-Eletronorte'!#REF!,"_",ROW('Consolidado-Eletronorte'!#REF!)-ROW('Consolidado-Eletronorte'!$G$18))</f>
      </c>
      <c r="H27" s="212" t="s">
        <v>10</v>
      </c>
      <c r="I27" s="212" t="s">
        <v>87</v>
      </c>
      <c r="J27" s="212" t="s">
        <v>5</v>
      </c>
      <c r="K27" s="213" t="s">
        <v>16</v>
      </c>
      <c r="L27" s="212" t="s">
        <v>67</v>
      </c>
      <c r="M27" s="239" t="s">
        <v>40427</v>
      </c>
      <c r="N27" s="212"/>
      <c r="O27" s="212"/>
      <c r="P27" s="212"/>
      <c r="Q27" s="239" t="s">
        <v>40428</v>
      </c>
      <c r="R27" s="239" t="s">
        <v>40405</v>
      </c>
      <c r="S27" s="239" t="s">
        <v>38290</v>
      </c>
      <c r="T27" s="240">
        <v>136594</v>
      </c>
      <c r="U27" s="240">
        <v>136594</v>
      </c>
      <c r="V27" s="239" t="s">
        <v>40351</v>
      </c>
      <c r="W27" s="239" t="s">
        <v>40351</v>
      </c>
      <c r="X27" s="239" t="s">
        <v>40351</v>
      </c>
      <c r="Y27" s="239" t="s">
        <v>40351</v>
      </c>
      <c r="Z27" s="239" t="s">
        <v>40351</v>
      </c>
      <c r="AA27" s="239" t="s">
        <v>40351</v>
      </c>
      <c r="AB27" s="239" t="s">
        <v>40351</v>
      </c>
      <c r="AC27" s="239" t="s">
        <v>40351</v>
      </c>
      <c r="AD27" s="239" t="s">
        <v>40351</v>
      </c>
      <c r="AE27" s="239" t="s">
        <v>40351</v>
      </c>
      <c r="AF27" s="241">
        <f>SUM(Tabela96[[#This Row], [jan/26]:[dez/26]])</f>
      </c>
      <c r="AG27" s="240"/>
      <c r="AH27" s="240">
        <v>0</v>
      </c>
      <c r="AI27" s="240">
        <v>0</v>
      </c>
      <c r="AJ27" s="240">
        <v>0</v>
      </c>
      <c r="AK27" s="240">
        <f>SUM(Tabela96[[#This Row], [2026]:[2030]])</f>
      </c>
      <c r="AL27" s="240">
        <v>0</v>
      </c>
      <c r="AM27" s="240">
        <v>0</v>
      </c>
      <c r="AN27" s="240">
        <v>0</v>
      </c>
      <c r="AO27" s="240">
        <v>0</v>
      </c>
      <c r="AP27" s="240">
        <v>0</v>
      </c>
      <c r="AQ27" s="242">
        <f>SUM(Tabela96[[#This Row], [2026-2030]:[2035]])</f>
      </c>
      <c r="AR27" s="1"/>
      <c r="AS27" s="239" t="s">
        <v>40352</v>
      </c>
      <c r="AT27" s="243">
        <v>2025</v>
      </c>
      <c r="AU27" s="239" t="s">
        <v>40429</v>
      </c>
      <c r="AV27" s="3" t="s">
        <v>40423</v>
      </c>
      <c r="AW27" s="239" t="s">
        <v>46</v>
      </c>
      <c r="AX27" s="2"/>
      <c r="AY27" s="2"/>
      <c r="AZ27" s="239" t="s">
        <v>40398</v>
      </c>
    </row>
    <row x14ac:dyDescent="0.25" r="28" customHeight="1" ht="24.75">
      <c r="A28" s="1"/>
      <c r="B28" s="237">
        <f>AND(ISTEXT('Consolidado-Eletronorte'!#REF!),SUM('Consolidado-Eletronorte'!#REF!)&gt;0)</f>
      </c>
      <c r="C28" s="238">
        <f>INDIRECT(SUBSTITUTE($J37&amp;$K37," ",""))</f>
      </c>
      <c r="D28" s="238">
        <f>$H$3</f>
      </c>
      <c r="E28" s="238">
        <f>$H$4</f>
      </c>
      <c r="F28" s="210"/>
      <c r="G28" s="238">
        <f>_xlfn.CONCAT('Consolidado-Eletronorte'!#REF!,"_",ROW('Consolidado-Eletronorte'!#REF!)-ROW('Consolidado-Eletronorte'!$G$18))</f>
      </c>
      <c r="H28" s="212" t="s">
        <v>10</v>
      </c>
      <c r="I28" s="212" t="s">
        <v>87</v>
      </c>
      <c r="J28" s="212" t="s">
        <v>5</v>
      </c>
      <c r="K28" s="213" t="s">
        <v>16</v>
      </c>
      <c r="L28" s="212" t="s">
        <v>67</v>
      </c>
      <c r="M28" s="239" t="s">
        <v>40430</v>
      </c>
      <c r="N28" s="212"/>
      <c r="O28" s="212"/>
      <c r="P28" s="212"/>
      <c r="Q28" s="239" t="s">
        <v>40431</v>
      </c>
      <c r="R28" s="239" t="s">
        <v>40409</v>
      </c>
      <c r="S28" s="239" t="s">
        <v>38290</v>
      </c>
      <c r="T28" s="240">
        <v>139213</v>
      </c>
      <c r="U28" s="240">
        <v>139213</v>
      </c>
      <c r="V28" s="239" t="s">
        <v>40351</v>
      </c>
      <c r="W28" s="239" t="s">
        <v>40351</v>
      </c>
      <c r="X28" s="239" t="s">
        <v>40351</v>
      </c>
      <c r="Y28" s="239" t="s">
        <v>40351</v>
      </c>
      <c r="Z28" s="239" t="s">
        <v>40351</v>
      </c>
      <c r="AA28" s="239" t="s">
        <v>40351</v>
      </c>
      <c r="AB28" s="239" t="s">
        <v>40351</v>
      </c>
      <c r="AC28" s="239" t="s">
        <v>40351</v>
      </c>
      <c r="AD28" s="239" t="s">
        <v>40351</v>
      </c>
      <c r="AE28" s="239" t="s">
        <v>40351</v>
      </c>
      <c r="AF28" s="241">
        <f>SUM(Tabela96[[#This Row], [jan/26]:[dez/26]])</f>
      </c>
      <c r="AG28" s="240"/>
      <c r="AH28" s="240">
        <v>0</v>
      </c>
      <c r="AI28" s="240">
        <v>0</v>
      </c>
      <c r="AJ28" s="240">
        <v>0</v>
      </c>
      <c r="AK28" s="240">
        <f>SUM(Tabela96[[#This Row], [2026]:[2030]])</f>
      </c>
      <c r="AL28" s="240">
        <v>0</v>
      </c>
      <c r="AM28" s="240">
        <v>0</v>
      </c>
      <c r="AN28" s="240">
        <v>0</v>
      </c>
      <c r="AO28" s="240">
        <v>0</v>
      </c>
      <c r="AP28" s="240">
        <v>0</v>
      </c>
      <c r="AQ28" s="242">
        <f>SUM(Tabela96[[#This Row], [2026-2030]:[2035]])</f>
      </c>
      <c r="AR28" s="1"/>
      <c r="AS28" s="239" t="s">
        <v>40352</v>
      </c>
      <c r="AT28" s="243">
        <v>2025</v>
      </c>
      <c r="AU28" s="239" t="s">
        <v>40432</v>
      </c>
      <c r="AV28" s="3" t="s">
        <v>40423</v>
      </c>
      <c r="AW28" s="239" t="s">
        <v>46</v>
      </c>
      <c r="AX28" s="2"/>
      <c r="AY28" s="2"/>
      <c r="AZ28" s="239" t="s">
        <v>40398</v>
      </c>
    </row>
    <row x14ac:dyDescent="0.25" r="29" customHeight="1" ht="24.75">
      <c r="A29" s="1"/>
      <c r="B29" s="237">
        <f>AND(ISTEXT('Consolidado-Eletronorte'!#REF!),SUM('Consolidado-Eletronorte'!#REF!)&gt;0)</f>
      </c>
      <c r="C29" s="238">
        <f>INDIRECT(SUBSTITUTE($J38&amp;$K38," ",""))</f>
      </c>
      <c r="D29" s="238">
        <f>$H$3</f>
      </c>
      <c r="E29" s="238">
        <f>$H$4</f>
      </c>
      <c r="F29" s="210"/>
      <c r="G29" s="238">
        <f>_xlfn.CONCAT('Consolidado-Eletronorte'!#REF!,"_",ROW('Consolidado-Eletronorte'!#REF!)-ROW('Consolidado-Eletronorte'!$G$18))</f>
      </c>
      <c r="H29" s="212" t="s">
        <v>10</v>
      </c>
      <c r="I29" s="212" t="s">
        <v>87</v>
      </c>
      <c r="J29" s="212" t="s">
        <v>5</v>
      </c>
      <c r="K29" s="213" t="s">
        <v>16</v>
      </c>
      <c r="L29" s="212" t="s">
        <v>67</v>
      </c>
      <c r="M29" s="239" t="s">
        <v>40433</v>
      </c>
      <c r="N29" s="212"/>
      <c r="O29" s="212"/>
      <c r="P29" s="212"/>
      <c r="Q29" s="239" t="s">
        <v>40434</v>
      </c>
      <c r="R29" s="239" t="s">
        <v>40401</v>
      </c>
      <c r="S29" s="239" t="s">
        <v>38290</v>
      </c>
      <c r="T29" s="239" t="s">
        <v>40351</v>
      </c>
      <c r="U29" s="239" t="s">
        <v>40351</v>
      </c>
      <c r="V29" s="239" t="s">
        <v>40351</v>
      </c>
      <c r="W29" s="239" t="s">
        <v>40351</v>
      </c>
      <c r="X29" s="239" t="s">
        <v>40351</v>
      </c>
      <c r="Y29" s="239" t="s">
        <v>40351</v>
      </c>
      <c r="Z29" s="239" t="s">
        <v>40351</v>
      </c>
      <c r="AA29" s="239" t="s">
        <v>40351</v>
      </c>
      <c r="AB29" s="239" t="s">
        <v>40351</v>
      </c>
      <c r="AC29" s="239" t="s">
        <v>40351</v>
      </c>
      <c r="AD29" s="239" t="s">
        <v>40351</v>
      </c>
      <c r="AE29" s="239" t="s">
        <v>40351</v>
      </c>
      <c r="AF29" s="241">
        <f>SUM(Tabela96[[#This Row], [jan/26]:[dez/26]])</f>
      </c>
      <c r="AG29" s="240">
        <v>402926.7</v>
      </c>
      <c r="AH29" s="240">
        <v>0</v>
      </c>
      <c r="AI29" s="240">
        <v>0</v>
      </c>
      <c r="AJ29" s="240">
        <v>0</v>
      </c>
      <c r="AK29" s="240">
        <f>SUM(Tabela96[[#This Row], [2026]:[2030]])</f>
      </c>
      <c r="AL29" s="240">
        <v>0</v>
      </c>
      <c r="AM29" s="240">
        <v>0</v>
      </c>
      <c r="AN29" s="240">
        <v>0</v>
      </c>
      <c r="AO29" s="240">
        <v>0</v>
      </c>
      <c r="AP29" s="240">
        <v>0</v>
      </c>
      <c r="AQ29" s="242">
        <f>SUM(Tabela96[[#This Row], [2026-2030]:[2035]])</f>
      </c>
      <c r="AR29" s="1"/>
      <c r="AS29" s="239" t="s">
        <v>40352</v>
      </c>
      <c r="AT29" s="243">
        <v>2025</v>
      </c>
      <c r="AU29" s="239" t="s">
        <v>40435</v>
      </c>
      <c r="AV29" s="3" t="s">
        <v>40423</v>
      </c>
      <c r="AW29" s="239" t="s">
        <v>46</v>
      </c>
      <c r="AX29" s="2"/>
      <c r="AY29" s="2"/>
      <c r="AZ29" s="239" t="s">
        <v>40398</v>
      </c>
    </row>
    <row x14ac:dyDescent="0.25" r="30" customHeight="1" ht="24.75">
      <c r="A30" s="1"/>
      <c r="B30" s="237">
        <f>AND(ISTEXT('Consolidado-Eletronorte'!#REF!),SUM('Consolidado-Eletronorte'!#REF!)&gt;0)</f>
      </c>
      <c r="C30" s="238">
        <f>INDIRECT(SUBSTITUTE($J39&amp;$K39," ",""))</f>
      </c>
      <c r="D30" s="238">
        <f>$H$3</f>
      </c>
      <c r="E30" s="238">
        <f>$H$4</f>
      </c>
      <c r="F30" s="210"/>
      <c r="G30" s="238">
        <f>_xlfn.CONCAT('Consolidado-Eletronorte'!#REF!,"_",ROW('Consolidado-Eletronorte'!#REF!)-ROW('Consolidado-Eletronorte'!$G$18))</f>
      </c>
      <c r="H30" s="212" t="s">
        <v>10</v>
      </c>
      <c r="I30" s="212" t="s">
        <v>87</v>
      </c>
      <c r="J30" s="212" t="s">
        <v>5</v>
      </c>
      <c r="K30" s="213" t="s">
        <v>16</v>
      </c>
      <c r="L30" s="212" t="s">
        <v>67</v>
      </c>
      <c r="M30" s="239" t="s">
        <v>40436</v>
      </c>
      <c r="N30" s="212"/>
      <c r="O30" s="212"/>
      <c r="P30" s="212"/>
      <c r="Q30" s="239" t="s">
        <v>40437</v>
      </c>
      <c r="R30" s="239" t="s">
        <v>40405</v>
      </c>
      <c r="S30" s="239" t="s">
        <v>38290</v>
      </c>
      <c r="T30" s="239" t="s">
        <v>40351</v>
      </c>
      <c r="U30" s="239" t="s">
        <v>40351</v>
      </c>
      <c r="V30" s="239" t="s">
        <v>40351</v>
      </c>
      <c r="W30" s="239" t="s">
        <v>40351</v>
      </c>
      <c r="X30" s="239" t="s">
        <v>40351</v>
      </c>
      <c r="Y30" s="239" t="s">
        <v>40351</v>
      </c>
      <c r="Z30" s="239" t="s">
        <v>40351</v>
      </c>
      <c r="AA30" s="239" t="s">
        <v>40351</v>
      </c>
      <c r="AB30" s="239" t="s">
        <v>40351</v>
      </c>
      <c r="AC30" s="239" t="s">
        <v>40351</v>
      </c>
      <c r="AD30" s="239" t="s">
        <v>40351</v>
      </c>
      <c r="AE30" s="239" t="s">
        <v>40351</v>
      </c>
      <c r="AF30" s="241">
        <f>SUM(Tabela96[[#This Row], [jan/26]:[dez/26]])</f>
      </c>
      <c r="AG30" s="240">
        <v>300507.9</v>
      </c>
      <c r="AH30" s="240">
        <v>0</v>
      </c>
      <c r="AI30" s="240">
        <v>0</v>
      </c>
      <c r="AJ30" s="240">
        <v>0</v>
      </c>
      <c r="AK30" s="240">
        <f>SUM(Tabela96[[#This Row], [2026]:[2030]])</f>
      </c>
      <c r="AL30" s="240">
        <v>0</v>
      </c>
      <c r="AM30" s="240">
        <v>0</v>
      </c>
      <c r="AN30" s="240">
        <v>0</v>
      </c>
      <c r="AO30" s="240">
        <v>0</v>
      </c>
      <c r="AP30" s="240">
        <v>0</v>
      </c>
      <c r="AQ30" s="242">
        <f>SUM(Tabela96[[#This Row], [2026-2030]:[2035]])</f>
      </c>
      <c r="AR30" s="1"/>
      <c r="AS30" s="239" t="s">
        <v>40352</v>
      </c>
      <c r="AT30" s="243">
        <v>2025</v>
      </c>
      <c r="AU30" s="239" t="s">
        <v>40438</v>
      </c>
      <c r="AV30" s="3" t="s">
        <v>40423</v>
      </c>
      <c r="AW30" s="239" t="s">
        <v>46</v>
      </c>
      <c r="AX30" s="2"/>
      <c r="AY30" s="2"/>
      <c r="AZ30" s="239" t="s">
        <v>40398</v>
      </c>
    </row>
    <row x14ac:dyDescent="0.25" r="31" customHeight="1" ht="24.75">
      <c r="A31" s="1"/>
      <c r="B31" s="237">
        <f>AND(ISTEXT('Consolidado-Eletronorte'!#REF!),SUM('Consolidado-Eletronorte'!#REF!)&gt;0)</f>
      </c>
      <c r="C31" s="238">
        <f>INDIRECT(SUBSTITUTE($J40&amp;$K40," ",""))</f>
      </c>
      <c r="D31" s="238">
        <f>$H$3</f>
      </c>
      <c r="E31" s="238">
        <f>$H$4</f>
      </c>
      <c r="F31" s="210"/>
      <c r="G31" s="238">
        <f>_xlfn.CONCAT('Consolidado-Eletronorte'!#REF!,"_",ROW('Consolidado-Eletronorte'!#REF!)-ROW('Consolidado-Eletronorte'!$G$18))</f>
      </c>
      <c r="H31" s="212" t="s">
        <v>10</v>
      </c>
      <c r="I31" s="212" t="s">
        <v>87</v>
      </c>
      <c r="J31" s="212" t="s">
        <v>5</v>
      </c>
      <c r="K31" s="213" t="s">
        <v>16</v>
      </c>
      <c r="L31" s="212" t="s">
        <v>67</v>
      </c>
      <c r="M31" s="239" t="s">
        <v>40439</v>
      </c>
      <c r="N31" s="212"/>
      <c r="O31" s="212"/>
      <c r="P31" s="212"/>
      <c r="Q31" s="239" t="s">
        <v>40440</v>
      </c>
      <c r="R31" s="239" t="s">
        <v>40409</v>
      </c>
      <c r="S31" s="239" t="s">
        <v>38290</v>
      </c>
      <c r="T31" s="239" t="s">
        <v>40351</v>
      </c>
      <c r="U31" s="239" t="s">
        <v>40351</v>
      </c>
      <c r="V31" s="239" t="s">
        <v>40351</v>
      </c>
      <c r="W31" s="239" t="s">
        <v>40351</v>
      </c>
      <c r="X31" s="239" t="s">
        <v>40351</v>
      </c>
      <c r="Y31" s="239" t="s">
        <v>40351</v>
      </c>
      <c r="Z31" s="239" t="s">
        <v>40351</v>
      </c>
      <c r="AA31" s="239" t="s">
        <v>40351</v>
      </c>
      <c r="AB31" s="239" t="s">
        <v>40351</v>
      </c>
      <c r="AC31" s="239" t="s">
        <v>40351</v>
      </c>
      <c r="AD31" s="239" t="s">
        <v>40351</v>
      </c>
      <c r="AE31" s="239" t="s">
        <v>40351</v>
      </c>
      <c r="AF31" s="241">
        <f>SUM(Tabela96[[#This Row], [jan/26]:[dez/26]])</f>
      </c>
      <c r="AG31" s="240">
        <v>306268.60000000003</v>
      </c>
      <c r="AH31" s="240">
        <v>0</v>
      </c>
      <c r="AI31" s="240">
        <v>0</v>
      </c>
      <c r="AJ31" s="240">
        <v>0</v>
      </c>
      <c r="AK31" s="240">
        <f>SUM(Tabela96[[#This Row], [2026]:[2030]])</f>
      </c>
      <c r="AL31" s="240">
        <v>0</v>
      </c>
      <c r="AM31" s="240">
        <v>0</v>
      </c>
      <c r="AN31" s="240">
        <v>0</v>
      </c>
      <c r="AO31" s="240">
        <v>0</v>
      </c>
      <c r="AP31" s="240">
        <v>0</v>
      </c>
      <c r="AQ31" s="242">
        <f>SUM(Tabela96[[#This Row], [2026-2030]:[2035]])</f>
      </c>
      <c r="AR31" s="1"/>
      <c r="AS31" s="239" t="s">
        <v>40352</v>
      </c>
      <c r="AT31" s="243">
        <v>2025</v>
      </c>
      <c r="AU31" s="239" t="s">
        <v>40441</v>
      </c>
      <c r="AV31" s="3" t="s">
        <v>40423</v>
      </c>
      <c r="AW31" s="239" t="s">
        <v>46</v>
      </c>
      <c r="AX31" s="2"/>
      <c r="AY31" s="2"/>
      <c r="AZ31" s="239" t="s">
        <v>40398</v>
      </c>
    </row>
    <row x14ac:dyDescent="0.25" r="32" customHeight="1" ht="24.75">
      <c r="A32" s="1"/>
      <c r="B32" s="237">
        <f>AND(ISTEXT('Consolidado-Eletronorte'!#REF!),SUM('Consolidado-Eletronorte'!#REF!)&gt;0)</f>
      </c>
      <c r="C32" s="238">
        <f>INDIRECT(SUBSTITUTE($J41&amp;$K41," ",""))</f>
      </c>
      <c r="D32" s="238">
        <f>$H$3</f>
      </c>
      <c r="E32" s="238">
        <f>$H$4</f>
      </c>
      <c r="F32" s="210"/>
      <c r="G32" s="238">
        <f>_xlfn.CONCAT('Consolidado-Eletronorte'!#REF!,"_",ROW('Consolidado-Eletronorte'!#REF!)-ROW('Consolidado-Eletronorte'!$G$18))</f>
      </c>
      <c r="H32" s="212" t="s">
        <v>10</v>
      </c>
      <c r="I32" s="212" t="s">
        <v>87</v>
      </c>
      <c r="J32" s="212" t="s">
        <v>5</v>
      </c>
      <c r="K32" s="213" t="s">
        <v>16</v>
      </c>
      <c r="L32" s="212" t="s">
        <v>67</v>
      </c>
      <c r="M32" s="239" t="s">
        <v>40442</v>
      </c>
      <c r="N32" s="212"/>
      <c r="O32" s="212"/>
      <c r="P32" s="212"/>
      <c r="Q32" s="239" t="s">
        <v>40443</v>
      </c>
      <c r="R32" s="239" t="s">
        <v>40444</v>
      </c>
      <c r="S32" s="239" t="s">
        <v>40445</v>
      </c>
      <c r="T32" s="240">
        <v>215</v>
      </c>
      <c r="U32" s="240">
        <v>215</v>
      </c>
      <c r="V32" s="240">
        <v>215</v>
      </c>
      <c r="W32" s="240">
        <v>215</v>
      </c>
      <c r="X32" s="240">
        <v>215</v>
      </c>
      <c r="Y32" s="240">
        <v>215</v>
      </c>
      <c r="Z32" s="240">
        <v>215</v>
      </c>
      <c r="AA32" s="240">
        <v>215</v>
      </c>
      <c r="AB32" s="240">
        <v>215</v>
      </c>
      <c r="AC32" s="239" t="s">
        <v>40351</v>
      </c>
      <c r="AD32" s="239" t="s">
        <v>40351</v>
      </c>
      <c r="AE32" s="239" t="s">
        <v>40351</v>
      </c>
      <c r="AF32" s="241">
        <f>SUM(Tabela96[[#This Row], [jan/26]:[dez/26]])</f>
      </c>
      <c r="AG32" s="240">
        <v>0</v>
      </c>
      <c r="AH32" s="240">
        <v>0</v>
      </c>
      <c r="AI32" s="240">
        <v>0</v>
      </c>
      <c r="AJ32" s="240">
        <v>0</v>
      </c>
      <c r="AK32" s="240">
        <f>SUM(Tabela96[[#This Row], [2026]:[2030]])</f>
      </c>
      <c r="AL32" s="240">
        <v>0</v>
      </c>
      <c r="AM32" s="240">
        <v>0</v>
      </c>
      <c r="AN32" s="240">
        <v>0</v>
      </c>
      <c r="AO32" s="240">
        <v>0</v>
      </c>
      <c r="AP32" s="240">
        <v>0</v>
      </c>
      <c r="AQ32" s="242">
        <f>SUM(Tabela96[[#This Row], [2026-2030]:[2035]])</f>
      </c>
      <c r="AR32" s="1"/>
      <c r="AS32" s="239" t="s">
        <v>40352</v>
      </c>
      <c r="AT32" s="243">
        <v>2024</v>
      </c>
      <c r="AU32" s="239" t="s">
        <v>40446</v>
      </c>
      <c r="AV32" s="3" t="s">
        <v>40447</v>
      </c>
      <c r="AW32" s="239" t="s">
        <v>46</v>
      </c>
      <c r="AX32" s="2"/>
      <c r="AY32" s="2"/>
      <c r="AZ32" s="239" t="s">
        <v>40448</v>
      </c>
    </row>
    <row x14ac:dyDescent="0.25" r="33" customHeight="1" ht="24.75">
      <c r="A33" s="1"/>
      <c r="B33" s="237">
        <f>AND(ISTEXT('Consolidado-Eletronorte'!#REF!),SUM('Consolidado-Eletronorte'!#REF!)&gt;0)</f>
      </c>
      <c r="C33" s="238">
        <f>INDIRECT(SUBSTITUTE($J42&amp;$K42," ",""))</f>
      </c>
      <c r="D33" s="238">
        <f>$H$3</f>
      </c>
      <c r="E33" s="238">
        <f>$H$4</f>
      </c>
      <c r="F33" s="210"/>
      <c r="G33" s="238">
        <f>_xlfn.CONCAT('Consolidado-Eletronorte'!#REF!,"_",ROW('Consolidado-Eletronorte'!#REF!)-ROW('Consolidado-Eletronorte'!$G$18))</f>
      </c>
      <c r="H33" s="212" t="s">
        <v>10</v>
      </c>
      <c r="I33" s="212" t="s">
        <v>87</v>
      </c>
      <c r="J33" s="212" t="s">
        <v>5</v>
      </c>
      <c r="K33" s="213" t="s">
        <v>16</v>
      </c>
      <c r="L33" s="212" t="s">
        <v>67</v>
      </c>
      <c r="M33" s="239" t="s">
        <v>40449</v>
      </c>
      <c r="N33" s="212"/>
      <c r="O33" s="212"/>
      <c r="P33" s="212"/>
      <c r="Q33" s="239" t="s">
        <v>40450</v>
      </c>
      <c r="R33" s="239" t="s">
        <v>40444</v>
      </c>
      <c r="S33" s="239" t="s">
        <v>40445</v>
      </c>
      <c r="T33" s="240">
        <v>215</v>
      </c>
      <c r="U33" s="240">
        <v>215</v>
      </c>
      <c r="V33" s="240">
        <v>215</v>
      </c>
      <c r="W33" s="240">
        <v>215</v>
      </c>
      <c r="X33" s="240">
        <v>215</v>
      </c>
      <c r="Y33" s="240">
        <v>215</v>
      </c>
      <c r="Z33" s="240">
        <v>215</v>
      </c>
      <c r="AA33" s="240">
        <v>215</v>
      </c>
      <c r="AB33" s="240">
        <v>215</v>
      </c>
      <c r="AC33" s="239" t="s">
        <v>40351</v>
      </c>
      <c r="AD33" s="239" t="s">
        <v>40351</v>
      </c>
      <c r="AE33" s="239" t="s">
        <v>40351</v>
      </c>
      <c r="AF33" s="241">
        <f>SUM(Tabela96[[#This Row], [jan/26]:[dez/26]])</f>
      </c>
      <c r="AG33" s="240">
        <v>0</v>
      </c>
      <c r="AH33" s="240">
        <v>0</v>
      </c>
      <c r="AI33" s="240">
        <v>0</v>
      </c>
      <c r="AJ33" s="240">
        <v>0</v>
      </c>
      <c r="AK33" s="240">
        <f>SUM(Tabela96[[#This Row], [2026]:[2030]])</f>
      </c>
      <c r="AL33" s="240">
        <v>0</v>
      </c>
      <c r="AM33" s="240">
        <v>0</v>
      </c>
      <c r="AN33" s="240">
        <v>0</v>
      </c>
      <c r="AO33" s="240">
        <v>0</v>
      </c>
      <c r="AP33" s="240">
        <v>0</v>
      </c>
      <c r="AQ33" s="242">
        <f>SUM(Tabela96[[#This Row], [2026-2030]:[2035]])</f>
      </c>
      <c r="AR33" s="1"/>
      <c r="AS33" s="239" t="s">
        <v>40352</v>
      </c>
      <c r="AT33" s="243">
        <v>2024</v>
      </c>
      <c r="AU33" s="239" t="s">
        <v>40451</v>
      </c>
      <c r="AV33" s="3" t="s">
        <v>40447</v>
      </c>
      <c r="AW33" s="239" t="s">
        <v>46</v>
      </c>
      <c r="AX33" s="2"/>
      <c r="AY33" s="2"/>
      <c r="AZ33" s="239" t="s">
        <v>40448</v>
      </c>
    </row>
    <row x14ac:dyDescent="0.25" r="34" customHeight="1" ht="24.75">
      <c r="A34" s="1"/>
      <c r="B34" s="237">
        <f>AND(ISTEXT('Consolidado-Eletronorte'!#REF!),SUM('Consolidado-Eletronorte'!#REF!)&gt;0)</f>
      </c>
      <c r="C34" s="238">
        <f>INDIRECT(SUBSTITUTE($J43&amp;$K43," ",""))</f>
      </c>
      <c r="D34" s="238">
        <f>$H$3</f>
      </c>
      <c r="E34" s="238">
        <f>$H$4</f>
      </c>
      <c r="F34" s="210"/>
      <c r="G34" s="238">
        <f>_xlfn.CONCAT('Consolidado-Eletronorte'!#REF!,"_",ROW('Consolidado-Eletronorte'!#REF!)-ROW('Consolidado-Eletronorte'!$G$18))</f>
      </c>
      <c r="H34" s="212" t="s">
        <v>10</v>
      </c>
      <c r="I34" s="212" t="s">
        <v>87</v>
      </c>
      <c r="J34" s="212" t="s">
        <v>5</v>
      </c>
      <c r="K34" s="213" t="s">
        <v>16</v>
      </c>
      <c r="L34" s="212" t="s">
        <v>67</v>
      </c>
      <c r="M34" s="239" t="s">
        <v>40452</v>
      </c>
      <c r="N34" s="212"/>
      <c r="O34" s="212"/>
      <c r="P34" s="212"/>
      <c r="Q34" s="239" t="s">
        <v>40453</v>
      </c>
      <c r="R34" s="239" t="s">
        <v>40444</v>
      </c>
      <c r="S34" s="239" t="s">
        <v>40445</v>
      </c>
      <c r="T34" s="240">
        <v>215</v>
      </c>
      <c r="U34" s="240">
        <v>215</v>
      </c>
      <c r="V34" s="240">
        <v>215</v>
      </c>
      <c r="W34" s="240">
        <v>215</v>
      </c>
      <c r="X34" s="240">
        <v>215</v>
      </c>
      <c r="Y34" s="240">
        <v>215</v>
      </c>
      <c r="Z34" s="240">
        <v>215</v>
      </c>
      <c r="AA34" s="240">
        <v>215</v>
      </c>
      <c r="AB34" s="240">
        <v>215</v>
      </c>
      <c r="AC34" s="239" t="s">
        <v>40351</v>
      </c>
      <c r="AD34" s="239" t="s">
        <v>40351</v>
      </c>
      <c r="AE34" s="239" t="s">
        <v>40351</v>
      </c>
      <c r="AF34" s="241">
        <f>SUM(Tabela96[[#This Row], [jan/26]:[dez/26]])</f>
      </c>
      <c r="AG34" s="240">
        <v>0</v>
      </c>
      <c r="AH34" s="240">
        <v>0</v>
      </c>
      <c r="AI34" s="240">
        <v>0</v>
      </c>
      <c r="AJ34" s="240">
        <v>0</v>
      </c>
      <c r="AK34" s="240">
        <f>SUM(Tabela96[[#This Row], [2026]:[2030]])</f>
      </c>
      <c r="AL34" s="240">
        <v>0</v>
      </c>
      <c r="AM34" s="240">
        <v>0</v>
      </c>
      <c r="AN34" s="240">
        <v>0</v>
      </c>
      <c r="AO34" s="240">
        <v>0</v>
      </c>
      <c r="AP34" s="240">
        <v>0</v>
      </c>
      <c r="AQ34" s="242">
        <f>SUM(Tabela96[[#This Row], [2026-2030]:[2035]])</f>
      </c>
      <c r="AR34" s="1"/>
      <c r="AS34" s="239" t="s">
        <v>40352</v>
      </c>
      <c r="AT34" s="243">
        <v>2024</v>
      </c>
      <c r="AU34" s="239" t="s">
        <v>40454</v>
      </c>
      <c r="AV34" s="3" t="s">
        <v>40447</v>
      </c>
      <c r="AW34" s="239" t="s">
        <v>46</v>
      </c>
      <c r="AX34" s="2"/>
      <c r="AY34" s="2"/>
      <c r="AZ34" s="239" t="s">
        <v>40448</v>
      </c>
    </row>
    <row x14ac:dyDescent="0.25" r="35" customHeight="1" ht="24.75">
      <c r="A35" s="1"/>
      <c r="B35" s="237">
        <f>AND(ISTEXT('Consolidado-Eletronorte'!#REF!),SUM('Consolidado-Eletronorte'!#REF!)&gt;0)</f>
      </c>
      <c r="C35" s="238">
        <f>INDIRECT(SUBSTITUTE($J44&amp;$K44," ",""))</f>
      </c>
      <c r="D35" s="238">
        <f>$H$3</f>
      </c>
      <c r="E35" s="238">
        <f>$H$4</f>
      </c>
      <c r="F35" s="210"/>
      <c r="G35" s="238">
        <f>_xlfn.CONCAT('Consolidado-Eletronorte'!#REF!,"_",ROW('Consolidado-Eletronorte'!#REF!)-ROW('Consolidado-Eletronorte'!$G$18))</f>
      </c>
      <c r="H35" s="212" t="s">
        <v>10</v>
      </c>
      <c r="I35" s="212" t="s">
        <v>87</v>
      </c>
      <c r="J35" s="212" t="s">
        <v>5</v>
      </c>
      <c r="K35" s="213" t="s">
        <v>16</v>
      </c>
      <c r="L35" s="212" t="s">
        <v>67</v>
      </c>
      <c r="M35" s="239" t="s">
        <v>40455</v>
      </c>
      <c r="N35" s="212"/>
      <c r="O35" s="212"/>
      <c r="P35" s="212"/>
      <c r="Q35" s="239" t="s">
        <v>40456</v>
      </c>
      <c r="R35" s="239" t="s">
        <v>40444</v>
      </c>
      <c r="S35" s="239" t="s">
        <v>40445</v>
      </c>
      <c r="T35" s="240">
        <v>215</v>
      </c>
      <c r="U35" s="240">
        <v>215</v>
      </c>
      <c r="V35" s="240">
        <v>215</v>
      </c>
      <c r="W35" s="240">
        <v>215</v>
      </c>
      <c r="X35" s="240">
        <v>215</v>
      </c>
      <c r="Y35" s="240">
        <v>215</v>
      </c>
      <c r="Z35" s="240">
        <v>215</v>
      </c>
      <c r="AA35" s="240">
        <v>215</v>
      </c>
      <c r="AB35" s="240">
        <v>215</v>
      </c>
      <c r="AC35" s="239" t="s">
        <v>40351</v>
      </c>
      <c r="AD35" s="239" t="s">
        <v>40351</v>
      </c>
      <c r="AE35" s="239" t="s">
        <v>40351</v>
      </c>
      <c r="AF35" s="241">
        <f>SUM(Tabela96[[#This Row], [jan/26]:[dez/26]])</f>
      </c>
      <c r="AG35" s="240">
        <v>0</v>
      </c>
      <c r="AH35" s="240">
        <v>0</v>
      </c>
      <c r="AI35" s="240">
        <v>0</v>
      </c>
      <c r="AJ35" s="240">
        <v>0</v>
      </c>
      <c r="AK35" s="240">
        <f>SUM(Tabela96[[#This Row], [2026]:[2030]])</f>
      </c>
      <c r="AL35" s="240">
        <v>0</v>
      </c>
      <c r="AM35" s="240">
        <v>0</v>
      </c>
      <c r="AN35" s="240">
        <v>0</v>
      </c>
      <c r="AO35" s="240">
        <v>0</v>
      </c>
      <c r="AP35" s="240">
        <v>0</v>
      </c>
      <c r="AQ35" s="242">
        <f>SUM(Tabela96[[#This Row], [2026-2030]:[2035]])</f>
      </c>
      <c r="AR35" s="1"/>
      <c r="AS35" s="239" t="s">
        <v>40352</v>
      </c>
      <c r="AT35" s="243">
        <v>2024</v>
      </c>
      <c r="AU35" s="239" t="s">
        <v>40457</v>
      </c>
      <c r="AV35" s="3" t="s">
        <v>40447</v>
      </c>
      <c r="AW35" s="239" t="s">
        <v>46</v>
      </c>
      <c r="AX35" s="2"/>
      <c r="AY35" s="2"/>
      <c r="AZ35" s="239" t="s">
        <v>40448</v>
      </c>
    </row>
    <row x14ac:dyDescent="0.25" r="36" customHeight="1" ht="24.75">
      <c r="A36" s="1"/>
      <c r="B36" s="237">
        <f>AND(ISTEXT('Consolidado-Eletronorte'!#REF!),SUM('Consolidado-Eletronorte'!#REF!)&gt;0)</f>
      </c>
      <c r="C36" s="238">
        <f>INDIRECT(SUBSTITUTE($J45&amp;$K45," ",""))</f>
      </c>
      <c r="D36" s="238">
        <f>$H$3</f>
      </c>
      <c r="E36" s="238">
        <f>$H$4</f>
      </c>
      <c r="F36" s="210"/>
      <c r="G36" s="238">
        <f>_xlfn.CONCAT('Consolidado-Eletronorte'!#REF!,"_",ROW('Consolidado-Eletronorte'!#REF!)-ROW('Consolidado-Eletronorte'!$G$18))</f>
      </c>
      <c r="H36" s="212" t="s">
        <v>10</v>
      </c>
      <c r="I36" s="212" t="s">
        <v>87</v>
      </c>
      <c r="J36" s="212" t="s">
        <v>5</v>
      </c>
      <c r="K36" s="213" t="s">
        <v>16</v>
      </c>
      <c r="L36" s="212" t="s">
        <v>67</v>
      </c>
      <c r="M36" s="239" t="s">
        <v>40458</v>
      </c>
      <c r="N36" s="212"/>
      <c r="O36" s="212"/>
      <c r="P36" s="212"/>
      <c r="Q36" s="239" t="s">
        <v>40459</v>
      </c>
      <c r="R36" s="239" t="s">
        <v>40444</v>
      </c>
      <c r="S36" s="239" t="s">
        <v>40445</v>
      </c>
      <c r="T36" s="240">
        <v>215</v>
      </c>
      <c r="U36" s="240">
        <v>215</v>
      </c>
      <c r="V36" s="240">
        <v>215</v>
      </c>
      <c r="W36" s="240">
        <v>215</v>
      </c>
      <c r="X36" s="240">
        <v>215</v>
      </c>
      <c r="Y36" s="240">
        <v>215</v>
      </c>
      <c r="Z36" s="240">
        <v>215</v>
      </c>
      <c r="AA36" s="240">
        <v>215</v>
      </c>
      <c r="AB36" s="240">
        <v>215</v>
      </c>
      <c r="AC36" s="239" t="s">
        <v>40351</v>
      </c>
      <c r="AD36" s="239" t="s">
        <v>40351</v>
      </c>
      <c r="AE36" s="239" t="s">
        <v>40351</v>
      </c>
      <c r="AF36" s="241">
        <f>SUM(Tabela96[[#This Row], [jan/26]:[dez/26]])</f>
      </c>
      <c r="AG36" s="240">
        <v>0</v>
      </c>
      <c r="AH36" s="240">
        <v>0</v>
      </c>
      <c r="AI36" s="240">
        <v>0</v>
      </c>
      <c r="AJ36" s="240">
        <v>0</v>
      </c>
      <c r="AK36" s="240">
        <f>SUM(Tabela96[[#This Row], [2026]:[2030]])</f>
      </c>
      <c r="AL36" s="240">
        <v>0</v>
      </c>
      <c r="AM36" s="240">
        <v>0</v>
      </c>
      <c r="AN36" s="240">
        <v>0</v>
      </c>
      <c r="AO36" s="240">
        <v>0</v>
      </c>
      <c r="AP36" s="240">
        <v>0</v>
      </c>
      <c r="AQ36" s="242">
        <f>SUM(Tabela96[[#This Row], [2026-2030]:[2035]])</f>
      </c>
      <c r="AR36" s="1"/>
      <c r="AS36" s="239" t="s">
        <v>40352</v>
      </c>
      <c r="AT36" s="243">
        <v>2024</v>
      </c>
      <c r="AU36" s="239" t="s">
        <v>40460</v>
      </c>
      <c r="AV36" s="3" t="s">
        <v>40447</v>
      </c>
      <c r="AW36" s="239" t="s">
        <v>46</v>
      </c>
      <c r="AX36" s="2"/>
      <c r="AY36" s="2"/>
      <c r="AZ36" s="239" t="s">
        <v>40448</v>
      </c>
    </row>
    <row x14ac:dyDescent="0.25" r="37" customHeight="1" ht="24.75">
      <c r="A37" s="1"/>
      <c r="B37" s="237">
        <f>AND(ISTEXT('Consolidado-Eletronorte'!#REF!),SUM('Consolidado-Eletronorte'!#REF!)&gt;0)</f>
      </c>
      <c r="C37" s="238">
        <f>INDIRECT(SUBSTITUTE($J46&amp;$K46," ",""))</f>
      </c>
      <c r="D37" s="238">
        <f>$H$3</f>
      </c>
      <c r="E37" s="238">
        <f>$H$4</f>
      </c>
      <c r="F37" s="210"/>
      <c r="G37" s="238">
        <f>_xlfn.CONCAT('Consolidado-Eletronorte'!#REF!,"_",ROW('Consolidado-Eletronorte'!#REF!)-ROW('Consolidado-Eletronorte'!$G$18))</f>
      </c>
      <c r="H37" s="212" t="s">
        <v>10</v>
      </c>
      <c r="I37" s="212" t="s">
        <v>87</v>
      </c>
      <c r="J37" s="212" t="s">
        <v>5</v>
      </c>
      <c r="K37" s="213" t="s">
        <v>16</v>
      </c>
      <c r="L37" s="212" t="s">
        <v>67</v>
      </c>
      <c r="M37" s="239" t="s">
        <v>40461</v>
      </c>
      <c r="N37" s="212"/>
      <c r="O37" s="212"/>
      <c r="P37" s="212"/>
      <c r="Q37" s="239" t="s">
        <v>40462</v>
      </c>
      <c r="R37" s="239" t="s">
        <v>40444</v>
      </c>
      <c r="S37" s="239" t="s">
        <v>40445</v>
      </c>
      <c r="T37" s="240">
        <v>215</v>
      </c>
      <c r="U37" s="240">
        <v>215</v>
      </c>
      <c r="V37" s="240">
        <v>215</v>
      </c>
      <c r="W37" s="240">
        <v>215</v>
      </c>
      <c r="X37" s="240">
        <v>215</v>
      </c>
      <c r="Y37" s="240">
        <v>215</v>
      </c>
      <c r="Z37" s="240">
        <v>215</v>
      </c>
      <c r="AA37" s="240">
        <v>215</v>
      </c>
      <c r="AB37" s="240">
        <v>215</v>
      </c>
      <c r="AC37" s="239" t="s">
        <v>40351</v>
      </c>
      <c r="AD37" s="239" t="s">
        <v>40351</v>
      </c>
      <c r="AE37" s="239" t="s">
        <v>40351</v>
      </c>
      <c r="AF37" s="241">
        <f>SUM(Tabela96[[#This Row], [jan/26]:[dez/26]])</f>
      </c>
      <c r="AG37" s="240">
        <v>0</v>
      </c>
      <c r="AH37" s="240">
        <v>0</v>
      </c>
      <c r="AI37" s="240">
        <v>0</v>
      </c>
      <c r="AJ37" s="240">
        <v>0</v>
      </c>
      <c r="AK37" s="240">
        <f>SUM(Tabela96[[#This Row], [2026]:[2030]])</f>
      </c>
      <c r="AL37" s="240">
        <v>0</v>
      </c>
      <c r="AM37" s="240">
        <v>0</v>
      </c>
      <c r="AN37" s="240">
        <v>0</v>
      </c>
      <c r="AO37" s="240">
        <v>0</v>
      </c>
      <c r="AP37" s="240">
        <v>0</v>
      </c>
      <c r="AQ37" s="242">
        <f>SUM(Tabela96[[#This Row], [2026-2030]:[2035]])</f>
      </c>
      <c r="AR37" s="1"/>
      <c r="AS37" s="239" t="s">
        <v>40352</v>
      </c>
      <c r="AT37" s="243">
        <v>2024</v>
      </c>
      <c r="AU37" s="239" t="s">
        <v>40463</v>
      </c>
      <c r="AV37" s="3" t="s">
        <v>40447</v>
      </c>
      <c r="AW37" s="239" t="s">
        <v>46</v>
      </c>
      <c r="AX37" s="2"/>
      <c r="AY37" s="2"/>
      <c r="AZ37" s="239" t="s">
        <v>40448</v>
      </c>
    </row>
    <row x14ac:dyDescent="0.25" r="38" customHeight="1" ht="24.75">
      <c r="A38" s="1"/>
      <c r="B38" s="237">
        <f>AND(ISTEXT('Consolidado-Eletronorte'!#REF!),SUM('Consolidado-Eletronorte'!#REF!)&gt;0)</f>
      </c>
      <c r="C38" s="238">
        <f>INDIRECT(SUBSTITUTE($J47&amp;$K47," ",""))</f>
      </c>
      <c r="D38" s="238">
        <f>$H$3</f>
      </c>
      <c r="E38" s="238">
        <f>$H$4</f>
      </c>
      <c r="F38" s="210"/>
      <c r="G38" s="238">
        <f>_xlfn.CONCAT('Consolidado-Eletronorte'!#REF!,"_",ROW('Consolidado-Eletronorte'!#REF!)-ROW('Consolidado-Eletronorte'!$G$18))</f>
      </c>
      <c r="H38" s="212" t="s">
        <v>10</v>
      </c>
      <c r="I38" s="212" t="s">
        <v>87</v>
      </c>
      <c r="J38" s="212" t="s">
        <v>5</v>
      </c>
      <c r="K38" s="213" t="s">
        <v>16</v>
      </c>
      <c r="L38" s="212" t="s">
        <v>67</v>
      </c>
      <c r="M38" s="239" t="s">
        <v>40464</v>
      </c>
      <c r="N38" s="212"/>
      <c r="O38" s="212"/>
      <c r="P38" s="212"/>
      <c r="Q38" s="239" t="s">
        <v>40465</v>
      </c>
      <c r="R38" s="239" t="s">
        <v>40444</v>
      </c>
      <c r="S38" s="239" t="s">
        <v>40445</v>
      </c>
      <c r="T38" s="240">
        <v>215</v>
      </c>
      <c r="U38" s="240">
        <v>215</v>
      </c>
      <c r="V38" s="240">
        <v>215</v>
      </c>
      <c r="W38" s="240">
        <v>215</v>
      </c>
      <c r="X38" s="240">
        <v>215</v>
      </c>
      <c r="Y38" s="240">
        <v>215</v>
      </c>
      <c r="Z38" s="240">
        <v>215</v>
      </c>
      <c r="AA38" s="240">
        <v>215</v>
      </c>
      <c r="AB38" s="240">
        <v>215</v>
      </c>
      <c r="AC38" s="239" t="s">
        <v>40351</v>
      </c>
      <c r="AD38" s="239" t="s">
        <v>40351</v>
      </c>
      <c r="AE38" s="239" t="s">
        <v>40351</v>
      </c>
      <c r="AF38" s="241">
        <f>SUM(Tabela96[[#This Row], [jan/26]:[dez/26]])</f>
      </c>
      <c r="AG38" s="240">
        <v>0</v>
      </c>
      <c r="AH38" s="240">
        <v>0</v>
      </c>
      <c r="AI38" s="240">
        <v>0</v>
      </c>
      <c r="AJ38" s="240">
        <v>0</v>
      </c>
      <c r="AK38" s="240">
        <f>SUM(Tabela96[[#This Row], [2026]:[2030]])</f>
      </c>
      <c r="AL38" s="240">
        <v>0</v>
      </c>
      <c r="AM38" s="240">
        <v>0</v>
      </c>
      <c r="AN38" s="240">
        <v>0</v>
      </c>
      <c r="AO38" s="240">
        <v>0</v>
      </c>
      <c r="AP38" s="240">
        <v>0</v>
      </c>
      <c r="AQ38" s="242">
        <f>SUM(Tabela96[[#This Row], [2026-2030]:[2035]])</f>
      </c>
      <c r="AR38" s="1"/>
      <c r="AS38" s="239" t="s">
        <v>40352</v>
      </c>
      <c r="AT38" s="243">
        <v>2024</v>
      </c>
      <c r="AU38" s="239" t="s">
        <v>40466</v>
      </c>
      <c r="AV38" s="3" t="s">
        <v>40447</v>
      </c>
      <c r="AW38" s="239" t="s">
        <v>46</v>
      </c>
      <c r="AX38" s="2"/>
      <c r="AY38" s="2"/>
      <c r="AZ38" s="239" t="s">
        <v>40448</v>
      </c>
    </row>
    <row x14ac:dyDescent="0.25" r="39" customHeight="1" ht="24.75">
      <c r="A39" s="1"/>
      <c r="B39" s="237">
        <f>AND(ISTEXT('Consolidado-Eletronorte'!#REF!),SUM('Consolidado-Eletronorte'!#REF!)&gt;0)</f>
      </c>
      <c r="C39" s="238">
        <f>INDIRECT(SUBSTITUTE($J48&amp;$K48," ",""))</f>
      </c>
      <c r="D39" s="238">
        <f>$H$3</f>
      </c>
      <c r="E39" s="238">
        <f>$H$4</f>
      </c>
      <c r="F39" s="210"/>
      <c r="G39" s="238">
        <f>_xlfn.CONCAT('Consolidado-Eletronorte'!#REF!,"_",ROW('Consolidado-Eletronorte'!#REF!)-ROW('Consolidado-Eletronorte'!$G$18))</f>
      </c>
      <c r="H39" s="212" t="s">
        <v>10</v>
      </c>
      <c r="I39" s="212" t="s">
        <v>87</v>
      </c>
      <c r="J39" s="212" t="s">
        <v>5</v>
      </c>
      <c r="K39" s="213" t="s">
        <v>16</v>
      </c>
      <c r="L39" s="212" t="s">
        <v>67</v>
      </c>
      <c r="M39" s="239" t="s">
        <v>40467</v>
      </c>
      <c r="N39" s="212"/>
      <c r="O39" s="212"/>
      <c r="P39" s="212"/>
      <c r="Q39" s="239" t="s">
        <v>40468</v>
      </c>
      <c r="R39" s="239" t="s">
        <v>40444</v>
      </c>
      <c r="S39" s="239" t="s">
        <v>40445</v>
      </c>
      <c r="T39" s="240">
        <v>215</v>
      </c>
      <c r="U39" s="240">
        <v>215</v>
      </c>
      <c r="V39" s="240">
        <v>215</v>
      </c>
      <c r="W39" s="240">
        <v>215</v>
      </c>
      <c r="X39" s="240">
        <v>215</v>
      </c>
      <c r="Y39" s="240">
        <v>215</v>
      </c>
      <c r="Z39" s="240">
        <v>215</v>
      </c>
      <c r="AA39" s="240">
        <v>215</v>
      </c>
      <c r="AB39" s="240">
        <v>215</v>
      </c>
      <c r="AC39" s="239" t="s">
        <v>40351</v>
      </c>
      <c r="AD39" s="239" t="s">
        <v>40351</v>
      </c>
      <c r="AE39" s="239" t="s">
        <v>40351</v>
      </c>
      <c r="AF39" s="241">
        <f>SUM(Tabela96[[#This Row], [jan/26]:[dez/26]])</f>
      </c>
      <c r="AG39" s="240">
        <v>0</v>
      </c>
      <c r="AH39" s="240">
        <v>0</v>
      </c>
      <c r="AI39" s="240">
        <v>0</v>
      </c>
      <c r="AJ39" s="240">
        <v>0</v>
      </c>
      <c r="AK39" s="240">
        <f>SUM(Tabela96[[#This Row], [2026]:[2030]])</f>
      </c>
      <c r="AL39" s="240">
        <v>0</v>
      </c>
      <c r="AM39" s="240">
        <v>0</v>
      </c>
      <c r="AN39" s="240">
        <v>0</v>
      </c>
      <c r="AO39" s="240">
        <v>0</v>
      </c>
      <c r="AP39" s="240">
        <v>0</v>
      </c>
      <c r="AQ39" s="242">
        <f>SUM(Tabela96[[#This Row], [2026-2030]:[2035]])</f>
      </c>
      <c r="AR39" s="1"/>
      <c r="AS39" s="239" t="s">
        <v>40352</v>
      </c>
      <c r="AT39" s="243">
        <v>2024</v>
      </c>
      <c r="AU39" s="239" t="s">
        <v>40469</v>
      </c>
      <c r="AV39" s="3" t="s">
        <v>40447</v>
      </c>
      <c r="AW39" s="239" t="s">
        <v>46</v>
      </c>
      <c r="AX39" s="2"/>
      <c r="AY39" s="2"/>
      <c r="AZ39" s="239" t="s">
        <v>40448</v>
      </c>
    </row>
    <row x14ac:dyDescent="0.25" r="40" customHeight="1" ht="24.75">
      <c r="A40" s="1"/>
      <c r="B40" s="237">
        <f>AND(ISTEXT('Consolidado-Eletronorte'!#REF!),SUM('Consolidado-Eletronorte'!#REF!)&gt;0)</f>
      </c>
      <c r="C40" s="238">
        <f>INDIRECT(SUBSTITUTE($J49&amp;$K49," ",""))</f>
      </c>
      <c r="D40" s="238">
        <f>$H$3</f>
      </c>
      <c r="E40" s="238">
        <f>$H$4</f>
      </c>
      <c r="F40" s="210"/>
      <c r="G40" s="238">
        <f>_xlfn.CONCAT('Consolidado-Eletronorte'!#REF!,"_",ROW('Consolidado-Eletronorte'!#REF!)-ROW('Consolidado-Eletronorte'!$G$18))</f>
      </c>
      <c r="H40" s="212" t="s">
        <v>10</v>
      </c>
      <c r="I40" s="212" t="s">
        <v>87</v>
      </c>
      <c r="J40" s="212" t="s">
        <v>5</v>
      </c>
      <c r="K40" s="213" t="s">
        <v>16</v>
      </c>
      <c r="L40" s="212" t="s">
        <v>67</v>
      </c>
      <c r="M40" s="239" t="s">
        <v>40470</v>
      </c>
      <c r="N40" s="212"/>
      <c r="O40" s="212"/>
      <c r="P40" s="212"/>
      <c r="Q40" s="239" t="s">
        <v>40471</v>
      </c>
      <c r="R40" s="239" t="s">
        <v>40444</v>
      </c>
      <c r="S40" s="239" t="s">
        <v>40445</v>
      </c>
      <c r="T40" s="240">
        <v>215</v>
      </c>
      <c r="U40" s="240">
        <v>215</v>
      </c>
      <c r="V40" s="240">
        <v>215</v>
      </c>
      <c r="W40" s="240">
        <v>215</v>
      </c>
      <c r="X40" s="240">
        <v>215</v>
      </c>
      <c r="Y40" s="240">
        <v>215</v>
      </c>
      <c r="Z40" s="240">
        <v>215</v>
      </c>
      <c r="AA40" s="240">
        <v>215</v>
      </c>
      <c r="AB40" s="240">
        <v>215</v>
      </c>
      <c r="AC40" s="239" t="s">
        <v>40351</v>
      </c>
      <c r="AD40" s="239" t="s">
        <v>40351</v>
      </c>
      <c r="AE40" s="239" t="s">
        <v>40351</v>
      </c>
      <c r="AF40" s="241">
        <f>SUM(Tabela96[[#This Row], [jan/26]:[dez/26]])</f>
      </c>
      <c r="AG40" s="240">
        <v>0</v>
      </c>
      <c r="AH40" s="240">
        <v>0</v>
      </c>
      <c r="AI40" s="240">
        <v>0</v>
      </c>
      <c r="AJ40" s="240">
        <v>0</v>
      </c>
      <c r="AK40" s="240">
        <f>SUM(Tabela96[[#This Row], [2026]:[2030]])</f>
      </c>
      <c r="AL40" s="240">
        <v>0</v>
      </c>
      <c r="AM40" s="240">
        <v>0</v>
      </c>
      <c r="AN40" s="240">
        <v>0</v>
      </c>
      <c r="AO40" s="240">
        <v>0</v>
      </c>
      <c r="AP40" s="240">
        <v>0</v>
      </c>
      <c r="AQ40" s="242">
        <f>SUM(Tabela96[[#This Row], [2026-2030]:[2035]])</f>
      </c>
      <c r="AR40" s="1"/>
      <c r="AS40" s="239" t="s">
        <v>40352</v>
      </c>
      <c r="AT40" s="243">
        <v>2024</v>
      </c>
      <c r="AU40" s="239" t="s">
        <v>40472</v>
      </c>
      <c r="AV40" s="3" t="s">
        <v>40447</v>
      </c>
      <c r="AW40" s="239" t="s">
        <v>46</v>
      </c>
      <c r="AX40" s="2"/>
      <c r="AY40" s="2"/>
      <c r="AZ40" s="239" t="s">
        <v>40448</v>
      </c>
    </row>
    <row x14ac:dyDescent="0.25" r="41" customHeight="1" ht="24.75">
      <c r="A41" s="1"/>
      <c r="B41" s="237">
        <f>AND(ISTEXT('Consolidado-Eletronorte'!#REF!),SUM('Consolidado-Eletronorte'!#REF!)&gt;0)</f>
      </c>
      <c r="C41" s="238">
        <f>INDIRECT(SUBSTITUTE($J50&amp;$K50," ",""))</f>
      </c>
      <c r="D41" s="238">
        <f>$H$3</f>
      </c>
      <c r="E41" s="238">
        <f>$H$4</f>
      </c>
      <c r="F41" s="210"/>
      <c r="G41" s="238">
        <f>_xlfn.CONCAT('Consolidado-Eletronorte'!#REF!,"_",ROW('Consolidado-Eletronorte'!#REF!)-ROW('Consolidado-Eletronorte'!$G$18))</f>
      </c>
      <c r="H41" s="212" t="s">
        <v>10</v>
      </c>
      <c r="I41" s="212" t="s">
        <v>87</v>
      </c>
      <c r="J41" s="212" t="s">
        <v>5</v>
      </c>
      <c r="K41" s="213" t="s">
        <v>16</v>
      </c>
      <c r="L41" s="212" t="s">
        <v>67</v>
      </c>
      <c r="M41" s="239" t="s">
        <v>40473</v>
      </c>
      <c r="N41" s="212"/>
      <c r="O41" s="212"/>
      <c r="P41" s="212"/>
      <c r="Q41" s="239" t="s">
        <v>40474</v>
      </c>
      <c r="R41" s="239" t="s">
        <v>40444</v>
      </c>
      <c r="S41" s="239" t="s">
        <v>40445</v>
      </c>
      <c r="T41" s="240">
        <v>215</v>
      </c>
      <c r="U41" s="240">
        <v>215</v>
      </c>
      <c r="V41" s="240">
        <v>215</v>
      </c>
      <c r="W41" s="240">
        <v>215</v>
      </c>
      <c r="X41" s="240">
        <v>215</v>
      </c>
      <c r="Y41" s="240">
        <v>215</v>
      </c>
      <c r="Z41" s="240">
        <v>215</v>
      </c>
      <c r="AA41" s="240">
        <v>215</v>
      </c>
      <c r="AB41" s="240">
        <v>215</v>
      </c>
      <c r="AC41" s="239" t="s">
        <v>40351</v>
      </c>
      <c r="AD41" s="239" t="s">
        <v>40351</v>
      </c>
      <c r="AE41" s="239" t="s">
        <v>40351</v>
      </c>
      <c r="AF41" s="241">
        <f>SUM(Tabela96[[#This Row], [jan/26]:[dez/26]])</f>
      </c>
      <c r="AG41" s="240">
        <v>0</v>
      </c>
      <c r="AH41" s="240">
        <v>0</v>
      </c>
      <c r="AI41" s="240">
        <v>0</v>
      </c>
      <c r="AJ41" s="240">
        <v>0</v>
      </c>
      <c r="AK41" s="240">
        <f>SUM(Tabela96[[#This Row], [2026]:[2030]])</f>
      </c>
      <c r="AL41" s="240">
        <v>0</v>
      </c>
      <c r="AM41" s="240">
        <v>0</v>
      </c>
      <c r="AN41" s="240">
        <v>0</v>
      </c>
      <c r="AO41" s="240">
        <v>0</v>
      </c>
      <c r="AP41" s="240">
        <v>0</v>
      </c>
      <c r="AQ41" s="242">
        <f>SUM(Tabela96[[#This Row], [2026-2030]:[2035]])</f>
      </c>
      <c r="AR41" s="1"/>
      <c r="AS41" s="239" t="s">
        <v>40352</v>
      </c>
      <c r="AT41" s="243">
        <v>2024</v>
      </c>
      <c r="AU41" s="239" t="s">
        <v>40475</v>
      </c>
      <c r="AV41" s="3" t="s">
        <v>40447</v>
      </c>
      <c r="AW41" s="239" t="s">
        <v>46</v>
      </c>
      <c r="AX41" s="2"/>
      <c r="AY41" s="2"/>
      <c r="AZ41" s="239" t="s">
        <v>40448</v>
      </c>
    </row>
    <row x14ac:dyDescent="0.25" r="42" customHeight="1" ht="24.75">
      <c r="A42" s="1"/>
      <c r="B42" s="237">
        <f>AND(ISTEXT('Consolidado-Eletronorte'!#REF!),SUM('Consolidado-Eletronorte'!#REF!)&gt;0)</f>
      </c>
      <c r="C42" s="238">
        <f>INDIRECT(SUBSTITUTE($J51&amp;$K51," ",""))</f>
      </c>
      <c r="D42" s="238">
        <f>$H$3</f>
      </c>
      <c r="E42" s="238">
        <f>$H$4</f>
      </c>
      <c r="F42" s="210"/>
      <c r="G42" s="238">
        <f>_xlfn.CONCAT('Consolidado-Eletronorte'!#REF!,"_",ROW('Consolidado-Eletronorte'!#REF!)-ROW('Consolidado-Eletronorte'!$G$18))</f>
      </c>
      <c r="H42" s="212" t="s">
        <v>10</v>
      </c>
      <c r="I42" s="212" t="s">
        <v>87</v>
      </c>
      <c r="J42" s="212" t="s">
        <v>5</v>
      </c>
      <c r="K42" s="213" t="s">
        <v>16</v>
      </c>
      <c r="L42" s="212" t="s">
        <v>67</v>
      </c>
      <c r="M42" s="239" t="s">
        <v>40476</v>
      </c>
      <c r="N42" s="212"/>
      <c r="O42" s="212"/>
      <c r="P42" s="212"/>
      <c r="Q42" s="239" t="s">
        <v>40477</v>
      </c>
      <c r="R42" s="239" t="s">
        <v>40444</v>
      </c>
      <c r="S42" s="239" t="s">
        <v>40445</v>
      </c>
      <c r="T42" s="240">
        <v>215</v>
      </c>
      <c r="U42" s="240">
        <v>215</v>
      </c>
      <c r="V42" s="240">
        <v>215</v>
      </c>
      <c r="W42" s="240">
        <v>215</v>
      </c>
      <c r="X42" s="240">
        <v>215</v>
      </c>
      <c r="Y42" s="240">
        <v>215</v>
      </c>
      <c r="Z42" s="240">
        <v>215</v>
      </c>
      <c r="AA42" s="240">
        <v>215</v>
      </c>
      <c r="AB42" s="240">
        <v>215</v>
      </c>
      <c r="AC42" s="239" t="s">
        <v>40351</v>
      </c>
      <c r="AD42" s="239" t="s">
        <v>40351</v>
      </c>
      <c r="AE42" s="239" t="s">
        <v>40351</v>
      </c>
      <c r="AF42" s="241">
        <f>SUM(Tabela96[[#This Row], [jan/26]:[dez/26]])</f>
      </c>
      <c r="AG42" s="240">
        <v>0</v>
      </c>
      <c r="AH42" s="240">
        <v>0</v>
      </c>
      <c r="AI42" s="240">
        <v>0</v>
      </c>
      <c r="AJ42" s="240">
        <v>0</v>
      </c>
      <c r="AK42" s="240">
        <f>SUM(Tabela96[[#This Row], [2026]:[2030]])</f>
      </c>
      <c r="AL42" s="240">
        <v>0</v>
      </c>
      <c r="AM42" s="240">
        <v>0</v>
      </c>
      <c r="AN42" s="240">
        <v>0</v>
      </c>
      <c r="AO42" s="240">
        <v>0</v>
      </c>
      <c r="AP42" s="240">
        <v>0</v>
      </c>
      <c r="AQ42" s="242">
        <f>SUM(Tabela96[[#This Row], [2026-2030]:[2035]])</f>
      </c>
      <c r="AR42" s="1"/>
      <c r="AS42" s="239" t="s">
        <v>40352</v>
      </c>
      <c r="AT42" s="243">
        <v>2024</v>
      </c>
      <c r="AU42" s="239" t="s">
        <v>40478</v>
      </c>
      <c r="AV42" s="3" t="s">
        <v>40447</v>
      </c>
      <c r="AW42" s="239" t="s">
        <v>46</v>
      </c>
      <c r="AX42" s="2"/>
      <c r="AY42" s="2"/>
      <c r="AZ42" s="239" t="s">
        <v>40448</v>
      </c>
    </row>
    <row x14ac:dyDescent="0.25" r="43" customHeight="1" ht="24.75">
      <c r="A43" s="1"/>
      <c r="B43" s="237">
        <f>AND(ISTEXT('Consolidado-Eletronorte'!#REF!),SUM('Consolidado-Eletronorte'!#REF!)&gt;0)</f>
      </c>
      <c r="C43" s="238">
        <f>INDIRECT(SUBSTITUTE($J52&amp;$K52," ",""))</f>
      </c>
      <c r="D43" s="238">
        <f>$H$3</f>
      </c>
      <c r="E43" s="238">
        <f>$H$4</f>
      </c>
      <c r="F43" s="210"/>
      <c r="G43" s="238">
        <f>_xlfn.CONCAT('Consolidado-Eletronorte'!#REF!,"_",ROW('Consolidado-Eletronorte'!#REF!)-ROW('Consolidado-Eletronorte'!$G$18))</f>
      </c>
      <c r="H43" s="212" t="s">
        <v>10</v>
      </c>
      <c r="I43" s="212" t="s">
        <v>87</v>
      </c>
      <c r="J43" s="212" t="s">
        <v>5</v>
      </c>
      <c r="K43" s="213" t="s">
        <v>16</v>
      </c>
      <c r="L43" s="212" t="s">
        <v>67</v>
      </c>
      <c r="M43" s="239" t="s">
        <v>40479</v>
      </c>
      <c r="N43" s="212"/>
      <c r="O43" s="212"/>
      <c r="P43" s="212"/>
      <c r="Q43" s="239" t="s">
        <v>40480</v>
      </c>
      <c r="R43" s="239" t="s">
        <v>40444</v>
      </c>
      <c r="S43" s="239" t="s">
        <v>40445</v>
      </c>
      <c r="T43" s="240">
        <v>215</v>
      </c>
      <c r="U43" s="240">
        <v>215</v>
      </c>
      <c r="V43" s="240">
        <v>215</v>
      </c>
      <c r="W43" s="240">
        <v>215</v>
      </c>
      <c r="X43" s="240">
        <v>215</v>
      </c>
      <c r="Y43" s="240">
        <v>215</v>
      </c>
      <c r="Z43" s="240">
        <v>215</v>
      </c>
      <c r="AA43" s="240">
        <v>215</v>
      </c>
      <c r="AB43" s="240">
        <v>215</v>
      </c>
      <c r="AC43" s="239" t="s">
        <v>40351</v>
      </c>
      <c r="AD43" s="239" t="s">
        <v>40351</v>
      </c>
      <c r="AE43" s="239" t="s">
        <v>40351</v>
      </c>
      <c r="AF43" s="241">
        <f>SUM(Tabela96[[#This Row], [jan/26]:[dez/26]])</f>
      </c>
      <c r="AG43" s="240">
        <v>0</v>
      </c>
      <c r="AH43" s="240">
        <v>0</v>
      </c>
      <c r="AI43" s="240">
        <v>0</v>
      </c>
      <c r="AJ43" s="240">
        <v>0</v>
      </c>
      <c r="AK43" s="240">
        <f>SUM(Tabela96[[#This Row], [2026]:[2030]])</f>
      </c>
      <c r="AL43" s="240">
        <v>0</v>
      </c>
      <c r="AM43" s="240">
        <v>0</v>
      </c>
      <c r="AN43" s="240">
        <v>0</v>
      </c>
      <c r="AO43" s="240">
        <v>0</v>
      </c>
      <c r="AP43" s="240">
        <v>0</v>
      </c>
      <c r="AQ43" s="242">
        <f>SUM(Tabela96[[#This Row], [2026-2030]:[2035]])</f>
      </c>
      <c r="AR43" s="1"/>
      <c r="AS43" s="239" t="s">
        <v>40352</v>
      </c>
      <c r="AT43" s="243">
        <v>2024</v>
      </c>
      <c r="AU43" s="239" t="s">
        <v>40481</v>
      </c>
      <c r="AV43" s="3" t="s">
        <v>40447</v>
      </c>
      <c r="AW43" s="239" t="s">
        <v>46</v>
      </c>
      <c r="AX43" s="2"/>
      <c r="AY43" s="2"/>
      <c r="AZ43" s="239" t="s">
        <v>40448</v>
      </c>
    </row>
    <row x14ac:dyDescent="0.25" r="44" customHeight="1" ht="24.75">
      <c r="A44" s="1"/>
      <c r="B44" s="237">
        <f>AND(ISTEXT('Consolidado-Eletronorte'!#REF!),SUM('Consolidado-Eletronorte'!#REF!)&gt;0)</f>
      </c>
      <c r="C44" s="238">
        <f>$J$3</f>
      </c>
      <c r="D44" s="238">
        <f>$H$3</f>
      </c>
      <c r="E44" s="238">
        <f>$H$4</f>
      </c>
      <c r="F44" s="210"/>
      <c r="G44" s="238">
        <f>_xlfn.CONCAT('Consolidado-Eletronorte'!#REF!,"_",ROW('Consolidado-Eletronorte'!#REF!)-ROW('Consolidado-Eletronorte'!$G$18))</f>
      </c>
      <c r="H44" s="212" t="s">
        <v>10</v>
      </c>
      <c r="I44" s="212" t="s">
        <v>87</v>
      </c>
      <c r="J44" s="212" t="s">
        <v>5</v>
      </c>
      <c r="K44" s="213" t="s">
        <v>16</v>
      </c>
      <c r="L44" s="212" t="s">
        <v>67</v>
      </c>
      <c r="M44" s="239" t="s">
        <v>40482</v>
      </c>
      <c r="N44" s="212"/>
      <c r="O44" s="212"/>
      <c r="P44" s="212"/>
      <c r="Q44" s="239" t="s">
        <v>40483</v>
      </c>
      <c r="R44" s="239" t="s">
        <v>40444</v>
      </c>
      <c r="S44" s="239" t="s">
        <v>40445</v>
      </c>
      <c r="T44" s="240">
        <v>215</v>
      </c>
      <c r="U44" s="240">
        <v>215</v>
      </c>
      <c r="V44" s="240">
        <v>215</v>
      </c>
      <c r="W44" s="240">
        <v>215</v>
      </c>
      <c r="X44" s="240">
        <v>215</v>
      </c>
      <c r="Y44" s="240">
        <v>215</v>
      </c>
      <c r="Z44" s="240">
        <v>215</v>
      </c>
      <c r="AA44" s="240">
        <v>215</v>
      </c>
      <c r="AB44" s="240">
        <v>215</v>
      </c>
      <c r="AC44" s="239" t="s">
        <v>40351</v>
      </c>
      <c r="AD44" s="239" t="s">
        <v>40351</v>
      </c>
      <c r="AE44" s="239" t="s">
        <v>40351</v>
      </c>
      <c r="AF44" s="241">
        <f>SUM(Tabela96[[#This Row], [jan/26]:[dez/26]])</f>
      </c>
      <c r="AG44" s="240">
        <v>0</v>
      </c>
      <c r="AH44" s="240">
        <v>0</v>
      </c>
      <c r="AI44" s="240">
        <v>0</v>
      </c>
      <c r="AJ44" s="240">
        <v>0</v>
      </c>
      <c r="AK44" s="240">
        <f>SUM(Tabela96[[#This Row], [2026]:[2030]])</f>
      </c>
      <c r="AL44" s="240">
        <v>0</v>
      </c>
      <c r="AM44" s="240">
        <v>0</v>
      </c>
      <c r="AN44" s="240">
        <v>0</v>
      </c>
      <c r="AO44" s="240">
        <v>0</v>
      </c>
      <c r="AP44" s="240">
        <v>0</v>
      </c>
      <c r="AQ44" s="242">
        <f>SUM(Tabela96[[#This Row], [2026-2030]:[2035]])</f>
      </c>
      <c r="AR44" s="1"/>
      <c r="AS44" s="239" t="s">
        <v>40352</v>
      </c>
      <c r="AT44" s="243">
        <v>2024</v>
      </c>
      <c r="AU44" s="239" t="s">
        <v>40484</v>
      </c>
      <c r="AV44" s="3" t="s">
        <v>40447</v>
      </c>
      <c r="AW44" s="239" t="s">
        <v>46</v>
      </c>
      <c r="AX44" s="2"/>
      <c r="AY44" s="2"/>
      <c r="AZ44" s="239" t="s">
        <v>40448</v>
      </c>
    </row>
    <row x14ac:dyDescent="0.25" r="45" customHeight="1" ht="24.75">
      <c r="A45" s="1"/>
      <c r="B45" s="237">
        <f>AND(ISTEXT('Consolidado-Eletronorte'!#REF!),SUM('Consolidado-Eletronorte'!#REF!)&gt;0)</f>
      </c>
      <c r="C45" s="238">
        <f>$J$3</f>
      </c>
      <c r="D45" s="238">
        <f>$H$3</f>
      </c>
      <c r="E45" s="238">
        <f>$H$4</f>
      </c>
      <c r="F45" s="210"/>
      <c r="G45" s="238">
        <f>_xlfn.CONCAT('Consolidado-Eletronorte'!#REF!,"_",ROW('Consolidado-Eletronorte'!#REF!)-ROW('Consolidado-Eletronorte'!$G$18))</f>
      </c>
      <c r="H45" s="212" t="s">
        <v>10</v>
      </c>
      <c r="I45" s="212" t="s">
        <v>87</v>
      </c>
      <c r="J45" s="212" t="s">
        <v>5</v>
      </c>
      <c r="K45" s="213" t="s">
        <v>16</v>
      </c>
      <c r="L45" s="212" t="s">
        <v>67</v>
      </c>
      <c r="M45" s="239" t="s">
        <v>40485</v>
      </c>
      <c r="N45" s="212"/>
      <c r="O45" s="212"/>
      <c r="P45" s="212"/>
      <c r="Q45" s="239" t="s">
        <v>40486</v>
      </c>
      <c r="R45" s="239" t="s">
        <v>40444</v>
      </c>
      <c r="S45" s="239" t="s">
        <v>40445</v>
      </c>
      <c r="T45" s="240">
        <v>215</v>
      </c>
      <c r="U45" s="240">
        <v>215</v>
      </c>
      <c r="V45" s="240">
        <v>215</v>
      </c>
      <c r="W45" s="240">
        <v>215</v>
      </c>
      <c r="X45" s="240">
        <v>215</v>
      </c>
      <c r="Y45" s="240">
        <v>215</v>
      </c>
      <c r="Z45" s="240">
        <v>215</v>
      </c>
      <c r="AA45" s="240">
        <v>215</v>
      </c>
      <c r="AB45" s="240">
        <v>215</v>
      </c>
      <c r="AC45" s="239" t="s">
        <v>40351</v>
      </c>
      <c r="AD45" s="239" t="s">
        <v>40351</v>
      </c>
      <c r="AE45" s="239" t="s">
        <v>40351</v>
      </c>
      <c r="AF45" s="241">
        <f>SUM(Tabela96[[#This Row], [jan/26]:[dez/26]])</f>
      </c>
      <c r="AG45" s="240">
        <v>0</v>
      </c>
      <c r="AH45" s="240">
        <v>0</v>
      </c>
      <c r="AI45" s="240">
        <v>0</v>
      </c>
      <c r="AJ45" s="240">
        <v>0</v>
      </c>
      <c r="AK45" s="240">
        <f>SUM(Tabela96[[#This Row], [2026]:[2030]])</f>
      </c>
      <c r="AL45" s="240">
        <v>0</v>
      </c>
      <c r="AM45" s="240">
        <v>0</v>
      </c>
      <c r="AN45" s="240">
        <v>0</v>
      </c>
      <c r="AO45" s="240">
        <v>0</v>
      </c>
      <c r="AP45" s="240">
        <v>0</v>
      </c>
      <c r="AQ45" s="242">
        <f>SUM(Tabela96[[#This Row], [2026-2030]:[2035]])</f>
      </c>
      <c r="AR45" s="1"/>
      <c r="AS45" s="239" t="s">
        <v>40352</v>
      </c>
      <c r="AT45" s="243">
        <v>2024</v>
      </c>
      <c r="AU45" s="239" t="s">
        <v>40487</v>
      </c>
      <c r="AV45" s="3" t="s">
        <v>40447</v>
      </c>
      <c r="AW45" s="239" t="s">
        <v>46</v>
      </c>
      <c r="AX45" s="2"/>
      <c r="AY45" s="2"/>
      <c r="AZ45" s="239" t="s">
        <v>40448</v>
      </c>
    </row>
    <row x14ac:dyDescent="0.25" r="46" customHeight="1" ht="24.75">
      <c r="A46" s="1"/>
      <c r="B46" s="237">
        <f>AND(ISTEXT('Consolidado-Eletronorte'!#REF!),SUM('Consolidado-Eletronorte'!#REF!)&gt;0)</f>
      </c>
      <c r="C46" s="238">
        <f>$J$3</f>
      </c>
      <c r="D46" s="238">
        <f>$H$3</f>
      </c>
      <c r="E46" s="238">
        <f>$H$4</f>
      </c>
      <c r="F46" s="210"/>
      <c r="G46" s="238">
        <f>_xlfn.CONCAT('Consolidado-Eletronorte'!#REF!,"_",ROW('Consolidado-Eletronorte'!#REF!)-ROW('Consolidado-Eletronorte'!$G$18))</f>
      </c>
      <c r="H46" s="212" t="s">
        <v>10</v>
      </c>
      <c r="I46" s="212" t="s">
        <v>87</v>
      </c>
      <c r="J46" s="212" t="s">
        <v>5</v>
      </c>
      <c r="K46" s="213" t="s">
        <v>16</v>
      </c>
      <c r="L46" s="212" t="s">
        <v>67</v>
      </c>
      <c r="M46" s="239" t="s">
        <v>40488</v>
      </c>
      <c r="N46" s="212"/>
      <c r="O46" s="212"/>
      <c r="P46" s="212"/>
      <c r="Q46" s="239" t="s">
        <v>40489</v>
      </c>
      <c r="R46" s="239" t="s">
        <v>40444</v>
      </c>
      <c r="S46" s="239" t="s">
        <v>40445</v>
      </c>
      <c r="T46" s="240">
        <v>215</v>
      </c>
      <c r="U46" s="240">
        <v>215</v>
      </c>
      <c r="V46" s="240">
        <v>215</v>
      </c>
      <c r="W46" s="240">
        <v>215</v>
      </c>
      <c r="X46" s="240">
        <v>215</v>
      </c>
      <c r="Y46" s="240">
        <v>215</v>
      </c>
      <c r="Z46" s="240">
        <v>215</v>
      </c>
      <c r="AA46" s="240">
        <v>215</v>
      </c>
      <c r="AB46" s="240">
        <v>215</v>
      </c>
      <c r="AC46" s="239" t="s">
        <v>40351</v>
      </c>
      <c r="AD46" s="239" t="s">
        <v>40351</v>
      </c>
      <c r="AE46" s="239" t="s">
        <v>40351</v>
      </c>
      <c r="AF46" s="241">
        <f>SUM(Tabela96[[#This Row], [jan/26]:[dez/26]])</f>
      </c>
      <c r="AG46" s="240">
        <v>0</v>
      </c>
      <c r="AH46" s="240">
        <v>0</v>
      </c>
      <c r="AI46" s="240">
        <v>0</v>
      </c>
      <c r="AJ46" s="240">
        <v>0</v>
      </c>
      <c r="AK46" s="240">
        <f>SUM(Tabela96[[#This Row], [2026]:[2030]])</f>
      </c>
      <c r="AL46" s="240">
        <v>0</v>
      </c>
      <c r="AM46" s="240">
        <v>0</v>
      </c>
      <c r="AN46" s="240">
        <v>0</v>
      </c>
      <c r="AO46" s="240">
        <v>0</v>
      </c>
      <c r="AP46" s="240">
        <v>0</v>
      </c>
      <c r="AQ46" s="242">
        <f>SUM(Tabela96[[#This Row], [2026-2030]:[2035]])</f>
      </c>
      <c r="AR46" s="1"/>
      <c r="AS46" s="239" t="s">
        <v>40352</v>
      </c>
      <c r="AT46" s="243">
        <v>2024</v>
      </c>
      <c r="AU46" s="239" t="s">
        <v>40490</v>
      </c>
      <c r="AV46" s="3" t="s">
        <v>40447</v>
      </c>
      <c r="AW46" s="239" t="s">
        <v>46</v>
      </c>
      <c r="AX46" s="2"/>
      <c r="AY46" s="2"/>
      <c r="AZ46" s="239" t="s">
        <v>40448</v>
      </c>
    </row>
    <row x14ac:dyDescent="0.25" r="47" customHeight="1" ht="24.75">
      <c r="A47" s="1"/>
      <c r="B47" s="237">
        <f>AND(ISTEXT('Consolidado-Eletronorte'!#REF!),SUM('Consolidado-Eletronorte'!#REF!)&gt;0)</f>
      </c>
      <c r="C47" s="238">
        <f>$J$3</f>
      </c>
      <c r="D47" s="238">
        <f>$H$3</f>
      </c>
      <c r="E47" s="238">
        <f>$H$4</f>
      </c>
      <c r="F47" s="210"/>
      <c r="G47" s="238">
        <f>_xlfn.CONCAT('Consolidado-Eletronorte'!#REF!,"_",ROW('Consolidado-Eletronorte'!#REF!)-ROW('Consolidado-Eletronorte'!$G$18))</f>
      </c>
      <c r="H47" s="212" t="s">
        <v>10</v>
      </c>
      <c r="I47" s="212" t="s">
        <v>87</v>
      </c>
      <c r="J47" s="212" t="s">
        <v>5</v>
      </c>
      <c r="K47" s="213" t="s">
        <v>16</v>
      </c>
      <c r="L47" s="212" t="s">
        <v>67</v>
      </c>
      <c r="M47" s="239" t="s">
        <v>40491</v>
      </c>
      <c r="N47" s="212"/>
      <c r="O47" s="212"/>
      <c r="P47" s="212"/>
      <c r="Q47" s="239" t="s">
        <v>40492</v>
      </c>
      <c r="R47" s="239" t="s">
        <v>40444</v>
      </c>
      <c r="S47" s="239" t="s">
        <v>40493</v>
      </c>
      <c r="T47" s="240">
        <v>215</v>
      </c>
      <c r="U47" s="240">
        <v>215</v>
      </c>
      <c r="V47" s="240">
        <v>215</v>
      </c>
      <c r="W47" s="240">
        <v>215</v>
      </c>
      <c r="X47" s="240">
        <v>215</v>
      </c>
      <c r="Y47" s="240">
        <v>215</v>
      </c>
      <c r="Z47" s="240">
        <v>215</v>
      </c>
      <c r="AA47" s="240">
        <v>215</v>
      </c>
      <c r="AB47" s="240">
        <v>215</v>
      </c>
      <c r="AC47" s="239" t="s">
        <v>40351</v>
      </c>
      <c r="AD47" s="239" t="s">
        <v>40351</v>
      </c>
      <c r="AE47" s="239" t="s">
        <v>40351</v>
      </c>
      <c r="AF47" s="241">
        <f>SUM(Tabela96[[#This Row], [jan/26]:[dez/26]])</f>
      </c>
      <c r="AG47" s="240">
        <v>0</v>
      </c>
      <c r="AH47" s="240">
        <v>0</v>
      </c>
      <c r="AI47" s="240">
        <v>0</v>
      </c>
      <c r="AJ47" s="240">
        <v>0</v>
      </c>
      <c r="AK47" s="240">
        <f>SUM(Tabela96[[#This Row], [2026]:[2030]])</f>
      </c>
      <c r="AL47" s="240">
        <v>0</v>
      </c>
      <c r="AM47" s="240">
        <v>0</v>
      </c>
      <c r="AN47" s="240">
        <v>0</v>
      </c>
      <c r="AO47" s="240">
        <v>0</v>
      </c>
      <c r="AP47" s="240">
        <v>0</v>
      </c>
      <c r="AQ47" s="242">
        <f>SUM(Tabela96[[#This Row], [2026-2030]:[2035]])</f>
      </c>
      <c r="AR47" s="1"/>
      <c r="AS47" s="239" t="s">
        <v>40352</v>
      </c>
      <c r="AT47" s="243">
        <v>2024</v>
      </c>
      <c r="AU47" s="239" t="s">
        <v>40494</v>
      </c>
      <c r="AV47" s="3" t="s">
        <v>40495</v>
      </c>
      <c r="AW47" s="239" t="s">
        <v>46</v>
      </c>
      <c r="AX47" s="2"/>
      <c r="AY47" s="2"/>
      <c r="AZ47" s="239" t="s">
        <v>40448</v>
      </c>
    </row>
    <row x14ac:dyDescent="0.25" r="48" customHeight="1" ht="24.75">
      <c r="A48" s="1"/>
      <c r="B48" s="237">
        <f>AND(ISTEXT('Consolidado-Eletronorte'!#REF!),SUM('Consolidado-Eletronorte'!#REF!)&gt;0)</f>
      </c>
      <c r="C48" s="238">
        <f>$J$3</f>
      </c>
      <c r="D48" s="238">
        <f>$H$3</f>
      </c>
      <c r="E48" s="238">
        <f>$H$4</f>
      </c>
      <c r="F48" s="210"/>
      <c r="G48" s="238">
        <f>_xlfn.CONCAT('Consolidado-Eletronorte'!#REF!,"_",ROW('Consolidado-Eletronorte'!#REF!)-ROW('Consolidado-Eletronorte'!$G$18))</f>
      </c>
      <c r="H48" s="212" t="s">
        <v>10</v>
      </c>
      <c r="I48" s="212" t="s">
        <v>87</v>
      </c>
      <c r="J48" s="212" t="s">
        <v>5</v>
      </c>
      <c r="K48" s="213" t="s">
        <v>16</v>
      </c>
      <c r="L48" s="212" t="s">
        <v>67</v>
      </c>
      <c r="M48" s="239" t="s">
        <v>40496</v>
      </c>
      <c r="N48" s="212"/>
      <c r="O48" s="212"/>
      <c r="P48" s="212"/>
      <c r="Q48" s="239" t="s">
        <v>40497</v>
      </c>
      <c r="R48" s="239" t="s">
        <v>40444</v>
      </c>
      <c r="S48" s="239" t="s">
        <v>40493</v>
      </c>
      <c r="T48" s="240">
        <v>215</v>
      </c>
      <c r="U48" s="240">
        <v>215</v>
      </c>
      <c r="V48" s="240">
        <v>215</v>
      </c>
      <c r="W48" s="240">
        <v>215</v>
      </c>
      <c r="X48" s="240">
        <v>215</v>
      </c>
      <c r="Y48" s="240">
        <v>215</v>
      </c>
      <c r="Z48" s="240">
        <v>215</v>
      </c>
      <c r="AA48" s="240">
        <v>215</v>
      </c>
      <c r="AB48" s="240">
        <v>215</v>
      </c>
      <c r="AC48" s="239" t="s">
        <v>40351</v>
      </c>
      <c r="AD48" s="239" t="s">
        <v>40351</v>
      </c>
      <c r="AE48" s="239" t="s">
        <v>40351</v>
      </c>
      <c r="AF48" s="241">
        <f>SUM(Tabela96[[#This Row], [jan/26]:[dez/26]])</f>
      </c>
      <c r="AG48" s="240">
        <v>0</v>
      </c>
      <c r="AH48" s="240">
        <v>0</v>
      </c>
      <c r="AI48" s="240">
        <v>0</v>
      </c>
      <c r="AJ48" s="240">
        <v>0</v>
      </c>
      <c r="AK48" s="240">
        <f>SUM(Tabela96[[#This Row], [2026]:[2030]])</f>
      </c>
      <c r="AL48" s="240">
        <v>0</v>
      </c>
      <c r="AM48" s="240">
        <v>0</v>
      </c>
      <c r="AN48" s="240">
        <v>0</v>
      </c>
      <c r="AO48" s="240">
        <v>0</v>
      </c>
      <c r="AP48" s="240">
        <v>0</v>
      </c>
      <c r="AQ48" s="242">
        <f>SUM(Tabela96[[#This Row], [2026-2030]:[2035]])</f>
      </c>
      <c r="AR48" s="1"/>
      <c r="AS48" s="239" t="s">
        <v>40352</v>
      </c>
      <c r="AT48" s="243">
        <v>2024</v>
      </c>
      <c r="AU48" s="239" t="s">
        <v>40498</v>
      </c>
      <c r="AV48" s="3" t="s">
        <v>40495</v>
      </c>
      <c r="AW48" s="239" t="s">
        <v>46</v>
      </c>
      <c r="AX48" s="2"/>
      <c r="AY48" s="2"/>
      <c r="AZ48" s="239" t="s">
        <v>40448</v>
      </c>
    </row>
    <row x14ac:dyDescent="0.25" r="49" customHeight="1" ht="24.75">
      <c r="A49" s="1"/>
      <c r="B49" s="237">
        <f>AND(ISTEXT('Consolidado-Eletronorte'!#REF!),SUM('Consolidado-Eletronorte'!#REF!)&gt;0)</f>
      </c>
      <c r="C49" s="238">
        <f>$J$3</f>
      </c>
      <c r="D49" s="238">
        <f>$H$3</f>
      </c>
      <c r="E49" s="238">
        <f>$H$4</f>
      </c>
      <c r="F49" s="210"/>
      <c r="G49" s="238">
        <f>_xlfn.CONCAT('Consolidado-Eletronorte'!#REF!,"_",ROW('Consolidado-Eletronorte'!#REF!)-ROW('Consolidado-Eletronorte'!$G$18))</f>
      </c>
      <c r="H49" s="212" t="s">
        <v>10</v>
      </c>
      <c r="I49" s="212" t="s">
        <v>87</v>
      </c>
      <c r="J49" s="212" t="s">
        <v>5</v>
      </c>
      <c r="K49" s="213" t="s">
        <v>16</v>
      </c>
      <c r="L49" s="212" t="s">
        <v>67</v>
      </c>
      <c r="M49" s="239" t="s">
        <v>40499</v>
      </c>
      <c r="N49" s="212"/>
      <c r="O49" s="212"/>
      <c r="P49" s="212"/>
      <c r="Q49" s="239" t="s">
        <v>40500</v>
      </c>
      <c r="R49" s="239" t="s">
        <v>40444</v>
      </c>
      <c r="S49" s="239" t="s">
        <v>40493</v>
      </c>
      <c r="T49" s="240">
        <v>215</v>
      </c>
      <c r="U49" s="240">
        <v>215</v>
      </c>
      <c r="V49" s="240">
        <v>215</v>
      </c>
      <c r="W49" s="240">
        <v>215</v>
      </c>
      <c r="X49" s="240">
        <v>215</v>
      </c>
      <c r="Y49" s="240">
        <v>215</v>
      </c>
      <c r="Z49" s="240">
        <v>215</v>
      </c>
      <c r="AA49" s="240">
        <v>215</v>
      </c>
      <c r="AB49" s="240">
        <v>215</v>
      </c>
      <c r="AC49" s="239" t="s">
        <v>40351</v>
      </c>
      <c r="AD49" s="239" t="s">
        <v>40351</v>
      </c>
      <c r="AE49" s="239" t="s">
        <v>40351</v>
      </c>
      <c r="AF49" s="241">
        <f>SUM(Tabela96[[#This Row], [jan/26]:[dez/26]])</f>
      </c>
      <c r="AG49" s="240">
        <v>0</v>
      </c>
      <c r="AH49" s="240">
        <v>0</v>
      </c>
      <c r="AI49" s="240">
        <v>0</v>
      </c>
      <c r="AJ49" s="240">
        <v>0</v>
      </c>
      <c r="AK49" s="240">
        <f>SUM(Tabela96[[#This Row], [2026]:[2030]])</f>
      </c>
      <c r="AL49" s="240">
        <v>0</v>
      </c>
      <c r="AM49" s="240">
        <v>0</v>
      </c>
      <c r="AN49" s="240">
        <v>0</v>
      </c>
      <c r="AO49" s="240">
        <v>0</v>
      </c>
      <c r="AP49" s="240">
        <v>0</v>
      </c>
      <c r="AQ49" s="242">
        <f>SUM(Tabela96[[#This Row], [2026-2030]:[2035]])</f>
      </c>
      <c r="AR49" s="1"/>
      <c r="AS49" s="239" t="s">
        <v>40352</v>
      </c>
      <c r="AT49" s="243">
        <v>2024</v>
      </c>
      <c r="AU49" s="239" t="s">
        <v>40501</v>
      </c>
      <c r="AV49" s="3" t="s">
        <v>40495</v>
      </c>
      <c r="AW49" s="239" t="s">
        <v>46</v>
      </c>
      <c r="AX49" s="2"/>
      <c r="AY49" s="2"/>
      <c r="AZ49" s="239" t="s">
        <v>40448</v>
      </c>
    </row>
    <row x14ac:dyDescent="0.25" r="50" customHeight="1" ht="24.75">
      <c r="A50" s="1"/>
      <c r="B50" s="237">
        <f>AND(ISTEXT('Consolidado-Eletronorte'!#REF!),SUM('Consolidado-Eletronorte'!#REF!)&gt;0)</f>
      </c>
      <c r="C50" s="238">
        <f>$J$3</f>
      </c>
      <c r="D50" s="238">
        <f>$H$3</f>
      </c>
      <c r="E50" s="238">
        <f>$H$4</f>
      </c>
      <c r="F50" s="210"/>
      <c r="G50" s="238">
        <f>_xlfn.CONCAT('Consolidado-Eletronorte'!#REF!,"_",ROW('Consolidado-Eletronorte'!#REF!)-ROW('Consolidado-Eletronorte'!$G$18))</f>
      </c>
      <c r="H50" s="212" t="s">
        <v>10</v>
      </c>
      <c r="I50" s="212" t="s">
        <v>87</v>
      </c>
      <c r="J50" s="212" t="s">
        <v>5</v>
      </c>
      <c r="K50" s="213" t="s">
        <v>16</v>
      </c>
      <c r="L50" s="212" t="s">
        <v>67</v>
      </c>
      <c r="M50" s="239" t="s">
        <v>40502</v>
      </c>
      <c r="N50" s="212"/>
      <c r="O50" s="212"/>
      <c r="P50" s="212"/>
      <c r="Q50" s="239" t="s">
        <v>40503</v>
      </c>
      <c r="R50" s="239" t="s">
        <v>40444</v>
      </c>
      <c r="S50" s="239" t="s">
        <v>40493</v>
      </c>
      <c r="T50" s="240">
        <v>215</v>
      </c>
      <c r="U50" s="240">
        <v>215</v>
      </c>
      <c r="V50" s="240">
        <v>215</v>
      </c>
      <c r="W50" s="240">
        <v>215</v>
      </c>
      <c r="X50" s="240">
        <v>215</v>
      </c>
      <c r="Y50" s="240">
        <v>215</v>
      </c>
      <c r="Z50" s="240">
        <v>215</v>
      </c>
      <c r="AA50" s="240">
        <v>215</v>
      </c>
      <c r="AB50" s="240">
        <v>215</v>
      </c>
      <c r="AC50" s="239" t="s">
        <v>40351</v>
      </c>
      <c r="AD50" s="239" t="s">
        <v>40351</v>
      </c>
      <c r="AE50" s="239" t="s">
        <v>40351</v>
      </c>
      <c r="AF50" s="241">
        <f>SUM(Tabela96[[#This Row], [jan/26]:[dez/26]])</f>
      </c>
      <c r="AG50" s="240">
        <v>0</v>
      </c>
      <c r="AH50" s="240">
        <v>0</v>
      </c>
      <c r="AI50" s="240">
        <v>0</v>
      </c>
      <c r="AJ50" s="240">
        <v>0</v>
      </c>
      <c r="AK50" s="240">
        <f>SUM(Tabela96[[#This Row], [2026]:[2030]])</f>
      </c>
      <c r="AL50" s="240">
        <v>0</v>
      </c>
      <c r="AM50" s="240">
        <v>0</v>
      </c>
      <c r="AN50" s="240">
        <v>0</v>
      </c>
      <c r="AO50" s="240">
        <v>0</v>
      </c>
      <c r="AP50" s="240">
        <v>0</v>
      </c>
      <c r="AQ50" s="242">
        <f>SUM(Tabela96[[#This Row], [2026-2030]:[2035]])</f>
      </c>
      <c r="AR50" s="1"/>
      <c r="AS50" s="239" t="s">
        <v>40352</v>
      </c>
      <c r="AT50" s="243">
        <v>2024</v>
      </c>
      <c r="AU50" s="239" t="s">
        <v>40504</v>
      </c>
      <c r="AV50" s="3" t="s">
        <v>40495</v>
      </c>
      <c r="AW50" s="239" t="s">
        <v>46</v>
      </c>
      <c r="AX50" s="2"/>
      <c r="AY50" s="2"/>
      <c r="AZ50" s="239" t="s">
        <v>40448</v>
      </c>
    </row>
    <row x14ac:dyDescent="0.25" r="51" customHeight="1" ht="24.75">
      <c r="A51" s="1"/>
      <c r="B51" s="237">
        <f>AND(ISTEXT('Consolidado-Eletronorte'!#REF!),SUM('Consolidado-Eletronorte'!#REF!)&gt;0)</f>
      </c>
      <c r="C51" s="238">
        <f>$J$3</f>
      </c>
      <c r="D51" s="238">
        <f>$H$3</f>
      </c>
      <c r="E51" s="238">
        <f>$H$4</f>
      </c>
      <c r="F51" s="210"/>
      <c r="G51" s="238">
        <f>_xlfn.CONCAT('Consolidado-Eletronorte'!#REF!,"_",ROW('Consolidado-Eletronorte'!#REF!)-ROW('Consolidado-Eletronorte'!$G$18))</f>
      </c>
      <c r="H51" s="212" t="s">
        <v>10</v>
      </c>
      <c r="I51" s="212" t="s">
        <v>87</v>
      </c>
      <c r="J51" s="212" t="s">
        <v>5</v>
      </c>
      <c r="K51" s="213" t="s">
        <v>16</v>
      </c>
      <c r="L51" s="212" t="s">
        <v>67</v>
      </c>
      <c r="M51" s="239" t="s">
        <v>40505</v>
      </c>
      <c r="N51" s="212"/>
      <c r="O51" s="212"/>
      <c r="P51" s="212"/>
      <c r="Q51" s="239" t="s">
        <v>40506</v>
      </c>
      <c r="R51" s="239" t="s">
        <v>40444</v>
      </c>
      <c r="S51" s="239" t="s">
        <v>40493</v>
      </c>
      <c r="T51" s="240">
        <v>215</v>
      </c>
      <c r="U51" s="240">
        <v>215</v>
      </c>
      <c r="V51" s="240">
        <v>215</v>
      </c>
      <c r="W51" s="240">
        <v>215</v>
      </c>
      <c r="X51" s="240">
        <v>215</v>
      </c>
      <c r="Y51" s="240">
        <v>215</v>
      </c>
      <c r="Z51" s="240">
        <v>215</v>
      </c>
      <c r="AA51" s="240">
        <v>215</v>
      </c>
      <c r="AB51" s="240">
        <v>215</v>
      </c>
      <c r="AC51" s="239" t="s">
        <v>40351</v>
      </c>
      <c r="AD51" s="239" t="s">
        <v>40351</v>
      </c>
      <c r="AE51" s="239" t="s">
        <v>40351</v>
      </c>
      <c r="AF51" s="241">
        <f>SUM(Tabela96[[#This Row], [jan/26]:[dez/26]])</f>
      </c>
      <c r="AG51" s="240">
        <v>0</v>
      </c>
      <c r="AH51" s="240">
        <v>0</v>
      </c>
      <c r="AI51" s="240">
        <v>0</v>
      </c>
      <c r="AJ51" s="240">
        <v>0</v>
      </c>
      <c r="AK51" s="240">
        <f>SUM(Tabela96[[#This Row], [2026]:[2030]])</f>
      </c>
      <c r="AL51" s="240">
        <v>0</v>
      </c>
      <c r="AM51" s="240">
        <v>0</v>
      </c>
      <c r="AN51" s="240">
        <v>0</v>
      </c>
      <c r="AO51" s="240">
        <v>0</v>
      </c>
      <c r="AP51" s="240">
        <v>0</v>
      </c>
      <c r="AQ51" s="242">
        <f>SUM(Tabela96[[#This Row], [2026-2030]:[2035]])</f>
      </c>
      <c r="AR51" s="1"/>
      <c r="AS51" s="239" t="s">
        <v>40352</v>
      </c>
      <c r="AT51" s="243">
        <v>2024</v>
      </c>
      <c r="AU51" s="239" t="s">
        <v>40507</v>
      </c>
      <c r="AV51" s="3" t="s">
        <v>40495</v>
      </c>
      <c r="AW51" s="239" t="s">
        <v>46</v>
      </c>
      <c r="AX51" s="2"/>
      <c r="AY51" s="2"/>
      <c r="AZ51" s="239" t="s">
        <v>40448</v>
      </c>
    </row>
    <row x14ac:dyDescent="0.25" r="52" customHeight="1" ht="24.75">
      <c r="A52" s="1"/>
      <c r="B52" s="237">
        <f>AND(ISTEXT('Consolidado-Eletronorte'!#REF!),SUM('Consolidado-Eletronorte'!#REF!)&gt;0)</f>
      </c>
      <c r="C52" s="238">
        <f>$J$3</f>
      </c>
      <c r="D52" s="238">
        <f>$H$3</f>
      </c>
      <c r="E52" s="238">
        <f>$H$4</f>
      </c>
      <c r="F52" s="210"/>
      <c r="G52" s="238">
        <f>_xlfn.CONCAT('Consolidado-Eletronorte'!#REF!,"_",ROW('Consolidado-Eletronorte'!#REF!)-ROW('Consolidado-Eletronorte'!$G$18))</f>
      </c>
      <c r="H52" s="212" t="s">
        <v>10</v>
      </c>
      <c r="I52" s="212" t="s">
        <v>87</v>
      </c>
      <c r="J52" s="212" t="s">
        <v>5</v>
      </c>
      <c r="K52" s="213" t="s">
        <v>16</v>
      </c>
      <c r="L52" s="212" t="s">
        <v>67</v>
      </c>
      <c r="M52" s="239" t="s">
        <v>40508</v>
      </c>
      <c r="N52" s="212"/>
      <c r="O52" s="212"/>
      <c r="P52" s="212"/>
      <c r="Q52" s="239" t="s">
        <v>40509</v>
      </c>
      <c r="R52" s="239" t="s">
        <v>40444</v>
      </c>
      <c r="S52" s="239" t="s">
        <v>40493</v>
      </c>
      <c r="T52" s="240">
        <v>215</v>
      </c>
      <c r="U52" s="240">
        <v>215</v>
      </c>
      <c r="V52" s="240">
        <v>215</v>
      </c>
      <c r="W52" s="240">
        <v>215</v>
      </c>
      <c r="X52" s="240">
        <v>215</v>
      </c>
      <c r="Y52" s="240">
        <v>215</v>
      </c>
      <c r="Z52" s="240">
        <v>215</v>
      </c>
      <c r="AA52" s="240">
        <v>215</v>
      </c>
      <c r="AB52" s="240">
        <v>215</v>
      </c>
      <c r="AC52" s="239" t="s">
        <v>40351</v>
      </c>
      <c r="AD52" s="239" t="s">
        <v>40351</v>
      </c>
      <c r="AE52" s="239" t="s">
        <v>40351</v>
      </c>
      <c r="AF52" s="241">
        <f>SUM(Tabela96[[#This Row], [jan/26]:[dez/26]])</f>
      </c>
      <c r="AG52" s="240">
        <v>0</v>
      </c>
      <c r="AH52" s="240">
        <v>0</v>
      </c>
      <c r="AI52" s="240">
        <v>0</v>
      </c>
      <c r="AJ52" s="240">
        <v>0</v>
      </c>
      <c r="AK52" s="240">
        <f>SUM(Tabela96[[#This Row], [2026]:[2030]])</f>
      </c>
      <c r="AL52" s="240">
        <v>0</v>
      </c>
      <c r="AM52" s="240">
        <v>0</v>
      </c>
      <c r="AN52" s="240">
        <v>0</v>
      </c>
      <c r="AO52" s="240">
        <v>0</v>
      </c>
      <c r="AP52" s="240">
        <v>0</v>
      </c>
      <c r="AQ52" s="242">
        <f>SUM(Tabela96[[#This Row], [2026-2030]:[2035]])</f>
      </c>
      <c r="AR52" s="1"/>
      <c r="AS52" s="239" t="s">
        <v>40352</v>
      </c>
      <c r="AT52" s="243">
        <v>2024</v>
      </c>
      <c r="AU52" s="239" t="s">
        <v>40510</v>
      </c>
      <c r="AV52" s="3" t="s">
        <v>40495</v>
      </c>
      <c r="AW52" s="239" t="s">
        <v>46</v>
      </c>
      <c r="AX52" s="2"/>
      <c r="AY52" s="2"/>
      <c r="AZ52" s="239" t="s">
        <v>40448</v>
      </c>
    </row>
    <row x14ac:dyDescent="0.25" r="53" customHeight="1" ht="24.75">
      <c r="A53" s="1"/>
      <c r="B53" s="237">
        <f>AND(ISTEXT('Consolidado-Eletronorte'!#REF!),SUM('Consolidado-Eletronorte'!#REF!)&gt;0)</f>
      </c>
      <c r="C53" s="238">
        <f>$J$3</f>
      </c>
      <c r="D53" s="238">
        <f>$H$3</f>
      </c>
      <c r="E53" s="238">
        <f>$H$4</f>
      </c>
      <c r="F53" s="210"/>
      <c r="G53" s="238">
        <f>_xlfn.CONCAT('Consolidado-Eletronorte'!#REF!,"_",ROW('Consolidado-Eletronorte'!#REF!)-ROW('Consolidado-Eletronorte'!$G$18))</f>
      </c>
      <c r="H53" s="212" t="s">
        <v>10</v>
      </c>
      <c r="I53" s="212" t="s">
        <v>87</v>
      </c>
      <c r="J53" s="212" t="s">
        <v>5</v>
      </c>
      <c r="K53" s="213" t="s">
        <v>16</v>
      </c>
      <c r="L53" s="212" t="s">
        <v>67</v>
      </c>
      <c r="M53" s="239" t="s">
        <v>40511</v>
      </c>
      <c r="N53" s="212"/>
      <c r="O53" s="212"/>
      <c r="P53" s="212"/>
      <c r="Q53" s="239" t="s">
        <v>40512</v>
      </c>
      <c r="R53" s="239" t="s">
        <v>40444</v>
      </c>
      <c r="S53" s="239" t="s">
        <v>40493</v>
      </c>
      <c r="T53" s="240">
        <v>215</v>
      </c>
      <c r="U53" s="240">
        <v>215</v>
      </c>
      <c r="V53" s="240">
        <v>215</v>
      </c>
      <c r="W53" s="240">
        <v>215</v>
      </c>
      <c r="X53" s="240">
        <v>215</v>
      </c>
      <c r="Y53" s="240">
        <v>215</v>
      </c>
      <c r="Z53" s="240">
        <v>215</v>
      </c>
      <c r="AA53" s="240">
        <v>215</v>
      </c>
      <c r="AB53" s="240">
        <v>215</v>
      </c>
      <c r="AC53" s="239" t="s">
        <v>40351</v>
      </c>
      <c r="AD53" s="239" t="s">
        <v>40351</v>
      </c>
      <c r="AE53" s="239" t="s">
        <v>40351</v>
      </c>
      <c r="AF53" s="241">
        <f>SUM(Tabela96[[#This Row], [jan/26]:[dez/26]])</f>
      </c>
      <c r="AG53" s="240">
        <v>0</v>
      </c>
      <c r="AH53" s="240">
        <v>0</v>
      </c>
      <c r="AI53" s="240">
        <v>0</v>
      </c>
      <c r="AJ53" s="240">
        <v>0</v>
      </c>
      <c r="AK53" s="240">
        <f>SUM(Tabela96[[#This Row], [2026]:[2030]])</f>
      </c>
      <c r="AL53" s="240">
        <v>0</v>
      </c>
      <c r="AM53" s="240">
        <v>0</v>
      </c>
      <c r="AN53" s="240">
        <v>0</v>
      </c>
      <c r="AO53" s="240">
        <v>0</v>
      </c>
      <c r="AP53" s="240">
        <v>0</v>
      </c>
      <c r="AQ53" s="242">
        <f>SUM(Tabela96[[#This Row], [2026-2030]:[2035]])</f>
      </c>
      <c r="AR53" s="1"/>
      <c r="AS53" s="239" t="s">
        <v>40352</v>
      </c>
      <c r="AT53" s="243">
        <v>2024</v>
      </c>
      <c r="AU53" s="239" t="s">
        <v>40513</v>
      </c>
      <c r="AV53" s="3" t="s">
        <v>40495</v>
      </c>
      <c r="AW53" s="239" t="s">
        <v>46</v>
      </c>
      <c r="AX53" s="2"/>
      <c r="AY53" s="2"/>
      <c r="AZ53" s="239" t="s">
        <v>40448</v>
      </c>
    </row>
    <row x14ac:dyDescent="0.25" r="54" customHeight="1" ht="24.75">
      <c r="A54" s="1"/>
      <c r="B54" s="237">
        <f>AND(ISTEXT('Consolidado-Eletronorte'!#REF!),SUM('Consolidado-Eletronorte'!#REF!)&gt;0)</f>
      </c>
      <c r="C54" s="238">
        <f>$J$3</f>
      </c>
      <c r="D54" s="238">
        <f>$H$3</f>
      </c>
      <c r="E54" s="238">
        <f>$H$4</f>
      </c>
      <c r="F54" s="210"/>
      <c r="G54" s="238">
        <f>_xlfn.CONCAT('Consolidado-Eletronorte'!#REF!,"_",ROW('Consolidado-Eletronorte'!#REF!)-ROW('Consolidado-Eletronorte'!$G$18))</f>
      </c>
      <c r="H54" s="212" t="s">
        <v>10</v>
      </c>
      <c r="I54" s="212" t="s">
        <v>87</v>
      </c>
      <c r="J54" s="212" t="s">
        <v>5</v>
      </c>
      <c r="K54" s="213" t="s">
        <v>16</v>
      </c>
      <c r="L54" s="212" t="s">
        <v>67</v>
      </c>
      <c r="M54" s="239" t="s">
        <v>40514</v>
      </c>
      <c r="N54" s="212"/>
      <c r="O54" s="212"/>
      <c r="P54" s="212"/>
      <c r="Q54" s="239" t="s">
        <v>40515</v>
      </c>
      <c r="R54" s="239" t="s">
        <v>40444</v>
      </c>
      <c r="S54" s="239" t="s">
        <v>40493</v>
      </c>
      <c r="T54" s="240">
        <v>215</v>
      </c>
      <c r="U54" s="240">
        <v>215</v>
      </c>
      <c r="V54" s="240">
        <v>215</v>
      </c>
      <c r="W54" s="240">
        <v>215</v>
      </c>
      <c r="X54" s="240">
        <v>215</v>
      </c>
      <c r="Y54" s="240">
        <v>215</v>
      </c>
      <c r="Z54" s="240">
        <v>215</v>
      </c>
      <c r="AA54" s="240">
        <v>215</v>
      </c>
      <c r="AB54" s="240">
        <v>215</v>
      </c>
      <c r="AC54" s="239" t="s">
        <v>40351</v>
      </c>
      <c r="AD54" s="239" t="s">
        <v>40351</v>
      </c>
      <c r="AE54" s="239" t="s">
        <v>40351</v>
      </c>
      <c r="AF54" s="241">
        <f>SUM(Tabela96[[#This Row], [jan/26]:[dez/26]])</f>
      </c>
      <c r="AG54" s="240">
        <v>0</v>
      </c>
      <c r="AH54" s="240">
        <v>0</v>
      </c>
      <c r="AI54" s="240">
        <v>0</v>
      </c>
      <c r="AJ54" s="240">
        <v>0</v>
      </c>
      <c r="AK54" s="240">
        <f>SUM(Tabela96[[#This Row], [2026]:[2030]])</f>
      </c>
      <c r="AL54" s="240">
        <v>0</v>
      </c>
      <c r="AM54" s="240">
        <v>0</v>
      </c>
      <c r="AN54" s="240">
        <v>0</v>
      </c>
      <c r="AO54" s="240">
        <v>0</v>
      </c>
      <c r="AP54" s="240">
        <v>0</v>
      </c>
      <c r="AQ54" s="242">
        <f>SUM(Tabela96[[#This Row], [2026-2030]:[2035]])</f>
      </c>
      <c r="AR54" s="1"/>
      <c r="AS54" s="239" t="s">
        <v>40352</v>
      </c>
      <c r="AT54" s="243">
        <v>2024</v>
      </c>
      <c r="AU54" s="239" t="s">
        <v>40516</v>
      </c>
      <c r="AV54" s="3" t="s">
        <v>40495</v>
      </c>
      <c r="AW54" s="239" t="s">
        <v>46</v>
      </c>
      <c r="AX54" s="2"/>
      <c r="AY54" s="2"/>
      <c r="AZ54" s="239" t="s">
        <v>40448</v>
      </c>
    </row>
    <row x14ac:dyDescent="0.25" r="55" customHeight="1" ht="24.75">
      <c r="A55" s="1"/>
      <c r="B55" s="237">
        <f>AND(ISTEXT('Consolidado-Eletronorte'!#REF!),SUM('Consolidado-Eletronorte'!#REF!)&gt;0)</f>
      </c>
      <c r="C55" s="238">
        <f>$J$3</f>
      </c>
      <c r="D55" s="238">
        <f>$H$3</f>
      </c>
      <c r="E55" s="238">
        <f>$H$4</f>
      </c>
      <c r="F55" s="210"/>
      <c r="G55" s="238">
        <f>_xlfn.CONCAT('Consolidado-Eletronorte'!#REF!,"_",ROW('Consolidado-Eletronorte'!#REF!)-ROW('Consolidado-Eletronorte'!$G$18))</f>
      </c>
      <c r="H55" s="212" t="s">
        <v>10</v>
      </c>
      <c r="I55" s="212" t="s">
        <v>87</v>
      </c>
      <c r="J55" s="212" t="s">
        <v>5</v>
      </c>
      <c r="K55" s="213" t="s">
        <v>16</v>
      </c>
      <c r="L55" s="212" t="s">
        <v>67</v>
      </c>
      <c r="M55" s="239" t="s">
        <v>40517</v>
      </c>
      <c r="N55" s="212"/>
      <c r="O55" s="212"/>
      <c r="P55" s="212"/>
      <c r="Q55" s="239" t="s">
        <v>40518</v>
      </c>
      <c r="R55" s="239" t="s">
        <v>40444</v>
      </c>
      <c r="S55" s="239" t="s">
        <v>40493</v>
      </c>
      <c r="T55" s="240">
        <v>215</v>
      </c>
      <c r="U55" s="240">
        <v>215</v>
      </c>
      <c r="V55" s="240">
        <v>215</v>
      </c>
      <c r="W55" s="240">
        <v>215</v>
      </c>
      <c r="X55" s="240">
        <v>215</v>
      </c>
      <c r="Y55" s="240">
        <v>215</v>
      </c>
      <c r="Z55" s="240">
        <v>215</v>
      </c>
      <c r="AA55" s="240">
        <v>215</v>
      </c>
      <c r="AB55" s="240">
        <v>215</v>
      </c>
      <c r="AC55" s="239" t="s">
        <v>40351</v>
      </c>
      <c r="AD55" s="239" t="s">
        <v>40351</v>
      </c>
      <c r="AE55" s="239" t="s">
        <v>40351</v>
      </c>
      <c r="AF55" s="241">
        <f>SUM(Tabela96[[#This Row], [jan/26]:[dez/26]])</f>
      </c>
      <c r="AG55" s="240">
        <v>0</v>
      </c>
      <c r="AH55" s="240">
        <v>0</v>
      </c>
      <c r="AI55" s="240">
        <v>0</v>
      </c>
      <c r="AJ55" s="240">
        <v>0</v>
      </c>
      <c r="AK55" s="240">
        <f>SUM(Tabela96[[#This Row], [2026]:[2030]])</f>
      </c>
      <c r="AL55" s="240">
        <v>0</v>
      </c>
      <c r="AM55" s="240">
        <v>0</v>
      </c>
      <c r="AN55" s="240">
        <v>0</v>
      </c>
      <c r="AO55" s="240">
        <v>0</v>
      </c>
      <c r="AP55" s="240">
        <v>0</v>
      </c>
      <c r="AQ55" s="242">
        <f>SUM(Tabela96[[#This Row], [2026-2030]:[2035]])</f>
      </c>
      <c r="AR55" s="1"/>
      <c r="AS55" s="239" t="s">
        <v>40352</v>
      </c>
      <c r="AT55" s="243">
        <v>2024</v>
      </c>
      <c r="AU55" s="239" t="s">
        <v>40519</v>
      </c>
      <c r="AV55" s="3" t="s">
        <v>40495</v>
      </c>
      <c r="AW55" s="239" t="s">
        <v>46</v>
      </c>
      <c r="AX55" s="2"/>
      <c r="AY55" s="2"/>
      <c r="AZ55" s="239" t="s">
        <v>40448</v>
      </c>
    </row>
    <row x14ac:dyDescent="0.25" r="56" customHeight="1" ht="24.75">
      <c r="A56" s="1"/>
      <c r="B56" s="237">
        <f>AND(ISTEXT('Consolidado-Eletronorte'!#REF!),SUM('Consolidado-Eletronorte'!#REF!)&gt;0)</f>
      </c>
      <c r="C56" s="238">
        <f>$J$3</f>
      </c>
      <c r="D56" s="238">
        <f>$H$3</f>
      </c>
      <c r="E56" s="238">
        <f>$H$4</f>
      </c>
      <c r="F56" s="210"/>
      <c r="G56" s="238">
        <f>_xlfn.CONCAT('Consolidado-Eletronorte'!#REF!,"_",ROW('Consolidado-Eletronorte'!#REF!)-ROW('Consolidado-Eletronorte'!$G$18))</f>
      </c>
      <c r="H56" s="212" t="s">
        <v>10</v>
      </c>
      <c r="I56" s="212" t="s">
        <v>87</v>
      </c>
      <c r="J56" s="212" t="s">
        <v>5</v>
      </c>
      <c r="K56" s="213" t="s">
        <v>16</v>
      </c>
      <c r="L56" s="212" t="s">
        <v>67</v>
      </c>
      <c r="M56" s="239" t="s">
        <v>40520</v>
      </c>
      <c r="N56" s="212"/>
      <c r="O56" s="212"/>
      <c r="P56" s="212"/>
      <c r="Q56" s="239" t="s">
        <v>40521</v>
      </c>
      <c r="R56" s="239" t="s">
        <v>40444</v>
      </c>
      <c r="S56" s="239" t="s">
        <v>40493</v>
      </c>
      <c r="T56" s="240">
        <v>215</v>
      </c>
      <c r="U56" s="240">
        <v>215</v>
      </c>
      <c r="V56" s="240">
        <v>215</v>
      </c>
      <c r="W56" s="240">
        <v>215</v>
      </c>
      <c r="X56" s="240">
        <v>215</v>
      </c>
      <c r="Y56" s="240">
        <v>215</v>
      </c>
      <c r="Z56" s="240">
        <v>215</v>
      </c>
      <c r="AA56" s="240">
        <v>215</v>
      </c>
      <c r="AB56" s="240">
        <v>215</v>
      </c>
      <c r="AC56" s="239" t="s">
        <v>40351</v>
      </c>
      <c r="AD56" s="239" t="s">
        <v>40351</v>
      </c>
      <c r="AE56" s="239" t="s">
        <v>40351</v>
      </c>
      <c r="AF56" s="241">
        <f>SUM(Tabela96[[#This Row], [jan/26]:[dez/26]])</f>
      </c>
      <c r="AG56" s="240">
        <v>0</v>
      </c>
      <c r="AH56" s="240">
        <v>0</v>
      </c>
      <c r="AI56" s="240">
        <v>0</v>
      </c>
      <c r="AJ56" s="240">
        <v>0</v>
      </c>
      <c r="AK56" s="240">
        <f>SUM(Tabela96[[#This Row], [2026]:[2030]])</f>
      </c>
      <c r="AL56" s="240">
        <v>0</v>
      </c>
      <c r="AM56" s="240">
        <v>0</v>
      </c>
      <c r="AN56" s="240">
        <v>0</v>
      </c>
      <c r="AO56" s="240">
        <v>0</v>
      </c>
      <c r="AP56" s="240">
        <v>0</v>
      </c>
      <c r="AQ56" s="242">
        <f>SUM(Tabela96[[#This Row], [2026-2030]:[2035]])</f>
      </c>
      <c r="AR56" s="1"/>
      <c r="AS56" s="239" t="s">
        <v>40352</v>
      </c>
      <c r="AT56" s="243">
        <v>2024</v>
      </c>
      <c r="AU56" s="239" t="s">
        <v>40522</v>
      </c>
      <c r="AV56" s="3" t="s">
        <v>40495</v>
      </c>
      <c r="AW56" s="239" t="s">
        <v>46</v>
      </c>
      <c r="AX56" s="2"/>
      <c r="AY56" s="2"/>
      <c r="AZ56" s="239" t="s">
        <v>40448</v>
      </c>
    </row>
    <row x14ac:dyDescent="0.25" r="57" customHeight="1" ht="24.75">
      <c r="A57" s="1"/>
      <c r="B57" s="237">
        <f>AND(ISTEXT('Consolidado-Eletronorte'!#REF!),SUM('Consolidado-Eletronorte'!#REF!)&gt;0)</f>
      </c>
      <c r="C57" s="238">
        <f>$J$3</f>
      </c>
      <c r="D57" s="238">
        <f>$H$3</f>
      </c>
      <c r="E57" s="238">
        <f>$H$4</f>
      </c>
      <c r="F57" s="210"/>
      <c r="G57" s="238">
        <f>_xlfn.CONCAT('Consolidado-Eletronorte'!#REF!,"_",ROW('Consolidado-Eletronorte'!#REF!)-ROW('Consolidado-Eletronorte'!$G$18))</f>
      </c>
      <c r="H57" s="212" t="s">
        <v>10</v>
      </c>
      <c r="I57" s="212" t="s">
        <v>87</v>
      </c>
      <c r="J57" s="212" t="s">
        <v>5</v>
      </c>
      <c r="K57" s="213" t="s">
        <v>16</v>
      </c>
      <c r="L57" s="212" t="s">
        <v>67</v>
      </c>
      <c r="M57" s="239" t="s">
        <v>40523</v>
      </c>
      <c r="N57" s="212"/>
      <c r="O57" s="212"/>
      <c r="P57" s="212"/>
      <c r="Q57" s="239" t="s">
        <v>40524</v>
      </c>
      <c r="R57" s="239" t="s">
        <v>40444</v>
      </c>
      <c r="S57" s="239" t="s">
        <v>40493</v>
      </c>
      <c r="T57" s="240">
        <v>215</v>
      </c>
      <c r="U57" s="240">
        <v>215</v>
      </c>
      <c r="V57" s="240">
        <v>215</v>
      </c>
      <c r="W57" s="240">
        <v>215</v>
      </c>
      <c r="X57" s="240">
        <v>215</v>
      </c>
      <c r="Y57" s="240">
        <v>215</v>
      </c>
      <c r="Z57" s="240">
        <v>215</v>
      </c>
      <c r="AA57" s="240">
        <v>215</v>
      </c>
      <c r="AB57" s="240">
        <v>215</v>
      </c>
      <c r="AC57" s="239" t="s">
        <v>40351</v>
      </c>
      <c r="AD57" s="239" t="s">
        <v>40351</v>
      </c>
      <c r="AE57" s="239" t="s">
        <v>40351</v>
      </c>
      <c r="AF57" s="241">
        <f>SUM(Tabela96[[#This Row], [jan/26]:[dez/26]])</f>
      </c>
      <c r="AG57" s="240">
        <v>0</v>
      </c>
      <c r="AH57" s="240">
        <v>0</v>
      </c>
      <c r="AI57" s="240">
        <v>0</v>
      </c>
      <c r="AJ57" s="240">
        <v>0</v>
      </c>
      <c r="AK57" s="240">
        <f>SUM(Tabela96[[#This Row], [2026]:[2030]])</f>
      </c>
      <c r="AL57" s="240">
        <v>0</v>
      </c>
      <c r="AM57" s="240">
        <v>0</v>
      </c>
      <c r="AN57" s="240">
        <v>0</v>
      </c>
      <c r="AO57" s="240">
        <v>0</v>
      </c>
      <c r="AP57" s="240">
        <v>0</v>
      </c>
      <c r="AQ57" s="242">
        <f>SUM(Tabela96[[#This Row], [2026-2030]:[2035]])</f>
      </c>
      <c r="AR57" s="1"/>
      <c r="AS57" s="239" t="s">
        <v>40352</v>
      </c>
      <c r="AT57" s="243">
        <v>2024</v>
      </c>
      <c r="AU57" s="239" t="s">
        <v>40525</v>
      </c>
      <c r="AV57" s="3" t="s">
        <v>40495</v>
      </c>
      <c r="AW57" s="239" t="s">
        <v>46</v>
      </c>
      <c r="AX57" s="2"/>
      <c r="AY57" s="2"/>
      <c r="AZ57" s="239" t="s">
        <v>40448</v>
      </c>
    </row>
    <row x14ac:dyDescent="0.25" r="58" customHeight="1" ht="24.75">
      <c r="A58" s="1"/>
      <c r="B58" s="237">
        <f>AND(ISTEXT('Consolidado-Eletronorte'!#REF!),SUM('Consolidado-Eletronorte'!#REF!)&gt;0)</f>
      </c>
      <c r="C58" s="238">
        <f>$J$3</f>
      </c>
      <c r="D58" s="238">
        <f>$H$3</f>
      </c>
      <c r="E58" s="238">
        <f>$H$4</f>
      </c>
      <c r="F58" s="210"/>
      <c r="G58" s="238">
        <f>_xlfn.CONCAT('Consolidado-Eletronorte'!#REF!,"_",ROW('Consolidado-Eletronorte'!#REF!)-ROW('Consolidado-Eletronorte'!$G$18))</f>
      </c>
      <c r="H58" s="212" t="s">
        <v>10</v>
      </c>
      <c r="I58" s="212" t="s">
        <v>87</v>
      </c>
      <c r="J58" s="212" t="s">
        <v>5</v>
      </c>
      <c r="K58" s="213" t="s">
        <v>16</v>
      </c>
      <c r="L58" s="212" t="s">
        <v>67</v>
      </c>
      <c r="M58" s="239" t="s">
        <v>40526</v>
      </c>
      <c r="N58" s="212"/>
      <c r="O58" s="212"/>
      <c r="P58" s="212"/>
      <c r="Q58" s="239" t="s">
        <v>40527</v>
      </c>
      <c r="R58" s="239" t="s">
        <v>40444</v>
      </c>
      <c r="S58" s="239" t="s">
        <v>40493</v>
      </c>
      <c r="T58" s="240">
        <v>215</v>
      </c>
      <c r="U58" s="240">
        <v>215</v>
      </c>
      <c r="V58" s="240">
        <v>215</v>
      </c>
      <c r="W58" s="240">
        <v>215</v>
      </c>
      <c r="X58" s="240">
        <v>215</v>
      </c>
      <c r="Y58" s="240">
        <v>215</v>
      </c>
      <c r="Z58" s="240">
        <v>215</v>
      </c>
      <c r="AA58" s="240">
        <v>215</v>
      </c>
      <c r="AB58" s="240">
        <v>215</v>
      </c>
      <c r="AC58" s="239" t="s">
        <v>40351</v>
      </c>
      <c r="AD58" s="239" t="s">
        <v>40351</v>
      </c>
      <c r="AE58" s="239" t="s">
        <v>40351</v>
      </c>
      <c r="AF58" s="241">
        <f>SUM(Tabela96[[#This Row], [jan/26]:[dez/26]])</f>
      </c>
      <c r="AG58" s="240">
        <v>0</v>
      </c>
      <c r="AH58" s="240">
        <v>0</v>
      </c>
      <c r="AI58" s="240">
        <v>0</v>
      </c>
      <c r="AJ58" s="240">
        <v>0</v>
      </c>
      <c r="AK58" s="240">
        <f>SUM(Tabela96[[#This Row], [2026]:[2030]])</f>
      </c>
      <c r="AL58" s="240">
        <v>0</v>
      </c>
      <c r="AM58" s="240">
        <v>0</v>
      </c>
      <c r="AN58" s="240">
        <v>0</v>
      </c>
      <c r="AO58" s="240">
        <v>0</v>
      </c>
      <c r="AP58" s="240">
        <v>0</v>
      </c>
      <c r="AQ58" s="242">
        <f>SUM(Tabela96[[#This Row], [2026-2030]:[2035]])</f>
      </c>
      <c r="AR58" s="1"/>
      <c r="AS58" s="239" t="s">
        <v>40352</v>
      </c>
      <c r="AT58" s="243">
        <v>2024</v>
      </c>
      <c r="AU58" s="239" t="s">
        <v>40528</v>
      </c>
      <c r="AV58" s="3" t="s">
        <v>40495</v>
      </c>
      <c r="AW58" s="239" t="s">
        <v>46</v>
      </c>
      <c r="AX58" s="2"/>
      <c r="AY58" s="2"/>
      <c r="AZ58" s="239" t="s">
        <v>40448</v>
      </c>
    </row>
    <row x14ac:dyDescent="0.25" r="59" customHeight="1" ht="24.75">
      <c r="A59" s="1"/>
      <c r="B59" s="237">
        <f>AND(ISTEXT('Consolidado-Eletronorte'!#REF!),SUM('Consolidado-Eletronorte'!#REF!)&gt;0)</f>
      </c>
      <c r="C59" s="238">
        <f>$J$3</f>
      </c>
      <c r="D59" s="238">
        <f>$H$3</f>
      </c>
      <c r="E59" s="238">
        <f>$H$4</f>
      </c>
      <c r="F59" s="210"/>
      <c r="G59" s="238">
        <f>_xlfn.CONCAT('Consolidado-Eletronorte'!#REF!,"_",ROW('Consolidado-Eletronorte'!#REF!)-ROW('Consolidado-Eletronorte'!$G$18))</f>
      </c>
      <c r="H59" s="212" t="s">
        <v>10</v>
      </c>
      <c r="I59" s="212" t="s">
        <v>87</v>
      </c>
      <c r="J59" s="212" t="s">
        <v>5</v>
      </c>
      <c r="K59" s="213" t="s">
        <v>16</v>
      </c>
      <c r="L59" s="212" t="s">
        <v>67</v>
      </c>
      <c r="M59" s="239" t="s">
        <v>40529</v>
      </c>
      <c r="N59" s="212"/>
      <c r="O59" s="212"/>
      <c r="P59" s="212"/>
      <c r="Q59" s="239" t="s">
        <v>40530</v>
      </c>
      <c r="R59" s="239" t="s">
        <v>40444</v>
      </c>
      <c r="S59" s="239" t="s">
        <v>40493</v>
      </c>
      <c r="T59" s="240">
        <v>215</v>
      </c>
      <c r="U59" s="240">
        <v>215</v>
      </c>
      <c r="V59" s="240">
        <v>215</v>
      </c>
      <c r="W59" s="240">
        <v>215</v>
      </c>
      <c r="X59" s="240">
        <v>215</v>
      </c>
      <c r="Y59" s="240">
        <v>215</v>
      </c>
      <c r="Z59" s="240">
        <v>215</v>
      </c>
      <c r="AA59" s="240">
        <v>215</v>
      </c>
      <c r="AB59" s="240">
        <v>215</v>
      </c>
      <c r="AC59" s="239" t="s">
        <v>40351</v>
      </c>
      <c r="AD59" s="239" t="s">
        <v>40351</v>
      </c>
      <c r="AE59" s="239" t="s">
        <v>40351</v>
      </c>
      <c r="AF59" s="241">
        <f>SUM(Tabela96[[#This Row], [jan/26]:[dez/26]])</f>
      </c>
      <c r="AG59" s="240">
        <v>0</v>
      </c>
      <c r="AH59" s="240">
        <v>0</v>
      </c>
      <c r="AI59" s="240">
        <v>0</v>
      </c>
      <c r="AJ59" s="240">
        <v>0</v>
      </c>
      <c r="AK59" s="240">
        <f>SUM(Tabela96[[#This Row], [2026]:[2030]])</f>
      </c>
      <c r="AL59" s="240">
        <v>0</v>
      </c>
      <c r="AM59" s="240">
        <v>0</v>
      </c>
      <c r="AN59" s="240">
        <v>0</v>
      </c>
      <c r="AO59" s="240">
        <v>0</v>
      </c>
      <c r="AP59" s="240">
        <v>0</v>
      </c>
      <c r="AQ59" s="242">
        <f>SUM(Tabela96[[#This Row], [2026-2030]:[2035]])</f>
      </c>
      <c r="AR59" s="1"/>
      <c r="AS59" s="239" t="s">
        <v>40352</v>
      </c>
      <c r="AT59" s="243">
        <v>2024</v>
      </c>
      <c r="AU59" s="239" t="s">
        <v>40531</v>
      </c>
      <c r="AV59" s="3" t="s">
        <v>40495</v>
      </c>
      <c r="AW59" s="239" t="s">
        <v>46</v>
      </c>
      <c r="AX59" s="2"/>
      <c r="AY59" s="2"/>
      <c r="AZ59" s="239" t="s">
        <v>40448</v>
      </c>
    </row>
    <row x14ac:dyDescent="0.25" r="60" customHeight="1" ht="24.75">
      <c r="A60" s="1"/>
      <c r="B60" s="237">
        <f>AND(ISTEXT('Consolidado-Eletronorte'!#REF!),SUM('Consolidado-Eletronorte'!#REF!)&gt;0)</f>
      </c>
      <c r="C60" s="238">
        <f>$J$3</f>
      </c>
      <c r="D60" s="238">
        <f>$H$3</f>
      </c>
      <c r="E60" s="238">
        <f>$H$4</f>
      </c>
      <c r="F60" s="210"/>
      <c r="G60" s="238">
        <f>_xlfn.CONCAT('Consolidado-Eletronorte'!#REF!,"_",ROW('Consolidado-Eletronorte'!#REF!)-ROW('Consolidado-Eletronorte'!$G$18))</f>
      </c>
      <c r="H60" s="212" t="s">
        <v>10</v>
      </c>
      <c r="I60" s="212" t="s">
        <v>87</v>
      </c>
      <c r="J60" s="212" t="s">
        <v>5</v>
      </c>
      <c r="K60" s="213" t="s">
        <v>16</v>
      </c>
      <c r="L60" s="212" t="s">
        <v>67</v>
      </c>
      <c r="M60" s="239" t="s">
        <v>40532</v>
      </c>
      <c r="N60" s="212"/>
      <c r="O60" s="212"/>
      <c r="P60" s="212"/>
      <c r="Q60" s="239" t="s">
        <v>40533</v>
      </c>
      <c r="R60" s="239" t="s">
        <v>40444</v>
      </c>
      <c r="S60" s="239" t="s">
        <v>40493</v>
      </c>
      <c r="T60" s="240">
        <v>215</v>
      </c>
      <c r="U60" s="240">
        <v>215</v>
      </c>
      <c r="V60" s="240">
        <v>215</v>
      </c>
      <c r="W60" s="240">
        <v>215</v>
      </c>
      <c r="X60" s="240">
        <v>215</v>
      </c>
      <c r="Y60" s="240">
        <v>215</v>
      </c>
      <c r="Z60" s="240">
        <v>215</v>
      </c>
      <c r="AA60" s="240">
        <v>215</v>
      </c>
      <c r="AB60" s="240">
        <v>215</v>
      </c>
      <c r="AC60" s="239" t="s">
        <v>40351</v>
      </c>
      <c r="AD60" s="239" t="s">
        <v>40351</v>
      </c>
      <c r="AE60" s="239" t="s">
        <v>40351</v>
      </c>
      <c r="AF60" s="241">
        <f>SUM(Tabela96[[#This Row], [jan/26]:[dez/26]])</f>
      </c>
      <c r="AG60" s="240">
        <v>0</v>
      </c>
      <c r="AH60" s="240">
        <v>0</v>
      </c>
      <c r="AI60" s="240">
        <v>0</v>
      </c>
      <c r="AJ60" s="240">
        <v>0</v>
      </c>
      <c r="AK60" s="240">
        <f>SUM(Tabela96[[#This Row], [2026]:[2030]])</f>
      </c>
      <c r="AL60" s="240">
        <v>0</v>
      </c>
      <c r="AM60" s="240">
        <v>0</v>
      </c>
      <c r="AN60" s="240">
        <v>0</v>
      </c>
      <c r="AO60" s="240">
        <v>0</v>
      </c>
      <c r="AP60" s="240">
        <v>0</v>
      </c>
      <c r="AQ60" s="242">
        <f>SUM(Tabela96[[#This Row], [2026-2030]:[2035]])</f>
      </c>
      <c r="AR60" s="1"/>
      <c r="AS60" s="239" t="s">
        <v>40352</v>
      </c>
      <c r="AT60" s="243">
        <v>2024</v>
      </c>
      <c r="AU60" s="239" t="s">
        <v>40534</v>
      </c>
      <c r="AV60" s="3" t="s">
        <v>40495</v>
      </c>
      <c r="AW60" s="239" t="s">
        <v>46</v>
      </c>
      <c r="AX60" s="2"/>
      <c r="AY60" s="2"/>
      <c r="AZ60" s="239" t="s">
        <v>40448</v>
      </c>
    </row>
    <row x14ac:dyDescent="0.25" r="61" customHeight="1" ht="24.75">
      <c r="A61" s="1"/>
      <c r="B61" s="237">
        <f>AND(ISTEXT('Consolidado-Eletronorte'!#REF!),SUM('Consolidado-Eletronorte'!#REF!)&gt;0)</f>
      </c>
      <c r="C61" s="238">
        <f>$J$3</f>
      </c>
      <c r="D61" s="238">
        <f>$H$3</f>
      </c>
      <c r="E61" s="238">
        <f>$H$4</f>
      </c>
      <c r="F61" s="210"/>
      <c r="G61" s="238">
        <f>_xlfn.CONCAT('Consolidado-Eletronorte'!#REF!,"_",ROW('Consolidado-Eletronorte'!#REF!)-ROW('Consolidado-Eletronorte'!$G$18))</f>
      </c>
      <c r="H61" s="212" t="s">
        <v>10</v>
      </c>
      <c r="I61" s="212" t="s">
        <v>87</v>
      </c>
      <c r="J61" s="212" t="s">
        <v>5</v>
      </c>
      <c r="K61" s="213" t="s">
        <v>16</v>
      </c>
      <c r="L61" s="212" t="s">
        <v>67</v>
      </c>
      <c r="M61" s="239" t="s">
        <v>40535</v>
      </c>
      <c r="N61" s="212"/>
      <c r="O61" s="212"/>
      <c r="P61" s="212"/>
      <c r="Q61" s="239" t="s">
        <v>40536</v>
      </c>
      <c r="R61" s="239" t="s">
        <v>40444</v>
      </c>
      <c r="S61" s="239" t="s">
        <v>40493</v>
      </c>
      <c r="T61" s="240">
        <v>215</v>
      </c>
      <c r="U61" s="240">
        <v>215</v>
      </c>
      <c r="V61" s="240">
        <v>215</v>
      </c>
      <c r="W61" s="240">
        <v>215</v>
      </c>
      <c r="X61" s="240">
        <v>215</v>
      </c>
      <c r="Y61" s="240">
        <v>215</v>
      </c>
      <c r="Z61" s="240">
        <v>215</v>
      </c>
      <c r="AA61" s="240">
        <v>215</v>
      </c>
      <c r="AB61" s="240">
        <v>215</v>
      </c>
      <c r="AC61" s="239" t="s">
        <v>40351</v>
      </c>
      <c r="AD61" s="239" t="s">
        <v>40351</v>
      </c>
      <c r="AE61" s="239" t="s">
        <v>40351</v>
      </c>
      <c r="AF61" s="241">
        <f>SUM(Tabela96[[#This Row], [jan/26]:[dez/26]])</f>
      </c>
      <c r="AG61" s="240">
        <v>0</v>
      </c>
      <c r="AH61" s="240">
        <v>0</v>
      </c>
      <c r="AI61" s="240">
        <v>0</v>
      </c>
      <c r="AJ61" s="240">
        <v>0</v>
      </c>
      <c r="AK61" s="240">
        <f>SUM(Tabela96[[#This Row], [2026]:[2030]])</f>
      </c>
      <c r="AL61" s="240">
        <v>0</v>
      </c>
      <c r="AM61" s="240">
        <v>0</v>
      </c>
      <c r="AN61" s="240">
        <v>0</v>
      </c>
      <c r="AO61" s="240">
        <v>0</v>
      </c>
      <c r="AP61" s="240">
        <v>0</v>
      </c>
      <c r="AQ61" s="242">
        <f>SUM(Tabela96[[#This Row], [2026-2030]:[2035]])</f>
      </c>
      <c r="AR61" s="1"/>
      <c r="AS61" s="239" t="s">
        <v>40352</v>
      </c>
      <c r="AT61" s="243">
        <v>2024</v>
      </c>
      <c r="AU61" s="239" t="s">
        <v>40537</v>
      </c>
      <c r="AV61" s="3" t="s">
        <v>40495</v>
      </c>
      <c r="AW61" s="239" t="s">
        <v>46</v>
      </c>
      <c r="AX61" s="2"/>
      <c r="AY61" s="2"/>
      <c r="AZ61" s="239" t="s">
        <v>40448</v>
      </c>
    </row>
    <row x14ac:dyDescent="0.25" r="62" customHeight="1" ht="24.75">
      <c r="A62" s="1"/>
      <c r="B62" s="237">
        <f>AND(ISTEXT('Consolidado-Eletronorte'!#REF!),SUM('Consolidado-Eletronorte'!#REF!)&gt;0)</f>
      </c>
      <c r="C62" s="238">
        <f>$J$3</f>
      </c>
      <c r="D62" s="238">
        <f>$H$3</f>
      </c>
      <c r="E62" s="238">
        <f>$H$4</f>
      </c>
      <c r="F62" s="210"/>
      <c r="G62" s="238">
        <f>_xlfn.CONCAT('Consolidado-Eletronorte'!#REF!,"_",ROW('Consolidado-Eletronorte'!#REF!)-ROW('Consolidado-Eletronorte'!$G$18))</f>
      </c>
      <c r="H62" s="212" t="s">
        <v>10</v>
      </c>
      <c r="I62" s="212" t="s">
        <v>87</v>
      </c>
      <c r="J62" s="212" t="s">
        <v>5</v>
      </c>
      <c r="K62" s="213" t="s">
        <v>16</v>
      </c>
      <c r="L62" s="212" t="s">
        <v>67</v>
      </c>
      <c r="M62" s="239" t="s">
        <v>40538</v>
      </c>
      <c r="N62" s="212"/>
      <c r="O62" s="212"/>
      <c r="P62" s="212"/>
      <c r="Q62" s="239" t="s">
        <v>40539</v>
      </c>
      <c r="R62" s="239" t="s">
        <v>40444</v>
      </c>
      <c r="S62" s="239" t="s">
        <v>40540</v>
      </c>
      <c r="T62" s="240">
        <v>215</v>
      </c>
      <c r="U62" s="240">
        <v>215</v>
      </c>
      <c r="V62" s="240">
        <v>215</v>
      </c>
      <c r="W62" s="240">
        <v>215</v>
      </c>
      <c r="X62" s="240">
        <v>215</v>
      </c>
      <c r="Y62" s="240">
        <v>215</v>
      </c>
      <c r="Z62" s="240">
        <v>215</v>
      </c>
      <c r="AA62" s="240">
        <v>215</v>
      </c>
      <c r="AB62" s="240">
        <v>215</v>
      </c>
      <c r="AC62" s="239" t="s">
        <v>40351</v>
      </c>
      <c r="AD62" s="239" t="s">
        <v>40351</v>
      </c>
      <c r="AE62" s="239" t="s">
        <v>40351</v>
      </c>
      <c r="AF62" s="241">
        <f>SUM(Tabela96[[#This Row], [jan/26]:[dez/26]])</f>
      </c>
      <c r="AG62" s="240">
        <v>0</v>
      </c>
      <c r="AH62" s="240">
        <v>0</v>
      </c>
      <c r="AI62" s="240">
        <v>0</v>
      </c>
      <c r="AJ62" s="240">
        <v>0</v>
      </c>
      <c r="AK62" s="240">
        <f>SUM(Tabela96[[#This Row], [2026]:[2030]])</f>
      </c>
      <c r="AL62" s="240">
        <v>0</v>
      </c>
      <c r="AM62" s="240">
        <v>0</v>
      </c>
      <c r="AN62" s="240">
        <v>0</v>
      </c>
      <c r="AO62" s="240">
        <v>0</v>
      </c>
      <c r="AP62" s="240">
        <v>0</v>
      </c>
      <c r="AQ62" s="242">
        <f>SUM(Tabela96[[#This Row], [2026-2030]:[2035]])</f>
      </c>
      <c r="AR62" s="1"/>
      <c r="AS62" s="239" t="s">
        <v>40352</v>
      </c>
      <c r="AT62" s="243">
        <v>2024</v>
      </c>
      <c r="AU62" s="239" t="s">
        <v>40541</v>
      </c>
      <c r="AV62" s="245" t="s">
        <v>40542</v>
      </c>
      <c r="AW62" s="239" t="s">
        <v>46</v>
      </c>
      <c r="AX62" s="2"/>
      <c r="AY62" s="2"/>
      <c r="AZ62" s="239" t="s">
        <v>40448</v>
      </c>
    </row>
    <row x14ac:dyDescent="0.25" r="63" customHeight="1" ht="24.75">
      <c r="A63" s="1"/>
      <c r="B63" s="237">
        <f>AND(ISTEXT('Consolidado-Eletronorte'!#REF!),SUM('Consolidado-Eletronorte'!#REF!)&gt;0)</f>
      </c>
      <c r="C63" s="238">
        <f>$J$3</f>
      </c>
      <c r="D63" s="238">
        <f>$H$3</f>
      </c>
      <c r="E63" s="238">
        <f>$H$4</f>
      </c>
      <c r="F63" s="210"/>
      <c r="G63" s="238">
        <f>_xlfn.CONCAT('Consolidado-Eletronorte'!#REF!,"_",ROW('Consolidado-Eletronorte'!#REF!)-ROW('Consolidado-Eletronorte'!$G$18))</f>
      </c>
      <c r="H63" s="212" t="s">
        <v>10</v>
      </c>
      <c r="I63" s="212" t="s">
        <v>87</v>
      </c>
      <c r="J63" s="212" t="s">
        <v>5</v>
      </c>
      <c r="K63" s="213" t="s">
        <v>16</v>
      </c>
      <c r="L63" s="212" t="s">
        <v>67</v>
      </c>
      <c r="M63" s="239" t="s">
        <v>40543</v>
      </c>
      <c r="N63" s="212"/>
      <c r="O63" s="212"/>
      <c r="P63" s="212"/>
      <c r="Q63" s="239" t="s">
        <v>40544</v>
      </c>
      <c r="R63" s="239" t="s">
        <v>40444</v>
      </c>
      <c r="S63" s="239" t="s">
        <v>40540</v>
      </c>
      <c r="T63" s="240">
        <v>215</v>
      </c>
      <c r="U63" s="240">
        <v>215</v>
      </c>
      <c r="V63" s="240">
        <v>215</v>
      </c>
      <c r="W63" s="240">
        <v>215</v>
      </c>
      <c r="X63" s="240">
        <v>215</v>
      </c>
      <c r="Y63" s="240">
        <v>215</v>
      </c>
      <c r="Z63" s="240">
        <v>215</v>
      </c>
      <c r="AA63" s="240">
        <v>215</v>
      </c>
      <c r="AB63" s="240">
        <v>215</v>
      </c>
      <c r="AC63" s="239" t="s">
        <v>40351</v>
      </c>
      <c r="AD63" s="239" t="s">
        <v>40351</v>
      </c>
      <c r="AE63" s="239" t="s">
        <v>40351</v>
      </c>
      <c r="AF63" s="241">
        <f>SUM(Tabela96[[#This Row], [jan/26]:[dez/26]])</f>
      </c>
      <c r="AG63" s="240">
        <v>0</v>
      </c>
      <c r="AH63" s="240">
        <v>0</v>
      </c>
      <c r="AI63" s="240">
        <v>0</v>
      </c>
      <c r="AJ63" s="240">
        <v>0</v>
      </c>
      <c r="AK63" s="240">
        <f>SUM(Tabela96[[#This Row], [2026]:[2030]])</f>
      </c>
      <c r="AL63" s="240">
        <v>0</v>
      </c>
      <c r="AM63" s="240">
        <v>0</v>
      </c>
      <c r="AN63" s="240">
        <v>0</v>
      </c>
      <c r="AO63" s="240">
        <v>0</v>
      </c>
      <c r="AP63" s="240">
        <v>0</v>
      </c>
      <c r="AQ63" s="242">
        <f>SUM(Tabela96[[#This Row], [2026-2030]:[2035]])</f>
      </c>
      <c r="AR63" s="1"/>
      <c r="AS63" s="239" t="s">
        <v>40352</v>
      </c>
      <c r="AT63" s="243">
        <v>2024</v>
      </c>
      <c r="AU63" s="239" t="s">
        <v>40545</v>
      </c>
      <c r="AV63" s="3" t="s">
        <v>40542</v>
      </c>
      <c r="AW63" s="239" t="s">
        <v>46</v>
      </c>
      <c r="AX63" s="2"/>
      <c r="AY63" s="2"/>
      <c r="AZ63" s="239" t="s">
        <v>40448</v>
      </c>
    </row>
    <row x14ac:dyDescent="0.25" r="64" customHeight="1" ht="24.75">
      <c r="A64" s="1"/>
      <c r="B64" s="237">
        <f>AND(ISTEXT('Consolidado-Eletronorte'!#REF!),SUM('Consolidado-Eletronorte'!#REF!)&gt;0)</f>
      </c>
      <c r="C64" s="238">
        <f>$J$3</f>
      </c>
      <c r="D64" s="238">
        <f>$H$3</f>
      </c>
      <c r="E64" s="238">
        <f>$H$4</f>
      </c>
      <c r="F64" s="210"/>
      <c r="G64" s="238">
        <f>_xlfn.CONCAT('Consolidado-Eletronorte'!#REF!,"_",ROW('Consolidado-Eletronorte'!#REF!)-ROW('Consolidado-Eletronorte'!$G$18))</f>
      </c>
      <c r="H64" s="212" t="s">
        <v>10</v>
      </c>
      <c r="I64" s="212" t="s">
        <v>87</v>
      </c>
      <c r="J64" s="212" t="s">
        <v>5</v>
      </c>
      <c r="K64" s="213" t="s">
        <v>16</v>
      </c>
      <c r="L64" s="212" t="s">
        <v>67</v>
      </c>
      <c r="M64" s="239" t="s">
        <v>40546</v>
      </c>
      <c r="N64" s="212"/>
      <c r="O64" s="212"/>
      <c r="P64" s="212"/>
      <c r="Q64" s="239" t="s">
        <v>40547</v>
      </c>
      <c r="R64" s="239" t="s">
        <v>40444</v>
      </c>
      <c r="S64" s="239" t="s">
        <v>40540</v>
      </c>
      <c r="T64" s="240">
        <v>215</v>
      </c>
      <c r="U64" s="240">
        <v>215</v>
      </c>
      <c r="V64" s="240">
        <v>215</v>
      </c>
      <c r="W64" s="240">
        <v>215</v>
      </c>
      <c r="X64" s="240">
        <v>215</v>
      </c>
      <c r="Y64" s="240">
        <v>215</v>
      </c>
      <c r="Z64" s="240">
        <v>215</v>
      </c>
      <c r="AA64" s="240">
        <v>215</v>
      </c>
      <c r="AB64" s="240">
        <v>215</v>
      </c>
      <c r="AC64" s="239" t="s">
        <v>40351</v>
      </c>
      <c r="AD64" s="239" t="s">
        <v>40351</v>
      </c>
      <c r="AE64" s="239" t="s">
        <v>40351</v>
      </c>
      <c r="AF64" s="241">
        <f>SUM(Tabela96[[#This Row], [jan/26]:[dez/26]])</f>
      </c>
      <c r="AG64" s="240">
        <v>0</v>
      </c>
      <c r="AH64" s="240">
        <v>0</v>
      </c>
      <c r="AI64" s="240">
        <v>0</v>
      </c>
      <c r="AJ64" s="240">
        <v>0</v>
      </c>
      <c r="AK64" s="240">
        <f>SUM(Tabela96[[#This Row], [2026]:[2030]])</f>
      </c>
      <c r="AL64" s="240">
        <v>0</v>
      </c>
      <c r="AM64" s="240">
        <v>0</v>
      </c>
      <c r="AN64" s="240">
        <v>0</v>
      </c>
      <c r="AO64" s="240">
        <v>0</v>
      </c>
      <c r="AP64" s="240">
        <v>0</v>
      </c>
      <c r="AQ64" s="242">
        <f>SUM(Tabela96[[#This Row], [2026-2030]:[2035]])</f>
      </c>
      <c r="AR64" s="1"/>
      <c r="AS64" s="239" t="s">
        <v>40352</v>
      </c>
      <c r="AT64" s="243">
        <v>2024</v>
      </c>
      <c r="AU64" s="239" t="s">
        <v>40548</v>
      </c>
      <c r="AV64" s="245" t="s">
        <v>40542</v>
      </c>
      <c r="AW64" s="239" t="s">
        <v>46</v>
      </c>
      <c r="AX64" s="2"/>
      <c r="AY64" s="2"/>
      <c r="AZ64" s="239" t="s">
        <v>40448</v>
      </c>
    </row>
    <row x14ac:dyDescent="0.25" r="65" customHeight="1" ht="24.75">
      <c r="A65" s="1"/>
      <c r="B65" s="237">
        <f>AND(ISTEXT('Consolidado-Eletronorte'!#REF!),SUM('Consolidado-Eletronorte'!#REF!)&gt;0)</f>
      </c>
      <c r="C65" s="238">
        <f>$J$3</f>
      </c>
      <c r="D65" s="238">
        <f>$H$3</f>
      </c>
      <c r="E65" s="238">
        <f>$H$4</f>
      </c>
      <c r="F65" s="210"/>
      <c r="G65" s="238">
        <f>_xlfn.CONCAT('Consolidado-Eletronorte'!#REF!,"_",ROW('Consolidado-Eletronorte'!#REF!)-ROW('Consolidado-Eletronorte'!$G$18))</f>
      </c>
      <c r="H65" s="212" t="s">
        <v>10</v>
      </c>
      <c r="I65" s="212" t="s">
        <v>87</v>
      </c>
      <c r="J65" s="212" t="s">
        <v>5</v>
      </c>
      <c r="K65" s="213" t="s">
        <v>16</v>
      </c>
      <c r="L65" s="212" t="s">
        <v>67</v>
      </c>
      <c r="M65" s="239" t="s">
        <v>40549</v>
      </c>
      <c r="N65" s="212"/>
      <c r="O65" s="212"/>
      <c r="P65" s="212"/>
      <c r="Q65" s="239" t="s">
        <v>40550</v>
      </c>
      <c r="R65" s="239" t="s">
        <v>40444</v>
      </c>
      <c r="S65" s="239" t="s">
        <v>40540</v>
      </c>
      <c r="T65" s="240">
        <v>215</v>
      </c>
      <c r="U65" s="240">
        <v>215</v>
      </c>
      <c r="V65" s="240">
        <v>215</v>
      </c>
      <c r="W65" s="240">
        <v>215</v>
      </c>
      <c r="X65" s="240">
        <v>215</v>
      </c>
      <c r="Y65" s="240">
        <v>215</v>
      </c>
      <c r="Z65" s="240">
        <v>215</v>
      </c>
      <c r="AA65" s="240">
        <v>215</v>
      </c>
      <c r="AB65" s="240">
        <v>215</v>
      </c>
      <c r="AC65" s="239" t="s">
        <v>40351</v>
      </c>
      <c r="AD65" s="239" t="s">
        <v>40351</v>
      </c>
      <c r="AE65" s="239" t="s">
        <v>40351</v>
      </c>
      <c r="AF65" s="241">
        <f>SUM(Tabela96[[#This Row], [jan/26]:[dez/26]])</f>
      </c>
      <c r="AG65" s="240">
        <v>0</v>
      </c>
      <c r="AH65" s="240">
        <v>0</v>
      </c>
      <c r="AI65" s="240">
        <v>0</v>
      </c>
      <c r="AJ65" s="240">
        <v>0</v>
      </c>
      <c r="AK65" s="240">
        <f>SUM(Tabela96[[#This Row], [2026]:[2030]])</f>
      </c>
      <c r="AL65" s="240">
        <v>0</v>
      </c>
      <c r="AM65" s="240">
        <v>0</v>
      </c>
      <c r="AN65" s="240">
        <v>0</v>
      </c>
      <c r="AO65" s="240">
        <v>0</v>
      </c>
      <c r="AP65" s="240">
        <v>0</v>
      </c>
      <c r="AQ65" s="242">
        <f>SUM(Tabela96[[#This Row], [2026-2030]:[2035]])</f>
      </c>
      <c r="AR65" s="1"/>
      <c r="AS65" s="239" t="s">
        <v>40352</v>
      </c>
      <c r="AT65" s="243">
        <v>2024</v>
      </c>
      <c r="AU65" s="239" t="s">
        <v>40551</v>
      </c>
      <c r="AV65" s="3" t="s">
        <v>40542</v>
      </c>
      <c r="AW65" s="239" t="s">
        <v>46</v>
      </c>
      <c r="AX65" s="2"/>
      <c r="AY65" s="2"/>
      <c r="AZ65" s="239" t="s">
        <v>40448</v>
      </c>
    </row>
    <row x14ac:dyDescent="0.25" r="66" customHeight="1" ht="24.75">
      <c r="A66" s="1"/>
      <c r="B66" s="237">
        <f>AND(ISTEXT('Consolidado-Eletronorte'!#REF!),SUM('Consolidado-Eletronorte'!#REF!)&gt;0)</f>
      </c>
      <c r="C66" s="238">
        <f>$J$3</f>
      </c>
      <c r="D66" s="238">
        <f>$H$3</f>
      </c>
      <c r="E66" s="238">
        <f>$H$4</f>
      </c>
      <c r="F66" s="210"/>
      <c r="G66" s="238">
        <f>_xlfn.CONCAT('Consolidado-Eletronorte'!#REF!,"_",ROW('Consolidado-Eletronorte'!#REF!)-ROW('Consolidado-Eletronorte'!$G$18))</f>
      </c>
      <c r="H66" s="212" t="s">
        <v>10</v>
      </c>
      <c r="I66" s="212" t="s">
        <v>87</v>
      </c>
      <c r="J66" s="212" t="s">
        <v>5</v>
      </c>
      <c r="K66" s="213" t="s">
        <v>16</v>
      </c>
      <c r="L66" s="212" t="s">
        <v>67</v>
      </c>
      <c r="M66" s="239" t="s">
        <v>40552</v>
      </c>
      <c r="N66" s="212"/>
      <c r="O66" s="212"/>
      <c r="P66" s="212"/>
      <c r="Q66" s="239" t="s">
        <v>40553</v>
      </c>
      <c r="R66" s="239" t="s">
        <v>40444</v>
      </c>
      <c r="S66" s="239" t="s">
        <v>40540</v>
      </c>
      <c r="T66" s="240">
        <v>215</v>
      </c>
      <c r="U66" s="240">
        <v>215</v>
      </c>
      <c r="V66" s="240">
        <v>215</v>
      </c>
      <c r="W66" s="240">
        <v>215</v>
      </c>
      <c r="X66" s="240">
        <v>215</v>
      </c>
      <c r="Y66" s="240">
        <v>215</v>
      </c>
      <c r="Z66" s="240">
        <v>215</v>
      </c>
      <c r="AA66" s="240">
        <v>215</v>
      </c>
      <c r="AB66" s="240">
        <v>215</v>
      </c>
      <c r="AC66" s="239" t="s">
        <v>40351</v>
      </c>
      <c r="AD66" s="239" t="s">
        <v>40351</v>
      </c>
      <c r="AE66" s="239" t="s">
        <v>40351</v>
      </c>
      <c r="AF66" s="241">
        <f>SUM(Tabela96[[#This Row], [jan/26]:[dez/26]])</f>
      </c>
      <c r="AG66" s="240">
        <v>0</v>
      </c>
      <c r="AH66" s="240">
        <v>0</v>
      </c>
      <c r="AI66" s="240">
        <v>0</v>
      </c>
      <c r="AJ66" s="240">
        <v>0</v>
      </c>
      <c r="AK66" s="240">
        <f>SUM(Tabela96[[#This Row], [2026]:[2030]])</f>
      </c>
      <c r="AL66" s="240">
        <v>0</v>
      </c>
      <c r="AM66" s="240">
        <v>0</v>
      </c>
      <c r="AN66" s="240">
        <v>0</v>
      </c>
      <c r="AO66" s="240">
        <v>0</v>
      </c>
      <c r="AP66" s="240">
        <v>0</v>
      </c>
      <c r="AQ66" s="242">
        <f>SUM(Tabela96[[#This Row], [2026-2030]:[2035]])</f>
      </c>
      <c r="AR66" s="1"/>
      <c r="AS66" s="239" t="s">
        <v>40352</v>
      </c>
      <c r="AT66" s="243">
        <v>2024</v>
      </c>
      <c r="AU66" s="239" t="s">
        <v>40554</v>
      </c>
      <c r="AV66" s="245" t="s">
        <v>40542</v>
      </c>
      <c r="AW66" s="239" t="s">
        <v>46</v>
      </c>
      <c r="AX66" s="2"/>
      <c r="AY66" s="2"/>
      <c r="AZ66" s="239" t="s">
        <v>40448</v>
      </c>
    </row>
    <row x14ac:dyDescent="0.25" r="67" customHeight="1" ht="24.75">
      <c r="A67" s="1"/>
      <c r="B67" s="237">
        <f>AND(ISTEXT('Consolidado-Eletronorte'!#REF!),SUM('Consolidado-Eletronorte'!#REF!)&gt;0)</f>
      </c>
      <c r="C67" s="238">
        <f>$J$3</f>
      </c>
      <c r="D67" s="238">
        <f>$H$3</f>
      </c>
      <c r="E67" s="238">
        <f>$H$4</f>
      </c>
      <c r="F67" s="210"/>
      <c r="G67" s="238">
        <f>_xlfn.CONCAT('Consolidado-Eletronorte'!#REF!,"_",ROW('Consolidado-Eletronorte'!#REF!)-ROW('Consolidado-Eletronorte'!$G$18))</f>
      </c>
      <c r="H67" s="212" t="s">
        <v>10</v>
      </c>
      <c r="I67" s="212" t="s">
        <v>87</v>
      </c>
      <c r="J67" s="212" t="s">
        <v>5</v>
      </c>
      <c r="K67" s="213" t="s">
        <v>16</v>
      </c>
      <c r="L67" s="212" t="s">
        <v>67</v>
      </c>
      <c r="M67" s="239" t="s">
        <v>40555</v>
      </c>
      <c r="N67" s="212"/>
      <c r="O67" s="212"/>
      <c r="P67" s="212"/>
      <c r="Q67" s="239" t="s">
        <v>40556</v>
      </c>
      <c r="R67" s="239" t="s">
        <v>40444</v>
      </c>
      <c r="S67" s="239" t="s">
        <v>40540</v>
      </c>
      <c r="T67" s="240">
        <v>215</v>
      </c>
      <c r="U67" s="240">
        <v>215</v>
      </c>
      <c r="V67" s="240">
        <v>215</v>
      </c>
      <c r="W67" s="240">
        <v>215</v>
      </c>
      <c r="X67" s="240">
        <v>215</v>
      </c>
      <c r="Y67" s="240">
        <v>215</v>
      </c>
      <c r="Z67" s="240">
        <v>215</v>
      </c>
      <c r="AA67" s="240">
        <v>215</v>
      </c>
      <c r="AB67" s="240">
        <v>215</v>
      </c>
      <c r="AC67" s="239" t="s">
        <v>40351</v>
      </c>
      <c r="AD67" s="239" t="s">
        <v>40351</v>
      </c>
      <c r="AE67" s="239" t="s">
        <v>40351</v>
      </c>
      <c r="AF67" s="241">
        <f>SUM(Tabela96[[#This Row], [jan/26]:[dez/26]])</f>
      </c>
      <c r="AG67" s="240">
        <v>0</v>
      </c>
      <c r="AH67" s="240">
        <v>0</v>
      </c>
      <c r="AI67" s="240">
        <v>0</v>
      </c>
      <c r="AJ67" s="240">
        <v>0</v>
      </c>
      <c r="AK67" s="240">
        <f>SUM(Tabela96[[#This Row], [2026]:[2030]])</f>
      </c>
      <c r="AL67" s="240">
        <v>0</v>
      </c>
      <c r="AM67" s="240">
        <v>0</v>
      </c>
      <c r="AN67" s="240">
        <v>0</v>
      </c>
      <c r="AO67" s="240">
        <v>0</v>
      </c>
      <c r="AP67" s="240">
        <v>0</v>
      </c>
      <c r="AQ67" s="242">
        <f>SUM(Tabela96[[#This Row], [2026-2030]:[2035]])</f>
      </c>
      <c r="AR67" s="1"/>
      <c r="AS67" s="239" t="s">
        <v>40352</v>
      </c>
      <c r="AT67" s="243">
        <v>2024</v>
      </c>
      <c r="AU67" s="239" t="s">
        <v>40557</v>
      </c>
      <c r="AV67" s="3" t="s">
        <v>40542</v>
      </c>
      <c r="AW67" s="239" t="s">
        <v>46</v>
      </c>
      <c r="AX67" s="2"/>
      <c r="AY67" s="2"/>
      <c r="AZ67" s="239" t="s">
        <v>40448</v>
      </c>
    </row>
    <row x14ac:dyDescent="0.25" r="68" customHeight="1" ht="24.75">
      <c r="A68" s="1"/>
      <c r="B68" s="237">
        <f>AND(ISTEXT('Consolidado-Eletronorte'!#REF!),SUM('Consolidado-Eletronorte'!#REF!)&gt;0)</f>
      </c>
      <c r="C68" s="238">
        <f>$J$3</f>
      </c>
      <c r="D68" s="238">
        <f>$H$3</f>
      </c>
      <c r="E68" s="238">
        <f>$H$4</f>
      </c>
      <c r="F68" s="210"/>
      <c r="G68" s="238">
        <f>_xlfn.CONCAT('Consolidado-Eletronorte'!#REF!,"_",ROW('Consolidado-Eletronorte'!#REF!)-ROW('Consolidado-Eletronorte'!$G$18))</f>
      </c>
      <c r="H68" s="212" t="s">
        <v>10</v>
      </c>
      <c r="I68" s="212" t="s">
        <v>87</v>
      </c>
      <c r="J68" s="212" t="s">
        <v>5</v>
      </c>
      <c r="K68" s="213" t="s">
        <v>16</v>
      </c>
      <c r="L68" s="212" t="s">
        <v>67</v>
      </c>
      <c r="M68" s="239" t="s">
        <v>40558</v>
      </c>
      <c r="N68" s="212"/>
      <c r="O68" s="212"/>
      <c r="P68" s="212"/>
      <c r="Q68" s="239" t="s">
        <v>40559</v>
      </c>
      <c r="R68" s="239" t="s">
        <v>40444</v>
      </c>
      <c r="S68" s="239" t="s">
        <v>40540</v>
      </c>
      <c r="T68" s="240">
        <v>215</v>
      </c>
      <c r="U68" s="240">
        <v>215</v>
      </c>
      <c r="V68" s="240">
        <v>215</v>
      </c>
      <c r="W68" s="240">
        <v>215</v>
      </c>
      <c r="X68" s="240">
        <v>215</v>
      </c>
      <c r="Y68" s="240">
        <v>215</v>
      </c>
      <c r="Z68" s="240">
        <v>215</v>
      </c>
      <c r="AA68" s="240">
        <v>215</v>
      </c>
      <c r="AB68" s="240">
        <v>215</v>
      </c>
      <c r="AC68" s="239" t="s">
        <v>40351</v>
      </c>
      <c r="AD68" s="239" t="s">
        <v>40351</v>
      </c>
      <c r="AE68" s="239" t="s">
        <v>40351</v>
      </c>
      <c r="AF68" s="241">
        <f>SUM(Tabela96[[#This Row], [jan/26]:[dez/26]])</f>
      </c>
      <c r="AG68" s="240">
        <v>0</v>
      </c>
      <c r="AH68" s="240">
        <v>0</v>
      </c>
      <c r="AI68" s="240">
        <v>0</v>
      </c>
      <c r="AJ68" s="240">
        <v>0</v>
      </c>
      <c r="AK68" s="240">
        <f>SUM(Tabela96[[#This Row], [2026]:[2030]])</f>
      </c>
      <c r="AL68" s="240">
        <v>0</v>
      </c>
      <c r="AM68" s="240">
        <v>0</v>
      </c>
      <c r="AN68" s="240">
        <v>0</v>
      </c>
      <c r="AO68" s="240">
        <v>0</v>
      </c>
      <c r="AP68" s="240">
        <v>0</v>
      </c>
      <c r="AQ68" s="242">
        <f>SUM(Tabela96[[#This Row], [2026-2030]:[2035]])</f>
      </c>
      <c r="AR68" s="1"/>
      <c r="AS68" s="239" t="s">
        <v>40352</v>
      </c>
      <c r="AT68" s="243">
        <v>2024</v>
      </c>
      <c r="AU68" s="239" t="s">
        <v>40560</v>
      </c>
      <c r="AV68" s="245" t="s">
        <v>40542</v>
      </c>
      <c r="AW68" s="239" t="s">
        <v>46</v>
      </c>
      <c r="AX68" s="2"/>
      <c r="AY68" s="2"/>
      <c r="AZ68" s="239" t="s">
        <v>40448</v>
      </c>
    </row>
    <row x14ac:dyDescent="0.25" r="69" customHeight="1" ht="24.75">
      <c r="A69" s="1"/>
      <c r="B69" s="237">
        <f>AND(ISTEXT('Consolidado-Eletronorte'!#REF!),SUM('Consolidado-Eletronorte'!#REF!)&gt;0)</f>
      </c>
      <c r="C69" s="238">
        <f>$J$3</f>
      </c>
      <c r="D69" s="238">
        <f>$H$3</f>
      </c>
      <c r="E69" s="238">
        <f>$H$4</f>
      </c>
      <c r="F69" s="210"/>
      <c r="G69" s="238">
        <f>_xlfn.CONCAT('Consolidado-Eletronorte'!#REF!,"_",ROW('Consolidado-Eletronorte'!#REF!)-ROW('Consolidado-Eletronorte'!$G$18))</f>
      </c>
      <c r="H69" s="212" t="s">
        <v>10</v>
      </c>
      <c r="I69" s="212" t="s">
        <v>87</v>
      </c>
      <c r="J69" s="212" t="s">
        <v>5</v>
      </c>
      <c r="K69" s="213" t="s">
        <v>16</v>
      </c>
      <c r="L69" s="212" t="s">
        <v>67</v>
      </c>
      <c r="M69" s="239" t="s">
        <v>40561</v>
      </c>
      <c r="N69" s="212"/>
      <c r="O69" s="212"/>
      <c r="P69" s="212"/>
      <c r="Q69" s="239" t="s">
        <v>40562</v>
      </c>
      <c r="R69" s="239" t="s">
        <v>40444</v>
      </c>
      <c r="S69" s="239" t="s">
        <v>40540</v>
      </c>
      <c r="T69" s="240">
        <v>215</v>
      </c>
      <c r="U69" s="240">
        <v>215</v>
      </c>
      <c r="V69" s="240">
        <v>215</v>
      </c>
      <c r="W69" s="240">
        <v>215</v>
      </c>
      <c r="X69" s="240">
        <v>215</v>
      </c>
      <c r="Y69" s="240">
        <v>215</v>
      </c>
      <c r="Z69" s="240">
        <v>215</v>
      </c>
      <c r="AA69" s="240">
        <v>215</v>
      </c>
      <c r="AB69" s="240">
        <v>215</v>
      </c>
      <c r="AC69" s="239" t="s">
        <v>40351</v>
      </c>
      <c r="AD69" s="239" t="s">
        <v>40351</v>
      </c>
      <c r="AE69" s="239" t="s">
        <v>40351</v>
      </c>
      <c r="AF69" s="241">
        <f>SUM(Tabela96[[#This Row], [jan/26]:[dez/26]])</f>
      </c>
      <c r="AG69" s="240">
        <v>0</v>
      </c>
      <c r="AH69" s="240">
        <v>0</v>
      </c>
      <c r="AI69" s="240">
        <v>0</v>
      </c>
      <c r="AJ69" s="240">
        <v>0</v>
      </c>
      <c r="AK69" s="240">
        <f>SUM(Tabela96[[#This Row], [2026]:[2030]])</f>
      </c>
      <c r="AL69" s="240">
        <v>0</v>
      </c>
      <c r="AM69" s="240">
        <v>0</v>
      </c>
      <c r="AN69" s="240">
        <v>0</v>
      </c>
      <c r="AO69" s="240">
        <v>0</v>
      </c>
      <c r="AP69" s="240">
        <v>0</v>
      </c>
      <c r="AQ69" s="242">
        <f>SUM(Tabela96[[#This Row], [2026-2030]:[2035]])</f>
      </c>
      <c r="AR69" s="1"/>
      <c r="AS69" s="239" t="s">
        <v>40352</v>
      </c>
      <c r="AT69" s="243">
        <v>2024</v>
      </c>
      <c r="AU69" s="239" t="s">
        <v>40563</v>
      </c>
      <c r="AV69" s="3" t="s">
        <v>40542</v>
      </c>
      <c r="AW69" s="239" t="s">
        <v>46</v>
      </c>
      <c r="AX69" s="2"/>
      <c r="AY69" s="2"/>
      <c r="AZ69" s="239" t="s">
        <v>40448</v>
      </c>
    </row>
    <row x14ac:dyDescent="0.25" r="70" customHeight="1" ht="24.75">
      <c r="A70" s="1"/>
      <c r="B70" s="237">
        <f>AND(ISTEXT('Consolidado-Eletronorte'!#REF!),SUM('Consolidado-Eletronorte'!#REF!)&gt;0)</f>
      </c>
      <c r="C70" s="238">
        <f>$J$3</f>
      </c>
      <c r="D70" s="238">
        <f>$H$3</f>
      </c>
      <c r="E70" s="238">
        <f>$H$4</f>
      </c>
      <c r="F70" s="210"/>
      <c r="G70" s="238">
        <f>_xlfn.CONCAT('Consolidado-Eletronorte'!#REF!,"_",ROW('Consolidado-Eletronorte'!#REF!)-ROW('Consolidado-Eletronorte'!$G$18))</f>
      </c>
      <c r="H70" s="212" t="s">
        <v>10</v>
      </c>
      <c r="I70" s="212" t="s">
        <v>87</v>
      </c>
      <c r="J70" s="212" t="s">
        <v>5</v>
      </c>
      <c r="K70" s="213" t="s">
        <v>16</v>
      </c>
      <c r="L70" s="212" t="s">
        <v>67</v>
      </c>
      <c r="M70" s="239" t="s">
        <v>40564</v>
      </c>
      <c r="N70" s="212"/>
      <c r="O70" s="212"/>
      <c r="P70" s="212"/>
      <c r="Q70" s="239" t="s">
        <v>40565</v>
      </c>
      <c r="R70" s="239" t="s">
        <v>40444</v>
      </c>
      <c r="S70" s="239" t="s">
        <v>40540</v>
      </c>
      <c r="T70" s="240">
        <v>215</v>
      </c>
      <c r="U70" s="240">
        <v>215</v>
      </c>
      <c r="V70" s="240">
        <v>215</v>
      </c>
      <c r="W70" s="240">
        <v>215</v>
      </c>
      <c r="X70" s="240">
        <v>215</v>
      </c>
      <c r="Y70" s="240">
        <v>215</v>
      </c>
      <c r="Z70" s="240">
        <v>215</v>
      </c>
      <c r="AA70" s="240">
        <v>215</v>
      </c>
      <c r="AB70" s="240">
        <v>215</v>
      </c>
      <c r="AC70" s="239" t="s">
        <v>40351</v>
      </c>
      <c r="AD70" s="239" t="s">
        <v>40351</v>
      </c>
      <c r="AE70" s="239" t="s">
        <v>40351</v>
      </c>
      <c r="AF70" s="241">
        <f>SUM(Tabela96[[#This Row], [jan/26]:[dez/26]])</f>
      </c>
      <c r="AG70" s="240">
        <v>0</v>
      </c>
      <c r="AH70" s="240">
        <v>0</v>
      </c>
      <c r="AI70" s="240">
        <v>0</v>
      </c>
      <c r="AJ70" s="240">
        <v>0</v>
      </c>
      <c r="AK70" s="240">
        <f>SUM(Tabela96[[#This Row], [2026]:[2030]])</f>
      </c>
      <c r="AL70" s="240">
        <v>0</v>
      </c>
      <c r="AM70" s="240">
        <v>0</v>
      </c>
      <c r="AN70" s="240">
        <v>0</v>
      </c>
      <c r="AO70" s="240">
        <v>0</v>
      </c>
      <c r="AP70" s="240">
        <v>0</v>
      </c>
      <c r="AQ70" s="242">
        <f>SUM(Tabela96[[#This Row], [2026-2030]:[2035]])</f>
      </c>
      <c r="AR70" s="1"/>
      <c r="AS70" s="239" t="s">
        <v>40352</v>
      </c>
      <c r="AT70" s="243">
        <v>2024</v>
      </c>
      <c r="AU70" s="239" t="s">
        <v>40566</v>
      </c>
      <c r="AV70" s="245" t="s">
        <v>40542</v>
      </c>
      <c r="AW70" s="239" t="s">
        <v>46</v>
      </c>
      <c r="AX70" s="2"/>
      <c r="AY70" s="2"/>
      <c r="AZ70" s="239" t="s">
        <v>40448</v>
      </c>
    </row>
    <row x14ac:dyDescent="0.25" r="71" customHeight="1" ht="24.75">
      <c r="A71" s="1"/>
      <c r="B71" s="237">
        <f>AND(ISTEXT('Consolidado-Eletronorte'!#REF!),SUM('Consolidado-Eletronorte'!#REF!)&gt;0)</f>
      </c>
      <c r="C71" s="238">
        <f>$J$3</f>
      </c>
      <c r="D71" s="238">
        <f>$H$3</f>
      </c>
      <c r="E71" s="238">
        <f>$H$4</f>
      </c>
      <c r="F71" s="210"/>
      <c r="G71" s="238">
        <f>_xlfn.CONCAT('Consolidado-Eletronorte'!#REF!,"_",ROW('Consolidado-Eletronorte'!#REF!)-ROW('Consolidado-Eletronorte'!$G$18))</f>
      </c>
      <c r="H71" s="212" t="s">
        <v>10</v>
      </c>
      <c r="I71" s="212" t="s">
        <v>87</v>
      </c>
      <c r="J71" s="212" t="s">
        <v>5</v>
      </c>
      <c r="K71" s="213" t="s">
        <v>16</v>
      </c>
      <c r="L71" s="212" t="s">
        <v>67</v>
      </c>
      <c r="M71" s="239" t="s">
        <v>40567</v>
      </c>
      <c r="N71" s="212"/>
      <c r="O71" s="212"/>
      <c r="P71" s="212"/>
      <c r="Q71" s="239" t="s">
        <v>40568</v>
      </c>
      <c r="R71" s="239" t="s">
        <v>40444</v>
      </c>
      <c r="S71" s="239" t="s">
        <v>40540</v>
      </c>
      <c r="T71" s="240">
        <v>215</v>
      </c>
      <c r="U71" s="240">
        <v>215</v>
      </c>
      <c r="V71" s="240">
        <v>215</v>
      </c>
      <c r="W71" s="240">
        <v>215</v>
      </c>
      <c r="X71" s="240">
        <v>215</v>
      </c>
      <c r="Y71" s="240">
        <v>215</v>
      </c>
      <c r="Z71" s="240">
        <v>215</v>
      </c>
      <c r="AA71" s="240">
        <v>215</v>
      </c>
      <c r="AB71" s="240">
        <v>215</v>
      </c>
      <c r="AC71" s="239" t="s">
        <v>40351</v>
      </c>
      <c r="AD71" s="239" t="s">
        <v>40351</v>
      </c>
      <c r="AE71" s="239" t="s">
        <v>40351</v>
      </c>
      <c r="AF71" s="241">
        <f>SUM(Tabela96[[#This Row], [jan/26]:[dez/26]])</f>
      </c>
      <c r="AG71" s="240">
        <v>0</v>
      </c>
      <c r="AH71" s="240">
        <v>0</v>
      </c>
      <c r="AI71" s="240">
        <v>0</v>
      </c>
      <c r="AJ71" s="240">
        <v>0</v>
      </c>
      <c r="AK71" s="240">
        <f>SUM(Tabela96[[#This Row], [2026]:[2030]])</f>
      </c>
      <c r="AL71" s="240">
        <v>0</v>
      </c>
      <c r="AM71" s="240">
        <v>0</v>
      </c>
      <c r="AN71" s="240">
        <v>0</v>
      </c>
      <c r="AO71" s="240">
        <v>0</v>
      </c>
      <c r="AP71" s="240">
        <v>0</v>
      </c>
      <c r="AQ71" s="242">
        <f>SUM(Tabela96[[#This Row], [2026-2030]:[2035]])</f>
      </c>
      <c r="AR71" s="1"/>
      <c r="AS71" s="239" t="s">
        <v>40352</v>
      </c>
      <c r="AT71" s="243">
        <v>2024</v>
      </c>
      <c r="AU71" s="239" t="s">
        <v>40569</v>
      </c>
      <c r="AV71" s="3" t="s">
        <v>40542</v>
      </c>
      <c r="AW71" s="239" t="s">
        <v>46</v>
      </c>
      <c r="AX71" s="2"/>
      <c r="AY71" s="2"/>
      <c r="AZ71" s="239" t="s">
        <v>40448</v>
      </c>
    </row>
    <row x14ac:dyDescent="0.25" r="72" customHeight="1" ht="24.75">
      <c r="A72" s="1"/>
      <c r="B72" s="237">
        <f>AND(ISTEXT('Consolidado-Eletronorte'!#REF!),SUM('Consolidado-Eletronorte'!#REF!)&gt;0)</f>
      </c>
      <c r="C72" s="238">
        <f>$J$3</f>
      </c>
      <c r="D72" s="238">
        <f>$H$3</f>
      </c>
      <c r="E72" s="238">
        <f>$H$4</f>
      </c>
      <c r="F72" s="210"/>
      <c r="G72" s="238">
        <f>_xlfn.CONCAT('Consolidado-Eletronorte'!#REF!,"_",ROW('Consolidado-Eletronorte'!#REF!)-ROW('Consolidado-Eletronorte'!$G$18))</f>
      </c>
      <c r="H72" s="212" t="s">
        <v>10</v>
      </c>
      <c r="I72" s="212" t="s">
        <v>87</v>
      </c>
      <c r="J72" s="212" t="s">
        <v>5</v>
      </c>
      <c r="K72" s="213" t="s">
        <v>16</v>
      </c>
      <c r="L72" s="212" t="s">
        <v>67</v>
      </c>
      <c r="M72" s="239" t="s">
        <v>40570</v>
      </c>
      <c r="N72" s="212"/>
      <c r="O72" s="212"/>
      <c r="P72" s="212"/>
      <c r="Q72" s="239" t="s">
        <v>40571</v>
      </c>
      <c r="R72" s="239" t="s">
        <v>40444</v>
      </c>
      <c r="S72" s="239" t="s">
        <v>40540</v>
      </c>
      <c r="T72" s="240">
        <v>215</v>
      </c>
      <c r="U72" s="240">
        <v>215</v>
      </c>
      <c r="V72" s="240">
        <v>215</v>
      </c>
      <c r="W72" s="240">
        <v>215</v>
      </c>
      <c r="X72" s="240">
        <v>215</v>
      </c>
      <c r="Y72" s="240">
        <v>215</v>
      </c>
      <c r="Z72" s="240">
        <v>215</v>
      </c>
      <c r="AA72" s="240">
        <v>215</v>
      </c>
      <c r="AB72" s="240">
        <v>215</v>
      </c>
      <c r="AC72" s="239" t="s">
        <v>40351</v>
      </c>
      <c r="AD72" s="239" t="s">
        <v>40351</v>
      </c>
      <c r="AE72" s="239" t="s">
        <v>40351</v>
      </c>
      <c r="AF72" s="241">
        <f>SUM(Tabela96[[#This Row], [jan/26]:[dez/26]])</f>
      </c>
      <c r="AG72" s="240">
        <v>0</v>
      </c>
      <c r="AH72" s="240">
        <v>0</v>
      </c>
      <c r="AI72" s="240">
        <v>0</v>
      </c>
      <c r="AJ72" s="240">
        <v>0</v>
      </c>
      <c r="AK72" s="240">
        <f>SUM(Tabela96[[#This Row], [2026]:[2030]])</f>
      </c>
      <c r="AL72" s="240">
        <v>0</v>
      </c>
      <c r="AM72" s="240">
        <v>0</v>
      </c>
      <c r="AN72" s="240">
        <v>0</v>
      </c>
      <c r="AO72" s="240">
        <v>0</v>
      </c>
      <c r="AP72" s="240">
        <v>0</v>
      </c>
      <c r="AQ72" s="242">
        <f>SUM(Tabela96[[#This Row], [2026-2030]:[2035]])</f>
      </c>
      <c r="AR72" s="1"/>
      <c r="AS72" s="239" t="s">
        <v>40352</v>
      </c>
      <c r="AT72" s="243">
        <v>2024</v>
      </c>
      <c r="AU72" s="239" t="s">
        <v>40572</v>
      </c>
      <c r="AV72" s="245" t="s">
        <v>40542</v>
      </c>
      <c r="AW72" s="239" t="s">
        <v>46</v>
      </c>
      <c r="AX72" s="2"/>
      <c r="AY72" s="2"/>
      <c r="AZ72" s="239" t="s">
        <v>40448</v>
      </c>
    </row>
    <row x14ac:dyDescent="0.25" r="73" customHeight="1" ht="24.75">
      <c r="A73" s="1"/>
      <c r="B73" s="237">
        <f>AND(ISTEXT('Consolidado-Eletronorte'!#REF!),SUM('Consolidado-Eletronorte'!#REF!)&gt;0)</f>
      </c>
      <c r="C73" s="238">
        <f>$J$3</f>
      </c>
      <c r="D73" s="238">
        <f>$H$3</f>
      </c>
      <c r="E73" s="238">
        <f>$H$4</f>
      </c>
      <c r="F73" s="210"/>
      <c r="G73" s="238">
        <f>_xlfn.CONCAT('Consolidado-Eletronorte'!#REF!,"_",ROW('Consolidado-Eletronorte'!#REF!)-ROW('Consolidado-Eletronorte'!$G$18))</f>
      </c>
      <c r="H73" s="212" t="s">
        <v>10</v>
      </c>
      <c r="I73" s="212" t="s">
        <v>87</v>
      </c>
      <c r="J73" s="212" t="s">
        <v>5</v>
      </c>
      <c r="K73" s="213" t="s">
        <v>16</v>
      </c>
      <c r="L73" s="212" t="s">
        <v>67</v>
      </c>
      <c r="M73" s="239" t="s">
        <v>40573</v>
      </c>
      <c r="N73" s="212"/>
      <c r="O73" s="212"/>
      <c r="P73" s="212"/>
      <c r="Q73" s="239" t="s">
        <v>40574</v>
      </c>
      <c r="R73" s="239" t="s">
        <v>40444</v>
      </c>
      <c r="S73" s="239" t="s">
        <v>40540</v>
      </c>
      <c r="T73" s="240">
        <v>215</v>
      </c>
      <c r="U73" s="240">
        <v>215</v>
      </c>
      <c r="V73" s="240">
        <v>215</v>
      </c>
      <c r="W73" s="240">
        <v>215</v>
      </c>
      <c r="X73" s="240">
        <v>215</v>
      </c>
      <c r="Y73" s="240">
        <v>215</v>
      </c>
      <c r="Z73" s="240">
        <v>215</v>
      </c>
      <c r="AA73" s="240">
        <v>215</v>
      </c>
      <c r="AB73" s="240">
        <v>215</v>
      </c>
      <c r="AC73" s="239" t="s">
        <v>40351</v>
      </c>
      <c r="AD73" s="239" t="s">
        <v>40351</v>
      </c>
      <c r="AE73" s="239" t="s">
        <v>40351</v>
      </c>
      <c r="AF73" s="241">
        <f>SUM(Tabela96[[#This Row], [jan/26]:[dez/26]])</f>
      </c>
      <c r="AG73" s="240">
        <v>0</v>
      </c>
      <c r="AH73" s="240">
        <v>0</v>
      </c>
      <c r="AI73" s="240">
        <v>0</v>
      </c>
      <c r="AJ73" s="240">
        <v>0</v>
      </c>
      <c r="AK73" s="240">
        <f>SUM(Tabela96[[#This Row], [2026]:[2030]])</f>
      </c>
      <c r="AL73" s="240">
        <v>0</v>
      </c>
      <c r="AM73" s="240">
        <v>0</v>
      </c>
      <c r="AN73" s="240">
        <v>0</v>
      </c>
      <c r="AO73" s="240">
        <v>0</v>
      </c>
      <c r="AP73" s="240">
        <v>0</v>
      </c>
      <c r="AQ73" s="242">
        <f>SUM(Tabela96[[#This Row], [2026-2030]:[2035]])</f>
      </c>
      <c r="AR73" s="1"/>
      <c r="AS73" s="239" t="s">
        <v>40352</v>
      </c>
      <c r="AT73" s="243">
        <v>2024</v>
      </c>
      <c r="AU73" s="239" t="s">
        <v>40575</v>
      </c>
      <c r="AV73" s="3" t="s">
        <v>40542</v>
      </c>
      <c r="AW73" s="239" t="s">
        <v>46</v>
      </c>
      <c r="AX73" s="2"/>
      <c r="AY73" s="2"/>
      <c r="AZ73" s="239" t="s">
        <v>40448</v>
      </c>
    </row>
    <row x14ac:dyDescent="0.25" r="74" customHeight="1" ht="24.75">
      <c r="A74" s="1"/>
      <c r="B74" s="237">
        <f>AND(ISTEXT('Consolidado-Eletronorte'!#REF!),SUM('Consolidado-Eletronorte'!#REF!)&gt;0)</f>
      </c>
      <c r="C74" s="238">
        <f>$J$3</f>
      </c>
      <c r="D74" s="238">
        <f>$H$3</f>
      </c>
      <c r="E74" s="238">
        <f>$H$4</f>
      </c>
      <c r="F74" s="210"/>
      <c r="G74" s="238">
        <f>_xlfn.CONCAT('Consolidado-Eletronorte'!#REF!,"_",ROW('Consolidado-Eletronorte'!#REF!)-ROW('Consolidado-Eletronorte'!$G$18))</f>
      </c>
      <c r="H74" s="212" t="s">
        <v>10</v>
      </c>
      <c r="I74" s="212" t="s">
        <v>87</v>
      </c>
      <c r="J74" s="212" t="s">
        <v>5</v>
      </c>
      <c r="K74" s="213" t="s">
        <v>16</v>
      </c>
      <c r="L74" s="212" t="s">
        <v>67</v>
      </c>
      <c r="M74" s="239" t="s">
        <v>40576</v>
      </c>
      <c r="N74" s="212"/>
      <c r="O74" s="212"/>
      <c r="P74" s="212"/>
      <c r="Q74" s="239" t="s">
        <v>40577</v>
      </c>
      <c r="R74" s="239" t="s">
        <v>40444</v>
      </c>
      <c r="S74" s="239" t="s">
        <v>40540</v>
      </c>
      <c r="T74" s="240">
        <v>215</v>
      </c>
      <c r="U74" s="240">
        <v>215</v>
      </c>
      <c r="V74" s="240">
        <v>215</v>
      </c>
      <c r="W74" s="240">
        <v>215</v>
      </c>
      <c r="X74" s="240">
        <v>215</v>
      </c>
      <c r="Y74" s="240">
        <v>215</v>
      </c>
      <c r="Z74" s="240">
        <v>215</v>
      </c>
      <c r="AA74" s="240">
        <v>215</v>
      </c>
      <c r="AB74" s="240">
        <v>215</v>
      </c>
      <c r="AC74" s="239" t="s">
        <v>40351</v>
      </c>
      <c r="AD74" s="239" t="s">
        <v>40351</v>
      </c>
      <c r="AE74" s="239" t="s">
        <v>40351</v>
      </c>
      <c r="AF74" s="241">
        <f>SUM(Tabela96[[#This Row], [jan/26]:[dez/26]])</f>
      </c>
      <c r="AG74" s="240">
        <v>0</v>
      </c>
      <c r="AH74" s="240">
        <v>0</v>
      </c>
      <c r="AI74" s="240">
        <v>0</v>
      </c>
      <c r="AJ74" s="240">
        <v>0</v>
      </c>
      <c r="AK74" s="240">
        <f>SUM(Tabela96[[#This Row], [2026]:[2030]])</f>
      </c>
      <c r="AL74" s="240">
        <v>0</v>
      </c>
      <c r="AM74" s="240">
        <v>0</v>
      </c>
      <c r="AN74" s="240">
        <v>0</v>
      </c>
      <c r="AO74" s="240">
        <v>0</v>
      </c>
      <c r="AP74" s="240">
        <v>0</v>
      </c>
      <c r="AQ74" s="242">
        <f>SUM(Tabela96[[#This Row], [2026-2030]:[2035]])</f>
      </c>
      <c r="AR74" s="1"/>
      <c r="AS74" s="239" t="s">
        <v>40352</v>
      </c>
      <c r="AT74" s="243">
        <v>2024</v>
      </c>
      <c r="AU74" s="239" t="s">
        <v>40578</v>
      </c>
      <c r="AV74" s="245" t="s">
        <v>40542</v>
      </c>
      <c r="AW74" s="239" t="s">
        <v>46</v>
      </c>
      <c r="AX74" s="2"/>
      <c r="AY74" s="2"/>
      <c r="AZ74" s="239" t="s">
        <v>40448</v>
      </c>
    </row>
    <row x14ac:dyDescent="0.25" r="75" customHeight="1" ht="24.75">
      <c r="A75" s="1"/>
      <c r="B75" s="237">
        <f>AND(ISTEXT('Consolidado-Eletronorte'!#REF!),SUM('Consolidado-Eletronorte'!#REF!)&gt;0)</f>
      </c>
      <c r="C75" s="238">
        <f>$J$3</f>
      </c>
      <c r="D75" s="238">
        <f>$H$3</f>
      </c>
      <c r="E75" s="238">
        <f>$H$4</f>
      </c>
      <c r="F75" s="210"/>
      <c r="G75" s="238">
        <f>_xlfn.CONCAT('Consolidado-Eletronorte'!#REF!,"_",ROW('Consolidado-Eletronorte'!#REF!)-ROW('Consolidado-Eletronorte'!$G$18))</f>
      </c>
      <c r="H75" s="212" t="s">
        <v>10</v>
      </c>
      <c r="I75" s="212" t="s">
        <v>87</v>
      </c>
      <c r="J75" s="212" t="s">
        <v>5</v>
      </c>
      <c r="K75" s="213" t="s">
        <v>16</v>
      </c>
      <c r="L75" s="212" t="s">
        <v>67</v>
      </c>
      <c r="M75" s="239" t="s">
        <v>40579</v>
      </c>
      <c r="N75" s="212"/>
      <c r="O75" s="212"/>
      <c r="P75" s="212"/>
      <c r="Q75" s="239" t="s">
        <v>40580</v>
      </c>
      <c r="R75" s="239" t="s">
        <v>40444</v>
      </c>
      <c r="S75" s="239" t="s">
        <v>40540</v>
      </c>
      <c r="T75" s="240">
        <v>215</v>
      </c>
      <c r="U75" s="240">
        <v>215</v>
      </c>
      <c r="V75" s="240">
        <v>215</v>
      </c>
      <c r="W75" s="240">
        <v>215</v>
      </c>
      <c r="X75" s="240">
        <v>215</v>
      </c>
      <c r="Y75" s="240">
        <v>215</v>
      </c>
      <c r="Z75" s="240">
        <v>215</v>
      </c>
      <c r="AA75" s="240">
        <v>215</v>
      </c>
      <c r="AB75" s="240">
        <v>215</v>
      </c>
      <c r="AC75" s="239" t="s">
        <v>40351</v>
      </c>
      <c r="AD75" s="239" t="s">
        <v>40351</v>
      </c>
      <c r="AE75" s="239" t="s">
        <v>40351</v>
      </c>
      <c r="AF75" s="241">
        <f>SUM(Tabela96[[#This Row], [jan/26]:[dez/26]])</f>
      </c>
      <c r="AG75" s="240">
        <v>0</v>
      </c>
      <c r="AH75" s="240">
        <v>0</v>
      </c>
      <c r="AI75" s="240">
        <v>0</v>
      </c>
      <c r="AJ75" s="240">
        <v>0</v>
      </c>
      <c r="AK75" s="240">
        <f>SUM(Tabela96[[#This Row], [2026]:[2030]])</f>
      </c>
      <c r="AL75" s="240">
        <v>0</v>
      </c>
      <c r="AM75" s="240">
        <v>0</v>
      </c>
      <c r="AN75" s="240">
        <v>0</v>
      </c>
      <c r="AO75" s="240">
        <v>0</v>
      </c>
      <c r="AP75" s="240">
        <v>0</v>
      </c>
      <c r="AQ75" s="242">
        <f>SUM(Tabela96[[#This Row], [2026-2030]:[2035]])</f>
      </c>
      <c r="AR75" s="1"/>
      <c r="AS75" s="239" t="s">
        <v>40352</v>
      </c>
      <c r="AT75" s="243">
        <v>2024</v>
      </c>
      <c r="AU75" s="239" t="s">
        <v>40581</v>
      </c>
      <c r="AV75" s="3" t="s">
        <v>40542</v>
      </c>
      <c r="AW75" s="239" t="s">
        <v>46</v>
      </c>
      <c r="AX75" s="2"/>
      <c r="AY75" s="2"/>
      <c r="AZ75" s="239" t="s">
        <v>40448</v>
      </c>
    </row>
    <row x14ac:dyDescent="0.25" r="76" customHeight="1" ht="24.75">
      <c r="A76" s="1"/>
      <c r="B76" s="237">
        <f>AND(ISTEXT('Consolidado-Eletronorte'!#REF!),SUM('Consolidado-Eletronorte'!#REF!)&gt;0)</f>
      </c>
      <c r="C76" s="238">
        <f>$J$3</f>
      </c>
      <c r="D76" s="238">
        <f>$H$3</f>
      </c>
      <c r="E76" s="238">
        <f>$H$4</f>
      </c>
      <c r="F76" s="210"/>
      <c r="G76" s="238">
        <f>_xlfn.CONCAT('Consolidado-Eletronorte'!#REF!,"_",ROW('Consolidado-Eletronorte'!#REF!)-ROW('Consolidado-Eletronorte'!$G$18))</f>
      </c>
      <c r="H76" s="212" t="s">
        <v>10</v>
      </c>
      <c r="I76" s="212" t="s">
        <v>87</v>
      </c>
      <c r="J76" s="212" t="s">
        <v>5</v>
      </c>
      <c r="K76" s="213" t="s">
        <v>16</v>
      </c>
      <c r="L76" s="212" t="s">
        <v>67</v>
      </c>
      <c r="M76" s="239" t="s">
        <v>40582</v>
      </c>
      <c r="N76" s="212"/>
      <c r="O76" s="212"/>
      <c r="P76" s="212"/>
      <c r="Q76" s="239" t="s">
        <v>40583</v>
      </c>
      <c r="R76" s="239" t="s">
        <v>40444</v>
      </c>
      <c r="S76" s="239" t="s">
        <v>40540</v>
      </c>
      <c r="T76" s="240">
        <v>215</v>
      </c>
      <c r="U76" s="240">
        <v>215</v>
      </c>
      <c r="V76" s="240">
        <v>215</v>
      </c>
      <c r="W76" s="240">
        <v>215</v>
      </c>
      <c r="X76" s="240">
        <v>215</v>
      </c>
      <c r="Y76" s="240">
        <v>215</v>
      </c>
      <c r="Z76" s="240">
        <v>215</v>
      </c>
      <c r="AA76" s="240">
        <v>215</v>
      </c>
      <c r="AB76" s="240">
        <v>215</v>
      </c>
      <c r="AC76" s="239" t="s">
        <v>40351</v>
      </c>
      <c r="AD76" s="239" t="s">
        <v>40351</v>
      </c>
      <c r="AE76" s="239" t="s">
        <v>40351</v>
      </c>
      <c r="AF76" s="241">
        <f>SUM(Tabela96[[#This Row], [jan/26]:[dez/26]])</f>
      </c>
      <c r="AG76" s="240">
        <v>0</v>
      </c>
      <c r="AH76" s="240">
        <v>0</v>
      </c>
      <c r="AI76" s="240">
        <v>0</v>
      </c>
      <c r="AJ76" s="240">
        <v>0</v>
      </c>
      <c r="AK76" s="240">
        <f>SUM(Tabela96[[#This Row], [2026]:[2030]])</f>
      </c>
      <c r="AL76" s="240">
        <v>0</v>
      </c>
      <c r="AM76" s="240">
        <v>0</v>
      </c>
      <c r="AN76" s="240">
        <v>0</v>
      </c>
      <c r="AO76" s="240">
        <v>0</v>
      </c>
      <c r="AP76" s="240">
        <v>0</v>
      </c>
      <c r="AQ76" s="242">
        <f>SUM(Tabela96[[#This Row], [2026-2030]:[2035]])</f>
      </c>
      <c r="AR76" s="1"/>
      <c r="AS76" s="239" t="s">
        <v>40352</v>
      </c>
      <c r="AT76" s="243">
        <v>2024</v>
      </c>
      <c r="AU76" s="239" t="s">
        <v>40584</v>
      </c>
      <c r="AV76" s="245" t="s">
        <v>40542</v>
      </c>
      <c r="AW76" s="239" t="s">
        <v>46</v>
      </c>
      <c r="AX76" s="2"/>
      <c r="AY76" s="2"/>
      <c r="AZ76" s="239" t="s">
        <v>40448</v>
      </c>
    </row>
    <row x14ac:dyDescent="0.25" r="77" customHeight="1" ht="24.75">
      <c r="A77" s="1"/>
      <c r="B77" s="237">
        <f>AND(ISTEXT('Consolidado-Eletronorte'!#REF!),SUM('Consolidado-Eletronorte'!#REF!)&gt;0)</f>
      </c>
      <c r="C77" s="238">
        <f>$J$3</f>
      </c>
      <c r="D77" s="238">
        <f>$H$3</f>
      </c>
      <c r="E77" s="238">
        <f>$H$4</f>
      </c>
      <c r="F77" s="210"/>
      <c r="G77" s="238">
        <f>_xlfn.CONCAT('Consolidado-Eletronorte'!#REF!,"_",ROW('Consolidado-Eletronorte'!#REF!)-ROW('Consolidado-Eletronorte'!$G$18))</f>
      </c>
      <c r="H77" s="212" t="s">
        <v>10</v>
      </c>
      <c r="I77" s="212" t="s">
        <v>87</v>
      </c>
      <c r="J77" s="212" t="s">
        <v>5</v>
      </c>
      <c r="K77" s="213" t="s">
        <v>16</v>
      </c>
      <c r="L77" s="212" t="s">
        <v>67</v>
      </c>
      <c r="M77" s="239" t="s">
        <v>40585</v>
      </c>
      <c r="N77" s="212"/>
      <c r="O77" s="212"/>
      <c r="P77" s="212"/>
      <c r="Q77" s="239" t="s">
        <v>40586</v>
      </c>
      <c r="R77" s="239" t="s">
        <v>40444</v>
      </c>
      <c r="S77" s="239" t="s">
        <v>40587</v>
      </c>
      <c r="T77" s="240">
        <v>215</v>
      </c>
      <c r="U77" s="240">
        <v>215</v>
      </c>
      <c r="V77" s="240">
        <v>215</v>
      </c>
      <c r="W77" s="240">
        <v>215</v>
      </c>
      <c r="X77" s="240">
        <v>215</v>
      </c>
      <c r="Y77" s="240">
        <v>215</v>
      </c>
      <c r="Z77" s="240">
        <v>215</v>
      </c>
      <c r="AA77" s="240">
        <v>215</v>
      </c>
      <c r="AB77" s="240">
        <v>215</v>
      </c>
      <c r="AC77" s="239" t="s">
        <v>40351</v>
      </c>
      <c r="AD77" s="239" t="s">
        <v>40351</v>
      </c>
      <c r="AE77" s="239" t="s">
        <v>40351</v>
      </c>
      <c r="AF77" s="241">
        <f>SUM(Tabela96[[#This Row], [jan/26]:[dez/26]])</f>
      </c>
      <c r="AG77" s="240">
        <v>0</v>
      </c>
      <c r="AH77" s="240">
        <v>0</v>
      </c>
      <c r="AI77" s="240">
        <v>0</v>
      </c>
      <c r="AJ77" s="240">
        <v>0</v>
      </c>
      <c r="AK77" s="240">
        <f>SUM(Tabela96[[#This Row], [2026]:[2030]])</f>
      </c>
      <c r="AL77" s="240">
        <v>0</v>
      </c>
      <c r="AM77" s="240">
        <v>0</v>
      </c>
      <c r="AN77" s="240">
        <v>0</v>
      </c>
      <c r="AO77" s="240">
        <v>0</v>
      </c>
      <c r="AP77" s="240">
        <v>0</v>
      </c>
      <c r="AQ77" s="242">
        <f>SUM(Tabela96[[#This Row], [2026-2030]:[2035]])</f>
      </c>
      <c r="AR77" s="1"/>
      <c r="AS77" s="239" t="s">
        <v>40352</v>
      </c>
      <c r="AT77" s="243">
        <v>2024</v>
      </c>
      <c r="AU77" s="239" t="s">
        <v>40588</v>
      </c>
      <c r="AV77" s="3" t="s">
        <v>40589</v>
      </c>
      <c r="AW77" s="239" t="s">
        <v>46</v>
      </c>
      <c r="AX77" s="2"/>
      <c r="AY77" s="2"/>
      <c r="AZ77" s="239" t="s">
        <v>40448</v>
      </c>
    </row>
    <row x14ac:dyDescent="0.25" r="78" customHeight="1" ht="24.75">
      <c r="A78" s="1"/>
      <c r="B78" s="237">
        <f>AND(ISTEXT('Consolidado-Eletronorte'!#REF!),SUM('Consolidado-Eletronorte'!#REF!)&gt;0)</f>
      </c>
      <c r="C78" s="238">
        <f>$J$3</f>
      </c>
      <c r="D78" s="238">
        <f>$H$3</f>
      </c>
      <c r="E78" s="238">
        <f>$H$4</f>
      </c>
      <c r="F78" s="210"/>
      <c r="G78" s="238">
        <f>_xlfn.CONCAT('Consolidado-Eletronorte'!#REF!,"_",ROW('Consolidado-Eletronorte'!#REF!)-ROW('Consolidado-Eletronorte'!$G$18))</f>
      </c>
      <c r="H78" s="212" t="s">
        <v>10</v>
      </c>
      <c r="I78" s="212" t="s">
        <v>87</v>
      </c>
      <c r="J78" s="212" t="s">
        <v>5</v>
      </c>
      <c r="K78" s="213" t="s">
        <v>16</v>
      </c>
      <c r="L78" s="212" t="s">
        <v>67</v>
      </c>
      <c r="M78" s="239" t="s">
        <v>40590</v>
      </c>
      <c r="N78" s="212"/>
      <c r="O78" s="212"/>
      <c r="P78" s="212"/>
      <c r="Q78" s="239" t="s">
        <v>40591</v>
      </c>
      <c r="R78" s="239" t="s">
        <v>40444</v>
      </c>
      <c r="S78" s="239" t="s">
        <v>40587</v>
      </c>
      <c r="T78" s="240">
        <v>215</v>
      </c>
      <c r="U78" s="240">
        <v>215</v>
      </c>
      <c r="V78" s="240">
        <v>215</v>
      </c>
      <c r="W78" s="240">
        <v>215</v>
      </c>
      <c r="X78" s="240">
        <v>215</v>
      </c>
      <c r="Y78" s="240">
        <v>215</v>
      </c>
      <c r="Z78" s="240">
        <v>215</v>
      </c>
      <c r="AA78" s="240">
        <v>215</v>
      </c>
      <c r="AB78" s="240">
        <v>215</v>
      </c>
      <c r="AC78" s="239" t="s">
        <v>40351</v>
      </c>
      <c r="AD78" s="239" t="s">
        <v>40351</v>
      </c>
      <c r="AE78" s="239" t="s">
        <v>40351</v>
      </c>
      <c r="AF78" s="241">
        <f>SUM(Tabela96[[#This Row], [jan/26]:[dez/26]])</f>
      </c>
      <c r="AG78" s="240">
        <v>0</v>
      </c>
      <c r="AH78" s="240">
        <v>0</v>
      </c>
      <c r="AI78" s="240">
        <v>0</v>
      </c>
      <c r="AJ78" s="240">
        <v>0</v>
      </c>
      <c r="AK78" s="240">
        <f>SUM(Tabela96[[#This Row], [2026]:[2030]])</f>
      </c>
      <c r="AL78" s="240">
        <v>0</v>
      </c>
      <c r="AM78" s="240">
        <v>0</v>
      </c>
      <c r="AN78" s="240">
        <v>0</v>
      </c>
      <c r="AO78" s="240">
        <v>0</v>
      </c>
      <c r="AP78" s="240">
        <v>0</v>
      </c>
      <c r="AQ78" s="242">
        <f>SUM(Tabela96[[#This Row], [2026-2030]:[2035]])</f>
      </c>
      <c r="AR78" s="1"/>
      <c r="AS78" s="239" t="s">
        <v>40352</v>
      </c>
      <c r="AT78" s="243">
        <v>2024</v>
      </c>
      <c r="AU78" s="239" t="s">
        <v>40592</v>
      </c>
      <c r="AV78" s="3" t="s">
        <v>40589</v>
      </c>
      <c r="AW78" s="239" t="s">
        <v>46</v>
      </c>
      <c r="AX78" s="2"/>
      <c r="AY78" s="2"/>
      <c r="AZ78" s="239" t="s">
        <v>40448</v>
      </c>
    </row>
    <row x14ac:dyDescent="0.25" r="79" customHeight="1" ht="24.75">
      <c r="A79" s="1"/>
      <c r="B79" s="237">
        <f>AND(ISTEXT('Consolidado-Eletronorte'!#REF!),SUM('Consolidado-Eletronorte'!#REF!)&gt;0)</f>
      </c>
      <c r="C79" s="238">
        <f>$J$3</f>
      </c>
      <c r="D79" s="238">
        <f>$H$3</f>
      </c>
      <c r="E79" s="238">
        <f>$H$4</f>
      </c>
      <c r="F79" s="210"/>
      <c r="G79" s="238">
        <f>_xlfn.CONCAT('Consolidado-Eletronorte'!#REF!,"_",ROW('Consolidado-Eletronorte'!#REF!)-ROW('Consolidado-Eletronorte'!$G$18))</f>
      </c>
      <c r="H79" s="212" t="s">
        <v>10</v>
      </c>
      <c r="I79" s="212" t="s">
        <v>87</v>
      </c>
      <c r="J79" s="212" t="s">
        <v>5</v>
      </c>
      <c r="K79" s="213" t="s">
        <v>16</v>
      </c>
      <c r="L79" s="212" t="s">
        <v>67</v>
      </c>
      <c r="M79" s="239" t="s">
        <v>40593</v>
      </c>
      <c r="N79" s="212"/>
      <c r="O79" s="212"/>
      <c r="P79" s="212"/>
      <c r="Q79" s="239" t="s">
        <v>40594</v>
      </c>
      <c r="R79" s="239" t="s">
        <v>40444</v>
      </c>
      <c r="S79" s="239" t="s">
        <v>40587</v>
      </c>
      <c r="T79" s="240">
        <v>215</v>
      </c>
      <c r="U79" s="240">
        <v>215</v>
      </c>
      <c r="V79" s="240">
        <v>215</v>
      </c>
      <c r="W79" s="240">
        <v>215</v>
      </c>
      <c r="X79" s="240">
        <v>215</v>
      </c>
      <c r="Y79" s="240">
        <v>215</v>
      </c>
      <c r="Z79" s="240">
        <v>215</v>
      </c>
      <c r="AA79" s="240">
        <v>215</v>
      </c>
      <c r="AB79" s="240">
        <v>215</v>
      </c>
      <c r="AC79" s="239" t="s">
        <v>40351</v>
      </c>
      <c r="AD79" s="239" t="s">
        <v>40351</v>
      </c>
      <c r="AE79" s="239" t="s">
        <v>40351</v>
      </c>
      <c r="AF79" s="241">
        <f>SUM(Tabela96[[#This Row], [jan/26]:[dez/26]])</f>
      </c>
      <c r="AG79" s="240">
        <v>0</v>
      </c>
      <c r="AH79" s="240">
        <v>0</v>
      </c>
      <c r="AI79" s="240">
        <v>0</v>
      </c>
      <c r="AJ79" s="240">
        <v>0</v>
      </c>
      <c r="AK79" s="240">
        <f>SUM(Tabela96[[#This Row], [2026]:[2030]])</f>
      </c>
      <c r="AL79" s="240">
        <v>0</v>
      </c>
      <c r="AM79" s="240">
        <v>0</v>
      </c>
      <c r="AN79" s="240">
        <v>0</v>
      </c>
      <c r="AO79" s="240">
        <v>0</v>
      </c>
      <c r="AP79" s="240">
        <v>0</v>
      </c>
      <c r="AQ79" s="242">
        <f>SUM(Tabela96[[#This Row], [2026-2030]:[2035]])</f>
      </c>
      <c r="AR79" s="1"/>
      <c r="AS79" s="239" t="s">
        <v>40352</v>
      </c>
      <c r="AT79" s="243">
        <v>2024</v>
      </c>
      <c r="AU79" s="239" t="s">
        <v>40595</v>
      </c>
      <c r="AV79" s="3" t="s">
        <v>40589</v>
      </c>
      <c r="AW79" s="239" t="s">
        <v>46</v>
      </c>
      <c r="AX79" s="2"/>
      <c r="AY79" s="2"/>
      <c r="AZ79" s="239" t="s">
        <v>40448</v>
      </c>
    </row>
    <row x14ac:dyDescent="0.25" r="80" customHeight="1" ht="24.75">
      <c r="A80" s="1"/>
      <c r="B80" s="237">
        <f>AND(ISTEXT('Consolidado-Eletronorte'!#REF!),SUM('Consolidado-Eletronorte'!#REF!)&gt;0)</f>
      </c>
      <c r="C80" s="238">
        <f>$J$3</f>
      </c>
      <c r="D80" s="238">
        <f>$H$3</f>
      </c>
      <c r="E80" s="238">
        <f>$H$4</f>
      </c>
      <c r="F80" s="210"/>
      <c r="G80" s="238">
        <f>_xlfn.CONCAT('Consolidado-Eletronorte'!#REF!,"_",ROW('Consolidado-Eletronorte'!#REF!)-ROW('Consolidado-Eletronorte'!$G$18))</f>
      </c>
      <c r="H80" s="212" t="s">
        <v>10</v>
      </c>
      <c r="I80" s="212" t="s">
        <v>87</v>
      </c>
      <c r="J80" s="212" t="s">
        <v>5</v>
      </c>
      <c r="K80" s="213" t="s">
        <v>16</v>
      </c>
      <c r="L80" s="212" t="s">
        <v>67</v>
      </c>
      <c r="M80" s="239" t="s">
        <v>40596</v>
      </c>
      <c r="N80" s="212"/>
      <c r="O80" s="212"/>
      <c r="P80" s="212"/>
      <c r="Q80" s="239" t="s">
        <v>40597</v>
      </c>
      <c r="R80" s="239" t="s">
        <v>40444</v>
      </c>
      <c r="S80" s="239" t="s">
        <v>40587</v>
      </c>
      <c r="T80" s="240">
        <v>215</v>
      </c>
      <c r="U80" s="240">
        <v>215</v>
      </c>
      <c r="V80" s="240">
        <v>215</v>
      </c>
      <c r="W80" s="240">
        <v>215</v>
      </c>
      <c r="X80" s="240">
        <v>215</v>
      </c>
      <c r="Y80" s="240">
        <v>215</v>
      </c>
      <c r="Z80" s="240">
        <v>215</v>
      </c>
      <c r="AA80" s="240">
        <v>215</v>
      </c>
      <c r="AB80" s="240">
        <v>215</v>
      </c>
      <c r="AC80" s="239" t="s">
        <v>40351</v>
      </c>
      <c r="AD80" s="239" t="s">
        <v>40351</v>
      </c>
      <c r="AE80" s="239" t="s">
        <v>40351</v>
      </c>
      <c r="AF80" s="241">
        <f>SUM(Tabela96[[#This Row], [jan/26]:[dez/26]])</f>
      </c>
      <c r="AG80" s="240">
        <v>0</v>
      </c>
      <c r="AH80" s="240">
        <v>0</v>
      </c>
      <c r="AI80" s="240">
        <v>0</v>
      </c>
      <c r="AJ80" s="240">
        <v>0</v>
      </c>
      <c r="AK80" s="240">
        <f>SUM(Tabela96[[#This Row], [2026]:[2030]])</f>
      </c>
      <c r="AL80" s="240">
        <v>0</v>
      </c>
      <c r="AM80" s="240">
        <v>0</v>
      </c>
      <c r="AN80" s="240">
        <v>0</v>
      </c>
      <c r="AO80" s="240">
        <v>0</v>
      </c>
      <c r="AP80" s="240">
        <v>0</v>
      </c>
      <c r="AQ80" s="242">
        <f>SUM(Tabela96[[#This Row], [2026-2030]:[2035]])</f>
      </c>
      <c r="AR80" s="1"/>
      <c r="AS80" s="239" t="s">
        <v>40352</v>
      </c>
      <c r="AT80" s="243">
        <v>2024</v>
      </c>
      <c r="AU80" s="239" t="s">
        <v>40598</v>
      </c>
      <c r="AV80" s="3" t="s">
        <v>40589</v>
      </c>
      <c r="AW80" s="239" t="s">
        <v>46</v>
      </c>
      <c r="AX80" s="2"/>
      <c r="AY80" s="2"/>
      <c r="AZ80" s="239" t="s">
        <v>40448</v>
      </c>
    </row>
    <row x14ac:dyDescent="0.25" r="81" customHeight="1" ht="24.75">
      <c r="A81" s="1"/>
      <c r="B81" s="237">
        <f>AND(ISTEXT('Consolidado-Eletronorte'!#REF!),SUM('Consolidado-Eletronorte'!#REF!)&gt;0)</f>
      </c>
      <c r="C81" s="238">
        <f>$J$3</f>
      </c>
      <c r="D81" s="238">
        <f>$H$3</f>
      </c>
      <c r="E81" s="238">
        <f>$H$4</f>
      </c>
      <c r="F81" s="210"/>
      <c r="G81" s="238">
        <f>_xlfn.CONCAT('Consolidado-Eletronorte'!#REF!,"_",ROW('Consolidado-Eletronorte'!#REF!)-ROW('Consolidado-Eletronorte'!$G$18))</f>
      </c>
      <c r="H81" s="212" t="s">
        <v>10</v>
      </c>
      <c r="I81" s="212" t="s">
        <v>87</v>
      </c>
      <c r="J81" s="212" t="s">
        <v>5</v>
      </c>
      <c r="K81" s="213" t="s">
        <v>16</v>
      </c>
      <c r="L81" s="212" t="s">
        <v>67</v>
      </c>
      <c r="M81" s="239" t="s">
        <v>40599</v>
      </c>
      <c r="N81" s="212"/>
      <c r="O81" s="212"/>
      <c r="P81" s="212"/>
      <c r="Q81" s="239" t="s">
        <v>40600</v>
      </c>
      <c r="R81" s="239" t="s">
        <v>40444</v>
      </c>
      <c r="S81" s="239" t="s">
        <v>40587</v>
      </c>
      <c r="T81" s="240">
        <v>215</v>
      </c>
      <c r="U81" s="240">
        <v>215</v>
      </c>
      <c r="V81" s="240">
        <v>215</v>
      </c>
      <c r="W81" s="240">
        <v>215</v>
      </c>
      <c r="X81" s="240">
        <v>215</v>
      </c>
      <c r="Y81" s="240">
        <v>215</v>
      </c>
      <c r="Z81" s="240">
        <v>215</v>
      </c>
      <c r="AA81" s="240">
        <v>215</v>
      </c>
      <c r="AB81" s="240">
        <v>215</v>
      </c>
      <c r="AC81" s="239" t="s">
        <v>40351</v>
      </c>
      <c r="AD81" s="239" t="s">
        <v>40351</v>
      </c>
      <c r="AE81" s="239" t="s">
        <v>40351</v>
      </c>
      <c r="AF81" s="241">
        <f>SUM(Tabela96[[#This Row], [jan/26]:[dez/26]])</f>
      </c>
      <c r="AG81" s="240">
        <v>0</v>
      </c>
      <c r="AH81" s="240">
        <v>0</v>
      </c>
      <c r="AI81" s="240">
        <v>0</v>
      </c>
      <c r="AJ81" s="240">
        <v>0</v>
      </c>
      <c r="AK81" s="240">
        <f>SUM(Tabela96[[#This Row], [2026]:[2030]])</f>
      </c>
      <c r="AL81" s="240">
        <v>0</v>
      </c>
      <c r="AM81" s="240">
        <v>0</v>
      </c>
      <c r="AN81" s="240">
        <v>0</v>
      </c>
      <c r="AO81" s="240">
        <v>0</v>
      </c>
      <c r="AP81" s="240">
        <v>0</v>
      </c>
      <c r="AQ81" s="242">
        <f>SUM(Tabela96[[#This Row], [2026-2030]:[2035]])</f>
      </c>
      <c r="AR81" s="1"/>
      <c r="AS81" s="239" t="s">
        <v>40352</v>
      </c>
      <c r="AT81" s="243">
        <v>2024</v>
      </c>
      <c r="AU81" s="239" t="s">
        <v>40601</v>
      </c>
      <c r="AV81" s="3" t="s">
        <v>40589</v>
      </c>
      <c r="AW81" s="239" t="s">
        <v>46</v>
      </c>
      <c r="AX81" s="2"/>
      <c r="AY81" s="2"/>
      <c r="AZ81" s="239" t="s">
        <v>40448</v>
      </c>
    </row>
    <row x14ac:dyDescent="0.25" r="82" customHeight="1" ht="24.75">
      <c r="A82" s="1"/>
      <c r="B82" s="237">
        <f>AND(ISTEXT('Consolidado-Eletronorte'!#REF!),SUM('Consolidado-Eletronorte'!#REF!)&gt;0)</f>
      </c>
      <c r="C82" s="238">
        <f>$J$3</f>
      </c>
      <c r="D82" s="238">
        <f>$H$3</f>
      </c>
      <c r="E82" s="238">
        <f>$H$4</f>
      </c>
      <c r="F82" s="210"/>
      <c r="G82" s="238">
        <f>_xlfn.CONCAT('Consolidado-Eletronorte'!#REF!,"_",ROW('Consolidado-Eletronorte'!#REF!)-ROW('Consolidado-Eletronorte'!$G$18))</f>
      </c>
      <c r="H82" s="212" t="s">
        <v>10</v>
      </c>
      <c r="I82" s="212" t="s">
        <v>87</v>
      </c>
      <c r="J82" s="212" t="s">
        <v>5</v>
      </c>
      <c r="K82" s="213" t="s">
        <v>16</v>
      </c>
      <c r="L82" s="212" t="s">
        <v>67</v>
      </c>
      <c r="M82" s="239" t="s">
        <v>40602</v>
      </c>
      <c r="N82" s="212"/>
      <c r="O82" s="212"/>
      <c r="P82" s="212"/>
      <c r="Q82" s="239" t="s">
        <v>40603</v>
      </c>
      <c r="R82" s="239" t="s">
        <v>40444</v>
      </c>
      <c r="S82" s="239" t="s">
        <v>40587</v>
      </c>
      <c r="T82" s="240">
        <v>215</v>
      </c>
      <c r="U82" s="240">
        <v>215</v>
      </c>
      <c r="V82" s="240">
        <v>215</v>
      </c>
      <c r="W82" s="240">
        <v>215</v>
      </c>
      <c r="X82" s="240">
        <v>215</v>
      </c>
      <c r="Y82" s="240">
        <v>215</v>
      </c>
      <c r="Z82" s="240">
        <v>215</v>
      </c>
      <c r="AA82" s="240">
        <v>215</v>
      </c>
      <c r="AB82" s="240">
        <v>215</v>
      </c>
      <c r="AC82" s="239" t="s">
        <v>40351</v>
      </c>
      <c r="AD82" s="239" t="s">
        <v>40351</v>
      </c>
      <c r="AE82" s="239" t="s">
        <v>40351</v>
      </c>
      <c r="AF82" s="241">
        <f>SUM(Tabela96[[#This Row], [jan/26]:[dez/26]])</f>
      </c>
      <c r="AG82" s="240">
        <v>0</v>
      </c>
      <c r="AH82" s="240">
        <v>0</v>
      </c>
      <c r="AI82" s="240">
        <v>0</v>
      </c>
      <c r="AJ82" s="240">
        <v>0</v>
      </c>
      <c r="AK82" s="240">
        <f>SUM(Tabela96[[#This Row], [2026]:[2030]])</f>
      </c>
      <c r="AL82" s="240">
        <v>0</v>
      </c>
      <c r="AM82" s="240">
        <v>0</v>
      </c>
      <c r="AN82" s="240">
        <v>0</v>
      </c>
      <c r="AO82" s="240">
        <v>0</v>
      </c>
      <c r="AP82" s="240">
        <v>0</v>
      </c>
      <c r="AQ82" s="242">
        <f>SUM(Tabela96[[#This Row], [2026-2030]:[2035]])</f>
      </c>
      <c r="AR82" s="1"/>
      <c r="AS82" s="239" t="s">
        <v>40352</v>
      </c>
      <c r="AT82" s="243">
        <v>2024</v>
      </c>
      <c r="AU82" s="239" t="s">
        <v>40604</v>
      </c>
      <c r="AV82" s="3" t="s">
        <v>40589</v>
      </c>
      <c r="AW82" s="239" t="s">
        <v>46</v>
      </c>
      <c r="AX82" s="2"/>
      <c r="AY82" s="2"/>
      <c r="AZ82" s="239" t="s">
        <v>40448</v>
      </c>
    </row>
    <row x14ac:dyDescent="0.25" r="83" customHeight="1" ht="24.75">
      <c r="A83" s="1"/>
      <c r="B83" s="237">
        <f>AND(ISTEXT('Consolidado-Eletronorte'!#REF!),SUM('Consolidado-Eletronorte'!#REF!)&gt;0)</f>
      </c>
      <c r="C83" s="238">
        <f>$J$3</f>
      </c>
      <c r="D83" s="238">
        <f>$H$3</f>
      </c>
      <c r="E83" s="238">
        <f>$H$4</f>
      </c>
      <c r="F83" s="210"/>
      <c r="G83" s="238">
        <f>_xlfn.CONCAT('Consolidado-Eletronorte'!#REF!,"_",ROW('Consolidado-Eletronorte'!#REF!)-ROW('Consolidado-Eletronorte'!$G$18))</f>
      </c>
      <c r="H83" s="212" t="s">
        <v>10</v>
      </c>
      <c r="I83" s="212" t="s">
        <v>87</v>
      </c>
      <c r="J83" s="212" t="s">
        <v>5</v>
      </c>
      <c r="K83" s="213" t="s">
        <v>16</v>
      </c>
      <c r="L83" s="212" t="s">
        <v>67</v>
      </c>
      <c r="M83" s="239" t="s">
        <v>40605</v>
      </c>
      <c r="N83" s="212"/>
      <c r="O83" s="212"/>
      <c r="P83" s="212"/>
      <c r="Q83" s="239" t="s">
        <v>40606</v>
      </c>
      <c r="R83" s="239" t="s">
        <v>40444</v>
      </c>
      <c r="S83" s="239" t="s">
        <v>40587</v>
      </c>
      <c r="T83" s="240">
        <v>215</v>
      </c>
      <c r="U83" s="240">
        <v>215</v>
      </c>
      <c r="V83" s="240">
        <v>215</v>
      </c>
      <c r="W83" s="240">
        <v>215</v>
      </c>
      <c r="X83" s="240">
        <v>215</v>
      </c>
      <c r="Y83" s="240">
        <v>215</v>
      </c>
      <c r="Z83" s="240">
        <v>215</v>
      </c>
      <c r="AA83" s="240">
        <v>215</v>
      </c>
      <c r="AB83" s="240">
        <v>215</v>
      </c>
      <c r="AC83" s="239" t="s">
        <v>40351</v>
      </c>
      <c r="AD83" s="239" t="s">
        <v>40351</v>
      </c>
      <c r="AE83" s="239" t="s">
        <v>40351</v>
      </c>
      <c r="AF83" s="241">
        <f>SUM(Tabela96[[#This Row], [jan/26]:[dez/26]])</f>
      </c>
      <c r="AG83" s="240">
        <v>0</v>
      </c>
      <c r="AH83" s="240">
        <v>0</v>
      </c>
      <c r="AI83" s="240">
        <v>0</v>
      </c>
      <c r="AJ83" s="240">
        <v>0</v>
      </c>
      <c r="AK83" s="240">
        <f>SUM(Tabela96[[#This Row], [2026]:[2030]])</f>
      </c>
      <c r="AL83" s="240">
        <v>0</v>
      </c>
      <c r="AM83" s="240">
        <v>0</v>
      </c>
      <c r="AN83" s="240">
        <v>0</v>
      </c>
      <c r="AO83" s="240">
        <v>0</v>
      </c>
      <c r="AP83" s="240">
        <v>0</v>
      </c>
      <c r="AQ83" s="242">
        <f>SUM(Tabela96[[#This Row], [2026-2030]:[2035]])</f>
      </c>
      <c r="AR83" s="1"/>
      <c r="AS83" s="239" t="s">
        <v>40352</v>
      </c>
      <c r="AT83" s="243">
        <v>2024</v>
      </c>
      <c r="AU83" s="239" t="s">
        <v>40607</v>
      </c>
      <c r="AV83" s="3" t="s">
        <v>40589</v>
      </c>
      <c r="AW83" s="239" t="s">
        <v>46</v>
      </c>
      <c r="AX83" s="2"/>
      <c r="AY83" s="2"/>
      <c r="AZ83" s="239" t="s">
        <v>40448</v>
      </c>
    </row>
    <row x14ac:dyDescent="0.25" r="84" customHeight="1" ht="24.75">
      <c r="A84" s="1"/>
      <c r="B84" s="237">
        <f>AND(ISTEXT('Consolidado-Eletronorte'!#REF!),SUM('Consolidado-Eletronorte'!#REF!)&gt;0)</f>
      </c>
      <c r="C84" s="238">
        <f>$J$3</f>
      </c>
      <c r="D84" s="238">
        <f>$H$3</f>
      </c>
      <c r="E84" s="238">
        <f>$H$4</f>
      </c>
      <c r="F84" s="210"/>
      <c r="G84" s="238">
        <f>_xlfn.CONCAT('Consolidado-Eletronorte'!#REF!,"_",ROW('Consolidado-Eletronorte'!#REF!)-ROW('Consolidado-Eletronorte'!$G$18))</f>
      </c>
      <c r="H84" s="212" t="s">
        <v>10</v>
      </c>
      <c r="I84" s="212" t="s">
        <v>87</v>
      </c>
      <c r="J84" s="212" t="s">
        <v>5</v>
      </c>
      <c r="K84" s="213" t="s">
        <v>16</v>
      </c>
      <c r="L84" s="212" t="s">
        <v>67</v>
      </c>
      <c r="M84" s="239" t="s">
        <v>40608</v>
      </c>
      <c r="N84" s="212"/>
      <c r="O84" s="212"/>
      <c r="P84" s="212"/>
      <c r="Q84" s="239" t="s">
        <v>40609</v>
      </c>
      <c r="R84" s="239" t="s">
        <v>40444</v>
      </c>
      <c r="S84" s="239" t="s">
        <v>40587</v>
      </c>
      <c r="T84" s="240">
        <v>215</v>
      </c>
      <c r="U84" s="240">
        <v>215</v>
      </c>
      <c r="V84" s="240">
        <v>215</v>
      </c>
      <c r="W84" s="240">
        <v>215</v>
      </c>
      <c r="X84" s="240">
        <v>215</v>
      </c>
      <c r="Y84" s="240">
        <v>215</v>
      </c>
      <c r="Z84" s="240">
        <v>215</v>
      </c>
      <c r="AA84" s="240">
        <v>215</v>
      </c>
      <c r="AB84" s="240">
        <v>215</v>
      </c>
      <c r="AC84" s="239" t="s">
        <v>40351</v>
      </c>
      <c r="AD84" s="239" t="s">
        <v>40351</v>
      </c>
      <c r="AE84" s="239" t="s">
        <v>40351</v>
      </c>
      <c r="AF84" s="241">
        <f>SUM(Tabela96[[#This Row], [jan/26]:[dez/26]])</f>
      </c>
      <c r="AG84" s="240">
        <v>0</v>
      </c>
      <c r="AH84" s="240">
        <v>0</v>
      </c>
      <c r="AI84" s="240">
        <v>0</v>
      </c>
      <c r="AJ84" s="240">
        <v>0</v>
      </c>
      <c r="AK84" s="240">
        <f>SUM(Tabela96[[#This Row], [2026]:[2030]])</f>
      </c>
      <c r="AL84" s="240">
        <v>0</v>
      </c>
      <c r="AM84" s="240">
        <v>0</v>
      </c>
      <c r="AN84" s="240">
        <v>0</v>
      </c>
      <c r="AO84" s="240">
        <v>0</v>
      </c>
      <c r="AP84" s="240">
        <v>0</v>
      </c>
      <c r="AQ84" s="242">
        <f>SUM(Tabela96[[#This Row], [2026-2030]:[2035]])</f>
      </c>
      <c r="AR84" s="1"/>
      <c r="AS84" s="239" t="s">
        <v>40352</v>
      </c>
      <c r="AT84" s="243">
        <v>2024</v>
      </c>
      <c r="AU84" s="239" t="s">
        <v>40610</v>
      </c>
      <c r="AV84" s="3" t="s">
        <v>40589</v>
      </c>
      <c r="AW84" s="239" t="s">
        <v>46</v>
      </c>
      <c r="AX84" s="2"/>
      <c r="AY84" s="2"/>
      <c r="AZ84" s="239" t="s">
        <v>40448</v>
      </c>
    </row>
    <row x14ac:dyDescent="0.25" r="85" customHeight="1" ht="24.75">
      <c r="A85" s="1"/>
      <c r="B85" s="237">
        <f>AND(ISTEXT('Consolidado-Eletronorte'!#REF!),SUM('Consolidado-Eletronorte'!#REF!)&gt;0)</f>
      </c>
      <c r="C85" s="238">
        <f>$J$3</f>
      </c>
      <c r="D85" s="238">
        <f>$H$3</f>
      </c>
      <c r="E85" s="238">
        <f>$H$4</f>
      </c>
      <c r="F85" s="210"/>
      <c r="G85" s="238">
        <f>_xlfn.CONCAT('Consolidado-Eletronorte'!#REF!,"_",ROW('Consolidado-Eletronorte'!#REF!)-ROW('Consolidado-Eletronorte'!$G$18))</f>
      </c>
      <c r="H85" s="212" t="s">
        <v>10</v>
      </c>
      <c r="I85" s="212" t="s">
        <v>87</v>
      </c>
      <c r="J85" s="212" t="s">
        <v>5</v>
      </c>
      <c r="K85" s="213" t="s">
        <v>16</v>
      </c>
      <c r="L85" s="212" t="s">
        <v>67</v>
      </c>
      <c r="M85" s="239" t="s">
        <v>40611</v>
      </c>
      <c r="N85" s="212"/>
      <c r="O85" s="212"/>
      <c r="P85" s="212"/>
      <c r="Q85" s="239" t="s">
        <v>40612</v>
      </c>
      <c r="R85" s="239" t="s">
        <v>40444</v>
      </c>
      <c r="S85" s="239" t="s">
        <v>40587</v>
      </c>
      <c r="T85" s="240">
        <v>215</v>
      </c>
      <c r="U85" s="240">
        <v>215</v>
      </c>
      <c r="V85" s="240">
        <v>215</v>
      </c>
      <c r="W85" s="240">
        <v>215</v>
      </c>
      <c r="X85" s="240">
        <v>215</v>
      </c>
      <c r="Y85" s="240">
        <v>215</v>
      </c>
      <c r="Z85" s="240">
        <v>215</v>
      </c>
      <c r="AA85" s="240">
        <v>215</v>
      </c>
      <c r="AB85" s="240">
        <v>215</v>
      </c>
      <c r="AC85" s="239" t="s">
        <v>40351</v>
      </c>
      <c r="AD85" s="239" t="s">
        <v>40351</v>
      </c>
      <c r="AE85" s="239" t="s">
        <v>40351</v>
      </c>
      <c r="AF85" s="241">
        <f>SUM(Tabela96[[#This Row], [jan/26]:[dez/26]])</f>
      </c>
      <c r="AG85" s="240">
        <v>0</v>
      </c>
      <c r="AH85" s="240">
        <v>0</v>
      </c>
      <c r="AI85" s="240">
        <v>0</v>
      </c>
      <c r="AJ85" s="240">
        <v>0</v>
      </c>
      <c r="AK85" s="240">
        <f>SUM(Tabela96[[#This Row], [2026]:[2030]])</f>
      </c>
      <c r="AL85" s="240">
        <v>0</v>
      </c>
      <c r="AM85" s="240">
        <v>0</v>
      </c>
      <c r="AN85" s="240">
        <v>0</v>
      </c>
      <c r="AO85" s="240">
        <v>0</v>
      </c>
      <c r="AP85" s="240">
        <v>0</v>
      </c>
      <c r="AQ85" s="242">
        <f>SUM(Tabela96[[#This Row], [2026-2030]:[2035]])</f>
      </c>
      <c r="AR85" s="1"/>
      <c r="AS85" s="239" t="s">
        <v>40352</v>
      </c>
      <c r="AT85" s="243">
        <v>2024</v>
      </c>
      <c r="AU85" s="239" t="s">
        <v>40613</v>
      </c>
      <c r="AV85" s="3" t="s">
        <v>40589</v>
      </c>
      <c r="AW85" s="239" t="s">
        <v>46</v>
      </c>
      <c r="AX85" s="2"/>
      <c r="AY85" s="2"/>
      <c r="AZ85" s="239" t="s">
        <v>40448</v>
      </c>
    </row>
    <row x14ac:dyDescent="0.25" r="86" customHeight="1" ht="24.75">
      <c r="A86" s="1"/>
      <c r="B86" s="237">
        <f>AND(ISTEXT('Consolidado-Eletronorte'!#REF!),SUM('Consolidado-Eletronorte'!#REF!)&gt;0)</f>
      </c>
      <c r="C86" s="238">
        <f>$J$3</f>
      </c>
      <c r="D86" s="238">
        <f>$H$3</f>
      </c>
      <c r="E86" s="238">
        <f>$H$4</f>
      </c>
      <c r="F86" s="210"/>
      <c r="G86" s="238">
        <f>_xlfn.CONCAT('Consolidado-Eletronorte'!#REF!,"_",ROW('Consolidado-Eletronorte'!#REF!)-ROW('Consolidado-Eletronorte'!$G$18))</f>
      </c>
      <c r="H86" s="212" t="s">
        <v>10</v>
      </c>
      <c r="I86" s="212" t="s">
        <v>87</v>
      </c>
      <c r="J86" s="212" t="s">
        <v>5</v>
      </c>
      <c r="K86" s="213" t="s">
        <v>16</v>
      </c>
      <c r="L86" s="212" t="s">
        <v>67</v>
      </c>
      <c r="M86" s="239" t="s">
        <v>40614</v>
      </c>
      <c r="N86" s="212"/>
      <c r="O86" s="212"/>
      <c r="P86" s="212"/>
      <c r="Q86" s="239" t="s">
        <v>40615</v>
      </c>
      <c r="R86" s="239" t="s">
        <v>40444</v>
      </c>
      <c r="S86" s="239" t="s">
        <v>40587</v>
      </c>
      <c r="T86" s="240">
        <v>215</v>
      </c>
      <c r="U86" s="240">
        <v>215</v>
      </c>
      <c r="V86" s="240">
        <v>215</v>
      </c>
      <c r="W86" s="240">
        <v>215</v>
      </c>
      <c r="X86" s="240">
        <v>215</v>
      </c>
      <c r="Y86" s="240">
        <v>215</v>
      </c>
      <c r="Z86" s="240">
        <v>215</v>
      </c>
      <c r="AA86" s="240">
        <v>215</v>
      </c>
      <c r="AB86" s="240">
        <v>215</v>
      </c>
      <c r="AC86" s="239" t="s">
        <v>40351</v>
      </c>
      <c r="AD86" s="239" t="s">
        <v>40351</v>
      </c>
      <c r="AE86" s="239" t="s">
        <v>40351</v>
      </c>
      <c r="AF86" s="241">
        <f>SUM(Tabela96[[#This Row], [jan/26]:[dez/26]])</f>
      </c>
      <c r="AG86" s="240">
        <v>0</v>
      </c>
      <c r="AH86" s="240">
        <v>0</v>
      </c>
      <c r="AI86" s="240">
        <v>0</v>
      </c>
      <c r="AJ86" s="240">
        <v>0</v>
      </c>
      <c r="AK86" s="240">
        <f>SUM(Tabela96[[#This Row], [2026]:[2030]])</f>
      </c>
      <c r="AL86" s="240">
        <v>0</v>
      </c>
      <c r="AM86" s="240">
        <v>0</v>
      </c>
      <c r="AN86" s="240">
        <v>0</v>
      </c>
      <c r="AO86" s="240">
        <v>0</v>
      </c>
      <c r="AP86" s="240">
        <v>0</v>
      </c>
      <c r="AQ86" s="242">
        <f>SUM(Tabela96[[#This Row], [2026-2030]:[2035]])</f>
      </c>
      <c r="AR86" s="1"/>
      <c r="AS86" s="239" t="s">
        <v>40352</v>
      </c>
      <c r="AT86" s="243">
        <v>2024</v>
      </c>
      <c r="AU86" s="239" t="s">
        <v>40616</v>
      </c>
      <c r="AV86" s="3" t="s">
        <v>40589</v>
      </c>
      <c r="AW86" s="239" t="s">
        <v>46</v>
      </c>
      <c r="AX86" s="2"/>
      <c r="AY86" s="2"/>
      <c r="AZ86" s="239" t="s">
        <v>40448</v>
      </c>
    </row>
    <row x14ac:dyDescent="0.25" r="87" customHeight="1" ht="24.75">
      <c r="A87" s="1"/>
      <c r="B87" s="237">
        <f>AND(ISTEXT('Consolidado-Eletronorte'!#REF!),SUM('Consolidado-Eletronorte'!#REF!)&gt;0)</f>
      </c>
      <c r="C87" s="238">
        <f>$J$3</f>
      </c>
      <c r="D87" s="238">
        <f>$H$3</f>
      </c>
      <c r="E87" s="238">
        <f>$H$4</f>
      </c>
      <c r="F87" s="210"/>
      <c r="G87" s="238">
        <f>_xlfn.CONCAT('Consolidado-Eletronorte'!#REF!,"_",ROW('Consolidado-Eletronorte'!#REF!)-ROW('Consolidado-Eletronorte'!$G$18))</f>
      </c>
      <c r="H87" s="212" t="s">
        <v>10</v>
      </c>
      <c r="I87" s="212" t="s">
        <v>87</v>
      </c>
      <c r="J87" s="212" t="s">
        <v>5</v>
      </c>
      <c r="K87" s="213" t="s">
        <v>16</v>
      </c>
      <c r="L87" s="212" t="s">
        <v>67</v>
      </c>
      <c r="M87" s="239" t="s">
        <v>40617</v>
      </c>
      <c r="N87" s="212"/>
      <c r="O87" s="212"/>
      <c r="P87" s="212"/>
      <c r="Q87" s="239" t="s">
        <v>40618</v>
      </c>
      <c r="R87" s="239" t="s">
        <v>40444</v>
      </c>
      <c r="S87" s="239" t="s">
        <v>40587</v>
      </c>
      <c r="T87" s="240">
        <v>215</v>
      </c>
      <c r="U87" s="240">
        <v>215</v>
      </c>
      <c r="V87" s="240">
        <v>215</v>
      </c>
      <c r="W87" s="240">
        <v>215</v>
      </c>
      <c r="X87" s="240">
        <v>215</v>
      </c>
      <c r="Y87" s="240">
        <v>215</v>
      </c>
      <c r="Z87" s="240">
        <v>215</v>
      </c>
      <c r="AA87" s="240">
        <v>215</v>
      </c>
      <c r="AB87" s="240">
        <v>215</v>
      </c>
      <c r="AC87" s="239" t="s">
        <v>40351</v>
      </c>
      <c r="AD87" s="239" t="s">
        <v>40351</v>
      </c>
      <c r="AE87" s="239" t="s">
        <v>40351</v>
      </c>
      <c r="AF87" s="241">
        <f>SUM(Tabela96[[#This Row], [jan/26]:[dez/26]])</f>
      </c>
      <c r="AG87" s="240">
        <v>0</v>
      </c>
      <c r="AH87" s="240">
        <v>0</v>
      </c>
      <c r="AI87" s="240">
        <v>0</v>
      </c>
      <c r="AJ87" s="240">
        <v>0</v>
      </c>
      <c r="AK87" s="240">
        <f>SUM(Tabela96[[#This Row], [2026]:[2030]])</f>
      </c>
      <c r="AL87" s="240">
        <v>0</v>
      </c>
      <c r="AM87" s="240">
        <v>0</v>
      </c>
      <c r="AN87" s="240">
        <v>0</v>
      </c>
      <c r="AO87" s="240">
        <v>0</v>
      </c>
      <c r="AP87" s="240">
        <v>0</v>
      </c>
      <c r="AQ87" s="242">
        <f>SUM(Tabela96[[#This Row], [2026-2030]:[2035]])</f>
      </c>
      <c r="AR87" s="1"/>
      <c r="AS87" s="239" t="s">
        <v>40352</v>
      </c>
      <c r="AT87" s="243">
        <v>2024</v>
      </c>
      <c r="AU87" s="239" t="s">
        <v>40619</v>
      </c>
      <c r="AV87" s="3" t="s">
        <v>40589</v>
      </c>
      <c r="AW87" s="239" t="s">
        <v>46</v>
      </c>
      <c r="AX87" s="2"/>
      <c r="AY87" s="2"/>
      <c r="AZ87" s="239" t="s">
        <v>40448</v>
      </c>
    </row>
    <row x14ac:dyDescent="0.25" r="88" customHeight="1" ht="24.75">
      <c r="A88" s="1"/>
      <c r="B88" s="237">
        <f>AND(ISTEXT('Consolidado-Eletronorte'!#REF!),SUM('Consolidado-Eletronorte'!#REF!)&gt;0)</f>
      </c>
      <c r="C88" s="238">
        <f>$J$3</f>
      </c>
      <c r="D88" s="238">
        <f>$H$3</f>
      </c>
      <c r="E88" s="238">
        <f>$H$4</f>
      </c>
      <c r="F88" s="210"/>
      <c r="G88" s="238">
        <f>_xlfn.CONCAT('Consolidado-Eletronorte'!#REF!,"_",ROW('Consolidado-Eletronorte'!#REF!)-ROW('Consolidado-Eletronorte'!$G$18))</f>
      </c>
      <c r="H88" s="212" t="s">
        <v>10</v>
      </c>
      <c r="I88" s="212" t="s">
        <v>87</v>
      </c>
      <c r="J88" s="212" t="s">
        <v>5</v>
      </c>
      <c r="K88" s="213" t="s">
        <v>16</v>
      </c>
      <c r="L88" s="212" t="s">
        <v>67</v>
      </c>
      <c r="M88" s="239" t="s">
        <v>40620</v>
      </c>
      <c r="N88" s="212"/>
      <c r="O88" s="212"/>
      <c r="P88" s="212"/>
      <c r="Q88" s="239" t="s">
        <v>40621</v>
      </c>
      <c r="R88" s="239" t="s">
        <v>40444</v>
      </c>
      <c r="S88" s="239" t="s">
        <v>40587</v>
      </c>
      <c r="T88" s="240">
        <v>215</v>
      </c>
      <c r="U88" s="240">
        <v>215</v>
      </c>
      <c r="V88" s="240">
        <v>215</v>
      </c>
      <c r="W88" s="240">
        <v>215</v>
      </c>
      <c r="X88" s="240">
        <v>215</v>
      </c>
      <c r="Y88" s="240">
        <v>215</v>
      </c>
      <c r="Z88" s="240">
        <v>215</v>
      </c>
      <c r="AA88" s="240">
        <v>215</v>
      </c>
      <c r="AB88" s="240">
        <v>215</v>
      </c>
      <c r="AC88" s="239" t="s">
        <v>40351</v>
      </c>
      <c r="AD88" s="239" t="s">
        <v>40351</v>
      </c>
      <c r="AE88" s="239" t="s">
        <v>40351</v>
      </c>
      <c r="AF88" s="241">
        <f>SUM(Tabela96[[#This Row], [jan/26]:[dez/26]])</f>
      </c>
      <c r="AG88" s="240">
        <v>0</v>
      </c>
      <c r="AH88" s="240">
        <v>0</v>
      </c>
      <c r="AI88" s="240">
        <v>0</v>
      </c>
      <c r="AJ88" s="240">
        <v>0</v>
      </c>
      <c r="AK88" s="240">
        <f>SUM(Tabela96[[#This Row], [2026]:[2030]])</f>
      </c>
      <c r="AL88" s="240">
        <v>0</v>
      </c>
      <c r="AM88" s="240">
        <v>0</v>
      </c>
      <c r="AN88" s="240">
        <v>0</v>
      </c>
      <c r="AO88" s="240">
        <v>0</v>
      </c>
      <c r="AP88" s="240">
        <v>0</v>
      </c>
      <c r="AQ88" s="242">
        <f>SUM(Tabela96[[#This Row], [2026-2030]:[2035]])</f>
      </c>
      <c r="AR88" s="1"/>
      <c r="AS88" s="239" t="s">
        <v>40352</v>
      </c>
      <c r="AT88" s="243">
        <v>2024</v>
      </c>
      <c r="AU88" s="239" t="s">
        <v>40622</v>
      </c>
      <c r="AV88" s="3" t="s">
        <v>40589</v>
      </c>
      <c r="AW88" s="239" t="s">
        <v>46</v>
      </c>
      <c r="AX88" s="2"/>
      <c r="AY88" s="2"/>
      <c r="AZ88" s="239" t="s">
        <v>40448</v>
      </c>
    </row>
    <row x14ac:dyDescent="0.25" r="89" customHeight="1" ht="24.75">
      <c r="A89" s="1"/>
      <c r="B89" s="237">
        <f>AND(ISTEXT('Consolidado-Eletronorte'!#REF!),SUM('Consolidado-Eletronorte'!#REF!)&gt;0)</f>
      </c>
      <c r="C89" s="238">
        <f>$J$3</f>
      </c>
      <c r="D89" s="238">
        <f>$H$3</f>
      </c>
      <c r="E89" s="238">
        <f>$H$4</f>
      </c>
      <c r="F89" s="210"/>
      <c r="G89" s="238">
        <f>_xlfn.CONCAT('Consolidado-Eletronorte'!#REF!,"_",ROW('Consolidado-Eletronorte'!#REF!)-ROW('Consolidado-Eletronorte'!$G$18))</f>
      </c>
      <c r="H89" s="212" t="s">
        <v>10</v>
      </c>
      <c r="I89" s="212" t="s">
        <v>87</v>
      </c>
      <c r="J89" s="212" t="s">
        <v>5</v>
      </c>
      <c r="K89" s="213" t="s">
        <v>16</v>
      </c>
      <c r="L89" s="212" t="s">
        <v>67</v>
      </c>
      <c r="M89" s="239" t="s">
        <v>40623</v>
      </c>
      <c r="N89" s="212"/>
      <c r="O89" s="212"/>
      <c r="P89" s="212"/>
      <c r="Q89" s="239" t="s">
        <v>40624</v>
      </c>
      <c r="R89" s="239" t="s">
        <v>40444</v>
      </c>
      <c r="S89" s="239" t="s">
        <v>40587</v>
      </c>
      <c r="T89" s="240">
        <v>215</v>
      </c>
      <c r="U89" s="240">
        <v>215</v>
      </c>
      <c r="V89" s="240">
        <v>215</v>
      </c>
      <c r="W89" s="240">
        <v>215</v>
      </c>
      <c r="X89" s="240">
        <v>215</v>
      </c>
      <c r="Y89" s="240">
        <v>215</v>
      </c>
      <c r="Z89" s="240">
        <v>215</v>
      </c>
      <c r="AA89" s="240">
        <v>215</v>
      </c>
      <c r="AB89" s="240">
        <v>215</v>
      </c>
      <c r="AC89" s="239" t="s">
        <v>40351</v>
      </c>
      <c r="AD89" s="239" t="s">
        <v>40351</v>
      </c>
      <c r="AE89" s="239" t="s">
        <v>40351</v>
      </c>
      <c r="AF89" s="241">
        <f>SUM(Tabela96[[#This Row], [jan/26]:[dez/26]])</f>
      </c>
      <c r="AG89" s="240">
        <v>0</v>
      </c>
      <c r="AH89" s="240">
        <v>0</v>
      </c>
      <c r="AI89" s="240">
        <v>0</v>
      </c>
      <c r="AJ89" s="240">
        <v>0</v>
      </c>
      <c r="AK89" s="240">
        <f>SUM(Tabela96[[#This Row], [2026]:[2030]])</f>
      </c>
      <c r="AL89" s="240">
        <v>0</v>
      </c>
      <c r="AM89" s="240">
        <v>0</v>
      </c>
      <c r="AN89" s="240">
        <v>0</v>
      </c>
      <c r="AO89" s="240">
        <v>0</v>
      </c>
      <c r="AP89" s="240">
        <v>0</v>
      </c>
      <c r="AQ89" s="242">
        <f>SUM(Tabela96[[#This Row], [2026-2030]:[2035]])</f>
      </c>
      <c r="AR89" s="1"/>
      <c r="AS89" s="239" t="s">
        <v>40352</v>
      </c>
      <c r="AT89" s="243">
        <v>2024</v>
      </c>
      <c r="AU89" s="239" t="s">
        <v>40625</v>
      </c>
      <c r="AV89" s="3" t="s">
        <v>40589</v>
      </c>
      <c r="AW89" s="239" t="s">
        <v>46</v>
      </c>
      <c r="AX89" s="2"/>
      <c r="AY89" s="2"/>
      <c r="AZ89" s="239" t="s">
        <v>40448</v>
      </c>
    </row>
    <row x14ac:dyDescent="0.25" r="90" customHeight="1" ht="24.75">
      <c r="A90" s="1"/>
      <c r="B90" s="237">
        <f>AND(ISTEXT('Consolidado-Eletronorte'!#REF!),SUM('Consolidado-Eletronorte'!#REF!)&gt;0)</f>
      </c>
      <c r="C90" s="238">
        <f>$J$3</f>
      </c>
      <c r="D90" s="238">
        <f>$H$3</f>
      </c>
      <c r="E90" s="238">
        <f>$H$4</f>
      </c>
      <c r="F90" s="210"/>
      <c r="G90" s="238">
        <f>_xlfn.CONCAT('Consolidado-Eletronorte'!#REF!,"_",ROW('Consolidado-Eletronorte'!#REF!)-ROW('Consolidado-Eletronorte'!$G$18))</f>
      </c>
      <c r="H90" s="212" t="s">
        <v>10</v>
      </c>
      <c r="I90" s="212" t="s">
        <v>87</v>
      </c>
      <c r="J90" s="212" t="s">
        <v>5</v>
      </c>
      <c r="K90" s="213" t="s">
        <v>16</v>
      </c>
      <c r="L90" s="212" t="s">
        <v>67</v>
      </c>
      <c r="M90" s="239" t="s">
        <v>40626</v>
      </c>
      <c r="N90" s="212"/>
      <c r="O90" s="212"/>
      <c r="P90" s="212"/>
      <c r="Q90" s="239" t="s">
        <v>40627</v>
      </c>
      <c r="R90" s="239" t="s">
        <v>40444</v>
      </c>
      <c r="S90" s="239" t="s">
        <v>40587</v>
      </c>
      <c r="T90" s="240">
        <v>215</v>
      </c>
      <c r="U90" s="240">
        <v>215</v>
      </c>
      <c r="V90" s="240">
        <v>215</v>
      </c>
      <c r="W90" s="240">
        <v>215</v>
      </c>
      <c r="X90" s="240">
        <v>215</v>
      </c>
      <c r="Y90" s="240">
        <v>215</v>
      </c>
      <c r="Z90" s="240">
        <v>215</v>
      </c>
      <c r="AA90" s="240">
        <v>215</v>
      </c>
      <c r="AB90" s="240">
        <v>215</v>
      </c>
      <c r="AC90" s="239" t="s">
        <v>40351</v>
      </c>
      <c r="AD90" s="239" t="s">
        <v>40351</v>
      </c>
      <c r="AE90" s="239" t="s">
        <v>40351</v>
      </c>
      <c r="AF90" s="241">
        <f>SUM(Tabela96[[#This Row], [jan/26]:[dez/26]])</f>
      </c>
      <c r="AG90" s="240">
        <v>0</v>
      </c>
      <c r="AH90" s="240">
        <v>0</v>
      </c>
      <c r="AI90" s="240">
        <v>0</v>
      </c>
      <c r="AJ90" s="240">
        <v>0</v>
      </c>
      <c r="AK90" s="240">
        <f>SUM(Tabela96[[#This Row], [2026]:[2030]])</f>
      </c>
      <c r="AL90" s="240">
        <v>0</v>
      </c>
      <c r="AM90" s="240">
        <v>0</v>
      </c>
      <c r="AN90" s="240">
        <v>0</v>
      </c>
      <c r="AO90" s="240">
        <v>0</v>
      </c>
      <c r="AP90" s="240">
        <v>0</v>
      </c>
      <c r="AQ90" s="242">
        <f>SUM(Tabela96[[#This Row], [2026-2030]:[2035]])</f>
      </c>
      <c r="AR90" s="1"/>
      <c r="AS90" s="239" t="s">
        <v>40352</v>
      </c>
      <c r="AT90" s="243">
        <v>2024</v>
      </c>
      <c r="AU90" s="239" t="s">
        <v>40628</v>
      </c>
      <c r="AV90" s="3" t="s">
        <v>40589</v>
      </c>
      <c r="AW90" s="239" t="s">
        <v>46</v>
      </c>
      <c r="AX90" s="2"/>
      <c r="AY90" s="2"/>
      <c r="AZ90" s="239" t="s">
        <v>40448</v>
      </c>
    </row>
    <row x14ac:dyDescent="0.25" r="91" customHeight="1" ht="24.75">
      <c r="A91" s="1"/>
      <c r="B91" s="237">
        <f>AND(ISTEXT('Consolidado-Eletronorte'!#REF!),SUM('Consolidado-Eletronorte'!#REF!)&gt;0)</f>
      </c>
      <c r="C91" s="238">
        <f>$J$3</f>
      </c>
      <c r="D91" s="238">
        <f>$H$3</f>
      </c>
      <c r="E91" s="238">
        <f>$H$4</f>
      </c>
      <c r="F91" s="210"/>
      <c r="G91" s="238">
        <f>_xlfn.CONCAT('Consolidado-Eletronorte'!#REF!,"_",ROW('Consolidado-Eletronorte'!#REF!)-ROW('Consolidado-Eletronorte'!$G$18))</f>
      </c>
      <c r="H91" s="212" t="s">
        <v>10</v>
      </c>
      <c r="I91" s="212" t="s">
        <v>87</v>
      </c>
      <c r="J91" s="212" t="s">
        <v>5</v>
      </c>
      <c r="K91" s="213" t="s">
        <v>16</v>
      </c>
      <c r="L91" s="212" t="s">
        <v>67</v>
      </c>
      <c r="M91" s="239" t="s">
        <v>40629</v>
      </c>
      <c r="N91" s="212"/>
      <c r="O91" s="212"/>
      <c r="P91" s="212"/>
      <c r="Q91" s="239" t="s">
        <v>40630</v>
      </c>
      <c r="R91" s="239" t="s">
        <v>40444</v>
      </c>
      <c r="S91" s="239" t="s">
        <v>40587</v>
      </c>
      <c r="T91" s="240">
        <v>215</v>
      </c>
      <c r="U91" s="240">
        <v>215</v>
      </c>
      <c r="V91" s="240">
        <v>215</v>
      </c>
      <c r="W91" s="240">
        <v>215</v>
      </c>
      <c r="X91" s="240">
        <v>215</v>
      </c>
      <c r="Y91" s="240">
        <v>215</v>
      </c>
      <c r="Z91" s="240">
        <v>215</v>
      </c>
      <c r="AA91" s="240">
        <v>215</v>
      </c>
      <c r="AB91" s="240">
        <v>215</v>
      </c>
      <c r="AC91" s="239" t="s">
        <v>40351</v>
      </c>
      <c r="AD91" s="239" t="s">
        <v>40351</v>
      </c>
      <c r="AE91" s="239" t="s">
        <v>40351</v>
      </c>
      <c r="AF91" s="241">
        <f>SUM(Tabela96[[#This Row], [jan/26]:[dez/26]])</f>
      </c>
      <c r="AG91" s="240">
        <v>0</v>
      </c>
      <c r="AH91" s="240">
        <v>0</v>
      </c>
      <c r="AI91" s="240">
        <v>0</v>
      </c>
      <c r="AJ91" s="240">
        <v>0</v>
      </c>
      <c r="AK91" s="240">
        <f>SUM(Tabela96[[#This Row], [2026]:[2030]])</f>
      </c>
      <c r="AL91" s="240">
        <v>0</v>
      </c>
      <c r="AM91" s="240">
        <v>0</v>
      </c>
      <c r="AN91" s="240">
        <v>0</v>
      </c>
      <c r="AO91" s="240">
        <v>0</v>
      </c>
      <c r="AP91" s="240">
        <v>0</v>
      </c>
      <c r="AQ91" s="242">
        <f>SUM(Tabela96[[#This Row], [2026-2030]:[2035]])</f>
      </c>
      <c r="AR91" s="1"/>
      <c r="AS91" s="239" t="s">
        <v>40352</v>
      </c>
      <c r="AT91" s="243">
        <v>2024</v>
      </c>
      <c r="AU91" s="239" t="s">
        <v>40631</v>
      </c>
      <c r="AV91" s="3" t="s">
        <v>40589</v>
      </c>
      <c r="AW91" s="239" t="s">
        <v>46</v>
      </c>
      <c r="AX91" s="2"/>
      <c r="AY91" s="2"/>
      <c r="AZ91" s="239" t="s">
        <v>40448</v>
      </c>
    </row>
    <row x14ac:dyDescent="0.25" r="92" customHeight="1" ht="24.75">
      <c r="A92" s="1"/>
      <c r="B92" s="237">
        <f>AND(ISTEXT('Consolidado-Eletronorte'!#REF!),SUM('Consolidado-Eletronorte'!#REF!)&gt;0)</f>
      </c>
      <c r="C92" s="238">
        <f>$J$3</f>
      </c>
      <c r="D92" s="238">
        <f>$H$3</f>
      </c>
      <c r="E92" s="238">
        <f>$H$4</f>
      </c>
      <c r="F92" s="210"/>
      <c r="G92" s="238">
        <f>_xlfn.CONCAT('Consolidado-Eletronorte'!#REF!,"_",ROW('Consolidado-Eletronorte'!#REF!)-ROW('Consolidado-Eletronorte'!$G$18))</f>
      </c>
      <c r="H92" s="212" t="s">
        <v>10</v>
      </c>
      <c r="I92" s="212" t="s">
        <v>87</v>
      </c>
      <c r="J92" s="212" t="s">
        <v>5</v>
      </c>
      <c r="K92" s="213" t="s">
        <v>16</v>
      </c>
      <c r="L92" s="212" t="s">
        <v>67</v>
      </c>
      <c r="M92" s="239" t="s">
        <v>40632</v>
      </c>
      <c r="N92" s="212"/>
      <c r="O92" s="212"/>
      <c r="P92" s="212"/>
      <c r="Q92" s="239" t="s">
        <v>40633</v>
      </c>
      <c r="R92" s="239" t="s">
        <v>40444</v>
      </c>
      <c r="S92" s="239" t="s">
        <v>40634</v>
      </c>
      <c r="T92" s="240">
        <v>215</v>
      </c>
      <c r="U92" s="240">
        <v>215</v>
      </c>
      <c r="V92" s="240">
        <v>215</v>
      </c>
      <c r="W92" s="240">
        <v>215</v>
      </c>
      <c r="X92" s="240">
        <v>215</v>
      </c>
      <c r="Y92" s="240">
        <v>215</v>
      </c>
      <c r="Z92" s="240">
        <v>215</v>
      </c>
      <c r="AA92" s="240">
        <v>215</v>
      </c>
      <c r="AB92" s="240">
        <v>215</v>
      </c>
      <c r="AC92" s="239" t="s">
        <v>40351</v>
      </c>
      <c r="AD92" s="239" t="s">
        <v>40351</v>
      </c>
      <c r="AE92" s="239" t="s">
        <v>40351</v>
      </c>
      <c r="AF92" s="241">
        <f>SUM(Tabela96[[#This Row], [jan/26]:[dez/26]])</f>
      </c>
      <c r="AG92" s="240">
        <v>0</v>
      </c>
      <c r="AH92" s="240">
        <v>0</v>
      </c>
      <c r="AI92" s="240">
        <v>0</v>
      </c>
      <c r="AJ92" s="240">
        <v>0</v>
      </c>
      <c r="AK92" s="240">
        <f>SUM(Tabela96[[#This Row], [2026]:[2030]])</f>
      </c>
      <c r="AL92" s="240">
        <v>0</v>
      </c>
      <c r="AM92" s="240">
        <v>0</v>
      </c>
      <c r="AN92" s="240">
        <v>0</v>
      </c>
      <c r="AO92" s="240">
        <v>0</v>
      </c>
      <c r="AP92" s="240">
        <v>0</v>
      </c>
      <c r="AQ92" s="242">
        <f>SUM(Tabela96[[#This Row], [2026-2030]:[2035]])</f>
      </c>
      <c r="AR92" s="1"/>
      <c r="AS92" s="239" t="s">
        <v>40352</v>
      </c>
      <c r="AT92" s="243">
        <v>2024</v>
      </c>
      <c r="AU92" s="239" t="s">
        <v>40635</v>
      </c>
      <c r="AV92" s="3" t="s">
        <v>40636</v>
      </c>
      <c r="AW92" s="239" t="s">
        <v>46</v>
      </c>
      <c r="AX92" s="2"/>
      <c r="AY92" s="2"/>
      <c r="AZ92" s="239" t="s">
        <v>40448</v>
      </c>
    </row>
    <row x14ac:dyDescent="0.25" r="93" customHeight="1" ht="24.75">
      <c r="A93" s="1"/>
      <c r="B93" s="237">
        <f>AND(ISTEXT('Consolidado-Eletronorte'!#REF!),SUM('Consolidado-Eletronorte'!#REF!)&gt;0)</f>
      </c>
      <c r="C93" s="238">
        <f>$J$3</f>
      </c>
      <c r="D93" s="238">
        <f>$H$3</f>
      </c>
      <c r="E93" s="238">
        <f>$H$4</f>
      </c>
      <c r="F93" s="210"/>
      <c r="G93" s="238">
        <f>_xlfn.CONCAT('Consolidado-Eletronorte'!#REF!,"_",ROW('Consolidado-Eletronorte'!#REF!)-ROW('Consolidado-Eletronorte'!$G$18))</f>
      </c>
      <c r="H93" s="212" t="s">
        <v>10</v>
      </c>
      <c r="I93" s="212" t="s">
        <v>87</v>
      </c>
      <c r="J93" s="212" t="s">
        <v>5</v>
      </c>
      <c r="K93" s="213" t="s">
        <v>16</v>
      </c>
      <c r="L93" s="212" t="s">
        <v>67</v>
      </c>
      <c r="M93" s="239" t="s">
        <v>40637</v>
      </c>
      <c r="N93" s="212"/>
      <c r="O93" s="212"/>
      <c r="P93" s="212"/>
      <c r="Q93" s="239" t="s">
        <v>40638</v>
      </c>
      <c r="R93" s="239" t="s">
        <v>40444</v>
      </c>
      <c r="S93" s="239" t="s">
        <v>40634</v>
      </c>
      <c r="T93" s="240">
        <v>215</v>
      </c>
      <c r="U93" s="240">
        <v>215</v>
      </c>
      <c r="V93" s="240">
        <v>215</v>
      </c>
      <c r="W93" s="240">
        <v>215</v>
      </c>
      <c r="X93" s="240">
        <v>215</v>
      </c>
      <c r="Y93" s="240">
        <v>215</v>
      </c>
      <c r="Z93" s="240">
        <v>215</v>
      </c>
      <c r="AA93" s="240">
        <v>215</v>
      </c>
      <c r="AB93" s="240">
        <v>215</v>
      </c>
      <c r="AC93" s="239" t="s">
        <v>40351</v>
      </c>
      <c r="AD93" s="239" t="s">
        <v>40351</v>
      </c>
      <c r="AE93" s="239" t="s">
        <v>40351</v>
      </c>
      <c r="AF93" s="241">
        <f>SUM(Tabela96[[#This Row], [jan/26]:[dez/26]])</f>
      </c>
      <c r="AG93" s="240">
        <v>0</v>
      </c>
      <c r="AH93" s="240">
        <v>0</v>
      </c>
      <c r="AI93" s="240">
        <v>0</v>
      </c>
      <c r="AJ93" s="240">
        <v>0</v>
      </c>
      <c r="AK93" s="240">
        <f>SUM(Tabela96[[#This Row], [2026]:[2030]])</f>
      </c>
      <c r="AL93" s="240">
        <v>0</v>
      </c>
      <c r="AM93" s="240">
        <v>0</v>
      </c>
      <c r="AN93" s="240">
        <v>0</v>
      </c>
      <c r="AO93" s="240">
        <v>0</v>
      </c>
      <c r="AP93" s="240">
        <v>0</v>
      </c>
      <c r="AQ93" s="242">
        <f>SUM(Tabela96[[#This Row], [2026-2030]:[2035]])</f>
      </c>
      <c r="AR93" s="1"/>
      <c r="AS93" s="239" t="s">
        <v>40352</v>
      </c>
      <c r="AT93" s="243">
        <v>2024</v>
      </c>
      <c r="AU93" s="239" t="s">
        <v>40639</v>
      </c>
      <c r="AV93" s="3" t="s">
        <v>40636</v>
      </c>
      <c r="AW93" s="239" t="s">
        <v>46</v>
      </c>
      <c r="AX93" s="2"/>
      <c r="AY93" s="2"/>
      <c r="AZ93" s="239" t="s">
        <v>40448</v>
      </c>
    </row>
    <row x14ac:dyDescent="0.25" r="94" customHeight="1" ht="24.75">
      <c r="A94" s="1"/>
      <c r="B94" s="237">
        <f>AND(ISTEXT('Consolidado-Eletronorte'!#REF!),SUM('Consolidado-Eletronorte'!#REF!)&gt;0)</f>
      </c>
      <c r="C94" s="238">
        <f>$J$3</f>
      </c>
      <c r="D94" s="238">
        <f>$H$3</f>
      </c>
      <c r="E94" s="238">
        <f>$H$4</f>
      </c>
      <c r="F94" s="210"/>
      <c r="G94" s="238">
        <f>_xlfn.CONCAT('Consolidado-Eletronorte'!#REF!,"_",ROW('Consolidado-Eletronorte'!#REF!)-ROW('Consolidado-Eletronorte'!$G$18))</f>
      </c>
      <c r="H94" s="212" t="s">
        <v>10</v>
      </c>
      <c r="I94" s="212" t="s">
        <v>87</v>
      </c>
      <c r="J94" s="212" t="s">
        <v>5</v>
      </c>
      <c r="K94" s="213" t="s">
        <v>16</v>
      </c>
      <c r="L94" s="212" t="s">
        <v>67</v>
      </c>
      <c r="M94" s="239" t="s">
        <v>40640</v>
      </c>
      <c r="N94" s="212"/>
      <c r="O94" s="212"/>
      <c r="P94" s="212"/>
      <c r="Q94" s="239" t="s">
        <v>40641</v>
      </c>
      <c r="R94" s="239" t="s">
        <v>40444</v>
      </c>
      <c r="S94" s="239" t="s">
        <v>40634</v>
      </c>
      <c r="T94" s="240">
        <v>215</v>
      </c>
      <c r="U94" s="240">
        <v>215</v>
      </c>
      <c r="V94" s="240">
        <v>215</v>
      </c>
      <c r="W94" s="240">
        <v>215</v>
      </c>
      <c r="X94" s="240">
        <v>215</v>
      </c>
      <c r="Y94" s="240">
        <v>215</v>
      </c>
      <c r="Z94" s="240">
        <v>215</v>
      </c>
      <c r="AA94" s="240">
        <v>215</v>
      </c>
      <c r="AB94" s="240">
        <v>215</v>
      </c>
      <c r="AC94" s="239" t="s">
        <v>40351</v>
      </c>
      <c r="AD94" s="239" t="s">
        <v>40351</v>
      </c>
      <c r="AE94" s="239" t="s">
        <v>40351</v>
      </c>
      <c r="AF94" s="241">
        <f>SUM(Tabela96[[#This Row], [jan/26]:[dez/26]])</f>
      </c>
      <c r="AG94" s="240">
        <v>0</v>
      </c>
      <c r="AH94" s="240">
        <v>0</v>
      </c>
      <c r="AI94" s="240">
        <v>0</v>
      </c>
      <c r="AJ94" s="240">
        <v>0</v>
      </c>
      <c r="AK94" s="240">
        <f>SUM(Tabela96[[#This Row], [2026]:[2030]])</f>
      </c>
      <c r="AL94" s="240">
        <v>0</v>
      </c>
      <c r="AM94" s="240">
        <v>0</v>
      </c>
      <c r="AN94" s="240">
        <v>0</v>
      </c>
      <c r="AO94" s="240">
        <v>0</v>
      </c>
      <c r="AP94" s="240">
        <v>0</v>
      </c>
      <c r="AQ94" s="242">
        <f>SUM(Tabela96[[#This Row], [2026-2030]:[2035]])</f>
      </c>
      <c r="AR94" s="1"/>
      <c r="AS94" s="239" t="s">
        <v>40352</v>
      </c>
      <c r="AT94" s="243">
        <v>2024</v>
      </c>
      <c r="AU94" s="239" t="s">
        <v>40642</v>
      </c>
      <c r="AV94" s="3" t="s">
        <v>40636</v>
      </c>
      <c r="AW94" s="239" t="s">
        <v>46</v>
      </c>
      <c r="AX94" s="2"/>
      <c r="AY94" s="2"/>
      <c r="AZ94" s="239" t="s">
        <v>40448</v>
      </c>
    </row>
    <row x14ac:dyDescent="0.25" r="95" customHeight="1" ht="24.75">
      <c r="A95" s="1"/>
      <c r="B95" s="237">
        <f>AND(ISTEXT('Consolidado-Eletronorte'!#REF!),SUM('Consolidado-Eletronorte'!#REF!)&gt;0)</f>
      </c>
      <c r="C95" s="238">
        <f>$J$3</f>
      </c>
      <c r="D95" s="238">
        <f>$H$3</f>
      </c>
      <c r="E95" s="238">
        <f>$H$4</f>
      </c>
      <c r="F95" s="210"/>
      <c r="G95" s="238">
        <f>_xlfn.CONCAT('Consolidado-Eletronorte'!#REF!,"_",ROW('Consolidado-Eletronorte'!#REF!)-ROW('Consolidado-Eletronorte'!$G$18))</f>
      </c>
      <c r="H95" s="212" t="s">
        <v>10</v>
      </c>
      <c r="I95" s="212" t="s">
        <v>87</v>
      </c>
      <c r="J95" s="212" t="s">
        <v>5</v>
      </c>
      <c r="K95" s="213" t="s">
        <v>16</v>
      </c>
      <c r="L95" s="212" t="s">
        <v>67</v>
      </c>
      <c r="M95" s="239" t="s">
        <v>40643</v>
      </c>
      <c r="N95" s="212"/>
      <c r="O95" s="212"/>
      <c r="P95" s="212"/>
      <c r="Q95" s="239" t="s">
        <v>40644</v>
      </c>
      <c r="R95" s="239" t="s">
        <v>40444</v>
      </c>
      <c r="S95" s="239" t="s">
        <v>40634</v>
      </c>
      <c r="T95" s="240">
        <v>215</v>
      </c>
      <c r="U95" s="240">
        <v>215</v>
      </c>
      <c r="V95" s="240">
        <v>215</v>
      </c>
      <c r="W95" s="240">
        <v>215</v>
      </c>
      <c r="X95" s="240">
        <v>215</v>
      </c>
      <c r="Y95" s="240">
        <v>215</v>
      </c>
      <c r="Z95" s="240">
        <v>215</v>
      </c>
      <c r="AA95" s="240">
        <v>215</v>
      </c>
      <c r="AB95" s="240">
        <v>215</v>
      </c>
      <c r="AC95" s="239" t="s">
        <v>40351</v>
      </c>
      <c r="AD95" s="239" t="s">
        <v>40351</v>
      </c>
      <c r="AE95" s="239" t="s">
        <v>40351</v>
      </c>
      <c r="AF95" s="241">
        <f>SUM(Tabela96[[#This Row], [jan/26]:[dez/26]])</f>
      </c>
      <c r="AG95" s="240">
        <v>0</v>
      </c>
      <c r="AH95" s="240">
        <v>0</v>
      </c>
      <c r="AI95" s="240">
        <v>0</v>
      </c>
      <c r="AJ95" s="240">
        <v>0</v>
      </c>
      <c r="AK95" s="240">
        <f>SUM(Tabela96[[#This Row], [2026]:[2030]])</f>
      </c>
      <c r="AL95" s="240">
        <v>0</v>
      </c>
      <c r="AM95" s="240">
        <v>0</v>
      </c>
      <c r="AN95" s="240">
        <v>0</v>
      </c>
      <c r="AO95" s="240">
        <v>0</v>
      </c>
      <c r="AP95" s="240">
        <v>0</v>
      </c>
      <c r="AQ95" s="242">
        <f>SUM(Tabela96[[#This Row], [2026-2030]:[2035]])</f>
      </c>
      <c r="AR95" s="1"/>
      <c r="AS95" s="239" t="s">
        <v>40352</v>
      </c>
      <c r="AT95" s="243">
        <v>2024</v>
      </c>
      <c r="AU95" s="239" t="s">
        <v>40645</v>
      </c>
      <c r="AV95" s="3" t="s">
        <v>40636</v>
      </c>
      <c r="AW95" s="239" t="s">
        <v>46</v>
      </c>
      <c r="AX95" s="2"/>
      <c r="AY95" s="2"/>
      <c r="AZ95" s="239" t="s">
        <v>40448</v>
      </c>
    </row>
    <row x14ac:dyDescent="0.25" r="96" customHeight="1" ht="24.75">
      <c r="A96" s="1"/>
      <c r="B96" s="237">
        <f>AND(ISTEXT('Consolidado-Eletronorte'!#REF!),SUM('Consolidado-Eletronorte'!#REF!)&gt;0)</f>
      </c>
      <c r="C96" s="238">
        <f>$J$3</f>
      </c>
      <c r="D96" s="238">
        <f>$H$3</f>
      </c>
      <c r="E96" s="238">
        <f>$H$4</f>
      </c>
      <c r="F96" s="210"/>
      <c r="G96" s="238">
        <f>_xlfn.CONCAT('Consolidado-Eletronorte'!#REF!,"_",ROW('Consolidado-Eletronorte'!#REF!)-ROW('Consolidado-Eletronorte'!$G$18))</f>
      </c>
      <c r="H96" s="212" t="s">
        <v>10</v>
      </c>
      <c r="I96" s="212" t="s">
        <v>87</v>
      </c>
      <c r="J96" s="212" t="s">
        <v>5</v>
      </c>
      <c r="K96" s="213" t="s">
        <v>16</v>
      </c>
      <c r="L96" s="212" t="s">
        <v>67</v>
      </c>
      <c r="M96" s="239" t="s">
        <v>40646</v>
      </c>
      <c r="N96" s="212"/>
      <c r="O96" s="212"/>
      <c r="P96" s="212"/>
      <c r="Q96" s="239" t="s">
        <v>40647</v>
      </c>
      <c r="R96" s="239" t="s">
        <v>40444</v>
      </c>
      <c r="S96" s="239" t="s">
        <v>40648</v>
      </c>
      <c r="T96" s="240">
        <v>215</v>
      </c>
      <c r="U96" s="240">
        <v>215</v>
      </c>
      <c r="V96" s="240">
        <v>215</v>
      </c>
      <c r="W96" s="240">
        <v>215</v>
      </c>
      <c r="X96" s="240">
        <v>215</v>
      </c>
      <c r="Y96" s="240">
        <v>215</v>
      </c>
      <c r="Z96" s="240">
        <v>215</v>
      </c>
      <c r="AA96" s="240">
        <v>215</v>
      </c>
      <c r="AB96" s="240">
        <v>215</v>
      </c>
      <c r="AC96" s="239" t="s">
        <v>40351</v>
      </c>
      <c r="AD96" s="239" t="s">
        <v>40351</v>
      </c>
      <c r="AE96" s="239" t="s">
        <v>40351</v>
      </c>
      <c r="AF96" s="241">
        <f>SUM(Tabela96[[#This Row], [jan/26]:[dez/26]])</f>
      </c>
      <c r="AG96" s="240">
        <v>0</v>
      </c>
      <c r="AH96" s="240">
        <v>0</v>
      </c>
      <c r="AI96" s="240">
        <v>0</v>
      </c>
      <c r="AJ96" s="240">
        <v>0</v>
      </c>
      <c r="AK96" s="240">
        <f>SUM(Tabela96[[#This Row], [2026]:[2030]])</f>
      </c>
      <c r="AL96" s="240">
        <v>0</v>
      </c>
      <c r="AM96" s="240">
        <v>0</v>
      </c>
      <c r="AN96" s="240">
        <v>0</v>
      </c>
      <c r="AO96" s="240">
        <v>0</v>
      </c>
      <c r="AP96" s="240">
        <v>0</v>
      </c>
      <c r="AQ96" s="242">
        <f>SUM(Tabela96[[#This Row], [2026-2030]:[2035]])</f>
      </c>
      <c r="AR96" s="1"/>
      <c r="AS96" s="239" t="s">
        <v>40352</v>
      </c>
      <c r="AT96" s="243">
        <v>2024</v>
      </c>
      <c r="AU96" s="239" t="s">
        <v>40649</v>
      </c>
      <c r="AV96" s="3" t="s">
        <v>40650</v>
      </c>
      <c r="AW96" s="239" t="s">
        <v>46</v>
      </c>
      <c r="AX96" s="2"/>
      <c r="AY96" s="2"/>
      <c r="AZ96" s="239" t="s">
        <v>40448</v>
      </c>
    </row>
    <row x14ac:dyDescent="0.25" r="97" customHeight="1" ht="24.75">
      <c r="A97" s="1"/>
      <c r="B97" s="237">
        <f>AND(ISTEXT('Consolidado-Eletronorte'!#REF!),SUM('Consolidado-Eletronorte'!#REF!)&gt;0)</f>
      </c>
      <c r="C97" s="238">
        <f>$J$3</f>
      </c>
      <c r="D97" s="238">
        <f>$H$3</f>
      </c>
      <c r="E97" s="238">
        <f>$H$4</f>
      </c>
      <c r="F97" s="210"/>
      <c r="G97" s="238">
        <f>_xlfn.CONCAT('Consolidado-Eletronorte'!#REF!,"_",ROW('Consolidado-Eletronorte'!#REF!)-ROW('Consolidado-Eletronorte'!$G$18))</f>
      </c>
      <c r="H97" s="212" t="s">
        <v>10</v>
      </c>
      <c r="I97" s="212" t="s">
        <v>87</v>
      </c>
      <c r="J97" s="212" t="s">
        <v>5</v>
      </c>
      <c r="K97" s="213" t="s">
        <v>16</v>
      </c>
      <c r="L97" s="212" t="s">
        <v>67</v>
      </c>
      <c r="M97" s="239" t="s">
        <v>40651</v>
      </c>
      <c r="N97" s="212"/>
      <c r="O97" s="212"/>
      <c r="P97" s="212"/>
      <c r="Q97" s="239" t="s">
        <v>40652</v>
      </c>
      <c r="R97" s="239" t="s">
        <v>40444</v>
      </c>
      <c r="S97" s="239" t="s">
        <v>40648</v>
      </c>
      <c r="T97" s="240">
        <v>215</v>
      </c>
      <c r="U97" s="240">
        <v>215</v>
      </c>
      <c r="V97" s="240">
        <v>215</v>
      </c>
      <c r="W97" s="240">
        <v>215</v>
      </c>
      <c r="X97" s="240">
        <v>215</v>
      </c>
      <c r="Y97" s="240">
        <v>215</v>
      </c>
      <c r="Z97" s="240">
        <v>215</v>
      </c>
      <c r="AA97" s="240">
        <v>215</v>
      </c>
      <c r="AB97" s="240">
        <v>215</v>
      </c>
      <c r="AC97" s="239" t="s">
        <v>40351</v>
      </c>
      <c r="AD97" s="239" t="s">
        <v>40351</v>
      </c>
      <c r="AE97" s="239" t="s">
        <v>40351</v>
      </c>
      <c r="AF97" s="241">
        <f>SUM(Tabela96[[#This Row], [jan/26]:[dez/26]])</f>
      </c>
      <c r="AG97" s="240">
        <v>0</v>
      </c>
      <c r="AH97" s="240">
        <v>0</v>
      </c>
      <c r="AI97" s="240">
        <v>0</v>
      </c>
      <c r="AJ97" s="240">
        <v>0</v>
      </c>
      <c r="AK97" s="240">
        <f>SUM(Tabela96[[#This Row], [2026]:[2030]])</f>
      </c>
      <c r="AL97" s="240">
        <v>0</v>
      </c>
      <c r="AM97" s="240">
        <v>0</v>
      </c>
      <c r="AN97" s="240">
        <v>0</v>
      </c>
      <c r="AO97" s="240">
        <v>0</v>
      </c>
      <c r="AP97" s="240">
        <v>0</v>
      </c>
      <c r="AQ97" s="242">
        <f>SUM(Tabela96[[#This Row], [2026-2030]:[2035]])</f>
      </c>
      <c r="AR97" s="1"/>
      <c r="AS97" s="239" t="s">
        <v>40352</v>
      </c>
      <c r="AT97" s="243">
        <v>2024</v>
      </c>
      <c r="AU97" s="239" t="s">
        <v>40653</v>
      </c>
      <c r="AV97" s="3" t="s">
        <v>40650</v>
      </c>
      <c r="AW97" s="239" t="s">
        <v>46</v>
      </c>
      <c r="AX97" s="2"/>
      <c r="AY97" s="2"/>
      <c r="AZ97" s="239" t="s">
        <v>40448</v>
      </c>
    </row>
    <row x14ac:dyDescent="0.25" r="98" customHeight="1" ht="24.75">
      <c r="A98" s="1"/>
      <c r="B98" s="237">
        <f>AND(ISTEXT('Consolidado-Eletronorte'!#REF!),SUM('Consolidado-Eletronorte'!#REF!)&gt;0)</f>
      </c>
      <c r="C98" s="238">
        <f>$J$3</f>
      </c>
      <c r="D98" s="238">
        <f>$H$3</f>
      </c>
      <c r="E98" s="238">
        <f>$H$4</f>
      </c>
      <c r="F98" s="210"/>
      <c r="G98" s="238">
        <f>_xlfn.CONCAT('Consolidado-Eletronorte'!#REF!,"_",ROW('Consolidado-Eletronorte'!#REF!)-ROW('Consolidado-Eletronorte'!$G$18))</f>
      </c>
      <c r="H98" s="212" t="s">
        <v>10</v>
      </c>
      <c r="I98" s="212" t="s">
        <v>87</v>
      </c>
      <c r="J98" s="212" t="s">
        <v>5</v>
      </c>
      <c r="K98" s="213" t="s">
        <v>16</v>
      </c>
      <c r="L98" s="212" t="s">
        <v>67</v>
      </c>
      <c r="M98" s="239" t="s">
        <v>40654</v>
      </c>
      <c r="N98" s="212"/>
      <c r="O98" s="212"/>
      <c r="P98" s="212"/>
      <c r="Q98" s="239" t="s">
        <v>40655</v>
      </c>
      <c r="R98" s="239" t="s">
        <v>40444</v>
      </c>
      <c r="S98" s="239" t="s">
        <v>40648</v>
      </c>
      <c r="T98" s="240">
        <v>215</v>
      </c>
      <c r="U98" s="240">
        <v>215</v>
      </c>
      <c r="V98" s="240">
        <v>215</v>
      </c>
      <c r="W98" s="240">
        <v>215</v>
      </c>
      <c r="X98" s="240">
        <v>215</v>
      </c>
      <c r="Y98" s="240">
        <v>215</v>
      </c>
      <c r="Z98" s="240">
        <v>215</v>
      </c>
      <c r="AA98" s="240">
        <v>215</v>
      </c>
      <c r="AB98" s="240">
        <v>215</v>
      </c>
      <c r="AC98" s="239" t="s">
        <v>40351</v>
      </c>
      <c r="AD98" s="239" t="s">
        <v>40351</v>
      </c>
      <c r="AE98" s="239" t="s">
        <v>40351</v>
      </c>
      <c r="AF98" s="241">
        <f>SUM(Tabela96[[#This Row], [jan/26]:[dez/26]])</f>
      </c>
      <c r="AG98" s="240">
        <v>0</v>
      </c>
      <c r="AH98" s="240">
        <v>0</v>
      </c>
      <c r="AI98" s="240">
        <v>0</v>
      </c>
      <c r="AJ98" s="240">
        <v>0</v>
      </c>
      <c r="AK98" s="240">
        <f>SUM(Tabela96[[#This Row], [2026]:[2030]])</f>
      </c>
      <c r="AL98" s="240">
        <v>0</v>
      </c>
      <c r="AM98" s="240">
        <v>0</v>
      </c>
      <c r="AN98" s="240">
        <v>0</v>
      </c>
      <c r="AO98" s="240">
        <v>0</v>
      </c>
      <c r="AP98" s="240">
        <v>0</v>
      </c>
      <c r="AQ98" s="242">
        <f>SUM(Tabela96[[#This Row], [2026-2030]:[2035]])</f>
      </c>
      <c r="AR98" s="1"/>
      <c r="AS98" s="239" t="s">
        <v>40352</v>
      </c>
      <c r="AT98" s="243">
        <v>2024</v>
      </c>
      <c r="AU98" s="239" t="s">
        <v>40656</v>
      </c>
      <c r="AV98" s="3" t="s">
        <v>40650</v>
      </c>
      <c r="AW98" s="239" t="s">
        <v>46</v>
      </c>
      <c r="AX98" s="2"/>
      <c r="AY98" s="2"/>
      <c r="AZ98" s="239" t="s">
        <v>40448</v>
      </c>
    </row>
    <row x14ac:dyDescent="0.25" r="99" customHeight="1" ht="24.75">
      <c r="A99" s="1"/>
      <c r="B99" s="237">
        <f>AND(ISTEXT('Consolidado-Eletronorte'!#REF!),SUM('Consolidado-Eletronorte'!#REF!)&gt;0)</f>
      </c>
      <c r="C99" s="238">
        <f>$J$3</f>
      </c>
      <c r="D99" s="238">
        <f>$H$3</f>
      </c>
      <c r="E99" s="238">
        <f>$H$4</f>
      </c>
      <c r="F99" s="210"/>
      <c r="G99" s="238">
        <f>_xlfn.CONCAT('Consolidado-Eletronorte'!#REF!,"_",ROW('Consolidado-Eletronorte'!#REF!)-ROW('Consolidado-Eletronorte'!$G$18))</f>
      </c>
      <c r="H99" s="212" t="s">
        <v>10</v>
      </c>
      <c r="I99" s="212" t="s">
        <v>87</v>
      </c>
      <c r="J99" s="212" t="s">
        <v>5</v>
      </c>
      <c r="K99" s="213" t="s">
        <v>16</v>
      </c>
      <c r="L99" s="212" t="s">
        <v>67</v>
      </c>
      <c r="M99" s="239" t="s">
        <v>40657</v>
      </c>
      <c r="N99" s="212"/>
      <c r="O99" s="212"/>
      <c r="P99" s="212"/>
      <c r="Q99" s="239" t="s">
        <v>40658</v>
      </c>
      <c r="R99" s="239" t="s">
        <v>40444</v>
      </c>
      <c r="S99" s="239" t="s">
        <v>40648</v>
      </c>
      <c r="T99" s="240">
        <v>215</v>
      </c>
      <c r="U99" s="240">
        <v>215</v>
      </c>
      <c r="V99" s="240">
        <v>215</v>
      </c>
      <c r="W99" s="240">
        <v>215</v>
      </c>
      <c r="X99" s="240">
        <v>215</v>
      </c>
      <c r="Y99" s="240">
        <v>215</v>
      </c>
      <c r="Z99" s="240">
        <v>215</v>
      </c>
      <c r="AA99" s="240">
        <v>215</v>
      </c>
      <c r="AB99" s="240">
        <v>215</v>
      </c>
      <c r="AC99" s="239" t="s">
        <v>40351</v>
      </c>
      <c r="AD99" s="239" t="s">
        <v>40351</v>
      </c>
      <c r="AE99" s="239" t="s">
        <v>40351</v>
      </c>
      <c r="AF99" s="241">
        <f>SUM(Tabela96[[#This Row], [jan/26]:[dez/26]])</f>
      </c>
      <c r="AG99" s="240">
        <v>0</v>
      </c>
      <c r="AH99" s="240">
        <v>0</v>
      </c>
      <c r="AI99" s="240">
        <v>0</v>
      </c>
      <c r="AJ99" s="240">
        <v>0</v>
      </c>
      <c r="AK99" s="240">
        <f>SUM(Tabela96[[#This Row], [2026]:[2030]])</f>
      </c>
      <c r="AL99" s="240">
        <v>0</v>
      </c>
      <c r="AM99" s="240">
        <v>0</v>
      </c>
      <c r="AN99" s="240">
        <v>0</v>
      </c>
      <c r="AO99" s="240">
        <v>0</v>
      </c>
      <c r="AP99" s="240">
        <v>0</v>
      </c>
      <c r="AQ99" s="242">
        <f>SUM(Tabela96[[#This Row], [2026-2030]:[2035]])</f>
      </c>
      <c r="AR99" s="1"/>
      <c r="AS99" s="239" t="s">
        <v>40352</v>
      </c>
      <c r="AT99" s="243">
        <v>2024</v>
      </c>
      <c r="AU99" s="239" t="s">
        <v>40659</v>
      </c>
      <c r="AV99" s="3" t="s">
        <v>40650</v>
      </c>
      <c r="AW99" s="239" t="s">
        <v>46</v>
      </c>
      <c r="AX99" s="2"/>
      <c r="AY99" s="2"/>
      <c r="AZ99" s="239" t="s">
        <v>40448</v>
      </c>
    </row>
    <row x14ac:dyDescent="0.25" r="100" customHeight="1" ht="24.75">
      <c r="A100" s="1"/>
      <c r="B100" s="237">
        <f>AND(ISTEXT('Consolidado-Eletronorte'!#REF!),SUM('Consolidado-Eletronorte'!#REF!)&gt;0)</f>
      </c>
      <c r="C100" s="238">
        <f>$J$3</f>
      </c>
      <c r="D100" s="238">
        <f>$H$3</f>
      </c>
      <c r="E100" s="238">
        <f>$H$4</f>
      </c>
      <c r="F100" s="210"/>
      <c r="G100" s="238">
        <f>_xlfn.CONCAT('Consolidado-Eletronorte'!#REF!,"_",ROW('Consolidado-Eletronorte'!#REF!)-ROW('Consolidado-Eletronorte'!$G$18))</f>
      </c>
      <c r="H100" s="212" t="s">
        <v>10</v>
      </c>
      <c r="I100" s="212" t="s">
        <v>87</v>
      </c>
      <c r="J100" s="212" t="s">
        <v>5</v>
      </c>
      <c r="K100" s="213" t="s">
        <v>16</v>
      </c>
      <c r="L100" s="212" t="s">
        <v>67</v>
      </c>
      <c r="M100" s="239" t="s">
        <v>40660</v>
      </c>
      <c r="N100" s="212"/>
      <c r="O100" s="212"/>
      <c r="P100" s="212"/>
      <c r="Q100" s="239" t="s">
        <v>40661</v>
      </c>
      <c r="R100" s="239" t="s">
        <v>40444</v>
      </c>
      <c r="S100" s="239" t="s">
        <v>40648</v>
      </c>
      <c r="T100" s="240">
        <v>215</v>
      </c>
      <c r="U100" s="240">
        <v>215</v>
      </c>
      <c r="V100" s="240">
        <v>215</v>
      </c>
      <c r="W100" s="240">
        <v>215</v>
      </c>
      <c r="X100" s="240">
        <v>215</v>
      </c>
      <c r="Y100" s="240">
        <v>215</v>
      </c>
      <c r="Z100" s="240">
        <v>215</v>
      </c>
      <c r="AA100" s="240">
        <v>215</v>
      </c>
      <c r="AB100" s="240">
        <v>215</v>
      </c>
      <c r="AC100" s="239" t="s">
        <v>40351</v>
      </c>
      <c r="AD100" s="239" t="s">
        <v>40351</v>
      </c>
      <c r="AE100" s="239" t="s">
        <v>40351</v>
      </c>
      <c r="AF100" s="241">
        <f>SUM(Tabela96[[#This Row], [jan/26]:[dez/26]])</f>
      </c>
      <c r="AG100" s="240">
        <v>0</v>
      </c>
      <c r="AH100" s="240">
        <v>0</v>
      </c>
      <c r="AI100" s="240">
        <v>0</v>
      </c>
      <c r="AJ100" s="240">
        <v>0</v>
      </c>
      <c r="AK100" s="240">
        <f>SUM(Tabela96[[#This Row], [2026]:[2030]])</f>
      </c>
      <c r="AL100" s="240">
        <v>0</v>
      </c>
      <c r="AM100" s="240">
        <v>0</v>
      </c>
      <c r="AN100" s="240">
        <v>0</v>
      </c>
      <c r="AO100" s="240">
        <v>0</v>
      </c>
      <c r="AP100" s="240">
        <v>0</v>
      </c>
      <c r="AQ100" s="242">
        <f>SUM(Tabela96[[#This Row], [2026-2030]:[2035]])</f>
      </c>
      <c r="AR100" s="1"/>
      <c r="AS100" s="239" t="s">
        <v>40352</v>
      </c>
      <c r="AT100" s="243">
        <v>2024</v>
      </c>
      <c r="AU100" s="239" t="s">
        <v>40662</v>
      </c>
      <c r="AV100" s="3" t="s">
        <v>40650</v>
      </c>
      <c r="AW100" s="239" t="s">
        <v>46</v>
      </c>
      <c r="AX100" s="2"/>
      <c r="AY100" s="2"/>
      <c r="AZ100" s="239" t="s">
        <v>40448</v>
      </c>
    </row>
    <row x14ac:dyDescent="0.25" r="101" customHeight="1" ht="24.75">
      <c r="A101" s="1"/>
      <c r="B101" s="237">
        <f>AND(ISTEXT('Consolidado-Eletronorte'!#REF!),SUM('Consolidado-Eletronorte'!#REF!)&gt;0)</f>
      </c>
      <c r="C101" s="238">
        <f>$J$3</f>
      </c>
      <c r="D101" s="238">
        <f>$H$3</f>
      </c>
      <c r="E101" s="238">
        <f>$H$4</f>
      </c>
      <c r="F101" s="210"/>
      <c r="G101" s="238">
        <f>_xlfn.CONCAT('Consolidado-Eletronorte'!#REF!,"_",ROW('Consolidado-Eletronorte'!#REF!)-ROW('Consolidado-Eletronorte'!$G$18))</f>
      </c>
      <c r="H101" s="212" t="s">
        <v>10</v>
      </c>
      <c r="I101" s="212" t="s">
        <v>87</v>
      </c>
      <c r="J101" s="212" t="s">
        <v>5</v>
      </c>
      <c r="K101" s="213" t="s">
        <v>16</v>
      </c>
      <c r="L101" s="212" t="s">
        <v>67</v>
      </c>
      <c r="M101" s="239" t="s">
        <v>40663</v>
      </c>
      <c r="N101" s="212"/>
      <c r="O101" s="212"/>
      <c r="P101" s="212"/>
      <c r="Q101" s="239" t="s">
        <v>40664</v>
      </c>
      <c r="R101" s="239" t="s">
        <v>40665</v>
      </c>
      <c r="S101" s="239" t="s">
        <v>40666</v>
      </c>
      <c r="T101" s="239" t="s">
        <v>40351</v>
      </c>
      <c r="U101" s="240">
        <v>215</v>
      </c>
      <c r="V101" s="240">
        <v>215</v>
      </c>
      <c r="W101" s="240">
        <v>215</v>
      </c>
      <c r="X101" s="240">
        <v>215</v>
      </c>
      <c r="Y101" s="240">
        <v>215</v>
      </c>
      <c r="Z101" s="240">
        <v>215</v>
      </c>
      <c r="AA101" s="240">
        <v>215</v>
      </c>
      <c r="AB101" s="240">
        <v>215</v>
      </c>
      <c r="AC101" s="239" t="s">
        <v>40351</v>
      </c>
      <c r="AD101" s="239" t="s">
        <v>40351</v>
      </c>
      <c r="AE101" s="239" t="s">
        <v>40351</v>
      </c>
      <c r="AF101" s="241">
        <f>SUM(Tabela96[[#This Row], [jan/26]:[dez/26]])</f>
      </c>
      <c r="AG101" s="240">
        <v>0</v>
      </c>
      <c r="AH101" s="240">
        <v>0</v>
      </c>
      <c r="AI101" s="240">
        <v>0</v>
      </c>
      <c r="AJ101" s="240">
        <v>0</v>
      </c>
      <c r="AK101" s="240">
        <f>SUM(Tabela96[[#This Row], [2026]:[2030]])</f>
      </c>
      <c r="AL101" s="240">
        <v>0</v>
      </c>
      <c r="AM101" s="240">
        <v>0</v>
      </c>
      <c r="AN101" s="240">
        <v>0</v>
      </c>
      <c r="AO101" s="240">
        <v>0</v>
      </c>
      <c r="AP101" s="240">
        <v>0</v>
      </c>
      <c r="AQ101" s="242">
        <f>SUM(Tabela96[[#This Row], [2026-2030]:[2035]])</f>
      </c>
      <c r="AR101" s="1"/>
      <c r="AS101" s="239" t="s">
        <v>40352</v>
      </c>
      <c r="AT101" s="243">
        <v>2024</v>
      </c>
      <c r="AU101" s="239" t="s">
        <v>40667</v>
      </c>
      <c r="AV101" s="3" t="s">
        <v>40668</v>
      </c>
      <c r="AW101" s="239" t="s">
        <v>46</v>
      </c>
      <c r="AX101" s="2"/>
      <c r="AY101" s="2"/>
      <c r="AZ101" s="239" t="s">
        <v>40669</v>
      </c>
    </row>
    <row x14ac:dyDescent="0.25" r="102" customHeight="1" ht="24.75">
      <c r="A102" s="1"/>
      <c r="B102" s="237">
        <f>AND(ISTEXT('Consolidado-Eletronorte'!#REF!),SUM('Consolidado-Eletronorte'!#REF!)&gt;0)</f>
      </c>
      <c r="C102" s="238">
        <f>$J$3</f>
      </c>
      <c r="D102" s="238">
        <f>$H$3</f>
      </c>
      <c r="E102" s="238">
        <f>$H$4</f>
      </c>
      <c r="F102" s="210"/>
      <c r="G102" s="238">
        <f>_xlfn.CONCAT('Consolidado-Eletronorte'!#REF!,"_",ROW('Consolidado-Eletronorte'!#REF!)-ROW('Consolidado-Eletronorte'!$G$18))</f>
      </c>
      <c r="H102" s="212" t="s">
        <v>10</v>
      </c>
      <c r="I102" s="212" t="s">
        <v>87</v>
      </c>
      <c r="J102" s="212" t="s">
        <v>5</v>
      </c>
      <c r="K102" s="213" t="s">
        <v>16</v>
      </c>
      <c r="L102" s="212" t="s">
        <v>67</v>
      </c>
      <c r="M102" s="239" t="s">
        <v>40670</v>
      </c>
      <c r="N102" s="212"/>
      <c r="O102" s="212"/>
      <c r="P102" s="212"/>
      <c r="Q102" s="239" t="s">
        <v>40671</v>
      </c>
      <c r="R102" s="239" t="s">
        <v>40665</v>
      </c>
      <c r="S102" s="239" t="s">
        <v>40666</v>
      </c>
      <c r="T102" s="239" t="s">
        <v>40351</v>
      </c>
      <c r="U102" s="240">
        <v>215</v>
      </c>
      <c r="V102" s="240">
        <v>215</v>
      </c>
      <c r="W102" s="240">
        <v>215</v>
      </c>
      <c r="X102" s="240">
        <v>215</v>
      </c>
      <c r="Y102" s="240">
        <v>215</v>
      </c>
      <c r="Z102" s="240">
        <v>215</v>
      </c>
      <c r="AA102" s="240">
        <v>215</v>
      </c>
      <c r="AB102" s="240">
        <v>215</v>
      </c>
      <c r="AC102" s="239" t="s">
        <v>40351</v>
      </c>
      <c r="AD102" s="239" t="s">
        <v>40351</v>
      </c>
      <c r="AE102" s="239" t="s">
        <v>40351</v>
      </c>
      <c r="AF102" s="241">
        <f>SUM(Tabela96[[#This Row], [jan/26]:[dez/26]])</f>
      </c>
      <c r="AG102" s="240">
        <v>0</v>
      </c>
      <c r="AH102" s="240">
        <v>0</v>
      </c>
      <c r="AI102" s="240">
        <v>0</v>
      </c>
      <c r="AJ102" s="240">
        <v>0</v>
      </c>
      <c r="AK102" s="240">
        <f>SUM(Tabela96[[#This Row], [2026]:[2030]])</f>
      </c>
      <c r="AL102" s="240">
        <v>0</v>
      </c>
      <c r="AM102" s="240">
        <v>0</v>
      </c>
      <c r="AN102" s="240">
        <v>0</v>
      </c>
      <c r="AO102" s="240">
        <v>0</v>
      </c>
      <c r="AP102" s="240">
        <v>0</v>
      </c>
      <c r="AQ102" s="242">
        <f>SUM(Tabela96[[#This Row], [2026-2030]:[2035]])</f>
      </c>
      <c r="AR102" s="1"/>
      <c r="AS102" s="239" t="s">
        <v>40352</v>
      </c>
      <c r="AT102" s="243">
        <v>2024</v>
      </c>
      <c r="AU102" s="239" t="s">
        <v>40672</v>
      </c>
      <c r="AV102" s="3" t="s">
        <v>40673</v>
      </c>
      <c r="AW102" s="239" t="s">
        <v>46</v>
      </c>
      <c r="AX102" s="2"/>
      <c r="AY102" s="2"/>
      <c r="AZ102" s="239" t="s">
        <v>40669</v>
      </c>
    </row>
    <row x14ac:dyDescent="0.25" r="103" customHeight="1" ht="24.75">
      <c r="A103" s="1"/>
      <c r="B103" s="237">
        <f>AND(ISTEXT('Consolidado-Eletronorte'!#REF!),SUM('Consolidado-Eletronorte'!#REF!)&gt;0)</f>
      </c>
      <c r="C103" s="238">
        <f>$J$3</f>
      </c>
      <c r="D103" s="238">
        <f>$H$3</f>
      </c>
      <c r="E103" s="238">
        <f>$H$4</f>
      </c>
      <c r="F103" s="210"/>
      <c r="G103" s="238">
        <f>_xlfn.CONCAT('Consolidado-Eletronorte'!#REF!,"_",ROW('Consolidado-Eletronorte'!#REF!)-ROW('Consolidado-Eletronorte'!$G$18))</f>
      </c>
      <c r="H103" s="212" t="s">
        <v>10</v>
      </c>
      <c r="I103" s="212" t="s">
        <v>87</v>
      </c>
      <c r="J103" s="212" t="s">
        <v>5</v>
      </c>
      <c r="K103" s="213" t="s">
        <v>16</v>
      </c>
      <c r="L103" s="212" t="s">
        <v>67</v>
      </c>
      <c r="M103" s="239" t="s">
        <v>40674</v>
      </c>
      <c r="N103" s="212"/>
      <c r="O103" s="212"/>
      <c r="P103" s="212"/>
      <c r="Q103" s="239" t="s">
        <v>40675</v>
      </c>
      <c r="R103" s="239" t="s">
        <v>40665</v>
      </c>
      <c r="S103" s="239" t="s">
        <v>40666</v>
      </c>
      <c r="T103" s="239" t="s">
        <v>40351</v>
      </c>
      <c r="U103" s="240">
        <v>215</v>
      </c>
      <c r="V103" s="240">
        <v>215</v>
      </c>
      <c r="W103" s="240">
        <v>215</v>
      </c>
      <c r="X103" s="240">
        <v>215</v>
      </c>
      <c r="Y103" s="240">
        <v>215</v>
      </c>
      <c r="Z103" s="240">
        <v>215</v>
      </c>
      <c r="AA103" s="240">
        <v>215</v>
      </c>
      <c r="AB103" s="240">
        <v>215</v>
      </c>
      <c r="AC103" s="239" t="s">
        <v>40351</v>
      </c>
      <c r="AD103" s="239" t="s">
        <v>40351</v>
      </c>
      <c r="AE103" s="239" t="s">
        <v>40351</v>
      </c>
      <c r="AF103" s="241">
        <f>SUM(Tabela96[[#This Row], [jan/26]:[dez/26]])</f>
      </c>
      <c r="AG103" s="240">
        <v>0</v>
      </c>
      <c r="AH103" s="240">
        <v>0</v>
      </c>
      <c r="AI103" s="240">
        <v>0</v>
      </c>
      <c r="AJ103" s="240">
        <v>0</v>
      </c>
      <c r="AK103" s="240">
        <f>SUM(Tabela96[[#This Row], [2026]:[2030]])</f>
      </c>
      <c r="AL103" s="240">
        <v>0</v>
      </c>
      <c r="AM103" s="240">
        <v>0</v>
      </c>
      <c r="AN103" s="240">
        <v>0</v>
      </c>
      <c r="AO103" s="240">
        <v>0</v>
      </c>
      <c r="AP103" s="240">
        <v>0</v>
      </c>
      <c r="AQ103" s="242">
        <f>SUM(Tabela96[[#This Row], [2026-2030]:[2035]])</f>
      </c>
      <c r="AR103" s="1"/>
      <c r="AS103" s="239" t="s">
        <v>40352</v>
      </c>
      <c r="AT103" s="243">
        <v>2024</v>
      </c>
      <c r="AU103" s="239" t="s">
        <v>40676</v>
      </c>
      <c r="AV103" s="3" t="s">
        <v>40677</v>
      </c>
      <c r="AW103" s="239" t="s">
        <v>46</v>
      </c>
      <c r="AX103" s="2"/>
      <c r="AY103" s="2"/>
      <c r="AZ103" s="239" t="s">
        <v>40669</v>
      </c>
    </row>
    <row x14ac:dyDescent="0.25" r="104" customHeight="1" ht="24.75">
      <c r="A104" s="1"/>
      <c r="B104" s="237">
        <f>AND(ISTEXT('Consolidado-Eletronorte'!#REF!),SUM('Consolidado-Eletronorte'!#REF!)&gt;0)</f>
      </c>
      <c r="C104" s="238">
        <f>$J$3</f>
      </c>
      <c r="D104" s="238">
        <f>$H$3</f>
      </c>
      <c r="E104" s="238">
        <f>$H$4</f>
      </c>
      <c r="F104" s="210"/>
      <c r="G104" s="238">
        <f>_xlfn.CONCAT('Consolidado-Eletronorte'!#REF!,"_",ROW('Consolidado-Eletronorte'!#REF!)-ROW('Consolidado-Eletronorte'!$G$18))</f>
      </c>
      <c r="H104" s="212" t="s">
        <v>10</v>
      </c>
      <c r="I104" s="212" t="s">
        <v>87</v>
      </c>
      <c r="J104" s="212" t="s">
        <v>5</v>
      </c>
      <c r="K104" s="213" t="s">
        <v>16</v>
      </c>
      <c r="L104" s="212" t="s">
        <v>67</v>
      </c>
      <c r="M104" s="239" t="s">
        <v>40678</v>
      </c>
      <c r="N104" s="212"/>
      <c r="O104" s="212"/>
      <c r="P104" s="212"/>
      <c r="Q104" s="239" t="s">
        <v>40679</v>
      </c>
      <c r="R104" s="239" t="s">
        <v>40680</v>
      </c>
      <c r="S104" s="239" t="s">
        <v>40681</v>
      </c>
      <c r="T104" s="240">
        <v>215</v>
      </c>
      <c r="U104" s="240">
        <v>215</v>
      </c>
      <c r="V104" s="240">
        <v>215</v>
      </c>
      <c r="W104" s="240">
        <v>215</v>
      </c>
      <c r="X104" s="240">
        <v>215</v>
      </c>
      <c r="Y104" s="240">
        <v>215</v>
      </c>
      <c r="Z104" s="240">
        <v>215</v>
      </c>
      <c r="AA104" s="240">
        <v>215</v>
      </c>
      <c r="AB104" s="240">
        <v>215</v>
      </c>
      <c r="AC104" s="239" t="s">
        <v>40351</v>
      </c>
      <c r="AD104" s="239" t="s">
        <v>40351</v>
      </c>
      <c r="AE104" s="239" t="s">
        <v>40351</v>
      </c>
      <c r="AF104" s="241">
        <f>SUM(Tabela96[[#This Row], [jan/26]:[dez/26]])</f>
      </c>
      <c r="AG104" s="240">
        <v>0</v>
      </c>
      <c r="AH104" s="240">
        <v>0</v>
      </c>
      <c r="AI104" s="240">
        <v>0</v>
      </c>
      <c r="AJ104" s="240">
        <v>0</v>
      </c>
      <c r="AK104" s="240">
        <f>SUM(Tabela96[[#This Row], [2026]:[2030]])</f>
      </c>
      <c r="AL104" s="240">
        <v>0</v>
      </c>
      <c r="AM104" s="240">
        <v>0</v>
      </c>
      <c r="AN104" s="240">
        <v>0</v>
      </c>
      <c r="AO104" s="240">
        <v>0</v>
      </c>
      <c r="AP104" s="240">
        <v>0</v>
      </c>
      <c r="AQ104" s="242">
        <f>SUM(Tabela96[[#This Row], [2026-2030]:[2035]])</f>
      </c>
      <c r="AR104" s="1"/>
      <c r="AS104" s="239" t="s">
        <v>40352</v>
      </c>
      <c r="AT104" s="243">
        <v>2024</v>
      </c>
      <c r="AU104" s="239" t="s">
        <v>40682</v>
      </c>
      <c r="AV104" s="3" t="s">
        <v>40683</v>
      </c>
      <c r="AW104" s="239" t="s">
        <v>46</v>
      </c>
      <c r="AX104" s="2"/>
      <c r="AY104" s="2"/>
      <c r="AZ104" s="239" t="s">
        <v>40448</v>
      </c>
    </row>
    <row x14ac:dyDescent="0.25" r="105" customHeight="1" ht="24.75">
      <c r="A105" s="1"/>
      <c r="B105" s="237">
        <f>AND(ISTEXT('Consolidado-Eletronorte'!#REF!),SUM('Consolidado-Eletronorte'!#REF!)&gt;0)</f>
      </c>
      <c r="C105" s="238">
        <f>$J$3</f>
      </c>
      <c r="D105" s="238">
        <f>$H$3</f>
      </c>
      <c r="E105" s="238">
        <f>$H$4</f>
      </c>
      <c r="F105" s="210"/>
      <c r="G105" s="238">
        <f>_xlfn.CONCAT('Consolidado-Eletronorte'!#REF!,"_",ROW('Consolidado-Eletronorte'!#REF!)-ROW('Consolidado-Eletronorte'!$G$18))</f>
      </c>
      <c r="H105" s="212" t="s">
        <v>10</v>
      </c>
      <c r="I105" s="212" t="s">
        <v>87</v>
      </c>
      <c r="J105" s="212" t="s">
        <v>5</v>
      </c>
      <c r="K105" s="213" t="s">
        <v>16</v>
      </c>
      <c r="L105" s="212" t="s">
        <v>67</v>
      </c>
      <c r="M105" s="239" t="s">
        <v>40684</v>
      </c>
      <c r="N105" s="212"/>
      <c r="O105" s="212"/>
      <c r="P105" s="212"/>
      <c r="Q105" s="239" t="s">
        <v>40685</v>
      </c>
      <c r="R105" s="239" t="s">
        <v>40680</v>
      </c>
      <c r="S105" s="239" t="s">
        <v>40681</v>
      </c>
      <c r="T105" s="240">
        <v>215</v>
      </c>
      <c r="U105" s="240">
        <v>215</v>
      </c>
      <c r="V105" s="240">
        <v>215</v>
      </c>
      <c r="W105" s="240">
        <v>215</v>
      </c>
      <c r="X105" s="240">
        <v>215</v>
      </c>
      <c r="Y105" s="240">
        <v>215</v>
      </c>
      <c r="Z105" s="240">
        <v>215</v>
      </c>
      <c r="AA105" s="240">
        <v>215</v>
      </c>
      <c r="AB105" s="240">
        <v>215</v>
      </c>
      <c r="AC105" s="239" t="s">
        <v>40351</v>
      </c>
      <c r="AD105" s="239" t="s">
        <v>40351</v>
      </c>
      <c r="AE105" s="239" t="s">
        <v>40351</v>
      </c>
      <c r="AF105" s="241">
        <f>SUM(Tabela96[[#This Row], [jan/26]:[dez/26]])</f>
      </c>
      <c r="AG105" s="240">
        <v>0</v>
      </c>
      <c r="AH105" s="240">
        <v>0</v>
      </c>
      <c r="AI105" s="240">
        <v>0</v>
      </c>
      <c r="AJ105" s="240">
        <v>0</v>
      </c>
      <c r="AK105" s="240">
        <f>SUM(Tabela96[[#This Row], [2026]:[2030]])</f>
      </c>
      <c r="AL105" s="240">
        <v>0</v>
      </c>
      <c r="AM105" s="240">
        <v>0</v>
      </c>
      <c r="AN105" s="240">
        <v>0</v>
      </c>
      <c r="AO105" s="240">
        <v>0</v>
      </c>
      <c r="AP105" s="240">
        <v>0</v>
      </c>
      <c r="AQ105" s="242">
        <f>SUM(Tabela96[[#This Row], [2026-2030]:[2035]])</f>
      </c>
      <c r="AR105" s="1"/>
      <c r="AS105" s="239" t="s">
        <v>40352</v>
      </c>
      <c r="AT105" s="243">
        <v>2024</v>
      </c>
      <c r="AU105" s="239" t="s">
        <v>40686</v>
      </c>
      <c r="AV105" s="246" t="s">
        <v>40683</v>
      </c>
      <c r="AW105" s="239" t="s">
        <v>46</v>
      </c>
      <c r="AX105" s="2"/>
      <c r="AY105" s="2"/>
      <c r="AZ105" s="239" t="s">
        <v>40448</v>
      </c>
    </row>
    <row x14ac:dyDescent="0.25" r="106" customHeight="1" ht="24.75">
      <c r="A106" s="1"/>
      <c r="B106" s="237">
        <f>AND(ISTEXT('Consolidado-Eletronorte'!#REF!),SUM('Consolidado-Eletronorte'!#REF!)&gt;0)</f>
      </c>
      <c r="C106" s="238">
        <f>$J$3</f>
      </c>
      <c r="D106" s="238">
        <f>$H$3</f>
      </c>
      <c r="E106" s="238">
        <f>$H$4</f>
      </c>
      <c r="F106" s="210"/>
      <c r="G106" s="238">
        <f>_xlfn.CONCAT('Consolidado-Eletronorte'!#REF!,"_",ROW('Consolidado-Eletronorte'!#REF!)-ROW('Consolidado-Eletronorte'!$G$18))</f>
      </c>
      <c r="H106" s="212" t="s">
        <v>10</v>
      </c>
      <c r="I106" s="212" t="s">
        <v>87</v>
      </c>
      <c r="J106" s="212" t="s">
        <v>5</v>
      </c>
      <c r="K106" s="213" t="s">
        <v>16</v>
      </c>
      <c r="L106" s="212" t="s">
        <v>67</v>
      </c>
      <c r="M106" s="239" t="s">
        <v>40687</v>
      </c>
      <c r="N106" s="212"/>
      <c r="O106" s="212"/>
      <c r="P106" s="212"/>
      <c r="Q106" s="239" t="s">
        <v>40688</v>
      </c>
      <c r="R106" s="239" t="s">
        <v>40680</v>
      </c>
      <c r="S106" s="239" t="s">
        <v>40681</v>
      </c>
      <c r="T106" s="240">
        <v>215</v>
      </c>
      <c r="U106" s="240">
        <v>215</v>
      </c>
      <c r="V106" s="240">
        <v>215</v>
      </c>
      <c r="W106" s="240">
        <v>215</v>
      </c>
      <c r="X106" s="240">
        <v>215</v>
      </c>
      <c r="Y106" s="240">
        <v>215</v>
      </c>
      <c r="Z106" s="240">
        <v>215</v>
      </c>
      <c r="AA106" s="240">
        <v>215</v>
      </c>
      <c r="AB106" s="240">
        <v>215</v>
      </c>
      <c r="AC106" s="239" t="s">
        <v>40351</v>
      </c>
      <c r="AD106" s="239" t="s">
        <v>40351</v>
      </c>
      <c r="AE106" s="239" t="s">
        <v>40351</v>
      </c>
      <c r="AF106" s="241">
        <f>SUM(Tabela96[[#This Row], [jan/26]:[dez/26]])</f>
      </c>
      <c r="AG106" s="240">
        <v>0</v>
      </c>
      <c r="AH106" s="240">
        <v>0</v>
      </c>
      <c r="AI106" s="240">
        <v>0</v>
      </c>
      <c r="AJ106" s="240">
        <v>0</v>
      </c>
      <c r="AK106" s="240">
        <f>SUM(Tabela96[[#This Row], [2026]:[2030]])</f>
      </c>
      <c r="AL106" s="240">
        <v>0</v>
      </c>
      <c r="AM106" s="240">
        <v>0</v>
      </c>
      <c r="AN106" s="240">
        <v>0</v>
      </c>
      <c r="AO106" s="240">
        <v>0</v>
      </c>
      <c r="AP106" s="240">
        <v>0</v>
      </c>
      <c r="AQ106" s="242">
        <f>SUM(Tabela96[[#This Row], [2026-2030]:[2035]])</f>
      </c>
      <c r="AR106" s="1"/>
      <c r="AS106" s="239" t="s">
        <v>40352</v>
      </c>
      <c r="AT106" s="243">
        <v>2024</v>
      </c>
      <c r="AU106" s="239" t="s">
        <v>40689</v>
      </c>
      <c r="AV106" s="3" t="s">
        <v>40683</v>
      </c>
      <c r="AW106" s="239" t="s">
        <v>46</v>
      </c>
      <c r="AX106" s="2"/>
      <c r="AY106" s="2"/>
      <c r="AZ106" s="239" t="s">
        <v>40448</v>
      </c>
    </row>
    <row x14ac:dyDescent="0.25" r="107" customHeight="1" ht="24.75">
      <c r="A107" s="1"/>
      <c r="B107" s="237">
        <f>AND(ISTEXT('Consolidado-Eletronorte'!#REF!),SUM('Consolidado-Eletronorte'!#REF!)&gt;0)</f>
      </c>
      <c r="C107" s="238">
        <f>$J$3</f>
      </c>
      <c r="D107" s="238">
        <f>$H$3</f>
      </c>
      <c r="E107" s="238">
        <f>$H$4</f>
      </c>
      <c r="F107" s="210"/>
      <c r="G107" s="238">
        <f>_xlfn.CONCAT('Consolidado-Eletronorte'!#REF!,"_",ROW('Consolidado-Eletronorte'!#REF!)-ROW('Consolidado-Eletronorte'!$G$18))</f>
      </c>
      <c r="H107" s="212" t="s">
        <v>10</v>
      </c>
      <c r="I107" s="212" t="s">
        <v>87</v>
      </c>
      <c r="J107" s="212" t="s">
        <v>5</v>
      </c>
      <c r="K107" s="213" t="s">
        <v>16</v>
      </c>
      <c r="L107" s="212" t="s">
        <v>67</v>
      </c>
      <c r="M107" s="239" t="s">
        <v>40690</v>
      </c>
      <c r="N107" s="212"/>
      <c r="O107" s="212"/>
      <c r="P107" s="212"/>
      <c r="Q107" s="239" t="s">
        <v>40691</v>
      </c>
      <c r="R107" s="239" t="s">
        <v>40680</v>
      </c>
      <c r="S107" s="239" t="s">
        <v>40681</v>
      </c>
      <c r="T107" s="240">
        <v>215</v>
      </c>
      <c r="U107" s="240">
        <v>215</v>
      </c>
      <c r="V107" s="240">
        <v>215</v>
      </c>
      <c r="W107" s="240">
        <v>215</v>
      </c>
      <c r="X107" s="240">
        <v>215</v>
      </c>
      <c r="Y107" s="240">
        <v>215</v>
      </c>
      <c r="Z107" s="240">
        <v>215</v>
      </c>
      <c r="AA107" s="240">
        <v>215</v>
      </c>
      <c r="AB107" s="240">
        <v>215</v>
      </c>
      <c r="AC107" s="239" t="s">
        <v>40351</v>
      </c>
      <c r="AD107" s="239" t="s">
        <v>40351</v>
      </c>
      <c r="AE107" s="239" t="s">
        <v>40351</v>
      </c>
      <c r="AF107" s="241">
        <f>SUM(Tabela96[[#This Row], [jan/26]:[dez/26]])</f>
      </c>
      <c r="AG107" s="240">
        <v>0</v>
      </c>
      <c r="AH107" s="240">
        <v>0</v>
      </c>
      <c r="AI107" s="240">
        <v>0</v>
      </c>
      <c r="AJ107" s="240">
        <v>0</v>
      </c>
      <c r="AK107" s="240">
        <f>SUM(Tabela96[[#This Row], [2026]:[2030]])</f>
      </c>
      <c r="AL107" s="240">
        <v>0</v>
      </c>
      <c r="AM107" s="240">
        <v>0</v>
      </c>
      <c r="AN107" s="240">
        <v>0</v>
      </c>
      <c r="AO107" s="240">
        <v>0</v>
      </c>
      <c r="AP107" s="240">
        <v>0</v>
      </c>
      <c r="AQ107" s="242">
        <f>SUM(Tabela96[[#This Row], [2026-2030]:[2035]])</f>
      </c>
      <c r="AR107" s="1"/>
      <c r="AS107" s="239" t="s">
        <v>40352</v>
      </c>
      <c r="AT107" s="243">
        <v>2024</v>
      </c>
      <c r="AU107" s="239" t="s">
        <v>40692</v>
      </c>
      <c r="AV107" s="246" t="s">
        <v>40683</v>
      </c>
      <c r="AW107" s="239" t="s">
        <v>46</v>
      </c>
      <c r="AX107" s="2"/>
      <c r="AY107" s="2"/>
      <c r="AZ107" s="239" t="s">
        <v>40448</v>
      </c>
    </row>
    <row x14ac:dyDescent="0.25" r="108" customHeight="1" ht="24.75">
      <c r="A108" s="1"/>
      <c r="B108" s="237">
        <f>AND(ISTEXT('Consolidado-Eletronorte'!#REF!),SUM('Consolidado-Eletronorte'!#REF!)&gt;0)</f>
      </c>
      <c r="C108" s="238">
        <f>$J$3</f>
      </c>
      <c r="D108" s="238">
        <f>$H$3</f>
      </c>
      <c r="E108" s="238">
        <f>$H$4</f>
      </c>
      <c r="F108" s="210"/>
      <c r="G108" s="238">
        <f>_xlfn.CONCAT('Consolidado-Eletronorte'!#REF!,"_",ROW('Consolidado-Eletronorte'!#REF!)-ROW('Consolidado-Eletronorte'!$G$18))</f>
      </c>
      <c r="H108" s="212" t="s">
        <v>10</v>
      </c>
      <c r="I108" s="212" t="s">
        <v>87</v>
      </c>
      <c r="J108" s="212" t="s">
        <v>5</v>
      </c>
      <c r="K108" s="213" t="s">
        <v>16</v>
      </c>
      <c r="L108" s="212" t="s">
        <v>67</v>
      </c>
      <c r="M108" s="239" t="s">
        <v>40693</v>
      </c>
      <c r="N108" s="212"/>
      <c r="O108" s="212"/>
      <c r="P108" s="212"/>
      <c r="Q108" s="239" t="s">
        <v>40694</v>
      </c>
      <c r="R108" s="239" t="s">
        <v>40680</v>
      </c>
      <c r="S108" s="239" t="s">
        <v>40681</v>
      </c>
      <c r="T108" s="240">
        <v>215</v>
      </c>
      <c r="U108" s="240">
        <v>215</v>
      </c>
      <c r="V108" s="240">
        <v>215</v>
      </c>
      <c r="W108" s="240">
        <v>215</v>
      </c>
      <c r="X108" s="240">
        <v>215</v>
      </c>
      <c r="Y108" s="240">
        <v>215</v>
      </c>
      <c r="Z108" s="240">
        <v>215</v>
      </c>
      <c r="AA108" s="240">
        <v>215</v>
      </c>
      <c r="AB108" s="240">
        <v>215</v>
      </c>
      <c r="AC108" s="239" t="s">
        <v>40351</v>
      </c>
      <c r="AD108" s="239" t="s">
        <v>40351</v>
      </c>
      <c r="AE108" s="239" t="s">
        <v>40351</v>
      </c>
      <c r="AF108" s="241">
        <f>SUM(Tabela96[[#This Row], [jan/26]:[dez/26]])</f>
      </c>
      <c r="AG108" s="240">
        <v>0</v>
      </c>
      <c r="AH108" s="240">
        <v>0</v>
      </c>
      <c r="AI108" s="240">
        <v>0</v>
      </c>
      <c r="AJ108" s="240">
        <v>0</v>
      </c>
      <c r="AK108" s="240">
        <f>SUM(Tabela96[[#This Row], [2026]:[2030]])</f>
      </c>
      <c r="AL108" s="240">
        <v>0</v>
      </c>
      <c r="AM108" s="240">
        <v>0</v>
      </c>
      <c r="AN108" s="240">
        <v>0</v>
      </c>
      <c r="AO108" s="240">
        <v>0</v>
      </c>
      <c r="AP108" s="240">
        <v>0</v>
      </c>
      <c r="AQ108" s="242">
        <f>SUM(Tabela96[[#This Row], [2026-2030]:[2035]])</f>
      </c>
      <c r="AR108" s="1"/>
      <c r="AS108" s="239" t="s">
        <v>40352</v>
      </c>
      <c r="AT108" s="243">
        <v>2024</v>
      </c>
      <c r="AU108" s="239" t="s">
        <v>40695</v>
      </c>
      <c r="AV108" s="3" t="s">
        <v>40683</v>
      </c>
      <c r="AW108" s="239" t="s">
        <v>46</v>
      </c>
      <c r="AX108" s="2"/>
      <c r="AY108" s="2"/>
      <c r="AZ108" s="239" t="s">
        <v>40448</v>
      </c>
    </row>
    <row x14ac:dyDescent="0.25" r="109" customHeight="1" ht="24.75">
      <c r="A109" s="1"/>
      <c r="B109" s="237">
        <f>AND(ISTEXT('Consolidado-Eletronorte'!#REF!),SUM('Consolidado-Eletronorte'!#REF!)&gt;0)</f>
      </c>
      <c r="C109" s="238">
        <f>$J$3</f>
      </c>
      <c r="D109" s="238">
        <f>$H$3</f>
      </c>
      <c r="E109" s="238">
        <f>$H$4</f>
      </c>
      <c r="F109" s="210"/>
      <c r="G109" s="238">
        <f>_xlfn.CONCAT('Consolidado-Eletronorte'!#REF!,"_",ROW('Consolidado-Eletronorte'!#REF!)-ROW('Consolidado-Eletronorte'!$G$18))</f>
      </c>
      <c r="H109" s="212" t="s">
        <v>10</v>
      </c>
      <c r="I109" s="212" t="s">
        <v>87</v>
      </c>
      <c r="J109" s="212" t="s">
        <v>5</v>
      </c>
      <c r="K109" s="213" t="s">
        <v>16</v>
      </c>
      <c r="L109" s="212" t="s">
        <v>67</v>
      </c>
      <c r="M109" s="239" t="s">
        <v>40696</v>
      </c>
      <c r="N109" s="212"/>
      <c r="O109" s="212"/>
      <c r="P109" s="212"/>
      <c r="Q109" s="239" t="s">
        <v>40697</v>
      </c>
      <c r="R109" s="239" t="s">
        <v>40680</v>
      </c>
      <c r="S109" s="239" t="s">
        <v>40681</v>
      </c>
      <c r="T109" s="240">
        <v>215</v>
      </c>
      <c r="U109" s="240">
        <v>215</v>
      </c>
      <c r="V109" s="240">
        <v>215</v>
      </c>
      <c r="W109" s="240">
        <v>215</v>
      </c>
      <c r="X109" s="240">
        <v>215</v>
      </c>
      <c r="Y109" s="240">
        <v>215</v>
      </c>
      <c r="Z109" s="240">
        <v>215</v>
      </c>
      <c r="AA109" s="240">
        <v>215</v>
      </c>
      <c r="AB109" s="240">
        <v>215</v>
      </c>
      <c r="AC109" s="239" t="s">
        <v>40351</v>
      </c>
      <c r="AD109" s="239" t="s">
        <v>40351</v>
      </c>
      <c r="AE109" s="239" t="s">
        <v>40351</v>
      </c>
      <c r="AF109" s="241">
        <f>SUM(Tabela96[[#This Row], [jan/26]:[dez/26]])</f>
      </c>
      <c r="AG109" s="240">
        <v>0</v>
      </c>
      <c r="AH109" s="240">
        <v>0</v>
      </c>
      <c r="AI109" s="240">
        <v>0</v>
      </c>
      <c r="AJ109" s="240">
        <v>0</v>
      </c>
      <c r="AK109" s="240">
        <f>SUM(Tabela96[[#This Row], [2026]:[2030]])</f>
      </c>
      <c r="AL109" s="240">
        <v>0</v>
      </c>
      <c r="AM109" s="240">
        <v>0</v>
      </c>
      <c r="AN109" s="240">
        <v>0</v>
      </c>
      <c r="AO109" s="240">
        <v>0</v>
      </c>
      <c r="AP109" s="240">
        <v>0</v>
      </c>
      <c r="AQ109" s="242">
        <f>SUM(Tabela96[[#This Row], [2026-2030]:[2035]])</f>
      </c>
      <c r="AR109" s="1"/>
      <c r="AS109" s="239" t="s">
        <v>40352</v>
      </c>
      <c r="AT109" s="243">
        <v>2024</v>
      </c>
      <c r="AU109" s="239" t="s">
        <v>40698</v>
      </c>
      <c r="AV109" s="246" t="s">
        <v>40683</v>
      </c>
      <c r="AW109" s="239" t="s">
        <v>46</v>
      </c>
      <c r="AX109" s="2"/>
      <c r="AY109" s="2"/>
      <c r="AZ109" s="239" t="s">
        <v>40448</v>
      </c>
    </row>
    <row x14ac:dyDescent="0.25" r="110" customHeight="1" ht="24.75">
      <c r="A110" s="1"/>
      <c r="B110" s="237">
        <f>AND(ISTEXT('Consolidado-Eletronorte'!#REF!),SUM('Consolidado-Eletronorte'!#REF!)&gt;0)</f>
      </c>
      <c r="C110" s="238">
        <f>$J$3</f>
      </c>
      <c r="D110" s="238">
        <f>$H$3</f>
      </c>
      <c r="E110" s="238">
        <f>$H$4</f>
      </c>
      <c r="F110" s="210"/>
      <c r="G110" s="238">
        <f>_xlfn.CONCAT('Consolidado-Eletronorte'!#REF!,"_",ROW('Consolidado-Eletronorte'!#REF!)-ROW('Consolidado-Eletronorte'!$G$18))</f>
      </c>
      <c r="H110" s="212" t="s">
        <v>10</v>
      </c>
      <c r="I110" s="212" t="s">
        <v>87</v>
      </c>
      <c r="J110" s="212" t="s">
        <v>5</v>
      </c>
      <c r="K110" s="213" t="s">
        <v>16</v>
      </c>
      <c r="L110" s="212" t="s">
        <v>67</v>
      </c>
      <c r="M110" s="239" t="s">
        <v>40699</v>
      </c>
      <c r="N110" s="212"/>
      <c r="O110" s="212"/>
      <c r="P110" s="212"/>
      <c r="Q110" s="239" t="s">
        <v>40700</v>
      </c>
      <c r="R110" s="239" t="s">
        <v>40680</v>
      </c>
      <c r="S110" s="239" t="s">
        <v>40681</v>
      </c>
      <c r="T110" s="240">
        <v>215</v>
      </c>
      <c r="U110" s="240">
        <v>215</v>
      </c>
      <c r="V110" s="240">
        <v>215</v>
      </c>
      <c r="W110" s="240">
        <v>215</v>
      </c>
      <c r="X110" s="240">
        <v>215</v>
      </c>
      <c r="Y110" s="240">
        <v>215</v>
      </c>
      <c r="Z110" s="240">
        <v>215</v>
      </c>
      <c r="AA110" s="240">
        <v>215</v>
      </c>
      <c r="AB110" s="240">
        <v>215</v>
      </c>
      <c r="AC110" s="239" t="s">
        <v>40351</v>
      </c>
      <c r="AD110" s="239" t="s">
        <v>40351</v>
      </c>
      <c r="AE110" s="239" t="s">
        <v>40351</v>
      </c>
      <c r="AF110" s="241">
        <f>SUM(Tabela96[[#This Row], [jan/26]:[dez/26]])</f>
      </c>
      <c r="AG110" s="240">
        <v>0</v>
      </c>
      <c r="AH110" s="240">
        <v>0</v>
      </c>
      <c r="AI110" s="240">
        <v>0</v>
      </c>
      <c r="AJ110" s="240">
        <v>0</v>
      </c>
      <c r="AK110" s="240">
        <f>SUM(Tabela96[[#This Row], [2026]:[2030]])</f>
      </c>
      <c r="AL110" s="240">
        <v>0</v>
      </c>
      <c r="AM110" s="240">
        <v>0</v>
      </c>
      <c r="AN110" s="240">
        <v>0</v>
      </c>
      <c r="AO110" s="240">
        <v>0</v>
      </c>
      <c r="AP110" s="240">
        <v>0</v>
      </c>
      <c r="AQ110" s="242">
        <f>SUM(Tabela96[[#This Row], [2026-2030]:[2035]])</f>
      </c>
      <c r="AR110" s="1"/>
      <c r="AS110" s="239" t="s">
        <v>40352</v>
      </c>
      <c r="AT110" s="243">
        <v>2024</v>
      </c>
      <c r="AU110" s="239" t="s">
        <v>40701</v>
      </c>
      <c r="AV110" s="3" t="s">
        <v>40683</v>
      </c>
      <c r="AW110" s="239" t="s">
        <v>46</v>
      </c>
      <c r="AX110" s="2"/>
      <c r="AY110" s="2"/>
      <c r="AZ110" s="239" t="s">
        <v>40448</v>
      </c>
    </row>
    <row x14ac:dyDescent="0.25" r="111" customHeight="1" ht="24.75">
      <c r="A111" s="1"/>
      <c r="B111" s="237">
        <f>AND(ISTEXT('Consolidado-Eletronorte'!#REF!),SUM('Consolidado-Eletronorte'!#REF!)&gt;0)</f>
      </c>
      <c r="C111" s="238">
        <f>$J$3</f>
      </c>
      <c r="D111" s="238">
        <f>$H$3</f>
      </c>
      <c r="E111" s="238">
        <f>$H$4</f>
      </c>
      <c r="F111" s="210"/>
      <c r="G111" s="238">
        <f>_xlfn.CONCAT('Consolidado-Eletronorte'!#REF!,"_",ROW('Consolidado-Eletronorte'!#REF!)-ROW('Consolidado-Eletronorte'!$G$18))</f>
      </c>
      <c r="H111" s="212" t="s">
        <v>10</v>
      </c>
      <c r="I111" s="212" t="s">
        <v>87</v>
      </c>
      <c r="J111" s="212" t="s">
        <v>5</v>
      </c>
      <c r="K111" s="213" t="s">
        <v>16</v>
      </c>
      <c r="L111" s="212" t="s">
        <v>67</v>
      </c>
      <c r="M111" s="239" t="s">
        <v>40702</v>
      </c>
      <c r="N111" s="212"/>
      <c r="O111" s="212"/>
      <c r="P111" s="212"/>
      <c r="Q111" s="239" t="s">
        <v>40703</v>
      </c>
      <c r="R111" s="239" t="s">
        <v>40680</v>
      </c>
      <c r="S111" s="239" t="s">
        <v>40681</v>
      </c>
      <c r="T111" s="240">
        <v>215</v>
      </c>
      <c r="U111" s="240">
        <v>215</v>
      </c>
      <c r="V111" s="240">
        <v>215</v>
      </c>
      <c r="W111" s="240">
        <v>215</v>
      </c>
      <c r="X111" s="240">
        <v>215</v>
      </c>
      <c r="Y111" s="240">
        <v>215</v>
      </c>
      <c r="Z111" s="240">
        <v>215</v>
      </c>
      <c r="AA111" s="240">
        <v>215</v>
      </c>
      <c r="AB111" s="240">
        <v>215</v>
      </c>
      <c r="AC111" s="239" t="s">
        <v>40351</v>
      </c>
      <c r="AD111" s="239" t="s">
        <v>40351</v>
      </c>
      <c r="AE111" s="239" t="s">
        <v>40351</v>
      </c>
      <c r="AF111" s="241">
        <f>SUM(Tabela96[[#This Row], [jan/26]:[dez/26]])</f>
      </c>
      <c r="AG111" s="240">
        <v>0</v>
      </c>
      <c r="AH111" s="240">
        <v>0</v>
      </c>
      <c r="AI111" s="240">
        <v>0</v>
      </c>
      <c r="AJ111" s="240">
        <v>0</v>
      </c>
      <c r="AK111" s="240">
        <f>SUM(Tabela96[[#This Row], [2026]:[2030]])</f>
      </c>
      <c r="AL111" s="240">
        <v>0</v>
      </c>
      <c r="AM111" s="240">
        <v>0</v>
      </c>
      <c r="AN111" s="240">
        <v>0</v>
      </c>
      <c r="AO111" s="240">
        <v>0</v>
      </c>
      <c r="AP111" s="240">
        <v>0</v>
      </c>
      <c r="AQ111" s="242">
        <f>SUM(Tabela96[[#This Row], [2026-2030]:[2035]])</f>
      </c>
      <c r="AR111" s="1"/>
      <c r="AS111" s="239" t="s">
        <v>40352</v>
      </c>
      <c r="AT111" s="243">
        <v>2024</v>
      </c>
      <c r="AU111" s="239" t="s">
        <v>40704</v>
      </c>
      <c r="AV111" s="246" t="s">
        <v>40683</v>
      </c>
      <c r="AW111" s="239" t="s">
        <v>46</v>
      </c>
      <c r="AX111" s="2"/>
      <c r="AY111" s="2"/>
      <c r="AZ111" s="239" t="s">
        <v>40448</v>
      </c>
    </row>
    <row x14ac:dyDescent="0.25" r="112" customHeight="1" ht="24.75">
      <c r="A112" s="1"/>
      <c r="B112" s="237">
        <f>AND(ISTEXT('Consolidado-Eletronorte'!#REF!),SUM('Consolidado-Eletronorte'!#REF!)&gt;0)</f>
      </c>
      <c r="C112" s="238">
        <f>$J$3</f>
      </c>
      <c r="D112" s="238">
        <f>$H$3</f>
      </c>
      <c r="E112" s="238">
        <f>$H$4</f>
      </c>
      <c r="F112" s="210"/>
      <c r="G112" s="238">
        <f>_xlfn.CONCAT('Consolidado-Eletronorte'!#REF!,"_",ROW('Consolidado-Eletronorte'!#REF!)-ROW('Consolidado-Eletronorte'!$G$18))</f>
      </c>
      <c r="H112" s="212" t="s">
        <v>10</v>
      </c>
      <c r="I112" s="212" t="s">
        <v>87</v>
      </c>
      <c r="J112" s="212" t="s">
        <v>5</v>
      </c>
      <c r="K112" s="213" t="s">
        <v>16</v>
      </c>
      <c r="L112" s="212" t="s">
        <v>67</v>
      </c>
      <c r="M112" s="239" t="s">
        <v>40705</v>
      </c>
      <c r="N112" s="212"/>
      <c r="O112" s="212"/>
      <c r="P112" s="212"/>
      <c r="Q112" s="239" t="s">
        <v>40706</v>
      </c>
      <c r="R112" s="239" t="s">
        <v>40680</v>
      </c>
      <c r="S112" s="239" t="s">
        <v>40681</v>
      </c>
      <c r="T112" s="240">
        <v>215</v>
      </c>
      <c r="U112" s="240">
        <v>215</v>
      </c>
      <c r="V112" s="240">
        <v>215</v>
      </c>
      <c r="W112" s="240">
        <v>215</v>
      </c>
      <c r="X112" s="240">
        <v>215</v>
      </c>
      <c r="Y112" s="240">
        <v>215</v>
      </c>
      <c r="Z112" s="240">
        <v>215</v>
      </c>
      <c r="AA112" s="240">
        <v>215</v>
      </c>
      <c r="AB112" s="240">
        <v>215</v>
      </c>
      <c r="AC112" s="239" t="s">
        <v>40351</v>
      </c>
      <c r="AD112" s="239" t="s">
        <v>40351</v>
      </c>
      <c r="AE112" s="239" t="s">
        <v>40351</v>
      </c>
      <c r="AF112" s="241">
        <f>SUM(Tabela96[[#This Row], [jan/26]:[dez/26]])</f>
      </c>
      <c r="AG112" s="240">
        <v>0</v>
      </c>
      <c r="AH112" s="240">
        <v>0</v>
      </c>
      <c r="AI112" s="240">
        <v>0</v>
      </c>
      <c r="AJ112" s="240">
        <v>0</v>
      </c>
      <c r="AK112" s="240">
        <f>SUM(Tabela96[[#This Row], [2026]:[2030]])</f>
      </c>
      <c r="AL112" s="240">
        <v>0</v>
      </c>
      <c r="AM112" s="240">
        <v>0</v>
      </c>
      <c r="AN112" s="240">
        <v>0</v>
      </c>
      <c r="AO112" s="240">
        <v>0</v>
      </c>
      <c r="AP112" s="240">
        <v>0</v>
      </c>
      <c r="AQ112" s="242">
        <f>SUM(Tabela96[[#This Row], [2026-2030]:[2035]])</f>
      </c>
      <c r="AR112" s="1"/>
      <c r="AS112" s="239" t="s">
        <v>40352</v>
      </c>
      <c r="AT112" s="243">
        <v>2024</v>
      </c>
      <c r="AU112" s="239" t="s">
        <v>40707</v>
      </c>
      <c r="AV112" s="3" t="s">
        <v>40683</v>
      </c>
      <c r="AW112" s="239" t="s">
        <v>46</v>
      </c>
      <c r="AX112" s="2"/>
      <c r="AY112" s="2"/>
      <c r="AZ112" s="239" t="s">
        <v>40448</v>
      </c>
    </row>
    <row x14ac:dyDescent="0.25" r="113" customHeight="1" ht="24.75">
      <c r="A113" s="1"/>
      <c r="B113" s="237">
        <f>AND(ISTEXT('Consolidado-Eletronorte'!#REF!),SUM('Consolidado-Eletronorte'!#REF!)&gt;0)</f>
      </c>
      <c r="C113" s="238">
        <f>$J$3</f>
      </c>
      <c r="D113" s="238">
        <f>$H$3</f>
      </c>
      <c r="E113" s="238">
        <f>$H$4</f>
      </c>
      <c r="F113" s="210"/>
      <c r="G113" s="238">
        <f>_xlfn.CONCAT('Consolidado-Eletronorte'!#REF!,"_",ROW('Consolidado-Eletronorte'!#REF!)-ROW('Consolidado-Eletronorte'!$G$18))</f>
      </c>
      <c r="H113" s="212" t="s">
        <v>10</v>
      </c>
      <c r="I113" s="212" t="s">
        <v>87</v>
      </c>
      <c r="J113" s="212" t="s">
        <v>5</v>
      </c>
      <c r="K113" s="213" t="s">
        <v>16</v>
      </c>
      <c r="L113" s="212" t="s">
        <v>67</v>
      </c>
      <c r="M113" s="239" t="s">
        <v>40708</v>
      </c>
      <c r="N113" s="212"/>
      <c r="O113" s="212"/>
      <c r="P113" s="212"/>
      <c r="Q113" s="239" t="s">
        <v>40709</v>
      </c>
      <c r="R113" s="239" t="s">
        <v>40680</v>
      </c>
      <c r="S113" s="239" t="s">
        <v>40681</v>
      </c>
      <c r="T113" s="240">
        <v>215</v>
      </c>
      <c r="U113" s="240">
        <v>215</v>
      </c>
      <c r="V113" s="240">
        <v>215</v>
      </c>
      <c r="W113" s="240">
        <v>215</v>
      </c>
      <c r="X113" s="240">
        <v>215</v>
      </c>
      <c r="Y113" s="240">
        <v>215</v>
      </c>
      <c r="Z113" s="240">
        <v>215</v>
      </c>
      <c r="AA113" s="240">
        <v>215</v>
      </c>
      <c r="AB113" s="240">
        <v>215</v>
      </c>
      <c r="AC113" s="239" t="s">
        <v>40351</v>
      </c>
      <c r="AD113" s="239" t="s">
        <v>40351</v>
      </c>
      <c r="AE113" s="239" t="s">
        <v>40351</v>
      </c>
      <c r="AF113" s="241">
        <f>SUM(Tabela96[[#This Row], [jan/26]:[dez/26]])</f>
      </c>
      <c r="AG113" s="240">
        <v>0</v>
      </c>
      <c r="AH113" s="240">
        <v>0</v>
      </c>
      <c r="AI113" s="240">
        <v>0</v>
      </c>
      <c r="AJ113" s="240">
        <v>0</v>
      </c>
      <c r="AK113" s="240">
        <f>SUM(Tabela96[[#This Row], [2026]:[2030]])</f>
      </c>
      <c r="AL113" s="240">
        <v>0</v>
      </c>
      <c r="AM113" s="240">
        <v>0</v>
      </c>
      <c r="AN113" s="240">
        <v>0</v>
      </c>
      <c r="AO113" s="240">
        <v>0</v>
      </c>
      <c r="AP113" s="240">
        <v>0</v>
      </c>
      <c r="AQ113" s="242">
        <f>SUM(Tabela96[[#This Row], [2026-2030]:[2035]])</f>
      </c>
      <c r="AR113" s="1"/>
      <c r="AS113" s="239" t="s">
        <v>40352</v>
      </c>
      <c r="AT113" s="243">
        <v>2024</v>
      </c>
      <c r="AU113" s="239" t="s">
        <v>40710</v>
      </c>
      <c r="AV113" s="246" t="s">
        <v>40683</v>
      </c>
      <c r="AW113" s="239" t="s">
        <v>46</v>
      </c>
      <c r="AX113" s="2"/>
      <c r="AY113" s="2"/>
      <c r="AZ113" s="239" t="s">
        <v>40448</v>
      </c>
    </row>
    <row x14ac:dyDescent="0.25" r="114" customHeight="1" ht="24.75">
      <c r="A114" s="1"/>
      <c r="B114" s="237">
        <f>AND(ISTEXT('Consolidado-Eletronorte'!#REF!),SUM('Consolidado-Eletronorte'!#REF!)&gt;0)</f>
      </c>
      <c r="C114" s="238">
        <f>$J$3</f>
      </c>
      <c r="D114" s="238">
        <f>$H$3</f>
      </c>
      <c r="E114" s="238">
        <f>$H$4</f>
      </c>
      <c r="F114" s="210"/>
      <c r="G114" s="238">
        <f>_xlfn.CONCAT('Consolidado-Eletronorte'!#REF!,"_",ROW('Consolidado-Eletronorte'!#REF!)-ROW('Consolidado-Eletronorte'!$G$18))</f>
      </c>
      <c r="H114" s="212" t="s">
        <v>10</v>
      </c>
      <c r="I114" s="212" t="s">
        <v>87</v>
      </c>
      <c r="J114" s="212" t="s">
        <v>5</v>
      </c>
      <c r="K114" s="213" t="s">
        <v>16</v>
      </c>
      <c r="L114" s="212" t="s">
        <v>67</v>
      </c>
      <c r="M114" s="239" t="s">
        <v>40711</v>
      </c>
      <c r="N114" s="212"/>
      <c r="O114" s="212"/>
      <c r="P114" s="212"/>
      <c r="Q114" s="239" t="s">
        <v>40712</v>
      </c>
      <c r="R114" s="239" t="s">
        <v>40680</v>
      </c>
      <c r="S114" s="239" t="s">
        <v>40681</v>
      </c>
      <c r="T114" s="240">
        <v>215</v>
      </c>
      <c r="U114" s="240">
        <v>215</v>
      </c>
      <c r="V114" s="240">
        <v>215</v>
      </c>
      <c r="W114" s="240">
        <v>215</v>
      </c>
      <c r="X114" s="240">
        <v>215</v>
      </c>
      <c r="Y114" s="240">
        <v>215</v>
      </c>
      <c r="Z114" s="240">
        <v>215</v>
      </c>
      <c r="AA114" s="240">
        <v>215</v>
      </c>
      <c r="AB114" s="240">
        <v>215</v>
      </c>
      <c r="AC114" s="239" t="s">
        <v>40351</v>
      </c>
      <c r="AD114" s="239" t="s">
        <v>40351</v>
      </c>
      <c r="AE114" s="239" t="s">
        <v>40351</v>
      </c>
      <c r="AF114" s="241">
        <f>SUM(Tabela96[[#This Row], [jan/26]:[dez/26]])</f>
      </c>
      <c r="AG114" s="240">
        <v>0</v>
      </c>
      <c r="AH114" s="240">
        <v>0</v>
      </c>
      <c r="AI114" s="240">
        <v>0</v>
      </c>
      <c r="AJ114" s="240">
        <v>0</v>
      </c>
      <c r="AK114" s="240">
        <f>SUM(Tabela96[[#This Row], [2026]:[2030]])</f>
      </c>
      <c r="AL114" s="240">
        <v>0</v>
      </c>
      <c r="AM114" s="240">
        <v>0</v>
      </c>
      <c r="AN114" s="240">
        <v>0</v>
      </c>
      <c r="AO114" s="240">
        <v>0</v>
      </c>
      <c r="AP114" s="240">
        <v>0</v>
      </c>
      <c r="AQ114" s="242">
        <f>SUM(Tabela96[[#This Row], [2026-2030]:[2035]])</f>
      </c>
      <c r="AR114" s="1"/>
      <c r="AS114" s="239" t="s">
        <v>40352</v>
      </c>
      <c r="AT114" s="243">
        <v>2024</v>
      </c>
      <c r="AU114" s="239" t="s">
        <v>40713</v>
      </c>
      <c r="AV114" s="3" t="s">
        <v>40683</v>
      </c>
      <c r="AW114" s="239" t="s">
        <v>46</v>
      </c>
      <c r="AX114" s="2"/>
      <c r="AY114" s="2"/>
      <c r="AZ114" s="239" t="s">
        <v>40448</v>
      </c>
    </row>
    <row x14ac:dyDescent="0.25" r="115" customHeight="1" ht="24.75">
      <c r="A115" s="1"/>
      <c r="B115" s="237">
        <f>AND(ISTEXT('Consolidado-Eletronorte'!#REF!),SUM('Consolidado-Eletronorte'!#REF!)&gt;0)</f>
      </c>
      <c r="C115" s="238">
        <f>$J$3</f>
      </c>
      <c r="D115" s="238">
        <f>$H$3</f>
      </c>
      <c r="E115" s="238">
        <f>$H$4</f>
      </c>
      <c r="F115" s="210"/>
      <c r="G115" s="238">
        <f>_xlfn.CONCAT('Consolidado-Eletronorte'!#REF!,"_",ROW('Consolidado-Eletronorte'!#REF!)-ROW('Consolidado-Eletronorte'!$G$18))</f>
      </c>
      <c r="H115" s="212" t="s">
        <v>10</v>
      </c>
      <c r="I115" s="212" t="s">
        <v>87</v>
      </c>
      <c r="J115" s="212" t="s">
        <v>5</v>
      </c>
      <c r="K115" s="213" t="s">
        <v>16</v>
      </c>
      <c r="L115" s="212" t="s">
        <v>67</v>
      </c>
      <c r="M115" s="239" t="s">
        <v>40714</v>
      </c>
      <c r="N115" s="212"/>
      <c r="O115" s="212"/>
      <c r="P115" s="212"/>
      <c r="Q115" s="239" t="s">
        <v>40715</v>
      </c>
      <c r="R115" s="239" t="s">
        <v>40680</v>
      </c>
      <c r="S115" s="239" t="s">
        <v>40681</v>
      </c>
      <c r="T115" s="240">
        <v>215</v>
      </c>
      <c r="U115" s="240">
        <v>215</v>
      </c>
      <c r="V115" s="240">
        <v>215</v>
      </c>
      <c r="W115" s="240">
        <v>215</v>
      </c>
      <c r="X115" s="240">
        <v>215</v>
      </c>
      <c r="Y115" s="240">
        <v>215</v>
      </c>
      <c r="Z115" s="240">
        <v>215</v>
      </c>
      <c r="AA115" s="240">
        <v>215</v>
      </c>
      <c r="AB115" s="240">
        <v>215</v>
      </c>
      <c r="AC115" s="239" t="s">
        <v>40351</v>
      </c>
      <c r="AD115" s="239" t="s">
        <v>40351</v>
      </c>
      <c r="AE115" s="239" t="s">
        <v>40351</v>
      </c>
      <c r="AF115" s="241">
        <f>SUM(Tabela96[[#This Row], [jan/26]:[dez/26]])</f>
      </c>
      <c r="AG115" s="240">
        <v>0</v>
      </c>
      <c r="AH115" s="240">
        <v>0</v>
      </c>
      <c r="AI115" s="240">
        <v>0</v>
      </c>
      <c r="AJ115" s="240">
        <v>0</v>
      </c>
      <c r="AK115" s="240">
        <f>SUM(Tabela96[[#This Row], [2026]:[2030]])</f>
      </c>
      <c r="AL115" s="240">
        <v>0</v>
      </c>
      <c r="AM115" s="240">
        <v>0</v>
      </c>
      <c r="AN115" s="240">
        <v>0</v>
      </c>
      <c r="AO115" s="240">
        <v>0</v>
      </c>
      <c r="AP115" s="240">
        <v>0</v>
      </c>
      <c r="AQ115" s="242">
        <f>SUM(Tabela96[[#This Row], [2026-2030]:[2035]])</f>
      </c>
      <c r="AR115" s="1"/>
      <c r="AS115" s="239" t="s">
        <v>40352</v>
      </c>
      <c r="AT115" s="243">
        <v>2024</v>
      </c>
      <c r="AU115" s="239" t="s">
        <v>40716</v>
      </c>
      <c r="AV115" s="246" t="s">
        <v>40683</v>
      </c>
      <c r="AW115" s="239" t="s">
        <v>46</v>
      </c>
      <c r="AX115" s="2"/>
      <c r="AY115" s="2"/>
      <c r="AZ115" s="239" t="s">
        <v>40448</v>
      </c>
    </row>
    <row x14ac:dyDescent="0.25" r="116" customHeight="1" ht="24.75">
      <c r="A116" s="1"/>
      <c r="B116" s="237">
        <f>AND(ISTEXT('Consolidado-Eletronorte'!#REF!),SUM('Consolidado-Eletronorte'!#REF!)&gt;0)</f>
      </c>
      <c r="C116" s="238">
        <f>$J$3</f>
      </c>
      <c r="D116" s="238">
        <f>$H$3</f>
      </c>
      <c r="E116" s="238">
        <f>$H$4</f>
      </c>
      <c r="F116" s="210"/>
      <c r="G116" s="238">
        <f>_xlfn.CONCAT('Consolidado-Eletronorte'!#REF!,"_",ROW('Consolidado-Eletronorte'!#REF!)-ROW('Consolidado-Eletronorte'!$G$18))</f>
      </c>
      <c r="H116" s="212" t="s">
        <v>10</v>
      </c>
      <c r="I116" s="212" t="s">
        <v>87</v>
      </c>
      <c r="J116" s="212" t="s">
        <v>5</v>
      </c>
      <c r="K116" s="213" t="s">
        <v>16</v>
      </c>
      <c r="L116" s="212" t="s">
        <v>67</v>
      </c>
      <c r="M116" s="239" t="s">
        <v>40717</v>
      </c>
      <c r="N116" s="212"/>
      <c r="O116" s="212"/>
      <c r="P116" s="212"/>
      <c r="Q116" s="239" t="s">
        <v>40718</v>
      </c>
      <c r="R116" s="239" t="s">
        <v>40680</v>
      </c>
      <c r="S116" s="239" t="s">
        <v>40681</v>
      </c>
      <c r="T116" s="240">
        <v>215</v>
      </c>
      <c r="U116" s="240">
        <v>215</v>
      </c>
      <c r="V116" s="240">
        <v>215</v>
      </c>
      <c r="W116" s="240">
        <v>215</v>
      </c>
      <c r="X116" s="240">
        <v>215</v>
      </c>
      <c r="Y116" s="240">
        <v>215</v>
      </c>
      <c r="Z116" s="240">
        <v>215</v>
      </c>
      <c r="AA116" s="240">
        <v>215</v>
      </c>
      <c r="AB116" s="240">
        <v>215</v>
      </c>
      <c r="AC116" s="239" t="s">
        <v>40351</v>
      </c>
      <c r="AD116" s="239" t="s">
        <v>40351</v>
      </c>
      <c r="AE116" s="239" t="s">
        <v>40351</v>
      </c>
      <c r="AF116" s="241">
        <f>SUM(Tabela96[[#This Row], [jan/26]:[dez/26]])</f>
      </c>
      <c r="AG116" s="240">
        <v>0</v>
      </c>
      <c r="AH116" s="240">
        <v>0</v>
      </c>
      <c r="AI116" s="240">
        <v>0</v>
      </c>
      <c r="AJ116" s="240">
        <v>0</v>
      </c>
      <c r="AK116" s="240">
        <f>SUM(Tabela96[[#This Row], [2026]:[2030]])</f>
      </c>
      <c r="AL116" s="240">
        <v>0</v>
      </c>
      <c r="AM116" s="240">
        <v>0</v>
      </c>
      <c r="AN116" s="240">
        <v>0</v>
      </c>
      <c r="AO116" s="240">
        <v>0</v>
      </c>
      <c r="AP116" s="240">
        <v>0</v>
      </c>
      <c r="AQ116" s="242">
        <f>SUM(Tabela96[[#This Row], [2026-2030]:[2035]])</f>
      </c>
      <c r="AR116" s="1"/>
      <c r="AS116" s="239" t="s">
        <v>40352</v>
      </c>
      <c r="AT116" s="243">
        <v>2024</v>
      </c>
      <c r="AU116" s="239" t="s">
        <v>40719</v>
      </c>
      <c r="AV116" s="3" t="s">
        <v>40683</v>
      </c>
      <c r="AW116" s="239" t="s">
        <v>46</v>
      </c>
      <c r="AX116" s="2"/>
      <c r="AY116" s="2"/>
      <c r="AZ116" s="239" t="s">
        <v>40448</v>
      </c>
    </row>
    <row x14ac:dyDescent="0.25" r="117" customHeight="1" ht="24.75">
      <c r="A117" s="1"/>
      <c r="B117" s="237">
        <f>AND(ISTEXT('Consolidado-Eletronorte'!#REF!),SUM('Consolidado-Eletronorte'!#REF!)&gt;0)</f>
      </c>
      <c r="C117" s="238">
        <f>$J$3</f>
      </c>
      <c r="D117" s="238">
        <f>$H$3</f>
      </c>
      <c r="E117" s="238">
        <f>$H$4</f>
      </c>
      <c r="F117" s="210"/>
      <c r="G117" s="238">
        <f>_xlfn.CONCAT('Consolidado-Eletronorte'!#REF!,"_",ROW('Consolidado-Eletronorte'!#REF!)-ROW('Consolidado-Eletronorte'!$G$18))</f>
      </c>
      <c r="H117" s="212" t="s">
        <v>10</v>
      </c>
      <c r="I117" s="212" t="s">
        <v>87</v>
      </c>
      <c r="J117" s="212" t="s">
        <v>5</v>
      </c>
      <c r="K117" s="213" t="s">
        <v>16</v>
      </c>
      <c r="L117" s="212" t="s">
        <v>67</v>
      </c>
      <c r="M117" s="239" t="s">
        <v>40720</v>
      </c>
      <c r="N117" s="212"/>
      <c r="O117" s="212"/>
      <c r="P117" s="212"/>
      <c r="Q117" s="239" t="s">
        <v>40721</v>
      </c>
      <c r="R117" s="239" t="s">
        <v>40680</v>
      </c>
      <c r="S117" s="239" t="s">
        <v>40681</v>
      </c>
      <c r="T117" s="240">
        <v>215</v>
      </c>
      <c r="U117" s="240">
        <v>215</v>
      </c>
      <c r="V117" s="240">
        <v>215</v>
      </c>
      <c r="W117" s="240">
        <v>215</v>
      </c>
      <c r="X117" s="240">
        <v>215</v>
      </c>
      <c r="Y117" s="240">
        <v>215</v>
      </c>
      <c r="Z117" s="240">
        <v>215</v>
      </c>
      <c r="AA117" s="240">
        <v>215</v>
      </c>
      <c r="AB117" s="240">
        <v>215</v>
      </c>
      <c r="AC117" s="239" t="s">
        <v>40351</v>
      </c>
      <c r="AD117" s="239" t="s">
        <v>40351</v>
      </c>
      <c r="AE117" s="239" t="s">
        <v>40351</v>
      </c>
      <c r="AF117" s="241">
        <f>SUM(Tabela96[[#This Row], [jan/26]:[dez/26]])</f>
      </c>
      <c r="AG117" s="240">
        <v>0</v>
      </c>
      <c r="AH117" s="240">
        <v>0</v>
      </c>
      <c r="AI117" s="240">
        <v>0</v>
      </c>
      <c r="AJ117" s="240">
        <v>0</v>
      </c>
      <c r="AK117" s="240">
        <f>SUM(Tabela96[[#This Row], [2026]:[2030]])</f>
      </c>
      <c r="AL117" s="240">
        <v>0</v>
      </c>
      <c r="AM117" s="240">
        <v>0</v>
      </c>
      <c r="AN117" s="240">
        <v>0</v>
      </c>
      <c r="AO117" s="240">
        <v>0</v>
      </c>
      <c r="AP117" s="240">
        <v>0</v>
      </c>
      <c r="AQ117" s="242">
        <f>SUM(Tabela96[[#This Row], [2026-2030]:[2035]])</f>
      </c>
      <c r="AR117" s="1"/>
      <c r="AS117" s="239" t="s">
        <v>40352</v>
      </c>
      <c r="AT117" s="243">
        <v>2024</v>
      </c>
      <c r="AU117" s="239" t="s">
        <v>40722</v>
      </c>
      <c r="AV117" s="246" t="s">
        <v>40683</v>
      </c>
      <c r="AW117" s="239" t="s">
        <v>46</v>
      </c>
      <c r="AX117" s="2"/>
      <c r="AY117" s="2"/>
      <c r="AZ117" s="239" t="s">
        <v>40448</v>
      </c>
    </row>
    <row x14ac:dyDescent="0.25" r="118" customHeight="1" ht="24.75">
      <c r="A118" s="1"/>
      <c r="B118" s="237">
        <f>AND(ISTEXT('Consolidado-Eletronorte'!#REF!),SUM('Consolidado-Eletronorte'!#REF!)&gt;0)</f>
      </c>
      <c r="C118" s="238">
        <f>$J$3</f>
      </c>
      <c r="D118" s="238">
        <f>$H$3</f>
      </c>
      <c r="E118" s="238">
        <f>$H$4</f>
      </c>
      <c r="F118" s="210"/>
      <c r="G118" s="238">
        <f>_xlfn.CONCAT('Consolidado-Eletronorte'!#REF!,"_",ROW('Consolidado-Eletronorte'!#REF!)-ROW('Consolidado-Eletronorte'!$G$18))</f>
      </c>
      <c r="H118" s="212" t="s">
        <v>10</v>
      </c>
      <c r="I118" s="212" t="s">
        <v>87</v>
      </c>
      <c r="J118" s="212" t="s">
        <v>5</v>
      </c>
      <c r="K118" s="213" t="s">
        <v>16</v>
      </c>
      <c r="L118" s="212" t="s">
        <v>67</v>
      </c>
      <c r="M118" s="239" t="s">
        <v>40723</v>
      </c>
      <c r="N118" s="212"/>
      <c r="O118" s="212"/>
      <c r="P118" s="212"/>
      <c r="Q118" s="239" t="s">
        <v>40724</v>
      </c>
      <c r="R118" s="239" t="s">
        <v>40680</v>
      </c>
      <c r="S118" s="239" t="s">
        <v>40681</v>
      </c>
      <c r="T118" s="240">
        <v>215</v>
      </c>
      <c r="U118" s="240">
        <v>215</v>
      </c>
      <c r="V118" s="240">
        <v>215</v>
      </c>
      <c r="W118" s="240">
        <v>215</v>
      </c>
      <c r="X118" s="240">
        <v>215</v>
      </c>
      <c r="Y118" s="240">
        <v>215</v>
      </c>
      <c r="Z118" s="240">
        <v>215</v>
      </c>
      <c r="AA118" s="240">
        <v>215</v>
      </c>
      <c r="AB118" s="240">
        <v>215</v>
      </c>
      <c r="AC118" s="239" t="s">
        <v>40351</v>
      </c>
      <c r="AD118" s="239" t="s">
        <v>40351</v>
      </c>
      <c r="AE118" s="239" t="s">
        <v>40351</v>
      </c>
      <c r="AF118" s="241">
        <f>SUM(Tabela96[[#This Row], [jan/26]:[dez/26]])</f>
      </c>
      <c r="AG118" s="240">
        <v>0</v>
      </c>
      <c r="AH118" s="240">
        <v>0</v>
      </c>
      <c r="AI118" s="240">
        <v>0</v>
      </c>
      <c r="AJ118" s="240">
        <v>0</v>
      </c>
      <c r="AK118" s="240">
        <f>SUM(Tabela96[[#This Row], [2026]:[2030]])</f>
      </c>
      <c r="AL118" s="240">
        <v>0</v>
      </c>
      <c r="AM118" s="240">
        <v>0</v>
      </c>
      <c r="AN118" s="240">
        <v>0</v>
      </c>
      <c r="AO118" s="240">
        <v>0</v>
      </c>
      <c r="AP118" s="240">
        <v>0</v>
      </c>
      <c r="AQ118" s="242">
        <f>SUM(Tabela96[[#This Row], [2026-2030]:[2035]])</f>
      </c>
      <c r="AR118" s="1"/>
      <c r="AS118" s="239" t="s">
        <v>40352</v>
      </c>
      <c r="AT118" s="243">
        <v>2024</v>
      </c>
      <c r="AU118" s="239" t="s">
        <v>40725</v>
      </c>
      <c r="AV118" s="3" t="s">
        <v>40683</v>
      </c>
      <c r="AW118" s="239" t="s">
        <v>46</v>
      </c>
      <c r="AX118" s="2"/>
      <c r="AY118" s="2"/>
      <c r="AZ118" s="239" t="s">
        <v>40448</v>
      </c>
    </row>
    <row x14ac:dyDescent="0.25" r="119" customHeight="1" ht="24.75">
      <c r="A119" s="1"/>
      <c r="B119" s="237">
        <f>AND(ISTEXT('Consolidado-Eletronorte'!#REF!),SUM('Consolidado-Eletronorte'!#REF!)&gt;0)</f>
      </c>
      <c r="C119" s="238">
        <f>$J$3</f>
      </c>
      <c r="D119" s="238">
        <f>$H$3</f>
      </c>
      <c r="E119" s="238">
        <f>$H$4</f>
      </c>
      <c r="F119" s="210"/>
      <c r="G119" s="238">
        <f>_xlfn.CONCAT('Consolidado-Eletronorte'!#REF!,"_",ROW('Consolidado-Eletronorte'!#REF!)-ROW('Consolidado-Eletronorte'!$G$18))</f>
      </c>
      <c r="H119" s="212" t="s">
        <v>10</v>
      </c>
      <c r="I119" s="212" t="s">
        <v>87</v>
      </c>
      <c r="J119" s="212" t="s">
        <v>5</v>
      </c>
      <c r="K119" s="213" t="s">
        <v>16</v>
      </c>
      <c r="L119" s="212" t="s">
        <v>67</v>
      </c>
      <c r="M119" s="239" t="s">
        <v>40726</v>
      </c>
      <c r="N119" s="212"/>
      <c r="O119" s="212"/>
      <c r="P119" s="212"/>
      <c r="Q119" s="239" t="s">
        <v>40727</v>
      </c>
      <c r="R119" s="239" t="s">
        <v>40680</v>
      </c>
      <c r="S119" s="239" t="s">
        <v>40681</v>
      </c>
      <c r="T119" s="240">
        <v>215</v>
      </c>
      <c r="U119" s="240">
        <v>215</v>
      </c>
      <c r="V119" s="240">
        <v>215</v>
      </c>
      <c r="W119" s="240">
        <v>215</v>
      </c>
      <c r="X119" s="240">
        <v>215</v>
      </c>
      <c r="Y119" s="240">
        <v>215</v>
      </c>
      <c r="Z119" s="240">
        <v>215</v>
      </c>
      <c r="AA119" s="240">
        <v>215</v>
      </c>
      <c r="AB119" s="240">
        <v>215</v>
      </c>
      <c r="AC119" s="239" t="s">
        <v>40351</v>
      </c>
      <c r="AD119" s="239" t="s">
        <v>40351</v>
      </c>
      <c r="AE119" s="239" t="s">
        <v>40351</v>
      </c>
      <c r="AF119" s="241">
        <f>SUM(Tabela96[[#This Row], [jan/26]:[dez/26]])</f>
      </c>
      <c r="AG119" s="240">
        <v>0</v>
      </c>
      <c r="AH119" s="240">
        <v>0</v>
      </c>
      <c r="AI119" s="240">
        <v>0</v>
      </c>
      <c r="AJ119" s="240">
        <v>0</v>
      </c>
      <c r="AK119" s="240">
        <f>SUM(Tabela96[[#This Row], [2026]:[2030]])</f>
      </c>
      <c r="AL119" s="240">
        <v>0</v>
      </c>
      <c r="AM119" s="240">
        <v>0</v>
      </c>
      <c r="AN119" s="240">
        <v>0</v>
      </c>
      <c r="AO119" s="240">
        <v>0</v>
      </c>
      <c r="AP119" s="240">
        <v>0</v>
      </c>
      <c r="AQ119" s="242">
        <f>SUM(Tabela96[[#This Row], [2026-2030]:[2035]])</f>
      </c>
      <c r="AR119" s="1"/>
      <c r="AS119" s="239" t="s">
        <v>40352</v>
      </c>
      <c r="AT119" s="243">
        <v>2024</v>
      </c>
      <c r="AU119" s="239" t="s">
        <v>40728</v>
      </c>
      <c r="AV119" s="246" t="s">
        <v>40683</v>
      </c>
      <c r="AW119" s="239" t="s">
        <v>46</v>
      </c>
      <c r="AX119" s="2"/>
      <c r="AY119" s="2"/>
      <c r="AZ119" s="239" t="s">
        <v>40448</v>
      </c>
    </row>
    <row x14ac:dyDescent="0.25" r="120" customHeight="1" ht="24.75">
      <c r="A120" s="1"/>
      <c r="B120" s="237">
        <f>AND(ISTEXT('Consolidado-Eletronorte'!#REF!),SUM('Consolidado-Eletronorte'!#REF!)&gt;0)</f>
      </c>
      <c r="C120" s="238">
        <f>$J$3</f>
      </c>
      <c r="D120" s="238">
        <f>$H$3</f>
      </c>
      <c r="E120" s="238">
        <f>$H$4</f>
      </c>
      <c r="F120" s="210"/>
      <c r="G120" s="238">
        <f>_xlfn.CONCAT('Consolidado-Eletronorte'!#REF!,"_",ROW('Consolidado-Eletronorte'!#REF!)-ROW('Consolidado-Eletronorte'!$G$18))</f>
      </c>
      <c r="H120" s="212" t="s">
        <v>10</v>
      </c>
      <c r="I120" s="212" t="s">
        <v>87</v>
      </c>
      <c r="J120" s="212" t="s">
        <v>5</v>
      </c>
      <c r="K120" s="213" t="s">
        <v>16</v>
      </c>
      <c r="L120" s="212" t="s">
        <v>67</v>
      </c>
      <c r="M120" s="239" t="s">
        <v>40729</v>
      </c>
      <c r="N120" s="212"/>
      <c r="O120" s="212"/>
      <c r="P120" s="212"/>
      <c r="Q120" s="239" t="s">
        <v>40730</v>
      </c>
      <c r="R120" s="239" t="s">
        <v>40680</v>
      </c>
      <c r="S120" s="239" t="s">
        <v>40681</v>
      </c>
      <c r="T120" s="240">
        <v>215</v>
      </c>
      <c r="U120" s="240">
        <v>215</v>
      </c>
      <c r="V120" s="240">
        <v>215</v>
      </c>
      <c r="W120" s="240">
        <v>215</v>
      </c>
      <c r="X120" s="240">
        <v>215</v>
      </c>
      <c r="Y120" s="240">
        <v>215</v>
      </c>
      <c r="Z120" s="240">
        <v>215</v>
      </c>
      <c r="AA120" s="240">
        <v>215</v>
      </c>
      <c r="AB120" s="240">
        <v>215</v>
      </c>
      <c r="AC120" s="239" t="s">
        <v>40351</v>
      </c>
      <c r="AD120" s="239" t="s">
        <v>40351</v>
      </c>
      <c r="AE120" s="239" t="s">
        <v>40351</v>
      </c>
      <c r="AF120" s="241">
        <f>SUM(Tabela96[[#This Row], [jan/26]:[dez/26]])</f>
      </c>
      <c r="AG120" s="240">
        <v>0</v>
      </c>
      <c r="AH120" s="240">
        <v>0</v>
      </c>
      <c r="AI120" s="240">
        <v>0</v>
      </c>
      <c r="AJ120" s="240">
        <v>0</v>
      </c>
      <c r="AK120" s="240">
        <f>SUM(Tabela96[[#This Row], [2026]:[2030]])</f>
      </c>
      <c r="AL120" s="240">
        <v>0</v>
      </c>
      <c r="AM120" s="240">
        <v>0</v>
      </c>
      <c r="AN120" s="240">
        <v>0</v>
      </c>
      <c r="AO120" s="240">
        <v>0</v>
      </c>
      <c r="AP120" s="240">
        <v>0</v>
      </c>
      <c r="AQ120" s="242">
        <f>SUM(Tabela96[[#This Row], [2026-2030]:[2035]])</f>
      </c>
      <c r="AR120" s="1"/>
      <c r="AS120" s="239" t="s">
        <v>40352</v>
      </c>
      <c r="AT120" s="243">
        <v>2024</v>
      </c>
      <c r="AU120" s="239" t="s">
        <v>40731</v>
      </c>
      <c r="AV120" s="3" t="s">
        <v>40683</v>
      </c>
      <c r="AW120" s="239" t="s">
        <v>46</v>
      </c>
      <c r="AX120" s="2"/>
      <c r="AY120" s="2"/>
      <c r="AZ120" s="239" t="s">
        <v>40448</v>
      </c>
    </row>
    <row x14ac:dyDescent="0.25" r="121" customHeight="1" ht="24.75">
      <c r="A121" s="1"/>
      <c r="B121" s="237">
        <f>AND(ISTEXT('Consolidado-Eletronorte'!#REF!),SUM('Consolidado-Eletronorte'!#REF!)&gt;0)</f>
      </c>
      <c r="C121" s="238">
        <f>$J$3</f>
      </c>
      <c r="D121" s="238">
        <f>$H$3</f>
      </c>
      <c r="E121" s="238">
        <f>$H$4</f>
      </c>
      <c r="F121" s="210"/>
      <c r="G121" s="238">
        <f>_xlfn.CONCAT('Consolidado-Eletronorte'!#REF!,"_",ROW('Consolidado-Eletronorte'!#REF!)-ROW('Consolidado-Eletronorte'!$G$18))</f>
      </c>
      <c r="H121" s="212" t="s">
        <v>10</v>
      </c>
      <c r="I121" s="212" t="s">
        <v>87</v>
      </c>
      <c r="J121" s="212" t="s">
        <v>5</v>
      </c>
      <c r="K121" s="213" t="s">
        <v>16</v>
      </c>
      <c r="L121" s="212" t="s">
        <v>67</v>
      </c>
      <c r="M121" s="239" t="s">
        <v>40732</v>
      </c>
      <c r="N121" s="212"/>
      <c r="O121" s="212"/>
      <c r="P121" s="212"/>
      <c r="Q121" s="239" t="s">
        <v>40733</v>
      </c>
      <c r="R121" s="239" t="s">
        <v>40680</v>
      </c>
      <c r="S121" s="239" t="s">
        <v>40681</v>
      </c>
      <c r="T121" s="240">
        <v>215</v>
      </c>
      <c r="U121" s="240">
        <v>215</v>
      </c>
      <c r="V121" s="240">
        <v>215</v>
      </c>
      <c r="W121" s="240">
        <v>215</v>
      </c>
      <c r="X121" s="240">
        <v>215</v>
      </c>
      <c r="Y121" s="240">
        <v>215</v>
      </c>
      <c r="Z121" s="240">
        <v>215</v>
      </c>
      <c r="AA121" s="240">
        <v>215</v>
      </c>
      <c r="AB121" s="240">
        <v>215</v>
      </c>
      <c r="AC121" s="239" t="s">
        <v>40351</v>
      </c>
      <c r="AD121" s="239" t="s">
        <v>40351</v>
      </c>
      <c r="AE121" s="239" t="s">
        <v>40351</v>
      </c>
      <c r="AF121" s="241">
        <f>SUM(Tabela96[[#This Row], [jan/26]:[dez/26]])</f>
      </c>
      <c r="AG121" s="240">
        <v>0</v>
      </c>
      <c r="AH121" s="240">
        <v>0</v>
      </c>
      <c r="AI121" s="240">
        <v>0</v>
      </c>
      <c r="AJ121" s="240">
        <v>0</v>
      </c>
      <c r="AK121" s="240">
        <f>SUM(Tabela96[[#This Row], [2026]:[2030]])</f>
      </c>
      <c r="AL121" s="240">
        <v>0</v>
      </c>
      <c r="AM121" s="240">
        <v>0</v>
      </c>
      <c r="AN121" s="240">
        <v>0</v>
      </c>
      <c r="AO121" s="240">
        <v>0</v>
      </c>
      <c r="AP121" s="240">
        <v>0</v>
      </c>
      <c r="AQ121" s="242">
        <f>SUM(Tabela96[[#This Row], [2026-2030]:[2035]])</f>
      </c>
      <c r="AR121" s="1"/>
      <c r="AS121" s="239" t="s">
        <v>40352</v>
      </c>
      <c r="AT121" s="243">
        <v>2024</v>
      </c>
      <c r="AU121" s="239" t="s">
        <v>40734</v>
      </c>
      <c r="AV121" s="246" t="s">
        <v>40683</v>
      </c>
      <c r="AW121" s="239" t="s">
        <v>46</v>
      </c>
      <c r="AX121" s="2"/>
      <c r="AY121" s="2"/>
      <c r="AZ121" s="239" t="s">
        <v>40448</v>
      </c>
    </row>
    <row x14ac:dyDescent="0.25" r="122" customHeight="1" ht="24.75">
      <c r="A122" s="1"/>
      <c r="B122" s="237">
        <f>AND(ISTEXT('Consolidado-Eletronorte'!#REF!),SUM('Consolidado-Eletronorte'!#REF!)&gt;0)</f>
      </c>
      <c r="C122" s="238">
        <f>$J$3</f>
      </c>
      <c r="D122" s="238">
        <f>$H$3</f>
      </c>
      <c r="E122" s="238">
        <f>$H$4</f>
      </c>
      <c r="F122" s="210"/>
      <c r="G122" s="238">
        <f>_xlfn.CONCAT('Consolidado-Eletronorte'!#REF!,"_",ROW('Consolidado-Eletronorte'!#REF!)-ROW('Consolidado-Eletronorte'!$G$18))</f>
      </c>
      <c r="H122" s="212" t="s">
        <v>10</v>
      </c>
      <c r="I122" s="212" t="s">
        <v>87</v>
      </c>
      <c r="J122" s="212" t="s">
        <v>5</v>
      </c>
      <c r="K122" s="213" t="s">
        <v>16</v>
      </c>
      <c r="L122" s="212" t="s">
        <v>67</v>
      </c>
      <c r="M122" s="239" t="s">
        <v>40735</v>
      </c>
      <c r="N122" s="212"/>
      <c r="O122" s="212"/>
      <c r="P122" s="212"/>
      <c r="Q122" s="239" t="s">
        <v>40736</v>
      </c>
      <c r="R122" s="239" t="s">
        <v>40680</v>
      </c>
      <c r="S122" s="239" t="s">
        <v>40681</v>
      </c>
      <c r="T122" s="240">
        <v>215</v>
      </c>
      <c r="U122" s="240">
        <v>215</v>
      </c>
      <c r="V122" s="240">
        <v>215</v>
      </c>
      <c r="W122" s="240">
        <v>215</v>
      </c>
      <c r="X122" s="240">
        <v>215</v>
      </c>
      <c r="Y122" s="240">
        <v>215</v>
      </c>
      <c r="Z122" s="240">
        <v>215</v>
      </c>
      <c r="AA122" s="240">
        <v>215</v>
      </c>
      <c r="AB122" s="240">
        <v>215</v>
      </c>
      <c r="AC122" s="239" t="s">
        <v>40351</v>
      </c>
      <c r="AD122" s="239" t="s">
        <v>40351</v>
      </c>
      <c r="AE122" s="239" t="s">
        <v>40351</v>
      </c>
      <c r="AF122" s="241">
        <f>SUM(Tabela96[[#This Row], [jan/26]:[dez/26]])</f>
      </c>
      <c r="AG122" s="240">
        <v>0</v>
      </c>
      <c r="AH122" s="240">
        <v>0</v>
      </c>
      <c r="AI122" s="240">
        <v>0</v>
      </c>
      <c r="AJ122" s="240">
        <v>0</v>
      </c>
      <c r="AK122" s="240">
        <f>SUM(Tabela96[[#This Row], [2026]:[2030]])</f>
      </c>
      <c r="AL122" s="240">
        <v>0</v>
      </c>
      <c r="AM122" s="240">
        <v>0</v>
      </c>
      <c r="AN122" s="240">
        <v>0</v>
      </c>
      <c r="AO122" s="240">
        <v>0</v>
      </c>
      <c r="AP122" s="240">
        <v>0</v>
      </c>
      <c r="AQ122" s="242">
        <f>SUM(Tabela96[[#This Row], [2026-2030]:[2035]])</f>
      </c>
      <c r="AR122" s="1"/>
      <c r="AS122" s="239" t="s">
        <v>40352</v>
      </c>
      <c r="AT122" s="243">
        <v>2024</v>
      </c>
      <c r="AU122" s="239" t="s">
        <v>40737</v>
      </c>
      <c r="AV122" s="3" t="s">
        <v>40683</v>
      </c>
      <c r="AW122" s="239" t="s">
        <v>46</v>
      </c>
      <c r="AX122" s="2"/>
      <c r="AY122" s="2"/>
      <c r="AZ122" s="239" t="s">
        <v>40448</v>
      </c>
    </row>
    <row x14ac:dyDescent="0.25" r="123" customHeight="1" ht="24.75">
      <c r="A123" s="1"/>
      <c r="B123" s="237">
        <f>AND(ISTEXT('Consolidado-Eletronorte'!#REF!),SUM('Consolidado-Eletronorte'!#REF!)&gt;0)</f>
      </c>
      <c r="C123" s="238">
        <f>$J$3</f>
      </c>
      <c r="D123" s="238">
        <f>$H$3</f>
      </c>
      <c r="E123" s="238">
        <f>$H$4</f>
      </c>
      <c r="F123" s="210"/>
      <c r="G123" s="238">
        <f>_xlfn.CONCAT('Consolidado-Eletronorte'!#REF!,"_",ROW('Consolidado-Eletronorte'!#REF!)-ROW('Consolidado-Eletronorte'!$G$18))</f>
      </c>
      <c r="H123" s="212" t="s">
        <v>10</v>
      </c>
      <c r="I123" s="212" t="s">
        <v>87</v>
      </c>
      <c r="J123" s="212" t="s">
        <v>5</v>
      </c>
      <c r="K123" s="213" t="s">
        <v>16</v>
      </c>
      <c r="L123" s="212" t="s">
        <v>67</v>
      </c>
      <c r="M123" s="239" t="s">
        <v>40738</v>
      </c>
      <c r="N123" s="212"/>
      <c r="O123" s="212"/>
      <c r="P123" s="212"/>
      <c r="Q123" s="239" t="s">
        <v>40739</v>
      </c>
      <c r="R123" s="239" t="s">
        <v>40680</v>
      </c>
      <c r="S123" s="239" t="s">
        <v>40681</v>
      </c>
      <c r="T123" s="240">
        <v>215</v>
      </c>
      <c r="U123" s="240">
        <v>215</v>
      </c>
      <c r="V123" s="240">
        <v>215</v>
      </c>
      <c r="W123" s="240">
        <v>215</v>
      </c>
      <c r="X123" s="240">
        <v>215</v>
      </c>
      <c r="Y123" s="240">
        <v>215</v>
      </c>
      <c r="Z123" s="240">
        <v>215</v>
      </c>
      <c r="AA123" s="240">
        <v>215</v>
      </c>
      <c r="AB123" s="240">
        <v>215</v>
      </c>
      <c r="AC123" s="239" t="s">
        <v>40351</v>
      </c>
      <c r="AD123" s="239" t="s">
        <v>40351</v>
      </c>
      <c r="AE123" s="239" t="s">
        <v>40351</v>
      </c>
      <c r="AF123" s="241">
        <f>SUM(Tabela96[[#This Row], [jan/26]:[dez/26]])</f>
      </c>
      <c r="AG123" s="240">
        <v>0</v>
      </c>
      <c r="AH123" s="240">
        <v>0</v>
      </c>
      <c r="AI123" s="240">
        <v>0</v>
      </c>
      <c r="AJ123" s="240">
        <v>0</v>
      </c>
      <c r="AK123" s="240">
        <f>SUM(Tabela96[[#This Row], [2026]:[2030]])</f>
      </c>
      <c r="AL123" s="240">
        <v>0</v>
      </c>
      <c r="AM123" s="240">
        <v>0</v>
      </c>
      <c r="AN123" s="240">
        <v>0</v>
      </c>
      <c r="AO123" s="240">
        <v>0</v>
      </c>
      <c r="AP123" s="240">
        <v>0</v>
      </c>
      <c r="AQ123" s="242">
        <f>SUM(Tabela96[[#This Row], [2026-2030]:[2035]])</f>
      </c>
      <c r="AR123" s="1"/>
      <c r="AS123" s="239" t="s">
        <v>40352</v>
      </c>
      <c r="AT123" s="243">
        <v>2024</v>
      </c>
      <c r="AU123" s="239" t="s">
        <v>40740</v>
      </c>
      <c r="AV123" s="246" t="s">
        <v>40683</v>
      </c>
      <c r="AW123" s="239" t="s">
        <v>46</v>
      </c>
      <c r="AX123" s="2"/>
      <c r="AY123" s="2"/>
      <c r="AZ123" s="239" t="s">
        <v>40448</v>
      </c>
    </row>
    <row x14ac:dyDescent="0.25" r="124" customHeight="1" ht="24.75">
      <c r="A124" s="1"/>
      <c r="B124" s="237">
        <f>AND(ISTEXT('Consolidado-Eletronorte'!#REF!),SUM('Consolidado-Eletronorte'!#REF!)&gt;0)</f>
      </c>
      <c r="C124" s="238">
        <f>$J$3</f>
      </c>
      <c r="D124" s="238">
        <f>$H$3</f>
      </c>
      <c r="E124" s="238">
        <f>$H$4</f>
      </c>
      <c r="F124" s="210"/>
      <c r="G124" s="238">
        <f>_xlfn.CONCAT('Consolidado-Eletronorte'!#REF!,"_",ROW('Consolidado-Eletronorte'!#REF!)-ROW('Consolidado-Eletronorte'!$G$18))</f>
      </c>
      <c r="H124" s="212" t="s">
        <v>10</v>
      </c>
      <c r="I124" s="212" t="s">
        <v>87</v>
      </c>
      <c r="J124" s="212" t="s">
        <v>5</v>
      </c>
      <c r="K124" s="213" t="s">
        <v>16</v>
      </c>
      <c r="L124" s="212" t="s">
        <v>67</v>
      </c>
      <c r="M124" s="239" t="s">
        <v>40741</v>
      </c>
      <c r="N124" s="212"/>
      <c r="O124" s="212"/>
      <c r="P124" s="212"/>
      <c r="Q124" s="239" t="s">
        <v>40742</v>
      </c>
      <c r="R124" s="239" t="s">
        <v>40680</v>
      </c>
      <c r="S124" s="239" t="s">
        <v>40681</v>
      </c>
      <c r="T124" s="240">
        <v>215</v>
      </c>
      <c r="U124" s="240">
        <v>215</v>
      </c>
      <c r="V124" s="240">
        <v>215</v>
      </c>
      <c r="W124" s="240">
        <v>215</v>
      </c>
      <c r="X124" s="240">
        <v>215</v>
      </c>
      <c r="Y124" s="240">
        <v>215</v>
      </c>
      <c r="Z124" s="240">
        <v>215</v>
      </c>
      <c r="AA124" s="240">
        <v>215</v>
      </c>
      <c r="AB124" s="240">
        <v>215</v>
      </c>
      <c r="AC124" s="239" t="s">
        <v>40351</v>
      </c>
      <c r="AD124" s="239" t="s">
        <v>40351</v>
      </c>
      <c r="AE124" s="239" t="s">
        <v>40351</v>
      </c>
      <c r="AF124" s="241">
        <f>SUM(Tabela96[[#This Row], [jan/26]:[dez/26]])</f>
      </c>
      <c r="AG124" s="240">
        <v>0</v>
      </c>
      <c r="AH124" s="240">
        <v>0</v>
      </c>
      <c r="AI124" s="240">
        <v>0</v>
      </c>
      <c r="AJ124" s="240">
        <v>0</v>
      </c>
      <c r="AK124" s="240">
        <f>SUM(Tabela96[[#This Row], [2026]:[2030]])</f>
      </c>
      <c r="AL124" s="240">
        <v>0</v>
      </c>
      <c r="AM124" s="240">
        <v>0</v>
      </c>
      <c r="AN124" s="240">
        <v>0</v>
      </c>
      <c r="AO124" s="240">
        <v>0</v>
      </c>
      <c r="AP124" s="240">
        <v>0</v>
      </c>
      <c r="AQ124" s="242">
        <f>SUM(Tabela96[[#This Row], [2026-2030]:[2035]])</f>
      </c>
      <c r="AR124" s="1"/>
      <c r="AS124" s="239" t="s">
        <v>40352</v>
      </c>
      <c r="AT124" s="243">
        <v>2024</v>
      </c>
      <c r="AU124" s="239" t="s">
        <v>40743</v>
      </c>
      <c r="AV124" s="3" t="s">
        <v>40683</v>
      </c>
      <c r="AW124" s="239" t="s">
        <v>46</v>
      </c>
      <c r="AX124" s="2"/>
      <c r="AY124" s="2"/>
      <c r="AZ124" s="239" t="s">
        <v>40448</v>
      </c>
    </row>
    <row x14ac:dyDescent="0.25" r="125" customHeight="1" ht="24.75">
      <c r="A125" s="1"/>
      <c r="B125" s="237">
        <f>AND(ISTEXT('Consolidado-Eletronorte'!#REF!),SUM('Consolidado-Eletronorte'!#REF!)&gt;0)</f>
      </c>
      <c r="C125" s="238">
        <f>$J$3</f>
      </c>
      <c r="D125" s="238">
        <f>$H$3</f>
      </c>
      <c r="E125" s="238">
        <f>$H$4</f>
      </c>
      <c r="F125" s="210"/>
      <c r="G125" s="238">
        <f>_xlfn.CONCAT('Consolidado-Eletronorte'!#REF!,"_",ROW('Consolidado-Eletronorte'!#REF!)-ROW('Consolidado-Eletronorte'!$G$18))</f>
      </c>
      <c r="H125" s="212" t="s">
        <v>10</v>
      </c>
      <c r="I125" s="212" t="s">
        <v>87</v>
      </c>
      <c r="J125" s="212" t="s">
        <v>5</v>
      </c>
      <c r="K125" s="213" t="s">
        <v>16</v>
      </c>
      <c r="L125" s="212" t="s">
        <v>67</v>
      </c>
      <c r="M125" s="239" t="s">
        <v>40744</v>
      </c>
      <c r="N125" s="212"/>
      <c r="O125" s="212"/>
      <c r="P125" s="212"/>
      <c r="Q125" s="239" t="s">
        <v>40745</v>
      </c>
      <c r="R125" s="239" t="s">
        <v>40680</v>
      </c>
      <c r="S125" s="239" t="s">
        <v>40681</v>
      </c>
      <c r="T125" s="240">
        <v>215</v>
      </c>
      <c r="U125" s="240">
        <v>215</v>
      </c>
      <c r="V125" s="240">
        <v>215</v>
      </c>
      <c r="W125" s="240">
        <v>215</v>
      </c>
      <c r="X125" s="240">
        <v>215</v>
      </c>
      <c r="Y125" s="240">
        <v>215</v>
      </c>
      <c r="Z125" s="240">
        <v>215</v>
      </c>
      <c r="AA125" s="240">
        <v>215</v>
      </c>
      <c r="AB125" s="240">
        <v>215</v>
      </c>
      <c r="AC125" s="239" t="s">
        <v>40351</v>
      </c>
      <c r="AD125" s="239" t="s">
        <v>40351</v>
      </c>
      <c r="AE125" s="239" t="s">
        <v>40351</v>
      </c>
      <c r="AF125" s="241">
        <f>SUM(Tabela96[[#This Row], [jan/26]:[dez/26]])</f>
      </c>
      <c r="AG125" s="240">
        <v>0</v>
      </c>
      <c r="AH125" s="240">
        <v>0</v>
      </c>
      <c r="AI125" s="240">
        <v>0</v>
      </c>
      <c r="AJ125" s="240">
        <v>0</v>
      </c>
      <c r="AK125" s="240">
        <f>SUM(Tabela96[[#This Row], [2026]:[2030]])</f>
      </c>
      <c r="AL125" s="240">
        <v>0</v>
      </c>
      <c r="AM125" s="240">
        <v>0</v>
      </c>
      <c r="AN125" s="240">
        <v>0</v>
      </c>
      <c r="AO125" s="240">
        <v>0</v>
      </c>
      <c r="AP125" s="240">
        <v>0</v>
      </c>
      <c r="AQ125" s="242">
        <f>SUM(Tabela96[[#This Row], [2026-2030]:[2035]])</f>
      </c>
      <c r="AR125" s="1"/>
      <c r="AS125" s="239" t="s">
        <v>40352</v>
      </c>
      <c r="AT125" s="243">
        <v>2024</v>
      </c>
      <c r="AU125" s="239" t="s">
        <v>40746</v>
      </c>
      <c r="AV125" s="246" t="s">
        <v>40683</v>
      </c>
      <c r="AW125" s="239" t="s">
        <v>46</v>
      </c>
      <c r="AX125" s="2"/>
      <c r="AY125" s="2"/>
      <c r="AZ125" s="239" t="s">
        <v>40448</v>
      </c>
    </row>
    <row x14ac:dyDescent="0.25" r="126" customHeight="1" ht="24.75">
      <c r="A126" s="1"/>
      <c r="B126" s="237">
        <f>AND(ISTEXT('Consolidado-Eletronorte'!#REF!),SUM('Consolidado-Eletronorte'!#REF!)&gt;0)</f>
      </c>
      <c r="C126" s="238">
        <f>$J$3</f>
      </c>
      <c r="D126" s="238">
        <f>$H$3</f>
      </c>
      <c r="E126" s="238">
        <f>$H$4</f>
      </c>
      <c r="F126" s="210"/>
      <c r="G126" s="238">
        <f>_xlfn.CONCAT('Consolidado-Eletronorte'!#REF!,"_",ROW('Consolidado-Eletronorte'!#REF!)-ROW('Consolidado-Eletronorte'!$G$18))</f>
      </c>
      <c r="H126" s="212" t="s">
        <v>10</v>
      </c>
      <c r="I126" s="212" t="s">
        <v>87</v>
      </c>
      <c r="J126" s="212" t="s">
        <v>5</v>
      </c>
      <c r="K126" s="213" t="s">
        <v>16</v>
      </c>
      <c r="L126" s="212" t="s">
        <v>67</v>
      </c>
      <c r="M126" s="239" t="s">
        <v>40747</v>
      </c>
      <c r="N126" s="212"/>
      <c r="O126" s="212"/>
      <c r="P126" s="212"/>
      <c r="Q126" s="239" t="s">
        <v>40748</v>
      </c>
      <c r="R126" s="239" t="s">
        <v>40680</v>
      </c>
      <c r="S126" s="239" t="s">
        <v>40681</v>
      </c>
      <c r="T126" s="240">
        <v>215</v>
      </c>
      <c r="U126" s="240">
        <v>215</v>
      </c>
      <c r="V126" s="240">
        <v>215</v>
      </c>
      <c r="W126" s="240">
        <v>215</v>
      </c>
      <c r="X126" s="240">
        <v>215</v>
      </c>
      <c r="Y126" s="240">
        <v>215</v>
      </c>
      <c r="Z126" s="240">
        <v>215</v>
      </c>
      <c r="AA126" s="240">
        <v>215</v>
      </c>
      <c r="AB126" s="240">
        <v>215</v>
      </c>
      <c r="AC126" s="239" t="s">
        <v>40351</v>
      </c>
      <c r="AD126" s="239" t="s">
        <v>40351</v>
      </c>
      <c r="AE126" s="239" t="s">
        <v>40351</v>
      </c>
      <c r="AF126" s="241">
        <f>SUM(Tabela96[[#This Row], [jan/26]:[dez/26]])</f>
      </c>
      <c r="AG126" s="240">
        <v>0</v>
      </c>
      <c r="AH126" s="240">
        <v>0</v>
      </c>
      <c r="AI126" s="240">
        <v>0</v>
      </c>
      <c r="AJ126" s="240">
        <v>0</v>
      </c>
      <c r="AK126" s="240">
        <f>SUM(Tabela96[[#This Row], [2026]:[2030]])</f>
      </c>
      <c r="AL126" s="240">
        <v>0</v>
      </c>
      <c r="AM126" s="240">
        <v>0</v>
      </c>
      <c r="AN126" s="240">
        <v>0</v>
      </c>
      <c r="AO126" s="240">
        <v>0</v>
      </c>
      <c r="AP126" s="240">
        <v>0</v>
      </c>
      <c r="AQ126" s="242">
        <f>SUM(Tabela96[[#This Row], [2026-2030]:[2035]])</f>
      </c>
      <c r="AR126" s="1"/>
      <c r="AS126" s="239" t="s">
        <v>40352</v>
      </c>
      <c r="AT126" s="243">
        <v>2024</v>
      </c>
      <c r="AU126" s="239" t="s">
        <v>40749</v>
      </c>
      <c r="AV126" s="3" t="s">
        <v>40683</v>
      </c>
      <c r="AW126" s="239" t="s">
        <v>46</v>
      </c>
      <c r="AX126" s="2"/>
      <c r="AY126" s="2"/>
      <c r="AZ126" s="239" t="s">
        <v>40448</v>
      </c>
    </row>
    <row x14ac:dyDescent="0.25" r="127" customHeight="1" ht="24.75">
      <c r="A127" s="1"/>
      <c r="B127" s="237">
        <f>AND(ISTEXT('Consolidado-Eletronorte'!#REF!),SUM('Consolidado-Eletronorte'!#REF!)&gt;0)</f>
      </c>
      <c r="C127" s="238">
        <f>$J$3</f>
      </c>
      <c r="D127" s="238">
        <f>$H$3</f>
      </c>
      <c r="E127" s="238">
        <f>$H$4</f>
      </c>
      <c r="F127" s="210"/>
      <c r="G127" s="238">
        <f>_xlfn.CONCAT('Consolidado-Eletronorte'!#REF!,"_",ROW('Consolidado-Eletronorte'!#REF!)-ROW('Consolidado-Eletronorte'!$G$18))</f>
      </c>
      <c r="H127" s="212" t="s">
        <v>10</v>
      </c>
      <c r="I127" s="212" t="s">
        <v>87</v>
      </c>
      <c r="J127" s="212" t="s">
        <v>5</v>
      </c>
      <c r="K127" s="213" t="s">
        <v>16</v>
      </c>
      <c r="L127" s="212" t="s">
        <v>67</v>
      </c>
      <c r="M127" s="239" t="s">
        <v>40750</v>
      </c>
      <c r="N127" s="212"/>
      <c r="O127" s="212"/>
      <c r="P127" s="212"/>
      <c r="Q127" s="239" t="s">
        <v>40751</v>
      </c>
      <c r="R127" s="239" t="s">
        <v>40680</v>
      </c>
      <c r="S127" s="239" t="s">
        <v>40752</v>
      </c>
      <c r="T127" s="240">
        <v>215</v>
      </c>
      <c r="U127" s="240">
        <v>215</v>
      </c>
      <c r="V127" s="240">
        <v>215</v>
      </c>
      <c r="W127" s="240">
        <v>215</v>
      </c>
      <c r="X127" s="240">
        <v>215</v>
      </c>
      <c r="Y127" s="240">
        <v>215</v>
      </c>
      <c r="Z127" s="240">
        <v>215</v>
      </c>
      <c r="AA127" s="240">
        <v>215</v>
      </c>
      <c r="AB127" s="240">
        <v>215</v>
      </c>
      <c r="AC127" s="239" t="s">
        <v>40351</v>
      </c>
      <c r="AD127" s="239" t="s">
        <v>40351</v>
      </c>
      <c r="AE127" s="239" t="s">
        <v>40351</v>
      </c>
      <c r="AF127" s="241">
        <f>SUM(Tabela96[[#This Row], [jan/26]:[dez/26]])</f>
      </c>
      <c r="AG127" s="240">
        <v>0</v>
      </c>
      <c r="AH127" s="240">
        <v>0</v>
      </c>
      <c r="AI127" s="240">
        <v>0</v>
      </c>
      <c r="AJ127" s="240">
        <v>0</v>
      </c>
      <c r="AK127" s="240">
        <f>SUM(Tabela96[[#This Row], [2026]:[2030]])</f>
      </c>
      <c r="AL127" s="240">
        <v>0</v>
      </c>
      <c r="AM127" s="240">
        <v>0</v>
      </c>
      <c r="AN127" s="240">
        <v>0</v>
      </c>
      <c r="AO127" s="240">
        <v>0</v>
      </c>
      <c r="AP127" s="240">
        <v>0</v>
      </c>
      <c r="AQ127" s="242">
        <f>SUM(Tabela96[[#This Row], [2026-2030]:[2035]])</f>
      </c>
      <c r="AR127" s="1"/>
      <c r="AS127" s="239" t="s">
        <v>40352</v>
      </c>
      <c r="AT127" s="243">
        <v>2024</v>
      </c>
      <c r="AU127" s="239" t="s">
        <v>40753</v>
      </c>
      <c r="AV127" s="246" t="s">
        <v>40754</v>
      </c>
      <c r="AW127" s="239" t="s">
        <v>46</v>
      </c>
      <c r="AX127" s="2"/>
      <c r="AY127" s="2"/>
      <c r="AZ127" s="239" t="s">
        <v>40448</v>
      </c>
    </row>
    <row x14ac:dyDescent="0.25" r="128" customHeight="1" ht="24.75">
      <c r="A128" s="1"/>
      <c r="B128" s="237">
        <f>AND(ISTEXT('Consolidado-Eletronorte'!#REF!),SUM('Consolidado-Eletronorte'!#REF!)&gt;0)</f>
      </c>
      <c r="C128" s="238">
        <f>$J$3</f>
      </c>
      <c r="D128" s="238">
        <f>$H$3</f>
      </c>
      <c r="E128" s="238">
        <f>$H$4</f>
      </c>
      <c r="F128" s="210"/>
      <c r="G128" s="238">
        <f>_xlfn.CONCAT('Consolidado-Eletronorte'!#REF!,"_",ROW('Consolidado-Eletronorte'!#REF!)-ROW('Consolidado-Eletronorte'!$G$18))</f>
      </c>
      <c r="H128" s="212" t="s">
        <v>10</v>
      </c>
      <c r="I128" s="212" t="s">
        <v>87</v>
      </c>
      <c r="J128" s="212" t="s">
        <v>5</v>
      </c>
      <c r="K128" s="213" t="s">
        <v>16</v>
      </c>
      <c r="L128" s="212" t="s">
        <v>67</v>
      </c>
      <c r="M128" s="239" t="s">
        <v>40755</v>
      </c>
      <c r="N128" s="212"/>
      <c r="O128" s="212"/>
      <c r="P128" s="212"/>
      <c r="Q128" s="239" t="s">
        <v>40756</v>
      </c>
      <c r="R128" s="239" t="s">
        <v>40680</v>
      </c>
      <c r="S128" s="239" t="s">
        <v>40752</v>
      </c>
      <c r="T128" s="240">
        <v>215</v>
      </c>
      <c r="U128" s="240">
        <v>215</v>
      </c>
      <c r="V128" s="240">
        <v>215</v>
      </c>
      <c r="W128" s="240">
        <v>215</v>
      </c>
      <c r="X128" s="240">
        <v>215</v>
      </c>
      <c r="Y128" s="240">
        <v>215</v>
      </c>
      <c r="Z128" s="240">
        <v>215</v>
      </c>
      <c r="AA128" s="240">
        <v>215</v>
      </c>
      <c r="AB128" s="240">
        <v>215</v>
      </c>
      <c r="AC128" s="239" t="s">
        <v>40351</v>
      </c>
      <c r="AD128" s="239" t="s">
        <v>40351</v>
      </c>
      <c r="AE128" s="239" t="s">
        <v>40351</v>
      </c>
      <c r="AF128" s="241">
        <f>SUM(Tabela96[[#This Row], [jan/26]:[dez/26]])</f>
      </c>
      <c r="AG128" s="240">
        <v>0</v>
      </c>
      <c r="AH128" s="240">
        <v>0</v>
      </c>
      <c r="AI128" s="240">
        <v>0</v>
      </c>
      <c r="AJ128" s="240">
        <v>0</v>
      </c>
      <c r="AK128" s="240">
        <f>SUM(Tabela96[[#This Row], [2026]:[2030]])</f>
      </c>
      <c r="AL128" s="240">
        <v>0</v>
      </c>
      <c r="AM128" s="240">
        <v>0</v>
      </c>
      <c r="AN128" s="240">
        <v>0</v>
      </c>
      <c r="AO128" s="240">
        <v>0</v>
      </c>
      <c r="AP128" s="240">
        <v>0</v>
      </c>
      <c r="AQ128" s="242">
        <f>SUM(Tabela96[[#This Row], [2026-2030]:[2035]])</f>
      </c>
      <c r="AR128" s="1"/>
      <c r="AS128" s="239" t="s">
        <v>40352</v>
      </c>
      <c r="AT128" s="243">
        <v>2024</v>
      </c>
      <c r="AU128" s="239" t="s">
        <v>40757</v>
      </c>
      <c r="AV128" s="246" t="s">
        <v>40754</v>
      </c>
      <c r="AW128" s="239" t="s">
        <v>46</v>
      </c>
      <c r="AX128" s="2"/>
      <c r="AY128" s="2"/>
      <c r="AZ128" s="239" t="s">
        <v>40448</v>
      </c>
    </row>
    <row x14ac:dyDescent="0.25" r="129" customHeight="1" ht="24.75">
      <c r="A129" s="1"/>
      <c r="B129" s="237">
        <f>AND(ISTEXT('Consolidado-Eletronorte'!#REF!),SUM('Consolidado-Eletronorte'!#REF!)&gt;0)</f>
      </c>
      <c r="C129" s="238">
        <f>$J$3</f>
      </c>
      <c r="D129" s="238">
        <f>$H$3</f>
      </c>
      <c r="E129" s="238">
        <f>$H$4</f>
      </c>
      <c r="F129" s="210"/>
      <c r="G129" s="238">
        <f>_xlfn.CONCAT('Consolidado-Eletronorte'!#REF!,"_",ROW('Consolidado-Eletronorte'!#REF!)-ROW('Consolidado-Eletronorte'!$G$18))</f>
      </c>
      <c r="H129" s="212" t="s">
        <v>10</v>
      </c>
      <c r="I129" s="212" t="s">
        <v>87</v>
      </c>
      <c r="J129" s="212" t="s">
        <v>5</v>
      </c>
      <c r="K129" s="213" t="s">
        <v>16</v>
      </c>
      <c r="L129" s="212" t="s">
        <v>67</v>
      </c>
      <c r="M129" s="239" t="s">
        <v>40758</v>
      </c>
      <c r="N129" s="212"/>
      <c r="O129" s="212"/>
      <c r="P129" s="212"/>
      <c r="Q129" s="239" t="s">
        <v>40759</v>
      </c>
      <c r="R129" s="239" t="s">
        <v>40680</v>
      </c>
      <c r="S129" s="239" t="s">
        <v>40752</v>
      </c>
      <c r="T129" s="240">
        <v>215</v>
      </c>
      <c r="U129" s="240">
        <v>215</v>
      </c>
      <c r="V129" s="240">
        <v>215</v>
      </c>
      <c r="W129" s="240">
        <v>215</v>
      </c>
      <c r="X129" s="240">
        <v>215</v>
      </c>
      <c r="Y129" s="240">
        <v>215</v>
      </c>
      <c r="Z129" s="240">
        <v>215</v>
      </c>
      <c r="AA129" s="240">
        <v>215</v>
      </c>
      <c r="AB129" s="240">
        <v>215</v>
      </c>
      <c r="AC129" s="239" t="s">
        <v>40351</v>
      </c>
      <c r="AD129" s="239" t="s">
        <v>40351</v>
      </c>
      <c r="AE129" s="239" t="s">
        <v>40351</v>
      </c>
      <c r="AF129" s="241">
        <f>SUM(Tabela96[[#This Row], [jan/26]:[dez/26]])</f>
      </c>
      <c r="AG129" s="240">
        <v>0</v>
      </c>
      <c r="AH129" s="240">
        <v>0</v>
      </c>
      <c r="AI129" s="240">
        <v>0</v>
      </c>
      <c r="AJ129" s="240">
        <v>0</v>
      </c>
      <c r="AK129" s="240">
        <f>SUM(Tabela96[[#This Row], [2026]:[2030]])</f>
      </c>
      <c r="AL129" s="240">
        <v>0</v>
      </c>
      <c r="AM129" s="240">
        <v>0</v>
      </c>
      <c r="AN129" s="240">
        <v>0</v>
      </c>
      <c r="AO129" s="240">
        <v>0</v>
      </c>
      <c r="AP129" s="240">
        <v>0</v>
      </c>
      <c r="AQ129" s="242">
        <f>SUM(Tabela96[[#This Row], [2026-2030]:[2035]])</f>
      </c>
      <c r="AR129" s="1"/>
      <c r="AS129" s="239" t="s">
        <v>40352</v>
      </c>
      <c r="AT129" s="243">
        <v>2024</v>
      </c>
      <c r="AU129" s="239" t="s">
        <v>40760</v>
      </c>
      <c r="AV129" s="246" t="s">
        <v>40754</v>
      </c>
      <c r="AW129" s="239" t="s">
        <v>46</v>
      </c>
      <c r="AX129" s="2"/>
      <c r="AY129" s="2"/>
      <c r="AZ129" s="239" t="s">
        <v>40448</v>
      </c>
    </row>
    <row x14ac:dyDescent="0.25" r="130" customHeight="1" ht="24.75">
      <c r="A130" s="1"/>
      <c r="B130" s="237">
        <f>AND(ISTEXT('Consolidado-Eletronorte'!#REF!),SUM('Consolidado-Eletronorte'!#REF!)&gt;0)</f>
      </c>
      <c r="C130" s="238">
        <f>$J$3</f>
      </c>
      <c r="D130" s="238">
        <f>$H$3</f>
      </c>
      <c r="E130" s="238">
        <f>$H$4</f>
      </c>
      <c r="F130" s="210"/>
      <c r="G130" s="238">
        <f>_xlfn.CONCAT('Consolidado-Eletronorte'!#REF!,"_",ROW('Consolidado-Eletronorte'!#REF!)-ROW('Consolidado-Eletronorte'!$G$18))</f>
      </c>
      <c r="H130" s="212" t="s">
        <v>10</v>
      </c>
      <c r="I130" s="212" t="s">
        <v>87</v>
      </c>
      <c r="J130" s="212" t="s">
        <v>5</v>
      </c>
      <c r="K130" s="213" t="s">
        <v>16</v>
      </c>
      <c r="L130" s="212" t="s">
        <v>67</v>
      </c>
      <c r="M130" s="239" t="s">
        <v>40761</v>
      </c>
      <c r="N130" s="212"/>
      <c r="O130" s="212"/>
      <c r="P130" s="212"/>
      <c r="Q130" s="239" t="s">
        <v>40762</v>
      </c>
      <c r="R130" s="239" t="s">
        <v>40680</v>
      </c>
      <c r="S130" s="239" t="s">
        <v>40752</v>
      </c>
      <c r="T130" s="240">
        <v>215</v>
      </c>
      <c r="U130" s="240">
        <v>215</v>
      </c>
      <c r="V130" s="240">
        <v>215</v>
      </c>
      <c r="W130" s="240">
        <v>215</v>
      </c>
      <c r="X130" s="240">
        <v>215</v>
      </c>
      <c r="Y130" s="240">
        <v>215</v>
      </c>
      <c r="Z130" s="240">
        <v>215</v>
      </c>
      <c r="AA130" s="240">
        <v>215</v>
      </c>
      <c r="AB130" s="240">
        <v>215</v>
      </c>
      <c r="AC130" s="239" t="s">
        <v>40351</v>
      </c>
      <c r="AD130" s="239" t="s">
        <v>40351</v>
      </c>
      <c r="AE130" s="239" t="s">
        <v>40351</v>
      </c>
      <c r="AF130" s="241">
        <f>SUM(Tabela96[[#This Row], [jan/26]:[dez/26]])</f>
      </c>
      <c r="AG130" s="240">
        <v>0</v>
      </c>
      <c r="AH130" s="240">
        <v>0</v>
      </c>
      <c r="AI130" s="240">
        <v>0</v>
      </c>
      <c r="AJ130" s="240">
        <v>0</v>
      </c>
      <c r="AK130" s="240">
        <f>SUM(Tabela96[[#This Row], [2026]:[2030]])</f>
      </c>
      <c r="AL130" s="240">
        <v>0</v>
      </c>
      <c r="AM130" s="240">
        <v>0</v>
      </c>
      <c r="AN130" s="240">
        <v>0</v>
      </c>
      <c r="AO130" s="240">
        <v>0</v>
      </c>
      <c r="AP130" s="240">
        <v>0</v>
      </c>
      <c r="AQ130" s="242">
        <f>SUM(Tabela96[[#This Row], [2026-2030]:[2035]])</f>
      </c>
      <c r="AR130" s="1"/>
      <c r="AS130" s="239" t="s">
        <v>40352</v>
      </c>
      <c r="AT130" s="243">
        <v>2024</v>
      </c>
      <c r="AU130" s="239" t="s">
        <v>40763</v>
      </c>
      <c r="AV130" s="246" t="s">
        <v>40754</v>
      </c>
      <c r="AW130" s="239" t="s">
        <v>46</v>
      </c>
      <c r="AX130" s="2"/>
      <c r="AY130" s="2"/>
      <c r="AZ130" s="239" t="s">
        <v>40448</v>
      </c>
    </row>
    <row x14ac:dyDescent="0.25" r="131" customHeight="1" ht="24.75">
      <c r="A131" s="1"/>
      <c r="B131" s="237">
        <f>AND(ISTEXT('Consolidado-Eletronorte'!#REF!),SUM('Consolidado-Eletronorte'!#REF!)&gt;0)</f>
      </c>
      <c r="C131" s="238">
        <f>$J$3</f>
      </c>
      <c r="D131" s="238">
        <f>$H$3</f>
      </c>
      <c r="E131" s="238">
        <f>$H$4</f>
      </c>
      <c r="F131" s="210"/>
      <c r="G131" s="238">
        <f>_xlfn.CONCAT('Consolidado-Eletronorte'!#REF!,"_",ROW('Consolidado-Eletronorte'!#REF!)-ROW('Consolidado-Eletronorte'!$G$18))</f>
      </c>
      <c r="H131" s="212" t="s">
        <v>10</v>
      </c>
      <c r="I131" s="212" t="s">
        <v>87</v>
      </c>
      <c r="J131" s="212" t="s">
        <v>5</v>
      </c>
      <c r="K131" s="213" t="s">
        <v>16</v>
      </c>
      <c r="L131" s="212" t="s">
        <v>67</v>
      </c>
      <c r="M131" s="239" t="s">
        <v>40764</v>
      </c>
      <c r="N131" s="212"/>
      <c r="O131" s="212"/>
      <c r="P131" s="212"/>
      <c r="Q131" s="239" t="s">
        <v>40765</v>
      </c>
      <c r="R131" s="239" t="s">
        <v>40680</v>
      </c>
      <c r="S131" s="239" t="s">
        <v>40752</v>
      </c>
      <c r="T131" s="240">
        <v>215</v>
      </c>
      <c r="U131" s="240">
        <v>215</v>
      </c>
      <c r="V131" s="240">
        <v>215</v>
      </c>
      <c r="W131" s="240">
        <v>215</v>
      </c>
      <c r="X131" s="240">
        <v>215</v>
      </c>
      <c r="Y131" s="240">
        <v>215</v>
      </c>
      <c r="Z131" s="240">
        <v>215</v>
      </c>
      <c r="AA131" s="240">
        <v>215</v>
      </c>
      <c r="AB131" s="240">
        <v>215</v>
      </c>
      <c r="AC131" s="239" t="s">
        <v>40351</v>
      </c>
      <c r="AD131" s="239" t="s">
        <v>40351</v>
      </c>
      <c r="AE131" s="239" t="s">
        <v>40351</v>
      </c>
      <c r="AF131" s="241">
        <f>SUM(Tabela96[[#This Row], [jan/26]:[dez/26]])</f>
      </c>
      <c r="AG131" s="240">
        <v>0</v>
      </c>
      <c r="AH131" s="240">
        <v>0</v>
      </c>
      <c r="AI131" s="240">
        <v>0</v>
      </c>
      <c r="AJ131" s="240">
        <v>0</v>
      </c>
      <c r="AK131" s="240">
        <f>SUM(Tabela96[[#This Row], [2026]:[2030]])</f>
      </c>
      <c r="AL131" s="240">
        <v>0</v>
      </c>
      <c r="AM131" s="240">
        <v>0</v>
      </c>
      <c r="AN131" s="240">
        <v>0</v>
      </c>
      <c r="AO131" s="240">
        <v>0</v>
      </c>
      <c r="AP131" s="240">
        <v>0</v>
      </c>
      <c r="AQ131" s="242">
        <f>SUM(Tabela96[[#This Row], [2026-2030]:[2035]])</f>
      </c>
      <c r="AR131" s="1"/>
      <c r="AS131" s="239" t="s">
        <v>40352</v>
      </c>
      <c r="AT131" s="243">
        <v>2024</v>
      </c>
      <c r="AU131" s="239" t="s">
        <v>40766</v>
      </c>
      <c r="AV131" s="246" t="s">
        <v>40754</v>
      </c>
      <c r="AW131" s="239" t="s">
        <v>46</v>
      </c>
      <c r="AX131" s="2"/>
      <c r="AY131" s="2"/>
      <c r="AZ131" s="239" t="s">
        <v>40448</v>
      </c>
    </row>
    <row x14ac:dyDescent="0.25" r="132" customHeight="1" ht="24.75">
      <c r="A132" s="1"/>
      <c r="B132" s="237">
        <f>AND(ISTEXT('Consolidado-Eletronorte'!#REF!),SUM('Consolidado-Eletronorte'!#REF!)&gt;0)</f>
      </c>
      <c r="C132" s="238">
        <f>$J$3</f>
      </c>
      <c r="D132" s="238">
        <f>$H$3</f>
      </c>
      <c r="E132" s="238">
        <f>$H$4</f>
      </c>
      <c r="F132" s="210"/>
      <c r="G132" s="238">
        <f>_xlfn.CONCAT('Consolidado-Eletronorte'!#REF!,"_",ROW('Consolidado-Eletronorte'!#REF!)-ROW('Consolidado-Eletronorte'!$G$18))</f>
      </c>
      <c r="H132" s="212" t="s">
        <v>10</v>
      </c>
      <c r="I132" s="212" t="s">
        <v>87</v>
      </c>
      <c r="J132" s="212" t="s">
        <v>5</v>
      </c>
      <c r="K132" s="213" t="s">
        <v>16</v>
      </c>
      <c r="L132" s="212" t="s">
        <v>67</v>
      </c>
      <c r="M132" s="239" t="s">
        <v>40767</v>
      </c>
      <c r="N132" s="212"/>
      <c r="O132" s="212"/>
      <c r="P132" s="212"/>
      <c r="Q132" s="239" t="s">
        <v>40768</v>
      </c>
      <c r="R132" s="239" t="s">
        <v>40680</v>
      </c>
      <c r="S132" s="239" t="s">
        <v>40752</v>
      </c>
      <c r="T132" s="240">
        <v>215</v>
      </c>
      <c r="U132" s="240">
        <v>215</v>
      </c>
      <c r="V132" s="240">
        <v>215</v>
      </c>
      <c r="W132" s="240">
        <v>215</v>
      </c>
      <c r="X132" s="240">
        <v>215</v>
      </c>
      <c r="Y132" s="240">
        <v>215</v>
      </c>
      <c r="Z132" s="240">
        <v>215</v>
      </c>
      <c r="AA132" s="240">
        <v>215</v>
      </c>
      <c r="AB132" s="240">
        <v>215</v>
      </c>
      <c r="AC132" s="239" t="s">
        <v>40351</v>
      </c>
      <c r="AD132" s="239" t="s">
        <v>40351</v>
      </c>
      <c r="AE132" s="239" t="s">
        <v>40351</v>
      </c>
      <c r="AF132" s="241">
        <f>SUM(Tabela96[[#This Row], [jan/26]:[dez/26]])</f>
      </c>
      <c r="AG132" s="240">
        <v>0</v>
      </c>
      <c r="AH132" s="240">
        <v>0</v>
      </c>
      <c r="AI132" s="240">
        <v>0</v>
      </c>
      <c r="AJ132" s="240">
        <v>0</v>
      </c>
      <c r="AK132" s="240">
        <f>SUM(Tabela96[[#This Row], [2026]:[2030]])</f>
      </c>
      <c r="AL132" s="240">
        <v>0</v>
      </c>
      <c r="AM132" s="240">
        <v>0</v>
      </c>
      <c r="AN132" s="240">
        <v>0</v>
      </c>
      <c r="AO132" s="240">
        <v>0</v>
      </c>
      <c r="AP132" s="240">
        <v>0</v>
      </c>
      <c r="AQ132" s="242">
        <f>SUM(Tabela96[[#This Row], [2026-2030]:[2035]])</f>
      </c>
      <c r="AR132" s="1"/>
      <c r="AS132" s="239" t="s">
        <v>40352</v>
      </c>
      <c r="AT132" s="243">
        <v>2024</v>
      </c>
      <c r="AU132" s="239" t="s">
        <v>40769</v>
      </c>
      <c r="AV132" s="246" t="s">
        <v>40754</v>
      </c>
      <c r="AW132" s="239" t="s">
        <v>46</v>
      </c>
      <c r="AX132" s="2"/>
      <c r="AY132" s="2"/>
      <c r="AZ132" s="239" t="s">
        <v>40448</v>
      </c>
    </row>
    <row x14ac:dyDescent="0.25" r="133" customHeight="1" ht="24.75">
      <c r="A133" s="1"/>
      <c r="B133" s="237">
        <f>AND(ISTEXT('Consolidado-Eletronorte'!#REF!),SUM('Consolidado-Eletronorte'!#REF!)&gt;0)</f>
      </c>
      <c r="C133" s="238">
        <f>$J$3</f>
      </c>
      <c r="D133" s="238">
        <f>$H$3</f>
      </c>
      <c r="E133" s="238">
        <f>$H$4</f>
      </c>
      <c r="F133" s="210"/>
      <c r="G133" s="238">
        <f>_xlfn.CONCAT('Consolidado-Eletronorte'!#REF!,"_",ROW('Consolidado-Eletronorte'!#REF!)-ROW('Consolidado-Eletronorte'!$G$18))</f>
      </c>
      <c r="H133" s="212" t="s">
        <v>10</v>
      </c>
      <c r="I133" s="212" t="s">
        <v>87</v>
      </c>
      <c r="J133" s="212" t="s">
        <v>5</v>
      </c>
      <c r="K133" s="213" t="s">
        <v>16</v>
      </c>
      <c r="L133" s="212" t="s">
        <v>67</v>
      </c>
      <c r="M133" s="239" t="s">
        <v>40770</v>
      </c>
      <c r="N133" s="212"/>
      <c r="O133" s="212"/>
      <c r="P133" s="212"/>
      <c r="Q133" s="239" t="s">
        <v>40771</v>
      </c>
      <c r="R133" s="239" t="s">
        <v>40680</v>
      </c>
      <c r="S133" s="239" t="s">
        <v>40752</v>
      </c>
      <c r="T133" s="240">
        <v>215</v>
      </c>
      <c r="U133" s="240">
        <v>215</v>
      </c>
      <c r="V133" s="240">
        <v>215</v>
      </c>
      <c r="W133" s="240">
        <v>215</v>
      </c>
      <c r="X133" s="240">
        <v>215</v>
      </c>
      <c r="Y133" s="240">
        <v>215</v>
      </c>
      <c r="Z133" s="240">
        <v>215</v>
      </c>
      <c r="AA133" s="240">
        <v>215</v>
      </c>
      <c r="AB133" s="240">
        <v>215</v>
      </c>
      <c r="AC133" s="239" t="s">
        <v>40351</v>
      </c>
      <c r="AD133" s="239" t="s">
        <v>40351</v>
      </c>
      <c r="AE133" s="239" t="s">
        <v>40351</v>
      </c>
      <c r="AF133" s="241">
        <f>SUM(Tabela96[[#This Row], [jan/26]:[dez/26]])</f>
      </c>
      <c r="AG133" s="240">
        <v>0</v>
      </c>
      <c r="AH133" s="240">
        <v>0</v>
      </c>
      <c r="AI133" s="240">
        <v>0</v>
      </c>
      <c r="AJ133" s="240">
        <v>0</v>
      </c>
      <c r="AK133" s="240">
        <f>SUM(Tabela96[[#This Row], [2026]:[2030]])</f>
      </c>
      <c r="AL133" s="240">
        <v>0</v>
      </c>
      <c r="AM133" s="240">
        <v>0</v>
      </c>
      <c r="AN133" s="240">
        <v>0</v>
      </c>
      <c r="AO133" s="240">
        <v>0</v>
      </c>
      <c r="AP133" s="240">
        <v>0</v>
      </c>
      <c r="AQ133" s="242">
        <f>SUM(Tabela96[[#This Row], [2026-2030]:[2035]])</f>
      </c>
      <c r="AR133" s="1"/>
      <c r="AS133" s="239" t="s">
        <v>40352</v>
      </c>
      <c r="AT133" s="243">
        <v>2024</v>
      </c>
      <c r="AU133" s="239" t="s">
        <v>40772</v>
      </c>
      <c r="AV133" s="246" t="s">
        <v>40754</v>
      </c>
      <c r="AW133" s="239" t="s">
        <v>46</v>
      </c>
      <c r="AX133" s="2"/>
      <c r="AY133" s="2"/>
      <c r="AZ133" s="239" t="s">
        <v>40448</v>
      </c>
    </row>
    <row x14ac:dyDescent="0.25" r="134" customHeight="1" ht="24.75">
      <c r="A134" s="1"/>
      <c r="B134" s="237">
        <f>AND(ISTEXT('Consolidado-Eletronorte'!#REF!),SUM('Consolidado-Eletronorte'!#REF!)&gt;0)</f>
      </c>
      <c r="C134" s="238">
        <f>$J$3</f>
      </c>
      <c r="D134" s="238">
        <f>$H$3</f>
      </c>
      <c r="E134" s="238">
        <f>$H$4</f>
      </c>
      <c r="F134" s="210"/>
      <c r="G134" s="238">
        <f>_xlfn.CONCAT('Consolidado-Eletronorte'!#REF!,"_",ROW('Consolidado-Eletronorte'!#REF!)-ROW('Consolidado-Eletronorte'!$G$18))</f>
      </c>
      <c r="H134" s="212" t="s">
        <v>10</v>
      </c>
      <c r="I134" s="212" t="s">
        <v>87</v>
      </c>
      <c r="J134" s="212" t="s">
        <v>5</v>
      </c>
      <c r="K134" s="213" t="s">
        <v>16</v>
      </c>
      <c r="L134" s="212" t="s">
        <v>67</v>
      </c>
      <c r="M134" s="239" t="s">
        <v>40773</v>
      </c>
      <c r="N134" s="212"/>
      <c r="O134" s="212"/>
      <c r="P134" s="212"/>
      <c r="Q134" s="239" t="s">
        <v>40774</v>
      </c>
      <c r="R134" s="239" t="s">
        <v>40680</v>
      </c>
      <c r="S134" s="239" t="s">
        <v>40752</v>
      </c>
      <c r="T134" s="240">
        <v>215</v>
      </c>
      <c r="U134" s="240">
        <v>215</v>
      </c>
      <c r="V134" s="240">
        <v>215</v>
      </c>
      <c r="W134" s="240">
        <v>215</v>
      </c>
      <c r="X134" s="240">
        <v>215</v>
      </c>
      <c r="Y134" s="240">
        <v>215</v>
      </c>
      <c r="Z134" s="240">
        <v>215</v>
      </c>
      <c r="AA134" s="240">
        <v>215</v>
      </c>
      <c r="AB134" s="240">
        <v>215</v>
      </c>
      <c r="AC134" s="239" t="s">
        <v>40351</v>
      </c>
      <c r="AD134" s="239" t="s">
        <v>40351</v>
      </c>
      <c r="AE134" s="239" t="s">
        <v>40351</v>
      </c>
      <c r="AF134" s="241">
        <f>SUM(Tabela96[[#This Row], [jan/26]:[dez/26]])</f>
      </c>
      <c r="AG134" s="240">
        <v>0</v>
      </c>
      <c r="AH134" s="240">
        <v>0</v>
      </c>
      <c r="AI134" s="240">
        <v>0</v>
      </c>
      <c r="AJ134" s="240">
        <v>0</v>
      </c>
      <c r="AK134" s="240">
        <f>SUM(Tabela96[[#This Row], [2026]:[2030]])</f>
      </c>
      <c r="AL134" s="240">
        <v>0</v>
      </c>
      <c r="AM134" s="240">
        <v>0</v>
      </c>
      <c r="AN134" s="240">
        <v>0</v>
      </c>
      <c r="AO134" s="240">
        <v>0</v>
      </c>
      <c r="AP134" s="240">
        <v>0</v>
      </c>
      <c r="AQ134" s="242">
        <f>SUM(Tabela96[[#This Row], [2026-2030]:[2035]])</f>
      </c>
      <c r="AR134" s="1"/>
      <c r="AS134" s="239" t="s">
        <v>40352</v>
      </c>
      <c r="AT134" s="243">
        <v>2024</v>
      </c>
      <c r="AU134" s="239" t="s">
        <v>40775</v>
      </c>
      <c r="AV134" s="246" t="s">
        <v>40754</v>
      </c>
      <c r="AW134" s="239" t="s">
        <v>46</v>
      </c>
      <c r="AX134" s="2"/>
      <c r="AY134" s="2"/>
      <c r="AZ134" s="239" t="s">
        <v>40448</v>
      </c>
    </row>
    <row x14ac:dyDescent="0.25" r="135" customHeight="1" ht="24.75">
      <c r="A135" s="1"/>
      <c r="B135" s="237">
        <f>AND(ISTEXT('Consolidado-Eletronorte'!#REF!),SUM('Consolidado-Eletronorte'!#REF!)&gt;0)</f>
      </c>
      <c r="C135" s="238">
        <f>$J$3</f>
      </c>
      <c r="D135" s="238">
        <f>$H$3</f>
      </c>
      <c r="E135" s="238">
        <f>$H$4</f>
      </c>
      <c r="F135" s="210"/>
      <c r="G135" s="238">
        <f>_xlfn.CONCAT('Consolidado-Eletronorte'!#REF!,"_",ROW('Consolidado-Eletronorte'!#REF!)-ROW('Consolidado-Eletronorte'!$G$18))</f>
      </c>
      <c r="H135" s="212" t="s">
        <v>10</v>
      </c>
      <c r="I135" s="212" t="s">
        <v>87</v>
      </c>
      <c r="J135" s="212" t="s">
        <v>5</v>
      </c>
      <c r="K135" s="213" t="s">
        <v>16</v>
      </c>
      <c r="L135" s="212" t="s">
        <v>67</v>
      </c>
      <c r="M135" s="239" t="s">
        <v>40776</v>
      </c>
      <c r="N135" s="212"/>
      <c r="O135" s="212"/>
      <c r="P135" s="212"/>
      <c r="Q135" s="239" t="s">
        <v>40777</v>
      </c>
      <c r="R135" s="239" t="s">
        <v>40680</v>
      </c>
      <c r="S135" s="239" t="s">
        <v>40752</v>
      </c>
      <c r="T135" s="240">
        <v>215</v>
      </c>
      <c r="U135" s="240">
        <v>215</v>
      </c>
      <c r="V135" s="240">
        <v>215</v>
      </c>
      <c r="W135" s="240">
        <v>215</v>
      </c>
      <c r="X135" s="240">
        <v>215</v>
      </c>
      <c r="Y135" s="240">
        <v>215</v>
      </c>
      <c r="Z135" s="240">
        <v>215</v>
      </c>
      <c r="AA135" s="240">
        <v>215</v>
      </c>
      <c r="AB135" s="240">
        <v>215</v>
      </c>
      <c r="AC135" s="239" t="s">
        <v>40351</v>
      </c>
      <c r="AD135" s="239" t="s">
        <v>40351</v>
      </c>
      <c r="AE135" s="239" t="s">
        <v>40351</v>
      </c>
      <c r="AF135" s="241">
        <f>SUM(Tabela96[[#This Row], [jan/26]:[dez/26]])</f>
      </c>
      <c r="AG135" s="240">
        <v>0</v>
      </c>
      <c r="AH135" s="240">
        <v>0</v>
      </c>
      <c r="AI135" s="240">
        <v>0</v>
      </c>
      <c r="AJ135" s="240">
        <v>0</v>
      </c>
      <c r="AK135" s="240">
        <f>SUM(Tabela96[[#This Row], [2026]:[2030]])</f>
      </c>
      <c r="AL135" s="240">
        <v>0</v>
      </c>
      <c r="AM135" s="240">
        <v>0</v>
      </c>
      <c r="AN135" s="240">
        <v>0</v>
      </c>
      <c r="AO135" s="240">
        <v>0</v>
      </c>
      <c r="AP135" s="240">
        <v>0</v>
      </c>
      <c r="AQ135" s="242">
        <f>SUM(Tabela96[[#This Row], [2026-2030]:[2035]])</f>
      </c>
      <c r="AR135" s="1"/>
      <c r="AS135" s="239" t="s">
        <v>40352</v>
      </c>
      <c r="AT135" s="243">
        <v>2024</v>
      </c>
      <c r="AU135" s="239" t="s">
        <v>40778</v>
      </c>
      <c r="AV135" s="246" t="s">
        <v>40754</v>
      </c>
      <c r="AW135" s="239" t="s">
        <v>46</v>
      </c>
      <c r="AX135" s="2"/>
      <c r="AY135" s="2"/>
      <c r="AZ135" s="239" t="s">
        <v>40448</v>
      </c>
    </row>
    <row x14ac:dyDescent="0.25" r="136" customHeight="1" ht="24.75">
      <c r="A136" s="1"/>
      <c r="B136" s="237">
        <f>AND(ISTEXT('Consolidado-Eletronorte'!#REF!),SUM('Consolidado-Eletronorte'!#REF!)&gt;0)</f>
      </c>
      <c r="C136" s="238">
        <f>$J$3</f>
      </c>
      <c r="D136" s="238">
        <f>$H$3</f>
      </c>
      <c r="E136" s="238">
        <f>$H$4</f>
      </c>
      <c r="F136" s="210"/>
      <c r="G136" s="238">
        <f>_xlfn.CONCAT('Consolidado-Eletronorte'!#REF!,"_",ROW('Consolidado-Eletronorte'!#REF!)-ROW('Consolidado-Eletronorte'!$G$18))</f>
      </c>
      <c r="H136" s="212" t="s">
        <v>10</v>
      </c>
      <c r="I136" s="212" t="s">
        <v>87</v>
      </c>
      <c r="J136" s="212" t="s">
        <v>5</v>
      </c>
      <c r="K136" s="213" t="s">
        <v>16</v>
      </c>
      <c r="L136" s="212" t="s">
        <v>67</v>
      </c>
      <c r="M136" s="239" t="s">
        <v>40779</v>
      </c>
      <c r="N136" s="212"/>
      <c r="O136" s="212"/>
      <c r="P136" s="212"/>
      <c r="Q136" s="239" t="s">
        <v>40780</v>
      </c>
      <c r="R136" s="239" t="s">
        <v>40680</v>
      </c>
      <c r="S136" s="239" t="s">
        <v>40752</v>
      </c>
      <c r="T136" s="240">
        <v>215</v>
      </c>
      <c r="U136" s="240">
        <v>215</v>
      </c>
      <c r="V136" s="240">
        <v>215</v>
      </c>
      <c r="W136" s="240">
        <v>215</v>
      </c>
      <c r="X136" s="240">
        <v>215</v>
      </c>
      <c r="Y136" s="240">
        <v>215</v>
      </c>
      <c r="Z136" s="240">
        <v>215</v>
      </c>
      <c r="AA136" s="240">
        <v>215</v>
      </c>
      <c r="AB136" s="240">
        <v>215</v>
      </c>
      <c r="AC136" s="239" t="s">
        <v>40351</v>
      </c>
      <c r="AD136" s="239" t="s">
        <v>40351</v>
      </c>
      <c r="AE136" s="239" t="s">
        <v>40351</v>
      </c>
      <c r="AF136" s="241">
        <f>SUM(Tabela96[[#This Row], [jan/26]:[dez/26]])</f>
      </c>
      <c r="AG136" s="240">
        <v>0</v>
      </c>
      <c r="AH136" s="240">
        <v>0</v>
      </c>
      <c r="AI136" s="240">
        <v>0</v>
      </c>
      <c r="AJ136" s="240">
        <v>0</v>
      </c>
      <c r="AK136" s="240">
        <f>SUM(Tabela96[[#This Row], [2026]:[2030]])</f>
      </c>
      <c r="AL136" s="240">
        <v>0</v>
      </c>
      <c r="AM136" s="240">
        <v>0</v>
      </c>
      <c r="AN136" s="240">
        <v>0</v>
      </c>
      <c r="AO136" s="240">
        <v>0</v>
      </c>
      <c r="AP136" s="240">
        <v>0</v>
      </c>
      <c r="AQ136" s="242">
        <f>SUM(Tabela96[[#This Row], [2026-2030]:[2035]])</f>
      </c>
      <c r="AR136" s="1"/>
      <c r="AS136" s="239" t="s">
        <v>40352</v>
      </c>
      <c r="AT136" s="243">
        <v>2024</v>
      </c>
      <c r="AU136" s="239" t="s">
        <v>40781</v>
      </c>
      <c r="AV136" s="246" t="s">
        <v>40754</v>
      </c>
      <c r="AW136" s="239" t="s">
        <v>46</v>
      </c>
      <c r="AX136" s="2"/>
      <c r="AY136" s="2"/>
      <c r="AZ136" s="239" t="s">
        <v>40448</v>
      </c>
    </row>
    <row x14ac:dyDescent="0.25" r="137" customHeight="1" ht="24.75">
      <c r="A137" s="1"/>
      <c r="B137" s="237">
        <f>AND(ISTEXT('Consolidado-Eletronorte'!#REF!),SUM('Consolidado-Eletronorte'!#REF!)&gt;0)</f>
      </c>
      <c r="C137" s="238">
        <f>$J$3</f>
      </c>
      <c r="D137" s="238">
        <f>$H$3</f>
      </c>
      <c r="E137" s="238">
        <f>$H$4</f>
      </c>
      <c r="F137" s="210"/>
      <c r="G137" s="238">
        <f>_xlfn.CONCAT('Consolidado-Eletronorte'!#REF!,"_",ROW('Consolidado-Eletronorte'!#REF!)-ROW('Consolidado-Eletronorte'!$G$18))</f>
      </c>
      <c r="H137" s="212" t="s">
        <v>10</v>
      </c>
      <c r="I137" s="212" t="s">
        <v>87</v>
      </c>
      <c r="J137" s="212" t="s">
        <v>5</v>
      </c>
      <c r="K137" s="213" t="s">
        <v>16</v>
      </c>
      <c r="L137" s="212" t="s">
        <v>67</v>
      </c>
      <c r="M137" s="239" t="s">
        <v>40782</v>
      </c>
      <c r="N137" s="212"/>
      <c r="O137" s="212"/>
      <c r="P137" s="212"/>
      <c r="Q137" s="239" t="s">
        <v>40783</v>
      </c>
      <c r="R137" s="239" t="s">
        <v>40680</v>
      </c>
      <c r="S137" s="239" t="s">
        <v>40752</v>
      </c>
      <c r="T137" s="240">
        <v>215</v>
      </c>
      <c r="U137" s="240">
        <v>215</v>
      </c>
      <c r="V137" s="240">
        <v>215</v>
      </c>
      <c r="W137" s="240">
        <v>215</v>
      </c>
      <c r="X137" s="240">
        <v>215</v>
      </c>
      <c r="Y137" s="240">
        <v>215</v>
      </c>
      <c r="Z137" s="240">
        <v>215</v>
      </c>
      <c r="AA137" s="240">
        <v>215</v>
      </c>
      <c r="AB137" s="240">
        <v>215</v>
      </c>
      <c r="AC137" s="239" t="s">
        <v>40351</v>
      </c>
      <c r="AD137" s="239" t="s">
        <v>40351</v>
      </c>
      <c r="AE137" s="239" t="s">
        <v>40351</v>
      </c>
      <c r="AF137" s="241">
        <f>SUM(Tabela96[[#This Row], [jan/26]:[dez/26]])</f>
      </c>
      <c r="AG137" s="240">
        <v>0</v>
      </c>
      <c r="AH137" s="240">
        <v>0</v>
      </c>
      <c r="AI137" s="240">
        <v>0</v>
      </c>
      <c r="AJ137" s="240">
        <v>0</v>
      </c>
      <c r="AK137" s="240">
        <f>SUM(Tabela96[[#This Row], [2026]:[2030]])</f>
      </c>
      <c r="AL137" s="240">
        <v>0</v>
      </c>
      <c r="AM137" s="240">
        <v>0</v>
      </c>
      <c r="AN137" s="240">
        <v>0</v>
      </c>
      <c r="AO137" s="240">
        <v>0</v>
      </c>
      <c r="AP137" s="240">
        <v>0</v>
      </c>
      <c r="AQ137" s="242">
        <f>SUM(Tabela96[[#This Row], [2026-2030]:[2035]])</f>
      </c>
      <c r="AR137" s="1"/>
      <c r="AS137" s="239" t="s">
        <v>40352</v>
      </c>
      <c r="AT137" s="243">
        <v>2024</v>
      </c>
      <c r="AU137" s="239" t="s">
        <v>40784</v>
      </c>
      <c r="AV137" s="246" t="s">
        <v>40754</v>
      </c>
      <c r="AW137" s="239" t="s">
        <v>46</v>
      </c>
      <c r="AX137" s="2"/>
      <c r="AY137" s="2"/>
      <c r="AZ137" s="239" t="s">
        <v>40448</v>
      </c>
    </row>
    <row x14ac:dyDescent="0.25" r="138" customHeight="1" ht="24.75">
      <c r="A138" s="1"/>
      <c r="B138" s="237">
        <f>AND(ISTEXT('Consolidado-Eletronorte'!#REF!),SUM('Consolidado-Eletronorte'!#REF!)&gt;0)</f>
      </c>
      <c r="C138" s="238">
        <f>$J$3</f>
      </c>
      <c r="D138" s="238">
        <f>$H$3</f>
      </c>
      <c r="E138" s="238">
        <f>$H$4</f>
      </c>
      <c r="F138" s="210"/>
      <c r="G138" s="238">
        <f>_xlfn.CONCAT('Consolidado-Eletronorte'!#REF!,"_",ROW('Consolidado-Eletronorte'!#REF!)-ROW('Consolidado-Eletronorte'!$G$18))</f>
      </c>
      <c r="H138" s="212" t="s">
        <v>10</v>
      </c>
      <c r="I138" s="212" t="s">
        <v>87</v>
      </c>
      <c r="J138" s="212" t="s">
        <v>5</v>
      </c>
      <c r="K138" s="213" t="s">
        <v>16</v>
      </c>
      <c r="L138" s="212" t="s">
        <v>67</v>
      </c>
      <c r="M138" s="239" t="s">
        <v>40785</v>
      </c>
      <c r="N138" s="212"/>
      <c r="O138" s="212"/>
      <c r="P138" s="212"/>
      <c r="Q138" s="239" t="s">
        <v>40786</v>
      </c>
      <c r="R138" s="239" t="s">
        <v>40680</v>
      </c>
      <c r="S138" s="239" t="s">
        <v>40752</v>
      </c>
      <c r="T138" s="240">
        <v>215</v>
      </c>
      <c r="U138" s="240">
        <v>215</v>
      </c>
      <c r="V138" s="240">
        <v>215</v>
      </c>
      <c r="W138" s="240">
        <v>215</v>
      </c>
      <c r="X138" s="240">
        <v>215</v>
      </c>
      <c r="Y138" s="240">
        <v>215</v>
      </c>
      <c r="Z138" s="240">
        <v>215</v>
      </c>
      <c r="AA138" s="240">
        <v>215</v>
      </c>
      <c r="AB138" s="240">
        <v>215</v>
      </c>
      <c r="AC138" s="239" t="s">
        <v>40351</v>
      </c>
      <c r="AD138" s="239" t="s">
        <v>40351</v>
      </c>
      <c r="AE138" s="239" t="s">
        <v>40351</v>
      </c>
      <c r="AF138" s="241">
        <f>SUM(Tabela96[[#This Row], [jan/26]:[dez/26]])</f>
      </c>
      <c r="AG138" s="240">
        <v>0</v>
      </c>
      <c r="AH138" s="240">
        <v>0</v>
      </c>
      <c r="AI138" s="240">
        <v>0</v>
      </c>
      <c r="AJ138" s="240">
        <v>0</v>
      </c>
      <c r="AK138" s="240">
        <f>SUM(Tabela96[[#This Row], [2026]:[2030]])</f>
      </c>
      <c r="AL138" s="240">
        <v>0</v>
      </c>
      <c r="AM138" s="240">
        <v>0</v>
      </c>
      <c r="AN138" s="240">
        <v>0</v>
      </c>
      <c r="AO138" s="240">
        <v>0</v>
      </c>
      <c r="AP138" s="240">
        <v>0</v>
      </c>
      <c r="AQ138" s="242">
        <f>SUM(Tabela96[[#This Row], [2026-2030]:[2035]])</f>
      </c>
      <c r="AR138" s="1"/>
      <c r="AS138" s="239" t="s">
        <v>40352</v>
      </c>
      <c r="AT138" s="243">
        <v>2024</v>
      </c>
      <c r="AU138" s="239" t="s">
        <v>40787</v>
      </c>
      <c r="AV138" s="246" t="s">
        <v>40754</v>
      </c>
      <c r="AW138" s="239" t="s">
        <v>46</v>
      </c>
      <c r="AX138" s="2"/>
      <c r="AY138" s="2"/>
      <c r="AZ138" s="239" t="s">
        <v>40448</v>
      </c>
    </row>
    <row x14ac:dyDescent="0.25" r="139" customHeight="1" ht="24.75">
      <c r="A139" s="1"/>
      <c r="B139" s="237">
        <f>AND(ISTEXT('Consolidado-Eletronorte'!#REF!),SUM('Consolidado-Eletronorte'!#REF!)&gt;0)</f>
      </c>
      <c r="C139" s="238">
        <f>$J$3</f>
      </c>
      <c r="D139" s="238">
        <f>$H$3</f>
      </c>
      <c r="E139" s="238">
        <f>$H$4</f>
      </c>
      <c r="F139" s="210"/>
      <c r="G139" s="238">
        <f>_xlfn.CONCAT('Consolidado-Eletronorte'!#REF!,"_",ROW('Consolidado-Eletronorte'!#REF!)-ROW('Consolidado-Eletronorte'!$G$18))</f>
      </c>
      <c r="H139" s="212" t="s">
        <v>10</v>
      </c>
      <c r="I139" s="212" t="s">
        <v>87</v>
      </c>
      <c r="J139" s="212" t="s">
        <v>5</v>
      </c>
      <c r="K139" s="213" t="s">
        <v>16</v>
      </c>
      <c r="L139" s="212" t="s">
        <v>67</v>
      </c>
      <c r="M139" s="239" t="s">
        <v>40788</v>
      </c>
      <c r="N139" s="212"/>
      <c r="O139" s="212"/>
      <c r="P139" s="212"/>
      <c r="Q139" s="239" t="s">
        <v>40789</v>
      </c>
      <c r="R139" s="239" t="s">
        <v>40680</v>
      </c>
      <c r="S139" s="239" t="s">
        <v>40752</v>
      </c>
      <c r="T139" s="240">
        <v>215</v>
      </c>
      <c r="U139" s="240">
        <v>215</v>
      </c>
      <c r="V139" s="240">
        <v>215</v>
      </c>
      <c r="W139" s="240">
        <v>215</v>
      </c>
      <c r="X139" s="240">
        <v>215</v>
      </c>
      <c r="Y139" s="240">
        <v>215</v>
      </c>
      <c r="Z139" s="240">
        <v>215</v>
      </c>
      <c r="AA139" s="240">
        <v>215</v>
      </c>
      <c r="AB139" s="240">
        <v>215</v>
      </c>
      <c r="AC139" s="239" t="s">
        <v>40351</v>
      </c>
      <c r="AD139" s="239" t="s">
        <v>40351</v>
      </c>
      <c r="AE139" s="239" t="s">
        <v>40351</v>
      </c>
      <c r="AF139" s="241">
        <f>SUM(Tabela96[[#This Row], [jan/26]:[dez/26]])</f>
      </c>
      <c r="AG139" s="240">
        <v>0</v>
      </c>
      <c r="AH139" s="240">
        <v>0</v>
      </c>
      <c r="AI139" s="240">
        <v>0</v>
      </c>
      <c r="AJ139" s="240">
        <v>0</v>
      </c>
      <c r="AK139" s="240">
        <f>SUM(Tabela96[[#This Row], [2026]:[2030]])</f>
      </c>
      <c r="AL139" s="240">
        <v>0</v>
      </c>
      <c r="AM139" s="240">
        <v>0</v>
      </c>
      <c r="AN139" s="240">
        <v>0</v>
      </c>
      <c r="AO139" s="240">
        <v>0</v>
      </c>
      <c r="AP139" s="240">
        <v>0</v>
      </c>
      <c r="AQ139" s="242">
        <f>SUM(Tabela96[[#This Row], [2026-2030]:[2035]])</f>
      </c>
      <c r="AR139" s="1"/>
      <c r="AS139" s="239" t="s">
        <v>40352</v>
      </c>
      <c r="AT139" s="243">
        <v>2024</v>
      </c>
      <c r="AU139" s="239" t="s">
        <v>40790</v>
      </c>
      <c r="AV139" s="246" t="s">
        <v>40754</v>
      </c>
      <c r="AW139" s="239" t="s">
        <v>46</v>
      </c>
      <c r="AX139" s="2"/>
      <c r="AY139" s="2"/>
      <c r="AZ139" s="239" t="s">
        <v>40448</v>
      </c>
    </row>
    <row x14ac:dyDescent="0.25" r="140" customHeight="1" ht="24.75">
      <c r="A140" s="1"/>
      <c r="B140" s="237">
        <f>AND(ISTEXT('Consolidado-Eletronorte'!#REF!),SUM('Consolidado-Eletronorte'!#REF!)&gt;0)</f>
      </c>
      <c r="C140" s="238">
        <f>$J$3</f>
      </c>
      <c r="D140" s="238">
        <f>$H$3</f>
      </c>
      <c r="E140" s="238">
        <f>$H$4</f>
      </c>
      <c r="F140" s="210"/>
      <c r="G140" s="238">
        <f>_xlfn.CONCAT('Consolidado-Eletronorte'!#REF!,"_",ROW('Consolidado-Eletronorte'!#REF!)-ROW('Consolidado-Eletronorte'!$G$18))</f>
      </c>
      <c r="H140" s="212" t="s">
        <v>10</v>
      </c>
      <c r="I140" s="212" t="s">
        <v>87</v>
      </c>
      <c r="J140" s="212" t="s">
        <v>5</v>
      </c>
      <c r="K140" s="213" t="s">
        <v>16</v>
      </c>
      <c r="L140" s="212" t="s">
        <v>67</v>
      </c>
      <c r="M140" s="239" t="s">
        <v>40791</v>
      </c>
      <c r="N140" s="212"/>
      <c r="O140" s="212"/>
      <c r="P140" s="212"/>
      <c r="Q140" s="239" t="s">
        <v>40792</v>
      </c>
      <c r="R140" s="239" t="s">
        <v>40680</v>
      </c>
      <c r="S140" s="239" t="s">
        <v>40752</v>
      </c>
      <c r="T140" s="240">
        <v>215</v>
      </c>
      <c r="U140" s="240">
        <v>215</v>
      </c>
      <c r="V140" s="240">
        <v>215</v>
      </c>
      <c r="W140" s="240">
        <v>215</v>
      </c>
      <c r="X140" s="240">
        <v>215</v>
      </c>
      <c r="Y140" s="240">
        <v>215</v>
      </c>
      <c r="Z140" s="240">
        <v>215</v>
      </c>
      <c r="AA140" s="240">
        <v>215</v>
      </c>
      <c r="AB140" s="240">
        <v>215</v>
      </c>
      <c r="AC140" s="239" t="s">
        <v>40351</v>
      </c>
      <c r="AD140" s="239" t="s">
        <v>40351</v>
      </c>
      <c r="AE140" s="239" t="s">
        <v>40351</v>
      </c>
      <c r="AF140" s="241">
        <f>SUM(Tabela96[[#This Row], [jan/26]:[dez/26]])</f>
      </c>
      <c r="AG140" s="240">
        <v>0</v>
      </c>
      <c r="AH140" s="240">
        <v>0</v>
      </c>
      <c r="AI140" s="240">
        <v>0</v>
      </c>
      <c r="AJ140" s="240">
        <v>0</v>
      </c>
      <c r="AK140" s="240">
        <f>SUM(Tabela96[[#This Row], [2026]:[2030]])</f>
      </c>
      <c r="AL140" s="240">
        <v>0</v>
      </c>
      <c r="AM140" s="240">
        <v>0</v>
      </c>
      <c r="AN140" s="240">
        <v>0</v>
      </c>
      <c r="AO140" s="240">
        <v>0</v>
      </c>
      <c r="AP140" s="240">
        <v>0</v>
      </c>
      <c r="AQ140" s="242">
        <f>SUM(Tabela96[[#This Row], [2026-2030]:[2035]])</f>
      </c>
      <c r="AR140" s="1"/>
      <c r="AS140" s="239" t="s">
        <v>40352</v>
      </c>
      <c r="AT140" s="243">
        <v>2024</v>
      </c>
      <c r="AU140" s="239" t="s">
        <v>40793</v>
      </c>
      <c r="AV140" s="246" t="s">
        <v>40754</v>
      </c>
      <c r="AW140" s="239" t="s">
        <v>46</v>
      </c>
      <c r="AX140" s="2"/>
      <c r="AY140" s="2"/>
      <c r="AZ140" s="239" t="s">
        <v>40448</v>
      </c>
    </row>
    <row x14ac:dyDescent="0.25" r="141" customHeight="1" ht="24.75">
      <c r="A141" s="1"/>
      <c r="B141" s="237">
        <f>AND(ISTEXT('Consolidado-Eletronorte'!#REF!),SUM('Consolidado-Eletronorte'!#REF!)&gt;0)</f>
      </c>
      <c r="C141" s="238">
        <f>$J$3</f>
      </c>
      <c r="D141" s="238">
        <f>$H$3</f>
      </c>
      <c r="E141" s="238">
        <f>$H$4</f>
      </c>
      <c r="F141" s="210"/>
      <c r="G141" s="238">
        <f>_xlfn.CONCAT('Consolidado-Eletronorte'!#REF!,"_",ROW('Consolidado-Eletronorte'!#REF!)-ROW('Consolidado-Eletronorte'!$G$18))</f>
      </c>
      <c r="H141" s="212" t="s">
        <v>10</v>
      </c>
      <c r="I141" s="212" t="s">
        <v>87</v>
      </c>
      <c r="J141" s="212" t="s">
        <v>5</v>
      </c>
      <c r="K141" s="213" t="s">
        <v>16</v>
      </c>
      <c r="L141" s="212" t="s">
        <v>67</v>
      </c>
      <c r="M141" s="239" t="s">
        <v>40794</v>
      </c>
      <c r="N141" s="212"/>
      <c r="O141" s="212"/>
      <c r="P141" s="212"/>
      <c r="Q141" s="239" t="s">
        <v>40795</v>
      </c>
      <c r="R141" s="239" t="s">
        <v>40680</v>
      </c>
      <c r="S141" s="239" t="s">
        <v>40752</v>
      </c>
      <c r="T141" s="240">
        <v>215</v>
      </c>
      <c r="U141" s="240">
        <v>215</v>
      </c>
      <c r="V141" s="240">
        <v>215</v>
      </c>
      <c r="W141" s="240">
        <v>215</v>
      </c>
      <c r="X141" s="240">
        <v>215</v>
      </c>
      <c r="Y141" s="240">
        <v>215</v>
      </c>
      <c r="Z141" s="240">
        <v>215</v>
      </c>
      <c r="AA141" s="240">
        <v>215</v>
      </c>
      <c r="AB141" s="240">
        <v>215</v>
      </c>
      <c r="AC141" s="239" t="s">
        <v>40351</v>
      </c>
      <c r="AD141" s="239" t="s">
        <v>40351</v>
      </c>
      <c r="AE141" s="239" t="s">
        <v>40351</v>
      </c>
      <c r="AF141" s="241">
        <f>SUM(Tabela96[[#This Row], [jan/26]:[dez/26]])</f>
      </c>
      <c r="AG141" s="240">
        <v>0</v>
      </c>
      <c r="AH141" s="240">
        <v>0</v>
      </c>
      <c r="AI141" s="240">
        <v>0</v>
      </c>
      <c r="AJ141" s="240">
        <v>0</v>
      </c>
      <c r="AK141" s="240">
        <f>SUM(Tabela96[[#This Row], [2026]:[2030]])</f>
      </c>
      <c r="AL141" s="240">
        <v>0</v>
      </c>
      <c r="AM141" s="240">
        <v>0</v>
      </c>
      <c r="AN141" s="240">
        <v>0</v>
      </c>
      <c r="AO141" s="240">
        <v>0</v>
      </c>
      <c r="AP141" s="240">
        <v>0</v>
      </c>
      <c r="AQ141" s="242">
        <f>SUM(Tabela96[[#This Row], [2026-2030]:[2035]])</f>
      </c>
      <c r="AR141" s="1"/>
      <c r="AS141" s="239" t="s">
        <v>40352</v>
      </c>
      <c r="AT141" s="243">
        <v>2024</v>
      </c>
      <c r="AU141" s="239" t="s">
        <v>40796</v>
      </c>
      <c r="AV141" s="246" t="s">
        <v>40754</v>
      </c>
      <c r="AW141" s="239" t="s">
        <v>46</v>
      </c>
      <c r="AX141" s="2"/>
      <c r="AY141" s="2"/>
      <c r="AZ141" s="239" t="s">
        <v>40448</v>
      </c>
    </row>
    <row x14ac:dyDescent="0.25" r="142" customHeight="1" ht="24.75">
      <c r="A142" s="1"/>
      <c r="B142" s="237">
        <f>AND(ISTEXT('Consolidado-Eletronorte'!#REF!),SUM('Consolidado-Eletronorte'!#REF!)&gt;0)</f>
      </c>
      <c r="C142" s="238">
        <f>$J$3</f>
      </c>
      <c r="D142" s="238">
        <f>$H$3</f>
      </c>
      <c r="E142" s="238">
        <f>$H$4</f>
      </c>
      <c r="F142" s="210"/>
      <c r="G142" s="238">
        <f>_xlfn.CONCAT('Consolidado-Eletronorte'!#REF!,"_",ROW('Consolidado-Eletronorte'!#REF!)-ROW('Consolidado-Eletronorte'!$G$18))</f>
      </c>
      <c r="H142" s="212" t="s">
        <v>10</v>
      </c>
      <c r="I142" s="212" t="s">
        <v>87</v>
      </c>
      <c r="J142" s="212" t="s">
        <v>5</v>
      </c>
      <c r="K142" s="213" t="s">
        <v>16</v>
      </c>
      <c r="L142" s="212" t="s">
        <v>67</v>
      </c>
      <c r="M142" s="239" t="s">
        <v>40797</v>
      </c>
      <c r="N142" s="212"/>
      <c r="O142" s="212"/>
      <c r="P142" s="212"/>
      <c r="Q142" s="239" t="s">
        <v>40798</v>
      </c>
      <c r="R142" s="239" t="s">
        <v>40680</v>
      </c>
      <c r="S142" s="239" t="s">
        <v>40752</v>
      </c>
      <c r="T142" s="240">
        <v>215</v>
      </c>
      <c r="U142" s="240">
        <v>215</v>
      </c>
      <c r="V142" s="240">
        <v>215</v>
      </c>
      <c r="W142" s="240">
        <v>215</v>
      </c>
      <c r="X142" s="240">
        <v>215</v>
      </c>
      <c r="Y142" s="240">
        <v>215</v>
      </c>
      <c r="Z142" s="240">
        <v>215</v>
      </c>
      <c r="AA142" s="240">
        <v>215</v>
      </c>
      <c r="AB142" s="240">
        <v>215</v>
      </c>
      <c r="AC142" s="239" t="s">
        <v>40351</v>
      </c>
      <c r="AD142" s="239" t="s">
        <v>40351</v>
      </c>
      <c r="AE142" s="239" t="s">
        <v>40351</v>
      </c>
      <c r="AF142" s="241">
        <f>SUM(Tabela96[[#This Row], [jan/26]:[dez/26]])</f>
      </c>
      <c r="AG142" s="240">
        <v>0</v>
      </c>
      <c r="AH142" s="240">
        <v>0</v>
      </c>
      <c r="AI142" s="240">
        <v>0</v>
      </c>
      <c r="AJ142" s="240">
        <v>0</v>
      </c>
      <c r="AK142" s="240">
        <f>SUM(Tabela96[[#This Row], [2026]:[2030]])</f>
      </c>
      <c r="AL142" s="240">
        <v>0</v>
      </c>
      <c r="AM142" s="240">
        <v>0</v>
      </c>
      <c r="AN142" s="240">
        <v>0</v>
      </c>
      <c r="AO142" s="240">
        <v>0</v>
      </c>
      <c r="AP142" s="240">
        <v>0</v>
      </c>
      <c r="AQ142" s="242">
        <f>SUM(Tabela96[[#This Row], [2026-2030]:[2035]])</f>
      </c>
      <c r="AR142" s="1"/>
      <c r="AS142" s="239" t="s">
        <v>40352</v>
      </c>
      <c r="AT142" s="243">
        <v>2024</v>
      </c>
      <c r="AU142" s="239" t="s">
        <v>40799</v>
      </c>
      <c r="AV142" s="246" t="s">
        <v>40754</v>
      </c>
      <c r="AW142" s="239" t="s">
        <v>46</v>
      </c>
      <c r="AX142" s="2"/>
      <c r="AY142" s="2"/>
      <c r="AZ142" s="239" t="s">
        <v>40448</v>
      </c>
    </row>
    <row x14ac:dyDescent="0.25" r="143" customHeight="1" ht="24.75">
      <c r="A143" s="1"/>
      <c r="B143" s="237">
        <f>AND(ISTEXT('Consolidado-Eletronorte'!#REF!),SUM('Consolidado-Eletronorte'!#REF!)&gt;0)</f>
      </c>
      <c r="C143" s="238">
        <f>$J$3</f>
      </c>
      <c r="D143" s="238">
        <f>$H$3</f>
      </c>
      <c r="E143" s="238">
        <f>$H$4</f>
      </c>
      <c r="F143" s="210"/>
      <c r="G143" s="238">
        <f>_xlfn.CONCAT('Consolidado-Eletronorte'!#REF!,"_",ROW('Consolidado-Eletronorte'!#REF!)-ROW('Consolidado-Eletronorte'!$G$18))</f>
      </c>
      <c r="H143" s="212" t="s">
        <v>10</v>
      </c>
      <c r="I143" s="212" t="s">
        <v>87</v>
      </c>
      <c r="J143" s="212" t="s">
        <v>5</v>
      </c>
      <c r="K143" s="213" t="s">
        <v>16</v>
      </c>
      <c r="L143" s="212" t="s">
        <v>67</v>
      </c>
      <c r="M143" s="239" t="s">
        <v>40800</v>
      </c>
      <c r="N143" s="212"/>
      <c r="O143" s="212"/>
      <c r="P143" s="212"/>
      <c r="Q143" s="239" t="s">
        <v>40801</v>
      </c>
      <c r="R143" s="239" t="s">
        <v>40680</v>
      </c>
      <c r="S143" s="239" t="s">
        <v>40752</v>
      </c>
      <c r="T143" s="240">
        <v>215</v>
      </c>
      <c r="U143" s="240">
        <v>215</v>
      </c>
      <c r="V143" s="240">
        <v>215</v>
      </c>
      <c r="W143" s="240">
        <v>215</v>
      </c>
      <c r="X143" s="240">
        <v>215</v>
      </c>
      <c r="Y143" s="240">
        <v>215</v>
      </c>
      <c r="Z143" s="240">
        <v>215</v>
      </c>
      <c r="AA143" s="240">
        <v>215</v>
      </c>
      <c r="AB143" s="240">
        <v>215</v>
      </c>
      <c r="AC143" s="239" t="s">
        <v>40351</v>
      </c>
      <c r="AD143" s="239" t="s">
        <v>40351</v>
      </c>
      <c r="AE143" s="239" t="s">
        <v>40351</v>
      </c>
      <c r="AF143" s="241">
        <f>SUM(Tabela96[[#This Row], [jan/26]:[dez/26]])</f>
      </c>
      <c r="AG143" s="240">
        <v>0</v>
      </c>
      <c r="AH143" s="240">
        <v>0</v>
      </c>
      <c r="AI143" s="240">
        <v>0</v>
      </c>
      <c r="AJ143" s="240">
        <v>0</v>
      </c>
      <c r="AK143" s="240">
        <f>SUM(Tabela96[[#This Row], [2026]:[2030]])</f>
      </c>
      <c r="AL143" s="240">
        <v>0</v>
      </c>
      <c r="AM143" s="240">
        <v>0</v>
      </c>
      <c r="AN143" s="240">
        <v>0</v>
      </c>
      <c r="AO143" s="240">
        <v>0</v>
      </c>
      <c r="AP143" s="240">
        <v>0</v>
      </c>
      <c r="AQ143" s="242">
        <f>SUM(Tabela96[[#This Row], [2026-2030]:[2035]])</f>
      </c>
      <c r="AR143" s="1"/>
      <c r="AS143" s="239" t="s">
        <v>40352</v>
      </c>
      <c r="AT143" s="243">
        <v>2024</v>
      </c>
      <c r="AU143" s="239" t="s">
        <v>40802</v>
      </c>
      <c r="AV143" s="246" t="s">
        <v>40754</v>
      </c>
      <c r="AW143" s="239" t="s">
        <v>46</v>
      </c>
      <c r="AX143" s="2"/>
      <c r="AY143" s="2"/>
      <c r="AZ143" s="239" t="s">
        <v>40448</v>
      </c>
    </row>
    <row x14ac:dyDescent="0.25" r="144" customHeight="1" ht="24.75">
      <c r="A144" s="1"/>
      <c r="B144" s="237">
        <f>AND(ISTEXT('Consolidado-Eletronorte'!#REF!),SUM('Consolidado-Eletronorte'!#REF!)&gt;0)</f>
      </c>
      <c r="C144" s="238">
        <f>$J$3</f>
      </c>
      <c r="D144" s="238">
        <f>$H$3</f>
      </c>
      <c r="E144" s="238">
        <f>$H$4</f>
      </c>
      <c r="F144" s="210"/>
      <c r="G144" s="238">
        <f>_xlfn.CONCAT('Consolidado-Eletronorte'!#REF!,"_",ROW('Consolidado-Eletronorte'!#REF!)-ROW('Consolidado-Eletronorte'!$G$18))</f>
      </c>
      <c r="H144" s="212" t="s">
        <v>10</v>
      </c>
      <c r="I144" s="212" t="s">
        <v>87</v>
      </c>
      <c r="J144" s="212" t="s">
        <v>5</v>
      </c>
      <c r="K144" s="213" t="s">
        <v>16</v>
      </c>
      <c r="L144" s="212" t="s">
        <v>67</v>
      </c>
      <c r="M144" s="239" t="s">
        <v>40803</v>
      </c>
      <c r="N144" s="212"/>
      <c r="O144" s="212"/>
      <c r="P144" s="212"/>
      <c r="Q144" s="239" t="s">
        <v>40804</v>
      </c>
      <c r="R144" s="239" t="s">
        <v>40680</v>
      </c>
      <c r="S144" s="239" t="s">
        <v>40752</v>
      </c>
      <c r="T144" s="240">
        <v>215</v>
      </c>
      <c r="U144" s="240">
        <v>215</v>
      </c>
      <c r="V144" s="240">
        <v>215</v>
      </c>
      <c r="W144" s="240">
        <v>215</v>
      </c>
      <c r="X144" s="240">
        <v>215</v>
      </c>
      <c r="Y144" s="240">
        <v>215</v>
      </c>
      <c r="Z144" s="240">
        <v>215</v>
      </c>
      <c r="AA144" s="240">
        <v>215</v>
      </c>
      <c r="AB144" s="240">
        <v>215</v>
      </c>
      <c r="AC144" s="239" t="s">
        <v>40351</v>
      </c>
      <c r="AD144" s="239" t="s">
        <v>40351</v>
      </c>
      <c r="AE144" s="239" t="s">
        <v>40351</v>
      </c>
      <c r="AF144" s="241">
        <f>SUM(Tabela96[[#This Row], [jan/26]:[dez/26]])</f>
      </c>
      <c r="AG144" s="240">
        <v>0</v>
      </c>
      <c r="AH144" s="240">
        <v>0</v>
      </c>
      <c r="AI144" s="240">
        <v>0</v>
      </c>
      <c r="AJ144" s="240">
        <v>0</v>
      </c>
      <c r="AK144" s="240">
        <f>SUM(Tabela96[[#This Row], [2026]:[2030]])</f>
      </c>
      <c r="AL144" s="240">
        <v>0</v>
      </c>
      <c r="AM144" s="240">
        <v>0</v>
      </c>
      <c r="AN144" s="240">
        <v>0</v>
      </c>
      <c r="AO144" s="240">
        <v>0</v>
      </c>
      <c r="AP144" s="240">
        <v>0</v>
      </c>
      <c r="AQ144" s="242">
        <f>SUM(Tabela96[[#This Row], [2026-2030]:[2035]])</f>
      </c>
      <c r="AR144" s="1"/>
      <c r="AS144" s="239" t="s">
        <v>40352</v>
      </c>
      <c r="AT144" s="243">
        <v>2024</v>
      </c>
      <c r="AU144" s="239" t="s">
        <v>40805</v>
      </c>
      <c r="AV144" s="246" t="s">
        <v>40754</v>
      </c>
      <c r="AW144" s="239" t="s">
        <v>46</v>
      </c>
      <c r="AX144" s="2"/>
      <c r="AY144" s="2"/>
      <c r="AZ144" s="239" t="s">
        <v>40448</v>
      </c>
    </row>
    <row x14ac:dyDescent="0.25" r="145" customHeight="1" ht="24.75">
      <c r="A145" s="1"/>
      <c r="B145" s="237">
        <f>AND(ISTEXT('Consolidado-Eletronorte'!#REF!),SUM('Consolidado-Eletronorte'!#REF!)&gt;0)</f>
      </c>
      <c r="C145" s="238">
        <f>$J$3</f>
      </c>
      <c r="D145" s="238">
        <f>$H$3</f>
      </c>
      <c r="E145" s="238">
        <f>$H$4</f>
      </c>
      <c r="F145" s="210"/>
      <c r="G145" s="238">
        <f>_xlfn.CONCAT('Consolidado-Eletronorte'!#REF!,"_",ROW('Consolidado-Eletronorte'!#REF!)-ROW('Consolidado-Eletronorte'!$G$18))</f>
      </c>
      <c r="H145" s="212" t="s">
        <v>10</v>
      </c>
      <c r="I145" s="212" t="s">
        <v>87</v>
      </c>
      <c r="J145" s="212" t="s">
        <v>5</v>
      </c>
      <c r="K145" s="213" t="s">
        <v>16</v>
      </c>
      <c r="L145" s="212" t="s">
        <v>67</v>
      </c>
      <c r="M145" s="239" t="s">
        <v>40806</v>
      </c>
      <c r="N145" s="212"/>
      <c r="O145" s="212"/>
      <c r="P145" s="212"/>
      <c r="Q145" s="239" t="s">
        <v>40807</v>
      </c>
      <c r="R145" s="239" t="s">
        <v>40680</v>
      </c>
      <c r="S145" s="239" t="s">
        <v>40752</v>
      </c>
      <c r="T145" s="240">
        <v>215</v>
      </c>
      <c r="U145" s="240">
        <v>215</v>
      </c>
      <c r="V145" s="240">
        <v>215</v>
      </c>
      <c r="W145" s="240">
        <v>215</v>
      </c>
      <c r="X145" s="240">
        <v>215</v>
      </c>
      <c r="Y145" s="240">
        <v>215</v>
      </c>
      <c r="Z145" s="240">
        <v>215</v>
      </c>
      <c r="AA145" s="240">
        <v>215</v>
      </c>
      <c r="AB145" s="240">
        <v>215</v>
      </c>
      <c r="AC145" s="239" t="s">
        <v>40351</v>
      </c>
      <c r="AD145" s="239" t="s">
        <v>40351</v>
      </c>
      <c r="AE145" s="239" t="s">
        <v>40351</v>
      </c>
      <c r="AF145" s="241">
        <f>SUM(Tabela96[[#This Row], [jan/26]:[dez/26]])</f>
      </c>
      <c r="AG145" s="240">
        <v>0</v>
      </c>
      <c r="AH145" s="240">
        <v>0</v>
      </c>
      <c r="AI145" s="240">
        <v>0</v>
      </c>
      <c r="AJ145" s="240">
        <v>0</v>
      </c>
      <c r="AK145" s="240">
        <f>SUM(Tabela96[[#This Row], [2026]:[2030]])</f>
      </c>
      <c r="AL145" s="240">
        <v>0</v>
      </c>
      <c r="AM145" s="240">
        <v>0</v>
      </c>
      <c r="AN145" s="240">
        <v>0</v>
      </c>
      <c r="AO145" s="240">
        <v>0</v>
      </c>
      <c r="AP145" s="240">
        <v>0</v>
      </c>
      <c r="AQ145" s="242">
        <f>SUM(Tabela96[[#This Row], [2026-2030]:[2035]])</f>
      </c>
      <c r="AR145" s="1"/>
      <c r="AS145" s="239" t="s">
        <v>40352</v>
      </c>
      <c r="AT145" s="243">
        <v>2024</v>
      </c>
      <c r="AU145" s="239" t="s">
        <v>40808</v>
      </c>
      <c r="AV145" s="246" t="s">
        <v>40754</v>
      </c>
      <c r="AW145" s="239" t="s">
        <v>46</v>
      </c>
      <c r="AX145" s="2"/>
      <c r="AY145" s="2"/>
      <c r="AZ145" s="239" t="s">
        <v>40448</v>
      </c>
    </row>
    <row x14ac:dyDescent="0.25" r="146" customHeight="1" ht="24.75">
      <c r="A146" s="1"/>
      <c r="B146" s="237">
        <f>AND(ISTEXT('Consolidado-Eletronorte'!#REF!),SUM('Consolidado-Eletronorte'!#REF!)&gt;0)</f>
      </c>
      <c r="C146" s="238">
        <f>$J$3</f>
      </c>
      <c r="D146" s="238">
        <f>$H$3</f>
      </c>
      <c r="E146" s="238">
        <f>$H$4</f>
      </c>
      <c r="F146" s="210"/>
      <c r="G146" s="238">
        <f>_xlfn.CONCAT('Consolidado-Eletronorte'!#REF!,"_",ROW('Consolidado-Eletronorte'!#REF!)-ROW('Consolidado-Eletronorte'!$G$18))</f>
      </c>
      <c r="H146" s="212" t="s">
        <v>10</v>
      </c>
      <c r="I146" s="212" t="s">
        <v>87</v>
      </c>
      <c r="J146" s="212" t="s">
        <v>5</v>
      </c>
      <c r="K146" s="213" t="s">
        <v>16</v>
      </c>
      <c r="L146" s="212" t="s">
        <v>67</v>
      </c>
      <c r="M146" s="239" t="s">
        <v>40809</v>
      </c>
      <c r="N146" s="212"/>
      <c r="O146" s="212"/>
      <c r="P146" s="212"/>
      <c r="Q146" s="239" t="s">
        <v>40810</v>
      </c>
      <c r="R146" s="239" t="s">
        <v>40680</v>
      </c>
      <c r="S146" s="239" t="s">
        <v>40752</v>
      </c>
      <c r="T146" s="240">
        <v>215</v>
      </c>
      <c r="U146" s="240">
        <v>215</v>
      </c>
      <c r="V146" s="240">
        <v>215</v>
      </c>
      <c r="W146" s="240">
        <v>215</v>
      </c>
      <c r="X146" s="240">
        <v>215</v>
      </c>
      <c r="Y146" s="240">
        <v>215</v>
      </c>
      <c r="Z146" s="240">
        <v>215</v>
      </c>
      <c r="AA146" s="240">
        <v>215</v>
      </c>
      <c r="AB146" s="240">
        <v>215</v>
      </c>
      <c r="AC146" s="239" t="s">
        <v>40351</v>
      </c>
      <c r="AD146" s="239" t="s">
        <v>40351</v>
      </c>
      <c r="AE146" s="239" t="s">
        <v>40351</v>
      </c>
      <c r="AF146" s="241">
        <f>SUM(Tabela96[[#This Row], [jan/26]:[dez/26]])</f>
      </c>
      <c r="AG146" s="240">
        <v>0</v>
      </c>
      <c r="AH146" s="240">
        <v>0</v>
      </c>
      <c r="AI146" s="240">
        <v>0</v>
      </c>
      <c r="AJ146" s="240">
        <v>0</v>
      </c>
      <c r="AK146" s="240">
        <f>SUM(Tabela96[[#This Row], [2026]:[2030]])</f>
      </c>
      <c r="AL146" s="240">
        <v>0</v>
      </c>
      <c r="AM146" s="240">
        <v>0</v>
      </c>
      <c r="AN146" s="240">
        <v>0</v>
      </c>
      <c r="AO146" s="240">
        <v>0</v>
      </c>
      <c r="AP146" s="240">
        <v>0</v>
      </c>
      <c r="AQ146" s="242">
        <f>SUM(Tabela96[[#This Row], [2026-2030]:[2035]])</f>
      </c>
      <c r="AR146" s="1"/>
      <c r="AS146" s="239" t="s">
        <v>40352</v>
      </c>
      <c r="AT146" s="243">
        <v>2024</v>
      </c>
      <c r="AU146" s="239" t="s">
        <v>40811</v>
      </c>
      <c r="AV146" s="246" t="s">
        <v>40754</v>
      </c>
      <c r="AW146" s="239" t="s">
        <v>46</v>
      </c>
      <c r="AX146" s="2"/>
      <c r="AY146" s="2"/>
      <c r="AZ146" s="239" t="s">
        <v>40448</v>
      </c>
    </row>
    <row x14ac:dyDescent="0.25" r="147" customHeight="1" ht="24.75">
      <c r="A147" s="1"/>
      <c r="B147" s="237">
        <f>AND(ISTEXT('Consolidado-Eletronorte'!#REF!),SUM('Consolidado-Eletronorte'!#REF!)&gt;0)</f>
      </c>
      <c r="C147" s="238">
        <f>$J$3</f>
      </c>
      <c r="D147" s="238">
        <f>$H$3</f>
      </c>
      <c r="E147" s="238">
        <f>$H$4</f>
      </c>
      <c r="F147" s="210"/>
      <c r="G147" s="238">
        <f>_xlfn.CONCAT('Consolidado-Eletronorte'!#REF!,"_",ROW('Consolidado-Eletronorte'!#REF!)-ROW('Consolidado-Eletronorte'!$G$18))</f>
      </c>
      <c r="H147" s="212" t="s">
        <v>10</v>
      </c>
      <c r="I147" s="212" t="s">
        <v>87</v>
      </c>
      <c r="J147" s="212" t="s">
        <v>5</v>
      </c>
      <c r="K147" s="213" t="s">
        <v>16</v>
      </c>
      <c r="L147" s="212" t="s">
        <v>67</v>
      </c>
      <c r="M147" s="239" t="s">
        <v>40812</v>
      </c>
      <c r="N147" s="212"/>
      <c r="O147" s="212"/>
      <c r="P147" s="212"/>
      <c r="Q147" s="239" t="s">
        <v>40813</v>
      </c>
      <c r="R147" s="239" t="s">
        <v>40680</v>
      </c>
      <c r="S147" s="239" t="s">
        <v>40752</v>
      </c>
      <c r="T147" s="240">
        <v>215</v>
      </c>
      <c r="U147" s="240">
        <v>215</v>
      </c>
      <c r="V147" s="240">
        <v>215</v>
      </c>
      <c r="W147" s="240">
        <v>215</v>
      </c>
      <c r="X147" s="240">
        <v>215</v>
      </c>
      <c r="Y147" s="240">
        <v>215</v>
      </c>
      <c r="Z147" s="240">
        <v>215</v>
      </c>
      <c r="AA147" s="240">
        <v>215</v>
      </c>
      <c r="AB147" s="240">
        <v>215</v>
      </c>
      <c r="AC147" s="239" t="s">
        <v>40351</v>
      </c>
      <c r="AD147" s="239" t="s">
        <v>40351</v>
      </c>
      <c r="AE147" s="239" t="s">
        <v>40351</v>
      </c>
      <c r="AF147" s="241">
        <f>SUM(Tabela96[[#This Row], [jan/26]:[dez/26]])</f>
      </c>
      <c r="AG147" s="240">
        <v>0</v>
      </c>
      <c r="AH147" s="240">
        <v>0</v>
      </c>
      <c r="AI147" s="240">
        <v>0</v>
      </c>
      <c r="AJ147" s="240">
        <v>0</v>
      </c>
      <c r="AK147" s="240">
        <f>SUM(Tabela96[[#This Row], [2026]:[2030]])</f>
      </c>
      <c r="AL147" s="240">
        <v>0</v>
      </c>
      <c r="AM147" s="240">
        <v>0</v>
      </c>
      <c r="AN147" s="240">
        <v>0</v>
      </c>
      <c r="AO147" s="240">
        <v>0</v>
      </c>
      <c r="AP147" s="240">
        <v>0</v>
      </c>
      <c r="AQ147" s="242">
        <f>SUM(Tabela96[[#This Row], [2026-2030]:[2035]])</f>
      </c>
      <c r="AR147" s="1"/>
      <c r="AS147" s="239" t="s">
        <v>40352</v>
      </c>
      <c r="AT147" s="243">
        <v>2024</v>
      </c>
      <c r="AU147" s="239" t="s">
        <v>40814</v>
      </c>
      <c r="AV147" s="246" t="s">
        <v>40754</v>
      </c>
      <c r="AW147" s="239" t="s">
        <v>46</v>
      </c>
      <c r="AX147" s="2"/>
      <c r="AY147" s="2"/>
      <c r="AZ147" s="239" t="s">
        <v>40448</v>
      </c>
    </row>
    <row x14ac:dyDescent="0.25" r="148" customHeight="1" ht="24.75">
      <c r="A148" s="1"/>
      <c r="B148" s="237">
        <f>AND(ISTEXT('Consolidado-Eletronorte'!#REF!),SUM('Consolidado-Eletronorte'!#REF!)&gt;0)</f>
      </c>
      <c r="C148" s="238">
        <f>$J$3</f>
      </c>
      <c r="D148" s="238">
        <f>$H$3</f>
      </c>
      <c r="E148" s="238">
        <f>$H$4</f>
      </c>
      <c r="F148" s="210"/>
      <c r="G148" s="238">
        <f>_xlfn.CONCAT('Consolidado-Eletronorte'!#REF!,"_",ROW('Consolidado-Eletronorte'!#REF!)-ROW('Consolidado-Eletronorte'!$G$18))</f>
      </c>
      <c r="H148" s="212" t="s">
        <v>10</v>
      </c>
      <c r="I148" s="212" t="s">
        <v>87</v>
      </c>
      <c r="J148" s="212" t="s">
        <v>5</v>
      </c>
      <c r="K148" s="213" t="s">
        <v>16</v>
      </c>
      <c r="L148" s="212" t="s">
        <v>67</v>
      </c>
      <c r="M148" s="239" t="s">
        <v>40815</v>
      </c>
      <c r="N148" s="212"/>
      <c r="O148" s="212"/>
      <c r="P148" s="212"/>
      <c r="Q148" s="239" t="s">
        <v>40816</v>
      </c>
      <c r="R148" s="239" t="s">
        <v>40680</v>
      </c>
      <c r="S148" s="239" t="s">
        <v>40752</v>
      </c>
      <c r="T148" s="240">
        <v>215</v>
      </c>
      <c r="U148" s="240">
        <v>215</v>
      </c>
      <c r="V148" s="240">
        <v>215</v>
      </c>
      <c r="W148" s="240">
        <v>215</v>
      </c>
      <c r="X148" s="240">
        <v>215</v>
      </c>
      <c r="Y148" s="240">
        <v>215</v>
      </c>
      <c r="Z148" s="240">
        <v>215</v>
      </c>
      <c r="AA148" s="240">
        <v>215</v>
      </c>
      <c r="AB148" s="240">
        <v>215</v>
      </c>
      <c r="AC148" s="239" t="s">
        <v>40351</v>
      </c>
      <c r="AD148" s="239" t="s">
        <v>40351</v>
      </c>
      <c r="AE148" s="239" t="s">
        <v>40351</v>
      </c>
      <c r="AF148" s="241">
        <f>SUM(Tabela96[[#This Row], [jan/26]:[dez/26]])</f>
      </c>
      <c r="AG148" s="240">
        <v>0</v>
      </c>
      <c r="AH148" s="240">
        <v>0</v>
      </c>
      <c r="AI148" s="240">
        <v>0</v>
      </c>
      <c r="AJ148" s="240">
        <v>0</v>
      </c>
      <c r="AK148" s="240">
        <f>SUM(Tabela96[[#This Row], [2026]:[2030]])</f>
      </c>
      <c r="AL148" s="240">
        <v>0</v>
      </c>
      <c r="AM148" s="240">
        <v>0</v>
      </c>
      <c r="AN148" s="240">
        <v>0</v>
      </c>
      <c r="AO148" s="240">
        <v>0</v>
      </c>
      <c r="AP148" s="240">
        <v>0</v>
      </c>
      <c r="AQ148" s="242">
        <f>SUM(Tabela96[[#This Row], [2026-2030]:[2035]])</f>
      </c>
      <c r="AR148" s="1"/>
      <c r="AS148" s="239" t="s">
        <v>40352</v>
      </c>
      <c r="AT148" s="243">
        <v>2024</v>
      </c>
      <c r="AU148" s="239" t="s">
        <v>40817</v>
      </c>
      <c r="AV148" s="246" t="s">
        <v>40754</v>
      </c>
      <c r="AW148" s="239" t="s">
        <v>46</v>
      </c>
      <c r="AX148" s="2"/>
      <c r="AY148" s="2"/>
      <c r="AZ148" s="239" t="s">
        <v>40448</v>
      </c>
    </row>
    <row x14ac:dyDescent="0.25" r="149" customHeight="1" ht="24.75">
      <c r="A149" s="1"/>
      <c r="B149" s="237">
        <f>AND(ISTEXT('Consolidado-Eletronorte'!#REF!),SUM('Consolidado-Eletronorte'!#REF!)&gt;0)</f>
      </c>
      <c r="C149" s="238">
        <f>$J$3</f>
      </c>
      <c r="D149" s="238">
        <f>$H$3</f>
      </c>
      <c r="E149" s="238">
        <f>$H$4</f>
      </c>
      <c r="F149" s="210"/>
      <c r="G149" s="238">
        <f>_xlfn.CONCAT('Consolidado-Eletronorte'!#REF!,"_",ROW('Consolidado-Eletronorte'!#REF!)-ROW('Consolidado-Eletronorte'!$G$18))</f>
      </c>
      <c r="H149" s="212" t="s">
        <v>10</v>
      </c>
      <c r="I149" s="212" t="s">
        <v>87</v>
      </c>
      <c r="J149" s="212" t="s">
        <v>5</v>
      </c>
      <c r="K149" s="213" t="s">
        <v>16</v>
      </c>
      <c r="L149" s="212" t="s">
        <v>67</v>
      </c>
      <c r="M149" s="239" t="s">
        <v>40818</v>
      </c>
      <c r="N149" s="212"/>
      <c r="O149" s="212"/>
      <c r="P149" s="212"/>
      <c r="Q149" s="239" t="s">
        <v>40819</v>
      </c>
      <c r="R149" s="239" t="s">
        <v>40680</v>
      </c>
      <c r="S149" s="239" t="s">
        <v>40752</v>
      </c>
      <c r="T149" s="240">
        <v>215</v>
      </c>
      <c r="U149" s="240">
        <v>215</v>
      </c>
      <c r="V149" s="240">
        <v>215</v>
      </c>
      <c r="W149" s="240">
        <v>215</v>
      </c>
      <c r="X149" s="240">
        <v>215</v>
      </c>
      <c r="Y149" s="240">
        <v>215</v>
      </c>
      <c r="Z149" s="240">
        <v>215</v>
      </c>
      <c r="AA149" s="240">
        <v>215</v>
      </c>
      <c r="AB149" s="240">
        <v>215</v>
      </c>
      <c r="AC149" s="239" t="s">
        <v>40351</v>
      </c>
      <c r="AD149" s="239" t="s">
        <v>40351</v>
      </c>
      <c r="AE149" s="239" t="s">
        <v>40351</v>
      </c>
      <c r="AF149" s="241">
        <f>SUM(Tabela96[[#This Row], [jan/26]:[dez/26]])</f>
      </c>
      <c r="AG149" s="240">
        <v>0</v>
      </c>
      <c r="AH149" s="240">
        <v>0</v>
      </c>
      <c r="AI149" s="240">
        <v>0</v>
      </c>
      <c r="AJ149" s="240">
        <v>0</v>
      </c>
      <c r="AK149" s="240">
        <f>SUM(Tabela96[[#This Row], [2026]:[2030]])</f>
      </c>
      <c r="AL149" s="240">
        <v>0</v>
      </c>
      <c r="AM149" s="240">
        <v>0</v>
      </c>
      <c r="AN149" s="240">
        <v>0</v>
      </c>
      <c r="AO149" s="240">
        <v>0</v>
      </c>
      <c r="AP149" s="240">
        <v>0</v>
      </c>
      <c r="AQ149" s="242">
        <f>SUM(Tabela96[[#This Row], [2026-2030]:[2035]])</f>
      </c>
      <c r="AR149" s="1"/>
      <c r="AS149" s="239" t="s">
        <v>40352</v>
      </c>
      <c r="AT149" s="243">
        <v>2024</v>
      </c>
      <c r="AU149" s="239" t="s">
        <v>40820</v>
      </c>
      <c r="AV149" s="246" t="s">
        <v>40754</v>
      </c>
      <c r="AW149" s="239" t="s">
        <v>46</v>
      </c>
      <c r="AX149" s="2"/>
      <c r="AY149" s="2"/>
      <c r="AZ149" s="239" t="s">
        <v>40448</v>
      </c>
    </row>
    <row x14ac:dyDescent="0.25" r="150" customHeight="1" ht="24.75">
      <c r="A150" s="1"/>
      <c r="B150" s="237">
        <f>AND(ISTEXT('Consolidado-Eletronorte'!#REF!),SUM('Consolidado-Eletronorte'!#REF!)&gt;0)</f>
      </c>
      <c r="C150" s="238">
        <f>$J$3</f>
      </c>
      <c r="D150" s="238">
        <f>$H$3</f>
      </c>
      <c r="E150" s="238">
        <f>$H$4</f>
      </c>
      <c r="F150" s="210"/>
      <c r="G150" s="238">
        <f>_xlfn.CONCAT('Consolidado-Eletronorte'!#REF!,"_",ROW('Consolidado-Eletronorte'!#REF!)-ROW('Consolidado-Eletronorte'!$G$18))</f>
      </c>
      <c r="H150" s="212" t="s">
        <v>10</v>
      </c>
      <c r="I150" s="212" t="s">
        <v>87</v>
      </c>
      <c r="J150" s="212" t="s">
        <v>5</v>
      </c>
      <c r="K150" s="213" t="s">
        <v>16</v>
      </c>
      <c r="L150" s="212" t="s">
        <v>67</v>
      </c>
      <c r="M150" s="239" t="s">
        <v>40821</v>
      </c>
      <c r="N150" s="212"/>
      <c r="O150" s="212"/>
      <c r="P150" s="212"/>
      <c r="Q150" s="239" t="s">
        <v>40822</v>
      </c>
      <c r="R150" s="239" t="s">
        <v>40680</v>
      </c>
      <c r="S150" s="239" t="s">
        <v>40752</v>
      </c>
      <c r="T150" s="240">
        <v>215</v>
      </c>
      <c r="U150" s="240">
        <v>215</v>
      </c>
      <c r="V150" s="240">
        <v>215</v>
      </c>
      <c r="W150" s="240">
        <v>215</v>
      </c>
      <c r="X150" s="240">
        <v>215</v>
      </c>
      <c r="Y150" s="240">
        <v>215</v>
      </c>
      <c r="Z150" s="240">
        <v>215</v>
      </c>
      <c r="AA150" s="240">
        <v>215</v>
      </c>
      <c r="AB150" s="240">
        <v>215</v>
      </c>
      <c r="AC150" s="239" t="s">
        <v>40351</v>
      </c>
      <c r="AD150" s="239" t="s">
        <v>40351</v>
      </c>
      <c r="AE150" s="239" t="s">
        <v>40351</v>
      </c>
      <c r="AF150" s="241">
        <f>SUM(Tabela96[[#This Row], [jan/26]:[dez/26]])</f>
      </c>
      <c r="AG150" s="240">
        <v>0</v>
      </c>
      <c r="AH150" s="240">
        <v>0</v>
      </c>
      <c r="AI150" s="240">
        <v>0</v>
      </c>
      <c r="AJ150" s="240">
        <v>0</v>
      </c>
      <c r="AK150" s="240">
        <f>SUM(Tabela96[[#This Row], [2026]:[2030]])</f>
      </c>
      <c r="AL150" s="240">
        <v>0</v>
      </c>
      <c r="AM150" s="240">
        <v>0</v>
      </c>
      <c r="AN150" s="240">
        <v>0</v>
      </c>
      <c r="AO150" s="240">
        <v>0</v>
      </c>
      <c r="AP150" s="240">
        <v>0</v>
      </c>
      <c r="AQ150" s="242">
        <f>SUM(Tabela96[[#This Row], [2026-2030]:[2035]])</f>
      </c>
      <c r="AR150" s="1"/>
      <c r="AS150" s="239" t="s">
        <v>40352</v>
      </c>
      <c r="AT150" s="243">
        <v>2024</v>
      </c>
      <c r="AU150" s="239" t="s">
        <v>40823</v>
      </c>
      <c r="AV150" s="246" t="s">
        <v>40754</v>
      </c>
      <c r="AW150" s="239" t="s">
        <v>46</v>
      </c>
      <c r="AX150" s="2"/>
      <c r="AY150" s="2"/>
      <c r="AZ150" s="239" t="s">
        <v>40448</v>
      </c>
    </row>
    <row x14ac:dyDescent="0.25" r="151" customHeight="1" ht="24.75">
      <c r="A151" s="1"/>
      <c r="B151" s="237">
        <f>AND(ISTEXT('Consolidado-Eletronorte'!#REF!),SUM('Consolidado-Eletronorte'!#REF!)&gt;0)</f>
      </c>
      <c r="C151" s="238">
        <f>$J$3</f>
      </c>
      <c r="D151" s="238">
        <f>$H$3</f>
      </c>
      <c r="E151" s="238">
        <f>$H$4</f>
      </c>
      <c r="F151" s="210"/>
      <c r="G151" s="238">
        <f>_xlfn.CONCAT('Consolidado-Eletronorte'!#REF!,"_",ROW('Consolidado-Eletronorte'!#REF!)-ROW('Consolidado-Eletronorte'!$G$18))</f>
      </c>
      <c r="H151" s="212" t="s">
        <v>10</v>
      </c>
      <c r="I151" s="212" t="s">
        <v>87</v>
      </c>
      <c r="J151" s="212" t="s">
        <v>5</v>
      </c>
      <c r="K151" s="213" t="s">
        <v>16</v>
      </c>
      <c r="L151" s="212" t="s">
        <v>67</v>
      </c>
      <c r="M151" s="239" t="s">
        <v>40824</v>
      </c>
      <c r="N151" s="212"/>
      <c r="O151" s="212"/>
      <c r="P151" s="212"/>
      <c r="Q151" s="239" t="s">
        <v>40825</v>
      </c>
      <c r="R151" s="239" t="s">
        <v>40680</v>
      </c>
      <c r="S151" s="239" t="s">
        <v>40826</v>
      </c>
      <c r="T151" s="240">
        <v>215</v>
      </c>
      <c r="U151" s="240">
        <v>215</v>
      </c>
      <c r="V151" s="240">
        <v>215</v>
      </c>
      <c r="W151" s="240">
        <v>215</v>
      </c>
      <c r="X151" s="240">
        <v>215</v>
      </c>
      <c r="Y151" s="240">
        <v>215</v>
      </c>
      <c r="Z151" s="240">
        <v>215</v>
      </c>
      <c r="AA151" s="240">
        <v>215</v>
      </c>
      <c r="AB151" s="240">
        <v>215</v>
      </c>
      <c r="AC151" s="239" t="s">
        <v>40351</v>
      </c>
      <c r="AD151" s="239" t="s">
        <v>40351</v>
      </c>
      <c r="AE151" s="239" t="s">
        <v>40351</v>
      </c>
      <c r="AF151" s="241">
        <f>SUM(Tabela96[[#This Row], [jan/26]:[dez/26]])</f>
      </c>
      <c r="AG151" s="240">
        <v>0</v>
      </c>
      <c r="AH151" s="240">
        <v>0</v>
      </c>
      <c r="AI151" s="240">
        <v>0</v>
      </c>
      <c r="AJ151" s="240">
        <v>0</v>
      </c>
      <c r="AK151" s="240">
        <f>SUM(Tabela96[[#This Row], [2026]:[2030]])</f>
      </c>
      <c r="AL151" s="240">
        <v>0</v>
      </c>
      <c r="AM151" s="240">
        <v>0</v>
      </c>
      <c r="AN151" s="240">
        <v>0</v>
      </c>
      <c r="AO151" s="240">
        <v>0</v>
      </c>
      <c r="AP151" s="240">
        <v>0</v>
      </c>
      <c r="AQ151" s="242">
        <f>SUM(Tabela96[[#This Row], [2026-2030]:[2035]])</f>
      </c>
      <c r="AR151" s="1"/>
      <c r="AS151" s="239" t="s">
        <v>40352</v>
      </c>
      <c r="AT151" s="243">
        <v>2024</v>
      </c>
      <c r="AU151" s="239" t="s">
        <v>40827</v>
      </c>
      <c r="AV151" s="3" t="s">
        <v>40828</v>
      </c>
      <c r="AW151" s="239" t="s">
        <v>46</v>
      </c>
      <c r="AX151" s="2"/>
      <c r="AY151" s="2"/>
      <c r="AZ151" s="239" t="s">
        <v>40448</v>
      </c>
    </row>
    <row x14ac:dyDescent="0.25" r="152" customHeight="1" ht="24.75">
      <c r="A152" s="1"/>
      <c r="B152" s="237">
        <f>AND(ISTEXT('Consolidado-Eletronorte'!#REF!),SUM('Consolidado-Eletronorte'!#REF!)&gt;0)</f>
      </c>
      <c r="C152" s="238">
        <f>$J$3</f>
      </c>
      <c r="D152" s="238">
        <f>$H$3</f>
      </c>
      <c r="E152" s="238">
        <f>$H$4</f>
      </c>
      <c r="F152" s="210"/>
      <c r="G152" s="238">
        <f>_xlfn.CONCAT('Consolidado-Eletronorte'!#REF!,"_",ROW('Consolidado-Eletronorte'!#REF!)-ROW('Consolidado-Eletronorte'!$G$18))</f>
      </c>
      <c r="H152" s="212" t="s">
        <v>10</v>
      </c>
      <c r="I152" s="212" t="s">
        <v>87</v>
      </c>
      <c r="J152" s="212" t="s">
        <v>5</v>
      </c>
      <c r="K152" s="213" t="s">
        <v>16</v>
      </c>
      <c r="L152" s="212" t="s">
        <v>67</v>
      </c>
      <c r="M152" s="239" t="s">
        <v>40829</v>
      </c>
      <c r="N152" s="212"/>
      <c r="O152" s="212"/>
      <c r="P152" s="212"/>
      <c r="Q152" s="239" t="s">
        <v>40830</v>
      </c>
      <c r="R152" s="239" t="s">
        <v>40680</v>
      </c>
      <c r="S152" s="239" t="s">
        <v>40826</v>
      </c>
      <c r="T152" s="240">
        <v>215</v>
      </c>
      <c r="U152" s="240">
        <v>215</v>
      </c>
      <c r="V152" s="240">
        <v>215</v>
      </c>
      <c r="W152" s="240">
        <v>215</v>
      </c>
      <c r="X152" s="240">
        <v>215</v>
      </c>
      <c r="Y152" s="240">
        <v>215</v>
      </c>
      <c r="Z152" s="240">
        <v>215</v>
      </c>
      <c r="AA152" s="240">
        <v>215</v>
      </c>
      <c r="AB152" s="240">
        <v>215</v>
      </c>
      <c r="AC152" s="239" t="s">
        <v>40351</v>
      </c>
      <c r="AD152" s="239" t="s">
        <v>40351</v>
      </c>
      <c r="AE152" s="239" t="s">
        <v>40351</v>
      </c>
      <c r="AF152" s="241">
        <f>SUM(Tabela96[[#This Row], [jan/26]:[dez/26]])</f>
      </c>
      <c r="AG152" s="240">
        <v>0</v>
      </c>
      <c r="AH152" s="240">
        <v>0</v>
      </c>
      <c r="AI152" s="240">
        <v>0</v>
      </c>
      <c r="AJ152" s="240">
        <v>0</v>
      </c>
      <c r="AK152" s="240">
        <f>SUM(Tabela96[[#This Row], [2026]:[2030]])</f>
      </c>
      <c r="AL152" s="240">
        <v>0</v>
      </c>
      <c r="AM152" s="240">
        <v>0</v>
      </c>
      <c r="AN152" s="240">
        <v>0</v>
      </c>
      <c r="AO152" s="240">
        <v>0</v>
      </c>
      <c r="AP152" s="240">
        <v>0</v>
      </c>
      <c r="AQ152" s="242">
        <f>SUM(Tabela96[[#This Row], [2026-2030]:[2035]])</f>
      </c>
      <c r="AR152" s="1"/>
      <c r="AS152" s="239" t="s">
        <v>40352</v>
      </c>
      <c r="AT152" s="243">
        <v>2024</v>
      </c>
      <c r="AU152" s="239" t="s">
        <v>40831</v>
      </c>
      <c r="AV152" s="3" t="s">
        <v>40828</v>
      </c>
      <c r="AW152" s="239" t="s">
        <v>46</v>
      </c>
      <c r="AX152" s="2"/>
      <c r="AY152" s="2"/>
      <c r="AZ152" s="239" t="s">
        <v>40448</v>
      </c>
    </row>
    <row x14ac:dyDescent="0.25" r="153" customHeight="1" ht="24.75">
      <c r="A153" s="1"/>
      <c r="B153" s="237">
        <f>AND(ISTEXT('Consolidado-Eletronorte'!#REF!),SUM('Consolidado-Eletronorte'!#REF!)&gt;0)</f>
      </c>
      <c r="C153" s="238">
        <f>$J$3</f>
      </c>
      <c r="D153" s="238">
        <f>$H$3</f>
      </c>
      <c r="E153" s="238">
        <f>$H$4</f>
      </c>
      <c r="F153" s="210"/>
      <c r="G153" s="238">
        <f>_xlfn.CONCAT('Consolidado-Eletronorte'!#REF!,"_",ROW('Consolidado-Eletronorte'!#REF!)-ROW('Consolidado-Eletronorte'!$G$18))</f>
      </c>
      <c r="H153" s="212" t="s">
        <v>10</v>
      </c>
      <c r="I153" s="212" t="s">
        <v>87</v>
      </c>
      <c r="J153" s="212" t="s">
        <v>5</v>
      </c>
      <c r="K153" s="213" t="s">
        <v>16</v>
      </c>
      <c r="L153" s="212" t="s">
        <v>67</v>
      </c>
      <c r="M153" s="239" t="s">
        <v>40832</v>
      </c>
      <c r="N153" s="212"/>
      <c r="O153" s="212"/>
      <c r="P153" s="212"/>
      <c r="Q153" s="239" t="s">
        <v>40833</v>
      </c>
      <c r="R153" s="239" t="s">
        <v>40680</v>
      </c>
      <c r="S153" s="239" t="s">
        <v>40826</v>
      </c>
      <c r="T153" s="240">
        <v>215</v>
      </c>
      <c r="U153" s="240">
        <v>215</v>
      </c>
      <c r="V153" s="240">
        <v>215</v>
      </c>
      <c r="W153" s="240">
        <v>215</v>
      </c>
      <c r="X153" s="240">
        <v>215</v>
      </c>
      <c r="Y153" s="240">
        <v>215</v>
      </c>
      <c r="Z153" s="240">
        <v>215</v>
      </c>
      <c r="AA153" s="240">
        <v>215</v>
      </c>
      <c r="AB153" s="240">
        <v>215</v>
      </c>
      <c r="AC153" s="239" t="s">
        <v>40351</v>
      </c>
      <c r="AD153" s="239" t="s">
        <v>40351</v>
      </c>
      <c r="AE153" s="239" t="s">
        <v>40351</v>
      </c>
      <c r="AF153" s="241">
        <f>SUM(Tabela96[[#This Row], [jan/26]:[dez/26]])</f>
      </c>
      <c r="AG153" s="240">
        <v>0</v>
      </c>
      <c r="AH153" s="240">
        <v>0</v>
      </c>
      <c r="AI153" s="240">
        <v>0</v>
      </c>
      <c r="AJ153" s="240">
        <v>0</v>
      </c>
      <c r="AK153" s="240">
        <f>SUM(Tabela96[[#This Row], [2026]:[2030]])</f>
      </c>
      <c r="AL153" s="240">
        <v>0</v>
      </c>
      <c r="AM153" s="240">
        <v>0</v>
      </c>
      <c r="AN153" s="240">
        <v>0</v>
      </c>
      <c r="AO153" s="240">
        <v>0</v>
      </c>
      <c r="AP153" s="240">
        <v>0</v>
      </c>
      <c r="AQ153" s="242">
        <f>SUM(Tabela96[[#This Row], [2026-2030]:[2035]])</f>
      </c>
      <c r="AR153" s="1"/>
      <c r="AS153" s="239" t="s">
        <v>40352</v>
      </c>
      <c r="AT153" s="243">
        <v>2024</v>
      </c>
      <c r="AU153" s="239" t="s">
        <v>40834</v>
      </c>
      <c r="AV153" s="3" t="s">
        <v>40828</v>
      </c>
      <c r="AW153" s="239" t="s">
        <v>46</v>
      </c>
      <c r="AX153" s="2"/>
      <c r="AY153" s="2"/>
      <c r="AZ153" s="239" t="s">
        <v>40448</v>
      </c>
    </row>
    <row x14ac:dyDescent="0.25" r="154" customHeight="1" ht="24.75">
      <c r="A154" s="1"/>
      <c r="B154" s="237">
        <f>AND(ISTEXT('Consolidado-Eletronorte'!#REF!),SUM('Consolidado-Eletronorte'!#REF!)&gt;0)</f>
      </c>
      <c r="C154" s="238">
        <f>$J$3</f>
      </c>
      <c r="D154" s="238">
        <f>$H$3</f>
      </c>
      <c r="E154" s="238">
        <f>$H$4</f>
      </c>
      <c r="F154" s="210"/>
      <c r="G154" s="238">
        <f>_xlfn.CONCAT('Consolidado-Eletronorte'!#REF!,"_",ROW('Consolidado-Eletronorte'!#REF!)-ROW('Consolidado-Eletronorte'!$G$18))</f>
      </c>
      <c r="H154" s="212" t="s">
        <v>10</v>
      </c>
      <c r="I154" s="212" t="s">
        <v>87</v>
      </c>
      <c r="J154" s="212" t="s">
        <v>5</v>
      </c>
      <c r="K154" s="213" t="s">
        <v>16</v>
      </c>
      <c r="L154" s="212" t="s">
        <v>67</v>
      </c>
      <c r="M154" s="239" t="s">
        <v>40835</v>
      </c>
      <c r="N154" s="212"/>
      <c r="O154" s="212"/>
      <c r="P154" s="212"/>
      <c r="Q154" s="239" t="s">
        <v>40836</v>
      </c>
      <c r="R154" s="239" t="s">
        <v>40680</v>
      </c>
      <c r="S154" s="239" t="s">
        <v>40826</v>
      </c>
      <c r="T154" s="240">
        <v>215</v>
      </c>
      <c r="U154" s="240">
        <v>215</v>
      </c>
      <c r="V154" s="240">
        <v>215</v>
      </c>
      <c r="W154" s="240">
        <v>215</v>
      </c>
      <c r="X154" s="240">
        <v>215</v>
      </c>
      <c r="Y154" s="240">
        <v>215</v>
      </c>
      <c r="Z154" s="240">
        <v>215</v>
      </c>
      <c r="AA154" s="240">
        <v>215</v>
      </c>
      <c r="AB154" s="240">
        <v>215</v>
      </c>
      <c r="AC154" s="239" t="s">
        <v>40351</v>
      </c>
      <c r="AD154" s="239" t="s">
        <v>40351</v>
      </c>
      <c r="AE154" s="239" t="s">
        <v>40351</v>
      </c>
      <c r="AF154" s="241">
        <f>SUM(Tabela96[[#This Row], [jan/26]:[dez/26]])</f>
      </c>
      <c r="AG154" s="240">
        <v>0</v>
      </c>
      <c r="AH154" s="240">
        <v>0</v>
      </c>
      <c r="AI154" s="240">
        <v>0</v>
      </c>
      <c r="AJ154" s="240">
        <v>0</v>
      </c>
      <c r="AK154" s="240">
        <f>SUM(Tabela96[[#This Row], [2026]:[2030]])</f>
      </c>
      <c r="AL154" s="240">
        <v>0</v>
      </c>
      <c r="AM154" s="240">
        <v>0</v>
      </c>
      <c r="AN154" s="240">
        <v>0</v>
      </c>
      <c r="AO154" s="240">
        <v>0</v>
      </c>
      <c r="AP154" s="240">
        <v>0</v>
      </c>
      <c r="AQ154" s="242">
        <f>SUM(Tabela96[[#This Row], [2026-2030]:[2035]])</f>
      </c>
      <c r="AR154" s="1"/>
      <c r="AS154" s="239" t="s">
        <v>40352</v>
      </c>
      <c r="AT154" s="243">
        <v>2024</v>
      </c>
      <c r="AU154" s="239" t="s">
        <v>40837</v>
      </c>
      <c r="AV154" s="3" t="s">
        <v>40828</v>
      </c>
      <c r="AW154" s="239" t="s">
        <v>46</v>
      </c>
      <c r="AX154" s="2"/>
      <c r="AY154" s="2"/>
      <c r="AZ154" s="239" t="s">
        <v>40448</v>
      </c>
    </row>
    <row x14ac:dyDescent="0.25" r="155" customHeight="1" ht="24.75">
      <c r="A155" s="1"/>
      <c r="B155" s="237">
        <f>AND(ISTEXT('Consolidado-Eletronorte'!#REF!),SUM('Consolidado-Eletronorte'!#REF!)&gt;0)</f>
      </c>
      <c r="C155" s="238">
        <f>$J$3</f>
      </c>
      <c r="D155" s="238">
        <f>$H$3</f>
      </c>
      <c r="E155" s="238">
        <f>$H$4</f>
      </c>
      <c r="F155" s="210"/>
      <c r="G155" s="238">
        <f>_xlfn.CONCAT('Consolidado-Eletronorte'!#REF!,"_",ROW('Consolidado-Eletronorte'!#REF!)-ROW('Consolidado-Eletronorte'!$G$18))</f>
      </c>
      <c r="H155" s="212" t="s">
        <v>10</v>
      </c>
      <c r="I155" s="212" t="s">
        <v>87</v>
      </c>
      <c r="J155" s="212" t="s">
        <v>5</v>
      </c>
      <c r="K155" s="213" t="s">
        <v>16</v>
      </c>
      <c r="L155" s="212" t="s">
        <v>67</v>
      </c>
      <c r="M155" s="239" t="s">
        <v>40838</v>
      </c>
      <c r="N155" s="212"/>
      <c r="O155" s="212"/>
      <c r="P155" s="212"/>
      <c r="Q155" s="239" t="s">
        <v>40839</v>
      </c>
      <c r="R155" s="239" t="s">
        <v>40680</v>
      </c>
      <c r="S155" s="239" t="s">
        <v>40826</v>
      </c>
      <c r="T155" s="240">
        <v>215</v>
      </c>
      <c r="U155" s="240">
        <v>215</v>
      </c>
      <c r="V155" s="240">
        <v>215</v>
      </c>
      <c r="W155" s="240">
        <v>215</v>
      </c>
      <c r="X155" s="240">
        <v>215</v>
      </c>
      <c r="Y155" s="240">
        <v>215</v>
      </c>
      <c r="Z155" s="240">
        <v>215</v>
      </c>
      <c r="AA155" s="240">
        <v>215</v>
      </c>
      <c r="AB155" s="240">
        <v>215</v>
      </c>
      <c r="AC155" s="239" t="s">
        <v>40351</v>
      </c>
      <c r="AD155" s="239" t="s">
        <v>40351</v>
      </c>
      <c r="AE155" s="239" t="s">
        <v>40351</v>
      </c>
      <c r="AF155" s="241">
        <f>SUM(Tabela96[[#This Row], [jan/26]:[dez/26]])</f>
      </c>
      <c r="AG155" s="240">
        <v>0</v>
      </c>
      <c r="AH155" s="240">
        <v>0</v>
      </c>
      <c r="AI155" s="240">
        <v>0</v>
      </c>
      <c r="AJ155" s="240">
        <v>0</v>
      </c>
      <c r="AK155" s="240">
        <f>SUM(Tabela96[[#This Row], [2026]:[2030]])</f>
      </c>
      <c r="AL155" s="240">
        <v>0</v>
      </c>
      <c r="AM155" s="240">
        <v>0</v>
      </c>
      <c r="AN155" s="240">
        <v>0</v>
      </c>
      <c r="AO155" s="240">
        <v>0</v>
      </c>
      <c r="AP155" s="240">
        <v>0</v>
      </c>
      <c r="AQ155" s="242">
        <f>SUM(Tabela96[[#This Row], [2026-2030]:[2035]])</f>
      </c>
      <c r="AR155" s="1"/>
      <c r="AS155" s="239" t="s">
        <v>40352</v>
      </c>
      <c r="AT155" s="243">
        <v>2024</v>
      </c>
      <c r="AU155" s="239" t="s">
        <v>40840</v>
      </c>
      <c r="AV155" s="3" t="s">
        <v>40828</v>
      </c>
      <c r="AW155" s="239" t="s">
        <v>46</v>
      </c>
      <c r="AX155" s="2"/>
      <c r="AY155" s="2"/>
      <c r="AZ155" s="239" t="s">
        <v>40448</v>
      </c>
    </row>
    <row x14ac:dyDescent="0.25" r="156" customHeight="1" ht="24.75">
      <c r="A156" s="1"/>
      <c r="B156" s="237">
        <f>AND(ISTEXT('Consolidado-Eletronorte'!#REF!),SUM('Consolidado-Eletronorte'!#REF!)&gt;0)</f>
      </c>
      <c r="C156" s="238">
        <f>$J$3</f>
      </c>
      <c r="D156" s="238">
        <f>$H$3</f>
      </c>
      <c r="E156" s="238">
        <f>$H$4</f>
      </c>
      <c r="F156" s="210"/>
      <c r="G156" s="238">
        <f>_xlfn.CONCAT('Consolidado-Eletronorte'!#REF!,"_",ROW('Consolidado-Eletronorte'!#REF!)-ROW('Consolidado-Eletronorte'!$G$18))</f>
      </c>
      <c r="H156" s="212" t="s">
        <v>10</v>
      </c>
      <c r="I156" s="212" t="s">
        <v>87</v>
      </c>
      <c r="J156" s="212" t="s">
        <v>5</v>
      </c>
      <c r="K156" s="213" t="s">
        <v>16</v>
      </c>
      <c r="L156" s="212" t="s">
        <v>67</v>
      </c>
      <c r="M156" s="239" t="s">
        <v>40841</v>
      </c>
      <c r="N156" s="212"/>
      <c r="O156" s="212"/>
      <c r="P156" s="212"/>
      <c r="Q156" s="239" t="s">
        <v>40842</v>
      </c>
      <c r="R156" s="239" t="s">
        <v>40680</v>
      </c>
      <c r="S156" s="239" t="s">
        <v>40826</v>
      </c>
      <c r="T156" s="240">
        <v>215</v>
      </c>
      <c r="U156" s="240">
        <v>215</v>
      </c>
      <c r="V156" s="240">
        <v>215</v>
      </c>
      <c r="W156" s="240">
        <v>215</v>
      </c>
      <c r="X156" s="240">
        <v>215</v>
      </c>
      <c r="Y156" s="240">
        <v>215</v>
      </c>
      <c r="Z156" s="240">
        <v>215</v>
      </c>
      <c r="AA156" s="240">
        <v>215</v>
      </c>
      <c r="AB156" s="240">
        <v>215</v>
      </c>
      <c r="AC156" s="239" t="s">
        <v>40351</v>
      </c>
      <c r="AD156" s="239" t="s">
        <v>40351</v>
      </c>
      <c r="AE156" s="239" t="s">
        <v>40351</v>
      </c>
      <c r="AF156" s="241">
        <f>SUM(Tabela96[[#This Row], [jan/26]:[dez/26]])</f>
      </c>
      <c r="AG156" s="240">
        <v>0</v>
      </c>
      <c r="AH156" s="240">
        <v>0</v>
      </c>
      <c r="AI156" s="240">
        <v>0</v>
      </c>
      <c r="AJ156" s="240">
        <v>0</v>
      </c>
      <c r="AK156" s="240">
        <f>SUM(Tabela96[[#This Row], [2026]:[2030]])</f>
      </c>
      <c r="AL156" s="240">
        <v>0</v>
      </c>
      <c r="AM156" s="240">
        <v>0</v>
      </c>
      <c r="AN156" s="240">
        <v>0</v>
      </c>
      <c r="AO156" s="240">
        <v>0</v>
      </c>
      <c r="AP156" s="240">
        <v>0</v>
      </c>
      <c r="AQ156" s="242">
        <f>SUM(Tabela96[[#This Row], [2026-2030]:[2035]])</f>
      </c>
      <c r="AR156" s="1"/>
      <c r="AS156" s="239" t="s">
        <v>40352</v>
      </c>
      <c r="AT156" s="243">
        <v>2024</v>
      </c>
      <c r="AU156" s="239" t="s">
        <v>40843</v>
      </c>
      <c r="AV156" s="3" t="s">
        <v>40828</v>
      </c>
      <c r="AW156" s="239" t="s">
        <v>46</v>
      </c>
      <c r="AX156" s="2"/>
      <c r="AY156" s="2"/>
      <c r="AZ156" s="239" t="s">
        <v>40448</v>
      </c>
    </row>
    <row x14ac:dyDescent="0.25" r="157" customHeight="1" ht="24.75">
      <c r="A157" s="1"/>
      <c r="B157" s="237">
        <f>AND(ISTEXT('Consolidado-Eletronorte'!#REF!),SUM('Consolidado-Eletronorte'!#REF!)&gt;0)</f>
      </c>
      <c r="C157" s="238">
        <f>$J$3</f>
      </c>
      <c r="D157" s="238">
        <f>$H$3</f>
      </c>
      <c r="E157" s="238">
        <f>$H$4</f>
      </c>
      <c r="F157" s="210"/>
      <c r="G157" s="238">
        <f>_xlfn.CONCAT('Consolidado-Eletronorte'!#REF!,"_",ROW('Consolidado-Eletronorte'!#REF!)-ROW('Consolidado-Eletronorte'!$G$18))</f>
      </c>
      <c r="H157" s="212" t="s">
        <v>10</v>
      </c>
      <c r="I157" s="212" t="s">
        <v>87</v>
      </c>
      <c r="J157" s="212" t="s">
        <v>5</v>
      </c>
      <c r="K157" s="213" t="s">
        <v>16</v>
      </c>
      <c r="L157" s="212" t="s">
        <v>67</v>
      </c>
      <c r="M157" s="239" t="s">
        <v>40844</v>
      </c>
      <c r="N157" s="212"/>
      <c r="O157" s="212"/>
      <c r="P157" s="212"/>
      <c r="Q157" s="239" t="s">
        <v>40845</v>
      </c>
      <c r="R157" s="239" t="s">
        <v>40680</v>
      </c>
      <c r="S157" s="239" t="s">
        <v>40826</v>
      </c>
      <c r="T157" s="240">
        <v>215</v>
      </c>
      <c r="U157" s="240">
        <v>215</v>
      </c>
      <c r="V157" s="240">
        <v>215</v>
      </c>
      <c r="W157" s="240">
        <v>215</v>
      </c>
      <c r="X157" s="240">
        <v>215</v>
      </c>
      <c r="Y157" s="240">
        <v>215</v>
      </c>
      <c r="Z157" s="240">
        <v>215</v>
      </c>
      <c r="AA157" s="240">
        <v>215</v>
      </c>
      <c r="AB157" s="240">
        <v>215</v>
      </c>
      <c r="AC157" s="239" t="s">
        <v>40351</v>
      </c>
      <c r="AD157" s="239" t="s">
        <v>40351</v>
      </c>
      <c r="AE157" s="239" t="s">
        <v>40351</v>
      </c>
      <c r="AF157" s="241">
        <f>SUM(Tabela96[[#This Row], [jan/26]:[dez/26]])</f>
      </c>
      <c r="AG157" s="240">
        <v>0</v>
      </c>
      <c r="AH157" s="240">
        <v>0</v>
      </c>
      <c r="AI157" s="240">
        <v>0</v>
      </c>
      <c r="AJ157" s="240">
        <v>0</v>
      </c>
      <c r="AK157" s="240">
        <f>SUM(Tabela96[[#This Row], [2026]:[2030]])</f>
      </c>
      <c r="AL157" s="240">
        <v>0</v>
      </c>
      <c r="AM157" s="240">
        <v>0</v>
      </c>
      <c r="AN157" s="240">
        <v>0</v>
      </c>
      <c r="AO157" s="240">
        <v>0</v>
      </c>
      <c r="AP157" s="240">
        <v>0</v>
      </c>
      <c r="AQ157" s="242">
        <f>SUM(Tabela96[[#This Row], [2026-2030]:[2035]])</f>
      </c>
      <c r="AR157" s="1"/>
      <c r="AS157" s="239" t="s">
        <v>40352</v>
      </c>
      <c r="AT157" s="243">
        <v>2024</v>
      </c>
      <c r="AU157" s="239" t="s">
        <v>40846</v>
      </c>
      <c r="AV157" s="3" t="s">
        <v>40828</v>
      </c>
      <c r="AW157" s="239" t="s">
        <v>46</v>
      </c>
      <c r="AX157" s="2"/>
      <c r="AY157" s="2"/>
      <c r="AZ157" s="239" t="s">
        <v>40448</v>
      </c>
    </row>
    <row x14ac:dyDescent="0.25" r="158" customHeight="1" ht="24.75">
      <c r="A158" s="1"/>
      <c r="B158" s="237">
        <f>AND(ISTEXT('Consolidado-Eletronorte'!#REF!),SUM('Consolidado-Eletronorte'!#REF!)&gt;0)</f>
      </c>
      <c r="C158" s="238">
        <f>$J$3</f>
      </c>
      <c r="D158" s="238">
        <f>$H$3</f>
      </c>
      <c r="E158" s="238">
        <f>$H$4</f>
      </c>
      <c r="F158" s="210"/>
      <c r="G158" s="238">
        <f>_xlfn.CONCAT('Consolidado-Eletronorte'!#REF!,"_",ROW('Consolidado-Eletronorte'!#REF!)-ROW('Consolidado-Eletronorte'!$G$18))</f>
      </c>
      <c r="H158" s="212" t="s">
        <v>10</v>
      </c>
      <c r="I158" s="212" t="s">
        <v>87</v>
      </c>
      <c r="J158" s="212" t="s">
        <v>5</v>
      </c>
      <c r="K158" s="213" t="s">
        <v>16</v>
      </c>
      <c r="L158" s="212" t="s">
        <v>67</v>
      </c>
      <c r="M158" s="239" t="s">
        <v>40847</v>
      </c>
      <c r="N158" s="212"/>
      <c r="O158" s="212"/>
      <c r="P158" s="212"/>
      <c r="Q158" s="239" t="s">
        <v>40848</v>
      </c>
      <c r="R158" s="239" t="s">
        <v>40680</v>
      </c>
      <c r="S158" s="239" t="s">
        <v>40826</v>
      </c>
      <c r="T158" s="240">
        <v>215</v>
      </c>
      <c r="U158" s="240">
        <v>215</v>
      </c>
      <c r="V158" s="240">
        <v>215</v>
      </c>
      <c r="W158" s="240">
        <v>215</v>
      </c>
      <c r="X158" s="240">
        <v>215</v>
      </c>
      <c r="Y158" s="240">
        <v>215</v>
      </c>
      <c r="Z158" s="240">
        <v>215</v>
      </c>
      <c r="AA158" s="240">
        <v>215</v>
      </c>
      <c r="AB158" s="240">
        <v>215</v>
      </c>
      <c r="AC158" s="239" t="s">
        <v>40351</v>
      </c>
      <c r="AD158" s="239" t="s">
        <v>40351</v>
      </c>
      <c r="AE158" s="239" t="s">
        <v>40351</v>
      </c>
      <c r="AF158" s="241">
        <f>SUM(Tabela96[[#This Row], [jan/26]:[dez/26]])</f>
      </c>
      <c r="AG158" s="240">
        <v>0</v>
      </c>
      <c r="AH158" s="240">
        <v>0</v>
      </c>
      <c r="AI158" s="240">
        <v>0</v>
      </c>
      <c r="AJ158" s="240">
        <v>0</v>
      </c>
      <c r="AK158" s="240">
        <f>SUM(Tabela96[[#This Row], [2026]:[2030]])</f>
      </c>
      <c r="AL158" s="240">
        <v>0</v>
      </c>
      <c r="AM158" s="240">
        <v>0</v>
      </c>
      <c r="AN158" s="240">
        <v>0</v>
      </c>
      <c r="AO158" s="240">
        <v>0</v>
      </c>
      <c r="AP158" s="240">
        <v>0</v>
      </c>
      <c r="AQ158" s="242">
        <f>SUM(Tabela96[[#This Row], [2026-2030]:[2035]])</f>
      </c>
      <c r="AR158" s="1"/>
      <c r="AS158" s="239" t="s">
        <v>40352</v>
      </c>
      <c r="AT158" s="243">
        <v>2024</v>
      </c>
      <c r="AU158" s="239" t="s">
        <v>40849</v>
      </c>
      <c r="AV158" s="3" t="s">
        <v>40828</v>
      </c>
      <c r="AW158" s="239" t="s">
        <v>46</v>
      </c>
      <c r="AX158" s="2"/>
      <c r="AY158" s="2"/>
      <c r="AZ158" s="239" t="s">
        <v>40448</v>
      </c>
    </row>
    <row x14ac:dyDescent="0.25" r="159" customHeight="1" ht="24.75">
      <c r="A159" s="1"/>
      <c r="B159" s="237">
        <f>AND(ISTEXT('Consolidado-Eletronorte'!#REF!),SUM('Consolidado-Eletronorte'!#REF!)&gt;0)</f>
      </c>
      <c r="C159" s="238">
        <f>$J$3</f>
      </c>
      <c r="D159" s="238">
        <f>$H$3</f>
      </c>
      <c r="E159" s="238">
        <f>$H$4</f>
      </c>
      <c r="F159" s="210"/>
      <c r="G159" s="238">
        <f>_xlfn.CONCAT('Consolidado-Eletronorte'!#REF!,"_",ROW('Consolidado-Eletronorte'!#REF!)-ROW('Consolidado-Eletronorte'!$G$18))</f>
      </c>
      <c r="H159" s="212" t="s">
        <v>10</v>
      </c>
      <c r="I159" s="212" t="s">
        <v>87</v>
      </c>
      <c r="J159" s="212" t="s">
        <v>5</v>
      </c>
      <c r="K159" s="213" t="s">
        <v>16</v>
      </c>
      <c r="L159" s="212" t="s">
        <v>67</v>
      </c>
      <c r="M159" s="239" t="s">
        <v>40850</v>
      </c>
      <c r="N159" s="212"/>
      <c r="O159" s="212"/>
      <c r="P159" s="212"/>
      <c r="Q159" s="239" t="s">
        <v>40851</v>
      </c>
      <c r="R159" s="239" t="s">
        <v>40680</v>
      </c>
      <c r="S159" s="239" t="s">
        <v>40826</v>
      </c>
      <c r="T159" s="240">
        <v>215</v>
      </c>
      <c r="U159" s="240">
        <v>215</v>
      </c>
      <c r="V159" s="240">
        <v>215</v>
      </c>
      <c r="W159" s="240">
        <v>215</v>
      </c>
      <c r="X159" s="240">
        <v>215</v>
      </c>
      <c r="Y159" s="240">
        <v>215</v>
      </c>
      <c r="Z159" s="240">
        <v>215</v>
      </c>
      <c r="AA159" s="240">
        <v>215</v>
      </c>
      <c r="AB159" s="240">
        <v>215</v>
      </c>
      <c r="AC159" s="239" t="s">
        <v>40351</v>
      </c>
      <c r="AD159" s="239" t="s">
        <v>40351</v>
      </c>
      <c r="AE159" s="239" t="s">
        <v>40351</v>
      </c>
      <c r="AF159" s="241">
        <f>SUM(Tabela96[[#This Row], [jan/26]:[dez/26]])</f>
      </c>
      <c r="AG159" s="240">
        <v>0</v>
      </c>
      <c r="AH159" s="240">
        <v>0</v>
      </c>
      <c r="AI159" s="240">
        <v>0</v>
      </c>
      <c r="AJ159" s="240">
        <v>0</v>
      </c>
      <c r="AK159" s="240">
        <f>SUM(Tabela96[[#This Row], [2026]:[2030]])</f>
      </c>
      <c r="AL159" s="240">
        <v>0</v>
      </c>
      <c r="AM159" s="240">
        <v>0</v>
      </c>
      <c r="AN159" s="240">
        <v>0</v>
      </c>
      <c r="AO159" s="240">
        <v>0</v>
      </c>
      <c r="AP159" s="240">
        <v>0</v>
      </c>
      <c r="AQ159" s="242">
        <f>SUM(Tabela96[[#This Row], [2026-2030]:[2035]])</f>
      </c>
      <c r="AR159" s="1"/>
      <c r="AS159" s="239" t="s">
        <v>40352</v>
      </c>
      <c r="AT159" s="243">
        <v>2024</v>
      </c>
      <c r="AU159" s="239" t="s">
        <v>40852</v>
      </c>
      <c r="AV159" s="3" t="s">
        <v>40828</v>
      </c>
      <c r="AW159" s="239" t="s">
        <v>46</v>
      </c>
      <c r="AX159" s="2"/>
      <c r="AY159" s="2"/>
      <c r="AZ159" s="239" t="s">
        <v>40448</v>
      </c>
    </row>
    <row x14ac:dyDescent="0.25" r="160" customHeight="1" ht="24.75">
      <c r="A160" s="1"/>
      <c r="B160" s="237">
        <f>AND(ISTEXT('Consolidado-Eletronorte'!#REF!),SUM('Consolidado-Eletronorte'!#REF!)&gt;0)</f>
      </c>
      <c r="C160" s="238">
        <f>$J$3</f>
      </c>
      <c r="D160" s="238">
        <f>$H$3</f>
      </c>
      <c r="E160" s="238">
        <f>$H$4</f>
      </c>
      <c r="F160" s="210"/>
      <c r="G160" s="238">
        <f>_xlfn.CONCAT('Consolidado-Eletronorte'!#REF!,"_",ROW('Consolidado-Eletronorte'!#REF!)-ROW('Consolidado-Eletronorte'!$G$18))</f>
      </c>
      <c r="H160" s="212" t="s">
        <v>10</v>
      </c>
      <c r="I160" s="212" t="s">
        <v>87</v>
      </c>
      <c r="J160" s="212" t="s">
        <v>5</v>
      </c>
      <c r="K160" s="213" t="s">
        <v>16</v>
      </c>
      <c r="L160" s="212" t="s">
        <v>67</v>
      </c>
      <c r="M160" s="239" t="s">
        <v>40853</v>
      </c>
      <c r="N160" s="212"/>
      <c r="O160" s="212"/>
      <c r="P160" s="212"/>
      <c r="Q160" s="239" t="s">
        <v>40854</v>
      </c>
      <c r="R160" s="239" t="s">
        <v>40680</v>
      </c>
      <c r="S160" s="239" t="s">
        <v>40826</v>
      </c>
      <c r="T160" s="240">
        <v>215</v>
      </c>
      <c r="U160" s="240">
        <v>215</v>
      </c>
      <c r="V160" s="240">
        <v>215</v>
      </c>
      <c r="W160" s="240">
        <v>215</v>
      </c>
      <c r="X160" s="240">
        <v>215</v>
      </c>
      <c r="Y160" s="240">
        <v>215</v>
      </c>
      <c r="Z160" s="240">
        <v>215</v>
      </c>
      <c r="AA160" s="240">
        <v>215</v>
      </c>
      <c r="AB160" s="240">
        <v>215</v>
      </c>
      <c r="AC160" s="239" t="s">
        <v>40351</v>
      </c>
      <c r="AD160" s="239" t="s">
        <v>40351</v>
      </c>
      <c r="AE160" s="239" t="s">
        <v>40351</v>
      </c>
      <c r="AF160" s="241">
        <f>SUM(Tabela96[[#This Row], [jan/26]:[dez/26]])</f>
      </c>
      <c r="AG160" s="240">
        <v>0</v>
      </c>
      <c r="AH160" s="240">
        <v>0</v>
      </c>
      <c r="AI160" s="240">
        <v>0</v>
      </c>
      <c r="AJ160" s="240">
        <v>0</v>
      </c>
      <c r="AK160" s="240">
        <f>SUM(Tabela96[[#This Row], [2026]:[2030]])</f>
      </c>
      <c r="AL160" s="240">
        <v>0</v>
      </c>
      <c r="AM160" s="240">
        <v>0</v>
      </c>
      <c r="AN160" s="240">
        <v>0</v>
      </c>
      <c r="AO160" s="240">
        <v>0</v>
      </c>
      <c r="AP160" s="240">
        <v>0</v>
      </c>
      <c r="AQ160" s="242">
        <f>SUM(Tabela96[[#This Row], [2026-2030]:[2035]])</f>
      </c>
      <c r="AR160" s="1"/>
      <c r="AS160" s="239" t="s">
        <v>40352</v>
      </c>
      <c r="AT160" s="243">
        <v>2024</v>
      </c>
      <c r="AU160" s="239" t="s">
        <v>40855</v>
      </c>
      <c r="AV160" s="3" t="s">
        <v>40828</v>
      </c>
      <c r="AW160" s="239" t="s">
        <v>46</v>
      </c>
      <c r="AX160" s="2"/>
      <c r="AY160" s="2"/>
      <c r="AZ160" s="239" t="s">
        <v>40448</v>
      </c>
    </row>
    <row x14ac:dyDescent="0.25" r="161" customHeight="1" ht="24.75">
      <c r="A161" s="1"/>
      <c r="B161" s="237">
        <f>AND(ISTEXT('Consolidado-Eletronorte'!#REF!),SUM('Consolidado-Eletronorte'!#REF!)&gt;0)</f>
      </c>
      <c r="C161" s="238">
        <f>$J$3</f>
      </c>
      <c r="D161" s="238">
        <f>$H$3</f>
      </c>
      <c r="E161" s="238">
        <f>$H$4</f>
      </c>
      <c r="F161" s="210"/>
      <c r="G161" s="238">
        <f>_xlfn.CONCAT('Consolidado-Eletronorte'!#REF!,"_",ROW('Consolidado-Eletronorte'!#REF!)-ROW('Consolidado-Eletronorte'!$G$18))</f>
      </c>
      <c r="H161" s="212" t="s">
        <v>10</v>
      </c>
      <c r="I161" s="212" t="s">
        <v>87</v>
      </c>
      <c r="J161" s="212" t="s">
        <v>5</v>
      </c>
      <c r="K161" s="213" t="s">
        <v>16</v>
      </c>
      <c r="L161" s="212" t="s">
        <v>67</v>
      </c>
      <c r="M161" s="239" t="s">
        <v>40856</v>
      </c>
      <c r="N161" s="212"/>
      <c r="O161" s="212"/>
      <c r="P161" s="212"/>
      <c r="Q161" s="239" t="s">
        <v>40857</v>
      </c>
      <c r="R161" s="239" t="s">
        <v>40680</v>
      </c>
      <c r="S161" s="239" t="s">
        <v>40826</v>
      </c>
      <c r="T161" s="240">
        <v>215</v>
      </c>
      <c r="U161" s="240">
        <v>215</v>
      </c>
      <c r="V161" s="240">
        <v>215</v>
      </c>
      <c r="W161" s="240">
        <v>215</v>
      </c>
      <c r="X161" s="240">
        <v>215</v>
      </c>
      <c r="Y161" s="240">
        <v>215</v>
      </c>
      <c r="Z161" s="240">
        <v>215</v>
      </c>
      <c r="AA161" s="240">
        <v>215</v>
      </c>
      <c r="AB161" s="240">
        <v>215</v>
      </c>
      <c r="AC161" s="239" t="s">
        <v>40351</v>
      </c>
      <c r="AD161" s="239" t="s">
        <v>40351</v>
      </c>
      <c r="AE161" s="239" t="s">
        <v>40351</v>
      </c>
      <c r="AF161" s="241">
        <f>SUM(Tabela96[[#This Row], [jan/26]:[dez/26]])</f>
      </c>
      <c r="AG161" s="240">
        <v>0</v>
      </c>
      <c r="AH161" s="240">
        <v>0</v>
      </c>
      <c r="AI161" s="240">
        <v>0</v>
      </c>
      <c r="AJ161" s="240">
        <v>0</v>
      </c>
      <c r="AK161" s="240">
        <f>SUM(Tabela96[[#This Row], [2026]:[2030]])</f>
      </c>
      <c r="AL161" s="240">
        <v>0</v>
      </c>
      <c r="AM161" s="240">
        <v>0</v>
      </c>
      <c r="AN161" s="240">
        <v>0</v>
      </c>
      <c r="AO161" s="240">
        <v>0</v>
      </c>
      <c r="AP161" s="240">
        <v>0</v>
      </c>
      <c r="AQ161" s="242">
        <f>SUM(Tabela96[[#This Row], [2026-2030]:[2035]])</f>
      </c>
      <c r="AR161" s="1"/>
      <c r="AS161" s="239" t="s">
        <v>40352</v>
      </c>
      <c r="AT161" s="243">
        <v>2024</v>
      </c>
      <c r="AU161" s="239" t="s">
        <v>40858</v>
      </c>
      <c r="AV161" s="3" t="s">
        <v>40828</v>
      </c>
      <c r="AW161" s="239" t="s">
        <v>46</v>
      </c>
      <c r="AX161" s="2"/>
      <c r="AY161" s="2"/>
      <c r="AZ161" s="239" t="s">
        <v>40448</v>
      </c>
    </row>
    <row x14ac:dyDescent="0.25" r="162" customHeight="1" ht="24.75">
      <c r="A162" s="1"/>
      <c r="B162" s="237">
        <f>AND(ISTEXT('Consolidado-Eletronorte'!#REF!),SUM('Consolidado-Eletronorte'!#REF!)&gt;0)</f>
      </c>
      <c r="C162" s="238">
        <f>$J$3</f>
      </c>
      <c r="D162" s="238">
        <f>$H$3</f>
      </c>
      <c r="E162" s="238">
        <f>$H$4</f>
      </c>
      <c r="F162" s="210"/>
      <c r="G162" s="238">
        <f>_xlfn.CONCAT('Consolidado-Eletronorte'!#REF!,"_",ROW('Consolidado-Eletronorte'!#REF!)-ROW('Consolidado-Eletronorte'!$G$18))</f>
      </c>
      <c r="H162" s="212" t="s">
        <v>10</v>
      </c>
      <c r="I162" s="212" t="s">
        <v>87</v>
      </c>
      <c r="J162" s="212" t="s">
        <v>5</v>
      </c>
      <c r="K162" s="213" t="s">
        <v>16</v>
      </c>
      <c r="L162" s="212" t="s">
        <v>67</v>
      </c>
      <c r="M162" s="239" t="s">
        <v>40859</v>
      </c>
      <c r="N162" s="212"/>
      <c r="O162" s="212"/>
      <c r="P162" s="212"/>
      <c r="Q162" s="239" t="s">
        <v>40860</v>
      </c>
      <c r="R162" s="239" t="s">
        <v>40680</v>
      </c>
      <c r="S162" s="239" t="s">
        <v>40826</v>
      </c>
      <c r="T162" s="240">
        <v>215</v>
      </c>
      <c r="U162" s="240">
        <v>215</v>
      </c>
      <c r="V162" s="240">
        <v>215</v>
      </c>
      <c r="W162" s="240">
        <v>215</v>
      </c>
      <c r="X162" s="240">
        <v>215</v>
      </c>
      <c r="Y162" s="240">
        <v>215</v>
      </c>
      <c r="Z162" s="240">
        <v>215</v>
      </c>
      <c r="AA162" s="240">
        <v>215</v>
      </c>
      <c r="AB162" s="240">
        <v>215</v>
      </c>
      <c r="AC162" s="239" t="s">
        <v>40351</v>
      </c>
      <c r="AD162" s="239" t="s">
        <v>40351</v>
      </c>
      <c r="AE162" s="239" t="s">
        <v>40351</v>
      </c>
      <c r="AF162" s="241">
        <f>SUM(Tabela96[[#This Row], [jan/26]:[dez/26]])</f>
      </c>
      <c r="AG162" s="240">
        <v>0</v>
      </c>
      <c r="AH162" s="240">
        <v>0</v>
      </c>
      <c r="AI162" s="240">
        <v>0</v>
      </c>
      <c r="AJ162" s="240">
        <v>0</v>
      </c>
      <c r="AK162" s="240">
        <f>SUM(Tabela96[[#This Row], [2026]:[2030]])</f>
      </c>
      <c r="AL162" s="240">
        <v>0</v>
      </c>
      <c r="AM162" s="240">
        <v>0</v>
      </c>
      <c r="AN162" s="240">
        <v>0</v>
      </c>
      <c r="AO162" s="240">
        <v>0</v>
      </c>
      <c r="AP162" s="240">
        <v>0</v>
      </c>
      <c r="AQ162" s="242">
        <f>SUM(Tabela96[[#This Row], [2026-2030]:[2035]])</f>
      </c>
      <c r="AR162" s="1"/>
      <c r="AS162" s="239" t="s">
        <v>40352</v>
      </c>
      <c r="AT162" s="243">
        <v>2024</v>
      </c>
      <c r="AU162" s="239" t="s">
        <v>40861</v>
      </c>
      <c r="AV162" s="3" t="s">
        <v>40828</v>
      </c>
      <c r="AW162" s="239" t="s">
        <v>46</v>
      </c>
      <c r="AX162" s="2"/>
      <c r="AY162" s="2"/>
      <c r="AZ162" s="239" t="s">
        <v>40448</v>
      </c>
    </row>
    <row x14ac:dyDescent="0.25" r="163" customHeight="1" ht="24.75">
      <c r="A163" s="1"/>
      <c r="B163" s="237">
        <f>AND(ISTEXT('Consolidado-Eletronorte'!#REF!),SUM('Consolidado-Eletronorte'!#REF!)&gt;0)</f>
      </c>
      <c r="C163" s="238">
        <f>$J$3</f>
      </c>
      <c r="D163" s="238">
        <f>$H$3</f>
      </c>
      <c r="E163" s="238">
        <f>$H$4</f>
      </c>
      <c r="F163" s="210"/>
      <c r="G163" s="238">
        <f>_xlfn.CONCAT('Consolidado-Eletronorte'!#REF!,"_",ROW('Consolidado-Eletronorte'!#REF!)-ROW('Consolidado-Eletronorte'!$G$18))</f>
      </c>
      <c r="H163" s="212" t="s">
        <v>10</v>
      </c>
      <c r="I163" s="212" t="s">
        <v>87</v>
      </c>
      <c r="J163" s="212" t="s">
        <v>5</v>
      </c>
      <c r="K163" s="213" t="s">
        <v>16</v>
      </c>
      <c r="L163" s="212" t="s">
        <v>67</v>
      </c>
      <c r="M163" s="239" t="s">
        <v>40862</v>
      </c>
      <c r="N163" s="212"/>
      <c r="O163" s="212"/>
      <c r="P163" s="212"/>
      <c r="Q163" s="239" t="s">
        <v>40863</v>
      </c>
      <c r="R163" s="239" t="s">
        <v>40680</v>
      </c>
      <c r="S163" s="239" t="s">
        <v>40826</v>
      </c>
      <c r="T163" s="240">
        <v>215</v>
      </c>
      <c r="U163" s="240">
        <v>215</v>
      </c>
      <c r="V163" s="240">
        <v>215</v>
      </c>
      <c r="W163" s="240">
        <v>215</v>
      </c>
      <c r="X163" s="240">
        <v>215</v>
      </c>
      <c r="Y163" s="240">
        <v>215</v>
      </c>
      <c r="Z163" s="240">
        <v>215</v>
      </c>
      <c r="AA163" s="240">
        <v>215</v>
      </c>
      <c r="AB163" s="240">
        <v>215</v>
      </c>
      <c r="AC163" s="239" t="s">
        <v>40351</v>
      </c>
      <c r="AD163" s="239" t="s">
        <v>40351</v>
      </c>
      <c r="AE163" s="239" t="s">
        <v>40351</v>
      </c>
      <c r="AF163" s="241">
        <f>SUM(Tabela96[[#This Row], [jan/26]:[dez/26]])</f>
      </c>
      <c r="AG163" s="240">
        <v>0</v>
      </c>
      <c r="AH163" s="240">
        <v>0</v>
      </c>
      <c r="AI163" s="240">
        <v>0</v>
      </c>
      <c r="AJ163" s="240">
        <v>0</v>
      </c>
      <c r="AK163" s="240">
        <f>SUM(Tabela96[[#This Row], [2026]:[2030]])</f>
      </c>
      <c r="AL163" s="240">
        <v>0</v>
      </c>
      <c r="AM163" s="240">
        <v>0</v>
      </c>
      <c r="AN163" s="240">
        <v>0</v>
      </c>
      <c r="AO163" s="240">
        <v>0</v>
      </c>
      <c r="AP163" s="240">
        <v>0</v>
      </c>
      <c r="AQ163" s="242">
        <f>SUM(Tabela96[[#This Row], [2026-2030]:[2035]])</f>
      </c>
      <c r="AR163" s="1"/>
      <c r="AS163" s="239" t="s">
        <v>40352</v>
      </c>
      <c r="AT163" s="243">
        <v>2024</v>
      </c>
      <c r="AU163" s="239" t="s">
        <v>40864</v>
      </c>
      <c r="AV163" s="3" t="s">
        <v>40828</v>
      </c>
      <c r="AW163" s="239" t="s">
        <v>46</v>
      </c>
      <c r="AX163" s="2"/>
      <c r="AY163" s="2"/>
      <c r="AZ163" s="239" t="s">
        <v>40448</v>
      </c>
    </row>
    <row x14ac:dyDescent="0.25" r="164" customHeight="1" ht="24.75">
      <c r="A164" s="1"/>
      <c r="B164" s="237">
        <f>AND(ISTEXT('Consolidado-Eletronorte'!#REF!),SUM('Consolidado-Eletronorte'!#REF!)&gt;0)</f>
      </c>
      <c r="C164" s="238">
        <f>$J$3</f>
      </c>
      <c r="D164" s="238">
        <f>$H$3</f>
      </c>
      <c r="E164" s="238">
        <f>$H$4</f>
      </c>
      <c r="F164" s="210"/>
      <c r="G164" s="238">
        <f>_xlfn.CONCAT('Consolidado-Eletronorte'!#REF!,"_",ROW('Consolidado-Eletronorte'!#REF!)-ROW('Consolidado-Eletronorte'!$G$18))</f>
      </c>
      <c r="H164" s="212" t="s">
        <v>10</v>
      </c>
      <c r="I164" s="212" t="s">
        <v>87</v>
      </c>
      <c r="J164" s="212" t="s">
        <v>5</v>
      </c>
      <c r="K164" s="213" t="s">
        <v>16</v>
      </c>
      <c r="L164" s="212" t="s">
        <v>67</v>
      </c>
      <c r="M164" s="239" t="s">
        <v>40865</v>
      </c>
      <c r="N164" s="212"/>
      <c r="O164" s="212"/>
      <c r="P164" s="212"/>
      <c r="Q164" s="239" t="s">
        <v>40866</v>
      </c>
      <c r="R164" s="239" t="s">
        <v>40680</v>
      </c>
      <c r="S164" s="239" t="s">
        <v>40826</v>
      </c>
      <c r="T164" s="240">
        <v>215</v>
      </c>
      <c r="U164" s="240">
        <v>215</v>
      </c>
      <c r="V164" s="240">
        <v>215</v>
      </c>
      <c r="W164" s="240">
        <v>215</v>
      </c>
      <c r="X164" s="240">
        <v>215</v>
      </c>
      <c r="Y164" s="240">
        <v>215</v>
      </c>
      <c r="Z164" s="240">
        <v>215</v>
      </c>
      <c r="AA164" s="240">
        <v>215</v>
      </c>
      <c r="AB164" s="240">
        <v>215</v>
      </c>
      <c r="AC164" s="239" t="s">
        <v>40351</v>
      </c>
      <c r="AD164" s="239" t="s">
        <v>40351</v>
      </c>
      <c r="AE164" s="239" t="s">
        <v>40351</v>
      </c>
      <c r="AF164" s="241">
        <f>SUM(Tabela96[[#This Row], [jan/26]:[dez/26]])</f>
      </c>
      <c r="AG164" s="240">
        <v>0</v>
      </c>
      <c r="AH164" s="240">
        <v>0</v>
      </c>
      <c r="AI164" s="240">
        <v>0</v>
      </c>
      <c r="AJ164" s="240">
        <v>0</v>
      </c>
      <c r="AK164" s="240">
        <f>SUM(Tabela96[[#This Row], [2026]:[2030]])</f>
      </c>
      <c r="AL164" s="240">
        <v>0</v>
      </c>
      <c r="AM164" s="240">
        <v>0</v>
      </c>
      <c r="AN164" s="240">
        <v>0</v>
      </c>
      <c r="AO164" s="240">
        <v>0</v>
      </c>
      <c r="AP164" s="240">
        <v>0</v>
      </c>
      <c r="AQ164" s="242">
        <f>SUM(Tabela96[[#This Row], [2026-2030]:[2035]])</f>
      </c>
      <c r="AR164" s="1"/>
      <c r="AS164" s="239" t="s">
        <v>40352</v>
      </c>
      <c r="AT164" s="243">
        <v>2024</v>
      </c>
      <c r="AU164" s="239" t="s">
        <v>40867</v>
      </c>
      <c r="AV164" s="3" t="s">
        <v>40828</v>
      </c>
      <c r="AW164" s="239" t="s">
        <v>46</v>
      </c>
      <c r="AX164" s="2"/>
      <c r="AY164" s="2"/>
      <c r="AZ164" s="239" t="s">
        <v>40448</v>
      </c>
    </row>
    <row x14ac:dyDescent="0.25" r="165" customHeight="1" ht="24.75">
      <c r="A165" s="1"/>
      <c r="B165" s="237">
        <f>AND(ISTEXT('Consolidado-Eletronorte'!#REF!),SUM('Consolidado-Eletronorte'!#REF!)&gt;0)</f>
      </c>
      <c r="C165" s="238">
        <f>$J$3</f>
      </c>
      <c r="D165" s="238">
        <f>$H$3</f>
      </c>
      <c r="E165" s="238">
        <f>$H$4</f>
      </c>
      <c r="F165" s="210"/>
      <c r="G165" s="238">
        <f>_xlfn.CONCAT('Consolidado-Eletronorte'!#REF!,"_",ROW('Consolidado-Eletronorte'!#REF!)-ROW('Consolidado-Eletronorte'!$G$18))</f>
      </c>
      <c r="H165" s="212" t="s">
        <v>10</v>
      </c>
      <c r="I165" s="212" t="s">
        <v>87</v>
      </c>
      <c r="J165" s="212" t="s">
        <v>5</v>
      </c>
      <c r="K165" s="213" t="s">
        <v>16</v>
      </c>
      <c r="L165" s="212" t="s">
        <v>67</v>
      </c>
      <c r="M165" s="239" t="s">
        <v>40868</v>
      </c>
      <c r="N165" s="212"/>
      <c r="O165" s="212"/>
      <c r="P165" s="212"/>
      <c r="Q165" s="239" t="s">
        <v>40869</v>
      </c>
      <c r="R165" s="239" t="s">
        <v>40680</v>
      </c>
      <c r="S165" s="239" t="s">
        <v>40826</v>
      </c>
      <c r="T165" s="240">
        <v>215</v>
      </c>
      <c r="U165" s="240">
        <v>215</v>
      </c>
      <c r="V165" s="240">
        <v>215</v>
      </c>
      <c r="W165" s="240">
        <v>215</v>
      </c>
      <c r="X165" s="240">
        <v>215</v>
      </c>
      <c r="Y165" s="240">
        <v>215</v>
      </c>
      <c r="Z165" s="240">
        <v>215</v>
      </c>
      <c r="AA165" s="240">
        <v>215</v>
      </c>
      <c r="AB165" s="240">
        <v>215</v>
      </c>
      <c r="AC165" s="239" t="s">
        <v>40351</v>
      </c>
      <c r="AD165" s="239" t="s">
        <v>40351</v>
      </c>
      <c r="AE165" s="239" t="s">
        <v>40351</v>
      </c>
      <c r="AF165" s="241">
        <f>SUM(Tabela96[[#This Row], [jan/26]:[dez/26]])</f>
      </c>
      <c r="AG165" s="240">
        <v>0</v>
      </c>
      <c r="AH165" s="240">
        <v>0</v>
      </c>
      <c r="AI165" s="240">
        <v>0</v>
      </c>
      <c r="AJ165" s="240">
        <v>0</v>
      </c>
      <c r="AK165" s="240">
        <f>SUM(Tabela96[[#This Row], [2026]:[2030]])</f>
      </c>
      <c r="AL165" s="240">
        <v>0</v>
      </c>
      <c r="AM165" s="240">
        <v>0</v>
      </c>
      <c r="AN165" s="240">
        <v>0</v>
      </c>
      <c r="AO165" s="240">
        <v>0</v>
      </c>
      <c r="AP165" s="240">
        <v>0</v>
      </c>
      <c r="AQ165" s="242">
        <f>SUM(Tabela96[[#This Row], [2026-2030]:[2035]])</f>
      </c>
      <c r="AR165" s="1"/>
      <c r="AS165" s="239" t="s">
        <v>40352</v>
      </c>
      <c r="AT165" s="243">
        <v>2024</v>
      </c>
      <c r="AU165" s="239" t="s">
        <v>40870</v>
      </c>
      <c r="AV165" s="3" t="s">
        <v>40828</v>
      </c>
      <c r="AW165" s="239" t="s">
        <v>46</v>
      </c>
      <c r="AX165" s="2"/>
      <c r="AY165" s="2"/>
      <c r="AZ165" s="239" t="s">
        <v>40448</v>
      </c>
    </row>
    <row x14ac:dyDescent="0.25" r="166" customHeight="1" ht="24.75">
      <c r="A166" s="1"/>
      <c r="B166" s="237">
        <f>AND(ISTEXT('Consolidado-Eletronorte'!#REF!),SUM('Consolidado-Eletronorte'!#REF!)&gt;0)</f>
      </c>
      <c r="C166" s="238">
        <f>$J$3</f>
      </c>
      <c r="D166" s="238">
        <f>$H$3</f>
      </c>
      <c r="E166" s="238">
        <f>$H$4</f>
      </c>
      <c r="F166" s="210"/>
      <c r="G166" s="238">
        <f>_xlfn.CONCAT('Consolidado-Eletronorte'!#REF!,"_",ROW('Consolidado-Eletronorte'!#REF!)-ROW('Consolidado-Eletronorte'!$G$18))</f>
      </c>
      <c r="H166" s="212" t="s">
        <v>10</v>
      </c>
      <c r="I166" s="212" t="s">
        <v>87</v>
      </c>
      <c r="J166" s="212" t="s">
        <v>5</v>
      </c>
      <c r="K166" s="213" t="s">
        <v>16</v>
      </c>
      <c r="L166" s="212" t="s">
        <v>67</v>
      </c>
      <c r="M166" s="239" t="s">
        <v>40871</v>
      </c>
      <c r="N166" s="212"/>
      <c r="O166" s="212"/>
      <c r="P166" s="212"/>
      <c r="Q166" s="239" t="s">
        <v>40872</v>
      </c>
      <c r="R166" s="239" t="s">
        <v>40680</v>
      </c>
      <c r="S166" s="239" t="s">
        <v>40826</v>
      </c>
      <c r="T166" s="240">
        <v>215</v>
      </c>
      <c r="U166" s="240">
        <v>215</v>
      </c>
      <c r="V166" s="240">
        <v>215</v>
      </c>
      <c r="W166" s="240">
        <v>215</v>
      </c>
      <c r="X166" s="240">
        <v>215</v>
      </c>
      <c r="Y166" s="240">
        <v>215</v>
      </c>
      <c r="Z166" s="240">
        <v>215</v>
      </c>
      <c r="AA166" s="240">
        <v>215</v>
      </c>
      <c r="AB166" s="240">
        <v>215</v>
      </c>
      <c r="AC166" s="239" t="s">
        <v>40351</v>
      </c>
      <c r="AD166" s="239" t="s">
        <v>40351</v>
      </c>
      <c r="AE166" s="239" t="s">
        <v>40351</v>
      </c>
      <c r="AF166" s="241">
        <f>SUM(Tabela96[[#This Row], [jan/26]:[dez/26]])</f>
      </c>
      <c r="AG166" s="240">
        <v>0</v>
      </c>
      <c r="AH166" s="240">
        <v>0</v>
      </c>
      <c r="AI166" s="240">
        <v>0</v>
      </c>
      <c r="AJ166" s="240">
        <v>0</v>
      </c>
      <c r="AK166" s="240">
        <f>SUM(Tabela96[[#This Row], [2026]:[2030]])</f>
      </c>
      <c r="AL166" s="240">
        <v>0</v>
      </c>
      <c r="AM166" s="240">
        <v>0</v>
      </c>
      <c r="AN166" s="240">
        <v>0</v>
      </c>
      <c r="AO166" s="240">
        <v>0</v>
      </c>
      <c r="AP166" s="240">
        <v>0</v>
      </c>
      <c r="AQ166" s="242">
        <f>SUM(Tabela96[[#This Row], [2026-2030]:[2035]])</f>
      </c>
      <c r="AR166" s="1"/>
      <c r="AS166" s="239" t="s">
        <v>40352</v>
      </c>
      <c r="AT166" s="243">
        <v>2024</v>
      </c>
      <c r="AU166" s="239" t="s">
        <v>40873</v>
      </c>
      <c r="AV166" s="3" t="s">
        <v>40828</v>
      </c>
      <c r="AW166" s="239" t="s">
        <v>46</v>
      </c>
      <c r="AX166" s="2"/>
      <c r="AY166" s="2"/>
      <c r="AZ166" s="239" t="s">
        <v>40448</v>
      </c>
    </row>
    <row x14ac:dyDescent="0.25" r="167" customHeight="1" ht="24.75">
      <c r="A167" s="1"/>
      <c r="B167" s="237">
        <f>AND(ISTEXT('Consolidado-Eletronorte'!#REF!),SUM('Consolidado-Eletronorte'!#REF!)&gt;0)</f>
      </c>
      <c r="C167" s="238">
        <f>$J$3</f>
      </c>
      <c r="D167" s="238">
        <f>$H$3</f>
      </c>
      <c r="E167" s="238">
        <f>$H$4</f>
      </c>
      <c r="F167" s="210"/>
      <c r="G167" s="238">
        <f>_xlfn.CONCAT('Consolidado-Eletronorte'!#REF!,"_",ROW('Consolidado-Eletronorte'!#REF!)-ROW('Consolidado-Eletronorte'!$G$18))</f>
      </c>
      <c r="H167" s="212" t="s">
        <v>10</v>
      </c>
      <c r="I167" s="212" t="s">
        <v>87</v>
      </c>
      <c r="J167" s="212" t="s">
        <v>5</v>
      </c>
      <c r="K167" s="213" t="s">
        <v>16</v>
      </c>
      <c r="L167" s="212" t="s">
        <v>67</v>
      </c>
      <c r="M167" s="239" t="s">
        <v>40874</v>
      </c>
      <c r="N167" s="212"/>
      <c r="O167" s="212"/>
      <c r="P167" s="212"/>
      <c r="Q167" s="239" t="s">
        <v>40875</v>
      </c>
      <c r="R167" s="239" t="s">
        <v>40680</v>
      </c>
      <c r="S167" s="239" t="s">
        <v>40826</v>
      </c>
      <c r="T167" s="240">
        <v>215</v>
      </c>
      <c r="U167" s="240">
        <v>215</v>
      </c>
      <c r="V167" s="240">
        <v>215</v>
      </c>
      <c r="W167" s="240">
        <v>215</v>
      </c>
      <c r="X167" s="240">
        <v>215</v>
      </c>
      <c r="Y167" s="240">
        <v>215</v>
      </c>
      <c r="Z167" s="240">
        <v>215</v>
      </c>
      <c r="AA167" s="240">
        <v>215</v>
      </c>
      <c r="AB167" s="240">
        <v>215</v>
      </c>
      <c r="AC167" s="239" t="s">
        <v>40351</v>
      </c>
      <c r="AD167" s="239" t="s">
        <v>40351</v>
      </c>
      <c r="AE167" s="239" t="s">
        <v>40351</v>
      </c>
      <c r="AF167" s="241">
        <f>SUM(Tabela96[[#This Row], [jan/26]:[dez/26]])</f>
      </c>
      <c r="AG167" s="240">
        <v>0</v>
      </c>
      <c r="AH167" s="240">
        <v>0</v>
      </c>
      <c r="AI167" s="240">
        <v>0</v>
      </c>
      <c r="AJ167" s="240">
        <v>0</v>
      </c>
      <c r="AK167" s="240">
        <f>SUM(Tabela96[[#This Row], [2026]:[2030]])</f>
      </c>
      <c r="AL167" s="240">
        <v>0</v>
      </c>
      <c r="AM167" s="240">
        <v>0</v>
      </c>
      <c r="AN167" s="240">
        <v>0</v>
      </c>
      <c r="AO167" s="240">
        <v>0</v>
      </c>
      <c r="AP167" s="240">
        <v>0</v>
      </c>
      <c r="AQ167" s="242">
        <f>SUM(Tabela96[[#This Row], [2026-2030]:[2035]])</f>
      </c>
      <c r="AR167" s="1"/>
      <c r="AS167" s="239" t="s">
        <v>40352</v>
      </c>
      <c r="AT167" s="243">
        <v>2024</v>
      </c>
      <c r="AU167" s="239" t="s">
        <v>40876</v>
      </c>
      <c r="AV167" s="3" t="s">
        <v>40828</v>
      </c>
      <c r="AW167" s="239" t="s">
        <v>46</v>
      </c>
      <c r="AX167" s="2"/>
      <c r="AY167" s="2"/>
      <c r="AZ167" s="239" t="s">
        <v>40448</v>
      </c>
    </row>
    <row x14ac:dyDescent="0.25" r="168" customHeight="1" ht="24.75">
      <c r="A168" s="1"/>
      <c r="B168" s="237">
        <f>AND(ISTEXT('Consolidado-Eletronorte'!#REF!),SUM('Consolidado-Eletronorte'!#REF!)&gt;0)</f>
      </c>
      <c r="C168" s="238">
        <f>$J$3</f>
      </c>
      <c r="D168" s="238">
        <f>$H$3</f>
      </c>
      <c r="E168" s="238">
        <f>$H$4</f>
      </c>
      <c r="F168" s="210"/>
      <c r="G168" s="238">
        <f>_xlfn.CONCAT('Consolidado-Eletronorte'!#REF!,"_",ROW('Consolidado-Eletronorte'!#REF!)-ROW('Consolidado-Eletronorte'!$G$18))</f>
      </c>
      <c r="H168" s="212" t="s">
        <v>10</v>
      </c>
      <c r="I168" s="212" t="s">
        <v>87</v>
      </c>
      <c r="J168" s="212" t="s">
        <v>5</v>
      </c>
      <c r="K168" s="213" t="s">
        <v>16</v>
      </c>
      <c r="L168" s="212" t="s">
        <v>67</v>
      </c>
      <c r="M168" s="239" t="s">
        <v>40877</v>
      </c>
      <c r="N168" s="212"/>
      <c r="O168" s="212"/>
      <c r="P168" s="212"/>
      <c r="Q168" s="239" t="s">
        <v>40878</v>
      </c>
      <c r="R168" s="239" t="s">
        <v>40680</v>
      </c>
      <c r="S168" s="239" t="s">
        <v>40826</v>
      </c>
      <c r="T168" s="240">
        <v>215</v>
      </c>
      <c r="U168" s="240">
        <v>215</v>
      </c>
      <c r="V168" s="240">
        <v>215</v>
      </c>
      <c r="W168" s="240">
        <v>215</v>
      </c>
      <c r="X168" s="240">
        <v>215</v>
      </c>
      <c r="Y168" s="240">
        <v>215</v>
      </c>
      <c r="Z168" s="240">
        <v>215</v>
      </c>
      <c r="AA168" s="240">
        <v>215</v>
      </c>
      <c r="AB168" s="240">
        <v>215</v>
      </c>
      <c r="AC168" s="239" t="s">
        <v>40351</v>
      </c>
      <c r="AD168" s="239" t="s">
        <v>40351</v>
      </c>
      <c r="AE168" s="239" t="s">
        <v>40351</v>
      </c>
      <c r="AF168" s="241">
        <f>SUM(Tabela96[[#This Row], [jan/26]:[dez/26]])</f>
      </c>
      <c r="AG168" s="240">
        <v>0</v>
      </c>
      <c r="AH168" s="240">
        <v>0</v>
      </c>
      <c r="AI168" s="240">
        <v>0</v>
      </c>
      <c r="AJ168" s="240">
        <v>0</v>
      </c>
      <c r="AK168" s="240">
        <f>SUM(Tabela96[[#This Row], [2026]:[2030]])</f>
      </c>
      <c r="AL168" s="240">
        <v>0</v>
      </c>
      <c r="AM168" s="240">
        <v>0</v>
      </c>
      <c r="AN168" s="240">
        <v>0</v>
      </c>
      <c r="AO168" s="240">
        <v>0</v>
      </c>
      <c r="AP168" s="240">
        <v>0</v>
      </c>
      <c r="AQ168" s="242">
        <f>SUM(Tabela96[[#This Row], [2026-2030]:[2035]])</f>
      </c>
      <c r="AR168" s="1"/>
      <c r="AS168" s="239" t="s">
        <v>40352</v>
      </c>
      <c r="AT168" s="243">
        <v>2024</v>
      </c>
      <c r="AU168" s="239" t="s">
        <v>40879</v>
      </c>
      <c r="AV168" s="3" t="s">
        <v>40828</v>
      </c>
      <c r="AW168" s="239" t="s">
        <v>46</v>
      </c>
      <c r="AX168" s="2"/>
      <c r="AY168" s="2"/>
      <c r="AZ168" s="239" t="s">
        <v>40448</v>
      </c>
    </row>
    <row x14ac:dyDescent="0.25" r="169" customHeight="1" ht="24.75">
      <c r="A169" s="1"/>
      <c r="B169" s="237">
        <f>AND(ISTEXT('Consolidado-Eletronorte'!#REF!),SUM('Consolidado-Eletronorte'!#REF!)&gt;0)</f>
      </c>
      <c r="C169" s="238">
        <f>$J$3</f>
      </c>
      <c r="D169" s="238">
        <f>$H$3</f>
      </c>
      <c r="E169" s="238">
        <f>$H$4</f>
      </c>
      <c r="F169" s="210"/>
      <c r="G169" s="238">
        <f>_xlfn.CONCAT('Consolidado-Eletronorte'!#REF!,"_",ROW('Consolidado-Eletronorte'!#REF!)-ROW('Consolidado-Eletronorte'!$G$18))</f>
      </c>
      <c r="H169" s="212" t="s">
        <v>10</v>
      </c>
      <c r="I169" s="212" t="s">
        <v>87</v>
      </c>
      <c r="J169" s="212" t="s">
        <v>5</v>
      </c>
      <c r="K169" s="213" t="s">
        <v>16</v>
      </c>
      <c r="L169" s="212" t="s">
        <v>67</v>
      </c>
      <c r="M169" s="239" t="s">
        <v>40880</v>
      </c>
      <c r="N169" s="212"/>
      <c r="O169" s="212"/>
      <c r="P169" s="212"/>
      <c r="Q169" s="239" t="s">
        <v>40881</v>
      </c>
      <c r="R169" s="239" t="s">
        <v>40680</v>
      </c>
      <c r="S169" s="239" t="s">
        <v>40826</v>
      </c>
      <c r="T169" s="240">
        <v>215</v>
      </c>
      <c r="U169" s="240">
        <v>215</v>
      </c>
      <c r="V169" s="240">
        <v>215</v>
      </c>
      <c r="W169" s="240">
        <v>215</v>
      </c>
      <c r="X169" s="240">
        <v>215</v>
      </c>
      <c r="Y169" s="240">
        <v>215</v>
      </c>
      <c r="Z169" s="240">
        <v>215</v>
      </c>
      <c r="AA169" s="240">
        <v>215</v>
      </c>
      <c r="AB169" s="240">
        <v>215</v>
      </c>
      <c r="AC169" s="239" t="s">
        <v>40351</v>
      </c>
      <c r="AD169" s="239" t="s">
        <v>40351</v>
      </c>
      <c r="AE169" s="239" t="s">
        <v>40351</v>
      </c>
      <c r="AF169" s="241">
        <f>SUM(Tabela96[[#This Row], [jan/26]:[dez/26]])</f>
      </c>
      <c r="AG169" s="240">
        <v>0</v>
      </c>
      <c r="AH169" s="240">
        <v>0</v>
      </c>
      <c r="AI169" s="240">
        <v>0</v>
      </c>
      <c r="AJ169" s="240">
        <v>0</v>
      </c>
      <c r="AK169" s="240">
        <f>SUM(Tabela96[[#This Row], [2026]:[2030]])</f>
      </c>
      <c r="AL169" s="240">
        <v>0</v>
      </c>
      <c r="AM169" s="240">
        <v>0</v>
      </c>
      <c r="AN169" s="240">
        <v>0</v>
      </c>
      <c r="AO169" s="240">
        <v>0</v>
      </c>
      <c r="AP169" s="240">
        <v>0</v>
      </c>
      <c r="AQ169" s="242">
        <f>SUM(Tabela96[[#This Row], [2026-2030]:[2035]])</f>
      </c>
      <c r="AR169" s="1"/>
      <c r="AS169" s="239" t="s">
        <v>40352</v>
      </c>
      <c r="AT169" s="243">
        <v>2024</v>
      </c>
      <c r="AU169" s="239" t="s">
        <v>40882</v>
      </c>
      <c r="AV169" s="3" t="s">
        <v>40828</v>
      </c>
      <c r="AW169" s="239" t="s">
        <v>46</v>
      </c>
      <c r="AX169" s="2"/>
      <c r="AY169" s="2"/>
      <c r="AZ169" s="239" t="s">
        <v>40448</v>
      </c>
    </row>
    <row x14ac:dyDescent="0.25" r="170" customHeight="1" ht="24.75">
      <c r="A170" s="1"/>
      <c r="B170" s="237">
        <f>AND(ISTEXT('Consolidado-Eletronorte'!#REF!),SUM('Consolidado-Eletronorte'!#REF!)&gt;0)</f>
      </c>
      <c r="C170" s="238">
        <f>$J$3</f>
      </c>
      <c r="D170" s="238">
        <f>$H$3</f>
      </c>
      <c r="E170" s="238">
        <f>$H$4</f>
      </c>
      <c r="F170" s="210"/>
      <c r="G170" s="238">
        <f>_xlfn.CONCAT('Consolidado-Eletronorte'!#REF!,"_",ROW('Consolidado-Eletronorte'!#REF!)-ROW('Consolidado-Eletronorte'!$G$18))</f>
      </c>
      <c r="H170" s="212" t="s">
        <v>10</v>
      </c>
      <c r="I170" s="212" t="s">
        <v>87</v>
      </c>
      <c r="J170" s="212" t="s">
        <v>5</v>
      </c>
      <c r="K170" s="213" t="s">
        <v>16</v>
      </c>
      <c r="L170" s="212" t="s">
        <v>67</v>
      </c>
      <c r="M170" s="239" t="s">
        <v>40883</v>
      </c>
      <c r="N170" s="212"/>
      <c r="O170" s="212"/>
      <c r="P170" s="212"/>
      <c r="Q170" s="239" t="s">
        <v>40884</v>
      </c>
      <c r="R170" s="239" t="s">
        <v>40680</v>
      </c>
      <c r="S170" s="239" t="s">
        <v>40826</v>
      </c>
      <c r="T170" s="240">
        <v>215</v>
      </c>
      <c r="U170" s="240">
        <v>215</v>
      </c>
      <c r="V170" s="240">
        <v>215</v>
      </c>
      <c r="W170" s="240">
        <v>215</v>
      </c>
      <c r="X170" s="240">
        <v>215</v>
      </c>
      <c r="Y170" s="240">
        <v>215</v>
      </c>
      <c r="Z170" s="240">
        <v>215</v>
      </c>
      <c r="AA170" s="240">
        <v>215</v>
      </c>
      <c r="AB170" s="240">
        <v>215</v>
      </c>
      <c r="AC170" s="239" t="s">
        <v>40351</v>
      </c>
      <c r="AD170" s="239" t="s">
        <v>40351</v>
      </c>
      <c r="AE170" s="239" t="s">
        <v>40351</v>
      </c>
      <c r="AF170" s="241">
        <f>SUM(Tabela96[[#This Row], [jan/26]:[dez/26]])</f>
      </c>
      <c r="AG170" s="240">
        <v>0</v>
      </c>
      <c r="AH170" s="240">
        <v>0</v>
      </c>
      <c r="AI170" s="240">
        <v>0</v>
      </c>
      <c r="AJ170" s="240">
        <v>0</v>
      </c>
      <c r="AK170" s="240">
        <f>SUM(Tabela96[[#This Row], [2026]:[2030]])</f>
      </c>
      <c r="AL170" s="240">
        <v>0</v>
      </c>
      <c r="AM170" s="240">
        <v>0</v>
      </c>
      <c r="AN170" s="240">
        <v>0</v>
      </c>
      <c r="AO170" s="240">
        <v>0</v>
      </c>
      <c r="AP170" s="240">
        <v>0</v>
      </c>
      <c r="AQ170" s="242">
        <f>SUM(Tabela96[[#This Row], [2026-2030]:[2035]])</f>
      </c>
      <c r="AR170" s="1"/>
      <c r="AS170" s="239" t="s">
        <v>40352</v>
      </c>
      <c r="AT170" s="243">
        <v>2024</v>
      </c>
      <c r="AU170" s="239" t="s">
        <v>40885</v>
      </c>
      <c r="AV170" s="3" t="s">
        <v>40828</v>
      </c>
      <c r="AW170" s="239" t="s">
        <v>46</v>
      </c>
      <c r="AX170" s="2"/>
      <c r="AY170" s="2"/>
      <c r="AZ170" s="239" t="s">
        <v>40448</v>
      </c>
    </row>
    <row x14ac:dyDescent="0.25" r="171" customHeight="1" ht="24.75">
      <c r="A171" s="1"/>
      <c r="B171" s="237">
        <f>AND(ISTEXT('Consolidado-Eletronorte'!#REF!),SUM('Consolidado-Eletronorte'!#REF!)&gt;0)</f>
      </c>
      <c r="C171" s="238">
        <f>$J$3</f>
      </c>
      <c r="D171" s="238">
        <f>$H$3</f>
      </c>
      <c r="E171" s="238">
        <f>$H$4</f>
      </c>
      <c r="F171" s="210"/>
      <c r="G171" s="238">
        <f>_xlfn.CONCAT('Consolidado-Eletronorte'!#REF!,"_",ROW('Consolidado-Eletronorte'!#REF!)-ROW('Consolidado-Eletronorte'!$G$18))</f>
      </c>
      <c r="H171" s="212" t="s">
        <v>10</v>
      </c>
      <c r="I171" s="212" t="s">
        <v>87</v>
      </c>
      <c r="J171" s="212" t="s">
        <v>5</v>
      </c>
      <c r="K171" s="213" t="s">
        <v>16</v>
      </c>
      <c r="L171" s="212" t="s">
        <v>67</v>
      </c>
      <c r="M171" s="239" t="s">
        <v>40886</v>
      </c>
      <c r="N171" s="212"/>
      <c r="O171" s="212"/>
      <c r="P171" s="212"/>
      <c r="Q171" s="239" t="s">
        <v>40887</v>
      </c>
      <c r="R171" s="239" t="s">
        <v>40680</v>
      </c>
      <c r="S171" s="239" t="s">
        <v>40826</v>
      </c>
      <c r="T171" s="240">
        <v>215</v>
      </c>
      <c r="U171" s="240">
        <v>215</v>
      </c>
      <c r="V171" s="240">
        <v>215</v>
      </c>
      <c r="W171" s="240">
        <v>215</v>
      </c>
      <c r="X171" s="240">
        <v>215</v>
      </c>
      <c r="Y171" s="240">
        <v>215</v>
      </c>
      <c r="Z171" s="240">
        <v>215</v>
      </c>
      <c r="AA171" s="240">
        <v>215</v>
      </c>
      <c r="AB171" s="240">
        <v>215</v>
      </c>
      <c r="AC171" s="239" t="s">
        <v>40351</v>
      </c>
      <c r="AD171" s="239" t="s">
        <v>40351</v>
      </c>
      <c r="AE171" s="239" t="s">
        <v>40351</v>
      </c>
      <c r="AF171" s="241">
        <f>SUM(Tabela96[[#This Row], [jan/26]:[dez/26]])</f>
      </c>
      <c r="AG171" s="240">
        <v>0</v>
      </c>
      <c r="AH171" s="240">
        <v>0</v>
      </c>
      <c r="AI171" s="240">
        <v>0</v>
      </c>
      <c r="AJ171" s="240">
        <v>0</v>
      </c>
      <c r="AK171" s="240">
        <f>SUM(Tabela96[[#This Row], [2026]:[2030]])</f>
      </c>
      <c r="AL171" s="240">
        <v>0</v>
      </c>
      <c r="AM171" s="240">
        <v>0</v>
      </c>
      <c r="AN171" s="240">
        <v>0</v>
      </c>
      <c r="AO171" s="240">
        <v>0</v>
      </c>
      <c r="AP171" s="240">
        <v>0</v>
      </c>
      <c r="AQ171" s="242">
        <f>SUM(Tabela96[[#This Row], [2026-2030]:[2035]])</f>
      </c>
      <c r="AR171" s="1"/>
      <c r="AS171" s="239" t="s">
        <v>40352</v>
      </c>
      <c r="AT171" s="243">
        <v>2024</v>
      </c>
      <c r="AU171" s="239" t="s">
        <v>40888</v>
      </c>
      <c r="AV171" s="3" t="s">
        <v>40828</v>
      </c>
      <c r="AW171" s="239" t="s">
        <v>46</v>
      </c>
      <c r="AX171" s="2"/>
      <c r="AY171" s="2"/>
      <c r="AZ171" s="239" t="s">
        <v>40448</v>
      </c>
    </row>
    <row x14ac:dyDescent="0.25" r="172" customHeight="1" ht="24.75">
      <c r="A172" s="1"/>
      <c r="B172" s="237">
        <f>AND(ISTEXT('Consolidado-Eletronorte'!#REF!),SUM('Consolidado-Eletronorte'!#REF!)&gt;0)</f>
      </c>
      <c r="C172" s="238">
        <f>$J$3</f>
      </c>
      <c r="D172" s="238">
        <f>$H$3</f>
      </c>
      <c r="E172" s="238">
        <f>$H$4</f>
      </c>
      <c r="F172" s="210"/>
      <c r="G172" s="238">
        <f>_xlfn.CONCAT('Consolidado-Eletronorte'!#REF!,"_",ROW('Consolidado-Eletronorte'!#REF!)-ROW('Consolidado-Eletronorte'!$G$18))</f>
      </c>
      <c r="H172" s="212" t="s">
        <v>10</v>
      </c>
      <c r="I172" s="212" t="s">
        <v>87</v>
      </c>
      <c r="J172" s="212" t="s">
        <v>5</v>
      </c>
      <c r="K172" s="213" t="s">
        <v>16</v>
      </c>
      <c r="L172" s="212" t="s">
        <v>67</v>
      </c>
      <c r="M172" s="239" t="s">
        <v>40889</v>
      </c>
      <c r="N172" s="212"/>
      <c r="O172" s="212"/>
      <c r="P172" s="212"/>
      <c r="Q172" s="239" t="s">
        <v>40890</v>
      </c>
      <c r="R172" s="239" t="s">
        <v>40680</v>
      </c>
      <c r="S172" s="239" t="s">
        <v>40826</v>
      </c>
      <c r="T172" s="240">
        <v>215</v>
      </c>
      <c r="U172" s="240">
        <v>215</v>
      </c>
      <c r="V172" s="240">
        <v>215</v>
      </c>
      <c r="W172" s="240">
        <v>215</v>
      </c>
      <c r="X172" s="240">
        <v>215</v>
      </c>
      <c r="Y172" s="240">
        <v>215</v>
      </c>
      <c r="Z172" s="240">
        <v>215</v>
      </c>
      <c r="AA172" s="240">
        <v>215</v>
      </c>
      <c r="AB172" s="240">
        <v>215</v>
      </c>
      <c r="AC172" s="239" t="s">
        <v>40351</v>
      </c>
      <c r="AD172" s="239" t="s">
        <v>40351</v>
      </c>
      <c r="AE172" s="239" t="s">
        <v>40351</v>
      </c>
      <c r="AF172" s="241">
        <f>SUM(Tabela96[[#This Row], [jan/26]:[dez/26]])</f>
      </c>
      <c r="AG172" s="240">
        <v>0</v>
      </c>
      <c r="AH172" s="240">
        <v>0</v>
      </c>
      <c r="AI172" s="240">
        <v>0</v>
      </c>
      <c r="AJ172" s="240">
        <v>0</v>
      </c>
      <c r="AK172" s="240">
        <f>SUM(Tabela96[[#This Row], [2026]:[2030]])</f>
      </c>
      <c r="AL172" s="240">
        <v>0</v>
      </c>
      <c r="AM172" s="240">
        <v>0</v>
      </c>
      <c r="AN172" s="240">
        <v>0</v>
      </c>
      <c r="AO172" s="240">
        <v>0</v>
      </c>
      <c r="AP172" s="240">
        <v>0</v>
      </c>
      <c r="AQ172" s="242">
        <f>SUM(Tabela96[[#This Row], [2026-2030]:[2035]])</f>
      </c>
      <c r="AR172" s="1"/>
      <c r="AS172" s="239" t="s">
        <v>40352</v>
      </c>
      <c r="AT172" s="243">
        <v>2024</v>
      </c>
      <c r="AU172" s="239" t="s">
        <v>40891</v>
      </c>
      <c r="AV172" s="3" t="s">
        <v>40828</v>
      </c>
      <c r="AW172" s="239" t="s">
        <v>46</v>
      </c>
      <c r="AX172" s="2"/>
      <c r="AY172" s="2"/>
      <c r="AZ172" s="239" t="s">
        <v>40448</v>
      </c>
    </row>
    <row x14ac:dyDescent="0.25" r="173" customHeight="1" ht="24.75">
      <c r="A173" s="1"/>
      <c r="B173" s="237">
        <f>AND(ISTEXT('Consolidado-Eletronorte'!#REF!),SUM('Consolidado-Eletronorte'!#REF!)&gt;0)</f>
      </c>
      <c r="C173" s="238">
        <f>$J$3</f>
      </c>
      <c r="D173" s="238">
        <f>$H$3</f>
      </c>
      <c r="E173" s="238">
        <f>$H$4</f>
      </c>
      <c r="F173" s="210"/>
      <c r="G173" s="238">
        <f>_xlfn.CONCAT('Consolidado-Eletronorte'!#REF!,"_",ROW('Consolidado-Eletronorte'!#REF!)-ROW('Consolidado-Eletronorte'!$G$18))</f>
      </c>
      <c r="H173" s="212" t="s">
        <v>10</v>
      </c>
      <c r="I173" s="212" t="s">
        <v>87</v>
      </c>
      <c r="J173" s="212" t="s">
        <v>5</v>
      </c>
      <c r="K173" s="213" t="s">
        <v>16</v>
      </c>
      <c r="L173" s="212" t="s">
        <v>67</v>
      </c>
      <c r="M173" s="239" t="s">
        <v>40892</v>
      </c>
      <c r="N173" s="212"/>
      <c r="O173" s="212"/>
      <c r="P173" s="212"/>
      <c r="Q173" s="239" t="s">
        <v>40893</v>
      </c>
      <c r="R173" s="239" t="s">
        <v>40680</v>
      </c>
      <c r="S173" s="239" t="s">
        <v>40826</v>
      </c>
      <c r="T173" s="240">
        <v>215</v>
      </c>
      <c r="U173" s="240">
        <v>215</v>
      </c>
      <c r="V173" s="240">
        <v>215</v>
      </c>
      <c r="W173" s="240">
        <v>215</v>
      </c>
      <c r="X173" s="240">
        <v>215</v>
      </c>
      <c r="Y173" s="240">
        <v>215</v>
      </c>
      <c r="Z173" s="240">
        <v>215</v>
      </c>
      <c r="AA173" s="240">
        <v>215</v>
      </c>
      <c r="AB173" s="240">
        <v>215</v>
      </c>
      <c r="AC173" s="239" t="s">
        <v>40351</v>
      </c>
      <c r="AD173" s="239" t="s">
        <v>40351</v>
      </c>
      <c r="AE173" s="239" t="s">
        <v>40351</v>
      </c>
      <c r="AF173" s="241">
        <f>SUM(Tabela96[[#This Row], [jan/26]:[dez/26]])</f>
      </c>
      <c r="AG173" s="240">
        <v>0</v>
      </c>
      <c r="AH173" s="240">
        <v>0</v>
      </c>
      <c r="AI173" s="240">
        <v>0</v>
      </c>
      <c r="AJ173" s="240">
        <v>0</v>
      </c>
      <c r="AK173" s="240">
        <f>SUM(Tabela96[[#This Row], [2026]:[2030]])</f>
      </c>
      <c r="AL173" s="240">
        <v>0</v>
      </c>
      <c r="AM173" s="240">
        <v>0</v>
      </c>
      <c r="AN173" s="240">
        <v>0</v>
      </c>
      <c r="AO173" s="240">
        <v>0</v>
      </c>
      <c r="AP173" s="240">
        <v>0</v>
      </c>
      <c r="AQ173" s="242">
        <f>SUM(Tabela96[[#This Row], [2026-2030]:[2035]])</f>
      </c>
      <c r="AR173" s="1"/>
      <c r="AS173" s="239" t="s">
        <v>40352</v>
      </c>
      <c r="AT173" s="243">
        <v>2024</v>
      </c>
      <c r="AU173" s="239" t="s">
        <v>40894</v>
      </c>
      <c r="AV173" s="3" t="s">
        <v>40828</v>
      </c>
      <c r="AW173" s="239" t="s">
        <v>46</v>
      </c>
      <c r="AX173" s="2"/>
      <c r="AY173" s="2"/>
      <c r="AZ173" s="239" t="s">
        <v>40448</v>
      </c>
    </row>
    <row x14ac:dyDescent="0.25" r="174" customHeight="1" ht="24.75">
      <c r="A174" s="1"/>
      <c r="B174" s="237">
        <f>AND(ISTEXT('Consolidado-Eletronorte'!#REF!),SUM('Consolidado-Eletronorte'!#REF!)&gt;0)</f>
      </c>
      <c r="C174" s="238">
        <f>$J$3</f>
      </c>
      <c r="D174" s="238">
        <f>$H$3</f>
      </c>
      <c r="E174" s="238">
        <f>$H$4</f>
      </c>
      <c r="F174" s="210"/>
      <c r="G174" s="238">
        <f>_xlfn.CONCAT('Consolidado-Eletronorte'!#REF!,"_",ROW('Consolidado-Eletronorte'!#REF!)-ROW('Consolidado-Eletronorte'!$G$18))</f>
      </c>
      <c r="H174" s="212" t="s">
        <v>10</v>
      </c>
      <c r="I174" s="212" t="s">
        <v>87</v>
      </c>
      <c r="J174" s="212" t="s">
        <v>5</v>
      </c>
      <c r="K174" s="213" t="s">
        <v>16</v>
      </c>
      <c r="L174" s="212" t="s">
        <v>67</v>
      </c>
      <c r="M174" s="239" t="s">
        <v>40895</v>
      </c>
      <c r="N174" s="212"/>
      <c r="O174" s="212"/>
      <c r="P174" s="212"/>
      <c r="Q174" s="239" t="s">
        <v>40896</v>
      </c>
      <c r="R174" s="239" t="s">
        <v>40680</v>
      </c>
      <c r="S174" s="239" t="s">
        <v>40826</v>
      </c>
      <c r="T174" s="240">
        <v>215</v>
      </c>
      <c r="U174" s="240">
        <v>215</v>
      </c>
      <c r="V174" s="240">
        <v>215</v>
      </c>
      <c r="W174" s="240">
        <v>215</v>
      </c>
      <c r="X174" s="240">
        <v>215</v>
      </c>
      <c r="Y174" s="240">
        <v>215</v>
      </c>
      <c r="Z174" s="240">
        <v>215</v>
      </c>
      <c r="AA174" s="240">
        <v>215</v>
      </c>
      <c r="AB174" s="240">
        <v>215</v>
      </c>
      <c r="AC174" s="239" t="s">
        <v>40351</v>
      </c>
      <c r="AD174" s="239" t="s">
        <v>40351</v>
      </c>
      <c r="AE174" s="239" t="s">
        <v>40351</v>
      </c>
      <c r="AF174" s="241">
        <f>SUM(Tabela96[[#This Row], [jan/26]:[dez/26]])</f>
      </c>
      <c r="AG174" s="240">
        <v>0</v>
      </c>
      <c r="AH174" s="240">
        <v>0</v>
      </c>
      <c r="AI174" s="240">
        <v>0</v>
      </c>
      <c r="AJ174" s="240">
        <v>0</v>
      </c>
      <c r="AK174" s="240">
        <f>SUM(Tabela96[[#This Row], [2026]:[2030]])</f>
      </c>
      <c r="AL174" s="240">
        <v>0</v>
      </c>
      <c r="AM174" s="240">
        <v>0</v>
      </c>
      <c r="AN174" s="240">
        <v>0</v>
      </c>
      <c r="AO174" s="240">
        <v>0</v>
      </c>
      <c r="AP174" s="240">
        <v>0</v>
      </c>
      <c r="AQ174" s="242">
        <f>SUM(Tabela96[[#This Row], [2026-2030]:[2035]])</f>
      </c>
      <c r="AR174" s="1"/>
      <c r="AS174" s="239" t="s">
        <v>40352</v>
      </c>
      <c r="AT174" s="243">
        <v>2024</v>
      </c>
      <c r="AU174" s="239" t="s">
        <v>40897</v>
      </c>
      <c r="AV174" s="3" t="s">
        <v>40828</v>
      </c>
      <c r="AW174" s="239" t="s">
        <v>46</v>
      </c>
      <c r="AX174" s="2"/>
      <c r="AY174" s="2"/>
      <c r="AZ174" s="239" t="s">
        <v>40448</v>
      </c>
    </row>
    <row x14ac:dyDescent="0.25" r="175" customHeight="1" ht="24.75">
      <c r="A175" s="1"/>
      <c r="B175" s="237">
        <f>AND(ISTEXT('Consolidado-Eletronorte'!#REF!),SUM('Consolidado-Eletronorte'!#REF!)&gt;0)</f>
      </c>
      <c r="C175" s="238">
        <f>$J$3</f>
      </c>
      <c r="D175" s="238">
        <f>$H$3</f>
      </c>
      <c r="E175" s="238">
        <f>$H$4</f>
      </c>
      <c r="F175" s="210"/>
      <c r="G175" s="238">
        <f>_xlfn.CONCAT('Consolidado-Eletronorte'!#REF!,"_",ROW('Consolidado-Eletronorte'!#REF!)-ROW('Consolidado-Eletronorte'!$G$18))</f>
      </c>
      <c r="H175" s="212" t="s">
        <v>10</v>
      </c>
      <c r="I175" s="212" t="s">
        <v>87</v>
      </c>
      <c r="J175" s="212" t="s">
        <v>5</v>
      </c>
      <c r="K175" s="213" t="s">
        <v>16</v>
      </c>
      <c r="L175" s="212" t="s">
        <v>67</v>
      </c>
      <c r="M175" s="239" t="s">
        <v>40898</v>
      </c>
      <c r="N175" s="212"/>
      <c r="O175" s="212"/>
      <c r="P175" s="212"/>
      <c r="Q175" s="239" t="s">
        <v>40899</v>
      </c>
      <c r="R175" s="239" t="s">
        <v>40680</v>
      </c>
      <c r="S175" s="239" t="s">
        <v>40826</v>
      </c>
      <c r="T175" s="240">
        <v>215</v>
      </c>
      <c r="U175" s="240">
        <v>215</v>
      </c>
      <c r="V175" s="240">
        <v>215</v>
      </c>
      <c r="W175" s="240">
        <v>215</v>
      </c>
      <c r="X175" s="240">
        <v>215</v>
      </c>
      <c r="Y175" s="240">
        <v>215</v>
      </c>
      <c r="Z175" s="240">
        <v>215</v>
      </c>
      <c r="AA175" s="240">
        <v>215</v>
      </c>
      <c r="AB175" s="240">
        <v>215</v>
      </c>
      <c r="AC175" s="239" t="s">
        <v>40351</v>
      </c>
      <c r="AD175" s="239" t="s">
        <v>40351</v>
      </c>
      <c r="AE175" s="239" t="s">
        <v>40351</v>
      </c>
      <c r="AF175" s="241">
        <f>SUM(Tabela96[[#This Row], [jan/26]:[dez/26]])</f>
      </c>
      <c r="AG175" s="240">
        <v>0</v>
      </c>
      <c r="AH175" s="240">
        <v>0</v>
      </c>
      <c r="AI175" s="240">
        <v>0</v>
      </c>
      <c r="AJ175" s="240">
        <v>0</v>
      </c>
      <c r="AK175" s="240">
        <f>SUM(Tabela96[[#This Row], [2026]:[2030]])</f>
      </c>
      <c r="AL175" s="240">
        <v>0</v>
      </c>
      <c r="AM175" s="240">
        <v>0</v>
      </c>
      <c r="AN175" s="240">
        <v>0</v>
      </c>
      <c r="AO175" s="240">
        <v>0</v>
      </c>
      <c r="AP175" s="240">
        <v>0</v>
      </c>
      <c r="AQ175" s="242">
        <f>SUM(Tabela96[[#This Row], [2026-2030]:[2035]])</f>
      </c>
      <c r="AR175" s="1"/>
      <c r="AS175" s="239" t="s">
        <v>40352</v>
      </c>
      <c r="AT175" s="243">
        <v>2024</v>
      </c>
      <c r="AU175" s="239" t="s">
        <v>40900</v>
      </c>
      <c r="AV175" s="3" t="s">
        <v>40828</v>
      </c>
      <c r="AW175" s="239" t="s">
        <v>46</v>
      </c>
      <c r="AX175" s="2"/>
      <c r="AY175" s="2"/>
      <c r="AZ175" s="239" t="s">
        <v>40448</v>
      </c>
    </row>
    <row x14ac:dyDescent="0.25" r="176" customHeight="1" ht="24.75">
      <c r="A176" s="1"/>
      <c r="B176" s="237">
        <f>AND(ISTEXT('Consolidado-Eletronorte'!#REF!),SUM('Consolidado-Eletronorte'!#REF!)&gt;0)</f>
      </c>
      <c r="C176" s="238">
        <f>$J$3</f>
      </c>
      <c r="D176" s="238">
        <f>$H$3</f>
      </c>
      <c r="E176" s="238">
        <f>$H$4</f>
      </c>
      <c r="F176" s="210"/>
      <c r="G176" s="238">
        <f>_xlfn.CONCAT('Consolidado-Eletronorte'!#REF!,"_",ROW('Consolidado-Eletronorte'!#REF!)-ROW('Consolidado-Eletronorte'!$G$18))</f>
      </c>
      <c r="H176" s="212" t="s">
        <v>10</v>
      </c>
      <c r="I176" s="212" t="s">
        <v>87</v>
      </c>
      <c r="J176" s="212" t="s">
        <v>5</v>
      </c>
      <c r="K176" s="213" t="s">
        <v>16</v>
      </c>
      <c r="L176" s="212" t="s">
        <v>67</v>
      </c>
      <c r="M176" s="239" t="s">
        <v>40901</v>
      </c>
      <c r="N176" s="212"/>
      <c r="O176" s="212"/>
      <c r="P176" s="212"/>
      <c r="Q176" s="239" t="s">
        <v>40902</v>
      </c>
      <c r="R176" s="239" t="s">
        <v>40903</v>
      </c>
      <c r="S176" s="239" t="s">
        <v>38296</v>
      </c>
      <c r="T176" s="239" t="s">
        <v>40351</v>
      </c>
      <c r="U176" s="239" t="s">
        <v>40351</v>
      </c>
      <c r="V176" s="239" t="s">
        <v>40351</v>
      </c>
      <c r="W176" s="239" t="s">
        <v>40351</v>
      </c>
      <c r="X176" s="239" t="s">
        <v>40351</v>
      </c>
      <c r="Y176" s="239" t="s">
        <v>40351</v>
      </c>
      <c r="Z176" s="239" t="s">
        <v>40351</v>
      </c>
      <c r="AA176" s="240"/>
      <c r="AB176" s="239" t="s">
        <v>40351</v>
      </c>
      <c r="AC176" s="240">
        <v>70000</v>
      </c>
      <c r="AD176" s="240"/>
      <c r="AE176" s="239" t="s">
        <v>40351</v>
      </c>
      <c r="AF176" s="241">
        <f>SUM(Tabela96[[#This Row], [jan/26]:[dez/26]])</f>
      </c>
      <c r="AG176" s="240">
        <v>0</v>
      </c>
      <c r="AH176" s="240">
        <v>0</v>
      </c>
      <c r="AI176" s="240">
        <v>0</v>
      </c>
      <c r="AJ176" s="240">
        <v>0</v>
      </c>
      <c r="AK176" s="240">
        <f>SUM(Tabela96[[#This Row], [2026]:[2030]])</f>
      </c>
      <c r="AL176" s="240">
        <v>0</v>
      </c>
      <c r="AM176" s="240">
        <v>0</v>
      </c>
      <c r="AN176" s="240">
        <v>0</v>
      </c>
      <c r="AO176" s="240">
        <v>0</v>
      </c>
      <c r="AP176" s="240">
        <v>0</v>
      </c>
      <c r="AQ176" s="242">
        <f>SUM(Tabela96[[#This Row], [2026-2030]:[2035]])</f>
      </c>
      <c r="AR176" s="1"/>
      <c r="AS176" s="239" t="s">
        <v>40904</v>
      </c>
      <c r="AT176" s="247" t="s">
        <v>39970</v>
      </c>
      <c r="AU176" s="239" t="s">
        <v>40905</v>
      </c>
      <c r="AV176" s="3"/>
      <c r="AW176" s="239" t="s">
        <v>39062</v>
      </c>
      <c r="AX176" s="2"/>
      <c r="AY176" s="2"/>
      <c r="AZ176" s="239" t="s">
        <v>40906</v>
      </c>
    </row>
    <row x14ac:dyDescent="0.25" r="177" customHeight="1" ht="24.75">
      <c r="A177" s="1"/>
      <c r="B177" s="237">
        <f>AND(ISTEXT('Consolidado-Eletronorte'!#REF!),SUM('Consolidado-Eletronorte'!#REF!)&gt;0)</f>
      </c>
      <c r="C177" s="238">
        <f>$J$3</f>
      </c>
      <c r="D177" s="238">
        <f>$H$3</f>
      </c>
      <c r="E177" s="238">
        <f>$H$4</f>
      </c>
      <c r="F177" s="210"/>
      <c r="G177" s="238">
        <f>_xlfn.CONCAT('Consolidado-Eletronorte'!#REF!,"_",ROW('Consolidado-Eletronorte'!#REF!)-ROW('Consolidado-Eletronorte'!$G$18))</f>
      </c>
      <c r="H177" s="212" t="s">
        <v>10</v>
      </c>
      <c r="I177" s="212" t="s">
        <v>87</v>
      </c>
      <c r="J177" s="212" t="s">
        <v>5</v>
      </c>
      <c r="K177" s="213" t="s">
        <v>16</v>
      </c>
      <c r="L177" s="212" t="s">
        <v>67</v>
      </c>
      <c r="M177" s="212"/>
      <c r="N177" s="212"/>
      <c r="O177" s="212"/>
      <c r="P177" s="212"/>
      <c r="Q177" s="239" t="s">
        <v>40907</v>
      </c>
      <c r="R177" s="239" t="s">
        <v>40908</v>
      </c>
      <c r="S177" s="239" t="s">
        <v>38296</v>
      </c>
      <c r="T177" s="239" t="s">
        <v>40351</v>
      </c>
      <c r="U177" s="239" t="s">
        <v>40351</v>
      </c>
      <c r="V177" s="239" t="s">
        <v>40351</v>
      </c>
      <c r="W177" s="239" t="s">
        <v>40351</v>
      </c>
      <c r="X177" s="239" t="s">
        <v>40351</v>
      </c>
      <c r="Y177" s="239" t="s">
        <v>40351</v>
      </c>
      <c r="Z177" s="239" t="s">
        <v>40351</v>
      </c>
      <c r="AA177" s="240"/>
      <c r="AB177" s="239" t="s">
        <v>40351</v>
      </c>
      <c r="AC177" s="239" t="s">
        <v>40351</v>
      </c>
      <c r="AD177" s="240">
        <v>75000</v>
      </c>
      <c r="AE177" s="239" t="s">
        <v>40351</v>
      </c>
      <c r="AF177" s="241">
        <f>SUM(Tabela96[[#This Row], [jan/26]:[dez/26]])</f>
      </c>
      <c r="AG177" s="240">
        <v>75000</v>
      </c>
      <c r="AH177" s="240">
        <v>0</v>
      </c>
      <c r="AI177" s="240">
        <v>0</v>
      </c>
      <c r="AJ177" s="240">
        <v>0</v>
      </c>
      <c r="AK177" s="240">
        <f>SUM(Tabela96[[#This Row], [2026]:[2030]])</f>
      </c>
      <c r="AL177" s="240">
        <v>0</v>
      </c>
      <c r="AM177" s="240">
        <v>0</v>
      </c>
      <c r="AN177" s="240">
        <v>0</v>
      </c>
      <c r="AO177" s="240">
        <v>0</v>
      </c>
      <c r="AP177" s="240">
        <v>0</v>
      </c>
      <c r="AQ177" s="242">
        <f>SUM(Tabela96[[#This Row], [2026-2030]:[2035]])</f>
      </c>
      <c r="AR177" s="1"/>
      <c r="AS177" s="239" t="s">
        <v>40904</v>
      </c>
      <c r="AT177" s="247" t="s">
        <v>39970</v>
      </c>
      <c r="AU177" s="239" t="s">
        <v>40909</v>
      </c>
      <c r="AV177" s="3"/>
      <c r="AW177" s="239" t="s">
        <v>39062</v>
      </c>
      <c r="AX177" s="2"/>
      <c r="AY177" s="2"/>
      <c r="AZ177" s="239" t="s">
        <v>40906</v>
      </c>
    </row>
    <row x14ac:dyDescent="0.25" r="178" customHeight="1" ht="24.75">
      <c r="A178" s="1"/>
      <c r="B178" s="237">
        <f>AND(ISTEXT('Consolidado-Eletronorte'!#REF!),SUM('Consolidado-Eletronorte'!#REF!)&gt;0)</f>
      </c>
      <c r="C178" s="238">
        <f>$J$3</f>
      </c>
      <c r="D178" s="238">
        <f>$H$3</f>
      </c>
      <c r="E178" s="238">
        <f>$H$4</f>
      </c>
      <c r="F178" s="210"/>
      <c r="G178" s="238">
        <f>_xlfn.CONCAT('Consolidado-Eletronorte'!#REF!,"_",ROW('Consolidado-Eletronorte'!#REF!)-ROW('Consolidado-Eletronorte'!$G$18))</f>
      </c>
      <c r="H178" s="212" t="s">
        <v>10</v>
      </c>
      <c r="I178" s="212" t="s">
        <v>87</v>
      </c>
      <c r="J178" s="212" t="s">
        <v>5</v>
      </c>
      <c r="K178" s="213" t="s">
        <v>16</v>
      </c>
      <c r="L178" s="212" t="s">
        <v>67</v>
      </c>
      <c r="M178" s="212"/>
      <c r="N178" s="212"/>
      <c r="O178" s="212"/>
      <c r="P178" s="212"/>
      <c r="Q178" s="239" t="s">
        <v>40910</v>
      </c>
      <c r="R178" s="239" t="s">
        <v>40911</v>
      </c>
      <c r="S178" s="239" t="s">
        <v>38290</v>
      </c>
      <c r="T178" s="239" t="s">
        <v>40351</v>
      </c>
      <c r="U178" s="239" t="s">
        <v>40351</v>
      </c>
      <c r="V178" s="239" t="s">
        <v>40351</v>
      </c>
      <c r="W178" s="239" t="s">
        <v>40351</v>
      </c>
      <c r="X178" s="239" t="s">
        <v>40351</v>
      </c>
      <c r="Y178" s="239" t="s">
        <v>40351</v>
      </c>
      <c r="Z178" s="239" t="s">
        <v>40351</v>
      </c>
      <c r="AA178" s="240"/>
      <c r="AB178" s="239" t="s">
        <v>40351</v>
      </c>
      <c r="AC178" s="240">
        <v>70000</v>
      </c>
      <c r="AD178" s="239" t="s">
        <v>40351</v>
      </c>
      <c r="AE178" s="239" t="s">
        <v>40351</v>
      </c>
      <c r="AF178" s="241">
        <f>SUM(Tabela96[[#This Row], [jan/26]:[dez/26]])</f>
      </c>
      <c r="AG178" s="240">
        <v>0</v>
      </c>
      <c r="AH178" s="240">
        <v>0</v>
      </c>
      <c r="AI178" s="240">
        <v>0</v>
      </c>
      <c r="AJ178" s="240">
        <v>0</v>
      </c>
      <c r="AK178" s="240">
        <f>SUM(Tabela96[[#This Row], [2026]:[2030]])</f>
      </c>
      <c r="AL178" s="240">
        <v>0</v>
      </c>
      <c r="AM178" s="240">
        <v>0</v>
      </c>
      <c r="AN178" s="240">
        <v>0</v>
      </c>
      <c r="AO178" s="240">
        <v>0</v>
      </c>
      <c r="AP178" s="240">
        <v>0</v>
      </c>
      <c r="AQ178" s="242">
        <f>SUM(Tabela96[[#This Row], [2026-2030]:[2035]])</f>
      </c>
      <c r="AR178" s="1"/>
      <c r="AS178" s="239" t="s">
        <v>40904</v>
      </c>
      <c r="AT178" s="247" t="s">
        <v>39970</v>
      </c>
      <c r="AU178" s="239" t="s">
        <v>40912</v>
      </c>
      <c r="AV178" s="3"/>
      <c r="AW178" s="239" t="s">
        <v>39062</v>
      </c>
      <c r="AX178" s="2"/>
      <c r="AY178" s="2"/>
      <c r="AZ178" s="239" t="s">
        <v>40906</v>
      </c>
    </row>
    <row x14ac:dyDescent="0.25" r="179" customHeight="1" ht="24.75">
      <c r="A179" s="1"/>
      <c r="B179" s="237">
        <f>AND(ISTEXT('Consolidado-Eletronorte'!#REF!),SUM('Consolidado-Eletronorte'!#REF!)&gt;0)</f>
      </c>
      <c r="C179" s="238">
        <f>$J$3</f>
      </c>
      <c r="D179" s="238">
        <f>$H$3</f>
      </c>
      <c r="E179" s="238">
        <f>$H$4</f>
      </c>
      <c r="F179" s="210"/>
      <c r="G179" s="238">
        <f>_xlfn.CONCAT('Consolidado-Eletronorte'!#REF!,"_",ROW('Consolidado-Eletronorte'!#REF!)-ROW('Consolidado-Eletronorte'!$G$18))</f>
      </c>
      <c r="H179" s="212" t="s">
        <v>10</v>
      </c>
      <c r="I179" s="212" t="s">
        <v>87</v>
      </c>
      <c r="J179" s="212" t="s">
        <v>5</v>
      </c>
      <c r="K179" s="213" t="s">
        <v>16</v>
      </c>
      <c r="L179" s="212" t="s">
        <v>67</v>
      </c>
      <c r="M179" s="212"/>
      <c r="N179" s="212"/>
      <c r="O179" s="212"/>
      <c r="P179" s="212"/>
      <c r="Q179" s="239" t="s">
        <v>40913</v>
      </c>
      <c r="R179" s="239" t="s">
        <v>40914</v>
      </c>
      <c r="S179" s="239" t="s">
        <v>38290</v>
      </c>
      <c r="T179" s="239" t="s">
        <v>40351</v>
      </c>
      <c r="U179" s="239" t="s">
        <v>40351</v>
      </c>
      <c r="V179" s="239" t="s">
        <v>40351</v>
      </c>
      <c r="W179" s="239" t="s">
        <v>40351</v>
      </c>
      <c r="X179" s="239" t="s">
        <v>40351</v>
      </c>
      <c r="Y179" s="239" t="s">
        <v>40351</v>
      </c>
      <c r="Z179" s="239" t="s">
        <v>40351</v>
      </c>
      <c r="AA179" s="240"/>
      <c r="AB179" s="239" t="s">
        <v>40351</v>
      </c>
      <c r="AC179" s="239" t="s">
        <v>40351</v>
      </c>
      <c r="AD179" s="240">
        <v>90000</v>
      </c>
      <c r="AE179" s="239" t="s">
        <v>40351</v>
      </c>
      <c r="AF179" s="241">
        <f>SUM(Tabela96[[#This Row], [jan/26]:[dez/26]])</f>
      </c>
      <c r="AG179" s="240">
        <v>90000</v>
      </c>
      <c r="AH179" s="240">
        <v>0</v>
      </c>
      <c r="AI179" s="240">
        <v>0</v>
      </c>
      <c r="AJ179" s="240">
        <v>0</v>
      </c>
      <c r="AK179" s="240">
        <f>SUM(Tabela96[[#This Row], [2026]:[2030]])</f>
      </c>
      <c r="AL179" s="240">
        <v>0</v>
      </c>
      <c r="AM179" s="240">
        <v>0</v>
      </c>
      <c r="AN179" s="240">
        <v>0</v>
      </c>
      <c r="AO179" s="240">
        <v>0</v>
      </c>
      <c r="AP179" s="240">
        <v>0</v>
      </c>
      <c r="AQ179" s="242">
        <f>SUM(Tabela96[[#This Row], [2026-2030]:[2035]])</f>
      </c>
      <c r="AR179" s="1"/>
      <c r="AS179" s="239" t="s">
        <v>40904</v>
      </c>
      <c r="AT179" s="247" t="s">
        <v>39970</v>
      </c>
      <c r="AU179" s="239" t="s">
        <v>40915</v>
      </c>
      <c r="AV179" s="3"/>
      <c r="AW179" s="239" t="s">
        <v>39062</v>
      </c>
      <c r="AX179" s="2"/>
      <c r="AY179" s="2"/>
      <c r="AZ179" s="239" t="s">
        <v>40906</v>
      </c>
    </row>
    <row x14ac:dyDescent="0.25" r="180" customHeight="1" ht="24.75">
      <c r="A180" s="1"/>
      <c r="B180" s="237">
        <f>AND(ISTEXT('Consolidado-Eletronorte'!#REF!),SUM('Consolidado-Eletronorte'!#REF!)&gt;0)</f>
      </c>
      <c r="C180" s="238">
        <f>$J$3</f>
      </c>
      <c r="D180" s="238">
        <f>$H$3</f>
      </c>
      <c r="E180" s="238">
        <f>$H$4</f>
      </c>
      <c r="F180" s="210"/>
      <c r="G180" s="238">
        <f>_xlfn.CONCAT('Consolidado-Eletronorte'!#REF!,"_",ROW('Consolidado-Eletronorte'!#REF!)-ROW('Consolidado-Eletronorte'!$G$18))</f>
      </c>
      <c r="H180" s="212" t="s">
        <v>10</v>
      </c>
      <c r="I180" s="212" t="s">
        <v>87</v>
      </c>
      <c r="J180" s="212" t="s">
        <v>5</v>
      </c>
      <c r="K180" s="213" t="s">
        <v>16</v>
      </c>
      <c r="L180" s="212" t="s">
        <v>67</v>
      </c>
      <c r="M180" s="212"/>
      <c r="N180" s="212"/>
      <c r="O180" s="212"/>
      <c r="P180" s="212"/>
      <c r="Q180" s="239" t="s">
        <v>40916</v>
      </c>
      <c r="R180" s="239" t="s">
        <v>40917</v>
      </c>
      <c r="S180" s="239" t="s">
        <v>38290</v>
      </c>
      <c r="T180" s="239" t="s">
        <v>40351</v>
      </c>
      <c r="U180" s="239" t="s">
        <v>40351</v>
      </c>
      <c r="V180" s="239" t="s">
        <v>40351</v>
      </c>
      <c r="W180" s="239" t="s">
        <v>40351</v>
      </c>
      <c r="X180" s="239" t="s">
        <v>40351</v>
      </c>
      <c r="Y180" s="239" t="s">
        <v>40351</v>
      </c>
      <c r="Z180" s="240">
        <v>60000</v>
      </c>
      <c r="AA180" s="239" t="s">
        <v>40351</v>
      </c>
      <c r="AB180" s="239" t="s">
        <v>40351</v>
      </c>
      <c r="AC180" s="239" t="s">
        <v>40351</v>
      </c>
      <c r="AD180" s="239" t="s">
        <v>40351</v>
      </c>
      <c r="AE180" s="239" t="s">
        <v>40351</v>
      </c>
      <c r="AF180" s="241">
        <f>SUM(Tabela96[[#This Row], [jan/26]:[dez/26]])</f>
      </c>
      <c r="AG180" s="240">
        <v>0</v>
      </c>
      <c r="AH180" s="240">
        <v>0</v>
      </c>
      <c r="AI180" s="240">
        <v>0</v>
      </c>
      <c r="AJ180" s="240">
        <v>0</v>
      </c>
      <c r="AK180" s="240">
        <f>SUM(Tabela96[[#This Row], [2026]:[2030]])</f>
      </c>
      <c r="AL180" s="240">
        <v>0</v>
      </c>
      <c r="AM180" s="240">
        <v>0</v>
      </c>
      <c r="AN180" s="240">
        <v>0</v>
      </c>
      <c r="AO180" s="240">
        <v>0</v>
      </c>
      <c r="AP180" s="240">
        <v>0</v>
      </c>
      <c r="AQ180" s="242">
        <f>SUM(Tabela96[[#This Row], [2026-2030]:[2035]])</f>
      </c>
      <c r="AR180" s="1"/>
      <c r="AS180" s="239" t="s">
        <v>40904</v>
      </c>
      <c r="AT180" s="247" t="s">
        <v>39970</v>
      </c>
      <c r="AU180" s="239" t="s">
        <v>40918</v>
      </c>
      <c r="AV180" s="3"/>
      <c r="AW180" s="239" t="s">
        <v>39062</v>
      </c>
      <c r="AX180" s="2"/>
      <c r="AY180" s="2"/>
      <c r="AZ180" s="239" t="s">
        <v>40906</v>
      </c>
    </row>
    <row x14ac:dyDescent="0.25" r="181" customHeight="1" ht="24.75">
      <c r="A181" s="1"/>
      <c r="B181" s="237">
        <f>AND(ISTEXT('Consolidado-Eletronorte'!#REF!),SUM('Consolidado-Eletronorte'!#REF!)&gt;0)</f>
      </c>
      <c r="C181" s="238">
        <f>$J$3</f>
      </c>
      <c r="D181" s="238">
        <f>$H$3</f>
      </c>
      <c r="E181" s="238">
        <f>$H$4</f>
      </c>
      <c r="F181" s="210"/>
      <c r="G181" s="238">
        <f>_xlfn.CONCAT('Consolidado-Eletronorte'!#REF!,"_",ROW('Consolidado-Eletronorte'!#REF!)-ROW('Consolidado-Eletronorte'!$G$18))</f>
      </c>
      <c r="H181" s="212" t="s">
        <v>10</v>
      </c>
      <c r="I181" s="212" t="s">
        <v>87</v>
      </c>
      <c r="J181" s="212" t="s">
        <v>5</v>
      </c>
      <c r="K181" s="213" t="s">
        <v>16</v>
      </c>
      <c r="L181" s="212" t="s">
        <v>67</v>
      </c>
      <c r="M181" s="212"/>
      <c r="N181" s="212"/>
      <c r="O181" s="212"/>
      <c r="P181" s="212"/>
      <c r="Q181" s="239" t="s">
        <v>40919</v>
      </c>
      <c r="R181" s="239" t="s">
        <v>40920</v>
      </c>
      <c r="S181" s="239" t="s">
        <v>38290</v>
      </c>
      <c r="T181" s="239" t="s">
        <v>40351</v>
      </c>
      <c r="U181" s="239" t="s">
        <v>40351</v>
      </c>
      <c r="V181" s="239" t="s">
        <v>40351</v>
      </c>
      <c r="W181" s="239" t="s">
        <v>40351</v>
      </c>
      <c r="X181" s="239" t="s">
        <v>40351</v>
      </c>
      <c r="Y181" s="239" t="s">
        <v>40351</v>
      </c>
      <c r="Z181" s="239" t="s">
        <v>40351</v>
      </c>
      <c r="AA181" s="239" t="s">
        <v>40351</v>
      </c>
      <c r="AB181" s="240">
        <v>22000</v>
      </c>
      <c r="AC181" s="239" t="s">
        <v>40351</v>
      </c>
      <c r="AD181" s="239" t="s">
        <v>40351</v>
      </c>
      <c r="AE181" s="239" t="s">
        <v>40351</v>
      </c>
      <c r="AF181" s="241">
        <f>SUM(Tabela96[[#This Row], [jan/26]:[dez/26]])</f>
      </c>
      <c r="AG181" s="240">
        <v>0</v>
      </c>
      <c r="AH181" s="240">
        <v>0</v>
      </c>
      <c r="AI181" s="240">
        <v>0</v>
      </c>
      <c r="AJ181" s="240">
        <v>0</v>
      </c>
      <c r="AK181" s="240">
        <f>SUM(Tabela96[[#This Row], [2026]:[2030]])</f>
      </c>
      <c r="AL181" s="240">
        <v>0</v>
      </c>
      <c r="AM181" s="240">
        <v>0</v>
      </c>
      <c r="AN181" s="240">
        <v>0</v>
      </c>
      <c r="AO181" s="240">
        <v>0</v>
      </c>
      <c r="AP181" s="240">
        <v>0</v>
      </c>
      <c r="AQ181" s="242">
        <f>SUM(Tabela96[[#This Row], [2026-2030]:[2035]])</f>
      </c>
      <c r="AR181" s="1"/>
      <c r="AS181" s="239" t="s">
        <v>40904</v>
      </c>
      <c r="AT181" s="247" t="s">
        <v>39970</v>
      </c>
      <c r="AU181" s="239" t="s">
        <v>40921</v>
      </c>
      <c r="AV181" s="3"/>
      <c r="AW181" s="239" t="s">
        <v>39062</v>
      </c>
      <c r="AX181" s="2"/>
      <c r="AY181" s="2"/>
      <c r="AZ181" s="239" t="s">
        <v>40906</v>
      </c>
    </row>
    <row x14ac:dyDescent="0.25" r="182" customHeight="1" ht="24.75">
      <c r="A182" s="1"/>
      <c r="B182" s="237">
        <f>AND(ISTEXT('Consolidado-Eletronorte'!#REF!),SUM('Consolidado-Eletronorte'!#REF!)&gt;0)</f>
      </c>
      <c r="C182" s="238">
        <f>$J$3</f>
      </c>
      <c r="D182" s="238">
        <f>$H$3</f>
      </c>
      <c r="E182" s="238">
        <f>$H$4</f>
      </c>
      <c r="F182" s="210"/>
      <c r="G182" s="238">
        <f>_xlfn.CONCAT('Consolidado-Eletronorte'!#REF!,"_",ROW('Consolidado-Eletronorte'!#REF!)-ROW('Consolidado-Eletronorte'!$G$18))</f>
      </c>
      <c r="H182" s="212" t="s">
        <v>10</v>
      </c>
      <c r="I182" s="212" t="s">
        <v>87</v>
      </c>
      <c r="J182" s="212" t="s">
        <v>5</v>
      </c>
      <c r="K182" s="213" t="s">
        <v>16</v>
      </c>
      <c r="L182" s="212" t="s">
        <v>67</v>
      </c>
      <c r="M182" s="212"/>
      <c r="N182" s="212"/>
      <c r="O182" s="212"/>
      <c r="P182" s="212"/>
      <c r="Q182" s="239" t="s">
        <v>40922</v>
      </c>
      <c r="R182" s="239" t="s">
        <v>40917</v>
      </c>
      <c r="S182" s="239" t="s">
        <v>38290</v>
      </c>
      <c r="T182" s="239" t="s">
        <v>40351</v>
      </c>
      <c r="U182" s="239" t="s">
        <v>40351</v>
      </c>
      <c r="V182" s="239" t="s">
        <v>40351</v>
      </c>
      <c r="W182" s="239" t="s">
        <v>40351</v>
      </c>
      <c r="X182" s="239" t="s">
        <v>40351</v>
      </c>
      <c r="Y182" s="239" t="s">
        <v>40351</v>
      </c>
      <c r="Z182" s="240">
        <v>60000</v>
      </c>
      <c r="AA182" s="239" t="s">
        <v>40351</v>
      </c>
      <c r="AB182" s="239" t="s">
        <v>40351</v>
      </c>
      <c r="AC182" s="239" t="s">
        <v>40351</v>
      </c>
      <c r="AD182" s="239" t="s">
        <v>40351</v>
      </c>
      <c r="AE182" s="239" t="s">
        <v>40351</v>
      </c>
      <c r="AF182" s="241">
        <f>SUM(Tabela96[[#This Row], [jan/26]:[dez/26]])</f>
      </c>
      <c r="AG182" s="240">
        <v>0</v>
      </c>
      <c r="AH182" s="240">
        <v>0</v>
      </c>
      <c r="AI182" s="240">
        <v>0</v>
      </c>
      <c r="AJ182" s="240">
        <v>0</v>
      </c>
      <c r="AK182" s="240">
        <f>SUM(Tabela96[[#This Row], [2026]:[2030]])</f>
      </c>
      <c r="AL182" s="240">
        <v>0</v>
      </c>
      <c r="AM182" s="240">
        <v>0</v>
      </c>
      <c r="AN182" s="240">
        <v>0</v>
      </c>
      <c r="AO182" s="240">
        <v>0</v>
      </c>
      <c r="AP182" s="240">
        <v>0</v>
      </c>
      <c r="AQ182" s="242">
        <f>SUM(Tabela96[[#This Row], [2026-2030]:[2035]])</f>
      </c>
      <c r="AR182" s="1"/>
      <c r="AS182" s="239" t="s">
        <v>40904</v>
      </c>
      <c r="AT182" s="247" t="s">
        <v>39970</v>
      </c>
      <c r="AU182" s="239" t="s">
        <v>40923</v>
      </c>
      <c r="AV182" s="3"/>
      <c r="AW182" s="239" t="s">
        <v>39062</v>
      </c>
      <c r="AX182" s="2"/>
      <c r="AY182" s="2"/>
      <c r="AZ182" s="239" t="s">
        <v>40906</v>
      </c>
    </row>
    <row x14ac:dyDescent="0.25" r="183" customHeight="1" ht="24.75">
      <c r="A183" s="1"/>
      <c r="B183" s="237">
        <f>AND(ISTEXT('Consolidado-Eletronorte'!#REF!),SUM('Consolidado-Eletronorte'!#REF!)&gt;0)</f>
      </c>
      <c r="C183" s="238">
        <f>$J$3</f>
      </c>
      <c r="D183" s="238">
        <f>$H$3</f>
      </c>
      <c r="E183" s="238">
        <f>$H$4</f>
      </c>
      <c r="F183" s="210"/>
      <c r="G183" s="238">
        <f>_xlfn.CONCAT('Consolidado-Eletronorte'!#REF!,"_",ROW('Consolidado-Eletronorte'!#REF!)-ROW('Consolidado-Eletronorte'!$G$18))</f>
      </c>
      <c r="H183" s="212" t="s">
        <v>10</v>
      </c>
      <c r="I183" s="212" t="s">
        <v>87</v>
      </c>
      <c r="J183" s="212" t="s">
        <v>5</v>
      </c>
      <c r="K183" s="213" t="s">
        <v>16</v>
      </c>
      <c r="L183" s="212" t="s">
        <v>67</v>
      </c>
      <c r="M183" s="212"/>
      <c r="N183" s="212"/>
      <c r="O183" s="212"/>
      <c r="P183" s="212"/>
      <c r="Q183" s="239" t="s">
        <v>40924</v>
      </c>
      <c r="R183" s="239" t="s">
        <v>40920</v>
      </c>
      <c r="S183" s="239" t="s">
        <v>38290</v>
      </c>
      <c r="T183" s="239" t="s">
        <v>40351</v>
      </c>
      <c r="U183" s="239" t="s">
        <v>40351</v>
      </c>
      <c r="V183" s="239" t="s">
        <v>40351</v>
      </c>
      <c r="W183" s="239" t="s">
        <v>40351</v>
      </c>
      <c r="X183" s="239" t="s">
        <v>40351</v>
      </c>
      <c r="Y183" s="239" t="s">
        <v>40351</v>
      </c>
      <c r="Z183" s="239" t="s">
        <v>40351</v>
      </c>
      <c r="AA183" s="239" t="s">
        <v>40351</v>
      </c>
      <c r="AB183" s="240">
        <v>22000</v>
      </c>
      <c r="AC183" s="239" t="s">
        <v>40351</v>
      </c>
      <c r="AD183" s="239" t="s">
        <v>40351</v>
      </c>
      <c r="AE183" s="239" t="s">
        <v>40351</v>
      </c>
      <c r="AF183" s="241">
        <f>SUM(Tabela96[[#This Row], [jan/26]:[dez/26]])</f>
      </c>
      <c r="AG183" s="240">
        <v>0</v>
      </c>
      <c r="AH183" s="240">
        <v>0</v>
      </c>
      <c r="AI183" s="240">
        <v>0</v>
      </c>
      <c r="AJ183" s="240">
        <v>0</v>
      </c>
      <c r="AK183" s="240">
        <f>SUM(Tabela96[[#This Row], [2026]:[2030]])</f>
      </c>
      <c r="AL183" s="240">
        <v>0</v>
      </c>
      <c r="AM183" s="240">
        <v>0</v>
      </c>
      <c r="AN183" s="240">
        <v>0</v>
      </c>
      <c r="AO183" s="240">
        <v>0</v>
      </c>
      <c r="AP183" s="240">
        <v>0</v>
      </c>
      <c r="AQ183" s="242">
        <f>SUM(Tabela96[[#This Row], [2026-2030]:[2035]])</f>
      </c>
      <c r="AR183" s="1"/>
      <c r="AS183" s="239" t="s">
        <v>40904</v>
      </c>
      <c r="AT183" s="247" t="s">
        <v>39970</v>
      </c>
      <c r="AU183" s="239" t="s">
        <v>40925</v>
      </c>
      <c r="AV183" s="3"/>
      <c r="AW183" s="239" t="s">
        <v>39062</v>
      </c>
      <c r="AX183" s="2"/>
      <c r="AY183" s="2"/>
      <c r="AZ183" s="239" t="s">
        <v>40906</v>
      </c>
    </row>
    <row x14ac:dyDescent="0.25" r="184" customHeight="1" ht="24.75">
      <c r="A184" s="1"/>
      <c r="B184" s="237">
        <f>AND(ISTEXT('Consolidado-Eletronorte'!#REF!),SUM('Consolidado-Eletronorte'!#REF!)&gt;0)</f>
      </c>
      <c r="C184" s="238">
        <f>$J$3</f>
      </c>
      <c r="D184" s="238">
        <f>$H$3</f>
      </c>
      <c r="E184" s="238">
        <f>$H$4</f>
      </c>
      <c r="F184" s="210"/>
      <c r="G184" s="238">
        <f>_xlfn.CONCAT('Consolidado-Eletronorte'!#REF!,"_",ROW('Consolidado-Eletronorte'!#REF!)-ROW('Consolidado-Eletronorte'!$G$18))</f>
      </c>
      <c r="H184" s="212" t="s">
        <v>10</v>
      </c>
      <c r="I184" s="212" t="s">
        <v>87</v>
      </c>
      <c r="J184" s="212" t="s">
        <v>5</v>
      </c>
      <c r="K184" s="213" t="s">
        <v>16</v>
      </c>
      <c r="L184" s="212" t="s">
        <v>67</v>
      </c>
      <c r="M184" s="212"/>
      <c r="N184" s="212"/>
      <c r="O184" s="212"/>
      <c r="P184" s="212"/>
      <c r="Q184" s="239" t="s">
        <v>40926</v>
      </c>
      <c r="R184" s="239" t="s">
        <v>40917</v>
      </c>
      <c r="S184" s="239" t="s">
        <v>38290</v>
      </c>
      <c r="T184" s="239" t="s">
        <v>40351</v>
      </c>
      <c r="U184" s="239" t="s">
        <v>40351</v>
      </c>
      <c r="V184" s="239" t="s">
        <v>40351</v>
      </c>
      <c r="W184" s="239" t="s">
        <v>40351</v>
      </c>
      <c r="X184" s="239" t="s">
        <v>40351</v>
      </c>
      <c r="Y184" s="239" t="s">
        <v>40351</v>
      </c>
      <c r="Z184" s="240">
        <v>60000</v>
      </c>
      <c r="AA184" s="239" t="s">
        <v>40351</v>
      </c>
      <c r="AB184" s="239" t="s">
        <v>40351</v>
      </c>
      <c r="AC184" s="239" t="s">
        <v>40351</v>
      </c>
      <c r="AD184" s="239" t="s">
        <v>40351</v>
      </c>
      <c r="AE184" s="239" t="s">
        <v>40351</v>
      </c>
      <c r="AF184" s="241">
        <f>SUM(Tabela96[[#This Row], [jan/26]:[dez/26]])</f>
      </c>
      <c r="AG184" s="240">
        <v>0</v>
      </c>
      <c r="AH184" s="240">
        <v>0</v>
      </c>
      <c r="AI184" s="240">
        <v>0</v>
      </c>
      <c r="AJ184" s="240">
        <v>0</v>
      </c>
      <c r="AK184" s="240">
        <f>SUM(Tabela96[[#This Row], [2026]:[2030]])</f>
      </c>
      <c r="AL184" s="240">
        <v>0</v>
      </c>
      <c r="AM184" s="240">
        <v>0</v>
      </c>
      <c r="AN184" s="240">
        <v>0</v>
      </c>
      <c r="AO184" s="240">
        <v>0</v>
      </c>
      <c r="AP184" s="240">
        <v>0</v>
      </c>
      <c r="AQ184" s="242">
        <f>SUM(Tabela96[[#This Row], [2026-2030]:[2035]])</f>
      </c>
      <c r="AR184" s="1"/>
      <c r="AS184" s="239" t="s">
        <v>40904</v>
      </c>
      <c r="AT184" s="247" t="s">
        <v>39970</v>
      </c>
      <c r="AU184" s="239" t="s">
        <v>40927</v>
      </c>
      <c r="AV184" s="3"/>
      <c r="AW184" s="239" t="s">
        <v>39062</v>
      </c>
      <c r="AX184" s="2"/>
      <c r="AY184" s="2"/>
      <c r="AZ184" s="239" t="s">
        <v>40906</v>
      </c>
    </row>
    <row x14ac:dyDescent="0.25" r="185" customHeight="1" ht="24.75">
      <c r="A185" s="1"/>
      <c r="B185" s="237">
        <f>AND(ISTEXT('Consolidado-Eletronorte'!#REF!),SUM('Consolidado-Eletronorte'!#REF!)&gt;0)</f>
      </c>
      <c r="C185" s="238">
        <f>$J$3</f>
      </c>
      <c r="D185" s="238">
        <f>$H$3</f>
      </c>
      <c r="E185" s="238">
        <f>$H$4</f>
      </c>
      <c r="F185" s="210"/>
      <c r="G185" s="238">
        <f>_xlfn.CONCAT('Consolidado-Eletronorte'!#REF!,"_",ROW('Consolidado-Eletronorte'!#REF!)-ROW('Consolidado-Eletronorte'!$G$18))</f>
      </c>
      <c r="H185" s="212" t="s">
        <v>10</v>
      </c>
      <c r="I185" s="212" t="s">
        <v>87</v>
      </c>
      <c r="J185" s="212" t="s">
        <v>5</v>
      </c>
      <c r="K185" s="213" t="s">
        <v>16</v>
      </c>
      <c r="L185" s="212" t="s">
        <v>67</v>
      </c>
      <c r="M185" s="212"/>
      <c r="N185" s="212"/>
      <c r="O185" s="212"/>
      <c r="P185" s="212"/>
      <c r="Q185" s="239" t="s">
        <v>40928</v>
      </c>
      <c r="R185" s="239" t="s">
        <v>40920</v>
      </c>
      <c r="S185" s="239" t="s">
        <v>38290</v>
      </c>
      <c r="T185" s="239" t="s">
        <v>40351</v>
      </c>
      <c r="U185" s="239" t="s">
        <v>40351</v>
      </c>
      <c r="V185" s="239" t="s">
        <v>40351</v>
      </c>
      <c r="W185" s="239" t="s">
        <v>40351</v>
      </c>
      <c r="X185" s="239" t="s">
        <v>40351</v>
      </c>
      <c r="Y185" s="239" t="s">
        <v>40351</v>
      </c>
      <c r="Z185" s="239" t="s">
        <v>40351</v>
      </c>
      <c r="AA185" s="239" t="s">
        <v>40351</v>
      </c>
      <c r="AB185" s="239" t="s">
        <v>40351</v>
      </c>
      <c r="AC185" s="239" t="s">
        <v>40351</v>
      </c>
      <c r="AD185" s="240">
        <v>22000</v>
      </c>
      <c r="AE185" s="239" t="s">
        <v>40351</v>
      </c>
      <c r="AF185" s="241">
        <f>SUM(Tabela96[[#This Row], [jan/26]:[dez/26]])</f>
      </c>
      <c r="AG185" s="240">
        <v>0</v>
      </c>
      <c r="AH185" s="240">
        <v>0</v>
      </c>
      <c r="AI185" s="240">
        <v>0</v>
      </c>
      <c r="AJ185" s="240">
        <v>0</v>
      </c>
      <c r="AK185" s="240">
        <f>SUM(Tabela96[[#This Row], [2026]:[2030]])</f>
      </c>
      <c r="AL185" s="240">
        <v>0</v>
      </c>
      <c r="AM185" s="240">
        <v>0</v>
      </c>
      <c r="AN185" s="240">
        <v>0</v>
      </c>
      <c r="AO185" s="240">
        <v>0</v>
      </c>
      <c r="AP185" s="240">
        <v>0</v>
      </c>
      <c r="AQ185" s="242">
        <f>SUM(Tabela96[[#This Row], [2026-2030]:[2035]])</f>
      </c>
      <c r="AR185" s="1"/>
      <c r="AS185" s="239" t="s">
        <v>40904</v>
      </c>
      <c r="AT185" s="247" t="s">
        <v>39970</v>
      </c>
      <c r="AU185" s="239" t="s">
        <v>40929</v>
      </c>
      <c r="AV185" s="3"/>
      <c r="AW185" s="239" t="s">
        <v>39062</v>
      </c>
      <c r="AX185" s="2"/>
      <c r="AY185" s="2"/>
      <c r="AZ185" s="239" t="s">
        <v>40906</v>
      </c>
    </row>
    <row x14ac:dyDescent="0.25" r="186" customHeight="1" ht="24.75">
      <c r="A186" s="1"/>
      <c r="B186" s="237">
        <f>AND(ISTEXT('Consolidado-Eletronorte'!#REF!),SUM('Consolidado-Eletronorte'!#REF!)&gt;0)</f>
      </c>
      <c r="C186" s="238">
        <f>$J$3</f>
      </c>
      <c r="D186" s="238">
        <f>$H$3</f>
      </c>
      <c r="E186" s="238">
        <f>$H$4</f>
      </c>
      <c r="F186" s="210"/>
      <c r="G186" s="238">
        <f>_xlfn.CONCAT('Consolidado-Eletronorte'!#REF!,"_",ROW('Consolidado-Eletronorte'!#REF!)-ROW('Consolidado-Eletronorte'!$G$18))</f>
      </c>
      <c r="H186" s="212" t="s">
        <v>10</v>
      </c>
      <c r="I186" s="212" t="s">
        <v>87</v>
      </c>
      <c r="J186" s="212" t="s">
        <v>5</v>
      </c>
      <c r="K186" s="213" t="s">
        <v>16</v>
      </c>
      <c r="L186" s="212" t="s">
        <v>67</v>
      </c>
      <c r="M186" s="212"/>
      <c r="N186" s="212"/>
      <c r="O186" s="212"/>
      <c r="P186" s="212"/>
      <c r="Q186" s="239" t="s">
        <v>40930</v>
      </c>
      <c r="R186" s="239" t="s">
        <v>40917</v>
      </c>
      <c r="S186" s="239" t="s">
        <v>38290</v>
      </c>
      <c r="T186" s="239" t="s">
        <v>40351</v>
      </c>
      <c r="U186" s="239" t="s">
        <v>40351</v>
      </c>
      <c r="V186" s="239" t="s">
        <v>40351</v>
      </c>
      <c r="W186" s="239" t="s">
        <v>40351</v>
      </c>
      <c r="X186" s="239" t="s">
        <v>40351</v>
      </c>
      <c r="Y186" s="239" t="s">
        <v>40351</v>
      </c>
      <c r="Z186" s="240">
        <v>60000</v>
      </c>
      <c r="AA186" s="239" t="s">
        <v>40351</v>
      </c>
      <c r="AB186" s="239" t="s">
        <v>40351</v>
      </c>
      <c r="AC186" s="239" t="s">
        <v>40351</v>
      </c>
      <c r="AD186" s="239" t="s">
        <v>40351</v>
      </c>
      <c r="AE186" s="239" t="s">
        <v>40351</v>
      </c>
      <c r="AF186" s="241">
        <f>SUM(Tabela96[[#This Row], [jan/26]:[dez/26]])</f>
      </c>
      <c r="AG186" s="240">
        <v>0</v>
      </c>
      <c r="AH186" s="240">
        <v>0</v>
      </c>
      <c r="AI186" s="240">
        <v>0</v>
      </c>
      <c r="AJ186" s="240">
        <v>0</v>
      </c>
      <c r="AK186" s="240">
        <f>SUM(Tabela96[[#This Row], [2026]:[2030]])</f>
      </c>
      <c r="AL186" s="240">
        <v>0</v>
      </c>
      <c r="AM186" s="240">
        <v>0</v>
      </c>
      <c r="AN186" s="240">
        <v>0</v>
      </c>
      <c r="AO186" s="240">
        <v>0</v>
      </c>
      <c r="AP186" s="240">
        <v>0</v>
      </c>
      <c r="AQ186" s="242">
        <f>SUM(Tabela96[[#This Row], [2026-2030]:[2035]])</f>
      </c>
      <c r="AR186" s="1"/>
      <c r="AS186" s="239" t="s">
        <v>40904</v>
      </c>
      <c r="AT186" s="247" t="s">
        <v>39970</v>
      </c>
      <c r="AU186" s="239" t="s">
        <v>40931</v>
      </c>
      <c r="AV186" s="3"/>
      <c r="AW186" s="239" t="s">
        <v>39062</v>
      </c>
      <c r="AX186" s="2"/>
      <c r="AY186" s="2"/>
      <c r="AZ186" s="239" t="s">
        <v>40906</v>
      </c>
    </row>
    <row x14ac:dyDescent="0.25" r="187" customHeight="1" ht="24.75">
      <c r="A187" s="1"/>
      <c r="B187" s="237">
        <f>AND(ISTEXT('Consolidado-Eletronorte'!#REF!),SUM('Consolidado-Eletronorte'!#REF!)&gt;0)</f>
      </c>
      <c r="C187" s="238">
        <f>$J$3</f>
      </c>
      <c r="D187" s="238">
        <f>$H$3</f>
      </c>
      <c r="E187" s="238">
        <f>$H$4</f>
      </c>
      <c r="F187" s="210"/>
      <c r="G187" s="238">
        <f>_xlfn.CONCAT('Consolidado-Eletronorte'!#REF!,"_",ROW('Consolidado-Eletronorte'!#REF!)-ROW('Consolidado-Eletronorte'!$G$18))</f>
      </c>
      <c r="H187" s="212" t="s">
        <v>10</v>
      </c>
      <c r="I187" s="212" t="s">
        <v>87</v>
      </c>
      <c r="J187" s="212" t="s">
        <v>5</v>
      </c>
      <c r="K187" s="213" t="s">
        <v>16</v>
      </c>
      <c r="L187" s="212" t="s">
        <v>67</v>
      </c>
      <c r="M187" s="212"/>
      <c r="N187" s="212"/>
      <c r="O187" s="212"/>
      <c r="P187" s="212"/>
      <c r="Q187" s="239" t="s">
        <v>40932</v>
      </c>
      <c r="R187" s="239" t="s">
        <v>40920</v>
      </c>
      <c r="S187" s="239" t="s">
        <v>38290</v>
      </c>
      <c r="T187" s="239" t="s">
        <v>40351</v>
      </c>
      <c r="U187" s="239" t="s">
        <v>40351</v>
      </c>
      <c r="V187" s="239" t="s">
        <v>40351</v>
      </c>
      <c r="W187" s="239" t="s">
        <v>40351</v>
      </c>
      <c r="X187" s="239" t="s">
        <v>40351</v>
      </c>
      <c r="Y187" s="239" t="s">
        <v>40351</v>
      </c>
      <c r="Z187" s="239" t="s">
        <v>40351</v>
      </c>
      <c r="AA187" s="239" t="s">
        <v>40351</v>
      </c>
      <c r="AB187" s="239" t="s">
        <v>40351</v>
      </c>
      <c r="AC187" s="239" t="s">
        <v>40351</v>
      </c>
      <c r="AD187" s="240">
        <v>22000</v>
      </c>
      <c r="AE187" s="239" t="s">
        <v>40351</v>
      </c>
      <c r="AF187" s="241">
        <f>SUM(Tabela96[[#This Row], [jan/26]:[dez/26]])</f>
      </c>
      <c r="AG187" s="240">
        <v>0</v>
      </c>
      <c r="AH187" s="240">
        <v>0</v>
      </c>
      <c r="AI187" s="240">
        <v>0</v>
      </c>
      <c r="AJ187" s="240">
        <v>0</v>
      </c>
      <c r="AK187" s="240">
        <f>SUM(Tabela96[[#This Row], [2026]:[2030]])</f>
      </c>
      <c r="AL187" s="240">
        <v>0</v>
      </c>
      <c r="AM187" s="240">
        <v>0</v>
      </c>
      <c r="AN187" s="240">
        <v>0</v>
      </c>
      <c r="AO187" s="240">
        <v>0</v>
      </c>
      <c r="AP187" s="240">
        <v>0</v>
      </c>
      <c r="AQ187" s="242">
        <f>SUM(Tabela96[[#This Row], [2026-2030]:[2035]])</f>
      </c>
      <c r="AR187" s="1"/>
      <c r="AS187" s="239" t="s">
        <v>40904</v>
      </c>
      <c r="AT187" s="247" t="s">
        <v>39970</v>
      </c>
      <c r="AU187" s="239" t="s">
        <v>40933</v>
      </c>
      <c r="AV187" s="3"/>
      <c r="AW187" s="239" t="s">
        <v>39062</v>
      </c>
      <c r="AX187" s="2"/>
      <c r="AY187" s="2"/>
      <c r="AZ187" s="239" t="s">
        <v>40906</v>
      </c>
    </row>
    <row x14ac:dyDescent="0.25" r="188" customHeight="1" ht="24.75">
      <c r="A188" s="1"/>
      <c r="B188" s="237">
        <f>AND(ISTEXT('Consolidado-Eletronorte'!#REF!),SUM('Consolidado-Eletronorte'!#REF!)&gt;0)</f>
      </c>
      <c r="C188" s="238">
        <f>$J$3</f>
      </c>
      <c r="D188" s="238">
        <f>$H$3</f>
      </c>
      <c r="E188" s="238">
        <f>$H$4</f>
      </c>
      <c r="F188" s="210"/>
      <c r="G188" s="238">
        <f>_xlfn.CONCAT('Consolidado-Eletronorte'!#REF!,"_",ROW('Consolidado-Eletronorte'!#REF!)-ROW('Consolidado-Eletronorte'!$G$18))</f>
      </c>
      <c r="H188" s="212" t="s">
        <v>10</v>
      </c>
      <c r="I188" s="212" t="s">
        <v>87</v>
      </c>
      <c r="J188" s="212" t="s">
        <v>5</v>
      </c>
      <c r="K188" s="213" t="s">
        <v>16</v>
      </c>
      <c r="L188" s="212" t="s">
        <v>67</v>
      </c>
      <c r="M188" s="212"/>
      <c r="N188" s="212"/>
      <c r="O188" s="212"/>
      <c r="P188" s="212"/>
      <c r="Q188" s="239" t="s">
        <v>40934</v>
      </c>
      <c r="R188" s="239" t="s">
        <v>40935</v>
      </c>
      <c r="S188" s="239" t="s">
        <v>38296</v>
      </c>
      <c r="T188" s="239" t="s">
        <v>40351</v>
      </c>
      <c r="U188" s="239" t="s">
        <v>40351</v>
      </c>
      <c r="V188" s="239" t="s">
        <v>40351</v>
      </c>
      <c r="W188" s="239" t="s">
        <v>40351</v>
      </c>
      <c r="X188" s="239" t="s">
        <v>40351</v>
      </c>
      <c r="Y188" s="239" t="s">
        <v>40351</v>
      </c>
      <c r="Z188" s="239" t="s">
        <v>40351</v>
      </c>
      <c r="AA188" s="239" t="s">
        <v>40351</v>
      </c>
      <c r="AB188" s="239" t="s">
        <v>40351</v>
      </c>
      <c r="AC188" s="240">
        <v>18000</v>
      </c>
      <c r="AD188" s="239" t="s">
        <v>40351</v>
      </c>
      <c r="AE188" s="239" t="s">
        <v>40351</v>
      </c>
      <c r="AF188" s="241">
        <f>SUM(Tabela96[[#This Row], [jan/26]:[dez/26]])</f>
      </c>
      <c r="AG188" s="240">
        <v>0</v>
      </c>
      <c r="AH188" s="240">
        <v>0</v>
      </c>
      <c r="AI188" s="240">
        <v>0</v>
      </c>
      <c r="AJ188" s="240">
        <v>0</v>
      </c>
      <c r="AK188" s="240">
        <f>SUM(Tabela96[[#This Row], [2026]:[2030]])</f>
      </c>
      <c r="AL188" s="240">
        <v>0</v>
      </c>
      <c r="AM188" s="240">
        <v>0</v>
      </c>
      <c r="AN188" s="240">
        <v>0</v>
      </c>
      <c r="AO188" s="240">
        <v>0</v>
      </c>
      <c r="AP188" s="240">
        <v>0</v>
      </c>
      <c r="AQ188" s="242">
        <f>SUM(Tabela96[[#This Row], [2026-2030]:[2035]])</f>
      </c>
      <c r="AR188" s="1"/>
      <c r="AS188" s="239" t="s">
        <v>40904</v>
      </c>
      <c r="AT188" s="247" t="s">
        <v>39970</v>
      </c>
      <c r="AU188" s="239" t="s">
        <v>40936</v>
      </c>
      <c r="AV188" s="3"/>
      <c r="AW188" s="239" t="s">
        <v>39062</v>
      </c>
      <c r="AX188" s="2"/>
      <c r="AY188" s="2"/>
      <c r="AZ188" s="239" t="s">
        <v>40906</v>
      </c>
    </row>
    <row x14ac:dyDescent="0.25" r="189" customHeight="1" ht="24.75">
      <c r="A189" s="1"/>
      <c r="B189" s="237">
        <f>AND(ISTEXT('Consolidado-Eletronorte'!#REF!),SUM('Consolidado-Eletronorte'!#REF!)&gt;0)</f>
      </c>
      <c r="C189" s="238">
        <f>$J$3</f>
      </c>
      <c r="D189" s="238">
        <f>$H$3</f>
      </c>
      <c r="E189" s="238">
        <f>$H$4</f>
      </c>
      <c r="F189" s="210"/>
      <c r="G189" s="238">
        <f>_xlfn.CONCAT('Consolidado-Eletronorte'!#REF!,"_",ROW('Consolidado-Eletronorte'!#REF!)-ROW('Consolidado-Eletronorte'!$G$18))</f>
      </c>
      <c r="H189" s="212" t="s">
        <v>10</v>
      </c>
      <c r="I189" s="212" t="s">
        <v>87</v>
      </c>
      <c r="J189" s="212" t="s">
        <v>5</v>
      </c>
      <c r="K189" s="213" t="s">
        <v>16</v>
      </c>
      <c r="L189" s="212" t="s">
        <v>67</v>
      </c>
      <c r="M189" s="212"/>
      <c r="N189" s="212"/>
      <c r="O189" s="212"/>
      <c r="P189" s="212"/>
      <c r="Q189" s="239" t="s">
        <v>40937</v>
      </c>
      <c r="R189" s="239" t="s">
        <v>40935</v>
      </c>
      <c r="S189" s="239" t="s">
        <v>38296</v>
      </c>
      <c r="T189" s="239" t="s">
        <v>40351</v>
      </c>
      <c r="U189" s="239" t="s">
        <v>40351</v>
      </c>
      <c r="V189" s="239" t="s">
        <v>40351</v>
      </c>
      <c r="W189" s="239" t="s">
        <v>40351</v>
      </c>
      <c r="X189" s="239" t="s">
        <v>40351</v>
      </c>
      <c r="Y189" s="239" t="s">
        <v>40351</v>
      </c>
      <c r="Z189" s="239" t="s">
        <v>40351</v>
      </c>
      <c r="AA189" s="239" t="s">
        <v>40351</v>
      </c>
      <c r="AB189" s="239" t="s">
        <v>40351</v>
      </c>
      <c r="AC189" s="240">
        <v>27000</v>
      </c>
      <c r="AD189" s="239" t="s">
        <v>40351</v>
      </c>
      <c r="AE189" s="239" t="s">
        <v>40351</v>
      </c>
      <c r="AF189" s="241">
        <f>SUM(Tabela96[[#This Row], [jan/26]:[dez/26]])</f>
      </c>
      <c r="AG189" s="240">
        <v>0</v>
      </c>
      <c r="AH189" s="240">
        <v>0</v>
      </c>
      <c r="AI189" s="240">
        <v>0</v>
      </c>
      <c r="AJ189" s="240">
        <v>0</v>
      </c>
      <c r="AK189" s="240">
        <f>SUM(Tabela96[[#This Row], [2026]:[2030]])</f>
      </c>
      <c r="AL189" s="240">
        <v>0</v>
      </c>
      <c r="AM189" s="240">
        <v>0</v>
      </c>
      <c r="AN189" s="240">
        <v>0</v>
      </c>
      <c r="AO189" s="240">
        <v>0</v>
      </c>
      <c r="AP189" s="240">
        <v>0</v>
      </c>
      <c r="AQ189" s="242">
        <f>SUM(Tabela96[[#This Row], [2026-2030]:[2035]])</f>
      </c>
      <c r="AR189" s="1"/>
      <c r="AS189" s="239" t="s">
        <v>40904</v>
      </c>
      <c r="AT189" s="247" t="s">
        <v>39970</v>
      </c>
      <c r="AU189" s="239" t="s">
        <v>40938</v>
      </c>
      <c r="AV189" s="3"/>
      <c r="AW189" s="239" t="s">
        <v>39062</v>
      </c>
      <c r="AX189" s="2"/>
      <c r="AY189" s="2"/>
      <c r="AZ189" s="239" t="s">
        <v>40906</v>
      </c>
    </row>
    <row x14ac:dyDescent="0.25" r="190" customHeight="1" ht="24.75">
      <c r="A190" s="1"/>
      <c r="B190" s="237">
        <f>AND(ISTEXT('Consolidado-Eletronorte'!#REF!),SUM('Consolidado-Eletronorte'!#REF!)&gt;0)</f>
      </c>
      <c r="C190" s="238">
        <f>$J$3</f>
      </c>
      <c r="D190" s="238">
        <f>$H$3</f>
      </c>
      <c r="E190" s="238">
        <f>$H$4</f>
      </c>
      <c r="F190" s="210"/>
      <c r="G190" s="238">
        <f>_xlfn.CONCAT('Consolidado-Eletronorte'!#REF!,"_",ROW('Consolidado-Eletronorte'!#REF!)-ROW('Consolidado-Eletronorte'!$G$18))</f>
      </c>
      <c r="H190" s="212" t="s">
        <v>10</v>
      </c>
      <c r="I190" s="212" t="s">
        <v>87</v>
      </c>
      <c r="J190" s="212" t="s">
        <v>5</v>
      </c>
      <c r="K190" s="213" t="s">
        <v>16</v>
      </c>
      <c r="L190" s="212" t="s">
        <v>67</v>
      </c>
      <c r="M190" s="212"/>
      <c r="N190" s="212"/>
      <c r="O190" s="212"/>
      <c r="P190" s="212"/>
      <c r="Q190" s="239" t="s">
        <v>40939</v>
      </c>
      <c r="R190" s="239" t="s">
        <v>40935</v>
      </c>
      <c r="S190" s="239" t="s">
        <v>38296</v>
      </c>
      <c r="T190" s="239" t="s">
        <v>40351</v>
      </c>
      <c r="U190" s="239" t="s">
        <v>40351</v>
      </c>
      <c r="V190" s="239" t="s">
        <v>40351</v>
      </c>
      <c r="W190" s="239" t="s">
        <v>40351</v>
      </c>
      <c r="X190" s="239" t="s">
        <v>40351</v>
      </c>
      <c r="Y190" s="239" t="s">
        <v>40351</v>
      </c>
      <c r="Z190" s="239" t="s">
        <v>40351</v>
      </c>
      <c r="AA190" s="239" t="s">
        <v>40351</v>
      </c>
      <c r="AB190" s="239" t="s">
        <v>40351</v>
      </c>
      <c r="AC190" s="240">
        <v>32000</v>
      </c>
      <c r="AD190" s="239" t="s">
        <v>40351</v>
      </c>
      <c r="AE190" s="239" t="s">
        <v>40351</v>
      </c>
      <c r="AF190" s="241">
        <f>SUM(Tabela96[[#This Row], [jan/26]:[dez/26]])</f>
      </c>
      <c r="AG190" s="240">
        <v>0</v>
      </c>
      <c r="AH190" s="240">
        <v>0</v>
      </c>
      <c r="AI190" s="240">
        <v>0</v>
      </c>
      <c r="AJ190" s="240">
        <v>0</v>
      </c>
      <c r="AK190" s="240">
        <f>SUM(Tabela96[[#This Row], [2026]:[2030]])</f>
      </c>
      <c r="AL190" s="240">
        <v>0</v>
      </c>
      <c r="AM190" s="240">
        <v>0</v>
      </c>
      <c r="AN190" s="240">
        <v>0</v>
      </c>
      <c r="AO190" s="240">
        <v>0</v>
      </c>
      <c r="AP190" s="240">
        <v>0</v>
      </c>
      <c r="AQ190" s="242">
        <f>SUM(Tabela96[[#This Row], [2026-2030]:[2035]])</f>
      </c>
      <c r="AR190" s="1"/>
      <c r="AS190" s="239" t="s">
        <v>40904</v>
      </c>
      <c r="AT190" s="247" t="s">
        <v>39970</v>
      </c>
      <c r="AU190" s="239" t="s">
        <v>40940</v>
      </c>
      <c r="AV190" s="3"/>
      <c r="AW190" s="239" t="s">
        <v>39062</v>
      </c>
      <c r="AX190" s="2"/>
      <c r="AY190" s="2"/>
      <c r="AZ190" s="239" t="s">
        <v>40906</v>
      </c>
    </row>
    <row x14ac:dyDescent="0.25" r="191" customHeight="1" ht="24.75">
      <c r="A191" s="1"/>
      <c r="B191" s="237">
        <f>AND(ISTEXT('Consolidado-Eletronorte'!#REF!),SUM('Consolidado-Eletronorte'!#REF!)&gt;0)</f>
      </c>
      <c r="C191" s="238">
        <f>$J$3</f>
      </c>
      <c r="D191" s="238">
        <f>$H$3</f>
      </c>
      <c r="E191" s="238">
        <f>$H$4</f>
      </c>
      <c r="F191" s="210"/>
      <c r="G191" s="238">
        <f>_xlfn.CONCAT('Consolidado-Eletronorte'!#REF!,"_",ROW('Consolidado-Eletronorte'!#REF!)-ROW('Consolidado-Eletronorte'!$G$18))</f>
      </c>
      <c r="H191" s="212" t="s">
        <v>10</v>
      </c>
      <c r="I191" s="212" t="s">
        <v>87</v>
      </c>
      <c r="J191" s="212" t="s">
        <v>5</v>
      </c>
      <c r="K191" s="213" t="s">
        <v>16</v>
      </c>
      <c r="L191" s="212" t="s">
        <v>67</v>
      </c>
      <c r="M191" s="212"/>
      <c r="N191" s="212"/>
      <c r="O191" s="212"/>
      <c r="P191" s="212"/>
      <c r="Q191" s="239" t="s">
        <v>40941</v>
      </c>
      <c r="R191" s="239" t="s">
        <v>40935</v>
      </c>
      <c r="S191" s="239" t="s">
        <v>38296</v>
      </c>
      <c r="T191" s="239" t="s">
        <v>40351</v>
      </c>
      <c r="U191" s="239" t="s">
        <v>40351</v>
      </c>
      <c r="V191" s="239" t="s">
        <v>40351</v>
      </c>
      <c r="W191" s="239" t="s">
        <v>40351</v>
      </c>
      <c r="X191" s="239" t="s">
        <v>40351</v>
      </c>
      <c r="Y191" s="239" t="s">
        <v>40351</v>
      </c>
      <c r="Z191" s="239" t="s">
        <v>40351</v>
      </c>
      <c r="AA191" s="239" t="s">
        <v>40351</v>
      </c>
      <c r="AB191" s="239" t="s">
        <v>40351</v>
      </c>
      <c r="AC191" s="240">
        <v>270000</v>
      </c>
      <c r="AD191" s="239" t="s">
        <v>40351</v>
      </c>
      <c r="AE191" s="239" t="s">
        <v>40351</v>
      </c>
      <c r="AF191" s="241">
        <f>SUM(Tabela96[[#This Row], [jan/26]:[dez/26]])</f>
      </c>
      <c r="AG191" s="240">
        <v>0</v>
      </c>
      <c r="AH191" s="240">
        <v>0</v>
      </c>
      <c r="AI191" s="240">
        <v>0</v>
      </c>
      <c r="AJ191" s="240">
        <v>0</v>
      </c>
      <c r="AK191" s="240">
        <f>SUM(Tabela96[[#This Row], [2026]:[2030]])</f>
      </c>
      <c r="AL191" s="240">
        <v>0</v>
      </c>
      <c r="AM191" s="240">
        <v>0</v>
      </c>
      <c r="AN191" s="240">
        <v>0</v>
      </c>
      <c r="AO191" s="240">
        <v>0</v>
      </c>
      <c r="AP191" s="240">
        <v>0</v>
      </c>
      <c r="AQ191" s="242">
        <f>SUM(Tabela96[[#This Row], [2026-2030]:[2035]])</f>
      </c>
      <c r="AR191" s="1"/>
      <c r="AS191" s="239" t="s">
        <v>40904</v>
      </c>
      <c r="AT191" s="247" t="s">
        <v>39970</v>
      </c>
      <c r="AU191" s="239" t="s">
        <v>40942</v>
      </c>
      <c r="AV191" s="3"/>
      <c r="AW191" s="239" t="s">
        <v>39062</v>
      </c>
      <c r="AX191" s="2"/>
      <c r="AY191" s="2"/>
      <c r="AZ191" s="239" t="s">
        <v>40906</v>
      </c>
    </row>
    <row x14ac:dyDescent="0.25" r="192" customHeight="1" ht="24.75">
      <c r="A192" s="1"/>
      <c r="B192" s="237">
        <f>AND(ISTEXT('Consolidado-Eletronorte'!#REF!),SUM('Consolidado-Eletronorte'!#REF!)&gt;0)</f>
      </c>
      <c r="C192" s="238">
        <f>$J$3</f>
      </c>
      <c r="D192" s="238">
        <f>$H$3</f>
      </c>
      <c r="E192" s="238">
        <f>$H$4</f>
      </c>
      <c r="F192" s="210"/>
      <c r="G192" s="238">
        <f>_xlfn.CONCAT('Consolidado-Eletronorte'!#REF!,"_",ROW('Consolidado-Eletronorte'!#REF!)-ROW('Consolidado-Eletronorte'!$G$18))</f>
      </c>
      <c r="H192" s="212" t="s">
        <v>10</v>
      </c>
      <c r="I192" s="212" t="s">
        <v>87</v>
      </c>
      <c r="J192" s="212" t="s">
        <v>5</v>
      </c>
      <c r="K192" s="213" t="s">
        <v>16</v>
      </c>
      <c r="L192" s="212" t="s">
        <v>67</v>
      </c>
      <c r="M192" s="212"/>
      <c r="N192" s="212"/>
      <c r="O192" s="212"/>
      <c r="P192" s="212"/>
      <c r="Q192" s="239" t="s">
        <v>40943</v>
      </c>
      <c r="R192" s="239" t="s">
        <v>40935</v>
      </c>
      <c r="S192" s="239" t="s">
        <v>38296</v>
      </c>
      <c r="T192" s="239" t="s">
        <v>40351</v>
      </c>
      <c r="U192" s="239" t="s">
        <v>40351</v>
      </c>
      <c r="V192" s="239" t="s">
        <v>40351</v>
      </c>
      <c r="W192" s="239" t="s">
        <v>40351</v>
      </c>
      <c r="X192" s="239" t="s">
        <v>40351</v>
      </c>
      <c r="Y192" s="239" t="s">
        <v>40351</v>
      </c>
      <c r="Z192" s="239" t="s">
        <v>40351</v>
      </c>
      <c r="AA192" s="239" t="s">
        <v>40351</v>
      </c>
      <c r="AB192" s="239" t="s">
        <v>40351</v>
      </c>
      <c r="AC192" s="240">
        <v>8000</v>
      </c>
      <c r="AD192" s="239" t="s">
        <v>40351</v>
      </c>
      <c r="AE192" s="239" t="s">
        <v>40351</v>
      </c>
      <c r="AF192" s="241">
        <f>SUM(Tabela96[[#This Row], [jan/26]:[dez/26]])</f>
      </c>
      <c r="AG192" s="240">
        <v>0</v>
      </c>
      <c r="AH192" s="240">
        <v>0</v>
      </c>
      <c r="AI192" s="240">
        <v>0</v>
      </c>
      <c r="AJ192" s="240">
        <v>0</v>
      </c>
      <c r="AK192" s="240">
        <f>SUM(Tabela96[[#This Row], [2026]:[2030]])</f>
      </c>
      <c r="AL192" s="240">
        <v>0</v>
      </c>
      <c r="AM192" s="240">
        <v>0</v>
      </c>
      <c r="AN192" s="240">
        <v>0</v>
      </c>
      <c r="AO192" s="240">
        <v>0</v>
      </c>
      <c r="AP192" s="240">
        <v>0</v>
      </c>
      <c r="AQ192" s="242">
        <f>SUM(Tabela96[[#This Row], [2026-2030]:[2035]])</f>
      </c>
      <c r="AR192" s="1"/>
      <c r="AS192" s="239" t="s">
        <v>40904</v>
      </c>
      <c r="AT192" s="247" t="s">
        <v>39970</v>
      </c>
      <c r="AU192" s="239" t="s">
        <v>40944</v>
      </c>
      <c r="AV192" s="3"/>
      <c r="AW192" s="239" t="s">
        <v>39062</v>
      </c>
      <c r="AX192" s="2"/>
      <c r="AY192" s="2"/>
      <c r="AZ192" s="239" t="s">
        <v>40906</v>
      </c>
    </row>
    <row x14ac:dyDescent="0.25" r="193" customHeight="1" ht="24.75">
      <c r="A193" s="1"/>
      <c r="B193" s="237">
        <f>AND(ISTEXT('Consolidado-Eletronorte'!#REF!),SUM('Consolidado-Eletronorte'!#REF!)&gt;0)</f>
      </c>
      <c r="C193" s="238">
        <f>$J$3</f>
      </c>
      <c r="D193" s="238">
        <f>$H$3</f>
      </c>
      <c r="E193" s="238">
        <f>$H$4</f>
      </c>
      <c r="F193" s="210"/>
      <c r="G193" s="238">
        <f>_xlfn.CONCAT('Consolidado-Eletronorte'!#REF!,"_",ROW('Consolidado-Eletronorte'!#REF!)-ROW('Consolidado-Eletronorte'!$G$18))</f>
      </c>
      <c r="H193" s="212" t="s">
        <v>10</v>
      </c>
      <c r="I193" s="212" t="s">
        <v>87</v>
      </c>
      <c r="J193" s="212" t="s">
        <v>5</v>
      </c>
      <c r="K193" s="213" t="s">
        <v>16</v>
      </c>
      <c r="L193" s="212" t="s">
        <v>67</v>
      </c>
      <c r="M193" s="212"/>
      <c r="N193" s="212"/>
      <c r="O193" s="212"/>
      <c r="P193" s="212"/>
      <c r="Q193" s="239" t="s">
        <v>40945</v>
      </c>
      <c r="R193" s="239" t="s">
        <v>40935</v>
      </c>
      <c r="S193" s="239" t="s">
        <v>38296</v>
      </c>
      <c r="T193" s="239" t="s">
        <v>40351</v>
      </c>
      <c r="U193" s="239" t="s">
        <v>40351</v>
      </c>
      <c r="V193" s="239" t="s">
        <v>40351</v>
      </c>
      <c r="W193" s="239" t="s">
        <v>40351</v>
      </c>
      <c r="X193" s="239" t="s">
        <v>40351</v>
      </c>
      <c r="Y193" s="239" t="s">
        <v>40351</v>
      </c>
      <c r="Z193" s="239" t="s">
        <v>40351</v>
      </c>
      <c r="AA193" s="239" t="s">
        <v>40351</v>
      </c>
      <c r="AB193" s="239" t="s">
        <v>40351</v>
      </c>
      <c r="AC193" s="240">
        <v>8000</v>
      </c>
      <c r="AD193" s="239" t="s">
        <v>40351</v>
      </c>
      <c r="AE193" s="239" t="s">
        <v>40351</v>
      </c>
      <c r="AF193" s="241">
        <f>SUM(Tabela96[[#This Row], [jan/26]:[dez/26]])</f>
      </c>
      <c r="AG193" s="240">
        <v>0</v>
      </c>
      <c r="AH193" s="240">
        <v>0</v>
      </c>
      <c r="AI193" s="240">
        <v>0</v>
      </c>
      <c r="AJ193" s="240">
        <v>0</v>
      </c>
      <c r="AK193" s="240">
        <f>SUM(Tabela96[[#This Row], [2026]:[2030]])</f>
      </c>
      <c r="AL193" s="240">
        <v>0</v>
      </c>
      <c r="AM193" s="240">
        <v>0</v>
      </c>
      <c r="AN193" s="240">
        <v>0</v>
      </c>
      <c r="AO193" s="240">
        <v>0</v>
      </c>
      <c r="AP193" s="240">
        <v>0</v>
      </c>
      <c r="AQ193" s="242">
        <f>SUM(Tabela96[[#This Row], [2026-2030]:[2035]])</f>
      </c>
      <c r="AR193" s="1"/>
      <c r="AS193" s="239" t="s">
        <v>40904</v>
      </c>
      <c r="AT193" s="247" t="s">
        <v>39970</v>
      </c>
      <c r="AU193" s="239" t="s">
        <v>40946</v>
      </c>
      <c r="AV193" s="3"/>
      <c r="AW193" s="239" t="s">
        <v>39062</v>
      </c>
      <c r="AX193" s="2"/>
      <c r="AY193" s="2"/>
      <c r="AZ193" s="239" t="s">
        <v>40906</v>
      </c>
    </row>
    <row x14ac:dyDescent="0.25" r="194" customHeight="1" ht="24.75">
      <c r="A194" s="1"/>
      <c r="B194" s="237">
        <f>AND(ISTEXT('Consolidado-Eletronorte'!#REF!),SUM('Consolidado-Eletronorte'!#REF!)&gt;0)</f>
      </c>
      <c r="C194" s="238">
        <f>$J$3</f>
      </c>
      <c r="D194" s="238">
        <f>$H$3</f>
      </c>
      <c r="E194" s="238">
        <f>$H$4</f>
      </c>
      <c r="F194" s="210"/>
      <c r="G194" s="238">
        <f>_xlfn.CONCAT('Consolidado-Eletronorte'!#REF!,"_",ROW('Consolidado-Eletronorte'!#REF!)-ROW('Consolidado-Eletronorte'!$G$18))</f>
      </c>
      <c r="H194" s="212" t="s">
        <v>10</v>
      </c>
      <c r="I194" s="212" t="s">
        <v>87</v>
      </c>
      <c r="J194" s="212" t="s">
        <v>5</v>
      </c>
      <c r="K194" s="213" t="s">
        <v>16</v>
      </c>
      <c r="L194" s="212" t="s">
        <v>67</v>
      </c>
      <c r="M194" s="212"/>
      <c r="N194" s="212"/>
      <c r="O194" s="212"/>
      <c r="P194" s="212"/>
      <c r="Q194" s="239" t="s">
        <v>40947</v>
      </c>
      <c r="R194" s="239" t="s">
        <v>40935</v>
      </c>
      <c r="S194" s="239" t="s">
        <v>38296</v>
      </c>
      <c r="T194" s="239" t="s">
        <v>40351</v>
      </c>
      <c r="U194" s="239" t="s">
        <v>40351</v>
      </c>
      <c r="V194" s="239" t="s">
        <v>40351</v>
      </c>
      <c r="W194" s="239" t="s">
        <v>40351</v>
      </c>
      <c r="X194" s="239" t="s">
        <v>40351</v>
      </c>
      <c r="Y194" s="239" t="s">
        <v>40351</v>
      </c>
      <c r="Z194" s="239" t="s">
        <v>40351</v>
      </c>
      <c r="AA194" s="239" t="s">
        <v>40351</v>
      </c>
      <c r="AB194" s="239" t="s">
        <v>40351</v>
      </c>
      <c r="AC194" s="240">
        <v>6000</v>
      </c>
      <c r="AD194" s="239" t="s">
        <v>40351</v>
      </c>
      <c r="AE194" s="239" t="s">
        <v>40351</v>
      </c>
      <c r="AF194" s="241">
        <f>SUM(Tabela96[[#This Row], [jan/26]:[dez/26]])</f>
      </c>
      <c r="AG194" s="240">
        <v>0</v>
      </c>
      <c r="AH194" s="240">
        <v>0</v>
      </c>
      <c r="AI194" s="240">
        <v>0</v>
      </c>
      <c r="AJ194" s="240">
        <v>0</v>
      </c>
      <c r="AK194" s="240">
        <f>SUM(Tabela96[[#This Row], [2026]:[2030]])</f>
      </c>
      <c r="AL194" s="240">
        <v>0</v>
      </c>
      <c r="AM194" s="240">
        <v>0</v>
      </c>
      <c r="AN194" s="240">
        <v>0</v>
      </c>
      <c r="AO194" s="240">
        <v>0</v>
      </c>
      <c r="AP194" s="240">
        <v>0</v>
      </c>
      <c r="AQ194" s="242">
        <f>SUM(Tabela96[[#This Row], [2026-2030]:[2035]])</f>
      </c>
      <c r="AR194" s="1"/>
      <c r="AS194" s="239" t="s">
        <v>40904</v>
      </c>
      <c r="AT194" s="247" t="s">
        <v>39970</v>
      </c>
      <c r="AU194" s="239" t="s">
        <v>40948</v>
      </c>
      <c r="AV194" s="3"/>
      <c r="AW194" s="239" t="s">
        <v>39062</v>
      </c>
      <c r="AX194" s="2"/>
      <c r="AY194" s="2"/>
      <c r="AZ194" s="239" t="s">
        <v>40906</v>
      </c>
    </row>
    <row x14ac:dyDescent="0.25" r="195" customHeight="1" ht="24.75">
      <c r="A195" s="1"/>
      <c r="B195" s="237">
        <f>AND(ISTEXT('Consolidado-Eletronorte'!#REF!),SUM('Consolidado-Eletronorte'!#REF!)&gt;0)</f>
      </c>
      <c r="C195" s="238">
        <f>$J$3</f>
      </c>
      <c r="D195" s="238">
        <f>$H$3</f>
      </c>
      <c r="E195" s="238">
        <f>$H$4</f>
      </c>
      <c r="F195" s="210"/>
      <c r="G195" s="238">
        <f>_xlfn.CONCAT('Consolidado-Eletronorte'!#REF!,"_",ROW('Consolidado-Eletronorte'!#REF!)-ROW('Consolidado-Eletronorte'!$G$18))</f>
      </c>
      <c r="H195" s="212" t="s">
        <v>10</v>
      </c>
      <c r="I195" s="212" t="s">
        <v>87</v>
      </c>
      <c r="J195" s="212" t="s">
        <v>5</v>
      </c>
      <c r="K195" s="213" t="s">
        <v>16</v>
      </c>
      <c r="L195" s="212" t="s">
        <v>67</v>
      </c>
      <c r="M195" s="212"/>
      <c r="N195" s="212"/>
      <c r="O195" s="212"/>
      <c r="P195" s="212"/>
      <c r="Q195" s="239" t="s">
        <v>40949</v>
      </c>
      <c r="R195" s="239" t="s">
        <v>40935</v>
      </c>
      <c r="S195" s="239" t="s">
        <v>38296</v>
      </c>
      <c r="T195" s="239" t="s">
        <v>40351</v>
      </c>
      <c r="U195" s="239" t="s">
        <v>40351</v>
      </c>
      <c r="V195" s="239" t="s">
        <v>40351</v>
      </c>
      <c r="W195" s="239" t="s">
        <v>40351</v>
      </c>
      <c r="X195" s="239" t="s">
        <v>40351</v>
      </c>
      <c r="Y195" s="239" t="s">
        <v>40351</v>
      </c>
      <c r="Z195" s="239" t="s">
        <v>40351</v>
      </c>
      <c r="AA195" s="239" t="s">
        <v>40351</v>
      </c>
      <c r="AB195" s="239" t="s">
        <v>40351</v>
      </c>
      <c r="AC195" s="240">
        <v>30000</v>
      </c>
      <c r="AD195" s="239" t="s">
        <v>40351</v>
      </c>
      <c r="AE195" s="239" t="s">
        <v>40351</v>
      </c>
      <c r="AF195" s="241">
        <f>SUM(Tabela96[[#This Row], [jan/26]:[dez/26]])</f>
      </c>
      <c r="AG195" s="240">
        <v>0</v>
      </c>
      <c r="AH195" s="240">
        <v>0</v>
      </c>
      <c r="AI195" s="240">
        <v>0</v>
      </c>
      <c r="AJ195" s="240">
        <v>0</v>
      </c>
      <c r="AK195" s="240">
        <f>SUM(Tabela96[[#This Row], [2026]:[2030]])</f>
      </c>
      <c r="AL195" s="240">
        <v>0</v>
      </c>
      <c r="AM195" s="240">
        <v>0</v>
      </c>
      <c r="AN195" s="240">
        <v>0</v>
      </c>
      <c r="AO195" s="240">
        <v>0</v>
      </c>
      <c r="AP195" s="240">
        <v>0</v>
      </c>
      <c r="AQ195" s="242">
        <f>SUM(Tabela96[[#This Row], [2026-2030]:[2035]])</f>
      </c>
      <c r="AR195" s="1"/>
      <c r="AS195" s="239" t="s">
        <v>40904</v>
      </c>
      <c r="AT195" s="247" t="s">
        <v>39970</v>
      </c>
      <c r="AU195" s="239" t="s">
        <v>40950</v>
      </c>
      <c r="AV195" s="3"/>
      <c r="AW195" s="239" t="s">
        <v>39062</v>
      </c>
      <c r="AX195" s="2"/>
      <c r="AY195" s="2"/>
      <c r="AZ195" s="239" t="s">
        <v>40906</v>
      </c>
    </row>
    <row x14ac:dyDescent="0.25" r="196" customHeight="1" ht="24.75">
      <c r="A196" s="1"/>
      <c r="B196" s="237">
        <f>AND(ISTEXT('Consolidado-Eletronorte'!#REF!),SUM('Consolidado-Eletronorte'!#REF!)&gt;0)</f>
      </c>
      <c r="C196" s="238">
        <f>$J$3</f>
      </c>
      <c r="D196" s="238">
        <f>$H$3</f>
      </c>
      <c r="E196" s="238">
        <f>$H$4</f>
      </c>
      <c r="F196" s="210"/>
      <c r="G196" s="238">
        <f>_xlfn.CONCAT('Consolidado-Eletronorte'!#REF!,"_",ROW('Consolidado-Eletronorte'!#REF!)-ROW('Consolidado-Eletronorte'!$G$18))</f>
      </c>
      <c r="H196" s="212" t="s">
        <v>10</v>
      </c>
      <c r="I196" s="212" t="s">
        <v>87</v>
      </c>
      <c r="J196" s="212" t="s">
        <v>5</v>
      </c>
      <c r="K196" s="213" t="s">
        <v>16</v>
      </c>
      <c r="L196" s="212" t="s">
        <v>67</v>
      </c>
      <c r="M196" s="212"/>
      <c r="N196" s="212"/>
      <c r="O196" s="212"/>
      <c r="P196" s="212"/>
      <c r="Q196" s="239" t="s">
        <v>40951</v>
      </c>
      <c r="R196" s="239" t="s">
        <v>40935</v>
      </c>
      <c r="S196" s="239" t="s">
        <v>38296</v>
      </c>
      <c r="T196" s="239" t="s">
        <v>40351</v>
      </c>
      <c r="U196" s="239" t="s">
        <v>40351</v>
      </c>
      <c r="V196" s="239" t="s">
        <v>40351</v>
      </c>
      <c r="W196" s="239" t="s">
        <v>40351</v>
      </c>
      <c r="X196" s="239" t="s">
        <v>40351</v>
      </c>
      <c r="Y196" s="239" t="s">
        <v>40351</v>
      </c>
      <c r="Z196" s="239" t="s">
        <v>40351</v>
      </c>
      <c r="AA196" s="240"/>
      <c r="AB196" s="239" t="s">
        <v>40351</v>
      </c>
      <c r="AC196" s="240">
        <v>70000</v>
      </c>
      <c r="AD196" s="239" t="s">
        <v>40351</v>
      </c>
      <c r="AE196" s="239" t="s">
        <v>40351</v>
      </c>
      <c r="AF196" s="241">
        <f>SUM(Tabela96[[#This Row], [jan/26]:[dez/26]])</f>
      </c>
      <c r="AG196" s="240">
        <v>0</v>
      </c>
      <c r="AH196" s="240">
        <v>0</v>
      </c>
      <c r="AI196" s="240">
        <v>0</v>
      </c>
      <c r="AJ196" s="240">
        <v>0</v>
      </c>
      <c r="AK196" s="240">
        <f>SUM(Tabela96[[#This Row], [2026]:[2030]])</f>
      </c>
      <c r="AL196" s="240">
        <v>0</v>
      </c>
      <c r="AM196" s="240">
        <v>0</v>
      </c>
      <c r="AN196" s="240">
        <v>0</v>
      </c>
      <c r="AO196" s="240">
        <v>0</v>
      </c>
      <c r="AP196" s="240">
        <v>0</v>
      </c>
      <c r="AQ196" s="242">
        <f>SUM(Tabela96[[#This Row], [2026-2030]:[2035]])</f>
      </c>
      <c r="AR196" s="1"/>
      <c r="AS196" s="239" t="s">
        <v>40904</v>
      </c>
      <c r="AT196" s="247" t="s">
        <v>39970</v>
      </c>
      <c r="AU196" s="239" t="s">
        <v>40952</v>
      </c>
      <c r="AV196" s="3"/>
      <c r="AW196" s="239" t="s">
        <v>39062</v>
      </c>
      <c r="AX196" s="2"/>
      <c r="AY196" s="2"/>
      <c r="AZ196" s="239" t="s">
        <v>40906</v>
      </c>
    </row>
    <row x14ac:dyDescent="0.25" r="197" customHeight="1" ht="24.75">
      <c r="A197" s="1"/>
      <c r="B197" s="237">
        <f>AND(ISTEXT('Consolidado-Eletronorte'!#REF!),SUM('Consolidado-Eletronorte'!#REF!)&gt;0)</f>
      </c>
      <c r="C197" s="238">
        <f>$J$3</f>
      </c>
      <c r="D197" s="238">
        <f>$H$3</f>
      </c>
      <c r="E197" s="238">
        <f>$H$4</f>
      </c>
      <c r="F197" s="210"/>
      <c r="G197" s="238">
        <f>_xlfn.CONCAT('Consolidado-Eletronorte'!#REF!,"_",ROW('Consolidado-Eletronorte'!#REF!)-ROW('Consolidado-Eletronorte'!$G$18))</f>
      </c>
      <c r="H197" s="212" t="s">
        <v>10</v>
      </c>
      <c r="I197" s="212" t="s">
        <v>87</v>
      </c>
      <c r="J197" s="212" t="s">
        <v>5</v>
      </c>
      <c r="K197" s="213" t="s">
        <v>16</v>
      </c>
      <c r="L197" s="212" t="s">
        <v>67</v>
      </c>
      <c r="M197" s="212"/>
      <c r="N197" s="212"/>
      <c r="O197" s="212"/>
      <c r="P197" s="212"/>
      <c r="Q197" s="239" t="s">
        <v>40953</v>
      </c>
      <c r="R197" s="239" t="s">
        <v>40935</v>
      </c>
      <c r="S197" s="239" t="s">
        <v>40954</v>
      </c>
      <c r="T197" s="239" t="s">
        <v>40351</v>
      </c>
      <c r="U197" s="239" t="s">
        <v>40351</v>
      </c>
      <c r="V197" s="239" t="s">
        <v>40351</v>
      </c>
      <c r="W197" s="239" t="s">
        <v>40351</v>
      </c>
      <c r="X197" s="239" t="s">
        <v>40351</v>
      </c>
      <c r="Y197" s="239" t="s">
        <v>40351</v>
      </c>
      <c r="Z197" s="240">
        <v>55000</v>
      </c>
      <c r="AA197" s="239" t="s">
        <v>40351</v>
      </c>
      <c r="AB197" s="239" t="s">
        <v>40351</v>
      </c>
      <c r="AC197" s="239" t="s">
        <v>40351</v>
      </c>
      <c r="AD197" s="239" t="s">
        <v>40351</v>
      </c>
      <c r="AE197" s="239" t="s">
        <v>40351</v>
      </c>
      <c r="AF197" s="241">
        <f>SUM(Tabela96[[#This Row], [jan/26]:[dez/26]])</f>
      </c>
      <c r="AG197" s="240">
        <v>0</v>
      </c>
      <c r="AH197" s="240">
        <v>0</v>
      </c>
      <c r="AI197" s="240">
        <v>0</v>
      </c>
      <c r="AJ197" s="240">
        <v>0</v>
      </c>
      <c r="AK197" s="240">
        <f>SUM(Tabela96[[#This Row], [2026]:[2030]])</f>
      </c>
      <c r="AL197" s="240">
        <v>0</v>
      </c>
      <c r="AM197" s="240">
        <v>0</v>
      </c>
      <c r="AN197" s="240">
        <v>0</v>
      </c>
      <c r="AO197" s="240">
        <v>0</v>
      </c>
      <c r="AP197" s="240">
        <v>0</v>
      </c>
      <c r="AQ197" s="242">
        <f>SUM(Tabela96[[#This Row], [2026-2030]:[2035]])</f>
      </c>
      <c r="AR197" s="1"/>
      <c r="AS197" s="239" t="s">
        <v>40904</v>
      </c>
      <c r="AT197" s="247" t="s">
        <v>39970</v>
      </c>
      <c r="AU197" s="239" t="s">
        <v>40955</v>
      </c>
      <c r="AV197" s="3"/>
      <c r="AW197" s="239" t="s">
        <v>39062</v>
      </c>
      <c r="AX197" s="2"/>
      <c r="AY197" s="2"/>
      <c r="AZ197" s="239" t="s">
        <v>40906</v>
      </c>
    </row>
    <row x14ac:dyDescent="0.25" r="198" customHeight="1" ht="24.75">
      <c r="A198" s="1"/>
      <c r="B198" s="237">
        <f>AND(ISTEXT('Consolidado-Eletronorte'!#REF!),SUM('Consolidado-Eletronorte'!#REF!)&gt;0)</f>
      </c>
      <c r="C198" s="238">
        <f>$J$3</f>
      </c>
      <c r="D198" s="238">
        <f>$H$3</f>
      </c>
      <c r="E198" s="238">
        <f>$H$4</f>
      </c>
      <c r="F198" s="210"/>
      <c r="G198" s="238">
        <f>_xlfn.CONCAT('Consolidado-Eletronorte'!#REF!,"_",ROW('Consolidado-Eletronorte'!#REF!)-ROW('Consolidado-Eletronorte'!$G$18))</f>
      </c>
      <c r="H198" s="212" t="s">
        <v>10</v>
      </c>
      <c r="I198" s="212" t="s">
        <v>87</v>
      </c>
      <c r="J198" s="212" t="s">
        <v>5</v>
      </c>
      <c r="K198" s="213" t="s">
        <v>16</v>
      </c>
      <c r="L198" s="212" t="s">
        <v>67</v>
      </c>
      <c r="M198" s="212"/>
      <c r="N198" s="212"/>
      <c r="O198" s="212"/>
      <c r="P198" s="212"/>
      <c r="Q198" s="239" t="s">
        <v>40956</v>
      </c>
      <c r="R198" s="239" t="s">
        <v>40935</v>
      </c>
      <c r="S198" s="239" t="s">
        <v>40954</v>
      </c>
      <c r="T198" s="239" t="s">
        <v>40351</v>
      </c>
      <c r="U198" s="239" t="s">
        <v>40351</v>
      </c>
      <c r="V198" s="239" t="s">
        <v>40351</v>
      </c>
      <c r="W198" s="239" t="s">
        <v>40351</v>
      </c>
      <c r="X198" s="239" t="s">
        <v>40351</v>
      </c>
      <c r="Y198" s="239" t="s">
        <v>40351</v>
      </c>
      <c r="Z198" s="240">
        <v>8000</v>
      </c>
      <c r="AA198" s="239" t="s">
        <v>40351</v>
      </c>
      <c r="AB198" s="239" t="s">
        <v>40351</v>
      </c>
      <c r="AC198" s="239" t="s">
        <v>40351</v>
      </c>
      <c r="AD198" s="239" t="s">
        <v>40351</v>
      </c>
      <c r="AE198" s="239" t="s">
        <v>40351</v>
      </c>
      <c r="AF198" s="241">
        <f>SUM(Tabela96[[#This Row], [jan/26]:[dez/26]])</f>
      </c>
      <c r="AG198" s="240">
        <v>0</v>
      </c>
      <c r="AH198" s="240">
        <v>0</v>
      </c>
      <c r="AI198" s="240">
        <v>0</v>
      </c>
      <c r="AJ198" s="240">
        <v>0</v>
      </c>
      <c r="AK198" s="240">
        <f>SUM(Tabela96[[#This Row], [2026]:[2030]])</f>
      </c>
      <c r="AL198" s="240">
        <v>0</v>
      </c>
      <c r="AM198" s="240">
        <v>0</v>
      </c>
      <c r="AN198" s="240">
        <v>0</v>
      </c>
      <c r="AO198" s="240">
        <v>0</v>
      </c>
      <c r="AP198" s="240">
        <v>0</v>
      </c>
      <c r="AQ198" s="242">
        <f>SUM(Tabela96[[#This Row], [2026-2030]:[2035]])</f>
      </c>
      <c r="AR198" s="1"/>
      <c r="AS198" s="239" t="s">
        <v>40904</v>
      </c>
      <c r="AT198" s="247" t="s">
        <v>39970</v>
      </c>
      <c r="AU198" s="239" t="s">
        <v>40957</v>
      </c>
      <c r="AV198" s="3"/>
      <c r="AW198" s="239" t="s">
        <v>39062</v>
      </c>
      <c r="AX198" s="2"/>
      <c r="AY198" s="2"/>
      <c r="AZ198" s="239" t="s">
        <v>40906</v>
      </c>
    </row>
    <row x14ac:dyDescent="0.25" r="199" customHeight="1" ht="24.75">
      <c r="A199" s="1"/>
      <c r="B199" s="237">
        <f>AND(ISTEXT('Consolidado-Eletronorte'!#REF!),SUM('Consolidado-Eletronorte'!#REF!)&gt;0)</f>
      </c>
      <c r="C199" s="238">
        <f>$J$3</f>
      </c>
      <c r="D199" s="238">
        <f>$H$3</f>
      </c>
      <c r="E199" s="238">
        <f>$H$4</f>
      </c>
      <c r="F199" s="210"/>
      <c r="G199" s="238">
        <f>_xlfn.CONCAT('Consolidado-Eletronorte'!#REF!,"_",ROW('Consolidado-Eletronorte'!#REF!)-ROW('Consolidado-Eletronorte'!$G$18))</f>
      </c>
      <c r="H199" s="212" t="s">
        <v>10</v>
      </c>
      <c r="I199" s="212" t="s">
        <v>87</v>
      </c>
      <c r="J199" s="212" t="s">
        <v>5</v>
      </c>
      <c r="K199" s="213" t="s">
        <v>16</v>
      </c>
      <c r="L199" s="212" t="s">
        <v>67</v>
      </c>
      <c r="M199" s="212"/>
      <c r="N199" s="212"/>
      <c r="O199" s="212"/>
      <c r="P199" s="212"/>
      <c r="Q199" s="239" t="s">
        <v>40958</v>
      </c>
      <c r="R199" s="239" t="s">
        <v>40935</v>
      </c>
      <c r="S199" s="239" t="s">
        <v>38294</v>
      </c>
      <c r="T199" s="239" t="s">
        <v>40351</v>
      </c>
      <c r="U199" s="239" t="s">
        <v>40351</v>
      </c>
      <c r="V199" s="239" t="s">
        <v>40351</v>
      </c>
      <c r="W199" s="239" t="s">
        <v>40351</v>
      </c>
      <c r="X199" s="239" t="s">
        <v>40351</v>
      </c>
      <c r="Y199" s="239" t="s">
        <v>40351</v>
      </c>
      <c r="Z199" s="239" t="s">
        <v>40351</v>
      </c>
      <c r="AA199" s="239" t="s">
        <v>40351</v>
      </c>
      <c r="AB199" s="240">
        <v>40000</v>
      </c>
      <c r="AC199" s="239" t="s">
        <v>40351</v>
      </c>
      <c r="AD199" s="239" t="s">
        <v>40351</v>
      </c>
      <c r="AE199" s="239" t="s">
        <v>40351</v>
      </c>
      <c r="AF199" s="241">
        <f>SUM(Tabela96[[#This Row], [jan/26]:[dez/26]])</f>
      </c>
      <c r="AG199" s="240">
        <v>0</v>
      </c>
      <c r="AH199" s="240">
        <v>0</v>
      </c>
      <c r="AI199" s="240">
        <v>0</v>
      </c>
      <c r="AJ199" s="240">
        <v>0</v>
      </c>
      <c r="AK199" s="240">
        <f>SUM(Tabela96[[#This Row], [2026]:[2030]])</f>
      </c>
      <c r="AL199" s="240">
        <v>0</v>
      </c>
      <c r="AM199" s="240">
        <v>0</v>
      </c>
      <c r="AN199" s="240">
        <v>0</v>
      </c>
      <c r="AO199" s="240">
        <v>0</v>
      </c>
      <c r="AP199" s="240">
        <v>0</v>
      </c>
      <c r="AQ199" s="242">
        <f>SUM(Tabela96[[#This Row], [2026-2030]:[2035]])</f>
      </c>
      <c r="AR199" s="1"/>
      <c r="AS199" s="239" t="s">
        <v>40904</v>
      </c>
      <c r="AT199" s="247" t="s">
        <v>39970</v>
      </c>
      <c r="AU199" s="239" t="s">
        <v>40959</v>
      </c>
      <c r="AV199" s="3"/>
      <c r="AW199" s="239" t="s">
        <v>39062</v>
      </c>
      <c r="AX199" s="2"/>
      <c r="AY199" s="2"/>
      <c r="AZ199" s="239" t="s">
        <v>40906</v>
      </c>
    </row>
    <row x14ac:dyDescent="0.25" r="200" customHeight="1" ht="24.75">
      <c r="A200" s="1"/>
      <c r="B200" s="237">
        <f>AND(ISTEXT('Consolidado-Eletronorte'!#REF!),SUM('Consolidado-Eletronorte'!#REF!)&gt;0)</f>
      </c>
      <c r="C200" s="238">
        <f>$J$3</f>
      </c>
      <c r="D200" s="238">
        <f>$H$3</f>
      </c>
      <c r="E200" s="238">
        <f>$H$4</f>
      </c>
      <c r="F200" s="210"/>
      <c r="G200" s="238">
        <f>_xlfn.CONCAT('Consolidado-Eletronorte'!#REF!,"_",ROW('Consolidado-Eletronorte'!#REF!)-ROW('Consolidado-Eletronorte'!$G$18))</f>
      </c>
      <c r="H200" s="212" t="s">
        <v>10</v>
      </c>
      <c r="I200" s="212" t="s">
        <v>87</v>
      </c>
      <c r="J200" s="212" t="s">
        <v>5</v>
      </c>
      <c r="K200" s="213" t="s">
        <v>16</v>
      </c>
      <c r="L200" s="212" t="s">
        <v>67</v>
      </c>
      <c r="M200" s="212"/>
      <c r="N200" s="212"/>
      <c r="O200" s="212"/>
      <c r="P200" s="212"/>
      <c r="Q200" s="239" t="s">
        <v>40960</v>
      </c>
      <c r="R200" s="239" t="s">
        <v>40935</v>
      </c>
      <c r="S200" s="239" t="s">
        <v>38294</v>
      </c>
      <c r="T200" s="239" t="s">
        <v>40351</v>
      </c>
      <c r="U200" s="239" t="s">
        <v>40351</v>
      </c>
      <c r="V200" s="239" t="s">
        <v>40351</v>
      </c>
      <c r="W200" s="239" t="s">
        <v>40351</v>
      </c>
      <c r="X200" s="239" t="s">
        <v>40351</v>
      </c>
      <c r="Y200" s="239" t="s">
        <v>40351</v>
      </c>
      <c r="Z200" s="239" t="s">
        <v>40351</v>
      </c>
      <c r="AA200" s="239" t="s">
        <v>40351</v>
      </c>
      <c r="AB200" s="240">
        <v>26000</v>
      </c>
      <c r="AC200" s="239" t="s">
        <v>40351</v>
      </c>
      <c r="AD200" s="239" t="s">
        <v>40351</v>
      </c>
      <c r="AE200" s="239" t="s">
        <v>40351</v>
      </c>
      <c r="AF200" s="241">
        <f>SUM(Tabela96[[#This Row], [jan/26]:[dez/26]])</f>
      </c>
      <c r="AG200" s="240">
        <v>0</v>
      </c>
      <c r="AH200" s="240">
        <v>0</v>
      </c>
      <c r="AI200" s="240">
        <v>0</v>
      </c>
      <c r="AJ200" s="240">
        <v>0</v>
      </c>
      <c r="AK200" s="240">
        <f>SUM(Tabela96[[#This Row], [2026]:[2030]])</f>
      </c>
      <c r="AL200" s="240">
        <v>0</v>
      </c>
      <c r="AM200" s="240">
        <v>0</v>
      </c>
      <c r="AN200" s="240">
        <v>0</v>
      </c>
      <c r="AO200" s="240">
        <v>0</v>
      </c>
      <c r="AP200" s="240">
        <v>0</v>
      </c>
      <c r="AQ200" s="242">
        <f>SUM(Tabela96[[#This Row], [2026-2030]:[2035]])</f>
      </c>
      <c r="AR200" s="1"/>
      <c r="AS200" s="239" t="s">
        <v>40904</v>
      </c>
      <c r="AT200" s="247" t="s">
        <v>39970</v>
      </c>
      <c r="AU200" s="239" t="s">
        <v>40961</v>
      </c>
      <c r="AV200" s="3"/>
      <c r="AW200" s="239" t="s">
        <v>39062</v>
      </c>
      <c r="AX200" s="2"/>
      <c r="AY200" s="2"/>
      <c r="AZ200" s="239" t="s">
        <v>40906</v>
      </c>
    </row>
    <row x14ac:dyDescent="0.25" r="201" customHeight="1" ht="24.75">
      <c r="A201" s="1"/>
      <c r="B201" s="237">
        <f>AND(ISTEXT('Consolidado-Eletronorte'!#REF!),SUM('Consolidado-Eletronorte'!#REF!)&gt;0)</f>
      </c>
      <c r="C201" s="238">
        <f>$J$3</f>
      </c>
      <c r="D201" s="238">
        <f>$H$3</f>
      </c>
      <c r="E201" s="238">
        <f>$H$4</f>
      </c>
      <c r="F201" s="210"/>
      <c r="G201" s="238">
        <f>_xlfn.CONCAT('Consolidado-Eletronorte'!#REF!,"_",ROW('Consolidado-Eletronorte'!#REF!)-ROW('Consolidado-Eletronorte'!$G$18))</f>
      </c>
      <c r="H201" s="212" t="s">
        <v>10</v>
      </c>
      <c r="I201" s="212" t="s">
        <v>87</v>
      </c>
      <c r="J201" s="212" t="s">
        <v>5</v>
      </c>
      <c r="K201" s="213" t="s">
        <v>16</v>
      </c>
      <c r="L201" s="212" t="s">
        <v>67</v>
      </c>
      <c r="M201" s="212"/>
      <c r="N201" s="212"/>
      <c r="O201" s="212"/>
      <c r="P201" s="212"/>
      <c r="Q201" s="239" t="s">
        <v>40962</v>
      </c>
      <c r="R201" s="239" t="s">
        <v>40935</v>
      </c>
      <c r="S201" s="239" t="s">
        <v>38294</v>
      </c>
      <c r="T201" s="239" t="s">
        <v>40351</v>
      </c>
      <c r="U201" s="239" t="s">
        <v>40351</v>
      </c>
      <c r="V201" s="239" t="s">
        <v>40351</v>
      </c>
      <c r="W201" s="239" t="s">
        <v>40351</v>
      </c>
      <c r="X201" s="239" t="s">
        <v>40351</v>
      </c>
      <c r="Y201" s="239" t="s">
        <v>40351</v>
      </c>
      <c r="Z201" s="239" t="s">
        <v>40351</v>
      </c>
      <c r="AA201" s="239" t="s">
        <v>40351</v>
      </c>
      <c r="AB201" s="240">
        <v>26000</v>
      </c>
      <c r="AC201" s="239" t="s">
        <v>40351</v>
      </c>
      <c r="AD201" s="239" t="s">
        <v>40351</v>
      </c>
      <c r="AE201" s="239" t="s">
        <v>40351</v>
      </c>
      <c r="AF201" s="241">
        <f>SUM(Tabela96[[#This Row], [jan/26]:[dez/26]])</f>
      </c>
      <c r="AG201" s="240">
        <v>0</v>
      </c>
      <c r="AH201" s="240">
        <v>0</v>
      </c>
      <c r="AI201" s="240">
        <v>0</v>
      </c>
      <c r="AJ201" s="240">
        <v>0</v>
      </c>
      <c r="AK201" s="240">
        <f>SUM(Tabela96[[#This Row], [2026]:[2030]])</f>
      </c>
      <c r="AL201" s="240">
        <v>0</v>
      </c>
      <c r="AM201" s="240">
        <v>0</v>
      </c>
      <c r="AN201" s="240">
        <v>0</v>
      </c>
      <c r="AO201" s="240">
        <v>0</v>
      </c>
      <c r="AP201" s="240">
        <v>0</v>
      </c>
      <c r="AQ201" s="242">
        <f>SUM(Tabela96[[#This Row], [2026-2030]:[2035]])</f>
      </c>
      <c r="AR201" s="1"/>
      <c r="AS201" s="239" t="s">
        <v>40904</v>
      </c>
      <c r="AT201" s="247" t="s">
        <v>39970</v>
      </c>
      <c r="AU201" s="239" t="s">
        <v>40963</v>
      </c>
      <c r="AV201" s="3"/>
      <c r="AW201" s="239" t="s">
        <v>39062</v>
      </c>
      <c r="AX201" s="2"/>
      <c r="AY201" s="2"/>
      <c r="AZ201" s="239" t="s">
        <v>40906</v>
      </c>
    </row>
    <row x14ac:dyDescent="0.25" r="202" customHeight="1" ht="24.75">
      <c r="A202" s="1"/>
      <c r="B202" s="237">
        <f>AND(ISTEXT('Consolidado-Eletronorte'!#REF!),SUM('Consolidado-Eletronorte'!#REF!)&gt;0)</f>
      </c>
      <c r="C202" s="238">
        <f>$J$3</f>
      </c>
      <c r="D202" s="238">
        <f>$H$3</f>
      </c>
      <c r="E202" s="238">
        <f>$H$4</f>
      </c>
      <c r="F202" s="210"/>
      <c r="G202" s="238">
        <f>_xlfn.CONCAT('Consolidado-Eletronorte'!#REF!,"_",ROW('Consolidado-Eletronorte'!#REF!)-ROW('Consolidado-Eletronorte'!$G$18))</f>
      </c>
      <c r="H202" s="212" t="s">
        <v>10</v>
      </c>
      <c r="I202" s="212" t="s">
        <v>87</v>
      </c>
      <c r="J202" s="212" t="s">
        <v>5</v>
      </c>
      <c r="K202" s="213" t="s">
        <v>16</v>
      </c>
      <c r="L202" s="212" t="s">
        <v>67</v>
      </c>
      <c r="M202" s="212"/>
      <c r="N202" s="212"/>
      <c r="O202" s="212"/>
      <c r="P202" s="212"/>
      <c r="Q202" s="239" t="s">
        <v>40964</v>
      </c>
      <c r="R202" s="239" t="s">
        <v>40935</v>
      </c>
      <c r="S202" s="239" t="s">
        <v>38294</v>
      </c>
      <c r="T202" s="239" t="s">
        <v>40351</v>
      </c>
      <c r="U202" s="239" t="s">
        <v>40351</v>
      </c>
      <c r="V202" s="239" t="s">
        <v>40351</v>
      </c>
      <c r="W202" s="239" t="s">
        <v>40351</v>
      </c>
      <c r="X202" s="239" t="s">
        <v>40351</v>
      </c>
      <c r="Y202" s="239" t="s">
        <v>40351</v>
      </c>
      <c r="Z202" s="239" t="s">
        <v>40351</v>
      </c>
      <c r="AA202" s="240">
        <v>6000</v>
      </c>
      <c r="AB202" s="239" t="s">
        <v>40351</v>
      </c>
      <c r="AC202" s="239" t="s">
        <v>40351</v>
      </c>
      <c r="AD202" s="239" t="s">
        <v>40351</v>
      </c>
      <c r="AE202" s="239" t="s">
        <v>40351</v>
      </c>
      <c r="AF202" s="241">
        <f>SUM(Tabela96[[#This Row], [jan/26]:[dez/26]])</f>
      </c>
      <c r="AG202" s="240">
        <v>0</v>
      </c>
      <c r="AH202" s="240">
        <v>0</v>
      </c>
      <c r="AI202" s="240">
        <v>0</v>
      </c>
      <c r="AJ202" s="240">
        <v>0</v>
      </c>
      <c r="AK202" s="240">
        <f>SUM(Tabela96[[#This Row], [2026]:[2030]])</f>
      </c>
      <c r="AL202" s="240">
        <v>0</v>
      </c>
      <c r="AM202" s="240">
        <v>0</v>
      </c>
      <c r="AN202" s="240">
        <v>0</v>
      </c>
      <c r="AO202" s="240">
        <v>0</v>
      </c>
      <c r="AP202" s="240">
        <v>0</v>
      </c>
      <c r="AQ202" s="242">
        <f>SUM(Tabela96[[#This Row], [2026-2030]:[2035]])</f>
      </c>
      <c r="AR202" s="1"/>
      <c r="AS202" s="239" t="s">
        <v>40904</v>
      </c>
      <c r="AT202" s="247" t="s">
        <v>39970</v>
      </c>
      <c r="AU202" s="239" t="s">
        <v>40965</v>
      </c>
      <c r="AV202" s="3"/>
      <c r="AW202" s="239" t="s">
        <v>39062</v>
      </c>
      <c r="AX202" s="2"/>
      <c r="AY202" s="2"/>
      <c r="AZ202" s="239" t="s">
        <v>40906</v>
      </c>
    </row>
    <row x14ac:dyDescent="0.25" r="203" customHeight="1" ht="24.75">
      <c r="A203" s="1"/>
      <c r="B203" s="237">
        <f>AND(ISTEXT('Consolidado-Eletronorte'!#REF!),SUM('Consolidado-Eletronorte'!#REF!)&gt;0)</f>
      </c>
      <c r="C203" s="238">
        <f>$J$3</f>
      </c>
      <c r="D203" s="238">
        <f>$H$3</f>
      </c>
      <c r="E203" s="238">
        <f>$H$4</f>
      </c>
      <c r="F203" s="210"/>
      <c r="G203" s="238">
        <f>_xlfn.CONCAT('Consolidado-Eletronorte'!#REF!,"_",ROW('Consolidado-Eletronorte'!#REF!)-ROW('Consolidado-Eletronorte'!$G$18))</f>
      </c>
      <c r="H203" s="212" t="s">
        <v>10</v>
      </c>
      <c r="I203" s="212" t="s">
        <v>87</v>
      </c>
      <c r="J203" s="212" t="s">
        <v>5</v>
      </c>
      <c r="K203" s="213" t="s">
        <v>16</v>
      </c>
      <c r="L203" s="212" t="s">
        <v>67</v>
      </c>
      <c r="M203" s="212"/>
      <c r="N203" s="212"/>
      <c r="O203" s="212"/>
      <c r="P203" s="212"/>
      <c r="Q203" s="239" t="s">
        <v>40966</v>
      </c>
      <c r="R203" s="239" t="s">
        <v>40935</v>
      </c>
      <c r="S203" s="239" t="s">
        <v>38294</v>
      </c>
      <c r="T203" s="239" t="s">
        <v>40351</v>
      </c>
      <c r="U203" s="239" t="s">
        <v>40351</v>
      </c>
      <c r="V203" s="239" t="s">
        <v>40351</v>
      </c>
      <c r="W203" s="239" t="s">
        <v>40351</v>
      </c>
      <c r="X203" s="239" t="s">
        <v>40351</v>
      </c>
      <c r="Y203" s="239" t="s">
        <v>40351</v>
      </c>
      <c r="Z203" s="239" t="s">
        <v>40351</v>
      </c>
      <c r="AA203" s="240">
        <v>14000</v>
      </c>
      <c r="AB203" s="239" t="s">
        <v>40351</v>
      </c>
      <c r="AC203" s="239" t="s">
        <v>40351</v>
      </c>
      <c r="AD203" s="239" t="s">
        <v>40351</v>
      </c>
      <c r="AE203" s="239" t="s">
        <v>40351</v>
      </c>
      <c r="AF203" s="241">
        <f>SUM(Tabela96[[#This Row], [jan/26]:[dez/26]])</f>
      </c>
      <c r="AG203" s="240">
        <v>0</v>
      </c>
      <c r="AH203" s="240">
        <v>0</v>
      </c>
      <c r="AI203" s="240">
        <v>0</v>
      </c>
      <c r="AJ203" s="240">
        <v>0</v>
      </c>
      <c r="AK203" s="240">
        <f>SUM(Tabela96[[#This Row], [2026]:[2030]])</f>
      </c>
      <c r="AL203" s="240">
        <v>0</v>
      </c>
      <c r="AM203" s="240">
        <v>0</v>
      </c>
      <c r="AN203" s="240">
        <v>0</v>
      </c>
      <c r="AO203" s="240">
        <v>0</v>
      </c>
      <c r="AP203" s="240">
        <v>0</v>
      </c>
      <c r="AQ203" s="242">
        <f>SUM(Tabela96[[#This Row], [2026-2030]:[2035]])</f>
      </c>
      <c r="AR203" s="1"/>
      <c r="AS203" s="239" t="s">
        <v>40904</v>
      </c>
      <c r="AT203" s="247" t="s">
        <v>39970</v>
      </c>
      <c r="AU203" s="239" t="s">
        <v>40967</v>
      </c>
      <c r="AV203" s="3"/>
      <c r="AW203" s="239" t="s">
        <v>39062</v>
      </c>
      <c r="AX203" s="2"/>
      <c r="AY203" s="2"/>
      <c r="AZ203" s="239" t="s">
        <v>40906</v>
      </c>
    </row>
    <row x14ac:dyDescent="0.25" r="204" customHeight="1" ht="24.75">
      <c r="A204" s="1"/>
      <c r="B204" s="237">
        <f>AND(ISTEXT('Consolidado-Eletronorte'!#REF!),SUM('Consolidado-Eletronorte'!#REF!)&gt;0)</f>
      </c>
      <c r="C204" s="238">
        <f>$J$3</f>
      </c>
      <c r="D204" s="238">
        <f>$H$3</f>
      </c>
      <c r="E204" s="238">
        <f>$H$4</f>
      </c>
      <c r="F204" s="210"/>
      <c r="G204" s="238">
        <f>_xlfn.CONCAT('Consolidado-Eletronorte'!#REF!,"_",ROW('Consolidado-Eletronorte'!#REF!)-ROW('Consolidado-Eletronorte'!$G$18))</f>
      </c>
      <c r="H204" s="212" t="s">
        <v>10</v>
      </c>
      <c r="I204" s="212" t="s">
        <v>87</v>
      </c>
      <c r="J204" s="212" t="s">
        <v>5</v>
      </c>
      <c r="K204" s="213" t="s">
        <v>16</v>
      </c>
      <c r="L204" s="212" t="s">
        <v>67</v>
      </c>
      <c r="M204" s="212"/>
      <c r="N204" s="212"/>
      <c r="O204" s="212"/>
      <c r="P204" s="212"/>
      <c r="Q204" s="239" t="s">
        <v>40968</v>
      </c>
      <c r="R204" s="239" t="s">
        <v>40935</v>
      </c>
      <c r="S204" s="239" t="s">
        <v>38294</v>
      </c>
      <c r="T204" s="239" t="s">
        <v>40351</v>
      </c>
      <c r="U204" s="239" t="s">
        <v>40351</v>
      </c>
      <c r="V204" s="239" t="s">
        <v>40351</v>
      </c>
      <c r="W204" s="239" t="s">
        <v>40351</v>
      </c>
      <c r="X204" s="239" t="s">
        <v>40351</v>
      </c>
      <c r="Y204" s="239" t="s">
        <v>40351</v>
      </c>
      <c r="Z204" s="239" t="s">
        <v>40351</v>
      </c>
      <c r="AA204" s="240">
        <v>6000</v>
      </c>
      <c r="AB204" s="239" t="s">
        <v>40351</v>
      </c>
      <c r="AC204" s="239" t="s">
        <v>40351</v>
      </c>
      <c r="AD204" s="239" t="s">
        <v>40351</v>
      </c>
      <c r="AE204" s="239" t="s">
        <v>40351</v>
      </c>
      <c r="AF204" s="241">
        <f>SUM(Tabela96[[#This Row], [jan/26]:[dez/26]])</f>
      </c>
      <c r="AG204" s="240">
        <v>0</v>
      </c>
      <c r="AH204" s="240">
        <v>0</v>
      </c>
      <c r="AI204" s="240">
        <v>0</v>
      </c>
      <c r="AJ204" s="240">
        <v>0</v>
      </c>
      <c r="AK204" s="240">
        <f>SUM(Tabela96[[#This Row], [2026]:[2030]])</f>
      </c>
      <c r="AL204" s="240">
        <v>0</v>
      </c>
      <c r="AM204" s="240">
        <v>0</v>
      </c>
      <c r="AN204" s="240">
        <v>0</v>
      </c>
      <c r="AO204" s="240">
        <v>0</v>
      </c>
      <c r="AP204" s="240">
        <v>0</v>
      </c>
      <c r="AQ204" s="242">
        <f>SUM(Tabela96[[#This Row], [2026-2030]:[2035]])</f>
      </c>
      <c r="AR204" s="1"/>
      <c r="AS204" s="239" t="s">
        <v>40904</v>
      </c>
      <c r="AT204" s="247" t="s">
        <v>39970</v>
      </c>
      <c r="AU204" s="239" t="s">
        <v>40969</v>
      </c>
      <c r="AV204" s="3"/>
      <c r="AW204" s="239" t="s">
        <v>39062</v>
      </c>
      <c r="AX204" s="2"/>
      <c r="AY204" s="2"/>
      <c r="AZ204" s="239" t="s">
        <v>40906</v>
      </c>
    </row>
    <row x14ac:dyDescent="0.25" r="205" customHeight="1" ht="24.75">
      <c r="A205" s="1"/>
      <c r="B205" s="237">
        <f>AND(ISTEXT('Consolidado-Eletronorte'!#REF!),SUM('Consolidado-Eletronorte'!#REF!)&gt;0)</f>
      </c>
      <c r="C205" s="238">
        <f>$J$3</f>
      </c>
      <c r="D205" s="238">
        <f>$H$3</f>
      </c>
      <c r="E205" s="238">
        <f>$H$4</f>
      </c>
      <c r="F205" s="210"/>
      <c r="G205" s="238">
        <f>_xlfn.CONCAT('Consolidado-Eletronorte'!#REF!,"_",ROW('Consolidado-Eletronorte'!#REF!)-ROW('Consolidado-Eletronorte'!$G$18))</f>
      </c>
      <c r="H205" s="212" t="s">
        <v>10</v>
      </c>
      <c r="I205" s="212" t="s">
        <v>87</v>
      </c>
      <c r="J205" s="212" t="s">
        <v>5</v>
      </c>
      <c r="K205" s="213" t="s">
        <v>16</v>
      </c>
      <c r="L205" s="212" t="s">
        <v>67</v>
      </c>
      <c r="M205" s="212"/>
      <c r="N205" s="212"/>
      <c r="O205" s="212"/>
      <c r="P205" s="212"/>
      <c r="Q205" s="239" t="s">
        <v>40970</v>
      </c>
      <c r="R205" s="239" t="s">
        <v>40935</v>
      </c>
      <c r="S205" s="239" t="s">
        <v>38294</v>
      </c>
      <c r="T205" s="239" t="s">
        <v>40351</v>
      </c>
      <c r="U205" s="239" t="s">
        <v>40351</v>
      </c>
      <c r="V205" s="239" t="s">
        <v>40351</v>
      </c>
      <c r="W205" s="239" t="s">
        <v>40351</v>
      </c>
      <c r="X205" s="239" t="s">
        <v>40351</v>
      </c>
      <c r="Y205" s="239" t="s">
        <v>40351</v>
      </c>
      <c r="Z205" s="239" t="s">
        <v>40351</v>
      </c>
      <c r="AA205" s="240">
        <v>12000</v>
      </c>
      <c r="AB205" s="239" t="s">
        <v>40351</v>
      </c>
      <c r="AC205" s="239" t="s">
        <v>40351</v>
      </c>
      <c r="AD205" s="239" t="s">
        <v>40351</v>
      </c>
      <c r="AE205" s="239" t="s">
        <v>40351</v>
      </c>
      <c r="AF205" s="241">
        <f>SUM(Tabela96[[#This Row], [jan/26]:[dez/26]])</f>
      </c>
      <c r="AG205" s="240">
        <v>0</v>
      </c>
      <c r="AH205" s="240">
        <v>0</v>
      </c>
      <c r="AI205" s="240">
        <v>0</v>
      </c>
      <c r="AJ205" s="240">
        <v>0</v>
      </c>
      <c r="AK205" s="240">
        <f>SUM(Tabela96[[#This Row], [2026]:[2030]])</f>
      </c>
      <c r="AL205" s="240">
        <v>0</v>
      </c>
      <c r="AM205" s="240">
        <v>0</v>
      </c>
      <c r="AN205" s="240">
        <v>0</v>
      </c>
      <c r="AO205" s="240">
        <v>0</v>
      </c>
      <c r="AP205" s="240">
        <v>0</v>
      </c>
      <c r="AQ205" s="242">
        <f>SUM(Tabela96[[#This Row], [2026-2030]:[2035]])</f>
      </c>
      <c r="AR205" s="1"/>
      <c r="AS205" s="239" t="s">
        <v>40904</v>
      </c>
      <c r="AT205" s="247" t="s">
        <v>39970</v>
      </c>
      <c r="AU205" s="239" t="s">
        <v>40971</v>
      </c>
      <c r="AV205" s="3"/>
      <c r="AW205" s="239" t="s">
        <v>39062</v>
      </c>
      <c r="AX205" s="2"/>
      <c r="AY205" s="2"/>
      <c r="AZ205" s="239" t="s">
        <v>40906</v>
      </c>
    </row>
    <row x14ac:dyDescent="0.25" r="206" customHeight="1" ht="24.75">
      <c r="A206" s="1"/>
      <c r="B206" s="237">
        <f>AND(ISTEXT('Consolidado-Eletronorte'!#REF!),SUM('Consolidado-Eletronorte'!#REF!)&gt;0)</f>
      </c>
      <c r="C206" s="238">
        <f>$J$3</f>
      </c>
      <c r="D206" s="238">
        <f>$H$3</f>
      </c>
      <c r="E206" s="238">
        <f>$H$4</f>
      </c>
      <c r="F206" s="210"/>
      <c r="G206" s="238">
        <f>_xlfn.CONCAT('Consolidado-Eletronorte'!#REF!,"_",ROW('Consolidado-Eletronorte'!#REF!)-ROW('Consolidado-Eletronorte'!$G$18))</f>
      </c>
      <c r="H206" s="212" t="s">
        <v>10</v>
      </c>
      <c r="I206" s="212" t="s">
        <v>87</v>
      </c>
      <c r="J206" s="212" t="s">
        <v>5</v>
      </c>
      <c r="K206" s="213" t="s">
        <v>16</v>
      </c>
      <c r="L206" s="212" t="s">
        <v>67</v>
      </c>
      <c r="M206" s="212"/>
      <c r="N206" s="212"/>
      <c r="O206" s="212"/>
      <c r="P206" s="212"/>
      <c r="Q206" s="239" t="s">
        <v>40972</v>
      </c>
      <c r="R206" s="239" t="s">
        <v>40935</v>
      </c>
      <c r="S206" s="239" t="s">
        <v>38284</v>
      </c>
      <c r="T206" s="239" t="s">
        <v>40351</v>
      </c>
      <c r="U206" s="239" t="s">
        <v>40351</v>
      </c>
      <c r="V206" s="239" t="s">
        <v>40351</v>
      </c>
      <c r="W206" s="239" t="s">
        <v>40351</v>
      </c>
      <c r="X206" s="239" t="s">
        <v>40351</v>
      </c>
      <c r="Y206" s="239" t="s">
        <v>40351</v>
      </c>
      <c r="Z206" s="239" t="s">
        <v>40351</v>
      </c>
      <c r="AA206" s="239" t="s">
        <v>40351</v>
      </c>
      <c r="AB206" s="239" t="s">
        <v>40351</v>
      </c>
      <c r="AC206" s="240">
        <v>80000</v>
      </c>
      <c r="AD206" s="239" t="s">
        <v>40351</v>
      </c>
      <c r="AE206" s="239" t="s">
        <v>40351</v>
      </c>
      <c r="AF206" s="241">
        <f>SUM(Tabela96[[#This Row], [jan/26]:[dez/26]])</f>
      </c>
      <c r="AG206" s="240">
        <v>0</v>
      </c>
      <c r="AH206" s="240">
        <v>0</v>
      </c>
      <c r="AI206" s="240">
        <v>0</v>
      </c>
      <c r="AJ206" s="240">
        <v>0</v>
      </c>
      <c r="AK206" s="240">
        <f>SUM(Tabela96[[#This Row], [2026]:[2030]])</f>
      </c>
      <c r="AL206" s="240">
        <v>0</v>
      </c>
      <c r="AM206" s="240">
        <v>0</v>
      </c>
      <c r="AN206" s="240">
        <v>0</v>
      </c>
      <c r="AO206" s="240">
        <v>0</v>
      </c>
      <c r="AP206" s="240">
        <v>0</v>
      </c>
      <c r="AQ206" s="242">
        <f>SUM(Tabela96[[#This Row], [2026-2030]:[2035]])</f>
      </c>
      <c r="AR206" s="1"/>
      <c r="AS206" s="239" t="s">
        <v>40904</v>
      </c>
      <c r="AT206" s="247" t="s">
        <v>39970</v>
      </c>
      <c r="AU206" s="239" t="s">
        <v>40973</v>
      </c>
      <c r="AV206" s="3"/>
      <c r="AW206" s="239" t="s">
        <v>39062</v>
      </c>
      <c r="AX206" s="2"/>
      <c r="AY206" s="2"/>
      <c r="AZ206" s="239" t="s">
        <v>40906</v>
      </c>
    </row>
    <row x14ac:dyDescent="0.25" r="207" customHeight="1" ht="24.75">
      <c r="A207" s="1"/>
      <c r="B207" s="237">
        <f>AND(ISTEXT('Consolidado-Eletronorte'!#REF!),SUM('Consolidado-Eletronorte'!#REF!)&gt;0)</f>
      </c>
      <c r="C207" s="238">
        <f>$J$3</f>
      </c>
      <c r="D207" s="238">
        <f>$H$3</f>
      </c>
      <c r="E207" s="238">
        <f>$H$4</f>
      </c>
      <c r="F207" s="210"/>
      <c r="G207" s="238">
        <f>_xlfn.CONCAT('Consolidado-Eletronorte'!#REF!,"_",ROW('Consolidado-Eletronorte'!#REF!)-ROW('Consolidado-Eletronorte'!$G$18))</f>
      </c>
      <c r="H207" s="212" t="s">
        <v>10</v>
      </c>
      <c r="I207" s="212" t="s">
        <v>87</v>
      </c>
      <c r="J207" s="212" t="s">
        <v>5</v>
      </c>
      <c r="K207" s="213" t="s">
        <v>16</v>
      </c>
      <c r="L207" s="212" t="s">
        <v>67</v>
      </c>
      <c r="M207" s="212"/>
      <c r="N207" s="212"/>
      <c r="O207" s="212"/>
      <c r="P207" s="212"/>
      <c r="Q207" s="239" t="s">
        <v>40964</v>
      </c>
      <c r="R207" s="239" t="s">
        <v>40935</v>
      </c>
      <c r="S207" s="239" t="s">
        <v>38284</v>
      </c>
      <c r="T207" s="239" t="s">
        <v>40351</v>
      </c>
      <c r="U207" s="239" t="s">
        <v>40351</v>
      </c>
      <c r="V207" s="239" t="s">
        <v>40351</v>
      </c>
      <c r="W207" s="239" t="s">
        <v>40351</v>
      </c>
      <c r="X207" s="239" t="s">
        <v>40351</v>
      </c>
      <c r="Y207" s="239" t="s">
        <v>40351</v>
      </c>
      <c r="Z207" s="239" t="s">
        <v>40351</v>
      </c>
      <c r="AA207" s="239" t="s">
        <v>40351</v>
      </c>
      <c r="AB207" s="239" t="s">
        <v>40351</v>
      </c>
      <c r="AC207" s="240">
        <v>6000</v>
      </c>
      <c r="AD207" s="239" t="s">
        <v>40351</v>
      </c>
      <c r="AE207" s="239" t="s">
        <v>40351</v>
      </c>
      <c r="AF207" s="241">
        <f>SUM(Tabela96[[#This Row], [jan/26]:[dez/26]])</f>
      </c>
      <c r="AG207" s="240">
        <v>0</v>
      </c>
      <c r="AH207" s="240">
        <v>0</v>
      </c>
      <c r="AI207" s="240">
        <v>0</v>
      </c>
      <c r="AJ207" s="240">
        <v>0</v>
      </c>
      <c r="AK207" s="240">
        <f>SUM(Tabela96[[#This Row], [2026]:[2030]])</f>
      </c>
      <c r="AL207" s="240">
        <v>0</v>
      </c>
      <c r="AM207" s="240">
        <v>0</v>
      </c>
      <c r="AN207" s="240">
        <v>0</v>
      </c>
      <c r="AO207" s="240">
        <v>0</v>
      </c>
      <c r="AP207" s="240">
        <v>0</v>
      </c>
      <c r="AQ207" s="242">
        <f>SUM(Tabela96[[#This Row], [2026-2030]:[2035]])</f>
      </c>
      <c r="AR207" s="1"/>
      <c r="AS207" s="239" t="s">
        <v>40904</v>
      </c>
      <c r="AT207" s="247" t="s">
        <v>39970</v>
      </c>
      <c r="AU207" s="239" t="s">
        <v>40974</v>
      </c>
      <c r="AV207" s="3"/>
      <c r="AW207" s="239" t="s">
        <v>39062</v>
      </c>
      <c r="AX207" s="2"/>
      <c r="AY207" s="2"/>
      <c r="AZ207" s="239" t="s">
        <v>40906</v>
      </c>
    </row>
    <row x14ac:dyDescent="0.25" r="208" customHeight="1" ht="24.75">
      <c r="A208" s="1"/>
      <c r="B208" s="237">
        <f>AND(ISTEXT('Consolidado-Eletronorte'!#REF!),SUM('Consolidado-Eletronorte'!#REF!)&gt;0)</f>
      </c>
      <c r="C208" s="238">
        <f>$J$3</f>
      </c>
      <c r="D208" s="238">
        <f>$H$3</f>
      </c>
      <c r="E208" s="238">
        <f>$H$4</f>
      </c>
      <c r="F208" s="210"/>
      <c r="G208" s="238">
        <f>_xlfn.CONCAT('Consolidado-Eletronorte'!#REF!,"_",ROW('Consolidado-Eletronorte'!#REF!)-ROW('Consolidado-Eletronorte'!$G$18))</f>
      </c>
      <c r="H208" s="212" t="s">
        <v>10</v>
      </c>
      <c r="I208" s="212" t="s">
        <v>87</v>
      </c>
      <c r="J208" s="212" t="s">
        <v>5</v>
      </c>
      <c r="K208" s="213" t="s">
        <v>16</v>
      </c>
      <c r="L208" s="212" t="s">
        <v>67</v>
      </c>
      <c r="M208" s="212"/>
      <c r="N208" s="212"/>
      <c r="O208" s="212"/>
      <c r="P208" s="212"/>
      <c r="Q208" s="239" t="s">
        <v>40966</v>
      </c>
      <c r="R208" s="239" t="s">
        <v>40935</v>
      </c>
      <c r="S208" s="239" t="s">
        <v>38284</v>
      </c>
      <c r="T208" s="239" t="s">
        <v>40351</v>
      </c>
      <c r="U208" s="239" t="s">
        <v>40351</v>
      </c>
      <c r="V208" s="239" t="s">
        <v>40351</v>
      </c>
      <c r="W208" s="239" t="s">
        <v>40351</v>
      </c>
      <c r="X208" s="239" t="s">
        <v>40351</v>
      </c>
      <c r="Y208" s="239" t="s">
        <v>40351</v>
      </c>
      <c r="Z208" s="239" t="s">
        <v>40351</v>
      </c>
      <c r="AA208" s="239" t="s">
        <v>40351</v>
      </c>
      <c r="AB208" s="239" t="s">
        <v>40351</v>
      </c>
      <c r="AC208" s="240">
        <v>14000</v>
      </c>
      <c r="AD208" s="239" t="s">
        <v>40351</v>
      </c>
      <c r="AE208" s="239" t="s">
        <v>40351</v>
      </c>
      <c r="AF208" s="241">
        <f>SUM(Tabela96[[#This Row], [jan/26]:[dez/26]])</f>
      </c>
      <c r="AG208" s="240">
        <v>0</v>
      </c>
      <c r="AH208" s="240">
        <v>0</v>
      </c>
      <c r="AI208" s="240">
        <v>0</v>
      </c>
      <c r="AJ208" s="240">
        <v>0</v>
      </c>
      <c r="AK208" s="240">
        <f>SUM(Tabela96[[#This Row], [2026]:[2030]])</f>
      </c>
      <c r="AL208" s="240">
        <v>0</v>
      </c>
      <c r="AM208" s="240">
        <v>0</v>
      </c>
      <c r="AN208" s="240">
        <v>0</v>
      </c>
      <c r="AO208" s="240">
        <v>0</v>
      </c>
      <c r="AP208" s="240">
        <v>0</v>
      </c>
      <c r="AQ208" s="242">
        <f>SUM(Tabela96[[#This Row], [2026-2030]:[2035]])</f>
      </c>
      <c r="AR208" s="1"/>
      <c r="AS208" s="239" t="s">
        <v>40904</v>
      </c>
      <c r="AT208" s="247" t="s">
        <v>39970</v>
      </c>
      <c r="AU208" s="239" t="s">
        <v>40975</v>
      </c>
      <c r="AV208" s="3"/>
      <c r="AW208" s="239" t="s">
        <v>39062</v>
      </c>
      <c r="AX208" s="2"/>
      <c r="AY208" s="2"/>
      <c r="AZ208" s="239" t="s">
        <v>40906</v>
      </c>
    </row>
    <row x14ac:dyDescent="0.25" r="209" customHeight="1" ht="24.75">
      <c r="A209" s="1"/>
      <c r="B209" s="237">
        <f>AND(ISTEXT('Consolidado-Eletronorte'!#REF!),SUM('Consolidado-Eletronorte'!#REF!)&gt;0)</f>
      </c>
      <c r="C209" s="238">
        <f>$J$3</f>
      </c>
      <c r="D209" s="238">
        <f>$H$3</f>
      </c>
      <c r="E209" s="238">
        <f>$H$4</f>
      </c>
      <c r="F209" s="210"/>
      <c r="G209" s="238">
        <f>_xlfn.CONCAT('Consolidado-Eletronorte'!#REF!,"_",ROW('Consolidado-Eletronorte'!#REF!)-ROW('Consolidado-Eletronorte'!$G$18))</f>
      </c>
      <c r="H209" s="212" t="s">
        <v>10</v>
      </c>
      <c r="I209" s="212" t="s">
        <v>87</v>
      </c>
      <c r="J209" s="212" t="s">
        <v>5</v>
      </c>
      <c r="K209" s="213" t="s">
        <v>16</v>
      </c>
      <c r="L209" s="212" t="s">
        <v>67</v>
      </c>
      <c r="M209" s="212"/>
      <c r="N209" s="212"/>
      <c r="O209" s="212"/>
      <c r="P209" s="212"/>
      <c r="Q209" s="239" t="s">
        <v>40968</v>
      </c>
      <c r="R209" s="239" t="s">
        <v>40935</v>
      </c>
      <c r="S209" s="239" t="s">
        <v>38284</v>
      </c>
      <c r="T209" s="239" t="s">
        <v>40351</v>
      </c>
      <c r="U209" s="239" t="s">
        <v>40351</v>
      </c>
      <c r="V209" s="239" t="s">
        <v>40351</v>
      </c>
      <c r="W209" s="239" t="s">
        <v>40351</v>
      </c>
      <c r="X209" s="239" t="s">
        <v>40351</v>
      </c>
      <c r="Y209" s="239" t="s">
        <v>40351</v>
      </c>
      <c r="Z209" s="239" t="s">
        <v>40351</v>
      </c>
      <c r="AA209" s="239" t="s">
        <v>40351</v>
      </c>
      <c r="AB209" s="239" t="s">
        <v>40351</v>
      </c>
      <c r="AC209" s="240">
        <v>6000</v>
      </c>
      <c r="AD209" s="239" t="s">
        <v>40351</v>
      </c>
      <c r="AE209" s="239" t="s">
        <v>40351</v>
      </c>
      <c r="AF209" s="241">
        <f>SUM(Tabela96[[#This Row], [jan/26]:[dez/26]])</f>
      </c>
      <c r="AG209" s="240">
        <v>0</v>
      </c>
      <c r="AH209" s="240">
        <v>0</v>
      </c>
      <c r="AI209" s="240">
        <v>0</v>
      </c>
      <c r="AJ209" s="240">
        <v>0</v>
      </c>
      <c r="AK209" s="240">
        <f>SUM(Tabela96[[#This Row], [2026]:[2030]])</f>
      </c>
      <c r="AL209" s="240">
        <v>0</v>
      </c>
      <c r="AM209" s="240">
        <v>0</v>
      </c>
      <c r="AN209" s="240">
        <v>0</v>
      </c>
      <c r="AO209" s="240">
        <v>0</v>
      </c>
      <c r="AP209" s="240">
        <v>0</v>
      </c>
      <c r="AQ209" s="242">
        <f>SUM(Tabela96[[#This Row], [2026-2030]:[2035]])</f>
      </c>
      <c r="AR209" s="1"/>
      <c r="AS209" s="239" t="s">
        <v>40904</v>
      </c>
      <c r="AT209" s="247" t="s">
        <v>39970</v>
      </c>
      <c r="AU209" s="239" t="s">
        <v>40976</v>
      </c>
      <c r="AV209" s="3"/>
      <c r="AW209" s="239" t="s">
        <v>39062</v>
      </c>
      <c r="AX209" s="2"/>
      <c r="AY209" s="2"/>
      <c r="AZ209" s="239" t="s">
        <v>40906</v>
      </c>
    </row>
    <row x14ac:dyDescent="0.25" r="210" customHeight="1" ht="24.75">
      <c r="A210" s="1"/>
      <c r="B210" s="237">
        <f>AND(ISTEXT('Consolidado-Eletronorte'!#REF!),SUM('Consolidado-Eletronorte'!#REF!)&gt;0)</f>
      </c>
      <c r="C210" s="238">
        <f>$J$3</f>
      </c>
      <c r="D210" s="238">
        <f>$H$3</f>
      </c>
      <c r="E210" s="238">
        <f>$H$4</f>
      </c>
      <c r="F210" s="210"/>
      <c r="G210" s="238">
        <f>_xlfn.CONCAT('Consolidado-Eletronorte'!#REF!,"_",ROW('Consolidado-Eletronorte'!#REF!)-ROW('Consolidado-Eletronorte'!$G$18))</f>
      </c>
      <c r="H210" s="212" t="s">
        <v>10</v>
      </c>
      <c r="I210" s="212" t="s">
        <v>87</v>
      </c>
      <c r="J210" s="212" t="s">
        <v>5</v>
      </c>
      <c r="K210" s="213" t="s">
        <v>16</v>
      </c>
      <c r="L210" s="212" t="s">
        <v>67</v>
      </c>
      <c r="M210" s="212"/>
      <c r="N210" s="212"/>
      <c r="O210" s="212"/>
      <c r="P210" s="212"/>
      <c r="Q210" s="239" t="s">
        <v>40970</v>
      </c>
      <c r="R210" s="239" t="s">
        <v>40935</v>
      </c>
      <c r="S210" s="239" t="s">
        <v>38284</v>
      </c>
      <c r="T210" s="239" t="s">
        <v>40351</v>
      </c>
      <c r="U210" s="239" t="s">
        <v>40351</v>
      </c>
      <c r="V210" s="239" t="s">
        <v>40351</v>
      </c>
      <c r="W210" s="239" t="s">
        <v>40351</v>
      </c>
      <c r="X210" s="239" t="s">
        <v>40351</v>
      </c>
      <c r="Y210" s="239" t="s">
        <v>40351</v>
      </c>
      <c r="Z210" s="239" t="s">
        <v>40351</v>
      </c>
      <c r="AA210" s="239" t="s">
        <v>40351</v>
      </c>
      <c r="AB210" s="239" t="s">
        <v>40351</v>
      </c>
      <c r="AC210" s="240">
        <v>12000</v>
      </c>
      <c r="AD210" s="239" t="s">
        <v>40351</v>
      </c>
      <c r="AE210" s="239" t="s">
        <v>40351</v>
      </c>
      <c r="AF210" s="241">
        <f>SUM(Tabela96[[#This Row], [jan/26]:[dez/26]])</f>
      </c>
      <c r="AG210" s="240">
        <v>0</v>
      </c>
      <c r="AH210" s="240">
        <v>0</v>
      </c>
      <c r="AI210" s="240">
        <v>0</v>
      </c>
      <c r="AJ210" s="240">
        <v>0</v>
      </c>
      <c r="AK210" s="240">
        <f>SUM(Tabela96[[#This Row], [2026]:[2030]])</f>
      </c>
      <c r="AL210" s="240">
        <v>0</v>
      </c>
      <c r="AM210" s="240">
        <v>0</v>
      </c>
      <c r="AN210" s="240">
        <v>0</v>
      </c>
      <c r="AO210" s="240">
        <v>0</v>
      </c>
      <c r="AP210" s="240">
        <v>0</v>
      </c>
      <c r="AQ210" s="242">
        <f>SUM(Tabela96[[#This Row], [2026-2030]:[2035]])</f>
      </c>
      <c r="AR210" s="1"/>
      <c r="AS210" s="239" t="s">
        <v>40904</v>
      </c>
      <c r="AT210" s="247" t="s">
        <v>39970</v>
      </c>
      <c r="AU210" s="239" t="s">
        <v>40977</v>
      </c>
      <c r="AV210" s="3"/>
      <c r="AW210" s="239" t="s">
        <v>39062</v>
      </c>
      <c r="AX210" s="2"/>
      <c r="AY210" s="2"/>
      <c r="AZ210" s="239" t="s">
        <v>40906</v>
      </c>
    </row>
    <row x14ac:dyDescent="0.25" r="211" customHeight="1" ht="24.75">
      <c r="A211" s="1"/>
      <c r="B211" s="237">
        <f>AND(ISTEXT('Consolidado-Eletronorte'!#REF!),SUM('Consolidado-Eletronorte'!#REF!)&gt;0)</f>
      </c>
      <c r="C211" s="238">
        <f>$J$3</f>
      </c>
      <c r="D211" s="238">
        <f>$H$3</f>
      </c>
      <c r="E211" s="238">
        <f>$H$4</f>
      </c>
      <c r="F211" s="210"/>
      <c r="G211" s="238">
        <f>_xlfn.CONCAT('Consolidado-Eletronorte'!#REF!,"_",ROW('Consolidado-Eletronorte'!#REF!)-ROW('Consolidado-Eletronorte'!$G$18))</f>
      </c>
      <c r="H211" s="212" t="s">
        <v>10</v>
      </c>
      <c r="I211" s="212" t="s">
        <v>87</v>
      </c>
      <c r="J211" s="212" t="s">
        <v>5</v>
      </c>
      <c r="K211" s="213" t="s">
        <v>16</v>
      </c>
      <c r="L211" s="212" t="s">
        <v>67</v>
      </c>
      <c r="M211" s="212"/>
      <c r="N211" s="212"/>
      <c r="O211" s="212"/>
      <c r="P211" s="212"/>
      <c r="Q211" s="239" t="s">
        <v>40978</v>
      </c>
      <c r="R211" s="239" t="s">
        <v>40979</v>
      </c>
      <c r="S211" s="239" t="s">
        <v>38294</v>
      </c>
      <c r="T211" s="239" t="s">
        <v>40351</v>
      </c>
      <c r="U211" s="239" t="s">
        <v>40351</v>
      </c>
      <c r="V211" s="239" t="s">
        <v>40351</v>
      </c>
      <c r="W211" s="239" t="s">
        <v>40351</v>
      </c>
      <c r="X211" s="239" t="s">
        <v>40351</v>
      </c>
      <c r="Y211" s="239" t="s">
        <v>40351</v>
      </c>
      <c r="Z211" s="239" t="s">
        <v>40351</v>
      </c>
      <c r="AA211" s="240">
        <v>90000</v>
      </c>
      <c r="AB211" s="239" t="s">
        <v>40351</v>
      </c>
      <c r="AC211" s="239" t="s">
        <v>40351</v>
      </c>
      <c r="AD211" s="239" t="s">
        <v>40351</v>
      </c>
      <c r="AE211" s="239" t="s">
        <v>40351</v>
      </c>
      <c r="AF211" s="241">
        <f>SUM(Tabela96[[#This Row], [jan/26]:[dez/26]])</f>
      </c>
      <c r="AG211" s="240">
        <v>0</v>
      </c>
      <c r="AH211" s="240">
        <v>0</v>
      </c>
      <c r="AI211" s="240">
        <v>0</v>
      </c>
      <c r="AJ211" s="240">
        <v>0</v>
      </c>
      <c r="AK211" s="240">
        <f>SUM(Tabela96[[#This Row], [2026]:[2030]])</f>
      </c>
      <c r="AL211" s="240">
        <v>0</v>
      </c>
      <c r="AM211" s="240">
        <v>0</v>
      </c>
      <c r="AN211" s="240">
        <v>0</v>
      </c>
      <c r="AO211" s="240">
        <v>0</v>
      </c>
      <c r="AP211" s="240">
        <v>0</v>
      </c>
      <c r="AQ211" s="242">
        <f>SUM(Tabela96[[#This Row], [2026-2030]:[2035]])</f>
      </c>
      <c r="AR211" s="1"/>
      <c r="AS211" s="239" t="s">
        <v>40904</v>
      </c>
      <c r="AT211" s="247" t="s">
        <v>39970</v>
      </c>
      <c r="AU211" s="239" t="s">
        <v>40980</v>
      </c>
      <c r="AV211" s="3"/>
      <c r="AW211" s="239" t="s">
        <v>39062</v>
      </c>
      <c r="AX211" s="2"/>
      <c r="AY211" s="2"/>
      <c r="AZ211" s="239" t="s">
        <v>40906</v>
      </c>
    </row>
    <row x14ac:dyDescent="0.25" r="212" customHeight="1" ht="24.75">
      <c r="A212" s="1"/>
      <c r="B212" s="237">
        <f>AND(ISTEXT('Consolidado-Eletronorte'!#REF!),SUM('Consolidado-Eletronorte'!#REF!)&gt;0)</f>
      </c>
      <c r="C212" s="238">
        <f>$J$3</f>
      </c>
      <c r="D212" s="238">
        <f>$H$3</f>
      </c>
      <c r="E212" s="238">
        <f>$H$4</f>
      </c>
      <c r="F212" s="210"/>
      <c r="G212" s="238">
        <f>_xlfn.CONCAT('Consolidado-Eletronorte'!#REF!,"_",ROW('Consolidado-Eletronorte'!#REF!)-ROW('Consolidado-Eletronorte'!$G$18))</f>
      </c>
      <c r="H212" s="212" t="s">
        <v>10</v>
      </c>
      <c r="I212" s="212" t="s">
        <v>87</v>
      </c>
      <c r="J212" s="212" t="s">
        <v>5</v>
      </c>
      <c r="K212" s="213" t="s">
        <v>16</v>
      </c>
      <c r="L212" s="212" t="s">
        <v>67</v>
      </c>
      <c r="M212" s="212"/>
      <c r="N212" s="212"/>
      <c r="O212" s="212"/>
      <c r="P212" s="212"/>
      <c r="Q212" s="239" t="s">
        <v>40981</v>
      </c>
      <c r="R212" s="239" t="s">
        <v>40981</v>
      </c>
      <c r="S212" s="239" t="s">
        <v>38294</v>
      </c>
      <c r="T212" s="239" t="s">
        <v>40351</v>
      </c>
      <c r="U212" s="239" t="s">
        <v>40351</v>
      </c>
      <c r="V212" s="239" t="s">
        <v>40351</v>
      </c>
      <c r="W212" s="239" t="s">
        <v>40351</v>
      </c>
      <c r="X212" s="239" t="s">
        <v>40351</v>
      </c>
      <c r="Y212" s="239" t="s">
        <v>40351</v>
      </c>
      <c r="Z212" s="239" t="s">
        <v>40351</v>
      </c>
      <c r="AA212" s="239" t="s">
        <v>40351</v>
      </c>
      <c r="AB212" s="239" t="s">
        <v>40351</v>
      </c>
      <c r="AC212" s="239" t="s">
        <v>40351</v>
      </c>
      <c r="AD212" s="240">
        <v>80000</v>
      </c>
      <c r="AE212" s="239" t="s">
        <v>40351</v>
      </c>
      <c r="AF212" s="241">
        <f>SUM(Tabela96[[#This Row], [jan/26]:[dez/26]])</f>
      </c>
      <c r="AG212" s="240">
        <v>0</v>
      </c>
      <c r="AH212" s="240">
        <v>0</v>
      </c>
      <c r="AI212" s="240">
        <v>0</v>
      </c>
      <c r="AJ212" s="240">
        <v>0</v>
      </c>
      <c r="AK212" s="240">
        <f>SUM(Tabela96[[#This Row], [2026]:[2030]])</f>
      </c>
      <c r="AL212" s="240">
        <v>0</v>
      </c>
      <c r="AM212" s="240">
        <v>0</v>
      </c>
      <c r="AN212" s="240">
        <v>0</v>
      </c>
      <c r="AO212" s="240">
        <v>0</v>
      </c>
      <c r="AP212" s="240">
        <v>0</v>
      </c>
      <c r="AQ212" s="242">
        <f>SUM(Tabela96[[#This Row], [2026-2030]:[2035]])</f>
      </c>
      <c r="AR212" s="1"/>
      <c r="AS212" s="239" t="s">
        <v>40904</v>
      </c>
      <c r="AT212" s="247" t="s">
        <v>39970</v>
      </c>
      <c r="AU212" s="239" t="s">
        <v>40982</v>
      </c>
      <c r="AV212" s="3"/>
      <c r="AW212" s="239" t="s">
        <v>39062</v>
      </c>
      <c r="AX212" s="2"/>
      <c r="AY212" s="2"/>
      <c r="AZ212" s="239" t="s">
        <v>40906</v>
      </c>
    </row>
    <row x14ac:dyDescent="0.25" r="213" customHeight="1" ht="24.75">
      <c r="A213" s="1"/>
      <c r="B213" s="237">
        <f>AND(ISTEXT('Consolidado-Eletronorte'!#REF!),SUM('Consolidado-Eletronorte'!#REF!)&gt;0)</f>
      </c>
      <c r="C213" s="238">
        <f>$J$3</f>
      </c>
      <c r="D213" s="238">
        <f>$H$3</f>
      </c>
      <c r="E213" s="238">
        <f>$H$4</f>
      </c>
      <c r="F213" s="210"/>
      <c r="G213" s="238">
        <f>_xlfn.CONCAT('Consolidado-Eletronorte'!#REF!,"_",ROW('Consolidado-Eletronorte'!#REF!)-ROW('Consolidado-Eletronorte'!$G$18))</f>
      </c>
      <c r="H213" s="212" t="s">
        <v>10</v>
      </c>
      <c r="I213" s="212" t="s">
        <v>87</v>
      </c>
      <c r="J213" s="212" t="s">
        <v>5</v>
      </c>
      <c r="K213" s="213" t="s">
        <v>16</v>
      </c>
      <c r="L213" s="212" t="s">
        <v>67</v>
      </c>
      <c r="M213" s="212"/>
      <c r="N213" s="212"/>
      <c r="O213" s="212"/>
      <c r="P213" s="212"/>
      <c r="Q213" s="239" t="s">
        <v>40983</v>
      </c>
      <c r="R213" s="239" t="s">
        <v>40935</v>
      </c>
      <c r="S213" s="239" t="s">
        <v>38296</v>
      </c>
      <c r="T213" s="239" t="s">
        <v>40351</v>
      </c>
      <c r="U213" s="239" t="s">
        <v>40351</v>
      </c>
      <c r="V213" s="239" t="s">
        <v>40351</v>
      </c>
      <c r="W213" s="239" t="s">
        <v>40351</v>
      </c>
      <c r="X213" s="239" t="s">
        <v>40351</v>
      </c>
      <c r="Y213" s="239" t="s">
        <v>40351</v>
      </c>
      <c r="Z213" s="239" t="s">
        <v>40351</v>
      </c>
      <c r="AA213" s="239" t="s">
        <v>40351</v>
      </c>
      <c r="AB213" s="240">
        <v>105000</v>
      </c>
      <c r="AC213" s="239" t="s">
        <v>40351</v>
      </c>
      <c r="AD213" s="239" t="s">
        <v>40351</v>
      </c>
      <c r="AE213" s="239" t="s">
        <v>40351</v>
      </c>
      <c r="AF213" s="241">
        <f>SUM(Tabela96[[#This Row], [jan/26]:[dez/26]])</f>
      </c>
      <c r="AG213" s="240">
        <v>0</v>
      </c>
      <c r="AH213" s="240">
        <v>0</v>
      </c>
      <c r="AI213" s="240">
        <v>0</v>
      </c>
      <c r="AJ213" s="240">
        <v>0</v>
      </c>
      <c r="AK213" s="240">
        <f>SUM(Tabela96[[#This Row], [2026]:[2030]])</f>
      </c>
      <c r="AL213" s="240">
        <v>0</v>
      </c>
      <c r="AM213" s="240">
        <v>0</v>
      </c>
      <c r="AN213" s="240">
        <v>0</v>
      </c>
      <c r="AO213" s="240">
        <v>0</v>
      </c>
      <c r="AP213" s="240">
        <v>0</v>
      </c>
      <c r="AQ213" s="242">
        <f>SUM(Tabela96[[#This Row], [2026-2030]:[2035]])</f>
      </c>
      <c r="AR213" s="1"/>
      <c r="AS213" s="239" t="s">
        <v>40904</v>
      </c>
      <c r="AT213" s="247" t="s">
        <v>39970</v>
      </c>
      <c r="AU213" s="239" t="s">
        <v>40984</v>
      </c>
      <c r="AV213" s="3"/>
      <c r="AW213" s="239" t="s">
        <v>39062</v>
      </c>
      <c r="AX213" s="2"/>
      <c r="AY213" s="2"/>
      <c r="AZ213" s="239" t="s">
        <v>40906</v>
      </c>
    </row>
    <row x14ac:dyDescent="0.25" r="214" customHeight="1" ht="24.75">
      <c r="A214" s="1"/>
      <c r="B214" s="237">
        <f>AND(ISTEXT('Consolidado-Eletronorte'!#REF!),SUM('Consolidado-Eletronorte'!#REF!)&gt;0)</f>
      </c>
      <c r="C214" s="238">
        <f>$J$3</f>
      </c>
      <c r="D214" s="238">
        <f>$H$3</f>
      </c>
      <c r="E214" s="238">
        <f>$H$4</f>
      </c>
      <c r="F214" s="210"/>
      <c r="G214" s="238">
        <f>_xlfn.CONCAT('Consolidado-Eletronorte'!#REF!,"_",ROW('Consolidado-Eletronorte'!#REF!)-ROW('Consolidado-Eletronorte'!$G$18))</f>
      </c>
      <c r="H214" s="212" t="s">
        <v>10</v>
      </c>
      <c r="I214" s="212" t="s">
        <v>87</v>
      </c>
      <c r="J214" s="212" t="s">
        <v>5</v>
      </c>
      <c r="K214" s="213" t="s">
        <v>16</v>
      </c>
      <c r="L214" s="212" t="s">
        <v>67</v>
      </c>
      <c r="M214" s="212"/>
      <c r="N214" s="212"/>
      <c r="O214" s="212"/>
      <c r="P214" s="212"/>
      <c r="Q214" s="239" t="s">
        <v>40985</v>
      </c>
      <c r="R214" s="239" t="s">
        <v>40986</v>
      </c>
      <c r="S214" s="239" t="s">
        <v>38296</v>
      </c>
      <c r="T214" s="239" t="s">
        <v>40351</v>
      </c>
      <c r="U214" s="239" t="s">
        <v>40351</v>
      </c>
      <c r="V214" s="239" t="s">
        <v>40351</v>
      </c>
      <c r="W214" s="239" t="s">
        <v>40351</v>
      </c>
      <c r="X214" s="239" t="s">
        <v>40351</v>
      </c>
      <c r="Y214" s="239" t="s">
        <v>40351</v>
      </c>
      <c r="Z214" s="239" t="s">
        <v>40351</v>
      </c>
      <c r="AA214" s="239" t="s">
        <v>40351</v>
      </c>
      <c r="AB214" s="239" t="s">
        <v>40351</v>
      </c>
      <c r="AC214" s="240">
        <v>46000</v>
      </c>
      <c r="AD214" s="239" t="s">
        <v>40351</v>
      </c>
      <c r="AE214" s="239" t="s">
        <v>40351</v>
      </c>
      <c r="AF214" s="241">
        <f>SUM(Tabela96[[#This Row], [jan/26]:[dez/26]])</f>
      </c>
      <c r="AG214" s="240">
        <v>0</v>
      </c>
      <c r="AH214" s="240">
        <v>0</v>
      </c>
      <c r="AI214" s="240">
        <v>0</v>
      </c>
      <c r="AJ214" s="240">
        <v>0</v>
      </c>
      <c r="AK214" s="240">
        <f>SUM(Tabela96[[#This Row], [2026]:[2030]])</f>
      </c>
      <c r="AL214" s="240">
        <v>0</v>
      </c>
      <c r="AM214" s="240">
        <v>0</v>
      </c>
      <c r="AN214" s="240">
        <v>0</v>
      </c>
      <c r="AO214" s="240">
        <v>0</v>
      </c>
      <c r="AP214" s="240">
        <v>0</v>
      </c>
      <c r="AQ214" s="242">
        <f>SUM(Tabela96[[#This Row], [2026-2030]:[2035]])</f>
      </c>
      <c r="AR214" s="1"/>
      <c r="AS214" s="239" t="s">
        <v>40904</v>
      </c>
      <c r="AT214" s="247" t="s">
        <v>39970</v>
      </c>
      <c r="AU214" s="239" t="s">
        <v>40987</v>
      </c>
      <c r="AV214" s="3"/>
      <c r="AW214" s="239" t="s">
        <v>39062</v>
      </c>
      <c r="AX214" s="2"/>
      <c r="AY214" s="2"/>
      <c r="AZ214" s="239" t="s">
        <v>40906</v>
      </c>
    </row>
    <row x14ac:dyDescent="0.25" r="215" customHeight="1" ht="24.75">
      <c r="A215" s="1"/>
      <c r="B215" s="237">
        <f>AND(ISTEXT('Consolidado-Eletronorte'!#REF!),SUM('Consolidado-Eletronorte'!#REF!)&gt;0)</f>
      </c>
      <c r="C215" s="238">
        <f>$J$3</f>
      </c>
      <c r="D215" s="238">
        <f>$H$3</f>
      </c>
      <c r="E215" s="238">
        <f>$H$4</f>
      </c>
      <c r="F215" s="210"/>
      <c r="G215" s="238">
        <f>_xlfn.CONCAT('Consolidado-Eletronorte'!#REF!,"_",ROW('Consolidado-Eletronorte'!#REF!)-ROW('Consolidado-Eletronorte'!$G$18))</f>
      </c>
      <c r="H215" s="212" t="s">
        <v>10</v>
      </c>
      <c r="I215" s="212" t="s">
        <v>87</v>
      </c>
      <c r="J215" s="212" t="s">
        <v>5</v>
      </c>
      <c r="K215" s="213" t="s">
        <v>16</v>
      </c>
      <c r="L215" s="212" t="s">
        <v>67</v>
      </c>
      <c r="M215" s="212"/>
      <c r="N215" s="212"/>
      <c r="O215" s="212"/>
      <c r="P215" s="212"/>
      <c r="Q215" s="239" t="s">
        <v>40988</v>
      </c>
      <c r="R215" s="239" t="s">
        <v>40935</v>
      </c>
      <c r="S215" s="239" t="s">
        <v>38290</v>
      </c>
      <c r="T215" s="239" t="s">
        <v>40351</v>
      </c>
      <c r="U215" s="239" t="s">
        <v>40351</v>
      </c>
      <c r="V215" s="239" t="s">
        <v>40351</v>
      </c>
      <c r="W215" s="239" t="s">
        <v>40351</v>
      </c>
      <c r="X215" s="239" t="s">
        <v>40351</v>
      </c>
      <c r="Y215" s="239" t="s">
        <v>40351</v>
      </c>
      <c r="Z215" s="239" t="s">
        <v>40351</v>
      </c>
      <c r="AA215" s="239" t="s">
        <v>40351</v>
      </c>
      <c r="AB215" s="240">
        <v>105000</v>
      </c>
      <c r="AC215" s="239" t="s">
        <v>40351</v>
      </c>
      <c r="AD215" s="239" t="s">
        <v>40351</v>
      </c>
      <c r="AE215" s="239" t="s">
        <v>40351</v>
      </c>
      <c r="AF215" s="241">
        <f>SUM(Tabela96[[#This Row], [jan/26]:[dez/26]])</f>
      </c>
      <c r="AG215" s="240">
        <v>0</v>
      </c>
      <c r="AH215" s="240">
        <v>0</v>
      </c>
      <c r="AI215" s="240">
        <v>0</v>
      </c>
      <c r="AJ215" s="240">
        <v>0</v>
      </c>
      <c r="AK215" s="240">
        <f>SUM(Tabela96[[#This Row], [2026]:[2030]])</f>
      </c>
      <c r="AL215" s="240">
        <v>0</v>
      </c>
      <c r="AM215" s="240">
        <v>0</v>
      </c>
      <c r="AN215" s="240">
        <v>0</v>
      </c>
      <c r="AO215" s="240">
        <v>0</v>
      </c>
      <c r="AP215" s="240">
        <v>0</v>
      </c>
      <c r="AQ215" s="242">
        <f>SUM(Tabela96[[#This Row], [2026-2030]:[2035]])</f>
      </c>
      <c r="AR215" s="1"/>
      <c r="AS215" s="239" t="s">
        <v>40904</v>
      </c>
      <c r="AT215" s="247" t="s">
        <v>39970</v>
      </c>
      <c r="AU215" s="239" t="s">
        <v>40989</v>
      </c>
      <c r="AV215" s="3"/>
      <c r="AW215" s="239" t="s">
        <v>39062</v>
      </c>
      <c r="AX215" s="2"/>
      <c r="AY215" s="2"/>
      <c r="AZ215" s="239" t="s">
        <v>40906</v>
      </c>
    </row>
    <row x14ac:dyDescent="0.25" r="216" customHeight="1" ht="24.75">
      <c r="A216" s="1"/>
      <c r="B216" s="237">
        <f>AND(ISTEXT('Consolidado-Eletronorte'!#REF!),SUM('Consolidado-Eletronorte'!#REF!)&gt;0)</f>
      </c>
      <c r="C216" s="238">
        <f>$J$3</f>
      </c>
      <c r="D216" s="238">
        <f>$H$3</f>
      </c>
      <c r="E216" s="238">
        <f>$H$4</f>
      </c>
      <c r="F216" s="210"/>
      <c r="G216" s="238">
        <f>_xlfn.CONCAT('Consolidado-Eletronorte'!#REF!,"_",ROW('Consolidado-Eletronorte'!#REF!)-ROW('Consolidado-Eletronorte'!$G$18))</f>
      </c>
      <c r="H216" s="212" t="s">
        <v>10</v>
      </c>
      <c r="I216" s="212" t="s">
        <v>87</v>
      </c>
      <c r="J216" s="212" t="s">
        <v>5</v>
      </c>
      <c r="K216" s="213" t="s">
        <v>16</v>
      </c>
      <c r="L216" s="212" t="s">
        <v>67</v>
      </c>
      <c r="M216" s="212"/>
      <c r="N216" s="212"/>
      <c r="O216" s="212"/>
      <c r="P216" s="212"/>
      <c r="Q216" s="239" t="s">
        <v>40990</v>
      </c>
      <c r="R216" s="239" t="s">
        <v>40986</v>
      </c>
      <c r="S216" s="239" t="s">
        <v>38290</v>
      </c>
      <c r="T216" s="239" t="s">
        <v>40351</v>
      </c>
      <c r="U216" s="239" t="s">
        <v>40351</v>
      </c>
      <c r="V216" s="239" t="s">
        <v>40351</v>
      </c>
      <c r="W216" s="239" t="s">
        <v>40351</v>
      </c>
      <c r="X216" s="239" t="s">
        <v>40351</v>
      </c>
      <c r="Y216" s="239" t="s">
        <v>40351</v>
      </c>
      <c r="Z216" s="239" t="s">
        <v>40351</v>
      </c>
      <c r="AA216" s="239" t="s">
        <v>40351</v>
      </c>
      <c r="AB216" s="239" t="s">
        <v>40351</v>
      </c>
      <c r="AC216" s="240">
        <v>46000</v>
      </c>
      <c r="AD216" s="239" t="s">
        <v>40351</v>
      </c>
      <c r="AE216" s="239" t="s">
        <v>40351</v>
      </c>
      <c r="AF216" s="241">
        <f>SUM(Tabela96[[#This Row], [jan/26]:[dez/26]])</f>
      </c>
      <c r="AG216" s="240">
        <v>0</v>
      </c>
      <c r="AH216" s="240">
        <v>0</v>
      </c>
      <c r="AI216" s="240">
        <v>0</v>
      </c>
      <c r="AJ216" s="240">
        <v>0</v>
      </c>
      <c r="AK216" s="240">
        <f>SUM(Tabela96[[#This Row], [2026]:[2030]])</f>
      </c>
      <c r="AL216" s="240">
        <v>0</v>
      </c>
      <c r="AM216" s="240">
        <v>0</v>
      </c>
      <c r="AN216" s="240">
        <v>0</v>
      </c>
      <c r="AO216" s="240">
        <v>0</v>
      </c>
      <c r="AP216" s="240">
        <v>0</v>
      </c>
      <c r="AQ216" s="242">
        <f>SUM(Tabela96[[#This Row], [2026-2030]:[2035]])</f>
      </c>
      <c r="AR216" s="1"/>
      <c r="AS216" s="239" t="s">
        <v>40352</v>
      </c>
      <c r="AT216" s="247" t="s">
        <v>39970</v>
      </c>
      <c r="AU216" s="239" t="s">
        <v>40991</v>
      </c>
      <c r="AV216" s="3"/>
      <c r="AW216" s="239" t="s">
        <v>39062</v>
      </c>
      <c r="AX216" s="2"/>
      <c r="AY216" s="2"/>
      <c r="AZ216" s="239" t="s">
        <v>40398</v>
      </c>
    </row>
    <row x14ac:dyDescent="0.25" r="217" customHeight="1" ht="24.75">
      <c r="A217" s="1"/>
      <c r="B217" s="237">
        <f>AND(ISTEXT('Consolidado-Eletronorte'!#REF!),SUM('Consolidado-Eletronorte'!#REF!)&gt;0)</f>
      </c>
      <c r="C217" s="238">
        <f>$J$3</f>
      </c>
      <c r="D217" s="238">
        <f>$H$3</f>
      </c>
      <c r="E217" s="238">
        <f>$H$4</f>
      </c>
      <c r="F217" s="210"/>
      <c r="G217" s="238">
        <f>_xlfn.CONCAT('Consolidado-Eletronorte'!#REF!,"_",ROW('Consolidado-Eletronorte'!#REF!)-ROW('Consolidado-Eletronorte'!$G$18))</f>
      </c>
      <c r="H217" s="212" t="s">
        <v>10</v>
      </c>
      <c r="I217" s="212" t="s">
        <v>87</v>
      </c>
      <c r="J217" s="212" t="s">
        <v>5</v>
      </c>
      <c r="K217" s="213" t="s">
        <v>16</v>
      </c>
      <c r="L217" s="212" t="s">
        <v>67</v>
      </c>
      <c r="M217" s="212"/>
      <c r="N217" s="212"/>
      <c r="O217" s="212"/>
      <c r="P217" s="212"/>
      <c r="Q217" s="239" t="s">
        <v>40992</v>
      </c>
      <c r="R217" s="239" t="s">
        <v>40993</v>
      </c>
      <c r="S217" s="239" t="s">
        <v>38290</v>
      </c>
      <c r="T217" s="239" t="s">
        <v>40351</v>
      </c>
      <c r="U217" s="239" t="s">
        <v>40351</v>
      </c>
      <c r="V217" s="239" t="s">
        <v>40351</v>
      </c>
      <c r="W217" s="239" t="s">
        <v>40351</v>
      </c>
      <c r="X217" s="239" t="s">
        <v>40351</v>
      </c>
      <c r="Y217" s="239" t="s">
        <v>40351</v>
      </c>
      <c r="Z217" s="239" t="s">
        <v>40351</v>
      </c>
      <c r="AA217" s="239" t="s">
        <v>40351</v>
      </c>
      <c r="AB217" s="239" t="s">
        <v>40351</v>
      </c>
      <c r="AC217" s="239" t="s">
        <v>40351</v>
      </c>
      <c r="AD217" s="239" t="s">
        <v>40351</v>
      </c>
      <c r="AE217" s="239" t="s">
        <v>40351</v>
      </c>
      <c r="AF217" s="241">
        <f>SUM(Tabela96[[#This Row], [jan/26]:[dez/26]])</f>
      </c>
      <c r="AG217" s="240">
        <v>1000000</v>
      </c>
      <c r="AH217" s="240">
        <v>0</v>
      </c>
      <c r="AI217" s="240">
        <v>0</v>
      </c>
      <c r="AJ217" s="240">
        <v>0</v>
      </c>
      <c r="AK217" s="240">
        <f>SUM(Tabela96[[#This Row], [2026]:[2030]])</f>
      </c>
      <c r="AL217" s="240">
        <v>0</v>
      </c>
      <c r="AM217" s="240">
        <v>0</v>
      </c>
      <c r="AN217" s="240">
        <v>0</v>
      </c>
      <c r="AO217" s="240">
        <v>0</v>
      </c>
      <c r="AP217" s="240">
        <v>0</v>
      </c>
      <c r="AQ217" s="242">
        <f>SUM(Tabela96[[#This Row], [2026-2030]:[2035]])</f>
      </c>
      <c r="AR217" s="1"/>
      <c r="AS217" s="239" t="s">
        <v>40352</v>
      </c>
      <c r="AT217" s="247" t="s">
        <v>39970</v>
      </c>
      <c r="AU217" s="239" t="s">
        <v>40994</v>
      </c>
      <c r="AV217" s="3"/>
      <c r="AW217" s="239" t="s">
        <v>39062</v>
      </c>
      <c r="AX217" s="2"/>
      <c r="AY217" s="2"/>
      <c r="AZ217" s="239" t="s">
        <v>40995</v>
      </c>
    </row>
    <row x14ac:dyDescent="0.25" r="218" customHeight="1" ht="24.75">
      <c r="A218" s="1"/>
      <c r="B218" s="237">
        <f>AND(ISTEXT('Consolidado-Eletronorte'!#REF!),SUM('Consolidado-Eletronorte'!#REF!)&gt;0)</f>
      </c>
      <c r="C218" s="238">
        <f>$J$3</f>
      </c>
      <c r="D218" s="238">
        <f>$H$3</f>
      </c>
      <c r="E218" s="238">
        <f>$H$4</f>
      </c>
      <c r="F218" s="210"/>
      <c r="G218" s="238">
        <f>_xlfn.CONCAT('Consolidado-Eletronorte'!#REF!,"_",ROW('Consolidado-Eletronorte'!#REF!)-ROW('Consolidado-Eletronorte'!$G$18))</f>
      </c>
      <c r="H218" s="212" t="s">
        <v>10</v>
      </c>
      <c r="I218" s="212" t="s">
        <v>87</v>
      </c>
      <c r="J218" s="212" t="s">
        <v>5</v>
      </c>
      <c r="K218" s="213" t="s">
        <v>16</v>
      </c>
      <c r="L218" s="212" t="s">
        <v>67</v>
      </c>
      <c r="M218" s="212"/>
      <c r="N218" s="212"/>
      <c r="O218" s="212"/>
      <c r="P218" s="212"/>
      <c r="Q218" s="239" t="s">
        <v>40996</v>
      </c>
      <c r="R218" s="239" t="s">
        <v>40993</v>
      </c>
      <c r="S218" s="239" t="s">
        <v>38290</v>
      </c>
      <c r="T218" s="239" t="s">
        <v>40351</v>
      </c>
      <c r="U218" s="239" t="s">
        <v>40351</v>
      </c>
      <c r="V218" s="239" t="s">
        <v>40351</v>
      </c>
      <c r="W218" s="239" t="s">
        <v>40351</v>
      </c>
      <c r="X218" s="239" t="s">
        <v>40351</v>
      </c>
      <c r="Y218" s="239" t="s">
        <v>40351</v>
      </c>
      <c r="Z218" s="239" t="s">
        <v>40351</v>
      </c>
      <c r="AA218" s="239" t="s">
        <v>40351</v>
      </c>
      <c r="AB218" s="239" t="s">
        <v>40351</v>
      </c>
      <c r="AC218" s="239" t="s">
        <v>40351</v>
      </c>
      <c r="AD218" s="239" t="s">
        <v>40351</v>
      </c>
      <c r="AE218" s="239" t="s">
        <v>40351</v>
      </c>
      <c r="AF218" s="241">
        <f>SUM(Tabela96[[#This Row], [jan/26]:[dez/26]])</f>
      </c>
      <c r="AG218" s="240">
        <v>1000000</v>
      </c>
      <c r="AH218" s="240">
        <v>0</v>
      </c>
      <c r="AI218" s="240">
        <v>0</v>
      </c>
      <c r="AJ218" s="240">
        <v>0</v>
      </c>
      <c r="AK218" s="240">
        <f>SUM(Tabela96[[#This Row], [2026]:[2030]])</f>
      </c>
      <c r="AL218" s="240">
        <v>0</v>
      </c>
      <c r="AM218" s="240">
        <v>0</v>
      </c>
      <c r="AN218" s="240">
        <v>0</v>
      </c>
      <c r="AO218" s="240">
        <v>0</v>
      </c>
      <c r="AP218" s="240">
        <v>0</v>
      </c>
      <c r="AQ218" s="242">
        <f>SUM(Tabela96[[#This Row], [2026-2030]:[2035]])</f>
      </c>
      <c r="AR218" s="1"/>
      <c r="AS218" s="239" t="s">
        <v>40352</v>
      </c>
      <c r="AT218" s="247" t="s">
        <v>39970</v>
      </c>
      <c r="AU218" s="239" t="s">
        <v>40997</v>
      </c>
      <c r="AV218" s="3"/>
      <c r="AW218" s="239" t="s">
        <v>39062</v>
      </c>
      <c r="AX218" s="2"/>
      <c r="AY218" s="2"/>
      <c r="AZ218" s="239" t="s">
        <v>40995</v>
      </c>
    </row>
    <row x14ac:dyDescent="0.25" r="219" customHeight="1" ht="24.75">
      <c r="A219" s="1"/>
      <c r="B219" s="237">
        <f>AND(ISTEXT('Consolidado-Eletronorte'!#REF!),SUM('Consolidado-Eletronorte'!#REF!)&gt;0)</f>
      </c>
      <c r="C219" s="238">
        <f>$J$3</f>
      </c>
      <c r="D219" s="238">
        <f>$H$3</f>
      </c>
      <c r="E219" s="238">
        <f>$H$4</f>
      </c>
      <c r="F219" s="210"/>
      <c r="G219" s="238">
        <f>_xlfn.CONCAT('Consolidado-Eletronorte'!#REF!,"_",ROW('Consolidado-Eletronorte'!#REF!)-ROW('Consolidado-Eletronorte'!$G$18))</f>
      </c>
      <c r="H219" s="212" t="s">
        <v>10</v>
      </c>
      <c r="I219" s="212" t="s">
        <v>87</v>
      </c>
      <c r="J219" s="212" t="s">
        <v>5</v>
      </c>
      <c r="K219" s="213" t="s">
        <v>16</v>
      </c>
      <c r="L219" s="212" t="s">
        <v>67</v>
      </c>
      <c r="M219" s="212"/>
      <c r="N219" s="212"/>
      <c r="O219" s="212"/>
      <c r="P219" s="212"/>
      <c r="Q219" s="239" t="s">
        <v>40998</v>
      </c>
      <c r="R219" s="239" t="s">
        <v>40999</v>
      </c>
      <c r="S219" s="239" t="s">
        <v>40587</v>
      </c>
      <c r="T219" s="239" t="s">
        <v>40351</v>
      </c>
      <c r="U219" s="239" t="s">
        <v>40351</v>
      </c>
      <c r="V219" s="239" t="s">
        <v>40351</v>
      </c>
      <c r="W219" s="239" t="s">
        <v>40351</v>
      </c>
      <c r="X219" s="239" t="s">
        <v>40351</v>
      </c>
      <c r="Y219" s="239" t="s">
        <v>40351</v>
      </c>
      <c r="Z219" s="240">
        <v>180000</v>
      </c>
      <c r="AA219" s="239" t="s">
        <v>40351</v>
      </c>
      <c r="AB219" s="240"/>
      <c r="AC219" s="239" t="s">
        <v>40351</v>
      </c>
      <c r="AD219" s="239" t="s">
        <v>40351</v>
      </c>
      <c r="AE219" s="239" t="s">
        <v>40351</v>
      </c>
      <c r="AF219" s="241">
        <f>SUM(Tabela96[[#This Row], [jan/26]:[dez/26]])</f>
      </c>
      <c r="AG219" s="240">
        <v>0</v>
      </c>
      <c r="AH219" s="240">
        <v>0</v>
      </c>
      <c r="AI219" s="240">
        <v>0</v>
      </c>
      <c r="AJ219" s="240">
        <v>0</v>
      </c>
      <c r="AK219" s="240">
        <f>SUM(Tabela96[[#This Row], [2026]:[2030]])</f>
      </c>
      <c r="AL219" s="240">
        <v>0</v>
      </c>
      <c r="AM219" s="240">
        <v>0</v>
      </c>
      <c r="AN219" s="240">
        <v>0</v>
      </c>
      <c r="AO219" s="240">
        <v>0</v>
      </c>
      <c r="AP219" s="240">
        <v>0</v>
      </c>
      <c r="AQ219" s="242">
        <f>SUM(Tabela96[[#This Row], [2026-2030]:[2035]])</f>
      </c>
      <c r="AR219" s="1"/>
      <c r="AS219" s="239" t="s">
        <v>40352</v>
      </c>
      <c r="AT219" s="247" t="s">
        <v>39970</v>
      </c>
      <c r="AU219" s="239" t="s">
        <v>41000</v>
      </c>
      <c r="AV219" s="3"/>
      <c r="AW219" s="239" t="s">
        <v>39062</v>
      </c>
      <c r="AX219" s="2"/>
      <c r="AY219" s="2"/>
      <c r="AZ219" s="239" t="s">
        <v>40995</v>
      </c>
    </row>
    <row x14ac:dyDescent="0.25" r="220" customHeight="1" ht="24.75">
      <c r="A220" s="1"/>
      <c r="B220" s="237">
        <f>AND(ISTEXT('Consolidado-Eletronorte'!#REF!),SUM('Consolidado-Eletronorte'!#REF!)&gt;0)</f>
      </c>
      <c r="C220" s="238">
        <f>$J$3</f>
      </c>
      <c r="D220" s="238">
        <f>$H$3</f>
      </c>
      <c r="E220" s="238">
        <f>$H$4</f>
      </c>
      <c r="F220" s="210"/>
      <c r="G220" s="238">
        <f>_xlfn.CONCAT('Consolidado-Eletronorte'!#REF!,"_",ROW('Consolidado-Eletronorte'!#REF!)-ROW('Consolidado-Eletronorte'!$G$18))</f>
      </c>
      <c r="H220" s="212" t="s">
        <v>10</v>
      </c>
      <c r="I220" s="212" t="s">
        <v>87</v>
      </c>
      <c r="J220" s="212" t="s">
        <v>5</v>
      </c>
      <c r="K220" s="213" t="s">
        <v>16</v>
      </c>
      <c r="L220" s="212" t="s">
        <v>67</v>
      </c>
      <c r="M220" s="212"/>
      <c r="N220" s="212"/>
      <c r="O220" s="212"/>
      <c r="P220" s="212"/>
      <c r="Q220" s="239" t="s">
        <v>40998</v>
      </c>
      <c r="R220" s="239" t="s">
        <v>41001</v>
      </c>
      <c r="S220" s="239" t="s">
        <v>40587</v>
      </c>
      <c r="T220" s="239" t="s">
        <v>40351</v>
      </c>
      <c r="U220" s="239" t="s">
        <v>40351</v>
      </c>
      <c r="V220" s="239" t="s">
        <v>40351</v>
      </c>
      <c r="W220" s="239" t="s">
        <v>40351</v>
      </c>
      <c r="X220" s="239" t="s">
        <v>40351</v>
      </c>
      <c r="Y220" s="239" t="s">
        <v>40351</v>
      </c>
      <c r="Z220" s="240">
        <v>180000</v>
      </c>
      <c r="AA220" s="239" t="s">
        <v>40351</v>
      </c>
      <c r="AB220" s="240"/>
      <c r="AC220" s="239" t="s">
        <v>40351</v>
      </c>
      <c r="AD220" s="239" t="s">
        <v>40351</v>
      </c>
      <c r="AE220" s="239" t="s">
        <v>40351</v>
      </c>
      <c r="AF220" s="241">
        <f>SUM(Tabela96[[#This Row], [jan/26]:[dez/26]])</f>
      </c>
      <c r="AG220" s="240">
        <v>0</v>
      </c>
      <c r="AH220" s="240">
        <v>0</v>
      </c>
      <c r="AI220" s="240">
        <v>0</v>
      </c>
      <c r="AJ220" s="240">
        <v>0</v>
      </c>
      <c r="AK220" s="240">
        <f>SUM(Tabela96[[#This Row], [2026]:[2030]])</f>
      </c>
      <c r="AL220" s="240">
        <v>0</v>
      </c>
      <c r="AM220" s="240">
        <v>0</v>
      </c>
      <c r="AN220" s="240">
        <v>0</v>
      </c>
      <c r="AO220" s="240">
        <v>0</v>
      </c>
      <c r="AP220" s="240">
        <v>0</v>
      </c>
      <c r="AQ220" s="242">
        <f>SUM(Tabela96[[#This Row], [2026-2030]:[2035]])</f>
      </c>
      <c r="AR220" s="1"/>
      <c r="AS220" s="239" t="s">
        <v>40352</v>
      </c>
      <c r="AT220" s="247" t="s">
        <v>39970</v>
      </c>
      <c r="AU220" s="239" t="s">
        <v>41002</v>
      </c>
      <c r="AV220" s="3"/>
      <c r="AW220" s="239" t="s">
        <v>39062</v>
      </c>
      <c r="AX220" s="2"/>
      <c r="AY220" s="2"/>
      <c r="AZ220" s="239" t="s">
        <v>40995</v>
      </c>
    </row>
    <row x14ac:dyDescent="0.25" r="221" customHeight="1" ht="24.75">
      <c r="A221" s="1"/>
      <c r="B221" s="237">
        <f>AND(ISTEXT('Consolidado-Eletronorte'!#REF!),SUM('Consolidado-Eletronorte'!#REF!)&gt;0)</f>
      </c>
      <c r="C221" s="238">
        <f>$J$3</f>
      </c>
      <c r="D221" s="238">
        <f>$H$3</f>
      </c>
      <c r="E221" s="238">
        <f>$H$4</f>
      </c>
      <c r="F221" s="210"/>
      <c r="G221" s="238">
        <f>_xlfn.CONCAT('Consolidado-Eletronorte'!#REF!,"_",ROW('Consolidado-Eletronorte'!#REF!)-ROW('Consolidado-Eletronorte'!$G$18))</f>
      </c>
      <c r="H221" s="212" t="s">
        <v>10</v>
      </c>
      <c r="I221" s="212" t="s">
        <v>87</v>
      </c>
      <c r="J221" s="212" t="s">
        <v>5</v>
      </c>
      <c r="K221" s="213" t="s">
        <v>16</v>
      </c>
      <c r="L221" s="212" t="s">
        <v>67</v>
      </c>
      <c r="M221" s="212"/>
      <c r="N221" s="212"/>
      <c r="O221" s="212"/>
      <c r="P221" s="212"/>
      <c r="Q221" s="239" t="s">
        <v>40998</v>
      </c>
      <c r="R221" s="239" t="s">
        <v>41003</v>
      </c>
      <c r="S221" s="239" t="s">
        <v>40587</v>
      </c>
      <c r="T221" s="239" t="s">
        <v>40351</v>
      </c>
      <c r="U221" s="239" t="s">
        <v>40351</v>
      </c>
      <c r="V221" s="239" t="s">
        <v>40351</v>
      </c>
      <c r="W221" s="239" t="s">
        <v>40351</v>
      </c>
      <c r="X221" s="239" t="s">
        <v>40351</v>
      </c>
      <c r="Y221" s="239" t="s">
        <v>40351</v>
      </c>
      <c r="Z221" s="240">
        <v>180000</v>
      </c>
      <c r="AA221" s="239" t="s">
        <v>40351</v>
      </c>
      <c r="AB221" s="240"/>
      <c r="AC221" s="239" t="s">
        <v>40351</v>
      </c>
      <c r="AD221" s="239" t="s">
        <v>40351</v>
      </c>
      <c r="AE221" s="239" t="s">
        <v>40351</v>
      </c>
      <c r="AF221" s="241">
        <f>SUM(Tabela96[[#This Row], [jan/26]:[dez/26]])</f>
      </c>
      <c r="AG221" s="240">
        <v>0</v>
      </c>
      <c r="AH221" s="240">
        <v>0</v>
      </c>
      <c r="AI221" s="240">
        <v>0</v>
      </c>
      <c r="AJ221" s="240">
        <v>0</v>
      </c>
      <c r="AK221" s="240">
        <f>SUM(Tabela96[[#This Row], [2026]:[2030]])</f>
      </c>
      <c r="AL221" s="240">
        <v>0</v>
      </c>
      <c r="AM221" s="240">
        <v>0</v>
      </c>
      <c r="AN221" s="240">
        <v>0</v>
      </c>
      <c r="AO221" s="240">
        <v>0</v>
      </c>
      <c r="AP221" s="240">
        <v>0</v>
      </c>
      <c r="AQ221" s="242">
        <f>SUM(Tabela96[[#This Row], [2026-2030]:[2035]])</f>
      </c>
      <c r="AR221" s="1"/>
      <c r="AS221" s="239" t="s">
        <v>40352</v>
      </c>
      <c r="AT221" s="247" t="s">
        <v>39970</v>
      </c>
      <c r="AU221" s="239" t="s">
        <v>41004</v>
      </c>
      <c r="AV221" s="3"/>
      <c r="AW221" s="239" t="s">
        <v>39062</v>
      </c>
      <c r="AX221" s="2"/>
      <c r="AY221" s="2"/>
      <c r="AZ221" s="239" t="s">
        <v>40995</v>
      </c>
    </row>
    <row x14ac:dyDescent="0.25" r="222" customHeight="1" ht="24.75">
      <c r="A222" s="1"/>
      <c r="B222" s="237">
        <f>AND(ISTEXT('Consolidado-Eletronorte'!#REF!),SUM('Consolidado-Eletronorte'!#REF!)&gt;0)</f>
      </c>
      <c r="C222" s="238">
        <f>$J$3</f>
      </c>
      <c r="D222" s="238">
        <f>$H$3</f>
      </c>
      <c r="E222" s="238">
        <f>$H$4</f>
      </c>
      <c r="F222" s="210"/>
      <c r="G222" s="238">
        <f>_xlfn.CONCAT('Consolidado-Eletronorte'!#REF!,"_",ROW('Consolidado-Eletronorte'!#REF!)-ROW('Consolidado-Eletronorte'!$G$18))</f>
      </c>
      <c r="H222" s="212" t="s">
        <v>10</v>
      </c>
      <c r="I222" s="212" t="s">
        <v>87</v>
      </c>
      <c r="J222" s="212" t="s">
        <v>5</v>
      </c>
      <c r="K222" s="213" t="s">
        <v>16</v>
      </c>
      <c r="L222" s="212" t="s">
        <v>67</v>
      </c>
      <c r="M222" s="212"/>
      <c r="N222" s="212"/>
      <c r="O222" s="212"/>
      <c r="P222" s="212"/>
      <c r="Q222" s="239" t="s">
        <v>40998</v>
      </c>
      <c r="R222" s="239" t="s">
        <v>41005</v>
      </c>
      <c r="S222" s="239" t="s">
        <v>40587</v>
      </c>
      <c r="T222" s="239" t="s">
        <v>40351</v>
      </c>
      <c r="U222" s="239" t="s">
        <v>40351</v>
      </c>
      <c r="V222" s="239" t="s">
        <v>40351</v>
      </c>
      <c r="W222" s="239" t="s">
        <v>40351</v>
      </c>
      <c r="X222" s="239" t="s">
        <v>40351</v>
      </c>
      <c r="Y222" s="239" t="s">
        <v>40351</v>
      </c>
      <c r="Z222" s="240">
        <v>180000</v>
      </c>
      <c r="AA222" s="239" t="s">
        <v>40351</v>
      </c>
      <c r="AB222" s="240"/>
      <c r="AC222" s="239" t="s">
        <v>40351</v>
      </c>
      <c r="AD222" s="239" t="s">
        <v>40351</v>
      </c>
      <c r="AE222" s="239" t="s">
        <v>40351</v>
      </c>
      <c r="AF222" s="241">
        <f>SUM(Tabela96[[#This Row], [jan/26]:[dez/26]])</f>
      </c>
      <c r="AG222" s="240">
        <v>0</v>
      </c>
      <c r="AH222" s="240">
        <v>0</v>
      </c>
      <c r="AI222" s="240">
        <v>0</v>
      </c>
      <c r="AJ222" s="240">
        <v>0</v>
      </c>
      <c r="AK222" s="240">
        <f>SUM(Tabela96[[#This Row], [2026]:[2030]])</f>
      </c>
      <c r="AL222" s="240">
        <v>0</v>
      </c>
      <c r="AM222" s="240">
        <v>0</v>
      </c>
      <c r="AN222" s="240">
        <v>0</v>
      </c>
      <c r="AO222" s="240">
        <v>0</v>
      </c>
      <c r="AP222" s="240">
        <v>0</v>
      </c>
      <c r="AQ222" s="242">
        <f>SUM(Tabela96[[#This Row], [2026-2030]:[2035]])</f>
      </c>
      <c r="AR222" s="1"/>
      <c r="AS222" s="239" t="s">
        <v>40352</v>
      </c>
      <c r="AT222" s="247" t="s">
        <v>39970</v>
      </c>
      <c r="AU222" s="239" t="s">
        <v>41006</v>
      </c>
      <c r="AV222" s="3"/>
      <c r="AW222" s="239" t="s">
        <v>39062</v>
      </c>
      <c r="AX222" s="2"/>
      <c r="AY222" s="2"/>
      <c r="AZ222" s="239" t="s">
        <v>40995</v>
      </c>
    </row>
    <row x14ac:dyDescent="0.25" r="223" customHeight="1" ht="24.75">
      <c r="A223" s="1"/>
      <c r="B223" s="237">
        <f>AND(ISTEXT('Consolidado-Eletronorte'!#REF!),SUM('Consolidado-Eletronorte'!#REF!)&gt;0)</f>
      </c>
      <c r="C223" s="238">
        <f>$J$3</f>
      </c>
      <c r="D223" s="238">
        <f>$H$3</f>
      </c>
      <c r="E223" s="238">
        <f>$H$4</f>
      </c>
      <c r="F223" s="210"/>
      <c r="G223" s="238">
        <f>_xlfn.CONCAT('Consolidado-Eletronorte'!#REF!,"_",ROW('Consolidado-Eletronorte'!#REF!)-ROW('Consolidado-Eletronorte'!$G$18))</f>
      </c>
      <c r="H223" s="212" t="s">
        <v>10</v>
      </c>
      <c r="I223" s="212" t="s">
        <v>87</v>
      </c>
      <c r="J223" s="212" t="s">
        <v>5</v>
      </c>
      <c r="K223" s="213" t="s">
        <v>16</v>
      </c>
      <c r="L223" s="212" t="s">
        <v>67</v>
      </c>
      <c r="M223" s="212"/>
      <c r="N223" s="212"/>
      <c r="O223" s="212"/>
      <c r="P223" s="212"/>
      <c r="Q223" s="239" t="s">
        <v>40998</v>
      </c>
      <c r="R223" s="239" t="s">
        <v>41007</v>
      </c>
      <c r="S223" s="239" t="s">
        <v>40587</v>
      </c>
      <c r="T223" s="239" t="s">
        <v>40351</v>
      </c>
      <c r="U223" s="239" t="s">
        <v>40351</v>
      </c>
      <c r="V223" s="239" t="s">
        <v>40351</v>
      </c>
      <c r="W223" s="239" t="s">
        <v>40351</v>
      </c>
      <c r="X223" s="239" t="s">
        <v>40351</v>
      </c>
      <c r="Y223" s="239" t="s">
        <v>40351</v>
      </c>
      <c r="Z223" s="240">
        <v>180000</v>
      </c>
      <c r="AA223" s="239" t="s">
        <v>40351</v>
      </c>
      <c r="AB223" s="240"/>
      <c r="AC223" s="239" t="s">
        <v>40351</v>
      </c>
      <c r="AD223" s="239" t="s">
        <v>40351</v>
      </c>
      <c r="AE223" s="239" t="s">
        <v>40351</v>
      </c>
      <c r="AF223" s="241">
        <f>SUM(Tabela96[[#This Row], [jan/26]:[dez/26]])</f>
      </c>
      <c r="AG223" s="240">
        <v>0</v>
      </c>
      <c r="AH223" s="240">
        <v>0</v>
      </c>
      <c r="AI223" s="240">
        <v>0</v>
      </c>
      <c r="AJ223" s="240">
        <v>0</v>
      </c>
      <c r="AK223" s="240">
        <f>SUM(Tabela96[[#This Row], [2026]:[2030]])</f>
      </c>
      <c r="AL223" s="240">
        <v>0</v>
      </c>
      <c r="AM223" s="240">
        <v>0</v>
      </c>
      <c r="AN223" s="240">
        <v>0</v>
      </c>
      <c r="AO223" s="240">
        <v>0</v>
      </c>
      <c r="AP223" s="240">
        <v>0</v>
      </c>
      <c r="AQ223" s="242">
        <f>SUM(Tabela96[[#This Row], [2026-2030]:[2035]])</f>
      </c>
      <c r="AR223" s="1"/>
      <c r="AS223" s="239" t="s">
        <v>40352</v>
      </c>
      <c r="AT223" s="247" t="s">
        <v>39970</v>
      </c>
      <c r="AU223" s="239" t="s">
        <v>41008</v>
      </c>
      <c r="AV223" s="3"/>
      <c r="AW223" s="239" t="s">
        <v>39062</v>
      </c>
      <c r="AX223" s="2"/>
      <c r="AY223" s="2"/>
      <c r="AZ223" s="239" t="s">
        <v>40995</v>
      </c>
    </row>
    <row x14ac:dyDescent="0.25" r="224" customHeight="1" ht="24.75">
      <c r="A224" s="1"/>
      <c r="B224" s="237">
        <f>AND(ISTEXT('Consolidado-Eletronorte'!#REF!),SUM('Consolidado-Eletronorte'!#REF!)&gt;0)</f>
      </c>
      <c r="C224" s="238">
        <f>$J$3</f>
      </c>
      <c r="D224" s="238">
        <f>$H$3</f>
      </c>
      <c r="E224" s="238">
        <f>$H$4</f>
      </c>
      <c r="F224" s="210"/>
      <c r="G224" s="238">
        <f>_xlfn.CONCAT('Consolidado-Eletronorte'!#REF!,"_",ROW('Consolidado-Eletronorte'!#REF!)-ROW('Consolidado-Eletronorte'!$G$18))</f>
      </c>
      <c r="H224" s="212" t="s">
        <v>10</v>
      </c>
      <c r="I224" s="212" t="s">
        <v>87</v>
      </c>
      <c r="J224" s="212" t="s">
        <v>5</v>
      </c>
      <c r="K224" s="213" t="s">
        <v>16</v>
      </c>
      <c r="L224" s="212" t="s">
        <v>67</v>
      </c>
      <c r="M224" s="212"/>
      <c r="N224" s="212"/>
      <c r="O224" s="212"/>
      <c r="P224" s="212"/>
      <c r="Q224" s="239" t="s">
        <v>40998</v>
      </c>
      <c r="R224" s="239" t="s">
        <v>41009</v>
      </c>
      <c r="S224" s="239" t="s">
        <v>40648</v>
      </c>
      <c r="T224" s="239" t="s">
        <v>40351</v>
      </c>
      <c r="U224" s="239" t="s">
        <v>40351</v>
      </c>
      <c r="V224" s="239" t="s">
        <v>40351</v>
      </c>
      <c r="W224" s="239" t="s">
        <v>40351</v>
      </c>
      <c r="X224" s="239" t="s">
        <v>40351</v>
      </c>
      <c r="Y224" s="239" t="s">
        <v>40351</v>
      </c>
      <c r="Z224" s="240">
        <v>180000</v>
      </c>
      <c r="AA224" s="239" t="s">
        <v>40351</v>
      </c>
      <c r="AB224" s="240"/>
      <c r="AC224" s="239" t="s">
        <v>40351</v>
      </c>
      <c r="AD224" s="239" t="s">
        <v>40351</v>
      </c>
      <c r="AE224" s="239" t="s">
        <v>40351</v>
      </c>
      <c r="AF224" s="241">
        <f>SUM(Tabela96[[#This Row], [jan/26]:[dez/26]])</f>
      </c>
      <c r="AG224" s="240">
        <v>0</v>
      </c>
      <c r="AH224" s="240">
        <v>0</v>
      </c>
      <c r="AI224" s="240">
        <v>0</v>
      </c>
      <c r="AJ224" s="240">
        <v>0</v>
      </c>
      <c r="AK224" s="240">
        <f>SUM(Tabela96[[#This Row], [2026]:[2030]])</f>
      </c>
      <c r="AL224" s="240">
        <v>0</v>
      </c>
      <c r="AM224" s="240">
        <v>0</v>
      </c>
      <c r="AN224" s="240">
        <v>0</v>
      </c>
      <c r="AO224" s="240">
        <v>0</v>
      </c>
      <c r="AP224" s="240">
        <v>0</v>
      </c>
      <c r="AQ224" s="242">
        <f>SUM(Tabela96[[#This Row], [2026-2030]:[2035]])</f>
      </c>
      <c r="AR224" s="1"/>
      <c r="AS224" s="239" t="s">
        <v>40352</v>
      </c>
      <c r="AT224" s="247" t="s">
        <v>39970</v>
      </c>
      <c r="AU224" s="239" t="s">
        <v>41010</v>
      </c>
      <c r="AV224" s="3"/>
      <c r="AW224" s="239" t="s">
        <v>39062</v>
      </c>
      <c r="AX224" s="2"/>
      <c r="AY224" s="2"/>
      <c r="AZ224" s="239" t="s">
        <v>40995</v>
      </c>
    </row>
    <row x14ac:dyDescent="0.25" r="225" customHeight="1" ht="24.75">
      <c r="A225" s="1"/>
      <c r="B225" s="237">
        <f>AND(ISTEXT('Consolidado-Eletronorte'!#REF!),SUM('Consolidado-Eletronorte'!#REF!)&gt;0)</f>
      </c>
      <c r="C225" s="238">
        <f>$J$3</f>
      </c>
      <c r="D225" s="238">
        <f>$H$3</f>
      </c>
      <c r="E225" s="238">
        <f>$H$4</f>
      </c>
      <c r="F225" s="210"/>
      <c r="G225" s="238">
        <f>_xlfn.CONCAT('Consolidado-Eletronorte'!#REF!,"_",ROW('Consolidado-Eletronorte'!#REF!)-ROW('Consolidado-Eletronorte'!$G$18))</f>
      </c>
      <c r="H225" s="212" t="s">
        <v>10</v>
      </c>
      <c r="I225" s="212" t="s">
        <v>87</v>
      </c>
      <c r="J225" s="212" t="s">
        <v>5</v>
      </c>
      <c r="K225" s="213" t="s">
        <v>16</v>
      </c>
      <c r="L225" s="212" t="s">
        <v>67</v>
      </c>
      <c r="M225" s="212"/>
      <c r="N225" s="212"/>
      <c r="O225" s="212"/>
      <c r="P225" s="212"/>
      <c r="Q225" s="239" t="s">
        <v>41011</v>
      </c>
      <c r="R225" s="239" t="s">
        <v>41011</v>
      </c>
      <c r="S225" s="239" t="s">
        <v>38294</v>
      </c>
      <c r="T225" s="239" t="s">
        <v>40351</v>
      </c>
      <c r="U225" s="239" t="s">
        <v>40351</v>
      </c>
      <c r="V225" s="239" t="s">
        <v>40351</v>
      </c>
      <c r="W225" s="239" t="s">
        <v>40351</v>
      </c>
      <c r="X225" s="239" t="s">
        <v>40351</v>
      </c>
      <c r="Y225" s="239" t="s">
        <v>40351</v>
      </c>
      <c r="Z225" s="239" t="s">
        <v>40351</v>
      </c>
      <c r="AA225" s="240">
        <v>86250</v>
      </c>
      <c r="AB225" s="239" t="s">
        <v>40351</v>
      </c>
      <c r="AC225" s="239" t="s">
        <v>40351</v>
      </c>
      <c r="AD225" s="239" t="s">
        <v>40351</v>
      </c>
      <c r="AE225" s="239" t="s">
        <v>40351</v>
      </c>
      <c r="AF225" s="241">
        <f>SUM(Tabela96[[#This Row], [jan/26]:[dez/26]])</f>
      </c>
      <c r="AG225" s="240">
        <v>0</v>
      </c>
      <c r="AH225" s="240">
        <v>0</v>
      </c>
      <c r="AI225" s="240">
        <v>0</v>
      </c>
      <c r="AJ225" s="240">
        <v>0</v>
      </c>
      <c r="AK225" s="240">
        <f>SUM(Tabela96[[#This Row], [2026]:[2030]])</f>
      </c>
      <c r="AL225" s="240">
        <v>0</v>
      </c>
      <c r="AM225" s="240">
        <v>0</v>
      </c>
      <c r="AN225" s="240">
        <v>0</v>
      </c>
      <c r="AO225" s="240">
        <v>0</v>
      </c>
      <c r="AP225" s="240">
        <v>0</v>
      </c>
      <c r="AQ225" s="242">
        <f>SUM(Tabela96[[#This Row], [2026-2030]:[2035]])</f>
      </c>
      <c r="AR225" s="1"/>
      <c r="AS225" s="239" t="s">
        <v>40352</v>
      </c>
      <c r="AT225" s="247" t="s">
        <v>39970</v>
      </c>
      <c r="AU225" s="239" t="s">
        <v>41012</v>
      </c>
      <c r="AV225" s="3"/>
      <c r="AW225" s="239" t="s">
        <v>39062</v>
      </c>
      <c r="AX225" s="2"/>
      <c r="AY225" s="2"/>
      <c r="AZ225" s="239" t="s">
        <v>41013</v>
      </c>
    </row>
    <row x14ac:dyDescent="0.25" r="226" customHeight="1" ht="24.75">
      <c r="A226" s="1"/>
      <c r="B226" s="237">
        <f>AND(ISTEXT('Consolidado-Eletronorte'!#REF!),SUM('Consolidado-Eletronorte'!#REF!)&gt;0)</f>
      </c>
      <c r="C226" s="238">
        <f>$J$3</f>
      </c>
      <c r="D226" s="238">
        <f>$H$3</f>
      </c>
      <c r="E226" s="238">
        <f>$H$4</f>
      </c>
      <c r="F226" s="210"/>
      <c r="G226" s="238">
        <f>_xlfn.CONCAT('Consolidado-Eletronorte'!#REF!,"_",ROW('Consolidado-Eletronorte'!#REF!)-ROW('Consolidado-Eletronorte'!$G$18))</f>
      </c>
      <c r="H226" s="212" t="s">
        <v>10</v>
      </c>
      <c r="I226" s="212" t="s">
        <v>87</v>
      </c>
      <c r="J226" s="212" t="s">
        <v>5</v>
      </c>
      <c r="K226" s="213" t="s">
        <v>16</v>
      </c>
      <c r="L226" s="212" t="s">
        <v>67</v>
      </c>
      <c r="M226" s="212"/>
      <c r="N226" s="212"/>
      <c r="O226" s="212"/>
      <c r="P226" s="212"/>
      <c r="Q226" s="239" t="s">
        <v>41011</v>
      </c>
      <c r="R226" s="239" t="s">
        <v>41011</v>
      </c>
      <c r="S226" s="239" t="s">
        <v>38294</v>
      </c>
      <c r="T226" s="239" t="s">
        <v>40351</v>
      </c>
      <c r="U226" s="239" t="s">
        <v>40351</v>
      </c>
      <c r="V226" s="239" t="s">
        <v>40351</v>
      </c>
      <c r="W226" s="239" t="s">
        <v>40351</v>
      </c>
      <c r="X226" s="239" t="s">
        <v>40351</v>
      </c>
      <c r="Y226" s="239" t="s">
        <v>40351</v>
      </c>
      <c r="Z226" s="239" t="s">
        <v>40351</v>
      </c>
      <c r="AA226" s="240">
        <v>86250</v>
      </c>
      <c r="AB226" s="239" t="s">
        <v>40351</v>
      </c>
      <c r="AC226" s="239" t="s">
        <v>40351</v>
      </c>
      <c r="AD226" s="239" t="s">
        <v>40351</v>
      </c>
      <c r="AE226" s="239" t="s">
        <v>40351</v>
      </c>
      <c r="AF226" s="241">
        <f>SUM(Tabela96[[#This Row], [jan/26]:[dez/26]])</f>
      </c>
      <c r="AG226" s="240">
        <v>0</v>
      </c>
      <c r="AH226" s="240">
        <v>0</v>
      </c>
      <c r="AI226" s="240">
        <v>0</v>
      </c>
      <c r="AJ226" s="240">
        <v>0</v>
      </c>
      <c r="AK226" s="240">
        <f>SUM(Tabela96[[#This Row], [2026]:[2030]])</f>
      </c>
      <c r="AL226" s="240">
        <v>0</v>
      </c>
      <c r="AM226" s="240">
        <v>0</v>
      </c>
      <c r="AN226" s="240">
        <v>0</v>
      </c>
      <c r="AO226" s="240">
        <v>0</v>
      </c>
      <c r="AP226" s="240">
        <v>0</v>
      </c>
      <c r="AQ226" s="242">
        <f>SUM(Tabela96[[#This Row], [2026-2030]:[2035]])</f>
      </c>
      <c r="AR226" s="1"/>
      <c r="AS226" s="239" t="s">
        <v>40352</v>
      </c>
      <c r="AT226" s="247" t="s">
        <v>39970</v>
      </c>
      <c r="AU226" s="239" t="s">
        <v>41014</v>
      </c>
      <c r="AV226" s="3"/>
      <c r="AW226" s="239" t="s">
        <v>39062</v>
      </c>
      <c r="AX226" s="2"/>
      <c r="AY226" s="2"/>
      <c r="AZ226" s="239" t="s">
        <v>41013</v>
      </c>
    </row>
    <row x14ac:dyDescent="0.25" r="227" customHeight="1" ht="24.75">
      <c r="A227" s="1"/>
      <c r="B227" s="237">
        <f>AND(ISTEXT('Consolidado-Eletronorte'!#REF!),SUM('Consolidado-Eletronorte'!#REF!)&gt;0)</f>
      </c>
      <c r="C227" s="238">
        <f>$J$3</f>
      </c>
      <c r="D227" s="238">
        <f>$H$3</f>
      </c>
      <c r="E227" s="238">
        <f>$H$4</f>
      </c>
      <c r="F227" s="210"/>
      <c r="G227" s="238">
        <f>_xlfn.CONCAT('Consolidado-Eletronorte'!#REF!,"_",ROW('Consolidado-Eletronorte'!#REF!)-ROW('Consolidado-Eletronorte'!$G$18))</f>
      </c>
      <c r="H227" s="212" t="s">
        <v>10</v>
      </c>
      <c r="I227" s="212" t="s">
        <v>87</v>
      </c>
      <c r="J227" s="212" t="s">
        <v>5</v>
      </c>
      <c r="K227" s="213" t="s">
        <v>16</v>
      </c>
      <c r="L227" s="212" t="s">
        <v>67</v>
      </c>
      <c r="M227" s="212"/>
      <c r="N227" s="212"/>
      <c r="O227" s="212"/>
      <c r="P227" s="212"/>
      <c r="Q227" s="239" t="s">
        <v>41015</v>
      </c>
      <c r="R227" s="239" t="s">
        <v>41016</v>
      </c>
      <c r="S227" s="239" t="s">
        <v>38296</v>
      </c>
      <c r="T227" s="239" t="s">
        <v>40351</v>
      </c>
      <c r="U227" s="239" t="s">
        <v>40351</v>
      </c>
      <c r="V227" s="239" t="s">
        <v>40351</v>
      </c>
      <c r="W227" s="239" t="s">
        <v>40351</v>
      </c>
      <c r="X227" s="239" t="s">
        <v>40351</v>
      </c>
      <c r="Y227" s="239" t="s">
        <v>40351</v>
      </c>
      <c r="Z227" s="239" t="s">
        <v>40351</v>
      </c>
      <c r="AA227" s="239" t="s">
        <v>40351</v>
      </c>
      <c r="AB227" s="239" t="s">
        <v>40351</v>
      </c>
      <c r="AC227" s="239" t="s">
        <v>40351</v>
      </c>
      <c r="AD227" s="239" t="s">
        <v>40351</v>
      </c>
      <c r="AE227" s="239" t="s">
        <v>40351</v>
      </c>
      <c r="AF227" s="241">
        <f>SUM(Tabela96[[#This Row], [jan/26]:[dez/26]])</f>
      </c>
      <c r="AG227" s="240">
        <v>0</v>
      </c>
      <c r="AH227" s="240">
        <v>0</v>
      </c>
      <c r="AI227" s="240">
        <v>0</v>
      </c>
      <c r="AJ227" s="240">
        <v>0</v>
      </c>
      <c r="AK227" s="240">
        <f>SUM(Tabela96[[#This Row], [2026]:[2030]])</f>
      </c>
      <c r="AL227" s="240">
        <v>262500</v>
      </c>
      <c r="AM227" s="240">
        <v>0</v>
      </c>
      <c r="AN227" s="240">
        <v>0</v>
      </c>
      <c r="AO227" s="240">
        <v>0</v>
      </c>
      <c r="AP227" s="240">
        <v>0</v>
      </c>
      <c r="AQ227" s="242">
        <f>SUM(Tabela96[[#This Row], [2026-2030]:[2035]])</f>
      </c>
      <c r="AR227" s="1"/>
      <c r="AS227" s="239" t="s">
        <v>40352</v>
      </c>
      <c r="AT227" s="247" t="s">
        <v>39970</v>
      </c>
      <c r="AU227" s="239" t="s">
        <v>41017</v>
      </c>
      <c r="AV227" s="3"/>
      <c r="AW227" s="239" t="s">
        <v>39062</v>
      </c>
      <c r="AX227" s="2"/>
      <c r="AY227" s="2"/>
      <c r="AZ227" s="239" t="s">
        <v>41013</v>
      </c>
    </row>
    <row x14ac:dyDescent="0.25" r="228" customHeight="1" ht="24.75">
      <c r="A228" s="1"/>
      <c r="B228" s="237">
        <f>AND(ISTEXT('Consolidado-Eletronorte'!#REF!),SUM('Consolidado-Eletronorte'!#REF!)&gt;0)</f>
      </c>
      <c r="C228" s="238">
        <f>$J$3</f>
      </c>
      <c r="D228" s="238">
        <f>$H$3</f>
      </c>
      <c r="E228" s="238">
        <f>$H$4</f>
      </c>
      <c r="F228" s="210"/>
      <c r="G228" s="238">
        <f>_xlfn.CONCAT('Consolidado-Eletronorte'!#REF!,"_",ROW('Consolidado-Eletronorte'!#REF!)-ROW('Consolidado-Eletronorte'!$G$18))</f>
      </c>
      <c r="H228" s="212" t="s">
        <v>10</v>
      </c>
      <c r="I228" s="212" t="s">
        <v>87</v>
      </c>
      <c r="J228" s="212" t="s">
        <v>5</v>
      </c>
      <c r="K228" s="213" t="s">
        <v>16</v>
      </c>
      <c r="L228" s="212" t="s">
        <v>67</v>
      </c>
      <c r="M228" s="212"/>
      <c r="N228" s="212"/>
      <c r="O228" s="212"/>
      <c r="P228" s="212"/>
      <c r="Q228" s="239" t="s">
        <v>41015</v>
      </c>
      <c r="R228" s="239" t="s">
        <v>41018</v>
      </c>
      <c r="S228" s="239" t="s">
        <v>38296</v>
      </c>
      <c r="T228" s="239" t="s">
        <v>40351</v>
      </c>
      <c r="U228" s="239" t="s">
        <v>40351</v>
      </c>
      <c r="V228" s="239" t="s">
        <v>40351</v>
      </c>
      <c r="W228" s="239" t="s">
        <v>40351</v>
      </c>
      <c r="X228" s="239" t="s">
        <v>40351</v>
      </c>
      <c r="Y228" s="239" t="s">
        <v>40351</v>
      </c>
      <c r="Z228" s="239" t="s">
        <v>40351</v>
      </c>
      <c r="AA228" s="239" t="s">
        <v>40351</v>
      </c>
      <c r="AB228" s="239" t="s">
        <v>40351</v>
      </c>
      <c r="AC228" s="239" t="s">
        <v>40351</v>
      </c>
      <c r="AD228" s="239" t="s">
        <v>40351</v>
      </c>
      <c r="AE228" s="239" t="s">
        <v>40351</v>
      </c>
      <c r="AF228" s="241">
        <f>SUM(Tabela96[[#This Row], [jan/26]:[dez/26]])</f>
      </c>
      <c r="AG228" s="240">
        <v>0</v>
      </c>
      <c r="AH228" s="240">
        <v>0</v>
      </c>
      <c r="AI228" s="240">
        <v>0</v>
      </c>
      <c r="AJ228" s="240">
        <v>0</v>
      </c>
      <c r="AK228" s="240">
        <f>SUM(Tabela96[[#This Row], [2026]:[2030]])</f>
      </c>
      <c r="AL228" s="240">
        <v>262500</v>
      </c>
      <c r="AM228" s="240">
        <v>0</v>
      </c>
      <c r="AN228" s="240">
        <v>0</v>
      </c>
      <c r="AO228" s="240">
        <v>0</v>
      </c>
      <c r="AP228" s="240">
        <v>0</v>
      </c>
      <c r="AQ228" s="242">
        <f>SUM(Tabela96[[#This Row], [2026-2030]:[2035]])</f>
      </c>
      <c r="AR228" s="1"/>
      <c r="AS228" s="239" t="s">
        <v>40352</v>
      </c>
      <c r="AT228" s="247" t="s">
        <v>39970</v>
      </c>
      <c r="AU228" s="239" t="s">
        <v>41019</v>
      </c>
      <c r="AV228" s="3"/>
      <c r="AW228" s="239" t="s">
        <v>39062</v>
      </c>
      <c r="AX228" s="2"/>
      <c r="AY228" s="2"/>
      <c r="AZ228" s="239" t="s">
        <v>41013</v>
      </c>
    </row>
    <row x14ac:dyDescent="0.25" r="229" customHeight="1" ht="24.75">
      <c r="A229" s="1"/>
      <c r="B229" s="237">
        <f>AND(ISTEXT('Consolidado-Eletronorte'!#REF!),SUM('Consolidado-Eletronorte'!#REF!)&gt;0)</f>
      </c>
      <c r="C229" s="238">
        <f>$J$3</f>
      </c>
      <c r="D229" s="238">
        <f>$H$3</f>
      </c>
      <c r="E229" s="238">
        <f>$H$4</f>
      </c>
      <c r="F229" s="210"/>
      <c r="G229" s="238">
        <f>_xlfn.CONCAT('Consolidado-Eletronorte'!#REF!,"_",ROW('Consolidado-Eletronorte'!#REF!)-ROW('Consolidado-Eletronorte'!$G$18))</f>
      </c>
      <c r="H229" s="212" t="s">
        <v>10</v>
      </c>
      <c r="I229" s="212" t="s">
        <v>87</v>
      </c>
      <c r="J229" s="212" t="s">
        <v>5</v>
      </c>
      <c r="K229" s="213" t="s">
        <v>16</v>
      </c>
      <c r="L229" s="212" t="s">
        <v>67</v>
      </c>
      <c r="M229" s="212"/>
      <c r="N229" s="212"/>
      <c r="O229" s="212"/>
      <c r="P229" s="212"/>
      <c r="Q229" s="239" t="s">
        <v>41015</v>
      </c>
      <c r="R229" s="239" t="s">
        <v>41020</v>
      </c>
      <c r="S229" s="239" t="s">
        <v>38296</v>
      </c>
      <c r="T229" s="239" t="s">
        <v>40351</v>
      </c>
      <c r="U229" s="239" t="s">
        <v>40351</v>
      </c>
      <c r="V229" s="239" t="s">
        <v>40351</v>
      </c>
      <c r="W229" s="239" t="s">
        <v>40351</v>
      </c>
      <c r="X229" s="239" t="s">
        <v>40351</v>
      </c>
      <c r="Y229" s="239" t="s">
        <v>40351</v>
      </c>
      <c r="Z229" s="239" t="s">
        <v>40351</v>
      </c>
      <c r="AA229" s="239" t="s">
        <v>40351</v>
      </c>
      <c r="AB229" s="239" t="s">
        <v>40351</v>
      </c>
      <c r="AC229" s="239" t="s">
        <v>40351</v>
      </c>
      <c r="AD229" s="239" t="s">
        <v>40351</v>
      </c>
      <c r="AE229" s="239" t="s">
        <v>40351</v>
      </c>
      <c r="AF229" s="241">
        <f>SUM(Tabela96[[#This Row], [jan/26]:[dez/26]])</f>
      </c>
      <c r="AG229" s="240">
        <v>0</v>
      </c>
      <c r="AH229" s="240">
        <v>0</v>
      </c>
      <c r="AI229" s="240">
        <v>0</v>
      </c>
      <c r="AJ229" s="240">
        <v>0</v>
      </c>
      <c r="AK229" s="240">
        <f>SUM(Tabela96[[#This Row], [2026]:[2030]])</f>
      </c>
      <c r="AL229" s="240">
        <v>105000</v>
      </c>
      <c r="AM229" s="240">
        <v>0</v>
      </c>
      <c r="AN229" s="240">
        <v>0</v>
      </c>
      <c r="AO229" s="240">
        <v>0</v>
      </c>
      <c r="AP229" s="240">
        <v>0</v>
      </c>
      <c r="AQ229" s="242">
        <f>SUM(Tabela96[[#This Row], [2026-2030]:[2035]])</f>
      </c>
      <c r="AR229" s="1"/>
      <c r="AS229" s="239" t="s">
        <v>40352</v>
      </c>
      <c r="AT229" s="247" t="s">
        <v>39970</v>
      </c>
      <c r="AU229" s="239" t="s">
        <v>41021</v>
      </c>
      <c r="AV229" s="3"/>
      <c r="AW229" s="239" t="s">
        <v>39062</v>
      </c>
      <c r="AX229" s="2"/>
      <c r="AY229" s="2"/>
      <c r="AZ229" s="239" t="s">
        <v>41013</v>
      </c>
    </row>
    <row x14ac:dyDescent="0.25" r="230" customHeight="1" ht="24.75">
      <c r="A230" s="1"/>
      <c r="B230" s="237">
        <f>AND(ISTEXT('Consolidado-Eletronorte'!#REF!),SUM('Consolidado-Eletronorte'!#REF!)&gt;0)</f>
      </c>
      <c r="C230" s="238">
        <f>$J$3</f>
      </c>
      <c r="D230" s="238">
        <f>$H$3</f>
      </c>
      <c r="E230" s="238">
        <f>$H$4</f>
      </c>
      <c r="F230" s="210"/>
      <c r="G230" s="238">
        <f>_xlfn.CONCAT('Consolidado-Eletronorte'!#REF!,"_",ROW('Consolidado-Eletronorte'!#REF!)-ROW('Consolidado-Eletronorte'!$G$18))</f>
      </c>
      <c r="H230" s="212" t="s">
        <v>10</v>
      </c>
      <c r="I230" s="212" t="s">
        <v>87</v>
      </c>
      <c r="J230" s="212" t="s">
        <v>5</v>
      </c>
      <c r="K230" s="213" t="s">
        <v>16</v>
      </c>
      <c r="L230" s="212" t="s">
        <v>67</v>
      </c>
      <c r="M230" s="212"/>
      <c r="N230" s="212"/>
      <c r="O230" s="212"/>
      <c r="P230" s="212"/>
      <c r="Q230" s="239" t="s">
        <v>41015</v>
      </c>
      <c r="R230" s="239" t="s">
        <v>41022</v>
      </c>
      <c r="S230" s="239" t="s">
        <v>38296</v>
      </c>
      <c r="T230" s="239" t="s">
        <v>40351</v>
      </c>
      <c r="U230" s="239" t="s">
        <v>40351</v>
      </c>
      <c r="V230" s="239" t="s">
        <v>40351</v>
      </c>
      <c r="W230" s="239" t="s">
        <v>40351</v>
      </c>
      <c r="X230" s="239" t="s">
        <v>40351</v>
      </c>
      <c r="Y230" s="239" t="s">
        <v>40351</v>
      </c>
      <c r="Z230" s="239" t="s">
        <v>40351</v>
      </c>
      <c r="AA230" s="239" t="s">
        <v>40351</v>
      </c>
      <c r="AB230" s="239" t="s">
        <v>40351</v>
      </c>
      <c r="AC230" s="239" t="s">
        <v>40351</v>
      </c>
      <c r="AD230" s="239" t="s">
        <v>40351</v>
      </c>
      <c r="AE230" s="239" t="s">
        <v>40351</v>
      </c>
      <c r="AF230" s="241">
        <f>SUM(Tabela96[[#This Row], [jan/26]:[dez/26]])</f>
      </c>
      <c r="AG230" s="240">
        <v>0</v>
      </c>
      <c r="AH230" s="240">
        <v>0</v>
      </c>
      <c r="AI230" s="240">
        <v>0</v>
      </c>
      <c r="AJ230" s="240">
        <v>0</v>
      </c>
      <c r="AK230" s="240">
        <f>SUM(Tabela96[[#This Row], [2026]:[2030]])</f>
      </c>
      <c r="AL230" s="240">
        <v>105000</v>
      </c>
      <c r="AM230" s="240">
        <v>0</v>
      </c>
      <c r="AN230" s="240">
        <v>0</v>
      </c>
      <c r="AO230" s="240">
        <v>0</v>
      </c>
      <c r="AP230" s="240">
        <v>0</v>
      </c>
      <c r="AQ230" s="242">
        <f>SUM(Tabela96[[#This Row], [2026-2030]:[2035]])</f>
      </c>
      <c r="AR230" s="1"/>
      <c r="AS230" s="239" t="s">
        <v>40352</v>
      </c>
      <c r="AT230" s="247" t="s">
        <v>39970</v>
      </c>
      <c r="AU230" s="239" t="s">
        <v>41023</v>
      </c>
      <c r="AV230" s="3"/>
      <c r="AW230" s="239" t="s">
        <v>39062</v>
      </c>
      <c r="AX230" s="2"/>
      <c r="AY230" s="2"/>
      <c r="AZ230" s="239" t="s">
        <v>41013</v>
      </c>
    </row>
    <row x14ac:dyDescent="0.25" r="231" customHeight="1" ht="24.75">
      <c r="A231" s="1"/>
      <c r="B231" s="237">
        <f>AND(ISTEXT('Consolidado-Eletronorte'!#REF!),SUM('Consolidado-Eletronorte'!#REF!)&gt;0)</f>
      </c>
      <c r="C231" s="238">
        <f>$J$3</f>
      </c>
      <c r="D231" s="238">
        <f>$H$3</f>
      </c>
      <c r="E231" s="238">
        <f>$H$4</f>
      </c>
      <c r="F231" s="210"/>
      <c r="G231" s="238">
        <f>_xlfn.CONCAT('Consolidado-Eletronorte'!#REF!,"_",ROW('Consolidado-Eletronorte'!#REF!)-ROW('Consolidado-Eletronorte'!$G$18))</f>
      </c>
      <c r="H231" s="212" t="s">
        <v>10</v>
      </c>
      <c r="I231" s="212" t="s">
        <v>87</v>
      </c>
      <c r="J231" s="212" t="s">
        <v>5</v>
      </c>
      <c r="K231" s="213" t="s">
        <v>16</v>
      </c>
      <c r="L231" s="212" t="s">
        <v>67</v>
      </c>
      <c r="M231" s="212"/>
      <c r="N231" s="212"/>
      <c r="O231" s="212"/>
      <c r="P231" s="212"/>
      <c r="Q231" s="239" t="s">
        <v>41015</v>
      </c>
      <c r="R231" s="239" t="s">
        <v>41024</v>
      </c>
      <c r="S231" s="239" t="s">
        <v>38296</v>
      </c>
      <c r="T231" s="239" t="s">
        <v>40351</v>
      </c>
      <c r="U231" s="239" t="s">
        <v>40351</v>
      </c>
      <c r="V231" s="239" t="s">
        <v>40351</v>
      </c>
      <c r="W231" s="239" t="s">
        <v>40351</v>
      </c>
      <c r="X231" s="239" t="s">
        <v>40351</v>
      </c>
      <c r="Y231" s="239" t="s">
        <v>40351</v>
      </c>
      <c r="Z231" s="239" t="s">
        <v>40351</v>
      </c>
      <c r="AA231" s="239" t="s">
        <v>40351</v>
      </c>
      <c r="AB231" s="239" t="s">
        <v>40351</v>
      </c>
      <c r="AC231" s="239" t="s">
        <v>40351</v>
      </c>
      <c r="AD231" s="239" t="s">
        <v>40351</v>
      </c>
      <c r="AE231" s="239" t="s">
        <v>40351</v>
      </c>
      <c r="AF231" s="241">
        <f>SUM(Tabela96[[#This Row], [jan/26]:[dez/26]])</f>
      </c>
      <c r="AG231" s="240">
        <v>0</v>
      </c>
      <c r="AH231" s="240">
        <v>0</v>
      </c>
      <c r="AI231" s="240">
        <v>0</v>
      </c>
      <c r="AJ231" s="240">
        <v>0</v>
      </c>
      <c r="AK231" s="240">
        <f>SUM(Tabela96[[#This Row], [2026]:[2030]])</f>
      </c>
      <c r="AL231" s="240">
        <v>157500</v>
      </c>
      <c r="AM231" s="240">
        <v>0</v>
      </c>
      <c r="AN231" s="240">
        <v>0</v>
      </c>
      <c r="AO231" s="240">
        <v>0</v>
      </c>
      <c r="AP231" s="240">
        <v>0</v>
      </c>
      <c r="AQ231" s="242">
        <f>SUM(Tabela96[[#This Row], [2026-2030]:[2035]])</f>
      </c>
      <c r="AR231" s="1"/>
      <c r="AS231" s="239" t="s">
        <v>40352</v>
      </c>
      <c r="AT231" s="247" t="s">
        <v>39970</v>
      </c>
      <c r="AU231" s="239" t="s">
        <v>41025</v>
      </c>
      <c r="AV231" s="3"/>
      <c r="AW231" s="239" t="s">
        <v>39062</v>
      </c>
      <c r="AX231" s="2"/>
      <c r="AY231" s="2"/>
      <c r="AZ231" s="239" t="s">
        <v>41013</v>
      </c>
    </row>
    <row x14ac:dyDescent="0.25" r="232" customHeight="1" ht="24.75">
      <c r="A232" s="1"/>
      <c r="B232" s="237">
        <f>AND(ISTEXT('Consolidado-Eletronorte'!#REF!),SUM('Consolidado-Eletronorte'!#REF!)&gt;0)</f>
      </c>
      <c r="C232" s="238">
        <f>$J$3</f>
      </c>
      <c r="D232" s="238">
        <f>$H$3</f>
      </c>
      <c r="E232" s="238">
        <f>$H$4</f>
      </c>
      <c r="F232" s="210"/>
      <c r="G232" s="238">
        <f>_xlfn.CONCAT('Consolidado-Eletronorte'!#REF!,"_",ROW('Consolidado-Eletronorte'!#REF!)-ROW('Consolidado-Eletronorte'!$G$18))</f>
      </c>
      <c r="H232" s="212" t="s">
        <v>10</v>
      </c>
      <c r="I232" s="212" t="s">
        <v>87</v>
      </c>
      <c r="J232" s="212" t="s">
        <v>5</v>
      </c>
      <c r="K232" s="213" t="s">
        <v>16</v>
      </c>
      <c r="L232" s="212" t="s">
        <v>67</v>
      </c>
      <c r="M232" s="212"/>
      <c r="N232" s="212"/>
      <c r="O232" s="212"/>
      <c r="P232" s="212"/>
      <c r="Q232" s="239" t="s">
        <v>41026</v>
      </c>
      <c r="R232" s="239" t="s">
        <v>41016</v>
      </c>
      <c r="S232" s="239" t="s">
        <v>38290</v>
      </c>
      <c r="T232" s="239" t="s">
        <v>40351</v>
      </c>
      <c r="U232" s="239" t="s">
        <v>40351</v>
      </c>
      <c r="V232" s="239" t="s">
        <v>40351</v>
      </c>
      <c r="W232" s="239" t="s">
        <v>40351</v>
      </c>
      <c r="X232" s="239" t="s">
        <v>40351</v>
      </c>
      <c r="Y232" s="239" t="s">
        <v>40351</v>
      </c>
      <c r="Z232" s="239" t="s">
        <v>40351</v>
      </c>
      <c r="AA232" s="239" t="s">
        <v>40351</v>
      </c>
      <c r="AB232" s="239" t="s">
        <v>40351</v>
      </c>
      <c r="AC232" s="239" t="s">
        <v>40351</v>
      </c>
      <c r="AD232" s="239" t="s">
        <v>40351</v>
      </c>
      <c r="AE232" s="239" t="s">
        <v>40351</v>
      </c>
      <c r="AF232" s="241">
        <f>SUM(Tabela96[[#This Row], [jan/26]:[dez/26]])</f>
      </c>
      <c r="AG232" s="240">
        <v>0</v>
      </c>
      <c r="AH232" s="240">
        <v>0</v>
      </c>
      <c r="AI232" s="240">
        <v>0</v>
      </c>
      <c r="AJ232" s="240">
        <v>0</v>
      </c>
      <c r="AK232" s="240">
        <f>SUM(Tabela96[[#This Row], [2026]:[2030]])</f>
      </c>
      <c r="AL232" s="240">
        <v>262500</v>
      </c>
      <c r="AM232" s="240">
        <v>0</v>
      </c>
      <c r="AN232" s="240">
        <v>0</v>
      </c>
      <c r="AO232" s="240">
        <v>0</v>
      </c>
      <c r="AP232" s="240">
        <v>0</v>
      </c>
      <c r="AQ232" s="242">
        <f>SUM(Tabela96[[#This Row], [2026-2030]:[2035]])</f>
      </c>
      <c r="AR232" s="1"/>
      <c r="AS232" s="239" t="s">
        <v>40352</v>
      </c>
      <c r="AT232" s="247" t="s">
        <v>39970</v>
      </c>
      <c r="AU232" s="239" t="s">
        <v>41027</v>
      </c>
      <c r="AV232" s="3"/>
      <c r="AW232" s="239" t="s">
        <v>39062</v>
      </c>
      <c r="AX232" s="2"/>
      <c r="AY232" s="2"/>
      <c r="AZ232" s="239" t="s">
        <v>41013</v>
      </c>
    </row>
    <row x14ac:dyDescent="0.25" r="233" customHeight="1" ht="24.75">
      <c r="A233" s="1"/>
      <c r="B233" s="237">
        <f>AND(ISTEXT('Consolidado-Eletronorte'!#REF!),SUM('Consolidado-Eletronorte'!#REF!)&gt;0)</f>
      </c>
      <c r="C233" s="238">
        <f>$J$3</f>
      </c>
      <c r="D233" s="238">
        <f>$H$3</f>
      </c>
      <c r="E233" s="238">
        <f>$H$4</f>
      </c>
      <c r="F233" s="210"/>
      <c r="G233" s="238">
        <f>_xlfn.CONCAT('Consolidado-Eletronorte'!#REF!,"_",ROW('Consolidado-Eletronorte'!#REF!)-ROW('Consolidado-Eletronorte'!$G$18))</f>
      </c>
      <c r="H233" s="212" t="s">
        <v>10</v>
      </c>
      <c r="I233" s="212" t="s">
        <v>87</v>
      </c>
      <c r="J233" s="212" t="s">
        <v>5</v>
      </c>
      <c r="K233" s="213" t="s">
        <v>16</v>
      </c>
      <c r="L233" s="212" t="s">
        <v>67</v>
      </c>
      <c r="M233" s="212"/>
      <c r="N233" s="212"/>
      <c r="O233" s="212"/>
      <c r="P233" s="212"/>
      <c r="Q233" s="239" t="s">
        <v>41026</v>
      </c>
      <c r="R233" s="239" t="s">
        <v>41018</v>
      </c>
      <c r="S233" s="239" t="s">
        <v>38290</v>
      </c>
      <c r="T233" s="239" t="s">
        <v>40351</v>
      </c>
      <c r="U233" s="239" t="s">
        <v>40351</v>
      </c>
      <c r="V233" s="239" t="s">
        <v>40351</v>
      </c>
      <c r="W233" s="239" t="s">
        <v>40351</v>
      </c>
      <c r="X233" s="239" t="s">
        <v>40351</v>
      </c>
      <c r="Y233" s="239" t="s">
        <v>40351</v>
      </c>
      <c r="Z233" s="239" t="s">
        <v>40351</v>
      </c>
      <c r="AA233" s="239" t="s">
        <v>40351</v>
      </c>
      <c r="AB233" s="239" t="s">
        <v>40351</v>
      </c>
      <c r="AC233" s="239" t="s">
        <v>40351</v>
      </c>
      <c r="AD233" s="239" t="s">
        <v>40351</v>
      </c>
      <c r="AE233" s="239" t="s">
        <v>40351</v>
      </c>
      <c r="AF233" s="241">
        <f>SUM(Tabela96[[#This Row], [jan/26]:[dez/26]])</f>
      </c>
      <c r="AG233" s="240">
        <v>0</v>
      </c>
      <c r="AH233" s="240">
        <v>0</v>
      </c>
      <c r="AI233" s="240">
        <v>0</v>
      </c>
      <c r="AJ233" s="240">
        <v>0</v>
      </c>
      <c r="AK233" s="240">
        <f>SUM(Tabela96[[#This Row], [2026]:[2030]])</f>
      </c>
      <c r="AL233" s="240">
        <v>262500</v>
      </c>
      <c r="AM233" s="240">
        <v>0</v>
      </c>
      <c r="AN233" s="240">
        <v>0</v>
      </c>
      <c r="AO233" s="240">
        <v>0</v>
      </c>
      <c r="AP233" s="240">
        <v>0</v>
      </c>
      <c r="AQ233" s="242">
        <f>SUM(Tabela96[[#This Row], [2026-2030]:[2035]])</f>
      </c>
      <c r="AR233" s="1"/>
      <c r="AS233" s="239" t="s">
        <v>40352</v>
      </c>
      <c r="AT233" s="247" t="s">
        <v>39970</v>
      </c>
      <c r="AU233" s="239" t="s">
        <v>41028</v>
      </c>
      <c r="AV233" s="3"/>
      <c r="AW233" s="239" t="s">
        <v>39062</v>
      </c>
      <c r="AX233" s="2"/>
      <c r="AY233" s="2"/>
      <c r="AZ233" s="239" t="s">
        <v>41013</v>
      </c>
    </row>
    <row x14ac:dyDescent="0.25" r="234" customHeight="1" ht="24.75">
      <c r="A234" s="1"/>
      <c r="B234" s="237">
        <f>AND(ISTEXT('Consolidado-Eletronorte'!#REF!),SUM('Consolidado-Eletronorte'!#REF!)&gt;0)</f>
      </c>
      <c r="C234" s="238">
        <f>$J$3</f>
      </c>
      <c r="D234" s="238">
        <f>$H$3</f>
      </c>
      <c r="E234" s="238">
        <f>$H$4</f>
      </c>
      <c r="F234" s="210"/>
      <c r="G234" s="238">
        <f>_xlfn.CONCAT('Consolidado-Eletronorte'!#REF!,"_",ROW('Consolidado-Eletronorte'!#REF!)-ROW('Consolidado-Eletronorte'!$G$18))</f>
      </c>
      <c r="H234" s="212" t="s">
        <v>10</v>
      </c>
      <c r="I234" s="212" t="s">
        <v>87</v>
      </c>
      <c r="J234" s="212" t="s">
        <v>5</v>
      </c>
      <c r="K234" s="213" t="s">
        <v>16</v>
      </c>
      <c r="L234" s="212" t="s">
        <v>67</v>
      </c>
      <c r="M234" s="212"/>
      <c r="N234" s="212"/>
      <c r="O234" s="212"/>
      <c r="P234" s="212"/>
      <c r="Q234" s="239" t="s">
        <v>41026</v>
      </c>
      <c r="R234" s="239" t="s">
        <v>41020</v>
      </c>
      <c r="S234" s="239" t="s">
        <v>38290</v>
      </c>
      <c r="T234" s="239" t="s">
        <v>40351</v>
      </c>
      <c r="U234" s="239" t="s">
        <v>40351</v>
      </c>
      <c r="V234" s="239" t="s">
        <v>40351</v>
      </c>
      <c r="W234" s="239" t="s">
        <v>40351</v>
      </c>
      <c r="X234" s="239" t="s">
        <v>40351</v>
      </c>
      <c r="Y234" s="239" t="s">
        <v>40351</v>
      </c>
      <c r="Z234" s="239" t="s">
        <v>40351</v>
      </c>
      <c r="AA234" s="239" t="s">
        <v>40351</v>
      </c>
      <c r="AB234" s="239" t="s">
        <v>40351</v>
      </c>
      <c r="AC234" s="239" t="s">
        <v>40351</v>
      </c>
      <c r="AD234" s="239" t="s">
        <v>40351</v>
      </c>
      <c r="AE234" s="239" t="s">
        <v>40351</v>
      </c>
      <c r="AF234" s="241">
        <f>SUM(Tabela96[[#This Row], [jan/26]:[dez/26]])</f>
      </c>
      <c r="AG234" s="240">
        <v>0</v>
      </c>
      <c r="AH234" s="240">
        <v>0</v>
      </c>
      <c r="AI234" s="240">
        <v>0</v>
      </c>
      <c r="AJ234" s="240">
        <v>0</v>
      </c>
      <c r="AK234" s="240">
        <f>SUM(Tabela96[[#This Row], [2026]:[2030]])</f>
      </c>
      <c r="AL234" s="240">
        <v>105000</v>
      </c>
      <c r="AM234" s="240">
        <v>0</v>
      </c>
      <c r="AN234" s="240">
        <v>0</v>
      </c>
      <c r="AO234" s="240">
        <v>0</v>
      </c>
      <c r="AP234" s="240">
        <v>0</v>
      </c>
      <c r="AQ234" s="242">
        <f>SUM(Tabela96[[#This Row], [2026-2030]:[2035]])</f>
      </c>
      <c r="AR234" s="1"/>
      <c r="AS234" s="239" t="s">
        <v>40352</v>
      </c>
      <c r="AT234" s="247" t="s">
        <v>39970</v>
      </c>
      <c r="AU234" s="239" t="s">
        <v>41029</v>
      </c>
      <c r="AV234" s="3"/>
      <c r="AW234" s="239" t="s">
        <v>39062</v>
      </c>
      <c r="AX234" s="2"/>
      <c r="AY234" s="2"/>
      <c r="AZ234" s="239" t="s">
        <v>41013</v>
      </c>
    </row>
    <row x14ac:dyDescent="0.25" r="235" customHeight="1" ht="24.75">
      <c r="A235" s="1"/>
      <c r="B235" s="237">
        <f>AND(ISTEXT('Consolidado-Eletronorte'!#REF!),SUM('Consolidado-Eletronorte'!#REF!)&gt;0)</f>
      </c>
      <c r="C235" s="238">
        <f>$J$3</f>
      </c>
      <c r="D235" s="238">
        <f>$H$3</f>
      </c>
      <c r="E235" s="238">
        <f>$H$4</f>
      </c>
      <c r="F235" s="210"/>
      <c r="G235" s="238">
        <f>_xlfn.CONCAT('Consolidado-Eletronorte'!#REF!,"_",ROW('Consolidado-Eletronorte'!#REF!)-ROW('Consolidado-Eletronorte'!$G$18))</f>
      </c>
      <c r="H235" s="212" t="s">
        <v>10</v>
      </c>
      <c r="I235" s="212" t="s">
        <v>87</v>
      </c>
      <c r="J235" s="212" t="s">
        <v>5</v>
      </c>
      <c r="K235" s="213" t="s">
        <v>16</v>
      </c>
      <c r="L235" s="212" t="s">
        <v>67</v>
      </c>
      <c r="M235" s="212"/>
      <c r="N235" s="212"/>
      <c r="O235" s="212"/>
      <c r="P235" s="212"/>
      <c r="Q235" s="239" t="s">
        <v>41026</v>
      </c>
      <c r="R235" s="239" t="s">
        <v>41022</v>
      </c>
      <c r="S235" s="239" t="s">
        <v>38290</v>
      </c>
      <c r="T235" s="239" t="s">
        <v>40351</v>
      </c>
      <c r="U235" s="239" t="s">
        <v>40351</v>
      </c>
      <c r="V235" s="239" t="s">
        <v>40351</v>
      </c>
      <c r="W235" s="239" t="s">
        <v>40351</v>
      </c>
      <c r="X235" s="239" t="s">
        <v>40351</v>
      </c>
      <c r="Y235" s="239" t="s">
        <v>40351</v>
      </c>
      <c r="Z235" s="239" t="s">
        <v>40351</v>
      </c>
      <c r="AA235" s="239" t="s">
        <v>40351</v>
      </c>
      <c r="AB235" s="239" t="s">
        <v>40351</v>
      </c>
      <c r="AC235" s="239" t="s">
        <v>40351</v>
      </c>
      <c r="AD235" s="239" t="s">
        <v>40351</v>
      </c>
      <c r="AE235" s="239" t="s">
        <v>40351</v>
      </c>
      <c r="AF235" s="241">
        <f>SUM(Tabela96[[#This Row], [jan/26]:[dez/26]])</f>
      </c>
      <c r="AG235" s="240">
        <v>0</v>
      </c>
      <c r="AH235" s="240">
        <v>0</v>
      </c>
      <c r="AI235" s="240">
        <v>0</v>
      </c>
      <c r="AJ235" s="240">
        <v>0</v>
      </c>
      <c r="AK235" s="240">
        <f>SUM(Tabela96[[#This Row], [2026]:[2030]])</f>
      </c>
      <c r="AL235" s="240">
        <v>105000</v>
      </c>
      <c r="AM235" s="240">
        <v>0</v>
      </c>
      <c r="AN235" s="240">
        <v>0</v>
      </c>
      <c r="AO235" s="240">
        <v>0</v>
      </c>
      <c r="AP235" s="240">
        <v>0</v>
      </c>
      <c r="AQ235" s="242">
        <f>SUM(Tabela96[[#This Row], [2026-2030]:[2035]])</f>
      </c>
      <c r="AR235" s="1"/>
      <c r="AS235" s="239" t="s">
        <v>40352</v>
      </c>
      <c r="AT235" s="247" t="s">
        <v>39970</v>
      </c>
      <c r="AU235" s="239" t="s">
        <v>41030</v>
      </c>
      <c r="AV235" s="3"/>
      <c r="AW235" s="239" t="s">
        <v>39062</v>
      </c>
      <c r="AX235" s="2"/>
      <c r="AY235" s="2"/>
      <c r="AZ235" s="239" t="s">
        <v>41013</v>
      </c>
    </row>
    <row x14ac:dyDescent="0.25" r="236" customHeight="1" ht="24.75">
      <c r="A236" s="1"/>
      <c r="B236" s="237">
        <f>AND(ISTEXT('Consolidado-Eletronorte'!#REF!),SUM('Consolidado-Eletronorte'!#REF!)&gt;0)</f>
      </c>
      <c r="C236" s="238">
        <f>$J$3</f>
      </c>
      <c r="D236" s="238">
        <f>$H$3</f>
      </c>
      <c r="E236" s="238">
        <f>$H$4</f>
      </c>
      <c r="F236" s="210"/>
      <c r="G236" s="238">
        <f>_xlfn.CONCAT('Consolidado-Eletronorte'!#REF!,"_",ROW('Consolidado-Eletronorte'!#REF!)-ROW('Consolidado-Eletronorte'!$G$18))</f>
      </c>
      <c r="H236" s="212" t="s">
        <v>10</v>
      </c>
      <c r="I236" s="212" t="s">
        <v>87</v>
      </c>
      <c r="J236" s="212" t="s">
        <v>5</v>
      </c>
      <c r="K236" s="213" t="s">
        <v>16</v>
      </c>
      <c r="L236" s="212" t="s">
        <v>67</v>
      </c>
      <c r="M236" s="212"/>
      <c r="N236" s="212"/>
      <c r="O236" s="212"/>
      <c r="P236" s="212"/>
      <c r="Q236" s="239" t="s">
        <v>41026</v>
      </c>
      <c r="R236" s="239" t="s">
        <v>41024</v>
      </c>
      <c r="S236" s="239" t="s">
        <v>38290</v>
      </c>
      <c r="T236" s="239" t="s">
        <v>40351</v>
      </c>
      <c r="U236" s="239" t="s">
        <v>40351</v>
      </c>
      <c r="V236" s="239" t="s">
        <v>40351</v>
      </c>
      <c r="W236" s="239" t="s">
        <v>40351</v>
      </c>
      <c r="X236" s="239" t="s">
        <v>40351</v>
      </c>
      <c r="Y236" s="239" t="s">
        <v>40351</v>
      </c>
      <c r="Z236" s="239" t="s">
        <v>40351</v>
      </c>
      <c r="AA236" s="239" t="s">
        <v>40351</v>
      </c>
      <c r="AB236" s="239" t="s">
        <v>40351</v>
      </c>
      <c r="AC236" s="239" t="s">
        <v>40351</v>
      </c>
      <c r="AD236" s="239" t="s">
        <v>40351</v>
      </c>
      <c r="AE236" s="239" t="s">
        <v>40351</v>
      </c>
      <c r="AF236" s="241">
        <f>SUM(Tabela96[[#This Row], [jan/26]:[dez/26]])</f>
      </c>
      <c r="AG236" s="240">
        <v>0</v>
      </c>
      <c r="AH236" s="240">
        <v>0</v>
      </c>
      <c r="AI236" s="240">
        <v>0</v>
      </c>
      <c r="AJ236" s="240">
        <v>0</v>
      </c>
      <c r="AK236" s="240">
        <f>SUM(Tabela96[[#This Row], [2026]:[2030]])</f>
      </c>
      <c r="AL236" s="240">
        <v>157500</v>
      </c>
      <c r="AM236" s="240">
        <v>0</v>
      </c>
      <c r="AN236" s="240">
        <v>0</v>
      </c>
      <c r="AO236" s="240">
        <v>0</v>
      </c>
      <c r="AP236" s="240">
        <v>0</v>
      </c>
      <c r="AQ236" s="242">
        <f>SUM(Tabela96[[#This Row], [2026-2030]:[2035]])</f>
      </c>
      <c r="AR236" s="1"/>
      <c r="AS236" s="239" t="s">
        <v>40352</v>
      </c>
      <c r="AT236" s="247" t="s">
        <v>39970</v>
      </c>
      <c r="AU236" s="239" t="s">
        <v>41031</v>
      </c>
      <c r="AV236" s="3"/>
      <c r="AW236" s="239" t="s">
        <v>39062</v>
      </c>
      <c r="AX236" s="2"/>
      <c r="AY236" s="2"/>
      <c r="AZ236" s="239" t="s">
        <v>41013</v>
      </c>
    </row>
    <row x14ac:dyDescent="0.25" r="237" customHeight="1" ht="24.75">
      <c r="A237" s="1"/>
      <c r="B237" s="237">
        <f>AND(ISTEXT('Consolidado-Eletronorte'!#REF!),SUM('Consolidado-Eletronorte'!#REF!)&gt;0)</f>
      </c>
      <c r="C237" s="238">
        <f>$J$3</f>
      </c>
      <c r="D237" s="238">
        <f>$H$3</f>
      </c>
      <c r="E237" s="238">
        <f>$H$4</f>
      </c>
      <c r="F237" s="210"/>
      <c r="G237" s="238">
        <f>_xlfn.CONCAT('Consolidado-Eletronorte'!#REF!,"_",ROW('Consolidado-Eletronorte'!#REF!)-ROW('Consolidado-Eletronorte'!$G$18))</f>
      </c>
      <c r="H237" s="212" t="s">
        <v>10</v>
      </c>
      <c r="I237" s="212" t="s">
        <v>87</v>
      </c>
      <c r="J237" s="212" t="s">
        <v>5</v>
      </c>
      <c r="K237" s="213" t="s">
        <v>16</v>
      </c>
      <c r="L237" s="212" t="s">
        <v>67</v>
      </c>
      <c r="M237" s="212"/>
      <c r="N237" s="212"/>
      <c r="O237" s="212"/>
      <c r="P237" s="212"/>
      <c r="Q237" s="239" t="s">
        <v>41032</v>
      </c>
      <c r="R237" s="239" t="s">
        <v>41016</v>
      </c>
      <c r="S237" s="239" t="s">
        <v>38294</v>
      </c>
      <c r="T237" s="239" t="s">
        <v>40351</v>
      </c>
      <c r="U237" s="239" t="s">
        <v>40351</v>
      </c>
      <c r="V237" s="239" t="s">
        <v>40351</v>
      </c>
      <c r="W237" s="239" t="s">
        <v>40351</v>
      </c>
      <c r="X237" s="239" t="s">
        <v>40351</v>
      </c>
      <c r="Y237" s="239" t="s">
        <v>40351</v>
      </c>
      <c r="Z237" s="239" t="s">
        <v>40351</v>
      </c>
      <c r="AA237" s="239" t="s">
        <v>40351</v>
      </c>
      <c r="AB237" s="239" t="s">
        <v>40351</v>
      </c>
      <c r="AC237" s="239" t="s">
        <v>40351</v>
      </c>
      <c r="AD237" s="239" t="s">
        <v>40351</v>
      </c>
      <c r="AE237" s="239" t="s">
        <v>40351</v>
      </c>
      <c r="AF237" s="241">
        <f>SUM(Tabela96[[#This Row], [jan/26]:[dez/26]])</f>
      </c>
      <c r="AG237" s="240">
        <v>0</v>
      </c>
      <c r="AH237" s="240">
        <v>0</v>
      </c>
      <c r="AI237" s="240">
        <v>0</v>
      </c>
      <c r="AJ237" s="240">
        <v>0</v>
      </c>
      <c r="AK237" s="240">
        <f>SUM(Tabela96[[#This Row], [2026]:[2030]])</f>
      </c>
      <c r="AL237" s="240">
        <v>225000</v>
      </c>
      <c r="AM237" s="240">
        <v>0</v>
      </c>
      <c r="AN237" s="240">
        <v>0</v>
      </c>
      <c r="AO237" s="240">
        <v>0</v>
      </c>
      <c r="AP237" s="240">
        <v>0</v>
      </c>
      <c r="AQ237" s="242">
        <f>SUM(Tabela96[[#This Row], [2026-2030]:[2035]])</f>
      </c>
      <c r="AR237" s="1"/>
      <c r="AS237" s="239" t="s">
        <v>40352</v>
      </c>
      <c r="AT237" s="247" t="s">
        <v>39970</v>
      </c>
      <c r="AU237" s="239" t="s">
        <v>41033</v>
      </c>
      <c r="AV237" s="3"/>
      <c r="AW237" s="239" t="s">
        <v>39062</v>
      </c>
      <c r="AX237" s="2"/>
      <c r="AY237" s="2"/>
      <c r="AZ237" s="239" t="s">
        <v>41013</v>
      </c>
    </row>
    <row x14ac:dyDescent="0.25" r="238" customHeight="1" ht="24.75">
      <c r="A238" s="1"/>
      <c r="B238" s="237">
        <f>AND(ISTEXT('Consolidado-Eletronorte'!#REF!),SUM('Consolidado-Eletronorte'!#REF!)&gt;0)</f>
      </c>
      <c r="C238" s="238">
        <f>$J$3</f>
      </c>
      <c r="D238" s="238">
        <f>$H$3</f>
      </c>
      <c r="E238" s="238">
        <f>$H$4</f>
      </c>
      <c r="F238" s="210"/>
      <c r="G238" s="238">
        <f>_xlfn.CONCAT('Consolidado-Eletronorte'!#REF!,"_",ROW('Consolidado-Eletronorte'!#REF!)-ROW('Consolidado-Eletronorte'!$G$18))</f>
      </c>
      <c r="H238" s="212" t="s">
        <v>10</v>
      </c>
      <c r="I238" s="212" t="s">
        <v>87</v>
      </c>
      <c r="J238" s="212" t="s">
        <v>5</v>
      </c>
      <c r="K238" s="213" t="s">
        <v>16</v>
      </c>
      <c r="L238" s="212" t="s">
        <v>67</v>
      </c>
      <c r="M238" s="212"/>
      <c r="N238" s="212"/>
      <c r="O238" s="212"/>
      <c r="P238" s="212"/>
      <c r="Q238" s="239" t="s">
        <v>41032</v>
      </c>
      <c r="R238" s="239" t="s">
        <v>41018</v>
      </c>
      <c r="S238" s="239" t="s">
        <v>38294</v>
      </c>
      <c r="T238" s="239" t="s">
        <v>40351</v>
      </c>
      <c r="U238" s="239" t="s">
        <v>40351</v>
      </c>
      <c r="V238" s="239" t="s">
        <v>40351</v>
      </c>
      <c r="W238" s="239" t="s">
        <v>40351</v>
      </c>
      <c r="X238" s="239" t="s">
        <v>40351</v>
      </c>
      <c r="Y238" s="239" t="s">
        <v>40351</v>
      </c>
      <c r="Z238" s="239" t="s">
        <v>40351</v>
      </c>
      <c r="AA238" s="239" t="s">
        <v>40351</v>
      </c>
      <c r="AB238" s="239" t="s">
        <v>40351</v>
      </c>
      <c r="AC238" s="239" t="s">
        <v>40351</v>
      </c>
      <c r="AD238" s="239" t="s">
        <v>40351</v>
      </c>
      <c r="AE238" s="239" t="s">
        <v>40351</v>
      </c>
      <c r="AF238" s="241">
        <f>SUM(Tabela96[[#This Row], [jan/26]:[dez/26]])</f>
      </c>
      <c r="AG238" s="240">
        <v>0</v>
      </c>
      <c r="AH238" s="240">
        <v>0</v>
      </c>
      <c r="AI238" s="240">
        <v>0</v>
      </c>
      <c r="AJ238" s="240">
        <v>0</v>
      </c>
      <c r="AK238" s="240">
        <f>SUM(Tabela96[[#This Row], [2026]:[2030]])</f>
      </c>
      <c r="AL238" s="240">
        <v>225000</v>
      </c>
      <c r="AM238" s="240">
        <v>0</v>
      </c>
      <c r="AN238" s="240">
        <v>0</v>
      </c>
      <c r="AO238" s="240">
        <v>0</v>
      </c>
      <c r="AP238" s="240">
        <v>0</v>
      </c>
      <c r="AQ238" s="242">
        <f>SUM(Tabela96[[#This Row], [2026-2030]:[2035]])</f>
      </c>
      <c r="AR238" s="1"/>
      <c r="AS238" s="239" t="s">
        <v>40352</v>
      </c>
      <c r="AT238" s="247" t="s">
        <v>39970</v>
      </c>
      <c r="AU238" s="239" t="s">
        <v>41034</v>
      </c>
      <c r="AV238" s="3"/>
      <c r="AW238" s="239" t="s">
        <v>39062</v>
      </c>
      <c r="AX238" s="2"/>
      <c r="AY238" s="2"/>
      <c r="AZ238" s="239" t="s">
        <v>41013</v>
      </c>
    </row>
    <row x14ac:dyDescent="0.25" r="239" customHeight="1" ht="24.75">
      <c r="A239" s="1"/>
      <c r="B239" s="237">
        <f>AND(ISTEXT('Consolidado-Eletronorte'!#REF!),SUM('Consolidado-Eletronorte'!#REF!)&gt;0)</f>
      </c>
      <c r="C239" s="238">
        <f>$J$3</f>
      </c>
      <c r="D239" s="238">
        <f>$H$3</f>
      </c>
      <c r="E239" s="238">
        <f>$H$4</f>
      </c>
      <c r="F239" s="210"/>
      <c r="G239" s="238">
        <f>_xlfn.CONCAT('Consolidado-Eletronorte'!#REF!,"_",ROW('Consolidado-Eletronorte'!#REF!)-ROW('Consolidado-Eletronorte'!$G$18))</f>
      </c>
      <c r="H239" s="212" t="s">
        <v>10</v>
      </c>
      <c r="I239" s="212" t="s">
        <v>87</v>
      </c>
      <c r="J239" s="212" t="s">
        <v>5</v>
      </c>
      <c r="K239" s="213" t="s">
        <v>16</v>
      </c>
      <c r="L239" s="212" t="s">
        <v>67</v>
      </c>
      <c r="M239" s="212"/>
      <c r="N239" s="212"/>
      <c r="O239" s="212"/>
      <c r="P239" s="212"/>
      <c r="Q239" s="239" t="s">
        <v>41035</v>
      </c>
      <c r="R239" s="239" t="s">
        <v>41016</v>
      </c>
      <c r="S239" s="239" t="s">
        <v>38284</v>
      </c>
      <c r="T239" s="239" t="s">
        <v>40351</v>
      </c>
      <c r="U239" s="239" t="s">
        <v>40351</v>
      </c>
      <c r="V239" s="239" t="s">
        <v>40351</v>
      </c>
      <c r="W239" s="239" t="s">
        <v>40351</v>
      </c>
      <c r="X239" s="239" t="s">
        <v>40351</v>
      </c>
      <c r="Y239" s="239" t="s">
        <v>40351</v>
      </c>
      <c r="Z239" s="239" t="s">
        <v>40351</v>
      </c>
      <c r="AA239" s="239" t="s">
        <v>40351</v>
      </c>
      <c r="AB239" s="239" t="s">
        <v>40351</v>
      </c>
      <c r="AC239" s="239" t="s">
        <v>40351</v>
      </c>
      <c r="AD239" s="239" t="s">
        <v>40351</v>
      </c>
      <c r="AE239" s="239" t="s">
        <v>40351</v>
      </c>
      <c r="AF239" s="241">
        <f>SUM(Tabela96[[#This Row], [jan/26]:[dez/26]])</f>
      </c>
      <c r="AG239" s="240">
        <v>0</v>
      </c>
      <c r="AH239" s="240">
        <v>0</v>
      </c>
      <c r="AI239" s="240">
        <v>0</v>
      </c>
      <c r="AJ239" s="240">
        <v>0</v>
      </c>
      <c r="AK239" s="240">
        <f>SUM(Tabela96[[#This Row], [2026]:[2030]])</f>
      </c>
      <c r="AL239" s="240">
        <v>225000</v>
      </c>
      <c r="AM239" s="240">
        <v>0</v>
      </c>
      <c r="AN239" s="240">
        <v>0</v>
      </c>
      <c r="AO239" s="240">
        <v>0</v>
      </c>
      <c r="AP239" s="240">
        <v>0</v>
      </c>
      <c r="AQ239" s="242">
        <f>SUM(Tabela96[[#This Row], [2026-2030]:[2035]])</f>
      </c>
      <c r="AR239" s="1"/>
      <c r="AS239" s="239" t="s">
        <v>40352</v>
      </c>
      <c r="AT239" s="247" t="s">
        <v>39970</v>
      </c>
      <c r="AU239" s="239" t="s">
        <v>41036</v>
      </c>
      <c r="AV239" s="3"/>
      <c r="AW239" s="239" t="s">
        <v>39062</v>
      </c>
      <c r="AX239" s="2"/>
      <c r="AY239" s="2"/>
      <c r="AZ239" s="239" t="s">
        <v>41013</v>
      </c>
    </row>
    <row x14ac:dyDescent="0.25" r="240" customHeight="1" ht="24.75">
      <c r="A240" s="1"/>
      <c r="B240" s="237">
        <f>AND(ISTEXT('Consolidado-Eletronorte'!#REF!),SUM('Consolidado-Eletronorte'!#REF!)&gt;0)</f>
      </c>
      <c r="C240" s="238">
        <f>$J$3</f>
      </c>
      <c r="D240" s="238">
        <f>$H$3</f>
      </c>
      <c r="E240" s="238">
        <f>$H$4</f>
      </c>
      <c r="F240" s="210"/>
      <c r="G240" s="238">
        <f>_xlfn.CONCAT('Consolidado-Eletronorte'!#REF!,"_",ROW('Consolidado-Eletronorte'!#REF!)-ROW('Consolidado-Eletronorte'!$G$18))</f>
      </c>
      <c r="H240" s="212" t="s">
        <v>10</v>
      </c>
      <c r="I240" s="212" t="s">
        <v>87</v>
      </c>
      <c r="J240" s="212" t="s">
        <v>5</v>
      </c>
      <c r="K240" s="213" t="s">
        <v>16</v>
      </c>
      <c r="L240" s="212" t="s">
        <v>67</v>
      </c>
      <c r="M240" s="212"/>
      <c r="N240" s="212"/>
      <c r="O240" s="212"/>
      <c r="P240" s="212"/>
      <c r="Q240" s="239" t="s">
        <v>41035</v>
      </c>
      <c r="R240" s="239" t="s">
        <v>41018</v>
      </c>
      <c r="S240" s="239" t="s">
        <v>38284</v>
      </c>
      <c r="T240" s="239" t="s">
        <v>40351</v>
      </c>
      <c r="U240" s="239" t="s">
        <v>40351</v>
      </c>
      <c r="V240" s="239" t="s">
        <v>40351</v>
      </c>
      <c r="W240" s="239" t="s">
        <v>40351</v>
      </c>
      <c r="X240" s="239" t="s">
        <v>40351</v>
      </c>
      <c r="Y240" s="239" t="s">
        <v>40351</v>
      </c>
      <c r="Z240" s="239" t="s">
        <v>40351</v>
      </c>
      <c r="AA240" s="239" t="s">
        <v>40351</v>
      </c>
      <c r="AB240" s="239" t="s">
        <v>40351</v>
      </c>
      <c r="AC240" s="239" t="s">
        <v>40351</v>
      </c>
      <c r="AD240" s="239" t="s">
        <v>40351</v>
      </c>
      <c r="AE240" s="239" t="s">
        <v>40351</v>
      </c>
      <c r="AF240" s="241">
        <f>SUM(Tabela96[[#This Row], [jan/26]:[dez/26]])</f>
      </c>
      <c r="AG240" s="240">
        <v>0</v>
      </c>
      <c r="AH240" s="240">
        <v>0</v>
      </c>
      <c r="AI240" s="240">
        <v>0</v>
      </c>
      <c r="AJ240" s="240">
        <v>0</v>
      </c>
      <c r="AK240" s="240">
        <f>SUM(Tabela96[[#This Row], [2026]:[2030]])</f>
      </c>
      <c r="AL240" s="240">
        <v>225000</v>
      </c>
      <c r="AM240" s="240">
        <v>0</v>
      </c>
      <c r="AN240" s="240">
        <v>0</v>
      </c>
      <c r="AO240" s="240">
        <v>0</v>
      </c>
      <c r="AP240" s="240">
        <v>0</v>
      </c>
      <c r="AQ240" s="242">
        <f>SUM(Tabela96[[#This Row], [2026-2030]:[2035]])</f>
      </c>
      <c r="AR240" s="1"/>
      <c r="AS240" s="239" t="s">
        <v>40352</v>
      </c>
      <c r="AT240" s="247" t="s">
        <v>39970</v>
      </c>
      <c r="AU240" s="239" t="s">
        <v>41037</v>
      </c>
      <c r="AV240" s="3"/>
      <c r="AW240" s="239" t="s">
        <v>39062</v>
      </c>
      <c r="AX240" s="2"/>
      <c r="AY240" s="2"/>
      <c r="AZ240" s="239" t="s">
        <v>41013</v>
      </c>
    </row>
    <row x14ac:dyDescent="0.25" r="241" customHeight="1" ht="24.75">
      <c r="A241" s="1"/>
      <c r="B241" s="237">
        <f>AND(ISTEXT('Consolidado-Eletronorte'!#REF!),SUM('Consolidado-Eletronorte'!#REF!)&gt;0)</f>
      </c>
      <c r="C241" s="238">
        <f>$J$3</f>
      </c>
      <c r="D241" s="238">
        <f>$H$3</f>
      </c>
      <c r="E241" s="238">
        <f>$H$4</f>
      </c>
      <c r="F241" s="210"/>
      <c r="G241" s="238">
        <f>_xlfn.CONCAT('Consolidado-Eletronorte'!#REF!,"_",ROW('Consolidado-Eletronorte'!#REF!)-ROW('Consolidado-Eletronorte'!$G$18))</f>
      </c>
      <c r="H241" s="212" t="s">
        <v>10</v>
      </c>
      <c r="I241" s="212" t="s">
        <v>87</v>
      </c>
      <c r="J241" s="212" t="s">
        <v>5</v>
      </c>
      <c r="K241" s="213" t="s">
        <v>16</v>
      </c>
      <c r="L241" s="212" t="s">
        <v>67</v>
      </c>
      <c r="M241" s="212"/>
      <c r="N241" s="212"/>
      <c r="O241" s="212"/>
      <c r="P241" s="212"/>
      <c r="Q241" s="239" t="s">
        <v>41038</v>
      </c>
      <c r="R241" s="239" t="s">
        <v>41039</v>
      </c>
      <c r="S241" s="239" t="s">
        <v>41040</v>
      </c>
      <c r="T241" s="239" t="s">
        <v>40351</v>
      </c>
      <c r="U241" s="239" t="s">
        <v>40351</v>
      </c>
      <c r="V241" s="239" t="s">
        <v>40351</v>
      </c>
      <c r="W241" s="239" t="s">
        <v>40351</v>
      </c>
      <c r="X241" s="239" t="s">
        <v>40351</v>
      </c>
      <c r="Y241" s="239" t="s">
        <v>40351</v>
      </c>
      <c r="Z241" s="239" t="s">
        <v>40351</v>
      </c>
      <c r="AA241" s="239" t="s">
        <v>40351</v>
      </c>
      <c r="AB241" s="239" t="s">
        <v>40351</v>
      </c>
      <c r="AC241" s="239" t="s">
        <v>40351</v>
      </c>
      <c r="AD241" s="239" t="s">
        <v>40351</v>
      </c>
      <c r="AE241" s="239" t="s">
        <v>40351</v>
      </c>
      <c r="AF241" s="241">
        <f>SUM(Tabela96[[#This Row], [jan/26]:[dez/26]])</f>
      </c>
      <c r="AG241" s="240">
        <v>0</v>
      </c>
      <c r="AH241" s="240">
        <v>0</v>
      </c>
      <c r="AI241" s="240">
        <v>0</v>
      </c>
      <c r="AJ241" s="240">
        <v>0</v>
      </c>
      <c r="AK241" s="240">
        <f>SUM(Tabela96[[#This Row], [2026]:[2030]])</f>
      </c>
      <c r="AL241" s="240">
        <v>0</v>
      </c>
      <c r="AM241" s="240">
        <v>0</v>
      </c>
      <c r="AN241" s="240">
        <v>0</v>
      </c>
      <c r="AO241" s="240">
        <v>0</v>
      </c>
      <c r="AP241" s="240">
        <v>100000</v>
      </c>
      <c r="AQ241" s="242">
        <f>SUM(Tabela96[[#This Row], [2026-2030]:[2035]])</f>
      </c>
      <c r="AR241" s="1"/>
      <c r="AS241" s="239" t="s">
        <v>40352</v>
      </c>
      <c r="AT241" s="247" t="s">
        <v>39970</v>
      </c>
      <c r="AU241" s="239" t="s">
        <v>41041</v>
      </c>
      <c r="AV241" s="3"/>
      <c r="AW241" s="239" t="s">
        <v>39062</v>
      </c>
      <c r="AX241" s="2"/>
      <c r="AY241" s="2"/>
      <c r="AZ241" s="239" t="s">
        <v>41013</v>
      </c>
    </row>
    <row x14ac:dyDescent="0.25" r="242" customHeight="1" ht="24.75">
      <c r="A242" s="1"/>
      <c r="B242" s="237">
        <f>AND(ISTEXT('Consolidado-Eletronorte'!#REF!),SUM('Consolidado-Eletronorte'!#REF!)&gt;0)</f>
      </c>
      <c r="C242" s="238">
        <f>$J$3</f>
      </c>
      <c r="D242" s="238">
        <f>$H$3</f>
      </c>
      <c r="E242" s="238">
        <f>$H$4</f>
      </c>
      <c r="F242" s="210"/>
      <c r="G242" s="238">
        <f>_xlfn.CONCAT('Consolidado-Eletronorte'!#REF!,"_",ROW('Consolidado-Eletronorte'!#REF!)-ROW('Consolidado-Eletronorte'!$G$18))</f>
      </c>
      <c r="H242" s="212" t="s">
        <v>10</v>
      </c>
      <c r="I242" s="212" t="s">
        <v>87</v>
      </c>
      <c r="J242" s="212" t="s">
        <v>5</v>
      </c>
      <c r="K242" s="213" t="s">
        <v>16</v>
      </c>
      <c r="L242" s="212" t="s">
        <v>67</v>
      </c>
      <c r="M242" s="212"/>
      <c r="N242" s="212"/>
      <c r="O242" s="212"/>
      <c r="P242" s="212"/>
      <c r="Q242" s="239" t="s">
        <v>41038</v>
      </c>
      <c r="R242" s="239" t="s">
        <v>41039</v>
      </c>
      <c r="S242" s="239" t="s">
        <v>41040</v>
      </c>
      <c r="T242" s="239" t="s">
        <v>40351</v>
      </c>
      <c r="U242" s="239" t="s">
        <v>40351</v>
      </c>
      <c r="V242" s="239" t="s">
        <v>40351</v>
      </c>
      <c r="W242" s="239" t="s">
        <v>40351</v>
      </c>
      <c r="X242" s="239" t="s">
        <v>40351</v>
      </c>
      <c r="Y242" s="239" t="s">
        <v>40351</v>
      </c>
      <c r="Z242" s="239" t="s">
        <v>40351</v>
      </c>
      <c r="AA242" s="239" t="s">
        <v>40351</v>
      </c>
      <c r="AB242" s="239" t="s">
        <v>40351</v>
      </c>
      <c r="AC242" s="239" t="s">
        <v>40351</v>
      </c>
      <c r="AD242" s="239" t="s">
        <v>40351</v>
      </c>
      <c r="AE242" s="239" t="s">
        <v>40351</v>
      </c>
      <c r="AF242" s="241">
        <f>SUM(Tabela96[[#This Row], [jan/26]:[dez/26]])</f>
      </c>
      <c r="AG242" s="240">
        <v>0</v>
      </c>
      <c r="AH242" s="240">
        <v>0</v>
      </c>
      <c r="AI242" s="240">
        <v>0</v>
      </c>
      <c r="AJ242" s="240">
        <v>0</v>
      </c>
      <c r="AK242" s="240">
        <f>SUM(Tabela96[[#This Row], [2026]:[2030]])</f>
      </c>
      <c r="AL242" s="240">
        <v>0</v>
      </c>
      <c r="AM242" s="240">
        <v>0</v>
      </c>
      <c r="AN242" s="240">
        <v>0</v>
      </c>
      <c r="AO242" s="240">
        <v>0</v>
      </c>
      <c r="AP242" s="240">
        <v>100000</v>
      </c>
      <c r="AQ242" s="242">
        <f>SUM(Tabela96[[#This Row], [2026-2030]:[2035]])</f>
      </c>
      <c r="AR242" s="1"/>
      <c r="AS242" s="239" t="s">
        <v>40352</v>
      </c>
      <c r="AT242" s="247" t="s">
        <v>39970</v>
      </c>
      <c r="AU242" s="239" t="s">
        <v>41042</v>
      </c>
      <c r="AV242" s="3"/>
      <c r="AW242" s="239" t="s">
        <v>39062</v>
      </c>
      <c r="AX242" s="2"/>
      <c r="AY242" s="2"/>
      <c r="AZ242" s="239" t="s">
        <v>41013</v>
      </c>
    </row>
    <row x14ac:dyDescent="0.25" r="243" customHeight="1" ht="24.75">
      <c r="A243" s="1"/>
      <c r="B243" s="237">
        <f>AND(ISTEXT('Consolidado-Eletronorte'!#REF!),SUM('Consolidado-Eletronorte'!#REF!)&gt;0)</f>
      </c>
      <c r="C243" s="238">
        <f>$J$3</f>
      </c>
      <c r="D243" s="238">
        <f>$H$3</f>
      </c>
      <c r="E243" s="238">
        <f>$H$4</f>
      </c>
      <c r="F243" s="210"/>
      <c r="G243" s="238">
        <f>_xlfn.CONCAT('Consolidado-Eletronorte'!#REF!,"_",ROW('Consolidado-Eletronorte'!#REF!)-ROW('Consolidado-Eletronorte'!$G$18))</f>
      </c>
      <c r="H243" s="212" t="s">
        <v>10</v>
      </c>
      <c r="I243" s="212" t="s">
        <v>87</v>
      </c>
      <c r="J243" s="212" t="s">
        <v>5</v>
      </c>
      <c r="K243" s="213" t="s">
        <v>26</v>
      </c>
      <c r="L243" s="212" t="s">
        <v>26</v>
      </c>
      <c r="M243" s="212"/>
      <c r="N243" s="212"/>
      <c r="O243" s="212"/>
      <c r="P243" s="212"/>
      <c r="Q243" s="1" t="s">
        <v>41043</v>
      </c>
      <c r="R243" s="1" t="s">
        <v>41044</v>
      </c>
      <c r="S243" s="239" t="s">
        <v>38290</v>
      </c>
      <c r="T243" s="228"/>
      <c r="U243" s="116"/>
      <c r="V243" s="116"/>
      <c r="W243" s="116"/>
      <c r="X243" s="116"/>
      <c r="Y243" s="116">
        <v>200000</v>
      </c>
      <c r="Z243" s="116">
        <v>400000</v>
      </c>
      <c r="AA243" s="116">
        <v>400000</v>
      </c>
      <c r="AB243" s="116">
        <v>200000</v>
      </c>
      <c r="AC243" s="116"/>
      <c r="AD243" s="116"/>
      <c r="AE243" s="116"/>
      <c r="AF243" s="241">
        <f>SUM(Tabela96[[#This Row], [jan/26]:[dez/26]])</f>
      </c>
      <c r="AG243" s="116"/>
      <c r="AH243" s="240">
        <v>0</v>
      </c>
      <c r="AI243" s="240">
        <v>0</v>
      </c>
      <c r="AJ243" s="240">
        <v>0</v>
      </c>
      <c r="AK243" s="240">
        <f>SUM(Tabela96[[#This Row], [2026]:[2030]])</f>
      </c>
      <c r="AL243" s="240">
        <v>0</v>
      </c>
      <c r="AM243" s="240"/>
      <c r="AN243" s="240">
        <v>0</v>
      </c>
      <c r="AO243" s="240">
        <v>0</v>
      </c>
      <c r="AP243" s="240"/>
      <c r="AQ243" s="242">
        <f>SUM(Tabela96[[#This Row], [2026-2030]:[2035]])</f>
      </c>
      <c r="AR243" s="1"/>
      <c r="AS243" s="239" t="s">
        <v>41045</v>
      </c>
      <c r="AT243" s="243">
        <v>2025</v>
      </c>
      <c r="AU243" s="1" t="s">
        <v>41046</v>
      </c>
      <c r="AV243" s="3"/>
      <c r="AW243" s="1" t="s">
        <v>46</v>
      </c>
      <c r="AX243" s="2"/>
      <c r="AY243" s="2"/>
      <c r="AZ243" s="1" t="s">
        <v>41047</v>
      </c>
    </row>
    <row x14ac:dyDescent="0.25" r="244" customHeight="1" ht="24.75">
      <c r="A244" s="1"/>
      <c r="B244" s="237">
        <f>AND(ISTEXT('Consolidado-Eletronorte'!#REF!),SUM('Consolidado-Eletronorte'!#REF!)&gt;0)</f>
      </c>
      <c r="C244" s="238">
        <f>$J$3</f>
      </c>
      <c r="D244" s="238">
        <f>$H$3</f>
      </c>
      <c r="E244" s="238">
        <f>$H$4</f>
      </c>
      <c r="F244" s="210"/>
      <c r="G244" s="238">
        <f>_xlfn.CONCAT('Consolidado-Eletronorte'!#REF!,"_",ROW('Consolidado-Eletronorte'!#REF!)-ROW('Consolidado-Eletronorte'!$G$18))</f>
      </c>
      <c r="H244" s="212" t="s">
        <v>10</v>
      </c>
      <c r="I244" s="212" t="s">
        <v>87</v>
      </c>
      <c r="J244" s="212" t="s">
        <v>5</v>
      </c>
      <c r="K244" s="213" t="s">
        <v>26</v>
      </c>
      <c r="L244" s="212" t="s">
        <v>26</v>
      </c>
      <c r="M244" s="212"/>
      <c r="N244" s="212"/>
      <c r="O244" s="212"/>
      <c r="P244" s="212"/>
      <c r="Q244" s="1" t="s">
        <v>41043</v>
      </c>
      <c r="R244" s="1" t="s">
        <v>41048</v>
      </c>
      <c r="S244" s="212" t="s">
        <v>38290</v>
      </c>
      <c r="T244" s="228"/>
      <c r="U244" s="116"/>
      <c r="V244" s="116"/>
      <c r="W244" s="116"/>
      <c r="X244" s="116"/>
      <c r="Y244" s="116"/>
      <c r="Z244" s="116"/>
      <c r="AA244" s="116"/>
      <c r="AB244" s="116">
        <v>100000</v>
      </c>
      <c r="AC244" s="116"/>
      <c r="AD244" s="116"/>
      <c r="AE244" s="116"/>
      <c r="AF244" s="241">
        <f>SUM(Tabela96[[#This Row], [jan/26]:[dez/26]])</f>
      </c>
      <c r="AG244" s="116"/>
      <c r="AH244" s="240">
        <v>0</v>
      </c>
      <c r="AI244" s="240">
        <v>0</v>
      </c>
      <c r="AJ244" s="240">
        <v>0</v>
      </c>
      <c r="AK244" s="240">
        <f>SUM(Tabela96[[#This Row], [2026]:[2030]])</f>
      </c>
      <c r="AL244" s="240">
        <v>0</v>
      </c>
      <c r="AM244" s="240">
        <v>0</v>
      </c>
      <c r="AN244" s="240">
        <v>0</v>
      </c>
      <c r="AO244" s="240">
        <v>0</v>
      </c>
      <c r="AP244" s="240"/>
      <c r="AQ244" s="242">
        <f>SUM(Tabela96[[#This Row], [2026-2030]:[2035]])</f>
      </c>
      <c r="AR244" s="1"/>
      <c r="AS244" s="239" t="s">
        <v>41045</v>
      </c>
      <c r="AT244" s="243">
        <v>2025</v>
      </c>
      <c r="AU244" s="1" t="s">
        <v>41049</v>
      </c>
      <c r="AV244" s="3"/>
      <c r="AW244" s="1" t="s">
        <v>46</v>
      </c>
      <c r="AX244" s="2"/>
      <c r="AY244" s="2"/>
      <c r="AZ244" s="1" t="s">
        <v>41047</v>
      </c>
    </row>
    <row x14ac:dyDescent="0.25" r="245" customHeight="1" ht="24.75">
      <c r="A245" s="1"/>
      <c r="B245" s="237">
        <f>AND(ISTEXT('Consolidado-Eletronorte'!#REF!),SUM('Consolidado-Eletronorte'!#REF!)&gt;0)</f>
      </c>
      <c r="C245" s="238">
        <f>$J$3</f>
      </c>
      <c r="D245" s="238">
        <f>$H$3</f>
      </c>
      <c r="E245" s="238">
        <f>$H$4</f>
      </c>
      <c r="F245" s="210"/>
      <c r="G245" s="238">
        <f>_xlfn.CONCAT('Consolidado-Eletronorte'!#REF!,"_",ROW('Consolidado-Eletronorte'!#REF!)-ROW('Consolidado-Eletronorte'!$G$18))</f>
      </c>
      <c r="H245" s="212" t="s">
        <v>10</v>
      </c>
      <c r="I245" s="212" t="s">
        <v>87</v>
      </c>
      <c r="J245" s="212" t="s">
        <v>5</v>
      </c>
      <c r="K245" s="213" t="s">
        <v>26</v>
      </c>
      <c r="L245" s="212" t="s">
        <v>26</v>
      </c>
      <c r="M245" s="212"/>
      <c r="N245" s="212"/>
      <c r="O245" s="212"/>
      <c r="P245" s="212"/>
      <c r="Q245" s="1" t="s">
        <v>41050</v>
      </c>
      <c r="R245" s="1" t="s">
        <v>41051</v>
      </c>
      <c r="S245" s="1" t="s">
        <v>38294</v>
      </c>
      <c r="T245" s="228"/>
      <c r="U245" s="116"/>
      <c r="V245" s="116"/>
      <c r="W245" s="116"/>
      <c r="X245" s="116"/>
      <c r="Y245" s="116"/>
      <c r="Z245" s="116"/>
      <c r="AA245" s="116"/>
      <c r="AB245" s="116"/>
      <c r="AC245" s="116">
        <v>200000</v>
      </c>
      <c r="AD245" s="116">
        <v>200000</v>
      </c>
      <c r="AE245" s="116">
        <v>100000</v>
      </c>
      <c r="AF245" s="241">
        <f>SUM(Tabela96[[#This Row], [jan/26]:[dez/26]])</f>
      </c>
      <c r="AG245" s="116"/>
      <c r="AH245" s="240">
        <v>0</v>
      </c>
      <c r="AI245" s="240">
        <v>0</v>
      </c>
      <c r="AJ245" s="240">
        <v>0</v>
      </c>
      <c r="AK245" s="240">
        <f>SUM(Tabela96[[#This Row], [2026]:[2030]])</f>
      </c>
      <c r="AL245" s="240">
        <v>0</v>
      </c>
      <c r="AM245" s="240">
        <v>0</v>
      </c>
      <c r="AN245" s="240"/>
      <c r="AO245" s="240"/>
      <c r="AP245" s="240"/>
      <c r="AQ245" s="242">
        <f>SUM(Tabela96[[#This Row], [2026-2030]:[2035]])</f>
      </c>
      <c r="AR245" s="1"/>
      <c r="AS245" s="239" t="s">
        <v>41045</v>
      </c>
      <c r="AT245" s="247" t="s">
        <v>39970</v>
      </c>
      <c r="AU245" s="1"/>
      <c r="AV245" s="3"/>
      <c r="AW245" s="1" t="s">
        <v>39062</v>
      </c>
      <c r="AX245" s="2"/>
      <c r="AY245" s="2"/>
      <c r="AZ245" s="1" t="s">
        <v>41047</v>
      </c>
    </row>
    <row x14ac:dyDescent="0.25" r="246" customHeight="1" ht="24.75">
      <c r="A246" s="1"/>
      <c r="B246" s="237">
        <f>AND(ISTEXT('Consolidado-Eletronorte'!#REF!),SUM('Consolidado-Eletronorte'!#REF!)&gt;0)</f>
      </c>
      <c r="C246" s="238">
        <f>$J$3</f>
      </c>
      <c r="D246" s="238">
        <f>$H$3</f>
      </c>
      <c r="E246" s="238">
        <f>$H$4</f>
      </c>
      <c r="F246" s="210"/>
      <c r="G246" s="238">
        <f>_xlfn.CONCAT('Consolidado-Eletronorte'!#REF!,"_",ROW('Consolidado-Eletronorte'!#REF!)-ROW('Consolidado-Eletronorte'!$G$18))</f>
      </c>
      <c r="H246" s="212" t="s">
        <v>10</v>
      </c>
      <c r="I246" s="212" t="s">
        <v>87</v>
      </c>
      <c r="J246" s="212" t="s">
        <v>5</v>
      </c>
      <c r="K246" s="213" t="s">
        <v>26</v>
      </c>
      <c r="L246" s="212" t="s">
        <v>26</v>
      </c>
      <c r="M246" s="212"/>
      <c r="N246" s="212"/>
      <c r="O246" s="212"/>
      <c r="P246" s="212"/>
      <c r="Q246" s="1" t="s">
        <v>41052</v>
      </c>
      <c r="R246" s="3" t="s">
        <v>41053</v>
      </c>
      <c r="S246" s="212" t="s">
        <v>38290</v>
      </c>
      <c r="T246" s="228"/>
      <c r="U246" s="116"/>
      <c r="V246" s="116"/>
      <c r="W246" s="116"/>
      <c r="X246" s="116"/>
      <c r="Y246" s="116"/>
      <c r="Z246" s="116"/>
      <c r="AA246" s="116"/>
      <c r="AB246" s="116"/>
      <c r="AC246" s="116"/>
      <c r="AD246" s="116"/>
      <c r="AE246" s="116"/>
      <c r="AF246" s="241">
        <f>SUM(Tabela96[[#This Row], [jan/26]:[dez/26]])</f>
      </c>
      <c r="AG246" s="123">
        <v>1600000</v>
      </c>
      <c r="AH246" s="240"/>
      <c r="AI246" s="240"/>
      <c r="AJ246" s="240"/>
      <c r="AK246" s="240">
        <f>SUM(Tabela96[[#This Row], [2026]:[2030]])</f>
      </c>
      <c r="AL246" s="240"/>
      <c r="AM246" s="240"/>
      <c r="AN246" s="240"/>
      <c r="AO246" s="240"/>
      <c r="AP246" s="240"/>
      <c r="AQ246" s="242">
        <f>SUM(Tabela96[[#This Row], [2026-2030]:[2035]])</f>
      </c>
      <c r="AR246" s="1"/>
      <c r="AS246" s="239" t="s">
        <v>41045</v>
      </c>
      <c r="AT246" s="247" t="s">
        <v>39970</v>
      </c>
      <c r="AU246" s="3" t="s">
        <v>41054</v>
      </c>
      <c r="AV246" s="3"/>
      <c r="AW246" s="1" t="s">
        <v>39062</v>
      </c>
      <c r="AX246" s="2"/>
      <c r="AY246" s="2"/>
      <c r="AZ246" s="1" t="s">
        <v>41047</v>
      </c>
    </row>
    <row x14ac:dyDescent="0.25" r="247" customHeight="1" ht="24.75">
      <c r="A247" s="1"/>
      <c r="B247" s="237">
        <f>AND(ISTEXT('Consolidado-Eletronorte'!#REF!),SUM('Consolidado-Eletronorte'!#REF!)&gt;0)</f>
      </c>
      <c r="C247" s="238">
        <f>$J$3</f>
      </c>
      <c r="D247" s="238">
        <f>$H$3</f>
      </c>
      <c r="E247" s="238">
        <f>$H$4</f>
      </c>
      <c r="F247" s="210"/>
      <c r="G247" s="238">
        <f>_xlfn.CONCAT('Consolidado-Eletronorte'!#REF!,"_",ROW('Consolidado-Eletronorte'!#REF!)-ROW('Consolidado-Eletronorte'!$G$18))</f>
      </c>
      <c r="H247" s="212" t="s">
        <v>10</v>
      </c>
      <c r="I247" s="212" t="s">
        <v>87</v>
      </c>
      <c r="J247" s="212" t="s">
        <v>5</v>
      </c>
      <c r="K247" s="213" t="s">
        <v>16</v>
      </c>
      <c r="L247" s="212" t="s">
        <v>67</v>
      </c>
      <c r="M247" s="212"/>
      <c r="N247" s="212"/>
      <c r="O247" s="212"/>
      <c r="P247" s="212"/>
      <c r="Q247" s="1" t="s">
        <v>41055</v>
      </c>
      <c r="R247" s="1" t="s">
        <v>41056</v>
      </c>
      <c r="S247" s="1" t="s">
        <v>41057</v>
      </c>
      <c r="T247" s="228"/>
      <c r="U247" s="116"/>
      <c r="V247" s="116"/>
      <c r="W247" s="116"/>
      <c r="X247" s="116"/>
      <c r="Y247" s="116"/>
      <c r="Z247" s="116"/>
      <c r="AA247" s="116"/>
      <c r="AB247" s="116"/>
      <c r="AC247" s="116">
        <v>50000</v>
      </c>
      <c r="AD247" s="116"/>
      <c r="AE247" s="116"/>
      <c r="AF247" s="241">
        <f>SUM(Tabela96[[#This Row], [jan/26]:[dez/26]])</f>
      </c>
      <c r="AG247" s="116">
        <v>50000</v>
      </c>
      <c r="AH247" s="240">
        <v>0</v>
      </c>
      <c r="AI247" s="240">
        <v>0</v>
      </c>
      <c r="AJ247" s="240">
        <v>0</v>
      </c>
      <c r="AK247" s="240">
        <f>SUM(Tabela96[[#This Row], [2026]:[2030]])</f>
      </c>
      <c r="AL247" s="240">
        <v>0</v>
      </c>
      <c r="AM247" s="240">
        <v>0</v>
      </c>
      <c r="AN247" s="240">
        <v>0</v>
      </c>
      <c r="AO247" s="240">
        <v>0</v>
      </c>
      <c r="AP247" s="240"/>
      <c r="AQ247" s="242">
        <f>SUM(Tabela96[[#This Row], [2026-2030]:[2035]])</f>
      </c>
      <c r="AR247" s="1"/>
      <c r="AS247" s="239" t="s">
        <v>41045</v>
      </c>
      <c r="AT247" s="247" t="s">
        <v>39970</v>
      </c>
      <c r="AU247" s="1"/>
      <c r="AV247" s="3"/>
      <c r="AW247" s="1" t="s">
        <v>39062</v>
      </c>
      <c r="AX247" s="2"/>
      <c r="AY247" s="2"/>
      <c r="AZ247" s="1" t="s">
        <v>41047</v>
      </c>
    </row>
    <row x14ac:dyDescent="0.25" r="248" customHeight="1" ht="24.75">
      <c r="A248" s="1"/>
      <c r="B248" s="237">
        <f>AND(ISTEXT('Consolidado-Eletronorte'!#REF!),SUM('Consolidado-Eletronorte'!#REF!)&gt;0)</f>
      </c>
      <c r="C248" s="238">
        <f>$J$3</f>
      </c>
      <c r="D248" s="238">
        <f>$H$3</f>
      </c>
      <c r="E248" s="238">
        <f>$H$4</f>
      </c>
      <c r="F248" s="210"/>
      <c r="G248" s="238">
        <f>_xlfn.CONCAT('Consolidado-Eletronorte'!#REF!,"_",ROW('Consolidado-Eletronorte'!#REF!)-ROW('Consolidado-Eletronorte'!$G$18))</f>
      </c>
      <c r="H248" s="212" t="s">
        <v>10</v>
      </c>
      <c r="I248" s="212" t="s">
        <v>87</v>
      </c>
      <c r="J248" s="212" t="s">
        <v>5</v>
      </c>
      <c r="K248" s="213" t="s">
        <v>16</v>
      </c>
      <c r="L248" s="212" t="s">
        <v>67</v>
      </c>
      <c r="M248" s="212"/>
      <c r="N248" s="212"/>
      <c r="O248" s="212"/>
      <c r="P248" s="212"/>
      <c r="Q248" s="1" t="s">
        <v>41055</v>
      </c>
      <c r="R248" s="1" t="s">
        <v>41056</v>
      </c>
      <c r="S248" s="1" t="s">
        <v>41058</v>
      </c>
      <c r="T248" s="228"/>
      <c r="U248" s="116"/>
      <c r="V248" s="116"/>
      <c r="W248" s="116"/>
      <c r="X248" s="116"/>
      <c r="Y248" s="116"/>
      <c r="Z248" s="116"/>
      <c r="AA248" s="116"/>
      <c r="AB248" s="116"/>
      <c r="AC248" s="116">
        <v>50000</v>
      </c>
      <c r="AD248" s="116">
        <v>100000</v>
      </c>
      <c r="AE248" s="116"/>
      <c r="AF248" s="241">
        <f>SUM(Tabela96[[#This Row], [jan/26]:[dez/26]])</f>
      </c>
      <c r="AG248" s="116">
        <v>150000</v>
      </c>
      <c r="AH248" s="240">
        <v>0</v>
      </c>
      <c r="AI248" s="240">
        <v>0</v>
      </c>
      <c r="AJ248" s="240">
        <v>0</v>
      </c>
      <c r="AK248" s="240">
        <f>SUM(Tabela96[[#This Row], [2026]:[2030]])</f>
      </c>
      <c r="AL248" s="240">
        <v>0</v>
      </c>
      <c r="AM248" s="240">
        <v>0</v>
      </c>
      <c r="AN248" s="240"/>
      <c r="AO248" s="240"/>
      <c r="AP248" s="240"/>
      <c r="AQ248" s="242">
        <f>SUM(Tabela96[[#This Row], [2026-2030]:[2035]])</f>
      </c>
      <c r="AR248" s="1"/>
      <c r="AS248" s="239" t="s">
        <v>41045</v>
      </c>
      <c r="AT248" s="247" t="s">
        <v>39970</v>
      </c>
      <c r="AU248" s="1"/>
      <c r="AV248" s="3"/>
      <c r="AW248" s="1" t="s">
        <v>39062</v>
      </c>
      <c r="AX248" s="2"/>
      <c r="AY248" s="2"/>
      <c r="AZ248" s="1" t="s">
        <v>41047</v>
      </c>
    </row>
    <row x14ac:dyDescent="0.25" r="249" customHeight="1" ht="24.75">
      <c r="A249" s="1"/>
      <c r="B249" s="237">
        <f>AND(ISTEXT('Consolidado-Eletronorte'!#REF!),SUM('Consolidado-Eletronorte'!#REF!)&gt;0)</f>
      </c>
      <c r="C249" s="238">
        <f>$J$3</f>
      </c>
      <c r="D249" s="238">
        <f>$H$3</f>
      </c>
      <c r="E249" s="238">
        <f>$H$4</f>
      </c>
      <c r="F249" s="210"/>
      <c r="G249" s="238">
        <f>_xlfn.CONCAT('Consolidado-Eletronorte'!#REF!,"_",ROW('Consolidado-Eletronorte'!#REF!)-ROW('Consolidado-Eletronorte'!$G$18))</f>
      </c>
      <c r="H249" s="212" t="s">
        <v>10</v>
      </c>
      <c r="I249" s="212" t="s">
        <v>87</v>
      </c>
      <c r="J249" s="212" t="s">
        <v>5</v>
      </c>
      <c r="K249" s="213" t="s">
        <v>16</v>
      </c>
      <c r="L249" s="212" t="s">
        <v>67</v>
      </c>
      <c r="M249" s="212"/>
      <c r="N249" s="212"/>
      <c r="O249" s="212"/>
      <c r="P249" s="212"/>
      <c r="Q249" s="1" t="s">
        <v>41055</v>
      </c>
      <c r="R249" s="1" t="s">
        <v>41056</v>
      </c>
      <c r="S249" s="1" t="s">
        <v>41059</v>
      </c>
      <c r="T249" s="228"/>
      <c r="U249" s="116"/>
      <c r="V249" s="116"/>
      <c r="W249" s="116"/>
      <c r="X249" s="116"/>
      <c r="Y249" s="116"/>
      <c r="Z249" s="116"/>
      <c r="AA249" s="116"/>
      <c r="AB249" s="116"/>
      <c r="AC249" s="116"/>
      <c r="AD249" s="116">
        <v>50000</v>
      </c>
      <c r="AE249" s="116"/>
      <c r="AF249" s="241">
        <f>SUM(Tabela96[[#This Row], [jan/26]:[dez/26]])</f>
      </c>
      <c r="AG249" s="116">
        <v>50000</v>
      </c>
      <c r="AH249" s="240">
        <v>0</v>
      </c>
      <c r="AI249" s="240">
        <v>0</v>
      </c>
      <c r="AJ249" s="240">
        <v>0</v>
      </c>
      <c r="AK249" s="240">
        <f>SUM(Tabela96[[#This Row], [2026]:[2030]])</f>
      </c>
      <c r="AL249" s="240">
        <v>0</v>
      </c>
      <c r="AM249" s="240"/>
      <c r="AN249" s="240">
        <v>0</v>
      </c>
      <c r="AO249" s="240">
        <v>0</v>
      </c>
      <c r="AP249" s="240"/>
      <c r="AQ249" s="242">
        <f>SUM(Tabela96[[#This Row], [2026-2030]:[2035]])</f>
      </c>
      <c r="AR249" s="1"/>
      <c r="AS249" s="239" t="s">
        <v>41045</v>
      </c>
      <c r="AT249" s="247" t="s">
        <v>39970</v>
      </c>
      <c r="AU249" s="1"/>
      <c r="AV249" s="3"/>
      <c r="AW249" s="1" t="s">
        <v>39062</v>
      </c>
      <c r="AX249" s="2"/>
      <c r="AY249" s="2"/>
      <c r="AZ249" s="1" t="s">
        <v>41047</v>
      </c>
    </row>
    <row x14ac:dyDescent="0.25" r="250" customHeight="1" ht="24.75">
      <c r="A250" s="1"/>
      <c r="B250" s="237">
        <f>AND(ISTEXT('Consolidado-Eletronorte'!#REF!),SUM('Consolidado-Eletronorte'!#REF!)&gt;0)</f>
      </c>
      <c r="C250" s="238">
        <f>$J$3</f>
      </c>
      <c r="D250" s="238">
        <f>$H$3</f>
      </c>
      <c r="E250" s="238">
        <f>$H$4</f>
      </c>
      <c r="F250" s="210"/>
      <c r="G250" s="238">
        <f>_xlfn.CONCAT('Consolidado-Eletronorte'!#REF!,"_",ROW('Consolidado-Eletronorte'!#REF!)-ROW('Consolidado-Eletronorte'!$G$18))</f>
      </c>
      <c r="H250" s="212" t="s">
        <v>10</v>
      </c>
      <c r="I250" s="212" t="s">
        <v>87</v>
      </c>
      <c r="J250" s="212" t="s">
        <v>5</v>
      </c>
      <c r="K250" s="213" t="s">
        <v>26</v>
      </c>
      <c r="L250" s="212" t="s">
        <v>26</v>
      </c>
      <c r="M250" s="212"/>
      <c r="N250" s="212"/>
      <c r="O250" s="212"/>
      <c r="P250" s="212"/>
      <c r="Q250" s="1" t="s">
        <v>41060</v>
      </c>
      <c r="R250" s="1" t="s">
        <v>41061</v>
      </c>
      <c r="S250" s="239" t="s">
        <v>38296</v>
      </c>
      <c r="T250" s="228"/>
      <c r="U250" s="116"/>
      <c r="V250" s="116"/>
      <c r="W250" s="116">
        <v>36000</v>
      </c>
      <c r="X250" s="116"/>
      <c r="Y250" s="116"/>
      <c r="Z250" s="116"/>
      <c r="AA250" s="116">
        <v>36000</v>
      </c>
      <c r="AB250" s="116"/>
      <c r="AC250" s="116"/>
      <c r="AD250" s="116"/>
      <c r="AE250" s="116"/>
      <c r="AF250" s="241">
        <f>SUM(Tabela96[[#This Row], [jan/26]:[dez/26]])</f>
      </c>
      <c r="AG250" s="116"/>
      <c r="AH250" s="240">
        <v>0</v>
      </c>
      <c r="AI250" s="240">
        <v>0</v>
      </c>
      <c r="AJ250" s="240">
        <v>0</v>
      </c>
      <c r="AK250" s="240">
        <f>SUM(Tabela96[[#This Row], [2026]:[2030]])</f>
      </c>
      <c r="AL250" s="240">
        <v>0</v>
      </c>
      <c r="AM250" s="240">
        <v>0</v>
      </c>
      <c r="AN250" s="240">
        <v>0</v>
      </c>
      <c r="AO250" s="240">
        <v>0</v>
      </c>
      <c r="AP250" s="240"/>
      <c r="AQ250" s="242">
        <f>SUM(Tabela96[[#This Row], [2026-2030]:[2035]])</f>
      </c>
      <c r="AR250" s="1"/>
      <c r="AS250" s="239" t="s">
        <v>41045</v>
      </c>
      <c r="AT250" s="243">
        <v>2024</v>
      </c>
      <c r="AU250" s="1" t="s">
        <v>41062</v>
      </c>
      <c r="AV250" s="3" t="s">
        <v>41063</v>
      </c>
      <c r="AW250" s="1" t="s">
        <v>46</v>
      </c>
      <c r="AX250" s="2"/>
      <c r="AY250" s="2"/>
      <c r="AZ250" s="1" t="s">
        <v>41047</v>
      </c>
    </row>
    <row x14ac:dyDescent="0.25" r="251" customHeight="1" ht="24.75">
      <c r="A251" s="1"/>
      <c r="B251" s="237">
        <f>AND(ISTEXT('Consolidado-Eletronorte'!#REF!),SUM('Consolidado-Eletronorte'!#REF!)&gt;0)</f>
      </c>
      <c r="C251" s="238">
        <f>$J$3</f>
      </c>
      <c r="D251" s="238">
        <f>$H$3</f>
      </c>
      <c r="E251" s="238">
        <f>$H$4</f>
      </c>
      <c r="F251" s="210"/>
      <c r="G251" s="238">
        <f>_xlfn.CONCAT('Consolidado-Eletronorte'!#REF!,"_",ROW('Consolidado-Eletronorte'!#REF!)-ROW('Consolidado-Eletronorte'!$G$18))</f>
      </c>
      <c r="H251" s="212" t="s">
        <v>10</v>
      </c>
      <c r="I251" s="212" t="s">
        <v>87</v>
      </c>
      <c r="J251" s="212" t="s">
        <v>5</v>
      </c>
      <c r="K251" s="213" t="s">
        <v>26</v>
      </c>
      <c r="L251" s="212" t="s">
        <v>26</v>
      </c>
      <c r="M251" s="212"/>
      <c r="N251" s="212"/>
      <c r="O251" s="212"/>
      <c r="P251" s="212"/>
      <c r="Q251" s="1" t="s">
        <v>41064</v>
      </c>
      <c r="R251" s="1" t="s">
        <v>41061</v>
      </c>
      <c r="S251" s="239" t="s">
        <v>38284</v>
      </c>
      <c r="T251" s="228"/>
      <c r="U251" s="116"/>
      <c r="V251" s="116"/>
      <c r="W251" s="116">
        <v>31000</v>
      </c>
      <c r="X251" s="116"/>
      <c r="Y251" s="116"/>
      <c r="Z251" s="116"/>
      <c r="AA251" s="116">
        <v>31000</v>
      </c>
      <c r="AB251" s="116"/>
      <c r="AC251" s="116"/>
      <c r="AD251" s="116"/>
      <c r="AE251" s="116"/>
      <c r="AF251" s="241">
        <f>SUM(Tabela96[[#This Row], [jan/26]:[dez/26]])</f>
      </c>
      <c r="AG251" s="116"/>
      <c r="AH251" s="240">
        <v>0</v>
      </c>
      <c r="AI251" s="240">
        <v>0</v>
      </c>
      <c r="AJ251" s="240">
        <v>0</v>
      </c>
      <c r="AK251" s="240">
        <f>SUM(Tabela96[[#This Row], [2026]:[2030]])</f>
      </c>
      <c r="AL251" s="240">
        <v>0</v>
      </c>
      <c r="AM251" s="240">
        <v>0</v>
      </c>
      <c r="AN251" s="240">
        <v>0</v>
      </c>
      <c r="AO251" s="240">
        <v>0</v>
      </c>
      <c r="AP251" s="240"/>
      <c r="AQ251" s="242">
        <f>SUM(Tabela96[[#This Row], [2026-2030]:[2035]])</f>
      </c>
      <c r="AR251" s="1"/>
      <c r="AS251" s="239" t="s">
        <v>41045</v>
      </c>
      <c r="AT251" s="243">
        <v>2024</v>
      </c>
      <c r="AU251" s="1" t="s">
        <v>41065</v>
      </c>
      <c r="AV251" s="3" t="s">
        <v>41066</v>
      </c>
      <c r="AW251" s="1" t="s">
        <v>46</v>
      </c>
      <c r="AX251" s="2"/>
      <c r="AY251" s="2"/>
      <c r="AZ251" s="1" t="s">
        <v>41047</v>
      </c>
    </row>
    <row x14ac:dyDescent="0.25" r="252" customHeight="1" ht="24.75">
      <c r="A252" s="1"/>
      <c r="B252" s="237">
        <f>AND(ISTEXT('Consolidado-Eletronorte'!#REF!),SUM('Consolidado-Eletronorte'!#REF!)&gt;0)</f>
      </c>
      <c r="C252" s="238">
        <f>$J$3</f>
      </c>
      <c r="D252" s="238">
        <f>$H$3</f>
      </c>
      <c r="E252" s="238">
        <f>$H$4</f>
      </c>
      <c r="F252" s="210"/>
      <c r="G252" s="238">
        <f>_xlfn.CONCAT('Consolidado-Eletronorte'!#REF!,"_",ROW('Consolidado-Eletronorte'!#REF!)-ROW('Consolidado-Eletronorte'!$G$18))</f>
      </c>
      <c r="H252" s="212" t="s">
        <v>10</v>
      </c>
      <c r="I252" s="212" t="s">
        <v>87</v>
      </c>
      <c r="J252" s="212" t="s">
        <v>5</v>
      </c>
      <c r="K252" s="213" t="s">
        <v>26</v>
      </c>
      <c r="L252" s="212" t="s">
        <v>26</v>
      </c>
      <c r="M252" s="212"/>
      <c r="N252" s="212"/>
      <c r="O252" s="212"/>
      <c r="P252" s="212"/>
      <c r="Q252" s="1" t="s">
        <v>41067</v>
      </c>
      <c r="R252" s="1" t="s">
        <v>41068</v>
      </c>
      <c r="S252" s="1" t="s">
        <v>38294</v>
      </c>
      <c r="T252" s="228"/>
      <c r="U252" s="116"/>
      <c r="V252" s="116"/>
      <c r="W252" s="116">
        <v>400000</v>
      </c>
      <c r="X252" s="116">
        <v>400000</v>
      </c>
      <c r="Y252" s="116"/>
      <c r="Z252" s="116"/>
      <c r="AA252" s="116"/>
      <c r="AB252" s="116"/>
      <c r="AC252" s="116"/>
      <c r="AD252" s="116"/>
      <c r="AE252" s="116"/>
      <c r="AF252" s="241">
        <f>SUM(Tabela96[[#This Row], [jan/26]:[dez/26]])</f>
      </c>
      <c r="AG252" s="116"/>
      <c r="AH252" s="240">
        <v>0</v>
      </c>
      <c r="AI252" s="240">
        <v>0</v>
      </c>
      <c r="AJ252" s="240">
        <v>0</v>
      </c>
      <c r="AK252" s="240">
        <f>SUM(Tabela96[[#This Row], [2026]:[2030]])</f>
      </c>
      <c r="AL252" s="240">
        <v>0</v>
      </c>
      <c r="AM252" s="240"/>
      <c r="AN252" s="240"/>
      <c r="AO252" s="240"/>
      <c r="AP252" s="240"/>
      <c r="AQ252" s="242">
        <f>SUM(Tabela96[[#This Row], [2026-2030]:[2035]])</f>
      </c>
      <c r="AR252" s="1"/>
      <c r="AS252" s="239" t="s">
        <v>41045</v>
      </c>
      <c r="AT252" s="243">
        <v>2025</v>
      </c>
      <c r="AU252" s="1" t="s">
        <v>41069</v>
      </c>
      <c r="AV252" s="13" t="s">
        <v>41070</v>
      </c>
      <c r="AW252" s="1" t="s">
        <v>46</v>
      </c>
      <c r="AX252" s="2"/>
      <c r="AY252" s="2"/>
      <c r="AZ252" s="1" t="s">
        <v>41047</v>
      </c>
    </row>
    <row x14ac:dyDescent="0.25" r="253" customHeight="1" ht="24.75">
      <c r="A253" s="1"/>
      <c r="B253" s="237">
        <f>AND(ISTEXT('Consolidado-Eletronorte'!#REF!),SUM('Consolidado-Eletronorte'!#REF!)&gt;0)</f>
      </c>
      <c r="C253" s="238">
        <f>$J$3</f>
      </c>
      <c r="D253" s="238">
        <f>$H$3</f>
      </c>
      <c r="E253" s="238">
        <f>$H$4</f>
      </c>
      <c r="F253" s="210"/>
      <c r="G253" s="238">
        <f>_xlfn.CONCAT('Consolidado-Eletronorte'!#REF!,"_",ROW('Consolidado-Eletronorte'!#REF!)-ROW('Consolidado-Eletronorte'!$G$18))</f>
      </c>
      <c r="H253" s="212" t="s">
        <v>10</v>
      </c>
      <c r="I253" s="212" t="s">
        <v>87</v>
      </c>
      <c r="J253" s="212" t="s">
        <v>5</v>
      </c>
      <c r="K253" s="213" t="s">
        <v>16</v>
      </c>
      <c r="L253" s="212" t="s">
        <v>67</v>
      </c>
      <c r="M253" s="212"/>
      <c r="N253" s="212"/>
      <c r="O253" s="212"/>
      <c r="P253" s="212"/>
      <c r="Q253" s="239" t="s">
        <v>41071</v>
      </c>
      <c r="R253" s="239" t="s">
        <v>41072</v>
      </c>
      <c r="S253" s="239" t="s">
        <v>38296</v>
      </c>
      <c r="T253" s="39"/>
      <c r="U253" s="39"/>
      <c r="V253" s="128"/>
      <c r="W253" s="128"/>
      <c r="X253" s="22"/>
      <c r="Y253" s="22"/>
      <c r="Z253" s="22"/>
      <c r="AA253" s="22"/>
      <c r="AB253" s="22"/>
      <c r="AC253" s="22"/>
      <c r="AD253" s="22"/>
      <c r="AE253" s="22"/>
      <c r="AF253" s="241">
        <f>SUM(Tabela96[[#This Row], [jan/26]:[dez/26]])</f>
      </c>
      <c r="AG253" s="240">
        <v>400000</v>
      </c>
      <c r="AH253" s="240">
        <v>0</v>
      </c>
      <c r="AI253" s="240">
        <v>0</v>
      </c>
      <c r="AJ253" s="240">
        <v>0</v>
      </c>
      <c r="AK253" s="240">
        <f>SUM(Tabela96[[#This Row], [2026]:[2030]])</f>
      </c>
      <c r="AL253" s="240">
        <v>0</v>
      </c>
      <c r="AM253" s="240">
        <v>0</v>
      </c>
      <c r="AN253" s="240">
        <v>0</v>
      </c>
      <c r="AO253" s="240">
        <v>0</v>
      </c>
      <c r="AP253" s="240"/>
      <c r="AQ253" s="242">
        <f>SUM(Tabela96[[#This Row], [2026-2030]:[2035]])</f>
      </c>
      <c r="AR253" s="1"/>
      <c r="AS253" s="239" t="s">
        <v>40352</v>
      </c>
      <c r="AT253" s="247" t="s">
        <v>39060</v>
      </c>
      <c r="AU253" s="239" t="s">
        <v>41073</v>
      </c>
      <c r="AV253" s="3"/>
      <c r="AW253" s="239" t="s">
        <v>39062</v>
      </c>
      <c r="AX253" s="2"/>
      <c r="AY253" s="2"/>
      <c r="AZ253" s="239" t="s">
        <v>40448</v>
      </c>
    </row>
    <row x14ac:dyDescent="0.25" r="254" customHeight="1" ht="24.75">
      <c r="A254" s="1"/>
      <c r="B254" s="237">
        <f>AND(ISTEXT('Consolidado-Eletronorte'!#REF!),SUM('Consolidado-Eletronorte'!#REF!)&gt;0)</f>
      </c>
      <c r="C254" s="238">
        <f>$J$3</f>
      </c>
      <c r="D254" s="238">
        <f>$H$3</f>
      </c>
      <c r="E254" s="238">
        <f>$H$4</f>
      </c>
      <c r="F254" s="210"/>
      <c r="G254" s="238">
        <f>_xlfn.CONCAT('Consolidado-Eletronorte'!#REF!,"_",ROW('Consolidado-Eletronorte'!#REF!)-ROW('Consolidado-Eletronorte'!$G$18))</f>
      </c>
      <c r="H254" s="212" t="s">
        <v>10</v>
      </c>
      <c r="I254" s="212" t="s">
        <v>87</v>
      </c>
      <c r="J254" s="212" t="s">
        <v>5</v>
      </c>
      <c r="K254" s="213" t="s">
        <v>16</v>
      </c>
      <c r="L254" s="212" t="s">
        <v>67</v>
      </c>
      <c r="M254" s="212"/>
      <c r="N254" s="212"/>
      <c r="O254" s="212"/>
      <c r="P254" s="212"/>
      <c r="Q254" s="239" t="s">
        <v>41074</v>
      </c>
      <c r="R254" s="239" t="s">
        <v>41075</v>
      </c>
      <c r="S254" s="239" t="s">
        <v>40666</v>
      </c>
      <c r="T254" s="240"/>
      <c r="U254" s="240"/>
      <c r="V254" s="240"/>
      <c r="W254" s="240"/>
      <c r="X254" s="240"/>
      <c r="Y254" s="240"/>
      <c r="Z254" s="240"/>
      <c r="AA254" s="240"/>
      <c r="AB254" s="240">
        <v>5706</v>
      </c>
      <c r="AC254" s="240"/>
      <c r="AD254" s="240"/>
      <c r="AE254" s="240"/>
      <c r="AF254" s="241">
        <f>SUM(Tabela96[[#This Row], [jan/26]:[dez/26]])</f>
      </c>
      <c r="AG254" s="240">
        <v>46653</v>
      </c>
      <c r="AH254" s="240">
        <v>140414</v>
      </c>
      <c r="AI254" s="240">
        <v>94825</v>
      </c>
      <c r="AJ254" s="240">
        <v>18781</v>
      </c>
      <c r="AK254" s="240">
        <f>SUM(Tabela96[[#This Row], [2026]:[2030]])</f>
      </c>
      <c r="AL254" s="240">
        <v>0</v>
      </c>
      <c r="AM254" s="240">
        <v>0</v>
      </c>
      <c r="AN254" s="240">
        <v>0</v>
      </c>
      <c r="AO254" s="240">
        <v>0</v>
      </c>
      <c r="AP254" s="240">
        <v>0</v>
      </c>
      <c r="AQ254" s="242">
        <f>SUM(Tabela96[[#This Row], [2026-2030]:[2035]])</f>
      </c>
      <c r="AR254" s="1"/>
      <c r="AS254" s="239" t="s">
        <v>41076</v>
      </c>
      <c r="AT254" s="247" t="s">
        <v>39060</v>
      </c>
      <c r="AU254" s="3" t="s">
        <v>41077</v>
      </c>
      <c r="AV254" s="3"/>
      <c r="AW254" s="239" t="s">
        <v>39062</v>
      </c>
      <c r="AX254" s="2"/>
      <c r="AY254" s="2"/>
      <c r="AZ254" s="239" t="s">
        <v>41078</v>
      </c>
    </row>
    <row x14ac:dyDescent="0.25" r="255" customHeight="1" ht="24.75">
      <c r="A255" s="1"/>
      <c r="B255" s="237">
        <f>AND(ISTEXT('Consolidado-Eletronorte'!#REF!),SUM('Consolidado-Eletronorte'!#REF!)&gt;0)</f>
      </c>
      <c r="C255" s="238">
        <f>$J$3</f>
      </c>
      <c r="D255" s="238">
        <f>$H$3</f>
      </c>
      <c r="E255" s="238">
        <f>$H$4</f>
      </c>
      <c r="F255" s="210"/>
      <c r="G255" s="238">
        <f>_xlfn.CONCAT('Consolidado-Eletronorte'!#REF!,"_",ROW('Consolidado-Eletronorte'!#REF!)-ROW('Consolidado-Eletronorte'!$G$18))</f>
      </c>
      <c r="H255" s="212" t="s">
        <v>10</v>
      </c>
      <c r="I255" s="212" t="s">
        <v>87</v>
      </c>
      <c r="J255" s="212" t="s">
        <v>5</v>
      </c>
      <c r="K255" s="213" t="s">
        <v>16</v>
      </c>
      <c r="L255" s="212" t="s">
        <v>67</v>
      </c>
      <c r="M255" s="212"/>
      <c r="N255" s="212"/>
      <c r="O255" s="212"/>
      <c r="P255" s="212"/>
      <c r="Q255" s="239" t="s">
        <v>41079</v>
      </c>
      <c r="R255" s="239" t="s">
        <v>41075</v>
      </c>
      <c r="S255" s="239" t="s">
        <v>40666</v>
      </c>
      <c r="T255" s="240"/>
      <c r="U255" s="240"/>
      <c r="V255" s="240"/>
      <c r="W255" s="240"/>
      <c r="X255" s="240"/>
      <c r="Y255" s="240"/>
      <c r="Z255" s="240"/>
      <c r="AA255" s="240"/>
      <c r="AB255" s="240">
        <v>2484</v>
      </c>
      <c r="AC255" s="240"/>
      <c r="AD255" s="240"/>
      <c r="AE255" s="240"/>
      <c r="AF255" s="241">
        <f>SUM(Tabela96[[#This Row], [jan/26]:[dez/26]])</f>
      </c>
      <c r="AG255" s="240">
        <v>34029</v>
      </c>
      <c r="AH255" s="240">
        <v>98315</v>
      </c>
      <c r="AI255" s="240">
        <v>66322</v>
      </c>
      <c r="AJ255" s="240">
        <v>13136</v>
      </c>
      <c r="AK255" s="240">
        <f>SUM(Tabela96[[#This Row], [2026]:[2030]])</f>
      </c>
      <c r="AL255" s="240">
        <v>0</v>
      </c>
      <c r="AM255" s="240">
        <v>0</v>
      </c>
      <c r="AN255" s="240">
        <v>0</v>
      </c>
      <c r="AO255" s="240">
        <v>0</v>
      </c>
      <c r="AP255" s="240">
        <v>0</v>
      </c>
      <c r="AQ255" s="242">
        <f>SUM(Tabela96[[#This Row], [2026-2030]:[2035]])</f>
      </c>
      <c r="AR255" s="1"/>
      <c r="AS255" s="239" t="s">
        <v>41076</v>
      </c>
      <c r="AT255" s="247" t="s">
        <v>39060</v>
      </c>
      <c r="AU255" s="3" t="s">
        <v>41080</v>
      </c>
      <c r="AV255" s="3"/>
      <c r="AW255" s="239" t="s">
        <v>39062</v>
      </c>
      <c r="AX255" s="2"/>
      <c r="AY255" s="2"/>
      <c r="AZ255" s="239" t="s">
        <v>41078</v>
      </c>
    </row>
    <row x14ac:dyDescent="0.25" r="256" customHeight="1" ht="24.75">
      <c r="A256" s="1"/>
      <c r="B256" s="237">
        <f>AND(ISTEXT('Consolidado-Eletronorte'!#REF!),SUM('Consolidado-Eletronorte'!#REF!)&gt;0)</f>
      </c>
      <c r="C256" s="238">
        <f>$J$3</f>
      </c>
      <c r="D256" s="238">
        <f>$H$3</f>
      </c>
      <c r="E256" s="238">
        <f>$H$4</f>
      </c>
      <c r="F256" s="210"/>
      <c r="G256" s="238">
        <f>_xlfn.CONCAT('Consolidado-Eletronorte'!#REF!,"_",ROW('Consolidado-Eletronorte'!#REF!)-ROW('Consolidado-Eletronorte'!$G$18))</f>
      </c>
      <c r="H256" s="212" t="s">
        <v>10</v>
      </c>
      <c r="I256" s="212" t="s">
        <v>87</v>
      </c>
      <c r="J256" s="212" t="s">
        <v>5</v>
      </c>
      <c r="K256" s="213" t="s">
        <v>16</v>
      </c>
      <c r="L256" s="212" t="s">
        <v>67</v>
      </c>
      <c r="M256" s="212"/>
      <c r="N256" s="212"/>
      <c r="O256" s="212"/>
      <c r="P256" s="212"/>
      <c r="Q256" s="239" t="s">
        <v>41081</v>
      </c>
      <c r="R256" s="239" t="s">
        <v>41075</v>
      </c>
      <c r="S256" s="239" t="s">
        <v>40666</v>
      </c>
      <c r="T256" s="240"/>
      <c r="U256" s="240"/>
      <c r="V256" s="240"/>
      <c r="W256" s="240"/>
      <c r="X256" s="240"/>
      <c r="Y256" s="240"/>
      <c r="Z256" s="240"/>
      <c r="AA256" s="240"/>
      <c r="AB256" s="240">
        <v>2484</v>
      </c>
      <c r="AC256" s="240"/>
      <c r="AD256" s="240"/>
      <c r="AE256" s="240"/>
      <c r="AF256" s="241">
        <f>SUM(Tabela96[[#This Row], [jan/26]:[dez/26]])</f>
      </c>
      <c r="AG256" s="240">
        <v>34029</v>
      </c>
      <c r="AH256" s="240">
        <v>98315</v>
      </c>
      <c r="AI256" s="240">
        <v>66322</v>
      </c>
      <c r="AJ256" s="240">
        <v>13136</v>
      </c>
      <c r="AK256" s="240">
        <f>SUM(Tabela96[[#This Row], [2026]:[2030]])</f>
      </c>
      <c r="AL256" s="240">
        <v>0</v>
      </c>
      <c r="AM256" s="240">
        <v>0</v>
      </c>
      <c r="AN256" s="240">
        <v>0</v>
      </c>
      <c r="AO256" s="240">
        <v>0</v>
      </c>
      <c r="AP256" s="240">
        <v>0</v>
      </c>
      <c r="AQ256" s="242">
        <f>SUM(Tabela96[[#This Row], [2026-2030]:[2035]])</f>
      </c>
      <c r="AR256" s="1"/>
      <c r="AS256" s="239" t="s">
        <v>41076</v>
      </c>
      <c r="AT256" s="247" t="s">
        <v>39060</v>
      </c>
      <c r="AU256" s="3" t="s">
        <v>41082</v>
      </c>
      <c r="AV256" s="3"/>
      <c r="AW256" s="239" t="s">
        <v>39062</v>
      </c>
      <c r="AX256" s="2"/>
      <c r="AY256" s="2"/>
      <c r="AZ256" s="239" t="s">
        <v>41078</v>
      </c>
    </row>
    <row x14ac:dyDescent="0.25" r="257" customHeight="1" ht="24.75">
      <c r="A257" s="1"/>
      <c r="B257" s="237">
        <f>AND(ISTEXT('Consolidado-Eletronorte'!#REF!),SUM('Consolidado-Eletronorte'!#REF!)&gt;0)</f>
      </c>
      <c r="C257" s="238">
        <f>$J$3</f>
      </c>
      <c r="D257" s="238">
        <f>$H$3</f>
      </c>
      <c r="E257" s="238">
        <f>$H$4</f>
      </c>
      <c r="F257" s="210"/>
      <c r="G257" s="238">
        <f>_xlfn.CONCAT('Consolidado-Eletronorte'!#REF!,"_",ROW('Consolidado-Eletronorte'!#REF!)-ROW('Consolidado-Eletronorte'!$G$18))</f>
      </c>
      <c r="H257" s="212" t="s">
        <v>10</v>
      </c>
      <c r="I257" s="212" t="s">
        <v>87</v>
      </c>
      <c r="J257" s="212" t="s">
        <v>5</v>
      </c>
      <c r="K257" s="213" t="s">
        <v>16</v>
      </c>
      <c r="L257" s="212" t="s">
        <v>67</v>
      </c>
      <c r="M257" s="212"/>
      <c r="N257" s="212"/>
      <c r="O257" s="212"/>
      <c r="P257" s="212"/>
      <c r="Q257" s="239" t="s">
        <v>41079</v>
      </c>
      <c r="R257" s="239" t="s">
        <v>41083</v>
      </c>
      <c r="S257" s="239" t="s">
        <v>40666</v>
      </c>
      <c r="T257" s="240"/>
      <c r="U257" s="240"/>
      <c r="V257" s="240"/>
      <c r="W257" s="240"/>
      <c r="X257" s="240"/>
      <c r="Y257" s="240"/>
      <c r="Z257" s="240"/>
      <c r="AA257" s="240"/>
      <c r="AB257" s="240">
        <v>2484</v>
      </c>
      <c r="AC257" s="240"/>
      <c r="AD257" s="240"/>
      <c r="AE257" s="240"/>
      <c r="AF257" s="241">
        <f>SUM(Tabela96[[#This Row], [jan/26]:[dez/26]])</f>
      </c>
      <c r="AG257" s="240">
        <v>34029</v>
      </c>
      <c r="AH257" s="240">
        <v>98315</v>
      </c>
      <c r="AI257" s="240">
        <v>66322</v>
      </c>
      <c r="AJ257" s="240">
        <v>13136</v>
      </c>
      <c r="AK257" s="240">
        <f>SUM(Tabela96[[#This Row], [2026]:[2030]])</f>
      </c>
      <c r="AL257" s="240">
        <v>0</v>
      </c>
      <c r="AM257" s="240">
        <v>0</v>
      </c>
      <c r="AN257" s="240">
        <v>0</v>
      </c>
      <c r="AO257" s="240">
        <v>0</v>
      </c>
      <c r="AP257" s="240">
        <v>0</v>
      </c>
      <c r="AQ257" s="242">
        <f>SUM(Tabela96[[#This Row], [2026-2030]:[2035]])</f>
      </c>
      <c r="AR257" s="1"/>
      <c r="AS257" s="239" t="s">
        <v>41076</v>
      </c>
      <c r="AT257" s="247" t="s">
        <v>39060</v>
      </c>
      <c r="AU257" s="3" t="s">
        <v>41084</v>
      </c>
      <c r="AV257" s="3"/>
      <c r="AW257" s="239" t="s">
        <v>39062</v>
      </c>
      <c r="AX257" s="2"/>
      <c r="AY257" s="2"/>
      <c r="AZ257" s="239" t="s">
        <v>41078</v>
      </c>
    </row>
    <row x14ac:dyDescent="0.25" r="258" customHeight="1" ht="24.75">
      <c r="A258" s="1"/>
      <c r="B258" s="237">
        <f>AND(ISTEXT('Consolidado-Eletronorte'!#REF!),SUM('Consolidado-Eletronorte'!#REF!)&gt;0)</f>
      </c>
      <c r="C258" s="238">
        <f>$J$3</f>
      </c>
      <c r="D258" s="238">
        <f>$H$3</f>
      </c>
      <c r="E258" s="238">
        <f>$H$4</f>
      </c>
      <c r="F258" s="210"/>
      <c r="G258" s="238">
        <f>_xlfn.CONCAT('Consolidado-Eletronorte'!#REF!,"_",ROW('Consolidado-Eletronorte'!#REF!)-ROW('Consolidado-Eletronorte'!$G$18))</f>
      </c>
      <c r="H258" s="212" t="s">
        <v>10</v>
      </c>
      <c r="I258" s="212" t="s">
        <v>87</v>
      </c>
      <c r="J258" s="212" t="s">
        <v>5</v>
      </c>
      <c r="K258" s="213" t="s">
        <v>16</v>
      </c>
      <c r="L258" s="212" t="s">
        <v>67</v>
      </c>
      <c r="M258" s="212"/>
      <c r="N258" s="212"/>
      <c r="O258" s="212"/>
      <c r="P258" s="212"/>
      <c r="Q258" s="239" t="s">
        <v>41081</v>
      </c>
      <c r="R258" s="239" t="s">
        <v>41083</v>
      </c>
      <c r="S258" s="239" t="s">
        <v>40666</v>
      </c>
      <c r="T258" s="240"/>
      <c r="U258" s="240"/>
      <c r="V258" s="240"/>
      <c r="W258" s="240"/>
      <c r="X258" s="240"/>
      <c r="Y258" s="240"/>
      <c r="Z258" s="240"/>
      <c r="AA258" s="240"/>
      <c r="AB258" s="240">
        <v>2484</v>
      </c>
      <c r="AC258" s="240"/>
      <c r="AD258" s="240"/>
      <c r="AE258" s="240"/>
      <c r="AF258" s="241">
        <f>SUM(Tabela96[[#This Row], [jan/26]:[dez/26]])</f>
      </c>
      <c r="AG258" s="240">
        <v>34029</v>
      </c>
      <c r="AH258" s="240">
        <v>98315</v>
      </c>
      <c r="AI258" s="240">
        <v>66322</v>
      </c>
      <c r="AJ258" s="240">
        <v>13136</v>
      </c>
      <c r="AK258" s="240">
        <f>SUM(Tabela96[[#This Row], [2026]:[2030]])</f>
      </c>
      <c r="AL258" s="240">
        <v>0</v>
      </c>
      <c r="AM258" s="240">
        <v>0</v>
      </c>
      <c r="AN258" s="240">
        <v>0</v>
      </c>
      <c r="AO258" s="240">
        <v>0</v>
      </c>
      <c r="AP258" s="240">
        <v>0</v>
      </c>
      <c r="AQ258" s="242">
        <f>SUM(Tabela96[[#This Row], [2026-2030]:[2035]])</f>
      </c>
      <c r="AR258" s="1"/>
      <c r="AS258" s="239" t="s">
        <v>41076</v>
      </c>
      <c r="AT258" s="247" t="s">
        <v>39060</v>
      </c>
      <c r="AU258" s="3" t="s">
        <v>41085</v>
      </c>
      <c r="AV258" s="3"/>
      <c r="AW258" s="239" t="s">
        <v>39062</v>
      </c>
      <c r="AX258" s="2"/>
      <c r="AY258" s="2"/>
      <c r="AZ258" s="239" t="s">
        <v>41078</v>
      </c>
    </row>
    <row x14ac:dyDescent="0.25" r="259" customHeight="1" ht="24.75">
      <c r="A259" s="1"/>
      <c r="B259" s="237">
        <f>AND(ISTEXT('Consolidado-Eletronorte'!#REF!),SUM('Consolidado-Eletronorte'!#REF!)&gt;0)</f>
      </c>
      <c r="C259" s="238">
        <f>$J$3</f>
      </c>
      <c r="D259" s="238">
        <f>$H$3</f>
      </c>
      <c r="E259" s="238">
        <f>$H$4</f>
      </c>
      <c r="F259" s="210"/>
      <c r="G259" s="238">
        <f>_xlfn.CONCAT('Consolidado-Eletronorte'!#REF!,"_",ROW('Consolidado-Eletronorte'!#REF!)-ROW('Consolidado-Eletronorte'!$G$18))</f>
      </c>
      <c r="H259" s="212" t="s">
        <v>10</v>
      </c>
      <c r="I259" s="212" t="s">
        <v>87</v>
      </c>
      <c r="J259" s="212" t="s">
        <v>5</v>
      </c>
      <c r="K259" s="213" t="s">
        <v>16</v>
      </c>
      <c r="L259" s="212" t="s">
        <v>67</v>
      </c>
      <c r="M259" s="212"/>
      <c r="N259" s="212"/>
      <c r="O259" s="212"/>
      <c r="P259" s="212"/>
      <c r="Q259" s="239" t="s">
        <v>41086</v>
      </c>
      <c r="R259" s="239" t="s">
        <v>41087</v>
      </c>
      <c r="S259" s="239" t="s">
        <v>38296</v>
      </c>
      <c r="T259" s="240"/>
      <c r="U259" s="240"/>
      <c r="V259" s="240"/>
      <c r="W259" s="240"/>
      <c r="X259" s="240"/>
      <c r="Y259" s="240"/>
      <c r="Z259" s="240">
        <v>115000</v>
      </c>
      <c r="AA259" s="240"/>
      <c r="AB259" s="240"/>
      <c r="AC259" s="240"/>
      <c r="AD259" s="240"/>
      <c r="AE259" s="240"/>
      <c r="AF259" s="241">
        <f>SUM(Tabela96[[#This Row], [jan/26]:[dez/26]])</f>
      </c>
      <c r="AG259" s="240">
        <v>0</v>
      </c>
      <c r="AH259" s="240">
        <v>0</v>
      </c>
      <c r="AI259" s="240">
        <v>0</v>
      </c>
      <c r="AJ259" s="240">
        <v>0</v>
      </c>
      <c r="AK259" s="240">
        <f>SUM(Tabela96[[#This Row], [2026]:[2030]])</f>
      </c>
      <c r="AL259" s="240">
        <v>0</v>
      </c>
      <c r="AM259" s="240">
        <v>0</v>
      </c>
      <c r="AN259" s="240">
        <v>0</v>
      </c>
      <c r="AO259" s="240">
        <v>0</v>
      </c>
      <c r="AP259" s="240">
        <v>0</v>
      </c>
      <c r="AQ259" s="242">
        <f>SUM(Tabela96[[#This Row], [2026-2030]:[2035]])</f>
      </c>
      <c r="AR259" s="1"/>
      <c r="AS259" s="239" t="s">
        <v>40904</v>
      </c>
      <c r="AT259" s="247" t="s">
        <v>39060</v>
      </c>
      <c r="AU259" s="3" t="s">
        <v>41088</v>
      </c>
      <c r="AV259" s="3"/>
      <c r="AW259" s="239" t="s">
        <v>39062</v>
      </c>
      <c r="AX259" s="2"/>
      <c r="AY259" s="2"/>
      <c r="AZ259" s="239" t="s">
        <v>40906</v>
      </c>
    </row>
    <row x14ac:dyDescent="0.25" r="260" customHeight="1" ht="24.75">
      <c r="A260" s="1"/>
      <c r="B260" s="237">
        <f>AND(ISTEXT('Consolidado-Eletronorte'!#REF!),SUM('Consolidado-Eletronorte'!#REF!)&gt;0)</f>
      </c>
      <c r="C260" s="238">
        <f>$J$3</f>
      </c>
      <c r="D260" s="238">
        <f>$H$3</f>
      </c>
      <c r="E260" s="238">
        <f>$H$4</f>
      </c>
      <c r="F260" s="210"/>
      <c r="G260" s="238">
        <f>_xlfn.CONCAT('Consolidado-Eletronorte'!#REF!,"_",ROW('Consolidado-Eletronorte'!#REF!)-ROW('Consolidado-Eletronorte'!$G$18))</f>
      </c>
      <c r="H260" s="212" t="s">
        <v>10</v>
      </c>
      <c r="I260" s="212" t="s">
        <v>87</v>
      </c>
      <c r="J260" s="212" t="s">
        <v>5</v>
      </c>
      <c r="K260" s="213" t="s">
        <v>16</v>
      </c>
      <c r="L260" s="212" t="s">
        <v>67</v>
      </c>
      <c r="M260" s="1"/>
      <c r="N260" s="212"/>
      <c r="O260" s="212"/>
      <c r="P260" s="212"/>
      <c r="Q260" s="239" t="s">
        <v>41089</v>
      </c>
      <c r="R260" s="239" t="s">
        <v>41090</v>
      </c>
      <c r="S260" s="239" t="s">
        <v>38290</v>
      </c>
      <c r="T260" s="240"/>
      <c r="U260" s="240"/>
      <c r="V260" s="240"/>
      <c r="W260" s="240"/>
      <c r="X260" s="240"/>
      <c r="Y260" s="240"/>
      <c r="Z260" s="240"/>
      <c r="AA260" s="240"/>
      <c r="AB260" s="240">
        <v>70000</v>
      </c>
      <c r="AC260" s="240"/>
      <c r="AD260" s="240"/>
      <c r="AE260" s="240"/>
      <c r="AF260" s="241">
        <f>SUM(Tabela96[[#This Row], [jan/26]:[dez/26]])</f>
      </c>
      <c r="AG260" s="240">
        <v>0</v>
      </c>
      <c r="AH260" s="240">
        <v>0</v>
      </c>
      <c r="AI260" s="240">
        <v>0</v>
      </c>
      <c r="AJ260" s="240">
        <v>0</v>
      </c>
      <c r="AK260" s="240">
        <f>SUM(Tabela96[[#This Row], [2026]:[2030]])</f>
      </c>
      <c r="AL260" s="240">
        <v>0</v>
      </c>
      <c r="AM260" s="240">
        <v>0</v>
      </c>
      <c r="AN260" s="240">
        <v>0</v>
      </c>
      <c r="AO260" s="240">
        <v>0</v>
      </c>
      <c r="AP260" s="240">
        <v>0</v>
      </c>
      <c r="AQ260" s="242">
        <f>SUM(Tabela96[[#This Row], [2026-2030]:[2035]])</f>
      </c>
      <c r="AR260" s="1"/>
      <c r="AS260" s="239" t="s">
        <v>40904</v>
      </c>
      <c r="AT260" s="247" t="s">
        <v>39060</v>
      </c>
      <c r="AU260" s="3" t="s">
        <v>41091</v>
      </c>
      <c r="AV260" s="3"/>
      <c r="AW260" s="239" t="s">
        <v>39062</v>
      </c>
      <c r="AX260" s="2"/>
      <c r="AY260" s="2"/>
      <c r="AZ260" s="239" t="s">
        <v>40906</v>
      </c>
    </row>
    <row x14ac:dyDescent="0.25" r="261" customHeight="1" ht="24.75">
      <c r="A261" s="1"/>
      <c r="B261" s="237">
        <f>AND(ISTEXT('Consolidado-Eletronorte'!#REF!),SUM('Consolidado-Eletronorte'!#REF!)&gt;0)</f>
      </c>
      <c r="C261" s="238">
        <f>$J$3</f>
      </c>
      <c r="D261" s="238">
        <f>$H$3</f>
      </c>
      <c r="E261" s="238">
        <f>$H$4</f>
      </c>
      <c r="F261" s="210"/>
      <c r="G261" s="238">
        <f>_xlfn.CONCAT('Consolidado-Eletronorte'!#REF!,"_",ROW('Consolidado-Eletronorte'!#REF!)-ROW('Consolidado-Eletronorte'!$G$18))</f>
      </c>
      <c r="H261" s="212" t="s">
        <v>10</v>
      </c>
      <c r="I261" s="212" t="s">
        <v>87</v>
      </c>
      <c r="J261" s="212" t="s">
        <v>5</v>
      </c>
      <c r="K261" s="213" t="s">
        <v>16</v>
      </c>
      <c r="L261" s="212" t="s">
        <v>67</v>
      </c>
      <c r="M261" s="1"/>
      <c r="N261" s="212"/>
      <c r="O261" s="212"/>
      <c r="P261" s="212"/>
      <c r="Q261" s="239" t="s">
        <v>41092</v>
      </c>
      <c r="R261" s="239" t="s">
        <v>41093</v>
      </c>
      <c r="S261" s="239" t="s">
        <v>41094</v>
      </c>
      <c r="T261" s="128"/>
      <c r="U261" s="39"/>
      <c r="V261" s="39"/>
      <c r="W261" s="39"/>
      <c r="X261" s="128"/>
      <c r="Y261" s="128"/>
      <c r="Z261" s="22"/>
      <c r="AA261" s="22"/>
      <c r="AB261" s="22"/>
      <c r="AC261" s="22"/>
      <c r="AD261" s="22"/>
      <c r="AE261" s="22"/>
      <c r="AF261" s="241">
        <f>SUM(Tabela96[[#This Row], [jan/26]:[dez/26]])</f>
      </c>
      <c r="AG261" s="248"/>
      <c r="AH261" s="240">
        <v>627000</v>
      </c>
      <c r="AI261" s="248"/>
      <c r="AJ261" s="248"/>
      <c r="AK261" s="240">
        <f>SUM(Tabela96[[#This Row], [2026]:[2030]])</f>
      </c>
      <c r="AL261" s="248"/>
      <c r="AM261" s="248"/>
      <c r="AN261" s="248"/>
      <c r="AO261" s="248"/>
      <c r="AP261" s="248"/>
      <c r="AQ261" s="242">
        <f>SUM(Tabela96[[#This Row], [2026-2030]:[2035]])</f>
      </c>
      <c r="AR261" s="1"/>
      <c r="AS261" s="239" t="s">
        <v>41076</v>
      </c>
      <c r="AT261" s="247" t="s">
        <v>39060</v>
      </c>
      <c r="AU261" s="3" t="s">
        <v>41095</v>
      </c>
      <c r="AV261" s="3"/>
      <c r="AW261" s="239" t="s">
        <v>39062</v>
      </c>
      <c r="AX261" s="2"/>
      <c r="AY261" s="2"/>
      <c r="AZ261" s="239" t="s">
        <v>41078</v>
      </c>
    </row>
    <row x14ac:dyDescent="0.25" r="262" customHeight="1" ht="24.75">
      <c r="A262" s="1"/>
      <c r="B262" s="209"/>
      <c r="C262" s="210"/>
      <c r="D262" s="211"/>
      <c r="E262" s="211"/>
      <c r="F262" s="210"/>
      <c r="G262" s="210"/>
      <c r="H262" s="212"/>
      <c r="I262" s="212"/>
      <c r="J262" s="212"/>
      <c r="K262" s="213"/>
      <c r="L262" s="212"/>
      <c r="M262" s="212"/>
      <c r="N262" s="212"/>
      <c r="O262" s="2"/>
      <c r="P262" s="1"/>
      <c r="Q262" s="212"/>
      <c r="R262" s="128"/>
      <c r="S262" s="39"/>
      <c r="T262" s="39"/>
      <c r="U262" s="39"/>
      <c r="V262" s="128"/>
      <c r="W262" s="128"/>
      <c r="X262" s="22"/>
      <c r="Y262" s="22"/>
      <c r="Z262" s="22"/>
      <c r="AA262" s="22"/>
      <c r="AB262" s="22"/>
      <c r="AC262" s="22"/>
      <c r="AD262" s="22"/>
      <c r="AE262" s="22"/>
      <c r="AF262" s="22"/>
      <c r="AG262" s="22"/>
      <c r="AH262" s="22"/>
      <c r="AI262" s="22"/>
      <c r="AJ262" s="39"/>
      <c r="AK262" s="22"/>
      <c r="AL262" s="22"/>
      <c r="AM262" s="22"/>
      <c r="AN262" s="22"/>
      <c r="AO262" s="39"/>
      <c r="AP262" s="40"/>
      <c r="AQ262" s="40"/>
      <c r="AR262" s="1"/>
      <c r="AS262" s="1"/>
      <c r="AT262" s="17"/>
      <c r="AU262" s="1"/>
      <c r="AV262" s="3"/>
      <c r="AW262" s="1"/>
      <c r="AX262" s="2"/>
      <c r="AY262" s="2"/>
      <c r="AZ262" s="1"/>
    </row>
    <row x14ac:dyDescent="0.25" r="263" customHeight="1" ht="24.75">
      <c r="A263" s="1"/>
      <c r="B263" s="209"/>
      <c r="C263" s="210"/>
      <c r="D263" s="211"/>
      <c r="E263" s="211"/>
      <c r="F263" s="210"/>
      <c r="G263" s="210"/>
      <c r="H263" s="212"/>
      <c r="I263" s="212"/>
      <c r="J263" s="212" t="s">
        <v>7</v>
      </c>
      <c r="K263" s="213" t="s">
        <v>27</v>
      </c>
      <c r="L263" s="212" t="s">
        <v>27</v>
      </c>
      <c r="M263" s="212"/>
      <c r="N263" s="212"/>
      <c r="O263" s="2"/>
      <c r="P263" s="1"/>
      <c r="Q263" s="212"/>
      <c r="R263" s="128"/>
      <c r="S263" s="39"/>
      <c r="T263" s="39"/>
      <c r="U263" s="39"/>
      <c r="V263" s="128"/>
      <c r="W263" s="128"/>
      <c r="X263" s="22"/>
      <c r="Y263" s="22"/>
      <c r="Z263" s="22"/>
      <c r="AA263" s="22"/>
      <c r="AB263" s="22"/>
      <c r="AC263" s="22"/>
      <c r="AD263" s="22"/>
      <c r="AE263" s="22"/>
      <c r="AF263" s="22"/>
      <c r="AG263" s="22"/>
      <c r="AH263" s="22"/>
      <c r="AI263" s="22"/>
      <c r="AJ263" s="39"/>
      <c r="AK263" s="22"/>
      <c r="AL263" s="22"/>
      <c r="AM263" s="22"/>
      <c r="AN263" s="22"/>
      <c r="AO263" s="39"/>
      <c r="AP263" s="40"/>
      <c r="AQ263" s="40"/>
      <c r="AR263" s="1"/>
      <c r="AS263" s="1"/>
      <c r="AT263" s="17"/>
      <c r="AU263" s="1"/>
      <c r="AV263" s="1"/>
      <c r="AW263" s="1"/>
      <c r="AX263" s="2"/>
      <c r="AY263" s="2"/>
      <c r="AZ263" s="1"/>
    </row>
    <row x14ac:dyDescent="0.25" r="264" customHeight="1" ht="24.75">
      <c r="A264" s="1"/>
      <c r="B264" s="1"/>
      <c r="C264" s="1"/>
      <c r="D264" s="1"/>
      <c r="E264" s="1"/>
      <c r="F264" s="1"/>
      <c r="G264" s="1"/>
      <c r="H264" s="1"/>
      <c r="I264" s="1"/>
      <c r="J264" s="1"/>
      <c r="K264" s="128">
        <f>INDIRECT(SUBSTITUTE($J10&amp;$K10," ",""))</f>
      </c>
      <c r="L264" s="1"/>
      <c r="M264" s="1"/>
      <c r="N264" s="2"/>
      <c r="O264" s="2"/>
      <c r="P264" s="1"/>
      <c r="Q264" s="1"/>
      <c r="R264" s="1"/>
      <c r="S264" s="1"/>
      <c r="T264" s="40"/>
      <c r="U264" s="40"/>
      <c r="V264" s="40"/>
      <c r="W264" s="40"/>
      <c r="X264" s="22"/>
      <c r="Y264" s="22"/>
      <c r="Z264" s="22"/>
      <c r="AA264" s="22"/>
      <c r="AB264" s="22"/>
      <c r="AC264" s="22"/>
      <c r="AD264" s="22"/>
      <c r="AE264" s="22"/>
      <c r="AF264" s="22"/>
      <c r="AG264" s="22"/>
      <c r="AH264" s="22"/>
      <c r="AI264" s="22"/>
      <c r="AJ264" s="40"/>
      <c r="AK264" s="22"/>
      <c r="AL264" s="22"/>
      <c r="AM264" s="22"/>
      <c r="AN264" s="22"/>
      <c r="AO264" s="40"/>
      <c r="AP264" s="40"/>
      <c r="AQ264" s="40"/>
      <c r="AR264" s="1"/>
      <c r="AS264" s="1"/>
      <c r="AT264" s="17"/>
      <c r="AU264" s="1"/>
      <c r="AV264" s="1"/>
      <c r="AW264" s="1"/>
      <c r="AX264" s="2"/>
      <c r="AY264" s="2"/>
      <c r="AZ264" s="1"/>
    </row>
    <row x14ac:dyDescent="0.25" r="265" customHeight="1" ht="24.75">
      <c r="A265" s="1"/>
      <c r="B265" s="1"/>
      <c r="C265" s="1"/>
      <c r="D265" s="1"/>
      <c r="E265" s="1"/>
      <c r="F265" s="1"/>
      <c r="G265" s="1"/>
      <c r="H265" s="1"/>
      <c r="I265" s="1"/>
      <c r="J265" s="1"/>
      <c r="K265" s="17"/>
      <c r="L265" s="1"/>
      <c r="M265" s="1"/>
      <c r="N265" s="2"/>
      <c r="O265" s="2"/>
      <c r="P265" s="1"/>
      <c r="Q265" s="1"/>
      <c r="R265" s="1"/>
      <c r="S265" s="1"/>
      <c r="T265" s="40"/>
      <c r="U265" s="40"/>
      <c r="V265" s="40"/>
      <c r="W265" s="40"/>
      <c r="X265" s="22"/>
      <c r="Y265" s="22"/>
      <c r="Z265" s="22"/>
      <c r="AA265" s="22"/>
      <c r="AB265" s="22"/>
      <c r="AC265" s="22"/>
      <c r="AD265" s="22"/>
      <c r="AE265" s="22"/>
      <c r="AF265" s="22"/>
      <c r="AG265" s="22"/>
      <c r="AH265" s="22"/>
      <c r="AI265" s="22"/>
      <c r="AJ265" s="40"/>
      <c r="AK265" s="22"/>
      <c r="AL265" s="22"/>
      <c r="AM265" s="22"/>
      <c r="AN265" s="22"/>
      <c r="AO265" s="40"/>
      <c r="AP265" s="40"/>
      <c r="AQ265" s="40"/>
      <c r="AR265" s="1"/>
      <c r="AS265" s="1"/>
      <c r="AT265" s="17"/>
      <c r="AU265" s="1"/>
      <c r="AV265" s="1"/>
      <c r="AW265" s="1"/>
      <c r="AX265" s="2"/>
      <c r="AY265" s="2"/>
      <c r="AZ265" s="1"/>
    </row>
    <row x14ac:dyDescent="0.25" r="266" customHeight="1" ht="24.75">
      <c r="A266" s="1"/>
      <c r="B266" s="1"/>
      <c r="C266" s="1"/>
      <c r="D266" s="1"/>
      <c r="E266" s="1"/>
      <c r="F266" s="1"/>
      <c r="G266" s="1"/>
      <c r="H266" s="1"/>
      <c r="I266" s="1"/>
      <c r="J266" s="13" t="s">
        <v>5</v>
      </c>
      <c r="K266" s="128" t="s">
        <v>21</v>
      </c>
      <c r="L266" s="1"/>
      <c r="M266" s="1"/>
      <c r="N266" s="2"/>
      <c r="O266" s="2"/>
      <c r="P266" s="1"/>
      <c r="Q266" s="1"/>
      <c r="R266" s="1"/>
      <c r="S266" s="1"/>
      <c r="T266" s="40"/>
      <c r="U266" s="40"/>
      <c r="V266" s="40"/>
      <c r="W266" s="40"/>
      <c r="X266" s="22"/>
      <c r="Y266" s="22"/>
      <c r="Z266" s="22"/>
      <c r="AA266" s="22"/>
      <c r="AB266" s="22"/>
      <c r="AC266" s="22"/>
      <c r="AD266" s="22"/>
      <c r="AE266" s="22"/>
      <c r="AF266" s="22"/>
      <c r="AG266" s="22"/>
      <c r="AH266" s="22"/>
      <c r="AI266" s="22"/>
      <c r="AJ266" s="40"/>
      <c r="AK266" s="22"/>
      <c r="AL266" s="22"/>
      <c r="AM266" s="22"/>
      <c r="AN266" s="22"/>
      <c r="AO266" s="40"/>
      <c r="AP266" s="40"/>
      <c r="AQ266" s="40"/>
      <c r="AR266" s="1"/>
      <c r="AS266" s="1"/>
      <c r="AT266" s="17"/>
      <c r="AU266" s="1"/>
      <c r="AV266" s="1"/>
      <c r="AW266" s="1"/>
      <c r="AX266" s="2"/>
      <c r="AY266" s="2"/>
      <c r="AZ266" s="1"/>
    </row>
    <row x14ac:dyDescent="0.25" r="267" customHeight="1" ht="24.75">
      <c r="A267" s="1"/>
      <c r="B267" s="1"/>
      <c r="C267" s="1"/>
      <c r="D267" s="1"/>
      <c r="E267" s="1"/>
      <c r="F267" s="1"/>
      <c r="G267" s="1"/>
      <c r="H267" s="1"/>
      <c r="I267" s="1"/>
      <c r="J267" s="160">
        <f>SUBSTITUTE(J263&amp;K263&amp;L263," ","")</f>
      </c>
      <c r="K267" s="128" t="s">
        <v>39898</v>
      </c>
      <c r="L267" s="1"/>
      <c r="M267" s="1"/>
      <c r="N267" s="2"/>
      <c r="O267" s="2"/>
      <c r="P267" s="1"/>
      <c r="Q267" s="1"/>
      <c r="R267" s="1"/>
      <c r="S267" s="1"/>
      <c r="T267" s="40"/>
      <c r="U267" s="40"/>
      <c r="V267" s="40"/>
      <c r="W267" s="40"/>
      <c r="X267" s="22"/>
      <c r="Y267" s="22"/>
      <c r="Z267" s="22"/>
      <c r="AA267" s="22"/>
      <c r="AB267" s="22"/>
      <c r="AC267" s="22"/>
      <c r="AD267" s="22"/>
      <c r="AE267" s="22"/>
      <c r="AF267" s="22"/>
      <c r="AG267" s="22"/>
      <c r="AH267" s="22"/>
      <c r="AI267" s="22"/>
      <c r="AJ267" s="40"/>
      <c r="AK267" s="22"/>
      <c r="AL267" s="22"/>
      <c r="AM267" s="22"/>
      <c r="AN267" s="22"/>
      <c r="AO267" s="40"/>
      <c r="AP267" s="40"/>
      <c r="AQ267" s="40"/>
      <c r="AR267" s="1"/>
      <c r="AS267" s="1"/>
      <c r="AT267" s="17"/>
      <c r="AU267" s="1"/>
      <c r="AV267" s="1"/>
      <c r="AW267" s="1"/>
      <c r="AX267" s="2"/>
      <c r="AY267" s="2"/>
      <c r="AZ267" s="1"/>
    </row>
    <row x14ac:dyDescent="0.25" r="268" customHeight="1" ht="24.75">
      <c r="A268" s="1"/>
      <c r="B268" s="1"/>
      <c r="C268" s="1"/>
      <c r="D268" s="1"/>
      <c r="E268" s="1"/>
      <c r="F268" s="1"/>
      <c r="G268" s="1"/>
      <c r="H268" s="1"/>
      <c r="I268" s="1"/>
      <c r="J268" s="1"/>
      <c r="K268" s="17"/>
      <c r="L268" s="1"/>
      <c r="M268" s="1"/>
      <c r="N268" s="2"/>
      <c r="O268" s="2"/>
      <c r="P268" s="1"/>
      <c r="Q268" s="1"/>
      <c r="R268" s="1"/>
      <c r="S268" s="1"/>
      <c r="T268" s="40"/>
      <c r="U268" s="40"/>
      <c r="V268" s="40"/>
      <c r="W268" s="40"/>
      <c r="X268" s="22"/>
      <c r="Y268" s="22"/>
      <c r="Z268" s="22"/>
      <c r="AA268" s="22"/>
      <c r="AB268" s="22"/>
      <c r="AC268" s="22"/>
      <c r="AD268" s="22"/>
      <c r="AE268" s="22"/>
      <c r="AF268" s="22"/>
      <c r="AG268" s="22"/>
      <c r="AH268" s="22"/>
      <c r="AI268" s="22"/>
      <c r="AJ268" s="40"/>
      <c r="AK268" s="22"/>
      <c r="AL268" s="22"/>
      <c r="AM268" s="22"/>
      <c r="AN268" s="22"/>
      <c r="AO268" s="40"/>
      <c r="AP268" s="40"/>
      <c r="AQ268" s="40"/>
      <c r="AR268" s="1"/>
      <c r="AS268" s="1"/>
      <c r="AT268" s="17"/>
      <c r="AU268" s="1"/>
      <c r="AV268" s="1"/>
      <c r="AW268" s="1"/>
      <c r="AX268" s="2"/>
      <c r="AY268" s="2"/>
      <c r="AZ268" s="1"/>
    </row>
    <row x14ac:dyDescent="0.25" r="269" customHeight="1" ht="24.75">
      <c r="A269" s="1"/>
      <c r="B269" s="1"/>
      <c r="C269" s="1"/>
      <c r="D269" s="1"/>
      <c r="E269" s="1"/>
      <c r="F269" s="1"/>
      <c r="G269" s="1"/>
      <c r="H269" s="1"/>
      <c r="I269" s="1"/>
      <c r="J269" s="1"/>
      <c r="K269" s="17"/>
      <c r="L269" s="1"/>
      <c r="M269" s="1"/>
      <c r="N269" s="2"/>
      <c r="O269" s="2"/>
      <c r="P269" s="1"/>
      <c r="Q269" s="1"/>
      <c r="R269" s="1"/>
      <c r="S269" s="1"/>
      <c r="T269" s="40"/>
      <c r="U269" s="40"/>
      <c r="V269" s="40"/>
      <c r="W269" s="40"/>
      <c r="X269" s="22"/>
      <c r="Y269" s="22"/>
      <c r="Z269" s="22"/>
      <c r="AA269" s="22"/>
      <c r="AB269" s="22"/>
      <c r="AC269" s="22"/>
      <c r="AD269" s="22"/>
      <c r="AE269" s="22"/>
      <c r="AF269" s="22"/>
      <c r="AG269" s="22"/>
      <c r="AH269" s="22"/>
      <c r="AI269" s="22"/>
      <c r="AJ269" s="40"/>
      <c r="AK269" s="22"/>
      <c r="AL269" s="22"/>
      <c r="AM269" s="22"/>
      <c r="AN269" s="22"/>
      <c r="AO269" s="40"/>
      <c r="AP269" s="40"/>
      <c r="AQ269" s="40"/>
      <c r="AR269" s="1"/>
      <c r="AS269" s="1"/>
      <c r="AT269" s="17"/>
      <c r="AU269" s="1"/>
      <c r="AV269" s="1"/>
      <c r="AW269" s="1"/>
      <c r="AX269" s="2"/>
      <c r="AY269" s="2"/>
      <c r="AZ269" s="1"/>
    </row>
    <row x14ac:dyDescent="0.25" r="270" customHeight="1" ht="24.75">
      <c r="A270" s="1"/>
      <c r="B270" s="1"/>
      <c r="C270" s="1"/>
      <c r="D270" s="1"/>
      <c r="E270" s="1"/>
      <c r="F270" s="1"/>
      <c r="G270" s="1"/>
      <c r="H270" s="1"/>
      <c r="I270" s="1"/>
      <c r="J270" s="1"/>
      <c r="K270" s="17"/>
      <c r="L270" s="1"/>
      <c r="M270" s="1"/>
      <c r="N270" s="2"/>
      <c r="O270" s="2"/>
      <c r="P270" s="1"/>
      <c r="Q270" s="1"/>
      <c r="R270" s="1"/>
      <c r="S270" s="1"/>
      <c r="T270" s="40"/>
      <c r="U270" s="40"/>
      <c r="V270" s="40"/>
      <c r="W270" s="40"/>
      <c r="X270" s="22"/>
      <c r="Y270" s="22"/>
      <c r="Z270" s="22"/>
      <c r="AA270" s="22"/>
      <c r="AB270" s="22"/>
      <c r="AC270" s="22"/>
      <c r="AD270" s="22"/>
      <c r="AE270" s="22"/>
      <c r="AF270" s="22"/>
      <c r="AG270" s="22"/>
      <c r="AH270" s="22"/>
      <c r="AI270" s="22"/>
      <c r="AJ270" s="40"/>
      <c r="AK270" s="22"/>
      <c r="AL270" s="22"/>
      <c r="AM270" s="22"/>
      <c r="AN270" s="22"/>
      <c r="AO270" s="40"/>
      <c r="AP270" s="40"/>
      <c r="AQ270" s="40"/>
      <c r="AR270" s="1"/>
      <c r="AS270" s="1"/>
      <c r="AT270" s="17"/>
      <c r="AU270" s="1"/>
      <c r="AV270" s="1"/>
      <c r="AW270" s="1"/>
      <c r="AX270" s="2"/>
      <c r="AY270" s="2"/>
      <c r="AZ270" s="1"/>
    </row>
    <row x14ac:dyDescent="0.25" r="271" customHeight="1" ht="24.75">
      <c r="A271" s="1"/>
      <c r="B271" s="1"/>
      <c r="C271" s="1"/>
      <c r="D271" s="1"/>
      <c r="E271" s="1"/>
      <c r="F271" s="1"/>
      <c r="G271" s="1"/>
      <c r="H271" s="1"/>
      <c r="I271" s="1"/>
      <c r="J271" s="1"/>
      <c r="K271" s="17"/>
      <c r="L271" s="1"/>
      <c r="M271" s="1"/>
      <c r="N271" s="2"/>
      <c r="O271" s="2"/>
      <c r="P271" s="1"/>
      <c r="Q271" s="1"/>
      <c r="R271" s="1"/>
      <c r="S271" s="1"/>
      <c r="T271" s="40"/>
      <c r="U271" s="40"/>
      <c r="V271" s="40"/>
      <c r="W271" s="40"/>
      <c r="X271" s="22"/>
      <c r="Y271" s="22"/>
      <c r="Z271" s="22"/>
      <c r="AA271" s="22"/>
      <c r="AB271" s="22"/>
      <c r="AC271" s="22"/>
      <c r="AD271" s="22"/>
      <c r="AE271" s="22"/>
      <c r="AF271" s="22"/>
      <c r="AG271" s="22"/>
      <c r="AH271" s="22"/>
      <c r="AI271" s="22"/>
      <c r="AJ271" s="40"/>
      <c r="AK271" s="22"/>
      <c r="AL271" s="22"/>
      <c r="AM271" s="22"/>
      <c r="AN271" s="22"/>
      <c r="AO271" s="40"/>
      <c r="AP271" s="40"/>
      <c r="AQ271" s="40"/>
      <c r="AR271" s="1"/>
      <c r="AS271" s="1"/>
      <c r="AT271" s="17"/>
      <c r="AU271" s="1"/>
      <c r="AV271" s="1"/>
      <c r="AW271" s="1"/>
      <c r="AX271" s="2"/>
      <c r="AY271" s="2"/>
      <c r="AZ271" s="1"/>
    </row>
    <row x14ac:dyDescent="0.25" r="272" customHeight="1" ht="24.75">
      <c r="A272" s="1"/>
      <c r="B272" s="1"/>
      <c r="C272" s="1"/>
      <c r="D272" s="1"/>
      <c r="E272" s="1"/>
      <c r="F272" s="1"/>
      <c r="G272" s="1"/>
      <c r="H272" s="1"/>
      <c r="I272" s="1"/>
      <c r="J272" s="1"/>
      <c r="K272" s="17"/>
      <c r="L272" s="1"/>
      <c r="M272" s="1"/>
      <c r="N272" s="2"/>
      <c r="O272" s="2"/>
      <c r="P272" s="1"/>
      <c r="Q272" s="1"/>
      <c r="R272" s="1"/>
      <c r="S272" s="1"/>
      <c r="T272" s="40"/>
      <c r="U272" s="40"/>
      <c r="V272" s="40"/>
      <c r="W272" s="40"/>
      <c r="X272" s="22"/>
      <c r="Y272" s="22"/>
      <c r="Z272" s="22"/>
      <c r="AA272" s="22"/>
      <c r="AB272" s="22"/>
      <c r="AC272" s="22"/>
      <c r="AD272" s="22"/>
      <c r="AE272" s="22"/>
      <c r="AF272" s="22"/>
      <c r="AG272" s="22"/>
      <c r="AH272" s="22"/>
      <c r="AI272" s="22"/>
      <c r="AJ272" s="40"/>
      <c r="AK272" s="22"/>
      <c r="AL272" s="22"/>
      <c r="AM272" s="22"/>
      <c r="AN272" s="22"/>
      <c r="AO272" s="40"/>
      <c r="AP272" s="40"/>
      <c r="AQ272" s="40"/>
      <c r="AR272" s="1"/>
      <c r="AS272" s="1"/>
      <c r="AT272" s="17"/>
      <c r="AU272" s="1"/>
      <c r="AV272" s="1"/>
      <c r="AW272" s="1"/>
      <c r="AX272" s="2"/>
      <c r="AY272" s="2"/>
      <c r="AZ272" s="1"/>
    </row>
    <row x14ac:dyDescent="0.25" r="273" customHeight="1" ht="24.75">
      <c r="A273" s="1"/>
      <c r="B273" s="1"/>
      <c r="C273" s="1"/>
      <c r="D273" s="1"/>
      <c r="E273" s="1"/>
      <c r="F273" s="1"/>
      <c r="G273" s="1"/>
      <c r="H273" s="1"/>
      <c r="I273" s="1"/>
      <c r="J273" s="1"/>
      <c r="K273" s="17"/>
      <c r="L273" s="1"/>
      <c r="M273" s="1"/>
      <c r="N273" s="2"/>
      <c r="O273" s="2"/>
      <c r="P273" s="1"/>
      <c r="Q273" s="1"/>
      <c r="R273" s="1"/>
      <c r="S273" s="1"/>
      <c r="T273" s="40"/>
      <c r="U273" s="40"/>
      <c r="V273" s="40"/>
      <c r="W273" s="40"/>
      <c r="X273" s="22"/>
      <c r="Y273" s="22"/>
      <c r="Z273" s="22"/>
      <c r="AA273" s="22"/>
      <c r="AB273" s="22"/>
      <c r="AC273" s="22"/>
      <c r="AD273" s="22"/>
      <c r="AE273" s="22"/>
      <c r="AF273" s="22"/>
      <c r="AG273" s="22"/>
      <c r="AH273" s="22"/>
      <c r="AI273" s="22"/>
      <c r="AJ273" s="40"/>
      <c r="AK273" s="22"/>
      <c r="AL273" s="22"/>
      <c r="AM273" s="22"/>
      <c r="AN273" s="22"/>
      <c r="AO273" s="40"/>
      <c r="AP273" s="40"/>
      <c r="AQ273" s="40"/>
      <c r="AR273" s="1"/>
      <c r="AS273" s="1"/>
      <c r="AT273" s="17"/>
      <c r="AU273" s="1"/>
      <c r="AV273" s="1"/>
      <c r="AW273" s="1"/>
      <c r="AX273" s="2"/>
      <c r="AY273" s="2"/>
      <c r="AZ273" s="1"/>
    </row>
    <row x14ac:dyDescent="0.25" r="274" customHeight="1" ht="24.75">
      <c r="A274" s="1"/>
      <c r="B274" s="1"/>
      <c r="C274" s="1"/>
      <c r="D274" s="1"/>
      <c r="E274" s="1"/>
      <c r="F274" s="1"/>
      <c r="G274" s="1"/>
      <c r="H274" s="1"/>
      <c r="I274" s="1"/>
      <c r="J274" s="1"/>
      <c r="K274" s="17"/>
      <c r="L274" s="1"/>
      <c r="M274" s="1"/>
      <c r="N274" s="2"/>
      <c r="O274" s="2"/>
      <c r="P274" s="1"/>
      <c r="Q274" s="1"/>
      <c r="R274" s="1"/>
      <c r="S274" s="1"/>
      <c r="T274" s="40"/>
      <c r="U274" s="40"/>
      <c r="V274" s="40"/>
      <c r="W274" s="40"/>
      <c r="X274" s="22"/>
      <c r="Y274" s="22"/>
      <c r="Z274" s="22"/>
      <c r="AA274" s="22"/>
      <c r="AB274" s="22"/>
      <c r="AC274" s="22"/>
      <c r="AD274" s="22"/>
      <c r="AE274" s="22"/>
      <c r="AF274" s="22"/>
      <c r="AG274" s="22"/>
      <c r="AH274" s="22"/>
      <c r="AI274" s="22"/>
      <c r="AJ274" s="40"/>
      <c r="AK274" s="22"/>
      <c r="AL274" s="22"/>
      <c r="AM274" s="22"/>
      <c r="AN274" s="22"/>
      <c r="AO274" s="40"/>
      <c r="AP274" s="40"/>
      <c r="AQ274" s="40"/>
      <c r="AR274" s="1"/>
      <c r="AS274" s="1"/>
      <c r="AT274" s="17"/>
      <c r="AU274" s="1"/>
      <c r="AV274" s="1"/>
      <c r="AW274" s="1"/>
      <c r="AX274" s="2"/>
      <c r="AY274" s="2"/>
      <c r="AZ274" s="1"/>
    </row>
    <row x14ac:dyDescent="0.25" r="275" customHeight="1" ht="24.75">
      <c r="A275" s="1"/>
      <c r="B275" s="1"/>
      <c r="C275" s="1"/>
      <c r="D275" s="1"/>
      <c r="E275" s="1"/>
      <c r="F275" s="1"/>
      <c r="G275" s="1"/>
      <c r="H275" s="1"/>
      <c r="I275" s="1"/>
      <c r="J275" s="1"/>
      <c r="K275" s="17"/>
      <c r="L275" s="1"/>
      <c r="M275" s="1"/>
      <c r="N275" s="2"/>
      <c r="O275" s="2"/>
      <c r="P275" s="1"/>
      <c r="Q275" s="1"/>
      <c r="R275" s="1"/>
      <c r="S275" s="1"/>
      <c r="T275" s="40"/>
      <c r="U275" s="40"/>
      <c r="V275" s="40"/>
      <c r="W275" s="40"/>
      <c r="X275" s="22"/>
      <c r="Y275" s="22"/>
      <c r="Z275" s="22"/>
      <c r="AA275" s="22"/>
      <c r="AB275" s="22"/>
      <c r="AC275" s="22"/>
      <c r="AD275" s="22"/>
      <c r="AE275" s="22"/>
      <c r="AF275" s="22"/>
      <c r="AG275" s="22"/>
      <c r="AH275" s="22"/>
      <c r="AI275" s="22"/>
      <c r="AJ275" s="40"/>
      <c r="AK275" s="22"/>
      <c r="AL275" s="22"/>
      <c r="AM275" s="22"/>
      <c r="AN275" s="22"/>
      <c r="AO275" s="40"/>
      <c r="AP275" s="40"/>
      <c r="AQ275" s="40"/>
      <c r="AR275" s="1"/>
      <c r="AS275" s="1"/>
      <c r="AT275" s="17"/>
      <c r="AU275" s="1"/>
      <c r="AV275" s="1"/>
      <c r="AW275" s="1"/>
      <c r="AX275" s="2"/>
      <c r="AY275" s="2"/>
      <c r="AZ275" s="1"/>
    </row>
    <row x14ac:dyDescent="0.25" r="276" customHeight="1" ht="24.75">
      <c r="A276" s="1"/>
      <c r="B276" s="1"/>
      <c r="C276" s="1"/>
      <c r="D276" s="1"/>
      <c r="E276" s="1"/>
      <c r="F276" s="1"/>
      <c r="G276" s="1"/>
      <c r="H276" s="1"/>
      <c r="I276" s="1"/>
      <c r="J276" s="1"/>
      <c r="K276" s="17"/>
      <c r="L276" s="1"/>
      <c r="M276" s="1"/>
      <c r="N276" s="2"/>
      <c r="O276" s="2"/>
      <c r="P276" s="1"/>
      <c r="Q276" s="1"/>
      <c r="R276" s="1"/>
      <c r="S276" s="1"/>
      <c r="T276" s="40"/>
      <c r="U276" s="40"/>
      <c r="V276" s="40"/>
      <c r="W276" s="40"/>
      <c r="X276" s="22"/>
      <c r="Y276" s="22"/>
      <c r="Z276" s="22"/>
      <c r="AA276" s="22"/>
      <c r="AB276" s="22"/>
      <c r="AC276" s="22"/>
      <c r="AD276" s="22"/>
      <c r="AE276" s="22"/>
      <c r="AF276" s="22"/>
      <c r="AG276" s="22"/>
      <c r="AH276" s="22"/>
      <c r="AI276" s="22"/>
      <c r="AJ276" s="40"/>
      <c r="AK276" s="22"/>
      <c r="AL276" s="22"/>
      <c r="AM276" s="22"/>
      <c r="AN276" s="22"/>
      <c r="AO276" s="40"/>
      <c r="AP276" s="40"/>
      <c r="AQ276" s="40"/>
      <c r="AR276" s="1"/>
      <c r="AS276" s="1"/>
      <c r="AT276" s="17"/>
      <c r="AU276" s="1"/>
      <c r="AV276" s="1"/>
      <c r="AW276" s="1"/>
      <c r="AX276" s="2"/>
      <c r="AY276" s="2"/>
      <c r="AZ276" s="1"/>
    </row>
    <row x14ac:dyDescent="0.25" r="277" customHeight="1" ht="24.75">
      <c r="A277" s="1"/>
      <c r="B277" s="1"/>
      <c r="C277" s="1"/>
      <c r="D277" s="1"/>
      <c r="E277" s="1"/>
      <c r="F277" s="1"/>
      <c r="G277" s="1"/>
      <c r="H277" s="1"/>
      <c r="I277" s="1"/>
      <c r="J277" s="1"/>
      <c r="K277" s="17"/>
      <c r="L277" s="1"/>
      <c r="M277" s="1"/>
      <c r="N277" s="2"/>
      <c r="O277" s="2"/>
      <c r="P277" s="1"/>
      <c r="Q277" s="1"/>
      <c r="R277" s="1"/>
      <c r="S277" s="1"/>
      <c r="T277" s="40"/>
      <c r="U277" s="40"/>
      <c r="V277" s="40"/>
      <c r="W277" s="40"/>
      <c r="X277" s="22"/>
      <c r="Y277" s="22"/>
      <c r="Z277" s="22"/>
      <c r="AA277" s="22"/>
      <c r="AB277" s="22"/>
      <c r="AC277" s="22"/>
      <c r="AD277" s="22"/>
      <c r="AE277" s="22"/>
      <c r="AF277" s="22"/>
      <c r="AG277" s="22"/>
      <c r="AH277" s="22"/>
      <c r="AI277" s="22"/>
      <c r="AJ277" s="40"/>
      <c r="AK277" s="22"/>
      <c r="AL277" s="22"/>
      <c r="AM277" s="22"/>
      <c r="AN277" s="22"/>
      <c r="AO277" s="40"/>
      <c r="AP277" s="40"/>
      <c r="AQ277" s="40"/>
      <c r="AR277" s="1"/>
      <c r="AS277" s="1"/>
      <c r="AT277" s="17"/>
      <c r="AU277" s="1"/>
      <c r="AV277" s="1"/>
      <c r="AW277" s="1"/>
      <c r="AX277" s="2"/>
      <c r="AY277" s="2"/>
      <c r="AZ277" s="1"/>
    </row>
    <row x14ac:dyDescent="0.25" r="278" customHeight="1" ht="24.75">
      <c r="A278" s="1"/>
      <c r="B278" s="1"/>
      <c r="C278" s="1"/>
      <c r="D278" s="1"/>
      <c r="E278" s="1"/>
      <c r="F278" s="1"/>
      <c r="G278" s="1"/>
      <c r="H278" s="1"/>
      <c r="I278" s="1"/>
      <c r="J278" s="1"/>
      <c r="K278" s="17"/>
      <c r="L278" s="1"/>
      <c r="M278" s="1"/>
      <c r="N278" s="2"/>
      <c r="O278" s="2"/>
      <c r="P278" s="1"/>
      <c r="Q278" s="1"/>
      <c r="R278" s="1"/>
      <c r="S278" s="1"/>
      <c r="T278" s="40"/>
      <c r="U278" s="40"/>
      <c r="V278" s="40"/>
      <c r="W278" s="40"/>
      <c r="X278" s="22"/>
      <c r="Y278" s="22"/>
      <c r="Z278" s="22"/>
      <c r="AA278" s="22"/>
      <c r="AB278" s="22"/>
      <c r="AC278" s="22"/>
      <c r="AD278" s="22"/>
      <c r="AE278" s="22"/>
      <c r="AF278" s="22"/>
      <c r="AG278" s="22"/>
      <c r="AH278" s="22"/>
      <c r="AI278" s="22"/>
      <c r="AJ278" s="40"/>
      <c r="AK278" s="22"/>
      <c r="AL278" s="22"/>
      <c r="AM278" s="22"/>
      <c r="AN278" s="22"/>
      <c r="AO278" s="40"/>
      <c r="AP278" s="40"/>
      <c r="AQ278" s="40"/>
      <c r="AR278" s="1"/>
      <c r="AS278" s="1"/>
      <c r="AT278" s="17"/>
      <c r="AU278" s="1"/>
      <c r="AV278" s="1"/>
      <c r="AW278" s="1"/>
      <c r="AX278" s="2"/>
      <c r="AY278" s="2"/>
      <c r="AZ278" s="1"/>
    </row>
    <row x14ac:dyDescent="0.25" r="279" customHeight="1" ht="24.75">
      <c r="A279" s="1"/>
      <c r="B279" s="1"/>
      <c r="C279" s="1"/>
      <c r="D279" s="1"/>
      <c r="E279" s="1"/>
      <c r="F279" s="1"/>
      <c r="G279" s="1"/>
      <c r="H279" s="1"/>
      <c r="I279" s="1"/>
      <c r="J279" s="1"/>
      <c r="K279" s="17"/>
      <c r="L279" s="1"/>
      <c r="M279" s="1"/>
      <c r="N279" s="2"/>
      <c r="O279" s="2"/>
      <c r="P279" s="1"/>
      <c r="Q279" s="1"/>
      <c r="R279" s="1"/>
      <c r="S279" s="1"/>
      <c r="T279" s="40"/>
      <c r="U279" s="40"/>
      <c r="V279" s="40"/>
      <c r="W279" s="40"/>
      <c r="X279" s="22"/>
      <c r="Y279" s="22"/>
      <c r="Z279" s="22"/>
      <c r="AA279" s="22"/>
      <c r="AB279" s="22"/>
      <c r="AC279" s="22"/>
      <c r="AD279" s="22"/>
      <c r="AE279" s="22"/>
      <c r="AF279" s="22"/>
      <c r="AG279" s="22"/>
      <c r="AH279" s="22"/>
      <c r="AI279" s="22"/>
      <c r="AJ279" s="40"/>
      <c r="AK279" s="22"/>
      <c r="AL279" s="22"/>
      <c r="AM279" s="22"/>
      <c r="AN279" s="22"/>
      <c r="AO279" s="40"/>
      <c r="AP279" s="40"/>
      <c r="AQ279" s="40"/>
      <c r="AR279" s="1"/>
      <c r="AS279" s="1"/>
      <c r="AT279" s="17"/>
      <c r="AU279" s="1"/>
      <c r="AV279" s="1"/>
      <c r="AW279" s="1"/>
      <c r="AX279" s="2"/>
      <c r="AY279" s="2"/>
      <c r="AZ279" s="1"/>
    </row>
    <row x14ac:dyDescent="0.25" r="280" customHeight="1" ht="24.75">
      <c r="A280" s="1"/>
      <c r="B280" s="1"/>
      <c r="C280" s="1"/>
      <c r="D280" s="1"/>
      <c r="E280" s="1"/>
      <c r="F280" s="1"/>
      <c r="G280" s="1"/>
      <c r="H280" s="1"/>
      <c r="I280" s="1"/>
      <c r="J280" s="1"/>
      <c r="K280" s="17"/>
      <c r="L280" s="1"/>
      <c r="M280" s="1"/>
      <c r="N280" s="2"/>
      <c r="O280" s="2"/>
      <c r="P280" s="1"/>
      <c r="Q280" s="1"/>
      <c r="R280" s="1"/>
      <c r="S280" s="1"/>
      <c r="T280" s="40"/>
      <c r="U280" s="40"/>
      <c r="V280" s="40"/>
      <c r="W280" s="40"/>
      <c r="X280" s="22"/>
      <c r="Y280" s="22"/>
      <c r="Z280" s="22"/>
      <c r="AA280" s="22"/>
      <c r="AB280" s="22"/>
      <c r="AC280" s="22"/>
      <c r="AD280" s="22"/>
      <c r="AE280" s="22"/>
      <c r="AF280" s="22"/>
      <c r="AG280" s="22"/>
      <c r="AH280" s="22"/>
      <c r="AI280" s="22"/>
      <c r="AJ280" s="40"/>
      <c r="AK280" s="22"/>
      <c r="AL280" s="22"/>
      <c r="AM280" s="22"/>
      <c r="AN280" s="22"/>
      <c r="AO280" s="40"/>
      <c r="AP280" s="40"/>
      <c r="AQ280" s="40"/>
      <c r="AR280" s="1"/>
      <c r="AS280" s="1"/>
      <c r="AT280" s="17"/>
      <c r="AU280" s="1"/>
      <c r="AV280" s="1"/>
      <c r="AW280" s="1"/>
      <c r="AX280" s="2"/>
      <c r="AY280" s="2"/>
      <c r="AZ280" s="1"/>
    </row>
    <row x14ac:dyDescent="0.25" r="281" customHeight="1" ht="24.75">
      <c r="A281" s="1"/>
      <c r="B281" s="1"/>
      <c r="C281" s="1"/>
      <c r="D281" s="1"/>
      <c r="E281" s="1"/>
      <c r="F281" s="1"/>
      <c r="G281" s="1"/>
      <c r="H281" s="1"/>
      <c r="I281" s="1"/>
      <c r="J281" s="1"/>
      <c r="K281" s="17"/>
      <c r="L281" s="1"/>
      <c r="M281" s="1"/>
      <c r="N281" s="2"/>
      <c r="O281" s="2"/>
      <c r="P281" s="1"/>
      <c r="Q281" s="1"/>
      <c r="R281" s="1"/>
      <c r="S281" s="1"/>
      <c r="T281" s="40"/>
      <c r="U281" s="40"/>
      <c r="V281" s="40"/>
      <c r="W281" s="40"/>
      <c r="X281" s="22"/>
      <c r="Y281" s="22"/>
      <c r="Z281" s="22"/>
      <c r="AA281" s="22"/>
      <c r="AB281" s="22"/>
      <c r="AC281" s="22"/>
      <c r="AD281" s="22"/>
      <c r="AE281" s="22"/>
      <c r="AF281" s="22"/>
      <c r="AG281" s="22"/>
      <c r="AH281" s="22"/>
      <c r="AI281" s="22"/>
      <c r="AJ281" s="40"/>
      <c r="AK281" s="22"/>
      <c r="AL281" s="22"/>
      <c r="AM281" s="22"/>
      <c r="AN281" s="22"/>
      <c r="AO281" s="40"/>
      <c r="AP281" s="40"/>
      <c r="AQ281" s="40"/>
      <c r="AR281" s="1"/>
      <c r="AS281" s="1"/>
      <c r="AT281" s="17"/>
      <c r="AU281" s="1"/>
      <c r="AV281" s="1"/>
      <c r="AW281" s="1"/>
      <c r="AX281" s="2"/>
      <c r="AY281" s="2"/>
      <c r="AZ281" s="1"/>
    </row>
    <row x14ac:dyDescent="0.25" r="282" customHeight="1" ht="24.75">
      <c r="A282" s="1"/>
      <c r="B282" s="1"/>
      <c r="C282" s="1"/>
      <c r="D282" s="1"/>
      <c r="E282" s="1"/>
      <c r="F282" s="1"/>
      <c r="G282" s="1"/>
      <c r="H282" s="1"/>
      <c r="I282" s="1"/>
      <c r="J282" s="1"/>
      <c r="K282" s="17"/>
      <c r="L282" s="1"/>
      <c r="M282" s="1"/>
      <c r="N282" s="2"/>
      <c r="O282" s="2"/>
      <c r="P282" s="1"/>
      <c r="Q282" s="1"/>
      <c r="R282" s="1"/>
      <c r="S282" s="1"/>
      <c r="T282" s="40"/>
      <c r="U282" s="40"/>
      <c r="V282" s="40"/>
      <c r="W282" s="40"/>
      <c r="X282" s="22"/>
      <c r="Y282" s="22"/>
      <c r="Z282" s="22"/>
      <c r="AA282" s="22"/>
      <c r="AB282" s="22"/>
      <c r="AC282" s="22"/>
      <c r="AD282" s="22"/>
      <c r="AE282" s="22"/>
      <c r="AF282" s="22"/>
      <c r="AG282" s="22"/>
      <c r="AH282" s="22"/>
      <c r="AI282" s="22"/>
      <c r="AJ282" s="40"/>
      <c r="AK282" s="22"/>
      <c r="AL282" s="22"/>
      <c r="AM282" s="22"/>
      <c r="AN282" s="22"/>
      <c r="AO282" s="40"/>
      <c r="AP282" s="40"/>
      <c r="AQ282" s="40"/>
      <c r="AR282" s="1"/>
      <c r="AS282" s="1"/>
      <c r="AT282" s="17"/>
      <c r="AU282" s="1"/>
      <c r="AV282" s="1"/>
      <c r="AW282" s="1"/>
      <c r="AX282" s="2"/>
      <c r="AY282" s="2"/>
      <c r="AZ282" s="1"/>
    </row>
    <row x14ac:dyDescent="0.25" r="283" customHeight="1" ht="24.75">
      <c r="A283" s="1"/>
      <c r="B283" s="1"/>
      <c r="C283" s="1"/>
      <c r="D283" s="1"/>
      <c r="E283" s="1"/>
      <c r="F283" s="1"/>
      <c r="G283" s="1"/>
      <c r="H283" s="1"/>
      <c r="I283" s="1"/>
      <c r="J283" s="1"/>
      <c r="K283" s="17"/>
      <c r="L283" s="1"/>
      <c r="M283" s="1"/>
      <c r="N283" s="2"/>
      <c r="O283" s="2"/>
      <c r="P283" s="1"/>
      <c r="Q283" s="1"/>
      <c r="R283" s="1"/>
      <c r="S283" s="1"/>
      <c r="T283" s="40"/>
      <c r="U283" s="40"/>
      <c r="V283" s="40"/>
      <c r="W283" s="40"/>
      <c r="X283" s="22"/>
      <c r="Y283" s="22"/>
      <c r="Z283" s="22"/>
      <c r="AA283" s="22"/>
      <c r="AB283" s="22"/>
      <c r="AC283" s="22"/>
      <c r="AD283" s="22"/>
      <c r="AE283" s="22"/>
      <c r="AF283" s="22"/>
      <c r="AG283" s="22"/>
      <c r="AH283" s="22"/>
      <c r="AI283" s="22"/>
      <c r="AJ283" s="40"/>
      <c r="AK283" s="22"/>
      <c r="AL283" s="22"/>
      <c r="AM283" s="22"/>
      <c r="AN283" s="22"/>
      <c r="AO283" s="40"/>
      <c r="AP283" s="40"/>
      <c r="AQ283" s="40"/>
      <c r="AR283" s="1"/>
      <c r="AS283" s="1"/>
      <c r="AT283" s="17"/>
      <c r="AU283" s="1"/>
      <c r="AV283" s="1"/>
      <c r="AW283" s="1"/>
      <c r="AX283" s="2"/>
      <c r="AY283" s="2"/>
      <c r="AZ283" s="1"/>
    </row>
    <row x14ac:dyDescent="0.25" r="284" customHeight="1" ht="24.75">
      <c r="A284" s="1"/>
      <c r="B284" s="1"/>
      <c r="C284" s="1"/>
      <c r="D284" s="1"/>
      <c r="E284" s="1"/>
      <c r="F284" s="1"/>
      <c r="G284" s="1"/>
      <c r="H284" s="1"/>
      <c r="I284" s="1"/>
      <c r="J284" s="1"/>
      <c r="K284" s="17"/>
      <c r="L284" s="1"/>
      <c r="M284" s="1"/>
      <c r="N284" s="2"/>
      <c r="O284" s="2"/>
      <c r="P284" s="1"/>
      <c r="Q284" s="1"/>
      <c r="R284" s="1"/>
      <c r="S284" s="1"/>
      <c r="T284" s="40"/>
      <c r="U284" s="40"/>
      <c r="V284" s="40"/>
      <c r="W284" s="40"/>
      <c r="X284" s="22"/>
      <c r="Y284" s="22"/>
      <c r="Z284" s="22"/>
      <c r="AA284" s="22"/>
      <c r="AB284" s="22"/>
      <c r="AC284" s="22"/>
      <c r="AD284" s="22"/>
      <c r="AE284" s="22"/>
      <c r="AF284" s="22"/>
      <c r="AG284" s="22"/>
      <c r="AH284" s="22"/>
      <c r="AI284" s="22"/>
      <c r="AJ284" s="40"/>
      <c r="AK284" s="22"/>
      <c r="AL284" s="22"/>
      <c r="AM284" s="22"/>
      <c r="AN284" s="22"/>
      <c r="AO284" s="40"/>
      <c r="AP284" s="40"/>
      <c r="AQ284" s="40"/>
      <c r="AR284" s="1"/>
      <c r="AS284" s="1"/>
      <c r="AT284" s="17"/>
      <c r="AU284" s="1"/>
      <c r="AV284" s="1"/>
      <c r="AW284" s="1"/>
      <c r="AX284" s="2"/>
      <c r="AY284" s="2"/>
      <c r="AZ284" s="1"/>
    </row>
    <row x14ac:dyDescent="0.25" r="285" customHeight="1" ht="24.75">
      <c r="A285" s="1"/>
      <c r="B285" s="1"/>
      <c r="C285" s="1"/>
      <c r="D285" s="1"/>
      <c r="E285" s="1"/>
      <c r="F285" s="1"/>
      <c r="G285" s="1"/>
      <c r="H285" s="1"/>
      <c r="I285" s="1"/>
      <c r="J285" s="1"/>
      <c r="K285" s="17"/>
      <c r="L285" s="1"/>
      <c r="M285" s="1"/>
      <c r="N285" s="2"/>
      <c r="O285" s="2"/>
      <c r="P285" s="1"/>
      <c r="Q285" s="1"/>
      <c r="R285" s="1"/>
      <c r="S285" s="1"/>
      <c r="T285" s="40"/>
      <c r="U285" s="40"/>
      <c r="V285" s="40"/>
      <c r="W285" s="40"/>
      <c r="X285" s="22"/>
      <c r="Y285" s="22"/>
      <c r="Z285" s="22"/>
      <c r="AA285" s="22"/>
      <c r="AB285" s="22"/>
      <c r="AC285" s="22"/>
      <c r="AD285" s="22"/>
      <c r="AE285" s="22"/>
      <c r="AF285" s="22"/>
      <c r="AG285" s="22"/>
      <c r="AH285" s="22"/>
      <c r="AI285" s="22"/>
      <c r="AJ285" s="40"/>
      <c r="AK285" s="22"/>
      <c r="AL285" s="22"/>
      <c r="AM285" s="22"/>
      <c r="AN285" s="22"/>
      <c r="AO285" s="40"/>
      <c r="AP285" s="40"/>
      <c r="AQ285" s="40"/>
      <c r="AR285" s="1"/>
      <c r="AS285" s="1"/>
      <c r="AT285" s="17"/>
      <c r="AU285" s="1"/>
      <c r="AV285" s="1"/>
      <c r="AW285" s="1"/>
      <c r="AX285" s="2"/>
      <c r="AY285" s="2"/>
      <c r="AZ285" s="1"/>
    </row>
    <row x14ac:dyDescent="0.25" r="286" customHeight="1" ht="24.75">
      <c r="A286" s="1"/>
      <c r="B286" s="1"/>
      <c r="C286" s="1"/>
      <c r="D286" s="1"/>
      <c r="E286" s="1"/>
      <c r="F286" s="1"/>
      <c r="G286" s="1"/>
      <c r="H286" s="1"/>
      <c r="I286" s="1"/>
      <c r="J286" s="1"/>
      <c r="K286" s="17"/>
      <c r="L286" s="1"/>
      <c r="M286" s="1"/>
      <c r="N286" s="2"/>
      <c r="O286" s="2"/>
      <c r="P286" s="1"/>
      <c r="Q286" s="1"/>
      <c r="R286" s="1"/>
      <c r="S286" s="1"/>
      <c r="T286" s="40"/>
      <c r="U286" s="40"/>
      <c r="V286" s="40"/>
      <c r="W286" s="40"/>
      <c r="X286" s="22"/>
      <c r="Y286" s="22"/>
      <c r="Z286" s="22"/>
      <c r="AA286" s="22"/>
      <c r="AB286" s="22"/>
      <c r="AC286" s="22"/>
      <c r="AD286" s="22"/>
      <c r="AE286" s="22"/>
      <c r="AF286" s="22"/>
      <c r="AG286" s="22"/>
      <c r="AH286" s="22"/>
      <c r="AI286" s="22"/>
      <c r="AJ286" s="40"/>
      <c r="AK286" s="22"/>
      <c r="AL286" s="22"/>
      <c r="AM286" s="22"/>
      <c r="AN286" s="22"/>
      <c r="AO286" s="40"/>
      <c r="AP286" s="40"/>
      <c r="AQ286" s="40"/>
      <c r="AR286" s="1"/>
      <c r="AS286" s="1"/>
      <c r="AT286" s="17"/>
      <c r="AU286" s="1"/>
      <c r="AV286" s="1"/>
      <c r="AW286" s="1"/>
      <c r="AX286" s="2"/>
      <c r="AY286" s="2"/>
      <c r="AZ286" s="1"/>
    </row>
    <row x14ac:dyDescent="0.25" r="287" customHeight="1" ht="24.75">
      <c r="A287" s="1"/>
      <c r="B287" s="1"/>
      <c r="C287" s="1"/>
      <c r="D287" s="1"/>
      <c r="E287" s="1"/>
      <c r="F287" s="1"/>
      <c r="G287" s="1"/>
      <c r="H287" s="1"/>
      <c r="I287" s="1"/>
      <c r="J287" s="1"/>
      <c r="K287" s="17"/>
      <c r="L287" s="1"/>
      <c r="M287" s="1"/>
      <c r="N287" s="2"/>
      <c r="O287" s="2"/>
      <c r="P287" s="1"/>
      <c r="Q287" s="1"/>
      <c r="R287" s="1"/>
      <c r="S287" s="1"/>
      <c r="T287" s="40"/>
      <c r="U287" s="40"/>
      <c r="V287" s="40"/>
      <c r="W287" s="40"/>
      <c r="X287" s="22"/>
      <c r="Y287" s="22"/>
      <c r="Z287" s="22"/>
      <c r="AA287" s="22"/>
      <c r="AB287" s="22"/>
      <c r="AC287" s="22"/>
      <c r="AD287" s="22"/>
      <c r="AE287" s="22"/>
      <c r="AF287" s="22"/>
      <c r="AG287" s="22"/>
      <c r="AH287" s="22"/>
      <c r="AI287" s="22"/>
      <c r="AJ287" s="40"/>
      <c r="AK287" s="22"/>
      <c r="AL287" s="22"/>
      <c r="AM287" s="22"/>
      <c r="AN287" s="22"/>
      <c r="AO287" s="40"/>
      <c r="AP287" s="40"/>
      <c r="AQ287" s="40"/>
      <c r="AR287" s="1"/>
      <c r="AS287" s="1"/>
      <c r="AT287" s="17"/>
      <c r="AU287" s="1"/>
      <c r="AV287" s="1"/>
      <c r="AW287" s="1"/>
      <c r="AX287" s="2"/>
      <c r="AY287" s="2"/>
      <c r="AZ287" s="1"/>
    </row>
    <row x14ac:dyDescent="0.25" r="288" customHeight="1" ht="24.75">
      <c r="A288" s="1"/>
      <c r="B288" s="1"/>
      <c r="C288" s="1"/>
      <c r="D288" s="1"/>
      <c r="E288" s="1"/>
      <c r="F288" s="1"/>
      <c r="G288" s="1"/>
      <c r="H288" s="1"/>
      <c r="I288" s="1"/>
      <c r="J288" s="1"/>
      <c r="K288" s="17"/>
      <c r="L288" s="1"/>
      <c r="M288" s="1"/>
      <c r="N288" s="2"/>
      <c r="O288" s="2"/>
      <c r="P288" s="1"/>
      <c r="Q288" s="1"/>
      <c r="R288" s="1"/>
      <c r="S288" s="1"/>
      <c r="T288" s="40"/>
      <c r="U288" s="40"/>
      <c r="V288" s="40"/>
      <c r="W288" s="40"/>
      <c r="X288" s="22"/>
      <c r="Y288" s="22"/>
      <c r="Z288" s="22"/>
      <c r="AA288" s="22"/>
      <c r="AB288" s="22"/>
      <c r="AC288" s="22"/>
      <c r="AD288" s="22"/>
      <c r="AE288" s="22"/>
      <c r="AF288" s="22"/>
      <c r="AG288" s="22"/>
      <c r="AH288" s="22"/>
      <c r="AI288" s="22"/>
      <c r="AJ288" s="40"/>
      <c r="AK288" s="22"/>
      <c r="AL288" s="22"/>
      <c r="AM288" s="22"/>
      <c r="AN288" s="22"/>
      <c r="AO288" s="40"/>
      <c r="AP288" s="40"/>
      <c r="AQ288" s="40"/>
      <c r="AR288" s="1"/>
      <c r="AS288" s="1"/>
      <c r="AT288" s="17"/>
      <c r="AU288" s="1"/>
      <c r="AV288" s="1"/>
      <c r="AW288" s="1"/>
      <c r="AX288" s="2"/>
      <c r="AY288" s="2"/>
      <c r="AZ288" s="1"/>
    </row>
    <row x14ac:dyDescent="0.25" r="289" customHeight="1" ht="24.75">
      <c r="A289" s="1"/>
      <c r="B289" s="1"/>
      <c r="C289" s="1"/>
      <c r="D289" s="1"/>
      <c r="E289" s="1"/>
      <c r="F289" s="1"/>
      <c r="G289" s="1"/>
      <c r="H289" s="1"/>
      <c r="I289" s="1"/>
      <c r="J289" s="1"/>
      <c r="K289" s="17"/>
      <c r="L289" s="1"/>
      <c r="M289" s="1"/>
      <c r="N289" s="2"/>
      <c r="O289" s="2"/>
      <c r="P289" s="1"/>
      <c r="Q289" s="1"/>
      <c r="R289" s="1"/>
      <c r="S289" s="1"/>
      <c r="T289" s="40"/>
      <c r="U289" s="40"/>
      <c r="V289" s="40"/>
      <c r="W289" s="40"/>
      <c r="X289" s="22"/>
      <c r="Y289" s="22"/>
      <c r="Z289" s="22"/>
      <c r="AA289" s="22"/>
      <c r="AB289" s="22"/>
      <c r="AC289" s="22"/>
      <c r="AD289" s="22"/>
      <c r="AE289" s="22"/>
      <c r="AF289" s="22"/>
      <c r="AG289" s="22"/>
      <c r="AH289" s="22"/>
      <c r="AI289" s="22"/>
      <c r="AJ289" s="40"/>
      <c r="AK289" s="22"/>
      <c r="AL289" s="22"/>
      <c r="AM289" s="22"/>
      <c r="AN289" s="22"/>
      <c r="AO289" s="40"/>
      <c r="AP289" s="40"/>
      <c r="AQ289" s="40"/>
      <c r="AR289" s="1"/>
      <c r="AS289" s="1"/>
      <c r="AT289" s="17"/>
      <c r="AU289" s="1"/>
      <c r="AV289" s="1"/>
      <c r="AW289" s="1"/>
      <c r="AX289" s="2"/>
      <c r="AY289" s="2"/>
      <c r="AZ289" s="1"/>
    </row>
    <row x14ac:dyDescent="0.25" r="290" customHeight="1" ht="24.75">
      <c r="A290" s="1"/>
      <c r="B290" s="1"/>
      <c r="C290" s="1"/>
      <c r="D290" s="1"/>
      <c r="E290" s="1"/>
      <c r="F290" s="1"/>
      <c r="G290" s="1"/>
      <c r="H290" s="1"/>
      <c r="I290" s="1"/>
      <c r="J290" s="1"/>
      <c r="K290" s="17"/>
      <c r="L290" s="1"/>
      <c r="M290" s="1"/>
      <c r="N290" s="2"/>
      <c r="O290" s="2"/>
      <c r="P290" s="1"/>
      <c r="Q290" s="1"/>
      <c r="R290" s="1"/>
      <c r="S290" s="1"/>
      <c r="T290" s="40"/>
      <c r="U290" s="40"/>
      <c r="V290" s="40"/>
      <c r="W290" s="40"/>
      <c r="X290" s="22"/>
      <c r="Y290" s="22"/>
      <c r="Z290" s="22"/>
      <c r="AA290" s="22"/>
      <c r="AB290" s="22"/>
      <c r="AC290" s="22"/>
      <c r="AD290" s="22"/>
      <c r="AE290" s="22"/>
      <c r="AF290" s="22"/>
      <c r="AG290" s="22"/>
      <c r="AH290" s="22"/>
      <c r="AI290" s="22"/>
      <c r="AJ290" s="40"/>
      <c r="AK290" s="22"/>
      <c r="AL290" s="22"/>
      <c r="AM290" s="22"/>
      <c r="AN290" s="22"/>
      <c r="AO290" s="40"/>
      <c r="AP290" s="40"/>
      <c r="AQ290" s="40"/>
      <c r="AR290" s="1"/>
      <c r="AS290" s="1"/>
      <c r="AT290" s="17"/>
      <c r="AU290" s="1"/>
      <c r="AV290" s="1"/>
      <c r="AW290" s="1"/>
      <c r="AX290" s="2"/>
      <c r="AY290" s="2"/>
      <c r="AZ290" s="1"/>
    </row>
    <row x14ac:dyDescent="0.25" r="291" customHeight="1" ht="24.75">
      <c r="A291" s="1"/>
      <c r="B291" s="1"/>
      <c r="C291" s="1"/>
      <c r="D291" s="1"/>
      <c r="E291" s="1"/>
      <c r="F291" s="1"/>
      <c r="G291" s="1"/>
      <c r="H291" s="1"/>
      <c r="I291" s="1"/>
      <c r="J291" s="1"/>
      <c r="K291" s="17"/>
      <c r="L291" s="1"/>
      <c r="M291" s="1"/>
      <c r="N291" s="2"/>
      <c r="O291" s="2"/>
      <c r="P291" s="1"/>
      <c r="Q291" s="1"/>
      <c r="R291" s="1"/>
      <c r="S291" s="1"/>
      <c r="T291" s="40"/>
      <c r="U291" s="40"/>
      <c r="V291" s="40"/>
      <c r="W291" s="40"/>
      <c r="X291" s="22"/>
      <c r="Y291" s="22"/>
      <c r="Z291" s="22"/>
      <c r="AA291" s="22"/>
      <c r="AB291" s="22"/>
      <c r="AC291" s="22"/>
      <c r="AD291" s="22"/>
      <c r="AE291" s="22"/>
      <c r="AF291" s="22"/>
      <c r="AG291" s="22"/>
      <c r="AH291" s="22"/>
      <c r="AI291" s="22"/>
      <c r="AJ291" s="40"/>
      <c r="AK291" s="22"/>
      <c r="AL291" s="22"/>
      <c r="AM291" s="22"/>
      <c r="AN291" s="22"/>
      <c r="AO291" s="40"/>
      <c r="AP291" s="40"/>
      <c r="AQ291" s="40"/>
      <c r="AR291" s="1"/>
      <c r="AS291" s="1"/>
      <c r="AT291" s="17"/>
      <c r="AU291" s="1"/>
      <c r="AV291" s="1"/>
      <c r="AW291" s="1"/>
      <c r="AX291" s="2"/>
      <c r="AY291" s="2"/>
      <c r="AZ291" s="1"/>
    </row>
    <row x14ac:dyDescent="0.25" r="292" customHeight="1" ht="24.75">
      <c r="A292" s="1"/>
      <c r="B292" s="1"/>
      <c r="C292" s="1"/>
      <c r="D292" s="1"/>
      <c r="E292" s="1"/>
      <c r="F292" s="1"/>
      <c r="G292" s="1"/>
      <c r="H292" s="1"/>
      <c r="I292" s="1"/>
      <c r="J292" s="1"/>
      <c r="K292" s="17"/>
      <c r="L292" s="1"/>
      <c r="M292" s="1"/>
      <c r="N292" s="2"/>
      <c r="O292" s="2"/>
      <c r="P292" s="1"/>
      <c r="Q292" s="1"/>
      <c r="R292" s="1"/>
      <c r="S292" s="1"/>
      <c r="T292" s="40"/>
      <c r="U292" s="40"/>
      <c r="V292" s="40"/>
      <c r="W292" s="40"/>
      <c r="X292" s="22"/>
      <c r="Y292" s="22"/>
      <c r="Z292" s="22"/>
      <c r="AA292" s="22"/>
      <c r="AB292" s="22"/>
      <c r="AC292" s="22"/>
      <c r="AD292" s="22"/>
      <c r="AE292" s="22"/>
      <c r="AF292" s="22"/>
      <c r="AG292" s="22"/>
      <c r="AH292" s="22"/>
      <c r="AI292" s="22"/>
      <c r="AJ292" s="40"/>
      <c r="AK292" s="22"/>
      <c r="AL292" s="22"/>
      <c r="AM292" s="22"/>
      <c r="AN292" s="22"/>
      <c r="AO292" s="40"/>
      <c r="AP292" s="40"/>
      <c r="AQ292" s="40"/>
      <c r="AR292" s="1"/>
      <c r="AS292" s="1"/>
      <c r="AT292" s="17"/>
      <c r="AU292" s="1"/>
      <c r="AV292" s="1"/>
      <c r="AW292" s="1"/>
      <c r="AX292" s="2"/>
      <c r="AY292" s="2"/>
      <c r="AZ292" s="1"/>
    </row>
    <row x14ac:dyDescent="0.25" r="293" customHeight="1" ht="24.75">
      <c r="A293" s="1"/>
      <c r="B293" s="1"/>
      <c r="C293" s="1"/>
      <c r="D293" s="1"/>
      <c r="E293" s="1"/>
      <c r="F293" s="1"/>
      <c r="G293" s="1"/>
      <c r="H293" s="1"/>
      <c r="I293" s="1"/>
      <c r="J293" s="1"/>
      <c r="K293" s="17"/>
      <c r="L293" s="1"/>
      <c r="M293" s="1"/>
      <c r="N293" s="2"/>
      <c r="O293" s="2"/>
      <c r="P293" s="1"/>
      <c r="Q293" s="1"/>
      <c r="R293" s="1"/>
      <c r="S293" s="1"/>
      <c r="T293" s="40"/>
      <c r="U293" s="40"/>
      <c r="V293" s="40"/>
      <c r="W293" s="40"/>
      <c r="X293" s="22"/>
      <c r="Y293" s="22"/>
      <c r="Z293" s="22"/>
      <c r="AA293" s="22"/>
      <c r="AB293" s="22"/>
      <c r="AC293" s="22"/>
      <c r="AD293" s="22"/>
      <c r="AE293" s="22"/>
      <c r="AF293" s="22"/>
      <c r="AG293" s="22"/>
      <c r="AH293" s="22"/>
      <c r="AI293" s="22"/>
      <c r="AJ293" s="40"/>
      <c r="AK293" s="22"/>
      <c r="AL293" s="22"/>
      <c r="AM293" s="22"/>
      <c r="AN293" s="22"/>
      <c r="AO293" s="40"/>
      <c r="AP293" s="40"/>
      <c r="AQ293" s="40"/>
      <c r="AR293" s="1"/>
      <c r="AS293" s="1"/>
      <c r="AT293" s="17"/>
      <c r="AU293" s="1"/>
      <c r="AV293" s="1"/>
      <c r="AW293" s="1"/>
      <c r="AX293" s="2"/>
      <c r="AY293" s="2"/>
      <c r="AZ293" s="1"/>
    </row>
    <row x14ac:dyDescent="0.25" r="294" customHeight="1" ht="24.75">
      <c r="A294" s="1"/>
      <c r="B294" s="1"/>
      <c r="C294" s="1"/>
      <c r="D294" s="1"/>
      <c r="E294" s="1"/>
      <c r="F294" s="1"/>
      <c r="G294" s="1"/>
      <c r="H294" s="1"/>
      <c r="I294" s="1"/>
      <c r="J294" s="1"/>
      <c r="K294" s="17"/>
      <c r="L294" s="1"/>
      <c r="M294" s="1"/>
      <c r="N294" s="2"/>
      <c r="O294" s="2"/>
      <c r="P294" s="1"/>
      <c r="Q294" s="1"/>
      <c r="R294" s="1"/>
      <c r="S294" s="1"/>
      <c r="T294" s="40"/>
      <c r="U294" s="40"/>
      <c r="V294" s="40"/>
      <c r="W294" s="40"/>
      <c r="X294" s="22"/>
      <c r="Y294" s="22"/>
      <c r="Z294" s="22"/>
      <c r="AA294" s="22"/>
      <c r="AB294" s="22"/>
      <c r="AC294" s="22"/>
      <c r="AD294" s="22"/>
      <c r="AE294" s="22"/>
      <c r="AF294" s="22"/>
      <c r="AG294" s="22"/>
      <c r="AH294" s="22"/>
      <c r="AI294" s="22"/>
      <c r="AJ294" s="40"/>
      <c r="AK294" s="22"/>
      <c r="AL294" s="22"/>
      <c r="AM294" s="22"/>
      <c r="AN294" s="22"/>
      <c r="AO294" s="40"/>
      <c r="AP294" s="40"/>
      <c r="AQ294" s="40"/>
      <c r="AR294" s="1"/>
      <c r="AS294" s="1"/>
      <c r="AT294" s="17"/>
      <c r="AU294" s="1"/>
      <c r="AV294" s="1"/>
      <c r="AW294" s="1"/>
      <c r="AX294" s="2"/>
      <c r="AY294" s="2"/>
      <c r="AZ294" s="1"/>
    </row>
    <row x14ac:dyDescent="0.25" r="295" customHeight="1" ht="24.75">
      <c r="A295" s="1"/>
      <c r="B295" s="1"/>
      <c r="C295" s="1"/>
      <c r="D295" s="1"/>
      <c r="E295" s="1"/>
      <c r="F295" s="1"/>
      <c r="G295" s="1"/>
      <c r="H295" s="1"/>
      <c r="I295" s="1"/>
      <c r="J295" s="1"/>
      <c r="K295" s="17"/>
      <c r="L295" s="1"/>
      <c r="M295" s="1"/>
      <c r="N295" s="2"/>
      <c r="O295" s="2"/>
      <c r="P295" s="1"/>
      <c r="Q295" s="1"/>
      <c r="R295" s="1"/>
      <c r="S295" s="1"/>
      <c r="T295" s="40"/>
      <c r="U295" s="40"/>
      <c r="V295" s="40"/>
      <c r="W295" s="40"/>
      <c r="X295" s="22"/>
      <c r="Y295" s="22"/>
      <c r="Z295" s="22"/>
      <c r="AA295" s="22"/>
      <c r="AB295" s="22"/>
      <c r="AC295" s="22"/>
      <c r="AD295" s="22"/>
      <c r="AE295" s="22"/>
      <c r="AF295" s="22"/>
      <c r="AG295" s="22"/>
      <c r="AH295" s="22"/>
      <c r="AI295" s="22"/>
      <c r="AJ295" s="40"/>
      <c r="AK295" s="22"/>
      <c r="AL295" s="22"/>
      <c r="AM295" s="22"/>
      <c r="AN295" s="22"/>
      <c r="AO295" s="40"/>
      <c r="AP295" s="40"/>
      <c r="AQ295" s="40"/>
      <c r="AR295" s="1"/>
      <c r="AS295" s="1"/>
      <c r="AT295" s="17"/>
      <c r="AU295" s="1"/>
      <c r="AV295" s="1"/>
      <c r="AW295" s="1"/>
      <c r="AX295" s="2"/>
      <c r="AY295" s="2"/>
      <c r="AZ295" s="1"/>
    </row>
    <row x14ac:dyDescent="0.25" r="296" customHeight="1" ht="24.75">
      <c r="A296" s="1"/>
      <c r="B296" s="1"/>
      <c r="C296" s="1"/>
      <c r="D296" s="1"/>
      <c r="E296" s="1"/>
      <c r="F296" s="1"/>
      <c r="G296" s="1"/>
      <c r="H296" s="1"/>
      <c r="I296" s="1"/>
      <c r="J296" s="1"/>
      <c r="K296" s="17"/>
      <c r="L296" s="1"/>
      <c r="M296" s="1"/>
      <c r="N296" s="2"/>
      <c r="O296" s="2"/>
      <c r="P296" s="1"/>
      <c r="Q296" s="1"/>
      <c r="R296" s="1"/>
      <c r="S296" s="1"/>
      <c r="T296" s="40"/>
      <c r="U296" s="40"/>
      <c r="V296" s="40"/>
      <c r="W296" s="40"/>
      <c r="X296" s="22"/>
      <c r="Y296" s="22"/>
      <c r="Z296" s="22"/>
      <c r="AA296" s="22"/>
      <c r="AB296" s="22"/>
      <c r="AC296" s="22"/>
      <c r="AD296" s="22"/>
      <c r="AE296" s="22"/>
      <c r="AF296" s="22"/>
      <c r="AG296" s="22"/>
      <c r="AH296" s="22"/>
      <c r="AI296" s="22"/>
      <c r="AJ296" s="40"/>
      <c r="AK296" s="22"/>
      <c r="AL296" s="22"/>
      <c r="AM296" s="22"/>
      <c r="AN296" s="22"/>
      <c r="AO296" s="40"/>
      <c r="AP296" s="40"/>
      <c r="AQ296" s="40"/>
      <c r="AR296" s="1"/>
      <c r="AS296" s="1"/>
      <c r="AT296" s="17"/>
      <c r="AU296" s="1"/>
      <c r="AV296" s="1"/>
      <c r="AW296" s="1"/>
      <c r="AX296" s="2"/>
      <c r="AY296" s="2"/>
      <c r="AZ296" s="1"/>
    </row>
    <row x14ac:dyDescent="0.25" r="297" customHeight="1" ht="24.75">
      <c r="A297" s="1"/>
      <c r="B297" s="1"/>
      <c r="C297" s="1"/>
      <c r="D297" s="1"/>
      <c r="E297" s="1"/>
      <c r="F297" s="1"/>
      <c r="G297" s="1"/>
      <c r="H297" s="1"/>
      <c r="I297" s="1"/>
      <c r="J297" s="1"/>
      <c r="K297" s="17"/>
      <c r="L297" s="1"/>
      <c r="M297" s="1"/>
      <c r="N297" s="2"/>
      <c r="O297" s="2"/>
      <c r="P297" s="1"/>
      <c r="Q297" s="1"/>
      <c r="R297" s="1"/>
      <c r="S297" s="1"/>
      <c r="T297" s="40"/>
      <c r="U297" s="40"/>
      <c r="V297" s="40"/>
      <c r="W297" s="40"/>
      <c r="X297" s="22"/>
      <c r="Y297" s="22"/>
      <c r="Z297" s="22"/>
      <c r="AA297" s="22"/>
      <c r="AB297" s="22"/>
      <c r="AC297" s="22"/>
      <c r="AD297" s="22"/>
      <c r="AE297" s="22"/>
      <c r="AF297" s="22"/>
      <c r="AG297" s="22"/>
      <c r="AH297" s="22"/>
      <c r="AI297" s="22"/>
      <c r="AJ297" s="40"/>
      <c r="AK297" s="22"/>
      <c r="AL297" s="22"/>
      <c r="AM297" s="22"/>
      <c r="AN297" s="22"/>
      <c r="AO297" s="40"/>
      <c r="AP297" s="40"/>
      <c r="AQ297" s="40"/>
      <c r="AR297" s="1"/>
      <c r="AS297" s="1"/>
      <c r="AT297" s="17"/>
      <c r="AU297" s="1"/>
      <c r="AV297" s="1"/>
      <c r="AW297" s="1"/>
      <c r="AX297" s="2"/>
      <c r="AY297" s="2"/>
      <c r="AZ297" s="1"/>
    </row>
    <row x14ac:dyDescent="0.25" r="298" customHeight="1" ht="24.75">
      <c r="A298" s="1"/>
      <c r="B298" s="1"/>
      <c r="C298" s="1"/>
      <c r="D298" s="1"/>
      <c r="E298" s="1"/>
      <c r="F298" s="1"/>
      <c r="G298" s="1"/>
      <c r="H298" s="1"/>
      <c r="I298" s="1"/>
      <c r="J298" s="1"/>
      <c r="K298" s="17"/>
      <c r="L298" s="1"/>
      <c r="M298" s="1"/>
      <c r="N298" s="2"/>
      <c r="O298" s="2"/>
      <c r="P298" s="1"/>
      <c r="Q298" s="1"/>
      <c r="R298" s="1"/>
      <c r="S298" s="1"/>
      <c r="T298" s="40"/>
      <c r="U298" s="40"/>
      <c r="V298" s="40"/>
      <c r="W298" s="40"/>
      <c r="X298" s="22"/>
      <c r="Y298" s="22"/>
      <c r="Z298" s="22"/>
      <c r="AA298" s="22"/>
      <c r="AB298" s="22"/>
      <c r="AC298" s="22"/>
      <c r="AD298" s="22"/>
      <c r="AE298" s="22"/>
      <c r="AF298" s="22"/>
      <c r="AG298" s="22"/>
      <c r="AH298" s="22"/>
      <c r="AI298" s="22"/>
      <c r="AJ298" s="40"/>
      <c r="AK298" s="22"/>
      <c r="AL298" s="22"/>
      <c r="AM298" s="22"/>
      <c r="AN298" s="22"/>
      <c r="AO298" s="40"/>
      <c r="AP298" s="40"/>
      <c r="AQ298" s="40"/>
      <c r="AR298" s="1"/>
      <c r="AS298" s="1"/>
      <c r="AT298" s="17"/>
      <c r="AU298" s="1"/>
      <c r="AV298" s="1"/>
      <c r="AW298" s="1"/>
      <c r="AX298" s="2"/>
      <c r="AY298" s="2"/>
      <c r="AZ298" s="1"/>
    </row>
    <row x14ac:dyDescent="0.25" r="299" customHeight="1" ht="24.75">
      <c r="A299" s="1"/>
      <c r="B299" s="1"/>
      <c r="C299" s="1"/>
      <c r="D299" s="1"/>
      <c r="E299" s="1"/>
      <c r="F299" s="1"/>
      <c r="G299" s="1"/>
      <c r="H299" s="1"/>
      <c r="I299" s="1"/>
      <c r="J299" s="1"/>
      <c r="K299" s="17"/>
      <c r="L299" s="1"/>
      <c r="M299" s="1"/>
      <c r="N299" s="2"/>
      <c r="O299" s="2"/>
      <c r="P299" s="1"/>
      <c r="Q299" s="1"/>
      <c r="R299" s="1"/>
      <c r="S299" s="1"/>
      <c r="T299" s="40"/>
      <c r="U299" s="40"/>
      <c r="V299" s="40"/>
      <c r="W299" s="40"/>
      <c r="X299" s="22"/>
      <c r="Y299" s="22"/>
      <c r="Z299" s="22"/>
      <c r="AA299" s="22"/>
      <c r="AB299" s="22"/>
      <c r="AC299" s="22"/>
      <c r="AD299" s="22"/>
      <c r="AE299" s="22"/>
      <c r="AF299" s="22"/>
      <c r="AG299" s="22"/>
      <c r="AH299" s="22"/>
      <c r="AI299" s="22"/>
      <c r="AJ299" s="40"/>
      <c r="AK299" s="22"/>
      <c r="AL299" s="22"/>
      <c r="AM299" s="22"/>
      <c r="AN299" s="22"/>
      <c r="AO299" s="40"/>
      <c r="AP299" s="40"/>
      <c r="AQ299" s="40"/>
      <c r="AR299" s="1"/>
      <c r="AS299" s="1"/>
      <c r="AT299" s="17"/>
      <c r="AU299" s="1"/>
      <c r="AV299" s="1"/>
      <c r="AW299" s="1"/>
      <c r="AX299" s="2"/>
      <c r="AY299" s="2"/>
      <c r="AZ299" s="1"/>
    </row>
    <row x14ac:dyDescent="0.25" r="300" customHeight="1" ht="24.75">
      <c r="A300" s="1"/>
      <c r="B300" s="1"/>
      <c r="C300" s="1"/>
      <c r="D300" s="1"/>
      <c r="E300" s="1"/>
      <c r="F300" s="1"/>
      <c r="G300" s="1"/>
      <c r="H300" s="1"/>
      <c r="I300" s="1"/>
      <c r="J300" s="1"/>
      <c r="K300" s="17"/>
      <c r="L300" s="1"/>
      <c r="M300" s="1"/>
      <c r="N300" s="2"/>
      <c r="O300" s="2"/>
      <c r="P300" s="1"/>
      <c r="Q300" s="1"/>
      <c r="R300" s="1"/>
      <c r="S300" s="1"/>
      <c r="T300" s="40"/>
      <c r="U300" s="40"/>
      <c r="V300" s="40"/>
      <c r="W300" s="40"/>
      <c r="X300" s="22"/>
      <c r="Y300" s="22"/>
      <c r="Z300" s="22"/>
      <c r="AA300" s="22"/>
      <c r="AB300" s="22"/>
      <c r="AC300" s="22"/>
      <c r="AD300" s="22"/>
      <c r="AE300" s="22"/>
      <c r="AF300" s="22"/>
      <c r="AG300" s="22"/>
      <c r="AH300" s="22"/>
      <c r="AI300" s="22"/>
      <c r="AJ300" s="40"/>
      <c r="AK300" s="22"/>
      <c r="AL300" s="22"/>
      <c r="AM300" s="22"/>
      <c r="AN300" s="22"/>
      <c r="AO300" s="40"/>
      <c r="AP300" s="40"/>
      <c r="AQ300" s="40"/>
      <c r="AR300" s="1"/>
      <c r="AS300" s="1"/>
      <c r="AT300" s="17"/>
      <c r="AU300" s="1"/>
      <c r="AV300" s="1"/>
      <c r="AW300" s="1"/>
      <c r="AX300" s="2"/>
      <c r="AY300" s="2"/>
      <c r="AZ300" s="1"/>
    </row>
    <row x14ac:dyDescent="0.25" r="301" customHeight="1" ht="24.75">
      <c r="A301" s="1"/>
      <c r="B301" s="1"/>
      <c r="C301" s="1"/>
      <c r="D301" s="1"/>
      <c r="E301" s="1"/>
      <c r="F301" s="1"/>
      <c r="G301" s="1"/>
      <c r="H301" s="1"/>
      <c r="I301" s="1"/>
      <c r="J301" s="1"/>
      <c r="K301" s="17"/>
      <c r="L301" s="1"/>
      <c r="M301" s="1"/>
      <c r="N301" s="2"/>
      <c r="O301" s="2"/>
      <c r="P301" s="1"/>
      <c r="Q301" s="1"/>
      <c r="R301" s="1"/>
      <c r="S301" s="1"/>
      <c r="T301" s="40"/>
      <c r="U301" s="40"/>
      <c r="V301" s="40"/>
      <c r="W301" s="40"/>
      <c r="X301" s="22"/>
      <c r="Y301" s="22"/>
      <c r="Z301" s="22"/>
      <c r="AA301" s="22"/>
      <c r="AB301" s="22"/>
      <c r="AC301" s="22"/>
      <c r="AD301" s="22"/>
      <c r="AE301" s="22"/>
      <c r="AF301" s="22"/>
      <c r="AG301" s="22"/>
      <c r="AH301" s="22"/>
      <c r="AI301" s="22"/>
      <c r="AJ301" s="40"/>
      <c r="AK301" s="22"/>
      <c r="AL301" s="22"/>
      <c r="AM301" s="22"/>
      <c r="AN301" s="22"/>
      <c r="AO301" s="40"/>
      <c r="AP301" s="40"/>
      <c r="AQ301" s="40"/>
      <c r="AR301" s="1"/>
      <c r="AS301" s="1"/>
      <c r="AT301" s="17"/>
      <c r="AU301" s="1"/>
      <c r="AV301" s="1"/>
      <c r="AW301" s="1"/>
      <c r="AX301" s="2"/>
      <c r="AY301" s="2"/>
      <c r="AZ301" s="1"/>
    </row>
    <row x14ac:dyDescent="0.25" r="302" customHeight="1" ht="24.75">
      <c r="A302" s="1"/>
      <c r="B302" s="1"/>
      <c r="C302" s="1"/>
      <c r="D302" s="1"/>
      <c r="E302" s="1"/>
      <c r="F302" s="1"/>
      <c r="G302" s="1"/>
      <c r="H302" s="1"/>
      <c r="I302" s="1"/>
      <c r="J302" s="1"/>
      <c r="K302" s="17"/>
      <c r="L302" s="1"/>
      <c r="M302" s="1"/>
      <c r="N302" s="2"/>
      <c r="O302" s="2"/>
      <c r="P302" s="1"/>
      <c r="Q302" s="1"/>
      <c r="R302" s="1"/>
      <c r="S302" s="1"/>
      <c r="T302" s="40"/>
      <c r="U302" s="40"/>
      <c r="V302" s="40"/>
      <c r="W302" s="40"/>
      <c r="X302" s="22"/>
      <c r="Y302" s="22"/>
      <c r="Z302" s="22"/>
      <c r="AA302" s="22"/>
      <c r="AB302" s="22"/>
      <c r="AC302" s="22"/>
      <c r="AD302" s="22"/>
      <c r="AE302" s="22"/>
      <c r="AF302" s="22"/>
      <c r="AG302" s="22"/>
      <c r="AH302" s="22"/>
      <c r="AI302" s="22"/>
      <c r="AJ302" s="40"/>
      <c r="AK302" s="22"/>
      <c r="AL302" s="22"/>
      <c r="AM302" s="22"/>
      <c r="AN302" s="22"/>
      <c r="AO302" s="40"/>
      <c r="AP302" s="40"/>
      <c r="AQ302" s="40"/>
      <c r="AR302" s="1"/>
      <c r="AS302" s="1"/>
      <c r="AT302" s="17"/>
      <c r="AU302" s="1"/>
      <c r="AV302" s="1"/>
      <c r="AW302" s="1"/>
      <c r="AX302" s="2"/>
      <c r="AY302" s="2"/>
      <c r="AZ302" s="1"/>
    </row>
    <row x14ac:dyDescent="0.25" r="303" customHeight="1" ht="24.75">
      <c r="A303" s="1"/>
      <c r="B303" s="1"/>
      <c r="C303" s="1"/>
      <c r="D303" s="1"/>
      <c r="E303" s="1"/>
      <c r="F303" s="1"/>
      <c r="G303" s="1"/>
      <c r="H303" s="1"/>
      <c r="I303" s="1"/>
      <c r="J303" s="1"/>
      <c r="K303" s="17"/>
      <c r="L303" s="1"/>
      <c r="M303" s="1"/>
      <c r="N303" s="2"/>
      <c r="O303" s="2"/>
      <c r="P303" s="1"/>
      <c r="Q303" s="1"/>
      <c r="R303" s="1"/>
      <c r="S303" s="1"/>
      <c r="T303" s="40"/>
      <c r="U303" s="40"/>
      <c r="V303" s="40"/>
      <c r="W303" s="40"/>
      <c r="X303" s="22"/>
      <c r="Y303" s="22"/>
      <c r="Z303" s="22"/>
      <c r="AA303" s="22"/>
      <c r="AB303" s="22"/>
      <c r="AC303" s="22"/>
      <c r="AD303" s="22"/>
      <c r="AE303" s="22"/>
      <c r="AF303" s="22"/>
      <c r="AG303" s="22"/>
      <c r="AH303" s="22"/>
      <c r="AI303" s="22"/>
      <c r="AJ303" s="40"/>
      <c r="AK303" s="22"/>
      <c r="AL303" s="22"/>
      <c r="AM303" s="22"/>
      <c r="AN303" s="22"/>
      <c r="AO303" s="40"/>
      <c r="AP303" s="40"/>
      <c r="AQ303" s="40"/>
      <c r="AR303" s="1"/>
      <c r="AS303" s="1"/>
      <c r="AT303" s="17"/>
      <c r="AU303" s="1"/>
      <c r="AV303" s="1"/>
      <c r="AW303" s="1"/>
      <c r="AX303" s="2"/>
      <c r="AY303" s="2"/>
      <c r="AZ303" s="1"/>
    </row>
    <row x14ac:dyDescent="0.25" r="304" customHeight="1" ht="24.75">
      <c r="A304" s="1"/>
      <c r="B304" s="1"/>
      <c r="C304" s="1"/>
      <c r="D304" s="1"/>
      <c r="E304" s="1"/>
      <c r="F304" s="1"/>
      <c r="G304" s="1"/>
      <c r="H304" s="1"/>
      <c r="I304" s="1"/>
      <c r="J304" s="1"/>
      <c r="K304" s="17"/>
      <c r="L304" s="1"/>
      <c r="M304" s="1"/>
      <c r="N304" s="2"/>
      <c r="O304" s="2"/>
      <c r="P304" s="1"/>
      <c r="Q304" s="1"/>
      <c r="R304" s="1"/>
      <c r="S304" s="1"/>
      <c r="T304" s="40"/>
      <c r="U304" s="40"/>
      <c r="V304" s="40"/>
      <c r="W304" s="40"/>
      <c r="X304" s="22"/>
      <c r="Y304" s="22"/>
      <c r="Z304" s="22"/>
      <c r="AA304" s="22"/>
      <c r="AB304" s="22"/>
      <c r="AC304" s="22"/>
      <c r="AD304" s="22"/>
      <c r="AE304" s="22"/>
      <c r="AF304" s="22"/>
      <c r="AG304" s="22"/>
      <c r="AH304" s="22"/>
      <c r="AI304" s="22"/>
      <c r="AJ304" s="40"/>
      <c r="AK304" s="22"/>
      <c r="AL304" s="22"/>
      <c r="AM304" s="22"/>
      <c r="AN304" s="22"/>
      <c r="AO304" s="40"/>
      <c r="AP304" s="40"/>
      <c r="AQ304" s="40"/>
      <c r="AR304" s="1"/>
      <c r="AS304" s="1"/>
      <c r="AT304" s="17"/>
      <c r="AU304" s="1"/>
      <c r="AV304" s="1"/>
      <c r="AW304" s="1"/>
      <c r="AX304" s="2"/>
      <c r="AY304" s="2"/>
      <c r="AZ304" s="1"/>
    </row>
    <row x14ac:dyDescent="0.25" r="305" customHeight="1" ht="24.75">
      <c r="A305" s="1"/>
      <c r="B305" s="1"/>
      <c r="C305" s="1"/>
      <c r="D305" s="1"/>
      <c r="E305" s="1"/>
      <c r="F305" s="1"/>
      <c r="G305" s="1"/>
      <c r="H305" s="1"/>
      <c r="I305" s="1"/>
      <c r="J305" s="1"/>
      <c r="K305" s="17"/>
      <c r="L305" s="1"/>
      <c r="M305" s="1"/>
      <c r="N305" s="2"/>
      <c r="O305" s="2"/>
      <c r="P305" s="1"/>
      <c r="Q305" s="1"/>
      <c r="R305" s="1"/>
      <c r="S305" s="1"/>
      <c r="T305" s="40"/>
      <c r="U305" s="40"/>
      <c r="V305" s="40"/>
      <c r="W305" s="40"/>
      <c r="X305" s="22"/>
      <c r="Y305" s="22"/>
      <c r="Z305" s="22"/>
      <c r="AA305" s="22"/>
      <c r="AB305" s="22"/>
      <c r="AC305" s="22"/>
      <c r="AD305" s="22"/>
      <c r="AE305" s="22"/>
      <c r="AF305" s="22"/>
      <c r="AG305" s="22"/>
      <c r="AH305" s="22"/>
      <c r="AI305" s="22"/>
      <c r="AJ305" s="40"/>
      <c r="AK305" s="22"/>
      <c r="AL305" s="22"/>
      <c r="AM305" s="22"/>
      <c r="AN305" s="22"/>
      <c r="AO305" s="40"/>
      <c r="AP305" s="40"/>
      <c r="AQ305" s="40"/>
      <c r="AR305" s="1"/>
      <c r="AS305" s="1"/>
      <c r="AT305" s="17"/>
      <c r="AU305" s="1"/>
      <c r="AV305" s="1"/>
      <c r="AW305" s="1"/>
      <c r="AX305" s="2"/>
      <c r="AY305" s="2"/>
      <c r="AZ305" s="1"/>
    </row>
    <row x14ac:dyDescent="0.25" r="306" customHeight="1" ht="24.75">
      <c r="A306" s="1"/>
      <c r="B306" s="1"/>
      <c r="C306" s="1"/>
      <c r="D306" s="1"/>
      <c r="E306" s="1"/>
      <c r="F306" s="1"/>
      <c r="G306" s="1"/>
      <c r="H306" s="1"/>
      <c r="I306" s="1"/>
      <c r="J306" s="1"/>
      <c r="K306" s="17"/>
      <c r="L306" s="1"/>
      <c r="M306" s="1"/>
      <c r="N306" s="2"/>
      <c r="O306" s="2"/>
      <c r="P306" s="1"/>
      <c r="Q306" s="1"/>
      <c r="R306" s="1"/>
      <c r="S306" s="1"/>
      <c r="T306" s="40"/>
      <c r="U306" s="40"/>
      <c r="V306" s="40"/>
      <c r="W306" s="40"/>
      <c r="X306" s="22"/>
      <c r="Y306" s="22"/>
      <c r="Z306" s="22"/>
      <c r="AA306" s="22"/>
      <c r="AB306" s="22"/>
      <c r="AC306" s="22"/>
      <c r="AD306" s="22"/>
      <c r="AE306" s="22"/>
      <c r="AF306" s="22"/>
      <c r="AG306" s="22"/>
      <c r="AH306" s="22"/>
      <c r="AI306" s="22"/>
      <c r="AJ306" s="40"/>
      <c r="AK306" s="22"/>
      <c r="AL306" s="22"/>
      <c r="AM306" s="22"/>
      <c r="AN306" s="22"/>
      <c r="AO306" s="40"/>
      <c r="AP306" s="40"/>
      <c r="AQ306" s="40"/>
      <c r="AR306" s="1"/>
      <c r="AS306" s="1"/>
      <c r="AT306" s="17"/>
      <c r="AU306" s="1"/>
      <c r="AV306" s="1"/>
      <c r="AW306" s="1"/>
      <c r="AX306" s="2"/>
      <c r="AY306" s="2"/>
      <c r="AZ306" s="1"/>
    </row>
    <row x14ac:dyDescent="0.25" r="307" customHeight="1" ht="24.75">
      <c r="A307" s="1"/>
      <c r="B307" s="1"/>
      <c r="C307" s="1"/>
      <c r="D307" s="1"/>
      <c r="E307" s="1"/>
      <c r="F307" s="1"/>
      <c r="G307" s="1"/>
      <c r="H307" s="1"/>
      <c r="I307" s="1"/>
      <c r="J307" s="1"/>
      <c r="K307" s="17"/>
      <c r="L307" s="1"/>
      <c r="M307" s="1"/>
      <c r="N307" s="2"/>
      <c r="O307" s="2"/>
      <c r="P307" s="1"/>
      <c r="Q307" s="1"/>
      <c r="R307" s="1"/>
      <c r="S307" s="1"/>
      <c r="T307" s="40"/>
      <c r="U307" s="40"/>
      <c r="V307" s="40"/>
      <c r="W307" s="40"/>
      <c r="X307" s="22"/>
      <c r="Y307" s="22"/>
      <c r="Z307" s="22"/>
      <c r="AA307" s="22"/>
      <c r="AB307" s="22"/>
      <c r="AC307" s="22"/>
      <c r="AD307" s="22"/>
      <c r="AE307" s="22"/>
      <c r="AF307" s="22"/>
      <c r="AG307" s="22"/>
      <c r="AH307" s="22"/>
      <c r="AI307" s="22"/>
      <c r="AJ307" s="40"/>
      <c r="AK307" s="22"/>
      <c r="AL307" s="22"/>
      <c r="AM307" s="22"/>
      <c r="AN307" s="22"/>
      <c r="AO307" s="40"/>
      <c r="AP307" s="40"/>
      <c r="AQ307" s="40"/>
      <c r="AR307" s="1"/>
      <c r="AS307" s="1"/>
      <c r="AT307" s="17"/>
      <c r="AU307" s="1"/>
      <c r="AV307" s="1"/>
      <c r="AW307" s="1"/>
      <c r="AX307" s="2"/>
      <c r="AY307" s="2"/>
      <c r="AZ307" s="1"/>
    </row>
    <row x14ac:dyDescent="0.25" r="308" customHeight="1" ht="24.75">
      <c r="A308" s="1"/>
      <c r="B308" s="1"/>
      <c r="C308" s="1"/>
      <c r="D308" s="1"/>
      <c r="E308" s="1"/>
      <c r="F308" s="1"/>
      <c r="G308" s="1"/>
      <c r="H308" s="1"/>
      <c r="I308" s="1"/>
      <c r="J308" s="1"/>
      <c r="K308" s="17"/>
      <c r="L308" s="1"/>
      <c r="M308" s="1"/>
      <c r="N308" s="2"/>
      <c r="O308" s="2"/>
      <c r="P308" s="1"/>
      <c r="Q308" s="1"/>
      <c r="R308" s="1"/>
      <c r="S308" s="1"/>
      <c r="T308" s="40"/>
      <c r="U308" s="40"/>
      <c r="V308" s="40"/>
      <c r="W308" s="40"/>
      <c r="X308" s="22"/>
      <c r="Y308" s="22"/>
      <c r="Z308" s="22"/>
      <c r="AA308" s="22"/>
      <c r="AB308" s="22"/>
      <c r="AC308" s="22"/>
      <c r="AD308" s="22"/>
      <c r="AE308" s="22"/>
      <c r="AF308" s="22"/>
      <c r="AG308" s="22"/>
      <c r="AH308" s="22"/>
      <c r="AI308" s="22"/>
      <c r="AJ308" s="40"/>
      <c r="AK308" s="22"/>
      <c r="AL308" s="22"/>
      <c r="AM308" s="22"/>
      <c r="AN308" s="22"/>
      <c r="AO308" s="40"/>
      <c r="AP308" s="40"/>
      <c r="AQ308" s="40"/>
      <c r="AR308" s="1"/>
      <c r="AS308" s="1"/>
      <c r="AT308" s="17"/>
      <c r="AU308" s="1"/>
      <c r="AV308" s="1"/>
      <c r="AW308" s="1"/>
      <c r="AX308" s="2"/>
      <c r="AY308" s="2"/>
      <c r="AZ308" s="1"/>
    </row>
    <row x14ac:dyDescent="0.25" r="309" customHeight="1" ht="24.75">
      <c r="A309" s="1"/>
      <c r="B309" s="1"/>
      <c r="C309" s="1"/>
      <c r="D309" s="1"/>
      <c r="E309" s="1"/>
      <c r="F309" s="1"/>
      <c r="G309" s="1"/>
      <c r="H309" s="1"/>
      <c r="I309" s="1"/>
      <c r="J309" s="1"/>
      <c r="K309" s="17"/>
      <c r="L309" s="1"/>
      <c r="M309" s="1"/>
      <c r="N309" s="2"/>
      <c r="O309" s="2"/>
      <c r="P309" s="1"/>
      <c r="Q309" s="1"/>
      <c r="R309" s="1"/>
      <c r="S309" s="1"/>
      <c r="T309" s="40"/>
      <c r="U309" s="40"/>
      <c r="V309" s="40"/>
      <c r="W309" s="40"/>
      <c r="X309" s="22"/>
      <c r="Y309" s="22"/>
      <c r="Z309" s="22"/>
      <c r="AA309" s="22"/>
      <c r="AB309" s="22"/>
      <c r="AC309" s="22"/>
      <c r="AD309" s="22"/>
      <c r="AE309" s="22"/>
      <c r="AF309" s="22"/>
      <c r="AG309" s="22"/>
      <c r="AH309" s="22"/>
      <c r="AI309" s="22"/>
      <c r="AJ309" s="40"/>
      <c r="AK309" s="22"/>
      <c r="AL309" s="22"/>
      <c r="AM309" s="22"/>
      <c r="AN309" s="22"/>
      <c r="AO309" s="40"/>
      <c r="AP309" s="40"/>
      <c r="AQ309" s="40"/>
      <c r="AR309" s="1"/>
      <c r="AS309" s="1"/>
      <c r="AT309" s="17"/>
      <c r="AU309" s="1"/>
      <c r="AV309" s="1"/>
      <c r="AW309" s="1"/>
      <c r="AX309" s="2"/>
      <c r="AY309" s="2"/>
      <c r="AZ309" s="1"/>
    </row>
    <row x14ac:dyDescent="0.25" r="310" customHeight="1" ht="24.75">
      <c r="A310" s="1"/>
      <c r="B310" s="1"/>
      <c r="C310" s="1"/>
      <c r="D310" s="1"/>
      <c r="E310" s="1"/>
      <c r="F310" s="1"/>
      <c r="G310" s="1"/>
      <c r="H310" s="1"/>
      <c r="I310" s="1"/>
      <c r="J310" s="1"/>
      <c r="K310" s="17"/>
      <c r="L310" s="1"/>
      <c r="M310" s="1"/>
      <c r="N310" s="2"/>
      <c r="O310" s="2"/>
      <c r="P310" s="1"/>
      <c r="Q310" s="1"/>
      <c r="R310" s="1"/>
      <c r="S310" s="1"/>
      <c r="T310" s="40"/>
      <c r="U310" s="40"/>
      <c r="V310" s="40"/>
      <c r="W310" s="40"/>
      <c r="X310" s="22"/>
      <c r="Y310" s="22"/>
      <c r="Z310" s="22"/>
      <c r="AA310" s="22"/>
      <c r="AB310" s="22"/>
      <c r="AC310" s="22"/>
      <c r="AD310" s="22"/>
      <c r="AE310" s="22"/>
      <c r="AF310" s="22"/>
      <c r="AG310" s="22"/>
      <c r="AH310" s="22"/>
      <c r="AI310" s="22"/>
      <c r="AJ310" s="40"/>
      <c r="AK310" s="22"/>
      <c r="AL310" s="22"/>
      <c r="AM310" s="22"/>
      <c r="AN310" s="22"/>
      <c r="AO310" s="40"/>
      <c r="AP310" s="40"/>
      <c r="AQ310" s="40"/>
      <c r="AR310" s="1"/>
      <c r="AS310" s="1"/>
      <c r="AT310" s="17"/>
      <c r="AU310" s="1"/>
      <c r="AV310" s="1"/>
      <c r="AW310" s="1"/>
      <c r="AX310" s="2"/>
      <c r="AY310" s="2"/>
      <c r="AZ310" s="1"/>
    </row>
    <row x14ac:dyDescent="0.25" r="311" customHeight="1" ht="24.75">
      <c r="A311" s="1"/>
      <c r="B311" s="1"/>
      <c r="C311" s="1"/>
      <c r="D311" s="1"/>
      <c r="E311" s="1"/>
      <c r="F311" s="1"/>
      <c r="G311" s="1"/>
      <c r="H311" s="1"/>
      <c r="I311" s="1"/>
      <c r="J311" s="1"/>
      <c r="K311" s="17"/>
      <c r="L311" s="1"/>
      <c r="M311" s="1"/>
      <c r="N311" s="2"/>
      <c r="O311" s="2"/>
      <c r="P311" s="1"/>
      <c r="Q311" s="1"/>
      <c r="R311" s="1"/>
      <c r="S311" s="1"/>
      <c r="T311" s="40"/>
      <c r="U311" s="40"/>
      <c r="V311" s="40"/>
      <c r="W311" s="40"/>
      <c r="X311" s="22"/>
      <c r="Y311" s="22"/>
      <c r="Z311" s="22"/>
      <c r="AA311" s="22"/>
      <c r="AB311" s="22"/>
      <c r="AC311" s="22"/>
      <c r="AD311" s="22"/>
      <c r="AE311" s="22"/>
      <c r="AF311" s="22"/>
      <c r="AG311" s="22"/>
      <c r="AH311" s="22"/>
      <c r="AI311" s="22"/>
      <c r="AJ311" s="40"/>
      <c r="AK311" s="22"/>
      <c r="AL311" s="22"/>
      <c r="AM311" s="22"/>
      <c r="AN311" s="22"/>
      <c r="AO311" s="40"/>
      <c r="AP311" s="40"/>
      <c r="AQ311" s="40"/>
      <c r="AR311" s="1"/>
      <c r="AS311" s="1"/>
      <c r="AT311" s="17"/>
      <c r="AU311" s="1"/>
      <c r="AV311" s="1"/>
      <c r="AW311" s="1"/>
      <c r="AX311" s="2"/>
      <c r="AY311" s="2"/>
      <c r="AZ311" s="1"/>
    </row>
    <row x14ac:dyDescent="0.25" r="312" customHeight="1" ht="24.75">
      <c r="A312" s="1"/>
      <c r="B312" s="1"/>
      <c r="C312" s="1"/>
      <c r="D312" s="1"/>
      <c r="E312" s="1"/>
      <c r="F312" s="1"/>
      <c r="G312" s="1"/>
      <c r="H312" s="1"/>
      <c r="I312" s="1"/>
      <c r="J312" s="1"/>
      <c r="K312" s="17"/>
      <c r="L312" s="1"/>
      <c r="M312" s="1"/>
      <c r="N312" s="2"/>
      <c r="O312" s="2"/>
      <c r="P312" s="1"/>
      <c r="Q312" s="1"/>
      <c r="R312" s="1"/>
      <c r="S312" s="1"/>
      <c r="T312" s="40"/>
      <c r="U312" s="40"/>
      <c r="V312" s="40"/>
      <c r="W312" s="40"/>
      <c r="X312" s="22"/>
      <c r="Y312" s="22"/>
      <c r="Z312" s="22"/>
      <c r="AA312" s="22"/>
      <c r="AB312" s="22"/>
      <c r="AC312" s="22"/>
      <c r="AD312" s="22"/>
      <c r="AE312" s="22"/>
      <c r="AF312" s="22"/>
      <c r="AG312" s="22"/>
      <c r="AH312" s="22"/>
      <c r="AI312" s="22"/>
      <c r="AJ312" s="40"/>
      <c r="AK312" s="22"/>
      <c r="AL312" s="22"/>
      <c r="AM312" s="22"/>
      <c r="AN312" s="22"/>
      <c r="AO312" s="40"/>
      <c r="AP312" s="40"/>
      <c r="AQ312" s="40"/>
      <c r="AR312" s="1"/>
      <c r="AS312" s="1"/>
      <c r="AT312" s="17"/>
      <c r="AU312" s="1"/>
      <c r="AV312" s="1"/>
      <c r="AW312" s="1"/>
      <c r="AX312" s="2"/>
      <c r="AY312" s="2"/>
      <c r="AZ312" s="1"/>
    </row>
    <row x14ac:dyDescent="0.25" r="313" customHeight="1" ht="24.75">
      <c r="A313" s="1"/>
      <c r="B313" s="1"/>
      <c r="C313" s="1"/>
      <c r="D313" s="1"/>
      <c r="E313" s="1"/>
      <c r="F313" s="1"/>
      <c r="G313" s="1"/>
      <c r="H313" s="1"/>
      <c r="I313" s="1"/>
      <c r="J313" s="1"/>
      <c r="K313" s="17"/>
      <c r="L313" s="1"/>
      <c r="M313" s="1"/>
      <c r="N313" s="2"/>
      <c r="O313" s="2"/>
      <c r="P313" s="1"/>
      <c r="Q313" s="1"/>
      <c r="R313" s="1"/>
      <c r="S313" s="1"/>
      <c r="T313" s="40"/>
      <c r="U313" s="40"/>
      <c r="V313" s="40"/>
      <c r="W313" s="40"/>
      <c r="X313" s="22"/>
      <c r="Y313" s="22"/>
      <c r="Z313" s="22"/>
      <c r="AA313" s="22"/>
      <c r="AB313" s="22"/>
      <c r="AC313" s="22"/>
      <c r="AD313" s="22"/>
      <c r="AE313" s="22"/>
      <c r="AF313" s="22"/>
      <c r="AG313" s="22"/>
      <c r="AH313" s="22"/>
      <c r="AI313" s="22"/>
      <c r="AJ313" s="40"/>
      <c r="AK313" s="22"/>
      <c r="AL313" s="22"/>
      <c r="AM313" s="22"/>
      <c r="AN313" s="22"/>
      <c r="AO313" s="40"/>
      <c r="AP313" s="40"/>
      <c r="AQ313" s="40"/>
      <c r="AR313" s="1"/>
      <c r="AS313" s="1"/>
      <c r="AT313" s="17"/>
      <c r="AU313" s="1"/>
      <c r="AV313" s="1"/>
      <c r="AW313" s="1"/>
      <c r="AX313" s="2"/>
      <c r="AY313" s="2"/>
      <c r="AZ313" s="1"/>
    </row>
    <row x14ac:dyDescent="0.25" r="314" customHeight="1" ht="24.75">
      <c r="A314" s="1"/>
      <c r="B314" s="1"/>
      <c r="C314" s="1"/>
      <c r="D314" s="1"/>
      <c r="E314" s="1"/>
      <c r="F314" s="1"/>
      <c r="G314" s="1"/>
      <c r="H314" s="1"/>
      <c r="I314" s="1"/>
      <c r="J314" s="1"/>
      <c r="K314" s="17"/>
      <c r="L314" s="1"/>
      <c r="M314" s="1"/>
      <c r="N314" s="2"/>
      <c r="O314" s="2"/>
      <c r="P314" s="1"/>
      <c r="Q314" s="1"/>
      <c r="R314" s="1"/>
      <c r="S314" s="1"/>
      <c r="T314" s="40"/>
      <c r="U314" s="40"/>
      <c r="V314" s="40"/>
      <c r="W314" s="40"/>
      <c r="X314" s="22"/>
      <c r="Y314" s="22"/>
      <c r="Z314" s="22"/>
      <c r="AA314" s="22"/>
      <c r="AB314" s="22"/>
      <c r="AC314" s="22"/>
      <c r="AD314" s="22"/>
      <c r="AE314" s="22"/>
      <c r="AF314" s="22"/>
      <c r="AG314" s="22"/>
      <c r="AH314" s="22"/>
      <c r="AI314" s="22"/>
      <c r="AJ314" s="40"/>
      <c r="AK314" s="22"/>
      <c r="AL314" s="22"/>
      <c r="AM314" s="22"/>
      <c r="AN314" s="22"/>
      <c r="AO314" s="40"/>
      <c r="AP314" s="40"/>
      <c r="AQ314" s="40"/>
      <c r="AR314" s="1"/>
      <c r="AS314" s="1"/>
      <c r="AT314" s="17"/>
      <c r="AU314" s="1"/>
      <c r="AV314" s="1"/>
      <c r="AW314" s="1"/>
      <c r="AX314" s="2"/>
      <c r="AY314" s="2"/>
      <c r="AZ314" s="1"/>
    </row>
    <row x14ac:dyDescent="0.25" r="315" customHeight="1" ht="24.75">
      <c r="A315" s="1"/>
      <c r="B315" s="1"/>
      <c r="C315" s="1"/>
      <c r="D315" s="1"/>
      <c r="E315" s="1"/>
      <c r="F315" s="1"/>
      <c r="G315" s="1"/>
      <c r="H315" s="1"/>
      <c r="I315" s="1"/>
      <c r="J315" s="1"/>
      <c r="K315" s="17"/>
      <c r="L315" s="1"/>
      <c r="M315" s="1"/>
      <c r="N315" s="2"/>
      <c r="O315" s="2"/>
      <c r="P315" s="1"/>
      <c r="Q315" s="1"/>
      <c r="R315" s="1"/>
      <c r="S315" s="1"/>
      <c r="T315" s="40"/>
      <c r="U315" s="40"/>
      <c r="V315" s="40"/>
      <c r="W315" s="40"/>
      <c r="X315" s="22"/>
      <c r="Y315" s="22"/>
      <c r="Z315" s="22"/>
      <c r="AA315" s="22"/>
      <c r="AB315" s="22"/>
      <c r="AC315" s="22"/>
      <c r="AD315" s="22"/>
      <c r="AE315" s="22"/>
      <c r="AF315" s="22"/>
      <c r="AG315" s="22"/>
      <c r="AH315" s="22"/>
      <c r="AI315" s="22"/>
      <c r="AJ315" s="40"/>
      <c r="AK315" s="22"/>
      <c r="AL315" s="22"/>
      <c r="AM315" s="22"/>
      <c r="AN315" s="22"/>
      <c r="AO315" s="40"/>
      <c r="AP315" s="40"/>
      <c r="AQ315" s="40"/>
      <c r="AR315" s="1"/>
      <c r="AS315" s="1"/>
      <c r="AT315" s="17"/>
      <c r="AU315" s="1"/>
      <c r="AV315" s="1"/>
      <c r="AW315" s="1"/>
      <c r="AX315" s="2"/>
      <c r="AY315" s="2"/>
      <c r="AZ315" s="1"/>
    </row>
    <row x14ac:dyDescent="0.25" r="316" customHeight="1" ht="24.75">
      <c r="A316" s="1"/>
      <c r="B316" s="1"/>
      <c r="C316" s="1"/>
      <c r="D316" s="1"/>
      <c r="E316" s="1"/>
      <c r="F316" s="1"/>
      <c r="G316" s="1"/>
      <c r="H316" s="1"/>
      <c r="I316" s="1"/>
      <c r="J316" s="1"/>
      <c r="K316" s="17"/>
      <c r="L316" s="1"/>
      <c r="M316" s="1"/>
      <c r="N316" s="2"/>
      <c r="O316" s="2"/>
      <c r="P316" s="1"/>
      <c r="Q316" s="1"/>
      <c r="R316" s="1"/>
      <c r="S316" s="1"/>
      <c r="T316" s="40"/>
      <c r="U316" s="40"/>
      <c r="V316" s="40"/>
      <c r="W316" s="40"/>
      <c r="X316" s="22"/>
      <c r="Y316" s="22"/>
      <c r="Z316" s="22"/>
      <c r="AA316" s="22"/>
      <c r="AB316" s="22"/>
      <c r="AC316" s="22"/>
      <c r="AD316" s="22"/>
      <c r="AE316" s="22"/>
      <c r="AF316" s="22"/>
      <c r="AG316" s="22"/>
      <c r="AH316" s="22"/>
      <c r="AI316" s="22"/>
      <c r="AJ316" s="40"/>
      <c r="AK316" s="22"/>
      <c r="AL316" s="22"/>
      <c r="AM316" s="22"/>
      <c r="AN316" s="22"/>
      <c r="AO316" s="40"/>
      <c r="AP316" s="40"/>
      <c r="AQ316" s="40"/>
      <c r="AR316" s="1"/>
      <c r="AS316" s="1"/>
      <c r="AT316" s="17"/>
      <c r="AU316" s="1"/>
      <c r="AV316" s="1"/>
      <c r="AW316" s="1"/>
      <c r="AX316" s="2"/>
      <c r="AY316" s="2"/>
      <c r="AZ316" s="1"/>
    </row>
    <row x14ac:dyDescent="0.25" r="317" customHeight="1" ht="24.75">
      <c r="A317" s="1"/>
      <c r="B317" s="1"/>
      <c r="C317" s="1"/>
      <c r="D317" s="1"/>
      <c r="E317" s="1"/>
      <c r="F317" s="1"/>
      <c r="G317" s="1"/>
      <c r="H317" s="1"/>
      <c r="I317" s="1"/>
      <c r="J317" s="1"/>
      <c r="K317" s="17"/>
      <c r="L317" s="1"/>
      <c r="M317" s="1"/>
      <c r="N317" s="2"/>
      <c r="O317" s="2"/>
      <c r="P317" s="1"/>
      <c r="Q317" s="1"/>
      <c r="R317" s="1"/>
      <c r="S317" s="1"/>
      <c r="T317" s="40"/>
      <c r="U317" s="40"/>
      <c r="V317" s="40"/>
      <c r="W317" s="40"/>
      <c r="X317" s="22"/>
      <c r="Y317" s="22"/>
      <c r="Z317" s="22"/>
      <c r="AA317" s="22"/>
      <c r="AB317" s="22"/>
      <c r="AC317" s="22"/>
      <c r="AD317" s="22"/>
      <c r="AE317" s="22"/>
      <c r="AF317" s="22"/>
      <c r="AG317" s="22"/>
      <c r="AH317" s="22"/>
      <c r="AI317" s="22"/>
      <c r="AJ317" s="40"/>
      <c r="AK317" s="22"/>
      <c r="AL317" s="22"/>
      <c r="AM317" s="22"/>
      <c r="AN317" s="22"/>
      <c r="AO317" s="40"/>
      <c r="AP317" s="40"/>
      <c r="AQ317" s="40"/>
      <c r="AR317" s="1"/>
      <c r="AS317" s="1"/>
      <c r="AT317" s="17"/>
      <c r="AU317" s="1"/>
      <c r="AV317" s="1"/>
      <c r="AW317" s="1"/>
      <c r="AX317" s="2"/>
      <c r="AY317" s="2"/>
      <c r="AZ317" s="1"/>
    </row>
    <row x14ac:dyDescent="0.25" r="318" customHeight="1" ht="24.75">
      <c r="A318" s="1"/>
      <c r="B318" s="1"/>
      <c r="C318" s="1"/>
      <c r="D318" s="1"/>
      <c r="E318" s="1"/>
      <c r="F318" s="1"/>
      <c r="G318" s="1"/>
      <c r="H318" s="1"/>
      <c r="I318" s="1"/>
      <c r="J318" s="1"/>
      <c r="K318" s="17"/>
      <c r="L318" s="1"/>
      <c r="M318" s="1"/>
      <c r="N318" s="2"/>
      <c r="O318" s="2"/>
      <c r="P318" s="1"/>
      <c r="Q318" s="1"/>
      <c r="R318" s="1"/>
      <c r="S318" s="1"/>
      <c r="T318" s="40"/>
      <c r="U318" s="40"/>
      <c r="V318" s="40"/>
      <c r="W318" s="40"/>
      <c r="X318" s="22"/>
      <c r="Y318" s="22"/>
      <c r="Z318" s="22"/>
      <c r="AA318" s="22"/>
      <c r="AB318" s="22"/>
      <c r="AC318" s="22"/>
      <c r="AD318" s="22"/>
      <c r="AE318" s="22"/>
      <c r="AF318" s="22"/>
      <c r="AG318" s="22"/>
      <c r="AH318" s="22"/>
      <c r="AI318" s="22"/>
      <c r="AJ318" s="40"/>
      <c r="AK318" s="22"/>
      <c r="AL318" s="22"/>
      <c r="AM318" s="22"/>
      <c r="AN318" s="22"/>
      <c r="AO318" s="40"/>
      <c r="AP318" s="40"/>
      <c r="AQ318" s="40"/>
      <c r="AR318" s="1"/>
      <c r="AS318" s="1"/>
      <c r="AT318" s="17"/>
      <c r="AU318" s="1"/>
      <c r="AV318" s="1"/>
      <c r="AW318" s="1"/>
      <c r="AX318" s="2"/>
      <c r="AY318" s="2"/>
      <c r="AZ318" s="1"/>
    </row>
    <row x14ac:dyDescent="0.25" r="319" customHeight="1" ht="24.75">
      <c r="A319" s="1"/>
      <c r="B319" s="1"/>
      <c r="C319" s="1"/>
      <c r="D319" s="1"/>
      <c r="E319" s="1"/>
      <c r="F319" s="1"/>
      <c r="G319" s="1"/>
      <c r="H319" s="1"/>
      <c r="I319" s="1"/>
      <c r="J319" s="1"/>
      <c r="K319" s="17"/>
      <c r="L319" s="1"/>
      <c r="M319" s="1"/>
      <c r="N319" s="2"/>
      <c r="O319" s="2"/>
      <c r="P319" s="1"/>
      <c r="Q319" s="1"/>
      <c r="R319" s="1"/>
      <c r="S319" s="1"/>
      <c r="T319" s="40"/>
      <c r="U319" s="40"/>
      <c r="V319" s="40"/>
      <c r="W319" s="40"/>
      <c r="X319" s="22"/>
      <c r="Y319" s="22"/>
      <c r="Z319" s="22"/>
      <c r="AA319" s="22"/>
      <c r="AB319" s="22"/>
      <c r="AC319" s="22"/>
      <c r="AD319" s="22"/>
      <c r="AE319" s="22"/>
      <c r="AF319" s="22"/>
      <c r="AG319" s="22"/>
      <c r="AH319" s="22"/>
      <c r="AI319" s="22"/>
      <c r="AJ319" s="40"/>
      <c r="AK319" s="22"/>
      <c r="AL319" s="22"/>
      <c r="AM319" s="22"/>
      <c r="AN319" s="22"/>
      <c r="AO319" s="40"/>
      <c r="AP319" s="40"/>
      <c r="AQ319" s="40"/>
      <c r="AR319" s="1"/>
      <c r="AS319" s="1"/>
      <c r="AT319" s="17"/>
      <c r="AU319" s="1"/>
      <c r="AV319" s="1"/>
      <c r="AW319" s="1"/>
      <c r="AX319" s="2"/>
      <c r="AY319" s="2"/>
      <c r="AZ319" s="1"/>
    </row>
    <row x14ac:dyDescent="0.25" r="320" customHeight="1" ht="24.75">
      <c r="A320" s="1"/>
      <c r="B320" s="1"/>
      <c r="C320" s="1"/>
      <c r="D320" s="1"/>
      <c r="E320" s="1"/>
      <c r="F320" s="1"/>
      <c r="G320" s="1"/>
      <c r="H320" s="1"/>
      <c r="I320" s="1"/>
      <c r="J320" s="1"/>
      <c r="K320" s="17"/>
      <c r="L320" s="1"/>
      <c r="M320" s="1"/>
      <c r="N320" s="2"/>
      <c r="O320" s="2"/>
      <c r="P320" s="1"/>
      <c r="Q320" s="1"/>
      <c r="R320" s="1"/>
      <c r="S320" s="1"/>
      <c r="T320" s="40"/>
      <c r="U320" s="40"/>
      <c r="V320" s="40"/>
      <c r="W320" s="40"/>
      <c r="X320" s="22"/>
      <c r="Y320" s="22"/>
      <c r="Z320" s="22"/>
      <c r="AA320" s="22"/>
      <c r="AB320" s="22"/>
      <c r="AC320" s="22"/>
      <c r="AD320" s="22"/>
      <c r="AE320" s="22"/>
      <c r="AF320" s="22"/>
      <c r="AG320" s="22"/>
      <c r="AH320" s="22"/>
      <c r="AI320" s="22"/>
      <c r="AJ320" s="40"/>
      <c r="AK320" s="22"/>
      <c r="AL320" s="22"/>
      <c r="AM320" s="22"/>
      <c r="AN320" s="22"/>
      <c r="AO320" s="40"/>
      <c r="AP320" s="40"/>
      <c r="AQ320" s="40"/>
      <c r="AR320" s="1"/>
      <c r="AS320" s="1"/>
      <c r="AT320" s="17"/>
      <c r="AU320" s="1"/>
      <c r="AV320" s="1"/>
      <c r="AW320" s="1"/>
      <c r="AX320" s="2"/>
      <c r="AY320" s="2"/>
      <c r="AZ320" s="1"/>
    </row>
    <row x14ac:dyDescent="0.25" r="321" customHeight="1" ht="24.75">
      <c r="A321" s="1"/>
      <c r="B321" s="1"/>
      <c r="C321" s="1"/>
      <c r="D321" s="1"/>
      <c r="E321" s="1"/>
      <c r="F321" s="1"/>
      <c r="G321" s="1"/>
      <c r="H321" s="1"/>
      <c r="I321" s="1"/>
      <c r="J321" s="1"/>
      <c r="K321" s="17"/>
      <c r="L321" s="1"/>
      <c r="M321" s="1"/>
      <c r="N321" s="2"/>
      <c r="O321" s="2"/>
      <c r="P321" s="1"/>
      <c r="Q321" s="1"/>
      <c r="R321" s="1"/>
      <c r="S321" s="1"/>
      <c r="T321" s="40"/>
      <c r="U321" s="40"/>
      <c r="V321" s="40"/>
      <c r="W321" s="40"/>
      <c r="X321" s="22"/>
      <c r="Y321" s="22"/>
      <c r="Z321" s="22"/>
      <c r="AA321" s="22"/>
      <c r="AB321" s="22"/>
      <c r="AC321" s="22"/>
      <c r="AD321" s="22"/>
      <c r="AE321" s="22"/>
      <c r="AF321" s="22"/>
      <c r="AG321" s="22"/>
      <c r="AH321" s="22"/>
      <c r="AI321" s="22"/>
      <c r="AJ321" s="40"/>
      <c r="AK321" s="22"/>
      <c r="AL321" s="22"/>
      <c r="AM321" s="22"/>
      <c r="AN321" s="22"/>
      <c r="AO321" s="40"/>
      <c r="AP321" s="40"/>
      <c r="AQ321" s="40"/>
      <c r="AR321" s="1"/>
      <c r="AS321" s="1"/>
      <c r="AT321" s="17"/>
      <c r="AU321" s="1"/>
      <c r="AV321" s="1"/>
      <c r="AW321" s="1"/>
      <c r="AX321" s="2"/>
      <c r="AY321" s="2"/>
      <c r="AZ321" s="1"/>
    </row>
    <row x14ac:dyDescent="0.25" r="322" customHeight="1" ht="24.75">
      <c r="A322" s="1"/>
      <c r="B322" s="1"/>
      <c r="C322" s="1"/>
      <c r="D322" s="1"/>
      <c r="E322" s="1"/>
      <c r="F322" s="1"/>
      <c r="G322" s="1"/>
      <c r="H322" s="1"/>
      <c r="I322" s="1"/>
      <c r="J322" s="1"/>
      <c r="K322" s="17"/>
      <c r="L322" s="1"/>
      <c r="M322" s="1"/>
      <c r="N322" s="2"/>
      <c r="O322" s="2"/>
      <c r="P322" s="1"/>
      <c r="Q322" s="1"/>
      <c r="R322" s="1"/>
      <c r="S322" s="1"/>
      <c r="T322" s="40"/>
      <c r="U322" s="40"/>
      <c r="V322" s="40"/>
      <c r="W322" s="40"/>
      <c r="X322" s="22"/>
      <c r="Y322" s="22"/>
      <c r="Z322" s="22"/>
      <c r="AA322" s="22"/>
      <c r="AB322" s="22"/>
      <c r="AC322" s="22"/>
      <c r="AD322" s="22"/>
      <c r="AE322" s="22"/>
      <c r="AF322" s="22"/>
      <c r="AG322" s="22"/>
      <c r="AH322" s="22"/>
      <c r="AI322" s="22"/>
      <c r="AJ322" s="40"/>
      <c r="AK322" s="22"/>
      <c r="AL322" s="22"/>
      <c r="AM322" s="22"/>
      <c r="AN322" s="22"/>
      <c r="AO322" s="40"/>
      <c r="AP322" s="40"/>
      <c r="AQ322" s="40"/>
      <c r="AR322" s="1"/>
      <c r="AS322" s="1"/>
      <c r="AT322" s="17"/>
      <c r="AU322" s="1"/>
      <c r="AV322" s="1"/>
      <c r="AW322" s="1"/>
      <c r="AX322" s="2"/>
      <c r="AY322" s="2"/>
      <c r="AZ322" s="1"/>
    </row>
    <row x14ac:dyDescent="0.25" r="323" customHeight="1" ht="24.75">
      <c r="A323" s="1"/>
      <c r="B323" s="1"/>
      <c r="C323" s="1"/>
      <c r="D323" s="1"/>
      <c r="E323" s="1"/>
      <c r="F323" s="1"/>
      <c r="G323" s="1"/>
      <c r="H323" s="1"/>
      <c r="I323" s="1"/>
      <c r="J323" s="1"/>
      <c r="K323" s="17"/>
      <c r="L323" s="1"/>
      <c r="M323" s="1"/>
      <c r="N323" s="2"/>
      <c r="O323" s="2"/>
      <c r="P323" s="1"/>
      <c r="Q323" s="1"/>
      <c r="R323" s="1"/>
      <c r="S323" s="1"/>
      <c r="T323" s="40"/>
      <c r="U323" s="40"/>
      <c r="V323" s="40"/>
      <c r="W323" s="40"/>
      <c r="X323" s="22"/>
      <c r="Y323" s="22"/>
      <c r="Z323" s="22"/>
      <c r="AA323" s="22"/>
      <c r="AB323" s="22"/>
      <c r="AC323" s="22"/>
      <c r="AD323" s="22"/>
      <c r="AE323" s="22"/>
      <c r="AF323" s="22"/>
      <c r="AG323" s="22"/>
      <c r="AH323" s="22"/>
      <c r="AI323" s="22"/>
      <c r="AJ323" s="40"/>
      <c r="AK323" s="22"/>
      <c r="AL323" s="22"/>
      <c r="AM323" s="22"/>
      <c r="AN323" s="22"/>
      <c r="AO323" s="40"/>
      <c r="AP323" s="40"/>
      <c r="AQ323" s="40"/>
      <c r="AR323" s="1"/>
      <c r="AS323" s="1"/>
      <c r="AT323" s="17"/>
      <c r="AU323" s="1"/>
      <c r="AV323" s="1"/>
      <c r="AW323" s="1"/>
      <c r="AX323" s="2"/>
      <c r="AY323" s="2"/>
      <c r="AZ323" s="1"/>
    </row>
    <row x14ac:dyDescent="0.25" r="324" customHeight="1" ht="24.75">
      <c r="A324" s="1"/>
      <c r="B324" s="1"/>
      <c r="C324" s="1"/>
      <c r="D324" s="1"/>
      <c r="E324" s="1"/>
      <c r="F324" s="1"/>
      <c r="G324" s="1"/>
      <c r="H324" s="1"/>
      <c r="I324" s="1"/>
      <c r="J324" s="1"/>
      <c r="K324" s="17"/>
      <c r="L324" s="1"/>
      <c r="M324" s="1"/>
      <c r="N324" s="2"/>
      <c r="O324" s="2"/>
      <c r="P324" s="1"/>
      <c r="Q324" s="1"/>
      <c r="R324" s="1"/>
      <c r="S324" s="1"/>
      <c r="T324" s="40"/>
      <c r="U324" s="40"/>
      <c r="V324" s="40"/>
      <c r="W324" s="40"/>
      <c r="X324" s="22"/>
      <c r="Y324" s="22"/>
      <c r="Z324" s="22"/>
      <c r="AA324" s="22"/>
      <c r="AB324" s="22"/>
      <c r="AC324" s="22"/>
      <c r="AD324" s="22"/>
      <c r="AE324" s="22"/>
      <c r="AF324" s="22"/>
      <c r="AG324" s="22"/>
      <c r="AH324" s="22"/>
      <c r="AI324" s="22"/>
      <c r="AJ324" s="40"/>
      <c r="AK324" s="22"/>
      <c r="AL324" s="22"/>
      <c r="AM324" s="22"/>
      <c r="AN324" s="22"/>
      <c r="AO324" s="40"/>
      <c r="AP324" s="40"/>
      <c r="AQ324" s="40"/>
      <c r="AR324" s="1"/>
      <c r="AS324" s="1"/>
      <c r="AT324" s="17"/>
      <c r="AU324" s="1"/>
      <c r="AV324" s="1"/>
      <c r="AW324" s="1"/>
      <c r="AX324" s="2"/>
      <c r="AY324" s="2"/>
      <c r="AZ324" s="1"/>
    </row>
    <row x14ac:dyDescent="0.25" r="325" customHeight="1" ht="24.75">
      <c r="A325" s="1"/>
      <c r="B325" s="1"/>
      <c r="C325" s="1"/>
      <c r="D325" s="1"/>
      <c r="E325" s="1"/>
      <c r="F325" s="1"/>
      <c r="G325" s="1"/>
      <c r="H325" s="1"/>
      <c r="I325" s="1"/>
      <c r="J325" s="1"/>
      <c r="K325" s="17"/>
      <c r="L325" s="1"/>
      <c r="M325" s="1"/>
      <c r="N325" s="2"/>
      <c r="O325" s="2"/>
      <c r="P325" s="1"/>
      <c r="Q325" s="1"/>
      <c r="R325" s="1"/>
      <c r="S325" s="1"/>
      <c r="T325" s="40"/>
      <c r="U325" s="40"/>
      <c r="V325" s="40"/>
      <c r="W325" s="40"/>
      <c r="X325" s="22"/>
      <c r="Y325" s="22"/>
      <c r="Z325" s="22"/>
      <c r="AA325" s="22"/>
      <c r="AB325" s="22"/>
      <c r="AC325" s="22"/>
      <c r="AD325" s="22"/>
      <c r="AE325" s="22"/>
      <c r="AF325" s="22"/>
      <c r="AG325" s="22"/>
      <c r="AH325" s="22"/>
      <c r="AI325" s="22"/>
      <c r="AJ325" s="40"/>
      <c r="AK325" s="22"/>
      <c r="AL325" s="22"/>
      <c r="AM325" s="22"/>
      <c r="AN325" s="22"/>
      <c r="AO325" s="40"/>
      <c r="AP325" s="40"/>
      <c r="AQ325" s="40"/>
      <c r="AR325" s="1"/>
      <c r="AS325" s="1"/>
      <c r="AT325" s="17"/>
      <c r="AU325" s="1"/>
      <c r="AV325" s="1"/>
      <c r="AW325" s="1"/>
      <c r="AX325" s="2"/>
      <c r="AY325" s="2"/>
      <c r="AZ325" s="1"/>
    </row>
    <row x14ac:dyDescent="0.25" r="326" customHeight="1" ht="24.75">
      <c r="A326" s="1"/>
      <c r="B326" s="1"/>
      <c r="C326" s="1"/>
      <c r="D326" s="1"/>
      <c r="E326" s="1"/>
      <c r="F326" s="1"/>
      <c r="G326" s="1"/>
      <c r="H326" s="1"/>
      <c r="I326" s="1"/>
      <c r="J326" s="1"/>
      <c r="K326" s="17"/>
      <c r="L326" s="1"/>
      <c r="M326" s="1"/>
      <c r="N326" s="2"/>
      <c r="O326" s="2"/>
      <c r="P326" s="1"/>
      <c r="Q326" s="1"/>
      <c r="R326" s="1"/>
      <c r="S326" s="1"/>
      <c r="T326" s="40"/>
      <c r="U326" s="40"/>
      <c r="V326" s="40"/>
      <c r="W326" s="40"/>
      <c r="X326" s="22"/>
      <c r="Y326" s="22"/>
      <c r="Z326" s="22"/>
      <c r="AA326" s="22"/>
      <c r="AB326" s="22"/>
      <c r="AC326" s="22"/>
      <c r="AD326" s="22"/>
      <c r="AE326" s="22"/>
      <c r="AF326" s="22"/>
      <c r="AG326" s="22"/>
      <c r="AH326" s="22"/>
      <c r="AI326" s="22"/>
      <c r="AJ326" s="40"/>
      <c r="AK326" s="22"/>
      <c r="AL326" s="22"/>
      <c r="AM326" s="22"/>
      <c r="AN326" s="22"/>
      <c r="AO326" s="40"/>
      <c r="AP326" s="40"/>
      <c r="AQ326" s="40"/>
      <c r="AR326" s="1"/>
      <c r="AS326" s="1"/>
      <c r="AT326" s="17"/>
      <c r="AU326" s="1"/>
      <c r="AV326" s="1"/>
      <c r="AW326" s="1"/>
      <c r="AX326" s="2"/>
      <c r="AY326" s="2"/>
      <c r="AZ326" s="1"/>
    </row>
    <row x14ac:dyDescent="0.25" r="327" customHeight="1" ht="24.75">
      <c r="A327" s="1"/>
      <c r="B327" s="1"/>
      <c r="C327" s="1"/>
      <c r="D327" s="1"/>
      <c r="E327" s="1"/>
      <c r="F327" s="1"/>
      <c r="G327" s="1"/>
      <c r="H327" s="1"/>
      <c r="I327" s="1"/>
      <c r="J327" s="1"/>
      <c r="K327" s="17"/>
      <c r="L327" s="1"/>
      <c r="M327" s="1"/>
      <c r="N327" s="2"/>
      <c r="O327" s="2"/>
      <c r="P327" s="1"/>
      <c r="Q327" s="1"/>
      <c r="R327" s="1"/>
      <c r="S327" s="1"/>
      <c r="T327" s="40"/>
      <c r="U327" s="40"/>
      <c r="V327" s="40"/>
      <c r="W327" s="40"/>
      <c r="X327" s="22"/>
      <c r="Y327" s="22"/>
      <c r="Z327" s="22"/>
      <c r="AA327" s="22"/>
      <c r="AB327" s="22"/>
      <c r="AC327" s="22"/>
      <c r="AD327" s="22"/>
      <c r="AE327" s="22"/>
      <c r="AF327" s="22"/>
      <c r="AG327" s="22"/>
      <c r="AH327" s="22"/>
      <c r="AI327" s="22"/>
      <c r="AJ327" s="40"/>
      <c r="AK327" s="22"/>
      <c r="AL327" s="22"/>
      <c r="AM327" s="22"/>
      <c r="AN327" s="22"/>
      <c r="AO327" s="40"/>
      <c r="AP327" s="40"/>
      <c r="AQ327" s="40"/>
      <c r="AR327" s="1"/>
      <c r="AS327" s="1"/>
      <c r="AT327" s="17"/>
      <c r="AU327" s="1"/>
      <c r="AV327" s="1"/>
      <c r="AW327" s="1"/>
      <c r="AX327" s="2"/>
      <c r="AY327" s="2"/>
      <c r="AZ327" s="1"/>
    </row>
    <row x14ac:dyDescent="0.25" r="328" customHeight="1" ht="24.75">
      <c r="A328" s="1"/>
      <c r="B328" s="1"/>
      <c r="C328" s="1"/>
      <c r="D328" s="1"/>
      <c r="E328" s="1"/>
      <c r="F328" s="1"/>
      <c r="G328" s="1"/>
      <c r="H328" s="1"/>
      <c r="I328" s="1"/>
      <c r="J328" s="1"/>
      <c r="K328" s="17"/>
      <c r="L328" s="1"/>
      <c r="M328" s="1"/>
      <c r="N328" s="2"/>
      <c r="O328" s="2"/>
      <c r="P328" s="1"/>
      <c r="Q328" s="1"/>
      <c r="R328" s="1"/>
      <c r="S328" s="1"/>
      <c r="T328" s="40"/>
      <c r="U328" s="40"/>
      <c r="V328" s="40"/>
      <c r="W328" s="40"/>
      <c r="X328" s="22"/>
      <c r="Y328" s="22"/>
      <c r="Z328" s="22"/>
      <c r="AA328" s="22"/>
      <c r="AB328" s="22"/>
      <c r="AC328" s="22"/>
      <c r="AD328" s="22"/>
      <c r="AE328" s="22"/>
      <c r="AF328" s="22"/>
      <c r="AG328" s="22"/>
      <c r="AH328" s="22"/>
      <c r="AI328" s="22"/>
      <c r="AJ328" s="40"/>
      <c r="AK328" s="22"/>
      <c r="AL328" s="22"/>
      <c r="AM328" s="22"/>
      <c r="AN328" s="22"/>
      <c r="AO328" s="40"/>
      <c r="AP328" s="40"/>
      <c r="AQ328" s="40"/>
      <c r="AR328" s="1"/>
      <c r="AS328" s="1"/>
      <c r="AT328" s="17"/>
      <c r="AU328" s="1"/>
      <c r="AV328" s="1"/>
      <c r="AW328" s="1"/>
      <c r="AX328" s="2"/>
      <c r="AY328" s="2"/>
      <c r="AZ328" s="1"/>
    </row>
    <row x14ac:dyDescent="0.25" r="329" customHeight="1" ht="24.75">
      <c r="A329" s="1"/>
      <c r="B329" s="1"/>
      <c r="C329" s="1"/>
      <c r="D329" s="1"/>
      <c r="E329" s="1"/>
      <c r="F329" s="1"/>
      <c r="G329" s="1"/>
      <c r="H329" s="1"/>
      <c r="I329" s="1"/>
      <c r="J329" s="1"/>
      <c r="K329" s="17"/>
      <c r="L329" s="1"/>
      <c r="M329" s="1"/>
      <c r="N329" s="2"/>
      <c r="O329" s="2"/>
      <c r="P329" s="1"/>
      <c r="Q329" s="1"/>
      <c r="R329" s="1"/>
      <c r="S329" s="1"/>
      <c r="T329" s="40"/>
      <c r="U329" s="40"/>
      <c r="V329" s="40"/>
      <c r="W329" s="40"/>
      <c r="X329" s="22"/>
      <c r="Y329" s="22"/>
      <c r="Z329" s="22"/>
      <c r="AA329" s="22"/>
      <c r="AB329" s="22"/>
      <c r="AC329" s="22"/>
      <c r="AD329" s="22"/>
      <c r="AE329" s="22"/>
      <c r="AF329" s="22"/>
      <c r="AG329" s="22"/>
      <c r="AH329" s="22"/>
      <c r="AI329" s="22"/>
      <c r="AJ329" s="40"/>
      <c r="AK329" s="22"/>
      <c r="AL329" s="22"/>
      <c r="AM329" s="22"/>
      <c r="AN329" s="22"/>
      <c r="AO329" s="40"/>
      <c r="AP329" s="40"/>
      <c r="AQ329" s="40"/>
      <c r="AR329" s="1"/>
      <c r="AS329" s="1"/>
      <c r="AT329" s="17"/>
      <c r="AU329" s="1"/>
      <c r="AV329" s="1"/>
      <c r="AW329" s="1"/>
      <c r="AX329" s="2"/>
      <c r="AY329" s="2"/>
      <c r="AZ329" s="1"/>
    </row>
    <row x14ac:dyDescent="0.25" r="330" customHeight="1" ht="24.75">
      <c r="A330" s="1"/>
      <c r="B330" s="1"/>
      <c r="C330" s="1"/>
      <c r="D330" s="1"/>
      <c r="E330" s="1"/>
      <c r="F330" s="1"/>
      <c r="G330" s="1"/>
      <c r="H330" s="1"/>
      <c r="I330" s="1"/>
      <c r="J330" s="1"/>
      <c r="K330" s="17"/>
      <c r="L330" s="1"/>
      <c r="M330" s="1"/>
      <c r="N330" s="2"/>
      <c r="O330" s="2"/>
      <c r="P330" s="1"/>
      <c r="Q330" s="1"/>
      <c r="R330" s="1"/>
      <c r="S330" s="1"/>
      <c r="T330" s="40"/>
      <c r="U330" s="40"/>
      <c r="V330" s="40"/>
      <c r="W330" s="40"/>
      <c r="X330" s="22"/>
      <c r="Y330" s="22"/>
      <c r="Z330" s="22"/>
      <c r="AA330" s="22"/>
      <c r="AB330" s="22"/>
      <c r="AC330" s="22"/>
      <c r="AD330" s="22"/>
      <c r="AE330" s="22"/>
      <c r="AF330" s="22"/>
      <c r="AG330" s="22"/>
      <c r="AH330" s="22"/>
      <c r="AI330" s="22"/>
      <c r="AJ330" s="40"/>
      <c r="AK330" s="22"/>
      <c r="AL330" s="22"/>
      <c r="AM330" s="22"/>
      <c r="AN330" s="22"/>
      <c r="AO330" s="40"/>
      <c r="AP330" s="40"/>
      <c r="AQ330" s="40"/>
      <c r="AR330" s="1"/>
      <c r="AS330" s="1"/>
      <c r="AT330" s="17"/>
      <c r="AU330" s="1"/>
      <c r="AV330" s="1"/>
      <c r="AW330" s="1"/>
      <c r="AX330" s="2"/>
      <c r="AY330" s="2"/>
      <c r="AZ330" s="1"/>
    </row>
    <row x14ac:dyDescent="0.25" r="331" customHeight="1" ht="24.75">
      <c r="A331" s="1"/>
      <c r="B331" s="1"/>
      <c r="C331" s="1"/>
      <c r="D331" s="1"/>
      <c r="E331" s="1"/>
      <c r="F331" s="1"/>
      <c r="G331" s="1"/>
      <c r="H331" s="1"/>
      <c r="I331" s="1"/>
      <c r="J331" s="1"/>
      <c r="K331" s="17"/>
      <c r="L331" s="1"/>
      <c r="M331" s="1"/>
      <c r="N331" s="2"/>
      <c r="O331" s="2"/>
      <c r="P331" s="1"/>
      <c r="Q331" s="1"/>
      <c r="R331" s="1"/>
      <c r="S331" s="1"/>
      <c r="T331" s="40"/>
      <c r="U331" s="40"/>
      <c r="V331" s="40"/>
      <c r="W331" s="40"/>
      <c r="X331" s="22"/>
      <c r="Y331" s="22"/>
      <c r="Z331" s="22"/>
      <c r="AA331" s="22"/>
      <c r="AB331" s="22"/>
      <c r="AC331" s="22"/>
      <c r="AD331" s="22"/>
      <c r="AE331" s="22"/>
      <c r="AF331" s="22"/>
      <c r="AG331" s="22"/>
      <c r="AH331" s="22"/>
      <c r="AI331" s="22"/>
      <c r="AJ331" s="40"/>
      <c r="AK331" s="22"/>
      <c r="AL331" s="22"/>
      <c r="AM331" s="22"/>
      <c r="AN331" s="22"/>
      <c r="AO331" s="40"/>
      <c r="AP331" s="40"/>
      <c r="AQ331" s="40"/>
      <c r="AR331" s="1"/>
      <c r="AS331" s="1"/>
      <c r="AT331" s="17"/>
      <c r="AU331" s="1"/>
      <c r="AV331" s="1"/>
      <c r="AW331" s="1"/>
      <c r="AX331" s="2"/>
      <c r="AY331" s="2"/>
      <c r="AZ331" s="1"/>
    </row>
    <row x14ac:dyDescent="0.25" r="332" customHeight="1" ht="24.75">
      <c r="A332" s="1"/>
      <c r="B332" s="1"/>
      <c r="C332" s="1"/>
      <c r="D332" s="1"/>
      <c r="E332" s="1"/>
      <c r="F332" s="1"/>
      <c r="G332" s="1"/>
      <c r="H332" s="1"/>
      <c r="I332" s="1"/>
      <c r="J332" s="1"/>
      <c r="K332" s="17"/>
      <c r="L332" s="1"/>
      <c r="M332" s="1"/>
      <c r="N332" s="2"/>
      <c r="O332" s="2"/>
      <c r="P332" s="1"/>
      <c r="Q332" s="1"/>
      <c r="R332" s="1"/>
      <c r="S332" s="1"/>
      <c r="T332" s="40"/>
      <c r="U332" s="40"/>
      <c r="V332" s="40"/>
      <c r="W332" s="40"/>
      <c r="X332" s="22"/>
      <c r="Y332" s="22"/>
      <c r="Z332" s="22"/>
      <c r="AA332" s="22"/>
      <c r="AB332" s="22"/>
      <c r="AC332" s="22"/>
      <c r="AD332" s="22"/>
      <c r="AE332" s="22"/>
      <c r="AF332" s="22"/>
      <c r="AG332" s="22"/>
      <c r="AH332" s="22"/>
      <c r="AI332" s="22"/>
      <c r="AJ332" s="40"/>
      <c r="AK332" s="22"/>
      <c r="AL332" s="22"/>
      <c r="AM332" s="22"/>
      <c r="AN332" s="22"/>
      <c r="AO332" s="40"/>
      <c r="AP332" s="40"/>
      <c r="AQ332" s="40"/>
      <c r="AR332" s="1"/>
      <c r="AS332" s="1"/>
      <c r="AT332" s="17"/>
      <c r="AU332" s="1"/>
      <c r="AV332" s="1"/>
      <c r="AW332" s="1"/>
      <c r="AX332" s="2"/>
      <c r="AY332" s="2"/>
      <c r="AZ332" s="1"/>
    </row>
    <row x14ac:dyDescent="0.25" r="333" customHeight="1" ht="24.75">
      <c r="A333" s="1"/>
      <c r="B333" s="1"/>
      <c r="C333" s="1"/>
      <c r="D333" s="1"/>
      <c r="E333" s="1"/>
      <c r="F333" s="1"/>
      <c r="G333" s="1"/>
      <c r="H333" s="1"/>
      <c r="I333" s="1"/>
      <c r="J333" s="1"/>
      <c r="K333" s="17"/>
      <c r="L333" s="1"/>
      <c r="M333" s="1"/>
      <c r="N333" s="2"/>
      <c r="O333" s="2"/>
      <c r="P333" s="1"/>
      <c r="Q333" s="1"/>
      <c r="R333" s="1"/>
      <c r="S333" s="1"/>
      <c r="T333" s="40"/>
      <c r="U333" s="40"/>
      <c r="V333" s="40"/>
      <c r="W333" s="40"/>
      <c r="X333" s="22"/>
      <c r="Y333" s="22"/>
      <c r="Z333" s="22"/>
      <c r="AA333" s="22"/>
      <c r="AB333" s="22"/>
      <c r="AC333" s="22"/>
      <c r="AD333" s="22"/>
      <c r="AE333" s="22"/>
      <c r="AF333" s="22"/>
      <c r="AG333" s="22"/>
      <c r="AH333" s="22"/>
      <c r="AI333" s="22"/>
      <c r="AJ333" s="40"/>
      <c r="AK333" s="22"/>
      <c r="AL333" s="22"/>
      <c r="AM333" s="22"/>
      <c r="AN333" s="22"/>
      <c r="AO333" s="40"/>
      <c r="AP333" s="40"/>
      <c r="AQ333" s="40"/>
      <c r="AR333" s="1"/>
      <c r="AS333" s="1"/>
      <c r="AT333" s="17"/>
      <c r="AU333" s="1"/>
      <c r="AV333" s="1"/>
      <c r="AW333" s="1"/>
      <c r="AX333" s="2"/>
      <c r="AY333" s="2"/>
      <c r="AZ333" s="1"/>
    </row>
    <row x14ac:dyDescent="0.25" r="334" customHeight="1" ht="24.75">
      <c r="A334" s="1"/>
      <c r="B334" s="1"/>
      <c r="C334" s="1"/>
      <c r="D334" s="1"/>
      <c r="E334" s="1"/>
      <c r="F334" s="1"/>
      <c r="G334" s="1"/>
      <c r="H334" s="1"/>
      <c r="I334" s="1"/>
      <c r="J334" s="1"/>
      <c r="K334" s="17"/>
      <c r="L334" s="1"/>
      <c r="M334" s="1"/>
      <c r="N334" s="2"/>
      <c r="O334" s="2"/>
      <c r="P334" s="1"/>
      <c r="Q334" s="1"/>
      <c r="R334" s="1"/>
      <c r="S334" s="1"/>
      <c r="T334" s="40"/>
      <c r="U334" s="40"/>
      <c r="V334" s="40"/>
      <c r="W334" s="40"/>
      <c r="X334" s="22"/>
      <c r="Y334" s="22"/>
      <c r="Z334" s="22"/>
      <c r="AA334" s="22"/>
      <c r="AB334" s="22"/>
      <c r="AC334" s="22"/>
      <c r="AD334" s="22"/>
      <c r="AE334" s="22"/>
      <c r="AF334" s="22"/>
      <c r="AG334" s="22"/>
      <c r="AH334" s="22"/>
      <c r="AI334" s="22"/>
      <c r="AJ334" s="40"/>
      <c r="AK334" s="22"/>
      <c r="AL334" s="22"/>
      <c r="AM334" s="22"/>
      <c r="AN334" s="22"/>
      <c r="AO334" s="40"/>
      <c r="AP334" s="40"/>
      <c r="AQ334" s="40"/>
      <c r="AR334" s="1"/>
      <c r="AS334" s="1"/>
      <c r="AT334" s="17"/>
      <c r="AU334" s="1"/>
      <c r="AV334" s="1"/>
      <c r="AW334" s="1"/>
      <c r="AX334" s="2"/>
      <c r="AY334" s="2"/>
      <c r="AZ334" s="1"/>
    </row>
    <row x14ac:dyDescent="0.25" r="335" customHeight="1" ht="24.75">
      <c r="A335" s="1"/>
      <c r="B335" s="1"/>
      <c r="C335" s="1"/>
      <c r="D335" s="1"/>
      <c r="E335" s="1"/>
      <c r="F335" s="1"/>
      <c r="G335" s="1"/>
      <c r="H335" s="1"/>
      <c r="I335" s="1"/>
      <c r="J335" s="1"/>
      <c r="K335" s="17"/>
      <c r="L335" s="1"/>
      <c r="M335" s="1"/>
      <c r="N335" s="2"/>
      <c r="O335" s="2"/>
      <c r="P335" s="1"/>
      <c r="Q335" s="1"/>
      <c r="R335" s="1"/>
      <c r="S335" s="1"/>
      <c r="T335" s="40"/>
      <c r="U335" s="40"/>
      <c r="V335" s="40"/>
      <c r="W335" s="40"/>
      <c r="X335" s="22"/>
      <c r="Y335" s="22"/>
      <c r="Z335" s="22"/>
      <c r="AA335" s="22"/>
      <c r="AB335" s="22"/>
      <c r="AC335" s="22"/>
      <c r="AD335" s="22"/>
      <c r="AE335" s="22"/>
      <c r="AF335" s="22"/>
      <c r="AG335" s="22"/>
      <c r="AH335" s="22"/>
      <c r="AI335" s="22"/>
      <c r="AJ335" s="40"/>
      <c r="AK335" s="22"/>
      <c r="AL335" s="22"/>
      <c r="AM335" s="22"/>
      <c r="AN335" s="22"/>
      <c r="AO335" s="40"/>
      <c r="AP335" s="40"/>
      <c r="AQ335" s="40"/>
      <c r="AR335" s="1"/>
      <c r="AS335" s="1"/>
      <c r="AT335" s="17"/>
      <c r="AU335" s="1"/>
      <c r="AV335" s="1"/>
      <c r="AW335" s="1"/>
      <c r="AX335" s="2"/>
      <c r="AY335" s="2"/>
      <c r="AZ335" s="1"/>
    </row>
    <row x14ac:dyDescent="0.25" r="336" customHeight="1" ht="24.75">
      <c r="A336" s="1"/>
      <c r="B336" s="1"/>
      <c r="C336" s="1"/>
      <c r="D336" s="1"/>
      <c r="E336" s="1"/>
      <c r="F336" s="1"/>
      <c r="G336" s="1"/>
      <c r="H336" s="1"/>
      <c r="I336" s="1"/>
      <c r="J336" s="1"/>
      <c r="K336" s="17"/>
      <c r="L336" s="1"/>
      <c r="M336" s="1"/>
      <c r="N336" s="2"/>
      <c r="O336" s="2"/>
      <c r="P336" s="1"/>
      <c r="Q336" s="1"/>
      <c r="R336" s="1"/>
      <c r="S336" s="1"/>
      <c r="T336" s="40"/>
      <c r="U336" s="40"/>
      <c r="V336" s="40"/>
      <c r="W336" s="40"/>
      <c r="X336" s="22"/>
      <c r="Y336" s="22"/>
      <c r="Z336" s="22"/>
      <c r="AA336" s="22"/>
      <c r="AB336" s="22"/>
      <c r="AC336" s="22"/>
      <c r="AD336" s="22"/>
      <c r="AE336" s="22"/>
      <c r="AF336" s="22"/>
      <c r="AG336" s="22"/>
      <c r="AH336" s="22"/>
      <c r="AI336" s="22"/>
      <c r="AJ336" s="40"/>
      <c r="AK336" s="22"/>
      <c r="AL336" s="22"/>
      <c r="AM336" s="22"/>
      <c r="AN336" s="22"/>
      <c r="AO336" s="40"/>
      <c r="AP336" s="40"/>
      <c r="AQ336" s="40"/>
      <c r="AR336" s="1"/>
      <c r="AS336" s="1"/>
      <c r="AT336" s="17"/>
      <c r="AU336" s="1"/>
      <c r="AV336" s="1"/>
      <c r="AW336" s="1"/>
      <c r="AX336" s="2"/>
      <c r="AY336" s="2"/>
      <c r="AZ336" s="1"/>
    </row>
    <row x14ac:dyDescent="0.25" r="337" customHeight="1" ht="24.75">
      <c r="A337" s="1"/>
      <c r="B337" s="1"/>
      <c r="C337" s="1"/>
      <c r="D337" s="1"/>
      <c r="E337" s="1"/>
      <c r="F337" s="1"/>
      <c r="G337" s="1"/>
      <c r="H337" s="1"/>
      <c r="I337" s="1"/>
      <c r="J337" s="1"/>
      <c r="K337" s="17"/>
      <c r="L337" s="1"/>
      <c r="M337" s="1"/>
      <c r="N337" s="2"/>
      <c r="O337" s="2"/>
      <c r="P337" s="1"/>
      <c r="Q337" s="1"/>
      <c r="R337" s="1"/>
      <c r="S337" s="1"/>
      <c r="T337" s="40"/>
      <c r="U337" s="40"/>
      <c r="V337" s="40"/>
      <c r="W337" s="40"/>
      <c r="X337" s="22"/>
      <c r="Y337" s="22"/>
      <c r="Z337" s="22"/>
      <c r="AA337" s="22"/>
      <c r="AB337" s="22"/>
      <c r="AC337" s="22"/>
      <c r="AD337" s="22"/>
      <c r="AE337" s="22"/>
      <c r="AF337" s="22"/>
      <c r="AG337" s="22"/>
      <c r="AH337" s="22"/>
      <c r="AI337" s="22"/>
      <c r="AJ337" s="40"/>
      <c r="AK337" s="22"/>
      <c r="AL337" s="22"/>
      <c r="AM337" s="22"/>
      <c r="AN337" s="22"/>
      <c r="AO337" s="40"/>
      <c r="AP337" s="40"/>
      <c r="AQ337" s="40"/>
      <c r="AR337" s="1"/>
      <c r="AS337" s="1"/>
      <c r="AT337" s="17"/>
      <c r="AU337" s="1"/>
      <c r="AV337" s="1"/>
      <c r="AW337" s="1"/>
      <c r="AX337" s="2"/>
      <c r="AY337" s="2"/>
      <c r="AZ337" s="1"/>
    </row>
    <row x14ac:dyDescent="0.25" r="338" customHeight="1" ht="24.75">
      <c r="A338" s="1"/>
      <c r="B338" s="1"/>
      <c r="C338" s="1"/>
      <c r="D338" s="1"/>
      <c r="E338" s="1"/>
      <c r="F338" s="1"/>
      <c r="G338" s="1"/>
      <c r="H338" s="1"/>
      <c r="I338" s="1"/>
      <c r="J338" s="1"/>
      <c r="K338" s="17"/>
      <c r="L338" s="1"/>
      <c r="M338" s="1"/>
      <c r="N338" s="2"/>
      <c r="O338" s="2"/>
      <c r="P338" s="1"/>
      <c r="Q338" s="1"/>
      <c r="R338" s="1"/>
      <c r="S338" s="1"/>
      <c r="T338" s="40"/>
      <c r="U338" s="40"/>
      <c r="V338" s="40"/>
      <c r="W338" s="40"/>
      <c r="X338" s="22"/>
      <c r="Y338" s="22"/>
      <c r="Z338" s="22"/>
      <c r="AA338" s="22"/>
      <c r="AB338" s="22"/>
      <c r="AC338" s="22"/>
      <c r="AD338" s="22"/>
      <c r="AE338" s="22"/>
      <c r="AF338" s="22"/>
      <c r="AG338" s="22"/>
      <c r="AH338" s="22"/>
      <c r="AI338" s="22"/>
      <c r="AJ338" s="40"/>
      <c r="AK338" s="22"/>
      <c r="AL338" s="22"/>
      <c r="AM338" s="22"/>
      <c r="AN338" s="22"/>
      <c r="AO338" s="40"/>
      <c r="AP338" s="40"/>
      <c r="AQ338" s="40"/>
      <c r="AR338" s="1"/>
      <c r="AS338" s="1"/>
      <c r="AT338" s="17"/>
      <c r="AU338" s="1"/>
      <c r="AV338" s="1"/>
      <c r="AW338" s="1"/>
      <c r="AX338" s="2"/>
      <c r="AY338" s="2"/>
      <c r="AZ338" s="1"/>
    </row>
    <row x14ac:dyDescent="0.25" r="339" customHeight="1" ht="24.75">
      <c r="A339" s="1"/>
      <c r="B339" s="1"/>
      <c r="C339" s="1"/>
      <c r="D339" s="1"/>
      <c r="E339" s="1"/>
      <c r="F339" s="1"/>
      <c r="G339" s="1"/>
      <c r="H339" s="1"/>
      <c r="I339" s="1"/>
      <c r="J339" s="1"/>
      <c r="K339" s="17"/>
      <c r="L339" s="1"/>
      <c r="M339" s="1"/>
      <c r="N339" s="2"/>
      <c r="O339" s="2"/>
      <c r="P339" s="1"/>
      <c r="Q339" s="1"/>
      <c r="R339" s="1"/>
      <c r="S339" s="1"/>
      <c r="T339" s="40"/>
      <c r="U339" s="40"/>
      <c r="V339" s="40"/>
      <c r="W339" s="40"/>
      <c r="X339" s="22"/>
      <c r="Y339" s="22"/>
      <c r="Z339" s="22"/>
      <c r="AA339" s="22"/>
      <c r="AB339" s="22"/>
      <c r="AC339" s="22"/>
      <c r="AD339" s="22"/>
      <c r="AE339" s="22"/>
      <c r="AF339" s="22"/>
      <c r="AG339" s="22"/>
      <c r="AH339" s="22"/>
      <c r="AI339" s="22"/>
      <c r="AJ339" s="40"/>
      <c r="AK339" s="22"/>
      <c r="AL339" s="22"/>
      <c r="AM339" s="22"/>
      <c r="AN339" s="22"/>
      <c r="AO339" s="40"/>
      <c r="AP339" s="40"/>
      <c r="AQ339" s="40"/>
      <c r="AR339" s="1"/>
      <c r="AS339" s="1"/>
      <c r="AT339" s="17"/>
      <c r="AU339" s="1"/>
      <c r="AV339" s="1"/>
      <c r="AW339" s="1"/>
      <c r="AX339" s="2"/>
      <c r="AY339" s="2"/>
      <c r="AZ339" s="1"/>
    </row>
    <row x14ac:dyDescent="0.25" r="340" customHeight="1" ht="24.75">
      <c r="A340" s="1"/>
      <c r="B340" s="1"/>
      <c r="C340" s="1"/>
      <c r="D340" s="1"/>
      <c r="E340" s="1"/>
      <c r="F340" s="1"/>
      <c r="G340" s="1"/>
      <c r="H340" s="1"/>
      <c r="I340" s="1"/>
      <c r="J340" s="1"/>
      <c r="K340" s="17"/>
      <c r="L340" s="1"/>
      <c r="M340" s="1"/>
      <c r="N340" s="2"/>
      <c r="O340" s="2"/>
      <c r="P340" s="1"/>
      <c r="Q340" s="1"/>
      <c r="R340" s="1"/>
      <c r="S340" s="1"/>
      <c r="T340" s="40"/>
      <c r="U340" s="40"/>
      <c r="V340" s="40"/>
      <c r="W340" s="40"/>
      <c r="X340" s="22"/>
      <c r="Y340" s="22"/>
      <c r="Z340" s="22"/>
      <c r="AA340" s="22"/>
      <c r="AB340" s="22"/>
      <c r="AC340" s="22"/>
      <c r="AD340" s="22"/>
      <c r="AE340" s="22"/>
      <c r="AF340" s="22"/>
      <c r="AG340" s="22"/>
      <c r="AH340" s="22"/>
      <c r="AI340" s="22"/>
      <c r="AJ340" s="40"/>
      <c r="AK340" s="22"/>
      <c r="AL340" s="22"/>
      <c r="AM340" s="22"/>
      <c r="AN340" s="22"/>
      <c r="AO340" s="40"/>
      <c r="AP340" s="40"/>
      <c r="AQ340" s="40"/>
      <c r="AR340" s="1"/>
      <c r="AS340" s="1"/>
      <c r="AT340" s="17"/>
      <c r="AU340" s="1"/>
      <c r="AV340" s="1"/>
      <c r="AW340" s="1"/>
      <c r="AX340" s="2"/>
      <c r="AY340" s="2"/>
      <c r="AZ340" s="1"/>
    </row>
    <row x14ac:dyDescent="0.25" r="341" customHeight="1" ht="24.75">
      <c r="A341" s="1"/>
      <c r="B341" s="1"/>
      <c r="C341" s="1"/>
      <c r="D341" s="1"/>
      <c r="E341" s="1"/>
      <c r="F341" s="1"/>
      <c r="G341" s="1"/>
      <c r="H341" s="1"/>
      <c r="I341" s="1"/>
      <c r="J341" s="1"/>
      <c r="K341" s="17"/>
      <c r="L341" s="1"/>
      <c r="M341" s="1"/>
      <c r="N341" s="2"/>
      <c r="O341" s="2"/>
      <c r="P341" s="1"/>
      <c r="Q341" s="1"/>
      <c r="R341" s="1"/>
      <c r="S341" s="1"/>
      <c r="T341" s="40"/>
      <c r="U341" s="40"/>
      <c r="V341" s="40"/>
      <c r="W341" s="40"/>
      <c r="X341" s="22"/>
      <c r="Y341" s="22"/>
      <c r="Z341" s="22"/>
      <c r="AA341" s="22"/>
      <c r="AB341" s="22"/>
      <c r="AC341" s="22"/>
      <c r="AD341" s="22"/>
      <c r="AE341" s="22"/>
      <c r="AF341" s="22"/>
      <c r="AG341" s="22"/>
      <c r="AH341" s="22"/>
      <c r="AI341" s="22"/>
      <c r="AJ341" s="40"/>
      <c r="AK341" s="22"/>
      <c r="AL341" s="22"/>
      <c r="AM341" s="22"/>
      <c r="AN341" s="22"/>
      <c r="AO341" s="40"/>
      <c r="AP341" s="40"/>
      <c r="AQ341" s="40"/>
      <c r="AR341" s="1"/>
      <c r="AS341" s="1"/>
      <c r="AT341" s="17"/>
      <c r="AU341" s="1"/>
      <c r="AV341" s="1"/>
      <c r="AW341" s="1"/>
      <c r="AX341" s="2"/>
      <c r="AY341" s="2"/>
      <c r="AZ341" s="1"/>
    </row>
    <row x14ac:dyDescent="0.25" r="342" customHeight="1" ht="24.75">
      <c r="A342" s="1"/>
      <c r="B342" s="1"/>
      <c r="C342" s="1"/>
      <c r="D342" s="1"/>
      <c r="E342" s="1"/>
      <c r="F342" s="1"/>
      <c r="G342" s="1"/>
      <c r="H342" s="1"/>
      <c r="I342" s="1"/>
      <c r="J342" s="1"/>
      <c r="K342" s="17"/>
      <c r="L342" s="1"/>
      <c r="M342" s="1"/>
      <c r="N342" s="2"/>
      <c r="O342" s="2"/>
      <c r="P342" s="1"/>
      <c r="Q342" s="1"/>
      <c r="R342" s="1"/>
      <c r="S342" s="1"/>
      <c r="T342" s="40"/>
      <c r="U342" s="40"/>
      <c r="V342" s="40"/>
      <c r="W342" s="40"/>
      <c r="X342" s="22"/>
      <c r="Y342" s="22"/>
      <c r="Z342" s="22"/>
      <c r="AA342" s="22"/>
      <c r="AB342" s="22"/>
      <c r="AC342" s="22"/>
      <c r="AD342" s="22"/>
      <c r="AE342" s="22"/>
      <c r="AF342" s="22"/>
      <c r="AG342" s="22"/>
      <c r="AH342" s="22"/>
      <c r="AI342" s="22"/>
      <c r="AJ342" s="40"/>
      <c r="AK342" s="22"/>
      <c r="AL342" s="22"/>
      <c r="AM342" s="22"/>
      <c r="AN342" s="22"/>
      <c r="AO342" s="40"/>
      <c r="AP342" s="40"/>
      <c r="AQ342" s="40"/>
      <c r="AR342" s="1"/>
      <c r="AS342" s="1"/>
      <c r="AT342" s="17"/>
      <c r="AU342" s="1"/>
      <c r="AV342" s="1"/>
      <c r="AW342" s="1"/>
      <c r="AX342" s="2"/>
      <c r="AY342" s="2"/>
      <c r="AZ342" s="1"/>
    </row>
    <row x14ac:dyDescent="0.25" r="343" customHeight="1" ht="24.75">
      <c r="A343" s="1"/>
      <c r="B343" s="1"/>
      <c r="C343" s="1"/>
      <c r="D343" s="1"/>
      <c r="E343" s="1"/>
      <c r="F343" s="1"/>
      <c r="G343" s="1"/>
      <c r="H343" s="1"/>
      <c r="I343" s="1"/>
      <c r="J343" s="1"/>
      <c r="K343" s="17"/>
      <c r="L343" s="1"/>
      <c r="M343" s="1"/>
      <c r="N343" s="2"/>
      <c r="O343" s="2"/>
      <c r="P343" s="1"/>
      <c r="Q343" s="1"/>
      <c r="R343" s="1"/>
      <c r="S343" s="1"/>
      <c r="T343" s="40"/>
      <c r="U343" s="40"/>
      <c r="V343" s="40"/>
      <c r="W343" s="40"/>
      <c r="X343" s="22"/>
      <c r="Y343" s="22"/>
      <c r="Z343" s="22"/>
      <c r="AA343" s="22"/>
      <c r="AB343" s="22"/>
      <c r="AC343" s="22"/>
      <c r="AD343" s="22"/>
      <c r="AE343" s="22"/>
      <c r="AF343" s="22"/>
      <c r="AG343" s="22"/>
      <c r="AH343" s="22"/>
      <c r="AI343" s="22"/>
      <c r="AJ343" s="40"/>
      <c r="AK343" s="22"/>
      <c r="AL343" s="22"/>
      <c r="AM343" s="22"/>
      <c r="AN343" s="22"/>
      <c r="AO343" s="40"/>
      <c r="AP343" s="40"/>
      <c r="AQ343" s="40"/>
      <c r="AR343" s="1"/>
      <c r="AS343" s="1"/>
      <c r="AT343" s="17"/>
      <c r="AU343" s="1"/>
      <c r="AV343" s="1"/>
      <c r="AW343" s="1"/>
      <c r="AX343" s="2"/>
      <c r="AY343" s="2"/>
      <c r="AZ343" s="1"/>
    </row>
    <row x14ac:dyDescent="0.25" r="344" customHeight="1" ht="24.75">
      <c r="A344" s="1"/>
      <c r="B344" s="1"/>
      <c r="C344" s="1"/>
      <c r="D344" s="1"/>
      <c r="E344" s="1"/>
      <c r="F344" s="1"/>
      <c r="G344" s="1"/>
      <c r="H344" s="1"/>
      <c r="I344" s="1"/>
      <c r="J344" s="1"/>
      <c r="K344" s="17"/>
      <c r="L344" s="1"/>
      <c r="M344" s="1"/>
      <c r="N344" s="2"/>
      <c r="O344" s="2"/>
      <c r="P344" s="1"/>
      <c r="Q344" s="1"/>
      <c r="R344" s="1"/>
      <c r="S344" s="1"/>
      <c r="T344" s="40"/>
      <c r="U344" s="40"/>
      <c r="V344" s="40"/>
      <c r="W344" s="40"/>
      <c r="X344" s="22"/>
      <c r="Y344" s="22"/>
      <c r="Z344" s="22"/>
      <c r="AA344" s="22"/>
      <c r="AB344" s="22"/>
      <c r="AC344" s="22"/>
      <c r="AD344" s="22"/>
      <c r="AE344" s="22"/>
      <c r="AF344" s="22"/>
      <c r="AG344" s="22"/>
      <c r="AH344" s="22"/>
      <c r="AI344" s="22"/>
      <c r="AJ344" s="40"/>
      <c r="AK344" s="22"/>
      <c r="AL344" s="22"/>
      <c r="AM344" s="22"/>
      <c r="AN344" s="22"/>
      <c r="AO344" s="40"/>
      <c r="AP344" s="40"/>
      <c r="AQ344" s="40"/>
      <c r="AR344" s="1"/>
      <c r="AS344" s="1"/>
      <c r="AT344" s="17"/>
      <c r="AU344" s="1"/>
      <c r="AV344" s="1"/>
      <c r="AW344" s="1"/>
      <c r="AX344" s="2"/>
      <c r="AY344" s="2"/>
      <c r="AZ344" s="1"/>
    </row>
    <row x14ac:dyDescent="0.25" r="345" customHeight="1" ht="24.75">
      <c r="A345" s="1"/>
      <c r="B345" s="1"/>
      <c r="C345" s="1"/>
      <c r="D345" s="1"/>
      <c r="E345" s="1"/>
      <c r="F345" s="1"/>
      <c r="G345" s="1"/>
      <c r="H345" s="1"/>
      <c r="I345" s="1"/>
      <c r="J345" s="1"/>
      <c r="K345" s="17"/>
      <c r="L345" s="1"/>
      <c r="M345" s="1"/>
      <c r="N345" s="2"/>
      <c r="O345" s="2"/>
      <c r="P345" s="1"/>
      <c r="Q345" s="1"/>
      <c r="R345" s="1"/>
      <c r="S345" s="1"/>
      <c r="T345" s="40"/>
      <c r="U345" s="40"/>
      <c r="V345" s="40"/>
      <c r="W345" s="40"/>
      <c r="X345" s="22"/>
      <c r="Y345" s="22"/>
      <c r="Z345" s="22"/>
      <c r="AA345" s="22"/>
      <c r="AB345" s="22"/>
      <c r="AC345" s="22"/>
      <c r="AD345" s="22"/>
      <c r="AE345" s="22"/>
      <c r="AF345" s="22"/>
      <c r="AG345" s="22"/>
      <c r="AH345" s="22"/>
      <c r="AI345" s="22"/>
      <c r="AJ345" s="40"/>
      <c r="AK345" s="22"/>
      <c r="AL345" s="22"/>
      <c r="AM345" s="22"/>
      <c r="AN345" s="22"/>
      <c r="AO345" s="40"/>
      <c r="AP345" s="40"/>
      <c r="AQ345" s="40"/>
      <c r="AR345" s="1"/>
      <c r="AS345" s="1"/>
      <c r="AT345" s="17"/>
      <c r="AU345" s="1"/>
      <c r="AV345" s="1"/>
      <c r="AW345" s="1"/>
      <c r="AX345" s="2"/>
      <c r="AY345" s="2"/>
      <c r="AZ345" s="1"/>
    </row>
    <row x14ac:dyDescent="0.25" r="346" customHeight="1" ht="24.75">
      <c r="A346" s="1"/>
      <c r="B346" s="1"/>
      <c r="C346" s="1"/>
      <c r="D346" s="1"/>
      <c r="E346" s="1"/>
      <c r="F346" s="1"/>
      <c r="G346" s="1"/>
      <c r="H346" s="1"/>
      <c r="I346" s="1"/>
      <c r="J346" s="1"/>
      <c r="K346" s="17"/>
      <c r="L346" s="1"/>
      <c r="M346" s="1"/>
      <c r="N346" s="2"/>
      <c r="O346" s="2"/>
      <c r="P346" s="1"/>
      <c r="Q346" s="1"/>
      <c r="R346" s="1"/>
      <c r="S346" s="1"/>
      <c r="T346" s="40"/>
      <c r="U346" s="40"/>
      <c r="V346" s="40"/>
      <c r="W346" s="40"/>
      <c r="X346" s="22"/>
      <c r="Y346" s="22"/>
      <c r="Z346" s="22"/>
      <c r="AA346" s="22"/>
      <c r="AB346" s="22"/>
      <c r="AC346" s="22"/>
      <c r="AD346" s="22"/>
      <c r="AE346" s="22"/>
      <c r="AF346" s="22"/>
      <c r="AG346" s="22"/>
      <c r="AH346" s="22"/>
      <c r="AI346" s="22"/>
      <c r="AJ346" s="40"/>
      <c r="AK346" s="22"/>
      <c r="AL346" s="22"/>
      <c r="AM346" s="22"/>
      <c r="AN346" s="22"/>
      <c r="AO346" s="40"/>
      <c r="AP346" s="40"/>
      <c r="AQ346" s="40"/>
      <c r="AR346" s="1"/>
      <c r="AS346" s="1"/>
      <c r="AT346" s="17"/>
      <c r="AU346" s="1"/>
      <c r="AV346" s="1"/>
      <c r="AW346" s="1"/>
      <c r="AX346" s="2"/>
      <c r="AY346" s="2"/>
      <c r="AZ346" s="1"/>
    </row>
    <row x14ac:dyDescent="0.25" r="347" customHeight="1" ht="24.75">
      <c r="A347" s="1"/>
      <c r="B347" s="1"/>
      <c r="C347" s="1"/>
      <c r="D347" s="1"/>
      <c r="E347" s="1"/>
      <c r="F347" s="1"/>
      <c r="G347" s="1"/>
      <c r="H347" s="1"/>
      <c r="I347" s="1"/>
      <c r="J347" s="1"/>
      <c r="K347" s="17"/>
      <c r="L347" s="1"/>
      <c r="M347" s="1"/>
      <c r="N347" s="2"/>
      <c r="O347" s="2"/>
      <c r="P347" s="1"/>
      <c r="Q347" s="1"/>
      <c r="R347" s="1"/>
      <c r="S347" s="1"/>
      <c r="T347" s="40"/>
      <c r="U347" s="40"/>
      <c r="V347" s="40"/>
      <c r="W347" s="40"/>
      <c r="X347" s="22"/>
      <c r="Y347" s="22"/>
      <c r="Z347" s="22"/>
      <c r="AA347" s="22"/>
      <c r="AB347" s="22"/>
      <c r="AC347" s="22"/>
      <c r="AD347" s="22"/>
      <c r="AE347" s="22"/>
      <c r="AF347" s="22"/>
      <c r="AG347" s="22"/>
      <c r="AH347" s="22"/>
      <c r="AI347" s="22"/>
      <c r="AJ347" s="40"/>
      <c r="AK347" s="22"/>
      <c r="AL347" s="22"/>
      <c r="AM347" s="22"/>
      <c r="AN347" s="22"/>
      <c r="AO347" s="40"/>
      <c r="AP347" s="40"/>
      <c r="AQ347" s="40"/>
      <c r="AR347" s="1"/>
      <c r="AS347" s="1"/>
      <c r="AT347" s="17"/>
      <c r="AU347" s="1"/>
      <c r="AV347" s="1"/>
      <c r="AW347" s="1"/>
      <c r="AX347" s="2"/>
      <c r="AY347" s="2"/>
      <c r="AZ347" s="1"/>
    </row>
    <row x14ac:dyDescent="0.25" r="348" customHeight="1" ht="24.75">
      <c r="A348" s="1"/>
      <c r="B348" s="1"/>
      <c r="C348" s="1"/>
      <c r="D348" s="1"/>
      <c r="E348" s="1"/>
      <c r="F348" s="1"/>
      <c r="G348" s="1"/>
      <c r="H348" s="1"/>
      <c r="I348" s="1"/>
      <c r="J348" s="1"/>
      <c r="K348" s="17"/>
      <c r="L348" s="1"/>
      <c r="M348" s="1"/>
      <c r="N348" s="2"/>
      <c r="O348" s="2"/>
      <c r="P348" s="1"/>
      <c r="Q348" s="1"/>
      <c r="R348" s="1"/>
      <c r="S348" s="1"/>
      <c r="T348" s="40"/>
      <c r="U348" s="40"/>
      <c r="V348" s="40"/>
      <c r="W348" s="40"/>
      <c r="X348" s="22"/>
      <c r="Y348" s="22"/>
      <c r="Z348" s="22"/>
      <c r="AA348" s="22"/>
      <c r="AB348" s="22"/>
      <c r="AC348" s="22"/>
      <c r="AD348" s="22"/>
      <c r="AE348" s="22"/>
      <c r="AF348" s="22"/>
      <c r="AG348" s="22"/>
      <c r="AH348" s="22"/>
      <c r="AI348" s="22"/>
      <c r="AJ348" s="40"/>
      <c r="AK348" s="22"/>
      <c r="AL348" s="22"/>
      <c r="AM348" s="22"/>
      <c r="AN348" s="22"/>
      <c r="AO348" s="40"/>
      <c r="AP348" s="40"/>
      <c r="AQ348" s="40"/>
      <c r="AR348" s="1"/>
      <c r="AS348" s="1"/>
      <c r="AT348" s="17"/>
      <c r="AU348" s="1"/>
      <c r="AV348" s="1"/>
      <c r="AW348" s="1"/>
      <c r="AX348" s="2"/>
      <c r="AY348" s="2"/>
      <c r="AZ348" s="1"/>
    </row>
    <row x14ac:dyDescent="0.25" r="349" customHeight="1" ht="24.75">
      <c r="A349" s="1"/>
      <c r="B349" s="1"/>
      <c r="C349" s="1"/>
      <c r="D349" s="1"/>
      <c r="E349" s="1"/>
      <c r="F349" s="1"/>
      <c r="G349" s="1"/>
      <c r="H349" s="1"/>
      <c r="I349" s="1"/>
      <c r="J349" s="1"/>
      <c r="K349" s="17"/>
      <c r="L349" s="1"/>
      <c r="M349" s="1"/>
      <c r="N349" s="2"/>
      <c r="O349" s="2"/>
      <c r="P349" s="1"/>
      <c r="Q349" s="1"/>
      <c r="R349" s="1"/>
      <c r="S349" s="1"/>
      <c r="T349" s="40"/>
      <c r="U349" s="40"/>
      <c r="V349" s="40"/>
      <c r="W349" s="40"/>
      <c r="X349" s="22"/>
      <c r="Y349" s="22"/>
      <c r="Z349" s="22"/>
      <c r="AA349" s="22"/>
      <c r="AB349" s="22"/>
      <c r="AC349" s="22"/>
      <c r="AD349" s="22"/>
      <c r="AE349" s="22"/>
      <c r="AF349" s="22"/>
      <c r="AG349" s="22"/>
      <c r="AH349" s="22"/>
      <c r="AI349" s="22"/>
      <c r="AJ349" s="40"/>
      <c r="AK349" s="22"/>
      <c r="AL349" s="22"/>
      <c r="AM349" s="22"/>
      <c r="AN349" s="22"/>
      <c r="AO349" s="40"/>
      <c r="AP349" s="40"/>
      <c r="AQ349" s="40"/>
      <c r="AR349" s="1"/>
      <c r="AS349" s="1"/>
      <c r="AT349" s="17"/>
      <c r="AU349" s="1"/>
      <c r="AV349" s="1"/>
      <c r="AW349" s="1"/>
      <c r="AX349" s="2"/>
      <c r="AY349" s="2"/>
      <c r="AZ349" s="1"/>
    </row>
    <row x14ac:dyDescent="0.25" r="350" customHeight="1" ht="24.75">
      <c r="A350" s="1"/>
      <c r="B350" s="1"/>
      <c r="C350" s="1"/>
      <c r="D350" s="1"/>
      <c r="E350" s="1"/>
      <c r="F350" s="1"/>
      <c r="G350" s="1"/>
      <c r="H350" s="1"/>
      <c r="I350" s="1"/>
      <c r="J350" s="1"/>
      <c r="K350" s="17"/>
      <c r="L350" s="1"/>
      <c r="M350" s="1"/>
      <c r="N350" s="2"/>
      <c r="O350" s="2"/>
      <c r="P350" s="1"/>
      <c r="Q350" s="1"/>
      <c r="R350" s="1"/>
      <c r="S350" s="1"/>
      <c r="T350" s="40"/>
      <c r="U350" s="40"/>
      <c r="V350" s="40"/>
      <c r="W350" s="40"/>
      <c r="X350" s="22"/>
      <c r="Y350" s="22"/>
      <c r="Z350" s="22"/>
      <c r="AA350" s="22"/>
      <c r="AB350" s="22"/>
      <c r="AC350" s="22"/>
      <c r="AD350" s="22"/>
      <c r="AE350" s="22"/>
      <c r="AF350" s="22"/>
      <c r="AG350" s="22"/>
      <c r="AH350" s="22"/>
      <c r="AI350" s="22"/>
      <c r="AJ350" s="40"/>
      <c r="AK350" s="22"/>
      <c r="AL350" s="22"/>
      <c r="AM350" s="22"/>
      <c r="AN350" s="22"/>
      <c r="AO350" s="40"/>
      <c r="AP350" s="40"/>
      <c r="AQ350" s="40"/>
      <c r="AR350" s="1"/>
      <c r="AS350" s="1"/>
      <c r="AT350" s="17"/>
      <c r="AU350" s="1"/>
      <c r="AV350" s="1"/>
      <c r="AW350" s="1"/>
      <c r="AX350" s="2"/>
      <c r="AY350" s="2"/>
      <c r="AZ350" s="1"/>
    </row>
    <row x14ac:dyDescent="0.25" r="351" customHeight="1" ht="24.75">
      <c r="A351" s="1"/>
      <c r="B351" s="1"/>
      <c r="C351" s="1"/>
      <c r="D351" s="1"/>
      <c r="E351" s="1"/>
      <c r="F351" s="1"/>
      <c r="G351" s="1"/>
      <c r="H351" s="1"/>
      <c r="I351" s="1"/>
      <c r="J351" s="1"/>
      <c r="K351" s="17"/>
      <c r="L351" s="1"/>
      <c r="M351" s="1"/>
      <c r="N351" s="2"/>
      <c r="O351" s="2"/>
      <c r="P351" s="1"/>
      <c r="Q351" s="1"/>
      <c r="R351" s="1"/>
      <c r="S351" s="1"/>
      <c r="T351" s="40"/>
      <c r="U351" s="40"/>
      <c r="V351" s="40"/>
      <c r="W351" s="40"/>
      <c r="X351" s="22"/>
      <c r="Y351" s="22"/>
      <c r="Z351" s="22"/>
      <c r="AA351" s="22"/>
      <c r="AB351" s="22"/>
      <c r="AC351" s="22"/>
      <c r="AD351" s="22"/>
      <c r="AE351" s="22"/>
      <c r="AF351" s="22"/>
      <c r="AG351" s="22"/>
      <c r="AH351" s="22"/>
      <c r="AI351" s="22"/>
      <c r="AJ351" s="40"/>
      <c r="AK351" s="22"/>
      <c r="AL351" s="22"/>
      <c r="AM351" s="22"/>
      <c r="AN351" s="22"/>
      <c r="AO351" s="40"/>
      <c r="AP351" s="40"/>
      <c r="AQ351" s="40"/>
      <c r="AR351" s="1"/>
      <c r="AS351" s="1"/>
      <c r="AT351" s="17"/>
      <c r="AU351" s="1"/>
      <c r="AV351" s="1"/>
      <c r="AW351" s="1"/>
      <c r="AX351" s="2"/>
      <c r="AY351" s="2"/>
      <c r="AZ351" s="1"/>
    </row>
    <row x14ac:dyDescent="0.25" r="352" customHeight="1" ht="24.75">
      <c r="A352" s="1"/>
      <c r="B352" s="1"/>
      <c r="C352" s="1"/>
      <c r="D352" s="1"/>
      <c r="E352" s="1"/>
      <c r="F352" s="1"/>
      <c r="G352" s="1"/>
      <c r="H352" s="1"/>
      <c r="I352" s="1"/>
      <c r="J352" s="1"/>
      <c r="K352" s="17"/>
      <c r="L352" s="1"/>
      <c r="M352" s="1"/>
      <c r="N352" s="2"/>
      <c r="O352" s="2"/>
      <c r="P352" s="1"/>
      <c r="Q352" s="1"/>
      <c r="R352" s="1"/>
      <c r="S352" s="1"/>
      <c r="T352" s="40"/>
      <c r="U352" s="40"/>
      <c r="V352" s="40"/>
      <c r="W352" s="40"/>
      <c r="X352" s="22"/>
      <c r="Y352" s="22"/>
      <c r="Z352" s="22"/>
      <c r="AA352" s="22"/>
      <c r="AB352" s="22"/>
      <c r="AC352" s="22"/>
      <c r="AD352" s="22"/>
      <c r="AE352" s="22"/>
      <c r="AF352" s="22"/>
      <c r="AG352" s="22"/>
      <c r="AH352" s="22"/>
      <c r="AI352" s="22"/>
      <c r="AJ352" s="40"/>
      <c r="AK352" s="22"/>
      <c r="AL352" s="22"/>
      <c r="AM352" s="22"/>
      <c r="AN352" s="22"/>
      <c r="AO352" s="40"/>
      <c r="AP352" s="40"/>
      <c r="AQ352" s="40"/>
      <c r="AR352" s="1"/>
      <c r="AS352" s="1"/>
      <c r="AT352" s="17"/>
      <c r="AU352" s="1"/>
      <c r="AV352" s="1"/>
      <c r="AW352" s="1"/>
      <c r="AX352" s="2"/>
      <c r="AY352" s="2"/>
      <c r="AZ352" s="1"/>
    </row>
    <row x14ac:dyDescent="0.25" r="353" customHeight="1" ht="24.75">
      <c r="A353" s="1"/>
      <c r="B353" s="1"/>
      <c r="C353" s="1"/>
      <c r="D353" s="1"/>
      <c r="E353" s="1"/>
      <c r="F353" s="1"/>
      <c r="G353" s="1"/>
      <c r="H353" s="1"/>
      <c r="I353" s="1"/>
      <c r="J353" s="1"/>
      <c r="K353" s="17"/>
      <c r="L353" s="1"/>
      <c r="M353" s="1"/>
      <c r="N353" s="2"/>
      <c r="O353" s="2"/>
      <c r="P353" s="1"/>
      <c r="Q353" s="1"/>
      <c r="R353" s="1"/>
      <c r="S353" s="1"/>
      <c r="T353" s="40"/>
      <c r="U353" s="40"/>
      <c r="V353" s="40"/>
      <c r="W353" s="40"/>
      <c r="X353" s="22"/>
      <c r="Y353" s="22"/>
      <c r="Z353" s="22"/>
      <c r="AA353" s="22"/>
      <c r="AB353" s="22"/>
      <c r="AC353" s="22"/>
      <c r="AD353" s="22"/>
      <c r="AE353" s="22"/>
      <c r="AF353" s="22"/>
      <c r="AG353" s="22"/>
      <c r="AH353" s="22"/>
      <c r="AI353" s="22"/>
      <c r="AJ353" s="40"/>
      <c r="AK353" s="22"/>
      <c r="AL353" s="22"/>
      <c r="AM353" s="22"/>
      <c r="AN353" s="22"/>
      <c r="AO353" s="40"/>
      <c r="AP353" s="40"/>
      <c r="AQ353" s="40"/>
      <c r="AR353" s="1"/>
      <c r="AS353" s="1"/>
      <c r="AT353" s="17"/>
      <c r="AU353" s="1"/>
      <c r="AV353" s="1"/>
      <c r="AW353" s="1"/>
      <c r="AX353" s="2"/>
      <c r="AY353" s="2"/>
      <c r="AZ353" s="1"/>
    </row>
    <row x14ac:dyDescent="0.25" r="354" customHeight="1" ht="24.75">
      <c r="A354" s="1"/>
      <c r="B354" s="1"/>
      <c r="C354" s="1"/>
      <c r="D354" s="1"/>
      <c r="E354" s="1"/>
      <c r="F354" s="1"/>
      <c r="G354" s="1"/>
      <c r="H354" s="1"/>
      <c r="I354" s="1"/>
      <c r="J354" s="1"/>
      <c r="K354" s="17"/>
      <c r="L354" s="1"/>
      <c r="M354" s="1"/>
      <c r="N354" s="2"/>
      <c r="O354" s="2"/>
      <c r="P354" s="1"/>
      <c r="Q354" s="1"/>
      <c r="R354" s="1"/>
      <c r="S354" s="1"/>
      <c r="T354" s="40"/>
      <c r="U354" s="40"/>
      <c r="V354" s="40"/>
      <c r="W354" s="40"/>
      <c r="X354" s="22"/>
      <c r="Y354" s="22"/>
      <c r="Z354" s="22"/>
      <c r="AA354" s="22"/>
      <c r="AB354" s="22"/>
      <c r="AC354" s="22"/>
      <c r="AD354" s="22"/>
      <c r="AE354" s="22"/>
      <c r="AF354" s="22"/>
      <c r="AG354" s="22"/>
      <c r="AH354" s="22"/>
      <c r="AI354" s="22"/>
      <c r="AJ354" s="40"/>
      <c r="AK354" s="22"/>
      <c r="AL354" s="22"/>
      <c r="AM354" s="22"/>
      <c r="AN354" s="22"/>
      <c r="AO354" s="40"/>
      <c r="AP354" s="40"/>
      <c r="AQ354" s="40"/>
      <c r="AR354" s="1"/>
      <c r="AS354" s="1"/>
      <c r="AT354" s="17"/>
      <c r="AU354" s="1"/>
      <c r="AV354" s="1"/>
      <c r="AW354" s="1"/>
      <c r="AX354" s="2"/>
      <c r="AY354" s="2"/>
      <c r="AZ354" s="1"/>
    </row>
    <row x14ac:dyDescent="0.25" r="355" customHeight="1" ht="24.75">
      <c r="A355" s="1"/>
      <c r="B355" s="1"/>
      <c r="C355" s="1"/>
      <c r="D355" s="1"/>
      <c r="E355" s="1"/>
      <c r="F355" s="1"/>
      <c r="G355" s="1"/>
      <c r="H355" s="1"/>
      <c r="I355" s="1"/>
      <c r="J355" s="1"/>
      <c r="K355" s="17"/>
      <c r="L355" s="1"/>
      <c r="M355" s="1"/>
      <c r="N355" s="2"/>
      <c r="O355" s="2"/>
      <c r="P355" s="1"/>
      <c r="Q355" s="1"/>
      <c r="R355" s="1"/>
      <c r="S355" s="1"/>
      <c r="T355" s="40"/>
      <c r="U355" s="40"/>
      <c r="V355" s="40"/>
      <c r="W355" s="40"/>
      <c r="X355" s="22"/>
      <c r="Y355" s="22"/>
      <c r="Z355" s="22"/>
      <c r="AA355" s="22"/>
      <c r="AB355" s="22"/>
      <c r="AC355" s="22"/>
      <c r="AD355" s="22"/>
      <c r="AE355" s="22"/>
      <c r="AF355" s="22"/>
      <c r="AG355" s="22"/>
      <c r="AH355" s="22"/>
      <c r="AI355" s="22"/>
      <c r="AJ355" s="40"/>
      <c r="AK355" s="22"/>
      <c r="AL355" s="22"/>
      <c r="AM355" s="22"/>
      <c r="AN355" s="22"/>
      <c r="AO355" s="40"/>
      <c r="AP355" s="40"/>
      <c r="AQ355" s="40"/>
      <c r="AR355" s="1"/>
      <c r="AS355" s="1"/>
      <c r="AT355" s="17"/>
      <c r="AU355" s="1"/>
      <c r="AV355" s="1"/>
      <c r="AW355" s="1"/>
      <c r="AX355" s="2"/>
      <c r="AY355" s="2"/>
      <c r="AZ355" s="1"/>
    </row>
    <row x14ac:dyDescent="0.25" r="356" customHeight="1" ht="24.75">
      <c r="A356" s="1"/>
      <c r="B356" s="1"/>
      <c r="C356" s="1"/>
      <c r="D356" s="1"/>
      <c r="E356" s="1"/>
      <c r="F356" s="1"/>
      <c r="G356" s="1"/>
      <c r="H356" s="1"/>
      <c r="I356" s="1"/>
      <c r="J356" s="1"/>
      <c r="K356" s="17"/>
      <c r="L356" s="1"/>
      <c r="M356" s="1"/>
      <c r="N356" s="2"/>
      <c r="O356" s="2"/>
      <c r="P356" s="1"/>
      <c r="Q356" s="1"/>
      <c r="R356" s="1"/>
      <c r="S356" s="1"/>
      <c r="T356" s="40"/>
      <c r="U356" s="40"/>
      <c r="V356" s="40"/>
      <c r="W356" s="40"/>
      <c r="X356" s="22"/>
      <c r="Y356" s="22"/>
      <c r="Z356" s="22"/>
      <c r="AA356" s="22"/>
      <c r="AB356" s="22"/>
      <c r="AC356" s="22"/>
      <c r="AD356" s="22"/>
      <c r="AE356" s="22"/>
      <c r="AF356" s="22"/>
      <c r="AG356" s="22"/>
      <c r="AH356" s="22"/>
      <c r="AI356" s="22"/>
      <c r="AJ356" s="40"/>
      <c r="AK356" s="22"/>
      <c r="AL356" s="22"/>
      <c r="AM356" s="22"/>
      <c r="AN356" s="22"/>
      <c r="AO356" s="40"/>
      <c r="AP356" s="40"/>
      <c r="AQ356" s="40"/>
      <c r="AR356" s="1"/>
      <c r="AS356" s="1"/>
      <c r="AT356" s="17"/>
      <c r="AU356" s="1"/>
      <c r="AV356" s="1"/>
      <c r="AW356" s="1"/>
      <c r="AX356" s="2"/>
      <c r="AY356" s="2"/>
      <c r="AZ356" s="1"/>
    </row>
    <row x14ac:dyDescent="0.25" r="357" customHeight="1" ht="24.75">
      <c r="A357" s="1"/>
      <c r="B357" s="1"/>
      <c r="C357" s="1"/>
      <c r="D357" s="1"/>
      <c r="E357" s="1"/>
      <c r="F357" s="1"/>
      <c r="G357" s="1"/>
      <c r="H357" s="1"/>
      <c r="I357" s="1"/>
      <c r="J357" s="1"/>
      <c r="K357" s="17"/>
      <c r="L357" s="1"/>
      <c r="M357" s="1"/>
      <c r="N357" s="2"/>
      <c r="O357" s="2"/>
      <c r="P357" s="1"/>
      <c r="Q357" s="1"/>
      <c r="R357" s="1"/>
      <c r="S357" s="1"/>
      <c r="T357" s="40"/>
      <c r="U357" s="40"/>
      <c r="V357" s="40"/>
      <c r="W357" s="40"/>
      <c r="X357" s="22"/>
      <c r="Y357" s="22"/>
      <c r="Z357" s="22"/>
      <c r="AA357" s="22"/>
      <c r="AB357" s="22"/>
      <c r="AC357" s="22"/>
      <c r="AD357" s="22"/>
      <c r="AE357" s="22"/>
      <c r="AF357" s="22"/>
      <c r="AG357" s="22"/>
      <c r="AH357" s="22"/>
      <c r="AI357" s="22"/>
      <c r="AJ357" s="40"/>
      <c r="AK357" s="22"/>
      <c r="AL357" s="22"/>
      <c r="AM357" s="22"/>
      <c r="AN357" s="22"/>
      <c r="AO357" s="40"/>
      <c r="AP357" s="40"/>
      <c r="AQ357" s="40"/>
      <c r="AR357" s="1"/>
      <c r="AS357" s="1"/>
      <c r="AT357" s="17"/>
      <c r="AU357" s="1"/>
      <c r="AV357" s="1"/>
      <c r="AW357" s="1"/>
      <c r="AX357" s="2"/>
      <c r="AY357" s="2"/>
      <c r="AZ357" s="1"/>
    </row>
    <row x14ac:dyDescent="0.25" r="358" customHeight="1" ht="24.75">
      <c r="A358" s="1"/>
      <c r="B358" s="1"/>
      <c r="C358" s="1"/>
      <c r="D358" s="1"/>
      <c r="E358" s="1"/>
      <c r="F358" s="1"/>
      <c r="G358" s="1"/>
      <c r="H358" s="1"/>
      <c r="I358" s="1"/>
      <c r="J358" s="1"/>
      <c r="K358" s="17"/>
      <c r="L358" s="1"/>
      <c r="M358" s="1"/>
      <c r="N358" s="2"/>
      <c r="O358" s="2"/>
      <c r="P358" s="1"/>
      <c r="Q358" s="1"/>
      <c r="R358" s="1"/>
      <c r="S358" s="1"/>
      <c r="T358" s="40"/>
      <c r="U358" s="40"/>
      <c r="V358" s="40"/>
      <c r="W358" s="40"/>
      <c r="X358" s="22"/>
      <c r="Y358" s="22"/>
      <c r="Z358" s="22"/>
      <c r="AA358" s="22"/>
      <c r="AB358" s="22"/>
      <c r="AC358" s="22"/>
      <c r="AD358" s="22"/>
      <c r="AE358" s="22"/>
      <c r="AF358" s="22"/>
      <c r="AG358" s="22"/>
      <c r="AH358" s="22"/>
      <c r="AI358" s="22"/>
      <c r="AJ358" s="40"/>
      <c r="AK358" s="22"/>
      <c r="AL358" s="22"/>
      <c r="AM358" s="22"/>
      <c r="AN358" s="22"/>
      <c r="AO358" s="40"/>
      <c r="AP358" s="40"/>
      <c r="AQ358" s="40"/>
      <c r="AR358" s="1"/>
      <c r="AS358" s="1"/>
      <c r="AT358" s="17"/>
      <c r="AU358" s="1"/>
      <c r="AV358" s="1"/>
      <c r="AW358" s="1"/>
      <c r="AX358" s="2"/>
      <c r="AY358" s="2"/>
      <c r="AZ358" s="1"/>
    </row>
    <row x14ac:dyDescent="0.25" r="359" customHeight="1" ht="24.75">
      <c r="A359" s="1"/>
      <c r="B359" s="1"/>
      <c r="C359" s="1"/>
      <c r="D359" s="1"/>
      <c r="E359" s="1"/>
      <c r="F359" s="1"/>
      <c r="G359" s="1"/>
      <c r="H359" s="1"/>
      <c r="I359" s="1"/>
      <c r="J359" s="1"/>
      <c r="K359" s="17"/>
      <c r="L359" s="1"/>
      <c r="M359" s="1"/>
      <c r="N359" s="2"/>
      <c r="O359" s="2"/>
      <c r="P359" s="1"/>
      <c r="Q359" s="1"/>
      <c r="R359" s="1"/>
      <c r="S359" s="1"/>
      <c r="T359" s="40"/>
      <c r="U359" s="40"/>
      <c r="V359" s="40"/>
      <c r="W359" s="40"/>
      <c r="X359" s="22"/>
      <c r="Y359" s="22"/>
      <c r="Z359" s="22"/>
      <c r="AA359" s="22"/>
      <c r="AB359" s="22"/>
      <c r="AC359" s="22"/>
      <c r="AD359" s="22"/>
      <c r="AE359" s="22"/>
      <c r="AF359" s="22"/>
      <c r="AG359" s="22"/>
      <c r="AH359" s="22"/>
      <c r="AI359" s="22"/>
      <c r="AJ359" s="40"/>
      <c r="AK359" s="22"/>
      <c r="AL359" s="22"/>
      <c r="AM359" s="22"/>
      <c r="AN359" s="22"/>
      <c r="AO359" s="40"/>
      <c r="AP359" s="40"/>
      <c r="AQ359" s="40"/>
      <c r="AR359" s="1"/>
      <c r="AS359" s="1"/>
      <c r="AT359" s="17"/>
      <c r="AU359" s="1"/>
      <c r="AV359" s="1"/>
      <c r="AW359" s="1"/>
      <c r="AX359" s="2"/>
      <c r="AY359" s="2"/>
      <c r="AZ359" s="1"/>
    </row>
    <row x14ac:dyDescent="0.25" r="360" customHeight="1" ht="24.75">
      <c r="A360" s="1"/>
      <c r="B360" s="1"/>
      <c r="C360" s="1"/>
      <c r="D360" s="1"/>
      <c r="E360" s="1"/>
      <c r="F360" s="1"/>
      <c r="G360" s="1"/>
      <c r="H360" s="1"/>
      <c r="I360" s="1"/>
      <c r="J360" s="1"/>
      <c r="K360" s="17"/>
      <c r="L360" s="1"/>
      <c r="M360" s="1"/>
      <c r="N360" s="2"/>
      <c r="O360" s="2"/>
      <c r="P360" s="1"/>
      <c r="Q360" s="1"/>
      <c r="R360" s="1"/>
      <c r="S360" s="1"/>
      <c r="T360" s="40"/>
      <c r="U360" s="40"/>
      <c r="V360" s="40"/>
      <c r="W360" s="40"/>
      <c r="X360" s="22"/>
      <c r="Y360" s="22"/>
      <c r="Z360" s="22"/>
      <c r="AA360" s="22"/>
      <c r="AB360" s="22"/>
      <c r="AC360" s="22"/>
      <c r="AD360" s="22"/>
      <c r="AE360" s="22"/>
      <c r="AF360" s="22"/>
      <c r="AG360" s="22"/>
      <c r="AH360" s="22"/>
      <c r="AI360" s="22"/>
      <c r="AJ360" s="40"/>
      <c r="AK360" s="22"/>
      <c r="AL360" s="22"/>
      <c r="AM360" s="22"/>
      <c r="AN360" s="22"/>
      <c r="AO360" s="40"/>
      <c r="AP360" s="40"/>
      <c r="AQ360" s="40"/>
      <c r="AR360" s="1"/>
      <c r="AS360" s="1"/>
      <c r="AT360" s="17"/>
      <c r="AU360" s="1"/>
      <c r="AV360" s="1"/>
      <c r="AW360" s="1"/>
      <c r="AX360" s="2"/>
      <c r="AY360" s="2"/>
      <c r="AZ360" s="1"/>
    </row>
    <row x14ac:dyDescent="0.25" r="361" customHeight="1" ht="24.75">
      <c r="A361" s="1"/>
      <c r="B361" s="1"/>
      <c r="C361" s="1"/>
      <c r="D361" s="1"/>
      <c r="E361" s="1"/>
      <c r="F361" s="1"/>
      <c r="G361" s="1"/>
      <c r="H361" s="1"/>
      <c r="I361" s="1"/>
      <c r="J361" s="1"/>
      <c r="K361" s="17"/>
      <c r="L361" s="1"/>
      <c r="M361" s="1"/>
      <c r="N361" s="2"/>
      <c r="O361" s="2"/>
      <c r="P361" s="1"/>
      <c r="Q361" s="1"/>
      <c r="R361" s="1"/>
      <c r="S361" s="1"/>
      <c r="T361" s="40"/>
      <c r="U361" s="40"/>
      <c r="V361" s="40"/>
      <c r="W361" s="40"/>
      <c r="X361" s="22"/>
      <c r="Y361" s="22"/>
      <c r="Z361" s="22"/>
      <c r="AA361" s="22"/>
      <c r="AB361" s="22"/>
      <c r="AC361" s="22"/>
      <c r="AD361" s="22"/>
      <c r="AE361" s="22"/>
      <c r="AF361" s="22"/>
      <c r="AG361" s="22"/>
      <c r="AH361" s="22"/>
      <c r="AI361" s="22"/>
      <c r="AJ361" s="40"/>
      <c r="AK361" s="22"/>
      <c r="AL361" s="22"/>
      <c r="AM361" s="22"/>
      <c r="AN361" s="22"/>
      <c r="AO361" s="40"/>
      <c r="AP361" s="40"/>
      <c r="AQ361" s="40"/>
      <c r="AR361" s="1"/>
      <c r="AS361" s="1"/>
      <c r="AT361" s="17"/>
      <c r="AU361" s="1"/>
      <c r="AV361" s="1"/>
      <c r="AW361" s="1"/>
      <c r="AX361" s="2"/>
      <c r="AY361" s="2"/>
      <c r="AZ361" s="1"/>
    </row>
    <row x14ac:dyDescent="0.25" r="362" customHeight="1" ht="24.75">
      <c r="A362" s="1"/>
      <c r="B362" s="1"/>
      <c r="C362" s="1"/>
      <c r="D362" s="1"/>
      <c r="E362" s="1"/>
      <c r="F362" s="1"/>
      <c r="G362" s="1"/>
      <c r="H362" s="1"/>
      <c r="I362" s="1"/>
      <c r="J362" s="1"/>
      <c r="K362" s="17"/>
      <c r="L362" s="1"/>
      <c r="M362" s="1"/>
      <c r="N362" s="2"/>
      <c r="O362" s="2"/>
      <c r="P362" s="1"/>
      <c r="Q362" s="1"/>
      <c r="R362" s="1"/>
      <c r="S362" s="1"/>
      <c r="T362" s="40"/>
      <c r="U362" s="40"/>
      <c r="V362" s="40"/>
      <c r="W362" s="40"/>
      <c r="X362" s="22"/>
      <c r="Y362" s="22"/>
      <c r="Z362" s="22"/>
      <c r="AA362" s="22"/>
      <c r="AB362" s="22"/>
      <c r="AC362" s="22"/>
      <c r="AD362" s="22"/>
      <c r="AE362" s="22"/>
      <c r="AF362" s="22"/>
      <c r="AG362" s="22"/>
      <c r="AH362" s="22"/>
      <c r="AI362" s="22"/>
      <c r="AJ362" s="40"/>
      <c r="AK362" s="22"/>
      <c r="AL362" s="22"/>
      <c r="AM362" s="22"/>
      <c r="AN362" s="22"/>
      <c r="AO362" s="40"/>
      <c r="AP362" s="40"/>
      <c r="AQ362" s="40"/>
      <c r="AR362" s="1"/>
      <c r="AS362" s="1"/>
      <c r="AT362" s="17"/>
      <c r="AU362" s="1"/>
      <c r="AV362" s="1"/>
      <c r="AW362" s="1"/>
      <c r="AX362" s="2"/>
      <c r="AY362" s="2"/>
      <c r="AZ362" s="1"/>
    </row>
    <row x14ac:dyDescent="0.25" r="363" customHeight="1" ht="24.75">
      <c r="A363" s="1"/>
      <c r="B363" s="1"/>
      <c r="C363" s="1"/>
      <c r="D363" s="1"/>
      <c r="E363" s="1"/>
      <c r="F363" s="1"/>
      <c r="G363" s="1"/>
      <c r="H363" s="1"/>
      <c r="I363" s="1"/>
      <c r="J363" s="1"/>
      <c r="K363" s="17"/>
      <c r="L363" s="1"/>
      <c r="M363" s="1"/>
      <c r="N363" s="2"/>
      <c r="O363" s="2"/>
      <c r="P363" s="1"/>
      <c r="Q363" s="1"/>
      <c r="R363" s="1"/>
      <c r="S363" s="1"/>
      <c r="T363" s="40"/>
      <c r="U363" s="40"/>
      <c r="V363" s="40"/>
      <c r="W363" s="40"/>
      <c r="X363" s="22"/>
      <c r="Y363" s="22"/>
      <c r="Z363" s="22"/>
      <c r="AA363" s="22"/>
      <c r="AB363" s="22"/>
      <c r="AC363" s="22"/>
      <c r="AD363" s="22"/>
      <c r="AE363" s="22"/>
      <c r="AF363" s="22"/>
      <c r="AG363" s="22"/>
      <c r="AH363" s="22"/>
      <c r="AI363" s="22"/>
      <c r="AJ363" s="40"/>
      <c r="AK363" s="22"/>
      <c r="AL363" s="22"/>
      <c r="AM363" s="22"/>
      <c r="AN363" s="22"/>
      <c r="AO363" s="40"/>
      <c r="AP363" s="40"/>
      <c r="AQ363" s="40"/>
      <c r="AR363" s="1"/>
      <c r="AS363" s="1"/>
      <c r="AT363" s="17"/>
      <c r="AU363" s="1"/>
      <c r="AV363" s="1"/>
      <c r="AW363" s="1"/>
      <c r="AX363" s="2"/>
      <c r="AY363" s="2"/>
      <c r="AZ363" s="1"/>
    </row>
    <row x14ac:dyDescent="0.25" r="364" customHeight="1" ht="24.75">
      <c r="A364" s="1"/>
      <c r="B364" s="1"/>
      <c r="C364" s="1"/>
      <c r="D364" s="1"/>
      <c r="E364" s="1"/>
      <c r="F364" s="1"/>
      <c r="G364" s="1"/>
      <c r="H364" s="1"/>
      <c r="I364" s="1"/>
      <c r="J364" s="1"/>
      <c r="K364" s="17"/>
      <c r="L364" s="1"/>
      <c r="M364" s="1"/>
      <c r="N364" s="2"/>
      <c r="O364" s="2"/>
      <c r="P364" s="1"/>
      <c r="Q364" s="1"/>
      <c r="R364" s="1"/>
      <c r="S364" s="1"/>
      <c r="T364" s="40"/>
      <c r="U364" s="40"/>
      <c r="V364" s="40"/>
      <c r="W364" s="40"/>
      <c r="X364" s="22"/>
      <c r="Y364" s="22"/>
      <c r="Z364" s="22"/>
      <c r="AA364" s="22"/>
      <c r="AB364" s="22"/>
      <c r="AC364" s="22"/>
      <c r="AD364" s="22"/>
      <c r="AE364" s="22"/>
      <c r="AF364" s="22"/>
      <c r="AG364" s="22"/>
      <c r="AH364" s="22"/>
      <c r="AI364" s="22"/>
      <c r="AJ364" s="40"/>
      <c r="AK364" s="22"/>
      <c r="AL364" s="22"/>
      <c r="AM364" s="22"/>
      <c r="AN364" s="22"/>
      <c r="AO364" s="40"/>
      <c r="AP364" s="40"/>
      <c r="AQ364" s="40"/>
      <c r="AR364" s="1"/>
      <c r="AS364" s="1"/>
      <c r="AT364" s="17"/>
      <c r="AU364" s="1"/>
      <c r="AV364" s="1"/>
      <c r="AW364" s="1"/>
      <c r="AX364" s="2"/>
      <c r="AY364" s="2"/>
      <c r="AZ364" s="1"/>
    </row>
    <row x14ac:dyDescent="0.25" r="365" customHeight="1" ht="24.75">
      <c r="A365" s="1"/>
      <c r="B365" s="1"/>
      <c r="C365" s="1"/>
      <c r="D365" s="1"/>
      <c r="E365" s="1"/>
      <c r="F365" s="1"/>
      <c r="G365" s="1"/>
      <c r="H365" s="1"/>
      <c r="I365" s="1"/>
      <c r="J365" s="1"/>
      <c r="K365" s="17"/>
      <c r="L365" s="1"/>
      <c r="M365" s="1"/>
      <c r="N365" s="2"/>
      <c r="O365" s="2"/>
      <c r="P365" s="1"/>
      <c r="Q365" s="1"/>
      <c r="R365" s="1"/>
      <c r="S365" s="1"/>
      <c r="T365" s="40"/>
      <c r="U365" s="40"/>
      <c r="V365" s="40"/>
      <c r="W365" s="40"/>
      <c r="X365" s="22"/>
      <c r="Y365" s="22"/>
      <c r="Z365" s="22"/>
      <c r="AA365" s="22"/>
      <c r="AB365" s="22"/>
      <c r="AC365" s="22"/>
      <c r="AD365" s="22"/>
      <c r="AE365" s="22"/>
      <c r="AF365" s="22"/>
      <c r="AG365" s="22"/>
      <c r="AH365" s="22"/>
      <c r="AI365" s="22"/>
      <c r="AJ365" s="40"/>
      <c r="AK365" s="22"/>
      <c r="AL365" s="22"/>
      <c r="AM365" s="22"/>
      <c r="AN365" s="22"/>
      <c r="AO365" s="40"/>
      <c r="AP365" s="40"/>
      <c r="AQ365" s="40"/>
      <c r="AR365" s="1"/>
      <c r="AS365" s="1"/>
      <c r="AT365" s="17"/>
      <c r="AU365" s="1"/>
      <c r="AV365" s="1"/>
      <c r="AW365" s="1"/>
      <c r="AX365" s="2"/>
      <c r="AY365" s="2"/>
      <c r="AZ365" s="1"/>
    </row>
    <row x14ac:dyDescent="0.25" r="366" customHeight="1" ht="24.75">
      <c r="A366" s="1"/>
      <c r="B366" s="1"/>
      <c r="C366" s="1"/>
      <c r="D366" s="1"/>
      <c r="E366" s="1"/>
      <c r="F366" s="1"/>
      <c r="G366" s="1"/>
      <c r="H366" s="1"/>
      <c r="I366" s="1"/>
      <c r="J366" s="1"/>
      <c r="K366" s="17"/>
      <c r="L366" s="1"/>
      <c r="M366" s="1"/>
      <c r="N366" s="2"/>
      <c r="O366" s="2"/>
      <c r="P366" s="1"/>
      <c r="Q366" s="1"/>
      <c r="R366" s="1"/>
      <c r="S366" s="1"/>
      <c r="T366" s="40"/>
      <c r="U366" s="40"/>
      <c r="V366" s="40"/>
      <c r="W366" s="40"/>
      <c r="X366" s="22"/>
      <c r="Y366" s="22"/>
      <c r="Z366" s="22"/>
      <c r="AA366" s="22"/>
      <c r="AB366" s="22"/>
      <c r="AC366" s="22"/>
      <c r="AD366" s="22"/>
      <c r="AE366" s="22"/>
      <c r="AF366" s="22"/>
      <c r="AG366" s="22"/>
      <c r="AH366" s="22"/>
      <c r="AI366" s="22"/>
      <c r="AJ366" s="40"/>
      <c r="AK366" s="22"/>
      <c r="AL366" s="22"/>
      <c r="AM366" s="22"/>
      <c r="AN366" s="22"/>
      <c r="AO366" s="40"/>
      <c r="AP366" s="40"/>
      <c r="AQ366" s="40"/>
      <c r="AR366" s="1"/>
      <c r="AS366" s="1"/>
      <c r="AT366" s="17"/>
      <c r="AU366" s="1"/>
      <c r="AV366" s="1"/>
      <c r="AW366" s="1"/>
      <c r="AX366" s="2"/>
      <c r="AY366" s="2"/>
      <c r="AZ366" s="1"/>
    </row>
    <row x14ac:dyDescent="0.25" r="367" customHeight="1" ht="24.75">
      <c r="A367" s="1"/>
      <c r="B367" s="1"/>
      <c r="C367" s="1"/>
      <c r="D367" s="1"/>
      <c r="E367" s="1"/>
      <c r="F367" s="1"/>
      <c r="G367" s="1"/>
      <c r="H367" s="1"/>
      <c r="I367" s="1"/>
      <c r="J367" s="1"/>
      <c r="K367" s="17"/>
      <c r="L367" s="1"/>
      <c r="M367" s="1"/>
      <c r="N367" s="2"/>
      <c r="O367" s="2"/>
      <c r="P367" s="1"/>
      <c r="Q367" s="1"/>
      <c r="R367" s="1"/>
      <c r="S367" s="1"/>
      <c r="T367" s="40"/>
      <c r="U367" s="40"/>
      <c r="V367" s="40"/>
      <c r="W367" s="40"/>
      <c r="X367" s="22"/>
      <c r="Y367" s="22"/>
      <c r="Z367" s="22"/>
      <c r="AA367" s="22"/>
      <c r="AB367" s="22"/>
      <c r="AC367" s="22"/>
      <c r="AD367" s="22"/>
      <c r="AE367" s="22"/>
      <c r="AF367" s="22"/>
      <c r="AG367" s="22"/>
      <c r="AH367" s="22"/>
      <c r="AI367" s="22"/>
      <c r="AJ367" s="40"/>
      <c r="AK367" s="22"/>
      <c r="AL367" s="22"/>
      <c r="AM367" s="22"/>
      <c r="AN367" s="22"/>
      <c r="AO367" s="40"/>
      <c r="AP367" s="40"/>
      <c r="AQ367" s="40"/>
      <c r="AR367" s="1"/>
      <c r="AS367" s="1"/>
      <c r="AT367" s="17"/>
      <c r="AU367" s="1"/>
      <c r="AV367" s="1"/>
      <c r="AW367" s="1"/>
      <c r="AX367" s="2"/>
      <c r="AY367" s="2"/>
      <c r="AZ367" s="1"/>
    </row>
    <row x14ac:dyDescent="0.25" r="368" customHeight="1" ht="24.75">
      <c r="A368" s="1"/>
      <c r="B368" s="1"/>
      <c r="C368" s="1"/>
      <c r="D368" s="1"/>
      <c r="E368" s="1"/>
      <c r="F368" s="1"/>
      <c r="G368" s="1"/>
      <c r="H368" s="1"/>
      <c r="I368" s="1"/>
      <c r="J368" s="1"/>
      <c r="K368" s="17"/>
      <c r="L368" s="1"/>
      <c r="M368" s="1"/>
      <c r="N368" s="2"/>
      <c r="O368" s="2"/>
      <c r="P368" s="1"/>
      <c r="Q368" s="1"/>
      <c r="R368" s="1"/>
      <c r="S368" s="1"/>
      <c r="T368" s="40"/>
      <c r="U368" s="40"/>
      <c r="V368" s="40"/>
      <c r="W368" s="40"/>
      <c r="X368" s="22"/>
      <c r="Y368" s="22"/>
      <c r="Z368" s="22"/>
      <c r="AA368" s="22"/>
      <c r="AB368" s="22"/>
      <c r="AC368" s="22"/>
      <c r="AD368" s="22"/>
      <c r="AE368" s="22"/>
      <c r="AF368" s="22"/>
      <c r="AG368" s="22"/>
      <c r="AH368" s="22"/>
      <c r="AI368" s="22"/>
      <c r="AJ368" s="40"/>
      <c r="AK368" s="22"/>
      <c r="AL368" s="22"/>
      <c r="AM368" s="22"/>
      <c r="AN368" s="22"/>
      <c r="AO368" s="40"/>
      <c r="AP368" s="40"/>
      <c r="AQ368" s="40"/>
      <c r="AR368" s="1"/>
      <c r="AS368" s="1"/>
      <c r="AT368" s="17"/>
      <c r="AU368" s="1"/>
      <c r="AV368" s="1"/>
      <c r="AW368" s="1"/>
      <c r="AX368" s="2"/>
      <c r="AY368" s="2"/>
      <c r="AZ368" s="1"/>
    </row>
    <row x14ac:dyDescent="0.25" r="369" customHeight="1" ht="24.75">
      <c r="A369" s="1"/>
      <c r="B369" s="1"/>
      <c r="C369" s="1"/>
      <c r="D369" s="1"/>
      <c r="E369" s="1"/>
      <c r="F369" s="1"/>
      <c r="G369" s="1"/>
      <c r="H369" s="1"/>
      <c r="I369" s="1"/>
      <c r="J369" s="1"/>
      <c r="K369" s="17"/>
      <c r="L369" s="1"/>
      <c r="M369" s="1"/>
      <c r="N369" s="2"/>
      <c r="O369" s="2"/>
      <c r="P369" s="1"/>
      <c r="Q369" s="1"/>
      <c r="R369" s="1"/>
      <c r="S369" s="1"/>
      <c r="T369" s="40"/>
      <c r="U369" s="40"/>
      <c r="V369" s="40"/>
      <c r="W369" s="40"/>
      <c r="X369" s="22"/>
      <c r="Y369" s="22"/>
      <c r="Z369" s="22"/>
      <c r="AA369" s="22"/>
      <c r="AB369" s="22"/>
      <c r="AC369" s="22"/>
      <c r="AD369" s="22"/>
      <c r="AE369" s="22"/>
      <c r="AF369" s="22"/>
      <c r="AG369" s="22"/>
      <c r="AH369" s="22"/>
      <c r="AI369" s="22"/>
      <c r="AJ369" s="40"/>
      <c r="AK369" s="22"/>
      <c r="AL369" s="22"/>
      <c r="AM369" s="22"/>
      <c r="AN369" s="22"/>
      <c r="AO369" s="40"/>
      <c r="AP369" s="40"/>
      <c r="AQ369" s="40"/>
      <c r="AR369" s="1"/>
      <c r="AS369" s="1"/>
      <c r="AT369" s="17"/>
      <c r="AU369" s="1"/>
      <c r="AV369" s="1"/>
      <c r="AW369" s="1"/>
      <c r="AX369" s="2"/>
      <c r="AY369" s="2"/>
      <c r="AZ369" s="1"/>
    </row>
    <row x14ac:dyDescent="0.25" r="370" customHeight="1" ht="24.75">
      <c r="A370" s="1"/>
      <c r="B370" s="1"/>
      <c r="C370" s="1"/>
      <c r="D370" s="1"/>
      <c r="E370" s="1"/>
      <c r="F370" s="1"/>
      <c r="G370" s="1"/>
      <c r="H370" s="1"/>
      <c r="I370" s="1"/>
      <c r="J370" s="1"/>
      <c r="K370" s="17"/>
      <c r="L370" s="1"/>
      <c r="M370" s="1"/>
      <c r="N370" s="2"/>
      <c r="O370" s="2"/>
      <c r="P370" s="1"/>
      <c r="Q370" s="1"/>
      <c r="R370" s="1"/>
      <c r="S370" s="1"/>
      <c r="T370" s="40"/>
      <c r="U370" s="40"/>
      <c r="V370" s="40"/>
      <c r="W370" s="40"/>
      <c r="X370" s="22"/>
      <c r="Y370" s="22"/>
      <c r="Z370" s="22"/>
      <c r="AA370" s="22"/>
      <c r="AB370" s="22"/>
      <c r="AC370" s="22"/>
      <c r="AD370" s="22"/>
      <c r="AE370" s="22"/>
      <c r="AF370" s="22"/>
      <c r="AG370" s="22"/>
      <c r="AH370" s="22"/>
      <c r="AI370" s="22"/>
      <c r="AJ370" s="40"/>
      <c r="AK370" s="22"/>
      <c r="AL370" s="22"/>
      <c r="AM370" s="22"/>
      <c r="AN370" s="22"/>
      <c r="AO370" s="40"/>
      <c r="AP370" s="40"/>
      <c r="AQ370" s="40"/>
      <c r="AR370" s="1"/>
      <c r="AS370" s="1"/>
      <c r="AT370" s="17"/>
      <c r="AU370" s="1"/>
      <c r="AV370" s="1"/>
      <c r="AW370" s="1"/>
      <c r="AX370" s="2"/>
      <c r="AY370" s="2"/>
      <c r="AZ370" s="1"/>
    </row>
    <row x14ac:dyDescent="0.25" r="371" customHeight="1" ht="24.75">
      <c r="A371" s="1"/>
      <c r="B371" s="1"/>
      <c r="C371" s="1"/>
      <c r="D371" s="1"/>
      <c r="E371" s="1"/>
      <c r="F371" s="1"/>
      <c r="G371" s="1"/>
      <c r="H371" s="1"/>
      <c r="I371" s="1"/>
      <c r="J371" s="1"/>
      <c r="K371" s="17"/>
      <c r="L371" s="1"/>
      <c r="M371" s="1"/>
      <c r="N371" s="2"/>
      <c r="O371" s="2"/>
      <c r="P371" s="1"/>
      <c r="Q371" s="1"/>
      <c r="R371" s="1"/>
      <c r="S371" s="1"/>
      <c r="T371" s="40"/>
      <c r="U371" s="40"/>
      <c r="V371" s="40"/>
      <c r="W371" s="40"/>
      <c r="X371" s="22"/>
      <c r="Y371" s="22"/>
      <c r="Z371" s="22"/>
      <c r="AA371" s="22"/>
      <c r="AB371" s="22"/>
      <c r="AC371" s="22"/>
      <c r="AD371" s="22"/>
      <c r="AE371" s="22"/>
      <c r="AF371" s="22"/>
      <c r="AG371" s="22"/>
      <c r="AH371" s="22"/>
      <c r="AI371" s="22"/>
      <c r="AJ371" s="40"/>
      <c r="AK371" s="22"/>
      <c r="AL371" s="22"/>
      <c r="AM371" s="22"/>
      <c r="AN371" s="22"/>
      <c r="AO371" s="40"/>
      <c r="AP371" s="40"/>
      <c r="AQ371" s="40"/>
      <c r="AR371" s="1"/>
      <c r="AS371" s="1"/>
      <c r="AT371" s="17"/>
      <c r="AU371" s="1"/>
      <c r="AV371" s="1"/>
      <c r="AW371" s="1"/>
      <c r="AX371" s="2"/>
      <c r="AY371" s="2"/>
      <c r="AZ371" s="1"/>
    </row>
    <row x14ac:dyDescent="0.25" r="372" customHeight="1" ht="24.75">
      <c r="A372" s="1"/>
      <c r="B372" s="1"/>
      <c r="C372" s="1"/>
      <c r="D372" s="1"/>
      <c r="E372" s="1"/>
      <c r="F372" s="1"/>
      <c r="G372" s="1"/>
      <c r="H372" s="1"/>
      <c r="I372" s="1"/>
      <c r="J372" s="1"/>
      <c r="K372" s="17"/>
      <c r="L372" s="1"/>
      <c r="M372" s="1"/>
      <c r="N372" s="2"/>
      <c r="O372" s="2"/>
      <c r="P372" s="1"/>
      <c r="Q372" s="1"/>
      <c r="R372" s="1"/>
      <c r="S372" s="1"/>
      <c r="T372" s="40"/>
      <c r="U372" s="40"/>
      <c r="V372" s="40"/>
      <c r="W372" s="40"/>
      <c r="X372" s="22"/>
      <c r="Y372" s="22"/>
      <c r="Z372" s="22"/>
      <c r="AA372" s="22"/>
      <c r="AB372" s="22"/>
      <c r="AC372" s="22"/>
      <c r="AD372" s="22"/>
      <c r="AE372" s="22"/>
      <c r="AF372" s="22"/>
      <c r="AG372" s="22"/>
      <c r="AH372" s="22"/>
      <c r="AI372" s="22"/>
      <c r="AJ372" s="40"/>
      <c r="AK372" s="22"/>
      <c r="AL372" s="22"/>
      <c r="AM372" s="22"/>
      <c r="AN372" s="22"/>
      <c r="AO372" s="40"/>
      <c r="AP372" s="40"/>
      <c r="AQ372" s="40"/>
      <c r="AR372" s="1"/>
      <c r="AS372" s="1"/>
      <c r="AT372" s="17"/>
      <c r="AU372" s="1"/>
      <c r="AV372" s="1"/>
      <c r="AW372" s="1"/>
      <c r="AX372" s="2"/>
      <c r="AY372" s="2"/>
      <c r="AZ372" s="1"/>
    </row>
    <row x14ac:dyDescent="0.25" r="373" customHeight="1" ht="24.75">
      <c r="A373" s="1"/>
      <c r="B373" s="1"/>
      <c r="C373" s="1"/>
      <c r="D373" s="1"/>
      <c r="E373" s="1"/>
      <c r="F373" s="1"/>
      <c r="G373" s="1"/>
      <c r="H373" s="1"/>
      <c r="I373" s="1"/>
      <c r="J373" s="1"/>
      <c r="K373" s="17"/>
      <c r="L373" s="1"/>
      <c r="M373" s="1"/>
      <c r="N373" s="2"/>
      <c r="O373" s="2"/>
      <c r="P373" s="1"/>
      <c r="Q373" s="1"/>
      <c r="R373" s="1"/>
      <c r="S373" s="1"/>
      <c r="T373" s="40"/>
      <c r="U373" s="40"/>
      <c r="V373" s="40"/>
      <c r="W373" s="40"/>
      <c r="X373" s="22"/>
      <c r="Y373" s="22"/>
      <c r="Z373" s="22"/>
      <c r="AA373" s="22"/>
      <c r="AB373" s="22"/>
      <c r="AC373" s="22"/>
      <c r="AD373" s="22"/>
      <c r="AE373" s="22"/>
      <c r="AF373" s="22"/>
      <c r="AG373" s="22"/>
      <c r="AH373" s="22"/>
      <c r="AI373" s="22"/>
      <c r="AJ373" s="40"/>
      <c r="AK373" s="22"/>
      <c r="AL373" s="22"/>
      <c r="AM373" s="22"/>
      <c r="AN373" s="22"/>
      <c r="AO373" s="40"/>
      <c r="AP373" s="40"/>
      <c r="AQ373" s="40"/>
      <c r="AR373" s="1"/>
      <c r="AS373" s="1"/>
      <c r="AT373" s="17"/>
      <c r="AU373" s="1"/>
      <c r="AV373" s="1"/>
      <c r="AW373" s="1"/>
      <c r="AX373" s="2"/>
      <c r="AY373" s="2"/>
      <c r="AZ373" s="1"/>
    </row>
    <row x14ac:dyDescent="0.25" r="374" customHeight="1" ht="24.75">
      <c r="A374" s="1"/>
      <c r="B374" s="1"/>
      <c r="C374" s="1"/>
      <c r="D374" s="1"/>
      <c r="E374" s="1"/>
      <c r="F374" s="1"/>
      <c r="G374" s="1"/>
      <c r="H374" s="1"/>
      <c r="I374" s="1"/>
      <c r="J374" s="1"/>
      <c r="K374" s="17"/>
      <c r="L374" s="1"/>
      <c r="M374" s="1"/>
      <c r="N374" s="2"/>
      <c r="O374" s="2"/>
      <c r="P374" s="1"/>
      <c r="Q374" s="1"/>
      <c r="R374" s="1"/>
      <c r="S374" s="1"/>
      <c r="T374" s="40"/>
      <c r="U374" s="40"/>
      <c r="V374" s="40"/>
      <c r="W374" s="40"/>
      <c r="X374" s="22"/>
      <c r="Y374" s="22"/>
      <c r="Z374" s="22"/>
      <c r="AA374" s="22"/>
      <c r="AB374" s="22"/>
      <c r="AC374" s="22"/>
      <c r="AD374" s="22"/>
      <c r="AE374" s="22"/>
      <c r="AF374" s="22"/>
      <c r="AG374" s="22"/>
      <c r="AH374" s="22"/>
      <c r="AI374" s="22"/>
      <c r="AJ374" s="40"/>
      <c r="AK374" s="22"/>
      <c r="AL374" s="22"/>
      <c r="AM374" s="22"/>
      <c r="AN374" s="22"/>
      <c r="AO374" s="40"/>
      <c r="AP374" s="40"/>
      <c r="AQ374" s="40"/>
      <c r="AR374" s="1"/>
      <c r="AS374" s="1"/>
      <c r="AT374" s="17"/>
      <c r="AU374" s="1"/>
      <c r="AV374" s="1"/>
      <c r="AW374" s="1"/>
      <c r="AX374" s="2"/>
      <c r="AY374" s="2"/>
      <c r="AZ374" s="1"/>
    </row>
    <row x14ac:dyDescent="0.25" r="375" customHeight="1" ht="24.75">
      <c r="A375" s="1"/>
      <c r="B375" s="1"/>
      <c r="C375" s="1"/>
      <c r="D375" s="1"/>
      <c r="E375" s="1"/>
      <c r="F375" s="1"/>
      <c r="G375" s="1"/>
      <c r="H375" s="1"/>
      <c r="I375" s="1"/>
      <c r="J375" s="1"/>
      <c r="K375" s="17"/>
      <c r="L375" s="1"/>
      <c r="M375" s="1"/>
      <c r="N375" s="2"/>
      <c r="O375" s="2"/>
      <c r="P375" s="1"/>
      <c r="Q375" s="1"/>
      <c r="R375" s="1"/>
      <c r="S375" s="1"/>
      <c r="T375" s="40"/>
      <c r="U375" s="40"/>
      <c r="V375" s="40"/>
      <c r="W375" s="40"/>
      <c r="X375" s="22"/>
      <c r="Y375" s="22"/>
      <c r="Z375" s="22"/>
      <c r="AA375" s="22"/>
      <c r="AB375" s="22"/>
      <c r="AC375" s="22"/>
      <c r="AD375" s="22"/>
      <c r="AE375" s="22"/>
      <c r="AF375" s="22"/>
      <c r="AG375" s="22"/>
      <c r="AH375" s="22"/>
      <c r="AI375" s="22"/>
      <c r="AJ375" s="40"/>
      <c r="AK375" s="22"/>
      <c r="AL375" s="22"/>
      <c r="AM375" s="22"/>
      <c r="AN375" s="22"/>
      <c r="AO375" s="40"/>
      <c r="AP375" s="40"/>
      <c r="AQ375" s="40"/>
      <c r="AR375" s="1"/>
      <c r="AS375" s="1"/>
      <c r="AT375" s="17"/>
      <c r="AU375" s="1"/>
      <c r="AV375" s="1"/>
      <c r="AW375" s="1"/>
      <c r="AX375" s="2"/>
      <c r="AY375" s="2"/>
      <c r="AZ375" s="1"/>
    </row>
    <row x14ac:dyDescent="0.25" r="376" customHeight="1" ht="24.75">
      <c r="A376" s="1"/>
      <c r="B376" s="1"/>
      <c r="C376" s="1"/>
      <c r="D376" s="1"/>
      <c r="E376" s="1"/>
      <c r="F376" s="1"/>
      <c r="G376" s="1"/>
      <c r="H376" s="1"/>
      <c r="I376" s="1"/>
      <c r="J376" s="1"/>
      <c r="K376" s="17"/>
      <c r="L376" s="1"/>
      <c r="M376" s="1"/>
      <c r="N376" s="2"/>
      <c r="O376" s="2"/>
      <c r="P376" s="1"/>
      <c r="Q376" s="1"/>
      <c r="R376" s="1"/>
      <c r="S376" s="1"/>
      <c r="T376" s="40"/>
      <c r="U376" s="40"/>
      <c r="V376" s="40"/>
      <c r="W376" s="40"/>
      <c r="X376" s="22"/>
      <c r="Y376" s="22"/>
      <c r="Z376" s="22"/>
      <c r="AA376" s="22"/>
      <c r="AB376" s="22"/>
      <c r="AC376" s="22"/>
      <c r="AD376" s="22"/>
      <c r="AE376" s="22"/>
      <c r="AF376" s="22"/>
      <c r="AG376" s="22"/>
      <c r="AH376" s="22"/>
      <c r="AI376" s="22"/>
      <c r="AJ376" s="40"/>
      <c r="AK376" s="22"/>
      <c r="AL376" s="22"/>
      <c r="AM376" s="22"/>
      <c r="AN376" s="22"/>
      <c r="AO376" s="40"/>
      <c r="AP376" s="40"/>
      <c r="AQ376" s="40"/>
      <c r="AR376" s="1"/>
      <c r="AS376" s="1"/>
      <c r="AT376" s="17"/>
      <c r="AU376" s="1"/>
      <c r="AV376" s="1"/>
      <c r="AW376" s="1"/>
      <c r="AX376" s="2"/>
      <c r="AY376" s="2"/>
      <c r="AZ376" s="1"/>
    </row>
    <row x14ac:dyDescent="0.25" r="377" customHeight="1" ht="24.75">
      <c r="A377" s="1"/>
      <c r="B377" s="1"/>
      <c r="C377" s="1"/>
      <c r="D377" s="1"/>
      <c r="E377" s="1"/>
      <c r="F377" s="1"/>
      <c r="G377" s="1"/>
      <c r="H377" s="1"/>
      <c r="I377" s="1"/>
      <c r="J377" s="1"/>
      <c r="K377" s="17"/>
      <c r="L377" s="1"/>
      <c r="M377" s="1"/>
      <c r="N377" s="2"/>
      <c r="O377" s="2"/>
      <c r="P377" s="1"/>
      <c r="Q377" s="1"/>
      <c r="R377" s="1"/>
      <c r="S377" s="1"/>
      <c r="T377" s="40"/>
      <c r="U377" s="40"/>
      <c r="V377" s="40"/>
      <c r="W377" s="40"/>
      <c r="X377" s="22"/>
      <c r="Y377" s="22"/>
      <c r="Z377" s="22"/>
      <c r="AA377" s="22"/>
      <c r="AB377" s="22"/>
      <c r="AC377" s="22"/>
      <c r="AD377" s="22"/>
      <c r="AE377" s="22"/>
      <c r="AF377" s="22"/>
      <c r="AG377" s="22"/>
      <c r="AH377" s="22"/>
      <c r="AI377" s="22"/>
      <c r="AJ377" s="40"/>
      <c r="AK377" s="22"/>
      <c r="AL377" s="22"/>
      <c r="AM377" s="22"/>
      <c r="AN377" s="22"/>
      <c r="AO377" s="40"/>
      <c r="AP377" s="40"/>
      <c r="AQ377" s="40"/>
      <c r="AR377" s="1"/>
      <c r="AS377" s="1"/>
      <c r="AT377" s="17"/>
      <c r="AU377" s="1"/>
      <c r="AV377" s="1"/>
      <c r="AW377" s="1"/>
      <c r="AX377" s="2"/>
      <c r="AY377" s="2"/>
      <c r="AZ377" s="1"/>
    </row>
    <row x14ac:dyDescent="0.25" r="378" customHeight="1" ht="24.75">
      <c r="A378" s="1"/>
      <c r="B378" s="1"/>
      <c r="C378" s="1"/>
      <c r="D378" s="1"/>
      <c r="E378" s="1"/>
      <c r="F378" s="1"/>
      <c r="G378" s="1"/>
      <c r="H378" s="1"/>
      <c r="I378" s="1"/>
      <c r="J378" s="1"/>
      <c r="K378" s="17"/>
      <c r="L378" s="1"/>
      <c r="M378" s="1"/>
      <c r="N378" s="2"/>
      <c r="O378" s="2"/>
      <c r="P378" s="1"/>
      <c r="Q378" s="1"/>
      <c r="R378" s="1"/>
      <c r="S378" s="1"/>
      <c r="T378" s="40"/>
      <c r="U378" s="40"/>
      <c r="V378" s="40"/>
      <c r="W378" s="40"/>
      <c r="X378" s="22"/>
      <c r="Y378" s="22"/>
      <c r="Z378" s="22"/>
      <c r="AA378" s="22"/>
      <c r="AB378" s="22"/>
      <c r="AC378" s="22"/>
      <c r="AD378" s="22"/>
      <c r="AE378" s="22"/>
      <c r="AF378" s="22"/>
      <c r="AG378" s="22"/>
      <c r="AH378" s="22"/>
      <c r="AI378" s="22"/>
      <c r="AJ378" s="40"/>
      <c r="AK378" s="22"/>
      <c r="AL378" s="22"/>
      <c r="AM378" s="22"/>
      <c r="AN378" s="22"/>
      <c r="AO378" s="40"/>
      <c r="AP378" s="40"/>
      <c r="AQ378" s="40"/>
      <c r="AR378" s="1"/>
      <c r="AS378" s="1"/>
      <c r="AT378" s="17"/>
      <c r="AU378" s="1"/>
      <c r="AV378" s="1"/>
      <c r="AW378" s="1"/>
      <c r="AX378" s="2"/>
      <c r="AY378" s="2"/>
      <c r="AZ378" s="1"/>
    </row>
    <row x14ac:dyDescent="0.25" r="379" customHeight="1" ht="24.75">
      <c r="A379" s="1"/>
      <c r="B379" s="1"/>
      <c r="C379" s="1"/>
      <c r="D379" s="1"/>
      <c r="E379" s="1"/>
      <c r="F379" s="1"/>
      <c r="G379" s="1"/>
      <c r="H379" s="1"/>
      <c r="I379" s="1"/>
      <c r="J379" s="1"/>
      <c r="K379" s="17"/>
      <c r="L379" s="1"/>
      <c r="M379" s="1"/>
      <c r="N379" s="2"/>
      <c r="O379" s="2"/>
      <c r="P379" s="1"/>
      <c r="Q379" s="1"/>
      <c r="R379" s="1"/>
      <c r="S379" s="1"/>
      <c r="T379" s="40"/>
      <c r="U379" s="40"/>
      <c r="V379" s="40"/>
      <c r="W379" s="40"/>
      <c r="X379" s="22"/>
      <c r="Y379" s="22"/>
      <c r="Z379" s="22"/>
      <c r="AA379" s="22"/>
      <c r="AB379" s="22"/>
      <c r="AC379" s="22"/>
      <c r="AD379" s="22"/>
      <c r="AE379" s="22"/>
      <c r="AF379" s="22"/>
      <c r="AG379" s="22"/>
      <c r="AH379" s="22"/>
      <c r="AI379" s="22"/>
      <c r="AJ379" s="40"/>
      <c r="AK379" s="22"/>
      <c r="AL379" s="22"/>
      <c r="AM379" s="22"/>
      <c r="AN379" s="22"/>
      <c r="AO379" s="40"/>
      <c r="AP379" s="40"/>
      <c r="AQ379" s="40"/>
      <c r="AR379" s="1"/>
      <c r="AS379" s="1"/>
      <c r="AT379" s="17"/>
      <c r="AU379" s="1"/>
      <c r="AV379" s="1"/>
      <c r="AW379" s="1"/>
      <c r="AX379" s="2"/>
      <c r="AY379" s="2"/>
      <c r="AZ379" s="1"/>
    </row>
    <row x14ac:dyDescent="0.25" r="380" customHeight="1" ht="24.75">
      <c r="A380" s="1"/>
      <c r="B380" s="1"/>
      <c r="C380" s="1"/>
      <c r="D380" s="1"/>
      <c r="E380" s="1"/>
      <c r="F380" s="1"/>
      <c r="G380" s="1"/>
      <c r="H380" s="1"/>
      <c r="I380" s="1"/>
      <c r="J380" s="1"/>
      <c r="K380" s="17"/>
      <c r="L380" s="1"/>
      <c r="M380" s="1"/>
      <c r="N380" s="2"/>
      <c r="O380" s="2"/>
      <c r="P380" s="1"/>
      <c r="Q380" s="1"/>
      <c r="R380" s="1"/>
      <c r="S380" s="1"/>
      <c r="T380" s="40"/>
      <c r="U380" s="40"/>
      <c r="V380" s="40"/>
      <c r="W380" s="40"/>
      <c r="X380" s="22"/>
      <c r="Y380" s="22"/>
      <c r="Z380" s="22"/>
      <c r="AA380" s="22"/>
      <c r="AB380" s="22"/>
      <c r="AC380" s="22"/>
      <c r="AD380" s="22"/>
      <c r="AE380" s="22"/>
      <c r="AF380" s="22"/>
      <c r="AG380" s="22"/>
      <c r="AH380" s="22"/>
      <c r="AI380" s="22"/>
      <c r="AJ380" s="40"/>
      <c r="AK380" s="22"/>
      <c r="AL380" s="22"/>
      <c r="AM380" s="22"/>
      <c r="AN380" s="22"/>
      <c r="AO380" s="40"/>
      <c r="AP380" s="40"/>
      <c r="AQ380" s="40"/>
      <c r="AR380" s="1"/>
      <c r="AS380" s="1"/>
      <c r="AT380" s="17"/>
      <c r="AU380" s="1"/>
      <c r="AV380" s="1"/>
      <c r="AW380" s="1"/>
      <c r="AX380" s="2"/>
      <c r="AY380" s="2"/>
      <c r="AZ380" s="1"/>
    </row>
    <row x14ac:dyDescent="0.25" r="381" customHeight="1" ht="24.75">
      <c r="A381" s="1"/>
      <c r="B381" s="1"/>
      <c r="C381" s="1"/>
      <c r="D381" s="1"/>
      <c r="E381" s="1"/>
      <c r="F381" s="1"/>
      <c r="G381" s="1"/>
      <c r="H381" s="1"/>
      <c r="I381" s="1"/>
      <c r="J381" s="1"/>
      <c r="K381" s="17"/>
      <c r="L381" s="1"/>
      <c r="M381" s="1"/>
      <c r="N381" s="2"/>
      <c r="O381" s="2"/>
      <c r="P381" s="1"/>
      <c r="Q381" s="1"/>
      <c r="R381" s="1"/>
      <c r="S381" s="1"/>
      <c r="T381" s="40"/>
      <c r="U381" s="40"/>
      <c r="V381" s="40"/>
      <c r="W381" s="40"/>
      <c r="X381" s="22"/>
      <c r="Y381" s="22"/>
      <c r="Z381" s="22"/>
      <c r="AA381" s="22"/>
      <c r="AB381" s="22"/>
      <c r="AC381" s="22"/>
      <c r="AD381" s="22"/>
      <c r="AE381" s="22"/>
      <c r="AF381" s="22"/>
      <c r="AG381" s="22"/>
      <c r="AH381" s="22"/>
      <c r="AI381" s="22"/>
      <c r="AJ381" s="40"/>
      <c r="AK381" s="22"/>
      <c r="AL381" s="22"/>
      <c r="AM381" s="22"/>
      <c r="AN381" s="22"/>
      <c r="AO381" s="40"/>
      <c r="AP381" s="40"/>
      <c r="AQ381" s="40"/>
      <c r="AR381" s="1"/>
      <c r="AS381" s="1"/>
      <c r="AT381" s="17"/>
      <c r="AU381" s="1"/>
      <c r="AV381" s="1"/>
      <c r="AW381" s="1"/>
      <c r="AX381" s="2"/>
      <c r="AY381" s="2"/>
      <c r="AZ381" s="1"/>
    </row>
    <row x14ac:dyDescent="0.25" r="382" customHeight="1" ht="24.75">
      <c r="A382" s="1"/>
      <c r="B382" s="1"/>
      <c r="C382" s="1"/>
      <c r="D382" s="1"/>
      <c r="E382" s="1"/>
      <c r="F382" s="1"/>
      <c r="G382" s="1"/>
      <c r="H382" s="1"/>
      <c r="I382" s="1"/>
      <c r="J382" s="1"/>
      <c r="K382" s="17"/>
      <c r="L382" s="1"/>
      <c r="M382" s="1"/>
      <c r="N382" s="2"/>
      <c r="O382" s="2"/>
      <c r="P382" s="1"/>
      <c r="Q382" s="1"/>
      <c r="R382" s="1"/>
      <c r="S382" s="1"/>
      <c r="T382" s="40"/>
      <c r="U382" s="40"/>
      <c r="V382" s="40"/>
      <c r="W382" s="40"/>
      <c r="X382" s="22"/>
      <c r="Y382" s="22"/>
      <c r="Z382" s="22"/>
      <c r="AA382" s="22"/>
      <c r="AB382" s="22"/>
      <c r="AC382" s="22"/>
      <c r="AD382" s="22"/>
      <c r="AE382" s="22"/>
      <c r="AF382" s="22"/>
      <c r="AG382" s="22"/>
      <c r="AH382" s="22"/>
      <c r="AI382" s="22"/>
      <c r="AJ382" s="40"/>
      <c r="AK382" s="22"/>
      <c r="AL382" s="22"/>
      <c r="AM382" s="22"/>
      <c r="AN382" s="22"/>
      <c r="AO382" s="40"/>
      <c r="AP382" s="40"/>
      <c r="AQ382" s="40"/>
      <c r="AR382" s="1"/>
      <c r="AS382" s="1"/>
      <c r="AT382" s="17"/>
      <c r="AU382" s="1"/>
      <c r="AV382" s="1"/>
      <c r="AW382" s="1"/>
      <c r="AX382" s="2"/>
      <c r="AY382" s="2"/>
      <c r="AZ382" s="1"/>
    </row>
    <row x14ac:dyDescent="0.25" r="383" customHeight="1" ht="24.75">
      <c r="A383" s="1"/>
      <c r="B383" s="1"/>
      <c r="C383" s="1"/>
      <c r="D383" s="1"/>
      <c r="E383" s="1"/>
      <c r="F383" s="1"/>
      <c r="G383" s="1"/>
      <c r="H383" s="1"/>
      <c r="I383" s="1"/>
      <c r="J383" s="1"/>
      <c r="K383" s="17"/>
      <c r="L383" s="1"/>
      <c r="M383" s="1"/>
      <c r="N383" s="2"/>
      <c r="O383" s="2"/>
      <c r="P383" s="1"/>
      <c r="Q383" s="1"/>
      <c r="R383" s="1"/>
      <c r="S383" s="1"/>
      <c r="T383" s="40"/>
      <c r="U383" s="40"/>
      <c r="V383" s="40"/>
      <c r="W383" s="40"/>
      <c r="X383" s="22"/>
      <c r="Y383" s="22"/>
      <c r="Z383" s="22"/>
      <c r="AA383" s="22"/>
      <c r="AB383" s="22"/>
      <c r="AC383" s="22"/>
      <c r="AD383" s="22"/>
      <c r="AE383" s="22"/>
      <c r="AF383" s="22"/>
      <c r="AG383" s="22"/>
      <c r="AH383" s="22"/>
      <c r="AI383" s="22"/>
      <c r="AJ383" s="40"/>
      <c r="AK383" s="22"/>
      <c r="AL383" s="22"/>
      <c r="AM383" s="22"/>
      <c r="AN383" s="22"/>
      <c r="AO383" s="40"/>
      <c r="AP383" s="40"/>
      <c r="AQ383" s="40"/>
      <c r="AR383" s="1"/>
      <c r="AS383" s="1"/>
      <c r="AT383" s="17"/>
      <c r="AU383" s="1"/>
      <c r="AV383" s="1"/>
      <c r="AW383" s="1"/>
      <c r="AX383" s="2"/>
      <c r="AY383" s="2"/>
      <c r="AZ383" s="1"/>
    </row>
    <row x14ac:dyDescent="0.25" r="384" customHeight="1" ht="24.75">
      <c r="A384" s="1"/>
      <c r="B384" s="1"/>
      <c r="C384" s="1"/>
      <c r="D384" s="1"/>
      <c r="E384" s="1"/>
      <c r="F384" s="1"/>
      <c r="G384" s="1"/>
      <c r="H384" s="1"/>
      <c r="I384" s="1"/>
      <c r="J384" s="1"/>
      <c r="K384" s="17"/>
      <c r="L384" s="1"/>
      <c r="M384" s="1"/>
      <c r="N384" s="2"/>
      <c r="O384" s="2"/>
      <c r="P384" s="1"/>
      <c r="Q384" s="1"/>
      <c r="R384" s="1"/>
      <c r="S384" s="1"/>
      <c r="T384" s="40"/>
      <c r="U384" s="40"/>
      <c r="V384" s="40"/>
      <c r="W384" s="40"/>
      <c r="X384" s="22"/>
      <c r="Y384" s="22"/>
      <c r="Z384" s="22"/>
      <c r="AA384" s="22"/>
      <c r="AB384" s="22"/>
      <c r="AC384" s="22"/>
      <c r="AD384" s="22"/>
      <c r="AE384" s="22"/>
      <c r="AF384" s="22"/>
      <c r="AG384" s="22"/>
      <c r="AH384" s="22"/>
      <c r="AI384" s="22"/>
      <c r="AJ384" s="40"/>
      <c r="AK384" s="22"/>
      <c r="AL384" s="22"/>
      <c r="AM384" s="22"/>
      <c r="AN384" s="22"/>
      <c r="AO384" s="40"/>
      <c r="AP384" s="40"/>
      <c r="AQ384" s="40"/>
      <c r="AR384" s="1"/>
      <c r="AS384" s="1"/>
      <c r="AT384" s="17"/>
      <c r="AU384" s="1"/>
      <c r="AV384" s="1"/>
      <c r="AW384" s="1"/>
      <c r="AX384" s="2"/>
      <c r="AY384" s="2"/>
      <c r="AZ384" s="1"/>
    </row>
    <row x14ac:dyDescent="0.25" r="385" customHeight="1" ht="24.75">
      <c r="A385" s="1"/>
      <c r="B385" s="1"/>
      <c r="C385" s="1"/>
      <c r="D385" s="1"/>
      <c r="E385" s="1"/>
      <c r="F385" s="1"/>
      <c r="G385" s="1"/>
      <c r="H385" s="1"/>
      <c r="I385" s="1"/>
      <c r="J385" s="1"/>
      <c r="K385" s="17"/>
      <c r="L385" s="1"/>
      <c r="M385" s="1"/>
      <c r="N385" s="2"/>
      <c r="O385" s="2"/>
      <c r="P385" s="1"/>
      <c r="Q385" s="1"/>
      <c r="R385" s="1"/>
      <c r="S385" s="1"/>
      <c r="T385" s="40"/>
      <c r="U385" s="40"/>
      <c r="V385" s="40"/>
      <c r="W385" s="40"/>
      <c r="X385" s="22"/>
      <c r="Y385" s="22"/>
      <c r="Z385" s="22"/>
      <c r="AA385" s="22"/>
      <c r="AB385" s="22"/>
      <c r="AC385" s="22"/>
      <c r="AD385" s="22"/>
      <c r="AE385" s="22"/>
      <c r="AF385" s="22"/>
      <c r="AG385" s="22"/>
      <c r="AH385" s="22"/>
      <c r="AI385" s="22"/>
      <c r="AJ385" s="40"/>
      <c r="AK385" s="22"/>
      <c r="AL385" s="22"/>
      <c r="AM385" s="22"/>
      <c r="AN385" s="22"/>
      <c r="AO385" s="40"/>
      <c r="AP385" s="40"/>
      <c r="AQ385" s="40"/>
      <c r="AR385" s="1"/>
      <c r="AS385" s="1"/>
      <c r="AT385" s="17"/>
      <c r="AU385" s="1"/>
      <c r="AV385" s="1"/>
      <c r="AW385" s="1"/>
      <c r="AX385" s="2"/>
      <c r="AY385" s="2"/>
      <c r="AZ385" s="1"/>
    </row>
    <row x14ac:dyDescent="0.25" r="386" customHeight="1" ht="24.75">
      <c r="A386" s="1"/>
      <c r="B386" s="1"/>
      <c r="C386" s="1"/>
      <c r="D386" s="1"/>
      <c r="E386" s="1"/>
      <c r="F386" s="1"/>
      <c r="G386" s="1"/>
      <c r="H386" s="1"/>
      <c r="I386" s="1"/>
      <c r="J386" s="1"/>
      <c r="K386" s="17"/>
      <c r="L386" s="1"/>
      <c r="M386" s="1"/>
      <c r="N386" s="2"/>
      <c r="O386" s="2"/>
      <c r="P386" s="1"/>
      <c r="Q386" s="1"/>
      <c r="R386" s="1"/>
      <c r="S386" s="1"/>
      <c r="T386" s="40"/>
      <c r="U386" s="40"/>
      <c r="V386" s="40"/>
      <c r="W386" s="40"/>
      <c r="X386" s="22"/>
      <c r="Y386" s="22"/>
      <c r="Z386" s="22"/>
      <c r="AA386" s="22"/>
      <c r="AB386" s="22"/>
      <c r="AC386" s="22"/>
      <c r="AD386" s="22"/>
      <c r="AE386" s="22"/>
      <c r="AF386" s="22"/>
      <c r="AG386" s="22"/>
      <c r="AH386" s="22"/>
      <c r="AI386" s="22"/>
      <c r="AJ386" s="40"/>
      <c r="AK386" s="22"/>
      <c r="AL386" s="22"/>
      <c r="AM386" s="22"/>
      <c r="AN386" s="22"/>
      <c r="AO386" s="40"/>
      <c r="AP386" s="40"/>
      <c r="AQ386" s="40"/>
      <c r="AR386" s="1"/>
      <c r="AS386" s="1"/>
      <c r="AT386" s="17"/>
      <c r="AU386" s="1"/>
      <c r="AV386" s="1"/>
      <c r="AW386" s="1"/>
      <c r="AX386" s="2"/>
      <c r="AY386" s="2"/>
      <c r="AZ386" s="1"/>
    </row>
    <row x14ac:dyDescent="0.25" r="387" customHeight="1" ht="24.75">
      <c r="A387" s="1"/>
      <c r="B387" s="1"/>
      <c r="C387" s="1"/>
      <c r="D387" s="1"/>
      <c r="E387" s="1"/>
      <c r="F387" s="1"/>
      <c r="G387" s="1"/>
      <c r="H387" s="1"/>
      <c r="I387" s="1"/>
      <c r="J387" s="1"/>
      <c r="K387" s="17"/>
      <c r="L387" s="1"/>
      <c r="M387" s="1"/>
      <c r="N387" s="2"/>
      <c r="O387" s="2"/>
      <c r="P387" s="1"/>
      <c r="Q387" s="1"/>
      <c r="R387" s="1"/>
      <c r="S387" s="1"/>
      <c r="T387" s="40"/>
      <c r="U387" s="40"/>
      <c r="V387" s="40"/>
      <c r="W387" s="40"/>
      <c r="X387" s="22"/>
      <c r="Y387" s="22"/>
      <c r="Z387" s="22"/>
      <c r="AA387" s="22"/>
      <c r="AB387" s="22"/>
      <c r="AC387" s="22"/>
      <c r="AD387" s="22"/>
      <c r="AE387" s="22"/>
      <c r="AF387" s="22"/>
      <c r="AG387" s="22"/>
      <c r="AH387" s="22"/>
      <c r="AI387" s="22"/>
      <c r="AJ387" s="40"/>
      <c r="AK387" s="22"/>
      <c r="AL387" s="22"/>
      <c r="AM387" s="22"/>
      <c r="AN387" s="22"/>
      <c r="AO387" s="40"/>
      <c r="AP387" s="40"/>
      <c r="AQ387" s="40"/>
      <c r="AR387" s="1"/>
      <c r="AS387" s="1"/>
      <c r="AT387" s="17"/>
      <c r="AU387" s="1"/>
      <c r="AV387" s="1"/>
      <c r="AW387" s="1"/>
      <c r="AX387" s="2"/>
      <c r="AY387" s="2"/>
      <c r="AZ387" s="1"/>
    </row>
    <row x14ac:dyDescent="0.25" r="388" customHeight="1" ht="24.75">
      <c r="A388" s="1"/>
      <c r="B388" s="1"/>
      <c r="C388" s="1"/>
      <c r="D388" s="1"/>
      <c r="E388" s="1"/>
      <c r="F388" s="1"/>
      <c r="G388" s="1"/>
      <c r="H388" s="1"/>
      <c r="I388" s="1"/>
      <c r="J388" s="1"/>
      <c r="K388" s="17"/>
      <c r="L388" s="1"/>
      <c r="M388" s="1"/>
      <c r="N388" s="2"/>
      <c r="O388" s="2"/>
      <c r="P388" s="1"/>
      <c r="Q388" s="1"/>
      <c r="R388" s="1"/>
      <c r="S388" s="1"/>
      <c r="T388" s="40"/>
      <c r="U388" s="40"/>
      <c r="V388" s="40"/>
      <c r="W388" s="40"/>
      <c r="X388" s="22"/>
      <c r="Y388" s="22"/>
      <c r="Z388" s="22"/>
      <c r="AA388" s="22"/>
      <c r="AB388" s="22"/>
      <c r="AC388" s="22"/>
      <c r="AD388" s="22"/>
      <c r="AE388" s="22"/>
      <c r="AF388" s="22"/>
      <c r="AG388" s="22"/>
      <c r="AH388" s="22"/>
      <c r="AI388" s="22"/>
      <c r="AJ388" s="40"/>
      <c r="AK388" s="22"/>
      <c r="AL388" s="22"/>
      <c r="AM388" s="22"/>
      <c r="AN388" s="22"/>
      <c r="AO388" s="40"/>
      <c r="AP388" s="40"/>
      <c r="AQ388" s="40"/>
      <c r="AR388" s="1"/>
      <c r="AS388" s="1"/>
      <c r="AT388" s="17"/>
      <c r="AU388" s="1"/>
      <c r="AV388" s="1"/>
      <c r="AW388" s="1"/>
      <c r="AX388" s="2"/>
      <c r="AY388" s="2"/>
      <c r="AZ388" s="1"/>
    </row>
    <row x14ac:dyDescent="0.25" r="389" customHeight="1" ht="24.75">
      <c r="A389" s="1"/>
      <c r="B389" s="1"/>
      <c r="C389" s="1"/>
      <c r="D389" s="1"/>
      <c r="E389" s="1"/>
      <c r="F389" s="1"/>
      <c r="G389" s="1"/>
      <c r="H389" s="1"/>
      <c r="I389" s="1"/>
      <c r="J389" s="1"/>
      <c r="K389" s="17"/>
      <c r="L389" s="1"/>
      <c r="M389" s="1"/>
      <c r="N389" s="2"/>
      <c r="O389" s="2"/>
      <c r="P389" s="1"/>
      <c r="Q389" s="1"/>
      <c r="R389" s="1"/>
      <c r="S389" s="1"/>
      <c r="T389" s="40"/>
      <c r="U389" s="40"/>
      <c r="V389" s="40"/>
      <c r="W389" s="40"/>
      <c r="X389" s="22"/>
      <c r="Y389" s="22"/>
      <c r="Z389" s="22"/>
      <c r="AA389" s="22"/>
      <c r="AB389" s="22"/>
      <c r="AC389" s="22"/>
      <c r="AD389" s="22"/>
      <c r="AE389" s="22"/>
      <c r="AF389" s="22"/>
      <c r="AG389" s="22"/>
      <c r="AH389" s="22"/>
      <c r="AI389" s="22"/>
      <c r="AJ389" s="40"/>
      <c r="AK389" s="22"/>
      <c r="AL389" s="22"/>
      <c r="AM389" s="22"/>
      <c r="AN389" s="22"/>
      <c r="AO389" s="40"/>
      <c r="AP389" s="40"/>
      <c r="AQ389" s="40"/>
      <c r="AR389" s="1"/>
      <c r="AS389" s="1"/>
      <c r="AT389" s="17"/>
      <c r="AU389" s="1"/>
      <c r="AV389" s="1"/>
      <c r="AW389" s="1"/>
      <c r="AX389" s="2"/>
      <c r="AY389" s="2"/>
      <c r="AZ389" s="1"/>
    </row>
    <row x14ac:dyDescent="0.25" r="390" customHeight="1" ht="24.75">
      <c r="A390" s="1"/>
      <c r="B390" s="1"/>
      <c r="C390" s="1"/>
      <c r="D390" s="1"/>
      <c r="E390" s="1"/>
      <c r="F390" s="1"/>
      <c r="G390" s="1"/>
      <c r="H390" s="1"/>
      <c r="I390" s="1"/>
      <c r="J390" s="1"/>
      <c r="K390" s="17"/>
      <c r="L390" s="1"/>
      <c r="M390" s="1"/>
      <c r="N390" s="2"/>
      <c r="O390" s="2"/>
      <c r="P390" s="1"/>
      <c r="Q390" s="1"/>
      <c r="R390" s="1"/>
      <c r="S390" s="1"/>
      <c r="T390" s="40"/>
      <c r="U390" s="40"/>
      <c r="V390" s="40"/>
      <c r="W390" s="40"/>
      <c r="X390" s="22"/>
      <c r="Y390" s="22"/>
      <c r="Z390" s="22"/>
      <c r="AA390" s="22"/>
      <c r="AB390" s="22"/>
      <c r="AC390" s="22"/>
      <c r="AD390" s="22"/>
      <c r="AE390" s="22"/>
      <c r="AF390" s="22"/>
      <c r="AG390" s="22"/>
      <c r="AH390" s="22"/>
      <c r="AI390" s="22"/>
      <c r="AJ390" s="40"/>
      <c r="AK390" s="22"/>
      <c r="AL390" s="22"/>
      <c r="AM390" s="22"/>
      <c r="AN390" s="22"/>
      <c r="AO390" s="40"/>
      <c r="AP390" s="40"/>
      <c r="AQ390" s="40"/>
      <c r="AR390" s="1"/>
      <c r="AS390" s="1"/>
      <c r="AT390" s="17"/>
      <c r="AU390" s="1"/>
      <c r="AV390" s="1"/>
      <c r="AW390" s="1"/>
      <c r="AX390" s="2"/>
      <c r="AY390" s="2"/>
      <c r="AZ390" s="1"/>
    </row>
    <row x14ac:dyDescent="0.25" r="391" customHeight="1" ht="24.75">
      <c r="A391" s="1"/>
      <c r="B391" s="1"/>
      <c r="C391" s="1"/>
      <c r="D391" s="1"/>
      <c r="E391" s="1"/>
      <c r="F391" s="1"/>
      <c r="G391" s="1"/>
      <c r="H391" s="1"/>
      <c r="I391" s="1"/>
      <c r="J391" s="1"/>
      <c r="K391" s="17"/>
      <c r="L391" s="1"/>
      <c r="M391" s="1"/>
      <c r="N391" s="2"/>
      <c r="O391" s="2"/>
      <c r="P391" s="1"/>
      <c r="Q391" s="1"/>
      <c r="R391" s="1"/>
      <c r="S391" s="1"/>
      <c r="T391" s="40"/>
      <c r="U391" s="40"/>
      <c r="V391" s="40"/>
      <c r="W391" s="40"/>
      <c r="X391" s="22"/>
      <c r="Y391" s="22"/>
      <c r="Z391" s="22"/>
      <c r="AA391" s="22"/>
      <c r="AB391" s="22"/>
      <c r="AC391" s="22"/>
      <c r="AD391" s="22"/>
      <c r="AE391" s="22"/>
      <c r="AF391" s="22"/>
      <c r="AG391" s="22"/>
      <c r="AH391" s="22"/>
      <c r="AI391" s="22"/>
      <c r="AJ391" s="40"/>
      <c r="AK391" s="22"/>
      <c r="AL391" s="22"/>
      <c r="AM391" s="22"/>
      <c r="AN391" s="22"/>
      <c r="AO391" s="40"/>
      <c r="AP391" s="40"/>
      <c r="AQ391" s="40"/>
      <c r="AR391" s="1"/>
      <c r="AS391" s="1"/>
      <c r="AT391" s="17"/>
      <c r="AU391" s="1"/>
      <c r="AV391" s="1"/>
      <c r="AW391" s="1"/>
      <c r="AX391" s="2"/>
      <c r="AY391" s="2"/>
      <c r="AZ391" s="1"/>
    </row>
    <row x14ac:dyDescent="0.25" r="392" customHeight="1" ht="24.75">
      <c r="A392" s="1"/>
      <c r="B392" s="1"/>
      <c r="C392" s="1"/>
      <c r="D392" s="1"/>
      <c r="E392" s="1"/>
      <c r="F392" s="1"/>
      <c r="G392" s="1"/>
      <c r="H392" s="1"/>
      <c r="I392" s="1"/>
      <c r="J392" s="1"/>
      <c r="K392" s="17"/>
      <c r="L392" s="1"/>
      <c r="M392" s="1"/>
      <c r="N392" s="2"/>
      <c r="O392" s="2"/>
      <c r="P392" s="1"/>
      <c r="Q392" s="1"/>
      <c r="R392" s="1"/>
      <c r="S392" s="1"/>
      <c r="T392" s="40"/>
      <c r="U392" s="40"/>
      <c r="V392" s="40"/>
      <c r="W392" s="40"/>
      <c r="X392" s="22"/>
      <c r="Y392" s="22"/>
      <c r="Z392" s="22"/>
      <c r="AA392" s="22"/>
      <c r="AB392" s="22"/>
      <c r="AC392" s="22"/>
      <c r="AD392" s="22"/>
      <c r="AE392" s="22"/>
      <c r="AF392" s="22"/>
      <c r="AG392" s="22"/>
      <c r="AH392" s="22"/>
      <c r="AI392" s="22"/>
      <c r="AJ392" s="40"/>
      <c r="AK392" s="22"/>
      <c r="AL392" s="22"/>
      <c r="AM392" s="22"/>
      <c r="AN392" s="22"/>
      <c r="AO392" s="40"/>
      <c r="AP392" s="40"/>
      <c r="AQ392" s="40"/>
      <c r="AR392" s="1"/>
      <c r="AS392" s="1"/>
      <c r="AT392" s="17"/>
      <c r="AU392" s="1"/>
      <c r="AV392" s="1"/>
      <c r="AW392" s="1"/>
      <c r="AX392" s="2"/>
      <c r="AY392" s="2"/>
      <c r="AZ392" s="1"/>
    </row>
    <row x14ac:dyDescent="0.25" r="393" customHeight="1" ht="24.75">
      <c r="A393" s="1"/>
      <c r="B393" s="1"/>
      <c r="C393" s="1"/>
      <c r="D393" s="1"/>
      <c r="E393" s="1"/>
      <c r="F393" s="1"/>
      <c r="G393" s="1"/>
      <c r="H393" s="1"/>
      <c r="I393" s="1"/>
      <c r="J393" s="1"/>
      <c r="K393" s="17"/>
      <c r="L393" s="1"/>
      <c r="M393" s="1"/>
      <c r="N393" s="2"/>
      <c r="O393" s="2"/>
      <c r="P393" s="1"/>
      <c r="Q393" s="1"/>
      <c r="R393" s="1"/>
      <c r="S393" s="1"/>
      <c r="T393" s="40"/>
      <c r="U393" s="40"/>
      <c r="V393" s="40"/>
      <c r="W393" s="40"/>
      <c r="X393" s="22"/>
      <c r="Y393" s="22"/>
      <c r="Z393" s="22"/>
      <c r="AA393" s="22"/>
      <c r="AB393" s="22"/>
      <c r="AC393" s="22"/>
      <c r="AD393" s="22"/>
      <c r="AE393" s="22"/>
      <c r="AF393" s="22"/>
      <c r="AG393" s="22"/>
      <c r="AH393" s="22"/>
      <c r="AI393" s="22"/>
      <c r="AJ393" s="40"/>
      <c r="AK393" s="22"/>
      <c r="AL393" s="22"/>
      <c r="AM393" s="22"/>
      <c r="AN393" s="22"/>
      <c r="AO393" s="40"/>
      <c r="AP393" s="40"/>
      <c r="AQ393" s="40"/>
      <c r="AR393" s="1"/>
      <c r="AS393" s="1"/>
      <c r="AT393" s="17"/>
      <c r="AU393" s="1"/>
      <c r="AV393" s="1"/>
      <c r="AW393" s="1"/>
      <c r="AX393" s="2"/>
      <c r="AY393" s="2"/>
      <c r="AZ393" s="1"/>
    </row>
    <row x14ac:dyDescent="0.25" r="394" customHeight="1" ht="24.75">
      <c r="A394" s="1"/>
      <c r="B394" s="1"/>
      <c r="C394" s="1"/>
      <c r="D394" s="1"/>
      <c r="E394" s="1"/>
      <c r="F394" s="1"/>
      <c r="G394" s="1"/>
      <c r="H394" s="1"/>
      <c r="I394" s="1"/>
      <c r="J394" s="1"/>
      <c r="K394" s="17"/>
      <c r="L394" s="1"/>
      <c r="M394" s="1"/>
      <c r="N394" s="2"/>
      <c r="O394" s="2"/>
      <c r="P394" s="1"/>
      <c r="Q394" s="1"/>
      <c r="R394" s="1"/>
      <c r="S394" s="1"/>
      <c r="T394" s="40"/>
      <c r="U394" s="40"/>
      <c r="V394" s="40"/>
      <c r="W394" s="40"/>
      <c r="X394" s="22"/>
      <c r="Y394" s="22"/>
      <c r="Z394" s="22"/>
      <c r="AA394" s="22"/>
      <c r="AB394" s="22"/>
      <c r="AC394" s="22"/>
      <c r="AD394" s="22"/>
      <c r="AE394" s="22"/>
      <c r="AF394" s="22"/>
      <c r="AG394" s="22"/>
      <c r="AH394" s="22"/>
      <c r="AI394" s="22"/>
      <c r="AJ394" s="40"/>
      <c r="AK394" s="22"/>
      <c r="AL394" s="22"/>
      <c r="AM394" s="22"/>
      <c r="AN394" s="22"/>
      <c r="AO394" s="40"/>
      <c r="AP394" s="40"/>
      <c r="AQ394" s="40"/>
      <c r="AR394" s="1"/>
      <c r="AS394" s="1"/>
      <c r="AT394" s="17"/>
      <c r="AU394" s="1"/>
      <c r="AV394" s="1"/>
      <c r="AW394" s="1"/>
      <c r="AX394" s="2"/>
      <c r="AY394" s="2"/>
      <c r="AZ394" s="1"/>
    </row>
    <row x14ac:dyDescent="0.25" r="395" customHeight="1" ht="24.75">
      <c r="A395" s="1"/>
      <c r="B395" s="1"/>
      <c r="C395" s="1"/>
      <c r="D395" s="1"/>
      <c r="E395" s="1"/>
      <c r="F395" s="1"/>
      <c r="G395" s="1"/>
      <c r="H395" s="1"/>
      <c r="I395" s="1"/>
      <c r="J395" s="1"/>
      <c r="K395" s="17"/>
      <c r="L395" s="1"/>
      <c r="M395" s="1"/>
      <c r="N395" s="2"/>
      <c r="O395" s="2"/>
      <c r="P395" s="1"/>
      <c r="Q395" s="1"/>
      <c r="R395" s="1"/>
      <c r="S395" s="1"/>
      <c r="T395" s="40"/>
      <c r="U395" s="40"/>
      <c r="V395" s="40"/>
      <c r="W395" s="40"/>
      <c r="X395" s="22"/>
      <c r="Y395" s="22"/>
      <c r="Z395" s="22"/>
      <c r="AA395" s="22"/>
      <c r="AB395" s="22"/>
      <c r="AC395" s="22"/>
      <c r="AD395" s="22"/>
      <c r="AE395" s="22"/>
      <c r="AF395" s="22"/>
      <c r="AG395" s="22"/>
      <c r="AH395" s="22"/>
      <c r="AI395" s="22"/>
      <c r="AJ395" s="40"/>
      <c r="AK395" s="22"/>
      <c r="AL395" s="22"/>
      <c r="AM395" s="22"/>
      <c r="AN395" s="22"/>
      <c r="AO395" s="40"/>
      <c r="AP395" s="40"/>
      <c r="AQ395" s="40"/>
      <c r="AR395" s="1"/>
      <c r="AS395" s="1"/>
      <c r="AT395" s="17"/>
      <c r="AU395" s="1"/>
      <c r="AV395" s="1"/>
      <c r="AW395" s="1"/>
      <c r="AX395" s="2"/>
      <c r="AY395" s="2"/>
      <c r="AZ395" s="1"/>
    </row>
    <row x14ac:dyDescent="0.25" r="396" customHeight="1" ht="24.75">
      <c r="A396" s="1"/>
      <c r="B396" s="1"/>
      <c r="C396" s="1"/>
      <c r="D396" s="1"/>
      <c r="E396" s="1"/>
      <c r="F396" s="1"/>
      <c r="G396" s="1"/>
      <c r="H396" s="1"/>
      <c r="I396" s="1"/>
      <c r="J396" s="1"/>
      <c r="K396" s="17"/>
      <c r="L396" s="1"/>
      <c r="M396" s="1"/>
      <c r="N396" s="2"/>
      <c r="O396" s="2"/>
      <c r="P396" s="1"/>
      <c r="Q396" s="1"/>
      <c r="R396" s="1"/>
      <c r="S396" s="1"/>
      <c r="T396" s="40"/>
      <c r="U396" s="40"/>
      <c r="V396" s="40"/>
      <c r="W396" s="40"/>
      <c r="X396" s="22"/>
      <c r="Y396" s="22"/>
      <c r="Z396" s="22"/>
      <c r="AA396" s="22"/>
      <c r="AB396" s="22"/>
      <c r="AC396" s="22"/>
      <c r="AD396" s="22"/>
      <c r="AE396" s="22"/>
      <c r="AF396" s="22"/>
      <c r="AG396" s="22"/>
      <c r="AH396" s="22"/>
      <c r="AI396" s="22"/>
      <c r="AJ396" s="40"/>
      <c r="AK396" s="22"/>
      <c r="AL396" s="22"/>
      <c r="AM396" s="22"/>
      <c r="AN396" s="22"/>
      <c r="AO396" s="40"/>
      <c r="AP396" s="40"/>
      <c r="AQ396" s="40"/>
      <c r="AR396" s="1"/>
      <c r="AS396" s="1"/>
      <c r="AT396" s="17"/>
      <c r="AU396" s="1"/>
      <c r="AV396" s="1"/>
      <c r="AW396" s="1"/>
      <c r="AX396" s="2"/>
      <c r="AY396" s="2"/>
      <c r="AZ396" s="1"/>
    </row>
    <row x14ac:dyDescent="0.25" r="397" customHeight="1" ht="24.75">
      <c r="A397" s="1"/>
      <c r="B397" s="1"/>
      <c r="C397" s="1"/>
      <c r="D397" s="1"/>
      <c r="E397" s="1"/>
      <c r="F397" s="1"/>
      <c r="G397" s="1"/>
      <c r="H397" s="1"/>
      <c r="I397" s="1"/>
      <c r="J397" s="1"/>
      <c r="K397" s="17"/>
      <c r="L397" s="1"/>
      <c r="M397" s="1"/>
      <c r="N397" s="2"/>
      <c r="O397" s="2"/>
      <c r="P397" s="1"/>
      <c r="Q397" s="1"/>
      <c r="R397" s="1"/>
      <c r="S397" s="1"/>
      <c r="T397" s="40"/>
      <c r="U397" s="40"/>
      <c r="V397" s="40"/>
      <c r="W397" s="40"/>
      <c r="X397" s="22"/>
      <c r="Y397" s="22"/>
      <c r="Z397" s="22"/>
      <c r="AA397" s="22"/>
      <c r="AB397" s="22"/>
      <c r="AC397" s="22"/>
      <c r="AD397" s="22"/>
      <c r="AE397" s="22"/>
      <c r="AF397" s="22"/>
      <c r="AG397" s="22"/>
      <c r="AH397" s="22"/>
      <c r="AI397" s="22"/>
      <c r="AJ397" s="40"/>
      <c r="AK397" s="22"/>
      <c r="AL397" s="22"/>
      <c r="AM397" s="22"/>
      <c r="AN397" s="22"/>
      <c r="AO397" s="40"/>
      <c r="AP397" s="40"/>
      <c r="AQ397" s="40"/>
      <c r="AR397" s="1"/>
      <c r="AS397" s="1"/>
      <c r="AT397" s="17"/>
      <c r="AU397" s="1"/>
      <c r="AV397" s="1"/>
      <c r="AW397" s="1"/>
      <c r="AX397" s="2"/>
      <c r="AY397" s="2"/>
      <c r="AZ397" s="1"/>
    </row>
    <row x14ac:dyDescent="0.25" r="398" customHeight="1" ht="24.75">
      <c r="A398" s="1"/>
      <c r="B398" s="1"/>
      <c r="C398" s="1"/>
      <c r="D398" s="1"/>
      <c r="E398" s="1"/>
      <c r="F398" s="1"/>
      <c r="G398" s="1"/>
      <c r="H398" s="1"/>
      <c r="I398" s="1"/>
      <c r="J398" s="1"/>
      <c r="K398" s="17"/>
      <c r="L398" s="1"/>
      <c r="M398" s="1"/>
      <c r="N398" s="2"/>
      <c r="O398" s="2"/>
      <c r="P398" s="1"/>
      <c r="Q398" s="1"/>
      <c r="R398" s="1"/>
      <c r="S398" s="1"/>
      <c r="T398" s="40"/>
      <c r="U398" s="40"/>
      <c r="V398" s="40"/>
      <c r="W398" s="40"/>
      <c r="X398" s="22"/>
      <c r="Y398" s="22"/>
      <c r="Z398" s="22"/>
      <c r="AA398" s="22"/>
      <c r="AB398" s="22"/>
      <c r="AC398" s="22"/>
      <c r="AD398" s="22"/>
      <c r="AE398" s="22"/>
      <c r="AF398" s="22"/>
      <c r="AG398" s="22"/>
      <c r="AH398" s="22"/>
      <c r="AI398" s="22"/>
      <c r="AJ398" s="40"/>
      <c r="AK398" s="22"/>
      <c r="AL398" s="22"/>
      <c r="AM398" s="22"/>
      <c r="AN398" s="22"/>
      <c r="AO398" s="40"/>
      <c r="AP398" s="40"/>
      <c r="AQ398" s="40"/>
      <c r="AR398" s="1"/>
      <c r="AS398" s="1"/>
      <c r="AT398" s="17"/>
      <c r="AU398" s="1"/>
      <c r="AV398" s="1"/>
      <c r="AW398" s="1"/>
      <c r="AX398" s="2"/>
      <c r="AY398" s="2"/>
      <c r="AZ398" s="1"/>
    </row>
    <row x14ac:dyDescent="0.25" r="399" customHeight="1" ht="24.75">
      <c r="A399" s="1"/>
      <c r="B399" s="1"/>
      <c r="C399" s="1"/>
      <c r="D399" s="1"/>
      <c r="E399" s="1"/>
      <c r="F399" s="1"/>
      <c r="G399" s="1"/>
      <c r="H399" s="1"/>
      <c r="I399" s="1"/>
      <c r="J399" s="1"/>
      <c r="K399" s="17"/>
      <c r="L399" s="1"/>
      <c r="M399" s="1"/>
      <c r="N399" s="2"/>
      <c r="O399" s="2"/>
      <c r="P399" s="1"/>
      <c r="Q399" s="1"/>
      <c r="R399" s="1"/>
      <c r="S399" s="1"/>
      <c r="T399" s="40"/>
      <c r="U399" s="40"/>
      <c r="V399" s="40"/>
      <c r="W399" s="40"/>
      <c r="X399" s="22"/>
      <c r="Y399" s="22"/>
      <c r="Z399" s="22"/>
      <c r="AA399" s="22"/>
      <c r="AB399" s="22"/>
      <c r="AC399" s="22"/>
      <c r="AD399" s="22"/>
      <c r="AE399" s="22"/>
      <c r="AF399" s="22"/>
      <c r="AG399" s="22"/>
      <c r="AH399" s="22"/>
      <c r="AI399" s="22"/>
      <c r="AJ399" s="40"/>
      <c r="AK399" s="22"/>
      <c r="AL399" s="22"/>
      <c r="AM399" s="22"/>
      <c r="AN399" s="22"/>
      <c r="AO399" s="40"/>
      <c r="AP399" s="40"/>
      <c r="AQ399" s="40"/>
      <c r="AR399" s="1"/>
      <c r="AS399" s="1"/>
      <c r="AT399" s="17"/>
      <c r="AU399" s="1"/>
      <c r="AV399" s="1"/>
      <c r="AW399" s="1"/>
      <c r="AX399" s="2"/>
      <c r="AY399" s="2"/>
      <c r="AZ399" s="1"/>
    </row>
    <row x14ac:dyDescent="0.25" r="400" customHeight="1" ht="24.75">
      <c r="A400" s="1"/>
      <c r="B400" s="1"/>
      <c r="C400" s="1"/>
      <c r="D400" s="1"/>
      <c r="E400" s="1"/>
      <c r="F400" s="1"/>
      <c r="G400" s="1"/>
      <c r="H400" s="1"/>
      <c r="I400" s="1"/>
      <c r="J400" s="1"/>
      <c r="K400" s="17"/>
      <c r="L400" s="1"/>
      <c r="M400" s="1"/>
      <c r="N400" s="2"/>
      <c r="O400" s="2"/>
      <c r="P400" s="1"/>
      <c r="Q400" s="1"/>
      <c r="R400" s="1"/>
      <c r="S400" s="1"/>
      <c r="T400" s="40"/>
      <c r="U400" s="40"/>
      <c r="V400" s="40"/>
      <c r="W400" s="40"/>
      <c r="X400" s="22"/>
      <c r="Y400" s="22"/>
      <c r="Z400" s="22"/>
      <c r="AA400" s="22"/>
      <c r="AB400" s="22"/>
      <c r="AC400" s="22"/>
      <c r="AD400" s="22"/>
      <c r="AE400" s="22"/>
      <c r="AF400" s="22"/>
      <c r="AG400" s="22"/>
      <c r="AH400" s="22"/>
      <c r="AI400" s="22"/>
      <c r="AJ400" s="40"/>
      <c r="AK400" s="22"/>
      <c r="AL400" s="22"/>
      <c r="AM400" s="22"/>
      <c r="AN400" s="22"/>
      <c r="AO400" s="40"/>
      <c r="AP400" s="40"/>
      <c r="AQ400" s="40"/>
      <c r="AR400" s="1"/>
      <c r="AS400" s="1"/>
      <c r="AT400" s="17"/>
      <c r="AU400" s="1"/>
      <c r="AV400" s="1"/>
      <c r="AW400" s="1"/>
      <c r="AX400" s="2"/>
      <c r="AY400" s="2"/>
      <c r="AZ400" s="1"/>
    </row>
    <row x14ac:dyDescent="0.25" r="401" customHeight="1" ht="24.75">
      <c r="A401" s="1"/>
      <c r="B401" s="1"/>
      <c r="C401" s="1"/>
      <c r="D401" s="1"/>
      <c r="E401" s="1"/>
      <c r="F401" s="1"/>
      <c r="G401" s="1"/>
      <c r="H401" s="1"/>
      <c r="I401" s="1"/>
      <c r="J401" s="1"/>
      <c r="K401" s="17"/>
      <c r="L401" s="1"/>
      <c r="M401" s="1"/>
      <c r="N401" s="2"/>
      <c r="O401" s="2"/>
      <c r="P401" s="1"/>
      <c r="Q401" s="1"/>
      <c r="R401" s="1"/>
      <c r="S401" s="1"/>
      <c r="T401" s="40"/>
      <c r="U401" s="40"/>
      <c r="V401" s="40"/>
      <c r="W401" s="40"/>
      <c r="X401" s="22"/>
      <c r="Y401" s="22"/>
      <c r="Z401" s="22"/>
      <c r="AA401" s="22"/>
      <c r="AB401" s="22"/>
      <c r="AC401" s="22"/>
      <c r="AD401" s="22"/>
      <c r="AE401" s="22"/>
      <c r="AF401" s="22"/>
      <c r="AG401" s="22"/>
      <c r="AH401" s="22"/>
      <c r="AI401" s="22"/>
      <c r="AJ401" s="40"/>
      <c r="AK401" s="22"/>
      <c r="AL401" s="22"/>
      <c r="AM401" s="22"/>
      <c r="AN401" s="22"/>
      <c r="AO401" s="40"/>
      <c r="AP401" s="40"/>
      <c r="AQ401" s="40"/>
      <c r="AR401" s="1"/>
      <c r="AS401" s="1"/>
      <c r="AT401" s="17"/>
      <c r="AU401" s="1"/>
      <c r="AV401" s="1"/>
      <c r="AW401" s="1"/>
      <c r="AX401" s="2"/>
      <c r="AY401" s="2"/>
      <c r="AZ401" s="1"/>
    </row>
    <row x14ac:dyDescent="0.25" r="402" customHeight="1" ht="24.75">
      <c r="A402" s="1"/>
      <c r="B402" s="1"/>
      <c r="C402" s="1"/>
      <c r="D402" s="1"/>
      <c r="E402" s="1"/>
      <c r="F402" s="1"/>
      <c r="G402" s="1"/>
      <c r="H402" s="1"/>
      <c r="I402" s="1"/>
      <c r="J402" s="1"/>
      <c r="K402" s="17"/>
      <c r="L402" s="1"/>
      <c r="M402" s="1"/>
      <c r="N402" s="2"/>
      <c r="O402" s="2"/>
      <c r="P402" s="1"/>
      <c r="Q402" s="1"/>
      <c r="R402" s="1"/>
      <c r="S402" s="1"/>
      <c r="T402" s="40"/>
      <c r="U402" s="40"/>
      <c r="V402" s="40"/>
      <c r="W402" s="40"/>
      <c r="X402" s="22"/>
      <c r="Y402" s="22"/>
      <c r="Z402" s="22"/>
      <c r="AA402" s="22"/>
      <c r="AB402" s="22"/>
      <c r="AC402" s="22"/>
      <c r="AD402" s="22"/>
      <c r="AE402" s="22"/>
      <c r="AF402" s="22"/>
      <c r="AG402" s="22"/>
      <c r="AH402" s="22"/>
      <c r="AI402" s="22"/>
      <c r="AJ402" s="40"/>
      <c r="AK402" s="22"/>
      <c r="AL402" s="22"/>
      <c r="AM402" s="22"/>
      <c r="AN402" s="22"/>
      <c r="AO402" s="40"/>
      <c r="AP402" s="40"/>
      <c r="AQ402" s="40"/>
      <c r="AR402" s="1"/>
      <c r="AS402" s="1"/>
      <c r="AT402" s="17"/>
      <c r="AU402" s="1"/>
      <c r="AV402" s="1"/>
      <c r="AW402" s="1"/>
      <c r="AX402" s="2"/>
      <c r="AY402" s="2"/>
      <c r="AZ402" s="1"/>
    </row>
    <row x14ac:dyDescent="0.25" r="403" customHeight="1" ht="24.75">
      <c r="A403" s="1"/>
      <c r="B403" s="1"/>
      <c r="C403" s="1"/>
      <c r="D403" s="1"/>
      <c r="E403" s="1"/>
      <c r="F403" s="1"/>
      <c r="G403" s="1"/>
      <c r="H403" s="1"/>
      <c r="I403" s="1"/>
      <c r="J403" s="1"/>
      <c r="K403" s="17"/>
      <c r="L403" s="1"/>
      <c r="M403" s="1"/>
      <c r="N403" s="2"/>
      <c r="O403" s="2"/>
      <c r="P403" s="1"/>
      <c r="Q403" s="1"/>
      <c r="R403" s="1"/>
      <c r="S403" s="1"/>
      <c r="T403" s="40"/>
      <c r="U403" s="40"/>
      <c r="V403" s="40"/>
      <c r="W403" s="40"/>
      <c r="X403" s="22"/>
      <c r="Y403" s="22"/>
      <c r="Z403" s="22"/>
      <c r="AA403" s="22"/>
      <c r="AB403" s="22"/>
      <c r="AC403" s="22"/>
      <c r="AD403" s="22"/>
      <c r="AE403" s="22"/>
      <c r="AF403" s="22"/>
      <c r="AG403" s="22"/>
      <c r="AH403" s="22"/>
      <c r="AI403" s="22"/>
      <c r="AJ403" s="40"/>
      <c r="AK403" s="22"/>
      <c r="AL403" s="22"/>
      <c r="AM403" s="22"/>
      <c r="AN403" s="22"/>
      <c r="AO403" s="40"/>
      <c r="AP403" s="40"/>
      <c r="AQ403" s="40"/>
      <c r="AR403" s="1"/>
      <c r="AS403" s="1"/>
      <c r="AT403" s="17"/>
      <c r="AU403" s="1"/>
      <c r="AV403" s="1"/>
      <c r="AW403" s="1"/>
      <c r="AX403" s="2"/>
      <c r="AY403" s="2"/>
      <c r="AZ403" s="1"/>
    </row>
    <row x14ac:dyDescent="0.25" r="404" customHeight="1" ht="24.75">
      <c r="A404" s="1"/>
      <c r="B404" s="1"/>
      <c r="C404" s="1"/>
      <c r="D404" s="1"/>
      <c r="E404" s="1"/>
      <c r="F404" s="1"/>
      <c r="G404" s="1"/>
      <c r="H404" s="1"/>
      <c r="I404" s="1"/>
      <c r="J404" s="1"/>
      <c r="K404" s="17"/>
      <c r="L404" s="1"/>
      <c r="M404" s="1"/>
      <c r="N404" s="2"/>
      <c r="O404" s="2"/>
      <c r="P404" s="1"/>
      <c r="Q404" s="1"/>
      <c r="R404" s="1"/>
      <c r="S404" s="1"/>
      <c r="T404" s="40"/>
      <c r="U404" s="40"/>
      <c r="V404" s="40"/>
      <c r="W404" s="40"/>
      <c r="X404" s="22"/>
      <c r="Y404" s="22"/>
      <c r="Z404" s="22"/>
      <c r="AA404" s="22"/>
      <c r="AB404" s="22"/>
      <c r="AC404" s="22"/>
      <c r="AD404" s="22"/>
      <c r="AE404" s="22"/>
      <c r="AF404" s="22"/>
      <c r="AG404" s="22"/>
      <c r="AH404" s="22"/>
      <c r="AI404" s="22"/>
      <c r="AJ404" s="40"/>
      <c r="AK404" s="22"/>
      <c r="AL404" s="22"/>
      <c r="AM404" s="22"/>
      <c r="AN404" s="22"/>
      <c r="AO404" s="40"/>
      <c r="AP404" s="40"/>
      <c r="AQ404" s="40"/>
      <c r="AR404" s="1"/>
      <c r="AS404" s="1"/>
      <c r="AT404" s="17"/>
      <c r="AU404" s="1"/>
      <c r="AV404" s="1"/>
      <c r="AW404" s="1"/>
      <c r="AX404" s="2"/>
      <c r="AY404" s="2"/>
      <c r="AZ404" s="1"/>
    </row>
    <row x14ac:dyDescent="0.25" r="405" customHeight="1" ht="24.75">
      <c r="A405" s="1"/>
      <c r="B405" s="1"/>
      <c r="C405" s="1"/>
      <c r="D405" s="1"/>
      <c r="E405" s="1"/>
      <c r="F405" s="1"/>
      <c r="G405" s="1"/>
      <c r="H405" s="1"/>
      <c r="I405" s="1"/>
      <c r="J405" s="1"/>
      <c r="K405" s="17"/>
      <c r="L405" s="1"/>
      <c r="M405" s="1"/>
      <c r="N405" s="2"/>
      <c r="O405" s="2"/>
      <c r="P405" s="1"/>
      <c r="Q405" s="1"/>
      <c r="R405" s="1"/>
      <c r="S405" s="1"/>
      <c r="T405" s="40"/>
      <c r="U405" s="40"/>
      <c r="V405" s="40"/>
      <c r="W405" s="40"/>
      <c r="X405" s="22"/>
      <c r="Y405" s="22"/>
      <c r="Z405" s="22"/>
      <c r="AA405" s="22"/>
      <c r="AB405" s="22"/>
      <c r="AC405" s="22"/>
      <c r="AD405" s="22"/>
      <c r="AE405" s="22"/>
      <c r="AF405" s="22"/>
      <c r="AG405" s="22"/>
      <c r="AH405" s="22"/>
      <c r="AI405" s="22"/>
      <c r="AJ405" s="40"/>
      <c r="AK405" s="22"/>
      <c r="AL405" s="22"/>
      <c r="AM405" s="22"/>
      <c r="AN405" s="22"/>
      <c r="AO405" s="40"/>
      <c r="AP405" s="40"/>
      <c r="AQ405" s="40"/>
      <c r="AR405" s="1"/>
      <c r="AS405" s="1"/>
      <c r="AT405" s="17"/>
      <c r="AU405" s="1"/>
      <c r="AV405" s="1"/>
      <c r="AW405" s="1"/>
      <c r="AX405" s="2"/>
      <c r="AY405" s="2"/>
      <c r="AZ405" s="1"/>
    </row>
    <row x14ac:dyDescent="0.25" r="406" customHeight="1" ht="24.75">
      <c r="A406" s="1"/>
      <c r="B406" s="1"/>
      <c r="C406" s="1"/>
      <c r="D406" s="1"/>
      <c r="E406" s="1"/>
      <c r="F406" s="1"/>
      <c r="G406" s="1"/>
      <c r="H406" s="1"/>
      <c r="I406" s="1"/>
      <c r="J406" s="1"/>
      <c r="K406" s="17"/>
      <c r="L406" s="1"/>
      <c r="M406" s="1"/>
      <c r="N406" s="2"/>
      <c r="O406" s="2"/>
      <c r="P406" s="1"/>
      <c r="Q406" s="1"/>
      <c r="R406" s="1"/>
      <c r="S406" s="1"/>
      <c r="T406" s="40"/>
      <c r="U406" s="40"/>
      <c r="V406" s="40"/>
      <c r="W406" s="40"/>
      <c r="X406" s="22"/>
      <c r="Y406" s="22"/>
      <c r="Z406" s="22"/>
      <c r="AA406" s="22"/>
      <c r="AB406" s="22"/>
      <c r="AC406" s="22"/>
      <c r="AD406" s="22"/>
      <c r="AE406" s="22"/>
      <c r="AF406" s="22"/>
      <c r="AG406" s="22"/>
      <c r="AH406" s="22"/>
      <c r="AI406" s="22"/>
      <c r="AJ406" s="40"/>
      <c r="AK406" s="22"/>
      <c r="AL406" s="22"/>
      <c r="AM406" s="22"/>
      <c r="AN406" s="22"/>
      <c r="AO406" s="40"/>
      <c r="AP406" s="40"/>
      <c r="AQ406" s="40"/>
      <c r="AR406" s="1"/>
      <c r="AS406" s="1"/>
      <c r="AT406" s="17"/>
      <c r="AU406" s="1"/>
      <c r="AV406" s="1"/>
      <c r="AW406" s="1"/>
      <c r="AX406" s="2"/>
      <c r="AY406" s="2"/>
      <c r="AZ406" s="1"/>
    </row>
    <row x14ac:dyDescent="0.25" r="407" customHeight="1" ht="24.75">
      <c r="A407" s="1"/>
      <c r="B407" s="1"/>
      <c r="C407" s="1"/>
      <c r="D407" s="1"/>
      <c r="E407" s="1"/>
      <c r="F407" s="1"/>
      <c r="G407" s="1"/>
      <c r="H407" s="1"/>
      <c r="I407" s="1"/>
      <c r="J407" s="1"/>
      <c r="K407" s="17"/>
      <c r="L407" s="1"/>
      <c r="M407" s="1"/>
      <c r="N407" s="2"/>
      <c r="O407" s="2"/>
      <c r="P407" s="1"/>
      <c r="Q407" s="1"/>
      <c r="R407" s="1"/>
      <c r="S407" s="1"/>
      <c r="T407" s="40"/>
      <c r="U407" s="40"/>
      <c r="V407" s="40"/>
      <c r="W407" s="40"/>
      <c r="X407" s="22"/>
      <c r="Y407" s="22"/>
      <c r="Z407" s="22"/>
      <c r="AA407" s="22"/>
      <c r="AB407" s="22"/>
      <c r="AC407" s="22"/>
      <c r="AD407" s="22"/>
      <c r="AE407" s="22"/>
      <c r="AF407" s="22"/>
      <c r="AG407" s="22"/>
      <c r="AH407" s="22"/>
      <c r="AI407" s="22"/>
      <c r="AJ407" s="40"/>
      <c r="AK407" s="22"/>
      <c r="AL407" s="22"/>
      <c r="AM407" s="22"/>
      <c r="AN407" s="22"/>
      <c r="AO407" s="40"/>
      <c r="AP407" s="40"/>
      <c r="AQ407" s="40"/>
      <c r="AR407" s="1"/>
      <c r="AS407" s="1"/>
      <c r="AT407" s="17"/>
      <c r="AU407" s="1"/>
      <c r="AV407" s="1"/>
      <c r="AW407" s="1"/>
      <c r="AX407" s="2"/>
      <c r="AY407" s="2"/>
      <c r="AZ407" s="1"/>
    </row>
    <row x14ac:dyDescent="0.25" r="408" customHeight="1" ht="24.75">
      <c r="A408" s="1"/>
      <c r="B408" s="1"/>
      <c r="C408" s="1"/>
      <c r="D408" s="1"/>
      <c r="E408" s="1"/>
      <c r="F408" s="1"/>
      <c r="G408" s="1"/>
      <c r="H408" s="1"/>
      <c r="I408" s="1"/>
      <c r="J408" s="1"/>
      <c r="K408" s="17"/>
      <c r="L408" s="1"/>
      <c r="M408" s="1"/>
      <c r="N408" s="2"/>
      <c r="O408" s="2"/>
      <c r="P408" s="1"/>
      <c r="Q408" s="1"/>
      <c r="R408" s="1"/>
      <c r="S408" s="1"/>
      <c r="T408" s="40"/>
      <c r="U408" s="40"/>
      <c r="V408" s="40"/>
      <c r="W408" s="40"/>
      <c r="X408" s="22"/>
      <c r="Y408" s="22"/>
      <c r="Z408" s="22"/>
      <c r="AA408" s="22"/>
      <c r="AB408" s="22"/>
      <c r="AC408" s="22"/>
      <c r="AD408" s="22"/>
      <c r="AE408" s="22"/>
      <c r="AF408" s="22"/>
      <c r="AG408" s="22"/>
      <c r="AH408" s="22"/>
      <c r="AI408" s="22"/>
      <c r="AJ408" s="40"/>
      <c r="AK408" s="22"/>
      <c r="AL408" s="22"/>
      <c r="AM408" s="22"/>
      <c r="AN408" s="22"/>
      <c r="AO408" s="40"/>
      <c r="AP408" s="40"/>
      <c r="AQ408" s="40"/>
      <c r="AR408" s="1"/>
      <c r="AS408" s="1"/>
      <c r="AT408" s="17"/>
      <c r="AU408" s="1"/>
      <c r="AV408" s="1"/>
      <c r="AW408" s="1"/>
      <c r="AX408" s="2"/>
      <c r="AY408" s="2"/>
      <c r="AZ408" s="1"/>
    </row>
    <row x14ac:dyDescent="0.25" r="409" customHeight="1" ht="24.75">
      <c r="A409" s="1"/>
      <c r="B409" s="1"/>
      <c r="C409" s="1"/>
      <c r="D409" s="1"/>
      <c r="E409" s="1"/>
      <c r="F409" s="1"/>
      <c r="G409" s="1"/>
      <c r="H409" s="1"/>
      <c r="I409" s="1"/>
      <c r="J409" s="1"/>
      <c r="K409" s="17"/>
      <c r="L409" s="1"/>
      <c r="M409" s="1"/>
      <c r="N409" s="2"/>
      <c r="O409" s="2"/>
      <c r="P409" s="1"/>
      <c r="Q409" s="1"/>
      <c r="R409" s="1"/>
      <c r="S409" s="1"/>
      <c r="T409" s="40"/>
      <c r="U409" s="40"/>
      <c r="V409" s="40"/>
      <c r="W409" s="40"/>
      <c r="X409" s="22"/>
      <c r="Y409" s="22"/>
      <c r="Z409" s="22"/>
      <c r="AA409" s="22"/>
      <c r="AB409" s="22"/>
      <c r="AC409" s="22"/>
      <c r="AD409" s="22"/>
      <c r="AE409" s="22"/>
      <c r="AF409" s="22"/>
      <c r="AG409" s="22"/>
      <c r="AH409" s="22"/>
      <c r="AI409" s="22"/>
      <c r="AJ409" s="40"/>
      <c r="AK409" s="22"/>
      <c r="AL409" s="22"/>
      <c r="AM409" s="22"/>
      <c r="AN409" s="22"/>
      <c r="AO409" s="40"/>
      <c r="AP409" s="40"/>
      <c r="AQ409" s="40"/>
      <c r="AR409" s="1"/>
      <c r="AS409" s="1"/>
      <c r="AT409" s="17"/>
      <c r="AU409" s="1"/>
      <c r="AV409" s="1"/>
      <c r="AW409" s="1"/>
      <c r="AX409" s="2"/>
      <c r="AY409" s="2"/>
      <c r="AZ409" s="1"/>
    </row>
    <row x14ac:dyDescent="0.25" r="410" customHeight="1" ht="24.75">
      <c r="A410" s="1"/>
      <c r="B410" s="1"/>
      <c r="C410" s="1"/>
      <c r="D410" s="1"/>
      <c r="E410" s="1"/>
      <c r="F410" s="1"/>
      <c r="G410" s="1"/>
      <c r="H410" s="1"/>
      <c r="I410" s="1"/>
      <c r="J410" s="1"/>
      <c r="K410" s="17"/>
      <c r="L410" s="1"/>
      <c r="M410" s="1"/>
      <c r="N410" s="2"/>
      <c r="O410" s="2"/>
      <c r="P410" s="1"/>
      <c r="Q410" s="1"/>
      <c r="R410" s="1"/>
      <c r="S410" s="1"/>
      <c r="T410" s="40"/>
      <c r="U410" s="40"/>
      <c r="V410" s="40"/>
      <c r="W410" s="40"/>
      <c r="X410" s="22"/>
      <c r="Y410" s="22"/>
      <c r="Z410" s="22"/>
      <c r="AA410" s="22"/>
      <c r="AB410" s="22"/>
      <c r="AC410" s="22"/>
      <c r="AD410" s="22"/>
      <c r="AE410" s="22"/>
      <c r="AF410" s="22"/>
      <c r="AG410" s="22"/>
      <c r="AH410" s="22"/>
      <c r="AI410" s="22"/>
      <c r="AJ410" s="40"/>
      <c r="AK410" s="22"/>
      <c r="AL410" s="22"/>
      <c r="AM410" s="22"/>
      <c r="AN410" s="22"/>
      <c r="AO410" s="40"/>
      <c r="AP410" s="40"/>
      <c r="AQ410" s="40"/>
      <c r="AR410" s="1"/>
      <c r="AS410" s="1"/>
      <c r="AT410" s="17"/>
      <c r="AU410" s="1"/>
      <c r="AV410" s="1"/>
      <c r="AW410" s="1"/>
      <c r="AX410" s="2"/>
      <c r="AY410" s="2"/>
      <c r="AZ410" s="1"/>
    </row>
    <row x14ac:dyDescent="0.25" r="411" customHeight="1" ht="24.75">
      <c r="A411" s="1"/>
      <c r="B411" s="1"/>
      <c r="C411" s="1"/>
      <c r="D411" s="1"/>
      <c r="E411" s="1"/>
      <c r="F411" s="1"/>
      <c r="G411" s="1"/>
      <c r="H411" s="1"/>
      <c r="I411" s="1"/>
      <c r="J411" s="1"/>
      <c r="K411" s="17"/>
      <c r="L411" s="1"/>
      <c r="M411" s="1"/>
      <c r="N411" s="2"/>
      <c r="O411" s="2"/>
      <c r="P411" s="1"/>
      <c r="Q411" s="1"/>
      <c r="R411" s="1"/>
      <c r="S411" s="1"/>
      <c r="T411" s="40"/>
      <c r="U411" s="40"/>
      <c r="V411" s="40"/>
      <c r="W411" s="40"/>
      <c r="X411" s="22"/>
      <c r="Y411" s="22"/>
      <c r="Z411" s="22"/>
      <c r="AA411" s="22"/>
      <c r="AB411" s="22"/>
      <c r="AC411" s="22"/>
      <c r="AD411" s="22"/>
      <c r="AE411" s="22"/>
      <c r="AF411" s="22"/>
      <c r="AG411" s="22"/>
      <c r="AH411" s="22"/>
      <c r="AI411" s="22"/>
      <c r="AJ411" s="40"/>
      <c r="AK411" s="22"/>
      <c r="AL411" s="22"/>
      <c r="AM411" s="22"/>
      <c r="AN411" s="22"/>
      <c r="AO411" s="40"/>
      <c r="AP411" s="40"/>
      <c r="AQ411" s="40"/>
      <c r="AR411" s="1"/>
      <c r="AS411" s="1"/>
      <c r="AT411" s="17"/>
      <c r="AU411" s="1"/>
      <c r="AV411" s="1"/>
      <c r="AW411" s="1"/>
      <c r="AX411" s="2"/>
      <c r="AY411" s="2"/>
      <c r="AZ411" s="1"/>
    </row>
    <row x14ac:dyDescent="0.25" r="412" customHeight="1" ht="24.75">
      <c r="A412" s="1"/>
      <c r="B412" s="1"/>
      <c r="C412" s="1"/>
      <c r="D412" s="1"/>
      <c r="E412" s="1"/>
      <c r="F412" s="1"/>
      <c r="G412" s="1"/>
      <c r="H412" s="1"/>
      <c r="I412" s="1"/>
      <c r="J412" s="1"/>
      <c r="K412" s="17"/>
      <c r="L412" s="1"/>
      <c r="M412" s="1"/>
      <c r="N412" s="2"/>
      <c r="O412" s="2"/>
      <c r="P412" s="1"/>
      <c r="Q412" s="1"/>
      <c r="R412" s="1"/>
      <c r="S412" s="1"/>
      <c r="T412" s="40"/>
      <c r="U412" s="40"/>
      <c r="V412" s="40"/>
      <c r="W412" s="40"/>
      <c r="X412" s="22"/>
      <c r="Y412" s="22"/>
      <c r="Z412" s="22"/>
      <c r="AA412" s="22"/>
      <c r="AB412" s="22"/>
      <c r="AC412" s="22"/>
      <c r="AD412" s="22"/>
      <c r="AE412" s="22"/>
      <c r="AF412" s="22"/>
      <c r="AG412" s="22"/>
      <c r="AH412" s="22"/>
      <c r="AI412" s="22"/>
      <c r="AJ412" s="40"/>
      <c r="AK412" s="22"/>
      <c r="AL412" s="22"/>
      <c r="AM412" s="22"/>
      <c r="AN412" s="22"/>
      <c r="AO412" s="40"/>
      <c r="AP412" s="40"/>
      <c r="AQ412" s="40"/>
      <c r="AR412" s="1"/>
      <c r="AS412" s="1"/>
      <c r="AT412" s="17"/>
      <c r="AU412" s="1"/>
      <c r="AV412" s="1"/>
      <c r="AW412" s="1"/>
      <c r="AX412" s="2"/>
      <c r="AY412" s="2"/>
      <c r="AZ412" s="1"/>
    </row>
    <row x14ac:dyDescent="0.25" r="413" customHeight="1" ht="24.75">
      <c r="A413" s="1"/>
      <c r="B413" s="1"/>
      <c r="C413" s="1"/>
      <c r="D413" s="1"/>
      <c r="E413" s="1"/>
      <c r="F413" s="1"/>
      <c r="G413" s="1"/>
      <c r="H413" s="1"/>
      <c r="I413" s="1"/>
      <c r="J413" s="1"/>
      <c r="K413" s="17"/>
      <c r="L413" s="1"/>
      <c r="M413" s="1"/>
      <c r="N413" s="2"/>
      <c r="O413" s="2"/>
      <c r="P413" s="1"/>
      <c r="Q413" s="1"/>
      <c r="R413" s="1"/>
      <c r="S413" s="1"/>
      <c r="T413" s="40"/>
      <c r="U413" s="40"/>
      <c r="V413" s="40"/>
      <c r="W413" s="40"/>
      <c r="X413" s="22"/>
      <c r="Y413" s="22"/>
      <c r="Z413" s="22"/>
      <c r="AA413" s="22"/>
      <c r="AB413" s="22"/>
      <c r="AC413" s="22"/>
      <c r="AD413" s="22"/>
      <c r="AE413" s="22"/>
      <c r="AF413" s="22"/>
      <c r="AG413" s="22"/>
      <c r="AH413" s="22"/>
      <c r="AI413" s="22"/>
      <c r="AJ413" s="40"/>
      <c r="AK413" s="22"/>
      <c r="AL413" s="22"/>
      <c r="AM413" s="22"/>
      <c r="AN413" s="22"/>
      <c r="AO413" s="40"/>
      <c r="AP413" s="40"/>
      <c r="AQ413" s="40"/>
      <c r="AR413" s="1"/>
      <c r="AS413" s="1"/>
      <c r="AT413" s="17"/>
      <c r="AU413" s="1"/>
      <c r="AV413" s="1"/>
      <c r="AW413" s="1"/>
      <c r="AX413" s="2"/>
      <c r="AY413" s="2"/>
      <c r="AZ413" s="1"/>
    </row>
    <row x14ac:dyDescent="0.25" r="414" customHeight="1" ht="24.75">
      <c r="A414" s="1"/>
      <c r="B414" s="1"/>
      <c r="C414" s="1"/>
      <c r="D414" s="1"/>
      <c r="E414" s="1"/>
      <c r="F414" s="1"/>
      <c r="G414" s="1"/>
      <c r="H414" s="1"/>
      <c r="I414" s="1"/>
      <c r="J414" s="1"/>
      <c r="K414" s="17"/>
      <c r="L414" s="1"/>
      <c r="M414" s="1"/>
      <c r="N414" s="2"/>
      <c r="O414" s="2"/>
      <c r="P414" s="1"/>
      <c r="Q414" s="1"/>
      <c r="R414" s="1"/>
      <c r="S414" s="1"/>
      <c r="T414" s="40"/>
      <c r="U414" s="40"/>
      <c r="V414" s="40"/>
      <c r="W414" s="40"/>
      <c r="X414" s="22"/>
      <c r="Y414" s="22"/>
      <c r="Z414" s="22"/>
      <c r="AA414" s="22"/>
      <c r="AB414" s="22"/>
      <c r="AC414" s="22"/>
      <c r="AD414" s="22"/>
      <c r="AE414" s="22"/>
      <c r="AF414" s="22"/>
      <c r="AG414" s="22"/>
      <c r="AH414" s="22"/>
      <c r="AI414" s="22"/>
      <c r="AJ414" s="40"/>
      <c r="AK414" s="22"/>
      <c r="AL414" s="22"/>
      <c r="AM414" s="22"/>
      <c r="AN414" s="22"/>
      <c r="AO414" s="40"/>
      <c r="AP414" s="40"/>
      <c r="AQ414" s="40"/>
      <c r="AR414" s="1"/>
      <c r="AS414" s="1"/>
      <c r="AT414" s="17"/>
      <c r="AU414" s="1"/>
      <c r="AV414" s="1"/>
      <c r="AW414" s="1"/>
      <c r="AX414" s="2"/>
      <c r="AY414" s="2"/>
      <c r="AZ414" s="1"/>
    </row>
    <row x14ac:dyDescent="0.25" r="415" customHeight="1" ht="24.75">
      <c r="A415" s="1"/>
      <c r="B415" s="1"/>
      <c r="C415" s="1"/>
      <c r="D415" s="1"/>
      <c r="E415" s="1"/>
      <c r="F415" s="1"/>
      <c r="G415" s="1"/>
      <c r="H415" s="1"/>
      <c r="I415" s="1"/>
      <c r="J415" s="1"/>
      <c r="K415" s="17"/>
      <c r="L415" s="1"/>
      <c r="M415" s="1"/>
      <c r="N415" s="2"/>
      <c r="O415" s="2"/>
      <c r="P415" s="1"/>
      <c r="Q415" s="1"/>
      <c r="R415" s="1"/>
      <c r="S415" s="1"/>
      <c r="T415" s="40"/>
      <c r="U415" s="40"/>
      <c r="V415" s="40"/>
      <c r="W415" s="40"/>
      <c r="X415" s="22"/>
      <c r="Y415" s="22"/>
      <c r="Z415" s="22"/>
      <c r="AA415" s="22"/>
      <c r="AB415" s="22"/>
      <c r="AC415" s="22"/>
      <c r="AD415" s="22"/>
      <c r="AE415" s="22"/>
      <c r="AF415" s="22"/>
      <c r="AG415" s="22"/>
      <c r="AH415" s="22"/>
      <c r="AI415" s="22"/>
      <c r="AJ415" s="40"/>
      <c r="AK415" s="22"/>
      <c r="AL415" s="22"/>
      <c r="AM415" s="22"/>
      <c r="AN415" s="22"/>
      <c r="AO415" s="40"/>
      <c r="AP415" s="40"/>
      <c r="AQ415" s="40"/>
      <c r="AR415" s="1"/>
      <c r="AS415" s="1"/>
      <c r="AT415" s="17"/>
      <c r="AU415" s="1"/>
      <c r="AV415" s="1"/>
      <c r="AW415" s="1"/>
      <c r="AX415" s="2"/>
      <c r="AY415" s="2"/>
      <c r="AZ415" s="1"/>
    </row>
    <row x14ac:dyDescent="0.25" r="416" customHeight="1" ht="24.75">
      <c r="A416" s="1"/>
      <c r="B416" s="1"/>
      <c r="C416" s="1"/>
      <c r="D416" s="1"/>
      <c r="E416" s="1"/>
      <c r="F416" s="1"/>
      <c r="G416" s="1"/>
      <c r="H416" s="1"/>
      <c r="I416" s="1"/>
      <c r="J416" s="1"/>
      <c r="K416" s="17"/>
      <c r="L416" s="1"/>
      <c r="M416" s="1"/>
      <c r="N416" s="2"/>
      <c r="O416" s="2"/>
      <c r="P416" s="1"/>
      <c r="Q416" s="1"/>
      <c r="R416" s="1"/>
      <c r="S416" s="1"/>
      <c r="T416" s="40"/>
      <c r="U416" s="40"/>
      <c r="V416" s="40"/>
      <c r="W416" s="40"/>
      <c r="X416" s="22"/>
      <c r="Y416" s="22"/>
      <c r="Z416" s="22"/>
      <c r="AA416" s="22"/>
      <c r="AB416" s="22"/>
      <c r="AC416" s="22"/>
      <c r="AD416" s="22"/>
      <c r="AE416" s="22"/>
      <c r="AF416" s="22"/>
      <c r="AG416" s="22"/>
      <c r="AH416" s="22"/>
      <c r="AI416" s="22"/>
      <c r="AJ416" s="40"/>
      <c r="AK416" s="22"/>
      <c r="AL416" s="22"/>
      <c r="AM416" s="22"/>
      <c r="AN416" s="22"/>
      <c r="AO416" s="40"/>
      <c r="AP416" s="40"/>
      <c r="AQ416" s="40"/>
      <c r="AR416" s="1"/>
      <c r="AS416" s="1"/>
      <c r="AT416" s="17"/>
      <c r="AU416" s="1"/>
      <c r="AV416" s="1"/>
      <c r="AW416" s="1"/>
      <c r="AX416" s="2"/>
      <c r="AY416" s="2"/>
      <c r="AZ416" s="1"/>
    </row>
    <row x14ac:dyDescent="0.25" r="417" customHeight="1" ht="24.75">
      <c r="A417" s="1"/>
      <c r="B417" s="1"/>
      <c r="C417" s="1"/>
      <c r="D417" s="1"/>
      <c r="E417" s="1"/>
      <c r="F417" s="1"/>
      <c r="G417" s="1"/>
      <c r="H417" s="1"/>
      <c r="I417" s="1"/>
      <c r="J417" s="1"/>
      <c r="K417" s="17"/>
      <c r="L417" s="1"/>
      <c r="M417" s="1"/>
      <c r="N417" s="2"/>
      <c r="O417" s="2"/>
      <c r="P417" s="1"/>
      <c r="Q417" s="1"/>
      <c r="R417" s="1"/>
      <c r="S417" s="1"/>
      <c r="T417" s="40"/>
      <c r="U417" s="40"/>
      <c r="V417" s="40"/>
      <c r="W417" s="40"/>
      <c r="X417" s="22"/>
      <c r="Y417" s="22"/>
      <c r="Z417" s="22"/>
      <c r="AA417" s="22"/>
      <c r="AB417" s="22"/>
      <c r="AC417" s="22"/>
      <c r="AD417" s="22"/>
      <c r="AE417" s="22"/>
      <c r="AF417" s="22"/>
      <c r="AG417" s="22"/>
      <c r="AH417" s="22"/>
      <c r="AI417" s="22"/>
      <c r="AJ417" s="40"/>
      <c r="AK417" s="22"/>
      <c r="AL417" s="22"/>
      <c r="AM417" s="22"/>
      <c r="AN417" s="22"/>
      <c r="AO417" s="40"/>
      <c r="AP417" s="40"/>
      <c r="AQ417" s="40"/>
      <c r="AR417" s="1"/>
      <c r="AS417" s="1"/>
      <c r="AT417" s="17"/>
      <c r="AU417" s="1"/>
      <c r="AV417" s="1"/>
      <c r="AW417" s="1"/>
      <c r="AX417" s="2"/>
      <c r="AY417" s="2"/>
      <c r="AZ417" s="1"/>
    </row>
    <row x14ac:dyDescent="0.25" r="418" customHeight="1" ht="24.75">
      <c r="A418" s="1"/>
      <c r="B418" s="1"/>
      <c r="C418" s="1"/>
      <c r="D418" s="1"/>
      <c r="E418" s="1"/>
      <c r="F418" s="1"/>
      <c r="G418" s="1"/>
      <c r="H418" s="1"/>
      <c r="I418" s="1"/>
      <c r="J418" s="1"/>
      <c r="K418" s="17"/>
      <c r="L418" s="1"/>
      <c r="M418" s="1"/>
      <c r="N418" s="2"/>
      <c r="O418" s="2"/>
      <c r="P418" s="1"/>
      <c r="Q418" s="1"/>
      <c r="R418" s="1"/>
      <c r="S418" s="1"/>
      <c r="T418" s="40"/>
      <c r="U418" s="40"/>
      <c r="V418" s="40"/>
      <c r="W418" s="40"/>
      <c r="X418" s="22"/>
      <c r="Y418" s="22"/>
      <c r="Z418" s="22"/>
      <c r="AA418" s="22"/>
      <c r="AB418" s="22"/>
      <c r="AC418" s="22"/>
      <c r="AD418" s="22"/>
      <c r="AE418" s="22"/>
      <c r="AF418" s="22"/>
      <c r="AG418" s="22"/>
      <c r="AH418" s="22"/>
      <c r="AI418" s="22"/>
      <c r="AJ418" s="40"/>
      <c r="AK418" s="22"/>
      <c r="AL418" s="22"/>
      <c r="AM418" s="22"/>
      <c r="AN418" s="22"/>
      <c r="AO418" s="40"/>
      <c r="AP418" s="40"/>
      <c r="AQ418" s="40"/>
      <c r="AR418" s="1"/>
      <c r="AS418" s="1"/>
      <c r="AT418" s="17"/>
      <c r="AU418" s="1"/>
      <c r="AV418" s="1"/>
      <c r="AW418" s="1"/>
      <c r="AX418" s="2"/>
      <c r="AY418" s="2"/>
      <c r="AZ418" s="1"/>
    </row>
    <row x14ac:dyDescent="0.25" r="419" customHeight="1" ht="24.75">
      <c r="A419" s="1"/>
      <c r="B419" s="1"/>
      <c r="C419" s="1"/>
      <c r="D419" s="1"/>
      <c r="E419" s="1"/>
      <c r="F419" s="1"/>
      <c r="G419" s="1"/>
      <c r="H419" s="1"/>
      <c r="I419" s="1"/>
      <c r="J419" s="1"/>
      <c r="K419" s="17"/>
      <c r="L419" s="1"/>
      <c r="M419" s="1"/>
      <c r="N419" s="2"/>
      <c r="O419" s="2"/>
      <c r="P419" s="1"/>
      <c r="Q419" s="1"/>
      <c r="R419" s="1"/>
      <c r="S419" s="1"/>
      <c r="T419" s="40"/>
      <c r="U419" s="40"/>
      <c r="V419" s="40"/>
      <c r="W419" s="40"/>
      <c r="X419" s="22"/>
      <c r="Y419" s="22"/>
      <c r="Z419" s="22"/>
      <c r="AA419" s="22"/>
      <c r="AB419" s="22"/>
      <c r="AC419" s="22"/>
      <c r="AD419" s="22"/>
      <c r="AE419" s="22"/>
      <c r="AF419" s="22"/>
      <c r="AG419" s="22"/>
      <c r="AH419" s="22"/>
      <c r="AI419" s="22"/>
      <c r="AJ419" s="40"/>
      <c r="AK419" s="22"/>
      <c r="AL419" s="22"/>
      <c r="AM419" s="22"/>
      <c r="AN419" s="22"/>
      <c r="AO419" s="40"/>
      <c r="AP419" s="40"/>
      <c r="AQ419" s="40"/>
      <c r="AR419" s="1"/>
      <c r="AS419" s="1"/>
      <c r="AT419" s="17"/>
      <c r="AU419" s="1"/>
      <c r="AV419" s="1"/>
      <c r="AW419" s="1"/>
      <c r="AX419" s="2"/>
      <c r="AY419" s="2"/>
      <c r="AZ419" s="1"/>
    </row>
    <row x14ac:dyDescent="0.25" r="420" customHeight="1" ht="24.75">
      <c r="A420" s="1"/>
      <c r="B420" s="1"/>
      <c r="C420" s="1"/>
      <c r="D420" s="1"/>
      <c r="E420" s="1"/>
      <c r="F420" s="1"/>
      <c r="G420" s="1"/>
      <c r="H420" s="1"/>
      <c r="I420" s="1"/>
      <c r="J420" s="1"/>
      <c r="K420" s="17"/>
      <c r="L420" s="1"/>
      <c r="M420" s="1"/>
      <c r="N420" s="2"/>
      <c r="O420" s="2"/>
      <c r="P420" s="1"/>
      <c r="Q420" s="1"/>
      <c r="R420" s="1"/>
      <c r="S420" s="1"/>
      <c r="T420" s="40"/>
      <c r="U420" s="40"/>
      <c r="V420" s="40"/>
      <c r="W420" s="40"/>
      <c r="X420" s="22"/>
      <c r="Y420" s="22"/>
      <c r="Z420" s="22"/>
      <c r="AA420" s="22"/>
      <c r="AB420" s="22"/>
      <c r="AC420" s="22"/>
      <c r="AD420" s="22"/>
      <c r="AE420" s="22"/>
      <c r="AF420" s="22"/>
      <c r="AG420" s="22"/>
      <c r="AH420" s="22"/>
      <c r="AI420" s="22"/>
      <c r="AJ420" s="40"/>
      <c r="AK420" s="22"/>
      <c r="AL420" s="22"/>
      <c r="AM420" s="22"/>
      <c r="AN420" s="22"/>
      <c r="AO420" s="40"/>
      <c r="AP420" s="40"/>
      <c r="AQ420" s="40"/>
      <c r="AR420" s="1"/>
      <c r="AS420" s="1"/>
      <c r="AT420" s="17"/>
      <c r="AU420" s="1"/>
      <c r="AV420" s="1"/>
      <c r="AW420" s="1"/>
      <c r="AX420" s="2"/>
      <c r="AY420" s="2"/>
      <c r="AZ420" s="1"/>
    </row>
    <row x14ac:dyDescent="0.25" r="421" customHeight="1" ht="24.75">
      <c r="A421" s="1"/>
      <c r="B421" s="1"/>
      <c r="C421" s="1"/>
      <c r="D421" s="1"/>
      <c r="E421" s="1"/>
      <c r="F421" s="1"/>
      <c r="G421" s="1"/>
      <c r="H421" s="1"/>
      <c r="I421" s="1"/>
      <c r="J421" s="1"/>
      <c r="K421" s="17"/>
      <c r="L421" s="1"/>
      <c r="M421" s="1"/>
      <c r="N421" s="2"/>
      <c r="O421" s="2"/>
      <c r="P421" s="1"/>
      <c r="Q421" s="1"/>
      <c r="R421" s="1"/>
      <c r="S421" s="1"/>
      <c r="T421" s="40"/>
      <c r="U421" s="40"/>
      <c r="V421" s="40"/>
      <c r="W421" s="40"/>
      <c r="X421" s="22"/>
      <c r="Y421" s="22"/>
      <c r="Z421" s="22"/>
      <c r="AA421" s="22"/>
      <c r="AB421" s="22"/>
      <c r="AC421" s="22"/>
      <c r="AD421" s="22"/>
      <c r="AE421" s="22"/>
      <c r="AF421" s="22"/>
      <c r="AG421" s="22"/>
      <c r="AH421" s="22"/>
      <c r="AI421" s="22"/>
      <c r="AJ421" s="40"/>
      <c r="AK421" s="22"/>
      <c r="AL421" s="22"/>
      <c r="AM421" s="22"/>
      <c r="AN421" s="22"/>
      <c r="AO421" s="40"/>
      <c r="AP421" s="40"/>
      <c r="AQ421" s="40"/>
      <c r="AR421" s="1"/>
      <c r="AS421" s="1"/>
      <c r="AT421" s="17"/>
      <c r="AU421" s="1"/>
      <c r="AV421" s="1"/>
      <c r="AW421" s="1"/>
      <c r="AX421" s="2"/>
      <c r="AY421" s="2"/>
      <c r="AZ421" s="1"/>
    </row>
    <row x14ac:dyDescent="0.25" r="422" customHeight="1" ht="24.75">
      <c r="A422" s="1"/>
      <c r="B422" s="1"/>
      <c r="C422" s="1"/>
      <c r="D422" s="1"/>
      <c r="E422" s="1"/>
      <c r="F422" s="1"/>
      <c r="G422" s="1"/>
      <c r="H422" s="1"/>
      <c r="I422" s="1"/>
      <c r="J422" s="1"/>
      <c r="K422" s="17"/>
      <c r="L422" s="1"/>
      <c r="M422" s="1"/>
      <c r="N422" s="2"/>
      <c r="O422" s="2"/>
      <c r="P422" s="1"/>
      <c r="Q422" s="1"/>
      <c r="R422" s="1"/>
      <c r="S422" s="1"/>
      <c r="T422" s="40"/>
      <c r="U422" s="40"/>
      <c r="V422" s="40"/>
      <c r="W422" s="40"/>
      <c r="X422" s="22"/>
      <c r="Y422" s="22"/>
      <c r="Z422" s="22"/>
      <c r="AA422" s="22"/>
      <c r="AB422" s="22"/>
      <c r="AC422" s="22"/>
      <c r="AD422" s="22"/>
      <c r="AE422" s="22"/>
      <c r="AF422" s="22"/>
      <c r="AG422" s="22"/>
      <c r="AH422" s="22"/>
      <c r="AI422" s="22"/>
      <c r="AJ422" s="40"/>
      <c r="AK422" s="22"/>
      <c r="AL422" s="22"/>
      <c r="AM422" s="22"/>
      <c r="AN422" s="22"/>
      <c r="AO422" s="40"/>
      <c r="AP422" s="40"/>
      <c r="AQ422" s="40"/>
      <c r="AR422" s="1"/>
      <c r="AS422" s="1"/>
      <c r="AT422" s="17"/>
      <c r="AU422" s="1"/>
      <c r="AV422" s="1"/>
      <c r="AW422" s="1"/>
      <c r="AX422" s="2"/>
      <c r="AY422" s="2"/>
      <c r="AZ422" s="1"/>
    </row>
    <row x14ac:dyDescent="0.25" r="423" customHeight="1" ht="24.75">
      <c r="A423" s="1"/>
      <c r="B423" s="1"/>
      <c r="C423" s="1"/>
      <c r="D423" s="1"/>
      <c r="E423" s="1"/>
      <c r="F423" s="1"/>
      <c r="G423" s="1"/>
      <c r="H423" s="1"/>
      <c r="I423" s="1"/>
      <c r="J423" s="1"/>
      <c r="K423" s="17"/>
      <c r="L423" s="1"/>
      <c r="M423" s="1"/>
      <c r="N423" s="2"/>
      <c r="O423" s="2"/>
      <c r="P423" s="1"/>
      <c r="Q423" s="1"/>
      <c r="R423" s="1"/>
      <c r="S423" s="1"/>
      <c r="T423" s="40"/>
      <c r="U423" s="40"/>
      <c r="V423" s="40"/>
      <c r="W423" s="40"/>
      <c r="X423" s="22"/>
      <c r="Y423" s="22"/>
      <c r="Z423" s="22"/>
      <c r="AA423" s="22"/>
      <c r="AB423" s="22"/>
      <c r="AC423" s="22"/>
      <c r="AD423" s="22"/>
      <c r="AE423" s="22"/>
      <c r="AF423" s="22"/>
      <c r="AG423" s="22"/>
      <c r="AH423" s="22"/>
      <c r="AI423" s="22"/>
      <c r="AJ423" s="40"/>
      <c r="AK423" s="22"/>
      <c r="AL423" s="22"/>
      <c r="AM423" s="22"/>
      <c r="AN423" s="22"/>
      <c r="AO423" s="40"/>
      <c r="AP423" s="40"/>
      <c r="AQ423" s="40"/>
      <c r="AR423" s="1"/>
      <c r="AS423" s="1"/>
      <c r="AT423" s="17"/>
      <c r="AU423" s="1"/>
      <c r="AV423" s="1"/>
      <c r="AW423" s="1"/>
      <c r="AX423" s="2"/>
      <c r="AY423" s="2"/>
      <c r="AZ423" s="1"/>
    </row>
    <row x14ac:dyDescent="0.25" r="424" customHeight="1" ht="24.75">
      <c r="A424" s="1"/>
      <c r="B424" s="1"/>
      <c r="C424" s="1"/>
      <c r="D424" s="1"/>
      <c r="E424" s="1"/>
      <c r="F424" s="1"/>
      <c r="G424" s="1"/>
      <c r="H424" s="1"/>
      <c r="I424" s="1"/>
      <c r="J424" s="1"/>
      <c r="K424" s="17"/>
      <c r="L424" s="1"/>
      <c r="M424" s="1"/>
      <c r="N424" s="2"/>
      <c r="O424" s="2"/>
      <c r="P424" s="1"/>
      <c r="Q424" s="1"/>
      <c r="R424" s="1"/>
      <c r="S424" s="1"/>
      <c r="T424" s="40"/>
      <c r="U424" s="40"/>
      <c r="V424" s="40"/>
      <c r="W424" s="40"/>
      <c r="X424" s="22"/>
      <c r="Y424" s="22"/>
      <c r="Z424" s="22"/>
      <c r="AA424" s="22"/>
      <c r="AB424" s="22"/>
      <c r="AC424" s="22"/>
      <c r="AD424" s="22"/>
      <c r="AE424" s="22"/>
      <c r="AF424" s="22"/>
      <c r="AG424" s="22"/>
      <c r="AH424" s="22"/>
      <c r="AI424" s="22"/>
      <c r="AJ424" s="40"/>
      <c r="AK424" s="22"/>
      <c r="AL424" s="22"/>
      <c r="AM424" s="22"/>
      <c r="AN424" s="22"/>
      <c r="AO424" s="40"/>
      <c r="AP424" s="40"/>
      <c r="AQ424" s="40"/>
      <c r="AR424" s="1"/>
      <c r="AS424" s="1"/>
      <c r="AT424" s="17"/>
      <c r="AU424" s="1"/>
      <c r="AV424" s="1"/>
      <c r="AW424" s="1"/>
      <c r="AX424" s="2"/>
      <c r="AY424" s="2"/>
      <c r="AZ424" s="1"/>
    </row>
    <row x14ac:dyDescent="0.25" r="425" customHeight="1" ht="24.75">
      <c r="A425" s="1"/>
      <c r="B425" s="1"/>
      <c r="C425" s="1"/>
      <c r="D425" s="1"/>
      <c r="E425" s="1"/>
      <c r="F425" s="1"/>
      <c r="G425" s="1"/>
      <c r="H425" s="1"/>
      <c r="I425" s="1"/>
      <c r="J425" s="1"/>
      <c r="K425" s="17"/>
      <c r="L425" s="1"/>
      <c r="M425" s="1"/>
      <c r="N425" s="2"/>
      <c r="O425" s="2"/>
      <c r="P425" s="1"/>
      <c r="Q425" s="1"/>
      <c r="R425" s="1"/>
      <c r="S425" s="1"/>
      <c r="T425" s="40"/>
      <c r="U425" s="40"/>
      <c r="V425" s="40"/>
      <c r="W425" s="40"/>
      <c r="X425" s="22"/>
      <c r="Y425" s="22"/>
      <c r="Z425" s="22"/>
      <c r="AA425" s="22"/>
      <c r="AB425" s="22"/>
      <c r="AC425" s="22"/>
      <c r="AD425" s="22"/>
      <c r="AE425" s="22"/>
      <c r="AF425" s="22"/>
      <c r="AG425" s="22"/>
      <c r="AH425" s="22"/>
      <c r="AI425" s="22"/>
      <c r="AJ425" s="40"/>
      <c r="AK425" s="22"/>
      <c r="AL425" s="22"/>
      <c r="AM425" s="22"/>
      <c r="AN425" s="22"/>
      <c r="AO425" s="40"/>
      <c r="AP425" s="40"/>
      <c r="AQ425" s="40"/>
      <c r="AR425" s="1"/>
      <c r="AS425" s="1"/>
      <c r="AT425" s="17"/>
      <c r="AU425" s="1"/>
      <c r="AV425" s="1"/>
      <c r="AW425" s="1"/>
      <c r="AX425" s="2"/>
      <c r="AY425" s="2"/>
      <c r="AZ425" s="1"/>
    </row>
    <row x14ac:dyDescent="0.25" r="426" customHeight="1" ht="24.75">
      <c r="A426" s="1"/>
      <c r="B426" s="1"/>
      <c r="C426" s="1"/>
      <c r="D426" s="1"/>
      <c r="E426" s="1"/>
      <c r="F426" s="1"/>
      <c r="G426" s="1"/>
      <c r="H426" s="1"/>
      <c r="I426" s="1"/>
      <c r="J426" s="1"/>
      <c r="K426" s="17"/>
      <c r="L426" s="1"/>
      <c r="M426" s="1"/>
      <c r="N426" s="2"/>
      <c r="O426" s="2"/>
      <c r="P426" s="1"/>
      <c r="Q426" s="1"/>
      <c r="R426" s="1"/>
      <c r="S426" s="1"/>
      <c r="T426" s="40"/>
      <c r="U426" s="40"/>
      <c r="V426" s="40"/>
      <c r="W426" s="40"/>
      <c r="X426" s="22"/>
      <c r="Y426" s="22"/>
      <c r="Z426" s="22"/>
      <c r="AA426" s="22"/>
      <c r="AB426" s="22"/>
      <c r="AC426" s="22"/>
      <c r="AD426" s="22"/>
      <c r="AE426" s="22"/>
      <c r="AF426" s="22"/>
      <c r="AG426" s="22"/>
      <c r="AH426" s="22"/>
      <c r="AI426" s="22"/>
      <c r="AJ426" s="40"/>
      <c r="AK426" s="22"/>
      <c r="AL426" s="22"/>
      <c r="AM426" s="22"/>
      <c r="AN426" s="22"/>
      <c r="AO426" s="40"/>
      <c r="AP426" s="40"/>
      <c r="AQ426" s="40"/>
      <c r="AR426" s="1"/>
      <c r="AS426" s="1"/>
      <c r="AT426" s="17"/>
      <c r="AU426" s="1"/>
      <c r="AV426" s="1"/>
      <c r="AW426" s="1"/>
      <c r="AX426" s="2"/>
      <c r="AY426" s="2"/>
      <c r="AZ426" s="1"/>
    </row>
    <row x14ac:dyDescent="0.25" r="427" customHeight="1" ht="24.75">
      <c r="A427" s="1"/>
      <c r="B427" s="1"/>
      <c r="C427" s="1"/>
      <c r="D427" s="1"/>
      <c r="E427" s="1"/>
      <c r="F427" s="1"/>
      <c r="G427" s="1"/>
      <c r="H427" s="1"/>
      <c r="I427" s="1"/>
      <c r="J427" s="1"/>
      <c r="K427" s="17"/>
      <c r="L427" s="1"/>
      <c r="M427" s="1"/>
      <c r="N427" s="2"/>
      <c r="O427" s="2"/>
      <c r="P427" s="1"/>
      <c r="Q427" s="1"/>
      <c r="R427" s="1"/>
      <c r="S427" s="1"/>
      <c r="T427" s="40"/>
      <c r="U427" s="40"/>
      <c r="V427" s="40"/>
      <c r="W427" s="40"/>
      <c r="X427" s="22"/>
      <c r="Y427" s="22"/>
      <c r="Z427" s="22"/>
      <c r="AA427" s="22"/>
      <c r="AB427" s="22"/>
      <c r="AC427" s="22"/>
      <c r="AD427" s="22"/>
      <c r="AE427" s="22"/>
      <c r="AF427" s="22"/>
      <c r="AG427" s="22"/>
      <c r="AH427" s="22"/>
      <c r="AI427" s="22"/>
      <c r="AJ427" s="40"/>
      <c r="AK427" s="22"/>
      <c r="AL427" s="22"/>
      <c r="AM427" s="22"/>
      <c r="AN427" s="22"/>
      <c r="AO427" s="40"/>
      <c r="AP427" s="40"/>
      <c r="AQ427" s="40"/>
      <c r="AR427" s="1"/>
      <c r="AS427" s="1"/>
      <c r="AT427" s="17"/>
      <c r="AU427" s="1"/>
      <c r="AV427" s="1"/>
      <c r="AW427" s="1"/>
      <c r="AX427" s="2"/>
      <c r="AY427" s="2"/>
      <c r="AZ427" s="1"/>
    </row>
    <row x14ac:dyDescent="0.25" r="428" customHeight="1" ht="24.75">
      <c r="A428" s="1"/>
      <c r="B428" s="1"/>
      <c r="C428" s="1"/>
      <c r="D428" s="1"/>
      <c r="E428" s="1"/>
      <c r="F428" s="1"/>
      <c r="G428" s="1"/>
      <c r="H428" s="1"/>
      <c r="I428" s="1"/>
      <c r="J428" s="1"/>
      <c r="K428" s="17"/>
      <c r="L428" s="1"/>
      <c r="M428" s="1"/>
      <c r="N428" s="2"/>
      <c r="O428" s="2"/>
      <c r="P428" s="1"/>
      <c r="Q428" s="1"/>
      <c r="R428" s="1"/>
      <c r="S428" s="1"/>
      <c r="T428" s="40"/>
      <c r="U428" s="40"/>
      <c r="V428" s="40"/>
      <c r="W428" s="40"/>
      <c r="X428" s="22"/>
      <c r="Y428" s="22"/>
      <c r="Z428" s="22"/>
      <c r="AA428" s="22"/>
      <c r="AB428" s="22"/>
      <c r="AC428" s="22"/>
      <c r="AD428" s="22"/>
      <c r="AE428" s="22"/>
      <c r="AF428" s="22"/>
      <c r="AG428" s="22"/>
      <c r="AH428" s="22"/>
      <c r="AI428" s="22"/>
      <c r="AJ428" s="40"/>
      <c r="AK428" s="22"/>
      <c r="AL428" s="22"/>
      <c r="AM428" s="22"/>
      <c r="AN428" s="22"/>
      <c r="AO428" s="40"/>
      <c r="AP428" s="40"/>
      <c r="AQ428" s="40"/>
      <c r="AR428" s="1"/>
      <c r="AS428" s="1"/>
      <c r="AT428" s="17"/>
      <c r="AU428" s="1"/>
      <c r="AV428" s="1"/>
      <c r="AW428" s="1"/>
      <c r="AX428" s="2"/>
      <c r="AY428" s="2"/>
      <c r="AZ428" s="1"/>
    </row>
    <row x14ac:dyDescent="0.25" r="429" customHeight="1" ht="24.75">
      <c r="A429" s="1"/>
      <c r="B429" s="1"/>
      <c r="C429" s="1"/>
      <c r="D429" s="1"/>
      <c r="E429" s="1"/>
      <c r="F429" s="1"/>
      <c r="G429" s="1"/>
      <c r="H429" s="1"/>
      <c r="I429" s="1"/>
      <c r="J429" s="1"/>
      <c r="K429" s="17"/>
      <c r="L429" s="1"/>
      <c r="M429" s="1"/>
      <c r="N429" s="2"/>
      <c r="O429" s="2"/>
      <c r="P429" s="1"/>
      <c r="Q429" s="1"/>
      <c r="R429" s="1"/>
      <c r="S429" s="1"/>
      <c r="T429" s="40"/>
      <c r="U429" s="40"/>
      <c r="V429" s="40"/>
      <c r="W429" s="40"/>
      <c r="X429" s="22"/>
      <c r="Y429" s="22"/>
      <c r="Z429" s="22"/>
      <c r="AA429" s="22"/>
      <c r="AB429" s="22"/>
      <c r="AC429" s="22"/>
      <c r="AD429" s="22"/>
      <c r="AE429" s="22"/>
      <c r="AF429" s="22"/>
      <c r="AG429" s="22"/>
      <c r="AH429" s="22"/>
      <c r="AI429" s="22"/>
      <c r="AJ429" s="40"/>
      <c r="AK429" s="22"/>
      <c r="AL429" s="22"/>
      <c r="AM429" s="22"/>
      <c r="AN429" s="22"/>
      <c r="AO429" s="40"/>
      <c r="AP429" s="40"/>
      <c r="AQ429" s="40"/>
      <c r="AR429" s="1"/>
      <c r="AS429" s="1"/>
      <c r="AT429" s="17"/>
      <c r="AU429" s="1"/>
      <c r="AV429" s="1"/>
      <c r="AW429" s="1"/>
      <c r="AX429" s="2"/>
      <c r="AY429" s="2"/>
      <c r="AZ429" s="1"/>
    </row>
    <row x14ac:dyDescent="0.25" r="430" customHeight="1" ht="24.75">
      <c r="A430" s="1"/>
      <c r="B430" s="1"/>
      <c r="C430" s="1"/>
      <c r="D430" s="1"/>
      <c r="E430" s="1"/>
      <c r="F430" s="1"/>
      <c r="G430" s="1"/>
      <c r="H430" s="1"/>
      <c r="I430" s="1"/>
      <c r="J430" s="1"/>
      <c r="K430" s="17"/>
      <c r="L430" s="1"/>
      <c r="M430" s="1"/>
      <c r="N430" s="2"/>
      <c r="O430" s="2"/>
      <c r="P430" s="1"/>
      <c r="Q430" s="1"/>
      <c r="R430" s="1"/>
      <c r="S430" s="1"/>
      <c r="T430" s="40"/>
      <c r="U430" s="40"/>
      <c r="V430" s="40"/>
      <c r="W430" s="40"/>
      <c r="X430" s="22"/>
      <c r="Y430" s="22"/>
      <c r="Z430" s="22"/>
      <c r="AA430" s="22"/>
      <c r="AB430" s="22"/>
      <c r="AC430" s="22"/>
      <c r="AD430" s="22"/>
      <c r="AE430" s="22"/>
      <c r="AF430" s="22"/>
      <c r="AG430" s="22"/>
      <c r="AH430" s="22"/>
      <c r="AI430" s="22"/>
      <c r="AJ430" s="40"/>
      <c r="AK430" s="22"/>
      <c r="AL430" s="22"/>
      <c r="AM430" s="22"/>
      <c r="AN430" s="22"/>
      <c r="AO430" s="40"/>
      <c r="AP430" s="40"/>
      <c r="AQ430" s="40"/>
      <c r="AR430" s="1"/>
      <c r="AS430" s="1"/>
      <c r="AT430" s="17"/>
      <c r="AU430" s="1"/>
      <c r="AV430" s="1"/>
      <c r="AW430" s="1"/>
      <c r="AX430" s="2"/>
      <c r="AY430" s="2"/>
      <c r="AZ430" s="1"/>
    </row>
    <row x14ac:dyDescent="0.25" r="431" customHeight="1" ht="24.75">
      <c r="A431" s="1"/>
      <c r="B431" s="1"/>
      <c r="C431" s="1"/>
      <c r="D431" s="1"/>
      <c r="E431" s="1"/>
      <c r="F431" s="1"/>
      <c r="G431" s="1"/>
      <c r="H431" s="1"/>
      <c r="I431" s="1"/>
      <c r="J431" s="1"/>
      <c r="K431" s="17"/>
      <c r="L431" s="1"/>
      <c r="M431" s="1"/>
      <c r="N431" s="2"/>
      <c r="O431" s="2"/>
      <c r="P431" s="1"/>
      <c r="Q431" s="1"/>
      <c r="R431" s="1"/>
      <c r="S431" s="1"/>
      <c r="T431" s="40"/>
      <c r="U431" s="40"/>
      <c r="V431" s="40"/>
      <c r="W431" s="40"/>
      <c r="X431" s="22"/>
      <c r="Y431" s="22"/>
      <c r="Z431" s="22"/>
      <c r="AA431" s="22"/>
      <c r="AB431" s="22"/>
      <c r="AC431" s="22"/>
      <c r="AD431" s="22"/>
      <c r="AE431" s="22"/>
      <c r="AF431" s="22"/>
      <c r="AG431" s="22"/>
      <c r="AH431" s="22"/>
      <c r="AI431" s="22"/>
      <c r="AJ431" s="40"/>
      <c r="AK431" s="22"/>
      <c r="AL431" s="22"/>
      <c r="AM431" s="22"/>
      <c r="AN431" s="22"/>
      <c r="AO431" s="40"/>
      <c r="AP431" s="40"/>
      <c r="AQ431" s="40"/>
      <c r="AR431" s="1"/>
      <c r="AS431" s="1"/>
      <c r="AT431" s="17"/>
      <c r="AU431" s="1"/>
      <c r="AV431" s="1"/>
      <c r="AW431" s="1"/>
      <c r="AX431" s="2"/>
      <c r="AY431" s="2"/>
      <c r="AZ431" s="1"/>
    </row>
    <row x14ac:dyDescent="0.25" r="432" customHeight="1" ht="24.75">
      <c r="A432" s="1"/>
      <c r="B432" s="1"/>
      <c r="C432" s="1"/>
      <c r="D432" s="1"/>
      <c r="E432" s="1"/>
      <c r="F432" s="1"/>
      <c r="G432" s="1"/>
      <c r="H432" s="1"/>
      <c r="I432" s="1"/>
      <c r="J432" s="1"/>
      <c r="K432" s="17"/>
      <c r="L432" s="1"/>
      <c r="M432" s="1"/>
      <c r="N432" s="2"/>
      <c r="O432" s="2"/>
      <c r="P432" s="1"/>
      <c r="Q432" s="1"/>
      <c r="R432" s="1"/>
      <c r="S432" s="1"/>
      <c r="T432" s="40"/>
      <c r="U432" s="40"/>
      <c r="V432" s="40"/>
      <c r="W432" s="40"/>
      <c r="X432" s="22"/>
      <c r="Y432" s="22"/>
      <c r="Z432" s="22"/>
      <c r="AA432" s="22"/>
      <c r="AB432" s="22"/>
      <c r="AC432" s="22"/>
      <c r="AD432" s="22"/>
      <c r="AE432" s="22"/>
      <c r="AF432" s="22"/>
      <c r="AG432" s="22"/>
      <c r="AH432" s="22"/>
      <c r="AI432" s="22"/>
      <c r="AJ432" s="40"/>
      <c r="AK432" s="22"/>
      <c r="AL432" s="22"/>
      <c r="AM432" s="22"/>
      <c r="AN432" s="22"/>
      <c r="AO432" s="40"/>
      <c r="AP432" s="40"/>
      <c r="AQ432" s="40"/>
      <c r="AR432" s="1"/>
      <c r="AS432" s="1"/>
      <c r="AT432" s="17"/>
      <c r="AU432" s="1"/>
      <c r="AV432" s="1"/>
      <c r="AW432" s="1"/>
      <c r="AX432" s="2"/>
      <c r="AY432" s="2"/>
      <c r="AZ432" s="1"/>
    </row>
    <row x14ac:dyDescent="0.25" r="433" customHeight="1" ht="24.75">
      <c r="A433" s="1"/>
      <c r="B433" s="1"/>
      <c r="C433" s="1"/>
      <c r="D433" s="1"/>
      <c r="E433" s="1"/>
      <c r="F433" s="1"/>
      <c r="G433" s="1"/>
      <c r="H433" s="1"/>
      <c r="I433" s="1"/>
      <c r="J433" s="1"/>
      <c r="K433" s="17"/>
      <c r="L433" s="1"/>
      <c r="M433" s="1"/>
      <c r="N433" s="2"/>
      <c r="O433" s="2"/>
      <c r="P433" s="1"/>
      <c r="Q433" s="1"/>
      <c r="R433" s="1"/>
      <c r="S433" s="1"/>
      <c r="T433" s="40"/>
      <c r="U433" s="40"/>
      <c r="V433" s="40"/>
      <c r="W433" s="40"/>
      <c r="X433" s="22"/>
      <c r="Y433" s="22"/>
      <c r="Z433" s="22"/>
      <c r="AA433" s="22"/>
      <c r="AB433" s="22"/>
      <c r="AC433" s="22"/>
      <c r="AD433" s="22"/>
      <c r="AE433" s="22"/>
      <c r="AF433" s="22"/>
      <c r="AG433" s="22"/>
      <c r="AH433" s="22"/>
      <c r="AI433" s="22"/>
      <c r="AJ433" s="40"/>
      <c r="AK433" s="22"/>
      <c r="AL433" s="22"/>
      <c r="AM433" s="22"/>
      <c r="AN433" s="22"/>
      <c r="AO433" s="40"/>
      <c r="AP433" s="40"/>
      <c r="AQ433" s="40"/>
      <c r="AR433" s="1"/>
      <c r="AS433" s="1"/>
      <c r="AT433" s="17"/>
      <c r="AU433" s="1"/>
      <c r="AV433" s="1"/>
      <c r="AW433" s="1"/>
      <c r="AX433" s="2"/>
      <c r="AY433" s="2"/>
      <c r="AZ433" s="1"/>
    </row>
    <row x14ac:dyDescent="0.25" r="434" customHeight="1" ht="24.75">
      <c r="A434" s="1"/>
      <c r="B434" s="1"/>
      <c r="C434" s="1"/>
      <c r="D434" s="1"/>
      <c r="E434" s="1"/>
      <c r="F434" s="1"/>
      <c r="G434" s="1"/>
      <c r="H434" s="1"/>
      <c r="I434" s="1"/>
      <c r="J434" s="1"/>
      <c r="K434" s="17"/>
      <c r="L434" s="1"/>
      <c r="M434" s="1"/>
      <c r="N434" s="2"/>
      <c r="O434" s="2"/>
      <c r="P434" s="1"/>
      <c r="Q434" s="1"/>
      <c r="R434" s="1"/>
      <c r="S434" s="1"/>
      <c r="T434" s="40"/>
      <c r="U434" s="40"/>
      <c r="V434" s="40"/>
      <c r="W434" s="40"/>
      <c r="X434" s="22"/>
      <c r="Y434" s="22"/>
      <c r="Z434" s="22"/>
      <c r="AA434" s="22"/>
      <c r="AB434" s="22"/>
      <c r="AC434" s="22"/>
      <c r="AD434" s="22"/>
      <c r="AE434" s="22"/>
      <c r="AF434" s="22"/>
      <c r="AG434" s="22"/>
      <c r="AH434" s="22"/>
      <c r="AI434" s="22"/>
      <c r="AJ434" s="40"/>
      <c r="AK434" s="22"/>
      <c r="AL434" s="22"/>
      <c r="AM434" s="22"/>
      <c r="AN434" s="22"/>
      <c r="AO434" s="40"/>
      <c r="AP434" s="40"/>
      <c r="AQ434" s="40"/>
      <c r="AR434" s="1"/>
      <c r="AS434" s="1"/>
      <c r="AT434" s="17"/>
      <c r="AU434" s="1"/>
      <c r="AV434" s="1"/>
      <c r="AW434" s="1"/>
      <c r="AX434" s="2"/>
      <c r="AY434" s="2"/>
      <c r="AZ434" s="1"/>
    </row>
    <row x14ac:dyDescent="0.25" r="435" customHeight="1" ht="24.75">
      <c r="A435" s="1"/>
      <c r="B435" s="1"/>
      <c r="C435" s="1"/>
      <c r="D435" s="1"/>
      <c r="E435" s="1"/>
      <c r="F435" s="1"/>
      <c r="G435" s="1"/>
      <c r="H435" s="1"/>
      <c r="I435" s="1"/>
      <c r="J435" s="1"/>
      <c r="K435" s="17"/>
      <c r="L435" s="1"/>
      <c r="M435" s="1"/>
      <c r="N435" s="2"/>
      <c r="O435" s="2"/>
      <c r="P435" s="1"/>
      <c r="Q435" s="1"/>
      <c r="R435" s="1"/>
      <c r="S435" s="1"/>
      <c r="T435" s="40"/>
      <c r="U435" s="40"/>
      <c r="V435" s="40"/>
      <c r="W435" s="40"/>
      <c r="X435" s="22"/>
      <c r="Y435" s="22"/>
      <c r="Z435" s="22"/>
      <c r="AA435" s="22"/>
      <c r="AB435" s="22"/>
      <c r="AC435" s="22"/>
      <c r="AD435" s="22"/>
      <c r="AE435" s="22"/>
      <c r="AF435" s="22"/>
      <c r="AG435" s="22"/>
      <c r="AH435" s="22"/>
      <c r="AI435" s="22"/>
      <c r="AJ435" s="40"/>
      <c r="AK435" s="22"/>
      <c r="AL435" s="22"/>
      <c r="AM435" s="22"/>
      <c r="AN435" s="22"/>
      <c r="AO435" s="40"/>
      <c r="AP435" s="40"/>
      <c r="AQ435" s="40"/>
      <c r="AR435" s="1"/>
      <c r="AS435" s="1"/>
      <c r="AT435" s="17"/>
      <c r="AU435" s="1"/>
      <c r="AV435" s="1"/>
      <c r="AW435" s="1"/>
      <c r="AX435" s="2"/>
      <c r="AY435" s="2"/>
      <c r="AZ435" s="1"/>
    </row>
    <row x14ac:dyDescent="0.25" r="436" customHeight="1" ht="24.75">
      <c r="A436" s="1"/>
      <c r="B436" s="1"/>
      <c r="C436" s="1"/>
      <c r="D436" s="1"/>
      <c r="E436" s="1"/>
      <c r="F436" s="1"/>
      <c r="G436" s="1"/>
      <c r="H436" s="1"/>
      <c r="I436" s="1"/>
      <c r="J436" s="1"/>
      <c r="K436" s="17"/>
      <c r="L436" s="1"/>
      <c r="M436" s="1"/>
      <c r="N436" s="2"/>
      <c r="O436" s="2"/>
      <c r="P436" s="1"/>
      <c r="Q436" s="1"/>
      <c r="R436" s="1"/>
      <c r="S436" s="1"/>
      <c r="T436" s="40"/>
      <c r="U436" s="40"/>
      <c r="V436" s="40"/>
      <c r="W436" s="40"/>
      <c r="X436" s="22"/>
      <c r="Y436" s="22"/>
      <c r="Z436" s="22"/>
      <c r="AA436" s="22"/>
      <c r="AB436" s="22"/>
      <c r="AC436" s="22"/>
      <c r="AD436" s="22"/>
      <c r="AE436" s="22"/>
      <c r="AF436" s="22"/>
      <c r="AG436" s="22"/>
      <c r="AH436" s="22"/>
      <c r="AI436" s="22"/>
      <c r="AJ436" s="40"/>
      <c r="AK436" s="22"/>
      <c r="AL436" s="22"/>
      <c r="AM436" s="22"/>
      <c r="AN436" s="22"/>
      <c r="AO436" s="40"/>
      <c r="AP436" s="40"/>
      <c r="AQ436" s="40"/>
      <c r="AR436" s="1"/>
      <c r="AS436" s="1"/>
      <c r="AT436" s="17"/>
      <c r="AU436" s="1"/>
      <c r="AV436" s="1"/>
      <c r="AW436" s="1"/>
      <c r="AX436" s="2"/>
      <c r="AY436" s="2"/>
      <c r="AZ436" s="1"/>
    </row>
    <row x14ac:dyDescent="0.25" r="437" customHeight="1" ht="24.75">
      <c r="A437" s="1"/>
      <c r="B437" s="1"/>
      <c r="C437" s="1"/>
      <c r="D437" s="1"/>
      <c r="E437" s="1"/>
      <c r="F437" s="1"/>
      <c r="G437" s="1"/>
      <c r="H437" s="1"/>
      <c r="I437" s="1"/>
      <c r="J437" s="1"/>
      <c r="K437" s="17"/>
      <c r="L437" s="1"/>
      <c r="M437" s="1"/>
      <c r="N437" s="2"/>
      <c r="O437" s="2"/>
      <c r="P437" s="1"/>
      <c r="Q437" s="1"/>
      <c r="R437" s="1"/>
      <c r="S437" s="1"/>
      <c r="T437" s="40"/>
      <c r="U437" s="40"/>
      <c r="V437" s="40"/>
      <c r="W437" s="40"/>
      <c r="X437" s="22"/>
      <c r="Y437" s="22"/>
      <c r="Z437" s="22"/>
      <c r="AA437" s="22"/>
      <c r="AB437" s="22"/>
      <c r="AC437" s="22"/>
      <c r="AD437" s="22"/>
      <c r="AE437" s="22"/>
      <c r="AF437" s="22"/>
      <c r="AG437" s="22"/>
      <c r="AH437" s="22"/>
      <c r="AI437" s="22"/>
      <c r="AJ437" s="40"/>
      <c r="AK437" s="22"/>
      <c r="AL437" s="22"/>
      <c r="AM437" s="22"/>
      <c r="AN437" s="22"/>
      <c r="AO437" s="40"/>
      <c r="AP437" s="40"/>
      <c r="AQ437" s="40"/>
      <c r="AR437" s="1"/>
      <c r="AS437" s="1"/>
      <c r="AT437" s="17"/>
      <c r="AU437" s="1"/>
      <c r="AV437" s="1"/>
      <c r="AW437" s="1"/>
      <c r="AX437" s="2"/>
      <c r="AY437" s="2"/>
      <c r="AZ437" s="1"/>
    </row>
    <row x14ac:dyDescent="0.25" r="438" customHeight="1" ht="24.75">
      <c r="A438" s="1"/>
      <c r="B438" s="1"/>
      <c r="C438" s="1"/>
      <c r="D438" s="1"/>
      <c r="E438" s="1"/>
      <c r="F438" s="1"/>
      <c r="G438" s="1"/>
      <c r="H438" s="1"/>
      <c r="I438" s="1"/>
      <c r="J438" s="1"/>
      <c r="K438" s="17"/>
      <c r="L438" s="1"/>
      <c r="M438" s="1"/>
      <c r="N438" s="2"/>
      <c r="O438" s="2"/>
      <c r="P438" s="1"/>
      <c r="Q438" s="1"/>
      <c r="R438" s="1"/>
      <c r="S438" s="1"/>
      <c r="T438" s="40"/>
      <c r="U438" s="40"/>
      <c r="V438" s="40"/>
      <c r="W438" s="40"/>
      <c r="X438" s="22"/>
      <c r="Y438" s="22"/>
      <c r="Z438" s="22"/>
      <c r="AA438" s="22"/>
      <c r="AB438" s="22"/>
      <c r="AC438" s="22"/>
      <c r="AD438" s="22"/>
      <c r="AE438" s="22"/>
      <c r="AF438" s="22"/>
      <c r="AG438" s="22"/>
      <c r="AH438" s="22"/>
      <c r="AI438" s="22"/>
      <c r="AJ438" s="40"/>
      <c r="AK438" s="22"/>
      <c r="AL438" s="22"/>
      <c r="AM438" s="22"/>
      <c r="AN438" s="22"/>
      <c r="AO438" s="40"/>
      <c r="AP438" s="40"/>
      <c r="AQ438" s="40"/>
      <c r="AR438" s="1"/>
      <c r="AS438" s="1"/>
      <c r="AT438" s="17"/>
      <c r="AU438" s="1"/>
      <c r="AV438" s="1"/>
      <c r="AW438" s="1"/>
      <c r="AX438" s="2"/>
      <c r="AY438" s="2"/>
      <c r="AZ438" s="1"/>
    </row>
    <row x14ac:dyDescent="0.25" r="439" customHeight="1" ht="24.75">
      <c r="A439" s="1"/>
      <c r="B439" s="1"/>
      <c r="C439" s="1"/>
      <c r="D439" s="1"/>
      <c r="E439" s="1"/>
      <c r="F439" s="1"/>
      <c r="G439" s="1"/>
      <c r="H439" s="1"/>
      <c r="I439" s="1"/>
      <c r="J439" s="1"/>
      <c r="K439" s="17"/>
      <c r="L439" s="1"/>
      <c r="M439" s="1"/>
      <c r="N439" s="2"/>
      <c r="O439" s="2"/>
      <c r="P439" s="1"/>
      <c r="Q439" s="1"/>
      <c r="R439" s="1"/>
      <c r="S439" s="1"/>
      <c r="T439" s="40"/>
      <c r="U439" s="40"/>
      <c r="V439" s="40"/>
      <c r="W439" s="40"/>
      <c r="X439" s="22"/>
      <c r="Y439" s="22"/>
      <c r="Z439" s="22"/>
      <c r="AA439" s="22"/>
      <c r="AB439" s="22"/>
      <c r="AC439" s="22"/>
      <c r="AD439" s="22"/>
      <c r="AE439" s="22"/>
      <c r="AF439" s="22"/>
      <c r="AG439" s="22"/>
      <c r="AH439" s="22"/>
      <c r="AI439" s="22"/>
      <c r="AJ439" s="40"/>
      <c r="AK439" s="22"/>
      <c r="AL439" s="22"/>
      <c r="AM439" s="22"/>
      <c r="AN439" s="22"/>
      <c r="AO439" s="40"/>
      <c r="AP439" s="40"/>
      <c r="AQ439" s="40"/>
      <c r="AR439" s="1"/>
      <c r="AS439" s="1"/>
      <c r="AT439" s="17"/>
      <c r="AU439" s="1"/>
      <c r="AV439" s="1"/>
      <c r="AW439" s="1"/>
      <c r="AX439" s="2"/>
      <c r="AY439" s="2"/>
      <c r="AZ439" s="1"/>
    </row>
    <row x14ac:dyDescent="0.25" r="440" customHeight="1" ht="24.75">
      <c r="A440" s="1"/>
      <c r="B440" s="1"/>
      <c r="C440" s="1"/>
      <c r="D440" s="1"/>
      <c r="E440" s="1"/>
      <c r="F440" s="1"/>
      <c r="G440" s="1"/>
      <c r="H440" s="1"/>
      <c r="I440" s="1"/>
      <c r="J440" s="1"/>
      <c r="K440" s="17"/>
      <c r="L440" s="1"/>
      <c r="M440" s="1"/>
      <c r="N440" s="2"/>
      <c r="O440" s="2"/>
      <c r="P440" s="1"/>
      <c r="Q440" s="1"/>
      <c r="R440" s="1"/>
      <c r="S440" s="1"/>
      <c r="T440" s="40"/>
      <c r="U440" s="40"/>
      <c r="V440" s="40"/>
      <c r="W440" s="40"/>
      <c r="X440" s="22"/>
      <c r="Y440" s="22"/>
      <c r="Z440" s="22"/>
      <c r="AA440" s="22"/>
      <c r="AB440" s="22"/>
      <c r="AC440" s="22"/>
      <c r="AD440" s="22"/>
      <c r="AE440" s="22"/>
      <c r="AF440" s="22"/>
      <c r="AG440" s="22"/>
      <c r="AH440" s="22"/>
      <c r="AI440" s="22"/>
      <c r="AJ440" s="40"/>
      <c r="AK440" s="22"/>
      <c r="AL440" s="22"/>
      <c r="AM440" s="22"/>
      <c r="AN440" s="22"/>
      <c r="AO440" s="40"/>
      <c r="AP440" s="40"/>
      <c r="AQ440" s="40"/>
      <c r="AR440" s="1"/>
      <c r="AS440" s="1"/>
      <c r="AT440" s="17"/>
      <c r="AU440" s="1"/>
      <c r="AV440" s="1"/>
      <c r="AW440" s="1"/>
      <c r="AX440" s="2"/>
      <c r="AY440" s="2"/>
      <c r="AZ440" s="1"/>
    </row>
    <row x14ac:dyDescent="0.25" r="441" customHeight="1" ht="24.75">
      <c r="A441" s="1"/>
      <c r="B441" s="1"/>
      <c r="C441" s="1"/>
      <c r="D441" s="1"/>
      <c r="E441" s="1"/>
      <c r="F441" s="1"/>
      <c r="G441" s="1"/>
      <c r="H441" s="1"/>
      <c r="I441" s="1"/>
      <c r="J441" s="1"/>
      <c r="K441" s="17"/>
      <c r="L441" s="1"/>
      <c r="M441" s="1"/>
      <c r="N441" s="2"/>
      <c r="O441" s="2"/>
      <c r="P441" s="1"/>
      <c r="Q441" s="1"/>
      <c r="R441" s="1"/>
      <c r="S441" s="1"/>
      <c r="T441" s="40"/>
      <c r="U441" s="40"/>
      <c r="V441" s="40"/>
      <c r="W441" s="40"/>
      <c r="X441" s="22"/>
      <c r="Y441" s="22"/>
      <c r="Z441" s="22"/>
      <c r="AA441" s="22"/>
      <c r="AB441" s="22"/>
      <c r="AC441" s="22"/>
      <c r="AD441" s="22"/>
      <c r="AE441" s="22"/>
      <c r="AF441" s="22"/>
      <c r="AG441" s="22"/>
      <c r="AH441" s="22"/>
      <c r="AI441" s="22"/>
      <c r="AJ441" s="40"/>
      <c r="AK441" s="22"/>
      <c r="AL441" s="22"/>
      <c r="AM441" s="22"/>
      <c r="AN441" s="22"/>
      <c r="AO441" s="40"/>
      <c r="AP441" s="40"/>
      <c r="AQ441" s="40"/>
      <c r="AR441" s="1"/>
      <c r="AS441" s="1"/>
      <c r="AT441" s="17"/>
      <c r="AU441" s="1"/>
      <c r="AV441" s="1"/>
      <c r="AW441" s="1"/>
      <c r="AX441" s="2"/>
      <c r="AY441" s="2"/>
      <c r="AZ441" s="1"/>
    </row>
    <row x14ac:dyDescent="0.25" r="442" customHeight="1" ht="24.75">
      <c r="A442" s="1"/>
      <c r="B442" s="1"/>
      <c r="C442" s="1"/>
      <c r="D442" s="1"/>
      <c r="E442" s="1"/>
      <c r="F442" s="1"/>
      <c r="G442" s="1"/>
      <c r="H442" s="1"/>
      <c r="I442" s="1"/>
      <c r="J442" s="1"/>
      <c r="K442" s="17"/>
      <c r="L442" s="1"/>
      <c r="M442" s="1"/>
      <c r="N442" s="2"/>
      <c r="O442" s="2"/>
      <c r="P442" s="1"/>
      <c r="Q442" s="1"/>
      <c r="R442" s="1"/>
      <c r="S442" s="1"/>
      <c r="T442" s="40"/>
      <c r="U442" s="40"/>
      <c r="V442" s="40"/>
      <c r="W442" s="40"/>
      <c r="X442" s="22"/>
      <c r="Y442" s="22"/>
      <c r="Z442" s="22"/>
      <c r="AA442" s="22"/>
      <c r="AB442" s="22"/>
      <c r="AC442" s="22"/>
      <c r="AD442" s="22"/>
      <c r="AE442" s="22"/>
      <c r="AF442" s="22"/>
      <c r="AG442" s="22"/>
      <c r="AH442" s="22"/>
      <c r="AI442" s="22"/>
      <c r="AJ442" s="40"/>
      <c r="AK442" s="22"/>
      <c r="AL442" s="22"/>
      <c r="AM442" s="22"/>
      <c r="AN442" s="22"/>
      <c r="AO442" s="40"/>
      <c r="AP442" s="40"/>
      <c r="AQ442" s="40"/>
      <c r="AR442" s="1"/>
      <c r="AS442" s="1"/>
      <c r="AT442" s="17"/>
      <c r="AU442" s="1"/>
      <c r="AV442" s="1"/>
      <c r="AW442" s="1"/>
      <c r="AX442" s="2"/>
      <c r="AY442" s="2"/>
      <c r="AZ442" s="1"/>
    </row>
    <row x14ac:dyDescent="0.25" r="443" customHeight="1" ht="24.75">
      <c r="A443" s="1"/>
      <c r="B443" s="1"/>
      <c r="C443" s="1"/>
      <c r="D443" s="1"/>
      <c r="E443" s="1"/>
      <c r="F443" s="1"/>
      <c r="G443" s="1"/>
      <c r="H443" s="1"/>
      <c r="I443" s="1"/>
      <c r="J443" s="1"/>
      <c r="K443" s="17"/>
      <c r="L443" s="1"/>
      <c r="M443" s="1"/>
      <c r="N443" s="2"/>
      <c r="O443" s="2"/>
      <c r="P443" s="1"/>
      <c r="Q443" s="1"/>
      <c r="R443" s="1"/>
      <c r="S443" s="1"/>
      <c r="T443" s="40"/>
      <c r="U443" s="40"/>
      <c r="V443" s="40"/>
      <c r="W443" s="40"/>
      <c r="X443" s="22"/>
      <c r="Y443" s="22"/>
      <c r="Z443" s="22"/>
      <c r="AA443" s="22"/>
      <c r="AB443" s="22"/>
      <c r="AC443" s="22"/>
      <c r="AD443" s="22"/>
      <c r="AE443" s="22"/>
      <c r="AF443" s="22"/>
      <c r="AG443" s="22"/>
      <c r="AH443" s="22"/>
      <c r="AI443" s="22"/>
      <c r="AJ443" s="40"/>
      <c r="AK443" s="22"/>
      <c r="AL443" s="22"/>
      <c r="AM443" s="22"/>
      <c r="AN443" s="22"/>
      <c r="AO443" s="40"/>
      <c r="AP443" s="40"/>
      <c r="AQ443" s="40"/>
      <c r="AR443" s="1"/>
      <c r="AS443" s="1"/>
      <c r="AT443" s="17"/>
      <c r="AU443" s="1"/>
      <c r="AV443" s="1"/>
      <c r="AW443" s="1"/>
      <c r="AX443" s="2"/>
      <c r="AY443" s="2"/>
      <c r="AZ443" s="1"/>
    </row>
    <row x14ac:dyDescent="0.25" r="444" customHeight="1" ht="24.75">
      <c r="A444" s="1"/>
      <c r="B444" s="1"/>
      <c r="C444" s="1"/>
      <c r="D444" s="1"/>
      <c r="E444" s="1"/>
      <c r="F444" s="1"/>
      <c r="G444" s="1"/>
      <c r="H444" s="1"/>
      <c r="I444" s="1"/>
      <c r="J444" s="1"/>
      <c r="K444" s="17"/>
      <c r="L444" s="1"/>
      <c r="M444" s="1"/>
      <c r="N444" s="2"/>
      <c r="O444" s="2"/>
      <c r="P444" s="1"/>
      <c r="Q444" s="1"/>
      <c r="R444" s="1"/>
      <c r="S444" s="1"/>
      <c r="T444" s="40"/>
      <c r="U444" s="40"/>
      <c r="V444" s="40"/>
      <c r="W444" s="40"/>
      <c r="X444" s="22"/>
      <c r="Y444" s="22"/>
      <c r="Z444" s="22"/>
      <c r="AA444" s="22"/>
      <c r="AB444" s="22"/>
      <c r="AC444" s="22"/>
      <c r="AD444" s="22"/>
      <c r="AE444" s="22"/>
      <c r="AF444" s="22"/>
      <c r="AG444" s="22"/>
      <c r="AH444" s="22"/>
      <c r="AI444" s="22"/>
      <c r="AJ444" s="40"/>
      <c r="AK444" s="22"/>
      <c r="AL444" s="22"/>
      <c r="AM444" s="22"/>
      <c r="AN444" s="22"/>
      <c r="AO444" s="40"/>
      <c r="AP444" s="40"/>
      <c r="AQ444" s="40"/>
      <c r="AR444" s="1"/>
      <c r="AS444" s="1"/>
      <c r="AT444" s="17"/>
      <c r="AU444" s="1"/>
      <c r="AV444" s="1"/>
      <c r="AW444" s="1"/>
      <c r="AX444" s="2"/>
      <c r="AY444" s="2"/>
      <c r="AZ444" s="1"/>
    </row>
    <row x14ac:dyDescent="0.25" r="445" customHeight="1" ht="24.75">
      <c r="A445" s="1"/>
      <c r="B445" s="1"/>
      <c r="C445" s="1"/>
      <c r="D445" s="1"/>
      <c r="E445" s="1"/>
      <c r="F445" s="1"/>
      <c r="G445" s="1"/>
      <c r="H445" s="1"/>
      <c r="I445" s="1"/>
      <c r="J445" s="1"/>
      <c r="K445" s="17"/>
      <c r="L445" s="1"/>
      <c r="M445" s="1"/>
      <c r="N445" s="2"/>
      <c r="O445" s="2"/>
      <c r="P445" s="1"/>
      <c r="Q445" s="1"/>
      <c r="R445" s="1"/>
      <c r="S445" s="1"/>
      <c r="T445" s="40"/>
      <c r="U445" s="40"/>
      <c r="V445" s="40"/>
      <c r="W445" s="40"/>
      <c r="X445" s="22"/>
      <c r="Y445" s="22"/>
      <c r="Z445" s="22"/>
      <c r="AA445" s="22"/>
      <c r="AB445" s="22"/>
      <c r="AC445" s="22"/>
      <c r="AD445" s="22"/>
      <c r="AE445" s="22"/>
      <c r="AF445" s="22"/>
      <c r="AG445" s="22"/>
      <c r="AH445" s="22"/>
      <c r="AI445" s="22"/>
      <c r="AJ445" s="40"/>
      <c r="AK445" s="22"/>
      <c r="AL445" s="22"/>
      <c r="AM445" s="22"/>
      <c r="AN445" s="22"/>
      <c r="AO445" s="40"/>
      <c r="AP445" s="40"/>
      <c r="AQ445" s="40"/>
      <c r="AR445" s="1"/>
      <c r="AS445" s="1"/>
      <c r="AT445" s="17"/>
      <c r="AU445" s="1"/>
      <c r="AV445" s="1"/>
      <c r="AW445" s="1"/>
      <c r="AX445" s="2"/>
      <c r="AY445" s="2"/>
      <c r="AZ445" s="1"/>
    </row>
    <row x14ac:dyDescent="0.25" r="446" customHeight="1" ht="24.75">
      <c r="A446" s="1"/>
      <c r="B446" s="1"/>
      <c r="C446" s="1"/>
      <c r="D446" s="1"/>
      <c r="E446" s="1"/>
      <c r="F446" s="1"/>
      <c r="G446" s="1"/>
      <c r="H446" s="1"/>
      <c r="I446" s="1"/>
      <c r="J446" s="1"/>
      <c r="K446" s="17"/>
      <c r="L446" s="1"/>
      <c r="M446" s="1"/>
      <c r="N446" s="2"/>
      <c r="O446" s="2"/>
      <c r="P446" s="1"/>
      <c r="Q446" s="1"/>
      <c r="R446" s="1"/>
      <c r="S446" s="1"/>
      <c r="T446" s="40"/>
      <c r="U446" s="40"/>
      <c r="V446" s="40"/>
      <c r="W446" s="40"/>
      <c r="X446" s="22"/>
      <c r="Y446" s="22"/>
      <c r="Z446" s="22"/>
      <c r="AA446" s="22"/>
      <c r="AB446" s="22"/>
      <c r="AC446" s="22"/>
      <c r="AD446" s="22"/>
      <c r="AE446" s="22"/>
      <c r="AF446" s="22"/>
      <c r="AG446" s="22"/>
      <c r="AH446" s="22"/>
      <c r="AI446" s="22"/>
      <c r="AJ446" s="40"/>
      <c r="AK446" s="22"/>
      <c r="AL446" s="22"/>
      <c r="AM446" s="22"/>
      <c r="AN446" s="22"/>
      <c r="AO446" s="40"/>
      <c r="AP446" s="40"/>
      <c r="AQ446" s="40"/>
      <c r="AR446" s="1"/>
      <c r="AS446" s="1"/>
      <c r="AT446" s="17"/>
      <c r="AU446" s="1"/>
      <c r="AV446" s="1"/>
      <c r="AW446" s="1"/>
      <c r="AX446" s="2"/>
      <c r="AY446" s="2"/>
      <c r="AZ446" s="1"/>
    </row>
    <row x14ac:dyDescent="0.25" r="447" customHeight="1" ht="24.75">
      <c r="A447" s="1"/>
      <c r="B447" s="1"/>
      <c r="C447" s="1"/>
      <c r="D447" s="1"/>
      <c r="E447" s="1"/>
      <c r="F447" s="1"/>
      <c r="G447" s="1"/>
      <c r="H447" s="1"/>
      <c r="I447" s="1"/>
      <c r="J447" s="1"/>
      <c r="K447" s="17"/>
      <c r="L447" s="1"/>
      <c r="M447" s="1"/>
      <c r="N447" s="2"/>
      <c r="O447" s="2"/>
      <c r="P447" s="1"/>
      <c r="Q447" s="1"/>
      <c r="R447" s="1"/>
      <c r="S447" s="1"/>
      <c r="T447" s="40"/>
      <c r="U447" s="40"/>
      <c r="V447" s="40"/>
      <c r="W447" s="40"/>
      <c r="X447" s="22"/>
      <c r="Y447" s="22"/>
      <c r="Z447" s="22"/>
      <c r="AA447" s="22"/>
      <c r="AB447" s="22"/>
      <c r="AC447" s="22"/>
      <c r="AD447" s="22"/>
      <c r="AE447" s="22"/>
      <c r="AF447" s="22"/>
      <c r="AG447" s="22"/>
      <c r="AH447" s="22"/>
      <c r="AI447" s="22"/>
      <c r="AJ447" s="40"/>
      <c r="AK447" s="22"/>
      <c r="AL447" s="22"/>
      <c r="AM447" s="22"/>
      <c r="AN447" s="22"/>
      <c r="AO447" s="40"/>
      <c r="AP447" s="40"/>
      <c r="AQ447" s="40"/>
      <c r="AR447" s="1"/>
      <c r="AS447" s="1"/>
      <c r="AT447" s="17"/>
      <c r="AU447" s="1"/>
      <c r="AV447" s="1"/>
      <c r="AW447" s="1"/>
      <c r="AX447" s="2"/>
      <c r="AY447" s="2"/>
      <c r="AZ447" s="1"/>
    </row>
    <row x14ac:dyDescent="0.25" r="448" customHeight="1" ht="24.75">
      <c r="A448" s="1"/>
      <c r="B448" s="1"/>
      <c r="C448" s="1"/>
      <c r="D448" s="1"/>
      <c r="E448" s="1"/>
      <c r="F448" s="1"/>
      <c r="G448" s="1"/>
      <c r="H448" s="1"/>
      <c r="I448" s="1"/>
      <c r="J448" s="1"/>
      <c r="K448" s="17"/>
      <c r="L448" s="1"/>
      <c r="M448" s="1"/>
      <c r="N448" s="2"/>
      <c r="O448" s="2"/>
      <c r="P448" s="1"/>
      <c r="Q448" s="1"/>
      <c r="R448" s="1"/>
      <c r="S448" s="1"/>
      <c r="T448" s="40"/>
      <c r="U448" s="40"/>
      <c r="V448" s="40"/>
      <c r="W448" s="40"/>
      <c r="X448" s="22"/>
      <c r="Y448" s="22"/>
      <c r="Z448" s="22"/>
      <c r="AA448" s="22"/>
      <c r="AB448" s="22"/>
      <c r="AC448" s="22"/>
      <c r="AD448" s="22"/>
      <c r="AE448" s="22"/>
      <c r="AF448" s="22"/>
      <c r="AG448" s="22"/>
      <c r="AH448" s="22"/>
      <c r="AI448" s="22"/>
      <c r="AJ448" s="40"/>
      <c r="AK448" s="22"/>
      <c r="AL448" s="22"/>
      <c r="AM448" s="22"/>
      <c r="AN448" s="22"/>
      <c r="AO448" s="40"/>
      <c r="AP448" s="40"/>
      <c r="AQ448" s="40"/>
      <c r="AR448" s="1"/>
      <c r="AS448" s="1"/>
      <c r="AT448" s="17"/>
      <c r="AU448" s="1"/>
      <c r="AV448" s="1"/>
      <c r="AW448" s="1"/>
      <c r="AX448" s="2"/>
      <c r="AY448" s="2"/>
      <c r="AZ448" s="1"/>
    </row>
    <row x14ac:dyDescent="0.25" r="449" customHeight="1" ht="24.75">
      <c r="A449" s="1"/>
      <c r="B449" s="1"/>
      <c r="C449" s="1"/>
      <c r="D449" s="1"/>
      <c r="E449" s="1"/>
      <c r="F449" s="1"/>
      <c r="G449" s="1"/>
      <c r="H449" s="1"/>
      <c r="I449" s="1"/>
      <c r="J449" s="1"/>
      <c r="K449" s="17"/>
      <c r="L449" s="1"/>
      <c r="M449" s="1"/>
      <c r="N449" s="2"/>
      <c r="O449" s="2"/>
      <c r="P449" s="1"/>
      <c r="Q449" s="1"/>
      <c r="R449" s="1"/>
      <c r="S449" s="1"/>
      <c r="T449" s="40"/>
      <c r="U449" s="40"/>
      <c r="V449" s="40"/>
      <c r="W449" s="40"/>
      <c r="X449" s="22"/>
      <c r="Y449" s="22"/>
      <c r="Z449" s="22"/>
      <c r="AA449" s="22"/>
      <c r="AB449" s="22"/>
      <c r="AC449" s="22"/>
      <c r="AD449" s="22"/>
      <c r="AE449" s="22"/>
      <c r="AF449" s="22"/>
      <c r="AG449" s="22"/>
      <c r="AH449" s="22"/>
      <c r="AI449" s="22"/>
      <c r="AJ449" s="40"/>
      <c r="AK449" s="22"/>
      <c r="AL449" s="22"/>
      <c r="AM449" s="22"/>
      <c r="AN449" s="22"/>
      <c r="AO449" s="40"/>
      <c r="AP449" s="40"/>
      <c r="AQ449" s="40"/>
      <c r="AR449" s="1"/>
      <c r="AS449" s="1"/>
      <c r="AT449" s="17"/>
      <c r="AU449" s="1"/>
      <c r="AV449" s="1"/>
      <c r="AW449" s="1"/>
      <c r="AX449" s="2"/>
      <c r="AY449" s="2"/>
      <c r="AZ449" s="1"/>
    </row>
    <row x14ac:dyDescent="0.25" r="450" customHeight="1" ht="24.75">
      <c r="A450" s="1"/>
      <c r="B450" s="1"/>
      <c r="C450" s="1"/>
      <c r="D450" s="1"/>
      <c r="E450" s="1"/>
      <c r="F450" s="1"/>
      <c r="G450" s="1"/>
      <c r="H450" s="1"/>
      <c r="I450" s="1"/>
      <c r="J450" s="1"/>
      <c r="K450" s="17"/>
      <c r="L450" s="1"/>
      <c r="M450" s="1"/>
      <c r="N450" s="2"/>
      <c r="O450" s="2"/>
      <c r="P450" s="1"/>
      <c r="Q450" s="1"/>
      <c r="R450" s="1"/>
      <c r="S450" s="1"/>
      <c r="T450" s="40"/>
      <c r="U450" s="40"/>
      <c r="V450" s="40"/>
      <c r="W450" s="40"/>
      <c r="X450" s="22"/>
      <c r="Y450" s="22"/>
      <c r="Z450" s="22"/>
      <c r="AA450" s="22"/>
      <c r="AB450" s="22"/>
      <c r="AC450" s="22"/>
      <c r="AD450" s="22"/>
      <c r="AE450" s="22"/>
      <c r="AF450" s="22"/>
      <c r="AG450" s="22"/>
      <c r="AH450" s="22"/>
      <c r="AI450" s="22"/>
      <c r="AJ450" s="40"/>
      <c r="AK450" s="22"/>
      <c r="AL450" s="22"/>
      <c r="AM450" s="22"/>
      <c r="AN450" s="22"/>
      <c r="AO450" s="40"/>
      <c r="AP450" s="40"/>
      <c r="AQ450" s="40"/>
      <c r="AR450" s="1"/>
      <c r="AS450" s="1"/>
      <c r="AT450" s="17"/>
      <c r="AU450" s="1"/>
      <c r="AV450" s="1"/>
      <c r="AW450" s="1"/>
      <c r="AX450" s="2"/>
      <c r="AY450" s="2"/>
      <c r="AZ450" s="1"/>
    </row>
    <row x14ac:dyDescent="0.25" r="451" customHeight="1" ht="24.75">
      <c r="A451" s="1"/>
      <c r="B451" s="1"/>
      <c r="C451" s="1"/>
      <c r="D451" s="1"/>
      <c r="E451" s="1"/>
      <c r="F451" s="1"/>
      <c r="G451" s="1"/>
      <c r="H451" s="1"/>
      <c r="I451" s="1"/>
      <c r="J451" s="1"/>
      <c r="K451" s="17"/>
      <c r="L451" s="1"/>
      <c r="M451" s="1"/>
      <c r="N451" s="2"/>
      <c r="O451" s="2"/>
      <c r="P451" s="1"/>
      <c r="Q451" s="1"/>
      <c r="R451" s="1"/>
      <c r="S451" s="1"/>
      <c r="T451" s="40"/>
      <c r="U451" s="40"/>
      <c r="V451" s="40"/>
      <c r="W451" s="40"/>
      <c r="X451" s="22"/>
      <c r="Y451" s="22"/>
      <c r="Z451" s="22"/>
      <c r="AA451" s="22"/>
      <c r="AB451" s="22"/>
      <c r="AC451" s="22"/>
      <c r="AD451" s="22"/>
      <c r="AE451" s="22"/>
      <c r="AF451" s="22"/>
      <c r="AG451" s="22"/>
      <c r="AH451" s="22"/>
      <c r="AI451" s="22"/>
      <c r="AJ451" s="40"/>
      <c r="AK451" s="22"/>
      <c r="AL451" s="22"/>
      <c r="AM451" s="22"/>
      <c r="AN451" s="22"/>
      <c r="AO451" s="40"/>
      <c r="AP451" s="40"/>
      <c r="AQ451" s="40"/>
      <c r="AR451" s="1"/>
      <c r="AS451" s="1"/>
      <c r="AT451" s="17"/>
      <c r="AU451" s="1"/>
      <c r="AV451" s="1"/>
      <c r="AW451" s="1"/>
      <c r="AX451" s="2"/>
      <c r="AY451" s="2"/>
      <c r="AZ451" s="1"/>
    </row>
    <row x14ac:dyDescent="0.25" r="452" customHeight="1" ht="24.75">
      <c r="A452" s="1"/>
      <c r="B452" s="1"/>
      <c r="C452" s="1"/>
      <c r="D452" s="1"/>
      <c r="E452" s="1"/>
      <c r="F452" s="1"/>
      <c r="G452" s="1"/>
      <c r="H452" s="1"/>
      <c r="I452" s="1"/>
      <c r="J452" s="1"/>
      <c r="K452" s="17"/>
      <c r="L452" s="1"/>
      <c r="M452" s="1"/>
      <c r="N452" s="2"/>
      <c r="O452" s="2"/>
      <c r="P452" s="1"/>
      <c r="Q452" s="1"/>
      <c r="R452" s="1"/>
      <c r="S452" s="1"/>
      <c r="T452" s="40"/>
      <c r="U452" s="40"/>
      <c r="V452" s="40"/>
      <c r="W452" s="40"/>
      <c r="X452" s="22"/>
      <c r="Y452" s="22"/>
      <c r="Z452" s="22"/>
      <c r="AA452" s="22"/>
      <c r="AB452" s="22"/>
      <c r="AC452" s="22"/>
      <c r="AD452" s="22"/>
      <c r="AE452" s="22"/>
      <c r="AF452" s="22"/>
      <c r="AG452" s="22"/>
      <c r="AH452" s="22"/>
      <c r="AI452" s="22"/>
      <c r="AJ452" s="40"/>
      <c r="AK452" s="22"/>
      <c r="AL452" s="22"/>
      <c r="AM452" s="22"/>
      <c r="AN452" s="22"/>
      <c r="AO452" s="40"/>
      <c r="AP452" s="40"/>
      <c r="AQ452" s="40"/>
      <c r="AR452" s="1"/>
      <c r="AS452" s="1"/>
      <c r="AT452" s="17"/>
      <c r="AU452" s="1"/>
      <c r="AV452" s="1"/>
      <c r="AW452" s="1"/>
      <c r="AX452" s="2"/>
      <c r="AY452" s="2"/>
      <c r="AZ452" s="1"/>
    </row>
    <row x14ac:dyDescent="0.25" r="453" customHeight="1" ht="24.75">
      <c r="A453" s="1"/>
      <c r="B453" s="1"/>
      <c r="C453" s="1"/>
      <c r="D453" s="1"/>
      <c r="E453" s="1"/>
      <c r="F453" s="1"/>
      <c r="G453" s="1"/>
      <c r="H453" s="1"/>
      <c r="I453" s="1"/>
      <c r="J453" s="1"/>
      <c r="K453" s="17"/>
      <c r="L453" s="1"/>
      <c r="M453" s="1"/>
      <c r="N453" s="2"/>
      <c r="O453" s="2"/>
      <c r="P453" s="1"/>
      <c r="Q453" s="1"/>
      <c r="R453" s="1"/>
      <c r="S453" s="1"/>
      <c r="T453" s="40"/>
      <c r="U453" s="40"/>
      <c r="V453" s="40"/>
      <c r="W453" s="40"/>
      <c r="X453" s="22"/>
      <c r="Y453" s="22"/>
      <c r="Z453" s="22"/>
      <c r="AA453" s="22"/>
      <c r="AB453" s="22"/>
      <c r="AC453" s="22"/>
      <c r="AD453" s="22"/>
      <c r="AE453" s="22"/>
      <c r="AF453" s="22"/>
      <c r="AG453" s="22"/>
      <c r="AH453" s="22"/>
      <c r="AI453" s="22"/>
      <c r="AJ453" s="40"/>
      <c r="AK453" s="22"/>
      <c r="AL453" s="22"/>
      <c r="AM453" s="22"/>
      <c r="AN453" s="22"/>
      <c r="AO453" s="40"/>
      <c r="AP453" s="40"/>
      <c r="AQ453" s="40"/>
      <c r="AR453" s="1"/>
      <c r="AS453" s="1"/>
      <c r="AT453" s="17"/>
      <c r="AU453" s="1"/>
      <c r="AV453" s="1"/>
      <c r="AW453" s="1"/>
      <c r="AX453" s="2"/>
      <c r="AY453" s="2"/>
      <c r="AZ453" s="1"/>
    </row>
    <row x14ac:dyDescent="0.25" r="454" customHeight="1" ht="24.75">
      <c r="A454" s="1"/>
      <c r="B454" s="1"/>
      <c r="C454" s="1"/>
      <c r="D454" s="1"/>
      <c r="E454" s="1"/>
      <c r="F454" s="1"/>
      <c r="G454" s="1"/>
      <c r="H454" s="1"/>
      <c r="I454" s="1"/>
      <c r="J454" s="1"/>
      <c r="K454" s="17"/>
      <c r="L454" s="1"/>
      <c r="M454" s="1"/>
      <c r="N454" s="2"/>
      <c r="O454" s="2"/>
      <c r="P454" s="1"/>
      <c r="Q454" s="1"/>
      <c r="R454" s="1"/>
      <c r="S454" s="1"/>
      <c r="T454" s="40"/>
      <c r="U454" s="40"/>
      <c r="V454" s="40"/>
      <c r="W454" s="40"/>
      <c r="X454" s="22"/>
      <c r="Y454" s="22"/>
      <c r="Z454" s="22"/>
      <c r="AA454" s="22"/>
      <c r="AB454" s="22"/>
      <c r="AC454" s="22"/>
      <c r="AD454" s="22"/>
      <c r="AE454" s="22"/>
      <c r="AF454" s="22"/>
      <c r="AG454" s="22"/>
      <c r="AH454" s="22"/>
      <c r="AI454" s="22"/>
      <c r="AJ454" s="40"/>
      <c r="AK454" s="22"/>
      <c r="AL454" s="22"/>
      <c r="AM454" s="22"/>
      <c r="AN454" s="22"/>
      <c r="AO454" s="40"/>
      <c r="AP454" s="40"/>
      <c r="AQ454" s="40"/>
      <c r="AR454" s="1"/>
      <c r="AS454" s="1"/>
      <c r="AT454" s="17"/>
      <c r="AU454" s="1"/>
      <c r="AV454" s="1"/>
      <c r="AW454" s="1"/>
      <c r="AX454" s="2"/>
      <c r="AY454" s="2"/>
      <c r="AZ454" s="1"/>
    </row>
    <row x14ac:dyDescent="0.25" r="455" customHeight="1" ht="24.75">
      <c r="A455" s="1"/>
      <c r="B455" s="1"/>
      <c r="C455" s="1"/>
      <c r="D455" s="1"/>
      <c r="E455" s="1"/>
      <c r="F455" s="1"/>
      <c r="G455" s="1"/>
      <c r="H455" s="1"/>
      <c r="I455" s="1"/>
      <c r="J455" s="1"/>
      <c r="K455" s="17"/>
      <c r="L455" s="1"/>
      <c r="M455" s="1"/>
      <c r="N455" s="2"/>
      <c r="O455" s="2"/>
      <c r="P455" s="1"/>
      <c r="Q455" s="1"/>
      <c r="R455" s="1"/>
      <c r="S455" s="1"/>
      <c r="T455" s="40"/>
      <c r="U455" s="40"/>
      <c r="V455" s="40"/>
      <c r="W455" s="40"/>
      <c r="X455" s="22"/>
      <c r="Y455" s="22"/>
      <c r="Z455" s="22"/>
      <c r="AA455" s="22"/>
      <c r="AB455" s="22"/>
      <c r="AC455" s="22"/>
      <c r="AD455" s="22"/>
      <c r="AE455" s="22"/>
      <c r="AF455" s="22"/>
      <c r="AG455" s="22"/>
      <c r="AH455" s="22"/>
      <c r="AI455" s="22"/>
      <c r="AJ455" s="40"/>
      <c r="AK455" s="22"/>
      <c r="AL455" s="22"/>
      <c r="AM455" s="22"/>
      <c r="AN455" s="22"/>
      <c r="AO455" s="40"/>
      <c r="AP455" s="40"/>
      <c r="AQ455" s="40"/>
      <c r="AR455" s="1"/>
      <c r="AS455" s="1"/>
      <c r="AT455" s="17"/>
      <c r="AU455" s="1"/>
      <c r="AV455" s="1"/>
      <c r="AW455" s="1"/>
      <c r="AX455" s="2"/>
      <c r="AY455" s="2"/>
      <c r="AZ455" s="1"/>
    </row>
    <row x14ac:dyDescent="0.25" r="456" customHeight="1" ht="24.75">
      <c r="A456" s="1"/>
      <c r="B456" s="1"/>
      <c r="C456" s="1"/>
      <c r="D456" s="1"/>
      <c r="E456" s="1"/>
      <c r="F456" s="1"/>
      <c r="G456" s="1"/>
      <c r="H456" s="1"/>
      <c r="I456" s="1"/>
      <c r="J456" s="1"/>
      <c r="K456" s="17"/>
      <c r="L456" s="1"/>
      <c r="M456" s="1"/>
      <c r="N456" s="2"/>
      <c r="O456" s="2"/>
      <c r="P456" s="1"/>
      <c r="Q456" s="1"/>
      <c r="R456" s="1"/>
      <c r="S456" s="1"/>
      <c r="T456" s="40"/>
      <c r="U456" s="40"/>
      <c r="V456" s="40"/>
      <c r="W456" s="40"/>
      <c r="X456" s="22"/>
      <c r="Y456" s="22"/>
      <c r="Z456" s="22"/>
      <c r="AA456" s="22"/>
      <c r="AB456" s="22"/>
      <c r="AC456" s="22"/>
      <c r="AD456" s="22"/>
      <c r="AE456" s="22"/>
      <c r="AF456" s="22"/>
      <c r="AG456" s="22"/>
      <c r="AH456" s="22"/>
      <c r="AI456" s="22"/>
      <c r="AJ456" s="40"/>
      <c r="AK456" s="22"/>
      <c r="AL456" s="22"/>
      <c r="AM456" s="22"/>
      <c r="AN456" s="22"/>
      <c r="AO456" s="40"/>
      <c r="AP456" s="40"/>
      <c r="AQ456" s="40"/>
      <c r="AR456" s="1"/>
      <c r="AS456" s="1"/>
      <c r="AT456" s="17"/>
      <c r="AU456" s="1"/>
      <c r="AV456" s="1"/>
      <c r="AW456" s="1"/>
      <c r="AX456" s="2"/>
      <c r="AY456" s="2"/>
      <c r="AZ456" s="1"/>
    </row>
    <row x14ac:dyDescent="0.25" r="457" customHeight="1" ht="24.75">
      <c r="A457" s="1"/>
      <c r="B457" s="1"/>
      <c r="C457" s="1"/>
      <c r="D457" s="1"/>
      <c r="E457" s="1"/>
      <c r="F457" s="1"/>
      <c r="G457" s="1"/>
      <c r="H457" s="1"/>
      <c r="I457" s="1"/>
      <c r="J457" s="1"/>
      <c r="K457" s="17"/>
      <c r="L457" s="1"/>
      <c r="M457" s="1"/>
      <c r="N457" s="2"/>
      <c r="O457" s="2"/>
      <c r="P457" s="1"/>
      <c r="Q457" s="1"/>
      <c r="R457" s="1"/>
      <c r="S457" s="1"/>
      <c r="T457" s="40"/>
      <c r="U457" s="40"/>
      <c r="V457" s="40"/>
      <c r="W457" s="40"/>
      <c r="X457" s="22"/>
      <c r="Y457" s="22"/>
      <c r="Z457" s="22"/>
      <c r="AA457" s="22"/>
      <c r="AB457" s="22"/>
      <c r="AC457" s="22"/>
      <c r="AD457" s="22"/>
      <c r="AE457" s="22"/>
      <c r="AF457" s="22"/>
      <c r="AG457" s="22"/>
      <c r="AH457" s="22"/>
      <c r="AI457" s="22"/>
      <c r="AJ457" s="40"/>
      <c r="AK457" s="22"/>
      <c r="AL457" s="22"/>
      <c r="AM457" s="22"/>
      <c r="AN457" s="22"/>
      <c r="AO457" s="40"/>
      <c r="AP457" s="40"/>
      <c r="AQ457" s="40"/>
      <c r="AR457" s="1"/>
      <c r="AS457" s="1"/>
      <c r="AT457" s="17"/>
      <c r="AU457" s="1"/>
      <c r="AV457" s="1"/>
      <c r="AW457" s="1"/>
      <c r="AX457" s="2"/>
      <c r="AY457" s="2"/>
      <c r="AZ457" s="1"/>
    </row>
    <row x14ac:dyDescent="0.25" r="458" customHeight="1" ht="24.75">
      <c r="A458" s="1"/>
      <c r="B458" s="1"/>
      <c r="C458" s="1"/>
      <c r="D458" s="1"/>
      <c r="E458" s="1"/>
      <c r="F458" s="1"/>
      <c r="G458" s="1"/>
      <c r="H458" s="1"/>
      <c r="I458" s="1"/>
      <c r="J458" s="1"/>
      <c r="K458" s="17"/>
      <c r="L458" s="1"/>
      <c r="M458" s="1"/>
      <c r="N458" s="2"/>
      <c r="O458" s="2"/>
      <c r="P458" s="1"/>
      <c r="Q458" s="1"/>
      <c r="R458" s="1"/>
      <c r="S458" s="1"/>
      <c r="T458" s="40"/>
      <c r="U458" s="40"/>
      <c r="V458" s="40"/>
      <c r="W458" s="40"/>
      <c r="X458" s="22"/>
      <c r="Y458" s="22"/>
      <c r="Z458" s="22"/>
      <c r="AA458" s="22"/>
      <c r="AB458" s="22"/>
      <c r="AC458" s="22"/>
      <c r="AD458" s="22"/>
      <c r="AE458" s="22"/>
      <c r="AF458" s="22"/>
      <c r="AG458" s="22"/>
      <c r="AH458" s="22"/>
      <c r="AI458" s="22"/>
      <c r="AJ458" s="40"/>
      <c r="AK458" s="22"/>
      <c r="AL458" s="22"/>
      <c r="AM458" s="22"/>
      <c r="AN458" s="22"/>
      <c r="AO458" s="40"/>
      <c r="AP458" s="40"/>
      <c r="AQ458" s="40"/>
      <c r="AR458" s="1"/>
      <c r="AS458" s="1"/>
      <c r="AT458" s="17"/>
      <c r="AU458" s="1"/>
      <c r="AV458" s="1"/>
      <c r="AW458" s="1"/>
      <c r="AX458" s="2"/>
      <c r="AY458" s="2"/>
      <c r="AZ458" s="1"/>
    </row>
    <row x14ac:dyDescent="0.25" r="459" customHeight="1" ht="24.75">
      <c r="A459" s="1"/>
      <c r="B459" s="1"/>
      <c r="C459" s="1"/>
      <c r="D459" s="1"/>
      <c r="E459" s="1"/>
      <c r="F459" s="1"/>
      <c r="G459" s="1"/>
      <c r="H459" s="1"/>
      <c r="I459" s="1"/>
      <c r="J459" s="1"/>
      <c r="K459" s="17"/>
      <c r="L459" s="1"/>
      <c r="M459" s="1"/>
      <c r="N459" s="2"/>
      <c r="O459" s="2"/>
      <c r="P459" s="1"/>
      <c r="Q459" s="1"/>
      <c r="R459" s="1"/>
      <c r="S459" s="1"/>
      <c r="T459" s="40"/>
      <c r="U459" s="40"/>
      <c r="V459" s="40"/>
      <c r="W459" s="40"/>
      <c r="X459" s="22"/>
      <c r="Y459" s="22"/>
      <c r="Z459" s="22"/>
      <c r="AA459" s="22"/>
      <c r="AB459" s="22"/>
      <c r="AC459" s="22"/>
      <c r="AD459" s="22"/>
      <c r="AE459" s="22"/>
      <c r="AF459" s="22"/>
      <c r="AG459" s="22"/>
      <c r="AH459" s="22"/>
      <c r="AI459" s="22"/>
      <c r="AJ459" s="40"/>
      <c r="AK459" s="22"/>
      <c r="AL459" s="22"/>
      <c r="AM459" s="22"/>
      <c r="AN459" s="22"/>
      <c r="AO459" s="40"/>
      <c r="AP459" s="40"/>
      <c r="AQ459" s="40"/>
      <c r="AR459" s="1"/>
      <c r="AS459" s="1"/>
      <c r="AT459" s="17"/>
      <c r="AU459" s="1"/>
      <c r="AV459" s="1"/>
      <c r="AW459" s="1"/>
      <c r="AX459" s="2"/>
      <c r="AY459" s="2"/>
      <c r="AZ459" s="1"/>
    </row>
    <row x14ac:dyDescent="0.25" r="460" customHeight="1" ht="24.75">
      <c r="A460" s="1"/>
      <c r="B460" s="1"/>
      <c r="C460" s="1"/>
      <c r="D460" s="1"/>
      <c r="E460" s="1"/>
      <c r="F460" s="1"/>
      <c r="G460" s="1"/>
      <c r="H460" s="1"/>
      <c r="I460" s="1"/>
      <c r="J460" s="1"/>
      <c r="K460" s="17"/>
      <c r="L460" s="1"/>
      <c r="M460" s="1"/>
      <c r="N460" s="2"/>
      <c r="O460" s="2"/>
      <c r="P460" s="1"/>
      <c r="Q460" s="1"/>
      <c r="R460" s="1"/>
      <c r="S460" s="1"/>
      <c r="T460" s="40"/>
      <c r="U460" s="40"/>
      <c r="V460" s="40"/>
      <c r="W460" s="40"/>
      <c r="X460" s="22"/>
      <c r="Y460" s="22"/>
      <c r="Z460" s="22"/>
      <c r="AA460" s="22"/>
      <c r="AB460" s="22"/>
      <c r="AC460" s="22"/>
      <c r="AD460" s="22"/>
      <c r="AE460" s="22"/>
      <c r="AF460" s="22"/>
      <c r="AG460" s="22"/>
      <c r="AH460" s="22"/>
      <c r="AI460" s="22"/>
      <c r="AJ460" s="40"/>
      <c r="AK460" s="22"/>
      <c r="AL460" s="22"/>
      <c r="AM460" s="22"/>
      <c r="AN460" s="22"/>
      <c r="AO460" s="40"/>
      <c r="AP460" s="40"/>
      <c r="AQ460" s="40"/>
      <c r="AR460" s="1"/>
      <c r="AS460" s="1"/>
      <c r="AT460" s="17"/>
      <c r="AU460" s="1"/>
      <c r="AV460" s="1"/>
      <c r="AW460" s="1"/>
      <c r="AX460" s="2"/>
      <c r="AY460" s="2"/>
      <c r="AZ460" s="1"/>
    </row>
    <row x14ac:dyDescent="0.25" r="461" customHeight="1" ht="24.75">
      <c r="A461" s="1"/>
      <c r="B461" s="1"/>
      <c r="C461" s="1"/>
      <c r="D461" s="1"/>
      <c r="E461" s="1"/>
      <c r="F461" s="1"/>
      <c r="G461" s="1"/>
      <c r="H461" s="1"/>
      <c r="I461" s="1"/>
      <c r="J461" s="1"/>
      <c r="K461" s="17"/>
      <c r="L461" s="1"/>
      <c r="M461" s="1"/>
      <c r="N461" s="2"/>
      <c r="O461" s="2"/>
      <c r="P461" s="1"/>
      <c r="Q461" s="1"/>
      <c r="R461" s="1"/>
      <c r="S461" s="1"/>
      <c r="T461" s="40"/>
      <c r="U461" s="40"/>
      <c r="V461" s="40"/>
      <c r="W461" s="40"/>
      <c r="X461" s="22"/>
      <c r="Y461" s="22"/>
      <c r="Z461" s="22"/>
      <c r="AA461" s="22"/>
      <c r="AB461" s="22"/>
      <c r="AC461" s="22"/>
      <c r="AD461" s="22"/>
      <c r="AE461" s="22"/>
      <c r="AF461" s="22"/>
      <c r="AG461" s="22"/>
      <c r="AH461" s="22"/>
      <c r="AI461" s="22"/>
      <c r="AJ461" s="40"/>
      <c r="AK461" s="22"/>
      <c r="AL461" s="22"/>
      <c r="AM461" s="22"/>
      <c r="AN461" s="22"/>
      <c r="AO461" s="40"/>
      <c r="AP461" s="40"/>
      <c r="AQ461" s="40"/>
      <c r="AR461" s="1"/>
      <c r="AS461" s="1"/>
      <c r="AT461" s="17"/>
      <c r="AU461" s="1"/>
      <c r="AV461" s="1"/>
      <c r="AW461" s="1"/>
      <c r="AX461" s="2"/>
      <c r="AY461" s="2"/>
      <c r="AZ461" s="1"/>
    </row>
    <row x14ac:dyDescent="0.25" r="462" customHeight="1" ht="24.75">
      <c r="A462" s="1"/>
      <c r="B462" s="1"/>
      <c r="C462" s="1"/>
      <c r="D462" s="1"/>
      <c r="E462" s="1"/>
      <c r="F462" s="1"/>
      <c r="G462" s="1"/>
      <c r="H462" s="1"/>
      <c r="I462" s="1"/>
      <c r="J462" s="1"/>
      <c r="K462" s="17"/>
      <c r="L462" s="1"/>
      <c r="M462" s="1"/>
      <c r="N462" s="2"/>
      <c r="O462" s="2"/>
      <c r="P462" s="1"/>
      <c r="Q462" s="1"/>
      <c r="R462" s="1"/>
      <c r="S462" s="1"/>
      <c r="T462" s="40"/>
      <c r="U462" s="40"/>
      <c r="V462" s="40"/>
      <c r="W462" s="40"/>
      <c r="X462" s="22"/>
      <c r="Y462" s="22"/>
      <c r="Z462" s="22"/>
      <c r="AA462" s="22"/>
      <c r="AB462" s="22"/>
      <c r="AC462" s="22"/>
      <c r="AD462" s="22"/>
      <c r="AE462" s="22"/>
      <c r="AF462" s="22"/>
      <c r="AG462" s="22"/>
      <c r="AH462" s="22"/>
      <c r="AI462" s="22"/>
      <c r="AJ462" s="40"/>
      <c r="AK462" s="22"/>
      <c r="AL462" s="22"/>
      <c r="AM462" s="22"/>
      <c r="AN462" s="22"/>
      <c r="AO462" s="40"/>
      <c r="AP462" s="40"/>
      <c r="AQ462" s="40"/>
      <c r="AR462" s="1"/>
      <c r="AS462" s="1"/>
      <c r="AT462" s="17"/>
      <c r="AU462" s="1"/>
      <c r="AV462" s="1"/>
      <c r="AW462" s="1"/>
      <c r="AX462" s="2"/>
      <c r="AY462" s="2"/>
      <c r="AZ462" s="1"/>
    </row>
    <row x14ac:dyDescent="0.25" r="463" customHeight="1" ht="24.75">
      <c r="A463" s="1"/>
      <c r="B463" s="1"/>
      <c r="C463" s="1"/>
      <c r="D463" s="1"/>
      <c r="E463" s="1"/>
      <c r="F463" s="1"/>
      <c r="G463" s="1"/>
      <c r="H463" s="1"/>
      <c r="I463" s="1"/>
      <c r="J463" s="1"/>
      <c r="K463" s="17"/>
      <c r="L463" s="1"/>
      <c r="M463" s="1"/>
      <c r="N463" s="2"/>
      <c r="O463" s="2"/>
      <c r="P463" s="1"/>
      <c r="Q463" s="1"/>
      <c r="R463" s="1"/>
      <c r="S463" s="1"/>
      <c r="T463" s="40"/>
      <c r="U463" s="40"/>
      <c r="V463" s="40"/>
      <c r="W463" s="40"/>
      <c r="X463" s="22"/>
      <c r="Y463" s="22"/>
      <c r="Z463" s="22"/>
      <c r="AA463" s="22"/>
      <c r="AB463" s="22"/>
      <c r="AC463" s="22"/>
      <c r="AD463" s="22"/>
      <c r="AE463" s="22"/>
      <c r="AF463" s="22"/>
      <c r="AG463" s="22"/>
      <c r="AH463" s="22"/>
      <c r="AI463" s="22"/>
      <c r="AJ463" s="40"/>
      <c r="AK463" s="22"/>
      <c r="AL463" s="22"/>
      <c r="AM463" s="22"/>
      <c r="AN463" s="22"/>
      <c r="AO463" s="40"/>
      <c r="AP463" s="40"/>
      <c r="AQ463" s="40"/>
      <c r="AR463" s="1"/>
      <c r="AS463" s="1"/>
      <c r="AT463" s="17"/>
      <c r="AU463" s="1"/>
      <c r="AV463" s="1"/>
      <c r="AW463" s="1"/>
      <c r="AX463" s="2"/>
      <c r="AY463" s="2"/>
      <c r="AZ463" s="1"/>
    </row>
    <row x14ac:dyDescent="0.25" r="464" customHeight="1" ht="24.75">
      <c r="A464" s="1"/>
      <c r="B464" s="1"/>
      <c r="C464" s="1"/>
      <c r="D464" s="1"/>
      <c r="E464" s="1"/>
      <c r="F464" s="1"/>
      <c r="G464" s="1"/>
      <c r="H464" s="1"/>
      <c r="I464" s="1"/>
      <c r="J464" s="1"/>
      <c r="K464" s="17"/>
      <c r="L464" s="1"/>
      <c r="M464" s="1"/>
      <c r="N464" s="2"/>
      <c r="O464" s="2"/>
      <c r="P464" s="1"/>
      <c r="Q464" s="1"/>
      <c r="R464" s="1"/>
      <c r="S464" s="1"/>
      <c r="T464" s="40"/>
      <c r="U464" s="40"/>
      <c r="V464" s="40"/>
      <c r="W464" s="40"/>
      <c r="X464" s="22"/>
      <c r="Y464" s="22"/>
      <c r="Z464" s="22"/>
      <c r="AA464" s="22"/>
      <c r="AB464" s="22"/>
      <c r="AC464" s="22"/>
      <c r="AD464" s="22"/>
      <c r="AE464" s="22"/>
      <c r="AF464" s="22"/>
      <c r="AG464" s="22"/>
      <c r="AH464" s="22"/>
      <c r="AI464" s="22"/>
      <c r="AJ464" s="40"/>
      <c r="AK464" s="22"/>
      <c r="AL464" s="22"/>
      <c r="AM464" s="22"/>
      <c r="AN464" s="22"/>
      <c r="AO464" s="40"/>
      <c r="AP464" s="40"/>
      <c r="AQ464" s="40"/>
      <c r="AR464" s="1"/>
      <c r="AS464" s="1"/>
      <c r="AT464" s="17"/>
      <c r="AU464" s="1"/>
      <c r="AV464" s="1"/>
      <c r="AW464" s="1"/>
      <c r="AX464" s="2"/>
      <c r="AY464" s="2"/>
      <c r="AZ464" s="1"/>
    </row>
    <row x14ac:dyDescent="0.25" r="465" customHeight="1" ht="24.75">
      <c r="A465" s="1"/>
      <c r="B465" s="1"/>
      <c r="C465" s="1"/>
      <c r="D465" s="1"/>
      <c r="E465" s="1"/>
      <c r="F465" s="1"/>
      <c r="G465" s="1"/>
      <c r="H465" s="1"/>
      <c r="I465" s="1"/>
      <c r="J465" s="1"/>
      <c r="K465" s="17"/>
      <c r="L465" s="1"/>
      <c r="M465" s="1"/>
      <c r="N465" s="2"/>
      <c r="O465" s="2"/>
      <c r="P465" s="1"/>
      <c r="Q465" s="1"/>
      <c r="R465" s="1"/>
      <c r="S465" s="1"/>
      <c r="T465" s="40"/>
      <c r="U465" s="40"/>
      <c r="V465" s="40"/>
      <c r="W465" s="40"/>
      <c r="X465" s="22"/>
      <c r="Y465" s="22"/>
      <c r="Z465" s="22"/>
      <c r="AA465" s="22"/>
      <c r="AB465" s="22"/>
      <c r="AC465" s="22"/>
      <c r="AD465" s="22"/>
      <c r="AE465" s="22"/>
      <c r="AF465" s="22"/>
      <c r="AG465" s="22"/>
      <c r="AH465" s="22"/>
      <c r="AI465" s="22"/>
      <c r="AJ465" s="40"/>
      <c r="AK465" s="22"/>
      <c r="AL465" s="22"/>
      <c r="AM465" s="22"/>
      <c r="AN465" s="22"/>
      <c r="AO465" s="40"/>
      <c r="AP465" s="40"/>
      <c r="AQ465" s="40"/>
      <c r="AR465" s="1"/>
      <c r="AS465" s="1"/>
      <c r="AT465" s="17"/>
      <c r="AU465" s="1"/>
      <c r="AV465" s="1"/>
      <c r="AW465" s="1"/>
      <c r="AX465" s="2"/>
      <c r="AY465" s="2"/>
      <c r="AZ465" s="1"/>
    </row>
    <row x14ac:dyDescent="0.25" r="466" customHeight="1" ht="24.75">
      <c r="A466" s="1"/>
      <c r="B466" s="1"/>
      <c r="C466" s="1"/>
      <c r="D466" s="1"/>
      <c r="E466" s="1"/>
      <c r="F466" s="1"/>
      <c r="G466" s="1"/>
      <c r="H466" s="1"/>
      <c r="I466" s="1"/>
      <c r="J466" s="1"/>
      <c r="K466" s="17"/>
      <c r="L466" s="1"/>
      <c r="M466" s="1"/>
      <c r="N466" s="2"/>
      <c r="O466" s="2"/>
      <c r="P466" s="1"/>
      <c r="Q466" s="1"/>
      <c r="R466" s="1"/>
      <c r="S466" s="1"/>
      <c r="T466" s="40"/>
      <c r="U466" s="40"/>
      <c r="V466" s="40"/>
      <c r="W466" s="40"/>
      <c r="X466" s="22"/>
      <c r="Y466" s="22"/>
      <c r="Z466" s="22"/>
      <c r="AA466" s="22"/>
      <c r="AB466" s="22"/>
      <c r="AC466" s="22"/>
      <c r="AD466" s="22"/>
      <c r="AE466" s="22"/>
      <c r="AF466" s="22"/>
      <c r="AG466" s="22"/>
      <c r="AH466" s="22"/>
      <c r="AI466" s="22"/>
      <c r="AJ466" s="40"/>
      <c r="AK466" s="22"/>
      <c r="AL466" s="22"/>
      <c r="AM466" s="22"/>
      <c r="AN466" s="22"/>
      <c r="AO466" s="40"/>
      <c r="AP466" s="40"/>
      <c r="AQ466" s="40"/>
      <c r="AR466" s="1"/>
      <c r="AS466" s="1"/>
      <c r="AT466" s="17"/>
      <c r="AU466" s="1"/>
      <c r="AV466" s="1"/>
      <c r="AW466" s="1"/>
      <c r="AX466" s="2"/>
      <c r="AY466" s="2"/>
      <c r="AZ466" s="1"/>
    </row>
    <row x14ac:dyDescent="0.25" r="467" customHeight="1" ht="24.75">
      <c r="A467" s="1"/>
      <c r="B467" s="1"/>
      <c r="C467" s="1"/>
      <c r="D467" s="1"/>
      <c r="E467" s="1"/>
      <c r="F467" s="1"/>
      <c r="G467" s="1"/>
      <c r="H467" s="1"/>
      <c r="I467" s="1"/>
      <c r="J467" s="1"/>
      <c r="K467" s="17"/>
      <c r="L467" s="1"/>
      <c r="M467" s="1"/>
      <c r="N467" s="2"/>
      <c r="O467" s="2"/>
      <c r="P467" s="1"/>
      <c r="Q467" s="1"/>
      <c r="R467" s="1"/>
      <c r="S467" s="1"/>
      <c r="T467" s="40"/>
      <c r="U467" s="40"/>
      <c r="V467" s="40"/>
      <c r="W467" s="40"/>
      <c r="X467" s="22"/>
      <c r="Y467" s="22"/>
      <c r="Z467" s="22"/>
      <c r="AA467" s="22"/>
      <c r="AB467" s="22"/>
      <c r="AC467" s="22"/>
      <c r="AD467" s="22"/>
      <c r="AE467" s="22"/>
      <c r="AF467" s="22"/>
      <c r="AG467" s="22"/>
      <c r="AH467" s="22"/>
      <c r="AI467" s="22"/>
      <c r="AJ467" s="40"/>
      <c r="AK467" s="22"/>
      <c r="AL467" s="22"/>
      <c r="AM467" s="22"/>
      <c r="AN467" s="22"/>
      <c r="AO467" s="40"/>
      <c r="AP467" s="40"/>
      <c r="AQ467" s="40"/>
      <c r="AR467" s="1"/>
      <c r="AS467" s="1"/>
      <c r="AT467" s="17"/>
      <c r="AU467" s="1"/>
      <c r="AV467" s="1"/>
      <c r="AW467" s="1"/>
      <c r="AX467" s="2"/>
      <c r="AY467" s="2"/>
      <c r="AZ467" s="1"/>
    </row>
    <row x14ac:dyDescent="0.25" r="468" customHeight="1" ht="24.75">
      <c r="A468" s="1"/>
      <c r="B468" s="1"/>
      <c r="C468" s="1"/>
      <c r="D468" s="1"/>
      <c r="E468" s="1"/>
      <c r="F468" s="1"/>
      <c r="G468" s="1"/>
      <c r="H468" s="1"/>
      <c r="I468" s="1"/>
      <c r="J468" s="1"/>
      <c r="K468" s="17"/>
      <c r="L468" s="1"/>
      <c r="M468" s="1"/>
      <c r="N468" s="2"/>
      <c r="O468" s="2"/>
      <c r="P468" s="1"/>
      <c r="Q468" s="1"/>
      <c r="R468" s="1"/>
      <c r="S468" s="1"/>
      <c r="T468" s="40"/>
      <c r="U468" s="40"/>
      <c r="V468" s="40"/>
      <c r="W468" s="40"/>
      <c r="X468" s="22"/>
      <c r="Y468" s="22"/>
      <c r="Z468" s="22"/>
      <c r="AA468" s="22"/>
      <c r="AB468" s="22"/>
      <c r="AC468" s="22"/>
      <c r="AD468" s="22"/>
      <c r="AE468" s="22"/>
      <c r="AF468" s="22"/>
      <c r="AG468" s="22"/>
      <c r="AH468" s="22"/>
      <c r="AI468" s="22"/>
      <c r="AJ468" s="40"/>
      <c r="AK468" s="22"/>
      <c r="AL468" s="22"/>
      <c r="AM468" s="22"/>
      <c r="AN468" s="22"/>
      <c r="AO468" s="40"/>
      <c r="AP468" s="40"/>
      <c r="AQ468" s="40"/>
      <c r="AR468" s="1"/>
      <c r="AS468" s="1"/>
      <c r="AT468" s="17"/>
      <c r="AU468" s="1"/>
      <c r="AV468" s="1"/>
      <c r="AW468" s="1"/>
      <c r="AX468" s="2"/>
      <c r="AY468" s="2"/>
      <c r="AZ468" s="1"/>
    </row>
    <row x14ac:dyDescent="0.25" r="469" customHeight="1" ht="24.75">
      <c r="A469" s="1"/>
      <c r="B469" s="1"/>
      <c r="C469" s="1"/>
      <c r="D469" s="1"/>
      <c r="E469" s="1"/>
      <c r="F469" s="1"/>
      <c r="G469" s="1"/>
      <c r="H469" s="1"/>
      <c r="I469" s="1"/>
      <c r="J469" s="1"/>
      <c r="K469" s="17"/>
      <c r="L469" s="1"/>
      <c r="M469" s="1"/>
      <c r="N469" s="2"/>
      <c r="O469" s="2"/>
      <c r="P469" s="1"/>
      <c r="Q469" s="1"/>
      <c r="R469" s="1"/>
      <c r="S469" s="1"/>
      <c r="T469" s="40"/>
      <c r="U469" s="40"/>
      <c r="V469" s="40"/>
      <c r="W469" s="40"/>
      <c r="X469" s="22"/>
      <c r="Y469" s="22"/>
      <c r="Z469" s="22"/>
      <c r="AA469" s="22"/>
      <c r="AB469" s="22"/>
      <c r="AC469" s="22"/>
      <c r="AD469" s="22"/>
      <c r="AE469" s="22"/>
      <c r="AF469" s="22"/>
      <c r="AG469" s="22"/>
      <c r="AH469" s="22"/>
      <c r="AI469" s="22"/>
      <c r="AJ469" s="40"/>
      <c r="AK469" s="22"/>
      <c r="AL469" s="22"/>
      <c r="AM469" s="22"/>
      <c r="AN469" s="22"/>
      <c r="AO469" s="40"/>
      <c r="AP469" s="40"/>
      <c r="AQ469" s="40"/>
      <c r="AR469" s="1"/>
      <c r="AS469" s="1"/>
      <c r="AT469" s="17"/>
      <c r="AU469" s="1"/>
      <c r="AV469" s="1"/>
      <c r="AW469" s="1"/>
      <c r="AX469" s="2"/>
      <c r="AY469" s="2"/>
      <c r="AZ469" s="1"/>
    </row>
    <row x14ac:dyDescent="0.25" r="470" customHeight="1" ht="24.75">
      <c r="A470" s="1"/>
      <c r="B470" s="1"/>
      <c r="C470" s="1"/>
      <c r="D470" s="1"/>
      <c r="E470" s="1"/>
      <c r="F470" s="1"/>
      <c r="G470" s="1"/>
      <c r="H470" s="1"/>
      <c r="I470" s="1"/>
      <c r="J470" s="1"/>
      <c r="K470" s="17"/>
      <c r="L470" s="1"/>
      <c r="M470" s="1"/>
      <c r="N470" s="2"/>
      <c r="O470" s="2"/>
      <c r="P470" s="1"/>
      <c r="Q470" s="1"/>
      <c r="R470" s="1"/>
      <c r="S470" s="1"/>
      <c r="T470" s="40"/>
      <c r="U470" s="40"/>
      <c r="V470" s="40"/>
      <c r="W470" s="40"/>
      <c r="X470" s="22"/>
      <c r="Y470" s="22"/>
      <c r="Z470" s="22"/>
      <c r="AA470" s="22"/>
      <c r="AB470" s="22"/>
      <c r="AC470" s="22"/>
      <c r="AD470" s="22"/>
      <c r="AE470" s="22"/>
      <c r="AF470" s="22"/>
      <c r="AG470" s="22"/>
      <c r="AH470" s="22"/>
      <c r="AI470" s="22"/>
      <c r="AJ470" s="40"/>
      <c r="AK470" s="22"/>
      <c r="AL470" s="22"/>
      <c r="AM470" s="22"/>
      <c r="AN470" s="22"/>
      <c r="AO470" s="40"/>
      <c r="AP470" s="40"/>
      <c r="AQ470" s="40"/>
      <c r="AR470" s="1"/>
      <c r="AS470" s="1"/>
      <c r="AT470" s="17"/>
      <c r="AU470" s="1"/>
      <c r="AV470" s="1"/>
      <c r="AW470" s="1"/>
      <c r="AX470" s="2"/>
      <c r="AY470" s="2"/>
      <c r="AZ470" s="1"/>
    </row>
    <row x14ac:dyDescent="0.25" r="471" customHeight="1" ht="24.75">
      <c r="A471" s="1"/>
      <c r="B471" s="1"/>
      <c r="C471" s="1"/>
      <c r="D471" s="1"/>
      <c r="E471" s="1"/>
      <c r="F471" s="1"/>
      <c r="G471" s="1"/>
      <c r="H471" s="1"/>
      <c r="I471" s="1"/>
      <c r="J471" s="1"/>
      <c r="K471" s="17"/>
      <c r="L471" s="1"/>
      <c r="M471" s="1"/>
      <c r="N471" s="2"/>
      <c r="O471" s="2"/>
      <c r="P471" s="1"/>
      <c r="Q471" s="1"/>
      <c r="R471" s="1"/>
      <c r="S471" s="1"/>
      <c r="T471" s="40"/>
      <c r="U471" s="40"/>
      <c r="V471" s="40"/>
      <c r="W471" s="40"/>
      <c r="X471" s="22"/>
      <c r="Y471" s="22"/>
      <c r="Z471" s="22"/>
      <c r="AA471" s="22"/>
      <c r="AB471" s="22"/>
      <c r="AC471" s="22"/>
      <c r="AD471" s="22"/>
      <c r="AE471" s="22"/>
      <c r="AF471" s="22"/>
      <c r="AG471" s="22"/>
      <c r="AH471" s="22"/>
      <c r="AI471" s="22"/>
      <c r="AJ471" s="40"/>
      <c r="AK471" s="22"/>
      <c r="AL471" s="22"/>
      <c r="AM471" s="22"/>
      <c r="AN471" s="22"/>
      <c r="AO471" s="40"/>
      <c r="AP471" s="40"/>
      <c r="AQ471" s="40"/>
      <c r="AR471" s="1"/>
      <c r="AS471" s="1"/>
      <c r="AT471" s="17"/>
      <c r="AU471" s="1"/>
      <c r="AV471" s="1"/>
      <c r="AW471" s="1"/>
      <c r="AX471" s="2"/>
      <c r="AY471" s="2"/>
      <c r="AZ471" s="1"/>
    </row>
    <row x14ac:dyDescent="0.25" r="472" customHeight="1" ht="24.75">
      <c r="A472" s="1"/>
      <c r="B472" s="1"/>
      <c r="C472" s="1"/>
      <c r="D472" s="1"/>
      <c r="E472" s="1"/>
      <c r="F472" s="1"/>
      <c r="G472" s="1"/>
      <c r="H472" s="1"/>
      <c r="I472" s="1"/>
      <c r="J472" s="1"/>
      <c r="K472" s="17"/>
      <c r="L472" s="1"/>
      <c r="M472" s="1"/>
      <c r="N472" s="2"/>
      <c r="O472" s="2"/>
      <c r="P472" s="1"/>
      <c r="Q472" s="1"/>
      <c r="R472" s="1"/>
      <c r="S472" s="1"/>
      <c r="T472" s="40"/>
      <c r="U472" s="40"/>
      <c r="V472" s="40"/>
      <c r="W472" s="40"/>
      <c r="X472" s="22"/>
      <c r="Y472" s="22"/>
      <c r="Z472" s="22"/>
      <c r="AA472" s="22"/>
      <c r="AB472" s="22"/>
      <c r="AC472" s="22"/>
      <c r="AD472" s="22"/>
      <c r="AE472" s="22"/>
      <c r="AF472" s="22"/>
      <c r="AG472" s="22"/>
      <c r="AH472" s="22"/>
      <c r="AI472" s="22"/>
      <c r="AJ472" s="40"/>
      <c r="AK472" s="22"/>
      <c r="AL472" s="22"/>
      <c r="AM472" s="22"/>
      <c r="AN472" s="22"/>
      <c r="AO472" s="40"/>
      <c r="AP472" s="40"/>
      <c r="AQ472" s="40"/>
      <c r="AR472" s="1"/>
      <c r="AS472" s="1"/>
      <c r="AT472" s="17"/>
      <c r="AU472" s="1"/>
      <c r="AV472" s="1"/>
      <c r="AW472" s="1"/>
      <c r="AX472" s="2"/>
      <c r="AY472" s="2"/>
      <c r="AZ472" s="1"/>
    </row>
    <row x14ac:dyDescent="0.25" r="473" customHeight="1" ht="24.75">
      <c r="A473" s="1"/>
      <c r="B473" s="1"/>
      <c r="C473" s="1"/>
      <c r="D473" s="1"/>
      <c r="E473" s="1"/>
      <c r="F473" s="1"/>
      <c r="G473" s="1"/>
      <c r="H473" s="1"/>
      <c r="I473" s="1"/>
      <c r="J473" s="1"/>
      <c r="K473" s="17"/>
      <c r="L473" s="1"/>
      <c r="M473" s="1"/>
      <c r="N473" s="2"/>
      <c r="O473" s="2"/>
      <c r="P473" s="1"/>
      <c r="Q473" s="1"/>
      <c r="R473" s="1"/>
      <c r="S473" s="1"/>
      <c r="T473" s="40"/>
      <c r="U473" s="40"/>
      <c r="V473" s="40"/>
      <c r="W473" s="40"/>
      <c r="X473" s="22"/>
      <c r="Y473" s="22"/>
      <c r="Z473" s="22"/>
      <c r="AA473" s="22"/>
      <c r="AB473" s="22"/>
      <c r="AC473" s="22"/>
      <c r="AD473" s="22"/>
      <c r="AE473" s="22"/>
      <c r="AF473" s="22"/>
      <c r="AG473" s="22"/>
      <c r="AH473" s="22"/>
      <c r="AI473" s="22"/>
      <c r="AJ473" s="40"/>
      <c r="AK473" s="22"/>
      <c r="AL473" s="22"/>
      <c r="AM473" s="22"/>
      <c r="AN473" s="22"/>
      <c r="AO473" s="40"/>
      <c r="AP473" s="40"/>
      <c r="AQ473" s="40"/>
      <c r="AR473" s="1"/>
      <c r="AS473" s="1"/>
      <c r="AT473" s="17"/>
      <c r="AU473" s="1"/>
      <c r="AV473" s="1"/>
      <c r="AW473" s="1"/>
      <c r="AX473" s="2"/>
      <c r="AY473" s="2"/>
      <c r="AZ473" s="1"/>
    </row>
    <row x14ac:dyDescent="0.25" r="474" customHeight="1" ht="24.75">
      <c r="A474" s="1"/>
      <c r="B474" s="1"/>
      <c r="C474" s="1"/>
      <c r="D474" s="1"/>
      <c r="E474" s="1"/>
      <c r="F474" s="1"/>
      <c r="G474" s="1"/>
      <c r="H474" s="1"/>
      <c r="I474" s="1"/>
      <c r="J474" s="1"/>
      <c r="K474" s="17"/>
      <c r="L474" s="1"/>
      <c r="M474" s="1"/>
      <c r="N474" s="2"/>
      <c r="O474" s="2"/>
      <c r="P474" s="1"/>
      <c r="Q474" s="1"/>
      <c r="R474" s="1"/>
      <c r="S474" s="1"/>
      <c r="T474" s="40"/>
      <c r="U474" s="40"/>
      <c r="V474" s="40"/>
      <c r="W474" s="40"/>
      <c r="X474" s="22"/>
      <c r="Y474" s="22"/>
      <c r="Z474" s="22"/>
      <c r="AA474" s="22"/>
      <c r="AB474" s="22"/>
      <c r="AC474" s="22"/>
      <c r="AD474" s="22"/>
      <c r="AE474" s="22"/>
      <c r="AF474" s="22"/>
      <c r="AG474" s="22"/>
      <c r="AH474" s="22"/>
      <c r="AI474" s="22"/>
      <c r="AJ474" s="40"/>
      <c r="AK474" s="22"/>
      <c r="AL474" s="22"/>
      <c r="AM474" s="22"/>
      <c r="AN474" s="22"/>
      <c r="AO474" s="40"/>
      <c r="AP474" s="40"/>
      <c r="AQ474" s="40"/>
      <c r="AR474" s="1"/>
      <c r="AS474" s="1"/>
      <c r="AT474" s="17"/>
      <c r="AU474" s="1"/>
      <c r="AV474" s="1"/>
      <c r="AW474" s="1"/>
      <c r="AX474" s="2"/>
      <c r="AY474" s="2"/>
      <c r="AZ474" s="1"/>
    </row>
    <row x14ac:dyDescent="0.25" r="475" customHeight="1" ht="24.75">
      <c r="A475" s="1"/>
      <c r="B475" s="1"/>
      <c r="C475" s="1"/>
      <c r="D475" s="1"/>
      <c r="E475" s="1"/>
      <c r="F475" s="1"/>
      <c r="G475" s="1"/>
      <c r="H475" s="1"/>
      <c r="I475" s="1"/>
      <c r="J475" s="1"/>
      <c r="K475" s="17"/>
      <c r="L475" s="1"/>
      <c r="M475" s="1"/>
      <c r="N475" s="2"/>
      <c r="O475" s="2"/>
      <c r="P475" s="1"/>
      <c r="Q475" s="1"/>
      <c r="R475" s="1"/>
      <c r="S475" s="1"/>
      <c r="T475" s="40"/>
      <c r="U475" s="40"/>
      <c r="V475" s="40"/>
      <c r="W475" s="40"/>
      <c r="X475" s="22"/>
      <c r="Y475" s="22"/>
      <c r="Z475" s="22"/>
      <c r="AA475" s="22"/>
      <c r="AB475" s="22"/>
      <c r="AC475" s="22"/>
      <c r="AD475" s="22"/>
      <c r="AE475" s="22"/>
      <c r="AF475" s="22"/>
      <c r="AG475" s="22"/>
      <c r="AH475" s="22"/>
      <c r="AI475" s="22"/>
      <c r="AJ475" s="40"/>
      <c r="AK475" s="22"/>
      <c r="AL475" s="22"/>
      <c r="AM475" s="22"/>
      <c r="AN475" s="22"/>
      <c r="AO475" s="40"/>
      <c r="AP475" s="40"/>
      <c r="AQ475" s="40"/>
      <c r="AR475" s="1"/>
      <c r="AS475" s="1"/>
      <c r="AT475" s="17"/>
      <c r="AU475" s="1"/>
      <c r="AV475" s="1"/>
      <c r="AW475" s="1"/>
      <c r="AX475" s="2"/>
      <c r="AY475" s="2"/>
      <c r="AZ475" s="1"/>
    </row>
    <row x14ac:dyDescent="0.25" r="476" customHeight="1" ht="24.75">
      <c r="A476" s="1"/>
      <c r="B476" s="1"/>
      <c r="C476" s="1"/>
      <c r="D476" s="1"/>
      <c r="E476" s="1"/>
      <c r="F476" s="1"/>
      <c r="G476" s="1"/>
      <c r="H476" s="1"/>
      <c r="I476" s="1"/>
      <c r="J476" s="1"/>
      <c r="K476" s="17"/>
      <c r="L476" s="1"/>
      <c r="M476" s="1"/>
      <c r="N476" s="2"/>
      <c r="O476" s="2"/>
      <c r="P476" s="1"/>
      <c r="Q476" s="1"/>
      <c r="R476" s="1"/>
      <c r="S476" s="1"/>
      <c r="T476" s="40"/>
      <c r="U476" s="40"/>
      <c r="V476" s="40"/>
      <c r="W476" s="40"/>
      <c r="X476" s="22"/>
      <c r="Y476" s="22"/>
      <c r="Z476" s="22"/>
      <c r="AA476" s="22"/>
      <c r="AB476" s="22"/>
      <c r="AC476" s="22"/>
      <c r="AD476" s="22"/>
      <c r="AE476" s="22"/>
      <c r="AF476" s="22"/>
      <c r="AG476" s="22"/>
      <c r="AH476" s="22"/>
      <c r="AI476" s="22"/>
      <c r="AJ476" s="40"/>
      <c r="AK476" s="22"/>
      <c r="AL476" s="22"/>
      <c r="AM476" s="22"/>
      <c r="AN476" s="22"/>
      <c r="AO476" s="40"/>
      <c r="AP476" s="40"/>
      <c r="AQ476" s="40"/>
      <c r="AR476" s="1"/>
      <c r="AS476" s="1"/>
      <c r="AT476" s="17"/>
      <c r="AU476" s="1"/>
      <c r="AV476" s="1"/>
      <c r="AW476" s="1"/>
      <c r="AX476" s="2"/>
      <c r="AY476" s="2"/>
      <c r="AZ476" s="1"/>
    </row>
    <row x14ac:dyDescent="0.25" r="477" customHeight="1" ht="24.75">
      <c r="A477" s="1"/>
      <c r="B477" s="1"/>
      <c r="C477" s="1"/>
      <c r="D477" s="1"/>
      <c r="E477" s="1"/>
      <c r="F477" s="1"/>
      <c r="G477" s="1"/>
      <c r="H477" s="1"/>
      <c r="I477" s="1"/>
      <c r="J477" s="1"/>
      <c r="K477" s="17"/>
      <c r="L477" s="1"/>
      <c r="M477" s="1"/>
      <c r="N477" s="2"/>
      <c r="O477" s="2"/>
      <c r="P477" s="1"/>
      <c r="Q477" s="1"/>
      <c r="R477" s="1"/>
      <c r="S477" s="1"/>
      <c r="T477" s="40"/>
      <c r="U477" s="40"/>
      <c r="V477" s="40"/>
      <c r="W477" s="40"/>
      <c r="X477" s="22"/>
      <c r="Y477" s="22"/>
      <c r="Z477" s="22"/>
      <c r="AA477" s="22"/>
      <c r="AB477" s="22"/>
      <c r="AC477" s="22"/>
      <c r="AD477" s="22"/>
      <c r="AE477" s="22"/>
      <c r="AF477" s="22"/>
      <c r="AG477" s="22"/>
      <c r="AH477" s="22"/>
      <c r="AI477" s="22"/>
      <c r="AJ477" s="40"/>
      <c r="AK477" s="22"/>
      <c r="AL477" s="22"/>
      <c r="AM477" s="22"/>
      <c r="AN477" s="22"/>
      <c r="AO477" s="40"/>
      <c r="AP477" s="40"/>
      <c r="AQ477" s="40"/>
      <c r="AR477" s="1"/>
      <c r="AS477" s="1"/>
      <c r="AT477" s="17"/>
      <c r="AU477" s="1"/>
      <c r="AV477" s="1"/>
      <c r="AW477" s="1"/>
      <c r="AX477" s="2"/>
      <c r="AY477" s="2"/>
      <c r="AZ477" s="1"/>
    </row>
    <row x14ac:dyDescent="0.25" r="478" customHeight="1" ht="24.75">
      <c r="A478" s="1"/>
      <c r="B478" s="1"/>
      <c r="C478" s="1"/>
      <c r="D478" s="1"/>
      <c r="E478" s="1"/>
      <c r="F478" s="1"/>
      <c r="G478" s="1"/>
      <c r="H478" s="1"/>
      <c r="I478" s="1"/>
      <c r="J478" s="1"/>
      <c r="K478" s="17"/>
      <c r="L478" s="1"/>
      <c r="M478" s="1"/>
      <c r="N478" s="2"/>
      <c r="O478" s="2"/>
      <c r="P478" s="1"/>
      <c r="Q478" s="1"/>
      <c r="R478" s="1"/>
      <c r="S478" s="1"/>
      <c r="T478" s="40"/>
      <c r="U478" s="40"/>
      <c r="V478" s="40"/>
      <c r="W478" s="40"/>
      <c r="X478" s="22"/>
      <c r="Y478" s="22"/>
      <c r="Z478" s="22"/>
      <c r="AA478" s="22"/>
      <c r="AB478" s="22"/>
      <c r="AC478" s="22"/>
      <c r="AD478" s="22"/>
      <c r="AE478" s="22"/>
      <c r="AF478" s="22"/>
      <c r="AG478" s="22"/>
      <c r="AH478" s="22"/>
      <c r="AI478" s="22"/>
      <c r="AJ478" s="40"/>
      <c r="AK478" s="22"/>
      <c r="AL478" s="22"/>
      <c r="AM478" s="22"/>
      <c r="AN478" s="22"/>
      <c r="AO478" s="40"/>
      <c r="AP478" s="40"/>
      <c r="AQ478" s="40"/>
      <c r="AR478" s="1"/>
      <c r="AS478" s="1"/>
      <c r="AT478" s="17"/>
      <c r="AU478" s="1"/>
      <c r="AV478" s="1"/>
      <c r="AW478" s="1"/>
      <c r="AX478" s="2"/>
      <c r="AY478" s="2"/>
      <c r="AZ478" s="1"/>
    </row>
    <row x14ac:dyDescent="0.25" r="479" customHeight="1" ht="24.75">
      <c r="A479" s="1"/>
      <c r="B479" s="1"/>
      <c r="C479" s="1"/>
      <c r="D479" s="1"/>
      <c r="E479" s="1"/>
      <c r="F479" s="1"/>
      <c r="G479" s="1"/>
      <c r="H479" s="1"/>
      <c r="I479" s="1"/>
      <c r="J479" s="1"/>
      <c r="K479" s="17"/>
      <c r="L479" s="1"/>
      <c r="M479" s="1"/>
      <c r="N479" s="2"/>
      <c r="O479" s="2"/>
      <c r="P479" s="1"/>
      <c r="Q479" s="1"/>
      <c r="R479" s="1"/>
      <c r="S479" s="1"/>
      <c r="T479" s="40"/>
      <c r="U479" s="40"/>
      <c r="V479" s="40"/>
      <c r="W479" s="40"/>
      <c r="X479" s="22"/>
      <c r="Y479" s="22"/>
      <c r="Z479" s="22"/>
      <c r="AA479" s="22"/>
      <c r="AB479" s="22"/>
      <c r="AC479" s="22"/>
      <c r="AD479" s="22"/>
      <c r="AE479" s="22"/>
      <c r="AF479" s="22"/>
      <c r="AG479" s="22"/>
      <c r="AH479" s="22"/>
      <c r="AI479" s="22"/>
      <c r="AJ479" s="40"/>
      <c r="AK479" s="22"/>
      <c r="AL479" s="22"/>
      <c r="AM479" s="22"/>
      <c r="AN479" s="22"/>
      <c r="AO479" s="40"/>
      <c r="AP479" s="40"/>
      <c r="AQ479" s="40"/>
      <c r="AR479" s="1"/>
      <c r="AS479" s="1"/>
      <c r="AT479" s="17"/>
      <c r="AU479" s="1"/>
      <c r="AV479" s="1"/>
      <c r="AW479" s="1"/>
      <c r="AX479" s="2"/>
      <c r="AY479" s="2"/>
      <c r="AZ479" s="1"/>
    </row>
    <row x14ac:dyDescent="0.25" r="480" customHeight="1" ht="24.75">
      <c r="A480" s="1"/>
      <c r="B480" s="1"/>
      <c r="C480" s="1"/>
      <c r="D480" s="1"/>
      <c r="E480" s="1"/>
      <c r="F480" s="1"/>
      <c r="G480" s="1"/>
      <c r="H480" s="1"/>
      <c r="I480" s="1"/>
      <c r="J480" s="1"/>
      <c r="K480" s="17"/>
      <c r="L480" s="1"/>
      <c r="M480" s="1"/>
      <c r="N480" s="2"/>
      <c r="O480" s="2"/>
      <c r="P480" s="1"/>
      <c r="Q480" s="1"/>
      <c r="R480" s="1"/>
      <c r="S480" s="1"/>
      <c r="T480" s="40"/>
      <c r="U480" s="40"/>
      <c r="V480" s="40"/>
      <c r="W480" s="40"/>
      <c r="X480" s="22"/>
      <c r="Y480" s="22"/>
      <c r="Z480" s="22"/>
      <c r="AA480" s="22"/>
      <c r="AB480" s="22"/>
      <c r="AC480" s="22"/>
      <c r="AD480" s="22"/>
      <c r="AE480" s="22"/>
      <c r="AF480" s="22"/>
      <c r="AG480" s="22"/>
      <c r="AH480" s="22"/>
      <c r="AI480" s="22"/>
      <c r="AJ480" s="40"/>
      <c r="AK480" s="22"/>
      <c r="AL480" s="22"/>
      <c r="AM480" s="22"/>
      <c r="AN480" s="22"/>
      <c r="AO480" s="40"/>
      <c r="AP480" s="40"/>
      <c r="AQ480" s="40"/>
      <c r="AR480" s="1"/>
      <c r="AS480" s="1"/>
      <c r="AT480" s="17"/>
      <c r="AU480" s="1"/>
      <c r="AV480" s="1"/>
      <c r="AW480" s="1"/>
      <c r="AX480" s="2"/>
      <c r="AY480" s="2"/>
      <c r="AZ480" s="1"/>
    </row>
    <row x14ac:dyDescent="0.25" r="481" customHeight="1" ht="24.75">
      <c r="A481" s="1"/>
      <c r="B481" s="1"/>
      <c r="C481" s="1"/>
      <c r="D481" s="1"/>
      <c r="E481" s="1"/>
      <c r="F481" s="1"/>
      <c r="G481" s="1"/>
      <c r="H481" s="1"/>
      <c r="I481" s="1"/>
      <c r="J481" s="1"/>
      <c r="K481" s="17"/>
      <c r="L481" s="1"/>
      <c r="M481" s="1"/>
      <c r="N481" s="2"/>
      <c r="O481" s="2"/>
      <c r="P481" s="1"/>
      <c r="Q481" s="1"/>
      <c r="R481" s="1"/>
      <c r="S481" s="1"/>
      <c r="T481" s="40"/>
      <c r="U481" s="40"/>
      <c r="V481" s="40"/>
      <c r="W481" s="40"/>
      <c r="X481" s="22"/>
      <c r="Y481" s="22"/>
      <c r="Z481" s="22"/>
      <c r="AA481" s="22"/>
      <c r="AB481" s="22"/>
      <c r="AC481" s="22"/>
      <c r="AD481" s="22"/>
      <c r="AE481" s="22"/>
      <c r="AF481" s="22"/>
      <c r="AG481" s="22"/>
      <c r="AH481" s="22"/>
      <c r="AI481" s="22"/>
      <c r="AJ481" s="40"/>
      <c r="AK481" s="22"/>
      <c r="AL481" s="22"/>
      <c r="AM481" s="22"/>
      <c r="AN481" s="22"/>
      <c r="AO481" s="40"/>
      <c r="AP481" s="40"/>
      <c r="AQ481" s="40"/>
      <c r="AR481" s="1"/>
      <c r="AS481" s="1"/>
      <c r="AT481" s="17"/>
      <c r="AU481" s="1"/>
      <c r="AV481" s="1"/>
      <c r="AW481" s="1"/>
      <c r="AX481" s="2"/>
      <c r="AY481" s="2"/>
      <c r="AZ481" s="1"/>
    </row>
    <row x14ac:dyDescent="0.25" r="482" customHeight="1" ht="24.75">
      <c r="A482" s="1"/>
      <c r="B482" s="1"/>
      <c r="C482" s="1"/>
      <c r="D482" s="1"/>
      <c r="E482" s="1"/>
      <c r="F482" s="1"/>
      <c r="G482" s="1"/>
      <c r="H482" s="1"/>
      <c r="I482" s="1"/>
      <c r="J482" s="1"/>
      <c r="K482" s="17"/>
      <c r="L482" s="1"/>
      <c r="M482" s="1"/>
      <c r="N482" s="2"/>
      <c r="O482" s="2"/>
      <c r="P482" s="1"/>
      <c r="Q482" s="1"/>
      <c r="R482" s="1"/>
      <c r="S482" s="1"/>
      <c r="T482" s="40"/>
      <c r="U482" s="40"/>
      <c r="V482" s="40"/>
      <c r="W482" s="40"/>
      <c r="X482" s="22"/>
      <c r="Y482" s="22"/>
      <c r="Z482" s="22"/>
      <c r="AA482" s="22"/>
      <c r="AB482" s="22"/>
      <c r="AC482" s="22"/>
      <c r="AD482" s="22"/>
      <c r="AE482" s="22"/>
      <c r="AF482" s="22"/>
      <c r="AG482" s="22"/>
      <c r="AH482" s="22"/>
      <c r="AI482" s="22"/>
      <c r="AJ482" s="40"/>
      <c r="AK482" s="22"/>
      <c r="AL482" s="22"/>
      <c r="AM482" s="22"/>
      <c r="AN482" s="22"/>
      <c r="AO482" s="40"/>
      <c r="AP482" s="40"/>
      <c r="AQ482" s="40"/>
      <c r="AR482" s="1"/>
      <c r="AS482" s="1"/>
      <c r="AT482" s="17"/>
      <c r="AU482" s="1"/>
      <c r="AV482" s="1"/>
      <c r="AW482" s="1"/>
      <c r="AX482" s="2"/>
      <c r="AY482" s="2"/>
      <c r="AZ482" s="1"/>
    </row>
    <row x14ac:dyDescent="0.25" r="483" customHeight="1" ht="24.75">
      <c r="A483" s="1"/>
      <c r="B483" s="1"/>
      <c r="C483" s="1"/>
      <c r="D483" s="1"/>
      <c r="E483" s="1"/>
      <c r="F483" s="1"/>
      <c r="G483" s="1"/>
      <c r="H483" s="1"/>
      <c r="I483" s="1"/>
      <c r="J483" s="1"/>
      <c r="K483" s="17"/>
      <c r="L483" s="1"/>
      <c r="M483" s="1"/>
      <c r="N483" s="2"/>
      <c r="O483" s="2"/>
      <c r="P483" s="1"/>
      <c r="Q483" s="1"/>
      <c r="R483" s="1"/>
      <c r="S483" s="1"/>
      <c r="T483" s="40"/>
      <c r="U483" s="40"/>
      <c r="V483" s="40"/>
      <c r="W483" s="40"/>
      <c r="X483" s="22"/>
      <c r="Y483" s="22"/>
      <c r="Z483" s="22"/>
      <c r="AA483" s="22"/>
      <c r="AB483" s="22"/>
      <c r="AC483" s="22"/>
      <c r="AD483" s="22"/>
      <c r="AE483" s="22"/>
      <c r="AF483" s="22"/>
      <c r="AG483" s="22"/>
      <c r="AH483" s="22"/>
      <c r="AI483" s="22"/>
      <c r="AJ483" s="40"/>
      <c r="AK483" s="22"/>
      <c r="AL483" s="22"/>
      <c r="AM483" s="22"/>
      <c r="AN483" s="22"/>
      <c r="AO483" s="40"/>
      <c r="AP483" s="40"/>
      <c r="AQ483" s="40"/>
      <c r="AR483" s="1"/>
      <c r="AS483" s="1"/>
      <c r="AT483" s="17"/>
      <c r="AU483" s="1"/>
      <c r="AV483" s="1"/>
      <c r="AW483" s="1"/>
      <c r="AX483" s="2"/>
      <c r="AY483" s="2"/>
      <c r="AZ483" s="1"/>
    </row>
    <row x14ac:dyDescent="0.25" r="484" customHeight="1" ht="24.75">
      <c r="A484" s="1"/>
      <c r="B484" s="1"/>
      <c r="C484" s="1"/>
      <c r="D484" s="1"/>
      <c r="E484" s="1"/>
      <c r="F484" s="1"/>
      <c r="G484" s="1"/>
      <c r="H484" s="1"/>
      <c r="I484" s="1"/>
      <c r="J484" s="1"/>
      <c r="K484" s="17"/>
      <c r="L484" s="1"/>
      <c r="M484" s="1"/>
      <c r="N484" s="2"/>
      <c r="O484" s="2"/>
      <c r="P484" s="1"/>
      <c r="Q484" s="1"/>
      <c r="R484" s="1"/>
      <c r="S484" s="1"/>
      <c r="T484" s="40"/>
      <c r="U484" s="40"/>
      <c r="V484" s="40"/>
      <c r="W484" s="40"/>
      <c r="X484" s="22"/>
      <c r="Y484" s="22"/>
      <c r="Z484" s="22"/>
      <c r="AA484" s="22"/>
      <c r="AB484" s="22"/>
      <c r="AC484" s="22"/>
      <c r="AD484" s="22"/>
      <c r="AE484" s="22"/>
      <c r="AF484" s="22"/>
      <c r="AG484" s="22"/>
      <c r="AH484" s="22"/>
      <c r="AI484" s="22"/>
      <c r="AJ484" s="40"/>
      <c r="AK484" s="22"/>
      <c r="AL484" s="22"/>
      <c r="AM484" s="22"/>
      <c r="AN484" s="22"/>
      <c r="AO484" s="40"/>
      <c r="AP484" s="40"/>
      <c r="AQ484" s="40"/>
      <c r="AR484" s="1"/>
      <c r="AS484" s="1"/>
      <c r="AT484" s="17"/>
      <c r="AU484" s="1"/>
      <c r="AV484" s="1"/>
      <c r="AW484" s="1"/>
      <c r="AX484" s="2"/>
      <c r="AY484" s="2"/>
      <c r="AZ484" s="1"/>
    </row>
    <row x14ac:dyDescent="0.25" r="485" customHeight="1" ht="24.75">
      <c r="A485" s="1"/>
      <c r="B485" s="1"/>
      <c r="C485" s="1"/>
      <c r="D485" s="1"/>
      <c r="E485" s="1"/>
      <c r="F485" s="1"/>
      <c r="G485" s="1"/>
      <c r="H485" s="1"/>
      <c r="I485" s="1"/>
      <c r="J485" s="1"/>
      <c r="K485" s="17"/>
      <c r="L485" s="1"/>
      <c r="M485" s="1"/>
      <c r="N485" s="2"/>
      <c r="O485" s="2"/>
      <c r="P485" s="1"/>
      <c r="Q485" s="1"/>
      <c r="R485" s="1"/>
      <c r="S485" s="1"/>
      <c r="T485" s="40"/>
      <c r="U485" s="40"/>
      <c r="V485" s="40"/>
      <c r="W485" s="40"/>
      <c r="X485" s="22"/>
      <c r="Y485" s="22"/>
      <c r="Z485" s="22"/>
      <c r="AA485" s="22"/>
      <c r="AB485" s="22"/>
      <c r="AC485" s="22"/>
      <c r="AD485" s="22"/>
      <c r="AE485" s="22"/>
      <c r="AF485" s="22"/>
      <c r="AG485" s="22"/>
      <c r="AH485" s="22"/>
      <c r="AI485" s="22"/>
      <c r="AJ485" s="40"/>
      <c r="AK485" s="22"/>
      <c r="AL485" s="22"/>
      <c r="AM485" s="22"/>
      <c r="AN485" s="22"/>
      <c r="AO485" s="40"/>
      <c r="AP485" s="40"/>
      <c r="AQ485" s="40"/>
      <c r="AR485" s="1"/>
      <c r="AS485" s="1"/>
      <c r="AT485" s="17"/>
      <c r="AU485" s="1"/>
      <c r="AV485" s="1"/>
      <c r="AW485" s="1"/>
      <c r="AX485" s="2"/>
      <c r="AY485" s="2"/>
      <c r="AZ485" s="1"/>
    </row>
    <row x14ac:dyDescent="0.25" r="486" customHeight="1" ht="24.75">
      <c r="A486" s="1"/>
      <c r="B486" s="1"/>
      <c r="C486" s="1"/>
      <c r="D486" s="1"/>
      <c r="E486" s="1"/>
      <c r="F486" s="1"/>
      <c r="G486" s="1"/>
      <c r="H486" s="1"/>
      <c r="I486" s="1"/>
      <c r="J486" s="1"/>
      <c r="K486" s="17"/>
      <c r="L486" s="1"/>
      <c r="M486" s="1"/>
      <c r="N486" s="2"/>
      <c r="O486" s="2"/>
      <c r="P486" s="1"/>
      <c r="Q486" s="1"/>
      <c r="R486" s="1"/>
      <c r="S486" s="1"/>
      <c r="T486" s="40"/>
      <c r="U486" s="40"/>
      <c r="V486" s="40"/>
      <c r="W486" s="40"/>
      <c r="X486" s="22"/>
      <c r="Y486" s="22"/>
      <c r="Z486" s="22"/>
      <c r="AA486" s="22"/>
      <c r="AB486" s="22"/>
      <c r="AC486" s="22"/>
      <c r="AD486" s="22"/>
      <c r="AE486" s="22"/>
      <c r="AF486" s="22"/>
      <c r="AG486" s="22"/>
      <c r="AH486" s="22"/>
      <c r="AI486" s="22"/>
      <c r="AJ486" s="40"/>
      <c r="AK486" s="22"/>
      <c r="AL486" s="22"/>
      <c r="AM486" s="22"/>
      <c r="AN486" s="22"/>
      <c r="AO486" s="40"/>
      <c r="AP486" s="40"/>
      <c r="AQ486" s="40"/>
      <c r="AR486" s="1"/>
      <c r="AS486" s="1"/>
      <c r="AT486" s="17"/>
      <c r="AU486" s="1"/>
      <c r="AV486" s="1"/>
      <c r="AW486" s="1"/>
      <c r="AX486" s="2"/>
      <c r="AY486" s="2"/>
      <c r="AZ486" s="1"/>
    </row>
    <row x14ac:dyDescent="0.25" r="487" customHeight="1" ht="24.75">
      <c r="A487" s="1"/>
      <c r="B487" s="1"/>
      <c r="C487" s="1"/>
      <c r="D487" s="1"/>
      <c r="E487" s="1"/>
      <c r="F487" s="1"/>
      <c r="G487" s="1"/>
      <c r="H487" s="1"/>
      <c r="I487" s="1"/>
      <c r="J487" s="1"/>
      <c r="K487" s="17"/>
      <c r="L487" s="1"/>
      <c r="M487" s="1"/>
      <c r="N487" s="2"/>
      <c r="O487" s="2"/>
      <c r="P487" s="1"/>
      <c r="Q487" s="1"/>
      <c r="R487" s="1"/>
      <c r="S487" s="1"/>
      <c r="T487" s="40"/>
      <c r="U487" s="40"/>
      <c r="V487" s="40"/>
      <c r="W487" s="40"/>
      <c r="X487" s="22"/>
      <c r="Y487" s="22"/>
      <c r="Z487" s="22"/>
      <c r="AA487" s="22"/>
      <c r="AB487" s="22"/>
      <c r="AC487" s="22"/>
      <c r="AD487" s="22"/>
      <c r="AE487" s="22"/>
      <c r="AF487" s="22"/>
      <c r="AG487" s="22"/>
      <c r="AH487" s="22"/>
      <c r="AI487" s="22"/>
      <c r="AJ487" s="40"/>
      <c r="AK487" s="22"/>
      <c r="AL487" s="22"/>
      <c r="AM487" s="22"/>
      <c r="AN487" s="22"/>
      <c r="AO487" s="40"/>
      <c r="AP487" s="40"/>
      <c r="AQ487" s="40"/>
      <c r="AR487" s="1"/>
      <c r="AS487" s="1"/>
      <c r="AT487" s="17"/>
      <c r="AU487" s="1"/>
      <c r="AV487" s="1"/>
      <c r="AW487" s="1"/>
      <c r="AX487" s="2"/>
      <c r="AY487" s="2"/>
      <c r="AZ487" s="1"/>
    </row>
    <row x14ac:dyDescent="0.25" r="488" customHeight="1" ht="24.75">
      <c r="A488" s="1"/>
      <c r="B488" s="1"/>
      <c r="C488" s="1"/>
      <c r="D488" s="1"/>
      <c r="E488" s="1"/>
      <c r="F488" s="1"/>
      <c r="G488" s="1"/>
      <c r="H488" s="1"/>
      <c r="I488" s="1"/>
      <c r="J488" s="1"/>
      <c r="K488" s="17"/>
      <c r="L488" s="1"/>
      <c r="M488" s="1"/>
      <c r="N488" s="2"/>
      <c r="O488" s="2"/>
      <c r="P488" s="1"/>
      <c r="Q488" s="1"/>
      <c r="R488" s="1"/>
      <c r="S488" s="1"/>
      <c r="T488" s="40"/>
      <c r="U488" s="40"/>
      <c r="V488" s="40"/>
      <c r="W488" s="40"/>
      <c r="X488" s="22"/>
      <c r="Y488" s="22"/>
      <c r="Z488" s="22"/>
      <c r="AA488" s="22"/>
      <c r="AB488" s="22"/>
      <c r="AC488" s="22"/>
      <c r="AD488" s="22"/>
      <c r="AE488" s="22"/>
      <c r="AF488" s="22"/>
      <c r="AG488" s="22"/>
      <c r="AH488" s="22"/>
      <c r="AI488" s="22"/>
      <c r="AJ488" s="40"/>
      <c r="AK488" s="22"/>
      <c r="AL488" s="22"/>
      <c r="AM488" s="22"/>
      <c r="AN488" s="22"/>
      <c r="AO488" s="40"/>
      <c r="AP488" s="40"/>
      <c r="AQ488" s="40"/>
      <c r="AR488" s="1"/>
      <c r="AS488" s="1"/>
      <c r="AT488" s="17"/>
      <c r="AU488" s="1"/>
      <c r="AV488" s="1"/>
      <c r="AW488" s="1"/>
      <c r="AX488" s="2"/>
      <c r="AY488" s="2"/>
      <c r="AZ488" s="1"/>
    </row>
    <row x14ac:dyDescent="0.25" r="489" customHeight="1" ht="24.75">
      <c r="A489" s="1"/>
      <c r="B489" s="1"/>
      <c r="C489" s="1"/>
      <c r="D489" s="1"/>
      <c r="E489" s="1"/>
      <c r="F489" s="1"/>
      <c r="G489" s="1"/>
      <c r="H489" s="1"/>
      <c r="I489" s="1"/>
      <c r="J489" s="1"/>
      <c r="K489" s="17"/>
      <c r="L489" s="1"/>
      <c r="M489" s="1"/>
      <c r="N489" s="2"/>
      <c r="O489" s="2"/>
      <c r="P489" s="1"/>
      <c r="Q489" s="1"/>
      <c r="R489" s="1"/>
      <c r="S489" s="1"/>
      <c r="T489" s="40"/>
      <c r="U489" s="40"/>
      <c r="V489" s="40"/>
      <c r="W489" s="40"/>
      <c r="X489" s="22"/>
      <c r="Y489" s="22"/>
      <c r="Z489" s="22"/>
      <c r="AA489" s="22"/>
      <c r="AB489" s="22"/>
      <c r="AC489" s="22"/>
      <c r="AD489" s="22"/>
      <c r="AE489" s="22"/>
      <c r="AF489" s="22"/>
      <c r="AG489" s="22"/>
      <c r="AH489" s="22"/>
      <c r="AI489" s="22"/>
      <c r="AJ489" s="40"/>
      <c r="AK489" s="22"/>
      <c r="AL489" s="22"/>
      <c r="AM489" s="22"/>
      <c r="AN489" s="22"/>
      <c r="AO489" s="40"/>
      <c r="AP489" s="40"/>
      <c r="AQ489" s="40"/>
      <c r="AR489" s="1"/>
      <c r="AS489" s="1"/>
      <c r="AT489" s="17"/>
      <c r="AU489" s="1"/>
      <c r="AV489" s="1"/>
      <c r="AW489" s="1"/>
      <c r="AX489" s="2"/>
      <c r="AY489" s="2"/>
      <c r="AZ489" s="1"/>
    </row>
    <row x14ac:dyDescent="0.25" r="490" customHeight="1" ht="24.75">
      <c r="A490" s="1"/>
      <c r="B490" s="1"/>
      <c r="C490" s="1"/>
      <c r="D490" s="1"/>
      <c r="E490" s="1"/>
      <c r="F490" s="1"/>
      <c r="G490" s="1"/>
      <c r="H490" s="1"/>
      <c r="I490" s="1"/>
      <c r="J490" s="1"/>
      <c r="K490" s="17"/>
      <c r="L490" s="1"/>
      <c r="M490" s="1"/>
      <c r="N490" s="2"/>
      <c r="O490" s="2"/>
      <c r="P490" s="1"/>
      <c r="Q490" s="1"/>
      <c r="R490" s="1"/>
      <c r="S490" s="1"/>
      <c r="T490" s="40"/>
      <c r="U490" s="40"/>
      <c r="V490" s="40"/>
      <c r="W490" s="40"/>
      <c r="X490" s="22"/>
      <c r="Y490" s="22"/>
      <c r="Z490" s="22"/>
      <c r="AA490" s="22"/>
      <c r="AB490" s="22"/>
      <c r="AC490" s="22"/>
      <c r="AD490" s="22"/>
      <c r="AE490" s="22"/>
      <c r="AF490" s="22"/>
      <c r="AG490" s="22"/>
      <c r="AH490" s="22"/>
      <c r="AI490" s="22"/>
      <c r="AJ490" s="40"/>
      <c r="AK490" s="22"/>
      <c r="AL490" s="22"/>
      <c r="AM490" s="22"/>
      <c r="AN490" s="22"/>
      <c r="AO490" s="40"/>
      <c r="AP490" s="40"/>
      <c r="AQ490" s="40"/>
      <c r="AR490" s="1"/>
      <c r="AS490" s="1"/>
      <c r="AT490" s="17"/>
      <c r="AU490" s="1"/>
      <c r="AV490" s="1"/>
      <c r="AW490" s="1"/>
      <c r="AX490" s="2"/>
      <c r="AY490" s="2"/>
      <c r="AZ490" s="1"/>
    </row>
    <row x14ac:dyDescent="0.25" r="491" customHeight="1" ht="24.75">
      <c r="A491" s="1"/>
      <c r="B491" s="1"/>
      <c r="C491" s="1"/>
      <c r="D491" s="1"/>
      <c r="E491" s="1"/>
      <c r="F491" s="1"/>
      <c r="G491" s="1"/>
      <c r="H491" s="1"/>
      <c r="I491" s="1"/>
      <c r="J491" s="1"/>
      <c r="K491" s="17"/>
      <c r="L491" s="1"/>
      <c r="M491" s="1"/>
      <c r="N491" s="2"/>
      <c r="O491" s="2"/>
      <c r="P491" s="1"/>
      <c r="Q491" s="1"/>
      <c r="R491" s="1"/>
      <c r="S491" s="1"/>
      <c r="T491" s="40"/>
      <c r="U491" s="40"/>
      <c r="V491" s="40"/>
      <c r="W491" s="40"/>
      <c r="X491" s="22"/>
      <c r="Y491" s="22"/>
      <c r="Z491" s="22"/>
      <c r="AA491" s="22"/>
      <c r="AB491" s="22"/>
      <c r="AC491" s="22"/>
      <c r="AD491" s="22"/>
      <c r="AE491" s="22"/>
      <c r="AF491" s="22"/>
      <c r="AG491" s="22"/>
      <c r="AH491" s="22"/>
      <c r="AI491" s="22"/>
      <c r="AJ491" s="40"/>
      <c r="AK491" s="22"/>
      <c r="AL491" s="22"/>
      <c r="AM491" s="22"/>
      <c r="AN491" s="22"/>
      <c r="AO491" s="40"/>
      <c r="AP491" s="40"/>
      <c r="AQ491" s="40"/>
      <c r="AR491" s="1"/>
      <c r="AS491" s="1"/>
      <c r="AT491" s="17"/>
      <c r="AU491" s="1"/>
      <c r="AV491" s="1"/>
      <c r="AW491" s="1"/>
      <c r="AX491" s="2"/>
      <c r="AY491" s="2"/>
      <c r="AZ491" s="1"/>
    </row>
    <row x14ac:dyDescent="0.25" r="492" customHeight="1" ht="24.75">
      <c r="A492" s="1"/>
      <c r="B492" s="1"/>
      <c r="C492" s="1"/>
      <c r="D492" s="1"/>
      <c r="E492" s="1"/>
      <c r="F492" s="1"/>
      <c r="G492" s="1"/>
      <c r="H492" s="1"/>
      <c r="I492" s="1"/>
      <c r="J492" s="1"/>
      <c r="K492" s="17"/>
      <c r="L492" s="1"/>
      <c r="M492" s="1"/>
      <c r="N492" s="2"/>
      <c r="O492" s="2"/>
      <c r="P492" s="1"/>
      <c r="Q492" s="1"/>
      <c r="R492" s="1"/>
      <c r="S492" s="1"/>
      <c r="T492" s="40"/>
      <c r="U492" s="40"/>
      <c r="V492" s="40"/>
      <c r="W492" s="40"/>
      <c r="X492" s="22"/>
      <c r="Y492" s="22"/>
      <c r="Z492" s="22"/>
      <c r="AA492" s="22"/>
      <c r="AB492" s="22"/>
      <c r="AC492" s="22"/>
      <c r="AD492" s="22"/>
      <c r="AE492" s="22"/>
      <c r="AF492" s="22"/>
      <c r="AG492" s="22"/>
      <c r="AH492" s="22"/>
      <c r="AI492" s="22"/>
      <c r="AJ492" s="40"/>
      <c r="AK492" s="22"/>
      <c r="AL492" s="22"/>
      <c r="AM492" s="22"/>
      <c r="AN492" s="22"/>
      <c r="AO492" s="40"/>
      <c r="AP492" s="40"/>
      <c r="AQ492" s="40"/>
      <c r="AR492" s="1"/>
      <c r="AS492" s="1"/>
      <c r="AT492" s="17"/>
      <c r="AU492" s="1"/>
      <c r="AV492" s="1"/>
      <c r="AW492" s="1"/>
      <c r="AX492" s="2"/>
      <c r="AY492" s="2"/>
      <c r="AZ492" s="1"/>
    </row>
    <row x14ac:dyDescent="0.25" r="493" customHeight="1" ht="24.75">
      <c r="A493" s="1"/>
      <c r="B493" s="1"/>
      <c r="C493" s="1"/>
      <c r="D493" s="1"/>
      <c r="E493" s="1"/>
      <c r="F493" s="1"/>
      <c r="G493" s="1"/>
      <c r="H493" s="1"/>
      <c r="I493" s="1"/>
      <c r="J493" s="1"/>
      <c r="K493" s="17"/>
      <c r="L493" s="1"/>
      <c r="M493" s="1"/>
      <c r="N493" s="2"/>
      <c r="O493" s="2"/>
      <c r="P493" s="1"/>
      <c r="Q493" s="1"/>
      <c r="R493" s="1"/>
      <c r="S493" s="1"/>
      <c r="T493" s="40"/>
      <c r="U493" s="40"/>
      <c r="V493" s="40"/>
      <c r="W493" s="40"/>
      <c r="X493" s="22"/>
      <c r="Y493" s="22"/>
      <c r="Z493" s="22"/>
      <c r="AA493" s="22"/>
      <c r="AB493" s="22"/>
      <c r="AC493" s="22"/>
      <c r="AD493" s="22"/>
      <c r="AE493" s="22"/>
      <c r="AF493" s="22"/>
      <c r="AG493" s="22"/>
      <c r="AH493" s="22"/>
      <c r="AI493" s="22"/>
      <c r="AJ493" s="40"/>
      <c r="AK493" s="22"/>
      <c r="AL493" s="22"/>
      <c r="AM493" s="22"/>
      <c r="AN493" s="22"/>
      <c r="AO493" s="40"/>
      <c r="AP493" s="40"/>
      <c r="AQ493" s="40"/>
      <c r="AR493" s="1"/>
      <c r="AS493" s="1"/>
      <c r="AT493" s="17"/>
      <c r="AU493" s="1"/>
      <c r="AV493" s="1"/>
      <c r="AW493" s="1"/>
      <c r="AX493" s="2"/>
      <c r="AY493" s="2"/>
      <c r="AZ493" s="1"/>
    </row>
    <row x14ac:dyDescent="0.25" r="494" customHeight="1" ht="24.75">
      <c r="A494" s="1"/>
      <c r="B494" s="1"/>
      <c r="C494" s="1"/>
      <c r="D494" s="1"/>
      <c r="E494" s="1"/>
      <c r="F494" s="1"/>
      <c r="G494" s="1"/>
      <c r="H494" s="1"/>
      <c r="I494" s="1"/>
      <c r="J494" s="1"/>
      <c r="K494" s="17"/>
      <c r="L494" s="1"/>
      <c r="M494" s="1"/>
      <c r="N494" s="2"/>
      <c r="O494" s="2"/>
      <c r="P494" s="1"/>
      <c r="Q494" s="1"/>
      <c r="R494" s="1"/>
      <c r="S494" s="1"/>
      <c r="T494" s="40"/>
      <c r="U494" s="40"/>
      <c r="V494" s="40"/>
      <c r="W494" s="40"/>
      <c r="X494" s="22"/>
      <c r="Y494" s="22"/>
      <c r="Z494" s="22"/>
      <c r="AA494" s="22"/>
      <c r="AB494" s="22"/>
      <c r="AC494" s="22"/>
      <c r="AD494" s="22"/>
      <c r="AE494" s="22"/>
      <c r="AF494" s="22"/>
      <c r="AG494" s="22"/>
      <c r="AH494" s="22"/>
      <c r="AI494" s="22"/>
      <c r="AJ494" s="40"/>
      <c r="AK494" s="22"/>
      <c r="AL494" s="22"/>
      <c r="AM494" s="22"/>
      <c r="AN494" s="22"/>
      <c r="AO494" s="40"/>
      <c r="AP494" s="40"/>
      <c r="AQ494" s="40"/>
      <c r="AR494" s="1"/>
      <c r="AS494" s="1"/>
      <c r="AT494" s="17"/>
      <c r="AU494" s="1"/>
      <c r="AV494" s="1"/>
      <c r="AW494" s="1"/>
      <c r="AX494" s="2"/>
      <c r="AY494" s="2"/>
      <c r="AZ494" s="1"/>
    </row>
    <row x14ac:dyDescent="0.25" r="495" customHeight="1" ht="24.75">
      <c r="A495" s="1"/>
      <c r="B495" s="1"/>
      <c r="C495" s="1"/>
      <c r="D495" s="1"/>
      <c r="E495" s="1"/>
      <c r="F495" s="1"/>
      <c r="G495" s="1"/>
      <c r="H495" s="1"/>
      <c r="I495" s="1"/>
      <c r="J495" s="1"/>
      <c r="K495" s="17"/>
      <c r="L495" s="1"/>
      <c r="M495" s="1"/>
      <c r="N495" s="2"/>
      <c r="O495" s="2"/>
      <c r="P495" s="1"/>
      <c r="Q495" s="1"/>
      <c r="R495" s="1"/>
      <c r="S495" s="1"/>
      <c r="T495" s="40"/>
      <c r="U495" s="40"/>
      <c r="V495" s="40"/>
      <c r="W495" s="40"/>
      <c r="X495" s="22"/>
      <c r="Y495" s="22"/>
      <c r="Z495" s="22"/>
      <c r="AA495" s="22"/>
      <c r="AB495" s="22"/>
      <c r="AC495" s="22"/>
      <c r="AD495" s="22"/>
      <c r="AE495" s="22"/>
      <c r="AF495" s="22"/>
      <c r="AG495" s="22"/>
      <c r="AH495" s="22"/>
      <c r="AI495" s="22"/>
      <c r="AJ495" s="40"/>
      <c r="AK495" s="22"/>
      <c r="AL495" s="22"/>
      <c r="AM495" s="22"/>
      <c r="AN495" s="22"/>
      <c r="AO495" s="40"/>
      <c r="AP495" s="40"/>
      <c r="AQ495" s="40"/>
      <c r="AR495" s="1"/>
      <c r="AS495" s="1"/>
      <c r="AT495" s="17"/>
      <c r="AU495" s="1"/>
      <c r="AV495" s="1"/>
      <c r="AW495" s="1"/>
      <c r="AX495" s="2"/>
      <c r="AY495" s="2"/>
      <c r="AZ495" s="1"/>
    </row>
    <row x14ac:dyDescent="0.25" r="496" customHeight="1" ht="24.75">
      <c r="A496" s="1"/>
      <c r="B496" s="1"/>
      <c r="C496" s="1"/>
      <c r="D496" s="1"/>
      <c r="E496" s="1"/>
      <c r="F496" s="1"/>
      <c r="G496" s="1"/>
      <c r="H496" s="1"/>
      <c r="I496" s="1"/>
      <c r="J496" s="1"/>
      <c r="K496" s="17"/>
      <c r="L496" s="1"/>
      <c r="M496" s="1"/>
      <c r="N496" s="2"/>
      <c r="O496" s="2"/>
      <c r="P496" s="1"/>
      <c r="Q496" s="1"/>
      <c r="R496" s="1"/>
      <c r="S496" s="1"/>
      <c r="T496" s="40"/>
      <c r="U496" s="40"/>
      <c r="V496" s="40"/>
      <c r="W496" s="40"/>
      <c r="X496" s="22"/>
      <c r="Y496" s="22"/>
      <c r="Z496" s="22"/>
      <c r="AA496" s="22"/>
      <c r="AB496" s="22"/>
      <c r="AC496" s="22"/>
      <c r="AD496" s="22"/>
      <c r="AE496" s="22"/>
      <c r="AF496" s="22"/>
      <c r="AG496" s="22"/>
      <c r="AH496" s="22"/>
      <c r="AI496" s="22"/>
      <c r="AJ496" s="40"/>
      <c r="AK496" s="22"/>
      <c r="AL496" s="22"/>
      <c r="AM496" s="22"/>
      <c r="AN496" s="22"/>
      <c r="AO496" s="40"/>
      <c r="AP496" s="40"/>
      <c r="AQ496" s="40"/>
      <c r="AR496" s="1"/>
      <c r="AS496" s="1"/>
      <c r="AT496" s="17"/>
      <c r="AU496" s="1"/>
      <c r="AV496" s="1"/>
      <c r="AW496" s="1"/>
      <c r="AX496" s="2"/>
      <c r="AY496" s="2"/>
      <c r="AZ496" s="1"/>
    </row>
    <row x14ac:dyDescent="0.25" r="497" customHeight="1" ht="24.75">
      <c r="A497" s="1"/>
      <c r="B497" s="1"/>
      <c r="C497" s="1"/>
      <c r="D497" s="1"/>
      <c r="E497" s="1"/>
      <c r="F497" s="1"/>
      <c r="G497" s="1"/>
      <c r="H497" s="1"/>
      <c r="I497" s="1"/>
      <c r="J497" s="1"/>
      <c r="K497" s="17"/>
      <c r="L497" s="1"/>
      <c r="M497" s="1"/>
      <c r="N497" s="2"/>
      <c r="O497" s="2"/>
      <c r="P497" s="1"/>
      <c r="Q497" s="1"/>
      <c r="R497" s="1"/>
      <c r="S497" s="1"/>
      <c r="T497" s="40"/>
      <c r="U497" s="40"/>
      <c r="V497" s="40"/>
      <c r="W497" s="40"/>
      <c r="X497" s="22"/>
      <c r="Y497" s="22"/>
      <c r="Z497" s="22"/>
      <c r="AA497" s="22"/>
      <c r="AB497" s="22"/>
      <c r="AC497" s="22"/>
      <c r="AD497" s="22"/>
      <c r="AE497" s="22"/>
      <c r="AF497" s="22"/>
      <c r="AG497" s="22"/>
      <c r="AH497" s="22"/>
      <c r="AI497" s="22"/>
      <c r="AJ497" s="40"/>
      <c r="AK497" s="22"/>
      <c r="AL497" s="22"/>
      <c r="AM497" s="22"/>
      <c r="AN497" s="22"/>
      <c r="AO497" s="40"/>
      <c r="AP497" s="40"/>
      <c r="AQ497" s="40"/>
      <c r="AR497" s="1"/>
      <c r="AS497" s="1"/>
      <c r="AT497" s="17"/>
      <c r="AU497" s="1"/>
      <c r="AV497" s="1"/>
      <c r="AW497" s="1"/>
      <c r="AX497" s="2"/>
      <c r="AY497" s="2"/>
      <c r="AZ497" s="1"/>
    </row>
    <row x14ac:dyDescent="0.25" r="498" customHeight="1" ht="24.75">
      <c r="A498" s="1"/>
      <c r="B498" s="1"/>
      <c r="C498" s="1"/>
      <c r="D498" s="1"/>
      <c r="E498" s="1"/>
      <c r="F498" s="1"/>
      <c r="G498" s="1"/>
      <c r="H498" s="1"/>
      <c r="I498" s="1"/>
      <c r="J498" s="1"/>
      <c r="K498" s="17"/>
      <c r="L498" s="1"/>
      <c r="M498" s="1"/>
      <c r="N498" s="2"/>
      <c r="O498" s="2"/>
      <c r="P498" s="1"/>
      <c r="Q498" s="1"/>
      <c r="R498" s="1"/>
      <c r="S498" s="1"/>
      <c r="T498" s="40"/>
      <c r="U498" s="40"/>
      <c r="V498" s="40"/>
      <c r="W498" s="40"/>
      <c r="X498" s="22"/>
      <c r="Y498" s="22"/>
      <c r="Z498" s="22"/>
      <c r="AA498" s="22"/>
      <c r="AB498" s="22"/>
      <c r="AC498" s="22"/>
      <c r="AD498" s="22"/>
      <c r="AE498" s="22"/>
      <c r="AF498" s="22"/>
      <c r="AG498" s="22"/>
      <c r="AH498" s="22"/>
      <c r="AI498" s="22"/>
      <c r="AJ498" s="40"/>
      <c r="AK498" s="22"/>
      <c r="AL498" s="22"/>
      <c r="AM498" s="22"/>
      <c r="AN498" s="22"/>
      <c r="AO498" s="40"/>
      <c r="AP498" s="40"/>
      <c r="AQ498" s="40"/>
      <c r="AR498" s="1"/>
      <c r="AS498" s="1"/>
      <c r="AT498" s="17"/>
      <c r="AU498" s="1"/>
      <c r="AV498" s="1"/>
      <c r="AW498" s="1"/>
      <c r="AX498" s="2"/>
      <c r="AY498" s="2"/>
      <c r="AZ498" s="1"/>
    </row>
    <row x14ac:dyDescent="0.25" r="499" customHeight="1" ht="24.75">
      <c r="A499" s="1"/>
      <c r="B499" s="1"/>
      <c r="C499" s="1"/>
      <c r="D499" s="1"/>
      <c r="E499" s="1"/>
      <c r="F499" s="1"/>
      <c r="G499" s="1"/>
      <c r="H499" s="1"/>
      <c r="I499" s="1"/>
      <c r="J499" s="1"/>
      <c r="K499" s="17"/>
      <c r="L499" s="1"/>
      <c r="M499" s="1"/>
      <c r="N499" s="2"/>
      <c r="O499" s="2"/>
      <c r="P499" s="1"/>
      <c r="Q499" s="1"/>
      <c r="R499" s="1"/>
      <c r="S499" s="1"/>
      <c r="T499" s="40"/>
      <c r="U499" s="40"/>
      <c r="V499" s="40"/>
      <c r="W499" s="40"/>
      <c r="X499" s="22"/>
      <c r="Y499" s="22"/>
      <c r="Z499" s="22"/>
      <c r="AA499" s="22"/>
      <c r="AB499" s="22"/>
      <c r="AC499" s="22"/>
      <c r="AD499" s="22"/>
      <c r="AE499" s="22"/>
      <c r="AF499" s="22"/>
      <c r="AG499" s="22"/>
      <c r="AH499" s="22"/>
      <c r="AI499" s="22"/>
      <c r="AJ499" s="40"/>
      <c r="AK499" s="22"/>
      <c r="AL499" s="22"/>
      <c r="AM499" s="22"/>
      <c r="AN499" s="22"/>
      <c r="AO499" s="40"/>
      <c r="AP499" s="40"/>
      <c r="AQ499" s="40"/>
      <c r="AR499" s="1"/>
      <c r="AS499" s="1"/>
      <c r="AT499" s="17"/>
      <c r="AU499" s="1"/>
      <c r="AV499" s="1"/>
      <c r="AW499" s="1"/>
      <c r="AX499" s="2"/>
      <c r="AY499" s="2"/>
      <c r="AZ499" s="1"/>
    </row>
    <row x14ac:dyDescent="0.25" r="500" customHeight="1" ht="24.75">
      <c r="A500" s="1"/>
      <c r="B500" s="1"/>
      <c r="C500" s="1"/>
      <c r="D500" s="1"/>
      <c r="E500" s="1"/>
      <c r="F500" s="1"/>
      <c r="G500" s="1"/>
      <c r="H500" s="1"/>
      <c r="I500" s="1"/>
      <c r="J500" s="1"/>
      <c r="K500" s="17"/>
      <c r="L500" s="1"/>
      <c r="M500" s="1"/>
      <c r="N500" s="2"/>
      <c r="O500" s="2"/>
      <c r="P500" s="1"/>
      <c r="Q500" s="1"/>
      <c r="R500" s="1"/>
      <c r="S500" s="1"/>
      <c r="T500" s="40"/>
      <c r="U500" s="40"/>
      <c r="V500" s="40"/>
      <c r="W500" s="40"/>
      <c r="X500" s="22"/>
      <c r="Y500" s="22"/>
      <c r="Z500" s="22"/>
      <c r="AA500" s="22"/>
      <c r="AB500" s="22"/>
      <c r="AC500" s="22"/>
      <c r="AD500" s="22"/>
      <c r="AE500" s="22"/>
      <c r="AF500" s="22"/>
      <c r="AG500" s="22"/>
      <c r="AH500" s="22"/>
      <c r="AI500" s="22"/>
      <c r="AJ500" s="40"/>
      <c r="AK500" s="22"/>
      <c r="AL500" s="22"/>
      <c r="AM500" s="22"/>
      <c r="AN500" s="22"/>
      <c r="AO500" s="40"/>
      <c r="AP500" s="40"/>
      <c r="AQ500" s="40"/>
      <c r="AR500" s="1"/>
      <c r="AS500" s="1"/>
      <c r="AT500" s="17"/>
      <c r="AU500" s="1"/>
      <c r="AV500" s="1"/>
      <c r="AW500" s="1"/>
      <c r="AX500" s="2"/>
      <c r="AY500" s="2"/>
      <c r="AZ500" s="1"/>
    </row>
    <row x14ac:dyDescent="0.25" r="501" customHeight="1" ht="24.75">
      <c r="A501" s="1"/>
      <c r="B501" s="1"/>
      <c r="C501" s="1"/>
      <c r="D501" s="1"/>
      <c r="E501" s="1"/>
      <c r="F501" s="1"/>
      <c r="G501" s="1"/>
      <c r="H501" s="1"/>
      <c r="I501" s="1"/>
      <c r="J501" s="1"/>
      <c r="K501" s="17"/>
      <c r="L501" s="1"/>
      <c r="M501" s="1"/>
      <c r="N501" s="2"/>
      <c r="O501" s="2"/>
      <c r="P501" s="1"/>
      <c r="Q501" s="1"/>
      <c r="R501" s="1"/>
      <c r="S501" s="1"/>
      <c r="T501" s="40"/>
      <c r="U501" s="40"/>
      <c r="V501" s="40"/>
      <c r="W501" s="40"/>
      <c r="X501" s="22"/>
      <c r="Y501" s="22"/>
      <c r="Z501" s="22"/>
      <c r="AA501" s="22"/>
      <c r="AB501" s="22"/>
      <c r="AC501" s="22"/>
      <c r="AD501" s="22"/>
      <c r="AE501" s="22"/>
      <c r="AF501" s="22"/>
      <c r="AG501" s="22"/>
      <c r="AH501" s="22"/>
      <c r="AI501" s="22"/>
      <c r="AJ501" s="40"/>
      <c r="AK501" s="22"/>
      <c r="AL501" s="22"/>
      <c r="AM501" s="22"/>
      <c r="AN501" s="22"/>
      <c r="AO501" s="40"/>
      <c r="AP501" s="40"/>
      <c r="AQ501" s="40"/>
      <c r="AR501" s="1"/>
      <c r="AS501" s="1"/>
      <c r="AT501" s="17"/>
      <c r="AU501" s="1"/>
      <c r="AV501" s="1"/>
      <c r="AW501" s="1"/>
      <c r="AX501" s="2"/>
      <c r="AY501" s="2"/>
      <c r="AZ501" s="1"/>
    </row>
    <row x14ac:dyDescent="0.25" r="502" customHeight="1" ht="24.75">
      <c r="A502" s="1"/>
      <c r="B502" s="1"/>
      <c r="C502" s="1"/>
      <c r="D502" s="1"/>
      <c r="E502" s="1"/>
      <c r="F502" s="1"/>
      <c r="G502" s="1"/>
      <c r="H502" s="1"/>
      <c r="I502" s="1"/>
      <c r="J502" s="1"/>
      <c r="K502" s="17"/>
      <c r="L502" s="1"/>
      <c r="M502" s="1"/>
      <c r="N502" s="2"/>
      <c r="O502" s="2"/>
      <c r="P502" s="1"/>
      <c r="Q502" s="1"/>
      <c r="R502" s="1"/>
      <c r="S502" s="1"/>
      <c r="T502" s="40"/>
      <c r="U502" s="40"/>
      <c r="V502" s="40"/>
      <c r="W502" s="40"/>
      <c r="X502" s="22"/>
      <c r="Y502" s="22"/>
      <c r="Z502" s="22"/>
      <c r="AA502" s="22"/>
      <c r="AB502" s="22"/>
      <c r="AC502" s="22"/>
      <c r="AD502" s="22"/>
      <c r="AE502" s="22"/>
      <c r="AF502" s="22"/>
      <c r="AG502" s="22"/>
      <c r="AH502" s="22"/>
      <c r="AI502" s="22"/>
      <c r="AJ502" s="40"/>
      <c r="AK502" s="22"/>
      <c r="AL502" s="22"/>
      <c r="AM502" s="22"/>
      <c r="AN502" s="22"/>
      <c r="AO502" s="40"/>
      <c r="AP502" s="40"/>
      <c r="AQ502" s="40"/>
      <c r="AR502" s="1"/>
      <c r="AS502" s="1"/>
      <c r="AT502" s="17"/>
      <c r="AU502" s="1"/>
      <c r="AV502" s="1"/>
      <c r="AW502" s="1"/>
      <c r="AX502" s="2"/>
      <c r="AY502" s="2"/>
      <c r="AZ502" s="1"/>
    </row>
    <row x14ac:dyDescent="0.25" r="503" customHeight="1" ht="24.75">
      <c r="A503" s="1"/>
      <c r="B503" s="1"/>
      <c r="C503" s="1"/>
      <c r="D503" s="1"/>
      <c r="E503" s="1"/>
      <c r="F503" s="1"/>
      <c r="G503" s="1"/>
      <c r="H503" s="1"/>
      <c r="I503" s="1"/>
      <c r="J503" s="1"/>
      <c r="K503" s="17"/>
      <c r="L503" s="1"/>
      <c r="M503" s="1"/>
      <c r="N503" s="2"/>
      <c r="O503" s="2"/>
      <c r="P503" s="1"/>
      <c r="Q503" s="1"/>
      <c r="R503" s="1"/>
      <c r="S503" s="1"/>
      <c r="T503" s="40"/>
      <c r="U503" s="40"/>
      <c r="V503" s="40"/>
      <c r="W503" s="40"/>
      <c r="X503" s="22"/>
      <c r="Y503" s="22"/>
      <c r="Z503" s="22"/>
      <c r="AA503" s="22"/>
      <c r="AB503" s="22"/>
      <c r="AC503" s="22"/>
      <c r="AD503" s="22"/>
      <c r="AE503" s="22"/>
      <c r="AF503" s="22"/>
      <c r="AG503" s="22"/>
      <c r="AH503" s="22"/>
      <c r="AI503" s="22"/>
      <c r="AJ503" s="40"/>
      <c r="AK503" s="22"/>
      <c r="AL503" s="22"/>
      <c r="AM503" s="22"/>
      <c r="AN503" s="22"/>
      <c r="AO503" s="40"/>
      <c r="AP503" s="40"/>
      <c r="AQ503" s="40"/>
      <c r="AR503" s="1"/>
      <c r="AS503" s="1"/>
      <c r="AT503" s="17"/>
      <c r="AU503" s="1"/>
      <c r="AV503" s="1"/>
      <c r="AW503" s="1"/>
      <c r="AX503" s="2"/>
      <c r="AY503" s="2"/>
      <c r="AZ503" s="1"/>
    </row>
    <row x14ac:dyDescent="0.25" r="504" customHeight="1" ht="24.75">
      <c r="A504" s="1"/>
      <c r="B504" s="1"/>
      <c r="C504" s="1"/>
      <c r="D504" s="1"/>
      <c r="E504" s="1"/>
      <c r="F504" s="1"/>
      <c r="G504" s="1"/>
      <c r="H504" s="1"/>
      <c r="I504" s="1"/>
      <c r="J504" s="1"/>
      <c r="K504" s="17"/>
      <c r="L504" s="1"/>
      <c r="M504" s="1"/>
      <c r="N504" s="2"/>
      <c r="O504" s="2"/>
      <c r="P504" s="1"/>
      <c r="Q504" s="1"/>
      <c r="R504" s="1"/>
      <c r="S504" s="1"/>
      <c r="T504" s="40"/>
      <c r="U504" s="40"/>
      <c r="V504" s="40"/>
      <c r="W504" s="40"/>
      <c r="X504" s="22"/>
      <c r="Y504" s="22"/>
      <c r="Z504" s="22"/>
      <c r="AA504" s="22"/>
      <c r="AB504" s="22"/>
      <c r="AC504" s="22"/>
      <c r="AD504" s="22"/>
      <c r="AE504" s="22"/>
      <c r="AF504" s="22"/>
      <c r="AG504" s="22"/>
      <c r="AH504" s="22"/>
      <c r="AI504" s="22"/>
      <c r="AJ504" s="40"/>
      <c r="AK504" s="22"/>
      <c r="AL504" s="22"/>
      <c r="AM504" s="22"/>
      <c r="AN504" s="22"/>
      <c r="AO504" s="40"/>
      <c r="AP504" s="40"/>
      <c r="AQ504" s="40"/>
      <c r="AR504" s="1"/>
      <c r="AS504" s="1"/>
      <c r="AT504" s="17"/>
      <c r="AU504" s="1"/>
      <c r="AV504" s="1"/>
      <c r="AW504" s="1"/>
      <c r="AX504" s="2"/>
      <c r="AY504" s="2"/>
      <c r="AZ504" s="1"/>
    </row>
    <row x14ac:dyDescent="0.25" r="505" customHeight="1" ht="24.75">
      <c r="A505" s="1"/>
      <c r="B505" s="1"/>
      <c r="C505" s="1"/>
      <c r="D505" s="1"/>
      <c r="E505" s="1"/>
      <c r="F505" s="1"/>
      <c r="G505" s="1"/>
      <c r="H505" s="1"/>
      <c r="I505" s="1"/>
      <c r="J505" s="1"/>
      <c r="K505" s="17"/>
      <c r="L505" s="1"/>
      <c r="M505" s="1"/>
      <c r="N505" s="2"/>
      <c r="O505" s="2"/>
      <c r="P505" s="1"/>
      <c r="Q505" s="1"/>
      <c r="R505" s="1"/>
      <c r="S505" s="1"/>
      <c r="T505" s="40"/>
      <c r="U505" s="40"/>
      <c r="V505" s="40"/>
      <c r="W505" s="40"/>
      <c r="X505" s="22"/>
      <c r="Y505" s="22"/>
      <c r="Z505" s="22"/>
      <c r="AA505" s="22"/>
      <c r="AB505" s="22"/>
      <c r="AC505" s="22"/>
      <c r="AD505" s="22"/>
      <c r="AE505" s="22"/>
      <c r="AF505" s="22"/>
      <c r="AG505" s="22"/>
      <c r="AH505" s="22"/>
      <c r="AI505" s="22"/>
      <c r="AJ505" s="40"/>
      <c r="AK505" s="22"/>
      <c r="AL505" s="22"/>
      <c r="AM505" s="22"/>
      <c r="AN505" s="22"/>
      <c r="AO505" s="40"/>
      <c r="AP505" s="40"/>
      <c r="AQ505" s="40"/>
      <c r="AR505" s="1"/>
      <c r="AS505" s="1"/>
      <c r="AT505" s="17"/>
      <c r="AU505" s="1"/>
      <c r="AV505" s="1"/>
      <c r="AW505" s="1"/>
      <c r="AX505" s="2"/>
      <c r="AY505" s="2"/>
      <c r="AZ505" s="1"/>
    </row>
    <row x14ac:dyDescent="0.25" r="506" customHeight="1" ht="24.75">
      <c r="A506" s="1"/>
      <c r="B506" s="1"/>
      <c r="C506" s="1"/>
      <c r="D506" s="1"/>
      <c r="E506" s="1"/>
      <c r="F506" s="1"/>
      <c r="G506" s="1"/>
      <c r="H506" s="1"/>
      <c r="I506" s="1"/>
      <c r="J506" s="1"/>
      <c r="K506" s="17"/>
      <c r="L506" s="1"/>
      <c r="M506" s="1"/>
      <c r="N506" s="2"/>
      <c r="O506" s="2"/>
      <c r="P506" s="1"/>
      <c r="Q506" s="1"/>
      <c r="R506" s="1"/>
      <c r="S506" s="1"/>
      <c r="T506" s="40"/>
      <c r="U506" s="40"/>
      <c r="V506" s="40"/>
      <c r="W506" s="40"/>
      <c r="X506" s="22"/>
      <c r="Y506" s="22"/>
      <c r="Z506" s="22"/>
      <c r="AA506" s="22"/>
      <c r="AB506" s="22"/>
      <c r="AC506" s="22"/>
      <c r="AD506" s="22"/>
      <c r="AE506" s="22"/>
      <c r="AF506" s="22"/>
      <c r="AG506" s="22"/>
      <c r="AH506" s="22"/>
      <c r="AI506" s="22"/>
      <c r="AJ506" s="40"/>
      <c r="AK506" s="22"/>
      <c r="AL506" s="22"/>
      <c r="AM506" s="22"/>
      <c r="AN506" s="22"/>
      <c r="AO506" s="40"/>
      <c r="AP506" s="40"/>
      <c r="AQ506" s="40"/>
      <c r="AR506" s="1"/>
      <c r="AS506" s="1"/>
      <c r="AT506" s="17"/>
      <c r="AU506" s="1"/>
      <c r="AV506" s="1"/>
      <c r="AW506" s="1"/>
      <c r="AX506" s="2"/>
      <c r="AY506" s="2"/>
      <c r="AZ506" s="1"/>
    </row>
    <row x14ac:dyDescent="0.25" r="507" customHeight="1" ht="24.75">
      <c r="A507" s="1"/>
      <c r="B507" s="1"/>
      <c r="C507" s="1"/>
      <c r="D507" s="1"/>
      <c r="E507" s="1"/>
      <c r="F507" s="1"/>
      <c r="G507" s="1"/>
      <c r="H507" s="1"/>
      <c r="I507" s="1"/>
      <c r="J507" s="1"/>
      <c r="K507" s="17"/>
      <c r="L507" s="1"/>
      <c r="M507" s="1"/>
      <c r="N507" s="2"/>
      <c r="O507" s="2"/>
      <c r="P507" s="1"/>
      <c r="Q507" s="1"/>
      <c r="R507" s="1"/>
      <c r="S507" s="1"/>
      <c r="T507" s="40"/>
      <c r="U507" s="40"/>
      <c r="V507" s="40"/>
      <c r="W507" s="40"/>
      <c r="X507" s="22"/>
      <c r="Y507" s="22"/>
      <c r="Z507" s="22"/>
      <c r="AA507" s="22"/>
      <c r="AB507" s="22"/>
      <c r="AC507" s="22"/>
      <c r="AD507" s="22"/>
      <c r="AE507" s="22"/>
      <c r="AF507" s="22"/>
      <c r="AG507" s="22"/>
      <c r="AH507" s="22"/>
      <c r="AI507" s="22"/>
      <c r="AJ507" s="40"/>
      <c r="AK507" s="22"/>
      <c r="AL507" s="22"/>
      <c r="AM507" s="22"/>
      <c r="AN507" s="22"/>
      <c r="AO507" s="40"/>
      <c r="AP507" s="40"/>
      <c r="AQ507" s="40"/>
      <c r="AR507" s="1"/>
      <c r="AS507" s="1"/>
      <c r="AT507" s="17"/>
      <c r="AU507" s="1"/>
      <c r="AV507" s="1"/>
      <c r="AW507" s="1"/>
      <c r="AX507" s="2"/>
      <c r="AY507" s="2"/>
      <c r="AZ507" s="1"/>
    </row>
    <row x14ac:dyDescent="0.25" r="508" customHeight="1" ht="24.75">
      <c r="A508" s="1"/>
      <c r="B508" s="1"/>
      <c r="C508" s="1"/>
      <c r="D508" s="1"/>
      <c r="E508" s="1"/>
      <c r="F508" s="1"/>
      <c r="G508" s="1"/>
      <c r="H508" s="1"/>
      <c r="I508" s="1"/>
      <c r="J508" s="1"/>
      <c r="K508" s="17"/>
      <c r="L508" s="1"/>
      <c r="M508" s="1"/>
      <c r="N508" s="2"/>
      <c r="O508" s="2"/>
      <c r="P508" s="1"/>
      <c r="Q508" s="1"/>
      <c r="R508" s="1"/>
      <c r="S508" s="1"/>
      <c r="T508" s="40"/>
      <c r="U508" s="40"/>
      <c r="V508" s="40"/>
      <c r="W508" s="40"/>
      <c r="X508" s="22"/>
      <c r="Y508" s="22"/>
      <c r="Z508" s="22"/>
      <c r="AA508" s="22"/>
      <c r="AB508" s="22"/>
      <c r="AC508" s="22"/>
      <c r="AD508" s="22"/>
      <c r="AE508" s="22"/>
      <c r="AF508" s="22"/>
      <c r="AG508" s="22"/>
      <c r="AH508" s="22"/>
      <c r="AI508" s="22"/>
      <c r="AJ508" s="40"/>
      <c r="AK508" s="22"/>
      <c r="AL508" s="22"/>
      <c r="AM508" s="22"/>
      <c r="AN508" s="22"/>
      <c r="AO508" s="40"/>
      <c r="AP508" s="40"/>
      <c r="AQ508" s="40"/>
      <c r="AR508" s="1"/>
      <c r="AS508" s="1"/>
      <c r="AT508" s="17"/>
      <c r="AU508" s="1"/>
      <c r="AV508" s="1"/>
      <c r="AW508" s="1"/>
      <c r="AX508" s="2"/>
      <c r="AY508" s="2"/>
      <c r="AZ508" s="1"/>
    </row>
    <row x14ac:dyDescent="0.25" r="509" customHeight="1" ht="24.75">
      <c r="A509" s="1"/>
      <c r="B509" s="1"/>
      <c r="C509" s="1"/>
      <c r="D509" s="1"/>
      <c r="E509" s="1"/>
      <c r="F509" s="1"/>
      <c r="G509" s="1"/>
      <c r="H509" s="1"/>
      <c r="I509" s="1"/>
      <c r="J509" s="1"/>
      <c r="K509" s="17"/>
      <c r="L509" s="1"/>
      <c r="M509" s="1"/>
      <c r="N509" s="2"/>
      <c r="O509" s="2"/>
      <c r="P509" s="1"/>
      <c r="Q509" s="1"/>
      <c r="R509" s="1"/>
      <c r="S509" s="1"/>
      <c r="T509" s="40"/>
      <c r="U509" s="40"/>
      <c r="V509" s="40"/>
      <c r="W509" s="40"/>
      <c r="X509" s="22"/>
      <c r="Y509" s="22"/>
      <c r="Z509" s="22"/>
      <c r="AA509" s="22"/>
      <c r="AB509" s="22"/>
      <c r="AC509" s="22"/>
      <c r="AD509" s="22"/>
      <c r="AE509" s="22"/>
      <c r="AF509" s="22"/>
      <c r="AG509" s="22"/>
      <c r="AH509" s="22"/>
      <c r="AI509" s="22"/>
      <c r="AJ509" s="40"/>
      <c r="AK509" s="22"/>
      <c r="AL509" s="22"/>
      <c r="AM509" s="22"/>
      <c r="AN509" s="22"/>
      <c r="AO509" s="40"/>
      <c r="AP509" s="40"/>
      <c r="AQ509" s="40"/>
      <c r="AR509" s="1"/>
      <c r="AS509" s="1"/>
      <c r="AT509" s="17"/>
      <c r="AU509" s="1"/>
      <c r="AV509" s="1"/>
      <c r="AW509" s="1"/>
      <c r="AX509" s="2"/>
      <c r="AY509" s="2"/>
      <c r="AZ509" s="1"/>
    </row>
    <row x14ac:dyDescent="0.25" r="510" customHeight="1" ht="24.75">
      <c r="A510" s="1"/>
      <c r="B510" s="1"/>
      <c r="C510" s="1"/>
      <c r="D510" s="1"/>
      <c r="E510" s="1"/>
      <c r="F510" s="1"/>
      <c r="G510" s="1"/>
      <c r="H510" s="1"/>
      <c r="I510" s="1"/>
      <c r="J510" s="1"/>
      <c r="K510" s="17"/>
      <c r="L510" s="1"/>
      <c r="M510" s="1"/>
      <c r="N510" s="2"/>
      <c r="O510" s="2"/>
      <c r="P510" s="1"/>
      <c r="Q510" s="1"/>
      <c r="R510" s="1"/>
      <c r="S510" s="1"/>
      <c r="T510" s="40"/>
      <c r="U510" s="40"/>
      <c r="V510" s="40"/>
      <c r="W510" s="40"/>
      <c r="X510" s="22"/>
      <c r="Y510" s="22"/>
      <c r="Z510" s="22"/>
      <c r="AA510" s="22"/>
      <c r="AB510" s="22"/>
      <c r="AC510" s="22"/>
      <c r="AD510" s="22"/>
      <c r="AE510" s="22"/>
      <c r="AF510" s="22"/>
      <c r="AG510" s="22"/>
      <c r="AH510" s="22"/>
      <c r="AI510" s="22"/>
      <c r="AJ510" s="40"/>
      <c r="AK510" s="22"/>
      <c r="AL510" s="22"/>
      <c r="AM510" s="22"/>
      <c r="AN510" s="22"/>
      <c r="AO510" s="40"/>
      <c r="AP510" s="40"/>
      <c r="AQ510" s="40"/>
      <c r="AR510" s="1"/>
      <c r="AS510" s="1"/>
      <c r="AT510" s="17"/>
      <c r="AU510" s="1"/>
      <c r="AV510" s="1"/>
      <c r="AW510" s="1"/>
      <c r="AX510" s="2"/>
      <c r="AY510" s="2"/>
      <c r="AZ510" s="1"/>
    </row>
    <row x14ac:dyDescent="0.25" r="511" customHeight="1" ht="24.75">
      <c r="A511" s="1"/>
      <c r="B511" s="1"/>
      <c r="C511" s="1"/>
      <c r="D511" s="1"/>
      <c r="E511" s="1"/>
      <c r="F511" s="1"/>
      <c r="G511" s="1"/>
      <c r="H511" s="1"/>
      <c r="I511" s="1"/>
      <c r="J511" s="1"/>
      <c r="K511" s="17"/>
      <c r="L511" s="1"/>
      <c r="M511" s="1"/>
      <c r="N511" s="2"/>
      <c r="O511" s="2"/>
      <c r="P511" s="1"/>
      <c r="Q511" s="1"/>
      <c r="R511" s="1"/>
      <c r="S511" s="1"/>
      <c r="T511" s="40"/>
      <c r="U511" s="40"/>
      <c r="V511" s="40"/>
      <c r="W511" s="40"/>
      <c r="X511" s="22"/>
      <c r="Y511" s="22"/>
      <c r="Z511" s="22"/>
      <c r="AA511" s="22"/>
      <c r="AB511" s="22"/>
      <c r="AC511" s="22"/>
      <c r="AD511" s="22"/>
      <c r="AE511" s="22"/>
      <c r="AF511" s="22"/>
      <c r="AG511" s="22"/>
      <c r="AH511" s="22"/>
      <c r="AI511" s="22"/>
      <c r="AJ511" s="40"/>
      <c r="AK511" s="22"/>
      <c r="AL511" s="22"/>
      <c r="AM511" s="22"/>
      <c r="AN511" s="22"/>
      <c r="AO511" s="40"/>
      <c r="AP511" s="40"/>
      <c r="AQ511" s="40"/>
      <c r="AR511" s="1"/>
      <c r="AS511" s="1"/>
      <c r="AT511" s="17"/>
      <c r="AU511" s="1"/>
      <c r="AV511" s="1"/>
      <c r="AW511" s="1"/>
      <c r="AX511" s="2"/>
      <c r="AY511" s="2"/>
      <c r="AZ511" s="1"/>
    </row>
    <row x14ac:dyDescent="0.25" r="512" customHeight="1" ht="24.75">
      <c r="A512" s="1"/>
      <c r="B512" s="1"/>
      <c r="C512" s="1"/>
      <c r="D512" s="1"/>
      <c r="E512" s="1"/>
      <c r="F512" s="1"/>
      <c r="G512" s="1"/>
      <c r="H512" s="1"/>
      <c r="I512" s="1"/>
      <c r="J512" s="1"/>
      <c r="K512" s="17"/>
      <c r="L512" s="1"/>
      <c r="M512" s="1"/>
      <c r="N512" s="2"/>
      <c r="O512" s="2"/>
      <c r="P512" s="1"/>
      <c r="Q512" s="1"/>
      <c r="R512" s="1"/>
      <c r="S512" s="1"/>
      <c r="T512" s="40"/>
      <c r="U512" s="40"/>
      <c r="V512" s="40"/>
      <c r="W512" s="40"/>
      <c r="X512" s="22"/>
      <c r="Y512" s="22"/>
      <c r="Z512" s="22"/>
      <c r="AA512" s="22"/>
      <c r="AB512" s="22"/>
      <c r="AC512" s="22"/>
      <c r="AD512" s="22"/>
      <c r="AE512" s="22"/>
      <c r="AF512" s="22"/>
      <c r="AG512" s="22"/>
      <c r="AH512" s="22"/>
      <c r="AI512" s="22"/>
      <c r="AJ512" s="40"/>
      <c r="AK512" s="22"/>
      <c r="AL512" s="22"/>
      <c r="AM512" s="22"/>
      <c r="AN512" s="22"/>
      <c r="AO512" s="40"/>
      <c r="AP512" s="40"/>
      <c r="AQ512" s="40"/>
      <c r="AR512" s="1"/>
      <c r="AS512" s="1"/>
      <c r="AT512" s="17"/>
      <c r="AU512" s="1"/>
      <c r="AV512" s="1"/>
      <c r="AW512" s="1"/>
      <c r="AX512" s="2"/>
      <c r="AY512" s="2"/>
      <c r="AZ512" s="1"/>
    </row>
    <row x14ac:dyDescent="0.25" r="513" customHeight="1" ht="24.75">
      <c r="A513" s="1"/>
      <c r="B513" s="1"/>
      <c r="C513" s="1"/>
      <c r="D513" s="1"/>
      <c r="E513" s="1"/>
      <c r="F513" s="1"/>
      <c r="G513" s="1"/>
      <c r="H513" s="1"/>
      <c r="I513" s="1"/>
      <c r="J513" s="1"/>
      <c r="K513" s="17"/>
      <c r="L513" s="1"/>
      <c r="M513" s="1"/>
      <c r="N513" s="2"/>
      <c r="O513" s="2"/>
      <c r="P513" s="1"/>
      <c r="Q513" s="1"/>
      <c r="R513" s="1"/>
      <c r="S513" s="1"/>
      <c r="T513" s="40"/>
      <c r="U513" s="40"/>
      <c r="V513" s="40"/>
      <c r="W513" s="40"/>
      <c r="X513" s="22"/>
      <c r="Y513" s="22"/>
      <c r="Z513" s="22"/>
      <c r="AA513" s="22"/>
      <c r="AB513" s="22"/>
      <c r="AC513" s="22"/>
      <c r="AD513" s="22"/>
      <c r="AE513" s="22"/>
      <c r="AF513" s="22"/>
      <c r="AG513" s="22"/>
      <c r="AH513" s="22"/>
      <c r="AI513" s="22"/>
      <c r="AJ513" s="40"/>
      <c r="AK513" s="22"/>
      <c r="AL513" s="22"/>
      <c r="AM513" s="22"/>
      <c r="AN513" s="22"/>
      <c r="AO513" s="40"/>
      <c r="AP513" s="40"/>
      <c r="AQ513" s="40"/>
      <c r="AR513" s="1"/>
      <c r="AS513" s="1"/>
      <c r="AT513" s="17"/>
      <c r="AU513" s="1"/>
      <c r="AV513" s="1"/>
      <c r="AW513" s="1"/>
      <c r="AX513" s="2"/>
      <c r="AY513" s="2"/>
      <c r="AZ513" s="1"/>
    </row>
    <row x14ac:dyDescent="0.25" r="514" customHeight="1" ht="24.75">
      <c r="A514" s="1"/>
      <c r="B514" s="1"/>
      <c r="C514" s="1"/>
      <c r="D514" s="1"/>
      <c r="E514" s="1"/>
      <c r="F514" s="1"/>
      <c r="G514" s="1"/>
      <c r="H514" s="1"/>
      <c r="I514" s="1"/>
      <c r="J514" s="1"/>
      <c r="K514" s="17"/>
      <c r="L514" s="1"/>
      <c r="M514" s="1"/>
      <c r="N514" s="2"/>
      <c r="O514" s="2"/>
      <c r="P514" s="1"/>
      <c r="Q514" s="1"/>
      <c r="R514" s="1"/>
      <c r="S514" s="1"/>
      <c r="T514" s="40"/>
      <c r="U514" s="40"/>
      <c r="V514" s="40"/>
      <c r="W514" s="40"/>
      <c r="X514" s="22"/>
      <c r="Y514" s="22"/>
      <c r="Z514" s="22"/>
      <c r="AA514" s="22"/>
      <c r="AB514" s="22"/>
      <c r="AC514" s="22"/>
      <c r="AD514" s="22"/>
      <c r="AE514" s="22"/>
      <c r="AF514" s="22"/>
      <c r="AG514" s="22"/>
      <c r="AH514" s="22"/>
      <c r="AI514" s="22"/>
      <c r="AJ514" s="40"/>
      <c r="AK514" s="22"/>
      <c r="AL514" s="22"/>
      <c r="AM514" s="22"/>
      <c r="AN514" s="22"/>
      <c r="AO514" s="40"/>
      <c r="AP514" s="40"/>
      <c r="AQ514" s="40"/>
      <c r="AR514" s="1"/>
      <c r="AS514" s="1"/>
      <c r="AT514" s="17"/>
      <c r="AU514" s="1"/>
      <c r="AV514" s="1"/>
      <c r="AW514" s="1"/>
      <c r="AX514" s="2"/>
      <c r="AY514" s="2"/>
      <c r="AZ514" s="1"/>
    </row>
    <row x14ac:dyDescent="0.25" r="515" customHeight="1" ht="24.75">
      <c r="A515" s="1"/>
      <c r="B515" s="1"/>
      <c r="C515" s="1"/>
      <c r="D515" s="1"/>
      <c r="E515" s="1"/>
      <c r="F515" s="1"/>
      <c r="G515" s="1"/>
      <c r="H515" s="1"/>
      <c r="I515" s="1"/>
      <c r="J515" s="1"/>
      <c r="K515" s="17"/>
      <c r="L515" s="1"/>
      <c r="M515" s="1"/>
      <c r="N515" s="2"/>
      <c r="O515" s="2"/>
      <c r="P515" s="1"/>
      <c r="Q515" s="1"/>
      <c r="R515" s="1"/>
      <c r="S515" s="1"/>
      <c r="T515" s="40"/>
      <c r="U515" s="40"/>
      <c r="V515" s="40"/>
      <c r="W515" s="40"/>
      <c r="X515" s="22"/>
      <c r="Y515" s="22"/>
      <c r="Z515" s="22"/>
      <c r="AA515" s="22"/>
      <c r="AB515" s="22"/>
      <c r="AC515" s="22"/>
      <c r="AD515" s="22"/>
      <c r="AE515" s="22"/>
      <c r="AF515" s="22"/>
      <c r="AG515" s="22"/>
      <c r="AH515" s="22"/>
      <c r="AI515" s="22"/>
      <c r="AJ515" s="40"/>
      <c r="AK515" s="22"/>
      <c r="AL515" s="22"/>
      <c r="AM515" s="22"/>
      <c r="AN515" s="22"/>
      <c r="AO515" s="40"/>
      <c r="AP515" s="40"/>
      <c r="AQ515" s="40"/>
      <c r="AR515" s="1"/>
      <c r="AS515" s="1"/>
      <c r="AT515" s="17"/>
      <c r="AU515" s="1"/>
      <c r="AV515" s="1"/>
      <c r="AW515" s="1"/>
      <c r="AX515" s="2"/>
      <c r="AY515" s="2"/>
      <c r="AZ515" s="1"/>
    </row>
    <row x14ac:dyDescent="0.25" r="516" customHeight="1" ht="24.75">
      <c r="A516" s="1"/>
      <c r="B516" s="1"/>
      <c r="C516" s="1"/>
      <c r="D516" s="1"/>
      <c r="E516" s="1"/>
      <c r="F516" s="1"/>
      <c r="G516" s="1"/>
      <c r="H516" s="1"/>
      <c r="I516" s="1"/>
      <c r="J516" s="1"/>
      <c r="K516" s="17"/>
      <c r="L516" s="1"/>
      <c r="M516" s="1"/>
      <c r="N516" s="2"/>
      <c r="O516" s="2"/>
      <c r="P516" s="1"/>
      <c r="Q516" s="1"/>
      <c r="R516" s="1"/>
      <c r="S516" s="1"/>
      <c r="T516" s="40"/>
      <c r="U516" s="40"/>
      <c r="V516" s="40"/>
      <c r="W516" s="40"/>
      <c r="X516" s="22"/>
      <c r="Y516" s="22"/>
      <c r="Z516" s="22"/>
      <c r="AA516" s="22"/>
      <c r="AB516" s="22"/>
      <c r="AC516" s="22"/>
      <c r="AD516" s="22"/>
      <c r="AE516" s="22"/>
      <c r="AF516" s="22"/>
      <c r="AG516" s="22"/>
      <c r="AH516" s="22"/>
      <c r="AI516" s="22"/>
      <c r="AJ516" s="40"/>
      <c r="AK516" s="22"/>
      <c r="AL516" s="22"/>
      <c r="AM516" s="22"/>
      <c r="AN516" s="22"/>
      <c r="AO516" s="40"/>
      <c r="AP516" s="40"/>
      <c r="AQ516" s="40"/>
      <c r="AR516" s="1"/>
      <c r="AS516" s="1"/>
      <c r="AT516" s="17"/>
      <c r="AU516" s="1"/>
      <c r="AV516" s="1"/>
      <c r="AW516" s="1"/>
      <c r="AX516" s="2"/>
      <c r="AY516" s="2"/>
      <c r="AZ516" s="1"/>
    </row>
    <row x14ac:dyDescent="0.25" r="517" customHeight="1" ht="24.75">
      <c r="A517" s="1"/>
      <c r="B517" s="1"/>
      <c r="C517" s="1"/>
      <c r="D517" s="1"/>
      <c r="E517" s="1"/>
      <c r="F517" s="1"/>
      <c r="G517" s="1"/>
      <c r="H517" s="1"/>
      <c r="I517" s="1"/>
      <c r="J517" s="1"/>
      <c r="K517" s="17"/>
      <c r="L517" s="1"/>
      <c r="M517" s="1"/>
      <c r="N517" s="2"/>
      <c r="O517" s="2"/>
      <c r="P517" s="1"/>
      <c r="Q517" s="1"/>
      <c r="R517" s="1"/>
      <c r="S517" s="1"/>
      <c r="T517" s="40"/>
      <c r="U517" s="40"/>
      <c r="V517" s="40"/>
      <c r="W517" s="40"/>
      <c r="X517" s="22"/>
      <c r="Y517" s="22"/>
      <c r="Z517" s="22"/>
      <c r="AA517" s="22"/>
      <c r="AB517" s="22"/>
      <c r="AC517" s="22"/>
      <c r="AD517" s="22"/>
      <c r="AE517" s="22"/>
      <c r="AF517" s="22"/>
      <c r="AG517" s="22"/>
      <c r="AH517" s="22"/>
      <c r="AI517" s="22"/>
      <c r="AJ517" s="40"/>
      <c r="AK517" s="22"/>
      <c r="AL517" s="22"/>
      <c r="AM517" s="22"/>
      <c r="AN517" s="22"/>
      <c r="AO517" s="40"/>
      <c r="AP517" s="40"/>
      <c r="AQ517" s="40"/>
      <c r="AR517" s="1"/>
      <c r="AS517" s="1"/>
      <c r="AT517" s="17"/>
      <c r="AU517" s="1"/>
      <c r="AV517" s="1"/>
      <c r="AW517" s="1"/>
      <c r="AX517" s="2"/>
      <c r="AY517" s="2"/>
      <c r="AZ517" s="1"/>
    </row>
    <row x14ac:dyDescent="0.25" r="518" customHeight="1" ht="24.75">
      <c r="A518" s="1"/>
      <c r="B518" s="1"/>
      <c r="C518" s="1"/>
      <c r="D518" s="1"/>
      <c r="E518" s="1"/>
      <c r="F518" s="1"/>
      <c r="G518" s="1"/>
      <c r="H518" s="1"/>
      <c r="I518" s="1"/>
      <c r="J518" s="1"/>
      <c r="K518" s="17"/>
      <c r="L518" s="1"/>
      <c r="M518" s="1"/>
      <c r="N518" s="2"/>
      <c r="O518" s="2"/>
      <c r="P518" s="1"/>
      <c r="Q518" s="1"/>
      <c r="R518" s="1"/>
      <c r="S518" s="1"/>
      <c r="T518" s="40"/>
      <c r="U518" s="40"/>
      <c r="V518" s="40"/>
      <c r="W518" s="40"/>
      <c r="X518" s="22"/>
      <c r="Y518" s="22"/>
      <c r="Z518" s="22"/>
      <c r="AA518" s="22"/>
      <c r="AB518" s="22"/>
      <c r="AC518" s="22"/>
      <c r="AD518" s="22"/>
      <c r="AE518" s="22"/>
      <c r="AF518" s="22"/>
      <c r="AG518" s="22"/>
      <c r="AH518" s="22"/>
      <c r="AI518" s="22"/>
      <c r="AJ518" s="40"/>
      <c r="AK518" s="22"/>
      <c r="AL518" s="22"/>
      <c r="AM518" s="22"/>
      <c r="AN518" s="22"/>
      <c r="AO518" s="40"/>
      <c r="AP518" s="40"/>
      <c r="AQ518" s="40"/>
      <c r="AR518" s="1"/>
      <c r="AS518" s="1"/>
      <c r="AT518" s="17"/>
      <c r="AU518" s="1"/>
      <c r="AV518" s="1"/>
      <c r="AW518" s="1"/>
      <c r="AX518" s="2"/>
      <c r="AY518" s="2"/>
      <c r="AZ518" s="1"/>
    </row>
    <row x14ac:dyDescent="0.25" r="519" customHeight="1" ht="24.75">
      <c r="A519" s="1"/>
      <c r="B519" s="1"/>
      <c r="C519" s="1"/>
      <c r="D519" s="1"/>
      <c r="E519" s="1"/>
      <c r="F519" s="1"/>
      <c r="G519" s="1"/>
      <c r="H519" s="1"/>
      <c r="I519" s="1"/>
      <c r="J519" s="1"/>
      <c r="K519" s="17"/>
      <c r="L519" s="1"/>
      <c r="M519" s="1"/>
      <c r="N519" s="2"/>
      <c r="O519" s="2"/>
      <c r="P519" s="1"/>
      <c r="Q519" s="1"/>
      <c r="R519" s="1"/>
      <c r="S519" s="1"/>
      <c r="T519" s="40"/>
      <c r="U519" s="40"/>
      <c r="V519" s="40"/>
      <c r="W519" s="40"/>
      <c r="X519" s="22"/>
      <c r="Y519" s="22"/>
      <c r="Z519" s="22"/>
      <c r="AA519" s="22"/>
      <c r="AB519" s="22"/>
      <c r="AC519" s="22"/>
      <c r="AD519" s="22"/>
      <c r="AE519" s="22"/>
      <c r="AF519" s="22"/>
      <c r="AG519" s="22"/>
      <c r="AH519" s="22"/>
      <c r="AI519" s="22"/>
      <c r="AJ519" s="40"/>
      <c r="AK519" s="22"/>
      <c r="AL519" s="22"/>
      <c r="AM519" s="22"/>
      <c r="AN519" s="22"/>
      <c r="AO519" s="40"/>
      <c r="AP519" s="40"/>
      <c r="AQ519" s="40"/>
      <c r="AR519" s="1"/>
      <c r="AS519" s="1"/>
      <c r="AT519" s="17"/>
      <c r="AU519" s="1"/>
      <c r="AV519" s="1"/>
      <c r="AW519" s="1"/>
      <c r="AX519" s="2"/>
      <c r="AY519" s="2"/>
      <c r="AZ519" s="1"/>
    </row>
    <row x14ac:dyDescent="0.25" r="520" customHeight="1" ht="24.75">
      <c r="A520" s="1"/>
      <c r="B520" s="1"/>
      <c r="C520" s="1"/>
      <c r="D520" s="1"/>
      <c r="E520" s="1"/>
      <c r="F520" s="1"/>
      <c r="G520" s="1"/>
      <c r="H520" s="1"/>
      <c r="I520" s="1"/>
      <c r="J520" s="1"/>
      <c r="K520" s="17"/>
      <c r="L520" s="1"/>
      <c r="M520" s="1"/>
      <c r="N520" s="2"/>
      <c r="O520" s="2"/>
      <c r="P520" s="1"/>
      <c r="Q520" s="1"/>
      <c r="R520" s="1"/>
      <c r="S520" s="1"/>
      <c r="T520" s="40"/>
      <c r="U520" s="40"/>
      <c r="V520" s="40"/>
      <c r="W520" s="40"/>
      <c r="X520" s="22"/>
      <c r="Y520" s="22"/>
      <c r="Z520" s="22"/>
      <c r="AA520" s="22"/>
      <c r="AB520" s="22"/>
      <c r="AC520" s="22"/>
      <c r="AD520" s="22"/>
      <c r="AE520" s="22"/>
      <c r="AF520" s="22"/>
      <c r="AG520" s="22"/>
      <c r="AH520" s="22"/>
      <c r="AI520" s="22"/>
      <c r="AJ520" s="40"/>
      <c r="AK520" s="22"/>
      <c r="AL520" s="22"/>
      <c r="AM520" s="22"/>
      <c r="AN520" s="22"/>
      <c r="AO520" s="40"/>
      <c r="AP520" s="40"/>
      <c r="AQ520" s="40"/>
      <c r="AR520" s="1"/>
      <c r="AS520" s="1"/>
      <c r="AT520" s="17"/>
      <c r="AU520" s="1"/>
      <c r="AV520" s="1"/>
      <c r="AW520" s="1"/>
      <c r="AX520" s="2"/>
      <c r="AY520" s="2"/>
      <c r="AZ520" s="1"/>
    </row>
    <row x14ac:dyDescent="0.25" r="521" customHeight="1" ht="24.75">
      <c r="A521" s="1"/>
      <c r="B521" s="1"/>
      <c r="C521" s="1"/>
      <c r="D521" s="1"/>
      <c r="E521" s="1"/>
      <c r="F521" s="1"/>
      <c r="G521" s="1"/>
      <c r="H521" s="1"/>
      <c r="I521" s="1"/>
      <c r="J521" s="1"/>
      <c r="K521" s="17"/>
      <c r="L521" s="1"/>
      <c r="M521" s="1"/>
      <c r="N521" s="2"/>
      <c r="O521" s="2"/>
      <c r="P521" s="1"/>
      <c r="Q521" s="1"/>
      <c r="R521" s="1"/>
      <c r="S521" s="1"/>
      <c r="T521" s="40"/>
      <c r="U521" s="40"/>
      <c r="V521" s="40"/>
      <c r="W521" s="40"/>
      <c r="X521" s="22"/>
      <c r="Y521" s="22"/>
      <c r="Z521" s="22"/>
      <c r="AA521" s="22"/>
      <c r="AB521" s="22"/>
      <c r="AC521" s="22"/>
      <c r="AD521" s="22"/>
      <c r="AE521" s="22"/>
      <c r="AF521" s="22"/>
      <c r="AG521" s="22"/>
      <c r="AH521" s="22"/>
      <c r="AI521" s="22"/>
      <c r="AJ521" s="40"/>
      <c r="AK521" s="22"/>
      <c r="AL521" s="22"/>
      <c r="AM521" s="22"/>
      <c r="AN521" s="22"/>
      <c r="AO521" s="40"/>
      <c r="AP521" s="40"/>
      <c r="AQ521" s="40"/>
      <c r="AR521" s="1"/>
      <c r="AS521" s="1"/>
      <c r="AT521" s="17"/>
      <c r="AU521" s="1"/>
      <c r="AV521" s="1"/>
      <c r="AW521" s="1"/>
      <c r="AX521" s="2"/>
      <c r="AY521" s="2"/>
      <c r="AZ521" s="1"/>
    </row>
    <row x14ac:dyDescent="0.25" r="522" customHeight="1" ht="24.75">
      <c r="A522" s="1"/>
      <c r="B522" s="1"/>
      <c r="C522" s="1"/>
      <c r="D522" s="1"/>
      <c r="E522" s="1"/>
      <c r="F522" s="1"/>
      <c r="G522" s="1"/>
      <c r="H522" s="1"/>
      <c r="I522" s="1"/>
      <c r="J522" s="1"/>
      <c r="K522" s="17"/>
      <c r="L522" s="1"/>
      <c r="M522" s="1"/>
      <c r="N522" s="2"/>
      <c r="O522" s="2"/>
      <c r="P522" s="1"/>
      <c r="Q522" s="1"/>
      <c r="R522" s="1"/>
      <c r="S522" s="1"/>
      <c r="T522" s="40"/>
      <c r="U522" s="40"/>
      <c r="V522" s="40"/>
      <c r="W522" s="40"/>
      <c r="X522" s="22"/>
      <c r="Y522" s="22"/>
      <c r="Z522" s="22"/>
      <c r="AA522" s="22"/>
      <c r="AB522" s="22"/>
      <c r="AC522" s="22"/>
      <c r="AD522" s="22"/>
      <c r="AE522" s="22"/>
      <c r="AF522" s="22"/>
      <c r="AG522" s="22"/>
      <c r="AH522" s="22"/>
      <c r="AI522" s="22"/>
      <c r="AJ522" s="40"/>
      <c r="AK522" s="22"/>
      <c r="AL522" s="22"/>
      <c r="AM522" s="22"/>
      <c r="AN522" s="22"/>
      <c r="AO522" s="40"/>
      <c r="AP522" s="40"/>
      <c r="AQ522" s="40"/>
      <c r="AR522" s="1"/>
      <c r="AS522" s="1"/>
      <c r="AT522" s="17"/>
      <c r="AU522" s="1"/>
      <c r="AV522" s="1"/>
      <c r="AW522" s="1"/>
      <c r="AX522" s="2"/>
      <c r="AY522" s="2"/>
      <c r="AZ522" s="1"/>
    </row>
    <row x14ac:dyDescent="0.25" r="523" customHeight="1" ht="24.75">
      <c r="A523" s="1"/>
      <c r="B523" s="1"/>
      <c r="C523" s="1"/>
      <c r="D523" s="1"/>
      <c r="E523" s="1"/>
      <c r="F523" s="1"/>
      <c r="G523" s="1"/>
      <c r="H523" s="1"/>
      <c r="I523" s="1"/>
      <c r="J523" s="1"/>
      <c r="K523" s="17"/>
      <c r="L523" s="1"/>
      <c r="M523" s="1"/>
      <c r="N523" s="2"/>
      <c r="O523" s="2"/>
      <c r="P523" s="1"/>
      <c r="Q523" s="1"/>
      <c r="R523" s="1"/>
      <c r="S523" s="1"/>
      <c r="T523" s="40"/>
      <c r="U523" s="40"/>
      <c r="V523" s="40"/>
      <c r="W523" s="40"/>
      <c r="X523" s="22"/>
      <c r="Y523" s="22"/>
      <c r="Z523" s="22"/>
      <c r="AA523" s="22"/>
      <c r="AB523" s="22"/>
      <c r="AC523" s="22"/>
      <c r="AD523" s="22"/>
      <c r="AE523" s="22"/>
      <c r="AF523" s="22"/>
      <c r="AG523" s="22"/>
      <c r="AH523" s="22"/>
      <c r="AI523" s="22"/>
      <c r="AJ523" s="40"/>
      <c r="AK523" s="22"/>
      <c r="AL523" s="22"/>
      <c r="AM523" s="22"/>
      <c r="AN523" s="22"/>
      <c r="AO523" s="40"/>
      <c r="AP523" s="40"/>
      <c r="AQ523" s="40"/>
      <c r="AR523" s="1"/>
      <c r="AS523" s="1"/>
      <c r="AT523" s="17"/>
      <c r="AU523" s="1"/>
      <c r="AV523" s="1"/>
      <c r="AW523" s="1"/>
      <c r="AX523" s="2"/>
      <c r="AY523" s="2"/>
      <c r="AZ523" s="1"/>
    </row>
    <row x14ac:dyDescent="0.25" r="524" customHeight="1" ht="24.75">
      <c r="A524" s="1"/>
      <c r="B524" s="1"/>
      <c r="C524" s="1"/>
      <c r="D524" s="1"/>
      <c r="E524" s="1"/>
      <c r="F524" s="1"/>
      <c r="G524" s="1"/>
      <c r="H524" s="1"/>
      <c r="I524" s="1"/>
      <c r="J524" s="1"/>
      <c r="K524" s="17"/>
      <c r="L524" s="1"/>
      <c r="M524" s="1"/>
      <c r="N524" s="2"/>
      <c r="O524" s="2"/>
      <c r="P524" s="1"/>
      <c r="Q524" s="1"/>
      <c r="R524" s="1"/>
      <c r="S524" s="1"/>
      <c r="T524" s="40"/>
      <c r="U524" s="40"/>
      <c r="V524" s="40"/>
      <c r="W524" s="40"/>
      <c r="X524" s="22"/>
      <c r="Y524" s="22"/>
      <c r="Z524" s="22"/>
      <c r="AA524" s="22"/>
      <c r="AB524" s="22"/>
      <c r="AC524" s="22"/>
      <c r="AD524" s="22"/>
      <c r="AE524" s="22"/>
      <c r="AF524" s="22"/>
      <c r="AG524" s="22"/>
      <c r="AH524" s="22"/>
      <c r="AI524" s="22"/>
      <c r="AJ524" s="40"/>
      <c r="AK524" s="22"/>
      <c r="AL524" s="22"/>
      <c r="AM524" s="22"/>
      <c r="AN524" s="22"/>
      <c r="AO524" s="40"/>
      <c r="AP524" s="40"/>
      <c r="AQ524" s="40"/>
      <c r="AR524" s="1"/>
      <c r="AS524" s="1"/>
      <c r="AT524" s="17"/>
      <c r="AU524" s="1"/>
      <c r="AV524" s="1"/>
      <c r="AW524" s="1"/>
      <c r="AX524" s="2"/>
      <c r="AY524" s="2"/>
      <c r="AZ524" s="1"/>
    </row>
    <row x14ac:dyDescent="0.25" r="525" customHeight="1" ht="24.75">
      <c r="A525" s="1"/>
      <c r="B525" s="1"/>
      <c r="C525" s="1"/>
      <c r="D525" s="1"/>
      <c r="E525" s="1"/>
      <c r="F525" s="1"/>
      <c r="G525" s="1"/>
      <c r="H525" s="1"/>
      <c r="I525" s="1"/>
      <c r="J525" s="1"/>
      <c r="K525" s="17"/>
      <c r="L525" s="1"/>
      <c r="M525" s="1"/>
      <c r="N525" s="2"/>
      <c r="O525" s="2"/>
      <c r="P525" s="1"/>
      <c r="Q525" s="1"/>
      <c r="R525" s="1"/>
      <c r="S525" s="1"/>
      <c r="T525" s="40"/>
      <c r="U525" s="40"/>
      <c r="V525" s="40"/>
      <c r="W525" s="40"/>
      <c r="X525" s="22"/>
      <c r="Y525" s="22"/>
      <c r="Z525" s="22"/>
      <c r="AA525" s="22"/>
      <c r="AB525" s="22"/>
      <c r="AC525" s="22"/>
      <c r="AD525" s="22"/>
      <c r="AE525" s="22"/>
      <c r="AF525" s="22"/>
      <c r="AG525" s="22"/>
      <c r="AH525" s="22"/>
      <c r="AI525" s="22"/>
      <c r="AJ525" s="40"/>
      <c r="AK525" s="22"/>
      <c r="AL525" s="22"/>
      <c r="AM525" s="22"/>
      <c r="AN525" s="22"/>
      <c r="AO525" s="40"/>
      <c r="AP525" s="40"/>
      <c r="AQ525" s="40"/>
      <c r="AR525" s="1"/>
      <c r="AS525" s="1"/>
      <c r="AT525" s="17"/>
      <c r="AU525" s="1"/>
      <c r="AV525" s="1"/>
      <c r="AW525" s="1"/>
      <c r="AX525" s="2"/>
      <c r="AY525" s="2"/>
      <c r="AZ525" s="1"/>
    </row>
    <row x14ac:dyDescent="0.25" r="526" customHeight="1" ht="24.75">
      <c r="A526" s="1"/>
      <c r="B526" s="1"/>
      <c r="C526" s="1"/>
      <c r="D526" s="1"/>
      <c r="E526" s="1"/>
      <c r="F526" s="1"/>
      <c r="G526" s="1"/>
      <c r="H526" s="1"/>
      <c r="I526" s="1"/>
      <c r="J526" s="1"/>
      <c r="K526" s="17"/>
      <c r="L526" s="1"/>
      <c r="M526" s="1"/>
      <c r="N526" s="2"/>
      <c r="O526" s="2"/>
      <c r="P526" s="1"/>
      <c r="Q526" s="1"/>
      <c r="R526" s="1"/>
      <c r="S526" s="1"/>
      <c r="T526" s="40"/>
      <c r="U526" s="40"/>
      <c r="V526" s="40"/>
      <c r="W526" s="40"/>
      <c r="X526" s="22"/>
      <c r="Y526" s="22"/>
      <c r="Z526" s="22"/>
      <c r="AA526" s="22"/>
      <c r="AB526" s="22"/>
      <c r="AC526" s="22"/>
      <c r="AD526" s="22"/>
      <c r="AE526" s="22"/>
      <c r="AF526" s="22"/>
      <c r="AG526" s="22"/>
      <c r="AH526" s="22"/>
      <c r="AI526" s="22"/>
      <c r="AJ526" s="40"/>
      <c r="AK526" s="22"/>
      <c r="AL526" s="22"/>
      <c r="AM526" s="22"/>
      <c r="AN526" s="22"/>
      <c r="AO526" s="40"/>
      <c r="AP526" s="40"/>
      <c r="AQ526" s="40"/>
      <c r="AR526" s="1"/>
      <c r="AS526" s="1"/>
      <c r="AT526" s="17"/>
      <c r="AU526" s="1"/>
      <c r="AV526" s="1"/>
      <c r="AW526" s="1"/>
      <c r="AX526" s="2"/>
      <c r="AY526" s="2"/>
      <c r="AZ526" s="1"/>
    </row>
    <row x14ac:dyDescent="0.25" r="527" customHeight="1" ht="24.75">
      <c r="A527" s="1"/>
      <c r="B527" s="1"/>
      <c r="C527" s="1"/>
      <c r="D527" s="1"/>
      <c r="E527" s="1"/>
      <c r="F527" s="1"/>
      <c r="G527" s="1"/>
      <c r="H527" s="1"/>
      <c r="I527" s="1"/>
      <c r="J527" s="1"/>
      <c r="K527" s="17"/>
      <c r="L527" s="1"/>
      <c r="M527" s="1"/>
      <c r="N527" s="2"/>
      <c r="O527" s="2"/>
      <c r="P527" s="1"/>
      <c r="Q527" s="1"/>
      <c r="R527" s="1"/>
      <c r="S527" s="1"/>
      <c r="T527" s="40"/>
      <c r="U527" s="40"/>
      <c r="V527" s="40"/>
      <c r="W527" s="40"/>
      <c r="X527" s="22"/>
      <c r="Y527" s="22"/>
      <c r="Z527" s="22"/>
      <c r="AA527" s="22"/>
      <c r="AB527" s="22"/>
      <c r="AC527" s="22"/>
      <c r="AD527" s="22"/>
      <c r="AE527" s="22"/>
      <c r="AF527" s="22"/>
      <c r="AG527" s="22"/>
      <c r="AH527" s="22"/>
      <c r="AI527" s="22"/>
      <c r="AJ527" s="40"/>
      <c r="AK527" s="22"/>
      <c r="AL527" s="22"/>
      <c r="AM527" s="22"/>
      <c r="AN527" s="22"/>
      <c r="AO527" s="40"/>
      <c r="AP527" s="40"/>
      <c r="AQ527" s="40"/>
      <c r="AR527" s="1"/>
      <c r="AS527" s="1"/>
      <c r="AT527" s="17"/>
      <c r="AU527" s="1"/>
      <c r="AV527" s="1"/>
      <c r="AW527" s="1"/>
      <c r="AX527" s="2"/>
      <c r="AY527" s="2"/>
      <c r="AZ527" s="1"/>
    </row>
    <row x14ac:dyDescent="0.25" r="528" customHeight="1" ht="24.75">
      <c r="A528" s="1"/>
      <c r="B528" s="1"/>
      <c r="C528" s="1"/>
      <c r="D528" s="1"/>
      <c r="E528" s="1"/>
      <c r="F528" s="1"/>
      <c r="G528" s="1"/>
      <c r="H528" s="1"/>
      <c r="I528" s="1"/>
      <c r="J528" s="1"/>
      <c r="K528" s="17"/>
      <c r="L528" s="1"/>
      <c r="M528" s="1"/>
      <c r="N528" s="2"/>
      <c r="O528" s="2"/>
      <c r="P528" s="1"/>
      <c r="Q528" s="1"/>
      <c r="R528" s="1"/>
      <c r="S528" s="1"/>
      <c r="T528" s="40"/>
      <c r="U528" s="40"/>
      <c r="V528" s="40"/>
      <c r="W528" s="40"/>
      <c r="X528" s="22"/>
      <c r="Y528" s="22"/>
      <c r="Z528" s="22"/>
      <c r="AA528" s="22"/>
      <c r="AB528" s="22"/>
      <c r="AC528" s="22"/>
      <c r="AD528" s="22"/>
      <c r="AE528" s="22"/>
      <c r="AF528" s="22"/>
      <c r="AG528" s="22"/>
      <c r="AH528" s="22"/>
      <c r="AI528" s="22"/>
      <c r="AJ528" s="40"/>
      <c r="AK528" s="22"/>
      <c r="AL528" s="22"/>
      <c r="AM528" s="22"/>
      <c r="AN528" s="22"/>
      <c r="AO528" s="40"/>
      <c r="AP528" s="40"/>
      <c r="AQ528" s="40"/>
      <c r="AR528" s="1"/>
      <c r="AS528" s="1"/>
      <c r="AT528" s="17"/>
      <c r="AU528" s="1"/>
      <c r="AV528" s="1"/>
      <c r="AW528" s="1"/>
      <c r="AX528" s="2"/>
      <c r="AY528" s="2"/>
      <c r="AZ528" s="1"/>
    </row>
    <row x14ac:dyDescent="0.25" r="529" customHeight="1" ht="24.75">
      <c r="A529" s="1"/>
      <c r="B529" s="1"/>
      <c r="C529" s="1"/>
      <c r="D529" s="1"/>
      <c r="E529" s="1"/>
      <c r="F529" s="1"/>
      <c r="G529" s="1"/>
      <c r="H529" s="1"/>
      <c r="I529" s="1"/>
      <c r="J529" s="1"/>
      <c r="K529" s="17"/>
      <c r="L529" s="1"/>
      <c r="M529" s="1"/>
      <c r="N529" s="2"/>
      <c r="O529" s="2"/>
      <c r="P529" s="1"/>
      <c r="Q529" s="1"/>
      <c r="R529" s="1"/>
      <c r="S529" s="1"/>
      <c r="T529" s="40"/>
      <c r="U529" s="40"/>
      <c r="V529" s="40"/>
      <c r="W529" s="40"/>
      <c r="X529" s="22"/>
      <c r="Y529" s="22"/>
      <c r="Z529" s="22"/>
      <c r="AA529" s="22"/>
      <c r="AB529" s="22"/>
      <c r="AC529" s="22"/>
      <c r="AD529" s="22"/>
      <c r="AE529" s="22"/>
      <c r="AF529" s="22"/>
      <c r="AG529" s="22"/>
      <c r="AH529" s="22"/>
      <c r="AI529" s="22"/>
      <c r="AJ529" s="40"/>
      <c r="AK529" s="22"/>
      <c r="AL529" s="22"/>
      <c r="AM529" s="22"/>
      <c r="AN529" s="22"/>
      <c r="AO529" s="40"/>
      <c r="AP529" s="40"/>
      <c r="AQ529" s="40"/>
      <c r="AR529" s="1"/>
      <c r="AS529" s="1"/>
      <c r="AT529" s="17"/>
      <c r="AU529" s="1"/>
      <c r="AV529" s="1"/>
      <c r="AW529" s="1"/>
      <c r="AX529" s="2"/>
      <c r="AY529" s="2"/>
      <c r="AZ529" s="1"/>
    </row>
    <row x14ac:dyDescent="0.25" r="530" customHeight="1" ht="24.75">
      <c r="A530" s="1"/>
      <c r="B530" s="1"/>
      <c r="C530" s="1"/>
      <c r="D530" s="1"/>
      <c r="E530" s="1"/>
      <c r="F530" s="1"/>
      <c r="G530" s="1"/>
      <c r="H530" s="1"/>
      <c r="I530" s="1"/>
      <c r="J530" s="1"/>
      <c r="K530" s="17"/>
      <c r="L530" s="1"/>
      <c r="M530" s="1"/>
      <c r="N530" s="2"/>
      <c r="O530" s="2"/>
      <c r="P530" s="1"/>
      <c r="Q530" s="1"/>
      <c r="R530" s="1"/>
      <c r="S530" s="1"/>
      <c r="T530" s="40"/>
      <c r="U530" s="40"/>
      <c r="V530" s="40"/>
      <c r="W530" s="40"/>
      <c r="X530" s="22"/>
      <c r="Y530" s="22"/>
      <c r="Z530" s="22"/>
      <c r="AA530" s="22"/>
      <c r="AB530" s="22"/>
      <c r="AC530" s="22"/>
      <c r="AD530" s="22"/>
      <c r="AE530" s="22"/>
      <c r="AF530" s="22"/>
      <c r="AG530" s="22"/>
      <c r="AH530" s="22"/>
      <c r="AI530" s="22"/>
      <c r="AJ530" s="40"/>
      <c r="AK530" s="22"/>
      <c r="AL530" s="22"/>
      <c r="AM530" s="22"/>
      <c r="AN530" s="22"/>
      <c r="AO530" s="40"/>
      <c r="AP530" s="40"/>
      <c r="AQ530" s="40"/>
      <c r="AR530" s="1"/>
      <c r="AS530" s="1"/>
      <c r="AT530" s="17"/>
      <c r="AU530" s="1"/>
      <c r="AV530" s="1"/>
      <c r="AW530" s="1"/>
      <c r="AX530" s="2"/>
      <c r="AY530" s="2"/>
      <c r="AZ530" s="1"/>
    </row>
    <row x14ac:dyDescent="0.25" r="531" customHeight="1" ht="24.75">
      <c r="A531" s="1"/>
      <c r="B531" s="1"/>
      <c r="C531" s="1"/>
      <c r="D531" s="1"/>
      <c r="E531" s="1"/>
      <c r="F531" s="1"/>
      <c r="G531" s="1"/>
      <c r="H531" s="1"/>
      <c r="I531" s="1"/>
      <c r="J531" s="1"/>
      <c r="K531" s="17"/>
      <c r="L531" s="1"/>
      <c r="M531" s="1"/>
      <c r="N531" s="2"/>
      <c r="O531" s="2"/>
      <c r="P531" s="1"/>
      <c r="Q531" s="1"/>
      <c r="R531" s="1"/>
      <c r="S531" s="1"/>
      <c r="T531" s="40"/>
      <c r="U531" s="40"/>
      <c r="V531" s="40"/>
      <c r="W531" s="40"/>
      <c r="X531" s="22"/>
      <c r="Y531" s="22"/>
      <c r="Z531" s="22"/>
      <c r="AA531" s="22"/>
      <c r="AB531" s="22"/>
      <c r="AC531" s="22"/>
      <c r="AD531" s="22"/>
      <c r="AE531" s="22"/>
      <c r="AF531" s="22"/>
      <c r="AG531" s="22"/>
      <c r="AH531" s="22"/>
      <c r="AI531" s="22"/>
      <c r="AJ531" s="40"/>
      <c r="AK531" s="22"/>
      <c r="AL531" s="22"/>
      <c r="AM531" s="22"/>
      <c r="AN531" s="22"/>
      <c r="AO531" s="40"/>
      <c r="AP531" s="40"/>
      <c r="AQ531" s="40"/>
      <c r="AR531" s="1"/>
      <c r="AS531" s="1"/>
      <c r="AT531" s="17"/>
      <c r="AU531" s="1"/>
      <c r="AV531" s="1"/>
      <c r="AW531" s="1"/>
      <c r="AX531" s="2"/>
      <c r="AY531" s="2"/>
      <c r="AZ531" s="1"/>
    </row>
    <row x14ac:dyDescent="0.25" r="532" customHeight="1" ht="24.75">
      <c r="A532" s="1"/>
      <c r="B532" s="1"/>
      <c r="C532" s="1"/>
      <c r="D532" s="1"/>
      <c r="E532" s="1"/>
      <c r="F532" s="1"/>
      <c r="G532" s="1"/>
      <c r="H532" s="1"/>
      <c r="I532" s="1"/>
      <c r="J532" s="1"/>
      <c r="K532" s="17"/>
      <c r="L532" s="1"/>
      <c r="M532" s="1"/>
      <c r="N532" s="2"/>
      <c r="O532" s="2"/>
      <c r="P532" s="1"/>
      <c r="Q532" s="1"/>
      <c r="R532" s="1"/>
      <c r="S532" s="1"/>
      <c r="T532" s="40"/>
      <c r="U532" s="40"/>
      <c r="V532" s="40"/>
      <c r="W532" s="40"/>
      <c r="X532" s="22"/>
      <c r="Y532" s="22"/>
      <c r="Z532" s="22"/>
      <c r="AA532" s="22"/>
      <c r="AB532" s="22"/>
      <c r="AC532" s="22"/>
      <c r="AD532" s="22"/>
      <c r="AE532" s="22"/>
      <c r="AF532" s="22"/>
      <c r="AG532" s="22"/>
      <c r="AH532" s="22"/>
      <c r="AI532" s="22"/>
      <c r="AJ532" s="40"/>
      <c r="AK532" s="22"/>
      <c r="AL532" s="22"/>
      <c r="AM532" s="22"/>
      <c r="AN532" s="22"/>
      <c r="AO532" s="40"/>
      <c r="AP532" s="40"/>
      <c r="AQ532" s="40"/>
      <c r="AR532" s="1"/>
      <c r="AS532" s="1"/>
      <c r="AT532" s="17"/>
      <c r="AU532" s="1"/>
      <c r="AV532" s="1"/>
      <c r="AW532" s="1"/>
      <c r="AX532" s="2"/>
      <c r="AY532" s="2"/>
      <c r="AZ532" s="1"/>
    </row>
    <row x14ac:dyDescent="0.25" r="533" customHeight="1" ht="24.75">
      <c r="A533" s="1"/>
      <c r="B533" s="1"/>
      <c r="C533" s="1"/>
      <c r="D533" s="1"/>
      <c r="E533" s="1"/>
      <c r="F533" s="1"/>
      <c r="G533" s="1"/>
      <c r="H533" s="1"/>
      <c r="I533" s="1"/>
      <c r="J533" s="1"/>
      <c r="K533" s="17"/>
      <c r="L533" s="1"/>
      <c r="M533" s="1"/>
      <c r="N533" s="2"/>
      <c r="O533" s="2"/>
      <c r="P533" s="1"/>
      <c r="Q533" s="1"/>
      <c r="R533" s="1"/>
      <c r="S533" s="1"/>
      <c r="T533" s="40"/>
      <c r="U533" s="40"/>
      <c r="V533" s="40"/>
      <c r="W533" s="40"/>
      <c r="X533" s="22"/>
      <c r="Y533" s="22"/>
      <c r="Z533" s="22"/>
      <c r="AA533" s="22"/>
      <c r="AB533" s="22"/>
      <c r="AC533" s="22"/>
      <c r="AD533" s="22"/>
      <c r="AE533" s="22"/>
      <c r="AF533" s="22"/>
      <c r="AG533" s="22"/>
      <c r="AH533" s="22"/>
      <c r="AI533" s="22"/>
      <c r="AJ533" s="40"/>
      <c r="AK533" s="22"/>
      <c r="AL533" s="22"/>
      <c r="AM533" s="22"/>
      <c r="AN533" s="22"/>
      <c r="AO533" s="40"/>
      <c r="AP533" s="40"/>
      <c r="AQ533" s="40"/>
      <c r="AR533" s="1"/>
      <c r="AS533" s="1"/>
      <c r="AT533" s="17"/>
      <c r="AU533" s="1"/>
      <c r="AV533" s="1"/>
      <c r="AW533" s="1"/>
      <c r="AX533" s="2"/>
      <c r="AY533" s="2"/>
      <c r="AZ533" s="1"/>
    </row>
    <row x14ac:dyDescent="0.25" r="534" customHeight="1" ht="24.75">
      <c r="A534" s="1"/>
      <c r="B534" s="1"/>
      <c r="C534" s="1"/>
      <c r="D534" s="1"/>
      <c r="E534" s="1"/>
      <c r="F534" s="1"/>
      <c r="G534" s="1"/>
      <c r="H534" s="1"/>
      <c r="I534" s="1"/>
      <c r="J534" s="1"/>
      <c r="K534" s="17"/>
      <c r="L534" s="1"/>
      <c r="M534" s="1"/>
      <c r="N534" s="2"/>
      <c r="O534" s="2"/>
      <c r="P534" s="1"/>
      <c r="Q534" s="1"/>
      <c r="R534" s="1"/>
      <c r="S534" s="1"/>
      <c r="T534" s="40"/>
      <c r="U534" s="40"/>
      <c r="V534" s="40"/>
      <c r="W534" s="40"/>
      <c r="X534" s="22"/>
      <c r="Y534" s="22"/>
      <c r="Z534" s="22"/>
      <c r="AA534" s="22"/>
      <c r="AB534" s="22"/>
      <c r="AC534" s="22"/>
      <c r="AD534" s="22"/>
      <c r="AE534" s="22"/>
      <c r="AF534" s="22"/>
      <c r="AG534" s="22"/>
      <c r="AH534" s="22"/>
      <c r="AI534" s="22"/>
      <c r="AJ534" s="40"/>
      <c r="AK534" s="22"/>
      <c r="AL534" s="22"/>
      <c r="AM534" s="22"/>
      <c r="AN534" s="22"/>
      <c r="AO534" s="40"/>
      <c r="AP534" s="40"/>
      <c r="AQ534" s="40"/>
      <c r="AR534" s="1"/>
      <c r="AS534" s="1"/>
      <c r="AT534" s="17"/>
      <c r="AU534" s="1"/>
      <c r="AV534" s="1"/>
      <c r="AW534" s="1"/>
      <c r="AX534" s="2"/>
      <c r="AY534" s="2"/>
      <c r="AZ534" s="1"/>
    </row>
    <row x14ac:dyDescent="0.25" r="535" customHeight="1" ht="24.75">
      <c r="A535" s="1"/>
      <c r="B535" s="1"/>
      <c r="C535" s="1"/>
      <c r="D535" s="1"/>
      <c r="E535" s="1"/>
      <c r="F535" s="1"/>
      <c r="G535" s="1"/>
      <c r="H535" s="1"/>
      <c r="I535" s="1"/>
      <c r="J535" s="1"/>
      <c r="K535" s="17"/>
      <c r="L535" s="1"/>
      <c r="M535" s="1"/>
      <c r="N535" s="2"/>
      <c r="O535" s="2"/>
      <c r="P535" s="1"/>
      <c r="Q535" s="1"/>
      <c r="R535" s="1"/>
      <c r="S535" s="1"/>
      <c r="T535" s="40"/>
      <c r="U535" s="40"/>
      <c r="V535" s="40"/>
      <c r="W535" s="40"/>
      <c r="X535" s="22"/>
      <c r="Y535" s="22"/>
      <c r="Z535" s="22"/>
      <c r="AA535" s="22"/>
      <c r="AB535" s="22"/>
      <c r="AC535" s="22"/>
      <c r="AD535" s="22"/>
      <c r="AE535" s="22"/>
      <c r="AF535" s="22"/>
      <c r="AG535" s="22"/>
      <c r="AH535" s="22"/>
      <c r="AI535" s="22"/>
      <c r="AJ535" s="40"/>
      <c r="AK535" s="22"/>
      <c r="AL535" s="22"/>
      <c r="AM535" s="22"/>
      <c r="AN535" s="22"/>
      <c r="AO535" s="40"/>
      <c r="AP535" s="40"/>
      <c r="AQ535" s="40"/>
      <c r="AR535" s="1"/>
      <c r="AS535" s="1"/>
      <c r="AT535" s="17"/>
      <c r="AU535" s="1"/>
      <c r="AV535" s="1"/>
      <c r="AW535" s="1"/>
      <c r="AX535" s="2"/>
      <c r="AY535" s="2"/>
      <c r="AZ535" s="1"/>
    </row>
    <row x14ac:dyDescent="0.25" r="536" customHeight="1" ht="24.75">
      <c r="A536" s="1"/>
      <c r="B536" s="1"/>
      <c r="C536" s="1"/>
      <c r="D536" s="1"/>
      <c r="E536" s="1"/>
      <c r="F536" s="1"/>
      <c r="G536" s="1"/>
      <c r="H536" s="1"/>
      <c r="I536" s="1"/>
      <c r="J536" s="1"/>
      <c r="K536" s="17"/>
      <c r="L536" s="1"/>
      <c r="M536" s="1"/>
      <c r="N536" s="2"/>
      <c r="O536" s="2"/>
      <c r="P536" s="1"/>
      <c r="Q536" s="1"/>
      <c r="R536" s="1"/>
      <c r="S536" s="1"/>
      <c r="T536" s="40"/>
      <c r="U536" s="40"/>
      <c r="V536" s="40"/>
      <c r="W536" s="40"/>
      <c r="X536" s="22"/>
      <c r="Y536" s="22"/>
      <c r="Z536" s="22"/>
      <c r="AA536" s="22"/>
      <c r="AB536" s="22"/>
      <c r="AC536" s="22"/>
      <c r="AD536" s="22"/>
      <c r="AE536" s="22"/>
      <c r="AF536" s="22"/>
      <c r="AG536" s="22"/>
      <c r="AH536" s="22"/>
      <c r="AI536" s="22"/>
      <c r="AJ536" s="40"/>
      <c r="AK536" s="22"/>
      <c r="AL536" s="22"/>
      <c r="AM536" s="22"/>
      <c r="AN536" s="22"/>
      <c r="AO536" s="40"/>
      <c r="AP536" s="40"/>
      <c r="AQ536" s="40"/>
      <c r="AR536" s="1"/>
      <c r="AS536" s="1"/>
      <c r="AT536" s="17"/>
      <c r="AU536" s="1"/>
      <c r="AV536" s="1"/>
      <c r="AW536" s="1"/>
      <c r="AX536" s="2"/>
      <c r="AY536" s="2"/>
      <c r="AZ536" s="1"/>
    </row>
    <row x14ac:dyDescent="0.25" r="537" customHeight="1" ht="24.75">
      <c r="A537" s="1"/>
      <c r="B537" s="1"/>
      <c r="C537" s="1"/>
      <c r="D537" s="1"/>
      <c r="E537" s="1"/>
      <c r="F537" s="1"/>
      <c r="G537" s="1"/>
      <c r="H537" s="1"/>
      <c r="I537" s="1"/>
      <c r="J537" s="1"/>
      <c r="K537" s="17"/>
      <c r="L537" s="1"/>
      <c r="M537" s="1"/>
      <c r="N537" s="2"/>
      <c r="O537" s="2"/>
      <c r="P537" s="1"/>
      <c r="Q537" s="1"/>
      <c r="R537" s="1"/>
      <c r="S537" s="1"/>
      <c r="T537" s="40"/>
      <c r="U537" s="40"/>
      <c r="V537" s="40"/>
      <c r="W537" s="40"/>
      <c r="X537" s="22"/>
      <c r="Y537" s="22"/>
      <c r="Z537" s="22"/>
      <c r="AA537" s="22"/>
      <c r="AB537" s="22"/>
      <c r="AC537" s="22"/>
      <c r="AD537" s="22"/>
      <c r="AE537" s="22"/>
      <c r="AF537" s="22"/>
      <c r="AG537" s="22"/>
      <c r="AH537" s="22"/>
      <c r="AI537" s="22"/>
      <c r="AJ537" s="40"/>
      <c r="AK537" s="22"/>
      <c r="AL537" s="22"/>
      <c r="AM537" s="22"/>
      <c r="AN537" s="22"/>
      <c r="AO537" s="40"/>
      <c r="AP537" s="40"/>
      <c r="AQ537" s="40"/>
      <c r="AR537" s="1"/>
      <c r="AS537" s="1"/>
      <c r="AT537" s="17"/>
      <c r="AU537" s="1"/>
      <c r="AV537" s="1"/>
      <c r="AW537" s="1"/>
      <c r="AX537" s="2"/>
      <c r="AY537" s="2"/>
      <c r="AZ537" s="1"/>
    </row>
    <row x14ac:dyDescent="0.25" r="538" customHeight="1" ht="24.75">
      <c r="A538" s="1"/>
      <c r="B538" s="1"/>
      <c r="C538" s="1"/>
      <c r="D538" s="1"/>
      <c r="E538" s="1"/>
      <c r="F538" s="1"/>
      <c r="G538" s="1"/>
      <c r="H538" s="1"/>
      <c r="I538" s="1"/>
      <c r="J538" s="1"/>
      <c r="K538" s="17"/>
      <c r="L538" s="1"/>
      <c r="M538" s="1"/>
      <c r="N538" s="2"/>
      <c r="O538" s="2"/>
      <c r="P538" s="1"/>
      <c r="Q538" s="1"/>
      <c r="R538" s="1"/>
      <c r="S538" s="1"/>
      <c r="T538" s="40"/>
      <c r="U538" s="40"/>
      <c r="V538" s="40"/>
      <c r="W538" s="40"/>
      <c r="X538" s="22"/>
      <c r="Y538" s="22"/>
      <c r="Z538" s="22"/>
      <c r="AA538" s="22"/>
      <c r="AB538" s="22"/>
      <c r="AC538" s="22"/>
      <c r="AD538" s="22"/>
      <c r="AE538" s="22"/>
      <c r="AF538" s="22"/>
      <c r="AG538" s="22"/>
      <c r="AH538" s="22"/>
      <c r="AI538" s="22"/>
      <c r="AJ538" s="40"/>
      <c r="AK538" s="22"/>
      <c r="AL538" s="22"/>
      <c r="AM538" s="22"/>
      <c r="AN538" s="22"/>
      <c r="AO538" s="40"/>
      <c r="AP538" s="40"/>
      <c r="AQ538" s="40"/>
      <c r="AR538" s="1"/>
      <c r="AS538" s="1"/>
      <c r="AT538" s="17"/>
      <c r="AU538" s="1"/>
      <c r="AV538" s="1"/>
      <c r="AW538" s="1"/>
      <c r="AX538" s="2"/>
      <c r="AY538" s="2"/>
      <c r="AZ538" s="1"/>
    </row>
    <row x14ac:dyDescent="0.25" r="539" customHeight="1" ht="24.75">
      <c r="A539" s="1"/>
      <c r="B539" s="1"/>
      <c r="C539" s="1"/>
      <c r="D539" s="1"/>
      <c r="E539" s="1"/>
      <c r="F539" s="1"/>
      <c r="G539" s="1"/>
      <c r="H539" s="1"/>
      <c r="I539" s="1"/>
      <c r="J539" s="1"/>
      <c r="K539" s="17"/>
      <c r="L539" s="1"/>
      <c r="M539" s="1"/>
      <c r="N539" s="2"/>
      <c r="O539" s="2"/>
      <c r="P539" s="1"/>
      <c r="Q539" s="1"/>
      <c r="R539" s="1"/>
      <c r="S539" s="1"/>
      <c r="T539" s="40"/>
      <c r="U539" s="40"/>
      <c r="V539" s="40"/>
      <c r="W539" s="40"/>
      <c r="X539" s="22"/>
      <c r="Y539" s="22"/>
      <c r="Z539" s="22"/>
      <c r="AA539" s="22"/>
      <c r="AB539" s="22"/>
      <c r="AC539" s="22"/>
      <c r="AD539" s="22"/>
      <c r="AE539" s="22"/>
      <c r="AF539" s="22"/>
      <c r="AG539" s="22"/>
      <c r="AH539" s="22"/>
      <c r="AI539" s="22"/>
      <c r="AJ539" s="40"/>
      <c r="AK539" s="22"/>
      <c r="AL539" s="22"/>
      <c r="AM539" s="22"/>
      <c r="AN539" s="22"/>
      <c r="AO539" s="40"/>
      <c r="AP539" s="40"/>
      <c r="AQ539" s="40"/>
      <c r="AR539" s="1"/>
      <c r="AS539" s="1"/>
      <c r="AT539" s="17"/>
      <c r="AU539" s="1"/>
      <c r="AV539" s="1"/>
      <c r="AW539" s="1"/>
      <c r="AX539" s="2"/>
      <c r="AY539" s="2"/>
      <c r="AZ539" s="1"/>
    </row>
    <row x14ac:dyDescent="0.25" r="540" customHeight="1" ht="24.75">
      <c r="A540" s="1"/>
      <c r="B540" s="1"/>
      <c r="C540" s="1"/>
      <c r="D540" s="1"/>
      <c r="E540" s="1"/>
      <c r="F540" s="1"/>
      <c r="G540" s="1"/>
      <c r="H540" s="1"/>
      <c r="I540" s="1"/>
      <c r="J540" s="1"/>
      <c r="K540" s="17"/>
      <c r="L540" s="1"/>
      <c r="M540" s="1"/>
      <c r="N540" s="2"/>
      <c r="O540" s="2"/>
      <c r="P540" s="1"/>
      <c r="Q540" s="1"/>
      <c r="R540" s="1"/>
      <c r="S540" s="1"/>
      <c r="T540" s="40"/>
      <c r="U540" s="40"/>
      <c r="V540" s="40"/>
      <c r="W540" s="40"/>
      <c r="X540" s="22"/>
      <c r="Y540" s="22"/>
      <c r="Z540" s="22"/>
      <c r="AA540" s="22"/>
      <c r="AB540" s="22"/>
      <c r="AC540" s="22"/>
      <c r="AD540" s="22"/>
      <c r="AE540" s="22"/>
      <c r="AF540" s="22"/>
      <c r="AG540" s="22"/>
      <c r="AH540" s="22"/>
      <c r="AI540" s="22"/>
      <c r="AJ540" s="40"/>
      <c r="AK540" s="22"/>
      <c r="AL540" s="22"/>
      <c r="AM540" s="22"/>
      <c r="AN540" s="22"/>
      <c r="AO540" s="40"/>
      <c r="AP540" s="40"/>
      <c r="AQ540" s="40"/>
      <c r="AR540" s="1"/>
      <c r="AS540" s="1"/>
      <c r="AT540" s="17"/>
      <c r="AU540" s="1"/>
      <c r="AV540" s="1"/>
      <c r="AW540" s="1"/>
      <c r="AX540" s="2"/>
      <c r="AY540" s="2"/>
      <c r="AZ540" s="1"/>
    </row>
    <row x14ac:dyDescent="0.25" r="541" customHeight="1" ht="24.75">
      <c r="A541" s="1"/>
      <c r="B541" s="1"/>
      <c r="C541" s="1"/>
      <c r="D541" s="1"/>
      <c r="E541" s="1"/>
      <c r="F541" s="1"/>
      <c r="G541" s="1"/>
      <c r="H541" s="1"/>
      <c r="I541" s="1"/>
      <c r="J541" s="1"/>
      <c r="K541" s="17"/>
      <c r="L541" s="1"/>
      <c r="M541" s="1"/>
      <c r="N541" s="2"/>
      <c r="O541" s="2"/>
      <c r="P541" s="1"/>
      <c r="Q541" s="1"/>
      <c r="R541" s="1"/>
      <c r="S541" s="1"/>
      <c r="T541" s="40"/>
      <c r="U541" s="40"/>
      <c r="V541" s="40"/>
      <c r="W541" s="40"/>
      <c r="X541" s="22"/>
      <c r="Y541" s="22"/>
      <c r="Z541" s="22"/>
      <c r="AA541" s="22"/>
      <c r="AB541" s="22"/>
      <c r="AC541" s="22"/>
      <c r="AD541" s="22"/>
      <c r="AE541" s="22"/>
      <c r="AF541" s="22"/>
      <c r="AG541" s="22"/>
      <c r="AH541" s="22"/>
      <c r="AI541" s="22"/>
      <c r="AJ541" s="40"/>
      <c r="AK541" s="22"/>
      <c r="AL541" s="22"/>
      <c r="AM541" s="22"/>
      <c r="AN541" s="22"/>
      <c r="AO541" s="40"/>
      <c r="AP541" s="40"/>
      <c r="AQ541" s="40"/>
      <c r="AR541" s="1"/>
      <c r="AS541" s="1"/>
      <c r="AT541" s="17"/>
      <c r="AU541" s="1"/>
      <c r="AV541" s="1"/>
      <c r="AW541" s="1"/>
      <c r="AX541" s="2"/>
      <c r="AY541" s="2"/>
      <c r="AZ541" s="1"/>
    </row>
    <row x14ac:dyDescent="0.25" r="542" customHeight="1" ht="24.75">
      <c r="A542" s="1"/>
      <c r="B542" s="1"/>
      <c r="C542" s="1"/>
      <c r="D542" s="1"/>
      <c r="E542" s="1"/>
      <c r="F542" s="1"/>
      <c r="G542" s="1"/>
      <c r="H542" s="1"/>
      <c r="I542" s="1"/>
      <c r="J542" s="1"/>
      <c r="K542" s="17"/>
      <c r="L542" s="1"/>
      <c r="M542" s="1"/>
      <c r="N542" s="2"/>
      <c r="O542" s="2"/>
      <c r="P542" s="1"/>
      <c r="Q542" s="1"/>
      <c r="R542" s="1"/>
      <c r="S542" s="1"/>
      <c r="T542" s="40"/>
      <c r="U542" s="40"/>
      <c r="V542" s="40"/>
      <c r="W542" s="40"/>
      <c r="X542" s="22"/>
      <c r="Y542" s="22"/>
      <c r="Z542" s="22"/>
      <c r="AA542" s="22"/>
      <c r="AB542" s="22"/>
      <c r="AC542" s="22"/>
      <c r="AD542" s="22"/>
      <c r="AE542" s="22"/>
      <c r="AF542" s="22"/>
      <c r="AG542" s="22"/>
      <c r="AH542" s="22"/>
      <c r="AI542" s="22"/>
      <c r="AJ542" s="40"/>
      <c r="AK542" s="22"/>
      <c r="AL542" s="22"/>
      <c r="AM542" s="22"/>
      <c r="AN542" s="22"/>
      <c r="AO542" s="40"/>
      <c r="AP542" s="40"/>
      <c r="AQ542" s="40"/>
      <c r="AR542" s="1"/>
      <c r="AS542" s="1"/>
      <c r="AT542" s="17"/>
      <c r="AU542" s="1"/>
      <c r="AV542" s="1"/>
      <c r="AW542" s="1"/>
      <c r="AX542" s="2"/>
      <c r="AY542" s="2"/>
      <c r="AZ542" s="1"/>
    </row>
    <row x14ac:dyDescent="0.25" r="543" customHeight="1" ht="24.75">
      <c r="A543" s="1"/>
      <c r="B543" s="1"/>
      <c r="C543" s="1"/>
      <c r="D543" s="1"/>
      <c r="E543" s="1"/>
      <c r="F543" s="1"/>
      <c r="G543" s="1"/>
      <c r="H543" s="1"/>
      <c r="I543" s="1"/>
      <c r="J543" s="1"/>
      <c r="K543" s="17"/>
      <c r="L543" s="1"/>
      <c r="M543" s="1"/>
      <c r="N543" s="2"/>
      <c r="O543" s="2"/>
      <c r="P543" s="1"/>
      <c r="Q543" s="1"/>
      <c r="R543" s="1"/>
      <c r="S543" s="1"/>
      <c r="T543" s="40"/>
      <c r="U543" s="40"/>
      <c r="V543" s="40"/>
      <c r="W543" s="40"/>
      <c r="X543" s="22"/>
      <c r="Y543" s="22"/>
      <c r="Z543" s="22"/>
      <c r="AA543" s="22"/>
      <c r="AB543" s="22"/>
      <c r="AC543" s="22"/>
      <c r="AD543" s="22"/>
      <c r="AE543" s="22"/>
      <c r="AF543" s="22"/>
      <c r="AG543" s="22"/>
      <c r="AH543" s="22"/>
      <c r="AI543" s="22"/>
      <c r="AJ543" s="40"/>
      <c r="AK543" s="22"/>
      <c r="AL543" s="22"/>
      <c r="AM543" s="22"/>
      <c r="AN543" s="22"/>
      <c r="AO543" s="40"/>
      <c r="AP543" s="40"/>
      <c r="AQ543" s="40"/>
      <c r="AR543" s="1"/>
      <c r="AS543" s="1"/>
      <c r="AT543" s="17"/>
      <c r="AU543" s="1"/>
      <c r="AV543" s="1"/>
      <c r="AW543" s="1"/>
      <c r="AX543" s="2"/>
      <c r="AY543" s="2"/>
      <c r="AZ543" s="1"/>
    </row>
    <row x14ac:dyDescent="0.25" r="544" customHeight="1" ht="24.75">
      <c r="A544" s="1"/>
      <c r="B544" s="1"/>
      <c r="C544" s="1"/>
      <c r="D544" s="1"/>
      <c r="E544" s="1"/>
      <c r="F544" s="1"/>
      <c r="G544" s="1"/>
      <c r="H544" s="1"/>
      <c r="I544" s="1"/>
      <c r="J544" s="1"/>
      <c r="K544" s="17"/>
      <c r="L544" s="1"/>
      <c r="M544" s="1"/>
      <c r="N544" s="2"/>
      <c r="O544" s="2"/>
      <c r="P544" s="1"/>
      <c r="Q544" s="1"/>
      <c r="R544" s="1"/>
      <c r="S544" s="1"/>
      <c r="T544" s="40"/>
      <c r="U544" s="40"/>
      <c r="V544" s="40"/>
      <c r="W544" s="40"/>
      <c r="X544" s="22"/>
      <c r="Y544" s="22"/>
      <c r="Z544" s="22"/>
      <c r="AA544" s="22"/>
      <c r="AB544" s="22"/>
      <c r="AC544" s="22"/>
      <c r="AD544" s="22"/>
      <c r="AE544" s="22"/>
      <c r="AF544" s="22"/>
      <c r="AG544" s="22"/>
      <c r="AH544" s="22"/>
      <c r="AI544" s="22"/>
      <c r="AJ544" s="40"/>
      <c r="AK544" s="22"/>
      <c r="AL544" s="22"/>
      <c r="AM544" s="22"/>
      <c r="AN544" s="22"/>
      <c r="AO544" s="40"/>
      <c r="AP544" s="40"/>
      <c r="AQ544" s="40"/>
      <c r="AR544" s="1"/>
      <c r="AS544" s="1"/>
      <c r="AT544" s="17"/>
      <c r="AU544" s="1"/>
      <c r="AV544" s="1"/>
      <c r="AW544" s="1"/>
      <c r="AX544" s="2"/>
      <c r="AY544" s="2"/>
      <c r="AZ544" s="1"/>
    </row>
    <row x14ac:dyDescent="0.25" r="545" customHeight="1" ht="24.75">
      <c r="A545" s="1"/>
      <c r="B545" s="1"/>
      <c r="C545" s="1"/>
      <c r="D545" s="1"/>
      <c r="E545" s="1"/>
      <c r="F545" s="1"/>
      <c r="G545" s="1"/>
      <c r="H545" s="1"/>
      <c r="I545" s="1"/>
      <c r="J545" s="1"/>
      <c r="K545" s="17"/>
      <c r="L545" s="1"/>
      <c r="M545" s="1"/>
      <c r="N545" s="2"/>
      <c r="O545" s="2"/>
      <c r="P545" s="1"/>
      <c r="Q545" s="1"/>
      <c r="R545" s="1"/>
      <c r="S545" s="1"/>
      <c r="T545" s="40"/>
      <c r="U545" s="40"/>
      <c r="V545" s="40"/>
      <c r="W545" s="40"/>
      <c r="X545" s="22"/>
      <c r="Y545" s="22"/>
      <c r="Z545" s="22"/>
      <c r="AA545" s="22"/>
      <c r="AB545" s="22"/>
      <c r="AC545" s="22"/>
      <c r="AD545" s="22"/>
      <c r="AE545" s="22"/>
      <c r="AF545" s="22"/>
      <c r="AG545" s="22"/>
      <c r="AH545" s="22"/>
      <c r="AI545" s="22"/>
      <c r="AJ545" s="40"/>
      <c r="AK545" s="22"/>
      <c r="AL545" s="22"/>
      <c r="AM545" s="22"/>
      <c r="AN545" s="22"/>
      <c r="AO545" s="40"/>
      <c r="AP545" s="40"/>
      <c r="AQ545" s="40"/>
      <c r="AR545" s="1"/>
      <c r="AS545" s="1"/>
      <c r="AT545" s="17"/>
      <c r="AU545" s="1"/>
      <c r="AV545" s="1"/>
      <c r="AW545" s="1"/>
      <c r="AX545" s="2"/>
      <c r="AY545" s="2"/>
      <c r="AZ545" s="1"/>
    </row>
    <row x14ac:dyDescent="0.25" r="546" customHeight="1" ht="24.75">
      <c r="A546" s="1"/>
      <c r="B546" s="1"/>
      <c r="C546" s="1"/>
      <c r="D546" s="1"/>
      <c r="E546" s="1"/>
      <c r="F546" s="1"/>
      <c r="G546" s="1"/>
      <c r="H546" s="1"/>
      <c r="I546" s="1"/>
      <c r="J546" s="1"/>
      <c r="K546" s="17"/>
      <c r="L546" s="1"/>
      <c r="M546" s="1"/>
      <c r="N546" s="2"/>
      <c r="O546" s="2"/>
      <c r="P546" s="1"/>
      <c r="Q546" s="1"/>
      <c r="R546" s="1"/>
      <c r="S546" s="1"/>
      <c r="T546" s="40"/>
      <c r="U546" s="40"/>
      <c r="V546" s="40"/>
      <c r="W546" s="40"/>
      <c r="X546" s="22"/>
      <c r="Y546" s="22"/>
      <c r="Z546" s="22"/>
      <c r="AA546" s="22"/>
      <c r="AB546" s="22"/>
      <c r="AC546" s="22"/>
      <c r="AD546" s="22"/>
      <c r="AE546" s="22"/>
      <c r="AF546" s="22"/>
      <c r="AG546" s="22"/>
      <c r="AH546" s="22"/>
      <c r="AI546" s="22"/>
      <c r="AJ546" s="40"/>
      <c r="AK546" s="22"/>
      <c r="AL546" s="22"/>
      <c r="AM546" s="22"/>
      <c r="AN546" s="22"/>
      <c r="AO546" s="40"/>
      <c r="AP546" s="40"/>
      <c r="AQ546" s="40"/>
      <c r="AR546" s="1"/>
      <c r="AS546" s="1"/>
      <c r="AT546" s="17"/>
      <c r="AU546" s="1"/>
      <c r="AV546" s="1"/>
      <c r="AW546" s="1"/>
      <c r="AX546" s="2"/>
      <c r="AY546" s="2"/>
      <c r="AZ546" s="1"/>
    </row>
    <row x14ac:dyDescent="0.25" r="547" customHeight="1" ht="24.75">
      <c r="A547" s="1"/>
      <c r="B547" s="1"/>
      <c r="C547" s="1"/>
      <c r="D547" s="1"/>
      <c r="E547" s="1"/>
      <c r="F547" s="1"/>
      <c r="G547" s="1"/>
      <c r="H547" s="1"/>
      <c r="I547" s="1"/>
      <c r="J547" s="1"/>
      <c r="K547" s="17"/>
      <c r="L547" s="1"/>
      <c r="M547" s="1"/>
      <c r="N547" s="2"/>
      <c r="O547" s="2"/>
      <c r="P547" s="1"/>
      <c r="Q547" s="1"/>
      <c r="R547" s="1"/>
      <c r="S547" s="1"/>
      <c r="T547" s="40"/>
      <c r="U547" s="40"/>
      <c r="V547" s="40"/>
      <c r="W547" s="40"/>
      <c r="X547" s="22"/>
      <c r="Y547" s="22"/>
      <c r="Z547" s="22"/>
      <c r="AA547" s="22"/>
      <c r="AB547" s="22"/>
      <c r="AC547" s="22"/>
      <c r="AD547" s="22"/>
      <c r="AE547" s="22"/>
      <c r="AF547" s="22"/>
      <c r="AG547" s="22"/>
      <c r="AH547" s="22"/>
      <c r="AI547" s="22"/>
      <c r="AJ547" s="40"/>
      <c r="AK547" s="22"/>
      <c r="AL547" s="22"/>
      <c r="AM547" s="22"/>
      <c r="AN547" s="22"/>
      <c r="AO547" s="40"/>
      <c r="AP547" s="40"/>
      <c r="AQ547" s="40"/>
      <c r="AR547" s="1"/>
      <c r="AS547" s="1"/>
      <c r="AT547" s="17"/>
      <c r="AU547" s="1"/>
      <c r="AV547" s="1"/>
      <c r="AW547" s="1"/>
      <c r="AX547" s="2"/>
      <c r="AY547" s="2"/>
      <c r="AZ547" s="1"/>
    </row>
    <row x14ac:dyDescent="0.25" r="548" customHeight="1" ht="24.75">
      <c r="A548" s="1"/>
      <c r="B548" s="1"/>
      <c r="C548" s="1"/>
      <c r="D548" s="1"/>
      <c r="E548" s="1"/>
      <c r="F548" s="1"/>
      <c r="G548" s="1"/>
      <c r="H548" s="1"/>
      <c r="I548" s="1"/>
      <c r="J548" s="1"/>
      <c r="K548" s="17"/>
      <c r="L548" s="1"/>
      <c r="M548" s="1"/>
      <c r="N548" s="2"/>
      <c r="O548" s="2"/>
      <c r="P548" s="1"/>
      <c r="Q548" s="1"/>
      <c r="R548" s="1"/>
      <c r="S548" s="1"/>
      <c r="T548" s="40"/>
      <c r="U548" s="40"/>
      <c r="V548" s="40"/>
      <c r="W548" s="40"/>
      <c r="X548" s="22"/>
      <c r="Y548" s="22"/>
      <c r="Z548" s="22"/>
      <c r="AA548" s="22"/>
      <c r="AB548" s="22"/>
      <c r="AC548" s="22"/>
      <c r="AD548" s="22"/>
      <c r="AE548" s="22"/>
      <c r="AF548" s="22"/>
      <c r="AG548" s="22"/>
      <c r="AH548" s="22"/>
      <c r="AI548" s="22"/>
      <c r="AJ548" s="40"/>
      <c r="AK548" s="22"/>
      <c r="AL548" s="22"/>
      <c r="AM548" s="22"/>
      <c r="AN548" s="22"/>
      <c r="AO548" s="40"/>
      <c r="AP548" s="40"/>
      <c r="AQ548" s="40"/>
      <c r="AR548" s="1"/>
      <c r="AS548" s="1"/>
      <c r="AT548" s="17"/>
      <c r="AU548" s="1"/>
      <c r="AV548" s="1"/>
      <c r="AW548" s="1"/>
      <c r="AX548" s="2"/>
      <c r="AY548" s="2"/>
      <c r="AZ548" s="1"/>
    </row>
    <row x14ac:dyDescent="0.25" r="549" customHeight="1" ht="24.75">
      <c r="A549" s="1"/>
      <c r="B549" s="1"/>
      <c r="C549" s="1"/>
      <c r="D549" s="1"/>
      <c r="E549" s="1"/>
      <c r="F549" s="1"/>
      <c r="G549" s="1"/>
      <c r="H549" s="1"/>
      <c r="I549" s="1"/>
      <c r="J549" s="1"/>
      <c r="K549" s="17"/>
      <c r="L549" s="1"/>
      <c r="M549" s="1"/>
      <c r="N549" s="2"/>
      <c r="O549" s="2"/>
      <c r="P549" s="1"/>
      <c r="Q549" s="1"/>
      <c r="R549" s="1"/>
      <c r="S549" s="1"/>
      <c r="T549" s="40"/>
      <c r="U549" s="40"/>
      <c r="V549" s="40"/>
      <c r="W549" s="40"/>
      <c r="X549" s="22"/>
      <c r="Y549" s="22"/>
      <c r="Z549" s="22"/>
      <c r="AA549" s="22"/>
      <c r="AB549" s="22"/>
      <c r="AC549" s="22"/>
      <c r="AD549" s="22"/>
      <c r="AE549" s="22"/>
      <c r="AF549" s="22"/>
      <c r="AG549" s="22"/>
      <c r="AH549" s="22"/>
      <c r="AI549" s="22"/>
      <c r="AJ549" s="40"/>
      <c r="AK549" s="22"/>
      <c r="AL549" s="22"/>
      <c r="AM549" s="22"/>
      <c r="AN549" s="22"/>
      <c r="AO549" s="40"/>
      <c r="AP549" s="40"/>
      <c r="AQ549" s="40"/>
      <c r="AR549" s="1"/>
      <c r="AS549" s="1"/>
      <c r="AT549" s="17"/>
      <c r="AU549" s="1"/>
      <c r="AV549" s="1"/>
      <c r="AW549" s="1"/>
      <c r="AX549" s="2"/>
      <c r="AY549" s="2"/>
      <c r="AZ549" s="1"/>
    </row>
    <row x14ac:dyDescent="0.25" r="550" customHeight="1" ht="24.75">
      <c r="A550" s="1"/>
      <c r="B550" s="1"/>
      <c r="C550" s="1"/>
      <c r="D550" s="1"/>
      <c r="E550" s="1"/>
      <c r="F550" s="1"/>
      <c r="G550" s="1"/>
      <c r="H550" s="1"/>
      <c r="I550" s="1"/>
      <c r="J550" s="1"/>
      <c r="K550" s="17"/>
      <c r="L550" s="1"/>
      <c r="M550" s="1"/>
      <c r="N550" s="2"/>
      <c r="O550" s="2"/>
      <c r="P550" s="1"/>
      <c r="Q550" s="1"/>
      <c r="R550" s="1"/>
      <c r="S550" s="1"/>
      <c r="T550" s="40"/>
      <c r="U550" s="40"/>
      <c r="V550" s="40"/>
      <c r="W550" s="40"/>
      <c r="X550" s="22"/>
      <c r="Y550" s="22"/>
      <c r="Z550" s="22"/>
      <c r="AA550" s="22"/>
      <c r="AB550" s="22"/>
      <c r="AC550" s="22"/>
      <c r="AD550" s="22"/>
      <c r="AE550" s="22"/>
      <c r="AF550" s="22"/>
      <c r="AG550" s="22"/>
      <c r="AH550" s="22"/>
      <c r="AI550" s="22"/>
      <c r="AJ550" s="40"/>
      <c r="AK550" s="22"/>
      <c r="AL550" s="22"/>
      <c r="AM550" s="22"/>
      <c r="AN550" s="22"/>
      <c r="AO550" s="40"/>
      <c r="AP550" s="40"/>
      <c r="AQ550" s="40"/>
      <c r="AR550" s="1"/>
      <c r="AS550" s="1"/>
      <c r="AT550" s="17"/>
      <c r="AU550" s="1"/>
      <c r="AV550" s="1"/>
      <c r="AW550" s="1"/>
      <c r="AX550" s="2"/>
      <c r="AY550" s="2"/>
      <c r="AZ550" s="1"/>
    </row>
    <row x14ac:dyDescent="0.25" r="551" customHeight="1" ht="24.75">
      <c r="A551" s="1"/>
      <c r="B551" s="1"/>
      <c r="C551" s="1"/>
      <c r="D551" s="1"/>
      <c r="E551" s="1"/>
      <c r="F551" s="1"/>
      <c r="G551" s="1"/>
      <c r="H551" s="1"/>
      <c r="I551" s="1"/>
      <c r="J551" s="1"/>
      <c r="K551" s="17"/>
      <c r="L551" s="1"/>
      <c r="M551" s="1"/>
      <c r="N551" s="2"/>
      <c r="O551" s="2"/>
      <c r="P551" s="1"/>
      <c r="Q551" s="1"/>
      <c r="R551" s="1"/>
      <c r="S551" s="1"/>
      <c r="T551" s="40"/>
      <c r="U551" s="40"/>
      <c r="V551" s="40"/>
      <c r="W551" s="40"/>
      <c r="X551" s="22"/>
      <c r="Y551" s="22"/>
      <c r="Z551" s="22"/>
      <c r="AA551" s="22"/>
      <c r="AB551" s="22"/>
      <c r="AC551" s="22"/>
      <c r="AD551" s="22"/>
      <c r="AE551" s="22"/>
      <c r="AF551" s="22"/>
      <c r="AG551" s="22"/>
      <c r="AH551" s="22"/>
      <c r="AI551" s="22"/>
      <c r="AJ551" s="40"/>
      <c r="AK551" s="22"/>
      <c r="AL551" s="22"/>
      <c r="AM551" s="22"/>
      <c r="AN551" s="22"/>
      <c r="AO551" s="40"/>
      <c r="AP551" s="40"/>
      <c r="AQ551" s="40"/>
      <c r="AR551" s="1"/>
      <c r="AS551" s="1"/>
      <c r="AT551" s="17"/>
      <c r="AU551" s="1"/>
      <c r="AV551" s="1"/>
      <c r="AW551" s="1"/>
      <c r="AX551" s="2"/>
      <c r="AY551" s="2"/>
      <c r="AZ551" s="1"/>
    </row>
    <row x14ac:dyDescent="0.25" r="552" customHeight="1" ht="24.75">
      <c r="A552" s="1"/>
      <c r="B552" s="1"/>
      <c r="C552" s="1"/>
      <c r="D552" s="1"/>
      <c r="E552" s="1"/>
      <c r="F552" s="1"/>
      <c r="G552" s="1"/>
      <c r="H552" s="1"/>
      <c r="I552" s="1"/>
      <c r="J552" s="1"/>
      <c r="K552" s="17"/>
      <c r="L552" s="1"/>
      <c r="M552" s="1"/>
      <c r="N552" s="2"/>
      <c r="O552" s="2"/>
      <c r="P552" s="1"/>
      <c r="Q552" s="1"/>
      <c r="R552" s="1"/>
      <c r="S552" s="1"/>
      <c r="T552" s="40"/>
      <c r="U552" s="40"/>
      <c r="V552" s="40"/>
      <c r="W552" s="40"/>
      <c r="X552" s="22"/>
      <c r="Y552" s="22"/>
      <c r="Z552" s="22"/>
      <c r="AA552" s="22"/>
      <c r="AB552" s="22"/>
      <c r="AC552" s="22"/>
      <c r="AD552" s="22"/>
      <c r="AE552" s="22"/>
      <c r="AF552" s="22"/>
      <c r="AG552" s="22"/>
      <c r="AH552" s="22"/>
      <c r="AI552" s="22"/>
      <c r="AJ552" s="40"/>
      <c r="AK552" s="22"/>
      <c r="AL552" s="22"/>
      <c r="AM552" s="22"/>
      <c r="AN552" s="22"/>
      <c r="AO552" s="40"/>
      <c r="AP552" s="40"/>
      <c r="AQ552" s="40"/>
      <c r="AR552" s="1"/>
      <c r="AS552" s="1"/>
      <c r="AT552" s="17"/>
      <c r="AU552" s="1"/>
      <c r="AV552" s="1"/>
      <c r="AW552" s="1"/>
      <c r="AX552" s="2"/>
      <c r="AY552" s="2"/>
      <c r="AZ552" s="1"/>
    </row>
    <row x14ac:dyDescent="0.25" r="553" customHeight="1" ht="24.75">
      <c r="A553" s="1"/>
      <c r="B553" s="1"/>
      <c r="C553" s="1"/>
      <c r="D553" s="1"/>
      <c r="E553" s="1"/>
      <c r="F553" s="1"/>
      <c r="G553" s="1"/>
      <c r="H553" s="1"/>
      <c r="I553" s="1"/>
      <c r="J553" s="1"/>
      <c r="K553" s="17"/>
      <c r="L553" s="1"/>
      <c r="M553" s="1"/>
      <c r="N553" s="2"/>
      <c r="O553" s="2"/>
      <c r="P553" s="1"/>
      <c r="Q553" s="1"/>
      <c r="R553" s="1"/>
      <c r="S553" s="1"/>
      <c r="T553" s="40"/>
      <c r="U553" s="40"/>
      <c r="V553" s="40"/>
      <c r="W553" s="40"/>
      <c r="X553" s="22"/>
      <c r="Y553" s="22"/>
      <c r="Z553" s="22"/>
      <c r="AA553" s="22"/>
      <c r="AB553" s="22"/>
      <c r="AC553" s="22"/>
      <c r="AD553" s="22"/>
      <c r="AE553" s="22"/>
      <c r="AF553" s="22"/>
      <c r="AG553" s="22"/>
      <c r="AH553" s="22"/>
      <c r="AI553" s="22"/>
      <c r="AJ553" s="40"/>
      <c r="AK553" s="22"/>
      <c r="AL553" s="22"/>
      <c r="AM553" s="22"/>
      <c r="AN553" s="22"/>
      <c r="AO553" s="40"/>
      <c r="AP553" s="40"/>
      <c r="AQ553" s="40"/>
      <c r="AR553" s="1"/>
      <c r="AS553" s="1"/>
      <c r="AT553" s="17"/>
      <c r="AU553" s="1"/>
      <c r="AV553" s="1"/>
      <c r="AW553" s="1"/>
      <c r="AX553" s="2"/>
      <c r="AY553" s="2"/>
      <c r="AZ553" s="1"/>
    </row>
    <row x14ac:dyDescent="0.25" r="554" customHeight="1" ht="24.75">
      <c r="A554" s="1"/>
      <c r="B554" s="1"/>
      <c r="C554" s="1"/>
      <c r="D554" s="1"/>
      <c r="E554" s="1"/>
      <c r="F554" s="1"/>
      <c r="G554" s="1"/>
      <c r="H554" s="1"/>
      <c r="I554" s="1"/>
      <c r="J554" s="1"/>
      <c r="K554" s="17"/>
      <c r="L554" s="1"/>
      <c r="M554" s="1"/>
      <c r="N554" s="2"/>
      <c r="O554" s="2"/>
      <c r="P554" s="1"/>
      <c r="Q554" s="1"/>
      <c r="R554" s="1"/>
      <c r="S554" s="1"/>
      <c r="T554" s="40"/>
      <c r="U554" s="40"/>
      <c r="V554" s="40"/>
      <c r="W554" s="40"/>
      <c r="X554" s="22"/>
      <c r="Y554" s="22"/>
      <c r="Z554" s="22"/>
      <c r="AA554" s="22"/>
      <c r="AB554" s="22"/>
      <c r="AC554" s="22"/>
      <c r="AD554" s="22"/>
      <c r="AE554" s="22"/>
      <c r="AF554" s="22"/>
      <c r="AG554" s="22"/>
      <c r="AH554" s="22"/>
      <c r="AI554" s="22"/>
      <c r="AJ554" s="40"/>
      <c r="AK554" s="22"/>
      <c r="AL554" s="22"/>
      <c r="AM554" s="22"/>
      <c r="AN554" s="22"/>
      <c r="AO554" s="40"/>
      <c r="AP554" s="40"/>
      <c r="AQ554" s="40"/>
      <c r="AR554" s="1"/>
      <c r="AS554" s="1"/>
      <c r="AT554" s="17"/>
      <c r="AU554" s="1"/>
      <c r="AV554" s="1"/>
      <c r="AW554" s="1"/>
      <c r="AX554" s="2"/>
      <c r="AY554" s="2"/>
      <c r="AZ554" s="1"/>
    </row>
    <row x14ac:dyDescent="0.25" r="555" customHeight="1" ht="24.75">
      <c r="A555" s="1"/>
      <c r="B555" s="1"/>
      <c r="C555" s="1"/>
      <c r="D555" s="1"/>
      <c r="E555" s="1"/>
      <c r="F555" s="1"/>
      <c r="G555" s="1"/>
      <c r="H555" s="1"/>
      <c r="I555" s="1"/>
      <c r="J555" s="1"/>
      <c r="K555" s="17"/>
      <c r="L555" s="1"/>
      <c r="M555" s="1"/>
      <c r="N555" s="2"/>
      <c r="O555" s="2"/>
      <c r="P555" s="1"/>
      <c r="Q555" s="1"/>
      <c r="R555" s="1"/>
      <c r="S555" s="1"/>
      <c r="T555" s="40"/>
      <c r="U555" s="40"/>
      <c r="V555" s="40"/>
      <c r="W555" s="40"/>
      <c r="X555" s="22"/>
      <c r="Y555" s="22"/>
      <c r="Z555" s="22"/>
      <c r="AA555" s="22"/>
      <c r="AB555" s="22"/>
      <c r="AC555" s="22"/>
      <c r="AD555" s="22"/>
      <c r="AE555" s="22"/>
      <c r="AF555" s="22"/>
      <c r="AG555" s="22"/>
      <c r="AH555" s="22"/>
      <c r="AI555" s="22"/>
      <c r="AJ555" s="40"/>
      <c r="AK555" s="22"/>
      <c r="AL555" s="22"/>
      <c r="AM555" s="22"/>
      <c r="AN555" s="22"/>
      <c r="AO555" s="40"/>
      <c r="AP555" s="40"/>
      <c r="AQ555" s="40"/>
      <c r="AR555" s="1"/>
      <c r="AS555" s="1"/>
      <c r="AT555" s="17"/>
      <c r="AU555" s="1"/>
      <c r="AV555" s="1"/>
      <c r="AW555" s="1"/>
      <c r="AX555" s="2"/>
      <c r="AY555" s="2"/>
      <c r="AZ555" s="1"/>
    </row>
    <row x14ac:dyDescent="0.25" r="556" customHeight="1" ht="24.75">
      <c r="A556" s="1"/>
      <c r="B556" s="1"/>
      <c r="C556" s="1"/>
      <c r="D556" s="1"/>
      <c r="E556" s="1"/>
      <c r="F556" s="1"/>
      <c r="G556" s="1"/>
      <c r="H556" s="1"/>
      <c r="I556" s="1"/>
      <c r="J556" s="1"/>
      <c r="K556" s="17"/>
      <c r="L556" s="1"/>
      <c r="M556" s="1"/>
      <c r="N556" s="2"/>
      <c r="O556" s="2"/>
      <c r="P556" s="1"/>
      <c r="Q556" s="1"/>
      <c r="R556" s="1"/>
      <c r="S556" s="1"/>
      <c r="T556" s="40"/>
      <c r="U556" s="40"/>
      <c r="V556" s="40"/>
      <c r="W556" s="40"/>
      <c r="X556" s="22"/>
      <c r="Y556" s="22"/>
      <c r="Z556" s="22"/>
      <c r="AA556" s="22"/>
      <c r="AB556" s="22"/>
      <c r="AC556" s="22"/>
      <c r="AD556" s="22"/>
      <c r="AE556" s="22"/>
      <c r="AF556" s="22"/>
      <c r="AG556" s="22"/>
      <c r="AH556" s="22"/>
      <c r="AI556" s="22"/>
      <c r="AJ556" s="40"/>
      <c r="AK556" s="22"/>
      <c r="AL556" s="22"/>
      <c r="AM556" s="22"/>
      <c r="AN556" s="22"/>
      <c r="AO556" s="40"/>
      <c r="AP556" s="40"/>
      <c r="AQ556" s="40"/>
      <c r="AR556" s="1"/>
      <c r="AS556" s="1"/>
      <c r="AT556" s="17"/>
      <c r="AU556" s="1"/>
      <c r="AV556" s="1"/>
      <c r="AW556" s="1"/>
      <c r="AX556" s="2"/>
      <c r="AY556" s="2"/>
      <c r="AZ556" s="1"/>
    </row>
    <row x14ac:dyDescent="0.25" r="557" customHeight="1" ht="24.75">
      <c r="A557" s="1"/>
      <c r="B557" s="1"/>
      <c r="C557" s="1"/>
      <c r="D557" s="1"/>
      <c r="E557" s="1"/>
      <c r="F557" s="1"/>
      <c r="G557" s="1"/>
      <c r="H557" s="1"/>
      <c r="I557" s="1"/>
      <c r="J557" s="1"/>
      <c r="K557" s="17"/>
      <c r="L557" s="1"/>
      <c r="M557" s="1"/>
      <c r="N557" s="2"/>
      <c r="O557" s="2"/>
      <c r="P557" s="1"/>
      <c r="Q557" s="1"/>
      <c r="R557" s="1"/>
      <c r="S557" s="1"/>
      <c r="T557" s="40"/>
      <c r="U557" s="40"/>
      <c r="V557" s="40"/>
      <c r="W557" s="40"/>
      <c r="X557" s="22"/>
      <c r="Y557" s="22"/>
      <c r="Z557" s="22"/>
      <c r="AA557" s="22"/>
      <c r="AB557" s="22"/>
      <c r="AC557" s="22"/>
      <c r="AD557" s="22"/>
      <c r="AE557" s="22"/>
      <c r="AF557" s="22"/>
      <c r="AG557" s="22"/>
      <c r="AH557" s="22"/>
      <c r="AI557" s="22"/>
      <c r="AJ557" s="40"/>
      <c r="AK557" s="22"/>
      <c r="AL557" s="22"/>
      <c r="AM557" s="22"/>
      <c r="AN557" s="22"/>
      <c r="AO557" s="40"/>
      <c r="AP557" s="40"/>
      <c r="AQ557" s="40"/>
      <c r="AR557" s="1"/>
      <c r="AS557" s="1"/>
      <c r="AT557" s="17"/>
      <c r="AU557" s="1"/>
      <c r="AV557" s="1"/>
      <c r="AW557" s="1"/>
      <c r="AX557" s="2"/>
      <c r="AY557" s="2"/>
      <c r="AZ557" s="1"/>
    </row>
    <row x14ac:dyDescent="0.25" r="558" customHeight="1" ht="24.75">
      <c r="A558" s="1"/>
      <c r="B558" s="1"/>
      <c r="C558" s="1"/>
      <c r="D558" s="1"/>
      <c r="E558" s="1"/>
      <c r="F558" s="1"/>
      <c r="G558" s="1"/>
      <c r="H558" s="1"/>
      <c r="I558" s="1"/>
      <c r="J558" s="1"/>
      <c r="K558" s="17"/>
      <c r="L558" s="1"/>
      <c r="M558" s="1"/>
      <c r="N558" s="2"/>
      <c r="O558" s="2"/>
      <c r="P558" s="1"/>
      <c r="Q558" s="1"/>
      <c r="R558" s="1"/>
      <c r="S558" s="1"/>
      <c r="T558" s="40"/>
      <c r="U558" s="40"/>
      <c r="V558" s="40"/>
      <c r="W558" s="40"/>
      <c r="X558" s="22"/>
      <c r="Y558" s="22"/>
      <c r="Z558" s="22"/>
      <c r="AA558" s="22"/>
      <c r="AB558" s="22"/>
      <c r="AC558" s="22"/>
      <c r="AD558" s="22"/>
      <c r="AE558" s="22"/>
      <c r="AF558" s="22"/>
      <c r="AG558" s="22"/>
      <c r="AH558" s="22"/>
      <c r="AI558" s="22"/>
      <c r="AJ558" s="40"/>
      <c r="AK558" s="22"/>
      <c r="AL558" s="22"/>
      <c r="AM558" s="22"/>
      <c r="AN558" s="22"/>
      <c r="AO558" s="40"/>
      <c r="AP558" s="40"/>
      <c r="AQ558" s="40"/>
      <c r="AR558" s="1"/>
      <c r="AS558" s="1"/>
      <c r="AT558" s="17"/>
      <c r="AU558" s="1"/>
      <c r="AV558" s="1"/>
      <c r="AW558" s="1"/>
      <c r="AX558" s="2"/>
      <c r="AY558" s="2"/>
      <c r="AZ558" s="1"/>
    </row>
    <row x14ac:dyDescent="0.25" r="559" customHeight="1" ht="24.75">
      <c r="A559" s="1"/>
      <c r="B559" s="1"/>
      <c r="C559" s="1"/>
      <c r="D559" s="1"/>
      <c r="E559" s="1"/>
      <c r="F559" s="1"/>
      <c r="G559" s="1"/>
      <c r="H559" s="1"/>
      <c r="I559" s="1"/>
      <c r="J559" s="1"/>
      <c r="K559" s="17"/>
      <c r="L559" s="1"/>
      <c r="M559" s="1"/>
      <c r="N559" s="2"/>
      <c r="O559" s="2"/>
      <c r="P559" s="1"/>
      <c r="Q559" s="1"/>
      <c r="R559" s="1"/>
      <c r="S559" s="1"/>
      <c r="T559" s="40"/>
      <c r="U559" s="40"/>
      <c r="V559" s="40"/>
      <c r="W559" s="40"/>
      <c r="X559" s="22"/>
      <c r="Y559" s="22"/>
      <c r="Z559" s="22"/>
      <c r="AA559" s="22"/>
      <c r="AB559" s="22"/>
      <c r="AC559" s="22"/>
      <c r="AD559" s="22"/>
      <c r="AE559" s="22"/>
      <c r="AF559" s="22"/>
      <c r="AG559" s="22"/>
      <c r="AH559" s="22"/>
      <c r="AI559" s="22"/>
      <c r="AJ559" s="40"/>
      <c r="AK559" s="22"/>
      <c r="AL559" s="22"/>
      <c r="AM559" s="22"/>
      <c r="AN559" s="22"/>
      <c r="AO559" s="40"/>
      <c r="AP559" s="40"/>
      <c r="AQ559" s="40"/>
      <c r="AR559" s="1"/>
      <c r="AS559" s="1"/>
      <c r="AT559" s="17"/>
      <c r="AU559" s="1"/>
      <c r="AV559" s="1"/>
      <c r="AW559" s="1"/>
      <c r="AX559" s="2"/>
      <c r="AY559" s="2"/>
      <c r="AZ559" s="1"/>
    </row>
    <row x14ac:dyDescent="0.25" r="560" customHeight="1" ht="24.75">
      <c r="A560" s="1"/>
      <c r="B560" s="1"/>
      <c r="C560" s="1"/>
      <c r="D560" s="1"/>
      <c r="E560" s="1"/>
      <c r="F560" s="1"/>
      <c r="G560" s="1"/>
      <c r="H560" s="1"/>
      <c r="I560" s="1"/>
      <c r="J560" s="1"/>
      <c r="K560" s="17"/>
      <c r="L560" s="1"/>
      <c r="M560" s="1"/>
      <c r="N560" s="2"/>
      <c r="O560" s="2"/>
      <c r="P560" s="1"/>
      <c r="Q560" s="1"/>
      <c r="R560" s="1"/>
      <c r="S560" s="1"/>
      <c r="T560" s="40"/>
      <c r="U560" s="40"/>
      <c r="V560" s="40"/>
      <c r="W560" s="40"/>
      <c r="X560" s="22"/>
      <c r="Y560" s="22"/>
      <c r="Z560" s="22"/>
      <c r="AA560" s="22"/>
      <c r="AB560" s="22"/>
      <c r="AC560" s="22"/>
      <c r="AD560" s="22"/>
      <c r="AE560" s="22"/>
      <c r="AF560" s="22"/>
      <c r="AG560" s="22"/>
      <c r="AH560" s="22"/>
      <c r="AI560" s="22"/>
      <c r="AJ560" s="40"/>
      <c r="AK560" s="22"/>
      <c r="AL560" s="22"/>
      <c r="AM560" s="22"/>
      <c r="AN560" s="22"/>
      <c r="AO560" s="40"/>
      <c r="AP560" s="40"/>
      <c r="AQ560" s="40"/>
      <c r="AR560" s="1"/>
      <c r="AS560" s="1"/>
      <c r="AT560" s="17"/>
      <c r="AU560" s="1"/>
      <c r="AV560" s="1"/>
      <c r="AW560" s="1"/>
      <c r="AX560" s="2"/>
      <c r="AY560" s="2"/>
      <c r="AZ560" s="1"/>
    </row>
    <row x14ac:dyDescent="0.25" r="561" customHeight="1" ht="24.75">
      <c r="A561" s="1"/>
      <c r="B561" s="1"/>
      <c r="C561" s="1"/>
      <c r="D561" s="1"/>
      <c r="E561" s="1"/>
      <c r="F561" s="1"/>
      <c r="G561" s="1"/>
      <c r="H561" s="1"/>
      <c r="I561" s="1"/>
      <c r="J561" s="1"/>
      <c r="K561" s="17"/>
      <c r="L561" s="1"/>
      <c r="M561" s="1"/>
      <c r="N561" s="2"/>
      <c r="O561" s="2"/>
      <c r="P561" s="1"/>
      <c r="Q561" s="1"/>
      <c r="R561" s="1"/>
      <c r="S561" s="1"/>
      <c r="T561" s="40"/>
      <c r="U561" s="40"/>
      <c r="V561" s="40"/>
      <c r="W561" s="40"/>
      <c r="X561" s="22"/>
      <c r="Y561" s="22"/>
      <c r="Z561" s="22"/>
      <c r="AA561" s="22"/>
      <c r="AB561" s="22"/>
      <c r="AC561" s="22"/>
      <c r="AD561" s="22"/>
      <c r="AE561" s="22"/>
      <c r="AF561" s="22"/>
      <c r="AG561" s="22"/>
      <c r="AH561" s="22"/>
      <c r="AI561" s="22"/>
      <c r="AJ561" s="40"/>
      <c r="AK561" s="22"/>
      <c r="AL561" s="22"/>
      <c r="AM561" s="22"/>
      <c r="AN561" s="22"/>
      <c r="AO561" s="40"/>
      <c r="AP561" s="40"/>
      <c r="AQ561" s="40"/>
      <c r="AR561" s="1"/>
      <c r="AS561" s="1"/>
      <c r="AT561" s="17"/>
      <c r="AU561" s="1"/>
      <c r="AV561" s="1"/>
      <c r="AW561" s="1"/>
      <c r="AX561" s="2"/>
      <c r="AY561" s="2"/>
      <c r="AZ561" s="1"/>
    </row>
    <row x14ac:dyDescent="0.25" r="562" customHeight="1" ht="24.75">
      <c r="A562" s="1"/>
      <c r="B562" s="1"/>
      <c r="C562" s="1"/>
      <c r="D562" s="1"/>
      <c r="E562" s="1"/>
      <c r="F562" s="1"/>
      <c r="G562" s="1"/>
      <c r="H562" s="1"/>
      <c r="I562" s="1"/>
      <c r="J562" s="1"/>
      <c r="K562" s="17"/>
      <c r="L562" s="1"/>
      <c r="M562" s="1"/>
      <c r="N562" s="2"/>
      <c r="O562" s="2"/>
      <c r="P562" s="1"/>
      <c r="Q562" s="1"/>
      <c r="R562" s="1"/>
      <c r="S562" s="1"/>
      <c r="T562" s="40"/>
      <c r="U562" s="40"/>
      <c r="V562" s="40"/>
      <c r="W562" s="40"/>
      <c r="X562" s="22"/>
      <c r="Y562" s="22"/>
      <c r="Z562" s="22"/>
      <c r="AA562" s="22"/>
      <c r="AB562" s="22"/>
      <c r="AC562" s="22"/>
      <c r="AD562" s="22"/>
      <c r="AE562" s="22"/>
      <c r="AF562" s="22"/>
      <c r="AG562" s="22"/>
      <c r="AH562" s="22"/>
      <c r="AI562" s="22"/>
      <c r="AJ562" s="40"/>
      <c r="AK562" s="22"/>
      <c r="AL562" s="22"/>
      <c r="AM562" s="22"/>
      <c r="AN562" s="22"/>
      <c r="AO562" s="40"/>
      <c r="AP562" s="40"/>
      <c r="AQ562" s="40"/>
      <c r="AR562" s="1"/>
      <c r="AS562" s="1"/>
      <c r="AT562" s="17"/>
      <c r="AU562" s="1"/>
      <c r="AV562" s="1"/>
      <c r="AW562" s="1"/>
      <c r="AX562" s="2"/>
      <c r="AY562" s="2"/>
      <c r="AZ562" s="1"/>
    </row>
    <row x14ac:dyDescent="0.25" r="563" customHeight="1" ht="24.75">
      <c r="A563" s="1"/>
      <c r="B563" s="1"/>
      <c r="C563" s="1"/>
      <c r="D563" s="1"/>
      <c r="E563" s="1"/>
      <c r="F563" s="1"/>
      <c r="G563" s="1"/>
      <c r="H563" s="1"/>
      <c r="I563" s="1"/>
      <c r="J563" s="1"/>
      <c r="K563" s="17"/>
      <c r="L563" s="1"/>
      <c r="M563" s="1"/>
      <c r="N563" s="2"/>
      <c r="O563" s="2"/>
      <c r="P563" s="1"/>
      <c r="Q563" s="1"/>
      <c r="R563" s="1"/>
      <c r="S563" s="1"/>
      <c r="T563" s="40"/>
      <c r="U563" s="40"/>
      <c r="V563" s="40"/>
      <c r="W563" s="40"/>
      <c r="X563" s="22"/>
      <c r="Y563" s="22"/>
      <c r="Z563" s="22"/>
      <c r="AA563" s="22"/>
      <c r="AB563" s="22"/>
      <c r="AC563" s="22"/>
      <c r="AD563" s="22"/>
      <c r="AE563" s="22"/>
      <c r="AF563" s="22"/>
      <c r="AG563" s="22"/>
      <c r="AH563" s="22"/>
      <c r="AI563" s="22"/>
      <c r="AJ563" s="40"/>
      <c r="AK563" s="22"/>
      <c r="AL563" s="22"/>
      <c r="AM563" s="22"/>
      <c r="AN563" s="22"/>
      <c r="AO563" s="40"/>
      <c r="AP563" s="40"/>
      <c r="AQ563" s="40"/>
      <c r="AR563" s="1"/>
      <c r="AS563" s="1"/>
      <c r="AT563" s="17"/>
      <c r="AU563" s="1"/>
      <c r="AV563" s="1"/>
      <c r="AW563" s="1"/>
      <c r="AX563" s="2"/>
      <c r="AY563" s="2"/>
      <c r="AZ563" s="1"/>
    </row>
    <row x14ac:dyDescent="0.25" r="564" customHeight="1" ht="24.75">
      <c r="A564" s="1"/>
      <c r="B564" s="1"/>
      <c r="C564" s="1"/>
      <c r="D564" s="1"/>
      <c r="E564" s="1"/>
      <c r="F564" s="1"/>
      <c r="G564" s="1"/>
      <c r="H564" s="1"/>
      <c r="I564" s="1"/>
      <c r="J564" s="1"/>
      <c r="K564" s="17"/>
      <c r="L564" s="1"/>
      <c r="M564" s="1"/>
      <c r="N564" s="2"/>
      <c r="O564" s="2"/>
      <c r="P564" s="1"/>
      <c r="Q564" s="1"/>
      <c r="R564" s="1"/>
      <c r="S564" s="1"/>
      <c r="T564" s="40"/>
      <c r="U564" s="40"/>
      <c r="V564" s="40"/>
      <c r="W564" s="40"/>
      <c r="X564" s="22"/>
      <c r="Y564" s="22"/>
      <c r="Z564" s="22"/>
      <c r="AA564" s="22"/>
      <c r="AB564" s="22"/>
      <c r="AC564" s="22"/>
      <c r="AD564" s="22"/>
      <c r="AE564" s="22"/>
      <c r="AF564" s="22"/>
      <c r="AG564" s="22"/>
      <c r="AH564" s="22"/>
      <c r="AI564" s="22"/>
      <c r="AJ564" s="40"/>
      <c r="AK564" s="22"/>
      <c r="AL564" s="22"/>
      <c r="AM564" s="22"/>
      <c r="AN564" s="22"/>
      <c r="AO564" s="40"/>
      <c r="AP564" s="40"/>
      <c r="AQ564" s="40"/>
      <c r="AR564" s="1"/>
      <c r="AS564" s="1"/>
      <c r="AT564" s="17"/>
      <c r="AU564" s="1"/>
      <c r="AV564" s="1"/>
      <c r="AW564" s="1"/>
      <c r="AX564" s="2"/>
      <c r="AY564" s="2"/>
      <c r="AZ564" s="1"/>
    </row>
    <row x14ac:dyDescent="0.25" r="565" customHeight="1" ht="24.75">
      <c r="A565" s="1"/>
      <c r="B565" s="1"/>
      <c r="C565" s="1"/>
      <c r="D565" s="1"/>
      <c r="E565" s="1"/>
      <c r="F565" s="1"/>
      <c r="G565" s="1"/>
      <c r="H565" s="1"/>
      <c r="I565" s="1"/>
      <c r="J565" s="1"/>
      <c r="K565" s="17"/>
      <c r="L565" s="1"/>
      <c r="M565" s="1"/>
      <c r="N565" s="2"/>
      <c r="O565" s="2"/>
      <c r="P565" s="1"/>
      <c r="Q565" s="1"/>
      <c r="R565" s="1"/>
      <c r="S565" s="1"/>
      <c r="T565" s="40"/>
      <c r="U565" s="40"/>
      <c r="V565" s="40"/>
      <c r="W565" s="40"/>
      <c r="X565" s="22"/>
      <c r="Y565" s="22"/>
      <c r="Z565" s="22"/>
      <c r="AA565" s="22"/>
      <c r="AB565" s="22"/>
      <c r="AC565" s="22"/>
      <c r="AD565" s="22"/>
      <c r="AE565" s="22"/>
      <c r="AF565" s="22"/>
      <c r="AG565" s="22"/>
      <c r="AH565" s="22"/>
      <c r="AI565" s="22"/>
      <c r="AJ565" s="40"/>
      <c r="AK565" s="22"/>
      <c r="AL565" s="22"/>
      <c r="AM565" s="22"/>
      <c r="AN565" s="22"/>
      <c r="AO565" s="40"/>
      <c r="AP565" s="40"/>
      <c r="AQ565" s="40"/>
      <c r="AR565" s="1"/>
      <c r="AS565" s="1"/>
      <c r="AT565" s="17"/>
      <c r="AU565" s="1"/>
      <c r="AV565" s="1"/>
      <c r="AW565" s="1"/>
      <c r="AX565" s="2"/>
      <c r="AY565" s="2"/>
      <c r="AZ565" s="1"/>
    </row>
    <row x14ac:dyDescent="0.25" r="566" customHeight="1" ht="24.75">
      <c r="A566" s="1"/>
      <c r="B566" s="1"/>
      <c r="C566" s="1"/>
      <c r="D566" s="1"/>
      <c r="E566" s="1"/>
      <c r="F566" s="1"/>
      <c r="G566" s="1"/>
      <c r="H566" s="1"/>
      <c r="I566" s="1"/>
      <c r="J566" s="1"/>
      <c r="K566" s="17"/>
      <c r="L566" s="1"/>
      <c r="M566" s="1"/>
      <c r="N566" s="2"/>
      <c r="O566" s="2"/>
      <c r="P566" s="1"/>
      <c r="Q566" s="1"/>
      <c r="R566" s="1"/>
      <c r="S566" s="1"/>
      <c r="T566" s="40"/>
      <c r="U566" s="40"/>
      <c r="V566" s="40"/>
      <c r="W566" s="40"/>
      <c r="X566" s="22"/>
      <c r="Y566" s="22"/>
      <c r="Z566" s="22"/>
      <c r="AA566" s="22"/>
      <c r="AB566" s="22"/>
      <c r="AC566" s="22"/>
      <c r="AD566" s="22"/>
      <c r="AE566" s="22"/>
      <c r="AF566" s="22"/>
      <c r="AG566" s="22"/>
      <c r="AH566" s="22"/>
      <c r="AI566" s="22"/>
      <c r="AJ566" s="40"/>
      <c r="AK566" s="22"/>
      <c r="AL566" s="22"/>
      <c r="AM566" s="22"/>
      <c r="AN566" s="22"/>
      <c r="AO566" s="40"/>
      <c r="AP566" s="40"/>
      <c r="AQ566" s="40"/>
      <c r="AR566" s="1"/>
      <c r="AS566" s="1"/>
      <c r="AT566" s="17"/>
      <c r="AU566" s="1"/>
      <c r="AV566" s="1"/>
      <c r="AW566" s="1"/>
      <c r="AX566" s="2"/>
      <c r="AY566" s="2"/>
      <c r="AZ566" s="1"/>
    </row>
    <row x14ac:dyDescent="0.25" r="567" customHeight="1" ht="24.75">
      <c r="A567" s="1"/>
      <c r="B567" s="1"/>
      <c r="C567" s="1"/>
      <c r="D567" s="1"/>
      <c r="E567" s="1"/>
      <c r="F567" s="1"/>
      <c r="G567" s="1"/>
      <c r="H567" s="1"/>
      <c r="I567" s="1"/>
      <c r="J567" s="1"/>
      <c r="K567" s="17"/>
      <c r="L567" s="1"/>
      <c r="M567" s="1"/>
      <c r="N567" s="2"/>
      <c r="O567" s="2"/>
      <c r="P567" s="1"/>
      <c r="Q567" s="1"/>
      <c r="R567" s="1"/>
      <c r="S567" s="1"/>
      <c r="T567" s="40"/>
      <c r="U567" s="40"/>
      <c r="V567" s="40"/>
      <c r="W567" s="40"/>
      <c r="X567" s="22"/>
      <c r="Y567" s="22"/>
      <c r="Z567" s="22"/>
      <c r="AA567" s="22"/>
      <c r="AB567" s="22"/>
      <c r="AC567" s="22"/>
      <c r="AD567" s="22"/>
      <c r="AE567" s="22"/>
      <c r="AF567" s="22"/>
      <c r="AG567" s="22"/>
      <c r="AH567" s="22"/>
      <c r="AI567" s="22"/>
      <c r="AJ567" s="40"/>
      <c r="AK567" s="22"/>
      <c r="AL567" s="22"/>
      <c r="AM567" s="22"/>
      <c r="AN567" s="22"/>
      <c r="AO567" s="40"/>
      <c r="AP567" s="40"/>
      <c r="AQ567" s="40"/>
      <c r="AR567" s="1"/>
      <c r="AS567" s="1"/>
      <c r="AT567" s="17"/>
      <c r="AU567" s="1"/>
      <c r="AV567" s="1"/>
      <c r="AW567" s="1"/>
      <c r="AX567" s="2"/>
      <c r="AY567" s="2"/>
      <c r="AZ567" s="1"/>
    </row>
    <row x14ac:dyDescent="0.25" r="568" customHeight="1" ht="24.75">
      <c r="A568" s="1"/>
      <c r="B568" s="1"/>
      <c r="C568" s="1"/>
      <c r="D568" s="1"/>
      <c r="E568" s="1"/>
      <c r="F568" s="1"/>
      <c r="G568" s="1"/>
      <c r="H568" s="1"/>
      <c r="I568" s="1"/>
      <c r="J568" s="1"/>
      <c r="K568" s="17"/>
      <c r="L568" s="1"/>
      <c r="M568" s="1"/>
      <c r="N568" s="2"/>
      <c r="O568" s="2"/>
      <c r="P568" s="1"/>
      <c r="Q568" s="1"/>
      <c r="R568" s="1"/>
      <c r="S568" s="1"/>
      <c r="T568" s="40"/>
      <c r="U568" s="40"/>
      <c r="V568" s="40"/>
      <c r="W568" s="40"/>
      <c r="X568" s="22"/>
      <c r="Y568" s="22"/>
      <c r="Z568" s="22"/>
      <c r="AA568" s="22"/>
      <c r="AB568" s="22"/>
      <c r="AC568" s="22"/>
      <c r="AD568" s="22"/>
      <c r="AE568" s="22"/>
      <c r="AF568" s="22"/>
      <c r="AG568" s="22"/>
      <c r="AH568" s="22"/>
      <c r="AI568" s="22"/>
      <c r="AJ568" s="40"/>
      <c r="AK568" s="22"/>
      <c r="AL568" s="22"/>
      <c r="AM568" s="22"/>
      <c r="AN568" s="22"/>
      <c r="AO568" s="40"/>
      <c r="AP568" s="40"/>
      <c r="AQ568" s="40"/>
      <c r="AR568" s="1"/>
      <c r="AS568" s="1"/>
      <c r="AT568" s="17"/>
      <c r="AU568" s="1"/>
      <c r="AV568" s="1"/>
      <c r="AW568" s="1"/>
      <c r="AX568" s="2"/>
      <c r="AY568" s="2"/>
      <c r="AZ568" s="1"/>
    </row>
    <row x14ac:dyDescent="0.25" r="569" customHeight="1" ht="24.75">
      <c r="A569" s="1"/>
      <c r="B569" s="1"/>
      <c r="C569" s="1"/>
      <c r="D569" s="1"/>
      <c r="E569" s="1"/>
      <c r="F569" s="1"/>
      <c r="G569" s="1"/>
      <c r="H569" s="1"/>
      <c r="I569" s="1"/>
      <c r="J569" s="1"/>
      <c r="K569" s="17"/>
      <c r="L569" s="1"/>
      <c r="M569" s="1"/>
      <c r="N569" s="2"/>
      <c r="O569" s="2"/>
      <c r="P569" s="1"/>
      <c r="Q569" s="1"/>
      <c r="R569" s="1"/>
      <c r="S569" s="1"/>
      <c r="T569" s="40"/>
      <c r="U569" s="40"/>
      <c r="V569" s="40"/>
      <c r="W569" s="40"/>
      <c r="X569" s="22"/>
      <c r="Y569" s="22"/>
      <c r="Z569" s="22"/>
      <c r="AA569" s="22"/>
      <c r="AB569" s="22"/>
      <c r="AC569" s="22"/>
      <c r="AD569" s="22"/>
      <c r="AE569" s="22"/>
      <c r="AF569" s="22"/>
      <c r="AG569" s="22"/>
      <c r="AH569" s="22"/>
      <c r="AI569" s="22"/>
      <c r="AJ569" s="40"/>
      <c r="AK569" s="22"/>
      <c r="AL569" s="22"/>
      <c r="AM569" s="22"/>
      <c r="AN569" s="22"/>
      <c r="AO569" s="40"/>
      <c r="AP569" s="40"/>
      <c r="AQ569" s="40"/>
      <c r="AR569" s="1"/>
      <c r="AS569" s="1"/>
      <c r="AT569" s="17"/>
      <c r="AU569" s="1"/>
      <c r="AV569" s="1"/>
      <c r="AW569" s="1"/>
      <c r="AX569" s="2"/>
      <c r="AY569" s="2"/>
      <c r="AZ569" s="1"/>
    </row>
    <row x14ac:dyDescent="0.25" r="570" customHeight="1" ht="24.75">
      <c r="A570" s="1"/>
      <c r="B570" s="1"/>
      <c r="C570" s="1"/>
      <c r="D570" s="1"/>
      <c r="E570" s="1"/>
      <c r="F570" s="1"/>
      <c r="G570" s="1"/>
      <c r="H570" s="1"/>
      <c r="I570" s="1"/>
      <c r="J570" s="1"/>
      <c r="K570" s="17"/>
      <c r="L570" s="1"/>
      <c r="M570" s="1"/>
      <c r="N570" s="2"/>
      <c r="O570" s="2"/>
      <c r="P570" s="1"/>
      <c r="Q570" s="1"/>
      <c r="R570" s="1"/>
      <c r="S570" s="1"/>
      <c r="T570" s="40"/>
      <c r="U570" s="40"/>
      <c r="V570" s="40"/>
      <c r="W570" s="40"/>
      <c r="X570" s="22"/>
      <c r="Y570" s="22"/>
      <c r="Z570" s="22"/>
      <c r="AA570" s="22"/>
      <c r="AB570" s="22"/>
      <c r="AC570" s="22"/>
      <c r="AD570" s="22"/>
      <c r="AE570" s="22"/>
      <c r="AF570" s="22"/>
      <c r="AG570" s="22"/>
      <c r="AH570" s="22"/>
      <c r="AI570" s="22"/>
      <c r="AJ570" s="40"/>
      <c r="AK570" s="22"/>
      <c r="AL570" s="22"/>
      <c r="AM570" s="22"/>
      <c r="AN570" s="22"/>
      <c r="AO570" s="40"/>
      <c r="AP570" s="40"/>
      <c r="AQ570" s="40"/>
      <c r="AR570" s="1"/>
      <c r="AS570" s="1"/>
      <c r="AT570" s="17"/>
      <c r="AU570" s="1"/>
      <c r="AV570" s="1"/>
      <c r="AW570" s="1"/>
      <c r="AX570" s="2"/>
      <c r="AY570" s="2"/>
      <c r="AZ570" s="1"/>
    </row>
    <row x14ac:dyDescent="0.25" r="571" customHeight="1" ht="24.75">
      <c r="A571" s="1"/>
      <c r="B571" s="1"/>
      <c r="C571" s="1"/>
      <c r="D571" s="1"/>
      <c r="E571" s="1"/>
      <c r="F571" s="1"/>
      <c r="G571" s="1"/>
      <c r="H571" s="1"/>
      <c r="I571" s="1"/>
      <c r="J571" s="1"/>
      <c r="K571" s="17"/>
      <c r="L571" s="1"/>
      <c r="M571" s="1"/>
      <c r="N571" s="2"/>
      <c r="O571" s="2"/>
      <c r="P571" s="1"/>
      <c r="Q571" s="1"/>
      <c r="R571" s="1"/>
      <c r="S571" s="1"/>
      <c r="T571" s="40"/>
      <c r="U571" s="40"/>
      <c r="V571" s="40"/>
      <c r="W571" s="40"/>
      <c r="X571" s="22"/>
      <c r="Y571" s="22"/>
      <c r="Z571" s="22"/>
      <c r="AA571" s="22"/>
      <c r="AB571" s="22"/>
      <c r="AC571" s="22"/>
      <c r="AD571" s="22"/>
      <c r="AE571" s="22"/>
      <c r="AF571" s="22"/>
      <c r="AG571" s="22"/>
      <c r="AH571" s="22"/>
      <c r="AI571" s="22"/>
      <c r="AJ571" s="40"/>
      <c r="AK571" s="22"/>
      <c r="AL571" s="22"/>
      <c r="AM571" s="22"/>
      <c r="AN571" s="22"/>
      <c r="AO571" s="40"/>
      <c r="AP571" s="40"/>
      <c r="AQ571" s="40"/>
      <c r="AR571" s="1"/>
      <c r="AS571" s="1"/>
      <c r="AT571" s="17"/>
      <c r="AU571" s="1"/>
      <c r="AV571" s="1"/>
      <c r="AW571" s="1"/>
      <c r="AX571" s="2"/>
      <c r="AY571" s="2"/>
      <c r="AZ571" s="1"/>
    </row>
    <row x14ac:dyDescent="0.25" r="572" customHeight="1" ht="24.75">
      <c r="A572" s="1"/>
      <c r="B572" s="1"/>
      <c r="C572" s="1"/>
      <c r="D572" s="1"/>
      <c r="E572" s="1"/>
      <c r="F572" s="1"/>
      <c r="G572" s="1"/>
      <c r="H572" s="1"/>
      <c r="I572" s="1"/>
      <c r="J572" s="1"/>
      <c r="K572" s="17"/>
      <c r="L572" s="1"/>
      <c r="M572" s="1"/>
      <c r="N572" s="2"/>
      <c r="O572" s="2"/>
      <c r="P572" s="1"/>
      <c r="Q572" s="1"/>
      <c r="R572" s="1"/>
      <c r="S572" s="1"/>
      <c r="T572" s="40"/>
      <c r="U572" s="40"/>
      <c r="V572" s="40"/>
      <c r="W572" s="40"/>
      <c r="X572" s="22"/>
      <c r="Y572" s="22"/>
      <c r="Z572" s="22"/>
      <c r="AA572" s="22"/>
      <c r="AB572" s="22"/>
      <c r="AC572" s="22"/>
      <c r="AD572" s="22"/>
      <c r="AE572" s="22"/>
      <c r="AF572" s="22"/>
      <c r="AG572" s="22"/>
      <c r="AH572" s="22"/>
      <c r="AI572" s="22"/>
      <c r="AJ572" s="40"/>
      <c r="AK572" s="22"/>
      <c r="AL572" s="22"/>
      <c r="AM572" s="22"/>
      <c r="AN572" s="22"/>
      <c r="AO572" s="40"/>
      <c r="AP572" s="40"/>
      <c r="AQ572" s="40"/>
      <c r="AR572" s="1"/>
      <c r="AS572" s="1"/>
      <c r="AT572" s="17"/>
      <c r="AU572" s="1"/>
      <c r="AV572" s="1"/>
      <c r="AW572" s="1"/>
      <c r="AX572" s="2"/>
      <c r="AY572" s="2"/>
      <c r="AZ572" s="1"/>
    </row>
    <row x14ac:dyDescent="0.25" r="573" customHeight="1" ht="24.75">
      <c r="A573" s="1"/>
      <c r="B573" s="1"/>
      <c r="C573" s="1"/>
      <c r="D573" s="1"/>
      <c r="E573" s="1"/>
      <c r="F573" s="1"/>
      <c r="G573" s="1"/>
      <c r="H573" s="1"/>
      <c r="I573" s="1"/>
      <c r="J573" s="1"/>
      <c r="K573" s="17"/>
      <c r="L573" s="1"/>
      <c r="M573" s="1"/>
      <c r="N573" s="2"/>
      <c r="O573" s="2"/>
      <c r="P573" s="1"/>
      <c r="Q573" s="1"/>
      <c r="R573" s="1"/>
      <c r="S573" s="1"/>
      <c r="T573" s="40"/>
      <c r="U573" s="40"/>
      <c r="V573" s="40"/>
      <c r="W573" s="40"/>
      <c r="X573" s="22"/>
      <c r="Y573" s="22"/>
      <c r="Z573" s="22"/>
      <c r="AA573" s="22"/>
      <c r="AB573" s="22"/>
      <c r="AC573" s="22"/>
      <c r="AD573" s="22"/>
      <c r="AE573" s="22"/>
      <c r="AF573" s="22"/>
      <c r="AG573" s="22"/>
      <c r="AH573" s="22"/>
      <c r="AI573" s="22"/>
      <c r="AJ573" s="40"/>
      <c r="AK573" s="22"/>
      <c r="AL573" s="22"/>
      <c r="AM573" s="22"/>
      <c r="AN573" s="22"/>
      <c r="AO573" s="40"/>
      <c r="AP573" s="40"/>
      <c r="AQ573" s="40"/>
      <c r="AR573" s="1"/>
      <c r="AS573" s="1"/>
      <c r="AT573" s="17"/>
      <c r="AU573" s="1"/>
      <c r="AV573" s="1"/>
      <c r="AW573" s="1"/>
      <c r="AX573" s="2"/>
      <c r="AY573" s="2"/>
      <c r="AZ573" s="1"/>
    </row>
    <row x14ac:dyDescent="0.25" r="574" customHeight="1" ht="24.75">
      <c r="A574" s="1"/>
      <c r="B574" s="1"/>
      <c r="C574" s="1"/>
      <c r="D574" s="1"/>
      <c r="E574" s="1"/>
      <c r="F574" s="1"/>
      <c r="G574" s="1"/>
      <c r="H574" s="1"/>
      <c r="I574" s="1"/>
      <c r="J574" s="1"/>
      <c r="K574" s="17"/>
      <c r="L574" s="1"/>
      <c r="M574" s="1"/>
      <c r="N574" s="2"/>
      <c r="O574" s="2"/>
      <c r="P574" s="1"/>
      <c r="Q574" s="1"/>
      <c r="R574" s="1"/>
      <c r="S574" s="1"/>
      <c r="T574" s="40"/>
      <c r="U574" s="40"/>
      <c r="V574" s="40"/>
      <c r="W574" s="40"/>
      <c r="X574" s="22"/>
      <c r="Y574" s="22"/>
      <c r="Z574" s="22"/>
      <c r="AA574" s="22"/>
      <c r="AB574" s="22"/>
      <c r="AC574" s="22"/>
      <c r="AD574" s="22"/>
      <c r="AE574" s="22"/>
      <c r="AF574" s="22"/>
      <c r="AG574" s="22"/>
      <c r="AH574" s="22"/>
      <c r="AI574" s="22"/>
      <c r="AJ574" s="40"/>
      <c r="AK574" s="22"/>
      <c r="AL574" s="22"/>
      <c r="AM574" s="22"/>
      <c r="AN574" s="22"/>
      <c r="AO574" s="40"/>
      <c r="AP574" s="40"/>
      <c r="AQ574" s="40"/>
      <c r="AR574" s="1"/>
      <c r="AS574" s="1"/>
      <c r="AT574" s="17"/>
      <c r="AU574" s="1"/>
      <c r="AV574" s="1"/>
      <c r="AW574" s="1"/>
      <c r="AX574" s="2"/>
      <c r="AY574" s="2"/>
      <c r="AZ574" s="1"/>
    </row>
    <row x14ac:dyDescent="0.25" r="575" customHeight="1" ht="24.75">
      <c r="A575" s="1"/>
      <c r="B575" s="1"/>
      <c r="C575" s="1"/>
      <c r="D575" s="1"/>
      <c r="E575" s="1"/>
      <c r="F575" s="1"/>
      <c r="G575" s="1"/>
      <c r="H575" s="1"/>
      <c r="I575" s="1"/>
      <c r="J575" s="1"/>
      <c r="K575" s="17"/>
      <c r="L575" s="1"/>
      <c r="M575" s="1"/>
      <c r="N575" s="2"/>
      <c r="O575" s="2"/>
      <c r="P575" s="1"/>
      <c r="Q575" s="1"/>
      <c r="R575" s="1"/>
      <c r="S575" s="1"/>
      <c r="T575" s="40"/>
      <c r="U575" s="40"/>
      <c r="V575" s="40"/>
      <c r="W575" s="40"/>
      <c r="X575" s="22"/>
      <c r="Y575" s="22"/>
      <c r="Z575" s="22"/>
      <c r="AA575" s="22"/>
      <c r="AB575" s="22"/>
      <c r="AC575" s="22"/>
      <c r="AD575" s="22"/>
      <c r="AE575" s="22"/>
      <c r="AF575" s="22"/>
      <c r="AG575" s="22"/>
      <c r="AH575" s="22"/>
      <c r="AI575" s="22"/>
      <c r="AJ575" s="40"/>
      <c r="AK575" s="22"/>
      <c r="AL575" s="22"/>
      <c r="AM575" s="22"/>
      <c r="AN575" s="22"/>
      <c r="AO575" s="40"/>
      <c r="AP575" s="40"/>
      <c r="AQ575" s="40"/>
      <c r="AR575" s="1"/>
      <c r="AS575" s="1"/>
      <c r="AT575" s="17"/>
      <c r="AU575" s="1"/>
      <c r="AV575" s="1"/>
      <c r="AW575" s="1"/>
      <c r="AX575" s="2"/>
      <c r="AY575" s="2"/>
      <c r="AZ575" s="1"/>
    </row>
    <row x14ac:dyDescent="0.25" r="576" customHeight="1" ht="24.75">
      <c r="A576" s="1"/>
      <c r="B576" s="1"/>
      <c r="C576" s="1"/>
      <c r="D576" s="1"/>
      <c r="E576" s="1"/>
      <c r="F576" s="1"/>
      <c r="G576" s="1"/>
      <c r="H576" s="1"/>
      <c r="I576" s="1"/>
      <c r="J576" s="1"/>
      <c r="K576" s="17"/>
      <c r="L576" s="1"/>
      <c r="M576" s="1"/>
      <c r="N576" s="2"/>
      <c r="O576" s="2"/>
      <c r="P576" s="1"/>
      <c r="Q576" s="1"/>
      <c r="R576" s="1"/>
      <c r="S576" s="1"/>
      <c r="T576" s="40"/>
      <c r="U576" s="40"/>
      <c r="V576" s="40"/>
      <c r="W576" s="40"/>
      <c r="X576" s="22"/>
      <c r="Y576" s="22"/>
      <c r="Z576" s="22"/>
      <c r="AA576" s="22"/>
      <c r="AB576" s="22"/>
      <c r="AC576" s="22"/>
      <c r="AD576" s="22"/>
      <c r="AE576" s="22"/>
      <c r="AF576" s="22"/>
      <c r="AG576" s="22"/>
      <c r="AH576" s="22"/>
      <c r="AI576" s="22"/>
      <c r="AJ576" s="40"/>
      <c r="AK576" s="22"/>
      <c r="AL576" s="22"/>
      <c r="AM576" s="22"/>
      <c r="AN576" s="22"/>
      <c r="AO576" s="40"/>
      <c r="AP576" s="40"/>
      <c r="AQ576" s="40"/>
      <c r="AR576" s="1"/>
      <c r="AS576" s="1"/>
      <c r="AT576" s="17"/>
      <c r="AU576" s="1"/>
      <c r="AV576" s="1"/>
      <c r="AW576" s="1"/>
      <c r="AX576" s="2"/>
      <c r="AY576" s="2"/>
      <c r="AZ576" s="1"/>
    </row>
    <row x14ac:dyDescent="0.25" r="577" customHeight="1" ht="24.75">
      <c r="A577" s="1"/>
      <c r="B577" s="1"/>
      <c r="C577" s="1"/>
      <c r="D577" s="1"/>
      <c r="E577" s="1"/>
      <c r="F577" s="1"/>
      <c r="G577" s="1"/>
      <c r="H577" s="1"/>
      <c r="I577" s="1"/>
      <c r="J577" s="1"/>
      <c r="K577" s="17"/>
      <c r="L577" s="1"/>
      <c r="M577" s="1"/>
      <c r="N577" s="2"/>
      <c r="O577" s="2"/>
      <c r="P577" s="1"/>
      <c r="Q577" s="1"/>
      <c r="R577" s="1"/>
      <c r="S577" s="1"/>
      <c r="T577" s="40"/>
      <c r="U577" s="40"/>
      <c r="V577" s="40"/>
      <c r="W577" s="40"/>
      <c r="X577" s="22"/>
      <c r="Y577" s="22"/>
      <c r="Z577" s="22"/>
      <c r="AA577" s="22"/>
      <c r="AB577" s="22"/>
      <c r="AC577" s="22"/>
      <c r="AD577" s="22"/>
      <c r="AE577" s="22"/>
      <c r="AF577" s="22"/>
      <c r="AG577" s="22"/>
      <c r="AH577" s="22"/>
      <c r="AI577" s="22"/>
      <c r="AJ577" s="40"/>
      <c r="AK577" s="22"/>
      <c r="AL577" s="22"/>
      <c r="AM577" s="22"/>
      <c r="AN577" s="22"/>
      <c r="AO577" s="40"/>
      <c r="AP577" s="40"/>
      <c r="AQ577" s="40"/>
      <c r="AR577" s="1"/>
      <c r="AS577" s="1"/>
      <c r="AT577" s="17"/>
      <c r="AU577" s="1"/>
      <c r="AV577" s="1"/>
      <c r="AW577" s="1"/>
      <c r="AX577" s="2"/>
      <c r="AY577" s="2"/>
      <c r="AZ577" s="1"/>
    </row>
    <row x14ac:dyDescent="0.25" r="578" customHeight="1" ht="24.75">
      <c r="A578" s="1"/>
      <c r="B578" s="1"/>
      <c r="C578" s="1"/>
      <c r="D578" s="1"/>
      <c r="E578" s="1"/>
      <c r="F578" s="1"/>
      <c r="G578" s="1"/>
      <c r="H578" s="1"/>
      <c r="I578" s="1"/>
      <c r="J578" s="1"/>
      <c r="K578" s="17"/>
      <c r="L578" s="1"/>
      <c r="M578" s="1"/>
      <c r="N578" s="2"/>
      <c r="O578" s="2"/>
      <c r="P578" s="1"/>
      <c r="Q578" s="1"/>
      <c r="R578" s="1"/>
      <c r="S578" s="1"/>
      <c r="T578" s="40"/>
      <c r="U578" s="40"/>
      <c r="V578" s="40"/>
      <c r="W578" s="40"/>
      <c r="X578" s="22"/>
      <c r="Y578" s="22"/>
      <c r="Z578" s="22"/>
      <c r="AA578" s="22"/>
      <c r="AB578" s="22"/>
      <c r="AC578" s="22"/>
      <c r="AD578" s="22"/>
      <c r="AE578" s="22"/>
      <c r="AF578" s="22"/>
      <c r="AG578" s="22"/>
      <c r="AH578" s="22"/>
      <c r="AI578" s="22"/>
      <c r="AJ578" s="40"/>
      <c r="AK578" s="22"/>
      <c r="AL578" s="22"/>
      <c r="AM578" s="22"/>
      <c r="AN578" s="22"/>
      <c r="AO578" s="40"/>
      <c r="AP578" s="40"/>
      <c r="AQ578" s="40"/>
      <c r="AR578" s="1"/>
      <c r="AS578" s="1"/>
      <c r="AT578" s="17"/>
      <c r="AU578" s="1"/>
      <c r="AV578" s="1"/>
      <c r="AW578" s="1"/>
      <c r="AX578" s="2"/>
      <c r="AY578" s="2"/>
      <c r="AZ578" s="1"/>
    </row>
    <row x14ac:dyDescent="0.25" r="579" customHeight="1" ht="24.75">
      <c r="A579" s="1"/>
      <c r="B579" s="1"/>
      <c r="C579" s="1"/>
      <c r="D579" s="1"/>
      <c r="E579" s="1"/>
      <c r="F579" s="1"/>
      <c r="G579" s="1"/>
      <c r="H579" s="1"/>
      <c r="I579" s="1"/>
      <c r="J579" s="1"/>
      <c r="K579" s="17"/>
      <c r="L579" s="1"/>
      <c r="M579" s="1"/>
      <c r="N579" s="2"/>
      <c r="O579" s="2"/>
      <c r="P579" s="1"/>
      <c r="Q579" s="1"/>
      <c r="R579" s="1"/>
      <c r="S579" s="1"/>
      <c r="T579" s="40"/>
      <c r="U579" s="40"/>
      <c r="V579" s="40"/>
      <c r="W579" s="40"/>
      <c r="X579" s="22"/>
      <c r="Y579" s="22"/>
      <c r="Z579" s="22"/>
      <c r="AA579" s="22"/>
      <c r="AB579" s="22"/>
      <c r="AC579" s="22"/>
      <c r="AD579" s="22"/>
      <c r="AE579" s="22"/>
      <c r="AF579" s="22"/>
      <c r="AG579" s="22"/>
      <c r="AH579" s="22"/>
      <c r="AI579" s="22"/>
      <c r="AJ579" s="40"/>
      <c r="AK579" s="22"/>
      <c r="AL579" s="22"/>
      <c r="AM579" s="22"/>
      <c r="AN579" s="22"/>
      <c r="AO579" s="40"/>
      <c r="AP579" s="40"/>
      <c r="AQ579" s="40"/>
      <c r="AR579" s="1"/>
      <c r="AS579" s="1"/>
      <c r="AT579" s="17"/>
      <c r="AU579" s="1"/>
      <c r="AV579" s="1"/>
      <c r="AW579" s="1"/>
      <c r="AX579" s="2"/>
      <c r="AY579" s="2"/>
      <c r="AZ579" s="1"/>
    </row>
    <row x14ac:dyDescent="0.25" r="580" customHeight="1" ht="24.75">
      <c r="A580" s="1"/>
      <c r="B580" s="1"/>
      <c r="C580" s="1"/>
      <c r="D580" s="1"/>
      <c r="E580" s="1"/>
      <c r="F580" s="1"/>
      <c r="G580" s="1"/>
      <c r="H580" s="1"/>
      <c r="I580" s="1"/>
      <c r="J580" s="1"/>
      <c r="K580" s="17"/>
      <c r="L580" s="1"/>
      <c r="M580" s="1"/>
      <c r="N580" s="2"/>
      <c r="O580" s="2"/>
      <c r="P580" s="1"/>
      <c r="Q580" s="1"/>
      <c r="R580" s="1"/>
      <c r="S580" s="1"/>
      <c r="T580" s="40"/>
      <c r="U580" s="40"/>
      <c r="V580" s="40"/>
      <c r="W580" s="40"/>
      <c r="X580" s="22"/>
      <c r="Y580" s="22"/>
      <c r="Z580" s="22"/>
      <c r="AA580" s="22"/>
      <c r="AB580" s="22"/>
      <c r="AC580" s="22"/>
      <c r="AD580" s="22"/>
      <c r="AE580" s="22"/>
      <c r="AF580" s="22"/>
      <c r="AG580" s="22"/>
      <c r="AH580" s="22"/>
      <c r="AI580" s="22"/>
      <c r="AJ580" s="40"/>
      <c r="AK580" s="22"/>
      <c r="AL580" s="22"/>
      <c r="AM580" s="22"/>
      <c r="AN580" s="22"/>
      <c r="AO580" s="40"/>
      <c r="AP580" s="40"/>
      <c r="AQ580" s="40"/>
      <c r="AR580" s="1"/>
      <c r="AS580" s="1"/>
      <c r="AT580" s="17"/>
      <c r="AU580" s="1"/>
      <c r="AV580" s="1"/>
      <c r="AW580" s="1"/>
      <c r="AX580" s="2"/>
      <c r="AY580" s="2"/>
      <c r="AZ580" s="1"/>
    </row>
    <row x14ac:dyDescent="0.25" r="581" customHeight="1" ht="24.75">
      <c r="A581" s="1"/>
      <c r="B581" s="1"/>
      <c r="C581" s="1"/>
      <c r="D581" s="1"/>
      <c r="E581" s="1"/>
      <c r="F581" s="1"/>
      <c r="G581" s="1"/>
      <c r="H581" s="1"/>
      <c r="I581" s="1"/>
      <c r="J581" s="1"/>
      <c r="K581" s="17"/>
      <c r="L581" s="1"/>
      <c r="M581" s="1"/>
      <c r="N581" s="2"/>
      <c r="O581" s="2"/>
      <c r="P581" s="1"/>
      <c r="Q581" s="1"/>
      <c r="R581" s="1"/>
      <c r="S581" s="1"/>
      <c r="T581" s="40"/>
      <c r="U581" s="40"/>
      <c r="V581" s="40"/>
      <c r="W581" s="40"/>
      <c r="X581" s="22"/>
      <c r="Y581" s="22"/>
      <c r="Z581" s="22"/>
      <c r="AA581" s="22"/>
      <c r="AB581" s="22"/>
      <c r="AC581" s="22"/>
      <c r="AD581" s="22"/>
      <c r="AE581" s="22"/>
      <c r="AF581" s="22"/>
      <c r="AG581" s="22"/>
      <c r="AH581" s="22"/>
      <c r="AI581" s="22"/>
      <c r="AJ581" s="40"/>
      <c r="AK581" s="22"/>
      <c r="AL581" s="22"/>
      <c r="AM581" s="22"/>
      <c r="AN581" s="22"/>
      <c r="AO581" s="40"/>
      <c r="AP581" s="40"/>
      <c r="AQ581" s="40"/>
      <c r="AR581" s="1"/>
      <c r="AS581" s="1"/>
      <c r="AT581" s="17"/>
      <c r="AU581" s="1"/>
      <c r="AV581" s="1"/>
      <c r="AW581" s="1"/>
      <c r="AX581" s="2"/>
      <c r="AY581" s="2"/>
      <c r="AZ581" s="1"/>
    </row>
    <row x14ac:dyDescent="0.25" r="582" customHeight="1" ht="24.75">
      <c r="A582" s="1"/>
      <c r="B582" s="1"/>
      <c r="C582" s="1"/>
      <c r="D582" s="1"/>
      <c r="E582" s="1"/>
      <c r="F582" s="1"/>
      <c r="G582" s="1"/>
      <c r="H582" s="1"/>
      <c r="I582" s="1"/>
      <c r="J582" s="1"/>
      <c r="K582" s="17"/>
      <c r="L582" s="1"/>
      <c r="M582" s="1"/>
      <c r="N582" s="2"/>
      <c r="O582" s="2"/>
      <c r="P582" s="1"/>
      <c r="Q582" s="1"/>
      <c r="R582" s="1"/>
      <c r="S582" s="1"/>
      <c r="T582" s="40"/>
      <c r="U582" s="40"/>
      <c r="V582" s="40"/>
      <c r="W582" s="40"/>
      <c r="X582" s="22"/>
      <c r="Y582" s="22"/>
      <c r="Z582" s="22"/>
      <c r="AA582" s="22"/>
      <c r="AB582" s="22"/>
      <c r="AC582" s="22"/>
      <c r="AD582" s="22"/>
      <c r="AE582" s="22"/>
      <c r="AF582" s="22"/>
      <c r="AG582" s="22"/>
      <c r="AH582" s="22"/>
      <c r="AI582" s="22"/>
      <c r="AJ582" s="40"/>
      <c r="AK582" s="22"/>
      <c r="AL582" s="22"/>
      <c r="AM582" s="22"/>
      <c r="AN582" s="22"/>
      <c r="AO582" s="40"/>
      <c r="AP582" s="40"/>
      <c r="AQ582" s="40"/>
      <c r="AR582" s="1"/>
      <c r="AS582" s="1"/>
      <c r="AT582" s="17"/>
      <c r="AU582" s="1"/>
      <c r="AV582" s="1"/>
      <c r="AW582" s="1"/>
      <c r="AX582" s="2"/>
      <c r="AY582" s="2"/>
      <c r="AZ582" s="1"/>
    </row>
    <row x14ac:dyDescent="0.25" r="583" customHeight="1" ht="24.75">
      <c r="A583" s="1"/>
      <c r="B583" s="1"/>
      <c r="C583" s="1"/>
      <c r="D583" s="1"/>
      <c r="E583" s="1"/>
      <c r="F583" s="1"/>
      <c r="G583" s="1"/>
      <c r="H583" s="1"/>
      <c r="I583" s="1"/>
      <c r="J583" s="1"/>
      <c r="K583" s="17"/>
      <c r="L583" s="1"/>
      <c r="M583" s="1"/>
      <c r="N583" s="2"/>
      <c r="O583" s="2"/>
      <c r="P583" s="1"/>
      <c r="Q583" s="1"/>
      <c r="R583" s="1"/>
      <c r="S583" s="1"/>
      <c r="T583" s="40"/>
      <c r="U583" s="40"/>
      <c r="V583" s="40"/>
      <c r="W583" s="40"/>
      <c r="X583" s="22"/>
      <c r="Y583" s="22"/>
      <c r="Z583" s="22"/>
      <c r="AA583" s="22"/>
      <c r="AB583" s="22"/>
      <c r="AC583" s="22"/>
      <c r="AD583" s="22"/>
      <c r="AE583" s="22"/>
      <c r="AF583" s="22"/>
      <c r="AG583" s="22"/>
      <c r="AH583" s="22"/>
      <c r="AI583" s="22"/>
      <c r="AJ583" s="40"/>
      <c r="AK583" s="22"/>
      <c r="AL583" s="22"/>
      <c r="AM583" s="22"/>
      <c r="AN583" s="22"/>
      <c r="AO583" s="40"/>
      <c r="AP583" s="40"/>
      <c r="AQ583" s="40"/>
      <c r="AR583" s="1"/>
      <c r="AS583" s="1"/>
      <c r="AT583" s="17"/>
      <c r="AU583" s="1"/>
      <c r="AV583" s="1"/>
      <c r="AW583" s="1"/>
      <c r="AX583" s="2"/>
      <c r="AY583" s="2"/>
      <c r="AZ583" s="1"/>
    </row>
    <row x14ac:dyDescent="0.25" r="584" customHeight="1" ht="24.75">
      <c r="A584" s="1"/>
      <c r="B584" s="1"/>
      <c r="C584" s="1"/>
      <c r="D584" s="1"/>
      <c r="E584" s="1"/>
      <c r="F584" s="1"/>
      <c r="G584" s="1"/>
      <c r="H584" s="1"/>
      <c r="I584" s="1"/>
      <c r="J584" s="1"/>
      <c r="K584" s="17"/>
      <c r="L584" s="1"/>
      <c r="M584" s="1"/>
      <c r="N584" s="2"/>
      <c r="O584" s="2"/>
      <c r="P584" s="1"/>
      <c r="Q584" s="1"/>
      <c r="R584" s="1"/>
      <c r="S584" s="1"/>
      <c r="T584" s="40"/>
      <c r="U584" s="40"/>
      <c r="V584" s="40"/>
      <c r="W584" s="40"/>
      <c r="X584" s="22"/>
      <c r="Y584" s="22"/>
      <c r="Z584" s="22"/>
      <c r="AA584" s="22"/>
      <c r="AB584" s="22"/>
      <c r="AC584" s="22"/>
      <c r="AD584" s="22"/>
      <c r="AE584" s="22"/>
      <c r="AF584" s="22"/>
      <c r="AG584" s="22"/>
      <c r="AH584" s="22"/>
      <c r="AI584" s="22"/>
      <c r="AJ584" s="40"/>
      <c r="AK584" s="22"/>
      <c r="AL584" s="22"/>
      <c r="AM584" s="22"/>
      <c r="AN584" s="22"/>
      <c r="AO584" s="40"/>
      <c r="AP584" s="40"/>
      <c r="AQ584" s="40"/>
      <c r="AR584" s="1"/>
      <c r="AS584" s="1"/>
      <c r="AT584" s="17"/>
      <c r="AU584" s="1"/>
      <c r="AV584" s="1"/>
      <c r="AW584" s="1"/>
      <c r="AX584" s="2"/>
      <c r="AY584" s="2"/>
      <c r="AZ584" s="1"/>
    </row>
    <row x14ac:dyDescent="0.25" r="585" customHeight="1" ht="24.75">
      <c r="A585" s="1"/>
      <c r="B585" s="1"/>
      <c r="C585" s="1"/>
      <c r="D585" s="1"/>
      <c r="E585" s="1"/>
      <c r="F585" s="1"/>
      <c r="G585" s="1"/>
      <c r="H585" s="1"/>
      <c r="I585" s="1"/>
      <c r="J585" s="1"/>
      <c r="K585" s="17"/>
      <c r="L585" s="1"/>
      <c r="M585" s="1"/>
      <c r="N585" s="2"/>
      <c r="O585" s="2"/>
      <c r="P585" s="1"/>
      <c r="Q585" s="1"/>
      <c r="R585" s="1"/>
      <c r="S585" s="1"/>
      <c r="T585" s="40"/>
      <c r="U585" s="40"/>
      <c r="V585" s="40"/>
      <c r="W585" s="40"/>
      <c r="X585" s="22"/>
      <c r="Y585" s="22"/>
      <c r="Z585" s="22"/>
      <c r="AA585" s="22"/>
      <c r="AB585" s="22"/>
      <c r="AC585" s="22"/>
      <c r="AD585" s="22"/>
      <c r="AE585" s="22"/>
      <c r="AF585" s="22"/>
      <c r="AG585" s="22"/>
      <c r="AH585" s="22"/>
      <c r="AI585" s="22"/>
      <c r="AJ585" s="40"/>
      <c r="AK585" s="22"/>
      <c r="AL585" s="22"/>
      <c r="AM585" s="22"/>
      <c r="AN585" s="22"/>
      <c r="AO585" s="40"/>
      <c r="AP585" s="40"/>
      <c r="AQ585" s="40"/>
      <c r="AR585" s="1"/>
      <c r="AS585" s="1"/>
      <c r="AT585" s="17"/>
      <c r="AU585" s="1"/>
      <c r="AV585" s="1"/>
      <c r="AW585" s="1"/>
      <c r="AX585" s="2"/>
      <c r="AY585" s="2"/>
      <c r="AZ585" s="1"/>
    </row>
    <row x14ac:dyDescent="0.25" r="586" customHeight="1" ht="24.75">
      <c r="A586" s="1"/>
      <c r="B586" s="1"/>
      <c r="C586" s="1"/>
      <c r="D586" s="1"/>
      <c r="E586" s="1"/>
      <c r="F586" s="1"/>
      <c r="G586" s="1"/>
      <c r="H586" s="1"/>
      <c r="I586" s="1"/>
      <c r="J586" s="1"/>
      <c r="K586" s="17"/>
      <c r="L586" s="1"/>
      <c r="M586" s="1"/>
      <c r="N586" s="2"/>
      <c r="O586" s="2"/>
      <c r="P586" s="1"/>
      <c r="Q586" s="1"/>
      <c r="R586" s="1"/>
      <c r="S586" s="1"/>
      <c r="T586" s="40"/>
      <c r="U586" s="40"/>
      <c r="V586" s="40"/>
      <c r="W586" s="40"/>
      <c r="X586" s="22"/>
      <c r="Y586" s="22"/>
      <c r="Z586" s="22"/>
      <c r="AA586" s="22"/>
      <c r="AB586" s="22"/>
      <c r="AC586" s="22"/>
      <c r="AD586" s="22"/>
      <c r="AE586" s="22"/>
      <c r="AF586" s="22"/>
      <c r="AG586" s="22"/>
      <c r="AH586" s="22"/>
      <c r="AI586" s="22"/>
      <c r="AJ586" s="40"/>
      <c r="AK586" s="22"/>
      <c r="AL586" s="22"/>
      <c r="AM586" s="22"/>
      <c r="AN586" s="22"/>
      <c r="AO586" s="40"/>
      <c r="AP586" s="40"/>
      <c r="AQ586" s="40"/>
      <c r="AR586" s="1"/>
      <c r="AS586" s="1"/>
      <c r="AT586" s="17"/>
      <c r="AU586" s="1"/>
      <c r="AV586" s="1"/>
      <c r="AW586" s="1"/>
      <c r="AX586" s="2"/>
      <c r="AY586" s="2"/>
      <c r="AZ586" s="1"/>
    </row>
    <row x14ac:dyDescent="0.25" r="587" customHeight="1" ht="24.75">
      <c r="A587" s="1"/>
      <c r="B587" s="1"/>
      <c r="C587" s="1"/>
      <c r="D587" s="1"/>
      <c r="E587" s="1"/>
      <c r="F587" s="1"/>
      <c r="G587" s="1"/>
      <c r="H587" s="1"/>
      <c r="I587" s="1"/>
      <c r="J587" s="1"/>
      <c r="K587" s="17"/>
      <c r="L587" s="1"/>
      <c r="M587" s="1"/>
      <c r="N587" s="2"/>
      <c r="O587" s="2"/>
      <c r="P587" s="1"/>
      <c r="Q587" s="1"/>
      <c r="R587" s="1"/>
      <c r="S587" s="1"/>
      <c r="T587" s="40"/>
      <c r="U587" s="40"/>
      <c r="V587" s="40"/>
      <c r="W587" s="40"/>
      <c r="X587" s="22"/>
      <c r="Y587" s="22"/>
      <c r="Z587" s="22"/>
      <c r="AA587" s="22"/>
      <c r="AB587" s="22"/>
      <c r="AC587" s="22"/>
      <c r="AD587" s="22"/>
      <c r="AE587" s="22"/>
      <c r="AF587" s="22"/>
      <c r="AG587" s="22"/>
      <c r="AH587" s="22"/>
      <c r="AI587" s="22"/>
      <c r="AJ587" s="40"/>
      <c r="AK587" s="22"/>
      <c r="AL587" s="22"/>
      <c r="AM587" s="22"/>
      <c r="AN587" s="22"/>
      <c r="AO587" s="40"/>
      <c r="AP587" s="40"/>
      <c r="AQ587" s="40"/>
      <c r="AR587" s="1"/>
      <c r="AS587" s="1"/>
      <c r="AT587" s="17"/>
      <c r="AU587" s="1"/>
      <c r="AV587" s="1"/>
      <c r="AW587" s="1"/>
      <c r="AX587" s="2"/>
      <c r="AY587" s="2"/>
      <c r="AZ587" s="1"/>
    </row>
    <row x14ac:dyDescent="0.25" r="588" customHeight="1" ht="24.75">
      <c r="A588" s="1"/>
      <c r="B588" s="1"/>
      <c r="C588" s="1"/>
      <c r="D588" s="1"/>
      <c r="E588" s="1"/>
      <c r="F588" s="1"/>
      <c r="G588" s="1"/>
      <c r="H588" s="1"/>
      <c r="I588" s="1"/>
      <c r="J588" s="1"/>
      <c r="K588" s="17"/>
      <c r="L588" s="1"/>
      <c r="M588" s="1"/>
      <c r="N588" s="2"/>
      <c r="O588" s="2"/>
      <c r="P588" s="1"/>
      <c r="Q588" s="1"/>
      <c r="R588" s="1"/>
      <c r="S588" s="1"/>
      <c r="T588" s="40"/>
      <c r="U588" s="40"/>
      <c r="V588" s="40"/>
      <c r="W588" s="40"/>
      <c r="X588" s="22"/>
      <c r="Y588" s="22"/>
      <c r="Z588" s="22"/>
      <c r="AA588" s="22"/>
      <c r="AB588" s="22"/>
      <c r="AC588" s="22"/>
      <c r="AD588" s="22"/>
      <c r="AE588" s="22"/>
      <c r="AF588" s="22"/>
      <c r="AG588" s="22"/>
      <c r="AH588" s="22"/>
      <c r="AI588" s="22"/>
      <c r="AJ588" s="40"/>
      <c r="AK588" s="22"/>
      <c r="AL588" s="22"/>
      <c r="AM588" s="22"/>
      <c r="AN588" s="22"/>
      <c r="AO588" s="40"/>
      <c r="AP588" s="40"/>
      <c r="AQ588" s="40"/>
      <c r="AR588" s="1"/>
      <c r="AS588" s="1"/>
      <c r="AT588" s="17"/>
      <c r="AU588" s="1"/>
      <c r="AV588" s="1"/>
      <c r="AW588" s="1"/>
      <c r="AX588" s="2"/>
      <c r="AY588" s="2"/>
      <c r="AZ588" s="1"/>
    </row>
    <row x14ac:dyDescent="0.25" r="589" customHeight="1" ht="24.75">
      <c r="A589" s="1"/>
      <c r="B589" s="1"/>
      <c r="C589" s="1"/>
      <c r="D589" s="1"/>
      <c r="E589" s="1"/>
      <c r="F589" s="1"/>
      <c r="G589" s="1"/>
      <c r="H589" s="1"/>
      <c r="I589" s="1"/>
      <c r="J589" s="1"/>
      <c r="K589" s="17"/>
      <c r="L589" s="1"/>
      <c r="M589" s="1"/>
      <c r="N589" s="2"/>
      <c r="O589" s="2"/>
      <c r="P589" s="1"/>
      <c r="Q589" s="1"/>
      <c r="R589" s="1"/>
      <c r="S589" s="1"/>
      <c r="T589" s="40"/>
      <c r="U589" s="40"/>
      <c r="V589" s="40"/>
      <c r="W589" s="40"/>
      <c r="X589" s="22"/>
      <c r="Y589" s="22"/>
      <c r="Z589" s="22"/>
      <c r="AA589" s="22"/>
      <c r="AB589" s="22"/>
      <c r="AC589" s="22"/>
      <c r="AD589" s="22"/>
      <c r="AE589" s="22"/>
      <c r="AF589" s="22"/>
      <c r="AG589" s="22"/>
      <c r="AH589" s="22"/>
      <c r="AI589" s="22"/>
      <c r="AJ589" s="40"/>
      <c r="AK589" s="22"/>
      <c r="AL589" s="22"/>
      <c r="AM589" s="22"/>
      <c r="AN589" s="22"/>
      <c r="AO589" s="40"/>
      <c r="AP589" s="40"/>
      <c r="AQ589" s="40"/>
      <c r="AR589" s="1"/>
      <c r="AS589" s="1"/>
      <c r="AT589" s="17"/>
      <c r="AU589" s="1"/>
      <c r="AV589" s="1"/>
      <c r="AW589" s="1"/>
      <c r="AX589" s="2"/>
      <c r="AY589" s="2"/>
      <c r="AZ589" s="1"/>
    </row>
    <row x14ac:dyDescent="0.25" r="590" customHeight="1" ht="24.75">
      <c r="A590" s="1"/>
      <c r="B590" s="1"/>
      <c r="C590" s="1"/>
      <c r="D590" s="1"/>
      <c r="E590" s="1"/>
      <c r="F590" s="1"/>
      <c r="G590" s="1"/>
      <c r="H590" s="1"/>
      <c r="I590" s="1"/>
      <c r="J590" s="1"/>
      <c r="K590" s="17"/>
      <c r="L590" s="1"/>
      <c r="M590" s="1"/>
      <c r="N590" s="2"/>
      <c r="O590" s="2"/>
      <c r="P590" s="1"/>
      <c r="Q590" s="1"/>
      <c r="R590" s="1"/>
      <c r="S590" s="1"/>
      <c r="T590" s="40"/>
      <c r="U590" s="40"/>
      <c r="V590" s="40"/>
      <c r="W590" s="40"/>
      <c r="X590" s="22"/>
      <c r="Y590" s="22"/>
      <c r="Z590" s="22"/>
      <c r="AA590" s="22"/>
      <c r="AB590" s="22"/>
      <c r="AC590" s="22"/>
      <c r="AD590" s="22"/>
      <c r="AE590" s="22"/>
      <c r="AF590" s="22"/>
      <c r="AG590" s="22"/>
      <c r="AH590" s="22"/>
      <c r="AI590" s="22"/>
      <c r="AJ590" s="40"/>
      <c r="AK590" s="22"/>
      <c r="AL590" s="22"/>
      <c r="AM590" s="22"/>
      <c r="AN590" s="22"/>
      <c r="AO590" s="40"/>
      <c r="AP590" s="40"/>
      <c r="AQ590" s="40"/>
      <c r="AR590" s="1"/>
      <c r="AS590" s="1"/>
      <c r="AT590" s="17"/>
      <c r="AU590" s="1"/>
      <c r="AV590" s="1"/>
      <c r="AW590" s="1"/>
      <c r="AX590" s="2"/>
      <c r="AY590" s="2"/>
      <c r="AZ590" s="1"/>
    </row>
    <row x14ac:dyDescent="0.25" r="591" customHeight="1" ht="24.75">
      <c r="A591" s="1"/>
      <c r="B591" s="1"/>
      <c r="C591" s="1"/>
      <c r="D591" s="1"/>
      <c r="E591" s="1"/>
      <c r="F591" s="1"/>
      <c r="G591" s="1"/>
      <c r="H591" s="1"/>
      <c r="I591" s="1"/>
      <c r="J591" s="1"/>
      <c r="K591" s="17"/>
      <c r="L591" s="1"/>
      <c r="M591" s="1"/>
      <c r="N591" s="2"/>
      <c r="O591" s="2"/>
      <c r="P591" s="1"/>
      <c r="Q591" s="1"/>
      <c r="R591" s="1"/>
      <c r="S591" s="1"/>
      <c r="T591" s="40"/>
      <c r="U591" s="40"/>
      <c r="V591" s="40"/>
      <c r="W591" s="40"/>
      <c r="X591" s="22"/>
      <c r="Y591" s="22"/>
      <c r="Z591" s="22"/>
      <c r="AA591" s="22"/>
      <c r="AB591" s="22"/>
      <c r="AC591" s="22"/>
      <c r="AD591" s="22"/>
      <c r="AE591" s="22"/>
      <c r="AF591" s="22"/>
      <c r="AG591" s="22"/>
      <c r="AH591" s="22"/>
      <c r="AI591" s="22"/>
      <c r="AJ591" s="40"/>
      <c r="AK591" s="22"/>
      <c r="AL591" s="22"/>
      <c r="AM591" s="22"/>
      <c r="AN591" s="22"/>
      <c r="AO591" s="40"/>
      <c r="AP591" s="40"/>
      <c r="AQ591" s="40"/>
      <c r="AR591" s="1"/>
      <c r="AS591" s="1"/>
      <c r="AT591" s="17"/>
      <c r="AU591" s="1"/>
      <c r="AV591" s="1"/>
      <c r="AW591" s="1"/>
      <c r="AX591" s="2"/>
      <c r="AY591" s="2"/>
      <c r="AZ591" s="1"/>
    </row>
    <row x14ac:dyDescent="0.25" r="592" customHeight="1" ht="24.75">
      <c r="A592" s="1"/>
      <c r="B592" s="1"/>
      <c r="C592" s="1"/>
      <c r="D592" s="1"/>
      <c r="E592" s="1"/>
      <c r="F592" s="1"/>
      <c r="G592" s="1"/>
      <c r="H592" s="1"/>
      <c r="I592" s="1"/>
      <c r="J592" s="1"/>
      <c r="K592" s="17"/>
      <c r="L592" s="1"/>
      <c r="M592" s="1"/>
      <c r="N592" s="2"/>
      <c r="O592" s="2"/>
      <c r="P592" s="1"/>
      <c r="Q592" s="1"/>
      <c r="R592" s="1"/>
      <c r="S592" s="1"/>
      <c r="T592" s="40"/>
      <c r="U592" s="40"/>
      <c r="V592" s="40"/>
      <c r="W592" s="40"/>
      <c r="X592" s="22"/>
      <c r="Y592" s="22"/>
      <c r="Z592" s="22"/>
      <c r="AA592" s="22"/>
      <c r="AB592" s="22"/>
      <c r="AC592" s="22"/>
      <c r="AD592" s="22"/>
      <c r="AE592" s="22"/>
      <c r="AF592" s="22"/>
      <c r="AG592" s="22"/>
      <c r="AH592" s="22"/>
      <c r="AI592" s="22"/>
      <c r="AJ592" s="40"/>
      <c r="AK592" s="22"/>
      <c r="AL592" s="22"/>
      <c r="AM592" s="22"/>
      <c r="AN592" s="22"/>
      <c r="AO592" s="40"/>
      <c r="AP592" s="40"/>
      <c r="AQ592" s="40"/>
      <c r="AR592" s="1"/>
      <c r="AS592" s="1"/>
      <c r="AT592" s="17"/>
      <c r="AU592" s="1"/>
      <c r="AV592" s="1"/>
      <c r="AW592" s="1"/>
      <c r="AX592" s="2"/>
      <c r="AY592" s="2"/>
      <c r="AZ592" s="1"/>
    </row>
    <row x14ac:dyDescent="0.25" r="593" customHeight="1" ht="24.75">
      <c r="A593" s="1"/>
      <c r="B593" s="1"/>
      <c r="C593" s="1"/>
      <c r="D593" s="1"/>
      <c r="E593" s="1"/>
      <c r="F593" s="1"/>
      <c r="G593" s="1"/>
      <c r="H593" s="1"/>
      <c r="I593" s="1"/>
      <c r="J593" s="1"/>
      <c r="K593" s="17"/>
      <c r="L593" s="1"/>
      <c r="M593" s="1"/>
      <c r="N593" s="2"/>
      <c r="O593" s="2"/>
      <c r="P593" s="1"/>
      <c r="Q593" s="1"/>
      <c r="R593" s="1"/>
      <c r="S593" s="1"/>
      <c r="T593" s="40"/>
      <c r="U593" s="40"/>
      <c r="V593" s="40"/>
      <c r="W593" s="40"/>
      <c r="X593" s="22"/>
      <c r="Y593" s="22"/>
      <c r="Z593" s="22"/>
      <c r="AA593" s="22"/>
      <c r="AB593" s="22"/>
      <c r="AC593" s="22"/>
      <c r="AD593" s="22"/>
      <c r="AE593" s="22"/>
      <c r="AF593" s="22"/>
      <c r="AG593" s="22"/>
      <c r="AH593" s="22"/>
      <c r="AI593" s="22"/>
      <c r="AJ593" s="40"/>
      <c r="AK593" s="22"/>
      <c r="AL593" s="22"/>
      <c r="AM593" s="22"/>
      <c r="AN593" s="22"/>
      <c r="AO593" s="40"/>
      <c r="AP593" s="40"/>
      <c r="AQ593" s="40"/>
      <c r="AR593" s="1"/>
      <c r="AS593" s="1"/>
      <c r="AT593" s="17"/>
      <c r="AU593" s="1"/>
      <c r="AV593" s="1"/>
      <c r="AW593" s="1"/>
      <c r="AX593" s="2"/>
      <c r="AY593" s="2"/>
      <c r="AZ593" s="1"/>
    </row>
    <row x14ac:dyDescent="0.25" r="594" customHeight="1" ht="24.75">
      <c r="A594" s="1"/>
      <c r="B594" s="1"/>
      <c r="C594" s="1"/>
      <c r="D594" s="1"/>
      <c r="E594" s="1"/>
      <c r="F594" s="1"/>
      <c r="G594" s="1"/>
      <c r="H594" s="1"/>
      <c r="I594" s="1"/>
      <c r="J594" s="1"/>
      <c r="K594" s="17"/>
      <c r="L594" s="1"/>
      <c r="M594" s="1"/>
      <c r="N594" s="2"/>
      <c r="O594" s="2"/>
      <c r="P594" s="1"/>
      <c r="Q594" s="1"/>
      <c r="R594" s="1"/>
      <c r="S594" s="1"/>
      <c r="T594" s="40"/>
      <c r="U594" s="40"/>
      <c r="V594" s="40"/>
      <c r="W594" s="40"/>
      <c r="X594" s="22"/>
      <c r="Y594" s="22"/>
      <c r="Z594" s="22"/>
      <c r="AA594" s="22"/>
      <c r="AB594" s="22"/>
      <c r="AC594" s="22"/>
      <c r="AD594" s="22"/>
      <c r="AE594" s="22"/>
      <c r="AF594" s="22"/>
      <c r="AG594" s="22"/>
      <c r="AH594" s="22"/>
      <c r="AI594" s="22"/>
      <c r="AJ594" s="40"/>
      <c r="AK594" s="22"/>
      <c r="AL594" s="22"/>
      <c r="AM594" s="22"/>
      <c r="AN594" s="22"/>
      <c r="AO594" s="40"/>
      <c r="AP594" s="40"/>
      <c r="AQ594" s="40"/>
      <c r="AR594" s="1"/>
      <c r="AS594" s="1"/>
      <c r="AT594" s="17"/>
      <c r="AU594" s="1"/>
      <c r="AV594" s="1"/>
      <c r="AW594" s="1"/>
      <c r="AX594" s="2"/>
      <c r="AY594" s="2"/>
      <c r="AZ594" s="1"/>
    </row>
    <row x14ac:dyDescent="0.25" r="595" customHeight="1" ht="24.75">
      <c r="A595" s="1"/>
      <c r="B595" s="1"/>
      <c r="C595" s="1"/>
      <c r="D595" s="1"/>
      <c r="E595" s="1"/>
      <c r="F595" s="1"/>
      <c r="G595" s="1"/>
      <c r="H595" s="1"/>
      <c r="I595" s="1"/>
      <c r="J595" s="1"/>
      <c r="K595" s="17"/>
      <c r="L595" s="1"/>
      <c r="M595" s="1"/>
      <c r="N595" s="2"/>
      <c r="O595" s="2"/>
      <c r="P595" s="1"/>
      <c r="Q595" s="1"/>
      <c r="R595" s="1"/>
      <c r="S595" s="1"/>
      <c r="T595" s="40"/>
      <c r="U595" s="40"/>
      <c r="V595" s="40"/>
      <c r="W595" s="40"/>
      <c r="X595" s="22"/>
      <c r="Y595" s="22"/>
      <c r="Z595" s="22"/>
      <c r="AA595" s="22"/>
      <c r="AB595" s="22"/>
      <c r="AC595" s="22"/>
      <c r="AD595" s="22"/>
      <c r="AE595" s="22"/>
      <c r="AF595" s="22"/>
      <c r="AG595" s="22"/>
      <c r="AH595" s="22"/>
      <c r="AI595" s="22"/>
      <c r="AJ595" s="40"/>
      <c r="AK595" s="22"/>
      <c r="AL595" s="22"/>
      <c r="AM595" s="22"/>
      <c r="AN595" s="22"/>
      <c r="AO595" s="40"/>
      <c r="AP595" s="40"/>
      <c r="AQ595" s="40"/>
      <c r="AR595" s="1"/>
      <c r="AS595" s="1"/>
      <c r="AT595" s="17"/>
      <c r="AU595" s="1"/>
      <c r="AV595" s="1"/>
      <c r="AW595" s="1"/>
      <c r="AX595" s="2"/>
      <c r="AY595" s="2"/>
      <c r="AZ595" s="1"/>
    </row>
    <row x14ac:dyDescent="0.25" r="596" customHeight="1" ht="24.75">
      <c r="A596" s="1"/>
      <c r="B596" s="1"/>
      <c r="C596" s="1"/>
      <c r="D596" s="1"/>
      <c r="E596" s="1"/>
      <c r="F596" s="1"/>
      <c r="G596" s="1"/>
      <c r="H596" s="1"/>
      <c r="I596" s="1"/>
      <c r="J596" s="1"/>
      <c r="K596" s="17"/>
      <c r="L596" s="1"/>
      <c r="M596" s="1"/>
      <c r="N596" s="2"/>
      <c r="O596" s="2"/>
      <c r="P596" s="1"/>
      <c r="Q596" s="1"/>
      <c r="R596" s="1"/>
      <c r="S596" s="1"/>
      <c r="T596" s="40"/>
      <c r="U596" s="40"/>
      <c r="V596" s="40"/>
      <c r="W596" s="40"/>
      <c r="X596" s="22"/>
      <c r="Y596" s="22"/>
      <c r="Z596" s="22"/>
      <c r="AA596" s="22"/>
      <c r="AB596" s="22"/>
      <c r="AC596" s="22"/>
      <c r="AD596" s="22"/>
      <c r="AE596" s="22"/>
      <c r="AF596" s="22"/>
      <c r="AG596" s="22"/>
      <c r="AH596" s="22"/>
      <c r="AI596" s="22"/>
      <c r="AJ596" s="40"/>
      <c r="AK596" s="22"/>
      <c r="AL596" s="22"/>
      <c r="AM596" s="22"/>
      <c r="AN596" s="22"/>
      <c r="AO596" s="40"/>
      <c r="AP596" s="40"/>
      <c r="AQ596" s="40"/>
      <c r="AR596" s="1"/>
      <c r="AS596" s="1"/>
      <c r="AT596" s="17"/>
      <c r="AU596" s="1"/>
      <c r="AV596" s="1"/>
      <c r="AW596" s="1"/>
      <c r="AX596" s="2"/>
      <c r="AY596" s="2"/>
      <c r="AZ596" s="1"/>
    </row>
    <row x14ac:dyDescent="0.25" r="597" customHeight="1" ht="24.75">
      <c r="A597" s="1"/>
      <c r="B597" s="1"/>
      <c r="C597" s="1"/>
      <c r="D597" s="1"/>
      <c r="E597" s="1"/>
      <c r="F597" s="1"/>
      <c r="G597" s="1"/>
      <c r="H597" s="1"/>
      <c r="I597" s="1"/>
      <c r="J597" s="1"/>
      <c r="K597" s="17"/>
      <c r="L597" s="1"/>
      <c r="M597" s="1"/>
      <c r="N597" s="2"/>
      <c r="O597" s="2"/>
      <c r="P597" s="1"/>
      <c r="Q597" s="1"/>
      <c r="R597" s="1"/>
      <c r="S597" s="1"/>
      <c r="T597" s="40"/>
      <c r="U597" s="40"/>
      <c r="V597" s="40"/>
      <c r="W597" s="40"/>
      <c r="X597" s="22"/>
      <c r="Y597" s="22"/>
      <c r="Z597" s="22"/>
      <c r="AA597" s="22"/>
      <c r="AB597" s="22"/>
      <c r="AC597" s="22"/>
      <c r="AD597" s="22"/>
      <c r="AE597" s="22"/>
      <c r="AF597" s="22"/>
      <c r="AG597" s="22"/>
      <c r="AH597" s="22"/>
      <c r="AI597" s="22"/>
      <c r="AJ597" s="40"/>
      <c r="AK597" s="22"/>
      <c r="AL597" s="22"/>
      <c r="AM597" s="22"/>
      <c r="AN597" s="22"/>
      <c r="AO597" s="40"/>
      <c r="AP597" s="40"/>
      <c r="AQ597" s="40"/>
      <c r="AR597" s="1"/>
      <c r="AS597" s="1"/>
      <c r="AT597" s="17"/>
      <c r="AU597" s="1"/>
      <c r="AV597" s="1"/>
      <c r="AW597" s="1"/>
      <c r="AX597" s="2"/>
      <c r="AY597" s="2"/>
      <c r="AZ597" s="1"/>
    </row>
    <row x14ac:dyDescent="0.25" r="598" customHeight="1" ht="24.75">
      <c r="A598" s="1"/>
      <c r="B598" s="1"/>
      <c r="C598" s="1"/>
      <c r="D598" s="1"/>
      <c r="E598" s="1"/>
      <c r="F598" s="1"/>
      <c r="G598" s="1"/>
      <c r="H598" s="1"/>
      <c r="I598" s="1"/>
      <c r="J598" s="1"/>
      <c r="K598" s="17"/>
      <c r="L598" s="1"/>
      <c r="M598" s="1"/>
      <c r="N598" s="2"/>
      <c r="O598" s="2"/>
      <c r="P598" s="1"/>
      <c r="Q598" s="1"/>
      <c r="R598" s="1"/>
      <c r="S598" s="1"/>
      <c r="T598" s="40"/>
      <c r="U598" s="40"/>
      <c r="V598" s="40"/>
      <c r="W598" s="40"/>
      <c r="X598" s="22"/>
      <c r="Y598" s="22"/>
      <c r="Z598" s="22"/>
      <c r="AA598" s="22"/>
      <c r="AB598" s="22"/>
      <c r="AC598" s="22"/>
      <c r="AD598" s="22"/>
      <c r="AE598" s="22"/>
      <c r="AF598" s="22"/>
      <c r="AG598" s="22"/>
      <c r="AH598" s="22"/>
      <c r="AI598" s="22"/>
      <c r="AJ598" s="40"/>
      <c r="AK598" s="22"/>
      <c r="AL598" s="22"/>
      <c r="AM598" s="22"/>
      <c r="AN598" s="22"/>
      <c r="AO598" s="40"/>
      <c r="AP598" s="40"/>
      <c r="AQ598" s="40"/>
      <c r="AR598" s="1"/>
      <c r="AS598" s="1"/>
      <c r="AT598" s="17"/>
      <c r="AU598" s="1"/>
      <c r="AV598" s="1"/>
      <c r="AW598" s="1"/>
      <c r="AX598" s="2"/>
      <c r="AY598" s="2"/>
      <c r="AZ598" s="1"/>
    </row>
    <row x14ac:dyDescent="0.25" r="599" customHeight="1" ht="24.75">
      <c r="A599" s="1"/>
      <c r="B599" s="1"/>
      <c r="C599" s="1"/>
      <c r="D599" s="1"/>
      <c r="E599" s="1"/>
      <c r="F599" s="1"/>
      <c r="G599" s="1"/>
      <c r="H599" s="1"/>
      <c r="I599" s="1"/>
      <c r="J599" s="1"/>
      <c r="K599" s="17"/>
      <c r="L599" s="1"/>
      <c r="M599" s="1"/>
      <c r="N599" s="2"/>
      <c r="O599" s="2"/>
      <c r="P599" s="1"/>
      <c r="Q599" s="1"/>
      <c r="R599" s="1"/>
      <c r="S599" s="1"/>
      <c r="T599" s="40"/>
      <c r="U599" s="40"/>
      <c r="V599" s="40"/>
      <c r="W599" s="40"/>
      <c r="X599" s="22"/>
      <c r="Y599" s="22"/>
      <c r="Z599" s="22"/>
      <c r="AA599" s="22"/>
      <c r="AB599" s="22"/>
      <c r="AC599" s="22"/>
      <c r="AD599" s="22"/>
      <c r="AE599" s="22"/>
      <c r="AF599" s="22"/>
      <c r="AG599" s="22"/>
      <c r="AH599" s="22"/>
      <c r="AI599" s="22"/>
      <c r="AJ599" s="40"/>
      <c r="AK599" s="22"/>
      <c r="AL599" s="22"/>
      <c r="AM599" s="22"/>
      <c r="AN599" s="22"/>
      <c r="AO599" s="40"/>
      <c r="AP599" s="40"/>
      <c r="AQ599" s="40"/>
      <c r="AR599" s="1"/>
      <c r="AS599" s="1"/>
      <c r="AT599" s="17"/>
      <c r="AU599" s="1"/>
      <c r="AV599" s="1"/>
      <c r="AW599" s="1"/>
      <c r="AX599" s="2"/>
      <c r="AY599" s="2"/>
      <c r="AZ599" s="1"/>
    </row>
    <row x14ac:dyDescent="0.25" r="600" customHeight="1" ht="24.75">
      <c r="A600" s="1"/>
      <c r="B600" s="1"/>
      <c r="C600" s="1"/>
      <c r="D600" s="1"/>
      <c r="E600" s="1"/>
      <c r="F600" s="1"/>
      <c r="G600" s="1"/>
      <c r="H600" s="1"/>
      <c r="I600" s="1"/>
      <c r="J600" s="1"/>
      <c r="K600" s="17"/>
      <c r="L600" s="1"/>
      <c r="M600" s="1"/>
      <c r="N600" s="2"/>
      <c r="O600" s="2"/>
      <c r="P600" s="1"/>
      <c r="Q600" s="1"/>
      <c r="R600" s="1"/>
      <c r="S600" s="1"/>
      <c r="T600" s="40"/>
      <c r="U600" s="40"/>
      <c r="V600" s="40"/>
      <c r="W600" s="40"/>
      <c r="X600" s="22"/>
      <c r="Y600" s="22"/>
      <c r="Z600" s="22"/>
      <c r="AA600" s="22"/>
      <c r="AB600" s="22"/>
      <c r="AC600" s="22"/>
      <c r="AD600" s="22"/>
      <c r="AE600" s="22"/>
      <c r="AF600" s="22"/>
      <c r="AG600" s="22"/>
      <c r="AH600" s="22"/>
      <c r="AI600" s="22"/>
      <c r="AJ600" s="40"/>
      <c r="AK600" s="22"/>
      <c r="AL600" s="22"/>
      <c r="AM600" s="22"/>
      <c r="AN600" s="22"/>
      <c r="AO600" s="40"/>
      <c r="AP600" s="40"/>
      <c r="AQ600" s="40"/>
      <c r="AR600" s="1"/>
      <c r="AS600" s="1"/>
      <c r="AT600" s="17"/>
      <c r="AU600" s="1"/>
      <c r="AV600" s="1"/>
      <c r="AW600" s="1"/>
      <c r="AX600" s="2"/>
      <c r="AY600" s="2"/>
      <c r="AZ600" s="1"/>
    </row>
    <row x14ac:dyDescent="0.25" r="601" customHeight="1" ht="24.75">
      <c r="A601" s="1"/>
      <c r="B601" s="1"/>
      <c r="C601" s="1"/>
      <c r="D601" s="1"/>
      <c r="E601" s="1"/>
      <c r="F601" s="1"/>
      <c r="G601" s="1"/>
      <c r="H601" s="1"/>
      <c r="I601" s="1"/>
      <c r="J601" s="1"/>
      <c r="K601" s="17"/>
      <c r="L601" s="1"/>
      <c r="M601" s="1"/>
      <c r="N601" s="2"/>
      <c r="O601" s="2"/>
      <c r="P601" s="1"/>
      <c r="Q601" s="1"/>
      <c r="R601" s="1"/>
      <c r="S601" s="1"/>
      <c r="T601" s="40"/>
      <c r="U601" s="40"/>
      <c r="V601" s="40"/>
      <c r="W601" s="40"/>
      <c r="X601" s="22"/>
      <c r="Y601" s="22"/>
      <c r="Z601" s="22"/>
      <c r="AA601" s="22"/>
      <c r="AB601" s="22"/>
      <c r="AC601" s="22"/>
      <c r="AD601" s="22"/>
      <c r="AE601" s="22"/>
      <c r="AF601" s="22"/>
      <c r="AG601" s="22"/>
      <c r="AH601" s="22"/>
      <c r="AI601" s="22"/>
      <c r="AJ601" s="40"/>
      <c r="AK601" s="22"/>
      <c r="AL601" s="22"/>
      <c r="AM601" s="22"/>
      <c r="AN601" s="22"/>
      <c r="AO601" s="40"/>
      <c r="AP601" s="40"/>
      <c r="AQ601" s="40"/>
      <c r="AR601" s="1"/>
      <c r="AS601" s="1"/>
      <c r="AT601" s="17"/>
      <c r="AU601" s="1"/>
      <c r="AV601" s="1"/>
      <c r="AW601" s="1"/>
      <c r="AX601" s="2"/>
      <c r="AY601" s="2"/>
      <c r="AZ601" s="1"/>
    </row>
    <row x14ac:dyDescent="0.25" r="602" customHeight="1" ht="24.75">
      <c r="A602" s="1"/>
      <c r="B602" s="1"/>
      <c r="C602" s="1"/>
      <c r="D602" s="1"/>
      <c r="E602" s="1"/>
      <c r="F602" s="1"/>
      <c r="G602" s="1"/>
      <c r="H602" s="1"/>
      <c r="I602" s="1"/>
      <c r="J602" s="1"/>
      <c r="K602" s="17"/>
      <c r="L602" s="1"/>
      <c r="M602" s="1"/>
      <c r="N602" s="2"/>
      <c r="O602" s="2"/>
      <c r="P602" s="1"/>
      <c r="Q602" s="1"/>
      <c r="R602" s="1"/>
      <c r="S602" s="1"/>
      <c r="T602" s="40"/>
      <c r="U602" s="40"/>
      <c r="V602" s="40"/>
      <c r="W602" s="40"/>
      <c r="X602" s="22"/>
      <c r="Y602" s="22"/>
      <c r="Z602" s="22"/>
      <c r="AA602" s="22"/>
      <c r="AB602" s="22"/>
      <c r="AC602" s="22"/>
      <c r="AD602" s="22"/>
      <c r="AE602" s="22"/>
      <c r="AF602" s="22"/>
      <c r="AG602" s="22"/>
      <c r="AH602" s="22"/>
      <c r="AI602" s="22"/>
      <c r="AJ602" s="40"/>
      <c r="AK602" s="22"/>
      <c r="AL602" s="22"/>
      <c r="AM602" s="22"/>
      <c r="AN602" s="22"/>
      <c r="AO602" s="40"/>
      <c r="AP602" s="40"/>
      <c r="AQ602" s="40"/>
      <c r="AR602" s="1"/>
      <c r="AS602" s="1"/>
      <c r="AT602" s="17"/>
      <c r="AU602" s="1"/>
      <c r="AV602" s="1"/>
      <c r="AW602" s="1"/>
      <c r="AX602" s="2"/>
      <c r="AY602" s="2"/>
      <c r="AZ602" s="1"/>
    </row>
    <row x14ac:dyDescent="0.25" r="603" customHeight="1" ht="24.75">
      <c r="A603" s="1"/>
      <c r="B603" s="1"/>
      <c r="C603" s="1"/>
      <c r="D603" s="1"/>
      <c r="E603" s="1"/>
      <c r="F603" s="1"/>
      <c r="G603" s="1"/>
      <c r="H603" s="1"/>
      <c r="I603" s="1"/>
      <c r="J603" s="1"/>
      <c r="K603" s="17"/>
      <c r="L603" s="1"/>
      <c r="M603" s="1"/>
      <c r="N603" s="2"/>
      <c r="O603" s="2"/>
      <c r="P603" s="1"/>
      <c r="Q603" s="1"/>
      <c r="R603" s="1"/>
      <c r="S603" s="1"/>
      <c r="T603" s="40"/>
      <c r="U603" s="40"/>
      <c r="V603" s="40"/>
      <c r="W603" s="40"/>
      <c r="X603" s="22"/>
      <c r="Y603" s="22"/>
      <c r="Z603" s="22"/>
      <c r="AA603" s="22"/>
      <c r="AB603" s="22"/>
      <c r="AC603" s="22"/>
      <c r="AD603" s="22"/>
      <c r="AE603" s="22"/>
      <c r="AF603" s="22"/>
      <c r="AG603" s="22"/>
      <c r="AH603" s="22"/>
      <c r="AI603" s="22"/>
      <c r="AJ603" s="40"/>
      <c r="AK603" s="22"/>
      <c r="AL603" s="22"/>
      <c r="AM603" s="22"/>
      <c r="AN603" s="22"/>
      <c r="AO603" s="40"/>
      <c r="AP603" s="40"/>
      <c r="AQ603" s="40"/>
      <c r="AR603" s="1"/>
      <c r="AS603" s="1"/>
      <c r="AT603" s="17"/>
      <c r="AU603" s="1"/>
      <c r="AV603" s="1"/>
      <c r="AW603" s="1"/>
      <c r="AX603" s="2"/>
      <c r="AY603" s="2"/>
      <c r="AZ603" s="1"/>
    </row>
    <row x14ac:dyDescent="0.25" r="604" customHeight="1" ht="24.75">
      <c r="A604" s="1"/>
      <c r="B604" s="1"/>
      <c r="C604" s="1"/>
      <c r="D604" s="1"/>
      <c r="E604" s="1"/>
      <c r="F604" s="1"/>
      <c r="G604" s="1"/>
      <c r="H604" s="1"/>
      <c r="I604" s="1"/>
      <c r="J604" s="1"/>
      <c r="K604" s="17"/>
      <c r="L604" s="1"/>
      <c r="M604" s="1"/>
      <c r="N604" s="2"/>
      <c r="O604" s="2"/>
      <c r="P604" s="1"/>
      <c r="Q604" s="1"/>
      <c r="R604" s="1"/>
      <c r="S604" s="1"/>
      <c r="T604" s="40"/>
      <c r="U604" s="40"/>
      <c r="V604" s="40"/>
      <c r="W604" s="40"/>
      <c r="X604" s="22"/>
      <c r="Y604" s="22"/>
      <c r="Z604" s="22"/>
      <c r="AA604" s="22"/>
      <c r="AB604" s="22"/>
      <c r="AC604" s="22"/>
      <c r="AD604" s="22"/>
      <c r="AE604" s="22"/>
      <c r="AF604" s="22"/>
      <c r="AG604" s="22"/>
      <c r="AH604" s="22"/>
      <c r="AI604" s="22"/>
      <c r="AJ604" s="40"/>
      <c r="AK604" s="22"/>
      <c r="AL604" s="22"/>
      <c r="AM604" s="22"/>
      <c r="AN604" s="22"/>
      <c r="AO604" s="40"/>
      <c r="AP604" s="40"/>
      <c r="AQ604" s="40"/>
      <c r="AR604" s="1"/>
      <c r="AS604" s="1"/>
      <c r="AT604" s="17"/>
      <c r="AU604" s="1"/>
      <c r="AV604" s="1"/>
      <c r="AW604" s="1"/>
      <c r="AX604" s="2"/>
      <c r="AY604" s="2"/>
      <c r="AZ604" s="1"/>
    </row>
    <row x14ac:dyDescent="0.25" r="605" customHeight="1" ht="24.75">
      <c r="A605" s="1"/>
      <c r="B605" s="1"/>
      <c r="C605" s="1"/>
      <c r="D605" s="1"/>
      <c r="E605" s="1"/>
      <c r="F605" s="1"/>
      <c r="G605" s="1"/>
      <c r="H605" s="1"/>
      <c r="I605" s="1"/>
      <c r="J605" s="1"/>
      <c r="K605" s="17"/>
      <c r="L605" s="1"/>
      <c r="M605" s="1"/>
      <c r="N605" s="2"/>
      <c r="O605" s="2"/>
      <c r="P605" s="1"/>
      <c r="Q605" s="1"/>
      <c r="R605" s="1"/>
      <c r="S605" s="1"/>
      <c r="T605" s="40"/>
      <c r="U605" s="40"/>
      <c r="V605" s="40"/>
      <c r="W605" s="40"/>
      <c r="X605" s="22"/>
      <c r="Y605" s="22"/>
      <c r="Z605" s="22"/>
      <c r="AA605" s="22"/>
      <c r="AB605" s="22"/>
      <c r="AC605" s="22"/>
      <c r="AD605" s="22"/>
      <c r="AE605" s="22"/>
      <c r="AF605" s="22"/>
      <c r="AG605" s="22"/>
      <c r="AH605" s="22"/>
      <c r="AI605" s="22"/>
      <c r="AJ605" s="40"/>
      <c r="AK605" s="22"/>
      <c r="AL605" s="22"/>
      <c r="AM605" s="22"/>
      <c r="AN605" s="22"/>
      <c r="AO605" s="40"/>
      <c r="AP605" s="40"/>
      <c r="AQ605" s="40"/>
      <c r="AR605" s="1"/>
      <c r="AS605" s="1"/>
      <c r="AT605" s="17"/>
      <c r="AU605" s="1"/>
      <c r="AV605" s="1"/>
      <c r="AW605" s="1"/>
      <c r="AX605" s="2"/>
      <c r="AY605" s="2"/>
      <c r="AZ605" s="1"/>
    </row>
    <row x14ac:dyDescent="0.25" r="606" customHeight="1" ht="24.75">
      <c r="A606" s="1"/>
      <c r="B606" s="1"/>
      <c r="C606" s="1"/>
      <c r="D606" s="1"/>
      <c r="E606" s="1"/>
      <c r="F606" s="1"/>
      <c r="G606" s="1"/>
      <c r="H606" s="1"/>
      <c r="I606" s="1"/>
      <c r="J606" s="1"/>
      <c r="K606" s="17"/>
      <c r="L606" s="1"/>
      <c r="M606" s="1"/>
      <c r="N606" s="2"/>
      <c r="O606" s="2"/>
      <c r="P606" s="1"/>
      <c r="Q606" s="1"/>
      <c r="R606" s="1"/>
      <c r="S606" s="1"/>
      <c r="T606" s="40"/>
      <c r="U606" s="40"/>
      <c r="V606" s="40"/>
      <c r="W606" s="40"/>
      <c r="X606" s="22"/>
      <c r="Y606" s="22"/>
      <c r="Z606" s="22"/>
      <c r="AA606" s="22"/>
      <c r="AB606" s="22"/>
      <c r="AC606" s="22"/>
      <c r="AD606" s="22"/>
      <c r="AE606" s="22"/>
      <c r="AF606" s="22"/>
      <c r="AG606" s="22"/>
      <c r="AH606" s="22"/>
      <c r="AI606" s="22"/>
      <c r="AJ606" s="40"/>
      <c r="AK606" s="22"/>
      <c r="AL606" s="22"/>
      <c r="AM606" s="22"/>
      <c r="AN606" s="22"/>
      <c r="AO606" s="40"/>
      <c r="AP606" s="40"/>
      <c r="AQ606" s="40"/>
      <c r="AR606" s="1"/>
      <c r="AS606" s="1"/>
      <c r="AT606" s="17"/>
      <c r="AU606" s="1"/>
      <c r="AV606" s="1"/>
      <c r="AW606" s="1"/>
      <c r="AX606" s="2"/>
      <c r="AY606" s="2"/>
      <c r="AZ606" s="1"/>
    </row>
    <row x14ac:dyDescent="0.25" r="607" customHeight="1" ht="24.75">
      <c r="A607" s="1"/>
      <c r="B607" s="1"/>
      <c r="C607" s="1"/>
      <c r="D607" s="1"/>
      <c r="E607" s="1"/>
      <c r="F607" s="1"/>
      <c r="G607" s="1"/>
      <c r="H607" s="1"/>
      <c r="I607" s="1"/>
      <c r="J607" s="1"/>
      <c r="K607" s="17"/>
      <c r="L607" s="1"/>
      <c r="M607" s="1"/>
      <c r="N607" s="2"/>
      <c r="O607" s="2"/>
      <c r="P607" s="1"/>
      <c r="Q607" s="1"/>
      <c r="R607" s="1"/>
      <c r="S607" s="1"/>
      <c r="T607" s="40"/>
      <c r="U607" s="40"/>
      <c r="V607" s="40"/>
      <c r="W607" s="40"/>
      <c r="X607" s="22"/>
      <c r="Y607" s="22"/>
      <c r="Z607" s="22"/>
      <c r="AA607" s="22"/>
      <c r="AB607" s="22"/>
      <c r="AC607" s="22"/>
      <c r="AD607" s="22"/>
      <c r="AE607" s="22"/>
      <c r="AF607" s="22"/>
      <c r="AG607" s="22"/>
      <c r="AH607" s="22"/>
      <c r="AI607" s="22"/>
      <c r="AJ607" s="40"/>
      <c r="AK607" s="22"/>
      <c r="AL607" s="22"/>
      <c r="AM607" s="22"/>
      <c r="AN607" s="22"/>
      <c r="AO607" s="40"/>
      <c r="AP607" s="40"/>
      <c r="AQ607" s="40"/>
      <c r="AR607" s="1"/>
      <c r="AS607" s="1"/>
      <c r="AT607" s="17"/>
      <c r="AU607" s="1"/>
      <c r="AV607" s="1"/>
      <c r="AW607" s="1"/>
      <c r="AX607" s="2"/>
      <c r="AY607" s="2"/>
      <c r="AZ607" s="1"/>
    </row>
    <row x14ac:dyDescent="0.25" r="608" customHeight="1" ht="24.75">
      <c r="A608" s="1"/>
      <c r="B608" s="1"/>
      <c r="C608" s="1"/>
      <c r="D608" s="1"/>
      <c r="E608" s="1"/>
      <c r="F608" s="1"/>
      <c r="G608" s="1"/>
      <c r="H608" s="1"/>
      <c r="I608" s="1"/>
      <c r="J608" s="1"/>
      <c r="K608" s="17"/>
      <c r="L608" s="1"/>
      <c r="M608" s="1"/>
      <c r="N608" s="2"/>
      <c r="O608" s="2"/>
      <c r="P608" s="1"/>
      <c r="Q608" s="1"/>
      <c r="R608" s="1"/>
      <c r="S608" s="1"/>
      <c r="T608" s="40"/>
      <c r="U608" s="40"/>
      <c r="V608" s="40"/>
      <c r="W608" s="40"/>
      <c r="X608" s="22"/>
      <c r="Y608" s="22"/>
      <c r="Z608" s="22"/>
      <c r="AA608" s="22"/>
      <c r="AB608" s="22"/>
      <c r="AC608" s="22"/>
      <c r="AD608" s="22"/>
      <c r="AE608" s="22"/>
      <c r="AF608" s="22"/>
      <c r="AG608" s="22"/>
      <c r="AH608" s="22"/>
      <c r="AI608" s="22"/>
      <c r="AJ608" s="40"/>
      <c r="AK608" s="22"/>
      <c r="AL608" s="22"/>
      <c r="AM608" s="22"/>
      <c r="AN608" s="22"/>
      <c r="AO608" s="40"/>
      <c r="AP608" s="40"/>
      <c r="AQ608" s="40"/>
      <c r="AR608" s="1"/>
      <c r="AS608" s="1"/>
      <c r="AT608" s="17"/>
      <c r="AU608" s="1"/>
      <c r="AV608" s="1"/>
      <c r="AW608" s="1"/>
      <c r="AX608" s="2"/>
      <c r="AY608" s="2"/>
      <c r="AZ608" s="1"/>
    </row>
    <row x14ac:dyDescent="0.25" r="609" customHeight="1" ht="24.75">
      <c r="A609" s="1"/>
      <c r="B609" s="1"/>
      <c r="C609" s="1"/>
      <c r="D609" s="1"/>
      <c r="E609" s="1"/>
      <c r="F609" s="1"/>
      <c r="G609" s="1"/>
      <c r="H609" s="1"/>
      <c r="I609" s="1"/>
      <c r="J609" s="1"/>
      <c r="K609" s="17"/>
      <c r="L609" s="1"/>
      <c r="M609" s="1"/>
      <c r="N609" s="2"/>
      <c r="O609" s="2"/>
      <c r="P609" s="1"/>
      <c r="Q609" s="1"/>
      <c r="R609" s="1"/>
      <c r="S609" s="1"/>
      <c r="T609" s="40"/>
      <c r="U609" s="40"/>
      <c r="V609" s="40"/>
      <c r="W609" s="40"/>
      <c r="X609" s="22"/>
      <c r="Y609" s="22"/>
      <c r="Z609" s="22"/>
      <c r="AA609" s="22"/>
      <c r="AB609" s="22"/>
      <c r="AC609" s="22"/>
      <c r="AD609" s="22"/>
      <c r="AE609" s="22"/>
      <c r="AF609" s="22"/>
      <c r="AG609" s="22"/>
      <c r="AH609" s="22"/>
      <c r="AI609" s="22"/>
      <c r="AJ609" s="40"/>
      <c r="AK609" s="22"/>
      <c r="AL609" s="22"/>
      <c r="AM609" s="22"/>
      <c r="AN609" s="22"/>
      <c r="AO609" s="40"/>
      <c r="AP609" s="40"/>
      <c r="AQ609" s="40"/>
      <c r="AR609" s="1"/>
      <c r="AS609" s="1"/>
      <c r="AT609" s="17"/>
      <c r="AU609" s="1"/>
      <c r="AV609" s="1"/>
      <c r="AW609" s="1"/>
      <c r="AX609" s="2"/>
      <c r="AY609" s="2"/>
      <c r="AZ609" s="1"/>
    </row>
    <row x14ac:dyDescent="0.25" r="610" customHeight="1" ht="24.75">
      <c r="A610" s="1"/>
      <c r="B610" s="1"/>
      <c r="C610" s="1"/>
      <c r="D610" s="1"/>
      <c r="E610" s="1"/>
      <c r="F610" s="1"/>
      <c r="G610" s="1"/>
      <c r="H610" s="1"/>
      <c r="I610" s="1"/>
      <c r="J610" s="1"/>
      <c r="K610" s="17"/>
      <c r="L610" s="1"/>
      <c r="M610" s="1"/>
      <c r="N610" s="2"/>
      <c r="O610" s="2"/>
      <c r="P610" s="1"/>
      <c r="Q610" s="1"/>
      <c r="R610" s="1"/>
      <c r="S610" s="1"/>
      <c r="T610" s="40"/>
      <c r="U610" s="40"/>
      <c r="V610" s="40"/>
      <c r="W610" s="40"/>
      <c r="X610" s="22"/>
      <c r="Y610" s="22"/>
      <c r="Z610" s="22"/>
      <c r="AA610" s="22"/>
      <c r="AB610" s="22"/>
      <c r="AC610" s="22"/>
      <c r="AD610" s="22"/>
      <c r="AE610" s="22"/>
      <c r="AF610" s="22"/>
      <c r="AG610" s="22"/>
      <c r="AH610" s="22"/>
      <c r="AI610" s="22"/>
      <c r="AJ610" s="40"/>
      <c r="AK610" s="22"/>
      <c r="AL610" s="22"/>
      <c r="AM610" s="22"/>
      <c r="AN610" s="22"/>
      <c r="AO610" s="40"/>
      <c r="AP610" s="40"/>
      <c r="AQ610" s="40"/>
      <c r="AR610" s="1"/>
      <c r="AS610" s="1"/>
      <c r="AT610" s="17"/>
      <c r="AU610" s="1"/>
      <c r="AV610" s="1"/>
      <c r="AW610" s="1"/>
      <c r="AX610" s="2"/>
      <c r="AY610" s="2"/>
      <c r="AZ610" s="1"/>
    </row>
    <row x14ac:dyDescent="0.25" r="611" customHeight="1" ht="24.75">
      <c r="A611" s="1"/>
      <c r="B611" s="1"/>
      <c r="C611" s="1"/>
      <c r="D611" s="1"/>
      <c r="E611" s="1"/>
      <c r="F611" s="1"/>
      <c r="G611" s="1"/>
      <c r="H611" s="1"/>
      <c r="I611" s="1"/>
      <c r="J611" s="1"/>
      <c r="K611" s="17"/>
      <c r="L611" s="1"/>
      <c r="M611" s="1"/>
      <c r="N611" s="2"/>
      <c r="O611" s="2"/>
      <c r="P611" s="1"/>
      <c r="Q611" s="1"/>
      <c r="R611" s="1"/>
      <c r="S611" s="1"/>
      <c r="T611" s="40"/>
      <c r="U611" s="40"/>
      <c r="V611" s="40"/>
      <c r="W611" s="40"/>
      <c r="X611" s="22"/>
      <c r="Y611" s="22"/>
      <c r="Z611" s="22"/>
      <c r="AA611" s="22"/>
      <c r="AB611" s="22"/>
      <c r="AC611" s="22"/>
      <c r="AD611" s="22"/>
      <c r="AE611" s="22"/>
      <c r="AF611" s="22"/>
      <c r="AG611" s="22"/>
      <c r="AH611" s="22"/>
      <c r="AI611" s="22"/>
      <c r="AJ611" s="40"/>
      <c r="AK611" s="22"/>
      <c r="AL611" s="22"/>
      <c r="AM611" s="22"/>
      <c r="AN611" s="22"/>
      <c r="AO611" s="40"/>
      <c r="AP611" s="40"/>
      <c r="AQ611" s="40"/>
      <c r="AR611" s="1"/>
      <c r="AS611" s="1"/>
      <c r="AT611" s="17"/>
      <c r="AU611" s="1"/>
      <c r="AV611" s="1"/>
      <c r="AW611" s="1"/>
      <c r="AX611" s="2"/>
      <c r="AY611" s="2"/>
      <c r="AZ611" s="1"/>
    </row>
    <row x14ac:dyDescent="0.25" r="612" customHeight="1" ht="24.75">
      <c r="A612" s="1"/>
      <c r="B612" s="1"/>
      <c r="C612" s="1"/>
      <c r="D612" s="1"/>
      <c r="E612" s="1"/>
      <c r="F612" s="1"/>
      <c r="G612" s="1"/>
      <c r="H612" s="1"/>
      <c r="I612" s="1"/>
      <c r="J612" s="1"/>
      <c r="K612" s="17"/>
      <c r="L612" s="1"/>
      <c r="M612" s="1"/>
      <c r="N612" s="2"/>
      <c r="O612" s="2"/>
      <c r="P612" s="1"/>
      <c r="Q612" s="1"/>
      <c r="R612" s="1"/>
      <c r="S612" s="1"/>
      <c r="T612" s="40"/>
      <c r="U612" s="40"/>
      <c r="V612" s="40"/>
      <c r="W612" s="40"/>
      <c r="X612" s="22"/>
      <c r="Y612" s="22"/>
      <c r="Z612" s="22"/>
      <c r="AA612" s="22"/>
      <c r="AB612" s="22"/>
      <c r="AC612" s="22"/>
      <c r="AD612" s="22"/>
      <c r="AE612" s="22"/>
      <c r="AF612" s="22"/>
      <c r="AG612" s="22"/>
      <c r="AH612" s="22"/>
      <c r="AI612" s="22"/>
      <c r="AJ612" s="40"/>
      <c r="AK612" s="22"/>
      <c r="AL612" s="22"/>
      <c r="AM612" s="22"/>
      <c r="AN612" s="22"/>
      <c r="AO612" s="40"/>
      <c r="AP612" s="40"/>
      <c r="AQ612" s="40"/>
      <c r="AR612" s="1"/>
      <c r="AS612" s="1"/>
      <c r="AT612" s="17"/>
      <c r="AU612" s="1"/>
      <c r="AV612" s="1"/>
      <c r="AW612" s="1"/>
      <c r="AX612" s="2"/>
      <c r="AY612" s="2"/>
      <c r="AZ612" s="1"/>
    </row>
    <row x14ac:dyDescent="0.25" r="613" customHeight="1" ht="24.75">
      <c r="A613" s="1"/>
      <c r="B613" s="1"/>
      <c r="C613" s="1"/>
      <c r="D613" s="1"/>
      <c r="E613" s="1"/>
      <c r="F613" s="1"/>
      <c r="G613" s="1"/>
      <c r="H613" s="1"/>
      <c r="I613" s="1"/>
      <c r="J613" s="1"/>
      <c r="K613" s="17"/>
      <c r="L613" s="1"/>
      <c r="M613" s="1"/>
      <c r="N613" s="2"/>
      <c r="O613" s="2"/>
      <c r="P613" s="1"/>
      <c r="Q613" s="1"/>
      <c r="R613" s="1"/>
      <c r="S613" s="1"/>
      <c r="T613" s="40"/>
      <c r="U613" s="40"/>
      <c r="V613" s="40"/>
      <c r="W613" s="40"/>
      <c r="X613" s="22"/>
      <c r="Y613" s="22"/>
      <c r="Z613" s="22"/>
      <c r="AA613" s="22"/>
      <c r="AB613" s="22"/>
      <c r="AC613" s="22"/>
      <c r="AD613" s="22"/>
      <c r="AE613" s="22"/>
      <c r="AF613" s="22"/>
      <c r="AG613" s="22"/>
      <c r="AH613" s="22"/>
      <c r="AI613" s="22"/>
      <c r="AJ613" s="40"/>
      <c r="AK613" s="22"/>
      <c r="AL613" s="22"/>
      <c r="AM613" s="22"/>
      <c r="AN613" s="22"/>
      <c r="AO613" s="40"/>
      <c r="AP613" s="40"/>
      <c r="AQ613" s="40"/>
      <c r="AR613" s="1"/>
      <c r="AS613" s="1"/>
      <c r="AT613" s="17"/>
      <c r="AU613" s="1"/>
      <c r="AV613" s="1"/>
      <c r="AW613" s="1"/>
      <c r="AX613" s="2"/>
      <c r="AY613" s="2"/>
      <c r="AZ613" s="1"/>
    </row>
    <row x14ac:dyDescent="0.25" r="614" customHeight="1" ht="24.75">
      <c r="A614" s="1"/>
      <c r="B614" s="1"/>
      <c r="C614" s="1"/>
      <c r="D614" s="1"/>
      <c r="E614" s="1"/>
      <c r="F614" s="1"/>
      <c r="G614" s="1"/>
      <c r="H614" s="1"/>
      <c r="I614" s="1"/>
      <c r="J614" s="1"/>
      <c r="K614" s="17"/>
      <c r="L614" s="1"/>
      <c r="M614" s="1"/>
      <c r="N614" s="2"/>
      <c r="O614" s="2"/>
      <c r="P614" s="1"/>
      <c r="Q614" s="1"/>
      <c r="R614" s="1"/>
      <c r="S614" s="1"/>
      <c r="T614" s="40"/>
      <c r="U614" s="40"/>
      <c r="V614" s="40"/>
      <c r="W614" s="40"/>
      <c r="X614" s="22"/>
      <c r="Y614" s="22"/>
      <c r="Z614" s="22"/>
      <c r="AA614" s="22"/>
      <c r="AB614" s="22"/>
      <c r="AC614" s="22"/>
      <c r="AD614" s="22"/>
      <c r="AE614" s="22"/>
      <c r="AF614" s="22"/>
      <c r="AG614" s="22"/>
      <c r="AH614" s="22"/>
      <c r="AI614" s="22"/>
      <c r="AJ614" s="40"/>
      <c r="AK614" s="22"/>
      <c r="AL614" s="22"/>
      <c r="AM614" s="22"/>
      <c r="AN614" s="22"/>
      <c r="AO614" s="40"/>
      <c r="AP614" s="40"/>
      <c r="AQ614" s="40"/>
      <c r="AR614" s="1"/>
      <c r="AS614" s="1"/>
      <c r="AT614" s="17"/>
      <c r="AU614" s="1"/>
      <c r="AV614" s="1"/>
      <c r="AW614" s="1"/>
      <c r="AX614" s="2"/>
      <c r="AY614" s="2"/>
      <c r="AZ614" s="1"/>
    </row>
    <row x14ac:dyDescent="0.25" r="615" customHeight="1" ht="24.75">
      <c r="A615" s="1"/>
      <c r="B615" s="1"/>
      <c r="C615" s="1"/>
      <c r="D615" s="1"/>
      <c r="E615" s="1"/>
      <c r="F615" s="1"/>
      <c r="G615" s="1"/>
      <c r="H615" s="1"/>
      <c r="I615" s="1"/>
      <c r="J615" s="1"/>
      <c r="K615" s="17"/>
      <c r="L615" s="1"/>
      <c r="M615" s="1"/>
      <c r="N615" s="2"/>
      <c r="O615" s="2"/>
      <c r="P615" s="1"/>
      <c r="Q615" s="1"/>
      <c r="R615" s="1"/>
      <c r="S615" s="1"/>
      <c r="T615" s="40"/>
      <c r="U615" s="40"/>
      <c r="V615" s="40"/>
      <c r="W615" s="40"/>
      <c r="X615" s="22"/>
      <c r="Y615" s="22"/>
      <c r="Z615" s="22"/>
      <c r="AA615" s="22"/>
      <c r="AB615" s="22"/>
      <c r="AC615" s="22"/>
      <c r="AD615" s="22"/>
      <c r="AE615" s="22"/>
      <c r="AF615" s="22"/>
      <c r="AG615" s="22"/>
      <c r="AH615" s="22"/>
      <c r="AI615" s="22"/>
      <c r="AJ615" s="40"/>
      <c r="AK615" s="22"/>
      <c r="AL615" s="22"/>
      <c r="AM615" s="22"/>
      <c r="AN615" s="22"/>
      <c r="AO615" s="40"/>
      <c r="AP615" s="40"/>
      <c r="AQ615" s="40"/>
      <c r="AR615" s="1"/>
      <c r="AS615" s="1"/>
      <c r="AT615" s="17"/>
      <c r="AU615" s="1"/>
      <c r="AV615" s="1"/>
      <c r="AW615" s="1"/>
      <c r="AX615" s="2"/>
      <c r="AY615" s="2"/>
      <c r="AZ615" s="1"/>
    </row>
    <row x14ac:dyDescent="0.25" r="616" customHeight="1" ht="24.75">
      <c r="A616" s="1"/>
      <c r="B616" s="1"/>
      <c r="C616" s="1"/>
      <c r="D616" s="1"/>
      <c r="E616" s="1"/>
      <c r="F616" s="1"/>
      <c r="G616" s="1"/>
      <c r="H616" s="1"/>
      <c r="I616" s="1"/>
      <c r="J616" s="1"/>
      <c r="K616" s="17"/>
      <c r="L616" s="1"/>
      <c r="M616" s="1"/>
      <c r="N616" s="2"/>
      <c r="O616" s="2"/>
      <c r="P616" s="1"/>
      <c r="Q616" s="1"/>
      <c r="R616" s="1"/>
      <c r="S616" s="1"/>
      <c r="T616" s="40"/>
      <c r="U616" s="40"/>
      <c r="V616" s="40"/>
      <c r="W616" s="40"/>
      <c r="X616" s="22"/>
      <c r="Y616" s="22"/>
      <c r="Z616" s="22"/>
      <c r="AA616" s="22"/>
      <c r="AB616" s="22"/>
      <c r="AC616" s="22"/>
      <c r="AD616" s="22"/>
      <c r="AE616" s="22"/>
      <c r="AF616" s="22"/>
      <c r="AG616" s="22"/>
      <c r="AH616" s="22"/>
      <c r="AI616" s="22"/>
      <c r="AJ616" s="40"/>
      <c r="AK616" s="22"/>
      <c r="AL616" s="22"/>
      <c r="AM616" s="22"/>
      <c r="AN616" s="22"/>
      <c r="AO616" s="40"/>
      <c r="AP616" s="40"/>
      <c r="AQ616" s="40"/>
      <c r="AR616" s="1"/>
      <c r="AS616" s="1"/>
      <c r="AT616" s="17"/>
      <c r="AU616" s="1"/>
      <c r="AV616" s="1"/>
      <c r="AW616" s="1"/>
      <c r="AX616" s="2"/>
      <c r="AY616" s="2"/>
      <c r="AZ616" s="1"/>
    </row>
    <row x14ac:dyDescent="0.25" r="617" customHeight="1" ht="24.75">
      <c r="A617" s="1"/>
      <c r="B617" s="1"/>
      <c r="C617" s="1"/>
      <c r="D617" s="1"/>
      <c r="E617" s="1"/>
      <c r="F617" s="1"/>
      <c r="G617" s="1"/>
      <c r="H617" s="1"/>
      <c r="I617" s="1"/>
      <c r="J617" s="1"/>
      <c r="K617" s="17"/>
      <c r="L617" s="1"/>
      <c r="M617" s="1"/>
      <c r="N617" s="2"/>
      <c r="O617" s="2"/>
      <c r="P617" s="1"/>
      <c r="Q617" s="1"/>
      <c r="R617" s="1"/>
      <c r="S617" s="1"/>
      <c r="T617" s="40"/>
      <c r="U617" s="40"/>
      <c r="V617" s="40"/>
      <c r="W617" s="40"/>
      <c r="X617" s="22"/>
      <c r="Y617" s="22"/>
      <c r="Z617" s="22"/>
      <c r="AA617" s="22"/>
      <c r="AB617" s="22"/>
      <c r="AC617" s="22"/>
      <c r="AD617" s="22"/>
      <c r="AE617" s="22"/>
      <c r="AF617" s="22"/>
      <c r="AG617" s="22"/>
      <c r="AH617" s="22"/>
      <c r="AI617" s="22"/>
      <c r="AJ617" s="40"/>
      <c r="AK617" s="22"/>
      <c r="AL617" s="22"/>
      <c r="AM617" s="22"/>
      <c r="AN617" s="22"/>
      <c r="AO617" s="40"/>
      <c r="AP617" s="40"/>
      <c r="AQ617" s="40"/>
      <c r="AR617" s="1"/>
      <c r="AS617" s="1"/>
      <c r="AT617" s="17"/>
      <c r="AU617" s="1"/>
      <c r="AV617" s="1"/>
      <c r="AW617" s="1"/>
      <c r="AX617" s="2"/>
      <c r="AY617" s="2"/>
      <c r="AZ617" s="1"/>
    </row>
    <row x14ac:dyDescent="0.25" r="618" customHeight="1" ht="24.75">
      <c r="A618" s="1"/>
      <c r="B618" s="1"/>
      <c r="C618" s="1"/>
      <c r="D618" s="1"/>
      <c r="E618" s="1"/>
      <c r="F618" s="1"/>
      <c r="G618" s="1"/>
      <c r="H618" s="1"/>
      <c r="I618" s="1"/>
      <c r="J618" s="1"/>
      <c r="K618" s="17"/>
      <c r="L618" s="1"/>
      <c r="M618" s="1"/>
      <c r="N618" s="2"/>
      <c r="O618" s="2"/>
      <c r="P618" s="1"/>
      <c r="Q618" s="1"/>
      <c r="R618" s="1"/>
      <c r="S618" s="1"/>
      <c r="T618" s="40"/>
      <c r="U618" s="40"/>
      <c r="V618" s="40"/>
      <c r="W618" s="40"/>
      <c r="X618" s="22"/>
      <c r="Y618" s="22"/>
      <c r="Z618" s="22"/>
      <c r="AA618" s="22"/>
      <c r="AB618" s="22"/>
      <c r="AC618" s="22"/>
      <c r="AD618" s="22"/>
      <c r="AE618" s="22"/>
      <c r="AF618" s="22"/>
      <c r="AG618" s="22"/>
      <c r="AH618" s="22"/>
      <c r="AI618" s="22"/>
      <c r="AJ618" s="40"/>
      <c r="AK618" s="22"/>
      <c r="AL618" s="22"/>
      <c r="AM618" s="22"/>
      <c r="AN618" s="22"/>
      <c r="AO618" s="40"/>
      <c r="AP618" s="40"/>
      <c r="AQ618" s="40"/>
      <c r="AR618" s="1"/>
      <c r="AS618" s="1"/>
      <c r="AT618" s="17"/>
      <c r="AU618" s="1"/>
      <c r="AV618" s="1"/>
      <c r="AW618" s="1"/>
      <c r="AX618" s="2"/>
      <c r="AY618" s="2"/>
      <c r="AZ618" s="1"/>
    </row>
    <row x14ac:dyDescent="0.25" r="619" customHeight="1" ht="24.75">
      <c r="A619" s="1"/>
      <c r="B619" s="1"/>
      <c r="C619" s="1"/>
      <c r="D619" s="1"/>
      <c r="E619" s="1"/>
      <c r="F619" s="1"/>
      <c r="G619" s="1"/>
      <c r="H619" s="1"/>
      <c r="I619" s="1"/>
      <c r="J619" s="1"/>
      <c r="K619" s="17"/>
      <c r="L619" s="1"/>
      <c r="M619" s="1"/>
      <c r="N619" s="2"/>
      <c r="O619" s="2"/>
      <c r="P619" s="1"/>
      <c r="Q619" s="1"/>
      <c r="R619" s="1"/>
      <c r="S619" s="1"/>
      <c r="T619" s="40"/>
      <c r="U619" s="40"/>
      <c r="V619" s="40"/>
      <c r="W619" s="40"/>
      <c r="X619" s="22"/>
      <c r="Y619" s="22"/>
      <c r="Z619" s="22"/>
      <c r="AA619" s="22"/>
      <c r="AB619" s="22"/>
      <c r="AC619" s="22"/>
      <c r="AD619" s="22"/>
      <c r="AE619" s="22"/>
      <c r="AF619" s="22"/>
      <c r="AG619" s="22"/>
      <c r="AH619" s="22"/>
      <c r="AI619" s="22"/>
      <c r="AJ619" s="40"/>
      <c r="AK619" s="22"/>
      <c r="AL619" s="22"/>
      <c r="AM619" s="22"/>
      <c r="AN619" s="22"/>
      <c r="AO619" s="40"/>
      <c r="AP619" s="40"/>
      <c r="AQ619" s="40"/>
      <c r="AR619" s="1"/>
      <c r="AS619" s="1"/>
      <c r="AT619" s="17"/>
      <c r="AU619" s="1"/>
      <c r="AV619" s="1"/>
      <c r="AW619" s="1"/>
      <c r="AX619" s="2"/>
      <c r="AY619" s="2"/>
      <c r="AZ619" s="1"/>
    </row>
    <row x14ac:dyDescent="0.25" r="620" customHeight="1" ht="24.75">
      <c r="A620" s="1"/>
      <c r="B620" s="1"/>
      <c r="C620" s="1"/>
      <c r="D620" s="1"/>
      <c r="E620" s="1"/>
      <c r="F620" s="1"/>
      <c r="G620" s="1"/>
      <c r="H620" s="1"/>
      <c r="I620" s="1"/>
      <c r="J620" s="1"/>
      <c r="K620" s="17"/>
      <c r="L620" s="1"/>
      <c r="M620" s="1"/>
      <c r="N620" s="2"/>
      <c r="O620" s="2"/>
      <c r="P620" s="1"/>
      <c r="Q620" s="1"/>
      <c r="R620" s="1"/>
      <c r="S620" s="1"/>
      <c r="T620" s="40"/>
      <c r="U620" s="40"/>
      <c r="V620" s="40"/>
      <c r="W620" s="40"/>
      <c r="X620" s="22"/>
      <c r="Y620" s="22"/>
      <c r="Z620" s="22"/>
      <c r="AA620" s="22"/>
      <c r="AB620" s="22"/>
      <c r="AC620" s="22"/>
      <c r="AD620" s="22"/>
      <c r="AE620" s="22"/>
      <c r="AF620" s="22"/>
      <c r="AG620" s="22"/>
      <c r="AH620" s="22"/>
      <c r="AI620" s="22"/>
      <c r="AJ620" s="40"/>
      <c r="AK620" s="22"/>
      <c r="AL620" s="22"/>
      <c r="AM620" s="22"/>
      <c r="AN620" s="22"/>
      <c r="AO620" s="40"/>
      <c r="AP620" s="40"/>
      <c r="AQ620" s="40"/>
      <c r="AR620" s="1"/>
      <c r="AS620" s="1"/>
      <c r="AT620" s="17"/>
      <c r="AU620" s="1"/>
      <c r="AV620" s="1"/>
      <c r="AW620" s="1"/>
      <c r="AX620" s="2"/>
      <c r="AY620" s="2"/>
      <c r="AZ620" s="1"/>
    </row>
    <row x14ac:dyDescent="0.25" r="621" customHeight="1" ht="24.75">
      <c r="A621" s="1"/>
      <c r="B621" s="1"/>
      <c r="C621" s="1"/>
      <c r="D621" s="1"/>
      <c r="E621" s="1"/>
      <c r="F621" s="1"/>
      <c r="G621" s="1"/>
      <c r="H621" s="1"/>
      <c r="I621" s="1"/>
      <c r="J621" s="1"/>
      <c r="K621" s="17"/>
      <c r="L621" s="1"/>
      <c r="M621" s="1"/>
      <c r="N621" s="2"/>
      <c r="O621" s="2"/>
      <c r="P621" s="1"/>
      <c r="Q621" s="1"/>
      <c r="R621" s="1"/>
      <c r="S621" s="1"/>
      <c r="T621" s="40"/>
      <c r="U621" s="40"/>
      <c r="V621" s="40"/>
      <c r="W621" s="40"/>
      <c r="X621" s="22"/>
      <c r="Y621" s="22"/>
      <c r="Z621" s="22"/>
      <c r="AA621" s="22"/>
      <c r="AB621" s="22"/>
      <c r="AC621" s="22"/>
      <c r="AD621" s="22"/>
      <c r="AE621" s="22"/>
      <c r="AF621" s="22"/>
      <c r="AG621" s="22"/>
      <c r="AH621" s="22"/>
      <c r="AI621" s="22"/>
      <c r="AJ621" s="40"/>
      <c r="AK621" s="22"/>
      <c r="AL621" s="22"/>
      <c r="AM621" s="22"/>
      <c r="AN621" s="22"/>
      <c r="AO621" s="40"/>
      <c r="AP621" s="40"/>
      <c r="AQ621" s="40"/>
      <c r="AR621" s="1"/>
      <c r="AS621" s="1"/>
      <c r="AT621" s="17"/>
      <c r="AU621" s="1"/>
      <c r="AV621" s="1"/>
      <c r="AW621" s="1"/>
      <c r="AX621" s="2"/>
      <c r="AY621" s="2"/>
      <c r="AZ621" s="1"/>
    </row>
    <row x14ac:dyDescent="0.25" r="622" customHeight="1" ht="24.75">
      <c r="A622" s="1"/>
      <c r="B622" s="1"/>
      <c r="C622" s="1"/>
      <c r="D622" s="1"/>
      <c r="E622" s="1"/>
      <c r="F622" s="1"/>
      <c r="G622" s="1"/>
      <c r="H622" s="1"/>
      <c r="I622" s="1"/>
      <c r="J622" s="1"/>
      <c r="K622" s="17"/>
      <c r="L622" s="1"/>
      <c r="M622" s="1"/>
      <c r="N622" s="2"/>
      <c r="O622" s="2"/>
      <c r="P622" s="1"/>
      <c r="Q622" s="1"/>
      <c r="R622" s="1"/>
      <c r="S622" s="1"/>
      <c r="T622" s="40"/>
      <c r="U622" s="40"/>
      <c r="V622" s="40"/>
      <c r="W622" s="40"/>
      <c r="X622" s="22"/>
      <c r="Y622" s="22"/>
      <c r="Z622" s="22"/>
      <c r="AA622" s="22"/>
      <c r="AB622" s="22"/>
      <c r="AC622" s="22"/>
      <c r="AD622" s="22"/>
      <c r="AE622" s="22"/>
      <c r="AF622" s="22"/>
      <c r="AG622" s="22"/>
      <c r="AH622" s="22"/>
      <c r="AI622" s="22"/>
      <c r="AJ622" s="40"/>
      <c r="AK622" s="22"/>
      <c r="AL622" s="22"/>
      <c r="AM622" s="22"/>
      <c r="AN622" s="22"/>
      <c r="AO622" s="40"/>
      <c r="AP622" s="40"/>
      <c r="AQ622" s="40"/>
      <c r="AR622" s="1"/>
      <c r="AS622" s="1"/>
      <c r="AT622" s="17"/>
      <c r="AU622" s="1"/>
      <c r="AV622" s="1"/>
      <c r="AW622" s="1"/>
      <c r="AX622" s="2"/>
      <c r="AY622" s="2"/>
      <c r="AZ622" s="1"/>
    </row>
    <row x14ac:dyDescent="0.25" r="623" customHeight="1" ht="24.75">
      <c r="A623" s="1"/>
      <c r="B623" s="1"/>
      <c r="C623" s="1"/>
      <c r="D623" s="1"/>
      <c r="E623" s="1"/>
      <c r="F623" s="1"/>
      <c r="G623" s="1"/>
      <c r="H623" s="1"/>
      <c r="I623" s="1"/>
      <c r="J623" s="1"/>
      <c r="K623" s="17"/>
      <c r="L623" s="1"/>
      <c r="M623" s="1"/>
      <c r="N623" s="2"/>
      <c r="O623" s="2"/>
      <c r="P623" s="1"/>
      <c r="Q623" s="1"/>
      <c r="R623" s="1"/>
      <c r="S623" s="1"/>
      <c r="T623" s="40"/>
      <c r="U623" s="40"/>
      <c r="V623" s="40"/>
      <c r="W623" s="40"/>
      <c r="X623" s="22"/>
      <c r="Y623" s="22"/>
      <c r="Z623" s="22"/>
      <c r="AA623" s="22"/>
      <c r="AB623" s="22"/>
      <c r="AC623" s="22"/>
      <c r="AD623" s="22"/>
      <c r="AE623" s="22"/>
      <c r="AF623" s="22"/>
      <c r="AG623" s="22"/>
      <c r="AH623" s="22"/>
      <c r="AI623" s="22"/>
      <c r="AJ623" s="40"/>
      <c r="AK623" s="22"/>
      <c r="AL623" s="22"/>
      <c r="AM623" s="22"/>
      <c r="AN623" s="22"/>
      <c r="AO623" s="40"/>
      <c r="AP623" s="40"/>
      <c r="AQ623" s="40"/>
      <c r="AR623" s="1"/>
      <c r="AS623" s="1"/>
      <c r="AT623" s="17"/>
      <c r="AU623" s="1"/>
      <c r="AV623" s="1"/>
      <c r="AW623" s="1"/>
      <c r="AX623" s="2"/>
      <c r="AY623" s="2"/>
      <c r="AZ623" s="1"/>
    </row>
    <row x14ac:dyDescent="0.25" r="624" customHeight="1" ht="24.75">
      <c r="A624" s="1"/>
      <c r="B624" s="1"/>
      <c r="C624" s="1"/>
      <c r="D624" s="1"/>
      <c r="E624" s="1"/>
      <c r="F624" s="1"/>
      <c r="G624" s="1"/>
      <c r="H624" s="1"/>
      <c r="I624" s="1"/>
      <c r="J624" s="1"/>
      <c r="K624" s="17"/>
      <c r="L624" s="1"/>
      <c r="M624" s="1"/>
      <c r="N624" s="2"/>
      <c r="O624" s="2"/>
      <c r="P624" s="1"/>
      <c r="Q624" s="1"/>
      <c r="R624" s="1"/>
      <c r="S624" s="1"/>
      <c r="T624" s="40"/>
      <c r="U624" s="40"/>
      <c r="V624" s="40"/>
      <c r="W624" s="40"/>
      <c r="X624" s="22"/>
      <c r="Y624" s="22"/>
      <c r="Z624" s="22"/>
      <c r="AA624" s="22"/>
      <c r="AB624" s="22"/>
      <c r="AC624" s="22"/>
      <c r="AD624" s="22"/>
      <c r="AE624" s="22"/>
      <c r="AF624" s="22"/>
      <c r="AG624" s="22"/>
      <c r="AH624" s="22"/>
      <c r="AI624" s="22"/>
      <c r="AJ624" s="40"/>
      <c r="AK624" s="22"/>
      <c r="AL624" s="22"/>
      <c r="AM624" s="22"/>
      <c r="AN624" s="22"/>
      <c r="AO624" s="40"/>
      <c r="AP624" s="40"/>
      <c r="AQ624" s="40"/>
      <c r="AR624" s="1"/>
      <c r="AS624" s="1"/>
      <c r="AT624" s="17"/>
      <c r="AU624" s="1"/>
      <c r="AV624" s="1"/>
      <c r="AW624" s="1"/>
      <c r="AX624" s="2"/>
      <c r="AY624" s="2"/>
      <c r="AZ624" s="1"/>
    </row>
    <row x14ac:dyDescent="0.25" r="625" customHeight="1" ht="24.75">
      <c r="A625" s="1"/>
      <c r="B625" s="1"/>
      <c r="C625" s="1"/>
      <c r="D625" s="1"/>
      <c r="E625" s="1"/>
      <c r="F625" s="1"/>
      <c r="G625" s="1"/>
      <c r="H625" s="1"/>
      <c r="I625" s="1"/>
      <c r="J625" s="1"/>
      <c r="K625" s="17"/>
      <c r="L625" s="1"/>
      <c r="M625" s="1"/>
      <c r="N625" s="2"/>
      <c r="O625" s="2"/>
      <c r="P625" s="1"/>
      <c r="Q625" s="1"/>
      <c r="R625" s="1"/>
      <c r="S625" s="1"/>
      <c r="T625" s="40"/>
      <c r="U625" s="40"/>
      <c r="V625" s="40"/>
      <c r="W625" s="40"/>
      <c r="X625" s="22"/>
      <c r="Y625" s="22"/>
      <c r="Z625" s="22"/>
      <c r="AA625" s="22"/>
      <c r="AB625" s="22"/>
      <c r="AC625" s="22"/>
      <c r="AD625" s="22"/>
      <c r="AE625" s="22"/>
      <c r="AF625" s="22"/>
      <c r="AG625" s="22"/>
      <c r="AH625" s="22"/>
      <c r="AI625" s="22"/>
      <c r="AJ625" s="40"/>
      <c r="AK625" s="22"/>
      <c r="AL625" s="22"/>
      <c r="AM625" s="22"/>
      <c r="AN625" s="22"/>
      <c r="AO625" s="40"/>
      <c r="AP625" s="40"/>
      <c r="AQ625" s="40"/>
      <c r="AR625" s="1"/>
      <c r="AS625" s="1"/>
      <c r="AT625" s="17"/>
      <c r="AU625" s="1"/>
      <c r="AV625" s="1"/>
      <c r="AW625" s="1"/>
      <c r="AX625" s="2"/>
      <c r="AY625" s="2"/>
      <c r="AZ625" s="1"/>
    </row>
    <row x14ac:dyDescent="0.25" r="626" customHeight="1" ht="24.75">
      <c r="A626" s="1"/>
      <c r="B626" s="1"/>
      <c r="C626" s="1"/>
      <c r="D626" s="1"/>
      <c r="E626" s="1"/>
      <c r="F626" s="1"/>
      <c r="G626" s="1"/>
      <c r="H626" s="1"/>
      <c r="I626" s="1"/>
      <c r="J626" s="1"/>
      <c r="K626" s="17"/>
      <c r="L626" s="1"/>
      <c r="M626" s="1"/>
      <c r="N626" s="2"/>
      <c r="O626" s="2"/>
      <c r="P626" s="1"/>
      <c r="Q626" s="1"/>
      <c r="R626" s="1"/>
      <c r="S626" s="1"/>
      <c r="T626" s="40"/>
      <c r="U626" s="40"/>
      <c r="V626" s="40"/>
      <c r="W626" s="40"/>
      <c r="X626" s="22"/>
      <c r="Y626" s="22"/>
      <c r="Z626" s="22"/>
      <c r="AA626" s="22"/>
      <c r="AB626" s="22"/>
      <c r="AC626" s="22"/>
      <c r="AD626" s="22"/>
      <c r="AE626" s="22"/>
      <c r="AF626" s="22"/>
      <c r="AG626" s="22"/>
      <c r="AH626" s="22"/>
      <c r="AI626" s="22"/>
      <c r="AJ626" s="40"/>
      <c r="AK626" s="22"/>
      <c r="AL626" s="22"/>
      <c r="AM626" s="22"/>
      <c r="AN626" s="22"/>
      <c r="AO626" s="40"/>
      <c r="AP626" s="40"/>
      <c r="AQ626" s="40"/>
      <c r="AR626" s="1"/>
      <c r="AS626" s="1"/>
      <c r="AT626" s="17"/>
      <c r="AU626" s="1"/>
      <c r="AV626" s="1"/>
      <c r="AW626" s="1"/>
      <c r="AX626" s="2"/>
      <c r="AY626" s="2"/>
      <c r="AZ626" s="1"/>
    </row>
    <row x14ac:dyDescent="0.25" r="627" customHeight="1" ht="24.75">
      <c r="A627" s="1"/>
      <c r="B627" s="1"/>
      <c r="C627" s="1"/>
      <c r="D627" s="1"/>
      <c r="E627" s="1"/>
      <c r="F627" s="1"/>
      <c r="G627" s="1"/>
      <c r="H627" s="1"/>
      <c r="I627" s="1"/>
      <c r="J627" s="1"/>
      <c r="K627" s="17"/>
      <c r="L627" s="1"/>
      <c r="M627" s="1"/>
      <c r="N627" s="2"/>
      <c r="O627" s="2"/>
      <c r="P627" s="1"/>
      <c r="Q627" s="1"/>
      <c r="R627" s="1"/>
      <c r="S627" s="1"/>
      <c r="T627" s="40"/>
      <c r="U627" s="40"/>
      <c r="V627" s="40"/>
      <c r="W627" s="40"/>
      <c r="X627" s="22"/>
      <c r="Y627" s="22"/>
      <c r="Z627" s="22"/>
      <c r="AA627" s="22"/>
      <c r="AB627" s="22"/>
      <c r="AC627" s="22"/>
      <c r="AD627" s="22"/>
      <c r="AE627" s="22"/>
      <c r="AF627" s="22"/>
      <c r="AG627" s="22"/>
      <c r="AH627" s="22"/>
      <c r="AI627" s="22"/>
      <c r="AJ627" s="40"/>
      <c r="AK627" s="22"/>
      <c r="AL627" s="22"/>
      <c r="AM627" s="22"/>
      <c r="AN627" s="22"/>
      <c r="AO627" s="40"/>
      <c r="AP627" s="40"/>
      <c r="AQ627" s="40"/>
      <c r="AR627" s="1"/>
      <c r="AS627" s="1"/>
      <c r="AT627" s="17"/>
      <c r="AU627" s="1"/>
      <c r="AV627" s="1"/>
      <c r="AW627" s="1"/>
      <c r="AX627" s="2"/>
      <c r="AY627" s="2"/>
      <c r="AZ627" s="1"/>
    </row>
    <row x14ac:dyDescent="0.25" r="628" customHeight="1" ht="24.75">
      <c r="A628" s="1"/>
      <c r="B628" s="1"/>
      <c r="C628" s="1"/>
      <c r="D628" s="1"/>
      <c r="E628" s="1"/>
      <c r="F628" s="1"/>
      <c r="G628" s="1"/>
      <c r="H628" s="1"/>
      <c r="I628" s="1"/>
      <c r="J628" s="1"/>
      <c r="K628" s="17"/>
      <c r="L628" s="1"/>
      <c r="M628" s="1"/>
      <c r="N628" s="2"/>
      <c r="O628" s="2"/>
      <c r="P628" s="1"/>
      <c r="Q628" s="1"/>
      <c r="R628" s="1"/>
      <c r="S628" s="1"/>
      <c r="T628" s="40"/>
      <c r="U628" s="40"/>
      <c r="V628" s="40"/>
      <c r="W628" s="40"/>
      <c r="X628" s="22"/>
      <c r="Y628" s="22"/>
      <c r="Z628" s="22"/>
      <c r="AA628" s="22"/>
      <c r="AB628" s="22"/>
      <c r="AC628" s="22"/>
      <c r="AD628" s="22"/>
      <c r="AE628" s="22"/>
      <c r="AF628" s="22"/>
      <c r="AG628" s="22"/>
      <c r="AH628" s="22"/>
      <c r="AI628" s="22"/>
      <c r="AJ628" s="40"/>
      <c r="AK628" s="22"/>
      <c r="AL628" s="22"/>
      <c r="AM628" s="22"/>
      <c r="AN628" s="22"/>
      <c r="AO628" s="40"/>
      <c r="AP628" s="40"/>
      <c r="AQ628" s="40"/>
      <c r="AR628" s="1"/>
      <c r="AS628" s="1"/>
      <c r="AT628" s="17"/>
      <c r="AU628" s="1"/>
      <c r="AV628" s="1"/>
      <c r="AW628" s="1"/>
      <c r="AX628" s="2"/>
      <c r="AY628" s="2"/>
      <c r="AZ628" s="1"/>
    </row>
    <row x14ac:dyDescent="0.25" r="629" customHeight="1" ht="24.75">
      <c r="A629" s="1"/>
      <c r="B629" s="1"/>
      <c r="C629" s="1"/>
      <c r="D629" s="1"/>
      <c r="E629" s="1"/>
      <c r="F629" s="1"/>
      <c r="G629" s="1"/>
      <c r="H629" s="1"/>
      <c r="I629" s="1"/>
      <c r="J629" s="1"/>
      <c r="K629" s="17"/>
      <c r="L629" s="1"/>
      <c r="M629" s="1"/>
      <c r="N629" s="2"/>
      <c r="O629" s="2"/>
      <c r="P629" s="1"/>
      <c r="Q629" s="1"/>
      <c r="R629" s="1"/>
      <c r="S629" s="1"/>
      <c r="T629" s="40"/>
      <c r="U629" s="40"/>
      <c r="V629" s="40"/>
      <c r="W629" s="40"/>
      <c r="X629" s="22"/>
      <c r="Y629" s="22"/>
      <c r="Z629" s="22"/>
      <c r="AA629" s="22"/>
      <c r="AB629" s="22"/>
      <c r="AC629" s="22"/>
      <c r="AD629" s="22"/>
      <c r="AE629" s="22"/>
      <c r="AF629" s="22"/>
      <c r="AG629" s="22"/>
      <c r="AH629" s="22"/>
      <c r="AI629" s="22"/>
      <c r="AJ629" s="40"/>
      <c r="AK629" s="22"/>
      <c r="AL629" s="22"/>
      <c r="AM629" s="22"/>
      <c r="AN629" s="22"/>
      <c r="AO629" s="40"/>
      <c r="AP629" s="40"/>
      <c r="AQ629" s="40"/>
      <c r="AR629" s="1"/>
      <c r="AS629" s="1"/>
      <c r="AT629" s="17"/>
      <c r="AU629" s="1"/>
      <c r="AV629" s="1"/>
      <c r="AW629" s="1"/>
      <c r="AX629" s="2"/>
      <c r="AY629" s="2"/>
      <c r="AZ629" s="1"/>
    </row>
    <row x14ac:dyDescent="0.25" r="630" customHeight="1" ht="24.75">
      <c r="A630" s="1"/>
      <c r="B630" s="1"/>
      <c r="C630" s="1"/>
      <c r="D630" s="1"/>
      <c r="E630" s="1"/>
      <c r="F630" s="1"/>
      <c r="G630" s="1"/>
      <c r="H630" s="1"/>
      <c r="I630" s="1"/>
      <c r="J630" s="1"/>
      <c r="K630" s="17"/>
      <c r="L630" s="1"/>
      <c r="M630" s="1"/>
      <c r="N630" s="2"/>
      <c r="O630" s="2"/>
      <c r="P630" s="1"/>
      <c r="Q630" s="1"/>
      <c r="R630" s="1"/>
      <c r="S630" s="1"/>
      <c r="T630" s="40"/>
      <c r="U630" s="40"/>
      <c r="V630" s="40"/>
      <c r="W630" s="40"/>
      <c r="X630" s="22"/>
      <c r="Y630" s="22"/>
      <c r="Z630" s="22"/>
      <c r="AA630" s="22"/>
      <c r="AB630" s="22"/>
      <c r="AC630" s="22"/>
      <c r="AD630" s="22"/>
      <c r="AE630" s="22"/>
      <c r="AF630" s="22"/>
      <c r="AG630" s="22"/>
      <c r="AH630" s="22"/>
      <c r="AI630" s="22"/>
      <c r="AJ630" s="40"/>
      <c r="AK630" s="22"/>
      <c r="AL630" s="22"/>
      <c r="AM630" s="22"/>
      <c r="AN630" s="22"/>
      <c r="AO630" s="40"/>
      <c r="AP630" s="40"/>
      <c r="AQ630" s="40"/>
      <c r="AR630" s="1"/>
      <c r="AS630" s="1"/>
      <c r="AT630" s="17"/>
      <c r="AU630" s="1"/>
      <c r="AV630" s="1"/>
      <c r="AW630" s="1"/>
      <c r="AX630" s="2"/>
      <c r="AY630" s="2"/>
      <c r="AZ630" s="1"/>
    </row>
    <row x14ac:dyDescent="0.25" r="631" customHeight="1" ht="24.75">
      <c r="A631" s="1"/>
      <c r="B631" s="1"/>
      <c r="C631" s="1"/>
      <c r="D631" s="1"/>
      <c r="E631" s="1"/>
      <c r="F631" s="1"/>
      <c r="G631" s="1"/>
      <c r="H631" s="1"/>
      <c r="I631" s="1"/>
      <c r="J631" s="1"/>
      <c r="K631" s="17"/>
      <c r="L631" s="1"/>
      <c r="M631" s="1"/>
      <c r="N631" s="2"/>
      <c r="O631" s="2"/>
      <c r="P631" s="1"/>
      <c r="Q631" s="1"/>
      <c r="R631" s="1"/>
      <c r="S631" s="1"/>
      <c r="T631" s="40"/>
      <c r="U631" s="40"/>
      <c r="V631" s="40"/>
      <c r="W631" s="40"/>
      <c r="X631" s="22"/>
      <c r="Y631" s="22"/>
      <c r="Z631" s="22"/>
      <c r="AA631" s="22"/>
      <c r="AB631" s="22"/>
      <c r="AC631" s="22"/>
      <c r="AD631" s="22"/>
      <c r="AE631" s="22"/>
      <c r="AF631" s="22"/>
      <c r="AG631" s="22"/>
      <c r="AH631" s="22"/>
      <c r="AI631" s="22"/>
      <c r="AJ631" s="40"/>
      <c r="AK631" s="22"/>
      <c r="AL631" s="22"/>
      <c r="AM631" s="22"/>
      <c r="AN631" s="22"/>
      <c r="AO631" s="40"/>
      <c r="AP631" s="40"/>
      <c r="AQ631" s="40"/>
      <c r="AR631" s="1"/>
      <c r="AS631" s="1"/>
      <c r="AT631" s="17"/>
      <c r="AU631" s="1"/>
      <c r="AV631" s="1"/>
      <c r="AW631" s="1"/>
      <c r="AX631" s="2"/>
      <c r="AY631" s="2"/>
      <c r="AZ631" s="1"/>
    </row>
    <row x14ac:dyDescent="0.25" r="632" customHeight="1" ht="24.75">
      <c r="A632" s="1"/>
      <c r="B632" s="1"/>
      <c r="C632" s="1"/>
      <c r="D632" s="1"/>
      <c r="E632" s="1"/>
      <c r="F632" s="1"/>
      <c r="G632" s="1"/>
      <c r="H632" s="1"/>
      <c r="I632" s="1"/>
      <c r="J632" s="1"/>
      <c r="K632" s="17"/>
      <c r="L632" s="1"/>
      <c r="M632" s="1"/>
      <c r="N632" s="2"/>
      <c r="O632" s="2"/>
      <c r="P632" s="1"/>
      <c r="Q632" s="1"/>
      <c r="R632" s="1"/>
      <c r="S632" s="1"/>
      <c r="T632" s="40"/>
      <c r="U632" s="40"/>
      <c r="V632" s="40"/>
      <c r="W632" s="40"/>
      <c r="X632" s="22"/>
      <c r="Y632" s="22"/>
      <c r="Z632" s="22"/>
      <c r="AA632" s="22"/>
      <c r="AB632" s="22"/>
      <c r="AC632" s="22"/>
      <c r="AD632" s="22"/>
      <c r="AE632" s="22"/>
      <c r="AF632" s="22"/>
      <c r="AG632" s="22"/>
      <c r="AH632" s="22"/>
      <c r="AI632" s="22"/>
      <c r="AJ632" s="40"/>
      <c r="AK632" s="22"/>
      <c r="AL632" s="22"/>
      <c r="AM632" s="22"/>
      <c r="AN632" s="22"/>
      <c r="AO632" s="40"/>
      <c r="AP632" s="40"/>
      <c r="AQ632" s="40"/>
      <c r="AR632" s="1"/>
      <c r="AS632" s="1"/>
      <c r="AT632" s="17"/>
      <c r="AU632" s="1"/>
      <c r="AV632" s="1"/>
      <c r="AW632" s="1"/>
      <c r="AX632" s="2"/>
      <c r="AY632" s="2"/>
      <c r="AZ632" s="1"/>
    </row>
    <row x14ac:dyDescent="0.25" r="633" customHeight="1" ht="24.75">
      <c r="A633" s="1"/>
      <c r="B633" s="1"/>
      <c r="C633" s="1"/>
      <c r="D633" s="1"/>
      <c r="E633" s="1"/>
      <c r="F633" s="1"/>
      <c r="G633" s="1"/>
      <c r="H633" s="1"/>
      <c r="I633" s="1"/>
      <c r="J633" s="1"/>
      <c r="K633" s="17"/>
      <c r="L633" s="1"/>
      <c r="M633" s="1"/>
      <c r="N633" s="2"/>
      <c r="O633" s="2"/>
      <c r="P633" s="1"/>
      <c r="Q633" s="1"/>
      <c r="R633" s="1"/>
      <c r="S633" s="1"/>
      <c r="T633" s="40"/>
      <c r="U633" s="40"/>
      <c r="V633" s="40"/>
      <c r="W633" s="40"/>
      <c r="X633" s="22"/>
      <c r="Y633" s="22"/>
      <c r="Z633" s="22"/>
      <c r="AA633" s="22"/>
      <c r="AB633" s="22"/>
      <c r="AC633" s="22"/>
      <c r="AD633" s="22"/>
      <c r="AE633" s="22"/>
      <c r="AF633" s="22"/>
      <c r="AG633" s="22"/>
      <c r="AH633" s="22"/>
      <c r="AI633" s="22"/>
      <c r="AJ633" s="40"/>
      <c r="AK633" s="22"/>
      <c r="AL633" s="22"/>
      <c r="AM633" s="22"/>
      <c r="AN633" s="22"/>
      <c r="AO633" s="40"/>
      <c r="AP633" s="40"/>
      <c r="AQ633" s="40"/>
      <c r="AR633" s="1"/>
      <c r="AS633" s="1"/>
      <c r="AT633" s="17"/>
      <c r="AU633" s="1"/>
      <c r="AV633" s="1"/>
      <c r="AW633" s="1"/>
      <c r="AX633" s="2"/>
      <c r="AY633" s="2"/>
      <c r="AZ633" s="1"/>
    </row>
    <row x14ac:dyDescent="0.25" r="634" customHeight="1" ht="24.75">
      <c r="A634" s="1"/>
      <c r="B634" s="1"/>
      <c r="C634" s="1"/>
      <c r="D634" s="1"/>
      <c r="E634" s="1"/>
      <c r="F634" s="1"/>
      <c r="G634" s="1"/>
      <c r="H634" s="1"/>
      <c r="I634" s="1"/>
      <c r="J634" s="1"/>
      <c r="K634" s="17"/>
      <c r="L634" s="1"/>
      <c r="M634" s="1"/>
      <c r="N634" s="2"/>
      <c r="O634" s="2"/>
      <c r="P634" s="1"/>
      <c r="Q634" s="1"/>
      <c r="R634" s="1"/>
      <c r="S634" s="1"/>
      <c r="T634" s="40"/>
      <c r="U634" s="40"/>
      <c r="V634" s="40"/>
      <c r="W634" s="40"/>
      <c r="X634" s="22"/>
      <c r="Y634" s="22"/>
      <c r="Z634" s="22"/>
      <c r="AA634" s="22"/>
      <c r="AB634" s="22"/>
      <c r="AC634" s="22"/>
      <c r="AD634" s="22"/>
      <c r="AE634" s="22"/>
      <c r="AF634" s="22"/>
      <c r="AG634" s="22"/>
      <c r="AH634" s="22"/>
      <c r="AI634" s="22"/>
      <c r="AJ634" s="40"/>
      <c r="AK634" s="22"/>
      <c r="AL634" s="22"/>
      <c r="AM634" s="22"/>
      <c r="AN634" s="22"/>
      <c r="AO634" s="40"/>
      <c r="AP634" s="40"/>
      <c r="AQ634" s="40"/>
      <c r="AR634" s="1"/>
      <c r="AS634" s="1"/>
      <c r="AT634" s="17"/>
      <c r="AU634" s="1"/>
      <c r="AV634" s="1"/>
      <c r="AW634" s="1"/>
      <c r="AX634" s="2"/>
      <c r="AY634" s="2"/>
      <c r="AZ634" s="1"/>
    </row>
    <row x14ac:dyDescent="0.25" r="635" customHeight="1" ht="24.75">
      <c r="A635" s="1"/>
      <c r="B635" s="1"/>
      <c r="C635" s="1"/>
      <c r="D635" s="1"/>
      <c r="E635" s="1"/>
      <c r="F635" s="1"/>
      <c r="G635" s="1"/>
      <c r="H635" s="1"/>
      <c r="I635" s="1"/>
      <c r="J635" s="1"/>
      <c r="K635" s="17"/>
      <c r="L635" s="1"/>
      <c r="M635" s="1"/>
      <c r="N635" s="2"/>
      <c r="O635" s="2"/>
      <c r="P635" s="1"/>
      <c r="Q635" s="1"/>
      <c r="R635" s="1"/>
      <c r="S635" s="1"/>
      <c r="T635" s="40"/>
      <c r="U635" s="40"/>
      <c r="V635" s="40"/>
      <c r="W635" s="40"/>
      <c r="X635" s="22"/>
      <c r="Y635" s="22"/>
      <c r="Z635" s="22"/>
      <c r="AA635" s="22"/>
      <c r="AB635" s="22"/>
      <c r="AC635" s="22"/>
      <c r="AD635" s="22"/>
      <c r="AE635" s="22"/>
      <c r="AF635" s="22"/>
      <c r="AG635" s="22"/>
      <c r="AH635" s="22"/>
      <c r="AI635" s="22"/>
      <c r="AJ635" s="40"/>
      <c r="AK635" s="22"/>
      <c r="AL635" s="22"/>
      <c r="AM635" s="22"/>
      <c r="AN635" s="22"/>
      <c r="AO635" s="40"/>
      <c r="AP635" s="40"/>
      <c r="AQ635" s="40"/>
      <c r="AR635" s="1"/>
      <c r="AS635" s="1"/>
      <c r="AT635" s="17"/>
      <c r="AU635" s="1"/>
      <c r="AV635" s="1"/>
      <c r="AW635" s="1"/>
      <c r="AX635" s="2"/>
      <c r="AY635" s="2"/>
      <c r="AZ635" s="1"/>
    </row>
    <row x14ac:dyDescent="0.25" r="636" customHeight="1" ht="24.75">
      <c r="A636" s="1"/>
      <c r="B636" s="1"/>
      <c r="C636" s="1"/>
      <c r="D636" s="1"/>
      <c r="E636" s="1"/>
      <c r="F636" s="1"/>
      <c r="G636" s="1"/>
      <c r="H636" s="1"/>
      <c r="I636" s="1"/>
      <c r="J636" s="1"/>
      <c r="K636" s="17"/>
      <c r="L636" s="1"/>
      <c r="M636" s="1"/>
      <c r="N636" s="2"/>
      <c r="O636" s="2"/>
      <c r="P636" s="1"/>
      <c r="Q636" s="1"/>
      <c r="R636" s="1"/>
      <c r="S636" s="1"/>
      <c r="T636" s="40"/>
      <c r="U636" s="40"/>
      <c r="V636" s="40"/>
      <c r="W636" s="40"/>
      <c r="X636" s="22"/>
      <c r="Y636" s="22"/>
      <c r="Z636" s="22"/>
      <c r="AA636" s="22"/>
      <c r="AB636" s="22"/>
      <c r="AC636" s="22"/>
      <c r="AD636" s="22"/>
      <c r="AE636" s="22"/>
      <c r="AF636" s="22"/>
      <c r="AG636" s="22"/>
      <c r="AH636" s="22"/>
      <c r="AI636" s="22"/>
      <c r="AJ636" s="40"/>
      <c r="AK636" s="22"/>
      <c r="AL636" s="22"/>
      <c r="AM636" s="22"/>
      <c r="AN636" s="22"/>
      <c r="AO636" s="40"/>
      <c r="AP636" s="40"/>
      <c r="AQ636" s="40"/>
      <c r="AR636" s="1"/>
      <c r="AS636" s="1"/>
      <c r="AT636" s="17"/>
      <c r="AU636" s="1"/>
      <c r="AV636" s="1"/>
      <c r="AW636" s="1"/>
      <c r="AX636" s="2"/>
      <c r="AY636" s="2"/>
      <c r="AZ636" s="1"/>
    </row>
    <row x14ac:dyDescent="0.25" r="637" customHeight="1" ht="24.75">
      <c r="A637" s="1"/>
      <c r="B637" s="1"/>
      <c r="C637" s="1"/>
      <c r="D637" s="1"/>
      <c r="E637" s="1"/>
      <c r="F637" s="1"/>
      <c r="G637" s="1"/>
      <c r="H637" s="1"/>
      <c r="I637" s="1"/>
      <c r="J637" s="1"/>
      <c r="K637" s="17"/>
      <c r="L637" s="1"/>
      <c r="M637" s="1"/>
      <c r="N637" s="2"/>
      <c r="O637" s="2"/>
      <c r="P637" s="1"/>
      <c r="Q637" s="1"/>
      <c r="R637" s="1"/>
      <c r="S637" s="1"/>
      <c r="T637" s="40"/>
      <c r="U637" s="40"/>
      <c r="V637" s="40"/>
      <c r="W637" s="40"/>
      <c r="X637" s="22"/>
      <c r="Y637" s="22"/>
      <c r="Z637" s="22"/>
      <c r="AA637" s="22"/>
      <c r="AB637" s="22"/>
      <c r="AC637" s="22"/>
      <c r="AD637" s="22"/>
      <c r="AE637" s="22"/>
      <c r="AF637" s="22"/>
      <c r="AG637" s="22"/>
      <c r="AH637" s="22"/>
      <c r="AI637" s="22"/>
      <c r="AJ637" s="40"/>
      <c r="AK637" s="22"/>
      <c r="AL637" s="22"/>
      <c r="AM637" s="22"/>
      <c r="AN637" s="22"/>
      <c r="AO637" s="40"/>
      <c r="AP637" s="40"/>
      <c r="AQ637" s="40"/>
      <c r="AR637" s="1"/>
      <c r="AS637" s="1"/>
      <c r="AT637" s="17"/>
      <c r="AU637" s="1"/>
      <c r="AV637" s="1"/>
      <c r="AW637" s="1"/>
      <c r="AX637" s="2"/>
      <c r="AY637" s="2"/>
      <c r="AZ637" s="1"/>
    </row>
    <row x14ac:dyDescent="0.25" r="638" customHeight="1" ht="24.75">
      <c r="A638" s="1"/>
      <c r="B638" s="1"/>
      <c r="C638" s="1"/>
      <c r="D638" s="1"/>
      <c r="E638" s="1"/>
      <c r="F638" s="1"/>
      <c r="G638" s="1"/>
      <c r="H638" s="1"/>
      <c r="I638" s="1"/>
      <c r="J638" s="1"/>
      <c r="K638" s="17"/>
      <c r="L638" s="1"/>
      <c r="M638" s="1"/>
      <c r="N638" s="2"/>
      <c r="O638" s="2"/>
      <c r="P638" s="1"/>
      <c r="Q638" s="1"/>
      <c r="R638" s="1"/>
      <c r="S638" s="1"/>
      <c r="T638" s="40"/>
      <c r="U638" s="40"/>
      <c r="V638" s="40"/>
      <c r="W638" s="40"/>
      <c r="X638" s="22"/>
      <c r="Y638" s="22"/>
      <c r="Z638" s="22"/>
      <c r="AA638" s="22"/>
      <c r="AB638" s="22"/>
      <c r="AC638" s="22"/>
      <c r="AD638" s="22"/>
      <c r="AE638" s="22"/>
      <c r="AF638" s="22"/>
      <c r="AG638" s="22"/>
      <c r="AH638" s="22"/>
      <c r="AI638" s="22"/>
      <c r="AJ638" s="40"/>
      <c r="AK638" s="22"/>
      <c r="AL638" s="22"/>
      <c r="AM638" s="22"/>
      <c r="AN638" s="22"/>
      <c r="AO638" s="40"/>
      <c r="AP638" s="40"/>
      <c r="AQ638" s="40"/>
      <c r="AR638" s="1"/>
      <c r="AS638" s="1"/>
      <c r="AT638" s="17"/>
      <c r="AU638" s="1"/>
      <c r="AV638" s="1"/>
      <c r="AW638" s="1"/>
      <c r="AX638" s="2"/>
      <c r="AY638" s="2"/>
      <c r="AZ638" s="1"/>
    </row>
    <row x14ac:dyDescent="0.25" r="639" customHeight="1" ht="24.75">
      <c r="A639" s="1"/>
      <c r="B639" s="1"/>
      <c r="C639" s="1"/>
      <c r="D639" s="1"/>
      <c r="E639" s="1"/>
      <c r="F639" s="1"/>
      <c r="G639" s="1"/>
      <c r="H639" s="1"/>
      <c r="I639" s="1"/>
      <c r="J639" s="1"/>
      <c r="K639" s="17"/>
      <c r="L639" s="1"/>
      <c r="M639" s="1"/>
      <c r="N639" s="2"/>
      <c r="O639" s="2"/>
      <c r="P639" s="1"/>
      <c r="Q639" s="1"/>
      <c r="R639" s="1"/>
      <c r="S639" s="1"/>
      <c r="T639" s="40"/>
      <c r="U639" s="40"/>
      <c r="V639" s="40"/>
      <c r="W639" s="40"/>
      <c r="X639" s="22"/>
      <c r="Y639" s="22"/>
      <c r="Z639" s="22"/>
      <c r="AA639" s="22"/>
      <c r="AB639" s="22"/>
      <c r="AC639" s="22"/>
      <c r="AD639" s="22"/>
      <c r="AE639" s="22"/>
      <c r="AF639" s="22"/>
      <c r="AG639" s="22"/>
      <c r="AH639" s="22"/>
      <c r="AI639" s="22"/>
      <c r="AJ639" s="40"/>
      <c r="AK639" s="22"/>
      <c r="AL639" s="22"/>
      <c r="AM639" s="22"/>
      <c r="AN639" s="22"/>
      <c r="AO639" s="40"/>
      <c r="AP639" s="40"/>
      <c r="AQ639" s="40"/>
      <c r="AR639" s="1"/>
      <c r="AS639" s="1"/>
      <c r="AT639" s="17"/>
      <c r="AU639" s="1"/>
      <c r="AV639" s="1"/>
      <c r="AW639" s="1"/>
      <c r="AX639" s="2"/>
      <c r="AY639" s="2"/>
      <c r="AZ639" s="1"/>
    </row>
    <row x14ac:dyDescent="0.25" r="640" customHeight="1" ht="24.75">
      <c r="A640" s="1"/>
      <c r="B640" s="1"/>
      <c r="C640" s="1"/>
      <c r="D640" s="1"/>
      <c r="E640" s="1"/>
      <c r="F640" s="1"/>
      <c r="G640" s="1"/>
      <c r="H640" s="1"/>
      <c r="I640" s="1"/>
      <c r="J640" s="1"/>
      <c r="K640" s="17"/>
      <c r="L640" s="1"/>
      <c r="M640" s="1"/>
      <c r="N640" s="2"/>
      <c r="O640" s="2"/>
      <c r="P640" s="1"/>
      <c r="Q640" s="1"/>
      <c r="R640" s="1"/>
      <c r="S640" s="1"/>
      <c r="T640" s="40"/>
      <c r="U640" s="40"/>
      <c r="V640" s="40"/>
      <c r="W640" s="40"/>
      <c r="X640" s="22"/>
      <c r="Y640" s="22"/>
      <c r="Z640" s="22"/>
      <c r="AA640" s="22"/>
      <c r="AB640" s="22"/>
      <c r="AC640" s="22"/>
      <c r="AD640" s="22"/>
      <c r="AE640" s="22"/>
      <c r="AF640" s="22"/>
      <c r="AG640" s="22"/>
      <c r="AH640" s="22"/>
      <c r="AI640" s="22"/>
      <c r="AJ640" s="40"/>
      <c r="AK640" s="22"/>
      <c r="AL640" s="22"/>
      <c r="AM640" s="22"/>
      <c r="AN640" s="22"/>
      <c r="AO640" s="40"/>
      <c r="AP640" s="40"/>
      <c r="AQ640" s="40"/>
      <c r="AR640" s="1"/>
      <c r="AS640" s="1"/>
      <c r="AT640" s="17"/>
      <c r="AU640" s="1"/>
      <c r="AV640" s="1"/>
      <c r="AW640" s="1"/>
      <c r="AX640" s="2"/>
      <c r="AY640" s="2"/>
      <c r="AZ640" s="1"/>
    </row>
    <row x14ac:dyDescent="0.25" r="641" customHeight="1" ht="24.75">
      <c r="A641" s="1"/>
      <c r="B641" s="1"/>
      <c r="C641" s="1"/>
      <c r="D641" s="1"/>
      <c r="E641" s="1"/>
      <c r="F641" s="1"/>
      <c r="G641" s="1"/>
      <c r="H641" s="1"/>
      <c r="I641" s="1"/>
      <c r="J641" s="1"/>
      <c r="K641" s="17"/>
      <c r="L641" s="1"/>
      <c r="M641" s="1"/>
      <c r="N641" s="2"/>
      <c r="O641" s="2"/>
      <c r="P641" s="1"/>
      <c r="Q641" s="1"/>
      <c r="R641" s="1"/>
      <c r="S641" s="1"/>
      <c r="T641" s="40"/>
      <c r="U641" s="40"/>
      <c r="V641" s="40"/>
      <c r="W641" s="40"/>
      <c r="X641" s="22"/>
      <c r="Y641" s="22"/>
      <c r="Z641" s="22"/>
      <c r="AA641" s="22"/>
      <c r="AB641" s="22"/>
      <c r="AC641" s="22"/>
      <c r="AD641" s="22"/>
      <c r="AE641" s="22"/>
      <c r="AF641" s="22"/>
      <c r="AG641" s="22"/>
      <c r="AH641" s="22"/>
      <c r="AI641" s="22"/>
      <c r="AJ641" s="40"/>
      <c r="AK641" s="22"/>
      <c r="AL641" s="22"/>
      <c r="AM641" s="22"/>
      <c r="AN641" s="22"/>
      <c r="AO641" s="40"/>
      <c r="AP641" s="40"/>
      <c r="AQ641" s="40"/>
      <c r="AR641" s="1"/>
      <c r="AS641" s="1"/>
      <c r="AT641" s="17"/>
      <c r="AU641" s="1"/>
      <c r="AV641" s="1"/>
      <c r="AW641" s="1"/>
      <c r="AX641" s="2"/>
      <c r="AY641" s="2"/>
      <c r="AZ641" s="1"/>
    </row>
    <row x14ac:dyDescent="0.25" r="642" customHeight="1" ht="24.75">
      <c r="A642" s="1"/>
      <c r="B642" s="1"/>
      <c r="C642" s="1"/>
      <c r="D642" s="1"/>
      <c r="E642" s="1"/>
      <c r="F642" s="1"/>
      <c r="G642" s="1"/>
      <c r="H642" s="1"/>
      <c r="I642" s="1"/>
      <c r="J642" s="1"/>
      <c r="K642" s="17"/>
      <c r="L642" s="1"/>
      <c r="M642" s="1"/>
      <c r="N642" s="2"/>
      <c r="O642" s="2"/>
      <c r="P642" s="1"/>
      <c r="Q642" s="1"/>
      <c r="R642" s="1"/>
      <c r="S642" s="1"/>
      <c r="T642" s="40"/>
      <c r="U642" s="40"/>
      <c r="V642" s="40"/>
      <c r="W642" s="40"/>
      <c r="X642" s="22"/>
      <c r="Y642" s="22"/>
      <c r="Z642" s="22"/>
      <c r="AA642" s="22"/>
      <c r="AB642" s="22"/>
      <c r="AC642" s="22"/>
      <c r="AD642" s="22"/>
      <c r="AE642" s="22"/>
      <c r="AF642" s="22"/>
      <c r="AG642" s="22"/>
      <c r="AH642" s="22"/>
      <c r="AI642" s="22"/>
      <c r="AJ642" s="40"/>
      <c r="AK642" s="22"/>
      <c r="AL642" s="22"/>
      <c r="AM642" s="22"/>
      <c r="AN642" s="22"/>
      <c r="AO642" s="40"/>
      <c r="AP642" s="40"/>
      <c r="AQ642" s="40"/>
      <c r="AR642" s="1"/>
      <c r="AS642" s="1"/>
      <c r="AT642" s="17"/>
      <c r="AU642" s="1"/>
      <c r="AV642" s="1"/>
      <c r="AW642" s="1"/>
      <c r="AX642" s="2"/>
      <c r="AY642" s="2"/>
      <c r="AZ642" s="1"/>
    </row>
    <row x14ac:dyDescent="0.25" r="643" customHeight="1" ht="24.75">
      <c r="A643" s="1"/>
      <c r="B643" s="1"/>
      <c r="C643" s="1"/>
      <c r="D643" s="1"/>
      <c r="E643" s="1"/>
      <c r="F643" s="1"/>
      <c r="G643" s="1"/>
      <c r="H643" s="1"/>
      <c r="I643" s="1"/>
      <c r="J643" s="1"/>
      <c r="K643" s="17"/>
      <c r="L643" s="1"/>
      <c r="M643" s="1"/>
      <c r="N643" s="2"/>
      <c r="O643" s="2"/>
      <c r="P643" s="1"/>
      <c r="Q643" s="1"/>
      <c r="R643" s="1"/>
      <c r="S643" s="1"/>
      <c r="T643" s="40"/>
      <c r="U643" s="40"/>
      <c r="V643" s="40"/>
      <c r="W643" s="40"/>
      <c r="X643" s="22"/>
      <c r="Y643" s="22"/>
      <c r="Z643" s="22"/>
      <c r="AA643" s="22"/>
      <c r="AB643" s="22"/>
      <c r="AC643" s="22"/>
      <c r="AD643" s="22"/>
      <c r="AE643" s="22"/>
      <c r="AF643" s="22"/>
      <c r="AG643" s="22"/>
      <c r="AH643" s="22"/>
      <c r="AI643" s="22"/>
      <c r="AJ643" s="40"/>
      <c r="AK643" s="22"/>
      <c r="AL643" s="22"/>
      <c r="AM643" s="22"/>
      <c r="AN643" s="22"/>
      <c r="AO643" s="40"/>
      <c r="AP643" s="40"/>
      <c r="AQ643" s="40"/>
      <c r="AR643" s="1"/>
      <c r="AS643" s="1"/>
      <c r="AT643" s="17"/>
      <c r="AU643" s="1"/>
      <c r="AV643" s="1"/>
      <c r="AW643" s="1"/>
      <c r="AX643" s="2"/>
      <c r="AY643" s="2"/>
      <c r="AZ643" s="1"/>
    </row>
    <row x14ac:dyDescent="0.25" r="644" customHeight="1" ht="24.75">
      <c r="A644" s="1"/>
      <c r="B644" s="1"/>
      <c r="C644" s="1"/>
      <c r="D644" s="1"/>
      <c r="E644" s="1"/>
      <c r="F644" s="1"/>
      <c r="G644" s="1"/>
      <c r="H644" s="1"/>
      <c r="I644" s="1"/>
      <c r="J644" s="1"/>
      <c r="K644" s="17"/>
      <c r="L644" s="1"/>
      <c r="M644" s="1"/>
      <c r="N644" s="2"/>
      <c r="O644" s="2"/>
      <c r="P644" s="1"/>
      <c r="Q644" s="1"/>
      <c r="R644" s="1"/>
      <c r="S644" s="1"/>
      <c r="T644" s="40"/>
      <c r="U644" s="40"/>
      <c r="V644" s="40"/>
      <c r="W644" s="40"/>
      <c r="X644" s="22"/>
      <c r="Y644" s="22"/>
      <c r="Z644" s="22"/>
      <c r="AA644" s="22"/>
      <c r="AB644" s="22"/>
      <c r="AC644" s="22"/>
      <c r="AD644" s="22"/>
      <c r="AE644" s="22"/>
      <c r="AF644" s="22"/>
      <c r="AG644" s="22"/>
      <c r="AH644" s="22"/>
      <c r="AI644" s="22"/>
      <c r="AJ644" s="40"/>
      <c r="AK644" s="22"/>
      <c r="AL644" s="22"/>
      <c r="AM644" s="22"/>
      <c r="AN644" s="22"/>
      <c r="AO644" s="40"/>
      <c r="AP644" s="40"/>
      <c r="AQ644" s="40"/>
      <c r="AR644" s="1"/>
      <c r="AS644" s="1"/>
      <c r="AT644" s="17"/>
      <c r="AU644" s="1"/>
      <c r="AV644" s="1"/>
      <c r="AW644" s="1"/>
      <c r="AX644" s="2"/>
      <c r="AY644" s="2"/>
      <c r="AZ644" s="1"/>
    </row>
    <row x14ac:dyDescent="0.25" r="645" customHeight="1" ht="24.75">
      <c r="A645" s="1"/>
      <c r="B645" s="1"/>
      <c r="C645" s="1"/>
      <c r="D645" s="1"/>
      <c r="E645" s="1"/>
      <c r="F645" s="1"/>
      <c r="G645" s="1"/>
      <c r="H645" s="1"/>
      <c r="I645" s="1"/>
      <c r="J645" s="1"/>
      <c r="K645" s="17"/>
      <c r="L645" s="1"/>
      <c r="M645" s="1"/>
      <c r="N645" s="2"/>
      <c r="O645" s="2"/>
      <c r="P645" s="1"/>
      <c r="Q645" s="1"/>
      <c r="R645" s="1"/>
      <c r="S645" s="1"/>
      <c r="T645" s="40"/>
      <c r="U645" s="40"/>
      <c r="V645" s="40"/>
      <c r="W645" s="40"/>
      <c r="X645" s="22"/>
      <c r="Y645" s="22"/>
      <c r="Z645" s="22"/>
      <c r="AA645" s="22"/>
      <c r="AB645" s="22"/>
      <c r="AC645" s="22"/>
      <c r="AD645" s="22"/>
      <c r="AE645" s="22"/>
      <c r="AF645" s="22"/>
      <c r="AG645" s="22"/>
      <c r="AH645" s="22"/>
      <c r="AI645" s="22"/>
      <c r="AJ645" s="40"/>
      <c r="AK645" s="22"/>
      <c r="AL645" s="22"/>
      <c r="AM645" s="22"/>
      <c r="AN645" s="22"/>
      <c r="AO645" s="40"/>
      <c r="AP645" s="40"/>
      <c r="AQ645" s="40"/>
      <c r="AR645" s="1"/>
      <c r="AS645" s="1"/>
      <c r="AT645" s="17"/>
      <c r="AU645" s="1"/>
      <c r="AV645" s="1"/>
      <c r="AW645" s="1"/>
      <c r="AX645" s="2"/>
      <c r="AY645" s="2"/>
      <c r="AZ645" s="1"/>
    </row>
    <row x14ac:dyDescent="0.25" r="646" customHeight="1" ht="24.75">
      <c r="A646" s="1"/>
      <c r="B646" s="1"/>
      <c r="C646" s="1"/>
      <c r="D646" s="1"/>
      <c r="E646" s="1"/>
      <c r="F646" s="1"/>
      <c r="G646" s="1"/>
      <c r="H646" s="1"/>
      <c r="I646" s="1"/>
      <c r="J646" s="1"/>
      <c r="K646" s="17"/>
      <c r="L646" s="1"/>
      <c r="M646" s="1"/>
      <c r="N646" s="2"/>
      <c r="O646" s="2"/>
      <c r="P646" s="1"/>
      <c r="Q646" s="1"/>
      <c r="R646" s="1"/>
      <c r="S646" s="1"/>
      <c r="T646" s="40"/>
      <c r="U646" s="40"/>
      <c r="V646" s="40"/>
      <c r="W646" s="40"/>
      <c r="X646" s="22"/>
      <c r="Y646" s="22"/>
      <c r="Z646" s="22"/>
      <c r="AA646" s="22"/>
      <c r="AB646" s="22"/>
      <c r="AC646" s="22"/>
      <c r="AD646" s="22"/>
      <c r="AE646" s="22"/>
      <c r="AF646" s="22"/>
      <c r="AG646" s="22"/>
      <c r="AH646" s="22"/>
      <c r="AI646" s="22"/>
      <c r="AJ646" s="40"/>
      <c r="AK646" s="22"/>
      <c r="AL646" s="22"/>
      <c r="AM646" s="22"/>
      <c r="AN646" s="22"/>
      <c r="AO646" s="40"/>
      <c r="AP646" s="40"/>
      <c r="AQ646" s="40"/>
      <c r="AR646" s="1"/>
      <c r="AS646" s="1"/>
      <c r="AT646" s="17"/>
      <c r="AU646" s="1"/>
      <c r="AV646" s="1"/>
      <c r="AW646" s="1"/>
      <c r="AX646" s="2"/>
      <c r="AY646" s="2"/>
      <c r="AZ646" s="1"/>
    </row>
    <row x14ac:dyDescent="0.25" r="647" customHeight="1" ht="24.75">
      <c r="A647" s="1"/>
      <c r="B647" s="1"/>
      <c r="C647" s="1"/>
      <c r="D647" s="1"/>
      <c r="E647" s="1"/>
      <c r="F647" s="1"/>
      <c r="G647" s="1"/>
      <c r="H647" s="1"/>
      <c r="I647" s="1"/>
      <c r="J647" s="1"/>
      <c r="K647" s="17"/>
      <c r="L647" s="1"/>
      <c r="M647" s="1"/>
      <c r="N647" s="2"/>
      <c r="O647" s="2"/>
      <c r="P647" s="1"/>
      <c r="Q647" s="1"/>
      <c r="R647" s="1"/>
      <c r="S647" s="1"/>
      <c r="T647" s="40"/>
      <c r="U647" s="40"/>
      <c r="V647" s="40"/>
      <c r="W647" s="40"/>
      <c r="X647" s="22"/>
      <c r="Y647" s="22"/>
      <c r="Z647" s="22"/>
      <c r="AA647" s="22"/>
      <c r="AB647" s="22"/>
      <c r="AC647" s="22"/>
      <c r="AD647" s="22"/>
      <c r="AE647" s="22"/>
      <c r="AF647" s="22"/>
      <c r="AG647" s="22"/>
      <c r="AH647" s="22"/>
      <c r="AI647" s="22"/>
      <c r="AJ647" s="40"/>
      <c r="AK647" s="22"/>
      <c r="AL647" s="22"/>
      <c r="AM647" s="22"/>
      <c r="AN647" s="22"/>
      <c r="AO647" s="40"/>
      <c r="AP647" s="40"/>
      <c r="AQ647" s="40"/>
      <c r="AR647" s="1"/>
      <c r="AS647" s="1"/>
      <c r="AT647" s="17"/>
      <c r="AU647" s="1"/>
      <c r="AV647" s="1"/>
      <c r="AW647" s="1"/>
      <c r="AX647" s="2"/>
      <c r="AY647" s="2"/>
      <c r="AZ647" s="1"/>
    </row>
    <row x14ac:dyDescent="0.25" r="648" customHeight="1" ht="24.75">
      <c r="A648" s="1"/>
      <c r="B648" s="1"/>
      <c r="C648" s="1"/>
      <c r="D648" s="1"/>
      <c r="E648" s="1"/>
      <c r="F648" s="1"/>
      <c r="G648" s="1"/>
      <c r="H648" s="1"/>
      <c r="I648" s="1"/>
      <c r="J648" s="1"/>
      <c r="K648" s="17"/>
      <c r="L648" s="1"/>
      <c r="M648" s="1"/>
      <c r="N648" s="2"/>
      <c r="O648" s="2"/>
      <c r="P648" s="1"/>
      <c r="Q648" s="1"/>
      <c r="R648" s="1"/>
      <c r="S648" s="1"/>
      <c r="T648" s="40"/>
      <c r="U648" s="40"/>
      <c r="V648" s="40"/>
      <c r="W648" s="40"/>
      <c r="X648" s="22"/>
      <c r="Y648" s="22"/>
      <c r="Z648" s="22"/>
      <c r="AA648" s="22"/>
      <c r="AB648" s="22"/>
      <c r="AC648" s="22"/>
      <c r="AD648" s="22"/>
      <c r="AE648" s="22"/>
      <c r="AF648" s="22"/>
      <c r="AG648" s="22"/>
      <c r="AH648" s="22"/>
      <c r="AI648" s="22"/>
      <c r="AJ648" s="40"/>
      <c r="AK648" s="22"/>
      <c r="AL648" s="22"/>
      <c r="AM648" s="22"/>
      <c r="AN648" s="22"/>
      <c r="AO648" s="40"/>
      <c r="AP648" s="40"/>
      <c r="AQ648" s="40"/>
      <c r="AR648" s="1"/>
      <c r="AS648" s="1"/>
      <c r="AT648" s="17"/>
      <c r="AU648" s="1"/>
      <c r="AV648" s="1"/>
      <c r="AW648" s="1"/>
      <c r="AX648" s="2"/>
      <c r="AY648" s="2"/>
      <c r="AZ648" s="1"/>
    </row>
    <row x14ac:dyDescent="0.25" r="649" customHeight="1" ht="24.75">
      <c r="A649" s="1"/>
      <c r="B649" s="1"/>
      <c r="C649" s="1"/>
      <c r="D649" s="1"/>
      <c r="E649" s="1"/>
      <c r="F649" s="1"/>
      <c r="G649" s="1"/>
      <c r="H649" s="1"/>
      <c r="I649" s="1"/>
      <c r="J649" s="1"/>
      <c r="K649" s="17"/>
      <c r="L649" s="1"/>
      <c r="M649" s="1"/>
      <c r="N649" s="2"/>
      <c r="O649" s="2"/>
      <c r="P649" s="1"/>
      <c r="Q649" s="1"/>
      <c r="R649" s="1"/>
      <c r="S649" s="1"/>
      <c r="T649" s="40"/>
      <c r="U649" s="40"/>
      <c r="V649" s="40"/>
      <c r="W649" s="40"/>
      <c r="X649" s="22"/>
      <c r="Y649" s="22"/>
      <c r="Z649" s="22"/>
      <c r="AA649" s="22"/>
      <c r="AB649" s="22"/>
      <c r="AC649" s="22"/>
      <c r="AD649" s="22"/>
      <c r="AE649" s="22"/>
      <c r="AF649" s="22"/>
      <c r="AG649" s="22"/>
      <c r="AH649" s="22"/>
      <c r="AI649" s="22"/>
      <c r="AJ649" s="40"/>
      <c r="AK649" s="22"/>
      <c r="AL649" s="22"/>
      <c r="AM649" s="22"/>
      <c r="AN649" s="22"/>
      <c r="AO649" s="40"/>
      <c r="AP649" s="40"/>
      <c r="AQ649" s="40"/>
      <c r="AR649" s="1"/>
      <c r="AS649" s="1"/>
      <c r="AT649" s="17"/>
      <c r="AU649" s="1"/>
      <c r="AV649" s="1"/>
      <c r="AW649" s="1"/>
      <c r="AX649" s="2"/>
      <c r="AY649" s="2"/>
      <c r="AZ649" s="1"/>
    </row>
    <row x14ac:dyDescent="0.25" r="650" customHeight="1" ht="24.75">
      <c r="A650" s="1"/>
      <c r="B650" s="1"/>
      <c r="C650" s="1"/>
      <c r="D650" s="1"/>
      <c r="E650" s="1"/>
      <c r="F650" s="1"/>
      <c r="G650" s="1"/>
      <c r="H650" s="1"/>
      <c r="I650" s="1"/>
      <c r="J650" s="1"/>
      <c r="K650" s="17"/>
      <c r="L650" s="1"/>
      <c r="M650" s="1"/>
      <c r="N650" s="2"/>
      <c r="O650" s="2"/>
      <c r="P650" s="1"/>
      <c r="Q650" s="1"/>
      <c r="R650" s="1"/>
      <c r="S650" s="1"/>
      <c r="T650" s="40"/>
      <c r="U650" s="40"/>
      <c r="V650" s="40"/>
      <c r="W650" s="40"/>
      <c r="X650" s="22"/>
      <c r="Y650" s="22"/>
      <c r="Z650" s="22"/>
      <c r="AA650" s="22"/>
      <c r="AB650" s="22"/>
      <c r="AC650" s="22"/>
      <c r="AD650" s="22"/>
      <c r="AE650" s="22"/>
      <c r="AF650" s="22"/>
      <c r="AG650" s="22"/>
      <c r="AH650" s="22"/>
      <c r="AI650" s="22"/>
      <c r="AJ650" s="40"/>
      <c r="AK650" s="22"/>
      <c r="AL650" s="22"/>
      <c r="AM650" s="22"/>
      <c r="AN650" s="22"/>
      <c r="AO650" s="40"/>
      <c r="AP650" s="40"/>
      <c r="AQ650" s="40"/>
      <c r="AR650" s="1"/>
      <c r="AS650" s="1"/>
      <c r="AT650" s="17"/>
      <c r="AU650" s="1"/>
      <c r="AV650" s="1"/>
      <c r="AW650" s="1"/>
      <c r="AX650" s="2"/>
      <c r="AY650" s="2"/>
      <c r="AZ650" s="1"/>
    </row>
    <row x14ac:dyDescent="0.25" r="651" customHeight="1" ht="24.75">
      <c r="A651" s="1"/>
      <c r="B651" s="1"/>
      <c r="C651" s="1"/>
      <c r="D651" s="1"/>
      <c r="E651" s="1"/>
      <c r="F651" s="1"/>
      <c r="G651" s="1"/>
      <c r="H651" s="1"/>
      <c r="I651" s="1"/>
      <c r="J651" s="1"/>
      <c r="K651" s="17"/>
      <c r="L651" s="1"/>
      <c r="M651" s="1"/>
      <c r="N651" s="2"/>
      <c r="O651" s="2"/>
      <c r="P651" s="1"/>
      <c r="Q651" s="1"/>
      <c r="R651" s="1"/>
      <c r="S651" s="1"/>
      <c r="T651" s="40"/>
      <c r="U651" s="40"/>
      <c r="V651" s="40"/>
      <c r="W651" s="40"/>
      <c r="X651" s="22"/>
      <c r="Y651" s="22"/>
      <c r="Z651" s="22"/>
      <c r="AA651" s="22"/>
      <c r="AB651" s="22"/>
      <c r="AC651" s="22"/>
      <c r="AD651" s="22"/>
      <c r="AE651" s="22"/>
      <c r="AF651" s="22"/>
      <c r="AG651" s="22"/>
      <c r="AH651" s="22"/>
      <c r="AI651" s="22"/>
      <c r="AJ651" s="40"/>
      <c r="AK651" s="22"/>
      <c r="AL651" s="22"/>
      <c r="AM651" s="22"/>
      <c r="AN651" s="22"/>
      <c r="AO651" s="40"/>
      <c r="AP651" s="40"/>
      <c r="AQ651" s="40"/>
      <c r="AR651" s="1"/>
      <c r="AS651" s="1"/>
      <c r="AT651" s="17"/>
      <c r="AU651" s="1"/>
      <c r="AV651" s="1"/>
      <c r="AW651" s="1"/>
      <c r="AX651" s="2"/>
      <c r="AY651" s="2"/>
      <c r="AZ651" s="1"/>
    </row>
    <row x14ac:dyDescent="0.25" r="652" customHeight="1" ht="24.75">
      <c r="A652" s="1"/>
      <c r="B652" s="1"/>
      <c r="C652" s="1"/>
      <c r="D652" s="1"/>
      <c r="E652" s="1"/>
      <c r="F652" s="1"/>
      <c r="G652" s="1"/>
      <c r="H652" s="1"/>
      <c r="I652" s="1"/>
      <c r="J652" s="1"/>
      <c r="K652" s="17"/>
      <c r="L652" s="1"/>
      <c r="M652" s="1"/>
      <c r="N652" s="2"/>
      <c r="O652" s="2"/>
      <c r="P652" s="1"/>
      <c r="Q652" s="1"/>
      <c r="R652" s="1"/>
      <c r="S652" s="1"/>
      <c r="T652" s="40"/>
      <c r="U652" s="40"/>
      <c r="V652" s="40"/>
      <c r="W652" s="40"/>
      <c r="X652" s="22"/>
      <c r="Y652" s="22"/>
      <c r="Z652" s="22"/>
      <c r="AA652" s="22"/>
      <c r="AB652" s="22"/>
      <c r="AC652" s="22"/>
      <c r="AD652" s="22"/>
      <c r="AE652" s="22"/>
      <c r="AF652" s="22"/>
      <c r="AG652" s="22"/>
      <c r="AH652" s="22"/>
      <c r="AI652" s="22"/>
      <c r="AJ652" s="40"/>
      <c r="AK652" s="22"/>
      <c r="AL652" s="22"/>
      <c r="AM652" s="22"/>
      <c r="AN652" s="22"/>
      <c r="AO652" s="40"/>
      <c r="AP652" s="40"/>
      <c r="AQ652" s="40"/>
      <c r="AR652" s="1"/>
      <c r="AS652" s="1"/>
      <c r="AT652" s="17"/>
      <c r="AU652" s="1"/>
      <c r="AV652" s="1"/>
      <c r="AW652" s="1"/>
      <c r="AX652" s="2"/>
      <c r="AY652" s="2"/>
      <c r="AZ652" s="1"/>
    </row>
    <row x14ac:dyDescent="0.25" r="653" customHeight="1" ht="24.75">
      <c r="A653" s="1"/>
      <c r="B653" s="1"/>
      <c r="C653" s="1"/>
      <c r="D653" s="1"/>
      <c r="E653" s="1"/>
      <c r="F653" s="1"/>
      <c r="G653" s="1"/>
      <c r="H653" s="1"/>
      <c r="I653" s="1"/>
      <c r="J653" s="1"/>
      <c r="K653" s="17"/>
      <c r="L653" s="1"/>
      <c r="M653" s="1"/>
      <c r="N653" s="2"/>
      <c r="O653" s="2"/>
      <c r="P653" s="1"/>
      <c r="Q653" s="1"/>
      <c r="R653" s="1"/>
      <c r="S653" s="1"/>
      <c r="T653" s="40"/>
      <c r="U653" s="40"/>
      <c r="V653" s="40"/>
      <c r="W653" s="40"/>
      <c r="X653" s="22"/>
      <c r="Y653" s="22"/>
      <c r="Z653" s="22"/>
      <c r="AA653" s="22"/>
      <c r="AB653" s="22"/>
      <c r="AC653" s="22"/>
      <c r="AD653" s="22"/>
      <c r="AE653" s="22"/>
      <c r="AF653" s="22"/>
      <c r="AG653" s="22"/>
      <c r="AH653" s="22"/>
      <c r="AI653" s="22"/>
      <c r="AJ653" s="40"/>
      <c r="AK653" s="22"/>
      <c r="AL653" s="22"/>
      <c r="AM653" s="22"/>
      <c r="AN653" s="22"/>
      <c r="AO653" s="40"/>
      <c r="AP653" s="40"/>
      <c r="AQ653" s="40"/>
      <c r="AR653" s="1"/>
      <c r="AS653" s="1"/>
      <c r="AT653" s="17"/>
      <c r="AU653" s="1"/>
      <c r="AV653" s="1"/>
      <c r="AW653" s="1"/>
      <c r="AX653" s="2"/>
      <c r="AY653" s="2"/>
      <c r="AZ653" s="1"/>
    </row>
    <row x14ac:dyDescent="0.25" r="654" customHeight="1" ht="24.75">
      <c r="A654" s="1"/>
      <c r="B654" s="1"/>
      <c r="C654" s="1"/>
      <c r="D654" s="1"/>
      <c r="E654" s="1"/>
      <c r="F654" s="1"/>
      <c r="G654" s="1"/>
      <c r="H654" s="1"/>
      <c r="I654" s="1"/>
      <c r="J654" s="1"/>
      <c r="K654" s="17"/>
      <c r="L654" s="1"/>
      <c r="M654" s="1"/>
      <c r="N654" s="2"/>
      <c r="O654" s="2"/>
      <c r="P654" s="1"/>
      <c r="Q654" s="1"/>
      <c r="R654" s="1"/>
      <c r="S654" s="1"/>
      <c r="T654" s="40"/>
      <c r="U654" s="40"/>
      <c r="V654" s="40"/>
      <c r="W654" s="40"/>
      <c r="X654" s="22"/>
      <c r="Y654" s="22"/>
      <c r="Z654" s="22"/>
      <c r="AA654" s="22"/>
      <c r="AB654" s="22"/>
      <c r="AC654" s="22"/>
      <c r="AD654" s="22"/>
      <c r="AE654" s="22"/>
      <c r="AF654" s="22"/>
      <c r="AG654" s="22"/>
      <c r="AH654" s="22"/>
      <c r="AI654" s="22"/>
      <c r="AJ654" s="40"/>
      <c r="AK654" s="22"/>
      <c r="AL654" s="22"/>
      <c r="AM654" s="22"/>
      <c r="AN654" s="22"/>
      <c r="AO654" s="40"/>
      <c r="AP654" s="40"/>
      <c r="AQ654" s="40"/>
      <c r="AR654" s="1"/>
      <c r="AS654" s="1"/>
      <c r="AT654" s="17"/>
      <c r="AU654" s="1"/>
      <c r="AV654" s="1"/>
      <c r="AW654" s="1"/>
      <c r="AX654" s="2"/>
      <c r="AY654" s="2"/>
      <c r="AZ654" s="1"/>
    </row>
    <row x14ac:dyDescent="0.25" r="655" customHeight="1" ht="24.75">
      <c r="A655" s="1"/>
      <c r="B655" s="1"/>
      <c r="C655" s="1"/>
      <c r="D655" s="1"/>
      <c r="E655" s="1"/>
      <c r="F655" s="1"/>
      <c r="G655" s="1"/>
      <c r="H655" s="1"/>
      <c r="I655" s="1"/>
      <c r="J655" s="1"/>
      <c r="K655" s="17"/>
      <c r="L655" s="1"/>
      <c r="M655" s="1"/>
      <c r="N655" s="2"/>
      <c r="O655" s="2"/>
      <c r="P655" s="1"/>
      <c r="Q655" s="1"/>
      <c r="R655" s="1"/>
      <c r="S655" s="1"/>
      <c r="T655" s="40"/>
      <c r="U655" s="40"/>
      <c r="V655" s="40"/>
      <c r="W655" s="40"/>
      <c r="X655" s="22"/>
      <c r="Y655" s="22"/>
      <c r="Z655" s="22"/>
      <c r="AA655" s="22"/>
      <c r="AB655" s="22"/>
      <c r="AC655" s="22"/>
      <c r="AD655" s="22"/>
      <c r="AE655" s="22"/>
      <c r="AF655" s="22"/>
      <c r="AG655" s="22"/>
      <c r="AH655" s="22"/>
      <c r="AI655" s="22"/>
      <c r="AJ655" s="40"/>
      <c r="AK655" s="22"/>
      <c r="AL655" s="22"/>
      <c r="AM655" s="22"/>
      <c r="AN655" s="22"/>
      <c r="AO655" s="40"/>
      <c r="AP655" s="40"/>
      <c r="AQ655" s="40"/>
      <c r="AR655" s="1"/>
      <c r="AS655" s="1"/>
      <c r="AT655" s="17"/>
      <c r="AU655" s="1"/>
      <c r="AV655" s="1"/>
      <c r="AW655" s="1"/>
      <c r="AX655" s="2"/>
      <c r="AY655" s="2"/>
      <c r="AZ655" s="1"/>
    </row>
    <row x14ac:dyDescent="0.25" r="656" customHeight="1" ht="24.75">
      <c r="A656" s="1"/>
      <c r="B656" s="1"/>
      <c r="C656" s="1"/>
      <c r="D656" s="1"/>
      <c r="E656" s="1"/>
      <c r="F656" s="1"/>
      <c r="G656" s="1"/>
      <c r="H656" s="1"/>
      <c r="I656" s="1"/>
      <c r="J656" s="1"/>
      <c r="K656" s="17"/>
      <c r="L656" s="1"/>
      <c r="M656" s="1"/>
      <c r="N656" s="2"/>
      <c r="O656" s="2"/>
      <c r="P656" s="1"/>
      <c r="Q656" s="1"/>
      <c r="R656" s="1"/>
      <c r="S656" s="1"/>
      <c r="T656" s="40"/>
      <c r="U656" s="40"/>
      <c r="V656" s="40"/>
      <c r="W656" s="40"/>
      <c r="X656" s="22"/>
      <c r="Y656" s="22"/>
      <c r="Z656" s="22"/>
      <c r="AA656" s="22"/>
      <c r="AB656" s="22"/>
      <c r="AC656" s="22"/>
      <c r="AD656" s="22"/>
      <c r="AE656" s="22"/>
      <c r="AF656" s="22"/>
      <c r="AG656" s="22"/>
      <c r="AH656" s="22"/>
      <c r="AI656" s="22"/>
      <c r="AJ656" s="40"/>
      <c r="AK656" s="22"/>
      <c r="AL656" s="22"/>
      <c r="AM656" s="22"/>
      <c r="AN656" s="22"/>
      <c r="AO656" s="40"/>
      <c r="AP656" s="40"/>
      <c r="AQ656" s="40"/>
      <c r="AR656" s="1"/>
      <c r="AS656" s="1"/>
      <c r="AT656" s="17"/>
      <c r="AU656" s="1"/>
      <c r="AV656" s="1"/>
      <c r="AW656" s="1"/>
      <c r="AX656" s="2"/>
      <c r="AY656" s="2"/>
      <c r="AZ656" s="1"/>
    </row>
    <row x14ac:dyDescent="0.25" r="657" customHeight="1" ht="24.75">
      <c r="A657" s="1"/>
      <c r="B657" s="1"/>
      <c r="C657" s="1"/>
      <c r="D657" s="1"/>
      <c r="E657" s="1"/>
      <c r="F657" s="1"/>
      <c r="G657" s="1"/>
      <c r="H657" s="1"/>
      <c r="I657" s="1"/>
      <c r="J657" s="1"/>
      <c r="K657" s="17"/>
      <c r="L657" s="1"/>
      <c r="M657" s="1"/>
      <c r="N657" s="2"/>
      <c r="O657" s="2"/>
      <c r="P657" s="1"/>
      <c r="Q657" s="1"/>
      <c r="R657" s="1"/>
      <c r="S657" s="1"/>
      <c r="T657" s="40"/>
      <c r="U657" s="40"/>
      <c r="V657" s="40"/>
      <c r="W657" s="40"/>
      <c r="X657" s="22"/>
      <c r="Y657" s="22"/>
      <c r="Z657" s="22"/>
      <c r="AA657" s="22"/>
      <c r="AB657" s="22"/>
      <c r="AC657" s="22"/>
      <c r="AD657" s="22"/>
      <c r="AE657" s="22"/>
      <c r="AF657" s="22"/>
      <c r="AG657" s="22"/>
      <c r="AH657" s="22"/>
      <c r="AI657" s="22"/>
      <c r="AJ657" s="40"/>
      <c r="AK657" s="22"/>
      <c r="AL657" s="22"/>
      <c r="AM657" s="22"/>
      <c r="AN657" s="22"/>
      <c r="AO657" s="40"/>
      <c r="AP657" s="40"/>
      <c r="AQ657" s="40"/>
      <c r="AR657" s="1"/>
      <c r="AS657" s="1"/>
      <c r="AT657" s="17"/>
      <c r="AU657" s="1"/>
      <c r="AV657" s="1"/>
      <c r="AW657" s="1"/>
      <c r="AX657" s="2"/>
      <c r="AY657" s="2"/>
      <c r="AZ657" s="1"/>
    </row>
    <row x14ac:dyDescent="0.25" r="658" customHeight="1" ht="24.75">
      <c r="A658" s="1"/>
      <c r="B658" s="1"/>
      <c r="C658" s="1"/>
      <c r="D658" s="1"/>
      <c r="E658" s="1"/>
      <c r="F658" s="1"/>
      <c r="G658" s="1"/>
      <c r="H658" s="1"/>
      <c r="I658" s="1"/>
      <c r="J658" s="1"/>
      <c r="K658" s="17"/>
      <c r="L658" s="1"/>
      <c r="M658" s="1"/>
      <c r="N658" s="2"/>
      <c r="O658" s="2"/>
      <c r="P658" s="1"/>
      <c r="Q658" s="1"/>
      <c r="R658" s="1"/>
      <c r="S658" s="1"/>
      <c r="T658" s="40"/>
      <c r="U658" s="40"/>
      <c r="V658" s="40"/>
      <c r="W658" s="40"/>
      <c r="X658" s="22"/>
      <c r="Y658" s="22"/>
      <c r="Z658" s="22"/>
      <c r="AA658" s="22"/>
      <c r="AB658" s="22"/>
      <c r="AC658" s="22"/>
      <c r="AD658" s="22"/>
      <c r="AE658" s="22"/>
      <c r="AF658" s="22"/>
      <c r="AG658" s="22"/>
      <c r="AH658" s="22"/>
      <c r="AI658" s="22"/>
      <c r="AJ658" s="40"/>
      <c r="AK658" s="22"/>
      <c r="AL658" s="22"/>
      <c r="AM658" s="22"/>
      <c r="AN658" s="22"/>
      <c r="AO658" s="40"/>
      <c r="AP658" s="40"/>
      <c r="AQ658" s="40"/>
      <c r="AR658" s="1"/>
      <c r="AS658" s="1"/>
      <c r="AT658" s="17"/>
      <c r="AU658" s="1"/>
      <c r="AV658" s="1"/>
      <c r="AW658" s="1"/>
      <c r="AX658" s="2"/>
      <c r="AY658" s="2"/>
      <c r="AZ658" s="1"/>
    </row>
    <row x14ac:dyDescent="0.25" r="659" customHeight="1" ht="24.75">
      <c r="A659" s="1"/>
      <c r="B659" s="1"/>
      <c r="C659" s="1"/>
      <c r="D659" s="1"/>
      <c r="E659" s="1"/>
      <c r="F659" s="1"/>
      <c r="G659" s="1"/>
      <c r="H659" s="1"/>
      <c r="I659" s="1"/>
      <c r="J659" s="1"/>
      <c r="K659" s="17"/>
      <c r="L659" s="1"/>
      <c r="M659" s="1"/>
      <c r="N659" s="2"/>
      <c r="O659" s="2"/>
      <c r="P659" s="1"/>
      <c r="Q659" s="1"/>
      <c r="R659" s="1"/>
      <c r="S659" s="1"/>
      <c r="T659" s="40"/>
      <c r="U659" s="40"/>
      <c r="V659" s="40"/>
      <c r="W659" s="40"/>
      <c r="X659" s="22"/>
      <c r="Y659" s="22"/>
      <c r="Z659" s="22"/>
      <c r="AA659" s="22"/>
      <c r="AB659" s="22"/>
      <c r="AC659" s="22"/>
      <c r="AD659" s="22"/>
      <c r="AE659" s="22"/>
      <c r="AF659" s="22"/>
      <c r="AG659" s="22"/>
      <c r="AH659" s="22"/>
      <c r="AI659" s="22"/>
      <c r="AJ659" s="40"/>
      <c r="AK659" s="22"/>
      <c r="AL659" s="22"/>
      <c r="AM659" s="22"/>
      <c r="AN659" s="22"/>
      <c r="AO659" s="40"/>
      <c r="AP659" s="40"/>
      <c r="AQ659" s="40"/>
      <c r="AR659" s="1"/>
      <c r="AS659" s="1"/>
      <c r="AT659" s="17"/>
      <c r="AU659" s="1"/>
      <c r="AV659" s="1"/>
      <c r="AW659" s="1"/>
      <c r="AX659" s="2"/>
      <c r="AY659" s="2"/>
      <c r="AZ659" s="1"/>
    </row>
    <row x14ac:dyDescent="0.25" r="660" customHeight="1" ht="24.75">
      <c r="A660" s="1"/>
      <c r="B660" s="1"/>
      <c r="C660" s="1"/>
      <c r="D660" s="1"/>
      <c r="E660" s="1"/>
      <c r="F660" s="1"/>
      <c r="G660" s="1"/>
      <c r="H660" s="1"/>
      <c r="I660" s="1"/>
      <c r="J660" s="1"/>
      <c r="K660" s="17"/>
      <c r="L660" s="1"/>
      <c r="M660" s="1"/>
      <c r="N660" s="2"/>
      <c r="O660" s="2"/>
      <c r="P660" s="1"/>
      <c r="Q660" s="1"/>
      <c r="R660" s="1"/>
      <c r="S660" s="1"/>
      <c r="T660" s="40"/>
      <c r="U660" s="40"/>
      <c r="V660" s="40"/>
      <c r="W660" s="40"/>
      <c r="X660" s="22"/>
      <c r="Y660" s="22"/>
      <c r="Z660" s="22"/>
      <c r="AA660" s="22"/>
      <c r="AB660" s="22"/>
      <c r="AC660" s="22"/>
      <c r="AD660" s="22"/>
      <c r="AE660" s="22"/>
      <c r="AF660" s="22"/>
      <c r="AG660" s="22"/>
      <c r="AH660" s="22"/>
      <c r="AI660" s="22"/>
      <c r="AJ660" s="40"/>
      <c r="AK660" s="22"/>
      <c r="AL660" s="22"/>
      <c r="AM660" s="22"/>
      <c r="AN660" s="22"/>
      <c r="AO660" s="40"/>
      <c r="AP660" s="40"/>
      <c r="AQ660" s="40"/>
      <c r="AR660" s="1"/>
      <c r="AS660" s="1"/>
      <c r="AT660" s="17"/>
      <c r="AU660" s="1"/>
      <c r="AV660" s="1"/>
      <c r="AW660" s="1"/>
      <c r="AX660" s="2"/>
      <c r="AY660" s="2"/>
      <c r="AZ660" s="1"/>
    </row>
    <row x14ac:dyDescent="0.25" r="661" customHeight="1" ht="24.75">
      <c r="A661" s="1"/>
      <c r="B661" s="1"/>
      <c r="C661" s="1"/>
      <c r="D661" s="1"/>
      <c r="E661" s="1"/>
      <c r="F661" s="1"/>
      <c r="G661" s="1"/>
      <c r="H661" s="1"/>
      <c r="I661" s="1"/>
      <c r="J661" s="1"/>
      <c r="K661" s="17"/>
      <c r="L661" s="1"/>
      <c r="M661" s="1"/>
      <c r="N661" s="2"/>
      <c r="O661" s="2"/>
      <c r="P661" s="1"/>
      <c r="Q661" s="1"/>
      <c r="R661" s="1"/>
      <c r="S661" s="1"/>
      <c r="T661" s="40"/>
      <c r="U661" s="40"/>
      <c r="V661" s="40"/>
      <c r="W661" s="40"/>
      <c r="X661" s="22"/>
      <c r="Y661" s="22"/>
      <c r="Z661" s="22"/>
      <c r="AA661" s="22"/>
      <c r="AB661" s="22"/>
      <c r="AC661" s="22"/>
      <c r="AD661" s="22"/>
      <c r="AE661" s="22"/>
      <c r="AF661" s="22"/>
      <c r="AG661" s="22"/>
      <c r="AH661" s="22"/>
      <c r="AI661" s="22"/>
      <c r="AJ661" s="40"/>
      <c r="AK661" s="22"/>
      <c r="AL661" s="22"/>
      <c r="AM661" s="22"/>
      <c r="AN661" s="22"/>
      <c r="AO661" s="40"/>
      <c r="AP661" s="40"/>
      <c r="AQ661" s="40"/>
      <c r="AR661" s="1"/>
      <c r="AS661" s="1"/>
      <c r="AT661" s="17"/>
      <c r="AU661" s="1"/>
      <c r="AV661" s="1"/>
      <c r="AW661" s="1"/>
      <c r="AX661" s="2"/>
      <c r="AY661" s="2"/>
      <c r="AZ661" s="1"/>
    </row>
    <row x14ac:dyDescent="0.25" r="662" customHeight="1" ht="24.75">
      <c r="A662" s="1"/>
      <c r="B662" s="1"/>
      <c r="C662" s="1"/>
      <c r="D662" s="1"/>
      <c r="E662" s="1"/>
      <c r="F662" s="1"/>
      <c r="G662" s="1"/>
      <c r="H662" s="1"/>
      <c r="I662" s="1"/>
      <c r="J662" s="1"/>
      <c r="K662" s="17"/>
      <c r="L662" s="1"/>
      <c r="M662" s="1"/>
      <c r="N662" s="2"/>
      <c r="O662" s="2"/>
      <c r="P662" s="1"/>
      <c r="Q662" s="1"/>
      <c r="R662" s="1"/>
      <c r="S662" s="1"/>
      <c r="T662" s="40"/>
      <c r="U662" s="40"/>
      <c r="V662" s="40"/>
      <c r="W662" s="40"/>
      <c r="X662" s="22"/>
      <c r="Y662" s="22"/>
      <c r="Z662" s="22"/>
      <c r="AA662" s="22"/>
      <c r="AB662" s="22"/>
      <c r="AC662" s="22"/>
      <c r="AD662" s="22"/>
      <c r="AE662" s="22"/>
      <c r="AF662" s="22"/>
      <c r="AG662" s="22"/>
      <c r="AH662" s="22"/>
      <c r="AI662" s="22"/>
      <c r="AJ662" s="40"/>
      <c r="AK662" s="22"/>
      <c r="AL662" s="22"/>
      <c r="AM662" s="22"/>
      <c r="AN662" s="22"/>
      <c r="AO662" s="40"/>
      <c r="AP662" s="40"/>
      <c r="AQ662" s="40"/>
      <c r="AR662" s="1"/>
      <c r="AS662" s="1"/>
      <c r="AT662" s="17"/>
      <c r="AU662" s="1"/>
      <c r="AV662" s="1"/>
      <c r="AW662" s="1"/>
      <c r="AX662" s="2"/>
      <c r="AY662" s="2"/>
      <c r="AZ662" s="1"/>
    </row>
    <row x14ac:dyDescent="0.25" r="663" customHeight="1" ht="24.75">
      <c r="A663" s="1"/>
      <c r="B663" s="1"/>
      <c r="C663" s="1"/>
      <c r="D663" s="1"/>
      <c r="E663" s="1"/>
      <c r="F663" s="1"/>
      <c r="G663" s="1"/>
      <c r="H663" s="1"/>
      <c r="I663" s="1"/>
      <c r="J663" s="1"/>
      <c r="K663" s="17"/>
      <c r="L663" s="1"/>
      <c r="M663" s="1"/>
      <c r="N663" s="2"/>
      <c r="O663" s="2"/>
      <c r="P663" s="1"/>
      <c r="Q663" s="1"/>
      <c r="R663" s="1"/>
      <c r="S663" s="1"/>
      <c r="T663" s="40"/>
      <c r="U663" s="40"/>
      <c r="V663" s="40"/>
      <c r="W663" s="40"/>
      <c r="X663" s="22"/>
      <c r="Y663" s="22"/>
      <c r="Z663" s="22"/>
      <c r="AA663" s="22"/>
      <c r="AB663" s="22"/>
      <c r="AC663" s="22"/>
      <c r="AD663" s="22"/>
      <c r="AE663" s="22"/>
      <c r="AF663" s="22"/>
      <c r="AG663" s="22"/>
      <c r="AH663" s="22"/>
      <c r="AI663" s="22"/>
      <c r="AJ663" s="40"/>
      <c r="AK663" s="22"/>
      <c r="AL663" s="22"/>
      <c r="AM663" s="22"/>
      <c r="AN663" s="22"/>
      <c r="AO663" s="40"/>
      <c r="AP663" s="40"/>
      <c r="AQ663" s="40"/>
      <c r="AR663" s="1"/>
      <c r="AS663" s="1"/>
      <c r="AT663" s="17"/>
      <c r="AU663" s="1"/>
      <c r="AV663" s="1"/>
      <c r="AW663" s="1"/>
      <c r="AX663" s="2"/>
      <c r="AY663" s="2"/>
      <c r="AZ663" s="1"/>
    </row>
    <row x14ac:dyDescent="0.25" r="664" customHeight="1" ht="24.75">
      <c r="A664" s="1"/>
      <c r="B664" s="1"/>
      <c r="C664" s="1"/>
      <c r="D664" s="1"/>
      <c r="E664" s="1"/>
      <c r="F664" s="1"/>
      <c r="G664" s="1"/>
      <c r="H664" s="1"/>
      <c r="I664" s="1"/>
      <c r="J664" s="1"/>
      <c r="K664" s="17"/>
      <c r="L664" s="1"/>
      <c r="M664" s="1"/>
      <c r="N664" s="2"/>
      <c r="O664" s="2"/>
      <c r="P664" s="1"/>
      <c r="Q664" s="1"/>
      <c r="R664" s="1"/>
      <c r="S664" s="1"/>
      <c r="T664" s="40"/>
      <c r="U664" s="40"/>
      <c r="V664" s="40"/>
      <c r="W664" s="40"/>
      <c r="X664" s="22"/>
      <c r="Y664" s="22"/>
      <c r="Z664" s="22"/>
      <c r="AA664" s="22"/>
      <c r="AB664" s="22"/>
      <c r="AC664" s="22"/>
      <c r="AD664" s="22"/>
      <c r="AE664" s="22"/>
      <c r="AF664" s="22"/>
      <c r="AG664" s="22"/>
      <c r="AH664" s="22"/>
      <c r="AI664" s="22"/>
      <c r="AJ664" s="40"/>
      <c r="AK664" s="22"/>
      <c r="AL664" s="22"/>
      <c r="AM664" s="22"/>
      <c r="AN664" s="22"/>
      <c r="AO664" s="40"/>
      <c r="AP664" s="40"/>
      <c r="AQ664" s="40"/>
      <c r="AR664" s="1"/>
      <c r="AS664" s="1"/>
      <c r="AT664" s="17"/>
      <c r="AU664" s="1"/>
      <c r="AV664" s="1"/>
      <c r="AW664" s="1"/>
      <c r="AX664" s="2"/>
      <c r="AY664" s="2"/>
      <c r="AZ664" s="1"/>
    </row>
    <row x14ac:dyDescent="0.25" r="665" customHeight="1" ht="24.75">
      <c r="A665" s="1"/>
      <c r="B665" s="1"/>
      <c r="C665" s="1"/>
      <c r="D665" s="1"/>
      <c r="E665" s="1"/>
      <c r="F665" s="1"/>
      <c r="G665" s="1"/>
      <c r="H665" s="1"/>
      <c r="I665" s="1"/>
      <c r="J665" s="1"/>
      <c r="K665" s="17"/>
      <c r="L665" s="1"/>
      <c r="M665" s="1"/>
      <c r="N665" s="2"/>
      <c r="O665" s="2"/>
      <c r="P665" s="1"/>
      <c r="Q665" s="1"/>
      <c r="R665" s="1"/>
      <c r="S665" s="1"/>
      <c r="T665" s="40"/>
      <c r="U665" s="40"/>
      <c r="V665" s="40"/>
      <c r="W665" s="40"/>
      <c r="X665" s="22"/>
      <c r="Y665" s="22"/>
      <c r="Z665" s="22"/>
      <c r="AA665" s="22"/>
      <c r="AB665" s="22"/>
      <c r="AC665" s="22"/>
      <c r="AD665" s="22"/>
      <c r="AE665" s="22"/>
      <c r="AF665" s="22"/>
      <c r="AG665" s="22"/>
      <c r="AH665" s="22"/>
      <c r="AI665" s="22"/>
      <c r="AJ665" s="40"/>
      <c r="AK665" s="22"/>
      <c r="AL665" s="22"/>
      <c r="AM665" s="22"/>
      <c r="AN665" s="22"/>
      <c r="AO665" s="40"/>
      <c r="AP665" s="40"/>
      <c r="AQ665" s="40"/>
      <c r="AR665" s="1"/>
      <c r="AS665" s="1"/>
      <c r="AT665" s="17"/>
      <c r="AU665" s="1"/>
      <c r="AV665" s="1"/>
      <c r="AW665" s="1"/>
      <c r="AX665" s="2"/>
      <c r="AY665" s="2"/>
      <c r="AZ665" s="1"/>
    </row>
    <row x14ac:dyDescent="0.25" r="666" customHeight="1" ht="24.75">
      <c r="A666" s="1"/>
      <c r="B666" s="1"/>
      <c r="C666" s="1"/>
      <c r="D666" s="1"/>
      <c r="E666" s="1"/>
      <c r="F666" s="1"/>
      <c r="G666" s="1"/>
      <c r="H666" s="1"/>
      <c r="I666" s="1"/>
      <c r="J666" s="1"/>
      <c r="K666" s="17"/>
      <c r="L666" s="1"/>
      <c r="M666" s="1"/>
      <c r="N666" s="2"/>
      <c r="O666" s="2"/>
      <c r="P666" s="1"/>
      <c r="Q666" s="1"/>
      <c r="R666" s="1"/>
      <c r="S666" s="1"/>
      <c r="T666" s="40"/>
      <c r="U666" s="40"/>
      <c r="V666" s="40"/>
      <c r="W666" s="40"/>
      <c r="X666" s="22"/>
      <c r="Y666" s="22"/>
      <c r="Z666" s="22"/>
      <c r="AA666" s="22"/>
      <c r="AB666" s="22"/>
      <c r="AC666" s="22"/>
      <c r="AD666" s="22"/>
      <c r="AE666" s="22"/>
      <c r="AF666" s="22"/>
      <c r="AG666" s="22"/>
      <c r="AH666" s="22"/>
      <c r="AI666" s="22"/>
      <c r="AJ666" s="40"/>
      <c r="AK666" s="22"/>
      <c r="AL666" s="22"/>
      <c r="AM666" s="22"/>
      <c r="AN666" s="22"/>
      <c r="AO666" s="40"/>
      <c r="AP666" s="40"/>
      <c r="AQ666" s="40"/>
      <c r="AR666" s="1"/>
      <c r="AS666" s="1"/>
      <c r="AT666" s="17"/>
      <c r="AU666" s="1"/>
      <c r="AV666" s="1"/>
      <c r="AW666" s="1"/>
      <c r="AX666" s="2"/>
      <c r="AY666" s="2"/>
      <c r="AZ666" s="1"/>
    </row>
    <row x14ac:dyDescent="0.25" r="667" customHeight="1" ht="24.75">
      <c r="A667" s="1"/>
      <c r="B667" s="1"/>
      <c r="C667" s="1"/>
      <c r="D667" s="1"/>
      <c r="E667" s="1"/>
      <c r="F667" s="1"/>
      <c r="G667" s="1"/>
      <c r="H667" s="1"/>
      <c r="I667" s="1"/>
      <c r="J667" s="1"/>
      <c r="K667" s="17"/>
      <c r="L667" s="1"/>
      <c r="M667" s="1"/>
      <c r="N667" s="2"/>
      <c r="O667" s="2"/>
      <c r="P667" s="1"/>
      <c r="Q667" s="1"/>
      <c r="R667" s="1"/>
      <c r="S667" s="1"/>
      <c r="T667" s="40"/>
      <c r="U667" s="40"/>
      <c r="V667" s="40"/>
      <c r="W667" s="40"/>
      <c r="X667" s="22"/>
      <c r="Y667" s="22"/>
      <c r="Z667" s="22"/>
      <c r="AA667" s="22"/>
      <c r="AB667" s="22"/>
      <c r="AC667" s="22"/>
      <c r="AD667" s="22"/>
      <c r="AE667" s="22"/>
      <c r="AF667" s="22"/>
      <c r="AG667" s="22"/>
      <c r="AH667" s="22"/>
      <c r="AI667" s="22"/>
      <c r="AJ667" s="40"/>
      <c r="AK667" s="22"/>
      <c r="AL667" s="22"/>
      <c r="AM667" s="22"/>
      <c r="AN667" s="22"/>
      <c r="AO667" s="40"/>
      <c r="AP667" s="40"/>
      <c r="AQ667" s="40"/>
      <c r="AR667" s="1"/>
      <c r="AS667" s="1"/>
      <c r="AT667" s="17"/>
      <c r="AU667" s="1"/>
      <c r="AV667" s="1"/>
      <c r="AW667" s="1"/>
      <c r="AX667" s="2"/>
      <c r="AY667" s="2"/>
      <c r="AZ667" s="1"/>
    </row>
    <row x14ac:dyDescent="0.25" r="668" customHeight="1" ht="24.75">
      <c r="A668" s="1"/>
      <c r="B668" s="1"/>
      <c r="C668" s="1"/>
      <c r="D668" s="1"/>
      <c r="E668" s="1"/>
      <c r="F668" s="1"/>
      <c r="G668" s="1"/>
      <c r="H668" s="1"/>
      <c r="I668" s="1"/>
      <c r="J668" s="1"/>
      <c r="K668" s="17"/>
      <c r="L668" s="1"/>
      <c r="M668" s="1"/>
      <c r="N668" s="2"/>
      <c r="O668" s="2"/>
      <c r="P668" s="1"/>
      <c r="Q668" s="1"/>
      <c r="R668" s="1"/>
      <c r="S668" s="1"/>
      <c r="T668" s="40"/>
      <c r="U668" s="40"/>
      <c r="V668" s="40"/>
      <c r="W668" s="40"/>
      <c r="X668" s="22"/>
      <c r="Y668" s="22"/>
      <c r="Z668" s="22"/>
      <c r="AA668" s="22"/>
      <c r="AB668" s="22"/>
      <c r="AC668" s="22"/>
      <c r="AD668" s="22"/>
      <c r="AE668" s="22"/>
      <c r="AF668" s="22"/>
      <c r="AG668" s="22"/>
      <c r="AH668" s="22"/>
      <c r="AI668" s="22"/>
      <c r="AJ668" s="40"/>
      <c r="AK668" s="22"/>
      <c r="AL668" s="22"/>
      <c r="AM668" s="22"/>
      <c r="AN668" s="22"/>
      <c r="AO668" s="40"/>
      <c r="AP668" s="40"/>
      <c r="AQ668" s="40"/>
      <c r="AR668" s="1"/>
      <c r="AS668" s="1"/>
      <c r="AT668" s="17"/>
      <c r="AU668" s="1"/>
      <c r="AV668" s="1"/>
      <c r="AW668" s="1"/>
      <c r="AX668" s="2"/>
      <c r="AY668" s="2"/>
      <c r="AZ668" s="1"/>
    </row>
    <row x14ac:dyDescent="0.25" r="669" customHeight="1" ht="24.75">
      <c r="A669" s="1"/>
      <c r="B669" s="1"/>
      <c r="C669" s="1"/>
      <c r="D669" s="1"/>
      <c r="E669" s="1"/>
      <c r="F669" s="1"/>
      <c r="G669" s="1"/>
      <c r="H669" s="1"/>
      <c r="I669" s="1"/>
      <c r="J669" s="1"/>
      <c r="K669" s="17"/>
      <c r="L669" s="1"/>
      <c r="M669" s="1"/>
      <c r="N669" s="2"/>
      <c r="O669" s="2"/>
      <c r="P669" s="1"/>
      <c r="Q669" s="1"/>
      <c r="R669" s="1"/>
      <c r="S669" s="1"/>
      <c r="T669" s="40"/>
      <c r="U669" s="40"/>
      <c r="V669" s="40"/>
      <c r="W669" s="40"/>
      <c r="X669" s="22"/>
      <c r="Y669" s="22"/>
      <c r="Z669" s="22"/>
      <c r="AA669" s="22"/>
      <c r="AB669" s="22"/>
      <c r="AC669" s="22"/>
      <c r="AD669" s="22"/>
      <c r="AE669" s="22"/>
      <c r="AF669" s="22"/>
      <c r="AG669" s="22"/>
      <c r="AH669" s="22"/>
      <c r="AI669" s="22"/>
      <c r="AJ669" s="40"/>
      <c r="AK669" s="22"/>
      <c r="AL669" s="22"/>
      <c r="AM669" s="22"/>
      <c r="AN669" s="22"/>
      <c r="AO669" s="40"/>
      <c r="AP669" s="40"/>
      <c r="AQ669" s="40"/>
      <c r="AR669" s="1"/>
      <c r="AS669" s="1"/>
      <c r="AT669" s="17"/>
      <c r="AU669" s="1"/>
      <c r="AV669" s="1"/>
      <c r="AW669" s="1"/>
      <c r="AX669" s="2"/>
      <c r="AY669" s="2"/>
      <c r="AZ669" s="1"/>
    </row>
    <row x14ac:dyDescent="0.25" r="670" customHeight="1" ht="24.75">
      <c r="A670" s="1"/>
      <c r="B670" s="1"/>
      <c r="C670" s="1"/>
      <c r="D670" s="1"/>
      <c r="E670" s="1"/>
      <c r="F670" s="1"/>
      <c r="G670" s="1"/>
      <c r="H670" s="1"/>
      <c r="I670" s="1"/>
      <c r="J670" s="1"/>
      <c r="K670" s="17"/>
      <c r="L670" s="1"/>
      <c r="M670" s="1"/>
      <c r="N670" s="2"/>
      <c r="O670" s="2"/>
      <c r="P670" s="1"/>
      <c r="Q670" s="1"/>
      <c r="R670" s="1"/>
      <c r="S670" s="1"/>
      <c r="T670" s="40"/>
      <c r="U670" s="40"/>
      <c r="V670" s="40"/>
      <c r="W670" s="40"/>
      <c r="X670" s="22"/>
      <c r="Y670" s="22"/>
      <c r="Z670" s="22"/>
      <c r="AA670" s="22"/>
      <c r="AB670" s="22"/>
      <c r="AC670" s="22"/>
      <c r="AD670" s="22"/>
      <c r="AE670" s="22"/>
      <c r="AF670" s="22"/>
      <c r="AG670" s="22"/>
      <c r="AH670" s="22"/>
      <c r="AI670" s="22"/>
      <c r="AJ670" s="40"/>
      <c r="AK670" s="22"/>
      <c r="AL670" s="22"/>
      <c r="AM670" s="22"/>
      <c r="AN670" s="22"/>
      <c r="AO670" s="40"/>
      <c r="AP670" s="40"/>
      <c r="AQ670" s="40"/>
      <c r="AR670" s="1"/>
      <c r="AS670" s="1"/>
      <c r="AT670" s="17"/>
      <c r="AU670" s="1"/>
      <c r="AV670" s="1"/>
      <c r="AW670" s="1"/>
      <c r="AX670" s="2"/>
      <c r="AY670" s="2"/>
      <c r="AZ670" s="1"/>
    </row>
    <row x14ac:dyDescent="0.25" r="671" customHeight="1" ht="24.75">
      <c r="A671" s="1"/>
      <c r="B671" s="1"/>
      <c r="C671" s="1"/>
      <c r="D671" s="1"/>
      <c r="E671" s="1"/>
      <c r="F671" s="1"/>
      <c r="G671" s="1"/>
      <c r="H671" s="1"/>
      <c r="I671" s="1"/>
      <c r="J671" s="1"/>
      <c r="K671" s="17"/>
      <c r="L671" s="1"/>
      <c r="M671" s="1"/>
      <c r="N671" s="2"/>
      <c r="O671" s="2"/>
      <c r="P671" s="1"/>
      <c r="Q671" s="1"/>
      <c r="R671" s="1"/>
      <c r="S671" s="1"/>
      <c r="T671" s="40"/>
      <c r="U671" s="40"/>
      <c r="V671" s="40"/>
      <c r="W671" s="40"/>
      <c r="X671" s="22"/>
      <c r="Y671" s="22"/>
      <c r="Z671" s="22"/>
      <c r="AA671" s="22"/>
      <c r="AB671" s="22"/>
      <c r="AC671" s="22"/>
      <c r="AD671" s="22"/>
      <c r="AE671" s="22"/>
      <c r="AF671" s="22"/>
      <c r="AG671" s="22"/>
      <c r="AH671" s="22"/>
      <c r="AI671" s="22"/>
      <c r="AJ671" s="40"/>
      <c r="AK671" s="22"/>
      <c r="AL671" s="22"/>
      <c r="AM671" s="22"/>
      <c r="AN671" s="22"/>
      <c r="AO671" s="40"/>
      <c r="AP671" s="40"/>
      <c r="AQ671" s="40"/>
      <c r="AR671" s="1"/>
      <c r="AS671" s="1"/>
      <c r="AT671" s="17"/>
      <c r="AU671" s="1"/>
      <c r="AV671" s="1"/>
      <c r="AW671" s="1"/>
      <c r="AX671" s="2"/>
      <c r="AY671" s="2"/>
      <c r="AZ671" s="1"/>
    </row>
    <row x14ac:dyDescent="0.25" r="672" customHeight="1" ht="24.75">
      <c r="A672" s="1"/>
      <c r="B672" s="1"/>
      <c r="C672" s="1"/>
      <c r="D672" s="1"/>
      <c r="E672" s="1"/>
      <c r="F672" s="1"/>
      <c r="G672" s="1"/>
      <c r="H672" s="1"/>
      <c r="I672" s="1"/>
      <c r="J672" s="1"/>
      <c r="K672" s="17"/>
      <c r="L672" s="1"/>
      <c r="M672" s="1"/>
      <c r="N672" s="2"/>
      <c r="O672" s="2"/>
      <c r="P672" s="1"/>
      <c r="Q672" s="1"/>
      <c r="R672" s="1"/>
      <c r="S672" s="1"/>
      <c r="T672" s="40"/>
      <c r="U672" s="40"/>
      <c r="V672" s="40"/>
      <c r="W672" s="40"/>
      <c r="X672" s="22"/>
      <c r="Y672" s="22"/>
      <c r="Z672" s="22"/>
      <c r="AA672" s="22"/>
      <c r="AB672" s="22"/>
      <c r="AC672" s="22"/>
      <c r="AD672" s="22"/>
      <c r="AE672" s="22"/>
      <c r="AF672" s="22"/>
      <c r="AG672" s="22"/>
      <c r="AH672" s="22"/>
      <c r="AI672" s="22"/>
      <c r="AJ672" s="40"/>
      <c r="AK672" s="22"/>
      <c r="AL672" s="22"/>
      <c r="AM672" s="22"/>
      <c r="AN672" s="22"/>
      <c r="AO672" s="40"/>
      <c r="AP672" s="40"/>
      <c r="AQ672" s="40"/>
      <c r="AR672" s="1"/>
      <c r="AS672" s="1"/>
      <c r="AT672" s="17"/>
      <c r="AU672" s="1"/>
      <c r="AV672" s="1"/>
      <c r="AW672" s="1"/>
      <c r="AX672" s="2"/>
      <c r="AY672" s="2"/>
      <c r="AZ672" s="1"/>
    </row>
    <row x14ac:dyDescent="0.25" r="673" customHeight="1" ht="24.75">
      <c r="A673" s="1"/>
      <c r="B673" s="1"/>
      <c r="C673" s="1"/>
      <c r="D673" s="1"/>
      <c r="E673" s="1"/>
      <c r="F673" s="1"/>
      <c r="G673" s="1"/>
      <c r="H673" s="1"/>
      <c r="I673" s="1"/>
      <c r="J673" s="1"/>
      <c r="K673" s="17"/>
      <c r="L673" s="1"/>
      <c r="M673" s="1"/>
      <c r="N673" s="2"/>
      <c r="O673" s="2"/>
      <c r="P673" s="1"/>
      <c r="Q673" s="1"/>
      <c r="R673" s="1"/>
      <c r="S673" s="1"/>
      <c r="T673" s="40"/>
      <c r="U673" s="40"/>
      <c r="V673" s="40"/>
      <c r="W673" s="40"/>
      <c r="X673" s="22"/>
      <c r="Y673" s="22"/>
      <c r="Z673" s="22"/>
      <c r="AA673" s="22"/>
      <c r="AB673" s="22"/>
      <c r="AC673" s="22"/>
      <c r="AD673" s="22"/>
      <c r="AE673" s="22"/>
      <c r="AF673" s="22"/>
      <c r="AG673" s="22"/>
      <c r="AH673" s="22"/>
      <c r="AI673" s="22"/>
      <c r="AJ673" s="40"/>
      <c r="AK673" s="22"/>
      <c r="AL673" s="22"/>
      <c r="AM673" s="22"/>
      <c r="AN673" s="22"/>
      <c r="AO673" s="40"/>
      <c r="AP673" s="40"/>
      <c r="AQ673" s="40"/>
      <c r="AR673" s="1"/>
      <c r="AS673" s="1"/>
      <c r="AT673" s="17"/>
      <c r="AU673" s="1"/>
      <c r="AV673" s="1"/>
      <c r="AW673" s="1"/>
      <c r="AX673" s="2"/>
      <c r="AY673" s="2"/>
      <c r="AZ673" s="1"/>
    </row>
    <row x14ac:dyDescent="0.25" r="674" customHeight="1" ht="24.75">
      <c r="A674" s="1"/>
      <c r="B674" s="1"/>
      <c r="C674" s="1"/>
      <c r="D674" s="1"/>
      <c r="E674" s="1"/>
      <c r="F674" s="1"/>
      <c r="G674" s="1"/>
      <c r="H674" s="1"/>
      <c r="I674" s="1"/>
      <c r="J674" s="1"/>
      <c r="K674" s="17"/>
      <c r="L674" s="1"/>
      <c r="M674" s="1"/>
      <c r="N674" s="2"/>
      <c r="O674" s="2"/>
      <c r="P674" s="1"/>
      <c r="Q674" s="1"/>
      <c r="R674" s="1"/>
      <c r="S674" s="1"/>
      <c r="T674" s="40"/>
      <c r="U674" s="40"/>
      <c r="V674" s="40"/>
      <c r="W674" s="40"/>
      <c r="X674" s="22"/>
      <c r="Y674" s="22"/>
      <c r="Z674" s="22"/>
      <c r="AA674" s="22"/>
      <c r="AB674" s="22"/>
      <c r="AC674" s="22"/>
      <c r="AD674" s="22"/>
      <c r="AE674" s="22"/>
      <c r="AF674" s="22"/>
      <c r="AG674" s="22"/>
      <c r="AH674" s="22"/>
      <c r="AI674" s="22"/>
      <c r="AJ674" s="40"/>
      <c r="AK674" s="22"/>
      <c r="AL674" s="22"/>
      <c r="AM674" s="22"/>
      <c r="AN674" s="22"/>
      <c r="AO674" s="40"/>
      <c r="AP674" s="40"/>
      <c r="AQ674" s="40"/>
      <c r="AR674" s="1"/>
      <c r="AS674" s="1"/>
      <c r="AT674" s="17"/>
      <c r="AU674" s="1"/>
      <c r="AV674" s="1"/>
      <c r="AW674" s="1"/>
      <c r="AX674" s="2"/>
      <c r="AY674" s="2"/>
      <c r="AZ674" s="1"/>
    </row>
    <row x14ac:dyDescent="0.25" r="675" customHeight="1" ht="24.75">
      <c r="A675" s="1"/>
      <c r="B675" s="1"/>
      <c r="C675" s="1"/>
      <c r="D675" s="1"/>
      <c r="E675" s="1"/>
      <c r="F675" s="1"/>
      <c r="G675" s="1"/>
      <c r="H675" s="1"/>
      <c r="I675" s="1"/>
      <c r="J675" s="1"/>
      <c r="K675" s="17"/>
      <c r="L675" s="1"/>
      <c r="M675" s="1"/>
      <c r="N675" s="2"/>
      <c r="O675" s="2"/>
      <c r="P675" s="1"/>
      <c r="Q675" s="1"/>
      <c r="R675" s="1"/>
      <c r="S675" s="1"/>
      <c r="T675" s="40"/>
      <c r="U675" s="40"/>
      <c r="V675" s="40"/>
      <c r="W675" s="40"/>
      <c r="X675" s="22"/>
      <c r="Y675" s="22"/>
      <c r="Z675" s="22"/>
      <c r="AA675" s="22"/>
      <c r="AB675" s="22"/>
      <c r="AC675" s="22"/>
      <c r="AD675" s="22"/>
      <c r="AE675" s="22"/>
      <c r="AF675" s="22"/>
      <c r="AG675" s="22"/>
      <c r="AH675" s="22"/>
      <c r="AI675" s="22"/>
      <c r="AJ675" s="40"/>
      <c r="AK675" s="22"/>
      <c r="AL675" s="22"/>
      <c r="AM675" s="22"/>
      <c r="AN675" s="22"/>
      <c r="AO675" s="40"/>
      <c r="AP675" s="40"/>
      <c r="AQ675" s="40"/>
      <c r="AR675" s="1"/>
      <c r="AS675" s="1"/>
      <c r="AT675" s="17"/>
      <c r="AU675" s="1"/>
      <c r="AV675" s="1"/>
      <c r="AW675" s="1"/>
      <c r="AX675" s="2"/>
      <c r="AY675" s="2"/>
      <c r="AZ675" s="1"/>
    </row>
    <row x14ac:dyDescent="0.25" r="676" customHeight="1" ht="24.75">
      <c r="A676" s="1"/>
      <c r="B676" s="1"/>
      <c r="C676" s="1"/>
      <c r="D676" s="1"/>
      <c r="E676" s="1"/>
      <c r="F676" s="1"/>
      <c r="G676" s="1"/>
      <c r="H676" s="1"/>
      <c r="I676" s="1"/>
      <c r="J676" s="1"/>
      <c r="K676" s="17"/>
      <c r="L676" s="1"/>
      <c r="M676" s="1"/>
      <c r="N676" s="2"/>
      <c r="O676" s="2"/>
      <c r="P676" s="1"/>
      <c r="Q676" s="1"/>
      <c r="R676" s="1"/>
      <c r="S676" s="1"/>
      <c r="T676" s="40"/>
      <c r="U676" s="40"/>
      <c r="V676" s="40"/>
      <c r="W676" s="40"/>
      <c r="X676" s="22"/>
      <c r="Y676" s="22"/>
      <c r="Z676" s="22"/>
      <c r="AA676" s="22"/>
      <c r="AB676" s="22"/>
      <c r="AC676" s="22"/>
      <c r="AD676" s="22"/>
      <c r="AE676" s="22"/>
      <c r="AF676" s="22"/>
      <c r="AG676" s="22"/>
      <c r="AH676" s="22"/>
      <c r="AI676" s="22"/>
      <c r="AJ676" s="40"/>
      <c r="AK676" s="22"/>
      <c r="AL676" s="22"/>
      <c r="AM676" s="22"/>
      <c r="AN676" s="22"/>
      <c r="AO676" s="40"/>
      <c r="AP676" s="40"/>
      <c r="AQ676" s="40"/>
      <c r="AR676" s="1"/>
      <c r="AS676" s="1"/>
      <c r="AT676" s="17"/>
      <c r="AU676" s="1"/>
      <c r="AV676" s="1"/>
      <c r="AW676" s="1"/>
      <c r="AX676" s="2"/>
      <c r="AY676" s="2"/>
      <c r="AZ676" s="1"/>
    </row>
    <row x14ac:dyDescent="0.25" r="677" customHeight="1" ht="24.75">
      <c r="A677" s="1"/>
      <c r="B677" s="1"/>
      <c r="C677" s="1"/>
      <c r="D677" s="1"/>
      <c r="E677" s="1"/>
      <c r="F677" s="1"/>
      <c r="G677" s="1"/>
      <c r="H677" s="1"/>
      <c r="I677" s="1"/>
      <c r="J677" s="1"/>
      <c r="K677" s="17"/>
      <c r="L677" s="1"/>
      <c r="M677" s="1"/>
      <c r="N677" s="2"/>
      <c r="O677" s="2"/>
      <c r="P677" s="1"/>
      <c r="Q677" s="1"/>
      <c r="R677" s="1"/>
      <c r="S677" s="1"/>
      <c r="T677" s="40"/>
      <c r="U677" s="40"/>
      <c r="V677" s="40"/>
      <c r="W677" s="40"/>
      <c r="X677" s="22"/>
      <c r="Y677" s="22"/>
      <c r="Z677" s="22"/>
      <c r="AA677" s="22"/>
      <c r="AB677" s="22"/>
      <c r="AC677" s="22"/>
      <c r="AD677" s="22"/>
      <c r="AE677" s="22"/>
      <c r="AF677" s="22"/>
      <c r="AG677" s="22"/>
      <c r="AH677" s="22"/>
      <c r="AI677" s="22"/>
      <c r="AJ677" s="40"/>
      <c r="AK677" s="22"/>
      <c r="AL677" s="22"/>
      <c r="AM677" s="22"/>
      <c r="AN677" s="22"/>
      <c r="AO677" s="40"/>
      <c r="AP677" s="40"/>
      <c r="AQ677" s="40"/>
      <c r="AR677" s="1"/>
      <c r="AS677" s="1"/>
      <c r="AT677" s="17"/>
      <c r="AU677" s="1"/>
      <c r="AV677" s="1"/>
      <c r="AW677" s="1"/>
      <c r="AX677" s="2"/>
      <c r="AY677" s="2"/>
      <c r="AZ677" s="1"/>
    </row>
    <row x14ac:dyDescent="0.25" r="678" customHeight="1" ht="24.75">
      <c r="A678" s="1"/>
      <c r="B678" s="1"/>
      <c r="C678" s="1"/>
      <c r="D678" s="1"/>
      <c r="E678" s="1"/>
      <c r="F678" s="1"/>
      <c r="G678" s="1"/>
      <c r="H678" s="1"/>
      <c r="I678" s="1"/>
      <c r="J678" s="1"/>
      <c r="K678" s="17"/>
      <c r="L678" s="1"/>
      <c r="M678" s="1"/>
      <c r="N678" s="2"/>
      <c r="O678" s="2"/>
      <c r="P678" s="1"/>
      <c r="Q678" s="1"/>
      <c r="R678" s="1"/>
      <c r="S678" s="1"/>
      <c r="T678" s="40"/>
      <c r="U678" s="40"/>
      <c r="V678" s="40"/>
      <c r="W678" s="40"/>
      <c r="X678" s="22"/>
      <c r="Y678" s="22"/>
      <c r="Z678" s="22"/>
      <c r="AA678" s="22"/>
      <c r="AB678" s="22"/>
      <c r="AC678" s="22"/>
      <c r="AD678" s="22"/>
      <c r="AE678" s="22"/>
      <c r="AF678" s="22"/>
      <c r="AG678" s="22"/>
      <c r="AH678" s="22"/>
      <c r="AI678" s="22"/>
      <c r="AJ678" s="40"/>
      <c r="AK678" s="22"/>
      <c r="AL678" s="22"/>
      <c r="AM678" s="22"/>
      <c r="AN678" s="22"/>
      <c r="AO678" s="40"/>
      <c r="AP678" s="40"/>
      <c r="AQ678" s="40"/>
      <c r="AR678" s="1"/>
      <c r="AS678" s="1"/>
      <c r="AT678" s="17"/>
      <c r="AU678" s="1"/>
      <c r="AV678" s="1"/>
      <c r="AW678" s="1"/>
      <c r="AX678" s="2"/>
      <c r="AY678" s="2"/>
      <c r="AZ678" s="1"/>
    </row>
    <row x14ac:dyDescent="0.25" r="679" customHeight="1" ht="24.75">
      <c r="A679" s="1"/>
      <c r="B679" s="1"/>
      <c r="C679" s="1"/>
      <c r="D679" s="1"/>
      <c r="E679" s="1"/>
      <c r="F679" s="1"/>
      <c r="G679" s="1"/>
      <c r="H679" s="1"/>
      <c r="I679" s="1"/>
      <c r="J679" s="1"/>
      <c r="K679" s="17"/>
      <c r="L679" s="1"/>
      <c r="M679" s="1"/>
      <c r="N679" s="2"/>
      <c r="O679" s="2"/>
      <c r="P679" s="1"/>
      <c r="Q679" s="1"/>
      <c r="R679" s="1"/>
      <c r="S679" s="1"/>
      <c r="T679" s="40"/>
      <c r="U679" s="40"/>
      <c r="V679" s="40"/>
      <c r="W679" s="40"/>
      <c r="X679" s="22"/>
      <c r="Y679" s="22"/>
      <c r="Z679" s="22"/>
      <c r="AA679" s="22"/>
      <c r="AB679" s="22"/>
      <c r="AC679" s="22"/>
      <c r="AD679" s="22"/>
      <c r="AE679" s="22"/>
      <c r="AF679" s="22"/>
      <c r="AG679" s="22"/>
      <c r="AH679" s="22"/>
      <c r="AI679" s="22"/>
      <c r="AJ679" s="40"/>
      <c r="AK679" s="22"/>
      <c r="AL679" s="22"/>
      <c r="AM679" s="22"/>
      <c r="AN679" s="22"/>
      <c r="AO679" s="40"/>
      <c r="AP679" s="40"/>
      <c r="AQ679" s="40"/>
      <c r="AR679" s="1"/>
      <c r="AS679" s="1"/>
      <c r="AT679" s="17"/>
      <c r="AU679" s="1"/>
      <c r="AV679" s="1"/>
      <c r="AW679" s="1"/>
      <c r="AX679" s="2"/>
      <c r="AY679" s="2"/>
      <c r="AZ679" s="1"/>
    </row>
    <row x14ac:dyDescent="0.25" r="680" customHeight="1" ht="15">
      <c r="A680" s="1"/>
      <c r="B680" s="1"/>
      <c r="C680" s="1"/>
      <c r="D680" s="1"/>
      <c r="E680" s="1"/>
      <c r="F680" s="1"/>
      <c r="G680" s="1"/>
      <c r="H680" s="1"/>
      <c r="I680" s="1"/>
      <c r="J680" s="1"/>
      <c r="K680" s="17"/>
      <c r="L680" s="1"/>
      <c r="M680" s="1"/>
      <c r="N680" s="2"/>
      <c r="O680" s="2"/>
      <c r="P680" s="1"/>
      <c r="Q680" s="1"/>
      <c r="R680" s="1"/>
      <c r="S680" s="1"/>
      <c r="T680" s="40"/>
      <c r="U680" s="40"/>
      <c r="V680" s="40"/>
      <c r="W680" s="40"/>
      <c r="X680" s="22"/>
      <c r="Y680" s="22"/>
      <c r="Z680" s="22"/>
      <c r="AA680" s="22"/>
      <c r="AB680" s="22"/>
      <c r="AC680" s="22"/>
      <c r="AD680" s="22"/>
      <c r="AE680" s="22"/>
      <c r="AF680" s="22"/>
      <c r="AG680" s="22"/>
      <c r="AH680" s="22"/>
      <c r="AI680" s="22"/>
      <c r="AJ680" s="40"/>
      <c r="AK680" s="22"/>
      <c r="AL680" s="22"/>
      <c r="AM680" s="22"/>
      <c r="AN680" s="22"/>
      <c r="AO680" s="40"/>
      <c r="AP680" s="40"/>
      <c r="AQ680" s="40"/>
      <c r="AR680" s="1"/>
      <c r="AS680" s="1"/>
      <c r="AT680" s="17"/>
      <c r="AU680" s="1"/>
      <c r="AV680" s="1"/>
      <c r="AW680" s="1"/>
      <c r="AX680" s="2"/>
      <c r="AY680" s="2"/>
      <c r="AZ680" s="1"/>
    </row>
    <row x14ac:dyDescent="0.25" r="681" customHeight="1" ht="15">
      <c r="A681" s="1"/>
      <c r="B681" s="1"/>
      <c r="C681" s="1"/>
      <c r="D681" s="1"/>
      <c r="E681" s="1"/>
      <c r="F681" s="1"/>
      <c r="G681" s="1"/>
      <c r="H681" s="1"/>
      <c r="I681" s="1"/>
      <c r="J681" s="1"/>
      <c r="K681" s="17"/>
      <c r="L681" s="1"/>
      <c r="M681" s="1"/>
      <c r="N681" s="2"/>
      <c r="O681" s="2"/>
      <c r="P681" s="1"/>
      <c r="Q681" s="1"/>
      <c r="R681" s="1"/>
      <c r="S681" s="1"/>
      <c r="T681" s="40"/>
      <c r="U681" s="40"/>
      <c r="V681" s="40"/>
      <c r="W681" s="40"/>
      <c r="X681" s="22"/>
      <c r="Y681" s="22"/>
      <c r="Z681" s="22"/>
      <c r="AA681" s="22"/>
      <c r="AB681" s="22"/>
      <c r="AC681" s="22"/>
      <c r="AD681" s="22"/>
      <c r="AE681" s="22"/>
      <c r="AF681" s="22"/>
      <c r="AG681" s="22"/>
      <c r="AH681" s="22"/>
      <c r="AI681" s="22"/>
      <c r="AJ681" s="40"/>
      <c r="AK681" s="22"/>
      <c r="AL681" s="22"/>
      <c r="AM681" s="22"/>
      <c r="AN681" s="22"/>
      <c r="AO681" s="40"/>
      <c r="AP681" s="40"/>
      <c r="AQ681" s="40"/>
      <c r="AR681" s="1"/>
      <c r="AS681" s="1"/>
      <c r="AT681" s="17"/>
      <c r="AU681" s="1"/>
      <c r="AV681" s="1"/>
      <c r="AW681" s="1"/>
      <c r="AX681" s="2"/>
      <c r="AY681" s="2"/>
      <c r="AZ681" s="1"/>
    </row>
    <row x14ac:dyDescent="0.25" r="682" customHeight="1" ht="15">
      <c r="A682" s="1"/>
      <c r="B682" s="1"/>
      <c r="C682" s="1"/>
      <c r="D682" s="1"/>
      <c r="E682" s="1"/>
      <c r="F682" s="1"/>
      <c r="G682" s="1"/>
      <c r="H682" s="1"/>
      <c r="I682" s="1"/>
      <c r="J682" s="1"/>
      <c r="K682" s="17"/>
      <c r="L682" s="1"/>
      <c r="M682" s="1"/>
      <c r="N682" s="2"/>
      <c r="O682" s="2"/>
      <c r="P682" s="1"/>
      <c r="Q682" s="1"/>
      <c r="R682" s="1"/>
      <c r="S682" s="1"/>
      <c r="T682" s="40"/>
      <c r="U682" s="40"/>
      <c r="V682" s="40"/>
      <c r="W682" s="40"/>
      <c r="X682" s="22"/>
      <c r="Y682" s="22"/>
      <c r="Z682" s="22"/>
      <c r="AA682" s="22"/>
      <c r="AB682" s="22"/>
      <c r="AC682" s="22"/>
      <c r="AD682" s="22"/>
      <c r="AE682" s="22"/>
      <c r="AF682" s="22"/>
      <c r="AG682" s="22"/>
      <c r="AH682" s="22"/>
      <c r="AI682" s="22"/>
      <c r="AJ682" s="40"/>
      <c r="AK682" s="22"/>
      <c r="AL682" s="22"/>
      <c r="AM682" s="22"/>
      <c r="AN682" s="22"/>
      <c r="AO682" s="40"/>
      <c r="AP682" s="40"/>
      <c r="AQ682" s="40"/>
      <c r="AR682" s="1"/>
      <c r="AS682" s="1"/>
      <c r="AT682" s="17"/>
      <c r="AU682" s="1"/>
      <c r="AV682" s="1"/>
      <c r="AW682" s="1"/>
      <c r="AX682" s="2"/>
      <c r="AY682" s="2"/>
      <c r="AZ682" s="1"/>
    </row>
    <row x14ac:dyDescent="0.25" r="683" customHeight="1" ht="15">
      <c r="A683" s="1"/>
      <c r="B683" s="1"/>
      <c r="C683" s="1"/>
      <c r="D683" s="1"/>
      <c r="E683" s="1"/>
      <c r="F683" s="1"/>
      <c r="G683" s="1"/>
      <c r="H683" s="1"/>
      <c r="I683" s="1"/>
      <c r="J683" s="1"/>
      <c r="K683" s="17"/>
      <c r="L683" s="1"/>
      <c r="M683" s="1"/>
      <c r="N683" s="2"/>
      <c r="O683" s="2"/>
      <c r="P683" s="1"/>
      <c r="Q683" s="1"/>
      <c r="R683" s="1"/>
      <c r="S683" s="1"/>
      <c r="T683" s="40"/>
      <c r="U683" s="40"/>
      <c r="V683" s="40"/>
      <c r="W683" s="40"/>
      <c r="X683" s="22"/>
      <c r="Y683" s="22"/>
      <c r="Z683" s="22"/>
      <c r="AA683" s="22"/>
      <c r="AB683" s="22"/>
      <c r="AC683" s="22"/>
      <c r="AD683" s="22"/>
      <c r="AE683" s="22"/>
      <c r="AF683" s="22"/>
      <c r="AG683" s="22"/>
      <c r="AH683" s="22"/>
      <c r="AI683" s="22"/>
      <c r="AJ683" s="40"/>
      <c r="AK683" s="22"/>
      <c r="AL683" s="22"/>
      <c r="AM683" s="22"/>
      <c r="AN683" s="22"/>
      <c r="AO683" s="40"/>
      <c r="AP683" s="40"/>
      <c r="AQ683" s="40"/>
      <c r="AR683" s="1"/>
      <c r="AS683" s="1"/>
      <c r="AT683" s="17"/>
      <c r="AU683" s="1"/>
      <c r="AV683" s="1"/>
      <c r="AW683" s="1"/>
      <c r="AX683" s="2"/>
      <c r="AY683" s="2"/>
      <c r="AZ683" s="1"/>
    </row>
    <row x14ac:dyDescent="0.25" r="684" customHeight="1" ht="15">
      <c r="A684" s="1"/>
      <c r="B684" s="1"/>
      <c r="C684" s="1"/>
      <c r="D684" s="1"/>
      <c r="E684" s="1"/>
      <c r="F684" s="1"/>
      <c r="G684" s="1"/>
      <c r="H684" s="1"/>
      <c r="I684" s="1"/>
      <c r="J684" s="1"/>
      <c r="K684" s="17"/>
      <c r="L684" s="1"/>
      <c r="M684" s="1"/>
      <c r="N684" s="2"/>
      <c r="O684" s="2"/>
      <c r="P684" s="1"/>
      <c r="Q684" s="1"/>
      <c r="R684" s="1"/>
      <c r="S684" s="1"/>
      <c r="T684" s="40"/>
      <c r="U684" s="40"/>
      <c r="V684" s="40"/>
      <c r="W684" s="40"/>
      <c r="X684" s="22"/>
      <c r="Y684" s="22"/>
      <c r="Z684" s="22"/>
      <c r="AA684" s="22"/>
      <c r="AB684" s="22"/>
      <c r="AC684" s="22"/>
      <c r="AD684" s="22"/>
      <c r="AE684" s="22"/>
      <c r="AF684" s="22"/>
      <c r="AG684" s="22"/>
      <c r="AH684" s="22"/>
      <c r="AI684" s="22"/>
      <c r="AJ684" s="40"/>
      <c r="AK684" s="22"/>
      <c r="AL684" s="22"/>
      <c r="AM684" s="22"/>
      <c r="AN684" s="22"/>
      <c r="AO684" s="40"/>
      <c r="AP684" s="40"/>
      <c r="AQ684" s="40"/>
      <c r="AR684" s="1"/>
      <c r="AS684" s="1"/>
      <c r="AT684" s="17"/>
      <c r="AU684" s="1"/>
      <c r="AV684" s="1"/>
      <c r="AW684" s="1"/>
      <c r="AX684" s="2"/>
      <c r="AY684" s="2"/>
      <c r="AZ684" s="1"/>
    </row>
    <row x14ac:dyDescent="0.25" r="685" customHeight="1" ht="15">
      <c r="A685" s="1"/>
      <c r="B685" s="1"/>
      <c r="C685" s="1"/>
      <c r="D685" s="1"/>
      <c r="E685" s="1"/>
      <c r="F685" s="1"/>
      <c r="G685" s="1"/>
      <c r="H685" s="1"/>
      <c r="I685" s="1"/>
      <c r="J685" s="1"/>
      <c r="K685" s="17"/>
      <c r="L685" s="1"/>
      <c r="M685" s="1"/>
      <c r="N685" s="2"/>
      <c r="O685" s="2"/>
      <c r="P685" s="1"/>
      <c r="Q685" s="1"/>
      <c r="R685" s="1"/>
      <c r="S685" s="1"/>
      <c r="T685" s="40"/>
      <c r="U685" s="40"/>
      <c r="V685" s="40"/>
      <c r="W685" s="40"/>
      <c r="X685" s="22"/>
      <c r="Y685" s="22"/>
      <c r="Z685" s="22"/>
      <c r="AA685" s="22"/>
      <c r="AB685" s="22"/>
      <c r="AC685" s="22"/>
      <c r="AD685" s="22"/>
      <c r="AE685" s="22"/>
      <c r="AF685" s="22"/>
      <c r="AG685" s="22"/>
      <c r="AH685" s="22"/>
      <c r="AI685" s="22"/>
      <c r="AJ685" s="40"/>
      <c r="AK685" s="22"/>
      <c r="AL685" s="22"/>
      <c r="AM685" s="22"/>
      <c r="AN685" s="22"/>
      <c r="AO685" s="40"/>
      <c r="AP685" s="40"/>
      <c r="AQ685" s="40"/>
      <c r="AR685" s="1"/>
      <c r="AS685" s="1"/>
      <c r="AT685" s="17"/>
      <c r="AU685" s="1"/>
      <c r="AV685" s="1"/>
      <c r="AW685" s="1"/>
      <c r="AX685" s="2"/>
      <c r="AY685" s="2"/>
      <c r="AZ685" s="1"/>
    </row>
    <row x14ac:dyDescent="0.25" r="686" customHeight="1" ht="15">
      <c r="A686" s="1"/>
      <c r="B686" s="1"/>
      <c r="C686" s="1"/>
      <c r="D686" s="1"/>
      <c r="E686" s="1"/>
      <c r="F686" s="1"/>
      <c r="G686" s="1"/>
      <c r="H686" s="1"/>
      <c r="I686" s="1"/>
      <c r="J686" s="1"/>
      <c r="K686" s="17"/>
      <c r="L686" s="1"/>
      <c r="M686" s="1"/>
      <c r="N686" s="2"/>
      <c r="O686" s="2"/>
      <c r="P686" s="1"/>
      <c r="Q686" s="1"/>
      <c r="R686" s="1"/>
      <c r="S686" s="1"/>
      <c r="T686" s="40"/>
      <c r="U686" s="40"/>
      <c r="V686" s="40"/>
      <c r="W686" s="40"/>
      <c r="X686" s="22"/>
      <c r="Y686" s="22"/>
      <c r="Z686" s="22"/>
      <c r="AA686" s="22"/>
      <c r="AB686" s="22"/>
      <c r="AC686" s="22"/>
      <c r="AD686" s="22"/>
      <c r="AE686" s="22"/>
      <c r="AF686" s="22"/>
      <c r="AG686" s="22"/>
      <c r="AH686" s="22"/>
      <c r="AI686" s="22"/>
      <c r="AJ686" s="40"/>
      <c r="AK686" s="22"/>
      <c r="AL686" s="22"/>
      <c r="AM686" s="22"/>
      <c r="AN686" s="22"/>
      <c r="AO686" s="40"/>
      <c r="AP686" s="40"/>
      <c r="AQ686" s="40"/>
      <c r="AR686" s="1"/>
      <c r="AS686" s="1"/>
      <c r="AT686" s="17"/>
      <c r="AU686" s="1"/>
      <c r="AV686" s="1"/>
      <c r="AW686" s="1"/>
      <c r="AX686" s="2"/>
      <c r="AY686" s="2"/>
      <c r="AZ686" s="1"/>
    </row>
    <row x14ac:dyDescent="0.25" r="687" customHeight="1" ht="15">
      <c r="A687" s="1"/>
      <c r="B687" s="1"/>
      <c r="C687" s="1"/>
      <c r="D687" s="1"/>
      <c r="E687" s="1"/>
      <c r="F687" s="1"/>
      <c r="G687" s="1"/>
      <c r="H687" s="1"/>
      <c r="I687" s="1"/>
      <c r="J687" s="1"/>
      <c r="K687" s="17"/>
      <c r="L687" s="1"/>
      <c r="M687" s="1"/>
      <c r="N687" s="2"/>
      <c r="O687" s="2"/>
      <c r="P687" s="1"/>
      <c r="Q687" s="1"/>
      <c r="R687" s="1"/>
      <c r="S687" s="1"/>
      <c r="T687" s="40"/>
      <c r="U687" s="40"/>
      <c r="V687" s="40"/>
      <c r="W687" s="40"/>
      <c r="X687" s="22"/>
      <c r="Y687" s="22"/>
      <c r="Z687" s="22"/>
      <c r="AA687" s="22"/>
      <c r="AB687" s="22"/>
      <c r="AC687" s="22"/>
      <c r="AD687" s="22"/>
      <c r="AE687" s="22"/>
      <c r="AF687" s="22"/>
      <c r="AG687" s="22"/>
      <c r="AH687" s="22"/>
      <c r="AI687" s="22"/>
      <c r="AJ687" s="40"/>
      <c r="AK687" s="22"/>
      <c r="AL687" s="22"/>
      <c r="AM687" s="22"/>
      <c r="AN687" s="22"/>
      <c r="AO687" s="40"/>
      <c r="AP687" s="40"/>
      <c r="AQ687" s="40"/>
      <c r="AR687" s="1"/>
      <c r="AS687" s="1"/>
      <c r="AT687" s="17"/>
      <c r="AU687" s="1"/>
      <c r="AV687" s="1"/>
      <c r="AW687" s="1"/>
      <c r="AX687" s="2"/>
      <c r="AY687" s="2"/>
      <c r="AZ687" s="1"/>
    </row>
    <row x14ac:dyDescent="0.25" r="688" customHeight="1" ht="15">
      <c r="A688" s="1"/>
      <c r="B688" s="1"/>
      <c r="C688" s="1"/>
      <c r="D688" s="1"/>
      <c r="E688" s="1"/>
      <c r="F688" s="1"/>
      <c r="G688" s="1"/>
      <c r="H688" s="1"/>
      <c r="I688" s="1"/>
      <c r="J688" s="1"/>
      <c r="K688" s="17"/>
      <c r="L688" s="1"/>
      <c r="M688" s="1"/>
      <c r="N688" s="2"/>
      <c r="O688" s="2"/>
      <c r="P688" s="1"/>
      <c r="Q688" s="1"/>
      <c r="R688" s="1"/>
      <c r="S688" s="1"/>
      <c r="T688" s="40"/>
      <c r="U688" s="40"/>
      <c r="V688" s="40"/>
      <c r="W688" s="40"/>
      <c r="X688" s="22"/>
      <c r="Y688" s="22"/>
      <c r="Z688" s="22"/>
      <c r="AA688" s="22"/>
      <c r="AB688" s="22"/>
      <c r="AC688" s="22"/>
      <c r="AD688" s="22"/>
      <c r="AE688" s="22"/>
      <c r="AF688" s="22"/>
      <c r="AG688" s="22"/>
      <c r="AH688" s="22"/>
      <c r="AI688" s="22"/>
      <c r="AJ688" s="40"/>
      <c r="AK688" s="22"/>
      <c r="AL688" s="22"/>
      <c r="AM688" s="22"/>
      <c r="AN688" s="22"/>
      <c r="AO688" s="40"/>
      <c r="AP688" s="40"/>
      <c r="AQ688" s="40"/>
      <c r="AR688" s="1"/>
      <c r="AS688" s="1"/>
      <c r="AT688" s="17"/>
      <c r="AU688" s="1"/>
      <c r="AV688" s="1"/>
      <c r="AW688" s="1"/>
      <c r="AX688" s="2"/>
      <c r="AY688" s="2"/>
      <c r="AZ688" s="1"/>
    </row>
    <row x14ac:dyDescent="0.25" r="689" customHeight="1" ht="15">
      <c r="A689" s="1"/>
      <c r="B689" s="1"/>
      <c r="C689" s="1"/>
      <c r="D689" s="1"/>
      <c r="E689" s="1"/>
      <c r="F689" s="1"/>
      <c r="G689" s="1"/>
      <c r="H689" s="1"/>
      <c r="I689" s="1"/>
      <c r="J689" s="1"/>
      <c r="K689" s="17"/>
      <c r="L689" s="1"/>
      <c r="M689" s="1"/>
      <c r="N689" s="2"/>
      <c r="O689" s="2"/>
      <c r="P689" s="1"/>
      <c r="Q689" s="1"/>
      <c r="R689" s="1"/>
      <c r="S689" s="1"/>
      <c r="T689" s="40"/>
      <c r="U689" s="40"/>
      <c r="V689" s="40"/>
      <c r="W689" s="40"/>
      <c r="X689" s="22"/>
      <c r="Y689" s="22"/>
      <c r="Z689" s="22"/>
      <c r="AA689" s="22"/>
      <c r="AB689" s="22"/>
      <c r="AC689" s="22"/>
      <c r="AD689" s="22"/>
      <c r="AE689" s="22"/>
      <c r="AF689" s="22"/>
      <c r="AG689" s="22"/>
      <c r="AH689" s="22"/>
      <c r="AI689" s="22"/>
      <c r="AJ689" s="40"/>
      <c r="AK689" s="22"/>
      <c r="AL689" s="22"/>
      <c r="AM689" s="22"/>
      <c r="AN689" s="22"/>
      <c r="AO689" s="40"/>
      <c r="AP689" s="40"/>
      <c r="AQ689" s="40"/>
      <c r="AR689" s="1"/>
      <c r="AS689" s="1"/>
      <c r="AT689" s="17"/>
      <c r="AU689" s="1"/>
      <c r="AV689" s="1"/>
      <c r="AW689" s="1"/>
      <c r="AX689" s="2"/>
      <c r="AY689" s="2"/>
      <c r="AZ689" s="1"/>
    </row>
    <row x14ac:dyDescent="0.25" r="690" customHeight="1" ht="15">
      <c r="A690" s="1"/>
      <c r="B690" s="1"/>
      <c r="C690" s="1"/>
      <c r="D690" s="1"/>
      <c r="E690" s="1"/>
      <c r="F690" s="1"/>
      <c r="G690" s="1"/>
      <c r="H690" s="1"/>
      <c r="I690" s="1"/>
      <c r="J690" s="1"/>
      <c r="K690" s="17"/>
      <c r="L690" s="1"/>
      <c r="M690" s="1"/>
      <c r="N690" s="2"/>
      <c r="O690" s="2"/>
      <c r="P690" s="1"/>
      <c r="Q690" s="1"/>
      <c r="R690" s="1"/>
      <c r="S690" s="1"/>
      <c r="T690" s="40"/>
      <c r="U690" s="40"/>
      <c r="V690" s="40"/>
      <c r="W690" s="40"/>
      <c r="X690" s="22"/>
      <c r="Y690" s="22"/>
      <c r="Z690" s="22"/>
      <c r="AA690" s="22"/>
      <c r="AB690" s="22"/>
      <c r="AC690" s="22"/>
      <c r="AD690" s="22"/>
      <c r="AE690" s="22"/>
      <c r="AF690" s="22"/>
      <c r="AG690" s="22"/>
      <c r="AH690" s="22"/>
      <c r="AI690" s="22"/>
      <c r="AJ690" s="40"/>
      <c r="AK690" s="22"/>
      <c r="AL690" s="22"/>
      <c r="AM690" s="22"/>
      <c r="AN690" s="22"/>
      <c r="AO690" s="40"/>
      <c r="AP690" s="40"/>
      <c r="AQ690" s="40"/>
      <c r="AR690" s="1"/>
      <c r="AS690" s="1"/>
      <c r="AT690" s="17"/>
      <c r="AU690" s="1"/>
      <c r="AV690" s="1"/>
      <c r="AW690" s="1"/>
      <c r="AX690" s="2"/>
      <c r="AY690" s="2"/>
      <c r="AZ690" s="1"/>
    </row>
    <row x14ac:dyDescent="0.25" r="691" customHeight="1" ht="15">
      <c r="A691" s="1"/>
      <c r="B691" s="1"/>
      <c r="C691" s="1"/>
      <c r="D691" s="1"/>
      <c r="E691" s="1"/>
      <c r="F691" s="1"/>
      <c r="G691" s="1"/>
      <c r="H691" s="1"/>
      <c r="I691" s="1"/>
      <c r="J691" s="1"/>
      <c r="K691" s="17"/>
      <c r="L691" s="1"/>
      <c r="M691" s="1"/>
      <c r="N691" s="2"/>
      <c r="O691" s="2"/>
      <c r="P691" s="1"/>
      <c r="Q691" s="1"/>
      <c r="R691" s="1"/>
      <c r="S691" s="1"/>
      <c r="T691" s="40"/>
      <c r="U691" s="40"/>
      <c r="V691" s="40"/>
      <c r="W691" s="40"/>
      <c r="X691" s="22"/>
      <c r="Y691" s="22"/>
      <c r="Z691" s="22"/>
      <c r="AA691" s="22"/>
      <c r="AB691" s="22"/>
      <c r="AC691" s="22"/>
      <c r="AD691" s="22"/>
      <c r="AE691" s="22"/>
      <c r="AF691" s="22"/>
      <c r="AG691" s="22"/>
      <c r="AH691" s="22"/>
      <c r="AI691" s="22"/>
      <c r="AJ691" s="40"/>
      <c r="AK691" s="22"/>
      <c r="AL691" s="22"/>
      <c r="AM691" s="22"/>
      <c r="AN691" s="22"/>
      <c r="AO691" s="40"/>
      <c r="AP691" s="40"/>
      <c r="AQ691" s="40"/>
      <c r="AR691" s="1"/>
      <c r="AS691" s="1"/>
      <c r="AT691" s="17"/>
      <c r="AU691" s="1"/>
      <c r="AV691" s="1"/>
      <c r="AW691" s="1"/>
      <c r="AX691" s="2"/>
      <c r="AY691" s="2"/>
      <c r="AZ691" s="1"/>
    </row>
    <row x14ac:dyDescent="0.25" r="692" customHeight="1" ht="15">
      <c r="A692" s="1"/>
      <c r="B692" s="1"/>
      <c r="C692" s="1"/>
      <c r="D692" s="1"/>
      <c r="E692" s="1"/>
      <c r="F692" s="1"/>
      <c r="G692" s="1"/>
      <c r="H692" s="1"/>
      <c r="I692" s="1"/>
      <c r="J692" s="1"/>
      <c r="K692" s="17"/>
      <c r="L692" s="1"/>
      <c r="M692" s="1"/>
      <c r="N692" s="2"/>
      <c r="O692" s="2"/>
      <c r="P692" s="1"/>
      <c r="Q692" s="1"/>
      <c r="R692" s="1"/>
      <c r="S692" s="1"/>
      <c r="T692" s="40"/>
      <c r="U692" s="40"/>
      <c r="V692" s="40"/>
      <c r="W692" s="40"/>
      <c r="X692" s="22"/>
      <c r="Y692" s="22"/>
      <c r="Z692" s="22"/>
      <c r="AA692" s="22"/>
      <c r="AB692" s="22"/>
      <c r="AC692" s="22"/>
      <c r="AD692" s="22"/>
      <c r="AE692" s="22"/>
      <c r="AF692" s="22"/>
      <c r="AG692" s="22"/>
      <c r="AH692" s="22"/>
      <c r="AI692" s="22"/>
      <c r="AJ692" s="40"/>
      <c r="AK692" s="22"/>
      <c r="AL692" s="22"/>
      <c r="AM692" s="22"/>
      <c r="AN692" s="22"/>
      <c r="AO692" s="40"/>
      <c r="AP692" s="40"/>
      <c r="AQ692" s="40"/>
      <c r="AR692" s="1"/>
      <c r="AS692" s="1"/>
      <c r="AT692" s="17"/>
      <c r="AU692" s="1"/>
      <c r="AV692" s="1"/>
      <c r="AW692" s="1"/>
      <c r="AX692" s="2"/>
      <c r="AY692" s="2"/>
      <c r="AZ692" s="1"/>
    </row>
    <row x14ac:dyDescent="0.25" r="693" customHeight="1" ht="15">
      <c r="A693" s="1"/>
      <c r="B693" s="1"/>
      <c r="C693" s="1"/>
      <c r="D693" s="1"/>
      <c r="E693" s="1"/>
      <c r="F693" s="1"/>
      <c r="G693" s="1"/>
      <c r="H693" s="1"/>
      <c r="I693" s="1"/>
      <c r="J693" s="1"/>
      <c r="K693" s="17"/>
      <c r="L693" s="1"/>
      <c r="M693" s="1"/>
      <c r="N693" s="2"/>
      <c r="O693" s="2"/>
      <c r="P693" s="1"/>
      <c r="Q693" s="1"/>
      <c r="R693" s="1"/>
      <c r="S693" s="1"/>
      <c r="T693" s="40"/>
      <c r="U693" s="40"/>
      <c r="V693" s="40"/>
      <c r="W693" s="40"/>
      <c r="X693" s="22"/>
      <c r="Y693" s="22"/>
      <c r="Z693" s="22"/>
      <c r="AA693" s="22"/>
      <c r="AB693" s="22"/>
      <c r="AC693" s="22"/>
      <c r="AD693" s="22"/>
      <c r="AE693" s="22"/>
      <c r="AF693" s="22"/>
      <c r="AG693" s="22"/>
      <c r="AH693" s="22"/>
      <c r="AI693" s="22"/>
      <c r="AJ693" s="40"/>
      <c r="AK693" s="22"/>
      <c r="AL693" s="22"/>
      <c r="AM693" s="22"/>
      <c r="AN693" s="22"/>
      <c r="AO693" s="40"/>
      <c r="AP693" s="40"/>
      <c r="AQ693" s="40"/>
      <c r="AR693" s="1"/>
      <c r="AS693" s="1"/>
      <c r="AT693" s="17"/>
      <c r="AU693" s="1"/>
      <c r="AV693" s="1"/>
      <c r="AW693" s="1"/>
      <c r="AX693" s="2"/>
      <c r="AY693" s="2"/>
      <c r="AZ693" s="1"/>
    </row>
    <row x14ac:dyDescent="0.25" r="694" customHeight="1" ht="15">
      <c r="A694" s="1"/>
      <c r="B694" s="1"/>
      <c r="C694" s="1"/>
      <c r="D694" s="1"/>
      <c r="E694" s="1"/>
      <c r="F694" s="1"/>
      <c r="G694" s="1"/>
      <c r="H694" s="1"/>
      <c r="I694" s="1"/>
      <c r="J694" s="1"/>
      <c r="K694" s="17"/>
      <c r="L694" s="1"/>
      <c r="M694" s="1"/>
      <c r="N694" s="2"/>
      <c r="O694" s="2"/>
      <c r="P694" s="1"/>
      <c r="Q694" s="1"/>
      <c r="R694" s="1"/>
      <c r="S694" s="1"/>
      <c r="T694" s="40"/>
      <c r="U694" s="40"/>
      <c r="V694" s="40"/>
      <c r="W694" s="40"/>
      <c r="X694" s="22"/>
      <c r="Y694" s="22"/>
      <c r="Z694" s="22"/>
      <c r="AA694" s="22"/>
      <c r="AB694" s="22"/>
      <c r="AC694" s="22"/>
      <c r="AD694" s="22"/>
      <c r="AE694" s="22"/>
      <c r="AF694" s="22"/>
      <c r="AG694" s="22"/>
      <c r="AH694" s="22"/>
      <c r="AI694" s="22"/>
      <c r="AJ694" s="40"/>
      <c r="AK694" s="22"/>
      <c r="AL694" s="22"/>
      <c r="AM694" s="22"/>
      <c r="AN694" s="22"/>
      <c r="AO694" s="40"/>
      <c r="AP694" s="40"/>
      <c r="AQ694" s="40"/>
      <c r="AR694" s="1"/>
      <c r="AS694" s="1"/>
      <c r="AT694" s="17"/>
      <c r="AU694" s="1"/>
      <c r="AV694" s="1"/>
      <c r="AW694" s="1"/>
      <c r="AX694" s="2"/>
      <c r="AY694" s="2"/>
      <c r="AZ694" s="1"/>
    </row>
    <row x14ac:dyDescent="0.25" r="695" customHeight="1" ht="15">
      <c r="A695" s="1"/>
      <c r="B695" s="1"/>
      <c r="C695" s="1"/>
      <c r="D695" s="1"/>
      <c r="E695" s="1"/>
      <c r="F695" s="1"/>
      <c r="G695" s="1"/>
      <c r="H695" s="1"/>
      <c r="I695" s="1"/>
      <c r="J695" s="1"/>
      <c r="K695" s="17"/>
      <c r="L695" s="1"/>
      <c r="M695" s="1"/>
      <c r="N695" s="2"/>
      <c r="O695" s="2"/>
      <c r="P695" s="1"/>
      <c r="Q695" s="1"/>
      <c r="R695" s="1"/>
      <c r="S695" s="1"/>
      <c r="T695" s="40"/>
      <c r="U695" s="40"/>
      <c r="V695" s="40"/>
      <c r="W695" s="40"/>
      <c r="X695" s="22"/>
      <c r="Y695" s="22"/>
      <c r="Z695" s="22"/>
      <c r="AA695" s="22"/>
      <c r="AB695" s="22"/>
      <c r="AC695" s="22"/>
      <c r="AD695" s="22"/>
      <c r="AE695" s="22"/>
      <c r="AF695" s="22"/>
      <c r="AG695" s="22"/>
      <c r="AH695" s="22"/>
      <c r="AI695" s="22"/>
      <c r="AJ695" s="40"/>
      <c r="AK695" s="22"/>
      <c r="AL695" s="22"/>
      <c r="AM695" s="22"/>
      <c r="AN695" s="22"/>
      <c r="AO695" s="40"/>
      <c r="AP695" s="40"/>
      <c r="AQ695" s="40"/>
      <c r="AR695" s="1"/>
      <c r="AS695" s="1"/>
      <c r="AT695" s="17"/>
      <c r="AU695" s="1"/>
      <c r="AV695" s="1"/>
      <c r="AW695" s="1"/>
      <c r="AX695" s="2"/>
      <c r="AY695" s="2"/>
      <c r="AZ695" s="1"/>
    </row>
    <row x14ac:dyDescent="0.25" r="696" customHeight="1" ht="15">
      <c r="A696" s="1"/>
      <c r="B696" s="1"/>
      <c r="C696" s="1"/>
      <c r="D696" s="1"/>
      <c r="E696" s="1"/>
      <c r="F696" s="1"/>
      <c r="G696" s="1"/>
      <c r="H696" s="1"/>
      <c r="I696" s="1"/>
      <c r="J696" s="1"/>
      <c r="K696" s="17"/>
      <c r="L696" s="1"/>
      <c r="M696" s="1"/>
      <c r="N696" s="2"/>
      <c r="O696" s="2"/>
      <c r="P696" s="1"/>
      <c r="Q696" s="1"/>
      <c r="R696" s="1"/>
      <c r="S696" s="1"/>
      <c r="T696" s="40"/>
      <c r="U696" s="40"/>
      <c r="V696" s="40"/>
      <c r="W696" s="40"/>
      <c r="X696" s="22"/>
      <c r="Y696" s="22"/>
      <c r="Z696" s="22"/>
      <c r="AA696" s="22"/>
      <c r="AB696" s="22"/>
      <c r="AC696" s="22"/>
      <c r="AD696" s="22"/>
      <c r="AE696" s="22"/>
      <c r="AF696" s="22"/>
      <c r="AG696" s="22"/>
      <c r="AH696" s="22"/>
      <c r="AI696" s="22"/>
      <c r="AJ696" s="40"/>
      <c r="AK696" s="22"/>
      <c r="AL696" s="22"/>
      <c r="AM696" s="22"/>
      <c r="AN696" s="22"/>
      <c r="AO696" s="40"/>
      <c r="AP696" s="40"/>
      <c r="AQ696" s="40"/>
      <c r="AR696" s="1"/>
      <c r="AS696" s="1"/>
      <c r="AT696" s="17"/>
      <c r="AU696" s="1"/>
      <c r="AV696" s="1"/>
      <c r="AW696" s="1"/>
      <c r="AX696" s="2"/>
      <c r="AY696" s="2"/>
      <c r="AZ696" s="1"/>
    </row>
    <row x14ac:dyDescent="0.25" r="697" customHeight="1" ht="15">
      <c r="A697" s="1"/>
      <c r="B697" s="1"/>
      <c r="C697" s="1"/>
      <c r="D697" s="1"/>
      <c r="E697" s="1"/>
      <c r="F697" s="1"/>
      <c r="G697" s="1"/>
      <c r="H697" s="1"/>
      <c r="I697" s="1"/>
      <c r="J697" s="1"/>
      <c r="K697" s="17"/>
      <c r="L697" s="1"/>
      <c r="M697" s="1"/>
      <c r="N697" s="2"/>
      <c r="O697" s="2"/>
      <c r="P697" s="1"/>
      <c r="Q697" s="1"/>
      <c r="R697" s="1"/>
      <c r="S697" s="1"/>
      <c r="T697" s="40"/>
      <c r="U697" s="40"/>
      <c r="V697" s="40"/>
      <c r="W697" s="40"/>
      <c r="X697" s="22"/>
      <c r="Y697" s="22"/>
      <c r="Z697" s="22"/>
      <c r="AA697" s="22"/>
      <c r="AB697" s="22"/>
      <c r="AC697" s="22"/>
      <c r="AD697" s="22"/>
      <c r="AE697" s="22"/>
      <c r="AF697" s="22"/>
      <c r="AG697" s="22"/>
      <c r="AH697" s="22"/>
      <c r="AI697" s="22"/>
      <c r="AJ697" s="40"/>
      <c r="AK697" s="22"/>
      <c r="AL697" s="22"/>
      <c r="AM697" s="22"/>
      <c r="AN697" s="22"/>
      <c r="AO697" s="40"/>
      <c r="AP697" s="40"/>
      <c r="AQ697" s="40"/>
      <c r="AR697" s="1"/>
      <c r="AS697" s="1"/>
      <c r="AT697" s="17"/>
      <c r="AU697" s="1"/>
      <c r="AV697" s="1"/>
      <c r="AW697" s="1"/>
      <c r="AX697" s="2"/>
      <c r="AY697" s="2"/>
      <c r="AZ697" s="1"/>
    </row>
    <row x14ac:dyDescent="0.25" r="698" customHeight="1" ht="15">
      <c r="A698" s="1"/>
      <c r="B698" s="1"/>
      <c r="C698" s="1"/>
      <c r="D698" s="1"/>
      <c r="E698" s="1"/>
      <c r="F698" s="1"/>
      <c r="G698" s="1"/>
      <c r="H698" s="1"/>
      <c r="I698" s="1"/>
      <c r="J698" s="1"/>
      <c r="K698" s="17"/>
      <c r="L698" s="1"/>
      <c r="M698" s="1"/>
      <c r="N698" s="2"/>
      <c r="O698" s="2"/>
      <c r="P698" s="1"/>
      <c r="Q698" s="1"/>
      <c r="R698" s="1"/>
      <c r="S698" s="1"/>
      <c r="T698" s="40"/>
      <c r="U698" s="40"/>
      <c r="V698" s="40"/>
      <c r="W698" s="40"/>
      <c r="X698" s="22"/>
      <c r="Y698" s="22"/>
      <c r="Z698" s="22"/>
      <c r="AA698" s="22"/>
      <c r="AB698" s="22"/>
      <c r="AC698" s="22"/>
      <c r="AD698" s="22"/>
      <c r="AE698" s="22"/>
      <c r="AF698" s="22"/>
      <c r="AG698" s="22"/>
      <c r="AH698" s="22"/>
      <c r="AI698" s="22"/>
      <c r="AJ698" s="40"/>
      <c r="AK698" s="22"/>
      <c r="AL698" s="22"/>
      <c r="AM698" s="22"/>
      <c r="AN698" s="22"/>
      <c r="AO698" s="40"/>
      <c r="AP698" s="40"/>
      <c r="AQ698" s="40"/>
      <c r="AR698" s="1"/>
      <c r="AS698" s="1"/>
      <c r="AT698" s="17"/>
      <c r="AU698" s="1"/>
      <c r="AV698" s="1"/>
      <c r="AW698" s="1"/>
      <c r="AX698" s="2"/>
      <c r="AY698" s="2"/>
      <c r="AZ698" s="1"/>
    </row>
    <row x14ac:dyDescent="0.25" r="699" customHeight="1" ht="15">
      <c r="A699" s="1"/>
      <c r="B699" s="1"/>
      <c r="C699" s="1"/>
      <c r="D699" s="1"/>
      <c r="E699" s="1"/>
      <c r="F699" s="1"/>
      <c r="G699" s="1"/>
      <c r="H699" s="1"/>
      <c r="I699" s="1"/>
      <c r="J699" s="1"/>
      <c r="K699" s="17"/>
      <c r="L699" s="1"/>
      <c r="M699" s="1"/>
      <c r="N699" s="2"/>
      <c r="O699" s="2"/>
      <c r="P699" s="1"/>
      <c r="Q699" s="1"/>
      <c r="R699" s="1"/>
      <c r="S699" s="1"/>
      <c r="T699" s="40"/>
      <c r="U699" s="40"/>
      <c r="V699" s="40"/>
      <c r="W699" s="40"/>
      <c r="X699" s="22"/>
      <c r="Y699" s="22"/>
      <c r="Z699" s="22"/>
      <c r="AA699" s="22"/>
      <c r="AB699" s="22"/>
      <c r="AC699" s="22"/>
      <c r="AD699" s="22"/>
      <c r="AE699" s="22"/>
      <c r="AF699" s="22"/>
      <c r="AG699" s="22"/>
      <c r="AH699" s="22"/>
      <c r="AI699" s="22"/>
      <c r="AJ699" s="40"/>
      <c r="AK699" s="22"/>
      <c r="AL699" s="22"/>
      <c r="AM699" s="22"/>
      <c r="AN699" s="22"/>
      <c r="AO699" s="40"/>
      <c r="AP699" s="40"/>
      <c r="AQ699" s="40"/>
      <c r="AR699" s="1"/>
      <c r="AS699" s="1"/>
      <c r="AT699" s="17"/>
      <c r="AU699" s="1"/>
      <c r="AV699" s="1"/>
      <c r="AW699" s="1"/>
      <c r="AX699" s="2"/>
      <c r="AY699" s="2"/>
      <c r="AZ699" s="1"/>
    </row>
    <row x14ac:dyDescent="0.25" r="700" customHeight="1" ht="15">
      <c r="A700" s="1"/>
      <c r="B700" s="1"/>
      <c r="C700" s="1"/>
      <c r="D700" s="1"/>
      <c r="E700" s="1"/>
      <c r="F700" s="1"/>
      <c r="G700" s="1"/>
      <c r="H700" s="1"/>
      <c r="I700" s="1"/>
      <c r="J700" s="1"/>
      <c r="K700" s="17"/>
      <c r="L700" s="1"/>
      <c r="M700" s="1"/>
      <c r="N700" s="2"/>
      <c r="O700" s="2"/>
      <c r="P700" s="1"/>
      <c r="Q700" s="1"/>
      <c r="R700" s="1"/>
      <c r="S700" s="1"/>
      <c r="T700" s="40"/>
      <c r="U700" s="40"/>
      <c r="V700" s="40"/>
      <c r="W700" s="40"/>
      <c r="X700" s="22"/>
      <c r="Y700" s="22"/>
      <c r="Z700" s="22"/>
      <c r="AA700" s="22"/>
      <c r="AB700" s="22"/>
      <c r="AC700" s="22"/>
      <c r="AD700" s="22"/>
      <c r="AE700" s="22"/>
      <c r="AF700" s="22"/>
      <c r="AG700" s="22"/>
      <c r="AH700" s="22"/>
      <c r="AI700" s="22"/>
      <c r="AJ700" s="40"/>
      <c r="AK700" s="22"/>
      <c r="AL700" s="22"/>
      <c r="AM700" s="22"/>
      <c r="AN700" s="22"/>
      <c r="AO700" s="40"/>
      <c r="AP700" s="40"/>
      <c r="AQ700" s="40"/>
      <c r="AR700" s="1"/>
      <c r="AS700" s="1"/>
      <c r="AT700" s="17"/>
      <c r="AU700" s="1"/>
      <c r="AV700" s="1"/>
      <c r="AW700" s="1"/>
      <c r="AX700" s="2"/>
      <c r="AY700" s="2"/>
      <c r="AZ700" s="1"/>
    </row>
    <row x14ac:dyDescent="0.25" r="701" customHeight="1" ht="15">
      <c r="A701" s="1"/>
      <c r="B701" s="1"/>
      <c r="C701" s="1"/>
      <c r="D701" s="1"/>
      <c r="E701" s="1"/>
      <c r="F701" s="1"/>
      <c r="G701" s="1"/>
      <c r="H701" s="1"/>
      <c r="I701" s="1"/>
      <c r="J701" s="1"/>
      <c r="K701" s="17"/>
      <c r="L701" s="1"/>
      <c r="M701" s="1"/>
      <c r="N701" s="2"/>
      <c r="O701" s="2"/>
      <c r="P701" s="1"/>
      <c r="Q701" s="1"/>
      <c r="R701" s="1"/>
      <c r="S701" s="1"/>
      <c r="T701" s="40"/>
      <c r="U701" s="40"/>
      <c r="V701" s="40"/>
      <c r="W701" s="40"/>
      <c r="X701" s="22"/>
      <c r="Y701" s="22"/>
      <c r="Z701" s="22"/>
      <c r="AA701" s="22"/>
      <c r="AB701" s="22"/>
      <c r="AC701" s="22"/>
      <c r="AD701" s="22"/>
      <c r="AE701" s="22"/>
      <c r="AF701" s="22"/>
      <c r="AG701" s="22"/>
      <c r="AH701" s="22"/>
      <c r="AI701" s="22"/>
      <c r="AJ701" s="40"/>
      <c r="AK701" s="22"/>
      <c r="AL701" s="22"/>
      <c r="AM701" s="22"/>
      <c r="AN701" s="22"/>
      <c r="AO701" s="40"/>
      <c r="AP701" s="40"/>
      <c r="AQ701" s="40"/>
      <c r="AR701" s="1"/>
      <c r="AS701" s="1"/>
      <c r="AT701" s="17"/>
      <c r="AU701" s="1"/>
      <c r="AV701" s="1"/>
      <c r="AW701" s="1"/>
      <c r="AX701" s="2"/>
      <c r="AY701" s="2"/>
      <c r="AZ701" s="1"/>
    </row>
    <row x14ac:dyDescent="0.25" r="702" customHeight="1" ht="15">
      <c r="A702" s="1"/>
      <c r="B702" s="1"/>
      <c r="C702" s="1"/>
      <c r="D702" s="1"/>
      <c r="E702" s="1"/>
      <c r="F702" s="1"/>
      <c r="G702" s="1"/>
      <c r="H702" s="1"/>
      <c r="I702" s="1"/>
      <c r="J702" s="1"/>
      <c r="K702" s="17"/>
      <c r="L702" s="1"/>
      <c r="M702" s="1"/>
      <c r="N702" s="2"/>
      <c r="O702" s="2"/>
      <c r="P702" s="1"/>
      <c r="Q702" s="1"/>
      <c r="R702" s="1"/>
      <c r="S702" s="1"/>
      <c r="T702" s="40"/>
      <c r="U702" s="40"/>
      <c r="V702" s="40"/>
      <c r="W702" s="40"/>
      <c r="X702" s="22"/>
      <c r="Y702" s="22"/>
      <c r="Z702" s="22"/>
      <c r="AA702" s="22"/>
      <c r="AB702" s="22"/>
      <c r="AC702" s="22"/>
      <c r="AD702" s="22"/>
      <c r="AE702" s="22"/>
      <c r="AF702" s="22"/>
      <c r="AG702" s="22"/>
      <c r="AH702" s="22"/>
      <c r="AI702" s="22"/>
      <c r="AJ702" s="40"/>
      <c r="AK702" s="22"/>
      <c r="AL702" s="22"/>
      <c r="AM702" s="22"/>
      <c r="AN702" s="22"/>
      <c r="AO702" s="40"/>
      <c r="AP702" s="40"/>
      <c r="AQ702" s="40"/>
      <c r="AR702" s="1"/>
      <c r="AS702" s="1"/>
      <c r="AT702" s="17"/>
      <c r="AU702" s="1"/>
      <c r="AV702" s="1"/>
      <c r="AW702" s="1"/>
      <c r="AX702" s="2"/>
      <c r="AY702" s="2"/>
      <c r="AZ702" s="1"/>
    </row>
    <row x14ac:dyDescent="0.25" r="703" customHeight="1" ht="15">
      <c r="A703" s="1"/>
      <c r="B703" s="1"/>
      <c r="C703" s="1"/>
      <c r="D703" s="1"/>
      <c r="E703" s="1"/>
      <c r="F703" s="1"/>
      <c r="G703" s="1"/>
      <c r="H703" s="1"/>
      <c r="I703" s="1"/>
      <c r="J703" s="1"/>
      <c r="K703" s="17"/>
      <c r="L703" s="1"/>
      <c r="M703" s="1"/>
      <c r="N703" s="2"/>
      <c r="O703" s="2"/>
      <c r="P703" s="1"/>
      <c r="Q703" s="1"/>
      <c r="R703" s="1"/>
      <c r="S703" s="1"/>
      <c r="T703" s="40"/>
      <c r="U703" s="40"/>
      <c r="V703" s="40"/>
      <c r="W703" s="40"/>
      <c r="X703" s="22"/>
      <c r="Y703" s="22"/>
      <c r="Z703" s="22"/>
      <c r="AA703" s="22"/>
      <c r="AB703" s="22"/>
      <c r="AC703" s="22"/>
      <c r="AD703" s="22"/>
      <c r="AE703" s="22"/>
      <c r="AF703" s="22"/>
      <c r="AG703" s="22"/>
      <c r="AH703" s="22"/>
      <c r="AI703" s="22"/>
      <c r="AJ703" s="40"/>
      <c r="AK703" s="22"/>
      <c r="AL703" s="22"/>
      <c r="AM703" s="22"/>
      <c r="AN703" s="22"/>
      <c r="AO703" s="40"/>
      <c r="AP703" s="40"/>
      <c r="AQ703" s="40"/>
      <c r="AR703" s="1"/>
      <c r="AS703" s="1"/>
      <c r="AT703" s="17"/>
      <c r="AU703" s="1"/>
      <c r="AV703" s="1"/>
      <c r="AW703" s="1"/>
      <c r="AX703" s="2"/>
      <c r="AY703" s="2"/>
      <c r="AZ703" s="1"/>
    </row>
    <row x14ac:dyDescent="0.25" r="704" customHeight="1" ht="15">
      <c r="A704" s="1"/>
      <c r="B704" s="1"/>
      <c r="C704" s="1"/>
      <c r="D704" s="1"/>
      <c r="E704" s="1"/>
      <c r="F704" s="1"/>
      <c r="G704" s="1"/>
      <c r="H704" s="1"/>
      <c r="I704" s="1"/>
      <c r="J704" s="1"/>
      <c r="K704" s="17"/>
      <c r="L704" s="1"/>
      <c r="M704" s="1"/>
      <c r="N704" s="2"/>
      <c r="O704" s="2"/>
      <c r="P704" s="1"/>
      <c r="Q704" s="1"/>
      <c r="R704" s="1"/>
      <c r="S704" s="1"/>
      <c r="T704" s="40"/>
      <c r="U704" s="40"/>
      <c r="V704" s="40"/>
      <c r="W704" s="40"/>
      <c r="X704" s="22"/>
      <c r="Y704" s="22"/>
      <c r="Z704" s="22"/>
      <c r="AA704" s="22"/>
      <c r="AB704" s="22"/>
      <c r="AC704" s="22"/>
      <c r="AD704" s="22"/>
      <c r="AE704" s="22"/>
      <c r="AF704" s="22"/>
      <c r="AG704" s="22"/>
      <c r="AH704" s="22"/>
      <c r="AI704" s="22"/>
      <c r="AJ704" s="40"/>
      <c r="AK704" s="22"/>
      <c r="AL704" s="22"/>
      <c r="AM704" s="22"/>
      <c r="AN704" s="22"/>
      <c r="AO704" s="40"/>
      <c r="AP704" s="40"/>
      <c r="AQ704" s="40"/>
      <c r="AR704" s="1"/>
      <c r="AS704" s="1"/>
      <c r="AT704" s="17"/>
      <c r="AU704" s="1"/>
      <c r="AV704" s="1"/>
      <c r="AW704" s="1"/>
      <c r="AX704" s="2"/>
      <c r="AY704" s="2"/>
      <c r="AZ704" s="1"/>
    </row>
    <row x14ac:dyDescent="0.25" r="705" customHeight="1" ht="15">
      <c r="A705" s="1"/>
      <c r="B705" s="1"/>
      <c r="C705" s="1"/>
      <c r="D705" s="1"/>
      <c r="E705" s="1"/>
      <c r="F705" s="1"/>
      <c r="G705" s="1"/>
      <c r="H705" s="1"/>
      <c r="I705" s="1"/>
      <c r="J705" s="1"/>
      <c r="K705" s="17"/>
      <c r="L705" s="1"/>
      <c r="M705" s="1"/>
      <c r="N705" s="2"/>
      <c r="O705" s="2"/>
      <c r="P705" s="1"/>
      <c r="Q705" s="1"/>
      <c r="R705" s="1"/>
      <c r="S705" s="1"/>
      <c r="T705" s="40"/>
      <c r="U705" s="40"/>
      <c r="V705" s="40"/>
      <c r="W705" s="40"/>
      <c r="X705" s="22"/>
      <c r="Y705" s="22"/>
      <c r="Z705" s="22"/>
      <c r="AA705" s="22"/>
      <c r="AB705" s="22"/>
      <c r="AC705" s="22"/>
      <c r="AD705" s="22"/>
      <c r="AE705" s="22"/>
      <c r="AF705" s="22"/>
      <c r="AG705" s="22"/>
      <c r="AH705" s="22"/>
      <c r="AI705" s="22"/>
      <c r="AJ705" s="40"/>
      <c r="AK705" s="22"/>
      <c r="AL705" s="22"/>
      <c r="AM705" s="22"/>
      <c r="AN705" s="22"/>
      <c r="AO705" s="40"/>
      <c r="AP705" s="40"/>
      <c r="AQ705" s="40"/>
      <c r="AR705" s="1"/>
      <c r="AS705" s="1"/>
      <c r="AT705" s="17"/>
      <c r="AU705" s="1"/>
      <c r="AV705" s="1"/>
      <c r="AW705" s="1"/>
      <c r="AX705" s="2"/>
      <c r="AY705" s="2"/>
      <c r="AZ705" s="1"/>
    </row>
    <row x14ac:dyDescent="0.25" r="706" customHeight="1" ht="15">
      <c r="A706" s="1"/>
      <c r="B706" s="1"/>
      <c r="C706" s="1"/>
      <c r="D706" s="1"/>
      <c r="E706" s="1"/>
      <c r="F706" s="1"/>
      <c r="G706" s="1"/>
      <c r="H706" s="1"/>
      <c r="I706" s="1"/>
      <c r="J706" s="1"/>
      <c r="K706" s="17"/>
      <c r="L706" s="1"/>
      <c r="M706" s="1"/>
      <c r="N706" s="2"/>
      <c r="O706" s="2"/>
      <c r="P706" s="1"/>
      <c r="Q706" s="1"/>
      <c r="R706" s="1"/>
      <c r="S706" s="1"/>
      <c r="T706" s="40"/>
      <c r="U706" s="40"/>
      <c r="V706" s="40"/>
      <c r="W706" s="40"/>
      <c r="X706" s="22"/>
      <c r="Y706" s="22"/>
      <c r="Z706" s="22"/>
      <c r="AA706" s="22"/>
      <c r="AB706" s="22"/>
      <c r="AC706" s="22"/>
      <c r="AD706" s="22"/>
      <c r="AE706" s="22"/>
      <c r="AF706" s="22"/>
      <c r="AG706" s="22"/>
      <c r="AH706" s="22"/>
      <c r="AI706" s="22"/>
      <c r="AJ706" s="40"/>
      <c r="AK706" s="22"/>
      <c r="AL706" s="22"/>
      <c r="AM706" s="22"/>
      <c r="AN706" s="22"/>
      <c r="AO706" s="40"/>
      <c r="AP706" s="40"/>
      <c r="AQ706" s="40"/>
      <c r="AR706" s="1"/>
      <c r="AS706" s="1"/>
      <c r="AT706" s="17"/>
      <c r="AU706" s="1"/>
      <c r="AV706" s="1"/>
      <c r="AW706" s="1"/>
      <c r="AX706" s="2"/>
      <c r="AY706" s="2"/>
      <c r="AZ706" s="1"/>
    </row>
    <row x14ac:dyDescent="0.25" r="707" customHeight="1" ht="15">
      <c r="A707" s="1"/>
      <c r="B707" s="1"/>
      <c r="C707" s="1"/>
      <c r="D707" s="1"/>
      <c r="E707" s="1"/>
      <c r="F707" s="1"/>
      <c r="G707" s="1"/>
      <c r="H707" s="1"/>
      <c r="I707" s="1"/>
      <c r="J707" s="1"/>
      <c r="K707" s="17"/>
      <c r="L707" s="1"/>
      <c r="M707" s="1"/>
      <c r="N707" s="2"/>
      <c r="O707" s="2"/>
      <c r="P707" s="1"/>
      <c r="Q707" s="1"/>
      <c r="R707" s="1"/>
      <c r="S707" s="1"/>
      <c r="T707" s="40"/>
      <c r="U707" s="40"/>
      <c r="V707" s="40"/>
      <c r="W707" s="40"/>
      <c r="X707" s="22"/>
      <c r="Y707" s="22"/>
      <c r="Z707" s="22"/>
      <c r="AA707" s="22"/>
      <c r="AB707" s="22"/>
      <c r="AC707" s="22"/>
      <c r="AD707" s="22"/>
      <c r="AE707" s="22"/>
      <c r="AF707" s="22"/>
      <c r="AG707" s="22"/>
      <c r="AH707" s="22"/>
      <c r="AI707" s="22"/>
      <c r="AJ707" s="40"/>
      <c r="AK707" s="22"/>
      <c r="AL707" s="22"/>
      <c r="AM707" s="22"/>
      <c r="AN707" s="22"/>
      <c r="AO707" s="40"/>
      <c r="AP707" s="40"/>
      <c r="AQ707" s="40"/>
      <c r="AR707" s="1"/>
      <c r="AS707" s="1"/>
      <c r="AT707" s="17"/>
      <c r="AU707" s="1"/>
      <c r="AV707" s="1"/>
      <c r="AW707" s="1"/>
      <c r="AX707" s="2"/>
      <c r="AY707" s="2"/>
      <c r="AZ707" s="1"/>
    </row>
    <row x14ac:dyDescent="0.25" r="708" customHeight="1" ht="15">
      <c r="A708" s="1"/>
      <c r="B708" s="1"/>
      <c r="C708" s="1"/>
      <c r="D708" s="1"/>
      <c r="E708" s="1"/>
      <c r="F708" s="1"/>
      <c r="G708" s="1"/>
      <c r="H708" s="1"/>
      <c r="I708" s="1"/>
      <c r="J708" s="1"/>
      <c r="K708" s="17"/>
      <c r="L708" s="1"/>
      <c r="M708" s="1"/>
      <c r="N708" s="2"/>
      <c r="O708" s="2"/>
      <c r="P708" s="1"/>
      <c r="Q708" s="1"/>
      <c r="R708" s="1"/>
      <c r="S708" s="1"/>
      <c r="T708" s="40"/>
      <c r="U708" s="40"/>
      <c r="V708" s="40"/>
      <c r="W708" s="40"/>
      <c r="X708" s="22"/>
      <c r="Y708" s="22"/>
      <c r="Z708" s="22"/>
      <c r="AA708" s="22"/>
      <c r="AB708" s="22"/>
      <c r="AC708" s="22"/>
      <c r="AD708" s="22"/>
      <c r="AE708" s="22"/>
      <c r="AF708" s="22"/>
      <c r="AG708" s="22"/>
      <c r="AH708" s="22"/>
      <c r="AI708" s="22"/>
      <c r="AJ708" s="40"/>
      <c r="AK708" s="22"/>
      <c r="AL708" s="22"/>
      <c r="AM708" s="22"/>
      <c r="AN708" s="22"/>
      <c r="AO708" s="40"/>
      <c r="AP708" s="40"/>
      <c r="AQ708" s="40"/>
      <c r="AR708" s="1"/>
      <c r="AS708" s="1"/>
      <c r="AT708" s="17"/>
      <c r="AU708" s="1"/>
      <c r="AV708" s="1"/>
      <c r="AW708" s="1"/>
      <c r="AX708" s="2"/>
      <c r="AY708" s="2"/>
      <c r="AZ708" s="1"/>
    </row>
    <row x14ac:dyDescent="0.25" r="709" customHeight="1" ht="15">
      <c r="A709" s="1"/>
      <c r="B709" s="1"/>
      <c r="C709" s="1"/>
      <c r="D709" s="1"/>
      <c r="E709" s="1"/>
      <c r="F709" s="1"/>
      <c r="G709" s="1"/>
      <c r="H709" s="1"/>
      <c r="I709" s="1"/>
      <c r="J709" s="1"/>
      <c r="K709" s="17"/>
      <c r="L709" s="1"/>
      <c r="M709" s="1"/>
      <c r="N709" s="2"/>
      <c r="O709" s="2"/>
      <c r="P709" s="1"/>
      <c r="Q709" s="1"/>
      <c r="R709" s="1"/>
      <c r="S709" s="1"/>
      <c r="T709" s="40"/>
      <c r="U709" s="40"/>
      <c r="V709" s="40"/>
      <c r="W709" s="40"/>
      <c r="X709" s="22"/>
      <c r="Y709" s="22"/>
      <c r="Z709" s="22"/>
      <c r="AA709" s="22"/>
      <c r="AB709" s="22"/>
      <c r="AC709" s="22"/>
      <c r="AD709" s="22"/>
      <c r="AE709" s="22"/>
      <c r="AF709" s="22"/>
      <c r="AG709" s="22"/>
      <c r="AH709" s="22"/>
      <c r="AI709" s="22"/>
      <c r="AJ709" s="40"/>
      <c r="AK709" s="22"/>
      <c r="AL709" s="22"/>
      <c r="AM709" s="22"/>
      <c r="AN709" s="22"/>
      <c r="AO709" s="40"/>
      <c r="AP709" s="40"/>
      <c r="AQ709" s="40"/>
      <c r="AR709" s="1"/>
      <c r="AS709" s="1"/>
      <c r="AT709" s="17"/>
      <c r="AU709" s="1"/>
      <c r="AV709" s="1"/>
      <c r="AW709" s="1"/>
      <c r="AX709" s="2"/>
      <c r="AY709" s="2"/>
      <c r="AZ709" s="1"/>
    </row>
    <row x14ac:dyDescent="0.25" r="710" customHeight="1" ht="15">
      <c r="A710" s="1"/>
      <c r="B710" s="1"/>
      <c r="C710" s="1"/>
      <c r="D710" s="1"/>
      <c r="E710" s="1"/>
      <c r="F710" s="1"/>
      <c r="G710" s="1"/>
      <c r="H710" s="1"/>
      <c r="I710" s="1"/>
      <c r="J710" s="1"/>
      <c r="K710" s="17"/>
      <c r="L710" s="1"/>
      <c r="M710" s="1"/>
      <c r="N710" s="2"/>
      <c r="O710" s="2"/>
      <c r="P710" s="1"/>
      <c r="Q710" s="1"/>
      <c r="R710" s="1"/>
      <c r="S710" s="1"/>
      <c r="T710" s="40"/>
      <c r="U710" s="40"/>
      <c r="V710" s="40"/>
      <c r="W710" s="40"/>
      <c r="X710" s="22"/>
      <c r="Y710" s="22"/>
      <c r="Z710" s="22"/>
      <c r="AA710" s="22"/>
      <c r="AB710" s="22"/>
      <c r="AC710" s="22"/>
      <c r="AD710" s="22"/>
      <c r="AE710" s="22"/>
      <c r="AF710" s="22"/>
      <c r="AG710" s="22"/>
      <c r="AH710" s="22"/>
      <c r="AI710" s="22"/>
      <c r="AJ710" s="40"/>
      <c r="AK710" s="22"/>
      <c r="AL710" s="22"/>
      <c r="AM710" s="22"/>
      <c r="AN710" s="22"/>
      <c r="AO710" s="40"/>
      <c r="AP710" s="40"/>
      <c r="AQ710" s="40"/>
      <c r="AR710" s="1"/>
      <c r="AS710" s="1"/>
      <c r="AT710" s="17"/>
      <c r="AU710" s="1"/>
      <c r="AV710" s="1"/>
      <c r="AW710" s="1"/>
      <c r="AX710" s="2"/>
      <c r="AY710" s="2"/>
      <c r="AZ710" s="1"/>
    </row>
    <row x14ac:dyDescent="0.25" r="711" customHeight="1" ht="18.75">
      <c r="A711" s="1"/>
      <c r="B711" s="1"/>
      <c r="C711" s="1"/>
      <c r="D711" s="1"/>
      <c r="E711" s="1"/>
      <c r="F711" s="1"/>
      <c r="G711" s="1"/>
      <c r="H711" s="1"/>
      <c r="I711" s="1"/>
      <c r="J711" s="1"/>
      <c r="K711" s="17"/>
      <c r="L711" s="1"/>
      <c r="M711" s="1"/>
      <c r="N711" s="2"/>
      <c r="O711" s="2"/>
      <c r="P711" s="1"/>
      <c r="Q711" s="1"/>
      <c r="R711" s="1"/>
      <c r="S711" s="1"/>
      <c r="T711" s="40"/>
      <c r="U711" s="40"/>
      <c r="V711" s="40"/>
      <c r="W711" s="40"/>
      <c r="X711" s="22"/>
      <c r="Y711" s="22"/>
      <c r="Z711" s="22"/>
      <c r="AA711" s="22"/>
      <c r="AB711" s="22"/>
      <c r="AC711" s="22"/>
      <c r="AD711" s="22"/>
      <c r="AE711" s="22"/>
      <c r="AF711" s="22"/>
      <c r="AG711" s="22"/>
      <c r="AH711" s="22"/>
      <c r="AI711" s="22"/>
      <c r="AJ711" s="40"/>
      <c r="AK711" s="22"/>
      <c r="AL711" s="22"/>
      <c r="AM711" s="22"/>
      <c r="AN711" s="22"/>
      <c r="AO711" s="40"/>
      <c r="AP711" s="40"/>
      <c r="AQ711" s="40"/>
      <c r="AR711" s="1"/>
      <c r="AS711" s="1"/>
      <c r="AT711" s="17"/>
      <c r="AU711" s="1"/>
      <c r="AV711" s="1"/>
      <c r="AW711" s="1"/>
      <c r="AX711" s="2"/>
      <c r="AY711" s="2"/>
      <c r="AZ711" s="1"/>
    </row>
    <row x14ac:dyDescent="0.25" r="712" customHeight="1" ht="18.75">
      <c r="A712" s="1"/>
      <c r="B712" s="1"/>
      <c r="C712" s="1"/>
      <c r="D712" s="1"/>
      <c r="E712" s="1"/>
      <c r="F712" s="1"/>
      <c r="G712" s="1"/>
      <c r="H712" s="1"/>
      <c r="I712" s="1"/>
      <c r="J712" s="1"/>
      <c r="K712" s="17"/>
      <c r="L712" s="1"/>
      <c r="M712" s="1"/>
      <c r="N712" s="2"/>
      <c r="O712" s="2"/>
      <c r="P712" s="1"/>
      <c r="Q712" s="1"/>
      <c r="R712" s="1"/>
      <c r="S712" s="1"/>
      <c r="T712" s="40"/>
      <c r="U712" s="40"/>
      <c r="V712" s="40"/>
      <c r="W712" s="40"/>
      <c r="X712" s="22"/>
      <c r="Y712" s="22"/>
      <c r="Z712" s="22"/>
      <c r="AA712" s="22"/>
      <c r="AB712" s="22"/>
      <c r="AC712" s="22"/>
      <c r="AD712" s="22"/>
      <c r="AE712" s="22"/>
      <c r="AF712" s="22"/>
      <c r="AG712" s="22"/>
      <c r="AH712" s="22"/>
      <c r="AI712" s="22"/>
      <c r="AJ712" s="40"/>
      <c r="AK712" s="22"/>
      <c r="AL712" s="22"/>
      <c r="AM712" s="22"/>
      <c r="AN712" s="22"/>
      <c r="AO712" s="40"/>
      <c r="AP712" s="40"/>
      <c r="AQ712" s="40"/>
      <c r="AR712" s="1"/>
      <c r="AS712" s="1"/>
      <c r="AT712" s="17"/>
      <c r="AU712" s="1"/>
      <c r="AV712" s="1"/>
      <c r="AW712" s="1"/>
      <c r="AX712" s="2"/>
      <c r="AY712" s="2"/>
      <c r="AZ712" s="1"/>
    </row>
    <row x14ac:dyDescent="0.25" r="713" customHeight="1" ht="18.75">
      <c r="A713" s="1"/>
      <c r="B713" s="1"/>
      <c r="C713" s="1"/>
      <c r="D713" s="1"/>
      <c r="E713" s="1"/>
      <c r="F713" s="1"/>
      <c r="G713" s="1"/>
      <c r="H713" s="1"/>
      <c r="I713" s="1"/>
      <c r="J713" s="1"/>
      <c r="K713" s="17"/>
      <c r="L713" s="1"/>
      <c r="M713" s="1"/>
      <c r="N713" s="2"/>
      <c r="O713" s="2"/>
      <c r="P713" s="1"/>
      <c r="Q713" s="1"/>
      <c r="R713" s="1"/>
      <c r="S713" s="1"/>
      <c r="T713" s="40"/>
      <c r="U713" s="40"/>
      <c r="V713" s="40"/>
      <c r="W713" s="40"/>
      <c r="X713" s="22"/>
      <c r="Y713" s="22"/>
      <c r="Z713" s="22"/>
      <c r="AA713" s="22"/>
      <c r="AB713" s="22"/>
      <c r="AC713" s="22"/>
      <c r="AD713" s="22"/>
      <c r="AE713" s="22"/>
      <c r="AF713" s="22"/>
      <c r="AG713" s="22"/>
      <c r="AH713" s="22"/>
      <c r="AI713" s="22"/>
      <c r="AJ713" s="40"/>
      <c r="AK713" s="22"/>
      <c r="AL713" s="22"/>
      <c r="AM713" s="22"/>
      <c r="AN713" s="22"/>
      <c r="AO713" s="40"/>
      <c r="AP713" s="40"/>
      <c r="AQ713" s="40"/>
      <c r="AR713" s="1"/>
      <c r="AS713" s="1"/>
      <c r="AT713" s="17"/>
      <c r="AU713" s="1"/>
      <c r="AV713" s="1"/>
      <c r="AW713" s="1"/>
      <c r="AX713" s="2"/>
      <c r="AY713" s="2"/>
      <c r="AZ713" s="1"/>
    </row>
    <row x14ac:dyDescent="0.25" r="714" customHeight="1" ht="18.75">
      <c r="A714" s="1"/>
      <c r="B714" s="1"/>
      <c r="C714" s="1"/>
      <c r="D714" s="1"/>
      <c r="E714" s="1"/>
      <c r="F714" s="1"/>
      <c r="G714" s="1"/>
      <c r="H714" s="1"/>
      <c r="I714" s="1"/>
      <c r="J714" s="1"/>
      <c r="K714" s="17"/>
      <c r="L714" s="1"/>
      <c r="M714" s="1"/>
      <c r="N714" s="2"/>
      <c r="O714" s="2"/>
      <c r="P714" s="1"/>
      <c r="Q714" s="1"/>
      <c r="R714" s="1"/>
      <c r="S714" s="1"/>
      <c r="T714" s="40"/>
      <c r="U714" s="40"/>
      <c r="V714" s="40"/>
      <c r="W714" s="40"/>
      <c r="X714" s="22"/>
      <c r="Y714" s="22"/>
      <c r="Z714" s="22"/>
      <c r="AA714" s="22"/>
      <c r="AB714" s="22"/>
      <c r="AC714" s="22"/>
      <c r="AD714" s="22"/>
      <c r="AE714" s="22"/>
      <c r="AF714" s="22"/>
      <c r="AG714" s="22"/>
      <c r="AH714" s="22"/>
      <c r="AI714" s="22"/>
      <c r="AJ714" s="40"/>
      <c r="AK714" s="22"/>
      <c r="AL714" s="22"/>
      <c r="AM714" s="22"/>
      <c r="AN714" s="22"/>
      <c r="AO714" s="40"/>
      <c r="AP714" s="40"/>
      <c r="AQ714" s="40"/>
      <c r="AR714" s="1"/>
      <c r="AS714" s="1"/>
      <c r="AT714" s="17"/>
      <c r="AU714" s="1"/>
      <c r="AV714" s="1"/>
      <c r="AW714" s="1"/>
      <c r="AX714" s="2"/>
      <c r="AY714" s="2"/>
      <c r="AZ714" s="1"/>
    </row>
    <row x14ac:dyDescent="0.25" r="715" customHeight="1" ht="18.75">
      <c r="A715" s="1"/>
      <c r="B715" s="1"/>
      <c r="C715" s="1"/>
      <c r="D715" s="1"/>
      <c r="E715" s="1"/>
      <c r="F715" s="1"/>
      <c r="G715" s="1"/>
      <c r="H715" s="1"/>
      <c r="I715" s="1"/>
      <c r="J715" s="1"/>
      <c r="K715" s="17"/>
      <c r="L715" s="1"/>
      <c r="M715" s="1"/>
      <c r="N715" s="2"/>
      <c r="O715" s="2"/>
      <c r="P715" s="1"/>
      <c r="Q715" s="1"/>
      <c r="R715" s="1"/>
      <c r="S715" s="1"/>
      <c r="T715" s="40"/>
      <c r="U715" s="40"/>
      <c r="V715" s="40"/>
      <c r="W715" s="40"/>
      <c r="X715" s="22"/>
      <c r="Y715" s="22"/>
      <c r="Z715" s="22"/>
      <c r="AA715" s="22"/>
      <c r="AB715" s="22"/>
      <c r="AC715" s="22"/>
      <c r="AD715" s="22"/>
      <c r="AE715" s="22"/>
      <c r="AF715" s="22"/>
      <c r="AG715" s="22"/>
      <c r="AH715" s="22"/>
      <c r="AI715" s="22"/>
      <c r="AJ715" s="40"/>
      <c r="AK715" s="22"/>
      <c r="AL715" s="22"/>
      <c r="AM715" s="22"/>
      <c r="AN715" s="22"/>
      <c r="AO715" s="40"/>
      <c r="AP715" s="40"/>
      <c r="AQ715" s="40"/>
      <c r="AR715" s="1"/>
      <c r="AS715" s="1"/>
      <c r="AT715" s="17"/>
      <c r="AU715" s="1"/>
      <c r="AV715" s="1"/>
      <c r="AW715" s="1"/>
      <c r="AX715" s="2"/>
      <c r="AY715" s="2"/>
      <c r="AZ715" s="1"/>
    </row>
    <row x14ac:dyDescent="0.25" r="716" customHeight="1" ht="18.75">
      <c r="A716" s="1"/>
      <c r="B716" s="1"/>
      <c r="C716" s="1"/>
      <c r="D716" s="1"/>
      <c r="E716" s="1"/>
      <c r="F716" s="1"/>
      <c r="G716" s="1"/>
      <c r="H716" s="1"/>
      <c r="I716" s="1"/>
      <c r="J716" s="1"/>
      <c r="K716" s="17"/>
      <c r="L716" s="1"/>
      <c r="M716" s="1"/>
      <c r="N716" s="2"/>
      <c r="O716" s="2"/>
      <c r="P716" s="1"/>
      <c r="Q716" s="1"/>
      <c r="R716" s="1"/>
      <c r="S716" s="1"/>
      <c r="T716" s="40"/>
      <c r="U716" s="40"/>
      <c r="V716" s="40"/>
      <c r="W716" s="40"/>
      <c r="X716" s="22"/>
      <c r="Y716" s="22"/>
      <c r="Z716" s="22"/>
      <c r="AA716" s="22"/>
      <c r="AB716" s="22"/>
      <c r="AC716" s="22"/>
      <c r="AD716" s="22"/>
      <c r="AE716" s="22"/>
      <c r="AF716" s="22"/>
      <c r="AG716" s="22"/>
      <c r="AH716" s="22"/>
      <c r="AI716" s="22"/>
      <c r="AJ716" s="40"/>
      <c r="AK716" s="22"/>
      <c r="AL716" s="22"/>
      <c r="AM716" s="22"/>
      <c r="AN716" s="22"/>
      <c r="AO716" s="40"/>
      <c r="AP716" s="40"/>
      <c r="AQ716" s="40"/>
      <c r="AR716" s="1"/>
      <c r="AS716" s="1"/>
      <c r="AT716" s="17"/>
      <c r="AU716" s="1"/>
      <c r="AV716" s="1"/>
      <c r="AW716" s="1"/>
      <c r="AX716" s="2"/>
      <c r="AY716" s="2"/>
      <c r="AZ716" s="1"/>
    </row>
    <row x14ac:dyDescent="0.25" r="717" customHeight="1" ht="18.75">
      <c r="A717" s="1"/>
      <c r="B717" s="1"/>
      <c r="C717" s="1"/>
      <c r="D717" s="1"/>
      <c r="E717" s="1"/>
      <c r="F717" s="1"/>
      <c r="G717" s="1"/>
      <c r="H717" s="1"/>
      <c r="I717" s="1"/>
      <c r="J717" s="1"/>
      <c r="K717" s="17"/>
      <c r="L717" s="1"/>
      <c r="M717" s="1"/>
      <c r="N717" s="2"/>
      <c r="O717" s="2"/>
      <c r="P717" s="1"/>
      <c r="Q717" s="1"/>
      <c r="R717" s="1"/>
      <c r="S717" s="1"/>
      <c r="T717" s="40"/>
      <c r="U717" s="40"/>
      <c r="V717" s="40"/>
      <c r="W717" s="40"/>
      <c r="X717" s="22"/>
      <c r="Y717" s="22"/>
      <c r="Z717" s="22"/>
      <c r="AA717" s="22"/>
      <c r="AB717" s="22"/>
      <c r="AC717" s="22"/>
      <c r="AD717" s="22"/>
      <c r="AE717" s="22"/>
      <c r="AF717" s="22"/>
      <c r="AG717" s="22"/>
      <c r="AH717" s="22"/>
      <c r="AI717" s="22"/>
      <c r="AJ717" s="40"/>
      <c r="AK717" s="22"/>
      <c r="AL717" s="22"/>
      <c r="AM717" s="22"/>
      <c r="AN717" s="22"/>
      <c r="AO717" s="40"/>
      <c r="AP717" s="40"/>
      <c r="AQ717" s="40"/>
      <c r="AR717" s="1"/>
      <c r="AS717" s="1"/>
      <c r="AT717" s="17"/>
      <c r="AU717" s="1"/>
      <c r="AV717" s="1"/>
      <c r="AW717" s="1"/>
      <c r="AX717" s="2"/>
      <c r="AY717" s="2"/>
      <c r="AZ717" s="1"/>
    </row>
    <row x14ac:dyDescent="0.25" r="718" customHeight="1" ht="18.75">
      <c r="A718" s="1"/>
      <c r="B718" s="1"/>
      <c r="C718" s="1"/>
      <c r="D718" s="1"/>
      <c r="E718" s="1"/>
      <c r="F718" s="1"/>
      <c r="G718" s="1"/>
      <c r="H718" s="1"/>
      <c r="I718" s="1"/>
      <c r="J718" s="1"/>
      <c r="K718" s="17"/>
      <c r="L718" s="1"/>
      <c r="M718" s="1"/>
      <c r="N718" s="2"/>
      <c r="O718" s="2"/>
      <c r="P718" s="1"/>
      <c r="Q718" s="1"/>
      <c r="R718" s="1"/>
      <c r="S718" s="1"/>
      <c r="T718" s="40"/>
      <c r="U718" s="40"/>
      <c r="V718" s="40"/>
      <c r="W718" s="40"/>
      <c r="X718" s="22"/>
      <c r="Y718" s="22"/>
      <c r="Z718" s="22"/>
      <c r="AA718" s="22"/>
      <c r="AB718" s="22"/>
      <c r="AC718" s="22"/>
      <c r="AD718" s="22"/>
      <c r="AE718" s="22"/>
      <c r="AF718" s="22"/>
      <c r="AG718" s="22"/>
      <c r="AH718" s="22"/>
      <c r="AI718" s="22"/>
      <c r="AJ718" s="40"/>
      <c r="AK718" s="22"/>
      <c r="AL718" s="22"/>
      <c r="AM718" s="22"/>
      <c r="AN718" s="22"/>
      <c r="AO718" s="40"/>
      <c r="AP718" s="40"/>
      <c r="AQ718" s="40"/>
      <c r="AR718" s="1"/>
      <c r="AS718" s="1"/>
      <c r="AT718" s="17"/>
      <c r="AU718" s="1"/>
      <c r="AV718" s="1"/>
      <c r="AW718" s="1"/>
      <c r="AX718" s="2"/>
      <c r="AY718" s="2"/>
      <c r="AZ718" s="1"/>
    </row>
    <row x14ac:dyDescent="0.25" r="719" customHeight="1" ht="18.75">
      <c r="A719" s="1"/>
      <c r="B719" s="1"/>
      <c r="C719" s="1"/>
      <c r="D719" s="1"/>
      <c r="E719" s="1"/>
      <c r="F719" s="1"/>
      <c r="G719" s="1"/>
      <c r="H719" s="1"/>
      <c r="I719" s="1"/>
      <c r="J719" s="1"/>
      <c r="K719" s="17"/>
      <c r="L719" s="1"/>
      <c r="M719" s="1"/>
      <c r="N719" s="2"/>
      <c r="O719" s="2"/>
      <c r="P719" s="1"/>
      <c r="Q719" s="1"/>
      <c r="R719" s="1"/>
      <c r="S719" s="1"/>
      <c r="T719" s="40"/>
      <c r="U719" s="40"/>
      <c r="V719" s="40"/>
      <c r="W719" s="40"/>
      <c r="X719" s="22"/>
      <c r="Y719" s="22"/>
      <c r="Z719" s="22"/>
      <c r="AA719" s="22"/>
      <c r="AB719" s="22"/>
      <c r="AC719" s="22"/>
      <c r="AD719" s="22"/>
      <c r="AE719" s="22"/>
      <c r="AF719" s="22"/>
      <c r="AG719" s="22"/>
      <c r="AH719" s="22"/>
      <c r="AI719" s="22"/>
      <c r="AJ719" s="40"/>
      <c r="AK719" s="22"/>
      <c r="AL719" s="22"/>
      <c r="AM719" s="22"/>
      <c r="AN719" s="22"/>
      <c r="AO719" s="40"/>
      <c r="AP719" s="40"/>
      <c r="AQ719" s="40"/>
      <c r="AR719" s="1"/>
      <c r="AS719" s="1"/>
      <c r="AT719" s="17"/>
      <c r="AU719" s="1"/>
      <c r="AV719" s="1"/>
      <c r="AW719" s="1"/>
      <c r="AX719" s="2"/>
      <c r="AY719" s="2"/>
      <c r="AZ719" s="1"/>
    </row>
    <row x14ac:dyDescent="0.25" r="720" customHeight="1" ht="18.75">
      <c r="A720" s="1"/>
      <c r="B720" s="1"/>
      <c r="C720" s="1"/>
      <c r="D720" s="1"/>
      <c r="E720" s="1"/>
      <c r="F720" s="1"/>
      <c r="G720" s="1"/>
      <c r="H720" s="1"/>
      <c r="I720" s="1"/>
      <c r="J720" s="1"/>
      <c r="K720" s="17"/>
      <c r="L720" s="1"/>
      <c r="M720" s="1"/>
      <c r="N720" s="2"/>
      <c r="O720" s="2"/>
      <c r="P720" s="1"/>
      <c r="Q720" s="1"/>
      <c r="R720" s="1"/>
      <c r="S720" s="1"/>
      <c r="T720" s="40"/>
      <c r="U720" s="40"/>
      <c r="V720" s="40"/>
      <c r="W720" s="40"/>
      <c r="X720" s="22"/>
      <c r="Y720" s="22"/>
      <c r="Z720" s="22"/>
      <c r="AA720" s="22"/>
      <c r="AB720" s="22"/>
      <c r="AC720" s="22"/>
      <c r="AD720" s="22"/>
      <c r="AE720" s="22"/>
      <c r="AF720" s="22"/>
      <c r="AG720" s="22"/>
      <c r="AH720" s="22"/>
      <c r="AI720" s="22"/>
      <c r="AJ720" s="40"/>
      <c r="AK720" s="22"/>
      <c r="AL720" s="22"/>
      <c r="AM720" s="22"/>
      <c r="AN720" s="22"/>
      <c r="AO720" s="40"/>
      <c r="AP720" s="40"/>
      <c r="AQ720" s="40"/>
      <c r="AR720" s="1"/>
      <c r="AS720" s="1"/>
      <c r="AT720" s="17"/>
      <c r="AU720" s="1"/>
      <c r="AV720" s="1"/>
      <c r="AW720" s="1"/>
      <c r="AX720" s="2"/>
      <c r="AY720" s="2"/>
      <c r="AZ720" s="1"/>
    </row>
    <row x14ac:dyDescent="0.25" r="721" customHeight="1" ht="18.75">
      <c r="A721" s="1"/>
      <c r="B721" s="1"/>
      <c r="C721" s="1"/>
      <c r="D721" s="1"/>
      <c r="E721" s="1"/>
      <c r="F721" s="1"/>
      <c r="G721" s="1"/>
      <c r="H721" s="1"/>
      <c r="I721" s="1"/>
      <c r="J721" s="1"/>
      <c r="K721" s="17"/>
      <c r="L721" s="1"/>
      <c r="M721" s="1"/>
      <c r="N721" s="2"/>
      <c r="O721" s="2"/>
      <c r="P721" s="1"/>
      <c r="Q721" s="1"/>
      <c r="R721" s="1"/>
      <c r="S721" s="1"/>
      <c r="T721" s="40"/>
      <c r="U721" s="40"/>
      <c r="V721" s="40"/>
      <c r="W721" s="40"/>
      <c r="X721" s="22"/>
      <c r="Y721" s="22"/>
      <c r="Z721" s="22"/>
      <c r="AA721" s="22"/>
      <c r="AB721" s="22"/>
      <c r="AC721" s="22"/>
      <c r="AD721" s="22"/>
      <c r="AE721" s="22"/>
      <c r="AF721" s="22"/>
      <c r="AG721" s="22"/>
      <c r="AH721" s="22"/>
      <c r="AI721" s="22"/>
      <c r="AJ721" s="40"/>
      <c r="AK721" s="22"/>
      <c r="AL721" s="22"/>
      <c r="AM721" s="22"/>
      <c r="AN721" s="22"/>
      <c r="AO721" s="40"/>
      <c r="AP721" s="40"/>
      <c r="AQ721" s="40"/>
      <c r="AR721" s="1"/>
      <c r="AS721" s="1"/>
      <c r="AT721" s="17"/>
      <c r="AU721" s="1"/>
      <c r="AV721" s="1"/>
      <c r="AW721" s="1"/>
      <c r="AX721" s="2"/>
      <c r="AY721" s="2"/>
      <c r="AZ721" s="1"/>
    </row>
    <row x14ac:dyDescent="0.25" r="722" customHeight="1" ht="18.75">
      <c r="A722" s="1"/>
      <c r="B722" s="1"/>
      <c r="C722" s="1"/>
      <c r="D722" s="1"/>
      <c r="E722" s="1"/>
      <c r="F722" s="1"/>
      <c r="G722" s="1"/>
      <c r="H722" s="1"/>
      <c r="I722" s="1"/>
      <c r="J722" s="1"/>
      <c r="K722" s="17"/>
      <c r="L722" s="1"/>
      <c r="M722" s="1"/>
      <c r="N722" s="2"/>
      <c r="O722" s="2"/>
      <c r="P722" s="1"/>
      <c r="Q722" s="1"/>
      <c r="R722" s="1"/>
      <c r="S722" s="1"/>
      <c r="T722" s="40"/>
      <c r="U722" s="40"/>
      <c r="V722" s="40"/>
      <c r="W722" s="40"/>
      <c r="X722" s="22"/>
      <c r="Y722" s="22"/>
      <c r="Z722" s="22"/>
      <c r="AA722" s="22"/>
      <c r="AB722" s="22"/>
      <c r="AC722" s="22"/>
      <c r="AD722" s="22"/>
      <c r="AE722" s="22"/>
      <c r="AF722" s="22"/>
      <c r="AG722" s="22"/>
      <c r="AH722" s="22"/>
      <c r="AI722" s="22"/>
      <c r="AJ722" s="40"/>
      <c r="AK722" s="22"/>
      <c r="AL722" s="22"/>
      <c r="AM722" s="22"/>
      <c r="AN722" s="22"/>
      <c r="AO722" s="40"/>
      <c r="AP722" s="40"/>
      <c r="AQ722" s="40"/>
      <c r="AR722" s="1"/>
      <c r="AS722" s="1"/>
      <c r="AT722" s="17"/>
      <c r="AU722" s="1"/>
      <c r="AV722" s="1"/>
      <c r="AW722" s="1"/>
      <c r="AX722" s="2"/>
      <c r="AY722" s="2"/>
      <c r="AZ722" s="1"/>
    </row>
    <row x14ac:dyDescent="0.25" r="723" customHeight="1" ht="18.75">
      <c r="A723" s="1"/>
      <c r="B723" s="1"/>
      <c r="C723" s="1"/>
      <c r="D723" s="1"/>
      <c r="E723" s="1"/>
      <c r="F723" s="1"/>
      <c r="G723" s="1"/>
      <c r="H723" s="1"/>
      <c r="I723" s="1"/>
      <c r="J723" s="1"/>
      <c r="K723" s="17"/>
      <c r="L723" s="1"/>
      <c r="M723" s="1"/>
      <c r="N723" s="2"/>
      <c r="O723" s="2"/>
      <c r="P723" s="1"/>
      <c r="Q723" s="1"/>
      <c r="R723" s="1"/>
      <c r="S723" s="1"/>
      <c r="T723" s="40"/>
      <c r="U723" s="40"/>
      <c r="V723" s="40"/>
      <c r="W723" s="40"/>
      <c r="X723" s="22"/>
      <c r="Y723" s="22"/>
      <c r="Z723" s="22"/>
      <c r="AA723" s="22"/>
      <c r="AB723" s="22"/>
      <c r="AC723" s="22"/>
      <c r="AD723" s="22"/>
      <c r="AE723" s="22"/>
      <c r="AF723" s="22"/>
      <c r="AG723" s="22"/>
      <c r="AH723" s="22"/>
      <c r="AI723" s="22"/>
      <c r="AJ723" s="40"/>
      <c r="AK723" s="22"/>
      <c r="AL723" s="22"/>
      <c r="AM723" s="22"/>
      <c r="AN723" s="22"/>
      <c r="AO723" s="40"/>
      <c r="AP723" s="40"/>
      <c r="AQ723" s="40"/>
      <c r="AR723" s="1"/>
      <c r="AS723" s="1"/>
      <c r="AT723" s="17"/>
      <c r="AU723" s="1"/>
      <c r="AV723" s="1"/>
      <c r="AW723" s="1"/>
      <c r="AX723" s="2"/>
      <c r="AY723" s="2"/>
      <c r="AZ723" s="1"/>
    </row>
    <row x14ac:dyDescent="0.25" r="724" customHeight="1" ht="18.75">
      <c r="A724" s="1"/>
      <c r="B724" s="1"/>
      <c r="C724" s="1"/>
      <c r="D724" s="1"/>
      <c r="E724" s="1"/>
      <c r="F724" s="1"/>
      <c r="G724" s="1"/>
      <c r="H724" s="1"/>
      <c r="I724" s="1"/>
      <c r="J724" s="1"/>
      <c r="K724" s="17"/>
      <c r="L724" s="1"/>
      <c r="M724" s="1"/>
      <c r="N724" s="2"/>
      <c r="O724" s="2"/>
      <c r="P724" s="1"/>
      <c r="Q724" s="1"/>
      <c r="R724" s="1"/>
      <c r="S724" s="1"/>
      <c r="T724" s="40"/>
      <c r="U724" s="40"/>
      <c r="V724" s="40"/>
      <c r="W724" s="40"/>
      <c r="X724" s="22"/>
      <c r="Y724" s="22"/>
      <c r="Z724" s="22"/>
      <c r="AA724" s="22"/>
      <c r="AB724" s="22"/>
      <c r="AC724" s="22"/>
      <c r="AD724" s="22"/>
      <c r="AE724" s="22"/>
      <c r="AF724" s="22"/>
      <c r="AG724" s="22"/>
      <c r="AH724" s="22"/>
      <c r="AI724" s="22"/>
      <c r="AJ724" s="40"/>
      <c r="AK724" s="22"/>
      <c r="AL724" s="22"/>
      <c r="AM724" s="22"/>
      <c r="AN724" s="22"/>
      <c r="AO724" s="40"/>
      <c r="AP724" s="40"/>
      <c r="AQ724" s="40"/>
      <c r="AR724" s="1"/>
      <c r="AS724" s="1"/>
      <c r="AT724" s="17"/>
      <c r="AU724" s="1"/>
      <c r="AV724" s="1"/>
      <c r="AW724" s="1"/>
      <c r="AX724" s="2"/>
      <c r="AY724" s="2"/>
      <c r="AZ724" s="1"/>
    </row>
    <row x14ac:dyDescent="0.25" r="725" customHeight="1" ht="18.75">
      <c r="A725" s="1"/>
      <c r="B725" s="1"/>
      <c r="C725" s="1"/>
      <c r="D725" s="1"/>
      <c r="E725" s="1"/>
      <c r="F725" s="1"/>
      <c r="G725" s="1"/>
      <c r="H725" s="1"/>
      <c r="I725" s="1"/>
      <c r="J725" s="1"/>
      <c r="K725" s="17"/>
      <c r="L725" s="1"/>
      <c r="M725" s="1"/>
      <c r="N725" s="2"/>
      <c r="O725" s="2"/>
      <c r="P725" s="1"/>
      <c r="Q725" s="1"/>
      <c r="R725" s="1"/>
      <c r="S725" s="1"/>
      <c r="T725" s="40"/>
      <c r="U725" s="40"/>
      <c r="V725" s="40"/>
      <c r="W725" s="40"/>
      <c r="X725" s="22"/>
      <c r="Y725" s="22"/>
      <c r="Z725" s="22"/>
      <c r="AA725" s="22"/>
      <c r="AB725" s="22"/>
      <c r="AC725" s="22"/>
      <c r="AD725" s="22"/>
      <c r="AE725" s="22"/>
      <c r="AF725" s="22"/>
      <c r="AG725" s="22"/>
      <c r="AH725" s="22"/>
      <c r="AI725" s="22"/>
      <c r="AJ725" s="40"/>
      <c r="AK725" s="22"/>
      <c r="AL725" s="22"/>
      <c r="AM725" s="22"/>
      <c r="AN725" s="22"/>
      <c r="AO725" s="40"/>
      <c r="AP725" s="40"/>
      <c r="AQ725" s="40"/>
      <c r="AR725" s="1"/>
      <c r="AS725" s="1"/>
      <c r="AT725" s="17"/>
      <c r="AU725" s="1"/>
      <c r="AV725" s="1"/>
      <c r="AW725" s="1"/>
      <c r="AX725" s="2"/>
      <c r="AY725" s="2"/>
      <c r="AZ725" s="1"/>
    </row>
    <row x14ac:dyDescent="0.25" r="726" customHeight="1" ht="18.75">
      <c r="A726" s="1"/>
      <c r="B726" s="1"/>
      <c r="C726" s="1"/>
      <c r="D726" s="1"/>
      <c r="E726" s="1"/>
      <c r="F726" s="1"/>
      <c r="G726" s="1"/>
      <c r="H726" s="1"/>
      <c r="I726" s="1"/>
      <c r="J726" s="1"/>
      <c r="K726" s="17"/>
      <c r="L726" s="1"/>
      <c r="M726" s="1"/>
      <c r="N726" s="2"/>
      <c r="O726" s="2"/>
      <c r="P726" s="1"/>
      <c r="Q726" s="1"/>
      <c r="R726" s="1"/>
      <c r="S726" s="1"/>
      <c r="T726" s="40"/>
      <c r="U726" s="40"/>
      <c r="V726" s="40"/>
      <c r="W726" s="40"/>
      <c r="X726" s="22"/>
      <c r="Y726" s="22"/>
      <c r="Z726" s="22"/>
      <c r="AA726" s="22"/>
      <c r="AB726" s="22"/>
      <c r="AC726" s="22"/>
      <c r="AD726" s="22"/>
      <c r="AE726" s="22"/>
      <c r="AF726" s="22"/>
      <c r="AG726" s="22"/>
      <c r="AH726" s="22"/>
      <c r="AI726" s="22"/>
      <c r="AJ726" s="40"/>
      <c r="AK726" s="22"/>
      <c r="AL726" s="22"/>
      <c r="AM726" s="22"/>
      <c r="AN726" s="22"/>
      <c r="AO726" s="40"/>
      <c r="AP726" s="40"/>
      <c r="AQ726" s="40"/>
      <c r="AR726" s="1"/>
      <c r="AS726" s="1"/>
      <c r="AT726" s="17"/>
      <c r="AU726" s="1"/>
      <c r="AV726" s="1"/>
      <c r="AW726" s="1"/>
      <c r="AX726" s="2"/>
      <c r="AY726" s="2"/>
      <c r="AZ726" s="1"/>
    </row>
    <row x14ac:dyDescent="0.25" r="727" customHeight="1" ht="18.75">
      <c r="A727" s="1"/>
      <c r="B727" s="1"/>
      <c r="C727" s="1"/>
      <c r="D727" s="1"/>
      <c r="E727" s="1"/>
      <c r="F727" s="1"/>
      <c r="G727" s="1"/>
      <c r="H727" s="1"/>
      <c r="I727" s="1"/>
      <c r="J727" s="1"/>
      <c r="K727" s="17"/>
      <c r="L727" s="1"/>
      <c r="M727" s="1"/>
      <c r="N727" s="2"/>
      <c r="O727" s="2"/>
      <c r="P727" s="1"/>
      <c r="Q727" s="1"/>
      <c r="R727" s="1"/>
      <c r="S727" s="1"/>
      <c r="T727" s="40"/>
      <c r="U727" s="40"/>
      <c r="V727" s="40"/>
      <c r="W727" s="40"/>
      <c r="X727" s="22"/>
      <c r="Y727" s="22"/>
      <c r="Z727" s="22"/>
      <c r="AA727" s="22"/>
      <c r="AB727" s="22"/>
      <c r="AC727" s="22"/>
      <c r="AD727" s="22"/>
      <c r="AE727" s="22"/>
      <c r="AF727" s="22"/>
      <c r="AG727" s="22"/>
      <c r="AH727" s="22"/>
      <c r="AI727" s="22"/>
      <c r="AJ727" s="40"/>
      <c r="AK727" s="22"/>
      <c r="AL727" s="22"/>
      <c r="AM727" s="22"/>
      <c r="AN727" s="22"/>
      <c r="AO727" s="40"/>
      <c r="AP727" s="40"/>
      <c r="AQ727" s="40"/>
      <c r="AR727" s="1"/>
      <c r="AS727" s="1"/>
      <c r="AT727" s="17"/>
      <c r="AU727" s="1"/>
      <c r="AV727" s="1"/>
      <c r="AW727" s="1"/>
      <c r="AX727" s="2"/>
      <c r="AY727" s="2"/>
      <c r="AZ727" s="1"/>
    </row>
    <row x14ac:dyDescent="0.25" r="728" customHeight="1" ht="18.75">
      <c r="A728" s="1"/>
      <c r="B728" s="1"/>
      <c r="C728" s="1"/>
      <c r="D728" s="1"/>
      <c r="E728" s="1"/>
      <c r="F728" s="1"/>
      <c r="G728" s="1"/>
      <c r="H728" s="1"/>
      <c r="I728" s="1"/>
      <c r="J728" s="1"/>
      <c r="K728" s="17"/>
      <c r="L728" s="1"/>
      <c r="M728" s="1"/>
      <c r="N728" s="2"/>
      <c r="O728" s="2"/>
      <c r="P728" s="1"/>
      <c r="Q728" s="1"/>
      <c r="R728" s="1"/>
      <c r="S728" s="1"/>
      <c r="T728" s="40"/>
      <c r="U728" s="40"/>
      <c r="V728" s="40"/>
      <c r="W728" s="40"/>
      <c r="X728" s="22"/>
      <c r="Y728" s="22"/>
      <c r="Z728" s="22"/>
      <c r="AA728" s="22"/>
      <c r="AB728" s="22"/>
      <c r="AC728" s="22"/>
      <c r="AD728" s="22"/>
      <c r="AE728" s="22"/>
      <c r="AF728" s="22"/>
      <c r="AG728" s="22"/>
      <c r="AH728" s="22"/>
      <c r="AI728" s="22"/>
      <c r="AJ728" s="40"/>
      <c r="AK728" s="22"/>
      <c r="AL728" s="22"/>
      <c r="AM728" s="22"/>
      <c r="AN728" s="22"/>
      <c r="AO728" s="40"/>
      <c r="AP728" s="40"/>
      <c r="AQ728" s="40"/>
      <c r="AR728" s="1"/>
      <c r="AS728" s="1"/>
      <c r="AT728" s="17"/>
      <c r="AU728" s="1"/>
      <c r="AV728" s="1"/>
      <c r="AW728" s="1"/>
      <c r="AX728" s="2"/>
      <c r="AY728" s="2"/>
      <c r="AZ728" s="1"/>
    </row>
    <row x14ac:dyDescent="0.25" r="729" customHeight="1" ht="18.75">
      <c r="A729" s="1"/>
      <c r="B729" s="1"/>
      <c r="C729" s="1"/>
      <c r="D729" s="1"/>
      <c r="E729" s="1"/>
      <c r="F729" s="1"/>
      <c r="G729" s="1"/>
      <c r="H729" s="1"/>
      <c r="I729" s="1"/>
      <c r="J729" s="1"/>
      <c r="K729" s="17"/>
      <c r="L729" s="1"/>
      <c r="M729" s="1"/>
      <c r="N729" s="2"/>
      <c r="O729" s="2"/>
      <c r="P729" s="1"/>
      <c r="Q729" s="1"/>
      <c r="R729" s="1"/>
      <c r="S729" s="1"/>
      <c r="T729" s="40"/>
      <c r="U729" s="40"/>
      <c r="V729" s="40"/>
      <c r="W729" s="40"/>
      <c r="X729" s="22"/>
      <c r="Y729" s="22"/>
      <c r="Z729" s="22"/>
      <c r="AA729" s="22"/>
      <c r="AB729" s="22"/>
      <c r="AC729" s="22"/>
      <c r="AD729" s="22"/>
      <c r="AE729" s="22"/>
      <c r="AF729" s="22"/>
      <c r="AG729" s="22"/>
      <c r="AH729" s="22"/>
      <c r="AI729" s="22"/>
      <c r="AJ729" s="40"/>
      <c r="AK729" s="22"/>
      <c r="AL729" s="22"/>
      <c r="AM729" s="22"/>
      <c r="AN729" s="22"/>
      <c r="AO729" s="40"/>
      <c r="AP729" s="40"/>
      <c r="AQ729" s="40"/>
      <c r="AR729" s="1"/>
      <c r="AS729" s="1"/>
      <c r="AT729" s="17"/>
      <c r="AU729" s="1"/>
      <c r="AV729" s="1"/>
      <c r="AW729" s="1"/>
      <c r="AX729" s="2"/>
      <c r="AY729" s="2"/>
      <c r="AZ729" s="1"/>
    </row>
    <row x14ac:dyDescent="0.25" r="730" customHeight="1" ht="18.75">
      <c r="A730" s="1"/>
      <c r="B730" s="1"/>
      <c r="C730" s="1"/>
      <c r="D730" s="1"/>
      <c r="E730" s="1"/>
      <c r="F730" s="1"/>
      <c r="G730" s="1"/>
      <c r="H730" s="1"/>
      <c r="I730" s="1"/>
      <c r="J730" s="1"/>
      <c r="K730" s="17"/>
      <c r="L730" s="1"/>
      <c r="M730" s="1"/>
      <c r="N730" s="2"/>
      <c r="O730" s="2"/>
      <c r="P730" s="1"/>
      <c r="Q730" s="1"/>
      <c r="R730" s="1"/>
      <c r="S730" s="1"/>
      <c r="T730" s="40"/>
      <c r="U730" s="40"/>
      <c r="V730" s="40"/>
      <c r="W730" s="40"/>
      <c r="X730" s="22"/>
      <c r="Y730" s="22"/>
      <c r="Z730" s="22"/>
      <c r="AA730" s="22"/>
      <c r="AB730" s="22"/>
      <c r="AC730" s="22"/>
      <c r="AD730" s="22"/>
      <c r="AE730" s="22"/>
      <c r="AF730" s="22"/>
      <c r="AG730" s="22"/>
      <c r="AH730" s="22"/>
      <c r="AI730" s="22"/>
      <c r="AJ730" s="40"/>
      <c r="AK730" s="22"/>
      <c r="AL730" s="22"/>
      <c r="AM730" s="22"/>
      <c r="AN730" s="22"/>
      <c r="AO730" s="40"/>
      <c r="AP730" s="40"/>
      <c r="AQ730" s="40"/>
      <c r="AR730" s="1"/>
      <c r="AS730" s="1"/>
      <c r="AT730" s="17"/>
      <c r="AU730" s="1"/>
      <c r="AV730" s="1"/>
      <c r="AW730" s="1"/>
      <c r="AX730" s="2"/>
      <c r="AY730" s="2"/>
      <c r="AZ730" s="1"/>
    </row>
    <row x14ac:dyDescent="0.25" r="731" customHeight="1" ht="18.75">
      <c r="A731" s="1"/>
      <c r="B731" s="1"/>
      <c r="C731" s="1"/>
      <c r="D731" s="1"/>
      <c r="E731" s="1"/>
      <c r="F731" s="1"/>
      <c r="G731" s="1"/>
      <c r="H731" s="1"/>
      <c r="I731" s="1"/>
      <c r="J731" s="1"/>
      <c r="K731" s="17"/>
      <c r="L731" s="1"/>
      <c r="M731" s="1"/>
      <c r="N731" s="2"/>
      <c r="O731" s="2"/>
      <c r="P731" s="1"/>
      <c r="Q731" s="1"/>
      <c r="R731" s="1"/>
      <c r="S731" s="1"/>
      <c r="T731" s="40"/>
      <c r="U731" s="40"/>
      <c r="V731" s="40"/>
      <c r="W731" s="40"/>
      <c r="X731" s="22"/>
      <c r="Y731" s="22"/>
      <c r="Z731" s="22"/>
      <c r="AA731" s="22"/>
      <c r="AB731" s="22"/>
      <c r="AC731" s="22"/>
      <c r="AD731" s="22"/>
      <c r="AE731" s="22"/>
      <c r="AF731" s="22"/>
      <c r="AG731" s="22"/>
      <c r="AH731" s="22"/>
      <c r="AI731" s="22"/>
      <c r="AJ731" s="40"/>
      <c r="AK731" s="22"/>
      <c r="AL731" s="22"/>
      <c r="AM731" s="22"/>
      <c r="AN731" s="22"/>
      <c r="AO731" s="40"/>
      <c r="AP731" s="40"/>
      <c r="AQ731" s="40"/>
      <c r="AR731" s="1"/>
      <c r="AS731" s="1"/>
      <c r="AT731" s="17"/>
      <c r="AU731" s="1"/>
      <c r="AV731" s="1"/>
      <c r="AW731" s="1"/>
      <c r="AX731" s="2"/>
      <c r="AY731" s="2"/>
      <c r="AZ731" s="1"/>
    </row>
    <row x14ac:dyDescent="0.25" r="732" customHeight="1" ht="18.75">
      <c r="A732" s="1"/>
      <c r="B732" s="1"/>
      <c r="C732" s="1"/>
      <c r="D732" s="1"/>
      <c r="E732" s="1"/>
      <c r="F732" s="1"/>
      <c r="G732" s="1"/>
      <c r="H732" s="1"/>
      <c r="I732" s="1"/>
      <c r="J732" s="1"/>
      <c r="K732" s="17"/>
      <c r="L732" s="1"/>
      <c r="M732" s="1"/>
      <c r="N732" s="2"/>
      <c r="O732" s="2"/>
      <c r="P732" s="1"/>
      <c r="Q732" s="1"/>
      <c r="R732" s="1"/>
      <c r="S732" s="1"/>
      <c r="T732" s="40"/>
      <c r="U732" s="40"/>
      <c r="V732" s="40"/>
      <c r="W732" s="40"/>
      <c r="X732" s="22"/>
      <c r="Y732" s="22"/>
      <c r="Z732" s="22"/>
      <c r="AA732" s="22"/>
      <c r="AB732" s="22"/>
      <c r="AC732" s="22"/>
      <c r="AD732" s="22"/>
      <c r="AE732" s="22"/>
      <c r="AF732" s="22"/>
      <c r="AG732" s="22"/>
      <c r="AH732" s="22"/>
      <c r="AI732" s="22"/>
      <c r="AJ732" s="40"/>
      <c r="AK732" s="22"/>
      <c r="AL732" s="22"/>
      <c r="AM732" s="22"/>
      <c r="AN732" s="22"/>
      <c r="AO732" s="40"/>
      <c r="AP732" s="40"/>
      <c r="AQ732" s="40"/>
      <c r="AR732" s="1"/>
      <c r="AS732" s="1"/>
      <c r="AT732" s="17"/>
      <c r="AU732" s="1"/>
      <c r="AV732" s="1"/>
      <c r="AW732" s="1"/>
      <c r="AX732" s="2"/>
      <c r="AY732" s="2"/>
      <c r="AZ732" s="1"/>
    </row>
    <row x14ac:dyDescent="0.25" r="733" customHeight="1" ht="18.75">
      <c r="A733" s="1"/>
      <c r="B733" s="1"/>
      <c r="C733" s="1"/>
      <c r="D733" s="1"/>
      <c r="E733" s="1"/>
      <c r="F733" s="1"/>
      <c r="G733" s="1"/>
      <c r="H733" s="1"/>
      <c r="I733" s="1"/>
      <c r="J733" s="1"/>
      <c r="K733" s="17"/>
      <c r="L733" s="1"/>
      <c r="M733" s="1"/>
      <c r="N733" s="2"/>
      <c r="O733" s="2"/>
      <c r="P733" s="1"/>
      <c r="Q733" s="1"/>
      <c r="R733" s="1"/>
      <c r="S733" s="1"/>
      <c r="T733" s="40"/>
      <c r="U733" s="40"/>
      <c r="V733" s="40"/>
      <c r="W733" s="40"/>
      <c r="X733" s="22"/>
      <c r="Y733" s="22"/>
      <c r="Z733" s="22"/>
      <c r="AA733" s="22"/>
      <c r="AB733" s="22"/>
      <c r="AC733" s="22"/>
      <c r="AD733" s="22"/>
      <c r="AE733" s="22"/>
      <c r="AF733" s="22"/>
      <c r="AG733" s="22"/>
      <c r="AH733" s="22"/>
      <c r="AI733" s="22"/>
      <c r="AJ733" s="40"/>
      <c r="AK733" s="22"/>
      <c r="AL733" s="22"/>
      <c r="AM733" s="22"/>
      <c r="AN733" s="22"/>
      <c r="AO733" s="40"/>
      <c r="AP733" s="40"/>
      <c r="AQ733" s="40"/>
      <c r="AR733" s="1"/>
      <c r="AS733" s="1"/>
      <c r="AT733" s="17"/>
      <c r="AU733" s="1"/>
      <c r="AV733" s="1"/>
      <c r="AW733" s="1"/>
      <c r="AX733" s="2"/>
      <c r="AY733" s="2"/>
      <c r="AZ733" s="1"/>
    </row>
    <row x14ac:dyDescent="0.25" r="734" customHeight="1" ht="18.75">
      <c r="A734" s="1"/>
      <c r="B734" s="1"/>
      <c r="C734" s="1"/>
      <c r="D734" s="1"/>
      <c r="E734" s="1"/>
      <c r="F734" s="1"/>
      <c r="G734" s="1"/>
      <c r="H734" s="1"/>
      <c r="I734" s="1"/>
      <c r="J734" s="1"/>
      <c r="K734" s="17"/>
      <c r="L734" s="1"/>
      <c r="M734" s="1"/>
      <c r="N734" s="2"/>
      <c r="O734" s="2"/>
      <c r="P734" s="1"/>
      <c r="Q734" s="1"/>
      <c r="R734" s="1"/>
      <c r="S734" s="1"/>
      <c r="T734" s="40"/>
      <c r="U734" s="40"/>
      <c r="V734" s="40"/>
      <c r="W734" s="40"/>
      <c r="X734" s="22"/>
      <c r="Y734" s="22"/>
      <c r="Z734" s="22"/>
      <c r="AA734" s="22"/>
      <c r="AB734" s="22"/>
      <c r="AC734" s="22"/>
      <c r="AD734" s="22"/>
      <c r="AE734" s="22"/>
      <c r="AF734" s="22"/>
      <c r="AG734" s="22"/>
      <c r="AH734" s="22"/>
      <c r="AI734" s="22"/>
      <c r="AJ734" s="40"/>
      <c r="AK734" s="22"/>
      <c r="AL734" s="22"/>
      <c r="AM734" s="22"/>
      <c r="AN734" s="22"/>
      <c r="AO734" s="40"/>
      <c r="AP734" s="40"/>
      <c r="AQ734" s="40"/>
      <c r="AR734" s="1"/>
      <c r="AS734" s="1"/>
      <c r="AT734" s="17"/>
      <c r="AU734" s="1"/>
      <c r="AV734" s="1"/>
      <c r="AW734" s="1"/>
      <c r="AX734" s="2"/>
      <c r="AY734" s="2"/>
      <c r="AZ734" s="1"/>
    </row>
    <row x14ac:dyDescent="0.25" r="735" customHeight="1" ht="18.75">
      <c r="A735" s="1"/>
      <c r="B735" s="1"/>
      <c r="C735" s="1"/>
      <c r="D735" s="1"/>
      <c r="E735" s="1"/>
      <c r="F735" s="1"/>
      <c r="G735" s="1"/>
      <c r="H735" s="1"/>
      <c r="I735" s="1"/>
      <c r="J735" s="1"/>
      <c r="K735" s="17"/>
      <c r="L735" s="1"/>
      <c r="M735" s="1"/>
      <c r="N735" s="2"/>
      <c r="O735" s="2"/>
      <c r="P735" s="1"/>
      <c r="Q735" s="1"/>
      <c r="R735" s="1"/>
      <c r="S735" s="1"/>
      <c r="T735" s="40"/>
      <c r="U735" s="40"/>
      <c r="V735" s="40"/>
      <c r="W735" s="40"/>
      <c r="X735" s="22"/>
      <c r="Y735" s="22"/>
      <c r="Z735" s="22"/>
      <c r="AA735" s="22"/>
      <c r="AB735" s="22"/>
      <c r="AC735" s="22"/>
      <c r="AD735" s="22"/>
      <c r="AE735" s="22"/>
      <c r="AF735" s="22"/>
      <c r="AG735" s="22"/>
      <c r="AH735" s="22"/>
      <c r="AI735" s="22"/>
      <c r="AJ735" s="40"/>
      <c r="AK735" s="22"/>
      <c r="AL735" s="22"/>
      <c r="AM735" s="22"/>
      <c r="AN735" s="22"/>
      <c r="AO735" s="40"/>
      <c r="AP735" s="40"/>
      <c r="AQ735" s="40"/>
      <c r="AR735" s="1"/>
      <c r="AS735" s="1"/>
      <c r="AT735" s="17"/>
      <c r="AU735" s="1"/>
      <c r="AV735" s="1"/>
      <c r="AW735" s="1"/>
      <c r="AX735" s="2"/>
      <c r="AY735" s="2"/>
      <c r="AZ735" s="1"/>
    </row>
    <row x14ac:dyDescent="0.25" r="736" customHeight="1" ht="18.75">
      <c r="A736" s="1"/>
      <c r="B736" s="1"/>
      <c r="C736" s="1"/>
      <c r="D736" s="1"/>
      <c r="E736" s="1"/>
      <c r="F736" s="1"/>
      <c r="G736" s="1"/>
      <c r="H736" s="1"/>
      <c r="I736" s="1"/>
      <c r="J736" s="1"/>
      <c r="K736" s="17"/>
      <c r="L736" s="1"/>
      <c r="M736" s="1"/>
      <c r="N736" s="2"/>
      <c r="O736" s="2"/>
      <c r="P736" s="1"/>
      <c r="Q736" s="1"/>
      <c r="R736" s="1"/>
      <c r="S736" s="1"/>
      <c r="T736" s="40"/>
      <c r="U736" s="40"/>
      <c r="V736" s="40"/>
      <c r="W736" s="40"/>
      <c r="X736" s="22"/>
      <c r="Y736" s="22"/>
      <c r="Z736" s="22"/>
      <c r="AA736" s="22"/>
      <c r="AB736" s="22"/>
      <c r="AC736" s="22"/>
      <c r="AD736" s="22"/>
      <c r="AE736" s="22"/>
      <c r="AF736" s="22"/>
      <c r="AG736" s="22"/>
      <c r="AH736" s="22"/>
      <c r="AI736" s="22"/>
      <c r="AJ736" s="40"/>
      <c r="AK736" s="22"/>
      <c r="AL736" s="22"/>
      <c r="AM736" s="22"/>
      <c r="AN736" s="22"/>
      <c r="AO736" s="40"/>
      <c r="AP736" s="40"/>
      <c r="AQ736" s="40"/>
      <c r="AR736" s="1"/>
      <c r="AS736" s="1"/>
      <c r="AT736" s="17"/>
      <c r="AU736" s="1"/>
      <c r="AV736" s="1"/>
      <c r="AW736" s="1"/>
      <c r="AX736" s="2"/>
      <c r="AY736" s="2"/>
      <c r="AZ736" s="1"/>
    </row>
    <row x14ac:dyDescent="0.25" r="737" customHeight="1" ht="18.75">
      <c r="A737" s="1"/>
      <c r="B737" s="1"/>
      <c r="C737" s="1"/>
      <c r="D737" s="1"/>
      <c r="E737" s="1"/>
      <c r="F737" s="1"/>
      <c r="G737" s="1"/>
      <c r="H737" s="1"/>
      <c r="I737" s="1"/>
      <c r="J737" s="1"/>
      <c r="K737" s="17"/>
      <c r="L737" s="1"/>
      <c r="M737" s="1"/>
      <c r="N737" s="2"/>
      <c r="O737" s="2"/>
      <c r="P737" s="1"/>
      <c r="Q737" s="1"/>
      <c r="R737" s="1"/>
      <c r="S737" s="1"/>
      <c r="T737" s="40"/>
      <c r="U737" s="40"/>
      <c r="V737" s="40"/>
      <c r="W737" s="40"/>
      <c r="X737" s="22"/>
      <c r="Y737" s="22"/>
      <c r="Z737" s="22"/>
      <c r="AA737" s="22"/>
      <c r="AB737" s="22"/>
      <c r="AC737" s="22"/>
      <c r="AD737" s="22"/>
      <c r="AE737" s="22"/>
      <c r="AF737" s="22"/>
      <c r="AG737" s="22"/>
      <c r="AH737" s="22"/>
      <c r="AI737" s="22"/>
      <c r="AJ737" s="40"/>
      <c r="AK737" s="22"/>
      <c r="AL737" s="22"/>
      <c r="AM737" s="22"/>
      <c r="AN737" s="22"/>
      <c r="AO737" s="40"/>
      <c r="AP737" s="40"/>
      <c r="AQ737" s="40"/>
      <c r="AR737" s="1"/>
      <c r="AS737" s="1"/>
      <c r="AT737" s="17"/>
      <c r="AU737" s="1"/>
      <c r="AV737" s="1"/>
      <c r="AW737" s="1"/>
      <c r="AX737" s="2"/>
      <c r="AY737" s="2"/>
      <c r="AZ737" s="1"/>
    </row>
    <row x14ac:dyDescent="0.25" r="738" customHeight="1" ht="18.75">
      <c r="A738" s="1"/>
      <c r="B738" s="1"/>
      <c r="C738" s="1"/>
      <c r="D738" s="1"/>
      <c r="E738" s="1"/>
      <c r="F738" s="1"/>
      <c r="G738" s="1"/>
      <c r="H738" s="1"/>
      <c r="I738" s="1"/>
      <c r="J738" s="1"/>
      <c r="K738" s="17"/>
      <c r="L738" s="1"/>
      <c r="M738" s="1"/>
      <c r="N738" s="2"/>
      <c r="O738" s="2"/>
      <c r="P738" s="1"/>
      <c r="Q738" s="1"/>
      <c r="R738" s="1"/>
      <c r="S738" s="1"/>
      <c r="T738" s="40"/>
      <c r="U738" s="40"/>
      <c r="V738" s="40"/>
      <c r="W738" s="40"/>
      <c r="X738" s="22"/>
      <c r="Y738" s="22"/>
      <c r="Z738" s="22"/>
      <c r="AA738" s="22"/>
      <c r="AB738" s="22"/>
      <c r="AC738" s="22"/>
      <c r="AD738" s="22"/>
      <c r="AE738" s="22"/>
      <c r="AF738" s="22"/>
      <c r="AG738" s="22"/>
      <c r="AH738" s="22"/>
      <c r="AI738" s="22"/>
      <c r="AJ738" s="40"/>
      <c r="AK738" s="22"/>
      <c r="AL738" s="22"/>
      <c r="AM738" s="22"/>
      <c r="AN738" s="22"/>
      <c r="AO738" s="40"/>
      <c r="AP738" s="40"/>
      <c r="AQ738" s="40"/>
      <c r="AR738" s="1"/>
      <c r="AS738" s="1"/>
      <c r="AT738" s="17"/>
      <c r="AU738" s="1"/>
      <c r="AV738" s="1"/>
      <c r="AW738" s="1"/>
      <c r="AX738" s="2"/>
      <c r="AY738" s="2"/>
      <c r="AZ738" s="1"/>
    </row>
    <row x14ac:dyDescent="0.25" r="739" customHeight="1" ht="18.75">
      <c r="A739" s="1"/>
      <c r="B739" s="1"/>
      <c r="C739" s="1"/>
      <c r="D739" s="1"/>
      <c r="E739" s="1"/>
      <c r="F739" s="1"/>
      <c r="G739" s="1"/>
      <c r="H739" s="1"/>
      <c r="I739" s="1"/>
      <c r="J739" s="1"/>
      <c r="K739" s="17"/>
      <c r="L739" s="1"/>
      <c r="M739" s="1"/>
      <c r="N739" s="2"/>
      <c r="O739" s="2"/>
      <c r="P739" s="1"/>
      <c r="Q739" s="1"/>
      <c r="R739" s="1"/>
      <c r="S739" s="1"/>
      <c r="T739" s="40"/>
      <c r="U739" s="40"/>
      <c r="V739" s="40"/>
      <c r="W739" s="40"/>
      <c r="X739" s="22"/>
      <c r="Y739" s="22"/>
      <c r="Z739" s="22"/>
      <c r="AA739" s="22"/>
      <c r="AB739" s="22"/>
      <c r="AC739" s="22"/>
      <c r="AD739" s="22"/>
      <c r="AE739" s="22"/>
      <c r="AF739" s="22"/>
      <c r="AG739" s="22"/>
      <c r="AH739" s="22"/>
      <c r="AI739" s="22"/>
      <c r="AJ739" s="40"/>
      <c r="AK739" s="22"/>
      <c r="AL739" s="22"/>
      <c r="AM739" s="22"/>
      <c r="AN739" s="22"/>
      <c r="AO739" s="40"/>
      <c r="AP739" s="40"/>
      <c r="AQ739" s="40"/>
      <c r="AR739" s="1"/>
      <c r="AS739" s="1"/>
      <c r="AT739" s="17"/>
      <c r="AU739" s="1"/>
      <c r="AV739" s="1"/>
      <c r="AW739" s="1"/>
      <c r="AX739" s="2"/>
      <c r="AY739" s="2"/>
      <c r="AZ739" s="1"/>
    </row>
    <row x14ac:dyDescent="0.25" r="740" customHeight="1" ht="18.75">
      <c r="A740" s="1"/>
      <c r="B740" s="1"/>
      <c r="C740" s="1"/>
      <c r="D740" s="1"/>
      <c r="E740" s="1"/>
      <c r="F740" s="1"/>
      <c r="G740" s="1"/>
      <c r="H740" s="1"/>
      <c r="I740" s="1"/>
      <c r="J740" s="1"/>
      <c r="K740" s="17"/>
      <c r="L740" s="1"/>
      <c r="M740" s="1"/>
      <c r="N740" s="2"/>
      <c r="O740" s="2"/>
      <c r="P740" s="1"/>
      <c r="Q740" s="1"/>
      <c r="R740" s="1"/>
      <c r="S740" s="1"/>
      <c r="T740" s="40"/>
      <c r="U740" s="40"/>
      <c r="V740" s="40"/>
      <c r="W740" s="40"/>
      <c r="X740" s="22"/>
      <c r="Y740" s="22"/>
      <c r="Z740" s="22"/>
      <c r="AA740" s="22"/>
      <c r="AB740" s="22"/>
      <c r="AC740" s="22"/>
      <c r="AD740" s="22"/>
      <c r="AE740" s="22"/>
      <c r="AF740" s="22"/>
      <c r="AG740" s="22"/>
      <c r="AH740" s="22"/>
      <c r="AI740" s="22"/>
      <c r="AJ740" s="40"/>
      <c r="AK740" s="22"/>
      <c r="AL740" s="22"/>
      <c r="AM740" s="22"/>
      <c r="AN740" s="22"/>
      <c r="AO740" s="40"/>
      <c r="AP740" s="40"/>
      <c r="AQ740" s="40"/>
      <c r="AR740" s="1"/>
      <c r="AS740" s="1"/>
      <c r="AT740" s="17"/>
      <c r="AU740" s="1"/>
      <c r="AV740" s="1"/>
      <c r="AW740" s="1"/>
      <c r="AX740" s="2"/>
      <c r="AY740" s="2"/>
      <c r="AZ740" s="1"/>
    </row>
    <row x14ac:dyDescent="0.25" r="741" customHeight="1" ht="18.75">
      <c r="A741" s="1"/>
      <c r="B741" s="1"/>
      <c r="C741" s="1"/>
      <c r="D741" s="1"/>
      <c r="E741" s="1"/>
      <c r="F741" s="1"/>
      <c r="G741" s="1"/>
      <c r="H741" s="1"/>
      <c r="I741" s="1"/>
      <c r="J741" s="1"/>
      <c r="K741" s="17"/>
      <c r="L741" s="1"/>
      <c r="M741" s="1"/>
      <c r="N741" s="2"/>
      <c r="O741" s="2"/>
      <c r="P741" s="1"/>
      <c r="Q741" s="1"/>
      <c r="R741" s="1"/>
      <c r="S741" s="1"/>
      <c r="T741" s="40"/>
      <c r="U741" s="40"/>
      <c r="V741" s="40"/>
      <c r="W741" s="40"/>
      <c r="X741" s="22"/>
      <c r="Y741" s="22"/>
      <c r="Z741" s="22"/>
      <c r="AA741" s="22"/>
      <c r="AB741" s="22"/>
      <c r="AC741" s="22"/>
      <c r="AD741" s="22"/>
      <c r="AE741" s="22"/>
      <c r="AF741" s="22"/>
      <c r="AG741" s="22"/>
      <c r="AH741" s="22"/>
      <c r="AI741" s="22"/>
      <c r="AJ741" s="40"/>
      <c r="AK741" s="22"/>
      <c r="AL741" s="22"/>
      <c r="AM741" s="22"/>
      <c r="AN741" s="22"/>
      <c r="AO741" s="40"/>
      <c r="AP741" s="40"/>
      <c r="AQ741" s="40"/>
      <c r="AR741" s="1"/>
      <c r="AS741" s="1"/>
      <c r="AT741" s="17"/>
      <c r="AU741" s="1"/>
      <c r="AV741" s="1"/>
      <c r="AW741" s="1"/>
      <c r="AX741" s="2"/>
      <c r="AY741" s="2"/>
      <c r="AZ741" s="1"/>
    </row>
    <row x14ac:dyDescent="0.25" r="742" customHeight="1" ht="18.75">
      <c r="A742" s="1"/>
      <c r="B742" s="1"/>
      <c r="C742" s="1"/>
      <c r="D742" s="1"/>
      <c r="E742" s="1"/>
      <c r="F742" s="1"/>
      <c r="G742" s="1"/>
      <c r="H742" s="1"/>
      <c r="I742" s="1"/>
      <c r="J742" s="1"/>
      <c r="K742" s="17"/>
      <c r="L742" s="1"/>
      <c r="M742" s="1"/>
      <c r="N742" s="2"/>
      <c r="O742" s="2"/>
      <c r="P742" s="1"/>
      <c r="Q742" s="1"/>
      <c r="R742" s="1"/>
      <c r="S742" s="1"/>
      <c r="T742" s="40"/>
      <c r="U742" s="40"/>
      <c r="V742" s="40"/>
      <c r="W742" s="40"/>
      <c r="X742" s="22"/>
      <c r="Y742" s="22"/>
      <c r="Z742" s="22"/>
      <c r="AA742" s="22"/>
      <c r="AB742" s="22"/>
      <c r="AC742" s="22"/>
      <c r="AD742" s="22"/>
      <c r="AE742" s="22"/>
      <c r="AF742" s="22"/>
      <c r="AG742" s="22"/>
      <c r="AH742" s="22"/>
      <c r="AI742" s="22"/>
      <c r="AJ742" s="40"/>
      <c r="AK742" s="22"/>
      <c r="AL742" s="22"/>
      <c r="AM742" s="22"/>
      <c r="AN742" s="22"/>
      <c r="AO742" s="40"/>
      <c r="AP742" s="40"/>
      <c r="AQ742" s="40"/>
      <c r="AR742" s="1"/>
      <c r="AS742" s="1"/>
      <c r="AT742" s="17"/>
      <c r="AU742" s="1"/>
      <c r="AV742" s="1"/>
      <c r="AW742" s="1"/>
      <c r="AX742" s="2"/>
      <c r="AY742" s="2"/>
      <c r="AZ742" s="1"/>
    </row>
    <row x14ac:dyDescent="0.25" r="743" customHeight="1" ht="18.75">
      <c r="A743" s="1"/>
      <c r="B743" s="1"/>
      <c r="C743" s="1"/>
      <c r="D743" s="1"/>
      <c r="E743" s="1"/>
      <c r="F743" s="1"/>
      <c r="G743" s="1"/>
      <c r="H743" s="1"/>
      <c r="I743" s="1"/>
      <c r="J743" s="1"/>
      <c r="K743" s="17"/>
      <c r="L743" s="1"/>
      <c r="M743" s="1"/>
      <c r="N743" s="2"/>
      <c r="O743" s="2"/>
      <c r="P743" s="1"/>
      <c r="Q743" s="1"/>
      <c r="R743" s="1"/>
      <c r="S743" s="1"/>
      <c r="T743" s="40"/>
      <c r="U743" s="40"/>
      <c r="V743" s="40"/>
      <c r="W743" s="40"/>
      <c r="X743" s="22"/>
      <c r="Y743" s="22"/>
      <c r="Z743" s="22"/>
      <c r="AA743" s="22"/>
      <c r="AB743" s="22"/>
      <c r="AC743" s="22"/>
      <c r="AD743" s="22"/>
      <c r="AE743" s="22"/>
      <c r="AF743" s="22"/>
      <c r="AG743" s="22"/>
      <c r="AH743" s="22"/>
      <c r="AI743" s="22"/>
      <c r="AJ743" s="40"/>
      <c r="AK743" s="22"/>
      <c r="AL743" s="22"/>
      <c r="AM743" s="22"/>
      <c r="AN743" s="22"/>
      <c r="AO743" s="40"/>
      <c r="AP743" s="40"/>
      <c r="AQ743" s="40"/>
      <c r="AR743" s="1"/>
      <c r="AS743" s="1"/>
      <c r="AT743" s="17"/>
      <c r="AU743" s="1"/>
      <c r="AV743" s="1"/>
      <c r="AW743" s="1"/>
      <c r="AX743" s="2"/>
      <c r="AY743" s="2"/>
      <c r="AZ743" s="1"/>
    </row>
    <row x14ac:dyDescent="0.25" r="744" customHeight="1" ht="18.75">
      <c r="A744" s="1"/>
      <c r="B744" s="1"/>
      <c r="C744" s="1"/>
      <c r="D744" s="1"/>
      <c r="E744" s="1"/>
      <c r="F744" s="1"/>
      <c r="G744" s="1"/>
      <c r="H744" s="1"/>
      <c r="I744" s="1"/>
      <c r="J744" s="1"/>
      <c r="K744" s="17"/>
      <c r="L744" s="1"/>
      <c r="M744" s="1"/>
      <c r="N744" s="2"/>
      <c r="O744" s="2"/>
      <c r="P744" s="1"/>
      <c r="Q744" s="1"/>
      <c r="R744" s="1"/>
      <c r="S744" s="1"/>
      <c r="T744" s="40"/>
      <c r="U744" s="40"/>
      <c r="V744" s="40"/>
      <c r="W744" s="40"/>
      <c r="X744" s="22"/>
      <c r="Y744" s="22"/>
      <c r="Z744" s="22"/>
      <c r="AA744" s="22"/>
      <c r="AB744" s="22"/>
      <c r="AC744" s="22"/>
      <c r="AD744" s="22"/>
      <c r="AE744" s="22"/>
      <c r="AF744" s="22"/>
      <c r="AG744" s="22"/>
      <c r="AH744" s="22"/>
      <c r="AI744" s="22"/>
      <c r="AJ744" s="40"/>
      <c r="AK744" s="22"/>
      <c r="AL744" s="22"/>
      <c r="AM744" s="22"/>
      <c r="AN744" s="22"/>
      <c r="AO744" s="40"/>
      <c r="AP744" s="40"/>
      <c r="AQ744" s="40"/>
      <c r="AR744" s="1"/>
      <c r="AS744" s="1"/>
      <c r="AT744" s="17"/>
      <c r="AU744" s="1"/>
      <c r="AV744" s="1"/>
      <c r="AW744" s="1"/>
      <c r="AX744" s="2"/>
      <c r="AY744" s="2"/>
      <c r="AZ744" s="1"/>
    </row>
    <row x14ac:dyDescent="0.25" r="745" customHeight="1" ht="18.75">
      <c r="A745" s="1"/>
      <c r="B745" s="1"/>
      <c r="C745" s="1"/>
      <c r="D745" s="1"/>
      <c r="E745" s="1"/>
      <c r="F745" s="1"/>
      <c r="G745" s="1"/>
      <c r="H745" s="1"/>
      <c r="I745" s="1"/>
      <c r="J745" s="1"/>
      <c r="K745" s="17"/>
      <c r="L745" s="1"/>
      <c r="M745" s="1"/>
      <c r="N745" s="2"/>
      <c r="O745" s="2"/>
      <c r="P745" s="1"/>
      <c r="Q745" s="1"/>
      <c r="R745" s="1"/>
      <c r="S745" s="1"/>
      <c r="T745" s="40"/>
      <c r="U745" s="40"/>
      <c r="V745" s="40"/>
      <c r="W745" s="40"/>
      <c r="X745" s="22"/>
      <c r="Y745" s="22"/>
      <c r="Z745" s="22"/>
      <c r="AA745" s="22"/>
      <c r="AB745" s="22"/>
      <c r="AC745" s="22"/>
      <c r="AD745" s="22"/>
      <c r="AE745" s="22"/>
      <c r="AF745" s="22"/>
      <c r="AG745" s="22"/>
      <c r="AH745" s="22"/>
      <c r="AI745" s="22"/>
      <c r="AJ745" s="40"/>
      <c r="AK745" s="22"/>
      <c r="AL745" s="22"/>
      <c r="AM745" s="22"/>
      <c r="AN745" s="22"/>
      <c r="AO745" s="40"/>
      <c r="AP745" s="40"/>
      <c r="AQ745" s="40"/>
      <c r="AR745" s="1"/>
      <c r="AS745" s="1"/>
      <c r="AT745" s="17"/>
      <c r="AU745" s="1"/>
      <c r="AV745" s="1"/>
      <c r="AW745" s="1"/>
      <c r="AX745" s="2"/>
      <c r="AY745" s="2"/>
      <c r="AZ745" s="1"/>
    </row>
    <row x14ac:dyDescent="0.25" r="746" customHeight="1" ht="18.75">
      <c r="A746" s="1"/>
      <c r="B746" s="1"/>
      <c r="C746" s="1"/>
      <c r="D746" s="1"/>
      <c r="E746" s="1"/>
      <c r="F746" s="1"/>
      <c r="G746" s="1"/>
      <c r="H746" s="1"/>
      <c r="I746" s="1"/>
      <c r="J746" s="1"/>
      <c r="K746" s="17"/>
      <c r="L746" s="1"/>
      <c r="M746" s="1"/>
      <c r="N746" s="2"/>
      <c r="O746" s="2"/>
      <c r="P746" s="1"/>
      <c r="Q746" s="1"/>
      <c r="R746" s="1"/>
      <c r="S746" s="1"/>
      <c r="T746" s="40"/>
      <c r="U746" s="40"/>
      <c r="V746" s="40"/>
      <c r="W746" s="40"/>
      <c r="X746" s="22"/>
      <c r="Y746" s="22"/>
      <c r="Z746" s="22"/>
      <c r="AA746" s="22"/>
      <c r="AB746" s="22"/>
      <c r="AC746" s="22"/>
      <c r="AD746" s="22"/>
      <c r="AE746" s="22"/>
      <c r="AF746" s="22"/>
      <c r="AG746" s="22"/>
      <c r="AH746" s="22"/>
      <c r="AI746" s="22"/>
      <c r="AJ746" s="40"/>
      <c r="AK746" s="22"/>
      <c r="AL746" s="22"/>
      <c r="AM746" s="22"/>
      <c r="AN746" s="22"/>
      <c r="AO746" s="40"/>
      <c r="AP746" s="40"/>
      <c r="AQ746" s="40"/>
      <c r="AR746" s="1"/>
      <c r="AS746" s="1"/>
      <c r="AT746" s="17"/>
      <c r="AU746" s="1"/>
      <c r="AV746" s="1"/>
      <c r="AW746" s="1"/>
      <c r="AX746" s="2"/>
      <c r="AY746" s="2"/>
      <c r="AZ746" s="1"/>
    </row>
    <row x14ac:dyDescent="0.25" r="747" customHeight="1" ht="18.75">
      <c r="A747" s="1"/>
      <c r="B747" s="1"/>
      <c r="C747" s="1"/>
      <c r="D747" s="1"/>
      <c r="E747" s="1"/>
      <c r="F747" s="1"/>
      <c r="G747" s="1"/>
      <c r="H747" s="1"/>
      <c r="I747" s="1"/>
      <c r="J747" s="1"/>
      <c r="K747" s="17"/>
      <c r="L747" s="1"/>
      <c r="M747" s="1"/>
      <c r="N747" s="2"/>
      <c r="O747" s="2"/>
      <c r="P747" s="1"/>
      <c r="Q747" s="1"/>
      <c r="R747" s="1"/>
      <c r="S747" s="1"/>
      <c r="T747" s="40"/>
      <c r="U747" s="40"/>
      <c r="V747" s="40"/>
      <c r="W747" s="40"/>
      <c r="X747" s="22"/>
      <c r="Y747" s="22"/>
      <c r="Z747" s="22"/>
      <c r="AA747" s="22"/>
      <c r="AB747" s="22"/>
      <c r="AC747" s="22"/>
      <c r="AD747" s="22"/>
      <c r="AE747" s="22"/>
      <c r="AF747" s="22"/>
      <c r="AG747" s="22"/>
      <c r="AH747" s="22"/>
      <c r="AI747" s="22"/>
      <c r="AJ747" s="40"/>
      <c r="AK747" s="22"/>
      <c r="AL747" s="22"/>
      <c r="AM747" s="22"/>
      <c r="AN747" s="22"/>
      <c r="AO747" s="40"/>
      <c r="AP747" s="40"/>
      <c r="AQ747" s="40"/>
      <c r="AR747" s="1"/>
      <c r="AS747" s="1"/>
      <c r="AT747" s="17"/>
      <c r="AU747" s="1"/>
      <c r="AV747" s="1"/>
      <c r="AW747" s="1"/>
      <c r="AX747" s="2"/>
      <c r="AY747" s="2"/>
      <c r="AZ747" s="1"/>
    </row>
    <row x14ac:dyDescent="0.25" r="748" customHeight="1" ht="18.75">
      <c r="A748" s="1"/>
      <c r="B748" s="1"/>
      <c r="C748" s="1"/>
      <c r="D748" s="1"/>
      <c r="E748" s="1"/>
      <c r="F748" s="1"/>
      <c r="G748" s="1"/>
      <c r="H748" s="1"/>
      <c r="I748" s="1"/>
      <c r="J748" s="1"/>
      <c r="K748" s="17"/>
      <c r="L748" s="1"/>
      <c r="M748" s="1"/>
      <c r="N748" s="2"/>
      <c r="O748" s="2"/>
      <c r="P748" s="1"/>
      <c r="Q748" s="1"/>
      <c r="R748" s="1"/>
      <c r="S748" s="1"/>
      <c r="T748" s="40"/>
      <c r="U748" s="40"/>
      <c r="V748" s="40"/>
      <c r="W748" s="40"/>
      <c r="X748" s="22"/>
      <c r="Y748" s="22"/>
      <c r="Z748" s="22"/>
      <c r="AA748" s="22"/>
      <c r="AB748" s="22"/>
      <c r="AC748" s="22"/>
      <c r="AD748" s="22"/>
      <c r="AE748" s="22"/>
      <c r="AF748" s="22"/>
      <c r="AG748" s="22"/>
      <c r="AH748" s="22"/>
      <c r="AI748" s="22"/>
      <c r="AJ748" s="40"/>
      <c r="AK748" s="22"/>
      <c r="AL748" s="22"/>
      <c r="AM748" s="22"/>
      <c r="AN748" s="22"/>
      <c r="AO748" s="40"/>
      <c r="AP748" s="40"/>
      <c r="AQ748" s="40"/>
      <c r="AR748" s="1"/>
      <c r="AS748" s="1"/>
      <c r="AT748" s="17"/>
      <c r="AU748" s="1"/>
      <c r="AV748" s="1"/>
      <c r="AW748" s="1"/>
      <c r="AX748" s="2"/>
      <c r="AY748" s="2"/>
      <c r="AZ748" s="1"/>
    </row>
    <row x14ac:dyDescent="0.25" r="749" customHeight="1" ht="18.75">
      <c r="A749" s="1"/>
      <c r="B749" s="1"/>
      <c r="C749" s="1"/>
      <c r="D749" s="1"/>
      <c r="E749" s="1"/>
      <c r="F749" s="1"/>
      <c r="G749" s="1"/>
      <c r="H749" s="1"/>
      <c r="I749" s="1"/>
      <c r="J749" s="1"/>
      <c r="K749" s="17"/>
      <c r="L749" s="1"/>
      <c r="M749" s="1"/>
      <c r="N749" s="2"/>
      <c r="O749" s="2"/>
      <c r="P749" s="1"/>
      <c r="Q749" s="1"/>
      <c r="R749" s="1"/>
      <c r="S749" s="1"/>
      <c r="T749" s="40"/>
      <c r="U749" s="40"/>
      <c r="V749" s="40"/>
      <c r="W749" s="40"/>
      <c r="X749" s="22"/>
      <c r="Y749" s="22"/>
      <c r="Z749" s="22"/>
      <c r="AA749" s="22"/>
      <c r="AB749" s="22"/>
      <c r="AC749" s="22"/>
      <c r="AD749" s="22"/>
      <c r="AE749" s="22"/>
      <c r="AF749" s="22"/>
      <c r="AG749" s="22"/>
      <c r="AH749" s="22"/>
      <c r="AI749" s="22"/>
      <c r="AJ749" s="40"/>
      <c r="AK749" s="22"/>
      <c r="AL749" s="22"/>
      <c r="AM749" s="22"/>
      <c r="AN749" s="22"/>
      <c r="AO749" s="40"/>
      <c r="AP749" s="40"/>
      <c r="AQ749" s="40"/>
      <c r="AR749" s="1"/>
      <c r="AS749" s="1"/>
      <c r="AT749" s="17"/>
      <c r="AU749" s="1"/>
      <c r="AV749" s="1"/>
      <c r="AW749" s="1"/>
      <c r="AX749" s="2"/>
      <c r="AY749" s="2"/>
      <c r="AZ749" s="1"/>
    </row>
    <row x14ac:dyDescent="0.25" r="750" customHeight="1" ht="18.75">
      <c r="A750" s="1"/>
      <c r="B750" s="1"/>
      <c r="C750" s="1"/>
      <c r="D750" s="1"/>
      <c r="E750" s="1"/>
      <c r="F750" s="1"/>
      <c r="G750" s="1"/>
      <c r="H750" s="1"/>
      <c r="I750" s="1"/>
      <c r="J750" s="1"/>
      <c r="K750" s="17"/>
      <c r="L750" s="1"/>
      <c r="M750" s="1"/>
      <c r="N750" s="2"/>
      <c r="O750" s="2"/>
      <c r="P750" s="1"/>
      <c r="Q750" s="1"/>
      <c r="R750" s="1"/>
      <c r="S750" s="1"/>
      <c r="T750" s="40"/>
      <c r="U750" s="40"/>
      <c r="V750" s="40"/>
      <c r="W750" s="40"/>
      <c r="X750" s="22"/>
      <c r="Y750" s="22"/>
      <c r="Z750" s="22"/>
      <c r="AA750" s="22"/>
      <c r="AB750" s="22"/>
      <c r="AC750" s="22"/>
      <c r="AD750" s="22"/>
      <c r="AE750" s="22"/>
      <c r="AF750" s="22"/>
      <c r="AG750" s="22"/>
      <c r="AH750" s="22"/>
      <c r="AI750" s="22"/>
      <c r="AJ750" s="40"/>
      <c r="AK750" s="22"/>
      <c r="AL750" s="22"/>
      <c r="AM750" s="22"/>
      <c r="AN750" s="22"/>
      <c r="AO750" s="40"/>
      <c r="AP750" s="40"/>
      <c r="AQ750" s="40"/>
      <c r="AR750" s="1"/>
      <c r="AS750" s="1"/>
      <c r="AT750" s="17"/>
      <c r="AU750" s="1"/>
      <c r="AV750" s="1"/>
      <c r="AW750" s="1"/>
      <c r="AX750" s="2"/>
      <c r="AY750" s="2"/>
      <c r="AZ750" s="1"/>
    </row>
    <row x14ac:dyDescent="0.25" r="751" customHeight="1" ht="18.75">
      <c r="A751" s="1"/>
      <c r="B751" s="1"/>
      <c r="C751" s="1"/>
      <c r="D751" s="1"/>
      <c r="E751" s="1"/>
      <c r="F751" s="1"/>
      <c r="G751" s="1"/>
      <c r="H751" s="1"/>
      <c r="I751" s="1"/>
      <c r="J751" s="1"/>
      <c r="K751" s="17"/>
      <c r="L751" s="1"/>
      <c r="M751" s="1"/>
      <c r="N751" s="2"/>
      <c r="O751" s="2"/>
      <c r="P751" s="1"/>
      <c r="Q751" s="1"/>
      <c r="R751" s="1"/>
      <c r="S751" s="1"/>
      <c r="T751" s="40"/>
      <c r="U751" s="40"/>
      <c r="V751" s="40"/>
      <c r="W751" s="40"/>
      <c r="X751" s="22"/>
      <c r="Y751" s="22"/>
      <c r="Z751" s="22"/>
      <c r="AA751" s="22"/>
      <c r="AB751" s="22"/>
      <c r="AC751" s="22"/>
      <c r="AD751" s="22"/>
      <c r="AE751" s="22"/>
      <c r="AF751" s="22"/>
      <c r="AG751" s="22"/>
      <c r="AH751" s="22"/>
      <c r="AI751" s="22"/>
      <c r="AJ751" s="40"/>
      <c r="AK751" s="22"/>
      <c r="AL751" s="22"/>
      <c r="AM751" s="22"/>
      <c r="AN751" s="22"/>
      <c r="AO751" s="40"/>
      <c r="AP751" s="40"/>
      <c r="AQ751" s="40"/>
      <c r="AR751" s="1"/>
      <c r="AS751" s="1"/>
      <c r="AT751" s="17"/>
      <c r="AU751" s="1"/>
      <c r="AV751" s="1"/>
      <c r="AW751" s="1"/>
      <c r="AX751" s="2"/>
      <c r="AY751" s="2"/>
      <c r="AZ751" s="1"/>
    </row>
    <row x14ac:dyDescent="0.25" r="752" customHeight="1" ht="18.75">
      <c r="A752" s="1"/>
      <c r="B752" s="1"/>
      <c r="C752" s="1"/>
      <c r="D752" s="1"/>
      <c r="E752" s="1"/>
      <c r="F752" s="1"/>
      <c r="G752" s="1"/>
      <c r="H752" s="1"/>
      <c r="I752" s="1"/>
      <c r="J752" s="1"/>
      <c r="K752" s="17"/>
      <c r="L752" s="1"/>
      <c r="M752" s="1"/>
      <c r="N752" s="2"/>
      <c r="O752" s="2"/>
      <c r="P752" s="1"/>
      <c r="Q752" s="1"/>
      <c r="R752" s="1"/>
      <c r="S752" s="1"/>
      <c r="T752" s="40"/>
      <c r="U752" s="40"/>
      <c r="V752" s="40"/>
      <c r="W752" s="40"/>
      <c r="X752" s="22"/>
      <c r="Y752" s="22"/>
      <c r="Z752" s="22"/>
      <c r="AA752" s="22"/>
      <c r="AB752" s="22"/>
      <c r="AC752" s="22"/>
      <c r="AD752" s="22"/>
      <c r="AE752" s="22"/>
      <c r="AF752" s="22"/>
      <c r="AG752" s="22"/>
      <c r="AH752" s="22"/>
      <c r="AI752" s="22"/>
      <c r="AJ752" s="40"/>
      <c r="AK752" s="22"/>
      <c r="AL752" s="22"/>
      <c r="AM752" s="22"/>
      <c r="AN752" s="22"/>
      <c r="AO752" s="40"/>
      <c r="AP752" s="40"/>
      <c r="AQ752" s="40"/>
      <c r="AR752" s="1"/>
      <c r="AS752" s="1"/>
      <c r="AT752" s="17"/>
      <c r="AU752" s="1"/>
      <c r="AV752" s="1"/>
      <c r="AW752" s="1"/>
      <c r="AX752" s="2"/>
      <c r="AY752" s="2"/>
      <c r="AZ752" s="1"/>
    </row>
    <row x14ac:dyDescent="0.25" r="753" customHeight="1" ht="18.75">
      <c r="A753" s="1"/>
      <c r="B753" s="1"/>
      <c r="C753" s="1"/>
      <c r="D753" s="1"/>
      <c r="E753" s="1"/>
      <c r="F753" s="1"/>
      <c r="G753" s="1"/>
      <c r="H753" s="1"/>
      <c r="I753" s="1"/>
      <c r="J753" s="1"/>
      <c r="K753" s="17"/>
      <c r="L753" s="1"/>
      <c r="M753" s="1"/>
      <c r="N753" s="2"/>
      <c r="O753" s="2"/>
      <c r="P753" s="1"/>
      <c r="Q753" s="1"/>
      <c r="R753" s="1"/>
      <c r="S753" s="1"/>
      <c r="T753" s="40"/>
      <c r="U753" s="40"/>
      <c r="V753" s="40"/>
      <c r="W753" s="40"/>
      <c r="X753" s="22"/>
      <c r="Y753" s="22"/>
      <c r="Z753" s="22"/>
      <c r="AA753" s="22"/>
      <c r="AB753" s="22"/>
      <c r="AC753" s="22"/>
      <c r="AD753" s="22"/>
      <c r="AE753" s="22"/>
      <c r="AF753" s="22"/>
      <c r="AG753" s="22"/>
      <c r="AH753" s="22"/>
      <c r="AI753" s="22"/>
      <c r="AJ753" s="40"/>
      <c r="AK753" s="22"/>
      <c r="AL753" s="22"/>
      <c r="AM753" s="22"/>
      <c r="AN753" s="22"/>
      <c r="AO753" s="40"/>
      <c r="AP753" s="40"/>
      <c r="AQ753" s="40"/>
      <c r="AR753" s="1"/>
      <c r="AS753" s="1"/>
      <c r="AT753" s="17"/>
      <c r="AU753" s="1"/>
      <c r="AV753" s="1"/>
      <c r="AW753" s="1"/>
      <c r="AX753" s="2"/>
      <c r="AY753" s="2"/>
      <c r="AZ753" s="1"/>
    </row>
    <row x14ac:dyDescent="0.25" r="754" customHeight="1" ht="18.75">
      <c r="A754" s="1"/>
      <c r="B754" s="1"/>
      <c r="C754" s="1"/>
      <c r="D754" s="1"/>
      <c r="E754" s="1"/>
      <c r="F754" s="1"/>
      <c r="G754" s="1"/>
      <c r="H754" s="1"/>
      <c r="I754" s="1"/>
      <c r="J754" s="1"/>
      <c r="K754" s="17"/>
      <c r="L754" s="1"/>
      <c r="M754" s="1"/>
      <c r="N754" s="2"/>
      <c r="O754" s="2"/>
      <c r="P754" s="1"/>
      <c r="Q754" s="1"/>
      <c r="R754" s="1"/>
      <c r="S754" s="1"/>
      <c r="T754" s="40"/>
      <c r="U754" s="40"/>
      <c r="V754" s="40"/>
      <c r="W754" s="40"/>
      <c r="X754" s="22"/>
      <c r="Y754" s="22"/>
      <c r="Z754" s="22"/>
      <c r="AA754" s="22"/>
      <c r="AB754" s="22"/>
      <c r="AC754" s="22"/>
      <c r="AD754" s="22"/>
      <c r="AE754" s="22"/>
      <c r="AF754" s="22"/>
      <c r="AG754" s="22"/>
      <c r="AH754" s="22"/>
      <c r="AI754" s="22"/>
      <c r="AJ754" s="40"/>
      <c r="AK754" s="22"/>
      <c r="AL754" s="22"/>
      <c r="AM754" s="22"/>
      <c r="AN754" s="22"/>
      <c r="AO754" s="40"/>
      <c r="AP754" s="40"/>
      <c r="AQ754" s="40"/>
      <c r="AR754" s="1"/>
      <c r="AS754" s="1"/>
      <c r="AT754" s="17"/>
      <c r="AU754" s="1"/>
      <c r="AV754" s="1"/>
      <c r="AW754" s="1"/>
      <c r="AX754" s="2"/>
      <c r="AY754" s="2"/>
      <c r="AZ754" s="1"/>
    </row>
    <row x14ac:dyDescent="0.25" r="755" customHeight="1" ht="18.75">
      <c r="A755" s="1"/>
      <c r="B755" s="1"/>
      <c r="C755" s="1"/>
      <c r="D755" s="1"/>
      <c r="E755" s="1"/>
      <c r="F755" s="1"/>
      <c r="G755" s="1"/>
      <c r="H755" s="1"/>
      <c r="I755" s="1"/>
      <c r="J755" s="1"/>
      <c r="K755" s="17"/>
      <c r="L755" s="1"/>
      <c r="M755" s="1"/>
      <c r="N755" s="2"/>
      <c r="O755" s="2"/>
      <c r="P755" s="1"/>
      <c r="Q755" s="1"/>
      <c r="R755" s="1"/>
      <c r="S755" s="1"/>
      <c r="T755" s="40"/>
      <c r="U755" s="40"/>
      <c r="V755" s="40"/>
      <c r="W755" s="40"/>
      <c r="X755" s="22"/>
      <c r="Y755" s="22"/>
      <c r="Z755" s="22"/>
      <c r="AA755" s="22"/>
      <c r="AB755" s="22"/>
      <c r="AC755" s="22"/>
      <c r="AD755" s="22"/>
      <c r="AE755" s="22"/>
      <c r="AF755" s="22"/>
      <c r="AG755" s="22"/>
      <c r="AH755" s="22"/>
      <c r="AI755" s="22"/>
      <c r="AJ755" s="40"/>
      <c r="AK755" s="22"/>
      <c r="AL755" s="22"/>
      <c r="AM755" s="22"/>
      <c r="AN755" s="22"/>
      <c r="AO755" s="40"/>
      <c r="AP755" s="40"/>
      <c r="AQ755" s="40"/>
      <c r="AR755" s="1"/>
      <c r="AS755" s="1"/>
      <c r="AT755" s="17"/>
      <c r="AU755" s="1"/>
      <c r="AV755" s="1"/>
      <c r="AW755" s="1"/>
      <c r="AX755" s="2"/>
      <c r="AY755" s="2"/>
      <c r="AZ755" s="1"/>
    </row>
    <row x14ac:dyDescent="0.25" r="756" customHeight="1" ht="18.75">
      <c r="A756" s="1"/>
      <c r="B756" s="1"/>
      <c r="C756" s="1"/>
      <c r="D756" s="1"/>
      <c r="E756" s="1"/>
      <c r="F756" s="1"/>
      <c r="G756" s="1"/>
      <c r="H756" s="1"/>
      <c r="I756" s="1"/>
      <c r="J756" s="1"/>
      <c r="K756" s="17"/>
      <c r="L756" s="1"/>
      <c r="M756" s="1"/>
      <c r="N756" s="2"/>
      <c r="O756" s="2"/>
      <c r="P756" s="1"/>
      <c r="Q756" s="1"/>
      <c r="R756" s="1"/>
      <c r="S756" s="1"/>
      <c r="T756" s="40"/>
      <c r="U756" s="40"/>
      <c r="V756" s="40"/>
      <c r="W756" s="40"/>
      <c r="X756" s="22"/>
      <c r="Y756" s="22"/>
      <c r="Z756" s="22"/>
      <c r="AA756" s="22"/>
      <c r="AB756" s="22"/>
      <c r="AC756" s="22"/>
      <c r="AD756" s="22"/>
      <c r="AE756" s="22"/>
      <c r="AF756" s="22"/>
      <c r="AG756" s="22"/>
      <c r="AH756" s="22"/>
      <c r="AI756" s="22"/>
      <c r="AJ756" s="40"/>
      <c r="AK756" s="22"/>
      <c r="AL756" s="22"/>
      <c r="AM756" s="22"/>
      <c r="AN756" s="22"/>
      <c r="AO756" s="40"/>
      <c r="AP756" s="40"/>
      <c r="AQ756" s="40"/>
      <c r="AR756" s="1"/>
      <c r="AS756" s="1"/>
      <c r="AT756" s="17"/>
      <c r="AU756" s="1"/>
      <c r="AV756" s="1"/>
      <c r="AW756" s="1"/>
      <c r="AX756" s="2"/>
      <c r="AY756" s="2"/>
      <c r="AZ756" s="1"/>
    </row>
    <row x14ac:dyDescent="0.25" r="757" customHeight="1" ht="18.75">
      <c r="A757" s="1"/>
      <c r="B757" s="1"/>
      <c r="C757" s="1"/>
      <c r="D757" s="1"/>
      <c r="E757" s="1"/>
      <c r="F757" s="1"/>
      <c r="G757" s="1"/>
      <c r="H757" s="1"/>
      <c r="I757" s="1"/>
      <c r="J757" s="1"/>
      <c r="K757" s="17"/>
      <c r="L757" s="1"/>
      <c r="M757" s="1"/>
      <c r="N757" s="2"/>
      <c r="O757" s="2"/>
      <c r="P757" s="1"/>
      <c r="Q757" s="1"/>
      <c r="R757" s="1"/>
      <c r="S757" s="1"/>
      <c r="T757" s="40"/>
      <c r="U757" s="40"/>
      <c r="V757" s="40"/>
      <c r="W757" s="40"/>
      <c r="X757" s="22"/>
      <c r="Y757" s="22"/>
      <c r="Z757" s="22"/>
      <c r="AA757" s="22"/>
      <c r="AB757" s="22"/>
      <c r="AC757" s="22"/>
      <c r="AD757" s="22"/>
      <c r="AE757" s="22"/>
      <c r="AF757" s="22"/>
      <c r="AG757" s="22"/>
      <c r="AH757" s="22"/>
      <c r="AI757" s="22"/>
      <c r="AJ757" s="40"/>
      <c r="AK757" s="22"/>
      <c r="AL757" s="22"/>
      <c r="AM757" s="22"/>
      <c r="AN757" s="22"/>
      <c r="AO757" s="40"/>
      <c r="AP757" s="40"/>
      <c r="AQ757" s="40"/>
      <c r="AR757" s="1"/>
      <c r="AS757" s="1"/>
      <c r="AT757" s="17"/>
      <c r="AU757" s="1"/>
      <c r="AV757" s="1"/>
      <c r="AW757" s="1"/>
      <c r="AX757" s="2"/>
      <c r="AY757" s="2"/>
      <c r="AZ757" s="1"/>
    </row>
    <row x14ac:dyDescent="0.25" r="758" customHeight="1" ht="18.75">
      <c r="A758" s="1"/>
      <c r="B758" s="1"/>
      <c r="C758" s="1"/>
      <c r="D758" s="1"/>
      <c r="E758" s="1"/>
      <c r="F758" s="1"/>
      <c r="G758" s="1"/>
      <c r="H758" s="1"/>
      <c r="I758" s="1"/>
      <c r="J758" s="1"/>
      <c r="K758" s="17"/>
      <c r="L758" s="1"/>
      <c r="M758" s="1"/>
      <c r="N758" s="2"/>
      <c r="O758" s="2"/>
      <c r="P758" s="1"/>
      <c r="Q758" s="1"/>
      <c r="R758" s="1"/>
      <c r="S758" s="1"/>
      <c r="T758" s="40"/>
      <c r="U758" s="40"/>
      <c r="V758" s="40"/>
      <c r="W758" s="40"/>
      <c r="X758" s="22"/>
      <c r="Y758" s="22"/>
      <c r="Z758" s="22"/>
      <c r="AA758" s="22"/>
      <c r="AB758" s="22"/>
      <c r="AC758" s="22"/>
      <c r="AD758" s="22"/>
      <c r="AE758" s="22"/>
      <c r="AF758" s="22"/>
      <c r="AG758" s="22"/>
      <c r="AH758" s="22"/>
      <c r="AI758" s="22"/>
      <c r="AJ758" s="40"/>
      <c r="AK758" s="22"/>
      <c r="AL758" s="22"/>
      <c r="AM758" s="22"/>
      <c r="AN758" s="22"/>
      <c r="AO758" s="40"/>
      <c r="AP758" s="40"/>
      <c r="AQ758" s="40"/>
      <c r="AR758" s="1"/>
      <c r="AS758" s="1"/>
      <c r="AT758" s="17"/>
      <c r="AU758" s="1"/>
      <c r="AV758" s="1"/>
      <c r="AW758" s="1"/>
      <c r="AX758" s="2"/>
      <c r="AY758" s="2"/>
      <c r="AZ758" s="1"/>
    </row>
    <row x14ac:dyDescent="0.25" r="759" customHeight="1" ht="18.75">
      <c r="A759" s="1"/>
      <c r="B759" s="1"/>
      <c r="C759" s="1"/>
      <c r="D759" s="1"/>
      <c r="E759" s="1"/>
      <c r="F759" s="1"/>
      <c r="G759" s="1"/>
      <c r="H759" s="1"/>
      <c r="I759" s="1"/>
      <c r="J759" s="1"/>
      <c r="K759" s="17"/>
      <c r="L759" s="1"/>
      <c r="M759" s="1"/>
      <c r="N759" s="2"/>
      <c r="O759" s="2"/>
      <c r="P759" s="1"/>
      <c r="Q759" s="1"/>
      <c r="R759" s="1"/>
      <c r="S759" s="1"/>
      <c r="T759" s="40"/>
      <c r="U759" s="40"/>
      <c r="V759" s="40"/>
      <c r="W759" s="40"/>
      <c r="X759" s="22"/>
      <c r="Y759" s="22"/>
      <c r="Z759" s="22"/>
      <c r="AA759" s="22"/>
      <c r="AB759" s="22"/>
      <c r="AC759" s="22"/>
      <c r="AD759" s="22"/>
      <c r="AE759" s="22"/>
      <c r="AF759" s="22"/>
      <c r="AG759" s="22"/>
      <c r="AH759" s="22"/>
      <c r="AI759" s="22"/>
      <c r="AJ759" s="40"/>
      <c r="AK759" s="22"/>
      <c r="AL759" s="22"/>
      <c r="AM759" s="22"/>
      <c r="AN759" s="22"/>
      <c r="AO759" s="40"/>
      <c r="AP759" s="40"/>
      <c r="AQ759" s="40"/>
      <c r="AR759" s="1"/>
      <c r="AS759" s="1"/>
      <c r="AT759" s="17"/>
      <c r="AU759" s="1"/>
      <c r="AV759" s="1"/>
      <c r="AW759" s="1"/>
      <c r="AX759" s="2"/>
      <c r="AY759" s="2"/>
      <c r="AZ759" s="1"/>
    </row>
    <row x14ac:dyDescent="0.25" r="760" customHeight="1" ht="18.75">
      <c r="A760" s="1"/>
      <c r="B760" s="1"/>
      <c r="C760" s="1"/>
      <c r="D760" s="1"/>
      <c r="E760" s="1"/>
      <c r="F760" s="1"/>
      <c r="G760" s="1"/>
      <c r="H760" s="1"/>
      <c r="I760" s="1"/>
      <c r="J760" s="1"/>
      <c r="K760" s="17"/>
      <c r="L760" s="1"/>
      <c r="M760" s="1"/>
      <c r="N760" s="2"/>
      <c r="O760" s="2"/>
      <c r="P760" s="1"/>
      <c r="Q760" s="1"/>
      <c r="R760" s="1"/>
      <c r="S760" s="1"/>
      <c r="T760" s="40"/>
      <c r="U760" s="40"/>
      <c r="V760" s="40"/>
      <c r="W760" s="40"/>
      <c r="X760" s="22"/>
      <c r="Y760" s="22"/>
      <c r="Z760" s="22"/>
      <c r="AA760" s="22"/>
      <c r="AB760" s="22"/>
      <c r="AC760" s="22"/>
      <c r="AD760" s="22"/>
      <c r="AE760" s="22"/>
      <c r="AF760" s="22"/>
      <c r="AG760" s="22"/>
      <c r="AH760" s="22"/>
      <c r="AI760" s="22"/>
      <c r="AJ760" s="40"/>
      <c r="AK760" s="22"/>
      <c r="AL760" s="22"/>
      <c r="AM760" s="22"/>
      <c r="AN760" s="22"/>
      <c r="AO760" s="40"/>
      <c r="AP760" s="40"/>
      <c r="AQ760" s="40"/>
      <c r="AR760" s="1"/>
      <c r="AS760" s="1"/>
      <c r="AT760" s="17"/>
      <c r="AU760" s="1"/>
      <c r="AV760" s="1"/>
      <c r="AW760" s="1"/>
      <c r="AX760" s="2"/>
      <c r="AY760" s="2"/>
      <c r="AZ760" s="1"/>
    </row>
    <row x14ac:dyDescent="0.25" r="761" customHeight="1" ht="18.75">
      <c r="A761" s="1"/>
      <c r="B761" s="1"/>
      <c r="C761" s="1"/>
      <c r="D761" s="1"/>
      <c r="E761" s="1"/>
      <c r="F761" s="1"/>
      <c r="G761" s="1"/>
      <c r="H761" s="1"/>
      <c r="I761" s="1"/>
      <c r="J761" s="1"/>
      <c r="K761" s="17"/>
      <c r="L761" s="1"/>
      <c r="M761" s="1"/>
      <c r="N761" s="2"/>
      <c r="O761" s="2"/>
      <c r="P761" s="1"/>
      <c r="Q761" s="1"/>
      <c r="R761" s="1"/>
      <c r="S761" s="1"/>
      <c r="T761" s="40"/>
      <c r="U761" s="40"/>
      <c r="V761" s="40"/>
      <c r="W761" s="40"/>
      <c r="X761" s="22"/>
      <c r="Y761" s="22"/>
      <c r="Z761" s="22"/>
      <c r="AA761" s="22"/>
      <c r="AB761" s="22"/>
      <c r="AC761" s="22"/>
      <c r="AD761" s="22"/>
      <c r="AE761" s="22"/>
      <c r="AF761" s="22"/>
      <c r="AG761" s="22"/>
      <c r="AH761" s="22"/>
      <c r="AI761" s="22"/>
      <c r="AJ761" s="40"/>
      <c r="AK761" s="22"/>
      <c r="AL761" s="22"/>
      <c r="AM761" s="22"/>
      <c r="AN761" s="22"/>
      <c r="AO761" s="40"/>
      <c r="AP761" s="40"/>
      <c r="AQ761" s="40"/>
      <c r="AR761" s="1"/>
      <c r="AS761" s="1"/>
      <c r="AT761" s="17"/>
      <c r="AU761" s="1"/>
      <c r="AV761" s="1"/>
      <c r="AW761" s="1"/>
      <c r="AX761" s="2"/>
      <c r="AY761" s="2"/>
      <c r="AZ761" s="1"/>
    </row>
    <row x14ac:dyDescent="0.25" r="762" customHeight="1" ht="18.75">
      <c r="A762" s="1"/>
      <c r="B762" s="1"/>
      <c r="C762" s="1"/>
      <c r="D762" s="1"/>
      <c r="E762" s="1"/>
      <c r="F762" s="1"/>
      <c r="G762" s="1"/>
      <c r="H762" s="1"/>
      <c r="I762" s="1"/>
      <c r="J762" s="1"/>
      <c r="K762" s="17"/>
      <c r="L762" s="1"/>
      <c r="M762" s="1"/>
      <c r="N762" s="2"/>
      <c r="O762" s="2"/>
      <c r="P762" s="1"/>
      <c r="Q762" s="1"/>
      <c r="R762" s="1"/>
      <c r="S762" s="1"/>
      <c r="T762" s="40"/>
      <c r="U762" s="40"/>
      <c r="V762" s="40"/>
      <c r="W762" s="40"/>
      <c r="X762" s="22"/>
      <c r="Y762" s="22"/>
      <c r="Z762" s="22"/>
      <c r="AA762" s="22"/>
      <c r="AB762" s="22"/>
      <c r="AC762" s="22"/>
      <c r="AD762" s="22"/>
      <c r="AE762" s="22"/>
      <c r="AF762" s="22"/>
      <c r="AG762" s="22"/>
      <c r="AH762" s="22"/>
      <c r="AI762" s="22"/>
      <c r="AJ762" s="40"/>
      <c r="AK762" s="22"/>
      <c r="AL762" s="22"/>
      <c r="AM762" s="22"/>
      <c r="AN762" s="22"/>
      <c r="AO762" s="40"/>
      <c r="AP762" s="40"/>
      <c r="AQ762" s="40"/>
      <c r="AR762" s="1"/>
      <c r="AS762" s="1"/>
      <c r="AT762" s="17"/>
      <c r="AU762" s="1"/>
      <c r="AV762" s="1"/>
      <c r="AW762" s="1"/>
      <c r="AX762" s="2"/>
      <c r="AY762" s="2"/>
      <c r="AZ762" s="1"/>
    </row>
    <row x14ac:dyDescent="0.25" r="763" customHeight="1" ht="18.75">
      <c r="A763" s="1"/>
      <c r="B763" s="1"/>
      <c r="C763" s="1"/>
      <c r="D763" s="1"/>
      <c r="E763" s="1"/>
      <c r="F763" s="1"/>
      <c r="G763" s="1"/>
      <c r="H763" s="1"/>
      <c r="I763" s="1"/>
      <c r="J763" s="1"/>
      <c r="K763" s="17"/>
      <c r="L763" s="1"/>
      <c r="M763" s="1"/>
      <c r="N763" s="2"/>
      <c r="O763" s="2"/>
      <c r="P763" s="1"/>
      <c r="Q763" s="1"/>
      <c r="R763" s="1"/>
      <c r="S763" s="1"/>
      <c r="T763" s="40"/>
      <c r="U763" s="40"/>
      <c r="V763" s="40"/>
      <c r="W763" s="40"/>
      <c r="X763" s="22"/>
      <c r="Y763" s="22"/>
      <c r="Z763" s="22"/>
      <c r="AA763" s="22"/>
      <c r="AB763" s="22"/>
      <c r="AC763" s="22"/>
      <c r="AD763" s="22"/>
      <c r="AE763" s="22"/>
      <c r="AF763" s="22"/>
      <c r="AG763" s="22"/>
      <c r="AH763" s="22"/>
      <c r="AI763" s="22"/>
      <c r="AJ763" s="40"/>
      <c r="AK763" s="22"/>
      <c r="AL763" s="22"/>
      <c r="AM763" s="22"/>
      <c r="AN763" s="22"/>
      <c r="AO763" s="40"/>
      <c r="AP763" s="40"/>
      <c r="AQ763" s="40"/>
      <c r="AR763" s="1"/>
      <c r="AS763" s="1"/>
      <c r="AT763" s="17"/>
      <c r="AU763" s="1"/>
      <c r="AV763" s="1"/>
      <c r="AW763" s="1"/>
      <c r="AX763" s="2"/>
      <c r="AY763" s="2"/>
      <c r="AZ763" s="1"/>
    </row>
    <row x14ac:dyDescent="0.25" r="764" customHeight="1" ht="18.75">
      <c r="A764" s="1"/>
      <c r="B764" s="1"/>
      <c r="C764" s="1"/>
      <c r="D764" s="1"/>
      <c r="E764" s="1"/>
      <c r="F764" s="1"/>
      <c r="G764" s="1"/>
      <c r="H764" s="1"/>
      <c r="I764" s="1"/>
      <c r="J764" s="1"/>
      <c r="K764" s="17"/>
      <c r="L764" s="1"/>
      <c r="M764" s="1"/>
      <c r="N764" s="2"/>
      <c r="O764" s="2"/>
      <c r="P764" s="1"/>
      <c r="Q764" s="1"/>
      <c r="R764" s="1"/>
      <c r="S764" s="1"/>
      <c r="T764" s="40"/>
      <c r="U764" s="40"/>
      <c r="V764" s="40"/>
      <c r="W764" s="40"/>
      <c r="X764" s="22"/>
      <c r="Y764" s="22"/>
      <c r="Z764" s="22"/>
      <c r="AA764" s="22"/>
      <c r="AB764" s="22"/>
      <c r="AC764" s="22"/>
      <c r="AD764" s="22"/>
      <c r="AE764" s="22"/>
      <c r="AF764" s="22"/>
      <c r="AG764" s="22"/>
      <c r="AH764" s="22"/>
      <c r="AI764" s="22"/>
      <c r="AJ764" s="40"/>
      <c r="AK764" s="22"/>
      <c r="AL764" s="22"/>
      <c r="AM764" s="22"/>
      <c r="AN764" s="22"/>
      <c r="AO764" s="40"/>
      <c r="AP764" s="40"/>
      <c r="AQ764" s="40"/>
      <c r="AR764" s="1"/>
      <c r="AS764" s="1"/>
      <c r="AT764" s="17"/>
      <c r="AU764" s="1"/>
      <c r="AV764" s="1"/>
      <c r="AW764" s="1"/>
      <c r="AX764" s="2"/>
      <c r="AY764" s="2"/>
      <c r="AZ764" s="1"/>
    </row>
    <row x14ac:dyDescent="0.25" r="765" customHeight="1" ht="18.75">
      <c r="A765" s="1"/>
      <c r="B765" s="1"/>
      <c r="C765" s="1"/>
      <c r="D765" s="1"/>
      <c r="E765" s="1"/>
      <c r="F765" s="1"/>
      <c r="G765" s="1"/>
      <c r="H765" s="1"/>
      <c r="I765" s="1"/>
      <c r="J765" s="1"/>
      <c r="K765" s="17"/>
      <c r="L765" s="1"/>
      <c r="M765" s="1"/>
      <c r="N765" s="2"/>
      <c r="O765" s="2"/>
      <c r="P765" s="1"/>
      <c r="Q765" s="1"/>
      <c r="R765" s="1"/>
      <c r="S765" s="1"/>
      <c r="T765" s="40"/>
      <c r="U765" s="40"/>
      <c r="V765" s="40"/>
      <c r="W765" s="40"/>
      <c r="X765" s="22"/>
      <c r="Y765" s="22"/>
      <c r="Z765" s="22"/>
      <c r="AA765" s="22"/>
      <c r="AB765" s="22"/>
      <c r="AC765" s="22"/>
      <c r="AD765" s="22"/>
      <c r="AE765" s="22"/>
      <c r="AF765" s="22"/>
      <c r="AG765" s="22"/>
      <c r="AH765" s="22"/>
      <c r="AI765" s="22"/>
      <c r="AJ765" s="40"/>
      <c r="AK765" s="22"/>
      <c r="AL765" s="22"/>
      <c r="AM765" s="22"/>
      <c r="AN765" s="22"/>
      <c r="AO765" s="40"/>
      <c r="AP765" s="40"/>
      <c r="AQ765" s="40"/>
      <c r="AR765" s="1"/>
      <c r="AS765" s="1"/>
      <c r="AT765" s="17"/>
      <c r="AU765" s="1"/>
      <c r="AV765" s="1"/>
      <c r="AW765" s="1"/>
      <c r="AX765" s="2"/>
      <c r="AY765" s="2"/>
      <c r="AZ765" s="1"/>
    </row>
    <row x14ac:dyDescent="0.25" r="766" customHeight="1" ht="18.75">
      <c r="A766" s="1"/>
      <c r="B766" s="1"/>
      <c r="C766" s="1"/>
      <c r="D766" s="1"/>
      <c r="E766" s="1"/>
      <c r="F766" s="1"/>
      <c r="G766" s="1"/>
      <c r="H766" s="1"/>
      <c r="I766" s="1"/>
      <c r="J766" s="1"/>
      <c r="K766" s="17"/>
      <c r="L766" s="1"/>
      <c r="M766" s="1"/>
      <c r="N766" s="2"/>
      <c r="O766" s="2"/>
      <c r="P766" s="1"/>
      <c r="Q766" s="1"/>
      <c r="R766" s="1"/>
      <c r="S766" s="1"/>
      <c r="T766" s="40"/>
      <c r="U766" s="40"/>
      <c r="V766" s="40"/>
      <c r="W766" s="40"/>
      <c r="X766" s="22"/>
      <c r="Y766" s="22"/>
      <c r="Z766" s="22"/>
      <c r="AA766" s="22"/>
      <c r="AB766" s="22"/>
      <c r="AC766" s="22"/>
      <c r="AD766" s="22"/>
      <c r="AE766" s="22"/>
      <c r="AF766" s="22"/>
      <c r="AG766" s="22"/>
      <c r="AH766" s="22"/>
      <c r="AI766" s="22"/>
      <c r="AJ766" s="40"/>
      <c r="AK766" s="22"/>
      <c r="AL766" s="22"/>
      <c r="AM766" s="22"/>
      <c r="AN766" s="22"/>
      <c r="AO766" s="40"/>
      <c r="AP766" s="40"/>
      <c r="AQ766" s="40"/>
      <c r="AR766" s="1"/>
      <c r="AS766" s="1"/>
      <c r="AT766" s="17"/>
      <c r="AU766" s="1"/>
      <c r="AV766" s="1"/>
      <c r="AW766" s="1"/>
      <c r="AX766" s="2"/>
      <c r="AY766" s="2"/>
      <c r="AZ766" s="1"/>
    </row>
    <row x14ac:dyDescent="0.25" r="767" customHeight="1" ht="18.75">
      <c r="A767" s="1"/>
      <c r="B767" s="1"/>
      <c r="C767" s="1"/>
      <c r="D767" s="1"/>
      <c r="E767" s="1"/>
      <c r="F767" s="1"/>
      <c r="G767" s="1"/>
      <c r="H767" s="1"/>
      <c r="I767" s="1"/>
      <c r="J767" s="1"/>
      <c r="K767" s="17"/>
      <c r="L767" s="1"/>
      <c r="M767" s="1"/>
      <c r="N767" s="2"/>
      <c r="O767" s="2"/>
      <c r="P767" s="1"/>
      <c r="Q767" s="1"/>
      <c r="R767" s="1"/>
      <c r="S767" s="1"/>
      <c r="T767" s="40"/>
      <c r="U767" s="40"/>
      <c r="V767" s="40"/>
      <c r="W767" s="40"/>
      <c r="X767" s="22"/>
      <c r="Y767" s="22"/>
      <c r="Z767" s="22"/>
      <c r="AA767" s="22"/>
      <c r="AB767" s="22"/>
      <c r="AC767" s="22"/>
      <c r="AD767" s="22"/>
      <c r="AE767" s="22"/>
      <c r="AF767" s="22"/>
      <c r="AG767" s="22"/>
      <c r="AH767" s="22"/>
      <c r="AI767" s="22"/>
      <c r="AJ767" s="40"/>
      <c r="AK767" s="22"/>
      <c r="AL767" s="22"/>
      <c r="AM767" s="22"/>
      <c r="AN767" s="22"/>
      <c r="AO767" s="40"/>
      <c r="AP767" s="40"/>
      <c r="AQ767" s="40"/>
      <c r="AR767" s="1"/>
      <c r="AS767" s="1"/>
      <c r="AT767" s="17"/>
      <c r="AU767" s="1"/>
      <c r="AV767" s="1"/>
      <c r="AW767" s="1"/>
      <c r="AX767" s="2"/>
      <c r="AY767" s="2"/>
      <c r="AZ767" s="1"/>
    </row>
    <row x14ac:dyDescent="0.25" r="768" customHeight="1" ht="18.75">
      <c r="A768" s="1"/>
      <c r="B768" s="1"/>
      <c r="C768" s="1"/>
      <c r="D768" s="1"/>
      <c r="E768" s="1"/>
      <c r="F768" s="1"/>
      <c r="G768" s="1"/>
      <c r="H768" s="1"/>
      <c r="I768" s="1"/>
      <c r="J768" s="1"/>
      <c r="K768" s="17"/>
      <c r="L768" s="1"/>
      <c r="M768" s="1"/>
      <c r="N768" s="2"/>
      <c r="O768" s="2"/>
      <c r="P768" s="1"/>
      <c r="Q768" s="1"/>
      <c r="R768" s="1"/>
      <c r="S768" s="1"/>
      <c r="T768" s="40"/>
      <c r="U768" s="40"/>
      <c r="V768" s="40"/>
      <c r="W768" s="40"/>
      <c r="X768" s="22"/>
      <c r="Y768" s="22"/>
      <c r="Z768" s="22"/>
      <c r="AA768" s="22"/>
      <c r="AB768" s="22"/>
      <c r="AC768" s="22"/>
      <c r="AD768" s="22"/>
      <c r="AE768" s="22"/>
      <c r="AF768" s="22"/>
      <c r="AG768" s="22"/>
      <c r="AH768" s="22"/>
      <c r="AI768" s="22"/>
      <c r="AJ768" s="40"/>
      <c r="AK768" s="22"/>
      <c r="AL768" s="22"/>
      <c r="AM768" s="22"/>
      <c r="AN768" s="22"/>
      <c r="AO768" s="40"/>
      <c r="AP768" s="40"/>
      <c r="AQ768" s="40"/>
      <c r="AR768" s="1"/>
      <c r="AS768" s="1"/>
      <c r="AT768" s="17"/>
      <c r="AU768" s="1"/>
      <c r="AV768" s="1"/>
      <c r="AW768" s="1"/>
      <c r="AX768" s="2"/>
      <c r="AY768" s="2"/>
      <c r="AZ768" s="1"/>
    </row>
    <row x14ac:dyDescent="0.25" r="769" customHeight="1" ht="18.75">
      <c r="A769" s="1"/>
      <c r="B769" s="1"/>
      <c r="C769" s="1"/>
      <c r="D769" s="1"/>
      <c r="E769" s="1"/>
      <c r="F769" s="1"/>
      <c r="G769" s="1"/>
      <c r="H769" s="1"/>
      <c r="I769" s="1"/>
      <c r="J769" s="1"/>
      <c r="K769" s="17"/>
      <c r="L769" s="1"/>
      <c r="M769" s="1"/>
      <c r="N769" s="2"/>
      <c r="O769" s="2"/>
      <c r="P769" s="1"/>
      <c r="Q769" s="1"/>
      <c r="R769" s="1"/>
      <c r="S769" s="1"/>
      <c r="T769" s="40"/>
      <c r="U769" s="40"/>
      <c r="V769" s="40"/>
      <c r="W769" s="40"/>
      <c r="X769" s="22"/>
      <c r="Y769" s="22"/>
      <c r="Z769" s="22"/>
      <c r="AA769" s="22"/>
      <c r="AB769" s="22"/>
      <c r="AC769" s="22"/>
      <c r="AD769" s="22"/>
      <c r="AE769" s="22"/>
      <c r="AF769" s="22"/>
      <c r="AG769" s="22"/>
      <c r="AH769" s="22"/>
      <c r="AI769" s="22"/>
      <c r="AJ769" s="40"/>
      <c r="AK769" s="22"/>
      <c r="AL769" s="22"/>
      <c r="AM769" s="22"/>
      <c r="AN769" s="22"/>
      <c r="AO769" s="40"/>
      <c r="AP769" s="40"/>
      <c r="AQ769" s="40"/>
      <c r="AR769" s="1"/>
      <c r="AS769" s="1"/>
      <c r="AT769" s="17"/>
      <c r="AU769" s="1"/>
      <c r="AV769" s="1"/>
      <c r="AW769" s="1"/>
      <c r="AX769" s="2"/>
      <c r="AY769" s="2"/>
      <c r="AZ769" s="1"/>
    </row>
    <row x14ac:dyDescent="0.25" r="770" customHeight="1" ht="18.75">
      <c r="A770" s="1"/>
      <c r="B770" s="1"/>
      <c r="C770" s="1"/>
      <c r="D770" s="1"/>
      <c r="E770" s="1"/>
      <c r="F770" s="1"/>
      <c r="G770" s="1"/>
      <c r="H770" s="1"/>
      <c r="I770" s="1"/>
      <c r="J770" s="1"/>
      <c r="K770" s="17"/>
      <c r="L770" s="1"/>
      <c r="M770" s="1"/>
      <c r="N770" s="2"/>
      <c r="O770" s="2"/>
      <c r="P770" s="1"/>
      <c r="Q770" s="1"/>
      <c r="R770" s="1"/>
      <c r="S770" s="1"/>
      <c r="T770" s="40"/>
      <c r="U770" s="40"/>
      <c r="V770" s="40"/>
      <c r="W770" s="40"/>
      <c r="X770" s="22"/>
      <c r="Y770" s="22"/>
      <c r="Z770" s="22"/>
      <c r="AA770" s="22"/>
      <c r="AB770" s="22"/>
      <c r="AC770" s="22"/>
      <c r="AD770" s="22"/>
      <c r="AE770" s="22"/>
      <c r="AF770" s="22"/>
      <c r="AG770" s="22"/>
      <c r="AH770" s="22"/>
      <c r="AI770" s="22"/>
      <c r="AJ770" s="40"/>
      <c r="AK770" s="22"/>
      <c r="AL770" s="22"/>
      <c r="AM770" s="22"/>
      <c r="AN770" s="22"/>
      <c r="AO770" s="40"/>
      <c r="AP770" s="40"/>
      <c r="AQ770" s="40"/>
      <c r="AR770" s="1"/>
      <c r="AS770" s="1"/>
      <c r="AT770" s="17"/>
      <c r="AU770" s="1"/>
      <c r="AV770" s="1"/>
      <c r="AW770" s="1"/>
      <c r="AX770" s="2"/>
      <c r="AY770" s="2"/>
      <c r="AZ770" s="1"/>
    </row>
    <row x14ac:dyDescent="0.25" r="771" customHeight="1" ht="18.75">
      <c r="A771" s="1"/>
      <c r="B771" s="1"/>
      <c r="C771" s="1"/>
      <c r="D771" s="1"/>
      <c r="E771" s="1"/>
      <c r="F771" s="1"/>
      <c r="G771" s="1"/>
      <c r="H771" s="1"/>
      <c r="I771" s="1"/>
      <c r="J771" s="1"/>
      <c r="K771" s="17"/>
      <c r="L771" s="1"/>
      <c r="M771" s="1"/>
      <c r="N771" s="2"/>
      <c r="O771" s="2"/>
      <c r="P771" s="1"/>
      <c r="Q771" s="1"/>
      <c r="R771" s="1"/>
      <c r="S771" s="1"/>
      <c r="T771" s="40"/>
      <c r="U771" s="40"/>
      <c r="V771" s="40"/>
      <c r="W771" s="40"/>
      <c r="X771" s="22"/>
      <c r="Y771" s="22"/>
      <c r="Z771" s="22"/>
      <c r="AA771" s="22"/>
      <c r="AB771" s="22"/>
      <c r="AC771" s="22"/>
      <c r="AD771" s="22"/>
      <c r="AE771" s="22"/>
      <c r="AF771" s="22"/>
      <c r="AG771" s="22"/>
      <c r="AH771" s="22"/>
      <c r="AI771" s="22"/>
      <c r="AJ771" s="40"/>
      <c r="AK771" s="22"/>
      <c r="AL771" s="22"/>
      <c r="AM771" s="22"/>
      <c r="AN771" s="22"/>
      <c r="AO771" s="40"/>
      <c r="AP771" s="40"/>
      <c r="AQ771" s="40"/>
      <c r="AR771" s="1"/>
      <c r="AS771" s="1"/>
      <c r="AT771" s="17"/>
      <c r="AU771" s="1"/>
      <c r="AV771" s="1"/>
      <c r="AW771" s="1"/>
      <c r="AX771" s="2"/>
      <c r="AY771" s="2"/>
      <c r="AZ771" s="1"/>
    </row>
    <row x14ac:dyDescent="0.25" r="772" customHeight="1" ht="18.75">
      <c r="A772" s="1"/>
      <c r="B772" s="1"/>
      <c r="C772" s="1"/>
      <c r="D772" s="1"/>
      <c r="E772" s="1"/>
      <c r="F772" s="1"/>
      <c r="G772" s="1"/>
      <c r="H772" s="1"/>
      <c r="I772" s="1"/>
      <c r="J772" s="1"/>
      <c r="K772" s="17"/>
      <c r="L772" s="1"/>
      <c r="M772" s="1"/>
      <c r="N772" s="2"/>
      <c r="O772" s="2"/>
      <c r="P772" s="1"/>
      <c r="Q772" s="1"/>
      <c r="R772" s="1"/>
      <c r="S772" s="1"/>
      <c r="T772" s="40"/>
      <c r="U772" s="40"/>
      <c r="V772" s="40"/>
      <c r="W772" s="40"/>
      <c r="X772" s="22"/>
      <c r="Y772" s="22"/>
      <c r="Z772" s="22"/>
      <c r="AA772" s="22"/>
      <c r="AB772" s="22"/>
      <c r="AC772" s="22"/>
      <c r="AD772" s="22"/>
      <c r="AE772" s="22"/>
      <c r="AF772" s="22"/>
      <c r="AG772" s="22"/>
      <c r="AH772" s="22"/>
      <c r="AI772" s="22"/>
      <c r="AJ772" s="40"/>
      <c r="AK772" s="22"/>
      <c r="AL772" s="22"/>
      <c r="AM772" s="22"/>
      <c r="AN772" s="22"/>
      <c r="AO772" s="40"/>
      <c r="AP772" s="40"/>
      <c r="AQ772" s="40"/>
      <c r="AR772" s="1"/>
      <c r="AS772" s="1"/>
      <c r="AT772" s="17"/>
      <c r="AU772" s="1"/>
      <c r="AV772" s="1"/>
      <c r="AW772" s="1"/>
      <c r="AX772" s="2"/>
      <c r="AY772" s="2"/>
      <c r="AZ772" s="1"/>
    </row>
    <row x14ac:dyDescent="0.25" r="773" customHeight="1" ht="18.75">
      <c r="A773" s="1"/>
      <c r="B773" s="1"/>
      <c r="C773" s="1"/>
      <c r="D773" s="1"/>
      <c r="E773" s="1"/>
      <c r="F773" s="1"/>
      <c r="G773" s="1"/>
      <c r="H773" s="1"/>
      <c r="I773" s="1"/>
      <c r="J773" s="1"/>
      <c r="K773" s="17"/>
      <c r="L773" s="1"/>
      <c r="M773" s="1"/>
      <c r="N773" s="2"/>
      <c r="O773" s="2"/>
      <c r="P773" s="1"/>
      <c r="Q773" s="1"/>
      <c r="R773" s="1"/>
      <c r="S773" s="1"/>
      <c r="T773" s="40"/>
      <c r="U773" s="40"/>
      <c r="V773" s="40"/>
      <c r="W773" s="40"/>
      <c r="X773" s="22"/>
      <c r="Y773" s="22"/>
      <c r="Z773" s="22"/>
      <c r="AA773" s="22"/>
      <c r="AB773" s="22"/>
      <c r="AC773" s="22"/>
      <c r="AD773" s="22"/>
      <c r="AE773" s="22"/>
      <c r="AF773" s="22"/>
      <c r="AG773" s="22"/>
      <c r="AH773" s="22"/>
      <c r="AI773" s="22"/>
      <c r="AJ773" s="40"/>
      <c r="AK773" s="22"/>
      <c r="AL773" s="22"/>
      <c r="AM773" s="22"/>
      <c r="AN773" s="22"/>
      <c r="AO773" s="40"/>
      <c r="AP773" s="40"/>
      <c r="AQ773" s="40"/>
      <c r="AR773" s="1"/>
      <c r="AS773" s="1"/>
      <c r="AT773" s="17"/>
      <c r="AU773" s="1"/>
      <c r="AV773" s="1"/>
      <c r="AW773" s="1"/>
      <c r="AX773" s="2"/>
      <c r="AY773" s="2"/>
      <c r="AZ773" s="1"/>
    </row>
    <row x14ac:dyDescent="0.25" r="774" customHeight="1" ht="18.75">
      <c r="A774" s="1"/>
      <c r="B774" s="1"/>
      <c r="C774" s="1"/>
      <c r="D774" s="1"/>
      <c r="E774" s="1"/>
      <c r="F774" s="1"/>
      <c r="G774" s="1"/>
      <c r="H774" s="1"/>
      <c r="I774" s="1"/>
      <c r="J774" s="1"/>
      <c r="K774" s="17"/>
      <c r="L774" s="1"/>
      <c r="M774" s="1"/>
      <c r="N774" s="2"/>
      <c r="O774" s="2"/>
      <c r="P774" s="1"/>
      <c r="Q774" s="1"/>
      <c r="R774" s="1"/>
      <c r="S774" s="1"/>
      <c r="T774" s="40"/>
      <c r="U774" s="40"/>
      <c r="V774" s="40"/>
      <c r="W774" s="40"/>
      <c r="X774" s="22"/>
      <c r="Y774" s="22"/>
      <c r="Z774" s="22"/>
      <c r="AA774" s="22"/>
      <c r="AB774" s="22"/>
      <c r="AC774" s="22"/>
      <c r="AD774" s="22"/>
      <c r="AE774" s="22"/>
      <c r="AF774" s="22"/>
      <c r="AG774" s="22"/>
      <c r="AH774" s="22"/>
      <c r="AI774" s="22"/>
      <c r="AJ774" s="40"/>
      <c r="AK774" s="22"/>
      <c r="AL774" s="22"/>
      <c r="AM774" s="22"/>
      <c r="AN774" s="22"/>
      <c r="AO774" s="40"/>
      <c r="AP774" s="40"/>
      <c r="AQ774" s="40"/>
      <c r="AR774" s="1"/>
      <c r="AS774" s="1"/>
      <c r="AT774" s="17"/>
      <c r="AU774" s="1"/>
      <c r="AV774" s="1"/>
      <c r="AW774" s="1"/>
      <c r="AX774" s="2"/>
      <c r="AY774" s="2"/>
      <c r="AZ774" s="1"/>
    </row>
    <row x14ac:dyDescent="0.25" r="775" customHeight="1" ht="18.75">
      <c r="A775" s="1"/>
      <c r="B775" s="1"/>
      <c r="C775" s="1"/>
      <c r="D775" s="1"/>
      <c r="E775" s="1"/>
      <c r="F775" s="1"/>
      <c r="G775" s="1"/>
      <c r="H775" s="1"/>
      <c r="I775" s="1"/>
      <c r="J775" s="1"/>
      <c r="K775" s="17"/>
      <c r="L775" s="1"/>
      <c r="M775" s="1"/>
      <c r="N775" s="2"/>
      <c r="O775" s="2"/>
      <c r="P775" s="1"/>
      <c r="Q775" s="1"/>
      <c r="R775" s="1"/>
      <c r="S775" s="1"/>
      <c r="T775" s="40"/>
      <c r="U775" s="40"/>
      <c r="V775" s="40"/>
      <c r="W775" s="40"/>
      <c r="X775" s="22"/>
      <c r="Y775" s="22"/>
      <c r="Z775" s="22"/>
      <c r="AA775" s="22"/>
      <c r="AB775" s="22"/>
      <c r="AC775" s="22"/>
      <c r="AD775" s="22"/>
      <c r="AE775" s="22"/>
      <c r="AF775" s="22"/>
      <c r="AG775" s="22"/>
      <c r="AH775" s="22"/>
      <c r="AI775" s="22"/>
      <c r="AJ775" s="40"/>
      <c r="AK775" s="22"/>
      <c r="AL775" s="22"/>
      <c r="AM775" s="22"/>
      <c r="AN775" s="22"/>
      <c r="AO775" s="40"/>
      <c r="AP775" s="40"/>
      <c r="AQ775" s="40"/>
      <c r="AR775" s="1"/>
      <c r="AS775" s="1"/>
      <c r="AT775" s="17"/>
      <c r="AU775" s="1"/>
      <c r="AV775" s="1"/>
      <c r="AW775" s="1"/>
      <c r="AX775" s="2"/>
      <c r="AY775" s="2"/>
      <c r="AZ775" s="1"/>
    </row>
    <row x14ac:dyDescent="0.25" r="776" customHeight="1" ht="18.75">
      <c r="A776" s="1"/>
      <c r="B776" s="1"/>
      <c r="C776" s="1"/>
      <c r="D776" s="1"/>
      <c r="E776" s="1"/>
      <c r="F776" s="1"/>
      <c r="G776" s="1"/>
      <c r="H776" s="1"/>
      <c r="I776" s="1"/>
      <c r="J776" s="1"/>
      <c r="K776" s="17"/>
      <c r="L776" s="1"/>
      <c r="M776" s="1"/>
      <c r="N776" s="2"/>
      <c r="O776" s="2"/>
      <c r="P776" s="1"/>
      <c r="Q776" s="1"/>
      <c r="R776" s="1"/>
      <c r="S776" s="1"/>
      <c r="T776" s="40"/>
      <c r="U776" s="40"/>
      <c r="V776" s="40"/>
      <c r="W776" s="40"/>
      <c r="X776" s="22"/>
      <c r="Y776" s="22"/>
      <c r="Z776" s="22"/>
      <c r="AA776" s="22"/>
      <c r="AB776" s="22"/>
      <c r="AC776" s="22"/>
      <c r="AD776" s="22"/>
      <c r="AE776" s="22"/>
      <c r="AF776" s="22"/>
      <c r="AG776" s="22"/>
      <c r="AH776" s="22"/>
      <c r="AI776" s="22"/>
      <c r="AJ776" s="40"/>
      <c r="AK776" s="22"/>
      <c r="AL776" s="22"/>
      <c r="AM776" s="22"/>
      <c r="AN776" s="22"/>
      <c r="AO776" s="40"/>
      <c r="AP776" s="40"/>
      <c r="AQ776" s="40"/>
      <c r="AR776" s="1"/>
      <c r="AS776" s="1"/>
      <c r="AT776" s="17"/>
      <c r="AU776" s="1"/>
      <c r="AV776" s="1"/>
      <c r="AW776" s="1"/>
      <c r="AX776" s="2"/>
      <c r="AY776" s="2"/>
      <c r="AZ776" s="1"/>
    </row>
    <row x14ac:dyDescent="0.25" r="777" customHeight="1" ht="18.75">
      <c r="A777" s="1"/>
      <c r="B777" s="1"/>
      <c r="C777" s="1"/>
      <c r="D777" s="1"/>
      <c r="E777" s="1"/>
      <c r="F777" s="1"/>
      <c r="G777" s="1"/>
      <c r="H777" s="1"/>
      <c r="I777" s="1"/>
      <c r="J777" s="1"/>
      <c r="K777" s="17"/>
      <c r="L777" s="1"/>
      <c r="M777" s="1"/>
      <c r="N777" s="2"/>
      <c r="O777" s="2"/>
      <c r="P777" s="1"/>
      <c r="Q777" s="1"/>
      <c r="R777" s="1"/>
      <c r="S777" s="1"/>
      <c r="T777" s="40"/>
      <c r="U777" s="40"/>
      <c r="V777" s="40"/>
      <c r="W777" s="40"/>
      <c r="X777" s="22"/>
      <c r="Y777" s="22"/>
      <c r="Z777" s="22"/>
      <c r="AA777" s="22"/>
      <c r="AB777" s="22"/>
      <c r="AC777" s="22"/>
      <c r="AD777" s="22"/>
      <c r="AE777" s="22"/>
      <c r="AF777" s="22"/>
      <c r="AG777" s="22"/>
      <c r="AH777" s="22"/>
      <c r="AI777" s="22"/>
      <c r="AJ777" s="40"/>
      <c r="AK777" s="22"/>
      <c r="AL777" s="22"/>
      <c r="AM777" s="22"/>
      <c r="AN777" s="22"/>
      <c r="AO777" s="40"/>
      <c r="AP777" s="40"/>
      <c r="AQ777" s="40"/>
      <c r="AR777" s="1"/>
      <c r="AS777" s="1"/>
      <c r="AT777" s="17"/>
      <c r="AU777" s="1"/>
      <c r="AV777" s="1"/>
      <c r="AW777" s="1"/>
      <c r="AX777" s="2"/>
      <c r="AY777" s="2"/>
      <c r="AZ777" s="1"/>
    </row>
    <row x14ac:dyDescent="0.25" r="778" customHeight="1" ht="18.75">
      <c r="A778" s="1"/>
      <c r="B778" s="1"/>
      <c r="C778" s="1"/>
      <c r="D778" s="1"/>
      <c r="E778" s="1"/>
      <c r="F778" s="1"/>
      <c r="G778" s="1"/>
      <c r="H778" s="1"/>
      <c r="I778" s="1"/>
      <c r="J778" s="1"/>
      <c r="K778" s="17"/>
      <c r="L778" s="1"/>
      <c r="M778" s="1"/>
      <c r="N778" s="2"/>
      <c r="O778" s="2"/>
      <c r="P778" s="1"/>
      <c r="Q778" s="1"/>
      <c r="R778" s="1"/>
      <c r="S778" s="1"/>
      <c r="T778" s="40"/>
      <c r="U778" s="40"/>
      <c r="V778" s="40"/>
      <c r="W778" s="40"/>
      <c r="X778" s="22"/>
      <c r="Y778" s="22"/>
      <c r="Z778" s="22"/>
      <c r="AA778" s="22"/>
      <c r="AB778" s="22"/>
      <c r="AC778" s="22"/>
      <c r="AD778" s="22"/>
      <c r="AE778" s="22"/>
      <c r="AF778" s="22"/>
      <c r="AG778" s="22"/>
      <c r="AH778" s="22"/>
      <c r="AI778" s="22"/>
      <c r="AJ778" s="40"/>
      <c r="AK778" s="22"/>
      <c r="AL778" s="22"/>
      <c r="AM778" s="22"/>
      <c r="AN778" s="22"/>
      <c r="AO778" s="40"/>
      <c r="AP778" s="40"/>
      <c r="AQ778" s="40"/>
      <c r="AR778" s="1"/>
      <c r="AS778" s="1"/>
      <c r="AT778" s="17"/>
      <c r="AU778" s="1"/>
      <c r="AV778" s="1"/>
      <c r="AW778" s="1"/>
      <c r="AX778" s="2"/>
      <c r="AY778" s="2"/>
      <c r="AZ778" s="1"/>
    </row>
    <row x14ac:dyDescent="0.25" r="779" customHeight="1" ht="18.75">
      <c r="A779" s="1"/>
      <c r="B779" s="1"/>
      <c r="C779" s="1"/>
      <c r="D779" s="1"/>
      <c r="E779" s="1"/>
      <c r="F779" s="1"/>
      <c r="G779" s="1"/>
      <c r="H779" s="1"/>
      <c r="I779" s="1"/>
      <c r="J779" s="1"/>
      <c r="K779" s="17"/>
      <c r="L779" s="1"/>
      <c r="M779" s="1"/>
      <c r="N779" s="2"/>
      <c r="O779" s="2"/>
      <c r="P779" s="1"/>
      <c r="Q779" s="1"/>
      <c r="R779" s="1"/>
      <c r="S779" s="1"/>
      <c r="T779" s="40"/>
      <c r="U779" s="40"/>
      <c r="V779" s="40"/>
      <c r="W779" s="40"/>
      <c r="X779" s="22"/>
      <c r="Y779" s="22"/>
      <c r="Z779" s="22"/>
      <c r="AA779" s="22"/>
      <c r="AB779" s="22"/>
      <c r="AC779" s="22"/>
      <c r="AD779" s="22"/>
      <c r="AE779" s="22"/>
      <c r="AF779" s="22"/>
      <c r="AG779" s="22"/>
      <c r="AH779" s="22"/>
      <c r="AI779" s="22"/>
      <c r="AJ779" s="40"/>
      <c r="AK779" s="22"/>
      <c r="AL779" s="22"/>
      <c r="AM779" s="22"/>
      <c r="AN779" s="22"/>
      <c r="AO779" s="40"/>
      <c r="AP779" s="40"/>
      <c r="AQ779" s="40"/>
      <c r="AR779" s="1"/>
      <c r="AS779" s="1"/>
      <c r="AT779" s="17"/>
      <c r="AU779" s="1"/>
      <c r="AV779" s="1"/>
      <c r="AW779" s="1"/>
      <c r="AX779" s="2"/>
      <c r="AY779" s="2"/>
      <c r="AZ779" s="1"/>
    </row>
    <row x14ac:dyDescent="0.25" r="780" customHeight="1" ht="18.75">
      <c r="A780" s="1"/>
      <c r="B780" s="1"/>
      <c r="C780" s="1"/>
      <c r="D780" s="1"/>
      <c r="E780" s="1"/>
      <c r="F780" s="1"/>
      <c r="G780" s="1"/>
      <c r="H780" s="1"/>
      <c r="I780" s="1"/>
      <c r="J780" s="1"/>
      <c r="K780" s="17"/>
      <c r="L780" s="1"/>
      <c r="M780" s="1"/>
      <c r="N780" s="2"/>
      <c r="O780" s="2"/>
      <c r="P780" s="1"/>
      <c r="Q780" s="1"/>
      <c r="R780" s="1"/>
      <c r="S780" s="1"/>
      <c r="T780" s="40"/>
      <c r="U780" s="40"/>
      <c r="V780" s="40"/>
      <c r="W780" s="40"/>
      <c r="X780" s="22"/>
      <c r="Y780" s="22"/>
      <c r="Z780" s="22"/>
      <c r="AA780" s="22"/>
      <c r="AB780" s="22"/>
      <c r="AC780" s="22"/>
      <c r="AD780" s="22"/>
      <c r="AE780" s="22"/>
      <c r="AF780" s="22"/>
      <c r="AG780" s="22"/>
      <c r="AH780" s="22"/>
      <c r="AI780" s="22"/>
      <c r="AJ780" s="40"/>
      <c r="AK780" s="22"/>
      <c r="AL780" s="22"/>
      <c r="AM780" s="22"/>
      <c r="AN780" s="22"/>
      <c r="AO780" s="40"/>
      <c r="AP780" s="40"/>
      <c r="AQ780" s="40"/>
      <c r="AR780" s="1"/>
      <c r="AS780" s="1"/>
      <c r="AT780" s="17"/>
      <c r="AU780" s="1"/>
      <c r="AV780" s="1"/>
      <c r="AW780" s="1"/>
      <c r="AX780" s="2"/>
      <c r="AY780" s="2"/>
      <c r="AZ780" s="1"/>
    </row>
    <row x14ac:dyDescent="0.25" r="781" customHeight="1" ht="18.75">
      <c r="A781" s="1"/>
      <c r="B781" s="1"/>
      <c r="C781" s="1"/>
      <c r="D781" s="1"/>
      <c r="E781" s="1"/>
      <c r="F781" s="1"/>
      <c r="G781" s="1"/>
      <c r="H781" s="1"/>
      <c r="I781" s="1"/>
      <c r="J781" s="1"/>
      <c r="K781" s="17"/>
      <c r="L781" s="1"/>
      <c r="M781" s="1"/>
      <c r="N781" s="2"/>
      <c r="O781" s="2"/>
      <c r="P781" s="1"/>
      <c r="Q781" s="1"/>
      <c r="R781" s="1"/>
      <c r="S781" s="1"/>
      <c r="T781" s="40"/>
      <c r="U781" s="40"/>
      <c r="V781" s="40"/>
      <c r="W781" s="40"/>
      <c r="X781" s="22"/>
      <c r="Y781" s="22"/>
      <c r="Z781" s="22"/>
      <c r="AA781" s="22"/>
      <c r="AB781" s="22"/>
      <c r="AC781" s="22"/>
      <c r="AD781" s="22"/>
      <c r="AE781" s="22"/>
      <c r="AF781" s="22"/>
      <c r="AG781" s="22"/>
      <c r="AH781" s="22"/>
      <c r="AI781" s="22"/>
      <c r="AJ781" s="40"/>
      <c r="AK781" s="22"/>
      <c r="AL781" s="22"/>
      <c r="AM781" s="22"/>
      <c r="AN781" s="22"/>
      <c r="AO781" s="40"/>
      <c r="AP781" s="40"/>
      <c r="AQ781" s="40"/>
      <c r="AR781" s="1"/>
      <c r="AS781" s="1"/>
      <c r="AT781" s="17"/>
      <c r="AU781" s="1"/>
      <c r="AV781" s="1"/>
      <c r="AW781" s="1"/>
      <c r="AX781" s="2"/>
      <c r="AY781" s="2"/>
      <c r="AZ781" s="1"/>
    </row>
    <row x14ac:dyDescent="0.25" r="782" customHeight="1" ht="18.75">
      <c r="A782" s="1"/>
      <c r="B782" s="1"/>
      <c r="C782" s="1"/>
      <c r="D782" s="1"/>
      <c r="E782" s="1"/>
      <c r="F782" s="1"/>
      <c r="G782" s="1"/>
      <c r="H782" s="1"/>
      <c r="I782" s="1"/>
      <c r="J782" s="1"/>
      <c r="K782" s="17"/>
      <c r="L782" s="1"/>
      <c r="M782" s="1"/>
      <c r="N782" s="2"/>
      <c r="O782" s="2"/>
      <c r="P782" s="1"/>
      <c r="Q782" s="1"/>
      <c r="R782" s="1"/>
      <c r="S782" s="1"/>
      <c r="T782" s="40"/>
      <c r="U782" s="40"/>
      <c r="V782" s="40"/>
      <c r="W782" s="40"/>
      <c r="X782" s="22"/>
      <c r="Y782" s="22"/>
      <c r="Z782" s="22"/>
      <c r="AA782" s="22"/>
      <c r="AB782" s="22"/>
      <c r="AC782" s="22"/>
      <c r="AD782" s="22"/>
      <c r="AE782" s="22"/>
      <c r="AF782" s="22"/>
      <c r="AG782" s="22"/>
      <c r="AH782" s="22"/>
      <c r="AI782" s="22"/>
      <c r="AJ782" s="40"/>
      <c r="AK782" s="22"/>
      <c r="AL782" s="22"/>
      <c r="AM782" s="22"/>
      <c r="AN782" s="22"/>
      <c r="AO782" s="40"/>
      <c r="AP782" s="40"/>
      <c r="AQ782" s="40"/>
      <c r="AR782" s="1"/>
      <c r="AS782" s="1"/>
      <c r="AT782" s="17"/>
      <c r="AU782" s="1"/>
      <c r="AV782" s="1"/>
      <c r="AW782" s="1"/>
      <c r="AX782" s="2"/>
      <c r="AY782" s="2"/>
      <c r="AZ782" s="1"/>
    </row>
    <row x14ac:dyDescent="0.25" r="783" customHeight="1" ht="18.75">
      <c r="A783" s="1"/>
      <c r="B783" s="1"/>
      <c r="C783" s="1"/>
      <c r="D783" s="1"/>
      <c r="E783" s="1"/>
      <c r="F783" s="1"/>
      <c r="G783" s="1"/>
      <c r="H783" s="1"/>
      <c r="I783" s="1"/>
      <c r="J783" s="1"/>
      <c r="K783" s="17"/>
      <c r="L783" s="1"/>
      <c r="M783" s="1"/>
      <c r="N783" s="2"/>
      <c r="O783" s="2"/>
      <c r="P783" s="1"/>
      <c r="Q783" s="1"/>
      <c r="R783" s="1"/>
      <c r="S783" s="1"/>
      <c r="T783" s="40"/>
      <c r="U783" s="40"/>
      <c r="V783" s="40"/>
      <c r="W783" s="40"/>
      <c r="X783" s="22"/>
      <c r="Y783" s="22"/>
      <c r="Z783" s="22"/>
      <c r="AA783" s="22"/>
      <c r="AB783" s="22"/>
      <c r="AC783" s="22"/>
      <c r="AD783" s="22"/>
      <c r="AE783" s="22"/>
      <c r="AF783" s="22"/>
      <c r="AG783" s="22"/>
      <c r="AH783" s="22"/>
      <c r="AI783" s="22"/>
      <c r="AJ783" s="40"/>
      <c r="AK783" s="22"/>
      <c r="AL783" s="22"/>
      <c r="AM783" s="22"/>
      <c r="AN783" s="22"/>
      <c r="AO783" s="40"/>
      <c r="AP783" s="40"/>
      <c r="AQ783" s="40"/>
      <c r="AR783" s="1"/>
      <c r="AS783" s="1"/>
      <c r="AT783" s="17"/>
      <c r="AU783" s="1"/>
      <c r="AV783" s="1"/>
      <c r="AW783" s="1"/>
      <c r="AX783" s="2"/>
      <c r="AY783" s="2"/>
      <c r="AZ783" s="1"/>
    </row>
    <row x14ac:dyDescent="0.25" r="784" customHeight="1" ht="18.75">
      <c r="A784" s="1"/>
      <c r="B784" s="1"/>
      <c r="C784" s="1"/>
      <c r="D784" s="1"/>
      <c r="E784" s="1"/>
      <c r="F784" s="1"/>
      <c r="G784" s="1"/>
      <c r="H784" s="1"/>
      <c r="I784" s="1"/>
      <c r="J784" s="1"/>
      <c r="K784" s="17"/>
      <c r="L784" s="1"/>
      <c r="M784" s="1"/>
      <c r="N784" s="2"/>
      <c r="O784" s="2"/>
      <c r="P784" s="1"/>
      <c r="Q784" s="1"/>
      <c r="R784" s="1"/>
      <c r="S784" s="1"/>
      <c r="T784" s="40"/>
      <c r="U784" s="40"/>
      <c r="V784" s="40"/>
      <c r="W784" s="40"/>
      <c r="X784" s="22"/>
      <c r="Y784" s="22"/>
      <c r="Z784" s="22"/>
      <c r="AA784" s="22"/>
      <c r="AB784" s="22"/>
      <c r="AC784" s="22"/>
      <c r="AD784" s="22"/>
      <c r="AE784" s="22"/>
      <c r="AF784" s="22"/>
      <c r="AG784" s="22"/>
      <c r="AH784" s="22"/>
      <c r="AI784" s="22"/>
      <c r="AJ784" s="40"/>
      <c r="AK784" s="22"/>
      <c r="AL784" s="22"/>
      <c r="AM784" s="22"/>
      <c r="AN784" s="22"/>
      <c r="AO784" s="40"/>
      <c r="AP784" s="40"/>
      <c r="AQ784" s="40"/>
      <c r="AR784" s="1"/>
      <c r="AS784" s="1"/>
      <c r="AT784" s="17"/>
      <c r="AU784" s="1"/>
      <c r="AV784" s="1"/>
      <c r="AW784" s="1"/>
      <c r="AX784" s="2"/>
      <c r="AY784" s="2"/>
      <c r="AZ784" s="1"/>
    </row>
    <row x14ac:dyDescent="0.25" r="785" customHeight="1" ht="18.75">
      <c r="A785" s="1"/>
      <c r="B785" s="1"/>
      <c r="C785" s="1"/>
      <c r="D785" s="1"/>
      <c r="E785" s="1"/>
      <c r="F785" s="1"/>
      <c r="G785" s="1"/>
      <c r="H785" s="1"/>
      <c r="I785" s="1"/>
      <c r="J785" s="1"/>
      <c r="K785" s="17"/>
      <c r="L785" s="1"/>
      <c r="M785" s="1"/>
      <c r="N785" s="2"/>
      <c r="O785" s="2"/>
      <c r="P785" s="1"/>
      <c r="Q785" s="1"/>
      <c r="R785" s="1"/>
      <c r="S785" s="1"/>
      <c r="T785" s="40"/>
      <c r="U785" s="40"/>
      <c r="V785" s="40"/>
      <c r="W785" s="40"/>
      <c r="X785" s="22"/>
      <c r="Y785" s="22"/>
      <c r="Z785" s="22"/>
      <c r="AA785" s="22"/>
      <c r="AB785" s="22"/>
      <c r="AC785" s="22"/>
      <c r="AD785" s="22"/>
      <c r="AE785" s="22"/>
      <c r="AF785" s="22"/>
      <c r="AG785" s="22"/>
      <c r="AH785" s="22"/>
      <c r="AI785" s="22"/>
      <c r="AJ785" s="40"/>
      <c r="AK785" s="22"/>
      <c r="AL785" s="22"/>
      <c r="AM785" s="22"/>
      <c r="AN785" s="22"/>
      <c r="AO785" s="40"/>
      <c r="AP785" s="40"/>
      <c r="AQ785" s="40"/>
      <c r="AR785" s="1"/>
      <c r="AS785" s="1"/>
      <c r="AT785" s="17"/>
      <c r="AU785" s="1"/>
      <c r="AV785" s="1"/>
      <c r="AW785" s="1"/>
      <c r="AX785" s="2"/>
      <c r="AY785" s="2"/>
      <c r="AZ785" s="1"/>
    </row>
    <row x14ac:dyDescent="0.25" r="786" customHeight="1" ht="18.75">
      <c r="A786" s="1"/>
      <c r="B786" s="1"/>
      <c r="C786" s="1"/>
      <c r="D786" s="1"/>
      <c r="E786" s="1"/>
      <c r="F786" s="1"/>
      <c r="G786" s="1"/>
      <c r="H786" s="1"/>
      <c r="I786" s="1"/>
      <c r="J786" s="1"/>
      <c r="K786" s="17"/>
      <c r="L786" s="1"/>
      <c r="M786" s="1"/>
      <c r="N786" s="2"/>
      <c r="O786" s="2"/>
      <c r="P786" s="1"/>
      <c r="Q786" s="1"/>
      <c r="R786" s="1"/>
      <c r="S786" s="1"/>
      <c r="T786" s="40"/>
      <c r="U786" s="40"/>
      <c r="V786" s="40"/>
      <c r="W786" s="40"/>
      <c r="X786" s="22"/>
      <c r="Y786" s="22"/>
      <c r="Z786" s="22"/>
      <c r="AA786" s="22"/>
      <c r="AB786" s="22"/>
      <c r="AC786" s="22"/>
      <c r="AD786" s="22"/>
      <c r="AE786" s="22"/>
      <c r="AF786" s="22"/>
      <c r="AG786" s="22"/>
      <c r="AH786" s="22"/>
      <c r="AI786" s="22"/>
      <c r="AJ786" s="40"/>
      <c r="AK786" s="22"/>
      <c r="AL786" s="22"/>
      <c r="AM786" s="22"/>
      <c r="AN786" s="22"/>
      <c r="AO786" s="40"/>
      <c r="AP786" s="40"/>
      <c r="AQ786" s="40"/>
      <c r="AR786" s="1"/>
      <c r="AS786" s="1"/>
      <c r="AT786" s="17"/>
      <c r="AU786" s="1"/>
      <c r="AV786" s="1"/>
      <c r="AW786" s="1"/>
      <c r="AX786" s="2"/>
      <c r="AY786" s="2"/>
      <c r="AZ786" s="1"/>
    </row>
    <row x14ac:dyDescent="0.25" r="787" customHeight="1" ht="18.75">
      <c r="A787" s="1"/>
      <c r="B787" s="1"/>
      <c r="C787" s="1"/>
      <c r="D787" s="1"/>
      <c r="E787" s="1"/>
      <c r="F787" s="1"/>
      <c r="G787" s="1"/>
      <c r="H787" s="1"/>
      <c r="I787" s="1"/>
      <c r="J787" s="1"/>
      <c r="K787" s="17"/>
      <c r="L787" s="1"/>
      <c r="M787" s="1"/>
      <c r="N787" s="2"/>
      <c r="O787" s="2"/>
      <c r="P787" s="1"/>
      <c r="Q787" s="1"/>
      <c r="R787" s="1"/>
      <c r="S787" s="1"/>
      <c r="T787" s="40"/>
      <c r="U787" s="40"/>
      <c r="V787" s="40"/>
      <c r="W787" s="40"/>
      <c r="X787" s="22"/>
      <c r="Y787" s="22"/>
      <c r="Z787" s="22"/>
      <c r="AA787" s="22"/>
      <c r="AB787" s="22"/>
      <c r="AC787" s="22"/>
      <c r="AD787" s="22"/>
      <c r="AE787" s="22"/>
      <c r="AF787" s="22"/>
      <c r="AG787" s="22"/>
      <c r="AH787" s="22"/>
      <c r="AI787" s="22"/>
      <c r="AJ787" s="40"/>
      <c r="AK787" s="22"/>
      <c r="AL787" s="22"/>
      <c r="AM787" s="22"/>
      <c r="AN787" s="22"/>
      <c r="AO787" s="40"/>
      <c r="AP787" s="40"/>
      <c r="AQ787" s="40"/>
      <c r="AR787" s="1"/>
      <c r="AS787" s="1"/>
      <c r="AT787" s="17"/>
      <c r="AU787" s="1"/>
      <c r="AV787" s="1"/>
      <c r="AW787" s="1"/>
      <c r="AX787" s="2"/>
      <c r="AY787" s="2"/>
      <c r="AZ787" s="1"/>
    </row>
    <row x14ac:dyDescent="0.25" r="788" customHeight="1" ht="18.75">
      <c r="A788" s="1"/>
      <c r="B788" s="1"/>
      <c r="C788" s="1"/>
      <c r="D788" s="1"/>
      <c r="E788" s="1"/>
      <c r="F788" s="1"/>
      <c r="G788" s="1"/>
      <c r="H788" s="1"/>
      <c r="I788" s="1"/>
      <c r="J788" s="1"/>
      <c r="K788" s="17"/>
      <c r="L788" s="1"/>
      <c r="M788" s="1"/>
      <c r="N788" s="2"/>
      <c r="O788" s="2"/>
      <c r="P788" s="1"/>
      <c r="Q788" s="1"/>
      <c r="R788" s="1"/>
      <c r="S788" s="1"/>
      <c r="T788" s="40"/>
      <c r="U788" s="40"/>
      <c r="V788" s="40"/>
      <c r="W788" s="40"/>
      <c r="X788" s="22"/>
      <c r="Y788" s="22"/>
      <c r="Z788" s="22"/>
      <c r="AA788" s="22"/>
      <c r="AB788" s="22"/>
      <c r="AC788" s="22"/>
      <c r="AD788" s="22"/>
      <c r="AE788" s="22"/>
      <c r="AF788" s="22"/>
      <c r="AG788" s="22"/>
      <c r="AH788" s="22"/>
      <c r="AI788" s="22"/>
      <c r="AJ788" s="40"/>
      <c r="AK788" s="22"/>
      <c r="AL788" s="22"/>
      <c r="AM788" s="22"/>
      <c r="AN788" s="22"/>
      <c r="AO788" s="40"/>
      <c r="AP788" s="40"/>
      <c r="AQ788" s="40"/>
      <c r="AR788" s="1"/>
      <c r="AS788" s="1"/>
      <c r="AT788" s="17"/>
      <c r="AU788" s="1"/>
      <c r="AV788" s="1"/>
      <c r="AW788" s="1"/>
      <c r="AX788" s="2"/>
      <c r="AY788" s="2"/>
      <c r="AZ788" s="1"/>
    </row>
    <row x14ac:dyDescent="0.25" r="789" customHeight="1" ht="18.75">
      <c r="A789" s="1"/>
      <c r="B789" s="1"/>
      <c r="C789" s="1"/>
      <c r="D789" s="1"/>
      <c r="E789" s="1"/>
      <c r="F789" s="1"/>
      <c r="G789" s="1"/>
      <c r="H789" s="1"/>
      <c r="I789" s="1"/>
      <c r="J789" s="1"/>
      <c r="K789" s="17"/>
      <c r="L789" s="1"/>
      <c r="M789" s="1"/>
      <c r="N789" s="2"/>
      <c r="O789" s="2"/>
      <c r="P789" s="1"/>
      <c r="Q789" s="1"/>
      <c r="R789" s="1"/>
      <c r="S789" s="1"/>
      <c r="T789" s="40"/>
      <c r="U789" s="40"/>
      <c r="V789" s="40"/>
      <c r="W789" s="40"/>
      <c r="X789" s="22"/>
      <c r="Y789" s="22"/>
      <c r="Z789" s="22"/>
      <c r="AA789" s="22"/>
      <c r="AB789" s="22"/>
      <c r="AC789" s="22"/>
      <c r="AD789" s="22"/>
      <c r="AE789" s="22"/>
      <c r="AF789" s="22"/>
      <c r="AG789" s="22"/>
      <c r="AH789" s="22"/>
      <c r="AI789" s="22"/>
      <c r="AJ789" s="40"/>
      <c r="AK789" s="22"/>
      <c r="AL789" s="22"/>
      <c r="AM789" s="22"/>
      <c r="AN789" s="22"/>
      <c r="AO789" s="40"/>
      <c r="AP789" s="40"/>
      <c r="AQ789" s="40"/>
      <c r="AR789" s="1"/>
      <c r="AS789" s="1"/>
      <c r="AT789" s="17"/>
      <c r="AU789" s="1"/>
      <c r="AV789" s="1"/>
      <c r="AW789" s="1"/>
      <c r="AX789" s="2"/>
      <c r="AY789" s="2"/>
      <c r="AZ789" s="1"/>
    </row>
    <row x14ac:dyDescent="0.25" r="790" customHeight="1" ht="18.75">
      <c r="A790" s="1"/>
      <c r="B790" s="1"/>
      <c r="C790" s="1"/>
      <c r="D790" s="1"/>
      <c r="E790" s="1"/>
      <c r="F790" s="1"/>
      <c r="G790" s="1"/>
      <c r="H790" s="1"/>
      <c r="I790" s="1"/>
      <c r="J790" s="1"/>
      <c r="K790" s="17"/>
      <c r="L790" s="1"/>
      <c r="M790" s="1"/>
      <c r="N790" s="2"/>
      <c r="O790" s="2"/>
      <c r="P790" s="1"/>
      <c r="Q790" s="1"/>
      <c r="R790" s="1"/>
      <c r="S790" s="1"/>
      <c r="T790" s="40"/>
      <c r="U790" s="40"/>
      <c r="V790" s="40"/>
      <c r="W790" s="40"/>
      <c r="X790" s="22"/>
      <c r="Y790" s="22"/>
      <c r="Z790" s="22"/>
      <c r="AA790" s="22"/>
      <c r="AB790" s="22"/>
      <c r="AC790" s="22"/>
      <c r="AD790" s="22"/>
      <c r="AE790" s="22"/>
      <c r="AF790" s="22"/>
      <c r="AG790" s="22"/>
      <c r="AH790" s="22"/>
      <c r="AI790" s="22"/>
      <c r="AJ790" s="40"/>
      <c r="AK790" s="22"/>
      <c r="AL790" s="22"/>
      <c r="AM790" s="22"/>
      <c r="AN790" s="22"/>
      <c r="AO790" s="40"/>
      <c r="AP790" s="40"/>
      <c r="AQ790" s="40"/>
      <c r="AR790" s="1"/>
      <c r="AS790" s="1"/>
      <c r="AT790" s="17"/>
      <c r="AU790" s="1"/>
      <c r="AV790" s="1"/>
      <c r="AW790" s="1"/>
      <c r="AX790" s="2"/>
      <c r="AY790" s="2"/>
      <c r="AZ790" s="1"/>
    </row>
    <row x14ac:dyDescent="0.25" r="791" customHeight="1" ht="18.75">
      <c r="A791" s="1"/>
      <c r="B791" s="1"/>
      <c r="C791" s="1"/>
      <c r="D791" s="1"/>
      <c r="E791" s="1"/>
      <c r="F791" s="1"/>
      <c r="G791" s="1"/>
      <c r="H791" s="1"/>
      <c r="I791" s="1"/>
      <c r="J791" s="1"/>
      <c r="K791" s="17"/>
      <c r="L791" s="1"/>
      <c r="M791" s="1"/>
      <c r="N791" s="2"/>
      <c r="O791" s="2"/>
      <c r="P791" s="1"/>
      <c r="Q791" s="1"/>
      <c r="R791" s="1"/>
      <c r="S791" s="1"/>
      <c r="T791" s="40"/>
      <c r="U791" s="40"/>
      <c r="V791" s="40"/>
      <c r="W791" s="40"/>
      <c r="X791" s="22"/>
      <c r="Y791" s="22"/>
      <c r="Z791" s="22"/>
      <c r="AA791" s="22"/>
      <c r="AB791" s="22"/>
      <c r="AC791" s="22"/>
      <c r="AD791" s="22"/>
      <c r="AE791" s="22"/>
      <c r="AF791" s="22"/>
      <c r="AG791" s="22"/>
      <c r="AH791" s="22"/>
      <c r="AI791" s="22"/>
      <c r="AJ791" s="40"/>
      <c r="AK791" s="22"/>
      <c r="AL791" s="22"/>
      <c r="AM791" s="22"/>
      <c r="AN791" s="22"/>
      <c r="AO791" s="40"/>
      <c r="AP791" s="40"/>
      <c r="AQ791" s="40"/>
      <c r="AR791" s="1"/>
      <c r="AS791" s="1"/>
      <c r="AT791" s="17"/>
      <c r="AU791" s="1"/>
      <c r="AV791" s="1"/>
      <c r="AW791" s="1"/>
      <c r="AX791" s="2"/>
      <c r="AY791" s="2"/>
      <c r="AZ791" s="1"/>
    </row>
    <row x14ac:dyDescent="0.25" r="792" customHeight="1" ht="18.75">
      <c r="A792" s="1"/>
      <c r="B792" s="1"/>
      <c r="C792" s="1"/>
      <c r="D792" s="1"/>
      <c r="E792" s="1"/>
      <c r="F792" s="1"/>
      <c r="G792" s="1"/>
      <c r="H792" s="1"/>
      <c r="I792" s="1"/>
      <c r="J792" s="1"/>
      <c r="K792" s="17"/>
      <c r="L792" s="1"/>
      <c r="M792" s="1"/>
      <c r="N792" s="2"/>
      <c r="O792" s="2"/>
      <c r="P792" s="1"/>
      <c r="Q792" s="1"/>
      <c r="R792" s="1"/>
      <c r="S792" s="1"/>
      <c r="T792" s="40"/>
      <c r="U792" s="40"/>
      <c r="V792" s="40"/>
      <c r="W792" s="40"/>
      <c r="X792" s="22"/>
      <c r="Y792" s="22"/>
      <c r="Z792" s="22"/>
      <c r="AA792" s="22"/>
      <c r="AB792" s="22"/>
      <c r="AC792" s="22"/>
      <c r="AD792" s="22"/>
      <c r="AE792" s="22"/>
      <c r="AF792" s="22"/>
      <c r="AG792" s="22"/>
      <c r="AH792" s="22"/>
      <c r="AI792" s="22"/>
      <c r="AJ792" s="40"/>
      <c r="AK792" s="22"/>
      <c r="AL792" s="22"/>
      <c r="AM792" s="22"/>
      <c r="AN792" s="22"/>
      <c r="AO792" s="40"/>
      <c r="AP792" s="40"/>
      <c r="AQ792" s="40"/>
      <c r="AR792" s="1"/>
      <c r="AS792" s="1"/>
      <c r="AT792" s="17"/>
      <c r="AU792" s="1"/>
      <c r="AV792" s="1"/>
      <c r="AW792" s="1"/>
      <c r="AX792" s="2"/>
      <c r="AY792" s="2"/>
      <c r="AZ792" s="1"/>
    </row>
    <row x14ac:dyDescent="0.25" r="793" customHeight="1" ht="18.75">
      <c r="A793" s="1"/>
      <c r="B793" s="1"/>
      <c r="C793" s="1"/>
      <c r="D793" s="1"/>
      <c r="E793" s="1"/>
      <c r="F793" s="1"/>
      <c r="G793" s="1"/>
      <c r="H793" s="1"/>
      <c r="I793" s="1"/>
      <c r="J793" s="1"/>
      <c r="K793" s="17"/>
      <c r="L793" s="1"/>
      <c r="M793" s="1"/>
      <c r="N793" s="2"/>
      <c r="O793" s="2"/>
      <c r="P793" s="1"/>
      <c r="Q793" s="1"/>
      <c r="R793" s="1"/>
      <c r="S793" s="1"/>
      <c r="T793" s="40"/>
      <c r="U793" s="40"/>
      <c r="V793" s="40"/>
      <c r="W793" s="40"/>
      <c r="X793" s="22"/>
      <c r="Y793" s="22"/>
      <c r="Z793" s="22"/>
      <c r="AA793" s="22"/>
      <c r="AB793" s="22"/>
      <c r="AC793" s="22"/>
      <c r="AD793" s="22"/>
      <c r="AE793" s="22"/>
      <c r="AF793" s="22"/>
      <c r="AG793" s="22"/>
      <c r="AH793" s="22"/>
      <c r="AI793" s="22"/>
      <c r="AJ793" s="40"/>
      <c r="AK793" s="22"/>
      <c r="AL793" s="22"/>
      <c r="AM793" s="22"/>
      <c r="AN793" s="22"/>
      <c r="AO793" s="40"/>
      <c r="AP793" s="40"/>
      <c r="AQ793" s="40"/>
      <c r="AR793" s="1"/>
      <c r="AS793" s="1"/>
      <c r="AT793" s="17"/>
      <c r="AU793" s="1"/>
      <c r="AV793" s="1"/>
      <c r="AW793" s="1"/>
      <c r="AX793" s="2"/>
      <c r="AY793" s="2"/>
      <c r="AZ793" s="1"/>
    </row>
    <row x14ac:dyDescent="0.25" r="794" customHeight="1" ht="18.75">
      <c r="A794" s="1"/>
      <c r="B794" s="1"/>
      <c r="C794" s="1"/>
      <c r="D794" s="1"/>
      <c r="E794" s="1"/>
      <c r="F794" s="1"/>
      <c r="G794" s="1"/>
      <c r="H794" s="1"/>
      <c r="I794" s="1"/>
      <c r="J794" s="1"/>
      <c r="K794" s="17"/>
      <c r="L794" s="1"/>
      <c r="M794" s="1"/>
      <c r="N794" s="2"/>
      <c r="O794" s="2"/>
      <c r="P794" s="1"/>
      <c r="Q794" s="1"/>
      <c r="R794" s="1"/>
      <c r="S794" s="1"/>
      <c r="T794" s="40"/>
      <c r="U794" s="40"/>
      <c r="V794" s="40"/>
      <c r="W794" s="40"/>
      <c r="X794" s="22"/>
      <c r="Y794" s="22"/>
      <c r="Z794" s="22"/>
      <c r="AA794" s="22"/>
      <c r="AB794" s="22"/>
      <c r="AC794" s="22"/>
      <c r="AD794" s="22"/>
      <c r="AE794" s="22"/>
      <c r="AF794" s="22"/>
      <c r="AG794" s="22"/>
      <c r="AH794" s="22"/>
      <c r="AI794" s="22"/>
      <c r="AJ794" s="40"/>
      <c r="AK794" s="22"/>
      <c r="AL794" s="22"/>
      <c r="AM794" s="22"/>
      <c r="AN794" s="22"/>
      <c r="AO794" s="40"/>
      <c r="AP794" s="40"/>
      <c r="AQ794" s="40"/>
      <c r="AR794" s="1"/>
      <c r="AS794" s="1"/>
      <c r="AT794" s="17"/>
      <c r="AU794" s="1"/>
      <c r="AV794" s="1"/>
      <c r="AW794" s="1"/>
      <c r="AX794" s="2"/>
      <c r="AY794" s="2"/>
      <c r="AZ794" s="1"/>
    </row>
    <row x14ac:dyDescent="0.25" r="795" customHeight="1" ht="18.75">
      <c r="A795" s="1"/>
      <c r="B795" s="1"/>
      <c r="C795" s="1"/>
      <c r="D795" s="1"/>
      <c r="E795" s="1"/>
      <c r="F795" s="1"/>
      <c r="G795" s="1"/>
      <c r="H795" s="1"/>
      <c r="I795" s="1"/>
      <c r="J795" s="1"/>
      <c r="K795" s="17"/>
      <c r="L795" s="1"/>
      <c r="M795" s="1"/>
      <c r="N795" s="2"/>
      <c r="O795" s="2"/>
      <c r="P795" s="1"/>
      <c r="Q795" s="1"/>
      <c r="R795" s="1"/>
      <c r="S795" s="1"/>
      <c r="T795" s="40"/>
      <c r="U795" s="40"/>
      <c r="V795" s="40"/>
      <c r="W795" s="40"/>
      <c r="X795" s="22"/>
      <c r="Y795" s="22"/>
      <c r="Z795" s="22"/>
      <c r="AA795" s="22"/>
      <c r="AB795" s="22"/>
      <c r="AC795" s="22"/>
      <c r="AD795" s="22"/>
      <c r="AE795" s="22"/>
      <c r="AF795" s="22"/>
      <c r="AG795" s="22"/>
      <c r="AH795" s="22"/>
      <c r="AI795" s="22"/>
      <c r="AJ795" s="40"/>
      <c r="AK795" s="22"/>
      <c r="AL795" s="22"/>
      <c r="AM795" s="22"/>
      <c r="AN795" s="22"/>
      <c r="AO795" s="40"/>
      <c r="AP795" s="40"/>
      <c r="AQ795" s="40"/>
      <c r="AR795" s="1"/>
      <c r="AS795" s="1"/>
      <c r="AT795" s="17"/>
      <c r="AU795" s="1"/>
      <c r="AV795" s="1"/>
      <c r="AW795" s="1"/>
      <c r="AX795" s="2"/>
      <c r="AY795" s="2"/>
      <c r="AZ795" s="1"/>
    </row>
    <row x14ac:dyDescent="0.25" r="796" customHeight="1" ht="18.75">
      <c r="A796" s="1"/>
      <c r="B796" s="1"/>
      <c r="C796" s="1"/>
      <c r="D796" s="1"/>
      <c r="E796" s="1"/>
      <c r="F796" s="1"/>
      <c r="G796" s="1"/>
      <c r="H796" s="1"/>
      <c r="I796" s="1"/>
      <c r="J796" s="1"/>
      <c r="K796" s="17"/>
      <c r="L796" s="1"/>
      <c r="M796" s="1"/>
      <c r="N796" s="2"/>
      <c r="O796" s="2"/>
      <c r="P796" s="1"/>
      <c r="Q796" s="1"/>
      <c r="R796" s="1"/>
      <c r="S796" s="1"/>
      <c r="T796" s="40"/>
      <c r="U796" s="40"/>
      <c r="V796" s="40"/>
      <c r="W796" s="40"/>
      <c r="X796" s="22"/>
      <c r="Y796" s="22"/>
      <c r="Z796" s="22"/>
      <c r="AA796" s="22"/>
      <c r="AB796" s="22"/>
      <c r="AC796" s="22"/>
      <c r="AD796" s="22"/>
      <c r="AE796" s="22"/>
      <c r="AF796" s="22"/>
      <c r="AG796" s="22"/>
      <c r="AH796" s="22"/>
      <c r="AI796" s="22"/>
      <c r="AJ796" s="40"/>
      <c r="AK796" s="22"/>
      <c r="AL796" s="22"/>
      <c r="AM796" s="22"/>
      <c r="AN796" s="22"/>
      <c r="AO796" s="40"/>
      <c r="AP796" s="40"/>
      <c r="AQ796" s="40"/>
      <c r="AR796" s="1"/>
      <c r="AS796" s="1"/>
      <c r="AT796" s="17"/>
      <c r="AU796" s="1"/>
      <c r="AV796" s="1"/>
      <c r="AW796" s="1"/>
      <c r="AX796" s="2"/>
      <c r="AY796" s="2"/>
      <c r="AZ796" s="1"/>
    </row>
    <row x14ac:dyDescent="0.25" r="797" customHeight="1" ht="18.75">
      <c r="A797" s="1"/>
      <c r="B797" s="1"/>
      <c r="C797" s="1"/>
      <c r="D797" s="1"/>
      <c r="E797" s="1"/>
      <c r="F797" s="1"/>
      <c r="G797" s="1"/>
      <c r="H797" s="1"/>
      <c r="I797" s="1"/>
      <c r="J797" s="1"/>
      <c r="K797" s="17"/>
      <c r="L797" s="1"/>
      <c r="M797" s="1"/>
      <c r="N797" s="2"/>
      <c r="O797" s="2"/>
      <c r="P797" s="1"/>
      <c r="Q797" s="1"/>
      <c r="R797" s="1"/>
      <c r="S797" s="1"/>
      <c r="T797" s="40"/>
      <c r="U797" s="40"/>
      <c r="V797" s="40"/>
      <c r="W797" s="40"/>
      <c r="X797" s="22"/>
      <c r="Y797" s="22"/>
      <c r="Z797" s="22"/>
      <c r="AA797" s="22"/>
      <c r="AB797" s="22"/>
      <c r="AC797" s="22"/>
      <c r="AD797" s="22"/>
      <c r="AE797" s="22"/>
      <c r="AF797" s="22"/>
      <c r="AG797" s="22"/>
      <c r="AH797" s="22"/>
      <c r="AI797" s="22"/>
      <c r="AJ797" s="40"/>
      <c r="AK797" s="22"/>
      <c r="AL797" s="22"/>
      <c r="AM797" s="22"/>
      <c r="AN797" s="22"/>
      <c r="AO797" s="40"/>
      <c r="AP797" s="40"/>
      <c r="AQ797" s="40"/>
      <c r="AR797" s="1"/>
      <c r="AS797" s="1"/>
      <c r="AT797" s="17"/>
      <c r="AU797" s="1"/>
      <c r="AV797" s="1"/>
      <c r="AW797" s="1"/>
      <c r="AX797" s="2"/>
      <c r="AY797" s="2"/>
      <c r="AZ797" s="1"/>
    </row>
    <row x14ac:dyDescent="0.25" r="798" customHeight="1" ht="18.75">
      <c r="A798" s="1"/>
      <c r="B798" s="1"/>
      <c r="C798" s="1"/>
      <c r="D798" s="1"/>
      <c r="E798" s="1"/>
      <c r="F798" s="1"/>
      <c r="G798" s="1"/>
      <c r="H798" s="1"/>
      <c r="I798" s="1"/>
      <c r="J798" s="1"/>
      <c r="K798" s="17"/>
      <c r="L798" s="1"/>
      <c r="M798" s="1"/>
      <c r="N798" s="2"/>
      <c r="O798" s="2"/>
      <c r="P798" s="1"/>
      <c r="Q798" s="1"/>
      <c r="R798" s="1"/>
      <c r="S798" s="1"/>
      <c r="T798" s="40"/>
      <c r="U798" s="40"/>
      <c r="V798" s="40"/>
      <c r="W798" s="40"/>
      <c r="X798" s="22"/>
      <c r="Y798" s="22"/>
      <c r="Z798" s="22"/>
      <c r="AA798" s="22"/>
      <c r="AB798" s="22"/>
      <c r="AC798" s="22"/>
      <c r="AD798" s="22"/>
      <c r="AE798" s="22"/>
      <c r="AF798" s="22"/>
      <c r="AG798" s="22"/>
      <c r="AH798" s="22"/>
      <c r="AI798" s="22"/>
      <c r="AJ798" s="40"/>
      <c r="AK798" s="22"/>
      <c r="AL798" s="22"/>
      <c r="AM798" s="22"/>
      <c r="AN798" s="22"/>
      <c r="AO798" s="40"/>
      <c r="AP798" s="40"/>
      <c r="AQ798" s="40"/>
      <c r="AR798" s="1"/>
      <c r="AS798" s="1"/>
      <c r="AT798" s="17"/>
      <c r="AU798" s="1"/>
      <c r="AV798" s="1"/>
      <c r="AW798" s="1"/>
      <c r="AX798" s="2"/>
      <c r="AY798" s="2"/>
      <c r="AZ798" s="1"/>
    </row>
    <row x14ac:dyDescent="0.25" r="799" customHeight="1" ht="18.75">
      <c r="A799" s="1"/>
      <c r="B799" s="1"/>
      <c r="C799" s="1"/>
      <c r="D799" s="1"/>
      <c r="E799" s="1"/>
      <c r="F799" s="1"/>
      <c r="G799" s="1"/>
      <c r="H799" s="1"/>
      <c r="I799" s="1"/>
      <c r="J799" s="1"/>
      <c r="K799" s="17"/>
      <c r="L799" s="1"/>
      <c r="M799" s="1"/>
      <c r="N799" s="2"/>
      <c r="O799" s="2"/>
      <c r="P799" s="1"/>
      <c r="Q799" s="1"/>
      <c r="R799" s="1"/>
      <c r="S799" s="1"/>
      <c r="T799" s="40"/>
      <c r="U799" s="40"/>
      <c r="V799" s="40"/>
      <c r="W799" s="40"/>
      <c r="X799" s="22"/>
      <c r="Y799" s="22"/>
      <c r="Z799" s="22"/>
      <c r="AA799" s="22"/>
      <c r="AB799" s="22"/>
      <c r="AC799" s="22"/>
      <c r="AD799" s="22"/>
      <c r="AE799" s="22"/>
      <c r="AF799" s="22"/>
      <c r="AG799" s="22"/>
      <c r="AH799" s="22"/>
      <c r="AI799" s="22"/>
      <c r="AJ799" s="40"/>
      <c r="AK799" s="22"/>
      <c r="AL799" s="22"/>
      <c r="AM799" s="22"/>
      <c r="AN799" s="22"/>
      <c r="AO799" s="40"/>
      <c r="AP799" s="40"/>
      <c r="AQ799" s="40"/>
      <c r="AR799" s="1"/>
      <c r="AS799" s="1"/>
      <c r="AT799" s="17"/>
      <c r="AU799" s="1"/>
      <c r="AV799" s="1"/>
      <c r="AW799" s="1"/>
      <c r="AX799" s="2"/>
      <c r="AY799" s="2"/>
      <c r="AZ799" s="1"/>
    </row>
    <row x14ac:dyDescent="0.25" r="800" customHeight="1" ht="18.75">
      <c r="A800" s="1"/>
      <c r="B800" s="1"/>
      <c r="C800" s="1"/>
      <c r="D800" s="1"/>
      <c r="E800" s="1"/>
      <c r="F800" s="1"/>
      <c r="G800" s="1"/>
      <c r="H800" s="1"/>
      <c r="I800" s="1"/>
      <c r="J800" s="1"/>
      <c r="K800" s="17"/>
      <c r="L800" s="1"/>
      <c r="M800" s="1"/>
      <c r="N800" s="2"/>
      <c r="O800" s="2"/>
      <c r="P800" s="1"/>
      <c r="Q800" s="1"/>
      <c r="R800" s="1"/>
      <c r="S800" s="1"/>
      <c r="T800" s="40"/>
      <c r="U800" s="40"/>
      <c r="V800" s="40"/>
      <c r="W800" s="40"/>
      <c r="X800" s="22"/>
      <c r="Y800" s="22"/>
      <c r="Z800" s="22"/>
      <c r="AA800" s="22"/>
      <c r="AB800" s="22"/>
      <c r="AC800" s="22"/>
      <c r="AD800" s="22"/>
      <c r="AE800" s="22"/>
      <c r="AF800" s="22"/>
      <c r="AG800" s="22"/>
      <c r="AH800" s="22"/>
      <c r="AI800" s="22"/>
      <c r="AJ800" s="40"/>
      <c r="AK800" s="22"/>
      <c r="AL800" s="22"/>
      <c r="AM800" s="22"/>
      <c r="AN800" s="22"/>
      <c r="AO800" s="40"/>
      <c r="AP800" s="40"/>
      <c r="AQ800" s="40"/>
      <c r="AR800" s="1"/>
      <c r="AS800" s="1"/>
      <c r="AT800" s="17"/>
      <c r="AU800" s="1"/>
      <c r="AV800" s="1"/>
      <c r="AW800" s="1"/>
      <c r="AX800" s="2"/>
      <c r="AY800" s="2"/>
      <c r="AZ800" s="1"/>
    </row>
    <row x14ac:dyDescent="0.25" r="801" customHeight="1" ht="18.75">
      <c r="A801" s="1"/>
      <c r="B801" s="1"/>
      <c r="C801" s="1"/>
      <c r="D801" s="1"/>
      <c r="E801" s="1"/>
      <c r="F801" s="1"/>
      <c r="G801" s="1"/>
      <c r="H801" s="1"/>
      <c r="I801" s="1"/>
      <c r="J801" s="1"/>
      <c r="K801" s="17"/>
      <c r="L801" s="1"/>
      <c r="M801" s="1"/>
      <c r="N801" s="2"/>
      <c r="O801" s="2"/>
      <c r="P801" s="1"/>
      <c r="Q801" s="1"/>
      <c r="R801" s="1"/>
      <c r="S801" s="1"/>
      <c r="T801" s="40"/>
      <c r="U801" s="40"/>
      <c r="V801" s="40"/>
      <c r="W801" s="40"/>
      <c r="X801" s="22"/>
      <c r="Y801" s="22"/>
      <c r="Z801" s="22"/>
      <c r="AA801" s="22"/>
      <c r="AB801" s="22"/>
      <c r="AC801" s="22"/>
      <c r="AD801" s="22"/>
      <c r="AE801" s="22"/>
      <c r="AF801" s="22"/>
      <c r="AG801" s="22"/>
      <c r="AH801" s="22"/>
      <c r="AI801" s="22"/>
      <c r="AJ801" s="40"/>
      <c r="AK801" s="22"/>
      <c r="AL801" s="22"/>
      <c r="AM801" s="22"/>
      <c r="AN801" s="22"/>
      <c r="AO801" s="40"/>
      <c r="AP801" s="40"/>
      <c r="AQ801" s="40"/>
      <c r="AR801" s="1"/>
      <c r="AS801" s="1"/>
      <c r="AT801" s="17"/>
      <c r="AU801" s="1"/>
      <c r="AV801" s="1"/>
      <c r="AW801" s="1"/>
      <c r="AX801" s="2"/>
      <c r="AY801" s="2"/>
      <c r="AZ801" s="1"/>
    </row>
    <row x14ac:dyDescent="0.25" r="802" customHeight="1" ht="18.75">
      <c r="A802" s="1"/>
      <c r="B802" s="1"/>
      <c r="C802" s="1"/>
      <c r="D802" s="1"/>
      <c r="E802" s="1"/>
      <c r="F802" s="1"/>
      <c r="G802" s="1"/>
      <c r="H802" s="1"/>
      <c r="I802" s="1"/>
      <c r="J802" s="1"/>
      <c r="K802" s="17"/>
      <c r="L802" s="1"/>
      <c r="M802" s="1"/>
      <c r="N802" s="2"/>
      <c r="O802" s="2"/>
      <c r="P802" s="1"/>
      <c r="Q802" s="1"/>
      <c r="R802" s="1"/>
      <c r="S802" s="1"/>
      <c r="T802" s="40"/>
      <c r="U802" s="40"/>
      <c r="V802" s="40"/>
      <c r="W802" s="40"/>
      <c r="X802" s="22"/>
      <c r="Y802" s="22"/>
      <c r="Z802" s="22"/>
      <c r="AA802" s="22"/>
      <c r="AB802" s="22"/>
      <c r="AC802" s="22"/>
      <c r="AD802" s="22"/>
      <c r="AE802" s="22"/>
      <c r="AF802" s="22"/>
      <c r="AG802" s="22"/>
      <c r="AH802" s="22"/>
      <c r="AI802" s="22"/>
      <c r="AJ802" s="40"/>
      <c r="AK802" s="22"/>
      <c r="AL802" s="22"/>
      <c r="AM802" s="22"/>
      <c r="AN802" s="22"/>
      <c r="AO802" s="40"/>
      <c r="AP802" s="40"/>
      <c r="AQ802" s="40"/>
      <c r="AR802" s="1"/>
      <c r="AS802" s="1"/>
      <c r="AT802" s="17"/>
      <c r="AU802" s="1"/>
      <c r="AV802" s="1"/>
      <c r="AW802" s="1"/>
      <c r="AX802" s="2"/>
      <c r="AY802" s="2"/>
      <c r="AZ802" s="1"/>
    </row>
    <row x14ac:dyDescent="0.25" r="803" customHeight="1" ht="18.75">
      <c r="A803" s="1"/>
      <c r="B803" s="1"/>
      <c r="C803" s="1"/>
      <c r="D803" s="1"/>
      <c r="E803" s="1"/>
      <c r="F803" s="1"/>
      <c r="G803" s="1"/>
      <c r="H803" s="1"/>
      <c r="I803" s="1"/>
      <c r="J803" s="1"/>
      <c r="K803" s="17"/>
      <c r="L803" s="1"/>
      <c r="M803" s="1"/>
      <c r="N803" s="2"/>
      <c r="O803" s="2"/>
      <c r="P803" s="1"/>
      <c r="Q803" s="1"/>
      <c r="R803" s="1"/>
      <c r="S803" s="1"/>
      <c r="T803" s="40"/>
      <c r="U803" s="40"/>
      <c r="V803" s="40"/>
      <c r="W803" s="40"/>
      <c r="X803" s="22"/>
      <c r="Y803" s="22"/>
      <c r="Z803" s="22"/>
      <c r="AA803" s="22"/>
      <c r="AB803" s="22"/>
      <c r="AC803" s="22"/>
      <c r="AD803" s="22"/>
      <c r="AE803" s="22"/>
      <c r="AF803" s="22"/>
      <c r="AG803" s="22"/>
      <c r="AH803" s="22"/>
      <c r="AI803" s="22"/>
      <c r="AJ803" s="40"/>
      <c r="AK803" s="22"/>
      <c r="AL803" s="22"/>
      <c r="AM803" s="22"/>
      <c r="AN803" s="22"/>
      <c r="AO803" s="40"/>
      <c r="AP803" s="40"/>
      <c r="AQ803" s="40"/>
      <c r="AR803" s="1"/>
      <c r="AS803" s="1"/>
      <c r="AT803" s="17"/>
      <c r="AU803" s="1"/>
      <c r="AV803" s="1"/>
      <c r="AW803" s="1"/>
      <c r="AX803" s="2"/>
      <c r="AY803" s="2"/>
      <c r="AZ803" s="1"/>
    </row>
    <row x14ac:dyDescent="0.25" r="804" customHeight="1" ht="18.75">
      <c r="A804" s="1"/>
      <c r="B804" s="1"/>
      <c r="C804" s="1"/>
      <c r="D804" s="1"/>
      <c r="E804" s="1"/>
      <c r="F804" s="1"/>
      <c r="G804" s="1"/>
      <c r="H804" s="1"/>
      <c r="I804" s="1"/>
      <c r="J804" s="1"/>
      <c r="K804" s="17"/>
      <c r="L804" s="1"/>
      <c r="M804" s="1"/>
      <c r="N804" s="2"/>
      <c r="O804" s="2"/>
      <c r="P804" s="1"/>
      <c r="Q804" s="1"/>
      <c r="R804" s="1"/>
      <c r="S804" s="1"/>
      <c r="T804" s="40"/>
      <c r="U804" s="40"/>
      <c r="V804" s="40"/>
      <c r="W804" s="40"/>
      <c r="X804" s="22"/>
      <c r="Y804" s="22"/>
      <c r="Z804" s="22"/>
      <c r="AA804" s="22"/>
      <c r="AB804" s="22"/>
      <c r="AC804" s="22"/>
      <c r="AD804" s="22"/>
      <c r="AE804" s="22"/>
      <c r="AF804" s="22"/>
      <c r="AG804" s="22"/>
      <c r="AH804" s="22"/>
      <c r="AI804" s="22"/>
      <c r="AJ804" s="40"/>
      <c r="AK804" s="22"/>
      <c r="AL804" s="22"/>
      <c r="AM804" s="22"/>
      <c r="AN804" s="22"/>
      <c r="AO804" s="40"/>
      <c r="AP804" s="40"/>
      <c r="AQ804" s="40"/>
      <c r="AR804" s="1"/>
      <c r="AS804" s="1"/>
      <c r="AT804" s="17"/>
      <c r="AU804" s="1"/>
      <c r="AV804" s="1"/>
      <c r="AW804" s="1"/>
      <c r="AX804" s="2"/>
      <c r="AY804" s="2"/>
      <c r="AZ804" s="1"/>
    </row>
    <row x14ac:dyDescent="0.25" r="805" customHeight="1" ht="18.75">
      <c r="A805" s="1"/>
      <c r="B805" s="1"/>
      <c r="C805" s="1"/>
      <c r="D805" s="1"/>
      <c r="E805" s="1"/>
      <c r="F805" s="1"/>
      <c r="G805" s="1"/>
      <c r="H805" s="1"/>
      <c r="I805" s="1"/>
      <c r="J805" s="1"/>
      <c r="K805" s="17"/>
      <c r="L805" s="1"/>
      <c r="M805" s="1"/>
      <c r="N805" s="2"/>
      <c r="O805" s="2"/>
      <c r="P805" s="1"/>
      <c r="Q805" s="1"/>
      <c r="R805" s="1"/>
      <c r="S805" s="1"/>
      <c r="T805" s="40"/>
      <c r="U805" s="40"/>
      <c r="V805" s="40"/>
      <c r="W805" s="40"/>
      <c r="X805" s="22"/>
      <c r="Y805" s="22"/>
      <c r="Z805" s="22"/>
      <c r="AA805" s="22"/>
      <c r="AB805" s="22"/>
      <c r="AC805" s="22"/>
      <c r="AD805" s="22"/>
      <c r="AE805" s="22"/>
      <c r="AF805" s="22"/>
      <c r="AG805" s="22"/>
      <c r="AH805" s="22"/>
      <c r="AI805" s="22"/>
      <c r="AJ805" s="40"/>
      <c r="AK805" s="22"/>
      <c r="AL805" s="22"/>
      <c r="AM805" s="22"/>
      <c r="AN805" s="22"/>
      <c r="AO805" s="40"/>
      <c r="AP805" s="40"/>
      <c r="AQ805" s="40"/>
      <c r="AR805" s="1"/>
      <c r="AS805" s="1"/>
      <c r="AT805" s="17"/>
      <c r="AU805" s="1"/>
      <c r="AV805" s="1"/>
      <c r="AW805" s="1"/>
      <c r="AX805" s="2"/>
      <c r="AY805" s="2"/>
      <c r="AZ805" s="1"/>
    </row>
    <row x14ac:dyDescent="0.25" r="806" customHeight="1" ht="18.75">
      <c r="A806" s="1"/>
      <c r="B806" s="1"/>
      <c r="C806" s="1"/>
      <c r="D806" s="1"/>
      <c r="E806" s="1"/>
      <c r="F806" s="1"/>
      <c r="G806" s="1"/>
      <c r="H806" s="1"/>
      <c r="I806" s="1"/>
      <c r="J806" s="1"/>
      <c r="K806" s="17"/>
      <c r="L806" s="1"/>
      <c r="M806" s="1"/>
      <c r="N806" s="2"/>
      <c r="O806" s="2"/>
      <c r="P806" s="1"/>
      <c r="Q806" s="1"/>
      <c r="R806" s="1"/>
      <c r="S806" s="1"/>
      <c r="T806" s="40"/>
      <c r="U806" s="40"/>
      <c r="V806" s="40"/>
      <c r="W806" s="40"/>
      <c r="X806" s="22"/>
      <c r="Y806" s="22"/>
      <c r="Z806" s="22"/>
      <c r="AA806" s="22"/>
      <c r="AB806" s="22"/>
      <c r="AC806" s="22"/>
      <c r="AD806" s="22"/>
      <c r="AE806" s="22"/>
      <c r="AF806" s="22"/>
      <c r="AG806" s="22"/>
      <c r="AH806" s="22"/>
      <c r="AI806" s="22"/>
      <c r="AJ806" s="40"/>
      <c r="AK806" s="22"/>
      <c r="AL806" s="22"/>
      <c r="AM806" s="22"/>
      <c r="AN806" s="22"/>
      <c r="AO806" s="40"/>
      <c r="AP806" s="40"/>
      <c r="AQ806" s="40"/>
      <c r="AR806" s="1"/>
      <c r="AS806" s="1"/>
      <c r="AT806" s="17"/>
      <c r="AU806" s="1"/>
      <c r="AV806" s="1"/>
      <c r="AW806" s="1"/>
      <c r="AX806" s="2"/>
      <c r="AY806" s="2"/>
      <c r="AZ806" s="1"/>
    </row>
    <row x14ac:dyDescent="0.25" r="807" customHeight="1" ht="18.75">
      <c r="A807" s="1"/>
      <c r="B807" s="1"/>
      <c r="C807" s="1"/>
      <c r="D807" s="1"/>
      <c r="E807" s="1"/>
      <c r="F807" s="1"/>
      <c r="G807" s="1"/>
      <c r="H807" s="1"/>
      <c r="I807" s="1"/>
      <c r="J807" s="1"/>
      <c r="K807" s="17"/>
      <c r="L807" s="1"/>
      <c r="M807" s="1"/>
      <c r="N807" s="2"/>
      <c r="O807" s="2"/>
      <c r="P807" s="1"/>
      <c r="Q807" s="1"/>
      <c r="R807" s="1"/>
      <c r="S807" s="1"/>
      <c r="T807" s="40"/>
      <c r="U807" s="40"/>
      <c r="V807" s="40"/>
      <c r="W807" s="40"/>
      <c r="X807" s="22"/>
      <c r="Y807" s="22"/>
      <c r="Z807" s="22"/>
      <c r="AA807" s="22"/>
      <c r="AB807" s="22"/>
      <c r="AC807" s="22"/>
      <c r="AD807" s="22"/>
      <c r="AE807" s="22"/>
      <c r="AF807" s="22"/>
      <c r="AG807" s="22"/>
      <c r="AH807" s="22"/>
      <c r="AI807" s="22"/>
      <c r="AJ807" s="40"/>
      <c r="AK807" s="22"/>
      <c r="AL807" s="22"/>
      <c r="AM807" s="22"/>
      <c r="AN807" s="22"/>
      <c r="AO807" s="40"/>
      <c r="AP807" s="40"/>
      <c r="AQ807" s="40"/>
      <c r="AR807" s="1"/>
      <c r="AS807" s="1"/>
      <c r="AT807" s="17"/>
      <c r="AU807" s="1"/>
      <c r="AV807" s="1"/>
      <c r="AW807" s="1"/>
      <c r="AX807" s="2"/>
      <c r="AY807" s="2"/>
      <c r="AZ807" s="1"/>
    </row>
    <row x14ac:dyDescent="0.25" r="808" customHeight="1" ht="18.75">
      <c r="A808" s="1"/>
      <c r="B808" s="1"/>
      <c r="C808" s="1"/>
      <c r="D808" s="1"/>
      <c r="E808" s="1"/>
      <c r="F808" s="1"/>
      <c r="G808" s="1"/>
      <c r="H808" s="1"/>
      <c r="I808" s="1"/>
      <c r="J808" s="1"/>
      <c r="K808" s="17"/>
      <c r="L808" s="1"/>
      <c r="M808" s="1"/>
      <c r="N808" s="2"/>
      <c r="O808" s="2"/>
      <c r="P808" s="1"/>
      <c r="Q808" s="1"/>
      <c r="R808" s="1"/>
      <c r="S808" s="1"/>
      <c r="T808" s="40"/>
      <c r="U808" s="40"/>
      <c r="V808" s="40"/>
      <c r="W808" s="40"/>
      <c r="X808" s="22"/>
      <c r="Y808" s="22"/>
      <c r="Z808" s="22"/>
      <c r="AA808" s="22"/>
      <c r="AB808" s="22"/>
      <c r="AC808" s="22"/>
      <c r="AD808" s="22"/>
      <c r="AE808" s="22"/>
      <c r="AF808" s="22"/>
      <c r="AG808" s="22"/>
      <c r="AH808" s="22"/>
      <c r="AI808" s="22"/>
      <c r="AJ808" s="40"/>
      <c r="AK808" s="22"/>
      <c r="AL808" s="22"/>
      <c r="AM808" s="22"/>
      <c r="AN808" s="22"/>
      <c r="AO808" s="40"/>
      <c r="AP808" s="40"/>
      <c r="AQ808" s="40"/>
      <c r="AR808" s="1"/>
      <c r="AS808" s="1"/>
      <c r="AT808" s="17"/>
      <c r="AU808" s="1"/>
      <c r="AV808" s="1"/>
      <c r="AW808" s="1"/>
      <c r="AX808" s="2"/>
      <c r="AY808" s="2"/>
      <c r="AZ808" s="1"/>
    </row>
    <row x14ac:dyDescent="0.25" r="809" customHeight="1" ht="18.75">
      <c r="A809" s="1"/>
      <c r="B809" s="1"/>
      <c r="C809" s="1"/>
      <c r="D809" s="1"/>
      <c r="E809" s="1"/>
      <c r="F809" s="1"/>
      <c r="G809" s="1"/>
      <c r="H809" s="1"/>
      <c r="I809" s="1"/>
      <c r="J809" s="1"/>
      <c r="K809" s="17"/>
      <c r="L809" s="1"/>
      <c r="M809" s="1"/>
      <c r="N809" s="2"/>
      <c r="O809" s="2"/>
      <c r="P809" s="1"/>
      <c r="Q809" s="1"/>
      <c r="R809" s="1"/>
      <c r="S809" s="1"/>
      <c r="T809" s="40"/>
      <c r="U809" s="40"/>
      <c r="V809" s="40"/>
      <c r="W809" s="40"/>
      <c r="X809" s="22"/>
      <c r="Y809" s="22"/>
      <c r="Z809" s="22"/>
      <c r="AA809" s="22"/>
      <c r="AB809" s="22"/>
      <c r="AC809" s="22"/>
      <c r="AD809" s="22"/>
      <c r="AE809" s="22"/>
      <c r="AF809" s="22"/>
      <c r="AG809" s="22"/>
      <c r="AH809" s="22"/>
      <c r="AI809" s="22"/>
      <c r="AJ809" s="40"/>
      <c r="AK809" s="22"/>
      <c r="AL809" s="22"/>
      <c r="AM809" s="22"/>
      <c r="AN809" s="22"/>
      <c r="AO809" s="40"/>
      <c r="AP809" s="40"/>
      <c r="AQ809" s="40"/>
      <c r="AR809" s="1"/>
      <c r="AS809" s="1"/>
      <c r="AT809" s="17"/>
      <c r="AU809" s="1"/>
      <c r="AV809" s="1"/>
      <c r="AW809" s="1"/>
      <c r="AX809" s="2"/>
      <c r="AY809" s="2"/>
      <c r="AZ809" s="1"/>
    </row>
    <row x14ac:dyDescent="0.25" r="810" customHeight="1" ht="18.75">
      <c r="A810" s="1"/>
      <c r="B810" s="1"/>
      <c r="C810" s="1"/>
      <c r="D810" s="1"/>
      <c r="E810" s="1"/>
      <c r="F810" s="1"/>
      <c r="G810" s="1"/>
      <c r="H810" s="1"/>
      <c r="I810" s="1"/>
      <c r="J810" s="1"/>
      <c r="K810" s="17"/>
      <c r="L810" s="1"/>
      <c r="M810" s="1"/>
      <c r="N810" s="2"/>
      <c r="O810" s="2"/>
      <c r="P810" s="1"/>
      <c r="Q810" s="1"/>
      <c r="R810" s="1"/>
      <c r="S810" s="1"/>
      <c r="T810" s="40"/>
      <c r="U810" s="40"/>
      <c r="V810" s="40"/>
      <c r="W810" s="40"/>
      <c r="X810" s="22"/>
      <c r="Y810" s="22"/>
      <c r="Z810" s="22"/>
      <c r="AA810" s="22"/>
      <c r="AB810" s="22"/>
      <c r="AC810" s="22"/>
      <c r="AD810" s="22"/>
      <c r="AE810" s="22"/>
      <c r="AF810" s="22"/>
      <c r="AG810" s="22"/>
      <c r="AH810" s="22"/>
      <c r="AI810" s="22"/>
      <c r="AJ810" s="40"/>
      <c r="AK810" s="22"/>
      <c r="AL810" s="22"/>
      <c r="AM810" s="22"/>
      <c r="AN810" s="22"/>
      <c r="AO810" s="40"/>
      <c r="AP810" s="40"/>
      <c r="AQ810" s="40"/>
      <c r="AR810" s="1"/>
      <c r="AS810" s="1"/>
      <c r="AT810" s="17"/>
      <c r="AU810" s="1"/>
      <c r="AV810" s="1"/>
      <c r="AW810" s="1"/>
      <c r="AX810" s="2"/>
      <c r="AY810" s="2"/>
      <c r="AZ810" s="1"/>
    </row>
    <row x14ac:dyDescent="0.25" r="811" customHeight="1" ht="18.75">
      <c r="A811" s="1"/>
      <c r="B811" s="1"/>
      <c r="C811" s="1"/>
      <c r="D811" s="1"/>
      <c r="E811" s="1"/>
      <c r="F811" s="1"/>
      <c r="G811" s="1"/>
      <c r="H811" s="1"/>
      <c r="I811" s="1"/>
      <c r="J811" s="1"/>
      <c r="K811" s="17"/>
      <c r="L811" s="1"/>
      <c r="M811" s="1"/>
      <c r="N811" s="2"/>
      <c r="O811" s="2"/>
      <c r="P811" s="1"/>
      <c r="Q811" s="1"/>
      <c r="R811" s="1"/>
      <c r="S811" s="1"/>
      <c r="T811" s="40"/>
      <c r="U811" s="40"/>
      <c r="V811" s="40"/>
      <c r="W811" s="40"/>
      <c r="X811" s="22"/>
      <c r="Y811" s="22"/>
      <c r="Z811" s="22"/>
      <c r="AA811" s="22"/>
      <c r="AB811" s="22"/>
      <c r="AC811" s="22"/>
      <c r="AD811" s="22"/>
      <c r="AE811" s="22"/>
      <c r="AF811" s="22"/>
      <c r="AG811" s="22"/>
      <c r="AH811" s="22"/>
      <c r="AI811" s="22"/>
      <c r="AJ811" s="40"/>
      <c r="AK811" s="22"/>
      <c r="AL811" s="22"/>
      <c r="AM811" s="22"/>
      <c r="AN811" s="22"/>
      <c r="AO811" s="40"/>
      <c r="AP811" s="40"/>
      <c r="AQ811" s="40"/>
      <c r="AR811" s="1"/>
      <c r="AS811" s="1"/>
      <c r="AT811" s="17"/>
      <c r="AU811" s="1"/>
      <c r="AV811" s="1"/>
      <c r="AW811" s="1"/>
      <c r="AX811" s="2"/>
      <c r="AY811" s="2"/>
      <c r="AZ811" s="1"/>
    </row>
    <row x14ac:dyDescent="0.25" r="812" customHeight="1" ht="18.75">
      <c r="A812" s="1"/>
      <c r="B812" s="1"/>
      <c r="C812" s="1"/>
      <c r="D812" s="1"/>
      <c r="E812" s="1"/>
      <c r="F812" s="1"/>
      <c r="G812" s="1"/>
      <c r="H812" s="1"/>
      <c r="I812" s="1"/>
      <c r="J812" s="1"/>
      <c r="K812" s="17"/>
      <c r="L812" s="1"/>
      <c r="M812" s="1"/>
      <c r="N812" s="2"/>
      <c r="O812" s="2"/>
      <c r="P812" s="1"/>
      <c r="Q812" s="1"/>
      <c r="R812" s="1"/>
      <c r="S812" s="1"/>
      <c r="T812" s="40"/>
      <c r="U812" s="40"/>
      <c r="V812" s="40"/>
      <c r="W812" s="40"/>
      <c r="X812" s="22"/>
      <c r="Y812" s="22"/>
      <c r="Z812" s="22"/>
      <c r="AA812" s="22"/>
      <c r="AB812" s="22"/>
      <c r="AC812" s="22"/>
      <c r="AD812" s="22"/>
      <c r="AE812" s="22"/>
      <c r="AF812" s="22"/>
      <c r="AG812" s="22"/>
      <c r="AH812" s="22"/>
      <c r="AI812" s="22"/>
      <c r="AJ812" s="40"/>
      <c r="AK812" s="22"/>
      <c r="AL812" s="22"/>
      <c r="AM812" s="22"/>
      <c r="AN812" s="22"/>
      <c r="AO812" s="40"/>
      <c r="AP812" s="40"/>
      <c r="AQ812" s="40"/>
      <c r="AR812" s="1"/>
      <c r="AS812" s="1"/>
      <c r="AT812" s="17"/>
      <c r="AU812" s="1"/>
      <c r="AV812" s="1"/>
      <c r="AW812" s="1"/>
      <c r="AX812" s="2"/>
      <c r="AY812" s="2"/>
      <c r="AZ812" s="1"/>
    </row>
    <row x14ac:dyDescent="0.25" r="813" customHeight="1" ht="18.75">
      <c r="A813" s="1"/>
      <c r="B813" s="1"/>
      <c r="C813" s="1"/>
      <c r="D813" s="1"/>
      <c r="E813" s="1"/>
      <c r="F813" s="1"/>
      <c r="G813" s="1"/>
      <c r="H813" s="1"/>
      <c r="I813" s="1"/>
      <c r="J813" s="1"/>
      <c r="K813" s="17"/>
      <c r="L813" s="1"/>
      <c r="M813" s="1"/>
      <c r="N813" s="2"/>
      <c r="O813" s="2"/>
      <c r="P813" s="1"/>
      <c r="Q813" s="1"/>
      <c r="R813" s="1"/>
      <c r="S813" s="1"/>
      <c r="T813" s="40"/>
      <c r="U813" s="40"/>
      <c r="V813" s="40"/>
      <c r="W813" s="40"/>
      <c r="X813" s="22"/>
      <c r="Y813" s="22"/>
      <c r="Z813" s="22"/>
      <c r="AA813" s="22"/>
      <c r="AB813" s="22"/>
      <c r="AC813" s="22"/>
      <c r="AD813" s="22"/>
      <c r="AE813" s="22"/>
      <c r="AF813" s="22"/>
      <c r="AG813" s="22"/>
      <c r="AH813" s="22"/>
      <c r="AI813" s="22"/>
      <c r="AJ813" s="40"/>
      <c r="AK813" s="22"/>
      <c r="AL813" s="22"/>
      <c r="AM813" s="22"/>
      <c r="AN813" s="22"/>
      <c r="AO813" s="40"/>
      <c r="AP813" s="40"/>
      <c r="AQ813" s="40"/>
      <c r="AR813" s="1"/>
      <c r="AS813" s="1"/>
      <c r="AT813" s="17"/>
      <c r="AU813" s="1"/>
      <c r="AV813" s="1"/>
      <c r="AW813" s="1"/>
      <c r="AX813" s="2"/>
      <c r="AY813" s="2"/>
      <c r="AZ813" s="1"/>
    </row>
    <row x14ac:dyDescent="0.25" r="814" customHeight="1" ht="18.75">
      <c r="A814" s="1"/>
      <c r="B814" s="1"/>
      <c r="C814" s="1"/>
      <c r="D814" s="1"/>
      <c r="E814" s="1"/>
      <c r="F814" s="1"/>
      <c r="G814" s="1"/>
      <c r="H814" s="1"/>
      <c r="I814" s="1"/>
      <c r="J814" s="1"/>
      <c r="K814" s="17"/>
      <c r="L814" s="1"/>
      <c r="M814" s="1"/>
      <c r="N814" s="2"/>
      <c r="O814" s="2"/>
      <c r="P814" s="1"/>
      <c r="Q814" s="1"/>
      <c r="R814" s="1"/>
      <c r="S814" s="1"/>
      <c r="T814" s="40"/>
      <c r="U814" s="40"/>
      <c r="V814" s="40"/>
      <c r="W814" s="40"/>
      <c r="X814" s="22"/>
      <c r="Y814" s="22"/>
      <c r="Z814" s="22"/>
      <c r="AA814" s="22"/>
      <c r="AB814" s="22"/>
      <c r="AC814" s="22"/>
      <c r="AD814" s="22"/>
      <c r="AE814" s="22"/>
      <c r="AF814" s="22"/>
      <c r="AG814" s="22"/>
      <c r="AH814" s="22"/>
      <c r="AI814" s="22"/>
      <c r="AJ814" s="40"/>
      <c r="AK814" s="22"/>
      <c r="AL814" s="22"/>
      <c r="AM814" s="22"/>
      <c r="AN814" s="22"/>
      <c r="AO814" s="40"/>
      <c r="AP814" s="40"/>
      <c r="AQ814" s="40"/>
      <c r="AR814" s="1"/>
      <c r="AS814" s="1"/>
      <c r="AT814" s="17"/>
      <c r="AU814" s="1"/>
      <c r="AV814" s="1"/>
      <c r="AW814" s="1"/>
      <c r="AX814" s="2"/>
      <c r="AY814" s="2"/>
      <c r="AZ814" s="1"/>
    </row>
    <row x14ac:dyDescent="0.25" r="815" customHeight="1" ht="18.75">
      <c r="A815" s="1"/>
      <c r="B815" s="1"/>
      <c r="C815" s="1"/>
      <c r="D815" s="1"/>
      <c r="E815" s="1"/>
      <c r="F815" s="1"/>
      <c r="G815" s="1"/>
      <c r="H815" s="1"/>
      <c r="I815" s="1"/>
      <c r="J815" s="1"/>
      <c r="K815" s="17"/>
      <c r="L815" s="1"/>
      <c r="M815" s="1"/>
      <c r="N815" s="2"/>
      <c r="O815" s="2"/>
      <c r="P815" s="1"/>
      <c r="Q815" s="1"/>
      <c r="R815" s="1"/>
      <c r="S815" s="1"/>
      <c r="T815" s="40"/>
      <c r="U815" s="40"/>
      <c r="V815" s="40"/>
      <c r="W815" s="40"/>
      <c r="X815" s="22"/>
      <c r="Y815" s="22"/>
      <c r="Z815" s="22"/>
      <c r="AA815" s="22"/>
      <c r="AB815" s="22"/>
      <c r="AC815" s="22"/>
      <c r="AD815" s="22"/>
      <c r="AE815" s="22"/>
      <c r="AF815" s="22"/>
      <c r="AG815" s="22"/>
      <c r="AH815" s="22"/>
      <c r="AI815" s="22"/>
      <c r="AJ815" s="40"/>
      <c r="AK815" s="22"/>
      <c r="AL815" s="22"/>
      <c r="AM815" s="22"/>
      <c r="AN815" s="22"/>
      <c r="AO815" s="40"/>
      <c r="AP815" s="40"/>
      <c r="AQ815" s="40"/>
      <c r="AR815" s="1"/>
      <c r="AS815" s="1"/>
      <c r="AT815" s="17"/>
      <c r="AU815" s="1"/>
      <c r="AV815" s="1"/>
      <c r="AW815" s="1"/>
      <c r="AX815" s="2"/>
      <c r="AY815" s="2"/>
      <c r="AZ815" s="1"/>
    </row>
    <row x14ac:dyDescent="0.25" r="816" customHeight="1" ht="18.75">
      <c r="A816" s="1"/>
      <c r="B816" s="1"/>
      <c r="C816" s="1"/>
      <c r="D816" s="1"/>
      <c r="E816" s="1"/>
      <c r="F816" s="1"/>
      <c r="G816" s="1"/>
      <c r="H816" s="1"/>
      <c r="I816" s="1"/>
      <c r="J816" s="1"/>
      <c r="K816" s="17"/>
      <c r="L816" s="1"/>
      <c r="M816" s="1"/>
      <c r="N816" s="2"/>
      <c r="O816" s="2"/>
      <c r="P816" s="1"/>
      <c r="Q816" s="1"/>
      <c r="R816" s="1"/>
      <c r="S816" s="1"/>
      <c r="T816" s="40"/>
      <c r="U816" s="40"/>
      <c r="V816" s="40"/>
      <c r="W816" s="40"/>
      <c r="X816" s="22"/>
      <c r="Y816" s="22"/>
      <c r="Z816" s="22"/>
      <c r="AA816" s="22"/>
      <c r="AB816" s="22"/>
      <c r="AC816" s="22"/>
      <c r="AD816" s="22"/>
      <c r="AE816" s="22"/>
      <c r="AF816" s="22"/>
      <c r="AG816" s="22"/>
      <c r="AH816" s="22"/>
      <c r="AI816" s="22"/>
      <c r="AJ816" s="40"/>
      <c r="AK816" s="22"/>
      <c r="AL816" s="22"/>
      <c r="AM816" s="22"/>
      <c r="AN816" s="22"/>
      <c r="AO816" s="40"/>
      <c r="AP816" s="40"/>
      <c r="AQ816" s="40"/>
      <c r="AR816" s="1"/>
      <c r="AS816" s="1"/>
      <c r="AT816" s="17"/>
      <c r="AU816" s="1"/>
      <c r="AV816" s="1"/>
      <c r="AW816" s="1"/>
      <c r="AX816" s="2"/>
      <c r="AY816" s="2"/>
      <c r="AZ816" s="1"/>
    </row>
    <row x14ac:dyDescent="0.25" r="817" customHeight="1" ht="18.75">
      <c r="A817" s="1"/>
      <c r="B817" s="1"/>
      <c r="C817" s="1"/>
      <c r="D817" s="1"/>
      <c r="E817" s="1"/>
      <c r="F817" s="1"/>
      <c r="G817" s="1"/>
      <c r="H817" s="1"/>
      <c r="I817" s="1"/>
      <c r="J817" s="1"/>
      <c r="K817" s="17"/>
      <c r="L817" s="1"/>
      <c r="M817" s="1"/>
      <c r="N817" s="2"/>
      <c r="O817" s="2"/>
      <c r="P817" s="1"/>
      <c r="Q817" s="1"/>
      <c r="R817" s="1"/>
      <c r="S817" s="1"/>
      <c r="T817" s="40"/>
      <c r="U817" s="40"/>
      <c r="V817" s="40"/>
      <c r="W817" s="40"/>
      <c r="X817" s="22"/>
      <c r="Y817" s="22"/>
      <c r="Z817" s="22"/>
      <c r="AA817" s="22"/>
      <c r="AB817" s="22"/>
      <c r="AC817" s="22"/>
      <c r="AD817" s="22"/>
      <c r="AE817" s="22"/>
      <c r="AF817" s="22"/>
      <c r="AG817" s="22"/>
      <c r="AH817" s="22"/>
      <c r="AI817" s="22"/>
      <c r="AJ817" s="40"/>
      <c r="AK817" s="22"/>
      <c r="AL817" s="22"/>
      <c r="AM817" s="22"/>
      <c r="AN817" s="22"/>
      <c r="AO817" s="40"/>
      <c r="AP817" s="40"/>
      <c r="AQ817" s="40"/>
      <c r="AR817" s="1"/>
      <c r="AS817" s="1"/>
      <c r="AT817" s="17"/>
      <c r="AU817" s="1"/>
      <c r="AV817" s="1"/>
      <c r="AW817" s="1"/>
      <c r="AX817" s="2"/>
      <c r="AY817" s="2"/>
      <c r="AZ817" s="1"/>
    </row>
    <row x14ac:dyDescent="0.25" r="818" customHeight="1" ht="18.75">
      <c r="A818" s="1"/>
      <c r="B818" s="1"/>
      <c r="C818" s="1"/>
      <c r="D818" s="1"/>
      <c r="E818" s="1"/>
      <c r="F818" s="1"/>
      <c r="G818" s="1"/>
      <c r="H818" s="1"/>
      <c r="I818" s="1"/>
      <c r="J818" s="1"/>
      <c r="K818" s="17"/>
      <c r="L818" s="1"/>
      <c r="M818" s="1"/>
      <c r="N818" s="2"/>
      <c r="O818" s="2"/>
      <c r="P818" s="1"/>
      <c r="Q818" s="1"/>
      <c r="R818" s="1"/>
      <c r="S818" s="1"/>
      <c r="T818" s="40"/>
      <c r="U818" s="40"/>
      <c r="V818" s="40"/>
      <c r="W818" s="40"/>
      <c r="X818" s="22"/>
      <c r="Y818" s="22"/>
      <c r="Z818" s="22"/>
      <c r="AA818" s="22"/>
      <c r="AB818" s="22"/>
      <c r="AC818" s="22"/>
      <c r="AD818" s="22"/>
      <c r="AE818" s="22"/>
      <c r="AF818" s="22"/>
      <c r="AG818" s="22"/>
      <c r="AH818" s="22"/>
      <c r="AI818" s="22"/>
      <c r="AJ818" s="40"/>
      <c r="AK818" s="22"/>
      <c r="AL818" s="22"/>
      <c r="AM818" s="22"/>
      <c r="AN818" s="22"/>
      <c r="AO818" s="40"/>
      <c r="AP818" s="40"/>
      <c r="AQ818" s="40"/>
      <c r="AR818" s="1"/>
      <c r="AS818" s="1"/>
      <c r="AT818" s="17"/>
      <c r="AU818" s="1"/>
      <c r="AV818" s="1"/>
      <c r="AW818" s="1"/>
      <c r="AX818" s="2"/>
      <c r="AY818" s="2"/>
      <c r="AZ818" s="1"/>
    </row>
    <row x14ac:dyDescent="0.25" r="819" customHeight="1" ht="18.75">
      <c r="A819" s="1"/>
      <c r="B819" s="1"/>
      <c r="C819" s="1"/>
      <c r="D819" s="1"/>
      <c r="E819" s="1"/>
      <c r="F819" s="1"/>
      <c r="G819" s="1"/>
      <c r="H819" s="1"/>
      <c r="I819" s="1"/>
      <c r="J819" s="1"/>
      <c r="K819" s="17"/>
      <c r="L819" s="1"/>
      <c r="M819" s="1"/>
      <c r="N819" s="2"/>
      <c r="O819" s="2"/>
      <c r="P819" s="1"/>
      <c r="Q819" s="1"/>
      <c r="R819" s="1"/>
      <c r="S819" s="1"/>
      <c r="T819" s="40"/>
      <c r="U819" s="40"/>
      <c r="V819" s="40"/>
      <c r="W819" s="40"/>
      <c r="X819" s="22"/>
      <c r="Y819" s="22"/>
      <c r="Z819" s="22"/>
      <c r="AA819" s="22"/>
      <c r="AB819" s="22"/>
      <c r="AC819" s="22"/>
      <c r="AD819" s="22"/>
      <c r="AE819" s="22"/>
      <c r="AF819" s="22"/>
      <c r="AG819" s="22"/>
      <c r="AH819" s="22"/>
      <c r="AI819" s="22"/>
      <c r="AJ819" s="40"/>
      <c r="AK819" s="22"/>
      <c r="AL819" s="22"/>
      <c r="AM819" s="22"/>
      <c r="AN819" s="22"/>
      <c r="AO819" s="40"/>
      <c r="AP819" s="40"/>
      <c r="AQ819" s="40"/>
      <c r="AR819" s="1"/>
      <c r="AS819" s="1"/>
      <c r="AT819" s="17"/>
      <c r="AU819" s="1"/>
      <c r="AV819" s="1"/>
      <c r="AW819" s="1"/>
      <c r="AX819" s="2"/>
      <c r="AY819" s="2"/>
      <c r="AZ819" s="1"/>
    </row>
    <row x14ac:dyDescent="0.25" r="820" customHeight="1" ht="18.75">
      <c r="A820" s="1"/>
      <c r="B820" s="1"/>
      <c r="C820" s="1"/>
      <c r="D820" s="1"/>
      <c r="E820" s="1"/>
      <c r="F820" s="1"/>
      <c r="G820" s="1"/>
      <c r="H820" s="1"/>
      <c r="I820" s="1"/>
      <c r="J820" s="1"/>
      <c r="K820" s="17"/>
      <c r="L820" s="1"/>
      <c r="M820" s="1"/>
      <c r="N820" s="2"/>
      <c r="O820" s="2"/>
      <c r="P820" s="1"/>
      <c r="Q820" s="1"/>
      <c r="R820" s="1"/>
      <c r="S820" s="1"/>
      <c r="T820" s="40"/>
      <c r="U820" s="40"/>
      <c r="V820" s="40"/>
      <c r="W820" s="40"/>
      <c r="X820" s="22"/>
      <c r="Y820" s="22"/>
      <c r="Z820" s="22"/>
      <c r="AA820" s="22"/>
      <c r="AB820" s="22"/>
      <c r="AC820" s="22"/>
      <c r="AD820" s="22"/>
      <c r="AE820" s="22"/>
      <c r="AF820" s="22"/>
      <c r="AG820" s="22"/>
      <c r="AH820" s="22"/>
      <c r="AI820" s="22"/>
      <c r="AJ820" s="40"/>
      <c r="AK820" s="22"/>
      <c r="AL820" s="22"/>
      <c r="AM820" s="22"/>
      <c r="AN820" s="22"/>
      <c r="AO820" s="40"/>
      <c r="AP820" s="40"/>
      <c r="AQ820" s="40"/>
      <c r="AR820" s="1"/>
      <c r="AS820" s="1"/>
      <c r="AT820" s="17"/>
      <c r="AU820" s="1"/>
      <c r="AV820" s="1"/>
      <c r="AW820" s="1"/>
      <c r="AX820" s="2"/>
      <c r="AY820" s="2"/>
      <c r="AZ820" s="1"/>
    </row>
    <row x14ac:dyDescent="0.25" r="821" customHeight="1" ht="18.75">
      <c r="A821" s="1"/>
      <c r="B821" s="1"/>
      <c r="C821" s="1"/>
      <c r="D821" s="1"/>
      <c r="E821" s="1"/>
      <c r="F821" s="1"/>
      <c r="G821" s="1"/>
      <c r="H821" s="1"/>
      <c r="I821" s="1"/>
      <c r="J821" s="1"/>
      <c r="K821" s="17"/>
      <c r="L821" s="1"/>
      <c r="M821" s="1"/>
      <c r="N821" s="2"/>
      <c r="O821" s="2"/>
      <c r="P821" s="1"/>
      <c r="Q821" s="1"/>
      <c r="R821" s="1"/>
      <c r="S821" s="1"/>
      <c r="T821" s="40"/>
      <c r="U821" s="40"/>
      <c r="V821" s="40"/>
      <c r="W821" s="40"/>
      <c r="X821" s="22"/>
      <c r="Y821" s="22"/>
      <c r="Z821" s="22"/>
      <c r="AA821" s="22"/>
      <c r="AB821" s="22"/>
      <c r="AC821" s="22"/>
      <c r="AD821" s="22"/>
      <c r="AE821" s="22"/>
      <c r="AF821" s="22"/>
      <c r="AG821" s="22"/>
      <c r="AH821" s="22"/>
      <c r="AI821" s="22"/>
      <c r="AJ821" s="40"/>
      <c r="AK821" s="22"/>
      <c r="AL821" s="22"/>
      <c r="AM821" s="22"/>
      <c r="AN821" s="22"/>
      <c r="AO821" s="40"/>
      <c r="AP821" s="40"/>
      <c r="AQ821" s="40"/>
      <c r="AR821" s="1"/>
      <c r="AS821" s="1"/>
      <c r="AT821" s="17"/>
      <c r="AU821" s="1"/>
      <c r="AV821" s="1"/>
      <c r="AW821" s="1"/>
      <c r="AX821" s="2"/>
      <c r="AY821" s="2"/>
      <c r="AZ821" s="1"/>
    </row>
    <row x14ac:dyDescent="0.25" r="822" customHeight="1" ht="18.75">
      <c r="A822" s="1"/>
      <c r="B822" s="1"/>
      <c r="C822" s="1"/>
      <c r="D822" s="1"/>
      <c r="E822" s="1"/>
      <c r="F822" s="1"/>
      <c r="G822" s="1"/>
      <c r="H822" s="1"/>
      <c r="I822" s="1"/>
      <c r="J822" s="1"/>
      <c r="K822" s="17"/>
      <c r="L822" s="1"/>
      <c r="M822" s="1"/>
      <c r="N822" s="2"/>
      <c r="O822" s="2"/>
      <c r="P822" s="1"/>
      <c r="Q822" s="1"/>
      <c r="R822" s="1"/>
      <c r="S822" s="1"/>
      <c r="T822" s="40"/>
      <c r="U822" s="40"/>
      <c r="V822" s="40"/>
      <c r="W822" s="40"/>
      <c r="X822" s="22"/>
      <c r="Y822" s="22"/>
      <c r="Z822" s="22"/>
      <c r="AA822" s="22"/>
      <c r="AB822" s="22"/>
      <c r="AC822" s="22"/>
      <c r="AD822" s="22"/>
      <c r="AE822" s="22"/>
      <c r="AF822" s="22"/>
      <c r="AG822" s="22"/>
      <c r="AH822" s="22"/>
      <c r="AI822" s="22"/>
      <c r="AJ822" s="40"/>
      <c r="AK822" s="22"/>
      <c r="AL822" s="22"/>
      <c r="AM822" s="22"/>
      <c r="AN822" s="22"/>
      <c r="AO822" s="40"/>
      <c r="AP822" s="40"/>
      <c r="AQ822" s="40"/>
      <c r="AR822" s="1"/>
      <c r="AS822" s="1"/>
      <c r="AT822" s="17"/>
      <c r="AU822" s="1"/>
      <c r="AV822" s="1"/>
      <c r="AW822" s="1"/>
      <c r="AX822" s="2"/>
      <c r="AY822" s="2"/>
      <c r="AZ822" s="1"/>
    </row>
    <row x14ac:dyDescent="0.25" r="823" customHeight="1" ht="18.75">
      <c r="A823" s="1"/>
      <c r="B823" s="1"/>
      <c r="C823" s="1"/>
      <c r="D823" s="1"/>
      <c r="E823" s="1"/>
      <c r="F823" s="1"/>
      <c r="G823" s="1"/>
      <c r="H823" s="1"/>
      <c r="I823" s="1"/>
      <c r="J823" s="1"/>
      <c r="K823" s="17"/>
      <c r="L823" s="1"/>
      <c r="M823" s="1"/>
      <c r="N823" s="2"/>
      <c r="O823" s="2"/>
      <c r="P823" s="1"/>
      <c r="Q823" s="1"/>
      <c r="R823" s="1"/>
      <c r="S823" s="1"/>
      <c r="T823" s="40"/>
      <c r="U823" s="40"/>
      <c r="V823" s="40"/>
      <c r="W823" s="40"/>
      <c r="X823" s="22"/>
      <c r="Y823" s="22"/>
      <c r="Z823" s="22"/>
      <c r="AA823" s="22"/>
      <c r="AB823" s="22"/>
      <c r="AC823" s="22"/>
      <c r="AD823" s="22"/>
      <c r="AE823" s="22"/>
      <c r="AF823" s="22"/>
      <c r="AG823" s="22"/>
      <c r="AH823" s="22"/>
      <c r="AI823" s="22"/>
      <c r="AJ823" s="40"/>
      <c r="AK823" s="22"/>
      <c r="AL823" s="22"/>
      <c r="AM823" s="22"/>
      <c r="AN823" s="22"/>
      <c r="AO823" s="40"/>
      <c r="AP823" s="40"/>
      <c r="AQ823" s="40"/>
      <c r="AR823" s="1"/>
      <c r="AS823" s="1"/>
      <c r="AT823" s="17"/>
      <c r="AU823" s="1"/>
      <c r="AV823" s="1"/>
      <c r="AW823" s="1"/>
      <c r="AX823" s="2"/>
      <c r="AY823" s="2"/>
      <c r="AZ823" s="1"/>
    </row>
    <row x14ac:dyDescent="0.25" r="824" customHeight="1" ht="18.75">
      <c r="A824" s="1"/>
      <c r="B824" s="1"/>
      <c r="C824" s="1"/>
      <c r="D824" s="1"/>
      <c r="E824" s="1"/>
      <c r="F824" s="1"/>
      <c r="G824" s="1"/>
      <c r="H824" s="1"/>
      <c r="I824" s="1"/>
      <c r="J824" s="1"/>
      <c r="K824" s="17"/>
      <c r="L824" s="1"/>
      <c r="M824" s="1"/>
      <c r="N824" s="2"/>
      <c r="O824" s="2"/>
      <c r="P824" s="1"/>
      <c r="Q824" s="1"/>
      <c r="R824" s="1"/>
      <c r="S824" s="1"/>
      <c r="T824" s="40"/>
      <c r="U824" s="40"/>
      <c r="V824" s="40"/>
      <c r="W824" s="40"/>
      <c r="X824" s="22"/>
      <c r="Y824" s="22"/>
      <c r="Z824" s="22"/>
      <c r="AA824" s="22"/>
      <c r="AB824" s="22"/>
      <c r="AC824" s="22"/>
      <c r="AD824" s="22"/>
      <c r="AE824" s="22"/>
      <c r="AF824" s="22"/>
      <c r="AG824" s="22"/>
      <c r="AH824" s="22"/>
      <c r="AI824" s="22"/>
      <c r="AJ824" s="40"/>
      <c r="AK824" s="22"/>
      <c r="AL824" s="22"/>
      <c r="AM824" s="22"/>
      <c r="AN824" s="22"/>
      <c r="AO824" s="40"/>
      <c r="AP824" s="40"/>
      <c r="AQ824" s="40"/>
      <c r="AR824" s="1"/>
      <c r="AS824" s="1"/>
      <c r="AT824" s="17"/>
      <c r="AU824" s="1"/>
      <c r="AV824" s="1"/>
      <c r="AW824" s="1"/>
      <c r="AX824" s="2"/>
      <c r="AY824" s="2"/>
      <c r="AZ824" s="1"/>
    </row>
    <row x14ac:dyDescent="0.25" r="825" customHeight="1" ht="18.75">
      <c r="A825" s="1"/>
      <c r="B825" s="1"/>
      <c r="C825" s="1"/>
      <c r="D825" s="1"/>
      <c r="E825" s="1"/>
      <c r="F825" s="1"/>
      <c r="G825" s="1"/>
      <c r="H825" s="1"/>
      <c r="I825" s="1"/>
      <c r="J825" s="1"/>
      <c r="K825" s="17"/>
      <c r="L825" s="1"/>
      <c r="M825" s="1"/>
      <c r="N825" s="2"/>
      <c r="O825" s="2"/>
      <c r="P825" s="1"/>
      <c r="Q825" s="1"/>
      <c r="R825" s="1"/>
      <c r="S825" s="1"/>
      <c r="T825" s="40"/>
      <c r="U825" s="40"/>
      <c r="V825" s="40"/>
      <c r="W825" s="40"/>
      <c r="X825" s="22"/>
      <c r="Y825" s="22"/>
      <c r="Z825" s="22"/>
      <c r="AA825" s="22"/>
      <c r="AB825" s="22"/>
      <c r="AC825" s="22"/>
      <c r="AD825" s="22"/>
      <c r="AE825" s="22"/>
      <c r="AF825" s="22"/>
      <c r="AG825" s="22"/>
      <c r="AH825" s="22"/>
      <c r="AI825" s="22"/>
      <c r="AJ825" s="40"/>
      <c r="AK825" s="22"/>
      <c r="AL825" s="22"/>
      <c r="AM825" s="22"/>
      <c r="AN825" s="22"/>
      <c r="AO825" s="40"/>
      <c r="AP825" s="40"/>
      <c r="AQ825" s="40"/>
      <c r="AR825" s="1"/>
      <c r="AS825" s="1"/>
      <c r="AT825" s="17"/>
      <c r="AU825" s="1"/>
      <c r="AV825" s="1"/>
      <c r="AW825" s="1"/>
      <c r="AX825" s="2"/>
      <c r="AY825" s="2"/>
      <c r="AZ825" s="1"/>
    </row>
    <row x14ac:dyDescent="0.25" r="826" customHeight="1" ht="18.75">
      <c r="A826" s="1"/>
      <c r="B826" s="1"/>
      <c r="C826" s="1"/>
      <c r="D826" s="1"/>
      <c r="E826" s="1"/>
      <c r="F826" s="1"/>
      <c r="G826" s="1"/>
      <c r="H826" s="1"/>
      <c r="I826" s="1"/>
      <c r="J826" s="1"/>
      <c r="K826" s="17"/>
      <c r="L826" s="1"/>
      <c r="M826" s="1"/>
      <c r="N826" s="2"/>
      <c r="O826" s="2"/>
      <c r="P826" s="1"/>
      <c r="Q826" s="1"/>
      <c r="R826" s="1"/>
      <c r="S826" s="1"/>
      <c r="T826" s="40"/>
      <c r="U826" s="40"/>
      <c r="V826" s="40"/>
      <c r="W826" s="40"/>
      <c r="X826" s="22"/>
      <c r="Y826" s="22"/>
      <c r="Z826" s="22"/>
      <c r="AA826" s="22"/>
      <c r="AB826" s="22"/>
      <c r="AC826" s="22"/>
      <c r="AD826" s="22"/>
      <c r="AE826" s="22"/>
      <c r="AF826" s="22"/>
      <c r="AG826" s="22"/>
      <c r="AH826" s="22"/>
      <c r="AI826" s="22"/>
      <c r="AJ826" s="40"/>
      <c r="AK826" s="22"/>
      <c r="AL826" s="22"/>
      <c r="AM826" s="22"/>
      <c r="AN826" s="22"/>
      <c r="AO826" s="40"/>
      <c r="AP826" s="40"/>
      <c r="AQ826" s="40"/>
      <c r="AR826" s="1"/>
      <c r="AS826" s="1"/>
      <c r="AT826" s="17"/>
      <c r="AU826" s="1"/>
      <c r="AV826" s="1"/>
      <c r="AW826" s="1"/>
      <c r="AX826" s="2"/>
      <c r="AY826" s="2"/>
      <c r="AZ826" s="1"/>
    </row>
    <row x14ac:dyDescent="0.25" r="827" customHeight="1" ht="18.75">
      <c r="A827" s="1"/>
      <c r="B827" s="1"/>
      <c r="C827" s="1"/>
      <c r="D827" s="1"/>
      <c r="E827" s="1"/>
      <c r="F827" s="1"/>
      <c r="G827" s="1"/>
      <c r="H827" s="1"/>
      <c r="I827" s="1"/>
      <c r="J827" s="1"/>
      <c r="K827" s="17"/>
      <c r="L827" s="1"/>
      <c r="M827" s="1"/>
      <c r="N827" s="2"/>
      <c r="O827" s="2"/>
      <c r="P827" s="1"/>
      <c r="Q827" s="1"/>
      <c r="R827" s="1"/>
      <c r="S827" s="1"/>
      <c r="T827" s="40"/>
      <c r="U827" s="40"/>
      <c r="V827" s="40"/>
      <c r="W827" s="40"/>
      <c r="X827" s="22"/>
      <c r="Y827" s="22"/>
      <c r="Z827" s="22"/>
      <c r="AA827" s="22"/>
      <c r="AB827" s="22"/>
      <c r="AC827" s="22"/>
      <c r="AD827" s="22"/>
      <c r="AE827" s="22"/>
      <c r="AF827" s="22"/>
      <c r="AG827" s="22"/>
      <c r="AH827" s="22"/>
      <c r="AI827" s="22"/>
      <c r="AJ827" s="40"/>
      <c r="AK827" s="22"/>
      <c r="AL827" s="22"/>
      <c r="AM827" s="22"/>
      <c r="AN827" s="22"/>
      <c r="AO827" s="40"/>
      <c r="AP827" s="40"/>
      <c r="AQ827" s="40"/>
      <c r="AR827" s="1"/>
      <c r="AS827" s="1"/>
      <c r="AT827" s="17"/>
      <c r="AU827" s="1"/>
      <c r="AV827" s="1"/>
      <c r="AW827" s="1"/>
      <c r="AX827" s="2"/>
      <c r="AY827" s="2"/>
      <c r="AZ827" s="1"/>
    </row>
    <row x14ac:dyDescent="0.25" r="828" customHeight="1" ht="18.75">
      <c r="A828" s="1"/>
      <c r="B828" s="1"/>
      <c r="C828" s="1"/>
      <c r="D828" s="1"/>
      <c r="E828" s="1"/>
      <c r="F828" s="1"/>
      <c r="G828" s="1"/>
      <c r="H828" s="1"/>
      <c r="I828" s="1"/>
      <c r="J828" s="1"/>
      <c r="K828" s="17"/>
      <c r="L828" s="1"/>
      <c r="M828" s="1"/>
      <c r="N828" s="2"/>
      <c r="O828" s="2"/>
      <c r="P828" s="1"/>
      <c r="Q828" s="1"/>
      <c r="R828" s="1"/>
      <c r="S828" s="1"/>
      <c r="T828" s="40"/>
      <c r="U828" s="40"/>
      <c r="V828" s="40"/>
      <c r="W828" s="40"/>
      <c r="X828" s="22"/>
      <c r="Y828" s="22"/>
      <c r="Z828" s="22"/>
      <c r="AA828" s="22"/>
      <c r="AB828" s="22"/>
      <c r="AC828" s="22"/>
      <c r="AD828" s="22"/>
      <c r="AE828" s="22"/>
      <c r="AF828" s="22"/>
      <c r="AG828" s="22"/>
      <c r="AH828" s="22"/>
      <c r="AI828" s="22"/>
      <c r="AJ828" s="40"/>
      <c r="AK828" s="22"/>
      <c r="AL828" s="22"/>
      <c r="AM828" s="22"/>
      <c r="AN828" s="22"/>
      <c r="AO828" s="40"/>
      <c r="AP828" s="40"/>
      <c r="AQ828" s="40"/>
      <c r="AR828" s="1"/>
      <c r="AS828" s="1"/>
      <c r="AT828" s="17"/>
      <c r="AU828" s="1"/>
      <c r="AV828" s="1"/>
      <c r="AW828" s="1"/>
      <c r="AX828" s="2"/>
      <c r="AY828" s="2"/>
      <c r="AZ828" s="1"/>
    </row>
    <row x14ac:dyDescent="0.25" r="829" customHeight="1" ht="18.75">
      <c r="A829" s="1"/>
      <c r="B829" s="1"/>
      <c r="C829" s="1"/>
      <c r="D829" s="1"/>
      <c r="E829" s="1"/>
      <c r="F829" s="1"/>
      <c r="G829" s="1"/>
      <c r="H829" s="1"/>
      <c r="I829" s="1"/>
      <c r="J829" s="1"/>
      <c r="K829" s="17"/>
      <c r="L829" s="1"/>
      <c r="M829" s="1"/>
      <c r="N829" s="2"/>
      <c r="O829" s="2"/>
      <c r="P829" s="1"/>
      <c r="Q829" s="1"/>
      <c r="R829" s="1"/>
      <c r="S829" s="1"/>
      <c r="T829" s="40"/>
      <c r="U829" s="40"/>
      <c r="V829" s="40"/>
      <c r="W829" s="40"/>
      <c r="X829" s="22"/>
      <c r="Y829" s="22"/>
      <c r="Z829" s="22"/>
      <c r="AA829" s="22"/>
      <c r="AB829" s="22"/>
      <c r="AC829" s="22"/>
      <c r="AD829" s="22"/>
      <c r="AE829" s="22"/>
      <c r="AF829" s="22"/>
      <c r="AG829" s="22"/>
      <c r="AH829" s="22"/>
      <c r="AI829" s="22"/>
      <c r="AJ829" s="40"/>
      <c r="AK829" s="22"/>
      <c r="AL829" s="22"/>
      <c r="AM829" s="22"/>
      <c r="AN829" s="22"/>
      <c r="AO829" s="40"/>
      <c r="AP829" s="40"/>
      <c r="AQ829" s="40"/>
      <c r="AR829" s="1"/>
      <c r="AS829" s="1"/>
      <c r="AT829" s="17"/>
      <c r="AU829" s="1"/>
      <c r="AV829" s="1"/>
      <c r="AW829" s="1"/>
      <c r="AX829" s="2"/>
      <c r="AY829" s="2"/>
      <c r="AZ829" s="1"/>
    </row>
    <row x14ac:dyDescent="0.25" r="830" customHeight="1" ht="18.75">
      <c r="A830" s="1"/>
      <c r="B830" s="1"/>
      <c r="C830" s="1"/>
      <c r="D830" s="1"/>
      <c r="E830" s="1"/>
      <c r="F830" s="1"/>
      <c r="G830" s="1"/>
      <c r="H830" s="1"/>
      <c r="I830" s="1"/>
      <c r="J830" s="1"/>
      <c r="K830" s="17"/>
      <c r="L830" s="1"/>
      <c r="M830" s="1"/>
      <c r="N830" s="2"/>
      <c r="O830" s="2"/>
      <c r="P830" s="1"/>
      <c r="Q830" s="1"/>
      <c r="R830" s="1"/>
      <c r="S830" s="1"/>
      <c r="T830" s="40"/>
      <c r="U830" s="40"/>
      <c r="V830" s="40"/>
      <c r="W830" s="40"/>
      <c r="X830" s="22"/>
      <c r="Y830" s="22"/>
      <c r="Z830" s="22"/>
      <c r="AA830" s="22"/>
      <c r="AB830" s="22"/>
      <c r="AC830" s="22"/>
      <c r="AD830" s="22"/>
      <c r="AE830" s="22"/>
      <c r="AF830" s="22"/>
      <c r="AG830" s="22"/>
      <c r="AH830" s="22"/>
      <c r="AI830" s="22"/>
      <c r="AJ830" s="40"/>
      <c r="AK830" s="22"/>
      <c r="AL830" s="22"/>
      <c r="AM830" s="22"/>
      <c r="AN830" s="22"/>
      <c r="AO830" s="40"/>
      <c r="AP830" s="40"/>
      <c r="AQ830" s="40"/>
      <c r="AR830" s="1"/>
      <c r="AS830" s="1"/>
      <c r="AT830" s="17"/>
      <c r="AU830" s="1"/>
      <c r="AV830" s="1"/>
      <c r="AW830" s="1"/>
      <c r="AX830" s="2"/>
      <c r="AY830" s="2"/>
      <c r="AZ830" s="1"/>
    </row>
    <row x14ac:dyDescent="0.25" r="831" customHeight="1" ht="18.75">
      <c r="A831" s="1"/>
      <c r="B831" s="1"/>
      <c r="C831" s="1"/>
      <c r="D831" s="1"/>
      <c r="E831" s="1"/>
      <c r="F831" s="1"/>
      <c r="G831" s="1"/>
      <c r="H831" s="1"/>
      <c r="I831" s="1"/>
      <c r="J831" s="1"/>
      <c r="K831" s="17"/>
      <c r="L831" s="1"/>
      <c r="M831" s="1"/>
      <c r="N831" s="2"/>
      <c r="O831" s="2"/>
      <c r="P831" s="1"/>
      <c r="Q831" s="1"/>
      <c r="R831" s="1"/>
      <c r="S831" s="1"/>
      <c r="T831" s="40"/>
      <c r="U831" s="40"/>
      <c r="V831" s="40"/>
      <c r="W831" s="40"/>
      <c r="X831" s="22"/>
      <c r="Y831" s="22"/>
      <c r="Z831" s="22"/>
      <c r="AA831" s="22"/>
      <c r="AB831" s="22"/>
      <c r="AC831" s="22"/>
      <c r="AD831" s="22"/>
      <c r="AE831" s="22"/>
      <c r="AF831" s="22"/>
      <c r="AG831" s="22"/>
      <c r="AH831" s="22"/>
      <c r="AI831" s="22"/>
      <c r="AJ831" s="40"/>
      <c r="AK831" s="22"/>
      <c r="AL831" s="22"/>
      <c r="AM831" s="22"/>
      <c r="AN831" s="22"/>
      <c r="AO831" s="40"/>
      <c r="AP831" s="40"/>
      <c r="AQ831" s="40"/>
      <c r="AR831" s="1"/>
      <c r="AS831" s="1"/>
      <c r="AT831" s="17"/>
      <c r="AU831" s="1"/>
      <c r="AV831" s="1"/>
      <c r="AW831" s="1"/>
      <c r="AX831" s="2"/>
      <c r="AY831" s="2"/>
      <c r="AZ831" s="1"/>
    </row>
    <row x14ac:dyDescent="0.25" r="832" customHeight="1" ht="18.75">
      <c r="A832" s="1"/>
      <c r="B832" s="1"/>
      <c r="C832" s="1"/>
      <c r="D832" s="1"/>
      <c r="E832" s="1"/>
      <c r="F832" s="1"/>
      <c r="G832" s="1"/>
      <c r="H832" s="1"/>
      <c r="I832" s="1"/>
      <c r="J832" s="1"/>
      <c r="K832" s="17"/>
      <c r="L832" s="1"/>
      <c r="M832" s="1"/>
      <c r="N832" s="2"/>
      <c r="O832" s="2"/>
      <c r="P832" s="1"/>
      <c r="Q832" s="1"/>
      <c r="R832" s="1"/>
      <c r="S832" s="1"/>
      <c r="T832" s="40"/>
      <c r="U832" s="40"/>
      <c r="V832" s="40"/>
      <c r="W832" s="40"/>
      <c r="X832" s="22"/>
      <c r="Y832" s="22"/>
      <c r="Z832" s="22"/>
      <c r="AA832" s="22"/>
      <c r="AB832" s="22"/>
      <c r="AC832" s="22"/>
      <c r="AD832" s="22"/>
      <c r="AE832" s="22"/>
      <c r="AF832" s="22"/>
      <c r="AG832" s="22"/>
      <c r="AH832" s="22"/>
      <c r="AI832" s="22"/>
      <c r="AJ832" s="40"/>
      <c r="AK832" s="22"/>
      <c r="AL832" s="22"/>
      <c r="AM832" s="22"/>
      <c r="AN832" s="22"/>
      <c r="AO832" s="40"/>
      <c r="AP832" s="40"/>
      <c r="AQ832" s="40"/>
      <c r="AR832" s="1"/>
      <c r="AS832" s="1"/>
      <c r="AT832" s="17"/>
      <c r="AU832" s="1"/>
      <c r="AV832" s="1"/>
      <c r="AW832" s="1"/>
      <c r="AX832" s="2"/>
      <c r="AY832" s="2"/>
      <c r="AZ832" s="1"/>
    </row>
    <row x14ac:dyDescent="0.25" r="833" customHeight="1" ht="18.75">
      <c r="A833" s="1"/>
      <c r="B833" s="1"/>
      <c r="C833" s="1"/>
      <c r="D833" s="1"/>
      <c r="E833" s="1"/>
      <c r="F833" s="1"/>
      <c r="G833" s="1"/>
      <c r="H833" s="1"/>
      <c r="I833" s="1"/>
      <c r="J833" s="1"/>
      <c r="K833" s="17"/>
      <c r="L833" s="1"/>
      <c r="M833" s="1"/>
      <c r="N833" s="2"/>
      <c r="O833" s="2"/>
      <c r="P833" s="1"/>
      <c r="Q833" s="1"/>
      <c r="R833" s="1"/>
      <c r="S833" s="1"/>
      <c r="T833" s="40"/>
      <c r="U833" s="40"/>
      <c r="V833" s="40"/>
      <c r="W833" s="40"/>
      <c r="X833" s="22"/>
      <c r="Y833" s="22"/>
      <c r="Z833" s="22"/>
      <c r="AA833" s="22"/>
      <c r="AB833" s="22"/>
      <c r="AC833" s="22"/>
      <c r="AD833" s="22"/>
      <c r="AE833" s="22"/>
      <c r="AF833" s="22"/>
      <c r="AG833" s="22"/>
      <c r="AH833" s="22"/>
      <c r="AI833" s="22"/>
      <c r="AJ833" s="40"/>
      <c r="AK833" s="22"/>
      <c r="AL833" s="22"/>
      <c r="AM833" s="22"/>
      <c r="AN833" s="22"/>
      <c r="AO833" s="40"/>
      <c r="AP833" s="40"/>
      <c r="AQ833" s="40"/>
      <c r="AR833" s="1"/>
      <c r="AS833" s="1"/>
      <c r="AT833" s="17"/>
      <c r="AU833" s="1"/>
      <c r="AV833" s="1"/>
      <c r="AW833" s="1"/>
      <c r="AX833" s="2"/>
      <c r="AY833" s="2"/>
      <c r="AZ833" s="1"/>
    </row>
    <row x14ac:dyDescent="0.25" r="834" customHeight="1" ht="18.75">
      <c r="A834" s="1"/>
      <c r="B834" s="1"/>
      <c r="C834" s="1"/>
      <c r="D834" s="1"/>
      <c r="E834" s="1"/>
      <c r="F834" s="1"/>
      <c r="G834" s="1"/>
      <c r="H834" s="1"/>
      <c r="I834" s="1"/>
      <c r="J834" s="1"/>
      <c r="K834" s="17"/>
      <c r="L834" s="1"/>
      <c r="M834" s="1"/>
      <c r="N834" s="2"/>
      <c r="O834" s="2"/>
      <c r="P834" s="1"/>
      <c r="Q834" s="1"/>
      <c r="R834" s="1"/>
      <c r="S834" s="1"/>
      <c r="T834" s="40"/>
      <c r="U834" s="40"/>
      <c r="V834" s="40"/>
      <c r="W834" s="40"/>
      <c r="X834" s="22"/>
      <c r="Y834" s="22"/>
      <c r="Z834" s="22"/>
      <c r="AA834" s="22"/>
      <c r="AB834" s="22"/>
      <c r="AC834" s="22"/>
      <c r="AD834" s="22"/>
      <c r="AE834" s="22"/>
      <c r="AF834" s="22"/>
      <c r="AG834" s="22"/>
      <c r="AH834" s="22"/>
      <c r="AI834" s="22"/>
      <c r="AJ834" s="40"/>
      <c r="AK834" s="22"/>
      <c r="AL834" s="22"/>
      <c r="AM834" s="22"/>
      <c r="AN834" s="22"/>
      <c r="AO834" s="40"/>
      <c r="AP834" s="40"/>
      <c r="AQ834" s="40"/>
      <c r="AR834" s="1"/>
      <c r="AS834" s="1"/>
      <c r="AT834" s="17"/>
      <c r="AU834" s="1"/>
      <c r="AV834" s="1"/>
      <c r="AW834" s="1"/>
      <c r="AX834" s="2"/>
      <c r="AY834" s="2"/>
      <c r="AZ834" s="1"/>
    </row>
    <row x14ac:dyDescent="0.25" r="835" customHeight="1" ht="18.75">
      <c r="A835" s="1"/>
      <c r="B835" s="1"/>
      <c r="C835" s="1"/>
      <c r="D835" s="1"/>
      <c r="E835" s="1"/>
      <c r="F835" s="1"/>
      <c r="G835" s="1"/>
      <c r="H835" s="1"/>
      <c r="I835" s="1"/>
      <c r="J835" s="1"/>
      <c r="K835" s="17"/>
      <c r="L835" s="1"/>
      <c r="M835" s="1"/>
      <c r="N835" s="2"/>
      <c r="O835" s="2"/>
      <c r="P835" s="1"/>
      <c r="Q835" s="1"/>
      <c r="R835" s="1"/>
      <c r="S835" s="1"/>
      <c r="T835" s="40"/>
      <c r="U835" s="40"/>
      <c r="V835" s="40"/>
      <c r="W835" s="40"/>
      <c r="X835" s="22"/>
      <c r="Y835" s="22"/>
      <c r="Z835" s="22"/>
      <c r="AA835" s="22"/>
      <c r="AB835" s="22"/>
      <c r="AC835" s="22"/>
      <c r="AD835" s="22"/>
      <c r="AE835" s="22"/>
      <c r="AF835" s="22"/>
      <c r="AG835" s="22"/>
      <c r="AH835" s="22"/>
      <c r="AI835" s="22"/>
      <c r="AJ835" s="40"/>
      <c r="AK835" s="22"/>
      <c r="AL835" s="22"/>
      <c r="AM835" s="22"/>
      <c r="AN835" s="22"/>
      <c r="AO835" s="40"/>
      <c r="AP835" s="40"/>
      <c r="AQ835" s="40"/>
      <c r="AR835" s="1"/>
      <c r="AS835" s="1"/>
      <c r="AT835" s="17"/>
      <c r="AU835" s="1"/>
      <c r="AV835" s="1"/>
      <c r="AW835" s="1"/>
      <c r="AX835" s="2"/>
      <c r="AY835" s="2"/>
      <c r="AZ835" s="1"/>
    </row>
    <row x14ac:dyDescent="0.25" r="836" customHeight="1" ht="18.75">
      <c r="A836" s="1"/>
      <c r="B836" s="1"/>
      <c r="C836" s="1"/>
      <c r="D836" s="1"/>
      <c r="E836" s="1"/>
      <c r="F836" s="1"/>
      <c r="G836" s="1"/>
      <c r="H836" s="1"/>
      <c r="I836" s="1"/>
      <c r="J836" s="1"/>
      <c r="K836" s="17"/>
      <c r="L836" s="1"/>
      <c r="M836" s="1"/>
      <c r="N836" s="2"/>
      <c r="O836" s="2"/>
      <c r="P836" s="1"/>
      <c r="Q836" s="1"/>
      <c r="R836" s="1"/>
      <c r="S836" s="1"/>
      <c r="T836" s="40"/>
      <c r="U836" s="40"/>
      <c r="V836" s="40"/>
      <c r="W836" s="40"/>
      <c r="X836" s="22"/>
      <c r="Y836" s="22"/>
      <c r="Z836" s="22"/>
      <c r="AA836" s="22"/>
      <c r="AB836" s="22"/>
      <c r="AC836" s="22"/>
      <c r="AD836" s="22"/>
      <c r="AE836" s="22"/>
      <c r="AF836" s="22"/>
      <c r="AG836" s="22"/>
      <c r="AH836" s="22"/>
      <c r="AI836" s="22"/>
      <c r="AJ836" s="40"/>
      <c r="AK836" s="22"/>
      <c r="AL836" s="22"/>
      <c r="AM836" s="22"/>
      <c r="AN836" s="22"/>
      <c r="AO836" s="40"/>
      <c r="AP836" s="40"/>
      <c r="AQ836" s="40"/>
      <c r="AR836" s="1"/>
      <c r="AS836" s="1"/>
      <c r="AT836" s="17"/>
      <c r="AU836" s="1"/>
      <c r="AV836" s="1"/>
      <c r="AW836" s="1"/>
      <c r="AX836" s="2"/>
      <c r="AY836" s="2"/>
      <c r="AZ836" s="1"/>
    </row>
    <row x14ac:dyDescent="0.25" r="837" customHeight="1" ht="18.75">
      <c r="A837" s="1"/>
      <c r="B837" s="1"/>
      <c r="C837" s="1"/>
      <c r="D837" s="1"/>
      <c r="E837" s="1"/>
      <c r="F837" s="1"/>
      <c r="G837" s="1"/>
      <c r="H837" s="1"/>
      <c r="I837" s="1"/>
      <c r="J837" s="1"/>
      <c r="K837" s="17"/>
      <c r="L837" s="1"/>
      <c r="M837" s="1"/>
      <c r="N837" s="2"/>
      <c r="O837" s="2"/>
      <c r="P837" s="1"/>
      <c r="Q837" s="1"/>
      <c r="R837" s="1"/>
      <c r="S837" s="1"/>
      <c r="T837" s="40"/>
      <c r="U837" s="40"/>
      <c r="V837" s="40"/>
      <c r="W837" s="40"/>
      <c r="X837" s="22"/>
      <c r="Y837" s="22"/>
      <c r="Z837" s="22"/>
      <c r="AA837" s="22"/>
      <c r="AB837" s="22"/>
      <c r="AC837" s="22"/>
      <c r="AD837" s="22"/>
      <c r="AE837" s="22"/>
      <c r="AF837" s="22"/>
      <c r="AG837" s="22"/>
      <c r="AH837" s="22"/>
      <c r="AI837" s="22"/>
      <c r="AJ837" s="40"/>
      <c r="AK837" s="22"/>
      <c r="AL837" s="22"/>
      <c r="AM837" s="22"/>
      <c r="AN837" s="22"/>
      <c r="AO837" s="40"/>
      <c r="AP837" s="40"/>
      <c r="AQ837" s="40"/>
      <c r="AR837" s="1"/>
      <c r="AS837" s="1"/>
      <c r="AT837" s="17"/>
      <c r="AU837" s="1"/>
      <c r="AV837" s="1"/>
      <c r="AW837" s="1"/>
      <c r="AX837" s="2"/>
      <c r="AY837" s="2"/>
      <c r="AZ837" s="1"/>
    </row>
    <row x14ac:dyDescent="0.25" r="838" customHeight="1" ht="18.75">
      <c r="A838" s="1"/>
      <c r="B838" s="1"/>
      <c r="C838" s="1"/>
      <c r="D838" s="1"/>
      <c r="E838" s="1"/>
      <c r="F838" s="1"/>
      <c r="G838" s="1"/>
      <c r="H838" s="1"/>
      <c r="I838" s="1"/>
      <c r="J838" s="1"/>
      <c r="K838" s="17"/>
      <c r="L838" s="1"/>
      <c r="M838" s="1"/>
      <c r="N838" s="2"/>
      <c r="O838" s="2"/>
      <c r="P838" s="1"/>
      <c r="Q838" s="1"/>
      <c r="R838" s="1"/>
      <c r="S838" s="1"/>
      <c r="T838" s="40"/>
      <c r="U838" s="40"/>
      <c r="V838" s="40"/>
      <c r="W838" s="40"/>
      <c r="X838" s="22"/>
      <c r="Y838" s="22"/>
      <c r="Z838" s="22"/>
      <c r="AA838" s="22"/>
      <c r="AB838" s="22"/>
      <c r="AC838" s="22"/>
      <c r="AD838" s="22"/>
      <c r="AE838" s="22"/>
      <c r="AF838" s="22"/>
      <c r="AG838" s="22"/>
      <c r="AH838" s="22"/>
      <c r="AI838" s="22"/>
      <c r="AJ838" s="40"/>
      <c r="AK838" s="22"/>
      <c r="AL838" s="22"/>
      <c r="AM838" s="22"/>
      <c r="AN838" s="22"/>
      <c r="AO838" s="40"/>
      <c r="AP838" s="40"/>
      <c r="AQ838" s="40"/>
      <c r="AR838" s="1"/>
      <c r="AS838" s="1"/>
      <c r="AT838" s="17"/>
      <c r="AU838" s="1"/>
      <c r="AV838" s="1"/>
      <c r="AW838" s="1"/>
      <c r="AX838" s="2"/>
      <c r="AY838" s="2"/>
      <c r="AZ838" s="1"/>
    </row>
    <row x14ac:dyDescent="0.25" r="839" customHeight="1" ht="18.75">
      <c r="A839" s="1"/>
      <c r="B839" s="1"/>
      <c r="C839" s="1"/>
      <c r="D839" s="1"/>
      <c r="E839" s="1"/>
      <c r="F839" s="1"/>
      <c r="G839" s="1"/>
      <c r="H839" s="1"/>
      <c r="I839" s="1"/>
      <c r="J839" s="1"/>
      <c r="K839" s="17"/>
      <c r="L839" s="1"/>
      <c r="M839" s="1"/>
      <c r="N839" s="2"/>
      <c r="O839" s="2"/>
      <c r="P839" s="1"/>
      <c r="Q839" s="1"/>
      <c r="R839" s="1"/>
      <c r="S839" s="1"/>
      <c r="T839" s="40"/>
      <c r="U839" s="40"/>
      <c r="V839" s="40"/>
      <c r="W839" s="40"/>
      <c r="X839" s="22"/>
      <c r="Y839" s="22"/>
      <c r="Z839" s="22"/>
      <c r="AA839" s="22"/>
      <c r="AB839" s="22"/>
      <c r="AC839" s="22"/>
      <c r="AD839" s="22"/>
      <c r="AE839" s="22"/>
      <c r="AF839" s="22"/>
      <c r="AG839" s="22"/>
      <c r="AH839" s="22"/>
      <c r="AI839" s="22"/>
      <c r="AJ839" s="40"/>
      <c r="AK839" s="22"/>
      <c r="AL839" s="22"/>
      <c r="AM839" s="22"/>
      <c r="AN839" s="22"/>
      <c r="AO839" s="40"/>
      <c r="AP839" s="40"/>
      <c r="AQ839" s="40"/>
      <c r="AR839" s="1"/>
      <c r="AS839" s="1"/>
      <c r="AT839" s="17"/>
      <c r="AU839" s="1"/>
      <c r="AV839" s="1"/>
      <c r="AW839" s="1"/>
      <c r="AX839" s="2"/>
      <c r="AY839" s="2"/>
      <c r="AZ839" s="1"/>
    </row>
    <row x14ac:dyDescent="0.25" r="840" customHeight="1" ht="18.75">
      <c r="A840" s="1"/>
      <c r="B840" s="1"/>
      <c r="C840" s="1"/>
      <c r="D840" s="1"/>
      <c r="E840" s="1"/>
      <c r="F840" s="1"/>
      <c r="G840" s="1"/>
      <c r="H840" s="1"/>
      <c r="I840" s="1"/>
      <c r="J840" s="1"/>
      <c r="K840" s="17"/>
      <c r="L840" s="1"/>
      <c r="M840" s="1"/>
      <c r="N840" s="2"/>
      <c r="O840" s="2"/>
      <c r="P840" s="1"/>
      <c r="Q840" s="1"/>
      <c r="R840" s="1"/>
      <c r="S840" s="1"/>
      <c r="T840" s="40"/>
      <c r="U840" s="40"/>
      <c r="V840" s="40"/>
      <c r="W840" s="40"/>
      <c r="X840" s="22"/>
      <c r="Y840" s="22"/>
      <c r="Z840" s="22"/>
      <c r="AA840" s="22"/>
      <c r="AB840" s="22"/>
      <c r="AC840" s="22"/>
      <c r="AD840" s="22"/>
      <c r="AE840" s="22"/>
      <c r="AF840" s="22"/>
      <c r="AG840" s="22"/>
      <c r="AH840" s="22"/>
      <c r="AI840" s="22"/>
      <c r="AJ840" s="40"/>
      <c r="AK840" s="22"/>
      <c r="AL840" s="22"/>
      <c r="AM840" s="22"/>
      <c r="AN840" s="22"/>
      <c r="AO840" s="40"/>
      <c r="AP840" s="40"/>
      <c r="AQ840" s="40"/>
      <c r="AR840" s="1"/>
      <c r="AS840" s="1"/>
      <c r="AT840" s="17"/>
      <c r="AU840" s="1"/>
      <c r="AV840" s="1"/>
      <c r="AW840" s="1"/>
      <c r="AX840" s="2"/>
      <c r="AY840" s="2"/>
      <c r="AZ840" s="1"/>
    </row>
    <row x14ac:dyDescent="0.25" r="841" customHeight="1" ht="18.75">
      <c r="A841" s="1"/>
      <c r="B841" s="1"/>
      <c r="C841" s="1"/>
      <c r="D841" s="1"/>
      <c r="E841" s="1"/>
      <c r="F841" s="1"/>
      <c r="G841" s="1"/>
      <c r="H841" s="1"/>
      <c r="I841" s="1"/>
      <c r="J841" s="1"/>
      <c r="K841" s="17"/>
      <c r="L841" s="1"/>
      <c r="M841" s="1"/>
      <c r="N841" s="2"/>
      <c r="O841" s="2"/>
      <c r="P841" s="1"/>
      <c r="Q841" s="1"/>
      <c r="R841" s="1"/>
      <c r="S841" s="1"/>
      <c r="T841" s="40"/>
      <c r="U841" s="40"/>
      <c r="V841" s="40"/>
      <c r="W841" s="40"/>
      <c r="X841" s="22"/>
      <c r="Y841" s="22"/>
      <c r="Z841" s="22"/>
      <c r="AA841" s="22"/>
      <c r="AB841" s="22"/>
      <c r="AC841" s="22"/>
      <c r="AD841" s="22"/>
      <c r="AE841" s="22"/>
      <c r="AF841" s="22"/>
      <c r="AG841" s="22"/>
      <c r="AH841" s="22"/>
      <c r="AI841" s="22"/>
      <c r="AJ841" s="40"/>
      <c r="AK841" s="22"/>
      <c r="AL841" s="22"/>
      <c r="AM841" s="22"/>
      <c r="AN841" s="22"/>
      <c r="AO841" s="40"/>
      <c r="AP841" s="40"/>
      <c r="AQ841" s="40"/>
      <c r="AR841" s="1"/>
      <c r="AS841" s="1"/>
      <c r="AT841" s="17"/>
      <c r="AU841" s="1"/>
      <c r="AV841" s="1"/>
      <c r="AW841" s="1"/>
      <c r="AX841" s="2"/>
      <c r="AY841" s="2"/>
      <c r="AZ841" s="1"/>
    </row>
    <row x14ac:dyDescent="0.25" r="842" customHeight="1" ht="18.75">
      <c r="A842" s="1"/>
      <c r="B842" s="1"/>
      <c r="C842" s="1"/>
      <c r="D842" s="1"/>
      <c r="E842" s="1"/>
      <c r="F842" s="1"/>
      <c r="G842" s="1"/>
      <c r="H842" s="1"/>
      <c r="I842" s="1"/>
      <c r="J842" s="1"/>
      <c r="K842" s="17"/>
      <c r="L842" s="1"/>
      <c r="M842" s="1"/>
      <c r="N842" s="2"/>
      <c r="O842" s="2"/>
      <c r="P842" s="1"/>
      <c r="Q842" s="1"/>
      <c r="R842" s="1"/>
      <c r="S842" s="1"/>
      <c r="T842" s="40"/>
      <c r="U842" s="40"/>
      <c r="V842" s="40"/>
      <c r="W842" s="40"/>
      <c r="X842" s="22"/>
      <c r="Y842" s="22"/>
      <c r="Z842" s="22"/>
      <c r="AA842" s="22"/>
      <c r="AB842" s="22"/>
      <c r="AC842" s="22"/>
      <c r="AD842" s="22"/>
      <c r="AE842" s="22"/>
      <c r="AF842" s="22"/>
      <c r="AG842" s="22"/>
      <c r="AH842" s="22"/>
      <c r="AI842" s="22"/>
      <c r="AJ842" s="40"/>
      <c r="AK842" s="22"/>
      <c r="AL842" s="22"/>
      <c r="AM842" s="22"/>
      <c r="AN842" s="22"/>
      <c r="AO842" s="40"/>
      <c r="AP842" s="40"/>
      <c r="AQ842" s="40"/>
      <c r="AR842" s="1"/>
      <c r="AS842" s="1"/>
      <c r="AT842" s="17"/>
      <c r="AU842" s="1"/>
      <c r="AV842" s="1"/>
      <c r="AW842" s="1"/>
      <c r="AX842" s="2"/>
      <c r="AY842" s="2"/>
      <c r="AZ842" s="1"/>
    </row>
    <row x14ac:dyDescent="0.25" r="843" customHeight="1" ht="18.75">
      <c r="A843" s="1"/>
      <c r="B843" s="1"/>
      <c r="C843" s="1"/>
      <c r="D843" s="1"/>
      <c r="E843" s="1"/>
      <c r="F843" s="1"/>
      <c r="G843" s="1"/>
      <c r="H843" s="1"/>
      <c r="I843" s="1"/>
      <c r="J843" s="1"/>
      <c r="K843" s="17"/>
      <c r="L843" s="1"/>
      <c r="M843" s="1"/>
      <c r="N843" s="2"/>
      <c r="O843" s="2"/>
      <c r="P843" s="1"/>
      <c r="Q843" s="1"/>
      <c r="R843" s="1"/>
      <c r="S843" s="1"/>
      <c r="T843" s="40"/>
      <c r="U843" s="40"/>
      <c r="V843" s="40"/>
      <c r="W843" s="40"/>
      <c r="X843" s="22"/>
      <c r="Y843" s="22"/>
      <c r="Z843" s="22"/>
      <c r="AA843" s="22"/>
      <c r="AB843" s="22"/>
      <c r="AC843" s="22"/>
      <c r="AD843" s="22"/>
      <c r="AE843" s="22"/>
      <c r="AF843" s="22"/>
      <c r="AG843" s="22"/>
      <c r="AH843" s="22"/>
      <c r="AI843" s="22"/>
      <c r="AJ843" s="40"/>
      <c r="AK843" s="22"/>
      <c r="AL843" s="22"/>
      <c r="AM843" s="22"/>
      <c r="AN843" s="22"/>
      <c r="AO843" s="40"/>
      <c r="AP843" s="40"/>
      <c r="AQ843" s="40"/>
      <c r="AR843" s="1"/>
      <c r="AS843" s="1"/>
      <c r="AT843" s="17"/>
      <c r="AU843" s="1"/>
      <c r="AV843" s="1"/>
      <c r="AW843" s="1"/>
      <c r="AX843" s="2"/>
      <c r="AY843" s="2"/>
      <c r="AZ843" s="1"/>
    </row>
    <row x14ac:dyDescent="0.25" r="844" customHeight="1" ht="18.75">
      <c r="A844" s="1"/>
      <c r="B844" s="1"/>
      <c r="C844" s="1"/>
      <c r="D844" s="1"/>
      <c r="E844" s="1"/>
      <c r="F844" s="1"/>
      <c r="G844" s="1"/>
      <c r="H844" s="1"/>
      <c r="I844" s="1"/>
      <c r="J844" s="1"/>
      <c r="K844" s="17"/>
      <c r="L844" s="1"/>
      <c r="M844" s="1"/>
      <c r="N844" s="2"/>
      <c r="O844" s="2"/>
      <c r="P844" s="1"/>
      <c r="Q844" s="1"/>
      <c r="R844" s="1"/>
      <c r="S844" s="1"/>
      <c r="T844" s="40"/>
      <c r="U844" s="40"/>
      <c r="V844" s="40"/>
      <c r="W844" s="40"/>
      <c r="X844" s="22"/>
      <c r="Y844" s="22"/>
      <c r="Z844" s="22"/>
      <c r="AA844" s="22"/>
      <c r="AB844" s="22"/>
      <c r="AC844" s="22"/>
      <c r="AD844" s="22"/>
      <c r="AE844" s="22"/>
      <c r="AF844" s="22"/>
      <c r="AG844" s="22"/>
      <c r="AH844" s="22"/>
      <c r="AI844" s="22"/>
      <c r="AJ844" s="40"/>
      <c r="AK844" s="22"/>
      <c r="AL844" s="22"/>
      <c r="AM844" s="22"/>
      <c r="AN844" s="22"/>
      <c r="AO844" s="40"/>
      <c r="AP844" s="40"/>
      <c r="AQ844" s="40"/>
      <c r="AR844" s="1"/>
      <c r="AS844" s="1"/>
      <c r="AT844" s="17"/>
      <c r="AU844" s="1"/>
      <c r="AV844" s="1"/>
      <c r="AW844" s="1"/>
      <c r="AX844" s="2"/>
      <c r="AY844" s="2"/>
      <c r="AZ844" s="1"/>
    </row>
    <row x14ac:dyDescent="0.25" r="845" customHeight="1" ht="18.75">
      <c r="A845" s="1"/>
      <c r="B845" s="1"/>
      <c r="C845" s="1"/>
      <c r="D845" s="1"/>
      <c r="E845" s="1"/>
      <c r="F845" s="1"/>
      <c r="G845" s="1"/>
      <c r="H845" s="1"/>
      <c r="I845" s="1"/>
      <c r="J845" s="1"/>
      <c r="K845" s="17"/>
      <c r="L845" s="1"/>
      <c r="M845" s="1"/>
      <c r="N845" s="2"/>
      <c r="O845" s="2"/>
      <c r="P845" s="1"/>
      <c r="Q845" s="1"/>
      <c r="R845" s="1"/>
      <c r="S845" s="1"/>
      <c r="T845" s="40"/>
      <c r="U845" s="40"/>
      <c r="V845" s="40"/>
      <c r="W845" s="40"/>
      <c r="X845" s="22"/>
      <c r="Y845" s="22"/>
      <c r="Z845" s="22"/>
      <c r="AA845" s="22"/>
      <c r="AB845" s="22"/>
      <c r="AC845" s="22"/>
      <c r="AD845" s="22"/>
      <c r="AE845" s="22"/>
      <c r="AF845" s="22"/>
      <c r="AG845" s="22"/>
      <c r="AH845" s="22"/>
      <c r="AI845" s="22"/>
      <c r="AJ845" s="40"/>
      <c r="AK845" s="22"/>
      <c r="AL845" s="22"/>
      <c r="AM845" s="22"/>
      <c r="AN845" s="22"/>
      <c r="AO845" s="40"/>
      <c r="AP845" s="40"/>
      <c r="AQ845" s="40"/>
      <c r="AR845" s="1"/>
      <c r="AS845" s="1"/>
      <c r="AT845" s="17"/>
      <c r="AU845" s="1"/>
      <c r="AV845" s="1"/>
      <c r="AW845" s="1"/>
      <c r="AX845" s="2"/>
      <c r="AY845" s="2"/>
      <c r="AZ845" s="1"/>
    </row>
    <row x14ac:dyDescent="0.25" r="846" customHeight="1" ht="18.75">
      <c r="A846" s="1"/>
      <c r="B846" s="1"/>
      <c r="C846" s="1"/>
      <c r="D846" s="1"/>
      <c r="E846" s="1"/>
      <c r="F846" s="1"/>
      <c r="G846" s="1"/>
      <c r="H846" s="1"/>
      <c r="I846" s="1"/>
      <c r="J846" s="1"/>
      <c r="K846" s="17"/>
      <c r="L846" s="1"/>
      <c r="M846" s="1"/>
      <c r="N846" s="2"/>
      <c r="O846" s="2"/>
      <c r="P846" s="1"/>
      <c r="Q846" s="1"/>
      <c r="R846" s="1"/>
      <c r="S846" s="1"/>
      <c r="T846" s="40"/>
      <c r="U846" s="40"/>
      <c r="V846" s="40"/>
      <c r="W846" s="40"/>
      <c r="X846" s="22"/>
      <c r="Y846" s="22"/>
      <c r="Z846" s="22"/>
      <c r="AA846" s="22"/>
      <c r="AB846" s="22"/>
      <c r="AC846" s="22"/>
      <c r="AD846" s="22"/>
      <c r="AE846" s="22"/>
      <c r="AF846" s="22"/>
      <c r="AG846" s="22"/>
      <c r="AH846" s="22"/>
      <c r="AI846" s="22"/>
      <c r="AJ846" s="40"/>
      <c r="AK846" s="22"/>
      <c r="AL846" s="22"/>
      <c r="AM846" s="22"/>
      <c r="AN846" s="22"/>
      <c r="AO846" s="40"/>
      <c r="AP846" s="40"/>
      <c r="AQ846" s="40"/>
      <c r="AR846" s="1"/>
      <c r="AS846" s="1"/>
      <c r="AT846" s="17"/>
      <c r="AU846" s="1"/>
      <c r="AV846" s="1"/>
      <c r="AW846" s="1"/>
      <c r="AX846" s="2"/>
      <c r="AY846" s="2"/>
      <c r="AZ846" s="1"/>
    </row>
    <row x14ac:dyDescent="0.25" r="847" customHeight="1" ht="18.75">
      <c r="A847" s="1"/>
      <c r="B847" s="1"/>
      <c r="C847" s="1"/>
      <c r="D847" s="1"/>
      <c r="E847" s="1"/>
      <c r="F847" s="1"/>
      <c r="G847" s="1"/>
      <c r="H847" s="1"/>
      <c r="I847" s="1"/>
      <c r="J847" s="1"/>
      <c r="K847" s="17"/>
      <c r="L847" s="1"/>
      <c r="M847" s="1"/>
      <c r="N847" s="2"/>
      <c r="O847" s="2"/>
      <c r="P847" s="1"/>
      <c r="Q847" s="1"/>
      <c r="R847" s="1"/>
      <c r="S847" s="1"/>
      <c r="T847" s="40"/>
      <c r="U847" s="40"/>
      <c r="V847" s="40"/>
      <c r="W847" s="40"/>
      <c r="X847" s="22"/>
      <c r="Y847" s="22"/>
      <c r="Z847" s="22"/>
      <c r="AA847" s="22"/>
      <c r="AB847" s="22"/>
      <c r="AC847" s="22"/>
      <c r="AD847" s="22"/>
      <c r="AE847" s="22"/>
      <c r="AF847" s="22"/>
      <c r="AG847" s="22"/>
      <c r="AH847" s="22"/>
      <c r="AI847" s="22"/>
      <c r="AJ847" s="40"/>
      <c r="AK847" s="22"/>
      <c r="AL847" s="22"/>
      <c r="AM847" s="22"/>
      <c r="AN847" s="22"/>
      <c r="AO847" s="40"/>
      <c r="AP847" s="40"/>
      <c r="AQ847" s="40"/>
      <c r="AR847" s="1"/>
      <c r="AS847" s="1"/>
      <c r="AT847" s="17"/>
      <c r="AU847" s="1"/>
      <c r="AV847" s="1"/>
      <c r="AW847" s="1"/>
      <c r="AX847" s="2"/>
      <c r="AY847" s="2"/>
      <c r="AZ847" s="1"/>
    </row>
    <row x14ac:dyDescent="0.25" r="848" customHeight="1" ht="18.75">
      <c r="A848" s="1"/>
      <c r="B848" s="1"/>
      <c r="C848" s="1"/>
      <c r="D848" s="1"/>
      <c r="E848" s="1"/>
      <c r="F848" s="1"/>
      <c r="G848" s="1"/>
      <c r="H848" s="1"/>
      <c r="I848" s="1"/>
      <c r="J848" s="1"/>
      <c r="K848" s="17"/>
      <c r="L848" s="1"/>
      <c r="M848" s="1"/>
      <c r="N848" s="2"/>
      <c r="O848" s="2"/>
      <c r="P848" s="1"/>
      <c r="Q848" s="1"/>
      <c r="R848" s="1"/>
      <c r="S848" s="1"/>
      <c r="T848" s="40"/>
      <c r="U848" s="40"/>
      <c r="V848" s="40"/>
      <c r="W848" s="40"/>
      <c r="X848" s="22"/>
      <c r="Y848" s="22"/>
      <c r="Z848" s="22"/>
      <c r="AA848" s="22"/>
      <c r="AB848" s="22"/>
      <c r="AC848" s="22"/>
      <c r="AD848" s="22"/>
      <c r="AE848" s="22"/>
      <c r="AF848" s="22"/>
      <c r="AG848" s="22"/>
      <c r="AH848" s="22"/>
      <c r="AI848" s="22"/>
      <c r="AJ848" s="40"/>
      <c r="AK848" s="22"/>
      <c r="AL848" s="22"/>
      <c r="AM848" s="22"/>
      <c r="AN848" s="22"/>
      <c r="AO848" s="40"/>
      <c r="AP848" s="40"/>
      <c r="AQ848" s="40"/>
      <c r="AR848" s="1"/>
      <c r="AS848" s="1"/>
      <c r="AT848" s="17"/>
      <c r="AU848" s="1"/>
      <c r="AV848" s="1"/>
      <c r="AW848" s="1"/>
      <c r="AX848" s="2"/>
      <c r="AY848" s="2"/>
      <c r="AZ848" s="1"/>
    </row>
    <row x14ac:dyDescent="0.25" r="849" customHeight="1" ht="18.75">
      <c r="A849" s="1"/>
      <c r="B849" s="1"/>
      <c r="C849" s="1"/>
      <c r="D849" s="1"/>
      <c r="E849" s="1"/>
      <c r="F849" s="1"/>
      <c r="G849" s="1"/>
      <c r="H849" s="1"/>
      <c r="I849" s="1"/>
      <c r="J849" s="1"/>
      <c r="K849" s="17"/>
      <c r="L849" s="1"/>
      <c r="M849" s="1"/>
      <c r="N849" s="2"/>
      <c r="O849" s="2"/>
      <c r="P849" s="1"/>
      <c r="Q849" s="1"/>
      <c r="R849" s="1"/>
      <c r="S849" s="1"/>
      <c r="T849" s="40"/>
      <c r="U849" s="40"/>
      <c r="V849" s="40"/>
      <c r="W849" s="40"/>
      <c r="X849" s="22"/>
      <c r="Y849" s="22"/>
      <c r="Z849" s="22"/>
      <c r="AA849" s="22"/>
      <c r="AB849" s="22"/>
      <c r="AC849" s="22"/>
      <c r="AD849" s="22"/>
      <c r="AE849" s="22"/>
      <c r="AF849" s="22"/>
      <c r="AG849" s="22"/>
      <c r="AH849" s="22"/>
      <c r="AI849" s="22"/>
      <c r="AJ849" s="40"/>
      <c r="AK849" s="22"/>
      <c r="AL849" s="22"/>
      <c r="AM849" s="22"/>
      <c r="AN849" s="22"/>
      <c r="AO849" s="40"/>
      <c r="AP849" s="40"/>
      <c r="AQ849" s="40"/>
      <c r="AR849" s="1"/>
      <c r="AS849" s="1"/>
      <c r="AT849" s="17"/>
      <c r="AU849" s="1"/>
      <c r="AV849" s="1"/>
      <c r="AW849" s="1"/>
      <c r="AX849" s="2"/>
      <c r="AY849" s="2"/>
      <c r="AZ849" s="1"/>
    </row>
    <row x14ac:dyDescent="0.25" r="850" customHeight="1" ht="18.75">
      <c r="A850" s="1"/>
      <c r="B850" s="1"/>
      <c r="C850" s="1"/>
      <c r="D850" s="1"/>
      <c r="E850" s="1"/>
      <c r="F850" s="1"/>
      <c r="G850" s="1"/>
      <c r="H850" s="1"/>
      <c r="I850" s="1"/>
      <c r="J850" s="1"/>
      <c r="K850" s="17"/>
      <c r="L850" s="1"/>
      <c r="M850" s="1"/>
      <c r="N850" s="2"/>
      <c r="O850" s="2"/>
      <c r="P850" s="1"/>
      <c r="Q850" s="1"/>
      <c r="R850" s="1"/>
      <c r="S850" s="1"/>
      <c r="T850" s="40"/>
      <c r="U850" s="40"/>
      <c r="V850" s="40"/>
      <c r="W850" s="40"/>
      <c r="X850" s="22"/>
      <c r="Y850" s="22"/>
      <c r="Z850" s="22"/>
      <c r="AA850" s="22"/>
      <c r="AB850" s="22"/>
      <c r="AC850" s="22"/>
      <c r="AD850" s="22"/>
      <c r="AE850" s="22"/>
      <c r="AF850" s="22"/>
      <c r="AG850" s="22"/>
      <c r="AH850" s="22"/>
      <c r="AI850" s="22"/>
      <c r="AJ850" s="40"/>
      <c r="AK850" s="22"/>
      <c r="AL850" s="22"/>
      <c r="AM850" s="22"/>
      <c r="AN850" s="22"/>
      <c r="AO850" s="40"/>
      <c r="AP850" s="40"/>
      <c r="AQ850" s="40"/>
      <c r="AR850" s="1"/>
      <c r="AS850" s="1"/>
      <c r="AT850" s="17"/>
      <c r="AU850" s="1"/>
      <c r="AV850" s="1"/>
      <c r="AW850" s="1"/>
      <c r="AX850" s="2"/>
      <c r="AY850" s="2"/>
      <c r="AZ850" s="1"/>
    </row>
    <row x14ac:dyDescent="0.25" r="851" customHeight="1" ht="18.75">
      <c r="A851" s="1"/>
      <c r="B851" s="1"/>
      <c r="C851" s="1"/>
      <c r="D851" s="1"/>
      <c r="E851" s="1"/>
      <c r="F851" s="1"/>
      <c r="G851" s="1"/>
      <c r="H851" s="1"/>
      <c r="I851" s="1"/>
      <c r="J851" s="1"/>
      <c r="K851" s="17"/>
      <c r="L851" s="1"/>
      <c r="M851" s="1"/>
      <c r="N851" s="2"/>
      <c r="O851" s="2"/>
      <c r="P851" s="1"/>
      <c r="Q851" s="1"/>
      <c r="R851" s="1"/>
      <c r="S851" s="1"/>
      <c r="T851" s="40"/>
      <c r="U851" s="40"/>
      <c r="V851" s="40"/>
      <c r="W851" s="40"/>
      <c r="X851" s="22"/>
      <c r="Y851" s="22"/>
      <c r="Z851" s="22"/>
      <c r="AA851" s="22"/>
      <c r="AB851" s="22"/>
      <c r="AC851" s="22"/>
      <c r="AD851" s="22"/>
      <c r="AE851" s="22"/>
      <c r="AF851" s="22"/>
      <c r="AG851" s="22"/>
      <c r="AH851" s="22"/>
      <c r="AI851" s="22"/>
      <c r="AJ851" s="40"/>
      <c r="AK851" s="22"/>
      <c r="AL851" s="22"/>
      <c r="AM851" s="22"/>
      <c r="AN851" s="22"/>
      <c r="AO851" s="40"/>
      <c r="AP851" s="40"/>
      <c r="AQ851" s="40"/>
      <c r="AR851" s="1"/>
      <c r="AS851" s="1"/>
      <c r="AT851" s="17"/>
      <c r="AU851" s="1"/>
      <c r="AV851" s="1"/>
      <c r="AW851" s="1"/>
      <c r="AX851" s="2"/>
      <c r="AY851" s="2"/>
      <c r="AZ851" s="1"/>
    </row>
    <row x14ac:dyDescent="0.25" r="852" customHeight="1" ht="18.75">
      <c r="A852" s="1"/>
      <c r="B852" s="1"/>
      <c r="C852" s="1"/>
      <c r="D852" s="1"/>
      <c r="E852" s="1"/>
      <c r="F852" s="1"/>
      <c r="G852" s="1"/>
      <c r="H852" s="1"/>
      <c r="I852" s="1"/>
      <c r="J852" s="1"/>
      <c r="K852" s="17"/>
      <c r="L852" s="1"/>
      <c r="M852" s="1"/>
      <c r="N852" s="2"/>
      <c r="O852" s="2"/>
      <c r="P852" s="1"/>
      <c r="Q852" s="1"/>
      <c r="R852" s="1"/>
      <c r="S852" s="1"/>
      <c r="T852" s="40"/>
      <c r="U852" s="40"/>
      <c r="V852" s="40"/>
      <c r="W852" s="40"/>
      <c r="X852" s="22"/>
      <c r="Y852" s="22"/>
      <c r="Z852" s="22"/>
      <c r="AA852" s="22"/>
      <c r="AB852" s="22"/>
      <c r="AC852" s="22"/>
      <c r="AD852" s="22"/>
      <c r="AE852" s="22"/>
      <c r="AF852" s="22"/>
      <c r="AG852" s="22"/>
      <c r="AH852" s="22"/>
      <c r="AI852" s="22"/>
      <c r="AJ852" s="40"/>
      <c r="AK852" s="22"/>
      <c r="AL852" s="22"/>
      <c r="AM852" s="22"/>
      <c r="AN852" s="22"/>
      <c r="AO852" s="40"/>
      <c r="AP852" s="40"/>
      <c r="AQ852" s="40"/>
      <c r="AR852" s="1"/>
      <c r="AS852" s="1"/>
      <c r="AT852" s="17"/>
      <c r="AU852" s="1"/>
      <c r="AV852" s="1"/>
      <c r="AW852" s="1"/>
      <c r="AX852" s="2"/>
      <c r="AY852" s="2"/>
      <c r="AZ852" s="1"/>
    </row>
    <row x14ac:dyDescent="0.25" r="853" customHeight="1" ht="18.75">
      <c r="A853" s="1"/>
      <c r="B853" s="1"/>
      <c r="C853" s="1"/>
      <c r="D853" s="1"/>
      <c r="E853" s="1"/>
      <c r="F853" s="1"/>
      <c r="G853" s="1"/>
      <c r="H853" s="1"/>
      <c r="I853" s="1"/>
      <c r="J853" s="1"/>
      <c r="K853" s="17"/>
      <c r="L853" s="1"/>
      <c r="M853" s="1"/>
      <c r="N853" s="2"/>
      <c r="O853" s="2"/>
      <c r="P853" s="1"/>
      <c r="Q853" s="1"/>
      <c r="R853" s="1"/>
      <c r="S853" s="1"/>
      <c r="T853" s="40"/>
      <c r="U853" s="40"/>
      <c r="V853" s="40"/>
      <c r="W853" s="40"/>
      <c r="X853" s="22"/>
      <c r="Y853" s="22"/>
      <c r="Z853" s="22"/>
      <c r="AA853" s="22"/>
      <c r="AB853" s="22"/>
      <c r="AC853" s="22"/>
      <c r="AD853" s="22"/>
      <c r="AE853" s="22"/>
      <c r="AF853" s="22"/>
      <c r="AG853" s="22"/>
      <c r="AH853" s="22"/>
      <c r="AI853" s="22"/>
      <c r="AJ853" s="40"/>
      <c r="AK853" s="22"/>
      <c r="AL853" s="22"/>
      <c r="AM853" s="22"/>
      <c r="AN853" s="22"/>
      <c r="AO853" s="40"/>
      <c r="AP853" s="40"/>
      <c r="AQ853" s="40"/>
      <c r="AR853" s="1"/>
      <c r="AS853" s="1"/>
      <c r="AT853" s="17"/>
      <c r="AU853" s="1"/>
      <c r="AV853" s="1"/>
      <c r="AW853" s="1"/>
      <c r="AX853" s="2"/>
      <c r="AY853" s="2"/>
      <c r="AZ853" s="1"/>
    </row>
    <row x14ac:dyDescent="0.25" r="854" customHeight="1" ht="18.75">
      <c r="A854" s="1"/>
      <c r="B854" s="1"/>
      <c r="C854" s="1"/>
      <c r="D854" s="1"/>
      <c r="E854" s="1"/>
      <c r="F854" s="1"/>
      <c r="G854" s="1"/>
      <c r="H854" s="1"/>
      <c r="I854" s="1"/>
      <c r="J854" s="1"/>
      <c r="K854" s="17"/>
      <c r="L854" s="1"/>
      <c r="M854" s="1"/>
      <c r="N854" s="2"/>
      <c r="O854" s="2"/>
      <c r="P854" s="1"/>
      <c r="Q854" s="1"/>
      <c r="R854" s="1"/>
      <c r="S854" s="1"/>
      <c r="T854" s="40"/>
      <c r="U854" s="40"/>
      <c r="V854" s="40"/>
      <c r="W854" s="40"/>
      <c r="X854" s="22"/>
      <c r="Y854" s="22"/>
      <c r="Z854" s="22"/>
      <c r="AA854" s="22"/>
      <c r="AB854" s="22"/>
      <c r="AC854" s="22"/>
      <c r="AD854" s="22"/>
      <c r="AE854" s="22"/>
      <c r="AF854" s="22"/>
      <c r="AG854" s="22"/>
      <c r="AH854" s="22"/>
      <c r="AI854" s="22"/>
      <c r="AJ854" s="40"/>
      <c r="AK854" s="22"/>
      <c r="AL854" s="22"/>
      <c r="AM854" s="22"/>
      <c r="AN854" s="22"/>
      <c r="AO854" s="40"/>
      <c r="AP854" s="40"/>
      <c r="AQ854" s="40"/>
      <c r="AR854" s="1"/>
      <c r="AS854" s="1"/>
      <c r="AT854" s="17"/>
      <c r="AU854" s="1"/>
      <c r="AV854" s="1"/>
      <c r="AW854" s="1"/>
      <c r="AX854" s="2"/>
      <c r="AY854" s="2"/>
      <c r="AZ854" s="1"/>
    </row>
    <row x14ac:dyDescent="0.25" r="855" customHeight="1" ht="18.75">
      <c r="A855" s="1"/>
      <c r="B855" s="1"/>
      <c r="C855" s="1"/>
      <c r="D855" s="1"/>
      <c r="E855" s="1"/>
      <c r="F855" s="1"/>
      <c r="G855" s="1"/>
      <c r="H855" s="1"/>
      <c r="I855" s="1"/>
      <c r="J855" s="1"/>
      <c r="K855" s="17"/>
      <c r="L855" s="1"/>
      <c r="M855" s="1"/>
      <c r="N855" s="2"/>
      <c r="O855" s="2"/>
      <c r="P855" s="1"/>
      <c r="Q855" s="1"/>
      <c r="R855" s="1"/>
      <c r="S855" s="1"/>
      <c r="T855" s="40"/>
      <c r="U855" s="40"/>
      <c r="V855" s="40"/>
      <c r="W855" s="40"/>
      <c r="X855" s="22"/>
      <c r="Y855" s="22"/>
      <c r="Z855" s="22"/>
      <c r="AA855" s="22"/>
      <c r="AB855" s="22"/>
      <c r="AC855" s="22"/>
      <c r="AD855" s="22"/>
      <c r="AE855" s="22"/>
      <c r="AF855" s="22"/>
      <c r="AG855" s="22"/>
      <c r="AH855" s="22"/>
      <c r="AI855" s="22"/>
      <c r="AJ855" s="40"/>
      <c r="AK855" s="22"/>
      <c r="AL855" s="22"/>
      <c r="AM855" s="22"/>
      <c r="AN855" s="22"/>
      <c r="AO855" s="40"/>
      <c r="AP855" s="40"/>
      <c r="AQ855" s="40"/>
      <c r="AR855" s="1"/>
      <c r="AS855" s="1"/>
      <c r="AT855" s="17"/>
      <c r="AU855" s="1"/>
      <c r="AV855" s="1"/>
      <c r="AW855" s="1"/>
      <c r="AX855" s="2"/>
      <c r="AY855" s="2"/>
      <c r="AZ855" s="1"/>
    </row>
    <row x14ac:dyDescent="0.25" r="856" customHeight="1" ht="18.75">
      <c r="A856" s="1"/>
      <c r="B856" s="1"/>
      <c r="C856" s="1"/>
      <c r="D856" s="1"/>
      <c r="E856" s="1"/>
      <c r="F856" s="1"/>
      <c r="G856" s="1"/>
      <c r="H856" s="1"/>
      <c r="I856" s="1"/>
      <c r="J856" s="1"/>
      <c r="K856" s="17"/>
      <c r="L856" s="1"/>
      <c r="M856" s="1"/>
      <c r="N856" s="2"/>
      <c r="O856" s="2"/>
      <c r="P856" s="1"/>
      <c r="Q856" s="1"/>
      <c r="R856" s="1"/>
      <c r="S856" s="1"/>
      <c r="T856" s="40"/>
      <c r="U856" s="40"/>
      <c r="V856" s="40"/>
      <c r="W856" s="40"/>
      <c r="X856" s="22"/>
      <c r="Y856" s="22"/>
      <c r="Z856" s="22"/>
      <c r="AA856" s="22"/>
      <c r="AB856" s="22"/>
      <c r="AC856" s="22"/>
      <c r="AD856" s="22"/>
      <c r="AE856" s="22"/>
      <c r="AF856" s="22"/>
      <c r="AG856" s="22"/>
      <c r="AH856" s="22"/>
      <c r="AI856" s="22"/>
      <c r="AJ856" s="40"/>
      <c r="AK856" s="22"/>
      <c r="AL856" s="22"/>
      <c r="AM856" s="22"/>
      <c r="AN856" s="22"/>
      <c r="AO856" s="40"/>
      <c r="AP856" s="40"/>
      <c r="AQ856" s="40"/>
      <c r="AR856" s="1"/>
      <c r="AS856" s="1"/>
      <c r="AT856" s="17"/>
      <c r="AU856" s="1"/>
      <c r="AV856" s="1"/>
      <c r="AW856" s="1"/>
      <c r="AX856" s="2"/>
      <c r="AY856" s="2"/>
      <c r="AZ856" s="1"/>
    </row>
    <row x14ac:dyDescent="0.25" r="857" customHeight="1" ht="18.75">
      <c r="A857" s="1"/>
      <c r="B857" s="1"/>
      <c r="C857" s="1"/>
      <c r="D857" s="1"/>
      <c r="E857" s="1"/>
      <c r="F857" s="1"/>
      <c r="G857" s="1"/>
      <c r="H857" s="1"/>
      <c r="I857" s="1"/>
      <c r="J857" s="1"/>
      <c r="K857" s="17"/>
      <c r="L857" s="1"/>
      <c r="M857" s="1"/>
      <c r="N857" s="2"/>
      <c r="O857" s="2"/>
      <c r="P857" s="1"/>
      <c r="Q857" s="1"/>
      <c r="R857" s="1"/>
      <c r="S857" s="1"/>
      <c r="T857" s="40"/>
      <c r="U857" s="40"/>
      <c r="V857" s="40"/>
      <c r="W857" s="40"/>
      <c r="X857" s="22"/>
      <c r="Y857" s="22"/>
      <c r="Z857" s="22"/>
      <c r="AA857" s="22"/>
      <c r="AB857" s="22"/>
      <c r="AC857" s="22"/>
      <c r="AD857" s="22"/>
      <c r="AE857" s="22"/>
      <c r="AF857" s="22"/>
      <c r="AG857" s="22"/>
      <c r="AH857" s="22"/>
      <c r="AI857" s="22"/>
      <c r="AJ857" s="40"/>
      <c r="AK857" s="22"/>
      <c r="AL857" s="22"/>
      <c r="AM857" s="22"/>
      <c r="AN857" s="22"/>
      <c r="AO857" s="40"/>
      <c r="AP857" s="40"/>
      <c r="AQ857" s="40"/>
      <c r="AR857" s="1"/>
      <c r="AS857" s="1"/>
      <c r="AT857" s="17"/>
      <c r="AU857" s="1"/>
      <c r="AV857" s="1"/>
      <c r="AW857" s="1"/>
      <c r="AX857" s="2"/>
      <c r="AY857" s="2"/>
      <c r="AZ857" s="1"/>
    </row>
    <row x14ac:dyDescent="0.25" r="858" customHeight="1" ht="18.75">
      <c r="A858" s="1"/>
      <c r="B858" s="1"/>
      <c r="C858" s="1"/>
      <c r="D858" s="1"/>
      <c r="E858" s="1"/>
      <c r="F858" s="1"/>
      <c r="G858" s="1"/>
      <c r="H858" s="1"/>
      <c r="I858" s="1"/>
      <c r="J858" s="1"/>
      <c r="K858" s="17"/>
      <c r="L858" s="1"/>
      <c r="M858" s="1"/>
      <c r="N858" s="2"/>
      <c r="O858" s="2"/>
      <c r="P858" s="1"/>
      <c r="Q858" s="1"/>
      <c r="R858" s="1"/>
      <c r="S858" s="1"/>
      <c r="T858" s="40"/>
      <c r="U858" s="40"/>
      <c r="V858" s="40"/>
      <c r="W858" s="40"/>
      <c r="X858" s="22"/>
      <c r="Y858" s="22"/>
      <c r="Z858" s="22"/>
      <c r="AA858" s="22"/>
      <c r="AB858" s="22"/>
      <c r="AC858" s="22"/>
      <c r="AD858" s="22"/>
      <c r="AE858" s="22"/>
      <c r="AF858" s="22"/>
      <c r="AG858" s="22"/>
      <c r="AH858" s="22"/>
      <c r="AI858" s="22"/>
      <c r="AJ858" s="40"/>
      <c r="AK858" s="22"/>
      <c r="AL858" s="22"/>
      <c r="AM858" s="22"/>
      <c r="AN858" s="22"/>
      <c r="AO858" s="40"/>
      <c r="AP858" s="40"/>
      <c r="AQ858" s="40"/>
      <c r="AR858" s="1"/>
      <c r="AS858" s="1"/>
      <c r="AT858" s="17"/>
      <c r="AU858" s="1"/>
      <c r="AV858" s="1"/>
      <c r="AW858" s="1"/>
      <c r="AX858" s="2"/>
      <c r="AY858" s="2"/>
      <c r="AZ858" s="1"/>
    </row>
    <row x14ac:dyDescent="0.25" r="859" customHeight="1" ht="18.75">
      <c r="A859" s="1"/>
      <c r="B859" s="1"/>
      <c r="C859" s="1"/>
      <c r="D859" s="1"/>
      <c r="E859" s="1"/>
      <c r="F859" s="1"/>
      <c r="G859" s="1"/>
      <c r="H859" s="1"/>
      <c r="I859" s="1"/>
      <c r="J859" s="1"/>
      <c r="K859" s="17"/>
      <c r="L859" s="1"/>
      <c r="M859" s="1"/>
      <c r="N859" s="2"/>
      <c r="O859" s="2"/>
      <c r="P859" s="1"/>
      <c r="Q859" s="1"/>
      <c r="R859" s="1"/>
      <c r="S859" s="1"/>
      <c r="T859" s="40"/>
      <c r="U859" s="40"/>
      <c r="V859" s="40"/>
      <c r="W859" s="40"/>
      <c r="X859" s="22"/>
      <c r="Y859" s="22"/>
      <c r="Z859" s="22"/>
      <c r="AA859" s="22"/>
      <c r="AB859" s="22"/>
      <c r="AC859" s="22"/>
      <c r="AD859" s="22"/>
      <c r="AE859" s="22"/>
      <c r="AF859" s="22"/>
      <c r="AG859" s="22"/>
      <c r="AH859" s="22"/>
      <c r="AI859" s="22"/>
      <c r="AJ859" s="40"/>
      <c r="AK859" s="22"/>
      <c r="AL859" s="22"/>
      <c r="AM859" s="22"/>
      <c r="AN859" s="22"/>
      <c r="AO859" s="40"/>
      <c r="AP859" s="40"/>
      <c r="AQ859" s="40"/>
      <c r="AR859" s="1"/>
      <c r="AS859" s="1"/>
      <c r="AT859" s="17"/>
      <c r="AU859" s="1"/>
      <c r="AV859" s="1"/>
      <c r="AW859" s="1"/>
      <c r="AX859" s="2"/>
      <c r="AY859" s="2"/>
      <c r="AZ859" s="1"/>
    </row>
    <row x14ac:dyDescent="0.25" r="860" customHeight="1" ht="18.75">
      <c r="A860" s="1"/>
      <c r="B860" s="1"/>
      <c r="C860" s="1"/>
      <c r="D860" s="1"/>
      <c r="E860" s="1"/>
      <c r="F860" s="1"/>
      <c r="G860" s="1"/>
      <c r="H860" s="1"/>
      <c r="I860" s="1"/>
      <c r="J860" s="1"/>
      <c r="K860" s="17"/>
      <c r="L860" s="1"/>
      <c r="M860" s="1"/>
      <c r="N860" s="2"/>
      <c r="O860" s="2"/>
      <c r="P860" s="1"/>
      <c r="Q860" s="1"/>
      <c r="R860" s="1"/>
      <c r="S860" s="1"/>
      <c r="T860" s="40"/>
      <c r="U860" s="40"/>
      <c r="V860" s="40"/>
      <c r="W860" s="40"/>
      <c r="X860" s="22"/>
      <c r="Y860" s="22"/>
      <c r="Z860" s="22"/>
      <c r="AA860" s="22"/>
      <c r="AB860" s="22"/>
      <c r="AC860" s="22"/>
      <c r="AD860" s="22"/>
      <c r="AE860" s="22"/>
      <c r="AF860" s="22"/>
      <c r="AG860" s="22"/>
      <c r="AH860" s="22"/>
      <c r="AI860" s="22"/>
      <c r="AJ860" s="40"/>
      <c r="AK860" s="22"/>
      <c r="AL860" s="22"/>
      <c r="AM860" s="22"/>
      <c r="AN860" s="22"/>
      <c r="AO860" s="40"/>
      <c r="AP860" s="40"/>
      <c r="AQ860" s="40"/>
      <c r="AR860" s="1"/>
      <c r="AS860" s="1"/>
      <c r="AT860" s="17"/>
      <c r="AU860" s="1"/>
      <c r="AV860" s="1"/>
      <c r="AW860" s="1"/>
      <c r="AX860" s="2"/>
      <c r="AY860" s="2"/>
      <c r="AZ860" s="1"/>
    </row>
    <row x14ac:dyDescent="0.25" r="861" customHeight="1" ht="18.75">
      <c r="A861" s="1"/>
      <c r="B861" s="1"/>
      <c r="C861" s="1"/>
      <c r="D861" s="1"/>
      <c r="E861" s="1"/>
      <c r="F861" s="1"/>
      <c r="G861" s="1"/>
      <c r="H861" s="1"/>
      <c r="I861" s="1"/>
      <c r="J861" s="1"/>
      <c r="K861" s="17"/>
      <c r="L861" s="1"/>
      <c r="M861" s="1"/>
      <c r="N861" s="2"/>
      <c r="O861" s="2"/>
      <c r="P861" s="1"/>
      <c r="Q861" s="1"/>
      <c r="R861" s="1"/>
      <c r="S861" s="1"/>
      <c r="T861" s="40"/>
      <c r="U861" s="40"/>
      <c r="V861" s="40"/>
      <c r="W861" s="40"/>
      <c r="X861" s="22"/>
      <c r="Y861" s="22"/>
      <c r="Z861" s="22"/>
      <c r="AA861" s="22"/>
      <c r="AB861" s="22"/>
      <c r="AC861" s="22"/>
      <c r="AD861" s="22"/>
      <c r="AE861" s="22"/>
      <c r="AF861" s="22"/>
      <c r="AG861" s="22"/>
      <c r="AH861" s="22"/>
      <c r="AI861" s="22"/>
      <c r="AJ861" s="40"/>
      <c r="AK861" s="22"/>
      <c r="AL861" s="22"/>
      <c r="AM861" s="22"/>
      <c r="AN861" s="22"/>
      <c r="AO861" s="40"/>
      <c r="AP861" s="40"/>
      <c r="AQ861" s="40"/>
      <c r="AR861" s="1"/>
      <c r="AS861" s="1"/>
      <c r="AT861" s="17"/>
      <c r="AU861" s="1"/>
      <c r="AV861" s="1"/>
      <c r="AW861" s="1"/>
      <c r="AX861" s="2"/>
      <c r="AY861" s="2"/>
      <c r="AZ861" s="1"/>
    </row>
    <row x14ac:dyDescent="0.25" r="862" customHeight="1" ht="18.75">
      <c r="A862" s="1"/>
      <c r="B862" s="1"/>
      <c r="C862" s="1"/>
      <c r="D862" s="1"/>
      <c r="E862" s="1"/>
      <c r="F862" s="1"/>
      <c r="G862" s="1"/>
      <c r="H862" s="1"/>
      <c r="I862" s="1"/>
      <c r="J862" s="1"/>
      <c r="K862" s="17"/>
      <c r="L862" s="1"/>
      <c r="M862" s="1"/>
      <c r="N862" s="2"/>
      <c r="O862" s="2"/>
      <c r="P862" s="1"/>
      <c r="Q862" s="1"/>
      <c r="R862" s="1"/>
      <c r="S862" s="1"/>
      <c r="T862" s="40"/>
      <c r="U862" s="40"/>
      <c r="V862" s="40"/>
      <c r="W862" s="40"/>
      <c r="X862" s="22"/>
      <c r="Y862" s="22"/>
      <c r="Z862" s="22"/>
      <c r="AA862" s="22"/>
      <c r="AB862" s="22"/>
      <c r="AC862" s="22"/>
      <c r="AD862" s="22"/>
      <c r="AE862" s="22"/>
      <c r="AF862" s="22"/>
      <c r="AG862" s="22"/>
      <c r="AH862" s="22"/>
      <c r="AI862" s="22"/>
      <c r="AJ862" s="40"/>
      <c r="AK862" s="22"/>
      <c r="AL862" s="22"/>
      <c r="AM862" s="22"/>
      <c r="AN862" s="22"/>
      <c r="AO862" s="40"/>
      <c r="AP862" s="40"/>
      <c r="AQ862" s="40"/>
      <c r="AR862" s="1"/>
      <c r="AS862" s="1"/>
      <c r="AT862" s="17"/>
      <c r="AU862" s="1"/>
      <c r="AV862" s="1"/>
      <c r="AW862" s="1"/>
      <c r="AX862" s="2"/>
      <c r="AY862" s="2"/>
      <c r="AZ862" s="1"/>
    </row>
    <row x14ac:dyDescent="0.25" r="863" customHeight="1" ht="18.75">
      <c r="A863" s="1"/>
      <c r="B863" s="1"/>
      <c r="C863" s="1"/>
      <c r="D863" s="1"/>
      <c r="E863" s="1"/>
      <c r="F863" s="1"/>
      <c r="G863" s="1"/>
      <c r="H863" s="1"/>
      <c r="I863" s="1"/>
      <c r="J863" s="1"/>
      <c r="K863" s="17"/>
      <c r="L863" s="1"/>
      <c r="M863" s="1"/>
      <c r="N863" s="2"/>
      <c r="O863" s="2"/>
      <c r="P863" s="1"/>
      <c r="Q863" s="1"/>
      <c r="R863" s="1"/>
      <c r="S863" s="1"/>
      <c r="T863" s="40"/>
      <c r="U863" s="40"/>
      <c r="V863" s="40"/>
      <c r="W863" s="40"/>
      <c r="X863" s="22"/>
      <c r="Y863" s="22"/>
      <c r="Z863" s="22"/>
      <c r="AA863" s="22"/>
      <c r="AB863" s="22"/>
      <c r="AC863" s="22"/>
      <c r="AD863" s="22"/>
      <c r="AE863" s="22"/>
      <c r="AF863" s="22"/>
      <c r="AG863" s="22"/>
      <c r="AH863" s="22"/>
      <c r="AI863" s="22"/>
      <c r="AJ863" s="40"/>
      <c r="AK863" s="22"/>
      <c r="AL863" s="22"/>
      <c r="AM863" s="22"/>
      <c r="AN863" s="22"/>
      <c r="AO863" s="40"/>
      <c r="AP863" s="40"/>
      <c r="AQ863" s="40"/>
      <c r="AR863" s="1"/>
      <c r="AS863" s="1"/>
      <c r="AT863" s="17"/>
      <c r="AU863" s="1"/>
      <c r="AV863" s="1"/>
      <c r="AW863" s="1"/>
      <c r="AX863" s="2"/>
      <c r="AY863" s="2"/>
      <c r="AZ863" s="1"/>
    </row>
    <row x14ac:dyDescent="0.25" r="864" customHeight="1" ht="18.75">
      <c r="A864" s="1"/>
      <c r="B864" s="1"/>
      <c r="C864" s="1"/>
      <c r="D864" s="1"/>
      <c r="E864" s="1"/>
      <c r="F864" s="1"/>
      <c r="G864" s="1"/>
      <c r="H864" s="1"/>
      <c r="I864" s="1"/>
      <c r="J864" s="1"/>
      <c r="K864" s="17"/>
      <c r="L864" s="1"/>
      <c r="M864" s="1"/>
      <c r="N864" s="2"/>
      <c r="O864" s="2"/>
      <c r="P864" s="1"/>
      <c r="Q864" s="1"/>
      <c r="R864" s="1"/>
      <c r="S864" s="1"/>
      <c r="T864" s="40"/>
      <c r="U864" s="40"/>
      <c r="V864" s="40"/>
      <c r="W864" s="40"/>
      <c r="X864" s="22"/>
      <c r="Y864" s="22"/>
      <c r="Z864" s="22"/>
      <c r="AA864" s="22"/>
      <c r="AB864" s="22"/>
      <c r="AC864" s="22"/>
      <c r="AD864" s="22"/>
      <c r="AE864" s="22"/>
      <c r="AF864" s="22"/>
      <c r="AG864" s="22"/>
      <c r="AH864" s="22"/>
      <c r="AI864" s="22"/>
      <c r="AJ864" s="40"/>
      <c r="AK864" s="22"/>
      <c r="AL864" s="22"/>
      <c r="AM864" s="22"/>
      <c r="AN864" s="22"/>
      <c r="AO864" s="40"/>
      <c r="AP864" s="40"/>
      <c r="AQ864" s="40"/>
      <c r="AR864" s="1"/>
      <c r="AS864" s="1"/>
      <c r="AT864" s="17"/>
      <c r="AU864" s="1"/>
      <c r="AV864" s="1"/>
      <c r="AW864" s="1"/>
      <c r="AX864" s="2"/>
      <c r="AY864" s="2"/>
      <c r="AZ864" s="1"/>
    </row>
    <row x14ac:dyDescent="0.25" r="865" customHeight="1" ht="18.75">
      <c r="A865" s="1"/>
      <c r="B865" s="1"/>
      <c r="C865" s="1"/>
      <c r="D865" s="1"/>
      <c r="E865" s="1"/>
      <c r="F865" s="1"/>
      <c r="G865" s="1"/>
      <c r="H865" s="1"/>
      <c r="I865" s="1"/>
      <c r="J865" s="1"/>
      <c r="K865" s="17"/>
      <c r="L865" s="1"/>
      <c r="M865" s="1"/>
      <c r="N865" s="2"/>
      <c r="O865" s="2"/>
      <c r="P865" s="1"/>
      <c r="Q865" s="1"/>
      <c r="R865" s="1"/>
      <c r="S865" s="1"/>
      <c r="T865" s="40"/>
      <c r="U865" s="40"/>
      <c r="V865" s="40"/>
      <c r="W865" s="40"/>
      <c r="X865" s="22"/>
      <c r="Y865" s="22"/>
      <c r="Z865" s="22"/>
      <c r="AA865" s="22"/>
      <c r="AB865" s="22"/>
      <c r="AC865" s="22"/>
      <c r="AD865" s="22"/>
      <c r="AE865" s="22"/>
      <c r="AF865" s="22"/>
      <c r="AG865" s="22"/>
      <c r="AH865" s="22"/>
      <c r="AI865" s="22"/>
      <c r="AJ865" s="40"/>
      <c r="AK865" s="22"/>
      <c r="AL865" s="22"/>
      <c r="AM865" s="22"/>
      <c r="AN865" s="22"/>
      <c r="AO865" s="40"/>
      <c r="AP865" s="40"/>
      <c r="AQ865" s="40"/>
      <c r="AR865" s="1"/>
      <c r="AS865" s="1"/>
      <c r="AT865" s="17"/>
      <c r="AU865" s="1"/>
      <c r="AV865" s="1"/>
      <c r="AW865" s="1"/>
      <c r="AX865" s="2"/>
      <c r="AY865" s="2"/>
      <c r="AZ865" s="1"/>
    </row>
    <row x14ac:dyDescent="0.25" r="866" customHeight="1" ht="18.75">
      <c r="A866" s="1"/>
      <c r="B866" s="1"/>
      <c r="C866" s="1"/>
      <c r="D866" s="1"/>
      <c r="E866" s="1"/>
      <c r="F866" s="1"/>
      <c r="G866" s="1"/>
      <c r="H866" s="1"/>
      <c r="I866" s="1"/>
      <c r="J866" s="1"/>
      <c r="K866" s="17"/>
      <c r="L866" s="1"/>
      <c r="M866" s="1"/>
      <c r="N866" s="2"/>
      <c r="O866" s="2"/>
      <c r="P866" s="1"/>
      <c r="Q866" s="1"/>
      <c r="R866" s="1"/>
      <c r="S866" s="1"/>
      <c r="T866" s="40"/>
      <c r="U866" s="40"/>
      <c r="V866" s="40"/>
      <c r="W866" s="40"/>
      <c r="X866" s="22"/>
      <c r="Y866" s="22"/>
      <c r="Z866" s="22"/>
      <c r="AA866" s="22"/>
      <c r="AB866" s="22"/>
      <c r="AC866" s="22"/>
      <c r="AD866" s="22"/>
      <c r="AE866" s="22"/>
      <c r="AF866" s="22"/>
      <c r="AG866" s="22"/>
      <c r="AH866" s="22"/>
      <c r="AI866" s="22"/>
      <c r="AJ866" s="40"/>
      <c r="AK866" s="22"/>
      <c r="AL866" s="22"/>
      <c r="AM866" s="22"/>
      <c r="AN866" s="22"/>
      <c r="AO866" s="40"/>
      <c r="AP866" s="40"/>
      <c r="AQ866" s="40"/>
      <c r="AR866" s="1"/>
      <c r="AS866" s="1"/>
      <c r="AT866" s="17"/>
      <c r="AU866" s="1"/>
      <c r="AV866" s="1"/>
      <c r="AW866" s="1"/>
      <c r="AX866" s="2"/>
      <c r="AY866" s="2"/>
      <c r="AZ866" s="1"/>
    </row>
    <row x14ac:dyDescent="0.25" r="867" customHeight="1" ht="18.75">
      <c r="A867" s="1"/>
      <c r="B867" s="1"/>
      <c r="C867" s="1"/>
      <c r="D867" s="1"/>
      <c r="E867" s="1"/>
      <c r="F867" s="1"/>
      <c r="G867" s="1"/>
      <c r="H867" s="1"/>
      <c r="I867" s="1"/>
      <c r="J867" s="1"/>
      <c r="K867" s="17"/>
      <c r="L867" s="1"/>
      <c r="M867" s="1"/>
      <c r="N867" s="2"/>
      <c r="O867" s="2"/>
      <c r="P867" s="1"/>
      <c r="Q867" s="1"/>
      <c r="R867" s="1"/>
      <c r="S867" s="1"/>
      <c r="T867" s="40"/>
      <c r="U867" s="40"/>
      <c r="V867" s="40"/>
      <c r="W867" s="40"/>
      <c r="X867" s="22"/>
      <c r="Y867" s="22"/>
      <c r="Z867" s="22"/>
      <c r="AA867" s="22"/>
      <c r="AB867" s="22"/>
      <c r="AC867" s="22"/>
      <c r="AD867" s="22"/>
      <c r="AE867" s="22"/>
      <c r="AF867" s="22"/>
      <c r="AG867" s="22"/>
      <c r="AH867" s="22"/>
      <c r="AI867" s="22"/>
      <c r="AJ867" s="40"/>
      <c r="AK867" s="22"/>
      <c r="AL867" s="22"/>
      <c r="AM867" s="22"/>
      <c r="AN867" s="22"/>
      <c r="AO867" s="40"/>
      <c r="AP867" s="40"/>
      <c r="AQ867" s="40"/>
      <c r="AR867" s="1"/>
      <c r="AS867" s="1"/>
      <c r="AT867" s="17"/>
      <c r="AU867" s="1"/>
      <c r="AV867" s="1"/>
      <c r="AW867" s="1"/>
      <c r="AX867" s="2"/>
      <c r="AY867" s="2"/>
      <c r="AZ867" s="1"/>
    </row>
    <row x14ac:dyDescent="0.25" r="868" customHeight="1" ht="18.75">
      <c r="A868" s="1"/>
      <c r="B868" s="1"/>
      <c r="C868" s="1"/>
      <c r="D868" s="1"/>
      <c r="E868" s="1"/>
      <c r="F868" s="1"/>
      <c r="G868" s="1"/>
      <c r="H868" s="1"/>
      <c r="I868" s="1"/>
      <c r="J868" s="1"/>
      <c r="K868" s="17"/>
      <c r="L868" s="1"/>
      <c r="M868" s="1"/>
      <c r="N868" s="2"/>
      <c r="O868" s="2"/>
      <c r="P868" s="1"/>
      <c r="Q868" s="1"/>
      <c r="R868" s="1"/>
      <c r="S868" s="1"/>
      <c r="T868" s="40"/>
      <c r="U868" s="40"/>
      <c r="V868" s="40"/>
      <c r="W868" s="40"/>
      <c r="X868" s="22"/>
      <c r="Y868" s="22"/>
      <c r="Z868" s="22"/>
      <c r="AA868" s="22"/>
      <c r="AB868" s="22"/>
      <c r="AC868" s="22"/>
      <c r="AD868" s="22"/>
      <c r="AE868" s="22"/>
      <c r="AF868" s="22"/>
      <c r="AG868" s="22"/>
      <c r="AH868" s="22"/>
      <c r="AI868" s="22"/>
      <c r="AJ868" s="40"/>
      <c r="AK868" s="22"/>
      <c r="AL868" s="22"/>
      <c r="AM868" s="22"/>
      <c r="AN868" s="22"/>
      <c r="AO868" s="40"/>
      <c r="AP868" s="40"/>
      <c r="AQ868" s="40"/>
      <c r="AR868" s="1"/>
      <c r="AS868" s="1"/>
      <c r="AT868" s="17"/>
      <c r="AU868" s="1"/>
      <c r="AV868" s="1"/>
      <c r="AW868" s="1"/>
      <c r="AX868" s="2"/>
      <c r="AY868" s="2"/>
      <c r="AZ868" s="1"/>
    </row>
    <row x14ac:dyDescent="0.25" r="869" customHeight="1" ht="18.75">
      <c r="A869" s="1"/>
      <c r="B869" s="1"/>
      <c r="C869" s="1"/>
      <c r="D869" s="1"/>
      <c r="E869" s="1"/>
      <c r="F869" s="1"/>
      <c r="G869" s="1"/>
      <c r="H869" s="1"/>
      <c r="I869" s="1"/>
      <c r="J869" s="1"/>
      <c r="K869" s="17"/>
      <c r="L869" s="1"/>
      <c r="M869" s="1"/>
      <c r="N869" s="2"/>
      <c r="O869" s="2"/>
      <c r="P869" s="1"/>
      <c r="Q869" s="1"/>
      <c r="R869" s="1"/>
      <c r="S869" s="1"/>
      <c r="T869" s="40"/>
      <c r="U869" s="40"/>
      <c r="V869" s="40"/>
      <c r="W869" s="40"/>
      <c r="X869" s="22"/>
      <c r="Y869" s="22"/>
      <c r="Z869" s="22"/>
      <c r="AA869" s="22"/>
      <c r="AB869" s="22"/>
      <c r="AC869" s="22"/>
      <c r="AD869" s="22"/>
      <c r="AE869" s="22"/>
      <c r="AF869" s="22"/>
      <c r="AG869" s="22"/>
      <c r="AH869" s="22"/>
      <c r="AI869" s="22"/>
      <c r="AJ869" s="40"/>
      <c r="AK869" s="22"/>
      <c r="AL869" s="22"/>
      <c r="AM869" s="22"/>
      <c r="AN869" s="22"/>
      <c r="AO869" s="40"/>
      <c r="AP869" s="40"/>
      <c r="AQ869" s="40"/>
      <c r="AR869" s="1"/>
      <c r="AS869" s="1"/>
      <c r="AT869" s="17"/>
      <c r="AU869" s="1"/>
      <c r="AV869" s="1"/>
      <c r="AW869" s="1"/>
      <c r="AX869" s="2"/>
      <c r="AY869" s="2"/>
      <c r="AZ869" s="1"/>
    </row>
    <row x14ac:dyDescent="0.25" r="870" customHeight="1" ht="18.75">
      <c r="A870" s="1"/>
      <c r="B870" s="1"/>
      <c r="C870" s="1"/>
      <c r="D870" s="1"/>
      <c r="E870" s="1"/>
      <c r="F870" s="1"/>
      <c r="G870" s="1"/>
      <c r="H870" s="1"/>
      <c r="I870" s="1"/>
      <c r="J870" s="1"/>
      <c r="K870" s="17"/>
      <c r="L870" s="1"/>
      <c r="M870" s="1"/>
      <c r="N870" s="2"/>
      <c r="O870" s="2"/>
      <c r="P870" s="1"/>
      <c r="Q870" s="1"/>
      <c r="R870" s="1"/>
      <c r="S870" s="1"/>
      <c r="T870" s="40"/>
      <c r="U870" s="40"/>
      <c r="V870" s="40"/>
      <c r="W870" s="40"/>
      <c r="X870" s="22"/>
      <c r="Y870" s="22"/>
      <c r="Z870" s="22"/>
      <c r="AA870" s="22"/>
      <c r="AB870" s="22"/>
      <c r="AC870" s="22"/>
      <c r="AD870" s="22"/>
      <c r="AE870" s="22"/>
      <c r="AF870" s="22"/>
      <c r="AG870" s="22"/>
      <c r="AH870" s="22"/>
      <c r="AI870" s="22"/>
      <c r="AJ870" s="40"/>
      <c r="AK870" s="22"/>
      <c r="AL870" s="22"/>
      <c r="AM870" s="22"/>
      <c r="AN870" s="22"/>
      <c r="AO870" s="40"/>
      <c r="AP870" s="40"/>
      <c r="AQ870" s="40"/>
      <c r="AR870" s="1"/>
      <c r="AS870" s="1"/>
      <c r="AT870" s="17"/>
      <c r="AU870" s="1"/>
      <c r="AV870" s="1"/>
      <c r="AW870" s="1"/>
      <c r="AX870" s="2"/>
      <c r="AY870" s="2"/>
      <c r="AZ870" s="1"/>
    </row>
    <row x14ac:dyDescent="0.25" r="871" customHeight="1" ht="18.75">
      <c r="A871" s="1"/>
      <c r="B871" s="1"/>
      <c r="C871" s="1"/>
      <c r="D871" s="1"/>
      <c r="E871" s="1"/>
      <c r="F871" s="1"/>
      <c r="G871" s="1"/>
      <c r="H871" s="1"/>
      <c r="I871" s="1"/>
      <c r="J871" s="1"/>
      <c r="K871" s="17"/>
      <c r="L871" s="1"/>
      <c r="M871" s="1"/>
      <c r="N871" s="2"/>
      <c r="O871" s="2"/>
      <c r="P871" s="1"/>
      <c r="Q871" s="1"/>
      <c r="R871" s="1"/>
      <c r="S871" s="1"/>
      <c r="T871" s="40"/>
      <c r="U871" s="40"/>
      <c r="V871" s="40"/>
      <c r="W871" s="40"/>
      <c r="X871" s="22"/>
      <c r="Y871" s="22"/>
      <c r="Z871" s="22"/>
      <c r="AA871" s="22"/>
      <c r="AB871" s="22"/>
      <c r="AC871" s="22"/>
      <c r="AD871" s="22"/>
      <c r="AE871" s="22"/>
      <c r="AF871" s="22"/>
      <c r="AG871" s="22"/>
      <c r="AH871" s="22"/>
      <c r="AI871" s="22"/>
      <c r="AJ871" s="40"/>
      <c r="AK871" s="22"/>
      <c r="AL871" s="22"/>
      <c r="AM871" s="22"/>
      <c r="AN871" s="22"/>
      <c r="AO871" s="40"/>
      <c r="AP871" s="40"/>
      <c r="AQ871" s="40"/>
      <c r="AR871" s="1"/>
      <c r="AS871" s="1"/>
      <c r="AT871" s="17"/>
      <c r="AU871" s="1"/>
      <c r="AV871" s="1"/>
      <c r="AW871" s="1"/>
      <c r="AX871" s="2"/>
      <c r="AY871" s="2"/>
      <c r="AZ871" s="1"/>
    </row>
    <row x14ac:dyDescent="0.25" r="872" customHeight="1" ht="18.75">
      <c r="A872" s="1"/>
      <c r="B872" s="1"/>
      <c r="C872" s="1"/>
      <c r="D872" s="1"/>
      <c r="E872" s="1"/>
      <c r="F872" s="1"/>
      <c r="G872" s="1"/>
      <c r="H872" s="1"/>
      <c r="I872" s="1"/>
      <c r="J872" s="1"/>
      <c r="K872" s="17"/>
      <c r="L872" s="1"/>
      <c r="M872" s="1"/>
      <c r="N872" s="2"/>
      <c r="O872" s="2"/>
      <c r="P872" s="1"/>
      <c r="Q872" s="1"/>
      <c r="R872" s="1"/>
      <c r="S872" s="1"/>
      <c r="T872" s="40"/>
      <c r="U872" s="40"/>
      <c r="V872" s="40"/>
      <c r="W872" s="40"/>
      <c r="X872" s="22"/>
      <c r="Y872" s="22"/>
      <c r="Z872" s="22"/>
      <c r="AA872" s="22"/>
      <c r="AB872" s="22"/>
      <c r="AC872" s="22"/>
      <c r="AD872" s="22"/>
      <c r="AE872" s="22"/>
      <c r="AF872" s="22"/>
      <c r="AG872" s="22"/>
      <c r="AH872" s="22"/>
      <c r="AI872" s="22"/>
      <c r="AJ872" s="40"/>
      <c r="AK872" s="22"/>
      <c r="AL872" s="22"/>
      <c r="AM872" s="22"/>
      <c r="AN872" s="22"/>
      <c r="AO872" s="40"/>
      <c r="AP872" s="40"/>
      <c r="AQ872" s="40"/>
      <c r="AR872" s="1"/>
      <c r="AS872" s="1"/>
      <c r="AT872" s="17"/>
      <c r="AU872" s="1"/>
      <c r="AV872" s="1"/>
      <c r="AW872" s="1"/>
      <c r="AX872" s="2"/>
      <c r="AY872" s="2"/>
      <c r="AZ872" s="1"/>
    </row>
    <row x14ac:dyDescent="0.25" r="873" customHeight="1" ht="18.75">
      <c r="A873" s="1"/>
      <c r="B873" s="1"/>
      <c r="C873" s="1"/>
      <c r="D873" s="1"/>
      <c r="E873" s="1"/>
      <c r="F873" s="1"/>
      <c r="G873" s="1"/>
      <c r="H873" s="1"/>
      <c r="I873" s="1"/>
      <c r="J873" s="1"/>
      <c r="K873" s="17"/>
      <c r="L873" s="1"/>
      <c r="M873" s="1"/>
      <c r="N873" s="2"/>
      <c r="O873" s="2"/>
      <c r="P873" s="1"/>
      <c r="Q873" s="1"/>
      <c r="R873" s="1"/>
      <c r="S873" s="1"/>
      <c r="T873" s="40"/>
      <c r="U873" s="40"/>
      <c r="V873" s="40"/>
      <c r="W873" s="40"/>
      <c r="X873" s="22"/>
      <c r="Y873" s="22"/>
      <c r="Z873" s="22"/>
      <c r="AA873" s="22"/>
      <c r="AB873" s="22"/>
      <c r="AC873" s="22"/>
      <c r="AD873" s="22"/>
      <c r="AE873" s="22"/>
      <c r="AF873" s="22"/>
      <c r="AG873" s="22"/>
      <c r="AH873" s="22"/>
      <c r="AI873" s="22"/>
      <c r="AJ873" s="40"/>
      <c r="AK873" s="22"/>
      <c r="AL873" s="22"/>
      <c r="AM873" s="22"/>
      <c r="AN873" s="22"/>
      <c r="AO873" s="40"/>
      <c r="AP873" s="40"/>
      <c r="AQ873" s="40"/>
      <c r="AR873" s="1"/>
      <c r="AS873" s="1"/>
      <c r="AT873" s="17"/>
      <c r="AU873" s="1"/>
      <c r="AV873" s="1"/>
      <c r="AW873" s="1"/>
      <c r="AX873" s="2"/>
      <c r="AY873" s="2"/>
      <c r="AZ873" s="1"/>
    </row>
    <row x14ac:dyDescent="0.25" r="874" customHeight="1" ht="18.75">
      <c r="A874" s="1"/>
      <c r="B874" s="1"/>
      <c r="C874" s="1"/>
      <c r="D874" s="1"/>
      <c r="E874" s="1"/>
      <c r="F874" s="1"/>
      <c r="G874" s="1"/>
      <c r="H874" s="1"/>
      <c r="I874" s="1"/>
      <c r="J874" s="1"/>
      <c r="K874" s="17"/>
      <c r="L874" s="1"/>
      <c r="M874" s="1"/>
      <c r="N874" s="2"/>
      <c r="O874" s="2"/>
      <c r="P874" s="1"/>
      <c r="Q874" s="1"/>
      <c r="R874" s="1"/>
      <c r="S874" s="1"/>
      <c r="T874" s="40"/>
      <c r="U874" s="40"/>
      <c r="V874" s="40"/>
      <c r="W874" s="40"/>
      <c r="X874" s="22"/>
      <c r="Y874" s="22"/>
      <c r="Z874" s="22"/>
      <c r="AA874" s="22"/>
      <c r="AB874" s="22"/>
      <c r="AC874" s="22"/>
      <c r="AD874" s="22"/>
      <c r="AE874" s="22"/>
      <c r="AF874" s="22"/>
      <c r="AG874" s="22"/>
      <c r="AH874" s="22"/>
      <c r="AI874" s="22"/>
      <c r="AJ874" s="40"/>
      <c r="AK874" s="22"/>
      <c r="AL874" s="22"/>
      <c r="AM874" s="22"/>
      <c r="AN874" s="22"/>
      <c r="AO874" s="40"/>
      <c r="AP874" s="40"/>
      <c r="AQ874" s="40"/>
      <c r="AR874" s="1"/>
      <c r="AS874" s="1"/>
      <c r="AT874" s="17"/>
      <c r="AU874" s="1"/>
      <c r="AV874" s="1"/>
      <c r="AW874" s="1"/>
      <c r="AX874" s="2"/>
      <c r="AY874" s="2"/>
      <c r="AZ874" s="1"/>
    </row>
    <row x14ac:dyDescent="0.25" r="875" customHeight="1" ht="18.75">
      <c r="A875" s="1"/>
      <c r="B875" s="1"/>
      <c r="C875" s="1"/>
      <c r="D875" s="1"/>
      <c r="E875" s="1"/>
      <c r="F875" s="1"/>
      <c r="G875" s="1"/>
      <c r="H875" s="1"/>
      <c r="I875" s="1"/>
      <c r="J875" s="1"/>
      <c r="K875" s="17"/>
      <c r="L875" s="1"/>
      <c r="M875" s="1"/>
      <c r="N875" s="2"/>
      <c r="O875" s="2"/>
      <c r="P875" s="1"/>
      <c r="Q875" s="1"/>
      <c r="R875" s="1"/>
      <c r="S875" s="1"/>
      <c r="T875" s="40"/>
      <c r="U875" s="40"/>
      <c r="V875" s="40"/>
      <c r="W875" s="40"/>
      <c r="X875" s="22"/>
      <c r="Y875" s="22"/>
      <c r="Z875" s="22"/>
      <c r="AA875" s="22"/>
      <c r="AB875" s="22"/>
      <c r="AC875" s="22"/>
      <c r="AD875" s="22"/>
      <c r="AE875" s="22"/>
      <c r="AF875" s="22"/>
      <c r="AG875" s="22"/>
      <c r="AH875" s="22"/>
      <c r="AI875" s="22"/>
      <c r="AJ875" s="40"/>
      <c r="AK875" s="22"/>
      <c r="AL875" s="22"/>
      <c r="AM875" s="22"/>
      <c r="AN875" s="22"/>
      <c r="AO875" s="40"/>
      <c r="AP875" s="40"/>
      <c r="AQ875" s="40"/>
      <c r="AR875" s="1"/>
      <c r="AS875" s="1"/>
      <c r="AT875" s="17"/>
      <c r="AU875" s="1"/>
      <c r="AV875" s="1"/>
      <c r="AW875" s="1"/>
      <c r="AX875" s="2"/>
      <c r="AY875" s="2"/>
      <c r="AZ875" s="1"/>
    </row>
    <row x14ac:dyDescent="0.25" r="876" customHeight="1" ht="18.75">
      <c r="A876" s="1"/>
      <c r="B876" s="1"/>
      <c r="C876" s="1"/>
      <c r="D876" s="1"/>
      <c r="E876" s="1"/>
      <c r="F876" s="1"/>
      <c r="G876" s="1"/>
      <c r="H876" s="1"/>
      <c r="I876" s="1"/>
      <c r="J876" s="1"/>
      <c r="K876" s="17"/>
      <c r="L876" s="1"/>
      <c r="M876" s="1"/>
      <c r="N876" s="2"/>
      <c r="O876" s="2"/>
      <c r="P876" s="1"/>
      <c r="Q876" s="1"/>
      <c r="R876" s="1"/>
      <c r="S876" s="1"/>
      <c r="T876" s="40"/>
      <c r="U876" s="40"/>
      <c r="V876" s="40"/>
      <c r="W876" s="40"/>
      <c r="X876" s="22"/>
      <c r="Y876" s="22"/>
      <c r="Z876" s="22"/>
      <c r="AA876" s="22"/>
      <c r="AB876" s="22"/>
      <c r="AC876" s="22"/>
      <c r="AD876" s="22"/>
      <c r="AE876" s="22"/>
      <c r="AF876" s="22"/>
      <c r="AG876" s="22"/>
      <c r="AH876" s="22"/>
      <c r="AI876" s="22"/>
      <c r="AJ876" s="40"/>
      <c r="AK876" s="22"/>
      <c r="AL876" s="22"/>
      <c r="AM876" s="22"/>
      <c r="AN876" s="22"/>
      <c r="AO876" s="40"/>
      <c r="AP876" s="40"/>
      <c r="AQ876" s="40"/>
      <c r="AR876" s="1"/>
      <c r="AS876" s="1"/>
      <c r="AT876" s="17"/>
      <c r="AU876" s="1"/>
      <c r="AV876" s="1"/>
      <c r="AW876" s="1"/>
      <c r="AX876" s="2"/>
      <c r="AY876" s="2"/>
      <c r="AZ876" s="1"/>
    </row>
    <row x14ac:dyDescent="0.25" r="877" customHeight="1" ht="18.75">
      <c r="A877" s="1"/>
      <c r="B877" s="1"/>
      <c r="C877" s="1"/>
      <c r="D877" s="1"/>
      <c r="E877" s="1"/>
      <c r="F877" s="1"/>
      <c r="G877" s="1"/>
      <c r="H877" s="1"/>
      <c r="I877" s="1"/>
      <c r="J877" s="1"/>
      <c r="K877" s="17"/>
      <c r="L877" s="1"/>
      <c r="M877" s="1"/>
      <c r="N877" s="2"/>
      <c r="O877" s="2"/>
      <c r="P877" s="1"/>
      <c r="Q877" s="1"/>
      <c r="R877" s="1"/>
      <c r="S877" s="1"/>
      <c r="T877" s="40"/>
      <c r="U877" s="40"/>
      <c r="V877" s="40"/>
      <c r="W877" s="40"/>
      <c r="X877" s="22"/>
      <c r="Y877" s="22"/>
      <c r="Z877" s="22"/>
      <c r="AA877" s="22"/>
      <c r="AB877" s="22"/>
      <c r="AC877" s="22"/>
      <c r="AD877" s="22"/>
      <c r="AE877" s="22"/>
      <c r="AF877" s="22"/>
      <c r="AG877" s="22"/>
      <c r="AH877" s="22"/>
      <c r="AI877" s="22"/>
      <c r="AJ877" s="40"/>
      <c r="AK877" s="22"/>
      <c r="AL877" s="22"/>
      <c r="AM877" s="22"/>
      <c r="AN877" s="22"/>
      <c r="AO877" s="40"/>
      <c r="AP877" s="40"/>
      <c r="AQ877" s="40"/>
      <c r="AR877" s="1"/>
      <c r="AS877" s="1"/>
      <c r="AT877" s="17"/>
      <c r="AU877" s="1"/>
      <c r="AV877" s="1"/>
      <c r="AW877" s="1"/>
      <c r="AX877" s="2"/>
      <c r="AY877" s="2"/>
      <c r="AZ877" s="1"/>
    </row>
    <row x14ac:dyDescent="0.25" r="878" customHeight="1" ht="18.75">
      <c r="A878" s="1"/>
      <c r="B878" s="1"/>
      <c r="C878" s="1"/>
      <c r="D878" s="1"/>
      <c r="E878" s="1"/>
      <c r="F878" s="1"/>
      <c r="G878" s="1"/>
      <c r="H878" s="1"/>
      <c r="I878" s="1"/>
      <c r="J878" s="1"/>
      <c r="K878" s="17"/>
      <c r="L878" s="1"/>
      <c r="M878" s="1"/>
      <c r="N878" s="2"/>
      <c r="O878" s="2"/>
      <c r="P878" s="1"/>
      <c r="Q878" s="1"/>
      <c r="R878" s="1"/>
      <c r="S878" s="1"/>
      <c r="T878" s="40"/>
      <c r="U878" s="40"/>
      <c r="V878" s="40"/>
      <c r="W878" s="40"/>
      <c r="X878" s="22"/>
      <c r="Y878" s="22"/>
      <c r="Z878" s="22"/>
      <c r="AA878" s="22"/>
      <c r="AB878" s="22"/>
      <c r="AC878" s="22"/>
      <c r="AD878" s="22"/>
      <c r="AE878" s="22"/>
      <c r="AF878" s="22"/>
      <c r="AG878" s="22"/>
      <c r="AH878" s="22"/>
      <c r="AI878" s="22"/>
      <c r="AJ878" s="40"/>
      <c r="AK878" s="22"/>
      <c r="AL878" s="22"/>
      <c r="AM878" s="22"/>
      <c r="AN878" s="22"/>
      <c r="AO878" s="40"/>
      <c r="AP878" s="40"/>
      <c r="AQ878" s="40"/>
      <c r="AR878" s="1"/>
      <c r="AS878" s="1"/>
      <c r="AT878" s="17"/>
      <c r="AU878" s="1"/>
      <c r="AV878" s="1"/>
      <c r="AW878" s="1"/>
      <c r="AX878" s="2"/>
      <c r="AY878" s="2"/>
      <c r="AZ878" s="1"/>
    </row>
    <row x14ac:dyDescent="0.25" r="879" customHeight="1" ht="18.75">
      <c r="A879" s="1"/>
      <c r="B879" s="1"/>
      <c r="C879" s="1"/>
      <c r="D879" s="1"/>
      <c r="E879" s="1"/>
      <c r="F879" s="1"/>
      <c r="G879" s="1"/>
      <c r="H879" s="1"/>
      <c r="I879" s="1"/>
      <c r="J879" s="1"/>
      <c r="K879" s="17"/>
      <c r="L879" s="1"/>
      <c r="M879" s="1"/>
      <c r="N879" s="2"/>
      <c r="O879" s="2"/>
      <c r="P879" s="1"/>
      <c r="Q879" s="1"/>
      <c r="R879" s="1"/>
      <c r="S879" s="1"/>
      <c r="T879" s="40"/>
      <c r="U879" s="40"/>
      <c r="V879" s="40"/>
      <c r="W879" s="40"/>
      <c r="X879" s="22"/>
      <c r="Y879" s="22"/>
      <c r="Z879" s="22"/>
      <c r="AA879" s="22"/>
      <c r="AB879" s="22"/>
      <c r="AC879" s="22"/>
      <c r="AD879" s="22"/>
      <c r="AE879" s="22"/>
      <c r="AF879" s="22"/>
      <c r="AG879" s="22"/>
      <c r="AH879" s="22"/>
      <c r="AI879" s="22"/>
      <c r="AJ879" s="40"/>
      <c r="AK879" s="22"/>
      <c r="AL879" s="22"/>
      <c r="AM879" s="22"/>
      <c r="AN879" s="22"/>
      <c r="AO879" s="40"/>
      <c r="AP879" s="40"/>
      <c r="AQ879" s="40"/>
      <c r="AR879" s="1"/>
      <c r="AS879" s="1"/>
      <c r="AT879" s="17"/>
      <c r="AU879" s="1"/>
      <c r="AV879" s="1"/>
      <c r="AW879" s="1"/>
      <c r="AX879" s="2"/>
      <c r="AY879" s="2"/>
      <c r="AZ879" s="1"/>
    </row>
    <row x14ac:dyDescent="0.25" r="880" customHeight="1" ht="18.75">
      <c r="A880" s="1"/>
      <c r="B880" s="1"/>
      <c r="C880" s="1"/>
      <c r="D880" s="1"/>
      <c r="E880" s="1"/>
      <c r="F880" s="1"/>
      <c r="G880" s="1"/>
      <c r="H880" s="1"/>
      <c r="I880" s="1"/>
      <c r="J880" s="1"/>
      <c r="K880" s="17"/>
      <c r="L880" s="1"/>
      <c r="M880" s="1"/>
      <c r="N880" s="2"/>
      <c r="O880" s="2"/>
      <c r="P880" s="1"/>
      <c r="Q880" s="1"/>
      <c r="R880" s="1"/>
      <c r="S880" s="1"/>
      <c r="T880" s="40"/>
      <c r="U880" s="40"/>
      <c r="V880" s="40"/>
      <c r="W880" s="40"/>
      <c r="X880" s="22"/>
      <c r="Y880" s="22"/>
      <c r="Z880" s="22"/>
      <c r="AA880" s="22"/>
      <c r="AB880" s="22"/>
      <c r="AC880" s="22"/>
      <c r="AD880" s="22"/>
      <c r="AE880" s="22"/>
      <c r="AF880" s="22"/>
      <c r="AG880" s="22"/>
      <c r="AH880" s="22"/>
      <c r="AI880" s="22"/>
      <c r="AJ880" s="40"/>
      <c r="AK880" s="22"/>
      <c r="AL880" s="22"/>
      <c r="AM880" s="22"/>
      <c r="AN880" s="22"/>
      <c r="AO880" s="40"/>
      <c r="AP880" s="40"/>
      <c r="AQ880" s="40"/>
      <c r="AR880" s="1"/>
      <c r="AS880" s="1"/>
      <c r="AT880" s="17"/>
      <c r="AU880" s="1"/>
      <c r="AV880" s="1"/>
      <c r="AW880" s="1"/>
      <c r="AX880" s="2"/>
      <c r="AY880" s="2"/>
      <c r="AZ880" s="1"/>
    </row>
    <row x14ac:dyDescent="0.25" r="881" customHeight="1" ht="18.75">
      <c r="A881" s="1"/>
      <c r="B881" s="1"/>
      <c r="C881" s="1"/>
      <c r="D881" s="1"/>
      <c r="E881" s="1"/>
      <c r="F881" s="1"/>
      <c r="G881" s="1"/>
      <c r="H881" s="1"/>
      <c r="I881" s="1"/>
      <c r="J881" s="1"/>
      <c r="K881" s="17"/>
      <c r="L881" s="1"/>
      <c r="M881" s="1"/>
      <c r="N881" s="2"/>
      <c r="O881" s="2"/>
      <c r="P881" s="1"/>
      <c r="Q881" s="1"/>
      <c r="R881" s="1"/>
      <c r="S881" s="1"/>
      <c r="T881" s="40"/>
      <c r="U881" s="40"/>
      <c r="V881" s="40"/>
      <c r="W881" s="40"/>
      <c r="X881" s="22"/>
      <c r="Y881" s="22"/>
      <c r="Z881" s="22"/>
      <c r="AA881" s="22"/>
      <c r="AB881" s="22"/>
      <c r="AC881" s="22"/>
      <c r="AD881" s="22"/>
      <c r="AE881" s="22"/>
      <c r="AF881" s="22"/>
      <c r="AG881" s="22"/>
      <c r="AH881" s="22"/>
      <c r="AI881" s="22"/>
      <c r="AJ881" s="40"/>
      <c r="AK881" s="22"/>
      <c r="AL881" s="22"/>
      <c r="AM881" s="22"/>
      <c r="AN881" s="22"/>
      <c r="AO881" s="40"/>
      <c r="AP881" s="40"/>
      <c r="AQ881" s="40"/>
      <c r="AR881" s="1"/>
      <c r="AS881" s="1"/>
      <c r="AT881" s="17"/>
      <c r="AU881" s="1"/>
      <c r="AV881" s="1"/>
      <c r="AW881" s="1"/>
      <c r="AX881" s="2"/>
      <c r="AY881" s="2"/>
      <c r="AZ881" s="1"/>
    </row>
    <row x14ac:dyDescent="0.25" r="882" customHeight="1" ht="18.75">
      <c r="A882" s="1"/>
      <c r="B882" s="1"/>
      <c r="C882" s="1"/>
      <c r="D882" s="1"/>
      <c r="E882" s="1"/>
      <c r="F882" s="1"/>
      <c r="G882" s="1"/>
      <c r="H882" s="1"/>
      <c r="I882" s="1"/>
      <c r="J882" s="1"/>
      <c r="K882" s="17"/>
      <c r="L882" s="1"/>
      <c r="M882" s="1"/>
      <c r="N882" s="2"/>
      <c r="O882" s="2"/>
      <c r="P882" s="1"/>
      <c r="Q882" s="1"/>
      <c r="R882" s="1"/>
      <c r="S882" s="1"/>
      <c r="T882" s="40"/>
      <c r="U882" s="40"/>
      <c r="V882" s="40"/>
      <c r="W882" s="40"/>
      <c r="X882" s="22"/>
      <c r="Y882" s="22"/>
      <c r="Z882" s="22"/>
      <c r="AA882" s="22"/>
      <c r="AB882" s="22"/>
      <c r="AC882" s="22"/>
      <c r="AD882" s="22"/>
      <c r="AE882" s="22"/>
      <c r="AF882" s="22"/>
      <c r="AG882" s="22"/>
      <c r="AH882" s="22"/>
      <c r="AI882" s="22"/>
      <c r="AJ882" s="40"/>
      <c r="AK882" s="22"/>
      <c r="AL882" s="22"/>
      <c r="AM882" s="22"/>
      <c r="AN882" s="22"/>
      <c r="AO882" s="40"/>
      <c r="AP882" s="40"/>
      <c r="AQ882" s="40"/>
      <c r="AR882" s="1"/>
      <c r="AS882" s="1"/>
      <c r="AT882" s="17"/>
      <c r="AU882" s="1"/>
      <c r="AV882" s="1"/>
      <c r="AW882" s="1"/>
      <c r="AX882" s="2"/>
      <c r="AY882" s="2"/>
      <c r="AZ882" s="1"/>
    </row>
    <row x14ac:dyDescent="0.25" r="883" customHeight="1" ht="18.75">
      <c r="A883" s="1"/>
      <c r="B883" s="1"/>
      <c r="C883" s="1"/>
      <c r="D883" s="1"/>
      <c r="E883" s="1"/>
      <c r="F883" s="1"/>
      <c r="G883" s="1"/>
      <c r="H883" s="1"/>
      <c r="I883" s="1"/>
      <c r="J883" s="1"/>
      <c r="K883" s="17"/>
      <c r="L883" s="1"/>
      <c r="M883" s="1"/>
      <c r="N883" s="2"/>
      <c r="O883" s="2"/>
      <c r="P883" s="1"/>
      <c r="Q883" s="1"/>
      <c r="R883" s="1"/>
      <c r="S883" s="1"/>
      <c r="T883" s="40"/>
      <c r="U883" s="40"/>
      <c r="V883" s="40"/>
      <c r="W883" s="40"/>
      <c r="X883" s="22"/>
      <c r="Y883" s="22"/>
      <c r="Z883" s="22"/>
      <c r="AA883" s="22"/>
      <c r="AB883" s="22"/>
      <c r="AC883" s="22"/>
      <c r="AD883" s="22"/>
      <c r="AE883" s="22"/>
      <c r="AF883" s="22"/>
      <c r="AG883" s="22"/>
      <c r="AH883" s="22"/>
      <c r="AI883" s="22"/>
      <c r="AJ883" s="40"/>
      <c r="AK883" s="22"/>
      <c r="AL883" s="22"/>
      <c r="AM883" s="22"/>
      <c r="AN883" s="22"/>
      <c r="AO883" s="40"/>
      <c r="AP883" s="40"/>
      <c r="AQ883" s="40"/>
      <c r="AR883" s="1"/>
      <c r="AS883" s="1"/>
      <c r="AT883" s="17"/>
      <c r="AU883" s="1"/>
      <c r="AV883" s="1"/>
      <c r="AW883" s="1"/>
      <c r="AX883" s="2"/>
      <c r="AY883" s="2"/>
      <c r="AZ883" s="1"/>
    </row>
    <row x14ac:dyDescent="0.25" r="884" customHeight="1" ht="18.75">
      <c r="A884" s="1"/>
      <c r="B884" s="1"/>
      <c r="C884" s="1"/>
      <c r="D884" s="1"/>
      <c r="E884" s="1"/>
      <c r="F884" s="1"/>
      <c r="G884" s="1"/>
      <c r="H884" s="1"/>
      <c r="I884" s="1"/>
      <c r="J884" s="1"/>
      <c r="K884" s="17"/>
      <c r="L884" s="1"/>
      <c r="M884" s="1"/>
      <c r="N884" s="2"/>
      <c r="O884" s="2"/>
      <c r="P884" s="1"/>
      <c r="Q884" s="1"/>
      <c r="R884" s="1"/>
      <c r="S884" s="1"/>
      <c r="T884" s="40"/>
      <c r="U884" s="40"/>
      <c r="V884" s="40"/>
      <c r="W884" s="40"/>
      <c r="X884" s="22"/>
      <c r="Y884" s="22"/>
      <c r="Z884" s="22"/>
      <c r="AA884" s="22"/>
      <c r="AB884" s="22"/>
      <c r="AC884" s="22"/>
      <c r="AD884" s="22"/>
      <c r="AE884" s="22"/>
      <c r="AF884" s="22"/>
      <c r="AG884" s="22"/>
      <c r="AH884" s="22"/>
      <c r="AI884" s="22"/>
      <c r="AJ884" s="40"/>
      <c r="AK884" s="22"/>
      <c r="AL884" s="22"/>
      <c r="AM884" s="22"/>
      <c r="AN884" s="22"/>
      <c r="AO884" s="40"/>
      <c r="AP884" s="40"/>
      <c r="AQ884" s="40"/>
      <c r="AR884" s="1"/>
      <c r="AS884" s="1"/>
      <c r="AT884" s="17"/>
      <c r="AU884" s="1"/>
      <c r="AV884" s="1"/>
      <c r="AW884" s="1"/>
      <c r="AX884" s="2"/>
      <c r="AY884" s="2"/>
      <c r="AZ884" s="1"/>
    </row>
    <row x14ac:dyDescent="0.25" r="885" customHeight="1" ht="18.75">
      <c r="A885" s="1"/>
      <c r="B885" s="1"/>
      <c r="C885" s="1"/>
      <c r="D885" s="1"/>
      <c r="E885" s="1"/>
      <c r="F885" s="1"/>
      <c r="G885" s="1"/>
      <c r="H885" s="1"/>
      <c r="I885" s="1"/>
      <c r="J885" s="1"/>
      <c r="K885" s="17"/>
      <c r="L885" s="1"/>
      <c r="M885" s="1"/>
      <c r="N885" s="2"/>
      <c r="O885" s="2"/>
      <c r="P885" s="1"/>
      <c r="Q885" s="1"/>
      <c r="R885" s="1"/>
      <c r="S885" s="1"/>
      <c r="T885" s="40"/>
      <c r="U885" s="40"/>
      <c r="V885" s="40"/>
      <c r="W885" s="40"/>
      <c r="X885" s="22"/>
      <c r="Y885" s="22"/>
      <c r="Z885" s="22"/>
      <c r="AA885" s="22"/>
      <c r="AB885" s="22"/>
      <c r="AC885" s="22"/>
      <c r="AD885" s="22"/>
      <c r="AE885" s="22"/>
      <c r="AF885" s="22"/>
      <c r="AG885" s="22"/>
      <c r="AH885" s="22"/>
      <c r="AI885" s="22"/>
      <c r="AJ885" s="40"/>
      <c r="AK885" s="22"/>
      <c r="AL885" s="22"/>
      <c r="AM885" s="22"/>
      <c r="AN885" s="22"/>
      <c r="AO885" s="40"/>
      <c r="AP885" s="40"/>
      <c r="AQ885" s="40"/>
      <c r="AR885" s="1"/>
      <c r="AS885" s="1"/>
      <c r="AT885" s="17"/>
      <c r="AU885" s="1"/>
      <c r="AV885" s="1"/>
      <c r="AW885" s="1"/>
      <c r="AX885" s="2"/>
      <c r="AY885" s="2"/>
      <c r="AZ885" s="1"/>
    </row>
    <row x14ac:dyDescent="0.25" r="886" customHeight="1" ht="18.75">
      <c r="A886" s="1"/>
      <c r="B886" s="1"/>
      <c r="C886" s="1"/>
      <c r="D886" s="1"/>
      <c r="E886" s="1"/>
      <c r="F886" s="1"/>
      <c r="G886" s="1"/>
      <c r="H886" s="1"/>
      <c r="I886" s="1"/>
      <c r="J886" s="1"/>
      <c r="K886" s="17"/>
      <c r="L886" s="1"/>
      <c r="M886" s="1"/>
      <c r="N886" s="2"/>
      <c r="O886" s="2"/>
      <c r="P886" s="1"/>
      <c r="Q886" s="1"/>
      <c r="R886" s="1"/>
      <c r="S886" s="1"/>
      <c r="T886" s="40"/>
      <c r="U886" s="40"/>
      <c r="V886" s="40"/>
      <c r="W886" s="40"/>
      <c r="X886" s="22"/>
      <c r="Y886" s="22"/>
      <c r="Z886" s="22"/>
      <c r="AA886" s="22"/>
      <c r="AB886" s="22"/>
      <c r="AC886" s="22"/>
      <c r="AD886" s="22"/>
      <c r="AE886" s="22"/>
      <c r="AF886" s="22"/>
      <c r="AG886" s="22"/>
      <c r="AH886" s="22"/>
      <c r="AI886" s="22"/>
      <c r="AJ886" s="40"/>
      <c r="AK886" s="22"/>
      <c r="AL886" s="22"/>
      <c r="AM886" s="22"/>
      <c r="AN886" s="22"/>
      <c r="AO886" s="40"/>
      <c r="AP886" s="40"/>
      <c r="AQ886" s="40"/>
      <c r="AR886" s="1"/>
      <c r="AS886" s="1"/>
      <c r="AT886" s="17"/>
      <c r="AU886" s="1"/>
      <c r="AV886" s="1"/>
      <c r="AW886" s="1"/>
      <c r="AX886" s="2"/>
      <c r="AY886" s="2"/>
      <c r="AZ886" s="1"/>
    </row>
    <row x14ac:dyDescent="0.25" r="887" customHeight="1" ht="18.75">
      <c r="A887" s="1"/>
      <c r="B887" s="1"/>
      <c r="C887" s="1"/>
      <c r="D887" s="1"/>
      <c r="E887" s="1"/>
      <c r="F887" s="1"/>
      <c r="G887" s="1"/>
      <c r="H887" s="1"/>
      <c r="I887" s="1"/>
      <c r="J887" s="1"/>
      <c r="K887" s="17"/>
      <c r="L887" s="1"/>
      <c r="M887" s="1"/>
      <c r="N887" s="2"/>
      <c r="O887" s="2"/>
      <c r="P887" s="1"/>
      <c r="Q887" s="1"/>
      <c r="R887" s="1"/>
      <c r="S887" s="1"/>
      <c r="T887" s="40"/>
      <c r="U887" s="40"/>
      <c r="V887" s="40"/>
      <c r="W887" s="40"/>
      <c r="X887" s="22"/>
      <c r="Y887" s="22"/>
      <c r="Z887" s="22"/>
      <c r="AA887" s="22"/>
      <c r="AB887" s="22"/>
      <c r="AC887" s="22"/>
      <c r="AD887" s="22"/>
      <c r="AE887" s="22"/>
      <c r="AF887" s="22"/>
      <c r="AG887" s="22"/>
      <c r="AH887" s="22"/>
      <c r="AI887" s="22"/>
      <c r="AJ887" s="40"/>
      <c r="AK887" s="22"/>
      <c r="AL887" s="22"/>
      <c r="AM887" s="22"/>
      <c r="AN887" s="22"/>
      <c r="AO887" s="40"/>
      <c r="AP887" s="40"/>
      <c r="AQ887" s="40"/>
      <c r="AR887" s="1"/>
      <c r="AS887" s="1"/>
      <c r="AT887" s="17"/>
      <c r="AU887" s="1"/>
      <c r="AV887" s="1"/>
      <c r="AW887" s="1"/>
      <c r="AX887" s="2"/>
      <c r="AY887" s="2"/>
      <c r="AZ887" s="1"/>
    </row>
    <row x14ac:dyDescent="0.25" r="888" customHeight="1" ht="18.75">
      <c r="A888" s="1"/>
      <c r="B888" s="1"/>
      <c r="C888" s="1"/>
      <c r="D888" s="1"/>
      <c r="E888" s="1"/>
      <c r="F888" s="1"/>
      <c r="G888" s="1"/>
      <c r="H888" s="1"/>
      <c r="I888" s="1"/>
      <c r="J888" s="1"/>
      <c r="K888" s="17"/>
      <c r="L888" s="1"/>
      <c r="M888" s="1"/>
      <c r="N888" s="2"/>
      <c r="O888" s="2"/>
      <c r="P888" s="1"/>
      <c r="Q888" s="1"/>
      <c r="R888" s="1"/>
      <c r="S888" s="1"/>
      <c r="T888" s="40"/>
      <c r="U888" s="40"/>
      <c r="V888" s="40"/>
      <c r="W888" s="40"/>
      <c r="X888" s="22"/>
      <c r="Y888" s="22"/>
      <c r="Z888" s="22"/>
      <c r="AA888" s="22"/>
      <c r="AB888" s="22"/>
      <c r="AC888" s="22"/>
      <c r="AD888" s="22"/>
      <c r="AE888" s="22"/>
      <c r="AF888" s="22"/>
      <c r="AG888" s="22"/>
      <c r="AH888" s="22"/>
      <c r="AI888" s="22"/>
      <c r="AJ888" s="40"/>
      <c r="AK888" s="22"/>
      <c r="AL888" s="22"/>
      <c r="AM888" s="22"/>
      <c r="AN888" s="22"/>
      <c r="AO888" s="40"/>
      <c r="AP888" s="40"/>
      <c r="AQ888" s="40"/>
      <c r="AR888" s="1"/>
      <c r="AS888" s="1"/>
      <c r="AT888" s="17"/>
      <c r="AU888" s="1"/>
      <c r="AV888" s="1"/>
      <c r="AW888" s="1"/>
      <c r="AX888" s="2"/>
      <c r="AY888" s="2"/>
      <c r="AZ888" s="1"/>
    </row>
    <row x14ac:dyDescent="0.25" r="889" customHeight="1" ht="18.75">
      <c r="A889" s="1"/>
      <c r="B889" s="1"/>
      <c r="C889" s="1"/>
      <c r="D889" s="1"/>
      <c r="E889" s="1"/>
      <c r="F889" s="1"/>
      <c r="G889" s="1"/>
      <c r="H889" s="1"/>
      <c r="I889" s="1"/>
      <c r="J889" s="1"/>
      <c r="K889" s="17"/>
      <c r="L889" s="1"/>
      <c r="M889" s="1"/>
      <c r="N889" s="2"/>
      <c r="O889" s="2"/>
      <c r="P889" s="1"/>
      <c r="Q889" s="1"/>
      <c r="R889" s="1"/>
      <c r="S889" s="1"/>
      <c r="T889" s="40"/>
      <c r="U889" s="40"/>
      <c r="V889" s="40"/>
      <c r="W889" s="40"/>
      <c r="X889" s="22"/>
      <c r="Y889" s="22"/>
      <c r="Z889" s="22"/>
      <c r="AA889" s="22"/>
      <c r="AB889" s="22"/>
      <c r="AC889" s="22"/>
      <c r="AD889" s="22"/>
      <c r="AE889" s="22"/>
      <c r="AF889" s="22"/>
      <c r="AG889" s="22"/>
      <c r="AH889" s="22"/>
      <c r="AI889" s="22"/>
      <c r="AJ889" s="40"/>
      <c r="AK889" s="22"/>
      <c r="AL889" s="22"/>
      <c r="AM889" s="22"/>
      <c r="AN889" s="22"/>
      <c r="AO889" s="40"/>
      <c r="AP889" s="40"/>
      <c r="AQ889" s="40"/>
      <c r="AR889" s="1"/>
      <c r="AS889" s="1"/>
      <c r="AT889" s="17"/>
      <c r="AU889" s="1"/>
      <c r="AV889" s="1"/>
      <c r="AW889" s="1"/>
      <c r="AX889" s="2"/>
      <c r="AY889" s="2"/>
      <c r="AZ889" s="1"/>
    </row>
    <row x14ac:dyDescent="0.25" r="890" customHeight="1" ht="18.75">
      <c r="A890" s="1"/>
      <c r="B890" s="1"/>
      <c r="C890" s="1"/>
      <c r="D890" s="1"/>
      <c r="E890" s="1"/>
      <c r="F890" s="1"/>
      <c r="G890" s="1"/>
      <c r="H890" s="1"/>
      <c r="I890" s="1"/>
      <c r="J890" s="1"/>
      <c r="K890" s="17"/>
      <c r="L890" s="1"/>
      <c r="M890" s="1"/>
      <c r="N890" s="2"/>
      <c r="O890" s="2"/>
      <c r="P890" s="1"/>
      <c r="Q890" s="1"/>
      <c r="R890" s="1"/>
      <c r="S890" s="1"/>
      <c r="T890" s="40"/>
      <c r="U890" s="40"/>
      <c r="V890" s="40"/>
      <c r="W890" s="40"/>
      <c r="X890" s="22"/>
      <c r="Y890" s="22"/>
      <c r="Z890" s="22"/>
      <c r="AA890" s="22"/>
      <c r="AB890" s="22"/>
      <c r="AC890" s="22"/>
      <c r="AD890" s="22"/>
      <c r="AE890" s="22"/>
      <c r="AF890" s="22"/>
      <c r="AG890" s="22"/>
      <c r="AH890" s="22"/>
      <c r="AI890" s="22"/>
      <c r="AJ890" s="40"/>
      <c r="AK890" s="22"/>
      <c r="AL890" s="22"/>
      <c r="AM890" s="22"/>
      <c r="AN890" s="22"/>
      <c r="AO890" s="40"/>
      <c r="AP890" s="40"/>
      <c r="AQ890" s="40"/>
      <c r="AR890" s="1"/>
      <c r="AS890" s="1"/>
      <c r="AT890" s="17"/>
      <c r="AU890" s="1"/>
      <c r="AV890" s="1"/>
      <c r="AW890" s="1"/>
      <c r="AX890" s="2"/>
      <c r="AY890" s="2"/>
      <c r="AZ890" s="1"/>
    </row>
    <row x14ac:dyDescent="0.25" r="891" customHeight="1" ht="18.75">
      <c r="A891" s="1"/>
      <c r="B891" s="1"/>
      <c r="C891" s="1"/>
      <c r="D891" s="1"/>
      <c r="E891" s="1"/>
      <c r="F891" s="1"/>
      <c r="G891" s="1"/>
      <c r="H891" s="1"/>
      <c r="I891" s="1"/>
      <c r="J891" s="1"/>
      <c r="K891" s="17"/>
      <c r="L891" s="1"/>
      <c r="M891" s="1"/>
      <c r="N891" s="2"/>
      <c r="O891" s="2"/>
      <c r="P891" s="1"/>
      <c r="Q891" s="1"/>
      <c r="R891" s="1"/>
      <c r="S891" s="1"/>
      <c r="T891" s="40"/>
      <c r="U891" s="40"/>
      <c r="V891" s="40"/>
      <c r="W891" s="40"/>
      <c r="X891" s="22"/>
      <c r="Y891" s="22"/>
      <c r="Z891" s="22"/>
      <c r="AA891" s="22"/>
      <c r="AB891" s="22"/>
      <c r="AC891" s="22"/>
      <c r="AD891" s="22"/>
      <c r="AE891" s="22"/>
      <c r="AF891" s="22"/>
      <c r="AG891" s="22"/>
      <c r="AH891" s="22"/>
      <c r="AI891" s="22"/>
      <c r="AJ891" s="40"/>
      <c r="AK891" s="22"/>
      <c r="AL891" s="22"/>
      <c r="AM891" s="22"/>
      <c r="AN891" s="22"/>
      <c r="AO891" s="40"/>
      <c r="AP891" s="40"/>
      <c r="AQ891" s="40"/>
      <c r="AR891" s="1"/>
      <c r="AS891" s="1"/>
      <c r="AT891" s="17"/>
      <c r="AU891" s="1"/>
      <c r="AV891" s="1"/>
      <c r="AW891" s="1"/>
      <c r="AX891" s="2"/>
      <c r="AY891" s="2"/>
      <c r="AZ891" s="1"/>
    </row>
    <row x14ac:dyDescent="0.25" r="892" customHeight="1" ht="18.75">
      <c r="A892" s="1"/>
      <c r="B892" s="1"/>
      <c r="C892" s="1"/>
      <c r="D892" s="1"/>
      <c r="E892" s="1"/>
      <c r="F892" s="1"/>
      <c r="G892" s="1"/>
      <c r="H892" s="1"/>
      <c r="I892" s="1"/>
      <c r="J892" s="1"/>
      <c r="K892" s="17"/>
      <c r="L892" s="1"/>
      <c r="M892" s="1"/>
      <c r="N892" s="2"/>
      <c r="O892" s="2"/>
      <c r="P892" s="1"/>
      <c r="Q892" s="1"/>
      <c r="R892" s="1"/>
      <c r="S892" s="1"/>
      <c r="T892" s="40"/>
      <c r="U892" s="40"/>
      <c r="V892" s="40"/>
      <c r="W892" s="40"/>
      <c r="X892" s="22"/>
      <c r="Y892" s="22"/>
      <c r="Z892" s="22"/>
      <c r="AA892" s="22"/>
      <c r="AB892" s="22"/>
      <c r="AC892" s="22"/>
      <c r="AD892" s="22"/>
      <c r="AE892" s="22"/>
      <c r="AF892" s="22"/>
      <c r="AG892" s="22"/>
      <c r="AH892" s="22"/>
      <c r="AI892" s="22"/>
      <c r="AJ892" s="40"/>
      <c r="AK892" s="22"/>
      <c r="AL892" s="22"/>
      <c r="AM892" s="22"/>
      <c r="AN892" s="22"/>
      <c r="AO892" s="40"/>
      <c r="AP892" s="40"/>
      <c r="AQ892" s="40"/>
      <c r="AR892" s="1"/>
      <c r="AS892" s="1"/>
      <c r="AT892" s="17"/>
      <c r="AU892" s="1"/>
      <c r="AV892" s="1"/>
      <c r="AW892" s="1"/>
      <c r="AX892" s="2"/>
      <c r="AY892" s="2"/>
      <c r="AZ892" s="1"/>
    </row>
    <row x14ac:dyDescent="0.25" r="893" customHeight="1" ht="18.75">
      <c r="A893" s="1"/>
      <c r="B893" s="1"/>
      <c r="C893" s="1"/>
      <c r="D893" s="1"/>
      <c r="E893" s="1"/>
      <c r="F893" s="1"/>
      <c r="G893" s="1"/>
      <c r="H893" s="1"/>
      <c r="I893" s="1"/>
      <c r="J893" s="1"/>
      <c r="K893" s="17"/>
      <c r="L893" s="1"/>
      <c r="M893" s="1"/>
      <c r="N893" s="2"/>
      <c r="O893" s="2"/>
      <c r="P893" s="1"/>
      <c r="Q893" s="1"/>
      <c r="R893" s="1"/>
      <c r="S893" s="1"/>
      <c r="T893" s="40"/>
      <c r="U893" s="40"/>
      <c r="V893" s="40"/>
      <c r="W893" s="40"/>
      <c r="X893" s="22"/>
      <c r="Y893" s="22"/>
      <c r="Z893" s="22"/>
      <c r="AA893" s="22"/>
      <c r="AB893" s="22"/>
      <c r="AC893" s="22"/>
      <c r="AD893" s="22"/>
      <c r="AE893" s="22"/>
      <c r="AF893" s="22"/>
      <c r="AG893" s="22"/>
      <c r="AH893" s="22"/>
      <c r="AI893" s="22"/>
      <c r="AJ893" s="40"/>
      <c r="AK893" s="22"/>
      <c r="AL893" s="22"/>
      <c r="AM893" s="22"/>
      <c r="AN893" s="22"/>
      <c r="AO893" s="40"/>
      <c r="AP893" s="40"/>
      <c r="AQ893" s="40"/>
      <c r="AR893" s="1"/>
      <c r="AS893" s="1"/>
      <c r="AT893" s="17"/>
      <c r="AU893" s="1"/>
      <c r="AV893" s="1"/>
      <c r="AW893" s="1"/>
      <c r="AX893" s="2"/>
      <c r="AY893" s="2"/>
      <c r="AZ893" s="1"/>
    </row>
    <row x14ac:dyDescent="0.25" r="894" customHeight="1" ht="18.75">
      <c r="A894" s="1"/>
      <c r="B894" s="1"/>
      <c r="C894" s="1"/>
      <c r="D894" s="1"/>
      <c r="E894" s="1"/>
      <c r="F894" s="1"/>
      <c r="G894" s="1"/>
      <c r="H894" s="1"/>
      <c r="I894" s="1"/>
      <c r="J894" s="1"/>
      <c r="K894" s="17"/>
      <c r="L894" s="1"/>
      <c r="M894" s="1"/>
      <c r="N894" s="2"/>
      <c r="O894" s="2"/>
      <c r="P894" s="1"/>
      <c r="Q894" s="1"/>
      <c r="R894" s="1"/>
      <c r="S894" s="1"/>
      <c r="T894" s="40"/>
      <c r="U894" s="40"/>
      <c r="V894" s="40"/>
      <c r="W894" s="40"/>
      <c r="X894" s="22"/>
      <c r="Y894" s="22"/>
      <c r="Z894" s="22"/>
      <c r="AA894" s="22"/>
      <c r="AB894" s="22"/>
      <c r="AC894" s="22"/>
      <c r="AD894" s="22"/>
      <c r="AE894" s="22"/>
      <c r="AF894" s="22"/>
      <c r="AG894" s="22"/>
      <c r="AH894" s="22"/>
      <c r="AI894" s="22"/>
      <c r="AJ894" s="40"/>
      <c r="AK894" s="22"/>
      <c r="AL894" s="22"/>
      <c r="AM894" s="22"/>
      <c r="AN894" s="22"/>
      <c r="AO894" s="40"/>
      <c r="AP894" s="40"/>
      <c r="AQ894" s="40"/>
      <c r="AR894" s="1"/>
      <c r="AS894" s="1"/>
      <c r="AT894" s="17"/>
      <c r="AU894" s="1"/>
      <c r="AV894" s="1"/>
      <c r="AW894" s="1"/>
      <c r="AX894" s="2"/>
      <c r="AY894" s="2"/>
      <c r="AZ894" s="1"/>
    </row>
    <row x14ac:dyDescent="0.25" r="895" customHeight="1" ht="18.75">
      <c r="A895" s="1"/>
      <c r="B895" s="1"/>
      <c r="C895" s="1"/>
      <c r="D895" s="1"/>
      <c r="E895" s="1"/>
      <c r="F895" s="1"/>
      <c r="G895" s="1"/>
      <c r="H895" s="1"/>
      <c r="I895" s="1"/>
      <c r="J895" s="1"/>
      <c r="K895" s="17"/>
      <c r="L895" s="1"/>
      <c r="M895" s="1"/>
      <c r="N895" s="2"/>
      <c r="O895" s="2"/>
      <c r="P895" s="1"/>
      <c r="Q895" s="1"/>
      <c r="R895" s="1"/>
      <c r="S895" s="1"/>
      <c r="T895" s="40"/>
      <c r="U895" s="40"/>
      <c r="V895" s="40"/>
      <c r="W895" s="40"/>
      <c r="X895" s="22"/>
      <c r="Y895" s="22"/>
      <c r="Z895" s="22"/>
      <c r="AA895" s="22"/>
      <c r="AB895" s="22"/>
      <c r="AC895" s="22"/>
      <c r="AD895" s="22"/>
      <c r="AE895" s="22"/>
      <c r="AF895" s="22"/>
      <c r="AG895" s="22"/>
      <c r="AH895" s="22"/>
      <c r="AI895" s="22"/>
      <c r="AJ895" s="40"/>
      <c r="AK895" s="22"/>
      <c r="AL895" s="22"/>
      <c r="AM895" s="22"/>
      <c r="AN895" s="22"/>
      <c r="AO895" s="40"/>
      <c r="AP895" s="40"/>
      <c r="AQ895" s="40"/>
      <c r="AR895" s="1"/>
      <c r="AS895" s="1"/>
      <c r="AT895" s="17"/>
      <c r="AU895" s="1"/>
      <c r="AV895" s="1"/>
      <c r="AW895" s="1"/>
      <c r="AX895" s="2"/>
      <c r="AY895" s="2"/>
      <c r="AZ895" s="1"/>
    </row>
    <row x14ac:dyDescent="0.25" r="896" customHeight="1" ht="18.75">
      <c r="A896" s="1"/>
      <c r="B896" s="1"/>
      <c r="C896" s="1"/>
      <c r="D896" s="1"/>
      <c r="E896" s="1"/>
      <c r="F896" s="1"/>
      <c r="G896" s="1"/>
      <c r="H896" s="1"/>
      <c r="I896" s="1"/>
      <c r="J896" s="1"/>
      <c r="K896" s="17"/>
      <c r="L896" s="1"/>
      <c r="M896" s="1"/>
      <c r="N896" s="2"/>
      <c r="O896" s="2"/>
      <c r="P896" s="1"/>
      <c r="Q896" s="1"/>
      <c r="R896" s="1"/>
      <c r="S896" s="1"/>
      <c r="T896" s="40"/>
      <c r="U896" s="40"/>
      <c r="V896" s="40"/>
      <c r="W896" s="40"/>
      <c r="X896" s="22"/>
      <c r="Y896" s="22"/>
      <c r="Z896" s="22"/>
      <c r="AA896" s="22"/>
      <c r="AB896" s="22"/>
      <c r="AC896" s="22"/>
      <c r="AD896" s="22"/>
      <c r="AE896" s="22"/>
      <c r="AF896" s="22"/>
      <c r="AG896" s="22"/>
      <c r="AH896" s="22"/>
      <c r="AI896" s="22"/>
      <c r="AJ896" s="40"/>
      <c r="AK896" s="22"/>
      <c r="AL896" s="22"/>
      <c r="AM896" s="22"/>
      <c r="AN896" s="22"/>
      <c r="AO896" s="40"/>
      <c r="AP896" s="40"/>
      <c r="AQ896" s="40"/>
      <c r="AR896" s="1"/>
      <c r="AS896" s="1"/>
      <c r="AT896" s="17"/>
      <c r="AU896" s="1"/>
      <c r="AV896" s="1"/>
      <c r="AW896" s="1"/>
      <c r="AX896" s="2"/>
      <c r="AY896" s="2"/>
      <c r="AZ896" s="1"/>
    </row>
    <row x14ac:dyDescent="0.25" r="897" customHeight="1" ht="18.75">
      <c r="A897" s="1"/>
      <c r="B897" s="1"/>
      <c r="C897" s="1"/>
      <c r="D897" s="1"/>
      <c r="E897" s="1"/>
      <c r="F897" s="1"/>
      <c r="G897" s="1"/>
      <c r="H897" s="1"/>
      <c r="I897" s="1"/>
      <c r="J897" s="1"/>
      <c r="K897" s="17"/>
      <c r="L897" s="1"/>
      <c r="M897" s="1"/>
      <c r="N897" s="2"/>
      <c r="O897" s="2"/>
      <c r="P897" s="1"/>
      <c r="Q897" s="1"/>
      <c r="R897" s="1"/>
      <c r="S897" s="1"/>
      <c r="T897" s="40"/>
      <c r="U897" s="40"/>
      <c r="V897" s="40"/>
      <c r="W897" s="40"/>
      <c r="X897" s="22"/>
      <c r="Y897" s="22"/>
      <c r="Z897" s="22"/>
      <c r="AA897" s="22"/>
      <c r="AB897" s="22"/>
      <c r="AC897" s="22"/>
      <c r="AD897" s="22"/>
      <c r="AE897" s="22"/>
      <c r="AF897" s="22"/>
      <c r="AG897" s="22"/>
      <c r="AH897" s="22"/>
      <c r="AI897" s="22"/>
      <c r="AJ897" s="40"/>
      <c r="AK897" s="22"/>
      <c r="AL897" s="22"/>
      <c r="AM897" s="22"/>
      <c r="AN897" s="22"/>
      <c r="AO897" s="40"/>
      <c r="AP897" s="40"/>
      <c r="AQ897" s="40"/>
      <c r="AR897" s="1"/>
      <c r="AS897" s="1"/>
      <c r="AT897" s="17"/>
      <c r="AU897" s="1"/>
      <c r="AV897" s="1"/>
      <c r="AW897" s="1"/>
      <c r="AX897" s="2"/>
      <c r="AY897" s="2"/>
      <c r="AZ897" s="1"/>
    </row>
    <row x14ac:dyDescent="0.25" r="898" customHeight="1" ht="18.75">
      <c r="A898" s="1"/>
      <c r="B898" s="1"/>
      <c r="C898" s="1"/>
      <c r="D898" s="1"/>
      <c r="E898" s="1"/>
      <c r="F898" s="1"/>
      <c r="G898" s="1"/>
      <c r="H898" s="1"/>
      <c r="I898" s="1"/>
      <c r="J898" s="1"/>
      <c r="K898" s="17"/>
      <c r="L898" s="1"/>
      <c r="M898" s="1"/>
      <c r="N898" s="2"/>
      <c r="O898" s="2"/>
      <c r="P898" s="1"/>
      <c r="Q898" s="1"/>
      <c r="R898" s="1"/>
      <c r="S898" s="1"/>
      <c r="T898" s="40"/>
      <c r="U898" s="40"/>
      <c r="V898" s="40"/>
      <c r="W898" s="40"/>
      <c r="X898" s="22"/>
      <c r="Y898" s="22"/>
      <c r="Z898" s="22"/>
      <c r="AA898" s="22"/>
      <c r="AB898" s="22"/>
      <c r="AC898" s="22"/>
      <c r="AD898" s="22"/>
      <c r="AE898" s="22"/>
      <c r="AF898" s="22"/>
      <c r="AG898" s="22"/>
      <c r="AH898" s="22"/>
      <c r="AI898" s="22"/>
      <c r="AJ898" s="40"/>
      <c r="AK898" s="22"/>
      <c r="AL898" s="22"/>
      <c r="AM898" s="22"/>
      <c r="AN898" s="22"/>
      <c r="AO898" s="40"/>
      <c r="AP898" s="40"/>
      <c r="AQ898" s="40"/>
      <c r="AR898" s="1"/>
      <c r="AS898" s="1"/>
      <c r="AT898" s="17"/>
      <c r="AU898" s="1"/>
      <c r="AV898" s="1"/>
      <c r="AW898" s="1"/>
      <c r="AX898" s="2"/>
      <c r="AY898" s="2"/>
      <c r="AZ898" s="1"/>
    </row>
    <row x14ac:dyDescent="0.25" r="899" customHeight="1" ht="18.75">
      <c r="A899" s="1"/>
      <c r="B899" s="1"/>
      <c r="C899" s="1"/>
      <c r="D899" s="1"/>
      <c r="E899" s="1"/>
      <c r="F899" s="1"/>
      <c r="G899" s="1"/>
      <c r="H899" s="1"/>
      <c r="I899" s="1"/>
      <c r="J899" s="1"/>
      <c r="K899" s="17"/>
      <c r="L899" s="1"/>
      <c r="M899" s="1"/>
      <c r="N899" s="2"/>
      <c r="O899" s="2"/>
      <c r="P899" s="1"/>
      <c r="Q899" s="1"/>
      <c r="R899" s="1"/>
      <c r="S899" s="1"/>
      <c r="T899" s="40"/>
      <c r="U899" s="40"/>
      <c r="V899" s="40"/>
      <c r="W899" s="40"/>
      <c r="X899" s="22"/>
      <c r="Y899" s="22"/>
      <c r="Z899" s="22"/>
      <c r="AA899" s="22"/>
      <c r="AB899" s="22"/>
      <c r="AC899" s="22"/>
      <c r="AD899" s="22"/>
      <c r="AE899" s="22"/>
      <c r="AF899" s="22"/>
      <c r="AG899" s="22"/>
      <c r="AH899" s="22"/>
      <c r="AI899" s="22"/>
      <c r="AJ899" s="40"/>
      <c r="AK899" s="22"/>
      <c r="AL899" s="22"/>
      <c r="AM899" s="22"/>
      <c r="AN899" s="22"/>
      <c r="AO899" s="40"/>
      <c r="AP899" s="40"/>
      <c r="AQ899" s="40"/>
      <c r="AR899" s="1"/>
      <c r="AS899" s="1"/>
      <c r="AT899" s="17"/>
      <c r="AU899" s="1"/>
      <c r="AV899" s="1"/>
      <c r="AW899" s="1"/>
      <c r="AX899" s="2"/>
      <c r="AY899" s="2"/>
      <c r="AZ899" s="1"/>
    </row>
    <row x14ac:dyDescent="0.25" r="900" customHeight="1" ht="18.75">
      <c r="A900" s="1"/>
      <c r="B900" s="1"/>
      <c r="C900" s="1"/>
      <c r="D900" s="1"/>
      <c r="E900" s="1"/>
      <c r="F900" s="1"/>
      <c r="G900" s="1"/>
      <c r="H900" s="1"/>
      <c r="I900" s="1"/>
      <c r="J900" s="1"/>
      <c r="K900" s="17"/>
      <c r="L900" s="1"/>
      <c r="M900" s="1"/>
      <c r="N900" s="2"/>
      <c r="O900" s="2"/>
      <c r="P900" s="1"/>
      <c r="Q900" s="1"/>
      <c r="R900" s="1"/>
      <c r="S900" s="1"/>
      <c r="T900" s="40"/>
      <c r="U900" s="40"/>
      <c r="V900" s="40"/>
      <c r="W900" s="40"/>
      <c r="X900" s="22"/>
      <c r="Y900" s="22"/>
      <c r="Z900" s="22"/>
      <c r="AA900" s="22"/>
      <c r="AB900" s="22"/>
      <c r="AC900" s="22"/>
      <c r="AD900" s="22"/>
      <c r="AE900" s="22"/>
      <c r="AF900" s="22"/>
      <c r="AG900" s="22"/>
      <c r="AH900" s="22"/>
      <c r="AI900" s="22"/>
      <c r="AJ900" s="40"/>
      <c r="AK900" s="22"/>
      <c r="AL900" s="22"/>
      <c r="AM900" s="22"/>
      <c r="AN900" s="22"/>
      <c r="AO900" s="40"/>
      <c r="AP900" s="40"/>
      <c r="AQ900" s="40"/>
      <c r="AR900" s="1"/>
      <c r="AS900" s="1"/>
      <c r="AT900" s="17"/>
      <c r="AU900" s="1"/>
      <c r="AV900" s="1"/>
      <c r="AW900" s="1"/>
      <c r="AX900" s="2"/>
      <c r="AY900" s="2"/>
      <c r="AZ900" s="1"/>
    </row>
    <row x14ac:dyDescent="0.25" r="901" customHeight="1" ht="18.75">
      <c r="A901" s="1"/>
      <c r="B901" s="1"/>
      <c r="C901" s="1"/>
      <c r="D901" s="1"/>
      <c r="E901" s="1"/>
      <c r="F901" s="1"/>
      <c r="G901" s="1"/>
      <c r="H901" s="1"/>
      <c r="I901" s="1"/>
      <c r="J901" s="1"/>
      <c r="K901" s="17"/>
      <c r="L901" s="1"/>
      <c r="M901" s="1"/>
      <c r="N901" s="2"/>
      <c r="O901" s="2"/>
      <c r="P901" s="1"/>
      <c r="Q901" s="1"/>
      <c r="R901" s="1"/>
      <c r="S901" s="1"/>
      <c r="T901" s="40"/>
      <c r="U901" s="40"/>
      <c r="V901" s="40"/>
      <c r="W901" s="40"/>
      <c r="X901" s="22"/>
      <c r="Y901" s="22"/>
      <c r="Z901" s="22"/>
      <c r="AA901" s="22"/>
      <c r="AB901" s="22"/>
      <c r="AC901" s="22"/>
      <c r="AD901" s="22"/>
      <c r="AE901" s="22"/>
      <c r="AF901" s="22"/>
      <c r="AG901" s="22"/>
      <c r="AH901" s="22"/>
      <c r="AI901" s="22"/>
      <c r="AJ901" s="40"/>
      <c r="AK901" s="22"/>
      <c r="AL901" s="22"/>
      <c r="AM901" s="22"/>
      <c r="AN901" s="22"/>
      <c r="AO901" s="40"/>
      <c r="AP901" s="40"/>
      <c r="AQ901" s="40"/>
      <c r="AR901" s="1"/>
      <c r="AS901" s="1"/>
      <c r="AT901" s="17"/>
      <c r="AU901" s="1"/>
      <c r="AV901" s="1"/>
      <c r="AW901" s="1"/>
      <c r="AX901" s="2"/>
      <c r="AY901" s="2"/>
      <c r="AZ901" s="1"/>
    </row>
    <row x14ac:dyDescent="0.25" r="902" customHeight="1" ht="18.75">
      <c r="A902" s="1"/>
      <c r="B902" s="1"/>
      <c r="C902" s="1"/>
      <c r="D902" s="1"/>
      <c r="E902" s="1"/>
      <c r="F902" s="1"/>
      <c r="G902" s="1"/>
      <c r="H902" s="1"/>
      <c r="I902" s="1"/>
      <c r="J902" s="1"/>
      <c r="K902" s="17"/>
      <c r="L902" s="1"/>
      <c r="M902" s="1"/>
      <c r="N902" s="2"/>
      <c r="O902" s="2"/>
      <c r="P902" s="1"/>
      <c r="Q902" s="1"/>
      <c r="R902" s="1"/>
      <c r="S902" s="1"/>
      <c r="T902" s="40"/>
      <c r="U902" s="40"/>
      <c r="V902" s="40"/>
      <c r="W902" s="40"/>
      <c r="X902" s="22"/>
      <c r="Y902" s="22"/>
      <c r="Z902" s="22"/>
      <c r="AA902" s="22"/>
      <c r="AB902" s="22"/>
      <c r="AC902" s="22"/>
      <c r="AD902" s="22"/>
      <c r="AE902" s="22"/>
      <c r="AF902" s="22"/>
      <c r="AG902" s="22"/>
      <c r="AH902" s="22"/>
      <c r="AI902" s="22"/>
      <c r="AJ902" s="40"/>
      <c r="AK902" s="22"/>
      <c r="AL902" s="22"/>
      <c r="AM902" s="22"/>
      <c r="AN902" s="22"/>
      <c r="AO902" s="40"/>
      <c r="AP902" s="40"/>
      <c r="AQ902" s="40"/>
      <c r="AR902" s="1"/>
      <c r="AS902" s="1"/>
      <c r="AT902" s="17"/>
      <c r="AU902" s="1"/>
      <c r="AV902" s="1"/>
      <c r="AW902" s="1"/>
      <c r="AX902" s="2"/>
      <c r="AY902" s="2"/>
      <c r="AZ902" s="1"/>
    </row>
    <row x14ac:dyDescent="0.25" r="903" customHeight="1" ht="18.75">
      <c r="A903" s="1"/>
      <c r="B903" s="1"/>
      <c r="C903" s="1"/>
      <c r="D903" s="1"/>
      <c r="E903" s="1"/>
      <c r="F903" s="1"/>
      <c r="G903" s="1"/>
      <c r="H903" s="1"/>
      <c r="I903" s="1"/>
      <c r="J903" s="1"/>
      <c r="K903" s="17"/>
      <c r="L903" s="1"/>
      <c r="M903" s="1"/>
      <c r="N903" s="2"/>
      <c r="O903" s="2"/>
      <c r="P903" s="1"/>
      <c r="Q903" s="1"/>
      <c r="R903" s="1"/>
      <c r="S903" s="1"/>
      <c r="T903" s="40"/>
      <c r="U903" s="40"/>
      <c r="V903" s="40"/>
      <c r="W903" s="40"/>
      <c r="X903" s="22"/>
      <c r="Y903" s="22"/>
      <c r="Z903" s="22"/>
      <c r="AA903" s="22"/>
      <c r="AB903" s="22"/>
      <c r="AC903" s="22"/>
      <c r="AD903" s="22"/>
      <c r="AE903" s="22"/>
      <c r="AF903" s="22"/>
      <c r="AG903" s="22"/>
      <c r="AH903" s="22"/>
      <c r="AI903" s="22"/>
      <c r="AJ903" s="40"/>
      <c r="AK903" s="22"/>
      <c r="AL903" s="22"/>
      <c r="AM903" s="22"/>
      <c r="AN903" s="22"/>
      <c r="AO903" s="40"/>
      <c r="AP903" s="40"/>
      <c r="AQ903" s="40"/>
      <c r="AR903" s="1"/>
      <c r="AS903" s="1"/>
      <c r="AT903" s="17"/>
      <c r="AU903" s="1"/>
      <c r="AV903" s="1"/>
      <c r="AW903" s="1"/>
      <c r="AX903" s="2"/>
      <c r="AY903" s="2"/>
      <c r="AZ903" s="1"/>
    </row>
    <row x14ac:dyDescent="0.25" r="904" customHeight="1" ht="18.75">
      <c r="A904" s="1"/>
      <c r="B904" s="1"/>
      <c r="C904" s="1"/>
      <c r="D904" s="1"/>
      <c r="E904" s="1"/>
      <c r="F904" s="1"/>
      <c r="G904" s="1"/>
      <c r="H904" s="1"/>
      <c r="I904" s="1"/>
      <c r="J904" s="1"/>
      <c r="K904" s="17"/>
      <c r="L904" s="1"/>
      <c r="M904" s="1"/>
      <c r="N904" s="2"/>
      <c r="O904" s="2"/>
      <c r="P904" s="1"/>
      <c r="Q904" s="1"/>
      <c r="R904" s="1"/>
      <c r="S904" s="1"/>
      <c r="T904" s="40"/>
      <c r="U904" s="40"/>
      <c r="V904" s="40"/>
      <c r="W904" s="40"/>
      <c r="X904" s="22"/>
      <c r="Y904" s="22"/>
      <c r="Z904" s="22"/>
      <c r="AA904" s="22"/>
      <c r="AB904" s="22"/>
      <c r="AC904" s="22"/>
      <c r="AD904" s="22"/>
      <c r="AE904" s="22"/>
      <c r="AF904" s="22"/>
      <c r="AG904" s="22"/>
      <c r="AH904" s="22"/>
      <c r="AI904" s="22"/>
      <c r="AJ904" s="40"/>
      <c r="AK904" s="22"/>
      <c r="AL904" s="22"/>
      <c r="AM904" s="22"/>
      <c r="AN904" s="22"/>
      <c r="AO904" s="40"/>
      <c r="AP904" s="40"/>
      <c r="AQ904" s="40"/>
      <c r="AR904" s="1"/>
      <c r="AS904" s="1"/>
      <c r="AT904" s="17"/>
      <c r="AU904" s="1"/>
      <c r="AV904" s="1"/>
      <c r="AW904" s="1"/>
      <c r="AX904" s="2"/>
      <c r="AY904" s="2"/>
      <c r="AZ904" s="1"/>
    </row>
    <row x14ac:dyDescent="0.25" r="905" customHeight="1" ht="18.75">
      <c r="A905" s="1"/>
      <c r="B905" s="1"/>
      <c r="C905" s="1"/>
      <c r="D905" s="1"/>
      <c r="E905" s="1"/>
      <c r="F905" s="1"/>
      <c r="G905" s="1"/>
      <c r="H905" s="1"/>
      <c r="I905" s="1"/>
      <c r="J905" s="1"/>
      <c r="K905" s="17"/>
      <c r="L905" s="1"/>
      <c r="M905" s="1"/>
      <c r="N905" s="2"/>
      <c r="O905" s="2"/>
      <c r="P905" s="1"/>
      <c r="Q905" s="1"/>
      <c r="R905" s="1"/>
      <c r="S905" s="1"/>
      <c r="T905" s="40"/>
      <c r="U905" s="40"/>
      <c r="V905" s="40"/>
      <c r="W905" s="40"/>
      <c r="X905" s="22"/>
      <c r="Y905" s="22"/>
      <c r="Z905" s="22"/>
      <c r="AA905" s="22"/>
      <c r="AB905" s="22"/>
      <c r="AC905" s="22"/>
      <c r="AD905" s="22"/>
      <c r="AE905" s="22"/>
      <c r="AF905" s="22"/>
      <c r="AG905" s="22"/>
      <c r="AH905" s="22"/>
      <c r="AI905" s="22"/>
      <c r="AJ905" s="40"/>
      <c r="AK905" s="22"/>
      <c r="AL905" s="22"/>
      <c r="AM905" s="22"/>
      <c r="AN905" s="22"/>
      <c r="AO905" s="40"/>
      <c r="AP905" s="40"/>
      <c r="AQ905" s="40"/>
      <c r="AR905" s="1"/>
      <c r="AS905" s="1"/>
      <c r="AT905" s="17"/>
      <c r="AU905" s="1"/>
      <c r="AV905" s="1"/>
      <c r="AW905" s="1"/>
      <c r="AX905" s="2"/>
      <c r="AY905" s="2"/>
      <c r="AZ905" s="1"/>
    </row>
    <row x14ac:dyDescent="0.25" r="906" customHeight="1" ht="18.75">
      <c r="A906" s="1"/>
      <c r="B906" s="1"/>
      <c r="C906" s="1"/>
      <c r="D906" s="1"/>
      <c r="E906" s="1"/>
      <c r="F906" s="1"/>
      <c r="G906" s="1"/>
      <c r="H906" s="1"/>
      <c r="I906" s="1"/>
      <c r="J906" s="1"/>
      <c r="K906" s="17"/>
      <c r="L906" s="1"/>
      <c r="M906" s="1"/>
      <c r="N906" s="2"/>
      <c r="O906" s="2"/>
      <c r="P906" s="1"/>
      <c r="Q906" s="1"/>
      <c r="R906" s="1"/>
      <c r="S906" s="1"/>
      <c r="T906" s="40"/>
      <c r="U906" s="40"/>
      <c r="V906" s="40"/>
      <c r="W906" s="40"/>
      <c r="X906" s="22"/>
      <c r="Y906" s="22"/>
      <c r="Z906" s="22"/>
      <c r="AA906" s="22"/>
      <c r="AB906" s="22"/>
      <c r="AC906" s="22"/>
      <c r="AD906" s="22"/>
      <c r="AE906" s="22"/>
      <c r="AF906" s="22"/>
      <c r="AG906" s="22"/>
      <c r="AH906" s="22"/>
      <c r="AI906" s="22"/>
      <c r="AJ906" s="40"/>
      <c r="AK906" s="22"/>
      <c r="AL906" s="22"/>
      <c r="AM906" s="22"/>
      <c r="AN906" s="22"/>
      <c r="AO906" s="40"/>
      <c r="AP906" s="40"/>
      <c r="AQ906" s="40"/>
      <c r="AR906" s="1"/>
      <c r="AS906" s="1"/>
      <c r="AT906" s="17"/>
      <c r="AU906" s="1"/>
      <c r="AV906" s="1"/>
      <c r="AW906" s="1"/>
      <c r="AX906" s="2"/>
      <c r="AY906" s="2"/>
      <c r="AZ906" s="1"/>
    </row>
    <row x14ac:dyDescent="0.25" r="907" customHeight="1" ht="18.75">
      <c r="A907" s="1"/>
      <c r="B907" s="1"/>
      <c r="C907" s="1"/>
      <c r="D907" s="1"/>
      <c r="E907" s="1"/>
      <c r="F907" s="1"/>
      <c r="G907" s="1"/>
      <c r="H907" s="1"/>
      <c r="I907" s="1"/>
      <c r="J907" s="1"/>
      <c r="K907" s="17"/>
      <c r="L907" s="1"/>
      <c r="M907" s="1"/>
      <c r="N907" s="2"/>
      <c r="O907" s="2"/>
      <c r="P907" s="1"/>
      <c r="Q907" s="1"/>
      <c r="R907" s="1"/>
      <c r="S907" s="1"/>
      <c r="T907" s="40"/>
      <c r="U907" s="40"/>
      <c r="V907" s="40"/>
      <c r="W907" s="40"/>
      <c r="X907" s="22"/>
      <c r="Y907" s="22"/>
      <c r="Z907" s="22"/>
      <c r="AA907" s="22"/>
      <c r="AB907" s="22"/>
      <c r="AC907" s="22"/>
      <c r="AD907" s="22"/>
      <c r="AE907" s="22"/>
      <c r="AF907" s="22"/>
      <c r="AG907" s="22"/>
      <c r="AH907" s="22"/>
      <c r="AI907" s="22"/>
      <c r="AJ907" s="40"/>
      <c r="AK907" s="22"/>
      <c r="AL907" s="22"/>
      <c r="AM907" s="22"/>
      <c r="AN907" s="22"/>
      <c r="AO907" s="40"/>
      <c r="AP907" s="40"/>
      <c r="AQ907" s="40"/>
      <c r="AR907" s="1"/>
      <c r="AS907" s="1"/>
      <c r="AT907" s="17"/>
      <c r="AU907" s="1"/>
      <c r="AV907" s="1"/>
      <c r="AW907" s="1"/>
      <c r="AX907" s="2"/>
      <c r="AY907" s="2"/>
      <c r="AZ907" s="1"/>
    </row>
    <row x14ac:dyDescent="0.25" r="908" customHeight="1" ht="18.75">
      <c r="A908" s="1"/>
      <c r="B908" s="1"/>
      <c r="C908" s="1"/>
      <c r="D908" s="1"/>
      <c r="E908" s="1"/>
      <c r="F908" s="1"/>
      <c r="G908" s="1"/>
      <c r="H908" s="1"/>
      <c r="I908" s="1"/>
      <c r="J908" s="1"/>
      <c r="K908" s="17"/>
      <c r="L908" s="1"/>
      <c r="M908" s="1"/>
      <c r="N908" s="2"/>
      <c r="O908" s="2"/>
      <c r="P908" s="1"/>
      <c r="Q908" s="1"/>
      <c r="R908" s="1"/>
      <c r="S908" s="1"/>
      <c r="T908" s="40"/>
      <c r="U908" s="40"/>
      <c r="V908" s="40"/>
      <c r="W908" s="40"/>
      <c r="X908" s="22"/>
      <c r="Y908" s="22"/>
      <c r="Z908" s="22"/>
      <c r="AA908" s="22"/>
      <c r="AB908" s="22"/>
      <c r="AC908" s="22"/>
      <c r="AD908" s="22"/>
      <c r="AE908" s="22"/>
      <c r="AF908" s="22"/>
      <c r="AG908" s="22"/>
      <c r="AH908" s="22"/>
      <c r="AI908" s="22"/>
      <c r="AJ908" s="40"/>
      <c r="AK908" s="22"/>
      <c r="AL908" s="22"/>
      <c r="AM908" s="22"/>
      <c r="AN908" s="22"/>
      <c r="AO908" s="40"/>
      <c r="AP908" s="40"/>
      <c r="AQ908" s="40"/>
      <c r="AR908" s="1"/>
      <c r="AS908" s="1"/>
      <c r="AT908" s="17"/>
      <c r="AU908" s="1"/>
      <c r="AV908" s="1"/>
      <c r="AW908" s="1"/>
      <c r="AX908" s="2"/>
      <c r="AY908" s="2"/>
      <c r="AZ908" s="1"/>
    </row>
    <row x14ac:dyDescent="0.25" r="909" customHeight="1" ht="18.75">
      <c r="A909" s="1"/>
      <c r="B909" s="1"/>
      <c r="C909" s="1"/>
      <c r="D909" s="1"/>
      <c r="E909" s="1"/>
      <c r="F909" s="1"/>
      <c r="G909" s="1"/>
      <c r="H909" s="1"/>
      <c r="I909" s="1"/>
      <c r="J909" s="1"/>
      <c r="K909" s="17"/>
      <c r="L909" s="1"/>
      <c r="M909" s="1"/>
      <c r="N909" s="2"/>
      <c r="O909" s="2"/>
      <c r="P909" s="1"/>
      <c r="Q909" s="1"/>
      <c r="R909" s="1"/>
      <c r="S909" s="1"/>
      <c r="T909" s="40"/>
      <c r="U909" s="40"/>
      <c r="V909" s="40"/>
      <c r="W909" s="40"/>
      <c r="X909" s="22"/>
      <c r="Y909" s="22"/>
      <c r="Z909" s="22"/>
      <c r="AA909" s="22"/>
      <c r="AB909" s="22"/>
      <c r="AC909" s="22"/>
      <c r="AD909" s="22"/>
      <c r="AE909" s="22"/>
      <c r="AF909" s="22"/>
      <c r="AG909" s="22"/>
      <c r="AH909" s="22"/>
      <c r="AI909" s="22"/>
      <c r="AJ909" s="40"/>
      <c r="AK909" s="22"/>
      <c r="AL909" s="22"/>
      <c r="AM909" s="22"/>
      <c r="AN909" s="22"/>
      <c r="AO909" s="40"/>
      <c r="AP909" s="40"/>
      <c r="AQ909" s="40"/>
      <c r="AR909" s="1"/>
      <c r="AS909" s="1"/>
      <c r="AT909" s="17"/>
      <c r="AU909" s="1"/>
      <c r="AV909" s="1"/>
      <c r="AW909" s="1"/>
      <c r="AX909" s="2"/>
      <c r="AY909" s="2"/>
      <c r="AZ909" s="1"/>
    </row>
    <row x14ac:dyDescent="0.25" r="910" customHeight="1" ht="18.75">
      <c r="A910" s="1"/>
      <c r="B910" s="1"/>
      <c r="C910" s="1"/>
      <c r="D910" s="1"/>
      <c r="E910" s="1"/>
      <c r="F910" s="1"/>
      <c r="G910" s="1"/>
      <c r="H910" s="1"/>
      <c r="I910" s="1"/>
      <c r="J910" s="1"/>
      <c r="K910" s="17"/>
      <c r="L910" s="1"/>
      <c r="M910" s="1"/>
      <c r="N910" s="2"/>
      <c r="O910" s="2"/>
      <c r="P910" s="1"/>
      <c r="Q910" s="1"/>
      <c r="R910" s="1"/>
      <c r="S910" s="1"/>
      <c r="T910" s="40"/>
      <c r="U910" s="40"/>
      <c r="V910" s="40"/>
      <c r="W910" s="40"/>
      <c r="X910" s="22"/>
      <c r="Y910" s="22"/>
      <c r="Z910" s="22"/>
      <c r="AA910" s="22"/>
      <c r="AB910" s="22"/>
      <c r="AC910" s="22"/>
      <c r="AD910" s="22"/>
      <c r="AE910" s="22"/>
      <c r="AF910" s="22"/>
      <c r="AG910" s="22"/>
      <c r="AH910" s="22"/>
      <c r="AI910" s="22"/>
      <c r="AJ910" s="40"/>
      <c r="AK910" s="22"/>
      <c r="AL910" s="22"/>
      <c r="AM910" s="22"/>
      <c r="AN910" s="22"/>
      <c r="AO910" s="40"/>
      <c r="AP910" s="40"/>
      <c r="AQ910" s="40"/>
      <c r="AR910" s="1"/>
      <c r="AS910" s="1"/>
      <c r="AT910" s="17"/>
      <c r="AU910" s="1"/>
      <c r="AV910" s="1"/>
      <c r="AW910" s="1"/>
      <c r="AX910" s="2"/>
      <c r="AY910" s="2"/>
      <c r="AZ910" s="1"/>
    </row>
    <row x14ac:dyDescent="0.25" r="911" customHeight="1" ht="18.75">
      <c r="A911" s="1"/>
      <c r="B911" s="1"/>
      <c r="C911" s="1"/>
      <c r="D911" s="1"/>
      <c r="E911" s="1"/>
      <c r="F911" s="1"/>
      <c r="G911" s="1"/>
      <c r="H911" s="1"/>
      <c r="I911" s="1"/>
      <c r="J911" s="1"/>
      <c r="K911" s="17"/>
      <c r="L911" s="1"/>
      <c r="M911" s="1"/>
      <c r="N911" s="2"/>
      <c r="O911" s="2"/>
      <c r="P911" s="1"/>
      <c r="Q911" s="1"/>
      <c r="R911" s="1"/>
      <c r="S911" s="1"/>
      <c r="T911" s="40"/>
      <c r="U911" s="40"/>
      <c r="V911" s="40"/>
      <c r="W911" s="40"/>
      <c r="X911" s="22"/>
      <c r="Y911" s="22"/>
      <c r="Z911" s="22"/>
      <c r="AA911" s="22"/>
      <c r="AB911" s="22"/>
      <c r="AC911" s="22"/>
      <c r="AD911" s="22"/>
      <c r="AE911" s="22"/>
      <c r="AF911" s="22"/>
      <c r="AG911" s="22"/>
      <c r="AH911" s="22"/>
      <c r="AI911" s="22"/>
      <c r="AJ911" s="40"/>
      <c r="AK911" s="22"/>
      <c r="AL911" s="22"/>
      <c r="AM911" s="22"/>
      <c r="AN911" s="22"/>
      <c r="AO911" s="40"/>
      <c r="AP911" s="40"/>
      <c r="AQ911" s="40"/>
      <c r="AR911" s="1"/>
      <c r="AS911" s="1"/>
      <c r="AT911" s="17"/>
      <c r="AU911" s="1"/>
      <c r="AV911" s="1"/>
      <c r="AW911" s="1"/>
      <c r="AX911" s="2"/>
      <c r="AY911" s="2"/>
      <c r="AZ911" s="1"/>
    </row>
    <row x14ac:dyDescent="0.25" r="912" customHeight="1" ht="18.75">
      <c r="A912" s="1"/>
      <c r="B912" s="1"/>
      <c r="C912" s="1"/>
      <c r="D912" s="1"/>
      <c r="E912" s="1"/>
      <c r="F912" s="1"/>
      <c r="G912" s="1"/>
      <c r="H912" s="1"/>
      <c r="I912" s="1"/>
      <c r="J912" s="1"/>
      <c r="K912" s="17"/>
      <c r="L912" s="1"/>
      <c r="M912" s="1"/>
      <c r="N912" s="2"/>
      <c r="O912" s="2"/>
      <c r="P912" s="1"/>
      <c r="Q912" s="1"/>
      <c r="R912" s="1"/>
      <c r="S912" s="1"/>
      <c r="T912" s="40"/>
      <c r="U912" s="40"/>
      <c r="V912" s="40"/>
      <c r="W912" s="40"/>
      <c r="X912" s="22"/>
      <c r="Y912" s="22"/>
      <c r="Z912" s="22"/>
      <c r="AA912" s="22"/>
      <c r="AB912" s="22"/>
      <c r="AC912" s="22"/>
      <c r="AD912" s="22"/>
      <c r="AE912" s="22"/>
      <c r="AF912" s="22"/>
      <c r="AG912" s="22"/>
      <c r="AH912" s="22"/>
      <c r="AI912" s="22"/>
      <c r="AJ912" s="40"/>
      <c r="AK912" s="22"/>
      <c r="AL912" s="22"/>
      <c r="AM912" s="22"/>
      <c r="AN912" s="22"/>
      <c r="AO912" s="40"/>
      <c r="AP912" s="40"/>
      <c r="AQ912" s="40"/>
      <c r="AR912" s="1"/>
      <c r="AS912" s="1"/>
      <c r="AT912" s="17"/>
      <c r="AU912" s="1"/>
      <c r="AV912" s="1"/>
      <c r="AW912" s="1"/>
      <c r="AX912" s="2"/>
      <c r="AY912" s="2"/>
      <c r="AZ912" s="1"/>
    </row>
    <row x14ac:dyDescent="0.25" r="913" customHeight="1" ht="18.75">
      <c r="A913" s="1"/>
      <c r="B913" s="1"/>
      <c r="C913" s="1"/>
      <c r="D913" s="1"/>
      <c r="E913" s="1"/>
      <c r="F913" s="1"/>
      <c r="G913" s="1"/>
      <c r="H913" s="1"/>
      <c r="I913" s="1"/>
      <c r="J913" s="1"/>
      <c r="K913" s="17"/>
      <c r="L913" s="1"/>
      <c r="M913" s="1"/>
      <c r="N913" s="2"/>
      <c r="O913" s="2"/>
      <c r="P913" s="1"/>
      <c r="Q913" s="1"/>
      <c r="R913" s="1"/>
      <c r="S913" s="1"/>
      <c r="T913" s="40"/>
      <c r="U913" s="40"/>
      <c r="V913" s="40"/>
      <c r="W913" s="40"/>
      <c r="X913" s="22"/>
      <c r="Y913" s="22"/>
      <c r="Z913" s="22"/>
      <c r="AA913" s="22"/>
      <c r="AB913" s="22"/>
      <c r="AC913" s="22"/>
      <c r="AD913" s="22"/>
      <c r="AE913" s="22"/>
      <c r="AF913" s="22"/>
      <c r="AG913" s="22"/>
      <c r="AH913" s="22"/>
      <c r="AI913" s="22"/>
      <c r="AJ913" s="40"/>
      <c r="AK913" s="22"/>
      <c r="AL913" s="22"/>
      <c r="AM913" s="22"/>
      <c r="AN913" s="22"/>
      <c r="AO913" s="40"/>
      <c r="AP913" s="40"/>
      <c r="AQ913" s="40"/>
      <c r="AR913" s="1"/>
      <c r="AS913" s="1"/>
      <c r="AT913" s="17"/>
      <c r="AU913" s="1"/>
      <c r="AV913" s="1"/>
      <c r="AW913" s="1"/>
      <c r="AX913" s="2"/>
      <c r="AY913" s="2"/>
      <c r="AZ913" s="1"/>
    </row>
    <row x14ac:dyDescent="0.25" r="914" customHeight="1" ht="18.75">
      <c r="A914" s="1"/>
      <c r="B914" s="1"/>
      <c r="C914" s="1"/>
      <c r="D914" s="1"/>
      <c r="E914" s="1"/>
      <c r="F914" s="1"/>
      <c r="G914" s="1"/>
      <c r="H914" s="1"/>
      <c r="I914" s="1"/>
      <c r="J914" s="1"/>
      <c r="K914" s="17"/>
      <c r="L914" s="1"/>
      <c r="M914" s="1"/>
      <c r="N914" s="2"/>
      <c r="O914" s="2"/>
      <c r="P914" s="1"/>
      <c r="Q914" s="1"/>
      <c r="R914" s="1"/>
      <c r="S914" s="1"/>
      <c r="T914" s="40"/>
      <c r="U914" s="40"/>
      <c r="V914" s="40"/>
      <c r="W914" s="40"/>
      <c r="X914" s="22"/>
      <c r="Y914" s="22"/>
      <c r="Z914" s="22"/>
      <c r="AA914" s="22"/>
      <c r="AB914" s="22"/>
      <c r="AC914" s="22"/>
      <c r="AD914" s="22"/>
      <c r="AE914" s="22"/>
      <c r="AF914" s="22"/>
      <c r="AG914" s="22"/>
      <c r="AH914" s="22"/>
      <c r="AI914" s="22"/>
      <c r="AJ914" s="40"/>
      <c r="AK914" s="22"/>
      <c r="AL914" s="22"/>
      <c r="AM914" s="22"/>
      <c r="AN914" s="22"/>
      <c r="AO914" s="40"/>
      <c r="AP914" s="40"/>
      <c r="AQ914" s="40"/>
      <c r="AR914" s="1"/>
      <c r="AS914" s="1"/>
      <c r="AT914" s="17"/>
      <c r="AU914" s="1"/>
      <c r="AV914" s="1"/>
      <c r="AW914" s="1"/>
      <c r="AX914" s="2"/>
      <c r="AY914" s="2"/>
      <c r="AZ914" s="1"/>
    </row>
    <row x14ac:dyDescent="0.25" r="915" customHeight="1" ht="18.75">
      <c r="A915" s="1"/>
      <c r="B915" s="1"/>
      <c r="C915" s="1"/>
      <c r="D915" s="1"/>
      <c r="E915" s="1"/>
      <c r="F915" s="1"/>
      <c r="G915" s="1"/>
      <c r="H915" s="1"/>
      <c r="I915" s="1"/>
      <c r="J915" s="1"/>
      <c r="K915" s="17"/>
      <c r="L915" s="1"/>
      <c r="M915" s="1"/>
      <c r="N915" s="2"/>
      <c r="O915" s="2"/>
      <c r="P915" s="1"/>
      <c r="Q915" s="1"/>
      <c r="R915" s="1"/>
      <c r="S915" s="1"/>
      <c r="T915" s="40"/>
      <c r="U915" s="40"/>
      <c r="V915" s="40"/>
      <c r="W915" s="40"/>
      <c r="X915" s="22"/>
      <c r="Y915" s="22"/>
      <c r="Z915" s="22"/>
      <c r="AA915" s="22"/>
      <c r="AB915" s="22"/>
      <c r="AC915" s="22"/>
      <c r="AD915" s="22"/>
      <c r="AE915" s="22"/>
      <c r="AF915" s="22"/>
      <c r="AG915" s="22"/>
      <c r="AH915" s="22"/>
      <c r="AI915" s="22"/>
      <c r="AJ915" s="40"/>
      <c r="AK915" s="22"/>
      <c r="AL915" s="22"/>
      <c r="AM915" s="22"/>
      <c r="AN915" s="22"/>
      <c r="AO915" s="40"/>
      <c r="AP915" s="40"/>
      <c r="AQ915" s="40"/>
      <c r="AR915" s="1"/>
      <c r="AS915" s="1"/>
      <c r="AT915" s="17"/>
      <c r="AU915" s="1"/>
      <c r="AV915" s="1"/>
      <c r="AW915" s="1"/>
      <c r="AX915" s="2"/>
      <c r="AY915" s="2"/>
      <c r="AZ915" s="1"/>
    </row>
    <row x14ac:dyDescent="0.25" r="916" customHeight="1" ht="18.75">
      <c r="A916" s="1"/>
      <c r="B916" s="1"/>
      <c r="C916" s="1"/>
      <c r="D916" s="1"/>
      <c r="E916" s="1"/>
      <c r="F916" s="1"/>
      <c r="G916" s="1"/>
      <c r="H916" s="1"/>
      <c r="I916" s="1"/>
      <c r="J916" s="1"/>
      <c r="K916" s="17"/>
      <c r="L916" s="1"/>
      <c r="M916" s="1"/>
      <c r="N916" s="2"/>
      <c r="O916" s="2"/>
      <c r="P916" s="1"/>
      <c r="Q916" s="1"/>
      <c r="R916" s="1"/>
      <c r="S916" s="1"/>
      <c r="T916" s="40"/>
      <c r="U916" s="40"/>
      <c r="V916" s="40"/>
      <c r="W916" s="40"/>
      <c r="X916" s="22"/>
      <c r="Y916" s="22"/>
      <c r="Z916" s="22"/>
      <c r="AA916" s="22"/>
      <c r="AB916" s="22"/>
      <c r="AC916" s="22"/>
      <c r="AD916" s="22"/>
      <c r="AE916" s="22"/>
      <c r="AF916" s="22"/>
      <c r="AG916" s="22"/>
      <c r="AH916" s="22"/>
      <c r="AI916" s="22"/>
      <c r="AJ916" s="40"/>
      <c r="AK916" s="22"/>
      <c r="AL916" s="22"/>
      <c r="AM916" s="22"/>
      <c r="AN916" s="22"/>
      <c r="AO916" s="40"/>
      <c r="AP916" s="40"/>
      <c r="AQ916" s="40"/>
      <c r="AR916" s="1"/>
      <c r="AS916" s="1"/>
      <c r="AT916" s="17"/>
      <c r="AU916" s="1"/>
      <c r="AV916" s="1"/>
      <c r="AW916" s="1"/>
      <c r="AX916" s="2"/>
      <c r="AY916" s="2"/>
      <c r="AZ916" s="1"/>
    </row>
    <row x14ac:dyDescent="0.25" r="917" customHeight="1" ht="18.75">
      <c r="A917" s="1"/>
      <c r="B917" s="1"/>
      <c r="C917" s="1"/>
      <c r="D917" s="1"/>
      <c r="E917" s="1"/>
      <c r="F917" s="1"/>
      <c r="G917" s="1"/>
      <c r="H917" s="1"/>
      <c r="I917" s="1"/>
      <c r="J917" s="1"/>
      <c r="K917" s="17"/>
      <c r="L917" s="1"/>
      <c r="M917" s="1"/>
      <c r="N917" s="2"/>
      <c r="O917" s="2"/>
      <c r="P917" s="1"/>
      <c r="Q917" s="1"/>
      <c r="R917" s="1"/>
      <c r="S917" s="1"/>
      <c r="T917" s="40"/>
      <c r="U917" s="40"/>
      <c r="V917" s="40"/>
      <c r="W917" s="40"/>
      <c r="X917" s="22"/>
      <c r="Y917" s="22"/>
      <c r="Z917" s="22"/>
      <c r="AA917" s="22"/>
      <c r="AB917" s="22"/>
      <c r="AC917" s="22"/>
      <c r="AD917" s="22"/>
      <c r="AE917" s="22"/>
      <c r="AF917" s="22"/>
      <c r="AG917" s="22"/>
      <c r="AH917" s="22"/>
      <c r="AI917" s="22"/>
      <c r="AJ917" s="40"/>
      <c r="AK917" s="22"/>
      <c r="AL917" s="22"/>
      <c r="AM917" s="22"/>
      <c r="AN917" s="22"/>
      <c r="AO917" s="40"/>
      <c r="AP917" s="40"/>
      <c r="AQ917" s="40"/>
      <c r="AR917" s="1"/>
      <c r="AS917" s="1"/>
      <c r="AT917" s="17"/>
      <c r="AU917" s="1"/>
      <c r="AV917" s="1"/>
      <c r="AW917" s="1"/>
      <c r="AX917" s="2"/>
      <c r="AY917" s="2"/>
      <c r="AZ917" s="1"/>
    </row>
    <row x14ac:dyDescent="0.25" r="918" customHeight="1" ht="18.75">
      <c r="A918" s="1"/>
      <c r="B918" s="1"/>
      <c r="C918" s="1"/>
      <c r="D918" s="1"/>
      <c r="E918" s="1"/>
      <c r="F918" s="1"/>
      <c r="G918" s="1"/>
      <c r="H918" s="1"/>
      <c r="I918" s="1"/>
      <c r="J918" s="1"/>
      <c r="K918" s="17"/>
      <c r="L918" s="1"/>
      <c r="M918" s="1"/>
      <c r="N918" s="2"/>
      <c r="O918" s="2"/>
      <c r="P918" s="1"/>
      <c r="Q918" s="1"/>
      <c r="R918" s="1"/>
      <c r="S918" s="1"/>
      <c r="T918" s="40"/>
      <c r="U918" s="40"/>
      <c r="V918" s="40"/>
      <c r="W918" s="40"/>
      <c r="X918" s="22"/>
      <c r="Y918" s="22"/>
      <c r="Z918" s="22"/>
      <c r="AA918" s="22"/>
      <c r="AB918" s="22"/>
      <c r="AC918" s="22"/>
      <c r="AD918" s="22"/>
      <c r="AE918" s="22"/>
      <c r="AF918" s="22"/>
      <c r="AG918" s="22"/>
      <c r="AH918" s="22"/>
      <c r="AI918" s="22"/>
      <c r="AJ918" s="40"/>
      <c r="AK918" s="22"/>
      <c r="AL918" s="22"/>
      <c r="AM918" s="22"/>
      <c r="AN918" s="22"/>
      <c r="AO918" s="40"/>
      <c r="AP918" s="40"/>
      <c r="AQ918" s="40"/>
      <c r="AR918" s="1"/>
      <c r="AS918" s="1"/>
      <c r="AT918" s="17"/>
      <c r="AU918" s="1"/>
      <c r="AV918" s="1"/>
      <c r="AW918" s="1"/>
      <c r="AX918" s="2"/>
      <c r="AY918" s="2"/>
      <c r="AZ918" s="1"/>
    </row>
    <row x14ac:dyDescent="0.25" r="919" customHeight="1" ht="18.75">
      <c r="A919" s="1"/>
      <c r="B919" s="1"/>
      <c r="C919" s="1"/>
      <c r="D919" s="1"/>
      <c r="E919" s="1"/>
      <c r="F919" s="1"/>
      <c r="G919" s="1"/>
      <c r="H919" s="1"/>
      <c r="I919" s="1"/>
      <c r="J919" s="1"/>
      <c r="K919" s="17"/>
      <c r="L919" s="1"/>
      <c r="M919" s="1"/>
      <c r="N919" s="2"/>
      <c r="O919" s="2"/>
      <c r="P919" s="1"/>
      <c r="Q919" s="1"/>
      <c r="R919" s="1"/>
      <c r="S919" s="1"/>
      <c r="T919" s="40"/>
      <c r="U919" s="40"/>
      <c r="V919" s="40"/>
      <c r="W919" s="40"/>
      <c r="X919" s="22"/>
      <c r="Y919" s="22"/>
      <c r="Z919" s="22"/>
      <c r="AA919" s="22"/>
      <c r="AB919" s="22"/>
      <c r="AC919" s="22"/>
      <c r="AD919" s="22"/>
      <c r="AE919" s="22"/>
      <c r="AF919" s="22"/>
      <c r="AG919" s="22"/>
      <c r="AH919" s="22"/>
      <c r="AI919" s="22"/>
      <c r="AJ919" s="40"/>
      <c r="AK919" s="22"/>
      <c r="AL919" s="22"/>
      <c r="AM919" s="22"/>
      <c r="AN919" s="22"/>
      <c r="AO919" s="40"/>
      <c r="AP919" s="40"/>
      <c r="AQ919" s="40"/>
      <c r="AR919" s="1"/>
      <c r="AS919" s="1"/>
      <c r="AT919" s="17"/>
      <c r="AU919" s="1"/>
      <c r="AV919" s="1"/>
      <c r="AW919" s="1"/>
      <c r="AX919" s="2"/>
      <c r="AY919" s="2"/>
      <c r="AZ919" s="1"/>
    </row>
    <row x14ac:dyDescent="0.25" r="920" customHeight="1" ht="18.75">
      <c r="A920" s="1"/>
      <c r="B920" s="1"/>
      <c r="C920" s="1"/>
      <c r="D920" s="1"/>
      <c r="E920" s="1"/>
      <c r="F920" s="1"/>
      <c r="G920" s="1"/>
      <c r="H920" s="1"/>
      <c r="I920" s="1"/>
      <c r="J920" s="1"/>
      <c r="K920" s="17"/>
      <c r="L920" s="1"/>
      <c r="M920" s="1"/>
      <c r="N920" s="2"/>
      <c r="O920" s="2"/>
      <c r="P920" s="1"/>
      <c r="Q920" s="1"/>
      <c r="R920" s="1"/>
      <c r="S920" s="1"/>
      <c r="T920" s="40"/>
      <c r="U920" s="40"/>
      <c r="V920" s="40"/>
      <c r="W920" s="40"/>
      <c r="X920" s="22"/>
      <c r="Y920" s="22"/>
      <c r="Z920" s="22"/>
      <c r="AA920" s="22"/>
      <c r="AB920" s="22"/>
      <c r="AC920" s="22"/>
      <c r="AD920" s="22"/>
      <c r="AE920" s="22"/>
      <c r="AF920" s="22"/>
      <c r="AG920" s="22"/>
      <c r="AH920" s="22"/>
      <c r="AI920" s="22"/>
      <c r="AJ920" s="40"/>
      <c r="AK920" s="22"/>
      <c r="AL920" s="22"/>
      <c r="AM920" s="22"/>
      <c r="AN920" s="22"/>
      <c r="AO920" s="40"/>
      <c r="AP920" s="40"/>
      <c r="AQ920" s="40"/>
      <c r="AR920" s="1"/>
      <c r="AS920" s="1"/>
      <c r="AT920" s="17"/>
      <c r="AU920" s="1"/>
      <c r="AV920" s="1"/>
      <c r="AW920" s="1"/>
      <c r="AX920" s="2"/>
      <c r="AY920" s="2"/>
      <c r="AZ920" s="1"/>
    </row>
    <row x14ac:dyDescent="0.25" r="921" customHeight="1" ht="18.75">
      <c r="A921" s="1"/>
      <c r="B921" s="1"/>
      <c r="C921" s="1"/>
      <c r="D921" s="1"/>
      <c r="E921" s="1"/>
      <c r="F921" s="1"/>
      <c r="G921" s="1"/>
      <c r="H921" s="1"/>
      <c r="I921" s="1"/>
      <c r="J921" s="1"/>
      <c r="K921" s="17"/>
      <c r="L921" s="1"/>
      <c r="M921" s="1"/>
      <c r="N921" s="2"/>
      <c r="O921" s="2"/>
      <c r="P921" s="1"/>
      <c r="Q921" s="1"/>
      <c r="R921" s="1"/>
      <c r="S921" s="1"/>
      <c r="T921" s="40"/>
      <c r="U921" s="40"/>
      <c r="V921" s="40"/>
      <c r="W921" s="40"/>
      <c r="X921" s="22"/>
      <c r="Y921" s="22"/>
      <c r="Z921" s="22"/>
      <c r="AA921" s="22"/>
      <c r="AB921" s="22"/>
      <c r="AC921" s="22"/>
      <c r="AD921" s="22"/>
      <c r="AE921" s="22"/>
      <c r="AF921" s="22"/>
      <c r="AG921" s="22"/>
      <c r="AH921" s="22"/>
      <c r="AI921" s="22"/>
      <c r="AJ921" s="40"/>
      <c r="AK921" s="22"/>
      <c r="AL921" s="22"/>
      <c r="AM921" s="22"/>
      <c r="AN921" s="22"/>
      <c r="AO921" s="40"/>
      <c r="AP921" s="40"/>
      <c r="AQ921" s="40"/>
      <c r="AR921" s="1"/>
      <c r="AS921" s="1"/>
      <c r="AT921" s="17"/>
      <c r="AU921" s="1"/>
      <c r="AV921" s="1"/>
      <c r="AW921" s="1"/>
      <c r="AX921" s="2"/>
      <c r="AY921" s="2"/>
      <c r="AZ921" s="1"/>
    </row>
    <row x14ac:dyDescent="0.25" r="922" customHeight="1" ht="18.75">
      <c r="A922" s="1"/>
      <c r="B922" s="1"/>
      <c r="C922" s="1"/>
      <c r="D922" s="1"/>
      <c r="E922" s="1"/>
      <c r="F922" s="1"/>
      <c r="G922" s="1"/>
      <c r="H922" s="1"/>
      <c r="I922" s="1"/>
      <c r="J922" s="1"/>
      <c r="K922" s="17"/>
      <c r="L922" s="1"/>
      <c r="M922" s="1"/>
      <c r="N922" s="2"/>
      <c r="O922" s="2"/>
      <c r="P922" s="1"/>
      <c r="Q922" s="1"/>
      <c r="R922" s="1"/>
      <c r="S922" s="1"/>
      <c r="T922" s="40"/>
      <c r="U922" s="40"/>
      <c r="V922" s="40"/>
      <c r="W922" s="40"/>
      <c r="X922" s="22"/>
      <c r="Y922" s="22"/>
      <c r="Z922" s="22"/>
      <c r="AA922" s="22"/>
      <c r="AB922" s="22"/>
      <c r="AC922" s="22"/>
      <c r="AD922" s="22"/>
      <c r="AE922" s="22"/>
      <c r="AF922" s="22"/>
      <c r="AG922" s="22"/>
      <c r="AH922" s="22"/>
      <c r="AI922" s="22"/>
      <c r="AJ922" s="40"/>
      <c r="AK922" s="22"/>
      <c r="AL922" s="22"/>
      <c r="AM922" s="22"/>
      <c r="AN922" s="22"/>
      <c r="AO922" s="40"/>
      <c r="AP922" s="40"/>
      <c r="AQ922" s="40"/>
      <c r="AR922" s="1"/>
      <c r="AS922" s="1"/>
      <c r="AT922" s="17"/>
      <c r="AU922" s="1"/>
      <c r="AV922" s="1"/>
      <c r="AW922" s="1"/>
      <c r="AX922" s="2"/>
      <c r="AY922" s="2"/>
      <c r="AZ922" s="1"/>
    </row>
    <row x14ac:dyDescent="0.25" r="923" customHeight="1" ht="18.75">
      <c r="A923" s="1"/>
      <c r="B923" s="1"/>
      <c r="C923" s="1"/>
      <c r="D923" s="1"/>
      <c r="E923" s="1"/>
      <c r="F923" s="1"/>
      <c r="G923" s="1"/>
      <c r="H923" s="1"/>
      <c r="I923" s="1"/>
      <c r="J923" s="1"/>
      <c r="K923" s="17"/>
      <c r="L923" s="1"/>
      <c r="M923" s="1"/>
      <c r="N923" s="2"/>
      <c r="O923" s="2"/>
      <c r="P923" s="1"/>
      <c r="Q923" s="1"/>
      <c r="R923" s="1"/>
      <c r="S923" s="1"/>
      <c r="T923" s="40"/>
      <c r="U923" s="40"/>
      <c r="V923" s="40"/>
      <c r="W923" s="40"/>
      <c r="X923" s="22"/>
      <c r="Y923" s="22"/>
      <c r="Z923" s="22"/>
      <c r="AA923" s="22"/>
      <c r="AB923" s="22"/>
      <c r="AC923" s="22"/>
      <c r="AD923" s="22"/>
      <c r="AE923" s="22"/>
      <c r="AF923" s="22"/>
      <c r="AG923" s="22"/>
      <c r="AH923" s="22"/>
      <c r="AI923" s="22"/>
      <c r="AJ923" s="40"/>
      <c r="AK923" s="22"/>
      <c r="AL923" s="22"/>
      <c r="AM923" s="22"/>
      <c r="AN923" s="22"/>
      <c r="AO923" s="40"/>
      <c r="AP923" s="40"/>
      <c r="AQ923" s="40"/>
      <c r="AR923" s="1"/>
      <c r="AS923" s="1"/>
      <c r="AT923" s="17"/>
      <c r="AU923" s="1"/>
      <c r="AV923" s="1"/>
      <c r="AW923" s="1"/>
      <c r="AX923" s="2"/>
      <c r="AY923" s="2"/>
      <c r="AZ923" s="1"/>
    </row>
    <row x14ac:dyDescent="0.25" r="924" customHeight="1" ht="18.75">
      <c r="A924" s="1"/>
      <c r="B924" s="1"/>
      <c r="C924" s="1"/>
      <c r="D924" s="1"/>
      <c r="E924" s="1"/>
      <c r="F924" s="1"/>
      <c r="G924" s="1"/>
      <c r="H924" s="1"/>
      <c r="I924" s="1"/>
      <c r="J924" s="1"/>
      <c r="K924" s="17"/>
      <c r="L924" s="1"/>
      <c r="M924" s="1"/>
      <c r="N924" s="2"/>
      <c r="O924" s="2"/>
      <c r="P924" s="1"/>
      <c r="Q924" s="1"/>
      <c r="R924" s="1"/>
      <c r="S924" s="1"/>
      <c r="T924" s="40"/>
      <c r="U924" s="40"/>
      <c r="V924" s="40"/>
      <c r="W924" s="40"/>
      <c r="X924" s="22"/>
      <c r="Y924" s="22"/>
      <c r="Z924" s="22"/>
      <c r="AA924" s="22"/>
      <c r="AB924" s="22"/>
      <c r="AC924" s="22"/>
      <c r="AD924" s="22"/>
      <c r="AE924" s="22"/>
      <c r="AF924" s="22"/>
      <c r="AG924" s="22"/>
      <c r="AH924" s="22"/>
      <c r="AI924" s="22"/>
      <c r="AJ924" s="40"/>
      <c r="AK924" s="22"/>
      <c r="AL924" s="22"/>
      <c r="AM924" s="22"/>
      <c r="AN924" s="22"/>
      <c r="AO924" s="40"/>
      <c r="AP924" s="40"/>
      <c r="AQ924" s="40"/>
      <c r="AR924" s="1"/>
      <c r="AS924" s="1"/>
      <c r="AT924" s="17"/>
      <c r="AU924" s="1"/>
      <c r="AV924" s="1"/>
      <c r="AW924" s="1"/>
      <c r="AX924" s="2"/>
      <c r="AY924" s="2"/>
      <c r="AZ924" s="1"/>
    </row>
    <row x14ac:dyDescent="0.25" r="925" customHeight="1" ht="18.75">
      <c r="A925" s="1"/>
      <c r="B925" s="1"/>
      <c r="C925" s="1"/>
      <c r="D925" s="1"/>
      <c r="E925" s="1"/>
      <c r="F925" s="1"/>
      <c r="G925" s="1"/>
      <c r="H925" s="1"/>
      <c r="I925" s="1"/>
      <c r="J925" s="1"/>
      <c r="K925" s="17"/>
      <c r="L925" s="1"/>
      <c r="M925" s="1"/>
      <c r="N925" s="2"/>
      <c r="O925" s="2"/>
      <c r="P925" s="1"/>
      <c r="Q925" s="1"/>
      <c r="R925" s="1"/>
      <c r="S925" s="1"/>
      <c r="T925" s="40"/>
      <c r="U925" s="40"/>
      <c r="V925" s="40"/>
      <c r="W925" s="40"/>
      <c r="X925" s="22"/>
      <c r="Y925" s="22"/>
      <c r="Z925" s="22"/>
      <c r="AA925" s="22"/>
      <c r="AB925" s="22"/>
      <c r="AC925" s="22"/>
      <c r="AD925" s="22"/>
      <c r="AE925" s="22"/>
      <c r="AF925" s="22"/>
      <c r="AG925" s="22"/>
      <c r="AH925" s="22"/>
      <c r="AI925" s="22"/>
      <c r="AJ925" s="40"/>
      <c r="AK925" s="22"/>
      <c r="AL925" s="22"/>
      <c r="AM925" s="22"/>
      <c r="AN925" s="22"/>
      <c r="AO925" s="40"/>
      <c r="AP925" s="40"/>
      <c r="AQ925" s="40"/>
      <c r="AR925" s="1"/>
      <c r="AS925" s="1"/>
      <c r="AT925" s="17"/>
      <c r="AU925" s="1"/>
      <c r="AV925" s="1"/>
      <c r="AW925" s="1"/>
      <c r="AX925" s="2"/>
      <c r="AY925" s="2"/>
      <c r="AZ925" s="1"/>
    </row>
    <row x14ac:dyDescent="0.25" r="926" customHeight="1" ht="18.75">
      <c r="A926" s="1"/>
      <c r="B926" s="1"/>
      <c r="C926" s="1"/>
      <c r="D926" s="1"/>
      <c r="E926" s="1"/>
      <c r="F926" s="1"/>
      <c r="G926" s="1"/>
      <c r="H926" s="1"/>
      <c r="I926" s="1"/>
      <c r="J926" s="1"/>
      <c r="K926" s="17"/>
      <c r="L926" s="1"/>
      <c r="M926" s="1"/>
      <c r="N926" s="2"/>
      <c r="O926" s="2"/>
      <c r="P926" s="1"/>
      <c r="Q926" s="1"/>
      <c r="R926" s="1"/>
      <c r="S926" s="1"/>
      <c r="T926" s="40"/>
      <c r="U926" s="40"/>
      <c r="V926" s="40"/>
      <c r="W926" s="40"/>
      <c r="X926" s="22"/>
      <c r="Y926" s="22"/>
      <c r="Z926" s="22"/>
      <c r="AA926" s="22"/>
      <c r="AB926" s="22"/>
      <c r="AC926" s="22"/>
      <c r="AD926" s="22"/>
      <c r="AE926" s="22"/>
      <c r="AF926" s="22"/>
      <c r="AG926" s="22"/>
      <c r="AH926" s="22"/>
      <c r="AI926" s="22"/>
      <c r="AJ926" s="40"/>
      <c r="AK926" s="22"/>
      <c r="AL926" s="22"/>
      <c r="AM926" s="22"/>
      <c r="AN926" s="22"/>
      <c r="AO926" s="40"/>
      <c r="AP926" s="40"/>
      <c r="AQ926" s="40"/>
      <c r="AR926" s="1"/>
      <c r="AS926" s="1"/>
      <c r="AT926" s="17"/>
      <c r="AU926" s="1"/>
      <c r="AV926" s="1"/>
      <c r="AW926" s="1"/>
      <c r="AX926" s="2"/>
      <c r="AY926" s="2"/>
      <c r="AZ926" s="1"/>
    </row>
    <row x14ac:dyDescent="0.25" r="927" customHeight="1" ht="18.75">
      <c r="A927" s="1"/>
      <c r="B927" s="1"/>
      <c r="C927" s="1"/>
      <c r="D927" s="1"/>
      <c r="E927" s="1"/>
      <c r="F927" s="1"/>
      <c r="G927" s="1"/>
      <c r="H927" s="1"/>
      <c r="I927" s="1"/>
      <c r="J927" s="1"/>
      <c r="K927" s="17"/>
      <c r="L927" s="1"/>
      <c r="M927" s="1"/>
      <c r="N927" s="2"/>
      <c r="O927" s="2"/>
      <c r="P927" s="1"/>
      <c r="Q927" s="1"/>
      <c r="R927" s="1"/>
      <c r="S927" s="1"/>
      <c r="T927" s="40"/>
      <c r="U927" s="40"/>
      <c r="V927" s="40"/>
      <c r="W927" s="40"/>
      <c r="X927" s="22"/>
      <c r="Y927" s="22"/>
      <c r="Z927" s="22"/>
      <c r="AA927" s="22"/>
      <c r="AB927" s="22"/>
      <c r="AC927" s="22"/>
      <c r="AD927" s="22"/>
      <c r="AE927" s="22"/>
      <c r="AF927" s="22"/>
      <c r="AG927" s="22"/>
      <c r="AH927" s="22"/>
      <c r="AI927" s="22"/>
      <c r="AJ927" s="40"/>
      <c r="AK927" s="22"/>
      <c r="AL927" s="22"/>
      <c r="AM927" s="22"/>
      <c r="AN927" s="22"/>
      <c r="AO927" s="40"/>
      <c r="AP927" s="40"/>
      <c r="AQ927" s="40"/>
      <c r="AR927" s="1"/>
      <c r="AS927" s="1"/>
      <c r="AT927" s="17"/>
      <c r="AU927" s="1"/>
      <c r="AV927" s="1"/>
      <c r="AW927" s="1"/>
      <c r="AX927" s="2"/>
      <c r="AY927" s="2"/>
      <c r="AZ927" s="1"/>
    </row>
    <row x14ac:dyDescent="0.25" r="928" customHeight="1" ht="18.75">
      <c r="A928" s="1"/>
      <c r="B928" s="1"/>
      <c r="C928" s="1"/>
      <c r="D928" s="1"/>
      <c r="E928" s="1"/>
      <c r="F928" s="1"/>
      <c r="G928" s="1"/>
      <c r="H928" s="1"/>
      <c r="I928" s="1"/>
      <c r="J928" s="1"/>
      <c r="K928" s="17"/>
      <c r="L928" s="1"/>
      <c r="M928" s="1"/>
      <c r="N928" s="2"/>
      <c r="O928" s="2"/>
      <c r="P928" s="1"/>
      <c r="Q928" s="1"/>
      <c r="R928" s="1"/>
      <c r="S928" s="1"/>
      <c r="T928" s="40"/>
      <c r="U928" s="40"/>
      <c r="V928" s="40"/>
      <c r="W928" s="40"/>
      <c r="X928" s="22"/>
      <c r="Y928" s="22"/>
      <c r="Z928" s="22"/>
      <c r="AA928" s="22"/>
      <c r="AB928" s="22"/>
      <c r="AC928" s="22"/>
      <c r="AD928" s="22"/>
      <c r="AE928" s="22"/>
      <c r="AF928" s="22"/>
      <c r="AG928" s="22"/>
      <c r="AH928" s="22"/>
      <c r="AI928" s="22"/>
      <c r="AJ928" s="40"/>
      <c r="AK928" s="22"/>
      <c r="AL928" s="22"/>
      <c r="AM928" s="22"/>
      <c r="AN928" s="22"/>
      <c r="AO928" s="40"/>
      <c r="AP928" s="40"/>
      <c r="AQ928" s="40"/>
      <c r="AR928" s="1"/>
      <c r="AS928" s="1"/>
      <c r="AT928" s="17"/>
      <c r="AU928" s="1"/>
      <c r="AV928" s="1"/>
      <c r="AW928" s="1"/>
      <c r="AX928" s="2"/>
      <c r="AY928" s="2"/>
      <c r="AZ928" s="1"/>
    </row>
    <row x14ac:dyDescent="0.25" r="929" customHeight="1" ht="18.75">
      <c r="A929" s="1"/>
      <c r="B929" s="1"/>
      <c r="C929" s="1"/>
      <c r="D929" s="1"/>
      <c r="E929" s="1"/>
      <c r="F929" s="1"/>
      <c r="G929" s="1"/>
      <c r="H929" s="1"/>
      <c r="I929" s="1"/>
      <c r="J929" s="1"/>
      <c r="K929" s="17"/>
      <c r="L929" s="1"/>
      <c r="M929" s="1"/>
      <c r="N929" s="2"/>
      <c r="O929" s="2"/>
      <c r="P929" s="1"/>
      <c r="Q929" s="1"/>
      <c r="R929" s="1"/>
      <c r="S929" s="1"/>
      <c r="T929" s="40"/>
      <c r="U929" s="40"/>
      <c r="V929" s="40"/>
      <c r="W929" s="40"/>
      <c r="X929" s="22"/>
      <c r="Y929" s="22"/>
      <c r="Z929" s="22"/>
      <c r="AA929" s="22"/>
      <c r="AB929" s="22"/>
      <c r="AC929" s="22"/>
      <c r="AD929" s="22"/>
      <c r="AE929" s="22"/>
      <c r="AF929" s="22"/>
      <c r="AG929" s="22"/>
      <c r="AH929" s="22"/>
      <c r="AI929" s="22"/>
      <c r="AJ929" s="40"/>
      <c r="AK929" s="22"/>
      <c r="AL929" s="22"/>
      <c r="AM929" s="22"/>
      <c r="AN929" s="22"/>
      <c r="AO929" s="40"/>
      <c r="AP929" s="40"/>
      <c r="AQ929" s="40"/>
      <c r="AR929" s="1"/>
      <c r="AS929" s="1"/>
      <c r="AT929" s="17"/>
      <c r="AU929" s="1"/>
      <c r="AV929" s="1"/>
      <c r="AW929" s="1"/>
      <c r="AX929" s="2"/>
      <c r="AY929" s="2"/>
      <c r="AZ929" s="1"/>
    </row>
    <row x14ac:dyDescent="0.25" r="930" customHeight="1" ht="18.75">
      <c r="A930" s="1"/>
      <c r="B930" s="1"/>
      <c r="C930" s="1"/>
      <c r="D930" s="1"/>
      <c r="E930" s="1"/>
      <c r="F930" s="1"/>
      <c r="G930" s="1"/>
      <c r="H930" s="1"/>
      <c r="I930" s="1"/>
      <c r="J930" s="1"/>
      <c r="K930" s="17"/>
      <c r="L930" s="1"/>
      <c r="M930" s="1"/>
      <c r="N930" s="2"/>
      <c r="O930" s="2"/>
      <c r="P930" s="1"/>
      <c r="Q930" s="1"/>
      <c r="R930" s="1"/>
      <c r="S930" s="1"/>
      <c r="T930" s="40"/>
      <c r="U930" s="40"/>
      <c r="V930" s="40"/>
      <c r="W930" s="40"/>
      <c r="X930" s="22"/>
      <c r="Y930" s="22"/>
      <c r="Z930" s="22"/>
      <c r="AA930" s="22"/>
      <c r="AB930" s="22"/>
      <c r="AC930" s="22"/>
      <c r="AD930" s="22"/>
      <c r="AE930" s="22"/>
      <c r="AF930" s="22"/>
      <c r="AG930" s="22"/>
      <c r="AH930" s="22"/>
      <c r="AI930" s="22"/>
      <c r="AJ930" s="40"/>
      <c r="AK930" s="22"/>
      <c r="AL930" s="22"/>
      <c r="AM930" s="22"/>
      <c r="AN930" s="22"/>
      <c r="AO930" s="40"/>
      <c r="AP930" s="40"/>
      <c r="AQ930" s="40"/>
      <c r="AR930" s="1"/>
      <c r="AS930" s="1"/>
      <c r="AT930" s="17"/>
      <c r="AU930" s="1"/>
      <c r="AV930" s="1"/>
      <c r="AW930" s="1"/>
      <c r="AX930" s="2"/>
      <c r="AY930" s="2"/>
      <c r="AZ930" s="1"/>
    </row>
    <row x14ac:dyDescent="0.25" r="931" customHeight="1" ht="18.75">
      <c r="A931" s="1"/>
      <c r="B931" s="1"/>
      <c r="C931" s="1"/>
      <c r="D931" s="1"/>
      <c r="E931" s="1"/>
      <c r="F931" s="1"/>
      <c r="G931" s="1"/>
      <c r="H931" s="1"/>
      <c r="I931" s="1"/>
      <c r="J931" s="1"/>
      <c r="K931" s="17"/>
      <c r="L931" s="1"/>
      <c r="M931" s="1"/>
      <c r="N931" s="2"/>
      <c r="O931" s="2"/>
      <c r="P931" s="1"/>
      <c r="Q931" s="1"/>
      <c r="R931" s="1"/>
      <c r="S931" s="1"/>
      <c r="T931" s="40"/>
      <c r="U931" s="40"/>
      <c r="V931" s="40"/>
      <c r="W931" s="40"/>
      <c r="X931" s="22"/>
      <c r="Y931" s="22"/>
      <c r="Z931" s="22"/>
      <c r="AA931" s="22"/>
      <c r="AB931" s="22"/>
      <c r="AC931" s="22"/>
      <c r="AD931" s="22"/>
      <c r="AE931" s="22"/>
      <c r="AF931" s="22"/>
      <c r="AG931" s="22"/>
      <c r="AH931" s="22"/>
      <c r="AI931" s="22"/>
      <c r="AJ931" s="40"/>
      <c r="AK931" s="22"/>
      <c r="AL931" s="22"/>
      <c r="AM931" s="22"/>
      <c r="AN931" s="22"/>
      <c r="AO931" s="40"/>
      <c r="AP931" s="40"/>
      <c r="AQ931" s="40"/>
      <c r="AR931" s="1"/>
      <c r="AS931" s="1"/>
      <c r="AT931" s="17"/>
      <c r="AU931" s="1"/>
      <c r="AV931" s="1"/>
      <c r="AW931" s="1"/>
      <c r="AX931" s="2"/>
      <c r="AY931" s="2"/>
      <c r="AZ931" s="1"/>
    </row>
    <row x14ac:dyDescent="0.25" r="932" customHeight="1" ht="18.75">
      <c r="A932" s="1"/>
      <c r="B932" s="1"/>
      <c r="C932" s="1"/>
      <c r="D932" s="1"/>
      <c r="E932" s="1"/>
      <c r="F932" s="1"/>
      <c r="G932" s="1"/>
      <c r="H932" s="1"/>
      <c r="I932" s="1"/>
      <c r="J932" s="1"/>
      <c r="K932" s="17"/>
      <c r="L932" s="1"/>
      <c r="M932" s="1"/>
      <c r="N932" s="2"/>
      <c r="O932" s="2"/>
      <c r="P932" s="1"/>
      <c r="Q932" s="1"/>
      <c r="R932" s="1"/>
      <c r="S932" s="1"/>
      <c r="T932" s="40"/>
      <c r="U932" s="40"/>
      <c r="V932" s="40"/>
      <c r="W932" s="40"/>
      <c r="X932" s="22"/>
      <c r="Y932" s="22"/>
      <c r="Z932" s="22"/>
      <c r="AA932" s="22"/>
      <c r="AB932" s="22"/>
      <c r="AC932" s="22"/>
      <c r="AD932" s="22"/>
      <c r="AE932" s="22"/>
      <c r="AF932" s="22"/>
      <c r="AG932" s="22"/>
      <c r="AH932" s="22"/>
      <c r="AI932" s="22"/>
      <c r="AJ932" s="40"/>
      <c r="AK932" s="22"/>
      <c r="AL932" s="22"/>
      <c r="AM932" s="22"/>
      <c r="AN932" s="22"/>
      <c r="AO932" s="40"/>
      <c r="AP932" s="40"/>
      <c r="AQ932" s="40"/>
      <c r="AR932" s="1"/>
      <c r="AS932" s="1"/>
      <c r="AT932" s="17"/>
      <c r="AU932" s="1"/>
      <c r="AV932" s="1"/>
      <c r="AW932" s="1"/>
      <c r="AX932" s="2"/>
      <c r="AY932" s="2"/>
      <c r="AZ932" s="1"/>
    </row>
    <row x14ac:dyDescent="0.25" r="933" customHeight="1" ht="18.75">
      <c r="A933" s="1"/>
      <c r="B933" s="1"/>
      <c r="C933" s="1"/>
      <c r="D933" s="1"/>
      <c r="E933" s="1"/>
      <c r="F933" s="1"/>
      <c r="G933" s="1"/>
      <c r="H933" s="1"/>
      <c r="I933" s="1"/>
      <c r="J933" s="1"/>
      <c r="K933" s="17"/>
      <c r="L933" s="1"/>
      <c r="M933" s="1"/>
      <c r="N933" s="2"/>
      <c r="O933" s="2"/>
      <c r="P933" s="1"/>
      <c r="Q933" s="1"/>
      <c r="R933" s="1"/>
      <c r="S933" s="1"/>
      <c r="T933" s="40"/>
      <c r="U933" s="40"/>
      <c r="V933" s="40"/>
      <c r="W933" s="40"/>
      <c r="X933" s="22"/>
      <c r="Y933" s="22"/>
      <c r="Z933" s="22"/>
      <c r="AA933" s="22"/>
      <c r="AB933" s="22"/>
      <c r="AC933" s="22"/>
      <c r="AD933" s="22"/>
      <c r="AE933" s="22"/>
      <c r="AF933" s="22"/>
      <c r="AG933" s="22"/>
      <c r="AH933" s="22"/>
      <c r="AI933" s="22"/>
      <c r="AJ933" s="40"/>
      <c r="AK933" s="22"/>
      <c r="AL933" s="22"/>
      <c r="AM933" s="22"/>
      <c r="AN933" s="22"/>
      <c r="AO933" s="40"/>
      <c r="AP933" s="40"/>
      <c r="AQ933" s="40"/>
      <c r="AR933" s="1"/>
      <c r="AS933" s="1"/>
      <c r="AT933" s="17"/>
      <c r="AU933" s="1"/>
      <c r="AV933" s="1"/>
      <c r="AW933" s="1"/>
      <c r="AX933" s="2"/>
      <c r="AY933" s="2"/>
      <c r="AZ933" s="1"/>
    </row>
    <row x14ac:dyDescent="0.25" r="934" customHeight="1" ht="18.75">
      <c r="A934" s="1"/>
      <c r="B934" s="1"/>
      <c r="C934" s="1"/>
      <c r="D934" s="1"/>
      <c r="E934" s="1"/>
      <c r="F934" s="1"/>
      <c r="G934" s="1"/>
      <c r="H934" s="1"/>
      <c r="I934" s="1"/>
      <c r="J934" s="1"/>
      <c r="K934" s="17"/>
      <c r="L934" s="1"/>
      <c r="M934" s="1"/>
      <c r="N934" s="2"/>
      <c r="O934" s="2"/>
      <c r="P934" s="1"/>
      <c r="Q934" s="1"/>
      <c r="R934" s="1"/>
      <c r="S934" s="1"/>
      <c r="T934" s="40"/>
      <c r="U934" s="40"/>
      <c r="V934" s="40"/>
      <c r="W934" s="40"/>
      <c r="X934" s="22"/>
      <c r="Y934" s="22"/>
      <c r="Z934" s="22"/>
      <c r="AA934" s="22"/>
      <c r="AB934" s="22"/>
      <c r="AC934" s="22"/>
      <c r="AD934" s="22"/>
      <c r="AE934" s="22"/>
      <c r="AF934" s="22"/>
      <c r="AG934" s="22"/>
      <c r="AH934" s="22"/>
      <c r="AI934" s="22"/>
      <c r="AJ934" s="40"/>
      <c r="AK934" s="22"/>
      <c r="AL934" s="22"/>
      <c r="AM934" s="22"/>
      <c r="AN934" s="22"/>
      <c r="AO934" s="40"/>
      <c r="AP934" s="40"/>
      <c r="AQ934" s="40"/>
      <c r="AR934" s="1"/>
      <c r="AS934" s="1"/>
      <c r="AT934" s="17"/>
      <c r="AU934" s="1"/>
      <c r="AV934" s="1"/>
      <c r="AW934" s="1"/>
      <c r="AX934" s="2"/>
      <c r="AY934" s="2"/>
      <c r="AZ934" s="1"/>
    </row>
    <row x14ac:dyDescent="0.25" r="935" customHeight="1" ht="18.75">
      <c r="A935" s="1"/>
      <c r="B935" s="1"/>
      <c r="C935" s="1"/>
      <c r="D935" s="1"/>
      <c r="E935" s="1"/>
      <c r="F935" s="1"/>
      <c r="G935" s="1"/>
      <c r="H935" s="1"/>
      <c r="I935" s="1"/>
      <c r="J935" s="1"/>
      <c r="K935" s="17"/>
      <c r="L935" s="1"/>
      <c r="M935" s="1"/>
      <c r="N935" s="2"/>
      <c r="O935" s="2"/>
      <c r="P935" s="1"/>
      <c r="Q935" s="1"/>
      <c r="R935" s="1"/>
      <c r="S935" s="1"/>
      <c r="T935" s="40"/>
      <c r="U935" s="40"/>
      <c r="V935" s="40"/>
      <c r="W935" s="40"/>
      <c r="X935" s="22"/>
      <c r="Y935" s="22"/>
      <c r="Z935" s="22"/>
      <c r="AA935" s="22"/>
      <c r="AB935" s="22"/>
      <c r="AC935" s="22"/>
      <c r="AD935" s="22"/>
      <c r="AE935" s="22"/>
      <c r="AF935" s="22"/>
      <c r="AG935" s="22"/>
      <c r="AH935" s="22"/>
      <c r="AI935" s="22"/>
      <c r="AJ935" s="40"/>
      <c r="AK935" s="22"/>
      <c r="AL935" s="22"/>
      <c r="AM935" s="22"/>
      <c r="AN935" s="22"/>
      <c r="AO935" s="40"/>
      <c r="AP935" s="40"/>
      <c r="AQ935" s="40"/>
      <c r="AR935" s="1"/>
      <c r="AS935" s="1"/>
      <c r="AT935" s="17"/>
      <c r="AU935" s="1"/>
      <c r="AV935" s="1"/>
      <c r="AW935" s="1"/>
      <c r="AX935" s="2"/>
      <c r="AY935" s="2"/>
      <c r="AZ935" s="1"/>
    </row>
    <row x14ac:dyDescent="0.25" r="936" customHeight="1" ht="18.75">
      <c r="A936" s="1"/>
      <c r="B936" s="1"/>
      <c r="C936" s="1"/>
      <c r="D936" s="1"/>
      <c r="E936" s="1"/>
      <c r="F936" s="1"/>
      <c r="G936" s="1"/>
      <c r="H936" s="1"/>
      <c r="I936" s="1"/>
      <c r="J936" s="1"/>
      <c r="K936" s="17"/>
      <c r="L936" s="1"/>
      <c r="M936" s="1"/>
      <c r="N936" s="2"/>
      <c r="O936" s="2"/>
      <c r="P936" s="1"/>
      <c r="Q936" s="1"/>
      <c r="R936" s="1"/>
      <c r="S936" s="1"/>
      <c r="T936" s="40"/>
      <c r="U936" s="40"/>
      <c r="V936" s="40"/>
      <c r="W936" s="40"/>
      <c r="X936" s="22"/>
      <c r="Y936" s="22"/>
      <c r="Z936" s="22"/>
      <c r="AA936" s="22"/>
      <c r="AB936" s="22"/>
      <c r="AC936" s="22"/>
      <c r="AD936" s="22"/>
      <c r="AE936" s="22"/>
      <c r="AF936" s="22"/>
      <c r="AG936" s="22"/>
      <c r="AH936" s="22"/>
      <c r="AI936" s="22"/>
      <c r="AJ936" s="40"/>
      <c r="AK936" s="22"/>
      <c r="AL936" s="22"/>
      <c r="AM936" s="22"/>
      <c r="AN936" s="22"/>
      <c r="AO936" s="40"/>
      <c r="AP936" s="40"/>
      <c r="AQ936" s="40"/>
      <c r="AR936" s="1"/>
      <c r="AS936" s="1"/>
      <c r="AT936" s="17"/>
      <c r="AU936" s="1"/>
      <c r="AV936" s="1"/>
      <c r="AW936" s="1"/>
      <c r="AX936" s="2"/>
      <c r="AY936" s="2"/>
      <c r="AZ936" s="1"/>
    </row>
    <row x14ac:dyDescent="0.25" r="937" customHeight="1" ht="18.75">
      <c r="A937" s="1"/>
      <c r="B937" s="1"/>
      <c r="C937" s="1"/>
      <c r="D937" s="1"/>
      <c r="E937" s="1"/>
      <c r="F937" s="1"/>
      <c r="G937" s="1"/>
      <c r="H937" s="1"/>
      <c r="I937" s="1"/>
      <c r="J937" s="1"/>
      <c r="K937" s="17"/>
      <c r="L937" s="1"/>
      <c r="M937" s="1"/>
      <c r="N937" s="2"/>
      <c r="O937" s="2"/>
      <c r="P937" s="1"/>
      <c r="Q937" s="1"/>
      <c r="R937" s="1"/>
      <c r="S937" s="1"/>
      <c r="T937" s="40"/>
      <c r="U937" s="40"/>
      <c r="V937" s="40"/>
      <c r="W937" s="40"/>
      <c r="X937" s="22"/>
      <c r="Y937" s="22"/>
      <c r="Z937" s="22"/>
      <c r="AA937" s="22"/>
      <c r="AB937" s="22"/>
      <c r="AC937" s="22"/>
      <c r="AD937" s="22"/>
      <c r="AE937" s="22"/>
      <c r="AF937" s="22"/>
      <c r="AG937" s="22"/>
      <c r="AH937" s="22"/>
      <c r="AI937" s="22"/>
      <c r="AJ937" s="40"/>
      <c r="AK937" s="22"/>
      <c r="AL937" s="22"/>
      <c r="AM937" s="22"/>
      <c r="AN937" s="22"/>
      <c r="AO937" s="40"/>
      <c r="AP937" s="40"/>
      <c r="AQ937" s="40"/>
      <c r="AR937" s="1"/>
      <c r="AS937" s="1"/>
      <c r="AT937" s="17"/>
      <c r="AU937" s="1"/>
      <c r="AV937" s="1"/>
      <c r="AW937" s="1"/>
      <c r="AX937" s="2"/>
      <c r="AY937" s="2"/>
      <c r="AZ937" s="1"/>
    </row>
    <row x14ac:dyDescent="0.25" r="938" customHeight="1" ht="18.75">
      <c r="A938" s="1"/>
      <c r="B938" s="1"/>
      <c r="C938" s="1"/>
      <c r="D938" s="1"/>
      <c r="E938" s="1"/>
      <c r="F938" s="1"/>
      <c r="G938" s="1"/>
      <c r="H938" s="1"/>
      <c r="I938" s="1"/>
      <c r="J938" s="1"/>
      <c r="K938" s="17"/>
      <c r="L938" s="1"/>
      <c r="M938" s="1"/>
      <c r="N938" s="2"/>
      <c r="O938" s="2"/>
      <c r="P938" s="1"/>
      <c r="Q938" s="1"/>
      <c r="R938" s="1"/>
      <c r="S938" s="1"/>
      <c r="T938" s="40"/>
      <c r="U938" s="40"/>
      <c r="V938" s="40"/>
      <c r="W938" s="40"/>
      <c r="X938" s="22"/>
      <c r="Y938" s="22"/>
      <c r="Z938" s="22"/>
      <c r="AA938" s="22"/>
      <c r="AB938" s="22"/>
      <c r="AC938" s="22"/>
      <c r="AD938" s="22"/>
      <c r="AE938" s="22"/>
      <c r="AF938" s="22"/>
      <c r="AG938" s="22"/>
      <c r="AH938" s="22"/>
      <c r="AI938" s="22"/>
      <c r="AJ938" s="40"/>
      <c r="AK938" s="22"/>
      <c r="AL938" s="22"/>
      <c r="AM938" s="22"/>
      <c r="AN938" s="22"/>
      <c r="AO938" s="40"/>
      <c r="AP938" s="40"/>
      <c r="AQ938" s="40"/>
      <c r="AR938" s="1"/>
      <c r="AS938" s="1"/>
      <c r="AT938" s="17"/>
      <c r="AU938" s="1"/>
      <c r="AV938" s="1"/>
      <c r="AW938" s="1"/>
      <c r="AX938" s="2"/>
      <c r="AY938" s="2"/>
      <c r="AZ938" s="1"/>
    </row>
    <row x14ac:dyDescent="0.25" r="939" customHeight="1" ht="18.75">
      <c r="A939" s="1"/>
      <c r="B939" s="1"/>
      <c r="C939" s="1"/>
      <c r="D939" s="1"/>
      <c r="E939" s="1"/>
      <c r="F939" s="1"/>
      <c r="G939" s="1"/>
      <c r="H939" s="1"/>
      <c r="I939" s="1"/>
      <c r="J939" s="1"/>
      <c r="K939" s="17"/>
      <c r="L939" s="1"/>
      <c r="M939" s="1"/>
      <c r="N939" s="2"/>
      <c r="O939" s="2"/>
      <c r="P939" s="1"/>
      <c r="Q939" s="1"/>
      <c r="R939" s="1"/>
      <c r="S939" s="1"/>
      <c r="T939" s="40"/>
      <c r="U939" s="40"/>
      <c r="V939" s="40"/>
      <c r="W939" s="40"/>
      <c r="X939" s="22"/>
      <c r="Y939" s="22"/>
      <c r="Z939" s="22"/>
      <c r="AA939" s="22"/>
      <c r="AB939" s="22"/>
      <c r="AC939" s="22"/>
      <c r="AD939" s="22"/>
      <c r="AE939" s="22"/>
      <c r="AF939" s="22"/>
      <c r="AG939" s="22"/>
      <c r="AH939" s="22"/>
      <c r="AI939" s="22"/>
      <c r="AJ939" s="40"/>
      <c r="AK939" s="22"/>
      <c r="AL939" s="22"/>
      <c r="AM939" s="22"/>
      <c r="AN939" s="22"/>
      <c r="AO939" s="40"/>
      <c r="AP939" s="40"/>
      <c r="AQ939" s="40"/>
      <c r="AR939" s="1"/>
      <c r="AS939" s="1"/>
      <c r="AT939" s="17"/>
      <c r="AU939" s="1"/>
      <c r="AV939" s="1"/>
      <c r="AW939" s="1"/>
      <c r="AX939" s="2"/>
      <c r="AY939" s="2"/>
      <c r="AZ939" s="1"/>
    </row>
    <row x14ac:dyDescent="0.25" r="940" customHeight="1" ht="18.75">
      <c r="A940" s="1"/>
      <c r="B940" s="1"/>
      <c r="C940" s="1"/>
      <c r="D940" s="1"/>
      <c r="E940" s="1"/>
      <c r="F940" s="1"/>
      <c r="G940" s="1"/>
      <c r="H940" s="1"/>
      <c r="I940" s="1"/>
      <c r="J940" s="1"/>
      <c r="K940" s="17"/>
      <c r="L940" s="1"/>
      <c r="M940" s="1"/>
      <c r="N940" s="2"/>
      <c r="O940" s="2"/>
      <c r="P940" s="1"/>
      <c r="Q940" s="1"/>
      <c r="R940" s="1"/>
      <c r="S940" s="1"/>
      <c r="T940" s="40"/>
      <c r="U940" s="40"/>
      <c r="V940" s="40"/>
      <c r="W940" s="40"/>
      <c r="X940" s="22"/>
      <c r="Y940" s="22"/>
      <c r="Z940" s="22"/>
      <c r="AA940" s="22"/>
      <c r="AB940" s="22"/>
      <c r="AC940" s="22"/>
      <c r="AD940" s="22"/>
      <c r="AE940" s="22"/>
      <c r="AF940" s="22"/>
      <c r="AG940" s="22"/>
      <c r="AH940" s="22"/>
      <c r="AI940" s="22"/>
      <c r="AJ940" s="40"/>
      <c r="AK940" s="22"/>
      <c r="AL940" s="22"/>
      <c r="AM940" s="22"/>
      <c r="AN940" s="22"/>
      <c r="AO940" s="40"/>
      <c r="AP940" s="40"/>
      <c r="AQ940" s="40"/>
      <c r="AR940" s="1"/>
      <c r="AS940" s="1"/>
      <c r="AT940" s="17"/>
      <c r="AU940" s="1"/>
      <c r="AV940" s="1"/>
      <c r="AW940" s="1"/>
      <c r="AX940" s="2"/>
      <c r="AY940" s="2"/>
      <c r="AZ940" s="1"/>
    </row>
    <row x14ac:dyDescent="0.25" r="941" customHeight="1" ht="18.75">
      <c r="A941" s="1"/>
      <c r="B941" s="1"/>
      <c r="C941" s="1"/>
      <c r="D941" s="1"/>
      <c r="E941" s="1"/>
      <c r="F941" s="1"/>
      <c r="G941" s="1"/>
      <c r="H941" s="1"/>
      <c r="I941" s="1"/>
      <c r="J941" s="1"/>
      <c r="K941" s="17"/>
      <c r="L941" s="1"/>
      <c r="M941" s="1"/>
      <c r="N941" s="2"/>
      <c r="O941" s="2"/>
      <c r="P941" s="1"/>
      <c r="Q941" s="1"/>
      <c r="R941" s="1"/>
      <c r="S941" s="1"/>
      <c r="T941" s="40"/>
      <c r="U941" s="40"/>
      <c r="V941" s="40"/>
      <c r="W941" s="40"/>
      <c r="X941" s="22"/>
      <c r="Y941" s="22"/>
      <c r="Z941" s="22"/>
      <c r="AA941" s="22"/>
      <c r="AB941" s="22"/>
      <c r="AC941" s="22"/>
      <c r="AD941" s="22"/>
      <c r="AE941" s="22"/>
      <c r="AF941" s="22"/>
      <c r="AG941" s="22"/>
      <c r="AH941" s="22"/>
      <c r="AI941" s="22"/>
      <c r="AJ941" s="40"/>
      <c r="AK941" s="22"/>
      <c r="AL941" s="22"/>
      <c r="AM941" s="22"/>
      <c r="AN941" s="22"/>
      <c r="AO941" s="40"/>
      <c r="AP941" s="40"/>
      <c r="AQ941" s="40"/>
      <c r="AR941" s="1"/>
      <c r="AS941" s="1"/>
      <c r="AT941" s="17"/>
      <c r="AU941" s="1"/>
      <c r="AV941" s="1"/>
      <c r="AW941" s="1"/>
      <c r="AX941" s="2"/>
      <c r="AY941" s="2"/>
      <c r="AZ941" s="1"/>
    </row>
    <row x14ac:dyDescent="0.25" r="942" customHeight="1" ht="18.75">
      <c r="A942" s="1"/>
      <c r="B942" s="1"/>
      <c r="C942" s="1"/>
      <c r="D942" s="1"/>
      <c r="E942" s="1"/>
      <c r="F942" s="1"/>
      <c r="G942" s="1"/>
      <c r="H942" s="1"/>
      <c r="I942" s="1"/>
      <c r="J942" s="1"/>
      <c r="K942" s="17"/>
      <c r="L942" s="1"/>
      <c r="M942" s="1"/>
      <c r="N942" s="2"/>
      <c r="O942" s="2"/>
      <c r="P942" s="1"/>
      <c r="Q942" s="1"/>
      <c r="R942" s="1"/>
      <c r="S942" s="1"/>
      <c r="T942" s="40"/>
      <c r="U942" s="40"/>
      <c r="V942" s="40"/>
      <c r="W942" s="40"/>
      <c r="X942" s="22"/>
      <c r="Y942" s="22"/>
      <c r="Z942" s="22"/>
      <c r="AA942" s="22"/>
      <c r="AB942" s="22"/>
      <c r="AC942" s="22"/>
      <c r="AD942" s="22"/>
      <c r="AE942" s="22"/>
      <c r="AF942" s="22"/>
      <c r="AG942" s="22"/>
      <c r="AH942" s="22"/>
      <c r="AI942" s="22"/>
      <c r="AJ942" s="40"/>
      <c r="AK942" s="22"/>
      <c r="AL942" s="22"/>
      <c r="AM942" s="22"/>
      <c r="AN942" s="22"/>
      <c r="AO942" s="40"/>
      <c r="AP942" s="40"/>
      <c r="AQ942" s="40"/>
      <c r="AR942" s="1"/>
      <c r="AS942" s="1"/>
      <c r="AT942" s="17"/>
      <c r="AU942" s="1"/>
      <c r="AV942" s="1"/>
      <c r="AW942" s="1"/>
      <c r="AX942" s="2"/>
      <c r="AY942" s="2"/>
      <c r="AZ942" s="1"/>
    </row>
    <row x14ac:dyDescent="0.25" r="943" customHeight="1" ht="18.75">
      <c r="A943" s="1"/>
      <c r="B943" s="1"/>
      <c r="C943" s="1"/>
      <c r="D943" s="1"/>
      <c r="E943" s="1"/>
      <c r="F943" s="1"/>
      <c r="G943" s="1"/>
      <c r="H943" s="1"/>
      <c r="I943" s="1"/>
      <c r="J943" s="1"/>
      <c r="K943" s="17"/>
      <c r="L943" s="1"/>
      <c r="M943" s="1"/>
      <c r="N943" s="2"/>
      <c r="O943" s="2"/>
      <c r="P943" s="1"/>
      <c r="Q943" s="1"/>
      <c r="R943" s="1"/>
      <c r="S943" s="1"/>
      <c r="T943" s="40"/>
      <c r="U943" s="40"/>
      <c r="V943" s="40"/>
      <c r="W943" s="40"/>
      <c r="X943" s="22"/>
      <c r="Y943" s="22"/>
      <c r="Z943" s="22"/>
      <c r="AA943" s="22"/>
      <c r="AB943" s="22"/>
      <c r="AC943" s="22"/>
      <c r="AD943" s="22"/>
      <c r="AE943" s="22"/>
      <c r="AF943" s="22"/>
      <c r="AG943" s="22"/>
      <c r="AH943" s="22"/>
      <c r="AI943" s="22"/>
      <c r="AJ943" s="40"/>
      <c r="AK943" s="22"/>
      <c r="AL943" s="22"/>
      <c r="AM943" s="22"/>
      <c r="AN943" s="22"/>
      <c r="AO943" s="40"/>
      <c r="AP943" s="40"/>
      <c r="AQ943" s="40"/>
      <c r="AR943" s="1"/>
      <c r="AS943" s="1"/>
      <c r="AT943" s="17"/>
      <c r="AU943" s="1"/>
      <c r="AV943" s="1"/>
      <c r="AW943" s="1"/>
      <c r="AX943" s="2"/>
      <c r="AY943" s="2"/>
      <c r="AZ943" s="1"/>
    </row>
    <row x14ac:dyDescent="0.25" r="944" customHeight="1" ht="18.75">
      <c r="A944" s="1"/>
      <c r="B944" s="1"/>
      <c r="C944" s="1"/>
      <c r="D944" s="1"/>
      <c r="E944" s="1"/>
      <c r="F944" s="1"/>
      <c r="G944" s="1"/>
      <c r="H944" s="1"/>
      <c r="I944" s="1"/>
      <c r="J944" s="1"/>
      <c r="K944" s="17"/>
      <c r="L944" s="1"/>
      <c r="M944" s="1"/>
      <c r="N944" s="2"/>
      <c r="O944" s="2"/>
      <c r="P944" s="1"/>
      <c r="Q944" s="1"/>
      <c r="R944" s="1"/>
      <c r="S944" s="1"/>
      <c r="T944" s="40"/>
      <c r="U944" s="40"/>
      <c r="V944" s="40"/>
      <c r="W944" s="40"/>
      <c r="X944" s="22"/>
      <c r="Y944" s="22"/>
      <c r="Z944" s="22"/>
      <c r="AA944" s="22"/>
      <c r="AB944" s="22"/>
      <c r="AC944" s="22"/>
      <c r="AD944" s="22"/>
      <c r="AE944" s="22"/>
      <c r="AF944" s="22"/>
      <c r="AG944" s="22"/>
      <c r="AH944" s="22"/>
      <c r="AI944" s="22"/>
      <c r="AJ944" s="40"/>
      <c r="AK944" s="22"/>
      <c r="AL944" s="22"/>
      <c r="AM944" s="22"/>
      <c r="AN944" s="22"/>
      <c r="AO944" s="40"/>
      <c r="AP944" s="40"/>
      <c r="AQ944" s="40"/>
      <c r="AR944" s="1"/>
      <c r="AS944" s="1"/>
      <c r="AT944" s="17"/>
      <c r="AU944" s="1"/>
      <c r="AV944" s="1"/>
      <c r="AW944" s="1"/>
      <c r="AX944" s="2"/>
      <c r="AY944" s="2"/>
      <c r="AZ944" s="1"/>
    </row>
    <row x14ac:dyDescent="0.25" r="945" customHeight="1" ht="18.75">
      <c r="A945" s="1"/>
      <c r="B945" s="1"/>
      <c r="C945" s="1"/>
      <c r="D945" s="1"/>
      <c r="E945" s="1"/>
      <c r="F945" s="1"/>
      <c r="G945" s="1"/>
      <c r="H945" s="1"/>
      <c r="I945" s="1"/>
      <c r="J945" s="1"/>
      <c r="K945" s="17"/>
      <c r="L945" s="1"/>
      <c r="M945" s="1"/>
      <c r="N945" s="2"/>
      <c r="O945" s="2"/>
      <c r="P945" s="1"/>
      <c r="Q945" s="1"/>
      <c r="R945" s="1"/>
      <c r="S945" s="1"/>
      <c r="T945" s="40"/>
      <c r="U945" s="40"/>
      <c r="V945" s="40"/>
      <c r="W945" s="40"/>
      <c r="X945" s="22"/>
      <c r="Y945" s="22"/>
      <c r="Z945" s="22"/>
      <c r="AA945" s="22"/>
      <c r="AB945" s="22"/>
      <c r="AC945" s="22"/>
      <c r="AD945" s="22"/>
      <c r="AE945" s="22"/>
      <c r="AF945" s="22"/>
      <c r="AG945" s="22"/>
      <c r="AH945" s="22"/>
      <c r="AI945" s="22"/>
      <c r="AJ945" s="40"/>
      <c r="AK945" s="22"/>
      <c r="AL945" s="22"/>
      <c r="AM945" s="22"/>
      <c r="AN945" s="22"/>
      <c r="AO945" s="40"/>
      <c r="AP945" s="40"/>
      <c r="AQ945" s="40"/>
      <c r="AR945" s="1"/>
      <c r="AS945" s="1"/>
      <c r="AT945" s="17"/>
      <c r="AU945" s="1"/>
      <c r="AV945" s="1"/>
      <c r="AW945" s="1"/>
      <c r="AX945" s="2"/>
      <c r="AY945" s="2"/>
      <c r="AZ945" s="1"/>
    </row>
    <row x14ac:dyDescent="0.25" r="946" customHeight="1" ht="18.75">
      <c r="A946" s="1"/>
      <c r="B946" s="1"/>
      <c r="C946" s="1"/>
      <c r="D946" s="1"/>
      <c r="E946" s="1"/>
      <c r="F946" s="1"/>
      <c r="G946" s="1"/>
      <c r="H946" s="1"/>
      <c r="I946" s="1"/>
      <c r="J946" s="1"/>
      <c r="K946" s="17"/>
      <c r="L946" s="1"/>
      <c r="M946" s="1"/>
      <c r="N946" s="2"/>
      <c r="O946" s="2"/>
      <c r="P946" s="1"/>
      <c r="Q946" s="1"/>
      <c r="R946" s="1"/>
      <c r="S946" s="1"/>
      <c r="T946" s="40"/>
      <c r="U946" s="40"/>
      <c r="V946" s="40"/>
      <c r="W946" s="40"/>
      <c r="X946" s="22"/>
      <c r="Y946" s="22"/>
      <c r="Z946" s="22"/>
      <c r="AA946" s="22"/>
      <c r="AB946" s="22"/>
      <c r="AC946" s="22"/>
      <c r="AD946" s="22"/>
      <c r="AE946" s="22"/>
      <c r="AF946" s="22"/>
      <c r="AG946" s="22"/>
      <c r="AH946" s="22"/>
      <c r="AI946" s="22"/>
      <c r="AJ946" s="40"/>
      <c r="AK946" s="22"/>
      <c r="AL946" s="22"/>
      <c r="AM946" s="22"/>
      <c r="AN946" s="22"/>
      <c r="AO946" s="40"/>
      <c r="AP946" s="40"/>
      <c r="AQ946" s="40"/>
      <c r="AR946" s="1"/>
      <c r="AS946" s="1"/>
      <c r="AT946" s="17"/>
      <c r="AU946" s="1"/>
      <c r="AV946" s="1"/>
      <c r="AW946" s="1"/>
      <c r="AX946" s="2"/>
      <c r="AY946" s="2"/>
      <c r="AZ946" s="1"/>
    </row>
    <row x14ac:dyDescent="0.25" r="947" customHeight="1" ht="18.75">
      <c r="A947" s="1"/>
      <c r="B947" s="1"/>
      <c r="C947" s="1"/>
      <c r="D947" s="1"/>
      <c r="E947" s="1"/>
      <c r="F947" s="1"/>
      <c r="G947" s="1"/>
      <c r="H947" s="1"/>
      <c r="I947" s="1"/>
      <c r="J947" s="1"/>
      <c r="K947" s="17"/>
      <c r="L947" s="1"/>
      <c r="M947" s="1"/>
      <c r="N947" s="2"/>
      <c r="O947" s="2"/>
      <c r="P947" s="1"/>
      <c r="Q947" s="1"/>
      <c r="R947" s="1"/>
      <c r="S947" s="1"/>
      <c r="T947" s="40"/>
      <c r="U947" s="40"/>
      <c r="V947" s="40"/>
      <c r="W947" s="40"/>
      <c r="X947" s="22"/>
      <c r="Y947" s="22"/>
      <c r="Z947" s="22"/>
      <c r="AA947" s="22"/>
      <c r="AB947" s="22"/>
      <c r="AC947" s="22"/>
      <c r="AD947" s="22"/>
      <c r="AE947" s="22"/>
      <c r="AF947" s="22"/>
      <c r="AG947" s="22"/>
      <c r="AH947" s="22"/>
      <c r="AI947" s="22"/>
      <c r="AJ947" s="40"/>
      <c r="AK947" s="22"/>
      <c r="AL947" s="22"/>
      <c r="AM947" s="22"/>
      <c r="AN947" s="22"/>
      <c r="AO947" s="40"/>
      <c r="AP947" s="40"/>
      <c r="AQ947" s="40"/>
      <c r="AR947" s="1"/>
      <c r="AS947" s="1"/>
      <c r="AT947" s="17"/>
      <c r="AU947" s="1"/>
      <c r="AV947" s="1"/>
      <c r="AW947" s="1"/>
      <c r="AX947" s="2"/>
      <c r="AY947" s="2"/>
      <c r="AZ947" s="1"/>
    </row>
    <row x14ac:dyDescent="0.25" r="948" customHeight="1" ht="18.75">
      <c r="A948" s="1"/>
      <c r="B948" s="1"/>
      <c r="C948" s="1"/>
      <c r="D948" s="1"/>
      <c r="E948" s="1"/>
      <c r="F948" s="1"/>
      <c r="G948" s="1"/>
      <c r="H948" s="1"/>
      <c r="I948" s="1"/>
      <c r="J948" s="1"/>
      <c r="K948" s="17"/>
      <c r="L948" s="1"/>
      <c r="M948" s="1"/>
      <c r="N948" s="2"/>
      <c r="O948" s="2"/>
      <c r="P948" s="1"/>
      <c r="Q948" s="1"/>
      <c r="R948" s="1"/>
      <c r="S948" s="1"/>
      <c r="T948" s="40"/>
      <c r="U948" s="40"/>
      <c r="V948" s="40"/>
      <c r="W948" s="40"/>
      <c r="X948" s="22"/>
      <c r="Y948" s="22"/>
      <c r="Z948" s="22"/>
      <c r="AA948" s="22"/>
      <c r="AB948" s="22"/>
      <c r="AC948" s="22"/>
      <c r="AD948" s="22"/>
      <c r="AE948" s="22"/>
      <c r="AF948" s="22"/>
      <c r="AG948" s="22"/>
      <c r="AH948" s="22"/>
      <c r="AI948" s="22"/>
      <c r="AJ948" s="40"/>
      <c r="AK948" s="22"/>
      <c r="AL948" s="22"/>
      <c r="AM948" s="22"/>
      <c r="AN948" s="22"/>
      <c r="AO948" s="40"/>
      <c r="AP948" s="40"/>
      <c r="AQ948" s="40"/>
      <c r="AR948" s="1"/>
      <c r="AS948" s="1"/>
      <c r="AT948" s="17"/>
      <c r="AU948" s="1"/>
      <c r="AV948" s="1"/>
      <c r="AW948" s="1"/>
      <c r="AX948" s="2"/>
      <c r="AY948" s="2"/>
      <c r="AZ948" s="1"/>
    </row>
    <row x14ac:dyDescent="0.25" r="949" customHeight="1" ht="18.75">
      <c r="A949" s="1"/>
      <c r="B949" s="1"/>
      <c r="C949" s="1"/>
      <c r="D949" s="1"/>
      <c r="E949" s="1"/>
      <c r="F949" s="1"/>
      <c r="G949" s="1"/>
      <c r="H949" s="1"/>
      <c r="I949" s="1"/>
      <c r="J949" s="1"/>
      <c r="K949" s="17"/>
      <c r="L949" s="1"/>
      <c r="M949" s="1"/>
      <c r="N949" s="2"/>
      <c r="O949" s="2"/>
      <c r="P949" s="1"/>
      <c r="Q949" s="1"/>
      <c r="R949" s="1"/>
      <c r="S949" s="1"/>
      <c r="T949" s="40"/>
      <c r="U949" s="40"/>
      <c r="V949" s="40"/>
      <c r="W949" s="40"/>
      <c r="X949" s="22"/>
      <c r="Y949" s="22"/>
      <c r="Z949" s="22"/>
      <c r="AA949" s="22"/>
      <c r="AB949" s="22"/>
      <c r="AC949" s="22"/>
      <c r="AD949" s="22"/>
      <c r="AE949" s="22"/>
      <c r="AF949" s="22"/>
      <c r="AG949" s="22"/>
      <c r="AH949" s="22"/>
      <c r="AI949" s="22"/>
      <c r="AJ949" s="40"/>
      <c r="AK949" s="22"/>
      <c r="AL949" s="22"/>
      <c r="AM949" s="22"/>
      <c r="AN949" s="22"/>
      <c r="AO949" s="40"/>
      <c r="AP949" s="40"/>
      <c r="AQ949" s="40"/>
      <c r="AR949" s="1"/>
      <c r="AS949" s="1"/>
      <c r="AT949" s="17"/>
      <c r="AU949" s="1"/>
      <c r="AV949" s="1"/>
      <c r="AW949" s="1"/>
      <c r="AX949" s="2"/>
      <c r="AY949" s="2"/>
      <c r="AZ949" s="1"/>
    </row>
    <row x14ac:dyDescent="0.25" r="950" customHeight="1" ht="18.75">
      <c r="A950" s="1"/>
      <c r="B950" s="1"/>
      <c r="C950" s="1"/>
      <c r="D950" s="1"/>
      <c r="E950" s="1"/>
      <c r="F950" s="1"/>
      <c r="G950" s="1"/>
      <c r="H950" s="1"/>
      <c r="I950" s="1"/>
      <c r="J950" s="1"/>
      <c r="K950" s="17"/>
      <c r="L950" s="1"/>
      <c r="M950" s="1"/>
      <c r="N950" s="2"/>
      <c r="O950" s="2"/>
      <c r="P950" s="1"/>
      <c r="Q950" s="1"/>
      <c r="R950" s="1"/>
      <c r="S950" s="1"/>
      <c r="T950" s="40"/>
      <c r="U950" s="40"/>
      <c r="V950" s="40"/>
      <c r="W950" s="40"/>
      <c r="X950" s="22"/>
      <c r="Y950" s="22"/>
      <c r="Z950" s="22"/>
      <c r="AA950" s="22"/>
      <c r="AB950" s="22"/>
      <c r="AC950" s="22"/>
      <c r="AD950" s="22"/>
      <c r="AE950" s="22"/>
      <c r="AF950" s="22"/>
      <c r="AG950" s="22"/>
      <c r="AH950" s="22"/>
      <c r="AI950" s="22"/>
      <c r="AJ950" s="40"/>
      <c r="AK950" s="22"/>
      <c r="AL950" s="22"/>
      <c r="AM950" s="22"/>
      <c r="AN950" s="22"/>
      <c r="AO950" s="40"/>
      <c r="AP950" s="40"/>
      <c r="AQ950" s="40"/>
      <c r="AR950" s="1"/>
      <c r="AS950" s="1"/>
      <c r="AT950" s="17"/>
      <c r="AU950" s="1"/>
      <c r="AV950" s="1"/>
      <c r="AW950" s="1"/>
      <c r="AX950" s="2"/>
      <c r="AY950" s="2"/>
      <c r="AZ950" s="1"/>
    </row>
    <row x14ac:dyDescent="0.25" r="951" customHeight="1" ht="18.75">
      <c r="A951" s="1"/>
      <c r="B951" s="1"/>
      <c r="C951" s="1"/>
      <c r="D951" s="1"/>
      <c r="E951" s="1"/>
      <c r="F951" s="1"/>
      <c r="G951" s="1"/>
      <c r="H951" s="1"/>
      <c r="I951" s="1"/>
      <c r="J951" s="1"/>
      <c r="K951" s="17"/>
      <c r="L951" s="1"/>
      <c r="M951" s="1"/>
      <c r="N951" s="2"/>
      <c r="O951" s="2"/>
      <c r="P951" s="1"/>
      <c r="Q951" s="1"/>
      <c r="R951" s="1"/>
      <c r="S951" s="1"/>
      <c r="T951" s="40"/>
      <c r="U951" s="40"/>
      <c r="V951" s="40"/>
      <c r="W951" s="40"/>
      <c r="X951" s="22"/>
      <c r="Y951" s="22"/>
      <c r="Z951" s="22"/>
      <c r="AA951" s="22"/>
      <c r="AB951" s="22"/>
      <c r="AC951" s="22"/>
      <c r="AD951" s="22"/>
      <c r="AE951" s="22"/>
      <c r="AF951" s="22"/>
      <c r="AG951" s="22"/>
      <c r="AH951" s="22"/>
      <c r="AI951" s="22"/>
      <c r="AJ951" s="40"/>
      <c r="AK951" s="22"/>
      <c r="AL951" s="22"/>
      <c r="AM951" s="22"/>
      <c r="AN951" s="22"/>
      <c r="AO951" s="40"/>
      <c r="AP951" s="40"/>
      <c r="AQ951" s="40"/>
      <c r="AR951" s="1"/>
      <c r="AS951" s="1"/>
      <c r="AT951" s="17"/>
      <c r="AU951" s="1"/>
      <c r="AV951" s="1"/>
      <c r="AW951" s="1"/>
      <c r="AX951" s="2"/>
      <c r="AY951" s="2"/>
      <c r="AZ951" s="1"/>
    </row>
    <row x14ac:dyDescent="0.25" r="952" customHeight="1" ht="18.75">
      <c r="A952" s="1"/>
      <c r="B952" s="1"/>
      <c r="C952" s="1"/>
      <c r="D952" s="1"/>
      <c r="E952" s="1"/>
      <c r="F952" s="1"/>
      <c r="G952" s="1"/>
      <c r="H952" s="1"/>
      <c r="I952" s="1"/>
      <c r="J952" s="1"/>
      <c r="K952" s="17"/>
      <c r="L952" s="1"/>
      <c r="M952" s="1"/>
      <c r="N952" s="2"/>
      <c r="O952" s="2"/>
      <c r="P952" s="1"/>
      <c r="Q952" s="1"/>
      <c r="R952" s="1"/>
      <c r="S952" s="1"/>
      <c r="T952" s="40"/>
      <c r="U952" s="40"/>
      <c r="V952" s="40"/>
      <c r="W952" s="40"/>
      <c r="X952" s="22"/>
      <c r="Y952" s="22"/>
      <c r="Z952" s="22"/>
      <c r="AA952" s="22"/>
      <c r="AB952" s="22"/>
      <c r="AC952" s="22"/>
      <c r="AD952" s="22"/>
      <c r="AE952" s="22"/>
      <c r="AF952" s="22"/>
      <c r="AG952" s="22"/>
      <c r="AH952" s="22"/>
      <c r="AI952" s="22"/>
      <c r="AJ952" s="40"/>
      <c r="AK952" s="22"/>
      <c r="AL952" s="22"/>
      <c r="AM952" s="22"/>
      <c r="AN952" s="22"/>
      <c r="AO952" s="40"/>
      <c r="AP952" s="40"/>
      <c r="AQ952" s="40"/>
      <c r="AR952" s="1"/>
      <c r="AS952" s="1"/>
      <c r="AT952" s="17"/>
      <c r="AU952" s="1"/>
      <c r="AV952" s="1"/>
      <c r="AW952" s="1"/>
      <c r="AX952" s="2"/>
      <c r="AY952" s="2"/>
      <c r="AZ952" s="1"/>
    </row>
    <row x14ac:dyDescent="0.25" r="953" customHeight="1" ht="18.75">
      <c r="A953" s="1"/>
      <c r="B953" s="1"/>
      <c r="C953" s="1"/>
      <c r="D953" s="1"/>
      <c r="E953" s="1"/>
      <c r="F953" s="1"/>
      <c r="G953" s="1"/>
      <c r="H953" s="1"/>
      <c r="I953" s="1"/>
      <c r="J953" s="1"/>
      <c r="K953" s="17"/>
      <c r="L953" s="1"/>
      <c r="M953" s="1"/>
      <c r="N953" s="2"/>
      <c r="O953" s="2"/>
      <c r="P953" s="1"/>
      <c r="Q953" s="1"/>
      <c r="R953" s="1"/>
      <c r="S953" s="1"/>
      <c r="T953" s="40"/>
      <c r="U953" s="40"/>
      <c r="V953" s="40"/>
      <c r="W953" s="40"/>
      <c r="X953" s="22"/>
      <c r="Y953" s="22"/>
      <c r="Z953" s="22"/>
      <c r="AA953" s="22"/>
      <c r="AB953" s="22"/>
      <c r="AC953" s="22"/>
      <c r="AD953" s="22"/>
      <c r="AE953" s="22"/>
      <c r="AF953" s="22"/>
      <c r="AG953" s="22"/>
      <c r="AH953" s="22"/>
      <c r="AI953" s="22"/>
      <c r="AJ953" s="40"/>
      <c r="AK953" s="22"/>
      <c r="AL953" s="22"/>
      <c r="AM953" s="22"/>
      <c r="AN953" s="22"/>
      <c r="AO953" s="40"/>
      <c r="AP953" s="40"/>
      <c r="AQ953" s="40"/>
      <c r="AR953" s="1"/>
      <c r="AS953" s="1"/>
      <c r="AT953" s="17"/>
      <c r="AU953" s="1"/>
      <c r="AV953" s="1"/>
      <c r="AW953" s="1"/>
      <c r="AX953" s="2"/>
      <c r="AY953" s="2"/>
      <c r="AZ953" s="1"/>
    </row>
    <row x14ac:dyDescent="0.25" r="954" customHeight="1" ht="18.75">
      <c r="A954" s="1"/>
      <c r="B954" s="1"/>
      <c r="C954" s="1"/>
      <c r="D954" s="1"/>
      <c r="E954" s="1"/>
      <c r="F954" s="1"/>
      <c r="G954" s="1"/>
      <c r="H954" s="1"/>
      <c r="I954" s="1"/>
      <c r="J954" s="1"/>
      <c r="K954" s="17"/>
      <c r="L954" s="1"/>
      <c r="M954" s="1"/>
      <c r="N954" s="2"/>
      <c r="O954" s="2"/>
      <c r="P954" s="1"/>
      <c r="Q954" s="1"/>
      <c r="R954" s="1"/>
      <c r="S954" s="1"/>
      <c r="T954" s="40"/>
      <c r="U954" s="40"/>
      <c r="V954" s="40"/>
      <c r="W954" s="40"/>
      <c r="X954" s="22"/>
      <c r="Y954" s="22"/>
      <c r="Z954" s="22"/>
      <c r="AA954" s="22"/>
      <c r="AB954" s="22"/>
      <c r="AC954" s="22"/>
      <c r="AD954" s="22"/>
      <c r="AE954" s="22"/>
      <c r="AF954" s="22"/>
      <c r="AG954" s="22"/>
      <c r="AH954" s="22"/>
      <c r="AI954" s="22"/>
      <c r="AJ954" s="40"/>
      <c r="AK954" s="22"/>
      <c r="AL954" s="22"/>
      <c r="AM954" s="22"/>
      <c r="AN954" s="22"/>
      <c r="AO954" s="40"/>
      <c r="AP954" s="40"/>
      <c r="AQ954" s="40"/>
      <c r="AR954" s="1"/>
      <c r="AS954" s="1"/>
      <c r="AT954" s="17"/>
      <c r="AU954" s="1"/>
      <c r="AV954" s="1"/>
      <c r="AW954" s="1"/>
      <c r="AX954" s="2"/>
      <c r="AY954" s="2"/>
      <c r="AZ954" s="1"/>
    </row>
    <row x14ac:dyDescent="0.25" r="955" customHeight="1" ht="18.75">
      <c r="A955" s="1"/>
      <c r="B955" s="1"/>
      <c r="C955" s="1"/>
      <c r="D955" s="1"/>
      <c r="E955" s="1"/>
      <c r="F955" s="1"/>
      <c r="G955" s="1"/>
      <c r="H955" s="1"/>
      <c r="I955" s="1"/>
      <c r="J955" s="1"/>
      <c r="K955" s="17"/>
      <c r="L955" s="1"/>
      <c r="M955" s="1"/>
      <c r="N955" s="2"/>
      <c r="O955" s="2"/>
      <c r="P955" s="1"/>
      <c r="Q955" s="1"/>
      <c r="R955" s="1"/>
      <c r="S955" s="1"/>
      <c r="T955" s="40"/>
      <c r="U955" s="40"/>
      <c r="V955" s="40"/>
      <c r="W955" s="40"/>
      <c r="X955" s="22"/>
      <c r="Y955" s="22"/>
      <c r="Z955" s="22"/>
      <c r="AA955" s="22"/>
      <c r="AB955" s="22"/>
      <c r="AC955" s="22"/>
      <c r="AD955" s="22"/>
      <c r="AE955" s="22"/>
      <c r="AF955" s="22"/>
      <c r="AG955" s="22"/>
      <c r="AH955" s="22"/>
      <c r="AI955" s="22"/>
      <c r="AJ955" s="40"/>
      <c r="AK955" s="22"/>
      <c r="AL955" s="22"/>
      <c r="AM955" s="22"/>
      <c r="AN955" s="22"/>
      <c r="AO955" s="40"/>
      <c r="AP955" s="40"/>
      <c r="AQ955" s="40"/>
      <c r="AR955" s="1"/>
      <c r="AS955" s="1"/>
      <c r="AT955" s="17"/>
      <c r="AU955" s="1"/>
      <c r="AV955" s="1"/>
      <c r="AW955" s="1"/>
      <c r="AX955" s="2"/>
      <c r="AY955" s="2"/>
      <c r="AZ955" s="1"/>
    </row>
    <row x14ac:dyDescent="0.25" r="956" customHeight="1" ht="18.75">
      <c r="A956" s="1"/>
      <c r="B956" s="1"/>
      <c r="C956" s="1"/>
      <c r="D956" s="1"/>
      <c r="E956" s="1"/>
      <c r="F956" s="1"/>
      <c r="G956" s="1"/>
      <c r="H956" s="1"/>
      <c r="I956" s="1"/>
      <c r="J956" s="1"/>
      <c r="K956" s="17"/>
      <c r="L956" s="1"/>
      <c r="M956" s="1"/>
      <c r="N956" s="2"/>
      <c r="O956" s="2"/>
      <c r="P956" s="1"/>
      <c r="Q956" s="1"/>
      <c r="R956" s="1"/>
      <c r="S956" s="1"/>
      <c r="T956" s="40"/>
      <c r="U956" s="40"/>
      <c r="V956" s="40"/>
      <c r="W956" s="40"/>
      <c r="X956" s="22"/>
      <c r="Y956" s="22"/>
      <c r="Z956" s="22"/>
      <c r="AA956" s="22"/>
      <c r="AB956" s="22"/>
      <c r="AC956" s="22"/>
      <c r="AD956" s="22"/>
      <c r="AE956" s="22"/>
      <c r="AF956" s="22"/>
      <c r="AG956" s="22"/>
      <c r="AH956" s="22"/>
      <c r="AI956" s="22"/>
      <c r="AJ956" s="40"/>
      <c r="AK956" s="22"/>
      <c r="AL956" s="22"/>
      <c r="AM956" s="22"/>
      <c r="AN956" s="22"/>
      <c r="AO956" s="40"/>
      <c r="AP956" s="40"/>
      <c r="AQ956" s="40"/>
      <c r="AR956" s="1"/>
      <c r="AS956" s="1"/>
      <c r="AT956" s="17"/>
      <c r="AU956" s="1"/>
      <c r="AV956" s="1"/>
      <c r="AW956" s="1"/>
      <c r="AX956" s="2"/>
      <c r="AY956" s="2"/>
      <c r="AZ956" s="1"/>
    </row>
    <row x14ac:dyDescent="0.25" r="957" customHeight="1" ht="18.75">
      <c r="A957" s="1"/>
      <c r="B957" s="1"/>
      <c r="C957" s="1"/>
      <c r="D957" s="1"/>
      <c r="E957" s="1"/>
      <c r="F957" s="1"/>
      <c r="G957" s="1"/>
      <c r="H957" s="1"/>
      <c r="I957" s="1"/>
      <c r="J957" s="1"/>
      <c r="K957" s="17"/>
      <c r="L957" s="1"/>
      <c r="M957" s="1"/>
      <c r="N957" s="2"/>
      <c r="O957" s="2"/>
      <c r="P957" s="1"/>
      <c r="Q957" s="1"/>
      <c r="R957" s="1"/>
      <c r="S957" s="1"/>
      <c r="T957" s="40"/>
      <c r="U957" s="40"/>
      <c r="V957" s="40"/>
      <c r="W957" s="40"/>
      <c r="X957" s="22"/>
      <c r="Y957" s="22"/>
      <c r="Z957" s="22"/>
      <c r="AA957" s="22"/>
      <c r="AB957" s="22"/>
      <c r="AC957" s="22"/>
      <c r="AD957" s="22"/>
      <c r="AE957" s="22"/>
      <c r="AF957" s="22"/>
      <c r="AG957" s="22"/>
      <c r="AH957" s="22"/>
      <c r="AI957" s="22"/>
      <c r="AJ957" s="40"/>
      <c r="AK957" s="22"/>
      <c r="AL957" s="22"/>
      <c r="AM957" s="22"/>
      <c r="AN957" s="22"/>
      <c r="AO957" s="40"/>
      <c r="AP957" s="40"/>
      <c r="AQ957" s="40"/>
      <c r="AR957" s="1"/>
      <c r="AS957" s="1"/>
      <c r="AT957" s="17"/>
      <c r="AU957" s="1"/>
      <c r="AV957" s="1"/>
      <c r="AW957" s="1"/>
      <c r="AX957" s="2"/>
      <c r="AY957" s="2"/>
      <c r="AZ957" s="1"/>
    </row>
    <row x14ac:dyDescent="0.25" r="958" customHeight="1" ht="18.75">
      <c r="A958" s="1"/>
      <c r="B958" s="1"/>
      <c r="C958" s="1"/>
      <c r="D958" s="1"/>
      <c r="E958" s="1"/>
      <c r="F958" s="1"/>
      <c r="G958" s="1"/>
      <c r="H958" s="1"/>
      <c r="I958" s="1"/>
      <c r="J958" s="1"/>
      <c r="K958" s="17"/>
      <c r="L958" s="1"/>
      <c r="M958" s="1"/>
      <c r="N958" s="2"/>
      <c r="O958" s="2"/>
      <c r="P958" s="1"/>
      <c r="Q958" s="1"/>
      <c r="R958" s="1"/>
      <c r="S958" s="1"/>
      <c r="T958" s="40"/>
      <c r="U958" s="40"/>
      <c r="V958" s="40"/>
      <c r="W958" s="40"/>
      <c r="X958" s="22"/>
      <c r="Y958" s="22"/>
      <c r="Z958" s="22"/>
      <c r="AA958" s="22"/>
      <c r="AB958" s="22"/>
      <c r="AC958" s="22"/>
      <c r="AD958" s="22"/>
      <c r="AE958" s="22"/>
      <c r="AF958" s="22"/>
      <c r="AG958" s="22"/>
      <c r="AH958" s="22"/>
      <c r="AI958" s="22"/>
      <c r="AJ958" s="40"/>
      <c r="AK958" s="22"/>
      <c r="AL958" s="22"/>
      <c r="AM958" s="22"/>
      <c r="AN958" s="22"/>
      <c r="AO958" s="40"/>
      <c r="AP958" s="40"/>
      <c r="AQ958" s="40"/>
      <c r="AR958" s="1"/>
      <c r="AS958" s="1"/>
      <c r="AT958" s="17"/>
      <c r="AU958" s="1"/>
      <c r="AV958" s="1"/>
      <c r="AW958" s="1"/>
      <c r="AX958" s="2"/>
      <c r="AY958" s="2"/>
      <c r="AZ958" s="1"/>
    </row>
    <row x14ac:dyDescent="0.25" r="959" customHeight="1" ht="18.75">
      <c r="A959" s="1"/>
      <c r="B959" s="1"/>
      <c r="C959" s="1"/>
      <c r="D959" s="1"/>
      <c r="E959" s="1"/>
      <c r="F959" s="1"/>
      <c r="G959" s="1"/>
      <c r="H959" s="1"/>
      <c r="I959" s="1"/>
      <c r="J959" s="1"/>
      <c r="K959" s="17"/>
      <c r="L959" s="1"/>
      <c r="M959" s="1"/>
      <c r="N959" s="2"/>
      <c r="O959" s="2"/>
      <c r="P959" s="1"/>
      <c r="Q959" s="1"/>
      <c r="R959" s="1"/>
      <c r="S959" s="1"/>
      <c r="T959" s="40"/>
      <c r="U959" s="40"/>
      <c r="V959" s="40"/>
      <c r="W959" s="40"/>
      <c r="X959" s="22"/>
      <c r="Y959" s="22"/>
      <c r="Z959" s="22"/>
      <c r="AA959" s="22"/>
      <c r="AB959" s="22"/>
      <c r="AC959" s="22"/>
      <c r="AD959" s="22"/>
      <c r="AE959" s="22"/>
      <c r="AF959" s="22"/>
      <c r="AG959" s="22"/>
      <c r="AH959" s="22"/>
      <c r="AI959" s="22"/>
      <c r="AJ959" s="40"/>
      <c r="AK959" s="22"/>
      <c r="AL959" s="22"/>
      <c r="AM959" s="22"/>
      <c r="AN959" s="22"/>
      <c r="AO959" s="40"/>
      <c r="AP959" s="40"/>
      <c r="AQ959" s="40"/>
      <c r="AR959" s="1"/>
      <c r="AS959" s="1"/>
      <c r="AT959" s="17"/>
      <c r="AU959" s="1"/>
      <c r="AV959" s="1"/>
      <c r="AW959" s="1"/>
      <c r="AX959" s="2"/>
      <c r="AY959" s="2"/>
      <c r="AZ959" s="1"/>
    </row>
    <row x14ac:dyDescent="0.25" r="960" customHeight="1" ht="18.75">
      <c r="A960" s="1"/>
      <c r="B960" s="1"/>
      <c r="C960" s="1"/>
      <c r="D960" s="1"/>
      <c r="E960" s="1"/>
      <c r="F960" s="1"/>
      <c r="G960" s="1"/>
      <c r="H960" s="1"/>
      <c r="I960" s="1"/>
      <c r="J960" s="1"/>
      <c r="K960" s="17"/>
      <c r="L960" s="1"/>
      <c r="M960" s="1"/>
      <c r="N960" s="2"/>
      <c r="O960" s="2"/>
      <c r="P960" s="1"/>
      <c r="Q960" s="1"/>
      <c r="R960" s="1"/>
      <c r="S960" s="1"/>
      <c r="T960" s="40"/>
      <c r="U960" s="40"/>
      <c r="V960" s="40"/>
      <c r="W960" s="40"/>
      <c r="X960" s="22"/>
      <c r="Y960" s="22"/>
      <c r="Z960" s="22"/>
      <c r="AA960" s="22"/>
      <c r="AB960" s="22"/>
      <c r="AC960" s="22"/>
      <c r="AD960" s="22"/>
      <c r="AE960" s="22"/>
      <c r="AF960" s="22"/>
      <c r="AG960" s="22"/>
      <c r="AH960" s="22"/>
      <c r="AI960" s="22"/>
      <c r="AJ960" s="40"/>
      <c r="AK960" s="22"/>
      <c r="AL960" s="22"/>
      <c r="AM960" s="22"/>
      <c r="AN960" s="22"/>
      <c r="AO960" s="40"/>
      <c r="AP960" s="40"/>
      <c r="AQ960" s="40"/>
      <c r="AR960" s="1"/>
      <c r="AS960" s="1"/>
      <c r="AT960" s="17"/>
      <c r="AU960" s="1"/>
      <c r="AV960" s="1"/>
      <c r="AW960" s="1"/>
      <c r="AX960" s="2"/>
      <c r="AY960" s="2"/>
      <c r="AZ960" s="1"/>
    </row>
    <row x14ac:dyDescent="0.25" r="961" customHeight="1" ht="18.75">
      <c r="A961" s="1"/>
      <c r="B961" s="1"/>
      <c r="C961" s="1"/>
      <c r="D961" s="1"/>
      <c r="E961" s="1"/>
      <c r="F961" s="1"/>
      <c r="G961" s="1"/>
      <c r="H961" s="1"/>
      <c r="I961" s="1"/>
      <c r="J961" s="1"/>
      <c r="K961" s="17"/>
      <c r="L961" s="1"/>
      <c r="M961" s="1"/>
      <c r="N961" s="2"/>
      <c r="O961" s="2"/>
      <c r="P961" s="1"/>
      <c r="Q961" s="1"/>
      <c r="R961" s="1"/>
      <c r="S961" s="1"/>
      <c r="T961" s="40"/>
      <c r="U961" s="40"/>
      <c r="V961" s="40"/>
      <c r="W961" s="40"/>
      <c r="X961" s="22"/>
      <c r="Y961" s="22"/>
      <c r="Z961" s="22"/>
      <c r="AA961" s="22"/>
      <c r="AB961" s="22"/>
      <c r="AC961" s="22"/>
      <c r="AD961" s="22"/>
      <c r="AE961" s="22"/>
      <c r="AF961" s="22"/>
      <c r="AG961" s="22"/>
      <c r="AH961" s="22"/>
      <c r="AI961" s="22"/>
      <c r="AJ961" s="40"/>
      <c r="AK961" s="22"/>
      <c r="AL961" s="22"/>
      <c r="AM961" s="22"/>
      <c r="AN961" s="22"/>
      <c r="AO961" s="40"/>
      <c r="AP961" s="40"/>
      <c r="AQ961" s="40"/>
      <c r="AR961" s="1"/>
      <c r="AS961" s="1"/>
      <c r="AT961" s="17"/>
      <c r="AU961" s="1"/>
      <c r="AV961" s="1"/>
      <c r="AW961" s="1"/>
      <c r="AX961" s="2"/>
      <c r="AY961" s="2"/>
      <c r="AZ961" s="1"/>
    </row>
    <row x14ac:dyDescent="0.25" r="962" customHeight="1" ht="18.75">
      <c r="A962" s="1"/>
      <c r="B962" s="1"/>
      <c r="C962" s="1"/>
      <c r="D962" s="1"/>
      <c r="E962" s="1"/>
      <c r="F962" s="1"/>
      <c r="G962" s="1"/>
      <c r="H962" s="1"/>
      <c r="I962" s="1"/>
      <c r="J962" s="1"/>
      <c r="K962" s="17"/>
      <c r="L962" s="1"/>
      <c r="M962" s="1"/>
      <c r="N962" s="2"/>
      <c r="O962" s="2"/>
      <c r="P962" s="1"/>
      <c r="Q962" s="1"/>
      <c r="R962" s="1"/>
      <c r="S962" s="1"/>
      <c r="T962" s="40"/>
      <c r="U962" s="40"/>
      <c r="V962" s="40"/>
      <c r="W962" s="40"/>
      <c r="X962" s="22"/>
      <c r="Y962" s="22"/>
      <c r="Z962" s="22"/>
      <c r="AA962" s="22"/>
      <c r="AB962" s="22"/>
      <c r="AC962" s="22"/>
      <c r="AD962" s="22"/>
      <c r="AE962" s="22"/>
      <c r="AF962" s="22"/>
      <c r="AG962" s="22"/>
      <c r="AH962" s="22"/>
      <c r="AI962" s="22"/>
      <c r="AJ962" s="40"/>
      <c r="AK962" s="22"/>
      <c r="AL962" s="22"/>
      <c r="AM962" s="22"/>
      <c r="AN962" s="22"/>
      <c r="AO962" s="40"/>
      <c r="AP962" s="40"/>
      <c r="AQ962" s="40"/>
      <c r="AR962" s="1"/>
      <c r="AS962" s="1"/>
      <c r="AT962" s="17"/>
      <c r="AU962" s="1"/>
      <c r="AV962" s="1"/>
      <c r="AW962" s="1"/>
      <c r="AX962" s="2"/>
      <c r="AY962" s="2"/>
      <c r="AZ962" s="1"/>
    </row>
    <row x14ac:dyDescent="0.25" r="963" customHeight="1" ht="18.75">
      <c r="A963" s="1"/>
      <c r="B963" s="1"/>
      <c r="C963" s="1"/>
      <c r="D963" s="1"/>
      <c r="E963" s="1"/>
      <c r="F963" s="1"/>
      <c r="G963" s="1"/>
      <c r="H963" s="1"/>
      <c r="I963" s="1"/>
      <c r="J963" s="1"/>
      <c r="K963" s="17"/>
      <c r="L963" s="1"/>
      <c r="M963" s="1"/>
      <c r="N963" s="2"/>
      <c r="O963" s="2"/>
      <c r="P963" s="1"/>
      <c r="Q963" s="1"/>
      <c r="R963" s="1"/>
      <c r="S963" s="1"/>
      <c r="T963" s="40"/>
      <c r="U963" s="40"/>
      <c r="V963" s="40"/>
      <c r="W963" s="40"/>
      <c r="X963" s="22"/>
      <c r="Y963" s="22"/>
      <c r="Z963" s="22"/>
      <c r="AA963" s="22"/>
      <c r="AB963" s="22"/>
      <c r="AC963" s="22"/>
      <c r="AD963" s="22"/>
      <c r="AE963" s="22"/>
      <c r="AF963" s="22"/>
      <c r="AG963" s="22"/>
      <c r="AH963" s="22"/>
      <c r="AI963" s="22"/>
      <c r="AJ963" s="40"/>
      <c r="AK963" s="22"/>
      <c r="AL963" s="22"/>
      <c r="AM963" s="22"/>
      <c r="AN963" s="22"/>
      <c r="AO963" s="40"/>
      <c r="AP963" s="40"/>
      <c r="AQ963" s="40"/>
      <c r="AR963" s="1"/>
      <c r="AS963" s="1"/>
      <c r="AT963" s="17"/>
      <c r="AU963" s="1"/>
      <c r="AV963" s="1"/>
      <c r="AW963" s="1"/>
      <c r="AX963" s="2"/>
      <c r="AY963" s="2"/>
      <c r="AZ963" s="1"/>
    </row>
    <row x14ac:dyDescent="0.25" r="964" customHeight="1" ht="18.75">
      <c r="A964" s="1"/>
      <c r="B964" s="1"/>
      <c r="C964" s="1"/>
      <c r="D964" s="1"/>
      <c r="E964" s="1"/>
      <c r="F964" s="1"/>
      <c r="G964" s="1"/>
      <c r="H964" s="1"/>
      <c r="I964" s="1"/>
      <c r="J964" s="1"/>
      <c r="K964" s="17"/>
      <c r="L964" s="1"/>
      <c r="M964" s="1"/>
      <c r="N964" s="2"/>
      <c r="O964" s="2"/>
      <c r="P964" s="1"/>
      <c r="Q964" s="1"/>
      <c r="R964" s="1"/>
      <c r="S964" s="1"/>
      <c r="T964" s="40"/>
      <c r="U964" s="40"/>
      <c r="V964" s="40"/>
      <c r="W964" s="40"/>
      <c r="X964" s="22"/>
      <c r="Y964" s="22"/>
      <c r="Z964" s="22"/>
      <c r="AA964" s="22"/>
      <c r="AB964" s="22"/>
      <c r="AC964" s="22"/>
      <c r="AD964" s="22"/>
      <c r="AE964" s="22"/>
      <c r="AF964" s="22"/>
      <c r="AG964" s="22"/>
      <c r="AH964" s="22"/>
      <c r="AI964" s="22"/>
      <c r="AJ964" s="40"/>
      <c r="AK964" s="22"/>
      <c r="AL964" s="22"/>
      <c r="AM964" s="22"/>
      <c r="AN964" s="22"/>
      <c r="AO964" s="40"/>
      <c r="AP964" s="40"/>
      <c r="AQ964" s="40"/>
      <c r="AR964" s="1"/>
      <c r="AS964" s="1"/>
      <c r="AT964" s="17"/>
      <c r="AU964" s="1"/>
      <c r="AV964" s="1"/>
      <c r="AW964" s="1"/>
      <c r="AX964" s="2"/>
      <c r="AY964" s="2"/>
      <c r="AZ964" s="1"/>
    </row>
    <row x14ac:dyDescent="0.25" r="965" customHeight="1" ht="18.75">
      <c r="A965" s="1"/>
      <c r="B965" s="1"/>
      <c r="C965" s="1"/>
      <c r="D965" s="1"/>
      <c r="E965" s="1"/>
      <c r="F965" s="1"/>
      <c r="G965" s="1"/>
      <c r="H965" s="1"/>
      <c r="I965" s="1"/>
      <c r="J965" s="1"/>
      <c r="K965" s="17"/>
      <c r="L965" s="1"/>
      <c r="M965" s="1"/>
      <c r="N965" s="2"/>
      <c r="O965" s="2"/>
      <c r="P965" s="1"/>
      <c r="Q965" s="1"/>
      <c r="R965" s="1"/>
      <c r="S965" s="1"/>
      <c r="T965" s="40"/>
      <c r="U965" s="40"/>
      <c r="V965" s="40"/>
      <c r="W965" s="40"/>
      <c r="X965" s="22"/>
      <c r="Y965" s="22"/>
      <c r="Z965" s="22"/>
      <c r="AA965" s="22"/>
      <c r="AB965" s="22"/>
      <c r="AC965" s="22"/>
      <c r="AD965" s="22"/>
      <c r="AE965" s="22"/>
      <c r="AF965" s="22"/>
      <c r="AG965" s="22"/>
      <c r="AH965" s="22"/>
      <c r="AI965" s="22"/>
      <c r="AJ965" s="40"/>
      <c r="AK965" s="22"/>
      <c r="AL965" s="22"/>
      <c r="AM965" s="22"/>
      <c r="AN965" s="22"/>
      <c r="AO965" s="40"/>
      <c r="AP965" s="40"/>
      <c r="AQ965" s="40"/>
      <c r="AR965" s="1"/>
      <c r="AS965" s="1"/>
      <c r="AT965" s="17"/>
      <c r="AU965" s="1"/>
      <c r="AV965" s="1"/>
      <c r="AW965" s="1"/>
      <c r="AX965" s="2"/>
      <c r="AY965" s="2"/>
      <c r="AZ965" s="1"/>
    </row>
    <row x14ac:dyDescent="0.25" r="966" customHeight="1" ht="18.75">
      <c r="A966" s="1"/>
      <c r="B966" s="1"/>
      <c r="C966" s="1"/>
      <c r="D966" s="1"/>
      <c r="E966" s="1"/>
      <c r="F966" s="1"/>
      <c r="G966" s="1"/>
      <c r="H966" s="1"/>
      <c r="I966" s="1"/>
      <c r="J966" s="1"/>
      <c r="K966" s="17"/>
      <c r="L966" s="1"/>
      <c r="M966" s="1"/>
      <c r="N966" s="2"/>
      <c r="O966" s="2"/>
      <c r="P966" s="1"/>
      <c r="Q966" s="1"/>
      <c r="R966" s="1"/>
      <c r="S966" s="1"/>
      <c r="T966" s="40"/>
      <c r="U966" s="40"/>
      <c r="V966" s="40"/>
      <c r="W966" s="40"/>
      <c r="X966" s="22"/>
      <c r="Y966" s="22"/>
      <c r="Z966" s="22"/>
      <c r="AA966" s="22"/>
      <c r="AB966" s="22"/>
      <c r="AC966" s="22"/>
      <c r="AD966" s="22"/>
      <c r="AE966" s="22"/>
      <c r="AF966" s="22"/>
      <c r="AG966" s="22"/>
      <c r="AH966" s="22"/>
      <c r="AI966" s="22"/>
      <c r="AJ966" s="40"/>
      <c r="AK966" s="22"/>
      <c r="AL966" s="22"/>
      <c r="AM966" s="22"/>
      <c r="AN966" s="22"/>
      <c r="AO966" s="40"/>
      <c r="AP966" s="40"/>
      <c r="AQ966" s="40"/>
      <c r="AR966" s="1"/>
      <c r="AS966" s="1"/>
      <c r="AT966" s="17"/>
      <c r="AU966" s="1"/>
      <c r="AV966" s="1"/>
      <c r="AW966" s="1"/>
      <c r="AX966" s="2"/>
      <c r="AY966" s="2"/>
      <c r="AZ966" s="1"/>
    </row>
    <row x14ac:dyDescent="0.25" r="967" customHeight="1" ht="18.75">
      <c r="A967" s="1"/>
      <c r="B967" s="1"/>
      <c r="C967" s="1"/>
      <c r="D967" s="1"/>
      <c r="E967" s="1"/>
      <c r="F967" s="1"/>
      <c r="G967" s="1"/>
      <c r="H967" s="1"/>
      <c r="I967" s="1"/>
      <c r="J967" s="1"/>
      <c r="K967" s="17"/>
      <c r="L967" s="1"/>
      <c r="M967" s="1"/>
      <c r="N967" s="2"/>
      <c r="O967" s="2"/>
      <c r="P967" s="1"/>
      <c r="Q967" s="1"/>
      <c r="R967" s="1"/>
      <c r="S967" s="1"/>
      <c r="T967" s="40"/>
      <c r="U967" s="40"/>
      <c r="V967" s="40"/>
      <c r="W967" s="40"/>
      <c r="X967" s="22"/>
      <c r="Y967" s="22"/>
      <c r="Z967" s="22"/>
      <c r="AA967" s="22"/>
      <c r="AB967" s="22"/>
      <c r="AC967" s="22"/>
      <c r="AD967" s="22"/>
      <c r="AE967" s="22"/>
      <c r="AF967" s="22"/>
      <c r="AG967" s="22"/>
      <c r="AH967" s="22"/>
      <c r="AI967" s="22"/>
      <c r="AJ967" s="40"/>
      <c r="AK967" s="22"/>
      <c r="AL967" s="22"/>
      <c r="AM967" s="22"/>
      <c r="AN967" s="22"/>
      <c r="AO967" s="40"/>
      <c r="AP967" s="40"/>
      <c r="AQ967" s="40"/>
      <c r="AR967" s="1"/>
      <c r="AS967" s="1"/>
      <c r="AT967" s="17"/>
      <c r="AU967" s="1"/>
      <c r="AV967" s="1"/>
      <c r="AW967" s="1"/>
      <c r="AX967" s="2"/>
      <c r="AY967" s="2"/>
      <c r="AZ967" s="1"/>
    </row>
    <row x14ac:dyDescent="0.25" r="968" customHeight="1" ht="18.75">
      <c r="A968" s="1"/>
      <c r="B968" s="1"/>
      <c r="C968" s="1"/>
      <c r="D968" s="1"/>
      <c r="E968" s="1"/>
      <c r="F968" s="1"/>
      <c r="G968" s="1"/>
      <c r="H968" s="1"/>
      <c r="I968" s="1"/>
      <c r="J968" s="1"/>
      <c r="K968" s="17"/>
      <c r="L968" s="1"/>
      <c r="M968" s="1"/>
      <c r="N968" s="2"/>
      <c r="O968" s="2"/>
      <c r="P968" s="1"/>
      <c r="Q968" s="1"/>
      <c r="R968" s="1"/>
      <c r="S968" s="1"/>
      <c r="T968" s="40"/>
      <c r="U968" s="40"/>
      <c r="V968" s="40"/>
      <c r="W968" s="40"/>
      <c r="X968" s="22"/>
      <c r="Y968" s="22"/>
      <c r="Z968" s="22"/>
      <c r="AA968" s="22"/>
      <c r="AB968" s="22"/>
      <c r="AC968" s="22"/>
      <c r="AD968" s="22"/>
      <c r="AE968" s="22"/>
      <c r="AF968" s="22"/>
      <c r="AG968" s="22"/>
      <c r="AH968" s="22"/>
      <c r="AI968" s="22"/>
      <c r="AJ968" s="40"/>
      <c r="AK968" s="22"/>
      <c r="AL968" s="22"/>
      <c r="AM968" s="22"/>
      <c r="AN968" s="22"/>
      <c r="AO968" s="40"/>
      <c r="AP968" s="40"/>
      <c r="AQ968" s="40"/>
      <c r="AR968" s="1"/>
      <c r="AS968" s="1"/>
      <c r="AT968" s="17"/>
      <c r="AU968" s="1"/>
      <c r="AV968" s="1"/>
      <c r="AW968" s="1"/>
      <c r="AX968" s="2"/>
      <c r="AY968" s="2"/>
      <c r="AZ968" s="1"/>
    </row>
    <row x14ac:dyDescent="0.25" r="969" customHeight="1" ht="18.75">
      <c r="A969" s="1"/>
      <c r="B969" s="1"/>
      <c r="C969" s="1"/>
      <c r="D969" s="1"/>
      <c r="E969" s="1"/>
      <c r="F969" s="1"/>
      <c r="G969" s="1"/>
      <c r="H969" s="1"/>
      <c r="I969" s="1"/>
      <c r="J969" s="1"/>
      <c r="K969" s="17"/>
      <c r="L969" s="1"/>
      <c r="M969" s="1"/>
      <c r="N969" s="2"/>
      <c r="O969" s="2"/>
      <c r="P969" s="1"/>
      <c r="Q969" s="1"/>
      <c r="R969" s="1"/>
      <c r="S969" s="1"/>
      <c r="T969" s="40"/>
      <c r="U969" s="40"/>
      <c r="V969" s="40"/>
      <c r="W969" s="40"/>
      <c r="X969" s="22"/>
      <c r="Y969" s="22"/>
      <c r="Z969" s="22"/>
      <c r="AA969" s="22"/>
      <c r="AB969" s="22"/>
      <c r="AC969" s="22"/>
      <c r="AD969" s="22"/>
      <c r="AE969" s="22"/>
      <c r="AF969" s="22"/>
      <c r="AG969" s="22"/>
      <c r="AH969" s="22"/>
      <c r="AI969" s="22"/>
      <c r="AJ969" s="40"/>
      <c r="AK969" s="22"/>
      <c r="AL969" s="22"/>
      <c r="AM969" s="22"/>
      <c r="AN969" s="22"/>
      <c r="AO969" s="40"/>
      <c r="AP969" s="40"/>
      <c r="AQ969" s="40"/>
      <c r="AR969" s="1"/>
      <c r="AS969" s="1"/>
      <c r="AT969" s="17"/>
      <c r="AU969" s="1"/>
      <c r="AV969" s="1"/>
      <c r="AW969" s="1"/>
      <c r="AX969" s="2"/>
      <c r="AY969" s="2"/>
      <c r="AZ969" s="1"/>
    </row>
    <row x14ac:dyDescent="0.25" r="970" customHeight="1" ht="18.75">
      <c r="A970" s="1"/>
      <c r="B970" s="1"/>
      <c r="C970" s="1"/>
      <c r="D970" s="1"/>
      <c r="E970" s="1"/>
      <c r="F970" s="1"/>
      <c r="G970" s="1"/>
      <c r="H970" s="1"/>
      <c r="I970" s="1"/>
      <c r="J970" s="1"/>
      <c r="K970" s="17"/>
      <c r="L970" s="1"/>
      <c r="M970" s="1"/>
      <c r="N970" s="2"/>
      <c r="O970" s="2"/>
      <c r="P970" s="1"/>
      <c r="Q970" s="1"/>
      <c r="R970" s="1"/>
      <c r="S970" s="1"/>
      <c r="T970" s="40"/>
      <c r="U970" s="40"/>
      <c r="V970" s="40"/>
      <c r="W970" s="40"/>
      <c r="X970" s="22"/>
      <c r="Y970" s="22"/>
      <c r="Z970" s="22"/>
      <c r="AA970" s="22"/>
      <c r="AB970" s="22"/>
      <c r="AC970" s="22"/>
      <c r="AD970" s="22"/>
      <c r="AE970" s="22"/>
      <c r="AF970" s="22"/>
      <c r="AG970" s="22"/>
      <c r="AH970" s="22"/>
      <c r="AI970" s="22"/>
      <c r="AJ970" s="40"/>
      <c r="AK970" s="22"/>
      <c r="AL970" s="22"/>
      <c r="AM970" s="22"/>
      <c r="AN970" s="22"/>
      <c r="AO970" s="40"/>
      <c r="AP970" s="40"/>
      <c r="AQ970" s="40"/>
      <c r="AR970" s="1"/>
      <c r="AS970" s="1"/>
      <c r="AT970" s="17"/>
      <c r="AU970" s="1"/>
      <c r="AV970" s="1"/>
      <c r="AW970" s="1"/>
      <c r="AX970" s="2"/>
      <c r="AY970" s="2"/>
      <c r="AZ970" s="1"/>
    </row>
    <row x14ac:dyDescent="0.25" r="971" customHeight="1" ht="18.75">
      <c r="A971" s="1"/>
      <c r="B971" s="1"/>
      <c r="C971" s="1"/>
      <c r="D971" s="1"/>
      <c r="E971" s="1"/>
      <c r="F971" s="1"/>
      <c r="G971" s="1"/>
      <c r="H971" s="1"/>
      <c r="I971" s="1"/>
      <c r="J971" s="1"/>
      <c r="K971" s="17"/>
      <c r="L971" s="1"/>
      <c r="M971" s="1"/>
      <c r="N971" s="2"/>
      <c r="O971" s="2"/>
      <c r="P971" s="1"/>
      <c r="Q971" s="1"/>
      <c r="R971" s="1"/>
      <c r="S971" s="1"/>
      <c r="T971" s="40"/>
      <c r="U971" s="40"/>
      <c r="V971" s="40"/>
      <c r="W971" s="40"/>
      <c r="X971" s="22"/>
      <c r="Y971" s="22"/>
      <c r="Z971" s="22"/>
      <c r="AA971" s="22"/>
      <c r="AB971" s="22"/>
      <c r="AC971" s="22"/>
      <c r="AD971" s="22"/>
      <c r="AE971" s="22"/>
      <c r="AF971" s="22"/>
      <c r="AG971" s="22"/>
      <c r="AH971" s="22"/>
      <c r="AI971" s="22"/>
      <c r="AJ971" s="40"/>
      <c r="AK971" s="22"/>
      <c r="AL971" s="22"/>
      <c r="AM971" s="22"/>
      <c r="AN971" s="22"/>
      <c r="AO971" s="40"/>
      <c r="AP971" s="40"/>
      <c r="AQ971" s="40"/>
      <c r="AR971" s="1"/>
      <c r="AS971" s="1"/>
      <c r="AT971" s="17"/>
      <c r="AU971" s="1"/>
      <c r="AV971" s="1"/>
      <c r="AW971" s="1"/>
      <c r="AX971" s="2"/>
      <c r="AY971" s="2"/>
      <c r="AZ971" s="1"/>
    </row>
    <row x14ac:dyDescent="0.25" r="972" customHeight="1" ht="18.75">
      <c r="A972" s="1"/>
      <c r="B972" s="1"/>
      <c r="C972" s="1"/>
      <c r="D972" s="1"/>
      <c r="E972" s="1"/>
      <c r="F972" s="1"/>
      <c r="G972" s="1"/>
      <c r="H972" s="1"/>
      <c r="I972" s="1"/>
      <c r="J972" s="1"/>
      <c r="K972" s="17"/>
      <c r="L972" s="1"/>
      <c r="M972" s="1"/>
      <c r="N972" s="2"/>
      <c r="O972" s="2"/>
      <c r="P972" s="1"/>
      <c r="Q972" s="1"/>
      <c r="R972" s="1"/>
      <c r="S972" s="1"/>
      <c r="T972" s="40"/>
      <c r="U972" s="40"/>
      <c r="V972" s="40"/>
      <c r="W972" s="40"/>
      <c r="X972" s="22"/>
      <c r="Y972" s="22"/>
      <c r="Z972" s="22"/>
      <c r="AA972" s="22"/>
      <c r="AB972" s="22"/>
      <c r="AC972" s="22"/>
      <c r="AD972" s="22"/>
      <c r="AE972" s="22"/>
      <c r="AF972" s="22"/>
      <c r="AG972" s="22"/>
      <c r="AH972" s="22"/>
      <c r="AI972" s="22"/>
      <c r="AJ972" s="40"/>
      <c r="AK972" s="22"/>
      <c r="AL972" s="22"/>
      <c r="AM972" s="22"/>
      <c r="AN972" s="22"/>
      <c r="AO972" s="40"/>
      <c r="AP972" s="40"/>
      <c r="AQ972" s="40"/>
      <c r="AR972" s="1"/>
      <c r="AS972" s="1"/>
      <c r="AT972" s="17"/>
      <c r="AU972" s="1"/>
      <c r="AV972" s="1"/>
      <c r="AW972" s="1"/>
      <c r="AX972" s="2"/>
      <c r="AY972" s="2"/>
      <c r="AZ972" s="1"/>
    </row>
    <row x14ac:dyDescent="0.25" r="973" customHeight="1" ht="18.75">
      <c r="A973" s="1"/>
      <c r="B973" s="1"/>
      <c r="C973" s="1"/>
      <c r="D973" s="1"/>
      <c r="E973" s="1"/>
      <c r="F973" s="1"/>
      <c r="G973" s="1"/>
      <c r="H973" s="1"/>
      <c r="I973" s="1"/>
      <c r="J973" s="1"/>
      <c r="K973" s="17"/>
      <c r="L973" s="1"/>
      <c r="M973" s="1"/>
      <c r="N973" s="2"/>
      <c r="O973" s="2"/>
      <c r="P973" s="1"/>
      <c r="Q973" s="1"/>
      <c r="R973" s="1"/>
      <c r="S973" s="1"/>
      <c r="T973" s="40"/>
      <c r="U973" s="40"/>
      <c r="V973" s="40"/>
      <c r="W973" s="40"/>
      <c r="X973" s="22"/>
      <c r="Y973" s="22"/>
      <c r="Z973" s="22"/>
      <c r="AA973" s="22"/>
      <c r="AB973" s="22"/>
      <c r="AC973" s="22"/>
      <c r="AD973" s="22"/>
      <c r="AE973" s="22"/>
      <c r="AF973" s="22"/>
      <c r="AG973" s="22"/>
      <c r="AH973" s="22"/>
      <c r="AI973" s="22"/>
      <c r="AJ973" s="40"/>
      <c r="AK973" s="22"/>
      <c r="AL973" s="22"/>
      <c r="AM973" s="22"/>
      <c r="AN973" s="22"/>
      <c r="AO973" s="40"/>
      <c r="AP973" s="40"/>
      <c r="AQ973" s="40"/>
      <c r="AR973" s="1"/>
      <c r="AS973" s="1"/>
      <c r="AT973" s="17"/>
      <c r="AU973" s="1"/>
      <c r="AV973" s="1"/>
      <c r="AW973" s="1"/>
      <c r="AX973" s="2"/>
      <c r="AY973" s="2"/>
      <c r="AZ973" s="1"/>
    </row>
    <row x14ac:dyDescent="0.25" r="974" customHeight="1" ht="18.75">
      <c r="A974" s="1"/>
      <c r="B974" s="1"/>
      <c r="C974" s="1"/>
      <c r="D974" s="1"/>
      <c r="E974" s="1"/>
      <c r="F974" s="1"/>
      <c r="G974" s="1"/>
      <c r="H974" s="1"/>
      <c r="I974" s="1"/>
      <c r="J974" s="1"/>
      <c r="K974" s="17"/>
      <c r="L974" s="1"/>
      <c r="M974" s="1"/>
      <c r="N974" s="2"/>
      <c r="O974" s="2"/>
      <c r="P974" s="1"/>
      <c r="Q974" s="1"/>
      <c r="R974" s="1"/>
      <c r="S974" s="1"/>
      <c r="T974" s="40"/>
      <c r="U974" s="40"/>
      <c r="V974" s="40"/>
      <c r="W974" s="40"/>
      <c r="X974" s="22"/>
      <c r="Y974" s="22"/>
      <c r="Z974" s="22"/>
      <c r="AA974" s="22"/>
      <c r="AB974" s="22"/>
      <c r="AC974" s="22"/>
      <c r="AD974" s="22"/>
      <c r="AE974" s="22"/>
      <c r="AF974" s="22"/>
      <c r="AG974" s="22"/>
      <c r="AH974" s="22"/>
      <c r="AI974" s="22"/>
      <c r="AJ974" s="40"/>
      <c r="AK974" s="22"/>
      <c r="AL974" s="22"/>
      <c r="AM974" s="22"/>
      <c r="AN974" s="22"/>
      <c r="AO974" s="40"/>
      <c r="AP974" s="40"/>
      <c r="AQ974" s="40"/>
      <c r="AR974" s="1"/>
      <c r="AS974" s="1"/>
      <c r="AT974" s="17"/>
      <c r="AU974" s="1"/>
      <c r="AV974" s="1"/>
      <c r="AW974" s="1"/>
      <c r="AX974" s="2"/>
      <c r="AY974" s="2"/>
      <c r="AZ974" s="1"/>
    </row>
    <row x14ac:dyDescent="0.25" r="975" customHeight="1" ht="18.75">
      <c r="A975" s="1"/>
      <c r="B975" s="1"/>
      <c r="C975" s="1"/>
      <c r="D975" s="1"/>
      <c r="E975" s="1"/>
      <c r="F975" s="1"/>
      <c r="G975" s="1"/>
      <c r="H975" s="1"/>
      <c r="I975" s="1"/>
      <c r="J975" s="1"/>
      <c r="K975" s="17"/>
      <c r="L975" s="1"/>
      <c r="M975" s="1"/>
      <c r="N975" s="2"/>
      <c r="O975" s="2"/>
      <c r="P975" s="1"/>
      <c r="Q975" s="1"/>
      <c r="R975" s="1"/>
      <c r="S975" s="1"/>
      <c r="T975" s="40"/>
      <c r="U975" s="40"/>
      <c r="V975" s="40"/>
      <c r="W975" s="40"/>
      <c r="X975" s="22"/>
      <c r="Y975" s="22"/>
      <c r="Z975" s="22"/>
      <c r="AA975" s="22"/>
      <c r="AB975" s="22"/>
      <c r="AC975" s="22"/>
      <c r="AD975" s="22"/>
      <c r="AE975" s="22"/>
      <c r="AF975" s="22"/>
      <c r="AG975" s="22"/>
      <c r="AH975" s="22"/>
      <c r="AI975" s="22"/>
      <c r="AJ975" s="40"/>
      <c r="AK975" s="22"/>
      <c r="AL975" s="22"/>
      <c r="AM975" s="22"/>
      <c r="AN975" s="22"/>
      <c r="AO975" s="40"/>
      <c r="AP975" s="40"/>
      <c r="AQ975" s="40"/>
      <c r="AR975" s="1"/>
      <c r="AS975" s="1"/>
      <c r="AT975" s="17"/>
      <c r="AU975" s="1"/>
      <c r="AV975" s="1"/>
      <c r="AW975" s="1"/>
      <c r="AX975" s="2"/>
      <c r="AY975" s="2"/>
      <c r="AZ975" s="1"/>
    </row>
    <row x14ac:dyDescent="0.25" r="976" customHeight="1" ht="18.75">
      <c r="A976" s="1"/>
      <c r="B976" s="1"/>
      <c r="C976" s="1"/>
      <c r="D976" s="1"/>
      <c r="E976" s="1"/>
      <c r="F976" s="1"/>
      <c r="G976" s="1"/>
      <c r="H976" s="1"/>
      <c r="I976" s="1"/>
      <c r="J976" s="1"/>
      <c r="K976" s="17"/>
      <c r="L976" s="1"/>
      <c r="M976" s="1"/>
      <c r="N976" s="2"/>
      <c r="O976" s="2"/>
      <c r="P976" s="1"/>
      <c r="Q976" s="1"/>
      <c r="R976" s="1"/>
      <c r="S976" s="1"/>
      <c r="T976" s="40"/>
      <c r="U976" s="40"/>
      <c r="V976" s="40"/>
      <c r="W976" s="40"/>
      <c r="X976" s="22"/>
      <c r="Y976" s="22"/>
      <c r="Z976" s="22"/>
      <c r="AA976" s="22"/>
      <c r="AB976" s="22"/>
      <c r="AC976" s="22"/>
      <c r="AD976" s="22"/>
      <c r="AE976" s="22"/>
      <c r="AF976" s="22"/>
      <c r="AG976" s="22"/>
      <c r="AH976" s="22"/>
      <c r="AI976" s="22"/>
      <c r="AJ976" s="40"/>
      <c r="AK976" s="22"/>
      <c r="AL976" s="22"/>
      <c r="AM976" s="22"/>
      <c r="AN976" s="22"/>
      <c r="AO976" s="40"/>
      <c r="AP976" s="40"/>
      <c r="AQ976" s="40"/>
      <c r="AR976" s="1"/>
      <c r="AS976" s="1"/>
      <c r="AT976" s="17"/>
      <c r="AU976" s="1"/>
      <c r="AV976" s="1"/>
      <c r="AW976" s="1"/>
      <c r="AX976" s="2"/>
      <c r="AY976" s="2"/>
      <c r="AZ976" s="1"/>
    </row>
    <row x14ac:dyDescent="0.25" r="977" customHeight="1" ht="18.75">
      <c r="A977" s="1"/>
      <c r="B977" s="1"/>
      <c r="C977" s="1"/>
      <c r="D977" s="1"/>
      <c r="E977" s="1"/>
      <c r="F977" s="1"/>
      <c r="G977" s="1"/>
      <c r="H977" s="1"/>
      <c r="I977" s="1"/>
      <c r="J977" s="1"/>
      <c r="K977" s="17"/>
      <c r="L977" s="1"/>
      <c r="M977" s="1"/>
      <c r="N977" s="2"/>
      <c r="O977" s="2"/>
      <c r="P977" s="1"/>
      <c r="Q977" s="1"/>
      <c r="R977" s="1"/>
      <c r="S977" s="1"/>
      <c r="T977" s="40"/>
      <c r="U977" s="40"/>
      <c r="V977" s="40"/>
      <c r="W977" s="40"/>
      <c r="X977" s="22"/>
      <c r="Y977" s="22"/>
      <c r="Z977" s="22"/>
      <c r="AA977" s="22"/>
      <c r="AB977" s="22"/>
      <c r="AC977" s="22"/>
      <c r="AD977" s="22"/>
      <c r="AE977" s="22"/>
      <c r="AF977" s="22"/>
      <c r="AG977" s="22"/>
      <c r="AH977" s="22"/>
      <c r="AI977" s="22"/>
      <c r="AJ977" s="40"/>
      <c r="AK977" s="22"/>
      <c r="AL977" s="22"/>
      <c r="AM977" s="22"/>
      <c r="AN977" s="22"/>
      <c r="AO977" s="40"/>
      <c r="AP977" s="40"/>
      <c r="AQ977" s="40"/>
      <c r="AR977" s="1"/>
      <c r="AS977" s="1"/>
      <c r="AT977" s="17"/>
      <c r="AU977" s="1"/>
      <c r="AV977" s="1"/>
      <c r="AW977" s="1"/>
      <c r="AX977" s="2"/>
      <c r="AY977" s="2"/>
      <c r="AZ977" s="1"/>
    </row>
    <row x14ac:dyDescent="0.25" r="978" customHeight="1" ht="18.75">
      <c r="A978" s="1"/>
      <c r="B978" s="1"/>
      <c r="C978" s="1"/>
      <c r="D978" s="1"/>
      <c r="E978" s="1"/>
      <c r="F978" s="1"/>
      <c r="G978" s="1"/>
      <c r="H978" s="1"/>
      <c r="I978" s="1"/>
      <c r="J978" s="1"/>
      <c r="K978" s="17"/>
      <c r="L978" s="1"/>
      <c r="M978" s="1"/>
      <c r="N978" s="2"/>
      <c r="O978" s="2"/>
      <c r="P978" s="1"/>
      <c r="Q978" s="1"/>
      <c r="R978" s="1"/>
      <c r="S978" s="1"/>
      <c r="T978" s="40"/>
      <c r="U978" s="40"/>
      <c r="V978" s="40"/>
      <c r="W978" s="40"/>
      <c r="X978" s="22"/>
      <c r="Y978" s="22"/>
      <c r="Z978" s="22"/>
      <c r="AA978" s="22"/>
      <c r="AB978" s="22"/>
      <c r="AC978" s="22"/>
      <c r="AD978" s="22"/>
      <c r="AE978" s="22"/>
      <c r="AF978" s="22"/>
      <c r="AG978" s="22"/>
      <c r="AH978" s="22"/>
      <c r="AI978" s="22"/>
      <c r="AJ978" s="40"/>
      <c r="AK978" s="22"/>
      <c r="AL978" s="22"/>
      <c r="AM978" s="22"/>
      <c r="AN978" s="22"/>
      <c r="AO978" s="40"/>
      <c r="AP978" s="40"/>
      <c r="AQ978" s="40"/>
      <c r="AR978" s="1"/>
      <c r="AS978" s="1"/>
      <c r="AT978" s="17"/>
      <c r="AU978" s="1"/>
      <c r="AV978" s="1"/>
      <c r="AW978" s="1"/>
      <c r="AX978" s="2"/>
      <c r="AY978" s="2"/>
      <c r="AZ978" s="1"/>
    </row>
    <row x14ac:dyDescent="0.25" r="979" customHeight="1" ht="18.75">
      <c r="A979" s="1"/>
      <c r="B979" s="1"/>
      <c r="C979" s="1"/>
      <c r="D979" s="1"/>
      <c r="E979" s="1"/>
      <c r="F979" s="1"/>
      <c r="G979" s="1"/>
      <c r="H979" s="1"/>
      <c r="I979" s="1"/>
      <c r="J979" s="1"/>
      <c r="K979" s="17"/>
      <c r="L979" s="1"/>
      <c r="M979" s="1"/>
      <c r="N979" s="2"/>
      <c r="O979" s="2"/>
      <c r="P979" s="1"/>
      <c r="Q979" s="1"/>
      <c r="R979" s="1"/>
      <c r="S979" s="1"/>
      <c r="T979" s="40"/>
      <c r="U979" s="40"/>
      <c r="V979" s="40"/>
      <c r="W979" s="40"/>
      <c r="X979" s="22"/>
      <c r="Y979" s="22"/>
      <c r="Z979" s="22"/>
      <c r="AA979" s="22"/>
      <c r="AB979" s="22"/>
      <c r="AC979" s="22"/>
      <c r="AD979" s="22"/>
      <c r="AE979" s="22"/>
      <c r="AF979" s="22"/>
      <c r="AG979" s="22"/>
      <c r="AH979" s="22"/>
      <c r="AI979" s="22"/>
      <c r="AJ979" s="40"/>
      <c r="AK979" s="22"/>
      <c r="AL979" s="22"/>
      <c r="AM979" s="22"/>
      <c r="AN979" s="22"/>
      <c r="AO979" s="40"/>
      <c r="AP979" s="40"/>
      <c r="AQ979" s="40"/>
      <c r="AR979" s="1"/>
      <c r="AS979" s="1"/>
      <c r="AT979" s="17"/>
      <c r="AU979" s="1"/>
      <c r="AV979" s="1"/>
      <c r="AW979" s="1"/>
      <c r="AX979" s="2"/>
      <c r="AY979" s="2"/>
      <c r="AZ979" s="1"/>
    </row>
    <row x14ac:dyDescent="0.25" r="980" customHeight="1" ht="18.75">
      <c r="A980" s="1"/>
      <c r="B980" s="1"/>
      <c r="C980" s="1"/>
      <c r="D980" s="1"/>
      <c r="E980" s="1"/>
      <c r="F980" s="1"/>
      <c r="G980" s="1"/>
      <c r="H980" s="1"/>
      <c r="I980" s="1"/>
      <c r="J980" s="1"/>
      <c r="K980" s="17"/>
      <c r="L980" s="1"/>
      <c r="M980" s="1"/>
      <c r="N980" s="2"/>
      <c r="O980" s="2"/>
      <c r="P980" s="1"/>
      <c r="Q980" s="1"/>
      <c r="R980" s="1"/>
      <c r="S980" s="1"/>
      <c r="T980" s="40"/>
      <c r="U980" s="40"/>
      <c r="V980" s="40"/>
      <c r="W980" s="40"/>
      <c r="X980" s="22"/>
      <c r="Y980" s="22"/>
      <c r="Z980" s="22"/>
      <c r="AA980" s="22"/>
      <c r="AB980" s="22"/>
      <c r="AC980" s="22"/>
      <c r="AD980" s="22"/>
      <c r="AE980" s="22"/>
      <c r="AF980" s="22"/>
      <c r="AG980" s="22"/>
      <c r="AH980" s="22"/>
      <c r="AI980" s="22"/>
      <c r="AJ980" s="40"/>
      <c r="AK980" s="22"/>
      <c r="AL980" s="22"/>
      <c r="AM980" s="22"/>
      <c r="AN980" s="22"/>
      <c r="AO980" s="40"/>
      <c r="AP980" s="40"/>
      <c r="AQ980" s="40"/>
      <c r="AR980" s="1"/>
      <c r="AS980" s="1"/>
      <c r="AT980" s="17"/>
      <c r="AU980" s="1"/>
      <c r="AV980" s="1"/>
      <c r="AW980" s="1"/>
      <c r="AX980" s="2"/>
      <c r="AY980" s="2"/>
      <c r="AZ980" s="1"/>
    </row>
    <row x14ac:dyDescent="0.25" r="981" customHeight="1" ht="18.75">
      <c r="A981" s="1"/>
      <c r="B981" s="1"/>
      <c r="C981" s="1"/>
      <c r="D981" s="1"/>
      <c r="E981" s="1"/>
      <c r="F981" s="1"/>
      <c r="G981" s="1"/>
      <c r="H981" s="1"/>
      <c r="I981" s="1"/>
      <c r="J981" s="1"/>
      <c r="K981" s="17"/>
      <c r="L981" s="1"/>
      <c r="M981" s="1"/>
      <c r="N981" s="2"/>
      <c r="O981" s="2"/>
      <c r="P981" s="1"/>
      <c r="Q981" s="1"/>
      <c r="R981" s="1"/>
      <c r="S981" s="1"/>
      <c r="T981" s="40"/>
      <c r="U981" s="40"/>
      <c r="V981" s="40"/>
      <c r="W981" s="40"/>
      <c r="X981" s="22"/>
      <c r="Y981" s="22"/>
      <c r="Z981" s="22"/>
      <c r="AA981" s="22"/>
      <c r="AB981" s="22"/>
      <c r="AC981" s="22"/>
      <c r="AD981" s="22"/>
      <c r="AE981" s="22"/>
      <c r="AF981" s="22"/>
      <c r="AG981" s="22"/>
      <c r="AH981" s="22"/>
      <c r="AI981" s="22"/>
      <c r="AJ981" s="40"/>
      <c r="AK981" s="22"/>
      <c r="AL981" s="22"/>
      <c r="AM981" s="22"/>
      <c r="AN981" s="22"/>
      <c r="AO981" s="40"/>
      <c r="AP981" s="40"/>
      <c r="AQ981" s="40"/>
      <c r="AR981" s="1"/>
      <c r="AS981" s="1"/>
      <c r="AT981" s="17"/>
      <c r="AU981" s="1"/>
      <c r="AV981" s="1"/>
      <c r="AW981" s="1"/>
      <c r="AX981" s="2"/>
      <c r="AY981" s="2"/>
      <c r="AZ981" s="1"/>
    </row>
    <row x14ac:dyDescent="0.25" r="982" customHeight="1" ht="18.75">
      <c r="A982" s="1"/>
      <c r="B982" s="1"/>
      <c r="C982" s="1"/>
      <c r="D982" s="1"/>
      <c r="E982" s="1"/>
      <c r="F982" s="1"/>
      <c r="G982" s="1"/>
      <c r="H982" s="1"/>
      <c r="I982" s="1"/>
      <c r="J982" s="1"/>
      <c r="K982" s="17"/>
      <c r="L982" s="1"/>
      <c r="M982" s="1"/>
      <c r="N982" s="2"/>
      <c r="O982" s="2"/>
      <c r="P982" s="1"/>
      <c r="Q982" s="1"/>
      <c r="R982" s="1"/>
      <c r="S982" s="1"/>
      <c r="T982" s="40"/>
      <c r="U982" s="40"/>
      <c r="V982" s="40"/>
      <c r="W982" s="40"/>
      <c r="X982" s="22"/>
      <c r="Y982" s="22"/>
      <c r="Z982" s="22"/>
      <c r="AA982" s="22"/>
      <c r="AB982" s="22"/>
      <c r="AC982" s="22"/>
      <c r="AD982" s="22"/>
      <c r="AE982" s="22"/>
      <c r="AF982" s="22"/>
      <c r="AG982" s="22"/>
      <c r="AH982" s="22"/>
      <c r="AI982" s="22"/>
      <c r="AJ982" s="40"/>
      <c r="AK982" s="22"/>
      <c r="AL982" s="22"/>
      <c r="AM982" s="22"/>
      <c r="AN982" s="22"/>
      <c r="AO982" s="40"/>
      <c r="AP982" s="40"/>
      <c r="AQ982" s="40"/>
      <c r="AR982" s="1"/>
      <c r="AS982" s="1"/>
      <c r="AT982" s="17"/>
      <c r="AU982" s="1"/>
      <c r="AV982" s="1"/>
      <c r="AW982" s="1"/>
      <c r="AX982" s="2"/>
      <c r="AY982" s="2"/>
      <c r="AZ982" s="1"/>
    </row>
    <row x14ac:dyDescent="0.25" r="983" customHeight="1" ht="18.75">
      <c r="A983" s="1"/>
      <c r="B983" s="1"/>
      <c r="C983" s="1"/>
      <c r="D983" s="1"/>
      <c r="E983" s="1"/>
      <c r="F983" s="1"/>
      <c r="G983" s="1"/>
      <c r="H983" s="1"/>
      <c r="I983" s="1"/>
      <c r="J983" s="1"/>
      <c r="K983" s="17"/>
      <c r="L983" s="1"/>
      <c r="M983" s="1"/>
      <c r="N983" s="2"/>
      <c r="O983" s="2"/>
      <c r="P983" s="1"/>
      <c r="Q983" s="1"/>
      <c r="R983" s="1"/>
      <c r="S983" s="1"/>
      <c r="T983" s="40"/>
      <c r="U983" s="40"/>
      <c r="V983" s="40"/>
      <c r="W983" s="40"/>
      <c r="X983" s="22"/>
      <c r="Y983" s="22"/>
      <c r="Z983" s="22"/>
      <c r="AA983" s="22"/>
      <c r="AB983" s="22"/>
      <c r="AC983" s="22"/>
      <c r="AD983" s="22"/>
      <c r="AE983" s="22"/>
      <c r="AF983" s="22"/>
      <c r="AG983" s="22"/>
      <c r="AH983" s="22"/>
      <c r="AI983" s="22"/>
      <c r="AJ983" s="40"/>
      <c r="AK983" s="22"/>
      <c r="AL983" s="22"/>
      <c r="AM983" s="22"/>
      <c r="AN983" s="22"/>
      <c r="AO983" s="40"/>
      <c r="AP983" s="40"/>
      <c r="AQ983" s="40"/>
      <c r="AR983" s="1"/>
      <c r="AS983" s="1"/>
      <c r="AT983" s="17"/>
      <c r="AU983" s="1"/>
      <c r="AV983" s="1"/>
      <c r="AW983" s="1"/>
      <c r="AX983" s="2"/>
      <c r="AY983" s="2"/>
      <c r="AZ983" s="1"/>
    </row>
    <row x14ac:dyDescent="0.25" r="984" customHeight="1" ht="18.75">
      <c r="A984" s="1"/>
      <c r="B984" s="1"/>
      <c r="C984" s="1"/>
      <c r="D984" s="1"/>
      <c r="E984" s="1"/>
      <c r="F984" s="1"/>
      <c r="G984" s="1"/>
      <c r="H984" s="1"/>
      <c r="I984" s="1"/>
      <c r="J984" s="1"/>
      <c r="K984" s="17"/>
      <c r="L984" s="1"/>
      <c r="M984" s="1"/>
      <c r="N984" s="2"/>
      <c r="O984" s="2"/>
      <c r="P984" s="1"/>
      <c r="Q984" s="1"/>
      <c r="R984" s="1"/>
      <c r="S984" s="1"/>
      <c r="T984" s="40"/>
      <c r="U984" s="40"/>
      <c r="V984" s="40"/>
      <c r="W984" s="40"/>
      <c r="X984" s="22"/>
      <c r="Y984" s="22"/>
      <c r="Z984" s="22"/>
      <c r="AA984" s="22"/>
      <c r="AB984" s="22"/>
      <c r="AC984" s="22"/>
      <c r="AD984" s="22"/>
      <c r="AE984" s="22"/>
      <c r="AF984" s="22"/>
      <c r="AG984" s="22"/>
      <c r="AH984" s="22"/>
      <c r="AI984" s="22"/>
      <c r="AJ984" s="40"/>
      <c r="AK984" s="22"/>
      <c r="AL984" s="22"/>
      <c r="AM984" s="22"/>
      <c r="AN984" s="22"/>
      <c r="AO984" s="40"/>
      <c r="AP984" s="40"/>
      <c r="AQ984" s="40"/>
      <c r="AR984" s="1"/>
      <c r="AS984" s="1"/>
      <c r="AT984" s="17"/>
      <c r="AU984" s="1"/>
      <c r="AV984" s="1"/>
      <c r="AW984" s="1"/>
      <c r="AX984" s="2"/>
      <c r="AY984" s="2"/>
      <c r="AZ984" s="1"/>
    </row>
    <row x14ac:dyDescent="0.25" r="985" customHeight="1" ht="18.75">
      <c r="A985" s="1"/>
      <c r="B985" s="1"/>
      <c r="C985" s="1"/>
      <c r="D985" s="1"/>
      <c r="E985" s="1"/>
      <c r="F985" s="1"/>
      <c r="G985" s="1"/>
      <c r="H985" s="1"/>
      <c r="I985" s="1"/>
      <c r="J985" s="1"/>
      <c r="K985" s="17"/>
      <c r="L985" s="1"/>
      <c r="M985" s="1"/>
      <c r="N985" s="2"/>
      <c r="O985" s="2"/>
      <c r="P985" s="1"/>
      <c r="Q985" s="1"/>
      <c r="R985" s="1"/>
      <c r="S985" s="1"/>
      <c r="T985" s="40"/>
      <c r="U985" s="40"/>
      <c r="V985" s="40"/>
      <c r="W985" s="40"/>
      <c r="X985" s="22"/>
      <c r="Y985" s="22"/>
      <c r="Z985" s="22"/>
      <c r="AA985" s="22"/>
      <c r="AB985" s="22"/>
      <c r="AC985" s="22"/>
      <c r="AD985" s="22"/>
      <c r="AE985" s="22"/>
      <c r="AF985" s="22"/>
      <c r="AG985" s="22"/>
      <c r="AH985" s="22"/>
      <c r="AI985" s="22"/>
      <c r="AJ985" s="40"/>
      <c r="AK985" s="22"/>
      <c r="AL985" s="22"/>
      <c r="AM985" s="22"/>
      <c r="AN985" s="22"/>
      <c r="AO985" s="40"/>
      <c r="AP985" s="40"/>
      <c r="AQ985" s="40"/>
      <c r="AR985" s="1"/>
      <c r="AS985" s="1"/>
      <c r="AT985" s="17"/>
      <c r="AU985" s="1"/>
      <c r="AV985" s="1"/>
      <c r="AW985" s="1"/>
      <c r="AX985" s="2"/>
      <c r="AY985" s="2"/>
      <c r="AZ985" s="1"/>
    </row>
    <row x14ac:dyDescent="0.25" r="986" customHeight="1" ht="18.75">
      <c r="A986" s="1"/>
      <c r="B986" s="1"/>
      <c r="C986" s="1"/>
      <c r="D986" s="1"/>
      <c r="E986" s="1"/>
      <c r="F986" s="1"/>
      <c r="G986" s="1"/>
      <c r="H986" s="1"/>
      <c r="I986" s="1"/>
      <c r="J986" s="1"/>
      <c r="K986" s="17"/>
      <c r="L986" s="1"/>
      <c r="M986" s="1"/>
      <c r="N986" s="2"/>
      <c r="O986" s="2"/>
      <c r="P986" s="1"/>
      <c r="Q986" s="1"/>
      <c r="R986" s="1"/>
      <c r="S986" s="1"/>
      <c r="T986" s="40"/>
      <c r="U986" s="40"/>
      <c r="V986" s="40"/>
      <c r="W986" s="40"/>
      <c r="X986" s="22"/>
      <c r="Y986" s="22"/>
      <c r="Z986" s="22"/>
      <c r="AA986" s="22"/>
      <c r="AB986" s="22"/>
      <c r="AC986" s="22"/>
      <c r="AD986" s="22"/>
      <c r="AE986" s="22"/>
      <c r="AF986" s="22"/>
      <c r="AG986" s="22"/>
      <c r="AH986" s="22"/>
      <c r="AI986" s="22"/>
      <c r="AJ986" s="40"/>
      <c r="AK986" s="22"/>
      <c r="AL986" s="22"/>
      <c r="AM986" s="22"/>
      <c r="AN986" s="22"/>
      <c r="AO986" s="40"/>
      <c r="AP986" s="40"/>
      <c r="AQ986" s="40"/>
      <c r="AR986" s="1"/>
      <c r="AS986" s="1"/>
      <c r="AT986" s="17"/>
      <c r="AU986" s="1"/>
      <c r="AV986" s="1"/>
      <c r="AW986" s="1"/>
      <c r="AX986" s="2"/>
      <c r="AY986" s="2"/>
      <c r="AZ986" s="1"/>
    </row>
    <row x14ac:dyDescent="0.25" r="987" customHeight="1" ht="18.75">
      <c r="A987" s="1"/>
      <c r="B987" s="1"/>
      <c r="C987" s="1"/>
      <c r="D987" s="1"/>
      <c r="E987" s="1"/>
      <c r="F987" s="1"/>
      <c r="G987" s="1"/>
      <c r="H987" s="1"/>
      <c r="I987" s="1"/>
      <c r="J987" s="1"/>
      <c r="K987" s="17"/>
      <c r="L987" s="1"/>
      <c r="M987" s="1"/>
      <c r="N987" s="2"/>
      <c r="O987" s="2"/>
      <c r="P987" s="1"/>
      <c r="Q987" s="1"/>
      <c r="R987" s="1"/>
      <c r="S987" s="1"/>
      <c r="T987" s="40"/>
      <c r="U987" s="40"/>
      <c r="V987" s="40"/>
      <c r="W987" s="40"/>
      <c r="X987" s="22"/>
      <c r="Y987" s="22"/>
      <c r="Z987" s="22"/>
      <c r="AA987" s="22"/>
      <c r="AB987" s="22"/>
      <c r="AC987" s="22"/>
      <c r="AD987" s="22"/>
      <c r="AE987" s="22"/>
      <c r="AF987" s="22"/>
      <c r="AG987" s="22"/>
      <c r="AH987" s="22"/>
      <c r="AI987" s="22"/>
      <c r="AJ987" s="40"/>
      <c r="AK987" s="22"/>
      <c r="AL987" s="22"/>
      <c r="AM987" s="22"/>
      <c r="AN987" s="22"/>
      <c r="AO987" s="40"/>
      <c r="AP987" s="40"/>
      <c r="AQ987" s="40"/>
      <c r="AR987" s="1"/>
      <c r="AS987" s="1"/>
      <c r="AT987" s="17"/>
      <c r="AU987" s="1"/>
      <c r="AV987" s="1"/>
      <c r="AW987" s="1"/>
      <c r="AX987" s="2"/>
      <c r="AY987" s="2"/>
      <c r="AZ987" s="1"/>
    </row>
    <row x14ac:dyDescent="0.25" r="988" customHeight="1" ht="18.75">
      <c r="A988" s="1"/>
      <c r="B988" s="1"/>
      <c r="C988" s="1"/>
      <c r="D988" s="1"/>
      <c r="E988" s="1"/>
      <c r="F988" s="1"/>
      <c r="G988" s="1"/>
      <c r="H988" s="1"/>
      <c r="I988" s="1"/>
      <c r="J988" s="1"/>
      <c r="K988" s="17"/>
      <c r="L988" s="1"/>
      <c r="M988" s="1"/>
      <c r="N988" s="2"/>
      <c r="O988" s="2"/>
      <c r="P988" s="1"/>
      <c r="Q988" s="1"/>
      <c r="R988" s="1"/>
      <c r="S988" s="1"/>
      <c r="T988" s="40"/>
      <c r="U988" s="40"/>
      <c r="V988" s="40"/>
      <c r="W988" s="40"/>
      <c r="X988" s="22"/>
      <c r="Y988" s="22"/>
      <c r="Z988" s="22"/>
      <c r="AA988" s="22"/>
      <c r="AB988" s="22"/>
      <c r="AC988" s="22"/>
      <c r="AD988" s="22"/>
      <c r="AE988" s="22"/>
      <c r="AF988" s="22"/>
      <c r="AG988" s="22"/>
      <c r="AH988" s="22"/>
      <c r="AI988" s="22"/>
      <c r="AJ988" s="40"/>
      <c r="AK988" s="22"/>
      <c r="AL988" s="22"/>
      <c r="AM988" s="22"/>
      <c r="AN988" s="22"/>
      <c r="AO988" s="40"/>
      <c r="AP988" s="40"/>
      <c r="AQ988" s="40"/>
      <c r="AR988" s="1"/>
      <c r="AS988" s="1"/>
      <c r="AT988" s="17"/>
      <c r="AU988" s="1"/>
      <c r="AV988" s="1"/>
      <c r="AW988" s="1"/>
      <c r="AX988" s="2"/>
      <c r="AY988" s="2"/>
      <c r="AZ988" s="1"/>
    </row>
    <row x14ac:dyDescent="0.25" r="989" customHeight="1" ht="18.75">
      <c r="A989" s="1"/>
      <c r="B989" s="1"/>
      <c r="C989" s="1"/>
      <c r="D989" s="1"/>
      <c r="E989" s="1"/>
      <c r="F989" s="1"/>
      <c r="G989" s="1"/>
      <c r="H989" s="1"/>
      <c r="I989" s="1"/>
      <c r="J989" s="1"/>
      <c r="K989" s="17"/>
      <c r="L989" s="1"/>
      <c r="M989" s="1"/>
      <c r="N989" s="2"/>
      <c r="O989" s="2"/>
      <c r="P989" s="1"/>
      <c r="Q989" s="1"/>
      <c r="R989" s="1"/>
      <c r="S989" s="1"/>
      <c r="T989" s="40"/>
      <c r="U989" s="40"/>
      <c r="V989" s="40"/>
      <c r="W989" s="40"/>
      <c r="X989" s="22"/>
      <c r="Y989" s="22"/>
      <c r="Z989" s="22"/>
      <c r="AA989" s="22"/>
      <c r="AB989" s="22"/>
      <c r="AC989" s="22"/>
      <c r="AD989" s="22"/>
      <c r="AE989" s="22"/>
      <c r="AF989" s="22"/>
      <c r="AG989" s="22"/>
      <c r="AH989" s="22"/>
      <c r="AI989" s="22"/>
      <c r="AJ989" s="40"/>
      <c r="AK989" s="22"/>
      <c r="AL989" s="22"/>
      <c r="AM989" s="22"/>
      <c r="AN989" s="22"/>
      <c r="AO989" s="40"/>
      <c r="AP989" s="40"/>
      <c r="AQ989" s="40"/>
      <c r="AR989" s="1"/>
      <c r="AS989" s="1"/>
      <c r="AT989" s="17"/>
      <c r="AU989" s="1"/>
      <c r="AV989" s="1"/>
      <c r="AW989" s="1"/>
      <c r="AX989" s="2"/>
      <c r="AY989" s="2"/>
      <c r="AZ989" s="1"/>
    </row>
    <row x14ac:dyDescent="0.25" r="990" customHeight="1" ht="18.75">
      <c r="A990" s="1"/>
      <c r="B990" s="1"/>
      <c r="C990" s="1"/>
      <c r="D990" s="1"/>
      <c r="E990" s="1"/>
      <c r="F990" s="1"/>
      <c r="G990" s="1"/>
      <c r="H990" s="1"/>
      <c r="I990" s="1"/>
      <c r="J990" s="1"/>
      <c r="K990" s="17"/>
      <c r="L990" s="1"/>
      <c r="M990" s="1"/>
      <c r="N990" s="2"/>
      <c r="O990" s="2"/>
      <c r="P990" s="1"/>
      <c r="Q990" s="1"/>
      <c r="R990" s="1"/>
      <c r="S990" s="1"/>
      <c r="T990" s="40"/>
      <c r="U990" s="40"/>
      <c r="V990" s="40"/>
      <c r="W990" s="40"/>
      <c r="X990" s="22"/>
      <c r="Y990" s="22"/>
      <c r="Z990" s="22"/>
      <c r="AA990" s="22"/>
      <c r="AB990" s="22"/>
      <c r="AC990" s="22"/>
      <c r="AD990" s="22"/>
      <c r="AE990" s="22"/>
      <c r="AF990" s="22"/>
      <c r="AG990" s="22"/>
      <c r="AH990" s="22"/>
      <c r="AI990" s="22"/>
      <c r="AJ990" s="40"/>
      <c r="AK990" s="22"/>
      <c r="AL990" s="22"/>
      <c r="AM990" s="22"/>
      <c r="AN990" s="22"/>
      <c r="AO990" s="40"/>
      <c r="AP990" s="40"/>
      <c r="AQ990" s="40"/>
      <c r="AR990" s="1"/>
      <c r="AS990" s="1"/>
      <c r="AT990" s="17"/>
      <c r="AU990" s="1"/>
      <c r="AV990" s="1"/>
      <c r="AW990" s="1"/>
      <c r="AX990" s="2"/>
      <c r="AY990" s="2"/>
      <c r="AZ990" s="1"/>
    </row>
    <row x14ac:dyDescent="0.25" r="991" customHeight="1" ht="18.75">
      <c r="A991" s="1"/>
      <c r="B991" s="1"/>
      <c r="C991" s="1"/>
      <c r="D991" s="1"/>
      <c r="E991" s="1"/>
      <c r="F991" s="1"/>
      <c r="G991" s="1"/>
      <c r="H991" s="1"/>
      <c r="I991" s="1"/>
      <c r="J991" s="1"/>
      <c r="K991" s="17"/>
      <c r="L991" s="1"/>
      <c r="M991" s="1"/>
      <c r="N991" s="2"/>
      <c r="O991" s="2"/>
      <c r="P991" s="1"/>
      <c r="Q991" s="1"/>
      <c r="R991" s="1"/>
      <c r="S991" s="1"/>
      <c r="T991" s="40"/>
      <c r="U991" s="40"/>
      <c r="V991" s="40"/>
      <c r="W991" s="40"/>
      <c r="X991" s="22"/>
      <c r="Y991" s="22"/>
      <c r="Z991" s="22"/>
      <c r="AA991" s="22"/>
      <c r="AB991" s="22"/>
      <c r="AC991" s="22"/>
      <c r="AD991" s="22"/>
      <c r="AE991" s="22"/>
      <c r="AF991" s="22"/>
      <c r="AG991" s="22"/>
      <c r="AH991" s="22"/>
      <c r="AI991" s="22"/>
      <c r="AJ991" s="40"/>
      <c r="AK991" s="22"/>
      <c r="AL991" s="22"/>
      <c r="AM991" s="22"/>
      <c r="AN991" s="22"/>
      <c r="AO991" s="40"/>
      <c r="AP991" s="40"/>
      <c r="AQ991" s="40"/>
      <c r="AR991" s="1"/>
      <c r="AS991" s="1"/>
      <c r="AT991" s="17"/>
      <c r="AU991" s="1"/>
      <c r="AV991" s="1"/>
      <c r="AW991" s="1"/>
      <c r="AX991" s="2"/>
      <c r="AY991" s="2"/>
      <c r="AZ991" s="1"/>
    </row>
    <row x14ac:dyDescent="0.25" r="992" customHeight="1" ht="18.75">
      <c r="A992" s="1"/>
      <c r="B992" s="1"/>
      <c r="C992" s="1"/>
      <c r="D992" s="1"/>
      <c r="E992" s="1"/>
      <c r="F992" s="1"/>
      <c r="G992" s="1"/>
      <c r="H992" s="1"/>
      <c r="I992" s="1"/>
      <c r="J992" s="1"/>
      <c r="K992" s="17"/>
      <c r="L992" s="1"/>
      <c r="M992" s="1"/>
      <c r="N992" s="2"/>
      <c r="O992" s="2"/>
      <c r="P992" s="1"/>
      <c r="Q992" s="1"/>
      <c r="R992" s="1"/>
      <c r="S992" s="1"/>
      <c r="T992" s="40"/>
      <c r="U992" s="40"/>
      <c r="V992" s="40"/>
      <c r="W992" s="40"/>
      <c r="X992" s="22"/>
      <c r="Y992" s="22"/>
      <c r="Z992" s="22"/>
      <c r="AA992" s="22"/>
      <c r="AB992" s="22"/>
      <c r="AC992" s="22"/>
      <c r="AD992" s="22"/>
      <c r="AE992" s="22"/>
      <c r="AF992" s="22"/>
      <c r="AG992" s="22"/>
      <c r="AH992" s="22"/>
      <c r="AI992" s="22"/>
      <c r="AJ992" s="40"/>
      <c r="AK992" s="22"/>
      <c r="AL992" s="22"/>
      <c r="AM992" s="22"/>
      <c r="AN992" s="22"/>
      <c r="AO992" s="40"/>
      <c r="AP992" s="40"/>
      <c r="AQ992" s="40"/>
      <c r="AR992" s="1"/>
      <c r="AS992" s="1"/>
      <c r="AT992" s="17"/>
      <c r="AU992" s="1"/>
      <c r="AV992" s="1"/>
      <c r="AW992" s="1"/>
      <c r="AX992" s="2"/>
      <c r="AY992" s="2"/>
      <c r="AZ992" s="1"/>
    </row>
    <row x14ac:dyDescent="0.25" r="993" customHeight="1" ht="18.75">
      <c r="A993" s="1"/>
      <c r="B993" s="1"/>
      <c r="C993" s="1"/>
      <c r="D993" s="1"/>
      <c r="E993" s="1"/>
      <c r="F993" s="1"/>
      <c r="G993" s="1"/>
      <c r="H993" s="1"/>
      <c r="I993" s="1"/>
      <c r="J993" s="1"/>
      <c r="K993" s="17"/>
      <c r="L993" s="1"/>
      <c r="M993" s="1"/>
      <c r="N993" s="2"/>
      <c r="O993" s="2"/>
      <c r="P993" s="1"/>
      <c r="Q993" s="1"/>
      <c r="R993" s="1"/>
      <c r="S993" s="1"/>
      <c r="T993" s="40"/>
      <c r="U993" s="40"/>
      <c r="V993" s="40"/>
      <c r="W993" s="40"/>
      <c r="X993" s="22"/>
      <c r="Y993" s="22"/>
      <c r="Z993" s="22"/>
      <c r="AA993" s="22"/>
      <c r="AB993" s="22"/>
      <c r="AC993" s="22"/>
      <c r="AD993" s="22"/>
      <c r="AE993" s="22"/>
      <c r="AF993" s="22"/>
      <c r="AG993" s="22"/>
      <c r="AH993" s="22"/>
      <c r="AI993" s="22"/>
      <c r="AJ993" s="40"/>
      <c r="AK993" s="22"/>
      <c r="AL993" s="22"/>
      <c r="AM993" s="22"/>
      <c r="AN993" s="22"/>
      <c r="AO993" s="40"/>
      <c r="AP993" s="40"/>
      <c r="AQ993" s="40"/>
      <c r="AR993" s="1"/>
      <c r="AS993" s="1"/>
      <c r="AT993" s="17"/>
      <c r="AU993" s="1"/>
      <c r="AV993" s="1"/>
      <c r="AW993" s="1"/>
      <c r="AX993" s="2"/>
      <c r="AY993" s="2"/>
      <c r="AZ993" s="1"/>
    </row>
    <row x14ac:dyDescent="0.25" r="994" customHeight="1" ht="18.75">
      <c r="A994" s="1"/>
      <c r="B994" s="1"/>
      <c r="C994" s="1"/>
      <c r="D994" s="1"/>
      <c r="E994" s="1"/>
      <c r="F994" s="1"/>
      <c r="G994" s="1"/>
      <c r="H994" s="1"/>
      <c r="I994" s="1"/>
      <c r="J994" s="1"/>
      <c r="K994" s="17"/>
      <c r="L994" s="1"/>
      <c r="M994" s="1"/>
      <c r="N994" s="2"/>
      <c r="O994" s="2"/>
      <c r="P994" s="1"/>
      <c r="Q994" s="1"/>
      <c r="R994" s="1"/>
      <c r="S994" s="1"/>
      <c r="T994" s="40"/>
      <c r="U994" s="40"/>
      <c r="V994" s="40"/>
      <c r="W994" s="40"/>
      <c r="X994" s="22"/>
      <c r="Y994" s="22"/>
      <c r="Z994" s="22"/>
      <c r="AA994" s="22"/>
      <c r="AB994" s="22"/>
      <c r="AC994" s="22"/>
      <c r="AD994" s="22"/>
      <c r="AE994" s="22"/>
      <c r="AF994" s="22"/>
      <c r="AG994" s="22"/>
      <c r="AH994" s="22"/>
      <c r="AI994" s="22"/>
      <c r="AJ994" s="40"/>
      <c r="AK994" s="22"/>
      <c r="AL994" s="22"/>
      <c r="AM994" s="22"/>
      <c r="AN994" s="22"/>
      <c r="AO994" s="40"/>
      <c r="AP994" s="40"/>
      <c r="AQ994" s="40"/>
      <c r="AR994" s="1"/>
      <c r="AS994" s="1"/>
      <c r="AT994" s="17"/>
      <c r="AU994" s="1"/>
      <c r="AV994" s="1"/>
      <c r="AW994" s="1"/>
      <c r="AX994" s="2"/>
      <c r="AY994" s="2"/>
      <c r="AZ994" s="1"/>
    </row>
    <row x14ac:dyDescent="0.25" r="995" customHeight="1" ht="18.75">
      <c r="A995" s="1"/>
      <c r="B995" s="1"/>
      <c r="C995" s="1"/>
      <c r="D995" s="1"/>
      <c r="E995" s="1"/>
      <c r="F995" s="1"/>
      <c r="G995" s="1"/>
      <c r="H995" s="1"/>
      <c r="I995" s="1"/>
      <c r="J995" s="1"/>
      <c r="K995" s="17"/>
      <c r="L995" s="1"/>
      <c r="M995" s="1"/>
      <c r="N995" s="2"/>
      <c r="O995" s="2"/>
      <c r="P995" s="1"/>
      <c r="Q995" s="1"/>
      <c r="R995" s="1"/>
      <c r="S995" s="1"/>
      <c r="T995" s="40"/>
      <c r="U995" s="40"/>
      <c r="V995" s="40"/>
      <c r="W995" s="40"/>
      <c r="X995" s="22"/>
      <c r="Y995" s="22"/>
      <c r="Z995" s="22"/>
      <c r="AA995" s="22"/>
      <c r="AB995" s="22"/>
      <c r="AC995" s="22"/>
      <c r="AD995" s="22"/>
      <c r="AE995" s="22"/>
      <c r="AF995" s="22"/>
      <c r="AG995" s="22"/>
      <c r="AH995" s="22"/>
      <c r="AI995" s="22"/>
      <c r="AJ995" s="40"/>
      <c r="AK995" s="22"/>
      <c r="AL995" s="22"/>
      <c r="AM995" s="22"/>
      <c r="AN995" s="22"/>
      <c r="AO995" s="40"/>
      <c r="AP995" s="40"/>
      <c r="AQ995" s="40"/>
      <c r="AR995" s="1"/>
      <c r="AS995" s="1"/>
      <c r="AT995" s="17"/>
      <c r="AU995" s="1"/>
      <c r="AV995" s="1"/>
      <c r="AW995" s="1"/>
      <c r="AX995" s="2"/>
      <c r="AY995" s="2"/>
      <c r="AZ995" s="1"/>
    </row>
    <row x14ac:dyDescent="0.25" r="996" customHeight="1" ht="18.75">
      <c r="A996" s="1"/>
      <c r="B996" s="1"/>
      <c r="C996" s="1"/>
      <c r="D996" s="1"/>
      <c r="E996" s="1"/>
      <c r="F996" s="1"/>
      <c r="G996" s="1"/>
      <c r="H996" s="1"/>
      <c r="I996" s="1"/>
      <c r="J996" s="1"/>
      <c r="K996" s="17"/>
      <c r="L996" s="1"/>
      <c r="M996" s="1"/>
      <c r="N996" s="2"/>
      <c r="O996" s="2"/>
      <c r="P996" s="1"/>
      <c r="Q996" s="1"/>
      <c r="R996" s="1"/>
      <c r="S996" s="1"/>
      <c r="T996" s="40"/>
      <c r="U996" s="40"/>
      <c r="V996" s="40"/>
      <c r="W996" s="40"/>
      <c r="X996" s="22"/>
      <c r="Y996" s="22"/>
      <c r="Z996" s="22"/>
      <c r="AA996" s="22"/>
      <c r="AB996" s="22"/>
      <c r="AC996" s="22"/>
      <c r="AD996" s="22"/>
      <c r="AE996" s="22"/>
      <c r="AF996" s="22"/>
      <c r="AG996" s="22"/>
      <c r="AH996" s="22"/>
      <c r="AI996" s="22"/>
      <c r="AJ996" s="40"/>
      <c r="AK996" s="22"/>
      <c r="AL996" s="22"/>
      <c r="AM996" s="22"/>
      <c r="AN996" s="22"/>
      <c r="AO996" s="40"/>
      <c r="AP996" s="40"/>
      <c r="AQ996" s="40"/>
      <c r="AR996" s="1"/>
      <c r="AS996" s="1"/>
      <c r="AT996" s="17"/>
      <c r="AU996" s="1"/>
      <c r="AV996" s="1"/>
      <c r="AW996" s="1"/>
      <c r="AX996" s="2"/>
      <c r="AY996" s="2"/>
      <c r="AZ996" s="1"/>
    </row>
    <row x14ac:dyDescent="0.25" r="997" customHeight="1" ht="18.75">
      <c r="A997" s="1"/>
      <c r="B997" s="1"/>
      <c r="C997" s="1"/>
      <c r="D997" s="1"/>
      <c r="E997" s="1"/>
      <c r="F997" s="1"/>
      <c r="G997" s="1"/>
      <c r="H997" s="1"/>
      <c r="I997" s="1"/>
      <c r="J997" s="1"/>
      <c r="K997" s="17"/>
      <c r="L997" s="1"/>
      <c r="M997" s="1"/>
      <c r="N997" s="2"/>
      <c r="O997" s="2"/>
      <c r="P997" s="1"/>
      <c r="Q997" s="1"/>
      <c r="R997" s="1"/>
      <c r="S997" s="1"/>
      <c r="T997" s="40"/>
      <c r="U997" s="40"/>
      <c r="V997" s="40"/>
      <c r="W997" s="40"/>
      <c r="X997" s="22"/>
      <c r="Y997" s="22"/>
      <c r="Z997" s="22"/>
      <c r="AA997" s="22"/>
      <c r="AB997" s="22"/>
      <c r="AC997" s="22"/>
      <c r="AD997" s="22"/>
      <c r="AE997" s="22"/>
      <c r="AF997" s="22"/>
      <c r="AG997" s="22"/>
      <c r="AH997" s="22"/>
      <c r="AI997" s="22"/>
      <c r="AJ997" s="40"/>
      <c r="AK997" s="22"/>
      <c r="AL997" s="22"/>
      <c r="AM997" s="22"/>
      <c r="AN997" s="22"/>
      <c r="AO997" s="40"/>
      <c r="AP997" s="40"/>
      <c r="AQ997" s="40"/>
      <c r="AR997" s="1"/>
      <c r="AS997" s="1"/>
      <c r="AT997" s="17"/>
      <c r="AU997" s="1"/>
      <c r="AV997" s="1"/>
      <c r="AW997" s="1"/>
      <c r="AX997" s="2"/>
      <c r="AY997" s="2"/>
      <c r="AZ997" s="1"/>
    </row>
    <row x14ac:dyDescent="0.25" r="998" customHeight="1" ht="18.75">
      <c r="A998" s="1"/>
      <c r="B998" s="1"/>
      <c r="C998" s="1"/>
      <c r="D998" s="1"/>
      <c r="E998" s="1"/>
      <c r="F998" s="1"/>
      <c r="G998" s="1"/>
      <c r="H998" s="1"/>
      <c r="I998" s="1"/>
      <c r="J998" s="1"/>
      <c r="K998" s="17"/>
      <c r="L998" s="1"/>
      <c r="M998" s="1"/>
      <c r="N998" s="2"/>
      <c r="O998" s="2"/>
      <c r="P998" s="1"/>
      <c r="Q998" s="1"/>
      <c r="R998" s="1"/>
      <c r="S998" s="1"/>
      <c r="T998" s="40"/>
      <c r="U998" s="40"/>
      <c r="V998" s="40"/>
      <c r="W998" s="40"/>
      <c r="X998" s="22"/>
      <c r="Y998" s="22"/>
      <c r="Z998" s="22"/>
      <c r="AA998" s="22"/>
      <c r="AB998" s="22"/>
      <c r="AC998" s="22"/>
      <c r="AD998" s="22"/>
      <c r="AE998" s="22"/>
      <c r="AF998" s="22"/>
      <c r="AG998" s="22"/>
      <c r="AH998" s="22"/>
      <c r="AI998" s="22"/>
      <c r="AJ998" s="40"/>
      <c r="AK998" s="22"/>
      <c r="AL998" s="22"/>
      <c r="AM998" s="22"/>
      <c r="AN998" s="22"/>
      <c r="AO998" s="40"/>
      <c r="AP998" s="40"/>
      <c r="AQ998" s="40"/>
      <c r="AR998" s="1"/>
      <c r="AS998" s="1"/>
      <c r="AT998" s="17"/>
      <c r="AU998" s="1"/>
      <c r="AV998" s="1"/>
      <c r="AW998" s="1"/>
      <c r="AX998" s="2"/>
      <c r="AY998" s="2"/>
      <c r="AZ998" s="1"/>
    </row>
    <row x14ac:dyDescent="0.25" r="999" customHeight="1" ht="18.75">
      <c r="A999" s="1"/>
      <c r="B999" s="1"/>
      <c r="C999" s="1"/>
      <c r="D999" s="1"/>
      <c r="E999" s="1"/>
      <c r="F999" s="1"/>
      <c r="G999" s="1"/>
      <c r="H999" s="1"/>
      <c r="I999" s="1"/>
      <c r="J999" s="1"/>
      <c r="K999" s="17"/>
      <c r="L999" s="1"/>
      <c r="M999" s="1"/>
      <c r="N999" s="2"/>
      <c r="O999" s="2"/>
      <c r="P999" s="1"/>
      <c r="Q999" s="1"/>
      <c r="R999" s="1"/>
      <c r="S999" s="1"/>
      <c r="T999" s="40"/>
      <c r="U999" s="40"/>
      <c r="V999" s="40"/>
      <c r="W999" s="40"/>
      <c r="X999" s="22"/>
      <c r="Y999" s="22"/>
      <c r="Z999" s="22"/>
      <c r="AA999" s="22"/>
      <c r="AB999" s="22"/>
      <c r="AC999" s="22"/>
      <c r="AD999" s="22"/>
      <c r="AE999" s="22"/>
      <c r="AF999" s="22"/>
      <c r="AG999" s="22"/>
      <c r="AH999" s="22"/>
      <c r="AI999" s="22"/>
      <c r="AJ999" s="40"/>
      <c r="AK999" s="22"/>
      <c r="AL999" s="22"/>
      <c r="AM999" s="22"/>
      <c r="AN999" s="22"/>
      <c r="AO999" s="40"/>
      <c r="AP999" s="40"/>
      <c r="AQ999" s="40"/>
      <c r="AR999" s="1"/>
      <c r="AS999" s="1"/>
      <c r="AT999" s="17"/>
      <c r="AU999" s="1"/>
      <c r="AV999" s="1"/>
      <c r="AW999" s="1"/>
      <c r="AX999" s="2"/>
      <c r="AY999" s="2"/>
      <c r="AZ999" s="1"/>
    </row>
    <row x14ac:dyDescent="0.25" r="1000" customHeight="1" ht="18.75">
      <c r="A1000" s="1"/>
      <c r="B1000" s="1"/>
      <c r="C1000" s="1"/>
      <c r="D1000" s="1"/>
      <c r="E1000" s="1"/>
      <c r="F1000" s="1"/>
      <c r="G1000" s="1"/>
      <c r="H1000" s="1"/>
      <c r="I1000" s="1"/>
      <c r="J1000" s="1"/>
      <c r="K1000" s="17"/>
      <c r="L1000" s="1"/>
      <c r="M1000" s="1"/>
      <c r="N1000" s="2"/>
      <c r="O1000" s="2"/>
      <c r="P1000" s="1"/>
      <c r="Q1000" s="1"/>
      <c r="R1000" s="1"/>
      <c r="S1000" s="1"/>
      <c r="T1000" s="40"/>
      <c r="U1000" s="40"/>
      <c r="V1000" s="40"/>
      <c r="W1000" s="40"/>
      <c r="X1000" s="22"/>
      <c r="Y1000" s="22"/>
      <c r="Z1000" s="22"/>
      <c r="AA1000" s="22"/>
      <c r="AB1000" s="22"/>
      <c r="AC1000" s="22"/>
      <c r="AD1000" s="22"/>
      <c r="AE1000" s="22"/>
      <c r="AF1000" s="22"/>
      <c r="AG1000" s="22"/>
      <c r="AH1000" s="22"/>
      <c r="AI1000" s="22"/>
      <c r="AJ1000" s="40"/>
      <c r="AK1000" s="22"/>
      <c r="AL1000" s="22"/>
      <c r="AM1000" s="22"/>
      <c r="AN1000" s="22"/>
      <c r="AO1000" s="40"/>
      <c r="AP1000" s="40"/>
      <c r="AQ1000" s="40"/>
      <c r="AR1000" s="1"/>
      <c r="AS1000" s="1"/>
      <c r="AT1000" s="17"/>
      <c r="AU1000" s="1"/>
      <c r="AV1000" s="1"/>
      <c r="AW1000" s="1"/>
      <c r="AX1000" s="2"/>
      <c r="AY1000" s="2"/>
      <c r="AZ1000" s="1"/>
    </row>
    <row x14ac:dyDescent="0.25" r="1001" customHeight="1" ht="18.75">
      <c r="A1001" s="1"/>
      <c r="B1001" s="1"/>
      <c r="C1001" s="1"/>
      <c r="D1001" s="1"/>
      <c r="E1001" s="1"/>
      <c r="F1001" s="1"/>
      <c r="G1001" s="1"/>
      <c r="H1001" s="1"/>
      <c r="I1001" s="1"/>
      <c r="J1001" s="1"/>
      <c r="K1001" s="17"/>
      <c r="L1001" s="1"/>
      <c r="M1001" s="1"/>
      <c r="N1001" s="2"/>
      <c r="O1001" s="2"/>
      <c r="P1001" s="1"/>
      <c r="Q1001" s="1"/>
      <c r="R1001" s="1"/>
      <c r="S1001" s="1"/>
      <c r="T1001" s="40"/>
      <c r="U1001" s="40"/>
      <c r="V1001" s="40"/>
      <c r="W1001" s="40"/>
      <c r="X1001" s="22"/>
      <c r="Y1001" s="22"/>
      <c r="Z1001" s="22"/>
      <c r="AA1001" s="22"/>
      <c r="AB1001" s="22"/>
      <c r="AC1001" s="22"/>
      <c r="AD1001" s="22"/>
      <c r="AE1001" s="22"/>
      <c r="AF1001" s="22"/>
      <c r="AG1001" s="22"/>
      <c r="AH1001" s="22"/>
      <c r="AI1001" s="22"/>
      <c r="AJ1001" s="40"/>
      <c r="AK1001" s="22"/>
      <c r="AL1001" s="22"/>
      <c r="AM1001" s="22"/>
      <c r="AN1001" s="22"/>
      <c r="AO1001" s="40"/>
      <c r="AP1001" s="40"/>
      <c r="AQ1001" s="40"/>
      <c r="AR1001" s="1"/>
      <c r="AS1001" s="1"/>
      <c r="AT1001" s="17"/>
      <c r="AU1001" s="1"/>
      <c r="AV1001" s="1"/>
      <c r="AW1001" s="1"/>
      <c r="AX1001" s="2"/>
      <c r="AY1001" s="2"/>
      <c r="AZ1001" s="1"/>
    </row>
    <row x14ac:dyDescent="0.25" r="1002" customHeight="1" ht="18.75">
      <c r="A1002" s="1"/>
      <c r="B1002" s="1"/>
      <c r="C1002" s="1"/>
      <c r="D1002" s="1"/>
      <c r="E1002" s="1"/>
      <c r="F1002" s="1"/>
      <c r="G1002" s="1"/>
      <c r="H1002" s="1"/>
      <c r="I1002" s="1"/>
      <c r="J1002" s="1"/>
      <c r="K1002" s="17"/>
      <c r="L1002" s="1"/>
      <c r="M1002" s="1"/>
      <c r="N1002" s="2"/>
      <c r="O1002" s="2"/>
      <c r="P1002" s="1"/>
      <c r="Q1002" s="1"/>
      <c r="R1002" s="1"/>
      <c r="S1002" s="1"/>
      <c r="T1002" s="40"/>
      <c r="U1002" s="40"/>
      <c r="V1002" s="40"/>
      <c r="W1002" s="40"/>
      <c r="X1002" s="22"/>
      <c r="Y1002" s="40"/>
      <c r="Z1002" s="40"/>
      <c r="AA1002" s="40"/>
      <c r="AB1002" s="40"/>
      <c r="AC1002" s="40"/>
      <c r="AD1002" s="40"/>
      <c r="AE1002" s="40"/>
      <c r="AF1002" s="40"/>
      <c r="AG1002" s="40"/>
      <c r="AH1002" s="40"/>
      <c r="AI1002" s="40"/>
      <c r="AJ1002" s="40"/>
      <c r="AK1002" s="40"/>
      <c r="AL1002" s="40"/>
      <c r="AM1002" s="40"/>
      <c r="AN1002" s="40"/>
      <c r="AO1002" s="40"/>
      <c r="AP1002" s="40"/>
      <c r="AQ1002" s="40"/>
      <c r="AR1002" s="1"/>
      <c r="AS1002" s="1"/>
      <c r="AT1002" s="17"/>
      <c r="AU1002" s="1"/>
      <c r="AV1002" s="1"/>
      <c r="AW1002" s="1"/>
      <c r="AX1002" s="2"/>
      <c r="AY1002" s="2"/>
      <c r="AZ1002" s="1"/>
    </row>
  </sheetData>
  <mergeCells count="1">
    <mergeCell ref="L2:L6"/>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Z873"/>
  <sheetViews>
    <sheetView workbookViewId="0"/>
  </sheetViews>
  <sheetFormatPr defaultRowHeight="15" x14ac:dyDescent="0.25"/>
  <cols>
    <col min="1" max="1" style="15" width="20.433571428571426" customWidth="1" bestFit="1"/>
    <col min="2" max="2" style="15" width="14.43357142857143" customWidth="1" bestFit="1"/>
    <col min="3" max="3" style="15" width="17.14785714285714" customWidth="1" bestFit="1"/>
    <col min="4" max="4" style="15" width="15.147857142857141" customWidth="1" bestFit="1"/>
    <col min="5" max="5" style="15" width="17.005" customWidth="1" bestFit="1"/>
    <col min="6" max="6" style="15" width="14.290714285714287" customWidth="1" bestFit="1"/>
    <col min="7" max="7" style="15" width="14.290714285714287" customWidth="1" bestFit="1"/>
    <col min="8" max="8" style="15" width="25.14785714285714" customWidth="1" bestFit="1"/>
    <col min="9" max="9" style="15" width="22.005" customWidth="1" bestFit="1"/>
    <col min="10" max="10" style="15" width="28.576428571428572" customWidth="1" bestFit="1"/>
    <col min="11" max="11" style="23" width="30.576428571428572" customWidth="1" bestFit="1"/>
    <col min="12" max="12" style="15" width="27.576428571428572" customWidth="1" bestFit="1"/>
    <col min="13" max="13" style="15" width="26.433571428571426" customWidth="1" bestFit="1"/>
    <col min="14" max="14" style="16" width="26.433571428571426" customWidth="1" bestFit="1"/>
    <col min="15" max="15" style="16" width="25.719285714285714" customWidth="1" bestFit="1"/>
    <col min="16" max="16" style="23" width="21.719285714285714" customWidth="1" bestFit="1"/>
    <col min="17" max="17" style="15" width="24.290714285714284" customWidth="1" bestFit="1"/>
    <col min="18" max="18" style="15" width="19.862142857142857" customWidth="1" bestFit="1"/>
    <col min="19" max="19" style="15" width="19.576428571428572" customWidth="1" bestFit="1"/>
    <col min="20" max="20" style="126" width="19.576428571428572" customWidth="1" bestFit="1"/>
    <col min="21" max="21" style="126" width="19.576428571428572" customWidth="1" bestFit="1"/>
    <col min="22" max="22" style="126" width="19.576428571428572" customWidth="1" bestFit="1"/>
    <col min="23" max="23" style="126" width="19.576428571428572" customWidth="1" bestFit="1"/>
    <col min="24" max="24" style="126" width="16.433571428571426" customWidth="1" bestFit="1"/>
    <col min="25" max="25" style="126" width="15.290714285714287" customWidth="1" bestFit="1"/>
    <col min="26" max="26" style="126" width="15.43357142857143" customWidth="1" bestFit="1"/>
    <col min="27" max="27" style="126" width="14.719285714285713" customWidth="1" bestFit="1"/>
    <col min="28" max="28" style="126" width="14.719285714285713" customWidth="1" bestFit="1"/>
    <col min="29" max="29" style="126" width="12.576428571428572" customWidth="1" bestFit="1"/>
    <col min="30" max="30" style="126" width="12.576428571428572" customWidth="1" bestFit="1"/>
    <col min="31" max="31" style="126" width="12.576428571428572" customWidth="1" bestFit="1"/>
    <col min="32" max="32" style="126" width="19.14785714285714" customWidth="1" bestFit="1"/>
    <col min="33" max="33" style="126" width="22.719285714285714" customWidth="1" bestFit="1"/>
    <col min="34" max="34" style="126" width="19.862142857142857" customWidth="1" bestFit="1"/>
    <col min="35" max="35" style="126" width="19.290714285714284" customWidth="1" bestFit="1"/>
    <col min="36" max="36" style="126" width="15.719285714285713" customWidth="1" bestFit="1"/>
    <col min="37" max="37" style="126" width="18.14785714285714" customWidth="1" bestFit="1"/>
    <col min="38" max="38" style="126" width="13.862142857142858" customWidth="1" bestFit="1"/>
    <col min="39" max="39" style="126" width="13.862142857142858" customWidth="1" bestFit="1"/>
    <col min="40" max="40" style="126" width="13.147857142857141" customWidth="1" bestFit="1"/>
    <col min="41" max="41" style="126" width="14.862142857142858" customWidth="1" bestFit="1"/>
    <col min="42" max="42" style="126" width="16.005" customWidth="1" bestFit="1"/>
    <col min="43" max="43" style="126" width="19.14785714285714" customWidth="1" bestFit="1"/>
    <col min="44" max="44" style="23" width="13.719285714285713" customWidth="1" bestFit="1"/>
    <col min="45" max="45" style="15" width="19.14785714285714" customWidth="1" bestFit="1"/>
    <col min="46" max="46" style="23" width="14.290714285714287" customWidth="1" bestFit="1"/>
    <col min="47" max="47" style="15" width="24.719285714285714" customWidth="1" bestFit="1"/>
    <col min="48" max="48" style="23" width="19.14785714285714" customWidth="1" bestFit="1"/>
    <col min="49" max="49" style="15" width="19.14785714285714" customWidth="1" bestFit="1"/>
    <col min="50" max="50" style="16" width="29.719285714285714" customWidth="1" bestFit="1"/>
    <col min="51" max="51" style="15" width="13.719285714285713" customWidth="1" bestFit="1"/>
    <col min="52" max="52" style="15" width="37.005" customWidth="1" bestFit="1"/>
  </cols>
  <sheetData>
    <row x14ac:dyDescent="0.25" r="1" customHeight="1" ht="9">
      <c r="A1" s="1"/>
      <c r="B1" s="1"/>
      <c r="C1" s="1"/>
      <c r="D1" s="1"/>
      <c r="E1" s="1"/>
      <c r="F1" s="1"/>
      <c r="G1" s="1"/>
      <c r="H1" s="1"/>
      <c r="I1" s="1"/>
      <c r="J1" s="1"/>
      <c r="K1" s="17"/>
      <c r="L1" s="1"/>
      <c r="M1" s="1"/>
      <c r="N1" s="2"/>
      <c r="O1" s="36"/>
      <c r="P1" s="17"/>
      <c r="Q1" s="1"/>
      <c r="R1" s="13"/>
      <c r="S1" s="1"/>
      <c r="T1" s="37"/>
      <c r="U1" s="38"/>
      <c r="V1" s="114"/>
      <c r="W1" s="114"/>
      <c r="X1" s="37"/>
      <c r="Y1" s="37"/>
      <c r="Z1" s="114"/>
      <c r="AA1" s="38"/>
      <c r="AB1" s="38"/>
      <c r="AC1" s="38"/>
      <c r="AD1" s="38"/>
      <c r="AE1" s="38"/>
      <c r="AF1" s="38"/>
      <c r="AG1" s="38"/>
      <c r="AH1" s="38"/>
      <c r="AI1" s="38"/>
      <c r="AJ1" s="38"/>
      <c r="AK1" s="38"/>
      <c r="AL1" s="38"/>
      <c r="AM1" s="38"/>
      <c r="AN1" s="38"/>
      <c r="AO1" s="38"/>
      <c r="AP1" s="38"/>
      <c r="AQ1" s="38"/>
      <c r="AR1" s="17"/>
      <c r="AS1" s="1"/>
      <c r="AT1" s="17"/>
      <c r="AU1" s="1"/>
      <c r="AV1" s="17"/>
      <c r="AW1" s="1"/>
      <c r="AX1" s="2"/>
      <c r="AY1" s="1"/>
      <c r="AZ1" s="1"/>
    </row>
    <row x14ac:dyDescent="0.25" r="2" customHeight="1" ht="24">
      <c r="A2" s="13"/>
      <c r="B2" s="41" t="s">
        <v>38975</v>
      </c>
      <c r="C2" s="41"/>
      <c r="D2" s="1"/>
      <c r="E2" s="1"/>
      <c r="F2" s="1"/>
      <c r="G2" s="42" t="s">
        <v>38976</v>
      </c>
      <c r="H2" s="43">
        <f>AND($H$3&lt;&gt;"",$H$4&lt;&gt;"")</f>
      </c>
      <c r="I2" s="1"/>
      <c r="J2" s="44" t="s">
        <v>38977</v>
      </c>
      <c r="K2" s="17"/>
      <c r="L2" s="45" t="s">
        <v>38978</v>
      </c>
      <c r="M2" s="45" t="s">
        <v>39445</v>
      </c>
      <c r="N2" s="54"/>
      <c r="O2" s="54"/>
      <c r="P2" s="17"/>
      <c r="Q2" s="1"/>
      <c r="R2" s="13"/>
      <c r="S2" s="1"/>
      <c r="T2" s="37"/>
      <c r="U2" s="38"/>
      <c r="V2" s="114"/>
      <c r="W2" s="114"/>
      <c r="X2" s="37"/>
      <c r="Y2" s="37"/>
      <c r="Z2" s="114"/>
      <c r="AA2" s="38"/>
      <c r="AB2" s="38"/>
      <c r="AC2" s="38"/>
      <c r="AD2" s="38"/>
      <c r="AE2" s="38"/>
      <c r="AF2" s="38"/>
      <c r="AG2" s="38"/>
      <c r="AH2" s="38"/>
      <c r="AI2" s="38"/>
      <c r="AJ2" s="38"/>
      <c r="AK2" s="38"/>
      <c r="AL2" s="38"/>
      <c r="AM2" s="38"/>
      <c r="AN2" s="38"/>
      <c r="AO2" s="38"/>
      <c r="AP2" s="38"/>
      <c r="AQ2" s="38"/>
      <c r="AR2" s="17"/>
      <c r="AS2" s="1"/>
      <c r="AT2" s="17"/>
      <c r="AU2" s="1"/>
      <c r="AV2" s="17"/>
      <c r="AW2" s="1"/>
      <c r="AX2" s="2"/>
      <c r="AY2" s="1"/>
      <c r="AZ2" s="1"/>
    </row>
    <row x14ac:dyDescent="0.25" r="3" customHeight="1" ht="17.15">
      <c r="A3" s="13"/>
      <c r="B3" s="48" t="s">
        <v>38980</v>
      </c>
      <c r="C3" s="49"/>
      <c r="D3" s="1"/>
      <c r="E3" s="1"/>
      <c r="F3" s="1"/>
      <c r="G3" s="50" t="s">
        <v>0</v>
      </c>
      <c r="H3" s="51" t="s">
        <v>8</v>
      </c>
      <c r="I3" s="129" t="s">
        <v>38981</v>
      </c>
      <c r="J3" s="53">
        <f>MID(CELL("filename"),SEARCH("[",CELL("filename"))+1,SEARCH("]",CELL("filename"))-SEARCH("[",CELL("filename"))-1)</f>
      </c>
      <c r="K3" s="17"/>
      <c r="L3" s="54"/>
      <c r="M3" s="54"/>
      <c r="N3" s="54"/>
      <c r="O3" s="54"/>
      <c r="P3" s="17"/>
      <c r="Q3" s="1"/>
      <c r="R3" s="13"/>
      <c r="S3" s="1"/>
      <c r="T3" s="214">
        <f>SUBTOTAL(9,Tabela98[jan/26])</f>
      </c>
      <c r="U3" s="214">
        <f>SUBTOTAL(9,Tabela98[fev/26])</f>
      </c>
      <c r="V3" s="214">
        <f>SUBTOTAL(9,Tabela98[mar/26])</f>
      </c>
      <c r="W3" s="214">
        <f>SUBTOTAL(9,Tabela98[abr/26])</f>
      </c>
      <c r="X3" s="214">
        <f>SUBTOTAL(9,Tabela98[mai/26])</f>
      </c>
      <c r="Y3" s="214">
        <f>SUBTOTAL(9,Tabela98[jun/26])</f>
      </c>
      <c r="Z3" s="214">
        <f>SUBTOTAL(9,Tabela98[jul/26])</f>
      </c>
      <c r="AA3" s="214">
        <f>SUBTOTAL(9,Tabela98[ago/26])</f>
      </c>
      <c r="AB3" s="214">
        <f>SUBTOTAL(9,Tabela98[set/26])</f>
      </c>
      <c r="AC3" s="214">
        <f>SUBTOTAL(9,Tabela98[out/26])</f>
      </c>
      <c r="AD3" s="214">
        <f>SUBTOTAL(9,Tabela98[nov/26])</f>
      </c>
      <c r="AE3" s="214">
        <f>SUBTOTAL(9,Tabela98[dez/26])</f>
      </c>
      <c r="AF3" s="214">
        <f>SUBTOTAL(9,Tabela98[2026])</f>
      </c>
      <c r="AG3" s="214">
        <f>SUBTOTAL(9,Tabela98[2027])</f>
      </c>
      <c r="AH3" s="214">
        <f>SUBTOTAL(9,Tabela98[2028])</f>
      </c>
      <c r="AI3" s="214">
        <f>SUBTOTAL(9,Tabela98[2029])</f>
      </c>
      <c r="AJ3" s="214">
        <f>SUBTOTAL(9,Tabela98[2030])</f>
      </c>
      <c r="AK3" s="214">
        <f>SUBTOTAL(9,Tabela98[2026-2030])</f>
      </c>
      <c r="AL3" s="214">
        <f>SUBTOTAL(9,Tabela98[2031])</f>
      </c>
      <c r="AM3" s="214">
        <f>SUBTOTAL(9,Tabela98[2032])</f>
      </c>
      <c r="AN3" s="214">
        <f>SUBTOTAL(9,Tabela98[2033])</f>
      </c>
      <c r="AO3" s="214">
        <f>SUBTOTAL(9,Tabela98[2034])</f>
      </c>
      <c r="AP3" s="214">
        <f>SUBTOTAL(9,Tabela98[2035])</f>
      </c>
      <c r="AQ3" s="214">
        <f>SUBTOTAL(9,Tabela98[2026-2035])</f>
      </c>
      <c r="AR3" s="17"/>
      <c r="AS3" s="1"/>
      <c r="AT3" s="17"/>
      <c r="AU3" s="1"/>
      <c r="AV3" s="17"/>
      <c r="AW3" s="1"/>
      <c r="AX3" s="2"/>
      <c r="AY3" s="1"/>
      <c r="AZ3" s="1"/>
    </row>
    <row x14ac:dyDescent="0.25" r="4" customHeight="1" ht="12.75">
      <c r="A4" s="13"/>
      <c r="B4" s="1"/>
      <c r="C4" s="13"/>
      <c r="D4" s="56"/>
      <c r="E4" s="1"/>
      <c r="F4" s="1"/>
      <c r="G4" s="50" t="s">
        <v>38982</v>
      </c>
      <c r="H4" s="57" t="s">
        <v>39446</v>
      </c>
      <c r="I4" s="1"/>
      <c r="J4" s="131"/>
      <c r="K4" s="17"/>
      <c r="L4" s="54"/>
      <c r="M4" s="54"/>
      <c r="N4" s="54"/>
      <c r="O4" s="54"/>
      <c r="P4" s="17"/>
      <c r="Q4" s="1"/>
      <c r="R4" s="13"/>
      <c r="S4" s="1"/>
      <c r="T4" s="215">
        <f>SUM(Tabela98[jan/26])</f>
      </c>
      <c r="U4" s="215">
        <f>SUM(Tabela98[fev/26])</f>
      </c>
      <c r="V4" s="215">
        <f>SUM(Tabela98[mar/26])</f>
      </c>
      <c r="W4" s="215">
        <f>SUM(Tabela98[abr/26])</f>
      </c>
      <c r="X4" s="215">
        <f>SUM(Tabela98[mai/26])</f>
      </c>
      <c r="Y4" s="215">
        <f>SUM(Tabela98[jun/26])</f>
      </c>
      <c r="Z4" s="215">
        <f>SUM(Tabela98[jul/26])</f>
      </c>
      <c r="AA4" s="215">
        <f>SUM(Tabela98[ago/26])</f>
      </c>
      <c r="AB4" s="215">
        <f>SUM(Tabela98[set/26])</f>
      </c>
      <c r="AC4" s="215">
        <f>SUM(Tabela98[out/26])</f>
      </c>
      <c r="AD4" s="215">
        <f>SUM(Tabela98[nov/26])</f>
      </c>
      <c r="AE4" s="215">
        <f>SUM(Tabela98[dez/26])</f>
      </c>
      <c r="AF4" s="215">
        <f>SUM(Tabela98[2026])</f>
      </c>
      <c r="AG4" s="215">
        <f>SUM(Tabela98[2027])</f>
      </c>
      <c r="AH4" s="215">
        <f>SUM(Tabela98[2028])</f>
      </c>
      <c r="AI4" s="215">
        <f>SUM(Tabela98[2029])</f>
      </c>
      <c r="AJ4" s="215">
        <f>SUM(Tabela98[2030])</f>
      </c>
      <c r="AK4" s="215">
        <f>SUM(Tabela98[2026-2030])</f>
      </c>
      <c r="AL4" s="215">
        <f>SUM(Tabela98[2031])</f>
      </c>
      <c r="AM4" s="215">
        <f>SUM(Tabela98[2032])</f>
      </c>
      <c r="AN4" s="215">
        <f>SUM(Tabela98[2033])</f>
      </c>
      <c r="AO4" s="215">
        <f>SUM(Tabela98[2034])</f>
      </c>
      <c r="AP4" s="215">
        <f>SUM(Tabela98[2035])</f>
      </c>
      <c r="AQ4" s="215">
        <f>SUM(Tabela98[2026-2035])</f>
      </c>
      <c r="AR4" s="17"/>
      <c r="AS4" s="1"/>
      <c r="AT4" s="17"/>
      <c r="AU4" s="1"/>
      <c r="AV4" s="17"/>
      <c r="AW4" s="1"/>
      <c r="AX4" s="2"/>
      <c r="AY4" s="1"/>
      <c r="AZ4" s="1"/>
    </row>
    <row x14ac:dyDescent="0.25" r="5" customHeight="1" ht="31.5">
      <c r="A5" s="133">
        <f>AND($H$2,'Consolidado-Eletronorte'!$B$19:$B$19)</f>
      </c>
      <c r="B5" s="61">
        <f>_xlfn.CONCAT(D9)</f>
      </c>
      <c r="C5" s="62"/>
      <c r="D5" s="1"/>
      <c r="E5" s="1"/>
      <c r="F5" s="1"/>
      <c r="G5" s="1"/>
      <c r="H5" s="1"/>
      <c r="I5" s="1"/>
      <c r="J5" s="131"/>
      <c r="K5" s="17"/>
      <c r="L5" s="54"/>
      <c r="M5" s="54"/>
      <c r="N5" s="54"/>
      <c r="O5" s="54"/>
      <c r="P5" s="128"/>
      <c r="Q5" s="1"/>
      <c r="R5" s="13"/>
      <c r="S5" s="1"/>
      <c r="T5" s="37"/>
      <c r="U5" s="114"/>
      <c r="V5" s="114"/>
      <c r="W5" s="114"/>
      <c r="X5" s="37"/>
      <c r="Y5" s="37"/>
      <c r="Z5" s="63"/>
      <c r="AA5" s="63"/>
      <c r="AB5" s="63"/>
      <c r="AC5" s="63"/>
      <c r="AD5" s="63"/>
      <c r="AE5" s="63"/>
      <c r="AF5" s="63"/>
      <c r="AG5" s="63"/>
      <c r="AH5" s="63"/>
      <c r="AI5" s="63"/>
      <c r="AJ5" s="63"/>
      <c r="AK5" s="63"/>
      <c r="AL5" s="63"/>
      <c r="AM5" s="63"/>
      <c r="AN5" s="63"/>
      <c r="AO5" s="63"/>
      <c r="AP5" s="38"/>
      <c r="AQ5" s="38"/>
      <c r="AR5" s="17"/>
      <c r="AS5" s="1"/>
      <c r="AT5" s="17"/>
      <c r="AU5" s="1"/>
      <c r="AV5" s="17"/>
      <c r="AW5" s="1"/>
      <c r="AX5" s="2"/>
      <c r="AY5" s="1"/>
      <c r="AZ5" s="1"/>
    </row>
    <row x14ac:dyDescent="0.25" r="6" customHeight="1" ht="25.5">
      <c r="A6" s="1"/>
      <c r="B6" s="1"/>
      <c r="C6" s="13"/>
      <c r="D6" s="1"/>
      <c r="E6" s="1"/>
      <c r="F6" s="1"/>
      <c r="G6" s="1"/>
      <c r="H6" s="13"/>
      <c r="I6" s="64"/>
      <c r="J6" s="135" t="s">
        <v>38984</v>
      </c>
      <c r="K6" s="113">
        <f>COUNTIF('Consolidado-Eletronorte'!$B$19:$B$19,TRUE)</f>
      </c>
      <c r="L6" s="67"/>
      <c r="M6" s="67"/>
      <c r="N6" s="67"/>
      <c r="O6" s="67"/>
      <c r="P6" s="17"/>
      <c r="Q6" s="1"/>
      <c r="R6" s="13"/>
      <c r="S6" s="1"/>
      <c r="T6" s="37"/>
      <c r="U6" s="38"/>
      <c r="V6" s="114"/>
      <c r="W6" s="114"/>
      <c r="X6" s="37"/>
      <c r="Y6" s="37"/>
      <c r="Z6" s="114"/>
      <c r="AA6" s="38"/>
      <c r="AB6" s="38"/>
      <c r="AC6" s="38"/>
      <c r="AD6" s="38"/>
      <c r="AE6" s="38"/>
      <c r="AF6" s="38"/>
      <c r="AG6" s="38"/>
      <c r="AH6" s="38"/>
      <c r="AI6" s="38"/>
      <c r="AJ6" s="38"/>
      <c r="AK6" s="38"/>
      <c r="AL6" s="38"/>
      <c r="AM6" s="38"/>
      <c r="AN6" s="38"/>
      <c r="AO6" s="38"/>
      <c r="AP6" s="38"/>
      <c r="AQ6" s="38"/>
      <c r="AR6" s="17"/>
      <c r="AS6" s="1"/>
      <c r="AT6" s="17"/>
      <c r="AU6" s="1"/>
      <c r="AV6" s="17"/>
      <c r="AW6" s="1"/>
      <c r="AX6" s="2"/>
      <c r="AY6" s="1"/>
      <c r="AZ6" s="1"/>
    </row>
    <row x14ac:dyDescent="0.25" r="7" customHeight="1" ht="40.15">
      <c r="A7" s="71" t="s">
        <v>38986</v>
      </c>
      <c r="B7" s="72"/>
      <c r="C7" s="73"/>
      <c r="D7" s="73"/>
      <c r="E7" s="73"/>
      <c r="F7" s="73"/>
      <c r="G7" s="74"/>
      <c r="H7" s="75" t="s">
        <v>38987</v>
      </c>
      <c r="I7" s="76"/>
      <c r="J7" s="76"/>
      <c r="K7" s="77"/>
      <c r="L7" s="78"/>
      <c r="M7" s="79" t="s">
        <v>38988</v>
      </c>
      <c r="N7" s="80" t="s">
        <v>38989</v>
      </c>
      <c r="O7" s="80"/>
      <c r="P7" s="216"/>
      <c r="Q7" s="81"/>
      <c r="R7" s="81"/>
      <c r="S7" s="81"/>
      <c r="T7" s="82" t="s">
        <v>38990</v>
      </c>
      <c r="U7" s="217"/>
      <c r="V7" s="217"/>
      <c r="W7" s="217"/>
      <c r="X7" s="217"/>
      <c r="Y7" s="217"/>
      <c r="Z7" s="217"/>
      <c r="AA7" s="217"/>
      <c r="AB7" s="217"/>
      <c r="AC7" s="217"/>
      <c r="AD7" s="217"/>
      <c r="AE7" s="217"/>
      <c r="AF7" s="217"/>
      <c r="AG7" s="217"/>
      <c r="AH7" s="217"/>
      <c r="AI7" s="217"/>
      <c r="AJ7" s="217"/>
      <c r="AK7" s="217"/>
      <c r="AL7" s="217"/>
      <c r="AM7" s="217"/>
      <c r="AN7" s="217"/>
      <c r="AO7" s="217"/>
      <c r="AP7" s="217"/>
      <c r="AQ7" s="217"/>
      <c r="AR7" s="84"/>
      <c r="AS7" s="85"/>
      <c r="AT7" s="17"/>
      <c r="AU7" s="1"/>
      <c r="AV7" s="17"/>
      <c r="AW7" s="1"/>
      <c r="AX7" s="2"/>
      <c r="AY7" s="1"/>
      <c r="AZ7" s="1"/>
    </row>
    <row x14ac:dyDescent="0.25" r="8" customHeight="1" ht="18.75">
      <c r="A8" s="137" t="s">
        <v>38994</v>
      </c>
      <c r="B8" s="137" t="s">
        <v>38995</v>
      </c>
      <c r="C8" s="137" t="s">
        <v>38981</v>
      </c>
      <c r="D8" s="137" t="s">
        <v>0</v>
      </c>
      <c r="E8" s="137" t="s">
        <v>38996</v>
      </c>
      <c r="F8" s="137" t="s">
        <v>38997</v>
      </c>
      <c r="G8" s="137" t="s">
        <v>38998</v>
      </c>
      <c r="H8" s="138" t="s">
        <v>38999</v>
      </c>
      <c r="I8" s="138" t="s">
        <v>36364</v>
      </c>
      <c r="J8" s="138" t="s">
        <v>3</v>
      </c>
      <c r="K8" s="139" t="s">
        <v>39000</v>
      </c>
      <c r="L8" s="138" t="s">
        <v>39001</v>
      </c>
      <c r="M8" s="140" t="s">
        <v>39002</v>
      </c>
      <c r="N8" s="141" t="s">
        <v>39003</v>
      </c>
      <c r="O8" s="142" t="s">
        <v>39004</v>
      </c>
      <c r="P8" s="218" t="s">
        <v>38277</v>
      </c>
      <c r="Q8" s="142" t="s">
        <v>39447</v>
      </c>
      <c r="R8" s="142" t="s">
        <v>39006</v>
      </c>
      <c r="S8" s="142" t="s">
        <v>39007</v>
      </c>
      <c r="T8" s="219" t="s">
        <v>39008</v>
      </c>
      <c r="U8" s="219" t="s">
        <v>39009</v>
      </c>
      <c r="V8" s="219" t="s">
        <v>39010</v>
      </c>
      <c r="W8" s="219" t="s">
        <v>39011</v>
      </c>
      <c r="X8" s="219" t="s">
        <v>39012</v>
      </c>
      <c r="Y8" s="219" t="s">
        <v>39013</v>
      </c>
      <c r="Z8" s="219" t="s">
        <v>39014</v>
      </c>
      <c r="AA8" s="219" t="s">
        <v>39015</v>
      </c>
      <c r="AB8" s="219" t="s">
        <v>39016</v>
      </c>
      <c r="AC8" s="219" t="s">
        <v>39017</v>
      </c>
      <c r="AD8" s="219" t="s">
        <v>39018</v>
      </c>
      <c r="AE8" s="219" t="s">
        <v>39019</v>
      </c>
      <c r="AF8" s="220" t="s">
        <v>39899</v>
      </c>
      <c r="AG8" s="220" t="s">
        <v>39900</v>
      </c>
      <c r="AH8" s="220" t="s">
        <v>39901</v>
      </c>
      <c r="AI8" s="220" t="s">
        <v>39902</v>
      </c>
      <c r="AJ8" s="220" t="s">
        <v>39903</v>
      </c>
      <c r="AK8" s="219" t="s">
        <v>39020</v>
      </c>
      <c r="AL8" s="220" t="s">
        <v>39904</v>
      </c>
      <c r="AM8" s="220" t="s">
        <v>39905</v>
      </c>
      <c r="AN8" s="220" t="s">
        <v>39906</v>
      </c>
      <c r="AO8" s="220" t="s">
        <v>39907</v>
      </c>
      <c r="AP8" s="220" t="s">
        <v>39908</v>
      </c>
      <c r="AQ8" s="221" t="s">
        <v>39021</v>
      </c>
      <c r="AR8" s="222" t="s">
        <v>39022</v>
      </c>
      <c r="AS8" s="146" t="s">
        <v>39023</v>
      </c>
      <c r="AT8" s="147" t="s">
        <v>39024</v>
      </c>
      <c r="AU8" s="148" t="s">
        <v>39448</v>
      </c>
      <c r="AV8" s="223" t="s">
        <v>39026</v>
      </c>
      <c r="AW8" s="146" t="s">
        <v>39027</v>
      </c>
      <c r="AX8" s="146" t="s">
        <v>39028</v>
      </c>
      <c r="AY8" s="146" t="s">
        <v>39029</v>
      </c>
      <c r="AZ8" s="146" t="s">
        <v>39030</v>
      </c>
    </row>
    <row x14ac:dyDescent="0.25" r="9" customHeight="1" ht="24.75">
      <c r="A9" s="152"/>
      <c r="B9" s="150">
        <f>AND(ISTEXT('Consolidado-Eletronorte'!$H19:$M19),SUM('Consolidado-Eletronorte'!$AI19:$BF19)&gt;0)</f>
      </c>
      <c r="C9" s="151">
        <f>$J$3</f>
      </c>
      <c r="D9" s="151">
        <f>$H$3</f>
      </c>
      <c r="E9" s="151">
        <f>$H$4</f>
      </c>
      <c r="F9" s="152"/>
      <c r="G9" s="151">
        <f>_xlfn.CONCAT('Consolidado-Eletronorte'!$D19,"_",ROW('Consolidado-Eletronorte'!$G19)-ROW('Consolidado-Eletronorte'!$G$18))</f>
      </c>
      <c r="H9" s="153" t="s">
        <v>10</v>
      </c>
      <c r="I9" s="153" t="s">
        <v>88</v>
      </c>
      <c r="J9" s="153" t="s">
        <v>5</v>
      </c>
      <c r="K9" s="154" t="s">
        <v>16</v>
      </c>
      <c r="L9" s="153" t="s">
        <v>82</v>
      </c>
      <c r="M9" s="153" t="s">
        <v>39909</v>
      </c>
      <c r="N9" s="153"/>
      <c r="O9" s="153"/>
      <c r="P9" s="154" t="s">
        <v>38358</v>
      </c>
      <c r="Q9" s="153" t="s">
        <v>39910</v>
      </c>
      <c r="R9" s="153" t="s">
        <v>39911</v>
      </c>
      <c r="S9" s="153" t="s">
        <v>39912</v>
      </c>
      <c r="T9" s="63">
        <v>18493850.130057294</v>
      </c>
      <c r="U9" s="63">
        <v>4269069.650057292</v>
      </c>
      <c r="V9" s="63">
        <v>2872964.140057292</v>
      </c>
      <c r="W9" s="63">
        <v>12239298.760057291</v>
      </c>
      <c r="X9" s="63">
        <v>30196737.030057292</v>
      </c>
      <c r="Y9" s="63">
        <v>19040024.060057294</v>
      </c>
      <c r="Z9" s="63">
        <v>26395457.720057294</v>
      </c>
      <c r="AA9" s="63">
        <v>9106623.07005729</v>
      </c>
      <c r="AB9" s="63">
        <v>2419928.430057292</v>
      </c>
      <c r="AC9" s="63">
        <v>11381576.555057291</v>
      </c>
      <c r="AD9" s="63">
        <v>34794464.21999999</v>
      </c>
      <c r="AE9" s="63">
        <v>5453241.600000001</v>
      </c>
      <c r="AF9" s="63">
        <v>176663235.3655729</v>
      </c>
      <c r="AG9" s="63">
        <v>186404977.93658334</v>
      </c>
      <c r="AH9" s="63">
        <v>138328625.18250006</v>
      </c>
      <c r="AI9" s="63">
        <v>70056375.79</v>
      </c>
      <c r="AJ9" s="63">
        <v>0</v>
      </c>
      <c r="AK9" s="63">
        <v>571453214.2746563</v>
      </c>
      <c r="AL9" s="63">
        <v>0</v>
      </c>
      <c r="AM9" s="63">
        <v>0</v>
      </c>
      <c r="AN9" s="63">
        <v>0</v>
      </c>
      <c r="AO9" s="63">
        <v>0</v>
      </c>
      <c r="AP9" s="63">
        <v>0</v>
      </c>
      <c r="AQ9" s="63">
        <v>607383609.9300001</v>
      </c>
      <c r="AR9" s="39">
        <v>1</v>
      </c>
      <c r="AS9" s="13" t="s">
        <v>39913</v>
      </c>
      <c r="AT9" s="39">
        <v>2024</v>
      </c>
      <c r="AU9" s="13" t="s">
        <v>39914</v>
      </c>
      <c r="AV9" s="128" t="s">
        <v>39915</v>
      </c>
      <c r="AW9" s="13" t="s">
        <v>39916</v>
      </c>
      <c r="AX9" s="2"/>
      <c r="AY9" s="1"/>
      <c r="AZ9" s="160">
        <f>_xlfn.XLOOKUP(Tabela98[[#This Row], [Descrição do projeto]],[3]Geração!$G:$G,[3]Geração!$F:$F,,0,1)</f>
      </c>
    </row>
    <row x14ac:dyDescent="0.25" r="10" customHeight="1" ht="24.75">
      <c r="A10" s="161"/>
      <c r="B10" s="150">
        <f>AND(ISTEXT('Consolidado-Eletronorte'!#REF!),SUM('Consolidado-Eletronorte'!#REF!)&gt;0)</f>
      </c>
      <c r="C10" s="162">
        <f>INDIRECT(SUBSTITUTE($J19&amp;$K19," ",""))</f>
      </c>
      <c r="D10" s="162">
        <f>$H$3</f>
      </c>
      <c r="E10" s="162">
        <f>$H$4</f>
      </c>
      <c r="F10" s="163"/>
      <c r="G10" s="162">
        <f>_xlfn.CONCAT('Consolidado-Eletronorte'!#REF!,"_",ROW('Consolidado-Eletronorte'!#REF!)-ROW('Consolidado-Eletronorte'!$G$18))</f>
      </c>
      <c r="H10" s="164" t="s">
        <v>10</v>
      </c>
      <c r="I10" s="164" t="s">
        <v>88</v>
      </c>
      <c r="J10" s="164" t="s">
        <v>5</v>
      </c>
      <c r="K10" s="165" t="s">
        <v>16</v>
      </c>
      <c r="L10" s="164" t="s">
        <v>67</v>
      </c>
      <c r="M10" s="164" t="s">
        <v>39917</v>
      </c>
      <c r="N10" s="164"/>
      <c r="O10" s="164"/>
      <c r="P10" s="165" t="s">
        <v>38358</v>
      </c>
      <c r="Q10" s="166" t="s">
        <v>39918</v>
      </c>
      <c r="R10" s="166" t="s">
        <v>39919</v>
      </c>
      <c r="S10" s="164" t="s">
        <v>39912</v>
      </c>
      <c r="T10" s="63">
        <v>0</v>
      </c>
      <c r="U10" s="63"/>
      <c r="V10" s="63">
        <v>24960000</v>
      </c>
      <c r="W10" s="63">
        <v>0</v>
      </c>
      <c r="X10" s="63">
        <v>0</v>
      </c>
      <c r="Y10" s="63"/>
      <c r="Z10" s="63">
        <v>0</v>
      </c>
      <c r="AA10" s="63">
        <v>23400000</v>
      </c>
      <c r="AB10" s="63">
        <v>0</v>
      </c>
      <c r="AC10" s="63"/>
      <c r="AD10" s="63">
        <v>23400000</v>
      </c>
      <c r="AE10" s="63">
        <v>0</v>
      </c>
      <c r="AF10" s="63">
        <v>85800000</v>
      </c>
      <c r="AG10" s="63">
        <v>42000000</v>
      </c>
      <c r="AH10" s="63">
        <v>33200000</v>
      </c>
      <c r="AI10" s="63">
        <v>0</v>
      </c>
      <c r="AJ10" s="63">
        <v>0</v>
      </c>
      <c r="AK10" s="63">
        <v>161000000</v>
      </c>
      <c r="AL10" s="63">
        <v>0</v>
      </c>
      <c r="AM10" s="63">
        <v>0</v>
      </c>
      <c r="AN10" s="63">
        <v>0</v>
      </c>
      <c r="AO10" s="63">
        <v>0</v>
      </c>
      <c r="AP10" s="63">
        <v>0</v>
      </c>
      <c r="AQ10" s="63">
        <v>182000000.00000012</v>
      </c>
      <c r="AR10" s="39">
        <v>14</v>
      </c>
      <c r="AS10" s="3" t="s">
        <v>39920</v>
      </c>
      <c r="AT10" s="39">
        <v>2024</v>
      </c>
      <c r="AU10" s="3" t="s">
        <v>39921</v>
      </c>
      <c r="AV10" s="113" t="s">
        <v>39922</v>
      </c>
      <c r="AW10" s="13" t="s">
        <v>39923</v>
      </c>
      <c r="AX10" s="2"/>
      <c r="AY10" s="1"/>
      <c r="AZ10" s="160">
        <f>_xlfn.XLOOKUP(Tabela98[[#This Row], [Descrição do projeto]],[3]Geração!$G:$G,[3]Geração!$F:$F,,0,1)</f>
      </c>
    </row>
    <row x14ac:dyDescent="0.25" r="11" customHeight="1" ht="18.75" hidden="1">
      <c r="A11" s="149"/>
      <c r="B11" s="150">
        <f>AND(ISTEXT('Consolidado-Eletronorte'!#REF!),SUM('Consolidado-Eletronorte'!#REF!)&gt;0)</f>
      </c>
      <c r="C11" s="151">
        <f>INDIRECT(SUBSTITUTE($J20&amp;$K20," ",""))</f>
      </c>
      <c r="D11" s="151">
        <f>$H$3</f>
      </c>
      <c r="E11" s="151">
        <f>$H$4</f>
      </c>
      <c r="F11" s="152"/>
      <c r="G11" s="151">
        <f>_xlfn.CONCAT('Consolidado-Eletronorte'!#REF!,"_",ROW('Consolidado-Eletronorte'!#REF!)-ROW('Consolidado-Eletronorte'!$G$18))</f>
      </c>
      <c r="H11" s="153" t="s">
        <v>10</v>
      </c>
      <c r="I11" s="153" t="s">
        <v>88</v>
      </c>
      <c r="J11" s="153" t="s">
        <v>5</v>
      </c>
      <c r="K11" s="154" t="s">
        <v>26</v>
      </c>
      <c r="L11" s="153" t="s">
        <v>26</v>
      </c>
      <c r="M11" s="153" t="s">
        <v>39924</v>
      </c>
      <c r="N11" s="153"/>
      <c r="O11" s="153"/>
      <c r="P11" s="154" t="s">
        <v>39925</v>
      </c>
      <c r="Q11" s="155" t="s">
        <v>39926</v>
      </c>
      <c r="R11" s="155" t="s">
        <v>39927</v>
      </c>
      <c r="S11" s="153" t="s">
        <v>39928</v>
      </c>
      <c r="T11" s="63">
        <v>0</v>
      </c>
      <c r="U11" s="63">
        <v>0</v>
      </c>
      <c r="V11" s="63">
        <v>5000000</v>
      </c>
      <c r="W11" s="63">
        <v>5000000</v>
      </c>
      <c r="X11" s="63">
        <v>5000000</v>
      </c>
      <c r="Y11" s="63">
        <v>5000000</v>
      </c>
      <c r="Z11" s="63">
        <v>6064774.103999999</v>
      </c>
      <c r="AA11" s="63">
        <v>6064774.103999999</v>
      </c>
      <c r="AB11" s="63">
        <v>6064774.103999999</v>
      </c>
      <c r="AC11" s="63">
        <v>6064774.103999999</v>
      </c>
      <c r="AD11" s="63">
        <v>6064774.103999999</v>
      </c>
      <c r="AE11" s="63">
        <v>0</v>
      </c>
      <c r="AF11" s="63">
        <v>50323870.51999999</v>
      </c>
      <c r="AG11" s="63">
        <v>8563575.14079</v>
      </c>
      <c r="AH11" s="63">
        <v>8075853.66728081</v>
      </c>
      <c r="AI11" s="63">
        <v>15294729.93519</v>
      </c>
      <c r="AJ11" s="63">
        <v>8373837.068333063</v>
      </c>
      <c r="AK11" s="63">
        <v>90631866.33159386</v>
      </c>
      <c r="AL11" s="63">
        <v>0</v>
      </c>
      <c r="AM11" s="63">
        <v>0</v>
      </c>
      <c r="AN11" s="63">
        <v>0</v>
      </c>
      <c r="AO11" s="63">
        <v>0</v>
      </c>
      <c r="AP11" s="63">
        <v>0</v>
      </c>
      <c r="AQ11" s="63">
        <v>90631866.33159386</v>
      </c>
      <c r="AR11" s="39">
        <v>117</v>
      </c>
      <c r="AS11" s="13" t="s">
        <v>39929</v>
      </c>
      <c r="AT11" s="39">
        <v>2025</v>
      </c>
      <c r="AU11" s="13" t="s">
        <v>39930</v>
      </c>
      <c r="AV11" s="39">
        <v>0</v>
      </c>
      <c r="AW11" s="13" t="s">
        <v>39931</v>
      </c>
      <c r="AX11" s="2"/>
      <c r="AY11" s="1"/>
      <c r="AZ11" s="160">
        <f>_xlfn.XLOOKUP(Tabela98[[#This Row], [Descrição do projeto]],[3]Geração!$G:$G,[3]Geração!$F:$F,,0,1)</f>
      </c>
    </row>
    <row x14ac:dyDescent="0.25" r="12" customHeight="1" ht="24.75">
      <c r="A12" s="149"/>
      <c r="B12" s="150">
        <f>AND(ISTEXT('Consolidado-Eletronorte'!#REF!),SUM('Consolidado-Eletronorte'!#REF!)&gt;0)</f>
      </c>
      <c r="C12" s="151">
        <f>INDIRECT(SUBSTITUTE($J21&amp;$K21," ",""))</f>
      </c>
      <c r="D12" s="151">
        <f>$H$3</f>
      </c>
      <c r="E12" s="151">
        <f>$H$4</f>
      </c>
      <c r="F12" s="152"/>
      <c r="G12" s="151">
        <f>_xlfn.CONCAT('Consolidado-Eletronorte'!#REF!,"_",ROW('Consolidado-Eletronorte'!#REF!)-ROW('Consolidado-Eletronorte'!$G$18))</f>
      </c>
      <c r="H12" s="153" t="s">
        <v>10</v>
      </c>
      <c r="I12" s="153" t="s">
        <v>88</v>
      </c>
      <c r="J12" s="153" t="s">
        <v>5</v>
      </c>
      <c r="K12" s="154" t="s">
        <v>16</v>
      </c>
      <c r="L12" s="153" t="s">
        <v>67</v>
      </c>
      <c r="M12" s="153" t="s">
        <v>39932</v>
      </c>
      <c r="N12" s="153"/>
      <c r="O12" s="153"/>
      <c r="P12" s="154" t="s">
        <v>38358</v>
      </c>
      <c r="Q12" s="155" t="s">
        <v>39933</v>
      </c>
      <c r="R12" s="155" t="s">
        <v>39934</v>
      </c>
      <c r="S12" s="153" t="s">
        <v>39912</v>
      </c>
      <c r="T12" s="63">
        <v>0</v>
      </c>
      <c r="U12" s="63">
        <v>0</v>
      </c>
      <c r="V12" s="63">
        <v>0</v>
      </c>
      <c r="W12" s="63">
        <v>0</v>
      </c>
      <c r="X12" s="63">
        <v>0</v>
      </c>
      <c r="Y12" s="63">
        <v>0</v>
      </c>
      <c r="Z12" s="63">
        <v>0</v>
      </c>
      <c r="AA12" s="63">
        <v>0</v>
      </c>
      <c r="AB12" s="63">
        <v>0</v>
      </c>
      <c r="AC12" s="63">
        <v>6416884.025</v>
      </c>
      <c r="AD12" s="63">
        <v>0</v>
      </c>
      <c r="AE12" s="63">
        <v>6416884.025</v>
      </c>
      <c r="AF12" s="63">
        <v>12833768.05</v>
      </c>
      <c r="AG12" s="63">
        <v>12833768.05</v>
      </c>
      <c r="AH12" s="63">
        <v>12833768.05</v>
      </c>
      <c r="AI12" s="63">
        <v>6416884.03</v>
      </c>
      <c r="AJ12" s="63">
        <v>0</v>
      </c>
      <c r="AK12" s="63">
        <v>44918188.18000001</v>
      </c>
      <c r="AL12" s="63">
        <v>0</v>
      </c>
      <c r="AM12" s="63">
        <v>0</v>
      </c>
      <c r="AN12" s="63">
        <v>0</v>
      </c>
      <c r="AO12" s="63">
        <v>0</v>
      </c>
      <c r="AP12" s="63">
        <v>0</v>
      </c>
      <c r="AQ12" s="63">
        <v>44918188.18000001</v>
      </c>
      <c r="AR12" s="39">
        <v>19</v>
      </c>
      <c r="AS12" s="13" t="s">
        <v>39935</v>
      </c>
      <c r="AT12" s="39">
        <v>2025</v>
      </c>
      <c r="AU12" s="13" t="s">
        <v>39936</v>
      </c>
      <c r="AV12" s="17" t="s">
        <v>39937</v>
      </c>
      <c r="AW12" s="13" t="s">
        <v>39923</v>
      </c>
      <c r="AX12" s="2"/>
      <c r="AY12" s="1"/>
      <c r="AZ12" s="160">
        <f>_xlfn.XLOOKUP(Tabela98[[#This Row], [Descrição do projeto]],[3]Geração!$G:$G,[3]Geração!$F:$F,,0,1)</f>
      </c>
    </row>
    <row x14ac:dyDescent="0.25" r="13" customHeight="1" ht="24.75">
      <c r="A13" s="149"/>
      <c r="B13" s="150">
        <f>AND(ISTEXT('Consolidado-Eletronorte'!#REF!),SUM('Consolidado-Eletronorte'!#REF!)&gt;0)</f>
      </c>
      <c r="C13" s="151">
        <f>INDIRECT(SUBSTITUTE($J22&amp;$K22," ",""))</f>
      </c>
      <c r="D13" s="151">
        <f>$H$3</f>
      </c>
      <c r="E13" s="151">
        <f>$H$4</f>
      </c>
      <c r="F13" s="152"/>
      <c r="G13" s="151">
        <f>_xlfn.CONCAT('Consolidado-Eletronorte'!#REF!,"_",ROW('Consolidado-Eletronorte'!#REF!)-ROW('Consolidado-Eletronorte'!$G$18))</f>
      </c>
      <c r="H13" s="153" t="s">
        <v>10</v>
      </c>
      <c r="I13" s="153" t="s">
        <v>88</v>
      </c>
      <c r="J13" s="153" t="s">
        <v>5</v>
      </c>
      <c r="K13" s="154" t="s">
        <v>16</v>
      </c>
      <c r="L13" s="153" t="s">
        <v>67</v>
      </c>
      <c r="M13" s="153" t="s">
        <v>39938</v>
      </c>
      <c r="N13" s="153"/>
      <c r="O13" s="153"/>
      <c r="P13" s="154" t="s">
        <v>38358</v>
      </c>
      <c r="Q13" s="155" t="s">
        <v>39939</v>
      </c>
      <c r="R13" s="155" t="s">
        <v>39919</v>
      </c>
      <c r="S13" s="153" t="s">
        <v>39912</v>
      </c>
      <c r="T13" s="63">
        <v>0</v>
      </c>
      <c r="U13" s="63">
        <v>0</v>
      </c>
      <c r="V13" s="63">
        <v>0</v>
      </c>
      <c r="W13" s="63">
        <v>11054985.886666667</v>
      </c>
      <c r="X13" s="63">
        <v>0</v>
      </c>
      <c r="Y13" s="63">
        <v>0</v>
      </c>
      <c r="Z13" s="63">
        <v>0</v>
      </c>
      <c r="AA13" s="63">
        <v>11054985.886666667</v>
      </c>
      <c r="AB13" s="63">
        <v>0</v>
      </c>
      <c r="AC13" s="63">
        <v>0</v>
      </c>
      <c r="AD13" s="63">
        <v>0</v>
      </c>
      <c r="AE13" s="63">
        <v>11054985.886666667</v>
      </c>
      <c r="AF13" s="63">
        <v>33164957.66</v>
      </c>
      <c r="AG13" s="63">
        <v>10144019.02</v>
      </c>
      <c r="AH13" s="63">
        <v>221433.61</v>
      </c>
      <c r="AI13" s="63">
        <v>0</v>
      </c>
      <c r="AJ13" s="63">
        <v>0</v>
      </c>
      <c r="AK13" s="63">
        <v>43530410.29</v>
      </c>
      <c r="AL13" s="63">
        <v>0</v>
      </c>
      <c r="AM13" s="63">
        <v>0</v>
      </c>
      <c r="AN13" s="63">
        <v>0</v>
      </c>
      <c r="AO13" s="63">
        <v>0</v>
      </c>
      <c r="AP13" s="63">
        <v>0</v>
      </c>
      <c r="AQ13" s="63">
        <v>43530410.29</v>
      </c>
      <c r="AR13" s="39">
        <v>13</v>
      </c>
      <c r="AS13" s="3" t="s">
        <v>39920</v>
      </c>
      <c r="AT13" s="39">
        <v>2024</v>
      </c>
      <c r="AU13" s="3" t="s">
        <v>39940</v>
      </c>
      <c r="AV13" s="113" t="s">
        <v>39941</v>
      </c>
      <c r="AW13" s="13" t="s">
        <v>39916</v>
      </c>
      <c r="AX13" s="2"/>
      <c r="AY13" s="1"/>
      <c r="AZ13" s="160">
        <f>_xlfn.XLOOKUP(Tabela98[[#This Row], [Descrição do projeto]],[3]Geração!$G:$G,[3]Geração!$F:$F,,0,1)</f>
      </c>
    </row>
    <row x14ac:dyDescent="0.25" r="14" customHeight="1" ht="24.75">
      <c r="A14" s="163"/>
      <c r="B14" s="150">
        <f>AND(ISTEXT('Consolidado-Eletronorte'!#REF!),SUM('Consolidado-Eletronorte'!#REF!)&gt;0)</f>
      </c>
      <c r="C14" s="162">
        <f>INDIRECT(SUBSTITUTE($J23&amp;$K23," ",""))</f>
      </c>
      <c r="D14" s="162">
        <f>$H$3</f>
      </c>
      <c r="E14" s="162">
        <f>$H$4</f>
      </c>
      <c r="F14" s="163"/>
      <c r="G14" s="162">
        <f>_xlfn.CONCAT('Consolidado-Eletronorte'!#REF!,"_",ROW('Consolidado-Eletronorte'!#REF!)-ROW('Consolidado-Eletronorte'!$G$18))</f>
      </c>
      <c r="H14" s="164" t="s">
        <v>10</v>
      </c>
      <c r="I14" s="164" t="s">
        <v>88</v>
      </c>
      <c r="J14" s="164" t="s">
        <v>5</v>
      </c>
      <c r="K14" s="165" t="s">
        <v>16</v>
      </c>
      <c r="L14" s="164" t="s">
        <v>82</v>
      </c>
      <c r="M14" s="164" t="s">
        <v>39942</v>
      </c>
      <c r="N14" s="164"/>
      <c r="O14" s="164"/>
      <c r="P14" s="165">
        <v>157189</v>
      </c>
      <c r="Q14" s="164" t="s">
        <v>39943</v>
      </c>
      <c r="R14" s="164" t="s">
        <v>39944</v>
      </c>
      <c r="S14" s="164" t="s">
        <v>39945</v>
      </c>
      <c r="T14" s="63">
        <v>0</v>
      </c>
      <c r="U14" s="63">
        <v>2791031.91</v>
      </c>
      <c r="V14" s="63">
        <v>0</v>
      </c>
      <c r="W14" s="63">
        <v>0</v>
      </c>
      <c r="X14" s="63">
        <v>0</v>
      </c>
      <c r="Y14" s="63">
        <v>2791031.91</v>
      </c>
      <c r="Z14" s="63">
        <v>0</v>
      </c>
      <c r="AA14" s="63">
        <v>0</v>
      </c>
      <c r="AB14" s="63">
        <v>0</v>
      </c>
      <c r="AC14" s="63">
        <v>0</v>
      </c>
      <c r="AD14" s="63">
        <v>8373095.73</v>
      </c>
      <c r="AE14" s="63">
        <v>0</v>
      </c>
      <c r="AF14" s="63">
        <v>13955159.55</v>
      </c>
      <c r="AG14" s="63">
        <v>13955159.55</v>
      </c>
      <c r="AH14" s="63">
        <v>0</v>
      </c>
      <c r="AI14" s="63">
        <v>0</v>
      </c>
      <c r="AJ14" s="63">
        <v>0</v>
      </c>
      <c r="AK14" s="63">
        <v>27910319.1</v>
      </c>
      <c r="AL14" s="63">
        <v>0</v>
      </c>
      <c r="AM14" s="63">
        <v>0</v>
      </c>
      <c r="AN14" s="63">
        <v>0</v>
      </c>
      <c r="AO14" s="63">
        <v>0</v>
      </c>
      <c r="AP14" s="63">
        <v>0</v>
      </c>
      <c r="AQ14" s="63">
        <v>27910319.1</v>
      </c>
      <c r="AR14" s="39">
        <v>2</v>
      </c>
      <c r="AS14" s="13" t="s">
        <v>39946</v>
      </c>
      <c r="AT14" s="39">
        <v>2025</v>
      </c>
      <c r="AU14" s="13" t="s">
        <v>39947</v>
      </c>
      <c r="AV14" s="128" t="s">
        <v>39948</v>
      </c>
      <c r="AW14" s="13" t="s">
        <v>39923</v>
      </c>
      <c r="AX14" s="2"/>
      <c r="AY14" s="1"/>
      <c r="AZ14" s="160">
        <f>_xlfn.XLOOKUP(Tabela98[[#This Row], [Descrição do projeto]],[3]Geração!$G:$G,[3]Geração!$F:$F,,0,1)</f>
      </c>
    </row>
    <row x14ac:dyDescent="0.25" r="15" customHeight="1" ht="24.75">
      <c r="A15" s="149"/>
      <c r="B15" s="150">
        <f>AND(ISTEXT('Consolidado-Eletronorte'!#REF!),SUM('Consolidado-Eletronorte'!#REF!)&gt;0)</f>
      </c>
      <c r="C15" s="151">
        <f>INDIRECT(SUBSTITUTE($J24&amp;$K24," ",""))</f>
      </c>
      <c r="D15" s="151">
        <f>$H$3</f>
      </c>
      <c r="E15" s="151">
        <f>$H$4</f>
      </c>
      <c r="F15" s="152"/>
      <c r="G15" s="151">
        <f>_xlfn.CONCAT('Consolidado-Eletronorte'!#REF!,"_",ROW('Consolidado-Eletronorte'!#REF!)-ROW('Consolidado-Eletronorte'!$G$18))</f>
      </c>
      <c r="H15" s="153" t="s">
        <v>10</v>
      </c>
      <c r="I15" s="153" t="s">
        <v>88</v>
      </c>
      <c r="J15" s="153" t="s">
        <v>5</v>
      </c>
      <c r="K15" s="154" t="s">
        <v>16</v>
      </c>
      <c r="L15" s="153" t="s">
        <v>67</v>
      </c>
      <c r="M15" s="153" t="s">
        <v>39949</v>
      </c>
      <c r="N15" s="153"/>
      <c r="O15" s="153"/>
      <c r="P15" s="154" t="s">
        <v>38368</v>
      </c>
      <c r="Q15" s="155" t="s">
        <v>39950</v>
      </c>
      <c r="R15" s="155" t="s">
        <v>39951</v>
      </c>
      <c r="S15" s="153" t="s">
        <v>38369</v>
      </c>
      <c r="T15" s="63">
        <v>0</v>
      </c>
      <c r="U15" s="63">
        <v>0</v>
      </c>
      <c r="V15" s="63">
        <v>0</v>
      </c>
      <c r="W15" s="63">
        <v>0</v>
      </c>
      <c r="X15" s="63">
        <v>0</v>
      </c>
      <c r="Y15" s="63">
        <v>0</v>
      </c>
      <c r="Z15" s="63">
        <v>0</v>
      </c>
      <c r="AA15" s="63">
        <v>0</v>
      </c>
      <c r="AB15" s="63">
        <v>0</v>
      </c>
      <c r="AC15" s="63">
        <v>0</v>
      </c>
      <c r="AD15" s="63">
        <v>0</v>
      </c>
      <c r="AE15" s="63">
        <v>0</v>
      </c>
      <c r="AF15" s="63">
        <v>0</v>
      </c>
      <c r="AG15" s="63">
        <v>20910319</v>
      </c>
      <c r="AH15" s="63">
        <v>6533333.33</v>
      </c>
      <c r="AI15" s="63">
        <v>0</v>
      </c>
      <c r="AJ15" s="63">
        <v>0</v>
      </c>
      <c r="AK15" s="63">
        <v>27443652.33</v>
      </c>
      <c r="AL15" s="63">
        <v>0</v>
      </c>
      <c r="AM15" s="63">
        <v>0</v>
      </c>
      <c r="AN15" s="63">
        <v>0</v>
      </c>
      <c r="AO15" s="63">
        <v>0</v>
      </c>
      <c r="AP15" s="63">
        <v>0</v>
      </c>
      <c r="AQ15" s="63">
        <v>27443652.330000002</v>
      </c>
      <c r="AR15" s="39">
        <v>25</v>
      </c>
      <c r="AS15" s="13" t="s">
        <v>39952</v>
      </c>
      <c r="AT15" s="39">
        <v>2025</v>
      </c>
      <c r="AU15" s="13" t="s">
        <v>39953</v>
      </c>
      <c r="AV15" s="39">
        <v>0</v>
      </c>
      <c r="AW15" s="13" t="s">
        <v>39931</v>
      </c>
      <c r="AX15" s="2"/>
      <c r="AY15" s="1"/>
      <c r="AZ15" s="160">
        <f>_xlfn.XLOOKUP(Tabela98[[#This Row], [Descrição do projeto]],[3]Geração!$G:$G,[3]Geração!$F:$F,,0,1)</f>
      </c>
    </row>
    <row x14ac:dyDescent="0.25" r="16" customHeight="1" ht="24.75">
      <c r="A16" s="149"/>
      <c r="B16" s="150">
        <f>AND(ISTEXT('Consolidado-Eletronorte'!#REF!),SUM('Consolidado-Eletronorte'!#REF!)&gt;0)</f>
      </c>
      <c r="C16" s="151">
        <f>INDIRECT(SUBSTITUTE($J25&amp;$K25," ",""))</f>
      </c>
      <c r="D16" s="151">
        <f>$H$3</f>
      </c>
      <c r="E16" s="151">
        <f>$H$4</f>
      </c>
      <c r="F16" s="152"/>
      <c r="G16" s="151">
        <f>_xlfn.CONCAT('Consolidado-Eletronorte'!#REF!,"_",ROW('Consolidado-Eletronorte'!#REF!)-ROW('Consolidado-Eletronorte'!$G$18))</f>
      </c>
      <c r="H16" s="153" t="s">
        <v>10</v>
      </c>
      <c r="I16" s="153" t="s">
        <v>88</v>
      </c>
      <c r="J16" s="153" t="s">
        <v>5</v>
      </c>
      <c r="K16" s="154" t="s">
        <v>16</v>
      </c>
      <c r="L16" s="153" t="s">
        <v>67</v>
      </c>
      <c r="M16" s="153" t="s">
        <v>39932</v>
      </c>
      <c r="N16" s="153"/>
      <c r="O16" s="153"/>
      <c r="P16" s="154" t="s">
        <v>38358</v>
      </c>
      <c r="Q16" s="155" t="s">
        <v>39954</v>
      </c>
      <c r="R16" s="155" t="s">
        <v>39955</v>
      </c>
      <c r="S16" s="153" t="s">
        <v>39912</v>
      </c>
      <c r="T16" s="63">
        <v>0</v>
      </c>
      <c r="U16" s="63">
        <v>0</v>
      </c>
      <c r="V16" s="63">
        <v>0</v>
      </c>
      <c r="W16" s="63">
        <v>0</v>
      </c>
      <c r="X16" s="63">
        <v>0</v>
      </c>
      <c r="Y16" s="63">
        <v>0</v>
      </c>
      <c r="Z16" s="63">
        <v>0</v>
      </c>
      <c r="AA16" s="63">
        <v>0</v>
      </c>
      <c r="AB16" s="63">
        <v>2000000</v>
      </c>
      <c r="AC16" s="63">
        <v>0</v>
      </c>
      <c r="AD16" s="63">
        <v>2000000</v>
      </c>
      <c r="AE16" s="63">
        <v>2000000</v>
      </c>
      <c r="AF16" s="63">
        <v>6000000</v>
      </c>
      <c r="AG16" s="63">
        <v>7000000</v>
      </c>
      <c r="AH16" s="63">
        <v>4000000</v>
      </c>
      <c r="AI16" s="63">
        <v>4000000</v>
      </c>
      <c r="AJ16" s="63">
        <v>0</v>
      </c>
      <c r="AK16" s="63">
        <v>21000000</v>
      </c>
      <c r="AL16" s="63">
        <v>0</v>
      </c>
      <c r="AM16" s="63">
        <v>0</v>
      </c>
      <c r="AN16" s="63">
        <v>0</v>
      </c>
      <c r="AO16" s="63">
        <v>0</v>
      </c>
      <c r="AP16" s="63">
        <v>0</v>
      </c>
      <c r="AQ16" s="63">
        <v>21000000</v>
      </c>
      <c r="AR16" s="39">
        <v>113</v>
      </c>
      <c r="AS16" s="224" t="s">
        <v>39956</v>
      </c>
      <c r="AT16" s="39">
        <v>2025</v>
      </c>
      <c r="AU16" s="160">
        <f>_xlfn.XLOOKUP(Tabela98[[#This Row], [Descrição do projeto]],[3]Geração!$G:$G,[3]Geração!$L:$L,,0,1)</f>
      </c>
      <c r="AV16" s="225" t="s">
        <v>39957</v>
      </c>
      <c r="AW16" s="13" t="s">
        <v>39916</v>
      </c>
      <c r="AX16" s="2"/>
      <c r="AY16" s="1"/>
      <c r="AZ16" s="160">
        <f>_xlfn.XLOOKUP(Tabela98[[#This Row], [Descrição do projeto]],[3]Geração!$G:$G,[3]Geração!$F:$F,,0,1)</f>
      </c>
    </row>
    <row x14ac:dyDescent="0.25" r="17" customHeight="1" ht="24.75">
      <c r="A17" s="149"/>
      <c r="B17" s="150">
        <f>AND(ISTEXT('Consolidado-Eletronorte'!#REF!),SUM('Consolidado-Eletronorte'!#REF!)&gt;0)</f>
      </c>
      <c r="C17" s="151">
        <f>INDIRECT(SUBSTITUTE($J26&amp;$K26," ",""))</f>
      </c>
      <c r="D17" s="151">
        <f>$H$3</f>
      </c>
      <c r="E17" s="151">
        <f>$H$4</f>
      </c>
      <c r="F17" s="152"/>
      <c r="G17" s="151">
        <f>_xlfn.CONCAT('Consolidado-Eletronorte'!#REF!,"_",ROW('Consolidado-Eletronorte'!#REF!)-ROW('Consolidado-Eletronorte'!$G$18))</f>
      </c>
      <c r="H17" s="153" t="s">
        <v>10</v>
      </c>
      <c r="I17" s="153" t="s">
        <v>88</v>
      </c>
      <c r="J17" s="153" t="s">
        <v>5</v>
      </c>
      <c r="K17" s="154" t="s">
        <v>16</v>
      </c>
      <c r="L17" s="153" t="s">
        <v>67</v>
      </c>
      <c r="M17" s="153" t="s">
        <v>39932</v>
      </c>
      <c r="N17" s="153"/>
      <c r="O17" s="153"/>
      <c r="P17" s="154" t="s">
        <v>38358</v>
      </c>
      <c r="Q17" s="155" t="s">
        <v>39958</v>
      </c>
      <c r="R17" s="155" t="s">
        <v>39959</v>
      </c>
      <c r="S17" s="153" t="s">
        <v>39912</v>
      </c>
      <c r="T17" s="63">
        <v>0</v>
      </c>
      <c r="U17" s="63">
        <v>0</v>
      </c>
      <c r="V17" s="63">
        <v>0</v>
      </c>
      <c r="W17" s="63">
        <v>0</v>
      </c>
      <c r="X17" s="63">
        <v>0</v>
      </c>
      <c r="Y17" s="63">
        <v>0</v>
      </c>
      <c r="Z17" s="63">
        <v>0</v>
      </c>
      <c r="AA17" s="63">
        <v>0</v>
      </c>
      <c r="AB17" s="63">
        <v>0</v>
      </c>
      <c r="AC17" s="63">
        <v>1000000</v>
      </c>
      <c r="AD17" s="63">
        <v>0</v>
      </c>
      <c r="AE17" s="63">
        <v>1000000</v>
      </c>
      <c r="AF17" s="63">
        <v>2000000</v>
      </c>
      <c r="AG17" s="63">
        <v>8000000</v>
      </c>
      <c r="AH17" s="63">
        <v>10000000</v>
      </c>
      <c r="AI17" s="63">
        <v>0</v>
      </c>
      <c r="AJ17" s="63">
        <v>0</v>
      </c>
      <c r="AK17" s="63">
        <v>20000000</v>
      </c>
      <c r="AL17" s="63">
        <v>0</v>
      </c>
      <c r="AM17" s="63">
        <v>0</v>
      </c>
      <c r="AN17" s="63">
        <v>0</v>
      </c>
      <c r="AO17" s="63">
        <v>0</v>
      </c>
      <c r="AP17" s="63">
        <v>0</v>
      </c>
      <c r="AQ17" s="63">
        <v>20000000</v>
      </c>
      <c r="AR17" s="39">
        <v>107</v>
      </c>
      <c r="AS17" s="224" t="s">
        <v>39956</v>
      </c>
      <c r="AT17" s="39">
        <v>2025</v>
      </c>
      <c r="AU17" s="3" t="s">
        <v>39960</v>
      </c>
      <c r="AV17" s="225" t="s">
        <v>39961</v>
      </c>
      <c r="AW17" s="13" t="s">
        <v>39916</v>
      </c>
      <c r="AX17" s="2"/>
      <c r="AY17" s="1"/>
      <c r="AZ17" s="160">
        <f>_xlfn.XLOOKUP(Tabela98[[#This Row], [Descrição do projeto]],[3]Geração!$G:$G,[3]Geração!$F:$F,,0,1)</f>
      </c>
    </row>
    <row x14ac:dyDescent="0.25" r="18" customHeight="1" ht="24.75">
      <c r="A18" s="149"/>
      <c r="B18" s="150">
        <f>AND(ISTEXT('Consolidado-Eletronorte'!#REF!),SUM('Consolidado-Eletronorte'!#REF!)&gt;0)</f>
      </c>
      <c r="C18" s="151">
        <f>INDIRECT(SUBSTITUTE($J27&amp;$K27," ",""))</f>
      </c>
      <c r="D18" s="151">
        <f>$H$3</f>
      </c>
      <c r="E18" s="151">
        <f>$H$4</f>
      </c>
      <c r="F18" s="152"/>
      <c r="G18" s="151">
        <f>_xlfn.CONCAT('Consolidado-Eletronorte'!#REF!,"_",ROW('Consolidado-Eletronorte'!#REF!)-ROW('Consolidado-Eletronorte'!$G$18))</f>
      </c>
      <c r="H18" s="153" t="s">
        <v>10</v>
      </c>
      <c r="I18" s="153" t="s">
        <v>88</v>
      </c>
      <c r="J18" s="153" t="s">
        <v>5</v>
      </c>
      <c r="K18" s="154" t="s">
        <v>16</v>
      </c>
      <c r="L18" s="153" t="s">
        <v>67</v>
      </c>
      <c r="M18" s="153" t="s">
        <v>39917</v>
      </c>
      <c r="N18" s="153"/>
      <c r="O18" s="153"/>
      <c r="P18" s="154" t="s">
        <v>38358</v>
      </c>
      <c r="Q18" s="155" t="s">
        <v>39962</v>
      </c>
      <c r="R18" s="155" t="s">
        <v>39963</v>
      </c>
      <c r="S18" s="153" t="s">
        <v>39912</v>
      </c>
      <c r="T18" s="63">
        <v>0</v>
      </c>
      <c r="U18" s="63">
        <v>1000000</v>
      </c>
      <c r="V18" s="63">
        <v>0</v>
      </c>
      <c r="W18" s="63">
        <v>1000000</v>
      </c>
      <c r="X18" s="63">
        <v>0</v>
      </c>
      <c r="Y18" s="63">
        <v>1000000</v>
      </c>
      <c r="Z18" s="63">
        <v>0</v>
      </c>
      <c r="AA18" s="63">
        <v>1000000</v>
      </c>
      <c r="AB18" s="63">
        <v>0</v>
      </c>
      <c r="AC18" s="63">
        <v>1000000</v>
      </c>
      <c r="AD18" s="63">
        <v>0</v>
      </c>
      <c r="AE18" s="63">
        <v>0</v>
      </c>
      <c r="AF18" s="63">
        <v>5000000</v>
      </c>
      <c r="AG18" s="63">
        <v>5000000</v>
      </c>
      <c r="AH18" s="63">
        <v>5000000</v>
      </c>
      <c r="AI18" s="63">
        <v>0</v>
      </c>
      <c r="AJ18" s="63">
        <v>0</v>
      </c>
      <c r="AK18" s="63">
        <v>15000000</v>
      </c>
      <c r="AL18" s="63">
        <v>0</v>
      </c>
      <c r="AM18" s="63">
        <v>0</v>
      </c>
      <c r="AN18" s="63">
        <v>0</v>
      </c>
      <c r="AO18" s="63">
        <v>0</v>
      </c>
      <c r="AP18" s="63">
        <v>0</v>
      </c>
      <c r="AQ18" s="63">
        <v>15000000</v>
      </c>
      <c r="AR18" s="39">
        <v>95</v>
      </c>
      <c r="AS18" s="224" t="s">
        <v>39964</v>
      </c>
      <c r="AT18" s="39">
        <v>2025</v>
      </c>
      <c r="AU18" s="226" t="s">
        <v>39965</v>
      </c>
      <c r="AV18" s="17" t="s">
        <v>39966</v>
      </c>
      <c r="AW18" s="13" t="s">
        <v>39916</v>
      </c>
      <c r="AX18" s="2"/>
      <c r="AY18" s="1"/>
      <c r="AZ18" s="160">
        <f>_xlfn.XLOOKUP(Tabela98[[#This Row], [Descrição do projeto]],[3]Geração!$G:$G,[3]Geração!$F:$F,,0,1)</f>
      </c>
    </row>
    <row x14ac:dyDescent="0.25" r="19" customHeight="1" ht="24.75">
      <c r="A19" s="149"/>
      <c r="B19" s="150">
        <f>AND(ISTEXT('Consolidado-Eletronorte'!#REF!),SUM('Consolidado-Eletronorte'!#REF!)&gt;0)</f>
      </c>
      <c r="C19" s="151">
        <f>INDIRECT(SUBSTITUTE($J28&amp;$K28," ",""))</f>
      </c>
      <c r="D19" s="151">
        <f>$H$3</f>
      </c>
      <c r="E19" s="151">
        <f>$H$4</f>
      </c>
      <c r="F19" s="152"/>
      <c r="G19" s="151">
        <f>_xlfn.CONCAT('Consolidado-Eletronorte'!#REF!,"_",ROW('Consolidado-Eletronorte'!#REF!)-ROW('Consolidado-Eletronorte'!$G$18))</f>
      </c>
      <c r="H19" s="153" t="s">
        <v>10</v>
      </c>
      <c r="I19" s="153" t="s">
        <v>88</v>
      </c>
      <c r="J19" s="153" t="s">
        <v>5</v>
      </c>
      <c r="K19" s="154" t="s">
        <v>16</v>
      </c>
      <c r="L19" s="153" t="s">
        <v>67</v>
      </c>
      <c r="M19" s="153" t="s">
        <v>39932</v>
      </c>
      <c r="N19" s="153"/>
      <c r="O19" s="153"/>
      <c r="P19" s="154" t="s">
        <v>38366</v>
      </c>
      <c r="Q19" s="155" t="s">
        <v>39967</v>
      </c>
      <c r="R19" s="155" t="s">
        <v>39968</v>
      </c>
      <c r="S19" s="153" t="s">
        <v>39969</v>
      </c>
      <c r="T19" s="63">
        <v>0</v>
      </c>
      <c r="U19" s="63">
        <v>0</v>
      </c>
      <c r="V19" s="63">
        <v>0</v>
      </c>
      <c r="W19" s="63">
        <v>0</v>
      </c>
      <c r="X19" s="63">
        <v>0</v>
      </c>
      <c r="Y19" s="63">
        <v>0</v>
      </c>
      <c r="Z19" s="63">
        <v>1000000</v>
      </c>
      <c r="AA19" s="63">
        <v>0</v>
      </c>
      <c r="AB19" s="63">
        <v>1000000</v>
      </c>
      <c r="AC19" s="63">
        <v>0</v>
      </c>
      <c r="AD19" s="63">
        <v>0</v>
      </c>
      <c r="AE19" s="63">
        <v>1000000</v>
      </c>
      <c r="AF19" s="63">
        <v>3000000</v>
      </c>
      <c r="AG19" s="63">
        <v>7500000</v>
      </c>
      <c r="AH19" s="63">
        <v>4500000</v>
      </c>
      <c r="AI19" s="63">
        <v>0</v>
      </c>
      <c r="AJ19" s="63">
        <v>0</v>
      </c>
      <c r="AK19" s="63">
        <v>15000000</v>
      </c>
      <c r="AL19" s="63">
        <v>0</v>
      </c>
      <c r="AM19" s="63">
        <v>0</v>
      </c>
      <c r="AN19" s="63">
        <v>0</v>
      </c>
      <c r="AO19" s="63">
        <v>0</v>
      </c>
      <c r="AP19" s="63">
        <v>0</v>
      </c>
      <c r="AQ19" s="63">
        <v>15000000</v>
      </c>
      <c r="AR19" s="39">
        <v>90</v>
      </c>
      <c r="AS19" s="224" t="s">
        <v>39964</v>
      </c>
      <c r="AT19" s="225" t="s">
        <v>39970</v>
      </c>
      <c r="AU19" s="13" t="s">
        <v>39971</v>
      </c>
      <c r="AV19" s="39">
        <v>0</v>
      </c>
      <c r="AW19" s="13" t="s">
        <v>39931</v>
      </c>
      <c r="AX19" s="2"/>
      <c r="AY19" s="1"/>
      <c r="AZ19" s="160">
        <f>_xlfn.XLOOKUP(Tabela98[[#This Row], [Descrição do projeto]],[3]Geração!$G:$G,[3]Geração!$F:$F,,0,1)</f>
      </c>
    </row>
    <row x14ac:dyDescent="0.25" r="20" customHeight="1" ht="24.75">
      <c r="A20" s="149"/>
      <c r="B20" s="150">
        <f>AND(ISTEXT('Consolidado-Eletronorte'!#REF!),SUM('Consolidado-Eletronorte'!#REF!)&gt;0)</f>
      </c>
      <c r="C20" s="151">
        <f>INDIRECT(SUBSTITUTE($J29&amp;$K29," ",""))</f>
      </c>
      <c r="D20" s="151">
        <f>$H$3</f>
      </c>
      <c r="E20" s="151">
        <f>$H$4</f>
      </c>
      <c r="F20" s="152"/>
      <c r="G20" s="151">
        <f>_xlfn.CONCAT('Consolidado-Eletronorte'!#REF!,"_",ROW('Consolidado-Eletronorte'!#REF!)-ROW('Consolidado-Eletronorte'!$G$18))</f>
      </c>
      <c r="H20" s="153" t="s">
        <v>10</v>
      </c>
      <c r="I20" s="153" t="s">
        <v>88</v>
      </c>
      <c r="J20" s="153" t="s">
        <v>5</v>
      </c>
      <c r="K20" s="154" t="s">
        <v>16</v>
      </c>
      <c r="L20" s="153" t="s">
        <v>67</v>
      </c>
      <c r="M20" s="153" t="s">
        <v>39949</v>
      </c>
      <c r="N20" s="153"/>
      <c r="O20" s="153"/>
      <c r="P20" s="154" t="s">
        <v>38358</v>
      </c>
      <c r="Q20" s="155" t="s">
        <v>39972</v>
      </c>
      <c r="R20" s="155" t="s">
        <v>39973</v>
      </c>
      <c r="S20" s="153" t="s">
        <v>39912</v>
      </c>
      <c r="T20" s="63">
        <v>0</v>
      </c>
      <c r="U20" s="63">
        <v>0</v>
      </c>
      <c r="V20" s="63">
        <v>1400000</v>
      </c>
      <c r="W20" s="63">
        <v>0</v>
      </c>
      <c r="X20" s="63">
        <v>0</v>
      </c>
      <c r="Y20" s="63">
        <v>0</v>
      </c>
      <c r="Z20" s="63">
        <v>1400000</v>
      </c>
      <c r="AA20" s="63">
        <v>0</v>
      </c>
      <c r="AB20" s="63">
        <v>0</v>
      </c>
      <c r="AC20" s="63">
        <v>0</v>
      </c>
      <c r="AD20" s="63">
        <v>0</v>
      </c>
      <c r="AE20" s="63">
        <v>4200000</v>
      </c>
      <c r="AF20" s="63">
        <v>7000000</v>
      </c>
      <c r="AG20" s="63">
        <v>7000000</v>
      </c>
      <c r="AH20" s="63">
        <v>0</v>
      </c>
      <c r="AI20" s="63">
        <v>0</v>
      </c>
      <c r="AJ20" s="63">
        <v>0</v>
      </c>
      <c r="AK20" s="63">
        <v>14000000</v>
      </c>
      <c r="AL20" s="63">
        <v>0</v>
      </c>
      <c r="AM20" s="63">
        <v>0</v>
      </c>
      <c r="AN20" s="63">
        <v>0</v>
      </c>
      <c r="AO20" s="63">
        <v>0</v>
      </c>
      <c r="AP20" s="63">
        <v>0</v>
      </c>
      <c r="AQ20" s="63">
        <v>14000000</v>
      </c>
      <c r="AR20" s="39">
        <v>11</v>
      </c>
      <c r="AS20" s="13" t="s">
        <v>39964</v>
      </c>
      <c r="AT20" s="39">
        <v>2025</v>
      </c>
      <c r="AU20" s="13" t="s">
        <v>39974</v>
      </c>
      <c r="AV20" s="128" t="s">
        <v>39975</v>
      </c>
      <c r="AW20" s="13" t="s">
        <v>39923</v>
      </c>
      <c r="AX20" s="2"/>
      <c r="AY20" s="1"/>
      <c r="AZ20" s="160">
        <f>_xlfn.XLOOKUP(Tabela98[[#This Row], [Descrição do projeto]],[3]Geração!$G:$G,[3]Geração!$F:$F,,0,1)</f>
      </c>
    </row>
    <row x14ac:dyDescent="0.25" r="21" customHeight="1" ht="24.75">
      <c r="A21" s="149"/>
      <c r="B21" s="150">
        <f>AND(ISTEXT('Consolidado-Eletronorte'!#REF!),SUM('Consolidado-Eletronorte'!#REF!)&gt;0)</f>
      </c>
      <c r="C21" s="151">
        <f>INDIRECT(SUBSTITUTE($J30&amp;$K30," ",""))</f>
      </c>
      <c r="D21" s="151">
        <f>$H$3</f>
      </c>
      <c r="E21" s="151">
        <f>$H$4</f>
      </c>
      <c r="F21" s="152"/>
      <c r="G21" s="151">
        <f>_xlfn.CONCAT('Consolidado-Eletronorte'!#REF!,"_",ROW('Consolidado-Eletronorte'!#REF!)-ROW('Consolidado-Eletronorte'!$G$18))</f>
      </c>
      <c r="H21" s="153" t="s">
        <v>10</v>
      </c>
      <c r="I21" s="153" t="s">
        <v>88</v>
      </c>
      <c r="J21" s="153" t="s">
        <v>5</v>
      </c>
      <c r="K21" s="154" t="s">
        <v>16</v>
      </c>
      <c r="L21" s="153" t="s">
        <v>67</v>
      </c>
      <c r="M21" s="153" t="s">
        <v>39917</v>
      </c>
      <c r="N21" s="153"/>
      <c r="O21" s="153"/>
      <c r="P21" s="154" t="s">
        <v>38358</v>
      </c>
      <c r="Q21" s="155" t="s">
        <v>39976</v>
      </c>
      <c r="R21" s="155" t="s">
        <v>39977</v>
      </c>
      <c r="S21" s="153" t="s">
        <v>39912</v>
      </c>
      <c r="T21" s="63">
        <v>0</v>
      </c>
      <c r="U21" s="63">
        <v>0</v>
      </c>
      <c r="V21" s="63">
        <v>3000000</v>
      </c>
      <c r="W21" s="63">
        <v>0</v>
      </c>
      <c r="X21" s="63">
        <v>0</v>
      </c>
      <c r="Y21" s="63">
        <v>3000000</v>
      </c>
      <c r="Z21" s="63">
        <v>0</v>
      </c>
      <c r="AA21" s="63">
        <v>0</v>
      </c>
      <c r="AB21" s="63">
        <v>0</v>
      </c>
      <c r="AC21" s="63">
        <v>0</v>
      </c>
      <c r="AD21" s="63">
        <v>4000000</v>
      </c>
      <c r="AE21" s="63">
        <v>0</v>
      </c>
      <c r="AF21" s="63">
        <v>10000000</v>
      </c>
      <c r="AG21" s="63">
        <v>3500000</v>
      </c>
      <c r="AH21" s="63">
        <v>0</v>
      </c>
      <c r="AI21" s="63">
        <v>0</v>
      </c>
      <c r="AJ21" s="63">
        <v>0</v>
      </c>
      <c r="AK21" s="63">
        <v>13500000</v>
      </c>
      <c r="AL21" s="63">
        <v>0</v>
      </c>
      <c r="AM21" s="63">
        <v>0</v>
      </c>
      <c r="AN21" s="63">
        <v>0</v>
      </c>
      <c r="AO21" s="63">
        <v>0</v>
      </c>
      <c r="AP21" s="63">
        <v>0</v>
      </c>
      <c r="AQ21" s="63">
        <v>13500000</v>
      </c>
      <c r="AR21" s="39">
        <v>97</v>
      </c>
      <c r="AS21" s="224" t="s">
        <v>39964</v>
      </c>
      <c r="AT21" s="39">
        <v>2025</v>
      </c>
      <c r="AU21" s="226" t="s">
        <v>39978</v>
      </c>
      <c r="AV21" s="17" t="s">
        <v>39979</v>
      </c>
      <c r="AW21" s="13" t="s">
        <v>39923</v>
      </c>
      <c r="AX21" s="2"/>
      <c r="AY21" s="1"/>
      <c r="AZ21" s="160">
        <f>_xlfn.XLOOKUP(Tabela98[[#This Row], [Descrição do projeto]],[3]Geração!$G:$G,[3]Geração!$F:$F,,0,1)</f>
      </c>
    </row>
    <row x14ac:dyDescent="0.25" r="22" customHeight="1" ht="24.75">
      <c r="A22" s="149"/>
      <c r="B22" s="150">
        <f>AND(ISTEXT('Consolidado-Eletronorte'!#REF!),SUM('Consolidado-Eletronorte'!#REF!)&gt;0)</f>
      </c>
      <c r="C22" s="151">
        <f>INDIRECT(SUBSTITUTE($J31&amp;$K31," ",""))</f>
      </c>
      <c r="D22" s="151">
        <f>$H$3</f>
      </c>
      <c r="E22" s="151">
        <f>$H$4</f>
      </c>
      <c r="F22" s="152"/>
      <c r="G22" s="151">
        <f>_xlfn.CONCAT('Consolidado-Eletronorte'!#REF!,"_",ROW('Consolidado-Eletronorte'!#REF!)-ROW('Consolidado-Eletronorte'!$G$18))</f>
      </c>
      <c r="H22" s="153" t="s">
        <v>10</v>
      </c>
      <c r="I22" s="153" t="s">
        <v>88</v>
      </c>
      <c r="J22" s="153" t="s">
        <v>5</v>
      </c>
      <c r="K22" s="154" t="s">
        <v>16</v>
      </c>
      <c r="L22" s="153" t="s">
        <v>67</v>
      </c>
      <c r="M22" s="153" t="s">
        <v>39980</v>
      </c>
      <c r="N22" s="153"/>
      <c r="O22" s="153"/>
      <c r="P22" s="154" t="s">
        <v>38358</v>
      </c>
      <c r="Q22" s="155" t="s">
        <v>39981</v>
      </c>
      <c r="R22" s="155" t="s">
        <v>39982</v>
      </c>
      <c r="S22" s="153" t="s">
        <v>39912</v>
      </c>
      <c r="T22" s="63">
        <v>0</v>
      </c>
      <c r="U22" s="63">
        <v>2000000</v>
      </c>
      <c r="V22" s="63">
        <v>0</v>
      </c>
      <c r="W22" s="63">
        <v>2000000</v>
      </c>
      <c r="X22" s="63">
        <v>0</v>
      </c>
      <c r="Y22" s="63">
        <v>2000000</v>
      </c>
      <c r="Z22" s="63">
        <v>0</v>
      </c>
      <c r="AA22" s="63">
        <v>2000000</v>
      </c>
      <c r="AB22" s="63">
        <v>0</v>
      </c>
      <c r="AC22" s="63">
        <v>0</v>
      </c>
      <c r="AD22" s="63">
        <v>0</v>
      </c>
      <c r="AE22" s="63">
        <v>0</v>
      </c>
      <c r="AF22" s="63">
        <v>8000000</v>
      </c>
      <c r="AG22" s="63">
        <v>0</v>
      </c>
      <c r="AH22" s="63">
        <v>0</v>
      </c>
      <c r="AI22" s="63">
        <v>0</v>
      </c>
      <c r="AJ22" s="63">
        <v>0</v>
      </c>
      <c r="AK22" s="63">
        <v>8000000</v>
      </c>
      <c r="AL22" s="63">
        <v>0</v>
      </c>
      <c r="AM22" s="63">
        <v>0</v>
      </c>
      <c r="AN22" s="63">
        <v>0</v>
      </c>
      <c r="AO22" s="63">
        <v>0</v>
      </c>
      <c r="AP22" s="63">
        <v>0</v>
      </c>
      <c r="AQ22" s="63">
        <v>8000000</v>
      </c>
      <c r="AR22" s="39">
        <v>122</v>
      </c>
      <c r="AS22" s="3" t="s">
        <v>39983</v>
      </c>
      <c r="AT22" s="39">
        <v>2025</v>
      </c>
      <c r="AU22" s="3" t="s">
        <v>39984</v>
      </c>
      <c r="AV22" s="113" t="s">
        <v>39957</v>
      </c>
      <c r="AW22" s="13" t="s">
        <v>39923</v>
      </c>
      <c r="AX22" s="2"/>
      <c r="AY22" s="1"/>
      <c r="AZ22" s="160">
        <f>_xlfn.XLOOKUP(Tabela98[[#This Row], [Descrição do projeto]],[3]Geração!$G:$G,[3]Geração!$F:$F,,0,1)</f>
      </c>
    </row>
    <row x14ac:dyDescent="0.25" r="23" customHeight="1" ht="24.75">
      <c r="A23" s="149"/>
      <c r="B23" s="150">
        <f>AND(ISTEXT('Consolidado-Eletronorte'!#REF!),SUM('Consolidado-Eletronorte'!#REF!)&gt;0)</f>
      </c>
      <c r="C23" s="151">
        <f>INDIRECT(SUBSTITUTE($J32&amp;$K32," ",""))</f>
      </c>
      <c r="D23" s="151">
        <f>$H$3</f>
      </c>
      <c r="E23" s="151">
        <f>$H$4</f>
      </c>
      <c r="F23" s="152"/>
      <c r="G23" s="151">
        <f>_xlfn.CONCAT('Consolidado-Eletronorte'!#REF!,"_",ROW('Consolidado-Eletronorte'!#REF!)-ROW('Consolidado-Eletronorte'!$G$18))</f>
      </c>
      <c r="H23" s="153" t="s">
        <v>10</v>
      </c>
      <c r="I23" s="153" t="s">
        <v>88</v>
      </c>
      <c r="J23" s="153" t="s">
        <v>5</v>
      </c>
      <c r="K23" s="154" t="s">
        <v>16</v>
      </c>
      <c r="L23" s="153" t="s">
        <v>67</v>
      </c>
      <c r="M23" s="153" t="s">
        <v>39985</v>
      </c>
      <c r="N23" s="153"/>
      <c r="O23" s="153"/>
      <c r="P23" s="154" t="s">
        <v>38358</v>
      </c>
      <c r="Q23" s="155" t="s">
        <v>39986</v>
      </c>
      <c r="R23" s="155" t="s">
        <v>39987</v>
      </c>
      <c r="S23" s="153" t="s">
        <v>39912</v>
      </c>
      <c r="T23" s="63">
        <v>0</v>
      </c>
      <c r="U23" s="63">
        <v>0</v>
      </c>
      <c r="V23" s="63">
        <v>0</v>
      </c>
      <c r="W23" s="63">
        <v>3782500</v>
      </c>
      <c r="X23" s="63">
        <v>0</v>
      </c>
      <c r="Y23" s="63">
        <v>0</v>
      </c>
      <c r="Z23" s="63">
        <v>0</v>
      </c>
      <c r="AA23" s="63">
        <v>3782500</v>
      </c>
      <c r="AB23" s="63">
        <v>0</v>
      </c>
      <c r="AC23" s="63">
        <v>0</v>
      </c>
      <c r="AD23" s="63">
        <v>0</v>
      </c>
      <c r="AE23" s="63">
        <v>0</v>
      </c>
      <c r="AF23" s="63">
        <v>7565000</v>
      </c>
      <c r="AG23" s="63">
        <v>0</v>
      </c>
      <c r="AH23" s="63">
        <v>0</v>
      </c>
      <c r="AI23" s="63">
        <v>0</v>
      </c>
      <c r="AJ23" s="63">
        <v>0</v>
      </c>
      <c r="AK23" s="63">
        <v>7565000</v>
      </c>
      <c r="AL23" s="63">
        <v>0</v>
      </c>
      <c r="AM23" s="63">
        <v>0</v>
      </c>
      <c r="AN23" s="63">
        <v>0</v>
      </c>
      <c r="AO23" s="63">
        <v>0</v>
      </c>
      <c r="AP23" s="63">
        <v>0</v>
      </c>
      <c r="AQ23" s="63">
        <v>7565000</v>
      </c>
      <c r="AR23" s="39">
        <v>104</v>
      </c>
      <c r="AS23" s="13" t="s">
        <v>39964</v>
      </c>
      <c r="AT23" s="39">
        <v>2025</v>
      </c>
      <c r="AU23" s="13" t="s">
        <v>39988</v>
      </c>
      <c r="AV23" s="128" t="s">
        <v>39989</v>
      </c>
      <c r="AW23" s="13" t="s">
        <v>39931</v>
      </c>
      <c r="AX23" s="2"/>
      <c r="AY23" s="1"/>
      <c r="AZ23" s="160">
        <f>_xlfn.XLOOKUP(Tabela98[[#This Row], [Descrição do projeto]],[3]Geração!$G:$G,[3]Geração!$F:$F,,0,1)</f>
      </c>
    </row>
    <row x14ac:dyDescent="0.25" r="24" customHeight="1" ht="24.75">
      <c r="A24" s="149"/>
      <c r="B24" s="150">
        <f>AND(ISTEXT('Consolidado-Eletronorte'!#REF!),SUM('Consolidado-Eletronorte'!#REF!)&gt;0)</f>
      </c>
      <c r="C24" s="151">
        <f>INDIRECT(SUBSTITUTE($J33&amp;$K33," ",""))</f>
      </c>
      <c r="D24" s="151">
        <f>$H$3</f>
      </c>
      <c r="E24" s="151">
        <f>$H$4</f>
      </c>
      <c r="F24" s="152"/>
      <c r="G24" s="151">
        <f>_xlfn.CONCAT('Consolidado-Eletronorte'!#REF!,"_",ROW('Consolidado-Eletronorte'!#REF!)-ROW('Consolidado-Eletronorte'!$G$18))</f>
      </c>
      <c r="H24" s="153" t="s">
        <v>10</v>
      </c>
      <c r="I24" s="153" t="s">
        <v>88</v>
      </c>
      <c r="J24" s="153" t="s">
        <v>5</v>
      </c>
      <c r="K24" s="154" t="s">
        <v>16</v>
      </c>
      <c r="L24" s="153" t="s">
        <v>67</v>
      </c>
      <c r="M24" s="153" t="s">
        <v>39949</v>
      </c>
      <c r="N24" s="153"/>
      <c r="O24" s="153"/>
      <c r="P24" s="154" t="s">
        <v>38358</v>
      </c>
      <c r="Q24" s="155" t="s">
        <v>39990</v>
      </c>
      <c r="R24" s="155" t="s">
        <v>39991</v>
      </c>
      <c r="S24" s="153" t="s">
        <v>39912</v>
      </c>
      <c r="T24" s="63">
        <v>0</v>
      </c>
      <c r="U24" s="63">
        <v>0</v>
      </c>
      <c r="V24" s="63">
        <v>0</v>
      </c>
      <c r="W24" s="63">
        <v>0</v>
      </c>
      <c r="X24" s="63">
        <v>2500000</v>
      </c>
      <c r="Y24" s="63">
        <v>0</v>
      </c>
      <c r="Z24" s="63">
        <v>0</v>
      </c>
      <c r="AA24" s="63">
        <v>0</v>
      </c>
      <c r="AB24" s="63">
        <v>0</v>
      </c>
      <c r="AC24" s="63">
        <v>2500000</v>
      </c>
      <c r="AD24" s="63">
        <v>0</v>
      </c>
      <c r="AE24" s="63">
        <v>0</v>
      </c>
      <c r="AF24" s="63">
        <v>5000000</v>
      </c>
      <c r="AG24" s="63">
        <v>2500000</v>
      </c>
      <c r="AH24" s="63">
        <v>0</v>
      </c>
      <c r="AI24" s="63">
        <v>0</v>
      </c>
      <c r="AJ24" s="63">
        <v>0</v>
      </c>
      <c r="AK24" s="63">
        <v>7500000</v>
      </c>
      <c r="AL24" s="63">
        <v>0</v>
      </c>
      <c r="AM24" s="63">
        <v>0</v>
      </c>
      <c r="AN24" s="63">
        <v>0</v>
      </c>
      <c r="AO24" s="63">
        <v>0</v>
      </c>
      <c r="AP24" s="63">
        <v>0</v>
      </c>
      <c r="AQ24" s="63">
        <v>7500000</v>
      </c>
      <c r="AR24" s="39">
        <v>93</v>
      </c>
      <c r="AS24" s="13" t="s">
        <v>39964</v>
      </c>
      <c r="AT24" s="39">
        <v>2025</v>
      </c>
      <c r="AU24" s="13" t="s">
        <v>39992</v>
      </c>
      <c r="AV24" s="39">
        <v>0</v>
      </c>
      <c r="AW24" s="13" t="s">
        <v>39931</v>
      </c>
      <c r="AX24" s="2"/>
      <c r="AY24" s="1"/>
      <c r="AZ24" s="160">
        <f>_xlfn.XLOOKUP(Tabela98[[#This Row], [Descrição do projeto]],[3]Geração!$G:$G,[3]Geração!$F:$F,,0,1)</f>
      </c>
    </row>
    <row x14ac:dyDescent="0.25" r="25" customHeight="1" ht="24.75">
      <c r="A25" s="149"/>
      <c r="B25" s="150">
        <f>AND(ISTEXT('Consolidado-Eletronorte'!#REF!),SUM('Consolidado-Eletronorte'!#REF!)&gt;0)</f>
      </c>
      <c r="C25" s="151">
        <f>INDIRECT(SUBSTITUTE($J34&amp;$K34," ",""))</f>
      </c>
      <c r="D25" s="151">
        <f>$H$3</f>
      </c>
      <c r="E25" s="151">
        <f>$H$4</f>
      </c>
      <c r="F25" s="152"/>
      <c r="G25" s="151">
        <f>_xlfn.CONCAT('Consolidado-Eletronorte'!#REF!,"_",ROW('Consolidado-Eletronorte'!#REF!)-ROW('Consolidado-Eletronorte'!$G$18))</f>
      </c>
      <c r="H25" s="153" t="s">
        <v>10</v>
      </c>
      <c r="I25" s="153" t="s">
        <v>88</v>
      </c>
      <c r="J25" s="153" t="s">
        <v>5</v>
      </c>
      <c r="K25" s="154" t="s">
        <v>16</v>
      </c>
      <c r="L25" s="153" t="s">
        <v>67</v>
      </c>
      <c r="M25" s="153" t="s">
        <v>39949</v>
      </c>
      <c r="N25" s="153"/>
      <c r="O25" s="153"/>
      <c r="P25" s="154" t="s">
        <v>38368</v>
      </c>
      <c r="Q25" s="155" t="s">
        <v>39993</v>
      </c>
      <c r="R25" s="155" t="s">
        <v>39994</v>
      </c>
      <c r="S25" s="153" t="s">
        <v>38369</v>
      </c>
      <c r="T25" s="63">
        <v>0</v>
      </c>
      <c r="U25" s="63">
        <v>0</v>
      </c>
      <c r="V25" s="63">
        <v>0</v>
      </c>
      <c r="W25" s="63">
        <v>0</v>
      </c>
      <c r="X25" s="63">
        <v>0</v>
      </c>
      <c r="Y25" s="63">
        <v>0</v>
      </c>
      <c r="Z25" s="63">
        <v>0</v>
      </c>
      <c r="AA25" s="63">
        <v>0</v>
      </c>
      <c r="AB25" s="63">
        <v>0</v>
      </c>
      <c r="AC25" s="63">
        <v>0</v>
      </c>
      <c r="AD25" s="63">
        <v>0</v>
      </c>
      <c r="AE25" s="63">
        <v>0</v>
      </c>
      <c r="AF25" s="63">
        <v>0</v>
      </c>
      <c r="AG25" s="63">
        <v>7200000</v>
      </c>
      <c r="AH25" s="63">
        <v>0</v>
      </c>
      <c r="AI25" s="63">
        <v>0</v>
      </c>
      <c r="AJ25" s="63">
        <v>0</v>
      </c>
      <c r="AK25" s="63">
        <v>7200000</v>
      </c>
      <c r="AL25" s="63">
        <v>0</v>
      </c>
      <c r="AM25" s="63">
        <v>0</v>
      </c>
      <c r="AN25" s="63">
        <v>0</v>
      </c>
      <c r="AO25" s="63">
        <v>0</v>
      </c>
      <c r="AP25" s="63">
        <v>0</v>
      </c>
      <c r="AQ25" s="63">
        <v>7200000</v>
      </c>
      <c r="AR25" s="39">
        <v>27</v>
      </c>
      <c r="AS25" s="13" t="s">
        <v>39952</v>
      </c>
      <c r="AT25" s="128" t="s">
        <v>39970</v>
      </c>
      <c r="AU25" s="13" t="s">
        <v>39995</v>
      </c>
      <c r="AV25" s="39">
        <v>0</v>
      </c>
      <c r="AW25" s="13" t="s">
        <v>39931</v>
      </c>
      <c r="AX25" s="2"/>
      <c r="AY25" s="1"/>
      <c r="AZ25" s="160">
        <f>_xlfn.XLOOKUP(Tabela98[[#This Row], [Descrição do projeto]],[3]Geração!$G:$G,[3]Geração!$F:$F,,0,1)</f>
      </c>
    </row>
    <row x14ac:dyDescent="0.25" r="26" customHeight="1" ht="24.75">
      <c r="A26" s="149"/>
      <c r="B26" s="150">
        <f>AND(ISTEXT('Consolidado-Eletronorte'!#REF!),SUM('Consolidado-Eletronorte'!#REF!)&gt;0)</f>
      </c>
      <c r="C26" s="151">
        <f>INDIRECT(SUBSTITUTE($J35&amp;$K35," ",""))</f>
      </c>
      <c r="D26" s="151">
        <f>$H$3</f>
      </c>
      <c r="E26" s="151">
        <f>$H$4</f>
      </c>
      <c r="F26" s="152"/>
      <c r="G26" s="151">
        <f>_xlfn.CONCAT('Consolidado-Eletronorte'!#REF!,"_",ROW('Consolidado-Eletronorte'!#REF!)-ROW('Consolidado-Eletronorte'!$G$18))</f>
      </c>
      <c r="H26" s="153" t="s">
        <v>10</v>
      </c>
      <c r="I26" s="153" t="s">
        <v>88</v>
      </c>
      <c r="J26" s="153" t="s">
        <v>5</v>
      </c>
      <c r="K26" s="154" t="s">
        <v>16</v>
      </c>
      <c r="L26" s="153" t="s">
        <v>67</v>
      </c>
      <c r="M26" s="153" t="s">
        <v>39949</v>
      </c>
      <c r="N26" s="153"/>
      <c r="O26" s="153"/>
      <c r="P26" s="154" t="s">
        <v>38349</v>
      </c>
      <c r="Q26" s="155" t="s">
        <v>39996</v>
      </c>
      <c r="R26" s="155" t="s">
        <v>39997</v>
      </c>
      <c r="S26" s="153" t="s">
        <v>39998</v>
      </c>
      <c r="T26" s="63">
        <v>0</v>
      </c>
      <c r="U26" s="63">
        <v>500000</v>
      </c>
      <c r="V26" s="63">
        <v>0</v>
      </c>
      <c r="W26" s="63">
        <v>0</v>
      </c>
      <c r="X26" s="63">
        <v>0</v>
      </c>
      <c r="Y26" s="63">
        <v>1500000</v>
      </c>
      <c r="Z26" s="63">
        <v>0</v>
      </c>
      <c r="AA26" s="63">
        <v>1000000</v>
      </c>
      <c r="AB26" s="63">
        <v>0</v>
      </c>
      <c r="AC26" s="63">
        <v>500000</v>
      </c>
      <c r="AD26" s="63">
        <v>0</v>
      </c>
      <c r="AE26" s="63">
        <v>0</v>
      </c>
      <c r="AF26" s="63">
        <v>3500000</v>
      </c>
      <c r="AG26" s="63">
        <v>1500000</v>
      </c>
      <c r="AH26" s="63">
        <v>2000000</v>
      </c>
      <c r="AI26" s="63">
        <v>0</v>
      </c>
      <c r="AJ26" s="63">
        <v>0</v>
      </c>
      <c r="AK26" s="63">
        <v>7000000</v>
      </c>
      <c r="AL26" s="63">
        <v>0</v>
      </c>
      <c r="AM26" s="63">
        <v>0</v>
      </c>
      <c r="AN26" s="63">
        <v>0</v>
      </c>
      <c r="AO26" s="63">
        <v>0</v>
      </c>
      <c r="AP26" s="63">
        <v>0</v>
      </c>
      <c r="AQ26" s="63">
        <v>7000000</v>
      </c>
      <c r="AR26" s="39">
        <v>51</v>
      </c>
      <c r="AS26" s="224" t="s">
        <v>39964</v>
      </c>
      <c r="AT26" s="39">
        <v>2025</v>
      </c>
      <c r="AU26" s="13" t="s">
        <v>39999</v>
      </c>
      <c r="AV26" s="17" t="s">
        <v>40000</v>
      </c>
      <c r="AW26" s="13" t="s">
        <v>39923</v>
      </c>
      <c r="AX26" s="2"/>
      <c r="AY26" s="1"/>
      <c r="AZ26" s="160">
        <f>_xlfn.XLOOKUP(Tabela98[[#This Row], [Descrição do projeto]],[3]Geração!$G:$G,[3]Geração!$F:$F,,0,1)</f>
      </c>
    </row>
    <row x14ac:dyDescent="0.25" r="27" customHeight="1" ht="24.75">
      <c r="A27" s="149"/>
      <c r="B27" s="150">
        <f>AND(ISTEXT('Consolidado-Eletronorte'!#REF!),SUM('Consolidado-Eletronorte'!#REF!)&gt;0)</f>
      </c>
      <c r="C27" s="151">
        <f>INDIRECT(SUBSTITUTE($J36&amp;$K36," ",""))</f>
      </c>
      <c r="D27" s="151">
        <f>$H$3</f>
      </c>
      <c r="E27" s="151">
        <f>$H$4</f>
      </c>
      <c r="F27" s="152"/>
      <c r="G27" s="151">
        <f>_xlfn.CONCAT('Consolidado-Eletronorte'!#REF!,"_",ROW('Consolidado-Eletronorte'!#REF!)-ROW('Consolidado-Eletronorte'!$G$18))</f>
      </c>
      <c r="H27" s="153" t="s">
        <v>10</v>
      </c>
      <c r="I27" s="153" t="s">
        <v>88</v>
      </c>
      <c r="J27" s="153" t="s">
        <v>5</v>
      </c>
      <c r="K27" s="154" t="s">
        <v>16</v>
      </c>
      <c r="L27" s="153" t="s">
        <v>67</v>
      </c>
      <c r="M27" s="153" t="s">
        <v>39932</v>
      </c>
      <c r="N27" s="153"/>
      <c r="O27" s="153"/>
      <c r="P27" s="154" t="s">
        <v>38358</v>
      </c>
      <c r="Q27" s="155" t="s">
        <v>40001</v>
      </c>
      <c r="R27" s="155" t="s">
        <v>40002</v>
      </c>
      <c r="S27" s="153" t="s">
        <v>39912</v>
      </c>
      <c r="T27" s="63">
        <v>415017</v>
      </c>
      <c r="U27" s="63">
        <v>415017</v>
      </c>
      <c r="V27" s="63">
        <v>415017</v>
      </c>
      <c r="W27" s="63">
        <v>415017</v>
      </c>
      <c r="X27" s="63">
        <v>415017</v>
      </c>
      <c r="Y27" s="63">
        <v>415017</v>
      </c>
      <c r="Z27" s="63">
        <v>415017</v>
      </c>
      <c r="AA27" s="63">
        <v>415017</v>
      </c>
      <c r="AB27" s="63">
        <v>415017</v>
      </c>
      <c r="AC27" s="63">
        <v>415017</v>
      </c>
      <c r="AD27" s="63">
        <v>415017</v>
      </c>
      <c r="AE27" s="63">
        <v>415017</v>
      </c>
      <c r="AF27" s="63">
        <v>4980203.999999999</v>
      </c>
      <c r="AG27" s="63">
        <v>2000000</v>
      </c>
      <c r="AH27" s="63">
        <v>0</v>
      </c>
      <c r="AI27" s="63">
        <v>0</v>
      </c>
      <c r="AJ27" s="63">
        <v>0</v>
      </c>
      <c r="AK27" s="63">
        <v>6980203.999999999</v>
      </c>
      <c r="AL27" s="63">
        <v>0</v>
      </c>
      <c r="AM27" s="63">
        <v>0</v>
      </c>
      <c r="AN27" s="63">
        <v>0</v>
      </c>
      <c r="AO27" s="63">
        <v>0</v>
      </c>
      <c r="AP27" s="63">
        <v>0</v>
      </c>
      <c r="AQ27" s="63">
        <v>6980203.999999999</v>
      </c>
      <c r="AR27" s="39">
        <v>35</v>
      </c>
      <c r="AS27" s="13" t="s">
        <v>39956</v>
      </c>
      <c r="AT27" s="39">
        <v>2025</v>
      </c>
      <c r="AU27" s="13" t="s">
        <v>40003</v>
      </c>
      <c r="AV27" s="128" t="s">
        <v>39961</v>
      </c>
      <c r="AW27" s="13" t="s">
        <v>39931</v>
      </c>
      <c r="AX27" s="2"/>
      <c r="AY27" s="1"/>
      <c r="AZ27" s="160">
        <f>_xlfn.XLOOKUP(Tabela98[[#This Row], [Descrição do projeto]],[3]Geração!$G:$G,[3]Geração!$F:$F,,0,1)</f>
      </c>
    </row>
    <row x14ac:dyDescent="0.25" r="28" customHeight="1" ht="24.75">
      <c r="A28" s="149"/>
      <c r="B28" s="150">
        <f>AND(ISTEXT('Consolidado-Eletronorte'!#REF!),SUM('Consolidado-Eletronorte'!#REF!)&gt;0)</f>
      </c>
      <c r="C28" s="151">
        <f>INDIRECT(SUBSTITUTE($J37&amp;$K37," ",""))</f>
      </c>
      <c r="D28" s="151">
        <f>$H$3</f>
      </c>
      <c r="E28" s="151">
        <f>$H$4</f>
      </c>
      <c r="F28" s="152"/>
      <c r="G28" s="151">
        <f>_xlfn.CONCAT('Consolidado-Eletronorte'!#REF!,"_",ROW('Consolidado-Eletronorte'!#REF!)-ROW('Consolidado-Eletronorte'!$G$18))</f>
      </c>
      <c r="H28" s="153" t="s">
        <v>10</v>
      </c>
      <c r="I28" s="153" t="s">
        <v>88</v>
      </c>
      <c r="J28" s="153" t="s">
        <v>5</v>
      </c>
      <c r="K28" s="154" t="s">
        <v>16</v>
      </c>
      <c r="L28" s="153" t="s">
        <v>67</v>
      </c>
      <c r="M28" s="153" t="s">
        <v>39932</v>
      </c>
      <c r="N28" s="153"/>
      <c r="O28" s="153"/>
      <c r="P28" s="154" t="s">
        <v>38368</v>
      </c>
      <c r="Q28" s="155" t="s">
        <v>40004</v>
      </c>
      <c r="R28" s="155" t="s">
        <v>40005</v>
      </c>
      <c r="S28" s="153" t="s">
        <v>40006</v>
      </c>
      <c r="T28" s="63">
        <v>0</v>
      </c>
      <c r="U28" s="63">
        <v>0</v>
      </c>
      <c r="V28" s="63">
        <v>0</v>
      </c>
      <c r="W28" s="63">
        <v>0</v>
      </c>
      <c r="X28" s="63">
        <v>0</v>
      </c>
      <c r="Y28" s="63">
        <v>0</v>
      </c>
      <c r="Z28" s="63">
        <v>0</v>
      </c>
      <c r="AA28" s="63">
        <v>0</v>
      </c>
      <c r="AB28" s="63">
        <v>3000000</v>
      </c>
      <c r="AC28" s="63">
        <v>0</v>
      </c>
      <c r="AD28" s="63">
        <v>0</v>
      </c>
      <c r="AE28" s="63">
        <v>3000000</v>
      </c>
      <c r="AF28" s="63">
        <v>6000000</v>
      </c>
      <c r="AG28" s="63">
        <v>0</v>
      </c>
      <c r="AH28" s="63">
        <v>0</v>
      </c>
      <c r="AI28" s="63">
        <v>0</v>
      </c>
      <c r="AJ28" s="63">
        <v>0</v>
      </c>
      <c r="AK28" s="63">
        <v>6000000</v>
      </c>
      <c r="AL28" s="63">
        <v>0</v>
      </c>
      <c r="AM28" s="63">
        <v>0</v>
      </c>
      <c r="AN28" s="63">
        <v>0</v>
      </c>
      <c r="AO28" s="63">
        <v>0</v>
      </c>
      <c r="AP28" s="63">
        <v>0</v>
      </c>
      <c r="AQ28" s="63">
        <v>6000000</v>
      </c>
      <c r="AR28" s="39">
        <v>116</v>
      </c>
      <c r="AS28" s="13" t="s">
        <v>39952</v>
      </c>
      <c r="AT28" s="128" t="s">
        <v>39970</v>
      </c>
      <c r="AU28" s="13" t="s">
        <v>40007</v>
      </c>
      <c r="AV28" s="39">
        <v>0</v>
      </c>
      <c r="AW28" s="13" t="s">
        <v>39931</v>
      </c>
      <c r="AX28" s="2"/>
      <c r="AY28" s="1"/>
      <c r="AZ28" s="160">
        <f>_xlfn.XLOOKUP(Tabela98[[#This Row], [Descrição do projeto]],[3]Geração!$G:$G,[3]Geração!$F:$F,,0,1)</f>
      </c>
    </row>
    <row x14ac:dyDescent="0.25" r="29" customHeight="1" ht="24.75">
      <c r="A29" s="149"/>
      <c r="B29" s="150">
        <f>AND(ISTEXT('Consolidado-Eletronorte'!#REF!),SUM('Consolidado-Eletronorte'!#REF!)&gt;0)</f>
      </c>
      <c r="C29" s="151">
        <f>INDIRECT(SUBSTITUTE($J38&amp;$K38," ",""))</f>
      </c>
      <c r="D29" s="151">
        <f>$H$3</f>
      </c>
      <c r="E29" s="151">
        <f>$H$4</f>
      </c>
      <c r="F29" s="152"/>
      <c r="G29" s="151">
        <f>_xlfn.CONCAT('Consolidado-Eletronorte'!#REF!,"_",ROW('Consolidado-Eletronorte'!#REF!)-ROW('Consolidado-Eletronorte'!$G$18))</f>
      </c>
      <c r="H29" s="153" t="s">
        <v>10</v>
      </c>
      <c r="I29" s="153" t="s">
        <v>88</v>
      </c>
      <c r="J29" s="153" t="s">
        <v>5</v>
      </c>
      <c r="K29" s="154" t="s">
        <v>16</v>
      </c>
      <c r="L29" s="153" t="s">
        <v>67</v>
      </c>
      <c r="M29" s="153" t="s">
        <v>39949</v>
      </c>
      <c r="N29" s="153"/>
      <c r="O29" s="153"/>
      <c r="P29" s="154" t="s">
        <v>38368</v>
      </c>
      <c r="Q29" s="155" t="s">
        <v>40008</v>
      </c>
      <c r="R29" s="155" t="s">
        <v>40009</v>
      </c>
      <c r="S29" s="153" t="s">
        <v>40006</v>
      </c>
      <c r="T29" s="63">
        <v>0</v>
      </c>
      <c r="U29" s="63">
        <v>0</v>
      </c>
      <c r="V29" s="63">
        <v>0</v>
      </c>
      <c r="W29" s="63">
        <v>0</v>
      </c>
      <c r="X29" s="63">
        <v>0</v>
      </c>
      <c r="Y29" s="63">
        <v>0</v>
      </c>
      <c r="Z29" s="63">
        <v>0</v>
      </c>
      <c r="AA29" s="63">
        <v>0</v>
      </c>
      <c r="AB29" s="63">
        <v>0</v>
      </c>
      <c r="AC29" s="63">
        <v>0</v>
      </c>
      <c r="AD29" s="63">
        <v>0</v>
      </c>
      <c r="AE29" s="63">
        <v>0</v>
      </c>
      <c r="AF29" s="63">
        <v>0</v>
      </c>
      <c r="AG29" s="63">
        <v>3000000</v>
      </c>
      <c r="AH29" s="63">
        <v>3000000</v>
      </c>
      <c r="AI29" s="63">
        <v>0</v>
      </c>
      <c r="AJ29" s="63">
        <v>0</v>
      </c>
      <c r="AK29" s="63">
        <v>6000000</v>
      </c>
      <c r="AL29" s="63">
        <v>0</v>
      </c>
      <c r="AM29" s="63">
        <v>0</v>
      </c>
      <c r="AN29" s="63">
        <v>0</v>
      </c>
      <c r="AO29" s="63">
        <v>0</v>
      </c>
      <c r="AP29" s="63">
        <v>0</v>
      </c>
      <c r="AQ29" s="63">
        <v>6000000</v>
      </c>
      <c r="AR29" s="39">
        <v>73</v>
      </c>
      <c r="AS29" s="13" t="s">
        <v>39952</v>
      </c>
      <c r="AT29" s="128" t="s">
        <v>39970</v>
      </c>
      <c r="AU29" s="13" t="s">
        <v>40010</v>
      </c>
      <c r="AV29" s="39">
        <v>0</v>
      </c>
      <c r="AW29" s="13" t="s">
        <v>39931</v>
      </c>
      <c r="AX29" s="2"/>
      <c r="AY29" s="1"/>
      <c r="AZ29" s="160">
        <f>_xlfn.XLOOKUP(Tabela98[[#This Row], [Descrição do projeto]],[3]Geração!$G:$G,[3]Geração!$F:$F,,0,1)</f>
      </c>
    </row>
    <row x14ac:dyDescent="0.25" r="30" customHeight="1" ht="24.75">
      <c r="A30" s="149"/>
      <c r="B30" s="150">
        <f>AND(ISTEXT('Consolidado-Eletronorte'!#REF!),SUM('Consolidado-Eletronorte'!#REF!)&gt;0)</f>
      </c>
      <c r="C30" s="151">
        <f>INDIRECT(SUBSTITUTE($J39&amp;$K39," ",""))</f>
      </c>
      <c r="D30" s="151">
        <f>$H$3</f>
      </c>
      <c r="E30" s="151">
        <f>$H$4</f>
      </c>
      <c r="F30" s="152"/>
      <c r="G30" s="151">
        <f>_xlfn.CONCAT('Consolidado-Eletronorte'!#REF!,"_",ROW('Consolidado-Eletronorte'!#REF!)-ROW('Consolidado-Eletronorte'!$G$18))</f>
      </c>
      <c r="H30" s="153" t="s">
        <v>10</v>
      </c>
      <c r="I30" s="153" t="s">
        <v>88</v>
      </c>
      <c r="J30" s="153" t="s">
        <v>5</v>
      </c>
      <c r="K30" s="154" t="s">
        <v>16</v>
      </c>
      <c r="L30" s="153" t="s">
        <v>67</v>
      </c>
      <c r="M30" s="153" t="s">
        <v>39932</v>
      </c>
      <c r="N30" s="153"/>
      <c r="O30" s="153"/>
      <c r="P30" s="154" t="s">
        <v>38366</v>
      </c>
      <c r="Q30" s="155" t="s">
        <v>40011</v>
      </c>
      <c r="R30" s="155" t="s">
        <v>40012</v>
      </c>
      <c r="S30" s="153" t="s">
        <v>39969</v>
      </c>
      <c r="T30" s="63">
        <v>0</v>
      </c>
      <c r="U30" s="63">
        <v>0</v>
      </c>
      <c r="V30" s="63">
        <v>0</v>
      </c>
      <c r="W30" s="63">
        <v>0</v>
      </c>
      <c r="X30" s="63">
        <v>300000</v>
      </c>
      <c r="Y30" s="63">
        <v>0</v>
      </c>
      <c r="Z30" s="63">
        <v>0</v>
      </c>
      <c r="AA30" s="63">
        <v>500000</v>
      </c>
      <c r="AB30" s="63">
        <v>0</v>
      </c>
      <c r="AC30" s="63">
        <v>0</v>
      </c>
      <c r="AD30" s="63">
        <v>1500000</v>
      </c>
      <c r="AE30" s="63">
        <v>0</v>
      </c>
      <c r="AF30" s="63">
        <v>2300000</v>
      </c>
      <c r="AG30" s="63">
        <v>3200000</v>
      </c>
      <c r="AH30" s="63">
        <v>0</v>
      </c>
      <c r="AI30" s="63">
        <v>0</v>
      </c>
      <c r="AJ30" s="63">
        <v>0</v>
      </c>
      <c r="AK30" s="63">
        <v>5500000</v>
      </c>
      <c r="AL30" s="63">
        <v>0</v>
      </c>
      <c r="AM30" s="63">
        <v>0</v>
      </c>
      <c r="AN30" s="63">
        <v>0</v>
      </c>
      <c r="AO30" s="63">
        <v>0</v>
      </c>
      <c r="AP30" s="63">
        <v>0</v>
      </c>
      <c r="AQ30" s="63">
        <v>5500000</v>
      </c>
      <c r="AR30" s="39">
        <v>89</v>
      </c>
      <c r="AS30" s="13" t="s">
        <v>40013</v>
      </c>
      <c r="AT30" s="128" t="s">
        <v>39970</v>
      </c>
      <c r="AU30" s="13" t="s">
        <v>40014</v>
      </c>
      <c r="AV30" s="39">
        <v>0</v>
      </c>
      <c r="AW30" s="13" t="s">
        <v>39931</v>
      </c>
      <c r="AX30" s="2"/>
      <c r="AY30" s="1"/>
      <c r="AZ30" s="160">
        <f>_xlfn.XLOOKUP(Tabela98[[#This Row], [Descrição do projeto]],[3]Geração!$G:$G,[3]Geração!$F:$F,,0,1)</f>
      </c>
    </row>
    <row x14ac:dyDescent="0.25" r="31" customHeight="1" ht="18.75" hidden="1">
      <c r="A31" s="149"/>
      <c r="B31" s="150">
        <f>AND(ISTEXT('Consolidado-Eletronorte'!#REF!),SUM('Consolidado-Eletronorte'!#REF!)&gt;0)</f>
      </c>
      <c r="C31" s="151">
        <f>INDIRECT(SUBSTITUTE($J40&amp;$K40," ",""))</f>
      </c>
      <c r="D31" s="151">
        <f>$H$3</f>
      </c>
      <c r="E31" s="151">
        <f>$H$4</f>
      </c>
      <c r="F31" s="152"/>
      <c r="G31" s="151">
        <f>_xlfn.CONCAT('Consolidado-Eletronorte'!#REF!,"_",ROW('Consolidado-Eletronorte'!#REF!)-ROW('Consolidado-Eletronorte'!$G$18))</f>
      </c>
      <c r="H31" s="153" t="s">
        <v>10</v>
      </c>
      <c r="I31" s="153" t="s">
        <v>88</v>
      </c>
      <c r="J31" s="153" t="s">
        <v>5</v>
      </c>
      <c r="K31" s="154" t="s">
        <v>16</v>
      </c>
      <c r="L31" s="153" t="s">
        <v>74</v>
      </c>
      <c r="M31" s="153" t="s">
        <v>40015</v>
      </c>
      <c r="N31" s="153"/>
      <c r="O31" s="153"/>
      <c r="P31" s="154" t="s">
        <v>38349</v>
      </c>
      <c r="Q31" s="155" t="s">
        <v>40016</v>
      </c>
      <c r="R31" s="155" t="s">
        <v>40017</v>
      </c>
      <c r="S31" s="153" t="s">
        <v>39998</v>
      </c>
      <c r="T31" s="63">
        <v>0</v>
      </c>
      <c r="U31" s="63">
        <v>0</v>
      </c>
      <c r="V31" s="63">
        <v>565500</v>
      </c>
      <c r="W31" s="63">
        <v>0</v>
      </c>
      <c r="X31" s="63">
        <v>0</v>
      </c>
      <c r="Y31" s="63">
        <v>565500</v>
      </c>
      <c r="Z31" s="63">
        <v>0</v>
      </c>
      <c r="AA31" s="63">
        <v>0</v>
      </c>
      <c r="AB31" s="63">
        <v>565500</v>
      </c>
      <c r="AC31" s="63">
        <v>0</v>
      </c>
      <c r="AD31" s="63">
        <v>0</v>
      </c>
      <c r="AE31" s="63">
        <v>565500</v>
      </c>
      <c r="AF31" s="63">
        <v>2262000</v>
      </c>
      <c r="AG31" s="63">
        <v>2790000</v>
      </c>
      <c r="AH31" s="63">
        <v>678000</v>
      </c>
      <c r="AI31" s="63">
        <v>0</v>
      </c>
      <c r="AJ31" s="63">
        <v>0</v>
      </c>
      <c r="AK31" s="63">
        <v>5730000</v>
      </c>
      <c r="AL31" s="63">
        <v>0</v>
      </c>
      <c r="AM31" s="63">
        <v>0</v>
      </c>
      <c r="AN31" s="63">
        <v>0</v>
      </c>
      <c r="AO31" s="63">
        <v>0</v>
      </c>
      <c r="AP31" s="63">
        <v>0</v>
      </c>
      <c r="AQ31" s="63">
        <v>5730000</v>
      </c>
      <c r="AR31" s="39">
        <v>119</v>
      </c>
      <c r="AS31" s="13" t="s">
        <v>40018</v>
      </c>
      <c r="AT31" s="39">
        <v>2025</v>
      </c>
      <c r="AU31" s="13" t="s">
        <v>40019</v>
      </c>
      <c r="AV31" s="128" t="s">
        <v>40020</v>
      </c>
      <c r="AW31" s="13" t="s">
        <v>39931</v>
      </c>
      <c r="AX31" s="2"/>
      <c r="AY31" s="1"/>
      <c r="AZ31" s="160">
        <f>_xlfn.XLOOKUP(Tabela98[[#This Row], [Descrição do projeto]],[3]Geração!$G:$G,[3]Geração!$F:$F,,0,1)</f>
      </c>
    </row>
    <row x14ac:dyDescent="0.25" r="32" customHeight="1" ht="24.75">
      <c r="A32" s="149"/>
      <c r="B32" s="150">
        <f>AND(ISTEXT('Consolidado-Eletronorte'!#REF!),SUM('Consolidado-Eletronorte'!#REF!)&gt;0)</f>
      </c>
      <c r="C32" s="151">
        <f>INDIRECT(SUBSTITUTE($J41&amp;$K41," ",""))</f>
      </c>
      <c r="D32" s="151">
        <f>$H$3</f>
      </c>
      <c r="E32" s="151">
        <f>$H$4</f>
      </c>
      <c r="F32" s="152"/>
      <c r="G32" s="151">
        <f>_xlfn.CONCAT('Consolidado-Eletronorte'!#REF!,"_",ROW('Consolidado-Eletronorte'!#REF!)-ROW('Consolidado-Eletronorte'!$G$18))</f>
      </c>
      <c r="H32" s="153" t="s">
        <v>10</v>
      </c>
      <c r="I32" s="153" t="s">
        <v>88</v>
      </c>
      <c r="J32" s="153" t="s">
        <v>5</v>
      </c>
      <c r="K32" s="154" t="s">
        <v>16</v>
      </c>
      <c r="L32" s="153" t="s">
        <v>67</v>
      </c>
      <c r="M32" s="153" t="s">
        <v>39932</v>
      </c>
      <c r="N32" s="153"/>
      <c r="O32" s="153"/>
      <c r="P32" s="154" t="s">
        <v>38358</v>
      </c>
      <c r="Q32" s="155" t="s">
        <v>40021</v>
      </c>
      <c r="R32" s="155" t="s">
        <v>40022</v>
      </c>
      <c r="S32" s="153" t="s">
        <v>39912</v>
      </c>
      <c r="T32" s="63">
        <v>0</v>
      </c>
      <c r="U32" s="63">
        <v>0</v>
      </c>
      <c r="V32" s="63">
        <v>0</v>
      </c>
      <c r="W32" s="63">
        <v>0</v>
      </c>
      <c r="X32" s="63">
        <v>0</v>
      </c>
      <c r="Y32" s="63">
        <v>0</v>
      </c>
      <c r="Z32" s="63">
        <v>0</v>
      </c>
      <c r="AA32" s="63">
        <v>0</v>
      </c>
      <c r="AB32" s="63">
        <v>0</v>
      </c>
      <c r="AC32" s="63">
        <v>0</v>
      </c>
      <c r="AD32" s="63">
        <v>0</v>
      </c>
      <c r="AE32" s="63">
        <v>0</v>
      </c>
      <c r="AF32" s="63">
        <v>0</v>
      </c>
      <c r="AG32" s="63">
        <v>3000000</v>
      </c>
      <c r="AH32" s="63">
        <v>2500000</v>
      </c>
      <c r="AI32" s="63">
        <v>0</v>
      </c>
      <c r="AJ32" s="63">
        <v>0</v>
      </c>
      <c r="AK32" s="63">
        <v>5500000</v>
      </c>
      <c r="AL32" s="63">
        <v>0</v>
      </c>
      <c r="AM32" s="63">
        <v>0</v>
      </c>
      <c r="AN32" s="63">
        <v>0</v>
      </c>
      <c r="AO32" s="63">
        <v>0</v>
      </c>
      <c r="AP32" s="63">
        <v>0</v>
      </c>
      <c r="AQ32" s="63">
        <v>5500000</v>
      </c>
      <c r="AR32" s="39">
        <v>115</v>
      </c>
      <c r="AS32" s="13" t="s">
        <v>39956</v>
      </c>
      <c r="AT32" s="39">
        <v>2025</v>
      </c>
      <c r="AU32" s="13" t="s">
        <v>40023</v>
      </c>
      <c r="AV32" s="128" t="s">
        <v>40024</v>
      </c>
      <c r="AW32" s="13" t="s">
        <v>39931</v>
      </c>
      <c r="AX32" s="2"/>
      <c r="AY32" s="1"/>
      <c r="AZ32" s="160">
        <f>_xlfn.XLOOKUP(Tabela98[[#This Row], [Descrição do projeto]],[3]Geração!$G:$G,[3]Geração!$F:$F,,0,1)</f>
      </c>
    </row>
    <row x14ac:dyDescent="0.25" r="33" customHeight="1" ht="24.75">
      <c r="A33" s="149"/>
      <c r="B33" s="150">
        <f>AND(ISTEXT('Consolidado-Eletronorte'!#REF!),SUM('Consolidado-Eletronorte'!#REF!)&gt;0)</f>
      </c>
      <c r="C33" s="151">
        <f>INDIRECT(SUBSTITUTE($J42&amp;$K42," ",""))</f>
      </c>
      <c r="D33" s="151">
        <f>$H$3</f>
      </c>
      <c r="E33" s="151">
        <f>$H$4</f>
      </c>
      <c r="F33" s="152"/>
      <c r="G33" s="151">
        <f>_xlfn.CONCAT('Consolidado-Eletronorte'!#REF!,"_",ROW('Consolidado-Eletronorte'!#REF!)-ROW('Consolidado-Eletronorte'!$G$18))</f>
      </c>
      <c r="H33" s="153" t="s">
        <v>10</v>
      </c>
      <c r="I33" s="153" t="s">
        <v>88</v>
      </c>
      <c r="J33" s="153" t="s">
        <v>5</v>
      </c>
      <c r="K33" s="154" t="s">
        <v>16</v>
      </c>
      <c r="L33" s="153" t="s">
        <v>67</v>
      </c>
      <c r="M33" s="153" t="s">
        <v>40025</v>
      </c>
      <c r="N33" s="153"/>
      <c r="O33" s="153"/>
      <c r="P33" s="154" t="s">
        <v>38358</v>
      </c>
      <c r="Q33" s="155" t="s">
        <v>40026</v>
      </c>
      <c r="R33" s="155" t="s">
        <v>40027</v>
      </c>
      <c r="S33" s="153" t="s">
        <v>39912</v>
      </c>
      <c r="T33" s="63">
        <v>0</v>
      </c>
      <c r="U33" s="63">
        <v>0</v>
      </c>
      <c r="V33" s="63">
        <v>300000</v>
      </c>
      <c r="W33" s="63">
        <v>0</v>
      </c>
      <c r="X33" s="63">
        <v>0</v>
      </c>
      <c r="Y33" s="63">
        <v>300000</v>
      </c>
      <c r="Z33" s="63">
        <v>0</v>
      </c>
      <c r="AA33" s="63">
        <v>400000</v>
      </c>
      <c r="AB33" s="63">
        <v>0</v>
      </c>
      <c r="AC33" s="63">
        <v>0</v>
      </c>
      <c r="AD33" s="63">
        <v>300000</v>
      </c>
      <c r="AE33" s="63">
        <v>0</v>
      </c>
      <c r="AF33" s="63">
        <v>1300000</v>
      </c>
      <c r="AG33" s="63">
        <v>1300000</v>
      </c>
      <c r="AH33" s="63">
        <v>1950000</v>
      </c>
      <c r="AI33" s="63">
        <v>0</v>
      </c>
      <c r="AJ33" s="63">
        <v>0</v>
      </c>
      <c r="AK33" s="63">
        <v>4550000</v>
      </c>
      <c r="AL33" s="63">
        <v>0</v>
      </c>
      <c r="AM33" s="63">
        <v>0</v>
      </c>
      <c r="AN33" s="63">
        <v>0</v>
      </c>
      <c r="AO33" s="63">
        <v>0</v>
      </c>
      <c r="AP33" s="63">
        <v>0</v>
      </c>
      <c r="AQ33" s="63">
        <v>4550000</v>
      </c>
      <c r="AR33" s="39">
        <v>17</v>
      </c>
      <c r="AS33" s="224" t="s">
        <v>39964</v>
      </c>
      <c r="AT33" s="39">
        <v>2025</v>
      </c>
      <c r="AU33" s="224" t="s">
        <v>40028</v>
      </c>
      <c r="AV33" s="17" t="s">
        <v>40029</v>
      </c>
      <c r="AW33" s="13" t="s">
        <v>39923</v>
      </c>
      <c r="AX33" s="2"/>
      <c r="AY33" s="1"/>
      <c r="AZ33" s="160">
        <f>_xlfn.XLOOKUP(Tabela98[[#This Row], [Descrição do projeto]],[3]Geração!$G:$G,[3]Geração!$F:$F,,0,1)</f>
      </c>
    </row>
    <row x14ac:dyDescent="0.25" r="34" customHeight="1" ht="24.75">
      <c r="A34" s="149"/>
      <c r="B34" s="150">
        <f>AND(ISTEXT('Consolidado-Eletronorte'!#REF!),SUM('Consolidado-Eletronorte'!#REF!)&gt;0)</f>
      </c>
      <c r="C34" s="151">
        <f>INDIRECT(SUBSTITUTE($J43&amp;$K43," ",""))</f>
      </c>
      <c r="D34" s="151">
        <f>$H$3</f>
      </c>
      <c r="E34" s="151">
        <f>$H$4</f>
      </c>
      <c r="F34" s="152"/>
      <c r="G34" s="151">
        <f>_xlfn.CONCAT('Consolidado-Eletronorte'!#REF!,"_",ROW('Consolidado-Eletronorte'!#REF!)-ROW('Consolidado-Eletronorte'!$G$18))</f>
      </c>
      <c r="H34" s="153" t="s">
        <v>10</v>
      </c>
      <c r="I34" s="153" t="s">
        <v>88</v>
      </c>
      <c r="J34" s="153" t="s">
        <v>5</v>
      </c>
      <c r="K34" s="154" t="s">
        <v>16</v>
      </c>
      <c r="L34" s="153" t="s">
        <v>67</v>
      </c>
      <c r="M34" s="153" t="s">
        <v>39949</v>
      </c>
      <c r="N34" s="153"/>
      <c r="O34" s="153"/>
      <c r="P34" s="154" t="s">
        <v>38358</v>
      </c>
      <c r="Q34" s="155" t="s">
        <v>40030</v>
      </c>
      <c r="R34" s="155" t="s">
        <v>40031</v>
      </c>
      <c r="S34" s="153" t="s">
        <v>39912</v>
      </c>
      <c r="T34" s="63">
        <v>0</v>
      </c>
      <c r="U34" s="63">
        <v>0</v>
      </c>
      <c r="V34" s="63">
        <v>0</v>
      </c>
      <c r="W34" s="63">
        <v>0</v>
      </c>
      <c r="X34" s="63">
        <v>0</v>
      </c>
      <c r="Y34" s="63">
        <v>500000</v>
      </c>
      <c r="Z34" s="63">
        <v>0</v>
      </c>
      <c r="AA34" s="63">
        <v>0</v>
      </c>
      <c r="AB34" s="63">
        <v>0</v>
      </c>
      <c r="AC34" s="63">
        <v>1500000</v>
      </c>
      <c r="AD34" s="63">
        <v>0</v>
      </c>
      <c r="AE34" s="63">
        <v>0</v>
      </c>
      <c r="AF34" s="63">
        <v>2000000</v>
      </c>
      <c r="AG34" s="63">
        <v>2500000</v>
      </c>
      <c r="AH34" s="63">
        <v>0</v>
      </c>
      <c r="AI34" s="63">
        <v>0</v>
      </c>
      <c r="AJ34" s="63">
        <v>0</v>
      </c>
      <c r="AK34" s="63">
        <v>4500000</v>
      </c>
      <c r="AL34" s="63">
        <v>0</v>
      </c>
      <c r="AM34" s="63">
        <v>0</v>
      </c>
      <c r="AN34" s="63">
        <v>0</v>
      </c>
      <c r="AO34" s="63">
        <v>0</v>
      </c>
      <c r="AP34" s="63">
        <v>0</v>
      </c>
      <c r="AQ34" s="63">
        <v>4500000</v>
      </c>
      <c r="AR34" s="39">
        <v>101</v>
      </c>
      <c r="AS34" s="13" t="s">
        <v>39964</v>
      </c>
      <c r="AT34" s="128" t="s">
        <v>39970</v>
      </c>
      <c r="AU34" s="13" t="s">
        <v>40032</v>
      </c>
      <c r="AV34" s="39">
        <v>0</v>
      </c>
      <c r="AW34" s="13" t="s">
        <v>39931</v>
      </c>
      <c r="AX34" s="2"/>
      <c r="AY34" s="1"/>
      <c r="AZ34" s="160">
        <f>_xlfn.XLOOKUP(Tabela98[[#This Row], [Descrição do projeto]],[3]Geração!$G:$G,[3]Geração!$F:$F,,0,1)</f>
      </c>
    </row>
    <row x14ac:dyDescent="0.25" r="35" customHeight="1" ht="24.75">
      <c r="A35" s="149"/>
      <c r="B35" s="150">
        <f>AND(ISTEXT('Consolidado-Eletronorte'!#REF!),SUM('Consolidado-Eletronorte'!#REF!)&gt;0)</f>
      </c>
      <c r="C35" s="151">
        <f>INDIRECT(SUBSTITUTE($J44&amp;$K44," ",""))</f>
      </c>
      <c r="D35" s="151">
        <f>$H$3</f>
      </c>
      <c r="E35" s="151">
        <f>$H$4</f>
      </c>
      <c r="F35" s="152"/>
      <c r="G35" s="151">
        <f>_xlfn.CONCAT('Consolidado-Eletronorte'!#REF!,"_",ROW('Consolidado-Eletronorte'!#REF!)-ROW('Consolidado-Eletronorte'!$G$18))</f>
      </c>
      <c r="H35" s="153" t="s">
        <v>10</v>
      </c>
      <c r="I35" s="153" t="s">
        <v>88</v>
      </c>
      <c r="J35" s="153" t="s">
        <v>5</v>
      </c>
      <c r="K35" s="154" t="s">
        <v>16</v>
      </c>
      <c r="L35" s="153" t="s">
        <v>67</v>
      </c>
      <c r="M35" s="153" t="s">
        <v>39932</v>
      </c>
      <c r="N35" s="153"/>
      <c r="O35" s="153"/>
      <c r="P35" s="154" t="s">
        <v>38358</v>
      </c>
      <c r="Q35" s="155" t="s">
        <v>40033</v>
      </c>
      <c r="R35" s="155" t="s">
        <v>40034</v>
      </c>
      <c r="S35" s="153" t="s">
        <v>39912</v>
      </c>
      <c r="T35" s="63">
        <v>0</v>
      </c>
      <c r="U35" s="63">
        <v>0</v>
      </c>
      <c r="V35" s="63">
        <v>0</v>
      </c>
      <c r="W35" s="63">
        <v>0</v>
      </c>
      <c r="X35" s="63">
        <v>0</v>
      </c>
      <c r="Y35" s="63">
        <v>0</v>
      </c>
      <c r="Z35" s="63">
        <v>0</v>
      </c>
      <c r="AA35" s="63">
        <v>500000</v>
      </c>
      <c r="AB35" s="63">
        <v>0</v>
      </c>
      <c r="AC35" s="63">
        <v>1500000</v>
      </c>
      <c r="AD35" s="63">
        <v>0</v>
      </c>
      <c r="AE35" s="63">
        <v>0</v>
      </c>
      <c r="AF35" s="63">
        <v>2000000</v>
      </c>
      <c r="AG35" s="63">
        <v>2500000</v>
      </c>
      <c r="AH35" s="63">
        <v>0</v>
      </c>
      <c r="AI35" s="63">
        <v>0</v>
      </c>
      <c r="AJ35" s="63">
        <v>0</v>
      </c>
      <c r="AK35" s="63">
        <v>4500000</v>
      </c>
      <c r="AL35" s="63">
        <v>0</v>
      </c>
      <c r="AM35" s="63">
        <v>0</v>
      </c>
      <c r="AN35" s="63">
        <v>0</v>
      </c>
      <c r="AO35" s="63">
        <v>0</v>
      </c>
      <c r="AP35" s="63">
        <v>0</v>
      </c>
      <c r="AQ35" s="63">
        <v>4500000</v>
      </c>
      <c r="AR35" s="39">
        <v>114</v>
      </c>
      <c r="AS35" s="13" t="s">
        <v>39964</v>
      </c>
      <c r="AT35" s="39">
        <v>2025</v>
      </c>
      <c r="AU35" s="13" t="s">
        <v>40035</v>
      </c>
      <c r="AV35" s="128" t="s">
        <v>40036</v>
      </c>
      <c r="AW35" s="13" t="s">
        <v>39931</v>
      </c>
      <c r="AX35" s="2"/>
      <c r="AY35" s="1"/>
      <c r="AZ35" s="160">
        <f>_xlfn.XLOOKUP(Tabela98[[#This Row], [Descrição do projeto]],[3]Geração!$G:$G,[3]Geração!$F:$F,,0,1)</f>
      </c>
    </row>
    <row x14ac:dyDescent="0.25" r="36" customHeight="1" ht="24.75">
      <c r="A36" s="161"/>
      <c r="B36" s="150">
        <f>AND(ISTEXT('Consolidado-Eletronorte'!#REF!),SUM('Consolidado-Eletronorte'!#REF!)&gt;0)</f>
      </c>
      <c r="C36" s="162">
        <f>INDIRECT(SUBSTITUTE($J45&amp;$K45," ",""))</f>
      </c>
      <c r="D36" s="162">
        <f>$H$3</f>
      </c>
      <c r="E36" s="162">
        <f>$H$4</f>
      </c>
      <c r="F36" s="163"/>
      <c r="G36" s="162">
        <f>_xlfn.CONCAT('Consolidado-Eletronorte'!#REF!,"_",ROW('Consolidado-Eletronorte'!#REF!)-ROW('Consolidado-Eletronorte'!$G$18))</f>
      </c>
      <c r="H36" s="164" t="s">
        <v>10</v>
      </c>
      <c r="I36" s="164" t="s">
        <v>88</v>
      </c>
      <c r="J36" s="164" t="s">
        <v>5</v>
      </c>
      <c r="K36" s="165" t="s">
        <v>16</v>
      </c>
      <c r="L36" s="164" t="s">
        <v>67</v>
      </c>
      <c r="M36" s="164" t="s">
        <v>39932</v>
      </c>
      <c r="N36" s="164"/>
      <c r="O36" s="164"/>
      <c r="P36" s="165" t="s">
        <v>38358</v>
      </c>
      <c r="Q36" s="166" t="s">
        <v>40037</v>
      </c>
      <c r="R36" s="166" t="s">
        <v>40038</v>
      </c>
      <c r="S36" s="164" t="s">
        <v>39912</v>
      </c>
      <c r="T36" s="63">
        <v>166666.66666666666</v>
      </c>
      <c r="U36" s="63">
        <v>166666.66666666666</v>
      </c>
      <c r="V36" s="63">
        <v>166666.66666666666</v>
      </c>
      <c r="W36" s="63">
        <v>166666.66666666666</v>
      </c>
      <c r="X36" s="63">
        <v>166666.66666666666</v>
      </c>
      <c r="Y36" s="63">
        <v>166666.66666666666</v>
      </c>
      <c r="Z36" s="63">
        <v>166666.66666666666</v>
      </c>
      <c r="AA36" s="63">
        <v>166666.66666666666</v>
      </c>
      <c r="AB36" s="63">
        <v>166666.66666666666</v>
      </c>
      <c r="AC36" s="63">
        <v>166666.66666666666</v>
      </c>
      <c r="AD36" s="63">
        <v>166666.66666666666</v>
      </c>
      <c r="AE36" s="63">
        <v>166666.66666666666</v>
      </c>
      <c r="AF36" s="63">
        <v>2000000.0000000002</v>
      </c>
      <c r="AG36" s="63">
        <v>2000000</v>
      </c>
      <c r="AH36" s="63">
        <v>0</v>
      </c>
      <c r="AI36" s="63">
        <v>0</v>
      </c>
      <c r="AJ36" s="63">
        <v>0</v>
      </c>
      <c r="AK36" s="63">
        <v>4000000</v>
      </c>
      <c r="AL36" s="63">
        <v>0</v>
      </c>
      <c r="AM36" s="63">
        <v>0</v>
      </c>
      <c r="AN36" s="63">
        <v>0</v>
      </c>
      <c r="AO36" s="63">
        <v>0</v>
      </c>
      <c r="AP36" s="63">
        <v>0</v>
      </c>
      <c r="AQ36" s="63">
        <v>4000000</v>
      </c>
      <c r="AR36" s="39">
        <v>34</v>
      </c>
      <c r="AS36" s="13" t="s">
        <v>39956</v>
      </c>
      <c r="AT36" s="39">
        <v>2025</v>
      </c>
      <c r="AU36" s="13" t="s">
        <v>40039</v>
      </c>
      <c r="AV36" s="128" t="s">
        <v>40040</v>
      </c>
      <c r="AW36" s="13" t="s">
        <v>39931</v>
      </c>
      <c r="AX36" s="2"/>
      <c r="AY36" s="1"/>
      <c r="AZ36" s="160">
        <f>_xlfn.XLOOKUP(Tabela98[[#This Row], [Descrição do projeto]],[3]Geração!$G:$G,[3]Geração!$F:$F,,0,1)</f>
      </c>
    </row>
    <row x14ac:dyDescent="0.25" r="37" customHeight="1" ht="24.75">
      <c r="A37" s="161"/>
      <c r="B37" s="150">
        <f>AND(ISTEXT('Consolidado-Eletronorte'!#REF!),SUM('Consolidado-Eletronorte'!#REF!)&gt;0)</f>
      </c>
      <c r="C37" s="162">
        <f>INDIRECT(SUBSTITUTE($J46&amp;$K46," ",""))</f>
      </c>
      <c r="D37" s="162">
        <f>$H$3</f>
      </c>
      <c r="E37" s="162">
        <f>$H$4</f>
      </c>
      <c r="F37" s="163"/>
      <c r="G37" s="162">
        <f>_xlfn.CONCAT('Consolidado-Eletronorte'!#REF!,"_",ROW('Consolidado-Eletronorte'!#REF!)-ROW('Consolidado-Eletronorte'!$G$18))</f>
      </c>
      <c r="H37" s="164" t="s">
        <v>10</v>
      </c>
      <c r="I37" s="164" t="s">
        <v>88</v>
      </c>
      <c r="J37" s="164" t="s">
        <v>5</v>
      </c>
      <c r="K37" s="165" t="s">
        <v>16</v>
      </c>
      <c r="L37" s="164" t="s">
        <v>82</v>
      </c>
      <c r="M37" s="164" t="s">
        <v>39949</v>
      </c>
      <c r="N37" s="164"/>
      <c r="O37" s="164"/>
      <c r="P37" s="165" t="s">
        <v>38366</v>
      </c>
      <c r="Q37" s="166" t="s">
        <v>40041</v>
      </c>
      <c r="R37" s="166" t="s">
        <v>40042</v>
      </c>
      <c r="S37" s="164" t="s">
        <v>39969</v>
      </c>
      <c r="T37" s="63">
        <v>0</v>
      </c>
      <c r="U37" s="63">
        <v>0</v>
      </c>
      <c r="V37" s="63">
        <v>0</v>
      </c>
      <c r="W37" s="63">
        <v>0</v>
      </c>
      <c r="X37" s="63">
        <v>0</v>
      </c>
      <c r="Y37" s="63">
        <v>0</v>
      </c>
      <c r="Z37" s="63">
        <v>0</v>
      </c>
      <c r="AA37" s="63">
        <v>500000</v>
      </c>
      <c r="AB37" s="63">
        <v>0</v>
      </c>
      <c r="AC37" s="63">
        <v>0</v>
      </c>
      <c r="AD37" s="63">
        <v>500000</v>
      </c>
      <c r="AE37" s="63">
        <v>0</v>
      </c>
      <c r="AF37" s="63">
        <v>1000000</v>
      </c>
      <c r="AG37" s="63">
        <v>3000000</v>
      </c>
      <c r="AH37" s="63">
        <v>0</v>
      </c>
      <c r="AI37" s="63">
        <v>0</v>
      </c>
      <c r="AJ37" s="63">
        <v>0</v>
      </c>
      <c r="AK37" s="63">
        <v>4000000</v>
      </c>
      <c r="AL37" s="63">
        <v>0</v>
      </c>
      <c r="AM37" s="63">
        <v>0</v>
      </c>
      <c r="AN37" s="63">
        <v>0</v>
      </c>
      <c r="AO37" s="63">
        <v>0</v>
      </c>
      <c r="AP37" s="63">
        <v>0</v>
      </c>
      <c r="AQ37" s="63">
        <v>4000000</v>
      </c>
      <c r="AR37" s="39">
        <v>8</v>
      </c>
      <c r="AS37" s="224" t="s">
        <v>40043</v>
      </c>
      <c r="AT37" s="128" t="s">
        <v>39970</v>
      </c>
      <c r="AU37" s="226" t="s">
        <v>40044</v>
      </c>
      <c r="AV37" s="39">
        <v>0</v>
      </c>
      <c r="AW37" s="13" t="s">
        <v>39931</v>
      </c>
      <c r="AX37" s="2"/>
      <c r="AY37" s="1"/>
      <c r="AZ37" s="160">
        <f>_xlfn.XLOOKUP(Tabela98[[#This Row], [Descrição do projeto]],[3]Geração!$G:$G,[3]Geração!$F:$F,,0,1)</f>
      </c>
    </row>
    <row x14ac:dyDescent="0.25" r="38" customHeight="1" ht="24.75">
      <c r="A38" s="149"/>
      <c r="B38" s="150">
        <f>AND(ISTEXT('Consolidado-Eletronorte'!#REF!),SUM('Consolidado-Eletronorte'!#REF!)&gt;0)</f>
      </c>
      <c r="C38" s="151">
        <f>INDIRECT(SUBSTITUTE($J47&amp;$K47," ",""))</f>
      </c>
      <c r="D38" s="151">
        <f>$H$3</f>
      </c>
      <c r="E38" s="151">
        <f>$H$4</f>
      </c>
      <c r="F38" s="152"/>
      <c r="G38" s="151">
        <f>_xlfn.CONCAT('Consolidado-Eletronorte'!#REF!,"_",ROW('Consolidado-Eletronorte'!#REF!)-ROW('Consolidado-Eletronorte'!$G$18))</f>
      </c>
      <c r="H38" s="153" t="s">
        <v>10</v>
      </c>
      <c r="I38" s="153" t="s">
        <v>88</v>
      </c>
      <c r="J38" s="153" t="s">
        <v>5</v>
      </c>
      <c r="K38" s="154" t="s">
        <v>16</v>
      </c>
      <c r="L38" s="153" t="s">
        <v>67</v>
      </c>
      <c r="M38" s="153" t="s">
        <v>39949</v>
      </c>
      <c r="N38" s="153"/>
      <c r="O38" s="153"/>
      <c r="P38" s="154" t="s">
        <v>38366</v>
      </c>
      <c r="Q38" s="155" t="s">
        <v>40045</v>
      </c>
      <c r="R38" s="155" t="s">
        <v>40046</v>
      </c>
      <c r="S38" s="153" t="s">
        <v>39969</v>
      </c>
      <c r="T38" s="63">
        <v>0</v>
      </c>
      <c r="U38" s="63">
        <v>0</v>
      </c>
      <c r="V38" s="63">
        <v>0</v>
      </c>
      <c r="W38" s="63">
        <v>0</v>
      </c>
      <c r="X38" s="63">
        <v>0</v>
      </c>
      <c r="Y38" s="63">
        <v>0</v>
      </c>
      <c r="Z38" s="63">
        <v>0</v>
      </c>
      <c r="AA38" s="63">
        <v>0</v>
      </c>
      <c r="AB38" s="63">
        <v>0</v>
      </c>
      <c r="AC38" s="63">
        <v>0</v>
      </c>
      <c r="AD38" s="63">
        <v>0</v>
      </c>
      <c r="AE38" s="63">
        <v>0</v>
      </c>
      <c r="AF38" s="63">
        <v>0</v>
      </c>
      <c r="AG38" s="63">
        <v>0</v>
      </c>
      <c r="AH38" s="63">
        <v>1000000</v>
      </c>
      <c r="AI38" s="63">
        <v>2000000</v>
      </c>
      <c r="AJ38" s="63">
        <v>1000000</v>
      </c>
      <c r="AK38" s="63">
        <v>4000000</v>
      </c>
      <c r="AL38" s="63">
        <v>0</v>
      </c>
      <c r="AM38" s="63">
        <v>0</v>
      </c>
      <c r="AN38" s="63">
        <v>0</v>
      </c>
      <c r="AO38" s="63">
        <v>0</v>
      </c>
      <c r="AP38" s="63">
        <v>0</v>
      </c>
      <c r="AQ38" s="63">
        <v>4000000</v>
      </c>
      <c r="AR38" s="39">
        <v>87</v>
      </c>
      <c r="AS38" s="13" t="s">
        <v>40013</v>
      </c>
      <c r="AT38" s="128" t="s">
        <v>39970</v>
      </c>
      <c r="AU38" s="13" t="s">
        <v>40047</v>
      </c>
      <c r="AV38" s="39">
        <v>0</v>
      </c>
      <c r="AW38" s="13" t="s">
        <v>39931</v>
      </c>
      <c r="AX38" s="2"/>
      <c r="AY38" s="1"/>
      <c r="AZ38" s="160">
        <f>_xlfn.XLOOKUP(Tabela98[[#This Row], [Descrição do projeto]],[3]Geração!$G:$G,[3]Geração!$F:$F,,0,1)</f>
      </c>
    </row>
    <row x14ac:dyDescent="0.25" r="39" customHeight="1" ht="24.75">
      <c r="A39" s="149"/>
      <c r="B39" s="150">
        <f>AND(ISTEXT('Consolidado-Eletronorte'!#REF!),SUM('Consolidado-Eletronorte'!#REF!)&gt;0)</f>
      </c>
      <c r="C39" s="151">
        <f>INDIRECT(SUBSTITUTE($J48&amp;$K48," ",""))</f>
      </c>
      <c r="D39" s="151">
        <f>$H$3</f>
      </c>
      <c r="E39" s="151">
        <f>$H$4</f>
      </c>
      <c r="F39" s="152"/>
      <c r="G39" s="151">
        <f>_xlfn.CONCAT('Consolidado-Eletronorte'!#REF!,"_",ROW('Consolidado-Eletronorte'!#REF!)-ROW('Consolidado-Eletronorte'!$G$18))</f>
      </c>
      <c r="H39" s="153" t="s">
        <v>10</v>
      </c>
      <c r="I39" s="153" t="s">
        <v>88</v>
      </c>
      <c r="J39" s="153" t="s">
        <v>5</v>
      </c>
      <c r="K39" s="154" t="s">
        <v>16</v>
      </c>
      <c r="L39" s="153" t="s">
        <v>67</v>
      </c>
      <c r="M39" s="153" t="s">
        <v>39949</v>
      </c>
      <c r="N39" s="153"/>
      <c r="O39" s="153"/>
      <c r="P39" s="154" t="s">
        <v>38358</v>
      </c>
      <c r="Q39" s="155" t="s">
        <v>40048</v>
      </c>
      <c r="R39" s="155" t="s">
        <v>40049</v>
      </c>
      <c r="S39" s="153" t="s">
        <v>39912</v>
      </c>
      <c r="T39" s="63">
        <v>0</v>
      </c>
      <c r="U39" s="63">
        <v>0</v>
      </c>
      <c r="V39" s="63">
        <v>0</v>
      </c>
      <c r="W39" s="63">
        <v>0</v>
      </c>
      <c r="X39" s="63">
        <v>0</v>
      </c>
      <c r="Y39" s="63">
        <v>0</v>
      </c>
      <c r="Z39" s="63">
        <v>0</v>
      </c>
      <c r="AA39" s="63">
        <v>0</v>
      </c>
      <c r="AB39" s="63">
        <v>0</v>
      </c>
      <c r="AC39" s="63">
        <v>0</v>
      </c>
      <c r="AD39" s="63">
        <v>0</v>
      </c>
      <c r="AE39" s="63">
        <v>0</v>
      </c>
      <c r="AF39" s="63">
        <v>0</v>
      </c>
      <c r="AG39" s="63">
        <v>4000000</v>
      </c>
      <c r="AH39" s="63">
        <v>0</v>
      </c>
      <c r="AI39" s="63">
        <v>0</v>
      </c>
      <c r="AJ39" s="63">
        <v>0</v>
      </c>
      <c r="AK39" s="63">
        <v>4000000</v>
      </c>
      <c r="AL39" s="63">
        <v>0</v>
      </c>
      <c r="AM39" s="63">
        <v>0</v>
      </c>
      <c r="AN39" s="63">
        <v>0</v>
      </c>
      <c r="AO39" s="63">
        <v>0</v>
      </c>
      <c r="AP39" s="63">
        <v>0</v>
      </c>
      <c r="AQ39" s="63">
        <v>4000000</v>
      </c>
      <c r="AR39" s="39">
        <v>100</v>
      </c>
      <c r="AS39" s="13" t="s">
        <v>39964</v>
      </c>
      <c r="AT39" s="128" t="s">
        <v>39970</v>
      </c>
      <c r="AU39" s="13" t="s">
        <v>40050</v>
      </c>
      <c r="AV39" s="39">
        <v>0</v>
      </c>
      <c r="AW39" s="13" t="s">
        <v>39931</v>
      </c>
      <c r="AX39" s="2"/>
      <c r="AY39" s="1"/>
      <c r="AZ39" s="160">
        <f>_xlfn.XLOOKUP(Tabela98[[#This Row], [Descrição do projeto]],[3]Geração!$G:$G,[3]Geração!$F:$F,,0,1)</f>
      </c>
    </row>
    <row x14ac:dyDescent="0.25" r="40" customHeight="1" ht="24.75">
      <c r="A40" s="149"/>
      <c r="B40" s="150">
        <f>AND(ISTEXT('Consolidado-Eletronorte'!#REF!),SUM('Consolidado-Eletronorte'!#REF!)&gt;0)</f>
      </c>
      <c r="C40" s="151">
        <f>INDIRECT(SUBSTITUTE($J49&amp;$K49," ",""))</f>
      </c>
      <c r="D40" s="151">
        <f>$H$3</f>
      </c>
      <c r="E40" s="151">
        <f>$H$4</f>
      </c>
      <c r="F40" s="152"/>
      <c r="G40" s="151">
        <f>_xlfn.CONCAT('Consolidado-Eletronorte'!#REF!,"_",ROW('Consolidado-Eletronorte'!#REF!)-ROW('Consolidado-Eletronorte'!$G$18))</f>
      </c>
      <c r="H40" s="153" t="s">
        <v>10</v>
      </c>
      <c r="I40" s="153" t="s">
        <v>88</v>
      </c>
      <c r="J40" s="153" t="s">
        <v>5</v>
      </c>
      <c r="K40" s="154" t="s">
        <v>16</v>
      </c>
      <c r="L40" s="153" t="s">
        <v>82</v>
      </c>
      <c r="M40" s="153" t="s">
        <v>39949</v>
      </c>
      <c r="N40" s="153"/>
      <c r="O40" s="153"/>
      <c r="P40" s="154" t="s">
        <v>38349</v>
      </c>
      <c r="Q40" s="155" t="s">
        <v>40051</v>
      </c>
      <c r="R40" s="155" t="s">
        <v>40052</v>
      </c>
      <c r="S40" s="153" t="s">
        <v>39998</v>
      </c>
      <c r="T40" s="63">
        <v>0</v>
      </c>
      <c r="U40" s="63">
        <v>799480.8</v>
      </c>
      <c r="V40" s="63">
        <v>0</v>
      </c>
      <c r="W40" s="63">
        <v>0</v>
      </c>
      <c r="X40" s="63">
        <v>0</v>
      </c>
      <c r="Y40" s="63">
        <v>1199221.2</v>
      </c>
      <c r="Z40" s="63">
        <v>0</v>
      </c>
      <c r="AA40" s="63">
        <v>0</v>
      </c>
      <c r="AB40" s="63">
        <v>0</v>
      </c>
      <c r="AC40" s="63">
        <v>1998702</v>
      </c>
      <c r="AD40" s="63">
        <v>0</v>
      </c>
      <c r="AE40" s="63">
        <v>0</v>
      </c>
      <c r="AF40" s="63">
        <v>3997404</v>
      </c>
      <c r="AG40" s="63">
        <v>0</v>
      </c>
      <c r="AH40" s="63">
        <v>0</v>
      </c>
      <c r="AI40" s="63">
        <v>0</v>
      </c>
      <c r="AJ40" s="63">
        <v>0</v>
      </c>
      <c r="AK40" s="63">
        <v>3997404</v>
      </c>
      <c r="AL40" s="63">
        <v>0</v>
      </c>
      <c r="AM40" s="63">
        <v>0</v>
      </c>
      <c r="AN40" s="63">
        <v>0</v>
      </c>
      <c r="AO40" s="63">
        <v>0</v>
      </c>
      <c r="AP40" s="63">
        <v>0</v>
      </c>
      <c r="AQ40" s="63">
        <v>3997404</v>
      </c>
      <c r="AR40" s="39">
        <v>3</v>
      </c>
      <c r="AS40" s="224" t="s">
        <v>40053</v>
      </c>
      <c r="AT40" s="39">
        <v>2025</v>
      </c>
      <c r="AU40" s="13" t="s">
        <v>40054</v>
      </c>
      <c r="AV40" s="227" t="s">
        <v>40055</v>
      </c>
      <c r="AW40" s="13" t="s">
        <v>39916</v>
      </c>
      <c r="AX40" s="2"/>
      <c r="AY40" s="1"/>
      <c r="AZ40" s="160">
        <f>_xlfn.XLOOKUP(Tabela98[[#This Row], [Descrição do projeto]],[3]Geração!$G:$G,[3]Geração!$F:$F,,0,1)</f>
      </c>
    </row>
    <row x14ac:dyDescent="0.25" r="41" customHeight="1" ht="24.75">
      <c r="A41" s="149"/>
      <c r="B41" s="150">
        <f>AND(ISTEXT('Consolidado-Eletronorte'!#REF!),SUM('Consolidado-Eletronorte'!#REF!)&gt;0)</f>
      </c>
      <c r="C41" s="151">
        <f>$J$3</f>
      </c>
      <c r="D41" s="151">
        <f>$H$3</f>
      </c>
      <c r="E41" s="151">
        <f>$H$4</f>
      </c>
      <c r="F41" s="152"/>
      <c r="G41" s="151">
        <f>_xlfn.CONCAT('Consolidado-Eletronorte'!#REF!,"_",ROW('Consolidado-Eletronorte'!#REF!)-ROW('Consolidado-Eletronorte'!$G$18))</f>
      </c>
      <c r="H41" s="153" t="s">
        <v>10</v>
      </c>
      <c r="I41" s="153" t="s">
        <v>88</v>
      </c>
      <c r="J41" s="153" t="s">
        <v>5</v>
      </c>
      <c r="K41" s="154" t="s">
        <v>16</v>
      </c>
      <c r="L41" s="153" t="s">
        <v>67</v>
      </c>
      <c r="M41" s="153" t="s">
        <v>39949</v>
      </c>
      <c r="N41" s="153"/>
      <c r="O41" s="153"/>
      <c r="P41" s="154" t="s">
        <v>38349</v>
      </c>
      <c r="Q41" s="155" t="s">
        <v>40056</v>
      </c>
      <c r="R41" s="155" t="s">
        <v>40057</v>
      </c>
      <c r="S41" s="153" t="s">
        <v>39998</v>
      </c>
      <c r="T41" s="63">
        <v>0</v>
      </c>
      <c r="U41" s="63">
        <v>0</v>
      </c>
      <c r="V41" s="63">
        <v>0</v>
      </c>
      <c r="W41" s="63">
        <v>0</v>
      </c>
      <c r="X41" s="63">
        <v>0</v>
      </c>
      <c r="Y41" s="63">
        <v>0</v>
      </c>
      <c r="Z41" s="63">
        <v>0</v>
      </c>
      <c r="AA41" s="63">
        <v>0</v>
      </c>
      <c r="AB41" s="63">
        <v>0</v>
      </c>
      <c r="AC41" s="63">
        <v>0</v>
      </c>
      <c r="AD41" s="63">
        <v>0</v>
      </c>
      <c r="AE41" s="63">
        <v>0</v>
      </c>
      <c r="AF41" s="63">
        <v>0</v>
      </c>
      <c r="AG41" s="63">
        <v>3600000</v>
      </c>
      <c r="AH41" s="63">
        <v>0</v>
      </c>
      <c r="AI41" s="63">
        <v>0</v>
      </c>
      <c r="AJ41" s="63">
        <v>0</v>
      </c>
      <c r="AK41" s="63">
        <v>3600000</v>
      </c>
      <c r="AL41" s="63">
        <v>0</v>
      </c>
      <c r="AM41" s="63">
        <v>0</v>
      </c>
      <c r="AN41" s="63">
        <v>0</v>
      </c>
      <c r="AO41" s="63">
        <v>0</v>
      </c>
      <c r="AP41" s="63">
        <v>0</v>
      </c>
      <c r="AQ41" s="63">
        <v>3600000</v>
      </c>
      <c r="AR41" s="39">
        <v>49</v>
      </c>
      <c r="AS41" s="224" t="s">
        <v>40053</v>
      </c>
      <c r="AT41" s="225" t="s">
        <v>39970</v>
      </c>
      <c r="AU41" s="13" t="s">
        <v>40058</v>
      </c>
      <c r="AV41" s="39">
        <v>0</v>
      </c>
      <c r="AW41" s="13" t="s">
        <v>39931</v>
      </c>
      <c r="AX41" s="2"/>
      <c r="AY41" s="1"/>
      <c r="AZ41" s="160">
        <f>_xlfn.XLOOKUP(Tabela98[[#This Row], [Descrição do projeto]],[3]Geração!$G:$G,[3]Geração!$F:$F,,0,1)</f>
      </c>
    </row>
    <row x14ac:dyDescent="0.25" r="42" customHeight="1" ht="24.75">
      <c r="A42" s="149"/>
      <c r="B42" s="150">
        <f>AND(ISTEXT('Consolidado-Eletronorte'!#REF!),SUM('Consolidado-Eletronorte'!#REF!)&gt;0)</f>
      </c>
      <c r="C42" s="151">
        <f>$J$3</f>
      </c>
      <c r="D42" s="151">
        <f>$H$3</f>
      </c>
      <c r="E42" s="151">
        <f>$H$4</f>
      </c>
      <c r="F42" s="152"/>
      <c r="G42" s="151">
        <f>_xlfn.CONCAT('Consolidado-Eletronorte'!#REF!,"_",ROW('Consolidado-Eletronorte'!#REF!)-ROW('Consolidado-Eletronorte'!$G$18))</f>
      </c>
      <c r="H42" s="153" t="s">
        <v>10</v>
      </c>
      <c r="I42" s="153" t="s">
        <v>88</v>
      </c>
      <c r="J42" s="153" t="s">
        <v>5</v>
      </c>
      <c r="K42" s="154" t="s">
        <v>16</v>
      </c>
      <c r="L42" s="153" t="s">
        <v>67</v>
      </c>
      <c r="M42" s="153" t="s">
        <v>39949</v>
      </c>
      <c r="N42" s="153"/>
      <c r="O42" s="153"/>
      <c r="P42" s="154" t="s">
        <v>38368</v>
      </c>
      <c r="Q42" s="155" t="s">
        <v>40059</v>
      </c>
      <c r="R42" s="155" t="s">
        <v>40060</v>
      </c>
      <c r="S42" s="153" t="s">
        <v>40006</v>
      </c>
      <c r="T42" s="63">
        <v>0</v>
      </c>
      <c r="U42" s="63">
        <v>0</v>
      </c>
      <c r="V42" s="63">
        <v>0</v>
      </c>
      <c r="W42" s="63">
        <v>0</v>
      </c>
      <c r="X42" s="63">
        <v>0</v>
      </c>
      <c r="Y42" s="63">
        <v>0</v>
      </c>
      <c r="Z42" s="63">
        <v>0</v>
      </c>
      <c r="AA42" s="63">
        <v>0</v>
      </c>
      <c r="AB42" s="63">
        <v>0</v>
      </c>
      <c r="AC42" s="63">
        <v>0</v>
      </c>
      <c r="AD42" s="63">
        <v>0</v>
      </c>
      <c r="AE42" s="63">
        <v>0</v>
      </c>
      <c r="AF42" s="63">
        <v>0</v>
      </c>
      <c r="AG42" s="63">
        <v>3000000</v>
      </c>
      <c r="AH42" s="63">
        <v>500000</v>
      </c>
      <c r="AI42" s="63">
        <v>0</v>
      </c>
      <c r="AJ42" s="63">
        <v>0</v>
      </c>
      <c r="AK42" s="63">
        <v>3500000</v>
      </c>
      <c r="AL42" s="63">
        <v>0</v>
      </c>
      <c r="AM42" s="63">
        <v>0</v>
      </c>
      <c r="AN42" s="63">
        <v>0</v>
      </c>
      <c r="AO42" s="63">
        <v>0</v>
      </c>
      <c r="AP42" s="63">
        <v>0</v>
      </c>
      <c r="AQ42" s="63">
        <v>3500000</v>
      </c>
      <c r="AR42" s="39">
        <v>74</v>
      </c>
      <c r="AS42" s="224" t="s">
        <v>39952</v>
      </c>
      <c r="AT42" s="225" t="s">
        <v>39970</v>
      </c>
      <c r="AU42" s="13" t="s">
        <v>40061</v>
      </c>
      <c r="AV42" s="39">
        <v>0</v>
      </c>
      <c r="AW42" s="13" t="s">
        <v>39931</v>
      </c>
      <c r="AX42" s="2"/>
      <c r="AY42" s="1"/>
      <c r="AZ42" s="160">
        <f>_xlfn.XLOOKUP(Tabela98[[#This Row], [Descrição do projeto]],[3]Geração!$G:$G,[3]Geração!$F:$F,,0,1)</f>
      </c>
    </row>
    <row x14ac:dyDescent="0.25" r="43" customHeight="1" ht="24.75">
      <c r="A43" s="175"/>
      <c r="B43" s="176">
        <f>AND(ISTEXT('Consolidado-Eletronorte'!#REF!),SUM('Consolidado-Eletronorte'!#REF!)&gt;0)</f>
      </c>
      <c r="C43" s="177">
        <f>$J$3</f>
      </c>
      <c r="D43" s="177">
        <f>$H$3</f>
      </c>
      <c r="E43" s="177">
        <f>$H$4</f>
      </c>
      <c r="F43" s="178"/>
      <c r="G43" s="177">
        <f>_xlfn.CONCAT('Consolidado-Eletronorte'!#REF!,"_",ROW('Consolidado-Eletronorte'!#REF!)-ROW('Consolidado-Eletronorte'!$G$18))</f>
      </c>
      <c r="H43" s="179" t="s">
        <v>10</v>
      </c>
      <c r="I43" s="179" t="s">
        <v>88</v>
      </c>
      <c r="J43" s="179" t="s">
        <v>5</v>
      </c>
      <c r="K43" s="180" t="s">
        <v>16</v>
      </c>
      <c r="L43" s="179" t="s">
        <v>67</v>
      </c>
      <c r="M43" s="179" t="s">
        <v>39932</v>
      </c>
      <c r="N43" s="179"/>
      <c r="O43" s="179"/>
      <c r="P43" s="154" t="s">
        <v>38349</v>
      </c>
      <c r="Q43" s="181" t="s">
        <v>40062</v>
      </c>
      <c r="R43" s="181" t="s">
        <v>40063</v>
      </c>
      <c r="S43" s="179" t="s">
        <v>39998</v>
      </c>
      <c r="T43" s="63">
        <v>0</v>
      </c>
      <c r="U43" s="63">
        <v>0</v>
      </c>
      <c r="V43" s="63">
        <v>0</v>
      </c>
      <c r="W43" s="63">
        <v>0</v>
      </c>
      <c r="X43" s="63">
        <v>1000000</v>
      </c>
      <c r="Y43" s="63">
        <v>0</v>
      </c>
      <c r="Z43" s="63">
        <v>0</v>
      </c>
      <c r="AA43" s="63">
        <v>0</v>
      </c>
      <c r="AB43" s="63">
        <v>1000000</v>
      </c>
      <c r="AC43" s="63">
        <v>0</v>
      </c>
      <c r="AD43" s="63">
        <v>0</v>
      </c>
      <c r="AE43" s="63">
        <v>1000000</v>
      </c>
      <c r="AF43" s="63">
        <v>3000000</v>
      </c>
      <c r="AG43" s="63">
        <v>0</v>
      </c>
      <c r="AH43" s="63">
        <v>0</v>
      </c>
      <c r="AI43" s="63">
        <v>0</v>
      </c>
      <c r="AJ43" s="63">
        <v>0</v>
      </c>
      <c r="AK43" s="63">
        <v>3000000</v>
      </c>
      <c r="AL43" s="63">
        <v>0</v>
      </c>
      <c r="AM43" s="63">
        <v>0</v>
      </c>
      <c r="AN43" s="63">
        <v>0</v>
      </c>
      <c r="AO43" s="63">
        <v>0</v>
      </c>
      <c r="AP43" s="63">
        <v>0</v>
      </c>
      <c r="AQ43" s="63">
        <v>3000000</v>
      </c>
      <c r="AR43" s="39">
        <v>41</v>
      </c>
      <c r="AS43" s="13" t="s">
        <v>40053</v>
      </c>
      <c r="AT43" s="128" t="s">
        <v>39970</v>
      </c>
      <c r="AU43" s="13" t="s">
        <v>40064</v>
      </c>
      <c r="AV43" s="39">
        <v>0</v>
      </c>
      <c r="AW43" s="13" t="s">
        <v>39931</v>
      </c>
      <c r="AX43" s="2"/>
      <c r="AY43" s="1"/>
      <c r="AZ43" s="160">
        <f>_xlfn.XLOOKUP(Tabela98[[#This Row], [Descrição do projeto]],[3]Geração!$G:$G,[3]Geração!$F:$F,,0,1)</f>
      </c>
    </row>
    <row x14ac:dyDescent="0.25" r="44" customHeight="1" ht="24.75">
      <c r="A44" s="149"/>
      <c r="B44" s="150">
        <f>AND(ISTEXT('Consolidado-Eletronorte'!#REF!),SUM('Consolidado-Eletronorte'!#REF!)&gt;0)</f>
      </c>
      <c r="C44" s="151">
        <f>$J$3</f>
      </c>
      <c r="D44" s="151">
        <f>$H$3</f>
      </c>
      <c r="E44" s="151">
        <f>$H$4</f>
      </c>
      <c r="F44" s="152"/>
      <c r="G44" s="151">
        <f>_xlfn.CONCAT('Consolidado-Eletronorte'!#REF!,"_",ROW('Consolidado-Eletronorte'!#REF!)-ROW('Consolidado-Eletronorte'!$G$18))</f>
      </c>
      <c r="H44" s="186" t="s">
        <v>10</v>
      </c>
      <c r="I44" s="153" t="s">
        <v>88</v>
      </c>
      <c r="J44" s="153" t="s">
        <v>5</v>
      </c>
      <c r="K44" s="154" t="s">
        <v>16</v>
      </c>
      <c r="L44" s="153" t="s">
        <v>67</v>
      </c>
      <c r="M44" s="153" t="s">
        <v>39932</v>
      </c>
      <c r="N44" s="153"/>
      <c r="O44" s="153"/>
      <c r="P44" s="154" t="s">
        <v>38349</v>
      </c>
      <c r="Q44" s="155" t="s">
        <v>40065</v>
      </c>
      <c r="R44" s="155" t="s">
        <v>40066</v>
      </c>
      <c r="S44" s="153" t="s">
        <v>39998</v>
      </c>
      <c r="T44" s="63">
        <v>0</v>
      </c>
      <c r="U44" s="63">
        <v>0</v>
      </c>
      <c r="V44" s="63">
        <v>0</v>
      </c>
      <c r="W44" s="63">
        <v>0</v>
      </c>
      <c r="X44" s="63">
        <v>0</v>
      </c>
      <c r="Y44" s="63">
        <v>1000000</v>
      </c>
      <c r="Z44" s="63">
        <v>0</v>
      </c>
      <c r="AA44" s="63">
        <v>0</v>
      </c>
      <c r="AB44" s="63">
        <v>0</v>
      </c>
      <c r="AC44" s="63">
        <v>2000000</v>
      </c>
      <c r="AD44" s="63">
        <v>0</v>
      </c>
      <c r="AE44" s="63">
        <v>0</v>
      </c>
      <c r="AF44" s="63">
        <v>3000000</v>
      </c>
      <c r="AG44" s="63">
        <v>0</v>
      </c>
      <c r="AH44" s="63">
        <v>0</v>
      </c>
      <c r="AI44" s="63">
        <v>0</v>
      </c>
      <c r="AJ44" s="63">
        <v>0</v>
      </c>
      <c r="AK44" s="63">
        <v>3000000</v>
      </c>
      <c r="AL44" s="63">
        <v>0</v>
      </c>
      <c r="AM44" s="63">
        <v>0</v>
      </c>
      <c r="AN44" s="63">
        <v>0</v>
      </c>
      <c r="AO44" s="63">
        <v>0</v>
      </c>
      <c r="AP44" s="63">
        <v>0</v>
      </c>
      <c r="AQ44" s="63">
        <v>3000000</v>
      </c>
      <c r="AR44" s="39">
        <v>42</v>
      </c>
      <c r="AS44" s="13" t="s">
        <v>40053</v>
      </c>
      <c r="AT44" s="128" t="s">
        <v>39970</v>
      </c>
      <c r="AU44" s="13" t="s">
        <v>40067</v>
      </c>
      <c r="AV44" s="39">
        <v>0</v>
      </c>
      <c r="AW44" s="13" t="s">
        <v>39931</v>
      </c>
      <c r="AX44" s="2"/>
      <c r="AY44" s="1"/>
      <c r="AZ44" s="160">
        <f>_xlfn.XLOOKUP(Tabela98[[#This Row], [Descrição do projeto]],[3]Geração!$G:$G,[3]Geração!$F:$F,,0,1)</f>
      </c>
    </row>
    <row x14ac:dyDescent="0.25" r="45" customHeight="1" ht="24.75">
      <c r="A45" s="187"/>
      <c r="B45" s="188">
        <f>AND(ISTEXT('Consolidado-Eletronorte'!#REF!),SUM('Consolidado-Eletronorte'!#REF!)&gt;0)</f>
      </c>
      <c r="C45" s="189">
        <f>$J$3</f>
      </c>
      <c r="D45" s="189">
        <f>$H$3</f>
      </c>
      <c r="E45" s="189">
        <f>$H$4</f>
      </c>
      <c r="F45" s="190"/>
      <c r="G45" s="189">
        <f>_xlfn.CONCAT('Consolidado-Eletronorte'!#REF!,"_",ROW('Consolidado-Eletronorte'!#REF!)-ROW('Consolidado-Eletronorte'!$G$18))</f>
      </c>
      <c r="H45" s="186" t="s">
        <v>10</v>
      </c>
      <c r="I45" s="191" t="s">
        <v>88</v>
      </c>
      <c r="J45" s="191" t="s">
        <v>5</v>
      </c>
      <c r="K45" s="192" t="s">
        <v>16</v>
      </c>
      <c r="L45" s="191" t="s">
        <v>67</v>
      </c>
      <c r="M45" s="191" t="s">
        <v>40068</v>
      </c>
      <c r="N45" s="191"/>
      <c r="O45" s="191"/>
      <c r="P45" s="192" t="s">
        <v>38358</v>
      </c>
      <c r="Q45" s="193" t="s">
        <v>40069</v>
      </c>
      <c r="R45" s="193" t="s">
        <v>40070</v>
      </c>
      <c r="S45" s="191" t="s">
        <v>39912</v>
      </c>
      <c r="T45" s="63">
        <v>0</v>
      </c>
      <c r="U45" s="63">
        <v>0</v>
      </c>
      <c r="V45" s="63">
        <v>500000</v>
      </c>
      <c r="W45" s="63">
        <v>500000</v>
      </c>
      <c r="X45" s="63">
        <v>500000</v>
      </c>
      <c r="Y45" s="63">
        <v>500000</v>
      </c>
      <c r="Z45" s="63">
        <v>500000</v>
      </c>
      <c r="AA45" s="63">
        <v>500000</v>
      </c>
      <c r="AB45" s="63">
        <v>0</v>
      </c>
      <c r="AC45" s="63">
        <v>0</v>
      </c>
      <c r="AD45" s="63">
        <v>0</v>
      </c>
      <c r="AE45" s="63">
        <v>0</v>
      </c>
      <c r="AF45" s="63">
        <v>3000000</v>
      </c>
      <c r="AG45" s="63">
        <v>0</v>
      </c>
      <c r="AH45" s="63">
        <v>0</v>
      </c>
      <c r="AI45" s="63">
        <v>0</v>
      </c>
      <c r="AJ45" s="63">
        <v>0</v>
      </c>
      <c r="AK45" s="63">
        <v>3000000</v>
      </c>
      <c r="AL45" s="63">
        <v>0</v>
      </c>
      <c r="AM45" s="63">
        <v>0</v>
      </c>
      <c r="AN45" s="63">
        <v>0</v>
      </c>
      <c r="AO45" s="63">
        <v>0</v>
      </c>
      <c r="AP45" s="63">
        <v>0</v>
      </c>
      <c r="AQ45" s="63">
        <v>3000000</v>
      </c>
      <c r="AR45" s="39">
        <v>106</v>
      </c>
      <c r="AS45" s="13" t="s">
        <v>39964</v>
      </c>
      <c r="AT45" s="39">
        <v>2025</v>
      </c>
      <c r="AU45" s="13" t="s">
        <v>40071</v>
      </c>
      <c r="AV45" s="128" t="s">
        <v>40072</v>
      </c>
      <c r="AW45" s="13" t="s">
        <v>39931</v>
      </c>
      <c r="AX45" s="2"/>
      <c r="AY45" s="1"/>
      <c r="AZ45" s="160">
        <f>_xlfn.XLOOKUP(Tabela98[[#This Row], [Descrição do projeto]],[3]Geração!$G:$G,[3]Geração!$F:$F,,0,1)</f>
      </c>
    </row>
    <row x14ac:dyDescent="0.25" r="46" customHeight="1" ht="24.75">
      <c r="A46" s="187"/>
      <c r="B46" s="188">
        <f>AND(ISTEXT('Consolidado-Eletronorte'!#REF!),SUM('Consolidado-Eletronorte'!#REF!)&gt;0)</f>
      </c>
      <c r="C46" s="189">
        <f>$J$3</f>
      </c>
      <c r="D46" s="189">
        <f>$H$3</f>
      </c>
      <c r="E46" s="189">
        <f>$H$4</f>
      </c>
      <c r="F46" s="190"/>
      <c r="G46" s="189">
        <f>_xlfn.CONCAT('Consolidado-Eletronorte'!#REF!,"_",ROW('Consolidado-Eletronorte'!#REF!)-ROW('Consolidado-Eletronorte'!$G$18))</f>
      </c>
      <c r="H46" s="186" t="s">
        <v>10</v>
      </c>
      <c r="I46" s="191" t="s">
        <v>88</v>
      </c>
      <c r="J46" s="191" t="s">
        <v>5</v>
      </c>
      <c r="K46" s="192" t="s">
        <v>16</v>
      </c>
      <c r="L46" s="191" t="s">
        <v>67</v>
      </c>
      <c r="M46" s="191" t="s">
        <v>40073</v>
      </c>
      <c r="N46" s="191"/>
      <c r="O46" s="191"/>
      <c r="P46" s="192" t="s">
        <v>38358</v>
      </c>
      <c r="Q46" s="193" t="s">
        <v>40074</v>
      </c>
      <c r="R46" s="193" t="s">
        <v>40075</v>
      </c>
      <c r="S46" s="191" t="s">
        <v>39912</v>
      </c>
      <c r="T46" s="63">
        <v>0</v>
      </c>
      <c r="U46" s="63">
        <v>0</v>
      </c>
      <c r="V46" s="63">
        <v>0</v>
      </c>
      <c r="W46" s="63">
        <v>900000</v>
      </c>
      <c r="X46" s="63">
        <v>0</v>
      </c>
      <c r="Y46" s="63">
        <v>0</v>
      </c>
      <c r="Z46" s="63">
        <v>0</v>
      </c>
      <c r="AA46" s="63">
        <v>0</v>
      </c>
      <c r="AB46" s="63">
        <v>900000</v>
      </c>
      <c r="AC46" s="63">
        <v>0</v>
      </c>
      <c r="AD46" s="63">
        <v>0</v>
      </c>
      <c r="AE46" s="63">
        <v>0</v>
      </c>
      <c r="AF46" s="63">
        <v>1800000</v>
      </c>
      <c r="AG46" s="63">
        <v>557200</v>
      </c>
      <c r="AH46" s="63">
        <v>0</v>
      </c>
      <c r="AI46" s="63">
        <v>0</v>
      </c>
      <c r="AJ46" s="63">
        <v>0</v>
      </c>
      <c r="AK46" s="63">
        <v>2357200</v>
      </c>
      <c r="AL46" s="63">
        <v>0</v>
      </c>
      <c r="AM46" s="63">
        <v>0</v>
      </c>
      <c r="AN46" s="63">
        <v>0</v>
      </c>
      <c r="AO46" s="63">
        <v>0</v>
      </c>
      <c r="AP46" s="63">
        <v>0</v>
      </c>
      <c r="AQ46" s="63">
        <v>2357200</v>
      </c>
      <c r="AR46" s="39">
        <v>92</v>
      </c>
      <c r="AS46" s="13" t="s">
        <v>39964</v>
      </c>
      <c r="AT46" s="39">
        <v>2025</v>
      </c>
      <c r="AU46" s="13" t="s">
        <v>40076</v>
      </c>
      <c r="AV46" s="39">
        <v>0</v>
      </c>
      <c r="AW46" s="13" t="s">
        <v>39931</v>
      </c>
      <c r="AX46" s="2"/>
      <c r="AY46" s="1"/>
      <c r="AZ46" s="160">
        <f>_xlfn.XLOOKUP(Tabela98[[#This Row], [Descrição do projeto]],[3]Geração!$G:$G,[3]Geração!$F:$F,,0,1)</f>
      </c>
    </row>
    <row x14ac:dyDescent="0.25" r="47" customHeight="1" ht="24.75">
      <c r="A47" s="187"/>
      <c r="B47" s="188">
        <f>AND(ISTEXT('Consolidado-Eletronorte'!#REF!),SUM('Consolidado-Eletronorte'!#REF!)&gt;0)</f>
      </c>
      <c r="C47" s="189">
        <f>$J$3</f>
      </c>
      <c r="D47" s="189">
        <f>$H$3</f>
      </c>
      <c r="E47" s="189">
        <f>$H$4</f>
      </c>
      <c r="F47" s="190"/>
      <c r="G47" s="189">
        <f>_xlfn.CONCAT('Consolidado-Eletronorte'!#REF!,"_",ROW('Consolidado-Eletronorte'!#REF!)-ROW('Consolidado-Eletronorte'!$G$18))</f>
      </c>
      <c r="H47" s="186" t="s">
        <v>10</v>
      </c>
      <c r="I47" s="191" t="s">
        <v>88</v>
      </c>
      <c r="J47" s="191" t="s">
        <v>5</v>
      </c>
      <c r="K47" s="192" t="s">
        <v>16</v>
      </c>
      <c r="L47" s="191" t="s">
        <v>67</v>
      </c>
      <c r="M47" s="191" t="s">
        <v>39949</v>
      </c>
      <c r="N47" s="191"/>
      <c r="O47" s="191"/>
      <c r="P47" s="192" t="s">
        <v>38349</v>
      </c>
      <c r="Q47" s="193" t="s">
        <v>40077</v>
      </c>
      <c r="R47" s="193" t="s">
        <v>40078</v>
      </c>
      <c r="S47" s="191" t="s">
        <v>39998</v>
      </c>
      <c r="T47" s="63">
        <v>0</v>
      </c>
      <c r="U47" s="63">
        <v>0</v>
      </c>
      <c r="V47" s="63">
        <v>0</v>
      </c>
      <c r="W47" s="63">
        <v>0</v>
      </c>
      <c r="X47" s="63">
        <v>0</v>
      </c>
      <c r="Y47" s="63">
        <v>0</v>
      </c>
      <c r="Z47" s="63">
        <v>0</v>
      </c>
      <c r="AA47" s="63">
        <v>0</v>
      </c>
      <c r="AB47" s="63">
        <v>500000</v>
      </c>
      <c r="AC47" s="63">
        <v>0</v>
      </c>
      <c r="AD47" s="63">
        <v>0</v>
      </c>
      <c r="AE47" s="63">
        <v>500000</v>
      </c>
      <c r="AF47" s="63">
        <v>1000000</v>
      </c>
      <c r="AG47" s="63">
        <v>1000000</v>
      </c>
      <c r="AH47" s="63">
        <v>200000</v>
      </c>
      <c r="AI47" s="63">
        <v>0</v>
      </c>
      <c r="AJ47" s="63">
        <v>0</v>
      </c>
      <c r="AK47" s="63">
        <v>2200000</v>
      </c>
      <c r="AL47" s="63">
        <v>0</v>
      </c>
      <c r="AM47" s="63">
        <v>0</v>
      </c>
      <c r="AN47" s="63">
        <v>0</v>
      </c>
      <c r="AO47" s="63">
        <v>0</v>
      </c>
      <c r="AP47" s="63">
        <v>0</v>
      </c>
      <c r="AQ47" s="63">
        <v>2200000</v>
      </c>
      <c r="AR47" s="39">
        <v>44</v>
      </c>
      <c r="AS47" s="224" t="s">
        <v>39964</v>
      </c>
      <c r="AT47" s="39">
        <v>2025</v>
      </c>
      <c r="AU47" s="13" t="s">
        <v>40079</v>
      </c>
      <c r="AV47" s="17" t="s">
        <v>40080</v>
      </c>
      <c r="AW47" s="13" t="s">
        <v>39923</v>
      </c>
      <c r="AX47" s="2"/>
      <c r="AY47" s="1"/>
      <c r="AZ47" s="160">
        <f>_xlfn.XLOOKUP(Tabela98[[#This Row], [Descrição do projeto]],[3]Geração!$G:$G,[3]Geração!$F:$F,,0,1)</f>
      </c>
    </row>
    <row x14ac:dyDescent="0.25" r="48" customHeight="1" ht="24.75">
      <c r="A48" s="187"/>
      <c r="B48" s="188">
        <f>AND(ISTEXT('Consolidado-Eletronorte'!#REF!),SUM('Consolidado-Eletronorte'!#REF!)&gt;0)</f>
      </c>
      <c r="C48" s="189">
        <f>$J$3</f>
      </c>
      <c r="D48" s="189">
        <f>$H$3</f>
      </c>
      <c r="E48" s="189">
        <f>$H$4</f>
      </c>
      <c r="F48" s="190"/>
      <c r="G48" s="189">
        <f>_xlfn.CONCAT('Consolidado-Eletronorte'!#REF!,"_",ROW('Consolidado-Eletronorte'!#REF!)-ROW('Consolidado-Eletronorte'!$G$18))</f>
      </c>
      <c r="H48" s="186" t="s">
        <v>10</v>
      </c>
      <c r="I48" s="191" t="s">
        <v>88</v>
      </c>
      <c r="J48" s="191" t="s">
        <v>5</v>
      </c>
      <c r="K48" s="192" t="s">
        <v>16</v>
      </c>
      <c r="L48" s="191" t="s">
        <v>67</v>
      </c>
      <c r="M48" s="191" t="s">
        <v>39949</v>
      </c>
      <c r="N48" s="191"/>
      <c r="O48" s="191"/>
      <c r="P48" s="192" t="s">
        <v>38349</v>
      </c>
      <c r="Q48" s="193" t="s">
        <v>40081</v>
      </c>
      <c r="R48" s="193" t="s">
        <v>40082</v>
      </c>
      <c r="S48" s="191" t="s">
        <v>39998</v>
      </c>
      <c r="T48" s="63">
        <v>0</v>
      </c>
      <c r="U48" s="63">
        <v>0</v>
      </c>
      <c r="V48" s="63">
        <v>500000</v>
      </c>
      <c r="W48" s="63">
        <v>0</v>
      </c>
      <c r="X48" s="63">
        <v>0</v>
      </c>
      <c r="Y48" s="63">
        <v>0</v>
      </c>
      <c r="Z48" s="63">
        <v>500000</v>
      </c>
      <c r="AA48" s="63">
        <v>0</v>
      </c>
      <c r="AB48" s="63">
        <v>0</v>
      </c>
      <c r="AC48" s="63">
        <v>1100000</v>
      </c>
      <c r="AD48" s="63">
        <v>0</v>
      </c>
      <c r="AE48" s="63">
        <v>0</v>
      </c>
      <c r="AF48" s="63">
        <v>2100000</v>
      </c>
      <c r="AG48" s="63">
        <v>0</v>
      </c>
      <c r="AH48" s="63">
        <v>0</v>
      </c>
      <c r="AI48" s="63">
        <v>0</v>
      </c>
      <c r="AJ48" s="63">
        <v>0</v>
      </c>
      <c r="AK48" s="63">
        <v>2100000</v>
      </c>
      <c r="AL48" s="63">
        <v>0</v>
      </c>
      <c r="AM48" s="63">
        <v>0</v>
      </c>
      <c r="AN48" s="63">
        <v>0</v>
      </c>
      <c r="AO48" s="63">
        <v>0</v>
      </c>
      <c r="AP48" s="63">
        <v>0</v>
      </c>
      <c r="AQ48" s="63">
        <v>2100000</v>
      </c>
      <c r="AR48" s="39">
        <v>45</v>
      </c>
      <c r="AS48" s="224" t="s">
        <v>39964</v>
      </c>
      <c r="AT48" s="39">
        <v>2025</v>
      </c>
      <c r="AU48" s="13" t="s">
        <v>40083</v>
      </c>
      <c r="AV48" s="17" t="s">
        <v>40084</v>
      </c>
      <c r="AW48" s="13" t="s">
        <v>39923</v>
      </c>
      <c r="AX48" s="2"/>
      <c r="AY48" s="1"/>
      <c r="AZ48" s="160">
        <f>_xlfn.XLOOKUP(Tabela98[[#This Row], [Descrição do projeto]],[3]Geração!$G:$G,[3]Geração!$F:$F,,0,1)</f>
      </c>
    </row>
    <row x14ac:dyDescent="0.25" r="49" customHeight="1" ht="24.75">
      <c r="A49" s="187"/>
      <c r="B49" s="188">
        <f>AND(ISTEXT('Consolidado-Eletronorte'!#REF!),SUM('Consolidado-Eletronorte'!#REF!)&gt;0)</f>
      </c>
      <c r="C49" s="189">
        <f>$J$3</f>
      </c>
      <c r="D49" s="189">
        <f>$H$3</f>
      </c>
      <c r="E49" s="189">
        <f>$H$4</f>
      </c>
      <c r="F49" s="190"/>
      <c r="G49" s="189">
        <f>_xlfn.CONCAT('Consolidado-Eletronorte'!#REF!,"_",ROW('Consolidado-Eletronorte'!#REF!)-ROW('Consolidado-Eletronorte'!$G$18))</f>
      </c>
      <c r="H49" s="186" t="s">
        <v>10</v>
      </c>
      <c r="I49" s="191" t="s">
        <v>88</v>
      </c>
      <c r="J49" s="191" t="s">
        <v>5</v>
      </c>
      <c r="K49" s="192" t="s">
        <v>16</v>
      </c>
      <c r="L49" s="191" t="s">
        <v>67</v>
      </c>
      <c r="M49" s="191" t="s">
        <v>39949</v>
      </c>
      <c r="N49" s="191"/>
      <c r="O49" s="191"/>
      <c r="P49" s="192" t="s">
        <v>38349</v>
      </c>
      <c r="Q49" s="193" t="s">
        <v>40085</v>
      </c>
      <c r="R49" s="193" t="s">
        <v>40086</v>
      </c>
      <c r="S49" s="191" t="s">
        <v>39998</v>
      </c>
      <c r="T49" s="63">
        <v>0</v>
      </c>
      <c r="U49" s="63">
        <v>0</v>
      </c>
      <c r="V49" s="63">
        <v>0</v>
      </c>
      <c r="W49" s="63">
        <v>0</v>
      </c>
      <c r="X49" s="63">
        <v>0</v>
      </c>
      <c r="Y49" s="63">
        <v>0</v>
      </c>
      <c r="Z49" s="63">
        <v>0</v>
      </c>
      <c r="AA49" s="63">
        <v>0</v>
      </c>
      <c r="AB49" s="63">
        <v>0</v>
      </c>
      <c r="AC49" s="63">
        <v>0</v>
      </c>
      <c r="AD49" s="63">
        <v>2000000</v>
      </c>
      <c r="AE49" s="63">
        <v>0</v>
      </c>
      <c r="AF49" s="63">
        <v>2000000</v>
      </c>
      <c r="AG49" s="63">
        <v>0</v>
      </c>
      <c r="AH49" s="63">
        <v>0</v>
      </c>
      <c r="AI49" s="63">
        <v>0</v>
      </c>
      <c r="AJ49" s="63">
        <v>0</v>
      </c>
      <c r="AK49" s="63">
        <v>2000000</v>
      </c>
      <c r="AL49" s="63">
        <v>0</v>
      </c>
      <c r="AM49" s="63">
        <v>0</v>
      </c>
      <c r="AN49" s="63">
        <v>0</v>
      </c>
      <c r="AO49" s="63">
        <v>0</v>
      </c>
      <c r="AP49" s="63">
        <v>0</v>
      </c>
      <c r="AQ49" s="63">
        <v>2000000</v>
      </c>
      <c r="AR49" s="39">
        <v>39</v>
      </c>
      <c r="AS49" s="13" t="s">
        <v>40053</v>
      </c>
      <c r="AT49" s="128" t="s">
        <v>39970</v>
      </c>
      <c r="AU49" s="13" t="s">
        <v>40087</v>
      </c>
      <c r="AV49" s="39">
        <v>0</v>
      </c>
      <c r="AW49" s="13" t="s">
        <v>39931</v>
      </c>
      <c r="AX49" s="2"/>
      <c r="AY49" s="1"/>
      <c r="AZ49" s="160">
        <f>_xlfn.XLOOKUP(Tabela98[[#This Row], [Descrição do projeto]],[3]Geração!$G:$G,[3]Geração!$F:$F,,0,1)</f>
      </c>
    </row>
    <row x14ac:dyDescent="0.25" r="50" customHeight="1" ht="24.75">
      <c r="A50" s="187"/>
      <c r="B50" s="188">
        <f>AND(ISTEXT('Consolidado-Eletronorte'!#REF!),SUM('Consolidado-Eletronorte'!#REF!)&gt;0)</f>
      </c>
      <c r="C50" s="189">
        <f>$J$3</f>
      </c>
      <c r="D50" s="189">
        <f>$H$3</f>
      </c>
      <c r="E50" s="189">
        <f>$H$4</f>
      </c>
      <c r="F50" s="190"/>
      <c r="G50" s="189">
        <f>_xlfn.CONCAT('Consolidado-Eletronorte'!#REF!,"_",ROW('Consolidado-Eletronorte'!#REF!)-ROW('Consolidado-Eletronorte'!$G$18))</f>
      </c>
      <c r="H50" s="186" t="s">
        <v>10</v>
      </c>
      <c r="I50" s="191" t="s">
        <v>88</v>
      </c>
      <c r="J50" s="191" t="s">
        <v>5</v>
      </c>
      <c r="K50" s="192" t="s">
        <v>16</v>
      </c>
      <c r="L50" s="191" t="s">
        <v>67</v>
      </c>
      <c r="M50" s="191" t="s">
        <v>39932</v>
      </c>
      <c r="N50" s="191"/>
      <c r="O50" s="191"/>
      <c r="P50" s="192" t="s">
        <v>38349</v>
      </c>
      <c r="Q50" s="193" t="s">
        <v>40088</v>
      </c>
      <c r="R50" s="193" t="s">
        <v>40089</v>
      </c>
      <c r="S50" s="191" t="s">
        <v>39998</v>
      </c>
      <c r="T50" s="63">
        <v>0</v>
      </c>
      <c r="U50" s="63">
        <v>0</v>
      </c>
      <c r="V50" s="63">
        <v>0</v>
      </c>
      <c r="W50" s="63">
        <v>0</v>
      </c>
      <c r="X50" s="63">
        <v>0</v>
      </c>
      <c r="Y50" s="63">
        <v>0</v>
      </c>
      <c r="Z50" s="63">
        <v>2000000</v>
      </c>
      <c r="AA50" s="63">
        <v>0</v>
      </c>
      <c r="AB50" s="63">
        <v>0</v>
      </c>
      <c r="AC50" s="63">
        <v>0</v>
      </c>
      <c r="AD50" s="63">
        <v>0</v>
      </c>
      <c r="AE50" s="63">
        <v>0</v>
      </c>
      <c r="AF50" s="63">
        <v>2000000</v>
      </c>
      <c r="AG50" s="63">
        <v>0</v>
      </c>
      <c r="AH50" s="63">
        <v>0</v>
      </c>
      <c r="AI50" s="63">
        <v>0</v>
      </c>
      <c r="AJ50" s="63">
        <v>0</v>
      </c>
      <c r="AK50" s="63">
        <v>2000000</v>
      </c>
      <c r="AL50" s="63">
        <v>0</v>
      </c>
      <c r="AM50" s="63">
        <v>0</v>
      </c>
      <c r="AN50" s="63">
        <v>0</v>
      </c>
      <c r="AO50" s="63">
        <v>0</v>
      </c>
      <c r="AP50" s="63">
        <v>0</v>
      </c>
      <c r="AQ50" s="63">
        <v>2000000</v>
      </c>
      <c r="AR50" s="39">
        <v>47</v>
      </c>
      <c r="AS50" s="13" t="s">
        <v>40053</v>
      </c>
      <c r="AT50" s="39">
        <v>2025</v>
      </c>
      <c r="AU50" s="13" t="s">
        <v>40090</v>
      </c>
      <c r="AV50" s="39">
        <v>0</v>
      </c>
      <c r="AW50" s="13" t="s">
        <v>39931</v>
      </c>
      <c r="AX50" s="2"/>
      <c r="AY50" s="1"/>
      <c r="AZ50" s="160">
        <f>_xlfn.XLOOKUP(Tabela98[[#This Row], [Descrição do projeto]],[3]Geração!$G:$G,[3]Geração!$F:$F,,0,1)</f>
      </c>
    </row>
    <row x14ac:dyDescent="0.25" r="51" customHeight="1" ht="24.75">
      <c r="A51" s="187"/>
      <c r="B51" s="188">
        <f>AND(ISTEXT('Consolidado-Eletronorte'!#REF!),SUM('Consolidado-Eletronorte'!#REF!)&gt;0)</f>
      </c>
      <c r="C51" s="189">
        <f>$J$3</f>
      </c>
      <c r="D51" s="189">
        <f>$H$3</f>
      </c>
      <c r="E51" s="189">
        <f>$H$4</f>
      </c>
      <c r="F51" s="190"/>
      <c r="G51" s="189">
        <f>_xlfn.CONCAT('Consolidado-Eletronorte'!#REF!,"_",ROW('Consolidado-Eletronorte'!#REF!)-ROW('Consolidado-Eletronorte'!$G$18))</f>
      </c>
      <c r="H51" s="186" t="s">
        <v>10</v>
      </c>
      <c r="I51" s="191" t="s">
        <v>88</v>
      </c>
      <c r="J51" s="191" t="s">
        <v>5</v>
      </c>
      <c r="K51" s="192" t="s">
        <v>16</v>
      </c>
      <c r="L51" s="191" t="s">
        <v>67</v>
      </c>
      <c r="M51" s="191" t="s">
        <v>39980</v>
      </c>
      <c r="N51" s="191"/>
      <c r="O51" s="191"/>
      <c r="P51" s="192">
        <v>157189</v>
      </c>
      <c r="Q51" s="193" t="s">
        <v>40091</v>
      </c>
      <c r="R51" s="193" t="s">
        <v>39982</v>
      </c>
      <c r="S51" s="191" t="s">
        <v>39945</v>
      </c>
      <c r="T51" s="63">
        <v>0</v>
      </c>
      <c r="U51" s="63">
        <v>500000</v>
      </c>
      <c r="V51" s="63">
        <v>0</v>
      </c>
      <c r="W51" s="63">
        <v>500000</v>
      </c>
      <c r="X51" s="63">
        <v>0</v>
      </c>
      <c r="Y51" s="63">
        <v>500000</v>
      </c>
      <c r="Z51" s="63">
        <v>0</v>
      </c>
      <c r="AA51" s="63">
        <v>500000</v>
      </c>
      <c r="AB51" s="63">
        <v>0</v>
      </c>
      <c r="AC51" s="63">
        <v>0</v>
      </c>
      <c r="AD51" s="63">
        <v>0</v>
      </c>
      <c r="AE51" s="63">
        <v>0</v>
      </c>
      <c r="AF51" s="63">
        <v>2000000</v>
      </c>
      <c r="AG51" s="63">
        <v>0</v>
      </c>
      <c r="AH51" s="63">
        <v>0</v>
      </c>
      <c r="AI51" s="63">
        <v>0</v>
      </c>
      <c r="AJ51" s="63">
        <v>0</v>
      </c>
      <c r="AK51" s="63">
        <v>2000000</v>
      </c>
      <c r="AL51" s="63">
        <v>0</v>
      </c>
      <c r="AM51" s="63">
        <v>0</v>
      </c>
      <c r="AN51" s="63">
        <v>0</v>
      </c>
      <c r="AO51" s="63">
        <v>0</v>
      </c>
      <c r="AP51" s="63">
        <v>0</v>
      </c>
      <c r="AQ51" s="63">
        <v>2000000</v>
      </c>
      <c r="AR51" s="39">
        <v>123</v>
      </c>
      <c r="AS51" s="3" t="s">
        <v>39983</v>
      </c>
      <c r="AT51" s="39">
        <v>2025</v>
      </c>
      <c r="AU51" s="3" t="s">
        <v>39984</v>
      </c>
      <c r="AV51" s="113" t="s">
        <v>39957</v>
      </c>
      <c r="AW51" s="13" t="s">
        <v>39923</v>
      </c>
      <c r="AX51" s="2"/>
      <c r="AY51" s="1"/>
      <c r="AZ51" s="160">
        <f>_xlfn.XLOOKUP(Tabela98[[#This Row], [Descrição do projeto]],[3]Geração!$G:$G,[3]Geração!$F:$F,,0,1)</f>
      </c>
    </row>
    <row x14ac:dyDescent="0.25" r="52" customHeight="1" ht="24.75">
      <c r="A52" s="198"/>
      <c r="B52" s="188">
        <f>AND(ISTEXT('Consolidado-Eletronorte'!#REF!),SUM('Consolidado-Eletronorte'!#REF!)&gt;0)</f>
      </c>
      <c r="C52" s="199">
        <f>$J$3</f>
      </c>
      <c r="D52" s="199">
        <f>$H$3</f>
      </c>
      <c r="E52" s="199">
        <f>$H$4</f>
      </c>
      <c r="F52" s="200"/>
      <c r="G52" s="199">
        <f>_xlfn.CONCAT('Consolidado-Eletronorte'!#REF!,"_",ROW('Consolidado-Eletronorte'!#REF!)-ROW('Consolidado-Eletronorte'!$G$18))</f>
      </c>
      <c r="H52" s="201" t="s">
        <v>10</v>
      </c>
      <c r="I52" s="202" t="s">
        <v>88</v>
      </c>
      <c r="J52" s="202" t="s">
        <v>5</v>
      </c>
      <c r="K52" s="203" t="s">
        <v>16</v>
      </c>
      <c r="L52" s="202" t="s">
        <v>82</v>
      </c>
      <c r="M52" s="202" t="s">
        <v>39949</v>
      </c>
      <c r="N52" s="202"/>
      <c r="O52" s="202"/>
      <c r="P52" s="203" t="s">
        <v>38366</v>
      </c>
      <c r="Q52" s="204" t="s">
        <v>40092</v>
      </c>
      <c r="R52" s="204" t="s">
        <v>40093</v>
      </c>
      <c r="S52" s="202" t="s">
        <v>39969</v>
      </c>
      <c r="T52" s="63">
        <v>0</v>
      </c>
      <c r="U52" s="63">
        <v>0</v>
      </c>
      <c r="V52" s="63">
        <v>0</v>
      </c>
      <c r="W52" s="63">
        <v>0</v>
      </c>
      <c r="X52" s="63">
        <v>0</v>
      </c>
      <c r="Y52" s="63">
        <v>0</v>
      </c>
      <c r="Z52" s="63">
        <v>230000</v>
      </c>
      <c r="AA52" s="63">
        <v>0</v>
      </c>
      <c r="AB52" s="63">
        <v>470000</v>
      </c>
      <c r="AC52" s="63">
        <v>0</v>
      </c>
      <c r="AD52" s="63">
        <v>0</v>
      </c>
      <c r="AE52" s="63">
        <v>300000</v>
      </c>
      <c r="AF52" s="63">
        <v>1000000</v>
      </c>
      <c r="AG52" s="63">
        <v>1000000</v>
      </c>
      <c r="AH52" s="63">
        <v>0</v>
      </c>
      <c r="AI52" s="63">
        <v>0</v>
      </c>
      <c r="AJ52" s="63">
        <v>0</v>
      </c>
      <c r="AK52" s="63">
        <v>2000000</v>
      </c>
      <c r="AL52" s="63">
        <v>0</v>
      </c>
      <c r="AM52" s="63">
        <v>0</v>
      </c>
      <c r="AN52" s="63">
        <v>0</v>
      </c>
      <c r="AO52" s="63">
        <v>0</v>
      </c>
      <c r="AP52" s="63">
        <v>0</v>
      </c>
      <c r="AQ52" s="63">
        <v>2000000</v>
      </c>
      <c r="AR52" s="39">
        <v>10</v>
      </c>
      <c r="AS52" s="13" t="s">
        <v>40013</v>
      </c>
      <c r="AT52" s="128" t="s">
        <v>39970</v>
      </c>
      <c r="AU52" s="13" t="s">
        <v>40094</v>
      </c>
      <c r="AV52" s="39">
        <v>0</v>
      </c>
      <c r="AW52" s="13" t="s">
        <v>39931</v>
      </c>
      <c r="AX52" s="2"/>
      <c r="AY52" s="1"/>
      <c r="AZ52" s="160">
        <f>_xlfn.XLOOKUP(Tabela98[[#This Row], [Descrição do projeto]],[3]Geração!$G:$G,[3]Geração!$F:$F,,0,1)</f>
      </c>
    </row>
    <row x14ac:dyDescent="0.25" r="53" customHeight="1" ht="24.75">
      <c r="A53" s="187"/>
      <c r="B53" s="188">
        <f>AND(ISTEXT('Consolidado-Eletronorte'!#REF!),SUM('Consolidado-Eletronorte'!#REF!)&gt;0)</f>
      </c>
      <c r="C53" s="189">
        <f>$J$3</f>
      </c>
      <c r="D53" s="189">
        <f>$H$3</f>
      </c>
      <c r="E53" s="189">
        <f>$H$4</f>
      </c>
      <c r="F53" s="190"/>
      <c r="G53" s="189">
        <f>_xlfn.CONCAT('Consolidado-Eletronorte'!#REF!,"_",ROW('Consolidado-Eletronorte'!#REF!)-ROW('Consolidado-Eletronorte'!$G$18))</f>
      </c>
      <c r="H53" s="186" t="s">
        <v>10</v>
      </c>
      <c r="I53" s="191" t="s">
        <v>88</v>
      </c>
      <c r="J53" s="191" t="s">
        <v>5</v>
      </c>
      <c r="K53" s="192" t="s">
        <v>16</v>
      </c>
      <c r="L53" s="191" t="s">
        <v>67</v>
      </c>
      <c r="M53" s="191" t="s">
        <v>39949</v>
      </c>
      <c r="N53" s="191"/>
      <c r="O53" s="191"/>
      <c r="P53" s="192" t="s">
        <v>38358</v>
      </c>
      <c r="Q53" s="193" t="s">
        <v>40095</v>
      </c>
      <c r="R53" s="193" t="s">
        <v>40096</v>
      </c>
      <c r="S53" s="191" t="s">
        <v>39912</v>
      </c>
      <c r="T53" s="63">
        <v>0</v>
      </c>
      <c r="U53" s="63">
        <v>0</v>
      </c>
      <c r="V53" s="63">
        <v>0</v>
      </c>
      <c r="W53" s="63">
        <v>0</v>
      </c>
      <c r="X53" s="63">
        <v>0</v>
      </c>
      <c r="Y53" s="63">
        <v>500000</v>
      </c>
      <c r="Z53" s="63">
        <v>500000</v>
      </c>
      <c r="AA53" s="63">
        <v>0</v>
      </c>
      <c r="AB53" s="63">
        <v>0</v>
      </c>
      <c r="AC53" s="63">
        <v>0</v>
      </c>
      <c r="AD53" s="63">
        <v>0</v>
      </c>
      <c r="AE53" s="63">
        <v>0</v>
      </c>
      <c r="AF53" s="63">
        <v>1000000</v>
      </c>
      <c r="AG53" s="63">
        <v>1000000</v>
      </c>
      <c r="AH53" s="63">
        <v>0</v>
      </c>
      <c r="AI53" s="63">
        <v>0</v>
      </c>
      <c r="AJ53" s="63">
        <v>0</v>
      </c>
      <c r="AK53" s="63">
        <v>2000000</v>
      </c>
      <c r="AL53" s="63">
        <v>0</v>
      </c>
      <c r="AM53" s="63">
        <v>0</v>
      </c>
      <c r="AN53" s="63">
        <v>0</v>
      </c>
      <c r="AO53" s="63">
        <v>0</v>
      </c>
      <c r="AP53" s="63">
        <v>0</v>
      </c>
      <c r="AQ53" s="63">
        <v>2000000</v>
      </c>
      <c r="AR53" s="39">
        <v>108</v>
      </c>
      <c r="AS53" s="13" t="s">
        <v>39964</v>
      </c>
      <c r="AT53" s="39">
        <v>2025</v>
      </c>
      <c r="AU53" s="13" t="s">
        <v>40097</v>
      </c>
      <c r="AV53" s="128" t="s">
        <v>40098</v>
      </c>
      <c r="AW53" s="13" t="s">
        <v>39931</v>
      </c>
      <c r="AX53" s="2"/>
      <c r="AY53" s="1"/>
      <c r="AZ53" s="160">
        <f>_xlfn.XLOOKUP(Tabela98[[#This Row], [Descrição do projeto]],[3]Geração!$G:$G,[3]Geração!$F:$F,,0,1)</f>
      </c>
    </row>
    <row x14ac:dyDescent="0.25" r="54" customHeight="1" ht="24.75">
      <c r="A54" s="187"/>
      <c r="B54" s="188">
        <f>AND(ISTEXT('Consolidado-Eletronorte'!#REF!),SUM('Consolidado-Eletronorte'!#REF!)&gt;0)</f>
      </c>
      <c r="C54" s="189">
        <f>$J$3</f>
      </c>
      <c r="D54" s="189">
        <f>$H$3</f>
      </c>
      <c r="E54" s="189">
        <f>$H$4</f>
      </c>
      <c r="F54" s="190"/>
      <c r="G54" s="189">
        <f>_xlfn.CONCAT('Consolidado-Eletronorte'!#REF!,"_",ROW('Consolidado-Eletronorte'!#REF!)-ROW('Consolidado-Eletronorte'!$G$18))</f>
      </c>
      <c r="H54" s="186" t="s">
        <v>10</v>
      </c>
      <c r="I54" s="191" t="s">
        <v>88</v>
      </c>
      <c r="J54" s="191" t="s">
        <v>5</v>
      </c>
      <c r="K54" s="192" t="s">
        <v>16</v>
      </c>
      <c r="L54" s="191" t="s">
        <v>67</v>
      </c>
      <c r="M54" s="191" t="s">
        <v>39932</v>
      </c>
      <c r="N54" s="191"/>
      <c r="O54" s="191"/>
      <c r="P54" s="192" t="s">
        <v>38358</v>
      </c>
      <c r="Q54" s="193" t="s">
        <v>40099</v>
      </c>
      <c r="R54" s="193" t="s">
        <v>40100</v>
      </c>
      <c r="S54" s="191" t="s">
        <v>39912</v>
      </c>
      <c r="T54" s="63">
        <v>0</v>
      </c>
      <c r="U54" s="63">
        <v>500000</v>
      </c>
      <c r="V54" s="63">
        <v>0</v>
      </c>
      <c r="W54" s="63">
        <v>0</v>
      </c>
      <c r="X54" s="63">
        <v>0</v>
      </c>
      <c r="Y54" s="63">
        <v>0</v>
      </c>
      <c r="Z54" s="63">
        <v>0</v>
      </c>
      <c r="AA54" s="63">
        <v>500000</v>
      </c>
      <c r="AB54" s="63">
        <v>0</v>
      </c>
      <c r="AC54" s="63">
        <v>0</v>
      </c>
      <c r="AD54" s="63">
        <v>0</v>
      </c>
      <c r="AE54" s="63">
        <v>0</v>
      </c>
      <c r="AF54" s="63">
        <v>1000000</v>
      </c>
      <c r="AG54" s="63">
        <v>1000000</v>
      </c>
      <c r="AH54" s="63">
        <v>0</v>
      </c>
      <c r="AI54" s="63">
        <v>0</v>
      </c>
      <c r="AJ54" s="63">
        <v>0</v>
      </c>
      <c r="AK54" s="63">
        <v>2000000</v>
      </c>
      <c r="AL54" s="63">
        <v>0</v>
      </c>
      <c r="AM54" s="63">
        <v>0</v>
      </c>
      <c r="AN54" s="63">
        <v>0</v>
      </c>
      <c r="AO54" s="63">
        <v>0</v>
      </c>
      <c r="AP54" s="63">
        <v>0</v>
      </c>
      <c r="AQ54" s="63">
        <v>2000000</v>
      </c>
      <c r="AR54" s="39">
        <v>112</v>
      </c>
      <c r="AS54" s="13" t="s">
        <v>39964</v>
      </c>
      <c r="AT54" s="39">
        <v>2025</v>
      </c>
      <c r="AU54" s="13" t="s">
        <v>40101</v>
      </c>
      <c r="AV54" s="128" t="s">
        <v>40102</v>
      </c>
      <c r="AW54" s="13" t="s">
        <v>39931</v>
      </c>
      <c r="AX54" s="2"/>
      <c r="AY54" s="1"/>
      <c r="AZ54" s="160">
        <f>_xlfn.XLOOKUP(Tabela98[[#This Row], [Descrição do projeto]],[3]Geração!$G:$G,[3]Geração!$F:$F,,0,1)</f>
      </c>
    </row>
    <row x14ac:dyDescent="0.25" r="55" customHeight="1" ht="24.75">
      <c r="A55" s="198"/>
      <c r="B55" s="188">
        <f>AND(ISTEXT('Consolidado-Eletronorte'!#REF!),SUM('Consolidado-Eletronorte'!#REF!)&gt;0)</f>
      </c>
      <c r="C55" s="199">
        <f>$J$3</f>
      </c>
      <c r="D55" s="199">
        <f>$H$3</f>
      </c>
      <c r="E55" s="199">
        <f>$H$4</f>
      </c>
      <c r="F55" s="200"/>
      <c r="G55" s="199">
        <f>_xlfn.CONCAT('Consolidado-Eletronorte'!#REF!,"_",ROW('Consolidado-Eletronorte'!#REF!)-ROW('Consolidado-Eletronorte'!$G$18))</f>
      </c>
      <c r="H55" s="201" t="s">
        <v>10</v>
      </c>
      <c r="I55" s="202" t="s">
        <v>88</v>
      </c>
      <c r="J55" s="202" t="s">
        <v>5</v>
      </c>
      <c r="K55" s="203" t="s">
        <v>16</v>
      </c>
      <c r="L55" s="202" t="s">
        <v>67</v>
      </c>
      <c r="M55" s="202" t="s">
        <v>39932</v>
      </c>
      <c r="N55" s="202"/>
      <c r="O55" s="202"/>
      <c r="P55" s="203" t="s">
        <v>38358</v>
      </c>
      <c r="Q55" s="204" t="s">
        <v>40103</v>
      </c>
      <c r="R55" s="204" t="s">
        <v>40104</v>
      </c>
      <c r="S55" s="202" t="s">
        <v>39912</v>
      </c>
      <c r="T55" s="63">
        <v>0</v>
      </c>
      <c r="U55" s="63">
        <v>0</v>
      </c>
      <c r="V55" s="63">
        <v>300000</v>
      </c>
      <c r="W55" s="63">
        <v>0</v>
      </c>
      <c r="X55" s="63">
        <v>0</v>
      </c>
      <c r="Y55" s="63">
        <v>424336</v>
      </c>
      <c r="Z55" s="63">
        <v>0</v>
      </c>
      <c r="AA55" s="63">
        <v>400000</v>
      </c>
      <c r="AB55" s="63">
        <v>0</v>
      </c>
      <c r="AC55" s="63">
        <v>0</v>
      </c>
      <c r="AD55" s="63">
        <v>0</v>
      </c>
      <c r="AE55" s="63">
        <v>700000</v>
      </c>
      <c r="AF55" s="63">
        <v>1824336</v>
      </c>
      <c r="AG55" s="63">
        <v>0</v>
      </c>
      <c r="AH55" s="63">
        <v>0</v>
      </c>
      <c r="AI55" s="63">
        <v>0</v>
      </c>
      <c r="AJ55" s="63">
        <v>0</v>
      </c>
      <c r="AK55" s="63">
        <v>1824336</v>
      </c>
      <c r="AL55" s="63">
        <v>0</v>
      </c>
      <c r="AM55" s="63">
        <v>0</v>
      </c>
      <c r="AN55" s="63">
        <v>0</v>
      </c>
      <c r="AO55" s="63">
        <v>0</v>
      </c>
      <c r="AP55" s="63">
        <v>0</v>
      </c>
      <c r="AQ55" s="63">
        <v>1824336</v>
      </c>
      <c r="AR55" s="39">
        <v>20</v>
      </c>
      <c r="AS55" s="13" t="s">
        <v>39956</v>
      </c>
      <c r="AT55" s="39">
        <v>2025</v>
      </c>
      <c r="AU55" s="13" t="s">
        <v>40105</v>
      </c>
      <c r="AV55" s="128" t="s">
        <v>40106</v>
      </c>
      <c r="AW55" s="13" t="s">
        <v>39923</v>
      </c>
      <c r="AX55" s="2"/>
      <c r="AY55" s="1"/>
      <c r="AZ55" s="160">
        <f>_xlfn.XLOOKUP(Tabela98[[#This Row], [Descrição do projeto]],[3]Geração!$G:$G,[3]Geração!$F:$F,,0,1)</f>
      </c>
    </row>
    <row x14ac:dyDescent="0.25" r="56" customHeight="1" ht="24.75">
      <c r="A56" s="187"/>
      <c r="B56" s="188">
        <f>AND(ISTEXT('Consolidado-Eletronorte'!#REF!),SUM('Consolidado-Eletronorte'!#REF!)&gt;0)</f>
      </c>
      <c r="C56" s="189">
        <f>$J$3</f>
      </c>
      <c r="D56" s="189">
        <f>$H$3</f>
      </c>
      <c r="E56" s="189">
        <f>$H$4</f>
      </c>
      <c r="F56" s="190"/>
      <c r="G56" s="189">
        <f>_xlfn.CONCAT('Consolidado-Eletronorte'!#REF!,"_",ROW('Consolidado-Eletronorte'!#REF!)-ROW('Consolidado-Eletronorte'!$G$18))</f>
      </c>
      <c r="H56" s="186" t="s">
        <v>10</v>
      </c>
      <c r="I56" s="191" t="s">
        <v>88</v>
      </c>
      <c r="J56" s="191" t="s">
        <v>5</v>
      </c>
      <c r="K56" s="192" t="s">
        <v>16</v>
      </c>
      <c r="L56" s="191" t="s">
        <v>67</v>
      </c>
      <c r="M56" s="191" t="s">
        <v>39949</v>
      </c>
      <c r="N56" s="191"/>
      <c r="O56" s="191"/>
      <c r="P56" s="192" t="s">
        <v>38349</v>
      </c>
      <c r="Q56" s="193" t="s">
        <v>40107</v>
      </c>
      <c r="R56" s="193" t="s">
        <v>40108</v>
      </c>
      <c r="S56" s="191" t="s">
        <v>39998</v>
      </c>
      <c r="T56" s="63">
        <v>0</v>
      </c>
      <c r="U56" s="63">
        <v>0</v>
      </c>
      <c r="V56" s="63">
        <v>0</v>
      </c>
      <c r="W56" s="63">
        <v>0</v>
      </c>
      <c r="X56" s="63">
        <v>0</v>
      </c>
      <c r="Y56" s="63">
        <v>0</v>
      </c>
      <c r="Z56" s="63">
        <v>0</v>
      </c>
      <c r="AA56" s="63">
        <v>0</v>
      </c>
      <c r="AB56" s="63">
        <v>0</v>
      </c>
      <c r="AC56" s="63">
        <v>1200000</v>
      </c>
      <c r="AD56" s="63">
        <v>0</v>
      </c>
      <c r="AE56" s="63">
        <v>0</v>
      </c>
      <c r="AF56" s="63">
        <v>1200000</v>
      </c>
      <c r="AG56" s="63">
        <v>600000</v>
      </c>
      <c r="AH56" s="63">
        <v>0</v>
      </c>
      <c r="AI56" s="63">
        <v>0</v>
      </c>
      <c r="AJ56" s="63">
        <v>0</v>
      </c>
      <c r="AK56" s="63">
        <v>1800000</v>
      </c>
      <c r="AL56" s="63">
        <v>0</v>
      </c>
      <c r="AM56" s="63">
        <v>0</v>
      </c>
      <c r="AN56" s="63">
        <v>0</v>
      </c>
      <c r="AO56" s="63">
        <v>0</v>
      </c>
      <c r="AP56" s="63">
        <v>0</v>
      </c>
      <c r="AQ56" s="63">
        <v>1800000</v>
      </c>
      <c r="AR56" s="39">
        <v>38</v>
      </c>
      <c r="AS56" s="224" t="s">
        <v>39964</v>
      </c>
      <c r="AT56" s="39">
        <v>2025</v>
      </c>
      <c r="AU56" s="13" t="s">
        <v>40109</v>
      </c>
      <c r="AV56" s="17" t="s">
        <v>40110</v>
      </c>
      <c r="AW56" s="13" t="s">
        <v>39923</v>
      </c>
      <c r="AX56" s="2"/>
      <c r="AY56" s="1"/>
      <c r="AZ56" s="160">
        <f>_xlfn.XLOOKUP(Tabela98[[#This Row], [Descrição do projeto]],[3]Geração!$G:$G,[3]Geração!$F:$F,,0,1)</f>
      </c>
    </row>
    <row x14ac:dyDescent="0.25" r="57" customHeight="1" ht="24.75">
      <c r="A57" s="187"/>
      <c r="B57" s="188">
        <f>AND(ISTEXT('Consolidado-Eletronorte'!#REF!),SUM('Consolidado-Eletronorte'!#REF!)&gt;0)</f>
      </c>
      <c r="C57" s="189">
        <f>$J$3</f>
      </c>
      <c r="D57" s="189">
        <f>$H$3</f>
      </c>
      <c r="E57" s="189">
        <f>$H$4</f>
      </c>
      <c r="F57" s="190"/>
      <c r="G57" s="189">
        <f>_xlfn.CONCAT('Consolidado-Eletronorte'!#REF!,"_",ROW('Consolidado-Eletronorte'!#REF!)-ROW('Consolidado-Eletronorte'!$G$18))</f>
      </c>
      <c r="H57" s="186" t="s">
        <v>10</v>
      </c>
      <c r="I57" s="191" t="s">
        <v>88</v>
      </c>
      <c r="J57" s="191" t="s">
        <v>5</v>
      </c>
      <c r="K57" s="192" t="s">
        <v>16</v>
      </c>
      <c r="L57" s="191" t="s">
        <v>67</v>
      </c>
      <c r="M57" s="191" t="s">
        <v>39949</v>
      </c>
      <c r="N57" s="191"/>
      <c r="O57" s="191"/>
      <c r="P57" s="192" t="s">
        <v>38349</v>
      </c>
      <c r="Q57" s="193" t="s">
        <v>40111</v>
      </c>
      <c r="R57" s="193" t="s">
        <v>40112</v>
      </c>
      <c r="S57" s="191" t="s">
        <v>39998</v>
      </c>
      <c r="T57" s="63">
        <v>0</v>
      </c>
      <c r="U57" s="63">
        <v>0</v>
      </c>
      <c r="V57" s="63">
        <v>0</v>
      </c>
      <c r="W57" s="63">
        <v>0</v>
      </c>
      <c r="X57" s="63">
        <v>0</v>
      </c>
      <c r="Y57" s="63">
        <v>0</v>
      </c>
      <c r="Z57" s="63">
        <v>0</v>
      </c>
      <c r="AA57" s="63">
        <v>0</v>
      </c>
      <c r="AB57" s="63">
        <v>0</v>
      </c>
      <c r="AC57" s="63">
        <v>0</v>
      </c>
      <c r="AD57" s="63">
        <v>0</v>
      </c>
      <c r="AE57" s="63">
        <v>0</v>
      </c>
      <c r="AF57" s="63">
        <v>0</v>
      </c>
      <c r="AG57" s="63">
        <v>1800000</v>
      </c>
      <c r="AH57" s="63">
        <v>0</v>
      </c>
      <c r="AI57" s="63">
        <v>0</v>
      </c>
      <c r="AJ57" s="63">
        <v>0</v>
      </c>
      <c r="AK57" s="63">
        <v>1800000</v>
      </c>
      <c r="AL57" s="63">
        <v>0</v>
      </c>
      <c r="AM57" s="63">
        <v>0</v>
      </c>
      <c r="AN57" s="63">
        <v>0</v>
      </c>
      <c r="AO57" s="63">
        <v>0</v>
      </c>
      <c r="AP57" s="63">
        <v>0</v>
      </c>
      <c r="AQ57" s="63">
        <v>1800000</v>
      </c>
      <c r="AR57" s="39">
        <v>50</v>
      </c>
      <c r="AS57" s="224" t="s">
        <v>40053</v>
      </c>
      <c r="AT57" s="225" t="s">
        <v>39970</v>
      </c>
      <c r="AU57" s="13" t="s">
        <v>40113</v>
      </c>
      <c r="AV57" s="39">
        <v>0</v>
      </c>
      <c r="AW57" s="13" t="s">
        <v>39931</v>
      </c>
      <c r="AX57" s="2"/>
      <c r="AY57" s="1"/>
      <c r="AZ57" s="160">
        <f>_xlfn.XLOOKUP(Tabela98[[#This Row], [Descrição do projeto]],[3]Geração!$G:$G,[3]Geração!$F:$F,,0,1)</f>
      </c>
    </row>
    <row x14ac:dyDescent="0.25" r="58" customHeight="1" ht="24.75">
      <c r="A58" s="187"/>
      <c r="B58" s="188">
        <f>AND(ISTEXT('Consolidado-Eletronorte'!#REF!),SUM('Consolidado-Eletronorte'!#REF!)&gt;0)</f>
      </c>
      <c r="C58" s="189">
        <f>$J$3</f>
      </c>
      <c r="D58" s="189">
        <f>$H$3</f>
      </c>
      <c r="E58" s="189">
        <f>$H$4</f>
      </c>
      <c r="F58" s="190"/>
      <c r="G58" s="189">
        <f>_xlfn.CONCAT('Consolidado-Eletronorte'!#REF!,"_",ROW('Consolidado-Eletronorte'!#REF!)-ROW('Consolidado-Eletronorte'!$G$18))</f>
      </c>
      <c r="H58" s="186" t="s">
        <v>10</v>
      </c>
      <c r="I58" s="191" t="s">
        <v>88</v>
      </c>
      <c r="J58" s="191" t="s">
        <v>5</v>
      </c>
      <c r="K58" s="192" t="s">
        <v>16</v>
      </c>
      <c r="L58" s="191" t="s">
        <v>67</v>
      </c>
      <c r="M58" s="191" t="s">
        <v>39949</v>
      </c>
      <c r="N58" s="191"/>
      <c r="O58" s="191"/>
      <c r="P58" s="192">
        <v>157189</v>
      </c>
      <c r="Q58" s="193" t="s">
        <v>40114</v>
      </c>
      <c r="R58" s="193" t="s">
        <v>40115</v>
      </c>
      <c r="S58" s="191" t="s">
        <v>39945</v>
      </c>
      <c r="T58" s="63">
        <v>0</v>
      </c>
      <c r="U58" s="63">
        <v>0</v>
      </c>
      <c r="V58" s="63">
        <v>0</v>
      </c>
      <c r="W58" s="63">
        <v>0</v>
      </c>
      <c r="X58" s="63">
        <v>0</v>
      </c>
      <c r="Y58" s="63">
        <v>0</v>
      </c>
      <c r="Z58" s="63">
        <v>0</v>
      </c>
      <c r="AA58" s="63">
        <v>0</v>
      </c>
      <c r="AB58" s="63">
        <v>1500000</v>
      </c>
      <c r="AC58" s="63">
        <v>0</v>
      </c>
      <c r="AD58" s="63">
        <v>0</v>
      </c>
      <c r="AE58" s="63">
        <v>0</v>
      </c>
      <c r="AF58" s="63">
        <v>1500000</v>
      </c>
      <c r="AG58" s="63">
        <v>250000</v>
      </c>
      <c r="AH58" s="63">
        <v>0</v>
      </c>
      <c r="AI58" s="63">
        <v>0</v>
      </c>
      <c r="AJ58" s="63">
        <v>0</v>
      </c>
      <c r="AK58" s="63">
        <v>1750000</v>
      </c>
      <c r="AL58" s="63">
        <v>0</v>
      </c>
      <c r="AM58" s="63">
        <v>0</v>
      </c>
      <c r="AN58" s="63">
        <v>0</v>
      </c>
      <c r="AO58" s="63">
        <v>0</v>
      </c>
      <c r="AP58" s="63">
        <v>0</v>
      </c>
      <c r="AQ58" s="63">
        <v>1750000</v>
      </c>
      <c r="AR58" s="39">
        <v>65</v>
      </c>
      <c r="AS58" s="13" t="s">
        <v>39946</v>
      </c>
      <c r="AT58" s="128" t="s">
        <v>39970</v>
      </c>
      <c r="AU58" s="13" t="s">
        <v>40116</v>
      </c>
      <c r="AV58" s="39">
        <v>0</v>
      </c>
      <c r="AW58" s="13" t="s">
        <v>39931</v>
      </c>
      <c r="AX58" s="2"/>
      <c r="AY58" s="1"/>
      <c r="AZ58" s="160">
        <f>_xlfn.XLOOKUP(Tabela98[[#This Row], [Descrição do projeto]],[3]Geração!$G:$G,[3]Geração!$F:$F,,0,1)</f>
      </c>
    </row>
    <row x14ac:dyDescent="0.25" r="59" customHeight="1" ht="24.75">
      <c r="A59" s="187"/>
      <c r="B59" s="188">
        <f>AND(ISTEXT('Consolidado-Eletronorte'!#REF!),SUM('Consolidado-Eletronorte'!#REF!)&gt;0)</f>
      </c>
      <c r="C59" s="189">
        <f>$J$3</f>
      </c>
      <c r="D59" s="189">
        <f>$H$3</f>
      </c>
      <c r="E59" s="189">
        <f>$H$4</f>
      </c>
      <c r="F59" s="190"/>
      <c r="G59" s="189">
        <f>_xlfn.CONCAT('Consolidado-Eletronorte'!#REF!,"_",ROW('Consolidado-Eletronorte'!#REF!)-ROW('Consolidado-Eletronorte'!$G$18))</f>
      </c>
      <c r="H59" s="186" t="s">
        <v>10</v>
      </c>
      <c r="I59" s="191" t="s">
        <v>88</v>
      </c>
      <c r="J59" s="191" t="s">
        <v>5</v>
      </c>
      <c r="K59" s="192" t="s">
        <v>16</v>
      </c>
      <c r="L59" s="191" t="s">
        <v>67</v>
      </c>
      <c r="M59" s="191" t="s">
        <v>39949</v>
      </c>
      <c r="N59" s="191"/>
      <c r="O59" s="191"/>
      <c r="P59" s="192">
        <v>157189</v>
      </c>
      <c r="Q59" s="193" t="s">
        <v>40117</v>
      </c>
      <c r="R59" s="193" t="s">
        <v>40118</v>
      </c>
      <c r="S59" s="191" t="s">
        <v>39945</v>
      </c>
      <c r="T59" s="63">
        <v>0</v>
      </c>
      <c r="U59" s="63">
        <v>0</v>
      </c>
      <c r="V59" s="63">
        <v>0</v>
      </c>
      <c r="W59" s="63">
        <v>0</v>
      </c>
      <c r="X59" s="63">
        <v>0</v>
      </c>
      <c r="Y59" s="63">
        <v>0</v>
      </c>
      <c r="Z59" s="63">
        <v>0</v>
      </c>
      <c r="AA59" s="63">
        <v>0</v>
      </c>
      <c r="AB59" s="63">
        <v>0</v>
      </c>
      <c r="AC59" s="63">
        <v>1500000</v>
      </c>
      <c r="AD59" s="63">
        <v>0</v>
      </c>
      <c r="AE59" s="63">
        <v>0</v>
      </c>
      <c r="AF59" s="63">
        <v>1500000</v>
      </c>
      <c r="AG59" s="63">
        <v>250000</v>
      </c>
      <c r="AH59" s="63">
        <v>0</v>
      </c>
      <c r="AI59" s="63">
        <v>0</v>
      </c>
      <c r="AJ59" s="63">
        <v>0</v>
      </c>
      <c r="AK59" s="63">
        <v>1750000</v>
      </c>
      <c r="AL59" s="63">
        <v>0</v>
      </c>
      <c r="AM59" s="63">
        <v>0</v>
      </c>
      <c r="AN59" s="63">
        <v>0</v>
      </c>
      <c r="AO59" s="63">
        <v>0</v>
      </c>
      <c r="AP59" s="63">
        <v>0</v>
      </c>
      <c r="AQ59" s="63">
        <v>1750000</v>
      </c>
      <c r="AR59" s="39">
        <v>67</v>
      </c>
      <c r="AS59" s="13" t="s">
        <v>39946</v>
      </c>
      <c r="AT59" s="128" t="s">
        <v>39970</v>
      </c>
      <c r="AU59" s="13" t="s">
        <v>40119</v>
      </c>
      <c r="AV59" s="39">
        <v>0</v>
      </c>
      <c r="AW59" s="13" t="s">
        <v>39931</v>
      </c>
      <c r="AX59" s="2"/>
      <c r="AY59" s="1"/>
      <c r="AZ59" s="160">
        <f>_xlfn.XLOOKUP(Tabela98[[#This Row], [Descrição do projeto]],[3]Geração!$G:$G,[3]Geração!$F:$F,,0,1)</f>
      </c>
    </row>
    <row x14ac:dyDescent="0.25" r="60" customHeight="1" ht="24.75">
      <c r="A60" s="187"/>
      <c r="B60" s="188">
        <f>AND(ISTEXT('Consolidado-Eletronorte'!#REF!),SUM('Consolidado-Eletronorte'!#REF!)&gt;0)</f>
      </c>
      <c r="C60" s="189">
        <f>$J$3</f>
      </c>
      <c r="D60" s="189">
        <f>$H$3</f>
      </c>
      <c r="E60" s="189">
        <f>$H$4</f>
      </c>
      <c r="F60" s="190"/>
      <c r="G60" s="189">
        <f>_xlfn.CONCAT('Consolidado-Eletronorte'!#REF!,"_",ROW('Consolidado-Eletronorte'!#REF!)-ROW('Consolidado-Eletronorte'!$G$18))</f>
      </c>
      <c r="H60" s="186" t="s">
        <v>10</v>
      </c>
      <c r="I60" s="191" t="s">
        <v>88</v>
      </c>
      <c r="J60" s="191" t="s">
        <v>5</v>
      </c>
      <c r="K60" s="192" t="s">
        <v>16</v>
      </c>
      <c r="L60" s="191" t="s">
        <v>67</v>
      </c>
      <c r="M60" s="191" t="s">
        <v>39932</v>
      </c>
      <c r="N60" s="191"/>
      <c r="O60" s="191"/>
      <c r="P60" s="192" t="s">
        <v>38358</v>
      </c>
      <c r="Q60" s="193" t="s">
        <v>40120</v>
      </c>
      <c r="R60" s="193" t="s">
        <v>40121</v>
      </c>
      <c r="S60" s="191" t="s">
        <v>39912</v>
      </c>
      <c r="T60" s="63">
        <v>840000</v>
      </c>
      <c r="U60" s="63">
        <v>0</v>
      </c>
      <c r="V60" s="63">
        <v>840000</v>
      </c>
      <c r="W60" s="63">
        <v>0</v>
      </c>
      <c r="X60" s="63">
        <v>0</v>
      </c>
      <c r="Y60" s="63">
        <v>0</v>
      </c>
      <c r="Z60" s="63">
        <v>0</v>
      </c>
      <c r="AA60" s="63">
        <v>0</v>
      </c>
      <c r="AB60" s="63">
        <v>0</v>
      </c>
      <c r="AC60" s="63">
        <v>0</v>
      </c>
      <c r="AD60" s="63">
        <v>0</v>
      </c>
      <c r="AE60" s="63">
        <v>0</v>
      </c>
      <c r="AF60" s="63">
        <v>1680000</v>
      </c>
      <c r="AG60" s="63">
        <v>0</v>
      </c>
      <c r="AH60" s="63">
        <v>0</v>
      </c>
      <c r="AI60" s="63">
        <v>0</v>
      </c>
      <c r="AJ60" s="63">
        <v>0</v>
      </c>
      <c r="AK60" s="63">
        <v>1680000</v>
      </c>
      <c r="AL60" s="63">
        <v>0</v>
      </c>
      <c r="AM60" s="63">
        <v>0</v>
      </c>
      <c r="AN60" s="63">
        <v>0</v>
      </c>
      <c r="AO60" s="63">
        <v>0</v>
      </c>
      <c r="AP60" s="63">
        <v>0</v>
      </c>
      <c r="AQ60" s="63">
        <v>1680000</v>
      </c>
      <c r="AR60" s="39">
        <v>21</v>
      </c>
      <c r="AS60" s="224" t="s">
        <v>39956</v>
      </c>
      <c r="AT60" s="39">
        <v>2025</v>
      </c>
      <c r="AU60" s="224" t="s">
        <v>40122</v>
      </c>
      <c r="AV60" s="225" t="s">
        <v>40106</v>
      </c>
      <c r="AW60" s="13" t="s">
        <v>39923</v>
      </c>
      <c r="AX60" s="2"/>
      <c r="AY60" s="1"/>
      <c r="AZ60" s="160">
        <f>_xlfn.XLOOKUP(Tabela98[[#This Row], [Descrição do projeto]],[3]Geração!$G:$G,[3]Geração!$F:$F,,0,1)</f>
      </c>
    </row>
    <row x14ac:dyDescent="0.25" r="61" customHeight="1" ht="24.75">
      <c r="A61" s="198"/>
      <c r="B61" s="188">
        <f>AND(ISTEXT('Consolidado-Eletronorte'!#REF!),SUM('Consolidado-Eletronorte'!#REF!)&gt;0)</f>
      </c>
      <c r="C61" s="199">
        <f>$J$3</f>
      </c>
      <c r="D61" s="199">
        <f>$H$3</f>
      </c>
      <c r="E61" s="199">
        <f>$H$4</f>
      </c>
      <c r="F61" s="200"/>
      <c r="G61" s="199">
        <f>_xlfn.CONCAT('Consolidado-Eletronorte'!#REF!,"_",ROW('Consolidado-Eletronorte'!#REF!)-ROW('Consolidado-Eletronorte'!$G$18))</f>
      </c>
      <c r="H61" s="201" t="s">
        <v>10</v>
      </c>
      <c r="I61" s="202" t="s">
        <v>88</v>
      </c>
      <c r="J61" s="202" t="s">
        <v>5</v>
      </c>
      <c r="K61" s="203" t="s">
        <v>16</v>
      </c>
      <c r="L61" s="202" t="s">
        <v>67</v>
      </c>
      <c r="M61" s="202" t="s">
        <v>39949</v>
      </c>
      <c r="N61" s="202"/>
      <c r="O61" s="202"/>
      <c r="P61" s="203" t="s">
        <v>38358</v>
      </c>
      <c r="Q61" s="204" t="s">
        <v>40123</v>
      </c>
      <c r="R61" s="204" t="s">
        <v>40124</v>
      </c>
      <c r="S61" s="202" t="s">
        <v>39912</v>
      </c>
      <c r="T61" s="63">
        <v>0</v>
      </c>
      <c r="U61" s="63">
        <v>300000</v>
      </c>
      <c r="V61" s="63">
        <v>0</v>
      </c>
      <c r="W61" s="63">
        <v>700000</v>
      </c>
      <c r="X61" s="63">
        <v>0</v>
      </c>
      <c r="Y61" s="63">
        <v>0</v>
      </c>
      <c r="Z61" s="63">
        <v>0</v>
      </c>
      <c r="AA61" s="63">
        <v>0</v>
      </c>
      <c r="AB61" s="63">
        <v>0</v>
      </c>
      <c r="AC61" s="63">
        <v>0</v>
      </c>
      <c r="AD61" s="63">
        <v>0</v>
      </c>
      <c r="AE61" s="63">
        <v>0</v>
      </c>
      <c r="AF61" s="63">
        <v>1000000</v>
      </c>
      <c r="AG61" s="63">
        <v>500000</v>
      </c>
      <c r="AH61" s="63">
        <v>0</v>
      </c>
      <c r="AI61" s="63">
        <v>0</v>
      </c>
      <c r="AJ61" s="63">
        <v>0</v>
      </c>
      <c r="AK61" s="63">
        <v>1500000</v>
      </c>
      <c r="AL61" s="63">
        <v>0</v>
      </c>
      <c r="AM61" s="63">
        <v>0</v>
      </c>
      <c r="AN61" s="63">
        <v>0</v>
      </c>
      <c r="AO61" s="63">
        <v>0</v>
      </c>
      <c r="AP61" s="63">
        <v>0</v>
      </c>
      <c r="AQ61" s="63">
        <v>1500000</v>
      </c>
      <c r="AR61" s="39">
        <v>18</v>
      </c>
      <c r="AS61" s="13" t="s">
        <v>39956</v>
      </c>
      <c r="AT61" s="128" t="s">
        <v>39970</v>
      </c>
      <c r="AU61" s="13" t="s">
        <v>40125</v>
      </c>
      <c r="AV61" s="39">
        <v>0</v>
      </c>
      <c r="AW61" s="13" t="s">
        <v>39931</v>
      </c>
      <c r="AX61" s="2"/>
      <c r="AY61" s="1"/>
      <c r="AZ61" s="160">
        <f>_xlfn.XLOOKUP(Tabela98[[#This Row], [Descrição do projeto]],[3]Geração!$G:$G,[3]Geração!$F:$F,,0,1)</f>
      </c>
    </row>
    <row x14ac:dyDescent="0.25" r="62" customHeight="1" ht="24.75">
      <c r="A62" s="187"/>
      <c r="B62" s="188">
        <f>AND(ISTEXT('Consolidado-Eletronorte'!#REF!),SUM('Consolidado-Eletronorte'!#REF!)&gt;0)</f>
      </c>
      <c r="C62" s="189">
        <f>$J$3</f>
      </c>
      <c r="D62" s="189">
        <f>$H$3</f>
      </c>
      <c r="E62" s="189">
        <f>$H$4</f>
      </c>
      <c r="F62" s="190"/>
      <c r="G62" s="189">
        <f>_xlfn.CONCAT('Consolidado-Eletronorte'!#REF!,"_",ROW('Consolidado-Eletronorte'!#REF!)-ROW('Consolidado-Eletronorte'!$G$18))</f>
      </c>
      <c r="H62" s="186" t="s">
        <v>10</v>
      </c>
      <c r="I62" s="191" t="s">
        <v>88</v>
      </c>
      <c r="J62" s="191" t="s">
        <v>5</v>
      </c>
      <c r="K62" s="192" t="s">
        <v>16</v>
      </c>
      <c r="L62" s="191" t="s">
        <v>67</v>
      </c>
      <c r="M62" s="191" t="s">
        <v>39932</v>
      </c>
      <c r="N62" s="191"/>
      <c r="O62" s="191"/>
      <c r="P62" s="192" t="s">
        <v>38358</v>
      </c>
      <c r="Q62" s="193" t="s">
        <v>40126</v>
      </c>
      <c r="R62" s="193" t="s">
        <v>40126</v>
      </c>
      <c r="S62" s="191" t="s">
        <v>39912</v>
      </c>
      <c r="T62" s="63">
        <v>0</v>
      </c>
      <c r="U62" s="63">
        <v>0</v>
      </c>
      <c r="V62" s="63">
        <v>0</v>
      </c>
      <c r="W62" s="63">
        <v>0</v>
      </c>
      <c r="X62" s="63">
        <v>0</v>
      </c>
      <c r="Y62" s="63">
        <v>0</v>
      </c>
      <c r="Z62" s="63">
        <v>0</v>
      </c>
      <c r="AA62" s="63">
        <v>200000</v>
      </c>
      <c r="AB62" s="63">
        <v>300000</v>
      </c>
      <c r="AC62" s="63">
        <v>0</v>
      </c>
      <c r="AD62" s="63">
        <v>500000</v>
      </c>
      <c r="AE62" s="63">
        <v>0</v>
      </c>
      <c r="AF62" s="63">
        <v>1000000</v>
      </c>
      <c r="AG62" s="63">
        <v>500000</v>
      </c>
      <c r="AH62" s="63">
        <v>0</v>
      </c>
      <c r="AI62" s="63">
        <v>0</v>
      </c>
      <c r="AJ62" s="63">
        <v>0</v>
      </c>
      <c r="AK62" s="63">
        <v>1500000</v>
      </c>
      <c r="AL62" s="63">
        <v>0</v>
      </c>
      <c r="AM62" s="63">
        <v>0</v>
      </c>
      <c r="AN62" s="63">
        <v>0</v>
      </c>
      <c r="AO62" s="63">
        <v>0</v>
      </c>
      <c r="AP62" s="63">
        <v>0</v>
      </c>
      <c r="AQ62" s="63">
        <v>1500000</v>
      </c>
      <c r="AR62" s="39">
        <v>103</v>
      </c>
      <c r="AS62" s="13" t="s">
        <v>39935</v>
      </c>
      <c r="AT62" s="39">
        <v>2025</v>
      </c>
      <c r="AU62" s="13" t="s">
        <v>40127</v>
      </c>
      <c r="AV62" s="128" t="s">
        <v>40128</v>
      </c>
      <c r="AW62" s="13" t="s">
        <v>39931</v>
      </c>
      <c r="AX62" s="2"/>
      <c r="AY62" s="1"/>
      <c r="AZ62" s="160">
        <f>_xlfn.XLOOKUP(Tabela98[[#This Row], [Descrição do projeto]],[3]Geração!$G:$G,[3]Geração!$F:$F,,0,1)</f>
      </c>
    </row>
    <row x14ac:dyDescent="0.25" r="63" customHeight="1" ht="18.75" hidden="1">
      <c r="A63" s="187"/>
      <c r="B63" s="188">
        <f>AND(ISTEXT('Consolidado-Eletronorte'!#REF!),SUM('Consolidado-Eletronorte'!#REF!)&gt;0)</f>
      </c>
      <c r="C63" s="189">
        <f>$J$3</f>
      </c>
      <c r="D63" s="189">
        <f>$H$3</f>
      </c>
      <c r="E63" s="189">
        <f>$H$4</f>
      </c>
      <c r="F63" s="190"/>
      <c r="G63" s="189">
        <f>_xlfn.CONCAT('Consolidado-Eletronorte'!#REF!,"_",ROW('Consolidado-Eletronorte'!#REF!)-ROW('Consolidado-Eletronorte'!$G$18))</f>
      </c>
      <c r="H63" s="186" t="s">
        <v>10</v>
      </c>
      <c r="I63" s="191" t="s">
        <v>88</v>
      </c>
      <c r="J63" s="191" t="s">
        <v>5</v>
      </c>
      <c r="K63" s="192" t="s">
        <v>16</v>
      </c>
      <c r="L63" s="191" t="s">
        <v>74</v>
      </c>
      <c r="M63" s="191" t="s">
        <v>40129</v>
      </c>
      <c r="N63" s="191"/>
      <c r="O63" s="191"/>
      <c r="P63" s="192" t="s">
        <v>38358</v>
      </c>
      <c r="Q63" s="193" t="s">
        <v>40130</v>
      </c>
      <c r="R63" s="193" t="s">
        <v>40131</v>
      </c>
      <c r="S63" s="191" t="s">
        <v>38359</v>
      </c>
      <c r="T63" s="63">
        <v>0</v>
      </c>
      <c r="U63" s="63">
        <v>237500</v>
      </c>
      <c r="V63" s="63">
        <v>0</v>
      </c>
      <c r="W63" s="63">
        <v>0</v>
      </c>
      <c r="X63" s="63">
        <v>237500</v>
      </c>
      <c r="Y63" s="63">
        <v>0</v>
      </c>
      <c r="Z63" s="63">
        <v>0</v>
      </c>
      <c r="AA63" s="63">
        <v>237500</v>
      </c>
      <c r="AB63" s="63">
        <v>0</v>
      </c>
      <c r="AC63" s="63">
        <v>0</v>
      </c>
      <c r="AD63" s="63">
        <v>237500</v>
      </c>
      <c r="AE63" s="63">
        <v>0</v>
      </c>
      <c r="AF63" s="63">
        <v>950000</v>
      </c>
      <c r="AG63" s="63">
        <v>1000000</v>
      </c>
      <c r="AH63" s="63">
        <v>100000</v>
      </c>
      <c r="AI63" s="63">
        <v>0</v>
      </c>
      <c r="AJ63" s="63">
        <v>0</v>
      </c>
      <c r="AK63" s="63">
        <v>2050000</v>
      </c>
      <c r="AL63" s="63">
        <v>0</v>
      </c>
      <c r="AM63" s="63">
        <v>0</v>
      </c>
      <c r="AN63" s="63">
        <v>0</v>
      </c>
      <c r="AO63" s="63">
        <v>0</v>
      </c>
      <c r="AP63" s="63">
        <v>0</v>
      </c>
      <c r="AQ63" s="63">
        <v>2050000</v>
      </c>
      <c r="AR63" s="39">
        <v>120</v>
      </c>
      <c r="AS63" s="13" t="s">
        <v>40018</v>
      </c>
      <c r="AT63" s="39">
        <v>2025</v>
      </c>
      <c r="AU63" s="13" t="s">
        <v>40132</v>
      </c>
      <c r="AV63" s="128" t="s">
        <v>40133</v>
      </c>
      <c r="AW63" s="13" t="s">
        <v>39931</v>
      </c>
      <c r="AX63" s="2"/>
      <c r="AY63" s="1"/>
      <c r="AZ63" s="160">
        <f>_xlfn.XLOOKUP(Tabela98[[#This Row], [Descrição do projeto]],[3]Geração!$G:$G,[3]Geração!$F:$F,,0,1)</f>
      </c>
    </row>
    <row x14ac:dyDescent="0.25" r="64" customHeight="1" ht="24.75">
      <c r="A64" s="187"/>
      <c r="B64" s="188">
        <f>AND(ISTEXT('Consolidado-Eletronorte'!#REF!),SUM('Consolidado-Eletronorte'!#REF!)&gt;0)</f>
      </c>
      <c r="C64" s="189">
        <f>$J$3</f>
      </c>
      <c r="D64" s="189">
        <f>$H$3</f>
      </c>
      <c r="E64" s="189">
        <f>$H$4</f>
      </c>
      <c r="F64" s="190"/>
      <c r="G64" s="189">
        <f>_xlfn.CONCAT('Consolidado-Eletronorte'!#REF!,"_",ROW('Consolidado-Eletronorte'!#REF!)-ROW('Consolidado-Eletronorte'!$G$18))</f>
      </c>
      <c r="H64" s="186" t="s">
        <v>10</v>
      </c>
      <c r="I64" s="191" t="s">
        <v>88</v>
      </c>
      <c r="J64" s="191" t="s">
        <v>5</v>
      </c>
      <c r="K64" s="192" t="s">
        <v>16</v>
      </c>
      <c r="L64" s="191" t="s">
        <v>67</v>
      </c>
      <c r="M64" s="191" t="s">
        <v>39917</v>
      </c>
      <c r="N64" s="191"/>
      <c r="O64" s="191"/>
      <c r="P64" s="192" t="s">
        <v>38358</v>
      </c>
      <c r="Q64" s="193" t="s">
        <v>40134</v>
      </c>
      <c r="R64" s="193" t="s">
        <v>40135</v>
      </c>
      <c r="S64" s="191" t="s">
        <v>39912</v>
      </c>
      <c r="T64" s="63">
        <v>0</v>
      </c>
      <c r="U64" s="63">
        <v>0</v>
      </c>
      <c r="V64" s="63">
        <v>0</v>
      </c>
      <c r="W64" s="63">
        <v>0</v>
      </c>
      <c r="X64" s="63">
        <v>0</v>
      </c>
      <c r="Y64" s="63">
        <v>0</v>
      </c>
      <c r="Z64" s="63">
        <v>0</v>
      </c>
      <c r="AA64" s="63">
        <v>1000000</v>
      </c>
      <c r="AB64" s="63">
        <v>0</v>
      </c>
      <c r="AC64" s="63">
        <v>0</v>
      </c>
      <c r="AD64" s="63">
        <v>0</v>
      </c>
      <c r="AE64" s="63">
        <v>0</v>
      </c>
      <c r="AF64" s="63">
        <v>1000000</v>
      </c>
      <c r="AG64" s="63">
        <v>500000</v>
      </c>
      <c r="AH64" s="63">
        <v>0</v>
      </c>
      <c r="AI64" s="63">
        <v>0</v>
      </c>
      <c r="AJ64" s="63">
        <v>0</v>
      </c>
      <c r="AK64" s="63">
        <v>1500000</v>
      </c>
      <c r="AL64" s="63">
        <v>0</v>
      </c>
      <c r="AM64" s="63">
        <v>0</v>
      </c>
      <c r="AN64" s="63">
        <v>0</v>
      </c>
      <c r="AO64" s="63">
        <v>0</v>
      </c>
      <c r="AP64" s="63">
        <v>0</v>
      </c>
      <c r="AQ64" s="63">
        <v>1500000</v>
      </c>
      <c r="AR64" s="39">
        <v>99</v>
      </c>
      <c r="AS64" s="224" t="s">
        <v>39964</v>
      </c>
      <c r="AT64" s="39">
        <v>2025</v>
      </c>
      <c r="AU64" s="226" t="s">
        <v>40136</v>
      </c>
      <c r="AV64" s="17" t="s">
        <v>40137</v>
      </c>
      <c r="AW64" s="13" t="s">
        <v>39931</v>
      </c>
      <c r="AX64" s="2"/>
      <c r="AY64" s="1"/>
      <c r="AZ64" s="160">
        <f>_xlfn.XLOOKUP(Tabela98[[#This Row], [Descrição do projeto]],[3]Geração!$G:$G,[3]Geração!$F:$F,,0,1)</f>
      </c>
    </row>
    <row x14ac:dyDescent="0.25" r="65" customHeight="1" ht="24.75">
      <c r="A65" s="187"/>
      <c r="B65" s="188">
        <f>AND(ISTEXT('Consolidado-Eletronorte'!#REF!),SUM('Consolidado-Eletronorte'!#REF!)&gt;0)</f>
      </c>
      <c r="C65" s="189">
        <f>$J$3</f>
      </c>
      <c r="D65" s="189">
        <f>$H$3</f>
      </c>
      <c r="E65" s="189">
        <f>$H$4</f>
      </c>
      <c r="F65" s="190"/>
      <c r="G65" s="189">
        <f>_xlfn.CONCAT('Consolidado-Eletronorte'!#REF!,"_",ROW('Consolidado-Eletronorte'!#REF!)-ROW('Consolidado-Eletronorte'!$G$18))</f>
      </c>
      <c r="H65" s="186" t="s">
        <v>10</v>
      </c>
      <c r="I65" s="191" t="s">
        <v>88</v>
      </c>
      <c r="J65" s="191" t="s">
        <v>5</v>
      </c>
      <c r="K65" s="192" t="s">
        <v>16</v>
      </c>
      <c r="L65" s="191" t="s">
        <v>67</v>
      </c>
      <c r="M65" s="191" t="s">
        <v>39949</v>
      </c>
      <c r="N65" s="191"/>
      <c r="O65" s="191"/>
      <c r="P65" s="192" t="s">
        <v>38368</v>
      </c>
      <c r="Q65" s="193" t="s">
        <v>40138</v>
      </c>
      <c r="R65" s="193" t="s">
        <v>40139</v>
      </c>
      <c r="S65" s="191" t="s">
        <v>40006</v>
      </c>
      <c r="T65" s="63">
        <v>0</v>
      </c>
      <c r="U65" s="63">
        <v>0</v>
      </c>
      <c r="V65" s="63">
        <v>0</v>
      </c>
      <c r="W65" s="63">
        <v>0</v>
      </c>
      <c r="X65" s="63">
        <v>0</v>
      </c>
      <c r="Y65" s="63">
        <v>0</v>
      </c>
      <c r="Z65" s="63">
        <v>0</v>
      </c>
      <c r="AA65" s="63">
        <v>0</v>
      </c>
      <c r="AB65" s="63">
        <v>0</v>
      </c>
      <c r="AC65" s="63">
        <v>0</v>
      </c>
      <c r="AD65" s="63">
        <v>0</v>
      </c>
      <c r="AE65" s="63">
        <v>0</v>
      </c>
      <c r="AF65" s="63">
        <v>0</v>
      </c>
      <c r="AG65" s="63">
        <v>500000</v>
      </c>
      <c r="AH65" s="63">
        <v>1000000</v>
      </c>
      <c r="AI65" s="63">
        <v>0</v>
      </c>
      <c r="AJ65" s="63">
        <v>0</v>
      </c>
      <c r="AK65" s="63">
        <v>1500000</v>
      </c>
      <c r="AL65" s="63">
        <v>0</v>
      </c>
      <c r="AM65" s="63">
        <v>0</v>
      </c>
      <c r="AN65" s="63">
        <v>0</v>
      </c>
      <c r="AO65" s="63">
        <v>0</v>
      </c>
      <c r="AP65" s="63">
        <v>0</v>
      </c>
      <c r="AQ65" s="63">
        <v>1500000</v>
      </c>
      <c r="AR65" s="39">
        <v>72</v>
      </c>
      <c r="AS65" s="13" t="s">
        <v>39952</v>
      </c>
      <c r="AT65" s="128" t="s">
        <v>39970</v>
      </c>
      <c r="AU65" s="13" t="s">
        <v>40140</v>
      </c>
      <c r="AV65" s="39">
        <v>0</v>
      </c>
      <c r="AW65" s="13" t="s">
        <v>39931</v>
      </c>
      <c r="AX65" s="2"/>
      <c r="AY65" s="1"/>
      <c r="AZ65" s="160">
        <f>_xlfn.XLOOKUP(Tabela98[[#This Row], [Descrição do projeto]],[3]Geração!$G:$G,[3]Geração!$F:$F,,0,1)</f>
      </c>
    </row>
    <row x14ac:dyDescent="0.25" r="66" customHeight="1" ht="24.75">
      <c r="A66" s="187"/>
      <c r="B66" s="188">
        <f>AND(ISTEXT('Consolidado-Eletronorte'!#REF!),SUM('Consolidado-Eletronorte'!#REF!)&gt;0)</f>
      </c>
      <c r="C66" s="189">
        <f>$J$3</f>
      </c>
      <c r="D66" s="189">
        <f>$H$3</f>
      </c>
      <c r="E66" s="189">
        <f>$H$4</f>
      </c>
      <c r="F66" s="190"/>
      <c r="G66" s="189">
        <f>_xlfn.CONCAT('Consolidado-Eletronorte'!#REF!,"_",ROW('Consolidado-Eletronorte'!#REF!)-ROW('Consolidado-Eletronorte'!$G$18))</f>
      </c>
      <c r="H66" s="186" t="s">
        <v>10</v>
      </c>
      <c r="I66" s="191" t="s">
        <v>88</v>
      </c>
      <c r="J66" s="191" t="s">
        <v>5</v>
      </c>
      <c r="K66" s="192" t="s">
        <v>16</v>
      </c>
      <c r="L66" s="191" t="s">
        <v>67</v>
      </c>
      <c r="M66" s="191" t="s">
        <v>39949</v>
      </c>
      <c r="N66" s="191"/>
      <c r="O66" s="191"/>
      <c r="P66" s="192" t="s">
        <v>38368</v>
      </c>
      <c r="Q66" s="193" t="s">
        <v>40141</v>
      </c>
      <c r="R66" s="193" t="s">
        <v>40142</v>
      </c>
      <c r="S66" s="191" t="s">
        <v>40006</v>
      </c>
      <c r="T66" s="63">
        <v>0</v>
      </c>
      <c r="U66" s="63">
        <v>0</v>
      </c>
      <c r="V66" s="63">
        <v>0</v>
      </c>
      <c r="W66" s="63">
        <v>0</v>
      </c>
      <c r="X66" s="63">
        <v>0</v>
      </c>
      <c r="Y66" s="63">
        <v>0</v>
      </c>
      <c r="Z66" s="63">
        <v>0</v>
      </c>
      <c r="AA66" s="63">
        <v>0</v>
      </c>
      <c r="AB66" s="63">
        <v>0</v>
      </c>
      <c r="AC66" s="63">
        <v>0</v>
      </c>
      <c r="AD66" s="63">
        <v>0</v>
      </c>
      <c r="AE66" s="63">
        <v>0</v>
      </c>
      <c r="AF66" s="63">
        <v>0</v>
      </c>
      <c r="AG66" s="63">
        <v>1200000</v>
      </c>
      <c r="AH66" s="63">
        <v>300000</v>
      </c>
      <c r="AI66" s="63">
        <v>0</v>
      </c>
      <c r="AJ66" s="63">
        <v>0</v>
      </c>
      <c r="AK66" s="63">
        <v>1500000</v>
      </c>
      <c r="AL66" s="63">
        <v>0</v>
      </c>
      <c r="AM66" s="63">
        <v>0</v>
      </c>
      <c r="AN66" s="63">
        <v>0</v>
      </c>
      <c r="AO66" s="63">
        <v>0</v>
      </c>
      <c r="AP66" s="63">
        <v>0</v>
      </c>
      <c r="AQ66" s="63">
        <v>1500000</v>
      </c>
      <c r="AR66" s="39">
        <v>76</v>
      </c>
      <c r="AS66" s="224" t="s">
        <v>39952</v>
      </c>
      <c r="AT66" s="225" t="s">
        <v>39970</v>
      </c>
      <c r="AU66" s="13" t="s">
        <v>40143</v>
      </c>
      <c r="AV66" s="39">
        <v>0</v>
      </c>
      <c r="AW66" s="13" t="s">
        <v>39931</v>
      </c>
      <c r="AX66" s="2"/>
      <c r="AY66" s="1"/>
      <c r="AZ66" s="160">
        <f>_xlfn.XLOOKUP(Tabela98[[#This Row], [Descrição do projeto]],[3]Geração!$G:$G,[3]Geração!$F:$F,,0,1)</f>
      </c>
    </row>
    <row x14ac:dyDescent="0.25" r="67" customHeight="1" ht="24.75">
      <c r="A67" s="187"/>
      <c r="B67" s="188">
        <f>AND(ISTEXT('Consolidado-Eletronorte'!#REF!),SUM('Consolidado-Eletronorte'!#REF!)&gt;0)</f>
      </c>
      <c r="C67" s="189">
        <f>$J$3</f>
      </c>
      <c r="D67" s="189">
        <f>$H$3</f>
      </c>
      <c r="E67" s="189">
        <f>$H$4</f>
      </c>
      <c r="F67" s="190"/>
      <c r="G67" s="189">
        <f>_xlfn.CONCAT('Consolidado-Eletronorte'!#REF!,"_",ROW('Consolidado-Eletronorte'!#REF!)-ROW('Consolidado-Eletronorte'!$G$18))</f>
      </c>
      <c r="H67" s="186" t="s">
        <v>10</v>
      </c>
      <c r="I67" s="191" t="s">
        <v>88</v>
      </c>
      <c r="J67" s="191" t="s">
        <v>5</v>
      </c>
      <c r="K67" s="192" t="s">
        <v>16</v>
      </c>
      <c r="L67" s="191" t="s">
        <v>67</v>
      </c>
      <c r="M67" s="191" t="s">
        <v>39932</v>
      </c>
      <c r="N67" s="191"/>
      <c r="O67" s="191"/>
      <c r="P67" s="192" t="s">
        <v>38358</v>
      </c>
      <c r="Q67" s="193" t="s">
        <v>40144</v>
      </c>
      <c r="R67" s="193" t="s">
        <v>40145</v>
      </c>
      <c r="S67" s="191" t="s">
        <v>39912</v>
      </c>
      <c r="T67" s="63">
        <v>0</v>
      </c>
      <c r="U67" s="63">
        <v>0</v>
      </c>
      <c r="V67" s="63">
        <v>0</v>
      </c>
      <c r="W67" s="63">
        <v>0</v>
      </c>
      <c r="X67" s="63">
        <v>0</v>
      </c>
      <c r="Y67" s="63">
        <v>0</v>
      </c>
      <c r="Z67" s="63">
        <v>0</v>
      </c>
      <c r="AA67" s="63">
        <v>0</v>
      </c>
      <c r="AB67" s="63">
        <v>0</v>
      </c>
      <c r="AC67" s="63">
        <v>300000</v>
      </c>
      <c r="AD67" s="63">
        <v>0</v>
      </c>
      <c r="AE67" s="63">
        <v>350000</v>
      </c>
      <c r="AF67" s="63">
        <v>650000</v>
      </c>
      <c r="AG67" s="63">
        <v>750000</v>
      </c>
      <c r="AH67" s="63">
        <v>0</v>
      </c>
      <c r="AI67" s="63">
        <v>0</v>
      </c>
      <c r="AJ67" s="63">
        <v>0</v>
      </c>
      <c r="AK67" s="63">
        <v>1400000</v>
      </c>
      <c r="AL67" s="63">
        <v>0</v>
      </c>
      <c r="AM67" s="63">
        <v>0</v>
      </c>
      <c r="AN67" s="63">
        <v>0</v>
      </c>
      <c r="AO67" s="63">
        <v>0</v>
      </c>
      <c r="AP67" s="63">
        <v>0</v>
      </c>
      <c r="AQ67" s="63">
        <v>1400000</v>
      </c>
      <c r="AR67" s="39">
        <v>102</v>
      </c>
      <c r="AS67" s="13" t="s">
        <v>39956</v>
      </c>
      <c r="AT67" s="39">
        <v>2025</v>
      </c>
      <c r="AU67" s="13" t="s">
        <v>40146</v>
      </c>
      <c r="AV67" s="128" t="s">
        <v>40147</v>
      </c>
      <c r="AW67" s="13" t="s">
        <v>39931</v>
      </c>
      <c r="AX67" s="2"/>
      <c r="AY67" s="1"/>
      <c r="AZ67" s="160">
        <f>_xlfn.XLOOKUP(Tabela98[[#This Row], [Descrição do projeto]],[3]Geração!$G:$G,[3]Geração!$F:$F,,0,1)</f>
      </c>
    </row>
    <row x14ac:dyDescent="0.25" r="68" customHeight="1" ht="24.75">
      <c r="A68" s="198"/>
      <c r="B68" s="188">
        <f>AND(ISTEXT('Consolidado-Eletronorte'!#REF!),SUM('Consolidado-Eletronorte'!#REF!)&gt;0)</f>
      </c>
      <c r="C68" s="199">
        <f>$J$3</f>
      </c>
      <c r="D68" s="199">
        <f>$H$3</f>
      </c>
      <c r="E68" s="199">
        <f>$H$4</f>
      </c>
      <c r="F68" s="200"/>
      <c r="G68" s="199">
        <f>_xlfn.CONCAT('Consolidado-Eletronorte'!#REF!,"_",ROW('Consolidado-Eletronorte'!#REF!)-ROW('Consolidado-Eletronorte'!$G$18))</f>
      </c>
      <c r="H68" s="201" t="s">
        <v>10</v>
      </c>
      <c r="I68" s="202" t="s">
        <v>88</v>
      </c>
      <c r="J68" s="202" t="s">
        <v>5</v>
      </c>
      <c r="K68" s="203" t="s">
        <v>16</v>
      </c>
      <c r="L68" s="202" t="s">
        <v>67</v>
      </c>
      <c r="M68" s="202" t="s">
        <v>39932</v>
      </c>
      <c r="N68" s="202"/>
      <c r="O68" s="202"/>
      <c r="P68" s="203" t="s">
        <v>38358</v>
      </c>
      <c r="Q68" s="204" t="s">
        <v>40148</v>
      </c>
      <c r="R68" s="204" t="s">
        <v>40149</v>
      </c>
      <c r="S68" s="202" t="s">
        <v>39912</v>
      </c>
      <c r="T68" s="63">
        <v>0</v>
      </c>
      <c r="U68" s="63">
        <v>0</v>
      </c>
      <c r="V68" s="63">
        <v>0</v>
      </c>
      <c r="W68" s="63">
        <v>0</v>
      </c>
      <c r="X68" s="63">
        <v>0</v>
      </c>
      <c r="Y68" s="63">
        <v>0</v>
      </c>
      <c r="Z68" s="63">
        <v>0</v>
      </c>
      <c r="AA68" s="63">
        <v>395000</v>
      </c>
      <c r="AB68" s="63">
        <v>0</v>
      </c>
      <c r="AC68" s="63">
        <v>0</v>
      </c>
      <c r="AD68" s="63">
        <v>300254.2</v>
      </c>
      <c r="AE68" s="63">
        <v>0</v>
      </c>
      <c r="AF68" s="63">
        <v>695254.2000000001</v>
      </c>
      <c r="AG68" s="63">
        <v>695254.2</v>
      </c>
      <c r="AH68" s="63">
        <v>0</v>
      </c>
      <c r="AI68" s="63">
        <v>0</v>
      </c>
      <c r="AJ68" s="63">
        <v>0</v>
      </c>
      <c r="AK68" s="63">
        <v>1390508.4000000001</v>
      </c>
      <c r="AL68" s="63">
        <v>0</v>
      </c>
      <c r="AM68" s="63">
        <v>0</v>
      </c>
      <c r="AN68" s="63">
        <v>0</v>
      </c>
      <c r="AO68" s="63">
        <v>0</v>
      </c>
      <c r="AP68" s="63">
        <v>0</v>
      </c>
      <c r="AQ68" s="63">
        <v>1390508.4000000001</v>
      </c>
      <c r="AR68" s="39">
        <v>22</v>
      </c>
      <c r="AS68" s="13" t="s">
        <v>39956</v>
      </c>
      <c r="AT68" s="128" t="s">
        <v>39970</v>
      </c>
      <c r="AU68" s="13" t="s">
        <v>40150</v>
      </c>
      <c r="AV68" s="39">
        <v>0</v>
      </c>
      <c r="AW68" s="13" t="s">
        <v>39931</v>
      </c>
      <c r="AX68" s="2"/>
      <c r="AY68" s="1"/>
      <c r="AZ68" s="160">
        <f>_xlfn.XLOOKUP(Tabela98[[#This Row], [Descrição do projeto]],[3]Geração!$G:$G,[3]Geração!$F:$F,,0,1)</f>
      </c>
    </row>
    <row x14ac:dyDescent="0.25" r="69" customHeight="1" ht="24.75">
      <c r="A69" s="198"/>
      <c r="B69" s="188">
        <f>AND(ISTEXT('Consolidado-Eletronorte'!#REF!),SUM('Consolidado-Eletronorte'!#REF!)&gt;0)</f>
      </c>
      <c r="C69" s="199">
        <f>$J$3</f>
      </c>
      <c r="D69" s="199">
        <f>$H$3</f>
      </c>
      <c r="E69" s="199">
        <f>$H$4</f>
      </c>
      <c r="F69" s="200"/>
      <c r="G69" s="199">
        <f>_xlfn.CONCAT('Consolidado-Eletronorte'!#REF!,"_",ROW('Consolidado-Eletronorte'!#REF!)-ROW('Consolidado-Eletronorte'!$G$18))</f>
      </c>
      <c r="H69" s="201" t="s">
        <v>10</v>
      </c>
      <c r="I69" s="202" t="s">
        <v>88</v>
      </c>
      <c r="J69" s="202" t="s">
        <v>5</v>
      </c>
      <c r="K69" s="203" t="s">
        <v>16</v>
      </c>
      <c r="L69" s="202" t="s">
        <v>67</v>
      </c>
      <c r="M69" s="202" t="s">
        <v>39949</v>
      </c>
      <c r="N69" s="202"/>
      <c r="O69" s="202"/>
      <c r="P69" s="203" t="s">
        <v>38368</v>
      </c>
      <c r="Q69" s="204" t="s">
        <v>40151</v>
      </c>
      <c r="R69" s="204" t="s">
        <v>40152</v>
      </c>
      <c r="S69" s="202" t="s">
        <v>38369</v>
      </c>
      <c r="T69" s="63">
        <v>0</v>
      </c>
      <c r="U69" s="63">
        <v>0</v>
      </c>
      <c r="V69" s="63">
        <v>0</v>
      </c>
      <c r="W69" s="63">
        <v>0</v>
      </c>
      <c r="X69" s="63">
        <v>100000</v>
      </c>
      <c r="Y69" s="63">
        <v>0</v>
      </c>
      <c r="Z69" s="63">
        <v>0</v>
      </c>
      <c r="AA69" s="63">
        <v>0</v>
      </c>
      <c r="AB69" s="63">
        <v>100000</v>
      </c>
      <c r="AC69" s="63">
        <v>0</v>
      </c>
      <c r="AD69" s="63">
        <v>0</v>
      </c>
      <c r="AE69" s="63">
        <v>0</v>
      </c>
      <c r="AF69" s="63">
        <v>200000</v>
      </c>
      <c r="AG69" s="63">
        <v>650000</v>
      </c>
      <c r="AH69" s="63">
        <v>466666.67</v>
      </c>
      <c r="AI69" s="63">
        <v>0</v>
      </c>
      <c r="AJ69" s="63">
        <v>0</v>
      </c>
      <c r="AK69" s="63">
        <v>1316666.6700000002</v>
      </c>
      <c r="AL69" s="63">
        <v>0</v>
      </c>
      <c r="AM69" s="63">
        <v>0</v>
      </c>
      <c r="AN69" s="63">
        <v>0</v>
      </c>
      <c r="AO69" s="63">
        <v>0</v>
      </c>
      <c r="AP69" s="63">
        <v>0</v>
      </c>
      <c r="AQ69" s="63">
        <v>1316666.6700000002</v>
      </c>
      <c r="AR69" s="39">
        <v>26</v>
      </c>
      <c r="AS69" s="13" t="s">
        <v>39952</v>
      </c>
      <c r="AT69" s="128" t="s">
        <v>39970</v>
      </c>
      <c r="AU69" s="13" t="s">
        <v>40153</v>
      </c>
      <c r="AV69" s="39">
        <v>0</v>
      </c>
      <c r="AW69" s="13" t="s">
        <v>39931</v>
      </c>
      <c r="AX69" s="2"/>
      <c r="AY69" s="1"/>
      <c r="AZ69" s="160">
        <f>_xlfn.XLOOKUP(Tabela98[[#This Row], [Descrição do projeto]],[3]Geração!$G:$G,[3]Geração!$F:$F,,0,1)</f>
      </c>
    </row>
    <row x14ac:dyDescent="0.25" r="70" customHeight="1" ht="24.75">
      <c r="A70" s="187"/>
      <c r="B70" s="188">
        <f>AND(ISTEXT('Consolidado-Eletronorte'!#REF!),SUM('Consolidado-Eletronorte'!#REF!)&gt;0)</f>
      </c>
      <c r="C70" s="189">
        <f>$J$3</f>
      </c>
      <c r="D70" s="189">
        <f>$H$3</f>
      </c>
      <c r="E70" s="189">
        <f>$H$4</f>
      </c>
      <c r="F70" s="190"/>
      <c r="G70" s="189">
        <f>_xlfn.CONCAT('Consolidado-Eletronorte'!#REF!,"_",ROW('Consolidado-Eletronorte'!#REF!)-ROW('Consolidado-Eletronorte'!$G$18))</f>
      </c>
      <c r="H70" s="186" t="s">
        <v>10</v>
      </c>
      <c r="I70" s="191" t="s">
        <v>88</v>
      </c>
      <c r="J70" s="191" t="s">
        <v>5</v>
      </c>
      <c r="K70" s="192" t="s">
        <v>16</v>
      </c>
      <c r="L70" s="191" t="s">
        <v>67</v>
      </c>
      <c r="M70" s="191" t="s">
        <v>39932</v>
      </c>
      <c r="N70" s="191"/>
      <c r="O70" s="191"/>
      <c r="P70" s="192" t="s">
        <v>38349</v>
      </c>
      <c r="Q70" s="193" t="s">
        <v>40154</v>
      </c>
      <c r="R70" s="193" t="s">
        <v>40155</v>
      </c>
      <c r="S70" s="191" t="s">
        <v>39998</v>
      </c>
      <c r="T70" s="63">
        <v>0</v>
      </c>
      <c r="U70" s="63">
        <v>1200000</v>
      </c>
      <c r="V70" s="63">
        <v>0</v>
      </c>
      <c r="W70" s="63">
        <v>0</v>
      </c>
      <c r="X70" s="63">
        <v>0</v>
      </c>
      <c r="Y70" s="63">
        <v>0</v>
      </c>
      <c r="Z70" s="63">
        <v>0</v>
      </c>
      <c r="AA70" s="63">
        <v>0</v>
      </c>
      <c r="AB70" s="63">
        <v>0</v>
      </c>
      <c r="AC70" s="63">
        <v>0</v>
      </c>
      <c r="AD70" s="63">
        <v>0</v>
      </c>
      <c r="AE70" s="63">
        <v>0</v>
      </c>
      <c r="AF70" s="63">
        <v>1200000</v>
      </c>
      <c r="AG70" s="63">
        <v>0</v>
      </c>
      <c r="AH70" s="63">
        <v>0</v>
      </c>
      <c r="AI70" s="63">
        <v>0</v>
      </c>
      <c r="AJ70" s="63">
        <v>0</v>
      </c>
      <c r="AK70" s="63">
        <v>1200000</v>
      </c>
      <c r="AL70" s="63">
        <v>0</v>
      </c>
      <c r="AM70" s="63">
        <v>0</v>
      </c>
      <c r="AN70" s="63">
        <v>0</v>
      </c>
      <c r="AO70" s="63">
        <v>0</v>
      </c>
      <c r="AP70" s="63">
        <v>0</v>
      </c>
      <c r="AQ70" s="63">
        <v>1200000</v>
      </c>
      <c r="AR70" s="39">
        <v>46</v>
      </c>
      <c r="AS70" s="224" t="s">
        <v>40053</v>
      </c>
      <c r="AT70" s="39">
        <v>2025</v>
      </c>
      <c r="AU70" s="13" t="s">
        <v>40156</v>
      </c>
      <c r="AV70" s="17" t="s">
        <v>40157</v>
      </c>
      <c r="AW70" s="13" t="s">
        <v>39923</v>
      </c>
      <c r="AX70" s="2"/>
      <c r="AY70" s="1"/>
      <c r="AZ70" s="160">
        <f>_xlfn.XLOOKUP(Tabela98[[#This Row], [Descrição do projeto]],[3]Geração!$G:$G,[3]Geração!$F:$F,,0,1)</f>
      </c>
    </row>
    <row x14ac:dyDescent="0.25" r="71" customHeight="1" ht="24.75">
      <c r="A71" s="187"/>
      <c r="B71" s="188">
        <f>AND(ISTEXT('Consolidado-Eletronorte'!#REF!),SUM('Consolidado-Eletronorte'!#REF!)&gt;0)</f>
      </c>
      <c r="C71" s="189">
        <f>$J$3</f>
      </c>
      <c r="D71" s="189">
        <f>$H$3</f>
      </c>
      <c r="E71" s="189">
        <f>$H$4</f>
      </c>
      <c r="F71" s="190"/>
      <c r="G71" s="189">
        <f>_xlfn.CONCAT('Consolidado-Eletronorte'!#REF!,"_",ROW('Consolidado-Eletronorte'!#REF!)-ROW('Consolidado-Eletronorte'!$G$18))</f>
      </c>
      <c r="H71" s="186" t="s">
        <v>10</v>
      </c>
      <c r="I71" s="191" t="s">
        <v>88</v>
      </c>
      <c r="J71" s="191" t="s">
        <v>5</v>
      </c>
      <c r="K71" s="192" t="s">
        <v>16</v>
      </c>
      <c r="L71" s="191" t="s">
        <v>67</v>
      </c>
      <c r="M71" s="191" t="s">
        <v>39932</v>
      </c>
      <c r="N71" s="191"/>
      <c r="O71" s="191"/>
      <c r="P71" s="192" t="s">
        <v>38349</v>
      </c>
      <c r="Q71" s="193" t="s">
        <v>40158</v>
      </c>
      <c r="R71" s="193" t="s">
        <v>40082</v>
      </c>
      <c r="S71" s="191" t="s">
        <v>39998</v>
      </c>
      <c r="T71" s="63">
        <v>0</v>
      </c>
      <c r="U71" s="63">
        <v>0</v>
      </c>
      <c r="V71" s="63">
        <v>0</v>
      </c>
      <c r="W71" s="63">
        <v>0</v>
      </c>
      <c r="X71" s="63">
        <v>0</v>
      </c>
      <c r="Y71" s="63">
        <v>0</v>
      </c>
      <c r="Z71" s="63">
        <v>0</v>
      </c>
      <c r="AA71" s="63">
        <v>0</v>
      </c>
      <c r="AB71" s="63">
        <v>300000</v>
      </c>
      <c r="AC71" s="63">
        <v>0</v>
      </c>
      <c r="AD71" s="63">
        <v>300000</v>
      </c>
      <c r="AE71" s="63">
        <v>0</v>
      </c>
      <c r="AF71" s="63">
        <v>600000</v>
      </c>
      <c r="AG71" s="63">
        <v>600000</v>
      </c>
      <c r="AH71" s="63">
        <v>0</v>
      </c>
      <c r="AI71" s="63">
        <v>0</v>
      </c>
      <c r="AJ71" s="63">
        <v>0</v>
      </c>
      <c r="AK71" s="63">
        <v>1200000</v>
      </c>
      <c r="AL71" s="63">
        <v>0</v>
      </c>
      <c r="AM71" s="63">
        <v>0</v>
      </c>
      <c r="AN71" s="63">
        <v>0</v>
      </c>
      <c r="AO71" s="63">
        <v>0</v>
      </c>
      <c r="AP71" s="63">
        <v>0</v>
      </c>
      <c r="AQ71" s="63">
        <v>1200000</v>
      </c>
      <c r="AR71" s="39">
        <v>48</v>
      </c>
      <c r="AS71" s="224" t="s">
        <v>40053</v>
      </c>
      <c r="AT71" s="39">
        <v>2025</v>
      </c>
      <c r="AU71" s="224" t="s">
        <v>40159</v>
      </c>
      <c r="AV71" s="17" t="s">
        <v>40160</v>
      </c>
      <c r="AW71" s="13" t="s">
        <v>39923</v>
      </c>
      <c r="AX71" s="2"/>
      <c r="AY71" s="1"/>
      <c r="AZ71" s="160">
        <f>_xlfn.XLOOKUP(Tabela98[[#This Row], [Descrição do projeto]],[3]Geração!$G:$G,[3]Geração!$F:$F,,0,1)</f>
      </c>
    </row>
    <row x14ac:dyDescent="0.25" r="72" customHeight="1" ht="24.75">
      <c r="A72" s="187"/>
      <c r="B72" s="188">
        <f>AND(ISTEXT('Consolidado-Eletronorte'!#REF!),SUM('Consolidado-Eletronorte'!#REF!)&gt;0)</f>
      </c>
      <c r="C72" s="189">
        <f>$J$3</f>
      </c>
      <c r="D72" s="189">
        <f>$H$3</f>
      </c>
      <c r="E72" s="189">
        <f>$H$4</f>
      </c>
      <c r="F72" s="190"/>
      <c r="G72" s="189">
        <f>_xlfn.CONCAT('Consolidado-Eletronorte'!#REF!,"_",ROW('Consolidado-Eletronorte'!#REF!)-ROW('Consolidado-Eletronorte'!$G$18))</f>
      </c>
      <c r="H72" s="186" t="s">
        <v>10</v>
      </c>
      <c r="I72" s="191" t="s">
        <v>88</v>
      </c>
      <c r="J72" s="191" t="s">
        <v>5</v>
      </c>
      <c r="K72" s="192" t="s">
        <v>16</v>
      </c>
      <c r="L72" s="191" t="s">
        <v>67</v>
      </c>
      <c r="M72" s="191" t="s">
        <v>39932</v>
      </c>
      <c r="N72" s="191"/>
      <c r="O72" s="191"/>
      <c r="P72" s="192" t="s">
        <v>38349</v>
      </c>
      <c r="Q72" s="193" t="s">
        <v>40161</v>
      </c>
      <c r="R72" s="193" t="s">
        <v>40162</v>
      </c>
      <c r="S72" s="191" t="s">
        <v>39998</v>
      </c>
      <c r="T72" s="63">
        <v>0</v>
      </c>
      <c r="U72" s="63">
        <v>0</v>
      </c>
      <c r="V72" s="63">
        <v>0</v>
      </c>
      <c r="W72" s="63">
        <v>0</v>
      </c>
      <c r="X72" s="63">
        <v>0</v>
      </c>
      <c r="Y72" s="63">
        <v>0</v>
      </c>
      <c r="Z72" s="63">
        <v>0</v>
      </c>
      <c r="AA72" s="63">
        <v>0</v>
      </c>
      <c r="AB72" s="63">
        <v>100000</v>
      </c>
      <c r="AC72" s="63">
        <v>0</v>
      </c>
      <c r="AD72" s="63">
        <v>0</v>
      </c>
      <c r="AE72" s="63">
        <v>0</v>
      </c>
      <c r="AF72" s="63">
        <v>100000</v>
      </c>
      <c r="AG72" s="63">
        <v>1000000</v>
      </c>
      <c r="AH72" s="63">
        <v>0</v>
      </c>
      <c r="AI72" s="63">
        <v>0</v>
      </c>
      <c r="AJ72" s="63">
        <v>0</v>
      </c>
      <c r="AK72" s="63">
        <v>1100000</v>
      </c>
      <c r="AL72" s="63">
        <v>0</v>
      </c>
      <c r="AM72" s="63">
        <v>0</v>
      </c>
      <c r="AN72" s="63">
        <v>0</v>
      </c>
      <c r="AO72" s="63">
        <v>0</v>
      </c>
      <c r="AP72" s="63">
        <v>0</v>
      </c>
      <c r="AQ72" s="63">
        <v>1100000</v>
      </c>
      <c r="AR72" s="39">
        <v>53</v>
      </c>
      <c r="AS72" s="13" t="s">
        <v>40053</v>
      </c>
      <c r="AT72" s="39">
        <v>2025</v>
      </c>
      <c r="AU72" s="13" t="s">
        <v>40163</v>
      </c>
      <c r="AV72" s="39">
        <v>0</v>
      </c>
      <c r="AW72" s="13" t="s">
        <v>39931</v>
      </c>
      <c r="AX72" s="2"/>
      <c r="AY72" s="1"/>
      <c r="AZ72" s="160">
        <f>_xlfn.XLOOKUP(Tabela98[[#This Row], [Descrição do projeto]],[3]Geração!$G:$G,[3]Geração!$F:$F,,0,1)</f>
      </c>
    </row>
    <row x14ac:dyDescent="0.25" r="73" customHeight="1" ht="24.75">
      <c r="A73" s="187"/>
      <c r="B73" s="188">
        <f>AND(ISTEXT('Consolidado-Eletronorte'!#REF!),SUM('Consolidado-Eletronorte'!#REF!)&gt;0)</f>
      </c>
      <c r="C73" s="189">
        <f>$J$3</f>
      </c>
      <c r="D73" s="189">
        <f>$H$3</f>
      </c>
      <c r="E73" s="189">
        <f>$H$4</f>
      </c>
      <c r="F73" s="190"/>
      <c r="G73" s="189">
        <f>_xlfn.CONCAT('Consolidado-Eletronorte'!#REF!,"_",ROW('Consolidado-Eletronorte'!#REF!)-ROW('Consolidado-Eletronorte'!$G$18))</f>
      </c>
      <c r="H73" s="186" t="s">
        <v>10</v>
      </c>
      <c r="I73" s="191" t="s">
        <v>88</v>
      </c>
      <c r="J73" s="191" t="s">
        <v>5</v>
      </c>
      <c r="K73" s="192" t="s">
        <v>16</v>
      </c>
      <c r="L73" s="191" t="s">
        <v>67</v>
      </c>
      <c r="M73" s="191" t="s">
        <v>40164</v>
      </c>
      <c r="N73" s="191"/>
      <c r="O73" s="191"/>
      <c r="P73" s="192" t="s">
        <v>38358</v>
      </c>
      <c r="Q73" s="193" t="s">
        <v>40165</v>
      </c>
      <c r="R73" s="193" t="s">
        <v>40166</v>
      </c>
      <c r="S73" s="191" t="s">
        <v>39912</v>
      </c>
      <c r="T73" s="63">
        <v>0</v>
      </c>
      <c r="U73" s="63">
        <v>1000000</v>
      </c>
      <c r="V73" s="63">
        <v>0</v>
      </c>
      <c r="W73" s="63">
        <v>0</v>
      </c>
      <c r="X73" s="63">
        <v>0</v>
      </c>
      <c r="Y73" s="63">
        <v>0</v>
      </c>
      <c r="Z73" s="63">
        <v>0</v>
      </c>
      <c r="AA73" s="63">
        <v>0</v>
      </c>
      <c r="AB73" s="63">
        <v>0</v>
      </c>
      <c r="AC73" s="63">
        <v>0</v>
      </c>
      <c r="AD73" s="63">
        <v>0</v>
      </c>
      <c r="AE73" s="63">
        <v>0</v>
      </c>
      <c r="AF73" s="63">
        <v>1000000</v>
      </c>
      <c r="AG73" s="63">
        <v>0</v>
      </c>
      <c r="AH73" s="63">
        <v>0</v>
      </c>
      <c r="AI73" s="63">
        <v>0</v>
      </c>
      <c r="AJ73" s="63">
        <v>0</v>
      </c>
      <c r="AK73" s="63">
        <v>1000000</v>
      </c>
      <c r="AL73" s="63">
        <v>0</v>
      </c>
      <c r="AM73" s="63">
        <v>0</v>
      </c>
      <c r="AN73" s="63">
        <v>0</v>
      </c>
      <c r="AO73" s="63">
        <v>0</v>
      </c>
      <c r="AP73" s="63">
        <v>0</v>
      </c>
      <c r="AQ73" s="63">
        <v>1000000</v>
      </c>
      <c r="AR73" s="39">
        <v>33</v>
      </c>
      <c r="AS73" s="224" t="s">
        <v>39956</v>
      </c>
      <c r="AT73" s="39">
        <v>2025</v>
      </c>
      <c r="AU73" s="13" t="s">
        <v>40167</v>
      </c>
      <c r="AV73" s="225" t="s">
        <v>40168</v>
      </c>
      <c r="AW73" s="13" t="s">
        <v>39916</v>
      </c>
      <c r="AX73" s="2"/>
      <c r="AY73" s="1"/>
      <c r="AZ73" s="160">
        <f>_xlfn.XLOOKUP(Tabela98[[#This Row], [Descrição do projeto]],[3]Geração!$G:$G,[3]Geração!$F:$F,,0,1)</f>
      </c>
    </row>
    <row x14ac:dyDescent="0.25" r="74" customHeight="1" ht="24.75">
      <c r="A74" s="187"/>
      <c r="B74" s="188">
        <f>AND(ISTEXT('Consolidado-Eletronorte'!#REF!),SUM('Consolidado-Eletronorte'!#REF!)&gt;0)</f>
      </c>
      <c r="C74" s="189">
        <f>$J$3</f>
      </c>
      <c r="D74" s="189">
        <f>$H$3</f>
      </c>
      <c r="E74" s="189">
        <f>$H$4</f>
      </c>
      <c r="F74" s="190"/>
      <c r="G74" s="189">
        <f>_xlfn.CONCAT('Consolidado-Eletronorte'!#REF!,"_",ROW('Consolidado-Eletronorte'!#REF!)-ROW('Consolidado-Eletronorte'!$G$18))</f>
      </c>
      <c r="H74" s="186" t="s">
        <v>10</v>
      </c>
      <c r="I74" s="191" t="s">
        <v>88</v>
      </c>
      <c r="J74" s="191" t="s">
        <v>5</v>
      </c>
      <c r="K74" s="192" t="s">
        <v>16</v>
      </c>
      <c r="L74" s="191" t="s">
        <v>67</v>
      </c>
      <c r="M74" s="191" t="s">
        <v>39949</v>
      </c>
      <c r="N74" s="191"/>
      <c r="O74" s="191"/>
      <c r="P74" s="192" t="s">
        <v>38358</v>
      </c>
      <c r="Q74" s="193" t="s">
        <v>40169</v>
      </c>
      <c r="R74" s="193" t="s">
        <v>40170</v>
      </c>
      <c r="S74" s="191" t="s">
        <v>39912</v>
      </c>
      <c r="T74" s="63">
        <v>0</v>
      </c>
      <c r="U74" s="63">
        <v>0</v>
      </c>
      <c r="V74" s="63">
        <v>450000</v>
      </c>
      <c r="W74" s="63">
        <v>0</v>
      </c>
      <c r="X74" s="63">
        <v>550000</v>
      </c>
      <c r="Y74" s="63">
        <v>0</v>
      </c>
      <c r="Z74" s="63">
        <v>0</v>
      </c>
      <c r="AA74" s="63">
        <v>0</v>
      </c>
      <c r="AB74" s="63">
        <v>0</v>
      </c>
      <c r="AC74" s="63">
        <v>0</v>
      </c>
      <c r="AD74" s="63">
        <v>0</v>
      </c>
      <c r="AE74" s="63">
        <v>0</v>
      </c>
      <c r="AF74" s="63">
        <v>1000000</v>
      </c>
      <c r="AG74" s="63">
        <v>0</v>
      </c>
      <c r="AH74" s="63">
        <v>0</v>
      </c>
      <c r="AI74" s="63">
        <v>0</v>
      </c>
      <c r="AJ74" s="63">
        <v>0</v>
      </c>
      <c r="AK74" s="63">
        <v>1000000</v>
      </c>
      <c r="AL74" s="63">
        <v>0</v>
      </c>
      <c r="AM74" s="63">
        <v>0</v>
      </c>
      <c r="AN74" s="63">
        <v>0</v>
      </c>
      <c r="AO74" s="63">
        <v>0</v>
      </c>
      <c r="AP74" s="63">
        <v>0</v>
      </c>
      <c r="AQ74" s="63">
        <v>1000000</v>
      </c>
      <c r="AR74" s="39">
        <v>23</v>
      </c>
      <c r="AS74" s="224" t="s">
        <v>39956</v>
      </c>
      <c r="AT74" s="128" t="s">
        <v>39970</v>
      </c>
      <c r="AU74" s="13" t="s">
        <v>40171</v>
      </c>
      <c r="AV74" s="39">
        <v>0</v>
      </c>
      <c r="AW74" s="13" t="s">
        <v>39923</v>
      </c>
      <c r="AX74" s="2"/>
      <c r="AY74" s="1"/>
      <c r="AZ74" s="160">
        <f>_xlfn.XLOOKUP(Tabela98[[#This Row], [Descrição do projeto]],[3]Geração!$G:$G,[3]Geração!$F:$F,,0,1)</f>
      </c>
    </row>
    <row x14ac:dyDescent="0.25" r="75" customHeight="1" ht="24.75">
      <c r="A75" s="187"/>
      <c r="B75" s="188">
        <f>AND(ISTEXT('Consolidado-Eletronorte'!#REF!),SUM('Consolidado-Eletronorte'!#REF!)&gt;0)</f>
      </c>
      <c r="C75" s="189">
        <f>$J$3</f>
      </c>
      <c r="D75" s="189">
        <f>$H$3</f>
      </c>
      <c r="E75" s="189">
        <f>$H$4</f>
      </c>
      <c r="F75" s="190"/>
      <c r="G75" s="189">
        <f>_xlfn.CONCAT('Consolidado-Eletronorte'!#REF!,"_",ROW('Consolidado-Eletronorte'!#REF!)-ROW('Consolidado-Eletronorte'!$G$18))</f>
      </c>
      <c r="H75" s="186" t="s">
        <v>10</v>
      </c>
      <c r="I75" s="191" t="s">
        <v>88</v>
      </c>
      <c r="J75" s="191" t="s">
        <v>5</v>
      </c>
      <c r="K75" s="192" t="s">
        <v>16</v>
      </c>
      <c r="L75" s="191" t="s">
        <v>67</v>
      </c>
      <c r="M75" s="191" t="s">
        <v>39949</v>
      </c>
      <c r="N75" s="191"/>
      <c r="O75" s="191"/>
      <c r="P75" s="192">
        <v>157189</v>
      </c>
      <c r="Q75" s="193" t="s">
        <v>40172</v>
      </c>
      <c r="R75" s="193" t="s">
        <v>40173</v>
      </c>
      <c r="S75" s="191" t="s">
        <v>39945</v>
      </c>
      <c r="T75" s="63">
        <v>0</v>
      </c>
      <c r="U75" s="63">
        <v>0</v>
      </c>
      <c r="V75" s="63">
        <v>0</v>
      </c>
      <c r="W75" s="63">
        <v>0</v>
      </c>
      <c r="X75" s="63">
        <v>0</v>
      </c>
      <c r="Y75" s="63">
        <v>0</v>
      </c>
      <c r="Z75" s="63">
        <v>0</v>
      </c>
      <c r="AA75" s="63">
        <v>0</v>
      </c>
      <c r="AB75" s="63">
        <v>0</v>
      </c>
      <c r="AC75" s="63">
        <v>500000</v>
      </c>
      <c r="AD75" s="63">
        <v>500000</v>
      </c>
      <c r="AE75" s="63">
        <v>0</v>
      </c>
      <c r="AF75" s="63">
        <v>1000000</v>
      </c>
      <c r="AG75" s="63">
        <v>0</v>
      </c>
      <c r="AH75" s="63">
        <v>0</v>
      </c>
      <c r="AI75" s="63">
        <v>0</v>
      </c>
      <c r="AJ75" s="63">
        <v>0</v>
      </c>
      <c r="AK75" s="63">
        <v>1000000</v>
      </c>
      <c r="AL75" s="63">
        <v>0</v>
      </c>
      <c r="AM75" s="63">
        <v>0</v>
      </c>
      <c r="AN75" s="63">
        <v>0</v>
      </c>
      <c r="AO75" s="63">
        <v>0</v>
      </c>
      <c r="AP75" s="63">
        <v>0</v>
      </c>
      <c r="AQ75" s="63">
        <v>1000000</v>
      </c>
      <c r="AR75" s="39">
        <v>66</v>
      </c>
      <c r="AS75" s="13" t="s">
        <v>39946</v>
      </c>
      <c r="AT75" s="128" t="s">
        <v>39970</v>
      </c>
      <c r="AU75" s="13" t="s">
        <v>40174</v>
      </c>
      <c r="AV75" s="39">
        <v>0</v>
      </c>
      <c r="AW75" s="13" t="s">
        <v>39931</v>
      </c>
      <c r="AX75" s="2"/>
      <c r="AY75" s="1"/>
      <c r="AZ75" s="160">
        <f>_xlfn.XLOOKUP(Tabela98[[#This Row], [Descrição do projeto]],[3]Geração!$G:$G,[3]Geração!$F:$F,,0,1)</f>
      </c>
    </row>
    <row x14ac:dyDescent="0.25" r="76" customHeight="1" ht="24.75">
      <c r="A76" s="187"/>
      <c r="B76" s="188">
        <f>AND(ISTEXT('Consolidado-Eletronorte'!#REF!),SUM('Consolidado-Eletronorte'!#REF!)&gt;0)</f>
      </c>
      <c r="C76" s="189">
        <f>$J$3</f>
      </c>
      <c r="D76" s="189">
        <f>$H$3</f>
      </c>
      <c r="E76" s="189">
        <f>$H$4</f>
      </c>
      <c r="F76" s="190"/>
      <c r="G76" s="189">
        <f>_xlfn.CONCAT('Consolidado-Eletronorte'!#REF!,"_",ROW('Consolidado-Eletronorte'!#REF!)-ROW('Consolidado-Eletronorte'!$G$18))</f>
      </c>
      <c r="H76" s="186" t="s">
        <v>10</v>
      </c>
      <c r="I76" s="191" t="s">
        <v>88</v>
      </c>
      <c r="J76" s="191" t="s">
        <v>5</v>
      </c>
      <c r="K76" s="192" t="s">
        <v>16</v>
      </c>
      <c r="L76" s="191" t="s">
        <v>67</v>
      </c>
      <c r="M76" s="191" t="s">
        <v>39932</v>
      </c>
      <c r="N76" s="191"/>
      <c r="O76" s="191"/>
      <c r="P76" s="192" t="s">
        <v>38358</v>
      </c>
      <c r="Q76" s="193" t="s">
        <v>40175</v>
      </c>
      <c r="R76" s="193" t="s">
        <v>40176</v>
      </c>
      <c r="S76" s="191" t="s">
        <v>39912</v>
      </c>
      <c r="T76" s="63">
        <v>0</v>
      </c>
      <c r="U76" s="63">
        <v>0</v>
      </c>
      <c r="V76" s="63">
        <v>0</v>
      </c>
      <c r="W76" s="63">
        <v>0</v>
      </c>
      <c r="X76" s="63">
        <v>250000</v>
      </c>
      <c r="Y76" s="63">
        <v>0</v>
      </c>
      <c r="Z76" s="63">
        <v>350000</v>
      </c>
      <c r="AA76" s="63">
        <v>0</v>
      </c>
      <c r="AB76" s="63">
        <v>150000</v>
      </c>
      <c r="AC76" s="63">
        <v>0</v>
      </c>
      <c r="AD76" s="63">
        <v>0</v>
      </c>
      <c r="AE76" s="63">
        <v>250000</v>
      </c>
      <c r="AF76" s="63">
        <v>1000000</v>
      </c>
      <c r="AG76" s="63">
        <v>0</v>
      </c>
      <c r="AH76" s="63">
        <v>0</v>
      </c>
      <c r="AI76" s="63">
        <v>0</v>
      </c>
      <c r="AJ76" s="63">
        <v>0</v>
      </c>
      <c r="AK76" s="63">
        <v>1000000</v>
      </c>
      <c r="AL76" s="63">
        <v>0</v>
      </c>
      <c r="AM76" s="63">
        <v>0</v>
      </c>
      <c r="AN76" s="63">
        <v>0</v>
      </c>
      <c r="AO76" s="63">
        <v>0</v>
      </c>
      <c r="AP76" s="63">
        <v>0</v>
      </c>
      <c r="AQ76" s="63">
        <v>1000000</v>
      </c>
      <c r="AR76" s="39">
        <v>109</v>
      </c>
      <c r="AS76" s="13" t="s">
        <v>39935</v>
      </c>
      <c r="AT76" s="39">
        <v>2025</v>
      </c>
      <c r="AU76" s="13" t="s">
        <v>40177</v>
      </c>
      <c r="AV76" s="128" t="s">
        <v>40178</v>
      </c>
      <c r="AW76" s="13" t="s">
        <v>39931</v>
      </c>
      <c r="AX76" s="2"/>
      <c r="AY76" s="1"/>
      <c r="AZ76" s="160">
        <f>_xlfn.XLOOKUP(Tabela98[[#This Row], [Descrição do projeto]],[3]Geração!$G:$G,[3]Geração!$F:$F,,0,1)</f>
      </c>
    </row>
    <row x14ac:dyDescent="0.25" r="77" customHeight="1" ht="24.75">
      <c r="A77" s="187"/>
      <c r="B77" s="188">
        <f>AND(ISTEXT('Consolidado-Eletronorte'!#REF!),SUM('Consolidado-Eletronorte'!#REF!)&gt;0)</f>
      </c>
      <c r="C77" s="189">
        <f>$J$3</f>
      </c>
      <c r="D77" s="189">
        <f>$H$3</f>
      </c>
      <c r="E77" s="189">
        <f>$H$4</f>
      </c>
      <c r="F77" s="190"/>
      <c r="G77" s="189">
        <f>_xlfn.CONCAT('Consolidado-Eletronorte'!#REF!,"_",ROW('Consolidado-Eletronorte'!#REF!)-ROW('Consolidado-Eletronorte'!$G$18))</f>
      </c>
      <c r="H77" s="186" t="s">
        <v>10</v>
      </c>
      <c r="I77" s="191" t="s">
        <v>88</v>
      </c>
      <c r="J77" s="191" t="s">
        <v>5</v>
      </c>
      <c r="K77" s="192" t="s">
        <v>16</v>
      </c>
      <c r="L77" s="191" t="s">
        <v>67</v>
      </c>
      <c r="M77" s="191" t="s">
        <v>39932</v>
      </c>
      <c r="N77" s="191"/>
      <c r="O77" s="191"/>
      <c r="P77" s="192" t="s">
        <v>38358</v>
      </c>
      <c r="Q77" s="193" t="s">
        <v>40175</v>
      </c>
      <c r="R77" s="193" t="s">
        <v>40179</v>
      </c>
      <c r="S77" s="191" t="s">
        <v>39912</v>
      </c>
      <c r="T77" s="63">
        <v>0</v>
      </c>
      <c r="U77" s="63">
        <v>0</v>
      </c>
      <c r="V77" s="63">
        <v>0</v>
      </c>
      <c r="W77" s="63">
        <v>0</v>
      </c>
      <c r="X77" s="63">
        <v>0</v>
      </c>
      <c r="Y77" s="63">
        <v>300000</v>
      </c>
      <c r="Z77" s="63">
        <v>0</v>
      </c>
      <c r="AA77" s="63">
        <v>300000</v>
      </c>
      <c r="AB77" s="63">
        <v>0</v>
      </c>
      <c r="AC77" s="63">
        <v>250000</v>
      </c>
      <c r="AD77" s="63">
        <v>0</v>
      </c>
      <c r="AE77" s="63">
        <v>150000</v>
      </c>
      <c r="AF77" s="63">
        <v>1000000</v>
      </c>
      <c r="AG77" s="63">
        <v>0</v>
      </c>
      <c r="AH77" s="63">
        <v>0</v>
      </c>
      <c r="AI77" s="63">
        <v>0</v>
      </c>
      <c r="AJ77" s="63">
        <v>0</v>
      </c>
      <c r="AK77" s="63">
        <v>1000000</v>
      </c>
      <c r="AL77" s="63">
        <v>0</v>
      </c>
      <c r="AM77" s="63">
        <v>0</v>
      </c>
      <c r="AN77" s="63">
        <v>0</v>
      </c>
      <c r="AO77" s="63">
        <v>0</v>
      </c>
      <c r="AP77" s="63">
        <v>0</v>
      </c>
      <c r="AQ77" s="63">
        <v>1000000</v>
      </c>
      <c r="AR77" s="39">
        <v>110</v>
      </c>
      <c r="AS77" s="13" t="s">
        <v>39935</v>
      </c>
      <c r="AT77" s="39">
        <v>2025</v>
      </c>
      <c r="AU77" s="13" t="s">
        <v>40177</v>
      </c>
      <c r="AV77" s="128" t="s">
        <v>40178</v>
      </c>
      <c r="AW77" s="13" t="s">
        <v>39931</v>
      </c>
      <c r="AX77" s="2"/>
      <c r="AY77" s="1"/>
      <c r="AZ77" s="160">
        <f>_xlfn.XLOOKUP(Tabela98[[#This Row], [Descrição do projeto]],[3]Geração!$G:$G,[3]Geração!$F:$F,,0,1)</f>
      </c>
    </row>
    <row x14ac:dyDescent="0.25" r="78" customHeight="1" ht="24.75">
      <c r="A78" s="187"/>
      <c r="B78" s="188">
        <f>AND(ISTEXT('Consolidado-Eletronorte'!#REF!),SUM('Consolidado-Eletronorte'!#REF!)&gt;0)</f>
      </c>
      <c r="C78" s="189">
        <f>$J$3</f>
      </c>
      <c r="D78" s="189">
        <f>$H$3</f>
      </c>
      <c r="E78" s="189">
        <f>$H$4</f>
      </c>
      <c r="F78" s="190"/>
      <c r="G78" s="189">
        <f>_xlfn.CONCAT('Consolidado-Eletronorte'!#REF!,"_",ROW('Consolidado-Eletronorte'!#REF!)-ROW('Consolidado-Eletronorte'!$G$18))</f>
      </c>
      <c r="H78" s="186" t="s">
        <v>10</v>
      </c>
      <c r="I78" s="191" t="s">
        <v>88</v>
      </c>
      <c r="J78" s="191" t="s">
        <v>5</v>
      </c>
      <c r="K78" s="192" t="s">
        <v>16</v>
      </c>
      <c r="L78" s="191" t="s">
        <v>67</v>
      </c>
      <c r="M78" s="191" t="s">
        <v>39932</v>
      </c>
      <c r="N78" s="191"/>
      <c r="O78" s="191"/>
      <c r="P78" s="192" t="s">
        <v>38358</v>
      </c>
      <c r="Q78" s="193" t="s">
        <v>40175</v>
      </c>
      <c r="R78" s="193" t="s">
        <v>40180</v>
      </c>
      <c r="S78" s="191" t="s">
        <v>39912</v>
      </c>
      <c r="T78" s="63">
        <v>0</v>
      </c>
      <c r="U78" s="63">
        <v>0</v>
      </c>
      <c r="V78" s="63">
        <v>0</v>
      </c>
      <c r="W78" s="63">
        <v>0</v>
      </c>
      <c r="X78" s="63">
        <v>200000</v>
      </c>
      <c r="Y78" s="63">
        <v>0</v>
      </c>
      <c r="Z78" s="63">
        <v>250000</v>
      </c>
      <c r="AA78" s="63">
        <v>0</v>
      </c>
      <c r="AB78" s="63">
        <v>350000</v>
      </c>
      <c r="AC78" s="63">
        <v>0</v>
      </c>
      <c r="AD78" s="63">
        <v>0</v>
      </c>
      <c r="AE78" s="63">
        <v>200000</v>
      </c>
      <c r="AF78" s="63">
        <v>1000000</v>
      </c>
      <c r="AG78" s="63">
        <v>0</v>
      </c>
      <c r="AH78" s="63">
        <v>0</v>
      </c>
      <c r="AI78" s="63">
        <v>0</v>
      </c>
      <c r="AJ78" s="63">
        <v>0</v>
      </c>
      <c r="AK78" s="63">
        <v>1000000</v>
      </c>
      <c r="AL78" s="63">
        <v>0</v>
      </c>
      <c r="AM78" s="63">
        <v>0</v>
      </c>
      <c r="AN78" s="63">
        <v>0</v>
      </c>
      <c r="AO78" s="63">
        <v>0</v>
      </c>
      <c r="AP78" s="63">
        <v>0</v>
      </c>
      <c r="AQ78" s="63">
        <v>1000000</v>
      </c>
      <c r="AR78" s="39">
        <v>111</v>
      </c>
      <c r="AS78" s="13" t="s">
        <v>39935</v>
      </c>
      <c r="AT78" s="39">
        <v>2025</v>
      </c>
      <c r="AU78" s="13" t="s">
        <v>40177</v>
      </c>
      <c r="AV78" s="128" t="s">
        <v>40178</v>
      </c>
      <c r="AW78" s="13" t="s">
        <v>39931</v>
      </c>
      <c r="AX78" s="2"/>
      <c r="AY78" s="1"/>
      <c r="AZ78" s="160">
        <f>_xlfn.XLOOKUP(Tabela98[[#This Row], [Descrição do projeto]],[3]Geração!$G:$G,[3]Geração!$F:$F,,0,1)</f>
      </c>
    </row>
    <row x14ac:dyDescent="0.25" r="79" customHeight="1" ht="24.75">
      <c r="A79" s="187"/>
      <c r="B79" s="188">
        <f>AND(ISTEXT('Consolidado-Eletronorte'!#REF!),SUM('Consolidado-Eletronorte'!#REF!)&gt;0)</f>
      </c>
      <c r="C79" s="189">
        <f>$J$3</f>
      </c>
      <c r="D79" s="189">
        <f>$H$3</f>
      </c>
      <c r="E79" s="189">
        <f>$H$4</f>
      </c>
      <c r="F79" s="190"/>
      <c r="G79" s="189">
        <f>_xlfn.CONCAT('Consolidado-Eletronorte'!#REF!,"_",ROW('Consolidado-Eletronorte'!#REF!)-ROW('Consolidado-Eletronorte'!$G$18))</f>
      </c>
      <c r="H79" s="186" t="s">
        <v>10</v>
      </c>
      <c r="I79" s="191" t="s">
        <v>88</v>
      </c>
      <c r="J79" s="191" t="s">
        <v>5</v>
      </c>
      <c r="K79" s="192" t="s">
        <v>16</v>
      </c>
      <c r="L79" s="191" t="s">
        <v>67</v>
      </c>
      <c r="M79" s="191" t="s">
        <v>40181</v>
      </c>
      <c r="N79" s="191"/>
      <c r="O79" s="191"/>
      <c r="P79" s="192" t="s">
        <v>38358</v>
      </c>
      <c r="Q79" s="193" t="s">
        <v>40182</v>
      </c>
      <c r="R79" s="193" t="s">
        <v>40183</v>
      </c>
      <c r="S79" s="191" t="s">
        <v>39912</v>
      </c>
      <c r="T79" s="63">
        <v>0</v>
      </c>
      <c r="U79" s="63">
        <v>0</v>
      </c>
      <c r="V79" s="63">
        <v>0</v>
      </c>
      <c r="W79" s="63">
        <v>0</v>
      </c>
      <c r="X79" s="63">
        <v>0</v>
      </c>
      <c r="Y79" s="63">
        <v>0</v>
      </c>
      <c r="Z79" s="63">
        <v>0</v>
      </c>
      <c r="AA79" s="63">
        <v>0</v>
      </c>
      <c r="AB79" s="63">
        <v>0</v>
      </c>
      <c r="AC79" s="63">
        <v>500000</v>
      </c>
      <c r="AD79" s="63">
        <v>0</v>
      </c>
      <c r="AE79" s="63">
        <v>0</v>
      </c>
      <c r="AF79" s="63">
        <v>500000</v>
      </c>
      <c r="AG79" s="63">
        <v>500000</v>
      </c>
      <c r="AH79" s="63">
        <v>0</v>
      </c>
      <c r="AI79" s="63">
        <v>0</v>
      </c>
      <c r="AJ79" s="63">
        <v>0</v>
      </c>
      <c r="AK79" s="63">
        <v>1000000</v>
      </c>
      <c r="AL79" s="63">
        <v>0</v>
      </c>
      <c r="AM79" s="63">
        <v>0</v>
      </c>
      <c r="AN79" s="63">
        <v>0</v>
      </c>
      <c r="AO79" s="63">
        <v>0</v>
      </c>
      <c r="AP79" s="63">
        <v>0</v>
      </c>
      <c r="AQ79" s="63">
        <v>1000000</v>
      </c>
      <c r="AR79" s="39">
        <v>91</v>
      </c>
      <c r="AS79" s="13" t="s">
        <v>39964</v>
      </c>
      <c r="AT79" s="39">
        <v>2025</v>
      </c>
      <c r="AU79" s="13" t="s">
        <v>40184</v>
      </c>
      <c r="AV79" s="39">
        <v>0</v>
      </c>
      <c r="AW79" s="13" t="s">
        <v>39931</v>
      </c>
      <c r="AX79" s="2"/>
      <c r="AY79" s="1"/>
      <c r="AZ79" s="160">
        <f>_xlfn.XLOOKUP(Tabela98[[#This Row], [Descrição do projeto]],[3]Geração!$G:$G,[3]Geração!$F:$F,,0,1)</f>
      </c>
    </row>
    <row x14ac:dyDescent="0.25" r="80" customHeight="1" ht="24.75">
      <c r="A80" s="187"/>
      <c r="B80" s="188">
        <f>AND(ISTEXT('Consolidado-Eletronorte'!#REF!),SUM('Consolidado-Eletronorte'!#REF!)&gt;0)</f>
      </c>
      <c r="C80" s="189">
        <f>$J$3</f>
      </c>
      <c r="D80" s="189">
        <f>$H$3</f>
      </c>
      <c r="E80" s="189">
        <f>$H$4</f>
      </c>
      <c r="F80" s="190"/>
      <c r="G80" s="189">
        <f>_xlfn.CONCAT('Consolidado-Eletronorte'!#REF!,"_",ROW('Consolidado-Eletronorte'!#REF!)-ROW('Consolidado-Eletronorte'!$G$18))</f>
      </c>
      <c r="H80" s="186" t="s">
        <v>10</v>
      </c>
      <c r="I80" s="191" t="s">
        <v>88</v>
      </c>
      <c r="J80" s="191" t="s">
        <v>5</v>
      </c>
      <c r="K80" s="192" t="s">
        <v>16</v>
      </c>
      <c r="L80" s="191" t="s">
        <v>67</v>
      </c>
      <c r="M80" s="191" t="s">
        <v>39949</v>
      </c>
      <c r="N80" s="191"/>
      <c r="O80" s="191"/>
      <c r="P80" s="192" t="s">
        <v>38358</v>
      </c>
      <c r="Q80" s="193" t="s">
        <v>40185</v>
      </c>
      <c r="R80" s="193" t="s">
        <v>40186</v>
      </c>
      <c r="S80" s="191" t="s">
        <v>39912</v>
      </c>
      <c r="T80" s="63">
        <v>0</v>
      </c>
      <c r="U80" s="63">
        <v>0</v>
      </c>
      <c r="V80" s="63">
        <v>0</v>
      </c>
      <c r="W80" s="63">
        <v>0</v>
      </c>
      <c r="X80" s="63">
        <v>0</v>
      </c>
      <c r="Y80" s="63">
        <v>0</v>
      </c>
      <c r="Z80" s="63">
        <v>0</v>
      </c>
      <c r="AA80" s="63">
        <v>0</v>
      </c>
      <c r="AB80" s="63">
        <v>0</v>
      </c>
      <c r="AC80" s="63">
        <v>0</v>
      </c>
      <c r="AD80" s="63">
        <v>0</v>
      </c>
      <c r="AE80" s="63">
        <v>0</v>
      </c>
      <c r="AF80" s="63">
        <v>0</v>
      </c>
      <c r="AG80" s="63">
        <v>1000000</v>
      </c>
      <c r="AH80" s="63">
        <v>0</v>
      </c>
      <c r="AI80" s="63">
        <v>0</v>
      </c>
      <c r="AJ80" s="63">
        <v>0</v>
      </c>
      <c r="AK80" s="63">
        <v>1000000</v>
      </c>
      <c r="AL80" s="63">
        <v>0</v>
      </c>
      <c r="AM80" s="63">
        <v>0</v>
      </c>
      <c r="AN80" s="63">
        <v>0</v>
      </c>
      <c r="AO80" s="63">
        <v>0</v>
      </c>
      <c r="AP80" s="63">
        <v>0</v>
      </c>
      <c r="AQ80" s="63">
        <v>1000000</v>
      </c>
      <c r="AR80" s="39">
        <v>69</v>
      </c>
      <c r="AS80" s="13" t="s">
        <v>39946</v>
      </c>
      <c r="AT80" s="128" t="s">
        <v>39970</v>
      </c>
      <c r="AU80" s="13" t="s">
        <v>40187</v>
      </c>
      <c r="AV80" s="39">
        <v>0</v>
      </c>
      <c r="AW80" s="13" t="s">
        <v>39931</v>
      </c>
      <c r="AX80" s="2"/>
      <c r="AY80" s="1"/>
      <c r="AZ80" s="160">
        <f>_xlfn.XLOOKUP(Tabela98[[#This Row], [Descrição do projeto]],[3]Geração!$G:$G,[3]Geração!$F:$F,,0,1)</f>
      </c>
    </row>
    <row x14ac:dyDescent="0.25" r="81" customHeight="1" ht="24.75">
      <c r="A81" s="187"/>
      <c r="B81" s="188">
        <f>AND(ISTEXT('Consolidado-Eletronorte'!#REF!),SUM('Consolidado-Eletronorte'!#REF!)&gt;0)</f>
      </c>
      <c r="C81" s="189">
        <f>$J$3</f>
      </c>
      <c r="D81" s="189">
        <f>$H$3</f>
      </c>
      <c r="E81" s="189">
        <f>$H$4</f>
      </c>
      <c r="F81" s="190"/>
      <c r="G81" s="189">
        <f>_xlfn.CONCAT('Consolidado-Eletronorte'!#REF!,"_",ROW('Consolidado-Eletronorte'!#REF!)-ROW('Consolidado-Eletronorte'!$G$18))</f>
      </c>
      <c r="H81" s="186" t="s">
        <v>10</v>
      </c>
      <c r="I81" s="191" t="s">
        <v>88</v>
      </c>
      <c r="J81" s="191" t="s">
        <v>5</v>
      </c>
      <c r="K81" s="192" t="s">
        <v>16</v>
      </c>
      <c r="L81" s="191" t="s">
        <v>67</v>
      </c>
      <c r="M81" s="191" t="s">
        <v>39949</v>
      </c>
      <c r="N81" s="191"/>
      <c r="O81" s="191"/>
      <c r="P81" s="192" t="s">
        <v>38358</v>
      </c>
      <c r="Q81" s="193" t="s">
        <v>40188</v>
      </c>
      <c r="R81" s="193" t="s">
        <v>40188</v>
      </c>
      <c r="S81" s="191" t="s">
        <v>39912</v>
      </c>
      <c r="T81" s="63">
        <v>0</v>
      </c>
      <c r="U81" s="63">
        <v>0</v>
      </c>
      <c r="V81" s="63">
        <v>0</v>
      </c>
      <c r="W81" s="63">
        <v>0</v>
      </c>
      <c r="X81" s="63">
        <v>0</v>
      </c>
      <c r="Y81" s="63">
        <v>0</v>
      </c>
      <c r="Z81" s="63">
        <v>0</v>
      </c>
      <c r="AA81" s="63">
        <v>0</v>
      </c>
      <c r="AB81" s="63">
        <v>0</v>
      </c>
      <c r="AC81" s="63">
        <v>0</v>
      </c>
      <c r="AD81" s="63">
        <v>0</v>
      </c>
      <c r="AE81" s="63">
        <v>0</v>
      </c>
      <c r="AF81" s="63">
        <v>0</v>
      </c>
      <c r="AG81" s="63">
        <v>1000000</v>
      </c>
      <c r="AH81" s="63">
        <v>0</v>
      </c>
      <c r="AI81" s="63">
        <v>0</v>
      </c>
      <c r="AJ81" s="63">
        <v>0</v>
      </c>
      <c r="AK81" s="63">
        <v>1000000</v>
      </c>
      <c r="AL81" s="63">
        <v>0</v>
      </c>
      <c r="AM81" s="63">
        <v>0</v>
      </c>
      <c r="AN81" s="63">
        <v>0</v>
      </c>
      <c r="AO81" s="63">
        <v>0</v>
      </c>
      <c r="AP81" s="63">
        <v>0</v>
      </c>
      <c r="AQ81" s="63">
        <v>1000000</v>
      </c>
      <c r="AR81" s="39">
        <v>70</v>
      </c>
      <c r="AS81" s="13" t="s">
        <v>39946</v>
      </c>
      <c r="AT81" s="128" t="s">
        <v>39970</v>
      </c>
      <c r="AU81" s="13" t="s">
        <v>40189</v>
      </c>
      <c r="AV81" s="39">
        <v>0</v>
      </c>
      <c r="AW81" s="13" t="s">
        <v>39931</v>
      </c>
      <c r="AX81" s="2"/>
      <c r="AY81" s="1"/>
      <c r="AZ81" s="160">
        <f>_xlfn.XLOOKUP(Tabela98[[#This Row], [Descrição do projeto]],[3]Geração!$G:$G,[3]Geração!$F:$F,,0,1)</f>
      </c>
    </row>
    <row x14ac:dyDescent="0.25" r="82" customHeight="1" ht="24.75">
      <c r="A82" s="187"/>
      <c r="B82" s="188">
        <f>AND(ISTEXT('Consolidado-Eletronorte'!#REF!),SUM('Consolidado-Eletronorte'!#REF!)&gt;0)</f>
      </c>
      <c r="C82" s="189">
        <f>$J$3</f>
      </c>
      <c r="D82" s="189">
        <f>$H$3</f>
      </c>
      <c r="E82" s="189">
        <f>$H$4</f>
      </c>
      <c r="F82" s="190"/>
      <c r="G82" s="189">
        <f>_xlfn.CONCAT('Consolidado-Eletronorte'!#REF!,"_",ROW('Consolidado-Eletronorte'!#REF!)-ROW('Consolidado-Eletronorte'!$G$18))</f>
      </c>
      <c r="H82" s="186" t="s">
        <v>10</v>
      </c>
      <c r="I82" s="191" t="s">
        <v>88</v>
      </c>
      <c r="J82" s="191" t="s">
        <v>5</v>
      </c>
      <c r="K82" s="192" t="s">
        <v>16</v>
      </c>
      <c r="L82" s="191" t="s">
        <v>67</v>
      </c>
      <c r="M82" s="191" t="s">
        <v>39949</v>
      </c>
      <c r="N82" s="191"/>
      <c r="O82" s="191"/>
      <c r="P82" s="192" t="s">
        <v>38368</v>
      </c>
      <c r="Q82" s="193" t="s">
        <v>40190</v>
      </c>
      <c r="R82" s="193" t="s">
        <v>40191</v>
      </c>
      <c r="S82" s="191" t="s">
        <v>40006</v>
      </c>
      <c r="T82" s="63">
        <v>0</v>
      </c>
      <c r="U82" s="63">
        <v>0</v>
      </c>
      <c r="V82" s="63">
        <v>0</v>
      </c>
      <c r="W82" s="63">
        <v>0</v>
      </c>
      <c r="X82" s="63">
        <v>0</v>
      </c>
      <c r="Y82" s="63">
        <v>0</v>
      </c>
      <c r="Z82" s="63">
        <v>0</v>
      </c>
      <c r="AA82" s="63">
        <v>0</v>
      </c>
      <c r="AB82" s="63">
        <v>0</v>
      </c>
      <c r="AC82" s="63">
        <v>0</v>
      </c>
      <c r="AD82" s="63">
        <v>0</v>
      </c>
      <c r="AE82" s="63">
        <v>0</v>
      </c>
      <c r="AF82" s="63">
        <v>0</v>
      </c>
      <c r="AG82" s="63">
        <v>1000000</v>
      </c>
      <c r="AH82" s="63">
        <v>0</v>
      </c>
      <c r="AI82" s="63">
        <v>0</v>
      </c>
      <c r="AJ82" s="63">
        <v>0</v>
      </c>
      <c r="AK82" s="63">
        <v>1000000</v>
      </c>
      <c r="AL82" s="63">
        <v>0</v>
      </c>
      <c r="AM82" s="63">
        <v>0</v>
      </c>
      <c r="AN82" s="63">
        <v>0</v>
      </c>
      <c r="AO82" s="63">
        <v>0</v>
      </c>
      <c r="AP82" s="63">
        <v>0</v>
      </c>
      <c r="AQ82" s="63">
        <v>1000000</v>
      </c>
      <c r="AR82" s="39">
        <v>75</v>
      </c>
      <c r="AS82" s="224" t="s">
        <v>39952</v>
      </c>
      <c r="AT82" s="225" t="s">
        <v>39970</v>
      </c>
      <c r="AU82" s="13" t="s">
        <v>40192</v>
      </c>
      <c r="AV82" s="39">
        <v>0</v>
      </c>
      <c r="AW82" s="13" t="s">
        <v>39931</v>
      </c>
      <c r="AX82" s="2"/>
      <c r="AY82" s="1"/>
      <c r="AZ82" s="160">
        <f>_xlfn.XLOOKUP(Tabela98[[#This Row], [Descrição do projeto]],[3]Geração!$G:$G,[3]Geração!$F:$F,,0,1)</f>
      </c>
    </row>
    <row x14ac:dyDescent="0.25" r="83" customHeight="1" ht="24.75">
      <c r="A83" s="187"/>
      <c r="B83" s="188">
        <f>AND(ISTEXT('Consolidado-Eletronorte'!#REF!),SUM('Consolidado-Eletronorte'!#REF!)&gt;0)</f>
      </c>
      <c r="C83" s="189">
        <f>$J$3</f>
      </c>
      <c r="D83" s="189">
        <f>$H$3</f>
      </c>
      <c r="E83" s="189">
        <f>$H$4</f>
      </c>
      <c r="F83" s="190"/>
      <c r="G83" s="189">
        <f>_xlfn.CONCAT('Consolidado-Eletronorte'!#REF!,"_",ROW('Consolidado-Eletronorte'!#REF!)-ROW('Consolidado-Eletronorte'!$G$18))</f>
      </c>
      <c r="H83" s="186" t="s">
        <v>10</v>
      </c>
      <c r="I83" s="191" t="s">
        <v>88</v>
      </c>
      <c r="J83" s="191" t="s">
        <v>5</v>
      </c>
      <c r="K83" s="192" t="s">
        <v>16</v>
      </c>
      <c r="L83" s="191" t="s">
        <v>67</v>
      </c>
      <c r="M83" s="191" t="s">
        <v>39949</v>
      </c>
      <c r="N83" s="191"/>
      <c r="O83" s="191"/>
      <c r="P83" s="192" t="s">
        <v>38368</v>
      </c>
      <c r="Q83" s="193" t="s">
        <v>40193</v>
      </c>
      <c r="R83" s="193" t="s">
        <v>40194</v>
      </c>
      <c r="S83" s="191" t="s">
        <v>40006</v>
      </c>
      <c r="T83" s="63">
        <v>0</v>
      </c>
      <c r="U83" s="63">
        <v>0</v>
      </c>
      <c r="V83" s="63">
        <v>0</v>
      </c>
      <c r="W83" s="63">
        <v>0</v>
      </c>
      <c r="X83" s="63">
        <v>0</v>
      </c>
      <c r="Y83" s="63">
        <v>0</v>
      </c>
      <c r="Z83" s="63">
        <v>0</v>
      </c>
      <c r="AA83" s="63">
        <v>0</v>
      </c>
      <c r="AB83" s="63">
        <v>0</v>
      </c>
      <c r="AC83" s="63">
        <v>0</v>
      </c>
      <c r="AD83" s="63">
        <v>0</v>
      </c>
      <c r="AE83" s="63">
        <v>0</v>
      </c>
      <c r="AF83" s="63">
        <v>0</v>
      </c>
      <c r="AG83" s="63">
        <v>600000</v>
      </c>
      <c r="AH83" s="63">
        <v>400000</v>
      </c>
      <c r="AI83" s="63">
        <v>0</v>
      </c>
      <c r="AJ83" s="63">
        <v>0</v>
      </c>
      <c r="AK83" s="63">
        <v>1000000</v>
      </c>
      <c r="AL83" s="63">
        <v>0</v>
      </c>
      <c r="AM83" s="63">
        <v>0</v>
      </c>
      <c r="AN83" s="63">
        <v>0</v>
      </c>
      <c r="AO83" s="63">
        <v>0</v>
      </c>
      <c r="AP83" s="63">
        <v>0</v>
      </c>
      <c r="AQ83" s="63">
        <v>1000000</v>
      </c>
      <c r="AR83" s="39">
        <v>77</v>
      </c>
      <c r="AS83" s="224" t="s">
        <v>39952</v>
      </c>
      <c r="AT83" s="225" t="s">
        <v>39970</v>
      </c>
      <c r="AU83" s="13" t="s">
        <v>40195</v>
      </c>
      <c r="AV83" s="39">
        <v>0</v>
      </c>
      <c r="AW83" s="13" t="s">
        <v>39931</v>
      </c>
      <c r="AX83" s="2"/>
      <c r="AY83" s="1"/>
      <c r="AZ83" s="160">
        <f>_xlfn.XLOOKUP(Tabela98[[#This Row], [Descrição do projeto]],[3]Geração!$G:$G,[3]Geração!$F:$F,,0,1)</f>
      </c>
    </row>
    <row x14ac:dyDescent="0.25" r="84" customHeight="1" ht="24.75">
      <c r="A84" s="198"/>
      <c r="B84" s="188">
        <f>AND(ISTEXT('Consolidado-Eletronorte'!#REF!),SUM('Consolidado-Eletronorte'!#REF!)&gt;0)</f>
      </c>
      <c r="C84" s="199">
        <f>$J$3</f>
      </c>
      <c r="D84" s="199">
        <f>$H$3</f>
      </c>
      <c r="E84" s="199">
        <f>$H$4</f>
      </c>
      <c r="F84" s="200"/>
      <c r="G84" s="199">
        <f>_xlfn.CONCAT('Consolidado-Eletronorte'!#REF!,"_",ROW('Consolidado-Eletronorte'!#REF!)-ROW('Consolidado-Eletronorte'!$G$18))</f>
      </c>
      <c r="H84" s="201" t="s">
        <v>10</v>
      </c>
      <c r="I84" s="202" t="s">
        <v>88</v>
      </c>
      <c r="J84" s="202" t="s">
        <v>5</v>
      </c>
      <c r="K84" s="203" t="s">
        <v>16</v>
      </c>
      <c r="L84" s="202" t="s">
        <v>67</v>
      </c>
      <c r="M84" s="202" t="s">
        <v>39949</v>
      </c>
      <c r="N84" s="202"/>
      <c r="O84" s="202"/>
      <c r="P84" s="203" t="s">
        <v>38358</v>
      </c>
      <c r="Q84" s="204" t="s">
        <v>40196</v>
      </c>
      <c r="R84" s="204" t="s">
        <v>40197</v>
      </c>
      <c r="S84" s="202" t="s">
        <v>39912</v>
      </c>
      <c r="T84" s="63">
        <v>0</v>
      </c>
      <c r="U84" s="63">
        <v>0</v>
      </c>
      <c r="V84" s="63">
        <v>0</v>
      </c>
      <c r="W84" s="63">
        <v>325000</v>
      </c>
      <c r="X84" s="63">
        <v>0</v>
      </c>
      <c r="Y84" s="63">
        <v>0</v>
      </c>
      <c r="Z84" s="63">
        <v>0</v>
      </c>
      <c r="AA84" s="63">
        <v>326000</v>
      </c>
      <c r="AB84" s="63">
        <v>0</v>
      </c>
      <c r="AC84" s="63">
        <v>0</v>
      </c>
      <c r="AD84" s="63">
        <v>300000</v>
      </c>
      <c r="AE84" s="63">
        <v>0</v>
      </c>
      <c r="AF84" s="63">
        <v>951000</v>
      </c>
      <c r="AG84" s="63">
        <v>0</v>
      </c>
      <c r="AH84" s="63">
        <v>0</v>
      </c>
      <c r="AI84" s="63">
        <v>0</v>
      </c>
      <c r="AJ84" s="63">
        <v>0</v>
      </c>
      <c r="AK84" s="63">
        <v>951000</v>
      </c>
      <c r="AL84" s="63">
        <v>0</v>
      </c>
      <c r="AM84" s="63">
        <v>0</v>
      </c>
      <c r="AN84" s="63">
        <v>0</v>
      </c>
      <c r="AO84" s="63">
        <v>0</v>
      </c>
      <c r="AP84" s="63">
        <v>0</v>
      </c>
      <c r="AQ84" s="63">
        <v>951000</v>
      </c>
      <c r="AR84" s="39">
        <v>32</v>
      </c>
      <c r="AS84" s="224" t="s">
        <v>39964</v>
      </c>
      <c r="AT84" s="225" t="s">
        <v>39970</v>
      </c>
      <c r="AU84" s="13" t="s">
        <v>40198</v>
      </c>
      <c r="AV84" s="39">
        <v>0</v>
      </c>
      <c r="AW84" s="13" t="s">
        <v>39931</v>
      </c>
      <c r="AX84" s="2"/>
      <c r="AY84" s="1"/>
      <c r="AZ84" s="160">
        <f>_xlfn.XLOOKUP(Tabela98[[#This Row], [Descrição do projeto]],[3]Geração!$G:$G,[3]Geração!$F:$F,,0,1)</f>
      </c>
    </row>
    <row x14ac:dyDescent="0.25" r="85" customHeight="1" ht="18.75" hidden="1">
      <c r="A85" s="187"/>
      <c r="B85" s="188">
        <f>AND(ISTEXT('Consolidado-Eletronorte'!#REF!),SUM('Consolidado-Eletronorte'!#REF!)&gt;0)</f>
      </c>
      <c r="C85" s="189">
        <f>$J$3</f>
      </c>
      <c r="D85" s="189">
        <f>$H$3</f>
      </c>
      <c r="E85" s="189">
        <f>$H$4</f>
      </c>
      <c r="F85" s="190"/>
      <c r="G85" s="189">
        <f>_xlfn.CONCAT('Consolidado-Eletronorte'!#REF!,"_",ROW('Consolidado-Eletronorte'!#REF!)-ROW('Consolidado-Eletronorte'!$G$18))</f>
      </c>
      <c r="H85" s="186" t="s">
        <v>10</v>
      </c>
      <c r="I85" s="191" t="s">
        <v>88</v>
      </c>
      <c r="J85" s="191" t="s">
        <v>5</v>
      </c>
      <c r="K85" s="192" t="s">
        <v>16</v>
      </c>
      <c r="L85" s="191" t="s">
        <v>74</v>
      </c>
      <c r="M85" s="191" t="s">
        <v>40199</v>
      </c>
      <c r="N85" s="191"/>
      <c r="O85" s="191"/>
      <c r="P85" s="192" t="s">
        <v>38358</v>
      </c>
      <c r="Q85" s="193" t="s">
        <v>40200</v>
      </c>
      <c r="R85" s="193" t="s">
        <v>40201</v>
      </c>
      <c r="S85" s="191" t="s">
        <v>38359</v>
      </c>
      <c r="T85" s="63">
        <v>0</v>
      </c>
      <c r="U85" s="63">
        <v>0</v>
      </c>
      <c r="V85" s="63">
        <v>0</v>
      </c>
      <c r="W85" s="63">
        <v>0</v>
      </c>
      <c r="X85" s="63">
        <v>53000</v>
      </c>
      <c r="Y85" s="63">
        <v>0</v>
      </c>
      <c r="Z85" s="63">
        <v>0</v>
      </c>
      <c r="AA85" s="63">
        <v>0</v>
      </c>
      <c r="AB85" s="63">
        <v>0</v>
      </c>
      <c r="AC85" s="63">
        <v>0</v>
      </c>
      <c r="AD85" s="63">
        <v>0</v>
      </c>
      <c r="AE85" s="63">
        <v>0</v>
      </c>
      <c r="AF85" s="63">
        <v>53000</v>
      </c>
      <c r="AG85" s="63">
        <v>0</v>
      </c>
      <c r="AH85" s="63">
        <v>0</v>
      </c>
      <c r="AI85" s="63">
        <v>0</v>
      </c>
      <c r="AJ85" s="63">
        <v>0</v>
      </c>
      <c r="AK85" s="63">
        <v>53000</v>
      </c>
      <c r="AL85" s="63">
        <v>0</v>
      </c>
      <c r="AM85" s="63">
        <v>0</v>
      </c>
      <c r="AN85" s="63">
        <v>0</v>
      </c>
      <c r="AO85" s="63">
        <v>0</v>
      </c>
      <c r="AP85" s="63">
        <v>0</v>
      </c>
      <c r="AQ85" s="63">
        <v>53000</v>
      </c>
      <c r="AR85" s="39">
        <v>121</v>
      </c>
      <c r="AS85" s="13" t="s">
        <v>40018</v>
      </c>
      <c r="AT85" s="39">
        <v>2025</v>
      </c>
      <c r="AU85" s="13" t="s">
        <v>40202</v>
      </c>
      <c r="AV85" s="128" t="s">
        <v>40203</v>
      </c>
      <c r="AW85" s="13" t="s">
        <v>39931</v>
      </c>
      <c r="AX85" s="2"/>
      <c r="AY85" s="1"/>
      <c r="AZ85" s="160">
        <f>_xlfn.XLOOKUP(Tabela98[[#This Row], [Descrição do projeto]],[3]Geração!$G:$G,[3]Geração!$F:$F,,0,1)</f>
      </c>
    </row>
    <row x14ac:dyDescent="0.25" r="86" customHeight="1" ht="18.75" hidden="1">
      <c r="A86" s="187"/>
      <c r="B86" s="188">
        <f>AND(ISTEXT('Consolidado-Eletronorte'!#REF!),SUM('Consolidado-Eletronorte'!#REF!)&gt;0)</f>
      </c>
      <c r="C86" s="189">
        <f>$J$3</f>
      </c>
      <c r="D86" s="189">
        <f>$H$3</f>
      </c>
      <c r="E86" s="189">
        <f>$H$4</f>
      </c>
      <c r="F86" s="190"/>
      <c r="G86" s="189">
        <f>_xlfn.CONCAT('Consolidado-Eletronorte'!#REF!,"_",ROW('Consolidado-Eletronorte'!#REF!)-ROW('Consolidado-Eletronorte'!$G$18))</f>
      </c>
      <c r="H86" s="186" t="s">
        <v>10</v>
      </c>
      <c r="I86" s="191" t="s">
        <v>88</v>
      </c>
      <c r="J86" s="191" t="s">
        <v>5</v>
      </c>
      <c r="K86" s="192" t="s">
        <v>16</v>
      </c>
      <c r="L86" s="191" t="s">
        <v>74</v>
      </c>
      <c r="M86" s="191" t="s">
        <v>40204</v>
      </c>
      <c r="N86" s="191"/>
      <c r="O86" s="191"/>
      <c r="P86" s="192" t="s">
        <v>38349</v>
      </c>
      <c r="Q86" s="193" t="s">
        <v>40205</v>
      </c>
      <c r="R86" s="193" t="s">
        <v>40206</v>
      </c>
      <c r="S86" s="191" t="s">
        <v>39998</v>
      </c>
      <c r="T86" s="63">
        <v>0</v>
      </c>
      <c r="U86" s="63">
        <v>0</v>
      </c>
      <c r="V86" s="63">
        <v>0</v>
      </c>
      <c r="W86" s="63">
        <v>0</v>
      </c>
      <c r="X86" s="63">
        <v>0</v>
      </c>
      <c r="Y86" s="63">
        <v>9000</v>
      </c>
      <c r="Z86" s="63">
        <v>0</v>
      </c>
      <c r="AA86" s="63">
        <v>0</v>
      </c>
      <c r="AB86" s="63">
        <v>0</v>
      </c>
      <c r="AC86" s="63">
        <v>0</v>
      </c>
      <c r="AD86" s="63">
        <v>0</v>
      </c>
      <c r="AE86" s="63">
        <v>0</v>
      </c>
      <c r="AF86" s="63">
        <v>9000</v>
      </c>
      <c r="AG86" s="63">
        <v>0</v>
      </c>
      <c r="AH86" s="63">
        <v>0</v>
      </c>
      <c r="AI86" s="63">
        <v>0</v>
      </c>
      <c r="AJ86" s="63">
        <v>0</v>
      </c>
      <c r="AK86" s="63">
        <v>9000</v>
      </c>
      <c r="AL86" s="63">
        <v>0</v>
      </c>
      <c r="AM86" s="63">
        <v>0</v>
      </c>
      <c r="AN86" s="63">
        <v>0</v>
      </c>
      <c r="AO86" s="63">
        <v>0</v>
      </c>
      <c r="AP86" s="63">
        <v>0</v>
      </c>
      <c r="AQ86" s="63">
        <v>9000</v>
      </c>
      <c r="AR86" s="39">
        <v>118</v>
      </c>
      <c r="AS86" s="13" t="s">
        <v>40018</v>
      </c>
      <c r="AT86" s="39">
        <v>2025</v>
      </c>
      <c r="AU86" s="13" t="s">
        <v>40207</v>
      </c>
      <c r="AV86" s="128" t="s">
        <v>40208</v>
      </c>
      <c r="AW86" s="13" t="s">
        <v>39931</v>
      </c>
      <c r="AX86" s="2"/>
      <c r="AY86" s="1"/>
      <c r="AZ86" s="160">
        <f>_xlfn.XLOOKUP(Tabela98[[#This Row], [Descrição do projeto]],[3]Geração!$G:$G,[3]Geração!$F:$F,,0,1)</f>
      </c>
    </row>
    <row x14ac:dyDescent="0.25" r="87" customHeight="1" ht="24.75">
      <c r="A87" s="198"/>
      <c r="B87" s="188">
        <f>AND(ISTEXT('Consolidado-Eletronorte'!#REF!),SUM('Consolidado-Eletronorte'!#REF!)&gt;0)</f>
      </c>
      <c r="C87" s="199">
        <f>$J$3</f>
      </c>
      <c r="D87" s="199">
        <f>$H$3</f>
      </c>
      <c r="E87" s="199">
        <f>$H$4</f>
      </c>
      <c r="F87" s="200"/>
      <c r="G87" s="199">
        <f>_xlfn.CONCAT('Consolidado-Eletronorte'!#REF!,"_",ROW('Consolidado-Eletronorte'!#REF!)-ROW('Consolidado-Eletronorte'!$G$18))</f>
      </c>
      <c r="H87" s="201" t="s">
        <v>10</v>
      </c>
      <c r="I87" s="202" t="s">
        <v>88</v>
      </c>
      <c r="J87" s="202" t="s">
        <v>5</v>
      </c>
      <c r="K87" s="203" t="s">
        <v>16</v>
      </c>
      <c r="L87" s="202" t="s">
        <v>67</v>
      </c>
      <c r="M87" s="202" t="s">
        <v>39932</v>
      </c>
      <c r="N87" s="202"/>
      <c r="O87" s="202"/>
      <c r="P87" s="203" t="s">
        <v>38358</v>
      </c>
      <c r="Q87" s="204" t="s">
        <v>40209</v>
      </c>
      <c r="R87" s="204" t="s">
        <v>40149</v>
      </c>
      <c r="S87" s="202" t="s">
        <v>39912</v>
      </c>
      <c r="T87" s="63">
        <v>0</v>
      </c>
      <c r="U87" s="63">
        <v>0</v>
      </c>
      <c r="V87" s="63">
        <v>0</v>
      </c>
      <c r="W87" s="63">
        <v>225140</v>
      </c>
      <c r="X87" s="63">
        <v>0</v>
      </c>
      <c r="Y87" s="63">
        <v>0</v>
      </c>
      <c r="Z87" s="63">
        <v>0</v>
      </c>
      <c r="AA87" s="63">
        <v>225140</v>
      </c>
      <c r="AB87" s="63">
        <v>0</v>
      </c>
      <c r="AC87" s="63">
        <v>0</v>
      </c>
      <c r="AD87" s="63">
        <v>0</v>
      </c>
      <c r="AE87" s="63">
        <v>0</v>
      </c>
      <c r="AF87" s="63">
        <v>450280</v>
      </c>
      <c r="AG87" s="63">
        <v>450280</v>
      </c>
      <c r="AH87" s="63">
        <v>0</v>
      </c>
      <c r="AI87" s="63">
        <v>0</v>
      </c>
      <c r="AJ87" s="63">
        <v>0</v>
      </c>
      <c r="AK87" s="63">
        <v>900560</v>
      </c>
      <c r="AL87" s="63">
        <v>0</v>
      </c>
      <c r="AM87" s="63">
        <v>0</v>
      </c>
      <c r="AN87" s="63">
        <v>0</v>
      </c>
      <c r="AO87" s="63">
        <v>0</v>
      </c>
      <c r="AP87" s="63">
        <v>0</v>
      </c>
      <c r="AQ87" s="63">
        <v>900560</v>
      </c>
      <c r="AR87" s="39">
        <v>24</v>
      </c>
      <c r="AS87" s="13" t="s">
        <v>39956</v>
      </c>
      <c r="AT87" s="39">
        <v>2025</v>
      </c>
      <c r="AU87" s="13" t="s">
        <v>40210</v>
      </c>
      <c r="AV87" s="128" t="s">
        <v>39975</v>
      </c>
      <c r="AW87" s="13" t="s">
        <v>39931</v>
      </c>
      <c r="AX87" s="2"/>
      <c r="AY87" s="1"/>
      <c r="AZ87" s="160">
        <f>_xlfn.XLOOKUP(Tabela98[[#This Row], [Descrição do projeto]],[3]Geração!$G:$G,[3]Geração!$F:$F,,0,1)</f>
      </c>
    </row>
    <row x14ac:dyDescent="0.25" r="88" customHeight="1" ht="24.75">
      <c r="A88" s="198"/>
      <c r="B88" s="188">
        <f>AND(ISTEXT('Consolidado-Eletronorte'!#REF!),SUM('Consolidado-Eletronorte'!#REF!)&gt;0)</f>
      </c>
      <c r="C88" s="199">
        <f>$J$3</f>
      </c>
      <c r="D88" s="199">
        <f>$H$3</f>
      </c>
      <c r="E88" s="199">
        <f>$H$4</f>
      </c>
      <c r="F88" s="200"/>
      <c r="G88" s="199">
        <f>_xlfn.CONCAT('Consolidado-Eletronorte'!#REF!,"_",ROW('Consolidado-Eletronorte'!#REF!)-ROW('Consolidado-Eletronorte'!$G$18))</f>
      </c>
      <c r="H88" s="201" t="s">
        <v>10</v>
      </c>
      <c r="I88" s="202" t="s">
        <v>88</v>
      </c>
      <c r="J88" s="202" t="s">
        <v>5</v>
      </c>
      <c r="K88" s="203" t="s">
        <v>16</v>
      </c>
      <c r="L88" s="202" t="s">
        <v>67</v>
      </c>
      <c r="M88" s="202" t="s">
        <v>39949</v>
      </c>
      <c r="N88" s="202"/>
      <c r="O88" s="202"/>
      <c r="P88" s="203" t="s">
        <v>38358</v>
      </c>
      <c r="Q88" s="204" t="s">
        <v>40211</v>
      </c>
      <c r="R88" s="204" t="s">
        <v>40211</v>
      </c>
      <c r="S88" s="202" t="s">
        <v>39912</v>
      </c>
      <c r="T88" s="63">
        <v>0</v>
      </c>
      <c r="U88" s="63">
        <v>0</v>
      </c>
      <c r="V88" s="63">
        <v>0</v>
      </c>
      <c r="W88" s="63">
        <v>300000</v>
      </c>
      <c r="X88" s="63">
        <v>0</v>
      </c>
      <c r="Y88" s="63">
        <v>0</v>
      </c>
      <c r="Z88" s="63">
        <v>0</v>
      </c>
      <c r="AA88" s="63">
        <v>300000</v>
      </c>
      <c r="AB88" s="63">
        <v>0</v>
      </c>
      <c r="AC88" s="63">
        <v>0</v>
      </c>
      <c r="AD88" s="63">
        <v>300000</v>
      </c>
      <c r="AE88" s="63">
        <v>0</v>
      </c>
      <c r="AF88" s="63">
        <v>900000</v>
      </c>
      <c r="AG88" s="63">
        <v>0</v>
      </c>
      <c r="AH88" s="63">
        <v>0</v>
      </c>
      <c r="AI88" s="63">
        <v>0</v>
      </c>
      <c r="AJ88" s="63">
        <v>0</v>
      </c>
      <c r="AK88" s="63">
        <v>900000</v>
      </c>
      <c r="AL88" s="63">
        <v>0</v>
      </c>
      <c r="AM88" s="63">
        <v>0</v>
      </c>
      <c r="AN88" s="63">
        <v>0</v>
      </c>
      <c r="AO88" s="63">
        <v>0</v>
      </c>
      <c r="AP88" s="63">
        <v>0</v>
      </c>
      <c r="AQ88" s="63">
        <v>900000</v>
      </c>
      <c r="AR88" s="39">
        <v>30</v>
      </c>
      <c r="AS88" s="224" t="s">
        <v>39964</v>
      </c>
      <c r="AT88" s="225" t="s">
        <v>39970</v>
      </c>
      <c r="AU88" s="13" t="s">
        <v>40212</v>
      </c>
      <c r="AV88" s="39">
        <v>0</v>
      </c>
      <c r="AW88" s="13" t="s">
        <v>39931</v>
      </c>
      <c r="AX88" s="2"/>
      <c r="AY88" s="1"/>
      <c r="AZ88" s="160">
        <f>_xlfn.XLOOKUP(Tabela98[[#This Row], [Descrição do projeto]],[3]Geração!$G:$G,[3]Geração!$F:$F,,0,1)</f>
      </c>
    </row>
    <row x14ac:dyDescent="0.25" r="89" customHeight="1" ht="24.75">
      <c r="A89" s="187"/>
      <c r="B89" s="188">
        <f>AND(ISTEXT('Consolidado-Eletronorte'!#REF!),SUM('Consolidado-Eletronorte'!#REF!)&gt;0)</f>
      </c>
      <c r="C89" s="189">
        <f>$J$3</f>
      </c>
      <c r="D89" s="189">
        <f>$H$3</f>
      </c>
      <c r="E89" s="189">
        <f>$H$4</f>
      </c>
      <c r="F89" s="190"/>
      <c r="G89" s="189">
        <f>_xlfn.CONCAT('Consolidado-Eletronorte'!#REF!,"_",ROW('Consolidado-Eletronorte'!#REF!)-ROW('Consolidado-Eletronorte'!$G$18))</f>
      </c>
      <c r="H89" s="186" t="s">
        <v>10</v>
      </c>
      <c r="I89" s="191" t="s">
        <v>88</v>
      </c>
      <c r="J89" s="191" t="s">
        <v>5</v>
      </c>
      <c r="K89" s="192" t="s">
        <v>16</v>
      </c>
      <c r="L89" s="191" t="s">
        <v>67</v>
      </c>
      <c r="M89" s="191" t="s">
        <v>39949</v>
      </c>
      <c r="N89" s="191"/>
      <c r="O89" s="191"/>
      <c r="P89" s="192" t="s">
        <v>38349</v>
      </c>
      <c r="Q89" s="193" t="s">
        <v>40213</v>
      </c>
      <c r="R89" s="193" t="s">
        <v>40214</v>
      </c>
      <c r="S89" s="191" t="s">
        <v>39998</v>
      </c>
      <c r="T89" s="63">
        <v>0</v>
      </c>
      <c r="U89" s="63">
        <v>0</v>
      </c>
      <c r="V89" s="63">
        <v>0</v>
      </c>
      <c r="W89" s="63">
        <v>0</v>
      </c>
      <c r="X89" s="63">
        <v>0</v>
      </c>
      <c r="Y89" s="63">
        <v>0</v>
      </c>
      <c r="Z89" s="63">
        <v>0</v>
      </c>
      <c r="AA89" s="63">
        <v>0</v>
      </c>
      <c r="AB89" s="63">
        <v>0</v>
      </c>
      <c r="AC89" s="63">
        <v>0</v>
      </c>
      <c r="AD89" s="63">
        <v>0</v>
      </c>
      <c r="AE89" s="63">
        <v>300000</v>
      </c>
      <c r="AF89" s="63">
        <v>300000</v>
      </c>
      <c r="AG89" s="63">
        <v>300000</v>
      </c>
      <c r="AH89" s="63">
        <v>300000</v>
      </c>
      <c r="AI89" s="63">
        <v>0</v>
      </c>
      <c r="AJ89" s="63">
        <v>0</v>
      </c>
      <c r="AK89" s="63">
        <v>900000</v>
      </c>
      <c r="AL89" s="63">
        <v>0</v>
      </c>
      <c r="AM89" s="63">
        <v>0</v>
      </c>
      <c r="AN89" s="63">
        <v>0</v>
      </c>
      <c r="AO89" s="63">
        <v>0</v>
      </c>
      <c r="AP89" s="63">
        <v>0</v>
      </c>
      <c r="AQ89" s="63">
        <v>900000</v>
      </c>
      <c r="AR89" s="39">
        <v>43</v>
      </c>
      <c r="AS89" s="13" t="s">
        <v>40053</v>
      </c>
      <c r="AT89" s="128" t="s">
        <v>39970</v>
      </c>
      <c r="AU89" s="13" t="s">
        <v>40215</v>
      </c>
      <c r="AV89" s="39">
        <v>0</v>
      </c>
      <c r="AW89" s="13" t="s">
        <v>39931</v>
      </c>
      <c r="AX89" s="2"/>
      <c r="AY89" s="1"/>
      <c r="AZ89" s="160">
        <f>_xlfn.XLOOKUP(Tabela98[[#This Row], [Descrição do projeto]],[3]Geração!$G:$G,[3]Geração!$F:$F,,0,1)</f>
      </c>
    </row>
    <row x14ac:dyDescent="0.25" r="90" customHeight="1" ht="24.75">
      <c r="A90" s="187"/>
      <c r="B90" s="188">
        <f>AND(ISTEXT('Consolidado-Eletronorte'!#REF!),SUM('Consolidado-Eletronorte'!#REF!)&gt;0)</f>
      </c>
      <c r="C90" s="189">
        <f>$J$3</f>
      </c>
      <c r="D90" s="189">
        <f>$H$3</f>
      </c>
      <c r="E90" s="189">
        <f>$H$4</f>
      </c>
      <c r="F90" s="190"/>
      <c r="G90" s="189">
        <f>_xlfn.CONCAT('Consolidado-Eletronorte'!#REF!,"_",ROW('Consolidado-Eletronorte'!#REF!)-ROW('Consolidado-Eletronorte'!$G$18))</f>
      </c>
      <c r="H90" s="186" t="s">
        <v>10</v>
      </c>
      <c r="I90" s="191" t="s">
        <v>88</v>
      </c>
      <c r="J90" s="191" t="s">
        <v>5</v>
      </c>
      <c r="K90" s="192" t="s">
        <v>16</v>
      </c>
      <c r="L90" s="191" t="s">
        <v>67</v>
      </c>
      <c r="M90" s="191" t="s">
        <v>39949</v>
      </c>
      <c r="N90" s="191"/>
      <c r="O90" s="191"/>
      <c r="P90" s="192" t="s">
        <v>38349</v>
      </c>
      <c r="Q90" s="193" t="s">
        <v>40216</v>
      </c>
      <c r="R90" s="193" t="s">
        <v>40216</v>
      </c>
      <c r="S90" s="191" t="s">
        <v>39998</v>
      </c>
      <c r="T90" s="63">
        <v>0</v>
      </c>
      <c r="U90" s="63">
        <v>0</v>
      </c>
      <c r="V90" s="63">
        <v>0</v>
      </c>
      <c r="W90" s="63">
        <v>0</v>
      </c>
      <c r="X90" s="63">
        <v>0</v>
      </c>
      <c r="Y90" s="63">
        <v>0</v>
      </c>
      <c r="Z90" s="63">
        <v>0</v>
      </c>
      <c r="AA90" s="63">
        <v>0</v>
      </c>
      <c r="AB90" s="63">
        <v>0</v>
      </c>
      <c r="AC90" s="63">
        <v>0</v>
      </c>
      <c r="AD90" s="63">
        <v>0</v>
      </c>
      <c r="AE90" s="63">
        <v>0</v>
      </c>
      <c r="AF90" s="63">
        <v>0</v>
      </c>
      <c r="AG90" s="63">
        <v>900000</v>
      </c>
      <c r="AH90" s="63">
        <v>0</v>
      </c>
      <c r="AI90" s="63">
        <v>0</v>
      </c>
      <c r="AJ90" s="63">
        <v>0</v>
      </c>
      <c r="AK90" s="63">
        <v>900000</v>
      </c>
      <c r="AL90" s="63">
        <v>0</v>
      </c>
      <c r="AM90" s="63">
        <v>0</v>
      </c>
      <c r="AN90" s="63">
        <v>0</v>
      </c>
      <c r="AO90" s="63">
        <v>0</v>
      </c>
      <c r="AP90" s="63">
        <v>0</v>
      </c>
      <c r="AQ90" s="63">
        <v>900000</v>
      </c>
      <c r="AR90" s="39">
        <v>52</v>
      </c>
      <c r="AS90" s="13" t="s">
        <v>40053</v>
      </c>
      <c r="AT90" s="39">
        <v>2025</v>
      </c>
      <c r="AU90" s="13" t="s">
        <v>40217</v>
      </c>
      <c r="AV90" s="39">
        <v>0</v>
      </c>
      <c r="AW90" s="13" t="s">
        <v>39931</v>
      </c>
      <c r="AX90" s="2"/>
      <c r="AY90" s="1"/>
      <c r="AZ90" s="160">
        <f>_xlfn.XLOOKUP(Tabela98[[#This Row], [Descrição do projeto]],[3]Geração!$G:$G,[3]Geração!$F:$F,,0,1)</f>
      </c>
    </row>
    <row x14ac:dyDescent="0.25" r="91" customHeight="1" ht="24.75">
      <c r="A91" s="187"/>
      <c r="B91" s="188">
        <f>AND(ISTEXT('Consolidado-Eletronorte'!#REF!),SUM('Consolidado-Eletronorte'!#REF!)&gt;0)</f>
      </c>
      <c r="C91" s="189">
        <f>$J$3</f>
      </c>
      <c r="D91" s="189">
        <f>$H$3</f>
      </c>
      <c r="E91" s="189">
        <f>$H$4</f>
      </c>
      <c r="F91" s="190"/>
      <c r="G91" s="189">
        <f>_xlfn.CONCAT('Consolidado-Eletronorte'!#REF!,"_",ROW('Consolidado-Eletronorte'!#REF!)-ROW('Consolidado-Eletronorte'!$G$18))</f>
      </c>
      <c r="H91" s="186" t="s">
        <v>10</v>
      </c>
      <c r="I91" s="191" t="s">
        <v>88</v>
      </c>
      <c r="J91" s="191" t="s">
        <v>5</v>
      </c>
      <c r="K91" s="192" t="s">
        <v>16</v>
      </c>
      <c r="L91" s="191" t="s">
        <v>67</v>
      </c>
      <c r="M91" s="191" t="s">
        <v>39949</v>
      </c>
      <c r="N91" s="191"/>
      <c r="O91" s="191"/>
      <c r="P91" s="192" t="s">
        <v>38368</v>
      </c>
      <c r="Q91" s="193" t="s">
        <v>40218</v>
      </c>
      <c r="R91" s="193" t="s">
        <v>40219</v>
      </c>
      <c r="S91" s="191" t="s">
        <v>38369</v>
      </c>
      <c r="T91" s="63">
        <v>0</v>
      </c>
      <c r="U91" s="63">
        <v>0</v>
      </c>
      <c r="V91" s="63">
        <v>0</v>
      </c>
      <c r="W91" s="63">
        <v>0</v>
      </c>
      <c r="X91" s="63">
        <v>0</v>
      </c>
      <c r="Y91" s="63">
        <v>0</v>
      </c>
      <c r="Z91" s="63">
        <v>0</v>
      </c>
      <c r="AA91" s="63">
        <v>0</v>
      </c>
      <c r="AB91" s="63">
        <v>0</v>
      </c>
      <c r="AC91" s="63">
        <v>0</v>
      </c>
      <c r="AD91" s="63">
        <v>0</v>
      </c>
      <c r="AE91" s="63">
        <v>0</v>
      </c>
      <c r="AF91" s="63">
        <v>0</v>
      </c>
      <c r="AG91" s="63">
        <v>800000</v>
      </c>
      <c r="AH91" s="63">
        <v>0</v>
      </c>
      <c r="AI91" s="63">
        <v>0</v>
      </c>
      <c r="AJ91" s="63">
        <v>0</v>
      </c>
      <c r="AK91" s="63">
        <v>800000</v>
      </c>
      <c r="AL91" s="63">
        <v>0</v>
      </c>
      <c r="AM91" s="63">
        <v>0</v>
      </c>
      <c r="AN91" s="63">
        <v>0</v>
      </c>
      <c r="AO91" s="63">
        <v>0</v>
      </c>
      <c r="AP91" s="63">
        <v>0</v>
      </c>
      <c r="AQ91" s="63">
        <v>800000</v>
      </c>
      <c r="AR91" s="39">
        <v>37</v>
      </c>
      <c r="AS91" s="13" t="s">
        <v>39952</v>
      </c>
      <c r="AT91" s="39">
        <v>2025</v>
      </c>
      <c r="AU91" s="13" t="s">
        <v>40220</v>
      </c>
      <c r="AV91" s="128" t="s">
        <v>40221</v>
      </c>
      <c r="AW91" s="13" t="s">
        <v>39931</v>
      </c>
      <c r="AX91" s="2"/>
      <c r="AY91" s="1"/>
      <c r="AZ91" s="160">
        <f>_xlfn.XLOOKUP(Tabela98[[#This Row], [Descrição do projeto]],[3]Geração!$G:$G,[3]Geração!$F:$F,,0,1)</f>
      </c>
    </row>
    <row x14ac:dyDescent="0.25" r="92" customHeight="1" ht="24.75">
      <c r="A92" s="187"/>
      <c r="B92" s="188">
        <f>AND(ISTEXT('Consolidado-Eletronorte'!#REF!),SUM('Consolidado-Eletronorte'!#REF!)&gt;0)</f>
      </c>
      <c r="C92" s="189">
        <f>$J$3</f>
      </c>
      <c r="D92" s="189">
        <f>$H$3</f>
      </c>
      <c r="E92" s="189">
        <f>$H$4</f>
      </c>
      <c r="F92" s="190"/>
      <c r="G92" s="189">
        <f>_xlfn.CONCAT('Consolidado-Eletronorte'!#REF!,"_",ROW('Consolidado-Eletronorte'!#REF!)-ROW('Consolidado-Eletronorte'!$G$18))</f>
      </c>
      <c r="H92" s="186" t="s">
        <v>10</v>
      </c>
      <c r="I92" s="191" t="s">
        <v>88</v>
      </c>
      <c r="J92" s="191" t="s">
        <v>5</v>
      </c>
      <c r="K92" s="192" t="s">
        <v>16</v>
      </c>
      <c r="L92" s="191" t="s">
        <v>67</v>
      </c>
      <c r="M92" s="191" t="s">
        <v>39949</v>
      </c>
      <c r="N92" s="191"/>
      <c r="O92" s="191"/>
      <c r="P92" s="192" t="s">
        <v>38358</v>
      </c>
      <c r="Q92" s="193" t="s">
        <v>40222</v>
      </c>
      <c r="R92" s="193" t="s">
        <v>40223</v>
      </c>
      <c r="S92" s="191" t="s">
        <v>39912</v>
      </c>
      <c r="T92" s="63">
        <v>0</v>
      </c>
      <c r="U92" s="63">
        <v>0</v>
      </c>
      <c r="V92" s="63">
        <v>100000</v>
      </c>
      <c r="W92" s="63">
        <v>0</v>
      </c>
      <c r="X92" s="63">
        <v>0</v>
      </c>
      <c r="Y92" s="63">
        <v>300000</v>
      </c>
      <c r="Z92" s="63">
        <v>0</v>
      </c>
      <c r="AA92" s="63">
        <v>100000</v>
      </c>
      <c r="AB92" s="63">
        <v>100000</v>
      </c>
      <c r="AC92" s="63">
        <v>100000</v>
      </c>
      <c r="AD92" s="63">
        <v>20000</v>
      </c>
      <c r="AE92" s="63">
        <v>0</v>
      </c>
      <c r="AF92" s="63">
        <v>720000</v>
      </c>
      <c r="AG92" s="63">
        <v>0</v>
      </c>
      <c r="AH92" s="63">
        <v>0</v>
      </c>
      <c r="AI92" s="63">
        <v>0</v>
      </c>
      <c r="AJ92" s="63">
        <v>0</v>
      </c>
      <c r="AK92" s="63">
        <v>720000</v>
      </c>
      <c r="AL92" s="63">
        <v>0</v>
      </c>
      <c r="AM92" s="63">
        <v>0</v>
      </c>
      <c r="AN92" s="63">
        <v>0</v>
      </c>
      <c r="AO92" s="63">
        <v>0</v>
      </c>
      <c r="AP92" s="63">
        <v>0</v>
      </c>
      <c r="AQ92" s="63">
        <v>720000</v>
      </c>
      <c r="AR92" s="39">
        <v>29</v>
      </c>
      <c r="AS92" s="224" t="s">
        <v>39964</v>
      </c>
      <c r="AT92" s="225" t="s">
        <v>39970</v>
      </c>
      <c r="AU92" s="13" t="s">
        <v>40224</v>
      </c>
      <c r="AV92" s="39">
        <v>0</v>
      </c>
      <c r="AW92" s="13" t="s">
        <v>39931</v>
      </c>
      <c r="AX92" s="2"/>
      <c r="AY92" s="1"/>
      <c r="AZ92" s="160">
        <f>_xlfn.XLOOKUP(Tabela98[[#This Row], [Descrição do projeto]],[3]Geração!$G:$G,[3]Geração!$F:$F,,0,1)</f>
      </c>
    </row>
    <row x14ac:dyDescent="0.25" r="93" customHeight="1" ht="24.75">
      <c r="A93" s="198"/>
      <c r="B93" s="188">
        <f>AND(ISTEXT('Consolidado-Eletronorte'!#REF!),SUM('Consolidado-Eletronorte'!#REF!)&gt;0)</f>
      </c>
      <c r="C93" s="199">
        <f>$J$3</f>
      </c>
      <c r="D93" s="199">
        <f>$H$3</f>
      </c>
      <c r="E93" s="199">
        <f>$H$4</f>
      </c>
      <c r="F93" s="200"/>
      <c r="G93" s="199">
        <f>_xlfn.CONCAT('Consolidado-Eletronorte'!#REF!,"_",ROW('Consolidado-Eletronorte'!#REF!)-ROW('Consolidado-Eletronorte'!$G$18))</f>
      </c>
      <c r="H93" s="201" t="s">
        <v>10</v>
      </c>
      <c r="I93" s="202" t="s">
        <v>88</v>
      </c>
      <c r="J93" s="202" t="s">
        <v>5</v>
      </c>
      <c r="K93" s="203" t="s">
        <v>16</v>
      </c>
      <c r="L93" s="202" t="s">
        <v>67</v>
      </c>
      <c r="M93" s="202" t="s">
        <v>39932</v>
      </c>
      <c r="N93" s="202"/>
      <c r="O93" s="202"/>
      <c r="P93" s="203" t="s">
        <v>38358</v>
      </c>
      <c r="Q93" s="204" t="s">
        <v>40225</v>
      </c>
      <c r="R93" s="204" t="s">
        <v>40226</v>
      </c>
      <c r="S93" s="202" t="s">
        <v>39912</v>
      </c>
      <c r="T93" s="63">
        <v>0</v>
      </c>
      <c r="U93" s="63">
        <v>0</v>
      </c>
      <c r="V93" s="63">
        <v>0</v>
      </c>
      <c r="W93" s="63">
        <v>0</v>
      </c>
      <c r="X93" s="63">
        <v>0</v>
      </c>
      <c r="Y93" s="63">
        <v>0</v>
      </c>
      <c r="Z93" s="63">
        <v>0</v>
      </c>
      <c r="AA93" s="63">
        <v>0</v>
      </c>
      <c r="AB93" s="63">
        <v>0</v>
      </c>
      <c r="AC93" s="63">
        <v>350000</v>
      </c>
      <c r="AD93" s="63">
        <v>0</v>
      </c>
      <c r="AE93" s="63">
        <v>0</v>
      </c>
      <c r="AF93" s="63">
        <v>350000</v>
      </c>
      <c r="AG93" s="63">
        <v>350000</v>
      </c>
      <c r="AH93" s="63">
        <v>0</v>
      </c>
      <c r="AI93" s="63">
        <v>0</v>
      </c>
      <c r="AJ93" s="63">
        <v>0</v>
      </c>
      <c r="AK93" s="63">
        <v>700000</v>
      </c>
      <c r="AL93" s="63">
        <v>0</v>
      </c>
      <c r="AM93" s="63">
        <v>0</v>
      </c>
      <c r="AN93" s="63">
        <v>0</v>
      </c>
      <c r="AO93" s="63">
        <v>0</v>
      </c>
      <c r="AP93" s="63">
        <v>0</v>
      </c>
      <c r="AQ93" s="63">
        <v>700000</v>
      </c>
      <c r="AR93" s="39">
        <v>28</v>
      </c>
      <c r="AS93" s="13" t="s">
        <v>39956</v>
      </c>
      <c r="AT93" s="39">
        <v>2025</v>
      </c>
      <c r="AU93" s="13" t="s">
        <v>40227</v>
      </c>
      <c r="AV93" s="128" t="s">
        <v>39975</v>
      </c>
      <c r="AW93" s="13" t="s">
        <v>39931</v>
      </c>
      <c r="AX93" s="2"/>
      <c r="AY93" s="1"/>
      <c r="AZ93" s="160">
        <f>_xlfn.XLOOKUP(Tabela98[[#This Row], [Descrição do projeto]],[3]Geração!$G:$G,[3]Geração!$F:$F,,0,1)</f>
      </c>
    </row>
    <row x14ac:dyDescent="0.25" r="94" customHeight="1" ht="24.75">
      <c r="A94" s="187"/>
      <c r="B94" s="188">
        <f>AND(ISTEXT('Consolidado-Eletronorte'!#REF!),SUM('Consolidado-Eletronorte'!#REF!)&gt;0)</f>
      </c>
      <c r="C94" s="189">
        <f>$J$3</f>
      </c>
      <c r="D94" s="189">
        <f>$H$3</f>
      </c>
      <c r="E94" s="189">
        <f>$H$4</f>
      </c>
      <c r="F94" s="190"/>
      <c r="G94" s="189">
        <f>_xlfn.CONCAT('Consolidado-Eletronorte'!#REF!,"_",ROW('Consolidado-Eletronorte'!#REF!)-ROW('Consolidado-Eletronorte'!$G$18))</f>
      </c>
      <c r="H94" s="186" t="s">
        <v>10</v>
      </c>
      <c r="I94" s="191" t="s">
        <v>88</v>
      </c>
      <c r="J94" s="191" t="s">
        <v>5</v>
      </c>
      <c r="K94" s="192" t="s">
        <v>16</v>
      </c>
      <c r="L94" s="191" t="s">
        <v>67</v>
      </c>
      <c r="M94" s="191" t="s">
        <v>39932</v>
      </c>
      <c r="N94" s="191"/>
      <c r="O94" s="191"/>
      <c r="P94" s="192" t="s">
        <v>38368</v>
      </c>
      <c r="Q94" s="193" t="s">
        <v>40228</v>
      </c>
      <c r="R94" s="193" t="s">
        <v>40229</v>
      </c>
      <c r="S94" s="191" t="s">
        <v>40006</v>
      </c>
      <c r="T94" s="63">
        <v>0</v>
      </c>
      <c r="U94" s="63">
        <v>0</v>
      </c>
      <c r="V94" s="63">
        <v>0</v>
      </c>
      <c r="W94" s="63">
        <v>0</v>
      </c>
      <c r="X94" s="63">
        <v>150000</v>
      </c>
      <c r="Y94" s="63">
        <v>0</v>
      </c>
      <c r="Z94" s="63">
        <v>200000</v>
      </c>
      <c r="AA94" s="63">
        <v>0</v>
      </c>
      <c r="AB94" s="63">
        <v>150000</v>
      </c>
      <c r="AC94" s="63">
        <v>0</v>
      </c>
      <c r="AD94" s="63">
        <v>100000</v>
      </c>
      <c r="AE94" s="63">
        <v>0</v>
      </c>
      <c r="AF94" s="63">
        <v>600000</v>
      </c>
      <c r="AG94" s="63">
        <v>0</v>
      </c>
      <c r="AH94" s="63">
        <v>0</v>
      </c>
      <c r="AI94" s="63">
        <v>0</v>
      </c>
      <c r="AJ94" s="63">
        <v>0</v>
      </c>
      <c r="AK94" s="63">
        <v>600000</v>
      </c>
      <c r="AL94" s="63">
        <v>0</v>
      </c>
      <c r="AM94" s="63">
        <v>0</v>
      </c>
      <c r="AN94" s="63">
        <v>0</v>
      </c>
      <c r="AO94" s="63">
        <v>0</v>
      </c>
      <c r="AP94" s="63">
        <v>0</v>
      </c>
      <c r="AQ94" s="63">
        <v>600000</v>
      </c>
      <c r="AR94" s="39">
        <v>31</v>
      </c>
      <c r="AS94" s="224" t="s">
        <v>40043</v>
      </c>
      <c r="AT94" s="225" t="s">
        <v>39970</v>
      </c>
      <c r="AU94" s="224" t="s">
        <v>40230</v>
      </c>
      <c r="AV94" s="39">
        <v>0</v>
      </c>
      <c r="AW94" s="13" t="s">
        <v>39931</v>
      </c>
      <c r="AX94" s="2"/>
      <c r="AY94" s="1"/>
      <c r="AZ94" s="160">
        <f>_xlfn.XLOOKUP(Tabela98[[#This Row], [Descrição do projeto]],[3]Geração!$G:$G,[3]Geração!$F:$F,,0,1)</f>
      </c>
    </row>
    <row x14ac:dyDescent="0.25" r="95" customHeight="1" ht="24.75">
      <c r="A95" s="187"/>
      <c r="B95" s="188">
        <f>AND(ISTEXT('Consolidado-Eletronorte'!#REF!),SUM('Consolidado-Eletronorte'!#REF!)&gt;0)</f>
      </c>
      <c r="C95" s="189">
        <f>$J$3</f>
      </c>
      <c r="D95" s="189">
        <f>$H$3</f>
      </c>
      <c r="E95" s="189">
        <f>$H$4</f>
      </c>
      <c r="F95" s="190"/>
      <c r="G95" s="189">
        <f>_xlfn.CONCAT('Consolidado-Eletronorte'!#REF!,"_",ROW('Consolidado-Eletronorte'!#REF!)-ROW('Consolidado-Eletronorte'!$G$18))</f>
      </c>
      <c r="H95" s="186" t="s">
        <v>10</v>
      </c>
      <c r="I95" s="191" t="s">
        <v>88</v>
      </c>
      <c r="J95" s="191" t="s">
        <v>5</v>
      </c>
      <c r="K95" s="192" t="s">
        <v>16</v>
      </c>
      <c r="L95" s="191" t="s">
        <v>67</v>
      </c>
      <c r="M95" s="191" t="s">
        <v>39949</v>
      </c>
      <c r="N95" s="191"/>
      <c r="O95" s="191"/>
      <c r="P95" s="192" t="s">
        <v>38366</v>
      </c>
      <c r="Q95" s="193" t="s">
        <v>40231</v>
      </c>
      <c r="R95" s="193" t="s">
        <v>40232</v>
      </c>
      <c r="S95" s="191" t="s">
        <v>39969</v>
      </c>
      <c r="T95" s="63">
        <v>0</v>
      </c>
      <c r="U95" s="63">
        <v>0</v>
      </c>
      <c r="V95" s="63">
        <v>0</v>
      </c>
      <c r="W95" s="63">
        <v>0</v>
      </c>
      <c r="X95" s="63">
        <v>0</v>
      </c>
      <c r="Y95" s="63">
        <v>0</v>
      </c>
      <c r="Z95" s="63">
        <v>0</v>
      </c>
      <c r="AA95" s="63">
        <v>0</v>
      </c>
      <c r="AB95" s="63">
        <v>0</v>
      </c>
      <c r="AC95" s="63">
        <v>300000</v>
      </c>
      <c r="AD95" s="63">
        <v>0</v>
      </c>
      <c r="AE95" s="63">
        <v>0</v>
      </c>
      <c r="AF95" s="63">
        <v>300000</v>
      </c>
      <c r="AG95" s="63">
        <v>300000</v>
      </c>
      <c r="AH95" s="63">
        <v>0</v>
      </c>
      <c r="AI95" s="63">
        <v>0</v>
      </c>
      <c r="AJ95" s="63">
        <v>0</v>
      </c>
      <c r="AK95" s="63">
        <v>600000</v>
      </c>
      <c r="AL95" s="63">
        <v>0</v>
      </c>
      <c r="AM95" s="63">
        <v>0</v>
      </c>
      <c r="AN95" s="63">
        <v>0</v>
      </c>
      <c r="AO95" s="63">
        <v>0</v>
      </c>
      <c r="AP95" s="63">
        <v>0</v>
      </c>
      <c r="AQ95" s="63">
        <v>600000</v>
      </c>
      <c r="AR95" s="39">
        <v>88</v>
      </c>
      <c r="AS95" s="13" t="s">
        <v>40013</v>
      </c>
      <c r="AT95" s="128" t="s">
        <v>39970</v>
      </c>
      <c r="AU95" s="13" t="s">
        <v>40233</v>
      </c>
      <c r="AV95" s="39">
        <v>0</v>
      </c>
      <c r="AW95" s="13" t="s">
        <v>39931</v>
      </c>
      <c r="AX95" s="2"/>
      <c r="AY95" s="1"/>
      <c r="AZ95" s="160">
        <f>_xlfn.XLOOKUP(Tabela98[[#This Row], [Descrição do projeto]],[3]Geração!$G:$G,[3]Geração!$F:$F,,0,1)</f>
      </c>
    </row>
    <row x14ac:dyDescent="0.25" r="96" customHeight="1" ht="24.75">
      <c r="A96" s="198"/>
      <c r="B96" s="188">
        <f>AND(ISTEXT('Consolidado-Eletronorte'!#REF!),SUM('Consolidado-Eletronorte'!#REF!)&gt;0)</f>
      </c>
      <c r="C96" s="199">
        <f>$J$3</f>
      </c>
      <c r="D96" s="199">
        <f>$H$3</f>
      </c>
      <c r="E96" s="199">
        <f>$H$4</f>
      </c>
      <c r="F96" s="200"/>
      <c r="G96" s="199">
        <f>_xlfn.CONCAT('Consolidado-Eletronorte'!#REF!,"_",ROW('Consolidado-Eletronorte'!#REF!)-ROW('Consolidado-Eletronorte'!$G$18))</f>
      </c>
      <c r="H96" s="201" t="s">
        <v>10</v>
      </c>
      <c r="I96" s="202" t="s">
        <v>88</v>
      </c>
      <c r="J96" s="202" t="s">
        <v>5</v>
      </c>
      <c r="K96" s="203" t="s">
        <v>16</v>
      </c>
      <c r="L96" s="202" t="s">
        <v>67</v>
      </c>
      <c r="M96" s="202" t="s">
        <v>39949</v>
      </c>
      <c r="N96" s="202"/>
      <c r="O96" s="202"/>
      <c r="P96" s="203" t="s">
        <v>38358</v>
      </c>
      <c r="Q96" s="204" t="s">
        <v>40234</v>
      </c>
      <c r="R96" s="204" t="s">
        <v>18828</v>
      </c>
      <c r="S96" s="202" t="s">
        <v>39912</v>
      </c>
      <c r="T96" s="63">
        <v>0</v>
      </c>
      <c r="U96" s="63">
        <v>0</v>
      </c>
      <c r="V96" s="63">
        <v>0</v>
      </c>
      <c r="W96" s="63">
        <v>0</v>
      </c>
      <c r="X96" s="63">
        <v>0</v>
      </c>
      <c r="Y96" s="63">
        <v>0</v>
      </c>
      <c r="Z96" s="63">
        <v>0</v>
      </c>
      <c r="AA96" s="63">
        <v>0</v>
      </c>
      <c r="AB96" s="63">
        <v>0</v>
      </c>
      <c r="AC96" s="63">
        <v>0</v>
      </c>
      <c r="AD96" s="63">
        <v>300000</v>
      </c>
      <c r="AE96" s="63">
        <v>0</v>
      </c>
      <c r="AF96" s="63">
        <v>300000</v>
      </c>
      <c r="AG96" s="63">
        <v>300000</v>
      </c>
      <c r="AH96" s="63">
        <v>0</v>
      </c>
      <c r="AI96" s="63">
        <v>0</v>
      </c>
      <c r="AJ96" s="63">
        <v>0</v>
      </c>
      <c r="AK96" s="63">
        <v>600000</v>
      </c>
      <c r="AL96" s="63">
        <v>0</v>
      </c>
      <c r="AM96" s="63">
        <v>0</v>
      </c>
      <c r="AN96" s="63">
        <v>0</v>
      </c>
      <c r="AO96" s="63">
        <v>0</v>
      </c>
      <c r="AP96" s="63">
        <v>0</v>
      </c>
      <c r="AQ96" s="63">
        <v>600000</v>
      </c>
      <c r="AR96" s="39">
        <v>12</v>
      </c>
      <c r="AS96" s="13" t="s">
        <v>39964</v>
      </c>
      <c r="AT96" s="39">
        <v>2025</v>
      </c>
      <c r="AU96" s="13" t="s">
        <v>40235</v>
      </c>
      <c r="AV96" s="128" t="s">
        <v>40098</v>
      </c>
      <c r="AW96" s="13" t="s">
        <v>39931</v>
      </c>
      <c r="AX96" s="2"/>
      <c r="AY96" s="1"/>
      <c r="AZ96" s="160">
        <f>_xlfn.XLOOKUP(Tabela98[[#This Row], [Descrição do projeto]],[3]Geração!$G:$G,[3]Geração!$F:$F,,0,1)</f>
      </c>
    </row>
    <row x14ac:dyDescent="0.25" r="97" customHeight="1" ht="24.75">
      <c r="A97" s="187"/>
      <c r="B97" s="188">
        <f>AND(ISTEXT('Consolidado-Eletronorte'!#REF!),SUM('Consolidado-Eletronorte'!#REF!)&gt;0)</f>
      </c>
      <c r="C97" s="189">
        <f>$J$3</f>
      </c>
      <c r="D97" s="189">
        <f>$H$3</f>
      </c>
      <c r="E97" s="189">
        <f>$H$4</f>
      </c>
      <c r="F97" s="190"/>
      <c r="G97" s="189">
        <f>_xlfn.CONCAT('Consolidado-Eletronorte'!#REF!,"_",ROW('Consolidado-Eletronorte'!#REF!)-ROW('Consolidado-Eletronorte'!$G$18))</f>
      </c>
      <c r="H97" s="186" t="s">
        <v>10</v>
      </c>
      <c r="I97" s="191" t="s">
        <v>88</v>
      </c>
      <c r="J97" s="191" t="s">
        <v>5</v>
      </c>
      <c r="K97" s="192" t="s">
        <v>16</v>
      </c>
      <c r="L97" s="191" t="s">
        <v>67</v>
      </c>
      <c r="M97" s="191" t="s">
        <v>39949</v>
      </c>
      <c r="N97" s="191"/>
      <c r="O97" s="191"/>
      <c r="P97" s="192" t="s">
        <v>38368</v>
      </c>
      <c r="Q97" s="193" t="s">
        <v>40236</v>
      </c>
      <c r="R97" s="193" t="s">
        <v>40237</v>
      </c>
      <c r="S97" s="191" t="s">
        <v>38369</v>
      </c>
      <c r="T97" s="63">
        <v>0</v>
      </c>
      <c r="U97" s="63">
        <v>0</v>
      </c>
      <c r="V97" s="63">
        <v>0</v>
      </c>
      <c r="W97" s="63">
        <v>0</v>
      </c>
      <c r="X97" s="63">
        <v>0</v>
      </c>
      <c r="Y97" s="63">
        <v>0</v>
      </c>
      <c r="Z97" s="63">
        <v>0</v>
      </c>
      <c r="AA97" s="63">
        <v>0</v>
      </c>
      <c r="AB97" s="63">
        <v>0</v>
      </c>
      <c r="AC97" s="63">
        <v>0</v>
      </c>
      <c r="AD97" s="63">
        <v>0</v>
      </c>
      <c r="AE97" s="63">
        <v>0</v>
      </c>
      <c r="AF97" s="63">
        <v>0</v>
      </c>
      <c r="AG97" s="63">
        <v>600000</v>
      </c>
      <c r="AH97" s="63">
        <v>0</v>
      </c>
      <c r="AI97" s="63">
        <v>0</v>
      </c>
      <c r="AJ97" s="63">
        <v>0</v>
      </c>
      <c r="AK97" s="63">
        <v>600000</v>
      </c>
      <c r="AL97" s="63">
        <v>0</v>
      </c>
      <c r="AM97" s="63">
        <v>0</v>
      </c>
      <c r="AN97" s="63">
        <v>0</v>
      </c>
      <c r="AO97" s="63">
        <v>0</v>
      </c>
      <c r="AP97" s="63">
        <v>0</v>
      </c>
      <c r="AQ97" s="63">
        <v>600000</v>
      </c>
      <c r="AR97" s="39">
        <v>36</v>
      </c>
      <c r="AS97" s="13" t="s">
        <v>39952</v>
      </c>
      <c r="AT97" s="39">
        <v>2025</v>
      </c>
      <c r="AU97" s="13" t="s">
        <v>40238</v>
      </c>
      <c r="AV97" s="128" t="s">
        <v>40239</v>
      </c>
      <c r="AW97" s="13" t="s">
        <v>39931</v>
      </c>
      <c r="AX97" s="2"/>
      <c r="AY97" s="1"/>
      <c r="AZ97" s="160">
        <f>_xlfn.XLOOKUP(Tabela98[[#This Row], [Descrição do projeto]],[3]Geração!$G:$G,[3]Geração!$F:$F,,0,1)</f>
      </c>
    </row>
    <row x14ac:dyDescent="0.25" r="98" customHeight="1" ht="24.75">
      <c r="A98" s="187"/>
      <c r="B98" s="188">
        <f>AND(ISTEXT('Consolidado-Eletronorte'!#REF!),SUM('Consolidado-Eletronorte'!#REF!)&gt;0)</f>
      </c>
      <c r="C98" s="189">
        <f>$J$3</f>
      </c>
      <c r="D98" s="189">
        <f>$H$3</f>
      </c>
      <c r="E98" s="189">
        <f>$H$4</f>
      </c>
      <c r="F98" s="190"/>
      <c r="G98" s="189">
        <f>_xlfn.CONCAT('Consolidado-Eletronorte'!#REF!,"_",ROW('Consolidado-Eletronorte'!#REF!)-ROW('Consolidado-Eletronorte'!$G$18))</f>
      </c>
      <c r="H98" s="186" t="s">
        <v>10</v>
      </c>
      <c r="I98" s="191" t="s">
        <v>88</v>
      </c>
      <c r="J98" s="191" t="s">
        <v>5</v>
      </c>
      <c r="K98" s="192" t="s">
        <v>16</v>
      </c>
      <c r="L98" s="191" t="s">
        <v>67</v>
      </c>
      <c r="M98" s="191" t="s">
        <v>39949</v>
      </c>
      <c r="N98" s="191"/>
      <c r="O98" s="191"/>
      <c r="P98" s="192" t="s">
        <v>38358</v>
      </c>
      <c r="Q98" s="193" t="s">
        <v>40240</v>
      </c>
      <c r="R98" s="193"/>
      <c r="S98" s="191" t="s">
        <v>39912</v>
      </c>
      <c r="T98" s="63">
        <v>0</v>
      </c>
      <c r="U98" s="63">
        <v>0</v>
      </c>
      <c r="V98" s="63">
        <v>0</v>
      </c>
      <c r="W98" s="63">
        <v>0</v>
      </c>
      <c r="X98" s="63">
        <v>0</v>
      </c>
      <c r="Y98" s="63">
        <v>0</v>
      </c>
      <c r="Z98" s="63">
        <v>500000</v>
      </c>
      <c r="AA98" s="63">
        <v>0</v>
      </c>
      <c r="AB98" s="63">
        <v>0</v>
      </c>
      <c r="AC98" s="63">
        <v>0</v>
      </c>
      <c r="AD98" s="63">
        <v>0</v>
      </c>
      <c r="AE98" s="63">
        <v>0</v>
      </c>
      <c r="AF98" s="63">
        <v>500000</v>
      </c>
      <c r="AG98" s="63">
        <v>0</v>
      </c>
      <c r="AH98" s="63">
        <v>0</v>
      </c>
      <c r="AI98" s="63">
        <v>0</v>
      </c>
      <c r="AJ98" s="63">
        <v>0</v>
      </c>
      <c r="AK98" s="63">
        <v>500000</v>
      </c>
      <c r="AL98" s="63">
        <v>0</v>
      </c>
      <c r="AM98" s="63">
        <v>0</v>
      </c>
      <c r="AN98" s="63">
        <v>0</v>
      </c>
      <c r="AO98" s="63">
        <v>0</v>
      </c>
      <c r="AP98" s="63">
        <v>0</v>
      </c>
      <c r="AQ98" s="63">
        <v>500000</v>
      </c>
      <c r="AR98" s="39">
        <v>94</v>
      </c>
      <c r="AS98" s="13" t="s">
        <v>39964</v>
      </c>
      <c r="AT98" s="128" t="s">
        <v>39970</v>
      </c>
      <c r="AU98" s="13" t="s">
        <v>40241</v>
      </c>
      <c r="AV98" s="39">
        <v>0</v>
      </c>
      <c r="AW98" s="13" t="s">
        <v>39931</v>
      </c>
      <c r="AX98" s="2"/>
      <c r="AY98" s="1"/>
      <c r="AZ98" s="160">
        <f>_xlfn.XLOOKUP(Tabela98[[#This Row], [Descrição do projeto]],[3]Geração!$G:$G,[3]Geração!$F:$F,,0,1)</f>
      </c>
    </row>
    <row x14ac:dyDescent="0.25" r="99" customHeight="1" ht="24.75">
      <c r="A99" s="187"/>
      <c r="B99" s="188">
        <f>AND(ISTEXT('Consolidado-Eletronorte'!#REF!),SUM('Consolidado-Eletronorte'!#REF!)&gt;0)</f>
      </c>
      <c r="C99" s="189">
        <f>$J$3</f>
      </c>
      <c r="D99" s="189">
        <f>$H$3</f>
      </c>
      <c r="E99" s="189">
        <f>$H$4</f>
      </c>
      <c r="F99" s="190"/>
      <c r="G99" s="189">
        <f>_xlfn.CONCAT('Consolidado-Eletronorte'!#REF!,"_",ROW('Consolidado-Eletronorte'!#REF!)-ROW('Consolidado-Eletronorte'!$G$18))</f>
      </c>
      <c r="H99" s="186" t="s">
        <v>10</v>
      </c>
      <c r="I99" s="191" t="s">
        <v>88</v>
      </c>
      <c r="J99" s="191" t="s">
        <v>5</v>
      </c>
      <c r="K99" s="192" t="s">
        <v>16</v>
      </c>
      <c r="L99" s="191" t="s">
        <v>67</v>
      </c>
      <c r="M99" s="191" t="s">
        <v>40242</v>
      </c>
      <c r="N99" s="191"/>
      <c r="O99" s="191"/>
      <c r="P99" s="192" t="s">
        <v>38358</v>
      </c>
      <c r="Q99" s="193" t="s">
        <v>40243</v>
      </c>
      <c r="R99" s="193" t="s">
        <v>40244</v>
      </c>
      <c r="S99" s="191" t="s">
        <v>39912</v>
      </c>
      <c r="T99" s="63">
        <v>0</v>
      </c>
      <c r="U99" s="63">
        <v>500000</v>
      </c>
      <c r="V99" s="63">
        <v>0</v>
      </c>
      <c r="W99" s="63">
        <v>0</v>
      </c>
      <c r="X99" s="63">
        <v>0</v>
      </c>
      <c r="Y99" s="63">
        <v>0</v>
      </c>
      <c r="Z99" s="63">
        <v>0</v>
      </c>
      <c r="AA99" s="63">
        <v>0</v>
      </c>
      <c r="AB99" s="63">
        <v>0</v>
      </c>
      <c r="AC99" s="63">
        <v>0</v>
      </c>
      <c r="AD99" s="63">
        <v>0</v>
      </c>
      <c r="AE99" s="63">
        <v>0</v>
      </c>
      <c r="AF99" s="63">
        <v>500000</v>
      </c>
      <c r="AG99" s="63">
        <v>0</v>
      </c>
      <c r="AH99" s="63">
        <v>0</v>
      </c>
      <c r="AI99" s="63">
        <v>0</v>
      </c>
      <c r="AJ99" s="63">
        <v>0</v>
      </c>
      <c r="AK99" s="63">
        <v>500000</v>
      </c>
      <c r="AL99" s="63">
        <v>0</v>
      </c>
      <c r="AM99" s="63">
        <v>0</v>
      </c>
      <c r="AN99" s="63">
        <v>0</v>
      </c>
      <c r="AO99" s="63">
        <v>0</v>
      </c>
      <c r="AP99" s="63">
        <v>0</v>
      </c>
      <c r="AQ99" s="63">
        <v>500000</v>
      </c>
      <c r="AR99" s="39">
        <v>96</v>
      </c>
      <c r="AS99" s="13" t="s">
        <v>39964</v>
      </c>
      <c r="AT99" s="39">
        <v>2025</v>
      </c>
      <c r="AU99" s="13" t="s">
        <v>40245</v>
      </c>
      <c r="AV99" s="39">
        <v>0</v>
      </c>
      <c r="AW99" s="13" t="s">
        <v>39931</v>
      </c>
      <c r="AX99" s="2"/>
      <c r="AY99" s="1"/>
      <c r="AZ99" s="160">
        <f>_xlfn.XLOOKUP(Tabela98[[#This Row], [Descrição do projeto]],[3]Geração!$G:$G,[3]Geração!$F:$F,,0,1)</f>
      </c>
    </row>
    <row x14ac:dyDescent="0.25" r="100" customHeight="1" ht="24.75">
      <c r="A100" s="187"/>
      <c r="B100" s="188">
        <f>AND(ISTEXT('Consolidado-Eletronorte'!#REF!),SUM('Consolidado-Eletronorte'!#REF!)&gt;0)</f>
      </c>
      <c r="C100" s="189">
        <f>$J$3</f>
      </c>
      <c r="D100" s="189">
        <f>$H$3</f>
      </c>
      <c r="E100" s="189">
        <f>$H$4</f>
      </c>
      <c r="F100" s="190"/>
      <c r="G100" s="189">
        <f>_xlfn.CONCAT('Consolidado-Eletronorte'!#REF!,"_",ROW('Consolidado-Eletronorte'!#REF!)-ROW('Consolidado-Eletronorte'!$G$18))</f>
      </c>
      <c r="H100" s="186" t="s">
        <v>10</v>
      </c>
      <c r="I100" s="191" t="s">
        <v>88</v>
      </c>
      <c r="J100" s="191" t="s">
        <v>5</v>
      </c>
      <c r="K100" s="192" t="s">
        <v>16</v>
      </c>
      <c r="L100" s="191" t="s">
        <v>67</v>
      </c>
      <c r="M100" s="191" t="s">
        <v>40246</v>
      </c>
      <c r="N100" s="191"/>
      <c r="O100" s="191"/>
      <c r="P100" s="192" t="s">
        <v>38358</v>
      </c>
      <c r="Q100" s="193" t="s">
        <v>40247</v>
      </c>
      <c r="R100" s="193" t="s">
        <v>40248</v>
      </c>
      <c r="S100" s="191" t="s">
        <v>39912</v>
      </c>
      <c r="T100" s="63">
        <v>0</v>
      </c>
      <c r="U100" s="63">
        <v>0</v>
      </c>
      <c r="V100" s="63">
        <v>500000</v>
      </c>
      <c r="W100" s="63">
        <v>0</v>
      </c>
      <c r="X100" s="63">
        <v>0</v>
      </c>
      <c r="Y100" s="63">
        <v>0</v>
      </c>
      <c r="Z100" s="63">
        <v>0</v>
      </c>
      <c r="AA100" s="63">
        <v>0</v>
      </c>
      <c r="AB100" s="63">
        <v>0</v>
      </c>
      <c r="AC100" s="63">
        <v>0</v>
      </c>
      <c r="AD100" s="63">
        <v>0</v>
      </c>
      <c r="AE100" s="63">
        <v>0</v>
      </c>
      <c r="AF100" s="63">
        <v>500000</v>
      </c>
      <c r="AG100" s="63">
        <v>0</v>
      </c>
      <c r="AH100" s="63">
        <v>0</v>
      </c>
      <c r="AI100" s="63">
        <v>0</v>
      </c>
      <c r="AJ100" s="63">
        <v>0</v>
      </c>
      <c r="AK100" s="63">
        <v>500000</v>
      </c>
      <c r="AL100" s="63">
        <v>0</v>
      </c>
      <c r="AM100" s="63">
        <v>0</v>
      </c>
      <c r="AN100" s="63">
        <v>0</v>
      </c>
      <c r="AO100" s="63">
        <v>0</v>
      </c>
      <c r="AP100" s="63">
        <v>0</v>
      </c>
      <c r="AQ100" s="63">
        <v>500000</v>
      </c>
      <c r="AR100" s="39">
        <v>98</v>
      </c>
      <c r="AS100" s="13" t="s">
        <v>39964</v>
      </c>
      <c r="AT100" s="39">
        <v>2025</v>
      </c>
      <c r="AU100" s="13" t="s">
        <v>40249</v>
      </c>
      <c r="AV100" s="39">
        <v>0</v>
      </c>
      <c r="AW100" s="13" t="s">
        <v>39931</v>
      </c>
      <c r="AX100" s="2"/>
      <c r="AY100" s="1"/>
      <c r="AZ100" s="160">
        <f>_xlfn.XLOOKUP(Tabela98[[#This Row], [Descrição do projeto]],[3]Geração!$G:$G,[3]Geração!$F:$F,,0,1)</f>
      </c>
    </row>
    <row x14ac:dyDescent="0.25" r="101" customHeight="1" ht="24.75">
      <c r="A101" s="198"/>
      <c r="B101" s="188">
        <f>AND(ISTEXT('Consolidado-Eletronorte'!#REF!),SUM('Consolidado-Eletronorte'!#REF!)&gt;0)</f>
      </c>
      <c r="C101" s="199">
        <f>$J$3</f>
      </c>
      <c r="D101" s="199">
        <f>$H$3</f>
      </c>
      <c r="E101" s="199">
        <f>$H$4</f>
      </c>
      <c r="F101" s="200"/>
      <c r="G101" s="199">
        <f>_xlfn.CONCAT('Consolidado-Eletronorte'!#REF!,"_",ROW('Consolidado-Eletronorte'!#REF!)-ROW('Consolidado-Eletronorte'!$G$18))</f>
      </c>
      <c r="H101" s="201" t="s">
        <v>10</v>
      </c>
      <c r="I101" s="202" t="s">
        <v>88</v>
      </c>
      <c r="J101" s="202" t="s">
        <v>5</v>
      </c>
      <c r="K101" s="203" t="s">
        <v>16</v>
      </c>
      <c r="L101" s="202" t="s">
        <v>82</v>
      </c>
      <c r="M101" s="202" t="s">
        <v>39949</v>
      </c>
      <c r="N101" s="202"/>
      <c r="O101" s="202"/>
      <c r="P101" s="203">
        <v>157189</v>
      </c>
      <c r="Q101" s="204" t="s">
        <v>40250</v>
      </c>
      <c r="R101" s="204" t="s">
        <v>40251</v>
      </c>
      <c r="S101" s="202" t="s">
        <v>39945</v>
      </c>
      <c r="T101" s="63">
        <v>0</v>
      </c>
      <c r="U101" s="63">
        <v>0</v>
      </c>
      <c r="V101" s="63">
        <v>0</v>
      </c>
      <c r="W101" s="63">
        <v>0</v>
      </c>
      <c r="X101" s="63">
        <v>0</v>
      </c>
      <c r="Y101" s="63">
        <v>0</v>
      </c>
      <c r="Z101" s="63">
        <v>0</v>
      </c>
      <c r="AA101" s="63">
        <v>0</v>
      </c>
      <c r="AB101" s="63">
        <v>0</v>
      </c>
      <c r="AC101" s="63">
        <v>0</v>
      </c>
      <c r="AD101" s="63">
        <v>0</v>
      </c>
      <c r="AE101" s="63">
        <v>0</v>
      </c>
      <c r="AF101" s="63">
        <v>0</v>
      </c>
      <c r="AG101" s="63">
        <v>250000</v>
      </c>
      <c r="AH101" s="63">
        <v>250000</v>
      </c>
      <c r="AI101" s="63">
        <v>0</v>
      </c>
      <c r="AJ101" s="63">
        <v>0</v>
      </c>
      <c r="AK101" s="63">
        <v>500000</v>
      </c>
      <c r="AL101" s="63">
        <v>0</v>
      </c>
      <c r="AM101" s="63">
        <v>0</v>
      </c>
      <c r="AN101" s="63">
        <v>0</v>
      </c>
      <c r="AO101" s="63">
        <v>0</v>
      </c>
      <c r="AP101" s="63">
        <v>0</v>
      </c>
      <c r="AQ101" s="63">
        <v>500000</v>
      </c>
      <c r="AR101" s="39">
        <v>4</v>
      </c>
      <c r="AS101" s="13" t="s">
        <v>39946</v>
      </c>
      <c r="AT101" s="39">
        <v>2025</v>
      </c>
      <c r="AU101" s="13" t="s">
        <v>40252</v>
      </c>
      <c r="AV101" s="17" t="s">
        <v>40253</v>
      </c>
      <c r="AW101" s="13" t="s">
        <v>39931</v>
      </c>
      <c r="AX101" s="2"/>
      <c r="AY101" s="1"/>
      <c r="AZ101" s="160">
        <f>_xlfn.XLOOKUP(Tabela98[[#This Row], [Descrição do projeto]],[3]Geração!$G:$G,[3]Geração!$F:$F,,0,1)</f>
      </c>
    </row>
    <row x14ac:dyDescent="0.25" r="102" customHeight="1" ht="24.75">
      <c r="A102" s="187"/>
      <c r="B102" s="188">
        <f>AND(ISTEXT('Consolidado-Eletronorte'!#REF!),SUM('Consolidado-Eletronorte'!#REF!)&gt;0)</f>
      </c>
      <c r="C102" s="189">
        <f>$J$3</f>
      </c>
      <c r="D102" s="189">
        <f>$H$3</f>
      </c>
      <c r="E102" s="189">
        <f>$H$4</f>
      </c>
      <c r="F102" s="190"/>
      <c r="G102" s="189">
        <f>_xlfn.CONCAT('Consolidado-Eletronorte'!#REF!,"_",ROW('Consolidado-Eletronorte'!#REF!)-ROW('Consolidado-Eletronorte'!$G$18))</f>
      </c>
      <c r="H102" s="186" t="s">
        <v>10</v>
      </c>
      <c r="I102" s="191" t="s">
        <v>88</v>
      </c>
      <c r="J102" s="191" t="s">
        <v>5</v>
      </c>
      <c r="K102" s="192" t="s">
        <v>16</v>
      </c>
      <c r="L102" s="191" t="s">
        <v>67</v>
      </c>
      <c r="M102" s="191" t="s">
        <v>39932</v>
      </c>
      <c r="N102" s="191"/>
      <c r="O102" s="191"/>
      <c r="P102" s="192" t="s">
        <v>38349</v>
      </c>
      <c r="Q102" s="193" t="s">
        <v>40254</v>
      </c>
      <c r="R102" s="193" t="s">
        <v>40255</v>
      </c>
      <c r="S102" s="191" t="s">
        <v>39998</v>
      </c>
      <c r="T102" s="63">
        <v>0</v>
      </c>
      <c r="U102" s="63">
        <v>0</v>
      </c>
      <c r="V102" s="63">
        <v>0</v>
      </c>
      <c r="W102" s="63">
        <v>0</v>
      </c>
      <c r="X102" s="63">
        <v>0</v>
      </c>
      <c r="Y102" s="63">
        <v>0</v>
      </c>
      <c r="Z102" s="63">
        <v>0</v>
      </c>
      <c r="AA102" s="63">
        <v>0</v>
      </c>
      <c r="AB102" s="63">
        <v>0</v>
      </c>
      <c r="AC102" s="63">
        <v>0</v>
      </c>
      <c r="AD102" s="63">
        <v>0</v>
      </c>
      <c r="AE102" s="63">
        <v>0</v>
      </c>
      <c r="AF102" s="63">
        <v>0</v>
      </c>
      <c r="AG102" s="63">
        <v>500000</v>
      </c>
      <c r="AH102" s="63">
        <v>0</v>
      </c>
      <c r="AI102" s="63">
        <v>0</v>
      </c>
      <c r="AJ102" s="63">
        <v>0</v>
      </c>
      <c r="AK102" s="63">
        <v>500000</v>
      </c>
      <c r="AL102" s="63">
        <v>0</v>
      </c>
      <c r="AM102" s="63">
        <v>0</v>
      </c>
      <c r="AN102" s="63">
        <v>0</v>
      </c>
      <c r="AO102" s="63">
        <v>0</v>
      </c>
      <c r="AP102" s="63">
        <v>0</v>
      </c>
      <c r="AQ102" s="63">
        <v>500000</v>
      </c>
      <c r="AR102" s="39">
        <v>54</v>
      </c>
      <c r="AS102" s="13" t="s">
        <v>40053</v>
      </c>
      <c r="AT102" s="39">
        <v>2025</v>
      </c>
      <c r="AU102" s="13" t="s">
        <v>40256</v>
      </c>
      <c r="AV102" s="39">
        <v>0</v>
      </c>
      <c r="AW102" s="13" t="s">
        <v>39931</v>
      </c>
      <c r="AX102" s="2"/>
      <c r="AY102" s="1"/>
      <c r="AZ102" s="160">
        <f>_xlfn.XLOOKUP(Tabela98[[#This Row], [Descrição do projeto]],[3]Geração!$G:$G,[3]Geração!$F:$F,,0,1)</f>
      </c>
    </row>
    <row x14ac:dyDescent="0.25" r="103" customHeight="1" ht="24.75">
      <c r="A103" s="187"/>
      <c r="B103" s="188">
        <f>AND(ISTEXT('Consolidado-Eletronorte'!#REF!),SUM('Consolidado-Eletronorte'!#REF!)&gt;0)</f>
      </c>
      <c r="C103" s="189">
        <f>$J$3</f>
      </c>
      <c r="D103" s="189">
        <f>$H$3</f>
      </c>
      <c r="E103" s="189">
        <f>$H$4</f>
      </c>
      <c r="F103" s="190"/>
      <c r="G103" s="189">
        <f>_xlfn.CONCAT('Consolidado-Eletronorte'!#REF!,"_",ROW('Consolidado-Eletronorte'!#REF!)-ROW('Consolidado-Eletronorte'!$G$18))</f>
      </c>
      <c r="H103" s="186" t="s">
        <v>10</v>
      </c>
      <c r="I103" s="191" t="s">
        <v>88</v>
      </c>
      <c r="J103" s="191" t="s">
        <v>5</v>
      </c>
      <c r="K103" s="192" t="s">
        <v>16</v>
      </c>
      <c r="L103" s="191" t="s">
        <v>67</v>
      </c>
      <c r="M103" s="191" t="s">
        <v>39949</v>
      </c>
      <c r="N103" s="191"/>
      <c r="O103" s="191"/>
      <c r="P103" s="192">
        <v>157189</v>
      </c>
      <c r="Q103" s="193" t="s">
        <v>40257</v>
      </c>
      <c r="R103" s="193" t="s">
        <v>40258</v>
      </c>
      <c r="S103" s="191" t="s">
        <v>39945</v>
      </c>
      <c r="T103" s="63">
        <v>0</v>
      </c>
      <c r="U103" s="63">
        <v>0</v>
      </c>
      <c r="V103" s="63">
        <v>0</v>
      </c>
      <c r="W103" s="63">
        <v>0</v>
      </c>
      <c r="X103" s="63">
        <v>0</v>
      </c>
      <c r="Y103" s="63">
        <v>0</v>
      </c>
      <c r="Z103" s="63">
        <v>0</v>
      </c>
      <c r="AA103" s="63">
        <v>0</v>
      </c>
      <c r="AB103" s="63">
        <v>0</v>
      </c>
      <c r="AC103" s="63">
        <v>0</v>
      </c>
      <c r="AD103" s="63">
        <v>0</v>
      </c>
      <c r="AE103" s="63">
        <v>0</v>
      </c>
      <c r="AF103" s="63">
        <v>0</v>
      </c>
      <c r="AG103" s="63">
        <v>250000</v>
      </c>
      <c r="AH103" s="63">
        <v>250000</v>
      </c>
      <c r="AI103" s="63">
        <v>0</v>
      </c>
      <c r="AJ103" s="63">
        <v>0</v>
      </c>
      <c r="AK103" s="63">
        <v>500000</v>
      </c>
      <c r="AL103" s="63">
        <v>0</v>
      </c>
      <c r="AM103" s="63">
        <v>0</v>
      </c>
      <c r="AN103" s="63">
        <v>0</v>
      </c>
      <c r="AO103" s="63">
        <v>0</v>
      </c>
      <c r="AP103" s="63">
        <v>0</v>
      </c>
      <c r="AQ103" s="63">
        <v>500000</v>
      </c>
      <c r="AR103" s="39">
        <v>55</v>
      </c>
      <c r="AS103" s="13" t="s">
        <v>39946</v>
      </c>
      <c r="AT103" s="128" t="s">
        <v>39970</v>
      </c>
      <c r="AU103" s="13" t="s">
        <v>40259</v>
      </c>
      <c r="AV103" s="39">
        <v>0</v>
      </c>
      <c r="AW103" s="13" t="s">
        <v>39931</v>
      </c>
      <c r="AX103" s="2"/>
      <c r="AY103" s="1"/>
      <c r="AZ103" s="160">
        <f>_xlfn.XLOOKUP(Tabela98[[#This Row], [Descrição do projeto]],[3]Geração!$G:$G,[3]Geração!$F:$F,,0,1)</f>
      </c>
    </row>
    <row x14ac:dyDescent="0.25" r="104" customHeight="1" ht="24.75">
      <c r="A104" s="187"/>
      <c r="B104" s="188">
        <f>AND(ISTEXT('Consolidado-Eletronorte'!#REF!),SUM('Consolidado-Eletronorte'!#REF!)&gt;0)</f>
      </c>
      <c r="C104" s="189">
        <f>$J$3</f>
      </c>
      <c r="D104" s="189">
        <f>$H$3</f>
      </c>
      <c r="E104" s="189">
        <f>$H$4</f>
      </c>
      <c r="F104" s="190"/>
      <c r="G104" s="189">
        <f>_xlfn.CONCAT('Consolidado-Eletronorte'!#REF!,"_",ROW('Consolidado-Eletronorte'!#REF!)-ROW('Consolidado-Eletronorte'!$G$18))</f>
      </c>
      <c r="H104" s="186" t="s">
        <v>10</v>
      </c>
      <c r="I104" s="191" t="s">
        <v>88</v>
      </c>
      <c r="J104" s="191" t="s">
        <v>5</v>
      </c>
      <c r="K104" s="192" t="s">
        <v>16</v>
      </c>
      <c r="L104" s="191" t="s">
        <v>67</v>
      </c>
      <c r="M104" s="191" t="s">
        <v>39949</v>
      </c>
      <c r="N104" s="191"/>
      <c r="O104" s="191"/>
      <c r="P104" s="192">
        <v>157189</v>
      </c>
      <c r="Q104" s="193" t="s">
        <v>40260</v>
      </c>
      <c r="R104" s="193" t="s">
        <v>40261</v>
      </c>
      <c r="S104" s="191" t="s">
        <v>39945</v>
      </c>
      <c r="T104" s="63">
        <v>0</v>
      </c>
      <c r="U104" s="63">
        <v>0</v>
      </c>
      <c r="V104" s="63">
        <v>0</v>
      </c>
      <c r="W104" s="63">
        <v>0</v>
      </c>
      <c r="X104" s="63">
        <v>0</v>
      </c>
      <c r="Y104" s="63">
        <v>0</v>
      </c>
      <c r="Z104" s="63">
        <v>0</v>
      </c>
      <c r="AA104" s="63">
        <v>0</v>
      </c>
      <c r="AB104" s="63">
        <v>0</v>
      </c>
      <c r="AC104" s="63">
        <v>0</v>
      </c>
      <c r="AD104" s="63">
        <v>0</v>
      </c>
      <c r="AE104" s="63">
        <v>0</v>
      </c>
      <c r="AF104" s="63">
        <v>0</v>
      </c>
      <c r="AG104" s="63">
        <v>250000</v>
      </c>
      <c r="AH104" s="63">
        <v>250000</v>
      </c>
      <c r="AI104" s="63">
        <v>0</v>
      </c>
      <c r="AJ104" s="63">
        <v>0</v>
      </c>
      <c r="AK104" s="63">
        <v>500000</v>
      </c>
      <c r="AL104" s="63">
        <v>0</v>
      </c>
      <c r="AM104" s="63">
        <v>0</v>
      </c>
      <c r="AN104" s="63">
        <v>0</v>
      </c>
      <c r="AO104" s="63">
        <v>0</v>
      </c>
      <c r="AP104" s="63">
        <v>0</v>
      </c>
      <c r="AQ104" s="63">
        <v>500000</v>
      </c>
      <c r="AR104" s="39">
        <v>56</v>
      </c>
      <c r="AS104" s="13" t="s">
        <v>39946</v>
      </c>
      <c r="AT104" s="128" t="s">
        <v>39970</v>
      </c>
      <c r="AU104" s="13" t="s">
        <v>40262</v>
      </c>
      <c r="AV104" s="39">
        <v>0</v>
      </c>
      <c r="AW104" s="13" t="s">
        <v>39931</v>
      </c>
      <c r="AX104" s="2"/>
      <c r="AY104" s="1"/>
      <c r="AZ104" s="160">
        <f>_xlfn.XLOOKUP(Tabela98[[#This Row], [Descrição do projeto]],[3]Geração!$G:$G,[3]Geração!$F:$F,,0,1)</f>
      </c>
    </row>
    <row x14ac:dyDescent="0.25" r="105" customHeight="1" ht="24.75">
      <c r="A105" s="187"/>
      <c r="B105" s="188">
        <f>AND(ISTEXT('Consolidado-Eletronorte'!#REF!),SUM('Consolidado-Eletronorte'!#REF!)&gt;0)</f>
      </c>
      <c r="C105" s="189">
        <f>$J$3</f>
      </c>
      <c r="D105" s="189">
        <f>$H$3</f>
      </c>
      <c r="E105" s="189">
        <f>$H$4</f>
      </c>
      <c r="F105" s="190"/>
      <c r="G105" s="189">
        <f>_xlfn.CONCAT('Consolidado-Eletronorte'!#REF!,"_",ROW('Consolidado-Eletronorte'!#REF!)-ROW('Consolidado-Eletronorte'!$G$18))</f>
      </c>
      <c r="H105" s="186" t="s">
        <v>10</v>
      </c>
      <c r="I105" s="191" t="s">
        <v>88</v>
      </c>
      <c r="J105" s="191" t="s">
        <v>5</v>
      </c>
      <c r="K105" s="192" t="s">
        <v>16</v>
      </c>
      <c r="L105" s="191" t="s">
        <v>67</v>
      </c>
      <c r="M105" s="191" t="s">
        <v>39949</v>
      </c>
      <c r="N105" s="191"/>
      <c r="O105" s="191"/>
      <c r="P105" s="192">
        <v>157189</v>
      </c>
      <c r="Q105" s="193" t="s">
        <v>40263</v>
      </c>
      <c r="R105" s="193" t="s">
        <v>40264</v>
      </c>
      <c r="S105" s="191" t="s">
        <v>39945</v>
      </c>
      <c r="T105" s="63">
        <v>0</v>
      </c>
      <c r="U105" s="63">
        <v>0</v>
      </c>
      <c r="V105" s="63">
        <v>0</v>
      </c>
      <c r="W105" s="63">
        <v>0</v>
      </c>
      <c r="X105" s="63">
        <v>0</v>
      </c>
      <c r="Y105" s="63">
        <v>0</v>
      </c>
      <c r="Z105" s="63">
        <v>0</v>
      </c>
      <c r="AA105" s="63">
        <v>0</v>
      </c>
      <c r="AB105" s="63">
        <v>0</v>
      </c>
      <c r="AC105" s="63">
        <v>0</v>
      </c>
      <c r="AD105" s="63">
        <v>0</v>
      </c>
      <c r="AE105" s="63">
        <v>0</v>
      </c>
      <c r="AF105" s="63">
        <v>0</v>
      </c>
      <c r="AG105" s="63">
        <v>250000</v>
      </c>
      <c r="AH105" s="63">
        <v>250000</v>
      </c>
      <c r="AI105" s="63">
        <v>0</v>
      </c>
      <c r="AJ105" s="63">
        <v>0</v>
      </c>
      <c r="AK105" s="63">
        <v>500000</v>
      </c>
      <c r="AL105" s="63">
        <v>0</v>
      </c>
      <c r="AM105" s="63">
        <v>0</v>
      </c>
      <c r="AN105" s="63">
        <v>0</v>
      </c>
      <c r="AO105" s="63">
        <v>0</v>
      </c>
      <c r="AP105" s="63">
        <v>0</v>
      </c>
      <c r="AQ105" s="63">
        <v>500000</v>
      </c>
      <c r="AR105" s="39">
        <v>57</v>
      </c>
      <c r="AS105" s="13" t="s">
        <v>39946</v>
      </c>
      <c r="AT105" s="128" t="s">
        <v>39970</v>
      </c>
      <c r="AU105" s="13" t="s">
        <v>40265</v>
      </c>
      <c r="AV105" s="39">
        <v>0</v>
      </c>
      <c r="AW105" s="13" t="s">
        <v>39931</v>
      </c>
      <c r="AX105" s="2"/>
      <c r="AY105" s="1"/>
      <c r="AZ105" s="160">
        <f>_xlfn.XLOOKUP(Tabela98[[#This Row], [Descrição do projeto]],[3]Geração!$G:$G,[3]Geração!$F:$F,,0,1)</f>
      </c>
    </row>
    <row x14ac:dyDescent="0.25" r="106" customHeight="1" ht="24.75">
      <c r="A106" s="187"/>
      <c r="B106" s="188">
        <f>AND(ISTEXT('Consolidado-Eletronorte'!#REF!),SUM('Consolidado-Eletronorte'!#REF!)&gt;0)</f>
      </c>
      <c r="C106" s="189">
        <f>$J$3</f>
      </c>
      <c r="D106" s="189">
        <f>$H$3</f>
      </c>
      <c r="E106" s="189">
        <f>$H$4</f>
      </c>
      <c r="F106" s="190"/>
      <c r="G106" s="189">
        <f>_xlfn.CONCAT('Consolidado-Eletronorte'!#REF!,"_",ROW('Consolidado-Eletronorte'!#REF!)-ROW('Consolidado-Eletronorte'!$G$18))</f>
      </c>
      <c r="H106" s="186" t="s">
        <v>10</v>
      </c>
      <c r="I106" s="191" t="s">
        <v>88</v>
      </c>
      <c r="J106" s="191" t="s">
        <v>5</v>
      </c>
      <c r="K106" s="192" t="s">
        <v>16</v>
      </c>
      <c r="L106" s="191" t="s">
        <v>67</v>
      </c>
      <c r="M106" s="191" t="s">
        <v>39949</v>
      </c>
      <c r="N106" s="191"/>
      <c r="O106" s="191"/>
      <c r="P106" s="192">
        <v>157189</v>
      </c>
      <c r="Q106" s="193" t="s">
        <v>40266</v>
      </c>
      <c r="R106" s="193" t="s">
        <v>40267</v>
      </c>
      <c r="S106" s="191" t="s">
        <v>39945</v>
      </c>
      <c r="T106" s="63">
        <v>0</v>
      </c>
      <c r="U106" s="63">
        <v>0</v>
      </c>
      <c r="V106" s="63">
        <v>0</v>
      </c>
      <c r="W106" s="63">
        <v>0</v>
      </c>
      <c r="X106" s="63">
        <v>0</v>
      </c>
      <c r="Y106" s="63">
        <v>0</v>
      </c>
      <c r="Z106" s="63">
        <v>0</v>
      </c>
      <c r="AA106" s="63">
        <v>0</v>
      </c>
      <c r="AB106" s="63">
        <v>0</v>
      </c>
      <c r="AC106" s="63">
        <v>0</v>
      </c>
      <c r="AD106" s="63">
        <v>0</v>
      </c>
      <c r="AE106" s="63">
        <v>0</v>
      </c>
      <c r="AF106" s="63">
        <v>0</v>
      </c>
      <c r="AG106" s="63">
        <v>250000</v>
      </c>
      <c r="AH106" s="63">
        <v>250000</v>
      </c>
      <c r="AI106" s="63">
        <v>0</v>
      </c>
      <c r="AJ106" s="63">
        <v>0</v>
      </c>
      <c r="AK106" s="63">
        <v>500000</v>
      </c>
      <c r="AL106" s="63">
        <v>0</v>
      </c>
      <c r="AM106" s="63">
        <v>0</v>
      </c>
      <c r="AN106" s="63">
        <v>0</v>
      </c>
      <c r="AO106" s="63">
        <v>0</v>
      </c>
      <c r="AP106" s="63">
        <v>0</v>
      </c>
      <c r="AQ106" s="63">
        <v>500000</v>
      </c>
      <c r="AR106" s="39">
        <v>58</v>
      </c>
      <c r="AS106" s="13" t="s">
        <v>39946</v>
      </c>
      <c r="AT106" s="128" t="s">
        <v>39970</v>
      </c>
      <c r="AU106" s="13" t="s">
        <v>40268</v>
      </c>
      <c r="AV106" s="39">
        <v>0</v>
      </c>
      <c r="AW106" s="13" t="s">
        <v>39931</v>
      </c>
      <c r="AX106" s="2"/>
      <c r="AY106" s="1"/>
      <c r="AZ106" s="160">
        <f>_xlfn.XLOOKUP(Tabela98[[#This Row], [Descrição do projeto]],[3]Geração!$G:$G,[3]Geração!$F:$F,,0,1)</f>
      </c>
    </row>
    <row x14ac:dyDescent="0.25" r="107" customHeight="1" ht="24.75">
      <c r="A107" s="187"/>
      <c r="B107" s="188">
        <f>AND(ISTEXT('Consolidado-Eletronorte'!#REF!),SUM('Consolidado-Eletronorte'!#REF!)&gt;0)</f>
      </c>
      <c r="C107" s="189">
        <f>$J$3</f>
      </c>
      <c r="D107" s="189">
        <f>$H$3</f>
      </c>
      <c r="E107" s="189">
        <f>$H$4</f>
      </c>
      <c r="F107" s="190"/>
      <c r="G107" s="189">
        <f>_xlfn.CONCAT('Consolidado-Eletronorte'!#REF!,"_",ROW('Consolidado-Eletronorte'!#REF!)-ROW('Consolidado-Eletronorte'!$G$18))</f>
      </c>
      <c r="H107" s="186" t="s">
        <v>10</v>
      </c>
      <c r="I107" s="191" t="s">
        <v>88</v>
      </c>
      <c r="J107" s="191" t="s">
        <v>5</v>
      </c>
      <c r="K107" s="192" t="s">
        <v>16</v>
      </c>
      <c r="L107" s="191" t="s">
        <v>67</v>
      </c>
      <c r="M107" s="191" t="s">
        <v>39949</v>
      </c>
      <c r="N107" s="191"/>
      <c r="O107" s="191"/>
      <c r="P107" s="192">
        <v>157189</v>
      </c>
      <c r="Q107" s="193" t="s">
        <v>40269</v>
      </c>
      <c r="R107" s="193" t="s">
        <v>40270</v>
      </c>
      <c r="S107" s="191" t="s">
        <v>39945</v>
      </c>
      <c r="T107" s="63">
        <v>0</v>
      </c>
      <c r="U107" s="63">
        <v>0</v>
      </c>
      <c r="V107" s="63">
        <v>0</v>
      </c>
      <c r="W107" s="63">
        <v>0</v>
      </c>
      <c r="X107" s="63">
        <v>0</v>
      </c>
      <c r="Y107" s="63">
        <v>0</v>
      </c>
      <c r="Z107" s="63">
        <v>0</v>
      </c>
      <c r="AA107" s="63">
        <v>0</v>
      </c>
      <c r="AB107" s="63">
        <v>0</v>
      </c>
      <c r="AC107" s="63">
        <v>0</v>
      </c>
      <c r="AD107" s="63">
        <v>0</v>
      </c>
      <c r="AE107" s="63">
        <v>0</v>
      </c>
      <c r="AF107" s="63">
        <v>0</v>
      </c>
      <c r="AG107" s="63">
        <v>250000</v>
      </c>
      <c r="AH107" s="63">
        <v>250000</v>
      </c>
      <c r="AI107" s="63">
        <v>0</v>
      </c>
      <c r="AJ107" s="63">
        <v>0</v>
      </c>
      <c r="AK107" s="63">
        <v>500000</v>
      </c>
      <c r="AL107" s="63">
        <v>0</v>
      </c>
      <c r="AM107" s="63">
        <v>0</v>
      </c>
      <c r="AN107" s="63">
        <v>0</v>
      </c>
      <c r="AO107" s="63">
        <v>0</v>
      </c>
      <c r="AP107" s="63">
        <v>0</v>
      </c>
      <c r="AQ107" s="63">
        <v>500000</v>
      </c>
      <c r="AR107" s="39">
        <v>59</v>
      </c>
      <c r="AS107" s="13" t="s">
        <v>39946</v>
      </c>
      <c r="AT107" s="128" t="s">
        <v>39970</v>
      </c>
      <c r="AU107" s="13" t="s">
        <v>40271</v>
      </c>
      <c r="AV107" s="39">
        <v>0</v>
      </c>
      <c r="AW107" s="13" t="s">
        <v>39931</v>
      </c>
      <c r="AX107" s="2"/>
      <c r="AY107" s="1"/>
      <c r="AZ107" s="160">
        <f>_xlfn.XLOOKUP(Tabela98[[#This Row], [Descrição do projeto]],[3]Geração!$G:$G,[3]Geração!$F:$F,,0,1)</f>
      </c>
    </row>
    <row x14ac:dyDescent="0.25" r="108" customHeight="1" ht="24.75">
      <c r="A108" s="187"/>
      <c r="B108" s="188">
        <f>AND(ISTEXT('Consolidado-Eletronorte'!#REF!),SUM('Consolidado-Eletronorte'!#REF!)&gt;0)</f>
      </c>
      <c r="C108" s="189">
        <f>$J$3</f>
      </c>
      <c r="D108" s="189">
        <f>$H$3</f>
      </c>
      <c r="E108" s="189">
        <f>$H$4</f>
      </c>
      <c r="F108" s="190"/>
      <c r="G108" s="189">
        <f>_xlfn.CONCAT('Consolidado-Eletronorte'!#REF!,"_",ROW('Consolidado-Eletronorte'!#REF!)-ROW('Consolidado-Eletronorte'!$G$18))</f>
      </c>
      <c r="H108" s="186" t="s">
        <v>10</v>
      </c>
      <c r="I108" s="191" t="s">
        <v>88</v>
      </c>
      <c r="J108" s="191" t="s">
        <v>5</v>
      </c>
      <c r="K108" s="192" t="s">
        <v>16</v>
      </c>
      <c r="L108" s="191" t="s">
        <v>67</v>
      </c>
      <c r="M108" s="191" t="s">
        <v>39949</v>
      </c>
      <c r="N108" s="191"/>
      <c r="O108" s="191"/>
      <c r="P108" s="192">
        <v>157189</v>
      </c>
      <c r="Q108" s="193" t="s">
        <v>40272</v>
      </c>
      <c r="R108" s="193" t="s">
        <v>40273</v>
      </c>
      <c r="S108" s="191" t="s">
        <v>39945</v>
      </c>
      <c r="T108" s="63">
        <v>0</v>
      </c>
      <c r="U108" s="63">
        <v>0</v>
      </c>
      <c r="V108" s="63">
        <v>0</v>
      </c>
      <c r="W108" s="63">
        <v>0</v>
      </c>
      <c r="X108" s="63">
        <v>0</v>
      </c>
      <c r="Y108" s="63">
        <v>0</v>
      </c>
      <c r="Z108" s="63">
        <v>0</v>
      </c>
      <c r="AA108" s="63">
        <v>0</v>
      </c>
      <c r="AB108" s="63">
        <v>0</v>
      </c>
      <c r="AC108" s="63">
        <v>0</v>
      </c>
      <c r="AD108" s="63">
        <v>0</v>
      </c>
      <c r="AE108" s="63">
        <v>0</v>
      </c>
      <c r="AF108" s="63">
        <v>0</v>
      </c>
      <c r="AG108" s="63">
        <v>250000</v>
      </c>
      <c r="AH108" s="63">
        <v>250000</v>
      </c>
      <c r="AI108" s="63">
        <v>0</v>
      </c>
      <c r="AJ108" s="63">
        <v>0</v>
      </c>
      <c r="AK108" s="63">
        <v>500000</v>
      </c>
      <c r="AL108" s="63">
        <v>0</v>
      </c>
      <c r="AM108" s="63">
        <v>0</v>
      </c>
      <c r="AN108" s="63">
        <v>0</v>
      </c>
      <c r="AO108" s="63">
        <v>0</v>
      </c>
      <c r="AP108" s="63">
        <v>0</v>
      </c>
      <c r="AQ108" s="63">
        <v>500000</v>
      </c>
      <c r="AR108" s="39">
        <v>60</v>
      </c>
      <c r="AS108" s="13" t="s">
        <v>39946</v>
      </c>
      <c r="AT108" s="128" t="s">
        <v>39970</v>
      </c>
      <c r="AU108" s="13" t="s">
        <v>40274</v>
      </c>
      <c r="AV108" s="39">
        <v>0</v>
      </c>
      <c r="AW108" s="13" t="s">
        <v>39931</v>
      </c>
      <c r="AX108" s="2"/>
      <c r="AY108" s="1"/>
      <c r="AZ108" s="160">
        <f>_xlfn.XLOOKUP(Tabela98[[#This Row], [Descrição do projeto]],[3]Geração!$G:$G,[3]Geração!$F:$F,,0,1)</f>
      </c>
    </row>
    <row x14ac:dyDescent="0.25" r="109" customHeight="1" ht="24.75">
      <c r="A109" s="187"/>
      <c r="B109" s="188">
        <f>AND(ISTEXT('Consolidado-Eletronorte'!#REF!),SUM('Consolidado-Eletronorte'!#REF!)&gt;0)</f>
      </c>
      <c r="C109" s="189">
        <f>$J$3</f>
      </c>
      <c r="D109" s="189">
        <f>$H$3</f>
      </c>
      <c r="E109" s="189">
        <f>$H$4</f>
      </c>
      <c r="F109" s="190"/>
      <c r="G109" s="189">
        <f>_xlfn.CONCAT('Consolidado-Eletronorte'!#REF!,"_",ROW('Consolidado-Eletronorte'!#REF!)-ROW('Consolidado-Eletronorte'!$G$18))</f>
      </c>
      <c r="H109" s="186" t="s">
        <v>10</v>
      </c>
      <c r="I109" s="191" t="s">
        <v>88</v>
      </c>
      <c r="J109" s="191" t="s">
        <v>5</v>
      </c>
      <c r="K109" s="192" t="s">
        <v>16</v>
      </c>
      <c r="L109" s="191" t="s">
        <v>67</v>
      </c>
      <c r="M109" s="191" t="s">
        <v>39949</v>
      </c>
      <c r="N109" s="191"/>
      <c r="O109" s="191"/>
      <c r="P109" s="192">
        <v>157189</v>
      </c>
      <c r="Q109" s="193" t="s">
        <v>40275</v>
      </c>
      <c r="R109" s="193" t="s">
        <v>40276</v>
      </c>
      <c r="S109" s="191" t="s">
        <v>39945</v>
      </c>
      <c r="T109" s="63">
        <v>0</v>
      </c>
      <c r="U109" s="63">
        <v>0</v>
      </c>
      <c r="V109" s="63">
        <v>0</v>
      </c>
      <c r="W109" s="63">
        <v>0</v>
      </c>
      <c r="X109" s="63">
        <v>0</v>
      </c>
      <c r="Y109" s="63">
        <v>0</v>
      </c>
      <c r="Z109" s="63">
        <v>0</v>
      </c>
      <c r="AA109" s="63">
        <v>0</v>
      </c>
      <c r="AB109" s="63">
        <v>0</v>
      </c>
      <c r="AC109" s="63">
        <v>0</v>
      </c>
      <c r="AD109" s="63">
        <v>0</v>
      </c>
      <c r="AE109" s="63">
        <v>0</v>
      </c>
      <c r="AF109" s="63">
        <v>0</v>
      </c>
      <c r="AG109" s="63">
        <v>250000</v>
      </c>
      <c r="AH109" s="63">
        <v>250000</v>
      </c>
      <c r="AI109" s="63">
        <v>0</v>
      </c>
      <c r="AJ109" s="63">
        <v>0</v>
      </c>
      <c r="AK109" s="63">
        <v>500000</v>
      </c>
      <c r="AL109" s="63">
        <v>0</v>
      </c>
      <c r="AM109" s="63">
        <v>0</v>
      </c>
      <c r="AN109" s="63">
        <v>0</v>
      </c>
      <c r="AO109" s="63">
        <v>0</v>
      </c>
      <c r="AP109" s="63">
        <v>0</v>
      </c>
      <c r="AQ109" s="63">
        <v>500000</v>
      </c>
      <c r="AR109" s="39">
        <v>61</v>
      </c>
      <c r="AS109" s="13" t="s">
        <v>39946</v>
      </c>
      <c r="AT109" s="128" t="s">
        <v>39970</v>
      </c>
      <c r="AU109" s="13" t="s">
        <v>40277</v>
      </c>
      <c r="AV109" s="39">
        <v>0</v>
      </c>
      <c r="AW109" s="13" t="s">
        <v>39931</v>
      </c>
      <c r="AX109" s="2"/>
      <c r="AY109" s="1"/>
      <c r="AZ109" s="160">
        <f>_xlfn.XLOOKUP(Tabela98[[#This Row], [Descrição do projeto]],[3]Geração!$G:$G,[3]Geração!$F:$F,,0,1)</f>
      </c>
    </row>
    <row x14ac:dyDescent="0.25" r="110" customHeight="1" ht="24.75">
      <c r="A110" s="187"/>
      <c r="B110" s="188">
        <f>AND(ISTEXT('Consolidado-Eletronorte'!#REF!),SUM('Consolidado-Eletronorte'!#REF!)&gt;0)</f>
      </c>
      <c r="C110" s="189">
        <f>$J$3</f>
      </c>
      <c r="D110" s="189">
        <f>$H$3</f>
      </c>
      <c r="E110" s="189">
        <f>$H$4</f>
      </c>
      <c r="F110" s="190"/>
      <c r="G110" s="189">
        <f>_xlfn.CONCAT('Consolidado-Eletronorte'!#REF!,"_",ROW('Consolidado-Eletronorte'!#REF!)-ROW('Consolidado-Eletronorte'!$G$18))</f>
      </c>
      <c r="H110" s="186" t="s">
        <v>10</v>
      </c>
      <c r="I110" s="191" t="s">
        <v>88</v>
      </c>
      <c r="J110" s="191" t="s">
        <v>5</v>
      </c>
      <c r="K110" s="192" t="s">
        <v>16</v>
      </c>
      <c r="L110" s="191" t="s">
        <v>67</v>
      </c>
      <c r="M110" s="191" t="s">
        <v>39949</v>
      </c>
      <c r="N110" s="191"/>
      <c r="O110" s="191"/>
      <c r="P110" s="192">
        <v>157189</v>
      </c>
      <c r="Q110" s="193" t="s">
        <v>40278</v>
      </c>
      <c r="R110" s="193" t="s">
        <v>40279</v>
      </c>
      <c r="S110" s="191" t="s">
        <v>39945</v>
      </c>
      <c r="T110" s="63">
        <v>0</v>
      </c>
      <c r="U110" s="63">
        <v>0</v>
      </c>
      <c r="V110" s="63">
        <v>0</v>
      </c>
      <c r="W110" s="63">
        <v>0</v>
      </c>
      <c r="X110" s="63">
        <v>0</v>
      </c>
      <c r="Y110" s="63">
        <v>0</v>
      </c>
      <c r="Z110" s="63">
        <v>0</v>
      </c>
      <c r="AA110" s="63">
        <v>0</v>
      </c>
      <c r="AB110" s="63">
        <v>0</v>
      </c>
      <c r="AC110" s="63">
        <v>0</v>
      </c>
      <c r="AD110" s="63">
        <v>0</v>
      </c>
      <c r="AE110" s="63">
        <v>0</v>
      </c>
      <c r="AF110" s="63">
        <v>0</v>
      </c>
      <c r="AG110" s="63">
        <v>250000</v>
      </c>
      <c r="AH110" s="63">
        <v>250000</v>
      </c>
      <c r="AI110" s="63">
        <v>0</v>
      </c>
      <c r="AJ110" s="63">
        <v>0</v>
      </c>
      <c r="AK110" s="63">
        <v>500000</v>
      </c>
      <c r="AL110" s="63">
        <v>0</v>
      </c>
      <c r="AM110" s="63">
        <v>0</v>
      </c>
      <c r="AN110" s="63">
        <v>0</v>
      </c>
      <c r="AO110" s="63">
        <v>0</v>
      </c>
      <c r="AP110" s="63">
        <v>0</v>
      </c>
      <c r="AQ110" s="63">
        <v>500000</v>
      </c>
      <c r="AR110" s="39">
        <v>62</v>
      </c>
      <c r="AS110" s="13" t="s">
        <v>39946</v>
      </c>
      <c r="AT110" s="128" t="s">
        <v>39970</v>
      </c>
      <c r="AU110" s="13" t="s">
        <v>40280</v>
      </c>
      <c r="AV110" s="39">
        <v>0</v>
      </c>
      <c r="AW110" s="13" t="s">
        <v>39931</v>
      </c>
      <c r="AX110" s="2"/>
      <c r="AY110" s="1"/>
      <c r="AZ110" s="160">
        <f>_xlfn.XLOOKUP(Tabela98[[#This Row], [Descrição do projeto]],[3]Geração!$G:$G,[3]Geração!$F:$F,,0,1)</f>
      </c>
    </row>
    <row x14ac:dyDescent="0.25" r="111" customHeight="1" ht="24.75">
      <c r="A111" s="187"/>
      <c r="B111" s="188">
        <f>AND(ISTEXT('Consolidado-Eletronorte'!#REF!),SUM('Consolidado-Eletronorte'!#REF!)&gt;0)</f>
      </c>
      <c r="C111" s="189">
        <f>$J$3</f>
      </c>
      <c r="D111" s="189">
        <f>$H$3</f>
      </c>
      <c r="E111" s="189">
        <f>$H$4</f>
      </c>
      <c r="F111" s="190"/>
      <c r="G111" s="189">
        <f>_xlfn.CONCAT('Consolidado-Eletronorte'!#REF!,"_",ROW('Consolidado-Eletronorte'!#REF!)-ROW('Consolidado-Eletronorte'!$G$18))</f>
      </c>
      <c r="H111" s="186" t="s">
        <v>10</v>
      </c>
      <c r="I111" s="191" t="s">
        <v>88</v>
      </c>
      <c r="J111" s="191" t="s">
        <v>5</v>
      </c>
      <c r="K111" s="192" t="s">
        <v>16</v>
      </c>
      <c r="L111" s="191" t="s">
        <v>67</v>
      </c>
      <c r="M111" s="191" t="s">
        <v>39949</v>
      </c>
      <c r="N111" s="191"/>
      <c r="O111" s="191"/>
      <c r="P111" s="192">
        <v>157189</v>
      </c>
      <c r="Q111" s="193" t="s">
        <v>40281</v>
      </c>
      <c r="R111" s="193" t="s">
        <v>40282</v>
      </c>
      <c r="S111" s="191" t="s">
        <v>39945</v>
      </c>
      <c r="T111" s="63">
        <v>0</v>
      </c>
      <c r="U111" s="63">
        <v>0</v>
      </c>
      <c r="V111" s="63">
        <v>0</v>
      </c>
      <c r="W111" s="63">
        <v>0</v>
      </c>
      <c r="X111" s="63">
        <v>0</v>
      </c>
      <c r="Y111" s="63">
        <v>0</v>
      </c>
      <c r="Z111" s="63">
        <v>0</v>
      </c>
      <c r="AA111" s="63">
        <v>0</v>
      </c>
      <c r="AB111" s="63">
        <v>0</v>
      </c>
      <c r="AC111" s="63">
        <v>0</v>
      </c>
      <c r="AD111" s="63">
        <v>0</v>
      </c>
      <c r="AE111" s="63">
        <v>0</v>
      </c>
      <c r="AF111" s="63">
        <v>0</v>
      </c>
      <c r="AG111" s="63">
        <v>250000</v>
      </c>
      <c r="AH111" s="63">
        <v>250000</v>
      </c>
      <c r="AI111" s="63">
        <v>0</v>
      </c>
      <c r="AJ111" s="63">
        <v>0</v>
      </c>
      <c r="AK111" s="63">
        <v>500000</v>
      </c>
      <c r="AL111" s="63">
        <v>0</v>
      </c>
      <c r="AM111" s="63">
        <v>0</v>
      </c>
      <c r="AN111" s="63">
        <v>0</v>
      </c>
      <c r="AO111" s="63">
        <v>0</v>
      </c>
      <c r="AP111" s="63">
        <v>0</v>
      </c>
      <c r="AQ111" s="63">
        <v>500000</v>
      </c>
      <c r="AR111" s="39">
        <v>63</v>
      </c>
      <c r="AS111" s="13" t="s">
        <v>39946</v>
      </c>
      <c r="AT111" s="128" t="s">
        <v>39970</v>
      </c>
      <c r="AU111" s="13" t="s">
        <v>40283</v>
      </c>
      <c r="AV111" s="39">
        <v>0</v>
      </c>
      <c r="AW111" s="13" t="s">
        <v>39931</v>
      </c>
      <c r="AX111" s="2"/>
      <c r="AY111" s="1"/>
      <c r="AZ111" s="160">
        <f>_xlfn.XLOOKUP(Tabela98[[#This Row], [Descrição do projeto]],[3]Geração!$G:$G,[3]Geração!$F:$F,,0,1)</f>
      </c>
    </row>
    <row x14ac:dyDescent="0.25" r="112" customHeight="1" ht="24.75">
      <c r="A112" s="187"/>
      <c r="B112" s="188">
        <f>AND(ISTEXT('Consolidado-Eletronorte'!#REF!),SUM('Consolidado-Eletronorte'!#REF!)&gt;0)</f>
      </c>
      <c r="C112" s="189">
        <f>$J$3</f>
      </c>
      <c r="D112" s="189">
        <f>$H$3</f>
      </c>
      <c r="E112" s="189">
        <f>$H$4</f>
      </c>
      <c r="F112" s="190"/>
      <c r="G112" s="189">
        <f>_xlfn.CONCAT('Consolidado-Eletronorte'!#REF!,"_",ROW('Consolidado-Eletronorte'!#REF!)-ROW('Consolidado-Eletronorte'!$G$18))</f>
      </c>
      <c r="H112" s="186" t="s">
        <v>10</v>
      </c>
      <c r="I112" s="191" t="s">
        <v>88</v>
      </c>
      <c r="J112" s="191" t="s">
        <v>5</v>
      </c>
      <c r="K112" s="192" t="s">
        <v>16</v>
      </c>
      <c r="L112" s="191" t="s">
        <v>67</v>
      </c>
      <c r="M112" s="191" t="s">
        <v>39949</v>
      </c>
      <c r="N112" s="191"/>
      <c r="O112" s="191"/>
      <c r="P112" s="192" t="s">
        <v>38349</v>
      </c>
      <c r="Q112" s="193" t="s">
        <v>40284</v>
      </c>
      <c r="R112" s="193" t="s">
        <v>40285</v>
      </c>
      <c r="S112" s="191" t="s">
        <v>39998</v>
      </c>
      <c r="T112" s="63">
        <v>0</v>
      </c>
      <c r="U112" s="63">
        <v>0</v>
      </c>
      <c r="V112" s="63">
        <v>0</v>
      </c>
      <c r="W112" s="63">
        <v>0</v>
      </c>
      <c r="X112" s="63">
        <v>0</v>
      </c>
      <c r="Y112" s="63">
        <v>0</v>
      </c>
      <c r="Z112" s="63">
        <v>0</v>
      </c>
      <c r="AA112" s="63">
        <v>0</v>
      </c>
      <c r="AB112" s="63">
        <v>0</v>
      </c>
      <c r="AC112" s="63">
        <v>0</v>
      </c>
      <c r="AD112" s="63">
        <v>0</v>
      </c>
      <c r="AE112" s="63">
        <v>0</v>
      </c>
      <c r="AF112" s="63">
        <v>0</v>
      </c>
      <c r="AG112" s="63">
        <v>500000</v>
      </c>
      <c r="AH112" s="63">
        <v>0</v>
      </c>
      <c r="AI112" s="63">
        <v>0</v>
      </c>
      <c r="AJ112" s="63">
        <v>0</v>
      </c>
      <c r="AK112" s="63">
        <v>500000</v>
      </c>
      <c r="AL112" s="63">
        <v>0</v>
      </c>
      <c r="AM112" s="63">
        <v>0</v>
      </c>
      <c r="AN112" s="63">
        <v>0</v>
      </c>
      <c r="AO112" s="63">
        <v>0</v>
      </c>
      <c r="AP112" s="63">
        <v>0</v>
      </c>
      <c r="AQ112" s="63">
        <v>500000</v>
      </c>
      <c r="AR112" s="39">
        <v>71</v>
      </c>
      <c r="AS112" s="13" t="s">
        <v>40053</v>
      </c>
      <c r="AT112" s="39">
        <v>2025</v>
      </c>
      <c r="AU112" s="13" t="s">
        <v>40286</v>
      </c>
      <c r="AV112" s="39">
        <v>0</v>
      </c>
      <c r="AW112" s="13" t="s">
        <v>39931</v>
      </c>
      <c r="AX112" s="2"/>
      <c r="AY112" s="1"/>
      <c r="AZ112" s="160">
        <f>_xlfn.XLOOKUP(Tabela98[[#This Row], [Descrição do projeto]],[3]Geração!$G:$G,[3]Geração!$F:$F,,0,1)</f>
      </c>
    </row>
    <row x14ac:dyDescent="0.25" r="113" customHeight="1" ht="24.75">
      <c r="A113" s="187"/>
      <c r="B113" s="188">
        <f>AND(ISTEXT('Consolidado-Eletronorte'!#REF!),SUM('Consolidado-Eletronorte'!#REF!)&gt;0)</f>
      </c>
      <c r="C113" s="189">
        <f>$J$3</f>
      </c>
      <c r="D113" s="189">
        <f>$H$3</f>
      </c>
      <c r="E113" s="189">
        <f>$H$4</f>
      </c>
      <c r="F113" s="190"/>
      <c r="G113" s="189">
        <f>_xlfn.CONCAT('Consolidado-Eletronorte'!#REF!,"_",ROW('Consolidado-Eletronorte'!#REF!)-ROW('Consolidado-Eletronorte'!$G$18))</f>
      </c>
      <c r="H113" s="186" t="s">
        <v>10</v>
      </c>
      <c r="I113" s="191" t="s">
        <v>88</v>
      </c>
      <c r="J113" s="191" t="s">
        <v>5</v>
      </c>
      <c r="K113" s="192" t="s">
        <v>16</v>
      </c>
      <c r="L113" s="191" t="s">
        <v>67</v>
      </c>
      <c r="M113" s="191" t="s">
        <v>39949</v>
      </c>
      <c r="N113" s="191"/>
      <c r="O113" s="191"/>
      <c r="P113" s="192">
        <v>157189</v>
      </c>
      <c r="Q113" s="193" t="s">
        <v>40287</v>
      </c>
      <c r="R113" s="193" t="s">
        <v>40288</v>
      </c>
      <c r="S113" s="191" t="s">
        <v>39945</v>
      </c>
      <c r="T113" s="63">
        <v>0</v>
      </c>
      <c r="U113" s="63">
        <v>0</v>
      </c>
      <c r="V113" s="63">
        <v>0</v>
      </c>
      <c r="W113" s="63">
        <v>0</v>
      </c>
      <c r="X113" s="63">
        <v>0</v>
      </c>
      <c r="Y113" s="63">
        <v>0</v>
      </c>
      <c r="Z113" s="63">
        <v>0</v>
      </c>
      <c r="AA113" s="63">
        <v>0</v>
      </c>
      <c r="AB113" s="63">
        <v>0</v>
      </c>
      <c r="AC113" s="63">
        <v>0</v>
      </c>
      <c r="AD113" s="63">
        <v>0</v>
      </c>
      <c r="AE113" s="63">
        <v>0</v>
      </c>
      <c r="AF113" s="63">
        <v>0</v>
      </c>
      <c r="AG113" s="63">
        <v>250000</v>
      </c>
      <c r="AH113" s="63">
        <v>250000</v>
      </c>
      <c r="AI113" s="63">
        <v>0</v>
      </c>
      <c r="AJ113" s="63">
        <v>0</v>
      </c>
      <c r="AK113" s="63">
        <v>500000</v>
      </c>
      <c r="AL113" s="63">
        <v>0</v>
      </c>
      <c r="AM113" s="63">
        <v>0</v>
      </c>
      <c r="AN113" s="63">
        <v>0</v>
      </c>
      <c r="AO113" s="63">
        <v>0</v>
      </c>
      <c r="AP113" s="63">
        <v>0</v>
      </c>
      <c r="AQ113" s="63">
        <v>500000</v>
      </c>
      <c r="AR113" s="39">
        <v>64</v>
      </c>
      <c r="AS113" s="13" t="s">
        <v>39946</v>
      </c>
      <c r="AT113" s="128" t="s">
        <v>39970</v>
      </c>
      <c r="AU113" s="13" t="s">
        <v>40289</v>
      </c>
      <c r="AV113" s="39">
        <v>0</v>
      </c>
      <c r="AW113" s="13" t="s">
        <v>39931</v>
      </c>
      <c r="AX113" s="2"/>
      <c r="AY113" s="1"/>
      <c r="AZ113" s="160">
        <f>_xlfn.XLOOKUP(Tabela98[[#This Row], [Descrição do projeto]],[3]Geração!$G:$G,[3]Geração!$F:$F,,0,1)</f>
      </c>
    </row>
    <row x14ac:dyDescent="0.25" r="114" customHeight="1" ht="24.75">
      <c r="A114" s="187"/>
      <c r="B114" s="188">
        <f>AND(ISTEXT('Consolidado-Eletronorte'!#REF!),SUM('Consolidado-Eletronorte'!#REF!)&gt;0)</f>
      </c>
      <c r="C114" s="189">
        <f>$J$3</f>
      </c>
      <c r="D114" s="189">
        <f>$H$3</f>
      </c>
      <c r="E114" s="189">
        <f>$H$4</f>
      </c>
      <c r="F114" s="190"/>
      <c r="G114" s="189">
        <f>_xlfn.CONCAT('Consolidado-Eletronorte'!#REF!,"_",ROW('Consolidado-Eletronorte'!#REF!)-ROW('Consolidado-Eletronorte'!$G$18))</f>
      </c>
      <c r="H114" s="186" t="s">
        <v>10</v>
      </c>
      <c r="I114" s="191" t="s">
        <v>88</v>
      </c>
      <c r="J114" s="191" t="s">
        <v>5</v>
      </c>
      <c r="K114" s="192" t="s">
        <v>16</v>
      </c>
      <c r="L114" s="191" t="s">
        <v>82</v>
      </c>
      <c r="M114" s="191" t="s">
        <v>39949</v>
      </c>
      <c r="N114" s="191"/>
      <c r="O114" s="191"/>
      <c r="P114" s="192">
        <v>157189</v>
      </c>
      <c r="Q114" s="193" t="s">
        <v>40290</v>
      </c>
      <c r="R114" s="193" t="s">
        <v>40291</v>
      </c>
      <c r="S114" s="191" t="s">
        <v>39945</v>
      </c>
      <c r="T114" s="63">
        <v>0</v>
      </c>
      <c r="U114" s="63">
        <v>0</v>
      </c>
      <c r="V114" s="63">
        <v>0</v>
      </c>
      <c r="W114" s="63">
        <v>0</v>
      </c>
      <c r="X114" s="63">
        <v>0</v>
      </c>
      <c r="Y114" s="63">
        <v>0</v>
      </c>
      <c r="Z114" s="63">
        <v>0</v>
      </c>
      <c r="AA114" s="63">
        <v>0</v>
      </c>
      <c r="AB114" s="63">
        <v>0</v>
      </c>
      <c r="AC114" s="63">
        <v>0</v>
      </c>
      <c r="AD114" s="63">
        <v>0</v>
      </c>
      <c r="AE114" s="63">
        <v>0</v>
      </c>
      <c r="AF114" s="63">
        <v>0</v>
      </c>
      <c r="AG114" s="63">
        <v>250000</v>
      </c>
      <c r="AH114" s="63">
        <v>250000</v>
      </c>
      <c r="AI114" s="63">
        <v>0</v>
      </c>
      <c r="AJ114" s="63">
        <v>0</v>
      </c>
      <c r="AK114" s="63">
        <v>500000</v>
      </c>
      <c r="AL114" s="63">
        <v>0</v>
      </c>
      <c r="AM114" s="63">
        <v>0</v>
      </c>
      <c r="AN114" s="63">
        <v>0</v>
      </c>
      <c r="AO114" s="63">
        <v>0</v>
      </c>
      <c r="AP114" s="63">
        <v>0</v>
      </c>
      <c r="AQ114" s="63">
        <v>500000</v>
      </c>
      <c r="AR114" s="39">
        <v>5</v>
      </c>
      <c r="AS114" s="13" t="s">
        <v>39946</v>
      </c>
      <c r="AT114" s="128" t="s">
        <v>39970</v>
      </c>
      <c r="AU114" s="13" t="s">
        <v>40292</v>
      </c>
      <c r="AV114" s="39">
        <v>0</v>
      </c>
      <c r="AW114" s="13" t="s">
        <v>39931</v>
      </c>
      <c r="AX114" s="2"/>
      <c r="AY114" s="1"/>
      <c r="AZ114" s="160">
        <f>_xlfn.XLOOKUP(Tabela98[[#This Row], [Descrição do projeto]],[3]Geração!$G:$G,[3]Geração!$F:$F,,0,1)</f>
      </c>
    </row>
    <row x14ac:dyDescent="0.25" r="115" customHeight="1" ht="24.75">
      <c r="A115" s="198"/>
      <c r="B115" s="188">
        <f>AND(ISTEXT('Consolidado-Eletronorte'!#REF!),SUM('Consolidado-Eletronorte'!#REF!)&gt;0)</f>
      </c>
      <c r="C115" s="199">
        <f>$J$3</f>
      </c>
      <c r="D115" s="199">
        <f>$H$3</f>
      </c>
      <c r="E115" s="199">
        <f>$H$4</f>
      </c>
      <c r="F115" s="200"/>
      <c r="G115" s="199">
        <f>_xlfn.CONCAT('Consolidado-Eletronorte'!#REF!,"_",ROW('Consolidado-Eletronorte'!#REF!)-ROW('Consolidado-Eletronorte'!$G$18))</f>
      </c>
      <c r="H115" s="201" t="s">
        <v>10</v>
      </c>
      <c r="I115" s="202" t="s">
        <v>88</v>
      </c>
      <c r="J115" s="202" t="s">
        <v>5</v>
      </c>
      <c r="K115" s="203" t="s">
        <v>16</v>
      </c>
      <c r="L115" s="202" t="s">
        <v>82</v>
      </c>
      <c r="M115" s="202" t="s">
        <v>39949</v>
      </c>
      <c r="N115" s="202"/>
      <c r="O115" s="202"/>
      <c r="P115" s="203">
        <v>157189</v>
      </c>
      <c r="Q115" s="204" t="s">
        <v>40293</v>
      </c>
      <c r="R115" s="204" t="s">
        <v>40294</v>
      </c>
      <c r="S115" s="202" t="s">
        <v>39945</v>
      </c>
      <c r="T115" s="63">
        <v>0</v>
      </c>
      <c r="U115" s="63">
        <v>0</v>
      </c>
      <c r="V115" s="63">
        <v>0</v>
      </c>
      <c r="W115" s="63">
        <v>0</v>
      </c>
      <c r="X115" s="63">
        <v>0</v>
      </c>
      <c r="Y115" s="63">
        <v>0</v>
      </c>
      <c r="Z115" s="63">
        <v>0</v>
      </c>
      <c r="AA115" s="63">
        <v>0</v>
      </c>
      <c r="AB115" s="63">
        <v>0</v>
      </c>
      <c r="AC115" s="63">
        <v>0</v>
      </c>
      <c r="AD115" s="63">
        <v>0</v>
      </c>
      <c r="AE115" s="63">
        <v>0</v>
      </c>
      <c r="AF115" s="63">
        <v>0</v>
      </c>
      <c r="AG115" s="63">
        <v>250000</v>
      </c>
      <c r="AH115" s="63">
        <v>250000</v>
      </c>
      <c r="AI115" s="63">
        <v>0</v>
      </c>
      <c r="AJ115" s="63">
        <v>0</v>
      </c>
      <c r="AK115" s="63">
        <v>500000</v>
      </c>
      <c r="AL115" s="63">
        <v>0</v>
      </c>
      <c r="AM115" s="63">
        <v>0</v>
      </c>
      <c r="AN115" s="63">
        <v>0</v>
      </c>
      <c r="AO115" s="63">
        <v>0</v>
      </c>
      <c r="AP115" s="63">
        <v>0</v>
      </c>
      <c r="AQ115" s="63">
        <v>500000</v>
      </c>
      <c r="AR115" s="39">
        <v>6</v>
      </c>
      <c r="AS115" s="13" t="s">
        <v>39946</v>
      </c>
      <c r="AT115" s="128" t="s">
        <v>39970</v>
      </c>
      <c r="AU115" s="13" t="s">
        <v>40295</v>
      </c>
      <c r="AV115" s="39">
        <v>0</v>
      </c>
      <c r="AW115" s="13" t="s">
        <v>39931</v>
      </c>
      <c r="AX115" s="2"/>
      <c r="AY115" s="1"/>
      <c r="AZ115" s="160">
        <f>_xlfn.XLOOKUP(Tabela98[[#This Row], [Descrição do projeto]],[3]Geração!$G:$G,[3]Geração!$F:$F,,0,1)</f>
      </c>
    </row>
    <row x14ac:dyDescent="0.25" r="116" customHeight="1" ht="24.75">
      <c r="A116" s="187"/>
      <c r="B116" s="188">
        <f>AND(ISTEXT('Consolidado-Eletronorte'!#REF!),SUM('Consolidado-Eletronorte'!#REF!)&gt;0)</f>
      </c>
      <c r="C116" s="189">
        <f>$J$3</f>
      </c>
      <c r="D116" s="189">
        <f>$H$3</f>
      </c>
      <c r="E116" s="189">
        <f>$H$4</f>
      </c>
      <c r="F116" s="190"/>
      <c r="G116" s="189">
        <f>_xlfn.CONCAT('Consolidado-Eletronorte'!#REF!,"_",ROW('Consolidado-Eletronorte'!#REF!)-ROW('Consolidado-Eletronorte'!$G$18))</f>
      </c>
      <c r="H116" s="186" t="s">
        <v>10</v>
      </c>
      <c r="I116" s="191" t="s">
        <v>88</v>
      </c>
      <c r="J116" s="191" t="s">
        <v>5</v>
      </c>
      <c r="K116" s="192" t="s">
        <v>16</v>
      </c>
      <c r="L116" s="191" t="s">
        <v>67</v>
      </c>
      <c r="M116" s="191" t="s">
        <v>39949</v>
      </c>
      <c r="N116" s="191"/>
      <c r="O116" s="191"/>
      <c r="P116" s="192" t="s">
        <v>38368</v>
      </c>
      <c r="Q116" s="193" t="s">
        <v>40296</v>
      </c>
      <c r="R116" s="193" t="s">
        <v>40297</v>
      </c>
      <c r="S116" s="191" t="s">
        <v>38369</v>
      </c>
      <c r="T116" s="63">
        <v>0</v>
      </c>
      <c r="U116" s="63">
        <v>0</v>
      </c>
      <c r="V116" s="63">
        <v>0</v>
      </c>
      <c r="W116" s="63">
        <v>0</v>
      </c>
      <c r="X116" s="63">
        <v>0</v>
      </c>
      <c r="Y116" s="63">
        <v>0</v>
      </c>
      <c r="Z116" s="63">
        <v>0</v>
      </c>
      <c r="AA116" s="63">
        <v>0</v>
      </c>
      <c r="AB116" s="63">
        <v>0</v>
      </c>
      <c r="AC116" s="63">
        <v>0</v>
      </c>
      <c r="AD116" s="63">
        <v>0</v>
      </c>
      <c r="AE116" s="63">
        <v>0</v>
      </c>
      <c r="AF116" s="63">
        <v>0</v>
      </c>
      <c r="AG116" s="63">
        <v>250000</v>
      </c>
      <c r="AH116" s="63">
        <v>250000</v>
      </c>
      <c r="AI116" s="63">
        <v>0</v>
      </c>
      <c r="AJ116" s="63">
        <v>0</v>
      </c>
      <c r="AK116" s="63">
        <v>500000</v>
      </c>
      <c r="AL116" s="63">
        <v>0</v>
      </c>
      <c r="AM116" s="63">
        <v>0</v>
      </c>
      <c r="AN116" s="63">
        <v>0</v>
      </c>
      <c r="AO116" s="63">
        <v>0</v>
      </c>
      <c r="AP116" s="63">
        <v>0</v>
      </c>
      <c r="AQ116" s="63">
        <v>500000</v>
      </c>
      <c r="AR116" s="39">
        <v>78</v>
      </c>
      <c r="AS116" s="13" t="s">
        <v>39952</v>
      </c>
      <c r="AT116" s="128" t="s">
        <v>39970</v>
      </c>
      <c r="AU116" s="13" t="s">
        <v>40298</v>
      </c>
      <c r="AV116" s="39">
        <v>0</v>
      </c>
      <c r="AW116" s="13" t="s">
        <v>39931</v>
      </c>
      <c r="AX116" s="2"/>
      <c r="AY116" s="1"/>
      <c r="AZ116" s="160">
        <f>_xlfn.XLOOKUP(Tabela98[[#This Row], [Descrição do projeto]],[3]Geração!$G:$G,[3]Geração!$F:$F,,0,1)</f>
      </c>
    </row>
    <row x14ac:dyDescent="0.25" r="117" customHeight="1" ht="24.75">
      <c r="A117" s="187"/>
      <c r="B117" s="188">
        <f>AND(ISTEXT('Consolidado-Eletronorte'!#REF!),SUM('Consolidado-Eletronorte'!#REF!)&gt;0)</f>
      </c>
      <c r="C117" s="189">
        <f>$J$3</f>
      </c>
      <c r="D117" s="189">
        <f>$H$3</f>
      </c>
      <c r="E117" s="189">
        <f>$H$4</f>
      </c>
      <c r="F117" s="190"/>
      <c r="G117" s="189">
        <f>_xlfn.CONCAT('Consolidado-Eletronorte'!#REF!,"_",ROW('Consolidado-Eletronorte'!#REF!)-ROW('Consolidado-Eletronorte'!$G$18))</f>
      </c>
      <c r="H117" s="186" t="s">
        <v>10</v>
      </c>
      <c r="I117" s="191" t="s">
        <v>88</v>
      </c>
      <c r="J117" s="191" t="s">
        <v>5</v>
      </c>
      <c r="K117" s="192" t="s">
        <v>16</v>
      </c>
      <c r="L117" s="191" t="s">
        <v>67</v>
      </c>
      <c r="M117" s="191" t="s">
        <v>39949</v>
      </c>
      <c r="N117" s="191"/>
      <c r="O117" s="191"/>
      <c r="P117" s="192" t="s">
        <v>38368</v>
      </c>
      <c r="Q117" s="193" t="s">
        <v>40299</v>
      </c>
      <c r="R117" s="193" t="s">
        <v>40300</v>
      </c>
      <c r="S117" s="191" t="s">
        <v>38369</v>
      </c>
      <c r="T117" s="63">
        <v>0</v>
      </c>
      <c r="U117" s="63">
        <v>0</v>
      </c>
      <c r="V117" s="63">
        <v>0</v>
      </c>
      <c r="W117" s="63">
        <v>0</v>
      </c>
      <c r="X117" s="63">
        <v>0</v>
      </c>
      <c r="Y117" s="63">
        <v>0</v>
      </c>
      <c r="Z117" s="63">
        <v>0</v>
      </c>
      <c r="AA117" s="63">
        <v>0</v>
      </c>
      <c r="AB117" s="63">
        <v>0</v>
      </c>
      <c r="AC117" s="63">
        <v>0</v>
      </c>
      <c r="AD117" s="63">
        <v>0</v>
      </c>
      <c r="AE117" s="63">
        <v>0</v>
      </c>
      <c r="AF117" s="63">
        <v>0</v>
      </c>
      <c r="AG117" s="63">
        <v>250000</v>
      </c>
      <c r="AH117" s="63">
        <v>250000</v>
      </c>
      <c r="AI117" s="63">
        <v>0</v>
      </c>
      <c r="AJ117" s="63">
        <v>0</v>
      </c>
      <c r="AK117" s="63">
        <v>500000</v>
      </c>
      <c r="AL117" s="63">
        <v>0</v>
      </c>
      <c r="AM117" s="63">
        <v>0</v>
      </c>
      <c r="AN117" s="63">
        <v>0</v>
      </c>
      <c r="AO117" s="63">
        <v>0</v>
      </c>
      <c r="AP117" s="63">
        <v>0</v>
      </c>
      <c r="AQ117" s="63">
        <v>500000</v>
      </c>
      <c r="AR117" s="39">
        <v>80</v>
      </c>
      <c r="AS117" s="13" t="s">
        <v>39952</v>
      </c>
      <c r="AT117" s="128" t="s">
        <v>39970</v>
      </c>
      <c r="AU117" s="13" t="s">
        <v>40301</v>
      </c>
      <c r="AV117" s="39">
        <v>0</v>
      </c>
      <c r="AW117" s="13" t="s">
        <v>39931</v>
      </c>
      <c r="AX117" s="2"/>
      <c r="AY117" s="1"/>
      <c r="AZ117" s="160">
        <f>_xlfn.XLOOKUP(Tabela98[[#This Row], [Descrição do projeto]],[3]Geração!$G:$G,[3]Geração!$F:$F,,0,1)</f>
      </c>
    </row>
    <row x14ac:dyDescent="0.25" r="118" customHeight="1" ht="24.75">
      <c r="A118" s="187"/>
      <c r="B118" s="188">
        <f>AND(ISTEXT('Consolidado-Eletronorte'!#REF!),SUM('Consolidado-Eletronorte'!#REF!)&gt;0)</f>
      </c>
      <c r="C118" s="189">
        <f>$J$3</f>
      </c>
      <c r="D118" s="189">
        <f>$H$3</f>
      </c>
      <c r="E118" s="189">
        <f>$H$4</f>
      </c>
      <c r="F118" s="190"/>
      <c r="G118" s="189">
        <f>_xlfn.CONCAT('Consolidado-Eletronorte'!#REF!,"_",ROW('Consolidado-Eletronorte'!#REF!)-ROW('Consolidado-Eletronorte'!$G$18))</f>
      </c>
      <c r="H118" s="186" t="s">
        <v>10</v>
      </c>
      <c r="I118" s="191" t="s">
        <v>88</v>
      </c>
      <c r="J118" s="191" t="s">
        <v>5</v>
      </c>
      <c r="K118" s="192" t="s">
        <v>16</v>
      </c>
      <c r="L118" s="191" t="s">
        <v>67</v>
      </c>
      <c r="M118" s="191" t="s">
        <v>39949</v>
      </c>
      <c r="N118" s="191"/>
      <c r="O118" s="191"/>
      <c r="P118" s="192" t="s">
        <v>38368</v>
      </c>
      <c r="Q118" s="193" t="s">
        <v>40302</v>
      </c>
      <c r="R118" s="193" t="s">
        <v>40303</v>
      </c>
      <c r="S118" s="191" t="s">
        <v>38369</v>
      </c>
      <c r="T118" s="63">
        <v>0</v>
      </c>
      <c r="U118" s="63">
        <v>0</v>
      </c>
      <c r="V118" s="63">
        <v>0</v>
      </c>
      <c r="W118" s="63">
        <v>0</v>
      </c>
      <c r="X118" s="63">
        <v>0</v>
      </c>
      <c r="Y118" s="63">
        <v>0</v>
      </c>
      <c r="Z118" s="63">
        <v>0</v>
      </c>
      <c r="AA118" s="63">
        <v>0</v>
      </c>
      <c r="AB118" s="63">
        <v>0</v>
      </c>
      <c r="AC118" s="63">
        <v>0</v>
      </c>
      <c r="AD118" s="63">
        <v>0</v>
      </c>
      <c r="AE118" s="63">
        <v>0</v>
      </c>
      <c r="AF118" s="63">
        <v>0</v>
      </c>
      <c r="AG118" s="63">
        <v>250000</v>
      </c>
      <c r="AH118" s="63">
        <v>250000</v>
      </c>
      <c r="AI118" s="63">
        <v>0</v>
      </c>
      <c r="AJ118" s="63">
        <v>0</v>
      </c>
      <c r="AK118" s="63">
        <v>500000</v>
      </c>
      <c r="AL118" s="63">
        <v>0</v>
      </c>
      <c r="AM118" s="63">
        <v>0</v>
      </c>
      <c r="AN118" s="63">
        <v>0</v>
      </c>
      <c r="AO118" s="63">
        <v>0</v>
      </c>
      <c r="AP118" s="63">
        <v>0</v>
      </c>
      <c r="AQ118" s="63">
        <v>500000</v>
      </c>
      <c r="AR118" s="39">
        <v>81</v>
      </c>
      <c r="AS118" s="13" t="s">
        <v>39952</v>
      </c>
      <c r="AT118" s="128" t="s">
        <v>39970</v>
      </c>
      <c r="AU118" s="13" t="s">
        <v>40304</v>
      </c>
      <c r="AV118" s="39">
        <v>0</v>
      </c>
      <c r="AW118" s="13" t="s">
        <v>39931</v>
      </c>
      <c r="AX118" s="2"/>
      <c r="AY118" s="1"/>
      <c r="AZ118" s="160">
        <f>_xlfn.XLOOKUP(Tabela98[[#This Row], [Descrição do projeto]],[3]Geração!$G:$G,[3]Geração!$F:$F,,0,1)</f>
      </c>
    </row>
    <row x14ac:dyDescent="0.25" r="119" customHeight="1" ht="24.75">
      <c r="A119" s="187"/>
      <c r="B119" s="188">
        <f>AND(ISTEXT('Consolidado-Eletronorte'!#REF!),SUM('Consolidado-Eletronorte'!#REF!)&gt;0)</f>
      </c>
      <c r="C119" s="189">
        <f>$J$3</f>
      </c>
      <c r="D119" s="189">
        <f>$H$3</f>
      </c>
      <c r="E119" s="189">
        <f>$H$4</f>
      </c>
      <c r="F119" s="190"/>
      <c r="G119" s="189">
        <f>_xlfn.CONCAT('Consolidado-Eletronorte'!#REF!,"_",ROW('Consolidado-Eletronorte'!#REF!)-ROW('Consolidado-Eletronorte'!$G$18))</f>
      </c>
      <c r="H119" s="186" t="s">
        <v>10</v>
      </c>
      <c r="I119" s="191" t="s">
        <v>88</v>
      </c>
      <c r="J119" s="191" t="s">
        <v>5</v>
      </c>
      <c r="K119" s="192" t="s">
        <v>16</v>
      </c>
      <c r="L119" s="191" t="s">
        <v>67</v>
      </c>
      <c r="M119" s="191" t="s">
        <v>39949</v>
      </c>
      <c r="N119" s="191"/>
      <c r="O119" s="191"/>
      <c r="P119" s="192" t="s">
        <v>38368</v>
      </c>
      <c r="Q119" s="193" t="s">
        <v>40305</v>
      </c>
      <c r="R119" s="193" t="s">
        <v>40306</v>
      </c>
      <c r="S119" s="191" t="s">
        <v>38369</v>
      </c>
      <c r="T119" s="63">
        <v>0</v>
      </c>
      <c r="U119" s="63">
        <v>0</v>
      </c>
      <c r="V119" s="63">
        <v>0</v>
      </c>
      <c r="W119" s="63">
        <v>0</v>
      </c>
      <c r="X119" s="63">
        <v>0</v>
      </c>
      <c r="Y119" s="63">
        <v>0</v>
      </c>
      <c r="Z119" s="63">
        <v>0</v>
      </c>
      <c r="AA119" s="63">
        <v>0</v>
      </c>
      <c r="AB119" s="63">
        <v>0</v>
      </c>
      <c r="AC119" s="63">
        <v>0</v>
      </c>
      <c r="AD119" s="63">
        <v>0</v>
      </c>
      <c r="AE119" s="63">
        <v>0</v>
      </c>
      <c r="AF119" s="63">
        <v>0</v>
      </c>
      <c r="AG119" s="63">
        <v>250000</v>
      </c>
      <c r="AH119" s="63">
        <v>250000</v>
      </c>
      <c r="AI119" s="63">
        <v>0</v>
      </c>
      <c r="AJ119" s="63">
        <v>0</v>
      </c>
      <c r="AK119" s="63">
        <v>500000</v>
      </c>
      <c r="AL119" s="63">
        <v>0</v>
      </c>
      <c r="AM119" s="63">
        <v>0</v>
      </c>
      <c r="AN119" s="63">
        <v>0</v>
      </c>
      <c r="AO119" s="63">
        <v>0</v>
      </c>
      <c r="AP119" s="63">
        <v>0</v>
      </c>
      <c r="AQ119" s="63">
        <v>500000</v>
      </c>
      <c r="AR119" s="39">
        <v>82</v>
      </c>
      <c r="AS119" s="13" t="s">
        <v>39952</v>
      </c>
      <c r="AT119" s="128" t="s">
        <v>39970</v>
      </c>
      <c r="AU119" s="13" t="s">
        <v>40307</v>
      </c>
      <c r="AV119" s="39">
        <v>0</v>
      </c>
      <c r="AW119" s="13" t="s">
        <v>39931</v>
      </c>
      <c r="AX119" s="2"/>
      <c r="AY119" s="1"/>
      <c r="AZ119" s="160">
        <f>_xlfn.XLOOKUP(Tabela98[[#This Row], [Descrição do projeto]],[3]Geração!$G:$G,[3]Geração!$F:$F,,0,1)</f>
      </c>
    </row>
    <row x14ac:dyDescent="0.25" r="120" customHeight="1" ht="24.75">
      <c r="A120" s="187"/>
      <c r="B120" s="188">
        <f>AND(ISTEXT('Consolidado-Eletronorte'!#REF!),SUM('Consolidado-Eletronorte'!#REF!)&gt;0)</f>
      </c>
      <c r="C120" s="189">
        <f>$J$3</f>
      </c>
      <c r="D120" s="189">
        <f>$H$3</f>
      </c>
      <c r="E120" s="189">
        <f>$H$4</f>
      </c>
      <c r="F120" s="190"/>
      <c r="G120" s="189">
        <f>_xlfn.CONCAT('Consolidado-Eletronorte'!#REF!,"_",ROW('Consolidado-Eletronorte'!#REF!)-ROW('Consolidado-Eletronorte'!$G$18))</f>
      </c>
      <c r="H120" s="186" t="s">
        <v>10</v>
      </c>
      <c r="I120" s="191" t="s">
        <v>88</v>
      </c>
      <c r="J120" s="191" t="s">
        <v>5</v>
      </c>
      <c r="K120" s="192" t="s">
        <v>16</v>
      </c>
      <c r="L120" s="191" t="s">
        <v>67</v>
      </c>
      <c r="M120" s="191" t="s">
        <v>39949</v>
      </c>
      <c r="N120" s="191"/>
      <c r="O120" s="191"/>
      <c r="P120" s="192" t="s">
        <v>38368</v>
      </c>
      <c r="Q120" s="193" t="s">
        <v>40308</v>
      </c>
      <c r="R120" s="193" t="s">
        <v>40309</v>
      </c>
      <c r="S120" s="191" t="s">
        <v>38369</v>
      </c>
      <c r="T120" s="63">
        <v>0</v>
      </c>
      <c r="U120" s="63">
        <v>0</v>
      </c>
      <c r="V120" s="63">
        <v>0</v>
      </c>
      <c r="W120" s="63">
        <v>0</v>
      </c>
      <c r="X120" s="63">
        <v>0</v>
      </c>
      <c r="Y120" s="63">
        <v>0</v>
      </c>
      <c r="Z120" s="63">
        <v>0</v>
      </c>
      <c r="AA120" s="63">
        <v>0</v>
      </c>
      <c r="AB120" s="63">
        <v>0</v>
      </c>
      <c r="AC120" s="63">
        <v>0</v>
      </c>
      <c r="AD120" s="63">
        <v>0</v>
      </c>
      <c r="AE120" s="63">
        <v>0</v>
      </c>
      <c r="AF120" s="63">
        <v>0</v>
      </c>
      <c r="AG120" s="63">
        <v>250000</v>
      </c>
      <c r="AH120" s="63">
        <v>250000</v>
      </c>
      <c r="AI120" s="63">
        <v>0</v>
      </c>
      <c r="AJ120" s="63">
        <v>0</v>
      </c>
      <c r="AK120" s="63">
        <v>500000</v>
      </c>
      <c r="AL120" s="63">
        <v>0</v>
      </c>
      <c r="AM120" s="63">
        <v>0</v>
      </c>
      <c r="AN120" s="63">
        <v>0</v>
      </c>
      <c r="AO120" s="63">
        <v>0</v>
      </c>
      <c r="AP120" s="63">
        <v>0</v>
      </c>
      <c r="AQ120" s="63">
        <v>500000</v>
      </c>
      <c r="AR120" s="39">
        <v>83</v>
      </c>
      <c r="AS120" s="13" t="s">
        <v>39952</v>
      </c>
      <c r="AT120" s="128" t="s">
        <v>39970</v>
      </c>
      <c r="AU120" s="13" t="s">
        <v>40310</v>
      </c>
      <c r="AV120" s="39">
        <v>0</v>
      </c>
      <c r="AW120" s="13" t="s">
        <v>39931</v>
      </c>
      <c r="AX120" s="2"/>
      <c r="AY120" s="1"/>
      <c r="AZ120" s="160">
        <f>_xlfn.XLOOKUP(Tabela98[[#This Row], [Descrição do projeto]],[3]Geração!$G:$G,[3]Geração!$F:$F,,0,1)</f>
      </c>
    </row>
    <row x14ac:dyDescent="0.25" r="121" customHeight="1" ht="24.75">
      <c r="A121" s="187"/>
      <c r="B121" s="188">
        <f>AND(ISTEXT('Consolidado-Eletronorte'!#REF!),SUM('Consolidado-Eletronorte'!#REF!)&gt;0)</f>
      </c>
      <c r="C121" s="189">
        <f>$J$3</f>
      </c>
      <c r="D121" s="189">
        <f>$H$3</f>
      </c>
      <c r="E121" s="189">
        <f>$H$4</f>
      </c>
      <c r="F121" s="190"/>
      <c r="G121" s="189">
        <f>_xlfn.CONCAT('Consolidado-Eletronorte'!#REF!,"_",ROW('Consolidado-Eletronorte'!#REF!)-ROW('Consolidado-Eletronorte'!$G$18))</f>
      </c>
      <c r="H121" s="186" t="s">
        <v>10</v>
      </c>
      <c r="I121" s="191" t="s">
        <v>88</v>
      </c>
      <c r="J121" s="191" t="s">
        <v>5</v>
      </c>
      <c r="K121" s="192" t="s">
        <v>16</v>
      </c>
      <c r="L121" s="191" t="s">
        <v>67</v>
      </c>
      <c r="M121" s="191" t="s">
        <v>39949</v>
      </c>
      <c r="N121" s="191"/>
      <c r="O121" s="191"/>
      <c r="P121" s="192" t="s">
        <v>38368</v>
      </c>
      <c r="Q121" s="193" t="s">
        <v>40311</v>
      </c>
      <c r="R121" s="193" t="s">
        <v>40312</v>
      </c>
      <c r="S121" s="191" t="s">
        <v>38369</v>
      </c>
      <c r="T121" s="63">
        <v>0</v>
      </c>
      <c r="U121" s="63">
        <v>0</v>
      </c>
      <c r="V121" s="63">
        <v>0</v>
      </c>
      <c r="W121" s="63">
        <v>0</v>
      </c>
      <c r="X121" s="63">
        <v>0</v>
      </c>
      <c r="Y121" s="63">
        <v>0</v>
      </c>
      <c r="Z121" s="63">
        <v>0</v>
      </c>
      <c r="AA121" s="63">
        <v>0</v>
      </c>
      <c r="AB121" s="63">
        <v>0</v>
      </c>
      <c r="AC121" s="63">
        <v>0</v>
      </c>
      <c r="AD121" s="63">
        <v>0</v>
      </c>
      <c r="AE121" s="63">
        <v>0</v>
      </c>
      <c r="AF121" s="63">
        <v>0</v>
      </c>
      <c r="AG121" s="63">
        <v>250000</v>
      </c>
      <c r="AH121" s="63">
        <v>250000</v>
      </c>
      <c r="AI121" s="63">
        <v>0</v>
      </c>
      <c r="AJ121" s="63">
        <v>0</v>
      </c>
      <c r="AK121" s="63">
        <v>500000</v>
      </c>
      <c r="AL121" s="63">
        <v>0</v>
      </c>
      <c r="AM121" s="63">
        <v>0</v>
      </c>
      <c r="AN121" s="63">
        <v>0</v>
      </c>
      <c r="AO121" s="63">
        <v>0</v>
      </c>
      <c r="AP121" s="63">
        <v>0</v>
      </c>
      <c r="AQ121" s="63">
        <v>500000</v>
      </c>
      <c r="AR121" s="39">
        <v>84</v>
      </c>
      <c r="AS121" s="13" t="s">
        <v>39952</v>
      </c>
      <c r="AT121" s="128" t="s">
        <v>39970</v>
      </c>
      <c r="AU121" s="13" t="s">
        <v>40313</v>
      </c>
      <c r="AV121" s="39">
        <v>0</v>
      </c>
      <c r="AW121" s="13" t="s">
        <v>39931</v>
      </c>
      <c r="AX121" s="2"/>
      <c r="AY121" s="1"/>
      <c r="AZ121" s="160">
        <f>_xlfn.XLOOKUP(Tabela98[[#This Row], [Descrição do projeto]],[3]Geração!$G:$G,[3]Geração!$F:$F,,0,1)</f>
      </c>
    </row>
    <row x14ac:dyDescent="0.25" r="122" customHeight="1" ht="24.75">
      <c r="A122" s="187"/>
      <c r="B122" s="188">
        <f>AND(ISTEXT('Consolidado-Eletronorte'!#REF!),SUM('Consolidado-Eletronorte'!#REF!)&gt;0)</f>
      </c>
      <c r="C122" s="189">
        <f>$J$3</f>
      </c>
      <c r="D122" s="189">
        <f>$H$3</f>
      </c>
      <c r="E122" s="189">
        <f>$H$4</f>
      </c>
      <c r="F122" s="190"/>
      <c r="G122" s="189">
        <f>_xlfn.CONCAT('Consolidado-Eletronorte'!#REF!,"_",ROW('Consolidado-Eletronorte'!#REF!)-ROW('Consolidado-Eletronorte'!$G$18))</f>
      </c>
      <c r="H122" s="186" t="s">
        <v>10</v>
      </c>
      <c r="I122" s="191" t="s">
        <v>88</v>
      </c>
      <c r="J122" s="191" t="s">
        <v>5</v>
      </c>
      <c r="K122" s="192" t="s">
        <v>16</v>
      </c>
      <c r="L122" s="191" t="s">
        <v>67</v>
      </c>
      <c r="M122" s="191" t="s">
        <v>39949</v>
      </c>
      <c r="N122" s="191"/>
      <c r="O122" s="191"/>
      <c r="P122" s="192" t="s">
        <v>38368</v>
      </c>
      <c r="Q122" s="193" t="s">
        <v>40314</v>
      </c>
      <c r="R122" s="193" t="s">
        <v>40315</v>
      </c>
      <c r="S122" s="191" t="s">
        <v>38369</v>
      </c>
      <c r="T122" s="63">
        <v>0</v>
      </c>
      <c r="U122" s="63">
        <v>0</v>
      </c>
      <c r="V122" s="63">
        <v>0</v>
      </c>
      <c r="W122" s="63">
        <v>0</v>
      </c>
      <c r="X122" s="63">
        <v>0</v>
      </c>
      <c r="Y122" s="63">
        <v>0</v>
      </c>
      <c r="Z122" s="63">
        <v>0</v>
      </c>
      <c r="AA122" s="63">
        <v>0</v>
      </c>
      <c r="AB122" s="63">
        <v>0</v>
      </c>
      <c r="AC122" s="63">
        <v>0</v>
      </c>
      <c r="AD122" s="63">
        <v>0</v>
      </c>
      <c r="AE122" s="63">
        <v>0</v>
      </c>
      <c r="AF122" s="63">
        <v>0</v>
      </c>
      <c r="AG122" s="63">
        <v>250000</v>
      </c>
      <c r="AH122" s="63">
        <v>250000</v>
      </c>
      <c r="AI122" s="63">
        <v>0</v>
      </c>
      <c r="AJ122" s="63">
        <v>0</v>
      </c>
      <c r="AK122" s="63">
        <v>500000</v>
      </c>
      <c r="AL122" s="63">
        <v>0</v>
      </c>
      <c r="AM122" s="63">
        <v>0</v>
      </c>
      <c r="AN122" s="63">
        <v>0</v>
      </c>
      <c r="AO122" s="63">
        <v>0</v>
      </c>
      <c r="AP122" s="63">
        <v>0</v>
      </c>
      <c r="AQ122" s="63">
        <v>500000</v>
      </c>
      <c r="AR122" s="39">
        <v>85</v>
      </c>
      <c r="AS122" s="13" t="s">
        <v>39952</v>
      </c>
      <c r="AT122" s="128" t="s">
        <v>39970</v>
      </c>
      <c r="AU122" s="13" t="s">
        <v>40316</v>
      </c>
      <c r="AV122" s="39">
        <v>0</v>
      </c>
      <c r="AW122" s="13" t="s">
        <v>39931</v>
      </c>
      <c r="AX122" s="2"/>
      <c r="AY122" s="1"/>
      <c r="AZ122" s="160">
        <f>_xlfn.XLOOKUP(Tabela98[[#This Row], [Descrição do projeto]],[3]Geração!$G:$G,[3]Geração!$F:$F,,0,1)</f>
      </c>
    </row>
    <row x14ac:dyDescent="0.25" r="123" customHeight="1" ht="24.75">
      <c r="A123" s="187"/>
      <c r="B123" s="188">
        <f>AND(ISTEXT('Consolidado-Eletronorte'!#REF!),SUM('Consolidado-Eletronorte'!#REF!)&gt;0)</f>
      </c>
      <c r="C123" s="189">
        <f>$J$3</f>
      </c>
      <c r="D123" s="189">
        <f>$H$3</f>
      </c>
      <c r="E123" s="189">
        <f>$H$4</f>
      </c>
      <c r="F123" s="190"/>
      <c r="G123" s="189">
        <f>_xlfn.CONCAT('Consolidado-Eletronorte'!#REF!,"_",ROW('Consolidado-Eletronorte'!#REF!)-ROW('Consolidado-Eletronorte'!$G$18))</f>
      </c>
      <c r="H123" s="186" t="s">
        <v>10</v>
      </c>
      <c r="I123" s="191" t="s">
        <v>88</v>
      </c>
      <c r="J123" s="191" t="s">
        <v>5</v>
      </c>
      <c r="K123" s="192" t="s">
        <v>16</v>
      </c>
      <c r="L123" s="191" t="s">
        <v>67</v>
      </c>
      <c r="M123" s="191" t="s">
        <v>39949</v>
      </c>
      <c r="N123" s="191"/>
      <c r="O123" s="191"/>
      <c r="P123" s="192" t="s">
        <v>38368</v>
      </c>
      <c r="Q123" s="193" t="s">
        <v>40317</v>
      </c>
      <c r="R123" s="193" t="s">
        <v>40318</v>
      </c>
      <c r="S123" s="191" t="s">
        <v>38369</v>
      </c>
      <c r="T123" s="63">
        <v>0</v>
      </c>
      <c r="U123" s="63">
        <v>0</v>
      </c>
      <c r="V123" s="63">
        <v>0</v>
      </c>
      <c r="W123" s="63">
        <v>0</v>
      </c>
      <c r="X123" s="63">
        <v>0</v>
      </c>
      <c r="Y123" s="63">
        <v>0</v>
      </c>
      <c r="Z123" s="63">
        <v>0</v>
      </c>
      <c r="AA123" s="63">
        <v>0</v>
      </c>
      <c r="AB123" s="63">
        <v>0</v>
      </c>
      <c r="AC123" s="63">
        <v>0</v>
      </c>
      <c r="AD123" s="63">
        <v>0</v>
      </c>
      <c r="AE123" s="63">
        <v>0</v>
      </c>
      <c r="AF123" s="63">
        <v>0</v>
      </c>
      <c r="AG123" s="63">
        <v>250000</v>
      </c>
      <c r="AH123" s="63">
        <v>250000</v>
      </c>
      <c r="AI123" s="63">
        <v>0</v>
      </c>
      <c r="AJ123" s="63">
        <v>0</v>
      </c>
      <c r="AK123" s="63">
        <v>500000</v>
      </c>
      <c r="AL123" s="63">
        <v>0</v>
      </c>
      <c r="AM123" s="63">
        <v>0</v>
      </c>
      <c r="AN123" s="63">
        <v>0</v>
      </c>
      <c r="AO123" s="63">
        <v>0</v>
      </c>
      <c r="AP123" s="63">
        <v>0</v>
      </c>
      <c r="AQ123" s="63">
        <v>500000</v>
      </c>
      <c r="AR123" s="39">
        <v>86</v>
      </c>
      <c r="AS123" s="13" t="s">
        <v>39952</v>
      </c>
      <c r="AT123" s="128" t="s">
        <v>39970</v>
      </c>
      <c r="AU123" s="13" t="s">
        <v>40319</v>
      </c>
      <c r="AV123" s="39">
        <v>0</v>
      </c>
      <c r="AW123" s="13" t="s">
        <v>39931</v>
      </c>
      <c r="AX123" s="2"/>
      <c r="AY123" s="1"/>
      <c r="AZ123" s="160">
        <f>_xlfn.XLOOKUP(Tabela98[[#This Row], [Descrição do projeto]],[3]Geração!$G:$G,[3]Geração!$F:$F,,0,1)</f>
      </c>
    </row>
    <row x14ac:dyDescent="0.25" r="124" customHeight="1" ht="24.75">
      <c r="A124" s="187"/>
      <c r="B124" s="188">
        <f>AND(ISTEXT('Consolidado-Eletronorte'!#REF!),SUM('Consolidado-Eletronorte'!#REF!)&gt;0)</f>
      </c>
      <c r="C124" s="189">
        <f>$J$3</f>
      </c>
      <c r="D124" s="189">
        <f>$H$3</f>
      </c>
      <c r="E124" s="189">
        <f>$H$4</f>
      </c>
      <c r="F124" s="190"/>
      <c r="G124" s="189">
        <f>_xlfn.CONCAT('Consolidado-Eletronorte'!#REF!,"_",ROW('Consolidado-Eletronorte'!#REF!)-ROW('Consolidado-Eletronorte'!$G$18))</f>
      </c>
      <c r="H124" s="186" t="s">
        <v>10</v>
      </c>
      <c r="I124" s="191" t="s">
        <v>88</v>
      </c>
      <c r="J124" s="191" t="s">
        <v>5</v>
      </c>
      <c r="K124" s="192" t="s">
        <v>16</v>
      </c>
      <c r="L124" s="191" t="s">
        <v>82</v>
      </c>
      <c r="M124" s="191" t="s">
        <v>39949</v>
      </c>
      <c r="N124" s="191"/>
      <c r="O124" s="191"/>
      <c r="P124" s="192" t="s">
        <v>38366</v>
      </c>
      <c r="Q124" s="193" t="s">
        <v>40320</v>
      </c>
      <c r="R124" s="193" t="s">
        <v>40321</v>
      </c>
      <c r="S124" s="191" t="s">
        <v>39969</v>
      </c>
      <c r="T124" s="63">
        <v>0</v>
      </c>
      <c r="U124" s="63">
        <v>0</v>
      </c>
      <c r="V124" s="63">
        <v>0</v>
      </c>
      <c r="W124" s="63">
        <v>0</v>
      </c>
      <c r="X124" s="63">
        <v>0</v>
      </c>
      <c r="Y124" s="63">
        <v>0</v>
      </c>
      <c r="Z124" s="63">
        <v>0</v>
      </c>
      <c r="AA124" s="63">
        <v>0</v>
      </c>
      <c r="AB124" s="63">
        <v>0</v>
      </c>
      <c r="AC124" s="63">
        <v>0</v>
      </c>
      <c r="AD124" s="63">
        <v>0</v>
      </c>
      <c r="AE124" s="63">
        <v>0</v>
      </c>
      <c r="AF124" s="63">
        <v>0</v>
      </c>
      <c r="AG124" s="63">
        <v>250000</v>
      </c>
      <c r="AH124" s="63">
        <v>250000</v>
      </c>
      <c r="AI124" s="63">
        <v>0</v>
      </c>
      <c r="AJ124" s="63">
        <v>0</v>
      </c>
      <c r="AK124" s="63">
        <v>500000</v>
      </c>
      <c r="AL124" s="63">
        <v>0</v>
      </c>
      <c r="AM124" s="63">
        <v>0</v>
      </c>
      <c r="AN124" s="63">
        <v>0</v>
      </c>
      <c r="AO124" s="63">
        <v>0</v>
      </c>
      <c r="AP124" s="63">
        <v>0</v>
      </c>
      <c r="AQ124" s="63">
        <v>500000</v>
      </c>
      <c r="AR124" s="39">
        <v>9</v>
      </c>
      <c r="AS124" s="13" t="s">
        <v>40013</v>
      </c>
      <c r="AT124" s="128" t="s">
        <v>39970</v>
      </c>
      <c r="AU124" s="13" t="s">
        <v>40322</v>
      </c>
      <c r="AV124" s="39">
        <v>0</v>
      </c>
      <c r="AW124" s="13" t="s">
        <v>39931</v>
      </c>
      <c r="AX124" s="2"/>
      <c r="AY124" s="1"/>
      <c r="AZ124" s="160">
        <f>_xlfn.XLOOKUP(Tabela98[[#This Row], [Descrição do projeto]],[3]Geração!$G:$G,[3]Geração!$F:$F,,0,1)</f>
      </c>
    </row>
    <row x14ac:dyDescent="0.25" r="125" customHeight="1" ht="24.75">
      <c r="A125" s="187"/>
      <c r="B125" s="188">
        <f>AND(ISTEXT('Consolidado-Eletronorte'!#REF!),SUM('Consolidado-Eletronorte'!#REF!)&gt;0)</f>
      </c>
      <c r="C125" s="189">
        <f>$J$3</f>
      </c>
      <c r="D125" s="189">
        <f>$H$3</f>
      </c>
      <c r="E125" s="189">
        <f>$H$4</f>
      </c>
      <c r="F125" s="190"/>
      <c r="G125" s="189">
        <f>_xlfn.CONCAT('Consolidado-Eletronorte'!#REF!,"_",ROW('Consolidado-Eletronorte'!#REF!)-ROW('Consolidado-Eletronorte'!$G$18))</f>
      </c>
      <c r="H125" s="186" t="s">
        <v>10</v>
      </c>
      <c r="I125" s="191" t="s">
        <v>88</v>
      </c>
      <c r="J125" s="191" t="s">
        <v>5</v>
      </c>
      <c r="K125" s="192" t="s">
        <v>16</v>
      </c>
      <c r="L125" s="191" t="s">
        <v>67</v>
      </c>
      <c r="M125" s="191" t="s">
        <v>40323</v>
      </c>
      <c r="N125" s="191"/>
      <c r="O125" s="191"/>
      <c r="P125" s="192">
        <v>157189</v>
      </c>
      <c r="Q125" s="193" t="s">
        <v>40324</v>
      </c>
      <c r="R125" s="193" t="s">
        <v>40325</v>
      </c>
      <c r="S125" s="191" t="s">
        <v>39945</v>
      </c>
      <c r="T125" s="63">
        <v>0</v>
      </c>
      <c r="U125" s="63">
        <v>0</v>
      </c>
      <c r="V125" s="63">
        <v>0</v>
      </c>
      <c r="W125" s="63">
        <v>0</v>
      </c>
      <c r="X125" s="63">
        <v>0</v>
      </c>
      <c r="Y125" s="63">
        <v>0</v>
      </c>
      <c r="Z125" s="63">
        <v>450000</v>
      </c>
      <c r="AA125" s="63">
        <v>0</v>
      </c>
      <c r="AB125" s="63">
        <v>0</v>
      </c>
      <c r="AC125" s="63">
        <v>0</v>
      </c>
      <c r="AD125" s="63">
        <v>0</v>
      </c>
      <c r="AE125" s="63">
        <v>0</v>
      </c>
      <c r="AF125" s="63">
        <v>450000</v>
      </c>
      <c r="AG125" s="63">
        <v>0</v>
      </c>
      <c r="AH125" s="63">
        <v>0</v>
      </c>
      <c r="AI125" s="63">
        <v>0</v>
      </c>
      <c r="AJ125" s="63">
        <v>0</v>
      </c>
      <c r="AK125" s="63">
        <v>450000</v>
      </c>
      <c r="AL125" s="63">
        <v>0</v>
      </c>
      <c r="AM125" s="63">
        <v>0</v>
      </c>
      <c r="AN125" s="63">
        <v>0</v>
      </c>
      <c r="AO125" s="63">
        <v>0</v>
      </c>
      <c r="AP125" s="63">
        <v>0</v>
      </c>
      <c r="AQ125" s="63">
        <v>450000</v>
      </c>
      <c r="AR125" s="39">
        <v>15</v>
      </c>
      <c r="AS125" s="3" t="s">
        <v>40326</v>
      </c>
      <c r="AT125" s="39">
        <v>2024</v>
      </c>
      <c r="AU125" s="3" t="s">
        <v>40327</v>
      </c>
      <c r="AV125" s="17" t="s">
        <v>40328</v>
      </c>
      <c r="AW125" s="13" t="s">
        <v>39916</v>
      </c>
      <c r="AX125" s="2"/>
      <c r="AY125" s="1"/>
      <c r="AZ125" s="160">
        <f>_xlfn.XLOOKUP(Tabela98[[#This Row], [Descrição do projeto]],[3]Geração!$G:$G,[3]Geração!$F:$F,,0,1)</f>
      </c>
    </row>
    <row x14ac:dyDescent="0.25" r="126" customHeight="1" ht="24.75">
      <c r="A126" s="187"/>
      <c r="B126" s="188">
        <f>AND(ISTEXT('Consolidado-Eletronorte'!#REF!),SUM('Consolidado-Eletronorte'!#REF!)&gt;0)</f>
      </c>
      <c r="C126" s="189">
        <f>$J$3</f>
      </c>
      <c r="D126" s="189">
        <f>$H$3</f>
      </c>
      <c r="E126" s="189">
        <f>$H$4</f>
      </c>
      <c r="F126" s="190"/>
      <c r="G126" s="189">
        <f>_xlfn.CONCAT('Consolidado-Eletronorte'!#REF!,"_",ROW('Consolidado-Eletronorte'!#REF!)-ROW('Consolidado-Eletronorte'!$G$18))</f>
      </c>
      <c r="H126" s="186" t="s">
        <v>10</v>
      </c>
      <c r="I126" s="191" t="s">
        <v>88</v>
      </c>
      <c r="J126" s="191" t="s">
        <v>5</v>
      </c>
      <c r="K126" s="192" t="s">
        <v>16</v>
      </c>
      <c r="L126" s="191" t="s">
        <v>67</v>
      </c>
      <c r="M126" s="191" t="s">
        <v>39932</v>
      </c>
      <c r="N126" s="191"/>
      <c r="O126" s="191"/>
      <c r="P126" s="192">
        <v>157189</v>
      </c>
      <c r="Q126" s="193" t="s">
        <v>40329</v>
      </c>
      <c r="R126" s="193" t="s">
        <v>40330</v>
      </c>
      <c r="S126" s="191" t="s">
        <v>39945</v>
      </c>
      <c r="T126" s="63">
        <v>0</v>
      </c>
      <c r="U126" s="63">
        <v>0</v>
      </c>
      <c r="V126" s="63">
        <v>0</v>
      </c>
      <c r="W126" s="63">
        <v>0</v>
      </c>
      <c r="X126" s="63">
        <v>0</v>
      </c>
      <c r="Y126" s="63">
        <v>0</v>
      </c>
      <c r="Z126" s="63">
        <v>0</v>
      </c>
      <c r="AA126" s="63">
        <v>0</v>
      </c>
      <c r="AB126" s="63">
        <v>0</v>
      </c>
      <c r="AC126" s="63">
        <v>0</v>
      </c>
      <c r="AD126" s="63">
        <v>300000</v>
      </c>
      <c r="AE126" s="63">
        <v>0</v>
      </c>
      <c r="AF126" s="63">
        <v>300000</v>
      </c>
      <c r="AG126" s="63">
        <v>0</v>
      </c>
      <c r="AH126" s="63">
        <v>0</v>
      </c>
      <c r="AI126" s="63">
        <v>0</v>
      </c>
      <c r="AJ126" s="63">
        <v>0</v>
      </c>
      <c r="AK126" s="63">
        <v>300000</v>
      </c>
      <c r="AL126" s="63">
        <v>0</v>
      </c>
      <c r="AM126" s="63">
        <v>0</v>
      </c>
      <c r="AN126" s="63">
        <v>0</v>
      </c>
      <c r="AO126" s="63">
        <v>0</v>
      </c>
      <c r="AP126" s="63">
        <v>0</v>
      </c>
      <c r="AQ126" s="63">
        <v>300000</v>
      </c>
      <c r="AR126" s="39">
        <v>68</v>
      </c>
      <c r="AS126" s="13" t="s">
        <v>39946</v>
      </c>
      <c r="AT126" s="128" t="s">
        <v>39970</v>
      </c>
      <c r="AU126" s="13" t="s">
        <v>40331</v>
      </c>
      <c r="AV126" s="39">
        <v>0</v>
      </c>
      <c r="AW126" s="13" t="s">
        <v>39931</v>
      </c>
      <c r="AX126" s="2"/>
      <c r="AY126" s="1"/>
      <c r="AZ126" s="160">
        <f>_xlfn.XLOOKUP(Tabela98[[#This Row], [Descrição do projeto]],[3]Geração!$G:$G,[3]Geração!$F:$F,,0,1)</f>
      </c>
    </row>
    <row x14ac:dyDescent="0.25" r="127" customHeight="1" ht="24.75">
      <c r="A127" s="187"/>
      <c r="B127" s="188">
        <f>AND(ISTEXT('Consolidado-Eletronorte'!#REF!),SUM('Consolidado-Eletronorte'!#REF!)&gt;0)</f>
      </c>
      <c r="C127" s="189">
        <f>$J$3</f>
      </c>
      <c r="D127" s="189">
        <f>$H$3</f>
      </c>
      <c r="E127" s="189">
        <f>$H$4</f>
      </c>
      <c r="F127" s="190"/>
      <c r="G127" s="189">
        <f>_xlfn.CONCAT('Consolidado-Eletronorte'!#REF!,"_",ROW('Consolidado-Eletronorte'!#REF!)-ROW('Consolidado-Eletronorte'!$G$18))</f>
      </c>
      <c r="H127" s="186" t="s">
        <v>10</v>
      </c>
      <c r="I127" s="191" t="s">
        <v>88</v>
      </c>
      <c r="J127" s="191" t="s">
        <v>5</v>
      </c>
      <c r="K127" s="192" t="s">
        <v>16</v>
      </c>
      <c r="L127" s="191" t="s">
        <v>67</v>
      </c>
      <c r="M127" s="191" t="s">
        <v>39949</v>
      </c>
      <c r="N127" s="191"/>
      <c r="O127" s="191"/>
      <c r="P127" s="192" t="s">
        <v>38349</v>
      </c>
      <c r="Q127" s="193" t="s">
        <v>40332</v>
      </c>
      <c r="R127" s="193" t="s">
        <v>40333</v>
      </c>
      <c r="S127" s="191" t="s">
        <v>39998</v>
      </c>
      <c r="T127" s="63">
        <v>0</v>
      </c>
      <c r="U127" s="63">
        <v>0</v>
      </c>
      <c r="V127" s="63">
        <v>0</v>
      </c>
      <c r="W127" s="63">
        <v>0</v>
      </c>
      <c r="X127" s="63">
        <v>0</v>
      </c>
      <c r="Y127" s="63">
        <v>0</v>
      </c>
      <c r="Z127" s="63">
        <v>0</v>
      </c>
      <c r="AA127" s="63">
        <v>0</v>
      </c>
      <c r="AB127" s="63">
        <v>0</v>
      </c>
      <c r="AC127" s="63">
        <v>0</v>
      </c>
      <c r="AD127" s="63">
        <v>0</v>
      </c>
      <c r="AE127" s="63">
        <v>0</v>
      </c>
      <c r="AF127" s="63">
        <v>0</v>
      </c>
      <c r="AG127" s="63">
        <v>250000</v>
      </c>
      <c r="AH127" s="63">
        <v>0</v>
      </c>
      <c r="AI127" s="63">
        <v>0</v>
      </c>
      <c r="AJ127" s="63">
        <v>0</v>
      </c>
      <c r="AK127" s="63">
        <v>250000</v>
      </c>
      <c r="AL127" s="63">
        <v>0</v>
      </c>
      <c r="AM127" s="63">
        <v>0</v>
      </c>
      <c r="AN127" s="63">
        <v>0</v>
      </c>
      <c r="AO127" s="63">
        <v>0</v>
      </c>
      <c r="AP127" s="63">
        <v>0</v>
      </c>
      <c r="AQ127" s="63">
        <v>250000</v>
      </c>
      <c r="AR127" s="39">
        <v>40</v>
      </c>
      <c r="AS127" s="13" t="s">
        <v>40053</v>
      </c>
      <c r="AT127" s="128" t="s">
        <v>39970</v>
      </c>
      <c r="AU127" s="13" t="s">
        <v>40334</v>
      </c>
      <c r="AV127" s="39">
        <v>0</v>
      </c>
      <c r="AW127" s="13" t="s">
        <v>39931</v>
      </c>
      <c r="AX127" s="2"/>
      <c r="AY127" s="1"/>
      <c r="AZ127" s="160">
        <f>_xlfn.XLOOKUP(Tabela98[[#This Row], [Descrição do projeto]],[3]Geração!$G:$G,[3]Geração!$F:$F,,0,1)</f>
      </c>
    </row>
    <row x14ac:dyDescent="0.25" r="128" customHeight="1" ht="24.75">
      <c r="A128" s="187"/>
      <c r="B128" s="188">
        <f>AND(ISTEXT('Consolidado-Eletronorte'!#REF!),SUM('Consolidado-Eletronorte'!#REF!)&gt;0)</f>
      </c>
      <c r="C128" s="189">
        <f>$J$3</f>
      </c>
      <c r="D128" s="189">
        <f>$H$3</f>
      </c>
      <c r="E128" s="189">
        <f>$H$4</f>
      </c>
      <c r="F128" s="190"/>
      <c r="G128" s="189">
        <f>_xlfn.CONCAT('Consolidado-Eletronorte'!#REF!,"_",ROW('Consolidado-Eletronorte'!#REF!)-ROW('Consolidado-Eletronorte'!$G$18))</f>
      </c>
      <c r="H128" s="186" t="s">
        <v>10</v>
      </c>
      <c r="I128" s="191" t="s">
        <v>88</v>
      </c>
      <c r="J128" s="191" t="s">
        <v>5</v>
      </c>
      <c r="K128" s="192" t="s">
        <v>16</v>
      </c>
      <c r="L128" s="191" t="s">
        <v>82</v>
      </c>
      <c r="M128" s="191" t="s">
        <v>39949</v>
      </c>
      <c r="N128" s="191"/>
      <c r="O128" s="191"/>
      <c r="P128" s="192" t="s">
        <v>38368</v>
      </c>
      <c r="Q128" s="193" t="s">
        <v>40335</v>
      </c>
      <c r="R128" s="193" t="s">
        <v>40335</v>
      </c>
      <c r="S128" s="191" t="s">
        <v>38369</v>
      </c>
      <c r="T128" s="63">
        <v>0</v>
      </c>
      <c r="U128" s="63">
        <v>0</v>
      </c>
      <c r="V128" s="63">
        <v>0</v>
      </c>
      <c r="W128" s="63">
        <v>0</v>
      </c>
      <c r="X128" s="63">
        <v>0</v>
      </c>
      <c r="Y128" s="63">
        <v>0</v>
      </c>
      <c r="Z128" s="63">
        <v>0</v>
      </c>
      <c r="AA128" s="63">
        <v>0</v>
      </c>
      <c r="AB128" s="63">
        <v>0</v>
      </c>
      <c r="AC128" s="63">
        <v>0</v>
      </c>
      <c r="AD128" s="63">
        <v>0</v>
      </c>
      <c r="AE128" s="63">
        <v>0</v>
      </c>
      <c r="AF128" s="63">
        <v>0</v>
      </c>
      <c r="AG128" s="63">
        <v>250000</v>
      </c>
      <c r="AH128" s="63">
        <v>0</v>
      </c>
      <c r="AI128" s="63">
        <v>0</v>
      </c>
      <c r="AJ128" s="63">
        <v>0</v>
      </c>
      <c r="AK128" s="63">
        <v>250000</v>
      </c>
      <c r="AL128" s="63">
        <v>0</v>
      </c>
      <c r="AM128" s="63">
        <v>0</v>
      </c>
      <c r="AN128" s="63">
        <v>0</v>
      </c>
      <c r="AO128" s="63">
        <v>0</v>
      </c>
      <c r="AP128" s="63">
        <v>0</v>
      </c>
      <c r="AQ128" s="63">
        <v>250000</v>
      </c>
      <c r="AR128" s="39">
        <v>7</v>
      </c>
      <c r="AS128" s="13" t="s">
        <v>39946</v>
      </c>
      <c r="AT128" s="128" t="s">
        <v>39970</v>
      </c>
      <c r="AU128" s="13" t="s">
        <v>40336</v>
      </c>
      <c r="AV128" s="39">
        <v>0</v>
      </c>
      <c r="AW128" s="13" t="s">
        <v>39931</v>
      </c>
      <c r="AX128" s="2"/>
      <c r="AY128" s="1"/>
      <c r="AZ128" s="160">
        <f>_xlfn.XLOOKUP(Tabela98[[#This Row], [Descrição do projeto]],[3]Geração!$G:$G,[3]Geração!$F:$F,,0,1)</f>
      </c>
    </row>
    <row x14ac:dyDescent="0.25" r="129" customHeight="1" ht="24.75">
      <c r="A129" s="187"/>
      <c r="B129" s="188">
        <f>AND(ISTEXT('Consolidado-Eletronorte'!#REF!),SUM('Consolidado-Eletronorte'!#REF!)&gt;0)</f>
      </c>
      <c r="C129" s="189">
        <f>$J$3</f>
      </c>
      <c r="D129" s="189">
        <f>$H$3</f>
      </c>
      <c r="E129" s="189">
        <f>$H$4</f>
      </c>
      <c r="F129" s="190"/>
      <c r="G129" s="189">
        <f>_xlfn.CONCAT('Consolidado-Eletronorte'!#REF!,"_",ROW('Consolidado-Eletronorte'!#REF!)-ROW('Consolidado-Eletronorte'!$G$18))</f>
      </c>
      <c r="H129" s="186" t="s">
        <v>10</v>
      </c>
      <c r="I129" s="191" t="s">
        <v>88</v>
      </c>
      <c r="J129" s="191" t="s">
        <v>5</v>
      </c>
      <c r="K129" s="192" t="s">
        <v>16</v>
      </c>
      <c r="L129" s="191" t="s">
        <v>67</v>
      </c>
      <c r="M129" s="191" t="s">
        <v>39932</v>
      </c>
      <c r="N129" s="191"/>
      <c r="O129" s="191"/>
      <c r="P129" s="192" t="s">
        <v>38358</v>
      </c>
      <c r="Q129" s="193" t="s">
        <v>40337</v>
      </c>
      <c r="R129" s="193" t="s">
        <v>40338</v>
      </c>
      <c r="S129" s="191" t="s">
        <v>39912</v>
      </c>
      <c r="T129" s="63">
        <v>0</v>
      </c>
      <c r="U129" s="63">
        <v>223686</v>
      </c>
      <c r="V129" s="63">
        <v>0</v>
      </c>
      <c r="W129" s="63">
        <v>0</v>
      </c>
      <c r="X129" s="63">
        <v>0</v>
      </c>
      <c r="Y129" s="63">
        <v>0</v>
      </c>
      <c r="Z129" s="63">
        <v>0</v>
      </c>
      <c r="AA129" s="63">
        <v>0</v>
      </c>
      <c r="AB129" s="63">
        <v>0</v>
      </c>
      <c r="AC129" s="63">
        <v>0</v>
      </c>
      <c r="AD129" s="63">
        <v>0</v>
      </c>
      <c r="AE129" s="63">
        <v>0</v>
      </c>
      <c r="AF129" s="63">
        <v>223686</v>
      </c>
      <c r="AG129" s="63">
        <v>0</v>
      </c>
      <c r="AH129" s="63">
        <v>0</v>
      </c>
      <c r="AI129" s="63">
        <v>0</v>
      </c>
      <c r="AJ129" s="63">
        <v>0</v>
      </c>
      <c r="AK129" s="63">
        <v>223686</v>
      </c>
      <c r="AL129" s="63">
        <v>0</v>
      </c>
      <c r="AM129" s="63">
        <v>0</v>
      </c>
      <c r="AN129" s="63">
        <v>0</v>
      </c>
      <c r="AO129" s="63">
        <v>0</v>
      </c>
      <c r="AP129" s="63">
        <v>0</v>
      </c>
      <c r="AQ129" s="63">
        <v>223686</v>
      </c>
      <c r="AR129" s="39">
        <v>105</v>
      </c>
      <c r="AS129" s="13" t="s">
        <v>39964</v>
      </c>
      <c r="AT129" s="39">
        <v>2025</v>
      </c>
      <c r="AU129" s="13" t="s">
        <v>40339</v>
      </c>
      <c r="AV129" s="128" t="s">
        <v>40340</v>
      </c>
      <c r="AW129" s="13" t="s">
        <v>39931</v>
      </c>
      <c r="AX129" s="2"/>
      <c r="AY129" s="1"/>
      <c r="AZ129" s="160">
        <f>_xlfn.XLOOKUP(Tabela98[[#This Row], [Descrição do projeto]],[3]Geração!$G:$G,[3]Geração!$F:$F,,0,1)</f>
      </c>
    </row>
    <row x14ac:dyDescent="0.25" r="130" customHeight="1" ht="24.75">
      <c r="A130" s="198"/>
      <c r="B130" s="188">
        <f>AND(ISTEXT('Consolidado-Eletronorte'!#REF!),SUM('Consolidado-Eletronorte'!#REF!)&gt;0)</f>
      </c>
      <c r="C130" s="199">
        <f>$J$3</f>
      </c>
      <c r="D130" s="199">
        <f>$H$3</f>
      </c>
      <c r="E130" s="199">
        <f>$H$4</f>
      </c>
      <c r="F130" s="200"/>
      <c r="G130" s="199">
        <f>_xlfn.CONCAT('Consolidado-Eletronorte'!#REF!,"_",ROW('Consolidado-Eletronorte'!#REF!)-ROW('Consolidado-Eletronorte'!$G$18))</f>
      </c>
      <c r="H130" s="201" t="s">
        <v>10</v>
      </c>
      <c r="I130" s="202" t="s">
        <v>88</v>
      </c>
      <c r="J130" s="202" t="s">
        <v>5</v>
      </c>
      <c r="K130" s="203" t="s">
        <v>16</v>
      </c>
      <c r="L130" s="202" t="s">
        <v>67</v>
      </c>
      <c r="M130" s="202" t="s">
        <v>39949</v>
      </c>
      <c r="N130" s="202"/>
      <c r="O130" s="202"/>
      <c r="P130" s="203" t="s">
        <v>38366</v>
      </c>
      <c r="Q130" s="204" t="s">
        <v>40341</v>
      </c>
      <c r="R130" s="204" t="s">
        <v>40342</v>
      </c>
      <c r="S130" s="202" t="s">
        <v>39969</v>
      </c>
      <c r="T130" s="63">
        <v>0</v>
      </c>
      <c r="U130" s="63">
        <v>0</v>
      </c>
      <c r="V130" s="63">
        <v>0</v>
      </c>
      <c r="W130" s="63">
        <v>0</v>
      </c>
      <c r="X130" s="63">
        <v>0</v>
      </c>
      <c r="Y130" s="63">
        <v>0</v>
      </c>
      <c r="Z130" s="63">
        <v>0</v>
      </c>
      <c r="AA130" s="63">
        <v>0</v>
      </c>
      <c r="AB130" s="63">
        <v>200000</v>
      </c>
      <c r="AC130" s="63">
        <v>0</v>
      </c>
      <c r="AD130" s="63">
        <v>0</v>
      </c>
      <c r="AE130" s="63">
        <v>0</v>
      </c>
      <c r="AF130" s="63">
        <v>200000</v>
      </c>
      <c r="AG130" s="63">
        <v>0</v>
      </c>
      <c r="AH130" s="63">
        <v>0</v>
      </c>
      <c r="AI130" s="63">
        <v>0</v>
      </c>
      <c r="AJ130" s="63">
        <v>0</v>
      </c>
      <c r="AK130" s="63">
        <v>200000</v>
      </c>
      <c r="AL130" s="63">
        <v>0</v>
      </c>
      <c r="AM130" s="63">
        <v>0</v>
      </c>
      <c r="AN130" s="63">
        <v>0</v>
      </c>
      <c r="AO130" s="63">
        <v>0</v>
      </c>
      <c r="AP130" s="63">
        <v>0</v>
      </c>
      <c r="AQ130" s="63">
        <v>200000</v>
      </c>
      <c r="AR130" s="39">
        <v>16</v>
      </c>
      <c r="AS130" s="13" t="s">
        <v>39964</v>
      </c>
      <c r="AT130" s="128" t="s">
        <v>39970</v>
      </c>
      <c r="AU130" s="13" t="s">
        <v>40343</v>
      </c>
      <c r="AV130" s="39">
        <v>0</v>
      </c>
      <c r="AW130" s="13" t="s">
        <v>39931</v>
      </c>
      <c r="AX130" s="2"/>
      <c r="AY130" s="13" t="s">
        <v>40344</v>
      </c>
      <c r="AZ130" s="160">
        <f>_xlfn.XLOOKUP(Tabela98[[#This Row], [Descrição do projeto]],[3]Geração!$G:$G,[3]Geração!$F:$F,,0,1)</f>
      </c>
    </row>
    <row x14ac:dyDescent="0.25" r="131" customHeight="1" ht="15">
      <c r="A131" s="187"/>
      <c r="B131" s="188">
        <f>AND(ISTEXT('Consolidado-Eletronorte'!#REF!),SUM('Consolidado-Eletronorte'!#REF!)&gt;0)</f>
      </c>
      <c r="C131" s="189">
        <f>$J$3</f>
      </c>
      <c r="D131" s="189">
        <f>$H$3</f>
      </c>
      <c r="E131" s="189">
        <f>$H$4</f>
      </c>
      <c r="F131" s="190"/>
      <c r="G131" s="189">
        <f>_xlfn.CONCAT('Consolidado-Eletronorte'!#REF!,"_",ROW('Consolidado-Eletronorte'!#REF!)-ROW('Consolidado-Eletronorte'!$G$18))</f>
      </c>
      <c r="H131" s="186" t="s">
        <v>10</v>
      </c>
      <c r="I131" s="191" t="s">
        <v>88</v>
      </c>
      <c r="J131" s="191" t="s">
        <v>5</v>
      </c>
      <c r="K131" s="192" t="s">
        <v>16</v>
      </c>
      <c r="L131" s="191" t="s">
        <v>67</v>
      </c>
      <c r="M131" s="191" t="s">
        <v>39949</v>
      </c>
      <c r="N131" s="191"/>
      <c r="O131" s="191"/>
      <c r="P131" s="192" t="s">
        <v>38368</v>
      </c>
      <c r="Q131" s="193" t="s">
        <v>40345</v>
      </c>
      <c r="R131" s="193" t="s">
        <v>40346</v>
      </c>
      <c r="S131" s="191" t="s">
        <v>38369</v>
      </c>
      <c r="T131" s="63">
        <v>0</v>
      </c>
      <c r="U131" s="63">
        <v>0</v>
      </c>
      <c r="V131" s="63">
        <v>0</v>
      </c>
      <c r="W131" s="63">
        <v>0</v>
      </c>
      <c r="X131" s="63">
        <v>0</v>
      </c>
      <c r="Y131" s="63">
        <v>0</v>
      </c>
      <c r="Z131" s="63">
        <v>0</v>
      </c>
      <c r="AA131" s="63">
        <v>0</v>
      </c>
      <c r="AB131" s="63">
        <v>0</v>
      </c>
      <c r="AC131" s="63">
        <v>0</v>
      </c>
      <c r="AD131" s="63">
        <v>0</v>
      </c>
      <c r="AE131" s="63">
        <v>0</v>
      </c>
      <c r="AF131" s="63">
        <v>0</v>
      </c>
      <c r="AG131" s="63">
        <v>100000</v>
      </c>
      <c r="AH131" s="63">
        <v>0</v>
      </c>
      <c r="AI131" s="63">
        <v>0</v>
      </c>
      <c r="AJ131" s="63">
        <v>0</v>
      </c>
      <c r="AK131" s="63">
        <v>100000</v>
      </c>
      <c r="AL131" s="63">
        <v>0</v>
      </c>
      <c r="AM131" s="63">
        <v>0</v>
      </c>
      <c r="AN131" s="63">
        <v>0</v>
      </c>
      <c r="AO131" s="63">
        <v>0</v>
      </c>
      <c r="AP131" s="63">
        <v>0</v>
      </c>
      <c r="AQ131" s="63">
        <v>100000</v>
      </c>
      <c r="AR131" s="39">
        <v>79</v>
      </c>
      <c r="AS131" s="13" t="s">
        <v>39952</v>
      </c>
      <c r="AT131" s="128" t="s">
        <v>39970</v>
      </c>
      <c r="AU131" s="13" t="s">
        <v>40347</v>
      </c>
      <c r="AV131" s="39">
        <v>0</v>
      </c>
      <c r="AW131" s="13" t="s">
        <v>39931</v>
      </c>
      <c r="AX131" s="2"/>
      <c r="AY131" s="1"/>
      <c r="AZ131" s="160">
        <f>_xlfn.XLOOKUP(Tabela98[[#This Row], [Descrição do projeto]],[3]Geração!$G:$G,[3]Geração!$F:$F,,0,1)</f>
      </c>
    </row>
    <row x14ac:dyDescent="0.25" r="132" customHeight="1" ht="15">
      <c r="A132" s="1"/>
      <c r="B132" s="209"/>
      <c r="C132" s="210"/>
      <c r="D132" s="211"/>
      <c r="E132" s="211"/>
      <c r="F132" s="210"/>
      <c r="G132" s="210"/>
      <c r="H132" s="212"/>
      <c r="I132" s="212"/>
      <c r="J132" s="212"/>
      <c r="K132" s="213"/>
      <c r="L132" s="212"/>
      <c r="M132" s="212"/>
      <c r="N132" s="212"/>
      <c r="O132" s="2"/>
      <c r="P132" s="17"/>
      <c r="Q132" s="212"/>
      <c r="R132" s="128"/>
      <c r="S132" s="39"/>
      <c r="T132" s="38"/>
      <c r="U132" s="38"/>
      <c r="V132" s="38"/>
      <c r="W132" s="38"/>
      <c r="X132" s="38"/>
      <c r="Y132" s="38"/>
      <c r="Z132" s="38"/>
      <c r="AA132" s="122"/>
      <c r="AB132" s="122"/>
      <c r="AC132" s="122"/>
      <c r="AD132" s="122"/>
      <c r="AE132" s="122"/>
      <c r="AF132" s="122"/>
      <c r="AG132" s="122"/>
      <c r="AH132" s="122"/>
      <c r="AI132" s="122"/>
      <c r="AJ132" s="38"/>
      <c r="AK132" s="122"/>
      <c r="AL132" s="122"/>
      <c r="AM132" s="122"/>
      <c r="AN132" s="122"/>
      <c r="AO132" s="38"/>
      <c r="AP132" s="38"/>
      <c r="AQ132" s="38"/>
      <c r="AR132" s="17"/>
      <c r="AS132" s="1"/>
      <c r="AT132" s="17"/>
      <c r="AU132" s="1"/>
      <c r="AV132" s="17"/>
      <c r="AW132" s="1"/>
      <c r="AX132" s="2"/>
      <c r="AY132" s="1"/>
      <c r="AZ132" s="1"/>
    </row>
    <row x14ac:dyDescent="0.25" r="133" customHeight="1" ht="15">
      <c r="A133" s="1"/>
      <c r="B133" s="209"/>
      <c r="C133" s="210"/>
      <c r="D133" s="211"/>
      <c r="E133" s="211"/>
      <c r="F133" s="210"/>
      <c r="G133" s="210"/>
      <c r="H133" s="212"/>
      <c r="I133" s="212"/>
      <c r="J133" s="212"/>
      <c r="K133" s="213"/>
      <c r="L133" s="212"/>
      <c r="M133" s="212"/>
      <c r="N133" s="212"/>
      <c r="O133" s="2"/>
      <c r="P133" s="17"/>
      <c r="Q133" s="212"/>
      <c r="R133" s="128"/>
      <c r="S133" s="39"/>
      <c r="T133" s="38"/>
      <c r="U133" s="38"/>
      <c r="V133" s="38"/>
      <c r="W133" s="38"/>
      <c r="X133" s="38"/>
      <c r="Y133" s="38"/>
      <c r="Z133" s="38"/>
      <c r="AA133" s="122"/>
      <c r="AB133" s="122"/>
      <c r="AC133" s="122"/>
      <c r="AD133" s="122"/>
      <c r="AE133" s="122"/>
      <c r="AF133" s="122"/>
      <c r="AG133" s="122"/>
      <c r="AH133" s="122"/>
      <c r="AI133" s="122"/>
      <c r="AJ133" s="38"/>
      <c r="AK133" s="122"/>
      <c r="AL133" s="122"/>
      <c r="AM133" s="122"/>
      <c r="AN133" s="122"/>
      <c r="AO133" s="38"/>
      <c r="AP133" s="38"/>
      <c r="AQ133" s="38"/>
      <c r="AR133" s="17"/>
      <c r="AS133" s="1"/>
      <c r="AT133" s="17"/>
      <c r="AU133" s="1"/>
      <c r="AV133" s="17"/>
      <c r="AW133" s="1"/>
      <c r="AX133" s="2"/>
      <c r="AY133" s="1"/>
      <c r="AZ133" s="1"/>
    </row>
    <row x14ac:dyDescent="0.25" r="134" customHeight="1" ht="15">
      <c r="A134" s="1"/>
      <c r="B134" s="209"/>
      <c r="C134" s="210"/>
      <c r="D134" s="211"/>
      <c r="E134" s="211"/>
      <c r="F134" s="210"/>
      <c r="G134" s="210"/>
      <c r="H134" s="212"/>
      <c r="I134" s="212"/>
      <c r="J134" s="212"/>
      <c r="K134" s="213"/>
      <c r="L134" s="212"/>
      <c r="M134" s="212"/>
      <c r="N134" s="212"/>
      <c r="O134" s="2"/>
      <c r="P134" s="17"/>
      <c r="Q134" s="212"/>
      <c r="R134" s="128"/>
      <c r="S134" s="39"/>
      <c r="T134" s="38"/>
      <c r="U134" s="38"/>
      <c r="V134" s="38"/>
      <c r="W134" s="38"/>
      <c r="X134" s="38"/>
      <c r="Y134" s="38"/>
      <c r="Z134" s="38"/>
      <c r="AA134" s="122"/>
      <c r="AB134" s="122"/>
      <c r="AC134" s="122"/>
      <c r="AD134" s="122"/>
      <c r="AE134" s="122"/>
      <c r="AF134" s="122"/>
      <c r="AG134" s="122"/>
      <c r="AH134" s="122"/>
      <c r="AI134" s="122"/>
      <c r="AJ134" s="38"/>
      <c r="AK134" s="122"/>
      <c r="AL134" s="122"/>
      <c r="AM134" s="122"/>
      <c r="AN134" s="122"/>
      <c r="AO134" s="38"/>
      <c r="AP134" s="38"/>
      <c r="AQ134" s="38"/>
      <c r="AR134" s="17"/>
      <c r="AS134" s="1"/>
      <c r="AT134" s="17"/>
      <c r="AU134" s="1"/>
      <c r="AV134" s="17"/>
      <c r="AW134" s="1"/>
      <c r="AX134" s="2"/>
      <c r="AY134" s="1"/>
      <c r="AZ134" s="1"/>
    </row>
    <row x14ac:dyDescent="0.25" r="135" customHeight="1" ht="15">
      <c r="A135" s="1"/>
      <c r="B135" s="209"/>
      <c r="C135" s="210"/>
      <c r="D135" s="211"/>
      <c r="E135" s="211"/>
      <c r="F135" s="210"/>
      <c r="G135" s="210"/>
      <c r="H135" s="212"/>
      <c r="I135" s="212"/>
      <c r="J135" s="212" t="s">
        <v>7</v>
      </c>
      <c r="K135" s="213" t="s">
        <v>27</v>
      </c>
      <c r="L135" s="212" t="s">
        <v>27</v>
      </c>
      <c r="M135" s="212"/>
      <c r="N135" s="212"/>
      <c r="O135" s="2"/>
      <c r="P135" s="17"/>
      <c r="Q135" s="212"/>
      <c r="R135" s="128"/>
      <c r="S135" s="39"/>
      <c r="T135" s="38"/>
      <c r="U135" s="38"/>
      <c r="V135" s="38"/>
      <c r="W135" s="38"/>
      <c r="X135" s="38"/>
      <c r="Y135" s="38"/>
      <c r="Z135" s="38"/>
      <c r="AA135" s="122"/>
      <c r="AB135" s="122"/>
      <c r="AC135" s="122"/>
      <c r="AD135" s="122"/>
      <c r="AE135" s="122"/>
      <c r="AF135" s="122"/>
      <c r="AG135" s="122"/>
      <c r="AH135" s="122"/>
      <c r="AI135" s="122"/>
      <c r="AJ135" s="38"/>
      <c r="AK135" s="122"/>
      <c r="AL135" s="122"/>
      <c r="AM135" s="122"/>
      <c r="AN135" s="122"/>
      <c r="AO135" s="38"/>
      <c r="AP135" s="38"/>
      <c r="AQ135" s="38"/>
      <c r="AR135" s="17"/>
      <c r="AS135" s="1"/>
      <c r="AT135" s="17"/>
      <c r="AU135" s="1"/>
      <c r="AV135" s="17"/>
      <c r="AW135" s="1"/>
      <c r="AX135" s="2"/>
      <c r="AY135" s="1"/>
      <c r="AZ135" s="1"/>
    </row>
    <row x14ac:dyDescent="0.25" r="136" customHeight="1" ht="15">
      <c r="A136" s="1"/>
      <c r="B136" s="1"/>
      <c r="C136" s="1"/>
      <c r="D136" s="1"/>
      <c r="E136" s="1"/>
      <c r="F136" s="1"/>
      <c r="G136" s="1"/>
      <c r="H136" s="1"/>
      <c r="I136" s="1"/>
      <c r="J136" s="1"/>
      <c r="K136" s="128">
        <f>INDIRECT(SUBSTITUTE($J10&amp;$K10," ",""))</f>
      </c>
      <c r="L136" s="1"/>
      <c r="M136" s="1"/>
      <c r="N136" s="2"/>
      <c r="O136" s="2"/>
      <c r="P136" s="17"/>
      <c r="Q136" s="1"/>
      <c r="R136" s="1"/>
      <c r="S136" s="1"/>
      <c r="T136" s="38"/>
      <c r="U136" s="38"/>
      <c r="V136" s="38"/>
      <c r="W136" s="38"/>
      <c r="X136" s="38"/>
      <c r="Y136" s="38"/>
      <c r="Z136" s="38"/>
      <c r="AA136" s="122"/>
      <c r="AB136" s="122"/>
      <c r="AC136" s="122"/>
      <c r="AD136" s="122"/>
      <c r="AE136" s="122"/>
      <c r="AF136" s="122"/>
      <c r="AG136" s="122"/>
      <c r="AH136" s="122"/>
      <c r="AI136" s="122"/>
      <c r="AJ136" s="38"/>
      <c r="AK136" s="122"/>
      <c r="AL136" s="122"/>
      <c r="AM136" s="122"/>
      <c r="AN136" s="122"/>
      <c r="AO136" s="38"/>
      <c r="AP136" s="38"/>
      <c r="AQ136" s="38"/>
      <c r="AR136" s="17"/>
      <c r="AS136" s="1"/>
      <c r="AT136" s="17"/>
      <c r="AU136" s="1"/>
      <c r="AV136" s="17"/>
      <c r="AW136" s="1"/>
      <c r="AX136" s="2"/>
      <c r="AY136" s="1"/>
      <c r="AZ136" s="1"/>
    </row>
    <row x14ac:dyDescent="0.25" r="137" customHeight="1" ht="15">
      <c r="A137" s="1"/>
      <c r="B137" s="1"/>
      <c r="C137" s="1"/>
      <c r="D137" s="1"/>
      <c r="E137" s="1"/>
      <c r="F137" s="1"/>
      <c r="G137" s="1"/>
      <c r="H137" s="1"/>
      <c r="I137" s="1"/>
      <c r="J137" s="1"/>
      <c r="K137" s="17"/>
      <c r="L137" s="1"/>
      <c r="M137" s="1"/>
      <c r="N137" s="2"/>
      <c r="O137" s="2"/>
      <c r="P137" s="17"/>
      <c r="Q137" s="1"/>
      <c r="R137" s="1"/>
      <c r="S137" s="1"/>
      <c r="T137" s="38"/>
      <c r="U137" s="38"/>
      <c r="V137" s="38"/>
      <c r="W137" s="38"/>
      <c r="X137" s="38"/>
      <c r="Y137" s="38"/>
      <c r="Z137" s="38"/>
      <c r="AA137" s="122"/>
      <c r="AB137" s="122"/>
      <c r="AC137" s="122"/>
      <c r="AD137" s="122"/>
      <c r="AE137" s="122"/>
      <c r="AF137" s="122"/>
      <c r="AG137" s="122"/>
      <c r="AH137" s="122"/>
      <c r="AI137" s="122"/>
      <c r="AJ137" s="38"/>
      <c r="AK137" s="122"/>
      <c r="AL137" s="122"/>
      <c r="AM137" s="122"/>
      <c r="AN137" s="122"/>
      <c r="AO137" s="38"/>
      <c r="AP137" s="38"/>
      <c r="AQ137" s="38"/>
      <c r="AR137" s="17"/>
      <c r="AS137" s="1"/>
      <c r="AT137" s="17"/>
      <c r="AU137" s="1"/>
      <c r="AV137" s="17"/>
      <c r="AW137" s="1"/>
      <c r="AX137" s="2"/>
      <c r="AY137" s="1"/>
      <c r="AZ137" s="1"/>
    </row>
    <row x14ac:dyDescent="0.25" r="138" customHeight="1" ht="15">
      <c r="A138" s="1"/>
      <c r="B138" s="1"/>
      <c r="C138" s="1"/>
      <c r="D138" s="1"/>
      <c r="E138" s="1"/>
      <c r="F138" s="1"/>
      <c r="G138" s="1"/>
      <c r="H138" s="1"/>
      <c r="I138" s="1"/>
      <c r="J138" s="13" t="s">
        <v>5</v>
      </c>
      <c r="K138" s="128" t="s">
        <v>21</v>
      </c>
      <c r="L138" s="1"/>
      <c r="M138" s="1"/>
      <c r="N138" s="2"/>
      <c r="O138" s="2"/>
      <c r="P138" s="17"/>
      <c r="Q138" s="1"/>
      <c r="R138" s="1"/>
      <c r="S138" s="1"/>
      <c r="T138" s="38"/>
      <c r="U138" s="38"/>
      <c r="V138" s="38"/>
      <c r="W138" s="38"/>
      <c r="X138" s="38"/>
      <c r="Y138" s="38"/>
      <c r="Z138" s="38"/>
      <c r="AA138" s="122"/>
      <c r="AB138" s="122"/>
      <c r="AC138" s="122"/>
      <c r="AD138" s="122"/>
      <c r="AE138" s="122"/>
      <c r="AF138" s="122"/>
      <c r="AG138" s="122"/>
      <c r="AH138" s="122"/>
      <c r="AI138" s="122"/>
      <c r="AJ138" s="38"/>
      <c r="AK138" s="122"/>
      <c r="AL138" s="122"/>
      <c r="AM138" s="122"/>
      <c r="AN138" s="122"/>
      <c r="AO138" s="38"/>
      <c r="AP138" s="38"/>
      <c r="AQ138" s="38"/>
      <c r="AR138" s="17"/>
      <c r="AS138" s="1"/>
      <c r="AT138" s="17"/>
      <c r="AU138" s="1"/>
      <c r="AV138" s="17"/>
      <c r="AW138" s="1"/>
      <c r="AX138" s="2"/>
      <c r="AY138" s="1"/>
      <c r="AZ138" s="1"/>
    </row>
    <row x14ac:dyDescent="0.25" r="139" customHeight="1" ht="15">
      <c r="A139" s="1"/>
      <c r="B139" s="1"/>
      <c r="C139" s="1"/>
      <c r="D139" s="1"/>
      <c r="E139" s="1"/>
      <c r="F139" s="1"/>
      <c r="G139" s="1"/>
      <c r="H139" s="1"/>
      <c r="I139" s="1"/>
      <c r="J139" s="160">
        <f>SUBSTITUTE(J135&amp;K135&amp;L135," ","")</f>
      </c>
      <c r="K139" s="128" t="s">
        <v>39898</v>
      </c>
      <c r="L139" s="1"/>
      <c r="M139" s="1"/>
      <c r="N139" s="2"/>
      <c r="O139" s="2"/>
      <c r="P139" s="17"/>
      <c r="Q139" s="1"/>
      <c r="R139" s="1"/>
      <c r="S139" s="1"/>
      <c r="T139" s="38"/>
      <c r="U139" s="38"/>
      <c r="V139" s="38"/>
      <c r="W139" s="38"/>
      <c r="X139" s="38"/>
      <c r="Y139" s="38"/>
      <c r="Z139" s="38"/>
      <c r="AA139" s="122"/>
      <c r="AB139" s="122"/>
      <c r="AC139" s="122"/>
      <c r="AD139" s="122"/>
      <c r="AE139" s="122"/>
      <c r="AF139" s="122"/>
      <c r="AG139" s="122"/>
      <c r="AH139" s="122"/>
      <c r="AI139" s="122"/>
      <c r="AJ139" s="38"/>
      <c r="AK139" s="122"/>
      <c r="AL139" s="122"/>
      <c r="AM139" s="122"/>
      <c r="AN139" s="122"/>
      <c r="AO139" s="38"/>
      <c r="AP139" s="38"/>
      <c r="AQ139" s="38"/>
      <c r="AR139" s="17"/>
      <c r="AS139" s="1"/>
      <c r="AT139" s="17"/>
      <c r="AU139" s="1"/>
      <c r="AV139" s="17"/>
      <c r="AW139" s="1"/>
      <c r="AX139" s="2"/>
      <c r="AY139" s="1"/>
      <c r="AZ139" s="1"/>
    </row>
    <row x14ac:dyDescent="0.25" r="140" customHeight="1" ht="15">
      <c r="A140" s="1"/>
      <c r="B140" s="1"/>
      <c r="C140" s="1"/>
      <c r="D140" s="1"/>
      <c r="E140" s="1"/>
      <c r="F140" s="1"/>
      <c r="G140" s="1"/>
      <c r="H140" s="1"/>
      <c r="I140" s="1"/>
      <c r="J140" s="1"/>
      <c r="K140" s="17"/>
      <c r="L140" s="1"/>
      <c r="M140" s="1"/>
      <c r="N140" s="2"/>
      <c r="O140" s="2"/>
      <c r="P140" s="17"/>
      <c r="Q140" s="1"/>
      <c r="R140" s="1"/>
      <c r="S140" s="1"/>
      <c r="T140" s="38"/>
      <c r="U140" s="38"/>
      <c r="V140" s="38"/>
      <c r="W140" s="38"/>
      <c r="X140" s="38"/>
      <c r="Y140" s="38"/>
      <c r="Z140" s="38"/>
      <c r="AA140" s="122"/>
      <c r="AB140" s="122"/>
      <c r="AC140" s="122"/>
      <c r="AD140" s="122"/>
      <c r="AE140" s="122"/>
      <c r="AF140" s="122"/>
      <c r="AG140" s="122"/>
      <c r="AH140" s="122"/>
      <c r="AI140" s="122"/>
      <c r="AJ140" s="38"/>
      <c r="AK140" s="122"/>
      <c r="AL140" s="122"/>
      <c r="AM140" s="122"/>
      <c r="AN140" s="122"/>
      <c r="AO140" s="38"/>
      <c r="AP140" s="38"/>
      <c r="AQ140" s="38"/>
      <c r="AR140" s="17"/>
      <c r="AS140" s="1"/>
      <c r="AT140" s="17"/>
      <c r="AU140" s="1"/>
      <c r="AV140" s="17"/>
      <c r="AW140" s="1"/>
      <c r="AX140" s="2"/>
      <c r="AY140" s="1"/>
      <c r="AZ140" s="1"/>
    </row>
    <row x14ac:dyDescent="0.25" r="141" customHeight="1" ht="15">
      <c r="A141" s="1"/>
      <c r="B141" s="1"/>
      <c r="C141" s="1"/>
      <c r="D141" s="1"/>
      <c r="E141" s="1"/>
      <c r="F141" s="1"/>
      <c r="G141" s="1"/>
      <c r="H141" s="1"/>
      <c r="I141" s="1"/>
      <c r="J141" s="1"/>
      <c r="K141" s="17"/>
      <c r="L141" s="1"/>
      <c r="M141" s="1"/>
      <c r="N141" s="2"/>
      <c r="O141" s="2"/>
      <c r="P141" s="17"/>
      <c r="Q141" s="1"/>
      <c r="R141" s="1"/>
      <c r="S141" s="1"/>
      <c r="T141" s="38"/>
      <c r="U141" s="38"/>
      <c r="V141" s="38"/>
      <c r="W141" s="38"/>
      <c r="X141" s="38"/>
      <c r="Y141" s="38"/>
      <c r="Z141" s="38"/>
      <c r="AA141" s="122"/>
      <c r="AB141" s="122"/>
      <c r="AC141" s="122"/>
      <c r="AD141" s="122"/>
      <c r="AE141" s="122"/>
      <c r="AF141" s="122"/>
      <c r="AG141" s="122"/>
      <c r="AH141" s="122"/>
      <c r="AI141" s="122"/>
      <c r="AJ141" s="38"/>
      <c r="AK141" s="122"/>
      <c r="AL141" s="122"/>
      <c r="AM141" s="122"/>
      <c r="AN141" s="122"/>
      <c r="AO141" s="38"/>
      <c r="AP141" s="38"/>
      <c r="AQ141" s="38"/>
      <c r="AR141" s="17"/>
      <c r="AS141" s="1"/>
      <c r="AT141" s="17"/>
      <c r="AU141" s="1"/>
      <c r="AV141" s="17"/>
      <c r="AW141" s="1"/>
      <c r="AX141" s="2"/>
      <c r="AY141" s="1"/>
      <c r="AZ141" s="1"/>
    </row>
    <row x14ac:dyDescent="0.25" r="142" customHeight="1" ht="15">
      <c r="A142" s="1"/>
      <c r="B142" s="1"/>
      <c r="C142" s="1"/>
      <c r="D142" s="1"/>
      <c r="E142" s="1"/>
      <c r="F142" s="1"/>
      <c r="G142" s="1"/>
      <c r="H142" s="1"/>
      <c r="I142" s="1"/>
      <c r="J142" s="1"/>
      <c r="K142" s="17"/>
      <c r="L142" s="1"/>
      <c r="M142" s="1"/>
      <c r="N142" s="2"/>
      <c r="O142" s="2"/>
      <c r="P142" s="17"/>
      <c r="Q142" s="1"/>
      <c r="R142" s="1"/>
      <c r="S142" s="1"/>
      <c r="T142" s="38"/>
      <c r="U142" s="38"/>
      <c r="V142" s="38"/>
      <c r="W142" s="38"/>
      <c r="X142" s="38"/>
      <c r="Y142" s="38"/>
      <c r="Z142" s="38"/>
      <c r="AA142" s="122"/>
      <c r="AB142" s="122"/>
      <c r="AC142" s="122"/>
      <c r="AD142" s="122"/>
      <c r="AE142" s="122"/>
      <c r="AF142" s="122"/>
      <c r="AG142" s="122"/>
      <c r="AH142" s="122"/>
      <c r="AI142" s="122"/>
      <c r="AJ142" s="38"/>
      <c r="AK142" s="122"/>
      <c r="AL142" s="122"/>
      <c r="AM142" s="122"/>
      <c r="AN142" s="122"/>
      <c r="AO142" s="38"/>
      <c r="AP142" s="38"/>
      <c r="AQ142" s="38"/>
      <c r="AR142" s="17"/>
      <c r="AS142" s="1"/>
      <c r="AT142" s="17"/>
      <c r="AU142" s="1"/>
      <c r="AV142" s="17"/>
      <c r="AW142" s="1"/>
      <c r="AX142" s="2"/>
      <c r="AY142" s="1"/>
      <c r="AZ142" s="1"/>
    </row>
    <row x14ac:dyDescent="0.25" r="143" customHeight="1" ht="15">
      <c r="A143" s="1"/>
      <c r="B143" s="1"/>
      <c r="C143" s="1"/>
      <c r="D143" s="1"/>
      <c r="E143" s="1"/>
      <c r="F143" s="1"/>
      <c r="G143" s="1"/>
      <c r="H143" s="1"/>
      <c r="I143" s="1"/>
      <c r="J143" s="1"/>
      <c r="K143" s="17"/>
      <c r="L143" s="1"/>
      <c r="M143" s="1"/>
      <c r="N143" s="2"/>
      <c r="O143" s="2"/>
      <c r="P143" s="17"/>
      <c r="Q143" s="1"/>
      <c r="R143" s="1"/>
      <c r="S143" s="1"/>
      <c r="T143" s="38"/>
      <c r="U143" s="38"/>
      <c r="V143" s="38"/>
      <c r="W143" s="38"/>
      <c r="X143" s="38"/>
      <c r="Y143" s="38"/>
      <c r="Z143" s="38"/>
      <c r="AA143" s="122"/>
      <c r="AB143" s="122"/>
      <c r="AC143" s="122"/>
      <c r="AD143" s="122"/>
      <c r="AE143" s="122"/>
      <c r="AF143" s="122"/>
      <c r="AG143" s="122"/>
      <c r="AH143" s="122"/>
      <c r="AI143" s="122"/>
      <c r="AJ143" s="38"/>
      <c r="AK143" s="122"/>
      <c r="AL143" s="122"/>
      <c r="AM143" s="122"/>
      <c r="AN143" s="122"/>
      <c r="AO143" s="38"/>
      <c r="AP143" s="38"/>
      <c r="AQ143" s="38"/>
      <c r="AR143" s="17"/>
      <c r="AS143" s="1"/>
      <c r="AT143" s="17"/>
      <c r="AU143" s="1"/>
      <c r="AV143" s="17"/>
      <c r="AW143" s="1"/>
      <c r="AX143" s="2"/>
      <c r="AY143" s="1"/>
      <c r="AZ143" s="1"/>
    </row>
    <row x14ac:dyDescent="0.25" r="144" customHeight="1" ht="15">
      <c r="A144" s="1"/>
      <c r="B144" s="1"/>
      <c r="C144" s="1"/>
      <c r="D144" s="1"/>
      <c r="E144" s="1"/>
      <c r="F144" s="1"/>
      <c r="G144" s="1"/>
      <c r="H144" s="1"/>
      <c r="I144" s="1"/>
      <c r="J144" s="1"/>
      <c r="K144" s="17"/>
      <c r="L144" s="1"/>
      <c r="M144" s="1"/>
      <c r="N144" s="2"/>
      <c r="O144" s="2"/>
      <c r="P144" s="17"/>
      <c r="Q144" s="1"/>
      <c r="R144" s="1"/>
      <c r="S144" s="1"/>
      <c r="T144" s="38"/>
      <c r="U144" s="38"/>
      <c r="V144" s="38"/>
      <c r="W144" s="38"/>
      <c r="X144" s="38"/>
      <c r="Y144" s="38"/>
      <c r="Z144" s="38"/>
      <c r="AA144" s="122"/>
      <c r="AB144" s="122"/>
      <c r="AC144" s="122"/>
      <c r="AD144" s="122"/>
      <c r="AE144" s="122"/>
      <c r="AF144" s="122"/>
      <c r="AG144" s="122"/>
      <c r="AH144" s="122"/>
      <c r="AI144" s="122"/>
      <c r="AJ144" s="38"/>
      <c r="AK144" s="122"/>
      <c r="AL144" s="122"/>
      <c r="AM144" s="122"/>
      <c r="AN144" s="122"/>
      <c r="AO144" s="38"/>
      <c r="AP144" s="38"/>
      <c r="AQ144" s="38"/>
      <c r="AR144" s="17"/>
      <c r="AS144" s="1"/>
      <c r="AT144" s="17"/>
      <c r="AU144" s="1"/>
      <c r="AV144" s="17"/>
      <c r="AW144" s="1"/>
      <c r="AX144" s="2"/>
      <c r="AY144" s="1"/>
      <c r="AZ144" s="1"/>
    </row>
    <row x14ac:dyDescent="0.25" r="145" customHeight="1" ht="15">
      <c r="A145" s="1"/>
      <c r="B145" s="1"/>
      <c r="C145" s="1"/>
      <c r="D145" s="1"/>
      <c r="E145" s="1"/>
      <c r="F145" s="1"/>
      <c r="G145" s="1"/>
      <c r="H145" s="1"/>
      <c r="I145" s="1"/>
      <c r="J145" s="1"/>
      <c r="K145" s="17"/>
      <c r="L145" s="1"/>
      <c r="M145" s="1"/>
      <c r="N145" s="2"/>
      <c r="O145" s="2"/>
      <c r="P145" s="17"/>
      <c r="Q145" s="1"/>
      <c r="R145" s="1"/>
      <c r="S145" s="1"/>
      <c r="T145" s="38"/>
      <c r="U145" s="38"/>
      <c r="V145" s="38"/>
      <c r="W145" s="38"/>
      <c r="X145" s="38"/>
      <c r="Y145" s="38"/>
      <c r="Z145" s="38"/>
      <c r="AA145" s="122"/>
      <c r="AB145" s="122"/>
      <c r="AC145" s="122"/>
      <c r="AD145" s="122"/>
      <c r="AE145" s="122"/>
      <c r="AF145" s="122"/>
      <c r="AG145" s="122"/>
      <c r="AH145" s="122"/>
      <c r="AI145" s="122"/>
      <c r="AJ145" s="38"/>
      <c r="AK145" s="122"/>
      <c r="AL145" s="122"/>
      <c r="AM145" s="122"/>
      <c r="AN145" s="122"/>
      <c r="AO145" s="38"/>
      <c r="AP145" s="38"/>
      <c r="AQ145" s="38"/>
      <c r="AR145" s="17"/>
      <c r="AS145" s="1"/>
      <c r="AT145" s="17"/>
      <c r="AU145" s="1"/>
      <c r="AV145" s="17"/>
      <c r="AW145" s="1"/>
      <c r="AX145" s="2"/>
      <c r="AY145" s="1"/>
      <c r="AZ145" s="1"/>
    </row>
    <row x14ac:dyDescent="0.25" r="146" customHeight="1" ht="15">
      <c r="A146" s="1"/>
      <c r="B146" s="1"/>
      <c r="C146" s="1"/>
      <c r="D146" s="1"/>
      <c r="E146" s="1"/>
      <c r="F146" s="1"/>
      <c r="G146" s="1"/>
      <c r="H146" s="1"/>
      <c r="I146" s="1"/>
      <c r="J146" s="1"/>
      <c r="K146" s="17"/>
      <c r="L146" s="1"/>
      <c r="M146" s="1"/>
      <c r="N146" s="2"/>
      <c r="O146" s="2"/>
      <c r="P146" s="17"/>
      <c r="Q146" s="1"/>
      <c r="R146" s="1"/>
      <c r="S146" s="1"/>
      <c r="T146" s="38"/>
      <c r="U146" s="38"/>
      <c r="V146" s="38"/>
      <c r="W146" s="38"/>
      <c r="X146" s="38"/>
      <c r="Y146" s="38"/>
      <c r="Z146" s="38"/>
      <c r="AA146" s="122"/>
      <c r="AB146" s="122"/>
      <c r="AC146" s="122"/>
      <c r="AD146" s="122"/>
      <c r="AE146" s="122"/>
      <c r="AF146" s="122"/>
      <c r="AG146" s="122"/>
      <c r="AH146" s="122"/>
      <c r="AI146" s="122"/>
      <c r="AJ146" s="38"/>
      <c r="AK146" s="122"/>
      <c r="AL146" s="122"/>
      <c r="AM146" s="122"/>
      <c r="AN146" s="122"/>
      <c r="AO146" s="38"/>
      <c r="AP146" s="38"/>
      <c r="AQ146" s="38"/>
      <c r="AR146" s="17"/>
      <c r="AS146" s="1"/>
      <c r="AT146" s="17"/>
      <c r="AU146" s="1"/>
      <c r="AV146" s="17"/>
      <c r="AW146" s="1"/>
      <c r="AX146" s="2"/>
      <c r="AY146" s="1"/>
      <c r="AZ146" s="1"/>
    </row>
    <row x14ac:dyDescent="0.25" r="147" customHeight="1" ht="15">
      <c r="A147" s="1"/>
      <c r="B147" s="1"/>
      <c r="C147" s="1"/>
      <c r="D147" s="1"/>
      <c r="E147" s="1"/>
      <c r="F147" s="1"/>
      <c r="G147" s="1"/>
      <c r="H147" s="1"/>
      <c r="I147" s="1"/>
      <c r="J147" s="1"/>
      <c r="K147" s="17"/>
      <c r="L147" s="1"/>
      <c r="M147" s="1"/>
      <c r="N147" s="2"/>
      <c r="O147" s="2"/>
      <c r="P147" s="17"/>
      <c r="Q147" s="1"/>
      <c r="R147" s="1"/>
      <c r="S147" s="1"/>
      <c r="T147" s="38"/>
      <c r="U147" s="38"/>
      <c r="V147" s="38"/>
      <c r="W147" s="38"/>
      <c r="X147" s="38"/>
      <c r="Y147" s="38"/>
      <c r="Z147" s="38"/>
      <c r="AA147" s="122"/>
      <c r="AB147" s="122"/>
      <c r="AC147" s="122"/>
      <c r="AD147" s="122"/>
      <c r="AE147" s="122"/>
      <c r="AF147" s="122"/>
      <c r="AG147" s="122"/>
      <c r="AH147" s="122"/>
      <c r="AI147" s="122"/>
      <c r="AJ147" s="38"/>
      <c r="AK147" s="122"/>
      <c r="AL147" s="122"/>
      <c r="AM147" s="122"/>
      <c r="AN147" s="122"/>
      <c r="AO147" s="38"/>
      <c r="AP147" s="38"/>
      <c r="AQ147" s="38"/>
      <c r="AR147" s="17"/>
      <c r="AS147" s="1"/>
      <c r="AT147" s="17"/>
      <c r="AU147" s="1"/>
      <c r="AV147" s="17"/>
      <c r="AW147" s="1"/>
      <c r="AX147" s="2"/>
      <c r="AY147" s="1"/>
      <c r="AZ147" s="1"/>
    </row>
    <row x14ac:dyDescent="0.25" r="148" customHeight="1" ht="15">
      <c r="A148" s="1"/>
      <c r="B148" s="1"/>
      <c r="C148" s="1"/>
      <c r="D148" s="1"/>
      <c r="E148" s="1"/>
      <c r="F148" s="1"/>
      <c r="G148" s="1"/>
      <c r="H148" s="1"/>
      <c r="I148" s="1"/>
      <c r="J148" s="1"/>
      <c r="K148" s="17"/>
      <c r="L148" s="1"/>
      <c r="M148" s="1"/>
      <c r="N148" s="2"/>
      <c r="O148" s="2"/>
      <c r="P148" s="17"/>
      <c r="Q148" s="1"/>
      <c r="R148" s="1"/>
      <c r="S148" s="1"/>
      <c r="T148" s="38"/>
      <c r="U148" s="38"/>
      <c r="V148" s="38"/>
      <c r="W148" s="38"/>
      <c r="X148" s="38"/>
      <c r="Y148" s="38"/>
      <c r="Z148" s="38"/>
      <c r="AA148" s="122"/>
      <c r="AB148" s="122"/>
      <c r="AC148" s="122"/>
      <c r="AD148" s="122"/>
      <c r="AE148" s="122"/>
      <c r="AF148" s="122"/>
      <c r="AG148" s="122"/>
      <c r="AH148" s="122"/>
      <c r="AI148" s="122"/>
      <c r="AJ148" s="38"/>
      <c r="AK148" s="122"/>
      <c r="AL148" s="122"/>
      <c r="AM148" s="122"/>
      <c r="AN148" s="122"/>
      <c r="AO148" s="38"/>
      <c r="AP148" s="38"/>
      <c r="AQ148" s="38"/>
      <c r="AR148" s="17"/>
      <c r="AS148" s="1"/>
      <c r="AT148" s="17"/>
      <c r="AU148" s="1"/>
      <c r="AV148" s="17"/>
      <c r="AW148" s="1"/>
      <c r="AX148" s="2"/>
      <c r="AY148" s="1"/>
      <c r="AZ148" s="1"/>
    </row>
    <row x14ac:dyDescent="0.25" r="149" customHeight="1" ht="15">
      <c r="A149" s="1"/>
      <c r="B149" s="1"/>
      <c r="C149" s="1"/>
      <c r="D149" s="1"/>
      <c r="E149" s="1"/>
      <c r="F149" s="1"/>
      <c r="G149" s="1"/>
      <c r="H149" s="1"/>
      <c r="I149" s="1"/>
      <c r="J149" s="1"/>
      <c r="K149" s="17"/>
      <c r="L149" s="1"/>
      <c r="M149" s="1"/>
      <c r="N149" s="2"/>
      <c r="O149" s="2"/>
      <c r="P149" s="17"/>
      <c r="Q149" s="1"/>
      <c r="R149" s="1"/>
      <c r="S149" s="1"/>
      <c r="T149" s="38"/>
      <c r="U149" s="38"/>
      <c r="V149" s="38"/>
      <c r="W149" s="38"/>
      <c r="X149" s="38"/>
      <c r="Y149" s="38"/>
      <c r="Z149" s="38"/>
      <c r="AA149" s="122"/>
      <c r="AB149" s="122"/>
      <c r="AC149" s="122"/>
      <c r="AD149" s="122"/>
      <c r="AE149" s="122"/>
      <c r="AF149" s="122"/>
      <c r="AG149" s="122"/>
      <c r="AH149" s="122"/>
      <c r="AI149" s="122"/>
      <c r="AJ149" s="38"/>
      <c r="AK149" s="122"/>
      <c r="AL149" s="122"/>
      <c r="AM149" s="122"/>
      <c r="AN149" s="122"/>
      <c r="AO149" s="38"/>
      <c r="AP149" s="38"/>
      <c r="AQ149" s="38"/>
      <c r="AR149" s="17"/>
      <c r="AS149" s="1"/>
      <c r="AT149" s="17"/>
      <c r="AU149" s="1"/>
      <c r="AV149" s="17"/>
      <c r="AW149" s="1"/>
      <c r="AX149" s="2"/>
      <c r="AY149" s="1"/>
      <c r="AZ149" s="1"/>
    </row>
    <row x14ac:dyDescent="0.25" r="150" customHeight="1" ht="15">
      <c r="A150" s="1"/>
      <c r="B150" s="1"/>
      <c r="C150" s="1"/>
      <c r="D150" s="1"/>
      <c r="E150" s="1"/>
      <c r="F150" s="1"/>
      <c r="G150" s="1"/>
      <c r="H150" s="1"/>
      <c r="I150" s="1"/>
      <c r="J150" s="1"/>
      <c r="K150" s="17"/>
      <c r="L150" s="1"/>
      <c r="M150" s="1"/>
      <c r="N150" s="2"/>
      <c r="O150" s="2"/>
      <c r="P150" s="17"/>
      <c r="Q150" s="1"/>
      <c r="R150" s="1"/>
      <c r="S150" s="1"/>
      <c r="T150" s="38"/>
      <c r="U150" s="38"/>
      <c r="V150" s="38"/>
      <c r="W150" s="38"/>
      <c r="X150" s="38"/>
      <c r="Y150" s="38"/>
      <c r="Z150" s="38"/>
      <c r="AA150" s="122"/>
      <c r="AB150" s="122"/>
      <c r="AC150" s="122"/>
      <c r="AD150" s="122"/>
      <c r="AE150" s="122"/>
      <c r="AF150" s="122"/>
      <c r="AG150" s="122"/>
      <c r="AH150" s="122"/>
      <c r="AI150" s="122"/>
      <c r="AJ150" s="38"/>
      <c r="AK150" s="122"/>
      <c r="AL150" s="122"/>
      <c r="AM150" s="122"/>
      <c r="AN150" s="122"/>
      <c r="AO150" s="38"/>
      <c r="AP150" s="38"/>
      <c r="AQ150" s="38"/>
      <c r="AR150" s="17"/>
      <c r="AS150" s="1"/>
      <c r="AT150" s="17"/>
      <c r="AU150" s="1"/>
      <c r="AV150" s="17"/>
      <c r="AW150" s="1"/>
      <c r="AX150" s="2"/>
      <c r="AY150" s="1"/>
      <c r="AZ150" s="1"/>
    </row>
    <row x14ac:dyDescent="0.25" r="151" customHeight="1" ht="15">
      <c r="A151" s="1"/>
      <c r="B151" s="1"/>
      <c r="C151" s="1"/>
      <c r="D151" s="1"/>
      <c r="E151" s="1"/>
      <c r="F151" s="1"/>
      <c r="G151" s="1"/>
      <c r="H151" s="1"/>
      <c r="I151" s="1"/>
      <c r="J151" s="1"/>
      <c r="K151" s="17"/>
      <c r="L151" s="1"/>
      <c r="M151" s="1"/>
      <c r="N151" s="2"/>
      <c r="O151" s="2"/>
      <c r="P151" s="17"/>
      <c r="Q151" s="1"/>
      <c r="R151" s="1"/>
      <c r="S151" s="1"/>
      <c r="T151" s="38"/>
      <c r="U151" s="38"/>
      <c r="V151" s="38"/>
      <c r="W151" s="38"/>
      <c r="X151" s="38"/>
      <c r="Y151" s="38"/>
      <c r="Z151" s="38"/>
      <c r="AA151" s="122"/>
      <c r="AB151" s="122"/>
      <c r="AC151" s="122"/>
      <c r="AD151" s="122"/>
      <c r="AE151" s="122"/>
      <c r="AF151" s="122"/>
      <c r="AG151" s="122"/>
      <c r="AH151" s="122"/>
      <c r="AI151" s="122"/>
      <c r="AJ151" s="38"/>
      <c r="AK151" s="122"/>
      <c r="AL151" s="122"/>
      <c r="AM151" s="122"/>
      <c r="AN151" s="122"/>
      <c r="AO151" s="38"/>
      <c r="AP151" s="38"/>
      <c r="AQ151" s="38"/>
      <c r="AR151" s="17"/>
      <c r="AS151" s="1"/>
      <c r="AT151" s="17"/>
      <c r="AU151" s="1"/>
      <c r="AV151" s="17"/>
      <c r="AW151" s="1"/>
      <c r="AX151" s="2"/>
      <c r="AY151" s="1"/>
      <c r="AZ151" s="1"/>
    </row>
    <row x14ac:dyDescent="0.25" r="152" customHeight="1" ht="15">
      <c r="A152" s="1"/>
      <c r="B152" s="1"/>
      <c r="C152" s="1"/>
      <c r="D152" s="1"/>
      <c r="E152" s="1"/>
      <c r="F152" s="1"/>
      <c r="G152" s="1"/>
      <c r="H152" s="1"/>
      <c r="I152" s="1"/>
      <c r="J152" s="1"/>
      <c r="K152" s="17"/>
      <c r="L152" s="1"/>
      <c r="M152" s="1"/>
      <c r="N152" s="2"/>
      <c r="O152" s="2"/>
      <c r="P152" s="17"/>
      <c r="Q152" s="1"/>
      <c r="R152" s="1"/>
      <c r="S152" s="1"/>
      <c r="T152" s="38"/>
      <c r="U152" s="38"/>
      <c r="V152" s="38"/>
      <c r="W152" s="38"/>
      <c r="X152" s="38"/>
      <c r="Y152" s="38"/>
      <c r="Z152" s="38"/>
      <c r="AA152" s="122"/>
      <c r="AB152" s="122"/>
      <c r="AC152" s="122"/>
      <c r="AD152" s="122"/>
      <c r="AE152" s="122"/>
      <c r="AF152" s="122"/>
      <c r="AG152" s="122"/>
      <c r="AH152" s="122"/>
      <c r="AI152" s="122"/>
      <c r="AJ152" s="38"/>
      <c r="AK152" s="122"/>
      <c r="AL152" s="122"/>
      <c r="AM152" s="122"/>
      <c r="AN152" s="122"/>
      <c r="AO152" s="38"/>
      <c r="AP152" s="38"/>
      <c r="AQ152" s="38"/>
      <c r="AR152" s="17"/>
      <c r="AS152" s="1"/>
      <c r="AT152" s="17"/>
      <c r="AU152" s="1"/>
      <c r="AV152" s="17"/>
      <c r="AW152" s="1"/>
      <c r="AX152" s="2"/>
      <c r="AY152" s="1"/>
      <c r="AZ152" s="1"/>
    </row>
    <row x14ac:dyDescent="0.25" r="153" customHeight="1" ht="15">
      <c r="A153" s="1"/>
      <c r="B153" s="1"/>
      <c r="C153" s="1"/>
      <c r="D153" s="1"/>
      <c r="E153" s="1"/>
      <c r="F153" s="1"/>
      <c r="G153" s="1"/>
      <c r="H153" s="1"/>
      <c r="I153" s="1"/>
      <c r="J153" s="1"/>
      <c r="K153" s="17"/>
      <c r="L153" s="1"/>
      <c r="M153" s="1"/>
      <c r="N153" s="2"/>
      <c r="O153" s="2"/>
      <c r="P153" s="17"/>
      <c r="Q153" s="1"/>
      <c r="R153" s="1"/>
      <c r="S153" s="1"/>
      <c r="T153" s="38"/>
      <c r="U153" s="38"/>
      <c r="V153" s="38"/>
      <c r="W153" s="38"/>
      <c r="X153" s="38"/>
      <c r="Y153" s="38"/>
      <c r="Z153" s="38"/>
      <c r="AA153" s="122"/>
      <c r="AB153" s="122"/>
      <c r="AC153" s="122"/>
      <c r="AD153" s="122"/>
      <c r="AE153" s="122"/>
      <c r="AF153" s="122"/>
      <c r="AG153" s="122"/>
      <c r="AH153" s="122"/>
      <c r="AI153" s="122"/>
      <c r="AJ153" s="38"/>
      <c r="AK153" s="122"/>
      <c r="AL153" s="122"/>
      <c r="AM153" s="122"/>
      <c r="AN153" s="122"/>
      <c r="AO153" s="38"/>
      <c r="AP153" s="38"/>
      <c r="AQ153" s="38"/>
      <c r="AR153" s="17"/>
      <c r="AS153" s="1"/>
      <c r="AT153" s="17"/>
      <c r="AU153" s="1"/>
      <c r="AV153" s="17"/>
      <c r="AW153" s="1"/>
      <c r="AX153" s="2"/>
      <c r="AY153" s="1"/>
      <c r="AZ153" s="1"/>
    </row>
    <row x14ac:dyDescent="0.25" r="154" customHeight="1" ht="15">
      <c r="A154" s="1"/>
      <c r="B154" s="1"/>
      <c r="C154" s="1"/>
      <c r="D154" s="1"/>
      <c r="E154" s="1"/>
      <c r="F154" s="1"/>
      <c r="G154" s="1"/>
      <c r="H154" s="1"/>
      <c r="I154" s="1"/>
      <c r="J154" s="1"/>
      <c r="K154" s="17"/>
      <c r="L154" s="1"/>
      <c r="M154" s="1"/>
      <c r="N154" s="2"/>
      <c r="O154" s="2"/>
      <c r="P154" s="17"/>
      <c r="Q154" s="1"/>
      <c r="R154" s="1"/>
      <c r="S154" s="1"/>
      <c r="T154" s="38"/>
      <c r="U154" s="38"/>
      <c r="V154" s="38"/>
      <c r="W154" s="38"/>
      <c r="X154" s="38"/>
      <c r="Y154" s="38"/>
      <c r="Z154" s="38"/>
      <c r="AA154" s="122"/>
      <c r="AB154" s="122"/>
      <c r="AC154" s="122"/>
      <c r="AD154" s="122"/>
      <c r="AE154" s="122"/>
      <c r="AF154" s="122"/>
      <c r="AG154" s="122"/>
      <c r="AH154" s="122"/>
      <c r="AI154" s="122"/>
      <c r="AJ154" s="38"/>
      <c r="AK154" s="122"/>
      <c r="AL154" s="122"/>
      <c r="AM154" s="122"/>
      <c r="AN154" s="122"/>
      <c r="AO154" s="38"/>
      <c r="AP154" s="38"/>
      <c r="AQ154" s="38"/>
      <c r="AR154" s="17"/>
      <c r="AS154" s="1"/>
      <c r="AT154" s="17"/>
      <c r="AU154" s="1"/>
      <c r="AV154" s="17"/>
      <c r="AW154" s="1"/>
      <c r="AX154" s="2"/>
      <c r="AY154" s="1"/>
      <c r="AZ154" s="1"/>
    </row>
    <row x14ac:dyDescent="0.25" r="155" customHeight="1" ht="15">
      <c r="A155" s="1"/>
      <c r="B155" s="1"/>
      <c r="C155" s="1"/>
      <c r="D155" s="1"/>
      <c r="E155" s="1"/>
      <c r="F155" s="1"/>
      <c r="G155" s="1"/>
      <c r="H155" s="1"/>
      <c r="I155" s="1"/>
      <c r="J155" s="1"/>
      <c r="K155" s="17"/>
      <c r="L155" s="1"/>
      <c r="M155" s="1"/>
      <c r="N155" s="2"/>
      <c r="O155" s="2"/>
      <c r="P155" s="17"/>
      <c r="Q155" s="1"/>
      <c r="R155" s="1"/>
      <c r="S155" s="1"/>
      <c r="T155" s="38"/>
      <c r="U155" s="38"/>
      <c r="V155" s="38"/>
      <c r="W155" s="38"/>
      <c r="X155" s="38"/>
      <c r="Y155" s="38"/>
      <c r="Z155" s="38"/>
      <c r="AA155" s="122"/>
      <c r="AB155" s="122"/>
      <c r="AC155" s="122"/>
      <c r="AD155" s="122"/>
      <c r="AE155" s="122"/>
      <c r="AF155" s="122"/>
      <c r="AG155" s="122"/>
      <c r="AH155" s="122"/>
      <c r="AI155" s="122"/>
      <c r="AJ155" s="38"/>
      <c r="AK155" s="122"/>
      <c r="AL155" s="122"/>
      <c r="AM155" s="122"/>
      <c r="AN155" s="122"/>
      <c r="AO155" s="38"/>
      <c r="AP155" s="38"/>
      <c r="AQ155" s="38"/>
      <c r="AR155" s="17"/>
      <c r="AS155" s="1"/>
      <c r="AT155" s="17"/>
      <c r="AU155" s="1"/>
      <c r="AV155" s="17"/>
      <c r="AW155" s="1"/>
      <c r="AX155" s="2"/>
      <c r="AY155" s="1"/>
      <c r="AZ155" s="1"/>
    </row>
    <row x14ac:dyDescent="0.25" r="156" customHeight="1" ht="15">
      <c r="A156" s="1"/>
      <c r="B156" s="1"/>
      <c r="C156" s="1"/>
      <c r="D156" s="1"/>
      <c r="E156" s="1"/>
      <c r="F156" s="1"/>
      <c r="G156" s="1"/>
      <c r="H156" s="1"/>
      <c r="I156" s="1"/>
      <c r="J156" s="1"/>
      <c r="K156" s="17"/>
      <c r="L156" s="1"/>
      <c r="M156" s="1"/>
      <c r="N156" s="2"/>
      <c r="O156" s="2"/>
      <c r="P156" s="17"/>
      <c r="Q156" s="1"/>
      <c r="R156" s="1"/>
      <c r="S156" s="1"/>
      <c r="T156" s="38"/>
      <c r="U156" s="38"/>
      <c r="V156" s="38"/>
      <c r="W156" s="38"/>
      <c r="X156" s="38"/>
      <c r="Y156" s="38"/>
      <c r="Z156" s="38"/>
      <c r="AA156" s="122"/>
      <c r="AB156" s="122"/>
      <c r="AC156" s="122"/>
      <c r="AD156" s="122"/>
      <c r="AE156" s="122"/>
      <c r="AF156" s="122"/>
      <c r="AG156" s="122"/>
      <c r="AH156" s="122"/>
      <c r="AI156" s="122"/>
      <c r="AJ156" s="38"/>
      <c r="AK156" s="122"/>
      <c r="AL156" s="122"/>
      <c r="AM156" s="122"/>
      <c r="AN156" s="122"/>
      <c r="AO156" s="38"/>
      <c r="AP156" s="38"/>
      <c r="AQ156" s="38"/>
      <c r="AR156" s="17"/>
      <c r="AS156" s="1"/>
      <c r="AT156" s="17"/>
      <c r="AU156" s="1"/>
      <c r="AV156" s="17"/>
      <c r="AW156" s="1"/>
      <c r="AX156" s="2"/>
      <c r="AY156" s="1"/>
      <c r="AZ156" s="1"/>
    </row>
    <row x14ac:dyDescent="0.25" r="157" customHeight="1" ht="15">
      <c r="A157" s="1"/>
      <c r="B157" s="1"/>
      <c r="C157" s="1"/>
      <c r="D157" s="1"/>
      <c r="E157" s="1"/>
      <c r="F157" s="1"/>
      <c r="G157" s="1"/>
      <c r="H157" s="1"/>
      <c r="I157" s="1"/>
      <c r="J157" s="1"/>
      <c r="K157" s="17"/>
      <c r="L157" s="1"/>
      <c r="M157" s="1"/>
      <c r="N157" s="2"/>
      <c r="O157" s="2"/>
      <c r="P157" s="17"/>
      <c r="Q157" s="1"/>
      <c r="R157" s="1"/>
      <c r="S157" s="1"/>
      <c r="T157" s="38"/>
      <c r="U157" s="38"/>
      <c r="V157" s="38"/>
      <c r="W157" s="38"/>
      <c r="X157" s="38"/>
      <c r="Y157" s="38"/>
      <c r="Z157" s="38"/>
      <c r="AA157" s="122"/>
      <c r="AB157" s="122"/>
      <c r="AC157" s="122"/>
      <c r="AD157" s="122"/>
      <c r="AE157" s="122"/>
      <c r="AF157" s="122"/>
      <c r="AG157" s="122"/>
      <c r="AH157" s="122"/>
      <c r="AI157" s="122"/>
      <c r="AJ157" s="38"/>
      <c r="AK157" s="122"/>
      <c r="AL157" s="122"/>
      <c r="AM157" s="122"/>
      <c r="AN157" s="122"/>
      <c r="AO157" s="38"/>
      <c r="AP157" s="38"/>
      <c r="AQ157" s="38"/>
      <c r="AR157" s="17"/>
      <c r="AS157" s="1"/>
      <c r="AT157" s="17"/>
      <c r="AU157" s="1"/>
      <c r="AV157" s="17"/>
      <c r="AW157" s="1"/>
      <c r="AX157" s="2"/>
      <c r="AY157" s="1"/>
      <c r="AZ157" s="1"/>
    </row>
    <row x14ac:dyDescent="0.25" r="158" customHeight="1" ht="15">
      <c r="A158" s="1"/>
      <c r="B158" s="1"/>
      <c r="C158" s="1"/>
      <c r="D158" s="1"/>
      <c r="E158" s="1"/>
      <c r="F158" s="1"/>
      <c r="G158" s="1"/>
      <c r="H158" s="1"/>
      <c r="I158" s="1"/>
      <c r="J158" s="1"/>
      <c r="K158" s="17"/>
      <c r="L158" s="1"/>
      <c r="M158" s="1"/>
      <c r="N158" s="2"/>
      <c r="O158" s="2"/>
      <c r="P158" s="17"/>
      <c r="Q158" s="1"/>
      <c r="R158" s="1"/>
      <c r="S158" s="1"/>
      <c r="T158" s="38"/>
      <c r="U158" s="38"/>
      <c r="V158" s="38"/>
      <c r="W158" s="38"/>
      <c r="X158" s="38"/>
      <c r="Y158" s="38"/>
      <c r="Z158" s="38"/>
      <c r="AA158" s="122"/>
      <c r="AB158" s="122"/>
      <c r="AC158" s="122"/>
      <c r="AD158" s="122"/>
      <c r="AE158" s="122"/>
      <c r="AF158" s="122"/>
      <c r="AG158" s="122"/>
      <c r="AH158" s="122"/>
      <c r="AI158" s="122"/>
      <c r="AJ158" s="38"/>
      <c r="AK158" s="122"/>
      <c r="AL158" s="122"/>
      <c r="AM158" s="122"/>
      <c r="AN158" s="122"/>
      <c r="AO158" s="38"/>
      <c r="AP158" s="38"/>
      <c r="AQ158" s="38"/>
      <c r="AR158" s="17"/>
      <c r="AS158" s="1"/>
      <c r="AT158" s="17"/>
      <c r="AU158" s="1"/>
      <c r="AV158" s="17"/>
      <c r="AW158" s="1"/>
      <c r="AX158" s="2"/>
      <c r="AY158" s="1"/>
      <c r="AZ158" s="1"/>
    </row>
    <row x14ac:dyDescent="0.25" r="159" customHeight="1" ht="15">
      <c r="A159" s="1"/>
      <c r="B159" s="1"/>
      <c r="C159" s="1"/>
      <c r="D159" s="1"/>
      <c r="E159" s="1"/>
      <c r="F159" s="1"/>
      <c r="G159" s="1"/>
      <c r="H159" s="1"/>
      <c r="I159" s="1"/>
      <c r="J159" s="1"/>
      <c r="K159" s="17"/>
      <c r="L159" s="1"/>
      <c r="M159" s="1"/>
      <c r="N159" s="2"/>
      <c r="O159" s="2"/>
      <c r="P159" s="17"/>
      <c r="Q159" s="1"/>
      <c r="R159" s="1"/>
      <c r="S159" s="1"/>
      <c r="T159" s="38"/>
      <c r="U159" s="38"/>
      <c r="V159" s="38"/>
      <c r="W159" s="38"/>
      <c r="X159" s="38"/>
      <c r="Y159" s="38"/>
      <c r="Z159" s="38"/>
      <c r="AA159" s="122"/>
      <c r="AB159" s="122"/>
      <c r="AC159" s="122"/>
      <c r="AD159" s="122"/>
      <c r="AE159" s="122"/>
      <c r="AF159" s="122"/>
      <c r="AG159" s="122"/>
      <c r="AH159" s="122"/>
      <c r="AI159" s="122"/>
      <c r="AJ159" s="38"/>
      <c r="AK159" s="122"/>
      <c r="AL159" s="122"/>
      <c r="AM159" s="122"/>
      <c r="AN159" s="122"/>
      <c r="AO159" s="38"/>
      <c r="AP159" s="38"/>
      <c r="AQ159" s="38"/>
      <c r="AR159" s="17"/>
      <c r="AS159" s="1"/>
      <c r="AT159" s="17"/>
      <c r="AU159" s="1"/>
      <c r="AV159" s="17"/>
      <c r="AW159" s="1"/>
      <c r="AX159" s="2"/>
      <c r="AY159" s="1"/>
      <c r="AZ159" s="1"/>
    </row>
    <row x14ac:dyDescent="0.25" r="160" customHeight="1" ht="15">
      <c r="A160" s="1"/>
      <c r="B160" s="1"/>
      <c r="C160" s="1"/>
      <c r="D160" s="1"/>
      <c r="E160" s="1"/>
      <c r="F160" s="1"/>
      <c r="G160" s="1"/>
      <c r="H160" s="1"/>
      <c r="I160" s="1"/>
      <c r="J160" s="1"/>
      <c r="K160" s="17"/>
      <c r="L160" s="1"/>
      <c r="M160" s="1"/>
      <c r="N160" s="2"/>
      <c r="O160" s="2"/>
      <c r="P160" s="17"/>
      <c r="Q160" s="1"/>
      <c r="R160" s="1"/>
      <c r="S160" s="1"/>
      <c r="T160" s="38"/>
      <c r="U160" s="38"/>
      <c r="V160" s="38"/>
      <c r="W160" s="38"/>
      <c r="X160" s="38"/>
      <c r="Y160" s="38"/>
      <c r="Z160" s="38"/>
      <c r="AA160" s="122"/>
      <c r="AB160" s="122"/>
      <c r="AC160" s="122"/>
      <c r="AD160" s="122"/>
      <c r="AE160" s="122"/>
      <c r="AF160" s="122"/>
      <c r="AG160" s="122"/>
      <c r="AH160" s="122"/>
      <c r="AI160" s="122"/>
      <c r="AJ160" s="38"/>
      <c r="AK160" s="122"/>
      <c r="AL160" s="122"/>
      <c r="AM160" s="122"/>
      <c r="AN160" s="122"/>
      <c r="AO160" s="38"/>
      <c r="AP160" s="38"/>
      <c r="AQ160" s="38"/>
      <c r="AR160" s="17"/>
      <c r="AS160" s="1"/>
      <c r="AT160" s="17"/>
      <c r="AU160" s="1"/>
      <c r="AV160" s="17"/>
      <c r="AW160" s="1"/>
      <c r="AX160" s="2"/>
      <c r="AY160" s="1"/>
      <c r="AZ160" s="1"/>
    </row>
    <row x14ac:dyDescent="0.25" r="161" customHeight="1" ht="15">
      <c r="A161" s="1"/>
      <c r="B161" s="1"/>
      <c r="C161" s="1"/>
      <c r="D161" s="1"/>
      <c r="E161" s="1"/>
      <c r="F161" s="1"/>
      <c r="G161" s="1"/>
      <c r="H161" s="1"/>
      <c r="I161" s="1"/>
      <c r="J161" s="1"/>
      <c r="K161" s="17"/>
      <c r="L161" s="1"/>
      <c r="M161" s="1"/>
      <c r="N161" s="2"/>
      <c r="O161" s="2"/>
      <c r="P161" s="17"/>
      <c r="Q161" s="1"/>
      <c r="R161" s="1"/>
      <c r="S161" s="1"/>
      <c r="T161" s="38"/>
      <c r="U161" s="38"/>
      <c r="V161" s="38"/>
      <c r="W161" s="38"/>
      <c r="X161" s="38"/>
      <c r="Y161" s="38"/>
      <c r="Z161" s="38"/>
      <c r="AA161" s="122"/>
      <c r="AB161" s="122"/>
      <c r="AC161" s="122"/>
      <c r="AD161" s="122"/>
      <c r="AE161" s="122"/>
      <c r="AF161" s="122"/>
      <c r="AG161" s="122"/>
      <c r="AH161" s="122"/>
      <c r="AI161" s="122"/>
      <c r="AJ161" s="38"/>
      <c r="AK161" s="122"/>
      <c r="AL161" s="122"/>
      <c r="AM161" s="122"/>
      <c r="AN161" s="122"/>
      <c r="AO161" s="38"/>
      <c r="AP161" s="38"/>
      <c r="AQ161" s="38"/>
      <c r="AR161" s="17"/>
      <c r="AS161" s="1"/>
      <c r="AT161" s="17"/>
      <c r="AU161" s="1"/>
      <c r="AV161" s="17"/>
      <c r="AW161" s="1"/>
      <c r="AX161" s="2"/>
      <c r="AY161" s="1"/>
      <c r="AZ161" s="1"/>
    </row>
    <row x14ac:dyDescent="0.25" r="162" customHeight="1" ht="15">
      <c r="A162" s="1"/>
      <c r="B162" s="1"/>
      <c r="C162" s="1"/>
      <c r="D162" s="1"/>
      <c r="E162" s="1"/>
      <c r="F162" s="1"/>
      <c r="G162" s="1"/>
      <c r="H162" s="1"/>
      <c r="I162" s="1"/>
      <c r="J162" s="1"/>
      <c r="K162" s="17"/>
      <c r="L162" s="1"/>
      <c r="M162" s="1"/>
      <c r="N162" s="2"/>
      <c r="O162" s="2"/>
      <c r="P162" s="17"/>
      <c r="Q162" s="1"/>
      <c r="R162" s="1"/>
      <c r="S162" s="1"/>
      <c r="T162" s="38"/>
      <c r="U162" s="38"/>
      <c r="V162" s="38"/>
      <c r="W162" s="38"/>
      <c r="X162" s="38"/>
      <c r="Y162" s="38"/>
      <c r="Z162" s="38"/>
      <c r="AA162" s="122"/>
      <c r="AB162" s="122"/>
      <c r="AC162" s="122"/>
      <c r="AD162" s="122"/>
      <c r="AE162" s="122"/>
      <c r="AF162" s="122"/>
      <c r="AG162" s="122"/>
      <c r="AH162" s="122"/>
      <c r="AI162" s="122"/>
      <c r="AJ162" s="38"/>
      <c r="AK162" s="122"/>
      <c r="AL162" s="122"/>
      <c r="AM162" s="122"/>
      <c r="AN162" s="122"/>
      <c r="AO162" s="38"/>
      <c r="AP162" s="38"/>
      <c r="AQ162" s="38"/>
      <c r="AR162" s="17"/>
      <c r="AS162" s="1"/>
      <c r="AT162" s="17"/>
      <c r="AU162" s="1"/>
      <c r="AV162" s="17"/>
      <c r="AW162" s="1"/>
      <c r="AX162" s="2"/>
      <c r="AY162" s="1"/>
      <c r="AZ162" s="1"/>
    </row>
    <row x14ac:dyDescent="0.25" r="163" customHeight="1" ht="15">
      <c r="A163" s="1"/>
      <c r="B163" s="1"/>
      <c r="C163" s="1"/>
      <c r="D163" s="1"/>
      <c r="E163" s="1"/>
      <c r="F163" s="1"/>
      <c r="G163" s="1"/>
      <c r="H163" s="1"/>
      <c r="I163" s="1"/>
      <c r="J163" s="1"/>
      <c r="K163" s="17"/>
      <c r="L163" s="1"/>
      <c r="M163" s="1"/>
      <c r="N163" s="2"/>
      <c r="O163" s="2"/>
      <c r="P163" s="17"/>
      <c r="Q163" s="1"/>
      <c r="R163" s="1"/>
      <c r="S163" s="1"/>
      <c r="T163" s="38"/>
      <c r="U163" s="38"/>
      <c r="V163" s="38"/>
      <c r="W163" s="38"/>
      <c r="X163" s="38"/>
      <c r="Y163" s="38"/>
      <c r="Z163" s="38"/>
      <c r="AA163" s="122"/>
      <c r="AB163" s="122"/>
      <c r="AC163" s="122"/>
      <c r="AD163" s="122"/>
      <c r="AE163" s="122"/>
      <c r="AF163" s="122"/>
      <c r="AG163" s="122"/>
      <c r="AH163" s="122"/>
      <c r="AI163" s="122"/>
      <c r="AJ163" s="38"/>
      <c r="AK163" s="122"/>
      <c r="AL163" s="122"/>
      <c r="AM163" s="122"/>
      <c r="AN163" s="122"/>
      <c r="AO163" s="38"/>
      <c r="AP163" s="38"/>
      <c r="AQ163" s="38"/>
      <c r="AR163" s="17"/>
      <c r="AS163" s="1"/>
      <c r="AT163" s="17"/>
      <c r="AU163" s="1"/>
      <c r="AV163" s="17"/>
      <c r="AW163" s="1"/>
      <c r="AX163" s="2"/>
      <c r="AY163" s="1"/>
      <c r="AZ163" s="1"/>
    </row>
    <row x14ac:dyDescent="0.25" r="164" customHeight="1" ht="15">
      <c r="A164" s="1"/>
      <c r="B164" s="1"/>
      <c r="C164" s="1"/>
      <c r="D164" s="1"/>
      <c r="E164" s="1"/>
      <c r="F164" s="1"/>
      <c r="G164" s="1"/>
      <c r="H164" s="1"/>
      <c r="I164" s="1"/>
      <c r="J164" s="1"/>
      <c r="K164" s="17"/>
      <c r="L164" s="1"/>
      <c r="M164" s="1"/>
      <c r="N164" s="2"/>
      <c r="O164" s="2"/>
      <c r="P164" s="17"/>
      <c r="Q164" s="1"/>
      <c r="R164" s="1"/>
      <c r="S164" s="1"/>
      <c r="T164" s="38"/>
      <c r="U164" s="38"/>
      <c r="V164" s="38"/>
      <c r="W164" s="38"/>
      <c r="X164" s="38"/>
      <c r="Y164" s="38"/>
      <c r="Z164" s="38"/>
      <c r="AA164" s="122"/>
      <c r="AB164" s="122"/>
      <c r="AC164" s="122"/>
      <c r="AD164" s="122"/>
      <c r="AE164" s="122"/>
      <c r="AF164" s="122"/>
      <c r="AG164" s="122"/>
      <c r="AH164" s="122"/>
      <c r="AI164" s="122"/>
      <c r="AJ164" s="38"/>
      <c r="AK164" s="122"/>
      <c r="AL164" s="122"/>
      <c r="AM164" s="122"/>
      <c r="AN164" s="122"/>
      <c r="AO164" s="38"/>
      <c r="AP164" s="38"/>
      <c r="AQ164" s="38"/>
      <c r="AR164" s="17"/>
      <c r="AS164" s="1"/>
      <c r="AT164" s="17"/>
      <c r="AU164" s="1"/>
      <c r="AV164" s="17"/>
      <c r="AW164" s="1"/>
      <c r="AX164" s="2"/>
      <c r="AY164" s="1"/>
      <c r="AZ164" s="1"/>
    </row>
    <row x14ac:dyDescent="0.25" r="165" customHeight="1" ht="15">
      <c r="A165" s="1"/>
      <c r="B165" s="1"/>
      <c r="C165" s="1"/>
      <c r="D165" s="1"/>
      <c r="E165" s="1"/>
      <c r="F165" s="1"/>
      <c r="G165" s="1"/>
      <c r="H165" s="1"/>
      <c r="I165" s="1"/>
      <c r="J165" s="1"/>
      <c r="K165" s="17"/>
      <c r="L165" s="1"/>
      <c r="M165" s="1"/>
      <c r="N165" s="2"/>
      <c r="O165" s="2"/>
      <c r="P165" s="17"/>
      <c r="Q165" s="1"/>
      <c r="R165" s="1"/>
      <c r="S165" s="1"/>
      <c r="T165" s="38"/>
      <c r="U165" s="38"/>
      <c r="V165" s="38"/>
      <c r="W165" s="38"/>
      <c r="X165" s="38"/>
      <c r="Y165" s="38"/>
      <c r="Z165" s="38"/>
      <c r="AA165" s="122"/>
      <c r="AB165" s="122"/>
      <c r="AC165" s="122"/>
      <c r="AD165" s="122"/>
      <c r="AE165" s="122"/>
      <c r="AF165" s="122"/>
      <c r="AG165" s="122"/>
      <c r="AH165" s="122"/>
      <c r="AI165" s="122"/>
      <c r="AJ165" s="38"/>
      <c r="AK165" s="122"/>
      <c r="AL165" s="122"/>
      <c r="AM165" s="122"/>
      <c r="AN165" s="122"/>
      <c r="AO165" s="38"/>
      <c r="AP165" s="38"/>
      <c r="AQ165" s="38"/>
      <c r="AR165" s="17"/>
      <c r="AS165" s="1"/>
      <c r="AT165" s="17"/>
      <c r="AU165" s="1"/>
      <c r="AV165" s="17"/>
      <c r="AW165" s="1"/>
      <c r="AX165" s="2"/>
      <c r="AY165" s="1"/>
      <c r="AZ165" s="1"/>
    </row>
    <row x14ac:dyDescent="0.25" r="166" customHeight="1" ht="15">
      <c r="A166" s="1"/>
      <c r="B166" s="1"/>
      <c r="C166" s="1"/>
      <c r="D166" s="1"/>
      <c r="E166" s="1"/>
      <c r="F166" s="1"/>
      <c r="G166" s="1"/>
      <c r="H166" s="1"/>
      <c r="I166" s="1"/>
      <c r="J166" s="1"/>
      <c r="K166" s="17"/>
      <c r="L166" s="1"/>
      <c r="M166" s="1"/>
      <c r="N166" s="2"/>
      <c r="O166" s="2"/>
      <c r="P166" s="17"/>
      <c r="Q166" s="1"/>
      <c r="R166" s="1"/>
      <c r="S166" s="1"/>
      <c r="T166" s="38"/>
      <c r="U166" s="38"/>
      <c r="V166" s="38"/>
      <c r="W166" s="38"/>
      <c r="X166" s="38"/>
      <c r="Y166" s="38"/>
      <c r="Z166" s="38"/>
      <c r="AA166" s="122"/>
      <c r="AB166" s="122"/>
      <c r="AC166" s="122"/>
      <c r="AD166" s="122"/>
      <c r="AE166" s="122"/>
      <c r="AF166" s="122"/>
      <c r="AG166" s="122"/>
      <c r="AH166" s="122"/>
      <c r="AI166" s="122"/>
      <c r="AJ166" s="38"/>
      <c r="AK166" s="122"/>
      <c r="AL166" s="122"/>
      <c r="AM166" s="122"/>
      <c r="AN166" s="122"/>
      <c r="AO166" s="38"/>
      <c r="AP166" s="38"/>
      <c r="AQ166" s="38"/>
      <c r="AR166" s="17"/>
      <c r="AS166" s="1"/>
      <c r="AT166" s="17"/>
      <c r="AU166" s="1"/>
      <c r="AV166" s="17"/>
      <c r="AW166" s="1"/>
      <c r="AX166" s="2"/>
      <c r="AY166" s="1"/>
      <c r="AZ166" s="1"/>
    </row>
    <row x14ac:dyDescent="0.25" r="167" customHeight="1" ht="15">
      <c r="A167" s="1"/>
      <c r="B167" s="1"/>
      <c r="C167" s="1"/>
      <c r="D167" s="1"/>
      <c r="E167" s="1"/>
      <c r="F167" s="1"/>
      <c r="G167" s="1"/>
      <c r="H167" s="1"/>
      <c r="I167" s="1"/>
      <c r="J167" s="1"/>
      <c r="K167" s="17"/>
      <c r="L167" s="1"/>
      <c r="M167" s="1"/>
      <c r="N167" s="2"/>
      <c r="O167" s="2"/>
      <c r="P167" s="17"/>
      <c r="Q167" s="1"/>
      <c r="R167" s="1"/>
      <c r="S167" s="1"/>
      <c r="T167" s="38"/>
      <c r="U167" s="38"/>
      <c r="V167" s="38"/>
      <c r="W167" s="38"/>
      <c r="X167" s="38"/>
      <c r="Y167" s="38"/>
      <c r="Z167" s="38"/>
      <c r="AA167" s="122"/>
      <c r="AB167" s="122"/>
      <c r="AC167" s="122"/>
      <c r="AD167" s="122"/>
      <c r="AE167" s="122"/>
      <c r="AF167" s="122"/>
      <c r="AG167" s="122"/>
      <c r="AH167" s="122"/>
      <c r="AI167" s="122"/>
      <c r="AJ167" s="38"/>
      <c r="AK167" s="122"/>
      <c r="AL167" s="122"/>
      <c r="AM167" s="122"/>
      <c r="AN167" s="122"/>
      <c r="AO167" s="38"/>
      <c r="AP167" s="38"/>
      <c r="AQ167" s="38"/>
      <c r="AR167" s="17"/>
      <c r="AS167" s="1"/>
      <c r="AT167" s="17"/>
      <c r="AU167" s="1"/>
      <c r="AV167" s="17"/>
      <c r="AW167" s="1"/>
      <c r="AX167" s="2"/>
      <c r="AY167" s="1"/>
      <c r="AZ167" s="1"/>
    </row>
    <row x14ac:dyDescent="0.25" r="168" customHeight="1" ht="15">
      <c r="A168" s="1"/>
      <c r="B168" s="1"/>
      <c r="C168" s="1"/>
      <c r="D168" s="1"/>
      <c r="E168" s="1"/>
      <c r="F168" s="1"/>
      <c r="G168" s="1"/>
      <c r="H168" s="1"/>
      <c r="I168" s="1"/>
      <c r="J168" s="1"/>
      <c r="K168" s="17"/>
      <c r="L168" s="1"/>
      <c r="M168" s="1"/>
      <c r="N168" s="2"/>
      <c r="O168" s="2"/>
      <c r="P168" s="17"/>
      <c r="Q168" s="1"/>
      <c r="R168" s="1"/>
      <c r="S168" s="1"/>
      <c r="T168" s="38"/>
      <c r="U168" s="38"/>
      <c r="V168" s="38"/>
      <c r="W168" s="38"/>
      <c r="X168" s="38"/>
      <c r="Y168" s="38"/>
      <c r="Z168" s="38"/>
      <c r="AA168" s="122"/>
      <c r="AB168" s="122"/>
      <c r="AC168" s="122"/>
      <c r="AD168" s="122"/>
      <c r="AE168" s="122"/>
      <c r="AF168" s="122"/>
      <c r="AG168" s="122"/>
      <c r="AH168" s="122"/>
      <c r="AI168" s="122"/>
      <c r="AJ168" s="38"/>
      <c r="AK168" s="122"/>
      <c r="AL168" s="122"/>
      <c r="AM168" s="122"/>
      <c r="AN168" s="122"/>
      <c r="AO168" s="38"/>
      <c r="AP168" s="38"/>
      <c r="AQ168" s="38"/>
      <c r="AR168" s="17"/>
      <c r="AS168" s="1"/>
      <c r="AT168" s="17"/>
      <c r="AU168" s="1"/>
      <c r="AV168" s="17"/>
      <c r="AW168" s="1"/>
      <c r="AX168" s="2"/>
      <c r="AY168" s="1"/>
      <c r="AZ168" s="1"/>
    </row>
    <row x14ac:dyDescent="0.25" r="169" customHeight="1" ht="15">
      <c r="A169" s="1"/>
      <c r="B169" s="1"/>
      <c r="C169" s="1"/>
      <c r="D169" s="1"/>
      <c r="E169" s="1"/>
      <c r="F169" s="1"/>
      <c r="G169" s="1"/>
      <c r="H169" s="1"/>
      <c r="I169" s="1"/>
      <c r="J169" s="1"/>
      <c r="K169" s="17"/>
      <c r="L169" s="1"/>
      <c r="M169" s="1"/>
      <c r="N169" s="2"/>
      <c r="O169" s="2"/>
      <c r="P169" s="17"/>
      <c r="Q169" s="1"/>
      <c r="R169" s="1"/>
      <c r="S169" s="1"/>
      <c r="T169" s="38"/>
      <c r="U169" s="38"/>
      <c r="V169" s="38"/>
      <c r="W169" s="38"/>
      <c r="X169" s="38"/>
      <c r="Y169" s="38"/>
      <c r="Z169" s="38"/>
      <c r="AA169" s="122"/>
      <c r="AB169" s="122"/>
      <c r="AC169" s="122"/>
      <c r="AD169" s="122"/>
      <c r="AE169" s="122"/>
      <c r="AF169" s="122"/>
      <c r="AG169" s="122"/>
      <c r="AH169" s="122"/>
      <c r="AI169" s="122"/>
      <c r="AJ169" s="38"/>
      <c r="AK169" s="122"/>
      <c r="AL169" s="122"/>
      <c r="AM169" s="122"/>
      <c r="AN169" s="122"/>
      <c r="AO169" s="38"/>
      <c r="AP169" s="38"/>
      <c r="AQ169" s="38"/>
      <c r="AR169" s="17"/>
      <c r="AS169" s="1"/>
      <c r="AT169" s="17"/>
      <c r="AU169" s="1"/>
      <c r="AV169" s="17"/>
      <c r="AW169" s="1"/>
      <c r="AX169" s="2"/>
      <c r="AY169" s="1"/>
      <c r="AZ169" s="1"/>
    </row>
    <row x14ac:dyDescent="0.25" r="170" customHeight="1" ht="15">
      <c r="A170" s="1"/>
      <c r="B170" s="1"/>
      <c r="C170" s="1"/>
      <c r="D170" s="1"/>
      <c r="E170" s="1"/>
      <c r="F170" s="1"/>
      <c r="G170" s="1"/>
      <c r="H170" s="1"/>
      <c r="I170" s="1"/>
      <c r="J170" s="1"/>
      <c r="K170" s="17"/>
      <c r="L170" s="1"/>
      <c r="M170" s="1"/>
      <c r="N170" s="2"/>
      <c r="O170" s="2"/>
      <c r="P170" s="17"/>
      <c r="Q170" s="1"/>
      <c r="R170" s="1"/>
      <c r="S170" s="1"/>
      <c r="T170" s="38"/>
      <c r="U170" s="38"/>
      <c r="V170" s="38"/>
      <c r="W170" s="38"/>
      <c r="X170" s="38"/>
      <c r="Y170" s="38"/>
      <c r="Z170" s="38"/>
      <c r="AA170" s="122"/>
      <c r="AB170" s="122"/>
      <c r="AC170" s="122"/>
      <c r="AD170" s="122"/>
      <c r="AE170" s="122"/>
      <c r="AF170" s="122"/>
      <c r="AG170" s="122"/>
      <c r="AH170" s="122"/>
      <c r="AI170" s="122"/>
      <c r="AJ170" s="38"/>
      <c r="AK170" s="122"/>
      <c r="AL170" s="122"/>
      <c r="AM170" s="122"/>
      <c r="AN170" s="122"/>
      <c r="AO170" s="38"/>
      <c r="AP170" s="38"/>
      <c r="AQ170" s="38"/>
      <c r="AR170" s="17"/>
      <c r="AS170" s="1"/>
      <c r="AT170" s="17"/>
      <c r="AU170" s="1"/>
      <c r="AV170" s="17"/>
      <c r="AW170" s="1"/>
      <c r="AX170" s="2"/>
      <c r="AY170" s="1"/>
      <c r="AZ170" s="1"/>
    </row>
    <row x14ac:dyDescent="0.25" r="171" customHeight="1" ht="15">
      <c r="A171" s="1"/>
      <c r="B171" s="1"/>
      <c r="C171" s="1"/>
      <c r="D171" s="1"/>
      <c r="E171" s="1"/>
      <c r="F171" s="1"/>
      <c r="G171" s="1"/>
      <c r="H171" s="1"/>
      <c r="I171" s="1"/>
      <c r="J171" s="1"/>
      <c r="K171" s="17"/>
      <c r="L171" s="1"/>
      <c r="M171" s="1"/>
      <c r="N171" s="2"/>
      <c r="O171" s="2"/>
      <c r="P171" s="17"/>
      <c r="Q171" s="1"/>
      <c r="R171" s="1"/>
      <c r="S171" s="1"/>
      <c r="T171" s="38"/>
      <c r="U171" s="38"/>
      <c r="V171" s="38"/>
      <c r="W171" s="38"/>
      <c r="X171" s="38"/>
      <c r="Y171" s="38"/>
      <c r="Z171" s="38"/>
      <c r="AA171" s="122"/>
      <c r="AB171" s="122"/>
      <c r="AC171" s="122"/>
      <c r="AD171" s="122"/>
      <c r="AE171" s="122"/>
      <c r="AF171" s="122"/>
      <c r="AG171" s="122"/>
      <c r="AH171" s="122"/>
      <c r="AI171" s="122"/>
      <c r="AJ171" s="38"/>
      <c r="AK171" s="122"/>
      <c r="AL171" s="122"/>
      <c r="AM171" s="122"/>
      <c r="AN171" s="122"/>
      <c r="AO171" s="38"/>
      <c r="AP171" s="38"/>
      <c r="AQ171" s="38"/>
      <c r="AR171" s="17"/>
      <c r="AS171" s="1"/>
      <c r="AT171" s="17"/>
      <c r="AU171" s="1"/>
      <c r="AV171" s="17"/>
      <c r="AW171" s="1"/>
      <c r="AX171" s="2"/>
      <c r="AY171" s="1"/>
      <c r="AZ171" s="1"/>
    </row>
    <row x14ac:dyDescent="0.25" r="172" customHeight="1" ht="15">
      <c r="A172" s="1"/>
      <c r="B172" s="1"/>
      <c r="C172" s="1"/>
      <c r="D172" s="1"/>
      <c r="E172" s="1"/>
      <c r="F172" s="1"/>
      <c r="G172" s="1"/>
      <c r="H172" s="1"/>
      <c r="I172" s="1"/>
      <c r="J172" s="1"/>
      <c r="K172" s="17"/>
      <c r="L172" s="1"/>
      <c r="M172" s="1"/>
      <c r="N172" s="2"/>
      <c r="O172" s="2"/>
      <c r="P172" s="17"/>
      <c r="Q172" s="1"/>
      <c r="R172" s="1"/>
      <c r="S172" s="1"/>
      <c r="T172" s="38"/>
      <c r="U172" s="38"/>
      <c r="V172" s="38"/>
      <c r="W172" s="38"/>
      <c r="X172" s="38"/>
      <c r="Y172" s="38"/>
      <c r="Z172" s="38"/>
      <c r="AA172" s="122"/>
      <c r="AB172" s="122"/>
      <c r="AC172" s="122"/>
      <c r="AD172" s="122"/>
      <c r="AE172" s="122"/>
      <c r="AF172" s="122"/>
      <c r="AG172" s="122"/>
      <c r="AH172" s="122"/>
      <c r="AI172" s="122"/>
      <c r="AJ172" s="38"/>
      <c r="AK172" s="122"/>
      <c r="AL172" s="122"/>
      <c r="AM172" s="122"/>
      <c r="AN172" s="122"/>
      <c r="AO172" s="38"/>
      <c r="AP172" s="38"/>
      <c r="AQ172" s="38"/>
      <c r="AR172" s="17"/>
      <c r="AS172" s="1"/>
      <c r="AT172" s="17"/>
      <c r="AU172" s="1"/>
      <c r="AV172" s="17"/>
      <c r="AW172" s="1"/>
      <c r="AX172" s="2"/>
      <c r="AY172" s="1"/>
      <c r="AZ172" s="1"/>
    </row>
    <row x14ac:dyDescent="0.25" r="173" customHeight="1" ht="15">
      <c r="A173" s="1"/>
      <c r="B173" s="1"/>
      <c r="C173" s="1"/>
      <c r="D173" s="1"/>
      <c r="E173" s="1"/>
      <c r="F173" s="1"/>
      <c r="G173" s="1"/>
      <c r="H173" s="1"/>
      <c r="I173" s="1"/>
      <c r="J173" s="1"/>
      <c r="K173" s="17"/>
      <c r="L173" s="1"/>
      <c r="M173" s="1"/>
      <c r="N173" s="2"/>
      <c r="O173" s="2"/>
      <c r="P173" s="17"/>
      <c r="Q173" s="1"/>
      <c r="R173" s="1"/>
      <c r="S173" s="1"/>
      <c r="T173" s="38"/>
      <c r="U173" s="38"/>
      <c r="V173" s="38"/>
      <c r="W173" s="38"/>
      <c r="X173" s="38"/>
      <c r="Y173" s="38"/>
      <c r="Z173" s="38"/>
      <c r="AA173" s="122"/>
      <c r="AB173" s="122"/>
      <c r="AC173" s="122"/>
      <c r="AD173" s="122"/>
      <c r="AE173" s="122"/>
      <c r="AF173" s="122"/>
      <c r="AG173" s="122"/>
      <c r="AH173" s="122"/>
      <c r="AI173" s="122"/>
      <c r="AJ173" s="38"/>
      <c r="AK173" s="122"/>
      <c r="AL173" s="122"/>
      <c r="AM173" s="122"/>
      <c r="AN173" s="122"/>
      <c r="AO173" s="38"/>
      <c r="AP173" s="38"/>
      <c r="AQ173" s="38"/>
      <c r="AR173" s="17"/>
      <c r="AS173" s="1"/>
      <c r="AT173" s="17"/>
      <c r="AU173" s="1"/>
      <c r="AV173" s="17"/>
      <c r="AW173" s="1"/>
      <c r="AX173" s="2"/>
      <c r="AY173" s="1"/>
      <c r="AZ173" s="1"/>
    </row>
    <row x14ac:dyDescent="0.25" r="174" customHeight="1" ht="15">
      <c r="A174" s="1"/>
      <c r="B174" s="1"/>
      <c r="C174" s="1"/>
      <c r="D174" s="1"/>
      <c r="E174" s="1"/>
      <c r="F174" s="1"/>
      <c r="G174" s="1"/>
      <c r="H174" s="1"/>
      <c r="I174" s="1"/>
      <c r="J174" s="1"/>
      <c r="K174" s="17"/>
      <c r="L174" s="1"/>
      <c r="M174" s="1"/>
      <c r="N174" s="2"/>
      <c r="O174" s="2"/>
      <c r="P174" s="17"/>
      <c r="Q174" s="1"/>
      <c r="R174" s="1"/>
      <c r="S174" s="1"/>
      <c r="T174" s="38"/>
      <c r="U174" s="38"/>
      <c r="V174" s="38"/>
      <c r="W174" s="38"/>
      <c r="X174" s="38"/>
      <c r="Y174" s="38"/>
      <c r="Z174" s="38"/>
      <c r="AA174" s="122"/>
      <c r="AB174" s="122"/>
      <c r="AC174" s="122"/>
      <c r="AD174" s="122"/>
      <c r="AE174" s="122"/>
      <c r="AF174" s="122"/>
      <c r="AG174" s="122"/>
      <c r="AH174" s="122"/>
      <c r="AI174" s="122"/>
      <c r="AJ174" s="38"/>
      <c r="AK174" s="122"/>
      <c r="AL174" s="122"/>
      <c r="AM174" s="122"/>
      <c r="AN174" s="122"/>
      <c r="AO174" s="38"/>
      <c r="AP174" s="38"/>
      <c r="AQ174" s="38"/>
      <c r="AR174" s="17"/>
      <c r="AS174" s="1"/>
      <c r="AT174" s="17"/>
      <c r="AU174" s="1"/>
      <c r="AV174" s="17"/>
      <c r="AW174" s="1"/>
      <c r="AX174" s="2"/>
      <c r="AY174" s="1"/>
      <c r="AZ174" s="1"/>
    </row>
    <row x14ac:dyDescent="0.25" r="175" customHeight="1" ht="15">
      <c r="A175" s="1"/>
      <c r="B175" s="1"/>
      <c r="C175" s="1"/>
      <c r="D175" s="1"/>
      <c r="E175" s="1"/>
      <c r="F175" s="1"/>
      <c r="G175" s="1"/>
      <c r="H175" s="1"/>
      <c r="I175" s="1"/>
      <c r="J175" s="1"/>
      <c r="K175" s="17"/>
      <c r="L175" s="1"/>
      <c r="M175" s="1"/>
      <c r="N175" s="2"/>
      <c r="O175" s="2"/>
      <c r="P175" s="17"/>
      <c r="Q175" s="1"/>
      <c r="R175" s="1"/>
      <c r="S175" s="1"/>
      <c r="T175" s="38"/>
      <c r="U175" s="38"/>
      <c r="V175" s="38"/>
      <c r="W175" s="38"/>
      <c r="X175" s="38"/>
      <c r="Y175" s="38"/>
      <c r="Z175" s="38"/>
      <c r="AA175" s="122"/>
      <c r="AB175" s="122"/>
      <c r="AC175" s="122"/>
      <c r="AD175" s="122"/>
      <c r="AE175" s="122"/>
      <c r="AF175" s="122"/>
      <c r="AG175" s="122"/>
      <c r="AH175" s="122"/>
      <c r="AI175" s="122"/>
      <c r="AJ175" s="38"/>
      <c r="AK175" s="122"/>
      <c r="AL175" s="122"/>
      <c r="AM175" s="122"/>
      <c r="AN175" s="122"/>
      <c r="AO175" s="38"/>
      <c r="AP175" s="38"/>
      <c r="AQ175" s="38"/>
      <c r="AR175" s="17"/>
      <c r="AS175" s="1"/>
      <c r="AT175" s="17"/>
      <c r="AU175" s="1"/>
      <c r="AV175" s="17"/>
      <c r="AW175" s="1"/>
      <c r="AX175" s="2"/>
      <c r="AY175" s="1"/>
      <c r="AZ175" s="1"/>
    </row>
    <row x14ac:dyDescent="0.25" r="176" customHeight="1" ht="15">
      <c r="A176" s="1"/>
      <c r="B176" s="1"/>
      <c r="C176" s="1"/>
      <c r="D176" s="1"/>
      <c r="E176" s="1"/>
      <c r="F176" s="1"/>
      <c r="G176" s="1"/>
      <c r="H176" s="1"/>
      <c r="I176" s="1"/>
      <c r="J176" s="1"/>
      <c r="K176" s="17"/>
      <c r="L176" s="1"/>
      <c r="M176" s="1"/>
      <c r="N176" s="2"/>
      <c r="O176" s="2"/>
      <c r="P176" s="17"/>
      <c r="Q176" s="1"/>
      <c r="R176" s="1"/>
      <c r="S176" s="1"/>
      <c r="T176" s="38"/>
      <c r="U176" s="38"/>
      <c r="V176" s="38"/>
      <c r="W176" s="38"/>
      <c r="X176" s="38"/>
      <c r="Y176" s="38"/>
      <c r="Z176" s="38"/>
      <c r="AA176" s="122"/>
      <c r="AB176" s="122"/>
      <c r="AC176" s="122"/>
      <c r="AD176" s="122"/>
      <c r="AE176" s="122"/>
      <c r="AF176" s="122"/>
      <c r="AG176" s="122"/>
      <c r="AH176" s="122"/>
      <c r="AI176" s="122"/>
      <c r="AJ176" s="38"/>
      <c r="AK176" s="122"/>
      <c r="AL176" s="122"/>
      <c r="AM176" s="122"/>
      <c r="AN176" s="122"/>
      <c r="AO176" s="38"/>
      <c r="AP176" s="38"/>
      <c r="AQ176" s="38"/>
      <c r="AR176" s="17"/>
      <c r="AS176" s="1"/>
      <c r="AT176" s="17"/>
      <c r="AU176" s="1"/>
      <c r="AV176" s="17"/>
      <c r="AW176" s="1"/>
      <c r="AX176" s="2"/>
      <c r="AY176" s="1"/>
      <c r="AZ176" s="1"/>
    </row>
    <row x14ac:dyDescent="0.25" r="177" customHeight="1" ht="15">
      <c r="A177" s="1"/>
      <c r="B177" s="1"/>
      <c r="C177" s="1"/>
      <c r="D177" s="1"/>
      <c r="E177" s="1"/>
      <c r="F177" s="1"/>
      <c r="G177" s="1"/>
      <c r="H177" s="1"/>
      <c r="I177" s="1"/>
      <c r="J177" s="1"/>
      <c r="K177" s="17"/>
      <c r="L177" s="1"/>
      <c r="M177" s="1"/>
      <c r="N177" s="2"/>
      <c r="O177" s="2"/>
      <c r="P177" s="17"/>
      <c r="Q177" s="1"/>
      <c r="R177" s="1"/>
      <c r="S177" s="1"/>
      <c r="T177" s="38"/>
      <c r="U177" s="38"/>
      <c r="V177" s="38"/>
      <c r="W177" s="38"/>
      <c r="X177" s="38"/>
      <c r="Y177" s="38"/>
      <c r="Z177" s="38"/>
      <c r="AA177" s="122"/>
      <c r="AB177" s="122"/>
      <c r="AC177" s="122"/>
      <c r="AD177" s="122"/>
      <c r="AE177" s="122"/>
      <c r="AF177" s="122"/>
      <c r="AG177" s="122"/>
      <c r="AH177" s="122"/>
      <c r="AI177" s="122"/>
      <c r="AJ177" s="38"/>
      <c r="AK177" s="122"/>
      <c r="AL177" s="122"/>
      <c r="AM177" s="122"/>
      <c r="AN177" s="122"/>
      <c r="AO177" s="38"/>
      <c r="AP177" s="38"/>
      <c r="AQ177" s="38"/>
      <c r="AR177" s="17"/>
      <c r="AS177" s="1"/>
      <c r="AT177" s="17"/>
      <c r="AU177" s="1"/>
      <c r="AV177" s="17"/>
      <c r="AW177" s="1"/>
      <c r="AX177" s="2"/>
      <c r="AY177" s="1"/>
      <c r="AZ177" s="1"/>
    </row>
    <row x14ac:dyDescent="0.25" r="178" customHeight="1" ht="15">
      <c r="A178" s="1"/>
      <c r="B178" s="1"/>
      <c r="C178" s="1"/>
      <c r="D178" s="1"/>
      <c r="E178" s="1"/>
      <c r="F178" s="1"/>
      <c r="G178" s="1"/>
      <c r="H178" s="1"/>
      <c r="I178" s="1"/>
      <c r="J178" s="1"/>
      <c r="K178" s="17"/>
      <c r="L178" s="1"/>
      <c r="M178" s="1"/>
      <c r="N178" s="2"/>
      <c r="O178" s="2"/>
      <c r="P178" s="17"/>
      <c r="Q178" s="1"/>
      <c r="R178" s="1"/>
      <c r="S178" s="1"/>
      <c r="T178" s="38"/>
      <c r="U178" s="38"/>
      <c r="V178" s="38"/>
      <c r="W178" s="38"/>
      <c r="X178" s="38"/>
      <c r="Y178" s="38"/>
      <c r="Z178" s="38"/>
      <c r="AA178" s="122"/>
      <c r="AB178" s="122"/>
      <c r="AC178" s="122"/>
      <c r="AD178" s="122"/>
      <c r="AE178" s="122"/>
      <c r="AF178" s="122"/>
      <c r="AG178" s="122"/>
      <c r="AH178" s="122"/>
      <c r="AI178" s="122"/>
      <c r="AJ178" s="38"/>
      <c r="AK178" s="122"/>
      <c r="AL178" s="122"/>
      <c r="AM178" s="122"/>
      <c r="AN178" s="122"/>
      <c r="AO178" s="38"/>
      <c r="AP178" s="38"/>
      <c r="AQ178" s="38"/>
      <c r="AR178" s="17"/>
      <c r="AS178" s="1"/>
      <c r="AT178" s="17"/>
      <c r="AU178" s="1"/>
      <c r="AV178" s="17"/>
      <c r="AW178" s="1"/>
      <c r="AX178" s="2"/>
      <c r="AY178" s="1"/>
      <c r="AZ178" s="1"/>
    </row>
    <row x14ac:dyDescent="0.25" r="179" customHeight="1" ht="15">
      <c r="A179" s="1"/>
      <c r="B179" s="1"/>
      <c r="C179" s="1"/>
      <c r="D179" s="1"/>
      <c r="E179" s="1"/>
      <c r="F179" s="1"/>
      <c r="G179" s="1"/>
      <c r="H179" s="1"/>
      <c r="I179" s="1"/>
      <c r="J179" s="1"/>
      <c r="K179" s="17"/>
      <c r="L179" s="1"/>
      <c r="M179" s="1"/>
      <c r="N179" s="2"/>
      <c r="O179" s="2"/>
      <c r="P179" s="17"/>
      <c r="Q179" s="1"/>
      <c r="R179" s="1"/>
      <c r="S179" s="1"/>
      <c r="T179" s="38"/>
      <c r="U179" s="38"/>
      <c r="V179" s="38"/>
      <c r="W179" s="38"/>
      <c r="X179" s="38"/>
      <c r="Y179" s="38"/>
      <c r="Z179" s="38"/>
      <c r="AA179" s="122"/>
      <c r="AB179" s="122"/>
      <c r="AC179" s="122"/>
      <c r="AD179" s="122"/>
      <c r="AE179" s="122"/>
      <c r="AF179" s="122"/>
      <c r="AG179" s="122"/>
      <c r="AH179" s="122"/>
      <c r="AI179" s="122"/>
      <c r="AJ179" s="38"/>
      <c r="AK179" s="122"/>
      <c r="AL179" s="122"/>
      <c r="AM179" s="122"/>
      <c r="AN179" s="122"/>
      <c r="AO179" s="38"/>
      <c r="AP179" s="38"/>
      <c r="AQ179" s="38"/>
      <c r="AR179" s="17"/>
      <c r="AS179" s="1"/>
      <c r="AT179" s="17"/>
      <c r="AU179" s="1"/>
      <c r="AV179" s="17"/>
      <c r="AW179" s="1"/>
      <c r="AX179" s="2"/>
      <c r="AY179" s="1"/>
      <c r="AZ179" s="1"/>
    </row>
    <row x14ac:dyDescent="0.25" r="180" customHeight="1" ht="15">
      <c r="A180" s="1"/>
      <c r="B180" s="1"/>
      <c r="C180" s="1"/>
      <c r="D180" s="1"/>
      <c r="E180" s="1"/>
      <c r="F180" s="1"/>
      <c r="G180" s="1"/>
      <c r="H180" s="1"/>
      <c r="I180" s="1"/>
      <c r="J180" s="1"/>
      <c r="K180" s="17"/>
      <c r="L180" s="1"/>
      <c r="M180" s="1"/>
      <c r="N180" s="2"/>
      <c r="O180" s="2"/>
      <c r="P180" s="17"/>
      <c r="Q180" s="1"/>
      <c r="R180" s="1"/>
      <c r="S180" s="1"/>
      <c r="T180" s="38"/>
      <c r="U180" s="38"/>
      <c r="V180" s="38"/>
      <c r="W180" s="38"/>
      <c r="X180" s="38"/>
      <c r="Y180" s="38"/>
      <c r="Z180" s="38"/>
      <c r="AA180" s="122"/>
      <c r="AB180" s="122"/>
      <c r="AC180" s="122"/>
      <c r="AD180" s="122"/>
      <c r="AE180" s="122"/>
      <c r="AF180" s="122"/>
      <c r="AG180" s="122"/>
      <c r="AH180" s="122"/>
      <c r="AI180" s="122"/>
      <c r="AJ180" s="38"/>
      <c r="AK180" s="122"/>
      <c r="AL180" s="122"/>
      <c r="AM180" s="122"/>
      <c r="AN180" s="122"/>
      <c r="AO180" s="38"/>
      <c r="AP180" s="38"/>
      <c r="AQ180" s="38"/>
      <c r="AR180" s="17"/>
      <c r="AS180" s="1"/>
      <c r="AT180" s="17"/>
      <c r="AU180" s="1"/>
      <c r="AV180" s="17"/>
      <c r="AW180" s="1"/>
      <c r="AX180" s="2"/>
      <c r="AY180" s="1"/>
      <c r="AZ180" s="1"/>
    </row>
    <row x14ac:dyDescent="0.25" r="181" customHeight="1" ht="15">
      <c r="A181" s="1"/>
      <c r="B181" s="1"/>
      <c r="C181" s="1"/>
      <c r="D181" s="1"/>
      <c r="E181" s="1"/>
      <c r="F181" s="1"/>
      <c r="G181" s="1"/>
      <c r="H181" s="1"/>
      <c r="I181" s="1"/>
      <c r="J181" s="1"/>
      <c r="K181" s="17"/>
      <c r="L181" s="1"/>
      <c r="M181" s="1"/>
      <c r="N181" s="2"/>
      <c r="O181" s="2"/>
      <c r="P181" s="17"/>
      <c r="Q181" s="1"/>
      <c r="R181" s="1"/>
      <c r="S181" s="1"/>
      <c r="T181" s="38"/>
      <c r="U181" s="38"/>
      <c r="V181" s="38"/>
      <c r="W181" s="38"/>
      <c r="X181" s="38"/>
      <c r="Y181" s="38"/>
      <c r="Z181" s="38"/>
      <c r="AA181" s="122"/>
      <c r="AB181" s="122"/>
      <c r="AC181" s="122"/>
      <c r="AD181" s="122"/>
      <c r="AE181" s="122"/>
      <c r="AF181" s="122"/>
      <c r="AG181" s="122"/>
      <c r="AH181" s="122"/>
      <c r="AI181" s="122"/>
      <c r="AJ181" s="38"/>
      <c r="AK181" s="122"/>
      <c r="AL181" s="122"/>
      <c r="AM181" s="122"/>
      <c r="AN181" s="122"/>
      <c r="AO181" s="38"/>
      <c r="AP181" s="38"/>
      <c r="AQ181" s="38"/>
      <c r="AR181" s="17"/>
      <c r="AS181" s="1"/>
      <c r="AT181" s="17"/>
      <c r="AU181" s="1"/>
      <c r="AV181" s="17"/>
      <c r="AW181" s="1"/>
      <c r="AX181" s="2"/>
      <c r="AY181" s="1"/>
      <c r="AZ181" s="1"/>
    </row>
    <row x14ac:dyDescent="0.25" r="182" customHeight="1" ht="15">
      <c r="A182" s="1"/>
      <c r="B182" s="1"/>
      <c r="C182" s="1"/>
      <c r="D182" s="1"/>
      <c r="E182" s="1"/>
      <c r="F182" s="1"/>
      <c r="G182" s="1"/>
      <c r="H182" s="1"/>
      <c r="I182" s="1"/>
      <c r="J182" s="1"/>
      <c r="K182" s="17"/>
      <c r="L182" s="1"/>
      <c r="M182" s="1"/>
      <c r="N182" s="2"/>
      <c r="O182" s="2"/>
      <c r="P182" s="17"/>
      <c r="Q182" s="1"/>
      <c r="R182" s="1"/>
      <c r="S182" s="1"/>
      <c r="T182" s="38"/>
      <c r="U182" s="38"/>
      <c r="V182" s="38"/>
      <c r="W182" s="38"/>
      <c r="X182" s="38"/>
      <c r="Y182" s="38"/>
      <c r="Z182" s="38"/>
      <c r="AA182" s="122"/>
      <c r="AB182" s="122"/>
      <c r="AC182" s="122"/>
      <c r="AD182" s="122"/>
      <c r="AE182" s="122"/>
      <c r="AF182" s="122"/>
      <c r="AG182" s="122"/>
      <c r="AH182" s="122"/>
      <c r="AI182" s="122"/>
      <c r="AJ182" s="38"/>
      <c r="AK182" s="122"/>
      <c r="AL182" s="122"/>
      <c r="AM182" s="122"/>
      <c r="AN182" s="122"/>
      <c r="AO182" s="38"/>
      <c r="AP182" s="38"/>
      <c r="AQ182" s="38"/>
      <c r="AR182" s="17"/>
      <c r="AS182" s="1"/>
      <c r="AT182" s="17"/>
      <c r="AU182" s="1"/>
      <c r="AV182" s="17"/>
      <c r="AW182" s="1"/>
      <c r="AX182" s="2"/>
      <c r="AY182" s="1"/>
      <c r="AZ182" s="1"/>
    </row>
    <row x14ac:dyDescent="0.25" r="183" customHeight="1" ht="15">
      <c r="A183" s="1"/>
      <c r="B183" s="1"/>
      <c r="C183" s="1"/>
      <c r="D183" s="1"/>
      <c r="E183" s="1"/>
      <c r="F183" s="1"/>
      <c r="G183" s="1"/>
      <c r="H183" s="1"/>
      <c r="I183" s="1"/>
      <c r="J183" s="1"/>
      <c r="K183" s="17"/>
      <c r="L183" s="1"/>
      <c r="M183" s="1"/>
      <c r="N183" s="2"/>
      <c r="O183" s="2"/>
      <c r="P183" s="17"/>
      <c r="Q183" s="1"/>
      <c r="R183" s="1"/>
      <c r="S183" s="1"/>
      <c r="T183" s="38"/>
      <c r="U183" s="38"/>
      <c r="V183" s="38"/>
      <c r="W183" s="38"/>
      <c r="X183" s="38"/>
      <c r="Y183" s="38"/>
      <c r="Z183" s="38"/>
      <c r="AA183" s="122"/>
      <c r="AB183" s="122"/>
      <c r="AC183" s="122"/>
      <c r="AD183" s="122"/>
      <c r="AE183" s="122"/>
      <c r="AF183" s="122"/>
      <c r="AG183" s="122"/>
      <c r="AH183" s="122"/>
      <c r="AI183" s="122"/>
      <c r="AJ183" s="38"/>
      <c r="AK183" s="122"/>
      <c r="AL183" s="122"/>
      <c r="AM183" s="122"/>
      <c r="AN183" s="122"/>
      <c r="AO183" s="38"/>
      <c r="AP183" s="38"/>
      <c r="AQ183" s="38"/>
      <c r="AR183" s="17"/>
      <c r="AS183" s="1"/>
      <c r="AT183" s="17"/>
      <c r="AU183" s="1"/>
      <c r="AV183" s="17"/>
      <c r="AW183" s="1"/>
      <c r="AX183" s="2"/>
      <c r="AY183" s="1"/>
      <c r="AZ183" s="1"/>
    </row>
    <row x14ac:dyDescent="0.25" r="184" customHeight="1" ht="15">
      <c r="A184" s="1"/>
      <c r="B184" s="1"/>
      <c r="C184" s="1"/>
      <c r="D184" s="1"/>
      <c r="E184" s="1"/>
      <c r="F184" s="1"/>
      <c r="G184" s="1"/>
      <c r="H184" s="1"/>
      <c r="I184" s="1"/>
      <c r="J184" s="1"/>
      <c r="K184" s="17"/>
      <c r="L184" s="1"/>
      <c r="M184" s="1"/>
      <c r="N184" s="2"/>
      <c r="O184" s="2"/>
      <c r="P184" s="17"/>
      <c r="Q184" s="1"/>
      <c r="R184" s="1"/>
      <c r="S184" s="1"/>
      <c r="T184" s="38"/>
      <c r="U184" s="38"/>
      <c r="V184" s="38"/>
      <c r="W184" s="38"/>
      <c r="X184" s="38"/>
      <c r="Y184" s="38"/>
      <c r="Z184" s="38"/>
      <c r="AA184" s="122"/>
      <c r="AB184" s="122"/>
      <c r="AC184" s="122"/>
      <c r="AD184" s="122"/>
      <c r="AE184" s="122"/>
      <c r="AF184" s="122"/>
      <c r="AG184" s="122"/>
      <c r="AH184" s="122"/>
      <c r="AI184" s="122"/>
      <c r="AJ184" s="38"/>
      <c r="AK184" s="122"/>
      <c r="AL184" s="122"/>
      <c r="AM184" s="122"/>
      <c r="AN184" s="122"/>
      <c r="AO184" s="38"/>
      <c r="AP184" s="38"/>
      <c r="AQ184" s="38"/>
      <c r="AR184" s="17"/>
      <c r="AS184" s="1"/>
      <c r="AT184" s="17"/>
      <c r="AU184" s="1"/>
      <c r="AV184" s="17"/>
      <c r="AW184" s="1"/>
      <c r="AX184" s="2"/>
      <c r="AY184" s="1"/>
      <c r="AZ184" s="1"/>
    </row>
    <row x14ac:dyDescent="0.25" r="185" customHeight="1" ht="15">
      <c r="A185" s="1"/>
      <c r="B185" s="1"/>
      <c r="C185" s="1"/>
      <c r="D185" s="1"/>
      <c r="E185" s="1"/>
      <c r="F185" s="1"/>
      <c r="G185" s="1"/>
      <c r="H185" s="1"/>
      <c r="I185" s="1"/>
      <c r="J185" s="1"/>
      <c r="K185" s="17"/>
      <c r="L185" s="1"/>
      <c r="M185" s="1"/>
      <c r="N185" s="2"/>
      <c r="O185" s="2"/>
      <c r="P185" s="17"/>
      <c r="Q185" s="1"/>
      <c r="R185" s="1"/>
      <c r="S185" s="1"/>
      <c r="T185" s="38"/>
      <c r="U185" s="38"/>
      <c r="V185" s="38"/>
      <c r="W185" s="38"/>
      <c r="X185" s="38"/>
      <c r="Y185" s="38"/>
      <c r="Z185" s="38"/>
      <c r="AA185" s="122"/>
      <c r="AB185" s="122"/>
      <c r="AC185" s="122"/>
      <c r="AD185" s="122"/>
      <c r="AE185" s="122"/>
      <c r="AF185" s="122"/>
      <c r="AG185" s="122"/>
      <c r="AH185" s="122"/>
      <c r="AI185" s="122"/>
      <c r="AJ185" s="38"/>
      <c r="AK185" s="122"/>
      <c r="AL185" s="122"/>
      <c r="AM185" s="122"/>
      <c r="AN185" s="122"/>
      <c r="AO185" s="38"/>
      <c r="AP185" s="38"/>
      <c r="AQ185" s="38"/>
      <c r="AR185" s="17"/>
      <c r="AS185" s="1"/>
      <c r="AT185" s="17"/>
      <c r="AU185" s="1"/>
      <c r="AV185" s="17"/>
      <c r="AW185" s="1"/>
      <c r="AX185" s="2"/>
      <c r="AY185" s="1"/>
      <c r="AZ185" s="1"/>
    </row>
    <row x14ac:dyDescent="0.25" r="186" customHeight="1" ht="15">
      <c r="A186" s="1"/>
      <c r="B186" s="1"/>
      <c r="C186" s="1"/>
      <c r="D186" s="1"/>
      <c r="E186" s="1"/>
      <c r="F186" s="1"/>
      <c r="G186" s="1"/>
      <c r="H186" s="1"/>
      <c r="I186" s="1"/>
      <c r="J186" s="1"/>
      <c r="K186" s="17"/>
      <c r="L186" s="1"/>
      <c r="M186" s="1"/>
      <c r="N186" s="2"/>
      <c r="O186" s="2"/>
      <c r="P186" s="17"/>
      <c r="Q186" s="1"/>
      <c r="R186" s="1"/>
      <c r="S186" s="1"/>
      <c r="T186" s="38"/>
      <c r="U186" s="38"/>
      <c r="V186" s="38"/>
      <c r="W186" s="38"/>
      <c r="X186" s="38"/>
      <c r="Y186" s="38"/>
      <c r="Z186" s="38"/>
      <c r="AA186" s="122"/>
      <c r="AB186" s="122"/>
      <c r="AC186" s="122"/>
      <c r="AD186" s="122"/>
      <c r="AE186" s="122"/>
      <c r="AF186" s="122"/>
      <c r="AG186" s="122"/>
      <c r="AH186" s="122"/>
      <c r="AI186" s="122"/>
      <c r="AJ186" s="38"/>
      <c r="AK186" s="122"/>
      <c r="AL186" s="122"/>
      <c r="AM186" s="122"/>
      <c r="AN186" s="122"/>
      <c r="AO186" s="38"/>
      <c r="AP186" s="38"/>
      <c r="AQ186" s="38"/>
      <c r="AR186" s="17"/>
      <c r="AS186" s="1"/>
      <c r="AT186" s="17"/>
      <c r="AU186" s="1"/>
      <c r="AV186" s="17"/>
      <c r="AW186" s="1"/>
      <c r="AX186" s="2"/>
      <c r="AY186" s="1"/>
      <c r="AZ186" s="1"/>
    </row>
    <row x14ac:dyDescent="0.25" r="187" customHeight="1" ht="15">
      <c r="A187" s="1"/>
      <c r="B187" s="1"/>
      <c r="C187" s="1"/>
      <c r="D187" s="1"/>
      <c r="E187" s="1"/>
      <c r="F187" s="1"/>
      <c r="G187" s="1"/>
      <c r="H187" s="1"/>
      <c r="I187" s="1"/>
      <c r="J187" s="1"/>
      <c r="K187" s="17"/>
      <c r="L187" s="1"/>
      <c r="M187" s="1"/>
      <c r="N187" s="2"/>
      <c r="O187" s="2"/>
      <c r="P187" s="17"/>
      <c r="Q187" s="1"/>
      <c r="R187" s="1"/>
      <c r="S187" s="1"/>
      <c r="T187" s="38"/>
      <c r="U187" s="38"/>
      <c r="V187" s="38"/>
      <c r="W187" s="38"/>
      <c r="X187" s="38"/>
      <c r="Y187" s="38"/>
      <c r="Z187" s="38"/>
      <c r="AA187" s="122"/>
      <c r="AB187" s="122"/>
      <c r="AC187" s="122"/>
      <c r="AD187" s="122"/>
      <c r="AE187" s="122"/>
      <c r="AF187" s="122"/>
      <c r="AG187" s="122"/>
      <c r="AH187" s="122"/>
      <c r="AI187" s="122"/>
      <c r="AJ187" s="38"/>
      <c r="AK187" s="122"/>
      <c r="AL187" s="122"/>
      <c r="AM187" s="122"/>
      <c r="AN187" s="122"/>
      <c r="AO187" s="38"/>
      <c r="AP187" s="38"/>
      <c r="AQ187" s="38"/>
      <c r="AR187" s="17"/>
      <c r="AS187" s="1"/>
      <c r="AT187" s="17"/>
      <c r="AU187" s="1"/>
      <c r="AV187" s="17"/>
      <c r="AW187" s="1"/>
      <c r="AX187" s="2"/>
      <c r="AY187" s="1"/>
      <c r="AZ187" s="1"/>
    </row>
    <row x14ac:dyDescent="0.25" r="188" customHeight="1" ht="15">
      <c r="A188" s="1"/>
      <c r="B188" s="1"/>
      <c r="C188" s="1"/>
      <c r="D188" s="1"/>
      <c r="E188" s="1"/>
      <c r="F188" s="1"/>
      <c r="G188" s="1"/>
      <c r="H188" s="1"/>
      <c r="I188" s="1"/>
      <c r="J188" s="1"/>
      <c r="K188" s="17"/>
      <c r="L188" s="1"/>
      <c r="M188" s="1"/>
      <c r="N188" s="2"/>
      <c r="O188" s="2"/>
      <c r="P188" s="17"/>
      <c r="Q188" s="1"/>
      <c r="R188" s="1"/>
      <c r="S188" s="1"/>
      <c r="T188" s="38"/>
      <c r="U188" s="38"/>
      <c r="V188" s="38"/>
      <c r="W188" s="38"/>
      <c r="X188" s="38"/>
      <c r="Y188" s="38"/>
      <c r="Z188" s="38"/>
      <c r="AA188" s="122"/>
      <c r="AB188" s="122"/>
      <c r="AC188" s="122"/>
      <c r="AD188" s="122"/>
      <c r="AE188" s="122"/>
      <c r="AF188" s="122"/>
      <c r="AG188" s="122"/>
      <c r="AH188" s="122"/>
      <c r="AI188" s="122"/>
      <c r="AJ188" s="38"/>
      <c r="AK188" s="122"/>
      <c r="AL188" s="122"/>
      <c r="AM188" s="122"/>
      <c r="AN188" s="122"/>
      <c r="AO188" s="38"/>
      <c r="AP188" s="38"/>
      <c r="AQ188" s="38"/>
      <c r="AR188" s="17"/>
      <c r="AS188" s="1"/>
      <c r="AT188" s="17"/>
      <c r="AU188" s="1"/>
      <c r="AV188" s="17"/>
      <c r="AW188" s="1"/>
      <c r="AX188" s="2"/>
      <c r="AY188" s="1"/>
      <c r="AZ188" s="1"/>
    </row>
    <row x14ac:dyDescent="0.25" r="189" customHeight="1" ht="15">
      <c r="A189" s="1"/>
      <c r="B189" s="1"/>
      <c r="C189" s="1"/>
      <c r="D189" s="1"/>
      <c r="E189" s="1"/>
      <c r="F189" s="1"/>
      <c r="G189" s="1"/>
      <c r="H189" s="1"/>
      <c r="I189" s="1"/>
      <c r="J189" s="1"/>
      <c r="K189" s="17"/>
      <c r="L189" s="1"/>
      <c r="M189" s="1"/>
      <c r="N189" s="2"/>
      <c r="O189" s="2"/>
      <c r="P189" s="17"/>
      <c r="Q189" s="1"/>
      <c r="R189" s="1"/>
      <c r="S189" s="1"/>
      <c r="T189" s="38"/>
      <c r="U189" s="38"/>
      <c r="V189" s="38"/>
      <c r="W189" s="38"/>
      <c r="X189" s="38"/>
      <c r="Y189" s="38"/>
      <c r="Z189" s="38"/>
      <c r="AA189" s="122"/>
      <c r="AB189" s="122"/>
      <c r="AC189" s="122"/>
      <c r="AD189" s="122"/>
      <c r="AE189" s="122"/>
      <c r="AF189" s="122"/>
      <c r="AG189" s="122"/>
      <c r="AH189" s="122"/>
      <c r="AI189" s="122"/>
      <c r="AJ189" s="38"/>
      <c r="AK189" s="122"/>
      <c r="AL189" s="122"/>
      <c r="AM189" s="122"/>
      <c r="AN189" s="122"/>
      <c r="AO189" s="38"/>
      <c r="AP189" s="38"/>
      <c r="AQ189" s="38"/>
      <c r="AR189" s="17"/>
      <c r="AS189" s="1"/>
      <c r="AT189" s="17"/>
      <c r="AU189" s="1"/>
      <c r="AV189" s="17"/>
      <c r="AW189" s="1"/>
      <c r="AX189" s="2"/>
      <c r="AY189" s="1"/>
      <c r="AZ189" s="1"/>
    </row>
    <row x14ac:dyDescent="0.25" r="190" customHeight="1" ht="15">
      <c r="A190" s="1"/>
      <c r="B190" s="1"/>
      <c r="C190" s="1"/>
      <c r="D190" s="1"/>
      <c r="E190" s="1"/>
      <c r="F190" s="1"/>
      <c r="G190" s="1"/>
      <c r="H190" s="1"/>
      <c r="I190" s="1"/>
      <c r="J190" s="1"/>
      <c r="K190" s="17"/>
      <c r="L190" s="1"/>
      <c r="M190" s="1"/>
      <c r="N190" s="2"/>
      <c r="O190" s="2"/>
      <c r="P190" s="17"/>
      <c r="Q190" s="1"/>
      <c r="R190" s="1"/>
      <c r="S190" s="1"/>
      <c r="T190" s="38"/>
      <c r="U190" s="38"/>
      <c r="V190" s="38"/>
      <c r="W190" s="38"/>
      <c r="X190" s="38"/>
      <c r="Y190" s="38"/>
      <c r="Z190" s="38"/>
      <c r="AA190" s="122"/>
      <c r="AB190" s="122"/>
      <c r="AC190" s="122"/>
      <c r="AD190" s="122"/>
      <c r="AE190" s="122"/>
      <c r="AF190" s="122"/>
      <c r="AG190" s="122"/>
      <c r="AH190" s="122"/>
      <c r="AI190" s="122"/>
      <c r="AJ190" s="38"/>
      <c r="AK190" s="122"/>
      <c r="AL190" s="122"/>
      <c r="AM190" s="122"/>
      <c r="AN190" s="122"/>
      <c r="AO190" s="38"/>
      <c r="AP190" s="38"/>
      <c r="AQ190" s="38"/>
      <c r="AR190" s="17"/>
      <c r="AS190" s="1"/>
      <c r="AT190" s="17"/>
      <c r="AU190" s="1"/>
      <c r="AV190" s="17"/>
      <c r="AW190" s="1"/>
      <c r="AX190" s="2"/>
      <c r="AY190" s="1"/>
      <c r="AZ190" s="1"/>
    </row>
    <row x14ac:dyDescent="0.25" r="191" customHeight="1" ht="15">
      <c r="A191" s="1"/>
      <c r="B191" s="1"/>
      <c r="C191" s="1"/>
      <c r="D191" s="1"/>
      <c r="E191" s="1"/>
      <c r="F191" s="1"/>
      <c r="G191" s="1"/>
      <c r="H191" s="1"/>
      <c r="I191" s="1"/>
      <c r="J191" s="1"/>
      <c r="K191" s="17"/>
      <c r="L191" s="1"/>
      <c r="M191" s="1"/>
      <c r="N191" s="2"/>
      <c r="O191" s="2"/>
      <c r="P191" s="17"/>
      <c r="Q191" s="1"/>
      <c r="R191" s="1"/>
      <c r="S191" s="1"/>
      <c r="T191" s="38"/>
      <c r="U191" s="38"/>
      <c r="V191" s="38"/>
      <c r="W191" s="38"/>
      <c r="X191" s="38"/>
      <c r="Y191" s="38"/>
      <c r="Z191" s="38"/>
      <c r="AA191" s="122"/>
      <c r="AB191" s="122"/>
      <c r="AC191" s="122"/>
      <c r="AD191" s="122"/>
      <c r="AE191" s="122"/>
      <c r="AF191" s="122"/>
      <c r="AG191" s="122"/>
      <c r="AH191" s="122"/>
      <c r="AI191" s="122"/>
      <c r="AJ191" s="38"/>
      <c r="AK191" s="122"/>
      <c r="AL191" s="122"/>
      <c r="AM191" s="122"/>
      <c r="AN191" s="122"/>
      <c r="AO191" s="38"/>
      <c r="AP191" s="38"/>
      <c r="AQ191" s="38"/>
      <c r="AR191" s="17"/>
      <c r="AS191" s="1"/>
      <c r="AT191" s="17"/>
      <c r="AU191" s="1"/>
      <c r="AV191" s="17"/>
      <c r="AW191" s="1"/>
      <c r="AX191" s="2"/>
      <c r="AY191" s="1"/>
      <c r="AZ191" s="1"/>
    </row>
    <row x14ac:dyDescent="0.25" r="192" customHeight="1" ht="15">
      <c r="A192" s="1"/>
      <c r="B192" s="1"/>
      <c r="C192" s="1"/>
      <c r="D192" s="1"/>
      <c r="E192" s="1"/>
      <c r="F192" s="1"/>
      <c r="G192" s="1"/>
      <c r="H192" s="1"/>
      <c r="I192" s="1"/>
      <c r="J192" s="1"/>
      <c r="K192" s="17"/>
      <c r="L192" s="1"/>
      <c r="M192" s="1"/>
      <c r="N192" s="2"/>
      <c r="O192" s="2"/>
      <c r="P192" s="17"/>
      <c r="Q192" s="1"/>
      <c r="R192" s="1"/>
      <c r="S192" s="1"/>
      <c r="T192" s="38"/>
      <c r="U192" s="38"/>
      <c r="V192" s="38"/>
      <c r="W192" s="38"/>
      <c r="X192" s="38"/>
      <c r="Y192" s="38"/>
      <c r="Z192" s="38"/>
      <c r="AA192" s="122"/>
      <c r="AB192" s="122"/>
      <c r="AC192" s="122"/>
      <c r="AD192" s="122"/>
      <c r="AE192" s="122"/>
      <c r="AF192" s="122"/>
      <c r="AG192" s="122"/>
      <c r="AH192" s="122"/>
      <c r="AI192" s="122"/>
      <c r="AJ192" s="38"/>
      <c r="AK192" s="122"/>
      <c r="AL192" s="122"/>
      <c r="AM192" s="122"/>
      <c r="AN192" s="122"/>
      <c r="AO192" s="38"/>
      <c r="AP192" s="38"/>
      <c r="AQ192" s="38"/>
      <c r="AR192" s="17"/>
      <c r="AS192" s="1"/>
      <c r="AT192" s="17"/>
      <c r="AU192" s="1"/>
      <c r="AV192" s="17"/>
      <c r="AW192" s="1"/>
      <c r="AX192" s="2"/>
      <c r="AY192" s="1"/>
      <c r="AZ192" s="1"/>
    </row>
    <row x14ac:dyDescent="0.25" r="193" customHeight="1" ht="15">
      <c r="A193" s="1"/>
      <c r="B193" s="1"/>
      <c r="C193" s="1"/>
      <c r="D193" s="1"/>
      <c r="E193" s="1"/>
      <c r="F193" s="1"/>
      <c r="G193" s="1"/>
      <c r="H193" s="1"/>
      <c r="I193" s="1"/>
      <c r="J193" s="1"/>
      <c r="K193" s="17"/>
      <c r="L193" s="1"/>
      <c r="M193" s="1"/>
      <c r="N193" s="2"/>
      <c r="O193" s="2"/>
      <c r="P193" s="17"/>
      <c r="Q193" s="1"/>
      <c r="R193" s="1"/>
      <c r="S193" s="1"/>
      <c r="T193" s="38"/>
      <c r="U193" s="38"/>
      <c r="V193" s="38"/>
      <c r="W193" s="38"/>
      <c r="X193" s="38"/>
      <c r="Y193" s="38"/>
      <c r="Z193" s="38"/>
      <c r="AA193" s="122"/>
      <c r="AB193" s="122"/>
      <c r="AC193" s="122"/>
      <c r="AD193" s="122"/>
      <c r="AE193" s="122"/>
      <c r="AF193" s="122"/>
      <c r="AG193" s="122"/>
      <c r="AH193" s="122"/>
      <c r="AI193" s="122"/>
      <c r="AJ193" s="38"/>
      <c r="AK193" s="122"/>
      <c r="AL193" s="122"/>
      <c r="AM193" s="122"/>
      <c r="AN193" s="122"/>
      <c r="AO193" s="38"/>
      <c r="AP193" s="38"/>
      <c r="AQ193" s="38"/>
      <c r="AR193" s="17"/>
      <c r="AS193" s="1"/>
      <c r="AT193" s="17"/>
      <c r="AU193" s="1"/>
      <c r="AV193" s="17"/>
      <c r="AW193" s="1"/>
      <c r="AX193" s="2"/>
      <c r="AY193" s="1"/>
      <c r="AZ193" s="1"/>
    </row>
    <row x14ac:dyDescent="0.25" r="194" customHeight="1" ht="15">
      <c r="A194" s="1"/>
      <c r="B194" s="1"/>
      <c r="C194" s="1"/>
      <c r="D194" s="1"/>
      <c r="E194" s="1"/>
      <c r="F194" s="1"/>
      <c r="G194" s="1"/>
      <c r="H194" s="1"/>
      <c r="I194" s="1"/>
      <c r="J194" s="1"/>
      <c r="K194" s="17"/>
      <c r="L194" s="1"/>
      <c r="M194" s="1"/>
      <c r="N194" s="2"/>
      <c r="O194" s="2"/>
      <c r="P194" s="17"/>
      <c r="Q194" s="1"/>
      <c r="R194" s="1"/>
      <c r="S194" s="1"/>
      <c r="T194" s="38"/>
      <c r="U194" s="38"/>
      <c r="V194" s="38"/>
      <c r="W194" s="38"/>
      <c r="X194" s="38"/>
      <c r="Y194" s="38"/>
      <c r="Z194" s="38"/>
      <c r="AA194" s="122"/>
      <c r="AB194" s="122"/>
      <c r="AC194" s="122"/>
      <c r="AD194" s="122"/>
      <c r="AE194" s="122"/>
      <c r="AF194" s="122"/>
      <c r="AG194" s="122"/>
      <c r="AH194" s="122"/>
      <c r="AI194" s="122"/>
      <c r="AJ194" s="38"/>
      <c r="AK194" s="122"/>
      <c r="AL194" s="122"/>
      <c r="AM194" s="122"/>
      <c r="AN194" s="122"/>
      <c r="AO194" s="38"/>
      <c r="AP194" s="38"/>
      <c r="AQ194" s="38"/>
      <c r="AR194" s="17"/>
      <c r="AS194" s="1"/>
      <c r="AT194" s="17"/>
      <c r="AU194" s="1"/>
      <c r="AV194" s="17"/>
      <c r="AW194" s="1"/>
      <c r="AX194" s="2"/>
      <c r="AY194" s="1"/>
      <c r="AZ194" s="1"/>
    </row>
    <row x14ac:dyDescent="0.25" r="195" customHeight="1" ht="15">
      <c r="A195" s="1"/>
      <c r="B195" s="1"/>
      <c r="C195" s="1"/>
      <c r="D195" s="1"/>
      <c r="E195" s="1"/>
      <c r="F195" s="1"/>
      <c r="G195" s="1"/>
      <c r="H195" s="1"/>
      <c r="I195" s="1"/>
      <c r="J195" s="1"/>
      <c r="K195" s="17"/>
      <c r="L195" s="1"/>
      <c r="M195" s="1"/>
      <c r="N195" s="2"/>
      <c r="O195" s="2"/>
      <c r="P195" s="17"/>
      <c r="Q195" s="1"/>
      <c r="R195" s="1"/>
      <c r="S195" s="1"/>
      <c r="T195" s="38"/>
      <c r="U195" s="38"/>
      <c r="V195" s="38"/>
      <c r="W195" s="38"/>
      <c r="X195" s="38"/>
      <c r="Y195" s="38"/>
      <c r="Z195" s="38"/>
      <c r="AA195" s="122"/>
      <c r="AB195" s="122"/>
      <c r="AC195" s="122"/>
      <c r="AD195" s="122"/>
      <c r="AE195" s="122"/>
      <c r="AF195" s="122"/>
      <c r="AG195" s="122"/>
      <c r="AH195" s="122"/>
      <c r="AI195" s="122"/>
      <c r="AJ195" s="38"/>
      <c r="AK195" s="122"/>
      <c r="AL195" s="122"/>
      <c r="AM195" s="122"/>
      <c r="AN195" s="122"/>
      <c r="AO195" s="38"/>
      <c r="AP195" s="38"/>
      <c r="AQ195" s="38"/>
      <c r="AR195" s="17"/>
      <c r="AS195" s="1"/>
      <c r="AT195" s="17"/>
      <c r="AU195" s="1"/>
      <c r="AV195" s="17"/>
      <c r="AW195" s="1"/>
      <c r="AX195" s="2"/>
      <c r="AY195" s="1"/>
      <c r="AZ195" s="1"/>
    </row>
    <row x14ac:dyDescent="0.25" r="196" customHeight="1" ht="15">
      <c r="A196" s="1"/>
      <c r="B196" s="1"/>
      <c r="C196" s="1"/>
      <c r="D196" s="1"/>
      <c r="E196" s="1"/>
      <c r="F196" s="1"/>
      <c r="G196" s="1"/>
      <c r="H196" s="1"/>
      <c r="I196" s="1"/>
      <c r="J196" s="1"/>
      <c r="K196" s="17"/>
      <c r="L196" s="1"/>
      <c r="M196" s="1"/>
      <c r="N196" s="2"/>
      <c r="O196" s="2"/>
      <c r="P196" s="17"/>
      <c r="Q196" s="1"/>
      <c r="R196" s="1"/>
      <c r="S196" s="1"/>
      <c r="T196" s="38"/>
      <c r="U196" s="38"/>
      <c r="V196" s="38"/>
      <c r="W196" s="38"/>
      <c r="X196" s="38"/>
      <c r="Y196" s="38"/>
      <c r="Z196" s="38"/>
      <c r="AA196" s="122"/>
      <c r="AB196" s="122"/>
      <c r="AC196" s="122"/>
      <c r="AD196" s="122"/>
      <c r="AE196" s="122"/>
      <c r="AF196" s="122"/>
      <c r="AG196" s="122"/>
      <c r="AH196" s="122"/>
      <c r="AI196" s="122"/>
      <c r="AJ196" s="38"/>
      <c r="AK196" s="122"/>
      <c r="AL196" s="122"/>
      <c r="AM196" s="122"/>
      <c r="AN196" s="122"/>
      <c r="AO196" s="38"/>
      <c r="AP196" s="38"/>
      <c r="AQ196" s="38"/>
      <c r="AR196" s="17"/>
      <c r="AS196" s="1"/>
      <c r="AT196" s="17"/>
      <c r="AU196" s="1"/>
      <c r="AV196" s="17"/>
      <c r="AW196" s="1"/>
      <c r="AX196" s="2"/>
      <c r="AY196" s="1"/>
      <c r="AZ196" s="1"/>
    </row>
    <row x14ac:dyDescent="0.25" r="197" customHeight="1" ht="15">
      <c r="A197" s="1"/>
      <c r="B197" s="1"/>
      <c r="C197" s="1"/>
      <c r="D197" s="1"/>
      <c r="E197" s="1"/>
      <c r="F197" s="1"/>
      <c r="G197" s="1"/>
      <c r="H197" s="1"/>
      <c r="I197" s="1"/>
      <c r="J197" s="1"/>
      <c r="K197" s="17"/>
      <c r="L197" s="1"/>
      <c r="M197" s="1"/>
      <c r="N197" s="2"/>
      <c r="O197" s="2"/>
      <c r="P197" s="17"/>
      <c r="Q197" s="1"/>
      <c r="R197" s="1"/>
      <c r="S197" s="1"/>
      <c r="T197" s="38"/>
      <c r="U197" s="38"/>
      <c r="V197" s="38"/>
      <c r="W197" s="38"/>
      <c r="X197" s="38"/>
      <c r="Y197" s="38"/>
      <c r="Z197" s="38"/>
      <c r="AA197" s="122"/>
      <c r="AB197" s="122"/>
      <c r="AC197" s="122"/>
      <c r="AD197" s="122"/>
      <c r="AE197" s="122"/>
      <c r="AF197" s="122"/>
      <c r="AG197" s="122"/>
      <c r="AH197" s="122"/>
      <c r="AI197" s="122"/>
      <c r="AJ197" s="38"/>
      <c r="AK197" s="122"/>
      <c r="AL197" s="122"/>
      <c r="AM197" s="122"/>
      <c r="AN197" s="122"/>
      <c r="AO197" s="38"/>
      <c r="AP197" s="38"/>
      <c r="AQ197" s="38"/>
      <c r="AR197" s="17"/>
      <c r="AS197" s="1"/>
      <c r="AT197" s="17"/>
      <c r="AU197" s="1"/>
      <c r="AV197" s="17"/>
      <c r="AW197" s="1"/>
      <c r="AX197" s="2"/>
      <c r="AY197" s="1"/>
      <c r="AZ197" s="1"/>
    </row>
    <row x14ac:dyDescent="0.25" r="198" customHeight="1" ht="15">
      <c r="A198" s="1"/>
      <c r="B198" s="1"/>
      <c r="C198" s="1"/>
      <c r="D198" s="1"/>
      <c r="E198" s="1"/>
      <c r="F198" s="1"/>
      <c r="G198" s="1"/>
      <c r="H198" s="1"/>
      <c r="I198" s="1"/>
      <c r="J198" s="1"/>
      <c r="K198" s="17"/>
      <c r="L198" s="1"/>
      <c r="M198" s="1"/>
      <c r="N198" s="2"/>
      <c r="O198" s="2"/>
      <c r="P198" s="17"/>
      <c r="Q198" s="1"/>
      <c r="R198" s="1"/>
      <c r="S198" s="1"/>
      <c r="T198" s="38"/>
      <c r="U198" s="38"/>
      <c r="V198" s="38"/>
      <c r="W198" s="38"/>
      <c r="X198" s="38"/>
      <c r="Y198" s="38"/>
      <c r="Z198" s="38"/>
      <c r="AA198" s="122"/>
      <c r="AB198" s="122"/>
      <c r="AC198" s="122"/>
      <c r="AD198" s="122"/>
      <c r="AE198" s="122"/>
      <c r="AF198" s="122"/>
      <c r="AG198" s="122"/>
      <c r="AH198" s="122"/>
      <c r="AI198" s="122"/>
      <c r="AJ198" s="38"/>
      <c r="AK198" s="122"/>
      <c r="AL198" s="122"/>
      <c r="AM198" s="122"/>
      <c r="AN198" s="122"/>
      <c r="AO198" s="38"/>
      <c r="AP198" s="38"/>
      <c r="AQ198" s="38"/>
      <c r="AR198" s="17"/>
      <c r="AS198" s="1"/>
      <c r="AT198" s="17"/>
      <c r="AU198" s="1"/>
      <c r="AV198" s="17"/>
      <c r="AW198" s="1"/>
      <c r="AX198" s="2"/>
      <c r="AY198" s="1"/>
      <c r="AZ198" s="1"/>
    </row>
    <row x14ac:dyDescent="0.25" r="199" customHeight="1" ht="15">
      <c r="A199" s="1"/>
      <c r="B199" s="1"/>
      <c r="C199" s="1"/>
      <c r="D199" s="1"/>
      <c r="E199" s="1"/>
      <c r="F199" s="1"/>
      <c r="G199" s="1"/>
      <c r="H199" s="1"/>
      <c r="I199" s="1"/>
      <c r="J199" s="1"/>
      <c r="K199" s="17"/>
      <c r="L199" s="1"/>
      <c r="M199" s="1"/>
      <c r="N199" s="2"/>
      <c r="O199" s="2"/>
      <c r="P199" s="17"/>
      <c r="Q199" s="1"/>
      <c r="R199" s="1"/>
      <c r="S199" s="1"/>
      <c r="T199" s="38"/>
      <c r="U199" s="38"/>
      <c r="V199" s="38"/>
      <c r="W199" s="38"/>
      <c r="X199" s="38"/>
      <c r="Y199" s="38"/>
      <c r="Z199" s="38"/>
      <c r="AA199" s="122"/>
      <c r="AB199" s="122"/>
      <c r="AC199" s="122"/>
      <c r="AD199" s="122"/>
      <c r="AE199" s="122"/>
      <c r="AF199" s="122"/>
      <c r="AG199" s="122"/>
      <c r="AH199" s="122"/>
      <c r="AI199" s="122"/>
      <c r="AJ199" s="38"/>
      <c r="AK199" s="122"/>
      <c r="AL199" s="122"/>
      <c r="AM199" s="122"/>
      <c r="AN199" s="122"/>
      <c r="AO199" s="38"/>
      <c r="AP199" s="38"/>
      <c r="AQ199" s="38"/>
      <c r="AR199" s="17"/>
      <c r="AS199" s="1"/>
      <c r="AT199" s="17"/>
      <c r="AU199" s="1"/>
      <c r="AV199" s="17"/>
      <c r="AW199" s="1"/>
      <c r="AX199" s="2"/>
      <c r="AY199" s="1"/>
      <c r="AZ199" s="1"/>
    </row>
    <row x14ac:dyDescent="0.25" r="200" customHeight="1" ht="15">
      <c r="A200" s="1"/>
      <c r="B200" s="1"/>
      <c r="C200" s="1"/>
      <c r="D200" s="1"/>
      <c r="E200" s="1"/>
      <c r="F200" s="1"/>
      <c r="G200" s="1"/>
      <c r="H200" s="1"/>
      <c r="I200" s="1"/>
      <c r="J200" s="1"/>
      <c r="K200" s="17"/>
      <c r="L200" s="1"/>
      <c r="M200" s="1"/>
      <c r="N200" s="2"/>
      <c r="O200" s="2"/>
      <c r="P200" s="17"/>
      <c r="Q200" s="1"/>
      <c r="R200" s="1"/>
      <c r="S200" s="1"/>
      <c r="T200" s="38"/>
      <c r="U200" s="38"/>
      <c r="V200" s="38"/>
      <c r="W200" s="38"/>
      <c r="X200" s="38"/>
      <c r="Y200" s="38"/>
      <c r="Z200" s="38"/>
      <c r="AA200" s="122"/>
      <c r="AB200" s="122"/>
      <c r="AC200" s="122"/>
      <c r="AD200" s="122"/>
      <c r="AE200" s="122"/>
      <c r="AF200" s="122"/>
      <c r="AG200" s="122"/>
      <c r="AH200" s="122"/>
      <c r="AI200" s="122"/>
      <c r="AJ200" s="38"/>
      <c r="AK200" s="122"/>
      <c r="AL200" s="122"/>
      <c r="AM200" s="122"/>
      <c r="AN200" s="122"/>
      <c r="AO200" s="38"/>
      <c r="AP200" s="38"/>
      <c r="AQ200" s="38"/>
      <c r="AR200" s="17"/>
      <c r="AS200" s="1"/>
      <c r="AT200" s="17"/>
      <c r="AU200" s="1"/>
      <c r="AV200" s="17"/>
      <c r="AW200" s="1"/>
      <c r="AX200" s="2"/>
      <c r="AY200" s="1"/>
      <c r="AZ200" s="1"/>
    </row>
    <row x14ac:dyDescent="0.25" r="201" customHeight="1" ht="15">
      <c r="A201" s="1"/>
      <c r="B201" s="1"/>
      <c r="C201" s="1"/>
      <c r="D201" s="1"/>
      <c r="E201" s="1"/>
      <c r="F201" s="1"/>
      <c r="G201" s="1"/>
      <c r="H201" s="1"/>
      <c r="I201" s="1"/>
      <c r="J201" s="1"/>
      <c r="K201" s="17"/>
      <c r="L201" s="1"/>
      <c r="M201" s="1"/>
      <c r="N201" s="2"/>
      <c r="O201" s="2"/>
      <c r="P201" s="17"/>
      <c r="Q201" s="1"/>
      <c r="R201" s="1"/>
      <c r="S201" s="1"/>
      <c r="T201" s="38"/>
      <c r="U201" s="38"/>
      <c r="V201" s="38"/>
      <c r="W201" s="38"/>
      <c r="X201" s="38"/>
      <c r="Y201" s="38"/>
      <c r="Z201" s="38"/>
      <c r="AA201" s="122"/>
      <c r="AB201" s="122"/>
      <c r="AC201" s="122"/>
      <c r="AD201" s="122"/>
      <c r="AE201" s="122"/>
      <c r="AF201" s="122"/>
      <c r="AG201" s="122"/>
      <c r="AH201" s="122"/>
      <c r="AI201" s="122"/>
      <c r="AJ201" s="38"/>
      <c r="AK201" s="122"/>
      <c r="AL201" s="122"/>
      <c r="AM201" s="122"/>
      <c r="AN201" s="122"/>
      <c r="AO201" s="38"/>
      <c r="AP201" s="38"/>
      <c r="AQ201" s="38"/>
      <c r="AR201" s="17"/>
      <c r="AS201" s="1"/>
      <c r="AT201" s="17"/>
      <c r="AU201" s="1"/>
      <c r="AV201" s="17"/>
      <c r="AW201" s="1"/>
      <c r="AX201" s="2"/>
      <c r="AY201" s="1"/>
      <c r="AZ201" s="1"/>
    </row>
    <row x14ac:dyDescent="0.25" r="202" customHeight="1" ht="15">
      <c r="A202" s="1"/>
      <c r="B202" s="1"/>
      <c r="C202" s="1"/>
      <c r="D202" s="1"/>
      <c r="E202" s="1"/>
      <c r="F202" s="1"/>
      <c r="G202" s="1"/>
      <c r="H202" s="1"/>
      <c r="I202" s="1"/>
      <c r="J202" s="1"/>
      <c r="K202" s="17"/>
      <c r="L202" s="1"/>
      <c r="M202" s="1"/>
      <c r="N202" s="2"/>
      <c r="O202" s="2"/>
      <c r="P202" s="17"/>
      <c r="Q202" s="1"/>
      <c r="R202" s="1"/>
      <c r="S202" s="1"/>
      <c r="T202" s="38"/>
      <c r="U202" s="38"/>
      <c r="V202" s="38"/>
      <c r="W202" s="38"/>
      <c r="X202" s="38"/>
      <c r="Y202" s="38"/>
      <c r="Z202" s="38"/>
      <c r="AA202" s="122"/>
      <c r="AB202" s="122"/>
      <c r="AC202" s="122"/>
      <c r="AD202" s="122"/>
      <c r="AE202" s="122"/>
      <c r="AF202" s="122"/>
      <c r="AG202" s="122"/>
      <c r="AH202" s="122"/>
      <c r="AI202" s="122"/>
      <c r="AJ202" s="38"/>
      <c r="AK202" s="122"/>
      <c r="AL202" s="122"/>
      <c r="AM202" s="122"/>
      <c r="AN202" s="122"/>
      <c r="AO202" s="38"/>
      <c r="AP202" s="38"/>
      <c r="AQ202" s="38"/>
      <c r="AR202" s="17"/>
      <c r="AS202" s="1"/>
      <c r="AT202" s="17"/>
      <c r="AU202" s="1"/>
      <c r="AV202" s="17"/>
      <c r="AW202" s="1"/>
      <c r="AX202" s="2"/>
      <c r="AY202" s="1"/>
      <c r="AZ202" s="1"/>
    </row>
    <row x14ac:dyDescent="0.25" r="203" customHeight="1" ht="15">
      <c r="A203" s="1"/>
      <c r="B203" s="1"/>
      <c r="C203" s="1"/>
      <c r="D203" s="1"/>
      <c r="E203" s="1"/>
      <c r="F203" s="1"/>
      <c r="G203" s="1"/>
      <c r="H203" s="1"/>
      <c r="I203" s="1"/>
      <c r="J203" s="1"/>
      <c r="K203" s="17"/>
      <c r="L203" s="1"/>
      <c r="M203" s="1"/>
      <c r="N203" s="2"/>
      <c r="O203" s="2"/>
      <c r="P203" s="17"/>
      <c r="Q203" s="1"/>
      <c r="R203" s="1"/>
      <c r="S203" s="1"/>
      <c r="T203" s="38"/>
      <c r="U203" s="38"/>
      <c r="V203" s="38"/>
      <c r="W203" s="38"/>
      <c r="X203" s="38"/>
      <c r="Y203" s="38"/>
      <c r="Z203" s="38"/>
      <c r="AA203" s="122"/>
      <c r="AB203" s="122"/>
      <c r="AC203" s="122"/>
      <c r="AD203" s="122"/>
      <c r="AE203" s="122"/>
      <c r="AF203" s="122"/>
      <c r="AG203" s="122"/>
      <c r="AH203" s="122"/>
      <c r="AI203" s="122"/>
      <c r="AJ203" s="38"/>
      <c r="AK203" s="122"/>
      <c r="AL203" s="122"/>
      <c r="AM203" s="122"/>
      <c r="AN203" s="122"/>
      <c r="AO203" s="38"/>
      <c r="AP203" s="38"/>
      <c r="AQ203" s="38"/>
      <c r="AR203" s="17"/>
      <c r="AS203" s="1"/>
      <c r="AT203" s="17"/>
      <c r="AU203" s="1"/>
      <c r="AV203" s="17"/>
      <c r="AW203" s="1"/>
      <c r="AX203" s="2"/>
      <c r="AY203" s="1"/>
      <c r="AZ203" s="1"/>
    </row>
    <row x14ac:dyDescent="0.25" r="204" customHeight="1" ht="15">
      <c r="A204" s="1"/>
      <c r="B204" s="1"/>
      <c r="C204" s="1"/>
      <c r="D204" s="1"/>
      <c r="E204" s="1"/>
      <c r="F204" s="1"/>
      <c r="G204" s="1"/>
      <c r="H204" s="1"/>
      <c r="I204" s="1"/>
      <c r="J204" s="1"/>
      <c r="K204" s="17"/>
      <c r="L204" s="1"/>
      <c r="M204" s="1"/>
      <c r="N204" s="2"/>
      <c r="O204" s="2"/>
      <c r="P204" s="17"/>
      <c r="Q204" s="1"/>
      <c r="R204" s="1"/>
      <c r="S204" s="1"/>
      <c r="T204" s="38"/>
      <c r="U204" s="38"/>
      <c r="V204" s="38"/>
      <c r="W204" s="38"/>
      <c r="X204" s="38"/>
      <c r="Y204" s="38"/>
      <c r="Z204" s="38"/>
      <c r="AA204" s="122"/>
      <c r="AB204" s="122"/>
      <c r="AC204" s="122"/>
      <c r="AD204" s="122"/>
      <c r="AE204" s="122"/>
      <c r="AF204" s="122"/>
      <c r="AG204" s="122"/>
      <c r="AH204" s="122"/>
      <c r="AI204" s="122"/>
      <c r="AJ204" s="38"/>
      <c r="AK204" s="122"/>
      <c r="AL204" s="122"/>
      <c r="AM204" s="122"/>
      <c r="AN204" s="122"/>
      <c r="AO204" s="38"/>
      <c r="AP204" s="38"/>
      <c r="AQ204" s="38"/>
      <c r="AR204" s="17"/>
      <c r="AS204" s="1"/>
      <c r="AT204" s="17"/>
      <c r="AU204" s="1"/>
      <c r="AV204" s="17"/>
      <c r="AW204" s="1"/>
      <c r="AX204" s="2"/>
      <c r="AY204" s="1"/>
      <c r="AZ204" s="1"/>
    </row>
    <row x14ac:dyDescent="0.25" r="205" customHeight="1" ht="15">
      <c r="A205" s="1"/>
      <c r="B205" s="1"/>
      <c r="C205" s="1"/>
      <c r="D205" s="1"/>
      <c r="E205" s="1"/>
      <c r="F205" s="1"/>
      <c r="G205" s="1"/>
      <c r="H205" s="1"/>
      <c r="I205" s="1"/>
      <c r="J205" s="1"/>
      <c r="K205" s="17"/>
      <c r="L205" s="1"/>
      <c r="M205" s="1"/>
      <c r="N205" s="2"/>
      <c r="O205" s="2"/>
      <c r="P205" s="17"/>
      <c r="Q205" s="1"/>
      <c r="R205" s="1"/>
      <c r="S205" s="1"/>
      <c r="T205" s="38"/>
      <c r="U205" s="38"/>
      <c r="V205" s="38"/>
      <c r="W205" s="38"/>
      <c r="X205" s="38"/>
      <c r="Y205" s="38"/>
      <c r="Z205" s="38"/>
      <c r="AA205" s="122"/>
      <c r="AB205" s="122"/>
      <c r="AC205" s="122"/>
      <c r="AD205" s="122"/>
      <c r="AE205" s="122"/>
      <c r="AF205" s="122"/>
      <c r="AG205" s="122"/>
      <c r="AH205" s="122"/>
      <c r="AI205" s="122"/>
      <c r="AJ205" s="38"/>
      <c r="AK205" s="122"/>
      <c r="AL205" s="122"/>
      <c r="AM205" s="122"/>
      <c r="AN205" s="122"/>
      <c r="AO205" s="38"/>
      <c r="AP205" s="38"/>
      <c r="AQ205" s="38"/>
      <c r="AR205" s="17"/>
      <c r="AS205" s="1"/>
      <c r="AT205" s="17"/>
      <c r="AU205" s="1"/>
      <c r="AV205" s="17"/>
      <c r="AW205" s="1"/>
      <c r="AX205" s="2"/>
      <c r="AY205" s="1"/>
      <c r="AZ205" s="1"/>
    </row>
    <row x14ac:dyDescent="0.25" r="206" customHeight="1" ht="15">
      <c r="A206" s="1"/>
      <c r="B206" s="1"/>
      <c r="C206" s="1"/>
      <c r="D206" s="1"/>
      <c r="E206" s="1"/>
      <c r="F206" s="1"/>
      <c r="G206" s="1"/>
      <c r="H206" s="1"/>
      <c r="I206" s="1"/>
      <c r="J206" s="1"/>
      <c r="K206" s="17"/>
      <c r="L206" s="1"/>
      <c r="M206" s="1"/>
      <c r="N206" s="2"/>
      <c r="O206" s="2"/>
      <c r="P206" s="17"/>
      <c r="Q206" s="1"/>
      <c r="R206" s="1"/>
      <c r="S206" s="1"/>
      <c r="T206" s="38"/>
      <c r="U206" s="38"/>
      <c r="V206" s="38"/>
      <c r="W206" s="38"/>
      <c r="X206" s="38"/>
      <c r="Y206" s="38"/>
      <c r="Z206" s="38"/>
      <c r="AA206" s="122"/>
      <c r="AB206" s="122"/>
      <c r="AC206" s="122"/>
      <c r="AD206" s="122"/>
      <c r="AE206" s="122"/>
      <c r="AF206" s="122"/>
      <c r="AG206" s="122"/>
      <c r="AH206" s="122"/>
      <c r="AI206" s="122"/>
      <c r="AJ206" s="38"/>
      <c r="AK206" s="122"/>
      <c r="AL206" s="122"/>
      <c r="AM206" s="122"/>
      <c r="AN206" s="122"/>
      <c r="AO206" s="38"/>
      <c r="AP206" s="38"/>
      <c r="AQ206" s="38"/>
      <c r="AR206" s="17"/>
      <c r="AS206" s="1"/>
      <c r="AT206" s="17"/>
      <c r="AU206" s="1"/>
      <c r="AV206" s="17"/>
      <c r="AW206" s="1"/>
      <c r="AX206" s="2"/>
      <c r="AY206" s="1"/>
      <c r="AZ206" s="1"/>
    </row>
    <row x14ac:dyDescent="0.25" r="207" customHeight="1" ht="15">
      <c r="A207" s="1"/>
      <c r="B207" s="1"/>
      <c r="C207" s="1"/>
      <c r="D207" s="1"/>
      <c r="E207" s="1"/>
      <c r="F207" s="1"/>
      <c r="G207" s="1"/>
      <c r="H207" s="1"/>
      <c r="I207" s="1"/>
      <c r="J207" s="1"/>
      <c r="K207" s="17"/>
      <c r="L207" s="1"/>
      <c r="M207" s="1"/>
      <c r="N207" s="2"/>
      <c r="O207" s="2"/>
      <c r="P207" s="17"/>
      <c r="Q207" s="1"/>
      <c r="R207" s="1"/>
      <c r="S207" s="1"/>
      <c r="T207" s="38"/>
      <c r="U207" s="38"/>
      <c r="V207" s="38"/>
      <c r="W207" s="38"/>
      <c r="X207" s="38"/>
      <c r="Y207" s="38"/>
      <c r="Z207" s="38"/>
      <c r="AA207" s="122"/>
      <c r="AB207" s="122"/>
      <c r="AC207" s="122"/>
      <c r="AD207" s="122"/>
      <c r="AE207" s="122"/>
      <c r="AF207" s="122"/>
      <c r="AG207" s="122"/>
      <c r="AH207" s="122"/>
      <c r="AI207" s="122"/>
      <c r="AJ207" s="38"/>
      <c r="AK207" s="122"/>
      <c r="AL207" s="122"/>
      <c r="AM207" s="122"/>
      <c r="AN207" s="122"/>
      <c r="AO207" s="38"/>
      <c r="AP207" s="38"/>
      <c r="AQ207" s="38"/>
      <c r="AR207" s="17"/>
      <c r="AS207" s="1"/>
      <c r="AT207" s="17"/>
      <c r="AU207" s="1"/>
      <c r="AV207" s="17"/>
      <c r="AW207" s="1"/>
      <c r="AX207" s="2"/>
      <c r="AY207" s="1"/>
      <c r="AZ207" s="1"/>
    </row>
    <row x14ac:dyDescent="0.25" r="208" customHeight="1" ht="15">
      <c r="A208" s="1"/>
      <c r="B208" s="1"/>
      <c r="C208" s="1"/>
      <c r="D208" s="1"/>
      <c r="E208" s="1"/>
      <c r="F208" s="1"/>
      <c r="G208" s="1"/>
      <c r="H208" s="1"/>
      <c r="I208" s="1"/>
      <c r="J208" s="1"/>
      <c r="K208" s="17"/>
      <c r="L208" s="1"/>
      <c r="M208" s="1"/>
      <c r="N208" s="2"/>
      <c r="O208" s="2"/>
      <c r="P208" s="17"/>
      <c r="Q208" s="1"/>
      <c r="R208" s="1"/>
      <c r="S208" s="1"/>
      <c r="T208" s="38"/>
      <c r="U208" s="38"/>
      <c r="V208" s="38"/>
      <c r="W208" s="38"/>
      <c r="X208" s="38"/>
      <c r="Y208" s="38"/>
      <c r="Z208" s="38"/>
      <c r="AA208" s="122"/>
      <c r="AB208" s="122"/>
      <c r="AC208" s="122"/>
      <c r="AD208" s="122"/>
      <c r="AE208" s="122"/>
      <c r="AF208" s="122"/>
      <c r="AG208" s="122"/>
      <c r="AH208" s="122"/>
      <c r="AI208" s="122"/>
      <c r="AJ208" s="38"/>
      <c r="AK208" s="122"/>
      <c r="AL208" s="122"/>
      <c r="AM208" s="122"/>
      <c r="AN208" s="122"/>
      <c r="AO208" s="38"/>
      <c r="AP208" s="38"/>
      <c r="AQ208" s="38"/>
      <c r="AR208" s="17"/>
      <c r="AS208" s="1"/>
      <c r="AT208" s="17"/>
      <c r="AU208" s="1"/>
      <c r="AV208" s="17"/>
      <c r="AW208" s="1"/>
      <c r="AX208" s="2"/>
      <c r="AY208" s="1"/>
      <c r="AZ208" s="1"/>
    </row>
    <row x14ac:dyDescent="0.25" r="209" customHeight="1" ht="15">
      <c r="A209" s="1"/>
      <c r="B209" s="1"/>
      <c r="C209" s="1"/>
      <c r="D209" s="1"/>
      <c r="E209" s="1"/>
      <c r="F209" s="1"/>
      <c r="G209" s="1"/>
      <c r="H209" s="1"/>
      <c r="I209" s="1"/>
      <c r="J209" s="1"/>
      <c r="K209" s="17"/>
      <c r="L209" s="1"/>
      <c r="M209" s="1"/>
      <c r="N209" s="2"/>
      <c r="O209" s="2"/>
      <c r="P209" s="17"/>
      <c r="Q209" s="1"/>
      <c r="R209" s="1"/>
      <c r="S209" s="1"/>
      <c r="T209" s="38"/>
      <c r="U209" s="38"/>
      <c r="V209" s="38"/>
      <c r="W209" s="38"/>
      <c r="X209" s="38"/>
      <c r="Y209" s="38"/>
      <c r="Z209" s="38"/>
      <c r="AA209" s="122"/>
      <c r="AB209" s="122"/>
      <c r="AC209" s="122"/>
      <c r="AD209" s="122"/>
      <c r="AE209" s="122"/>
      <c r="AF209" s="122"/>
      <c r="AG209" s="122"/>
      <c r="AH209" s="122"/>
      <c r="AI209" s="122"/>
      <c r="AJ209" s="38"/>
      <c r="AK209" s="122"/>
      <c r="AL209" s="122"/>
      <c r="AM209" s="122"/>
      <c r="AN209" s="122"/>
      <c r="AO209" s="38"/>
      <c r="AP209" s="38"/>
      <c r="AQ209" s="38"/>
      <c r="AR209" s="17"/>
      <c r="AS209" s="1"/>
      <c r="AT209" s="17"/>
      <c r="AU209" s="1"/>
      <c r="AV209" s="17"/>
      <c r="AW209" s="1"/>
      <c r="AX209" s="2"/>
      <c r="AY209" s="1"/>
      <c r="AZ209" s="1"/>
    </row>
    <row x14ac:dyDescent="0.25" r="210" customHeight="1" ht="15">
      <c r="A210" s="1"/>
      <c r="B210" s="1"/>
      <c r="C210" s="1"/>
      <c r="D210" s="1"/>
      <c r="E210" s="1"/>
      <c r="F210" s="1"/>
      <c r="G210" s="1"/>
      <c r="H210" s="1"/>
      <c r="I210" s="1"/>
      <c r="J210" s="1"/>
      <c r="K210" s="17"/>
      <c r="L210" s="1"/>
      <c r="M210" s="1"/>
      <c r="N210" s="2"/>
      <c r="O210" s="2"/>
      <c r="P210" s="17"/>
      <c r="Q210" s="1"/>
      <c r="R210" s="1"/>
      <c r="S210" s="1"/>
      <c r="T210" s="38"/>
      <c r="U210" s="38"/>
      <c r="V210" s="38"/>
      <c r="W210" s="38"/>
      <c r="X210" s="38"/>
      <c r="Y210" s="38"/>
      <c r="Z210" s="38"/>
      <c r="AA210" s="122"/>
      <c r="AB210" s="122"/>
      <c r="AC210" s="122"/>
      <c r="AD210" s="122"/>
      <c r="AE210" s="122"/>
      <c r="AF210" s="122"/>
      <c r="AG210" s="122"/>
      <c r="AH210" s="122"/>
      <c r="AI210" s="122"/>
      <c r="AJ210" s="38"/>
      <c r="AK210" s="122"/>
      <c r="AL210" s="122"/>
      <c r="AM210" s="122"/>
      <c r="AN210" s="122"/>
      <c r="AO210" s="38"/>
      <c r="AP210" s="38"/>
      <c r="AQ210" s="38"/>
      <c r="AR210" s="17"/>
      <c r="AS210" s="1"/>
      <c r="AT210" s="17"/>
      <c r="AU210" s="1"/>
      <c r="AV210" s="17"/>
      <c r="AW210" s="1"/>
      <c r="AX210" s="2"/>
      <c r="AY210" s="1"/>
      <c r="AZ210" s="1"/>
    </row>
    <row x14ac:dyDescent="0.25" r="211" customHeight="1" ht="15">
      <c r="A211" s="1"/>
      <c r="B211" s="1"/>
      <c r="C211" s="1"/>
      <c r="D211" s="1"/>
      <c r="E211" s="1"/>
      <c r="F211" s="1"/>
      <c r="G211" s="1"/>
      <c r="H211" s="1"/>
      <c r="I211" s="1"/>
      <c r="J211" s="1"/>
      <c r="K211" s="17"/>
      <c r="L211" s="1"/>
      <c r="M211" s="1"/>
      <c r="N211" s="2"/>
      <c r="O211" s="2"/>
      <c r="P211" s="17"/>
      <c r="Q211" s="1"/>
      <c r="R211" s="1"/>
      <c r="S211" s="1"/>
      <c r="T211" s="38"/>
      <c r="U211" s="38"/>
      <c r="V211" s="38"/>
      <c r="W211" s="38"/>
      <c r="X211" s="38"/>
      <c r="Y211" s="38"/>
      <c r="Z211" s="38"/>
      <c r="AA211" s="122"/>
      <c r="AB211" s="122"/>
      <c r="AC211" s="122"/>
      <c r="AD211" s="122"/>
      <c r="AE211" s="122"/>
      <c r="AF211" s="122"/>
      <c r="AG211" s="122"/>
      <c r="AH211" s="122"/>
      <c r="AI211" s="122"/>
      <c r="AJ211" s="38"/>
      <c r="AK211" s="122"/>
      <c r="AL211" s="122"/>
      <c r="AM211" s="122"/>
      <c r="AN211" s="122"/>
      <c r="AO211" s="38"/>
      <c r="AP211" s="38"/>
      <c r="AQ211" s="38"/>
      <c r="AR211" s="17"/>
      <c r="AS211" s="1"/>
      <c r="AT211" s="17"/>
      <c r="AU211" s="1"/>
      <c r="AV211" s="17"/>
      <c r="AW211" s="1"/>
      <c r="AX211" s="2"/>
      <c r="AY211" s="1"/>
      <c r="AZ211" s="1"/>
    </row>
    <row x14ac:dyDescent="0.25" r="212" customHeight="1" ht="15">
      <c r="A212" s="1"/>
      <c r="B212" s="1"/>
      <c r="C212" s="1"/>
      <c r="D212" s="1"/>
      <c r="E212" s="1"/>
      <c r="F212" s="1"/>
      <c r="G212" s="1"/>
      <c r="H212" s="1"/>
      <c r="I212" s="1"/>
      <c r="J212" s="1"/>
      <c r="K212" s="17"/>
      <c r="L212" s="1"/>
      <c r="M212" s="1"/>
      <c r="N212" s="2"/>
      <c r="O212" s="2"/>
      <c r="P212" s="17"/>
      <c r="Q212" s="1"/>
      <c r="R212" s="1"/>
      <c r="S212" s="1"/>
      <c r="T212" s="38"/>
      <c r="U212" s="38"/>
      <c r="V212" s="38"/>
      <c r="W212" s="38"/>
      <c r="X212" s="38"/>
      <c r="Y212" s="38"/>
      <c r="Z212" s="38"/>
      <c r="AA212" s="122"/>
      <c r="AB212" s="122"/>
      <c r="AC212" s="122"/>
      <c r="AD212" s="122"/>
      <c r="AE212" s="122"/>
      <c r="AF212" s="122"/>
      <c r="AG212" s="122"/>
      <c r="AH212" s="122"/>
      <c r="AI212" s="122"/>
      <c r="AJ212" s="38"/>
      <c r="AK212" s="122"/>
      <c r="AL212" s="122"/>
      <c r="AM212" s="122"/>
      <c r="AN212" s="122"/>
      <c r="AO212" s="38"/>
      <c r="AP212" s="38"/>
      <c r="AQ212" s="38"/>
      <c r="AR212" s="17"/>
      <c r="AS212" s="1"/>
      <c r="AT212" s="17"/>
      <c r="AU212" s="1"/>
      <c r="AV212" s="17"/>
      <c r="AW212" s="1"/>
      <c r="AX212" s="2"/>
      <c r="AY212" s="1"/>
      <c r="AZ212" s="1"/>
    </row>
    <row x14ac:dyDescent="0.25" r="213" customHeight="1" ht="15">
      <c r="A213" s="1"/>
      <c r="B213" s="1"/>
      <c r="C213" s="1"/>
      <c r="D213" s="1"/>
      <c r="E213" s="1"/>
      <c r="F213" s="1"/>
      <c r="G213" s="1"/>
      <c r="H213" s="1"/>
      <c r="I213" s="1"/>
      <c r="J213" s="1"/>
      <c r="K213" s="17"/>
      <c r="L213" s="1"/>
      <c r="M213" s="1"/>
      <c r="N213" s="2"/>
      <c r="O213" s="2"/>
      <c r="P213" s="17"/>
      <c r="Q213" s="1"/>
      <c r="R213" s="1"/>
      <c r="S213" s="1"/>
      <c r="T213" s="38"/>
      <c r="U213" s="38"/>
      <c r="V213" s="38"/>
      <c r="W213" s="38"/>
      <c r="X213" s="38"/>
      <c r="Y213" s="38"/>
      <c r="Z213" s="38"/>
      <c r="AA213" s="122"/>
      <c r="AB213" s="122"/>
      <c r="AC213" s="122"/>
      <c r="AD213" s="122"/>
      <c r="AE213" s="122"/>
      <c r="AF213" s="122"/>
      <c r="AG213" s="122"/>
      <c r="AH213" s="122"/>
      <c r="AI213" s="122"/>
      <c r="AJ213" s="38"/>
      <c r="AK213" s="122"/>
      <c r="AL213" s="122"/>
      <c r="AM213" s="122"/>
      <c r="AN213" s="122"/>
      <c r="AO213" s="38"/>
      <c r="AP213" s="38"/>
      <c r="AQ213" s="38"/>
      <c r="AR213" s="17"/>
      <c r="AS213" s="1"/>
      <c r="AT213" s="17"/>
      <c r="AU213" s="1"/>
      <c r="AV213" s="17"/>
      <c r="AW213" s="1"/>
      <c r="AX213" s="2"/>
      <c r="AY213" s="1"/>
      <c r="AZ213" s="1"/>
    </row>
    <row x14ac:dyDescent="0.25" r="214" customHeight="1" ht="15">
      <c r="A214" s="1"/>
      <c r="B214" s="1"/>
      <c r="C214" s="1"/>
      <c r="D214" s="1"/>
      <c r="E214" s="1"/>
      <c r="F214" s="1"/>
      <c r="G214" s="1"/>
      <c r="H214" s="1"/>
      <c r="I214" s="1"/>
      <c r="J214" s="1"/>
      <c r="K214" s="17"/>
      <c r="L214" s="1"/>
      <c r="M214" s="1"/>
      <c r="N214" s="2"/>
      <c r="O214" s="2"/>
      <c r="P214" s="17"/>
      <c r="Q214" s="1"/>
      <c r="R214" s="1"/>
      <c r="S214" s="1"/>
      <c r="T214" s="38"/>
      <c r="U214" s="38"/>
      <c r="V214" s="38"/>
      <c r="W214" s="38"/>
      <c r="X214" s="38"/>
      <c r="Y214" s="38"/>
      <c r="Z214" s="38"/>
      <c r="AA214" s="122"/>
      <c r="AB214" s="122"/>
      <c r="AC214" s="122"/>
      <c r="AD214" s="122"/>
      <c r="AE214" s="122"/>
      <c r="AF214" s="122"/>
      <c r="AG214" s="122"/>
      <c r="AH214" s="122"/>
      <c r="AI214" s="122"/>
      <c r="AJ214" s="38"/>
      <c r="AK214" s="122"/>
      <c r="AL214" s="122"/>
      <c r="AM214" s="122"/>
      <c r="AN214" s="122"/>
      <c r="AO214" s="38"/>
      <c r="AP214" s="38"/>
      <c r="AQ214" s="38"/>
      <c r="AR214" s="17"/>
      <c r="AS214" s="1"/>
      <c r="AT214" s="17"/>
      <c r="AU214" s="1"/>
      <c r="AV214" s="17"/>
      <c r="AW214" s="1"/>
      <c r="AX214" s="2"/>
      <c r="AY214" s="1"/>
      <c r="AZ214" s="1"/>
    </row>
    <row x14ac:dyDescent="0.25" r="215" customHeight="1" ht="15">
      <c r="A215" s="1"/>
      <c r="B215" s="1"/>
      <c r="C215" s="1"/>
      <c r="D215" s="1"/>
      <c r="E215" s="1"/>
      <c r="F215" s="1"/>
      <c r="G215" s="1"/>
      <c r="H215" s="1"/>
      <c r="I215" s="1"/>
      <c r="J215" s="1"/>
      <c r="K215" s="17"/>
      <c r="L215" s="1"/>
      <c r="M215" s="1"/>
      <c r="N215" s="2"/>
      <c r="O215" s="2"/>
      <c r="P215" s="17"/>
      <c r="Q215" s="1"/>
      <c r="R215" s="1"/>
      <c r="S215" s="1"/>
      <c r="T215" s="38"/>
      <c r="U215" s="38"/>
      <c r="V215" s="38"/>
      <c r="W215" s="38"/>
      <c r="X215" s="38"/>
      <c r="Y215" s="38"/>
      <c r="Z215" s="38"/>
      <c r="AA215" s="122"/>
      <c r="AB215" s="122"/>
      <c r="AC215" s="122"/>
      <c r="AD215" s="122"/>
      <c r="AE215" s="122"/>
      <c r="AF215" s="122"/>
      <c r="AG215" s="122"/>
      <c r="AH215" s="122"/>
      <c r="AI215" s="122"/>
      <c r="AJ215" s="38"/>
      <c r="AK215" s="122"/>
      <c r="AL215" s="122"/>
      <c r="AM215" s="122"/>
      <c r="AN215" s="122"/>
      <c r="AO215" s="38"/>
      <c r="AP215" s="38"/>
      <c r="AQ215" s="38"/>
      <c r="AR215" s="17"/>
      <c r="AS215" s="1"/>
      <c r="AT215" s="17"/>
      <c r="AU215" s="1"/>
      <c r="AV215" s="17"/>
      <c r="AW215" s="1"/>
      <c r="AX215" s="2"/>
      <c r="AY215" s="1"/>
      <c r="AZ215" s="1"/>
    </row>
    <row x14ac:dyDescent="0.25" r="216" customHeight="1" ht="15">
      <c r="A216" s="1"/>
      <c r="B216" s="1"/>
      <c r="C216" s="1"/>
      <c r="D216" s="1"/>
      <c r="E216" s="1"/>
      <c r="F216" s="1"/>
      <c r="G216" s="1"/>
      <c r="H216" s="1"/>
      <c r="I216" s="1"/>
      <c r="J216" s="1"/>
      <c r="K216" s="17"/>
      <c r="L216" s="1"/>
      <c r="M216" s="1"/>
      <c r="N216" s="2"/>
      <c r="O216" s="2"/>
      <c r="P216" s="17"/>
      <c r="Q216" s="1"/>
      <c r="R216" s="1"/>
      <c r="S216" s="1"/>
      <c r="T216" s="38"/>
      <c r="U216" s="38"/>
      <c r="V216" s="38"/>
      <c r="W216" s="38"/>
      <c r="X216" s="38"/>
      <c r="Y216" s="38"/>
      <c r="Z216" s="38"/>
      <c r="AA216" s="122"/>
      <c r="AB216" s="122"/>
      <c r="AC216" s="122"/>
      <c r="AD216" s="122"/>
      <c r="AE216" s="122"/>
      <c r="AF216" s="122"/>
      <c r="AG216" s="122"/>
      <c r="AH216" s="122"/>
      <c r="AI216" s="122"/>
      <c r="AJ216" s="38"/>
      <c r="AK216" s="122"/>
      <c r="AL216" s="122"/>
      <c r="AM216" s="122"/>
      <c r="AN216" s="122"/>
      <c r="AO216" s="38"/>
      <c r="AP216" s="38"/>
      <c r="AQ216" s="38"/>
      <c r="AR216" s="17"/>
      <c r="AS216" s="1"/>
      <c r="AT216" s="17"/>
      <c r="AU216" s="1"/>
      <c r="AV216" s="17"/>
      <c r="AW216" s="1"/>
      <c r="AX216" s="2"/>
      <c r="AY216" s="1"/>
      <c r="AZ216" s="1"/>
    </row>
    <row x14ac:dyDescent="0.25" r="217" customHeight="1" ht="15">
      <c r="A217" s="1"/>
      <c r="B217" s="1"/>
      <c r="C217" s="1"/>
      <c r="D217" s="1"/>
      <c r="E217" s="1"/>
      <c r="F217" s="1"/>
      <c r="G217" s="1"/>
      <c r="H217" s="1"/>
      <c r="I217" s="1"/>
      <c r="J217" s="1"/>
      <c r="K217" s="17"/>
      <c r="L217" s="1"/>
      <c r="M217" s="1"/>
      <c r="N217" s="2"/>
      <c r="O217" s="2"/>
      <c r="P217" s="17"/>
      <c r="Q217" s="1"/>
      <c r="R217" s="1"/>
      <c r="S217" s="1"/>
      <c r="T217" s="38"/>
      <c r="U217" s="38"/>
      <c r="V217" s="38"/>
      <c r="W217" s="38"/>
      <c r="X217" s="38"/>
      <c r="Y217" s="38"/>
      <c r="Z217" s="38"/>
      <c r="AA217" s="122"/>
      <c r="AB217" s="122"/>
      <c r="AC217" s="122"/>
      <c r="AD217" s="122"/>
      <c r="AE217" s="122"/>
      <c r="AF217" s="122"/>
      <c r="AG217" s="122"/>
      <c r="AH217" s="122"/>
      <c r="AI217" s="122"/>
      <c r="AJ217" s="38"/>
      <c r="AK217" s="122"/>
      <c r="AL217" s="122"/>
      <c r="AM217" s="122"/>
      <c r="AN217" s="122"/>
      <c r="AO217" s="38"/>
      <c r="AP217" s="38"/>
      <c r="AQ217" s="38"/>
      <c r="AR217" s="17"/>
      <c r="AS217" s="1"/>
      <c r="AT217" s="17"/>
      <c r="AU217" s="1"/>
      <c r="AV217" s="17"/>
      <c r="AW217" s="1"/>
      <c r="AX217" s="2"/>
      <c r="AY217" s="1"/>
      <c r="AZ217" s="1"/>
    </row>
    <row x14ac:dyDescent="0.25" r="218" customHeight="1" ht="15">
      <c r="A218" s="1"/>
      <c r="B218" s="1"/>
      <c r="C218" s="1"/>
      <c r="D218" s="1"/>
      <c r="E218" s="1"/>
      <c r="F218" s="1"/>
      <c r="G218" s="1"/>
      <c r="H218" s="1"/>
      <c r="I218" s="1"/>
      <c r="J218" s="1"/>
      <c r="K218" s="17"/>
      <c r="L218" s="1"/>
      <c r="M218" s="1"/>
      <c r="N218" s="2"/>
      <c r="O218" s="2"/>
      <c r="P218" s="17"/>
      <c r="Q218" s="1"/>
      <c r="R218" s="1"/>
      <c r="S218" s="1"/>
      <c r="T218" s="38"/>
      <c r="U218" s="38"/>
      <c r="V218" s="38"/>
      <c r="W218" s="38"/>
      <c r="X218" s="38"/>
      <c r="Y218" s="38"/>
      <c r="Z218" s="38"/>
      <c r="AA218" s="122"/>
      <c r="AB218" s="122"/>
      <c r="AC218" s="122"/>
      <c r="AD218" s="122"/>
      <c r="AE218" s="122"/>
      <c r="AF218" s="122"/>
      <c r="AG218" s="122"/>
      <c r="AH218" s="122"/>
      <c r="AI218" s="122"/>
      <c r="AJ218" s="38"/>
      <c r="AK218" s="122"/>
      <c r="AL218" s="122"/>
      <c r="AM218" s="122"/>
      <c r="AN218" s="122"/>
      <c r="AO218" s="38"/>
      <c r="AP218" s="38"/>
      <c r="AQ218" s="38"/>
      <c r="AR218" s="17"/>
      <c r="AS218" s="1"/>
      <c r="AT218" s="17"/>
      <c r="AU218" s="1"/>
      <c r="AV218" s="17"/>
      <c r="AW218" s="1"/>
      <c r="AX218" s="2"/>
      <c r="AY218" s="1"/>
      <c r="AZ218" s="1"/>
    </row>
    <row x14ac:dyDescent="0.25" r="219" customHeight="1" ht="15">
      <c r="A219" s="1"/>
      <c r="B219" s="1"/>
      <c r="C219" s="1"/>
      <c r="D219" s="1"/>
      <c r="E219" s="1"/>
      <c r="F219" s="1"/>
      <c r="G219" s="1"/>
      <c r="H219" s="1"/>
      <c r="I219" s="1"/>
      <c r="J219" s="1"/>
      <c r="K219" s="17"/>
      <c r="L219" s="1"/>
      <c r="M219" s="1"/>
      <c r="N219" s="2"/>
      <c r="O219" s="2"/>
      <c r="P219" s="17"/>
      <c r="Q219" s="1"/>
      <c r="R219" s="1"/>
      <c r="S219" s="1"/>
      <c r="T219" s="38"/>
      <c r="U219" s="38"/>
      <c r="V219" s="38"/>
      <c r="W219" s="38"/>
      <c r="X219" s="38"/>
      <c r="Y219" s="38"/>
      <c r="Z219" s="38"/>
      <c r="AA219" s="122"/>
      <c r="AB219" s="122"/>
      <c r="AC219" s="122"/>
      <c r="AD219" s="122"/>
      <c r="AE219" s="122"/>
      <c r="AF219" s="122"/>
      <c r="AG219" s="122"/>
      <c r="AH219" s="122"/>
      <c r="AI219" s="122"/>
      <c r="AJ219" s="38"/>
      <c r="AK219" s="122"/>
      <c r="AL219" s="122"/>
      <c r="AM219" s="122"/>
      <c r="AN219" s="122"/>
      <c r="AO219" s="38"/>
      <c r="AP219" s="38"/>
      <c r="AQ219" s="38"/>
      <c r="AR219" s="17"/>
      <c r="AS219" s="1"/>
      <c r="AT219" s="17"/>
      <c r="AU219" s="1"/>
      <c r="AV219" s="17"/>
      <c r="AW219" s="1"/>
      <c r="AX219" s="2"/>
      <c r="AY219" s="1"/>
      <c r="AZ219" s="1"/>
    </row>
    <row x14ac:dyDescent="0.25" r="220" customHeight="1" ht="15">
      <c r="A220" s="1"/>
      <c r="B220" s="1"/>
      <c r="C220" s="1"/>
      <c r="D220" s="1"/>
      <c r="E220" s="1"/>
      <c r="F220" s="1"/>
      <c r="G220" s="1"/>
      <c r="H220" s="1"/>
      <c r="I220" s="1"/>
      <c r="J220" s="1"/>
      <c r="K220" s="17"/>
      <c r="L220" s="1"/>
      <c r="M220" s="1"/>
      <c r="N220" s="2"/>
      <c r="O220" s="2"/>
      <c r="P220" s="17"/>
      <c r="Q220" s="1"/>
      <c r="R220" s="1"/>
      <c r="S220" s="1"/>
      <c r="T220" s="38"/>
      <c r="U220" s="38"/>
      <c r="V220" s="38"/>
      <c r="W220" s="38"/>
      <c r="X220" s="38"/>
      <c r="Y220" s="38"/>
      <c r="Z220" s="38"/>
      <c r="AA220" s="122"/>
      <c r="AB220" s="122"/>
      <c r="AC220" s="122"/>
      <c r="AD220" s="122"/>
      <c r="AE220" s="122"/>
      <c r="AF220" s="122"/>
      <c r="AG220" s="122"/>
      <c r="AH220" s="122"/>
      <c r="AI220" s="122"/>
      <c r="AJ220" s="38"/>
      <c r="AK220" s="122"/>
      <c r="AL220" s="122"/>
      <c r="AM220" s="122"/>
      <c r="AN220" s="122"/>
      <c r="AO220" s="38"/>
      <c r="AP220" s="38"/>
      <c r="AQ220" s="38"/>
      <c r="AR220" s="17"/>
      <c r="AS220" s="1"/>
      <c r="AT220" s="17"/>
      <c r="AU220" s="1"/>
      <c r="AV220" s="17"/>
      <c r="AW220" s="1"/>
      <c r="AX220" s="2"/>
      <c r="AY220" s="1"/>
      <c r="AZ220" s="1"/>
    </row>
    <row x14ac:dyDescent="0.25" r="221" customHeight="1" ht="15">
      <c r="A221" s="1"/>
      <c r="B221" s="1"/>
      <c r="C221" s="1"/>
      <c r="D221" s="1"/>
      <c r="E221" s="1"/>
      <c r="F221" s="1"/>
      <c r="G221" s="1"/>
      <c r="H221" s="1"/>
      <c r="I221" s="1"/>
      <c r="J221" s="1"/>
      <c r="K221" s="17"/>
      <c r="L221" s="1"/>
      <c r="M221" s="1"/>
      <c r="N221" s="2"/>
      <c r="O221" s="2"/>
      <c r="P221" s="17"/>
      <c r="Q221" s="1"/>
      <c r="R221" s="1"/>
      <c r="S221" s="1"/>
      <c r="T221" s="38"/>
      <c r="U221" s="38"/>
      <c r="V221" s="38"/>
      <c r="W221" s="38"/>
      <c r="X221" s="38"/>
      <c r="Y221" s="38"/>
      <c r="Z221" s="38"/>
      <c r="AA221" s="122"/>
      <c r="AB221" s="122"/>
      <c r="AC221" s="122"/>
      <c r="AD221" s="122"/>
      <c r="AE221" s="122"/>
      <c r="AF221" s="122"/>
      <c r="AG221" s="122"/>
      <c r="AH221" s="122"/>
      <c r="AI221" s="122"/>
      <c r="AJ221" s="38"/>
      <c r="AK221" s="122"/>
      <c r="AL221" s="122"/>
      <c r="AM221" s="122"/>
      <c r="AN221" s="122"/>
      <c r="AO221" s="38"/>
      <c r="AP221" s="38"/>
      <c r="AQ221" s="38"/>
      <c r="AR221" s="17"/>
      <c r="AS221" s="1"/>
      <c r="AT221" s="17"/>
      <c r="AU221" s="1"/>
      <c r="AV221" s="17"/>
      <c r="AW221" s="1"/>
      <c r="AX221" s="2"/>
      <c r="AY221" s="1"/>
      <c r="AZ221" s="1"/>
    </row>
    <row x14ac:dyDescent="0.25" r="222" customHeight="1" ht="15">
      <c r="A222" s="1"/>
      <c r="B222" s="1"/>
      <c r="C222" s="1"/>
      <c r="D222" s="1"/>
      <c r="E222" s="1"/>
      <c r="F222" s="1"/>
      <c r="G222" s="1"/>
      <c r="H222" s="1"/>
      <c r="I222" s="1"/>
      <c r="J222" s="1"/>
      <c r="K222" s="17"/>
      <c r="L222" s="1"/>
      <c r="M222" s="1"/>
      <c r="N222" s="2"/>
      <c r="O222" s="2"/>
      <c r="P222" s="17"/>
      <c r="Q222" s="1"/>
      <c r="R222" s="1"/>
      <c r="S222" s="1"/>
      <c r="T222" s="38"/>
      <c r="U222" s="38"/>
      <c r="V222" s="38"/>
      <c r="W222" s="38"/>
      <c r="X222" s="38"/>
      <c r="Y222" s="38"/>
      <c r="Z222" s="38"/>
      <c r="AA222" s="122"/>
      <c r="AB222" s="122"/>
      <c r="AC222" s="122"/>
      <c r="AD222" s="122"/>
      <c r="AE222" s="122"/>
      <c r="AF222" s="122"/>
      <c r="AG222" s="122"/>
      <c r="AH222" s="122"/>
      <c r="AI222" s="122"/>
      <c r="AJ222" s="38"/>
      <c r="AK222" s="122"/>
      <c r="AL222" s="122"/>
      <c r="AM222" s="122"/>
      <c r="AN222" s="122"/>
      <c r="AO222" s="38"/>
      <c r="AP222" s="38"/>
      <c r="AQ222" s="38"/>
      <c r="AR222" s="17"/>
      <c r="AS222" s="1"/>
      <c r="AT222" s="17"/>
      <c r="AU222" s="1"/>
      <c r="AV222" s="17"/>
      <c r="AW222" s="1"/>
      <c r="AX222" s="2"/>
      <c r="AY222" s="1"/>
      <c r="AZ222" s="1"/>
    </row>
    <row x14ac:dyDescent="0.25" r="223" customHeight="1" ht="15">
      <c r="A223" s="1"/>
      <c r="B223" s="1"/>
      <c r="C223" s="1"/>
      <c r="D223" s="1"/>
      <c r="E223" s="1"/>
      <c r="F223" s="1"/>
      <c r="G223" s="1"/>
      <c r="H223" s="1"/>
      <c r="I223" s="1"/>
      <c r="J223" s="1"/>
      <c r="K223" s="17"/>
      <c r="L223" s="1"/>
      <c r="M223" s="1"/>
      <c r="N223" s="2"/>
      <c r="O223" s="2"/>
      <c r="P223" s="17"/>
      <c r="Q223" s="1"/>
      <c r="R223" s="1"/>
      <c r="S223" s="1"/>
      <c r="T223" s="38"/>
      <c r="U223" s="38"/>
      <c r="V223" s="38"/>
      <c r="W223" s="38"/>
      <c r="X223" s="38"/>
      <c r="Y223" s="38"/>
      <c r="Z223" s="38"/>
      <c r="AA223" s="122"/>
      <c r="AB223" s="122"/>
      <c r="AC223" s="122"/>
      <c r="AD223" s="122"/>
      <c r="AE223" s="122"/>
      <c r="AF223" s="122"/>
      <c r="AG223" s="122"/>
      <c r="AH223" s="122"/>
      <c r="AI223" s="122"/>
      <c r="AJ223" s="38"/>
      <c r="AK223" s="122"/>
      <c r="AL223" s="122"/>
      <c r="AM223" s="122"/>
      <c r="AN223" s="122"/>
      <c r="AO223" s="38"/>
      <c r="AP223" s="38"/>
      <c r="AQ223" s="38"/>
      <c r="AR223" s="17"/>
      <c r="AS223" s="1"/>
      <c r="AT223" s="17"/>
      <c r="AU223" s="1"/>
      <c r="AV223" s="17"/>
      <c r="AW223" s="1"/>
      <c r="AX223" s="2"/>
      <c r="AY223" s="1"/>
      <c r="AZ223" s="1"/>
    </row>
    <row x14ac:dyDescent="0.25" r="224" customHeight="1" ht="15">
      <c r="A224" s="1"/>
      <c r="B224" s="1"/>
      <c r="C224" s="1"/>
      <c r="D224" s="1"/>
      <c r="E224" s="1"/>
      <c r="F224" s="1"/>
      <c r="G224" s="1"/>
      <c r="H224" s="1"/>
      <c r="I224" s="1"/>
      <c r="J224" s="1"/>
      <c r="K224" s="17"/>
      <c r="L224" s="1"/>
      <c r="M224" s="1"/>
      <c r="N224" s="2"/>
      <c r="O224" s="2"/>
      <c r="P224" s="17"/>
      <c r="Q224" s="1"/>
      <c r="R224" s="1"/>
      <c r="S224" s="1"/>
      <c r="T224" s="38"/>
      <c r="U224" s="38"/>
      <c r="V224" s="38"/>
      <c r="W224" s="38"/>
      <c r="X224" s="38"/>
      <c r="Y224" s="38"/>
      <c r="Z224" s="38"/>
      <c r="AA224" s="122"/>
      <c r="AB224" s="122"/>
      <c r="AC224" s="122"/>
      <c r="AD224" s="122"/>
      <c r="AE224" s="122"/>
      <c r="AF224" s="122"/>
      <c r="AG224" s="122"/>
      <c r="AH224" s="122"/>
      <c r="AI224" s="122"/>
      <c r="AJ224" s="38"/>
      <c r="AK224" s="122"/>
      <c r="AL224" s="122"/>
      <c r="AM224" s="122"/>
      <c r="AN224" s="122"/>
      <c r="AO224" s="38"/>
      <c r="AP224" s="38"/>
      <c r="AQ224" s="38"/>
      <c r="AR224" s="17"/>
      <c r="AS224" s="1"/>
      <c r="AT224" s="17"/>
      <c r="AU224" s="1"/>
      <c r="AV224" s="17"/>
      <c r="AW224" s="1"/>
      <c r="AX224" s="2"/>
      <c r="AY224" s="1"/>
      <c r="AZ224" s="1"/>
    </row>
    <row x14ac:dyDescent="0.25" r="225" customHeight="1" ht="15">
      <c r="A225" s="1"/>
      <c r="B225" s="1"/>
      <c r="C225" s="1"/>
      <c r="D225" s="1"/>
      <c r="E225" s="1"/>
      <c r="F225" s="1"/>
      <c r="G225" s="1"/>
      <c r="H225" s="1"/>
      <c r="I225" s="1"/>
      <c r="J225" s="1"/>
      <c r="K225" s="17"/>
      <c r="L225" s="1"/>
      <c r="M225" s="1"/>
      <c r="N225" s="2"/>
      <c r="O225" s="2"/>
      <c r="P225" s="17"/>
      <c r="Q225" s="1"/>
      <c r="R225" s="1"/>
      <c r="S225" s="1"/>
      <c r="T225" s="38"/>
      <c r="U225" s="38"/>
      <c r="V225" s="38"/>
      <c r="W225" s="38"/>
      <c r="X225" s="38"/>
      <c r="Y225" s="38"/>
      <c r="Z225" s="38"/>
      <c r="AA225" s="122"/>
      <c r="AB225" s="122"/>
      <c r="AC225" s="122"/>
      <c r="AD225" s="122"/>
      <c r="AE225" s="122"/>
      <c r="AF225" s="122"/>
      <c r="AG225" s="122"/>
      <c r="AH225" s="122"/>
      <c r="AI225" s="122"/>
      <c r="AJ225" s="38"/>
      <c r="AK225" s="122"/>
      <c r="AL225" s="122"/>
      <c r="AM225" s="122"/>
      <c r="AN225" s="122"/>
      <c r="AO225" s="38"/>
      <c r="AP225" s="38"/>
      <c r="AQ225" s="38"/>
      <c r="AR225" s="17"/>
      <c r="AS225" s="1"/>
      <c r="AT225" s="17"/>
      <c r="AU225" s="1"/>
      <c r="AV225" s="17"/>
      <c r="AW225" s="1"/>
      <c r="AX225" s="2"/>
      <c r="AY225" s="1"/>
      <c r="AZ225" s="1"/>
    </row>
    <row x14ac:dyDescent="0.25" r="226" customHeight="1" ht="15">
      <c r="A226" s="1"/>
      <c r="B226" s="1"/>
      <c r="C226" s="1"/>
      <c r="D226" s="1"/>
      <c r="E226" s="1"/>
      <c r="F226" s="1"/>
      <c r="G226" s="1"/>
      <c r="H226" s="1"/>
      <c r="I226" s="1"/>
      <c r="J226" s="1"/>
      <c r="K226" s="17"/>
      <c r="L226" s="1"/>
      <c r="M226" s="1"/>
      <c r="N226" s="2"/>
      <c r="O226" s="2"/>
      <c r="P226" s="17"/>
      <c r="Q226" s="1"/>
      <c r="R226" s="1"/>
      <c r="S226" s="1"/>
      <c r="T226" s="38"/>
      <c r="U226" s="38"/>
      <c r="V226" s="38"/>
      <c r="W226" s="38"/>
      <c r="X226" s="38"/>
      <c r="Y226" s="38"/>
      <c r="Z226" s="38"/>
      <c r="AA226" s="122"/>
      <c r="AB226" s="122"/>
      <c r="AC226" s="122"/>
      <c r="AD226" s="122"/>
      <c r="AE226" s="122"/>
      <c r="AF226" s="122"/>
      <c r="AG226" s="122"/>
      <c r="AH226" s="122"/>
      <c r="AI226" s="122"/>
      <c r="AJ226" s="38"/>
      <c r="AK226" s="122"/>
      <c r="AL226" s="122"/>
      <c r="AM226" s="122"/>
      <c r="AN226" s="122"/>
      <c r="AO226" s="38"/>
      <c r="AP226" s="38"/>
      <c r="AQ226" s="38"/>
      <c r="AR226" s="17"/>
      <c r="AS226" s="1"/>
      <c r="AT226" s="17"/>
      <c r="AU226" s="1"/>
      <c r="AV226" s="17"/>
      <c r="AW226" s="1"/>
      <c r="AX226" s="2"/>
      <c r="AY226" s="1"/>
      <c r="AZ226" s="1"/>
    </row>
    <row x14ac:dyDescent="0.25" r="227" customHeight="1" ht="15">
      <c r="A227" s="1"/>
      <c r="B227" s="1"/>
      <c r="C227" s="1"/>
      <c r="D227" s="1"/>
      <c r="E227" s="1"/>
      <c r="F227" s="1"/>
      <c r="G227" s="1"/>
      <c r="H227" s="1"/>
      <c r="I227" s="1"/>
      <c r="J227" s="1"/>
      <c r="K227" s="17"/>
      <c r="L227" s="1"/>
      <c r="M227" s="1"/>
      <c r="N227" s="2"/>
      <c r="O227" s="2"/>
      <c r="P227" s="17"/>
      <c r="Q227" s="1"/>
      <c r="R227" s="1"/>
      <c r="S227" s="1"/>
      <c r="T227" s="38"/>
      <c r="U227" s="38"/>
      <c r="V227" s="38"/>
      <c r="W227" s="38"/>
      <c r="X227" s="38"/>
      <c r="Y227" s="38"/>
      <c r="Z227" s="38"/>
      <c r="AA227" s="122"/>
      <c r="AB227" s="122"/>
      <c r="AC227" s="122"/>
      <c r="AD227" s="122"/>
      <c r="AE227" s="122"/>
      <c r="AF227" s="122"/>
      <c r="AG227" s="122"/>
      <c r="AH227" s="122"/>
      <c r="AI227" s="122"/>
      <c r="AJ227" s="38"/>
      <c r="AK227" s="122"/>
      <c r="AL227" s="122"/>
      <c r="AM227" s="122"/>
      <c r="AN227" s="122"/>
      <c r="AO227" s="38"/>
      <c r="AP227" s="38"/>
      <c r="AQ227" s="38"/>
      <c r="AR227" s="17"/>
      <c r="AS227" s="1"/>
      <c r="AT227" s="17"/>
      <c r="AU227" s="1"/>
      <c r="AV227" s="17"/>
      <c r="AW227" s="1"/>
      <c r="AX227" s="2"/>
      <c r="AY227" s="1"/>
      <c r="AZ227" s="1"/>
    </row>
    <row x14ac:dyDescent="0.25" r="228" customHeight="1" ht="15">
      <c r="A228" s="1"/>
      <c r="B228" s="1"/>
      <c r="C228" s="1"/>
      <c r="D228" s="1"/>
      <c r="E228" s="1"/>
      <c r="F228" s="1"/>
      <c r="G228" s="1"/>
      <c r="H228" s="1"/>
      <c r="I228" s="1"/>
      <c r="J228" s="1"/>
      <c r="K228" s="17"/>
      <c r="L228" s="1"/>
      <c r="M228" s="1"/>
      <c r="N228" s="2"/>
      <c r="O228" s="2"/>
      <c r="P228" s="17"/>
      <c r="Q228" s="1"/>
      <c r="R228" s="1"/>
      <c r="S228" s="1"/>
      <c r="T228" s="38"/>
      <c r="U228" s="38"/>
      <c r="V228" s="38"/>
      <c r="W228" s="38"/>
      <c r="X228" s="38"/>
      <c r="Y228" s="38"/>
      <c r="Z228" s="38"/>
      <c r="AA228" s="122"/>
      <c r="AB228" s="122"/>
      <c r="AC228" s="122"/>
      <c r="AD228" s="122"/>
      <c r="AE228" s="122"/>
      <c r="AF228" s="122"/>
      <c r="AG228" s="122"/>
      <c r="AH228" s="122"/>
      <c r="AI228" s="122"/>
      <c r="AJ228" s="38"/>
      <c r="AK228" s="122"/>
      <c r="AL228" s="122"/>
      <c r="AM228" s="122"/>
      <c r="AN228" s="122"/>
      <c r="AO228" s="38"/>
      <c r="AP228" s="38"/>
      <c r="AQ228" s="38"/>
      <c r="AR228" s="17"/>
      <c r="AS228" s="1"/>
      <c r="AT228" s="17"/>
      <c r="AU228" s="1"/>
      <c r="AV228" s="17"/>
      <c r="AW228" s="1"/>
      <c r="AX228" s="2"/>
      <c r="AY228" s="1"/>
      <c r="AZ228" s="1"/>
    </row>
    <row x14ac:dyDescent="0.25" r="229" customHeight="1" ht="15">
      <c r="A229" s="1"/>
      <c r="B229" s="1"/>
      <c r="C229" s="1"/>
      <c r="D229" s="1"/>
      <c r="E229" s="1"/>
      <c r="F229" s="1"/>
      <c r="G229" s="1"/>
      <c r="H229" s="1"/>
      <c r="I229" s="1"/>
      <c r="J229" s="1"/>
      <c r="K229" s="17"/>
      <c r="L229" s="1"/>
      <c r="M229" s="1"/>
      <c r="N229" s="2"/>
      <c r="O229" s="2"/>
      <c r="P229" s="17"/>
      <c r="Q229" s="1"/>
      <c r="R229" s="1"/>
      <c r="S229" s="1"/>
      <c r="T229" s="38"/>
      <c r="U229" s="38"/>
      <c r="V229" s="38"/>
      <c r="W229" s="38"/>
      <c r="X229" s="38"/>
      <c r="Y229" s="38"/>
      <c r="Z229" s="38"/>
      <c r="AA229" s="122"/>
      <c r="AB229" s="122"/>
      <c r="AC229" s="122"/>
      <c r="AD229" s="122"/>
      <c r="AE229" s="122"/>
      <c r="AF229" s="122"/>
      <c r="AG229" s="122"/>
      <c r="AH229" s="122"/>
      <c r="AI229" s="122"/>
      <c r="AJ229" s="38"/>
      <c r="AK229" s="122"/>
      <c r="AL229" s="122"/>
      <c r="AM229" s="122"/>
      <c r="AN229" s="122"/>
      <c r="AO229" s="38"/>
      <c r="AP229" s="38"/>
      <c r="AQ229" s="38"/>
      <c r="AR229" s="17"/>
      <c r="AS229" s="1"/>
      <c r="AT229" s="17"/>
      <c r="AU229" s="1"/>
      <c r="AV229" s="17"/>
      <c r="AW229" s="1"/>
      <c r="AX229" s="2"/>
      <c r="AY229" s="1"/>
      <c r="AZ229" s="1"/>
    </row>
    <row x14ac:dyDescent="0.25" r="230" customHeight="1" ht="15">
      <c r="A230" s="1"/>
      <c r="B230" s="1"/>
      <c r="C230" s="1"/>
      <c r="D230" s="1"/>
      <c r="E230" s="1"/>
      <c r="F230" s="1"/>
      <c r="G230" s="1"/>
      <c r="H230" s="1"/>
      <c r="I230" s="1"/>
      <c r="J230" s="1"/>
      <c r="K230" s="17"/>
      <c r="L230" s="1"/>
      <c r="M230" s="1"/>
      <c r="N230" s="2"/>
      <c r="O230" s="2"/>
      <c r="P230" s="17"/>
      <c r="Q230" s="1"/>
      <c r="R230" s="1"/>
      <c r="S230" s="1"/>
      <c r="T230" s="38"/>
      <c r="U230" s="38"/>
      <c r="V230" s="38"/>
      <c r="W230" s="38"/>
      <c r="X230" s="38"/>
      <c r="Y230" s="38"/>
      <c r="Z230" s="38"/>
      <c r="AA230" s="122"/>
      <c r="AB230" s="122"/>
      <c r="AC230" s="122"/>
      <c r="AD230" s="122"/>
      <c r="AE230" s="122"/>
      <c r="AF230" s="122"/>
      <c r="AG230" s="122"/>
      <c r="AH230" s="122"/>
      <c r="AI230" s="122"/>
      <c r="AJ230" s="38"/>
      <c r="AK230" s="122"/>
      <c r="AL230" s="122"/>
      <c r="AM230" s="122"/>
      <c r="AN230" s="122"/>
      <c r="AO230" s="38"/>
      <c r="AP230" s="38"/>
      <c r="AQ230" s="38"/>
      <c r="AR230" s="17"/>
      <c r="AS230" s="1"/>
      <c r="AT230" s="17"/>
      <c r="AU230" s="1"/>
      <c r="AV230" s="17"/>
      <c r="AW230" s="1"/>
      <c r="AX230" s="2"/>
      <c r="AY230" s="1"/>
      <c r="AZ230" s="1"/>
    </row>
    <row x14ac:dyDescent="0.25" r="231" customHeight="1" ht="15">
      <c r="A231" s="1"/>
      <c r="B231" s="1"/>
      <c r="C231" s="1"/>
      <c r="D231" s="1"/>
      <c r="E231" s="1"/>
      <c r="F231" s="1"/>
      <c r="G231" s="1"/>
      <c r="H231" s="1"/>
      <c r="I231" s="1"/>
      <c r="J231" s="1"/>
      <c r="K231" s="17"/>
      <c r="L231" s="1"/>
      <c r="M231" s="1"/>
      <c r="N231" s="2"/>
      <c r="O231" s="2"/>
      <c r="P231" s="17"/>
      <c r="Q231" s="1"/>
      <c r="R231" s="1"/>
      <c r="S231" s="1"/>
      <c r="T231" s="38"/>
      <c r="U231" s="38"/>
      <c r="V231" s="38"/>
      <c r="W231" s="38"/>
      <c r="X231" s="38"/>
      <c r="Y231" s="38"/>
      <c r="Z231" s="38"/>
      <c r="AA231" s="122"/>
      <c r="AB231" s="122"/>
      <c r="AC231" s="122"/>
      <c r="AD231" s="122"/>
      <c r="AE231" s="122"/>
      <c r="AF231" s="122"/>
      <c r="AG231" s="122"/>
      <c r="AH231" s="122"/>
      <c r="AI231" s="122"/>
      <c r="AJ231" s="38"/>
      <c r="AK231" s="122"/>
      <c r="AL231" s="122"/>
      <c r="AM231" s="122"/>
      <c r="AN231" s="122"/>
      <c r="AO231" s="38"/>
      <c r="AP231" s="38"/>
      <c r="AQ231" s="38"/>
      <c r="AR231" s="17"/>
      <c r="AS231" s="1"/>
      <c r="AT231" s="17"/>
      <c r="AU231" s="1"/>
      <c r="AV231" s="17"/>
      <c r="AW231" s="1"/>
      <c r="AX231" s="2"/>
      <c r="AY231" s="1"/>
      <c r="AZ231" s="1"/>
    </row>
    <row x14ac:dyDescent="0.25" r="232" customHeight="1" ht="15">
      <c r="A232" s="1"/>
      <c r="B232" s="1"/>
      <c r="C232" s="1"/>
      <c r="D232" s="1"/>
      <c r="E232" s="1"/>
      <c r="F232" s="1"/>
      <c r="G232" s="1"/>
      <c r="H232" s="1"/>
      <c r="I232" s="1"/>
      <c r="J232" s="1"/>
      <c r="K232" s="17"/>
      <c r="L232" s="1"/>
      <c r="M232" s="1"/>
      <c r="N232" s="2"/>
      <c r="O232" s="2"/>
      <c r="P232" s="17"/>
      <c r="Q232" s="1"/>
      <c r="R232" s="1"/>
      <c r="S232" s="1"/>
      <c r="T232" s="38"/>
      <c r="U232" s="38"/>
      <c r="V232" s="38"/>
      <c r="W232" s="38"/>
      <c r="X232" s="38"/>
      <c r="Y232" s="38"/>
      <c r="Z232" s="38"/>
      <c r="AA232" s="122"/>
      <c r="AB232" s="122"/>
      <c r="AC232" s="122"/>
      <c r="AD232" s="122"/>
      <c r="AE232" s="122"/>
      <c r="AF232" s="122"/>
      <c r="AG232" s="122"/>
      <c r="AH232" s="122"/>
      <c r="AI232" s="122"/>
      <c r="AJ232" s="38"/>
      <c r="AK232" s="122"/>
      <c r="AL232" s="122"/>
      <c r="AM232" s="122"/>
      <c r="AN232" s="122"/>
      <c r="AO232" s="38"/>
      <c r="AP232" s="38"/>
      <c r="AQ232" s="38"/>
      <c r="AR232" s="17"/>
      <c r="AS232" s="1"/>
      <c r="AT232" s="17"/>
      <c r="AU232" s="1"/>
      <c r="AV232" s="17"/>
      <c r="AW232" s="1"/>
      <c r="AX232" s="2"/>
      <c r="AY232" s="1"/>
      <c r="AZ232" s="1"/>
    </row>
    <row x14ac:dyDescent="0.25" r="233" customHeight="1" ht="15">
      <c r="A233" s="1"/>
      <c r="B233" s="1"/>
      <c r="C233" s="1"/>
      <c r="D233" s="1"/>
      <c r="E233" s="1"/>
      <c r="F233" s="1"/>
      <c r="G233" s="1"/>
      <c r="H233" s="1"/>
      <c r="I233" s="1"/>
      <c r="J233" s="1"/>
      <c r="K233" s="17"/>
      <c r="L233" s="1"/>
      <c r="M233" s="1"/>
      <c r="N233" s="2"/>
      <c r="O233" s="2"/>
      <c r="P233" s="17"/>
      <c r="Q233" s="1"/>
      <c r="R233" s="1"/>
      <c r="S233" s="1"/>
      <c r="T233" s="38"/>
      <c r="U233" s="38"/>
      <c r="V233" s="38"/>
      <c r="W233" s="38"/>
      <c r="X233" s="38"/>
      <c r="Y233" s="38"/>
      <c r="Z233" s="38"/>
      <c r="AA233" s="122"/>
      <c r="AB233" s="122"/>
      <c r="AC233" s="122"/>
      <c r="AD233" s="122"/>
      <c r="AE233" s="122"/>
      <c r="AF233" s="122"/>
      <c r="AG233" s="122"/>
      <c r="AH233" s="122"/>
      <c r="AI233" s="122"/>
      <c r="AJ233" s="38"/>
      <c r="AK233" s="122"/>
      <c r="AL233" s="122"/>
      <c r="AM233" s="122"/>
      <c r="AN233" s="122"/>
      <c r="AO233" s="38"/>
      <c r="AP233" s="38"/>
      <c r="AQ233" s="38"/>
      <c r="AR233" s="17"/>
      <c r="AS233" s="1"/>
      <c r="AT233" s="17"/>
      <c r="AU233" s="1"/>
      <c r="AV233" s="17"/>
      <c r="AW233" s="1"/>
      <c r="AX233" s="2"/>
      <c r="AY233" s="1"/>
      <c r="AZ233" s="1"/>
    </row>
    <row x14ac:dyDescent="0.25" r="234" customHeight="1" ht="15">
      <c r="A234" s="1"/>
      <c r="B234" s="1"/>
      <c r="C234" s="1"/>
      <c r="D234" s="1"/>
      <c r="E234" s="1"/>
      <c r="F234" s="1"/>
      <c r="G234" s="1"/>
      <c r="H234" s="1"/>
      <c r="I234" s="1"/>
      <c r="J234" s="1"/>
      <c r="K234" s="17"/>
      <c r="L234" s="1"/>
      <c r="M234" s="1"/>
      <c r="N234" s="2"/>
      <c r="O234" s="2"/>
      <c r="P234" s="17"/>
      <c r="Q234" s="1"/>
      <c r="R234" s="1"/>
      <c r="S234" s="1"/>
      <c r="T234" s="38"/>
      <c r="U234" s="38"/>
      <c r="V234" s="38"/>
      <c r="W234" s="38"/>
      <c r="X234" s="38"/>
      <c r="Y234" s="38"/>
      <c r="Z234" s="38"/>
      <c r="AA234" s="122"/>
      <c r="AB234" s="122"/>
      <c r="AC234" s="122"/>
      <c r="AD234" s="122"/>
      <c r="AE234" s="122"/>
      <c r="AF234" s="122"/>
      <c r="AG234" s="122"/>
      <c r="AH234" s="122"/>
      <c r="AI234" s="122"/>
      <c r="AJ234" s="38"/>
      <c r="AK234" s="122"/>
      <c r="AL234" s="122"/>
      <c r="AM234" s="122"/>
      <c r="AN234" s="122"/>
      <c r="AO234" s="38"/>
      <c r="AP234" s="38"/>
      <c r="AQ234" s="38"/>
      <c r="AR234" s="17"/>
      <c r="AS234" s="1"/>
      <c r="AT234" s="17"/>
      <c r="AU234" s="1"/>
      <c r="AV234" s="17"/>
      <c r="AW234" s="1"/>
      <c r="AX234" s="2"/>
      <c r="AY234" s="1"/>
      <c r="AZ234" s="1"/>
    </row>
    <row x14ac:dyDescent="0.25" r="235" customHeight="1" ht="15">
      <c r="A235" s="1"/>
      <c r="B235" s="1"/>
      <c r="C235" s="1"/>
      <c r="D235" s="1"/>
      <c r="E235" s="1"/>
      <c r="F235" s="1"/>
      <c r="G235" s="1"/>
      <c r="H235" s="1"/>
      <c r="I235" s="1"/>
      <c r="J235" s="1"/>
      <c r="K235" s="17"/>
      <c r="L235" s="1"/>
      <c r="M235" s="1"/>
      <c r="N235" s="2"/>
      <c r="O235" s="2"/>
      <c r="P235" s="17"/>
      <c r="Q235" s="1"/>
      <c r="R235" s="1"/>
      <c r="S235" s="1"/>
      <c r="T235" s="38"/>
      <c r="U235" s="38"/>
      <c r="V235" s="38"/>
      <c r="W235" s="38"/>
      <c r="X235" s="38"/>
      <c r="Y235" s="38"/>
      <c r="Z235" s="38"/>
      <c r="AA235" s="122"/>
      <c r="AB235" s="122"/>
      <c r="AC235" s="122"/>
      <c r="AD235" s="122"/>
      <c r="AE235" s="122"/>
      <c r="AF235" s="122"/>
      <c r="AG235" s="122"/>
      <c r="AH235" s="122"/>
      <c r="AI235" s="122"/>
      <c r="AJ235" s="38"/>
      <c r="AK235" s="122"/>
      <c r="AL235" s="122"/>
      <c r="AM235" s="122"/>
      <c r="AN235" s="122"/>
      <c r="AO235" s="38"/>
      <c r="AP235" s="38"/>
      <c r="AQ235" s="38"/>
      <c r="AR235" s="17"/>
      <c r="AS235" s="1"/>
      <c r="AT235" s="17"/>
      <c r="AU235" s="1"/>
      <c r="AV235" s="17"/>
      <c r="AW235" s="1"/>
      <c r="AX235" s="2"/>
      <c r="AY235" s="1"/>
      <c r="AZ235" s="1"/>
    </row>
    <row x14ac:dyDescent="0.25" r="236" customHeight="1" ht="15">
      <c r="A236" s="1"/>
      <c r="B236" s="1"/>
      <c r="C236" s="1"/>
      <c r="D236" s="1"/>
      <c r="E236" s="1"/>
      <c r="F236" s="1"/>
      <c r="G236" s="1"/>
      <c r="H236" s="1"/>
      <c r="I236" s="1"/>
      <c r="J236" s="1"/>
      <c r="K236" s="17"/>
      <c r="L236" s="1"/>
      <c r="M236" s="1"/>
      <c r="N236" s="2"/>
      <c r="O236" s="2"/>
      <c r="P236" s="17"/>
      <c r="Q236" s="1"/>
      <c r="R236" s="1"/>
      <c r="S236" s="1"/>
      <c r="T236" s="38"/>
      <c r="U236" s="38"/>
      <c r="V236" s="38"/>
      <c r="W236" s="38"/>
      <c r="X236" s="38"/>
      <c r="Y236" s="38"/>
      <c r="Z236" s="38"/>
      <c r="AA236" s="122"/>
      <c r="AB236" s="122"/>
      <c r="AC236" s="122"/>
      <c r="AD236" s="122"/>
      <c r="AE236" s="122"/>
      <c r="AF236" s="122"/>
      <c r="AG236" s="122"/>
      <c r="AH236" s="122"/>
      <c r="AI236" s="122"/>
      <c r="AJ236" s="38"/>
      <c r="AK236" s="122"/>
      <c r="AL236" s="122"/>
      <c r="AM236" s="122"/>
      <c r="AN236" s="122"/>
      <c r="AO236" s="38"/>
      <c r="AP236" s="38"/>
      <c r="AQ236" s="38"/>
      <c r="AR236" s="17"/>
      <c r="AS236" s="1"/>
      <c r="AT236" s="17"/>
      <c r="AU236" s="1"/>
      <c r="AV236" s="17"/>
      <c r="AW236" s="1"/>
      <c r="AX236" s="2"/>
      <c r="AY236" s="1"/>
      <c r="AZ236" s="1"/>
    </row>
    <row x14ac:dyDescent="0.25" r="237" customHeight="1" ht="15">
      <c r="A237" s="1"/>
      <c r="B237" s="1"/>
      <c r="C237" s="1"/>
      <c r="D237" s="1"/>
      <c r="E237" s="1"/>
      <c r="F237" s="1"/>
      <c r="G237" s="1"/>
      <c r="H237" s="1"/>
      <c r="I237" s="1"/>
      <c r="J237" s="1"/>
      <c r="K237" s="17"/>
      <c r="L237" s="1"/>
      <c r="M237" s="1"/>
      <c r="N237" s="2"/>
      <c r="O237" s="2"/>
      <c r="P237" s="17"/>
      <c r="Q237" s="1"/>
      <c r="R237" s="1"/>
      <c r="S237" s="1"/>
      <c r="T237" s="38"/>
      <c r="U237" s="38"/>
      <c r="V237" s="38"/>
      <c r="W237" s="38"/>
      <c r="X237" s="38"/>
      <c r="Y237" s="38"/>
      <c r="Z237" s="38"/>
      <c r="AA237" s="122"/>
      <c r="AB237" s="122"/>
      <c r="AC237" s="122"/>
      <c r="AD237" s="122"/>
      <c r="AE237" s="122"/>
      <c r="AF237" s="122"/>
      <c r="AG237" s="122"/>
      <c r="AH237" s="122"/>
      <c r="AI237" s="122"/>
      <c r="AJ237" s="38"/>
      <c r="AK237" s="122"/>
      <c r="AL237" s="122"/>
      <c r="AM237" s="122"/>
      <c r="AN237" s="122"/>
      <c r="AO237" s="38"/>
      <c r="AP237" s="38"/>
      <c r="AQ237" s="38"/>
      <c r="AR237" s="17"/>
      <c r="AS237" s="1"/>
      <c r="AT237" s="17"/>
      <c r="AU237" s="1"/>
      <c r="AV237" s="17"/>
      <c r="AW237" s="1"/>
      <c r="AX237" s="2"/>
      <c r="AY237" s="1"/>
      <c r="AZ237" s="1"/>
    </row>
    <row x14ac:dyDescent="0.25" r="238" customHeight="1" ht="15">
      <c r="A238" s="1"/>
      <c r="B238" s="1"/>
      <c r="C238" s="1"/>
      <c r="D238" s="1"/>
      <c r="E238" s="1"/>
      <c r="F238" s="1"/>
      <c r="G238" s="1"/>
      <c r="H238" s="1"/>
      <c r="I238" s="1"/>
      <c r="J238" s="1"/>
      <c r="K238" s="17"/>
      <c r="L238" s="1"/>
      <c r="M238" s="1"/>
      <c r="N238" s="2"/>
      <c r="O238" s="2"/>
      <c r="P238" s="17"/>
      <c r="Q238" s="1"/>
      <c r="R238" s="1"/>
      <c r="S238" s="1"/>
      <c r="T238" s="38"/>
      <c r="U238" s="38"/>
      <c r="V238" s="38"/>
      <c r="W238" s="38"/>
      <c r="X238" s="38"/>
      <c r="Y238" s="38"/>
      <c r="Z238" s="38"/>
      <c r="AA238" s="122"/>
      <c r="AB238" s="122"/>
      <c r="AC238" s="122"/>
      <c r="AD238" s="122"/>
      <c r="AE238" s="122"/>
      <c r="AF238" s="122"/>
      <c r="AG238" s="122"/>
      <c r="AH238" s="122"/>
      <c r="AI238" s="122"/>
      <c r="AJ238" s="38"/>
      <c r="AK238" s="122"/>
      <c r="AL238" s="122"/>
      <c r="AM238" s="122"/>
      <c r="AN238" s="122"/>
      <c r="AO238" s="38"/>
      <c r="AP238" s="38"/>
      <c r="AQ238" s="38"/>
      <c r="AR238" s="17"/>
      <c r="AS238" s="1"/>
      <c r="AT238" s="17"/>
      <c r="AU238" s="1"/>
      <c r="AV238" s="17"/>
      <c r="AW238" s="1"/>
      <c r="AX238" s="2"/>
      <c r="AY238" s="1"/>
      <c r="AZ238" s="1"/>
    </row>
    <row x14ac:dyDescent="0.25" r="239" customHeight="1" ht="15">
      <c r="A239" s="1"/>
      <c r="B239" s="1"/>
      <c r="C239" s="1"/>
      <c r="D239" s="1"/>
      <c r="E239" s="1"/>
      <c r="F239" s="1"/>
      <c r="G239" s="1"/>
      <c r="H239" s="1"/>
      <c r="I239" s="1"/>
      <c r="J239" s="1"/>
      <c r="K239" s="17"/>
      <c r="L239" s="1"/>
      <c r="M239" s="1"/>
      <c r="N239" s="2"/>
      <c r="O239" s="2"/>
      <c r="P239" s="17"/>
      <c r="Q239" s="1"/>
      <c r="R239" s="1"/>
      <c r="S239" s="1"/>
      <c r="T239" s="38"/>
      <c r="U239" s="38"/>
      <c r="V239" s="38"/>
      <c r="W239" s="38"/>
      <c r="X239" s="38"/>
      <c r="Y239" s="38"/>
      <c r="Z239" s="38"/>
      <c r="AA239" s="122"/>
      <c r="AB239" s="122"/>
      <c r="AC239" s="122"/>
      <c r="AD239" s="122"/>
      <c r="AE239" s="122"/>
      <c r="AF239" s="122"/>
      <c r="AG239" s="122"/>
      <c r="AH239" s="122"/>
      <c r="AI239" s="122"/>
      <c r="AJ239" s="38"/>
      <c r="AK239" s="122"/>
      <c r="AL239" s="122"/>
      <c r="AM239" s="122"/>
      <c r="AN239" s="122"/>
      <c r="AO239" s="38"/>
      <c r="AP239" s="38"/>
      <c r="AQ239" s="38"/>
      <c r="AR239" s="17"/>
      <c r="AS239" s="1"/>
      <c r="AT239" s="17"/>
      <c r="AU239" s="1"/>
      <c r="AV239" s="17"/>
      <c r="AW239" s="1"/>
      <c r="AX239" s="2"/>
      <c r="AY239" s="1"/>
      <c r="AZ239" s="1"/>
    </row>
    <row x14ac:dyDescent="0.25" r="240" customHeight="1" ht="15">
      <c r="A240" s="1"/>
      <c r="B240" s="1"/>
      <c r="C240" s="1"/>
      <c r="D240" s="1"/>
      <c r="E240" s="1"/>
      <c r="F240" s="1"/>
      <c r="G240" s="1"/>
      <c r="H240" s="1"/>
      <c r="I240" s="1"/>
      <c r="J240" s="1"/>
      <c r="K240" s="17"/>
      <c r="L240" s="1"/>
      <c r="M240" s="1"/>
      <c r="N240" s="2"/>
      <c r="O240" s="2"/>
      <c r="P240" s="17"/>
      <c r="Q240" s="1"/>
      <c r="R240" s="1"/>
      <c r="S240" s="1"/>
      <c r="T240" s="38"/>
      <c r="U240" s="38"/>
      <c r="V240" s="38"/>
      <c r="W240" s="38"/>
      <c r="X240" s="38"/>
      <c r="Y240" s="38"/>
      <c r="Z240" s="38"/>
      <c r="AA240" s="122"/>
      <c r="AB240" s="122"/>
      <c r="AC240" s="122"/>
      <c r="AD240" s="122"/>
      <c r="AE240" s="122"/>
      <c r="AF240" s="122"/>
      <c r="AG240" s="122"/>
      <c r="AH240" s="122"/>
      <c r="AI240" s="122"/>
      <c r="AJ240" s="38"/>
      <c r="AK240" s="122"/>
      <c r="AL240" s="122"/>
      <c r="AM240" s="122"/>
      <c r="AN240" s="122"/>
      <c r="AO240" s="38"/>
      <c r="AP240" s="38"/>
      <c r="AQ240" s="38"/>
      <c r="AR240" s="17"/>
      <c r="AS240" s="1"/>
      <c r="AT240" s="17"/>
      <c r="AU240" s="1"/>
      <c r="AV240" s="17"/>
      <c r="AW240" s="1"/>
      <c r="AX240" s="2"/>
      <c r="AY240" s="1"/>
      <c r="AZ240" s="1"/>
    </row>
    <row x14ac:dyDescent="0.25" r="241" customHeight="1" ht="15">
      <c r="A241" s="1"/>
      <c r="B241" s="1"/>
      <c r="C241" s="1"/>
      <c r="D241" s="1"/>
      <c r="E241" s="1"/>
      <c r="F241" s="1"/>
      <c r="G241" s="1"/>
      <c r="H241" s="1"/>
      <c r="I241" s="1"/>
      <c r="J241" s="1"/>
      <c r="K241" s="17"/>
      <c r="L241" s="1"/>
      <c r="M241" s="1"/>
      <c r="N241" s="2"/>
      <c r="O241" s="2"/>
      <c r="P241" s="17"/>
      <c r="Q241" s="1"/>
      <c r="R241" s="1"/>
      <c r="S241" s="1"/>
      <c r="T241" s="38"/>
      <c r="U241" s="38"/>
      <c r="V241" s="38"/>
      <c r="W241" s="38"/>
      <c r="X241" s="38"/>
      <c r="Y241" s="38"/>
      <c r="Z241" s="38"/>
      <c r="AA241" s="122"/>
      <c r="AB241" s="122"/>
      <c r="AC241" s="122"/>
      <c r="AD241" s="122"/>
      <c r="AE241" s="122"/>
      <c r="AF241" s="122"/>
      <c r="AG241" s="122"/>
      <c r="AH241" s="122"/>
      <c r="AI241" s="122"/>
      <c r="AJ241" s="38"/>
      <c r="AK241" s="122"/>
      <c r="AL241" s="122"/>
      <c r="AM241" s="122"/>
      <c r="AN241" s="122"/>
      <c r="AO241" s="38"/>
      <c r="AP241" s="38"/>
      <c r="AQ241" s="38"/>
      <c r="AR241" s="17"/>
      <c r="AS241" s="1"/>
      <c r="AT241" s="17"/>
      <c r="AU241" s="1"/>
      <c r="AV241" s="17"/>
      <c r="AW241" s="1"/>
      <c r="AX241" s="2"/>
      <c r="AY241" s="1"/>
      <c r="AZ241" s="1"/>
    </row>
    <row x14ac:dyDescent="0.25" r="242" customHeight="1" ht="15">
      <c r="A242" s="1"/>
      <c r="B242" s="1"/>
      <c r="C242" s="1"/>
      <c r="D242" s="1"/>
      <c r="E242" s="1"/>
      <c r="F242" s="1"/>
      <c r="G242" s="1"/>
      <c r="H242" s="1"/>
      <c r="I242" s="1"/>
      <c r="J242" s="1"/>
      <c r="K242" s="17"/>
      <c r="L242" s="1"/>
      <c r="M242" s="1"/>
      <c r="N242" s="2"/>
      <c r="O242" s="2"/>
      <c r="P242" s="17"/>
      <c r="Q242" s="1"/>
      <c r="R242" s="1"/>
      <c r="S242" s="1"/>
      <c r="T242" s="38"/>
      <c r="U242" s="38"/>
      <c r="V242" s="38"/>
      <c r="W242" s="38"/>
      <c r="X242" s="38"/>
      <c r="Y242" s="38"/>
      <c r="Z242" s="38"/>
      <c r="AA242" s="122"/>
      <c r="AB242" s="122"/>
      <c r="AC242" s="122"/>
      <c r="AD242" s="122"/>
      <c r="AE242" s="122"/>
      <c r="AF242" s="122"/>
      <c r="AG242" s="122"/>
      <c r="AH242" s="122"/>
      <c r="AI242" s="122"/>
      <c r="AJ242" s="38"/>
      <c r="AK242" s="122"/>
      <c r="AL242" s="122"/>
      <c r="AM242" s="122"/>
      <c r="AN242" s="122"/>
      <c r="AO242" s="38"/>
      <c r="AP242" s="38"/>
      <c r="AQ242" s="38"/>
      <c r="AR242" s="17"/>
      <c r="AS242" s="1"/>
      <c r="AT242" s="17"/>
      <c r="AU242" s="1"/>
      <c r="AV242" s="17"/>
      <c r="AW242" s="1"/>
      <c r="AX242" s="2"/>
      <c r="AY242" s="1"/>
      <c r="AZ242" s="1"/>
    </row>
    <row x14ac:dyDescent="0.25" r="243" customHeight="1" ht="15">
      <c r="A243" s="1"/>
      <c r="B243" s="1"/>
      <c r="C243" s="1"/>
      <c r="D243" s="1"/>
      <c r="E243" s="1"/>
      <c r="F243" s="1"/>
      <c r="G243" s="1"/>
      <c r="H243" s="1"/>
      <c r="I243" s="1"/>
      <c r="J243" s="1"/>
      <c r="K243" s="17"/>
      <c r="L243" s="1"/>
      <c r="M243" s="1"/>
      <c r="N243" s="2"/>
      <c r="O243" s="2"/>
      <c r="P243" s="17"/>
      <c r="Q243" s="1"/>
      <c r="R243" s="1"/>
      <c r="S243" s="1"/>
      <c r="T243" s="38"/>
      <c r="U243" s="38"/>
      <c r="V243" s="38"/>
      <c r="W243" s="38"/>
      <c r="X243" s="38"/>
      <c r="Y243" s="38"/>
      <c r="Z243" s="38"/>
      <c r="AA243" s="122"/>
      <c r="AB243" s="122"/>
      <c r="AC243" s="122"/>
      <c r="AD243" s="122"/>
      <c r="AE243" s="122"/>
      <c r="AF243" s="122"/>
      <c r="AG243" s="122"/>
      <c r="AH243" s="122"/>
      <c r="AI243" s="122"/>
      <c r="AJ243" s="38"/>
      <c r="AK243" s="122"/>
      <c r="AL243" s="122"/>
      <c r="AM243" s="122"/>
      <c r="AN243" s="122"/>
      <c r="AO243" s="38"/>
      <c r="AP243" s="38"/>
      <c r="AQ243" s="38"/>
      <c r="AR243" s="17"/>
      <c r="AS243" s="1"/>
      <c r="AT243" s="17"/>
      <c r="AU243" s="1"/>
      <c r="AV243" s="17"/>
      <c r="AW243" s="1"/>
      <c r="AX243" s="2"/>
      <c r="AY243" s="1"/>
      <c r="AZ243" s="1"/>
    </row>
    <row x14ac:dyDescent="0.25" r="244" customHeight="1" ht="15">
      <c r="A244" s="1"/>
      <c r="B244" s="1"/>
      <c r="C244" s="1"/>
      <c r="D244" s="1"/>
      <c r="E244" s="1"/>
      <c r="F244" s="1"/>
      <c r="G244" s="1"/>
      <c r="H244" s="1"/>
      <c r="I244" s="1"/>
      <c r="J244" s="1"/>
      <c r="K244" s="17"/>
      <c r="L244" s="1"/>
      <c r="M244" s="1"/>
      <c r="N244" s="2"/>
      <c r="O244" s="2"/>
      <c r="P244" s="17"/>
      <c r="Q244" s="1"/>
      <c r="R244" s="1"/>
      <c r="S244" s="1"/>
      <c r="T244" s="38"/>
      <c r="U244" s="38"/>
      <c r="V244" s="38"/>
      <c r="W244" s="38"/>
      <c r="X244" s="38"/>
      <c r="Y244" s="38"/>
      <c r="Z244" s="38"/>
      <c r="AA244" s="122"/>
      <c r="AB244" s="122"/>
      <c r="AC244" s="122"/>
      <c r="AD244" s="122"/>
      <c r="AE244" s="122"/>
      <c r="AF244" s="122"/>
      <c r="AG244" s="122"/>
      <c r="AH244" s="122"/>
      <c r="AI244" s="122"/>
      <c r="AJ244" s="38"/>
      <c r="AK244" s="122"/>
      <c r="AL244" s="122"/>
      <c r="AM244" s="122"/>
      <c r="AN244" s="122"/>
      <c r="AO244" s="38"/>
      <c r="AP244" s="38"/>
      <c r="AQ244" s="38"/>
      <c r="AR244" s="17"/>
      <c r="AS244" s="1"/>
      <c r="AT244" s="17"/>
      <c r="AU244" s="1"/>
      <c r="AV244" s="17"/>
      <c r="AW244" s="1"/>
      <c r="AX244" s="2"/>
      <c r="AY244" s="1"/>
      <c r="AZ244" s="1"/>
    </row>
    <row x14ac:dyDescent="0.25" r="245" customHeight="1" ht="15">
      <c r="A245" s="1"/>
      <c r="B245" s="1"/>
      <c r="C245" s="1"/>
      <c r="D245" s="1"/>
      <c r="E245" s="1"/>
      <c r="F245" s="1"/>
      <c r="G245" s="1"/>
      <c r="H245" s="1"/>
      <c r="I245" s="1"/>
      <c r="J245" s="1"/>
      <c r="K245" s="17"/>
      <c r="L245" s="1"/>
      <c r="M245" s="1"/>
      <c r="N245" s="2"/>
      <c r="O245" s="2"/>
      <c r="P245" s="17"/>
      <c r="Q245" s="1"/>
      <c r="R245" s="1"/>
      <c r="S245" s="1"/>
      <c r="T245" s="38"/>
      <c r="U245" s="38"/>
      <c r="V245" s="38"/>
      <c r="W245" s="38"/>
      <c r="X245" s="38"/>
      <c r="Y245" s="38"/>
      <c r="Z245" s="38"/>
      <c r="AA245" s="122"/>
      <c r="AB245" s="122"/>
      <c r="AC245" s="122"/>
      <c r="AD245" s="122"/>
      <c r="AE245" s="122"/>
      <c r="AF245" s="122"/>
      <c r="AG245" s="122"/>
      <c r="AH245" s="122"/>
      <c r="AI245" s="122"/>
      <c r="AJ245" s="38"/>
      <c r="AK245" s="122"/>
      <c r="AL245" s="122"/>
      <c r="AM245" s="122"/>
      <c r="AN245" s="122"/>
      <c r="AO245" s="38"/>
      <c r="AP245" s="38"/>
      <c r="AQ245" s="38"/>
      <c r="AR245" s="17"/>
      <c r="AS245" s="1"/>
      <c r="AT245" s="17"/>
      <c r="AU245" s="1"/>
      <c r="AV245" s="17"/>
      <c r="AW245" s="1"/>
      <c r="AX245" s="2"/>
      <c r="AY245" s="1"/>
      <c r="AZ245" s="1"/>
    </row>
    <row x14ac:dyDescent="0.25" r="246" customHeight="1" ht="15">
      <c r="A246" s="1"/>
      <c r="B246" s="1"/>
      <c r="C246" s="1"/>
      <c r="D246" s="1"/>
      <c r="E246" s="1"/>
      <c r="F246" s="1"/>
      <c r="G246" s="1"/>
      <c r="H246" s="1"/>
      <c r="I246" s="1"/>
      <c r="J246" s="1"/>
      <c r="K246" s="17"/>
      <c r="L246" s="1"/>
      <c r="M246" s="1"/>
      <c r="N246" s="2"/>
      <c r="O246" s="2"/>
      <c r="P246" s="17"/>
      <c r="Q246" s="1"/>
      <c r="R246" s="1"/>
      <c r="S246" s="1"/>
      <c r="T246" s="38"/>
      <c r="U246" s="38"/>
      <c r="V246" s="38"/>
      <c r="W246" s="38"/>
      <c r="X246" s="38"/>
      <c r="Y246" s="38"/>
      <c r="Z246" s="38"/>
      <c r="AA246" s="122"/>
      <c r="AB246" s="122"/>
      <c r="AC246" s="122"/>
      <c r="AD246" s="122"/>
      <c r="AE246" s="122"/>
      <c r="AF246" s="122"/>
      <c r="AG246" s="122"/>
      <c r="AH246" s="122"/>
      <c r="AI246" s="122"/>
      <c r="AJ246" s="38"/>
      <c r="AK246" s="122"/>
      <c r="AL246" s="122"/>
      <c r="AM246" s="122"/>
      <c r="AN246" s="122"/>
      <c r="AO246" s="38"/>
      <c r="AP246" s="38"/>
      <c r="AQ246" s="38"/>
      <c r="AR246" s="17"/>
      <c r="AS246" s="1"/>
      <c r="AT246" s="17"/>
      <c r="AU246" s="1"/>
      <c r="AV246" s="17"/>
      <c r="AW246" s="1"/>
      <c r="AX246" s="2"/>
      <c r="AY246" s="1"/>
      <c r="AZ246" s="1"/>
    </row>
    <row x14ac:dyDescent="0.25" r="247" customHeight="1" ht="15">
      <c r="A247" s="1"/>
      <c r="B247" s="1"/>
      <c r="C247" s="1"/>
      <c r="D247" s="1"/>
      <c r="E247" s="1"/>
      <c r="F247" s="1"/>
      <c r="G247" s="1"/>
      <c r="H247" s="1"/>
      <c r="I247" s="1"/>
      <c r="J247" s="1"/>
      <c r="K247" s="17"/>
      <c r="L247" s="1"/>
      <c r="M247" s="1"/>
      <c r="N247" s="2"/>
      <c r="O247" s="2"/>
      <c r="P247" s="17"/>
      <c r="Q247" s="1"/>
      <c r="R247" s="1"/>
      <c r="S247" s="1"/>
      <c r="T247" s="38"/>
      <c r="U247" s="38"/>
      <c r="V247" s="38"/>
      <c r="W247" s="38"/>
      <c r="X247" s="38"/>
      <c r="Y247" s="38"/>
      <c r="Z247" s="38"/>
      <c r="AA247" s="122"/>
      <c r="AB247" s="122"/>
      <c r="AC247" s="122"/>
      <c r="AD247" s="122"/>
      <c r="AE247" s="122"/>
      <c r="AF247" s="122"/>
      <c r="AG247" s="122"/>
      <c r="AH247" s="122"/>
      <c r="AI247" s="122"/>
      <c r="AJ247" s="38"/>
      <c r="AK247" s="122"/>
      <c r="AL247" s="122"/>
      <c r="AM247" s="122"/>
      <c r="AN247" s="122"/>
      <c r="AO247" s="38"/>
      <c r="AP247" s="38"/>
      <c r="AQ247" s="38"/>
      <c r="AR247" s="17"/>
      <c r="AS247" s="1"/>
      <c r="AT247" s="17"/>
      <c r="AU247" s="1"/>
      <c r="AV247" s="17"/>
      <c r="AW247" s="1"/>
      <c r="AX247" s="2"/>
      <c r="AY247" s="1"/>
      <c r="AZ247" s="1"/>
    </row>
    <row x14ac:dyDescent="0.25" r="248" customHeight="1" ht="15">
      <c r="A248" s="1"/>
      <c r="B248" s="1"/>
      <c r="C248" s="1"/>
      <c r="D248" s="1"/>
      <c r="E248" s="1"/>
      <c r="F248" s="1"/>
      <c r="G248" s="1"/>
      <c r="H248" s="1"/>
      <c r="I248" s="1"/>
      <c r="J248" s="1"/>
      <c r="K248" s="17"/>
      <c r="L248" s="1"/>
      <c r="M248" s="1"/>
      <c r="N248" s="2"/>
      <c r="O248" s="2"/>
      <c r="P248" s="17"/>
      <c r="Q248" s="1"/>
      <c r="R248" s="1"/>
      <c r="S248" s="1"/>
      <c r="T248" s="38"/>
      <c r="U248" s="38"/>
      <c r="V248" s="38"/>
      <c r="W248" s="38"/>
      <c r="X248" s="38"/>
      <c r="Y248" s="38"/>
      <c r="Z248" s="38"/>
      <c r="AA248" s="122"/>
      <c r="AB248" s="122"/>
      <c r="AC248" s="122"/>
      <c r="AD248" s="122"/>
      <c r="AE248" s="122"/>
      <c r="AF248" s="122"/>
      <c r="AG248" s="122"/>
      <c r="AH248" s="122"/>
      <c r="AI248" s="122"/>
      <c r="AJ248" s="38"/>
      <c r="AK248" s="122"/>
      <c r="AL248" s="122"/>
      <c r="AM248" s="122"/>
      <c r="AN248" s="122"/>
      <c r="AO248" s="38"/>
      <c r="AP248" s="38"/>
      <c r="AQ248" s="38"/>
      <c r="AR248" s="17"/>
      <c r="AS248" s="1"/>
      <c r="AT248" s="17"/>
      <c r="AU248" s="1"/>
      <c r="AV248" s="17"/>
      <c r="AW248" s="1"/>
      <c r="AX248" s="2"/>
      <c r="AY248" s="1"/>
      <c r="AZ248" s="1"/>
    </row>
    <row x14ac:dyDescent="0.25" r="249" customHeight="1" ht="15">
      <c r="A249" s="1"/>
      <c r="B249" s="1"/>
      <c r="C249" s="1"/>
      <c r="D249" s="1"/>
      <c r="E249" s="1"/>
      <c r="F249" s="1"/>
      <c r="G249" s="1"/>
      <c r="H249" s="1"/>
      <c r="I249" s="1"/>
      <c r="J249" s="1"/>
      <c r="K249" s="17"/>
      <c r="L249" s="1"/>
      <c r="M249" s="1"/>
      <c r="N249" s="2"/>
      <c r="O249" s="2"/>
      <c r="P249" s="17"/>
      <c r="Q249" s="1"/>
      <c r="R249" s="1"/>
      <c r="S249" s="1"/>
      <c r="T249" s="38"/>
      <c r="U249" s="38"/>
      <c r="V249" s="38"/>
      <c r="W249" s="38"/>
      <c r="X249" s="38"/>
      <c r="Y249" s="38"/>
      <c r="Z249" s="38"/>
      <c r="AA249" s="122"/>
      <c r="AB249" s="122"/>
      <c r="AC249" s="122"/>
      <c r="AD249" s="122"/>
      <c r="AE249" s="122"/>
      <c r="AF249" s="122"/>
      <c r="AG249" s="122"/>
      <c r="AH249" s="122"/>
      <c r="AI249" s="122"/>
      <c r="AJ249" s="38"/>
      <c r="AK249" s="122"/>
      <c r="AL249" s="122"/>
      <c r="AM249" s="122"/>
      <c r="AN249" s="122"/>
      <c r="AO249" s="38"/>
      <c r="AP249" s="38"/>
      <c r="AQ249" s="38"/>
      <c r="AR249" s="17"/>
      <c r="AS249" s="1"/>
      <c r="AT249" s="17"/>
      <c r="AU249" s="1"/>
      <c r="AV249" s="17"/>
      <c r="AW249" s="1"/>
      <c r="AX249" s="2"/>
      <c r="AY249" s="1"/>
      <c r="AZ249" s="1"/>
    </row>
    <row x14ac:dyDescent="0.25" r="250" customHeight="1" ht="15">
      <c r="A250" s="1"/>
      <c r="B250" s="1"/>
      <c r="C250" s="1"/>
      <c r="D250" s="1"/>
      <c r="E250" s="1"/>
      <c r="F250" s="1"/>
      <c r="G250" s="1"/>
      <c r="H250" s="1"/>
      <c r="I250" s="1"/>
      <c r="J250" s="1"/>
      <c r="K250" s="17"/>
      <c r="L250" s="1"/>
      <c r="M250" s="1"/>
      <c r="N250" s="2"/>
      <c r="O250" s="2"/>
      <c r="P250" s="17"/>
      <c r="Q250" s="1"/>
      <c r="R250" s="1"/>
      <c r="S250" s="1"/>
      <c r="T250" s="38"/>
      <c r="U250" s="38"/>
      <c r="V250" s="38"/>
      <c r="W250" s="38"/>
      <c r="X250" s="38"/>
      <c r="Y250" s="38"/>
      <c r="Z250" s="38"/>
      <c r="AA250" s="122"/>
      <c r="AB250" s="122"/>
      <c r="AC250" s="122"/>
      <c r="AD250" s="122"/>
      <c r="AE250" s="122"/>
      <c r="AF250" s="122"/>
      <c r="AG250" s="122"/>
      <c r="AH250" s="122"/>
      <c r="AI250" s="122"/>
      <c r="AJ250" s="38"/>
      <c r="AK250" s="122"/>
      <c r="AL250" s="122"/>
      <c r="AM250" s="122"/>
      <c r="AN250" s="122"/>
      <c r="AO250" s="38"/>
      <c r="AP250" s="38"/>
      <c r="AQ250" s="38"/>
      <c r="AR250" s="17"/>
      <c r="AS250" s="1"/>
      <c r="AT250" s="17"/>
      <c r="AU250" s="1"/>
      <c r="AV250" s="17"/>
      <c r="AW250" s="1"/>
      <c r="AX250" s="2"/>
      <c r="AY250" s="1"/>
      <c r="AZ250" s="1"/>
    </row>
    <row x14ac:dyDescent="0.25" r="251" customHeight="1" ht="15">
      <c r="A251" s="1"/>
      <c r="B251" s="1"/>
      <c r="C251" s="1"/>
      <c r="D251" s="1"/>
      <c r="E251" s="1"/>
      <c r="F251" s="1"/>
      <c r="G251" s="1"/>
      <c r="H251" s="1"/>
      <c r="I251" s="1"/>
      <c r="J251" s="1"/>
      <c r="K251" s="17"/>
      <c r="L251" s="1"/>
      <c r="M251" s="1"/>
      <c r="N251" s="2"/>
      <c r="O251" s="2"/>
      <c r="P251" s="17"/>
      <c r="Q251" s="1"/>
      <c r="R251" s="1"/>
      <c r="S251" s="1"/>
      <c r="T251" s="38"/>
      <c r="U251" s="38"/>
      <c r="V251" s="38"/>
      <c r="W251" s="38"/>
      <c r="X251" s="38"/>
      <c r="Y251" s="38"/>
      <c r="Z251" s="38"/>
      <c r="AA251" s="122"/>
      <c r="AB251" s="122"/>
      <c r="AC251" s="122"/>
      <c r="AD251" s="122"/>
      <c r="AE251" s="122"/>
      <c r="AF251" s="122"/>
      <c r="AG251" s="122"/>
      <c r="AH251" s="122"/>
      <c r="AI251" s="122"/>
      <c r="AJ251" s="38"/>
      <c r="AK251" s="122"/>
      <c r="AL251" s="122"/>
      <c r="AM251" s="122"/>
      <c r="AN251" s="122"/>
      <c r="AO251" s="38"/>
      <c r="AP251" s="38"/>
      <c r="AQ251" s="38"/>
      <c r="AR251" s="17"/>
      <c r="AS251" s="1"/>
      <c r="AT251" s="17"/>
      <c r="AU251" s="1"/>
      <c r="AV251" s="17"/>
      <c r="AW251" s="1"/>
      <c r="AX251" s="2"/>
      <c r="AY251" s="1"/>
      <c r="AZ251" s="1"/>
    </row>
    <row x14ac:dyDescent="0.25" r="252" customHeight="1" ht="15">
      <c r="A252" s="1"/>
      <c r="B252" s="1"/>
      <c r="C252" s="1"/>
      <c r="D252" s="1"/>
      <c r="E252" s="1"/>
      <c r="F252" s="1"/>
      <c r="G252" s="1"/>
      <c r="H252" s="1"/>
      <c r="I252" s="1"/>
      <c r="J252" s="1"/>
      <c r="K252" s="17"/>
      <c r="L252" s="1"/>
      <c r="M252" s="1"/>
      <c r="N252" s="2"/>
      <c r="O252" s="2"/>
      <c r="P252" s="17"/>
      <c r="Q252" s="1"/>
      <c r="R252" s="1"/>
      <c r="S252" s="1"/>
      <c r="T252" s="38"/>
      <c r="U252" s="38"/>
      <c r="V252" s="38"/>
      <c r="W252" s="38"/>
      <c r="X252" s="38"/>
      <c r="Y252" s="38"/>
      <c r="Z252" s="38"/>
      <c r="AA252" s="122"/>
      <c r="AB252" s="122"/>
      <c r="AC252" s="122"/>
      <c r="AD252" s="122"/>
      <c r="AE252" s="122"/>
      <c r="AF252" s="122"/>
      <c r="AG252" s="122"/>
      <c r="AH252" s="122"/>
      <c r="AI252" s="122"/>
      <c r="AJ252" s="38"/>
      <c r="AK252" s="122"/>
      <c r="AL252" s="122"/>
      <c r="AM252" s="122"/>
      <c r="AN252" s="122"/>
      <c r="AO252" s="38"/>
      <c r="AP252" s="38"/>
      <c r="AQ252" s="38"/>
      <c r="AR252" s="17"/>
      <c r="AS252" s="1"/>
      <c r="AT252" s="17"/>
      <c r="AU252" s="1"/>
      <c r="AV252" s="17"/>
      <c r="AW252" s="1"/>
      <c r="AX252" s="2"/>
      <c r="AY252" s="1"/>
      <c r="AZ252" s="1"/>
    </row>
    <row x14ac:dyDescent="0.25" r="253" customHeight="1" ht="15">
      <c r="A253" s="1"/>
      <c r="B253" s="1"/>
      <c r="C253" s="1"/>
      <c r="D253" s="1"/>
      <c r="E253" s="1"/>
      <c r="F253" s="1"/>
      <c r="G253" s="1"/>
      <c r="H253" s="1"/>
      <c r="I253" s="1"/>
      <c r="J253" s="1"/>
      <c r="K253" s="17"/>
      <c r="L253" s="1"/>
      <c r="M253" s="1"/>
      <c r="N253" s="2"/>
      <c r="O253" s="2"/>
      <c r="P253" s="17"/>
      <c r="Q253" s="1"/>
      <c r="R253" s="1"/>
      <c r="S253" s="1"/>
      <c r="T253" s="38"/>
      <c r="U253" s="38"/>
      <c r="V253" s="38"/>
      <c r="W253" s="38"/>
      <c r="X253" s="38"/>
      <c r="Y253" s="38"/>
      <c r="Z253" s="38"/>
      <c r="AA253" s="122"/>
      <c r="AB253" s="122"/>
      <c r="AC253" s="122"/>
      <c r="AD253" s="122"/>
      <c r="AE253" s="122"/>
      <c r="AF253" s="122"/>
      <c r="AG253" s="122"/>
      <c r="AH253" s="122"/>
      <c r="AI253" s="122"/>
      <c r="AJ253" s="38"/>
      <c r="AK253" s="122"/>
      <c r="AL253" s="122"/>
      <c r="AM253" s="122"/>
      <c r="AN253" s="122"/>
      <c r="AO253" s="38"/>
      <c r="AP253" s="38"/>
      <c r="AQ253" s="38"/>
      <c r="AR253" s="17"/>
      <c r="AS253" s="1"/>
      <c r="AT253" s="17"/>
      <c r="AU253" s="1"/>
      <c r="AV253" s="17"/>
      <c r="AW253" s="1"/>
      <c r="AX253" s="2"/>
      <c r="AY253" s="1"/>
      <c r="AZ253" s="1"/>
    </row>
    <row x14ac:dyDescent="0.25" r="254" customHeight="1" ht="15">
      <c r="A254" s="1"/>
      <c r="B254" s="1"/>
      <c r="C254" s="1"/>
      <c r="D254" s="1"/>
      <c r="E254" s="1"/>
      <c r="F254" s="1"/>
      <c r="G254" s="1"/>
      <c r="H254" s="1"/>
      <c r="I254" s="1"/>
      <c r="J254" s="1"/>
      <c r="K254" s="17"/>
      <c r="L254" s="1"/>
      <c r="M254" s="1"/>
      <c r="N254" s="2"/>
      <c r="O254" s="2"/>
      <c r="P254" s="17"/>
      <c r="Q254" s="1"/>
      <c r="R254" s="1"/>
      <c r="S254" s="1"/>
      <c r="T254" s="38"/>
      <c r="U254" s="38"/>
      <c r="V254" s="38"/>
      <c r="W254" s="38"/>
      <c r="X254" s="38"/>
      <c r="Y254" s="38"/>
      <c r="Z254" s="38"/>
      <c r="AA254" s="122"/>
      <c r="AB254" s="122"/>
      <c r="AC254" s="122"/>
      <c r="AD254" s="122"/>
      <c r="AE254" s="122"/>
      <c r="AF254" s="122"/>
      <c r="AG254" s="122"/>
      <c r="AH254" s="122"/>
      <c r="AI254" s="122"/>
      <c r="AJ254" s="38"/>
      <c r="AK254" s="122"/>
      <c r="AL254" s="122"/>
      <c r="AM254" s="122"/>
      <c r="AN254" s="122"/>
      <c r="AO254" s="38"/>
      <c r="AP254" s="38"/>
      <c r="AQ254" s="38"/>
      <c r="AR254" s="17"/>
      <c r="AS254" s="1"/>
      <c r="AT254" s="17"/>
      <c r="AU254" s="1"/>
      <c r="AV254" s="17"/>
      <c r="AW254" s="1"/>
      <c r="AX254" s="2"/>
      <c r="AY254" s="1"/>
      <c r="AZ254" s="1"/>
    </row>
    <row x14ac:dyDescent="0.25" r="255" customHeight="1" ht="15">
      <c r="A255" s="1"/>
      <c r="B255" s="1"/>
      <c r="C255" s="1"/>
      <c r="D255" s="1"/>
      <c r="E255" s="1"/>
      <c r="F255" s="1"/>
      <c r="G255" s="1"/>
      <c r="H255" s="1"/>
      <c r="I255" s="1"/>
      <c r="J255" s="1"/>
      <c r="K255" s="17"/>
      <c r="L255" s="1"/>
      <c r="M255" s="1"/>
      <c r="N255" s="2"/>
      <c r="O255" s="2"/>
      <c r="P255" s="17"/>
      <c r="Q255" s="1"/>
      <c r="R255" s="1"/>
      <c r="S255" s="1"/>
      <c r="T255" s="38"/>
      <c r="U255" s="38"/>
      <c r="V255" s="38"/>
      <c r="W255" s="38"/>
      <c r="X255" s="38"/>
      <c r="Y255" s="38"/>
      <c r="Z255" s="38"/>
      <c r="AA255" s="122"/>
      <c r="AB255" s="122"/>
      <c r="AC255" s="122"/>
      <c r="AD255" s="122"/>
      <c r="AE255" s="122"/>
      <c r="AF255" s="122"/>
      <c r="AG255" s="122"/>
      <c r="AH255" s="122"/>
      <c r="AI255" s="122"/>
      <c r="AJ255" s="38"/>
      <c r="AK255" s="122"/>
      <c r="AL255" s="122"/>
      <c r="AM255" s="122"/>
      <c r="AN255" s="122"/>
      <c r="AO255" s="38"/>
      <c r="AP255" s="38"/>
      <c r="AQ255" s="38"/>
      <c r="AR255" s="17"/>
      <c r="AS255" s="1"/>
      <c r="AT255" s="17"/>
      <c r="AU255" s="1"/>
      <c r="AV255" s="17"/>
      <c r="AW255" s="1"/>
      <c r="AX255" s="2"/>
      <c r="AY255" s="1"/>
      <c r="AZ255" s="1"/>
    </row>
    <row x14ac:dyDescent="0.25" r="256" customHeight="1" ht="15">
      <c r="A256" s="1"/>
      <c r="B256" s="1"/>
      <c r="C256" s="1"/>
      <c r="D256" s="1"/>
      <c r="E256" s="1"/>
      <c r="F256" s="1"/>
      <c r="G256" s="1"/>
      <c r="H256" s="1"/>
      <c r="I256" s="1"/>
      <c r="J256" s="1"/>
      <c r="K256" s="17"/>
      <c r="L256" s="1"/>
      <c r="M256" s="1"/>
      <c r="N256" s="2"/>
      <c r="O256" s="2"/>
      <c r="P256" s="17"/>
      <c r="Q256" s="1"/>
      <c r="R256" s="1"/>
      <c r="S256" s="1"/>
      <c r="T256" s="38"/>
      <c r="U256" s="38"/>
      <c r="V256" s="38"/>
      <c r="W256" s="38"/>
      <c r="X256" s="38"/>
      <c r="Y256" s="38"/>
      <c r="Z256" s="38"/>
      <c r="AA256" s="122"/>
      <c r="AB256" s="122"/>
      <c r="AC256" s="122"/>
      <c r="AD256" s="122"/>
      <c r="AE256" s="122"/>
      <c r="AF256" s="122"/>
      <c r="AG256" s="122"/>
      <c r="AH256" s="122"/>
      <c r="AI256" s="122"/>
      <c r="AJ256" s="38"/>
      <c r="AK256" s="122"/>
      <c r="AL256" s="122"/>
      <c r="AM256" s="122"/>
      <c r="AN256" s="122"/>
      <c r="AO256" s="38"/>
      <c r="AP256" s="38"/>
      <c r="AQ256" s="38"/>
      <c r="AR256" s="17"/>
      <c r="AS256" s="1"/>
      <c r="AT256" s="17"/>
      <c r="AU256" s="1"/>
      <c r="AV256" s="17"/>
      <c r="AW256" s="1"/>
      <c r="AX256" s="2"/>
      <c r="AY256" s="1"/>
      <c r="AZ256" s="1"/>
    </row>
    <row x14ac:dyDescent="0.25" r="257" customHeight="1" ht="15">
      <c r="A257" s="1"/>
      <c r="B257" s="1"/>
      <c r="C257" s="1"/>
      <c r="D257" s="1"/>
      <c r="E257" s="1"/>
      <c r="F257" s="1"/>
      <c r="G257" s="1"/>
      <c r="H257" s="1"/>
      <c r="I257" s="1"/>
      <c r="J257" s="1"/>
      <c r="K257" s="17"/>
      <c r="L257" s="1"/>
      <c r="M257" s="1"/>
      <c r="N257" s="2"/>
      <c r="O257" s="2"/>
      <c r="P257" s="17"/>
      <c r="Q257" s="1"/>
      <c r="R257" s="1"/>
      <c r="S257" s="1"/>
      <c r="T257" s="38"/>
      <c r="U257" s="38"/>
      <c r="V257" s="38"/>
      <c r="W257" s="38"/>
      <c r="X257" s="38"/>
      <c r="Y257" s="38"/>
      <c r="Z257" s="38"/>
      <c r="AA257" s="122"/>
      <c r="AB257" s="122"/>
      <c r="AC257" s="122"/>
      <c r="AD257" s="122"/>
      <c r="AE257" s="122"/>
      <c r="AF257" s="122"/>
      <c r="AG257" s="122"/>
      <c r="AH257" s="122"/>
      <c r="AI257" s="122"/>
      <c r="AJ257" s="38"/>
      <c r="AK257" s="122"/>
      <c r="AL257" s="122"/>
      <c r="AM257" s="122"/>
      <c r="AN257" s="122"/>
      <c r="AO257" s="38"/>
      <c r="AP257" s="38"/>
      <c r="AQ257" s="38"/>
      <c r="AR257" s="17"/>
      <c r="AS257" s="1"/>
      <c r="AT257" s="17"/>
      <c r="AU257" s="1"/>
      <c r="AV257" s="17"/>
      <c r="AW257" s="1"/>
      <c r="AX257" s="2"/>
      <c r="AY257" s="1"/>
      <c r="AZ257" s="1"/>
    </row>
    <row x14ac:dyDescent="0.25" r="258" customHeight="1" ht="15">
      <c r="A258" s="1"/>
      <c r="B258" s="1"/>
      <c r="C258" s="1"/>
      <c r="D258" s="1"/>
      <c r="E258" s="1"/>
      <c r="F258" s="1"/>
      <c r="G258" s="1"/>
      <c r="H258" s="1"/>
      <c r="I258" s="1"/>
      <c r="J258" s="1"/>
      <c r="K258" s="17"/>
      <c r="L258" s="1"/>
      <c r="M258" s="1"/>
      <c r="N258" s="2"/>
      <c r="O258" s="2"/>
      <c r="P258" s="17"/>
      <c r="Q258" s="1"/>
      <c r="R258" s="1"/>
      <c r="S258" s="1"/>
      <c r="T258" s="38"/>
      <c r="U258" s="38"/>
      <c r="V258" s="38"/>
      <c r="W258" s="38"/>
      <c r="X258" s="38"/>
      <c r="Y258" s="38"/>
      <c r="Z258" s="38"/>
      <c r="AA258" s="122"/>
      <c r="AB258" s="122"/>
      <c r="AC258" s="122"/>
      <c r="AD258" s="122"/>
      <c r="AE258" s="122"/>
      <c r="AF258" s="122"/>
      <c r="AG258" s="122"/>
      <c r="AH258" s="122"/>
      <c r="AI258" s="122"/>
      <c r="AJ258" s="38"/>
      <c r="AK258" s="122"/>
      <c r="AL258" s="122"/>
      <c r="AM258" s="122"/>
      <c r="AN258" s="122"/>
      <c r="AO258" s="38"/>
      <c r="AP258" s="38"/>
      <c r="AQ258" s="38"/>
      <c r="AR258" s="17"/>
      <c r="AS258" s="1"/>
      <c r="AT258" s="17"/>
      <c r="AU258" s="1"/>
      <c r="AV258" s="17"/>
      <c r="AW258" s="1"/>
      <c r="AX258" s="2"/>
      <c r="AY258" s="1"/>
      <c r="AZ258" s="1"/>
    </row>
    <row x14ac:dyDescent="0.25" r="259" customHeight="1" ht="15">
      <c r="A259" s="1"/>
      <c r="B259" s="1"/>
      <c r="C259" s="1"/>
      <c r="D259" s="1"/>
      <c r="E259" s="1"/>
      <c r="F259" s="1"/>
      <c r="G259" s="1"/>
      <c r="H259" s="1"/>
      <c r="I259" s="1"/>
      <c r="J259" s="1"/>
      <c r="K259" s="17"/>
      <c r="L259" s="1"/>
      <c r="M259" s="1"/>
      <c r="N259" s="2"/>
      <c r="O259" s="2"/>
      <c r="P259" s="17"/>
      <c r="Q259" s="1"/>
      <c r="R259" s="1"/>
      <c r="S259" s="1"/>
      <c r="T259" s="38"/>
      <c r="U259" s="38"/>
      <c r="V259" s="38"/>
      <c r="W259" s="38"/>
      <c r="X259" s="38"/>
      <c r="Y259" s="38"/>
      <c r="Z259" s="38"/>
      <c r="AA259" s="122"/>
      <c r="AB259" s="122"/>
      <c r="AC259" s="122"/>
      <c r="AD259" s="122"/>
      <c r="AE259" s="122"/>
      <c r="AF259" s="122"/>
      <c r="AG259" s="122"/>
      <c r="AH259" s="122"/>
      <c r="AI259" s="122"/>
      <c r="AJ259" s="38"/>
      <c r="AK259" s="122"/>
      <c r="AL259" s="122"/>
      <c r="AM259" s="122"/>
      <c r="AN259" s="122"/>
      <c r="AO259" s="38"/>
      <c r="AP259" s="38"/>
      <c r="AQ259" s="38"/>
      <c r="AR259" s="17"/>
      <c r="AS259" s="1"/>
      <c r="AT259" s="17"/>
      <c r="AU259" s="1"/>
      <c r="AV259" s="17"/>
      <c r="AW259" s="1"/>
      <c r="AX259" s="2"/>
      <c r="AY259" s="1"/>
      <c r="AZ259" s="1"/>
    </row>
    <row x14ac:dyDescent="0.25" r="260" customHeight="1" ht="15">
      <c r="A260" s="1"/>
      <c r="B260" s="1"/>
      <c r="C260" s="1"/>
      <c r="D260" s="1"/>
      <c r="E260" s="1"/>
      <c r="F260" s="1"/>
      <c r="G260" s="1"/>
      <c r="H260" s="1"/>
      <c r="I260" s="1"/>
      <c r="J260" s="1"/>
      <c r="K260" s="17"/>
      <c r="L260" s="1"/>
      <c r="M260" s="1"/>
      <c r="N260" s="2"/>
      <c r="O260" s="2"/>
      <c r="P260" s="17"/>
      <c r="Q260" s="1"/>
      <c r="R260" s="1"/>
      <c r="S260" s="1"/>
      <c r="T260" s="38"/>
      <c r="U260" s="38"/>
      <c r="V260" s="38"/>
      <c r="W260" s="38"/>
      <c r="X260" s="38"/>
      <c r="Y260" s="38"/>
      <c r="Z260" s="38"/>
      <c r="AA260" s="122"/>
      <c r="AB260" s="122"/>
      <c r="AC260" s="122"/>
      <c r="AD260" s="122"/>
      <c r="AE260" s="122"/>
      <c r="AF260" s="122"/>
      <c r="AG260" s="122"/>
      <c r="AH260" s="122"/>
      <c r="AI260" s="122"/>
      <c r="AJ260" s="38"/>
      <c r="AK260" s="122"/>
      <c r="AL260" s="122"/>
      <c r="AM260" s="122"/>
      <c r="AN260" s="122"/>
      <c r="AO260" s="38"/>
      <c r="AP260" s="38"/>
      <c r="AQ260" s="38"/>
      <c r="AR260" s="17"/>
      <c r="AS260" s="1"/>
      <c r="AT260" s="17"/>
      <c r="AU260" s="1"/>
      <c r="AV260" s="17"/>
      <c r="AW260" s="1"/>
      <c r="AX260" s="2"/>
      <c r="AY260" s="1"/>
      <c r="AZ260" s="1"/>
    </row>
    <row x14ac:dyDescent="0.25" r="261" customHeight="1" ht="15">
      <c r="A261" s="1"/>
      <c r="B261" s="1"/>
      <c r="C261" s="1"/>
      <c r="D261" s="1"/>
      <c r="E261" s="1"/>
      <c r="F261" s="1"/>
      <c r="G261" s="1"/>
      <c r="H261" s="1"/>
      <c r="I261" s="1"/>
      <c r="J261" s="1"/>
      <c r="K261" s="17"/>
      <c r="L261" s="1"/>
      <c r="M261" s="1"/>
      <c r="N261" s="2"/>
      <c r="O261" s="2"/>
      <c r="P261" s="17"/>
      <c r="Q261" s="1"/>
      <c r="R261" s="1"/>
      <c r="S261" s="1"/>
      <c r="T261" s="38"/>
      <c r="U261" s="38"/>
      <c r="V261" s="38"/>
      <c r="W261" s="38"/>
      <c r="X261" s="38"/>
      <c r="Y261" s="38"/>
      <c r="Z261" s="38"/>
      <c r="AA261" s="122"/>
      <c r="AB261" s="122"/>
      <c r="AC261" s="122"/>
      <c r="AD261" s="122"/>
      <c r="AE261" s="122"/>
      <c r="AF261" s="122"/>
      <c r="AG261" s="122"/>
      <c r="AH261" s="122"/>
      <c r="AI261" s="122"/>
      <c r="AJ261" s="38"/>
      <c r="AK261" s="122"/>
      <c r="AL261" s="122"/>
      <c r="AM261" s="122"/>
      <c r="AN261" s="122"/>
      <c r="AO261" s="38"/>
      <c r="AP261" s="38"/>
      <c r="AQ261" s="38"/>
      <c r="AR261" s="17"/>
      <c r="AS261" s="1"/>
      <c r="AT261" s="17"/>
      <c r="AU261" s="1"/>
      <c r="AV261" s="17"/>
      <c r="AW261" s="1"/>
      <c r="AX261" s="2"/>
      <c r="AY261" s="1"/>
      <c r="AZ261" s="1"/>
    </row>
    <row x14ac:dyDescent="0.25" r="262" customHeight="1" ht="15">
      <c r="A262" s="1"/>
      <c r="B262" s="1"/>
      <c r="C262" s="1"/>
      <c r="D262" s="1"/>
      <c r="E262" s="1"/>
      <c r="F262" s="1"/>
      <c r="G262" s="1"/>
      <c r="H262" s="1"/>
      <c r="I262" s="1"/>
      <c r="J262" s="1"/>
      <c r="K262" s="17"/>
      <c r="L262" s="1"/>
      <c r="M262" s="1"/>
      <c r="N262" s="2"/>
      <c r="O262" s="2"/>
      <c r="P262" s="17"/>
      <c r="Q262" s="1"/>
      <c r="R262" s="1"/>
      <c r="S262" s="1"/>
      <c r="T262" s="38"/>
      <c r="U262" s="38"/>
      <c r="V262" s="38"/>
      <c r="W262" s="38"/>
      <c r="X262" s="38"/>
      <c r="Y262" s="38"/>
      <c r="Z262" s="38"/>
      <c r="AA262" s="122"/>
      <c r="AB262" s="122"/>
      <c r="AC262" s="122"/>
      <c r="AD262" s="122"/>
      <c r="AE262" s="122"/>
      <c r="AF262" s="122"/>
      <c r="AG262" s="122"/>
      <c r="AH262" s="122"/>
      <c r="AI262" s="122"/>
      <c r="AJ262" s="38"/>
      <c r="AK262" s="122"/>
      <c r="AL262" s="122"/>
      <c r="AM262" s="122"/>
      <c r="AN262" s="122"/>
      <c r="AO262" s="38"/>
      <c r="AP262" s="38"/>
      <c r="AQ262" s="38"/>
      <c r="AR262" s="17"/>
      <c r="AS262" s="1"/>
      <c r="AT262" s="17"/>
      <c r="AU262" s="1"/>
      <c r="AV262" s="17"/>
      <c r="AW262" s="1"/>
      <c r="AX262" s="2"/>
      <c r="AY262" s="1"/>
      <c r="AZ262" s="1"/>
    </row>
    <row x14ac:dyDescent="0.25" r="263" customHeight="1" ht="15">
      <c r="A263" s="1"/>
      <c r="B263" s="1"/>
      <c r="C263" s="1"/>
      <c r="D263" s="1"/>
      <c r="E263" s="1"/>
      <c r="F263" s="1"/>
      <c r="G263" s="1"/>
      <c r="H263" s="1"/>
      <c r="I263" s="1"/>
      <c r="J263" s="1"/>
      <c r="K263" s="17"/>
      <c r="L263" s="1"/>
      <c r="M263" s="1"/>
      <c r="N263" s="2"/>
      <c r="O263" s="2"/>
      <c r="P263" s="17"/>
      <c r="Q263" s="1"/>
      <c r="R263" s="1"/>
      <c r="S263" s="1"/>
      <c r="T263" s="38"/>
      <c r="U263" s="38"/>
      <c r="V263" s="38"/>
      <c r="W263" s="38"/>
      <c r="X263" s="38"/>
      <c r="Y263" s="38"/>
      <c r="Z263" s="38"/>
      <c r="AA263" s="122"/>
      <c r="AB263" s="122"/>
      <c r="AC263" s="122"/>
      <c r="AD263" s="122"/>
      <c r="AE263" s="122"/>
      <c r="AF263" s="122"/>
      <c r="AG263" s="122"/>
      <c r="AH263" s="122"/>
      <c r="AI263" s="122"/>
      <c r="AJ263" s="38"/>
      <c r="AK263" s="122"/>
      <c r="AL263" s="122"/>
      <c r="AM263" s="122"/>
      <c r="AN263" s="122"/>
      <c r="AO263" s="38"/>
      <c r="AP263" s="38"/>
      <c r="AQ263" s="38"/>
      <c r="AR263" s="17"/>
      <c r="AS263" s="1"/>
      <c r="AT263" s="17"/>
      <c r="AU263" s="1"/>
      <c r="AV263" s="17"/>
      <c r="AW263" s="1"/>
      <c r="AX263" s="2"/>
      <c r="AY263" s="1"/>
      <c r="AZ263" s="1"/>
    </row>
    <row x14ac:dyDescent="0.25" r="264" customHeight="1" ht="15">
      <c r="A264" s="1"/>
      <c r="B264" s="1"/>
      <c r="C264" s="1"/>
      <c r="D264" s="1"/>
      <c r="E264" s="1"/>
      <c r="F264" s="1"/>
      <c r="G264" s="1"/>
      <c r="H264" s="1"/>
      <c r="I264" s="1"/>
      <c r="J264" s="1"/>
      <c r="K264" s="17"/>
      <c r="L264" s="1"/>
      <c r="M264" s="1"/>
      <c r="N264" s="2"/>
      <c r="O264" s="2"/>
      <c r="P264" s="17"/>
      <c r="Q264" s="1"/>
      <c r="R264" s="1"/>
      <c r="S264" s="1"/>
      <c r="T264" s="38"/>
      <c r="U264" s="38"/>
      <c r="V264" s="38"/>
      <c r="W264" s="38"/>
      <c r="X264" s="38"/>
      <c r="Y264" s="38"/>
      <c r="Z264" s="38"/>
      <c r="AA264" s="122"/>
      <c r="AB264" s="122"/>
      <c r="AC264" s="122"/>
      <c r="AD264" s="122"/>
      <c r="AE264" s="122"/>
      <c r="AF264" s="122"/>
      <c r="AG264" s="122"/>
      <c r="AH264" s="122"/>
      <c r="AI264" s="122"/>
      <c r="AJ264" s="38"/>
      <c r="AK264" s="122"/>
      <c r="AL264" s="122"/>
      <c r="AM264" s="122"/>
      <c r="AN264" s="122"/>
      <c r="AO264" s="38"/>
      <c r="AP264" s="38"/>
      <c r="AQ264" s="38"/>
      <c r="AR264" s="17"/>
      <c r="AS264" s="1"/>
      <c r="AT264" s="17"/>
      <c r="AU264" s="1"/>
      <c r="AV264" s="17"/>
      <c r="AW264" s="1"/>
      <c r="AX264" s="2"/>
      <c r="AY264" s="1"/>
      <c r="AZ264" s="1"/>
    </row>
    <row x14ac:dyDescent="0.25" r="265" customHeight="1" ht="15">
      <c r="A265" s="1"/>
      <c r="B265" s="1"/>
      <c r="C265" s="1"/>
      <c r="D265" s="1"/>
      <c r="E265" s="1"/>
      <c r="F265" s="1"/>
      <c r="G265" s="1"/>
      <c r="H265" s="1"/>
      <c r="I265" s="1"/>
      <c r="J265" s="1"/>
      <c r="K265" s="17"/>
      <c r="L265" s="1"/>
      <c r="M265" s="1"/>
      <c r="N265" s="2"/>
      <c r="O265" s="2"/>
      <c r="P265" s="17"/>
      <c r="Q265" s="1"/>
      <c r="R265" s="1"/>
      <c r="S265" s="1"/>
      <c r="T265" s="38"/>
      <c r="U265" s="38"/>
      <c r="V265" s="38"/>
      <c r="W265" s="38"/>
      <c r="X265" s="38"/>
      <c r="Y265" s="38"/>
      <c r="Z265" s="38"/>
      <c r="AA265" s="122"/>
      <c r="AB265" s="122"/>
      <c r="AC265" s="122"/>
      <c r="AD265" s="122"/>
      <c r="AE265" s="122"/>
      <c r="AF265" s="122"/>
      <c r="AG265" s="122"/>
      <c r="AH265" s="122"/>
      <c r="AI265" s="122"/>
      <c r="AJ265" s="38"/>
      <c r="AK265" s="122"/>
      <c r="AL265" s="122"/>
      <c r="AM265" s="122"/>
      <c r="AN265" s="122"/>
      <c r="AO265" s="38"/>
      <c r="AP265" s="38"/>
      <c r="AQ265" s="38"/>
      <c r="AR265" s="17"/>
      <c r="AS265" s="1"/>
      <c r="AT265" s="17"/>
      <c r="AU265" s="1"/>
      <c r="AV265" s="17"/>
      <c r="AW265" s="1"/>
      <c r="AX265" s="2"/>
      <c r="AY265" s="1"/>
      <c r="AZ265" s="1"/>
    </row>
    <row x14ac:dyDescent="0.25" r="266" customHeight="1" ht="15">
      <c r="A266" s="1"/>
      <c r="B266" s="1"/>
      <c r="C266" s="1"/>
      <c r="D266" s="1"/>
      <c r="E266" s="1"/>
      <c r="F266" s="1"/>
      <c r="G266" s="1"/>
      <c r="H266" s="1"/>
      <c r="I266" s="1"/>
      <c r="J266" s="1"/>
      <c r="K266" s="17"/>
      <c r="L266" s="1"/>
      <c r="M266" s="1"/>
      <c r="N266" s="2"/>
      <c r="O266" s="2"/>
      <c r="P266" s="17"/>
      <c r="Q266" s="1"/>
      <c r="R266" s="1"/>
      <c r="S266" s="1"/>
      <c r="T266" s="38"/>
      <c r="U266" s="38"/>
      <c r="V266" s="38"/>
      <c r="W266" s="38"/>
      <c r="X266" s="38"/>
      <c r="Y266" s="38"/>
      <c r="Z266" s="38"/>
      <c r="AA266" s="122"/>
      <c r="AB266" s="122"/>
      <c r="AC266" s="122"/>
      <c r="AD266" s="122"/>
      <c r="AE266" s="122"/>
      <c r="AF266" s="122"/>
      <c r="AG266" s="122"/>
      <c r="AH266" s="122"/>
      <c r="AI266" s="122"/>
      <c r="AJ266" s="38"/>
      <c r="AK266" s="122"/>
      <c r="AL266" s="122"/>
      <c r="AM266" s="122"/>
      <c r="AN266" s="122"/>
      <c r="AO266" s="38"/>
      <c r="AP266" s="38"/>
      <c r="AQ266" s="38"/>
      <c r="AR266" s="17"/>
      <c r="AS266" s="1"/>
      <c r="AT266" s="17"/>
      <c r="AU266" s="1"/>
      <c r="AV266" s="17"/>
      <c r="AW266" s="1"/>
      <c r="AX266" s="2"/>
      <c r="AY266" s="1"/>
      <c r="AZ266" s="1"/>
    </row>
    <row x14ac:dyDescent="0.25" r="267" customHeight="1" ht="15">
      <c r="A267" s="1"/>
      <c r="B267" s="1"/>
      <c r="C267" s="1"/>
      <c r="D267" s="1"/>
      <c r="E267" s="1"/>
      <c r="F267" s="1"/>
      <c r="G267" s="1"/>
      <c r="H267" s="1"/>
      <c r="I267" s="1"/>
      <c r="J267" s="1"/>
      <c r="K267" s="17"/>
      <c r="L267" s="1"/>
      <c r="M267" s="1"/>
      <c r="N267" s="2"/>
      <c r="O267" s="2"/>
      <c r="P267" s="17"/>
      <c r="Q267" s="1"/>
      <c r="R267" s="1"/>
      <c r="S267" s="1"/>
      <c r="T267" s="38"/>
      <c r="U267" s="38"/>
      <c r="V267" s="38"/>
      <c r="W267" s="38"/>
      <c r="X267" s="38"/>
      <c r="Y267" s="38"/>
      <c r="Z267" s="38"/>
      <c r="AA267" s="122"/>
      <c r="AB267" s="122"/>
      <c r="AC267" s="122"/>
      <c r="AD267" s="122"/>
      <c r="AE267" s="122"/>
      <c r="AF267" s="122"/>
      <c r="AG267" s="122"/>
      <c r="AH267" s="122"/>
      <c r="AI267" s="122"/>
      <c r="AJ267" s="38"/>
      <c r="AK267" s="122"/>
      <c r="AL267" s="122"/>
      <c r="AM267" s="122"/>
      <c r="AN267" s="122"/>
      <c r="AO267" s="38"/>
      <c r="AP267" s="38"/>
      <c r="AQ267" s="38"/>
      <c r="AR267" s="17"/>
      <c r="AS267" s="1"/>
      <c r="AT267" s="17"/>
      <c r="AU267" s="1"/>
      <c r="AV267" s="17"/>
      <c r="AW267" s="1"/>
      <c r="AX267" s="2"/>
      <c r="AY267" s="1"/>
      <c r="AZ267" s="1"/>
    </row>
    <row x14ac:dyDescent="0.25" r="268" customHeight="1" ht="15">
      <c r="A268" s="1"/>
      <c r="B268" s="1"/>
      <c r="C268" s="1"/>
      <c r="D268" s="1"/>
      <c r="E268" s="1"/>
      <c r="F268" s="1"/>
      <c r="G268" s="1"/>
      <c r="H268" s="1"/>
      <c r="I268" s="1"/>
      <c r="J268" s="1"/>
      <c r="K268" s="17"/>
      <c r="L268" s="1"/>
      <c r="M268" s="1"/>
      <c r="N268" s="2"/>
      <c r="O268" s="2"/>
      <c r="P268" s="17"/>
      <c r="Q268" s="1"/>
      <c r="R268" s="1"/>
      <c r="S268" s="1"/>
      <c r="T268" s="38"/>
      <c r="U268" s="38"/>
      <c r="V268" s="38"/>
      <c r="W268" s="38"/>
      <c r="X268" s="38"/>
      <c r="Y268" s="38"/>
      <c r="Z268" s="38"/>
      <c r="AA268" s="122"/>
      <c r="AB268" s="122"/>
      <c r="AC268" s="122"/>
      <c r="AD268" s="122"/>
      <c r="AE268" s="122"/>
      <c r="AF268" s="122"/>
      <c r="AG268" s="122"/>
      <c r="AH268" s="122"/>
      <c r="AI268" s="122"/>
      <c r="AJ268" s="38"/>
      <c r="AK268" s="122"/>
      <c r="AL268" s="122"/>
      <c r="AM268" s="122"/>
      <c r="AN268" s="122"/>
      <c r="AO268" s="38"/>
      <c r="AP268" s="38"/>
      <c r="AQ268" s="38"/>
      <c r="AR268" s="17"/>
      <c r="AS268" s="1"/>
      <c r="AT268" s="17"/>
      <c r="AU268" s="1"/>
      <c r="AV268" s="17"/>
      <c r="AW268" s="1"/>
      <c r="AX268" s="2"/>
      <c r="AY268" s="1"/>
      <c r="AZ268" s="1"/>
    </row>
    <row x14ac:dyDescent="0.25" r="269" customHeight="1" ht="15">
      <c r="A269" s="1"/>
      <c r="B269" s="1"/>
      <c r="C269" s="1"/>
      <c r="D269" s="1"/>
      <c r="E269" s="1"/>
      <c r="F269" s="1"/>
      <c r="G269" s="1"/>
      <c r="H269" s="1"/>
      <c r="I269" s="1"/>
      <c r="J269" s="1"/>
      <c r="K269" s="17"/>
      <c r="L269" s="1"/>
      <c r="M269" s="1"/>
      <c r="N269" s="2"/>
      <c r="O269" s="2"/>
      <c r="P269" s="17"/>
      <c r="Q269" s="1"/>
      <c r="R269" s="1"/>
      <c r="S269" s="1"/>
      <c r="T269" s="38"/>
      <c r="U269" s="38"/>
      <c r="V269" s="38"/>
      <c r="W269" s="38"/>
      <c r="X269" s="38"/>
      <c r="Y269" s="38"/>
      <c r="Z269" s="38"/>
      <c r="AA269" s="122"/>
      <c r="AB269" s="122"/>
      <c r="AC269" s="122"/>
      <c r="AD269" s="122"/>
      <c r="AE269" s="122"/>
      <c r="AF269" s="122"/>
      <c r="AG269" s="122"/>
      <c r="AH269" s="122"/>
      <c r="AI269" s="122"/>
      <c r="AJ269" s="38"/>
      <c r="AK269" s="122"/>
      <c r="AL269" s="122"/>
      <c r="AM269" s="122"/>
      <c r="AN269" s="122"/>
      <c r="AO269" s="38"/>
      <c r="AP269" s="38"/>
      <c r="AQ269" s="38"/>
      <c r="AR269" s="17"/>
      <c r="AS269" s="1"/>
      <c r="AT269" s="17"/>
      <c r="AU269" s="1"/>
      <c r="AV269" s="17"/>
      <c r="AW269" s="1"/>
      <c r="AX269" s="2"/>
      <c r="AY269" s="1"/>
      <c r="AZ269" s="1"/>
    </row>
    <row x14ac:dyDescent="0.25" r="270" customHeight="1" ht="15">
      <c r="A270" s="1"/>
      <c r="B270" s="1"/>
      <c r="C270" s="1"/>
      <c r="D270" s="1"/>
      <c r="E270" s="1"/>
      <c r="F270" s="1"/>
      <c r="G270" s="1"/>
      <c r="H270" s="1"/>
      <c r="I270" s="1"/>
      <c r="J270" s="1"/>
      <c r="K270" s="17"/>
      <c r="L270" s="1"/>
      <c r="M270" s="1"/>
      <c r="N270" s="2"/>
      <c r="O270" s="2"/>
      <c r="P270" s="17"/>
      <c r="Q270" s="1"/>
      <c r="R270" s="1"/>
      <c r="S270" s="1"/>
      <c r="T270" s="38"/>
      <c r="U270" s="38"/>
      <c r="V270" s="38"/>
      <c r="W270" s="38"/>
      <c r="X270" s="38"/>
      <c r="Y270" s="38"/>
      <c r="Z270" s="38"/>
      <c r="AA270" s="122"/>
      <c r="AB270" s="122"/>
      <c r="AC270" s="122"/>
      <c r="AD270" s="122"/>
      <c r="AE270" s="122"/>
      <c r="AF270" s="122"/>
      <c r="AG270" s="122"/>
      <c r="AH270" s="122"/>
      <c r="AI270" s="122"/>
      <c r="AJ270" s="38"/>
      <c r="AK270" s="122"/>
      <c r="AL270" s="122"/>
      <c r="AM270" s="122"/>
      <c r="AN270" s="122"/>
      <c r="AO270" s="38"/>
      <c r="AP270" s="38"/>
      <c r="AQ270" s="38"/>
      <c r="AR270" s="17"/>
      <c r="AS270" s="1"/>
      <c r="AT270" s="17"/>
      <c r="AU270" s="1"/>
      <c r="AV270" s="17"/>
      <c r="AW270" s="1"/>
      <c r="AX270" s="2"/>
      <c r="AY270" s="1"/>
      <c r="AZ270" s="1"/>
    </row>
    <row x14ac:dyDescent="0.25" r="271" customHeight="1" ht="15">
      <c r="A271" s="1"/>
      <c r="B271" s="1"/>
      <c r="C271" s="1"/>
      <c r="D271" s="1"/>
      <c r="E271" s="1"/>
      <c r="F271" s="1"/>
      <c r="G271" s="1"/>
      <c r="H271" s="1"/>
      <c r="I271" s="1"/>
      <c r="J271" s="1"/>
      <c r="K271" s="17"/>
      <c r="L271" s="1"/>
      <c r="M271" s="1"/>
      <c r="N271" s="2"/>
      <c r="O271" s="2"/>
      <c r="P271" s="17"/>
      <c r="Q271" s="1"/>
      <c r="R271" s="1"/>
      <c r="S271" s="1"/>
      <c r="T271" s="38"/>
      <c r="U271" s="38"/>
      <c r="V271" s="38"/>
      <c r="W271" s="38"/>
      <c r="X271" s="38"/>
      <c r="Y271" s="38"/>
      <c r="Z271" s="38"/>
      <c r="AA271" s="122"/>
      <c r="AB271" s="122"/>
      <c r="AC271" s="122"/>
      <c r="AD271" s="122"/>
      <c r="AE271" s="122"/>
      <c r="AF271" s="122"/>
      <c r="AG271" s="122"/>
      <c r="AH271" s="122"/>
      <c r="AI271" s="122"/>
      <c r="AJ271" s="38"/>
      <c r="AK271" s="122"/>
      <c r="AL271" s="122"/>
      <c r="AM271" s="122"/>
      <c r="AN271" s="122"/>
      <c r="AO271" s="38"/>
      <c r="AP271" s="38"/>
      <c r="AQ271" s="38"/>
      <c r="AR271" s="17"/>
      <c r="AS271" s="1"/>
      <c r="AT271" s="17"/>
      <c r="AU271" s="1"/>
      <c r="AV271" s="17"/>
      <c r="AW271" s="1"/>
      <c r="AX271" s="2"/>
      <c r="AY271" s="1"/>
      <c r="AZ271" s="1"/>
    </row>
    <row x14ac:dyDescent="0.25" r="272" customHeight="1" ht="15">
      <c r="A272" s="1"/>
      <c r="B272" s="1"/>
      <c r="C272" s="1"/>
      <c r="D272" s="1"/>
      <c r="E272" s="1"/>
      <c r="F272" s="1"/>
      <c r="G272" s="1"/>
      <c r="H272" s="1"/>
      <c r="I272" s="1"/>
      <c r="J272" s="1"/>
      <c r="K272" s="17"/>
      <c r="L272" s="1"/>
      <c r="M272" s="1"/>
      <c r="N272" s="2"/>
      <c r="O272" s="2"/>
      <c r="P272" s="17"/>
      <c r="Q272" s="1"/>
      <c r="R272" s="1"/>
      <c r="S272" s="1"/>
      <c r="T272" s="38"/>
      <c r="U272" s="38"/>
      <c r="V272" s="38"/>
      <c r="W272" s="38"/>
      <c r="X272" s="38"/>
      <c r="Y272" s="38"/>
      <c r="Z272" s="38"/>
      <c r="AA272" s="122"/>
      <c r="AB272" s="122"/>
      <c r="AC272" s="122"/>
      <c r="AD272" s="122"/>
      <c r="AE272" s="122"/>
      <c r="AF272" s="122"/>
      <c r="AG272" s="122"/>
      <c r="AH272" s="122"/>
      <c r="AI272" s="122"/>
      <c r="AJ272" s="38"/>
      <c r="AK272" s="122"/>
      <c r="AL272" s="122"/>
      <c r="AM272" s="122"/>
      <c r="AN272" s="122"/>
      <c r="AO272" s="38"/>
      <c r="AP272" s="38"/>
      <c r="AQ272" s="38"/>
      <c r="AR272" s="17"/>
      <c r="AS272" s="1"/>
      <c r="AT272" s="17"/>
      <c r="AU272" s="1"/>
      <c r="AV272" s="17"/>
      <c r="AW272" s="1"/>
      <c r="AX272" s="2"/>
      <c r="AY272" s="1"/>
      <c r="AZ272" s="1"/>
    </row>
    <row x14ac:dyDescent="0.25" r="273" customHeight="1" ht="15">
      <c r="A273" s="1"/>
      <c r="B273" s="1"/>
      <c r="C273" s="1"/>
      <c r="D273" s="1"/>
      <c r="E273" s="1"/>
      <c r="F273" s="1"/>
      <c r="G273" s="1"/>
      <c r="H273" s="1"/>
      <c r="I273" s="1"/>
      <c r="J273" s="1"/>
      <c r="K273" s="17"/>
      <c r="L273" s="1"/>
      <c r="M273" s="1"/>
      <c r="N273" s="2"/>
      <c r="O273" s="2"/>
      <c r="P273" s="17"/>
      <c r="Q273" s="1"/>
      <c r="R273" s="1"/>
      <c r="S273" s="1"/>
      <c r="T273" s="38"/>
      <c r="U273" s="38"/>
      <c r="V273" s="38"/>
      <c r="W273" s="38"/>
      <c r="X273" s="38"/>
      <c r="Y273" s="38"/>
      <c r="Z273" s="38"/>
      <c r="AA273" s="122"/>
      <c r="AB273" s="122"/>
      <c r="AC273" s="122"/>
      <c r="AD273" s="122"/>
      <c r="AE273" s="122"/>
      <c r="AF273" s="122"/>
      <c r="AG273" s="122"/>
      <c r="AH273" s="122"/>
      <c r="AI273" s="122"/>
      <c r="AJ273" s="38"/>
      <c r="AK273" s="122"/>
      <c r="AL273" s="122"/>
      <c r="AM273" s="122"/>
      <c r="AN273" s="122"/>
      <c r="AO273" s="38"/>
      <c r="AP273" s="38"/>
      <c r="AQ273" s="38"/>
      <c r="AR273" s="17"/>
      <c r="AS273" s="1"/>
      <c r="AT273" s="17"/>
      <c r="AU273" s="1"/>
      <c r="AV273" s="17"/>
      <c r="AW273" s="1"/>
      <c r="AX273" s="2"/>
      <c r="AY273" s="1"/>
      <c r="AZ273" s="1"/>
    </row>
    <row x14ac:dyDescent="0.25" r="274" customHeight="1" ht="15">
      <c r="A274" s="1"/>
      <c r="B274" s="1"/>
      <c r="C274" s="1"/>
      <c r="D274" s="1"/>
      <c r="E274" s="1"/>
      <c r="F274" s="1"/>
      <c r="G274" s="1"/>
      <c r="H274" s="1"/>
      <c r="I274" s="1"/>
      <c r="J274" s="1"/>
      <c r="K274" s="17"/>
      <c r="L274" s="1"/>
      <c r="M274" s="1"/>
      <c r="N274" s="2"/>
      <c r="O274" s="2"/>
      <c r="P274" s="17"/>
      <c r="Q274" s="1"/>
      <c r="R274" s="1"/>
      <c r="S274" s="1"/>
      <c r="T274" s="38"/>
      <c r="U274" s="38"/>
      <c r="V274" s="38"/>
      <c r="W274" s="38"/>
      <c r="X274" s="38"/>
      <c r="Y274" s="38"/>
      <c r="Z274" s="38"/>
      <c r="AA274" s="122"/>
      <c r="AB274" s="122"/>
      <c r="AC274" s="122"/>
      <c r="AD274" s="122"/>
      <c r="AE274" s="122"/>
      <c r="AF274" s="122"/>
      <c r="AG274" s="122"/>
      <c r="AH274" s="122"/>
      <c r="AI274" s="122"/>
      <c r="AJ274" s="38"/>
      <c r="AK274" s="122"/>
      <c r="AL274" s="122"/>
      <c r="AM274" s="122"/>
      <c r="AN274" s="122"/>
      <c r="AO274" s="38"/>
      <c r="AP274" s="38"/>
      <c r="AQ274" s="38"/>
      <c r="AR274" s="17"/>
      <c r="AS274" s="1"/>
      <c r="AT274" s="17"/>
      <c r="AU274" s="1"/>
      <c r="AV274" s="17"/>
      <c r="AW274" s="1"/>
      <c r="AX274" s="2"/>
      <c r="AY274" s="1"/>
      <c r="AZ274" s="1"/>
    </row>
    <row x14ac:dyDescent="0.25" r="275" customHeight="1" ht="15">
      <c r="A275" s="1"/>
      <c r="B275" s="1"/>
      <c r="C275" s="1"/>
      <c r="D275" s="1"/>
      <c r="E275" s="1"/>
      <c r="F275" s="1"/>
      <c r="G275" s="1"/>
      <c r="H275" s="1"/>
      <c r="I275" s="1"/>
      <c r="J275" s="1"/>
      <c r="K275" s="17"/>
      <c r="L275" s="1"/>
      <c r="M275" s="1"/>
      <c r="N275" s="2"/>
      <c r="O275" s="2"/>
      <c r="P275" s="17"/>
      <c r="Q275" s="1"/>
      <c r="R275" s="1"/>
      <c r="S275" s="1"/>
      <c r="T275" s="38"/>
      <c r="U275" s="38"/>
      <c r="V275" s="38"/>
      <c r="W275" s="38"/>
      <c r="X275" s="38"/>
      <c r="Y275" s="38"/>
      <c r="Z275" s="38"/>
      <c r="AA275" s="122"/>
      <c r="AB275" s="122"/>
      <c r="AC275" s="122"/>
      <c r="AD275" s="122"/>
      <c r="AE275" s="122"/>
      <c r="AF275" s="122"/>
      <c r="AG275" s="122"/>
      <c r="AH275" s="122"/>
      <c r="AI275" s="122"/>
      <c r="AJ275" s="38"/>
      <c r="AK275" s="122"/>
      <c r="AL275" s="122"/>
      <c r="AM275" s="122"/>
      <c r="AN275" s="122"/>
      <c r="AO275" s="38"/>
      <c r="AP275" s="38"/>
      <c r="AQ275" s="38"/>
      <c r="AR275" s="17"/>
      <c r="AS275" s="1"/>
      <c r="AT275" s="17"/>
      <c r="AU275" s="1"/>
      <c r="AV275" s="17"/>
      <c r="AW275" s="1"/>
      <c r="AX275" s="2"/>
      <c r="AY275" s="1"/>
      <c r="AZ275" s="1"/>
    </row>
    <row x14ac:dyDescent="0.25" r="276" customHeight="1" ht="15">
      <c r="A276" s="1"/>
      <c r="B276" s="1"/>
      <c r="C276" s="1"/>
      <c r="D276" s="1"/>
      <c r="E276" s="1"/>
      <c r="F276" s="1"/>
      <c r="G276" s="1"/>
      <c r="H276" s="1"/>
      <c r="I276" s="1"/>
      <c r="J276" s="1"/>
      <c r="K276" s="17"/>
      <c r="L276" s="1"/>
      <c r="M276" s="1"/>
      <c r="N276" s="2"/>
      <c r="O276" s="2"/>
      <c r="P276" s="17"/>
      <c r="Q276" s="1"/>
      <c r="R276" s="1"/>
      <c r="S276" s="1"/>
      <c r="T276" s="38"/>
      <c r="U276" s="38"/>
      <c r="V276" s="38"/>
      <c r="W276" s="38"/>
      <c r="X276" s="38"/>
      <c r="Y276" s="38"/>
      <c r="Z276" s="38"/>
      <c r="AA276" s="122"/>
      <c r="AB276" s="122"/>
      <c r="AC276" s="122"/>
      <c r="AD276" s="122"/>
      <c r="AE276" s="122"/>
      <c r="AF276" s="122"/>
      <c r="AG276" s="122"/>
      <c r="AH276" s="122"/>
      <c r="AI276" s="122"/>
      <c r="AJ276" s="38"/>
      <c r="AK276" s="122"/>
      <c r="AL276" s="122"/>
      <c r="AM276" s="122"/>
      <c r="AN276" s="122"/>
      <c r="AO276" s="38"/>
      <c r="AP276" s="38"/>
      <c r="AQ276" s="38"/>
      <c r="AR276" s="17"/>
      <c r="AS276" s="1"/>
      <c r="AT276" s="17"/>
      <c r="AU276" s="1"/>
      <c r="AV276" s="17"/>
      <c r="AW276" s="1"/>
      <c r="AX276" s="2"/>
      <c r="AY276" s="1"/>
      <c r="AZ276" s="1"/>
    </row>
    <row x14ac:dyDescent="0.25" r="277" customHeight="1" ht="15">
      <c r="A277" s="1"/>
      <c r="B277" s="1"/>
      <c r="C277" s="1"/>
      <c r="D277" s="1"/>
      <c r="E277" s="1"/>
      <c r="F277" s="1"/>
      <c r="G277" s="1"/>
      <c r="H277" s="1"/>
      <c r="I277" s="1"/>
      <c r="J277" s="1"/>
      <c r="K277" s="17"/>
      <c r="L277" s="1"/>
      <c r="M277" s="1"/>
      <c r="N277" s="2"/>
      <c r="O277" s="2"/>
      <c r="P277" s="17"/>
      <c r="Q277" s="1"/>
      <c r="R277" s="1"/>
      <c r="S277" s="1"/>
      <c r="T277" s="38"/>
      <c r="U277" s="38"/>
      <c r="V277" s="38"/>
      <c r="W277" s="38"/>
      <c r="X277" s="38"/>
      <c r="Y277" s="38"/>
      <c r="Z277" s="38"/>
      <c r="AA277" s="122"/>
      <c r="AB277" s="122"/>
      <c r="AC277" s="122"/>
      <c r="AD277" s="122"/>
      <c r="AE277" s="122"/>
      <c r="AF277" s="122"/>
      <c r="AG277" s="122"/>
      <c r="AH277" s="122"/>
      <c r="AI277" s="122"/>
      <c r="AJ277" s="38"/>
      <c r="AK277" s="122"/>
      <c r="AL277" s="122"/>
      <c r="AM277" s="122"/>
      <c r="AN277" s="122"/>
      <c r="AO277" s="38"/>
      <c r="AP277" s="38"/>
      <c r="AQ277" s="38"/>
      <c r="AR277" s="17"/>
      <c r="AS277" s="1"/>
      <c r="AT277" s="17"/>
      <c r="AU277" s="1"/>
      <c r="AV277" s="17"/>
      <c r="AW277" s="1"/>
      <c r="AX277" s="2"/>
      <c r="AY277" s="1"/>
      <c r="AZ277" s="1"/>
    </row>
    <row x14ac:dyDescent="0.25" r="278" customHeight="1" ht="15">
      <c r="A278" s="1"/>
      <c r="B278" s="1"/>
      <c r="C278" s="1"/>
      <c r="D278" s="1"/>
      <c r="E278" s="1"/>
      <c r="F278" s="1"/>
      <c r="G278" s="1"/>
      <c r="H278" s="1"/>
      <c r="I278" s="1"/>
      <c r="J278" s="1"/>
      <c r="K278" s="17"/>
      <c r="L278" s="1"/>
      <c r="M278" s="1"/>
      <c r="N278" s="2"/>
      <c r="O278" s="2"/>
      <c r="P278" s="17"/>
      <c r="Q278" s="1"/>
      <c r="R278" s="1"/>
      <c r="S278" s="1"/>
      <c r="T278" s="38"/>
      <c r="U278" s="38"/>
      <c r="V278" s="38"/>
      <c r="W278" s="38"/>
      <c r="X278" s="38"/>
      <c r="Y278" s="38"/>
      <c r="Z278" s="38"/>
      <c r="AA278" s="122"/>
      <c r="AB278" s="122"/>
      <c r="AC278" s="122"/>
      <c r="AD278" s="122"/>
      <c r="AE278" s="122"/>
      <c r="AF278" s="122"/>
      <c r="AG278" s="122"/>
      <c r="AH278" s="122"/>
      <c r="AI278" s="122"/>
      <c r="AJ278" s="38"/>
      <c r="AK278" s="122"/>
      <c r="AL278" s="122"/>
      <c r="AM278" s="122"/>
      <c r="AN278" s="122"/>
      <c r="AO278" s="38"/>
      <c r="AP278" s="38"/>
      <c r="AQ278" s="38"/>
      <c r="AR278" s="17"/>
      <c r="AS278" s="1"/>
      <c r="AT278" s="17"/>
      <c r="AU278" s="1"/>
      <c r="AV278" s="17"/>
      <c r="AW278" s="1"/>
      <c r="AX278" s="2"/>
      <c r="AY278" s="1"/>
      <c r="AZ278" s="1"/>
    </row>
    <row x14ac:dyDescent="0.25" r="279" customHeight="1" ht="15">
      <c r="A279" s="1"/>
      <c r="B279" s="1"/>
      <c r="C279" s="1"/>
      <c r="D279" s="1"/>
      <c r="E279" s="1"/>
      <c r="F279" s="1"/>
      <c r="G279" s="1"/>
      <c r="H279" s="1"/>
      <c r="I279" s="1"/>
      <c r="J279" s="1"/>
      <c r="K279" s="17"/>
      <c r="L279" s="1"/>
      <c r="M279" s="1"/>
      <c r="N279" s="2"/>
      <c r="O279" s="2"/>
      <c r="P279" s="17"/>
      <c r="Q279" s="1"/>
      <c r="R279" s="1"/>
      <c r="S279" s="1"/>
      <c r="T279" s="38"/>
      <c r="U279" s="38"/>
      <c r="V279" s="38"/>
      <c r="W279" s="38"/>
      <c r="X279" s="38"/>
      <c r="Y279" s="38"/>
      <c r="Z279" s="38"/>
      <c r="AA279" s="122"/>
      <c r="AB279" s="122"/>
      <c r="AC279" s="122"/>
      <c r="AD279" s="122"/>
      <c r="AE279" s="122"/>
      <c r="AF279" s="122"/>
      <c r="AG279" s="122"/>
      <c r="AH279" s="122"/>
      <c r="AI279" s="122"/>
      <c r="AJ279" s="38"/>
      <c r="AK279" s="122"/>
      <c r="AL279" s="122"/>
      <c r="AM279" s="122"/>
      <c r="AN279" s="122"/>
      <c r="AO279" s="38"/>
      <c r="AP279" s="38"/>
      <c r="AQ279" s="38"/>
      <c r="AR279" s="17"/>
      <c r="AS279" s="1"/>
      <c r="AT279" s="17"/>
      <c r="AU279" s="1"/>
      <c r="AV279" s="17"/>
      <c r="AW279" s="1"/>
      <c r="AX279" s="2"/>
      <c r="AY279" s="1"/>
      <c r="AZ279" s="1"/>
    </row>
    <row x14ac:dyDescent="0.25" r="280" customHeight="1" ht="15">
      <c r="A280" s="1"/>
      <c r="B280" s="1"/>
      <c r="C280" s="1"/>
      <c r="D280" s="1"/>
      <c r="E280" s="1"/>
      <c r="F280" s="1"/>
      <c r="G280" s="1"/>
      <c r="H280" s="1"/>
      <c r="I280" s="1"/>
      <c r="J280" s="1"/>
      <c r="K280" s="17"/>
      <c r="L280" s="1"/>
      <c r="M280" s="1"/>
      <c r="N280" s="2"/>
      <c r="O280" s="2"/>
      <c r="P280" s="17"/>
      <c r="Q280" s="1"/>
      <c r="R280" s="1"/>
      <c r="S280" s="1"/>
      <c r="T280" s="38"/>
      <c r="U280" s="38"/>
      <c r="V280" s="38"/>
      <c r="W280" s="38"/>
      <c r="X280" s="38"/>
      <c r="Y280" s="38"/>
      <c r="Z280" s="38"/>
      <c r="AA280" s="122"/>
      <c r="AB280" s="122"/>
      <c r="AC280" s="122"/>
      <c r="AD280" s="122"/>
      <c r="AE280" s="122"/>
      <c r="AF280" s="122"/>
      <c r="AG280" s="122"/>
      <c r="AH280" s="122"/>
      <c r="AI280" s="122"/>
      <c r="AJ280" s="38"/>
      <c r="AK280" s="122"/>
      <c r="AL280" s="122"/>
      <c r="AM280" s="122"/>
      <c r="AN280" s="122"/>
      <c r="AO280" s="38"/>
      <c r="AP280" s="38"/>
      <c r="AQ280" s="38"/>
      <c r="AR280" s="17"/>
      <c r="AS280" s="1"/>
      <c r="AT280" s="17"/>
      <c r="AU280" s="1"/>
      <c r="AV280" s="17"/>
      <c r="AW280" s="1"/>
      <c r="AX280" s="2"/>
      <c r="AY280" s="1"/>
      <c r="AZ280" s="1"/>
    </row>
    <row x14ac:dyDescent="0.25" r="281" customHeight="1" ht="15">
      <c r="A281" s="1"/>
      <c r="B281" s="1"/>
      <c r="C281" s="1"/>
      <c r="D281" s="1"/>
      <c r="E281" s="1"/>
      <c r="F281" s="1"/>
      <c r="G281" s="1"/>
      <c r="H281" s="1"/>
      <c r="I281" s="1"/>
      <c r="J281" s="1"/>
      <c r="K281" s="17"/>
      <c r="L281" s="1"/>
      <c r="M281" s="1"/>
      <c r="N281" s="2"/>
      <c r="O281" s="2"/>
      <c r="P281" s="17"/>
      <c r="Q281" s="1"/>
      <c r="R281" s="1"/>
      <c r="S281" s="1"/>
      <c r="T281" s="38"/>
      <c r="U281" s="38"/>
      <c r="V281" s="38"/>
      <c r="W281" s="38"/>
      <c r="X281" s="38"/>
      <c r="Y281" s="38"/>
      <c r="Z281" s="38"/>
      <c r="AA281" s="122"/>
      <c r="AB281" s="122"/>
      <c r="AC281" s="122"/>
      <c r="AD281" s="122"/>
      <c r="AE281" s="122"/>
      <c r="AF281" s="122"/>
      <c r="AG281" s="122"/>
      <c r="AH281" s="122"/>
      <c r="AI281" s="122"/>
      <c r="AJ281" s="38"/>
      <c r="AK281" s="122"/>
      <c r="AL281" s="122"/>
      <c r="AM281" s="122"/>
      <c r="AN281" s="122"/>
      <c r="AO281" s="38"/>
      <c r="AP281" s="38"/>
      <c r="AQ281" s="38"/>
      <c r="AR281" s="17"/>
      <c r="AS281" s="1"/>
      <c r="AT281" s="17"/>
      <c r="AU281" s="1"/>
      <c r="AV281" s="17"/>
      <c r="AW281" s="1"/>
      <c r="AX281" s="2"/>
      <c r="AY281" s="1"/>
      <c r="AZ281" s="1"/>
    </row>
    <row x14ac:dyDescent="0.25" r="282" customHeight="1" ht="15">
      <c r="A282" s="1"/>
      <c r="B282" s="1"/>
      <c r="C282" s="1"/>
      <c r="D282" s="1"/>
      <c r="E282" s="1"/>
      <c r="F282" s="1"/>
      <c r="G282" s="1"/>
      <c r="H282" s="1"/>
      <c r="I282" s="1"/>
      <c r="J282" s="1"/>
      <c r="K282" s="17"/>
      <c r="L282" s="1"/>
      <c r="M282" s="1"/>
      <c r="N282" s="2"/>
      <c r="O282" s="2"/>
      <c r="P282" s="17"/>
      <c r="Q282" s="1"/>
      <c r="R282" s="1"/>
      <c r="S282" s="1"/>
      <c r="T282" s="38"/>
      <c r="U282" s="38"/>
      <c r="V282" s="38"/>
      <c r="W282" s="38"/>
      <c r="X282" s="38"/>
      <c r="Y282" s="38"/>
      <c r="Z282" s="38"/>
      <c r="AA282" s="122"/>
      <c r="AB282" s="122"/>
      <c r="AC282" s="122"/>
      <c r="AD282" s="122"/>
      <c r="AE282" s="122"/>
      <c r="AF282" s="122"/>
      <c r="AG282" s="122"/>
      <c r="AH282" s="122"/>
      <c r="AI282" s="122"/>
      <c r="AJ282" s="38"/>
      <c r="AK282" s="122"/>
      <c r="AL282" s="122"/>
      <c r="AM282" s="122"/>
      <c r="AN282" s="122"/>
      <c r="AO282" s="38"/>
      <c r="AP282" s="38"/>
      <c r="AQ282" s="38"/>
      <c r="AR282" s="17"/>
      <c r="AS282" s="1"/>
      <c r="AT282" s="17"/>
      <c r="AU282" s="1"/>
      <c r="AV282" s="17"/>
      <c r="AW282" s="1"/>
      <c r="AX282" s="2"/>
      <c r="AY282" s="1"/>
      <c r="AZ282" s="1"/>
    </row>
    <row x14ac:dyDescent="0.25" r="283" customHeight="1" ht="15">
      <c r="A283" s="1"/>
      <c r="B283" s="1"/>
      <c r="C283" s="1"/>
      <c r="D283" s="1"/>
      <c r="E283" s="1"/>
      <c r="F283" s="1"/>
      <c r="G283" s="1"/>
      <c r="H283" s="1"/>
      <c r="I283" s="1"/>
      <c r="J283" s="1"/>
      <c r="K283" s="17"/>
      <c r="L283" s="1"/>
      <c r="M283" s="1"/>
      <c r="N283" s="2"/>
      <c r="O283" s="2"/>
      <c r="P283" s="17"/>
      <c r="Q283" s="1"/>
      <c r="R283" s="1"/>
      <c r="S283" s="1"/>
      <c r="T283" s="38"/>
      <c r="U283" s="38"/>
      <c r="V283" s="38"/>
      <c r="W283" s="38"/>
      <c r="X283" s="38"/>
      <c r="Y283" s="38"/>
      <c r="Z283" s="38"/>
      <c r="AA283" s="122"/>
      <c r="AB283" s="122"/>
      <c r="AC283" s="122"/>
      <c r="AD283" s="122"/>
      <c r="AE283" s="122"/>
      <c r="AF283" s="122"/>
      <c r="AG283" s="122"/>
      <c r="AH283" s="122"/>
      <c r="AI283" s="122"/>
      <c r="AJ283" s="38"/>
      <c r="AK283" s="122"/>
      <c r="AL283" s="122"/>
      <c r="AM283" s="122"/>
      <c r="AN283" s="122"/>
      <c r="AO283" s="38"/>
      <c r="AP283" s="38"/>
      <c r="AQ283" s="38"/>
      <c r="AR283" s="17"/>
      <c r="AS283" s="1"/>
      <c r="AT283" s="17"/>
      <c r="AU283" s="1"/>
      <c r="AV283" s="17"/>
      <c r="AW283" s="1"/>
      <c r="AX283" s="2"/>
      <c r="AY283" s="1"/>
      <c r="AZ283" s="1"/>
    </row>
    <row x14ac:dyDescent="0.25" r="284" customHeight="1" ht="15">
      <c r="A284" s="1"/>
      <c r="B284" s="1"/>
      <c r="C284" s="1"/>
      <c r="D284" s="1"/>
      <c r="E284" s="1"/>
      <c r="F284" s="1"/>
      <c r="G284" s="1"/>
      <c r="H284" s="1"/>
      <c r="I284" s="1"/>
      <c r="J284" s="1"/>
      <c r="K284" s="17"/>
      <c r="L284" s="1"/>
      <c r="M284" s="1"/>
      <c r="N284" s="2"/>
      <c r="O284" s="2"/>
      <c r="P284" s="17"/>
      <c r="Q284" s="1"/>
      <c r="R284" s="1"/>
      <c r="S284" s="1"/>
      <c r="T284" s="38"/>
      <c r="U284" s="38"/>
      <c r="V284" s="38"/>
      <c r="W284" s="38"/>
      <c r="X284" s="38"/>
      <c r="Y284" s="38"/>
      <c r="Z284" s="38"/>
      <c r="AA284" s="122"/>
      <c r="AB284" s="122"/>
      <c r="AC284" s="122"/>
      <c r="AD284" s="122"/>
      <c r="AE284" s="122"/>
      <c r="AF284" s="122"/>
      <c r="AG284" s="122"/>
      <c r="AH284" s="122"/>
      <c r="AI284" s="122"/>
      <c r="AJ284" s="38"/>
      <c r="AK284" s="122"/>
      <c r="AL284" s="122"/>
      <c r="AM284" s="122"/>
      <c r="AN284" s="122"/>
      <c r="AO284" s="38"/>
      <c r="AP284" s="38"/>
      <c r="AQ284" s="38"/>
      <c r="AR284" s="17"/>
      <c r="AS284" s="1"/>
      <c r="AT284" s="17"/>
      <c r="AU284" s="1"/>
      <c r="AV284" s="17"/>
      <c r="AW284" s="1"/>
      <c r="AX284" s="2"/>
      <c r="AY284" s="1"/>
      <c r="AZ284" s="1"/>
    </row>
    <row x14ac:dyDescent="0.25" r="285" customHeight="1" ht="15">
      <c r="A285" s="1"/>
      <c r="B285" s="1"/>
      <c r="C285" s="1"/>
      <c r="D285" s="1"/>
      <c r="E285" s="1"/>
      <c r="F285" s="1"/>
      <c r="G285" s="1"/>
      <c r="H285" s="1"/>
      <c r="I285" s="1"/>
      <c r="J285" s="1"/>
      <c r="K285" s="17"/>
      <c r="L285" s="1"/>
      <c r="M285" s="1"/>
      <c r="N285" s="2"/>
      <c r="O285" s="2"/>
      <c r="P285" s="17"/>
      <c r="Q285" s="1"/>
      <c r="R285" s="1"/>
      <c r="S285" s="1"/>
      <c r="T285" s="38"/>
      <c r="U285" s="38"/>
      <c r="V285" s="38"/>
      <c r="W285" s="38"/>
      <c r="X285" s="38"/>
      <c r="Y285" s="38"/>
      <c r="Z285" s="38"/>
      <c r="AA285" s="122"/>
      <c r="AB285" s="122"/>
      <c r="AC285" s="122"/>
      <c r="AD285" s="122"/>
      <c r="AE285" s="122"/>
      <c r="AF285" s="122"/>
      <c r="AG285" s="122"/>
      <c r="AH285" s="122"/>
      <c r="AI285" s="122"/>
      <c r="AJ285" s="38"/>
      <c r="AK285" s="122"/>
      <c r="AL285" s="122"/>
      <c r="AM285" s="122"/>
      <c r="AN285" s="122"/>
      <c r="AO285" s="38"/>
      <c r="AP285" s="38"/>
      <c r="AQ285" s="38"/>
      <c r="AR285" s="17"/>
      <c r="AS285" s="1"/>
      <c r="AT285" s="17"/>
      <c r="AU285" s="1"/>
      <c r="AV285" s="17"/>
      <c r="AW285" s="1"/>
      <c r="AX285" s="2"/>
      <c r="AY285" s="1"/>
      <c r="AZ285" s="1"/>
    </row>
    <row x14ac:dyDescent="0.25" r="286" customHeight="1" ht="15">
      <c r="A286" s="1"/>
      <c r="B286" s="1"/>
      <c r="C286" s="1"/>
      <c r="D286" s="1"/>
      <c r="E286" s="1"/>
      <c r="F286" s="1"/>
      <c r="G286" s="1"/>
      <c r="H286" s="1"/>
      <c r="I286" s="1"/>
      <c r="J286" s="1"/>
      <c r="K286" s="17"/>
      <c r="L286" s="1"/>
      <c r="M286" s="1"/>
      <c r="N286" s="2"/>
      <c r="O286" s="2"/>
      <c r="P286" s="17"/>
      <c r="Q286" s="1"/>
      <c r="R286" s="1"/>
      <c r="S286" s="1"/>
      <c r="T286" s="38"/>
      <c r="U286" s="38"/>
      <c r="V286" s="38"/>
      <c r="W286" s="38"/>
      <c r="X286" s="38"/>
      <c r="Y286" s="38"/>
      <c r="Z286" s="38"/>
      <c r="AA286" s="122"/>
      <c r="AB286" s="122"/>
      <c r="AC286" s="122"/>
      <c r="AD286" s="122"/>
      <c r="AE286" s="122"/>
      <c r="AF286" s="122"/>
      <c r="AG286" s="122"/>
      <c r="AH286" s="122"/>
      <c r="AI286" s="122"/>
      <c r="AJ286" s="38"/>
      <c r="AK286" s="122"/>
      <c r="AL286" s="122"/>
      <c r="AM286" s="122"/>
      <c r="AN286" s="122"/>
      <c r="AO286" s="38"/>
      <c r="AP286" s="38"/>
      <c r="AQ286" s="38"/>
      <c r="AR286" s="17"/>
      <c r="AS286" s="1"/>
      <c r="AT286" s="17"/>
      <c r="AU286" s="1"/>
      <c r="AV286" s="17"/>
      <c r="AW286" s="1"/>
      <c r="AX286" s="2"/>
      <c r="AY286" s="1"/>
      <c r="AZ286" s="1"/>
    </row>
    <row x14ac:dyDescent="0.25" r="287" customHeight="1" ht="15">
      <c r="A287" s="1"/>
      <c r="B287" s="1"/>
      <c r="C287" s="1"/>
      <c r="D287" s="1"/>
      <c r="E287" s="1"/>
      <c r="F287" s="1"/>
      <c r="G287" s="1"/>
      <c r="H287" s="1"/>
      <c r="I287" s="1"/>
      <c r="J287" s="1"/>
      <c r="K287" s="17"/>
      <c r="L287" s="1"/>
      <c r="M287" s="1"/>
      <c r="N287" s="2"/>
      <c r="O287" s="2"/>
      <c r="P287" s="17"/>
      <c r="Q287" s="1"/>
      <c r="R287" s="1"/>
      <c r="S287" s="1"/>
      <c r="T287" s="38"/>
      <c r="U287" s="38"/>
      <c r="V287" s="38"/>
      <c r="W287" s="38"/>
      <c r="X287" s="38"/>
      <c r="Y287" s="38"/>
      <c r="Z287" s="38"/>
      <c r="AA287" s="122"/>
      <c r="AB287" s="122"/>
      <c r="AC287" s="122"/>
      <c r="AD287" s="122"/>
      <c r="AE287" s="122"/>
      <c r="AF287" s="122"/>
      <c r="AG287" s="122"/>
      <c r="AH287" s="122"/>
      <c r="AI287" s="122"/>
      <c r="AJ287" s="38"/>
      <c r="AK287" s="122"/>
      <c r="AL287" s="122"/>
      <c r="AM287" s="122"/>
      <c r="AN287" s="122"/>
      <c r="AO287" s="38"/>
      <c r="AP287" s="38"/>
      <c r="AQ287" s="38"/>
      <c r="AR287" s="17"/>
      <c r="AS287" s="1"/>
      <c r="AT287" s="17"/>
      <c r="AU287" s="1"/>
      <c r="AV287" s="17"/>
      <c r="AW287" s="1"/>
      <c r="AX287" s="2"/>
      <c r="AY287" s="1"/>
      <c r="AZ287" s="1"/>
    </row>
    <row x14ac:dyDescent="0.25" r="288" customHeight="1" ht="15">
      <c r="A288" s="1"/>
      <c r="B288" s="1"/>
      <c r="C288" s="1"/>
      <c r="D288" s="1"/>
      <c r="E288" s="1"/>
      <c r="F288" s="1"/>
      <c r="G288" s="1"/>
      <c r="H288" s="1"/>
      <c r="I288" s="1"/>
      <c r="J288" s="1"/>
      <c r="K288" s="17"/>
      <c r="L288" s="1"/>
      <c r="M288" s="1"/>
      <c r="N288" s="2"/>
      <c r="O288" s="2"/>
      <c r="P288" s="17"/>
      <c r="Q288" s="1"/>
      <c r="R288" s="1"/>
      <c r="S288" s="1"/>
      <c r="T288" s="38"/>
      <c r="U288" s="38"/>
      <c r="V288" s="38"/>
      <c r="W288" s="38"/>
      <c r="X288" s="38"/>
      <c r="Y288" s="38"/>
      <c r="Z288" s="38"/>
      <c r="AA288" s="122"/>
      <c r="AB288" s="122"/>
      <c r="AC288" s="122"/>
      <c r="AD288" s="122"/>
      <c r="AE288" s="122"/>
      <c r="AF288" s="122"/>
      <c r="AG288" s="122"/>
      <c r="AH288" s="122"/>
      <c r="AI288" s="122"/>
      <c r="AJ288" s="38"/>
      <c r="AK288" s="122"/>
      <c r="AL288" s="122"/>
      <c r="AM288" s="122"/>
      <c r="AN288" s="122"/>
      <c r="AO288" s="38"/>
      <c r="AP288" s="38"/>
      <c r="AQ288" s="38"/>
      <c r="AR288" s="17"/>
      <c r="AS288" s="1"/>
      <c r="AT288" s="17"/>
      <c r="AU288" s="1"/>
      <c r="AV288" s="17"/>
      <c r="AW288" s="1"/>
      <c r="AX288" s="2"/>
      <c r="AY288" s="1"/>
      <c r="AZ288" s="1"/>
    </row>
    <row x14ac:dyDescent="0.25" r="289" customHeight="1" ht="15">
      <c r="A289" s="1"/>
      <c r="B289" s="1"/>
      <c r="C289" s="1"/>
      <c r="D289" s="1"/>
      <c r="E289" s="1"/>
      <c r="F289" s="1"/>
      <c r="G289" s="1"/>
      <c r="H289" s="1"/>
      <c r="I289" s="1"/>
      <c r="J289" s="1"/>
      <c r="K289" s="17"/>
      <c r="L289" s="1"/>
      <c r="M289" s="1"/>
      <c r="N289" s="2"/>
      <c r="O289" s="2"/>
      <c r="P289" s="17"/>
      <c r="Q289" s="1"/>
      <c r="R289" s="1"/>
      <c r="S289" s="1"/>
      <c r="T289" s="38"/>
      <c r="U289" s="38"/>
      <c r="V289" s="38"/>
      <c r="W289" s="38"/>
      <c r="X289" s="38"/>
      <c r="Y289" s="38"/>
      <c r="Z289" s="38"/>
      <c r="AA289" s="122"/>
      <c r="AB289" s="122"/>
      <c r="AC289" s="122"/>
      <c r="AD289" s="122"/>
      <c r="AE289" s="122"/>
      <c r="AF289" s="122"/>
      <c r="AG289" s="122"/>
      <c r="AH289" s="122"/>
      <c r="AI289" s="122"/>
      <c r="AJ289" s="38"/>
      <c r="AK289" s="122"/>
      <c r="AL289" s="122"/>
      <c r="AM289" s="122"/>
      <c r="AN289" s="122"/>
      <c r="AO289" s="38"/>
      <c r="AP289" s="38"/>
      <c r="AQ289" s="38"/>
      <c r="AR289" s="17"/>
      <c r="AS289" s="1"/>
      <c r="AT289" s="17"/>
      <c r="AU289" s="1"/>
      <c r="AV289" s="17"/>
      <c r="AW289" s="1"/>
      <c r="AX289" s="2"/>
      <c r="AY289" s="1"/>
      <c r="AZ289" s="1"/>
    </row>
    <row x14ac:dyDescent="0.25" r="290" customHeight="1" ht="15">
      <c r="A290" s="1"/>
      <c r="B290" s="1"/>
      <c r="C290" s="1"/>
      <c r="D290" s="1"/>
      <c r="E290" s="1"/>
      <c r="F290" s="1"/>
      <c r="G290" s="1"/>
      <c r="H290" s="1"/>
      <c r="I290" s="1"/>
      <c r="J290" s="1"/>
      <c r="K290" s="17"/>
      <c r="L290" s="1"/>
      <c r="M290" s="1"/>
      <c r="N290" s="2"/>
      <c r="O290" s="2"/>
      <c r="P290" s="17"/>
      <c r="Q290" s="1"/>
      <c r="R290" s="1"/>
      <c r="S290" s="1"/>
      <c r="T290" s="38"/>
      <c r="U290" s="38"/>
      <c r="V290" s="38"/>
      <c r="W290" s="38"/>
      <c r="X290" s="38"/>
      <c r="Y290" s="38"/>
      <c r="Z290" s="38"/>
      <c r="AA290" s="122"/>
      <c r="AB290" s="122"/>
      <c r="AC290" s="122"/>
      <c r="AD290" s="122"/>
      <c r="AE290" s="122"/>
      <c r="AF290" s="122"/>
      <c r="AG290" s="122"/>
      <c r="AH290" s="122"/>
      <c r="AI290" s="122"/>
      <c r="AJ290" s="38"/>
      <c r="AK290" s="122"/>
      <c r="AL290" s="122"/>
      <c r="AM290" s="122"/>
      <c r="AN290" s="122"/>
      <c r="AO290" s="38"/>
      <c r="AP290" s="38"/>
      <c r="AQ290" s="38"/>
      <c r="AR290" s="17"/>
      <c r="AS290" s="1"/>
      <c r="AT290" s="17"/>
      <c r="AU290" s="1"/>
      <c r="AV290" s="17"/>
      <c r="AW290" s="1"/>
      <c r="AX290" s="2"/>
      <c r="AY290" s="1"/>
      <c r="AZ290" s="1"/>
    </row>
    <row x14ac:dyDescent="0.25" r="291" customHeight="1" ht="15">
      <c r="A291" s="1"/>
      <c r="B291" s="1"/>
      <c r="C291" s="1"/>
      <c r="D291" s="1"/>
      <c r="E291" s="1"/>
      <c r="F291" s="1"/>
      <c r="G291" s="1"/>
      <c r="H291" s="1"/>
      <c r="I291" s="1"/>
      <c r="J291" s="1"/>
      <c r="K291" s="17"/>
      <c r="L291" s="1"/>
      <c r="M291" s="1"/>
      <c r="N291" s="2"/>
      <c r="O291" s="2"/>
      <c r="P291" s="17"/>
      <c r="Q291" s="1"/>
      <c r="R291" s="1"/>
      <c r="S291" s="1"/>
      <c r="T291" s="38"/>
      <c r="U291" s="38"/>
      <c r="V291" s="38"/>
      <c r="W291" s="38"/>
      <c r="X291" s="38"/>
      <c r="Y291" s="38"/>
      <c r="Z291" s="38"/>
      <c r="AA291" s="122"/>
      <c r="AB291" s="122"/>
      <c r="AC291" s="122"/>
      <c r="AD291" s="122"/>
      <c r="AE291" s="122"/>
      <c r="AF291" s="122"/>
      <c r="AG291" s="122"/>
      <c r="AH291" s="122"/>
      <c r="AI291" s="122"/>
      <c r="AJ291" s="38"/>
      <c r="AK291" s="122"/>
      <c r="AL291" s="122"/>
      <c r="AM291" s="122"/>
      <c r="AN291" s="122"/>
      <c r="AO291" s="38"/>
      <c r="AP291" s="38"/>
      <c r="AQ291" s="38"/>
      <c r="AR291" s="17"/>
      <c r="AS291" s="1"/>
      <c r="AT291" s="17"/>
      <c r="AU291" s="1"/>
      <c r="AV291" s="17"/>
      <c r="AW291" s="1"/>
      <c r="AX291" s="2"/>
      <c r="AY291" s="1"/>
      <c r="AZ291" s="1"/>
    </row>
    <row x14ac:dyDescent="0.25" r="292" customHeight="1" ht="15">
      <c r="A292" s="1"/>
      <c r="B292" s="1"/>
      <c r="C292" s="1"/>
      <c r="D292" s="1"/>
      <c r="E292" s="1"/>
      <c r="F292" s="1"/>
      <c r="G292" s="1"/>
      <c r="H292" s="1"/>
      <c r="I292" s="1"/>
      <c r="J292" s="1"/>
      <c r="K292" s="17"/>
      <c r="L292" s="1"/>
      <c r="M292" s="1"/>
      <c r="N292" s="2"/>
      <c r="O292" s="2"/>
      <c r="P292" s="17"/>
      <c r="Q292" s="1"/>
      <c r="R292" s="1"/>
      <c r="S292" s="1"/>
      <c r="T292" s="38"/>
      <c r="U292" s="38"/>
      <c r="V292" s="38"/>
      <c r="W292" s="38"/>
      <c r="X292" s="38"/>
      <c r="Y292" s="38"/>
      <c r="Z292" s="38"/>
      <c r="AA292" s="122"/>
      <c r="AB292" s="122"/>
      <c r="AC292" s="122"/>
      <c r="AD292" s="122"/>
      <c r="AE292" s="122"/>
      <c r="AF292" s="122"/>
      <c r="AG292" s="122"/>
      <c r="AH292" s="122"/>
      <c r="AI292" s="122"/>
      <c r="AJ292" s="38"/>
      <c r="AK292" s="122"/>
      <c r="AL292" s="122"/>
      <c r="AM292" s="122"/>
      <c r="AN292" s="122"/>
      <c r="AO292" s="38"/>
      <c r="AP292" s="38"/>
      <c r="AQ292" s="38"/>
      <c r="AR292" s="17"/>
      <c r="AS292" s="1"/>
      <c r="AT292" s="17"/>
      <c r="AU292" s="1"/>
      <c r="AV292" s="17"/>
      <c r="AW292" s="1"/>
      <c r="AX292" s="2"/>
      <c r="AY292" s="1"/>
      <c r="AZ292" s="1"/>
    </row>
    <row x14ac:dyDescent="0.25" r="293" customHeight="1" ht="15">
      <c r="A293" s="1"/>
      <c r="B293" s="1"/>
      <c r="C293" s="1"/>
      <c r="D293" s="1"/>
      <c r="E293" s="1"/>
      <c r="F293" s="1"/>
      <c r="G293" s="1"/>
      <c r="H293" s="1"/>
      <c r="I293" s="1"/>
      <c r="J293" s="1"/>
      <c r="K293" s="17"/>
      <c r="L293" s="1"/>
      <c r="M293" s="1"/>
      <c r="N293" s="2"/>
      <c r="O293" s="2"/>
      <c r="P293" s="17"/>
      <c r="Q293" s="1"/>
      <c r="R293" s="1"/>
      <c r="S293" s="1"/>
      <c r="T293" s="38"/>
      <c r="U293" s="38"/>
      <c r="V293" s="38"/>
      <c r="W293" s="38"/>
      <c r="X293" s="38"/>
      <c r="Y293" s="38"/>
      <c r="Z293" s="38"/>
      <c r="AA293" s="122"/>
      <c r="AB293" s="122"/>
      <c r="AC293" s="122"/>
      <c r="AD293" s="122"/>
      <c r="AE293" s="122"/>
      <c r="AF293" s="122"/>
      <c r="AG293" s="122"/>
      <c r="AH293" s="122"/>
      <c r="AI293" s="122"/>
      <c r="AJ293" s="38"/>
      <c r="AK293" s="122"/>
      <c r="AL293" s="122"/>
      <c r="AM293" s="122"/>
      <c r="AN293" s="122"/>
      <c r="AO293" s="38"/>
      <c r="AP293" s="38"/>
      <c r="AQ293" s="38"/>
      <c r="AR293" s="17"/>
      <c r="AS293" s="1"/>
      <c r="AT293" s="17"/>
      <c r="AU293" s="1"/>
      <c r="AV293" s="17"/>
      <c r="AW293" s="1"/>
      <c r="AX293" s="2"/>
      <c r="AY293" s="1"/>
      <c r="AZ293" s="1"/>
    </row>
    <row x14ac:dyDescent="0.25" r="294" customHeight="1" ht="15">
      <c r="A294" s="1"/>
      <c r="B294" s="1"/>
      <c r="C294" s="1"/>
      <c r="D294" s="1"/>
      <c r="E294" s="1"/>
      <c r="F294" s="1"/>
      <c r="G294" s="1"/>
      <c r="H294" s="1"/>
      <c r="I294" s="1"/>
      <c r="J294" s="1"/>
      <c r="K294" s="17"/>
      <c r="L294" s="1"/>
      <c r="M294" s="1"/>
      <c r="N294" s="2"/>
      <c r="O294" s="2"/>
      <c r="P294" s="17"/>
      <c r="Q294" s="1"/>
      <c r="R294" s="1"/>
      <c r="S294" s="1"/>
      <c r="T294" s="38"/>
      <c r="U294" s="38"/>
      <c r="V294" s="38"/>
      <c r="W294" s="38"/>
      <c r="X294" s="38"/>
      <c r="Y294" s="38"/>
      <c r="Z294" s="38"/>
      <c r="AA294" s="122"/>
      <c r="AB294" s="122"/>
      <c r="AC294" s="122"/>
      <c r="AD294" s="122"/>
      <c r="AE294" s="122"/>
      <c r="AF294" s="122"/>
      <c r="AG294" s="122"/>
      <c r="AH294" s="122"/>
      <c r="AI294" s="122"/>
      <c r="AJ294" s="38"/>
      <c r="AK294" s="122"/>
      <c r="AL294" s="122"/>
      <c r="AM294" s="122"/>
      <c r="AN294" s="122"/>
      <c r="AO294" s="38"/>
      <c r="AP294" s="38"/>
      <c r="AQ294" s="38"/>
      <c r="AR294" s="17"/>
      <c r="AS294" s="1"/>
      <c r="AT294" s="17"/>
      <c r="AU294" s="1"/>
      <c r="AV294" s="17"/>
      <c r="AW294" s="1"/>
      <c r="AX294" s="2"/>
      <c r="AY294" s="1"/>
      <c r="AZ294" s="1"/>
    </row>
    <row x14ac:dyDescent="0.25" r="295" customHeight="1" ht="15">
      <c r="A295" s="1"/>
      <c r="B295" s="1"/>
      <c r="C295" s="1"/>
      <c r="D295" s="1"/>
      <c r="E295" s="1"/>
      <c r="F295" s="1"/>
      <c r="G295" s="1"/>
      <c r="H295" s="1"/>
      <c r="I295" s="1"/>
      <c r="J295" s="1"/>
      <c r="K295" s="17"/>
      <c r="L295" s="1"/>
      <c r="M295" s="1"/>
      <c r="N295" s="2"/>
      <c r="O295" s="2"/>
      <c r="P295" s="17"/>
      <c r="Q295" s="1"/>
      <c r="R295" s="1"/>
      <c r="S295" s="1"/>
      <c r="T295" s="38"/>
      <c r="U295" s="38"/>
      <c r="V295" s="38"/>
      <c r="W295" s="38"/>
      <c r="X295" s="38"/>
      <c r="Y295" s="38"/>
      <c r="Z295" s="38"/>
      <c r="AA295" s="122"/>
      <c r="AB295" s="122"/>
      <c r="AC295" s="122"/>
      <c r="AD295" s="122"/>
      <c r="AE295" s="122"/>
      <c r="AF295" s="122"/>
      <c r="AG295" s="122"/>
      <c r="AH295" s="122"/>
      <c r="AI295" s="122"/>
      <c r="AJ295" s="38"/>
      <c r="AK295" s="122"/>
      <c r="AL295" s="122"/>
      <c r="AM295" s="122"/>
      <c r="AN295" s="122"/>
      <c r="AO295" s="38"/>
      <c r="AP295" s="38"/>
      <c r="AQ295" s="38"/>
      <c r="AR295" s="17"/>
      <c r="AS295" s="1"/>
      <c r="AT295" s="17"/>
      <c r="AU295" s="1"/>
      <c r="AV295" s="17"/>
      <c r="AW295" s="1"/>
      <c r="AX295" s="2"/>
      <c r="AY295" s="1"/>
      <c r="AZ295" s="1"/>
    </row>
    <row x14ac:dyDescent="0.25" r="296" customHeight="1" ht="15">
      <c r="A296" s="1"/>
      <c r="B296" s="1"/>
      <c r="C296" s="1"/>
      <c r="D296" s="1"/>
      <c r="E296" s="1"/>
      <c r="F296" s="1"/>
      <c r="G296" s="1"/>
      <c r="H296" s="1"/>
      <c r="I296" s="1"/>
      <c r="J296" s="1"/>
      <c r="K296" s="17"/>
      <c r="L296" s="1"/>
      <c r="M296" s="1"/>
      <c r="N296" s="2"/>
      <c r="O296" s="2"/>
      <c r="P296" s="17"/>
      <c r="Q296" s="1"/>
      <c r="R296" s="1"/>
      <c r="S296" s="1"/>
      <c r="T296" s="38"/>
      <c r="U296" s="38"/>
      <c r="V296" s="38"/>
      <c r="W296" s="38"/>
      <c r="X296" s="38"/>
      <c r="Y296" s="38"/>
      <c r="Z296" s="38"/>
      <c r="AA296" s="122"/>
      <c r="AB296" s="122"/>
      <c r="AC296" s="122"/>
      <c r="AD296" s="122"/>
      <c r="AE296" s="122"/>
      <c r="AF296" s="122"/>
      <c r="AG296" s="122"/>
      <c r="AH296" s="122"/>
      <c r="AI296" s="122"/>
      <c r="AJ296" s="38"/>
      <c r="AK296" s="122"/>
      <c r="AL296" s="122"/>
      <c r="AM296" s="122"/>
      <c r="AN296" s="122"/>
      <c r="AO296" s="38"/>
      <c r="AP296" s="38"/>
      <c r="AQ296" s="38"/>
      <c r="AR296" s="17"/>
      <c r="AS296" s="1"/>
      <c r="AT296" s="17"/>
      <c r="AU296" s="1"/>
      <c r="AV296" s="17"/>
      <c r="AW296" s="1"/>
      <c r="AX296" s="2"/>
      <c r="AY296" s="1"/>
      <c r="AZ296" s="1"/>
    </row>
    <row x14ac:dyDescent="0.25" r="297" customHeight="1" ht="15">
      <c r="A297" s="1"/>
      <c r="B297" s="1"/>
      <c r="C297" s="1"/>
      <c r="D297" s="1"/>
      <c r="E297" s="1"/>
      <c r="F297" s="1"/>
      <c r="G297" s="1"/>
      <c r="H297" s="1"/>
      <c r="I297" s="1"/>
      <c r="J297" s="1"/>
      <c r="K297" s="17"/>
      <c r="L297" s="1"/>
      <c r="M297" s="1"/>
      <c r="N297" s="2"/>
      <c r="O297" s="2"/>
      <c r="P297" s="17"/>
      <c r="Q297" s="1"/>
      <c r="R297" s="1"/>
      <c r="S297" s="1"/>
      <c r="T297" s="38"/>
      <c r="U297" s="38"/>
      <c r="V297" s="38"/>
      <c r="W297" s="38"/>
      <c r="X297" s="38"/>
      <c r="Y297" s="38"/>
      <c r="Z297" s="38"/>
      <c r="AA297" s="122"/>
      <c r="AB297" s="122"/>
      <c r="AC297" s="122"/>
      <c r="AD297" s="122"/>
      <c r="AE297" s="122"/>
      <c r="AF297" s="122"/>
      <c r="AG297" s="122"/>
      <c r="AH297" s="122"/>
      <c r="AI297" s="122"/>
      <c r="AJ297" s="38"/>
      <c r="AK297" s="122"/>
      <c r="AL297" s="122"/>
      <c r="AM297" s="122"/>
      <c r="AN297" s="122"/>
      <c r="AO297" s="38"/>
      <c r="AP297" s="38"/>
      <c r="AQ297" s="38"/>
      <c r="AR297" s="17"/>
      <c r="AS297" s="1"/>
      <c r="AT297" s="17"/>
      <c r="AU297" s="1"/>
      <c r="AV297" s="17"/>
      <c r="AW297" s="1"/>
      <c r="AX297" s="2"/>
      <c r="AY297" s="1"/>
      <c r="AZ297" s="1"/>
    </row>
    <row x14ac:dyDescent="0.25" r="298" customHeight="1" ht="15">
      <c r="A298" s="1"/>
      <c r="B298" s="1"/>
      <c r="C298" s="1"/>
      <c r="D298" s="1"/>
      <c r="E298" s="1"/>
      <c r="F298" s="1"/>
      <c r="G298" s="1"/>
      <c r="H298" s="1"/>
      <c r="I298" s="1"/>
      <c r="J298" s="1"/>
      <c r="K298" s="17"/>
      <c r="L298" s="1"/>
      <c r="M298" s="1"/>
      <c r="N298" s="2"/>
      <c r="O298" s="2"/>
      <c r="P298" s="17"/>
      <c r="Q298" s="1"/>
      <c r="R298" s="1"/>
      <c r="S298" s="1"/>
      <c r="T298" s="38"/>
      <c r="U298" s="38"/>
      <c r="V298" s="38"/>
      <c r="W298" s="38"/>
      <c r="X298" s="38"/>
      <c r="Y298" s="38"/>
      <c r="Z298" s="38"/>
      <c r="AA298" s="122"/>
      <c r="AB298" s="122"/>
      <c r="AC298" s="122"/>
      <c r="AD298" s="122"/>
      <c r="AE298" s="122"/>
      <c r="AF298" s="122"/>
      <c r="AG298" s="122"/>
      <c r="AH298" s="122"/>
      <c r="AI298" s="122"/>
      <c r="AJ298" s="38"/>
      <c r="AK298" s="122"/>
      <c r="AL298" s="122"/>
      <c r="AM298" s="122"/>
      <c r="AN298" s="122"/>
      <c r="AO298" s="38"/>
      <c r="AP298" s="38"/>
      <c r="AQ298" s="38"/>
      <c r="AR298" s="17"/>
      <c r="AS298" s="1"/>
      <c r="AT298" s="17"/>
      <c r="AU298" s="1"/>
      <c r="AV298" s="17"/>
      <c r="AW298" s="1"/>
      <c r="AX298" s="2"/>
      <c r="AY298" s="1"/>
      <c r="AZ298" s="1"/>
    </row>
    <row x14ac:dyDescent="0.25" r="299" customHeight="1" ht="15">
      <c r="A299" s="1"/>
      <c r="B299" s="1"/>
      <c r="C299" s="1"/>
      <c r="D299" s="1"/>
      <c r="E299" s="1"/>
      <c r="F299" s="1"/>
      <c r="G299" s="1"/>
      <c r="H299" s="1"/>
      <c r="I299" s="1"/>
      <c r="J299" s="1"/>
      <c r="K299" s="17"/>
      <c r="L299" s="1"/>
      <c r="M299" s="1"/>
      <c r="N299" s="2"/>
      <c r="O299" s="2"/>
      <c r="P299" s="17"/>
      <c r="Q299" s="1"/>
      <c r="R299" s="1"/>
      <c r="S299" s="1"/>
      <c r="T299" s="38"/>
      <c r="U299" s="38"/>
      <c r="V299" s="38"/>
      <c r="W299" s="38"/>
      <c r="X299" s="38"/>
      <c r="Y299" s="38"/>
      <c r="Z299" s="38"/>
      <c r="AA299" s="122"/>
      <c r="AB299" s="122"/>
      <c r="AC299" s="122"/>
      <c r="AD299" s="122"/>
      <c r="AE299" s="122"/>
      <c r="AF299" s="122"/>
      <c r="AG299" s="122"/>
      <c r="AH299" s="122"/>
      <c r="AI299" s="122"/>
      <c r="AJ299" s="38"/>
      <c r="AK299" s="122"/>
      <c r="AL299" s="122"/>
      <c r="AM299" s="122"/>
      <c r="AN299" s="122"/>
      <c r="AO299" s="38"/>
      <c r="AP299" s="38"/>
      <c r="AQ299" s="38"/>
      <c r="AR299" s="17"/>
      <c r="AS299" s="1"/>
      <c r="AT299" s="17"/>
      <c r="AU299" s="1"/>
      <c r="AV299" s="17"/>
      <c r="AW299" s="1"/>
      <c r="AX299" s="2"/>
      <c r="AY299" s="1"/>
      <c r="AZ299" s="1"/>
    </row>
    <row x14ac:dyDescent="0.25" r="300" customHeight="1" ht="15">
      <c r="A300" s="1"/>
      <c r="B300" s="1"/>
      <c r="C300" s="1"/>
      <c r="D300" s="1"/>
      <c r="E300" s="1"/>
      <c r="F300" s="1"/>
      <c r="G300" s="1"/>
      <c r="H300" s="1"/>
      <c r="I300" s="1"/>
      <c r="J300" s="1"/>
      <c r="K300" s="17"/>
      <c r="L300" s="1"/>
      <c r="M300" s="1"/>
      <c r="N300" s="2"/>
      <c r="O300" s="2"/>
      <c r="P300" s="17"/>
      <c r="Q300" s="1"/>
      <c r="R300" s="1"/>
      <c r="S300" s="1"/>
      <c r="T300" s="38"/>
      <c r="U300" s="38"/>
      <c r="V300" s="38"/>
      <c r="W300" s="38"/>
      <c r="X300" s="38"/>
      <c r="Y300" s="38"/>
      <c r="Z300" s="38"/>
      <c r="AA300" s="122"/>
      <c r="AB300" s="122"/>
      <c r="AC300" s="122"/>
      <c r="AD300" s="122"/>
      <c r="AE300" s="122"/>
      <c r="AF300" s="122"/>
      <c r="AG300" s="122"/>
      <c r="AH300" s="122"/>
      <c r="AI300" s="122"/>
      <c r="AJ300" s="38"/>
      <c r="AK300" s="122"/>
      <c r="AL300" s="122"/>
      <c r="AM300" s="122"/>
      <c r="AN300" s="122"/>
      <c r="AO300" s="38"/>
      <c r="AP300" s="38"/>
      <c r="AQ300" s="38"/>
      <c r="AR300" s="17"/>
      <c r="AS300" s="1"/>
      <c r="AT300" s="17"/>
      <c r="AU300" s="1"/>
      <c r="AV300" s="17"/>
      <c r="AW300" s="1"/>
      <c r="AX300" s="2"/>
      <c r="AY300" s="1"/>
      <c r="AZ300" s="1"/>
    </row>
    <row x14ac:dyDescent="0.25" r="301" customHeight="1" ht="15">
      <c r="A301" s="1"/>
      <c r="B301" s="1"/>
      <c r="C301" s="1"/>
      <c r="D301" s="1"/>
      <c r="E301" s="1"/>
      <c r="F301" s="1"/>
      <c r="G301" s="1"/>
      <c r="H301" s="1"/>
      <c r="I301" s="1"/>
      <c r="J301" s="1"/>
      <c r="K301" s="17"/>
      <c r="L301" s="1"/>
      <c r="M301" s="1"/>
      <c r="N301" s="2"/>
      <c r="O301" s="2"/>
      <c r="P301" s="17"/>
      <c r="Q301" s="1"/>
      <c r="R301" s="1"/>
      <c r="S301" s="1"/>
      <c r="T301" s="38"/>
      <c r="U301" s="38"/>
      <c r="V301" s="38"/>
      <c r="W301" s="38"/>
      <c r="X301" s="38"/>
      <c r="Y301" s="38"/>
      <c r="Z301" s="38"/>
      <c r="AA301" s="122"/>
      <c r="AB301" s="122"/>
      <c r="AC301" s="122"/>
      <c r="AD301" s="122"/>
      <c r="AE301" s="122"/>
      <c r="AF301" s="122"/>
      <c r="AG301" s="122"/>
      <c r="AH301" s="122"/>
      <c r="AI301" s="122"/>
      <c r="AJ301" s="38"/>
      <c r="AK301" s="122"/>
      <c r="AL301" s="122"/>
      <c r="AM301" s="122"/>
      <c r="AN301" s="122"/>
      <c r="AO301" s="38"/>
      <c r="AP301" s="38"/>
      <c r="AQ301" s="38"/>
      <c r="AR301" s="17"/>
      <c r="AS301" s="1"/>
      <c r="AT301" s="17"/>
      <c r="AU301" s="1"/>
      <c r="AV301" s="17"/>
      <c r="AW301" s="1"/>
      <c r="AX301" s="2"/>
      <c r="AY301" s="1"/>
      <c r="AZ301" s="1"/>
    </row>
    <row x14ac:dyDescent="0.25" r="302" customHeight="1" ht="15">
      <c r="A302" s="1"/>
      <c r="B302" s="1"/>
      <c r="C302" s="1"/>
      <c r="D302" s="1"/>
      <c r="E302" s="1"/>
      <c r="F302" s="1"/>
      <c r="G302" s="1"/>
      <c r="H302" s="1"/>
      <c r="I302" s="1"/>
      <c r="J302" s="1"/>
      <c r="K302" s="17"/>
      <c r="L302" s="1"/>
      <c r="M302" s="1"/>
      <c r="N302" s="2"/>
      <c r="O302" s="2"/>
      <c r="P302" s="17"/>
      <c r="Q302" s="1"/>
      <c r="R302" s="1"/>
      <c r="S302" s="1"/>
      <c r="T302" s="38"/>
      <c r="U302" s="38"/>
      <c r="V302" s="38"/>
      <c r="W302" s="38"/>
      <c r="X302" s="38"/>
      <c r="Y302" s="38"/>
      <c r="Z302" s="38"/>
      <c r="AA302" s="122"/>
      <c r="AB302" s="122"/>
      <c r="AC302" s="122"/>
      <c r="AD302" s="122"/>
      <c r="AE302" s="122"/>
      <c r="AF302" s="122"/>
      <c r="AG302" s="122"/>
      <c r="AH302" s="122"/>
      <c r="AI302" s="122"/>
      <c r="AJ302" s="38"/>
      <c r="AK302" s="122"/>
      <c r="AL302" s="122"/>
      <c r="AM302" s="122"/>
      <c r="AN302" s="122"/>
      <c r="AO302" s="38"/>
      <c r="AP302" s="38"/>
      <c r="AQ302" s="38"/>
      <c r="AR302" s="17"/>
      <c r="AS302" s="1"/>
      <c r="AT302" s="17"/>
      <c r="AU302" s="1"/>
      <c r="AV302" s="17"/>
      <c r="AW302" s="1"/>
      <c r="AX302" s="2"/>
      <c r="AY302" s="1"/>
      <c r="AZ302" s="1"/>
    </row>
    <row x14ac:dyDescent="0.25" r="303" customHeight="1" ht="15">
      <c r="A303" s="1"/>
      <c r="B303" s="1"/>
      <c r="C303" s="1"/>
      <c r="D303" s="1"/>
      <c r="E303" s="1"/>
      <c r="F303" s="1"/>
      <c r="G303" s="1"/>
      <c r="H303" s="1"/>
      <c r="I303" s="1"/>
      <c r="J303" s="1"/>
      <c r="K303" s="17"/>
      <c r="L303" s="1"/>
      <c r="M303" s="1"/>
      <c r="N303" s="2"/>
      <c r="O303" s="2"/>
      <c r="P303" s="17"/>
      <c r="Q303" s="1"/>
      <c r="R303" s="1"/>
      <c r="S303" s="1"/>
      <c r="T303" s="38"/>
      <c r="U303" s="38"/>
      <c r="V303" s="38"/>
      <c r="W303" s="38"/>
      <c r="X303" s="38"/>
      <c r="Y303" s="38"/>
      <c r="Z303" s="38"/>
      <c r="AA303" s="122"/>
      <c r="AB303" s="122"/>
      <c r="AC303" s="122"/>
      <c r="AD303" s="122"/>
      <c r="AE303" s="122"/>
      <c r="AF303" s="122"/>
      <c r="AG303" s="122"/>
      <c r="AH303" s="122"/>
      <c r="AI303" s="122"/>
      <c r="AJ303" s="38"/>
      <c r="AK303" s="122"/>
      <c r="AL303" s="122"/>
      <c r="AM303" s="122"/>
      <c r="AN303" s="122"/>
      <c r="AO303" s="38"/>
      <c r="AP303" s="38"/>
      <c r="AQ303" s="38"/>
      <c r="AR303" s="17"/>
      <c r="AS303" s="1"/>
      <c r="AT303" s="17"/>
      <c r="AU303" s="1"/>
      <c r="AV303" s="17"/>
      <c r="AW303" s="1"/>
      <c r="AX303" s="2"/>
      <c r="AY303" s="1"/>
      <c r="AZ303" s="1"/>
    </row>
    <row x14ac:dyDescent="0.25" r="304" customHeight="1" ht="15">
      <c r="A304" s="1"/>
      <c r="B304" s="1"/>
      <c r="C304" s="1"/>
      <c r="D304" s="1"/>
      <c r="E304" s="1"/>
      <c r="F304" s="1"/>
      <c r="G304" s="1"/>
      <c r="H304" s="1"/>
      <c r="I304" s="1"/>
      <c r="J304" s="1"/>
      <c r="K304" s="17"/>
      <c r="L304" s="1"/>
      <c r="M304" s="1"/>
      <c r="N304" s="2"/>
      <c r="O304" s="2"/>
      <c r="P304" s="17"/>
      <c r="Q304" s="1"/>
      <c r="R304" s="1"/>
      <c r="S304" s="1"/>
      <c r="T304" s="38"/>
      <c r="U304" s="38"/>
      <c r="V304" s="38"/>
      <c r="W304" s="38"/>
      <c r="X304" s="38"/>
      <c r="Y304" s="38"/>
      <c r="Z304" s="38"/>
      <c r="AA304" s="122"/>
      <c r="AB304" s="122"/>
      <c r="AC304" s="122"/>
      <c r="AD304" s="122"/>
      <c r="AE304" s="122"/>
      <c r="AF304" s="122"/>
      <c r="AG304" s="122"/>
      <c r="AH304" s="122"/>
      <c r="AI304" s="122"/>
      <c r="AJ304" s="38"/>
      <c r="AK304" s="122"/>
      <c r="AL304" s="122"/>
      <c r="AM304" s="122"/>
      <c r="AN304" s="122"/>
      <c r="AO304" s="38"/>
      <c r="AP304" s="38"/>
      <c r="AQ304" s="38"/>
      <c r="AR304" s="17"/>
      <c r="AS304" s="1"/>
      <c r="AT304" s="17"/>
      <c r="AU304" s="1"/>
      <c r="AV304" s="17"/>
      <c r="AW304" s="1"/>
      <c r="AX304" s="2"/>
      <c r="AY304" s="1"/>
      <c r="AZ304" s="1"/>
    </row>
    <row x14ac:dyDescent="0.25" r="305" customHeight="1" ht="15">
      <c r="A305" s="1"/>
      <c r="B305" s="1"/>
      <c r="C305" s="1"/>
      <c r="D305" s="1"/>
      <c r="E305" s="1"/>
      <c r="F305" s="1"/>
      <c r="G305" s="1"/>
      <c r="H305" s="1"/>
      <c r="I305" s="1"/>
      <c r="J305" s="1"/>
      <c r="K305" s="17"/>
      <c r="L305" s="1"/>
      <c r="M305" s="1"/>
      <c r="N305" s="2"/>
      <c r="O305" s="2"/>
      <c r="P305" s="17"/>
      <c r="Q305" s="1"/>
      <c r="R305" s="1"/>
      <c r="S305" s="1"/>
      <c r="T305" s="38"/>
      <c r="U305" s="38"/>
      <c r="V305" s="38"/>
      <c r="W305" s="38"/>
      <c r="X305" s="38"/>
      <c r="Y305" s="38"/>
      <c r="Z305" s="38"/>
      <c r="AA305" s="122"/>
      <c r="AB305" s="122"/>
      <c r="AC305" s="122"/>
      <c r="AD305" s="122"/>
      <c r="AE305" s="122"/>
      <c r="AF305" s="122"/>
      <c r="AG305" s="122"/>
      <c r="AH305" s="122"/>
      <c r="AI305" s="122"/>
      <c r="AJ305" s="38"/>
      <c r="AK305" s="122"/>
      <c r="AL305" s="122"/>
      <c r="AM305" s="122"/>
      <c r="AN305" s="122"/>
      <c r="AO305" s="38"/>
      <c r="AP305" s="38"/>
      <c r="AQ305" s="38"/>
      <c r="AR305" s="17"/>
      <c r="AS305" s="1"/>
      <c r="AT305" s="17"/>
      <c r="AU305" s="1"/>
      <c r="AV305" s="17"/>
      <c r="AW305" s="1"/>
      <c r="AX305" s="2"/>
      <c r="AY305" s="1"/>
      <c r="AZ305" s="1"/>
    </row>
    <row x14ac:dyDescent="0.25" r="306" customHeight="1" ht="15">
      <c r="A306" s="1"/>
      <c r="B306" s="1"/>
      <c r="C306" s="1"/>
      <c r="D306" s="1"/>
      <c r="E306" s="1"/>
      <c r="F306" s="1"/>
      <c r="G306" s="1"/>
      <c r="H306" s="1"/>
      <c r="I306" s="1"/>
      <c r="J306" s="1"/>
      <c r="K306" s="17"/>
      <c r="L306" s="1"/>
      <c r="M306" s="1"/>
      <c r="N306" s="2"/>
      <c r="O306" s="2"/>
      <c r="P306" s="17"/>
      <c r="Q306" s="1"/>
      <c r="R306" s="1"/>
      <c r="S306" s="1"/>
      <c r="T306" s="38"/>
      <c r="U306" s="38"/>
      <c r="V306" s="38"/>
      <c r="W306" s="38"/>
      <c r="X306" s="38"/>
      <c r="Y306" s="38"/>
      <c r="Z306" s="38"/>
      <c r="AA306" s="122"/>
      <c r="AB306" s="122"/>
      <c r="AC306" s="122"/>
      <c r="AD306" s="122"/>
      <c r="AE306" s="122"/>
      <c r="AF306" s="122"/>
      <c r="AG306" s="122"/>
      <c r="AH306" s="122"/>
      <c r="AI306" s="122"/>
      <c r="AJ306" s="38"/>
      <c r="AK306" s="122"/>
      <c r="AL306" s="122"/>
      <c r="AM306" s="122"/>
      <c r="AN306" s="122"/>
      <c r="AO306" s="38"/>
      <c r="AP306" s="38"/>
      <c r="AQ306" s="38"/>
      <c r="AR306" s="17"/>
      <c r="AS306" s="1"/>
      <c r="AT306" s="17"/>
      <c r="AU306" s="1"/>
      <c r="AV306" s="17"/>
      <c r="AW306" s="1"/>
      <c r="AX306" s="2"/>
      <c r="AY306" s="1"/>
      <c r="AZ306" s="1"/>
    </row>
    <row x14ac:dyDescent="0.25" r="307" customHeight="1" ht="15">
      <c r="A307" s="1"/>
      <c r="B307" s="1"/>
      <c r="C307" s="1"/>
      <c r="D307" s="1"/>
      <c r="E307" s="1"/>
      <c r="F307" s="1"/>
      <c r="G307" s="1"/>
      <c r="H307" s="1"/>
      <c r="I307" s="1"/>
      <c r="J307" s="1"/>
      <c r="K307" s="17"/>
      <c r="L307" s="1"/>
      <c r="M307" s="1"/>
      <c r="N307" s="2"/>
      <c r="O307" s="2"/>
      <c r="P307" s="17"/>
      <c r="Q307" s="1"/>
      <c r="R307" s="1"/>
      <c r="S307" s="1"/>
      <c r="T307" s="38"/>
      <c r="U307" s="38"/>
      <c r="V307" s="38"/>
      <c r="W307" s="38"/>
      <c r="X307" s="38"/>
      <c r="Y307" s="38"/>
      <c r="Z307" s="38"/>
      <c r="AA307" s="122"/>
      <c r="AB307" s="122"/>
      <c r="AC307" s="122"/>
      <c r="AD307" s="122"/>
      <c r="AE307" s="122"/>
      <c r="AF307" s="122"/>
      <c r="AG307" s="122"/>
      <c r="AH307" s="122"/>
      <c r="AI307" s="122"/>
      <c r="AJ307" s="38"/>
      <c r="AK307" s="122"/>
      <c r="AL307" s="122"/>
      <c r="AM307" s="122"/>
      <c r="AN307" s="122"/>
      <c r="AO307" s="38"/>
      <c r="AP307" s="38"/>
      <c r="AQ307" s="38"/>
      <c r="AR307" s="17"/>
      <c r="AS307" s="1"/>
      <c r="AT307" s="17"/>
      <c r="AU307" s="1"/>
      <c r="AV307" s="17"/>
      <c r="AW307" s="1"/>
      <c r="AX307" s="2"/>
      <c r="AY307" s="1"/>
      <c r="AZ307" s="1"/>
    </row>
    <row x14ac:dyDescent="0.25" r="308" customHeight="1" ht="15">
      <c r="A308" s="1"/>
      <c r="B308" s="1"/>
      <c r="C308" s="1"/>
      <c r="D308" s="1"/>
      <c r="E308" s="1"/>
      <c r="F308" s="1"/>
      <c r="G308" s="1"/>
      <c r="H308" s="1"/>
      <c r="I308" s="1"/>
      <c r="J308" s="1"/>
      <c r="K308" s="17"/>
      <c r="L308" s="1"/>
      <c r="M308" s="1"/>
      <c r="N308" s="2"/>
      <c r="O308" s="2"/>
      <c r="P308" s="17"/>
      <c r="Q308" s="1"/>
      <c r="R308" s="1"/>
      <c r="S308" s="1"/>
      <c r="T308" s="38"/>
      <c r="U308" s="38"/>
      <c r="V308" s="38"/>
      <c r="W308" s="38"/>
      <c r="X308" s="38"/>
      <c r="Y308" s="38"/>
      <c r="Z308" s="38"/>
      <c r="AA308" s="122"/>
      <c r="AB308" s="122"/>
      <c r="AC308" s="122"/>
      <c r="AD308" s="122"/>
      <c r="AE308" s="122"/>
      <c r="AF308" s="122"/>
      <c r="AG308" s="122"/>
      <c r="AH308" s="122"/>
      <c r="AI308" s="122"/>
      <c r="AJ308" s="38"/>
      <c r="AK308" s="122"/>
      <c r="AL308" s="122"/>
      <c r="AM308" s="122"/>
      <c r="AN308" s="122"/>
      <c r="AO308" s="38"/>
      <c r="AP308" s="38"/>
      <c r="AQ308" s="38"/>
      <c r="AR308" s="17"/>
      <c r="AS308" s="1"/>
      <c r="AT308" s="17"/>
      <c r="AU308" s="1"/>
      <c r="AV308" s="17"/>
      <c r="AW308" s="1"/>
      <c r="AX308" s="2"/>
      <c r="AY308" s="1"/>
      <c r="AZ308" s="1"/>
    </row>
    <row x14ac:dyDescent="0.25" r="309" customHeight="1" ht="15">
      <c r="A309" s="1"/>
      <c r="B309" s="1"/>
      <c r="C309" s="1"/>
      <c r="D309" s="1"/>
      <c r="E309" s="1"/>
      <c r="F309" s="1"/>
      <c r="G309" s="1"/>
      <c r="H309" s="1"/>
      <c r="I309" s="1"/>
      <c r="J309" s="1"/>
      <c r="K309" s="17"/>
      <c r="L309" s="1"/>
      <c r="M309" s="1"/>
      <c r="N309" s="2"/>
      <c r="O309" s="2"/>
      <c r="P309" s="17"/>
      <c r="Q309" s="1"/>
      <c r="R309" s="1"/>
      <c r="S309" s="1"/>
      <c r="T309" s="38"/>
      <c r="U309" s="38"/>
      <c r="V309" s="38"/>
      <c r="W309" s="38"/>
      <c r="X309" s="38"/>
      <c r="Y309" s="38"/>
      <c r="Z309" s="38"/>
      <c r="AA309" s="122"/>
      <c r="AB309" s="122"/>
      <c r="AC309" s="122"/>
      <c r="AD309" s="122"/>
      <c r="AE309" s="122"/>
      <c r="AF309" s="122"/>
      <c r="AG309" s="122"/>
      <c r="AH309" s="122"/>
      <c r="AI309" s="122"/>
      <c r="AJ309" s="38"/>
      <c r="AK309" s="122"/>
      <c r="AL309" s="122"/>
      <c r="AM309" s="122"/>
      <c r="AN309" s="122"/>
      <c r="AO309" s="38"/>
      <c r="AP309" s="38"/>
      <c r="AQ309" s="38"/>
      <c r="AR309" s="17"/>
      <c r="AS309" s="1"/>
      <c r="AT309" s="17"/>
      <c r="AU309" s="1"/>
      <c r="AV309" s="17"/>
      <c r="AW309" s="1"/>
      <c r="AX309" s="2"/>
      <c r="AY309" s="1"/>
      <c r="AZ309" s="1"/>
    </row>
    <row x14ac:dyDescent="0.25" r="310" customHeight="1" ht="15">
      <c r="A310" s="1"/>
      <c r="B310" s="1"/>
      <c r="C310" s="1"/>
      <c r="D310" s="1"/>
      <c r="E310" s="1"/>
      <c r="F310" s="1"/>
      <c r="G310" s="1"/>
      <c r="H310" s="1"/>
      <c r="I310" s="1"/>
      <c r="J310" s="1"/>
      <c r="K310" s="17"/>
      <c r="L310" s="1"/>
      <c r="M310" s="1"/>
      <c r="N310" s="2"/>
      <c r="O310" s="2"/>
      <c r="P310" s="17"/>
      <c r="Q310" s="1"/>
      <c r="R310" s="1"/>
      <c r="S310" s="1"/>
      <c r="T310" s="38"/>
      <c r="U310" s="38"/>
      <c r="V310" s="38"/>
      <c r="W310" s="38"/>
      <c r="X310" s="38"/>
      <c r="Y310" s="38"/>
      <c r="Z310" s="38"/>
      <c r="AA310" s="122"/>
      <c r="AB310" s="122"/>
      <c r="AC310" s="122"/>
      <c r="AD310" s="122"/>
      <c r="AE310" s="122"/>
      <c r="AF310" s="122"/>
      <c r="AG310" s="122"/>
      <c r="AH310" s="122"/>
      <c r="AI310" s="122"/>
      <c r="AJ310" s="38"/>
      <c r="AK310" s="122"/>
      <c r="AL310" s="122"/>
      <c r="AM310" s="122"/>
      <c r="AN310" s="122"/>
      <c r="AO310" s="38"/>
      <c r="AP310" s="38"/>
      <c r="AQ310" s="38"/>
      <c r="AR310" s="17"/>
      <c r="AS310" s="1"/>
      <c r="AT310" s="17"/>
      <c r="AU310" s="1"/>
      <c r="AV310" s="17"/>
      <c r="AW310" s="1"/>
      <c r="AX310" s="2"/>
      <c r="AY310" s="1"/>
      <c r="AZ310" s="1"/>
    </row>
    <row x14ac:dyDescent="0.25" r="311" customHeight="1" ht="15">
      <c r="A311" s="1"/>
      <c r="B311" s="1"/>
      <c r="C311" s="1"/>
      <c r="D311" s="1"/>
      <c r="E311" s="1"/>
      <c r="F311" s="1"/>
      <c r="G311" s="1"/>
      <c r="H311" s="1"/>
      <c r="I311" s="1"/>
      <c r="J311" s="1"/>
      <c r="K311" s="17"/>
      <c r="L311" s="1"/>
      <c r="M311" s="1"/>
      <c r="N311" s="2"/>
      <c r="O311" s="2"/>
      <c r="P311" s="17"/>
      <c r="Q311" s="1"/>
      <c r="R311" s="1"/>
      <c r="S311" s="1"/>
      <c r="T311" s="38"/>
      <c r="U311" s="38"/>
      <c r="V311" s="38"/>
      <c r="W311" s="38"/>
      <c r="X311" s="38"/>
      <c r="Y311" s="38"/>
      <c r="Z311" s="38"/>
      <c r="AA311" s="122"/>
      <c r="AB311" s="122"/>
      <c r="AC311" s="122"/>
      <c r="AD311" s="122"/>
      <c r="AE311" s="122"/>
      <c r="AF311" s="122"/>
      <c r="AG311" s="122"/>
      <c r="AH311" s="122"/>
      <c r="AI311" s="122"/>
      <c r="AJ311" s="38"/>
      <c r="AK311" s="122"/>
      <c r="AL311" s="122"/>
      <c r="AM311" s="122"/>
      <c r="AN311" s="122"/>
      <c r="AO311" s="38"/>
      <c r="AP311" s="38"/>
      <c r="AQ311" s="38"/>
      <c r="AR311" s="17"/>
      <c r="AS311" s="1"/>
      <c r="AT311" s="17"/>
      <c r="AU311" s="1"/>
      <c r="AV311" s="17"/>
      <c r="AW311" s="1"/>
      <c r="AX311" s="2"/>
      <c r="AY311" s="1"/>
      <c r="AZ311" s="1"/>
    </row>
    <row x14ac:dyDescent="0.25" r="312" customHeight="1" ht="15">
      <c r="A312" s="1"/>
      <c r="B312" s="1"/>
      <c r="C312" s="1"/>
      <c r="D312" s="1"/>
      <c r="E312" s="1"/>
      <c r="F312" s="1"/>
      <c r="G312" s="1"/>
      <c r="H312" s="1"/>
      <c r="I312" s="1"/>
      <c r="J312" s="1"/>
      <c r="K312" s="17"/>
      <c r="L312" s="1"/>
      <c r="M312" s="1"/>
      <c r="N312" s="2"/>
      <c r="O312" s="2"/>
      <c r="P312" s="17"/>
      <c r="Q312" s="1"/>
      <c r="R312" s="1"/>
      <c r="S312" s="1"/>
      <c r="T312" s="38"/>
      <c r="U312" s="38"/>
      <c r="V312" s="38"/>
      <c r="W312" s="38"/>
      <c r="X312" s="38"/>
      <c r="Y312" s="38"/>
      <c r="Z312" s="38"/>
      <c r="AA312" s="122"/>
      <c r="AB312" s="122"/>
      <c r="AC312" s="122"/>
      <c r="AD312" s="122"/>
      <c r="AE312" s="122"/>
      <c r="AF312" s="122"/>
      <c r="AG312" s="122"/>
      <c r="AH312" s="122"/>
      <c r="AI312" s="122"/>
      <c r="AJ312" s="38"/>
      <c r="AK312" s="122"/>
      <c r="AL312" s="122"/>
      <c r="AM312" s="122"/>
      <c r="AN312" s="122"/>
      <c r="AO312" s="38"/>
      <c r="AP312" s="38"/>
      <c r="AQ312" s="38"/>
      <c r="AR312" s="17"/>
      <c r="AS312" s="1"/>
      <c r="AT312" s="17"/>
      <c r="AU312" s="1"/>
      <c r="AV312" s="17"/>
      <c r="AW312" s="1"/>
      <c r="AX312" s="2"/>
      <c r="AY312" s="1"/>
      <c r="AZ312" s="1"/>
    </row>
    <row x14ac:dyDescent="0.25" r="313" customHeight="1" ht="15">
      <c r="A313" s="1"/>
      <c r="B313" s="1"/>
      <c r="C313" s="1"/>
      <c r="D313" s="1"/>
      <c r="E313" s="1"/>
      <c r="F313" s="1"/>
      <c r="G313" s="1"/>
      <c r="H313" s="1"/>
      <c r="I313" s="1"/>
      <c r="J313" s="1"/>
      <c r="K313" s="17"/>
      <c r="L313" s="1"/>
      <c r="M313" s="1"/>
      <c r="N313" s="2"/>
      <c r="O313" s="2"/>
      <c r="P313" s="17"/>
      <c r="Q313" s="1"/>
      <c r="R313" s="1"/>
      <c r="S313" s="1"/>
      <c r="T313" s="38"/>
      <c r="U313" s="38"/>
      <c r="V313" s="38"/>
      <c r="W313" s="38"/>
      <c r="X313" s="38"/>
      <c r="Y313" s="38"/>
      <c r="Z313" s="38"/>
      <c r="AA313" s="122"/>
      <c r="AB313" s="122"/>
      <c r="AC313" s="122"/>
      <c r="AD313" s="122"/>
      <c r="AE313" s="122"/>
      <c r="AF313" s="122"/>
      <c r="AG313" s="122"/>
      <c r="AH313" s="122"/>
      <c r="AI313" s="122"/>
      <c r="AJ313" s="38"/>
      <c r="AK313" s="122"/>
      <c r="AL313" s="122"/>
      <c r="AM313" s="122"/>
      <c r="AN313" s="122"/>
      <c r="AO313" s="38"/>
      <c r="AP313" s="38"/>
      <c r="AQ313" s="38"/>
      <c r="AR313" s="17"/>
      <c r="AS313" s="1"/>
      <c r="AT313" s="17"/>
      <c r="AU313" s="1"/>
      <c r="AV313" s="17"/>
      <c r="AW313" s="1"/>
      <c r="AX313" s="2"/>
      <c r="AY313" s="1"/>
      <c r="AZ313" s="1"/>
    </row>
    <row x14ac:dyDescent="0.25" r="314" customHeight="1" ht="15">
      <c r="A314" s="1"/>
      <c r="B314" s="1"/>
      <c r="C314" s="1"/>
      <c r="D314" s="1"/>
      <c r="E314" s="1"/>
      <c r="F314" s="1"/>
      <c r="G314" s="1"/>
      <c r="H314" s="1"/>
      <c r="I314" s="1"/>
      <c r="J314" s="1"/>
      <c r="K314" s="17"/>
      <c r="L314" s="1"/>
      <c r="M314" s="1"/>
      <c r="N314" s="2"/>
      <c r="O314" s="2"/>
      <c r="P314" s="17"/>
      <c r="Q314" s="1"/>
      <c r="R314" s="1"/>
      <c r="S314" s="1"/>
      <c r="T314" s="38"/>
      <c r="U314" s="38"/>
      <c r="V314" s="38"/>
      <c r="W314" s="38"/>
      <c r="X314" s="38"/>
      <c r="Y314" s="38"/>
      <c r="Z314" s="38"/>
      <c r="AA314" s="122"/>
      <c r="AB314" s="122"/>
      <c r="AC314" s="122"/>
      <c r="AD314" s="122"/>
      <c r="AE314" s="122"/>
      <c r="AF314" s="122"/>
      <c r="AG314" s="122"/>
      <c r="AH314" s="122"/>
      <c r="AI314" s="122"/>
      <c r="AJ314" s="38"/>
      <c r="AK314" s="122"/>
      <c r="AL314" s="122"/>
      <c r="AM314" s="122"/>
      <c r="AN314" s="122"/>
      <c r="AO314" s="38"/>
      <c r="AP314" s="38"/>
      <c r="AQ314" s="38"/>
      <c r="AR314" s="17"/>
      <c r="AS314" s="1"/>
      <c r="AT314" s="17"/>
      <c r="AU314" s="1"/>
      <c r="AV314" s="17"/>
      <c r="AW314" s="1"/>
      <c r="AX314" s="2"/>
      <c r="AY314" s="1"/>
      <c r="AZ314" s="1"/>
    </row>
    <row x14ac:dyDescent="0.25" r="315" customHeight="1" ht="15">
      <c r="A315" s="1"/>
      <c r="B315" s="1"/>
      <c r="C315" s="1"/>
      <c r="D315" s="1"/>
      <c r="E315" s="1"/>
      <c r="F315" s="1"/>
      <c r="G315" s="1"/>
      <c r="H315" s="1"/>
      <c r="I315" s="1"/>
      <c r="J315" s="1"/>
      <c r="K315" s="17"/>
      <c r="L315" s="1"/>
      <c r="M315" s="1"/>
      <c r="N315" s="2"/>
      <c r="O315" s="2"/>
      <c r="P315" s="17"/>
      <c r="Q315" s="1"/>
      <c r="R315" s="1"/>
      <c r="S315" s="1"/>
      <c r="T315" s="38"/>
      <c r="U315" s="38"/>
      <c r="V315" s="38"/>
      <c r="W315" s="38"/>
      <c r="X315" s="38"/>
      <c r="Y315" s="38"/>
      <c r="Z315" s="38"/>
      <c r="AA315" s="122"/>
      <c r="AB315" s="122"/>
      <c r="AC315" s="122"/>
      <c r="AD315" s="122"/>
      <c r="AE315" s="122"/>
      <c r="AF315" s="122"/>
      <c r="AG315" s="122"/>
      <c r="AH315" s="122"/>
      <c r="AI315" s="122"/>
      <c r="AJ315" s="38"/>
      <c r="AK315" s="122"/>
      <c r="AL315" s="122"/>
      <c r="AM315" s="122"/>
      <c r="AN315" s="122"/>
      <c r="AO315" s="38"/>
      <c r="AP315" s="38"/>
      <c r="AQ315" s="38"/>
      <c r="AR315" s="17"/>
      <c r="AS315" s="1"/>
      <c r="AT315" s="17"/>
      <c r="AU315" s="1"/>
      <c r="AV315" s="17"/>
      <c r="AW315" s="1"/>
      <c r="AX315" s="2"/>
      <c r="AY315" s="1"/>
      <c r="AZ315" s="1"/>
    </row>
    <row x14ac:dyDescent="0.25" r="316" customHeight="1" ht="15">
      <c r="A316" s="1"/>
      <c r="B316" s="1"/>
      <c r="C316" s="1"/>
      <c r="D316" s="1"/>
      <c r="E316" s="1"/>
      <c r="F316" s="1"/>
      <c r="G316" s="1"/>
      <c r="H316" s="1"/>
      <c r="I316" s="1"/>
      <c r="J316" s="1"/>
      <c r="K316" s="17"/>
      <c r="L316" s="1"/>
      <c r="M316" s="1"/>
      <c r="N316" s="2"/>
      <c r="O316" s="2"/>
      <c r="P316" s="17"/>
      <c r="Q316" s="1"/>
      <c r="R316" s="1"/>
      <c r="S316" s="1"/>
      <c r="T316" s="38"/>
      <c r="U316" s="38"/>
      <c r="V316" s="38"/>
      <c r="W316" s="38"/>
      <c r="X316" s="38"/>
      <c r="Y316" s="38"/>
      <c r="Z316" s="38"/>
      <c r="AA316" s="122"/>
      <c r="AB316" s="122"/>
      <c r="AC316" s="122"/>
      <c r="AD316" s="122"/>
      <c r="AE316" s="122"/>
      <c r="AF316" s="122"/>
      <c r="AG316" s="122"/>
      <c r="AH316" s="122"/>
      <c r="AI316" s="122"/>
      <c r="AJ316" s="38"/>
      <c r="AK316" s="122"/>
      <c r="AL316" s="122"/>
      <c r="AM316" s="122"/>
      <c r="AN316" s="122"/>
      <c r="AO316" s="38"/>
      <c r="AP316" s="38"/>
      <c r="AQ316" s="38"/>
      <c r="AR316" s="17"/>
      <c r="AS316" s="1"/>
      <c r="AT316" s="17"/>
      <c r="AU316" s="1"/>
      <c r="AV316" s="17"/>
      <c r="AW316" s="1"/>
      <c r="AX316" s="2"/>
      <c r="AY316" s="1"/>
      <c r="AZ316" s="1"/>
    </row>
    <row x14ac:dyDescent="0.25" r="317" customHeight="1" ht="15">
      <c r="A317" s="1"/>
      <c r="B317" s="1"/>
      <c r="C317" s="1"/>
      <c r="D317" s="1"/>
      <c r="E317" s="1"/>
      <c r="F317" s="1"/>
      <c r="G317" s="1"/>
      <c r="H317" s="1"/>
      <c r="I317" s="1"/>
      <c r="J317" s="1"/>
      <c r="K317" s="17"/>
      <c r="L317" s="1"/>
      <c r="M317" s="1"/>
      <c r="N317" s="2"/>
      <c r="O317" s="2"/>
      <c r="P317" s="17"/>
      <c r="Q317" s="1"/>
      <c r="R317" s="1"/>
      <c r="S317" s="1"/>
      <c r="T317" s="38"/>
      <c r="U317" s="38"/>
      <c r="V317" s="38"/>
      <c r="W317" s="38"/>
      <c r="X317" s="38"/>
      <c r="Y317" s="38"/>
      <c r="Z317" s="38"/>
      <c r="AA317" s="122"/>
      <c r="AB317" s="122"/>
      <c r="AC317" s="122"/>
      <c r="AD317" s="122"/>
      <c r="AE317" s="122"/>
      <c r="AF317" s="122"/>
      <c r="AG317" s="122"/>
      <c r="AH317" s="122"/>
      <c r="AI317" s="122"/>
      <c r="AJ317" s="38"/>
      <c r="AK317" s="122"/>
      <c r="AL317" s="122"/>
      <c r="AM317" s="122"/>
      <c r="AN317" s="122"/>
      <c r="AO317" s="38"/>
      <c r="AP317" s="38"/>
      <c r="AQ317" s="38"/>
      <c r="AR317" s="17"/>
      <c r="AS317" s="1"/>
      <c r="AT317" s="17"/>
      <c r="AU317" s="1"/>
      <c r="AV317" s="17"/>
      <c r="AW317" s="1"/>
      <c r="AX317" s="2"/>
      <c r="AY317" s="1"/>
      <c r="AZ317" s="1"/>
    </row>
    <row x14ac:dyDescent="0.25" r="318" customHeight="1" ht="15">
      <c r="A318" s="1"/>
      <c r="B318" s="1"/>
      <c r="C318" s="1"/>
      <c r="D318" s="1"/>
      <c r="E318" s="1"/>
      <c r="F318" s="1"/>
      <c r="G318" s="1"/>
      <c r="H318" s="1"/>
      <c r="I318" s="1"/>
      <c r="J318" s="1"/>
      <c r="K318" s="17"/>
      <c r="L318" s="1"/>
      <c r="M318" s="1"/>
      <c r="N318" s="2"/>
      <c r="O318" s="2"/>
      <c r="P318" s="17"/>
      <c r="Q318" s="1"/>
      <c r="R318" s="1"/>
      <c r="S318" s="1"/>
      <c r="T318" s="38"/>
      <c r="U318" s="38"/>
      <c r="V318" s="38"/>
      <c r="W318" s="38"/>
      <c r="X318" s="38"/>
      <c r="Y318" s="38"/>
      <c r="Z318" s="38"/>
      <c r="AA318" s="122"/>
      <c r="AB318" s="122"/>
      <c r="AC318" s="122"/>
      <c r="AD318" s="122"/>
      <c r="AE318" s="122"/>
      <c r="AF318" s="122"/>
      <c r="AG318" s="122"/>
      <c r="AH318" s="122"/>
      <c r="AI318" s="122"/>
      <c r="AJ318" s="38"/>
      <c r="AK318" s="122"/>
      <c r="AL318" s="122"/>
      <c r="AM318" s="122"/>
      <c r="AN318" s="122"/>
      <c r="AO318" s="38"/>
      <c r="AP318" s="38"/>
      <c r="AQ318" s="38"/>
      <c r="AR318" s="17"/>
      <c r="AS318" s="1"/>
      <c r="AT318" s="17"/>
      <c r="AU318" s="1"/>
      <c r="AV318" s="17"/>
      <c r="AW318" s="1"/>
      <c r="AX318" s="2"/>
      <c r="AY318" s="1"/>
      <c r="AZ318" s="1"/>
    </row>
    <row x14ac:dyDescent="0.25" r="319" customHeight="1" ht="15">
      <c r="A319" s="1"/>
      <c r="B319" s="1"/>
      <c r="C319" s="1"/>
      <c r="D319" s="1"/>
      <c r="E319" s="1"/>
      <c r="F319" s="1"/>
      <c r="G319" s="1"/>
      <c r="H319" s="1"/>
      <c r="I319" s="1"/>
      <c r="J319" s="1"/>
      <c r="K319" s="17"/>
      <c r="L319" s="1"/>
      <c r="M319" s="1"/>
      <c r="N319" s="2"/>
      <c r="O319" s="2"/>
      <c r="P319" s="17"/>
      <c r="Q319" s="1"/>
      <c r="R319" s="1"/>
      <c r="S319" s="1"/>
      <c r="T319" s="38"/>
      <c r="U319" s="38"/>
      <c r="V319" s="38"/>
      <c r="W319" s="38"/>
      <c r="X319" s="38"/>
      <c r="Y319" s="38"/>
      <c r="Z319" s="38"/>
      <c r="AA319" s="122"/>
      <c r="AB319" s="122"/>
      <c r="AC319" s="122"/>
      <c r="AD319" s="122"/>
      <c r="AE319" s="122"/>
      <c r="AF319" s="122"/>
      <c r="AG319" s="122"/>
      <c r="AH319" s="122"/>
      <c r="AI319" s="122"/>
      <c r="AJ319" s="38"/>
      <c r="AK319" s="122"/>
      <c r="AL319" s="122"/>
      <c r="AM319" s="122"/>
      <c r="AN319" s="122"/>
      <c r="AO319" s="38"/>
      <c r="AP319" s="38"/>
      <c r="AQ319" s="38"/>
      <c r="AR319" s="17"/>
      <c r="AS319" s="1"/>
      <c r="AT319" s="17"/>
      <c r="AU319" s="1"/>
      <c r="AV319" s="17"/>
      <c r="AW319" s="1"/>
      <c r="AX319" s="2"/>
      <c r="AY319" s="1"/>
      <c r="AZ319" s="1"/>
    </row>
    <row x14ac:dyDescent="0.25" r="320" customHeight="1" ht="15">
      <c r="A320" s="1"/>
      <c r="B320" s="1"/>
      <c r="C320" s="1"/>
      <c r="D320" s="1"/>
      <c r="E320" s="1"/>
      <c r="F320" s="1"/>
      <c r="G320" s="1"/>
      <c r="H320" s="1"/>
      <c r="I320" s="1"/>
      <c r="J320" s="1"/>
      <c r="K320" s="17"/>
      <c r="L320" s="1"/>
      <c r="M320" s="1"/>
      <c r="N320" s="2"/>
      <c r="O320" s="2"/>
      <c r="P320" s="17"/>
      <c r="Q320" s="1"/>
      <c r="R320" s="1"/>
      <c r="S320" s="1"/>
      <c r="T320" s="38"/>
      <c r="U320" s="38"/>
      <c r="V320" s="38"/>
      <c r="W320" s="38"/>
      <c r="X320" s="38"/>
      <c r="Y320" s="38"/>
      <c r="Z320" s="38"/>
      <c r="AA320" s="122"/>
      <c r="AB320" s="122"/>
      <c r="AC320" s="122"/>
      <c r="AD320" s="122"/>
      <c r="AE320" s="122"/>
      <c r="AF320" s="122"/>
      <c r="AG320" s="122"/>
      <c r="AH320" s="122"/>
      <c r="AI320" s="122"/>
      <c r="AJ320" s="38"/>
      <c r="AK320" s="122"/>
      <c r="AL320" s="122"/>
      <c r="AM320" s="122"/>
      <c r="AN320" s="122"/>
      <c r="AO320" s="38"/>
      <c r="AP320" s="38"/>
      <c r="AQ320" s="38"/>
      <c r="AR320" s="17"/>
      <c r="AS320" s="1"/>
      <c r="AT320" s="17"/>
      <c r="AU320" s="1"/>
      <c r="AV320" s="17"/>
      <c r="AW320" s="1"/>
      <c r="AX320" s="2"/>
      <c r="AY320" s="1"/>
      <c r="AZ320" s="1"/>
    </row>
    <row x14ac:dyDescent="0.25" r="321" customHeight="1" ht="15">
      <c r="A321" s="1"/>
      <c r="B321" s="1"/>
      <c r="C321" s="1"/>
      <c r="D321" s="1"/>
      <c r="E321" s="1"/>
      <c r="F321" s="1"/>
      <c r="G321" s="1"/>
      <c r="H321" s="1"/>
      <c r="I321" s="1"/>
      <c r="J321" s="1"/>
      <c r="K321" s="17"/>
      <c r="L321" s="1"/>
      <c r="M321" s="1"/>
      <c r="N321" s="2"/>
      <c r="O321" s="2"/>
      <c r="P321" s="17"/>
      <c r="Q321" s="1"/>
      <c r="R321" s="1"/>
      <c r="S321" s="1"/>
      <c r="T321" s="38"/>
      <c r="U321" s="38"/>
      <c r="V321" s="38"/>
      <c r="W321" s="38"/>
      <c r="X321" s="38"/>
      <c r="Y321" s="38"/>
      <c r="Z321" s="38"/>
      <c r="AA321" s="122"/>
      <c r="AB321" s="122"/>
      <c r="AC321" s="122"/>
      <c r="AD321" s="122"/>
      <c r="AE321" s="122"/>
      <c r="AF321" s="122"/>
      <c r="AG321" s="122"/>
      <c r="AH321" s="122"/>
      <c r="AI321" s="122"/>
      <c r="AJ321" s="38"/>
      <c r="AK321" s="122"/>
      <c r="AL321" s="122"/>
      <c r="AM321" s="122"/>
      <c r="AN321" s="122"/>
      <c r="AO321" s="38"/>
      <c r="AP321" s="38"/>
      <c r="AQ321" s="38"/>
      <c r="AR321" s="17"/>
      <c r="AS321" s="1"/>
      <c r="AT321" s="17"/>
      <c r="AU321" s="1"/>
      <c r="AV321" s="17"/>
      <c r="AW321" s="1"/>
      <c r="AX321" s="2"/>
      <c r="AY321" s="1"/>
      <c r="AZ321" s="1"/>
    </row>
    <row x14ac:dyDescent="0.25" r="322" customHeight="1" ht="15">
      <c r="A322" s="1"/>
      <c r="B322" s="1"/>
      <c r="C322" s="1"/>
      <c r="D322" s="1"/>
      <c r="E322" s="1"/>
      <c r="F322" s="1"/>
      <c r="G322" s="1"/>
      <c r="H322" s="1"/>
      <c r="I322" s="1"/>
      <c r="J322" s="1"/>
      <c r="K322" s="17"/>
      <c r="L322" s="1"/>
      <c r="M322" s="1"/>
      <c r="N322" s="2"/>
      <c r="O322" s="2"/>
      <c r="P322" s="17"/>
      <c r="Q322" s="1"/>
      <c r="R322" s="1"/>
      <c r="S322" s="1"/>
      <c r="T322" s="38"/>
      <c r="U322" s="38"/>
      <c r="V322" s="38"/>
      <c r="W322" s="38"/>
      <c r="X322" s="38"/>
      <c r="Y322" s="38"/>
      <c r="Z322" s="38"/>
      <c r="AA322" s="122"/>
      <c r="AB322" s="122"/>
      <c r="AC322" s="122"/>
      <c r="AD322" s="122"/>
      <c r="AE322" s="122"/>
      <c r="AF322" s="122"/>
      <c r="AG322" s="122"/>
      <c r="AH322" s="122"/>
      <c r="AI322" s="122"/>
      <c r="AJ322" s="38"/>
      <c r="AK322" s="122"/>
      <c r="AL322" s="122"/>
      <c r="AM322" s="122"/>
      <c r="AN322" s="122"/>
      <c r="AO322" s="38"/>
      <c r="AP322" s="38"/>
      <c r="AQ322" s="38"/>
      <c r="AR322" s="17"/>
      <c r="AS322" s="1"/>
      <c r="AT322" s="17"/>
      <c r="AU322" s="1"/>
      <c r="AV322" s="17"/>
      <c r="AW322" s="1"/>
      <c r="AX322" s="2"/>
      <c r="AY322" s="1"/>
      <c r="AZ322" s="1"/>
    </row>
    <row x14ac:dyDescent="0.25" r="323" customHeight="1" ht="15">
      <c r="A323" s="1"/>
      <c r="B323" s="1"/>
      <c r="C323" s="1"/>
      <c r="D323" s="1"/>
      <c r="E323" s="1"/>
      <c r="F323" s="1"/>
      <c r="G323" s="1"/>
      <c r="H323" s="1"/>
      <c r="I323" s="1"/>
      <c r="J323" s="1"/>
      <c r="K323" s="17"/>
      <c r="L323" s="1"/>
      <c r="M323" s="1"/>
      <c r="N323" s="2"/>
      <c r="O323" s="2"/>
      <c r="P323" s="17"/>
      <c r="Q323" s="1"/>
      <c r="R323" s="1"/>
      <c r="S323" s="1"/>
      <c r="T323" s="38"/>
      <c r="U323" s="38"/>
      <c r="V323" s="38"/>
      <c r="W323" s="38"/>
      <c r="X323" s="38"/>
      <c r="Y323" s="38"/>
      <c r="Z323" s="38"/>
      <c r="AA323" s="122"/>
      <c r="AB323" s="122"/>
      <c r="AC323" s="122"/>
      <c r="AD323" s="122"/>
      <c r="AE323" s="122"/>
      <c r="AF323" s="122"/>
      <c r="AG323" s="122"/>
      <c r="AH323" s="122"/>
      <c r="AI323" s="122"/>
      <c r="AJ323" s="38"/>
      <c r="AK323" s="122"/>
      <c r="AL323" s="122"/>
      <c r="AM323" s="122"/>
      <c r="AN323" s="122"/>
      <c r="AO323" s="38"/>
      <c r="AP323" s="38"/>
      <c r="AQ323" s="38"/>
      <c r="AR323" s="17"/>
      <c r="AS323" s="1"/>
      <c r="AT323" s="17"/>
      <c r="AU323" s="1"/>
      <c r="AV323" s="17"/>
      <c r="AW323" s="1"/>
      <c r="AX323" s="2"/>
      <c r="AY323" s="1"/>
      <c r="AZ323" s="1"/>
    </row>
    <row x14ac:dyDescent="0.25" r="324" customHeight="1" ht="15">
      <c r="A324" s="1"/>
      <c r="B324" s="1"/>
      <c r="C324" s="1"/>
      <c r="D324" s="1"/>
      <c r="E324" s="1"/>
      <c r="F324" s="1"/>
      <c r="G324" s="1"/>
      <c r="H324" s="1"/>
      <c r="I324" s="1"/>
      <c r="J324" s="1"/>
      <c r="K324" s="17"/>
      <c r="L324" s="1"/>
      <c r="M324" s="1"/>
      <c r="N324" s="2"/>
      <c r="O324" s="2"/>
      <c r="P324" s="17"/>
      <c r="Q324" s="1"/>
      <c r="R324" s="1"/>
      <c r="S324" s="1"/>
      <c r="T324" s="38"/>
      <c r="U324" s="38"/>
      <c r="V324" s="38"/>
      <c r="W324" s="38"/>
      <c r="X324" s="38"/>
      <c r="Y324" s="38"/>
      <c r="Z324" s="38"/>
      <c r="AA324" s="122"/>
      <c r="AB324" s="122"/>
      <c r="AC324" s="122"/>
      <c r="AD324" s="122"/>
      <c r="AE324" s="122"/>
      <c r="AF324" s="122"/>
      <c r="AG324" s="122"/>
      <c r="AH324" s="122"/>
      <c r="AI324" s="122"/>
      <c r="AJ324" s="38"/>
      <c r="AK324" s="122"/>
      <c r="AL324" s="122"/>
      <c r="AM324" s="122"/>
      <c r="AN324" s="122"/>
      <c r="AO324" s="38"/>
      <c r="AP324" s="38"/>
      <c r="AQ324" s="38"/>
      <c r="AR324" s="17"/>
      <c r="AS324" s="1"/>
      <c r="AT324" s="17"/>
      <c r="AU324" s="1"/>
      <c r="AV324" s="17"/>
      <c r="AW324" s="1"/>
      <c r="AX324" s="2"/>
      <c r="AY324" s="1"/>
      <c r="AZ324" s="1"/>
    </row>
    <row x14ac:dyDescent="0.25" r="325" customHeight="1" ht="15">
      <c r="A325" s="1"/>
      <c r="B325" s="1"/>
      <c r="C325" s="1"/>
      <c r="D325" s="1"/>
      <c r="E325" s="1"/>
      <c r="F325" s="1"/>
      <c r="G325" s="1"/>
      <c r="H325" s="1"/>
      <c r="I325" s="1"/>
      <c r="J325" s="1"/>
      <c r="K325" s="17"/>
      <c r="L325" s="1"/>
      <c r="M325" s="1"/>
      <c r="N325" s="2"/>
      <c r="O325" s="2"/>
      <c r="P325" s="17"/>
      <c r="Q325" s="1"/>
      <c r="R325" s="1"/>
      <c r="S325" s="1"/>
      <c r="T325" s="38"/>
      <c r="U325" s="38"/>
      <c r="V325" s="38"/>
      <c r="W325" s="38"/>
      <c r="X325" s="38"/>
      <c r="Y325" s="38"/>
      <c r="Z325" s="38"/>
      <c r="AA325" s="122"/>
      <c r="AB325" s="122"/>
      <c r="AC325" s="122"/>
      <c r="AD325" s="122"/>
      <c r="AE325" s="122"/>
      <c r="AF325" s="122"/>
      <c r="AG325" s="122"/>
      <c r="AH325" s="122"/>
      <c r="AI325" s="122"/>
      <c r="AJ325" s="38"/>
      <c r="AK325" s="122"/>
      <c r="AL325" s="122"/>
      <c r="AM325" s="122"/>
      <c r="AN325" s="122"/>
      <c r="AO325" s="38"/>
      <c r="AP325" s="38"/>
      <c r="AQ325" s="38"/>
      <c r="AR325" s="17"/>
      <c r="AS325" s="1"/>
      <c r="AT325" s="17"/>
      <c r="AU325" s="1"/>
      <c r="AV325" s="17"/>
      <c r="AW325" s="1"/>
      <c r="AX325" s="2"/>
      <c r="AY325" s="1"/>
      <c r="AZ325" s="1"/>
    </row>
    <row x14ac:dyDescent="0.25" r="326" customHeight="1" ht="15">
      <c r="A326" s="1"/>
      <c r="B326" s="1"/>
      <c r="C326" s="1"/>
      <c r="D326" s="1"/>
      <c r="E326" s="1"/>
      <c r="F326" s="1"/>
      <c r="G326" s="1"/>
      <c r="H326" s="1"/>
      <c r="I326" s="1"/>
      <c r="J326" s="1"/>
      <c r="K326" s="17"/>
      <c r="L326" s="1"/>
      <c r="M326" s="1"/>
      <c r="N326" s="2"/>
      <c r="O326" s="2"/>
      <c r="P326" s="17"/>
      <c r="Q326" s="1"/>
      <c r="R326" s="1"/>
      <c r="S326" s="1"/>
      <c r="T326" s="38"/>
      <c r="U326" s="38"/>
      <c r="V326" s="38"/>
      <c r="W326" s="38"/>
      <c r="X326" s="38"/>
      <c r="Y326" s="38"/>
      <c r="Z326" s="38"/>
      <c r="AA326" s="122"/>
      <c r="AB326" s="122"/>
      <c r="AC326" s="122"/>
      <c r="AD326" s="122"/>
      <c r="AE326" s="122"/>
      <c r="AF326" s="122"/>
      <c r="AG326" s="122"/>
      <c r="AH326" s="122"/>
      <c r="AI326" s="122"/>
      <c r="AJ326" s="38"/>
      <c r="AK326" s="122"/>
      <c r="AL326" s="122"/>
      <c r="AM326" s="122"/>
      <c r="AN326" s="122"/>
      <c r="AO326" s="38"/>
      <c r="AP326" s="38"/>
      <c r="AQ326" s="38"/>
      <c r="AR326" s="17"/>
      <c r="AS326" s="1"/>
      <c r="AT326" s="17"/>
      <c r="AU326" s="1"/>
      <c r="AV326" s="17"/>
      <c r="AW326" s="1"/>
      <c r="AX326" s="2"/>
      <c r="AY326" s="1"/>
      <c r="AZ326" s="1"/>
    </row>
    <row x14ac:dyDescent="0.25" r="327" customHeight="1" ht="15">
      <c r="A327" s="1"/>
      <c r="B327" s="1"/>
      <c r="C327" s="1"/>
      <c r="D327" s="1"/>
      <c r="E327" s="1"/>
      <c r="F327" s="1"/>
      <c r="G327" s="1"/>
      <c r="H327" s="1"/>
      <c r="I327" s="1"/>
      <c r="J327" s="1"/>
      <c r="K327" s="17"/>
      <c r="L327" s="1"/>
      <c r="M327" s="1"/>
      <c r="N327" s="2"/>
      <c r="O327" s="2"/>
      <c r="P327" s="17"/>
      <c r="Q327" s="1"/>
      <c r="R327" s="1"/>
      <c r="S327" s="1"/>
      <c r="T327" s="38"/>
      <c r="U327" s="38"/>
      <c r="V327" s="38"/>
      <c r="W327" s="38"/>
      <c r="X327" s="38"/>
      <c r="Y327" s="38"/>
      <c r="Z327" s="38"/>
      <c r="AA327" s="122"/>
      <c r="AB327" s="122"/>
      <c r="AC327" s="122"/>
      <c r="AD327" s="122"/>
      <c r="AE327" s="122"/>
      <c r="AF327" s="122"/>
      <c r="AG327" s="122"/>
      <c r="AH327" s="122"/>
      <c r="AI327" s="122"/>
      <c r="AJ327" s="38"/>
      <c r="AK327" s="122"/>
      <c r="AL327" s="122"/>
      <c r="AM327" s="122"/>
      <c r="AN327" s="122"/>
      <c r="AO327" s="38"/>
      <c r="AP327" s="38"/>
      <c r="AQ327" s="38"/>
      <c r="AR327" s="17"/>
      <c r="AS327" s="1"/>
      <c r="AT327" s="17"/>
      <c r="AU327" s="1"/>
      <c r="AV327" s="17"/>
      <c r="AW327" s="1"/>
      <c r="AX327" s="2"/>
      <c r="AY327" s="1"/>
      <c r="AZ327" s="1"/>
    </row>
    <row x14ac:dyDescent="0.25" r="328" customHeight="1" ht="15">
      <c r="A328" s="1"/>
      <c r="B328" s="1"/>
      <c r="C328" s="1"/>
      <c r="D328" s="1"/>
      <c r="E328" s="1"/>
      <c r="F328" s="1"/>
      <c r="G328" s="1"/>
      <c r="H328" s="1"/>
      <c r="I328" s="1"/>
      <c r="J328" s="1"/>
      <c r="K328" s="17"/>
      <c r="L328" s="1"/>
      <c r="M328" s="1"/>
      <c r="N328" s="2"/>
      <c r="O328" s="2"/>
      <c r="P328" s="17"/>
      <c r="Q328" s="1"/>
      <c r="R328" s="1"/>
      <c r="S328" s="1"/>
      <c r="T328" s="38"/>
      <c r="U328" s="38"/>
      <c r="V328" s="38"/>
      <c r="W328" s="38"/>
      <c r="X328" s="38"/>
      <c r="Y328" s="38"/>
      <c r="Z328" s="38"/>
      <c r="AA328" s="122"/>
      <c r="AB328" s="122"/>
      <c r="AC328" s="122"/>
      <c r="AD328" s="122"/>
      <c r="AE328" s="122"/>
      <c r="AF328" s="122"/>
      <c r="AG328" s="122"/>
      <c r="AH328" s="122"/>
      <c r="AI328" s="122"/>
      <c r="AJ328" s="38"/>
      <c r="AK328" s="122"/>
      <c r="AL328" s="122"/>
      <c r="AM328" s="122"/>
      <c r="AN328" s="122"/>
      <c r="AO328" s="38"/>
      <c r="AP328" s="38"/>
      <c r="AQ328" s="38"/>
      <c r="AR328" s="17"/>
      <c r="AS328" s="1"/>
      <c r="AT328" s="17"/>
      <c r="AU328" s="1"/>
      <c r="AV328" s="17"/>
      <c r="AW328" s="1"/>
      <c r="AX328" s="2"/>
      <c r="AY328" s="1"/>
      <c r="AZ328" s="1"/>
    </row>
    <row x14ac:dyDescent="0.25" r="329" customHeight="1" ht="15">
      <c r="A329" s="1"/>
      <c r="B329" s="1"/>
      <c r="C329" s="1"/>
      <c r="D329" s="1"/>
      <c r="E329" s="1"/>
      <c r="F329" s="1"/>
      <c r="G329" s="1"/>
      <c r="H329" s="1"/>
      <c r="I329" s="1"/>
      <c r="J329" s="1"/>
      <c r="K329" s="17"/>
      <c r="L329" s="1"/>
      <c r="M329" s="1"/>
      <c r="N329" s="2"/>
      <c r="O329" s="2"/>
      <c r="P329" s="17"/>
      <c r="Q329" s="1"/>
      <c r="R329" s="1"/>
      <c r="S329" s="1"/>
      <c r="T329" s="38"/>
      <c r="U329" s="38"/>
      <c r="V329" s="38"/>
      <c r="W329" s="38"/>
      <c r="X329" s="38"/>
      <c r="Y329" s="38"/>
      <c r="Z329" s="38"/>
      <c r="AA329" s="122"/>
      <c r="AB329" s="122"/>
      <c r="AC329" s="122"/>
      <c r="AD329" s="122"/>
      <c r="AE329" s="122"/>
      <c r="AF329" s="122"/>
      <c r="AG329" s="122"/>
      <c r="AH329" s="122"/>
      <c r="AI329" s="122"/>
      <c r="AJ329" s="38"/>
      <c r="AK329" s="122"/>
      <c r="AL329" s="122"/>
      <c r="AM329" s="122"/>
      <c r="AN329" s="122"/>
      <c r="AO329" s="38"/>
      <c r="AP329" s="38"/>
      <c r="AQ329" s="38"/>
      <c r="AR329" s="17"/>
      <c r="AS329" s="1"/>
      <c r="AT329" s="17"/>
      <c r="AU329" s="1"/>
      <c r="AV329" s="17"/>
      <c r="AW329" s="1"/>
      <c r="AX329" s="2"/>
      <c r="AY329" s="1"/>
      <c r="AZ329" s="1"/>
    </row>
    <row x14ac:dyDescent="0.25" r="330" customHeight="1" ht="15">
      <c r="A330" s="1"/>
      <c r="B330" s="1"/>
      <c r="C330" s="1"/>
      <c r="D330" s="1"/>
      <c r="E330" s="1"/>
      <c r="F330" s="1"/>
      <c r="G330" s="1"/>
      <c r="H330" s="1"/>
      <c r="I330" s="1"/>
      <c r="J330" s="1"/>
      <c r="K330" s="17"/>
      <c r="L330" s="1"/>
      <c r="M330" s="1"/>
      <c r="N330" s="2"/>
      <c r="O330" s="2"/>
      <c r="P330" s="17"/>
      <c r="Q330" s="1"/>
      <c r="R330" s="1"/>
      <c r="S330" s="1"/>
      <c r="T330" s="38"/>
      <c r="U330" s="38"/>
      <c r="V330" s="38"/>
      <c r="W330" s="38"/>
      <c r="X330" s="38"/>
      <c r="Y330" s="38"/>
      <c r="Z330" s="38"/>
      <c r="AA330" s="122"/>
      <c r="AB330" s="122"/>
      <c r="AC330" s="122"/>
      <c r="AD330" s="122"/>
      <c r="AE330" s="122"/>
      <c r="AF330" s="122"/>
      <c r="AG330" s="122"/>
      <c r="AH330" s="122"/>
      <c r="AI330" s="122"/>
      <c r="AJ330" s="38"/>
      <c r="AK330" s="122"/>
      <c r="AL330" s="122"/>
      <c r="AM330" s="122"/>
      <c r="AN330" s="122"/>
      <c r="AO330" s="38"/>
      <c r="AP330" s="38"/>
      <c r="AQ330" s="38"/>
      <c r="AR330" s="17"/>
      <c r="AS330" s="1"/>
      <c r="AT330" s="17"/>
      <c r="AU330" s="1"/>
      <c r="AV330" s="17"/>
      <c r="AW330" s="1"/>
      <c r="AX330" s="2"/>
      <c r="AY330" s="1"/>
      <c r="AZ330" s="1"/>
    </row>
    <row x14ac:dyDescent="0.25" r="331" customHeight="1" ht="15">
      <c r="A331" s="1"/>
      <c r="B331" s="1"/>
      <c r="C331" s="1"/>
      <c r="D331" s="1"/>
      <c r="E331" s="1"/>
      <c r="F331" s="1"/>
      <c r="G331" s="1"/>
      <c r="H331" s="1"/>
      <c r="I331" s="1"/>
      <c r="J331" s="1"/>
      <c r="K331" s="17"/>
      <c r="L331" s="1"/>
      <c r="M331" s="1"/>
      <c r="N331" s="2"/>
      <c r="O331" s="2"/>
      <c r="P331" s="17"/>
      <c r="Q331" s="1"/>
      <c r="R331" s="1"/>
      <c r="S331" s="1"/>
      <c r="T331" s="38"/>
      <c r="U331" s="38"/>
      <c r="V331" s="38"/>
      <c r="W331" s="38"/>
      <c r="X331" s="38"/>
      <c r="Y331" s="38"/>
      <c r="Z331" s="38"/>
      <c r="AA331" s="122"/>
      <c r="AB331" s="122"/>
      <c r="AC331" s="122"/>
      <c r="AD331" s="122"/>
      <c r="AE331" s="122"/>
      <c r="AF331" s="122"/>
      <c r="AG331" s="122"/>
      <c r="AH331" s="122"/>
      <c r="AI331" s="122"/>
      <c r="AJ331" s="38"/>
      <c r="AK331" s="122"/>
      <c r="AL331" s="122"/>
      <c r="AM331" s="122"/>
      <c r="AN331" s="122"/>
      <c r="AO331" s="38"/>
      <c r="AP331" s="38"/>
      <c r="AQ331" s="38"/>
      <c r="AR331" s="17"/>
      <c r="AS331" s="1"/>
      <c r="AT331" s="17"/>
      <c r="AU331" s="1"/>
      <c r="AV331" s="17"/>
      <c r="AW331" s="1"/>
      <c r="AX331" s="2"/>
      <c r="AY331" s="1"/>
      <c r="AZ331" s="1"/>
    </row>
    <row x14ac:dyDescent="0.25" r="332" customHeight="1" ht="15">
      <c r="A332" s="1"/>
      <c r="B332" s="1"/>
      <c r="C332" s="1"/>
      <c r="D332" s="1"/>
      <c r="E332" s="1"/>
      <c r="F332" s="1"/>
      <c r="G332" s="1"/>
      <c r="H332" s="1"/>
      <c r="I332" s="1"/>
      <c r="J332" s="1"/>
      <c r="K332" s="17"/>
      <c r="L332" s="1"/>
      <c r="M332" s="1"/>
      <c r="N332" s="2"/>
      <c r="O332" s="2"/>
      <c r="P332" s="17"/>
      <c r="Q332" s="1"/>
      <c r="R332" s="1"/>
      <c r="S332" s="1"/>
      <c r="T332" s="38"/>
      <c r="U332" s="38"/>
      <c r="V332" s="38"/>
      <c r="W332" s="38"/>
      <c r="X332" s="38"/>
      <c r="Y332" s="38"/>
      <c r="Z332" s="38"/>
      <c r="AA332" s="122"/>
      <c r="AB332" s="122"/>
      <c r="AC332" s="122"/>
      <c r="AD332" s="122"/>
      <c r="AE332" s="122"/>
      <c r="AF332" s="122"/>
      <c r="AG332" s="122"/>
      <c r="AH332" s="122"/>
      <c r="AI332" s="122"/>
      <c r="AJ332" s="38"/>
      <c r="AK332" s="122"/>
      <c r="AL332" s="122"/>
      <c r="AM332" s="122"/>
      <c r="AN332" s="122"/>
      <c r="AO332" s="38"/>
      <c r="AP332" s="38"/>
      <c r="AQ332" s="38"/>
      <c r="AR332" s="17"/>
      <c r="AS332" s="1"/>
      <c r="AT332" s="17"/>
      <c r="AU332" s="1"/>
      <c r="AV332" s="17"/>
      <c r="AW332" s="1"/>
      <c r="AX332" s="2"/>
      <c r="AY332" s="1"/>
      <c r="AZ332" s="1"/>
    </row>
    <row x14ac:dyDescent="0.25" r="333" customHeight="1" ht="15">
      <c r="A333" s="1"/>
      <c r="B333" s="1"/>
      <c r="C333" s="1"/>
      <c r="D333" s="1"/>
      <c r="E333" s="1"/>
      <c r="F333" s="1"/>
      <c r="G333" s="1"/>
      <c r="H333" s="1"/>
      <c r="I333" s="1"/>
      <c r="J333" s="1"/>
      <c r="K333" s="17"/>
      <c r="L333" s="1"/>
      <c r="M333" s="1"/>
      <c r="N333" s="2"/>
      <c r="O333" s="2"/>
      <c r="P333" s="17"/>
      <c r="Q333" s="1"/>
      <c r="R333" s="1"/>
      <c r="S333" s="1"/>
      <c r="T333" s="38"/>
      <c r="U333" s="38"/>
      <c r="V333" s="38"/>
      <c r="W333" s="38"/>
      <c r="X333" s="38"/>
      <c r="Y333" s="38"/>
      <c r="Z333" s="38"/>
      <c r="AA333" s="122"/>
      <c r="AB333" s="122"/>
      <c r="AC333" s="122"/>
      <c r="AD333" s="122"/>
      <c r="AE333" s="122"/>
      <c r="AF333" s="122"/>
      <c r="AG333" s="122"/>
      <c r="AH333" s="122"/>
      <c r="AI333" s="122"/>
      <c r="AJ333" s="38"/>
      <c r="AK333" s="122"/>
      <c r="AL333" s="122"/>
      <c r="AM333" s="122"/>
      <c r="AN333" s="122"/>
      <c r="AO333" s="38"/>
      <c r="AP333" s="38"/>
      <c r="AQ333" s="38"/>
      <c r="AR333" s="17"/>
      <c r="AS333" s="1"/>
      <c r="AT333" s="17"/>
      <c r="AU333" s="1"/>
      <c r="AV333" s="17"/>
      <c r="AW333" s="1"/>
      <c r="AX333" s="2"/>
      <c r="AY333" s="1"/>
      <c r="AZ333" s="1"/>
    </row>
    <row x14ac:dyDescent="0.25" r="334" customHeight="1" ht="15">
      <c r="A334" s="1"/>
      <c r="B334" s="1"/>
      <c r="C334" s="1"/>
      <c r="D334" s="1"/>
      <c r="E334" s="1"/>
      <c r="F334" s="1"/>
      <c r="G334" s="1"/>
      <c r="H334" s="1"/>
      <c r="I334" s="1"/>
      <c r="J334" s="1"/>
      <c r="K334" s="17"/>
      <c r="L334" s="1"/>
      <c r="M334" s="1"/>
      <c r="N334" s="2"/>
      <c r="O334" s="2"/>
      <c r="P334" s="17"/>
      <c r="Q334" s="1"/>
      <c r="R334" s="1"/>
      <c r="S334" s="1"/>
      <c r="T334" s="38"/>
      <c r="U334" s="38"/>
      <c r="V334" s="38"/>
      <c r="W334" s="38"/>
      <c r="X334" s="38"/>
      <c r="Y334" s="38"/>
      <c r="Z334" s="38"/>
      <c r="AA334" s="122"/>
      <c r="AB334" s="122"/>
      <c r="AC334" s="122"/>
      <c r="AD334" s="122"/>
      <c r="AE334" s="122"/>
      <c r="AF334" s="122"/>
      <c r="AG334" s="122"/>
      <c r="AH334" s="122"/>
      <c r="AI334" s="122"/>
      <c r="AJ334" s="38"/>
      <c r="AK334" s="122"/>
      <c r="AL334" s="122"/>
      <c r="AM334" s="122"/>
      <c r="AN334" s="122"/>
      <c r="AO334" s="38"/>
      <c r="AP334" s="38"/>
      <c r="AQ334" s="38"/>
      <c r="AR334" s="17"/>
      <c r="AS334" s="1"/>
      <c r="AT334" s="17"/>
      <c r="AU334" s="1"/>
      <c r="AV334" s="17"/>
      <c r="AW334" s="1"/>
      <c r="AX334" s="2"/>
      <c r="AY334" s="1"/>
      <c r="AZ334" s="1"/>
    </row>
    <row x14ac:dyDescent="0.25" r="335" customHeight="1" ht="15">
      <c r="A335" s="1"/>
      <c r="B335" s="1"/>
      <c r="C335" s="1"/>
      <c r="D335" s="1"/>
      <c r="E335" s="1"/>
      <c r="F335" s="1"/>
      <c r="G335" s="1"/>
      <c r="H335" s="1"/>
      <c r="I335" s="1"/>
      <c r="J335" s="1"/>
      <c r="K335" s="17"/>
      <c r="L335" s="1"/>
      <c r="M335" s="1"/>
      <c r="N335" s="2"/>
      <c r="O335" s="2"/>
      <c r="P335" s="17"/>
      <c r="Q335" s="1"/>
      <c r="R335" s="1"/>
      <c r="S335" s="1"/>
      <c r="T335" s="38"/>
      <c r="U335" s="38"/>
      <c r="V335" s="38"/>
      <c r="W335" s="38"/>
      <c r="X335" s="38"/>
      <c r="Y335" s="38"/>
      <c r="Z335" s="38"/>
      <c r="AA335" s="122"/>
      <c r="AB335" s="122"/>
      <c r="AC335" s="122"/>
      <c r="AD335" s="122"/>
      <c r="AE335" s="122"/>
      <c r="AF335" s="122"/>
      <c r="AG335" s="122"/>
      <c r="AH335" s="122"/>
      <c r="AI335" s="122"/>
      <c r="AJ335" s="38"/>
      <c r="AK335" s="122"/>
      <c r="AL335" s="122"/>
      <c r="AM335" s="122"/>
      <c r="AN335" s="122"/>
      <c r="AO335" s="38"/>
      <c r="AP335" s="38"/>
      <c r="AQ335" s="38"/>
      <c r="AR335" s="17"/>
      <c r="AS335" s="1"/>
      <c r="AT335" s="17"/>
      <c r="AU335" s="1"/>
      <c r="AV335" s="17"/>
      <c r="AW335" s="1"/>
      <c r="AX335" s="2"/>
      <c r="AY335" s="1"/>
      <c r="AZ335" s="1"/>
    </row>
    <row x14ac:dyDescent="0.25" r="336" customHeight="1" ht="15">
      <c r="A336" s="1"/>
      <c r="B336" s="1"/>
      <c r="C336" s="1"/>
      <c r="D336" s="1"/>
      <c r="E336" s="1"/>
      <c r="F336" s="1"/>
      <c r="G336" s="1"/>
      <c r="H336" s="1"/>
      <c r="I336" s="1"/>
      <c r="J336" s="1"/>
      <c r="K336" s="17"/>
      <c r="L336" s="1"/>
      <c r="M336" s="1"/>
      <c r="N336" s="2"/>
      <c r="O336" s="2"/>
      <c r="P336" s="17"/>
      <c r="Q336" s="1"/>
      <c r="R336" s="1"/>
      <c r="S336" s="1"/>
      <c r="T336" s="38"/>
      <c r="U336" s="38"/>
      <c r="V336" s="38"/>
      <c r="W336" s="38"/>
      <c r="X336" s="38"/>
      <c r="Y336" s="38"/>
      <c r="Z336" s="38"/>
      <c r="AA336" s="122"/>
      <c r="AB336" s="122"/>
      <c r="AC336" s="122"/>
      <c r="AD336" s="122"/>
      <c r="AE336" s="122"/>
      <c r="AF336" s="122"/>
      <c r="AG336" s="122"/>
      <c r="AH336" s="122"/>
      <c r="AI336" s="122"/>
      <c r="AJ336" s="38"/>
      <c r="AK336" s="122"/>
      <c r="AL336" s="122"/>
      <c r="AM336" s="122"/>
      <c r="AN336" s="122"/>
      <c r="AO336" s="38"/>
      <c r="AP336" s="38"/>
      <c r="AQ336" s="38"/>
      <c r="AR336" s="17"/>
      <c r="AS336" s="1"/>
      <c r="AT336" s="17"/>
      <c r="AU336" s="1"/>
      <c r="AV336" s="17"/>
      <c r="AW336" s="1"/>
      <c r="AX336" s="2"/>
      <c r="AY336" s="1"/>
      <c r="AZ336" s="1"/>
    </row>
    <row x14ac:dyDescent="0.25" r="337" customHeight="1" ht="15">
      <c r="A337" s="1"/>
      <c r="B337" s="1"/>
      <c r="C337" s="1"/>
      <c r="D337" s="1"/>
      <c r="E337" s="1"/>
      <c r="F337" s="1"/>
      <c r="G337" s="1"/>
      <c r="H337" s="1"/>
      <c r="I337" s="1"/>
      <c r="J337" s="1"/>
      <c r="K337" s="17"/>
      <c r="L337" s="1"/>
      <c r="M337" s="1"/>
      <c r="N337" s="2"/>
      <c r="O337" s="2"/>
      <c r="P337" s="17"/>
      <c r="Q337" s="1"/>
      <c r="R337" s="1"/>
      <c r="S337" s="1"/>
      <c r="T337" s="38"/>
      <c r="U337" s="38"/>
      <c r="V337" s="38"/>
      <c r="W337" s="38"/>
      <c r="X337" s="38"/>
      <c r="Y337" s="38"/>
      <c r="Z337" s="38"/>
      <c r="AA337" s="122"/>
      <c r="AB337" s="122"/>
      <c r="AC337" s="122"/>
      <c r="AD337" s="122"/>
      <c r="AE337" s="122"/>
      <c r="AF337" s="122"/>
      <c r="AG337" s="122"/>
      <c r="AH337" s="122"/>
      <c r="AI337" s="122"/>
      <c r="AJ337" s="38"/>
      <c r="AK337" s="122"/>
      <c r="AL337" s="122"/>
      <c r="AM337" s="122"/>
      <c r="AN337" s="122"/>
      <c r="AO337" s="38"/>
      <c r="AP337" s="38"/>
      <c r="AQ337" s="38"/>
      <c r="AR337" s="17"/>
      <c r="AS337" s="1"/>
      <c r="AT337" s="17"/>
      <c r="AU337" s="1"/>
      <c r="AV337" s="17"/>
      <c r="AW337" s="1"/>
      <c r="AX337" s="2"/>
      <c r="AY337" s="1"/>
      <c r="AZ337" s="1"/>
    </row>
    <row x14ac:dyDescent="0.25" r="338" customHeight="1" ht="15">
      <c r="A338" s="1"/>
      <c r="B338" s="1"/>
      <c r="C338" s="1"/>
      <c r="D338" s="1"/>
      <c r="E338" s="1"/>
      <c r="F338" s="1"/>
      <c r="G338" s="1"/>
      <c r="H338" s="1"/>
      <c r="I338" s="1"/>
      <c r="J338" s="1"/>
      <c r="K338" s="17"/>
      <c r="L338" s="1"/>
      <c r="M338" s="1"/>
      <c r="N338" s="2"/>
      <c r="O338" s="2"/>
      <c r="P338" s="17"/>
      <c r="Q338" s="1"/>
      <c r="R338" s="1"/>
      <c r="S338" s="1"/>
      <c r="T338" s="38"/>
      <c r="U338" s="38"/>
      <c r="V338" s="38"/>
      <c r="W338" s="38"/>
      <c r="X338" s="38"/>
      <c r="Y338" s="38"/>
      <c r="Z338" s="38"/>
      <c r="AA338" s="122"/>
      <c r="AB338" s="122"/>
      <c r="AC338" s="122"/>
      <c r="AD338" s="122"/>
      <c r="AE338" s="122"/>
      <c r="AF338" s="122"/>
      <c r="AG338" s="122"/>
      <c r="AH338" s="122"/>
      <c r="AI338" s="122"/>
      <c r="AJ338" s="38"/>
      <c r="AK338" s="122"/>
      <c r="AL338" s="122"/>
      <c r="AM338" s="122"/>
      <c r="AN338" s="122"/>
      <c r="AO338" s="38"/>
      <c r="AP338" s="38"/>
      <c r="AQ338" s="38"/>
      <c r="AR338" s="17"/>
      <c r="AS338" s="1"/>
      <c r="AT338" s="17"/>
      <c r="AU338" s="1"/>
      <c r="AV338" s="17"/>
      <c r="AW338" s="1"/>
      <c r="AX338" s="2"/>
      <c r="AY338" s="1"/>
      <c r="AZ338" s="1"/>
    </row>
    <row x14ac:dyDescent="0.25" r="339" customHeight="1" ht="15">
      <c r="A339" s="1"/>
      <c r="B339" s="1"/>
      <c r="C339" s="1"/>
      <c r="D339" s="1"/>
      <c r="E339" s="1"/>
      <c r="F339" s="1"/>
      <c r="G339" s="1"/>
      <c r="H339" s="1"/>
      <c r="I339" s="1"/>
      <c r="J339" s="1"/>
      <c r="K339" s="17"/>
      <c r="L339" s="1"/>
      <c r="M339" s="1"/>
      <c r="N339" s="2"/>
      <c r="O339" s="2"/>
      <c r="P339" s="17"/>
      <c r="Q339" s="1"/>
      <c r="R339" s="1"/>
      <c r="S339" s="1"/>
      <c r="T339" s="38"/>
      <c r="U339" s="38"/>
      <c r="V339" s="38"/>
      <c r="W339" s="38"/>
      <c r="X339" s="38"/>
      <c r="Y339" s="38"/>
      <c r="Z339" s="38"/>
      <c r="AA339" s="122"/>
      <c r="AB339" s="122"/>
      <c r="AC339" s="122"/>
      <c r="AD339" s="122"/>
      <c r="AE339" s="122"/>
      <c r="AF339" s="122"/>
      <c r="AG339" s="122"/>
      <c r="AH339" s="122"/>
      <c r="AI339" s="122"/>
      <c r="AJ339" s="38"/>
      <c r="AK339" s="122"/>
      <c r="AL339" s="122"/>
      <c r="AM339" s="122"/>
      <c r="AN339" s="122"/>
      <c r="AO339" s="38"/>
      <c r="AP339" s="38"/>
      <c r="AQ339" s="38"/>
      <c r="AR339" s="17"/>
      <c r="AS339" s="1"/>
      <c r="AT339" s="17"/>
      <c r="AU339" s="1"/>
      <c r="AV339" s="17"/>
      <c r="AW339" s="1"/>
      <c r="AX339" s="2"/>
      <c r="AY339" s="1"/>
      <c r="AZ339" s="1"/>
    </row>
    <row x14ac:dyDescent="0.25" r="340" customHeight="1" ht="15">
      <c r="A340" s="1"/>
      <c r="B340" s="1"/>
      <c r="C340" s="1"/>
      <c r="D340" s="1"/>
      <c r="E340" s="1"/>
      <c r="F340" s="1"/>
      <c r="G340" s="1"/>
      <c r="H340" s="1"/>
      <c r="I340" s="1"/>
      <c r="J340" s="1"/>
      <c r="K340" s="17"/>
      <c r="L340" s="1"/>
      <c r="M340" s="1"/>
      <c r="N340" s="2"/>
      <c r="O340" s="2"/>
      <c r="P340" s="17"/>
      <c r="Q340" s="1"/>
      <c r="R340" s="1"/>
      <c r="S340" s="1"/>
      <c r="T340" s="38"/>
      <c r="U340" s="38"/>
      <c r="V340" s="38"/>
      <c r="W340" s="38"/>
      <c r="X340" s="38"/>
      <c r="Y340" s="38"/>
      <c r="Z340" s="38"/>
      <c r="AA340" s="122"/>
      <c r="AB340" s="122"/>
      <c r="AC340" s="122"/>
      <c r="AD340" s="122"/>
      <c r="AE340" s="122"/>
      <c r="AF340" s="122"/>
      <c r="AG340" s="122"/>
      <c r="AH340" s="122"/>
      <c r="AI340" s="122"/>
      <c r="AJ340" s="38"/>
      <c r="AK340" s="122"/>
      <c r="AL340" s="122"/>
      <c r="AM340" s="122"/>
      <c r="AN340" s="122"/>
      <c r="AO340" s="38"/>
      <c r="AP340" s="38"/>
      <c r="AQ340" s="38"/>
      <c r="AR340" s="17"/>
      <c r="AS340" s="1"/>
      <c r="AT340" s="17"/>
      <c r="AU340" s="1"/>
      <c r="AV340" s="17"/>
      <c r="AW340" s="1"/>
      <c r="AX340" s="2"/>
      <c r="AY340" s="1"/>
      <c r="AZ340" s="1"/>
    </row>
    <row x14ac:dyDescent="0.25" r="341" customHeight="1" ht="15">
      <c r="A341" s="1"/>
      <c r="B341" s="1"/>
      <c r="C341" s="1"/>
      <c r="D341" s="1"/>
      <c r="E341" s="1"/>
      <c r="F341" s="1"/>
      <c r="G341" s="1"/>
      <c r="H341" s="1"/>
      <c r="I341" s="1"/>
      <c r="J341" s="1"/>
      <c r="K341" s="17"/>
      <c r="L341" s="1"/>
      <c r="M341" s="1"/>
      <c r="N341" s="2"/>
      <c r="O341" s="2"/>
      <c r="P341" s="17"/>
      <c r="Q341" s="1"/>
      <c r="R341" s="1"/>
      <c r="S341" s="1"/>
      <c r="T341" s="38"/>
      <c r="U341" s="38"/>
      <c r="V341" s="38"/>
      <c r="W341" s="38"/>
      <c r="X341" s="38"/>
      <c r="Y341" s="38"/>
      <c r="Z341" s="38"/>
      <c r="AA341" s="122"/>
      <c r="AB341" s="122"/>
      <c r="AC341" s="122"/>
      <c r="AD341" s="122"/>
      <c r="AE341" s="122"/>
      <c r="AF341" s="122"/>
      <c r="AG341" s="122"/>
      <c r="AH341" s="122"/>
      <c r="AI341" s="122"/>
      <c r="AJ341" s="38"/>
      <c r="AK341" s="122"/>
      <c r="AL341" s="122"/>
      <c r="AM341" s="122"/>
      <c r="AN341" s="122"/>
      <c r="AO341" s="38"/>
      <c r="AP341" s="38"/>
      <c r="AQ341" s="38"/>
      <c r="AR341" s="17"/>
      <c r="AS341" s="1"/>
      <c r="AT341" s="17"/>
      <c r="AU341" s="1"/>
      <c r="AV341" s="17"/>
      <c r="AW341" s="1"/>
      <c r="AX341" s="2"/>
      <c r="AY341" s="1"/>
      <c r="AZ341" s="1"/>
    </row>
    <row x14ac:dyDescent="0.25" r="342" customHeight="1" ht="15">
      <c r="A342" s="1"/>
      <c r="B342" s="1"/>
      <c r="C342" s="1"/>
      <c r="D342" s="1"/>
      <c r="E342" s="1"/>
      <c r="F342" s="1"/>
      <c r="G342" s="1"/>
      <c r="H342" s="1"/>
      <c r="I342" s="1"/>
      <c r="J342" s="1"/>
      <c r="K342" s="17"/>
      <c r="L342" s="1"/>
      <c r="M342" s="1"/>
      <c r="N342" s="2"/>
      <c r="O342" s="2"/>
      <c r="P342" s="17"/>
      <c r="Q342" s="1"/>
      <c r="R342" s="1"/>
      <c r="S342" s="1"/>
      <c r="T342" s="38"/>
      <c r="U342" s="38"/>
      <c r="V342" s="38"/>
      <c r="W342" s="38"/>
      <c r="X342" s="38"/>
      <c r="Y342" s="38"/>
      <c r="Z342" s="38"/>
      <c r="AA342" s="122"/>
      <c r="AB342" s="122"/>
      <c r="AC342" s="122"/>
      <c r="AD342" s="122"/>
      <c r="AE342" s="122"/>
      <c r="AF342" s="122"/>
      <c r="AG342" s="122"/>
      <c r="AH342" s="122"/>
      <c r="AI342" s="122"/>
      <c r="AJ342" s="38"/>
      <c r="AK342" s="122"/>
      <c r="AL342" s="122"/>
      <c r="AM342" s="122"/>
      <c r="AN342" s="122"/>
      <c r="AO342" s="38"/>
      <c r="AP342" s="38"/>
      <c r="AQ342" s="38"/>
      <c r="AR342" s="17"/>
      <c r="AS342" s="1"/>
      <c r="AT342" s="17"/>
      <c r="AU342" s="1"/>
      <c r="AV342" s="17"/>
      <c r="AW342" s="1"/>
      <c r="AX342" s="2"/>
      <c r="AY342" s="1"/>
      <c r="AZ342" s="1"/>
    </row>
    <row x14ac:dyDescent="0.25" r="343" customHeight="1" ht="15">
      <c r="A343" s="1"/>
      <c r="B343" s="1"/>
      <c r="C343" s="1"/>
      <c r="D343" s="1"/>
      <c r="E343" s="1"/>
      <c r="F343" s="1"/>
      <c r="G343" s="1"/>
      <c r="H343" s="1"/>
      <c r="I343" s="1"/>
      <c r="J343" s="1"/>
      <c r="K343" s="17"/>
      <c r="L343" s="1"/>
      <c r="M343" s="1"/>
      <c r="N343" s="2"/>
      <c r="O343" s="2"/>
      <c r="P343" s="17"/>
      <c r="Q343" s="1"/>
      <c r="R343" s="1"/>
      <c r="S343" s="1"/>
      <c r="T343" s="38"/>
      <c r="U343" s="38"/>
      <c r="V343" s="38"/>
      <c r="W343" s="38"/>
      <c r="X343" s="38"/>
      <c r="Y343" s="38"/>
      <c r="Z343" s="38"/>
      <c r="AA343" s="122"/>
      <c r="AB343" s="122"/>
      <c r="AC343" s="122"/>
      <c r="AD343" s="122"/>
      <c r="AE343" s="122"/>
      <c r="AF343" s="122"/>
      <c r="AG343" s="122"/>
      <c r="AH343" s="122"/>
      <c r="AI343" s="122"/>
      <c r="AJ343" s="38"/>
      <c r="AK343" s="122"/>
      <c r="AL343" s="122"/>
      <c r="AM343" s="122"/>
      <c r="AN343" s="122"/>
      <c r="AO343" s="38"/>
      <c r="AP343" s="38"/>
      <c r="AQ343" s="38"/>
      <c r="AR343" s="17"/>
      <c r="AS343" s="1"/>
      <c r="AT343" s="17"/>
      <c r="AU343" s="1"/>
      <c r="AV343" s="17"/>
      <c r="AW343" s="1"/>
      <c r="AX343" s="2"/>
      <c r="AY343" s="1"/>
      <c r="AZ343" s="1"/>
    </row>
    <row x14ac:dyDescent="0.25" r="344" customHeight="1" ht="15">
      <c r="A344" s="1"/>
      <c r="B344" s="1"/>
      <c r="C344" s="1"/>
      <c r="D344" s="1"/>
      <c r="E344" s="1"/>
      <c r="F344" s="1"/>
      <c r="G344" s="1"/>
      <c r="H344" s="1"/>
      <c r="I344" s="1"/>
      <c r="J344" s="1"/>
      <c r="K344" s="17"/>
      <c r="L344" s="1"/>
      <c r="M344" s="1"/>
      <c r="N344" s="2"/>
      <c r="O344" s="2"/>
      <c r="P344" s="17"/>
      <c r="Q344" s="1"/>
      <c r="R344" s="1"/>
      <c r="S344" s="1"/>
      <c r="T344" s="38"/>
      <c r="U344" s="38"/>
      <c r="V344" s="38"/>
      <c r="W344" s="38"/>
      <c r="X344" s="38"/>
      <c r="Y344" s="38"/>
      <c r="Z344" s="38"/>
      <c r="AA344" s="122"/>
      <c r="AB344" s="122"/>
      <c r="AC344" s="122"/>
      <c r="AD344" s="122"/>
      <c r="AE344" s="122"/>
      <c r="AF344" s="122"/>
      <c r="AG344" s="122"/>
      <c r="AH344" s="122"/>
      <c r="AI344" s="122"/>
      <c r="AJ344" s="38"/>
      <c r="AK344" s="122"/>
      <c r="AL344" s="122"/>
      <c r="AM344" s="122"/>
      <c r="AN344" s="122"/>
      <c r="AO344" s="38"/>
      <c r="AP344" s="38"/>
      <c r="AQ344" s="38"/>
      <c r="AR344" s="17"/>
      <c r="AS344" s="1"/>
      <c r="AT344" s="17"/>
      <c r="AU344" s="1"/>
      <c r="AV344" s="17"/>
      <c r="AW344" s="1"/>
      <c r="AX344" s="2"/>
      <c r="AY344" s="1"/>
      <c r="AZ344" s="1"/>
    </row>
    <row x14ac:dyDescent="0.25" r="345" customHeight="1" ht="15">
      <c r="A345" s="1"/>
      <c r="B345" s="1"/>
      <c r="C345" s="1"/>
      <c r="D345" s="1"/>
      <c r="E345" s="1"/>
      <c r="F345" s="1"/>
      <c r="G345" s="1"/>
      <c r="H345" s="1"/>
      <c r="I345" s="1"/>
      <c r="J345" s="1"/>
      <c r="K345" s="17"/>
      <c r="L345" s="1"/>
      <c r="M345" s="1"/>
      <c r="N345" s="2"/>
      <c r="O345" s="2"/>
      <c r="P345" s="17"/>
      <c r="Q345" s="1"/>
      <c r="R345" s="1"/>
      <c r="S345" s="1"/>
      <c r="T345" s="38"/>
      <c r="U345" s="38"/>
      <c r="V345" s="38"/>
      <c r="W345" s="38"/>
      <c r="X345" s="38"/>
      <c r="Y345" s="38"/>
      <c r="Z345" s="38"/>
      <c r="AA345" s="122"/>
      <c r="AB345" s="122"/>
      <c r="AC345" s="122"/>
      <c r="AD345" s="122"/>
      <c r="AE345" s="122"/>
      <c r="AF345" s="122"/>
      <c r="AG345" s="122"/>
      <c r="AH345" s="122"/>
      <c r="AI345" s="122"/>
      <c r="AJ345" s="38"/>
      <c r="AK345" s="122"/>
      <c r="AL345" s="122"/>
      <c r="AM345" s="122"/>
      <c r="AN345" s="122"/>
      <c r="AO345" s="38"/>
      <c r="AP345" s="38"/>
      <c r="AQ345" s="38"/>
      <c r="AR345" s="17"/>
      <c r="AS345" s="1"/>
      <c r="AT345" s="17"/>
      <c r="AU345" s="1"/>
      <c r="AV345" s="17"/>
      <c r="AW345" s="1"/>
      <c r="AX345" s="2"/>
      <c r="AY345" s="1"/>
      <c r="AZ345" s="1"/>
    </row>
    <row x14ac:dyDescent="0.25" r="346" customHeight="1" ht="15">
      <c r="A346" s="1"/>
      <c r="B346" s="1"/>
      <c r="C346" s="1"/>
      <c r="D346" s="1"/>
      <c r="E346" s="1"/>
      <c r="F346" s="1"/>
      <c r="G346" s="1"/>
      <c r="H346" s="1"/>
      <c r="I346" s="1"/>
      <c r="J346" s="1"/>
      <c r="K346" s="17"/>
      <c r="L346" s="1"/>
      <c r="M346" s="1"/>
      <c r="N346" s="2"/>
      <c r="O346" s="2"/>
      <c r="P346" s="17"/>
      <c r="Q346" s="1"/>
      <c r="R346" s="1"/>
      <c r="S346" s="1"/>
      <c r="T346" s="38"/>
      <c r="U346" s="38"/>
      <c r="V346" s="38"/>
      <c r="W346" s="38"/>
      <c r="X346" s="38"/>
      <c r="Y346" s="38"/>
      <c r="Z346" s="38"/>
      <c r="AA346" s="122"/>
      <c r="AB346" s="122"/>
      <c r="AC346" s="122"/>
      <c r="AD346" s="122"/>
      <c r="AE346" s="122"/>
      <c r="AF346" s="122"/>
      <c r="AG346" s="122"/>
      <c r="AH346" s="122"/>
      <c r="AI346" s="122"/>
      <c r="AJ346" s="38"/>
      <c r="AK346" s="122"/>
      <c r="AL346" s="122"/>
      <c r="AM346" s="122"/>
      <c r="AN346" s="122"/>
      <c r="AO346" s="38"/>
      <c r="AP346" s="38"/>
      <c r="AQ346" s="38"/>
      <c r="AR346" s="17"/>
      <c r="AS346" s="1"/>
      <c r="AT346" s="17"/>
      <c r="AU346" s="1"/>
      <c r="AV346" s="17"/>
      <c r="AW346" s="1"/>
      <c r="AX346" s="2"/>
      <c r="AY346" s="1"/>
      <c r="AZ346" s="1"/>
    </row>
    <row x14ac:dyDescent="0.25" r="347" customHeight="1" ht="15">
      <c r="A347" s="1"/>
      <c r="B347" s="1"/>
      <c r="C347" s="1"/>
      <c r="D347" s="1"/>
      <c r="E347" s="1"/>
      <c r="F347" s="1"/>
      <c r="G347" s="1"/>
      <c r="H347" s="1"/>
      <c r="I347" s="1"/>
      <c r="J347" s="1"/>
      <c r="K347" s="17"/>
      <c r="L347" s="1"/>
      <c r="M347" s="1"/>
      <c r="N347" s="2"/>
      <c r="O347" s="2"/>
      <c r="P347" s="17"/>
      <c r="Q347" s="1"/>
      <c r="R347" s="1"/>
      <c r="S347" s="1"/>
      <c r="T347" s="38"/>
      <c r="U347" s="38"/>
      <c r="V347" s="38"/>
      <c r="W347" s="38"/>
      <c r="X347" s="38"/>
      <c r="Y347" s="38"/>
      <c r="Z347" s="38"/>
      <c r="AA347" s="122"/>
      <c r="AB347" s="122"/>
      <c r="AC347" s="122"/>
      <c r="AD347" s="122"/>
      <c r="AE347" s="122"/>
      <c r="AF347" s="122"/>
      <c r="AG347" s="122"/>
      <c r="AH347" s="122"/>
      <c r="AI347" s="122"/>
      <c r="AJ347" s="38"/>
      <c r="AK347" s="122"/>
      <c r="AL347" s="122"/>
      <c r="AM347" s="122"/>
      <c r="AN347" s="122"/>
      <c r="AO347" s="38"/>
      <c r="AP347" s="38"/>
      <c r="AQ347" s="38"/>
      <c r="AR347" s="17"/>
      <c r="AS347" s="1"/>
      <c r="AT347" s="17"/>
      <c r="AU347" s="1"/>
      <c r="AV347" s="17"/>
      <c r="AW347" s="1"/>
      <c r="AX347" s="2"/>
      <c r="AY347" s="1"/>
      <c r="AZ347" s="1"/>
    </row>
    <row x14ac:dyDescent="0.25" r="348" customHeight="1" ht="15">
      <c r="A348" s="1"/>
      <c r="B348" s="1"/>
      <c r="C348" s="1"/>
      <c r="D348" s="1"/>
      <c r="E348" s="1"/>
      <c r="F348" s="1"/>
      <c r="G348" s="1"/>
      <c r="H348" s="1"/>
      <c r="I348" s="1"/>
      <c r="J348" s="1"/>
      <c r="K348" s="17"/>
      <c r="L348" s="1"/>
      <c r="M348" s="1"/>
      <c r="N348" s="2"/>
      <c r="O348" s="2"/>
      <c r="P348" s="17"/>
      <c r="Q348" s="1"/>
      <c r="R348" s="1"/>
      <c r="S348" s="1"/>
      <c r="T348" s="38"/>
      <c r="U348" s="38"/>
      <c r="V348" s="38"/>
      <c r="W348" s="38"/>
      <c r="X348" s="38"/>
      <c r="Y348" s="38"/>
      <c r="Z348" s="38"/>
      <c r="AA348" s="122"/>
      <c r="AB348" s="122"/>
      <c r="AC348" s="122"/>
      <c r="AD348" s="122"/>
      <c r="AE348" s="122"/>
      <c r="AF348" s="122"/>
      <c r="AG348" s="122"/>
      <c r="AH348" s="122"/>
      <c r="AI348" s="122"/>
      <c r="AJ348" s="38"/>
      <c r="AK348" s="122"/>
      <c r="AL348" s="122"/>
      <c r="AM348" s="122"/>
      <c r="AN348" s="122"/>
      <c r="AO348" s="38"/>
      <c r="AP348" s="38"/>
      <c r="AQ348" s="38"/>
      <c r="AR348" s="17"/>
      <c r="AS348" s="1"/>
      <c r="AT348" s="17"/>
      <c r="AU348" s="1"/>
      <c r="AV348" s="17"/>
      <c r="AW348" s="1"/>
      <c r="AX348" s="2"/>
      <c r="AY348" s="1"/>
      <c r="AZ348" s="1"/>
    </row>
    <row x14ac:dyDescent="0.25" r="349" customHeight="1" ht="15">
      <c r="A349" s="1"/>
      <c r="B349" s="1"/>
      <c r="C349" s="1"/>
      <c r="D349" s="1"/>
      <c r="E349" s="1"/>
      <c r="F349" s="1"/>
      <c r="G349" s="1"/>
      <c r="H349" s="1"/>
      <c r="I349" s="1"/>
      <c r="J349" s="1"/>
      <c r="K349" s="17"/>
      <c r="L349" s="1"/>
      <c r="M349" s="1"/>
      <c r="N349" s="2"/>
      <c r="O349" s="2"/>
      <c r="P349" s="17"/>
      <c r="Q349" s="1"/>
      <c r="R349" s="1"/>
      <c r="S349" s="1"/>
      <c r="T349" s="38"/>
      <c r="U349" s="38"/>
      <c r="V349" s="38"/>
      <c r="W349" s="38"/>
      <c r="X349" s="38"/>
      <c r="Y349" s="38"/>
      <c r="Z349" s="38"/>
      <c r="AA349" s="122"/>
      <c r="AB349" s="122"/>
      <c r="AC349" s="122"/>
      <c r="AD349" s="122"/>
      <c r="AE349" s="122"/>
      <c r="AF349" s="122"/>
      <c r="AG349" s="122"/>
      <c r="AH349" s="122"/>
      <c r="AI349" s="122"/>
      <c r="AJ349" s="38"/>
      <c r="AK349" s="122"/>
      <c r="AL349" s="122"/>
      <c r="AM349" s="122"/>
      <c r="AN349" s="122"/>
      <c r="AO349" s="38"/>
      <c r="AP349" s="38"/>
      <c r="AQ349" s="38"/>
      <c r="AR349" s="17"/>
      <c r="AS349" s="1"/>
      <c r="AT349" s="17"/>
      <c r="AU349" s="1"/>
      <c r="AV349" s="17"/>
      <c r="AW349" s="1"/>
      <c r="AX349" s="2"/>
      <c r="AY349" s="1"/>
      <c r="AZ349" s="1"/>
    </row>
    <row x14ac:dyDescent="0.25" r="350" customHeight="1" ht="15">
      <c r="A350" s="1"/>
      <c r="B350" s="1"/>
      <c r="C350" s="1"/>
      <c r="D350" s="1"/>
      <c r="E350" s="1"/>
      <c r="F350" s="1"/>
      <c r="G350" s="1"/>
      <c r="H350" s="1"/>
      <c r="I350" s="1"/>
      <c r="J350" s="1"/>
      <c r="K350" s="17"/>
      <c r="L350" s="1"/>
      <c r="M350" s="1"/>
      <c r="N350" s="2"/>
      <c r="O350" s="2"/>
      <c r="P350" s="17"/>
      <c r="Q350" s="1"/>
      <c r="R350" s="1"/>
      <c r="S350" s="1"/>
      <c r="T350" s="38"/>
      <c r="U350" s="38"/>
      <c r="V350" s="38"/>
      <c r="W350" s="38"/>
      <c r="X350" s="38"/>
      <c r="Y350" s="38"/>
      <c r="Z350" s="38"/>
      <c r="AA350" s="122"/>
      <c r="AB350" s="122"/>
      <c r="AC350" s="122"/>
      <c r="AD350" s="122"/>
      <c r="AE350" s="122"/>
      <c r="AF350" s="122"/>
      <c r="AG350" s="122"/>
      <c r="AH350" s="122"/>
      <c r="AI350" s="122"/>
      <c r="AJ350" s="38"/>
      <c r="AK350" s="122"/>
      <c r="AL350" s="122"/>
      <c r="AM350" s="122"/>
      <c r="AN350" s="122"/>
      <c r="AO350" s="38"/>
      <c r="AP350" s="38"/>
      <c r="AQ350" s="38"/>
      <c r="AR350" s="17"/>
      <c r="AS350" s="1"/>
      <c r="AT350" s="17"/>
      <c r="AU350" s="1"/>
      <c r="AV350" s="17"/>
      <c r="AW350" s="1"/>
      <c r="AX350" s="2"/>
      <c r="AY350" s="1"/>
      <c r="AZ350" s="1"/>
    </row>
    <row x14ac:dyDescent="0.25" r="351" customHeight="1" ht="15">
      <c r="A351" s="1"/>
      <c r="B351" s="1"/>
      <c r="C351" s="1"/>
      <c r="D351" s="1"/>
      <c r="E351" s="1"/>
      <c r="F351" s="1"/>
      <c r="G351" s="1"/>
      <c r="H351" s="1"/>
      <c r="I351" s="1"/>
      <c r="J351" s="1"/>
      <c r="K351" s="17"/>
      <c r="L351" s="1"/>
      <c r="M351" s="1"/>
      <c r="N351" s="2"/>
      <c r="O351" s="2"/>
      <c r="P351" s="17"/>
      <c r="Q351" s="1"/>
      <c r="R351" s="1"/>
      <c r="S351" s="1"/>
      <c r="T351" s="38"/>
      <c r="U351" s="38"/>
      <c r="V351" s="38"/>
      <c r="W351" s="38"/>
      <c r="X351" s="38"/>
      <c r="Y351" s="38"/>
      <c r="Z351" s="38"/>
      <c r="AA351" s="122"/>
      <c r="AB351" s="122"/>
      <c r="AC351" s="122"/>
      <c r="AD351" s="122"/>
      <c r="AE351" s="122"/>
      <c r="AF351" s="122"/>
      <c r="AG351" s="122"/>
      <c r="AH351" s="122"/>
      <c r="AI351" s="122"/>
      <c r="AJ351" s="38"/>
      <c r="AK351" s="122"/>
      <c r="AL351" s="122"/>
      <c r="AM351" s="122"/>
      <c r="AN351" s="122"/>
      <c r="AO351" s="38"/>
      <c r="AP351" s="38"/>
      <c r="AQ351" s="38"/>
      <c r="AR351" s="17"/>
      <c r="AS351" s="1"/>
      <c r="AT351" s="17"/>
      <c r="AU351" s="1"/>
      <c r="AV351" s="17"/>
      <c r="AW351" s="1"/>
      <c r="AX351" s="2"/>
      <c r="AY351" s="1"/>
      <c r="AZ351" s="1"/>
    </row>
    <row x14ac:dyDescent="0.25" r="352" customHeight="1" ht="15">
      <c r="A352" s="1"/>
      <c r="B352" s="1"/>
      <c r="C352" s="1"/>
      <c r="D352" s="1"/>
      <c r="E352" s="1"/>
      <c r="F352" s="1"/>
      <c r="G352" s="1"/>
      <c r="H352" s="1"/>
      <c r="I352" s="1"/>
      <c r="J352" s="1"/>
      <c r="K352" s="17"/>
      <c r="L352" s="1"/>
      <c r="M352" s="1"/>
      <c r="N352" s="2"/>
      <c r="O352" s="2"/>
      <c r="P352" s="17"/>
      <c r="Q352" s="1"/>
      <c r="R352" s="1"/>
      <c r="S352" s="1"/>
      <c r="T352" s="38"/>
      <c r="U352" s="38"/>
      <c r="V352" s="38"/>
      <c r="W352" s="38"/>
      <c r="X352" s="38"/>
      <c r="Y352" s="38"/>
      <c r="Z352" s="38"/>
      <c r="AA352" s="122"/>
      <c r="AB352" s="122"/>
      <c r="AC352" s="122"/>
      <c r="AD352" s="122"/>
      <c r="AE352" s="122"/>
      <c r="AF352" s="122"/>
      <c r="AG352" s="122"/>
      <c r="AH352" s="122"/>
      <c r="AI352" s="122"/>
      <c r="AJ352" s="38"/>
      <c r="AK352" s="122"/>
      <c r="AL352" s="122"/>
      <c r="AM352" s="122"/>
      <c r="AN352" s="122"/>
      <c r="AO352" s="38"/>
      <c r="AP352" s="38"/>
      <c r="AQ352" s="38"/>
      <c r="AR352" s="17"/>
      <c r="AS352" s="1"/>
      <c r="AT352" s="17"/>
      <c r="AU352" s="1"/>
      <c r="AV352" s="17"/>
      <c r="AW352" s="1"/>
      <c r="AX352" s="2"/>
      <c r="AY352" s="1"/>
      <c r="AZ352" s="1"/>
    </row>
    <row x14ac:dyDescent="0.25" r="353" customHeight="1" ht="15">
      <c r="A353" s="1"/>
      <c r="B353" s="1"/>
      <c r="C353" s="1"/>
      <c r="D353" s="1"/>
      <c r="E353" s="1"/>
      <c r="F353" s="1"/>
      <c r="G353" s="1"/>
      <c r="H353" s="1"/>
      <c r="I353" s="1"/>
      <c r="J353" s="1"/>
      <c r="K353" s="17"/>
      <c r="L353" s="1"/>
      <c r="M353" s="1"/>
      <c r="N353" s="2"/>
      <c r="O353" s="2"/>
      <c r="P353" s="17"/>
      <c r="Q353" s="1"/>
      <c r="R353" s="1"/>
      <c r="S353" s="1"/>
      <c r="T353" s="38"/>
      <c r="U353" s="38"/>
      <c r="V353" s="38"/>
      <c r="W353" s="38"/>
      <c r="X353" s="38"/>
      <c r="Y353" s="38"/>
      <c r="Z353" s="38"/>
      <c r="AA353" s="122"/>
      <c r="AB353" s="122"/>
      <c r="AC353" s="122"/>
      <c r="AD353" s="122"/>
      <c r="AE353" s="122"/>
      <c r="AF353" s="122"/>
      <c r="AG353" s="122"/>
      <c r="AH353" s="122"/>
      <c r="AI353" s="122"/>
      <c r="AJ353" s="38"/>
      <c r="AK353" s="122"/>
      <c r="AL353" s="122"/>
      <c r="AM353" s="122"/>
      <c r="AN353" s="122"/>
      <c r="AO353" s="38"/>
      <c r="AP353" s="38"/>
      <c r="AQ353" s="38"/>
      <c r="AR353" s="17"/>
      <c r="AS353" s="1"/>
      <c r="AT353" s="17"/>
      <c r="AU353" s="1"/>
      <c r="AV353" s="17"/>
      <c r="AW353" s="1"/>
      <c r="AX353" s="2"/>
      <c r="AY353" s="1"/>
      <c r="AZ353" s="1"/>
    </row>
    <row x14ac:dyDescent="0.25" r="354" customHeight="1" ht="15">
      <c r="A354" s="1"/>
      <c r="B354" s="1"/>
      <c r="C354" s="1"/>
      <c r="D354" s="1"/>
      <c r="E354" s="1"/>
      <c r="F354" s="1"/>
      <c r="G354" s="1"/>
      <c r="H354" s="1"/>
      <c r="I354" s="1"/>
      <c r="J354" s="1"/>
      <c r="K354" s="17"/>
      <c r="L354" s="1"/>
      <c r="M354" s="1"/>
      <c r="N354" s="2"/>
      <c r="O354" s="2"/>
      <c r="P354" s="17"/>
      <c r="Q354" s="1"/>
      <c r="R354" s="1"/>
      <c r="S354" s="1"/>
      <c r="T354" s="38"/>
      <c r="U354" s="38"/>
      <c r="V354" s="38"/>
      <c r="W354" s="38"/>
      <c r="X354" s="38"/>
      <c r="Y354" s="38"/>
      <c r="Z354" s="38"/>
      <c r="AA354" s="122"/>
      <c r="AB354" s="122"/>
      <c r="AC354" s="122"/>
      <c r="AD354" s="122"/>
      <c r="AE354" s="122"/>
      <c r="AF354" s="122"/>
      <c r="AG354" s="122"/>
      <c r="AH354" s="122"/>
      <c r="AI354" s="122"/>
      <c r="AJ354" s="38"/>
      <c r="AK354" s="122"/>
      <c r="AL354" s="122"/>
      <c r="AM354" s="122"/>
      <c r="AN354" s="122"/>
      <c r="AO354" s="38"/>
      <c r="AP354" s="38"/>
      <c r="AQ354" s="38"/>
      <c r="AR354" s="17"/>
      <c r="AS354" s="1"/>
      <c r="AT354" s="17"/>
      <c r="AU354" s="1"/>
      <c r="AV354" s="17"/>
      <c r="AW354" s="1"/>
      <c r="AX354" s="2"/>
      <c r="AY354" s="1"/>
      <c r="AZ354" s="1"/>
    </row>
    <row x14ac:dyDescent="0.25" r="355" customHeight="1" ht="15">
      <c r="A355" s="1"/>
      <c r="B355" s="1"/>
      <c r="C355" s="1"/>
      <c r="D355" s="1"/>
      <c r="E355" s="1"/>
      <c r="F355" s="1"/>
      <c r="G355" s="1"/>
      <c r="H355" s="1"/>
      <c r="I355" s="1"/>
      <c r="J355" s="1"/>
      <c r="K355" s="17"/>
      <c r="L355" s="1"/>
      <c r="M355" s="1"/>
      <c r="N355" s="2"/>
      <c r="O355" s="2"/>
      <c r="P355" s="17"/>
      <c r="Q355" s="1"/>
      <c r="R355" s="1"/>
      <c r="S355" s="1"/>
      <c r="T355" s="38"/>
      <c r="U355" s="38"/>
      <c r="V355" s="38"/>
      <c r="W355" s="38"/>
      <c r="X355" s="38"/>
      <c r="Y355" s="38"/>
      <c r="Z355" s="38"/>
      <c r="AA355" s="122"/>
      <c r="AB355" s="122"/>
      <c r="AC355" s="122"/>
      <c r="AD355" s="122"/>
      <c r="AE355" s="122"/>
      <c r="AF355" s="122"/>
      <c r="AG355" s="122"/>
      <c r="AH355" s="122"/>
      <c r="AI355" s="122"/>
      <c r="AJ355" s="38"/>
      <c r="AK355" s="122"/>
      <c r="AL355" s="122"/>
      <c r="AM355" s="122"/>
      <c r="AN355" s="122"/>
      <c r="AO355" s="38"/>
      <c r="AP355" s="38"/>
      <c r="AQ355" s="38"/>
      <c r="AR355" s="17"/>
      <c r="AS355" s="1"/>
      <c r="AT355" s="17"/>
      <c r="AU355" s="1"/>
      <c r="AV355" s="17"/>
      <c r="AW355" s="1"/>
      <c r="AX355" s="2"/>
      <c r="AY355" s="1"/>
      <c r="AZ355" s="1"/>
    </row>
    <row x14ac:dyDescent="0.25" r="356" customHeight="1" ht="15">
      <c r="A356" s="1"/>
      <c r="B356" s="1"/>
      <c r="C356" s="1"/>
      <c r="D356" s="1"/>
      <c r="E356" s="1"/>
      <c r="F356" s="1"/>
      <c r="G356" s="1"/>
      <c r="H356" s="1"/>
      <c r="I356" s="1"/>
      <c r="J356" s="1"/>
      <c r="K356" s="17"/>
      <c r="L356" s="1"/>
      <c r="M356" s="1"/>
      <c r="N356" s="2"/>
      <c r="O356" s="2"/>
      <c r="P356" s="17"/>
      <c r="Q356" s="1"/>
      <c r="R356" s="1"/>
      <c r="S356" s="1"/>
      <c r="T356" s="38"/>
      <c r="U356" s="38"/>
      <c r="V356" s="38"/>
      <c r="W356" s="38"/>
      <c r="X356" s="38"/>
      <c r="Y356" s="38"/>
      <c r="Z356" s="38"/>
      <c r="AA356" s="122"/>
      <c r="AB356" s="122"/>
      <c r="AC356" s="122"/>
      <c r="AD356" s="122"/>
      <c r="AE356" s="122"/>
      <c r="AF356" s="122"/>
      <c r="AG356" s="122"/>
      <c r="AH356" s="122"/>
      <c r="AI356" s="122"/>
      <c r="AJ356" s="38"/>
      <c r="AK356" s="122"/>
      <c r="AL356" s="122"/>
      <c r="AM356" s="122"/>
      <c r="AN356" s="122"/>
      <c r="AO356" s="38"/>
      <c r="AP356" s="38"/>
      <c r="AQ356" s="38"/>
      <c r="AR356" s="17"/>
      <c r="AS356" s="1"/>
      <c r="AT356" s="17"/>
      <c r="AU356" s="1"/>
      <c r="AV356" s="17"/>
      <c r="AW356" s="1"/>
      <c r="AX356" s="2"/>
      <c r="AY356" s="1"/>
      <c r="AZ356" s="1"/>
    </row>
    <row x14ac:dyDescent="0.25" r="357" customHeight="1" ht="15">
      <c r="A357" s="1"/>
      <c r="B357" s="1"/>
      <c r="C357" s="1"/>
      <c r="D357" s="1"/>
      <c r="E357" s="1"/>
      <c r="F357" s="1"/>
      <c r="G357" s="1"/>
      <c r="H357" s="1"/>
      <c r="I357" s="1"/>
      <c r="J357" s="1"/>
      <c r="K357" s="17"/>
      <c r="L357" s="1"/>
      <c r="M357" s="1"/>
      <c r="N357" s="2"/>
      <c r="O357" s="2"/>
      <c r="P357" s="17"/>
      <c r="Q357" s="1"/>
      <c r="R357" s="1"/>
      <c r="S357" s="1"/>
      <c r="T357" s="38"/>
      <c r="U357" s="38"/>
      <c r="V357" s="38"/>
      <c r="W357" s="38"/>
      <c r="X357" s="38"/>
      <c r="Y357" s="38"/>
      <c r="Z357" s="38"/>
      <c r="AA357" s="122"/>
      <c r="AB357" s="122"/>
      <c r="AC357" s="122"/>
      <c r="AD357" s="122"/>
      <c r="AE357" s="122"/>
      <c r="AF357" s="122"/>
      <c r="AG357" s="122"/>
      <c r="AH357" s="122"/>
      <c r="AI357" s="122"/>
      <c r="AJ357" s="38"/>
      <c r="AK357" s="122"/>
      <c r="AL357" s="122"/>
      <c r="AM357" s="122"/>
      <c r="AN357" s="122"/>
      <c r="AO357" s="38"/>
      <c r="AP357" s="38"/>
      <c r="AQ357" s="38"/>
      <c r="AR357" s="17"/>
      <c r="AS357" s="1"/>
      <c r="AT357" s="17"/>
      <c r="AU357" s="1"/>
      <c r="AV357" s="17"/>
      <c r="AW357" s="1"/>
      <c r="AX357" s="2"/>
      <c r="AY357" s="1"/>
      <c r="AZ357" s="1"/>
    </row>
    <row x14ac:dyDescent="0.25" r="358" customHeight="1" ht="15">
      <c r="A358" s="1"/>
      <c r="B358" s="1"/>
      <c r="C358" s="1"/>
      <c r="D358" s="1"/>
      <c r="E358" s="1"/>
      <c r="F358" s="1"/>
      <c r="G358" s="1"/>
      <c r="H358" s="1"/>
      <c r="I358" s="1"/>
      <c r="J358" s="1"/>
      <c r="K358" s="17"/>
      <c r="L358" s="1"/>
      <c r="M358" s="1"/>
      <c r="N358" s="2"/>
      <c r="O358" s="2"/>
      <c r="P358" s="17"/>
      <c r="Q358" s="1"/>
      <c r="R358" s="1"/>
      <c r="S358" s="1"/>
      <c r="T358" s="38"/>
      <c r="U358" s="38"/>
      <c r="V358" s="38"/>
      <c r="W358" s="38"/>
      <c r="X358" s="38"/>
      <c r="Y358" s="38"/>
      <c r="Z358" s="38"/>
      <c r="AA358" s="122"/>
      <c r="AB358" s="122"/>
      <c r="AC358" s="122"/>
      <c r="AD358" s="122"/>
      <c r="AE358" s="122"/>
      <c r="AF358" s="122"/>
      <c r="AG358" s="122"/>
      <c r="AH358" s="122"/>
      <c r="AI358" s="122"/>
      <c r="AJ358" s="38"/>
      <c r="AK358" s="122"/>
      <c r="AL358" s="122"/>
      <c r="AM358" s="122"/>
      <c r="AN358" s="122"/>
      <c r="AO358" s="38"/>
      <c r="AP358" s="38"/>
      <c r="AQ358" s="38"/>
      <c r="AR358" s="17"/>
      <c r="AS358" s="1"/>
      <c r="AT358" s="17"/>
      <c r="AU358" s="1"/>
      <c r="AV358" s="17"/>
      <c r="AW358" s="1"/>
      <c r="AX358" s="2"/>
      <c r="AY358" s="1"/>
      <c r="AZ358" s="1"/>
    </row>
    <row x14ac:dyDescent="0.25" r="359" customHeight="1" ht="15">
      <c r="A359" s="1"/>
      <c r="B359" s="1"/>
      <c r="C359" s="1"/>
      <c r="D359" s="1"/>
      <c r="E359" s="1"/>
      <c r="F359" s="1"/>
      <c r="G359" s="1"/>
      <c r="H359" s="1"/>
      <c r="I359" s="1"/>
      <c r="J359" s="1"/>
      <c r="K359" s="17"/>
      <c r="L359" s="1"/>
      <c r="M359" s="1"/>
      <c r="N359" s="2"/>
      <c r="O359" s="2"/>
      <c r="P359" s="17"/>
      <c r="Q359" s="1"/>
      <c r="R359" s="1"/>
      <c r="S359" s="1"/>
      <c r="T359" s="38"/>
      <c r="U359" s="38"/>
      <c r="V359" s="38"/>
      <c r="W359" s="38"/>
      <c r="X359" s="38"/>
      <c r="Y359" s="38"/>
      <c r="Z359" s="38"/>
      <c r="AA359" s="122"/>
      <c r="AB359" s="122"/>
      <c r="AC359" s="122"/>
      <c r="AD359" s="122"/>
      <c r="AE359" s="122"/>
      <c r="AF359" s="122"/>
      <c r="AG359" s="122"/>
      <c r="AH359" s="122"/>
      <c r="AI359" s="122"/>
      <c r="AJ359" s="38"/>
      <c r="AK359" s="122"/>
      <c r="AL359" s="122"/>
      <c r="AM359" s="122"/>
      <c r="AN359" s="122"/>
      <c r="AO359" s="38"/>
      <c r="AP359" s="38"/>
      <c r="AQ359" s="38"/>
      <c r="AR359" s="17"/>
      <c r="AS359" s="1"/>
      <c r="AT359" s="17"/>
      <c r="AU359" s="1"/>
      <c r="AV359" s="17"/>
      <c r="AW359" s="1"/>
      <c r="AX359" s="2"/>
      <c r="AY359" s="1"/>
      <c r="AZ359" s="1"/>
    </row>
    <row x14ac:dyDescent="0.25" r="360" customHeight="1" ht="15">
      <c r="A360" s="1"/>
      <c r="B360" s="1"/>
      <c r="C360" s="1"/>
      <c r="D360" s="1"/>
      <c r="E360" s="1"/>
      <c r="F360" s="1"/>
      <c r="G360" s="1"/>
      <c r="H360" s="1"/>
      <c r="I360" s="1"/>
      <c r="J360" s="1"/>
      <c r="K360" s="17"/>
      <c r="L360" s="1"/>
      <c r="M360" s="1"/>
      <c r="N360" s="2"/>
      <c r="O360" s="2"/>
      <c r="P360" s="17"/>
      <c r="Q360" s="1"/>
      <c r="R360" s="1"/>
      <c r="S360" s="1"/>
      <c r="T360" s="38"/>
      <c r="U360" s="38"/>
      <c r="V360" s="38"/>
      <c r="W360" s="38"/>
      <c r="X360" s="38"/>
      <c r="Y360" s="38"/>
      <c r="Z360" s="38"/>
      <c r="AA360" s="122"/>
      <c r="AB360" s="122"/>
      <c r="AC360" s="122"/>
      <c r="AD360" s="122"/>
      <c r="AE360" s="122"/>
      <c r="AF360" s="122"/>
      <c r="AG360" s="122"/>
      <c r="AH360" s="122"/>
      <c r="AI360" s="122"/>
      <c r="AJ360" s="38"/>
      <c r="AK360" s="122"/>
      <c r="AL360" s="122"/>
      <c r="AM360" s="122"/>
      <c r="AN360" s="122"/>
      <c r="AO360" s="38"/>
      <c r="AP360" s="38"/>
      <c r="AQ360" s="38"/>
      <c r="AR360" s="17"/>
      <c r="AS360" s="1"/>
      <c r="AT360" s="17"/>
      <c r="AU360" s="1"/>
      <c r="AV360" s="17"/>
      <c r="AW360" s="1"/>
      <c r="AX360" s="2"/>
      <c r="AY360" s="1"/>
      <c r="AZ360" s="1"/>
    </row>
    <row x14ac:dyDescent="0.25" r="361" customHeight="1" ht="15">
      <c r="A361" s="1"/>
      <c r="B361" s="1"/>
      <c r="C361" s="1"/>
      <c r="D361" s="1"/>
      <c r="E361" s="1"/>
      <c r="F361" s="1"/>
      <c r="G361" s="1"/>
      <c r="H361" s="1"/>
      <c r="I361" s="1"/>
      <c r="J361" s="1"/>
      <c r="K361" s="17"/>
      <c r="L361" s="1"/>
      <c r="M361" s="1"/>
      <c r="N361" s="2"/>
      <c r="O361" s="2"/>
      <c r="P361" s="17"/>
      <c r="Q361" s="1"/>
      <c r="R361" s="1"/>
      <c r="S361" s="1"/>
      <c r="T361" s="38"/>
      <c r="U361" s="38"/>
      <c r="V361" s="38"/>
      <c r="W361" s="38"/>
      <c r="X361" s="38"/>
      <c r="Y361" s="38"/>
      <c r="Z361" s="38"/>
      <c r="AA361" s="122"/>
      <c r="AB361" s="122"/>
      <c r="AC361" s="122"/>
      <c r="AD361" s="122"/>
      <c r="AE361" s="122"/>
      <c r="AF361" s="122"/>
      <c r="AG361" s="122"/>
      <c r="AH361" s="122"/>
      <c r="AI361" s="122"/>
      <c r="AJ361" s="38"/>
      <c r="AK361" s="122"/>
      <c r="AL361" s="122"/>
      <c r="AM361" s="122"/>
      <c r="AN361" s="122"/>
      <c r="AO361" s="38"/>
      <c r="AP361" s="38"/>
      <c r="AQ361" s="38"/>
      <c r="AR361" s="17"/>
      <c r="AS361" s="1"/>
      <c r="AT361" s="17"/>
      <c r="AU361" s="1"/>
      <c r="AV361" s="17"/>
      <c r="AW361" s="1"/>
      <c r="AX361" s="2"/>
      <c r="AY361" s="1"/>
      <c r="AZ361" s="1"/>
    </row>
    <row x14ac:dyDescent="0.25" r="362" customHeight="1" ht="15">
      <c r="A362" s="1"/>
      <c r="B362" s="1"/>
      <c r="C362" s="1"/>
      <c r="D362" s="1"/>
      <c r="E362" s="1"/>
      <c r="F362" s="1"/>
      <c r="G362" s="1"/>
      <c r="H362" s="1"/>
      <c r="I362" s="1"/>
      <c r="J362" s="1"/>
      <c r="K362" s="17"/>
      <c r="L362" s="1"/>
      <c r="M362" s="1"/>
      <c r="N362" s="2"/>
      <c r="O362" s="2"/>
      <c r="P362" s="17"/>
      <c r="Q362" s="1"/>
      <c r="R362" s="1"/>
      <c r="S362" s="1"/>
      <c r="T362" s="38"/>
      <c r="U362" s="38"/>
      <c r="V362" s="38"/>
      <c r="W362" s="38"/>
      <c r="X362" s="38"/>
      <c r="Y362" s="38"/>
      <c r="Z362" s="38"/>
      <c r="AA362" s="122"/>
      <c r="AB362" s="122"/>
      <c r="AC362" s="122"/>
      <c r="AD362" s="122"/>
      <c r="AE362" s="122"/>
      <c r="AF362" s="122"/>
      <c r="AG362" s="122"/>
      <c r="AH362" s="122"/>
      <c r="AI362" s="122"/>
      <c r="AJ362" s="38"/>
      <c r="AK362" s="122"/>
      <c r="AL362" s="122"/>
      <c r="AM362" s="122"/>
      <c r="AN362" s="122"/>
      <c r="AO362" s="38"/>
      <c r="AP362" s="38"/>
      <c r="AQ362" s="38"/>
      <c r="AR362" s="17"/>
      <c r="AS362" s="1"/>
      <c r="AT362" s="17"/>
      <c r="AU362" s="1"/>
      <c r="AV362" s="17"/>
      <c r="AW362" s="1"/>
      <c r="AX362" s="2"/>
      <c r="AY362" s="1"/>
      <c r="AZ362" s="1"/>
    </row>
    <row x14ac:dyDescent="0.25" r="363" customHeight="1" ht="15">
      <c r="A363" s="1"/>
      <c r="B363" s="1"/>
      <c r="C363" s="1"/>
      <c r="D363" s="1"/>
      <c r="E363" s="1"/>
      <c r="F363" s="1"/>
      <c r="G363" s="1"/>
      <c r="H363" s="1"/>
      <c r="I363" s="1"/>
      <c r="J363" s="1"/>
      <c r="K363" s="17"/>
      <c r="L363" s="1"/>
      <c r="M363" s="1"/>
      <c r="N363" s="2"/>
      <c r="O363" s="2"/>
      <c r="P363" s="17"/>
      <c r="Q363" s="1"/>
      <c r="R363" s="1"/>
      <c r="S363" s="1"/>
      <c r="T363" s="38"/>
      <c r="U363" s="38"/>
      <c r="V363" s="38"/>
      <c r="W363" s="38"/>
      <c r="X363" s="38"/>
      <c r="Y363" s="38"/>
      <c r="Z363" s="38"/>
      <c r="AA363" s="122"/>
      <c r="AB363" s="122"/>
      <c r="AC363" s="122"/>
      <c r="AD363" s="122"/>
      <c r="AE363" s="122"/>
      <c r="AF363" s="122"/>
      <c r="AG363" s="122"/>
      <c r="AH363" s="122"/>
      <c r="AI363" s="122"/>
      <c r="AJ363" s="38"/>
      <c r="AK363" s="122"/>
      <c r="AL363" s="122"/>
      <c r="AM363" s="122"/>
      <c r="AN363" s="122"/>
      <c r="AO363" s="38"/>
      <c r="AP363" s="38"/>
      <c r="AQ363" s="38"/>
      <c r="AR363" s="17"/>
      <c r="AS363" s="1"/>
      <c r="AT363" s="17"/>
      <c r="AU363" s="1"/>
      <c r="AV363" s="17"/>
      <c r="AW363" s="1"/>
      <c r="AX363" s="2"/>
      <c r="AY363" s="1"/>
      <c r="AZ363" s="1"/>
    </row>
    <row x14ac:dyDescent="0.25" r="364" customHeight="1" ht="15">
      <c r="A364" s="1"/>
      <c r="B364" s="1"/>
      <c r="C364" s="1"/>
      <c r="D364" s="1"/>
      <c r="E364" s="1"/>
      <c r="F364" s="1"/>
      <c r="G364" s="1"/>
      <c r="H364" s="1"/>
      <c r="I364" s="1"/>
      <c r="J364" s="1"/>
      <c r="K364" s="17"/>
      <c r="L364" s="1"/>
      <c r="M364" s="1"/>
      <c r="N364" s="2"/>
      <c r="O364" s="2"/>
      <c r="P364" s="17"/>
      <c r="Q364" s="1"/>
      <c r="R364" s="1"/>
      <c r="S364" s="1"/>
      <c r="T364" s="38"/>
      <c r="U364" s="38"/>
      <c r="V364" s="38"/>
      <c r="W364" s="38"/>
      <c r="X364" s="38"/>
      <c r="Y364" s="38"/>
      <c r="Z364" s="38"/>
      <c r="AA364" s="122"/>
      <c r="AB364" s="122"/>
      <c r="AC364" s="122"/>
      <c r="AD364" s="122"/>
      <c r="AE364" s="122"/>
      <c r="AF364" s="122"/>
      <c r="AG364" s="122"/>
      <c r="AH364" s="122"/>
      <c r="AI364" s="122"/>
      <c r="AJ364" s="38"/>
      <c r="AK364" s="122"/>
      <c r="AL364" s="122"/>
      <c r="AM364" s="122"/>
      <c r="AN364" s="122"/>
      <c r="AO364" s="38"/>
      <c r="AP364" s="38"/>
      <c r="AQ364" s="38"/>
      <c r="AR364" s="17"/>
      <c r="AS364" s="1"/>
      <c r="AT364" s="17"/>
      <c r="AU364" s="1"/>
      <c r="AV364" s="17"/>
      <c r="AW364" s="1"/>
      <c r="AX364" s="2"/>
      <c r="AY364" s="1"/>
      <c r="AZ364" s="1"/>
    </row>
    <row x14ac:dyDescent="0.25" r="365" customHeight="1" ht="15">
      <c r="A365" s="1"/>
      <c r="B365" s="1"/>
      <c r="C365" s="1"/>
      <c r="D365" s="1"/>
      <c r="E365" s="1"/>
      <c r="F365" s="1"/>
      <c r="G365" s="1"/>
      <c r="H365" s="1"/>
      <c r="I365" s="1"/>
      <c r="J365" s="1"/>
      <c r="K365" s="17"/>
      <c r="L365" s="1"/>
      <c r="M365" s="1"/>
      <c r="N365" s="2"/>
      <c r="O365" s="2"/>
      <c r="P365" s="17"/>
      <c r="Q365" s="1"/>
      <c r="R365" s="1"/>
      <c r="S365" s="1"/>
      <c r="T365" s="38"/>
      <c r="U365" s="38"/>
      <c r="V365" s="38"/>
      <c r="W365" s="38"/>
      <c r="X365" s="38"/>
      <c r="Y365" s="38"/>
      <c r="Z365" s="38"/>
      <c r="AA365" s="122"/>
      <c r="AB365" s="122"/>
      <c r="AC365" s="122"/>
      <c r="AD365" s="122"/>
      <c r="AE365" s="122"/>
      <c r="AF365" s="122"/>
      <c r="AG365" s="122"/>
      <c r="AH365" s="122"/>
      <c r="AI365" s="122"/>
      <c r="AJ365" s="38"/>
      <c r="AK365" s="122"/>
      <c r="AL365" s="122"/>
      <c r="AM365" s="122"/>
      <c r="AN365" s="122"/>
      <c r="AO365" s="38"/>
      <c r="AP365" s="38"/>
      <c r="AQ365" s="38"/>
      <c r="AR365" s="17"/>
      <c r="AS365" s="1"/>
      <c r="AT365" s="17"/>
      <c r="AU365" s="1"/>
      <c r="AV365" s="17"/>
      <c r="AW365" s="1"/>
      <c r="AX365" s="2"/>
      <c r="AY365" s="1"/>
      <c r="AZ365" s="1"/>
    </row>
    <row x14ac:dyDescent="0.25" r="366" customHeight="1" ht="15">
      <c r="A366" s="1"/>
      <c r="B366" s="1"/>
      <c r="C366" s="1"/>
      <c r="D366" s="1"/>
      <c r="E366" s="1"/>
      <c r="F366" s="1"/>
      <c r="G366" s="1"/>
      <c r="H366" s="1"/>
      <c r="I366" s="1"/>
      <c r="J366" s="1"/>
      <c r="K366" s="17"/>
      <c r="L366" s="1"/>
      <c r="M366" s="1"/>
      <c r="N366" s="2"/>
      <c r="O366" s="2"/>
      <c r="P366" s="17"/>
      <c r="Q366" s="1"/>
      <c r="R366" s="1"/>
      <c r="S366" s="1"/>
      <c r="T366" s="38"/>
      <c r="U366" s="38"/>
      <c r="V366" s="38"/>
      <c r="W366" s="38"/>
      <c r="X366" s="38"/>
      <c r="Y366" s="38"/>
      <c r="Z366" s="38"/>
      <c r="AA366" s="122"/>
      <c r="AB366" s="122"/>
      <c r="AC366" s="122"/>
      <c r="AD366" s="122"/>
      <c r="AE366" s="122"/>
      <c r="AF366" s="122"/>
      <c r="AG366" s="122"/>
      <c r="AH366" s="122"/>
      <c r="AI366" s="122"/>
      <c r="AJ366" s="38"/>
      <c r="AK366" s="122"/>
      <c r="AL366" s="122"/>
      <c r="AM366" s="122"/>
      <c r="AN366" s="122"/>
      <c r="AO366" s="38"/>
      <c r="AP366" s="38"/>
      <c r="AQ366" s="38"/>
      <c r="AR366" s="17"/>
      <c r="AS366" s="1"/>
      <c r="AT366" s="17"/>
      <c r="AU366" s="1"/>
      <c r="AV366" s="17"/>
      <c r="AW366" s="1"/>
      <c r="AX366" s="2"/>
      <c r="AY366" s="1"/>
      <c r="AZ366" s="1"/>
    </row>
    <row x14ac:dyDescent="0.25" r="367" customHeight="1" ht="15">
      <c r="A367" s="1"/>
      <c r="B367" s="1"/>
      <c r="C367" s="1"/>
      <c r="D367" s="1"/>
      <c r="E367" s="1"/>
      <c r="F367" s="1"/>
      <c r="G367" s="1"/>
      <c r="H367" s="1"/>
      <c r="I367" s="1"/>
      <c r="J367" s="1"/>
      <c r="K367" s="17"/>
      <c r="L367" s="1"/>
      <c r="M367" s="1"/>
      <c r="N367" s="2"/>
      <c r="O367" s="2"/>
      <c r="P367" s="17"/>
      <c r="Q367" s="1"/>
      <c r="R367" s="1"/>
      <c r="S367" s="1"/>
      <c r="T367" s="38"/>
      <c r="U367" s="38"/>
      <c r="V367" s="38"/>
      <c r="W367" s="38"/>
      <c r="X367" s="38"/>
      <c r="Y367" s="38"/>
      <c r="Z367" s="38"/>
      <c r="AA367" s="122"/>
      <c r="AB367" s="122"/>
      <c r="AC367" s="122"/>
      <c r="AD367" s="122"/>
      <c r="AE367" s="122"/>
      <c r="AF367" s="122"/>
      <c r="AG367" s="122"/>
      <c r="AH367" s="122"/>
      <c r="AI367" s="122"/>
      <c r="AJ367" s="38"/>
      <c r="AK367" s="122"/>
      <c r="AL367" s="122"/>
      <c r="AM367" s="122"/>
      <c r="AN367" s="122"/>
      <c r="AO367" s="38"/>
      <c r="AP367" s="38"/>
      <c r="AQ367" s="38"/>
      <c r="AR367" s="17"/>
      <c r="AS367" s="1"/>
      <c r="AT367" s="17"/>
      <c r="AU367" s="1"/>
      <c r="AV367" s="17"/>
      <c r="AW367" s="1"/>
      <c r="AX367" s="2"/>
      <c r="AY367" s="1"/>
      <c r="AZ367" s="1"/>
    </row>
    <row x14ac:dyDescent="0.25" r="368" customHeight="1" ht="15">
      <c r="A368" s="1"/>
      <c r="B368" s="1"/>
      <c r="C368" s="1"/>
      <c r="D368" s="1"/>
      <c r="E368" s="1"/>
      <c r="F368" s="1"/>
      <c r="G368" s="1"/>
      <c r="H368" s="1"/>
      <c r="I368" s="1"/>
      <c r="J368" s="1"/>
      <c r="K368" s="17"/>
      <c r="L368" s="1"/>
      <c r="M368" s="1"/>
      <c r="N368" s="2"/>
      <c r="O368" s="2"/>
      <c r="P368" s="17"/>
      <c r="Q368" s="1"/>
      <c r="R368" s="1"/>
      <c r="S368" s="1"/>
      <c r="T368" s="38"/>
      <c r="U368" s="38"/>
      <c r="V368" s="38"/>
      <c r="W368" s="38"/>
      <c r="X368" s="38"/>
      <c r="Y368" s="38"/>
      <c r="Z368" s="38"/>
      <c r="AA368" s="122"/>
      <c r="AB368" s="122"/>
      <c r="AC368" s="122"/>
      <c r="AD368" s="122"/>
      <c r="AE368" s="122"/>
      <c r="AF368" s="122"/>
      <c r="AG368" s="122"/>
      <c r="AH368" s="122"/>
      <c r="AI368" s="122"/>
      <c r="AJ368" s="38"/>
      <c r="AK368" s="122"/>
      <c r="AL368" s="122"/>
      <c r="AM368" s="122"/>
      <c r="AN368" s="122"/>
      <c r="AO368" s="38"/>
      <c r="AP368" s="38"/>
      <c r="AQ368" s="38"/>
      <c r="AR368" s="17"/>
      <c r="AS368" s="1"/>
      <c r="AT368" s="17"/>
      <c r="AU368" s="1"/>
      <c r="AV368" s="17"/>
      <c r="AW368" s="1"/>
      <c r="AX368" s="2"/>
      <c r="AY368" s="1"/>
      <c r="AZ368" s="1"/>
    </row>
    <row x14ac:dyDescent="0.25" r="369" customHeight="1" ht="15">
      <c r="A369" s="1"/>
      <c r="B369" s="1"/>
      <c r="C369" s="1"/>
      <c r="D369" s="1"/>
      <c r="E369" s="1"/>
      <c r="F369" s="1"/>
      <c r="G369" s="1"/>
      <c r="H369" s="1"/>
      <c r="I369" s="1"/>
      <c r="J369" s="1"/>
      <c r="K369" s="17"/>
      <c r="L369" s="1"/>
      <c r="M369" s="1"/>
      <c r="N369" s="2"/>
      <c r="O369" s="2"/>
      <c r="P369" s="17"/>
      <c r="Q369" s="1"/>
      <c r="R369" s="1"/>
      <c r="S369" s="1"/>
      <c r="T369" s="38"/>
      <c r="U369" s="38"/>
      <c r="V369" s="38"/>
      <c r="W369" s="38"/>
      <c r="X369" s="38"/>
      <c r="Y369" s="38"/>
      <c r="Z369" s="38"/>
      <c r="AA369" s="122"/>
      <c r="AB369" s="122"/>
      <c r="AC369" s="122"/>
      <c r="AD369" s="122"/>
      <c r="AE369" s="122"/>
      <c r="AF369" s="122"/>
      <c r="AG369" s="122"/>
      <c r="AH369" s="122"/>
      <c r="AI369" s="122"/>
      <c r="AJ369" s="38"/>
      <c r="AK369" s="122"/>
      <c r="AL369" s="122"/>
      <c r="AM369" s="122"/>
      <c r="AN369" s="122"/>
      <c r="AO369" s="38"/>
      <c r="AP369" s="38"/>
      <c r="AQ369" s="38"/>
      <c r="AR369" s="17"/>
      <c r="AS369" s="1"/>
      <c r="AT369" s="17"/>
      <c r="AU369" s="1"/>
      <c r="AV369" s="17"/>
      <c r="AW369" s="1"/>
      <c r="AX369" s="2"/>
      <c r="AY369" s="1"/>
      <c r="AZ369" s="1"/>
    </row>
    <row x14ac:dyDescent="0.25" r="370" customHeight="1" ht="15">
      <c r="A370" s="1"/>
      <c r="B370" s="1"/>
      <c r="C370" s="1"/>
      <c r="D370" s="1"/>
      <c r="E370" s="1"/>
      <c r="F370" s="1"/>
      <c r="G370" s="1"/>
      <c r="H370" s="1"/>
      <c r="I370" s="1"/>
      <c r="J370" s="1"/>
      <c r="K370" s="17"/>
      <c r="L370" s="1"/>
      <c r="M370" s="1"/>
      <c r="N370" s="2"/>
      <c r="O370" s="2"/>
      <c r="P370" s="17"/>
      <c r="Q370" s="1"/>
      <c r="R370" s="1"/>
      <c r="S370" s="1"/>
      <c r="T370" s="38"/>
      <c r="U370" s="38"/>
      <c r="V370" s="38"/>
      <c r="W370" s="38"/>
      <c r="X370" s="38"/>
      <c r="Y370" s="38"/>
      <c r="Z370" s="38"/>
      <c r="AA370" s="122"/>
      <c r="AB370" s="122"/>
      <c r="AC370" s="122"/>
      <c r="AD370" s="122"/>
      <c r="AE370" s="122"/>
      <c r="AF370" s="122"/>
      <c r="AG370" s="122"/>
      <c r="AH370" s="122"/>
      <c r="AI370" s="122"/>
      <c r="AJ370" s="38"/>
      <c r="AK370" s="122"/>
      <c r="AL370" s="122"/>
      <c r="AM370" s="122"/>
      <c r="AN370" s="122"/>
      <c r="AO370" s="38"/>
      <c r="AP370" s="38"/>
      <c r="AQ370" s="38"/>
      <c r="AR370" s="17"/>
      <c r="AS370" s="1"/>
      <c r="AT370" s="17"/>
      <c r="AU370" s="1"/>
      <c r="AV370" s="17"/>
      <c r="AW370" s="1"/>
      <c r="AX370" s="2"/>
      <c r="AY370" s="1"/>
      <c r="AZ370" s="1"/>
    </row>
    <row x14ac:dyDescent="0.25" r="371" customHeight="1" ht="15">
      <c r="A371" s="1"/>
      <c r="B371" s="1"/>
      <c r="C371" s="1"/>
      <c r="D371" s="1"/>
      <c r="E371" s="1"/>
      <c r="F371" s="1"/>
      <c r="G371" s="1"/>
      <c r="H371" s="1"/>
      <c r="I371" s="1"/>
      <c r="J371" s="1"/>
      <c r="K371" s="17"/>
      <c r="L371" s="1"/>
      <c r="M371" s="1"/>
      <c r="N371" s="2"/>
      <c r="O371" s="2"/>
      <c r="P371" s="17"/>
      <c r="Q371" s="1"/>
      <c r="R371" s="1"/>
      <c r="S371" s="1"/>
      <c r="T371" s="38"/>
      <c r="U371" s="38"/>
      <c r="V371" s="38"/>
      <c r="W371" s="38"/>
      <c r="X371" s="38"/>
      <c r="Y371" s="38"/>
      <c r="Z371" s="38"/>
      <c r="AA371" s="122"/>
      <c r="AB371" s="122"/>
      <c r="AC371" s="122"/>
      <c r="AD371" s="122"/>
      <c r="AE371" s="122"/>
      <c r="AF371" s="122"/>
      <c r="AG371" s="122"/>
      <c r="AH371" s="122"/>
      <c r="AI371" s="122"/>
      <c r="AJ371" s="38"/>
      <c r="AK371" s="122"/>
      <c r="AL371" s="122"/>
      <c r="AM371" s="122"/>
      <c r="AN371" s="122"/>
      <c r="AO371" s="38"/>
      <c r="AP371" s="38"/>
      <c r="AQ371" s="38"/>
      <c r="AR371" s="17"/>
      <c r="AS371" s="1"/>
      <c r="AT371" s="17"/>
      <c r="AU371" s="1"/>
      <c r="AV371" s="17"/>
      <c r="AW371" s="1"/>
      <c r="AX371" s="2"/>
      <c r="AY371" s="1"/>
      <c r="AZ371" s="1"/>
    </row>
    <row x14ac:dyDescent="0.25" r="372" customHeight="1" ht="15">
      <c r="A372" s="1"/>
      <c r="B372" s="1"/>
      <c r="C372" s="1"/>
      <c r="D372" s="1"/>
      <c r="E372" s="1"/>
      <c r="F372" s="1"/>
      <c r="G372" s="1"/>
      <c r="H372" s="1"/>
      <c r="I372" s="1"/>
      <c r="J372" s="1"/>
      <c r="K372" s="17"/>
      <c r="L372" s="1"/>
      <c r="M372" s="1"/>
      <c r="N372" s="2"/>
      <c r="O372" s="2"/>
      <c r="P372" s="17"/>
      <c r="Q372" s="1"/>
      <c r="R372" s="1"/>
      <c r="S372" s="1"/>
      <c r="T372" s="38"/>
      <c r="U372" s="38"/>
      <c r="V372" s="38"/>
      <c r="W372" s="38"/>
      <c r="X372" s="38"/>
      <c r="Y372" s="38"/>
      <c r="Z372" s="38"/>
      <c r="AA372" s="122"/>
      <c r="AB372" s="122"/>
      <c r="AC372" s="122"/>
      <c r="AD372" s="122"/>
      <c r="AE372" s="122"/>
      <c r="AF372" s="122"/>
      <c r="AG372" s="122"/>
      <c r="AH372" s="122"/>
      <c r="AI372" s="122"/>
      <c r="AJ372" s="38"/>
      <c r="AK372" s="122"/>
      <c r="AL372" s="122"/>
      <c r="AM372" s="122"/>
      <c r="AN372" s="122"/>
      <c r="AO372" s="38"/>
      <c r="AP372" s="38"/>
      <c r="AQ372" s="38"/>
      <c r="AR372" s="17"/>
      <c r="AS372" s="1"/>
      <c r="AT372" s="17"/>
      <c r="AU372" s="1"/>
      <c r="AV372" s="17"/>
      <c r="AW372" s="1"/>
      <c r="AX372" s="2"/>
      <c r="AY372" s="1"/>
      <c r="AZ372" s="1"/>
    </row>
    <row x14ac:dyDescent="0.25" r="373" customHeight="1" ht="15">
      <c r="A373" s="1"/>
      <c r="B373" s="1"/>
      <c r="C373" s="1"/>
      <c r="D373" s="1"/>
      <c r="E373" s="1"/>
      <c r="F373" s="1"/>
      <c r="G373" s="1"/>
      <c r="H373" s="1"/>
      <c r="I373" s="1"/>
      <c r="J373" s="1"/>
      <c r="K373" s="17"/>
      <c r="L373" s="1"/>
      <c r="M373" s="1"/>
      <c r="N373" s="2"/>
      <c r="O373" s="2"/>
      <c r="P373" s="17"/>
      <c r="Q373" s="1"/>
      <c r="R373" s="1"/>
      <c r="S373" s="1"/>
      <c r="T373" s="38"/>
      <c r="U373" s="38"/>
      <c r="V373" s="38"/>
      <c r="W373" s="38"/>
      <c r="X373" s="38"/>
      <c r="Y373" s="38"/>
      <c r="Z373" s="38"/>
      <c r="AA373" s="122"/>
      <c r="AB373" s="122"/>
      <c r="AC373" s="122"/>
      <c r="AD373" s="122"/>
      <c r="AE373" s="122"/>
      <c r="AF373" s="122"/>
      <c r="AG373" s="122"/>
      <c r="AH373" s="122"/>
      <c r="AI373" s="122"/>
      <c r="AJ373" s="38"/>
      <c r="AK373" s="122"/>
      <c r="AL373" s="122"/>
      <c r="AM373" s="122"/>
      <c r="AN373" s="122"/>
      <c r="AO373" s="38"/>
      <c r="AP373" s="38"/>
      <c r="AQ373" s="38"/>
      <c r="AR373" s="17"/>
      <c r="AS373" s="1"/>
      <c r="AT373" s="17"/>
      <c r="AU373" s="1"/>
      <c r="AV373" s="17"/>
      <c r="AW373" s="1"/>
      <c r="AX373" s="2"/>
      <c r="AY373" s="1"/>
      <c r="AZ373" s="1"/>
    </row>
    <row x14ac:dyDescent="0.25" r="374" customHeight="1" ht="15">
      <c r="A374" s="1"/>
      <c r="B374" s="1"/>
      <c r="C374" s="1"/>
      <c r="D374" s="1"/>
      <c r="E374" s="1"/>
      <c r="F374" s="1"/>
      <c r="G374" s="1"/>
      <c r="H374" s="1"/>
      <c r="I374" s="1"/>
      <c r="J374" s="1"/>
      <c r="K374" s="17"/>
      <c r="L374" s="1"/>
      <c r="M374" s="1"/>
      <c r="N374" s="2"/>
      <c r="O374" s="2"/>
      <c r="P374" s="17"/>
      <c r="Q374" s="1"/>
      <c r="R374" s="1"/>
      <c r="S374" s="1"/>
      <c r="T374" s="38"/>
      <c r="U374" s="38"/>
      <c r="V374" s="38"/>
      <c r="W374" s="38"/>
      <c r="X374" s="38"/>
      <c r="Y374" s="38"/>
      <c r="Z374" s="38"/>
      <c r="AA374" s="122"/>
      <c r="AB374" s="122"/>
      <c r="AC374" s="122"/>
      <c r="AD374" s="122"/>
      <c r="AE374" s="122"/>
      <c r="AF374" s="122"/>
      <c r="AG374" s="122"/>
      <c r="AH374" s="122"/>
      <c r="AI374" s="122"/>
      <c r="AJ374" s="38"/>
      <c r="AK374" s="122"/>
      <c r="AL374" s="122"/>
      <c r="AM374" s="122"/>
      <c r="AN374" s="122"/>
      <c r="AO374" s="38"/>
      <c r="AP374" s="38"/>
      <c r="AQ374" s="38"/>
      <c r="AR374" s="17"/>
      <c r="AS374" s="1"/>
      <c r="AT374" s="17"/>
      <c r="AU374" s="1"/>
      <c r="AV374" s="17"/>
      <c r="AW374" s="1"/>
      <c r="AX374" s="2"/>
      <c r="AY374" s="1"/>
      <c r="AZ374" s="1"/>
    </row>
    <row x14ac:dyDescent="0.25" r="375" customHeight="1" ht="15">
      <c r="A375" s="1"/>
      <c r="B375" s="1"/>
      <c r="C375" s="1"/>
      <c r="D375" s="1"/>
      <c r="E375" s="1"/>
      <c r="F375" s="1"/>
      <c r="G375" s="1"/>
      <c r="H375" s="1"/>
      <c r="I375" s="1"/>
      <c r="J375" s="1"/>
      <c r="K375" s="17"/>
      <c r="L375" s="1"/>
      <c r="M375" s="1"/>
      <c r="N375" s="2"/>
      <c r="O375" s="2"/>
      <c r="P375" s="17"/>
      <c r="Q375" s="1"/>
      <c r="R375" s="1"/>
      <c r="S375" s="1"/>
      <c r="T375" s="38"/>
      <c r="U375" s="38"/>
      <c r="V375" s="38"/>
      <c r="W375" s="38"/>
      <c r="X375" s="38"/>
      <c r="Y375" s="38"/>
      <c r="Z375" s="38"/>
      <c r="AA375" s="122"/>
      <c r="AB375" s="122"/>
      <c r="AC375" s="122"/>
      <c r="AD375" s="122"/>
      <c r="AE375" s="122"/>
      <c r="AF375" s="122"/>
      <c r="AG375" s="122"/>
      <c r="AH375" s="122"/>
      <c r="AI375" s="122"/>
      <c r="AJ375" s="38"/>
      <c r="AK375" s="122"/>
      <c r="AL375" s="122"/>
      <c r="AM375" s="122"/>
      <c r="AN375" s="122"/>
      <c r="AO375" s="38"/>
      <c r="AP375" s="38"/>
      <c r="AQ375" s="38"/>
      <c r="AR375" s="17"/>
      <c r="AS375" s="1"/>
      <c r="AT375" s="17"/>
      <c r="AU375" s="1"/>
      <c r="AV375" s="17"/>
      <c r="AW375" s="1"/>
      <c r="AX375" s="2"/>
      <c r="AY375" s="1"/>
      <c r="AZ375" s="1"/>
    </row>
    <row x14ac:dyDescent="0.25" r="376" customHeight="1" ht="15">
      <c r="A376" s="1"/>
      <c r="B376" s="1"/>
      <c r="C376" s="1"/>
      <c r="D376" s="1"/>
      <c r="E376" s="1"/>
      <c r="F376" s="1"/>
      <c r="G376" s="1"/>
      <c r="H376" s="1"/>
      <c r="I376" s="1"/>
      <c r="J376" s="1"/>
      <c r="K376" s="17"/>
      <c r="L376" s="1"/>
      <c r="M376" s="1"/>
      <c r="N376" s="2"/>
      <c r="O376" s="2"/>
      <c r="P376" s="17"/>
      <c r="Q376" s="1"/>
      <c r="R376" s="1"/>
      <c r="S376" s="1"/>
      <c r="T376" s="38"/>
      <c r="U376" s="38"/>
      <c r="V376" s="38"/>
      <c r="W376" s="38"/>
      <c r="X376" s="38"/>
      <c r="Y376" s="38"/>
      <c r="Z376" s="38"/>
      <c r="AA376" s="122"/>
      <c r="AB376" s="122"/>
      <c r="AC376" s="122"/>
      <c r="AD376" s="122"/>
      <c r="AE376" s="122"/>
      <c r="AF376" s="122"/>
      <c r="AG376" s="122"/>
      <c r="AH376" s="122"/>
      <c r="AI376" s="122"/>
      <c r="AJ376" s="38"/>
      <c r="AK376" s="122"/>
      <c r="AL376" s="122"/>
      <c r="AM376" s="122"/>
      <c r="AN376" s="122"/>
      <c r="AO376" s="38"/>
      <c r="AP376" s="38"/>
      <c r="AQ376" s="38"/>
      <c r="AR376" s="17"/>
      <c r="AS376" s="1"/>
      <c r="AT376" s="17"/>
      <c r="AU376" s="1"/>
      <c r="AV376" s="17"/>
      <c r="AW376" s="1"/>
      <c r="AX376" s="2"/>
      <c r="AY376" s="1"/>
      <c r="AZ376" s="1"/>
    </row>
    <row x14ac:dyDescent="0.25" r="377" customHeight="1" ht="15">
      <c r="A377" s="1"/>
      <c r="B377" s="1"/>
      <c r="C377" s="1"/>
      <c r="D377" s="1"/>
      <c r="E377" s="1"/>
      <c r="F377" s="1"/>
      <c r="G377" s="1"/>
      <c r="H377" s="1"/>
      <c r="I377" s="1"/>
      <c r="J377" s="1"/>
      <c r="K377" s="17"/>
      <c r="L377" s="1"/>
      <c r="M377" s="1"/>
      <c r="N377" s="2"/>
      <c r="O377" s="2"/>
      <c r="P377" s="17"/>
      <c r="Q377" s="1"/>
      <c r="R377" s="1"/>
      <c r="S377" s="1"/>
      <c r="T377" s="38"/>
      <c r="U377" s="38"/>
      <c r="V377" s="38"/>
      <c r="W377" s="38"/>
      <c r="X377" s="38"/>
      <c r="Y377" s="38"/>
      <c r="Z377" s="38"/>
      <c r="AA377" s="122"/>
      <c r="AB377" s="122"/>
      <c r="AC377" s="122"/>
      <c r="AD377" s="122"/>
      <c r="AE377" s="122"/>
      <c r="AF377" s="122"/>
      <c r="AG377" s="122"/>
      <c r="AH377" s="122"/>
      <c r="AI377" s="122"/>
      <c r="AJ377" s="38"/>
      <c r="AK377" s="122"/>
      <c r="AL377" s="122"/>
      <c r="AM377" s="122"/>
      <c r="AN377" s="122"/>
      <c r="AO377" s="38"/>
      <c r="AP377" s="38"/>
      <c r="AQ377" s="38"/>
      <c r="AR377" s="17"/>
      <c r="AS377" s="1"/>
      <c r="AT377" s="17"/>
      <c r="AU377" s="1"/>
      <c r="AV377" s="17"/>
      <c r="AW377" s="1"/>
      <c r="AX377" s="2"/>
      <c r="AY377" s="1"/>
      <c r="AZ377" s="1"/>
    </row>
    <row x14ac:dyDescent="0.25" r="378" customHeight="1" ht="15">
      <c r="A378" s="1"/>
      <c r="B378" s="1"/>
      <c r="C378" s="1"/>
      <c r="D378" s="1"/>
      <c r="E378" s="1"/>
      <c r="F378" s="1"/>
      <c r="G378" s="1"/>
      <c r="H378" s="1"/>
      <c r="I378" s="1"/>
      <c r="J378" s="1"/>
      <c r="K378" s="17"/>
      <c r="L378" s="1"/>
      <c r="M378" s="1"/>
      <c r="N378" s="2"/>
      <c r="O378" s="2"/>
      <c r="P378" s="17"/>
      <c r="Q378" s="1"/>
      <c r="R378" s="1"/>
      <c r="S378" s="1"/>
      <c r="T378" s="38"/>
      <c r="U378" s="38"/>
      <c r="V378" s="38"/>
      <c r="W378" s="38"/>
      <c r="X378" s="38"/>
      <c r="Y378" s="38"/>
      <c r="Z378" s="38"/>
      <c r="AA378" s="122"/>
      <c r="AB378" s="122"/>
      <c r="AC378" s="122"/>
      <c r="AD378" s="122"/>
      <c r="AE378" s="122"/>
      <c r="AF378" s="122"/>
      <c r="AG378" s="122"/>
      <c r="AH378" s="122"/>
      <c r="AI378" s="122"/>
      <c r="AJ378" s="38"/>
      <c r="AK378" s="122"/>
      <c r="AL378" s="122"/>
      <c r="AM378" s="122"/>
      <c r="AN378" s="122"/>
      <c r="AO378" s="38"/>
      <c r="AP378" s="38"/>
      <c r="AQ378" s="38"/>
      <c r="AR378" s="17"/>
      <c r="AS378" s="1"/>
      <c r="AT378" s="17"/>
      <c r="AU378" s="1"/>
      <c r="AV378" s="17"/>
      <c r="AW378" s="1"/>
      <c r="AX378" s="2"/>
      <c r="AY378" s="1"/>
      <c r="AZ378" s="1"/>
    </row>
    <row x14ac:dyDescent="0.25" r="379" customHeight="1" ht="15">
      <c r="A379" s="1"/>
      <c r="B379" s="1"/>
      <c r="C379" s="1"/>
      <c r="D379" s="1"/>
      <c r="E379" s="1"/>
      <c r="F379" s="1"/>
      <c r="G379" s="1"/>
      <c r="H379" s="1"/>
      <c r="I379" s="1"/>
      <c r="J379" s="1"/>
      <c r="K379" s="17"/>
      <c r="L379" s="1"/>
      <c r="M379" s="1"/>
      <c r="N379" s="2"/>
      <c r="O379" s="2"/>
      <c r="P379" s="17"/>
      <c r="Q379" s="1"/>
      <c r="R379" s="1"/>
      <c r="S379" s="1"/>
      <c r="T379" s="38"/>
      <c r="U379" s="38"/>
      <c r="V379" s="38"/>
      <c r="W379" s="38"/>
      <c r="X379" s="38"/>
      <c r="Y379" s="38"/>
      <c r="Z379" s="38"/>
      <c r="AA379" s="122"/>
      <c r="AB379" s="122"/>
      <c r="AC379" s="122"/>
      <c r="AD379" s="122"/>
      <c r="AE379" s="122"/>
      <c r="AF379" s="122"/>
      <c r="AG379" s="122"/>
      <c r="AH379" s="122"/>
      <c r="AI379" s="122"/>
      <c r="AJ379" s="38"/>
      <c r="AK379" s="122"/>
      <c r="AL379" s="122"/>
      <c r="AM379" s="122"/>
      <c r="AN379" s="122"/>
      <c r="AO379" s="38"/>
      <c r="AP379" s="38"/>
      <c r="AQ379" s="38"/>
      <c r="AR379" s="17"/>
      <c r="AS379" s="1"/>
      <c r="AT379" s="17"/>
      <c r="AU379" s="1"/>
      <c r="AV379" s="17"/>
      <c r="AW379" s="1"/>
      <c r="AX379" s="2"/>
      <c r="AY379" s="1"/>
      <c r="AZ379" s="1"/>
    </row>
    <row x14ac:dyDescent="0.25" r="380" customHeight="1" ht="15">
      <c r="A380" s="1"/>
      <c r="B380" s="1"/>
      <c r="C380" s="1"/>
      <c r="D380" s="1"/>
      <c r="E380" s="1"/>
      <c r="F380" s="1"/>
      <c r="G380" s="1"/>
      <c r="H380" s="1"/>
      <c r="I380" s="1"/>
      <c r="J380" s="1"/>
      <c r="K380" s="17"/>
      <c r="L380" s="1"/>
      <c r="M380" s="1"/>
      <c r="N380" s="2"/>
      <c r="O380" s="2"/>
      <c r="P380" s="17"/>
      <c r="Q380" s="1"/>
      <c r="R380" s="1"/>
      <c r="S380" s="1"/>
      <c r="T380" s="38"/>
      <c r="U380" s="38"/>
      <c r="V380" s="38"/>
      <c r="W380" s="38"/>
      <c r="X380" s="38"/>
      <c r="Y380" s="38"/>
      <c r="Z380" s="38"/>
      <c r="AA380" s="122"/>
      <c r="AB380" s="122"/>
      <c r="AC380" s="122"/>
      <c r="AD380" s="122"/>
      <c r="AE380" s="122"/>
      <c r="AF380" s="122"/>
      <c r="AG380" s="122"/>
      <c r="AH380" s="122"/>
      <c r="AI380" s="122"/>
      <c r="AJ380" s="38"/>
      <c r="AK380" s="122"/>
      <c r="AL380" s="122"/>
      <c r="AM380" s="122"/>
      <c r="AN380" s="122"/>
      <c r="AO380" s="38"/>
      <c r="AP380" s="38"/>
      <c r="AQ380" s="38"/>
      <c r="AR380" s="17"/>
      <c r="AS380" s="1"/>
      <c r="AT380" s="17"/>
      <c r="AU380" s="1"/>
      <c r="AV380" s="17"/>
      <c r="AW380" s="1"/>
      <c r="AX380" s="2"/>
      <c r="AY380" s="1"/>
      <c r="AZ380" s="1"/>
    </row>
    <row x14ac:dyDescent="0.25" r="381" customHeight="1" ht="15">
      <c r="A381" s="1"/>
      <c r="B381" s="1"/>
      <c r="C381" s="1"/>
      <c r="D381" s="1"/>
      <c r="E381" s="1"/>
      <c r="F381" s="1"/>
      <c r="G381" s="1"/>
      <c r="H381" s="1"/>
      <c r="I381" s="1"/>
      <c r="J381" s="1"/>
      <c r="K381" s="17"/>
      <c r="L381" s="1"/>
      <c r="M381" s="1"/>
      <c r="N381" s="2"/>
      <c r="O381" s="2"/>
      <c r="P381" s="17"/>
      <c r="Q381" s="1"/>
      <c r="R381" s="1"/>
      <c r="S381" s="1"/>
      <c r="T381" s="38"/>
      <c r="U381" s="38"/>
      <c r="V381" s="38"/>
      <c r="W381" s="38"/>
      <c r="X381" s="38"/>
      <c r="Y381" s="38"/>
      <c r="Z381" s="38"/>
      <c r="AA381" s="122"/>
      <c r="AB381" s="122"/>
      <c r="AC381" s="122"/>
      <c r="AD381" s="122"/>
      <c r="AE381" s="122"/>
      <c r="AF381" s="122"/>
      <c r="AG381" s="122"/>
      <c r="AH381" s="122"/>
      <c r="AI381" s="122"/>
      <c r="AJ381" s="38"/>
      <c r="AK381" s="122"/>
      <c r="AL381" s="122"/>
      <c r="AM381" s="122"/>
      <c r="AN381" s="122"/>
      <c r="AO381" s="38"/>
      <c r="AP381" s="38"/>
      <c r="AQ381" s="38"/>
      <c r="AR381" s="17"/>
      <c r="AS381" s="1"/>
      <c r="AT381" s="17"/>
      <c r="AU381" s="1"/>
      <c r="AV381" s="17"/>
      <c r="AW381" s="1"/>
      <c r="AX381" s="2"/>
      <c r="AY381" s="1"/>
      <c r="AZ381" s="1"/>
    </row>
    <row x14ac:dyDescent="0.25" r="382" customHeight="1" ht="15">
      <c r="A382" s="1"/>
      <c r="B382" s="1"/>
      <c r="C382" s="1"/>
      <c r="D382" s="1"/>
      <c r="E382" s="1"/>
      <c r="F382" s="1"/>
      <c r="G382" s="1"/>
      <c r="H382" s="1"/>
      <c r="I382" s="1"/>
      <c r="J382" s="1"/>
      <c r="K382" s="17"/>
      <c r="L382" s="1"/>
      <c r="M382" s="1"/>
      <c r="N382" s="2"/>
      <c r="O382" s="2"/>
      <c r="P382" s="17"/>
      <c r="Q382" s="1"/>
      <c r="R382" s="1"/>
      <c r="S382" s="1"/>
      <c r="T382" s="38"/>
      <c r="U382" s="38"/>
      <c r="V382" s="38"/>
      <c r="W382" s="38"/>
      <c r="X382" s="38"/>
      <c r="Y382" s="38"/>
      <c r="Z382" s="38"/>
      <c r="AA382" s="122"/>
      <c r="AB382" s="122"/>
      <c r="AC382" s="122"/>
      <c r="AD382" s="122"/>
      <c r="AE382" s="122"/>
      <c r="AF382" s="122"/>
      <c r="AG382" s="122"/>
      <c r="AH382" s="122"/>
      <c r="AI382" s="122"/>
      <c r="AJ382" s="38"/>
      <c r="AK382" s="122"/>
      <c r="AL382" s="122"/>
      <c r="AM382" s="122"/>
      <c r="AN382" s="122"/>
      <c r="AO382" s="38"/>
      <c r="AP382" s="38"/>
      <c r="AQ382" s="38"/>
      <c r="AR382" s="17"/>
      <c r="AS382" s="1"/>
      <c r="AT382" s="17"/>
      <c r="AU382" s="1"/>
      <c r="AV382" s="17"/>
      <c r="AW382" s="1"/>
      <c r="AX382" s="2"/>
      <c r="AY382" s="1"/>
      <c r="AZ382" s="1"/>
    </row>
    <row x14ac:dyDescent="0.25" r="383" customHeight="1" ht="15">
      <c r="A383" s="1"/>
      <c r="B383" s="1"/>
      <c r="C383" s="1"/>
      <c r="D383" s="1"/>
      <c r="E383" s="1"/>
      <c r="F383" s="1"/>
      <c r="G383" s="1"/>
      <c r="H383" s="1"/>
      <c r="I383" s="1"/>
      <c r="J383" s="1"/>
      <c r="K383" s="17"/>
      <c r="L383" s="1"/>
      <c r="M383" s="1"/>
      <c r="N383" s="2"/>
      <c r="O383" s="2"/>
      <c r="P383" s="17"/>
      <c r="Q383" s="1"/>
      <c r="R383" s="1"/>
      <c r="S383" s="1"/>
      <c r="T383" s="38"/>
      <c r="U383" s="38"/>
      <c r="V383" s="38"/>
      <c r="W383" s="38"/>
      <c r="X383" s="38"/>
      <c r="Y383" s="38"/>
      <c r="Z383" s="38"/>
      <c r="AA383" s="122"/>
      <c r="AB383" s="122"/>
      <c r="AC383" s="122"/>
      <c r="AD383" s="122"/>
      <c r="AE383" s="122"/>
      <c r="AF383" s="122"/>
      <c r="AG383" s="122"/>
      <c r="AH383" s="122"/>
      <c r="AI383" s="122"/>
      <c r="AJ383" s="38"/>
      <c r="AK383" s="122"/>
      <c r="AL383" s="122"/>
      <c r="AM383" s="122"/>
      <c r="AN383" s="122"/>
      <c r="AO383" s="38"/>
      <c r="AP383" s="38"/>
      <c r="AQ383" s="38"/>
      <c r="AR383" s="17"/>
      <c r="AS383" s="1"/>
      <c r="AT383" s="17"/>
      <c r="AU383" s="1"/>
      <c r="AV383" s="17"/>
      <c r="AW383" s="1"/>
      <c r="AX383" s="2"/>
      <c r="AY383" s="1"/>
      <c r="AZ383" s="1"/>
    </row>
    <row x14ac:dyDescent="0.25" r="384" customHeight="1" ht="15">
      <c r="A384" s="1"/>
      <c r="B384" s="1"/>
      <c r="C384" s="1"/>
      <c r="D384" s="1"/>
      <c r="E384" s="1"/>
      <c r="F384" s="1"/>
      <c r="G384" s="1"/>
      <c r="H384" s="1"/>
      <c r="I384" s="1"/>
      <c r="J384" s="1"/>
      <c r="K384" s="17"/>
      <c r="L384" s="1"/>
      <c r="M384" s="1"/>
      <c r="N384" s="2"/>
      <c r="O384" s="2"/>
      <c r="P384" s="17"/>
      <c r="Q384" s="1"/>
      <c r="R384" s="1"/>
      <c r="S384" s="1"/>
      <c r="T384" s="38"/>
      <c r="U384" s="38"/>
      <c r="V384" s="38"/>
      <c r="W384" s="38"/>
      <c r="X384" s="38"/>
      <c r="Y384" s="38"/>
      <c r="Z384" s="38"/>
      <c r="AA384" s="122"/>
      <c r="AB384" s="122"/>
      <c r="AC384" s="122"/>
      <c r="AD384" s="122"/>
      <c r="AE384" s="122"/>
      <c r="AF384" s="122"/>
      <c r="AG384" s="122"/>
      <c r="AH384" s="122"/>
      <c r="AI384" s="122"/>
      <c r="AJ384" s="38"/>
      <c r="AK384" s="122"/>
      <c r="AL384" s="122"/>
      <c r="AM384" s="122"/>
      <c r="AN384" s="122"/>
      <c r="AO384" s="38"/>
      <c r="AP384" s="38"/>
      <c r="AQ384" s="38"/>
      <c r="AR384" s="17"/>
      <c r="AS384" s="1"/>
      <c r="AT384" s="17"/>
      <c r="AU384" s="1"/>
      <c r="AV384" s="17"/>
      <c r="AW384" s="1"/>
      <c r="AX384" s="2"/>
      <c r="AY384" s="1"/>
      <c r="AZ384" s="1"/>
    </row>
    <row x14ac:dyDescent="0.25" r="385" customHeight="1" ht="15">
      <c r="A385" s="1"/>
      <c r="B385" s="1"/>
      <c r="C385" s="1"/>
      <c r="D385" s="1"/>
      <c r="E385" s="1"/>
      <c r="F385" s="1"/>
      <c r="G385" s="1"/>
      <c r="H385" s="1"/>
      <c r="I385" s="1"/>
      <c r="J385" s="1"/>
      <c r="K385" s="17"/>
      <c r="L385" s="1"/>
      <c r="M385" s="1"/>
      <c r="N385" s="2"/>
      <c r="O385" s="2"/>
      <c r="P385" s="17"/>
      <c r="Q385" s="1"/>
      <c r="R385" s="1"/>
      <c r="S385" s="1"/>
      <c r="T385" s="38"/>
      <c r="U385" s="38"/>
      <c r="V385" s="38"/>
      <c r="W385" s="38"/>
      <c r="X385" s="38"/>
      <c r="Y385" s="38"/>
      <c r="Z385" s="38"/>
      <c r="AA385" s="122"/>
      <c r="AB385" s="122"/>
      <c r="AC385" s="122"/>
      <c r="AD385" s="122"/>
      <c r="AE385" s="122"/>
      <c r="AF385" s="122"/>
      <c r="AG385" s="122"/>
      <c r="AH385" s="122"/>
      <c r="AI385" s="122"/>
      <c r="AJ385" s="38"/>
      <c r="AK385" s="122"/>
      <c r="AL385" s="122"/>
      <c r="AM385" s="122"/>
      <c r="AN385" s="122"/>
      <c r="AO385" s="38"/>
      <c r="AP385" s="38"/>
      <c r="AQ385" s="38"/>
      <c r="AR385" s="17"/>
      <c r="AS385" s="1"/>
      <c r="AT385" s="17"/>
      <c r="AU385" s="1"/>
      <c r="AV385" s="17"/>
      <c r="AW385" s="1"/>
      <c r="AX385" s="2"/>
      <c r="AY385" s="1"/>
      <c r="AZ385" s="1"/>
    </row>
    <row x14ac:dyDescent="0.25" r="386" customHeight="1" ht="15">
      <c r="A386" s="1"/>
      <c r="B386" s="1"/>
      <c r="C386" s="1"/>
      <c r="D386" s="1"/>
      <c r="E386" s="1"/>
      <c r="F386" s="1"/>
      <c r="G386" s="1"/>
      <c r="H386" s="1"/>
      <c r="I386" s="1"/>
      <c r="J386" s="1"/>
      <c r="K386" s="17"/>
      <c r="L386" s="1"/>
      <c r="M386" s="1"/>
      <c r="N386" s="2"/>
      <c r="O386" s="2"/>
      <c r="P386" s="17"/>
      <c r="Q386" s="1"/>
      <c r="R386" s="1"/>
      <c r="S386" s="1"/>
      <c r="T386" s="38"/>
      <c r="U386" s="38"/>
      <c r="V386" s="38"/>
      <c r="W386" s="38"/>
      <c r="X386" s="38"/>
      <c r="Y386" s="38"/>
      <c r="Z386" s="38"/>
      <c r="AA386" s="122"/>
      <c r="AB386" s="122"/>
      <c r="AC386" s="122"/>
      <c r="AD386" s="122"/>
      <c r="AE386" s="122"/>
      <c r="AF386" s="122"/>
      <c r="AG386" s="122"/>
      <c r="AH386" s="122"/>
      <c r="AI386" s="122"/>
      <c r="AJ386" s="38"/>
      <c r="AK386" s="122"/>
      <c r="AL386" s="122"/>
      <c r="AM386" s="122"/>
      <c r="AN386" s="122"/>
      <c r="AO386" s="38"/>
      <c r="AP386" s="38"/>
      <c r="AQ386" s="38"/>
      <c r="AR386" s="17"/>
      <c r="AS386" s="1"/>
      <c r="AT386" s="17"/>
      <c r="AU386" s="1"/>
      <c r="AV386" s="17"/>
      <c r="AW386" s="1"/>
      <c r="AX386" s="2"/>
      <c r="AY386" s="1"/>
      <c r="AZ386" s="1"/>
    </row>
    <row x14ac:dyDescent="0.25" r="387" customHeight="1" ht="15">
      <c r="A387" s="1"/>
      <c r="B387" s="1"/>
      <c r="C387" s="1"/>
      <c r="D387" s="1"/>
      <c r="E387" s="1"/>
      <c r="F387" s="1"/>
      <c r="G387" s="1"/>
      <c r="H387" s="1"/>
      <c r="I387" s="1"/>
      <c r="J387" s="1"/>
      <c r="K387" s="17"/>
      <c r="L387" s="1"/>
      <c r="M387" s="1"/>
      <c r="N387" s="2"/>
      <c r="O387" s="2"/>
      <c r="P387" s="17"/>
      <c r="Q387" s="1"/>
      <c r="R387" s="1"/>
      <c r="S387" s="1"/>
      <c r="T387" s="38"/>
      <c r="U387" s="38"/>
      <c r="V387" s="38"/>
      <c r="W387" s="38"/>
      <c r="X387" s="38"/>
      <c r="Y387" s="38"/>
      <c r="Z387" s="38"/>
      <c r="AA387" s="122"/>
      <c r="AB387" s="122"/>
      <c r="AC387" s="122"/>
      <c r="AD387" s="122"/>
      <c r="AE387" s="122"/>
      <c r="AF387" s="122"/>
      <c r="AG387" s="122"/>
      <c r="AH387" s="122"/>
      <c r="AI387" s="122"/>
      <c r="AJ387" s="38"/>
      <c r="AK387" s="122"/>
      <c r="AL387" s="122"/>
      <c r="AM387" s="122"/>
      <c r="AN387" s="122"/>
      <c r="AO387" s="38"/>
      <c r="AP387" s="38"/>
      <c r="AQ387" s="38"/>
      <c r="AR387" s="17"/>
      <c r="AS387" s="1"/>
      <c r="AT387" s="17"/>
      <c r="AU387" s="1"/>
      <c r="AV387" s="17"/>
      <c r="AW387" s="1"/>
      <c r="AX387" s="2"/>
      <c r="AY387" s="1"/>
      <c r="AZ387" s="1"/>
    </row>
    <row x14ac:dyDescent="0.25" r="388" customHeight="1" ht="15">
      <c r="A388" s="1"/>
      <c r="B388" s="1"/>
      <c r="C388" s="1"/>
      <c r="D388" s="1"/>
      <c r="E388" s="1"/>
      <c r="F388" s="1"/>
      <c r="G388" s="1"/>
      <c r="H388" s="1"/>
      <c r="I388" s="1"/>
      <c r="J388" s="1"/>
      <c r="K388" s="17"/>
      <c r="L388" s="1"/>
      <c r="M388" s="1"/>
      <c r="N388" s="2"/>
      <c r="O388" s="2"/>
      <c r="P388" s="17"/>
      <c r="Q388" s="1"/>
      <c r="R388" s="1"/>
      <c r="S388" s="1"/>
      <c r="T388" s="38"/>
      <c r="U388" s="38"/>
      <c r="V388" s="38"/>
      <c r="W388" s="38"/>
      <c r="X388" s="38"/>
      <c r="Y388" s="38"/>
      <c r="Z388" s="38"/>
      <c r="AA388" s="122"/>
      <c r="AB388" s="122"/>
      <c r="AC388" s="122"/>
      <c r="AD388" s="122"/>
      <c r="AE388" s="122"/>
      <c r="AF388" s="122"/>
      <c r="AG388" s="122"/>
      <c r="AH388" s="122"/>
      <c r="AI388" s="122"/>
      <c r="AJ388" s="38"/>
      <c r="AK388" s="122"/>
      <c r="AL388" s="122"/>
      <c r="AM388" s="122"/>
      <c r="AN388" s="122"/>
      <c r="AO388" s="38"/>
      <c r="AP388" s="38"/>
      <c r="AQ388" s="38"/>
      <c r="AR388" s="17"/>
      <c r="AS388" s="1"/>
      <c r="AT388" s="17"/>
      <c r="AU388" s="1"/>
      <c r="AV388" s="17"/>
      <c r="AW388" s="1"/>
      <c r="AX388" s="2"/>
      <c r="AY388" s="1"/>
      <c r="AZ388" s="1"/>
    </row>
    <row x14ac:dyDescent="0.25" r="389" customHeight="1" ht="15">
      <c r="A389" s="1"/>
      <c r="B389" s="1"/>
      <c r="C389" s="1"/>
      <c r="D389" s="1"/>
      <c r="E389" s="1"/>
      <c r="F389" s="1"/>
      <c r="G389" s="1"/>
      <c r="H389" s="1"/>
      <c r="I389" s="1"/>
      <c r="J389" s="1"/>
      <c r="K389" s="17"/>
      <c r="L389" s="1"/>
      <c r="M389" s="1"/>
      <c r="N389" s="2"/>
      <c r="O389" s="2"/>
      <c r="P389" s="17"/>
      <c r="Q389" s="1"/>
      <c r="R389" s="1"/>
      <c r="S389" s="1"/>
      <c r="T389" s="38"/>
      <c r="U389" s="38"/>
      <c r="V389" s="38"/>
      <c r="W389" s="38"/>
      <c r="X389" s="38"/>
      <c r="Y389" s="38"/>
      <c r="Z389" s="38"/>
      <c r="AA389" s="122"/>
      <c r="AB389" s="122"/>
      <c r="AC389" s="122"/>
      <c r="AD389" s="122"/>
      <c r="AE389" s="122"/>
      <c r="AF389" s="122"/>
      <c r="AG389" s="122"/>
      <c r="AH389" s="122"/>
      <c r="AI389" s="122"/>
      <c r="AJ389" s="38"/>
      <c r="AK389" s="122"/>
      <c r="AL389" s="122"/>
      <c r="AM389" s="122"/>
      <c r="AN389" s="122"/>
      <c r="AO389" s="38"/>
      <c r="AP389" s="38"/>
      <c r="AQ389" s="38"/>
      <c r="AR389" s="17"/>
      <c r="AS389" s="1"/>
      <c r="AT389" s="17"/>
      <c r="AU389" s="1"/>
      <c r="AV389" s="17"/>
      <c r="AW389" s="1"/>
      <c r="AX389" s="2"/>
      <c r="AY389" s="1"/>
      <c r="AZ389" s="1"/>
    </row>
    <row x14ac:dyDescent="0.25" r="390" customHeight="1" ht="15">
      <c r="A390" s="1"/>
      <c r="B390" s="1"/>
      <c r="C390" s="1"/>
      <c r="D390" s="1"/>
      <c r="E390" s="1"/>
      <c r="F390" s="1"/>
      <c r="G390" s="1"/>
      <c r="H390" s="1"/>
      <c r="I390" s="1"/>
      <c r="J390" s="1"/>
      <c r="K390" s="17"/>
      <c r="L390" s="1"/>
      <c r="M390" s="1"/>
      <c r="N390" s="2"/>
      <c r="O390" s="2"/>
      <c r="P390" s="17"/>
      <c r="Q390" s="1"/>
      <c r="R390" s="1"/>
      <c r="S390" s="1"/>
      <c r="T390" s="38"/>
      <c r="U390" s="38"/>
      <c r="V390" s="38"/>
      <c r="W390" s="38"/>
      <c r="X390" s="38"/>
      <c r="Y390" s="38"/>
      <c r="Z390" s="38"/>
      <c r="AA390" s="122"/>
      <c r="AB390" s="122"/>
      <c r="AC390" s="122"/>
      <c r="AD390" s="122"/>
      <c r="AE390" s="122"/>
      <c r="AF390" s="122"/>
      <c r="AG390" s="122"/>
      <c r="AH390" s="122"/>
      <c r="AI390" s="122"/>
      <c r="AJ390" s="38"/>
      <c r="AK390" s="122"/>
      <c r="AL390" s="122"/>
      <c r="AM390" s="122"/>
      <c r="AN390" s="122"/>
      <c r="AO390" s="38"/>
      <c r="AP390" s="38"/>
      <c r="AQ390" s="38"/>
      <c r="AR390" s="17"/>
      <c r="AS390" s="1"/>
      <c r="AT390" s="17"/>
      <c r="AU390" s="1"/>
      <c r="AV390" s="17"/>
      <c r="AW390" s="1"/>
      <c r="AX390" s="2"/>
      <c r="AY390" s="1"/>
      <c r="AZ390" s="1"/>
    </row>
    <row x14ac:dyDescent="0.25" r="391" customHeight="1" ht="15">
      <c r="A391" s="1"/>
      <c r="B391" s="1"/>
      <c r="C391" s="1"/>
      <c r="D391" s="1"/>
      <c r="E391" s="1"/>
      <c r="F391" s="1"/>
      <c r="G391" s="1"/>
      <c r="H391" s="1"/>
      <c r="I391" s="1"/>
      <c r="J391" s="1"/>
      <c r="K391" s="17"/>
      <c r="L391" s="1"/>
      <c r="M391" s="1"/>
      <c r="N391" s="2"/>
      <c r="O391" s="2"/>
      <c r="P391" s="17"/>
      <c r="Q391" s="1"/>
      <c r="R391" s="1"/>
      <c r="S391" s="1"/>
      <c r="T391" s="38"/>
      <c r="U391" s="38"/>
      <c r="V391" s="38"/>
      <c r="W391" s="38"/>
      <c r="X391" s="38"/>
      <c r="Y391" s="38"/>
      <c r="Z391" s="38"/>
      <c r="AA391" s="122"/>
      <c r="AB391" s="122"/>
      <c r="AC391" s="122"/>
      <c r="AD391" s="122"/>
      <c r="AE391" s="122"/>
      <c r="AF391" s="122"/>
      <c r="AG391" s="122"/>
      <c r="AH391" s="122"/>
      <c r="AI391" s="122"/>
      <c r="AJ391" s="38"/>
      <c r="AK391" s="122"/>
      <c r="AL391" s="122"/>
      <c r="AM391" s="122"/>
      <c r="AN391" s="122"/>
      <c r="AO391" s="38"/>
      <c r="AP391" s="38"/>
      <c r="AQ391" s="38"/>
      <c r="AR391" s="17"/>
      <c r="AS391" s="1"/>
      <c r="AT391" s="17"/>
      <c r="AU391" s="1"/>
      <c r="AV391" s="17"/>
      <c r="AW391" s="1"/>
      <c r="AX391" s="2"/>
      <c r="AY391" s="1"/>
      <c r="AZ391" s="1"/>
    </row>
    <row x14ac:dyDescent="0.25" r="392" customHeight="1" ht="15">
      <c r="A392" s="1"/>
      <c r="B392" s="1"/>
      <c r="C392" s="1"/>
      <c r="D392" s="1"/>
      <c r="E392" s="1"/>
      <c r="F392" s="1"/>
      <c r="G392" s="1"/>
      <c r="H392" s="1"/>
      <c r="I392" s="1"/>
      <c r="J392" s="1"/>
      <c r="K392" s="17"/>
      <c r="L392" s="1"/>
      <c r="M392" s="1"/>
      <c r="N392" s="2"/>
      <c r="O392" s="2"/>
      <c r="P392" s="17"/>
      <c r="Q392" s="1"/>
      <c r="R392" s="1"/>
      <c r="S392" s="1"/>
      <c r="T392" s="38"/>
      <c r="U392" s="38"/>
      <c r="V392" s="38"/>
      <c r="W392" s="38"/>
      <c r="X392" s="38"/>
      <c r="Y392" s="38"/>
      <c r="Z392" s="38"/>
      <c r="AA392" s="122"/>
      <c r="AB392" s="122"/>
      <c r="AC392" s="122"/>
      <c r="AD392" s="122"/>
      <c r="AE392" s="122"/>
      <c r="AF392" s="122"/>
      <c r="AG392" s="122"/>
      <c r="AH392" s="122"/>
      <c r="AI392" s="122"/>
      <c r="AJ392" s="38"/>
      <c r="AK392" s="122"/>
      <c r="AL392" s="122"/>
      <c r="AM392" s="122"/>
      <c r="AN392" s="122"/>
      <c r="AO392" s="38"/>
      <c r="AP392" s="38"/>
      <c r="AQ392" s="38"/>
      <c r="AR392" s="17"/>
      <c r="AS392" s="1"/>
      <c r="AT392" s="17"/>
      <c r="AU392" s="1"/>
      <c r="AV392" s="17"/>
      <c r="AW392" s="1"/>
      <c r="AX392" s="2"/>
      <c r="AY392" s="1"/>
      <c r="AZ392" s="1"/>
    </row>
    <row x14ac:dyDescent="0.25" r="393" customHeight="1" ht="15">
      <c r="A393" s="1"/>
      <c r="B393" s="1"/>
      <c r="C393" s="1"/>
      <c r="D393" s="1"/>
      <c r="E393" s="1"/>
      <c r="F393" s="1"/>
      <c r="G393" s="1"/>
      <c r="H393" s="1"/>
      <c r="I393" s="1"/>
      <c r="J393" s="1"/>
      <c r="K393" s="17"/>
      <c r="L393" s="1"/>
      <c r="M393" s="1"/>
      <c r="N393" s="2"/>
      <c r="O393" s="2"/>
      <c r="P393" s="17"/>
      <c r="Q393" s="1"/>
      <c r="R393" s="1"/>
      <c r="S393" s="1"/>
      <c r="T393" s="38"/>
      <c r="U393" s="38"/>
      <c r="V393" s="38"/>
      <c r="W393" s="38"/>
      <c r="X393" s="38"/>
      <c r="Y393" s="38"/>
      <c r="Z393" s="38"/>
      <c r="AA393" s="122"/>
      <c r="AB393" s="122"/>
      <c r="AC393" s="122"/>
      <c r="AD393" s="122"/>
      <c r="AE393" s="122"/>
      <c r="AF393" s="122"/>
      <c r="AG393" s="122"/>
      <c r="AH393" s="122"/>
      <c r="AI393" s="122"/>
      <c r="AJ393" s="38"/>
      <c r="AK393" s="122"/>
      <c r="AL393" s="122"/>
      <c r="AM393" s="122"/>
      <c r="AN393" s="122"/>
      <c r="AO393" s="38"/>
      <c r="AP393" s="38"/>
      <c r="AQ393" s="38"/>
      <c r="AR393" s="17"/>
      <c r="AS393" s="1"/>
      <c r="AT393" s="17"/>
      <c r="AU393" s="1"/>
      <c r="AV393" s="17"/>
      <c r="AW393" s="1"/>
      <c r="AX393" s="2"/>
      <c r="AY393" s="1"/>
      <c r="AZ393" s="1"/>
    </row>
    <row x14ac:dyDescent="0.25" r="394" customHeight="1" ht="15">
      <c r="A394" s="1"/>
      <c r="B394" s="1"/>
      <c r="C394" s="1"/>
      <c r="D394" s="1"/>
      <c r="E394" s="1"/>
      <c r="F394" s="1"/>
      <c r="G394" s="1"/>
      <c r="H394" s="1"/>
      <c r="I394" s="1"/>
      <c r="J394" s="1"/>
      <c r="K394" s="17"/>
      <c r="L394" s="1"/>
      <c r="M394" s="1"/>
      <c r="N394" s="2"/>
      <c r="O394" s="2"/>
      <c r="P394" s="17"/>
      <c r="Q394" s="1"/>
      <c r="R394" s="1"/>
      <c r="S394" s="1"/>
      <c r="T394" s="38"/>
      <c r="U394" s="38"/>
      <c r="V394" s="38"/>
      <c r="W394" s="38"/>
      <c r="X394" s="38"/>
      <c r="Y394" s="38"/>
      <c r="Z394" s="38"/>
      <c r="AA394" s="122"/>
      <c r="AB394" s="122"/>
      <c r="AC394" s="122"/>
      <c r="AD394" s="122"/>
      <c r="AE394" s="122"/>
      <c r="AF394" s="122"/>
      <c r="AG394" s="122"/>
      <c r="AH394" s="122"/>
      <c r="AI394" s="122"/>
      <c r="AJ394" s="38"/>
      <c r="AK394" s="122"/>
      <c r="AL394" s="122"/>
      <c r="AM394" s="122"/>
      <c r="AN394" s="122"/>
      <c r="AO394" s="38"/>
      <c r="AP394" s="38"/>
      <c r="AQ394" s="38"/>
      <c r="AR394" s="17"/>
      <c r="AS394" s="1"/>
      <c r="AT394" s="17"/>
      <c r="AU394" s="1"/>
      <c r="AV394" s="17"/>
      <c r="AW394" s="1"/>
      <c r="AX394" s="2"/>
      <c r="AY394" s="1"/>
      <c r="AZ394" s="1"/>
    </row>
    <row x14ac:dyDescent="0.25" r="395" customHeight="1" ht="15">
      <c r="A395" s="1"/>
      <c r="B395" s="1"/>
      <c r="C395" s="1"/>
      <c r="D395" s="1"/>
      <c r="E395" s="1"/>
      <c r="F395" s="1"/>
      <c r="G395" s="1"/>
      <c r="H395" s="1"/>
      <c r="I395" s="1"/>
      <c r="J395" s="1"/>
      <c r="K395" s="17"/>
      <c r="L395" s="1"/>
      <c r="M395" s="1"/>
      <c r="N395" s="2"/>
      <c r="O395" s="2"/>
      <c r="P395" s="17"/>
      <c r="Q395" s="1"/>
      <c r="R395" s="1"/>
      <c r="S395" s="1"/>
      <c r="T395" s="38"/>
      <c r="U395" s="38"/>
      <c r="V395" s="38"/>
      <c r="W395" s="38"/>
      <c r="X395" s="38"/>
      <c r="Y395" s="38"/>
      <c r="Z395" s="38"/>
      <c r="AA395" s="122"/>
      <c r="AB395" s="122"/>
      <c r="AC395" s="122"/>
      <c r="AD395" s="122"/>
      <c r="AE395" s="122"/>
      <c r="AF395" s="122"/>
      <c r="AG395" s="122"/>
      <c r="AH395" s="122"/>
      <c r="AI395" s="122"/>
      <c r="AJ395" s="38"/>
      <c r="AK395" s="122"/>
      <c r="AL395" s="122"/>
      <c r="AM395" s="122"/>
      <c r="AN395" s="122"/>
      <c r="AO395" s="38"/>
      <c r="AP395" s="38"/>
      <c r="AQ395" s="38"/>
      <c r="AR395" s="17"/>
      <c r="AS395" s="1"/>
      <c r="AT395" s="17"/>
      <c r="AU395" s="1"/>
      <c r="AV395" s="17"/>
      <c r="AW395" s="1"/>
      <c r="AX395" s="2"/>
      <c r="AY395" s="1"/>
      <c r="AZ395" s="1"/>
    </row>
    <row x14ac:dyDescent="0.25" r="396" customHeight="1" ht="15">
      <c r="A396" s="1"/>
      <c r="B396" s="1"/>
      <c r="C396" s="1"/>
      <c r="D396" s="1"/>
      <c r="E396" s="1"/>
      <c r="F396" s="1"/>
      <c r="G396" s="1"/>
      <c r="H396" s="1"/>
      <c r="I396" s="1"/>
      <c r="J396" s="1"/>
      <c r="K396" s="17"/>
      <c r="L396" s="1"/>
      <c r="M396" s="1"/>
      <c r="N396" s="2"/>
      <c r="O396" s="2"/>
      <c r="P396" s="17"/>
      <c r="Q396" s="1"/>
      <c r="R396" s="1"/>
      <c r="S396" s="1"/>
      <c r="T396" s="38"/>
      <c r="U396" s="38"/>
      <c r="V396" s="38"/>
      <c r="W396" s="38"/>
      <c r="X396" s="38"/>
      <c r="Y396" s="38"/>
      <c r="Z396" s="38"/>
      <c r="AA396" s="122"/>
      <c r="AB396" s="122"/>
      <c r="AC396" s="122"/>
      <c r="AD396" s="122"/>
      <c r="AE396" s="122"/>
      <c r="AF396" s="122"/>
      <c r="AG396" s="122"/>
      <c r="AH396" s="122"/>
      <c r="AI396" s="122"/>
      <c r="AJ396" s="38"/>
      <c r="AK396" s="122"/>
      <c r="AL396" s="122"/>
      <c r="AM396" s="122"/>
      <c r="AN396" s="122"/>
      <c r="AO396" s="38"/>
      <c r="AP396" s="38"/>
      <c r="AQ396" s="38"/>
      <c r="AR396" s="17"/>
      <c r="AS396" s="1"/>
      <c r="AT396" s="17"/>
      <c r="AU396" s="1"/>
      <c r="AV396" s="17"/>
      <c r="AW396" s="1"/>
      <c r="AX396" s="2"/>
      <c r="AY396" s="1"/>
      <c r="AZ396" s="1"/>
    </row>
    <row x14ac:dyDescent="0.25" r="397" customHeight="1" ht="15">
      <c r="A397" s="1"/>
      <c r="B397" s="1"/>
      <c r="C397" s="1"/>
      <c r="D397" s="1"/>
      <c r="E397" s="1"/>
      <c r="F397" s="1"/>
      <c r="G397" s="1"/>
      <c r="H397" s="1"/>
      <c r="I397" s="1"/>
      <c r="J397" s="1"/>
      <c r="K397" s="17"/>
      <c r="L397" s="1"/>
      <c r="M397" s="1"/>
      <c r="N397" s="2"/>
      <c r="O397" s="2"/>
      <c r="P397" s="17"/>
      <c r="Q397" s="1"/>
      <c r="R397" s="1"/>
      <c r="S397" s="1"/>
      <c r="T397" s="38"/>
      <c r="U397" s="38"/>
      <c r="V397" s="38"/>
      <c r="W397" s="38"/>
      <c r="X397" s="38"/>
      <c r="Y397" s="38"/>
      <c r="Z397" s="38"/>
      <c r="AA397" s="122"/>
      <c r="AB397" s="122"/>
      <c r="AC397" s="122"/>
      <c r="AD397" s="122"/>
      <c r="AE397" s="122"/>
      <c r="AF397" s="122"/>
      <c r="AG397" s="122"/>
      <c r="AH397" s="122"/>
      <c r="AI397" s="122"/>
      <c r="AJ397" s="38"/>
      <c r="AK397" s="122"/>
      <c r="AL397" s="122"/>
      <c r="AM397" s="122"/>
      <c r="AN397" s="122"/>
      <c r="AO397" s="38"/>
      <c r="AP397" s="38"/>
      <c r="AQ397" s="38"/>
      <c r="AR397" s="17"/>
      <c r="AS397" s="1"/>
      <c r="AT397" s="17"/>
      <c r="AU397" s="1"/>
      <c r="AV397" s="17"/>
      <c r="AW397" s="1"/>
      <c r="AX397" s="2"/>
      <c r="AY397" s="1"/>
      <c r="AZ397" s="1"/>
    </row>
    <row x14ac:dyDescent="0.25" r="398" customHeight="1" ht="15">
      <c r="A398" s="1"/>
      <c r="B398" s="1"/>
      <c r="C398" s="1"/>
      <c r="D398" s="1"/>
      <c r="E398" s="1"/>
      <c r="F398" s="1"/>
      <c r="G398" s="1"/>
      <c r="H398" s="1"/>
      <c r="I398" s="1"/>
      <c r="J398" s="1"/>
      <c r="K398" s="17"/>
      <c r="L398" s="1"/>
      <c r="M398" s="1"/>
      <c r="N398" s="2"/>
      <c r="O398" s="2"/>
      <c r="P398" s="17"/>
      <c r="Q398" s="1"/>
      <c r="R398" s="1"/>
      <c r="S398" s="1"/>
      <c r="T398" s="38"/>
      <c r="U398" s="38"/>
      <c r="V398" s="38"/>
      <c r="W398" s="38"/>
      <c r="X398" s="38"/>
      <c r="Y398" s="38"/>
      <c r="Z398" s="38"/>
      <c r="AA398" s="122"/>
      <c r="AB398" s="122"/>
      <c r="AC398" s="122"/>
      <c r="AD398" s="122"/>
      <c r="AE398" s="122"/>
      <c r="AF398" s="122"/>
      <c r="AG398" s="122"/>
      <c r="AH398" s="122"/>
      <c r="AI398" s="122"/>
      <c r="AJ398" s="38"/>
      <c r="AK398" s="122"/>
      <c r="AL398" s="122"/>
      <c r="AM398" s="122"/>
      <c r="AN398" s="122"/>
      <c r="AO398" s="38"/>
      <c r="AP398" s="38"/>
      <c r="AQ398" s="38"/>
      <c r="AR398" s="17"/>
      <c r="AS398" s="1"/>
      <c r="AT398" s="17"/>
      <c r="AU398" s="1"/>
      <c r="AV398" s="17"/>
      <c r="AW398" s="1"/>
      <c r="AX398" s="2"/>
      <c r="AY398" s="1"/>
      <c r="AZ398" s="1"/>
    </row>
    <row x14ac:dyDescent="0.25" r="399" customHeight="1" ht="15">
      <c r="A399" s="1"/>
      <c r="B399" s="1"/>
      <c r="C399" s="1"/>
      <c r="D399" s="1"/>
      <c r="E399" s="1"/>
      <c r="F399" s="1"/>
      <c r="G399" s="1"/>
      <c r="H399" s="1"/>
      <c r="I399" s="1"/>
      <c r="J399" s="1"/>
      <c r="K399" s="17"/>
      <c r="L399" s="1"/>
      <c r="M399" s="1"/>
      <c r="N399" s="2"/>
      <c r="O399" s="2"/>
      <c r="P399" s="17"/>
      <c r="Q399" s="1"/>
      <c r="R399" s="1"/>
      <c r="S399" s="1"/>
      <c r="T399" s="38"/>
      <c r="U399" s="38"/>
      <c r="V399" s="38"/>
      <c r="W399" s="38"/>
      <c r="X399" s="38"/>
      <c r="Y399" s="38"/>
      <c r="Z399" s="38"/>
      <c r="AA399" s="122"/>
      <c r="AB399" s="122"/>
      <c r="AC399" s="122"/>
      <c r="AD399" s="122"/>
      <c r="AE399" s="122"/>
      <c r="AF399" s="122"/>
      <c r="AG399" s="122"/>
      <c r="AH399" s="122"/>
      <c r="AI399" s="122"/>
      <c r="AJ399" s="38"/>
      <c r="AK399" s="122"/>
      <c r="AL399" s="122"/>
      <c r="AM399" s="122"/>
      <c r="AN399" s="122"/>
      <c r="AO399" s="38"/>
      <c r="AP399" s="38"/>
      <c r="AQ399" s="38"/>
      <c r="AR399" s="17"/>
      <c r="AS399" s="1"/>
      <c r="AT399" s="17"/>
      <c r="AU399" s="1"/>
      <c r="AV399" s="17"/>
      <c r="AW399" s="1"/>
      <c r="AX399" s="2"/>
      <c r="AY399" s="1"/>
      <c r="AZ399" s="1"/>
    </row>
    <row x14ac:dyDescent="0.25" r="400" customHeight="1" ht="15">
      <c r="A400" s="1"/>
      <c r="B400" s="1"/>
      <c r="C400" s="1"/>
      <c r="D400" s="1"/>
      <c r="E400" s="1"/>
      <c r="F400" s="1"/>
      <c r="G400" s="1"/>
      <c r="H400" s="1"/>
      <c r="I400" s="1"/>
      <c r="J400" s="1"/>
      <c r="K400" s="17"/>
      <c r="L400" s="1"/>
      <c r="M400" s="1"/>
      <c r="N400" s="2"/>
      <c r="O400" s="2"/>
      <c r="P400" s="17"/>
      <c r="Q400" s="1"/>
      <c r="R400" s="1"/>
      <c r="S400" s="1"/>
      <c r="T400" s="38"/>
      <c r="U400" s="38"/>
      <c r="V400" s="38"/>
      <c r="W400" s="38"/>
      <c r="X400" s="38"/>
      <c r="Y400" s="38"/>
      <c r="Z400" s="38"/>
      <c r="AA400" s="122"/>
      <c r="AB400" s="122"/>
      <c r="AC400" s="122"/>
      <c r="AD400" s="122"/>
      <c r="AE400" s="122"/>
      <c r="AF400" s="122"/>
      <c r="AG400" s="122"/>
      <c r="AH400" s="122"/>
      <c r="AI400" s="122"/>
      <c r="AJ400" s="38"/>
      <c r="AK400" s="122"/>
      <c r="AL400" s="122"/>
      <c r="AM400" s="122"/>
      <c r="AN400" s="122"/>
      <c r="AO400" s="38"/>
      <c r="AP400" s="38"/>
      <c r="AQ400" s="38"/>
      <c r="AR400" s="17"/>
      <c r="AS400" s="1"/>
      <c r="AT400" s="17"/>
      <c r="AU400" s="1"/>
      <c r="AV400" s="17"/>
      <c r="AW400" s="1"/>
      <c r="AX400" s="2"/>
      <c r="AY400" s="1"/>
      <c r="AZ400" s="1"/>
    </row>
    <row x14ac:dyDescent="0.25" r="401" customHeight="1" ht="15">
      <c r="A401" s="1"/>
      <c r="B401" s="1"/>
      <c r="C401" s="1"/>
      <c r="D401" s="1"/>
      <c r="E401" s="1"/>
      <c r="F401" s="1"/>
      <c r="G401" s="1"/>
      <c r="H401" s="1"/>
      <c r="I401" s="1"/>
      <c r="J401" s="1"/>
      <c r="K401" s="17"/>
      <c r="L401" s="1"/>
      <c r="M401" s="1"/>
      <c r="N401" s="2"/>
      <c r="O401" s="2"/>
      <c r="P401" s="17"/>
      <c r="Q401" s="1"/>
      <c r="R401" s="1"/>
      <c r="S401" s="1"/>
      <c r="T401" s="38"/>
      <c r="U401" s="38"/>
      <c r="V401" s="38"/>
      <c r="W401" s="38"/>
      <c r="X401" s="38"/>
      <c r="Y401" s="38"/>
      <c r="Z401" s="38"/>
      <c r="AA401" s="122"/>
      <c r="AB401" s="122"/>
      <c r="AC401" s="122"/>
      <c r="AD401" s="122"/>
      <c r="AE401" s="122"/>
      <c r="AF401" s="122"/>
      <c r="AG401" s="122"/>
      <c r="AH401" s="122"/>
      <c r="AI401" s="122"/>
      <c r="AJ401" s="38"/>
      <c r="AK401" s="122"/>
      <c r="AL401" s="122"/>
      <c r="AM401" s="122"/>
      <c r="AN401" s="122"/>
      <c r="AO401" s="38"/>
      <c r="AP401" s="38"/>
      <c r="AQ401" s="38"/>
      <c r="AR401" s="17"/>
      <c r="AS401" s="1"/>
      <c r="AT401" s="17"/>
      <c r="AU401" s="1"/>
      <c r="AV401" s="17"/>
      <c r="AW401" s="1"/>
      <c r="AX401" s="2"/>
      <c r="AY401" s="1"/>
      <c r="AZ401" s="1"/>
    </row>
    <row x14ac:dyDescent="0.25" r="402" customHeight="1" ht="15">
      <c r="A402" s="1"/>
      <c r="B402" s="1"/>
      <c r="C402" s="1"/>
      <c r="D402" s="1"/>
      <c r="E402" s="1"/>
      <c r="F402" s="1"/>
      <c r="G402" s="1"/>
      <c r="H402" s="1"/>
      <c r="I402" s="1"/>
      <c r="J402" s="1"/>
      <c r="K402" s="17"/>
      <c r="L402" s="1"/>
      <c r="M402" s="1"/>
      <c r="N402" s="2"/>
      <c r="O402" s="2"/>
      <c r="P402" s="17"/>
      <c r="Q402" s="1"/>
      <c r="R402" s="1"/>
      <c r="S402" s="1"/>
      <c r="T402" s="38"/>
      <c r="U402" s="38"/>
      <c r="V402" s="38"/>
      <c r="W402" s="38"/>
      <c r="X402" s="38"/>
      <c r="Y402" s="38"/>
      <c r="Z402" s="38"/>
      <c r="AA402" s="122"/>
      <c r="AB402" s="122"/>
      <c r="AC402" s="122"/>
      <c r="AD402" s="122"/>
      <c r="AE402" s="122"/>
      <c r="AF402" s="122"/>
      <c r="AG402" s="122"/>
      <c r="AH402" s="122"/>
      <c r="AI402" s="122"/>
      <c r="AJ402" s="38"/>
      <c r="AK402" s="122"/>
      <c r="AL402" s="122"/>
      <c r="AM402" s="122"/>
      <c r="AN402" s="122"/>
      <c r="AO402" s="38"/>
      <c r="AP402" s="38"/>
      <c r="AQ402" s="38"/>
      <c r="AR402" s="17"/>
      <c r="AS402" s="1"/>
      <c r="AT402" s="17"/>
      <c r="AU402" s="1"/>
      <c r="AV402" s="17"/>
      <c r="AW402" s="1"/>
      <c r="AX402" s="2"/>
      <c r="AY402" s="1"/>
      <c r="AZ402" s="1"/>
    </row>
    <row x14ac:dyDescent="0.25" r="403" customHeight="1" ht="15">
      <c r="A403" s="1"/>
      <c r="B403" s="1"/>
      <c r="C403" s="1"/>
      <c r="D403" s="1"/>
      <c r="E403" s="1"/>
      <c r="F403" s="1"/>
      <c r="G403" s="1"/>
      <c r="H403" s="1"/>
      <c r="I403" s="1"/>
      <c r="J403" s="1"/>
      <c r="K403" s="17"/>
      <c r="L403" s="1"/>
      <c r="M403" s="1"/>
      <c r="N403" s="2"/>
      <c r="O403" s="2"/>
      <c r="P403" s="17"/>
      <c r="Q403" s="1"/>
      <c r="R403" s="1"/>
      <c r="S403" s="1"/>
      <c r="T403" s="38"/>
      <c r="U403" s="38"/>
      <c r="V403" s="38"/>
      <c r="W403" s="38"/>
      <c r="X403" s="38"/>
      <c r="Y403" s="38"/>
      <c r="Z403" s="38"/>
      <c r="AA403" s="122"/>
      <c r="AB403" s="122"/>
      <c r="AC403" s="122"/>
      <c r="AD403" s="122"/>
      <c r="AE403" s="122"/>
      <c r="AF403" s="122"/>
      <c r="AG403" s="122"/>
      <c r="AH403" s="122"/>
      <c r="AI403" s="122"/>
      <c r="AJ403" s="38"/>
      <c r="AK403" s="122"/>
      <c r="AL403" s="122"/>
      <c r="AM403" s="122"/>
      <c r="AN403" s="122"/>
      <c r="AO403" s="38"/>
      <c r="AP403" s="38"/>
      <c r="AQ403" s="38"/>
      <c r="AR403" s="17"/>
      <c r="AS403" s="1"/>
      <c r="AT403" s="17"/>
      <c r="AU403" s="1"/>
      <c r="AV403" s="17"/>
      <c r="AW403" s="1"/>
      <c r="AX403" s="2"/>
      <c r="AY403" s="1"/>
      <c r="AZ403" s="1"/>
    </row>
    <row x14ac:dyDescent="0.25" r="404" customHeight="1" ht="15">
      <c r="A404" s="1"/>
      <c r="B404" s="1"/>
      <c r="C404" s="1"/>
      <c r="D404" s="1"/>
      <c r="E404" s="1"/>
      <c r="F404" s="1"/>
      <c r="G404" s="1"/>
      <c r="H404" s="1"/>
      <c r="I404" s="1"/>
      <c r="J404" s="1"/>
      <c r="K404" s="17"/>
      <c r="L404" s="1"/>
      <c r="M404" s="1"/>
      <c r="N404" s="2"/>
      <c r="O404" s="2"/>
      <c r="P404" s="17"/>
      <c r="Q404" s="1"/>
      <c r="R404" s="1"/>
      <c r="S404" s="1"/>
      <c r="T404" s="38"/>
      <c r="U404" s="38"/>
      <c r="V404" s="38"/>
      <c r="W404" s="38"/>
      <c r="X404" s="38"/>
      <c r="Y404" s="38"/>
      <c r="Z404" s="38"/>
      <c r="AA404" s="122"/>
      <c r="AB404" s="122"/>
      <c r="AC404" s="122"/>
      <c r="AD404" s="122"/>
      <c r="AE404" s="122"/>
      <c r="AF404" s="122"/>
      <c r="AG404" s="122"/>
      <c r="AH404" s="122"/>
      <c r="AI404" s="122"/>
      <c r="AJ404" s="38"/>
      <c r="AK404" s="122"/>
      <c r="AL404" s="122"/>
      <c r="AM404" s="122"/>
      <c r="AN404" s="122"/>
      <c r="AO404" s="38"/>
      <c r="AP404" s="38"/>
      <c r="AQ404" s="38"/>
      <c r="AR404" s="17"/>
      <c r="AS404" s="1"/>
      <c r="AT404" s="17"/>
      <c r="AU404" s="1"/>
      <c r="AV404" s="17"/>
      <c r="AW404" s="1"/>
      <c r="AX404" s="2"/>
      <c r="AY404" s="1"/>
      <c r="AZ404" s="1"/>
    </row>
    <row x14ac:dyDescent="0.25" r="405" customHeight="1" ht="15">
      <c r="A405" s="1"/>
      <c r="B405" s="1"/>
      <c r="C405" s="1"/>
      <c r="D405" s="1"/>
      <c r="E405" s="1"/>
      <c r="F405" s="1"/>
      <c r="G405" s="1"/>
      <c r="H405" s="1"/>
      <c r="I405" s="1"/>
      <c r="J405" s="1"/>
      <c r="K405" s="17"/>
      <c r="L405" s="1"/>
      <c r="M405" s="1"/>
      <c r="N405" s="2"/>
      <c r="O405" s="2"/>
      <c r="P405" s="17"/>
      <c r="Q405" s="1"/>
      <c r="R405" s="1"/>
      <c r="S405" s="1"/>
      <c r="T405" s="38"/>
      <c r="U405" s="38"/>
      <c r="V405" s="38"/>
      <c r="W405" s="38"/>
      <c r="X405" s="38"/>
      <c r="Y405" s="38"/>
      <c r="Z405" s="38"/>
      <c r="AA405" s="122"/>
      <c r="AB405" s="122"/>
      <c r="AC405" s="122"/>
      <c r="AD405" s="122"/>
      <c r="AE405" s="122"/>
      <c r="AF405" s="122"/>
      <c r="AG405" s="122"/>
      <c r="AH405" s="122"/>
      <c r="AI405" s="122"/>
      <c r="AJ405" s="38"/>
      <c r="AK405" s="122"/>
      <c r="AL405" s="122"/>
      <c r="AM405" s="122"/>
      <c r="AN405" s="122"/>
      <c r="AO405" s="38"/>
      <c r="AP405" s="38"/>
      <c r="AQ405" s="38"/>
      <c r="AR405" s="17"/>
      <c r="AS405" s="1"/>
      <c r="AT405" s="17"/>
      <c r="AU405" s="1"/>
      <c r="AV405" s="17"/>
      <c r="AW405" s="1"/>
      <c r="AX405" s="2"/>
      <c r="AY405" s="1"/>
      <c r="AZ405" s="1"/>
    </row>
    <row x14ac:dyDescent="0.25" r="406" customHeight="1" ht="15">
      <c r="A406" s="1"/>
      <c r="B406" s="1"/>
      <c r="C406" s="1"/>
      <c r="D406" s="1"/>
      <c r="E406" s="1"/>
      <c r="F406" s="1"/>
      <c r="G406" s="1"/>
      <c r="H406" s="1"/>
      <c r="I406" s="1"/>
      <c r="J406" s="1"/>
      <c r="K406" s="17"/>
      <c r="L406" s="1"/>
      <c r="M406" s="1"/>
      <c r="N406" s="2"/>
      <c r="O406" s="2"/>
      <c r="P406" s="17"/>
      <c r="Q406" s="1"/>
      <c r="R406" s="1"/>
      <c r="S406" s="1"/>
      <c r="T406" s="38"/>
      <c r="U406" s="38"/>
      <c r="V406" s="38"/>
      <c r="W406" s="38"/>
      <c r="X406" s="38"/>
      <c r="Y406" s="38"/>
      <c r="Z406" s="38"/>
      <c r="AA406" s="122"/>
      <c r="AB406" s="122"/>
      <c r="AC406" s="122"/>
      <c r="AD406" s="122"/>
      <c r="AE406" s="122"/>
      <c r="AF406" s="122"/>
      <c r="AG406" s="122"/>
      <c r="AH406" s="122"/>
      <c r="AI406" s="122"/>
      <c r="AJ406" s="38"/>
      <c r="AK406" s="122"/>
      <c r="AL406" s="122"/>
      <c r="AM406" s="122"/>
      <c r="AN406" s="122"/>
      <c r="AO406" s="38"/>
      <c r="AP406" s="38"/>
      <c r="AQ406" s="38"/>
      <c r="AR406" s="17"/>
      <c r="AS406" s="1"/>
      <c r="AT406" s="17"/>
      <c r="AU406" s="1"/>
      <c r="AV406" s="17"/>
      <c r="AW406" s="1"/>
      <c r="AX406" s="2"/>
      <c r="AY406" s="1"/>
      <c r="AZ406" s="1"/>
    </row>
    <row x14ac:dyDescent="0.25" r="407" customHeight="1" ht="15">
      <c r="A407" s="1"/>
      <c r="B407" s="1"/>
      <c r="C407" s="1"/>
      <c r="D407" s="1"/>
      <c r="E407" s="1"/>
      <c r="F407" s="1"/>
      <c r="G407" s="1"/>
      <c r="H407" s="1"/>
      <c r="I407" s="1"/>
      <c r="J407" s="1"/>
      <c r="K407" s="17"/>
      <c r="L407" s="1"/>
      <c r="M407" s="1"/>
      <c r="N407" s="2"/>
      <c r="O407" s="2"/>
      <c r="P407" s="17"/>
      <c r="Q407" s="1"/>
      <c r="R407" s="1"/>
      <c r="S407" s="1"/>
      <c r="T407" s="38"/>
      <c r="U407" s="38"/>
      <c r="V407" s="38"/>
      <c r="W407" s="38"/>
      <c r="X407" s="38"/>
      <c r="Y407" s="38"/>
      <c r="Z407" s="38"/>
      <c r="AA407" s="122"/>
      <c r="AB407" s="122"/>
      <c r="AC407" s="122"/>
      <c r="AD407" s="122"/>
      <c r="AE407" s="122"/>
      <c r="AF407" s="122"/>
      <c r="AG407" s="122"/>
      <c r="AH407" s="122"/>
      <c r="AI407" s="122"/>
      <c r="AJ407" s="38"/>
      <c r="AK407" s="122"/>
      <c r="AL407" s="122"/>
      <c r="AM407" s="122"/>
      <c r="AN407" s="122"/>
      <c r="AO407" s="38"/>
      <c r="AP407" s="38"/>
      <c r="AQ407" s="38"/>
      <c r="AR407" s="17"/>
      <c r="AS407" s="1"/>
      <c r="AT407" s="17"/>
      <c r="AU407" s="1"/>
      <c r="AV407" s="17"/>
      <c r="AW407" s="1"/>
      <c r="AX407" s="2"/>
      <c r="AY407" s="1"/>
      <c r="AZ407" s="1"/>
    </row>
    <row x14ac:dyDescent="0.25" r="408" customHeight="1" ht="15">
      <c r="A408" s="1"/>
      <c r="B408" s="1"/>
      <c r="C408" s="1"/>
      <c r="D408" s="1"/>
      <c r="E408" s="1"/>
      <c r="F408" s="1"/>
      <c r="G408" s="1"/>
      <c r="H408" s="1"/>
      <c r="I408" s="1"/>
      <c r="J408" s="1"/>
      <c r="K408" s="17"/>
      <c r="L408" s="1"/>
      <c r="M408" s="1"/>
      <c r="N408" s="2"/>
      <c r="O408" s="2"/>
      <c r="P408" s="17"/>
      <c r="Q408" s="1"/>
      <c r="R408" s="1"/>
      <c r="S408" s="1"/>
      <c r="T408" s="38"/>
      <c r="U408" s="38"/>
      <c r="V408" s="38"/>
      <c r="W408" s="38"/>
      <c r="X408" s="38"/>
      <c r="Y408" s="38"/>
      <c r="Z408" s="38"/>
      <c r="AA408" s="122"/>
      <c r="AB408" s="122"/>
      <c r="AC408" s="122"/>
      <c r="AD408" s="122"/>
      <c r="AE408" s="122"/>
      <c r="AF408" s="122"/>
      <c r="AG408" s="122"/>
      <c r="AH408" s="122"/>
      <c r="AI408" s="122"/>
      <c r="AJ408" s="38"/>
      <c r="AK408" s="122"/>
      <c r="AL408" s="122"/>
      <c r="AM408" s="122"/>
      <c r="AN408" s="122"/>
      <c r="AO408" s="38"/>
      <c r="AP408" s="38"/>
      <c r="AQ408" s="38"/>
      <c r="AR408" s="17"/>
      <c r="AS408" s="1"/>
      <c r="AT408" s="17"/>
      <c r="AU408" s="1"/>
      <c r="AV408" s="17"/>
      <c r="AW408" s="1"/>
      <c r="AX408" s="2"/>
      <c r="AY408" s="1"/>
      <c r="AZ408" s="1"/>
    </row>
    <row x14ac:dyDescent="0.25" r="409" customHeight="1" ht="15">
      <c r="A409" s="1"/>
      <c r="B409" s="1"/>
      <c r="C409" s="1"/>
      <c r="D409" s="1"/>
      <c r="E409" s="1"/>
      <c r="F409" s="1"/>
      <c r="G409" s="1"/>
      <c r="H409" s="1"/>
      <c r="I409" s="1"/>
      <c r="J409" s="1"/>
      <c r="K409" s="17"/>
      <c r="L409" s="1"/>
      <c r="M409" s="1"/>
      <c r="N409" s="2"/>
      <c r="O409" s="2"/>
      <c r="P409" s="17"/>
      <c r="Q409" s="1"/>
      <c r="R409" s="1"/>
      <c r="S409" s="1"/>
      <c r="T409" s="38"/>
      <c r="U409" s="38"/>
      <c r="V409" s="38"/>
      <c r="W409" s="38"/>
      <c r="X409" s="38"/>
      <c r="Y409" s="38"/>
      <c r="Z409" s="38"/>
      <c r="AA409" s="122"/>
      <c r="AB409" s="122"/>
      <c r="AC409" s="122"/>
      <c r="AD409" s="122"/>
      <c r="AE409" s="122"/>
      <c r="AF409" s="122"/>
      <c r="AG409" s="122"/>
      <c r="AH409" s="122"/>
      <c r="AI409" s="122"/>
      <c r="AJ409" s="38"/>
      <c r="AK409" s="122"/>
      <c r="AL409" s="122"/>
      <c r="AM409" s="122"/>
      <c r="AN409" s="122"/>
      <c r="AO409" s="38"/>
      <c r="AP409" s="38"/>
      <c r="AQ409" s="38"/>
      <c r="AR409" s="17"/>
      <c r="AS409" s="1"/>
      <c r="AT409" s="17"/>
      <c r="AU409" s="1"/>
      <c r="AV409" s="17"/>
      <c r="AW409" s="1"/>
      <c r="AX409" s="2"/>
      <c r="AY409" s="1"/>
      <c r="AZ409" s="1"/>
    </row>
    <row x14ac:dyDescent="0.25" r="410" customHeight="1" ht="15">
      <c r="A410" s="1"/>
      <c r="B410" s="1"/>
      <c r="C410" s="1"/>
      <c r="D410" s="1"/>
      <c r="E410" s="1"/>
      <c r="F410" s="1"/>
      <c r="G410" s="1"/>
      <c r="H410" s="1"/>
      <c r="I410" s="1"/>
      <c r="J410" s="1"/>
      <c r="K410" s="17"/>
      <c r="L410" s="1"/>
      <c r="M410" s="1"/>
      <c r="N410" s="2"/>
      <c r="O410" s="2"/>
      <c r="P410" s="17"/>
      <c r="Q410" s="1"/>
      <c r="R410" s="1"/>
      <c r="S410" s="1"/>
      <c r="T410" s="38"/>
      <c r="U410" s="38"/>
      <c r="V410" s="38"/>
      <c r="W410" s="38"/>
      <c r="X410" s="38"/>
      <c r="Y410" s="38"/>
      <c r="Z410" s="38"/>
      <c r="AA410" s="122"/>
      <c r="AB410" s="122"/>
      <c r="AC410" s="122"/>
      <c r="AD410" s="122"/>
      <c r="AE410" s="122"/>
      <c r="AF410" s="122"/>
      <c r="AG410" s="122"/>
      <c r="AH410" s="122"/>
      <c r="AI410" s="122"/>
      <c r="AJ410" s="38"/>
      <c r="AK410" s="122"/>
      <c r="AL410" s="122"/>
      <c r="AM410" s="122"/>
      <c r="AN410" s="122"/>
      <c r="AO410" s="38"/>
      <c r="AP410" s="38"/>
      <c r="AQ410" s="38"/>
      <c r="AR410" s="17"/>
      <c r="AS410" s="1"/>
      <c r="AT410" s="17"/>
      <c r="AU410" s="1"/>
      <c r="AV410" s="17"/>
      <c r="AW410" s="1"/>
      <c r="AX410" s="2"/>
      <c r="AY410" s="1"/>
      <c r="AZ410" s="1"/>
    </row>
    <row x14ac:dyDescent="0.25" r="411" customHeight="1" ht="15">
      <c r="A411" s="1"/>
      <c r="B411" s="1"/>
      <c r="C411" s="1"/>
      <c r="D411" s="1"/>
      <c r="E411" s="1"/>
      <c r="F411" s="1"/>
      <c r="G411" s="1"/>
      <c r="H411" s="1"/>
      <c r="I411" s="1"/>
      <c r="J411" s="1"/>
      <c r="K411" s="17"/>
      <c r="L411" s="1"/>
      <c r="M411" s="1"/>
      <c r="N411" s="2"/>
      <c r="O411" s="2"/>
      <c r="P411" s="17"/>
      <c r="Q411" s="1"/>
      <c r="R411" s="1"/>
      <c r="S411" s="1"/>
      <c r="T411" s="38"/>
      <c r="U411" s="38"/>
      <c r="V411" s="38"/>
      <c r="W411" s="38"/>
      <c r="X411" s="38"/>
      <c r="Y411" s="38"/>
      <c r="Z411" s="38"/>
      <c r="AA411" s="122"/>
      <c r="AB411" s="122"/>
      <c r="AC411" s="122"/>
      <c r="AD411" s="122"/>
      <c r="AE411" s="122"/>
      <c r="AF411" s="122"/>
      <c r="AG411" s="122"/>
      <c r="AH411" s="122"/>
      <c r="AI411" s="122"/>
      <c r="AJ411" s="38"/>
      <c r="AK411" s="122"/>
      <c r="AL411" s="122"/>
      <c r="AM411" s="122"/>
      <c r="AN411" s="122"/>
      <c r="AO411" s="38"/>
      <c r="AP411" s="38"/>
      <c r="AQ411" s="38"/>
      <c r="AR411" s="17"/>
      <c r="AS411" s="1"/>
      <c r="AT411" s="17"/>
      <c r="AU411" s="1"/>
      <c r="AV411" s="17"/>
      <c r="AW411" s="1"/>
      <c r="AX411" s="2"/>
      <c r="AY411" s="1"/>
      <c r="AZ411" s="1"/>
    </row>
    <row x14ac:dyDescent="0.25" r="412" customHeight="1" ht="15">
      <c r="A412" s="1"/>
      <c r="B412" s="1"/>
      <c r="C412" s="1"/>
      <c r="D412" s="1"/>
      <c r="E412" s="1"/>
      <c r="F412" s="1"/>
      <c r="G412" s="1"/>
      <c r="H412" s="1"/>
      <c r="I412" s="1"/>
      <c r="J412" s="1"/>
      <c r="K412" s="17"/>
      <c r="L412" s="1"/>
      <c r="M412" s="1"/>
      <c r="N412" s="2"/>
      <c r="O412" s="2"/>
      <c r="P412" s="17"/>
      <c r="Q412" s="1"/>
      <c r="R412" s="1"/>
      <c r="S412" s="1"/>
      <c r="T412" s="38"/>
      <c r="U412" s="38"/>
      <c r="V412" s="38"/>
      <c r="W412" s="38"/>
      <c r="X412" s="38"/>
      <c r="Y412" s="38"/>
      <c r="Z412" s="38"/>
      <c r="AA412" s="122"/>
      <c r="AB412" s="122"/>
      <c r="AC412" s="122"/>
      <c r="AD412" s="122"/>
      <c r="AE412" s="122"/>
      <c r="AF412" s="122"/>
      <c r="AG412" s="122"/>
      <c r="AH412" s="122"/>
      <c r="AI412" s="122"/>
      <c r="AJ412" s="38"/>
      <c r="AK412" s="122"/>
      <c r="AL412" s="122"/>
      <c r="AM412" s="122"/>
      <c r="AN412" s="122"/>
      <c r="AO412" s="38"/>
      <c r="AP412" s="38"/>
      <c r="AQ412" s="38"/>
      <c r="AR412" s="17"/>
      <c r="AS412" s="1"/>
      <c r="AT412" s="17"/>
      <c r="AU412" s="1"/>
      <c r="AV412" s="17"/>
      <c r="AW412" s="1"/>
      <c r="AX412" s="2"/>
      <c r="AY412" s="1"/>
      <c r="AZ412" s="1"/>
    </row>
    <row x14ac:dyDescent="0.25" r="413" customHeight="1" ht="15">
      <c r="A413" s="1"/>
      <c r="B413" s="1"/>
      <c r="C413" s="1"/>
      <c r="D413" s="1"/>
      <c r="E413" s="1"/>
      <c r="F413" s="1"/>
      <c r="G413" s="1"/>
      <c r="H413" s="1"/>
      <c r="I413" s="1"/>
      <c r="J413" s="1"/>
      <c r="K413" s="17"/>
      <c r="L413" s="1"/>
      <c r="M413" s="1"/>
      <c r="N413" s="2"/>
      <c r="O413" s="2"/>
      <c r="P413" s="17"/>
      <c r="Q413" s="1"/>
      <c r="R413" s="1"/>
      <c r="S413" s="1"/>
      <c r="T413" s="38"/>
      <c r="U413" s="38"/>
      <c r="V413" s="38"/>
      <c r="W413" s="38"/>
      <c r="X413" s="38"/>
      <c r="Y413" s="38"/>
      <c r="Z413" s="38"/>
      <c r="AA413" s="122"/>
      <c r="AB413" s="122"/>
      <c r="AC413" s="122"/>
      <c r="AD413" s="122"/>
      <c r="AE413" s="122"/>
      <c r="AF413" s="122"/>
      <c r="AG413" s="122"/>
      <c r="AH413" s="122"/>
      <c r="AI413" s="122"/>
      <c r="AJ413" s="38"/>
      <c r="AK413" s="122"/>
      <c r="AL413" s="122"/>
      <c r="AM413" s="122"/>
      <c r="AN413" s="122"/>
      <c r="AO413" s="38"/>
      <c r="AP413" s="38"/>
      <c r="AQ413" s="38"/>
      <c r="AR413" s="17"/>
      <c r="AS413" s="1"/>
      <c r="AT413" s="17"/>
      <c r="AU413" s="1"/>
      <c r="AV413" s="17"/>
      <c r="AW413" s="1"/>
      <c r="AX413" s="2"/>
      <c r="AY413" s="1"/>
      <c r="AZ413" s="1"/>
    </row>
    <row x14ac:dyDescent="0.25" r="414" customHeight="1" ht="15">
      <c r="A414" s="1"/>
      <c r="B414" s="1"/>
      <c r="C414" s="1"/>
      <c r="D414" s="1"/>
      <c r="E414" s="1"/>
      <c r="F414" s="1"/>
      <c r="G414" s="1"/>
      <c r="H414" s="1"/>
      <c r="I414" s="1"/>
      <c r="J414" s="1"/>
      <c r="K414" s="17"/>
      <c r="L414" s="1"/>
      <c r="M414" s="1"/>
      <c r="N414" s="2"/>
      <c r="O414" s="2"/>
      <c r="P414" s="17"/>
      <c r="Q414" s="1"/>
      <c r="R414" s="1"/>
      <c r="S414" s="1"/>
      <c r="T414" s="38"/>
      <c r="U414" s="38"/>
      <c r="V414" s="38"/>
      <c r="W414" s="38"/>
      <c r="X414" s="38"/>
      <c r="Y414" s="38"/>
      <c r="Z414" s="38"/>
      <c r="AA414" s="122"/>
      <c r="AB414" s="122"/>
      <c r="AC414" s="122"/>
      <c r="AD414" s="122"/>
      <c r="AE414" s="122"/>
      <c r="AF414" s="122"/>
      <c r="AG414" s="122"/>
      <c r="AH414" s="122"/>
      <c r="AI414" s="122"/>
      <c r="AJ414" s="38"/>
      <c r="AK414" s="122"/>
      <c r="AL414" s="122"/>
      <c r="AM414" s="122"/>
      <c r="AN414" s="122"/>
      <c r="AO414" s="38"/>
      <c r="AP414" s="38"/>
      <c r="AQ414" s="38"/>
      <c r="AR414" s="17"/>
      <c r="AS414" s="1"/>
      <c r="AT414" s="17"/>
      <c r="AU414" s="1"/>
      <c r="AV414" s="17"/>
      <c r="AW414" s="1"/>
      <c r="AX414" s="2"/>
      <c r="AY414" s="1"/>
      <c r="AZ414" s="1"/>
    </row>
    <row x14ac:dyDescent="0.25" r="415" customHeight="1" ht="15">
      <c r="A415" s="1"/>
      <c r="B415" s="1"/>
      <c r="C415" s="1"/>
      <c r="D415" s="1"/>
      <c r="E415" s="1"/>
      <c r="F415" s="1"/>
      <c r="G415" s="1"/>
      <c r="H415" s="1"/>
      <c r="I415" s="1"/>
      <c r="J415" s="1"/>
      <c r="K415" s="17"/>
      <c r="L415" s="1"/>
      <c r="M415" s="1"/>
      <c r="N415" s="2"/>
      <c r="O415" s="2"/>
      <c r="P415" s="17"/>
      <c r="Q415" s="1"/>
      <c r="R415" s="1"/>
      <c r="S415" s="1"/>
      <c r="T415" s="38"/>
      <c r="U415" s="38"/>
      <c r="V415" s="38"/>
      <c r="W415" s="38"/>
      <c r="X415" s="38"/>
      <c r="Y415" s="38"/>
      <c r="Z415" s="38"/>
      <c r="AA415" s="122"/>
      <c r="AB415" s="122"/>
      <c r="AC415" s="122"/>
      <c r="AD415" s="122"/>
      <c r="AE415" s="122"/>
      <c r="AF415" s="122"/>
      <c r="AG415" s="122"/>
      <c r="AH415" s="122"/>
      <c r="AI415" s="122"/>
      <c r="AJ415" s="38"/>
      <c r="AK415" s="122"/>
      <c r="AL415" s="122"/>
      <c r="AM415" s="122"/>
      <c r="AN415" s="122"/>
      <c r="AO415" s="38"/>
      <c r="AP415" s="38"/>
      <c r="AQ415" s="38"/>
      <c r="AR415" s="17"/>
      <c r="AS415" s="1"/>
      <c r="AT415" s="17"/>
      <c r="AU415" s="1"/>
      <c r="AV415" s="17"/>
      <c r="AW415" s="1"/>
      <c r="AX415" s="2"/>
      <c r="AY415" s="1"/>
      <c r="AZ415" s="1"/>
    </row>
    <row x14ac:dyDescent="0.25" r="416" customHeight="1" ht="15">
      <c r="A416" s="1"/>
      <c r="B416" s="1"/>
      <c r="C416" s="1"/>
      <c r="D416" s="1"/>
      <c r="E416" s="1"/>
      <c r="F416" s="1"/>
      <c r="G416" s="1"/>
      <c r="H416" s="1"/>
      <c r="I416" s="1"/>
      <c r="J416" s="1"/>
      <c r="K416" s="17"/>
      <c r="L416" s="1"/>
      <c r="M416" s="1"/>
      <c r="N416" s="2"/>
      <c r="O416" s="2"/>
      <c r="P416" s="17"/>
      <c r="Q416" s="1"/>
      <c r="R416" s="1"/>
      <c r="S416" s="1"/>
      <c r="T416" s="38"/>
      <c r="U416" s="38"/>
      <c r="V416" s="38"/>
      <c r="W416" s="38"/>
      <c r="X416" s="38"/>
      <c r="Y416" s="38"/>
      <c r="Z416" s="38"/>
      <c r="AA416" s="122"/>
      <c r="AB416" s="122"/>
      <c r="AC416" s="122"/>
      <c r="AD416" s="122"/>
      <c r="AE416" s="122"/>
      <c r="AF416" s="122"/>
      <c r="AG416" s="122"/>
      <c r="AH416" s="122"/>
      <c r="AI416" s="122"/>
      <c r="AJ416" s="38"/>
      <c r="AK416" s="122"/>
      <c r="AL416" s="122"/>
      <c r="AM416" s="122"/>
      <c r="AN416" s="122"/>
      <c r="AO416" s="38"/>
      <c r="AP416" s="38"/>
      <c r="AQ416" s="38"/>
      <c r="AR416" s="17"/>
      <c r="AS416" s="1"/>
      <c r="AT416" s="17"/>
      <c r="AU416" s="1"/>
      <c r="AV416" s="17"/>
      <c r="AW416" s="1"/>
      <c r="AX416" s="2"/>
      <c r="AY416" s="1"/>
      <c r="AZ416" s="1"/>
    </row>
    <row x14ac:dyDescent="0.25" r="417" customHeight="1" ht="15">
      <c r="A417" s="1"/>
      <c r="B417" s="1"/>
      <c r="C417" s="1"/>
      <c r="D417" s="1"/>
      <c r="E417" s="1"/>
      <c r="F417" s="1"/>
      <c r="G417" s="1"/>
      <c r="H417" s="1"/>
      <c r="I417" s="1"/>
      <c r="J417" s="1"/>
      <c r="K417" s="17"/>
      <c r="L417" s="1"/>
      <c r="M417" s="1"/>
      <c r="N417" s="2"/>
      <c r="O417" s="2"/>
      <c r="P417" s="17"/>
      <c r="Q417" s="1"/>
      <c r="R417" s="1"/>
      <c r="S417" s="1"/>
      <c r="T417" s="38"/>
      <c r="U417" s="38"/>
      <c r="V417" s="38"/>
      <c r="W417" s="38"/>
      <c r="X417" s="38"/>
      <c r="Y417" s="38"/>
      <c r="Z417" s="38"/>
      <c r="AA417" s="122"/>
      <c r="AB417" s="122"/>
      <c r="AC417" s="122"/>
      <c r="AD417" s="122"/>
      <c r="AE417" s="122"/>
      <c r="AF417" s="122"/>
      <c r="AG417" s="122"/>
      <c r="AH417" s="122"/>
      <c r="AI417" s="122"/>
      <c r="AJ417" s="38"/>
      <c r="AK417" s="122"/>
      <c r="AL417" s="122"/>
      <c r="AM417" s="122"/>
      <c r="AN417" s="122"/>
      <c r="AO417" s="38"/>
      <c r="AP417" s="38"/>
      <c r="AQ417" s="38"/>
      <c r="AR417" s="17"/>
      <c r="AS417" s="1"/>
      <c r="AT417" s="17"/>
      <c r="AU417" s="1"/>
      <c r="AV417" s="17"/>
      <c r="AW417" s="1"/>
      <c r="AX417" s="2"/>
      <c r="AY417" s="1"/>
      <c r="AZ417" s="1"/>
    </row>
    <row x14ac:dyDescent="0.25" r="418" customHeight="1" ht="15">
      <c r="A418" s="1"/>
      <c r="B418" s="1"/>
      <c r="C418" s="1"/>
      <c r="D418" s="1"/>
      <c r="E418" s="1"/>
      <c r="F418" s="1"/>
      <c r="G418" s="1"/>
      <c r="H418" s="1"/>
      <c r="I418" s="1"/>
      <c r="J418" s="1"/>
      <c r="K418" s="17"/>
      <c r="L418" s="1"/>
      <c r="M418" s="1"/>
      <c r="N418" s="2"/>
      <c r="O418" s="2"/>
      <c r="P418" s="17"/>
      <c r="Q418" s="1"/>
      <c r="R418" s="1"/>
      <c r="S418" s="1"/>
      <c r="T418" s="38"/>
      <c r="U418" s="38"/>
      <c r="V418" s="38"/>
      <c r="W418" s="38"/>
      <c r="X418" s="38"/>
      <c r="Y418" s="38"/>
      <c r="Z418" s="38"/>
      <c r="AA418" s="122"/>
      <c r="AB418" s="122"/>
      <c r="AC418" s="122"/>
      <c r="AD418" s="122"/>
      <c r="AE418" s="122"/>
      <c r="AF418" s="122"/>
      <c r="AG418" s="122"/>
      <c r="AH418" s="122"/>
      <c r="AI418" s="122"/>
      <c r="AJ418" s="38"/>
      <c r="AK418" s="122"/>
      <c r="AL418" s="122"/>
      <c r="AM418" s="122"/>
      <c r="AN418" s="122"/>
      <c r="AO418" s="38"/>
      <c r="AP418" s="38"/>
      <c r="AQ418" s="38"/>
      <c r="AR418" s="17"/>
      <c r="AS418" s="1"/>
      <c r="AT418" s="17"/>
      <c r="AU418" s="1"/>
      <c r="AV418" s="17"/>
      <c r="AW418" s="1"/>
      <c r="AX418" s="2"/>
      <c r="AY418" s="1"/>
      <c r="AZ418" s="1"/>
    </row>
    <row x14ac:dyDescent="0.25" r="419" customHeight="1" ht="15">
      <c r="A419" s="1"/>
      <c r="B419" s="1"/>
      <c r="C419" s="1"/>
      <c r="D419" s="1"/>
      <c r="E419" s="1"/>
      <c r="F419" s="1"/>
      <c r="G419" s="1"/>
      <c r="H419" s="1"/>
      <c r="I419" s="1"/>
      <c r="J419" s="1"/>
      <c r="K419" s="17"/>
      <c r="L419" s="1"/>
      <c r="M419" s="1"/>
      <c r="N419" s="2"/>
      <c r="O419" s="2"/>
      <c r="P419" s="17"/>
      <c r="Q419" s="1"/>
      <c r="R419" s="1"/>
      <c r="S419" s="1"/>
      <c r="T419" s="38"/>
      <c r="U419" s="38"/>
      <c r="V419" s="38"/>
      <c r="W419" s="38"/>
      <c r="X419" s="38"/>
      <c r="Y419" s="38"/>
      <c r="Z419" s="38"/>
      <c r="AA419" s="122"/>
      <c r="AB419" s="122"/>
      <c r="AC419" s="122"/>
      <c r="AD419" s="122"/>
      <c r="AE419" s="122"/>
      <c r="AF419" s="122"/>
      <c r="AG419" s="122"/>
      <c r="AH419" s="122"/>
      <c r="AI419" s="122"/>
      <c r="AJ419" s="38"/>
      <c r="AK419" s="122"/>
      <c r="AL419" s="122"/>
      <c r="AM419" s="122"/>
      <c r="AN419" s="122"/>
      <c r="AO419" s="38"/>
      <c r="AP419" s="38"/>
      <c r="AQ419" s="38"/>
      <c r="AR419" s="17"/>
      <c r="AS419" s="1"/>
      <c r="AT419" s="17"/>
      <c r="AU419" s="1"/>
      <c r="AV419" s="17"/>
      <c r="AW419" s="1"/>
      <c r="AX419" s="2"/>
      <c r="AY419" s="1"/>
      <c r="AZ419" s="1"/>
    </row>
    <row x14ac:dyDescent="0.25" r="420" customHeight="1" ht="15">
      <c r="A420" s="1"/>
      <c r="B420" s="1"/>
      <c r="C420" s="1"/>
      <c r="D420" s="1"/>
      <c r="E420" s="1"/>
      <c r="F420" s="1"/>
      <c r="G420" s="1"/>
      <c r="H420" s="1"/>
      <c r="I420" s="1"/>
      <c r="J420" s="1"/>
      <c r="K420" s="17"/>
      <c r="L420" s="1"/>
      <c r="M420" s="1"/>
      <c r="N420" s="2"/>
      <c r="O420" s="2"/>
      <c r="P420" s="17"/>
      <c r="Q420" s="1"/>
      <c r="R420" s="1"/>
      <c r="S420" s="1"/>
      <c r="T420" s="38"/>
      <c r="U420" s="38"/>
      <c r="V420" s="38"/>
      <c r="W420" s="38"/>
      <c r="X420" s="38"/>
      <c r="Y420" s="38"/>
      <c r="Z420" s="38"/>
      <c r="AA420" s="122"/>
      <c r="AB420" s="122"/>
      <c r="AC420" s="122"/>
      <c r="AD420" s="122"/>
      <c r="AE420" s="122"/>
      <c r="AF420" s="122"/>
      <c r="AG420" s="122"/>
      <c r="AH420" s="122"/>
      <c r="AI420" s="122"/>
      <c r="AJ420" s="38"/>
      <c r="AK420" s="122"/>
      <c r="AL420" s="122"/>
      <c r="AM420" s="122"/>
      <c r="AN420" s="122"/>
      <c r="AO420" s="38"/>
      <c r="AP420" s="38"/>
      <c r="AQ420" s="38"/>
      <c r="AR420" s="17"/>
      <c r="AS420" s="1"/>
      <c r="AT420" s="17"/>
      <c r="AU420" s="1"/>
      <c r="AV420" s="17"/>
      <c r="AW420" s="1"/>
      <c r="AX420" s="2"/>
      <c r="AY420" s="1"/>
      <c r="AZ420" s="1"/>
    </row>
    <row x14ac:dyDescent="0.25" r="421" customHeight="1" ht="15">
      <c r="A421" s="1"/>
      <c r="B421" s="1"/>
      <c r="C421" s="1"/>
      <c r="D421" s="1"/>
      <c r="E421" s="1"/>
      <c r="F421" s="1"/>
      <c r="G421" s="1"/>
      <c r="H421" s="1"/>
      <c r="I421" s="1"/>
      <c r="J421" s="1"/>
      <c r="K421" s="17"/>
      <c r="L421" s="1"/>
      <c r="M421" s="1"/>
      <c r="N421" s="2"/>
      <c r="O421" s="2"/>
      <c r="P421" s="17"/>
      <c r="Q421" s="1"/>
      <c r="R421" s="1"/>
      <c r="S421" s="1"/>
      <c r="T421" s="38"/>
      <c r="U421" s="38"/>
      <c r="V421" s="38"/>
      <c r="W421" s="38"/>
      <c r="X421" s="38"/>
      <c r="Y421" s="38"/>
      <c r="Z421" s="38"/>
      <c r="AA421" s="122"/>
      <c r="AB421" s="122"/>
      <c r="AC421" s="122"/>
      <c r="AD421" s="122"/>
      <c r="AE421" s="122"/>
      <c r="AF421" s="122"/>
      <c r="AG421" s="122"/>
      <c r="AH421" s="122"/>
      <c r="AI421" s="122"/>
      <c r="AJ421" s="38"/>
      <c r="AK421" s="122"/>
      <c r="AL421" s="122"/>
      <c r="AM421" s="122"/>
      <c r="AN421" s="122"/>
      <c r="AO421" s="38"/>
      <c r="AP421" s="38"/>
      <c r="AQ421" s="38"/>
      <c r="AR421" s="17"/>
      <c r="AS421" s="1"/>
      <c r="AT421" s="17"/>
      <c r="AU421" s="1"/>
      <c r="AV421" s="17"/>
      <c r="AW421" s="1"/>
      <c r="AX421" s="2"/>
      <c r="AY421" s="1"/>
      <c r="AZ421" s="1"/>
    </row>
    <row x14ac:dyDescent="0.25" r="422" customHeight="1" ht="15">
      <c r="A422" s="1"/>
      <c r="B422" s="1"/>
      <c r="C422" s="1"/>
      <c r="D422" s="1"/>
      <c r="E422" s="1"/>
      <c r="F422" s="1"/>
      <c r="G422" s="1"/>
      <c r="H422" s="1"/>
      <c r="I422" s="1"/>
      <c r="J422" s="1"/>
      <c r="K422" s="17"/>
      <c r="L422" s="1"/>
      <c r="M422" s="1"/>
      <c r="N422" s="2"/>
      <c r="O422" s="2"/>
      <c r="P422" s="17"/>
      <c r="Q422" s="1"/>
      <c r="R422" s="1"/>
      <c r="S422" s="1"/>
      <c r="T422" s="38"/>
      <c r="U422" s="38"/>
      <c r="V422" s="38"/>
      <c r="W422" s="38"/>
      <c r="X422" s="38"/>
      <c r="Y422" s="38"/>
      <c r="Z422" s="38"/>
      <c r="AA422" s="122"/>
      <c r="AB422" s="122"/>
      <c r="AC422" s="122"/>
      <c r="AD422" s="122"/>
      <c r="AE422" s="122"/>
      <c r="AF422" s="122"/>
      <c r="AG422" s="122"/>
      <c r="AH422" s="122"/>
      <c r="AI422" s="122"/>
      <c r="AJ422" s="38"/>
      <c r="AK422" s="122"/>
      <c r="AL422" s="122"/>
      <c r="AM422" s="122"/>
      <c r="AN422" s="122"/>
      <c r="AO422" s="38"/>
      <c r="AP422" s="38"/>
      <c r="AQ422" s="38"/>
      <c r="AR422" s="17"/>
      <c r="AS422" s="1"/>
      <c r="AT422" s="17"/>
      <c r="AU422" s="1"/>
      <c r="AV422" s="17"/>
      <c r="AW422" s="1"/>
      <c r="AX422" s="2"/>
      <c r="AY422" s="1"/>
      <c r="AZ422" s="1"/>
    </row>
    <row x14ac:dyDescent="0.25" r="423" customHeight="1" ht="15">
      <c r="A423" s="1"/>
      <c r="B423" s="1"/>
      <c r="C423" s="1"/>
      <c r="D423" s="1"/>
      <c r="E423" s="1"/>
      <c r="F423" s="1"/>
      <c r="G423" s="1"/>
      <c r="H423" s="1"/>
      <c r="I423" s="1"/>
      <c r="J423" s="1"/>
      <c r="K423" s="17"/>
      <c r="L423" s="1"/>
      <c r="M423" s="1"/>
      <c r="N423" s="2"/>
      <c r="O423" s="2"/>
      <c r="P423" s="17"/>
      <c r="Q423" s="1"/>
      <c r="R423" s="1"/>
      <c r="S423" s="1"/>
      <c r="T423" s="38"/>
      <c r="U423" s="38"/>
      <c r="V423" s="38"/>
      <c r="W423" s="38"/>
      <c r="X423" s="38"/>
      <c r="Y423" s="38"/>
      <c r="Z423" s="38"/>
      <c r="AA423" s="122"/>
      <c r="AB423" s="122"/>
      <c r="AC423" s="122"/>
      <c r="AD423" s="122"/>
      <c r="AE423" s="122"/>
      <c r="AF423" s="122"/>
      <c r="AG423" s="122"/>
      <c r="AH423" s="122"/>
      <c r="AI423" s="122"/>
      <c r="AJ423" s="38"/>
      <c r="AK423" s="122"/>
      <c r="AL423" s="122"/>
      <c r="AM423" s="122"/>
      <c r="AN423" s="122"/>
      <c r="AO423" s="38"/>
      <c r="AP423" s="38"/>
      <c r="AQ423" s="38"/>
      <c r="AR423" s="17"/>
      <c r="AS423" s="1"/>
      <c r="AT423" s="17"/>
      <c r="AU423" s="1"/>
      <c r="AV423" s="17"/>
      <c r="AW423" s="1"/>
      <c r="AX423" s="2"/>
      <c r="AY423" s="1"/>
      <c r="AZ423" s="1"/>
    </row>
    <row x14ac:dyDescent="0.25" r="424" customHeight="1" ht="15">
      <c r="A424" s="1"/>
      <c r="B424" s="1"/>
      <c r="C424" s="1"/>
      <c r="D424" s="1"/>
      <c r="E424" s="1"/>
      <c r="F424" s="1"/>
      <c r="G424" s="1"/>
      <c r="H424" s="1"/>
      <c r="I424" s="1"/>
      <c r="J424" s="1"/>
      <c r="K424" s="17"/>
      <c r="L424" s="1"/>
      <c r="M424" s="1"/>
      <c r="N424" s="2"/>
      <c r="O424" s="2"/>
      <c r="P424" s="17"/>
      <c r="Q424" s="1"/>
      <c r="R424" s="1"/>
      <c r="S424" s="1"/>
      <c r="T424" s="38"/>
      <c r="U424" s="38"/>
      <c r="V424" s="38"/>
      <c r="W424" s="38"/>
      <c r="X424" s="38"/>
      <c r="Y424" s="38"/>
      <c r="Z424" s="38"/>
      <c r="AA424" s="122"/>
      <c r="AB424" s="122"/>
      <c r="AC424" s="122"/>
      <c r="AD424" s="122"/>
      <c r="AE424" s="122"/>
      <c r="AF424" s="122"/>
      <c r="AG424" s="122"/>
      <c r="AH424" s="122"/>
      <c r="AI424" s="122"/>
      <c r="AJ424" s="38"/>
      <c r="AK424" s="122"/>
      <c r="AL424" s="122"/>
      <c r="AM424" s="122"/>
      <c r="AN424" s="122"/>
      <c r="AO424" s="38"/>
      <c r="AP424" s="38"/>
      <c r="AQ424" s="38"/>
      <c r="AR424" s="17"/>
      <c r="AS424" s="1"/>
      <c r="AT424" s="17"/>
      <c r="AU424" s="1"/>
      <c r="AV424" s="17"/>
      <c r="AW424" s="1"/>
      <c r="AX424" s="2"/>
      <c r="AY424" s="1"/>
      <c r="AZ424" s="1"/>
    </row>
    <row x14ac:dyDescent="0.25" r="425" customHeight="1" ht="15">
      <c r="A425" s="1"/>
      <c r="B425" s="1"/>
      <c r="C425" s="1"/>
      <c r="D425" s="1"/>
      <c r="E425" s="1"/>
      <c r="F425" s="1"/>
      <c r="G425" s="1"/>
      <c r="H425" s="1"/>
      <c r="I425" s="1"/>
      <c r="J425" s="1"/>
      <c r="K425" s="17"/>
      <c r="L425" s="1"/>
      <c r="M425" s="1"/>
      <c r="N425" s="2"/>
      <c r="O425" s="2"/>
      <c r="P425" s="17"/>
      <c r="Q425" s="1"/>
      <c r="R425" s="1"/>
      <c r="S425" s="1"/>
      <c r="T425" s="38"/>
      <c r="U425" s="38"/>
      <c r="V425" s="38"/>
      <c r="W425" s="38"/>
      <c r="X425" s="38"/>
      <c r="Y425" s="38"/>
      <c r="Z425" s="38"/>
      <c r="AA425" s="122"/>
      <c r="AB425" s="122"/>
      <c r="AC425" s="122"/>
      <c r="AD425" s="122"/>
      <c r="AE425" s="122"/>
      <c r="AF425" s="122"/>
      <c r="AG425" s="122"/>
      <c r="AH425" s="122"/>
      <c r="AI425" s="122"/>
      <c r="AJ425" s="38"/>
      <c r="AK425" s="122"/>
      <c r="AL425" s="122"/>
      <c r="AM425" s="122"/>
      <c r="AN425" s="122"/>
      <c r="AO425" s="38"/>
      <c r="AP425" s="38"/>
      <c r="AQ425" s="38"/>
      <c r="AR425" s="17"/>
      <c r="AS425" s="1"/>
      <c r="AT425" s="17"/>
      <c r="AU425" s="1"/>
      <c r="AV425" s="17"/>
      <c r="AW425" s="1"/>
      <c r="AX425" s="2"/>
      <c r="AY425" s="1"/>
      <c r="AZ425" s="1"/>
    </row>
    <row x14ac:dyDescent="0.25" r="426" customHeight="1" ht="15">
      <c r="A426" s="1"/>
      <c r="B426" s="1"/>
      <c r="C426" s="1"/>
      <c r="D426" s="1"/>
      <c r="E426" s="1"/>
      <c r="F426" s="1"/>
      <c r="G426" s="1"/>
      <c r="H426" s="1"/>
      <c r="I426" s="1"/>
      <c r="J426" s="1"/>
      <c r="K426" s="17"/>
      <c r="L426" s="1"/>
      <c r="M426" s="1"/>
      <c r="N426" s="2"/>
      <c r="O426" s="2"/>
      <c r="P426" s="17"/>
      <c r="Q426" s="1"/>
      <c r="R426" s="1"/>
      <c r="S426" s="1"/>
      <c r="T426" s="38"/>
      <c r="U426" s="38"/>
      <c r="V426" s="38"/>
      <c r="W426" s="38"/>
      <c r="X426" s="38"/>
      <c r="Y426" s="38"/>
      <c r="Z426" s="38"/>
      <c r="AA426" s="122"/>
      <c r="AB426" s="122"/>
      <c r="AC426" s="122"/>
      <c r="AD426" s="122"/>
      <c r="AE426" s="122"/>
      <c r="AF426" s="122"/>
      <c r="AG426" s="122"/>
      <c r="AH426" s="122"/>
      <c r="AI426" s="122"/>
      <c r="AJ426" s="38"/>
      <c r="AK426" s="122"/>
      <c r="AL426" s="122"/>
      <c r="AM426" s="122"/>
      <c r="AN426" s="122"/>
      <c r="AO426" s="38"/>
      <c r="AP426" s="38"/>
      <c r="AQ426" s="38"/>
      <c r="AR426" s="17"/>
      <c r="AS426" s="1"/>
      <c r="AT426" s="17"/>
      <c r="AU426" s="1"/>
      <c r="AV426" s="17"/>
      <c r="AW426" s="1"/>
      <c r="AX426" s="2"/>
      <c r="AY426" s="1"/>
      <c r="AZ426" s="1"/>
    </row>
    <row x14ac:dyDescent="0.25" r="427" customHeight="1" ht="15">
      <c r="A427" s="1"/>
      <c r="B427" s="1"/>
      <c r="C427" s="1"/>
      <c r="D427" s="1"/>
      <c r="E427" s="1"/>
      <c r="F427" s="1"/>
      <c r="G427" s="1"/>
      <c r="H427" s="1"/>
      <c r="I427" s="1"/>
      <c r="J427" s="1"/>
      <c r="K427" s="17"/>
      <c r="L427" s="1"/>
      <c r="M427" s="1"/>
      <c r="N427" s="2"/>
      <c r="O427" s="2"/>
      <c r="P427" s="17"/>
      <c r="Q427" s="1"/>
      <c r="R427" s="1"/>
      <c r="S427" s="1"/>
      <c r="T427" s="38"/>
      <c r="U427" s="38"/>
      <c r="V427" s="38"/>
      <c r="W427" s="38"/>
      <c r="X427" s="38"/>
      <c r="Y427" s="38"/>
      <c r="Z427" s="38"/>
      <c r="AA427" s="122"/>
      <c r="AB427" s="122"/>
      <c r="AC427" s="122"/>
      <c r="AD427" s="122"/>
      <c r="AE427" s="122"/>
      <c r="AF427" s="122"/>
      <c r="AG427" s="122"/>
      <c r="AH427" s="122"/>
      <c r="AI427" s="122"/>
      <c r="AJ427" s="38"/>
      <c r="AK427" s="122"/>
      <c r="AL427" s="122"/>
      <c r="AM427" s="122"/>
      <c r="AN427" s="122"/>
      <c r="AO427" s="38"/>
      <c r="AP427" s="38"/>
      <c r="AQ427" s="38"/>
      <c r="AR427" s="17"/>
      <c r="AS427" s="1"/>
      <c r="AT427" s="17"/>
      <c r="AU427" s="1"/>
      <c r="AV427" s="17"/>
      <c r="AW427" s="1"/>
      <c r="AX427" s="2"/>
      <c r="AY427" s="1"/>
      <c r="AZ427" s="1"/>
    </row>
    <row x14ac:dyDescent="0.25" r="428" customHeight="1" ht="15">
      <c r="A428" s="1"/>
      <c r="B428" s="1"/>
      <c r="C428" s="1"/>
      <c r="D428" s="1"/>
      <c r="E428" s="1"/>
      <c r="F428" s="1"/>
      <c r="G428" s="1"/>
      <c r="H428" s="1"/>
      <c r="I428" s="1"/>
      <c r="J428" s="1"/>
      <c r="K428" s="17"/>
      <c r="L428" s="1"/>
      <c r="M428" s="1"/>
      <c r="N428" s="2"/>
      <c r="O428" s="2"/>
      <c r="P428" s="17"/>
      <c r="Q428" s="1"/>
      <c r="R428" s="1"/>
      <c r="S428" s="1"/>
      <c r="T428" s="38"/>
      <c r="U428" s="38"/>
      <c r="V428" s="38"/>
      <c r="W428" s="38"/>
      <c r="X428" s="38"/>
      <c r="Y428" s="38"/>
      <c r="Z428" s="38"/>
      <c r="AA428" s="122"/>
      <c r="AB428" s="122"/>
      <c r="AC428" s="122"/>
      <c r="AD428" s="122"/>
      <c r="AE428" s="122"/>
      <c r="AF428" s="122"/>
      <c r="AG428" s="122"/>
      <c r="AH428" s="122"/>
      <c r="AI428" s="122"/>
      <c r="AJ428" s="38"/>
      <c r="AK428" s="122"/>
      <c r="AL428" s="122"/>
      <c r="AM428" s="122"/>
      <c r="AN428" s="122"/>
      <c r="AO428" s="38"/>
      <c r="AP428" s="38"/>
      <c r="AQ428" s="38"/>
      <c r="AR428" s="17"/>
      <c r="AS428" s="1"/>
      <c r="AT428" s="17"/>
      <c r="AU428" s="1"/>
      <c r="AV428" s="17"/>
      <c r="AW428" s="1"/>
      <c r="AX428" s="2"/>
      <c r="AY428" s="1"/>
      <c r="AZ428" s="1"/>
    </row>
    <row x14ac:dyDescent="0.25" r="429" customHeight="1" ht="15">
      <c r="A429" s="1"/>
      <c r="B429" s="1"/>
      <c r="C429" s="1"/>
      <c r="D429" s="1"/>
      <c r="E429" s="1"/>
      <c r="F429" s="1"/>
      <c r="G429" s="1"/>
      <c r="H429" s="1"/>
      <c r="I429" s="1"/>
      <c r="J429" s="1"/>
      <c r="K429" s="17"/>
      <c r="L429" s="1"/>
      <c r="M429" s="1"/>
      <c r="N429" s="2"/>
      <c r="O429" s="2"/>
      <c r="P429" s="17"/>
      <c r="Q429" s="1"/>
      <c r="R429" s="1"/>
      <c r="S429" s="1"/>
      <c r="T429" s="38"/>
      <c r="U429" s="38"/>
      <c r="V429" s="38"/>
      <c r="W429" s="38"/>
      <c r="X429" s="38"/>
      <c r="Y429" s="38"/>
      <c r="Z429" s="38"/>
      <c r="AA429" s="122"/>
      <c r="AB429" s="122"/>
      <c r="AC429" s="122"/>
      <c r="AD429" s="122"/>
      <c r="AE429" s="122"/>
      <c r="AF429" s="122"/>
      <c r="AG429" s="122"/>
      <c r="AH429" s="122"/>
      <c r="AI429" s="122"/>
      <c r="AJ429" s="38"/>
      <c r="AK429" s="122"/>
      <c r="AL429" s="122"/>
      <c r="AM429" s="122"/>
      <c r="AN429" s="122"/>
      <c r="AO429" s="38"/>
      <c r="AP429" s="38"/>
      <c r="AQ429" s="38"/>
      <c r="AR429" s="17"/>
      <c r="AS429" s="1"/>
      <c r="AT429" s="17"/>
      <c r="AU429" s="1"/>
      <c r="AV429" s="17"/>
      <c r="AW429" s="1"/>
      <c r="AX429" s="2"/>
      <c r="AY429" s="1"/>
      <c r="AZ429" s="1"/>
    </row>
    <row x14ac:dyDescent="0.25" r="430" customHeight="1" ht="15">
      <c r="A430" s="1"/>
      <c r="B430" s="1"/>
      <c r="C430" s="1"/>
      <c r="D430" s="1"/>
      <c r="E430" s="1"/>
      <c r="F430" s="1"/>
      <c r="G430" s="1"/>
      <c r="H430" s="1"/>
      <c r="I430" s="1"/>
      <c r="J430" s="1"/>
      <c r="K430" s="17"/>
      <c r="L430" s="1"/>
      <c r="M430" s="1"/>
      <c r="N430" s="2"/>
      <c r="O430" s="2"/>
      <c r="P430" s="17"/>
      <c r="Q430" s="1"/>
      <c r="R430" s="1"/>
      <c r="S430" s="1"/>
      <c r="T430" s="38"/>
      <c r="U430" s="38"/>
      <c r="V430" s="38"/>
      <c r="W430" s="38"/>
      <c r="X430" s="38"/>
      <c r="Y430" s="38"/>
      <c r="Z430" s="38"/>
      <c r="AA430" s="122"/>
      <c r="AB430" s="122"/>
      <c r="AC430" s="122"/>
      <c r="AD430" s="122"/>
      <c r="AE430" s="122"/>
      <c r="AF430" s="122"/>
      <c r="AG430" s="122"/>
      <c r="AH430" s="122"/>
      <c r="AI430" s="122"/>
      <c r="AJ430" s="38"/>
      <c r="AK430" s="122"/>
      <c r="AL430" s="122"/>
      <c r="AM430" s="122"/>
      <c r="AN430" s="122"/>
      <c r="AO430" s="38"/>
      <c r="AP430" s="38"/>
      <c r="AQ430" s="38"/>
      <c r="AR430" s="17"/>
      <c r="AS430" s="1"/>
      <c r="AT430" s="17"/>
      <c r="AU430" s="1"/>
      <c r="AV430" s="17"/>
      <c r="AW430" s="1"/>
      <c r="AX430" s="2"/>
      <c r="AY430" s="1"/>
      <c r="AZ430" s="1"/>
    </row>
    <row x14ac:dyDescent="0.25" r="431" customHeight="1" ht="15">
      <c r="A431" s="1"/>
      <c r="B431" s="1"/>
      <c r="C431" s="1"/>
      <c r="D431" s="1"/>
      <c r="E431" s="1"/>
      <c r="F431" s="1"/>
      <c r="G431" s="1"/>
      <c r="H431" s="1"/>
      <c r="I431" s="1"/>
      <c r="J431" s="1"/>
      <c r="K431" s="17"/>
      <c r="L431" s="1"/>
      <c r="M431" s="1"/>
      <c r="N431" s="2"/>
      <c r="O431" s="2"/>
      <c r="P431" s="17"/>
      <c r="Q431" s="1"/>
      <c r="R431" s="1"/>
      <c r="S431" s="1"/>
      <c r="T431" s="38"/>
      <c r="U431" s="38"/>
      <c r="V431" s="38"/>
      <c r="W431" s="38"/>
      <c r="X431" s="38"/>
      <c r="Y431" s="38"/>
      <c r="Z431" s="38"/>
      <c r="AA431" s="122"/>
      <c r="AB431" s="122"/>
      <c r="AC431" s="122"/>
      <c r="AD431" s="122"/>
      <c r="AE431" s="122"/>
      <c r="AF431" s="122"/>
      <c r="AG431" s="122"/>
      <c r="AH431" s="122"/>
      <c r="AI431" s="122"/>
      <c r="AJ431" s="38"/>
      <c r="AK431" s="122"/>
      <c r="AL431" s="122"/>
      <c r="AM431" s="122"/>
      <c r="AN431" s="122"/>
      <c r="AO431" s="38"/>
      <c r="AP431" s="38"/>
      <c r="AQ431" s="38"/>
      <c r="AR431" s="17"/>
      <c r="AS431" s="1"/>
      <c r="AT431" s="17"/>
      <c r="AU431" s="1"/>
      <c r="AV431" s="17"/>
      <c r="AW431" s="1"/>
      <c r="AX431" s="2"/>
      <c r="AY431" s="1"/>
      <c r="AZ431" s="1"/>
    </row>
    <row x14ac:dyDescent="0.25" r="432" customHeight="1" ht="15">
      <c r="A432" s="1"/>
      <c r="B432" s="1"/>
      <c r="C432" s="1"/>
      <c r="D432" s="1"/>
      <c r="E432" s="1"/>
      <c r="F432" s="1"/>
      <c r="G432" s="1"/>
      <c r="H432" s="1"/>
      <c r="I432" s="1"/>
      <c r="J432" s="1"/>
      <c r="K432" s="17"/>
      <c r="L432" s="1"/>
      <c r="M432" s="1"/>
      <c r="N432" s="2"/>
      <c r="O432" s="2"/>
      <c r="P432" s="17"/>
      <c r="Q432" s="1"/>
      <c r="R432" s="1"/>
      <c r="S432" s="1"/>
      <c r="T432" s="38"/>
      <c r="U432" s="38"/>
      <c r="V432" s="38"/>
      <c r="W432" s="38"/>
      <c r="X432" s="38"/>
      <c r="Y432" s="38"/>
      <c r="Z432" s="38"/>
      <c r="AA432" s="122"/>
      <c r="AB432" s="122"/>
      <c r="AC432" s="122"/>
      <c r="AD432" s="122"/>
      <c r="AE432" s="122"/>
      <c r="AF432" s="122"/>
      <c r="AG432" s="122"/>
      <c r="AH432" s="122"/>
      <c r="AI432" s="122"/>
      <c r="AJ432" s="38"/>
      <c r="AK432" s="122"/>
      <c r="AL432" s="122"/>
      <c r="AM432" s="122"/>
      <c r="AN432" s="122"/>
      <c r="AO432" s="38"/>
      <c r="AP432" s="38"/>
      <c r="AQ432" s="38"/>
      <c r="AR432" s="17"/>
      <c r="AS432" s="1"/>
      <c r="AT432" s="17"/>
      <c r="AU432" s="1"/>
      <c r="AV432" s="17"/>
      <c r="AW432" s="1"/>
      <c r="AX432" s="2"/>
      <c r="AY432" s="1"/>
      <c r="AZ432" s="1"/>
    </row>
    <row x14ac:dyDescent="0.25" r="433" customHeight="1" ht="15">
      <c r="A433" s="1"/>
      <c r="B433" s="1"/>
      <c r="C433" s="1"/>
      <c r="D433" s="1"/>
      <c r="E433" s="1"/>
      <c r="F433" s="1"/>
      <c r="G433" s="1"/>
      <c r="H433" s="1"/>
      <c r="I433" s="1"/>
      <c r="J433" s="1"/>
      <c r="K433" s="17"/>
      <c r="L433" s="1"/>
      <c r="M433" s="1"/>
      <c r="N433" s="2"/>
      <c r="O433" s="2"/>
      <c r="P433" s="17"/>
      <c r="Q433" s="1"/>
      <c r="R433" s="1"/>
      <c r="S433" s="1"/>
      <c r="T433" s="38"/>
      <c r="U433" s="38"/>
      <c r="V433" s="38"/>
      <c r="W433" s="38"/>
      <c r="X433" s="38"/>
      <c r="Y433" s="38"/>
      <c r="Z433" s="38"/>
      <c r="AA433" s="122"/>
      <c r="AB433" s="122"/>
      <c r="AC433" s="122"/>
      <c r="AD433" s="122"/>
      <c r="AE433" s="122"/>
      <c r="AF433" s="122"/>
      <c r="AG433" s="122"/>
      <c r="AH433" s="122"/>
      <c r="AI433" s="122"/>
      <c r="AJ433" s="38"/>
      <c r="AK433" s="122"/>
      <c r="AL433" s="122"/>
      <c r="AM433" s="122"/>
      <c r="AN433" s="122"/>
      <c r="AO433" s="38"/>
      <c r="AP433" s="38"/>
      <c r="AQ433" s="38"/>
      <c r="AR433" s="17"/>
      <c r="AS433" s="1"/>
      <c r="AT433" s="17"/>
      <c r="AU433" s="1"/>
      <c r="AV433" s="17"/>
      <c r="AW433" s="1"/>
      <c r="AX433" s="2"/>
      <c r="AY433" s="1"/>
      <c r="AZ433" s="1"/>
    </row>
    <row x14ac:dyDescent="0.25" r="434" customHeight="1" ht="15">
      <c r="A434" s="1"/>
      <c r="B434" s="1"/>
      <c r="C434" s="1"/>
      <c r="D434" s="1"/>
      <c r="E434" s="1"/>
      <c r="F434" s="1"/>
      <c r="G434" s="1"/>
      <c r="H434" s="1"/>
      <c r="I434" s="1"/>
      <c r="J434" s="1"/>
      <c r="K434" s="17"/>
      <c r="L434" s="1"/>
      <c r="M434" s="1"/>
      <c r="N434" s="2"/>
      <c r="O434" s="2"/>
      <c r="P434" s="17"/>
      <c r="Q434" s="1"/>
      <c r="R434" s="1"/>
      <c r="S434" s="1"/>
      <c r="T434" s="38"/>
      <c r="U434" s="38"/>
      <c r="V434" s="38"/>
      <c r="W434" s="38"/>
      <c r="X434" s="38"/>
      <c r="Y434" s="38"/>
      <c r="Z434" s="38"/>
      <c r="AA434" s="122"/>
      <c r="AB434" s="122"/>
      <c r="AC434" s="122"/>
      <c r="AD434" s="122"/>
      <c r="AE434" s="122"/>
      <c r="AF434" s="122"/>
      <c r="AG434" s="122"/>
      <c r="AH434" s="122"/>
      <c r="AI434" s="122"/>
      <c r="AJ434" s="38"/>
      <c r="AK434" s="122"/>
      <c r="AL434" s="122"/>
      <c r="AM434" s="122"/>
      <c r="AN434" s="122"/>
      <c r="AO434" s="38"/>
      <c r="AP434" s="38"/>
      <c r="AQ434" s="38"/>
      <c r="AR434" s="17"/>
      <c r="AS434" s="1"/>
      <c r="AT434" s="17"/>
      <c r="AU434" s="1"/>
      <c r="AV434" s="17"/>
      <c r="AW434" s="1"/>
      <c r="AX434" s="2"/>
      <c r="AY434" s="1"/>
      <c r="AZ434" s="1"/>
    </row>
    <row x14ac:dyDescent="0.25" r="435" customHeight="1" ht="15">
      <c r="A435" s="1"/>
      <c r="B435" s="1"/>
      <c r="C435" s="1"/>
      <c r="D435" s="1"/>
      <c r="E435" s="1"/>
      <c r="F435" s="1"/>
      <c r="G435" s="1"/>
      <c r="H435" s="1"/>
      <c r="I435" s="1"/>
      <c r="J435" s="1"/>
      <c r="K435" s="17"/>
      <c r="L435" s="1"/>
      <c r="M435" s="1"/>
      <c r="N435" s="2"/>
      <c r="O435" s="2"/>
      <c r="P435" s="17"/>
      <c r="Q435" s="1"/>
      <c r="R435" s="1"/>
      <c r="S435" s="1"/>
      <c r="T435" s="38"/>
      <c r="U435" s="38"/>
      <c r="V435" s="38"/>
      <c r="W435" s="38"/>
      <c r="X435" s="38"/>
      <c r="Y435" s="38"/>
      <c r="Z435" s="38"/>
      <c r="AA435" s="122"/>
      <c r="AB435" s="122"/>
      <c r="AC435" s="122"/>
      <c r="AD435" s="122"/>
      <c r="AE435" s="122"/>
      <c r="AF435" s="122"/>
      <c r="AG435" s="122"/>
      <c r="AH435" s="122"/>
      <c r="AI435" s="122"/>
      <c r="AJ435" s="38"/>
      <c r="AK435" s="122"/>
      <c r="AL435" s="122"/>
      <c r="AM435" s="122"/>
      <c r="AN435" s="122"/>
      <c r="AO435" s="38"/>
      <c r="AP435" s="38"/>
      <c r="AQ435" s="38"/>
      <c r="AR435" s="17"/>
      <c r="AS435" s="1"/>
      <c r="AT435" s="17"/>
      <c r="AU435" s="1"/>
      <c r="AV435" s="17"/>
      <c r="AW435" s="1"/>
      <c r="AX435" s="2"/>
      <c r="AY435" s="1"/>
      <c r="AZ435" s="1"/>
    </row>
    <row x14ac:dyDescent="0.25" r="436" customHeight="1" ht="15">
      <c r="A436" s="1"/>
      <c r="B436" s="1"/>
      <c r="C436" s="1"/>
      <c r="D436" s="1"/>
      <c r="E436" s="1"/>
      <c r="F436" s="1"/>
      <c r="G436" s="1"/>
      <c r="H436" s="1"/>
      <c r="I436" s="1"/>
      <c r="J436" s="1"/>
      <c r="K436" s="17"/>
      <c r="L436" s="1"/>
      <c r="M436" s="1"/>
      <c r="N436" s="2"/>
      <c r="O436" s="2"/>
      <c r="P436" s="17"/>
      <c r="Q436" s="1"/>
      <c r="R436" s="1"/>
      <c r="S436" s="1"/>
      <c r="T436" s="38"/>
      <c r="U436" s="38"/>
      <c r="V436" s="38"/>
      <c r="W436" s="38"/>
      <c r="X436" s="38"/>
      <c r="Y436" s="38"/>
      <c r="Z436" s="38"/>
      <c r="AA436" s="122"/>
      <c r="AB436" s="122"/>
      <c r="AC436" s="122"/>
      <c r="AD436" s="122"/>
      <c r="AE436" s="122"/>
      <c r="AF436" s="122"/>
      <c r="AG436" s="122"/>
      <c r="AH436" s="122"/>
      <c r="AI436" s="122"/>
      <c r="AJ436" s="38"/>
      <c r="AK436" s="122"/>
      <c r="AL436" s="122"/>
      <c r="AM436" s="122"/>
      <c r="AN436" s="122"/>
      <c r="AO436" s="38"/>
      <c r="AP436" s="38"/>
      <c r="AQ436" s="38"/>
      <c r="AR436" s="17"/>
      <c r="AS436" s="1"/>
      <c r="AT436" s="17"/>
      <c r="AU436" s="1"/>
      <c r="AV436" s="17"/>
      <c r="AW436" s="1"/>
      <c r="AX436" s="2"/>
      <c r="AY436" s="1"/>
      <c r="AZ436" s="1"/>
    </row>
    <row x14ac:dyDescent="0.25" r="437" customHeight="1" ht="15">
      <c r="A437" s="1"/>
      <c r="B437" s="1"/>
      <c r="C437" s="1"/>
      <c r="D437" s="1"/>
      <c r="E437" s="1"/>
      <c r="F437" s="1"/>
      <c r="G437" s="1"/>
      <c r="H437" s="1"/>
      <c r="I437" s="1"/>
      <c r="J437" s="1"/>
      <c r="K437" s="17"/>
      <c r="L437" s="1"/>
      <c r="M437" s="1"/>
      <c r="N437" s="2"/>
      <c r="O437" s="2"/>
      <c r="P437" s="17"/>
      <c r="Q437" s="1"/>
      <c r="R437" s="1"/>
      <c r="S437" s="1"/>
      <c r="T437" s="38"/>
      <c r="U437" s="38"/>
      <c r="V437" s="38"/>
      <c r="W437" s="38"/>
      <c r="X437" s="38"/>
      <c r="Y437" s="38"/>
      <c r="Z437" s="38"/>
      <c r="AA437" s="122"/>
      <c r="AB437" s="122"/>
      <c r="AC437" s="122"/>
      <c r="AD437" s="122"/>
      <c r="AE437" s="122"/>
      <c r="AF437" s="122"/>
      <c r="AG437" s="122"/>
      <c r="AH437" s="122"/>
      <c r="AI437" s="122"/>
      <c r="AJ437" s="38"/>
      <c r="AK437" s="122"/>
      <c r="AL437" s="122"/>
      <c r="AM437" s="122"/>
      <c r="AN437" s="122"/>
      <c r="AO437" s="38"/>
      <c r="AP437" s="38"/>
      <c r="AQ437" s="38"/>
      <c r="AR437" s="17"/>
      <c r="AS437" s="1"/>
      <c r="AT437" s="17"/>
      <c r="AU437" s="1"/>
      <c r="AV437" s="17"/>
      <c r="AW437" s="1"/>
      <c r="AX437" s="2"/>
      <c r="AY437" s="1"/>
      <c r="AZ437" s="1"/>
    </row>
    <row x14ac:dyDescent="0.25" r="438" customHeight="1" ht="15">
      <c r="A438" s="1"/>
      <c r="B438" s="1"/>
      <c r="C438" s="1"/>
      <c r="D438" s="1"/>
      <c r="E438" s="1"/>
      <c r="F438" s="1"/>
      <c r="G438" s="1"/>
      <c r="H438" s="1"/>
      <c r="I438" s="1"/>
      <c r="J438" s="1"/>
      <c r="K438" s="17"/>
      <c r="L438" s="1"/>
      <c r="M438" s="1"/>
      <c r="N438" s="2"/>
      <c r="O438" s="2"/>
      <c r="P438" s="17"/>
      <c r="Q438" s="1"/>
      <c r="R438" s="1"/>
      <c r="S438" s="1"/>
      <c r="T438" s="38"/>
      <c r="U438" s="38"/>
      <c r="V438" s="38"/>
      <c r="W438" s="38"/>
      <c r="X438" s="38"/>
      <c r="Y438" s="38"/>
      <c r="Z438" s="38"/>
      <c r="AA438" s="122"/>
      <c r="AB438" s="122"/>
      <c r="AC438" s="122"/>
      <c r="AD438" s="122"/>
      <c r="AE438" s="122"/>
      <c r="AF438" s="122"/>
      <c r="AG438" s="122"/>
      <c r="AH438" s="122"/>
      <c r="AI438" s="122"/>
      <c r="AJ438" s="38"/>
      <c r="AK438" s="122"/>
      <c r="AL438" s="122"/>
      <c r="AM438" s="122"/>
      <c r="AN438" s="122"/>
      <c r="AO438" s="38"/>
      <c r="AP438" s="38"/>
      <c r="AQ438" s="38"/>
      <c r="AR438" s="17"/>
      <c r="AS438" s="1"/>
      <c r="AT438" s="17"/>
      <c r="AU438" s="1"/>
      <c r="AV438" s="17"/>
      <c r="AW438" s="1"/>
      <c r="AX438" s="2"/>
      <c r="AY438" s="1"/>
      <c r="AZ438" s="1"/>
    </row>
    <row x14ac:dyDescent="0.25" r="439" customHeight="1" ht="15">
      <c r="A439" s="1"/>
      <c r="B439" s="1"/>
      <c r="C439" s="1"/>
      <c r="D439" s="1"/>
      <c r="E439" s="1"/>
      <c r="F439" s="1"/>
      <c r="G439" s="1"/>
      <c r="H439" s="1"/>
      <c r="I439" s="1"/>
      <c r="J439" s="1"/>
      <c r="K439" s="17"/>
      <c r="L439" s="1"/>
      <c r="M439" s="1"/>
      <c r="N439" s="2"/>
      <c r="O439" s="2"/>
      <c r="P439" s="17"/>
      <c r="Q439" s="1"/>
      <c r="R439" s="1"/>
      <c r="S439" s="1"/>
      <c r="T439" s="38"/>
      <c r="U439" s="38"/>
      <c r="V439" s="38"/>
      <c r="W439" s="38"/>
      <c r="X439" s="38"/>
      <c r="Y439" s="38"/>
      <c r="Z439" s="38"/>
      <c r="AA439" s="122"/>
      <c r="AB439" s="122"/>
      <c r="AC439" s="122"/>
      <c r="AD439" s="122"/>
      <c r="AE439" s="122"/>
      <c r="AF439" s="122"/>
      <c r="AG439" s="122"/>
      <c r="AH439" s="122"/>
      <c r="AI439" s="122"/>
      <c r="AJ439" s="38"/>
      <c r="AK439" s="122"/>
      <c r="AL439" s="122"/>
      <c r="AM439" s="122"/>
      <c r="AN439" s="122"/>
      <c r="AO439" s="38"/>
      <c r="AP439" s="38"/>
      <c r="AQ439" s="38"/>
      <c r="AR439" s="17"/>
      <c r="AS439" s="1"/>
      <c r="AT439" s="17"/>
      <c r="AU439" s="1"/>
      <c r="AV439" s="17"/>
      <c r="AW439" s="1"/>
      <c r="AX439" s="2"/>
      <c r="AY439" s="1"/>
      <c r="AZ439" s="1"/>
    </row>
    <row x14ac:dyDescent="0.25" r="440" customHeight="1" ht="15">
      <c r="A440" s="1"/>
      <c r="B440" s="1"/>
      <c r="C440" s="1"/>
      <c r="D440" s="1"/>
      <c r="E440" s="1"/>
      <c r="F440" s="1"/>
      <c r="G440" s="1"/>
      <c r="H440" s="1"/>
      <c r="I440" s="1"/>
      <c r="J440" s="1"/>
      <c r="K440" s="17"/>
      <c r="L440" s="1"/>
      <c r="M440" s="1"/>
      <c r="N440" s="2"/>
      <c r="O440" s="2"/>
      <c r="P440" s="17"/>
      <c r="Q440" s="1"/>
      <c r="R440" s="1"/>
      <c r="S440" s="1"/>
      <c r="T440" s="38"/>
      <c r="U440" s="38"/>
      <c r="V440" s="38"/>
      <c r="W440" s="38"/>
      <c r="X440" s="38"/>
      <c r="Y440" s="38"/>
      <c r="Z440" s="38"/>
      <c r="AA440" s="122"/>
      <c r="AB440" s="122"/>
      <c r="AC440" s="122"/>
      <c r="AD440" s="122"/>
      <c r="AE440" s="122"/>
      <c r="AF440" s="122"/>
      <c r="AG440" s="122"/>
      <c r="AH440" s="122"/>
      <c r="AI440" s="122"/>
      <c r="AJ440" s="38"/>
      <c r="AK440" s="122"/>
      <c r="AL440" s="122"/>
      <c r="AM440" s="122"/>
      <c r="AN440" s="122"/>
      <c r="AO440" s="38"/>
      <c r="AP440" s="38"/>
      <c r="AQ440" s="38"/>
      <c r="AR440" s="17"/>
      <c r="AS440" s="1"/>
      <c r="AT440" s="17"/>
      <c r="AU440" s="1"/>
      <c r="AV440" s="17"/>
      <c r="AW440" s="1"/>
      <c r="AX440" s="2"/>
      <c r="AY440" s="1"/>
      <c r="AZ440" s="1"/>
    </row>
    <row x14ac:dyDescent="0.25" r="441" customHeight="1" ht="15">
      <c r="A441" s="1"/>
      <c r="B441" s="1"/>
      <c r="C441" s="1"/>
      <c r="D441" s="1"/>
      <c r="E441" s="1"/>
      <c r="F441" s="1"/>
      <c r="G441" s="1"/>
      <c r="H441" s="1"/>
      <c r="I441" s="1"/>
      <c r="J441" s="1"/>
      <c r="K441" s="17"/>
      <c r="L441" s="1"/>
      <c r="M441" s="1"/>
      <c r="N441" s="2"/>
      <c r="O441" s="2"/>
      <c r="P441" s="17"/>
      <c r="Q441" s="1"/>
      <c r="R441" s="1"/>
      <c r="S441" s="1"/>
      <c r="T441" s="38"/>
      <c r="U441" s="38"/>
      <c r="V441" s="38"/>
      <c r="W441" s="38"/>
      <c r="X441" s="38"/>
      <c r="Y441" s="38"/>
      <c r="Z441" s="38"/>
      <c r="AA441" s="122"/>
      <c r="AB441" s="122"/>
      <c r="AC441" s="122"/>
      <c r="AD441" s="122"/>
      <c r="AE441" s="122"/>
      <c r="AF441" s="122"/>
      <c r="AG441" s="122"/>
      <c r="AH441" s="122"/>
      <c r="AI441" s="122"/>
      <c r="AJ441" s="38"/>
      <c r="AK441" s="122"/>
      <c r="AL441" s="122"/>
      <c r="AM441" s="122"/>
      <c r="AN441" s="122"/>
      <c r="AO441" s="38"/>
      <c r="AP441" s="38"/>
      <c r="AQ441" s="38"/>
      <c r="AR441" s="17"/>
      <c r="AS441" s="1"/>
      <c r="AT441" s="17"/>
      <c r="AU441" s="1"/>
      <c r="AV441" s="17"/>
      <c r="AW441" s="1"/>
      <c r="AX441" s="2"/>
      <c r="AY441" s="1"/>
      <c r="AZ441" s="1"/>
    </row>
    <row x14ac:dyDescent="0.25" r="442" customHeight="1" ht="15">
      <c r="A442" s="1"/>
      <c r="B442" s="1"/>
      <c r="C442" s="1"/>
      <c r="D442" s="1"/>
      <c r="E442" s="1"/>
      <c r="F442" s="1"/>
      <c r="G442" s="1"/>
      <c r="H442" s="1"/>
      <c r="I442" s="1"/>
      <c r="J442" s="1"/>
      <c r="K442" s="17"/>
      <c r="L442" s="1"/>
      <c r="M442" s="1"/>
      <c r="N442" s="2"/>
      <c r="O442" s="2"/>
      <c r="P442" s="17"/>
      <c r="Q442" s="1"/>
      <c r="R442" s="1"/>
      <c r="S442" s="1"/>
      <c r="T442" s="38"/>
      <c r="U442" s="38"/>
      <c r="V442" s="38"/>
      <c r="W442" s="38"/>
      <c r="X442" s="38"/>
      <c r="Y442" s="38"/>
      <c r="Z442" s="38"/>
      <c r="AA442" s="122"/>
      <c r="AB442" s="122"/>
      <c r="AC442" s="122"/>
      <c r="AD442" s="122"/>
      <c r="AE442" s="122"/>
      <c r="AF442" s="122"/>
      <c r="AG442" s="122"/>
      <c r="AH442" s="122"/>
      <c r="AI442" s="122"/>
      <c r="AJ442" s="38"/>
      <c r="AK442" s="122"/>
      <c r="AL442" s="122"/>
      <c r="AM442" s="122"/>
      <c r="AN442" s="122"/>
      <c r="AO442" s="38"/>
      <c r="AP442" s="38"/>
      <c r="AQ442" s="38"/>
      <c r="AR442" s="17"/>
      <c r="AS442" s="1"/>
      <c r="AT442" s="17"/>
      <c r="AU442" s="1"/>
      <c r="AV442" s="17"/>
      <c r="AW442" s="1"/>
      <c r="AX442" s="2"/>
      <c r="AY442" s="1"/>
      <c r="AZ442" s="1"/>
    </row>
    <row x14ac:dyDescent="0.25" r="443" customHeight="1" ht="15">
      <c r="A443" s="1"/>
      <c r="B443" s="1"/>
      <c r="C443" s="1"/>
      <c r="D443" s="1"/>
      <c r="E443" s="1"/>
      <c r="F443" s="1"/>
      <c r="G443" s="1"/>
      <c r="H443" s="1"/>
      <c r="I443" s="1"/>
      <c r="J443" s="1"/>
      <c r="K443" s="17"/>
      <c r="L443" s="1"/>
      <c r="M443" s="1"/>
      <c r="N443" s="2"/>
      <c r="O443" s="2"/>
      <c r="P443" s="17"/>
      <c r="Q443" s="1"/>
      <c r="R443" s="1"/>
      <c r="S443" s="1"/>
      <c r="T443" s="38"/>
      <c r="U443" s="38"/>
      <c r="V443" s="38"/>
      <c r="W443" s="38"/>
      <c r="X443" s="38"/>
      <c r="Y443" s="38"/>
      <c r="Z443" s="38"/>
      <c r="AA443" s="122"/>
      <c r="AB443" s="122"/>
      <c r="AC443" s="122"/>
      <c r="AD443" s="122"/>
      <c r="AE443" s="122"/>
      <c r="AF443" s="122"/>
      <c r="AG443" s="122"/>
      <c r="AH443" s="122"/>
      <c r="AI443" s="122"/>
      <c r="AJ443" s="38"/>
      <c r="AK443" s="122"/>
      <c r="AL443" s="122"/>
      <c r="AM443" s="122"/>
      <c r="AN443" s="122"/>
      <c r="AO443" s="38"/>
      <c r="AP443" s="38"/>
      <c r="AQ443" s="38"/>
      <c r="AR443" s="17"/>
      <c r="AS443" s="1"/>
      <c r="AT443" s="17"/>
      <c r="AU443" s="1"/>
      <c r="AV443" s="17"/>
      <c r="AW443" s="1"/>
      <c r="AX443" s="2"/>
      <c r="AY443" s="1"/>
      <c r="AZ443" s="1"/>
    </row>
    <row x14ac:dyDescent="0.25" r="444" customHeight="1" ht="15">
      <c r="A444" s="1"/>
      <c r="B444" s="1"/>
      <c r="C444" s="1"/>
      <c r="D444" s="1"/>
      <c r="E444" s="1"/>
      <c r="F444" s="1"/>
      <c r="G444" s="1"/>
      <c r="H444" s="1"/>
      <c r="I444" s="1"/>
      <c r="J444" s="1"/>
      <c r="K444" s="17"/>
      <c r="L444" s="1"/>
      <c r="M444" s="1"/>
      <c r="N444" s="2"/>
      <c r="O444" s="2"/>
      <c r="P444" s="17"/>
      <c r="Q444" s="1"/>
      <c r="R444" s="1"/>
      <c r="S444" s="1"/>
      <c r="T444" s="38"/>
      <c r="U444" s="38"/>
      <c r="V444" s="38"/>
      <c r="W444" s="38"/>
      <c r="X444" s="38"/>
      <c r="Y444" s="38"/>
      <c r="Z444" s="38"/>
      <c r="AA444" s="122"/>
      <c r="AB444" s="122"/>
      <c r="AC444" s="122"/>
      <c r="AD444" s="122"/>
      <c r="AE444" s="122"/>
      <c r="AF444" s="122"/>
      <c r="AG444" s="122"/>
      <c r="AH444" s="122"/>
      <c r="AI444" s="122"/>
      <c r="AJ444" s="38"/>
      <c r="AK444" s="122"/>
      <c r="AL444" s="122"/>
      <c r="AM444" s="122"/>
      <c r="AN444" s="122"/>
      <c r="AO444" s="38"/>
      <c r="AP444" s="38"/>
      <c r="AQ444" s="38"/>
      <c r="AR444" s="17"/>
      <c r="AS444" s="1"/>
      <c r="AT444" s="17"/>
      <c r="AU444" s="1"/>
      <c r="AV444" s="17"/>
      <c r="AW444" s="1"/>
      <c r="AX444" s="2"/>
      <c r="AY444" s="1"/>
      <c r="AZ444" s="1"/>
    </row>
    <row x14ac:dyDescent="0.25" r="445" customHeight="1" ht="15">
      <c r="A445" s="1"/>
      <c r="B445" s="1"/>
      <c r="C445" s="1"/>
      <c r="D445" s="1"/>
      <c r="E445" s="1"/>
      <c r="F445" s="1"/>
      <c r="G445" s="1"/>
      <c r="H445" s="1"/>
      <c r="I445" s="1"/>
      <c r="J445" s="1"/>
      <c r="K445" s="17"/>
      <c r="L445" s="1"/>
      <c r="M445" s="1"/>
      <c r="N445" s="2"/>
      <c r="O445" s="2"/>
      <c r="P445" s="17"/>
      <c r="Q445" s="1"/>
      <c r="R445" s="1"/>
      <c r="S445" s="1"/>
      <c r="T445" s="38"/>
      <c r="U445" s="38"/>
      <c r="V445" s="38"/>
      <c r="W445" s="38"/>
      <c r="X445" s="38"/>
      <c r="Y445" s="38"/>
      <c r="Z445" s="38"/>
      <c r="AA445" s="122"/>
      <c r="AB445" s="122"/>
      <c r="AC445" s="122"/>
      <c r="AD445" s="122"/>
      <c r="AE445" s="122"/>
      <c r="AF445" s="122"/>
      <c r="AG445" s="122"/>
      <c r="AH445" s="122"/>
      <c r="AI445" s="122"/>
      <c r="AJ445" s="38"/>
      <c r="AK445" s="122"/>
      <c r="AL445" s="122"/>
      <c r="AM445" s="122"/>
      <c r="AN445" s="122"/>
      <c r="AO445" s="38"/>
      <c r="AP445" s="38"/>
      <c r="AQ445" s="38"/>
      <c r="AR445" s="17"/>
      <c r="AS445" s="1"/>
      <c r="AT445" s="17"/>
      <c r="AU445" s="1"/>
      <c r="AV445" s="17"/>
      <c r="AW445" s="1"/>
      <c r="AX445" s="2"/>
      <c r="AY445" s="1"/>
      <c r="AZ445" s="1"/>
    </row>
    <row x14ac:dyDescent="0.25" r="446" customHeight="1" ht="15">
      <c r="A446" s="1"/>
      <c r="B446" s="1"/>
      <c r="C446" s="1"/>
      <c r="D446" s="1"/>
      <c r="E446" s="1"/>
      <c r="F446" s="1"/>
      <c r="G446" s="1"/>
      <c r="H446" s="1"/>
      <c r="I446" s="1"/>
      <c r="J446" s="1"/>
      <c r="K446" s="17"/>
      <c r="L446" s="1"/>
      <c r="M446" s="1"/>
      <c r="N446" s="2"/>
      <c r="O446" s="2"/>
      <c r="P446" s="17"/>
      <c r="Q446" s="1"/>
      <c r="R446" s="1"/>
      <c r="S446" s="1"/>
      <c r="T446" s="38"/>
      <c r="U446" s="38"/>
      <c r="V446" s="38"/>
      <c r="W446" s="38"/>
      <c r="X446" s="38"/>
      <c r="Y446" s="38"/>
      <c r="Z446" s="38"/>
      <c r="AA446" s="122"/>
      <c r="AB446" s="122"/>
      <c r="AC446" s="122"/>
      <c r="AD446" s="122"/>
      <c r="AE446" s="122"/>
      <c r="AF446" s="122"/>
      <c r="AG446" s="122"/>
      <c r="AH446" s="122"/>
      <c r="AI446" s="122"/>
      <c r="AJ446" s="38"/>
      <c r="AK446" s="122"/>
      <c r="AL446" s="122"/>
      <c r="AM446" s="122"/>
      <c r="AN446" s="122"/>
      <c r="AO446" s="38"/>
      <c r="AP446" s="38"/>
      <c r="AQ446" s="38"/>
      <c r="AR446" s="17"/>
      <c r="AS446" s="1"/>
      <c r="AT446" s="17"/>
      <c r="AU446" s="1"/>
      <c r="AV446" s="17"/>
      <c r="AW446" s="1"/>
      <c r="AX446" s="2"/>
      <c r="AY446" s="1"/>
      <c r="AZ446" s="1"/>
    </row>
    <row x14ac:dyDescent="0.25" r="447" customHeight="1" ht="15">
      <c r="A447" s="1"/>
      <c r="B447" s="1"/>
      <c r="C447" s="1"/>
      <c r="D447" s="1"/>
      <c r="E447" s="1"/>
      <c r="F447" s="1"/>
      <c r="G447" s="1"/>
      <c r="H447" s="1"/>
      <c r="I447" s="1"/>
      <c r="J447" s="1"/>
      <c r="K447" s="17"/>
      <c r="L447" s="1"/>
      <c r="M447" s="1"/>
      <c r="N447" s="2"/>
      <c r="O447" s="2"/>
      <c r="P447" s="17"/>
      <c r="Q447" s="1"/>
      <c r="R447" s="1"/>
      <c r="S447" s="1"/>
      <c r="T447" s="38"/>
      <c r="U447" s="38"/>
      <c r="V447" s="38"/>
      <c r="W447" s="38"/>
      <c r="X447" s="38"/>
      <c r="Y447" s="38"/>
      <c r="Z447" s="38"/>
      <c r="AA447" s="122"/>
      <c r="AB447" s="122"/>
      <c r="AC447" s="122"/>
      <c r="AD447" s="122"/>
      <c r="AE447" s="122"/>
      <c r="AF447" s="122"/>
      <c r="AG447" s="122"/>
      <c r="AH447" s="122"/>
      <c r="AI447" s="122"/>
      <c r="AJ447" s="38"/>
      <c r="AK447" s="122"/>
      <c r="AL447" s="122"/>
      <c r="AM447" s="122"/>
      <c r="AN447" s="122"/>
      <c r="AO447" s="38"/>
      <c r="AP447" s="38"/>
      <c r="AQ447" s="38"/>
      <c r="AR447" s="17"/>
      <c r="AS447" s="1"/>
      <c r="AT447" s="17"/>
      <c r="AU447" s="1"/>
      <c r="AV447" s="17"/>
      <c r="AW447" s="1"/>
      <c r="AX447" s="2"/>
      <c r="AY447" s="1"/>
      <c r="AZ447" s="1"/>
    </row>
    <row x14ac:dyDescent="0.25" r="448" customHeight="1" ht="15">
      <c r="A448" s="1"/>
      <c r="B448" s="1"/>
      <c r="C448" s="1"/>
      <c r="D448" s="1"/>
      <c r="E448" s="1"/>
      <c r="F448" s="1"/>
      <c r="G448" s="1"/>
      <c r="H448" s="1"/>
      <c r="I448" s="1"/>
      <c r="J448" s="1"/>
      <c r="K448" s="17"/>
      <c r="L448" s="1"/>
      <c r="M448" s="1"/>
      <c r="N448" s="2"/>
      <c r="O448" s="2"/>
      <c r="P448" s="17"/>
      <c r="Q448" s="1"/>
      <c r="R448" s="1"/>
      <c r="S448" s="1"/>
      <c r="T448" s="38"/>
      <c r="U448" s="38"/>
      <c r="V448" s="38"/>
      <c r="W448" s="38"/>
      <c r="X448" s="38"/>
      <c r="Y448" s="38"/>
      <c r="Z448" s="38"/>
      <c r="AA448" s="122"/>
      <c r="AB448" s="122"/>
      <c r="AC448" s="122"/>
      <c r="AD448" s="122"/>
      <c r="AE448" s="122"/>
      <c r="AF448" s="122"/>
      <c r="AG448" s="122"/>
      <c r="AH448" s="122"/>
      <c r="AI448" s="122"/>
      <c r="AJ448" s="38"/>
      <c r="AK448" s="122"/>
      <c r="AL448" s="122"/>
      <c r="AM448" s="122"/>
      <c r="AN448" s="122"/>
      <c r="AO448" s="38"/>
      <c r="AP448" s="38"/>
      <c r="AQ448" s="38"/>
      <c r="AR448" s="17"/>
      <c r="AS448" s="1"/>
      <c r="AT448" s="17"/>
      <c r="AU448" s="1"/>
      <c r="AV448" s="17"/>
      <c r="AW448" s="1"/>
      <c r="AX448" s="2"/>
      <c r="AY448" s="1"/>
      <c r="AZ448" s="1"/>
    </row>
    <row x14ac:dyDescent="0.25" r="449" customHeight="1" ht="15">
      <c r="A449" s="1"/>
      <c r="B449" s="1"/>
      <c r="C449" s="1"/>
      <c r="D449" s="1"/>
      <c r="E449" s="1"/>
      <c r="F449" s="1"/>
      <c r="G449" s="1"/>
      <c r="H449" s="1"/>
      <c r="I449" s="1"/>
      <c r="J449" s="1"/>
      <c r="K449" s="17"/>
      <c r="L449" s="1"/>
      <c r="M449" s="1"/>
      <c r="N449" s="2"/>
      <c r="O449" s="2"/>
      <c r="P449" s="17"/>
      <c r="Q449" s="1"/>
      <c r="R449" s="1"/>
      <c r="S449" s="1"/>
      <c r="T449" s="38"/>
      <c r="U449" s="38"/>
      <c r="V449" s="38"/>
      <c r="W449" s="38"/>
      <c r="X449" s="38"/>
      <c r="Y449" s="38"/>
      <c r="Z449" s="38"/>
      <c r="AA449" s="122"/>
      <c r="AB449" s="122"/>
      <c r="AC449" s="122"/>
      <c r="AD449" s="122"/>
      <c r="AE449" s="122"/>
      <c r="AF449" s="122"/>
      <c r="AG449" s="122"/>
      <c r="AH449" s="122"/>
      <c r="AI449" s="122"/>
      <c r="AJ449" s="38"/>
      <c r="AK449" s="122"/>
      <c r="AL449" s="122"/>
      <c r="AM449" s="122"/>
      <c r="AN449" s="122"/>
      <c r="AO449" s="38"/>
      <c r="AP449" s="38"/>
      <c r="AQ449" s="38"/>
      <c r="AR449" s="17"/>
      <c r="AS449" s="1"/>
      <c r="AT449" s="17"/>
      <c r="AU449" s="1"/>
      <c r="AV449" s="17"/>
      <c r="AW449" s="1"/>
      <c r="AX449" s="2"/>
      <c r="AY449" s="1"/>
      <c r="AZ449" s="1"/>
    </row>
    <row x14ac:dyDescent="0.25" r="450" customHeight="1" ht="15">
      <c r="A450" s="1"/>
      <c r="B450" s="1"/>
      <c r="C450" s="1"/>
      <c r="D450" s="1"/>
      <c r="E450" s="1"/>
      <c r="F450" s="1"/>
      <c r="G450" s="1"/>
      <c r="H450" s="1"/>
      <c r="I450" s="1"/>
      <c r="J450" s="1"/>
      <c r="K450" s="17"/>
      <c r="L450" s="1"/>
      <c r="M450" s="1"/>
      <c r="N450" s="2"/>
      <c r="O450" s="2"/>
      <c r="P450" s="17"/>
      <c r="Q450" s="1"/>
      <c r="R450" s="1"/>
      <c r="S450" s="1"/>
      <c r="T450" s="38"/>
      <c r="U450" s="38"/>
      <c r="V450" s="38"/>
      <c r="W450" s="38"/>
      <c r="X450" s="38"/>
      <c r="Y450" s="38"/>
      <c r="Z450" s="38"/>
      <c r="AA450" s="122"/>
      <c r="AB450" s="122"/>
      <c r="AC450" s="122"/>
      <c r="AD450" s="122"/>
      <c r="AE450" s="122"/>
      <c r="AF450" s="122"/>
      <c r="AG450" s="122"/>
      <c r="AH450" s="122"/>
      <c r="AI450" s="122"/>
      <c r="AJ450" s="38"/>
      <c r="AK450" s="122"/>
      <c r="AL450" s="122"/>
      <c r="AM450" s="122"/>
      <c r="AN450" s="122"/>
      <c r="AO450" s="38"/>
      <c r="AP450" s="38"/>
      <c r="AQ450" s="38"/>
      <c r="AR450" s="17"/>
      <c r="AS450" s="1"/>
      <c r="AT450" s="17"/>
      <c r="AU450" s="1"/>
      <c r="AV450" s="17"/>
      <c r="AW450" s="1"/>
      <c r="AX450" s="2"/>
      <c r="AY450" s="1"/>
      <c r="AZ450" s="1"/>
    </row>
    <row x14ac:dyDescent="0.25" r="451" customHeight="1" ht="15">
      <c r="A451" s="1"/>
      <c r="B451" s="1"/>
      <c r="C451" s="1"/>
      <c r="D451" s="1"/>
      <c r="E451" s="1"/>
      <c r="F451" s="1"/>
      <c r="G451" s="1"/>
      <c r="H451" s="1"/>
      <c r="I451" s="1"/>
      <c r="J451" s="1"/>
      <c r="K451" s="17"/>
      <c r="L451" s="1"/>
      <c r="M451" s="1"/>
      <c r="N451" s="2"/>
      <c r="O451" s="2"/>
      <c r="P451" s="17"/>
      <c r="Q451" s="1"/>
      <c r="R451" s="1"/>
      <c r="S451" s="1"/>
      <c r="T451" s="38"/>
      <c r="U451" s="38"/>
      <c r="V451" s="38"/>
      <c r="W451" s="38"/>
      <c r="X451" s="38"/>
      <c r="Y451" s="38"/>
      <c r="Z451" s="38"/>
      <c r="AA451" s="122"/>
      <c r="AB451" s="122"/>
      <c r="AC451" s="122"/>
      <c r="AD451" s="122"/>
      <c r="AE451" s="122"/>
      <c r="AF451" s="122"/>
      <c r="AG451" s="122"/>
      <c r="AH451" s="122"/>
      <c r="AI451" s="122"/>
      <c r="AJ451" s="38"/>
      <c r="AK451" s="122"/>
      <c r="AL451" s="122"/>
      <c r="AM451" s="122"/>
      <c r="AN451" s="122"/>
      <c r="AO451" s="38"/>
      <c r="AP451" s="38"/>
      <c r="AQ451" s="38"/>
      <c r="AR451" s="17"/>
      <c r="AS451" s="1"/>
      <c r="AT451" s="17"/>
      <c r="AU451" s="1"/>
      <c r="AV451" s="17"/>
      <c r="AW451" s="1"/>
      <c r="AX451" s="2"/>
      <c r="AY451" s="1"/>
      <c r="AZ451" s="1"/>
    </row>
    <row x14ac:dyDescent="0.25" r="452" customHeight="1" ht="15">
      <c r="A452" s="1"/>
      <c r="B452" s="1"/>
      <c r="C452" s="1"/>
      <c r="D452" s="1"/>
      <c r="E452" s="1"/>
      <c r="F452" s="1"/>
      <c r="G452" s="1"/>
      <c r="H452" s="1"/>
      <c r="I452" s="1"/>
      <c r="J452" s="1"/>
      <c r="K452" s="17"/>
      <c r="L452" s="1"/>
      <c r="M452" s="1"/>
      <c r="N452" s="2"/>
      <c r="O452" s="2"/>
      <c r="P452" s="17"/>
      <c r="Q452" s="1"/>
      <c r="R452" s="1"/>
      <c r="S452" s="1"/>
      <c r="T452" s="38"/>
      <c r="U452" s="38"/>
      <c r="V452" s="38"/>
      <c r="W452" s="38"/>
      <c r="X452" s="38"/>
      <c r="Y452" s="38"/>
      <c r="Z452" s="38"/>
      <c r="AA452" s="122"/>
      <c r="AB452" s="122"/>
      <c r="AC452" s="122"/>
      <c r="AD452" s="122"/>
      <c r="AE452" s="122"/>
      <c r="AF452" s="122"/>
      <c r="AG452" s="122"/>
      <c r="AH452" s="122"/>
      <c r="AI452" s="122"/>
      <c r="AJ452" s="38"/>
      <c r="AK452" s="122"/>
      <c r="AL452" s="122"/>
      <c r="AM452" s="122"/>
      <c r="AN452" s="122"/>
      <c r="AO452" s="38"/>
      <c r="AP452" s="38"/>
      <c r="AQ452" s="38"/>
      <c r="AR452" s="17"/>
      <c r="AS452" s="1"/>
      <c r="AT452" s="17"/>
      <c r="AU452" s="1"/>
      <c r="AV452" s="17"/>
      <c r="AW452" s="1"/>
      <c r="AX452" s="2"/>
      <c r="AY452" s="1"/>
      <c r="AZ452" s="1"/>
    </row>
    <row x14ac:dyDescent="0.25" r="453" customHeight="1" ht="15">
      <c r="A453" s="1"/>
      <c r="B453" s="1"/>
      <c r="C453" s="1"/>
      <c r="D453" s="1"/>
      <c r="E453" s="1"/>
      <c r="F453" s="1"/>
      <c r="G453" s="1"/>
      <c r="H453" s="1"/>
      <c r="I453" s="1"/>
      <c r="J453" s="1"/>
      <c r="K453" s="17"/>
      <c r="L453" s="1"/>
      <c r="M453" s="1"/>
      <c r="N453" s="2"/>
      <c r="O453" s="2"/>
      <c r="P453" s="17"/>
      <c r="Q453" s="1"/>
      <c r="R453" s="1"/>
      <c r="S453" s="1"/>
      <c r="T453" s="38"/>
      <c r="U453" s="38"/>
      <c r="V453" s="38"/>
      <c r="W453" s="38"/>
      <c r="X453" s="38"/>
      <c r="Y453" s="38"/>
      <c r="Z453" s="38"/>
      <c r="AA453" s="122"/>
      <c r="AB453" s="122"/>
      <c r="AC453" s="122"/>
      <c r="AD453" s="122"/>
      <c r="AE453" s="122"/>
      <c r="AF453" s="122"/>
      <c r="AG453" s="122"/>
      <c r="AH453" s="122"/>
      <c r="AI453" s="122"/>
      <c r="AJ453" s="38"/>
      <c r="AK453" s="122"/>
      <c r="AL453" s="122"/>
      <c r="AM453" s="122"/>
      <c r="AN453" s="122"/>
      <c r="AO453" s="38"/>
      <c r="AP453" s="38"/>
      <c r="AQ453" s="38"/>
      <c r="AR453" s="17"/>
      <c r="AS453" s="1"/>
      <c r="AT453" s="17"/>
      <c r="AU453" s="1"/>
      <c r="AV453" s="17"/>
      <c r="AW453" s="1"/>
      <c r="AX453" s="2"/>
      <c r="AY453" s="1"/>
      <c r="AZ453" s="1"/>
    </row>
    <row x14ac:dyDescent="0.25" r="454" customHeight="1" ht="15">
      <c r="A454" s="1"/>
      <c r="B454" s="1"/>
      <c r="C454" s="1"/>
      <c r="D454" s="1"/>
      <c r="E454" s="1"/>
      <c r="F454" s="1"/>
      <c r="G454" s="1"/>
      <c r="H454" s="1"/>
      <c r="I454" s="1"/>
      <c r="J454" s="1"/>
      <c r="K454" s="17"/>
      <c r="L454" s="1"/>
      <c r="M454" s="1"/>
      <c r="N454" s="2"/>
      <c r="O454" s="2"/>
      <c r="P454" s="17"/>
      <c r="Q454" s="1"/>
      <c r="R454" s="1"/>
      <c r="S454" s="1"/>
      <c r="T454" s="38"/>
      <c r="U454" s="38"/>
      <c r="V454" s="38"/>
      <c r="W454" s="38"/>
      <c r="X454" s="38"/>
      <c r="Y454" s="38"/>
      <c r="Z454" s="38"/>
      <c r="AA454" s="122"/>
      <c r="AB454" s="122"/>
      <c r="AC454" s="122"/>
      <c r="AD454" s="122"/>
      <c r="AE454" s="122"/>
      <c r="AF454" s="122"/>
      <c r="AG454" s="122"/>
      <c r="AH454" s="122"/>
      <c r="AI454" s="122"/>
      <c r="AJ454" s="38"/>
      <c r="AK454" s="122"/>
      <c r="AL454" s="122"/>
      <c r="AM454" s="122"/>
      <c r="AN454" s="122"/>
      <c r="AO454" s="38"/>
      <c r="AP454" s="38"/>
      <c r="AQ454" s="38"/>
      <c r="AR454" s="17"/>
      <c r="AS454" s="1"/>
      <c r="AT454" s="17"/>
      <c r="AU454" s="1"/>
      <c r="AV454" s="17"/>
      <c r="AW454" s="1"/>
      <c r="AX454" s="2"/>
      <c r="AY454" s="1"/>
      <c r="AZ454" s="1"/>
    </row>
    <row x14ac:dyDescent="0.25" r="455" customHeight="1" ht="15">
      <c r="A455" s="1"/>
      <c r="B455" s="1"/>
      <c r="C455" s="1"/>
      <c r="D455" s="1"/>
      <c r="E455" s="1"/>
      <c r="F455" s="1"/>
      <c r="G455" s="1"/>
      <c r="H455" s="1"/>
      <c r="I455" s="1"/>
      <c r="J455" s="1"/>
      <c r="K455" s="17"/>
      <c r="L455" s="1"/>
      <c r="M455" s="1"/>
      <c r="N455" s="2"/>
      <c r="O455" s="2"/>
      <c r="P455" s="17"/>
      <c r="Q455" s="1"/>
      <c r="R455" s="1"/>
      <c r="S455" s="1"/>
      <c r="T455" s="38"/>
      <c r="U455" s="38"/>
      <c r="V455" s="38"/>
      <c r="W455" s="38"/>
      <c r="X455" s="38"/>
      <c r="Y455" s="38"/>
      <c r="Z455" s="38"/>
      <c r="AA455" s="122"/>
      <c r="AB455" s="122"/>
      <c r="AC455" s="122"/>
      <c r="AD455" s="122"/>
      <c r="AE455" s="122"/>
      <c r="AF455" s="122"/>
      <c r="AG455" s="122"/>
      <c r="AH455" s="122"/>
      <c r="AI455" s="122"/>
      <c r="AJ455" s="38"/>
      <c r="AK455" s="122"/>
      <c r="AL455" s="122"/>
      <c r="AM455" s="122"/>
      <c r="AN455" s="122"/>
      <c r="AO455" s="38"/>
      <c r="AP455" s="38"/>
      <c r="AQ455" s="38"/>
      <c r="AR455" s="17"/>
      <c r="AS455" s="1"/>
      <c r="AT455" s="17"/>
      <c r="AU455" s="1"/>
      <c r="AV455" s="17"/>
      <c r="AW455" s="1"/>
      <c r="AX455" s="2"/>
      <c r="AY455" s="1"/>
      <c r="AZ455" s="1"/>
    </row>
    <row x14ac:dyDescent="0.25" r="456" customHeight="1" ht="15">
      <c r="A456" s="1"/>
      <c r="B456" s="1"/>
      <c r="C456" s="1"/>
      <c r="D456" s="1"/>
      <c r="E456" s="1"/>
      <c r="F456" s="1"/>
      <c r="G456" s="1"/>
      <c r="H456" s="1"/>
      <c r="I456" s="1"/>
      <c r="J456" s="1"/>
      <c r="K456" s="17"/>
      <c r="L456" s="1"/>
      <c r="M456" s="1"/>
      <c r="N456" s="2"/>
      <c r="O456" s="2"/>
      <c r="P456" s="17"/>
      <c r="Q456" s="1"/>
      <c r="R456" s="1"/>
      <c r="S456" s="1"/>
      <c r="T456" s="38"/>
      <c r="U456" s="38"/>
      <c r="V456" s="38"/>
      <c r="W456" s="38"/>
      <c r="X456" s="38"/>
      <c r="Y456" s="38"/>
      <c r="Z456" s="38"/>
      <c r="AA456" s="122"/>
      <c r="AB456" s="122"/>
      <c r="AC456" s="122"/>
      <c r="AD456" s="122"/>
      <c r="AE456" s="122"/>
      <c r="AF456" s="122"/>
      <c r="AG456" s="122"/>
      <c r="AH456" s="122"/>
      <c r="AI456" s="122"/>
      <c r="AJ456" s="38"/>
      <c r="AK456" s="122"/>
      <c r="AL456" s="122"/>
      <c r="AM456" s="122"/>
      <c r="AN456" s="122"/>
      <c r="AO456" s="38"/>
      <c r="AP456" s="38"/>
      <c r="AQ456" s="38"/>
      <c r="AR456" s="17"/>
      <c r="AS456" s="1"/>
      <c r="AT456" s="17"/>
      <c r="AU456" s="1"/>
      <c r="AV456" s="17"/>
      <c r="AW456" s="1"/>
      <c r="AX456" s="2"/>
      <c r="AY456" s="1"/>
      <c r="AZ456" s="1"/>
    </row>
    <row x14ac:dyDescent="0.25" r="457" customHeight="1" ht="15">
      <c r="A457" s="1"/>
      <c r="B457" s="1"/>
      <c r="C457" s="1"/>
      <c r="D457" s="1"/>
      <c r="E457" s="1"/>
      <c r="F457" s="1"/>
      <c r="G457" s="1"/>
      <c r="H457" s="1"/>
      <c r="I457" s="1"/>
      <c r="J457" s="1"/>
      <c r="K457" s="17"/>
      <c r="L457" s="1"/>
      <c r="M457" s="1"/>
      <c r="N457" s="2"/>
      <c r="O457" s="2"/>
      <c r="P457" s="17"/>
      <c r="Q457" s="1"/>
      <c r="R457" s="1"/>
      <c r="S457" s="1"/>
      <c r="T457" s="38"/>
      <c r="U457" s="38"/>
      <c r="V457" s="38"/>
      <c r="W457" s="38"/>
      <c r="X457" s="38"/>
      <c r="Y457" s="38"/>
      <c r="Z457" s="38"/>
      <c r="AA457" s="122"/>
      <c r="AB457" s="122"/>
      <c r="AC457" s="122"/>
      <c r="AD457" s="122"/>
      <c r="AE457" s="122"/>
      <c r="AF457" s="122"/>
      <c r="AG457" s="122"/>
      <c r="AH457" s="122"/>
      <c r="AI457" s="122"/>
      <c r="AJ457" s="38"/>
      <c r="AK457" s="122"/>
      <c r="AL457" s="122"/>
      <c r="AM457" s="122"/>
      <c r="AN457" s="122"/>
      <c r="AO457" s="38"/>
      <c r="AP457" s="38"/>
      <c r="AQ457" s="38"/>
      <c r="AR457" s="17"/>
      <c r="AS457" s="1"/>
      <c r="AT457" s="17"/>
      <c r="AU457" s="1"/>
      <c r="AV457" s="17"/>
      <c r="AW457" s="1"/>
      <c r="AX457" s="2"/>
      <c r="AY457" s="1"/>
      <c r="AZ457" s="1"/>
    </row>
    <row x14ac:dyDescent="0.25" r="458" customHeight="1" ht="15">
      <c r="A458" s="1"/>
      <c r="B458" s="1"/>
      <c r="C458" s="1"/>
      <c r="D458" s="1"/>
      <c r="E458" s="1"/>
      <c r="F458" s="1"/>
      <c r="G458" s="1"/>
      <c r="H458" s="1"/>
      <c r="I458" s="1"/>
      <c r="J458" s="1"/>
      <c r="K458" s="17"/>
      <c r="L458" s="1"/>
      <c r="M458" s="1"/>
      <c r="N458" s="2"/>
      <c r="O458" s="2"/>
      <c r="P458" s="17"/>
      <c r="Q458" s="1"/>
      <c r="R458" s="1"/>
      <c r="S458" s="1"/>
      <c r="T458" s="38"/>
      <c r="U458" s="38"/>
      <c r="V458" s="38"/>
      <c r="W458" s="38"/>
      <c r="X458" s="38"/>
      <c r="Y458" s="38"/>
      <c r="Z458" s="38"/>
      <c r="AA458" s="122"/>
      <c r="AB458" s="122"/>
      <c r="AC458" s="122"/>
      <c r="AD458" s="122"/>
      <c r="AE458" s="122"/>
      <c r="AF458" s="122"/>
      <c r="AG458" s="122"/>
      <c r="AH458" s="122"/>
      <c r="AI458" s="122"/>
      <c r="AJ458" s="38"/>
      <c r="AK458" s="122"/>
      <c r="AL458" s="122"/>
      <c r="AM458" s="122"/>
      <c r="AN458" s="122"/>
      <c r="AO458" s="38"/>
      <c r="AP458" s="38"/>
      <c r="AQ458" s="38"/>
      <c r="AR458" s="17"/>
      <c r="AS458" s="1"/>
      <c r="AT458" s="17"/>
      <c r="AU458" s="1"/>
      <c r="AV458" s="17"/>
      <c r="AW458" s="1"/>
      <c r="AX458" s="2"/>
      <c r="AY458" s="1"/>
      <c r="AZ458" s="1"/>
    </row>
    <row x14ac:dyDescent="0.25" r="459" customHeight="1" ht="15">
      <c r="A459" s="1"/>
      <c r="B459" s="1"/>
      <c r="C459" s="1"/>
      <c r="D459" s="1"/>
      <c r="E459" s="1"/>
      <c r="F459" s="1"/>
      <c r="G459" s="1"/>
      <c r="H459" s="1"/>
      <c r="I459" s="1"/>
      <c r="J459" s="1"/>
      <c r="K459" s="17"/>
      <c r="L459" s="1"/>
      <c r="M459" s="1"/>
      <c r="N459" s="2"/>
      <c r="O459" s="2"/>
      <c r="P459" s="17"/>
      <c r="Q459" s="1"/>
      <c r="R459" s="1"/>
      <c r="S459" s="1"/>
      <c r="T459" s="38"/>
      <c r="U459" s="38"/>
      <c r="V459" s="38"/>
      <c r="W459" s="38"/>
      <c r="X459" s="38"/>
      <c r="Y459" s="38"/>
      <c r="Z459" s="38"/>
      <c r="AA459" s="122"/>
      <c r="AB459" s="122"/>
      <c r="AC459" s="122"/>
      <c r="AD459" s="122"/>
      <c r="AE459" s="122"/>
      <c r="AF459" s="122"/>
      <c r="AG459" s="122"/>
      <c r="AH459" s="122"/>
      <c r="AI459" s="122"/>
      <c r="AJ459" s="38"/>
      <c r="AK459" s="122"/>
      <c r="AL459" s="122"/>
      <c r="AM459" s="122"/>
      <c r="AN459" s="122"/>
      <c r="AO459" s="38"/>
      <c r="AP459" s="38"/>
      <c r="AQ459" s="38"/>
      <c r="AR459" s="17"/>
      <c r="AS459" s="1"/>
      <c r="AT459" s="17"/>
      <c r="AU459" s="1"/>
      <c r="AV459" s="17"/>
      <c r="AW459" s="1"/>
      <c r="AX459" s="2"/>
      <c r="AY459" s="1"/>
      <c r="AZ459" s="1"/>
    </row>
    <row x14ac:dyDescent="0.25" r="460" customHeight="1" ht="15">
      <c r="A460" s="1"/>
      <c r="B460" s="1"/>
      <c r="C460" s="1"/>
      <c r="D460" s="1"/>
      <c r="E460" s="1"/>
      <c r="F460" s="1"/>
      <c r="G460" s="1"/>
      <c r="H460" s="1"/>
      <c r="I460" s="1"/>
      <c r="J460" s="1"/>
      <c r="K460" s="17"/>
      <c r="L460" s="1"/>
      <c r="M460" s="1"/>
      <c r="N460" s="2"/>
      <c r="O460" s="2"/>
      <c r="P460" s="17"/>
      <c r="Q460" s="1"/>
      <c r="R460" s="1"/>
      <c r="S460" s="1"/>
      <c r="T460" s="38"/>
      <c r="U460" s="38"/>
      <c r="V460" s="38"/>
      <c r="W460" s="38"/>
      <c r="X460" s="38"/>
      <c r="Y460" s="38"/>
      <c r="Z460" s="38"/>
      <c r="AA460" s="122"/>
      <c r="AB460" s="122"/>
      <c r="AC460" s="122"/>
      <c r="AD460" s="122"/>
      <c r="AE460" s="122"/>
      <c r="AF460" s="122"/>
      <c r="AG460" s="122"/>
      <c r="AH460" s="122"/>
      <c r="AI460" s="122"/>
      <c r="AJ460" s="38"/>
      <c r="AK460" s="122"/>
      <c r="AL460" s="122"/>
      <c r="AM460" s="122"/>
      <c r="AN460" s="122"/>
      <c r="AO460" s="38"/>
      <c r="AP460" s="38"/>
      <c r="AQ460" s="38"/>
      <c r="AR460" s="17"/>
      <c r="AS460" s="1"/>
      <c r="AT460" s="17"/>
      <c r="AU460" s="1"/>
      <c r="AV460" s="17"/>
      <c r="AW460" s="1"/>
      <c r="AX460" s="2"/>
      <c r="AY460" s="1"/>
      <c r="AZ460" s="1"/>
    </row>
    <row x14ac:dyDescent="0.25" r="461" customHeight="1" ht="15">
      <c r="A461" s="1"/>
      <c r="B461" s="1"/>
      <c r="C461" s="1"/>
      <c r="D461" s="1"/>
      <c r="E461" s="1"/>
      <c r="F461" s="1"/>
      <c r="G461" s="1"/>
      <c r="H461" s="1"/>
      <c r="I461" s="1"/>
      <c r="J461" s="1"/>
      <c r="K461" s="17"/>
      <c r="L461" s="1"/>
      <c r="M461" s="1"/>
      <c r="N461" s="2"/>
      <c r="O461" s="2"/>
      <c r="P461" s="17"/>
      <c r="Q461" s="1"/>
      <c r="R461" s="1"/>
      <c r="S461" s="1"/>
      <c r="T461" s="38"/>
      <c r="U461" s="38"/>
      <c r="V461" s="38"/>
      <c r="W461" s="38"/>
      <c r="X461" s="38"/>
      <c r="Y461" s="38"/>
      <c r="Z461" s="38"/>
      <c r="AA461" s="122"/>
      <c r="AB461" s="122"/>
      <c r="AC461" s="122"/>
      <c r="AD461" s="122"/>
      <c r="AE461" s="122"/>
      <c r="AF461" s="122"/>
      <c r="AG461" s="122"/>
      <c r="AH461" s="122"/>
      <c r="AI461" s="122"/>
      <c r="AJ461" s="38"/>
      <c r="AK461" s="122"/>
      <c r="AL461" s="122"/>
      <c r="AM461" s="122"/>
      <c r="AN461" s="122"/>
      <c r="AO461" s="38"/>
      <c r="AP461" s="38"/>
      <c r="AQ461" s="38"/>
      <c r="AR461" s="17"/>
      <c r="AS461" s="1"/>
      <c r="AT461" s="17"/>
      <c r="AU461" s="1"/>
      <c r="AV461" s="17"/>
      <c r="AW461" s="1"/>
      <c r="AX461" s="2"/>
      <c r="AY461" s="1"/>
      <c r="AZ461" s="1"/>
    </row>
    <row x14ac:dyDescent="0.25" r="462" customHeight="1" ht="15">
      <c r="A462" s="1"/>
      <c r="B462" s="1"/>
      <c r="C462" s="1"/>
      <c r="D462" s="1"/>
      <c r="E462" s="1"/>
      <c r="F462" s="1"/>
      <c r="G462" s="1"/>
      <c r="H462" s="1"/>
      <c r="I462" s="1"/>
      <c r="J462" s="1"/>
      <c r="K462" s="17"/>
      <c r="L462" s="1"/>
      <c r="M462" s="1"/>
      <c r="N462" s="2"/>
      <c r="O462" s="2"/>
      <c r="P462" s="17"/>
      <c r="Q462" s="1"/>
      <c r="R462" s="1"/>
      <c r="S462" s="1"/>
      <c r="T462" s="38"/>
      <c r="U462" s="38"/>
      <c r="V462" s="38"/>
      <c r="W462" s="38"/>
      <c r="X462" s="38"/>
      <c r="Y462" s="38"/>
      <c r="Z462" s="38"/>
      <c r="AA462" s="122"/>
      <c r="AB462" s="122"/>
      <c r="AC462" s="122"/>
      <c r="AD462" s="122"/>
      <c r="AE462" s="122"/>
      <c r="AF462" s="122"/>
      <c r="AG462" s="122"/>
      <c r="AH462" s="122"/>
      <c r="AI462" s="122"/>
      <c r="AJ462" s="38"/>
      <c r="AK462" s="122"/>
      <c r="AL462" s="122"/>
      <c r="AM462" s="122"/>
      <c r="AN462" s="122"/>
      <c r="AO462" s="38"/>
      <c r="AP462" s="38"/>
      <c r="AQ462" s="38"/>
      <c r="AR462" s="17"/>
      <c r="AS462" s="1"/>
      <c r="AT462" s="17"/>
      <c r="AU462" s="1"/>
      <c r="AV462" s="17"/>
      <c r="AW462" s="1"/>
      <c r="AX462" s="2"/>
      <c r="AY462" s="1"/>
      <c r="AZ462" s="1"/>
    </row>
    <row x14ac:dyDescent="0.25" r="463" customHeight="1" ht="15">
      <c r="A463" s="1"/>
      <c r="B463" s="1"/>
      <c r="C463" s="1"/>
      <c r="D463" s="1"/>
      <c r="E463" s="1"/>
      <c r="F463" s="1"/>
      <c r="G463" s="1"/>
      <c r="H463" s="1"/>
      <c r="I463" s="1"/>
      <c r="J463" s="1"/>
      <c r="K463" s="17"/>
      <c r="L463" s="1"/>
      <c r="M463" s="1"/>
      <c r="N463" s="2"/>
      <c r="O463" s="2"/>
      <c r="P463" s="17"/>
      <c r="Q463" s="1"/>
      <c r="R463" s="1"/>
      <c r="S463" s="1"/>
      <c r="T463" s="38"/>
      <c r="U463" s="38"/>
      <c r="V463" s="38"/>
      <c r="W463" s="38"/>
      <c r="X463" s="38"/>
      <c r="Y463" s="38"/>
      <c r="Z463" s="38"/>
      <c r="AA463" s="122"/>
      <c r="AB463" s="122"/>
      <c r="AC463" s="122"/>
      <c r="AD463" s="122"/>
      <c r="AE463" s="122"/>
      <c r="AF463" s="122"/>
      <c r="AG463" s="122"/>
      <c r="AH463" s="122"/>
      <c r="AI463" s="122"/>
      <c r="AJ463" s="38"/>
      <c r="AK463" s="122"/>
      <c r="AL463" s="122"/>
      <c r="AM463" s="122"/>
      <c r="AN463" s="122"/>
      <c r="AO463" s="38"/>
      <c r="AP463" s="38"/>
      <c r="AQ463" s="38"/>
      <c r="AR463" s="17"/>
      <c r="AS463" s="1"/>
      <c r="AT463" s="17"/>
      <c r="AU463" s="1"/>
      <c r="AV463" s="17"/>
      <c r="AW463" s="1"/>
      <c r="AX463" s="2"/>
      <c r="AY463" s="1"/>
      <c r="AZ463" s="1"/>
    </row>
    <row x14ac:dyDescent="0.25" r="464" customHeight="1" ht="15">
      <c r="A464" s="1"/>
      <c r="B464" s="1"/>
      <c r="C464" s="1"/>
      <c r="D464" s="1"/>
      <c r="E464" s="1"/>
      <c r="F464" s="1"/>
      <c r="G464" s="1"/>
      <c r="H464" s="1"/>
      <c r="I464" s="1"/>
      <c r="J464" s="1"/>
      <c r="K464" s="17"/>
      <c r="L464" s="1"/>
      <c r="M464" s="1"/>
      <c r="N464" s="2"/>
      <c r="O464" s="2"/>
      <c r="P464" s="17"/>
      <c r="Q464" s="1"/>
      <c r="R464" s="1"/>
      <c r="S464" s="1"/>
      <c r="T464" s="38"/>
      <c r="U464" s="38"/>
      <c r="V464" s="38"/>
      <c r="W464" s="38"/>
      <c r="X464" s="38"/>
      <c r="Y464" s="38"/>
      <c r="Z464" s="38"/>
      <c r="AA464" s="122"/>
      <c r="AB464" s="122"/>
      <c r="AC464" s="122"/>
      <c r="AD464" s="122"/>
      <c r="AE464" s="122"/>
      <c r="AF464" s="122"/>
      <c r="AG464" s="122"/>
      <c r="AH464" s="122"/>
      <c r="AI464" s="122"/>
      <c r="AJ464" s="38"/>
      <c r="AK464" s="122"/>
      <c r="AL464" s="122"/>
      <c r="AM464" s="122"/>
      <c r="AN464" s="122"/>
      <c r="AO464" s="38"/>
      <c r="AP464" s="38"/>
      <c r="AQ464" s="38"/>
      <c r="AR464" s="17"/>
      <c r="AS464" s="1"/>
      <c r="AT464" s="17"/>
      <c r="AU464" s="1"/>
      <c r="AV464" s="17"/>
      <c r="AW464" s="1"/>
      <c r="AX464" s="2"/>
      <c r="AY464" s="1"/>
      <c r="AZ464" s="1"/>
    </row>
    <row x14ac:dyDescent="0.25" r="465" customHeight="1" ht="15">
      <c r="A465" s="1"/>
      <c r="B465" s="1"/>
      <c r="C465" s="1"/>
      <c r="D465" s="1"/>
      <c r="E465" s="1"/>
      <c r="F465" s="1"/>
      <c r="G465" s="1"/>
      <c r="H465" s="1"/>
      <c r="I465" s="1"/>
      <c r="J465" s="1"/>
      <c r="K465" s="17"/>
      <c r="L465" s="1"/>
      <c r="M465" s="1"/>
      <c r="N465" s="2"/>
      <c r="O465" s="2"/>
      <c r="P465" s="17"/>
      <c r="Q465" s="1"/>
      <c r="R465" s="1"/>
      <c r="S465" s="1"/>
      <c r="T465" s="38"/>
      <c r="U465" s="38"/>
      <c r="V465" s="38"/>
      <c r="W465" s="38"/>
      <c r="X465" s="38"/>
      <c r="Y465" s="38"/>
      <c r="Z465" s="38"/>
      <c r="AA465" s="122"/>
      <c r="AB465" s="122"/>
      <c r="AC465" s="122"/>
      <c r="AD465" s="122"/>
      <c r="AE465" s="122"/>
      <c r="AF465" s="122"/>
      <c r="AG465" s="122"/>
      <c r="AH465" s="122"/>
      <c r="AI465" s="122"/>
      <c r="AJ465" s="38"/>
      <c r="AK465" s="122"/>
      <c r="AL465" s="122"/>
      <c r="AM465" s="122"/>
      <c r="AN465" s="122"/>
      <c r="AO465" s="38"/>
      <c r="AP465" s="38"/>
      <c r="AQ465" s="38"/>
      <c r="AR465" s="17"/>
      <c r="AS465" s="1"/>
      <c r="AT465" s="17"/>
      <c r="AU465" s="1"/>
      <c r="AV465" s="17"/>
      <c r="AW465" s="1"/>
      <c r="AX465" s="2"/>
      <c r="AY465" s="1"/>
      <c r="AZ465" s="1"/>
    </row>
    <row x14ac:dyDescent="0.25" r="466" customHeight="1" ht="15">
      <c r="A466" s="1"/>
      <c r="B466" s="1"/>
      <c r="C466" s="1"/>
      <c r="D466" s="1"/>
      <c r="E466" s="1"/>
      <c r="F466" s="1"/>
      <c r="G466" s="1"/>
      <c r="H466" s="1"/>
      <c r="I466" s="1"/>
      <c r="J466" s="1"/>
      <c r="K466" s="17"/>
      <c r="L466" s="1"/>
      <c r="M466" s="1"/>
      <c r="N466" s="2"/>
      <c r="O466" s="2"/>
      <c r="P466" s="17"/>
      <c r="Q466" s="1"/>
      <c r="R466" s="1"/>
      <c r="S466" s="1"/>
      <c r="T466" s="38"/>
      <c r="U466" s="38"/>
      <c r="V466" s="38"/>
      <c r="W466" s="38"/>
      <c r="X466" s="38"/>
      <c r="Y466" s="38"/>
      <c r="Z466" s="38"/>
      <c r="AA466" s="122"/>
      <c r="AB466" s="122"/>
      <c r="AC466" s="122"/>
      <c r="AD466" s="122"/>
      <c r="AE466" s="122"/>
      <c r="AF466" s="122"/>
      <c r="AG466" s="122"/>
      <c r="AH466" s="122"/>
      <c r="AI466" s="122"/>
      <c r="AJ466" s="38"/>
      <c r="AK466" s="122"/>
      <c r="AL466" s="122"/>
      <c r="AM466" s="122"/>
      <c r="AN466" s="122"/>
      <c r="AO466" s="38"/>
      <c r="AP466" s="38"/>
      <c r="AQ466" s="38"/>
      <c r="AR466" s="17"/>
      <c r="AS466" s="1"/>
      <c r="AT466" s="17"/>
      <c r="AU466" s="1"/>
      <c r="AV466" s="17"/>
      <c r="AW466" s="1"/>
      <c r="AX466" s="2"/>
      <c r="AY466" s="1"/>
      <c r="AZ466" s="1"/>
    </row>
    <row x14ac:dyDescent="0.25" r="467" customHeight="1" ht="15">
      <c r="A467" s="1"/>
      <c r="B467" s="1"/>
      <c r="C467" s="1"/>
      <c r="D467" s="1"/>
      <c r="E467" s="1"/>
      <c r="F467" s="1"/>
      <c r="G467" s="1"/>
      <c r="H467" s="1"/>
      <c r="I467" s="1"/>
      <c r="J467" s="1"/>
      <c r="K467" s="17"/>
      <c r="L467" s="1"/>
      <c r="M467" s="1"/>
      <c r="N467" s="2"/>
      <c r="O467" s="2"/>
      <c r="P467" s="17"/>
      <c r="Q467" s="1"/>
      <c r="R467" s="1"/>
      <c r="S467" s="1"/>
      <c r="T467" s="38"/>
      <c r="U467" s="38"/>
      <c r="V467" s="38"/>
      <c r="W467" s="38"/>
      <c r="X467" s="38"/>
      <c r="Y467" s="38"/>
      <c r="Z467" s="38"/>
      <c r="AA467" s="122"/>
      <c r="AB467" s="122"/>
      <c r="AC467" s="122"/>
      <c r="AD467" s="122"/>
      <c r="AE467" s="122"/>
      <c r="AF467" s="122"/>
      <c r="AG467" s="122"/>
      <c r="AH467" s="122"/>
      <c r="AI467" s="122"/>
      <c r="AJ467" s="38"/>
      <c r="AK467" s="122"/>
      <c r="AL467" s="122"/>
      <c r="AM467" s="122"/>
      <c r="AN467" s="122"/>
      <c r="AO467" s="38"/>
      <c r="AP467" s="38"/>
      <c r="AQ467" s="38"/>
      <c r="AR467" s="17"/>
      <c r="AS467" s="1"/>
      <c r="AT467" s="17"/>
      <c r="AU467" s="1"/>
      <c r="AV467" s="17"/>
      <c r="AW467" s="1"/>
      <c r="AX467" s="2"/>
      <c r="AY467" s="1"/>
      <c r="AZ467" s="1"/>
    </row>
    <row x14ac:dyDescent="0.25" r="468" customHeight="1" ht="15">
      <c r="A468" s="1"/>
      <c r="B468" s="1"/>
      <c r="C468" s="1"/>
      <c r="D468" s="1"/>
      <c r="E468" s="1"/>
      <c r="F468" s="1"/>
      <c r="G468" s="1"/>
      <c r="H468" s="1"/>
      <c r="I468" s="1"/>
      <c r="J468" s="1"/>
      <c r="K468" s="17"/>
      <c r="L468" s="1"/>
      <c r="M468" s="1"/>
      <c r="N468" s="2"/>
      <c r="O468" s="2"/>
      <c r="P468" s="17"/>
      <c r="Q468" s="1"/>
      <c r="R468" s="1"/>
      <c r="S468" s="1"/>
      <c r="T468" s="38"/>
      <c r="U468" s="38"/>
      <c r="V468" s="38"/>
      <c r="W468" s="38"/>
      <c r="X468" s="38"/>
      <c r="Y468" s="38"/>
      <c r="Z468" s="38"/>
      <c r="AA468" s="122"/>
      <c r="AB468" s="122"/>
      <c r="AC468" s="122"/>
      <c r="AD468" s="122"/>
      <c r="AE468" s="122"/>
      <c r="AF468" s="122"/>
      <c r="AG468" s="122"/>
      <c r="AH468" s="122"/>
      <c r="AI468" s="122"/>
      <c r="AJ468" s="38"/>
      <c r="AK468" s="122"/>
      <c r="AL468" s="122"/>
      <c r="AM468" s="122"/>
      <c r="AN468" s="122"/>
      <c r="AO468" s="38"/>
      <c r="AP468" s="38"/>
      <c r="AQ468" s="38"/>
      <c r="AR468" s="17"/>
      <c r="AS468" s="1"/>
      <c r="AT468" s="17"/>
      <c r="AU468" s="1"/>
      <c r="AV468" s="17"/>
      <c r="AW468" s="1"/>
      <c r="AX468" s="2"/>
      <c r="AY468" s="1"/>
      <c r="AZ468" s="1"/>
    </row>
    <row x14ac:dyDescent="0.25" r="469" customHeight="1" ht="15">
      <c r="A469" s="1"/>
      <c r="B469" s="1"/>
      <c r="C469" s="1"/>
      <c r="D469" s="1"/>
      <c r="E469" s="1"/>
      <c r="F469" s="1"/>
      <c r="G469" s="1"/>
      <c r="H469" s="1"/>
      <c r="I469" s="1"/>
      <c r="J469" s="1"/>
      <c r="K469" s="17"/>
      <c r="L469" s="1"/>
      <c r="M469" s="1"/>
      <c r="N469" s="2"/>
      <c r="O469" s="2"/>
      <c r="P469" s="17"/>
      <c r="Q469" s="1"/>
      <c r="R469" s="1"/>
      <c r="S469" s="1"/>
      <c r="T469" s="38"/>
      <c r="U469" s="38"/>
      <c r="V469" s="38"/>
      <c r="W469" s="38"/>
      <c r="X469" s="38"/>
      <c r="Y469" s="38"/>
      <c r="Z469" s="38"/>
      <c r="AA469" s="122"/>
      <c r="AB469" s="122"/>
      <c r="AC469" s="122"/>
      <c r="AD469" s="122"/>
      <c r="AE469" s="122"/>
      <c r="AF469" s="122"/>
      <c r="AG469" s="122"/>
      <c r="AH469" s="122"/>
      <c r="AI469" s="122"/>
      <c r="AJ469" s="38"/>
      <c r="AK469" s="122"/>
      <c r="AL469" s="122"/>
      <c r="AM469" s="122"/>
      <c r="AN469" s="122"/>
      <c r="AO469" s="38"/>
      <c r="AP469" s="38"/>
      <c r="AQ469" s="38"/>
      <c r="AR469" s="17"/>
      <c r="AS469" s="1"/>
      <c r="AT469" s="17"/>
      <c r="AU469" s="1"/>
      <c r="AV469" s="17"/>
      <c r="AW469" s="1"/>
      <c r="AX469" s="2"/>
      <c r="AY469" s="1"/>
      <c r="AZ469" s="1"/>
    </row>
    <row x14ac:dyDescent="0.25" r="470" customHeight="1" ht="15">
      <c r="A470" s="1"/>
      <c r="B470" s="1"/>
      <c r="C470" s="1"/>
      <c r="D470" s="1"/>
      <c r="E470" s="1"/>
      <c r="F470" s="1"/>
      <c r="G470" s="1"/>
      <c r="H470" s="1"/>
      <c r="I470" s="1"/>
      <c r="J470" s="1"/>
      <c r="K470" s="17"/>
      <c r="L470" s="1"/>
      <c r="M470" s="1"/>
      <c r="N470" s="2"/>
      <c r="O470" s="2"/>
      <c r="P470" s="17"/>
      <c r="Q470" s="1"/>
      <c r="R470" s="1"/>
      <c r="S470" s="1"/>
      <c r="T470" s="38"/>
      <c r="U470" s="38"/>
      <c r="V470" s="38"/>
      <c r="W470" s="38"/>
      <c r="X470" s="38"/>
      <c r="Y470" s="38"/>
      <c r="Z470" s="38"/>
      <c r="AA470" s="122"/>
      <c r="AB470" s="122"/>
      <c r="AC470" s="122"/>
      <c r="AD470" s="122"/>
      <c r="AE470" s="122"/>
      <c r="AF470" s="122"/>
      <c r="AG470" s="122"/>
      <c r="AH470" s="122"/>
      <c r="AI470" s="122"/>
      <c r="AJ470" s="38"/>
      <c r="AK470" s="122"/>
      <c r="AL470" s="122"/>
      <c r="AM470" s="122"/>
      <c r="AN470" s="122"/>
      <c r="AO470" s="38"/>
      <c r="AP470" s="38"/>
      <c r="AQ470" s="38"/>
      <c r="AR470" s="17"/>
      <c r="AS470" s="1"/>
      <c r="AT470" s="17"/>
      <c r="AU470" s="1"/>
      <c r="AV470" s="17"/>
      <c r="AW470" s="1"/>
      <c r="AX470" s="2"/>
      <c r="AY470" s="1"/>
      <c r="AZ470" s="1"/>
    </row>
    <row x14ac:dyDescent="0.25" r="471" customHeight="1" ht="15">
      <c r="A471" s="1"/>
      <c r="B471" s="1"/>
      <c r="C471" s="1"/>
      <c r="D471" s="1"/>
      <c r="E471" s="1"/>
      <c r="F471" s="1"/>
      <c r="G471" s="1"/>
      <c r="H471" s="1"/>
      <c r="I471" s="1"/>
      <c r="J471" s="1"/>
      <c r="K471" s="17"/>
      <c r="L471" s="1"/>
      <c r="M471" s="1"/>
      <c r="N471" s="2"/>
      <c r="O471" s="2"/>
      <c r="P471" s="17"/>
      <c r="Q471" s="1"/>
      <c r="R471" s="1"/>
      <c r="S471" s="1"/>
      <c r="T471" s="38"/>
      <c r="U471" s="38"/>
      <c r="V471" s="38"/>
      <c r="W471" s="38"/>
      <c r="X471" s="38"/>
      <c r="Y471" s="38"/>
      <c r="Z471" s="38"/>
      <c r="AA471" s="122"/>
      <c r="AB471" s="122"/>
      <c r="AC471" s="122"/>
      <c r="AD471" s="122"/>
      <c r="AE471" s="122"/>
      <c r="AF471" s="122"/>
      <c r="AG471" s="122"/>
      <c r="AH471" s="122"/>
      <c r="AI471" s="122"/>
      <c r="AJ471" s="38"/>
      <c r="AK471" s="122"/>
      <c r="AL471" s="122"/>
      <c r="AM471" s="122"/>
      <c r="AN471" s="122"/>
      <c r="AO471" s="38"/>
      <c r="AP471" s="38"/>
      <c r="AQ471" s="38"/>
      <c r="AR471" s="17"/>
      <c r="AS471" s="1"/>
      <c r="AT471" s="17"/>
      <c r="AU471" s="1"/>
      <c r="AV471" s="17"/>
      <c r="AW471" s="1"/>
      <c r="AX471" s="2"/>
      <c r="AY471" s="1"/>
      <c r="AZ471" s="1"/>
    </row>
    <row x14ac:dyDescent="0.25" r="472" customHeight="1" ht="15">
      <c r="A472" s="1"/>
      <c r="B472" s="1"/>
      <c r="C472" s="1"/>
      <c r="D472" s="1"/>
      <c r="E472" s="1"/>
      <c r="F472" s="1"/>
      <c r="G472" s="1"/>
      <c r="H472" s="1"/>
      <c r="I472" s="1"/>
      <c r="J472" s="1"/>
      <c r="K472" s="17"/>
      <c r="L472" s="1"/>
      <c r="M472" s="1"/>
      <c r="N472" s="2"/>
      <c r="O472" s="2"/>
      <c r="P472" s="17"/>
      <c r="Q472" s="1"/>
      <c r="R472" s="1"/>
      <c r="S472" s="1"/>
      <c r="T472" s="38"/>
      <c r="U472" s="38"/>
      <c r="V472" s="38"/>
      <c r="W472" s="38"/>
      <c r="X472" s="38"/>
      <c r="Y472" s="38"/>
      <c r="Z472" s="38"/>
      <c r="AA472" s="122"/>
      <c r="AB472" s="122"/>
      <c r="AC472" s="122"/>
      <c r="AD472" s="122"/>
      <c r="AE472" s="122"/>
      <c r="AF472" s="122"/>
      <c r="AG472" s="122"/>
      <c r="AH472" s="122"/>
      <c r="AI472" s="122"/>
      <c r="AJ472" s="38"/>
      <c r="AK472" s="122"/>
      <c r="AL472" s="122"/>
      <c r="AM472" s="122"/>
      <c r="AN472" s="122"/>
      <c r="AO472" s="38"/>
      <c r="AP472" s="38"/>
      <c r="AQ472" s="38"/>
      <c r="AR472" s="17"/>
      <c r="AS472" s="1"/>
      <c r="AT472" s="17"/>
      <c r="AU472" s="1"/>
      <c r="AV472" s="17"/>
      <c r="AW472" s="1"/>
      <c r="AX472" s="2"/>
      <c r="AY472" s="1"/>
      <c r="AZ472" s="1"/>
    </row>
    <row x14ac:dyDescent="0.25" r="473" customHeight="1" ht="15">
      <c r="A473" s="1"/>
      <c r="B473" s="1"/>
      <c r="C473" s="1"/>
      <c r="D473" s="1"/>
      <c r="E473" s="1"/>
      <c r="F473" s="1"/>
      <c r="G473" s="1"/>
      <c r="H473" s="1"/>
      <c r="I473" s="1"/>
      <c r="J473" s="1"/>
      <c r="K473" s="17"/>
      <c r="L473" s="1"/>
      <c r="M473" s="1"/>
      <c r="N473" s="2"/>
      <c r="O473" s="2"/>
      <c r="P473" s="17"/>
      <c r="Q473" s="1"/>
      <c r="R473" s="1"/>
      <c r="S473" s="1"/>
      <c r="T473" s="38"/>
      <c r="U473" s="38"/>
      <c r="V473" s="38"/>
      <c r="W473" s="38"/>
      <c r="X473" s="38"/>
      <c r="Y473" s="38"/>
      <c r="Z473" s="38"/>
      <c r="AA473" s="122"/>
      <c r="AB473" s="122"/>
      <c r="AC473" s="122"/>
      <c r="AD473" s="122"/>
      <c r="AE473" s="122"/>
      <c r="AF473" s="122"/>
      <c r="AG473" s="122"/>
      <c r="AH473" s="122"/>
      <c r="AI473" s="122"/>
      <c r="AJ473" s="38"/>
      <c r="AK473" s="122"/>
      <c r="AL473" s="122"/>
      <c r="AM473" s="122"/>
      <c r="AN473" s="122"/>
      <c r="AO473" s="38"/>
      <c r="AP473" s="38"/>
      <c r="AQ473" s="38"/>
      <c r="AR473" s="17"/>
      <c r="AS473" s="1"/>
      <c r="AT473" s="17"/>
      <c r="AU473" s="1"/>
      <c r="AV473" s="17"/>
      <c r="AW473" s="1"/>
      <c r="AX473" s="2"/>
      <c r="AY473" s="1"/>
      <c r="AZ473" s="1"/>
    </row>
    <row x14ac:dyDescent="0.25" r="474" customHeight="1" ht="15">
      <c r="A474" s="1"/>
      <c r="B474" s="1"/>
      <c r="C474" s="1"/>
      <c r="D474" s="1"/>
      <c r="E474" s="1"/>
      <c r="F474" s="1"/>
      <c r="G474" s="1"/>
      <c r="H474" s="1"/>
      <c r="I474" s="1"/>
      <c r="J474" s="1"/>
      <c r="K474" s="17"/>
      <c r="L474" s="1"/>
      <c r="M474" s="1"/>
      <c r="N474" s="2"/>
      <c r="O474" s="2"/>
      <c r="P474" s="17"/>
      <c r="Q474" s="1"/>
      <c r="R474" s="1"/>
      <c r="S474" s="1"/>
      <c r="T474" s="38"/>
      <c r="U474" s="38"/>
      <c r="V474" s="38"/>
      <c r="W474" s="38"/>
      <c r="X474" s="38"/>
      <c r="Y474" s="38"/>
      <c r="Z474" s="38"/>
      <c r="AA474" s="122"/>
      <c r="AB474" s="122"/>
      <c r="AC474" s="122"/>
      <c r="AD474" s="122"/>
      <c r="AE474" s="122"/>
      <c r="AF474" s="122"/>
      <c r="AG474" s="122"/>
      <c r="AH474" s="122"/>
      <c r="AI474" s="122"/>
      <c r="AJ474" s="38"/>
      <c r="AK474" s="122"/>
      <c r="AL474" s="122"/>
      <c r="AM474" s="122"/>
      <c r="AN474" s="122"/>
      <c r="AO474" s="38"/>
      <c r="AP474" s="38"/>
      <c r="AQ474" s="38"/>
      <c r="AR474" s="17"/>
      <c r="AS474" s="1"/>
      <c r="AT474" s="17"/>
      <c r="AU474" s="1"/>
      <c r="AV474" s="17"/>
      <c r="AW474" s="1"/>
      <c r="AX474" s="2"/>
      <c r="AY474" s="1"/>
      <c r="AZ474" s="1"/>
    </row>
    <row x14ac:dyDescent="0.25" r="475" customHeight="1" ht="15">
      <c r="A475" s="1"/>
      <c r="B475" s="1"/>
      <c r="C475" s="1"/>
      <c r="D475" s="1"/>
      <c r="E475" s="1"/>
      <c r="F475" s="1"/>
      <c r="G475" s="1"/>
      <c r="H475" s="1"/>
      <c r="I475" s="1"/>
      <c r="J475" s="1"/>
      <c r="K475" s="17"/>
      <c r="L475" s="1"/>
      <c r="M475" s="1"/>
      <c r="N475" s="2"/>
      <c r="O475" s="2"/>
      <c r="P475" s="17"/>
      <c r="Q475" s="1"/>
      <c r="R475" s="1"/>
      <c r="S475" s="1"/>
      <c r="T475" s="38"/>
      <c r="U475" s="38"/>
      <c r="V475" s="38"/>
      <c r="W475" s="38"/>
      <c r="X475" s="38"/>
      <c r="Y475" s="38"/>
      <c r="Z475" s="38"/>
      <c r="AA475" s="122"/>
      <c r="AB475" s="122"/>
      <c r="AC475" s="122"/>
      <c r="AD475" s="122"/>
      <c r="AE475" s="122"/>
      <c r="AF475" s="122"/>
      <c r="AG475" s="122"/>
      <c r="AH475" s="122"/>
      <c r="AI475" s="122"/>
      <c r="AJ475" s="38"/>
      <c r="AK475" s="122"/>
      <c r="AL475" s="122"/>
      <c r="AM475" s="122"/>
      <c r="AN475" s="122"/>
      <c r="AO475" s="38"/>
      <c r="AP475" s="38"/>
      <c r="AQ475" s="38"/>
      <c r="AR475" s="17"/>
      <c r="AS475" s="1"/>
      <c r="AT475" s="17"/>
      <c r="AU475" s="1"/>
      <c r="AV475" s="17"/>
      <c r="AW475" s="1"/>
      <c r="AX475" s="2"/>
      <c r="AY475" s="1"/>
      <c r="AZ475" s="1"/>
    </row>
    <row x14ac:dyDescent="0.25" r="476" customHeight="1" ht="15">
      <c r="A476" s="1"/>
      <c r="B476" s="1"/>
      <c r="C476" s="1"/>
      <c r="D476" s="1"/>
      <c r="E476" s="1"/>
      <c r="F476" s="1"/>
      <c r="G476" s="1"/>
      <c r="H476" s="1"/>
      <c r="I476" s="1"/>
      <c r="J476" s="1"/>
      <c r="K476" s="17"/>
      <c r="L476" s="1"/>
      <c r="M476" s="1"/>
      <c r="N476" s="2"/>
      <c r="O476" s="2"/>
      <c r="P476" s="17"/>
      <c r="Q476" s="1"/>
      <c r="R476" s="1"/>
      <c r="S476" s="1"/>
      <c r="T476" s="38"/>
      <c r="U476" s="38"/>
      <c r="V476" s="38"/>
      <c r="W476" s="38"/>
      <c r="X476" s="38"/>
      <c r="Y476" s="38"/>
      <c r="Z476" s="38"/>
      <c r="AA476" s="122"/>
      <c r="AB476" s="122"/>
      <c r="AC476" s="122"/>
      <c r="AD476" s="122"/>
      <c r="AE476" s="122"/>
      <c r="AF476" s="122"/>
      <c r="AG476" s="122"/>
      <c r="AH476" s="122"/>
      <c r="AI476" s="122"/>
      <c r="AJ476" s="38"/>
      <c r="AK476" s="122"/>
      <c r="AL476" s="122"/>
      <c r="AM476" s="122"/>
      <c r="AN476" s="122"/>
      <c r="AO476" s="38"/>
      <c r="AP476" s="38"/>
      <c r="AQ476" s="38"/>
      <c r="AR476" s="17"/>
      <c r="AS476" s="1"/>
      <c r="AT476" s="17"/>
      <c r="AU476" s="1"/>
      <c r="AV476" s="17"/>
      <c r="AW476" s="1"/>
      <c r="AX476" s="2"/>
      <c r="AY476" s="1"/>
      <c r="AZ476" s="1"/>
    </row>
    <row x14ac:dyDescent="0.25" r="477" customHeight="1" ht="15">
      <c r="A477" s="1"/>
      <c r="B477" s="1"/>
      <c r="C477" s="1"/>
      <c r="D477" s="1"/>
      <c r="E477" s="1"/>
      <c r="F477" s="1"/>
      <c r="G477" s="1"/>
      <c r="H477" s="1"/>
      <c r="I477" s="1"/>
      <c r="J477" s="1"/>
      <c r="K477" s="17"/>
      <c r="L477" s="1"/>
      <c r="M477" s="1"/>
      <c r="N477" s="2"/>
      <c r="O477" s="2"/>
      <c r="P477" s="17"/>
      <c r="Q477" s="1"/>
      <c r="R477" s="1"/>
      <c r="S477" s="1"/>
      <c r="T477" s="38"/>
      <c r="U477" s="38"/>
      <c r="V477" s="38"/>
      <c r="W477" s="38"/>
      <c r="X477" s="38"/>
      <c r="Y477" s="38"/>
      <c r="Z477" s="38"/>
      <c r="AA477" s="122"/>
      <c r="AB477" s="122"/>
      <c r="AC477" s="122"/>
      <c r="AD477" s="122"/>
      <c r="AE477" s="122"/>
      <c r="AF477" s="122"/>
      <c r="AG477" s="122"/>
      <c r="AH477" s="122"/>
      <c r="AI477" s="122"/>
      <c r="AJ477" s="38"/>
      <c r="AK477" s="122"/>
      <c r="AL477" s="122"/>
      <c r="AM477" s="122"/>
      <c r="AN477" s="122"/>
      <c r="AO477" s="38"/>
      <c r="AP477" s="38"/>
      <c r="AQ477" s="38"/>
      <c r="AR477" s="17"/>
      <c r="AS477" s="1"/>
      <c r="AT477" s="17"/>
      <c r="AU477" s="1"/>
      <c r="AV477" s="17"/>
      <c r="AW477" s="1"/>
      <c r="AX477" s="2"/>
      <c r="AY477" s="1"/>
      <c r="AZ477" s="1"/>
    </row>
    <row x14ac:dyDescent="0.25" r="478" customHeight="1" ht="15">
      <c r="A478" s="1"/>
      <c r="B478" s="1"/>
      <c r="C478" s="1"/>
      <c r="D478" s="1"/>
      <c r="E478" s="1"/>
      <c r="F478" s="1"/>
      <c r="G478" s="1"/>
      <c r="H478" s="1"/>
      <c r="I478" s="1"/>
      <c r="J478" s="1"/>
      <c r="K478" s="17"/>
      <c r="L478" s="1"/>
      <c r="M478" s="1"/>
      <c r="N478" s="2"/>
      <c r="O478" s="2"/>
      <c r="P478" s="17"/>
      <c r="Q478" s="1"/>
      <c r="R478" s="1"/>
      <c r="S478" s="1"/>
      <c r="T478" s="38"/>
      <c r="U478" s="38"/>
      <c r="V478" s="38"/>
      <c r="W478" s="38"/>
      <c r="X478" s="38"/>
      <c r="Y478" s="38"/>
      <c r="Z478" s="38"/>
      <c r="AA478" s="122"/>
      <c r="AB478" s="122"/>
      <c r="AC478" s="122"/>
      <c r="AD478" s="122"/>
      <c r="AE478" s="122"/>
      <c r="AF478" s="122"/>
      <c r="AG478" s="122"/>
      <c r="AH478" s="122"/>
      <c r="AI478" s="122"/>
      <c r="AJ478" s="38"/>
      <c r="AK478" s="122"/>
      <c r="AL478" s="122"/>
      <c r="AM478" s="122"/>
      <c r="AN478" s="122"/>
      <c r="AO478" s="38"/>
      <c r="AP478" s="38"/>
      <c r="AQ478" s="38"/>
      <c r="AR478" s="17"/>
      <c r="AS478" s="1"/>
      <c r="AT478" s="17"/>
      <c r="AU478" s="1"/>
      <c r="AV478" s="17"/>
      <c r="AW478" s="1"/>
      <c r="AX478" s="2"/>
      <c r="AY478" s="1"/>
      <c r="AZ478" s="1"/>
    </row>
    <row x14ac:dyDescent="0.25" r="479" customHeight="1" ht="15">
      <c r="A479" s="1"/>
      <c r="B479" s="1"/>
      <c r="C479" s="1"/>
      <c r="D479" s="1"/>
      <c r="E479" s="1"/>
      <c r="F479" s="1"/>
      <c r="G479" s="1"/>
      <c r="H479" s="1"/>
      <c r="I479" s="1"/>
      <c r="J479" s="1"/>
      <c r="K479" s="17"/>
      <c r="L479" s="1"/>
      <c r="M479" s="1"/>
      <c r="N479" s="2"/>
      <c r="O479" s="2"/>
      <c r="P479" s="17"/>
      <c r="Q479" s="1"/>
      <c r="R479" s="1"/>
      <c r="S479" s="1"/>
      <c r="T479" s="38"/>
      <c r="U479" s="38"/>
      <c r="V479" s="38"/>
      <c r="W479" s="38"/>
      <c r="X479" s="38"/>
      <c r="Y479" s="38"/>
      <c r="Z479" s="38"/>
      <c r="AA479" s="122"/>
      <c r="AB479" s="122"/>
      <c r="AC479" s="122"/>
      <c r="AD479" s="122"/>
      <c r="AE479" s="122"/>
      <c r="AF479" s="122"/>
      <c r="AG479" s="122"/>
      <c r="AH479" s="122"/>
      <c r="AI479" s="122"/>
      <c r="AJ479" s="38"/>
      <c r="AK479" s="122"/>
      <c r="AL479" s="122"/>
      <c r="AM479" s="122"/>
      <c r="AN479" s="122"/>
      <c r="AO479" s="38"/>
      <c r="AP479" s="38"/>
      <c r="AQ479" s="38"/>
      <c r="AR479" s="17"/>
      <c r="AS479" s="1"/>
      <c r="AT479" s="17"/>
      <c r="AU479" s="1"/>
      <c r="AV479" s="17"/>
      <c r="AW479" s="1"/>
      <c r="AX479" s="2"/>
      <c r="AY479" s="1"/>
      <c r="AZ479" s="1"/>
    </row>
    <row x14ac:dyDescent="0.25" r="480" customHeight="1" ht="15">
      <c r="A480" s="1"/>
      <c r="B480" s="1"/>
      <c r="C480" s="1"/>
      <c r="D480" s="1"/>
      <c r="E480" s="1"/>
      <c r="F480" s="1"/>
      <c r="G480" s="1"/>
      <c r="H480" s="1"/>
      <c r="I480" s="1"/>
      <c r="J480" s="1"/>
      <c r="K480" s="17"/>
      <c r="L480" s="1"/>
      <c r="M480" s="1"/>
      <c r="N480" s="2"/>
      <c r="O480" s="2"/>
      <c r="P480" s="17"/>
      <c r="Q480" s="1"/>
      <c r="R480" s="1"/>
      <c r="S480" s="1"/>
      <c r="T480" s="38"/>
      <c r="U480" s="38"/>
      <c r="V480" s="38"/>
      <c r="W480" s="38"/>
      <c r="X480" s="38"/>
      <c r="Y480" s="38"/>
      <c r="Z480" s="38"/>
      <c r="AA480" s="122"/>
      <c r="AB480" s="122"/>
      <c r="AC480" s="122"/>
      <c r="AD480" s="122"/>
      <c r="AE480" s="122"/>
      <c r="AF480" s="122"/>
      <c r="AG480" s="122"/>
      <c r="AH480" s="122"/>
      <c r="AI480" s="122"/>
      <c r="AJ480" s="38"/>
      <c r="AK480" s="122"/>
      <c r="AL480" s="122"/>
      <c r="AM480" s="122"/>
      <c r="AN480" s="122"/>
      <c r="AO480" s="38"/>
      <c r="AP480" s="38"/>
      <c r="AQ480" s="38"/>
      <c r="AR480" s="17"/>
      <c r="AS480" s="1"/>
      <c r="AT480" s="17"/>
      <c r="AU480" s="1"/>
      <c r="AV480" s="17"/>
      <c r="AW480" s="1"/>
      <c r="AX480" s="2"/>
      <c r="AY480" s="1"/>
      <c r="AZ480" s="1"/>
    </row>
    <row x14ac:dyDescent="0.25" r="481" customHeight="1" ht="15">
      <c r="A481" s="1"/>
      <c r="B481" s="1"/>
      <c r="C481" s="1"/>
      <c r="D481" s="1"/>
      <c r="E481" s="1"/>
      <c r="F481" s="1"/>
      <c r="G481" s="1"/>
      <c r="H481" s="1"/>
      <c r="I481" s="1"/>
      <c r="J481" s="1"/>
      <c r="K481" s="17"/>
      <c r="L481" s="1"/>
      <c r="M481" s="1"/>
      <c r="N481" s="2"/>
      <c r="O481" s="2"/>
      <c r="P481" s="17"/>
      <c r="Q481" s="1"/>
      <c r="R481" s="1"/>
      <c r="S481" s="1"/>
      <c r="T481" s="38"/>
      <c r="U481" s="38"/>
      <c r="V481" s="38"/>
      <c r="W481" s="38"/>
      <c r="X481" s="38"/>
      <c r="Y481" s="38"/>
      <c r="Z481" s="38"/>
      <c r="AA481" s="122"/>
      <c r="AB481" s="122"/>
      <c r="AC481" s="122"/>
      <c r="AD481" s="122"/>
      <c r="AE481" s="122"/>
      <c r="AF481" s="122"/>
      <c r="AG481" s="122"/>
      <c r="AH481" s="122"/>
      <c r="AI481" s="122"/>
      <c r="AJ481" s="38"/>
      <c r="AK481" s="122"/>
      <c r="AL481" s="122"/>
      <c r="AM481" s="122"/>
      <c r="AN481" s="122"/>
      <c r="AO481" s="38"/>
      <c r="AP481" s="38"/>
      <c r="AQ481" s="38"/>
      <c r="AR481" s="17"/>
      <c r="AS481" s="1"/>
      <c r="AT481" s="17"/>
      <c r="AU481" s="1"/>
      <c r="AV481" s="17"/>
      <c r="AW481" s="1"/>
      <c r="AX481" s="2"/>
      <c r="AY481" s="1"/>
      <c r="AZ481" s="1"/>
    </row>
    <row x14ac:dyDescent="0.25" r="482" customHeight="1" ht="15">
      <c r="A482" s="1"/>
      <c r="B482" s="1"/>
      <c r="C482" s="1"/>
      <c r="D482" s="1"/>
      <c r="E482" s="1"/>
      <c r="F482" s="1"/>
      <c r="G482" s="1"/>
      <c r="H482" s="1"/>
      <c r="I482" s="1"/>
      <c r="J482" s="1"/>
      <c r="K482" s="17"/>
      <c r="L482" s="1"/>
      <c r="M482" s="1"/>
      <c r="N482" s="2"/>
      <c r="O482" s="2"/>
      <c r="P482" s="17"/>
      <c r="Q482" s="1"/>
      <c r="R482" s="1"/>
      <c r="S482" s="1"/>
      <c r="T482" s="38"/>
      <c r="U482" s="38"/>
      <c r="V482" s="38"/>
      <c r="W482" s="38"/>
      <c r="X482" s="38"/>
      <c r="Y482" s="38"/>
      <c r="Z482" s="38"/>
      <c r="AA482" s="122"/>
      <c r="AB482" s="122"/>
      <c r="AC482" s="122"/>
      <c r="AD482" s="122"/>
      <c r="AE482" s="122"/>
      <c r="AF482" s="122"/>
      <c r="AG482" s="122"/>
      <c r="AH482" s="122"/>
      <c r="AI482" s="122"/>
      <c r="AJ482" s="38"/>
      <c r="AK482" s="122"/>
      <c r="AL482" s="122"/>
      <c r="AM482" s="122"/>
      <c r="AN482" s="122"/>
      <c r="AO482" s="38"/>
      <c r="AP482" s="38"/>
      <c r="AQ482" s="38"/>
      <c r="AR482" s="17"/>
      <c r="AS482" s="1"/>
      <c r="AT482" s="17"/>
      <c r="AU482" s="1"/>
      <c r="AV482" s="17"/>
      <c r="AW482" s="1"/>
      <c r="AX482" s="2"/>
      <c r="AY482" s="1"/>
      <c r="AZ482" s="1"/>
    </row>
    <row x14ac:dyDescent="0.25" r="483" customHeight="1" ht="15">
      <c r="A483" s="1"/>
      <c r="B483" s="1"/>
      <c r="C483" s="1"/>
      <c r="D483" s="1"/>
      <c r="E483" s="1"/>
      <c r="F483" s="1"/>
      <c r="G483" s="1"/>
      <c r="H483" s="1"/>
      <c r="I483" s="1"/>
      <c r="J483" s="1"/>
      <c r="K483" s="17"/>
      <c r="L483" s="1"/>
      <c r="M483" s="1"/>
      <c r="N483" s="2"/>
      <c r="O483" s="2"/>
      <c r="P483" s="17"/>
      <c r="Q483" s="1"/>
      <c r="R483" s="1"/>
      <c r="S483" s="1"/>
      <c r="T483" s="38"/>
      <c r="U483" s="38"/>
      <c r="V483" s="38"/>
      <c r="W483" s="38"/>
      <c r="X483" s="38"/>
      <c r="Y483" s="38"/>
      <c r="Z483" s="38"/>
      <c r="AA483" s="122"/>
      <c r="AB483" s="122"/>
      <c r="AC483" s="122"/>
      <c r="AD483" s="122"/>
      <c r="AE483" s="122"/>
      <c r="AF483" s="122"/>
      <c r="AG483" s="122"/>
      <c r="AH483" s="122"/>
      <c r="AI483" s="122"/>
      <c r="AJ483" s="38"/>
      <c r="AK483" s="122"/>
      <c r="AL483" s="122"/>
      <c r="AM483" s="122"/>
      <c r="AN483" s="122"/>
      <c r="AO483" s="38"/>
      <c r="AP483" s="38"/>
      <c r="AQ483" s="38"/>
      <c r="AR483" s="17"/>
      <c r="AS483" s="1"/>
      <c r="AT483" s="17"/>
      <c r="AU483" s="1"/>
      <c r="AV483" s="17"/>
      <c r="AW483" s="1"/>
      <c r="AX483" s="2"/>
      <c r="AY483" s="1"/>
      <c r="AZ483" s="1"/>
    </row>
    <row x14ac:dyDescent="0.25" r="484" customHeight="1" ht="15">
      <c r="A484" s="1"/>
      <c r="B484" s="1"/>
      <c r="C484" s="1"/>
      <c r="D484" s="1"/>
      <c r="E484" s="1"/>
      <c r="F484" s="1"/>
      <c r="G484" s="1"/>
      <c r="H484" s="1"/>
      <c r="I484" s="1"/>
      <c r="J484" s="1"/>
      <c r="K484" s="17"/>
      <c r="L484" s="1"/>
      <c r="M484" s="1"/>
      <c r="N484" s="2"/>
      <c r="O484" s="2"/>
      <c r="P484" s="17"/>
      <c r="Q484" s="1"/>
      <c r="R484" s="1"/>
      <c r="S484" s="1"/>
      <c r="T484" s="38"/>
      <c r="U484" s="38"/>
      <c r="V484" s="38"/>
      <c r="W484" s="38"/>
      <c r="X484" s="38"/>
      <c r="Y484" s="38"/>
      <c r="Z484" s="38"/>
      <c r="AA484" s="122"/>
      <c r="AB484" s="122"/>
      <c r="AC484" s="122"/>
      <c r="AD484" s="122"/>
      <c r="AE484" s="122"/>
      <c r="AF484" s="122"/>
      <c r="AG484" s="122"/>
      <c r="AH484" s="122"/>
      <c r="AI484" s="122"/>
      <c r="AJ484" s="38"/>
      <c r="AK484" s="122"/>
      <c r="AL484" s="122"/>
      <c r="AM484" s="122"/>
      <c r="AN484" s="122"/>
      <c r="AO484" s="38"/>
      <c r="AP484" s="38"/>
      <c r="AQ484" s="38"/>
      <c r="AR484" s="17"/>
      <c r="AS484" s="1"/>
      <c r="AT484" s="17"/>
      <c r="AU484" s="1"/>
      <c r="AV484" s="17"/>
      <c r="AW484" s="1"/>
      <c r="AX484" s="2"/>
      <c r="AY484" s="1"/>
      <c r="AZ484" s="1"/>
    </row>
    <row x14ac:dyDescent="0.25" r="485" customHeight="1" ht="15">
      <c r="A485" s="1"/>
      <c r="B485" s="1"/>
      <c r="C485" s="1"/>
      <c r="D485" s="1"/>
      <c r="E485" s="1"/>
      <c r="F485" s="1"/>
      <c r="G485" s="1"/>
      <c r="H485" s="1"/>
      <c r="I485" s="1"/>
      <c r="J485" s="1"/>
      <c r="K485" s="17"/>
      <c r="L485" s="1"/>
      <c r="M485" s="1"/>
      <c r="N485" s="2"/>
      <c r="O485" s="2"/>
      <c r="P485" s="17"/>
      <c r="Q485" s="1"/>
      <c r="R485" s="1"/>
      <c r="S485" s="1"/>
      <c r="T485" s="38"/>
      <c r="U485" s="38"/>
      <c r="V485" s="38"/>
      <c r="W485" s="38"/>
      <c r="X485" s="38"/>
      <c r="Y485" s="38"/>
      <c r="Z485" s="38"/>
      <c r="AA485" s="122"/>
      <c r="AB485" s="122"/>
      <c r="AC485" s="122"/>
      <c r="AD485" s="122"/>
      <c r="AE485" s="122"/>
      <c r="AF485" s="122"/>
      <c r="AG485" s="122"/>
      <c r="AH485" s="122"/>
      <c r="AI485" s="122"/>
      <c r="AJ485" s="38"/>
      <c r="AK485" s="122"/>
      <c r="AL485" s="122"/>
      <c r="AM485" s="122"/>
      <c r="AN485" s="122"/>
      <c r="AO485" s="38"/>
      <c r="AP485" s="38"/>
      <c r="AQ485" s="38"/>
      <c r="AR485" s="17"/>
      <c r="AS485" s="1"/>
      <c r="AT485" s="17"/>
      <c r="AU485" s="1"/>
      <c r="AV485" s="17"/>
      <c r="AW485" s="1"/>
      <c r="AX485" s="2"/>
      <c r="AY485" s="1"/>
      <c r="AZ485" s="1"/>
    </row>
    <row x14ac:dyDescent="0.25" r="486" customHeight="1" ht="15">
      <c r="A486" s="1"/>
      <c r="B486" s="1"/>
      <c r="C486" s="1"/>
      <c r="D486" s="1"/>
      <c r="E486" s="1"/>
      <c r="F486" s="1"/>
      <c r="G486" s="1"/>
      <c r="H486" s="1"/>
      <c r="I486" s="1"/>
      <c r="J486" s="1"/>
      <c r="K486" s="17"/>
      <c r="L486" s="1"/>
      <c r="M486" s="1"/>
      <c r="N486" s="2"/>
      <c r="O486" s="2"/>
      <c r="P486" s="17"/>
      <c r="Q486" s="1"/>
      <c r="R486" s="1"/>
      <c r="S486" s="1"/>
      <c r="T486" s="38"/>
      <c r="U486" s="38"/>
      <c r="V486" s="38"/>
      <c r="W486" s="38"/>
      <c r="X486" s="38"/>
      <c r="Y486" s="38"/>
      <c r="Z486" s="38"/>
      <c r="AA486" s="122"/>
      <c r="AB486" s="122"/>
      <c r="AC486" s="122"/>
      <c r="AD486" s="122"/>
      <c r="AE486" s="122"/>
      <c r="AF486" s="122"/>
      <c r="AG486" s="122"/>
      <c r="AH486" s="122"/>
      <c r="AI486" s="122"/>
      <c r="AJ486" s="38"/>
      <c r="AK486" s="122"/>
      <c r="AL486" s="122"/>
      <c r="AM486" s="122"/>
      <c r="AN486" s="122"/>
      <c r="AO486" s="38"/>
      <c r="AP486" s="38"/>
      <c r="AQ486" s="38"/>
      <c r="AR486" s="17"/>
      <c r="AS486" s="1"/>
      <c r="AT486" s="17"/>
      <c r="AU486" s="1"/>
      <c r="AV486" s="17"/>
      <c r="AW486" s="1"/>
      <c r="AX486" s="2"/>
      <c r="AY486" s="1"/>
      <c r="AZ486" s="1"/>
    </row>
    <row x14ac:dyDescent="0.25" r="487" customHeight="1" ht="15">
      <c r="A487" s="1"/>
      <c r="B487" s="1"/>
      <c r="C487" s="1"/>
      <c r="D487" s="1"/>
      <c r="E487" s="1"/>
      <c r="F487" s="1"/>
      <c r="G487" s="1"/>
      <c r="H487" s="1"/>
      <c r="I487" s="1"/>
      <c r="J487" s="1"/>
      <c r="K487" s="17"/>
      <c r="L487" s="1"/>
      <c r="M487" s="1"/>
      <c r="N487" s="2"/>
      <c r="O487" s="2"/>
      <c r="P487" s="17"/>
      <c r="Q487" s="1"/>
      <c r="R487" s="1"/>
      <c r="S487" s="1"/>
      <c r="T487" s="38"/>
      <c r="U487" s="38"/>
      <c r="V487" s="38"/>
      <c r="W487" s="38"/>
      <c r="X487" s="38"/>
      <c r="Y487" s="38"/>
      <c r="Z487" s="38"/>
      <c r="AA487" s="122"/>
      <c r="AB487" s="122"/>
      <c r="AC487" s="122"/>
      <c r="AD487" s="122"/>
      <c r="AE487" s="122"/>
      <c r="AF487" s="122"/>
      <c r="AG487" s="122"/>
      <c r="AH487" s="122"/>
      <c r="AI487" s="122"/>
      <c r="AJ487" s="38"/>
      <c r="AK487" s="122"/>
      <c r="AL487" s="122"/>
      <c r="AM487" s="122"/>
      <c r="AN487" s="122"/>
      <c r="AO487" s="38"/>
      <c r="AP487" s="38"/>
      <c r="AQ487" s="38"/>
      <c r="AR487" s="17"/>
      <c r="AS487" s="1"/>
      <c r="AT487" s="17"/>
      <c r="AU487" s="1"/>
      <c r="AV487" s="17"/>
      <c r="AW487" s="1"/>
      <c r="AX487" s="2"/>
      <c r="AY487" s="1"/>
      <c r="AZ487" s="1"/>
    </row>
    <row x14ac:dyDescent="0.25" r="488" customHeight="1" ht="15">
      <c r="A488" s="1"/>
      <c r="B488" s="1"/>
      <c r="C488" s="1"/>
      <c r="D488" s="1"/>
      <c r="E488" s="1"/>
      <c r="F488" s="1"/>
      <c r="G488" s="1"/>
      <c r="H488" s="1"/>
      <c r="I488" s="1"/>
      <c r="J488" s="1"/>
      <c r="K488" s="17"/>
      <c r="L488" s="1"/>
      <c r="M488" s="1"/>
      <c r="N488" s="2"/>
      <c r="O488" s="2"/>
      <c r="P488" s="17"/>
      <c r="Q488" s="1"/>
      <c r="R488" s="1"/>
      <c r="S488" s="1"/>
      <c r="T488" s="38"/>
      <c r="U488" s="38"/>
      <c r="V488" s="38"/>
      <c r="W488" s="38"/>
      <c r="X488" s="38"/>
      <c r="Y488" s="38"/>
      <c r="Z488" s="38"/>
      <c r="AA488" s="122"/>
      <c r="AB488" s="122"/>
      <c r="AC488" s="122"/>
      <c r="AD488" s="122"/>
      <c r="AE488" s="122"/>
      <c r="AF488" s="122"/>
      <c r="AG488" s="122"/>
      <c r="AH488" s="122"/>
      <c r="AI488" s="122"/>
      <c r="AJ488" s="38"/>
      <c r="AK488" s="122"/>
      <c r="AL488" s="122"/>
      <c r="AM488" s="122"/>
      <c r="AN488" s="122"/>
      <c r="AO488" s="38"/>
      <c r="AP488" s="38"/>
      <c r="AQ488" s="38"/>
      <c r="AR488" s="17"/>
      <c r="AS488" s="1"/>
      <c r="AT488" s="17"/>
      <c r="AU488" s="1"/>
      <c r="AV488" s="17"/>
      <c r="AW488" s="1"/>
      <c r="AX488" s="2"/>
      <c r="AY488" s="1"/>
      <c r="AZ488" s="1"/>
    </row>
    <row x14ac:dyDescent="0.25" r="489" customHeight="1" ht="15">
      <c r="A489" s="1"/>
      <c r="B489" s="1"/>
      <c r="C489" s="1"/>
      <c r="D489" s="1"/>
      <c r="E489" s="1"/>
      <c r="F489" s="1"/>
      <c r="G489" s="1"/>
      <c r="H489" s="1"/>
      <c r="I489" s="1"/>
      <c r="J489" s="1"/>
      <c r="K489" s="17"/>
      <c r="L489" s="1"/>
      <c r="M489" s="1"/>
      <c r="N489" s="2"/>
      <c r="O489" s="2"/>
      <c r="P489" s="17"/>
      <c r="Q489" s="1"/>
      <c r="R489" s="1"/>
      <c r="S489" s="1"/>
      <c r="T489" s="38"/>
      <c r="U489" s="38"/>
      <c r="V489" s="38"/>
      <c r="W489" s="38"/>
      <c r="X489" s="38"/>
      <c r="Y489" s="38"/>
      <c r="Z489" s="38"/>
      <c r="AA489" s="122"/>
      <c r="AB489" s="122"/>
      <c r="AC489" s="122"/>
      <c r="AD489" s="122"/>
      <c r="AE489" s="122"/>
      <c r="AF489" s="122"/>
      <c r="AG489" s="122"/>
      <c r="AH489" s="122"/>
      <c r="AI489" s="122"/>
      <c r="AJ489" s="38"/>
      <c r="AK489" s="122"/>
      <c r="AL489" s="122"/>
      <c r="AM489" s="122"/>
      <c r="AN489" s="122"/>
      <c r="AO489" s="38"/>
      <c r="AP489" s="38"/>
      <c r="AQ489" s="38"/>
      <c r="AR489" s="17"/>
      <c r="AS489" s="1"/>
      <c r="AT489" s="17"/>
      <c r="AU489" s="1"/>
      <c r="AV489" s="17"/>
      <c r="AW489" s="1"/>
      <c r="AX489" s="2"/>
      <c r="AY489" s="1"/>
      <c r="AZ489" s="1"/>
    </row>
    <row x14ac:dyDescent="0.25" r="490" customHeight="1" ht="15">
      <c r="A490" s="1"/>
      <c r="B490" s="1"/>
      <c r="C490" s="1"/>
      <c r="D490" s="1"/>
      <c r="E490" s="1"/>
      <c r="F490" s="1"/>
      <c r="G490" s="1"/>
      <c r="H490" s="1"/>
      <c r="I490" s="1"/>
      <c r="J490" s="1"/>
      <c r="K490" s="17"/>
      <c r="L490" s="1"/>
      <c r="M490" s="1"/>
      <c r="N490" s="2"/>
      <c r="O490" s="2"/>
      <c r="P490" s="17"/>
      <c r="Q490" s="1"/>
      <c r="R490" s="1"/>
      <c r="S490" s="1"/>
      <c r="T490" s="38"/>
      <c r="U490" s="38"/>
      <c r="V490" s="38"/>
      <c r="W490" s="38"/>
      <c r="X490" s="38"/>
      <c r="Y490" s="38"/>
      <c r="Z490" s="38"/>
      <c r="AA490" s="122"/>
      <c r="AB490" s="122"/>
      <c r="AC490" s="122"/>
      <c r="AD490" s="122"/>
      <c r="AE490" s="122"/>
      <c r="AF490" s="122"/>
      <c r="AG490" s="122"/>
      <c r="AH490" s="122"/>
      <c r="AI490" s="122"/>
      <c r="AJ490" s="38"/>
      <c r="AK490" s="122"/>
      <c r="AL490" s="122"/>
      <c r="AM490" s="122"/>
      <c r="AN490" s="122"/>
      <c r="AO490" s="38"/>
      <c r="AP490" s="38"/>
      <c r="AQ490" s="38"/>
      <c r="AR490" s="17"/>
      <c r="AS490" s="1"/>
      <c r="AT490" s="17"/>
      <c r="AU490" s="1"/>
      <c r="AV490" s="17"/>
      <c r="AW490" s="1"/>
      <c r="AX490" s="2"/>
      <c r="AY490" s="1"/>
      <c r="AZ490" s="1"/>
    </row>
    <row x14ac:dyDescent="0.25" r="491" customHeight="1" ht="15">
      <c r="A491" s="1"/>
      <c r="B491" s="1"/>
      <c r="C491" s="1"/>
      <c r="D491" s="1"/>
      <c r="E491" s="1"/>
      <c r="F491" s="1"/>
      <c r="G491" s="1"/>
      <c r="H491" s="1"/>
      <c r="I491" s="1"/>
      <c r="J491" s="1"/>
      <c r="K491" s="17"/>
      <c r="L491" s="1"/>
      <c r="M491" s="1"/>
      <c r="N491" s="2"/>
      <c r="O491" s="2"/>
      <c r="P491" s="17"/>
      <c r="Q491" s="1"/>
      <c r="R491" s="1"/>
      <c r="S491" s="1"/>
      <c r="T491" s="38"/>
      <c r="U491" s="38"/>
      <c r="V491" s="38"/>
      <c r="W491" s="38"/>
      <c r="X491" s="38"/>
      <c r="Y491" s="38"/>
      <c r="Z491" s="38"/>
      <c r="AA491" s="122"/>
      <c r="AB491" s="122"/>
      <c r="AC491" s="122"/>
      <c r="AD491" s="122"/>
      <c r="AE491" s="122"/>
      <c r="AF491" s="122"/>
      <c r="AG491" s="122"/>
      <c r="AH491" s="122"/>
      <c r="AI491" s="122"/>
      <c r="AJ491" s="38"/>
      <c r="AK491" s="122"/>
      <c r="AL491" s="122"/>
      <c r="AM491" s="122"/>
      <c r="AN491" s="122"/>
      <c r="AO491" s="38"/>
      <c r="AP491" s="38"/>
      <c r="AQ491" s="38"/>
      <c r="AR491" s="17"/>
      <c r="AS491" s="1"/>
      <c r="AT491" s="17"/>
      <c r="AU491" s="1"/>
      <c r="AV491" s="17"/>
      <c r="AW491" s="1"/>
      <c r="AX491" s="2"/>
      <c r="AY491" s="1"/>
      <c r="AZ491" s="1"/>
    </row>
    <row x14ac:dyDescent="0.25" r="492" customHeight="1" ht="15">
      <c r="A492" s="1"/>
      <c r="B492" s="1"/>
      <c r="C492" s="1"/>
      <c r="D492" s="1"/>
      <c r="E492" s="1"/>
      <c r="F492" s="1"/>
      <c r="G492" s="1"/>
      <c r="H492" s="1"/>
      <c r="I492" s="1"/>
      <c r="J492" s="1"/>
      <c r="K492" s="17"/>
      <c r="L492" s="1"/>
      <c r="M492" s="1"/>
      <c r="N492" s="2"/>
      <c r="O492" s="2"/>
      <c r="P492" s="17"/>
      <c r="Q492" s="1"/>
      <c r="R492" s="1"/>
      <c r="S492" s="1"/>
      <c r="T492" s="38"/>
      <c r="U492" s="38"/>
      <c r="V492" s="38"/>
      <c r="W492" s="38"/>
      <c r="X492" s="38"/>
      <c r="Y492" s="38"/>
      <c r="Z492" s="38"/>
      <c r="AA492" s="122"/>
      <c r="AB492" s="122"/>
      <c r="AC492" s="122"/>
      <c r="AD492" s="122"/>
      <c r="AE492" s="122"/>
      <c r="AF492" s="122"/>
      <c r="AG492" s="122"/>
      <c r="AH492" s="122"/>
      <c r="AI492" s="122"/>
      <c r="AJ492" s="38"/>
      <c r="AK492" s="122"/>
      <c r="AL492" s="122"/>
      <c r="AM492" s="122"/>
      <c r="AN492" s="122"/>
      <c r="AO492" s="38"/>
      <c r="AP492" s="38"/>
      <c r="AQ492" s="38"/>
      <c r="AR492" s="17"/>
      <c r="AS492" s="1"/>
      <c r="AT492" s="17"/>
      <c r="AU492" s="1"/>
      <c r="AV492" s="17"/>
      <c r="AW492" s="1"/>
      <c r="AX492" s="2"/>
      <c r="AY492" s="1"/>
      <c r="AZ492" s="1"/>
    </row>
    <row x14ac:dyDescent="0.25" r="493" customHeight="1" ht="15">
      <c r="A493" s="1"/>
      <c r="B493" s="1"/>
      <c r="C493" s="1"/>
      <c r="D493" s="1"/>
      <c r="E493" s="1"/>
      <c r="F493" s="1"/>
      <c r="G493" s="1"/>
      <c r="H493" s="1"/>
      <c r="I493" s="1"/>
      <c r="J493" s="1"/>
      <c r="K493" s="17"/>
      <c r="L493" s="1"/>
      <c r="M493" s="1"/>
      <c r="N493" s="2"/>
      <c r="O493" s="2"/>
      <c r="P493" s="17"/>
      <c r="Q493" s="1"/>
      <c r="R493" s="1"/>
      <c r="S493" s="1"/>
      <c r="T493" s="38"/>
      <c r="U493" s="38"/>
      <c r="V493" s="38"/>
      <c r="W493" s="38"/>
      <c r="X493" s="38"/>
      <c r="Y493" s="38"/>
      <c r="Z493" s="38"/>
      <c r="AA493" s="122"/>
      <c r="AB493" s="122"/>
      <c r="AC493" s="122"/>
      <c r="AD493" s="122"/>
      <c r="AE493" s="122"/>
      <c r="AF493" s="122"/>
      <c r="AG493" s="122"/>
      <c r="AH493" s="122"/>
      <c r="AI493" s="122"/>
      <c r="AJ493" s="38"/>
      <c r="AK493" s="122"/>
      <c r="AL493" s="122"/>
      <c r="AM493" s="122"/>
      <c r="AN493" s="122"/>
      <c r="AO493" s="38"/>
      <c r="AP493" s="38"/>
      <c r="AQ493" s="38"/>
      <c r="AR493" s="17"/>
      <c r="AS493" s="1"/>
      <c r="AT493" s="17"/>
      <c r="AU493" s="1"/>
      <c r="AV493" s="17"/>
      <c r="AW493" s="1"/>
      <c r="AX493" s="2"/>
      <c r="AY493" s="1"/>
      <c r="AZ493" s="1"/>
    </row>
    <row x14ac:dyDescent="0.25" r="494" customHeight="1" ht="15">
      <c r="A494" s="1"/>
      <c r="B494" s="1"/>
      <c r="C494" s="1"/>
      <c r="D494" s="1"/>
      <c r="E494" s="1"/>
      <c r="F494" s="1"/>
      <c r="G494" s="1"/>
      <c r="H494" s="1"/>
      <c r="I494" s="1"/>
      <c r="J494" s="1"/>
      <c r="K494" s="17"/>
      <c r="L494" s="1"/>
      <c r="M494" s="1"/>
      <c r="N494" s="2"/>
      <c r="O494" s="2"/>
      <c r="P494" s="17"/>
      <c r="Q494" s="1"/>
      <c r="R494" s="1"/>
      <c r="S494" s="1"/>
      <c r="T494" s="38"/>
      <c r="U494" s="38"/>
      <c r="V494" s="38"/>
      <c r="W494" s="38"/>
      <c r="X494" s="38"/>
      <c r="Y494" s="38"/>
      <c r="Z494" s="38"/>
      <c r="AA494" s="122"/>
      <c r="AB494" s="122"/>
      <c r="AC494" s="122"/>
      <c r="AD494" s="122"/>
      <c r="AE494" s="122"/>
      <c r="AF494" s="122"/>
      <c r="AG494" s="122"/>
      <c r="AH494" s="122"/>
      <c r="AI494" s="122"/>
      <c r="AJ494" s="38"/>
      <c r="AK494" s="122"/>
      <c r="AL494" s="122"/>
      <c r="AM494" s="122"/>
      <c r="AN494" s="122"/>
      <c r="AO494" s="38"/>
      <c r="AP494" s="38"/>
      <c r="AQ494" s="38"/>
      <c r="AR494" s="17"/>
      <c r="AS494" s="1"/>
      <c r="AT494" s="17"/>
      <c r="AU494" s="1"/>
      <c r="AV494" s="17"/>
      <c r="AW494" s="1"/>
      <c r="AX494" s="2"/>
      <c r="AY494" s="1"/>
      <c r="AZ494" s="1"/>
    </row>
    <row x14ac:dyDescent="0.25" r="495" customHeight="1" ht="15">
      <c r="A495" s="1"/>
      <c r="B495" s="1"/>
      <c r="C495" s="1"/>
      <c r="D495" s="1"/>
      <c r="E495" s="1"/>
      <c r="F495" s="1"/>
      <c r="G495" s="1"/>
      <c r="H495" s="1"/>
      <c r="I495" s="1"/>
      <c r="J495" s="1"/>
      <c r="K495" s="17"/>
      <c r="L495" s="1"/>
      <c r="M495" s="1"/>
      <c r="N495" s="2"/>
      <c r="O495" s="2"/>
      <c r="P495" s="17"/>
      <c r="Q495" s="1"/>
      <c r="R495" s="1"/>
      <c r="S495" s="1"/>
      <c r="T495" s="38"/>
      <c r="U495" s="38"/>
      <c r="V495" s="38"/>
      <c r="W495" s="38"/>
      <c r="X495" s="38"/>
      <c r="Y495" s="38"/>
      <c r="Z495" s="38"/>
      <c r="AA495" s="122"/>
      <c r="AB495" s="122"/>
      <c r="AC495" s="122"/>
      <c r="AD495" s="122"/>
      <c r="AE495" s="122"/>
      <c r="AF495" s="122"/>
      <c r="AG495" s="122"/>
      <c r="AH495" s="122"/>
      <c r="AI495" s="122"/>
      <c r="AJ495" s="38"/>
      <c r="AK495" s="122"/>
      <c r="AL495" s="122"/>
      <c r="AM495" s="122"/>
      <c r="AN495" s="122"/>
      <c r="AO495" s="38"/>
      <c r="AP495" s="38"/>
      <c r="AQ495" s="38"/>
      <c r="AR495" s="17"/>
      <c r="AS495" s="1"/>
      <c r="AT495" s="17"/>
      <c r="AU495" s="1"/>
      <c r="AV495" s="17"/>
      <c r="AW495" s="1"/>
      <c r="AX495" s="2"/>
      <c r="AY495" s="1"/>
      <c r="AZ495" s="1"/>
    </row>
    <row x14ac:dyDescent="0.25" r="496" customHeight="1" ht="15">
      <c r="A496" s="1"/>
      <c r="B496" s="1"/>
      <c r="C496" s="1"/>
      <c r="D496" s="1"/>
      <c r="E496" s="1"/>
      <c r="F496" s="1"/>
      <c r="G496" s="1"/>
      <c r="H496" s="1"/>
      <c r="I496" s="1"/>
      <c r="J496" s="1"/>
      <c r="K496" s="17"/>
      <c r="L496" s="1"/>
      <c r="M496" s="1"/>
      <c r="N496" s="2"/>
      <c r="O496" s="2"/>
      <c r="P496" s="17"/>
      <c r="Q496" s="1"/>
      <c r="R496" s="1"/>
      <c r="S496" s="1"/>
      <c r="T496" s="38"/>
      <c r="U496" s="38"/>
      <c r="V496" s="38"/>
      <c r="W496" s="38"/>
      <c r="X496" s="38"/>
      <c r="Y496" s="38"/>
      <c r="Z496" s="38"/>
      <c r="AA496" s="122"/>
      <c r="AB496" s="122"/>
      <c r="AC496" s="122"/>
      <c r="AD496" s="122"/>
      <c r="AE496" s="122"/>
      <c r="AF496" s="122"/>
      <c r="AG496" s="122"/>
      <c r="AH496" s="122"/>
      <c r="AI496" s="122"/>
      <c r="AJ496" s="38"/>
      <c r="AK496" s="122"/>
      <c r="AL496" s="122"/>
      <c r="AM496" s="122"/>
      <c r="AN496" s="122"/>
      <c r="AO496" s="38"/>
      <c r="AP496" s="38"/>
      <c r="AQ496" s="38"/>
      <c r="AR496" s="17"/>
      <c r="AS496" s="1"/>
      <c r="AT496" s="17"/>
      <c r="AU496" s="1"/>
      <c r="AV496" s="17"/>
      <c r="AW496" s="1"/>
      <c r="AX496" s="2"/>
      <c r="AY496" s="1"/>
      <c r="AZ496" s="1"/>
    </row>
    <row x14ac:dyDescent="0.25" r="497" customHeight="1" ht="15">
      <c r="A497" s="1"/>
      <c r="B497" s="1"/>
      <c r="C497" s="1"/>
      <c r="D497" s="1"/>
      <c r="E497" s="1"/>
      <c r="F497" s="1"/>
      <c r="G497" s="1"/>
      <c r="H497" s="1"/>
      <c r="I497" s="1"/>
      <c r="J497" s="1"/>
      <c r="K497" s="17"/>
      <c r="L497" s="1"/>
      <c r="M497" s="1"/>
      <c r="N497" s="2"/>
      <c r="O497" s="2"/>
      <c r="P497" s="17"/>
      <c r="Q497" s="1"/>
      <c r="R497" s="1"/>
      <c r="S497" s="1"/>
      <c r="T497" s="38"/>
      <c r="U497" s="38"/>
      <c r="V497" s="38"/>
      <c r="W497" s="38"/>
      <c r="X497" s="38"/>
      <c r="Y497" s="38"/>
      <c r="Z497" s="38"/>
      <c r="AA497" s="122"/>
      <c r="AB497" s="122"/>
      <c r="AC497" s="122"/>
      <c r="AD497" s="122"/>
      <c r="AE497" s="122"/>
      <c r="AF497" s="122"/>
      <c r="AG497" s="122"/>
      <c r="AH497" s="122"/>
      <c r="AI497" s="122"/>
      <c r="AJ497" s="38"/>
      <c r="AK497" s="122"/>
      <c r="AL497" s="122"/>
      <c r="AM497" s="122"/>
      <c r="AN497" s="122"/>
      <c r="AO497" s="38"/>
      <c r="AP497" s="38"/>
      <c r="AQ497" s="38"/>
      <c r="AR497" s="17"/>
      <c r="AS497" s="1"/>
      <c r="AT497" s="17"/>
      <c r="AU497" s="1"/>
      <c r="AV497" s="17"/>
      <c r="AW497" s="1"/>
      <c r="AX497" s="2"/>
      <c r="AY497" s="1"/>
      <c r="AZ497" s="1"/>
    </row>
    <row x14ac:dyDescent="0.25" r="498" customHeight="1" ht="15">
      <c r="A498" s="1"/>
      <c r="B498" s="1"/>
      <c r="C498" s="1"/>
      <c r="D498" s="1"/>
      <c r="E498" s="1"/>
      <c r="F498" s="1"/>
      <c r="G498" s="1"/>
      <c r="H498" s="1"/>
      <c r="I498" s="1"/>
      <c r="J498" s="1"/>
      <c r="K498" s="17"/>
      <c r="L498" s="1"/>
      <c r="M498" s="1"/>
      <c r="N498" s="2"/>
      <c r="O498" s="2"/>
      <c r="P498" s="17"/>
      <c r="Q498" s="1"/>
      <c r="R498" s="1"/>
      <c r="S498" s="1"/>
      <c r="T498" s="38"/>
      <c r="U498" s="38"/>
      <c r="V498" s="38"/>
      <c r="W498" s="38"/>
      <c r="X498" s="38"/>
      <c r="Y498" s="38"/>
      <c r="Z498" s="38"/>
      <c r="AA498" s="122"/>
      <c r="AB498" s="122"/>
      <c r="AC498" s="122"/>
      <c r="AD498" s="122"/>
      <c r="AE498" s="122"/>
      <c r="AF498" s="122"/>
      <c r="AG498" s="122"/>
      <c r="AH498" s="122"/>
      <c r="AI498" s="122"/>
      <c r="AJ498" s="38"/>
      <c r="AK498" s="122"/>
      <c r="AL498" s="122"/>
      <c r="AM498" s="122"/>
      <c r="AN498" s="122"/>
      <c r="AO498" s="38"/>
      <c r="AP498" s="38"/>
      <c r="AQ498" s="38"/>
      <c r="AR498" s="17"/>
      <c r="AS498" s="1"/>
      <c r="AT498" s="17"/>
      <c r="AU498" s="1"/>
      <c r="AV498" s="17"/>
      <c r="AW498" s="1"/>
      <c r="AX498" s="2"/>
      <c r="AY498" s="1"/>
      <c r="AZ498" s="1"/>
    </row>
    <row x14ac:dyDescent="0.25" r="499" customHeight="1" ht="15">
      <c r="A499" s="1"/>
      <c r="B499" s="1"/>
      <c r="C499" s="1"/>
      <c r="D499" s="1"/>
      <c r="E499" s="1"/>
      <c r="F499" s="1"/>
      <c r="G499" s="1"/>
      <c r="H499" s="1"/>
      <c r="I499" s="1"/>
      <c r="J499" s="1"/>
      <c r="K499" s="17"/>
      <c r="L499" s="1"/>
      <c r="M499" s="1"/>
      <c r="N499" s="2"/>
      <c r="O499" s="2"/>
      <c r="P499" s="17"/>
      <c r="Q499" s="1"/>
      <c r="R499" s="1"/>
      <c r="S499" s="1"/>
      <c r="T499" s="38"/>
      <c r="U499" s="38"/>
      <c r="V499" s="38"/>
      <c r="W499" s="38"/>
      <c r="X499" s="38"/>
      <c r="Y499" s="38"/>
      <c r="Z499" s="38"/>
      <c r="AA499" s="122"/>
      <c r="AB499" s="122"/>
      <c r="AC499" s="122"/>
      <c r="AD499" s="122"/>
      <c r="AE499" s="122"/>
      <c r="AF499" s="122"/>
      <c r="AG499" s="122"/>
      <c r="AH499" s="122"/>
      <c r="AI499" s="122"/>
      <c r="AJ499" s="38"/>
      <c r="AK499" s="122"/>
      <c r="AL499" s="122"/>
      <c r="AM499" s="122"/>
      <c r="AN499" s="122"/>
      <c r="AO499" s="38"/>
      <c r="AP499" s="38"/>
      <c r="AQ499" s="38"/>
      <c r="AR499" s="17"/>
      <c r="AS499" s="1"/>
      <c r="AT499" s="17"/>
      <c r="AU499" s="1"/>
      <c r="AV499" s="17"/>
      <c r="AW499" s="1"/>
      <c r="AX499" s="2"/>
      <c r="AY499" s="1"/>
      <c r="AZ499" s="1"/>
    </row>
    <row x14ac:dyDescent="0.25" r="500" customHeight="1" ht="15">
      <c r="A500" s="1"/>
      <c r="B500" s="1"/>
      <c r="C500" s="1"/>
      <c r="D500" s="1"/>
      <c r="E500" s="1"/>
      <c r="F500" s="1"/>
      <c r="G500" s="1"/>
      <c r="H500" s="1"/>
      <c r="I500" s="1"/>
      <c r="J500" s="1"/>
      <c r="K500" s="17"/>
      <c r="L500" s="1"/>
      <c r="M500" s="1"/>
      <c r="N500" s="2"/>
      <c r="O500" s="2"/>
      <c r="P500" s="17"/>
      <c r="Q500" s="1"/>
      <c r="R500" s="1"/>
      <c r="S500" s="1"/>
      <c r="T500" s="38"/>
      <c r="U500" s="38"/>
      <c r="V500" s="38"/>
      <c r="W500" s="38"/>
      <c r="X500" s="38"/>
      <c r="Y500" s="38"/>
      <c r="Z500" s="38"/>
      <c r="AA500" s="122"/>
      <c r="AB500" s="122"/>
      <c r="AC500" s="122"/>
      <c r="AD500" s="122"/>
      <c r="AE500" s="122"/>
      <c r="AF500" s="122"/>
      <c r="AG500" s="122"/>
      <c r="AH500" s="122"/>
      <c r="AI500" s="122"/>
      <c r="AJ500" s="38"/>
      <c r="AK500" s="122"/>
      <c r="AL500" s="122"/>
      <c r="AM500" s="122"/>
      <c r="AN500" s="122"/>
      <c r="AO500" s="38"/>
      <c r="AP500" s="38"/>
      <c r="AQ500" s="38"/>
      <c r="AR500" s="17"/>
      <c r="AS500" s="1"/>
      <c r="AT500" s="17"/>
      <c r="AU500" s="1"/>
      <c r="AV500" s="17"/>
      <c r="AW500" s="1"/>
      <c r="AX500" s="2"/>
      <c r="AY500" s="1"/>
      <c r="AZ500" s="1"/>
    </row>
    <row x14ac:dyDescent="0.25" r="501" customHeight="1" ht="15">
      <c r="A501" s="1"/>
      <c r="B501" s="1"/>
      <c r="C501" s="1"/>
      <c r="D501" s="1"/>
      <c r="E501" s="1"/>
      <c r="F501" s="1"/>
      <c r="G501" s="1"/>
      <c r="H501" s="1"/>
      <c r="I501" s="1"/>
      <c r="J501" s="1"/>
      <c r="K501" s="17"/>
      <c r="L501" s="1"/>
      <c r="M501" s="1"/>
      <c r="N501" s="2"/>
      <c r="O501" s="2"/>
      <c r="P501" s="17"/>
      <c r="Q501" s="1"/>
      <c r="R501" s="1"/>
      <c r="S501" s="1"/>
      <c r="T501" s="38"/>
      <c r="U501" s="38"/>
      <c r="V501" s="38"/>
      <c r="W501" s="38"/>
      <c r="X501" s="38"/>
      <c r="Y501" s="38"/>
      <c r="Z501" s="38"/>
      <c r="AA501" s="122"/>
      <c r="AB501" s="122"/>
      <c r="AC501" s="122"/>
      <c r="AD501" s="122"/>
      <c r="AE501" s="122"/>
      <c r="AF501" s="122"/>
      <c r="AG501" s="122"/>
      <c r="AH501" s="122"/>
      <c r="AI501" s="122"/>
      <c r="AJ501" s="38"/>
      <c r="AK501" s="122"/>
      <c r="AL501" s="122"/>
      <c r="AM501" s="122"/>
      <c r="AN501" s="122"/>
      <c r="AO501" s="38"/>
      <c r="AP501" s="38"/>
      <c r="AQ501" s="38"/>
      <c r="AR501" s="17"/>
      <c r="AS501" s="1"/>
      <c r="AT501" s="17"/>
      <c r="AU501" s="1"/>
      <c r="AV501" s="17"/>
      <c r="AW501" s="1"/>
      <c r="AX501" s="2"/>
      <c r="AY501" s="1"/>
      <c r="AZ501" s="1"/>
    </row>
    <row x14ac:dyDescent="0.25" r="502" customHeight="1" ht="15">
      <c r="A502" s="1"/>
      <c r="B502" s="1"/>
      <c r="C502" s="1"/>
      <c r="D502" s="1"/>
      <c r="E502" s="1"/>
      <c r="F502" s="1"/>
      <c r="G502" s="1"/>
      <c r="H502" s="1"/>
      <c r="I502" s="1"/>
      <c r="J502" s="1"/>
      <c r="K502" s="17"/>
      <c r="L502" s="1"/>
      <c r="M502" s="1"/>
      <c r="N502" s="2"/>
      <c r="O502" s="2"/>
      <c r="P502" s="17"/>
      <c r="Q502" s="1"/>
      <c r="R502" s="1"/>
      <c r="S502" s="1"/>
      <c r="T502" s="38"/>
      <c r="U502" s="38"/>
      <c r="V502" s="38"/>
      <c r="W502" s="38"/>
      <c r="X502" s="38"/>
      <c r="Y502" s="38"/>
      <c r="Z502" s="38"/>
      <c r="AA502" s="122"/>
      <c r="AB502" s="122"/>
      <c r="AC502" s="122"/>
      <c r="AD502" s="122"/>
      <c r="AE502" s="122"/>
      <c r="AF502" s="122"/>
      <c r="AG502" s="122"/>
      <c r="AH502" s="122"/>
      <c r="AI502" s="122"/>
      <c r="AJ502" s="38"/>
      <c r="AK502" s="122"/>
      <c r="AL502" s="122"/>
      <c r="AM502" s="122"/>
      <c r="AN502" s="122"/>
      <c r="AO502" s="38"/>
      <c r="AP502" s="38"/>
      <c r="AQ502" s="38"/>
      <c r="AR502" s="17"/>
      <c r="AS502" s="1"/>
      <c r="AT502" s="17"/>
      <c r="AU502" s="1"/>
      <c r="AV502" s="17"/>
      <c r="AW502" s="1"/>
      <c r="AX502" s="2"/>
      <c r="AY502" s="1"/>
      <c r="AZ502" s="1"/>
    </row>
    <row x14ac:dyDescent="0.25" r="503" customHeight="1" ht="15">
      <c r="A503" s="1"/>
      <c r="B503" s="1"/>
      <c r="C503" s="1"/>
      <c r="D503" s="1"/>
      <c r="E503" s="1"/>
      <c r="F503" s="1"/>
      <c r="G503" s="1"/>
      <c r="H503" s="1"/>
      <c r="I503" s="1"/>
      <c r="J503" s="1"/>
      <c r="K503" s="17"/>
      <c r="L503" s="1"/>
      <c r="M503" s="1"/>
      <c r="N503" s="2"/>
      <c r="O503" s="2"/>
      <c r="P503" s="17"/>
      <c r="Q503" s="1"/>
      <c r="R503" s="1"/>
      <c r="S503" s="1"/>
      <c r="T503" s="38"/>
      <c r="U503" s="38"/>
      <c r="V503" s="38"/>
      <c r="W503" s="38"/>
      <c r="X503" s="38"/>
      <c r="Y503" s="38"/>
      <c r="Z503" s="38"/>
      <c r="AA503" s="122"/>
      <c r="AB503" s="122"/>
      <c r="AC503" s="122"/>
      <c r="AD503" s="122"/>
      <c r="AE503" s="122"/>
      <c r="AF503" s="122"/>
      <c r="AG503" s="122"/>
      <c r="AH503" s="122"/>
      <c r="AI503" s="122"/>
      <c r="AJ503" s="38"/>
      <c r="AK503" s="122"/>
      <c r="AL503" s="122"/>
      <c r="AM503" s="122"/>
      <c r="AN503" s="122"/>
      <c r="AO503" s="38"/>
      <c r="AP503" s="38"/>
      <c r="AQ503" s="38"/>
      <c r="AR503" s="17"/>
      <c r="AS503" s="1"/>
      <c r="AT503" s="17"/>
      <c r="AU503" s="1"/>
      <c r="AV503" s="17"/>
      <c r="AW503" s="1"/>
      <c r="AX503" s="2"/>
      <c r="AY503" s="1"/>
      <c r="AZ503" s="1"/>
    </row>
    <row x14ac:dyDescent="0.25" r="504" customHeight="1" ht="15">
      <c r="A504" s="1"/>
      <c r="B504" s="1"/>
      <c r="C504" s="1"/>
      <c r="D504" s="1"/>
      <c r="E504" s="1"/>
      <c r="F504" s="1"/>
      <c r="G504" s="1"/>
      <c r="H504" s="1"/>
      <c r="I504" s="1"/>
      <c r="J504" s="1"/>
      <c r="K504" s="17"/>
      <c r="L504" s="1"/>
      <c r="M504" s="1"/>
      <c r="N504" s="2"/>
      <c r="O504" s="2"/>
      <c r="P504" s="17"/>
      <c r="Q504" s="1"/>
      <c r="R504" s="1"/>
      <c r="S504" s="1"/>
      <c r="T504" s="38"/>
      <c r="U504" s="38"/>
      <c r="V504" s="38"/>
      <c r="W504" s="38"/>
      <c r="X504" s="38"/>
      <c r="Y504" s="38"/>
      <c r="Z504" s="38"/>
      <c r="AA504" s="122"/>
      <c r="AB504" s="122"/>
      <c r="AC504" s="122"/>
      <c r="AD504" s="122"/>
      <c r="AE504" s="122"/>
      <c r="AF504" s="122"/>
      <c r="AG504" s="122"/>
      <c r="AH504" s="122"/>
      <c r="AI504" s="122"/>
      <c r="AJ504" s="38"/>
      <c r="AK504" s="122"/>
      <c r="AL504" s="122"/>
      <c r="AM504" s="122"/>
      <c r="AN504" s="122"/>
      <c r="AO504" s="38"/>
      <c r="AP504" s="38"/>
      <c r="AQ504" s="38"/>
      <c r="AR504" s="17"/>
      <c r="AS504" s="1"/>
      <c r="AT504" s="17"/>
      <c r="AU504" s="1"/>
      <c r="AV504" s="17"/>
      <c r="AW504" s="1"/>
      <c r="AX504" s="2"/>
      <c r="AY504" s="1"/>
      <c r="AZ504" s="1"/>
    </row>
    <row x14ac:dyDescent="0.25" r="505" customHeight="1" ht="15">
      <c r="A505" s="1"/>
      <c r="B505" s="1"/>
      <c r="C505" s="1"/>
      <c r="D505" s="1"/>
      <c r="E505" s="1"/>
      <c r="F505" s="1"/>
      <c r="G505" s="1"/>
      <c r="H505" s="1"/>
      <c r="I505" s="1"/>
      <c r="J505" s="1"/>
      <c r="K505" s="17"/>
      <c r="L505" s="1"/>
      <c r="M505" s="1"/>
      <c r="N505" s="2"/>
      <c r="O505" s="2"/>
      <c r="P505" s="17"/>
      <c r="Q505" s="1"/>
      <c r="R505" s="1"/>
      <c r="S505" s="1"/>
      <c r="T505" s="38"/>
      <c r="U505" s="38"/>
      <c r="V505" s="38"/>
      <c r="W505" s="38"/>
      <c r="X505" s="38"/>
      <c r="Y505" s="38"/>
      <c r="Z505" s="38"/>
      <c r="AA505" s="122"/>
      <c r="AB505" s="122"/>
      <c r="AC505" s="122"/>
      <c r="AD505" s="122"/>
      <c r="AE505" s="122"/>
      <c r="AF505" s="122"/>
      <c r="AG505" s="122"/>
      <c r="AH505" s="122"/>
      <c r="AI505" s="122"/>
      <c r="AJ505" s="38"/>
      <c r="AK505" s="122"/>
      <c r="AL505" s="122"/>
      <c r="AM505" s="122"/>
      <c r="AN505" s="122"/>
      <c r="AO505" s="38"/>
      <c r="AP505" s="38"/>
      <c r="AQ505" s="38"/>
      <c r="AR505" s="17"/>
      <c r="AS505" s="1"/>
      <c r="AT505" s="17"/>
      <c r="AU505" s="1"/>
      <c r="AV505" s="17"/>
      <c r="AW505" s="1"/>
      <c r="AX505" s="2"/>
      <c r="AY505" s="1"/>
      <c r="AZ505" s="1"/>
    </row>
    <row x14ac:dyDescent="0.25" r="506" customHeight="1" ht="15">
      <c r="A506" s="1"/>
      <c r="B506" s="1"/>
      <c r="C506" s="1"/>
      <c r="D506" s="1"/>
      <c r="E506" s="1"/>
      <c r="F506" s="1"/>
      <c r="G506" s="1"/>
      <c r="H506" s="1"/>
      <c r="I506" s="1"/>
      <c r="J506" s="1"/>
      <c r="K506" s="17"/>
      <c r="L506" s="1"/>
      <c r="M506" s="1"/>
      <c r="N506" s="2"/>
      <c r="O506" s="2"/>
      <c r="P506" s="17"/>
      <c r="Q506" s="1"/>
      <c r="R506" s="1"/>
      <c r="S506" s="1"/>
      <c r="T506" s="38"/>
      <c r="U506" s="38"/>
      <c r="V506" s="38"/>
      <c r="W506" s="38"/>
      <c r="X506" s="38"/>
      <c r="Y506" s="38"/>
      <c r="Z506" s="38"/>
      <c r="AA506" s="122"/>
      <c r="AB506" s="122"/>
      <c r="AC506" s="122"/>
      <c r="AD506" s="122"/>
      <c r="AE506" s="122"/>
      <c r="AF506" s="122"/>
      <c r="AG506" s="122"/>
      <c r="AH506" s="122"/>
      <c r="AI506" s="122"/>
      <c r="AJ506" s="38"/>
      <c r="AK506" s="122"/>
      <c r="AL506" s="122"/>
      <c r="AM506" s="122"/>
      <c r="AN506" s="122"/>
      <c r="AO506" s="38"/>
      <c r="AP506" s="38"/>
      <c r="AQ506" s="38"/>
      <c r="AR506" s="17"/>
      <c r="AS506" s="1"/>
      <c r="AT506" s="17"/>
      <c r="AU506" s="1"/>
      <c r="AV506" s="17"/>
      <c r="AW506" s="1"/>
      <c r="AX506" s="2"/>
      <c r="AY506" s="1"/>
      <c r="AZ506" s="1"/>
    </row>
    <row x14ac:dyDescent="0.25" r="507" customHeight="1" ht="15">
      <c r="A507" s="1"/>
      <c r="B507" s="1"/>
      <c r="C507" s="1"/>
      <c r="D507" s="1"/>
      <c r="E507" s="1"/>
      <c r="F507" s="1"/>
      <c r="G507" s="1"/>
      <c r="H507" s="1"/>
      <c r="I507" s="1"/>
      <c r="J507" s="1"/>
      <c r="K507" s="17"/>
      <c r="L507" s="1"/>
      <c r="M507" s="1"/>
      <c r="N507" s="2"/>
      <c r="O507" s="2"/>
      <c r="P507" s="17"/>
      <c r="Q507" s="1"/>
      <c r="R507" s="1"/>
      <c r="S507" s="1"/>
      <c r="T507" s="38"/>
      <c r="U507" s="38"/>
      <c r="V507" s="38"/>
      <c r="W507" s="38"/>
      <c r="X507" s="38"/>
      <c r="Y507" s="38"/>
      <c r="Z507" s="38"/>
      <c r="AA507" s="122"/>
      <c r="AB507" s="122"/>
      <c r="AC507" s="122"/>
      <c r="AD507" s="122"/>
      <c r="AE507" s="122"/>
      <c r="AF507" s="122"/>
      <c r="AG507" s="122"/>
      <c r="AH507" s="122"/>
      <c r="AI507" s="122"/>
      <c r="AJ507" s="38"/>
      <c r="AK507" s="122"/>
      <c r="AL507" s="122"/>
      <c r="AM507" s="122"/>
      <c r="AN507" s="122"/>
      <c r="AO507" s="38"/>
      <c r="AP507" s="38"/>
      <c r="AQ507" s="38"/>
      <c r="AR507" s="17"/>
      <c r="AS507" s="1"/>
      <c r="AT507" s="17"/>
      <c r="AU507" s="1"/>
      <c r="AV507" s="17"/>
      <c r="AW507" s="1"/>
      <c r="AX507" s="2"/>
      <c r="AY507" s="1"/>
      <c r="AZ507" s="1"/>
    </row>
    <row x14ac:dyDescent="0.25" r="508" customHeight="1" ht="15">
      <c r="A508" s="1"/>
      <c r="B508" s="1"/>
      <c r="C508" s="1"/>
      <c r="D508" s="1"/>
      <c r="E508" s="1"/>
      <c r="F508" s="1"/>
      <c r="G508" s="1"/>
      <c r="H508" s="1"/>
      <c r="I508" s="1"/>
      <c r="J508" s="1"/>
      <c r="K508" s="17"/>
      <c r="L508" s="1"/>
      <c r="M508" s="1"/>
      <c r="N508" s="2"/>
      <c r="O508" s="2"/>
      <c r="P508" s="17"/>
      <c r="Q508" s="1"/>
      <c r="R508" s="1"/>
      <c r="S508" s="1"/>
      <c r="T508" s="38"/>
      <c r="U508" s="38"/>
      <c r="V508" s="38"/>
      <c r="W508" s="38"/>
      <c r="X508" s="38"/>
      <c r="Y508" s="38"/>
      <c r="Z508" s="38"/>
      <c r="AA508" s="122"/>
      <c r="AB508" s="122"/>
      <c r="AC508" s="122"/>
      <c r="AD508" s="122"/>
      <c r="AE508" s="122"/>
      <c r="AF508" s="122"/>
      <c r="AG508" s="122"/>
      <c r="AH508" s="122"/>
      <c r="AI508" s="122"/>
      <c r="AJ508" s="38"/>
      <c r="AK508" s="122"/>
      <c r="AL508" s="122"/>
      <c r="AM508" s="122"/>
      <c r="AN508" s="122"/>
      <c r="AO508" s="38"/>
      <c r="AP508" s="38"/>
      <c r="AQ508" s="38"/>
      <c r="AR508" s="17"/>
      <c r="AS508" s="1"/>
      <c r="AT508" s="17"/>
      <c r="AU508" s="1"/>
      <c r="AV508" s="17"/>
      <c r="AW508" s="1"/>
      <c r="AX508" s="2"/>
      <c r="AY508" s="1"/>
      <c r="AZ508" s="1"/>
    </row>
    <row x14ac:dyDescent="0.25" r="509" customHeight="1" ht="15">
      <c r="A509" s="1"/>
      <c r="B509" s="1"/>
      <c r="C509" s="1"/>
      <c r="D509" s="1"/>
      <c r="E509" s="1"/>
      <c r="F509" s="1"/>
      <c r="G509" s="1"/>
      <c r="H509" s="1"/>
      <c r="I509" s="1"/>
      <c r="J509" s="1"/>
      <c r="K509" s="17"/>
      <c r="L509" s="1"/>
      <c r="M509" s="1"/>
      <c r="N509" s="2"/>
      <c r="O509" s="2"/>
      <c r="P509" s="17"/>
      <c r="Q509" s="1"/>
      <c r="R509" s="1"/>
      <c r="S509" s="1"/>
      <c r="T509" s="38"/>
      <c r="U509" s="38"/>
      <c r="V509" s="38"/>
      <c r="W509" s="38"/>
      <c r="X509" s="38"/>
      <c r="Y509" s="38"/>
      <c r="Z509" s="38"/>
      <c r="AA509" s="122"/>
      <c r="AB509" s="122"/>
      <c r="AC509" s="122"/>
      <c r="AD509" s="122"/>
      <c r="AE509" s="122"/>
      <c r="AF509" s="122"/>
      <c r="AG509" s="122"/>
      <c r="AH509" s="122"/>
      <c r="AI509" s="122"/>
      <c r="AJ509" s="38"/>
      <c r="AK509" s="122"/>
      <c r="AL509" s="122"/>
      <c r="AM509" s="122"/>
      <c r="AN509" s="122"/>
      <c r="AO509" s="38"/>
      <c r="AP509" s="38"/>
      <c r="AQ509" s="38"/>
      <c r="AR509" s="17"/>
      <c r="AS509" s="1"/>
      <c r="AT509" s="17"/>
      <c r="AU509" s="1"/>
      <c r="AV509" s="17"/>
      <c r="AW509" s="1"/>
      <c r="AX509" s="2"/>
      <c r="AY509" s="1"/>
      <c r="AZ509" s="1"/>
    </row>
    <row x14ac:dyDescent="0.25" r="510" customHeight="1" ht="15">
      <c r="A510" s="1"/>
      <c r="B510" s="1"/>
      <c r="C510" s="1"/>
      <c r="D510" s="1"/>
      <c r="E510" s="1"/>
      <c r="F510" s="1"/>
      <c r="G510" s="1"/>
      <c r="H510" s="1"/>
      <c r="I510" s="1"/>
      <c r="J510" s="1"/>
      <c r="K510" s="17"/>
      <c r="L510" s="1"/>
      <c r="M510" s="1"/>
      <c r="N510" s="2"/>
      <c r="O510" s="2"/>
      <c r="P510" s="17"/>
      <c r="Q510" s="1"/>
      <c r="R510" s="1"/>
      <c r="S510" s="1"/>
      <c r="T510" s="38"/>
      <c r="U510" s="38"/>
      <c r="V510" s="38"/>
      <c r="W510" s="38"/>
      <c r="X510" s="38"/>
      <c r="Y510" s="38"/>
      <c r="Z510" s="38"/>
      <c r="AA510" s="122"/>
      <c r="AB510" s="122"/>
      <c r="AC510" s="122"/>
      <c r="AD510" s="122"/>
      <c r="AE510" s="122"/>
      <c r="AF510" s="122"/>
      <c r="AG510" s="122"/>
      <c r="AH510" s="122"/>
      <c r="AI510" s="122"/>
      <c r="AJ510" s="38"/>
      <c r="AK510" s="122"/>
      <c r="AL510" s="122"/>
      <c r="AM510" s="122"/>
      <c r="AN510" s="122"/>
      <c r="AO510" s="38"/>
      <c r="AP510" s="38"/>
      <c r="AQ510" s="38"/>
      <c r="AR510" s="17"/>
      <c r="AS510" s="1"/>
      <c r="AT510" s="17"/>
      <c r="AU510" s="1"/>
      <c r="AV510" s="17"/>
      <c r="AW510" s="1"/>
      <c r="AX510" s="2"/>
      <c r="AY510" s="1"/>
      <c r="AZ510" s="1"/>
    </row>
    <row x14ac:dyDescent="0.25" r="511" customHeight="1" ht="15">
      <c r="A511" s="1"/>
      <c r="B511" s="1"/>
      <c r="C511" s="1"/>
      <c r="D511" s="1"/>
      <c r="E511" s="1"/>
      <c r="F511" s="1"/>
      <c r="G511" s="1"/>
      <c r="H511" s="1"/>
      <c r="I511" s="1"/>
      <c r="J511" s="1"/>
      <c r="K511" s="17"/>
      <c r="L511" s="1"/>
      <c r="M511" s="1"/>
      <c r="N511" s="2"/>
      <c r="O511" s="2"/>
      <c r="P511" s="17"/>
      <c r="Q511" s="1"/>
      <c r="R511" s="1"/>
      <c r="S511" s="1"/>
      <c r="T511" s="38"/>
      <c r="U511" s="38"/>
      <c r="V511" s="38"/>
      <c r="W511" s="38"/>
      <c r="X511" s="38"/>
      <c r="Y511" s="38"/>
      <c r="Z511" s="38"/>
      <c r="AA511" s="122"/>
      <c r="AB511" s="122"/>
      <c r="AC511" s="122"/>
      <c r="AD511" s="122"/>
      <c r="AE511" s="122"/>
      <c r="AF511" s="122"/>
      <c r="AG511" s="122"/>
      <c r="AH511" s="122"/>
      <c r="AI511" s="122"/>
      <c r="AJ511" s="38"/>
      <c r="AK511" s="122"/>
      <c r="AL511" s="122"/>
      <c r="AM511" s="122"/>
      <c r="AN511" s="122"/>
      <c r="AO511" s="38"/>
      <c r="AP511" s="38"/>
      <c r="AQ511" s="38"/>
      <c r="AR511" s="17"/>
      <c r="AS511" s="1"/>
      <c r="AT511" s="17"/>
      <c r="AU511" s="1"/>
      <c r="AV511" s="17"/>
      <c r="AW511" s="1"/>
      <c r="AX511" s="2"/>
      <c r="AY511" s="1"/>
      <c r="AZ511" s="1"/>
    </row>
    <row x14ac:dyDescent="0.25" r="512" customHeight="1" ht="15">
      <c r="A512" s="1"/>
      <c r="B512" s="1"/>
      <c r="C512" s="1"/>
      <c r="D512" s="1"/>
      <c r="E512" s="1"/>
      <c r="F512" s="1"/>
      <c r="G512" s="1"/>
      <c r="H512" s="1"/>
      <c r="I512" s="1"/>
      <c r="J512" s="1"/>
      <c r="K512" s="17"/>
      <c r="L512" s="1"/>
      <c r="M512" s="1"/>
      <c r="N512" s="2"/>
      <c r="O512" s="2"/>
      <c r="P512" s="17"/>
      <c r="Q512" s="1"/>
      <c r="R512" s="1"/>
      <c r="S512" s="1"/>
      <c r="T512" s="38"/>
      <c r="U512" s="38"/>
      <c r="V512" s="38"/>
      <c r="W512" s="38"/>
      <c r="X512" s="38"/>
      <c r="Y512" s="38"/>
      <c r="Z512" s="38"/>
      <c r="AA512" s="122"/>
      <c r="AB512" s="122"/>
      <c r="AC512" s="122"/>
      <c r="AD512" s="122"/>
      <c r="AE512" s="122"/>
      <c r="AF512" s="122"/>
      <c r="AG512" s="122"/>
      <c r="AH512" s="122"/>
      <c r="AI512" s="122"/>
      <c r="AJ512" s="38"/>
      <c r="AK512" s="122"/>
      <c r="AL512" s="122"/>
      <c r="AM512" s="122"/>
      <c r="AN512" s="122"/>
      <c r="AO512" s="38"/>
      <c r="AP512" s="38"/>
      <c r="AQ512" s="38"/>
      <c r="AR512" s="17"/>
      <c r="AS512" s="1"/>
      <c r="AT512" s="17"/>
      <c r="AU512" s="1"/>
      <c r="AV512" s="17"/>
      <c r="AW512" s="1"/>
      <c r="AX512" s="2"/>
      <c r="AY512" s="1"/>
      <c r="AZ512" s="1"/>
    </row>
    <row x14ac:dyDescent="0.25" r="513" customHeight="1" ht="15">
      <c r="A513" s="1"/>
      <c r="B513" s="1"/>
      <c r="C513" s="1"/>
      <c r="D513" s="1"/>
      <c r="E513" s="1"/>
      <c r="F513" s="1"/>
      <c r="G513" s="1"/>
      <c r="H513" s="1"/>
      <c r="I513" s="1"/>
      <c r="J513" s="1"/>
      <c r="K513" s="17"/>
      <c r="L513" s="1"/>
      <c r="M513" s="1"/>
      <c r="N513" s="2"/>
      <c r="O513" s="2"/>
      <c r="P513" s="17"/>
      <c r="Q513" s="1"/>
      <c r="R513" s="1"/>
      <c r="S513" s="1"/>
      <c r="T513" s="38"/>
      <c r="U513" s="38"/>
      <c r="V513" s="38"/>
      <c r="W513" s="38"/>
      <c r="X513" s="38"/>
      <c r="Y513" s="38"/>
      <c r="Z513" s="38"/>
      <c r="AA513" s="122"/>
      <c r="AB513" s="122"/>
      <c r="AC513" s="122"/>
      <c r="AD513" s="122"/>
      <c r="AE513" s="122"/>
      <c r="AF513" s="122"/>
      <c r="AG513" s="122"/>
      <c r="AH513" s="122"/>
      <c r="AI513" s="122"/>
      <c r="AJ513" s="38"/>
      <c r="AK513" s="122"/>
      <c r="AL513" s="122"/>
      <c r="AM513" s="122"/>
      <c r="AN513" s="122"/>
      <c r="AO513" s="38"/>
      <c r="AP513" s="38"/>
      <c r="AQ513" s="38"/>
      <c r="AR513" s="17"/>
      <c r="AS513" s="1"/>
      <c r="AT513" s="17"/>
      <c r="AU513" s="1"/>
      <c r="AV513" s="17"/>
      <c r="AW513" s="1"/>
      <c r="AX513" s="2"/>
      <c r="AY513" s="1"/>
      <c r="AZ513" s="1"/>
    </row>
    <row x14ac:dyDescent="0.25" r="514" customHeight="1" ht="15">
      <c r="A514" s="1"/>
      <c r="B514" s="1"/>
      <c r="C514" s="1"/>
      <c r="D514" s="1"/>
      <c r="E514" s="1"/>
      <c r="F514" s="1"/>
      <c r="G514" s="1"/>
      <c r="H514" s="1"/>
      <c r="I514" s="1"/>
      <c r="J514" s="1"/>
      <c r="K514" s="17"/>
      <c r="L514" s="1"/>
      <c r="M514" s="1"/>
      <c r="N514" s="2"/>
      <c r="O514" s="2"/>
      <c r="P514" s="17"/>
      <c r="Q514" s="1"/>
      <c r="R514" s="1"/>
      <c r="S514" s="1"/>
      <c r="T514" s="38"/>
      <c r="U514" s="38"/>
      <c r="V514" s="38"/>
      <c r="W514" s="38"/>
      <c r="X514" s="38"/>
      <c r="Y514" s="38"/>
      <c r="Z514" s="38"/>
      <c r="AA514" s="122"/>
      <c r="AB514" s="122"/>
      <c r="AC514" s="122"/>
      <c r="AD514" s="122"/>
      <c r="AE514" s="122"/>
      <c r="AF514" s="122"/>
      <c r="AG514" s="122"/>
      <c r="AH514" s="122"/>
      <c r="AI514" s="122"/>
      <c r="AJ514" s="38"/>
      <c r="AK514" s="122"/>
      <c r="AL514" s="122"/>
      <c r="AM514" s="122"/>
      <c r="AN514" s="122"/>
      <c r="AO514" s="38"/>
      <c r="AP514" s="38"/>
      <c r="AQ514" s="38"/>
      <c r="AR514" s="17"/>
      <c r="AS514" s="1"/>
      <c r="AT514" s="17"/>
      <c r="AU514" s="1"/>
      <c r="AV514" s="17"/>
      <c r="AW514" s="1"/>
      <c r="AX514" s="2"/>
      <c r="AY514" s="1"/>
      <c r="AZ514" s="1"/>
    </row>
    <row x14ac:dyDescent="0.25" r="515" customHeight="1" ht="15">
      <c r="A515" s="1"/>
      <c r="B515" s="1"/>
      <c r="C515" s="1"/>
      <c r="D515" s="1"/>
      <c r="E515" s="1"/>
      <c r="F515" s="1"/>
      <c r="G515" s="1"/>
      <c r="H515" s="1"/>
      <c r="I515" s="1"/>
      <c r="J515" s="1"/>
      <c r="K515" s="17"/>
      <c r="L515" s="1"/>
      <c r="M515" s="1"/>
      <c r="N515" s="2"/>
      <c r="O515" s="2"/>
      <c r="P515" s="17"/>
      <c r="Q515" s="1"/>
      <c r="R515" s="1"/>
      <c r="S515" s="1"/>
      <c r="T515" s="38"/>
      <c r="U515" s="38"/>
      <c r="V515" s="38"/>
      <c r="W515" s="38"/>
      <c r="X515" s="38"/>
      <c r="Y515" s="38"/>
      <c r="Z515" s="38"/>
      <c r="AA515" s="122"/>
      <c r="AB515" s="122"/>
      <c r="AC515" s="122"/>
      <c r="AD515" s="122"/>
      <c r="AE515" s="122"/>
      <c r="AF515" s="122"/>
      <c r="AG515" s="122"/>
      <c r="AH515" s="122"/>
      <c r="AI515" s="122"/>
      <c r="AJ515" s="38"/>
      <c r="AK515" s="122"/>
      <c r="AL515" s="122"/>
      <c r="AM515" s="122"/>
      <c r="AN515" s="122"/>
      <c r="AO515" s="38"/>
      <c r="AP515" s="38"/>
      <c r="AQ515" s="38"/>
      <c r="AR515" s="17"/>
      <c r="AS515" s="1"/>
      <c r="AT515" s="17"/>
      <c r="AU515" s="1"/>
      <c r="AV515" s="17"/>
      <c r="AW515" s="1"/>
      <c r="AX515" s="2"/>
      <c r="AY515" s="1"/>
      <c r="AZ515" s="1"/>
    </row>
    <row x14ac:dyDescent="0.25" r="516" customHeight="1" ht="15">
      <c r="A516" s="1"/>
      <c r="B516" s="1"/>
      <c r="C516" s="1"/>
      <c r="D516" s="1"/>
      <c r="E516" s="1"/>
      <c r="F516" s="1"/>
      <c r="G516" s="1"/>
      <c r="H516" s="1"/>
      <c r="I516" s="1"/>
      <c r="J516" s="1"/>
      <c r="K516" s="17"/>
      <c r="L516" s="1"/>
      <c r="M516" s="1"/>
      <c r="N516" s="2"/>
      <c r="O516" s="2"/>
      <c r="P516" s="17"/>
      <c r="Q516" s="1"/>
      <c r="R516" s="1"/>
      <c r="S516" s="1"/>
      <c r="T516" s="38"/>
      <c r="U516" s="38"/>
      <c r="V516" s="38"/>
      <c r="W516" s="38"/>
      <c r="X516" s="38"/>
      <c r="Y516" s="38"/>
      <c r="Z516" s="38"/>
      <c r="AA516" s="122"/>
      <c r="AB516" s="122"/>
      <c r="AC516" s="122"/>
      <c r="AD516" s="122"/>
      <c r="AE516" s="122"/>
      <c r="AF516" s="122"/>
      <c r="AG516" s="122"/>
      <c r="AH516" s="122"/>
      <c r="AI516" s="122"/>
      <c r="AJ516" s="38"/>
      <c r="AK516" s="122"/>
      <c r="AL516" s="122"/>
      <c r="AM516" s="122"/>
      <c r="AN516" s="122"/>
      <c r="AO516" s="38"/>
      <c r="AP516" s="38"/>
      <c r="AQ516" s="38"/>
      <c r="AR516" s="17"/>
      <c r="AS516" s="1"/>
      <c r="AT516" s="17"/>
      <c r="AU516" s="1"/>
      <c r="AV516" s="17"/>
      <c r="AW516" s="1"/>
      <c r="AX516" s="2"/>
      <c r="AY516" s="1"/>
      <c r="AZ516" s="1"/>
    </row>
    <row x14ac:dyDescent="0.25" r="517" customHeight="1" ht="15">
      <c r="A517" s="1"/>
      <c r="B517" s="1"/>
      <c r="C517" s="1"/>
      <c r="D517" s="1"/>
      <c r="E517" s="1"/>
      <c r="F517" s="1"/>
      <c r="G517" s="1"/>
      <c r="H517" s="1"/>
      <c r="I517" s="1"/>
      <c r="J517" s="1"/>
      <c r="K517" s="17"/>
      <c r="L517" s="1"/>
      <c r="M517" s="1"/>
      <c r="N517" s="2"/>
      <c r="O517" s="2"/>
      <c r="P517" s="17"/>
      <c r="Q517" s="1"/>
      <c r="R517" s="1"/>
      <c r="S517" s="1"/>
      <c r="T517" s="38"/>
      <c r="U517" s="38"/>
      <c r="V517" s="38"/>
      <c r="W517" s="38"/>
      <c r="X517" s="38"/>
      <c r="Y517" s="38"/>
      <c r="Z517" s="38"/>
      <c r="AA517" s="122"/>
      <c r="AB517" s="122"/>
      <c r="AC517" s="122"/>
      <c r="AD517" s="122"/>
      <c r="AE517" s="122"/>
      <c r="AF517" s="122"/>
      <c r="AG517" s="122"/>
      <c r="AH517" s="122"/>
      <c r="AI517" s="122"/>
      <c r="AJ517" s="38"/>
      <c r="AK517" s="122"/>
      <c r="AL517" s="122"/>
      <c r="AM517" s="122"/>
      <c r="AN517" s="122"/>
      <c r="AO517" s="38"/>
      <c r="AP517" s="38"/>
      <c r="AQ517" s="38"/>
      <c r="AR517" s="17"/>
      <c r="AS517" s="1"/>
      <c r="AT517" s="17"/>
      <c r="AU517" s="1"/>
      <c r="AV517" s="17"/>
      <c r="AW517" s="1"/>
      <c r="AX517" s="2"/>
      <c r="AY517" s="1"/>
      <c r="AZ517" s="1"/>
    </row>
    <row x14ac:dyDescent="0.25" r="518" customHeight="1" ht="15">
      <c r="A518" s="1"/>
      <c r="B518" s="1"/>
      <c r="C518" s="1"/>
      <c r="D518" s="1"/>
      <c r="E518" s="1"/>
      <c r="F518" s="1"/>
      <c r="G518" s="1"/>
      <c r="H518" s="1"/>
      <c r="I518" s="1"/>
      <c r="J518" s="1"/>
      <c r="K518" s="17"/>
      <c r="L518" s="1"/>
      <c r="M518" s="1"/>
      <c r="N518" s="2"/>
      <c r="O518" s="2"/>
      <c r="P518" s="17"/>
      <c r="Q518" s="1"/>
      <c r="R518" s="1"/>
      <c r="S518" s="1"/>
      <c r="T518" s="38"/>
      <c r="U518" s="38"/>
      <c r="V518" s="38"/>
      <c r="W518" s="38"/>
      <c r="X518" s="38"/>
      <c r="Y518" s="38"/>
      <c r="Z518" s="38"/>
      <c r="AA518" s="122"/>
      <c r="AB518" s="122"/>
      <c r="AC518" s="122"/>
      <c r="AD518" s="122"/>
      <c r="AE518" s="122"/>
      <c r="AF518" s="122"/>
      <c r="AG518" s="122"/>
      <c r="AH518" s="122"/>
      <c r="AI518" s="122"/>
      <c r="AJ518" s="38"/>
      <c r="AK518" s="122"/>
      <c r="AL518" s="122"/>
      <c r="AM518" s="122"/>
      <c r="AN518" s="122"/>
      <c r="AO518" s="38"/>
      <c r="AP518" s="38"/>
      <c r="AQ518" s="38"/>
      <c r="AR518" s="17"/>
      <c r="AS518" s="1"/>
      <c r="AT518" s="17"/>
      <c r="AU518" s="1"/>
      <c r="AV518" s="17"/>
      <c r="AW518" s="1"/>
      <c r="AX518" s="2"/>
      <c r="AY518" s="1"/>
      <c r="AZ518" s="1"/>
    </row>
    <row x14ac:dyDescent="0.25" r="519" customHeight="1" ht="15">
      <c r="A519" s="1"/>
      <c r="B519" s="1"/>
      <c r="C519" s="1"/>
      <c r="D519" s="1"/>
      <c r="E519" s="1"/>
      <c r="F519" s="1"/>
      <c r="G519" s="1"/>
      <c r="H519" s="1"/>
      <c r="I519" s="1"/>
      <c r="J519" s="1"/>
      <c r="K519" s="17"/>
      <c r="L519" s="1"/>
      <c r="M519" s="1"/>
      <c r="N519" s="2"/>
      <c r="O519" s="2"/>
      <c r="P519" s="17"/>
      <c r="Q519" s="1"/>
      <c r="R519" s="1"/>
      <c r="S519" s="1"/>
      <c r="T519" s="38"/>
      <c r="U519" s="38"/>
      <c r="V519" s="38"/>
      <c r="W519" s="38"/>
      <c r="X519" s="38"/>
      <c r="Y519" s="38"/>
      <c r="Z519" s="38"/>
      <c r="AA519" s="122"/>
      <c r="AB519" s="122"/>
      <c r="AC519" s="122"/>
      <c r="AD519" s="122"/>
      <c r="AE519" s="122"/>
      <c r="AF519" s="122"/>
      <c r="AG519" s="122"/>
      <c r="AH519" s="122"/>
      <c r="AI519" s="122"/>
      <c r="AJ519" s="38"/>
      <c r="AK519" s="122"/>
      <c r="AL519" s="122"/>
      <c r="AM519" s="122"/>
      <c r="AN519" s="122"/>
      <c r="AO519" s="38"/>
      <c r="AP519" s="38"/>
      <c r="AQ519" s="38"/>
      <c r="AR519" s="17"/>
      <c r="AS519" s="1"/>
      <c r="AT519" s="17"/>
      <c r="AU519" s="1"/>
      <c r="AV519" s="17"/>
      <c r="AW519" s="1"/>
      <c r="AX519" s="2"/>
      <c r="AY519" s="1"/>
      <c r="AZ519" s="1"/>
    </row>
    <row x14ac:dyDescent="0.25" r="520" customHeight="1" ht="15">
      <c r="A520" s="1"/>
      <c r="B520" s="1"/>
      <c r="C520" s="1"/>
      <c r="D520" s="1"/>
      <c r="E520" s="1"/>
      <c r="F520" s="1"/>
      <c r="G520" s="1"/>
      <c r="H520" s="1"/>
      <c r="I520" s="1"/>
      <c r="J520" s="1"/>
      <c r="K520" s="17"/>
      <c r="L520" s="1"/>
      <c r="M520" s="1"/>
      <c r="N520" s="2"/>
      <c r="O520" s="2"/>
      <c r="P520" s="17"/>
      <c r="Q520" s="1"/>
      <c r="R520" s="1"/>
      <c r="S520" s="1"/>
      <c r="T520" s="38"/>
      <c r="U520" s="38"/>
      <c r="V520" s="38"/>
      <c r="W520" s="38"/>
      <c r="X520" s="38"/>
      <c r="Y520" s="38"/>
      <c r="Z520" s="38"/>
      <c r="AA520" s="122"/>
      <c r="AB520" s="122"/>
      <c r="AC520" s="122"/>
      <c r="AD520" s="122"/>
      <c r="AE520" s="122"/>
      <c r="AF520" s="122"/>
      <c r="AG520" s="122"/>
      <c r="AH520" s="122"/>
      <c r="AI520" s="122"/>
      <c r="AJ520" s="38"/>
      <c r="AK520" s="122"/>
      <c r="AL520" s="122"/>
      <c r="AM520" s="122"/>
      <c r="AN520" s="122"/>
      <c r="AO520" s="38"/>
      <c r="AP520" s="38"/>
      <c r="AQ520" s="38"/>
      <c r="AR520" s="17"/>
      <c r="AS520" s="1"/>
      <c r="AT520" s="17"/>
      <c r="AU520" s="1"/>
      <c r="AV520" s="17"/>
      <c r="AW520" s="1"/>
      <c r="AX520" s="2"/>
      <c r="AY520" s="1"/>
      <c r="AZ520" s="1"/>
    </row>
    <row x14ac:dyDescent="0.25" r="521" customHeight="1" ht="15">
      <c r="A521" s="1"/>
      <c r="B521" s="1"/>
      <c r="C521" s="1"/>
      <c r="D521" s="1"/>
      <c r="E521" s="1"/>
      <c r="F521" s="1"/>
      <c r="G521" s="1"/>
      <c r="H521" s="1"/>
      <c r="I521" s="1"/>
      <c r="J521" s="1"/>
      <c r="K521" s="17"/>
      <c r="L521" s="1"/>
      <c r="M521" s="1"/>
      <c r="N521" s="2"/>
      <c r="O521" s="2"/>
      <c r="P521" s="17"/>
      <c r="Q521" s="1"/>
      <c r="R521" s="1"/>
      <c r="S521" s="1"/>
      <c r="T521" s="38"/>
      <c r="U521" s="38"/>
      <c r="V521" s="38"/>
      <c r="W521" s="38"/>
      <c r="X521" s="38"/>
      <c r="Y521" s="38"/>
      <c r="Z521" s="38"/>
      <c r="AA521" s="122"/>
      <c r="AB521" s="122"/>
      <c r="AC521" s="122"/>
      <c r="AD521" s="122"/>
      <c r="AE521" s="122"/>
      <c r="AF521" s="122"/>
      <c r="AG521" s="122"/>
      <c r="AH521" s="122"/>
      <c r="AI521" s="122"/>
      <c r="AJ521" s="38"/>
      <c r="AK521" s="122"/>
      <c r="AL521" s="122"/>
      <c r="AM521" s="122"/>
      <c r="AN521" s="122"/>
      <c r="AO521" s="38"/>
      <c r="AP521" s="38"/>
      <c r="AQ521" s="38"/>
      <c r="AR521" s="17"/>
      <c r="AS521" s="1"/>
      <c r="AT521" s="17"/>
      <c r="AU521" s="1"/>
      <c r="AV521" s="17"/>
      <c r="AW521" s="1"/>
      <c r="AX521" s="2"/>
      <c r="AY521" s="1"/>
      <c r="AZ521" s="1"/>
    </row>
    <row x14ac:dyDescent="0.25" r="522" customHeight="1" ht="15">
      <c r="A522" s="1"/>
      <c r="B522" s="1"/>
      <c r="C522" s="1"/>
      <c r="D522" s="1"/>
      <c r="E522" s="1"/>
      <c r="F522" s="1"/>
      <c r="G522" s="1"/>
      <c r="H522" s="1"/>
      <c r="I522" s="1"/>
      <c r="J522" s="1"/>
      <c r="K522" s="17"/>
      <c r="L522" s="1"/>
      <c r="M522" s="1"/>
      <c r="N522" s="2"/>
      <c r="O522" s="2"/>
      <c r="P522" s="17"/>
      <c r="Q522" s="1"/>
      <c r="R522" s="1"/>
      <c r="S522" s="1"/>
      <c r="T522" s="38"/>
      <c r="U522" s="38"/>
      <c r="V522" s="38"/>
      <c r="W522" s="38"/>
      <c r="X522" s="38"/>
      <c r="Y522" s="38"/>
      <c r="Z522" s="38"/>
      <c r="AA522" s="122"/>
      <c r="AB522" s="122"/>
      <c r="AC522" s="122"/>
      <c r="AD522" s="122"/>
      <c r="AE522" s="122"/>
      <c r="AF522" s="122"/>
      <c r="AG522" s="122"/>
      <c r="AH522" s="122"/>
      <c r="AI522" s="122"/>
      <c r="AJ522" s="38"/>
      <c r="AK522" s="122"/>
      <c r="AL522" s="122"/>
      <c r="AM522" s="122"/>
      <c r="AN522" s="122"/>
      <c r="AO522" s="38"/>
      <c r="AP522" s="38"/>
      <c r="AQ522" s="38"/>
      <c r="AR522" s="17"/>
      <c r="AS522" s="1"/>
      <c r="AT522" s="17"/>
      <c r="AU522" s="1"/>
      <c r="AV522" s="17"/>
      <c r="AW522" s="1"/>
      <c r="AX522" s="2"/>
      <c r="AY522" s="1"/>
      <c r="AZ522" s="1"/>
    </row>
    <row x14ac:dyDescent="0.25" r="523" customHeight="1" ht="15">
      <c r="A523" s="1"/>
      <c r="B523" s="1"/>
      <c r="C523" s="1"/>
      <c r="D523" s="1"/>
      <c r="E523" s="1"/>
      <c r="F523" s="1"/>
      <c r="G523" s="1"/>
      <c r="H523" s="1"/>
      <c r="I523" s="1"/>
      <c r="J523" s="1"/>
      <c r="K523" s="17"/>
      <c r="L523" s="1"/>
      <c r="M523" s="1"/>
      <c r="N523" s="2"/>
      <c r="O523" s="2"/>
      <c r="P523" s="17"/>
      <c r="Q523" s="1"/>
      <c r="R523" s="1"/>
      <c r="S523" s="1"/>
      <c r="T523" s="38"/>
      <c r="U523" s="38"/>
      <c r="V523" s="38"/>
      <c r="W523" s="38"/>
      <c r="X523" s="38"/>
      <c r="Y523" s="38"/>
      <c r="Z523" s="38"/>
      <c r="AA523" s="122"/>
      <c r="AB523" s="122"/>
      <c r="AC523" s="122"/>
      <c r="AD523" s="122"/>
      <c r="AE523" s="122"/>
      <c r="AF523" s="122"/>
      <c r="AG523" s="122"/>
      <c r="AH523" s="122"/>
      <c r="AI523" s="122"/>
      <c r="AJ523" s="38"/>
      <c r="AK523" s="122"/>
      <c r="AL523" s="122"/>
      <c r="AM523" s="122"/>
      <c r="AN523" s="122"/>
      <c r="AO523" s="38"/>
      <c r="AP523" s="38"/>
      <c r="AQ523" s="38"/>
      <c r="AR523" s="17"/>
      <c r="AS523" s="1"/>
      <c r="AT523" s="17"/>
      <c r="AU523" s="1"/>
      <c r="AV523" s="17"/>
      <c r="AW523" s="1"/>
      <c r="AX523" s="2"/>
      <c r="AY523" s="1"/>
      <c r="AZ523" s="1"/>
    </row>
    <row x14ac:dyDescent="0.25" r="524" customHeight="1" ht="15">
      <c r="A524" s="1"/>
      <c r="B524" s="1"/>
      <c r="C524" s="1"/>
      <c r="D524" s="1"/>
      <c r="E524" s="1"/>
      <c r="F524" s="1"/>
      <c r="G524" s="1"/>
      <c r="H524" s="1"/>
      <c r="I524" s="1"/>
      <c r="J524" s="1"/>
      <c r="K524" s="17"/>
      <c r="L524" s="1"/>
      <c r="M524" s="1"/>
      <c r="N524" s="2"/>
      <c r="O524" s="2"/>
      <c r="P524" s="17"/>
      <c r="Q524" s="1"/>
      <c r="R524" s="1"/>
      <c r="S524" s="1"/>
      <c r="T524" s="38"/>
      <c r="U524" s="38"/>
      <c r="V524" s="38"/>
      <c r="W524" s="38"/>
      <c r="X524" s="38"/>
      <c r="Y524" s="38"/>
      <c r="Z524" s="38"/>
      <c r="AA524" s="122"/>
      <c r="AB524" s="122"/>
      <c r="AC524" s="122"/>
      <c r="AD524" s="122"/>
      <c r="AE524" s="122"/>
      <c r="AF524" s="122"/>
      <c r="AG524" s="122"/>
      <c r="AH524" s="122"/>
      <c r="AI524" s="122"/>
      <c r="AJ524" s="38"/>
      <c r="AK524" s="122"/>
      <c r="AL524" s="122"/>
      <c r="AM524" s="122"/>
      <c r="AN524" s="122"/>
      <c r="AO524" s="38"/>
      <c r="AP524" s="38"/>
      <c r="AQ524" s="38"/>
      <c r="AR524" s="17"/>
      <c r="AS524" s="1"/>
      <c r="AT524" s="17"/>
      <c r="AU524" s="1"/>
      <c r="AV524" s="17"/>
      <c r="AW524" s="1"/>
      <c r="AX524" s="2"/>
      <c r="AY524" s="1"/>
      <c r="AZ524" s="1"/>
    </row>
    <row x14ac:dyDescent="0.25" r="525" customHeight="1" ht="15">
      <c r="A525" s="1"/>
      <c r="B525" s="1"/>
      <c r="C525" s="1"/>
      <c r="D525" s="1"/>
      <c r="E525" s="1"/>
      <c r="F525" s="1"/>
      <c r="G525" s="1"/>
      <c r="H525" s="1"/>
      <c r="I525" s="1"/>
      <c r="J525" s="1"/>
      <c r="K525" s="17"/>
      <c r="L525" s="1"/>
      <c r="M525" s="1"/>
      <c r="N525" s="2"/>
      <c r="O525" s="2"/>
      <c r="P525" s="17"/>
      <c r="Q525" s="1"/>
      <c r="R525" s="1"/>
      <c r="S525" s="1"/>
      <c r="T525" s="38"/>
      <c r="U525" s="38"/>
      <c r="V525" s="38"/>
      <c r="W525" s="38"/>
      <c r="X525" s="38"/>
      <c r="Y525" s="38"/>
      <c r="Z525" s="38"/>
      <c r="AA525" s="122"/>
      <c r="AB525" s="122"/>
      <c r="AC525" s="122"/>
      <c r="AD525" s="122"/>
      <c r="AE525" s="122"/>
      <c r="AF525" s="122"/>
      <c r="AG525" s="122"/>
      <c r="AH525" s="122"/>
      <c r="AI525" s="122"/>
      <c r="AJ525" s="38"/>
      <c r="AK525" s="122"/>
      <c r="AL525" s="122"/>
      <c r="AM525" s="122"/>
      <c r="AN525" s="122"/>
      <c r="AO525" s="38"/>
      <c r="AP525" s="38"/>
      <c r="AQ525" s="38"/>
      <c r="AR525" s="17"/>
      <c r="AS525" s="1"/>
      <c r="AT525" s="17"/>
      <c r="AU525" s="1"/>
      <c r="AV525" s="17"/>
      <c r="AW525" s="1"/>
      <c r="AX525" s="2"/>
      <c r="AY525" s="1"/>
      <c r="AZ525" s="1"/>
    </row>
    <row x14ac:dyDescent="0.25" r="526" customHeight="1" ht="15">
      <c r="A526" s="1"/>
      <c r="B526" s="1"/>
      <c r="C526" s="1"/>
      <c r="D526" s="1"/>
      <c r="E526" s="1"/>
      <c r="F526" s="1"/>
      <c r="G526" s="1"/>
      <c r="H526" s="1"/>
      <c r="I526" s="1"/>
      <c r="J526" s="1"/>
      <c r="K526" s="17"/>
      <c r="L526" s="1"/>
      <c r="M526" s="1"/>
      <c r="N526" s="2"/>
      <c r="O526" s="2"/>
      <c r="P526" s="17"/>
      <c r="Q526" s="1"/>
      <c r="R526" s="1"/>
      <c r="S526" s="1"/>
      <c r="T526" s="38"/>
      <c r="U526" s="38"/>
      <c r="V526" s="38"/>
      <c r="W526" s="38"/>
      <c r="X526" s="38"/>
      <c r="Y526" s="38"/>
      <c r="Z526" s="38"/>
      <c r="AA526" s="122"/>
      <c r="AB526" s="122"/>
      <c r="AC526" s="122"/>
      <c r="AD526" s="122"/>
      <c r="AE526" s="122"/>
      <c r="AF526" s="122"/>
      <c r="AG526" s="122"/>
      <c r="AH526" s="122"/>
      <c r="AI526" s="122"/>
      <c r="AJ526" s="38"/>
      <c r="AK526" s="122"/>
      <c r="AL526" s="122"/>
      <c r="AM526" s="122"/>
      <c r="AN526" s="122"/>
      <c r="AO526" s="38"/>
      <c r="AP526" s="38"/>
      <c r="AQ526" s="38"/>
      <c r="AR526" s="17"/>
      <c r="AS526" s="1"/>
      <c r="AT526" s="17"/>
      <c r="AU526" s="1"/>
      <c r="AV526" s="17"/>
      <c r="AW526" s="1"/>
      <c r="AX526" s="2"/>
      <c r="AY526" s="1"/>
      <c r="AZ526" s="1"/>
    </row>
    <row x14ac:dyDescent="0.25" r="527" customHeight="1" ht="15">
      <c r="A527" s="1"/>
      <c r="B527" s="1"/>
      <c r="C527" s="1"/>
      <c r="D527" s="1"/>
      <c r="E527" s="1"/>
      <c r="F527" s="1"/>
      <c r="G527" s="1"/>
      <c r="H527" s="1"/>
      <c r="I527" s="1"/>
      <c r="J527" s="1"/>
      <c r="K527" s="17"/>
      <c r="L527" s="1"/>
      <c r="M527" s="1"/>
      <c r="N527" s="2"/>
      <c r="O527" s="2"/>
      <c r="P527" s="17"/>
      <c r="Q527" s="1"/>
      <c r="R527" s="1"/>
      <c r="S527" s="1"/>
      <c r="T527" s="38"/>
      <c r="U527" s="38"/>
      <c r="V527" s="38"/>
      <c r="W527" s="38"/>
      <c r="X527" s="38"/>
      <c r="Y527" s="38"/>
      <c r="Z527" s="38"/>
      <c r="AA527" s="122"/>
      <c r="AB527" s="122"/>
      <c r="AC527" s="122"/>
      <c r="AD527" s="122"/>
      <c r="AE527" s="122"/>
      <c r="AF527" s="122"/>
      <c r="AG527" s="122"/>
      <c r="AH527" s="122"/>
      <c r="AI527" s="122"/>
      <c r="AJ527" s="38"/>
      <c r="AK527" s="122"/>
      <c r="AL527" s="122"/>
      <c r="AM527" s="122"/>
      <c r="AN527" s="122"/>
      <c r="AO527" s="38"/>
      <c r="AP527" s="38"/>
      <c r="AQ527" s="38"/>
      <c r="AR527" s="17"/>
      <c r="AS527" s="1"/>
      <c r="AT527" s="17"/>
      <c r="AU527" s="1"/>
      <c r="AV527" s="17"/>
      <c r="AW527" s="1"/>
      <c r="AX527" s="2"/>
      <c r="AY527" s="1"/>
      <c r="AZ527" s="1"/>
    </row>
    <row x14ac:dyDescent="0.25" r="528" customHeight="1" ht="15">
      <c r="A528" s="1"/>
      <c r="B528" s="1"/>
      <c r="C528" s="1"/>
      <c r="D528" s="1"/>
      <c r="E528" s="1"/>
      <c r="F528" s="1"/>
      <c r="G528" s="1"/>
      <c r="H528" s="1"/>
      <c r="I528" s="1"/>
      <c r="J528" s="1"/>
      <c r="K528" s="17"/>
      <c r="L528" s="1"/>
      <c r="M528" s="1"/>
      <c r="N528" s="2"/>
      <c r="O528" s="2"/>
      <c r="P528" s="17"/>
      <c r="Q528" s="1"/>
      <c r="R528" s="1"/>
      <c r="S528" s="1"/>
      <c r="T528" s="38"/>
      <c r="U528" s="38"/>
      <c r="V528" s="38"/>
      <c r="W528" s="38"/>
      <c r="X528" s="38"/>
      <c r="Y528" s="38"/>
      <c r="Z528" s="38"/>
      <c r="AA528" s="122"/>
      <c r="AB528" s="122"/>
      <c r="AC528" s="122"/>
      <c r="AD528" s="122"/>
      <c r="AE528" s="122"/>
      <c r="AF528" s="122"/>
      <c r="AG528" s="122"/>
      <c r="AH528" s="122"/>
      <c r="AI528" s="122"/>
      <c r="AJ528" s="38"/>
      <c r="AK528" s="122"/>
      <c r="AL528" s="122"/>
      <c r="AM528" s="122"/>
      <c r="AN528" s="122"/>
      <c r="AO528" s="38"/>
      <c r="AP528" s="38"/>
      <c r="AQ528" s="38"/>
      <c r="AR528" s="17"/>
      <c r="AS528" s="1"/>
      <c r="AT528" s="17"/>
      <c r="AU528" s="1"/>
      <c r="AV528" s="17"/>
      <c r="AW528" s="1"/>
      <c r="AX528" s="2"/>
      <c r="AY528" s="1"/>
      <c r="AZ528" s="1"/>
    </row>
    <row x14ac:dyDescent="0.25" r="529" customHeight="1" ht="15">
      <c r="A529" s="1"/>
      <c r="B529" s="1"/>
      <c r="C529" s="1"/>
      <c r="D529" s="1"/>
      <c r="E529" s="1"/>
      <c r="F529" s="1"/>
      <c r="G529" s="1"/>
      <c r="H529" s="1"/>
      <c r="I529" s="1"/>
      <c r="J529" s="1"/>
      <c r="K529" s="17"/>
      <c r="L529" s="1"/>
      <c r="M529" s="1"/>
      <c r="N529" s="2"/>
      <c r="O529" s="2"/>
      <c r="P529" s="17"/>
      <c r="Q529" s="1"/>
      <c r="R529" s="1"/>
      <c r="S529" s="1"/>
      <c r="T529" s="38"/>
      <c r="U529" s="38"/>
      <c r="V529" s="38"/>
      <c r="W529" s="38"/>
      <c r="X529" s="38"/>
      <c r="Y529" s="38"/>
      <c r="Z529" s="38"/>
      <c r="AA529" s="122"/>
      <c r="AB529" s="122"/>
      <c r="AC529" s="122"/>
      <c r="AD529" s="122"/>
      <c r="AE529" s="122"/>
      <c r="AF529" s="122"/>
      <c r="AG529" s="122"/>
      <c r="AH529" s="122"/>
      <c r="AI529" s="122"/>
      <c r="AJ529" s="38"/>
      <c r="AK529" s="122"/>
      <c r="AL529" s="122"/>
      <c r="AM529" s="122"/>
      <c r="AN529" s="122"/>
      <c r="AO529" s="38"/>
      <c r="AP529" s="38"/>
      <c r="AQ529" s="38"/>
      <c r="AR529" s="17"/>
      <c r="AS529" s="1"/>
      <c r="AT529" s="17"/>
      <c r="AU529" s="1"/>
      <c r="AV529" s="17"/>
      <c r="AW529" s="1"/>
      <c r="AX529" s="2"/>
      <c r="AY529" s="1"/>
      <c r="AZ529" s="1"/>
    </row>
    <row x14ac:dyDescent="0.25" r="530" customHeight="1" ht="15">
      <c r="A530" s="1"/>
      <c r="B530" s="1"/>
      <c r="C530" s="1"/>
      <c r="D530" s="1"/>
      <c r="E530" s="1"/>
      <c r="F530" s="1"/>
      <c r="G530" s="1"/>
      <c r="H530" s="1"/>
      <c r="I530" s="1"/>
      <c r="J530" s="1"/>
      <c r="K530" s="17"/>
      <c r="L530" s="1"/>
      <c r="M530" s="1"/>
      <c r="N530" s="2"/>
      <c r="O530" s="2"/>
      <c r="P530" s="17"/>
      <c r="Q530" s="1"/>
      <c r="R530" s="1"/>
      <c r="S530" s="1"/>
      <c r="T530" s="38"/>
      <c r="U530" s="38"/>
      <c r="V530" s="38"/>
      <c r="W530" s="38"/>
      <c r="X530" s="38"/>
      <c r="Y530" s="38"/>
      <c r="Z530" s="38"/>
      <c r="AA530" s="122"/>
      <c r="AB530" s="122"/>
      <c r="AC530" s="122"/>
      <c r="AD530" s="122"/>
      <c r="AE530" s="122"/>
      <c r="AF530" s="122"/>
      <c r="AG530" s="122"/>
      <c r="AH530" s="122"/>
      <c r="AI530" s="122"/>
      <c r="AJ530" s="38"/>
      <c r="AK530" s="122"/>
      <c r="AL530" s="122"/>
      <c r="AM530" s="122"/>
      <c r="AN530" s="122"/>
      <c r="AO530" s="38"/>
      <c r="AP530" s="38"/>
      <c r="AQ530" s="38"/>
      <c r="AR530" s="17"/>
      <c r="AS530" s="1"/>
      <c r="AT530" s="17"/>
      <c r="AU530" s="1"/>
      <c r="AV530" s="17"/>
      <c r="AW530" s="1"/>
      <c r="AX530" s="2"/>
      <c r="AY530" s="1"/>
      <c r="AZ530" s="1"/>
    </row>
    <row x14ac:dyDescent="0.25" r="531" customHeight="1" ht="15">
      <c r="A531" s="1"/>
      <c r="B531" s="1"/>
      <c r="C531" s="1"/>
      <c r="D531" s="1"/>
      <c r="E531" s="1"/>
      <c r="F531" s="1"/>
      <c r="G531" s="1"/>
      <c r="H531" s="1"/>
      <c r="I531" s="1"/>
      <c r="J531" s="1"/>
      <c r="K531" s="17"/>
      <c r="L531" s="1"/>
      <c r="M531" s="1"/>
      <c r="N531" s="2"/>
      <c r="O531" s="2"/>
      <c r="P531" s="17"/>
      <c r="Q531" s="1"/>
      <c r="R531" s="1"/>
      <c r="S531" s="1"/>
      <c r="T531" s="38"/>
      <c r="U531" s="38"/>
      <c r="V531" s="38"/>
      <c r="W531" s="38"/>
      <c r="X531" s="38"/>
      <c r="Y531" s="38"/>
      <c r="Z531" s="38"/>
      <c r="AA531" s="122"/>
      <c r="AB531" s="122"/>
      <c r="AC531" s="122"/>
      <c r="AD531" s="122"/>
      <c r="AE531" s="122"/>
      <c r="AF531" s="122"/>
      <c r="AG531" s="122"/>
      <c r="AH531" s="122"/>
      <c r="AI531" s="122"/>
      <c r="AJ531" s="38"/>
      <c r="AK531" s="122"/>
      <c r="AL531" s="122"/>
      <c r="AM531" s="122"/>
      <c r="AN531" s="122"/>
      <c r="AO531" s="38"/>
      <c r="AP531" s="38"/>
      <c r="AQ531" s="38"/>
      <c r="AR531" s="17"/>
      <c r="AS531" s="1"/>
      <c r="AT531" s="17"/>
      <c r="AU531" s="1"/>
      <c r="AV531" s="17"/>
      <c r="AW531" s="1"/>
      <c r="AX531" s="2"/>
      <c r="AY531" s="1"/>
      <c r="AZ531" s="1"/>
    </row>
    <row x14ac:dyDescent="0.25" r="532" customHeight="1" ht="15">
      <c r="A532" s="1"/>
      <c r="B532" s="1"/>
      <c r="C532" s="1"/>
      <c r="D532" s="1"/>
      <c r="E532" s="1"/>
      <c r="F532" s="1"/>
      <c r="G532" s="1"/>
      <c r="H532" s="1"/>
      <c r="I532" s="1"/>
      <c r="J532" s="1"/>
      <c r="K532" s="17"/>
      <c r="L532" s="1"/>
      <c r="M532" s="1"/>
      <c r="N532" s="2"/>
      <c r="O532" s="2"/>
      <c r="P532" s="17"/>
      <c r="Q532" s="1"/>
      <c r="R532" s="1"/>
      <c r="S532" s="1"/>
      <c r="T532" s="38"/>
      <c r="U532" s="38"/>
      <c r="V532" s="38"/>
      <c r="W532" s="38"/>
      <c r="X532" s="38"/>
      <c r="Y532" s="38"/>
      <c r="Z532" s="38"/>
      <c r="AA532" s="122"/>
      <c r="AB532" s="122"/>
      <c r="AC532" s="122"/>
      <c r="AD532" s="122"/>
      <c r="AE532" s="122"/>
      <c r="AF532" s="122"/>
      <c r="AG532" s="122"/>
      <c r="AH532" s="122"/>
      <c r="AI532" s="122"/>
      <c r="AJ532" s="38"/>
      <c r="AK532" s="122"/>
      <c r="AL532" s="122"/>
      <c r="AM532" s="122"/>
      <c r="AN532" s="122"/>
      <c r="AO532" s="38"/>
      <c r="AP532" s="38"/>
      <c r="AQ532" s="38"/>
      <c r="AR532" s="17"/>
      <c r="AS532" s="1"/>
      <c r="AT532" s="17"/>
      <c r="AU532" s="1"/>
      <c r="AV532" s="17"/>
      <c r="AW532" s="1"/>
      <c r="AX532" s="2"/>
      <c r="AY532" s="1"/>
      <c r="AZ532" s="1"/>
    </row>
    <row x14ac:dyDescent="0.25" r="533" customHeight="1" ht="15">
      <c r="A533" s="1"/>
      <c r="B533" s="1"/>
      <c r="C533" s="1"/>
      <c r="D533" s="1"/>
      <c r="E533" s="1"/>
      <c r="F533" s="1"/>
      <c r="G533" s="1"/>
      <c r="H533" s="1"/>
      <c r="I533" s="1"/>
      <c r="J533" s="1"/>
      <c r="K533" s="17"/>
      <c r="L533" s="1"/>
      <c r="M533" s="1"/>
      <c r="N533" s="2"/>
      <c r="O533" s="2"/>
      <c r="P533" s="17"/>
      <c r="Q533" s="1"/>
      <c r="R533" s="1"/>
      <c r="S533" s="1"/>
      <c r="T533" s="38"/>
      <c r="U533" s="38"/>
      <c r="V533" s="38"/>
      <c r="W533" s="38"/>
      <c r="X533" s="38"/>
      <c r="Y533" s="38"/>
      <c r="Z533" s="38"/>
      <c r="AA533" s="122"/>
      <c r="AB533" s="122"/>
      <c r="AC533" s="122"/>
      <c r="AD533" s="122"/>
      <c r="AE533" s="122"/>
      <c r="AF533" s="122"/>
      <c r="AG533" s="122"/>
      <c r="AH533" s="122"/>
      <c r="AI533" s="122"/>
      <c r="AJ533" s="38"/>
      <c r="AK533" s="122"/>
      <c r="AL533" s="122"/>
      <c r="AM533" s="122"/>
      <c r="AN533" s="122"/>
      <c r="AO533" s="38"/>
      <c r="AP533" s="38"/>
      <c r="AQ533" s="38"/>
      <c r="AR533" s="17"/>
      <c r="AS533" s="1"/>
      <c r="AT533" s="17"/>
      <c r="AU533" s="1"/>
      <c r="AV533" s="17"/>
      <c r="AW533" s="1"/>
      <c r="AX533" s="2"/>
      <c r="AY533" s="1"/>
      <c r="AZ533" s="1"/>
    </row>
    <row x14ac:dyDescent="0.25" r="534" customHeight="1" ht="15">
      <c r="A534" s="1"/>
      <c r="B534" s="1"/>
      <c r="C534" s="1"/>
      <c r="D534" s="1"/>
      <c r="E534" s="1"/>
      <c r="F534" s="1"/>
      <c r="G534" s="1"/>
      <c r="H534" s="1"/>
      <c r="I534" s="1"/>
      <c r="J534" s="1"/>
      <c r="K534" s="17"/>
      <c r="L534" s="1"/>
      <c r="M534" s="1"/>
      <c r="N534" s="2"/>
      <c r="O534" s="2"/>
      <c r="P534" s="17"/>
      <c r="Q534" s="1"/>
      <c r="R534" s="1"/>
      <c r="S534" s="1"/>
      <c r="T534" s="38"/>
      <c r="U534" s="38"/>
      <c r="V534" s="38"/>
      <c r="W534" s="38"/>
      <c r="X534" s="38"/>
      <c r="Y534" s="38"/>
      <c r="Z534" s="38"/>
      <c r="AA534" s="122"/>
      <c r="AB534" s="122"/>
      <c r="AC534" s="122"/>
      <c r="AD534" s="122"/>
      <c r="AE534" s="122"/>
      <c r="AF534" s="122"/>
      <c r="AG534" s="122"/>
      <c r="AH534" s="122"/>
      <c r="AI534" s="122"/>
      <c r="AJ534" s="38"/>
      <c r="AK534" s="122"/>
      <c r="AL534" s="122"/>
      <c r="AM534" s="122"/>
      <c r="AN534" s="122"/>
      <c r="AO534" s="38"/>
      <c r="AP534" s="38"/>
      <c r="AQ534" s="38"/>
      <c r="AR534" s="17"/>
      <c r="AS534" s="1"/>
      <c r="AT534" s="17"/>
      <c r="AU534" s="1"/>
      <c r="AV534" s="17"/>
      <c r="AW534" s="1"/>
      <c r="AX534" s="2"/>
      <c r="AY534" s="1"/>
      <c r="AZ534" s="1"/>
    </row>
    <row x14ac:dyDescent="0.25" r="535" customHeight="1" ht="15">
      <c r="A535" s="1"/>
      <c r="B535" s="1"/>
      <c r="C535" s="1"/>
      <c r="D535" s="1"/>
      <c r="E535" s="1"/>
      <c r="F535" s="1"/>
      <c r="G535" s="1"/>
      <c r="H535" s="1"/>
      <c r="I535" s="1"/>
      <c r="J535" s="1"/>
      <c r="K535" s="17"/>
      <c r="L535" s="1"/>
      <c r="M535" s="1"/>
      <c r="N535" s="2"/>
      <c r="O535" s="2"/>
      <c r="P535" s="17"/>
      <c r="Q535" s="1"/>
      <c r="R535" s="1"/>
      <c r="S535" s="1"/>
      <c r="T535" s="38"/>
      <c r="U535" s="38"/>
      <c r="V535" s="38"/>
      <c r="W535" s="38"/>
      <c r="X535" s="38"/>
      <c r="Y535" s="38"/>
      <c r="Z535" s="38"/>
      <c r="AA535" s="122"/>
      <c r="AB535" s="122"/>
      <c r="AC535" s="122"/>
      <c r="AD535" s="122"/>
      <c r="AE535" s="122"/>
      <c r="AF535" s="122"/>
      <c r="AG535" s="122"/>
      <c r="AH535" s="122"/>
      <c r="AI535" s="122"/>
      <c r="AJ535" s="38"/>
      <c r="AK535" s="122"/>
      <c r="AL535" s="122"/>
      <c r="AM535" s="122"/>
      <c r="AN535" s="122"/>
      <c r="AO535" s="38"/>
      <c r="AP535" s="38"/>
      <c r="AQ535" s="38"/>
      <c r="AR535" s="17"/>
      <c r="AS535" s="1"/>
      <c r="AT535" s="17"/>
      <c r="AU535" s="1"/>
      <c r="AV535" s="17"/>
      <c r="AW535" s="1"/>
      <c r="AX535" s="2"/>
      <c r="AY535" s="1"/>
      <c r="AZ535" s="1"/>
    </row>
    <row x14ac:dyDescent="0.25" r="536" customHeight="1" ht="15">
      <c r="A536" s="1"/>
      <c r="B536" s="1"/>
      <c r="C536" s="1"/>
      <c r="D536" s="1"/>
      <c r="E536" s="1"/>
      <c r="F536" s="1"/>
      <c r="G536" s="1"/>
      <c r="H536" s="1"/>
      <c r="I536" s="1"/>
      <c r="J536" s="1"/>
      <c r="K536" s="17"/>
      <c r="L536" s="1"/>
      <c r="M536" s="1"/>
      <c r="N536" s="2"/>
      <c r="O536" s="2"/>
      <c r="P536" s="17"/>
      <c r="Q536" s="1"/>
      <c r="R536" s="1"/>
      <c r="S536" s="1"/>
      <c r="T536" s="38"/>
      <c r="U536" s="38"/>
      <c r="V536" s="38"/>
      <c r="W536" s="38"/>
      <c r="X536" s="38"/>
      <c r="Y536" s="38"/>
      <c r="Z536" s="38"/>
      <c r="AA536" s="122"/>
      <c r="AB536" s="122"/>
      <c r="AC536" s="122"/>
      <c r="AD536" s="122"/>
      <c r="AE536" s="122"/>
      <c r="AF536" s="122"/>
      <c r="AG536" s="122"/>
      <c r="AH536" s="122"/>
      <c r="AI536" s="122"/>
      <c r="AJ536" s="38"/>
      <c r="AK536" s="122"/>
      <c r="AL536" s="122"/>
      <c r="AM536" s="122"/>
      <c r="AN536" s="122"/>
      <c r="AO536" s="38"/>
      <c r="AP536" s="38"/>
      <c r="AQ536" s="38"/>
      <c r="AR536" s="17"/>
      <c r="AS536" s="1"/>
      <c r="AT536" s="17"/>
      <c r="AU536" s="1"/>
      <c r="AV536" s="17"/>
      <c r="AW536" s="1"/>
      <c r="AX536" s="2"/>
      <c r="AY536" s="1"/>
      <c r="AZ536" s="1"/>
    </row>
    <row x14ac:dyDescent="0.25" r="537" customHeight="1" ht="15">
      <c r="A537" s="1"/>
      <c r="B537" s="1"/>
      <c r="C537" s="1"/>
      <c r="D537" s="1"/>
      <c r="E537" s="1"/>
      <c r="F537" s="1"/>
      <c r="G537" s="1"/>
      <c r="H537" s="1"/>
      <c r="I537" s="1"/>
      <c r="J537" s="1"/>
      <c r="K537" s="17"/>
      <c r="L537" s="1"/>
      <c r="M537" s="1"/>
      <c r="N537" s="2"/>
      <c r="O537" s="2"/>
      <c r="P537" s="17"/>
      <c r="Q537" s="1"/>
      <c r="R537" s="1"/>
      <c r="S537" s="1"/>
      <c r="T537" s="38"/>
      <c r="U537" s="38"/>
      <c r="V537" s="38"/>
      <c r="W537" s="38"/>
      <c r="X537" s="38"/>
      <c r="Y537" s="38"/>
      <c r="Z537" s="38"/>
      <c r="AA537" s="122"/>
      <c r="AB537" s="122"/>
      <c r="AC537" s="122"/>
      <c r="AD537" s="122"/>
      <c r="AE537" s="122"/>
      <c r="AF537" s="122"/>
      <c r="AG537" s="122"/>
      <c r="AH537" s="122"/>
      <c r="AI537" s="122"/>
      <c r="AJ537" s="38"/>
      <c r="AK537" s="122"/>
      <c r="AL537" s="122"/>
      <c r="AM537" s="122"/>
      <c r="AN537" s="122"/>
      <c r="AO537" s="38"/>
      <c r="AP537" s="38"/>
      <c r="AQ537" s="38"/>
      <c r="AR537" s="17"/>
      <c r="AS537" s="1"/>
      <c r="AT537" s="17"/>
      <c r="AU537" s="1"/>
      <c r="AV537" s="17"/>
      <c r="AW537" s="1"/>
      <c r="AX537" s="2"/>
      <c r="AY537" s="1"/>
      <c r="AZ537" s="1"/>
    </row>
    <row x14ac:dyDescent="0.25" r="538" customHeight="1" ht="15">
      <c r="A538" s="1"/>
      <c r="B538" s="1"/>
      <c r="C538" s="1"/>
      <c r="D538" s="1"/>
      <c r="E538" s="1"/>
      <c r="F538" s="1"/>
      <c r="G538" s="1"/>
      <c r="H538" s="1"/>
      <c r="I538" s="1"/>
      <c r="J538" s="1"/>
      <c r="K538" s="17"/>
      <c r="L538" s="1"/>
      <c r="M538" s="1"/>
      <c r="N538" s="2"/>
      <c r="O538" s="2"/>
      <c r="P538" s="17"/>
      <c r="Q538" s="1"/>
      <c r="R538" s="1"/>
      <c r="S538" s="1"/>
      <c r="T538" s="38"/>
      <c r="U538" s="38"/>
      <c r="V538" s="38"/>
      <c r="W538" s="38"/>
      <c r="X538" s="38"/>
      <c r="Y538" s="38"/>
      <c r="Z538" s="38"/>
      <c r="AA538" s="122"/>
      <c r="AB538" s="122"/>
      <c r="AC538" s="122"/>
      <c r="AD538" s="122"/>
      <c r="AE538" s="122"/>
      <c r="AF538" s="122"/>
      <c r="AG538" s="122"/>
      <c r="AH538" s="122"/>
      <c r="AI538" s="122"/>
      <c r="AJ538" s="38"/>
      <c r="AK538" s="122"/>
      <c r="AL538" s="122"/>
      <c r="AM538" s="122"/>
      <c r="AN538" s="122"/>
      <c r="AO538" s="38"/>
      <c r="AP538" s="38"/>
      <c r="AQ538" s="38"/>
      <c r="AR538" s="17"/>
      <c r="AS538" s="1"/>
      <c r="AT538" s="17"/>
      <c r="AU538" s="1"/>
      <c r="AV538" s="17"/>
      <c r="AW538" s="1"/>
      <c r="AX538" s="2"/>
      <c r="AY538" s="1"/>
      <c r="AZ538" s="1"/>
    </row>
    <row x14ac:dyDescent="0.25" r="539" customHeight="1" ht="15">
      <c r="A539" s="1"/>
      <c r="B539" s="1"/>
      <c r="C539" s="1"/>
      <c r="D539" s="1"/>
      <c r="E539" s="1"/>
      <c r="F539" s="1"/>
      <c r="G539" s="1"/>
      <c r="H539" s="1"/>
      <c r="I539" s="1"/>
      <c r="J539" s="1"/>
      <c r="K539" s="17"/>
      <c r="L539" s="1"/>
      <c r="M539" s="1"/>
      <c r="N539" s="2"/>
      <c r="O539" s="2"/>
      <c r="P539" s="17"/>
      <c r="Q539" s="1"/>
      <c r="R539" s="1"/>
      <c r="S539" s="1"/>
      <c r="T539" s="38"/>
      <c r="U539" s="38"/>
      <c r="V539" s="38"/>
      <c r="W539" s="38"/>
      <c r="X539" s="38"/>
      <c r="Y539" s="38"/>
      <c r="Z539" s="38"/>
      <c r="AA539" s="122"/>
      <c r="AB539" s="122"/>
      <c r="AC539" s="122"/>
      <c r="AD539" s="122"/>
      <c r="AE539" s="122"/>
      <c r="AF539" s="122"/>
      <c r="AG539" s="122"/>
      <c r="AH539" s="122"/>
      <c r="AI539" s="122"/>
      <c r="AJ539" s="38"/>
      <c r="AK539" s="122"/>
      <c r="AL539" s="122"/>
      <c r="AM539" s="122"/>
      <c r="AN539" s="122"/>
      <c r="AO539" s="38"/>
      <c r="AP539" s="38"/>
      <c r="AQ539" s="38"/>
      <c r="AR539" s="17"/>
      <c r="AS539" s="1"/>
      <c r="AT539" s="17"/>
      <c r="AU539" s="1"/>
      <c r="AV539" s="17"/>
      <c r="AW539" s="1"/>
      <c r="AX539" s="2"/>
      <c r="AY539" s="1"/>
      <c r="AZ539" s="1"/>
    </row>
    <row x14ac:dyDescent="0.25" r="540" customHeight="1" ht="15">
      <c r="A540" s="1"/>
      <c r="B540" s="1"/>
      <c r="C540" s="1"/>
      <c r="D540" s="1"/>
      <c r="E540" s="1"/>
      <c r="F540" s="1"/>
      <c r="G540" s="1"/>
      <c r="H540" s="1"/>
      <c r="I540" s="1"/>
      <c r="J540" s="1"/>
      <c r="K540" s="17"/>
      <c r="L540" s="1"/>
      <c r="M540" s="1"/>
      <c r="N540" s="2"/>
      <c r="O540" s="2"/>
      <c r="P540" s="17"/>
      <c r="Q540" s="1"/>
      <c r="R540" s="1"/>
      <c r="S540" s="1"/>
      <c r="T540" s="38"/>
      <c r="U540" s="38"/>
      <c r="V540" s="38"/>
      <c r="W540" s="38"/>
      <c r="X540" s="38"/>
      <c r="Y540" s="38"/>
      <c r="Z540" s="38"/>
      <c r="AA540" s="122"/>
      <c r="AB540" s="122"/>
      <c r="AC540" s="122"/>
      <c r="AD540" s="122"/>
      <c r="AE540" s="122"/>
      <c r="AF540" s="122"/>
      <c r="AG540" s="122"/>
      <c r="AH540" s="122"/>
      <c r="AI540" s="122"/>
      <c r="AJ540" s="38"/>
      <c r="AK540" s="122"/>
      <c r="AL540" s="122"/>
      <c r="AM540" s="122"/>
      <c r="AN540" s="122"/>
      <c r="AO540" s="38"/>
      <c r="AP540" s="38"/>
      <c r="AQ540" s="38"/>
      <c r="AR540" s="17"/>
      <c r="AS540" s="1"/>
      <c r="AT540" s="17"/>
      <c r="AU540" s="1"/>
      <c r="AV540" s="17"/>
      <c r="AW540" s="1"/>
      <c r="AX540" s="2"/>
      <c r="AY540" s="1"/>
      <c r="AZ540" s="1"/>
    </row>
    <row x14ac:dyDescent="0.25" r="541" customHeight="1" ht="15">
      <c r="A541" s="1"/>
      <c r="B541" s="1"/>
      <c r="C541" s="1"/>
      <c r="D541" s="1"/>
      <c r="E541" s="1"/>
      <c r="F541" s="1"/>
      <c r="G541" s="1"/>
      <c r="H541" s="1"/>
      <c r="I541" s="1"/>
      <c r="J541" s="1"/>
      <c r="K541" s="17"/>
      <c r="L541" s="1"/>
      <c r="M541" s="1"/>
      <c r="N541" s="2"/>
      <c r="O541" s="2"/>
      <c r="P541" s="17"/>
      <c r="Q541" s="1"/>
      <c r="R541" s="1"/>
      <c r="S541" s="1"/>
      <c r="T541" s="38"/>
      <c r="U541" s="38"/>
      <c r="V541" s="38"/>
      <c r="W541" s="38"/>
      <c r="X541" s="38"/>
      <c r="Y541" s="38"/>
      <c r="Z541" s="38"/>
      <c r="AA541" s="122"/>
      <c r="AB541" s="122"/>
      <c r="AC541" s="122"/>
      <c r="AD541" s="122"/>
      <c r="AE541" s="122"/>
      <c r="AF541" s="122"/>
      <c r="AG541" s="122"/>
      <c r="AH541" s="122"/>
      <c r="AI541" s="122"/>
      <c r="AJ541" s="38"/>
      <c r="AK541" s="122"/>
      <c r="AL541" s="122"/>
      <c r="AM541" s="122"/>
      <c r="AN541" s="122"/>
      <c r="AO541" s="38"/>
      <c r="AP541" s="38"/>
      <c r="AQ541" s="38"/>
      <c r="AR541" s="17"/>
      <c r="AS541" s="1"/>
      <c r="AT541" s="17"/>
      <c r="AU541" s="1"/>
      <c r="AV541" s="17"/>
      <c r="AW541" s="1"/>
      <c r="AX541" s="2"/>
      <c r="AY541" s="1"/>
      <c r="AZ541" s="1"/>
    </row>
    <row x14ac:dyDescent="0.25" r="542" customHeight="1" ht="15">
      <c r="A542" s="1"/>
      <c r="B542" s="1"/>
      <c r="C542" s="1"/>
      <c r="D542" s="1"/>
      <c r="E542" s="1"/>
      <c r="F542" s="1"/>
      <c r="G542" s="1"/>
      <c r="H542" s="1"/>
      <c r="I542" s="1"/>
      <c r="J542" s="1"/>
      <c r="K542" s="17"/>
      <c r="L542" s="1"/>
      <c r="M542" s="1"/>
      <c r="N542" s="2"/>
      <c r="O542" s="2"/>
      <c r="P542" s="17"/>
      <c r="Q542" s="1"/>
      <c r="R542" s="1"/>
      <c r="S542" s="1"/>
      <c r="T542" s="38"/>
      <c r="U542" s="38"/>
      <c r="V542" s="38"/>
      <c r="W542" s="38"/>
      <c r="X542" s="38"/>
      <c r="Y542" s="38"/>
      <c r="Z542" s="38"/>
      <c r="AA542" s="122"/>
      <c r="AB542" s="122"/>
      <c r="AC542" s="122"/>
      <c r="AD542" s="122"/>
      <c r="AE542" s="122"/>
      <c r="AF542" s="122"/>
      <c r="AG542" s="122"/>
      <c r="AH542" s="122"/>
      <c r="AI542" s="122"/>
      <c r="AJ542" s="38"/>
      <c r="AK542" s="122"/>
      <c r="AL542" s="122"/>
      <c r="AM542" s="122"/>
      <c r="AN542" s="122"/>
      <c r="AO542" s="38"/>
      <c r="AP542" s="38"/>
      <c r="AQ542" s="38"/>
      <c r="AR542" s="17"/>
      <c r="AS542" s="1"/>
      <c r="AT542" s="17"/>
      <c r="AU542" s="1"/>
      <c r="AV542" s="17"/>
      <c r="AW542" s="1"/>
      <c r="AX542" s="2"/>
      <c r="AY542" s="1"/>
      <c r="AZ542" s="1"/>
    </row>
    <row x14ac:dyDescent="0.25" r="543" customHeight="1" ht="15">
      <c r="A543" s="1"/>
      <c r="B543" s="1"/>
      <c r="C543" s="1"/>
      <c r="D543" s="1"/>
      <c r="E543" s="1"/>
      <c r="F543" s="1"/>
      <c r="G543" s="1"/>
      <c r="H543" s="1"/>
      <c r="I543" s="1"/>
      <c r="J543" s="1"/>
      <c r="K543" s="17"/>
      <c r="L543" s="1"/>
      <c r="M543" s="1"/>
      <c r="N543" s="2"/>
      <c r="O543" s="2"/>
      <c r="P543" s="17"/>
      <c r="Q543" s="1"/>
      <c r="R543" s="1"/>
      <c r="S543" s="1"/>
      <c r="T543" s="38"/>
      <c r="U543" s="38"/>
      <c r="V543" s="38"/>
      <c r="W543" s="38"/>
      <c r="X543" s="38"/>
      <c r="Y543" s="38"/>
      <c r="Z543" s="38"/>
      <c r="AA543" s="122"/>
      <c r="AB543" s="122"/>
      <c r="AC543" s="122"/>
      <c r="AD543" s="122"/>
      <c r="AE543" s="122"/>
      <c r="AF543" s="122"/>
      <c r="AG543" s="122"/>
      <c r="AH543" s="122"/>
      <c r="AI543" s="122"/>
      <c r="AJ543" s="38"/>
      <c r="AK543" s="122"/>
      <c r="AL543" s="122"/>
      <c r="AM543" s="122"/>
      <c r="AN543" s="122"/>
      <c r="AO543" s="38"/>
      <c r="AP543" s="38"/>
      <c r="AQ543" s="38"/>
      <c r="AR543" s="17"/>
      <c r="AS543" s="1"/>
      <c r="AT543" s="17"/>
      <c r="AU543" s="1"/>
      <c r="AV543" s="17"/>
      <c r="AW543" s="1"/>
      <c r="AX543" s="2"/>
      <c r="AY543" s="1"/>
      <c r="AZ543" s="1"/>
    </row>
    <row x14ac:dyDescent="0.25" r="544" customHeight="1" ht="15">
      <c r="A544" s="1"/>
      <c r="B544" s="1"/>
      <c r="C544" s="1"/>
      <c r="D544" s="1"/>
      <c r="E544" s="1"/>
      <c r="F544" s="1"/>
      <c r="G544" s="1"/>
      <c r="H544" s="1"/>
      <c r="I544" s="1"/>
      <c r="J544" s="1"/>
      <c r="K544" s="17"/>
      <c r="L544" s="1"/>
      <c r="M544" s="1"/>
      <c r="N544" s="2"/>
      <c r="O544" s="2"/>
      <c r="P544" s="17"/>
      <c r="Q544" s="1"/>
      <c r="R544" s="1"/>
      <c r="S544" s="1"/>
      <c r="T544" s="38"/>
      <c r="U544" s="38"/>
      <c r="V544" s="38"/>
      <c r="W544" s="38"/>
      <c r="X544" s="38"/>
      <c r="Y544" s="38"/>
      <c r="Z544" s="38"/>
      <c r="AA544" s="122"/>
      <c r="AB544" s="122"/>
      <c r="AC544" s="122"/>
      <c r="AD544" s="122"/>
      <c r="AE544" s="122"/>
      <c r="AF544" s="122"/>
      <c r="AG544" s="122"/>
      <c r="AH544" s="122"/>
      <c r="AI544" s="122"/>
      <c r="AJ544" s="38"/>
      <c r="AK544" s="122"/>
      <c r="AL544" s="122"/>
      <c r="AM544" s="122"/>
      <c r="AN544" s="122"/>
      <c r="AO544" s="38"/>
      <c r="AP544" s="38"/>
      <c r="AQ544" s="38"/>
      <c r="AR544" s="17"/>
      <c r="AS544" s="1"/>
      <c r="AT544" s="17"/>
      <c r="AU544" s="1"/>
      <c r="AV544" s="17"/>
      <c r="AW544" s="1"/>
      <c r="AX544" s="2"/>
      <c r="AY544" s="1"/>
      <c r="AZ544" s="1"/>
    </row>
    <row x14ac:dyDescent="0.25" r="545" customHeight="1" ht="15">
      <c r="A545" s="1"/>
      <c r="B545" s="1"/>
      <c r="C545" s="1"/>
      <c r="D545" s="1"/>
      <c r="E545" s="1"/>
      <c r="F545" s="1"/>
      <c r="G545" s="1"/>
      <c r="H545" s="1"/>
      <c r="I545" s="1"/>
      <c r="J545" s="1"/>
      <c r="K545" s="17"/>
      <c r="L545" s="1"/>
      <c r="M545" s="1"/>
      <c r="N545" s="2"/>
      <c r="O545" s="2"/>
      <c r="P545" s="17"/>
      <c r="Q545" s="1"/>
      <c r="R545" s="1"/>
      <c r="S545" s="1"/>
      <c r="T545" s="38"/>
      <c r="U545" s="38"/>
      <c r="V545" s="38"/>
      <c r="W545" s="38"/>
      <c r="X545" s="38"/>
      <c r="Y545" s="38"/>
      <c r="Z545" s="38"/>
      <c r="AA545" s="122"/>
      <c r="AB545" s="122"/>
      <c r="AC545" s="122"/>
      <c r="AD545" s="122"/>
      <c r="AE545" s="122"/>
      <c r="AF545" s="122"/>
      <c r="AG545" s="122"/>
      <c r="AH545" s="122"/>
      <c r="AI545" s="122"/>
      <c r="AJ545" s="38"/>
      <c r="AK545" s="122"/>
      <c r="AL545" s="122"/>
      <c r="AM545" s="122"/>
      <c r="AN545" s="122"/>
      <c r="AO545" s="38"/>
      <c r="AP545" s="38"/>
      <c r="AQ545" s="38"/>
      <c r="AR545" s="17"/>
      <c r="AS545" s="1"/>
      <c r="AT545" s="17"/>
      <c r="AU545" s="1"/>
      <c r="AV545" s="17"/>
      <c r="AW545" s="1"/>
      <c r="AX545" s="2"/>
      <c r="AY545" s="1"/>
      <c r="AZ545" s="1"/>
    </row>
    <row x14ac:dyDescent="0.25" r="546" customHeight="1" ht="15">
      <c r="A546" s="1"/>
      <c r="B546" s="1"/>
      <c r="C546" s="1"/>
      <c r="D546" s="1"/>
      <c r="E546" s="1"/>
      <c r="F546" s="1"/>
      <c r="G546" s="1"/>
      <c r="H546" s="1"/>
      <c r="I546" s="1"/>
      <c r="J546" s="1"/>
      <c r="K546" s="17"/>
      <c r="L546" s="1"/>
      <c r="M546" s="1"/>
      <c r="N546" s="2"/>
      <c r="O546" s="2"/>
      <c r="P546" s="17"/>
      <c r="Q546" s="1"/>
      <c r="R546" s="1"/>
      <c r="S546" s="1"/>
      <c r="T546" s="38"/>
      <c r="U546" s="38"/>
      <c r="V546" s="38"/>
      <c r="W546" s="38"/>
      <c r="X546" s="38"/>
      <c r="Y546" s="38"/>
      <c r="Z546" s="38"/>
      <c r="AA546" s="122"/>
      <c r="AB546" s="122"/>
      <c r="AC546" s="122"/>
      <c r="AD546" s="122"/>
      <c r="AE546" s="122"/>
      <c r="AF546" s="122"/>
      <c r="AG546" s="122"/>
      <c r="AH546" s="122"/>
      <c r="AI546" s="122"/>
      <c r="AJ546" s="38"/>
      <c r="AK546" s="122"/>
      <c r="AL546" s="122"/>
      <c r="AM546" s="122"/>
      <c r="AN546" s="122"/>
      <c r="AO546" s="38"/>
      <c r="AP546" s="38"/>
      <c r="AQ546" s="38"/>
      <c r="AR546" s="17"/>
      <c r="AS546" s="1"/>
      <c r="AT546" s="17"/>
      <c r="AU546" s="1"/>
      <c r="AV546" s="17"/>
      <c r="AW546" s="1"/>
      <c r="AX546" s="2"/>
      <c r="AY546" s="1"/>
      <c r="AZ546" s="1"/>
    </row>
    <row x14ac:dyDescent="0.25" r="547" customHeight="1" ht="15">
      <c r="A547" s="1"/>
      <c r="B547" s="1"/>
      <c r="C547" s="1"/>
      <c r="D547" s="1"/>
      <c r="E547" s="1"/>
      <c r="F547" s="1"/>
      <c r="G547" s="1"/>
      <c r="H547" s="1"/>
      <c r="I547" s="1"/>
      <c r="J547" s="1"/>
      <c r="K547" s="17"/>
      <c r="L547" s="1"/>
      <c r="M547" s="1"/>
      <c r="N547" s="2"/>
      <c r="O547" s="2"/>
      <c r="P547" s="17"/>
      <c r="Q547" s="1"/>
      <c r="R547" s="1"/>
      <c r="S547" s="1"/>
      <c r="T547" s="38"/>
      <c r="U547" s="38"/>
      <c r="V547" s="38"/>
      <c r="W547" s="38"/>
      <c r="X547" s="38"/>
      <c r="Y547" s="38"/>
      <c r="Z547" s="38"/>
      <c r="AA547" s="122"/>
      <c r="AB547" s="122"/>
      <c r="AC547" s="122"/>
      <c r="AD547" s="122"/>
      <c r="AE547" s="122"/>
      <c r="AF547" s="122"/>
      <c r="AG547" s="122"/>
      <c r="AH547" s="122"/>
      <c r="AI547" s="122"/>
      <c r="AJ547" s="38"/>
      <c r="AK547" s="122"/>
      <c r="AL547" s="122"/>
      <c r="AM547" s="122"/>
      <c r="AN547" s="122"/>
      <c r="AO547" s="38"/>
      <c r="AP547" s="38"/>
      <c r="AQ547" s="38"/>
      <c r="AR547" s="17"/>
      <c r="AS547" s="1"/>
      <c r="AT547" s="17"/>
      <c r="AU547" s="1"/>
      <c r="AV547" s="17"/>
      <c r="AW547" s="1"/>
      <c r="AX547" s="2"/>
      <c r="AY547" s="1"/>
      <c r="AZ547" s="1"/>
    </row>
    <row x14ac:dyDescent="0.25" r="548" customHeight="1" ht="15">
      <c r="A548" s="1"/>
      <c r="B548" s="1"/>
      <c r="C548" s="1"/>
      <c r="D548" s="1"/>
      <c r="E548" s="1"/>
      <c r="F548" s="1"/>
      <c r="G548" s="1"/>
      <c r="H548" s="1"/>
      <c r="I548" s="1"/>
      <c r="J548" s="1"/>
      <c r="K548" s="17"/>
      <c r="L548" s="1"/>
      <c r="M548" s="1"/>
      <c r="N548" s="2"/>
      <c r="O548" s="2"/>
      <c r="P548" s="17"/>
      <c r="Q548" s="1"/>
      <c r="R548" s="1"/>
      <c r="S548" s="1"/>
      <c r="T548" s="38"/>
      <c r="U548" s="38"/>
      <c r="V548" s="38"/>
      <c r="W548" s="38"/>
      <c r="X548" s="38"/>
      <c r="Y548" s="38"/>
      <c r="Z548" s="38"/>
      <c r="AA548" s="122"/>
      <c r="AB548" s="122"/>
      <c r="AC548" s="122"/>
      <c r="AD548" s="122"/>
      <c r="AE548" s="122"/>
      <c r="AF548" s="122"/>
      <c r="AG548" s="122"/>
      <c r="AH548" s="122"/>
      <c r="AI548" s="122"/>
      <c r="AJ548" s="38"/>
      <c r="AK548" s="122"/>
      <c r="AL548" s="122"/>
      <c r="AM548" s="122"/>
      <c r="AN548" s="122"/>
      <c r="AO548" s="38"/>
      <c r="AP548" s="38"/>
      <c r="AQ548" s="38"/>
      <c r="AR548" s="17"/>
      <c r="AS548" s="1"/>
      <c r="AT548" s="17"/>
      <c r="AU548" s="1"/>
      <c r="AV548" s="17"/>
      <c r="AW548" s="1"/>
      <c r="AX548" s="2"/>
      <c r="AY548" s="1"/>
      <c r="AZ548" s="1"/>
    </row>
    <row x14ac:dyDescent="0.25" r="549" customHeight="1" ht="15">
      <c r="A549" s="1"/>
      <c r="B549" s="1"/>
      <c r="C549" s="1"/>
      <c r="D549" s="1"/>
      <c r="E549" s="1"/>
      <c r="F549" s="1"/>
      <c r="G549" s="1"/>
      <c r="H549" s="1"/>
      <c r="I549" s="1"/>
      <c r="J549" s="1"/>
      <c r="K549" s="17"/>
      <c r="L549" s="1"/>
      <c r="M549" s="1"/>
      <c r="N549" s="2"/>
      <c r="O549" s="2"/>
      <c r="P549" s="17"/>
      <c r="Q549" s="1"/>
      <c r="R549" s="1"/>
      <c r="S549" s="1"/>
      <c r="T549" s="38"/>
      <c r="U549" s="38"/>
      <c r="V549" s="38"/>
      <c r="W549" s="38"/>
      <c r="X549" s="38"/>
      <c r="Y549" s="38"/>
      <c r="Z549" s="38"/>
      <c r="AA549" s="122"/>
      <c r="AB549" s="122"/>
      <c r="AC549" s="122"/>
      <c r="AD549" s="122"/>
      <c r="AE549" s="122"/>
      <c r="AF549" s="122"/>
      <c r="AG549" s="122"/>
      <c r="AH549" s="122"/>
      <c r="AI549" s="122"/>
      <c r="AJ549" s="38"/>
      <c r="AK549" s="122"/>
      <c r="AL549" s="122"/>
      <c r="AM549" s="122"/>
      <c r="AN549" s="122"/>
      <c r="AO549" s="38"/>
      <c r="AP549" s="38"/>
      <c r="AQ549" s="38"/>
      <c r="AR549" s="17"/>
      <c r="AS549" s="1"/>
      <c r="AT549" s="17"/>
      <c r="AU549" s="1"/>
      <c r="AV549" s="17"/>
      <c r="AW549" s="1"/>
      <c r="AX549" s="2"/>
      <c r="AY549" s="1"/>
      <c r="AZ549" s="1"/>
    </row>
    <row x14ac:dyDescent="0.25" r="550" customHeight="1" ht="15">
      <c r="A550" s="1"/>
      <c r="B550" s="1"/>
      <c r="C550" s="1"/>
      <c r="D550" s="1"/>
      <c r="E550" s="1"/>
      <c r="F550" s="1"/>
      <c r="G550" s="1"/>
      <c r="H550" s="1"/>
      <c r="I550" s="1"/>
      <c r="J550" s="1"/>
      <c r="K550" s="17"/>
      <c r="L550" s="1"/>
      <c r="M550" s="1"/>
      <c r="N550" s="2"/>
      <c r="O550" s="2"/>
      <c r="P550" s="17"/>
      <c r="Q550" s="1"/>
      <c r="R550" s="1"/>
      <c r="S550" s="1"/>
      <c r="T550" s="38"/>
      <c r="U550" s="38"/>
      <c r="V550" s="38"/>
      <c r="W550" s="38"/>
      <c r="X550" s="38"/>
      <c r="Y550" s="38"/>
      <c r="Z550" s="38"/>
      <c r="AA550" s="122"/>
      <c r="AB550" s="122"/>
      <c r="AC550" s="122"/>
      <c r="AD550" s="122"/>
      <c r="AE550" s="122"/>
      <c r="AF550" s="122"/>
      <c r="AG550" s="122"/>
      <c r="AH550" s="122"/>
      <c r="AI550" s="122"/>
      <c r="AJ550" s="38"/>
      <c r="AK550" s="122"/>
      <c r="AL550" s="122"/>
      <c r="AM550" s="122"/>
      <c r="AN550" s="122"/>
      <c r="AO550" s="38"/>
      <c r="AP550" s="38"/>
      <c r="AQ550" s="38"/>
      <c r="AR550" s="17"/>
      <c r="AS550" s="1"/>
      <c r="AT550" s="17"/>
      <c r="AU550" s="1"/>
      <c r="AV550" s="17"/>
      <c r="AW550" s="1"/>
      <c r="AX550" s="2"/>
      <c r="AY550" s="1"/>
      <c r="AZ550" s="1"/>
    </row>
    <row x14ac:dyDescent="0.25" r="551" customHeight="1" ht="15">
      <c r="A551" s="1"/>
      <c r="B551" s="1"/>
      <c r="C551" s="1"/>
      <c r="D551" s="1"/>
      <c r="E551" s="1"/>
      <c r="F551" s="1"/>
      <c r="G551" s="1"/>
      <c r="H551" s="1"/>
      <c r="I551" s="1"/>
      <c r="J551" s="1"/>
      <c r="K551" s="17"/>
      <c r="L551" s="1"/>
      <c r="M551" s="1"/>
      <c r="N551" s="2"/>
      <c r="O551" s="2"/>
      <c r="P551" s="17"/>
      <c r="Q551" s="1"/>
      <c r="R551" s="1"/>
      <c r="S551" s="1"/>
      <c r="T551" s="38"/>
      <c r="U551" s="38"/>
      <c r="V551" s="38"/>
      <c r="W551" s="38"/>
      <c r="X551" s="38"/>
      <c r="Y551" s="38"/>
      <c r="Z551" s="38"/>
      <c r="AA551" s="122"/>
      <c r="AB551" s="122"/>
      <c r="AC551" s="122"/>
      <c r="AD551" s="122"/>
      <c r="AE551" s="122"/>
      <c r="AF551" s="122"/>
      <c r="AG551" s="122"/>
      <c r="AH551" s="122"/>
      <c r="AI551" s="122"/>
      <c r="AJ551" s="38"/>
      <c r="AK551" s="122"/>
      <c r="AL551" s="122"/>
      <c r="AM551" s="122"/>
      <c r="AN551" s="122"/>
      <c r="AO551" s="38"/>
      <c r="AP551" s="38"/>
      <c r="AQ551" s="38"/>
      <c r="AR551" s="17"/>
      <c r="AS551" s="1"/>
      <c r="AT551" s="17"/>
      <c r="AU551" s="1"/>
      <c r="AV551" s="17"/>
      <c r="AW551" s="1"/>
      <c r="AX551" s="2"/>
      <c r="AY551" s="1"/>
      <c r="AZ551" s="1"/>
    </row>
    <row x14ac:dyDescent="0.25" r="552" customHeight="1" ht="15">
      <c r="A552" s="1"/>
      <c r="B552" s="1"/>
      <c r="C552" s="1"/>
      <c r="D552" s="1"/>
      <c r="E552" s="1"/>
      <c r="F552" s="1"/>
      <c r="G552" s="1"/>
      <c r="H552" s="1"/>
      <c r="I552" s="1"/>
      <c r="J552" s="1"/>
      <c r="K552" s="17"/>
      <c r="L552" s="1"/>
      <c r="M552" s="1"/>
      <c r="N552" s="2"/>
      <c r="O552" s="2"/>
      <c r="P552" s="17"/>
      <c r="Q552" s="1"/>
      <c r="R552" s="1"/>
      <c r="S552" s="1"/>
      <c r="T552" s="38"/>
      <c r="U552" s="38"/>
      <c r="V552" s="38"/>
      <c r="W552" s="38"/>
      <c r="X552" s="38"/>
      <c r="Y552" s="38"/>
      <c r="Z552" s="38"/>
      <c r="AA552" s="122"/>
      <c r="AB552" s="122"/>
      <c r="AC552" s="122"/>
      <c r="AD552" s="122"/>
      <c r="AE552" s="122"/>
      <c r="AF552" s="122"/>
      <c r="AG552" s="122"/>
      <c r="AH552" s="122"/>
      <c r="AI552" s="122"/>
      <c r="AJ552" s="38"/>
      <c r="AK552" s="122"/>
      <c r="AL552" s="122"/>
      <c r="AM552" s="122"/>
      <c r="AN552" s="122"/>
      <c r="AO552" s="38"/>
      <c r="AP552" s="38"/>
      <c r="AQ552" s="38"/>
      <c r="AR552" s="17"/>
      <c r="AS552" s="1"/>
      <c r="AT552" s="17"/>
      <c r="AU552" s="1"/>
      <c r="AV552" s="17"/>
      <c r="AW552" s="1"/>
      <c r="AX552" s="2"/>
      <c r="AY552" s="1"/>
      <c r="AZ552" s="1"/>
    </row>
    <row x14ac:dyDescent="0.25" r="553" customHeight="1" ht="15">
      <c r="A553" s="1"/>
      <c r="B553" s="1"/>
      <c r="C553" s="1"/>
      <c r="D553" s="1"/>
      <c r="E553" s="1"/>
      <c r="F553" s="1"/>
      <c r="G553" s="1"/>
      <c r="H553" s="1"/>
      <c r="I553" s="1"/>
      <c r="J553" s="1"/>
      <c r="K553" s="17"/>
      <c r="L553" s="1"/>
      <c r="M553" s="1"/>
      <c r="N553" s="2"/>
      <c r="O553" s="2"/>
      <c r="P553" s="17"/>
      <c r="Q553" s="1"/>
      <c r="R553" s="1"/>
      <c r="S553" s="1"/>
      <c r="T553" s="38"/>
      <c r="U553" s="38"/>
      <c r="V553" s="38"/>
      <c r="W553" s="38"/>
      <c r="X553" s="38"/>
      <c r="Y553" s="38"/>
      <c r="Z553" s="38"/>
      <c r="AA553" s="122"/>
      <c r="AB553" s="122"/>
      <c r="AC553" s="122"/>
      <c r="AD553" s="122"/>
      <c r="AE553" s="122"/>
      <c r="AF553" s="122"/>
      <c r="AG553" s="122"/>
      <c r="AH553" s="122"/>
      <c r="AI553" s="122"/>
      <c r="AJ553" s="38"/>
      <c r="AK553" s="122"/>
      <c r="AL553" s="122"/>
      <c r="AM553" s="122"/>
      <c r="AN553" s="122"/>
      <c r="AO553" s="38"/>
      <c r="AP553" s="38"/>
      <c r="AQ553" s="38"/>
      <c r="AR553" s="17"/>
      <c r="AS553" s="1"/>
      <c r="AT553" s="17"/>
      <c r="AU553" s="1"/>
      <c r="AV553" s="17"/>
      <c r="AW553" s="1"/>
      <c r="AX553" s="2"/>
      <c r="AY553" s="1"/>
      <c r="AZ553" s="1"/>
    </row>
    <row x14ac:dyDescent="0.25" r="554" customHeight="1" ht="15">
      <c r="A554" s="1"/>
      <c r="B554" s="1"/>
      <c r="C554" s="1"/>
      <c r="D554" s="1"/>
      <c r="E554" s="1"/>
      <c r="F554" s="1"/>
      <c r="G554" s="1"/>
      <c r="H554" s="1"/>
      <c r="I554" s="1"/>
      <c r="J554" s="1"/>
      <c r="K554" s="17"/>
      <c r="L554" s="1"/>
      <c r="M554" s="1"/>
      <c r="N554" s="2"/>
      <c r="O554" s="2"/>
      <c r="P554" s="17"/>
      <c r="Q554" s="1"/>
      <c r="R554" s="1"/>
      <c r="S554" s="1"/>
      <c r="T554" s="38"/>
      <c r="U554" s="38"/>
      <c r="V554" s="38"/>
      <c r="W554" s="38"/>
      <c r="X554" s="38"/>
      <c r="Y554" s="38"/>
      <c r="Z554" s="38"/>
      <c r="AA554" s="122"/>
      <c r="AB554" s="122"/>
      <c r="AC554" s="122"/>
      <c r="AD554" s="122"/>
      <c r="AE554" s="122"/>
      <c r="AF554" s="122"/>
      <c r="AG554" s="122"/>
      <c r="AH554" s="122"/>
      <c r="AI554" s="122"/>
      <c r="AJ554" s="38"/>
      <c r="AK554" s="122"/>
      <c r="AL554" s="122"/>
      <c r="AM554" s="122"/>
      <c r="AN554" s="122"/>
      <c r="AO554" s="38"/>
      <c r="AP554" s="38"/>
      <c r="AQ554" s="38"/>
      <c r="AR554" s="17"/>
      <c r="AS554" s="1"/>
      <c r="AT554" s="17"/>
      <c r="AU554" s="1"/>
      <c r="AV554" s="17"/>
      <c r="AW554" s="1"/>
      <c r="AX554" s="2"/>
      <c r="AY554" s="1"/>
      <c r="AZ554" s="1"/>
    </row>
    <row x14ac:dyDescent="0.25" r="555" customHeight="1" ht="15">
      <c r="A555" s="1"/>
      <c r="B555" s="1"/>
      <c r="C555" s="1"/>
      <c r="D555" s="1"/>
      <c r="E555" s="1"/>
      <c r="F555" s="1"/>
      <c r="G555" s="1"/>
      <c r="H555" s="1"/>
      <c r="I555" s="1"/>
      <c r="J555" s="1"/>
      <c r="K555" s="17"/>
      <c r="L555" s="1"/>
      <c r="M555" s="1"/>
      <c r="N555" s="2"/>
      <c r="O555" s="2"/>
      <c r="P555" s="17"/>
      <c r="Q555" s="1"/>
      <c r="R555" s="1"/>
      <c r="S555" s="1"/>
      <c r="T555" s="38"/>
      <c r="U555" s="38"/>
      <c r="V555" s="38"/>
      <c r="W555" s="38"/>
      <c r="X555" s="38"/>
      <c r="Y555" s="38"/>
      <c r="Z555" s="38"/>
      <c r="AA555" s="122"/>
      <c r="AB555" s="122"/>
      <c r="AC555" s="122"/>
      <c r="AD555" s="122"/>
      <c r="AE555" s="122"/>
      <c r="AF555" s="122"/>
      <c r="AG555" s="122"/>
      <c r="AH555" s="122"/>
      <c r="AI555" s="122"/>
      <c r="AJ555" s="38"/>
      <c r="AK555" s="122"/>
      <c r="AL555" s="122"/>
      <c r="AM555" s="122"/>
      <c r="AN555" s="122"/>
      <c r="AO555" s="38"/>
      <c r="AP555" s="38"/>
      <c r="AQ555" s="38"/>
      <c r="AR555" s="17"/>
      <c r="AS555" s="1"/>
      <c r="AT555" s="17"/>
      <c r="AU555" s="1"/>
      <c r="AV555" s="17"/>
      <c r="AW555" s="1"/>
      <c r="AX555" s="2"/>
      <c r="AY555" s="1"/>
      <c r="AZ555" s="1"/>
    </row>
    <row x14ac:dyDescent="0.25" r="556" customHeight="1" ht="15">
      <c r="A556" s="1"/>
      <c r="B556" s="1"/>
      <c r="C556" s="1"/>
      <c r="D556" s="1"/>
      <c r="E556" s="1"/>
      <c r="F556" s="1"/>
      <c r="G556" s="1"/>
      <c r="H556" s="1"/>
      <c r="I556" s="1"/>
      <c r="J556" s="1"/>
      <c r="K556" s="17"/>
      <c r="L556" s="1"/>
      <c r="M556" s="1"/>
      <c r="N556" s="2"/>
      <c r="O556" s="2"/>
      <c r="P556" s="17"/>
      <c r="Q556" s="1"/>
      <c r="R556" s="1"/>
      <c r="S556" s="1"/>
      <c r="T556" s="38"/>
      <c r="U556" s="38"/>
      <c r="V556" s="38"/>
      <c r="W556" s="38"/>
      <c r="X556" s="38"/>
      <c r="Y556" s="38"/>
      <c r="Z556" s="38"/>
      <c r="AA556" s="122"/>
      <c r="AB556" s="122"/>
      <c r="AC556" s="122"/>
      <c r="AD556" s="122"/>
      <c r="AE556" s="122"/>
      <c r="AF556" s="122"/>
      <c r="AG556" s="122"/>
      <c r="AH556" s="122"/>
      <c r="AI556" s="122"/>
      <c r="AJ556" s="38"/>
      <c r="AK556" s="122"/>
      <c r="AL556" s="122"/>
      <c r="AM556" s="122"/>
      <c r="AN556" s="122"/>
      <c r="AO556" s="38"/>
      <c r="AP556" s="38"/>
      <c r="AQ556" s="38"/>
      <c r="AR556" s="17"/>
      <c r="AS556" s="1"/>
      <c r="AT556" s="17"/>
      <c r="AU556" s="1"/>
      <c r="AV556" s="17"/>
      <c r="AW556" s="1"/>
      <c r="AX556" s="2"/>
      <c r="AY556" s="1"/>
      <c r="AZ556" s="1"/>
    </row>
    <row x14ac:dyDescent="0.25" r="557" customHeight="1" ht="15">
      <c r="A557" s="1"/>
      <c r="B557" s="1"/>
      <c r="C557" s="1"/>
      <c r="D557" s="1"/>
      <c r="E557" s="1"/>
      <c r="F557" s="1"/>
      <c r="G557" s="1"/>
      <c r="H557" s="1"/>
      <c r="I557" s="1"/>
      <c r="J557" s="1"/>
      <c r="K557" s="17"/>
      <c r="L557" s="1"/>
      <c r="M557" s="1"/>
      <c r="N557" s="2"/>
      <c r="O557" s="2"/>
      <c r="P557" s="17"/>
      <c r="Q557" s="1"/>
      <c r="R557" s="1"/>
      <c r="S557" s="1"/>
      <c r="T557" s="38"/>
      <c r="U557" s="38"/>
      <c r="V557" s="38"/>
      <c r="W557" s="38"/>
      <c r="X557" s="38"/>
      <c r="Y557" s="38"/>
      <c r="Z557" s="38"/>
      <c r="AA557" s="122"/>
      <c r="AB557" s="122"/>
      <c r="AC557" s="122"/>
      <c r="AD557" s="122"/>
      <c r="AE557" s="122"/>
      <c r="AF557" s="122"/>
      <c r="AG557" s="122"/>
      <c r="AH557" s="122"/>
      <c r="AI557" s="122"/>
      <c r="AJ557" s="38"/>
      <c r="AK557" s="122"/>
      <c r="AL557" s="122"/>
      <c r="AM557" s="122"/>
      <c r="AN557" s="122"/>
      <c r="AO557" s="38"/>
      <c r="AP557" s="38"/>
      <c r="AQ557" s="38"/>
      <c r="AR557" s="17"/>
      <c r="AS557" s="1"/>
      <c r="AT557" s="17"/>
      <c r="AU557" s="1"/>
      <c r="AV557" s="17"/>
      <c r="AW557" s="1"/>
      <c r="AX557" s="2"/>
      <c r="AY557" s="1"/>
      <c r="AZ557" s="1"/>
    </row>
    <row x14ac:dyDescent="0.25" r="558" customHeight="1" ht="15">
      <c r="A558" s="1"/>
      <c r="B558" s="1"/>
      <c r="C558" s="1"/>
      <c r="D558" s="1"/>
      <c r="E558" s="1"/>
      <c r="F558" s="1"/>
      <c r="G558" s="1"/>
      <c r="H558" s="1"/>
      <c r="I558" s="1"/>
      <c r="J558" s="1"/>
      <c r="K558" s="17"/>
      <c r="L558" s="1"/>
      <c r="M558" s="1"/>
      <c r="N558" s="2"/>
      <c r="O558" s="2"/>
      <c r="P558" s="17"/>
      <c r="Q558" s="1"/>
      <c r="R558" s="1"/>
      <c r="S558" s="1"/>
      <c r="T558" s="38"/>
      <c r="U558" s="38"/>
      <c r="V558" s="38"/>
      <c r="W558" s="38"/>
      <c r="X558" s="38"/>
      <c r="Y558" s="38"/>
      <c r="Z558" s="38"/>
      <c r="AA558" s="122"/>
      <c r="AB558" s="122"/>
      <c r="AC558" s="122"/>
      <c r="AD558" s="122"/>
      <c r="AE558" s="122"/>
      <c r="AF558" s="122"/>
      <c r="AG558" s="122"/>
      <c r="AH558" s="122"/>
      <c r="AI558" s="122"/>
      <c r="AJ558" s="38"/>
      <c r="AK558" s="122"/>
      <c r="AL558" s="122"/>
      <c r="AM558" s="122"/>
      <c r="AN558" s="122"/>
      <c r="AO558" s="38"/>
      <c r="AP558" s="38"/>
      <c r="AQ558" s="38"/>
      <c r="AR558" s="17"/>
      <c r="AS558" s="1"/>
      <c r="AT558" s="17"/>
      <c r="AU558" s="1"/>
      <c r="AV558" s="17"/>
      <c r="AW558" s="1"/>
      <c r="AX558" s="2"/>
      <c r="AY558" s="1"/>
      <c r="AZ558" s="1"/>
    </row>
    <row x14ac:dyDescent="0.25" r="559" customHeight="1" ht="15">
      <c r="A559" s="1"/>
      <c r="B559" s="1"/>
      <c r="C559" s="1"/>
      <c r="D559" s="1"/>
      <c r="E559" s="1"/>
      <c r="F559" s="1"/>
      <c r="G559" s="1"/>
      <c r="H559" s="1"/>
      <c r="I559" s="1"/>
      <c r="J559" s="1"/>
      <c r="K559" s="17"/>
      <c r="L559" s="1"/>
      <c r="M559" s="1"/>
      <c r="N559" s="2"/>
      <c r="O559" s="2"/>
      <c r="P559" s="17"/>
      <c r="Q559" s="1"/>
      <c r="R559" s="1"/>
      <c r="S559" s="1"/>
      <c r="T559" s="38"/>
      <c r="U559" s="38"/>
      <c r="V559" s="38"/>
      <c r="W559" s="38"/>
      <c r="X559" s="38"/>
      <c r="Y559" s="38"/>
      <c r="Z559" s="38"/>
      <c r="AA559" s="122"/>
      <c r="AB559" s="122"/>
      <c r="AC559" s="122"/>
      <c r="AD559" s="122"/>
      <c r="AE559" s="122"/>
      <c r="AF559" s="122"/>
      <c r="AG559" s="122"/>
      <c r="AH559" s="122"/>
      <c r="AI559" s="122"/>
      <c r="AJ559" s="38"/>
      <c r="AK559" s="122"/>
      <c r="AL559" s="122"/>
      <c r="AM559" s="122"/>
      <c r="AN559" s="122"/>
      <c r="AO559" s="38"/>
      <c r="AP559" s="38"/>
      <c r="AQ559" s="38"/>
      <c r="AR559" s="17"/>
      <c r="AS559" s="1"/>
      <c r="AT559" s="17"/>
      <c r="AU559" s="1"/>
      <c r="AV559" s="17"/>
      <c r="AW559" s="1"/>
      <c r="AX559" s="2"/>
      <c r="AY559" s="1"/>
      <c r="AZ559" s="1"/>
    </row>
    <row x14ac:dyDescent="0.25" r="560" customHeight="1" ht="15">
      <c r="A560" s="1"/>
      <c r="B560" s="1"/>
      <c r="C560" s="1"/>
      <c r="D560" s="1"/>
      <c r="E560" s="1"/>
      <c r="F560" s="1"/>
      <c r="G560" s="1"/>
      <c r="H560" s="1"/>
      <c r="I560" s="1"/>
      <c r="J560" s="1"/>
      <c r="K560" s="17"/>
      <c r="L560" s="1"/>
      <c r="M560" s="1"/>
      <c r="N560" s="2"/>
      <c r="O560" s="2"/>
      <c r="P560" s="17"/>
      <c r="Q560" s="1"/>
      <c r="R560" s="1"/>
      <c r="S560" s="1"/>
      <c r="T560" s="38"/>
      <c r="U560" s="38"/>
      <c r="V560" s="38"/>
      <c r="W560" s="38"/>
      <c r="X560" s="38"/>
      <c r="Y560" s="38"/>
      <c r="Z560" s="38"/>
      <c r="AA560" s="122"/>
      <c r="AB560" s="122"/>
      <c r="AC560" s="122"/>
      <c r="AD560" s="122"/>
      <c r="AE560" s="122"/>
      <c r="AF560" s="122"/>
      <c r="AG560" s="122"/>
      <c r="AH560" s="122"/>
      <c r="AI560" s="122"/>
      <c r="AJ560" s="38"/>
      <c r="AK560" s="122"/>
      <c r="AL560" s="122"/>
      <c r="AM560" s="122"/>
      <c r="AN560" s="122"/>
      <c r="AO560" s="38"/>
      <c r="AP560" s="38"/>
      <c r="AQ560" s="38"/>
      <c r="AR560" s="17"/>
      <c r="AS560" s="1"/>
      <c r="AT560" s="17"/>
      <c r="AU560" s="1"/>
      <c r="AV560" s="17"/>
      <c r="AW560" s="1"/>
      <c r="AX560" s="2"/>
      <c r="AY560" s="1"/>
      <c r="AZ560" s="1"/>
    </row>
    <row x14ac:dyDescent="0.25" r="561" customHeight="1" ht="15">
      <c r="A561" s="1"/>
      <c r="B561" s="1"/>
      <c r="C561" s="1"/>
      <c r="D561" s="1"/>
      <c r="E561" s="1"/>
      <c r="F561" s="1"/>
      <c r="G561" s="1"/>
      <c r="H561" s="1"/>
      <c r="I561" s="1"/>
      <c r="J561" s="1"/>
      <c r="K561" s="17"/>
      <c r="L561" s="1"/>
      <c r="M561" s="1"/>
      <c r="N561" s="2"/>
      <c r="O561" s="2"/>
      <c r="P561" s="17"/>
      <c r="Q561" s="1"/>
      <c r="R561" s="1"/>
      <c r="S561" s="1"/>
      <c r="T561" s="38"/>
      <c r="U561" s="38"/>
      <c r="V561" s="38"/>
      <c r="W561" s="38"/>
      <c r="X561" s="38"/>
      <c r="Y561" s="38"/>
      <c r="Z561" s="38"/>
      <c r="AA561" s="122"/>
      <c r="AB561" s="122"/>
      <c r="AC561" s="122"/>
      <c r="AD561" s="122"/>
      <c r="AE561" s="122"/>
      <c r="AF561" s="122"/>
      <c r="AG561" s="122"/>
      <c r="AH561" s="122"/>
      <c r="AI561" s="122"/>
      <c r="AJ561" s="38"/>
      <c r="AK561" s="122"/>
      <c r="AL561" s="122"/>
      <c r="AM561" s="122"/>
      <c r="AN561" s="122"/>
      <c r="AO561" s="38"/>
      <c r="AP561" s="38"/>
      <c r="AQ561" s="38"/>
      <c r="AR561" s="17"/>
      <c r="AS561" s="1"/>
      <c r="AT561" s="17"/>
      <c r="AU561" s="1"/>
      <c r="AV561" s="17"/>
      <c r="AW561" s="1"/>
      <c r="AX561" s="2"/>
      <c r="AY561" s="1"/>
      <c r="AZ561" s="1"/>
    </row>
    <row x14ac:dyDescent="0.25" r="562" customHeight="1" ht="15">
      <c r="A562" s="1"/>
      <c r="B562" s="1"/>
      <c r="C562" s="1"/>
      <c r="D562" s="1"/>
      <c r="E562" s="1"/>
      <c r="F562" s="1"/>
      <c r="G562" s="1"/>
      <c r="H562" s="1"/>
      <c r="I562" s="1"/>
      <c r="J562" s="1"/>
      <c r="K562" s="17"/>
      <c r="L562" s="1"/>
      <c r="M562" s="1"/>
      <c r="N562" s="2"/>
      <c r="O562" s="2"/>
      <c r="P562" s="17"/>
      <c r="Q562" s="1"/>
      <c r="R562" s="1"/>
      <c r="S562" s="1"/>
      <c r="T562" s="38"/>
      <c r="U562" s="38"/>
      <c r="V562" s="38"/>
      <c r="W562" s="38"/>
      <c r="X562" s="38"/>
      <c r="Y562" s="38"/>
      <c r="Z562" s="38"/>
      <c r="AA562" s="122"/>
      <c r="AB562" s="122"/>
      <c r="AC562" s="122"/>
      <c r="AD562" s="122"/>
      <c r="AE562" s="122"/>
      <c r="AF562" s="122"/>
      <c r="AG562" s="122"/>
      <c r="AH562" s="122"/>
      <c r="AI562" s="122"/>
      <c r="AJ562" s="38"/>
      <c r="AK562" s="122"/>
      <c r="AL562" s="122"/>
      <c r="AM562" s="122"/>
      <c r="AN562" s="122"/>
      <c r="AO562" s="38"/>
      <c r="AP562" s="38"/>
      <c r="AQ562" s="38"/>
      <c r="AR562" s="17"/>
      <c r="AS562" s="1"/>
      <c r="AT562" s="17"/>
      <c r="AU562" s="1"/>
      <c r="AV562" s="17"/>
      <c r="AW562" s="1"/>
      <c r="AX562" s="2"/>
      <c r="AY562" s="1"/>
      <c r="AZ562" s="1"/>
    </row>
    <row x14ac:dyDescent="0.25" r="563" customHeight="1" ht="15">
      <c r="A563" s="1"/>
      <c r="B563" s="1"/>
      <c r="C563" s="1"/>
      <c r="D563" s="1"/>
      <c r="E563" s="1"/>
      <c r="F563" s="1"/>
      <c r="G563" s="1"/>
      <c r="H563" s="1"/>
      <c r="I563" s="1"/>
      <c r="J563" s="1"/>
      <c r="K563" s="17"/>
      <c r="L563" s="1"/>
      <c r="M563" s="1"/>
      <c r="N563" s="2"/>
      <c r="O563" s="2"/>
      <c r="P563" s="17"/>
      <c r="Q563" s="1"/>
      <c r="R563" s="1"/>
      <c r="S563" s="1"/>
      <c r="T563" s="38"/>
      <c r="U563" s="38"/>
      <c r="V563" s="38"/>
      <c r="W563" s="38"/>
      <c r="X563" s="38"/>
      <c r="Y563" s="38"/>
      <c r="Z563" s="38"/>
      <c r="AA563" s="122"/>
      <c r="AB563" s="122"/>
      <c r="AC563" s="122"/>
      <c r="AD563" s="122"/>
      <c r="AE563" s="122"/>
      <c r="AF563" s="122"/>
      <c r="AG563" s="122"/>
      <c r="AH563" s="122"/>
      <c r="AI563" s="122"/>
      <c r="AJ563" s="38"/>
      <c r="AK563" s="122"/>
      <c r="AL563" s="122"/>
      <c r="AM563" s="122"/>
      <c r="AN563" s="122"/>
      <c r="AO563" s="38"/>
      <c r="AP563" s="38"/>
      <c r="AQ563" s="38"/>
      <c r="AR563" s="17"/>
      <c r="AS563" s="1"/>
      <c r="AT563" s="17"/>
      <c r="AU563" s="1"/>
      <c r="AV563" s="17"/>
      <c r="AW563" s="1"/>
      <c r="AX563" s="2"/>
      <c r="AY563" s="1"/>
      <c r="AZ563" s="1"/>
    </row>
    <row x14ac:dyDescent="0.25" r="564" customHeight="1" ht="15">
      <c r="A564" s="1"/>
      <c r="B564" s="1"/>
      <c r="C564" s="1"/>
      <c r="D564" s="1"/>
      <c r="E564" s="1"/>
      <c r="F564" s="1"/>
      <c r="G564" s="1"/>
      <c r="H564" s="1"/>
      <c r="I564" s="1"/>
      <c r="J564" s="1"/>
      <c r="K564" s="17"/>
      <c r="L564" s="1"/>
      <c r="M564" s="1"/>
      <c r="N564" s="2"/>
      <c r="O564" s="2"/>
      <c r="P564" s="17"/>
      <c r="Q564" s="1"/>
      <c r="R564" s="1"/>
      <c r="S564" s="1"/>
      <c r="T564" s="38"/>
      <c r="U564" s="38"/>
      <c r="V564" s="38"/>
      <c r="W564" s="38"/>
      <c r="X564" s="38"/>
      <c r="Y564" s="38"/>
      <c r="Z564" s="38"/>
      <c r="AA564" s="122"/>
      <c r="AB564" s="122"/>
      <c r="AC564" s="122"/>
      <c r="AD564" s="122"/>
      <c r="AE564" s="122"/>
      <c r="AF564" s="122"/>
      <c r="AG564" s="122"/>
      <c r="AH564" s="122"/>
      <c r="AI564" s="122"/>
      <c r="AJ564" s="38"/>
      <c r="AK564" s="122"/>
      <c r="AL564" s="122"/>
      <c r="AM564" s="122"/>
      <c r="AN564" s="122"/>
      <c r="AO564" s="38"/>
      <c r="AP564" s="38"/>
      <c r="AQ564" s="38"/>
      <c r="AR564" s="17"/>
      <c r="AS564" s="1"/>
      <c r="AT564" s="17"/>
      <c r="AU564" s="1"/>
      <c r="AV564" s="17"/>
      <c r="AW564" s="1"/>
      <c r="AX564" s="2"/>
      <c r="AY564" s="1"/>
      <c r="AZ564" s="1"/>
    </row>
    <row x14ac:dyDescent="0.25" r="565" customHeight="1" ht="15">
      <c r="A565" s="1"/>
      <c r="B565" s="1"/>
      <c r="C565" s="1"/>
      <c r="D565" s="1"/>
      <c r="E565" s="1"/>
      <c r="F565" s="1"/>
      <c r="G565" s="1"/>
      <c r="H565" s="1"/>
      <c r="I565" s="1"/>
      <c r="J565" s="1"/>
      <c r="K565" s="17"/>
      <c r="L565" s="1"/>
      <c r="M565" s="1"/>
      <c r="N565" s="2"/>
      <c r="O565" s="2"/>
      <c r="P565" s="17"/>
      <c r="Q565" s="1"/>
      <c r="R565" s="1"/>
      <c r="S565" s="1"/>
      <c r="T565" s="38"/>
      <c r="U565" s="38"/>
      <c r="V565" s="38"/>
      <c r="W565" s="38"/>
      <c r="X565" s="38"/>
      <c r="Y565" s="38"/>
      <c r="Z565" s="38"/>
      <c r="AA565" s="122"/>
      <c r="AB565" s="122"/>
      <c r="AC565" s="122"/>
      <c r="AD565" s="122"/>
      <c r="AE565" s="122"/>
      <c r="AF565" s="122"/>
      <c r="AG565" s="122"/>
      <c r="AH565" s="122"/>
      <c r="AI565" s="122"/>
      <c r="AJ565" s="38"/>
      <c r="AK565" s="122"/>
      <c r="AL565" s="122"/>
      <c r="AM565" s="122"/>
      <c r="AN565" s="122"/>
      <c r="AO565" s="38"/>
      <c r="AP565" s="38"/>
      <c r="AQ565" s="38"/>
      <c r="AR565" s="17"/>
      <c r="AS565" s="1"/>
      <c r="AT565" s="17"/>
      <c r="AU565" s="1"/>
      <c r="AV565" s="17"/>
      <c r="AW565" s="1"/>
      <c r="AX565" s="2"/>
      <c r="AY565" s="1"/>
      <c r="AZ565" s="1"/>
    </row>
    <row x14ac:dyDescent="0.25" r="566" customHeight="1" ht="15">
      <c r="A566" s="1"/>
      <c r="B566" s="1"/>
      <c r="C566" s="1"/>
      <c r="D566" s="1"/>
      <c r="E566" s="1"/>
      <c r="F566" s="1"/>
      <c r="G566" s="1"/>
      <c r="H566" s="1"/>
      <c r="I566" s="1"/>
      <c r="J566" s="1"/>
      <c r="K566" s="17"/>
      <c r="L566" s="1"/>
      <c r="M566" s="1"/>
      <c r="N566" s="2"/>
      <c r="O566" s="2"/>
      <c r="P566" s="17"/>
      <c r="Q566" s="1"/>
      <c r="R566" s="1"/>
      <c r="S566" s="1"/>
      <c r="T566" s="38"/>
      <c r="U566" s="38"/>
      <c r="V566" s="38"/>
      <c r="W566" s="38"/>
      <c r="X566" s="38"/>
      <c r="Y566" s="38"/>
      <c r="Z566" s="38"/>
      <c r="AA566" s="122"/>
      <c r="AB566" s="122"/>
      <c r="AC566" s="122"/>
      <c r="AD566" s="122"/>
      <c r="AE566" s="122"/>
      <c r="AF566" s="122"/>
      <c r="AG566" s="122"/>
      <c r="AH566" s="122"/>
      <c r="AI566" s="122"/>
      <c r="AJ566" s="38"/>
      <c r="AK566" s="122"/>
      <c r="AL566" s="122"/>
      <c r="AM566" s="122"/>
      <c r="AN566" s="122"/>
      <c r="AO566" s="38"/>
      <c r="AP566" s="38"/>
      <c r="AQ566" s="38"/>
      <c r="AR566" s="17"/>
      <c r="AS566" s="1"/>
      <c r="AT566" s="17"/>
      <c r="AU566" s="1"/>
      <c r="AV566" s="17"/>
      <c r="AW566" s="1"/>
      <c r="AX566" s="2"/>
      <c r="AY566" s="1"/>
      <c r="AZ566" s="1"/>
    </row>
    <row x14ac:dyDescent="0.25" r="567" customHeight="1" ht="15">
      <c r="A567" s="1"/>
      <c r="B567" s="1"/>
      <c r="C567" s="1"/>
      <c r="D567" s="1"/>
      <c r="E567" s="1"/>
      <c r="F567" s="1"/>
      <c r="G567" s="1"/>
      <c r="H567" s="1"/>
      <c r="I567" s="1"/>
      <c r="J567" s="1"/>
      <c r="K567" s="17"/>
      <c r="L567" s="1"/>
      <c r="M567" s="1"/>
      <c r="N567" s="2"/>
      <c r="O567" s="2"/>
      <c r="P567" s="17"/>
      <c r="Q567" s="1"/>
      <c r="R567" s="1"/>
      <c r="S567" s="1"/>
      <c r="T567" s="38"/>
      <c r="U567" s="38"/>
      <c r="V567" s="38"/>
      <c r="W567" s="38"/>
      <c r="X567" s="38"/>
      <c r="Y567" s="38"/>
      <c r="Z567" s="38"/>
      <c r="AA567" s="122"/>
      <c r="AB567" s="122"/>
      <c r="AC567" s="122"/>
      <c r="AD567" s="122"/>
      <c r="AE567" s="122"/>
      <c r="AF567" s="122"/>
      <c r="AG567" s="122"/>
      <c r="AH567" s="122"/>
      <c r="AI567" s="122"/>
      <c r="AJ567" s="38"/>
      <c r="AK567" s="122"/>
      <c r="AL567" s="122"/>
      <c r="AM567" s="122"/>
      <c r="AN567" s="122"/>
      <c r="AO567" s="38"/>
      <c r="AP567" s="38"/>
      <c r="AQ567" s="38"/>
      <c r="AR567" s="17"/>
      <c r="AS567" s="1"/>
      <c r="AT567" s="17"/>
      <c r="AU567" s="1"/>
      <c r="AV567" s="17"/>
      <c r="AW567" s="1"/>
      <c r="AX567" s="2"/>
      <c r="AY567" s="1"/>
      <c r="AZ567" s="1"/>
    </row>
    <row x14ac:dyDescent="0.25" r="568" customHeight="1" ht="15">
      <c r="A568" s="1"/>
      <c r="B568" s="1"/>
      <c r="C568" s="1"/>
      <c r="D568" s="1"/>
      <c r="E568" s="1"/>
      <c r="F568" s="1"/>
      <c r="G568" s="1"/>
      <c r="H568" s="1"/>
      <c r="I568" s="1"/>
      <c r="J568" s="1"/>
      <c r="K568" s="17"/>
      <c r="L568" s="1"/>
      <c r="M568" s="1"/>
      <c r="N568" s="2"/>
      <c r="O568" s="2"/>
      <c r="P568" s="17"/>
      <c r="Q568" s="1"/>
      <c r="R568" s="1"/>
      <c r="S568" s="1"/>
      <c r="T568" s="38"/>
      <c r="U568" s="38"/>
      <c r="V568" s="38"/>
      <c r="W568" s="38"/>
      <c r="X568" s="38"/>
      <c r="Y568" s="38"/>
      <c r="Z568" s="38"/>
      <c r="AA568" s="122"/>
      <c r="AB568" s="122"/>
      <c r="AC568" s="122"/>
      <c r="AD568" s="122"/>
      <c r="AE568" s="122"/>
      <c r="AF568" s="122"/>
      <c r="AG568" s="122"/>
      <c r="AH568" s="122"/>
      <c r="AI568" s="122"/>
      <c r="AJ568" s="38"/>
      <c r="AK568" s="122"/>
      <c r="AL568" s="122"/>
      <c r="AM568" s="122"/>
      <c r="AN568" s="122"/>
      <c r="AO568" s="38"/>
      <c r="AP568" s="38"/>
      <c r="AQ568" s="38"/>
      <c r="AR568" s="17"/>
      <c r="AS568" s="1"/>
      <c r="AT568" s="17"/>
      <c r="AU568" s="1"/>
      <c r="AV568" s="17"/>
      <c r="AW568" s="1"/>
      <c r="AX568" s="2"/>
      <c r="AY568" s="1"/>
      <c r="AZ568" s="1"/>
    </row>
    <row x14ac:dyDescent="0.25" r="569" customHeight="1" ht="15">
      <c r="A569" s="1"/>
      <c r="B569" s="1"/>
      <c r="C569" s="1"/>
      <c r="D569" s="1"/>
      <c r="E569" s="1"/>
      <c r="F569" s="1"/>
      <c r="G569" s="1"/>
      <c r="H569" s="1"/>
      <c r="I569" s="1"/>
      <c r="J569" s="1"/>
      <c r="K569" s="17"/>
      <c r="L569" s="1"/>
      <c r="M569" s="1"/>
      <c r="N569" s="2"/>
      <c r="O569" s="2"/>
      <c r="P569" s="17"/>
      <c r="Q569" s="1"/>
      <c r="R569" s="1"/>
      <c r="S569" s="1"/>
      <c r="T569" s="38"/>
      <c r="U569" s="38"/>
      <c r="V569" s="38"/>
      <c r="W569" s="38"/>
      <c r="X569" s="38"/>
      <c r="Y569" s="38"/>
      <c r="Z569" s="38"/>
      <c r="AA569" s="122"/>
      <c r="AB569" s="122"/>
      <c r="AC569" s="122"/>
      <c r="AD569" s="122"/>
      <c r="AE569" s="122"/>
      <c r="AF569" s="122"/>
      <c r="AG569" s="122"/>
      <c r="AH569" s="122"/>
      <c r="AI569" s="122"/>
      <c r="AJ569" s="38"/>
      <c r="AK569" s="122"/>
      <c r="AL569" s="122"/>
      <c r="AM569" s="122"/>
      <c r="AN569" s="122"/>
      <c r="AO569" s="38"/>
      <c r="AP569" s="38"/>
      <c r="AQ569" s="38"/>
      <c r="AR569" s="17"/>
      <c r="AS569" s="1"/>
      <c r="AT569" s="17"/>
      <c r="AU569" s="1"/>
      <c r="AV569" s="17"/>
      <c r="AW569" s="1"/>
      <c r="AX569" s="2"/>
      <c r="AY569" s="1"/>
      <c r="AZ569" s="1"/>
    </row>
    <row x14ac:dyDescent="0.25" r="570" customHeight="1" ht="15">
      <c r="A570" s="1"/>
      <c r="B570" s="1"/>
      <c r="C570" s="1"/>
      <c r="D570" s="1"/>
      <c r="E570" s="1"/>
      <c r="F570" s="1"/>
      <c r="G570" s="1"/>
      <c r="H570" s="1"/>
      <c r="I570" s="1"/>
      <c r="J570" s="1"/>
      <c r="K570" s="17"/>
      <c r="L570" s="1"/>
      <c r="M570" s="1"/>
      <c r="N570" s="2"/>
      <c r="O570" s="2"/>
      <c r="P570" s="17"/>
      <c r="Q570" s="1"/>
      <c r="R570" s="1"/>
      <c r="S570" s="1"/>
      <c r="T570" s="38"/>
      <c r="U570" s="38"/>
      <c r="V570" s="38"/>
      <c r="W570" s="38"/>
      <c r="X570" s="38"/>
      <c r="Y570" s="38"/>
      <c r="Z570" s="38"/>
      <c r="AA570" s="122"/>
      <c r="AB570" s="122"/>
      <c r="AC570" s="122"/>
      <c r="AD570" s="122"/>
      <c r="AE570" s="122"/>
      <c r="AF570" s="122"/>
      <c r="AG570" s="122"/>
      <c r="AH570" s="122"/>
      <c r="AI570" s="122"/>
      <c r="AJ570" s="38"/>
      <c r="AK570" s="122"/>
      <c r="AL570" s="122"/>
      <c r="AM570" s="122"/>
      <c r="AN570" s="122"/>
      <c r="AO570" s="38"/>
      <c r="AP570" s="38"/>
      <c r="AQ570" s="38"/>
      <c r="AR570" s="17"/>
      <c r="AS570" s="1"/>
      <c r="AT570" s="17"/>
      <c r="AU570" s="1"/>
      <c r="AV570" s="17"/>
      <c r="AW570" s="1"/>
      <c r="AX570" s="2"/>
      <c r="AY570" s="1"/>
      <c r="AZ570" s="1"/>
    </row>
    <row x14ac:dyDescent="0.25" r="571" customHeight="1" ht="15">
      <c r="A571" s="1"/>
      <c r="B571" s="1"/>
      <c r="C571" s="1"/>
      <c r="D571" s="1"/>
      <c r="E571" s="1"/>
      <c r="F571" s="1"/>
      <c r="G571" s="1"/>
      <c r="H571" s="1"/>
      <c r="I571" s="1"/>
      <c r="J571" s="1"/>
      <c r="K571" s="17"/>
      <c r="L571" s="1"/>
      <c r="M571" s="1"/>
      <c r="N571" s="2"/>
      <c r="O571" s="2"/>
      <c r="P571" s="17"/>
      <c r="Q571" s="1"/>
      <c r="R571" s="1"/>
      <c r="S571" s="1"/>
      <c r="T571" s="38"/>
      <c r="U571" s="38"/>
      <c r="V571" s="38"/>
      <c r="W571" s="38"/>
      <c r="X571" s="38"/>
      <c r="Y571" s="38"/>
      <c r="Z571" s="38"/>
      <c r="AA571" s="122"/>
      <c r="AB571" s="122"/>
      <c r="AC571" s="122"/>
      <c r="AD571" s="122"/>
      <c r="AE571" s="122"/>
      <c r="AF571" s="122"/>
      <c r="AG571" s="122"/>
      <c r="AH571" s="122"/>
      <c r="AI571" s="122"/>
      <c r="AJ571" s="38"/>
      <c r="AK571" s="122"/>
      <c r="AL571" s="122"/>
      <c r="AM571" s="122"/>
      <c r="AN571" s="122"/>
      <c r="AO571" s="38"/>
      <c r="AP571" s="38"/>
      <c r="AQ571" s="38"/>
      <c r="AR571" s="17"/>
      <c r="AS571" s="1"/>
      <c r="AT571" s="17"/>
      <c r="AU571" s="1"/>
      <c r="AV571" s="17"/>
      <c r="AW571" s="1"/>
      <c r="AX571" s="2"/>
      <c r="AY571" s="1"/>
      <c r="AZ571" s="1"/>
    </row>
    <row x14ac:dyDescent="0.25" r="572" customHeight="1" ht="15">
      <c r="A572" s="1"/>
      <c r="B572" s="1"/>
      <c r="C572" s="1"/>
      <c r="D572" s="1"/>
      <c r="E572" s="1"/>
      <c r="F572" s="1"/>
      <c r="G572" s="1"/>
      <c r="H572" s="1"/>
      <c r="I572" s="1"/>
      <c r="J572" s="1"/>
      <c r="K572" s="17"/>
      <c r="L572" s="1"/>
      <c r="M572" s="1"/>
      <c r="N572" s="2"/>
      <c r="O572" s="2"/>
      <c r="P572" s="17"/>
      <c r="Q572" s="1"/>
      <c r="R572" s="1"/>
      <c r="S572" s="1"/>
      <c r="T572" s="38"/>
      <c r="U572" s="38"/>
      <c r="V572" s="38"/>
      <c r="W572" s="38"/>
      <c r="X572" s="38"/>
      <c r="Y572" s="38"/>
      <c r="Z572" s="38"/>
      <c r="AA572" s="122"/>
      <c r="AB572" s="122"/>
      <c r="AC572" s="122"/>
      <c r="AD572" s="122"/>
      <c r="AE572" s="122"/>
      <c r="AF572" s="122"/>
      <c r="AG572" s="122"/>
      <c r="AH572" s="122"/>
      <c r="AI572" s="122"/>
      <c r="AJ572" s="38"/>
      <c r="AK572" s="122"/>
      <c r="AL572" s="122"/>
      <c r="AM572" s="122"/>
      <c r="AN572" s="122"/>
      <c r="AO572" s="38"/>
      <c r="AP572" s="38"/>
      <c r="AQ572" s="38"/>
      <c r="AR572" s="17"/>
      <c r="AS572" s="1"/>
      <c r="AT572" s="17"/>
      <c r="AU572" s="1"/>
      <c r="AV572" s="17"/>
      <c r="AW572" s="1"/>
      <c r="AX572" s="2"/>
      <c r="AY572" s="1"/>
      <c r="AZ572" s="1"/>
    </row>
    <row x14ac:dyDescent="0.25" r="573" customHeight="1" ht="15">
      <c r="A573" s="1"/>
      <c r="B573" s="1"/>
      <c r="C573" s="1"/>
      <c r="D573" s="1"/>
      <c r="E573" s="1"/>
      <c r="F573" s="1"/>
      <c r="G573" s="1"/>
      <c r="H573" s="1"/>
      <c r="I573" s="1"/>
      <c r="J573" s="1"/>
      <c r="K573" s="17"/>
      <c r="L573" s="1"/>
      <c r="M573" s="1"/>
      <c r="N573" s="2"/>
      <c r="O573" s="2"/>
      <c r="P573" s="17"/>
      <c r="Q573" s="1"/>
      <c r="R573" s="1"/>
      <c r="S573" s="1"/>
      <c r="T573" s="38"/>
      <c r="U573" s="38"/>
      <c r="V573" s="38"/>
      <c r="W573" s="38"/>
      <c r="X573" s="38"/>
      <c r="Y573" s="38"/>
      <c r="Z573" s="38"/>
      <c r="AA573" s="122"/>
      <c r="AB573" s="122"/>
      <c r="AC573" s="122"/>
      <c r="AD573" s="122"/>
      <c r="AE573" s="122"/>
      <c r="AF573" s="122"/>
      <c r="AG573" s="122"/>
      <c r="AH573" s="122"/>
      <c r="AI573" s="122"/>
      <c r="AJ573" s="38"/>
      <c r="AK573" s="122"/>
      <c r="AL573" s="122"/>
      <c r="AM573" s="122"/>
      <c r="AN573" s="122"/>
      <c r="AO573" s="38"/>
      <c r="AP573" s="38"/>
      <c r="AQ573" s="38"/>
      <c r="AR573" s="17"/>
      <c r="AS573" s="1"/>
      <c r="AT573" s="17"/>
      <c r="AU573" s="1"/>
      <c r="AV573" s="17"/>
      <c r="AW573" s="1"/>
      <c r="AX573" s="2"/>
      <c r="AY573" s="1"/>
      <c r="AZ573" s="1"/>
    </row>
    <row x14ac:dyDescent="0.25" r="574" customHeight="1" ht="15">
      <c r="A574" s="1"/>
      <c r="B574" s="1"/>
      <c r="C574" s="1"/>
      <c r="D574" s="1"/>
      <c r="E574" s="1"/>
      <c r="F574" s="1"/>
      <c r="G574" s="1"/>
      <c r="H574" s="1"/>
      <c r="I574" s="1"/>
      <c r="J574" s="1"/>
      <c r="K574" s="17"/>
      <c r="L574" s="1"/>
      <c r="M574" s="1"/>
      <c r="N574" s="2"/>
      <c r="O574" s="2"/>
      <c r="P574" s="17"/>
      <c r="Q574" s="1"/>
      <c r="R574" s="1"/>
      <c r="S574" s="1"/>
      <c r="T574" s="38"/>
      <c r="U574" s="38"/>
      <c r="V574" s="38"/>
      <c r="W574" s="38"/>
      <c r="X574" s="38"/>
      <c r="Y574" s="38"/>
      <c r="Z574" s="38"/>
      <c r="AA574" s="122"/>
      <c r="AB574" s="122"/>
      <c r="AC574" s="122"/>
      <c r="AD574" s="122"/>
      <c r="AE574" s="122"/>
      <c r="AF574" s="122"/>
      <c r="AG574" s="122"/>
      <c r="AH574" s="122"/>
      <c r="AI574" s="122"/>
      <c r="AJ574" s="38"/>
      <c r="AK574" s="122"/>
      <c r="AL574" s="122"/>
      <c r="AM574" s="122"/>
      <c r="AN574" s="122"/>
      <c r="AO574" s="38"/>
      <c r="AP574" s="38"/>
      <c r="AQ574" s="38"/>
      <c r="AR574" s="17"/>
      <c r="AS574" s="1"/>
      <c r="AT574" s="17"/>
      <c r="AU574" s="1"/>
      <c r="AV574" s="17"/>
      <c r="AW574" s="1"/>
      <c r="AX574" s="2"/>
      <c r="AY574" s="1"/>
      <c r="AZ574" s="1"/>
    </row>
    <row x14ac:dyDescent="0.25" r="575" customHeight="1" ht="15">
      <c r="A575" s="1"/>
      <c r="B575" s="1"/>
      <c r="C575" s="1"/>
      <c r="D575" s="1"/>
      <c r="E575" s="1"/>
      <c r="F575" s="1"/>
      <c r="G575" s="1"/>
      <c r="H575" s="1"/>
      <c r="I575" s="1"/>
      <c r="J575" s="1"/>
      <c r="K575" s="17"/>
      <c r="L575" s="1"/>
      <c r="M575" s="1"/>
      <c r="N575" s="2"/>
      <c r="O575" s="2"/>
      <c r="P575" s="17"/>
      <c r="Q575" s="1"/>
      <c r="R575" s="1"/>
      <c r="S575" s="1"/>
      <c r="T575" s="38"/>
      <c r="U575" s="38"/>
      <c r="V575" s="38"/>
      <c r="W575" s="38"/>
      <c r="X575" s="38"/>
      <c r="Y575" s="38"/>
      <c r="Z575" s="38"/>
      <c r="AA575" s="122"/>
      <c r="AB575" s="122"/>
      <c r="AC575" s="122"/>
      <c r="AD575" s="122"/>
      <c r="AE575" s="122"/>
      <c r="AF575" s="122"/>
      <c r="AG575" s="122"/>
      <c r="AH575" s="122"/>
      <c r="AI575" s="122"/>
      <c r="AJ575" s="38"/>
      <c r="AK575" s="122"/>
      <c r="AL575" s="122"/>
      <c r="AM575" s="122"/>
      <c r="AN575" s="122"/>
      <c r="AO575" s="38"/>
      <c r="AP575" s="38"/>
      <c r="AQ575" s="38"/>
      <c r="AR575" s="17"/>
      <c r="AS575" s="1"/>
      <c r="AT575" s="17"/>
      <c r="AU575" s="1"/>
      <c r="AV575" s="17"/>
      <c r="AW575" s="1"/>
      <c r="AX575" s="2"/>
      <c r="AY575" s="1"/>
      <c r="AZ575" s="1"/>
    </row>
    <row x14ac:dyDescent="0.25" r="576" customHeight="1" ht="15">
      <c r="A576" s="1"/>
      <c r="B576" s="1"/>
      <c r="C576" s="1"/>
      <c r="D576" s="1"/>
      <c r="E576" s="1"/>
      <c r="F576" s="1"/>
      <c r="G576" s="1"/>
      <c r="H576" s="1"/>
      <c r="I576" s="1"/>
      <c r="J576" s="1"/>
      <c r="K576" s="17"/>
      <c r="L576" s="1"/>
      <c r="M576" s="1"/>
      <c r="N576" s="2"/>
      <c r="O576" s="2"/>
      <c r="P576" s="17"/>
      <c r="Q576" s="1"/>
      <c r="R576" s="1"/>
      <c r="S576" s="1"/>
      <c r="T576" s="38"/>
      <c r="U576" s="38"/>
      <c r="V576" s="38"/>
      <c r="W576" s="38"/>
      <c r="X576" s="38"/>
      <c r="Y576" s="38"/>
      <c r="Z576" s="38"/>
      <c r="AA576" s="122"/>
      <c r="AB576" s="122"/>
      <c r="AC576" s="122"/>
      <c r="AD576" s="122"/>
      <c r="AE576" s="122"/>
      <c r="AF576" s="122"/>
      <c r="AG576" s="122"/>
      <c r="AH576" s="122"/>
      <c r="AI576" s="122"/>
      <c r="AJ576" s="38"/>
      <c r="AK576" s="122"/>
      <c r="AL576" s="122"/>
      <c r="AM576" s="122"/>
      <c r="AN576" s="122"/>
      <c r="AO576" s="38"/>
      <c r="AP576" s="38"/>
      <c r="AQ576" s="38"/>
      <c r="AR576" s="17"/>
      <c r="AS576" s="1"/>
      <c r="AT576" s="17"/>
      <c r="AU576" s="1"/>
      <c r="AV576" s="17"/>
      <c r="AW576" s="1"/>
      <c r="AX576" s="2"/>
      <c r="AY576" s="1"/>
      <c r="AZ576" s="1"/>
    </row>
    <row x14ac:dyDescent="0.25" r="577" customHeight="1" ht="15">
      <c r="A577" s="1"/>
      <c r="B577" s="1"/>
      <c r="C577" s="1"/>
      <c r="D577" s="1"/>
      <c r="E577" s="1"/>
      <c r="F577" s="1"/>
      <c r="G577" s="1"/>
      <c r="H577" s="1"/>
      <c r="I577" s="1"/>
      <c r="J577" s="1"/>
      <c r="K577" s="17"/>
      <c r="L577" s="1"/>
      <c r="M577" s="1"/>
      <c r="N577" s="2"/>
      <c r="O577" s="2"/>
      <c r="P577" s="17"/>
      <c r="Q577" s="1"/>
      <c r="R577" s="1"/>
      <c r="S577" s="1"/>
      <c r="T577" s="38"/>
      <c r="U577" s="38"/>
      <c r="V577" s="38"/>
      <c r="W577" s="38"/>
      <c r="X577" s="38"/>
      <c r="Y577" s="38"/>
      <c r="Z577" s="38"/>
      <c r="AA577" s="122"/>
      <c r="AB577" s="122"/>
      <c r="AC577" s="122"/>
      <c r="AD577" s="122"/>
      <c r="AE577" s="122"/>
      <c r="AF577" s="122"/>
      <c r="AG577" s="122"/>
      <c r="AH577" s="122"/>
      <c r="AI577" s="122"/>
      <c r="AJ577" s="38"/>
      <c r="AK577" s="122"/>
      <c r="AL577" s="122"/>
      <c r="AM577" s="122"/>
      <c r="AN577" s="122"/>
      <c r="AO577" s="38"/>
      <c r="AP577" s="38"/>
      <c r="AQ577" s="38"/>
      <c r="AR577" s="17"/>
      <c r="AS577" s="1"/>
      <c r="AT577" s="17"/>
      <c r="AU577" s="1"/>
      <c r="AV577" s="17"/>
      <c r="AW577" s="1"/>
      <c r="AX577" s="2"/>
      <c r="AY577" s="1"/>
      <c r="AZ577" s="1"/>
    </row>
    <row x14ac:dyDescent="0.25" r="578" customHeight="1" ht="15">
      <c r="A578" s="1"/>
      <c r="B578" s="1"/>
      <c r="C578" s="1"/>
      <c r="D578" s="1"/>
      <c r="E578" s="1"/>
      <c r="F578" s="1"/>
      <c r="G578" s="1"/>
      <c r="H578" s="1"/>
      <c r="I578" s="1"/>
      <c r="J578" s="1"/>
      <c r="K578" s="17"/>
      <c r="L578" s="1"/>
      <c r="M578" s="1"/>
      <c r="N578" s="2"/>
      <c r="O578" s="2"/>
      <c r="P578" s="17"/>
      <c r="Q578" s="1"/>
      <c r="R578" s="1"/>
      <c r="S578" s="1"/>
      <c r="T578" s="38"/>
      <c r="U578" s="38"/>
      <c r="V578" s="38"/>
      <c r="W578" s="38"/>
      <c r="X578" s="38"/>
      <c r="Y578" s="38"/>
      <c r="Z578" s="38"/>
      <c r="AA578" s="122"/>
      <c r="AB578" s="122"/>
      <c r="AC578" s="122"/>
      <c r="AD578" s="122"/>
      <c r="AE578" s="122"/>
      <c r="AF578" s="122"/>
      <c r="AG578" s="122"/>
      <c r="AH578" s="122"/>
      <c r="AI578" s="122"/>
      <c r="AJ578" s="38"/>
      <c r="AK578" s="122"/>
      <c r="AL578" s="122"/>
      <c r="AM578" s="122"/>
      <c r="AN578" s="122"/>
      <c r="AO578" s="38"/>
      <c r="AP578" s="38"/>
      <c r="AQ578" s="38"/>
      <c r="AR578" s="17"/>
      <c r="AS578" s="1"/>
      <c r="AT578" s="17"/>
      <c r="AU578" s="1"/>
      <c r="AV578" s="17"/>
      <c r="AW578" s="1"/>
      <c r="AX578" s="2"/>
      <c r="AY578" s="1"/>
      <c r="AZ578" s="1"/>
    </row>
    <row x14ac:dyDescent="0.25" r="579" customHeight="1" ht="15">
      <c r="A579" s="1"/>
      <c r="B579" s="1"/>
      <c r="C579" s="1"/>
      <c r="D579" s="1"/>
      <c r="E579" s="1"/>
      <c r="F579" s="1"/>
      <c r="G579" s="1"/>
      <c r="H579" s="1"/>
      <c r="I579" s="1"/>
      <c r="J579" s="1"/>
      <c r="K579" s="17"/>
      <c r="L579" s="1"/>
      <c r="M579" s="1"/>
      <c r="N579" s="2"/>
      <c r="O579" s="2"/>
      <c r="P579" s="17"/>
      <c r="Q579" s="1"/>
      <c r="R579" s="1"/>
      <c r="S579" s="1"/>
      <c r="T579" s="38"/>
      <c r="U579" s="38"/>
      <c r="V579" s="38"/>
      <c r="W579" s="38"/>
      <c r="X579" s="38"/>
      <c r="Y579" s="38"/>
      <c r="Z579" s="38"/>
      <c r="AA579" s="122"/>
      <c r="AB579" s="122"/>
      <c r="AC579" s="122"/>
      <c r="AD579" s="122"/>
      <c r="AE579" s="122"/>
      <c r="AF579" s="122"/>
      <c r="AG579" s="122"/>
      <c r="AH579" s="122"/>
      <c r="AI579" s="122"/>
      <c r="AJ579" s="38"/>
      <c r="AK579" s="122"/>
      <c r="AL579" s="122"/>
      <c r="AM579" s="122"/>
      <c r="AN579" s="122"/>
      <c r="AO579" s="38"/>
      <c r="AP579" s="38"/>
      <c r="AQ579" s="38"/>
      <c r="AR579" s="17"/>
      <c r="AS579" s="1"/>
      <c r="AT579" s="17"/>
      <c r="AU579" s="1"/>
      <c r="AV579" s="17"/>
      <c r="AW579" s="1"/>
      <c r="AX579" s="2"/>
      <c r="AY579" s="1"/>
      <c r="AZ579" s="1"/>
    </row>
    <row x14ac:dyDescent="0.25" r="580" customHeight="1" ht="15">
      <c r="A580" s="1"/>
      <c r="B580" s="1"/>
      <c r="C580" s="1"/>
      <c r="D580" s="1"/>
      <c r="E580" s="1"/>
      <c r="F580" s="1"/>
      <c r="G580" s="1"/>
      <c r="H580" s="1"/>
      <c r="I580" s="1"/>
      <c r="J580" s="1"/>
      <c r="K580" s="17"/>
      <c r="L580" s="1"/>
      <c r="M580" s="1"/>
      <c r="N580" s="2"/>
      <c r="O580" s="2"/>
      <c r="P580" s="17"/>
      <c r="Q580" s="1"/>
      <c r="R580" s="1"/>
      <c r="S580" s="1"/>
      <c r="T580" s="38"/>
      <c r="U580" s="38"/>
      <c r="V580" s="38"/>
      <c r="W580" s="38"/>
      <c r="X580" s="38"/>
      <c r="Y580" s="38"/>
      <c r="Z580" s="38"/>
      <c r="AA580" s="122"/>
      <c r="AB580" s="122"/>
      <c r="AC580" s="122"/>
      <c r="AD580" s="122"/>
      <c r="AE580" s="122"/>
      <c r="AF580" s="122"/>
      <c r="AG580" s="122"/>
      <c r="AH580" s="122"/>
      <c r="AI580" s="122"/>
      <c r="AJ580" s="38"/>
      <c r="AK580" s="122"/>
      <c r="AL580" s="122"/>
      <c r="AM580" s="122"/>
      <c r="AN580" s="122"/>
      <c r="AO580" s="38"/>
      <c r="AP580" s="38"/>
      <c r="AQ580" s="38"/>
      <c r="AR580" s="17"/>
      <c r="AS580" s="1"/>
      <c r="AT580" s="17"/>
      <c r="AU580" s="1"/>
      <c r="AV580" s="17"/>
      <c r="AW580" s="1"/>
      <c r="AX580" s="2"/>
      <c r="AY580" s="1"/>
      <c r="AZ580" s="1"/>
    </row>
    <row x14ac:dyDescent="0.25" r="581" customHeight="1" ht="15">
      <c r="A581" s="1"/>
      <c r="B581" s="1"/>
      <c r="C581" s="1"/>
      <c r="D581" s="1"/>
      <c r="E581" s="1"/>
      <c r="F581" s="1"/>
      <c r="G581" s="1"/>
      <c r="H581" s="1"/>
      <c r="I581" s="1"/>
      <c r="J581" s="1"/>
      <c r="K581" s="17"/>
      <c r="L581" s="1"/>
      <c r="M581" s="1"/>
      <c r="N581" s="2"/>
      <c r="O581" s="2"/>
      <c r="P581" s="17"/>
      <c r="Q581" s="1"/>
      <c r="R581" s="1"/>
      <c r="S581" s="1"/>
      <c r="T581" s="38"/>
      <c r="U581" s="38"/>
      <c r="V581" s="38"/>
      <c r="W581" s="38"/>
      <c r="X581" s="38"/>
      <c r="Y581" s="38"/>
      <c r="Z581" s="38"/>
      <c r="AA581" s="122"/>
      <c r="AB581" s="122"/>
      <c r="AC581" s="122"/>
      <c r="AD581" s="122"/>
      <c r="AE581" s="122"/>
      <c r="AF581" s="122"/>
      <c r="AG581" s="122"/>
      <c r="AH581" s="122"/>
      <c r="AI581" s="122"/>
      <c r="AJ581" s="38"/>
      <c r="AK581" s="122"/>
      <c r="AL581" s="122"/>
      <c r="AM581" s="122"/>
      <c r="AN581" s="122"/>
      <c r="AO581" s="38"/>
      <c r="AP581" s="38"/>
      <c r="AQ581" s="38"/>
      <c r="AR581" s="17"/>
      <c r="AS581" s="1"/>
      <c r="AT581" s="17"/>
      <c r="AU581" s="1"/>
      <c r="AV581" s="17"/>
      <c r="AW581" s="1"/>
      <c r="AX581" s="2"/>
      <c r="AY581" s="1"/>
      <c r="AZ581" s="1"/>
    </row>
    <row x14ac:dyDescent="0.25" r="582" customHeight="1" ht="15">
      <c r="A582" s="1"/>
      <c r="B582" s="1"/>
      <c r="C582" s="1"/>
      <c r="D582" s="1"/>
      <c r="E582" s="1"/>
      <c r="F582" s="1"/>
      <c r="G582" s="1"/>
      <c r="H582" s="1"/>
      <c r="I582" s="1"/>
      <c r="J582" s="1"/>
      <c r="K582" s="17"/>
      <c r="L582" s="1"/>
      <c r="M582" s="1"/>
      <c r="N582" s="2"/>
      <c r="O582" s="2"/>
      <c r="P582" s="17"/>
      <c r="Q582" s="1"/>
      <c r="R582" s="1"/>
      <c r="S582" s="1"/>
      <c r="T582" s="38"/>
      <c r="U582" s="38"/>
      <c r="V582" s="38"/>
      <c r="W582" s="38"/>
      <c r="X582" s="38"/>
      <c r="Y582" s="38"/>
      <c r="Z582" s="38"/>
      <c r="AA582" s="122"/>
      <c r="AB582" s="122"/>
      <c r="AC582" s="122"/>
      <c r="AD582" s="122"/>
      <c r="AE582" s="122"/>
      <c r="AF582" s="122"/>
      <c r="AG582" s="122"/>
      <c r="AH582" s="122"/>
      <c r="AI582" s="122"/>
      <c r="AJ582" s="38"/>
      <c r="AK582" s="122"/>
      <c r="AL582" s="122"/>
      <c r="AM582" s="122"/>
      <c r="AN582" s="122"/>
      <c r="AO582" s="38"/>
      <c r="AP582" s="38"/>
      <c r="AQ582" s="38"/>
      <c r="AR582" s="17"/>
      <c r="AS582" s="1"/>
      <c r="AT582" s="17"/>
      <c r="AU582" s="1"/>
      <c r="AV582" s="17"/>
      <c r="AW582" s="1"/>
      <c r="AX582" s="2"/>
      <c r="AY582" s="1"/>
      <c r="AZ582" s="1"/>
    </row>
    <row x14ac:dyDescent="0.25" r="583" customHeight="1" ht="15">
      <c r="A583" s="1"/>
      <c r="B583" s="1"/>
      <c r="C583" s="1"/>
      <c r="D583" s="1"/>
      <c r="E583" s="1"/>
      <c r="F583" s="1"/>
      <c r="G583" s="1"/>
      <c r="H583" s="1"/>
      <c r="I583" s="1"/>
      <c r="J583" s="1"/>
      <c r="K583" s="17"/>
      <c r="L583" s="1"/>
      <c r="M583" s="1"/>
      <c r="N583" s="2"/>
      <c r="O583" s="2"/>
      <c r="P583" s="17"/>
      <c r="Q583" s="1"/>
      <c r="R583" s="1"/>
      <c r="S583" s="1"/>
      <c r="T583" s="38"/>
      <c r="U583" s="38"/>
      <c r="V583" s="38"/>
      <c r="W583" s="38"/>
      <c r="X583" s="38"/>
      <c r="Y583" s="38"/>
      <c r="Z583" s="38"/>
      <c r="AA583" s="122"/>
      <c r="AB583" s="122"/>
      <c r="AC583" s="122"/>
      <c r="AD583" s="122"/>
      <c r="AE583" s="122"/>
      <c r="AF583" s="122"/>
      <c r="AG583" s="122"/>
      <c r="AH583" s="122"/>
      <c r="AI583" s="122"/>
      <c r="AJ583" s="38"/>
      <c r="AK583" s="122"/>
      <c r="AL583" s="122"/>
      <c r="AM583" s="122"/>
      <c r="AN583" s="122"/>
      <c r="AO583" s="38"/>
      <c r="AP583" s="38"/>
      <c r="AQ583" s="38"/>
      <c r="AR583" s="17"/>
      <c r="AS583" s="1"/>
      <c r="AT583" s="17"/>
      <c r="AU583" s="1"/>
      <c r="AV583" s="17"/>
      <c r="AW583" s="1"/>
      <c r="AX583" s="2"/>
      <c r="AY583" s="1"/>
      <c r="AZ583" s="1"/>
    </row>
    <row x14ac:dyDescent="0.25" r="584" customHeight="1" ht="15">
      <c r="A584" s="1"/>
      <c r="B584" s="1"/>
      <c r="C584" s="1"/>
      <c r="D584" s="1"/>
      <c r="E584" s="1"/>
      <c r="F584" s="1"/>
      <c r="G584" s="1"/>
      <c r="H584" s="1"/>
      <c r="I584" s="1"/>
      <c r="J584" s="1"/>
      <c r="K584" s="17"/>
      <c r="L584" s="1"/>
      <c r="M584" s="1"/>
      <c r="N584" s="2"/>
      <c r="O584" s="2"/>
      <c r="P584" s="17"/>
      <c r="Q584" s="1"/>
      <c r="R584" s="1"/>
      <c r="S584" s="1"/>
      <c r="T584" s="38"/>
      <c r="U584" s="38"/>
      <c r="V584" s="38"/>
      <c r="W584" s="38"/>
      <c r="X584" s="38"/>
      <c r="Y584" s="38"/>
      <c r="Z584" s="38"/>
      <c r="AA584" s="122"/>
      <c r="AB584" s="122"/>
      <c r="AC584" s="122"/>
      <c r="AD584" s="122"/>
      <c r="AE584" s="122"/>
      <c r="AF584" s="122"/>
      <c r="AG584" s="122"/>
      <c r="AH584" s="122"/>
      <c r="AI584" s="122"/>
      <c r="AJ584" s="38"/>
      <c r="AK584" s="122"/>
      <c r="AL584" s="122"/>
      <c r="AM584" s="122"/>
      <c r="AN584" s="122"/>
      <c r="AO584" s="38"/>
      <c r="AP584" s="38"/>
      <c r="AQ584" s="38"/>
      <c r="AR584" s="17"/>
      <c r="AS584" s="1"/>
      <c r="AT584" s="17"/>
      <c r="AU584" s="1"/>
      <c r="AV584" s="17"/>
      <c r="AW584" s="1"/>
      <c r="AX584" s="2"/>
      <c r="AY584" s="1"/>
      <c r="AZ584" s="1"/>
    </row>
    <row x14ac:dyDescent="0.25" r="585" customHeight="1" ht="15">
      <c r="A585" s="1"/>
      <c r="B585" s="1"/>
      <c r="C585" s="1"/>
      <c r="D585" s="1"/>
      <c r="E585" s="1"/>
      <c r="F585" s="1"/>
      <c r="G585" s="1"/>
      <c r="H585" s="1"/>
      <c r="I585" s="1"/>
      <c r="J585" s="1"/>
      <c r="K585" s="17"/>
      <c r="L585" s="1"/>
      <c r="M585" s="1"/>
      <c r="N585" s="2"/>
      <c r="O585" s="2"/>
      <c r="P585" s="17"/>
      <c r="Q585" s="1"/>
      <c r="R585" s="1"/>
      <c r="S585" s="1"/>
      <c r="T585" s="38"/>
      <c r="U585" s="38"/>
      <c r="V585" s="38"/>
      <c r="W585" s="38"/>
      <c r="X585" s="38"/>
      <c r="Y585" s="38"/>
      <c r="Z585" s="38"/>
      <c r="AA585" s="122"/>
      <c r="AB585" s="122"/>
      <c r="AC585" s="122"/>
      <c r="AD585" s="122"/>
      <c r="AE585" s="122"/>
      <c r="AF585" s="122"/>
      <c r="AG585" s="122"/>
      <c r="AH585" s="122"/>
      <c r="AI585" s="122"/>
      <c r="AJ585" s="38"/>
      <c r="AK585" s="122"/>
      <c r="AL585" s="122"/>
      <c r="AM585" s="122"/>
      <c r="AN585" s="122"/>
      <c r="AO585" s="38"/>
      <c r="AP585" s="38"/>
      <c r="AQ585" s="38"/>
      <c r="AR585" s="17"/>
      <c r="AS585" s="1"/>
      <c r="AT585" s="17"/>
      <c r="AU585" s="1"/>
      <c r="AV585" s="17"/>
      <c r="AW585" s="1"/>
      <c r="AX585" s="2"/>
      <c r="AY585" s="1"/>
      <c r="AZ585" s="1"/>
    </row>
    <row x14ac:dyDescent="0.25" r="586" customHeight="1" ht="15">
      <c r="A586" s="1"/>
      <c r="B586" s="1"/>
      <c r="C586" s="1"/>
      <c r="D586" s="1"/>
      <c r="E586" s="1"/>
      <c r="F586" s="1"/>
      <c r="G586" s="1"/>
      <c r="H586" s="1"/>
      <c r="I586" s="1"/>
      <c r="J586" s="1"/>
      <c r="K586" s="17"/>
      <c r="L586" s="1"/>
      <c r="M586" s="1"/>
      <c r="N586" s="2"/>
      <c r="O586" s="2"/>
      <c r="P586" s="17"/>
      <c r="Q586" s="1"/>
      <c r="R586" s="1"/>
      <c r="S586" s="1"/>
      <c r="T586" s="38"/>
      <c r="U586" s="38"/>
      <c r="V586" s="38"/>
      <c r="W586" s="38"/>
      <c r="X586" s="38"/>
      <c r="Y586" s="38"/>
      <c r="Z586" s="38"/>
      <c r="AA586" s="122"/>
      <c r="AB586" s="122"/>
      <c r="AC586" s="122"/>
      <c r="AD586" s="122"/>
      <c r="AE586" s="122"/>
      <c r="AF586" s="122"/>
      <c r="AG586" s="122"/>
      <c r="AH586" s="122"/>
      <c r="AI586" s="122"/>
      <c r="AJ586" s="38"/>
      <c r="AK586" s="122"/>
      <c r="AL586" s="122"/>
      <c r="AM586" s="122"/>
      <c r="AN586" s="122"/>
      <c r="AO586" s="38"/>
      <c r="AP586" s="38"/>
      <c r="AQ586" s="38"/>
      <c r="AR586" s="17"/>
      <c r="AS586" s="1"/>
      <c r="AT586" s="17"/>
      <c r="AU586" s="1"/>
      <c r="AV586" s="17"/>
      <c r="AW586" s="1"/>
      <c r="AX586" s="2"/>
      <c r="AY586" s="1"/>
      <c r="AZ586" s="1"/>
    </row>
    <row x14ac:dyDescent="0.25" r="587" customHeight="1" ht="15">
      <c r="A587" s="1"/>
      <c r="B587" s="1"/>
      <c r="C587" s="1"/>
      <c r="D587" s="1"/>
      <c r="E587" s="1"/>
      <c r="F587" s="1"/>
      <c r="G587" s="1"/>
      <c r="H587" s="1"/>
      <c r="I587" s="1"/>
      <c r="J587" s="1"/>
      <c r="K587" s="17"/>
      <c r="L587" s="1"/>
      <c r="M587" s="1"/>
      <c r="N587" s="2"/>
      <c r="O587" s="2"/>
      <c r="P587" s="17"/>
      <c r="Q587" s="1"/>
      <c r="R587" s="1"/>
      <c r="S587" s="1"/>
      <c r="T587" s="38"/>
      <c r="U587" s="38"/>
      <c r="V587" s="38"/>
      <c r="W587" s="38"/>
      <c r="X587" s="38"/>
      <c r="Y587" s="38"/>
      <c r="Z587" s="38"/>
      <c r="AA587" s="122"/>
      <c r="AB587" s="122"/>
      <c r="AC587" s="122"/>
      <c r="AD587" s="122"/>
      <c r="AE587" s="122"/>
      <c r="AF587" s="122"/>
      <c r="AG587" s="122"/>
      <c r="AH587" s="122"/>
      <c r="AI587" s="122"/>
      <c r="AJ587" s="38"/>
      <c r="AK587" s="122"/>
      <c r="AL587" s="122"/>
      <c r="AM587" s="122"/>
      <c r="AN587" s="122"/>
      <c r="AO587" s="38"/>
      <c r="AP587" s="38"/>
      <c r="AQ587" s="38"/>
      <c r="AR587" s="17"/>
      <c r="AS587" s="1"/>
      <c r="AT587" s="17"/>
      <c r="AU587" s="1"/>
      <c r="AV587" s="17"/>
      <c r="AW587" s="1"/>
      <c r="AX587" s="2"/>
      <c r="AY587" s="1"/>
      <c r="AZ587" s="1"/>
    </row>
    <row x14ac:dyDescent="0.25" r="588" customHeight="1" ht="15">
      <c r="A588" s="1"/>
      <c r="B588" s="1"/>
      <c r="C588" s="1"/>
      <c r="D588" s="1"/>
      <c r="E588" s="1"/>
      <c r="F588" s="1"/>
      <c r="G588" s="1"/>
      <c r="H588" s="1"/>
      <c r="I588" s="1"/>
      <c r="J588" s="1"/>
      <c r="K588" s="17"/>
      <c r="L588" s="1"/>
      <c r="M588" s="1"/>
      <c r="N588" s="2"/>
      <c r="O588" s="2"/>
      <c r="P588" s="17"/>
      <c r="Q588" s="1"/>
      <c r="R588" s="1"/>
      <c r="S588" s="1"/>
      <c r="T588" s="38"/>
      <c r="U588" s="38"/>
      <c r="V588" s="38"/>
      <c r="W588" s="38"/>
      <c r="X588" s="38"/>
      <c r="Y588" s="38"/>
      <c r="Z588" s="38"/>
      <c r="AA588" s="122"/>
      <c r="AB588" s="122"/>
      <c r="AC588" s="122"/>
      <c r="AD588" s="122"/>
      <c r="AE588" s="122"/>
      <c r="AF588" s="122"/>
      <c r="AG588" s="122"/>
      <c r="AH588" s="122"/>
      <c r="AI588" s="122"/>
      <c r="AJ588" s="38"/>
      <c r="AK588" s="122"/>
      <c r="AL588" s="122"/>
      <c r="AM588" s="122"/>
      <c r="AN588" s="122"/>
      <c r="AO588" s="38"/>
      <c r="AP588" s="38"/>
      <c r="AQ588" s="38"/>
      <c r="AR588" s="17"/>
      <c r="AS588" s="1"/>
      <c r="AT588" s="17"/>
      <c r="AU588" s="1"/>
      <c r="AV588" s="17"/>
      <c r="AW588" s="1"/>
      <c r="AX588" s="2"/>
      <c r="AY588" s="1"/>
      <c r="AZ588" s="1"/>
    </row>
    <row x14ac:dyDescent="0.25" r="589" customHeight="1" ht="15">
      <c r="A589" s="1"/>
      <c r="B589" s="1"/>
      <c r="C589" s="1"/>
      <c r="D589" s="1"/>
      <c r="E589" s="1"/>
      <c r="F589" s="1"/>
      <c r="G589" s="1"/>
      <c r="H589" s="1"/>
      <c r="I589" s="1"/>
      <c r="J589" s="1"/>
      <c r="K589" s="17"/>
      <c r="L589" s="1"/>
      <c r="M589" s="1"/>
      <c r="N589" s="2"/>
      <c r="O589" s="2"/>
      <c r="P589" s="17"/>
      <c r="Q589" s="1"/>
      <c r="R589" s="1"/>
      <c r="S589" s="1"/>
      <c r="T589" s="38"/>
      <c r="U589" s="38"/>
      <c r="V589" s="38"/>
      <c r="W589" s="38"/>
      <c r="X589" s="38"/>
      <c r="Y589" s="38"/>
      <c r="Z589" s="38"/>
      <c r="AA589" s="122"/>
      <c r="AB589" s="122"/>
      <c r="AC589" s="122"/>
      <c r="AD589" s="122"/>
      <c r="AE589" s="122"/>
      <c r="AF589" s="122"/>
      <c r="AG589" s="122"/>
      <c r="AH589" s="122"/>
      <c r="AI589" s="122"/>
      <c r="AJ589" s="38"/>
      <c r="AK589" s="122"/>
      <c r="AL589" s="122"/>
      <c r="AM589" s="122"/>
      <c r="AN589" s="122"/>
      <c r="AO589" s="38"/>
      <c r="AP589" s="38"/>
      <c r="AQ589" s="38"/>
      <c r="AR589" s="17"/>
      <c r="AS589" s="1"/>
      <c r="AT589" s="17"/>
      <c r="AU589" s="1"/>
      <c r="AV589" s="17"/>
      <c r="AW589" s="1"/>
      <c r="AX589" s="2"/>
      <c r="AY589" s="1"/>
      <c r="AZ589" s="1"/>
    </row>
    <row x14ac:dyDescent="0.25" r="590" customHeight="1" ht="15">
      <c r="A590" s="1"/>
      <c r="B590" s="1"/>
      <c r="C590" s="1"/>
      <c r="D590" s="1"/>
      <c r="E590" s="1"/>
      <c r="F590" s="1"/>
      <c r="G590" s="1"/>
      <c r="H590" s="1"/>
      <c r="I590" s="1"/>
      <c r="J590" s="1"/>
      <c r="K590" s="17"/>
      <c r="L590" s="1"/>
      <c r="M590" s="1"/>
      <c r="N590" s="2"/>
      <c r="O590" s="2"/>
      <c r="P590" s="17"/>
      <c r="Q590" s="1"/>
      <c r="R590" s="1"/>
      <c r="S590" s="1"/>
      <c r="T590" s="38"/>
      <c r="U590" s="38"/>
      <c r="V590" s="38"/>
      <c r="W590" s="38"/>
      <c r="X590" s="38"/>
      <c r="Y590" s="38"/>
      <c r="Z590" s="38"/>
      <c r="AA590" s="122"/>
      <c r="AB590" s="122"/>
      <c r="AC590" s="122"/>
      <c r="AD590" s="122"/>
      <c r="AE590" s="122"/>
      <c r="AF590" s="122"/>
      <c r="AG590" s="122"/>
      <c r="AH590" s="122"/>
      <c r="AI590" s="122"/>
      <c r="AJ590" s="38"/>
      <c r="AK590" s="122"/>
      <c r="AL590" s="122"/>
      <c r="AM590" s="122"/>
      <c r="AN590" s="122"/>
      <c r="AO590" s="38"/>
      <c r="AP590" s="38"/>
      <c r="AQ590" s="38"/>
      <c r="AR590" s="17"/>
      <c r="AS590" s="1"/>
      <c r="AT590" s="17"/>
      <c r="AU590" s="1"/>
      <c r="AV590" s="17"/>
      <c r="AW590" s="1"/>
      <c r="AX590" s="2"/>
      <c r="AY590" s="1"/>
      <c r="AZ590" s="1"/>
    </row>
    <row x14ac:dyDescent="0.25" r="591" customHeight="1" ht="15">
      <c r="A591" s="1"/>
      <c r="B591" s="1"/>
      <c r="C591" s="1"/>
      <c r="D591" s="1"/>
      <c r="E591" s="1"/>
      <c r="F591" s="1"/>
      <c r="G591" s="1"/>
      <c r="H591" s="1"/>
      <c r="I591" s="1"/>
      <c r="J591" s="1"/>
      <c r="K591" s="17"/>
      <c r="L591" s="1"/>
      <c r="M591" s="1"/>
      <c r="N591" s="2"/>
      <c r="O591" s="2"/>
      <c r="P591" s="17"/>
      <c r="Q591" s="1"/>
      <c r="R591" s="1"/>
      <c r="S591" s="1"/>
      <c r="T591" s="38"/>
      <c r="U591" s="38"/>
      <c r="V591" s="38"/>
      <c r="W591" s="38"/>
      <c r="X591" s="38"/>
      <c r="Y591" s="38"/>
      <c r="Z591" s="38"/>
      <c r="AA591" s="122"/>
      <c r="AB591" s="122"/>
      <c r="AC591" s="122"/>
      <c r="AD591" s="122"/>
      <c r="AE591" s="122"/>
      <c r="AF591" s="122"/>
      <c r="AG591" s="122"/>
      <c r="AH591" s="122"/>
      <c r="AI591" s="122"/>
      <c r="AJ591" s="38"/>
      <c r="AK591" s="122"/>
      <c r="AL591" s="122"/>
      <c r="AM591" s="122"/>
      <c r="AN591" s="122"/>
      <c r="AO591" s="38"/>
      <c r="AP591" s="38"/>
      <c r="AQ591" s="38"/>
      <c r="AR591" s="17"/>
      <c r="AS591" s="1"/>
      <c r="AT591" s="17"/>
      <c r="AU591" s="1"/>
      <c r="AV591" s="17"/>
      <c r="AW591" s="1"/>
      <c r="AX591" s="2"/>
      <c r="AY591" s="1"/>
      <c r="AZ591" s="1"/>
    </row>
    <row x14ac:dyDescent="0.25" r="592" customHeight="1" ht="15">
      <c r="A592" s="1"/>
      <c r="B592" s="1"/>
      <c r="C592" s="1"/>
      <c r="D592" s="1"/>
      <c r="E592" s="1"/>
      <c r="F592" s="1"/>
      <c r="G592" s="1"/>
      <c r="H592" s="1"/>
      <c r="I592" s="1"/>
      <c r="J592" s="1"/>
      <c r="K592" s="17"/>
      <c r="L592" s="1"/>
      <c r="M592" s="1"/>
      <c r="N592" s="2"/>
      <c r="O592" s="2"/>
      <c r="P592" s="17"/>
      <c r="Q592" s="1"/>
      <c r="R592" s="1"/>
      <c r="S592" s="1"/>
      <c r="T592" s="38"/>
      <c r="U592" s="38"/>
      <c r="V592" s="38"/>
      <c r="W592" s="38"/>
      <c r="X592" s="38"/>
      <c r="Y592" s="38"/>
      <c r="Z592" s="38"/>
      <c r="AA592" s="122"/>
      <c r="AB592" s="122"/>
      <c r="AC592" s="122"/>
      <c r="AD592" s="122"/>
      <c r="AE592" s="122"/>
      <c r="AF592" s="122"/>
      <c r="AG592" s="122"/>
      <c r="AH592" s="122"/>
      <c r="AI592" s="122"/>
      <c r="AJ592" s="38"/>
      <c r="AK592" s="122"/>
      <c r="AL592" s="122"/>
      <c r="AM592" s="122"/>
      <c r="AN592" s="122"/>
      <c r="AO592" s="38"/>
      <c r="AP592" s="38"/>
      <c r="AQ592" s="38"/>
      <c r="AR592" s="17"/>
      <c r="AS592" s="1"/>
      <c r="AT592" s="17"/>
      <c r="AU592" s="1"/>
      <c r="AV592" s="17"/>
      <c r="AW592" s="1"/>
      <c r="AX592" s="2"/>
      <c r="AY592" s="1"/>
      <c r="AZ592" s="1"/>
    </row>
    <row x14ac:dyDescent="0.25" r="593" customHeight="1" ht="15">
      <c r="A593" s="1"/>
      <c r="B593" s="1"/>
      <c r="C593" s="1"/>
      <c r="D593" s="1"/>
      <c r="E593" s="1"/>
      <c r="F593" s="1"/>
      <c r="G593" s="1"/>
      <c r="H593" s="1"/>
      <c r="I593" s="1"/>
      <c r="J593" s="1"/>
      <c r="K593" s="17"/>
      <c r="L593" s="1"/>
      <c r="M593" s="1"/>
      <c r="N593" s="2"/>
      <c r="O593" s="2"/>
      <c r="P593" s="17"/>
      <c r="Q593" s="1"/>
      <c r="R593" s="1"/>
      <c r="S593" s="1"/>
      <c r="T593" s="38"/>
      <c r="U593" s="38"/>
      <c r="V593" s="38"/>
      <c r="W593" s="38"/>
      <c r="X593" s="38"/>
      <c r="Y593" s="38"/>
      <c r="Z593" s="38"/>
      <c r="AA593" s="122"/>
      <c r="AB593" s="122"/>
      <c r="AC593" s="122"/>
      <c r="AD593" s="122"/>
      <c r="AE593" s="122"/>
      <c r="AF593" s="122"/>
      <c r="AG593" s="122"/>
      <c r="AH593" s="122"/>
      <c r="AI593" s="122"/>
      <c r="AJ593" s="38"/>
      <c r="AK593" s="122"/>
      <c r="AL593" s="122"/>
      <c r="AM593" s="122"/>
      <c r="AN593" s="122"/>
      <c r="AO593" s="38"/>
      <c r="AP593" s="38"/>
      <c r="AQ593" s="38"/>
      <c r="AR593" s="17"/>
      <c r="AS593" s="1"/>
      <c r="AT593" s="17"/>
      <c r="AU593" s="1"/>
      <c r="AV593" s="17"/>
      <c r="AW593" s="1"/>
      <c r="AX593" s="2"/>
      <c r="AY593" s="1"/>
      <c r="AZ593" s="1"/>
    </row>
    <row x14ac:dyDescent="0.25" r="594" customHeight="1" ht="15">
      <c r="A594" s="1"/>
      <c r="B594" s="1"/>
      <c r="C594" s="1"/>
      <c r="D594" s="1"/>
      <c r="E594" s="1"/>
      <c r="F594" s="1"/>
      <c r="G594" s="1"/>
      <c r="H594" s="1"/>
      <c r="I594" s="1"/>
      <c r="J594" s="1"/>
      <c r="K594" s="17"/>
      <c r="L594" s="1"/>
      <c r="M594" s="1"/>
      <c r="N594" s="2"/>
      <c r="O594" s="2"/>
      <c r="P594" s="17"/>
      <c r="Q594" s="1"/>
      <c r="R594" s="1"/>
      <c r="S594" s="1"/>
      <c r="T594" s="38"/>
      <c r="U594" s="38"/>
      <c r="V594" s="38"/>
      <c r="W594" s="38"/>
      <c r="X594" s="38"/>
      <c r="Y594" s="38"/>
      <c r="Z594" s="38"/>
      <c r="AA594" s="122"/>
      <c r="AB594" s="122"/>
      <c r="AC594" s="122"/>
      <c r="AD594" s="122"/>
      <c r="AE594" s="122"/>
      <c r="AF594" s="122"/>
      <c r="AG594" s="122"/>
      <c r="AH594" s="122"/>
      <c r="AI594" s="122"/>
      <c r="AJ594" s="38"/>
      <c r="AK594" s="122"/>
      <c r="AL594" s="122"/>
      <c r="AM594" s="122"/>
      <c r="AN594" s="122"/>
      <c r="AO594" s="38"/>
      <c r="AP594" s="38"/>
      <c r="AQ594" s="38"/>
      <c r="AR594" s="17"/>
      <c r="AS594" s="1"/>
      <c r="AT594" s="17"/>
      <c r="AU594" s="1"/>
      <c r="AV594" s="17"/>
      <c r="AW594" s="1"/>
      <c r="AX594" s="2"/>
      <c r="AY594" s="1"/>
      <c r="AZ594" s="1"/>
    </row>
    <row x14ac:dyDescent="0.25" r="595" customHeight="1" ht="15">
      <c r="A595" s="1"/>
      <c r="B595" s="1"/>
      <c r="C595" s="1"/>
      <c r="D595" s="1"/>
      <c r="E595" s="1"/>
      <c r="F595" s="1"/>
      <c r="G595" s="1"/>
      <c r="H595" s="1"/>
      <c r="I595" s="1"/>
      <c r="J595" s="1"/>
      <c r="K595" s="17"/>
      <c r="L595" s="1"/>
      <c r="M595" s="1"/>
      <c r="N595" s="2"/>
      <c r="O595" s="2"/>
      <c r="P595" s="17"/>
      <c r="Q595" s="1"/>
      <c r="R595" s="1"/>
      <c r="S595" s="1"/>
      <c r="T595" s="38"/>
      <c r="U595" s="38"/>
      <c r="V595" s="38"/>
      <c r="W595" s="38"/>
      <c r="X595" s="38"/>
      <c r="Y595" s="38"/>
      <c r="Z595" s="38"/>
      <c r="AA595" s="122"/>
      <c r="AB595" s="122"/>
      <c r="AC595" s="122"/>
      <c r="AD595" s="122"/>
      <c r="AE595" s="122"/>
      <c r="AF595" s="122"/>
      <c r="AG595" s="122"/>
      <c r="AH595" s="122"/>
      <c r="AI595" s="122"/>
      <c r="AJ595" s="38"/>
      <c r="AK595" s="122"/>
      <c r="AL595" s="122"/>
      <c r="AM595" s="122"/>
      <c r="AN595" s="122"/>
      <c r="AO595" s="38"/>
      <c r="AP595" s="38"/>
      <c r="AQ595" s="38"/>
      <c r="AR595" s="17"/>
      <c r="AS595" s="1"/>
      <c r="AT595" s="17"/>
      <c r="AU595" s="1"/>
      <c r="AV595" s="17"/>
      <c r="AW595" s="1"/>
      <c r="AX595" s="2"/>
      <c r="AY595" s="1"/>
      <c r="AZ595" s="1"/>
    </row>
    <row x14ac:dyDescent="0.25" r="596" customHeight="1" ht="15">
      <c r="A596" s="1"/>
      <c r="B596" s="1"/>
      <c r="C596" s="1"/>
      <c r="D596" s="1"/>
      <c r="E596" s="1"/>
      <c r="F596" s="1"/>
      <c r="G596" s="1"/>
      <c r="H596" s="1"/>
      <c r="I596" s="1"/>
      <c r="J596" s="1"/>
      <c r="K596" s="17"/>
      <c r="L596" s="1"/>
      <c r="M596" s="1"/>
      <c r="N596" s="2"/>
      <c r="O596" s="2"/>
      <c r="P596" s="17"/>
      <c r="Q596" s="1"/>
      <c r="R596" s="1"/>
      <c r="S596" s="1"/>
      <c r="T596" s="38"/>
      <c r="U596" s="38"/>
      <c r="V596" s="38"/>
      <c r="W596" s="38"/>
      <c r="X596" s="38"/>
      <c r="Y596" s="38"/>
      <c r="Z596" s="38"/>
      <c r="AA596" s="122"/>
      <c r="AB596" s="122"/>
      <c r="AC596" s="122"/>
      <c r="AD596" s="122"/>
      <c r="AE596" s="122"/>
      <c r="AF596" s="122"/>
      <c r="AG596" s="122"/>
      <c r="AH596" s="122"/>
      <c r="AI596" s="122"/>
      <c r="AJ596" s="38"/>
      <c r="AK596" s="122"/>
      <c r="AL596" s="122"/>
      <c r="AM596" s="122"/>
      <c r="AN596" s="122"/>
      <c r="AO596" s="38"/>
      <c r="AP596" s="38"/>
      <c r="AQ596" s="38"/>
      <c r="AR596" s="17"/>
      <c r="AS596" s="1"/>
      <c r="AT596" s="17"/>
      <c r="AU596" s="1"/>
      <c r="AV596" s="17"/>
      <c r="AW596" s="1"/>
      <c r="AX596" s="2"/>
      <c r="AY596" s="1"/>
      <c r="AZ596" s="1"/>
    </row>
    <row x14ac:dyDescent="0.25" r="597" customHeight="1" ht="15">
      <c r="A597" s="1"/>
      <c r="B597" s="1"/>
      <c r="C597" s="1"/>
      <c r="D597" s="1"/>
      <c r="E597" s="1"/>
      <c r="F597" s="1"/>
      <c r="G597" s="1"/>
      <c r="H597" s="1"/>
      <c r="I597" s="1"/>
      <c r="J597" s="1"/>
      <c r="K597" s="17"/>
      <c r="L597" s="1"/>
      <c r="M597" s="1"/>
      <c r="N597" s="2"/>
      <c r="O597" s="2"/>
      <c r="P597" s="17"/>
      <c r="Q597" s="1"/>
      <c r="R597" s="1"/>
      <c r="S597" s="1"/>
      <c r="T597" s="38"/>
      <c r="U597" s="38"/>
      <c r="V597" s="38"/>
      <c r="W597" s="38"/>
      <c r="X597" s="38"/>
      <c r="Y597" s="38"/>
      <c r="Z597" s="38"/>
      <c r="AA597" s="122"/>
      <c r="AB597" s="122"/>
      <c r="AC597" s="122"/>
      <c r="AD597" s="122"/>
      <c r="AE597" s="122"/>
      <c r="AF597" s="122"/>
      <c r="AG597" s="122"/>
      <c r="AH597" s="122"/>
      <c r="AI597" s="122"/>
      <c r="AJ597" s="38"/>
      <c r="AK597" s="122"/>
      <c r="AL597" s="122"/>
      <c r="AM597" s="122"/>
      <c r="AN597" s="122"/>
      <c r="AO597" s="38"/>
      <c r="AP597" s="38"/>
      <c r="AQ597" s="38"/>
      <c r="AR597" s="17"/>
      <c r="AS597" s="1"/>
      <c r="AT597" s="17"/>
      <c r="AU597" s="1"/>
      <c r="AV597" s="17"/>
      <c r="AW597" s="1"/>
      <c r="AX597" s="2"/>
      <c r="AY597" s="1"/>
      <c r="AZ597" s="1"/>
    </row>
    <row x14ac:dyDescent="0.25" r="598" customHeight="1" ht="15">
      <c r="A598" s="1"/>
      <c r="B598" s="1"/>
      <c r="C598" s="1"/>
      <c r="D598" s="1"/>
      <c r="E598" s="1"/>
      <c r="F598" s="1"/>
      <c r="G598" s="1"/>
      <c r="H598" s="1"/>
      <c r="I598" s="1"/>
      <c r="J598" s="1"/>
      <c r="K598" s="17"/>
      <c r="L598" s="1"/>
      <c r="M598" s="1"/>
      <c r="N598" s="2"/>
      <c r="O598" s="2"/>
      <c r="P598" s="17"/>
      <c r="Q598" s="1"/>
      <c r="R598" s="1"/>
      <c r="S598" s="1"/>
      <c r="T598" s="38"/>
      <c r="U598" s="38"/>
      <c r="V598" s="38"/>
      <c r="W598" s="38"/>
      <c r="X598" s="38"/>
      <c r="Y598" s="38"/>
      <c r="Z598" s="38"/>
      <c r="AA598" s="122"/>
      <c r="AB598" s="122"/>
      <c r="AC598" s="122"/>
      <c r="AD598" s="122"/>
      <c r="AE598" s="122"/>
      <c r="AF598" s="122"/>
      <c r="AG598" s="122"/>
      <c r="AH598" s="122"/>
      <c r="AI598" s="122"/>
      <c r="AJ598" s="38"/>
      <c r="AK598" s="122"/>
      <c r="AL598" s="122"/>
      <c r="AM598" s="122"/>
      <c r="AN598" s="122"/>
      <c r="AO598" s="38"/>
      <c r="AP598" s="38"/>
      <c r="AQ598" s="38"/>
      <c r="AR598" s="17"/>
      <c r="AS598" s="1"/>
      <c r="AT598" s="17"/>
      <c r="AU598" s="1"/>
      <c r="AV598" s="17"/>
      <c r="AW598" s="1"/>
      <c r="AX598" s="2"/>
      <c r="AY598" s="1"/>
      <c r="AZ598" s="1"/>
    </row>
    <row x14ac:dyDescent="0.25" r="599" customHeight="1" ht="15">
      <c r="A599" s="1"/>
      <c r="B599" s="1"/>
      <c r="C599" s="1"/>
      <c r="D599" s="1"/>
      <c r="E599" s="1"/>
      <c r="F599" s="1"/>
      <c r="G599" s="1"/>
      <c r="H599" s="1"/>
      <c r="I599" s="1"/>
      <c r="J599" s="1"/>
      <c r="K599" s="17"/>
      <c r="L599" s="1"/>
      <c r="M599" s="1"/>
      <c r="N599" s="2"/>
      <c r="O599" s="2"/>
      <c r="P599" s="17"/>
      <c r="Q599" s="1"/>
      <c r="R599" s="1"/>
      <c r="S599" s="1"/>
      <c r="T599" s="38"/>
      <c r="U599" s="38"/>
      <c r="V599" s="38"/>
      <c r="W599" s="38"/>
      <c r="X599" s="38"/>
      <c r="Y599" s="38"/>
      <c r="Z599" s="38"/>
      <c r="AA599" s="122"/>
      <c r="AB599" s="122"/>
      <c r="AC599" s="122"/>
      <c r="AD599" s="122"/>
      <c r="AE599" s="122"/>
      <c r="AF599" s="122"/>
      <c r="AG599" s="122"/>
      <c r="AH599" s="122"/>
      <c r="AI599" s="122"/>
      <c r="AJ599" s="38"/>
      <c r="AK599" s="122"/>
      <c r="AL599" s="122"/>
      <c r="AM599" s="122"/>
      <c r="AN599" s="122"/>
      <c r="AO599" s="38"/>
      <c r="AP599" s="38"/>
      <c r="AQ599" s="38"/>
      <c r="AR599" s="17"/>
      <c r="AS599" s="1"/>
      <c r="AT599" s="17"/>
      <c r="AU599" s="1"/>
      <c r="AV599" s="17"/>
      <c r="AW599" s="1"/>
      <c r="AX599" s="2"/>
      <c r="AY599" s="1"/>
      <c r="AZ599" s="1"/>
    </row>
    <row x14ac:dyDescent="0.25" r="600" customHeight="1" ht="15">
      <c r="A600" s="1"/>
      <c r="B600" s="1"/>
      <c r="C600" s="1"/>
      <c r="D600" s="1"/>
      <c r="E600" s="1"/>
      <c r="F600" s="1"/>
      <c r="G600" s="1"/>
      <c r="H600" s="1"/>
      <c r="I600" s="1"/>
      <c r="J600" s="1"/>
      <c r="K600" s="17"/>
      <c r="L600" s="1"/>
      <c r="M600" s="1"/>
      <c r="N600" s="2"/>
      <c r="O600" s="2"/>
      <c r="P600" s="17"/>
      <c r="Q600" s="1"/>
      <c r="R600" s="1"/>
      <c r="S600" s="1"/>
      <c r="T600" s="38"/>
      <c r="U600" s="38"/>
      <c r="V600" s="38"/>
      <c r="W600" s="38"/>
      <c r="X600" s="38"/>
      <c r="Y600" s="38"/>
      <c r="Z600" s="38"/>
      <c r="AA600" s="122"/>
      <c r="AB600" s="122"/>
      <c r="AC600" s="122"/>
      <c r="AD600" s="122"/>
      <c r="AE600" s="122"/>
      <c r="AF600" s="122"/>
      <c r="AG600" s="122"/>
      <c r="AH600" s="122"/>
      <c r="AI600" s="122"/>
      <c r="AJ600" s="38"/>
      <c r="AK600" s="122"/>
      <c r="AL600" s="122"/>
      <c r="AM600" s="122"/>
      <c r="AN600" s="122"/>
      <c r="AO600" s="38"/>
      <c r="AP600" s="38"/>
      <c r="AQ600" s="38"/>
      <c r="AR600" s="17"/>
      <c r="AS600" s="1"/>
      <c r="AT600" s="17"/>
      <c r="AU600" s="1"/>
      <c r="AV600" s="17"/>
      <c r="AW600" s="1"/>
      <c r="AX600" s="2"/>
      <c r="AY600" s="1"/>
      <c r="AZ600" s="1"/>
    </row>
    <row x14ac:dyDescent="0.25" r="601" customHeight="1" ht="15">
      <c r="A601" s="1"/>
      <c r="B601" s="1"/>
      <c r="C601" s="1"/>
      <c r="D601" s="1"/>
      <c r="E601" s="1"/>
      <c r="F601" s="1"/>
      <c r="G601" s="1"/>
      <c r="H601" s="1"/>
      <c r="I601" s="1"/>
      <c r="J601" s="1"/>
      <c r="K601" s="17"/>
      <c r="L601" s="1"/>
      <c r="M601" s="1"/>
      <c r="N601" s="2"/>
      <c r="O601" s="2"/>
      <c r="P601" s="17"/>
      <c r="Q601" s="1"/>
      <c r="R601" s="1"/>
      <c r="S601" s="1"/>
      <c r="T601" s="38"/>
      <c r="U601" s="38"/>
      <c r="V601" s="38"/>
      <c r="W601" s="38"/>
      <c r="X601" s="38"/>
      <c r="Y601" s="38"/>
      <c r="Z601" s="38"/>
      <c r="AA601" s="122"/>
      <c r="AB601" s="122"/>
      <c r="AC601" s="122"/>
      <c r="AD601" s="122"/>
      <c r="AE601" s="122"/>
      <c r="AF601" s="122"/>
      <c r="AG601" s="122"/>
      <c r="AH601" s="122"/>
      <c r="AI601" s="122"/>
      <c r="AJ601" s="38"/>
      <c r="AK601" s="122"/>
      <c r="AL601" s="122"/>
      <c r="AM601" s="122"/>
      <c r="AN601" s="122"/>
      <c r="AO601" s="38"/>
      <c r="AP601" s="38"/>
      <c r="AQ601" s="38"/>
      <c r="AR601" s="17"/>
      <c r="AS601" s="1"/>
      <c r="AT601" s="17"/>
      <c r="AU601" s="1"/>
      <c r="AV601" s="17"/>
      <c r="AW601" s="1"/>
      <c r="AX601" s="2"/>
      <c r="AY601" s="1"/>
      <c r="AZ601" s="1"/>
    </row>
    <row x14ac:dyDescent="0.25" r="602" customHeight="1" ht="15">
      <c r="A602" s="1"/>
      <c r="B602" s="1"/>
      <c r="C602" s="1"/>
      <c r="D602" s="1"/>
      <c r="E602" s="1"/>
      <c r="F602" s="1"/>
      <c r="G602" s="1"/>
      <c r="H602" s="1"/>
      <c r="I602" s="1"/>
      <c r="J602" s="1"/>
      <c r="K602" s="17"/>
      <c r="L602" s="1"/>
      <c r="M602" s="1"/>
      <c r="N602" s="2"/>
      <c r="O602" s="2"/>
      <c r="P602" s="17"/>
      <c r="Q602" s="1"/>
      <c r="R602" s="1"/>
      <c r="S602" s="1"/>
      <c r="T602" s="38"/>
      <c r="U602" s="38"/>
      <c r="V602" s="38"/>
      <c r="W602" s="38"/>
      <c r="X602" s="38"/>
      <c r="Y602" s="38"/>
      <c r="Z602" s="38"/>
      <c r="AA602" s="122"/>
      <c r="AB602" s="122"/>
      <c r="AC602" s="122"/>
      <c r="AD602" s="122"/>
      <c r="AE602" s="122"/>
      <c r="AF602" s="122"/>
      <c r="AG602" s="122"/>
      <c r="AH602" s="122"/>
      <c r="AI602" s="122"/>
      <c r="AJ602" s="38"/>
      <c r="AK602" s="122"/>
      <c r="AL602" s="122"/>
      <c r="AM602" s="122"/>
      <c r="AN602" s="122"/>
      <c r="AO602" s="38"/>
      <c r="AP602" s="38"/>
      <c r="AQ602" s="38"/>
      <c r="AR602" s="17"/>
      <c r="AS602" s="1"/>
      <c r="AT602" s="17"/>
      <c r="AU602" s="1"/>
      <c r="AV602" s="17"/>
      <c r="AW602" s="1"/>
      <c r="AX602" s="2"/>
      <c r="AY602" s="1"/>
      <c r="AZ602" s="1"/>
    </row>
    <row x14ac:dyDescent="0.25" r="603" customHeight="1" ht="15">
      <c r="A603" s="1"/>
      <c r="B603" s="1"/>
      <c r="C603" s="1"/>
      <c r="D603" s="1"/>
      <c r="E603" s="1"/>
      <c r="F603" s="1"/>
      <c r="G603" s="1"/>
      <c r="H603" s="1"/>
      <c r="I603" s="1"/>
      <c r="J603" s="1"/>
      <c r="K603" s="17"/>
      <c r="L603" s="1"/>
      <c r="M603" s="1"/>
      <c r="N603" s="2"/>
      <c r="O603" s="2"/>
      <c r="P603" s="17"/>
      <c r="Q603" s="1"/>
      <c r="R603" s="1"/>
      <c r="S603" s="1"/>
      <c r="T603" s="38"/>
      <c r="U603" s="38"/>
      <c r="V603" s="38"/>
      <c r="W603" s="38"/>
      <c r="X603" s="38"/>
      <c r="Y603" s="38"/>
      <c r="Z603" s="38"/>
      <c r="AA603" s="122"/>
      <c r="AB603" s="122"/>
      <c r="AC603" s="122"/>
      <c r="AD603" s="122"/>
      <c r="AE603" s="122"/>
      <c r="AF603" s="122"/>
      <c r="AG603" s="122"/>
      <c r="AH603" s="122"/>
      <c r="AI603" s="122"/>
      <c r="AJ603" s="38"/>
      <c r="AK603" s="122"/>
      <c r="AL603" s="122"/>
      <c r="AM603" s="122"/>
      <c r="AN603" s="122"/>
      <c r="AO603" s="38"/>
      <c r="AP603" s="38"/>
      <c r="AQ603" s="38"/>
      <c r="AR603" s="17"/>
      <c r="AS603" s="1"/>
      <c r="AT603" s="17"/>
      <c r="AU603" s="1"/>
      <c r="AV603" s="17"/>
      <c r="AW603" s="1"/>
      <c r="AX603" s="2"/>
      <c r="AY603" s="1"/>
      <c r="AZ603" s="1"/>
    </row>
    <row x14ac:dyDescent="0.25" r="604" customHeight="1" ht="15">
      <c r="A604" s="1"/>
      <c r="B604" s="1"/>
      <c r="C604" s="1"/>
      <c r="D604" s="1"/>
      <c r="E604" s="1"/>
      <c r="F604" s="1"/>
      <c r="G604" s="1"/>
      <c r="H604" s="1"/>
      <c r="I604" s="1"/>
      <c r="J604" s="1"/>
      <c r="K604" s="17"/>
      <c r="L604" s="1"/>
      <c r="M604" s="1"/>
      <c r="N604" s="2"/>
      <c r="O604" s="2"/>
      <c r="P604" s="17"/>
      <c r="Q604" s="1"/>
      <c r="R604" s="1"/>
      <c r="S604" s="1"/>
      <c r="T604" s="38"/>
      <c r="U604" s="38"/>
      <c r="V604" s="38"/>
      <c r="W604" s="38"/>
      <c r="X604" s="38"/>
      <c r="Y604" s="38"/>
      <c r="Z604" s="38"/>
      <c r="AA604" s="122"/>
      <c r="AB604" s="122"/>
      <c r="AC604" s="122"/>
      <c r="AD604" s="122"/>
      <c r="AE604" s="122"/>
      <c r="AF604" s="122"/>
      <c r="AG604" s="122"/>
      <c r="AH604" s="122"/>
      <c r="AI604" s="122"/>
      <c r="AJ604" s="38"/>
      <c r="AK604" s="122"/>
      <c r="AL604" s="122"/>
      <c r="AM604" s="122"/>
      <c r="AN604" s="122"/>
      <c r="AO604" s="38"/>
      <c r="AP604" s="38"/>
      <c r="AQ604" s="38"/>
      <c r="AR604" s="17"/>
      <c r="AS604" s="1"/>
      <c r="AT604" s="17"/>
      <c r="AU604" s="1"/>
      <c r="AV604" s="17"/>
      <c r="AW604" s="1"/>
      <c r="AX604" s="2"/>
      <c r="AY604" s="1"/>
      <c r="AZ604" s="1"/>
    </row>
    <row x14ac:dyDescent="0.25" r="605" customHeight="1" ht="15">
      <c r="A605" s="1"/>
      <c r="B605" s="1"/>
      <c r="C605" s="1"/>
      <c r="D605" s="1"/>
      <c r="E605" s="1"/>
      <c r="F605" s="1"/>
      <c r="G605" s="1"/>
      <c r="H605" s="1"/>
      <c r="I605" s="1"/>
      <c r="J605" s="1"/>
      <c r="K605" s="17"/>
      <c r="L605" s="1"/>
      <c r="M605" s="1"/>
      <c r="N605" s="2"/>
      <c r="O605" s="2"/>
      <c r="P605" s="17"/>
      <c r="Q605" s="1"/>
      <c r="R605" s="1"/>
      <c r="S605" s="1"/>
      <c r="T605" s="38"/>
      <c r="U605" s="38"/>
      <c r="V605" s="38"/>
      <c r="W605" s="38"/>
      <c r="X605" s="38"/>
      <c r="Y605" s="38"/>
      <c r="Z605" s="38"/>
      <c r="AA605" s="122"/>
      <c r="AB605" s="122"/>
      <c r="AC605" s="122"/>
      <c r="AD605" s="122"/>
      <c r="AE605" s="122"/>
      <c r="AF605" s="122"/>
      <c r="AG605" s="122"/>
      <c r="AH605" s="122"/>
      <c r="AI605" s="122"/>
      <c r="AJ605" s="38"/>
      <c r="AK605" s="122"/>
      <c r="AL605" s="122"/>
      <c r="AM605" s="122"/>
      <c r="AN605" s="122"/>
      <c r="AO605" s="38"/>
      <c r="AP605" s="38"/>
      <c r="AQ605" s="38"/>
      <c r="AR605" s="17"/>
      <c r="AS605" s="1"/>
      <c r="AT605" s="17"/>
      <c r="AU605" s="1"/>
      <c r="AV605" s="17"/>
      <c r="AW605" s="1"/>
      <c r="AX605" s="2"/>
      <c r="AY605" s="1"/>
      <c r="AZ605" s="1"/>
    </row>
    <row x14ac:dyDescent="0.25" r="606" customHeight="1" ht="15">
      <c r="A606" s="1"/>
      <c r="B606" s="1"/>
      <c r="C606" s="1"/>
      <c r="D606" s="1"/>
      <c r="E606" s="1"/>
      <c r="F606" s="1"/>
      <c r="G606" s="1"/>
      <c r="H606" s="1"/>
      <c r="I606" s="1"/>
      <c r="J606" s="1"/>
      <c r="K606" s="17"/>
      <c r="L606" s="1"/>
      <c r="M606" s="1"/>
      <c r="N606" s="2"/>
      <c r="O606" s="2"/>
      <c r="P606" s="17"/>
      <c r="Q606" s="1"/>
      <c r="R606" s="1"/>
      <c r="S606" s="1"/>
      <c r="T606" s="38"/>
      <c r="U606" s="38"/>
      <c r="V606" s="38"/>
      <c r="W606" s="38"/>
      <c r="X606" s="38"/>
      <c r="Y606" s="38"/>
      <c r="Z606" s="38"/>
      <c r="AA606" s="122"/>
      <c r="AB606" s="122"/>
      <c r="AC606" s="122"/>
      <c r="AD606" s="122"/>
      <c r="AE606" s="122"/>
      <c r="AF606" s="122"/>
      <c r="AG606" s="122"/>
      <c r="AH606" s="122"/>
      <c r="AI606" s="122"/>
      <c r="AJ606" s="38"/>
      <c r="AK606" s="122"/>
      <c r="AL606" s="122"/>
      <c r="AM606" s="122"/>
      <c r="AN606" s="122"/>
      <c r="AO606" s="38"/>
      <c r="AP606" s="38"/>
      <c r="AQ606" s="38"/>
      <c r="AR606" s="17"/>
      <c r="AS606" s="1"/>
      <c r="AT606" s="17"/>
      <c r="AU606" s="1"/>
      <c r="AV606" s="17"/>
      <c r="AW606" s="1"/>
      <c r="AX606" s="2"/>
      <c r="AY606" s="1"/>
      <c r="AZ606" s="1"/>
    </row>
    <row x14ac:dyDescent="0.25" r="607" customHeight="1" ht="15">
      <c r="A607" s="1"/>
      <c r="B607" s="1"/>
      <c r="C607" s="1"/>
      <c r="D607" s="1"/>
      <c r="E607" s="1"/>
      <c r="F607" s="1"/>
      <c r="G607" s="1"/>
      <c r="H607" s="1"/>
      <c r="I607" s="1"/>
      <c r="J607" s="1"/>
      <c r="K607" s="17"/>
      <c r="L607" s="1"/>
      <c r="M607" s="1"/>
      <c r="N607" s="2"/>
      <c r="O607" s="2"/>
      <c r="P607" s="17"/>
      <c r="Q607" s="1"/>
      <c r="R607" s="1"/>
      <c r="S607" s="1"/>
      <c r="T607" s="38"/>
      <c r="U607" s="38"/>
      <c r="V607" s="38"/>
      <c r="W607" s="38"/>
      <c r="X607" s="38"/>
      <c r="Y607" s="38"/>
      <c r="Z607" s="38"/>
      <c r="AA607" s="122"/>
      <c r="AB607" s="122"/>
      <c r="AC607" s="122"/>
      <c r="AD607" s="122"/>
      <c r="AE607" s="122"/>
      <c r="AF607" s="122"/>
      <c r="AG607" s="122"/>
      <c r="AH607" s="122"/>
      <c r="AI607" s="122"/>
      <c r="AJ607" s="38"/>
      <c r="AK607" s="122"/>
      <c r="AL607" s="122"/>
      <c r="AM607" s="122"/>
      <c r="AN607" s="122"/>
      <c r="AO607" s="38"/>
      <c r="AP607" s="38"/>
      <c r="AQ607" s="38"/>
      <c r="AR607" s="17"/>
      <c r="AS607" s="1"/>
      <c r="AT607" s="17"/>
      <c r="AU607" s="1"/>
      <c r="AV607" s="17"/>
      <c r="AW607" s="1"/>
      <c r="AX607" s="2"/>
      <c r="AY607" s="1"/>
      <c r="AZ607" s="1"/>
    </row>
    <row x14ac:dyDescent="0.25" r="608" customHeight="1" ht="15">
      <c r="A608" s="1"/>
      <c r="B608" s="1"/>
      <c r="C608" s="1"/>
      <c r="D608" s="1"/>
      <c r="E608" s="1"/>
      <c r="F608" s="1"/>
      <c r="G608" s="1"/>
      <c r="H608" s="1"/>
      <c r="I608" s="1"/>
      <c r="J608" s="1"/>
      <c r="K608" s="17"/>
      <c r="L608" s="1"/>
      <c r="M608" s="1"/>
      <c r="N608" s="2"/>
      <c r="O608" s="2"/>
      <c r="P608" s="17"/>
      <c r="Q608" s="1"/>
      <c r="R608" s="1"/>
      <c r="S608" s="1"/>
      <c r="T608" s="38"/>
      <c r="U608" s="38"/>
      <c r="V608" s="38"/>
      <c r="W608" s="38"/>
      <c r="X608" s="38"/>
      <c r="Y608" s="38"/>
      <c r="Z608" s="38"/>
      <c r="AA608" s="122"/>
      <c r="AB608" s="122"/>
      <c r="AC608" s="122"/>
      <c r="AD608" s="122"/>
      <c r="AE608" s="122"/>
      <c r="AF608" s="122"/>
      <c r="AG608" s="122"/>
      <c r="AH608" s="122"/>
      <c r="AI608" s="122"/>
      <c r="AJ608" s="38"/>
      <c r="AK608" s="122"/>
      <c r="AL608" s="122"/>
      <c r="AM608" s="122"/>
      <c r="AN608" s="122"/>
      <c r="AO608" s="38"/>
      <c r="AP608" s="38"/>
      <c r="AQ608" s="38"/>
      <c r="AR608" s="17"/>
      <c r="AS608" s="1"/>
      <c r="AT608" s="17"/>
      <c r="AU608" s="1"/>
      <c r="AV608" s="17"/>
      <c r="AW608" s="1"/>
      <c r="AX608" s="2"/>
      <c r="AY608" s="1"/>
      <c r="AZ608" s="1"/>
    </row>
    <row x14ac:dyDescent="0.25" r="609" customHeight="1" ht="15">
      <c r="A609" s="1"/>
      <c r="B609" s="1"/>
      <c r="C609" s="1"/>
      <c r="D609" s="1"/>
      <c r="E609" s="1"/>
      <c r="F609" s="1"/>
      <c r="G609" s="1"/>
      <c r="H609" s="1"/>
      <c r="I609" s="1"/>
      <c r="J609" s="1"/>
      <c r="K609" s="17"/>
      <c r="L609" s="1"/>
      <c r="M609" s="1"/>
      <c r="N609" s="2"/>
      <c r="O609" s="2"/>
      <c r="P609" s="17"/>
      <c r="Q609" s="1"/>
      <c r="R609" s="1"/>
      <c r="S609" s="1"/>
      <c r="T609" s="38"/>
      <c r="U609" s="38"/>
      <c r="V609" s="38"/>
      <c r="W609" s="38"/>
      <c r="X609" s="38"/>
      <c r="Y609" s="38"/>
      <c r="Z609" s="38"/>
      <c r="AA609" s="122"/>
      <c r="AB609" s="122"/>
      <c r="AC609" s="122"/>
      <c r="AD609" s="122"/>
      <c r="AE609" s="122"/>
      <c r="AF609" s="122"/>
      <c r="AG609" s="122"/>
      <c r="AH609" s="122"/>
      <c r="AI609" s="122"/>
      <c r="AJ609" s="38"/>
      <c r="AK609" s="122"/>
      <c r="AL609" s="122"/>
      <c r="AM609" s="122"/>
      <c r="AN609" s="122"/>
      <c r="AO609" s="38"/>
      <c r="AP609" s="38"/>
      <c r="AQ609" s="38"/>
      <c r="AR609" s="17"/>
      <c r="AS609" s="1"/>
      <c r="AT609" s="17"/>
      <c r="AU609" s="1"/>
      <c r="AV609" s="17"/>
      <c r="AW609" s="1"/>
      <c r="AX609" s="2"/>
      <c r="AY609" s="1"/>
      <c r="AZ609" s="1"/>
    </row>
    <row x14ac:dyDescent="0.25" r="610" customHeight="1" ht="15">
      <c r="A610" s="1"/>
      <c r="B610" s="1"/>
      <c r="C610" s="1"/>
      <c r="D610" s="1"/>
      <c r="E610" s="1"/>
      <c r="F610" s="1"/>
      <c r="G610" s="1"/>
      <c r="H610" s="1"/>
      <c r="I610" s="1"/>
      <c r="J610" s="1"/>
      <c r="K610" s="17"/>
      <c r="L610" s="1"/>
      <c r="M610" s="1"/>
      <c r="N610" s="2"/>
      <c r="O610" s="2"/>
      <c r="P610" s="17"/>
      <c r="Q610" s="1"/>
      <c r="R610" s="1"/>
      <c r="S610" s="1"/>
      <c r="T610" s="38"/>
      <c r="U610" s="38"/>
      <c r="V610" s="38"/>
      <c r="W610" s="38"/>
      <c r="X610" s="38"/>
      <c r="Y610" s="38"/>
      <c r="Z610" s="38"/>
      <c r="AA610" s="122"/>
      <c r="AB610" s="122"/>
      <c r="AC610" s="122"/>
      <c r="AD610" s="122"/>
      <c r="AE610" s="122"/>
      <c r="AF610" s="122"/>
      <c r="AG610" s="122"/>
      <c r="AH610" s="122"/>
      <c r="AI610" s="122"/>
      <c r="AJ610" s="38"/>
      <c r="AK610" s="122"/>
      <c r="AL610" s="122"/>
      <c r="AM610" s="122"/>
      <c r="AN610" s="122"/>
      <c r="AO610" s="38"/>
      <c r="AP610" s="38"/>
      <c r="AQ610" s="38"/>
      <c r="AR610" s="17"/>
      <c r="AS610" s="1"/>
      <c r="AT610" s="17"/>
      <c r="AU610" s="1"/>
      <c r="AV610" s="17"/>
      <c r="AW610" s="1"/>
      <c r="AX610" s="2"/>
      <c r="AY610" s="1"/>
      <c r="AZ610" s="1"/>
    </row>
    <row x14ac:dyDescent="0.25" r="611" customHeight="1" ht="15">
      <c r="A611" s="1"/>
      <c r="B611" s="1"/>
      <c r="C611" s="1"/>
      <c r="D611" s="1"/>
      <c r="E611" s="1"/>
      <c r="F611" s="1"/>
      <c r="G611" s="1"/>
      <c r="H611" s="1"/>
      <c r="I611" s="1"/>
      <c r="J611" s="1"/>
      <c r="K611" s="17"/>
      <c r="L611" s="1"/>
      <c r="M611" s="1"/>
      <c r="N611" s="2"/>
      <c r="O611" s="2"/>
      <c r="P611" s="17"/>
      <c r="Q611" s="1"/>
      <c r="R611" s="1"/>
      <c r="S611" s="1"/>
      <c r="T611" s="38"/>
      <c r="U611" s="38"/>
      <c r="V611" s="38"/>
      <c r="W611" s="38"/>
      <c r="X611" s="38"/>
      <c r="Y611" s="38"/>
      <c r="Z611" s="38"/>
      <c r="AA611" s="122"/>
      <c r="AB611" s="122"/>
      <c r="AC611" s="122"/>
      <c r="AD611" s="122"/>
      <c r="AE611" s="122"/>
      <c r="AF611" s="122"/>
      <c r="AG611" s="122"/>
      <c r="AH611" s="122"/>
      <c r="AI611" s="122"/>
      <c r="AJ611" s="38"/>
      <c r="AK611" s="122"/>
      <c r="AL611" s="122"/>
      <c r="AM611" s="122"/>
      <c r="AN611" s="122"/>
      <c r="AO611" s="38"/>
      <c r="AP611" s="38"/>
      <c r="AQ611" s="38"/>
      <c r="AR611" s="17"/>
      <c r="AS611" s="1"/>
      <c r="AT611" s="17"/>
      <c r="AU611" s="1"/>
      <c r="AV611" s="17"/>
      <c r="AW611" s="1"/>
      <c r="AX611" s="2"/>
      <c r="AY611" s="1"/>
      <c r="AZ611" s="1"/>
    </row>
    <row x14ac:dyDescent="0.25" r="612" customHeight="1" ht="15">
      <c r="A612" s="1"/>
      <c r="B612" s="1"/>
      <c r="C612" s="1"/>
      <c r="D612" s="1"/>
      <c r="E612" s="1"/>
      <c r="F612" s="1"/>
      <c r="G612" s="1"/>
      <c r="H612" s="1"/>
      <c r="I612" s="1"/>
      <c r="J612" s="1"/>
      <c r="K612" s="17"/>
      <c r="L612" s="1"/>
      <c r="M612" s="1"/>
      <c r="N612" s="2"/>
      <c r="O612" s="2"/>
      <c r="P612" s="17"/>
      <c r="Q612" s="1"/>
      <c r="R612" s="1"/>
      <c r="S612" s="1"/>
      <c r="T612" s="38"/>
      <c r="U612" s="38"/>
      <c r="V612" s="38"/>
      <c r="W612" s="38"/>
      <c r="X612" s="38"/>
      <c r="Y612" s="38"/>
      <c r="Z612" s="38"/>
      <c r="AA612" s="122"/>
      <c r="AB612" s="122"/>
      <c r="AC612" s="122"/>
      <c r="AD612" s="122"/>
      <c r="AE612" s="122"/>
      <c r="AF612" s="122"/>
      <c r="AG612" s="122"/>
      <c r="AH612" s="122"/>
      <c r="AI612" s="122"/>
      <c r="AJ612" s="38"/>
      <c r="AK612" s="122"/>
      <c r="AL612" s="122"/>
      <c r="AM612" s="122"/>
      <c r="AN612" s="122"/>
      <c r="AO612" s="38"/>
      <c r="AP612" s="38"/>
      <c r="AQ612" s="38"/>
      <c r="AR612" s="17"/>
      <c r="AS612" s="1"/>
      <c r="AT612" s="17"/>
      <c r="AU612" s="1"/>
      <c r="AV612" s="17"/>
      <c r="AW612" s="1"/>
      <c r="AX612" s="2"/>
      <c r="AY612" s="1"/>
      <c r="AZ612" s="1"/>
    </row>
    <row x14ac:dyDescent="0.25" r="613" customHeight="1" ht="15">
      <c r="A613" s="1"/>
      <c r="B613" s="1"/>
      <c r="C613" s="1"/>
      <c r="D613" s="1"/>
      <c r="E613" s="1"/>
      <c r="F613" s="1"/>
      <c r="G613" s="1"/>
      <c r="H613" s="1"/>
      <c r="I613" s="1"/>
      <c r="J613" s="1"/>
      <c r="K613" s="17"/>
      <c r="L613" s="1"/>
      <c r="M613" s="1"/>
      <c r="N613" s="2"/>
      <c r="O613" s="2"/>
      <c r="P613" s="17"/>
      <c r="Q613" s="1"/>
      <c r="R613" s="1"/>
      <c r="S613" s="1"/>
      <c r="T613" s="38"/>
      <c r="U613" s="38"/>
      <c r="V613" s="38"/>
      <c r="W613" s="38"/>
      <c r="X613" s="38"/>
      <c r="Y613" s="38"/>
      <c r="Z613" s="38"/>
      <c r="AA613" s="122"/>
      <c r="AB613" s="122"/>
      <c r="AC613" s="122"/>
      <c r="AD613" s="122"/>
      <c r="AE613" s="122"/>
      <c r="AF613" s="122"/>
      <c r="AG613" s="122"/>
      <c r="AH613" s="122"/>
      <c r="AI613" s="122"/>
      <c r="AJ613" s="38"/>
      <c r="AK613" s="122"/>
      <c r="AL613" s="122"/>
      <c r="AM613" s="122"/>
      <c r="AN613" s="122"/>
      <c r="AO613" s="38"/>
      <c r="AP613" s="38"/>
      <c r="AQ613" s="38"/>
      <c r="AR613" s="17"/>
      <c r="AS613" s="1"/>
      <c r="AT613" s="17"/>
      <c r="AU613" s="1"/>
      <c r="AV613" s="17"/>
      <c r="AW613" s="1"/>
      <c r="AX613" s="2"/>
      <c r="AY613" s="1"/>
      <c r="AZ613" s="1"/>
    </row>
    <row x14ac:dyDescent="0.25" r="614" customHeight="1" ht="15">
      <c r="A614" s="1"/>
      <c r="B614" s="1"/>
      <c r="C614" s="1"/>
      <c r="D614" s="1"/>
      <c r="E614" s="1"/>
      <c r="F614" s="1"/>
      <c r="G614" s="1"/>
      <c r="H614" s="1"/>
      <c r="I614" s="1"/>
      <c r="J614" s="1"/>
      <c r="K614" s="17"/>
      <c r="L614" s="1"/>
      <c r="M614" s="1"/>
      <c r="N614" s="2"/>
      <c r="O614" s="2"/>
      <c r="P614" s="17"/>
      <c r="Q614" s="1"/>
      <c r="R614" s="1"/>
      <c r="S614" s="1"/>
      <c r="T614" s="38"/>
      <c r="U614" s="38"/>
      <c r="V614" s="38"/>
      <c r="W614" s="38"/>
      <c r="X614" s="38"/>
      <c r="Y614" s="38"/>
      <c r="Z614" s="38"/>
      <c r="AA614" s="122"/>
      <c r="AB614" s="122"/>
      <c r="AC614" s="122"/>
      <c r="AD614" s="122"/>
      <c r="AE614" s="122"/>
      <c r="AF614" s="122"/>
      <c r="AG614" s="122"/>
      <c r="AH614" s="122"/>
      <c r="AI614" s="122"/>
      <c r="AJ614" s="38"/>
      <c r="AK614" s="122"/>
      <c r="AL614" s="122"/>
      <c r="AM614" s="122"/>
      <c r="AN614" s="122"/>
      <c r="AO614" s="38"/>
      <c r="AP614" s="38"/>
      <c r="AQ614" s="38"/>
      <c r="AR614" s="17"/>
      <c r="AS614" s="1"/>
      <c r="AT614" s="17"/>
      <c r="AU614" s="1"/>
      <c r="AV614" s="17"/>
      <c r="AW614" s="1"/>
      <c r="AX614" s="2"/>
      <c r="AY614" s="1"/>
      <c r="AZ614" s="1"/>
    </row>
    <row x14ac:dyDescent="0.25" r="615" customHeight="1" ht="15">
      <c r="A615" s="1"/>
      <c r="B615" s="1"/>
      <c r="C615" s="1"/>
      <c r="D615" s="1"/>
      <c r="E615" s="1"/>
      <c r="F615" s="1"/>
      <c r="G615" s="1"/>
      <c r="H615" s="1"/>
      <c r="I615" s="1"/>
      <c r="J615" s="1"/>
      <c r="K615" s="17"/>
      <c r="L615" s="1"/>
      <c r="M615" s="1"/>
      <c r="N615" s="2"/>
      <c r="O615" s="2"/>
      <c r="P615" s="17"/>
      <c r="Q615" s="1"/>
      <c r="R615" s="1"/>
      <c r="S615" s="1"/>
      <c r="T615" s="38"/>
      <c r="U615" s="38"/>
      <c r="V615" s="38"/>
      <c r="W615" s="38"/>
      <c r="X615" s="38"/>
      <c r="Y615" s="38"/>
      <c r="Z615" s="38"/>
      <c r="AA615" s="122"/>
      <c r="AB615" s="122"/>
      <c r="AC615" s="122"/>
      <c r="AD615" s="122"/>
      <c r="AE615" s="122"/>
      <c r="AF615" s="122"/>
      <c r="AG615" s="122"/>
      <c r="AH615" s="122"/>
      <c r="AI615" s="122"/>
      <c r="AJ615" s="38"/>
      <c r="AK615" s="122"/>
      <c r="AL615" s="122"/>
      <c r="AM615" s="122"/>
      <c r="AN615" s="122"/>
      <c r="AO615" s="38"/>
      <c r="AP615" s="38"/>
      <c r="AQ615" s="38"/>
      <c r="AR615" s="17"/>
      <c r="AS615" s="1"/>
      <c r="AT615" s="17"/>
      <c r="AU615" s="1"/>
      <c r="AV615" s="17"/>
      <c r="AW615" s="1"/>
      <c r="AX615" s="2"/>
      <c r="AY615" s="1"/>
      <c r="AZ615" s="1"/>
    </row>
    <row x14ac:dyDescent="0.25" r="616" customHeight="1" ht="15">
      <c r="A616" s="1"/>
      <c r="B616" s="1"/>
      <c r="C616" s="1"/>
      <c r="D616" s="1"/>
      <c r="E616" s="1"/>
      <c r="F616" s="1"/>
      <c r="G616" s="1"/>
      <c r="H616" s="1"/>
      <c r="I616" s="1"/>
      <c r="J616" s="1"/>
      <c r="K616" s="17"/>
      <c r="L616" s="1"/>
      <c r="M616" s="1"/>
      <c r="N616" s="2"/>
      <c r="O616" s="2"/>
      <c r="P616" s="17"/>
      <c r="Q616" s="1"/>
      <c r="R616" s="1"/>
      <c r="S616" s="1"/>
      <c r="T616" s="38"/>
      <c r="U616" s="38"/>
      <c r="V616" s="38"/>
      <c r="W616" s="38"/>
      <c r="X616" s="38"/>
      <c r="Y616" s="38"/>
      <c r="Z616" s="38"/>
      <c r="AA616" s="122"/>
      <c r="AB616" s="122"/>
      <c r="AC616" s="122"/>
      <c r="AD616" s="122"/>
      <c r="AE616" s="122"/>
      <c r="AF616" s="122"/>
      <c r="AG616" s="122"/>
      <c r="AH616" s="122"/>
      <c r="AI616" s="122"/>
      <c r="AJ616" s="38"/>
      <c r="AK616" s="122"/>
      <c r="AL616" s="122"/>
      <c r="AM616" s="122"/>
      <c r="AN616" s="122"/>
      <c r="AO616" s="38"/>
      <c r="AP616" s="38"/>
      <c r="AQ616" s="38"/>
      <c r="AR616" s="17"/>
      <c r="AS616" s="1"/>
      <c r="AT616" s="17"/>
      <c r="AU616" s="1"/>
      <c r="AV616" s="17"/>
      <c r="AW616" s="1"/>
      <c r="AX616" s="2"/>
      <c r="AY616" s="1"/>
      <c r="AZ616" s="1"/>
    </row>
    <row x14ac:dyDescent="0.25" r="617" customHeight="1" ht="15">
      <c r="A617" s="1"/>
      <c r="B617" s="1"/>
      <c r="C617" s="1"/>
      <c r="D617" s="1"/>
      <c r="E617" s="1"/>
      <c r="F617" s="1"/>
      <c r="G617" s="1"/>
      <c r="H617" s="1"/>
      <c r="I617" s="1"/>
      <c r="J617" s="1"/>
      <c r="K617" s="17"/>
      <c r="L617" s="1"/>
      <c r="M617" s="1"/>
      <c r="N617" s="2"/>
      <c r="O617" s="2"/>
      <c r="P617" s="17"/>
      <c r="Q617" s="1"/>
      <c r="R617" s="1"/>
      <c r="S617" s="1"/>
      <c r="T617" s="38"/>
      <c r="U617" s="38"/>
      <c r="V617" s="38"/>
      <c r="W617" s="38"/>
      <c r="X617" s="38"/>
      <c r="Y617" s="38"/>
      <c r="Z617" s="38"/>
      <c r="AA617" s="122"/>
      <c r="AB617" s="122"/>
      <c r="AC617" s="122"/>
      <c r="AD617" s="122"/>
      <c r="AE617" s="122"/>
      <c r="AF617" s="122"/>
      <c r="AG617" s="122"/>
      <c r="AH617" s="122"/>
      <c r="AI617" s="122"/>
      <c r="AJ617" s="38"/>
      <c r="AK617" s="122"/>
      <c r="AL617" s="122"/>
      <c r="AM617" s="122"/>
      <c r="AN617" s="122"/>
      <c r="AO617" s="38"/>
      <c r="AP617" s="38"/>
      <c r="AQ617" s="38"/>
      <c r="AR617" s="17"/>
      <c r="AS617" s="1"/>
      <c r="AT617" s="17"/>
      <c r="AU617" s="1"/>
      <c r="AV617" s="17"/>
      <c r="AW617" s="1"/>
      <c r="AX617" s="2"/>
      <c r="AY617" s="1"/>
      <c r="AZ617" s="1"/>
    </row>
    <row x14ac:dyDescent="0.25" r="618" customHeight="1" ht="15">
      <c r="A618" s="1"/>
      <c r="B618" s="1"/>
      <c r="C618" s="1"/>
      <c r="D618" s="1"/>
      <c r="E618" s="1"/>
      <c r="F618" s="1"/>
      <c r="G618" s="1"/>
      <c r="H618" s="1"/>
      <c r="I618" s="1"/>
      <c r="J618" s="1"/>
      <c r="K618" s="17"/>
      <c r="L618" s="1"/>
      <c r="M618" s="1"/>
      <c r="N618" s="2"/>
      <c r="O618" s="2"/>
      <c r="P618" s="17"/>
      <c r="Q618" s="1"/>
      <c r="R618" s="1"/>
      <c r="S618" s="1"/>
      <c r="T618" s="38"/>
      <c r="U618" s="38"/>
      <c r="V618" s="38"/>
      <c r="W618" s="38"/>
      <c r="X618" s="38"/>
      <c r="Y618" s="38"/>
      <c r="Z618" s="38"/>
      <c r="AA618" s="122"/>
      <c r="AB618" s="122"/>
      <c r="AC618" s="122"/>
      <c r="AD618" s="122"/>
      <c r="AE618" s="122"/>
      <c r="AF618" s="122"/>
      <c r="AG618" s="122"/>
      <c r="AH618" s="122"/>
      <c r="AI618" s="122"/>
      <c r="AJ618" s="38"/>
      <c r="AK618" s="122"/>
      <c r="AL618" s="122"/>
      <c r="AM618" s="122"/>
      <c r="AN618" s="122"/>
      <c r="AO618" s="38"/>
      <c r="AP618" s="38"/>
      <c r="AQ618" s="38"/>
      <c r="AR618" s="17"/>
      <c r="AS618" s="1"/>
      <c r="AT618" s="17"/>
      <c r="AU618" s="1"/>
      <c r="AV618" s="17"/>
      <c r="AW618" s="1"/>
      <c r="AX618" s="2"/>
      <c r="AY618" s="1"/>
      <c r="AZ618" s="1"/>
    </row>
    <row x14ac:dyDescent="0.25" r="619" customHeight="1" ht="15">
      <c r="A619" s="1"/>
      <c r="B619" s="1"/>
      <c r="C619" s="1"/>
      <c r="D619" s="1"/>
      <c r="E619" s="1"/>
      <c r="F619" s="1"/>
      <c r="G619" s="1"/>
      <c r="H619" s="1"/>
      <c r="I619" s="1"/>
      <c r="J619" s="1"/>
      <c r="K619" s="17"/>
      <c r="L619" s="1"/>
      <c r="M619" s="1"/>
      <c r="N619" s="2"/>
      <c r="O619" s="2"/>
      <c r="P619" s="17"/>
      <c r="Q619" s="1"/>
      <c r="R619" s="1"/>
      <c r="S619" s="1"/>
      <c r="T619" s="38"/>
      <c r="U619" s="38"/>
      <c r="V619" s="38"/>
      <c r="W619" s="38"/>
      <c r="X619" s="38"/>
      <c r="Y619" s="38"/>
      <c r="Z619" s="38"/>
      <c r="AA619" s="122"/>
      <c r="AB619" s="122"/>
      <c r="AC619" s="122"/>
      <c r="AD619" s="122"/>
      <c r="AE619" s="122"/>
      <c r="AF619" s="122"/>
      <c r="AG619" s="122"/>
      <c r="AH619" s="122"/>
      <c r="AI619" s="122"/>
      <c r="AJ619" s="38"/>
      <c r="AK619" s="122"/>
      <c r="AL619" s="122"/>
      <c r="AM619" s="122"/>
      <c r="AN619" s="122"/>
      <c r="AO619" s="38"/>
      <c r="AP619" s="38"/>
      <c r="AQ619" s="38"/>
      <c r="AR619" s="17"/>
      <c r="AS619" s="1"/>
      <c r="AT619" s="17"/>
      <c r="AU619" s="1"/>
      <c r="AV619" s="17"/>
      <c r="AW619" s="1"/>
      <c r="AX619" s="2"/>
      <c r="AY619" s="1"/>
      <c r="AZ619" s="1"/>
    </row>
    <row x14ac:dyDescent="0.25" r="620" customHeight="1" ht="15">
      <c r="A620" s="1"/>
      <c r="B620" s="1"/>
      <c r="C620" s="1"/>
      <c r="D620" s="1"/>
      <c r="E620" s="1"/>
      <c r="F620" s="1"/>
      <c r="G620" s="1"/>
      <c r="H620" s="1"/>
      <c r="I620" s="1"/>
      <c r="J620" s="1"/>
      <c r="K620" s="17"/>
      <c r="L620" s="1"/>
      <c r="M620" s="1"/>
      <c r="N620" s="2"/>
      <c r="O620" s="2"/>
      <c r="P620" s="17"/>
      <c r="Q620" s="1"/>
      <c r="R620" s="1"/>
      <c r="S620" s="1"/>
      <c r="T620" s="38"/>
      <c r="U620" s="38"/>
      <c r="V620" s="38"/>
      <c r="W620" s="38"/>
      <c r="X620" s="38"/>
      <c r="Y620" s="38"/>
      <c r="Z620" s="38"/>
      <c r="AA620" s="122"/>
      <c r="AB620" s="122"/>
      <c r="AC620" s="122"/>
      <c r="AD620" s="122"/>
      <c r="AE620" s="122"/>
      <c r="AF620" s="122"/>
      <c r="AG620" s="122"/>
      <c r="AH620" s="122"/>
      <c r="AI620" s="122"/>
      <c r="AJ620" s="38"/>
      <c r="AK620" s="122"/>
      <c r="AL620" s="122"/>
      <c r="AM620" s="122"/>
      <c r="AN620" s="122"/>
      <c r="AO620" s="38"/>
      <c r="AP620" s="38"/>
      <c r="AQ620" s="38"/>
      <c r="AR620" s="17"/>
      <c r="AS620" s="1"/>
      <c r="AT620" s="17"/>
      <c r="AU620" s="1"/>
      <c r="AV620" s="17"/>
      <c r="AW620" s="1"/>
      <c r="AX620" s="2"/>
      <c r="AY620" s="1"/>
      <c r="AZ620" s="1"/>
    </row>
    <row x14ac:dyDescent="0.25" r="621" customHeight="1" ht="15">
      <c r="A621" s="1"/>
      <c r="B621" s="1"/>
      <c r="C621" s="1"/>
      <c r="D621" s="1"/>
      <c r="E621" s="1"/>
      <c r="F621" s="1"/>
      <c r="G621" s="1"/>
      <c r="H621" s="1"/>
      <c r="I621" s="1"/>
      <c r="J621" s="1"/>
      <c r="K621" s="17"/>
      <c r="L621" s="1"/>
      <c r="M621" s="1"/>
      <c r="N621" s="2"/>
      <c r="O621" s="2"/>
      <c r="P621" s="17"/>
      <c r="Q621" s="1"/>
      <c r="R621" s="1"/>
      <c r="S621" s="1"/>
      <c r="T621" s="38"/>
      <c r="U621" s="38"/>
      <c r="V621" s="38"/>
      <c r="W621" s="38"/>
      <c r="X621" s="38"/>
      <c r="Y621" s="38"/>
      <c r="Z621" s="38"/>
      <c r="AA621" s="122"/>
      <c r="AB621" s="122"/>
      <c r="AC621" s="122"/>
      <c r="AD621" s="122"/>
      <c r="AE621" s="122"/>
      <c r="AF621" s="122"/>
      <c r="AG621" s="122"/>
      <c r="AH621" s="122"/>
      <c r="AI621" s="122"/>
      <c r="AJ621" s="38"/>
      <c r="AK621" s="122"/>
      <c r="AL621" s="122"/>
      <c r="AM621" s="122"/>
      <c r="AN621" s="122"/>
      <c r="AO621" s="38"/>
      <c r="AP621" s="38"/>
      <c r="AQ621" s="38"/>
      <c r="AR621" s="17"/>
      <c r="AS621" s="1"/>
      <c r="AT621" s="17"/>
      <c r="AU621" s="1"/>
      <c r="AV621" s="17"/>
      <c r="AW621" s="1"/>
      <c r="AX621" s="2"/>
      <c r="AY621" s="1"/>
      <c r="AZ621" s="1"/>
    </row>
    <row x14ac:dyDescent="0.25" r="622" customHeight="1" ht="15">
      <c r="A622" s="1"/>
      <c r="B622" s="1"/>
      <c r="C622" s="1"/>
      <c r="D622" s="1"/>
      <c r="E622" s="1"/>
      <c r="F622" s="1"/>
      <c r="G622" s="1"/>
      <c r="H622" s="1"/>
      <c r="I622" s="1"/>
      <c r="J622" s="1"/>
      <c r="K622" s="17"/>
      <c r="L622" s="1"/>
      <c r="M622" s="1"/>
      <c r="N622" s="2"/>
      <c r="O622" s="2"/>
      <c r="P622" s="17"/>
      <c r="Q622" s="1"/>
      <c r="R622" s="1"/>
      <c r="S622" s="1"/>
      <c r="T622" s="38"/>
      <c r="U622" s="38"/>
      <c r="V622" s="38"/>
      <c r="W622" s="38"/>
      <c r="X622" s="38"/>
      <c r="Y622" s="38"/>
      <c r="Z622" s="38"/>
      <c r="AA622" s="122"/>
      <c r="AB622" s="122"/>
      <c r="AC622" s="122"/>
      <c r="AD622" s="122"/>
      <c r="AE622" s="122"/>
      <c r="AF622" s="122"/>
      <c r="AG622" s="122"/>
      <c r="AH622" s="122"/>
      <c r="AI622" s="122"/>
      <c r="AJ622" s="38"/>
      <c r="AK622" s="122"/>
      <c r="AL622" s="122"/>
      <c r="AM622" s="122"/>
      <c r="AN622" s="122"/>
      <c r="AO622" s="38"/>
      <c r="AP622" s="38"/>
      <c r="AQ622" s="38"/>
      <c r="AR622" s="17"/>
      <c r="AS622" s="1"/>
      <c r="AT622" s="17"/>
      <c r="AU622" s="1"/>
      <c r="AV622" s="17"/>
      <c r="AW622" s="1"/>
      <c r="AX622" s="2"/>
      <c r="AY622" s="1"/>
      <c r="AZ622" s="1"/>
    </row>
    <row x14ac:dyDescent="0.25" r="623" customHeight="1" ht="15">
      <c r="A623" s="1"/>
      <c r="B623" s="1"/>
      <c r="C623" s="1"/>
      <c r="D623" s="1"/>
      <c r="E623" s="1"/>
      <c r="F623" s="1"/>
      <c r="G623" s="1"/>
      <c r="H623" s="1"/>
      <c r="I623" s="1"/>
      <c r="J623" s="1"/>
      <c r="K623" s="17"/>
      <c r="L623" s="1"/>
      <c r="M623" s="1"/>
      <c r="N623" s="2"/>
      <c r="O623" s="2"/>
      <c r="P623" s="17"/>
      <c r="Q623" s="1"/>
      <c r="R623" s="1"/>
      <c r="S623" s="1"/>
      <c r="T623" s="38"/>
      <c r="U623" s="38"/>
      <c r="V623" s="38"/>
      <c r="W623" s="38"/>
      <c r="X623" s="38"/>
      <c r="Y623" s="38"/>
      <c r="Z623" s="38"/>
      <c r="AA623" s="122"/>
      <c r="AB623" s="122"/>
      <c r="AC623" s="122"/>
      <c r="AD623" s="122"/>
      <c r="AE623" s="122"/>
      <c r="AF623" s="122"/>
      <c r="AG623" s="122"/>
      <c r="AH623" s="122"/>
      <c r="AI623" s="122"/>
      <c r="AJ623" s="38"/>
      <c r="AK623" s="122"/>
      <c r="AL623" s="122"/>
      <c r="AM623" s="122"/>
      <c r="AN623" s="122"/>
      <c r="AO623" s="38"/>
      <c r="AP623" s="38"/>
      <c r="AQ623" s="38"/>
      <c r="AR623" s="17"/>
      <c r="AS623" s="1"/>
      <c r="AT623" s="17"/>
      <c r="AU623" s="1"/>
      <c r="AV623" s="17"/>
      <c r="AW623" s="1"/>
      <c r="AX623" s="2"/>
      <c r="AY623" s="1"/>
      <c r="AZ623" s="1"/>
    </row>
    <row x14ac:dyDescent="0.25" r="624" customHeight="1" ht="15">
      <c r="A624" s="1"/>
      <c r="B624" s="1"/>
      <c r="C624" s="1"/>
      <c r="D624" s="1"/>
      <c r="E624" s="1"/>
      <c r="F624" s="1"/>
      <c r="G624" s="1"/>
      <c r="H624" s="1"/>
      <c r="I624" s="1"/>
      <c r="J624" s="1"/>
      <c r="K624" s="17"/>
      <c r="L624" s="1"/>
      <c r="M624" s="1"/>
      <c r="N624" s="2"/>
      <c r="O624" s="2"/>
      <c r="P624" s="17"/>
      <c r="Q624" s="1"/>
      <c r="R624" s="1"/>
      <c r="S624" s="1"/>
      <c r="T624" s="38"/>
      <c r="U624" s="38"/>
      <c r="V624" s="38"/>
      <c r="W624" s="38"/>
      <c r="X624" s="38"/>
      <c r="Y624" s="38"/>
      <c r="Z624" s="38"/>
      <c r="AA624" s="122"/>
      <c r="AB624" s="122"/>
      <c r="AC624" s="122"/>
      <c r="AD624" s="122"/>
      <c r="AE624" s="122"/>
      <c r="AF624" s="122"/>
      <c r="AG624" s="122"/>
      <c r="AH624" s="122"/>
      <c r="AI624" s="122"/>
      <c r="AJ624" s="38"/>
      <c r="AK624" s="122"/>
      <c r="AL624" s="122"/>
      <c r="AM624" s="122"/>
      <c r="AN624" s="122"/>
      <c r="AO624" s="38"/>
      <c r="AP624" s="38"/>
      <c r="AQ624" s="38"/>
      <c r="AR624" s="17"/>
      <c r="AS624" s="1"/>
      <c r="AT624" s="17"/>
      <c r="AU624" s="1"/>
      <c r="AV624" s="17"/>
      <c r="AW624" s="1"/>
      <c r="AX624" s="2"/>
      <c r="AY624" s="1"/>
      <c r="AZ624" s="1"/>
    </row>
    <row x14ac:dyDescent="0.25" r="625" customHeight="1" ht="15">
      <c r="A625" s="1"/>
      <c r="B625" s="1"/>
      <c r="C625" s="1"/>
      <c r="D625" s="1"/>
      <c r="E625" s="1"/>
      <c r="F625" s="1"/>
      <c r="G625" s="1"/>
      <c r="H625" s="1"/>
      <c r="I625" s="1"/>
      <c r="J625" s="1"/>
      <c r="K625" s="17"/>
      <c r="L625" s="1"/>
      <c r="M625" s="1"/>
      <c r="N625" s="2"/>
      <c r="O625" s="2"/>
      <c r="P625" s="17"/>
      <c r="Q625" s="1"/>
      <c r="R625" s="1"/>
      <c r="S625" s="1"/>
      <c r="T625" s="38"/>
      <c r="U625" s="38"/>
      <c r="V625" s="38"/>
      <c r="W625" s="38"/>
      <c r="X625" s="38"/>
      <c r="Y625" s="38"/>
      <c r="Z625" s="38"/>
      <c r="AA625" s="122"/>
      <c r="AB625" s="122"/>
      <c r="AC625" s="122"/>
      <c r="AD625" s="122"/>
      <c r="AE625" s="122"/>
      <c r="AF625" s="122"/>
      <c r="AG625" s="122"/>
      <c r="AH625" s="122"/>
      <c r="AI625" s="122"/>
      <c r="AJ625" s="38"/>
      <c r="AK625" s="122"/>
      <c r="AL625" s="122"/>
      <c r="AM625" s="122"/>
      <c r="AN625" s="122"/>
      <c r="AO625" s="38"/>
      <c r="AP625" s="38"/>
      <c r="AQ625" s="38"/>
      <c r="AR625" s="17"/>
      <c r="AS625" s="1"/>
      <c r="AT625" s="17"/>
      <c r="AU625" s="1"/>
      <c r="AV625" s="17"/>
      <c r="AW625" s="1"/>
      <c r="AX625" s="2"/>
      <c r="AY625" s="1"/>
      <c r="AZ625" s="1"/>
    </row>
    <row x14ac:dyDescent="0.25" r="626" customHeight="1" ht="15">
      <c r="A626" s="1"/>
      <c r="B626" s="1"/>
      <c r="C626" s="1"/>
      <c r="D626" s="1"/>
      <c r="E626" s="1"/>
      <c r="F626" s="1"/>
      <c r="G626" s="1"/>
      <c r="H626" s="1"/>
      <c r="I626" s="1"/>
      <c r="J626" s="1"/>
      <c r="K626" s="17"/>
      <c r="L626" s="1"/>
      <c r="M626" s="1"/>
      <c r="N626" s="2"/>
      <c r="O626" s="2"/>
      <c r="P626" s="17"/>
      <c r="Q626" s="1"/>
      <c r="R626" s="1"/>
      <c r="S626" s="1"/>
      <c r="T626" s="38"/>
      <c r="U626" s="38"/>
      <c r="V626" s="38"/>
      <c r="W626" s="38"/>
      <c r="X626" s="38"/>
      <c r="Y626" s="38"/>
      <c r="Z626" s="38"/>
      <c r="AA626" s="122"/>
      <c r="AB626" s="122"/>
      <c r="AC626" s="122"/>
      <c r="AD626" s="122"/>
      <c r="AE626" s="122"/>
      <c r="AF626" s="122"/>
      <c r="AG626" s="122"/>
      <c r="AH626" s="122"/>
      <c r="AI626" s="122"/>
      <c r="AJ626" s="38"/>
      <c r="AK626" s="122"/>
      <c r="AL626" s="122"/>
      <c r="AM626" s="122"/>
      <c r="AN626" s="122"/>
      <c r="AO626" s="38"/>
      <c r="AP626" s="38"/>
      <c r="AQ626" s="38"/>
      <c r="AR626" s="17"/>
      <c r="AS626" s="1"/>
      <c r="AT626" s="17"/>
      <c r="AU626" s="1"/>
      <c r="AV626" s="17"/>
      <c r="AW626" s="1"/>
      <c r="AX626" s="2"/>
      <c r="AY626" s="1"/>
      <c r="AZ626" s="1"/>
    </row>
    <row x14ac:dyDescent="0.25" r="627" customHeight="1" ht="15">
      <c r="A627" s="1"/>
      <c r="B627" s="1"/>
      <c r="C627" s="1"/>
      <c r="D627" s="1"/>
      <c r="E627" s="1"/>
      <c r="F627" s="1"/>
      <c r="G627" s="1"/>
      <c r="H627" s="1"/>
      <c r="I627" s="1"/>
      <c r="J627" s="1"/>
      <c r="K627" s="17"/>
      <c r="L627" s="1"/>
      <c r="M627" s="1"/>
      <c r="N627" s="2"/>
      <c r="O627" s="2"/>
      <c r="P627" s="17"/>
      <c r="Q627" s="1"/>
      <c r="R627" s="1"/>
      <c r="S627" s="1"/>
      <c r="T627" s="38"/>
      <c r="U627" s="38"/>
      <c r="V627" s="38"/>
      <c r="W627" s="38"/>
      <c r="X627" s="38"/>
      <c r="Y627" s="38"/>
      <c r="Z627" s="38"/>
      <c r="AA627" s="122"/>
      <c r="AB627" s="122"/>
      <c r="AC627" s="122"/>
      <c r="AD627" s="122"/>
      <c r="AE627" s="122"/>
      <c r="AF627" s="122"/>
      <c r="AG627" s="122"/>
      <c r="AH627" s="122"/>
      <c r="AI627" s="122"/>
      <c r="AJ627" s="38"/>
      <c r="AK627" s="122"/>
      <c r="AL627" s="122"/>
      <c r="AM627" s="122"/>
      <c r="AN627" s="122"/>
      <c r="AO627" s="38"/>
      <c r="AP627" s="38"/>
      <c r="AQ627" s="38"/>
      <c r="AR627" s="17"/>
      <c r="AS627" s="1"/>
      <c r="AT627" s="17"/>
      <c r="AU627" s="1"/>
      <c r="AV627" s="17"/>
      <c r="AW627" s="1"/>
      <c r="AX627" s="2"/>
      <c r="AY627" s="1"/>
      <c r="AZ627" s="1"/>
    </row>
    <row x14ac:dyDescent="0.25" r="628" customHeight="1" ht="15">
      <c r="A628" s="1"/>
      <c r="B628" s="1"/>
      <c r="C628" s="1"/>
      <c r="D628" s="1"/>
      <c r="E628" s="1"/>
      <c r="F628" s="1"/>
      <c r="G628" s="1"/>
      <c r="H628" s="1"/>
      <c r="I628" s="1"/>
      <c r="J628" s="1"/>
      <c r="K628" s="17"/>
      <c r="L628" s="1"/>
      <c r="M628" s="1"/>
      <c r="N628" s="2"/>
      <c r="O628" s="2"/>
      <c r="P628" s="17"/>
      <c r="Q628" s="1"/>
      <c r="R628" s="1"/>
      <c r="S628" s="1"/>
      <c r="T628" s="38"/>
      <c r="U628" s="38"/>
      <c r="V628" s="38"/>
      <c r="W628" s="38"/>
      <c r="X628" s="38"/>
      <c r="Y628" s="38"/>
      <c r="Z628" s="38"/>
      <c r="AA628" s="122"/>
      <c r="AB628" s="122"/>
      <c r="AC628" s="122"/>
      <c r="AD628" s="122"/>
      <c r="AE628" s="122"/>
      <c r="AF628" s="122"/>
      <c r="AG628" s="122"/>
      <c r="AH628" s="122"/>
      <c r="AI628" s="122"/>
      <c r="AJ628" s="38"/>
      <c r="AK628" s="122"/>
      <c r="AL628" s="122"/>
      <c r="AM628" s="122"/>
      <c r="AN628" s="122"/>
      <c r="AO628" s="38"/>
      <c r="AP628" s="38"/>
      <c r="AQ628" s="38"/>
      <c r="AR628" s="17"/>
      <c r="AS628" s="1"/>
      <c r="AT628" s="17"/>
      <c r="AU628" s="1"/>
      <c r="AV628" s="17"/>
      <c r="AW628" s="1"/>
      <c r="AX628" s="2"/>
      <c r="AY628" s="1"/>
      <c r="AZ628" s="1"/>
    </row>
    <row x14ac:dyDescent="0.25" r="629" customHeight="1" ht="15">
      <c r="A629" s="1"/>
      <c r="B629" s="1"/>
      <c r="C629" s="1"/>
      <c r="D629" s="1"/>
      <c r="E629" s="1"/>
      <c r="F629" s="1"/>
      <c r="G629" s="1"/>
      <c r="H629" s="1"/>
      <c r="I629" s="1"/>
      <c r="J629" s="1"/>
      <c r="K629" s="17"/>
      <c r="L629" s="1"/>
      <c r="M629" s="1"/>
      <c r="N629" s="2"/>
      <c r="O629" s="2"/>
      <c r="P629" s="17"/>
      <c r="Q629" s="1"/>
      <c r="R629" s="1"/>
      <c r="S629" s="1"/>
      <c r="T629" s="38"/>
      <c r="U629" s="38"/>
      <c r="V629" s="38"/>
      <c r="W629" s="38"/>
      <c r="X629" s="38"/>
      <c r="Y629" s="38"/>
      <c r="Z629" s="38"/>
      <c r="AA629" s="122"/>
      <c r="AB629" s="122"/>
      <c r="AC629" s="122"/>
      <c r="AD629" s="122"/>
      <c r="AE629" s="122"/>
      <c r="AF629" s="122"/>
      <c r="AG629" s="122"/>
      <c r="AH629" s="122"/>
      <c r="AI629" s="122"/>
      <c r="AJ629" s="38"/>
      <c r="AK629" s="122"/>
      <c r="AL629" s="122"/>
      <c r="AM629" s="122"/>
      <c r="AN629" s="122"/>
      <c r="AO629" s="38"/>
      <c r="AP629" s="38"/>
      <c r="AQ629" s="38"/>
      <c r="AR629" s="17"/>
      <c r="AS629" s="1"/>
      <c r="AT629" s="17"/>
      <c r="AU629" s="1"/>
      <c r="AV629" s="17"/>
      <c r="AW629" s="1"/>
      <c r="AX629" s="2"/>
      <c r="AY629" s="1"/>
      <c r="AZ629" s="1"/>
    </row>
    <row x14ac:dyDescent="0.25" r="630" customHeight="1" ht="15">
      <c r="A630" s="1"/>
      <c r="B630" s="1"/>
      <c r="C630" s="1"/>
      <c r="D630" s="1"/>
      <c r="E630" s="1"/>
      <c r="F630" s="1"/>
      <c r="G630" s="1"/>
      <c r="H630" s="1"/>
      <c r="I630" s="1"/>
      <c r="J630" s="1"/>
      <c r="K630" s="17"/>
      <c r="L630" s="1"/>
      <c r="M630" s="1"/>
      <c r="N630" s="2"/>
      <c r="O630" s="2"/>
      <c r="P630" s="17"/>
      <c r="Q630" s="1"/>
      <c r="R630" s="1"/>
      <c r="S630" s="1"/>
      <c r="T630" s="38"/>
      <c r="U630" s="38"/>
      <c r="V630" s="38"/>
      <c r="W630" s="38"/>
      <c r="X630" s="38"/>
      <c r="Y630" s="38"/>
      <c r="Z630" s="38"/>
      <c r="AA630" s="122"/>
      <c r="AB630" s="122"/>
      <c r="AC630" s="122"/>
      <c r="AD630" s="122"/>
      <c r="AE630" s="122"/>
      <c r="AF630" s="122"/>
      <c r="AG630" s="122"/>
      <c r="AH630" s="122"/>
      <c r="AI630" s="122"/>
      <c r="AJ630" s="38"/>
      <c r="AK630" s="122"/>
      <c r="AL630" s="122"/>
      <c r="AM630" s="122"/>
      <c r="AN630" s="122"/>
      <c r="AO630" s="38"/>
      <c r="AP630" s="38"/>
      <c r="AQ630" s="38"/>
      <c r="AR630" s="17"/>
      <c r="AS630" s="1"/>
      <c r="AT630" s="17"/>
      <c r="AU630" s="1"/>
      <c r="AV630" s="17"/>
      <c r="AW630" s="1"/>
      <c r="AX630" s="2"/>
      <c r="AY630" s="1"/>
      <c r="AZ630" s="1"/>
    </row>
    <row x14ac:dyDescent="0.25" r="631" customHeight="1" ht="15">
      <c r="A631" s="1"/>
      <c r="B631" s="1"/>
      <c r="C631" s="1"/>
      <c r="D631" s="1"/>
      <c r="E631" s="1"/>
      <c r="F631" s="1"/>
      <c r="G631" s="1"/>
      <c r="H631" s="1"/>
      <c r="I631" s="1"/>
      <c r="J631" s="1"/>
      <c r="K631" s="17"/>
      <c r="L631" s="1"/>
      <c r="M631" s="1"/>
      <c r="N631" s="2"/>
      <c r="O631" s="2"/>
      <c r="P631" s="17"/>
      <c r="Q631" s="1"/>
      <c r="R631" s="1"/>
      <c r="S631" s="1"/>
      <c r="T631" s="38"/>
      <c r="U631" s="38"/>
      <c r="V631" s="38"/>
      <c r="W631" s="38"/>
      <c r="X631" s="38"/>
      <c r="Y631" s="38"/>
      <c r="Z631" s="38"/>
      <c r="AA631" s="122"/>
      <c r="AB631" s="122"/>
      <c r="AC631" s="122"/>
      <c r="AD631" s="122"/>
      <c r="AE631" s="122"/>
      <c r="AF631" s="122"/>
      <c r="AG631" s="122"/>
      <c r="AH631" s="122"/>
      <c r="AI631" s="122"/>
      <c r="AJ631" s="38"/>
      <c r="AK631" s="122"/>
      <c r="AL631" s="122"/>
      <c r="AM631" s="122"/>
      <c r="AN631" s="122"/>
      <c r="AO631" s="38"/>
      <c r="AP631" s="38"/>
      <c r="AQ631" s="38"/>
      <c r="AR631" s="17"/>
      <c r="AS631" s="1"/>
      <c r="AT631" s="17"/>
      <c r="AU631" s="1"/>
      <c r="AV631" s="17"/>
      <c r="AW631" s="1"/>
      <c r="AX631" s="2"/>
      <c r="AY631" s="1"/>
      <c r="AZ631" s="1"/>
    </row>
    <row x14ac:dyDescent="0.25" r="632" customHeight="1" ht="15">
      <c r="A632" s="1"/>
      <c r="B632" s="1"/>
      <c r="C632" s="1"/>
      <c r="D632" s="1"/>
      <c r="E632" s="1"/>
      <c r="F632" s="1"/>
      <c r="G632" s="1"/>
      <c r="H632" s="1"/>
      <c r="I632" s="1"/>
      <c r="J632" s="1"/>
      <c r="K632" s="17"/>
      <c r="L632" s="1"/>
      <c r="M632" s="1"/>
      <c r="N632" s="2"/>
      <c r="O632" s="2"/>
      <c r="P632" s="17"/>
      <c r="Q632" s="1"/>
      <c r="R632" s="1"/>
      <c r="S632" s="1"/>
      <c r="T632" s="38"/>
      <c r="U632" s="38"/>
      <c r="V632" s="38"/>
      <c r="W632" s="38"/>
      <c r="X632" s="38"/>
      <c r="Y632" s="38"/>
      <c r="Z632" s="38"/>
      <c r="AA632" s="122"/>
      <c r="AB632" s="122"/>
      <c r="AC632" s="122"/>
      <c r="AD632" s="122"/>
      <c r="AE632" s="122"/>
      <c r="AF632" s="122"/>
      <c r="AG632" s="122"/>
      <c r="AH632" s="122"/>
      <c r="AI632" s="122"/>
      <c r="AJ632" s="38"/>
      <c r="AK632" s="122"/>
      <c r="AL632" s="122"/>
      <c r="AM632" s="122"/>
      <c r="AN632" s="122"/>
      <c r="AO632" s="38"/>
      <c r="AP632" s="38"/>
      <c r="AQ632" s="38"/>
      <c r="AR632" s="17"/>
      <c r="AS632" s="1"/>
      <c r="AT632" s="17"/>
      <c r="AU632" s="1"/>
      <c r="AV632" s="17"/>
      <c r="AW632" s="1"/>
      <c r="AX632" s="2"/>
      <c r="AY632" s="1"/>
      <c r="AZ632" s="1"/>
    </row>
    <row x14ac:dyDescent="0.25" r="633" customHeight="1" ht="15">
      <c r="A633" s="1"/>
      <c r="B633" s="1"/>
      <c r="C633" s="1"/>
      <c r="D633" s="1"/>
      <c r="E633" s="1"/>
      <c r="F633" s="1"/>
      <c r="G633" s="1"/>
      <c r="H633" s="1"/>
      <c r="I633" s="1"/>
      <c r="J633" s="1"/>
      <c r="K633" s="17"/>
      <c r="L633" s="1"/>
      <c r="M633" s="1"/>
      <c r="N633" s="2"/>
      <c r="O633" s="2"/>
      <c r="P633" s="17"/>
      <c r="Q633" s="1"/>
      <c r="R633" s="1"/>
      <c r="S633" s="1"/>
      <c r="T633" s="38"/>
      <c r="U633" s="38"/>
      <c r="V633" s="38"/>
      <c r="W633" s="38"/>
      <c r="X633" s="38"/>
      <c r="Y633" s="38"/>
      <c r="Z633" s="38"/>
      <c r="AA633" s="122"/>
      <c r="AB633" s="122"/>
      <c r="AC633" s="122"/>
      <c r="AD633" s="122"/>
      <c r="AE633" s="122"/>
      <c r="AF633" s="122"/>
      <c r="AG633" s="122"/>
      <c r="AH633" s="122"/>
      <c r="AI633" s="122"/>
      <c r="AJ633" s="38"/>
      <c r="AK633" s="122"/>
      <c r="AL633" s="122"/>
      <c r="AM633" s="122"/>
      <c r="AN633" s="122"/>
      <c r="AO633" s="38"/>
      <c r="AP633" s="38"/>
      <c r="AQ633" s="38"/>
      <c r="AR633" s="17"/>
      <c r="AS633" s="1"/>
      <c r="AT633" s="17"/>
      <c r="AU633" s="1"/>
      <c r="AV633" s="17"/>
      <c r="AW633" s="1"/>
      <c r="AX633" s="2"/>
      <c r="AY633" s="1"/>
      <c r="AZ633" s="1"/>
    </row>
    <row x14ac:dyDescent="0.25" r="634" customHeight="1" ht="15">
      <c r="A634" s="1"/>
      <c r="B634" s="1"/>
      <c r="C634" s="1"/>
      <c r="D634" s="1"/>
      <c r="E634" s="1"/>
      <c r="F634" s="1"/>
      <c r="G634" s="1"/>
      <c r="H634" s="1"/>
      <c r="I634" s="1"/>
      <c r="J634" s="1"/>
      <c r="K634" s="17"/>
      <c r="L634" s="1"/>
      <c r="M634" s="1"/>
      <c r="N634" s="2"/>
      <c r="O634" s="2"/>
      <c r="P634" s="17"/>
      <c r="Q634" s="1"/>
      <c r="R634" s="1"/>
      <c r="S634" s="1"/>
      <c r="T634" s="38"/>
      <c r="U634" s="38"/>
      <c r="V634" s="38"/>
      <c r="W634" s="38"/>
      <c r="X634" s="38"/>
      <c r="Y634" s="38"/>
      <c r="Z634" s="38"/>
      <c r="AA634" s="122"/>
      <c r="AB634" s="122"/>
      <c r="AC634" s="122"/>
      <c r="AD634" s="122"/>
      <c r="AE634" s="122"/>
      <c r="AF634" s="122"/>
      <c r="AG634" s="122"/>
      <c r="AH634" s="122"/>
      <c r="AI634" s="122"/>
      <c r="AJ634" s="38"/>
      <c r="AK634" s="122"/>
      <c r="AL634" s="122"/>
      <c r="AM634" s="122"/>
      <c r="AN634" s="122"/>
      <c r="AO634" s="38"/>
      <c r="AP634" s="38"/>
      <c r="AQ634" s="38"/>
      <c r="AR634" s="17"/>
      <c r="AS634" s="1"/>
      <c r="AT634" s="17"/>
      <c r="AU634" s="1"/>
      <c r="AV634" s="17"/>
      <c r="AW634" s="1"/>
      <c r="AX634" s="2"/>
      <c r="AY634" s="1"/>
      <c r="AZ634" s="1"/>
    </row>
    <row x14ac:dyDescent="0.25" r="635" customHeight="1" ht="15">
      <c r="A635" s="1"/>
      <c r="B635" s="1"/>
      <c r="C635" s="1"/>
      <c r="D635" s="1"/>
      <c r="E635" s="1"/>
      <c r="F635" s="1"/>
      <c r="G635" s="1"/>
      <c r="H635" s="1"/>
      <c r="I635" s="1"/>
      <c r="J635" s="1"/>
      <c r="K635" s="17"/>
      <c r="L635" s="1"/>
      <c r="M635" s="1"/>
      <c r="N635" s="2"/>
      <c r="O635" s="2"/>
      <c r="P635" s="17"/>
      <c r="Q635" s="1"/>
      <c r="R635" s="1"/>
      <c r="S635" s="1"/>
      <c r="T635" s="38"/>
      <c r="U635" s="38"/>
      <c r="V635" s="38"/>
      <c r="W635" s="38"/>
      <c r="X635" s="38"/>
      <c r="Y635" s="38"/>
      <c r="Z635" s="38"/>
      <c r="AA635" s="122"/>
      <c r="AB635" s="122"/>
      <c r="AC635" s="122"/>
      <c r="AD635" s="122"/>
      <c r="AE635" s="122"/>
      <c r="AF635" s="122"/>
      <c r="AG635" s="122"/>
      <c r="AH635" s="122"/>
      <c r="AI635" s="122"/>
      <c r="AJ635" s="38"/>
      <c r="AK635" s="122"/>
      <c r="AL635" s="122"/>
      <c r="AM635" s="122"/>
      <c r="AN635" s="122"/>
      <c r="AO635" s="38"/>
      <c r="AP635" s="38"/>
      <c r="AQ635" s="38"/>
      <c r="AR635" s="17"/>
      <c r="AS635" s="1"/>
      <c r="AT635" s="17"/>
      <c r="AU635" s="1"/>
      <c r="AV635" s="17"/>
      <c r="AW635" s="1"/>
      <c r="AX635" s="2"/>
      <c r="AY635" s="1"/>
      <c r="AZ635" s="1"/>
    </row>
    <row x14ac:dyDescent="0.25" r="636" customHeight="1" ht="15">
      <c r="A636" s="1"/>
      <c r="B636" s="1"/>
      <c r="C636" s="1"/>
      <c r="D636" s="1"/>
      <c r="E636" s="1"/>
      <c r="F636" s="1"/>
      <c r="G636" s="1"/>
      <c r="H636" s="1"/>
      <c r="I636" s="1"/>
      <c r="J636" s="1"/>
      <c r="K636" s="17"/>
      <c r="L636" s="1"/>
      <c r="M636" s="1"/>
      <c r="N636" s="2"/>
      <c r="O636" s="2"/>
      <c r="P636" s="17"/>
      <c r="Q636" s="1"/>
      <c r="R636" s="1"/>
      <c r="S636" s="1"/>
      <c r="T636" s="38"/>
      <c r="U636" s="38"/>
      <c r="V636" s="38"/>
      <c r="W636" s="38"/>
      <c r="X636" s="38"/>
      <c r="Y636" s="38"/>
      <c r="Z636" s="38"/>
      <c r="AA636" s="122"/>
      <c r="AB636" s="122"/>
      <c r="AC636" s="122"/>
      <c r="AD636" s="122"/>
      <c r="AE636" s="122"/>
      <c r="AF636" s="122"/>
      <c r="AG636" s="122"/>
      <c r="AH636" s="122"/>
      <c r="AI636" s="122"/>
      <c r="AJ636" s="38"/>
      <c r="AK636" s="122"/>
      <c r="AL636" s="122"/>
      <c r="AM636" s="122"/>
      <c r="AN636" s="122"/>
      <c r="AO636" s="38"/>
      <c r="AP636" s="38"/>
      <c r="AQ636" s="38"/>
      <c r="AR636" s="17"/>
      <c r="AS636" s="1"/>
      <c r="AT636" s="17"/>
      <c r="AU636" s="1"/>
      <c r="AV636" s="17"/>
      <c r="AW636" s="1"/>
      <c r="AX636" s="2"/>
      <c r="AY636" s="1"/>
      <c r="AZ636" s="1"/>
    </row>
    <row x14ac:dyDescent="0.25" r="637" customHeight="1" ht="15">
      <c r="A637" s="1"/>
      <c r="B637" s="1"/>
      <c r="C637" s="1"/>
      <c r="D637" s="1"/>
      <c r="E637" s="1"/>
      <c r="F637" s="1"/>
      <c r="G637" s="1"/>
      <c r="H637" s="1"/>
      <c r="I637" s="1"/>
      <c r="J637" s="1"/>
      <c r="K637" s="17"/>
      <c r="L637" s="1"/>
      <c r="M637" s="1"/>
      <c r="N637" s="2"/>
      <c r="O637" s="2"/>
      <c r="P637" s="17"/>
      <c r="Q637" s="1"/>
      <c r="R637" s="1"/>
      <c r="S637" s="1"/>
      <c r="T637" s="38"/>
      <c r="U637" s="38"/>
      <c r="V637" s="38"/>
      <c r="W637" s="38"/>
      <c r="X637" s="38"/>
      <c r="Y637" s="38"/>
      <c r="Z637" s="38"/>
      <c r="AA637" s="122"/>
      <c r="AB637" s="122"/>
      <c r="AC637" s="122"/>
      <c r="AD637" s="122"/>
      <c r="AE637" s="122"/>
      <c r="AF637" s="122"/>
      <c r="AG637" s="122"/>
      <c r="AH637" s="122"/>
      <c r="AI637" s="122"/>
      <c r="AJ637" s="38"/>
      <c r="AK637" s="122"/>
      <c r="AL637" s="122"/>
      <c r="AM637" s="122"/>
      <c r="AN637" s="122"/>
      <c r="AO637" s="38"/>
      <c r="AP637" s="38"/>
      <c r="AQ637" s="38"/>
      <c r="AR637" s="17"/>
      <c r="AS637" s="1"/>
      <c r="AT637" s="17"/>
      <c r="AU637" s="1"/>
      <c r="AV637" s="17"/>
      <c r="AW637" s="1"/>
      <c r="AX637" s="2"/>
      <c r="AY637" s="1"/>
      <c r="AZ637" s="1"/>
    </row>
    <row x14ac:dyDescent="0.25" r="638" customHeight="1" ht="15">
      <c r="A638" s="1"/>
      <c r="B638" s="1"/>
      <c r="C638" s="1"/>
      <c r="D638" s="1"/>
      <c r="E638" s="1"/>
      <c r="F638" s="1"/>
      <c r="G638" s="1"/>
      <c r="H638" s="1"/>
      <c r="I638" s="1"/>
      <c r="J638" s="1"/>
      <c r="K638" s="17"/>
      <c r="L638" s="1"/>
      <c r="M638" s="1"/>
      <c r="N638" s="2"/>
      <c r="O638" s="2"/>
      <c r="P638" s="17"/>
      <c r="Q638" s="1"/>
      <c r="R638" s="1"/>
      <c r="S638" s="1"/>
      <c r="T638" s="38"/>
      <c r="U638" s="38"/>
      <c r="V638" s="38"/>
      <c r="W638" s="38"/>
      <c r="X638" s="38"/>
      <c r="Y638" s="38"/>
      <c r="Z638" s="38"/>
      <c r="AA638" s="122"/>
      <c r="AB638" s="122"/>
      <c r="AC638" s="122"/>
      <c r="AD638" s="122"/>
      <c r="AE638" s="122"/>
      <c r="AF638" s="122"/>
      <c r="AG638" s="122"/>
      <c r="AH638" s="122"/>
      <c r="AI638" s="122"/>
      <c r="AJ638" s="38"/>
      <c r="AK638" s="122"/>
      <c r="AL638" s="122"/>
      <c r="AM638" s="122"/>
      <c r="AN638" s="122"/>
      <c r="AO638" s="38"/>
      <c r="AP638" s="38"/>
      <c r="AQ638" s="38"/>
      <c r="AR638" s="17"/>
      <c r="AS638" s="1"/>
      <c r="AT638" s="17"/>
      <c r="AU638" s="1"/>
      <c r="AV638" s="17"/>
      <c r="AW638" s="1"/>
      <c r="AX638" s="2"/>
      <c r="AY638" s="1"/>
      <c r="AZ638" s="1"/>
    </row>
    <row x14ac:dyDescent="0.25" r="639" customHeight="1" ht="15">
      <c r="A639" s="1"/>
      <c r="B639" s="1"/>
      <c r="C639" s="1"/>
      <c r="D639" s="1"/>
      <c r="E639" s="1"/>
      <c r="F639" s="1"/>
      <c r="G639" s="1"/>
      <c r="H639" s="1"/>
      <c r="I639" s="1"/>
      <c r="J639" s="1"/>
      <c r="K639" s="17"/>
      <c r="L639" s="1"/>
      <c r="M639" s="1"/>
      <c r="N639" s="2"/>
      <c r="O639" s="2"/>
      <c r="P639" s="17"/>
      <c r="Q639" s="1"/>
      <c r="R639" s="1"/>
      <c r="S639" s="1"/>
      <c r="T639" s="38"/>
      <c r="U639" s="38"/>
      <c r="V639" s="38"/>
      <c r="W639" s="38"/>
      <c r="X639" s="38"/>
      <c r="Y639" s="38"/>
      <c r="Z639" s="38"/>
      <c r="AA639" s="122"/>
      <c r="AB639" s="122"/>
      <c r="AC639" s="122"/>
      <c r="AD639" s="122"/>
      <c r="AE639" s="122"/>
      <c r="AF639" s="122"/>
      <c r="AG639" s="122"/>
      <c r="AH639" s="122"/>
      <c r="AI639" s="122"/>
      <c r="AJ639" s="38"/>
      <c r="AK639" s="122"/>
      <c r="AL639" s="122"/>
      <c r="AM639" s="122"/>
      <c r="AN639" s="122"/>
      <c r="AO639" s="38"/>
      <c r="AP639" s="38"/>
      <c r="AQ639" s="38"/>
      <c r="AR639" s="17"/>
      <c r="AS639" s="1"/>
      <c r="AT639" s="17"/>
      <c r="AU639" s="1"/>
      <c r="AV639" s="17"/>
      <c r="AW639" s="1"/>
      <c r="AX639" s="2"/>
      <c r="AY639" s="1"/>
      <c r="AZ639" s="1"/>
    </row>
    <row x14ac:dyDescent="0.25" r="640" customHeight="1" ht="15">
      <c r="A640" s="1"/>
      <c r="B640" s="1"/>
      <c r="C640" s="1"/>
      <c r="D640" s="1"/>
      <c r="E640" s="1"/>
      <c r="F640" s="1"/>
      <c r="G640" s="1"/>
      <c r="H640" s="1"/>
      <c r="I640" s="1"/>
      <c r="J640" s="1"/>
      <c r="K640" s="17"/>
      <c r="L640" s="1"/>
      <c r="M640" s="1"/>
      <c r="N640" s="2"/>
      <c r="O640" s="2"/>
      <c r="P640" s="17"/>
      <c r="Q640" s="1"/>
      <c r="R640" s="1"/>
      <c r="S640" s="1"/>
      <c r="T640" s="38"/>
      <c r="U640" s="38"/>
      <c r="V640" s="38"/>
      <c r="W640" s="38"/>
      <c r="X640" s="38"/>
      <c r="Y640" s="38"/>
      <c r="Z640" s="38"/>
      <c r="AA640" s="122"/>
      <c r="AB640" s="122"/>
      <c r="AC640" s="122"/>
      <c r="AD640" s="122"/>
      <c r="AE640" s="122"/>
      <c r="AF640" s="122"/>
      <c r="AG640" s="122"/>
      <c r="AH640" s="122"/>
      <c r="AI640" s="122"/>
      <c r="AJ640" s="38"/>
      <c r="AK640" s="122"/>
      <c r="AL640" s="122"/>
      <c r="AM640" s="122"/>
      <c r="AN640" s="122"/>
      <c r="AO640" s="38"/>
      <c r="AP640" s="38"/>
      <c r="AQ640" s="38"/>
      <c r="AR640" s="17"/>
      <c r="AS640" s="1"/>
      <c r="AT640" s="17"/>
      <c r="AU640" s="1"/>
      <c r="AV640" s="17"/>
      <c r="AW640" s="1"/>
      <c r="AX640" s="2"/>
      <c r="AY640" s="1"/>
      <c r="AZ640" s="1"/>
    </row>
    <row x14ac:dyDescent="0.25" r="641" customHeight="1" ht="15">
      <c r="A641" s="1"/>
      <c r="B641" s="1"/>
      <c r="C641" s="1"/>
      <c r="D641" s="1"/>
      <c r="E641" s="1"/>
      <c r="F641" s="1"/>
      <c r="G641" s="1"/>
      <c r="H641" s="1"/>
      <c r="I641" s="1"/>
      <c r="J641" s="1"/>
      <c r="K641" s="17"/>
      <c r="L641" s="1"/>
      <c r="M641" s="1"/>
      <c r="N641" s="2"/>
      <c r="O641" s="2"/>
      <c r="P641" s="17"/>
      <c r="Q641" s="1"/>
      <c r="R641" s="1"/>
      <c r="S641" s="1"/>
      <c r="T641" s="38"/>
      <c r="U641" s="38"/>
      <c r="V641" s="38"/>
      <c r="W641" s="38"/>
      <c r="X641" s="38"/>
      <c r="Y641" s="38"/>
      <c r="Z641" s="38"/>
      <c r="AA641" s="122"/>
      <c r="AB641" s="122"/>
      <c r="AC641" s="122"/>
      <c r="AD641" s="122"/>
      <c r="AE641" s="122"/>
      <c r="AF641" s="122"/>
      <c r="AG641" s="122"/>
      <c r="AH641" s="122"/>
      <c r="AI641" s="122"/>
      <c r="AJ641" s="38"/>
      <c r="AK641" s="122"/>
      <c r="AL641" s="122"/>
      <c r="AM641" s="122"/>
      <c r="AN641" s="122"/>
      <c r="AO641" s="38"/>
      <c r="AP641" s="38"/>
      <c r="AQ641" s="38"/>
      <c r="AR641" s="17"/>
      <c r="AS641" s="1"/>
      <c r="AT641" s="17"/>
      <c r="AU641" s="1"/>
      <c r="AV641" s="17"/>
      <c r="AW641" s="1"/>
      <c r="AX641" s="2"/>
      <c r="AY641" s="1"/>
      <c r="AZ641" s="1"/>
    </row>
    <row x14ac:dyDescent="0.25" r="642" customHeight="1" ht="15">
      <c r="A642" s="1"/>
      <c r="B642" s="1"/>
      <c r="C642" s="1"/>
      <c r="D642" s="1"/>
      <c r="E642" s="1"/>
      <c r="F642" s="1"/>
      <c r="G642" s="1"/>
      <c r="H642" s="1"/>
      <c r="I642" s="1"/>
      <c r="J642" s="1"/>
      <c r="K642" s="17"/>
      <c r="L642" s="1"/>
      <c r="M642" s="1"/>
      <c r="N642" s="2"/>
      <c r="O642" s="2"/>
      <c r="P642" s="17"/>
      <c r="Q642" s="1"/>
      <c r="R642" s="1"/>
      <c r="S642" s="1"/>
      <c r="T642" s="38"/>
      <c r="U642" s="38"/>
      <c r="V642" s="38"/>
      <c r="W642" s="38"/>
      <c r="X642" s="38"/>
      <c r="Y642" s="38"/>
      <c r="Z642" s="38"/>
      <c r="AA642" s="122"/>
      <c r="AB642" s="122"/>
      <c r="AC642" s="122"/>
      <c r="AD642" s="122"/>
      <c r="AE642" s="122"/>
      <c r="AF642" s="122"/>
      <c r="AG642" s="122"/>
      <c r="AH642" s="122"/>
      <c r="AI642" s="122"/>
      <c r="AJ642" s="38"/>
      <c r="AK642" s="122"/>
      <c r="AL642" s="122"/>
      <c r="AM642" s="122"/>
      <c r="AN642" s="122"/>
      <c r="AO642" s="38"/>
      <c r="AP642" s="38"/>
      <c r="AQ642" s="38"/>
      <c r="AR642" s="17"/>
      <c r="AS642" s="1"/>
      <c r="AT642" s="17"/>
      <c r="AU642" s="1"/>
      <c r="AV642" s="17"/>
      <c r="AW642" s="1"/>
      <c r="AX642" s="2"/>
      <c r="AY642" s="1"/>
      <c r="AZ642" s="1"/>
    </row>
    <row x14ac:dyDescent="0.25" r="643" customHeight="1" ht="15">
      <c r="A643" s="1"/>
      <c r="B643" s="1"/>
      <c r="C643" s="1"/>
      <c r="D643" s="1"/>
      <c r="E643" s="1"/>
      <c r="F643" s="1"/>
      <c r="G643" s="1"/>
      <c r="H643" s="1"/>
      <c r="I643" s="1"/>
      <c r="J643" s="1"/>
      <c r="K643" s="17"/>
      <c r="L643" s="1"/>
      <c r="M643" s="1"/>
      <c r="N643" s="2"/>
      <c r="O643" s="2"/>
      <c r="P643" s="17"/>
      <c r="Q643" s="1"/>
      <c r="R643" s="1"/>
      <c r="S643" s="1"/>
      <c r="T643" s="38"/>
      <c r="U643" s="38"/>
      <c r="V643" s="38"/>
      <c r="W643" s="38"/>
      <c r="X643" s="38"/>
      <c r="Y643" s="38"/>
      <c r="Z643" s="38"/>
      <c r="AA643" s="122"/>
      <c r="AB643" s="122"/>
      <c r="AC643" s="122"/>
      <c r="AD643" s="122"/>
      <c r="AE643" s="122"/>
      <c r="AF643" s="122"/>
      <c r="AG643" s="122"/>
      <c r="AH643" s="122"/>
      <c r="AI643" s="122"/>
      <c r="AJ643" s="38"/>
      <c r="AK643" s="122"/>
      <c r="AL643" s="122"/>
      <c r="AM643" s="122"/>
      <c r="AN643" s="122"/>
      <c r="AO643" s="38"/>
      <c r="AP643" s="38"/>
      <c r="AQ643" s="38"/>
      <c r="AR643" s="17"/>
      <c r="AS643" s="1"/>
      <c r="AT643" s="17"/>
      <c r="AU643" s="1"/>
      <c r="AV643" s="17"/>
      <c r="AW643" s="1"/>
      <c r="AX643" s="2"/>
      <c r="AY643" s="1"/>
      <c r="AZ643" s="1"/>
    </row>
    <row x14ac:dyDescent="0.25" r="644" customHeight="1" ht="15">
      <c r="A644" s="1"/>
      <c r="B644" s="1"/>
      <c r="C644" s="1"/>
      <c r="D644" s="1"/>
      <c r="E644" s="1"/>
      <c r="F644" s="1"/>
      <c r="G644" s="1"/>
      <c r="H644" s="1"/>
      <c r="I644" s="1"/>
      <c r="J644" s="1"/>
      <c r="K644" s="17"/>
      <c r="L644" s="1"/>
      <c r="M644" s="1"/>
      <c r="N644" s="2"/>
      <c r="O644" s="2"/>
      <c r="P644" s="17"/>
      <c r="Q644" s="1"/>
      <c r="R644" s="1"/>
      <c r="S644" s="1"/>
      <c r="T644" s="38"/>
      <c r="U644" s="38"/>
      <c r="V644" s="38"/>
      <c r="W644" s="38"/>
      <c r="X644" s="38"/>
      <c r="Y644" s="38"/>
      <c r="Z644" s="38"/>
      <c r="AA644" s="122"/>
      <c r="AB644" s="122"/>
      <c r="AC644" s="122"/>
      <c r="AD644" s="122"/>
      <c r="AE644" s="122"/>
      <c r="AF644" s="122"/>
      <c r="AG644" s="122"/>
      <c r="AH644" s="122"/>
      <c r="AI644" s="122"/>
      <c r="AJ644" s="38"/>
      <c r="AK644" s="122"/>
      <c r="AL644" s="122"/>
      <c r="AM644" s="122"/>
      <c r="AN644" s="122"/>
      <c r="AO644" s="38"/>
      <c r="AP644" s="38"/>
      <c r="AQ644" s="38"/>
      <c r="AR644" s="17"/>
      <c r="AS644" s="1"/>
      <c r="AT644" s="17"/>
      <c r="AU644" s="1"/>
      <c r="AV644" s="17"/>
      <c r="AW644" s="1"/>
      <c r="AX644" s="2"/>
      <c r="AY644" s="1"/>
      <c r="AZ644" s="1"/>
    </row>
    <row x14ac:dyDescent="0.25" r="645" customHeight="1" ht="15">
      <c r="A645" s="1"/>
      <c r="B645" s="1"/>
      <c r="C645" s="1"/>
      <c r="D645" s="1"/>
      <c r="E645" s="1"/>
      <c r="F645" s="1"/>
      <c r="G645" s="1"/>
      <c r="H645" s="1"/>
      <c r="I645" s="1"/>
      <c r="J645" s="1"/>
      <c r="K645" s="17"/>
      <c r="L645" s="1"/>
      <c r="M645" s="1"/>
      <c r="N645" s="2"/>
      <c r="O645" s="2"/>
      <c r="P645" s="17"/>
      <c r="Q645" s="1"/>
      <c r="R645" s="1"/>
      <c r="S645" s="1"/>
      <c r="T645" s="38"/>
      <c r="U645" s="38"/>
      <c r="V645" s="38"/>
      <c r="W645" s="38"/>
      <c r="X645" s="38"/>
      <c r="Y645" s="38"/>
      <c r="Z645" s="38"/>
      <c r="AA645" s="122"/>
      <c r="AB645" s="122"/>
      <c r="AC645" s="122"/>
      <c r="AD645" s="122"/>
      <c r="AE645" s="122"/>
      <c r="AF645" s="122"/>
      <c r="AG645" s="122"/>
      <c r="AH645" s="122"/>
      <c r="AI645" s="122"/>
      <c r="AJ645" s="38"/>
      <c r="AK645" s="122"/>
      <c r="AL645" s="122"/>
      <c r="AM645" s="122"/>
      <c r="AN645" s="122"/>
      <c r="AO645" s="38"/>
      <c r="AP645" s="38"/>
      <c r="AQ645" s="38"/>
      <c r="AR645" s="17"/>
      <c r="AS645" s="1"/>
      <c r="AT645" s="17"/>
      <c r="AU645" s="1"/>
      <c r="AV645" s="17"/>
      <c r="AW645" s="1"/>
      <c r="AX645" s="2"/>
      <c r="AY645" s="1"/>
      <c r="AZ645" s="1"/>
    </row>
    <row x14ac:dyDescent="0.25" r="646" customHeight="1" ht="15">
      <c r="A646" s="1"/>
      <c r="B646" s="1"/>
      <c r="C646" s="1"/>
      <c r="D646" s="1"/>
      <c r="E646" s="1"/>
      <c r="F646" s="1"/>
      <c r="G646" s="1"/>
      <c r="H646" s="1"/>
      <c r="I646" s="1"/>
      <c r="J646" s="1"/>
      <c r="K646" s="17"/>
      <c r="L646" s="1"/>
      <c r="M646" s="1"/>
      <c r="N646" s="2"/>
      <c r="O646" s="2"/>
      <c r="P646" s="17"/>
      <c r="Q646" s="1"/>
      <c r="R646" s="1"/>
      <c r="S646" s="1"/>
      <c r="T646" s="38"/>
      <c r="U646" s="38"/>
      <c r="V646" s="38"/>
      <c r="W646" s="38"/>
      <c r="X646" s="38"/>
      <c r="Y646" s="38"/>
      <c r="Z646" s="38"/>
      <c r="AA646" s="122"/>
      <c r="AB646" s="122"/>
      <c r="AC646" s="122"/>
      <c r="AD646" s="122"/>
      <c r="AE646" s="122"/>
      <c r="AF646" s="122"/>
      <c r="AG646" s="122"/>
      <c r="AH646" s="122"/>
      <c r="AI646" s="122"/>
      <c r="AJ646" s="38"/>
      <c r="AK646" s="122"/>
      <c r="AL646" s="122"/>
      <c r="AM646" s="122"/>
      <c r="AN646" s="122"/>
      <c r="AO646" s="38"/>
      <c r="AP646" s="38"/>
      <c r="AQ646" s="38"/>
      <c r="AR646" s="17"/>
      <c r="AS646" s="1"/>
      <c r="AT646" s="17"/>
      <c r="AU646" s="1"/>
      <c r="AV646" s="17"/>
      <c r="AW646" s="1"/>
      <c r="AX646" s="2"/>
      <c r="AY646" s="1"/>
      <c r="AZ646" s="1"/>
    </row>
    <row x14ac:dyDescent="0.25" r="647" customHeight="1" ht="15">
      <c r="A647" s="1"/>
      <c r="B647" s="1"/>
      <c r="C647" s="1"/>
      <c r="D647" s="1"/>
      <c r="E647" s="1"/>
      <c r="F647" s="1"/>
      <c r="G647" s="1"/>
      <c r="H647" s="1"/>
      <c r="I647" s="1"/>
      <c r="J647" s="1"/>
      <c r="K647" s="17"/>
      <c r="L647" s="1"/>
      <c r="M647" s="1"/>
      <c r="N647" s="2"/>
      <c r="O647" s="2"/>
      <c r="P647" s="17"/>
      <c r="Q647" s="1"/>
      <c r="R647" s="1"/>
      <c r="S647" s="1"/>
      <c r="T647" s="38"/>
      <c r="U647" s="38"/>
      <c r="V647" s="38"/>
      <c r="W647" s="38"/>
      <c r="X647" s="38"/>
      <c r="Y647" s="38"/>
      <c r="Z647" s="38"/>
      <c r="AA647" s="122"/>
      <c r="AB647" s="122"/>
      <c r="AC647" s="122"/>
      <c r="AD647" s="122"/>
      <c r="AE647" s="122"/>
      <c r="AF647" s="122"/>
      <c r="AG647" s="122"/>
      <c r="AH647" s="122"/>
      <c r="AI647" s="122"/>
      <c r="AJ647" s="38"/>
      <c r="AK647" s="122"/>
      <c r="AL647" s="122"/>
      <c r="AM647" s="122"/>
      <c r="AN647" s="122"/>
      <c r="AO647" s="38"/>
      <c r="AP647" s="38"/>
      <c r="AQ647" s="38"/>
      <c r="AR647" s="17"/>
      <c r="AS647" s="1"/>
      <c r="AT647" s="17"/>
      <c r="AU647" s="1"/>
      <c r="AV647" s="17"/>
      <c r="AW647" s="1"/>
      <c r="AX647" s="2"/>
      <c r="AY647" s="1"/>
      <c r="AZ647" s="1"/>
    </row>
    <row x14ac:dyDescent="0.25" r="648" customHeight="1" ht="15">
      <c r="A648" s="1"/>
      <c r="B648" s="1"/>
      <c r="C648" s="1"/>
      <c r="D648" s="1"/>
      <c r="E648" s="1"/>
      <c r="F648" s="1"/>
      <c r="G648" s="1"/>
      <c r="H648" s="1"/>
      <c r="I648" s="1"/>
      <c r="J648" s="1"/>
      <c r="K648" s="17"/>
      <c r="L648" s="1"/>
      <c r="M648" s="1"/>
      <c r="N648" s="2"/>
      <c r="O648" s="2"/>
      <c r="P648" s="17"/>
      <c r="Q648" s="1"/>
      <c r="R648" s="1"/>
      <c r="S648" s="1"/>
      <c r="T648" s="38"/>
      <c r="U648" s="38"/>
      <c r="V648" s="38"/>
      <c r="W648" s="38"/>
      <c r="X648" s="38"/>
      <c r="Y648" s="38"/>
      <c r="Z648" s="38"/>
      <c r="AA648" s="122"/>
      <c r="AB648" s="122"/>
      <c r="AC648" s="122"/>
      <c r="AD648" s="122"/>
      <c r="AE648" s="122"/>
      <c r="AF648" s="122"/>
      <c r="AG648" s="122"/>
      <c r="AH648" s="122"/>
      <c r="AI648" s="122"/>
      <c r="AJ648" s="38"/>
      <c r="AK648" s="122"/>
      <c r="AL648" s="122"/>
      <c r="AM648" s="122"/>
      <c r="AN648" s="122"/>
      <c r="AO648" s="38"/>
      <c r="AP648" s="38"/>
      <c r="AQ648" s="38"/>
      <c r="AR648" s="17"/>
      <c r="AS648" s="1"/>
      <c r="AT648" s="17"/>
      <c r="AU648" s="1"/>
      <c r="AV648" s="17"/>
      <c r="AW648" s="1"/>
      <c r="AX648" s="2"/>
      <c r="AY648" s="1"/>
      <c r="AZ648" s="1"/>
    </row>
    <row x14ac:dyDescent="0.25" r="649" customHeight="1" ht="15">
      <c r="A649" s="1"/>
      <c r="B649" s="1"/>
      <c r="C649" s="1"/>
      <c r="D649" s="1"/>
      <c r="E649" s="1"/>
      <c r="F649" s="1"/>
      <c r="G649" s="1"/>
      <c r="H649" s="1"/>
      <c r="I649" s="1"/>
      <c r="J649" s="1"/>
      <c r="K649" s="17"/>
      <c r="L649" s="1"/>
      <c r="M649" s="1"/>
      <c r="N649" s="2"/>
      <c r="O649" s="2"/>
      <c r="P649" s="17"/>
      <c r="Q649" s="1"/>
      <c r="R649" s="1"/>
      <c r="S649" s="1"/>
      <c r="T649" s="38"/>
      <c r="U649" s="38"/>
      <c r="V649" s="38"/>
      <c r="W649" s="38"/>
      <c r="X649" s="38"/>
      <c r="Y649" s="38"/>
      <c r="Z649" s="38"/>
      <c r="AA649" s="122"/>
      <c r="AB649" s="122"/>
      <c r="AC649" s="122"/>
      <c r="AD649" s="122"/>
      <c r="AE649" s="122"/>
      <c r="AF649" s="122"/>
      <c r="AG649" s="122"/>
      <c r="AH649" s="122"/>
      <c r="AI649" s="122"/>
      <c r="AJ649" s="38"/>
      <c r="AK649" s="122"/>
      <c r="AL649" s="122"/>
      <c r="AM649" s="122"/>
      <c r="AN649" s="122"/>
      <c r="AO649" s="38"/>
      <c r="AP649" s="38"/>
      <c r="AQ649" s="38"/>
      <c r="AR649" s="17"/>
      <c r="AS649" s="1"/>
      <c r="AT649" s="17"/>
      <c r="AU649" s="1"/>
      <c r="AV649" s="17"/>
      <c r="AW649" s="1"/>
      <c r="AX649" s="2"/>
      <c r="AY649" s="1"/>
      <c r="AZ649" s="1"/>
    </row>
    <row x14ac:dyDescent="0.25" r="650" customHeight="1" ht="15">
      <c r="A650" s="1"/>
      <c r="B650" s="1"/>
      <c r="C650" s="1"/>
      <c r="D650" s="1"/>
      <c r="E650" s="1"/>
      <c r="F650" s="1"/>
      <c r="G650" s="1"/>
      <c r="H650" s="1"/>
      <c r="I650" s="1"/>
      <c r="J650" s="1"/>
      <c r="K650" s="17"/>
      <c r="L650" s="1"/>
      <c r="M650" s="1"/>
      <c r="N650" s="2"/>
      <c r="O650" s="2"/>
      <c r="P650" s="17"/>
      <c r="Q650" s="1"/>
      <c r="R650" s="1"/>
      <c r="S650" s="1"/>
      <c r="T650" s="38"/>
      <c r="U650" s="38"/>
      <c r="V650" s="38"/>
      <c r="W650" s="38"/>
      <c r="X650" s="38"/>
      <c r="Y650" s="38"/>
      <c r="Z650" s="38"/>
      <c r="AA650" s="122"/>
      <c r="AB650" s="122"/>
      <c r="AC650" s="122"/>
      <c r="AD650" s="122"/>
      <c r="AE650" s="122"/>
      <c r="AF650" s="122"/>
      <c r="AG650" s="122"/>
      <c r="AH650" s="122"/>
      <c r="AI650" s="122"/>
      <c r="AJ650" s="38"/>
      <c r="AK650" s="122"/>
      <c r="AL650" s="122"/>
      <c r="AM650" s="122"/>
      <c r="AN650" s="122"/>
      <c r="AO650" s="38"/>
      <c r="AP650" s="38"/>
      <c r="AQ650" s="38"/>
      <c r="AR650" s="17"/>
      <c r="AS650" s="1"/>
      <c r="AT650" s="17"/>
      <c r="AU650" s="1"/>
      <c r="AV650" s="17"/>
      <c r="AW650" s="1"/>
      <c r="AX650" s="2"/>
      <c r="AY650" s="1"/>
      <c r="AZ650" s="1"/>
    </row>
    <row x14ac:dyDescent="0.25" r="651" customHeight="1" ht="15">
      <c r="A651" s="1"/>
      <c r="B651" s="1"/>
      <c r="C651" s="1"/>
      <c r="D651" s="1"/>
      <c r="E651" s="1"/>
      <c r="F651" s="1"/>
      <c r="G651" s="1"/>
      <c r="H651" s="1"/>
      <c r="I651" s="1"/>
      <c r="J651" s="1"/>
      <c r="K651" s="17"/>
      <c r="L651" s="1"/>
      <c r="M651" s="1"/>
      <c r="N651" s="2"/>
      <c r="O651" s="2"/>
      <c r="P651" s="17"/>
      <c r="Q651" s="1"/>
      <c r="R651" s="1"/>
      <c r="S651" s="1"/>
      <c r="T651" s="38"/>
      <c r="U651" s="38"/>
      <c r="V651" s="38"/>
      <c r="W651" s="38"/>
      <c r="X651" s="38"/>
      <c r="Y651" s="38"/>
      <c r="Z651" s="38"/>
      <c r="AA651" s="122"/>
      <c r="AB651" s="122"/>
      <c r="AC651" s="122"/>
      <c r="AD651" s="122"/>
      <c r="AE651" s="122"/>
      <c r="AF651" s="122"/>
      <c r="AG651" s="122"/>
      <c r="AH651" s="122"/>
      <c r="AI651" s="122"/>
      <c r="AJ651" s="38"/>
      <c r="AK651" s="122"/>
      <c r="AL651" s="122"/>
      <c r="AM651" s="122"/>
      <c r="AN651" s="122"/>
      <c r="AO651" s="38"/>
      <c r="AP651" s="38"/>
      <c r="AQ651" s="38"/>
      <c r="AR651" s="17"/>
      <c r="AS651" s="1"/>
      <c r="AT651" s="17"/>
      <c r="AU651" s="1"/>
      <c r="AV651" s="17"/>
      <c r="AW651" s="1"/>
      <c r="AX651" s="2"/>
      <c r="AY651" s="1"/>
      <c r="AZ651" s="1"/>
    </row>
    <row x14ac:dyDescent="0.25" r="652" customHeight="1" ht="15">
      <c r="A652" s="1"/>
      <c r="B652" s="1"/>
      <c r="C652" s="1"/>
      <c r="D652" s="1"/>
      <c r="E652" s="1"/>
      <c r="F652" s="1"/>
      <c r="G652" s="1"/>
      <c r="H652" s="1"/>
      <c r="I652" s="1"/>
      <c r="J652" s="1"/>
      <c r="K652" s="17"/>
      <c r="L652" s="1"/>
      <c r="M652" s="1"/>
      <c r="N652" s="2"/>
      <c r="O652" s="2"/>
      <c r="P652" s="17"/>
      <c r="Q652" s="1"/>
      <c r="R652" s="1"/>
      <c r="S652" s="1"/>
      <c r="T652" s="38"/>
      <c r="U652" s="38"/>
      <c r="V652" s="38"/>
      <c r="W652" s="38"/>
      <c r="X652" s="38"/>
      <c r="Y652" s="38"/>
      <c r="Z652" s="38"/>
      <c r="AA652" s="122"/>
      <c r="AB652" s="122"/>
      <c r="AC652" s="122"/>
      <c r="AD652" s="122"/>
      <c r="AE652" s="122"/>
      <c r="AF652" s="122"/>
      <c r="AG652" s="122"/>
      <c r="AH652" s="122"/>
      <c r="AI652" s="122"/>
      <c r="AJ652" s="38"/>
      <c r="AK652" s="122"/>
      <c r="AL652" s="122"/>
      <c r="AM652" s="122"/>
      <c r="AN652" s="122"/>
      <c r="AO652" s="38"/>
      <c r="AP652" s="38"/>
      <c r="AQ652" s="38"/>
      <c r="AR652" s="17"/>
      <c r="AS652" s="1"/>
      <c r="AT652" s="17"/>
      <c r="AU652" s="1"/>
      <c r="AV652" s="17"/>
      <c r="AW652" s="1"/>
      <c r="AX652" s="2"/>
      <c r="AY652" s="1"/>
      <c r="AZ652" s="1"/>
    </row>
    <row x14ac:dyDescent="0.25" r="653" customHeight="1" ht="15">
      <c r="A653" s="1"/>
      <c r="B653" s="1"/>
      <c r="C653" s="1"/>
      <c r="D653" s="1"/>
      <c r="E653" s="1"/>
      <c r="F653" s="1"/>
      <c r="G653" s="1"/>
      <c r="H653" s="1"/>
      <c r="I653" s="1"/>
      <c r="J653" s="1"/>
      <c r="K653" s="17"/>
      <c r="L653" s="1"/>
      <c r="M653" s="1"/>
      <c r="N653" s="2"/>
      <c r="O653" s="2"/>
      <c r="P653" s="17"/>
      <c r="Q653" s="1"/>
      <c r="R653" s="1"/>
      <c r="S653" s="1"/>
      <c r="T653" s="38"/>
      <c r="U653" s="38"/>
      <c r="V653" s="38"/>
      <c r="W653" s="38"/>
      <c r="X653" s="38"/>
      <c r="Y653" s="38"/>
      <c r="Z653" s="38"/>
      <c r="AA653" s="122"/>
      <c r="AB653" s="122"/>
      <c r="AC653" s="122"/>
      <c r="AD653" s="122"/>
      <c r="AE653" s="122"/>
      <c r="AF653" s="122"/>
      <c r="AG653" s="122"/>
      <c r="AH653" s="122"/>
      <c r="AI653" s="122"/>
      <c r="AJ653" s="38"/>
      <c r="AK653" s="122"/>
      <c r="AL653" s="122"/>
      <c r="AM653" s="122"/>
      <c r="AN653" s="122"/>
      <c r="AO653" s="38"/>
      <c r="AP653" s="38"/>
      <c r="AQ653" s="38"/>
      <c r="AR653" s="17"/>
      <c r="AS653" s="1"/>
      <c r="AT653" s="17"/>
      <c r="AU653" s="1"/>
      <c r="AV653" s="17"/>
      <c r="AW653" s="1"/>
      <c r="AX653" s="2"/>
      <c r="AY653" s="1"/>
      <c r="AZ653" s="1"/>
    </row>
    <row x14ac:dyDescent="0.25" r="654" customHeight="1" ht="15">
      <c r="A654" s="1"/>
      <c r="B654" s="1"/>
      <c r="C654" s="1"/>
      <c r="D654" s="1"/>
      <c r="E654" s="1"/>
      <c r="F654" s="1"/>
      <c r="G654" s="1"/>
      <c r="H654" s="1"/>
      <c r="I654" s="1"/>
      <c r="J654" s="1"/>
      <c r="K654" s="17"/>
      <c r="L654" s="1"/>
      <c r="M654" s="1"/>
      <c r="N654" s="2"/>
      <c r="O654" s="2"/>
      <c r="P654" s="17"/>
      <c r="Q654" s="1"/>
      <c r="R654" s="1"/>
      <c r="S654" s="1"/>
      <c r="T654" s="38"/>
      <c r="U654" s="38"/>
      <c r="V654" s="38"/>
      <c r="W654" s="38"/>
      <c r="X654" s="38"/>
      <c r="Y654" s="38"/>
      <c r="Z654" s="38"/>
      <c r="AA654" s="122"/>
      <c r="AB654" s="122"/>
      <c r="AC654" s="122"/>
      <c r="AD654" s="122"/>
      <c r="AE654" s="122"/>
      <c r="AF654" s="122"/>
      <c r="AG654" s="122"/>
      <c r="AH654" s="122"/>
      <c r="AI654" s="122"/>
      <c r="AJ654" s="38"/>
      <c r="AK654" s="122"/>
      <c r="AL654" s="122"/>
      <c r="AM654" s="122"/>
      <c r="AN654" s="122"/>
      <c r="AO654" s="38"/>
      <c r="AP654" s="38"/>
      <c r="AQ654" s="38"/>
      <c r="AR654" s="17"/>
      <c r="AS654" s="1"/>
      <c r="AT654" s="17"/>
      <c r="AU654" s="1"/>
      <c r="AV654" s="17"/>
      <c r="AW654" s="1"/>
      <c r="AX654" s="2"/>
      <c r="AY654" s="1"/>
      <c r="AZ654" s="1"/>
    </row>
    <row x14ac:dyDescent="0.25" r="655" customHeight="1" ht="15">
      <c r="A655" s="1"/>
      <c r="B655" s="1"/>
      <c r="C655" s="1"/>
      <c r="D655" s="1"/>
      <c r="E655" s="1"/>
      <c r="F655" s="1"/>
      <c r="G655" s="1"/>
      <c r="H655" s="1"/>
      <c r="I655" s="1"/>
      <c r="J655" s="1"/>
      <c r="K655" s="17"/>
      <c r="L655" s="1"/>
      <c r="M655" s="1"/>
      <c r="N655" s="2"/>
      <c r="O655" s="2"/>
      <c r="P655" s="17"/>
      <c r="Q655" s="1"/>
      <c r="R655" s="1"/>
      <c r="S655" s="1"/>
      <c r="T655" s="38"/>
      <c r="U655" s="38"/>
      <c r="V655" s="38"/>
      <c r="W655" s="38"/>
      <c r="X655" s="38"/>
      <c r="Y655" s="38"/>
      <c r="Z655" s="38"/>
      <c r="AA655" s="122"/>
      <c r="AB655" s="122"/>
      <c r="AC655" s="122"/>
      <c r="AD655" s="122"/>
      <c r="AE655" s="122"/>
      <c r="AF655" s="122"/>
      <c r="AG655" s="122"/>
      <c r="AH655" s="122"/>
      <c r="AI655" s="122"/>
      <c r="AJ655" s="38"/>
      <c r="AK655" s="122"/>
      <c r="AL655" s="122"/>
      <c r="AM655" s="122"/>
      <c r="AN655" s="122"/>
      <c r="AO655" s="38"/>
      <c r="AP655" s="38"/>
      <c r="AQ655" s="38"/>
      <c r="AR655" s="17"/>
      <c r="AS655" s="1"/>
      <c r="AT655" s="17"/>
      <c r="AU655" s="1"/>
      <c r="AV655" s="17"/>
      <c r="AW655" s="1"/>
      <c r="AX655" s="2"/>
      <c r="AY655" s="1"/>
      <c r="AZ655" s="1"/>
    </row>
    <row x14ac:dyDescent="0.25" r="656" customHeight="1" ht="15">
      <c r="A656" s="1"/>
      <c r="B656" s="1"/>
      <c r="C656" s="1"/>
      <c r="D656" s="1"/>
      <c r="E656" s="1"/>
      <c r="F656" s="1"/>
      <c r="G656" s="1"/>
      <c r="H656" s="1"/>
      <c r="I656" s="1"/>
      <c r="J656" s="1"/>
      <c r="K656" s="17"/>
      <c r="L656" s="1"/>
      <c r="M656" s="1"/>
      <c r="N656" s="2"/>
      <c r="O656" s="2"/>
      <c r="P656" s="17"/>
      <c r="Q656" s="1"/>
      <c r="R656" s="1"/>
      <c r="S656" s="1"/>
      <c r="T656" s="38"/>
      <c r="U656" s="38"/>
      <c r="V656" s="38"/>
      <c r="W656" s="38"/>
      <c r="X656" s="38"/>
      <c r="Y656" s="38"/>
      <c r="Z656" s="38"/>
      <c r="AA656" s="122"/>
      <c r="AB656" s="122"/>
      <c r="AC656" s="122"/>
      <c r="AD656" s="122"/>
      <c r="AE656" s="122"/>
      <c r="AF656" s="122"/>
      <c r="AG656" s="122"/>
      <c r="AH656" s="122"/>
      <c r="AI656" s="122"/>
      <c r="AJ656" s="38"/>
      <c r="AK656" s="122"/>
      <c r="AL656" s="122"/>
      <c r="AM656" s="122"/>
      <c r="AN656" s="122"/>
      <c r="AO656" s="38"/>
      <c r="AP656" s="38"/>
      <c r="AQ656" s="38"/>
      <c r="AR656" s="17"/>
      <c r="AS656" s="1"/>
      <c r="AT656" s="17"/>
      <c r="AU656" s="1"/>
      <c r="AV656" s="17"/>
      <c r="AW656" s="1"/>
      <c r="AX656" s="2"/>
      <c r="AY656" s="1"/>
      <c r="AZ656" s="1"/>
    </row>
    <row x14ac:dyDescent="0.25" r="657" customHeight="1" ht="15">
      <c r="A657" s="1"/>
      <c r="B657" s="1"/>
      <c r="C657" s="1"/>
      <c r="D657" s="1"/>
      <c r="E657" s="1"/>
      <c r="F657" s="1"/>
      <c r="G657" s="1"/>
      <c r="H657" s="1"/>
      <c r="I657" s="1"/>
      <c r="J657" s="1"/>
      <c r="K657" s="17"/>
      <c r="L657" s="1"/>
      <c r="M657" s="1"/>
      <c r="N657" s="2"/>
      <c r="O657" s="2"/>
      <c r="P657" s="17"/>
      <c r="Q657" s="1"/>
      <c r="R657" s="1"/>
      <c r="S657" s="1"/>
      <c r="T657" s="38"/>
      <c r="U657" s="38"/>
      <c r="V657" s="38"/>
      <c r="W657" s="38"/>
      <c r="X657" s="38"/>
      <c r="Y657" s="38"/>
      <c r="Z657" s="38"/>
      <c r="AA657" s="122"/>
      <c r="AB657" s="122"/>
      <c r="AC657" s="122"/>
      <c r="AD657" s="122"/>
      <c r="AE657" s="122"/>
      <c r="AF657" s="122"/>
      <c r="AG657" s="122"/>
      <c r="AH657" s="122"/>
      <c r="AI657" s="122"/>
      <c r="AJ657" s="38"/>
      <c r="AK657" s="122"/>
      <c r="AL657" s="122"/>
      <c r="AM657" s="122"/>
      <c r="AN657" s="122"/>
      <c r="AO657" s="38"/>
      <c r="AP657" s="38"/>
      <c r="AQ657" s="38"/>
      <c r="AR657" s="17"/>
      <c r="AS657" s="1"/>
      <c r="AT657" s="17"/>
      <c r="AU657" s="1"/>
      <c r="AV657" s="17"/>
      <c r="AW657" s="1"/>
      <c r="AX657" s="2"/>
      <c r="AY657" s="1"/>
      <c r="AZ657" s="1"/>
    </row>
    <row x14ac:dyDescent="0.25" r="658" customHeight="1" ht="15">
      <c r="A658" s="1"/>
      <c r="B658" s="1"/>
      <c r="C658" s="1"/>
      <c r="D658" s="1"/>
      <c r="E658" s="1"/>
      <c r="F658" s="1"/>
      <c r="G658" s="1"/>
      <c r="H658" s="1"/>
      <c r="I658" s="1"/>
      <c r="J658" s="1"/>
      <c r="K658" s="17"/>
      <c r="L658" s="1"/>
      <c r="M658" s="1"/>
      <c r="N658" s="2"/>
      <c r="O658" s="2"/>
      <c r="P658" s="17"/>
      <c r="Q658" s="1"/>
      <c r="R658" s="1"/>
      <c r="S658" s="1"/>
      <c r="T658" s="38"/>
      <c r="U658" s="38"/>
      <c r="V658" s="38"/>
      <c r="W658" s="38"/>
      <c r="X658" s="38"/>
      <c r="Y658" s="38"/>
      <c r="Z658" s="38"/>
      <c r="AA658" s="122"/>
      <c r="AB658" s="122"/>
      <c r="AC658" s="122"/>
      <c r="AD658" s="122"/>
      <c r="AE658" s="122"/>
      <c r="AF658" s="122"/>
      <c r="AG658" s="122"/>
      <c r="AH658" s="122"/>
      <c r="AI658" s="122"/>
      <c r="AJ658" s="38"/>
      <c r="AK658" s="122"/>
      <c r="AL658" s="122"/>
      <c r="AM658" s="122"/>
      <c r="AN658" s="122"/>
      <c r="AO658" s="38"/>
      <c r="AP658" s="38"/>
      <c r="AQ658" s="38"/>
      <c r="AR658" s="17"/>
      <c r="AS658" s="1"/>
      <c r="AT658" s="17"/>
      <c r="AU658" s="1"/>
      <c r="AV658" s="17"/>
      <c r="AW658" s="1"/>
      <c r="AX658" s="2"/>
      <c r="AY658" s="1"/>
      <c r="AZ658" s="1"/>
    </row>
    <row x14ac:dyDescent="0.25" r="659" customHeight="1" ht="15">
      <c r="A659" s="1"/>
      <c r="B659" s="1"/>
      <c r="C659" s="1"/>
      <c r="D659" s="1"/>
      <c r="E659" s="1"/>
      <c r="F659" s="1"/>
      <c r="G659" s="1"/>
      <c r="H659" s="1"/>
      <c r="I659" s="1"/>
      <c r="J659" s="1"/>
      <c r="K659" s="17"/>
      <c r="L659" s="1"/>
      <c r="M659" s="1"/>
      <c r="N659" s="2"/>
      <c r="O659" s="2"/>
      <c r="P659" s="17"/>
      <c r="Q659" s="1"/>
      <c r="R659" s="1"/>
      <c r="S659" s="1"/>
      <c r="T659" s="38"/>
      <c r="U659" s="38"/>
      <c r="V659" s="38"/>
      <c r="W659" s="38"/>
      <c r="X659" s="38"/>
      <c r="Y659" s="38"/>
      <c r="Z659" s="38"/>
      <c r="AA659" s="122"/>
      <c r="AB659" s="122"/>
      <c r="AC659" s="122"/>
      <c r="AD659" s="122"/>
      <c r="AE659" s="122"/>
      <c r="AF659" s="122"/>
      <c r="AG659" s="122"/>
      <c r="AH659" s="122"/>
      <c r="AI659" s="122"/>
      <c r="AJ659" s="38"/>
      <c r="AK659" s="122"/>
      <c r="AL659" s="122"/>
      <c r="AM659" s="122"/>
      <c r="AN659" s="122"/>
      <c r="AO659" s="38"/>
      <c r="AP659" s="38"/>
      <c r="AQ659" s="38"/>
      <c r="AR659" s="17"/>
      <c r="AS659" s="1"/>
      <c r="AT659" s="17"/>
      <c r="AU659" s="1"/>
      <c r="AV659" s="17"/>
      <c r="AW659" s="1"/>
      <c r="AX659" s="2"/>
      <c r="AY659" s="1"/>
      <c r="AZ659" s="1"/>
    </row>
    <row x14ac:dyDescent="0.25" r="660" customHeight="1" ht="15">
      <c r="A660" s="1"/>
      <c r="B660" s="1"/>
      <c r="C660" s="1"/>
      <c r="D660" s="1"/>
      <c r="E660" s="1"/>
      <c r="F660" s="1"/>
      <c r="G660" s="1"/>
      <c r="H660" s="1"/>
      <c r="I660" s="1"/>
      <c r="J660" s="1"/>
      <c r="K660" s="17"/>
      <c r="L660" s="1"/>
      <c r="M660" s="1"/>
      <c r="N660" s="2"/>
      <c r="O660" s="2"/>
      <c r="P660" s="17"/>
      <c r="Q660" s="1"/>
      <c r="R660" s="1"/>
      <c r="S660" s="1"/>
      <c r="T660" s="38"/>
      <c r="U660" s="38"/>
      <c r="V660" s="38"/>
      <c r="W660" s="38"/>
      <c r="X660" s="38"/>
      <c r="Y660" s="38"/>
      <c r="Z660" s="38"/>
      <c r="AA660" s="122"/>
      <c r="AB660" s="122"/>
      <c r="AC660" s="122"/>
      <c r="AD660" s="122"/>
      <c r="AE660" s="122"/>
      <c r="AF660" s="122"/>
      <c r="AG660" s="122"/>
      <c r="AH660" s="122"/>
      <c r="AI660" s="122"/>
      <c r="AJ660" s="38"/>
      <c r="AK660" s="122"/>
      <c r="AL660" s="122"/>
      <c r="AM660" s="122"/>
      <c r="AN660" s="122"/>
      <c r="AO660" s="38"/>
      <c r="AP660" s="38"/>
      <c r="AQ660" s="38"/>
      <c r="AR660" s="17"/>
      <c r="AS660" s="1"/>
      <c r="AT660" s="17"/>
      <c r="AU660" s="1"/>
      <c r="AV660" s="17"/>
      <c r="AW660" s="1"/>
      <c r="AX660" s="2"/>
      <c r="AY660" s="1"/>
      <c r="AZ660" s="1"/>
    </row>
    <row x14ac:dyDescent="0.25" r="661" customHeight="1" ht="15">
      <c r="A661" s="1"/>
      <c r="B661" s="1"/>
      <c r="C661" s="1"/>
      <c r="D661" s="1"/>
      <c r="E661" s="1"/>
      <c r="F661" s="1"/>
      <c r="G661" s="1"/>
      <c r="H661" s="1"/>
      <c r="I661" s="1"/>
      <c r="J661" s="1"/>
      <c r="K661" s="17"/>
      <c r="L661" s="1"/>
      <c r="M661" s="1"/>
      <c r="N661" s="2"/>
      <c r="O661" s="2"/>
      <c r="P661" s="17"/>
      <c r="Q661" s="1"/>
      <c r="R661" s="1"/>
      <c r="S661" s="1"/>
      <c r="T661" s="38"/>
      <c r="U661" s="38"/>
      <c r="V661" s="38"/>
      <c r="W661" s="38"/>
      <c r="X661" s="38"/>
      <c r="Y661" s="38"/>
      <c r="Z661" s="38"/>
      <c r="AA661" s="122"/>
      <c r="AB661" s="122"/>
      <c r="AC661" s="122"/>
      <c r="AD661" s="122"/>
      <c r="AE661" s="122"/>
      <c r="AF661" s="122"/>
      <c r="AG661" s="122"/>
      <c r="AH661" s="122"/>
      <c r="AI661" s="122"/>
      <c r="AJ661" s="38"/>
      <c r="AK661" s="122"/>
      <c r="AL661" s="122"/>
      <c r="AM661" s="122"/>
      <c r="AN661" s="122"/>
      <c r="AO661" s="38"/>
      <c r="AP661" s="38"/>
      <c r="AQ661" s="38"/>
      <c r="AR661" s="17"/>
      <c r="AS661" s="1"/>
      <c r="AT661" s="17"/>
      <c r="AU661" s="1"/>
      <c r="AV661" s="17"/>
      <c r="AW661" s="1"/>
      <c r="AX661" s="2"/>
      <c r="AY661" s="1"/>
      <c r="AZ661" s="1"/>
    </row>
    <row x14ac:dyDescent="0.25" r="662" customHeight="1" ht="15">
      <c r="A662" s="1"/>
      <c r="B662" s="1"/>
      <c r="C662" s="1"/>
      <c r="D662" s="1"/>
      <c r="E662" s="1"/>
      <c r="F662" s="1"/>
      <c r="G662" s="1"/>
      <c r="H662" s="1"/>
      <c r="I662" s="1"/>
      <c r="J662" s="1"/>
      <c r="K662" s="17"/>
      <c r="L662" s="1"/>
      <c r="M662" s="1"/>
      <c r="N662" s="2"/>
      <c r="O662" s="2"/>
      <c r="P662" s="17"/>
      <c r="Q662" s="1"/>
      <c r="R662" s="1"/>
      <c r="S662" s="1"/>
      <c r="T662" s="38"/>
      <c r="U662" s="38"/>
      <c r="V662" s="38"/>
      <c r="W662" s="38"/>
      <c r="X662" s="38"/>
      <c r="Y662" s="38"/>
      <c r="Z662" s="38"/>
      <c r="AA662" s="122"/>
      <c r="AB662" s="122"/>
      <c r="AC662" s="122"/>
      <c r="AD662" s="122"/>
      <c r="AE662" s="122"/>
      <c r="AF662" s="122"/>
      <c r="AG662" s="122"/>
      <c r="AH662" s="122"/>
      <c r="AI662" s="122"/>
      <c r="AJ662" s="38"/>
      <c r="AK662" s="122"/>
      <c r="AL662" s="122"/>
      <c r="AM662" s="122"/>
      <c r="AN662" s="122"/>
      <c r="AO662" s="38"/>
      <c r="AP662" s="38"/>
      <c r="AQ662" s="38"/>
      <c r="AR662" s="17"/>
      <c r="AS662" s="1"/>
      <c r="AT662" s="17"/>
      <c r="AU662" s="1"/>
      <c r="AV662" s="17"/>
      <c r="AW662" s="1"/>
      <c r="AX662" s="2"/>
      <c r="AY662" s="1"/>
      <c r="AZ662" s="1"/>
    </row>
    <row x14ac:dyDescent="0.25" r="663" customHeight="1" ht="15">
      <c r="A663" s="1"/>
      <c r="B663" s="1"/>
      <c r="C663" s="1"/>
      <c r="D663" s="1"/>
      <c r="E663" s="1"/>
      <c r="F663" s="1"/>
      <c r="G663" s="1"/>
      <c r="H663" s="1"/>
      <c r="I663" s="1"/>
      <c r="J663" s="1"/>
      <c r="K663" s="17"/>
      <c r="L663" s="1"/>
      <c r="M663" s="1"/>
      <c r="N663" s="2"/>
      <c r="O663" s="2"/>
      <c r="P663" s="17"/>
      <c r="Q663" s="1"/>
      <c r="R663" s="1"/>
      <c r="S663" s="1"/>
      <c r="T663" s="38"/>
      <c r="U663" s="38"/>
      <c r="V663" s="38"/>
      <c r="W663" s="38"/>
      <c r="X663" s="38"/>
      <c r="Y663" s="38"/>
      <c r="Z663" s="38"/>
      <c r="AA663" s="122"/>
      <c r="AB663" s="122"/>
      <c r="AC663" s="122"/>
      <c r="AD663" s="122"/>
      <c r="AE663" s="122"/>
      <c r="AF663" s="122"/>
      <c r="AG663" s="122"/>
      <c r="AH663" s="122"/>
      <c r="AI663" s="122"/>
      <c r="AJ663" s="38"/>
      <c r="AK663" s="122"/>
      <c r="AL663" s="122"/>
      <c r="AM663" s="122"/>
      <c r="AN663" s="122"/>
      <c r="AO663" s="38"/>
      <c r="AP663" s="38"/>
      <c r="AQ663" s="38"/>
      <c r="AR663" s="17"/>
      <c r="AS663" s="1"/>
      <c r="AT663" s="17"/>
      <c r="AU663" s="1"/>
      <c r="AV663" s="17"/>
      <c r="AW663" s="1"/>
      <c r="AX663" s="2"/>
      <c r="AY663" s="1"/>
      <c r="AZ663" s="1"/>
    </row>
    <row x14ac:dyDescent="0.25" r="664" customHeight="1" ht="15">
      <c r="A664" s="1"/>
      <c r="B664" s="1"/>
      <c r="C664" s="1"/>
      <c r="D664" s="1"/>
      <c r="E664" s="1"/>
      <c r="F664" s="1"/>
      <c r="G664" s="1"/>
      <c r="H664" s="1"/>
      <c r="I664" s="1"/>
      <c r="J664" s="1"/>
      <c r="K664" s="17"/>
      <c r="L664" s="1"/>
      <c r="M664" s="1"/>
      <c r="N664" s="2"/>
      <c r="O664" s="2"/>
      <c r="P664" s="17"/>
      <c r="Q664" s="1"/>
      <c r="R664" s="1"/>
      <c r="S664" s="1"/>
      <c r="T664" s="38"/>
      <c r="U664" s="38"/>
      <c r="V664" s="38"/>
      <c r="W664" s="38"/>
      <c r="X664" s="38"/>
      <c r="Y664" s="38"/>
      <c r="Z664" s="38"/>
      <c r="AA664" s="122"/>
      <c r="AB664" s="122"/>
      <c r="AC664" s="122"/>
      <c r="AD664" s="122"/>
      <c r="AE664" s="122"/>
      <c r="AF664" s="122"/>
      <c r="AG664" s="122"/>
      <c r="AH664" s="122"/>
      <c r="AI664" s="122"/>
      <c r="AJ664" s="38"/>
      <c r="AK664" s="122"/>
      <c r="AL664" s="122"/>
      <c r="AM664" s="122"/>
      <c r="AN664" s="122"/>
      <c r="AO664" s="38"/>
      <c r="AP664" s="38"/>
      <c r="AQ664" s="38"/>
      <c r="AR664" s="17"/>
      <c r="AS664" s="1"/>
      <c r="AT664" s="17"/>
      <c r="AU664" s="1"/>
      <c r="AV664" s="17"/>
      <c r="AW664" s="1"/>
      <c r="AX664" s="2"/>
      <c r="AY664" s="1"/>
      <c r="AZ664" s="1"/>
    </row>
    <row x14ac:dyDescent="0.25" r="665" customHeight="1" ht="15">
      <c r="A665" s="1"/>
      <c r="B665" s="1"/>
      <c r="C665" s="1"/>
      <c r="D665" s="1"/>
      <c r="E665" s="1"/>
      <c r="F665" s="1"/>
      <c r="G665" s="1"/>
      <c r="H665" s="1"/>
      <c r="I665" s="1"/>
      <c r="J665" s="1"/>
      <c r="K665" s="17"/>
      <c r="L665" s="1"/>
      <c r="M665" s="1"/>
      <c r="N665" s="2"/>
      <c r="O665" s="2"/>
      <c r="P665" s="17"/>
      <c r="Q665" s="1"/>
      <c r="R665" s="1"/>
      <c r="S665" s="1"/>
      <c r="T665" s="38"/>
      <c r="U665" s="38"/>
      <c r="V665" s="38"/>
      <c r="W665" s="38"/>
      <c r="X665" s="38"/>
      <c r="Y665" s="38"/>
      <c r="Z665" s="38"/>
      <c r="AA665" s="122"/>
      <c r="AB665" s="122"/>
      <c r="AC665" s="122"/>
      <c r="AD665" s="122"/>
      <c r="AE665" s="122"/>
      <c r="AF665" s="122"/>
      <c r="AG665" s="122"/>
      <c r="AH665" s="122"/>
      <c r="AI665" s="122"/>
      <c r="AJ665" s="38"/>
      <c r="AK665" s="122"/>
      <c r="AL665" s="122"/>
      <c r="AM665" s="122"/>
      <c r="AN665" s="122"/>
      <c r="AO665" s="38"/>
      <c r="AP665" s="38"/>
      <c r="AQ665" s="38"/>
      <c r="AR665" s="17"/>
      <c r="AS665" s="1"/>
      <c r="AT665" s="17"/>
      <c r="AU665" s="1"/>
      <c r="AV665" s="17"/>
      <c r="AW665" s="1"/>
      <c r="AX665" s="2"/>
      <c r="AY665" s="1"/>
      <c r="AZ665" s="1"/>
    </row>
    <row x14ac:dyDescent="0.25" r="666" customHeight="1" ht="15">
      <c r="A666" s="1"/>
      <c r="B666" s="1"/>
      <c r="C666" s="1"/>
      <c r="D666" s="1"/>
      <c r="E666" s="1"/>
      <c r="F666" s="1"/>
      <c r="G666" s="1"/>
      <c r="H666" s="1"/>
      <c r="I666" s="1"/>
      <c r="J666" s="1"/>
      <c r="K666" s="17"/>
      <c r="L666" s="1"/>
      <c r="M666" s="1"/>
      <c r="N666" s="2"/>
      <c r="O666" s="2"/>
      <c r="P666" s="17"/>
      <c r="Q666" s="1"/>
      <c r="R666" s="1"/>
      <c r="S666" s="1"/>
      <c r="T666" s="38"/>
      <c r="U666" s="38"/>
      <c r="V666" s="38"/>
      <c r="W666" s="38"/>
      <c r="X666" s="38"/>
      <c r="Y666" s="38"/>
      <c r="Z666" s="38"/>
      <c r="AA666" s="122"/>
      <c r="AB666" s="122"/>
      <c r="AC666" s="122"/>
      <c r="AD666" s="122"/>
      <c r="AE666" s="122"/>
      <c r="AF666" s="122"/>
      <c r="AG666" s="122"/>
      <c r="AH666" s="122"/>
      <c r="AI666" s="122"/>
      <c r="AJ666" s="38"/>
      <c r="AK666" s="122"/>
      <c r="AL666" s="122"/>
      <c r="AM666" s="122"/>
      <c r="AN666" s="122"/>
      <c r="AO666" s="38"/>
      <c r="AP666" s="38"/>
      <c r="AQ666" s="38"/>
      <c r="AR666" s="17"/>
      <c r="AS666" s="1"/>
      <c r="AT666" s="17"/>
      <c r="AU666" s="1"/>
      <c r="AV666" s="17"/>
      <c r="AW666" s="1"/>
      <c r="AX666" s="2"/>
      <c r="AY666" s="1"/>
      <c r="AZ666" s="1"/>
    </row>
    <row x14ac:dyDescent="0.25" r="667" customHeight="1" ht="15">
      <c r="A667" s="1"/>
      <c r="B667" s="1"/>
      <c r="C667" s="1"/>
      <c r="D667" s="1"/>
      <c r="E667" s="1"/>
      <c r="F667" s="1"/>
      <c r="G667" s="1"/>
      <c r="H667" s="1"/>
      <c r="I667" s="1"/>
      <c r="J667" s="1"/>
      <c r="K667" s="17"/>
      <c r="L667" s="1"/>
      <c r="M667" s="1"/>
      <c r="N667" s="2"/>
      <c r="O667" s="2"/>
      <c r="P667" s="17"/>
      <c r="Q667" s="1"/>
      <c r="R667" s="1"/>
      <c r="S667" s="1"/>
      <c r="T667" s="38"/>
      <c r="U667" s="38"/>
      <c r="V667" s="38"/>
      <c r="W667" s="38"/>
      <c r="X667" s="38"/>
      <c r="Y667" s="38"/>
      <c r="Z667" s="38"/>
      <c r="AA667" s="122"/>
      <c r="AB667" s="122"/>
      <c r="AC667" s="122"/>
      <c r="AD667" s="122"/>
      <c r="AE667" s="122"/>
      <c r="AF667" s="122"/>
      <c r="AG667" s="122"/>
      <c r="AH667" s="122"/>
      <c r="AI667" s="122"/>
      <c r="AJ667" s="38"/>
      <c r="AK667" s="122"/>
      <c r="AL667" s="122"/>
      <c r="AM667" s="122"/>
      <c r="AN667" s="122"/>
      <c r="AO667" s="38"/>
      <c r="AP667" s="38"/>
      <c r="AQ667" s="38"/>
      <c r="AR667" s="17"/>
      <c r="AS667" s="1"/>
      <c r="AT667" s="17"/>
      <c r="AU667" s="1"/>
      <c r="AV667" s="17"/>
      <c r="AW667" s="1"/>
      <c r="AX667" s="2"/>
      <c r="AY667" s="1"/>
      <c r="AZ667" s="1"/>
    </row>
    <row x14ac:dyDescent="0.25" r="668" customHeight="1" ht="15">
      <c r="A668" s="1"/>
      <c r="B668" s="1"/>
      <c r="C668" s="1"/>
      <c r="D668" s="1"/>
      <c r="E668" s="1"/>
      <c r="F668" s="1"/>
      <c r="G668" s="1"/>
      <c r="H668" s="1"/>
      <c r="I668" s="1"/>
      <c r="J668" s="1"/>
      <c r="K668" s="17"/>
      <c r="L668" s="1"/>
      <c r="M668" s="1"/>
      <c r="N668" s="2"/>
      <c r="O668" s="2"/>
      <c r="P668" s="17"/>
      <c r="Q668" s="1"/>
      <c r="R668" s="1"/>
      <c r="S668" s="1"/>
      <c r="T668" s="38"/>
      <c r="U668" s="38"/>
      <c r="V668" s="38"/>
      <c r="W668" s="38"/>
      <c r="X668" s="38"/>
      <c r="Y668" s="38"/>
      <c r="Z668" s="38"/>
      <c r="AA668" s="122"/>
      <c r="AB668" s="122"/>
      <c r="AC668" s="122"/>
      <c r="AD668" s="122"/>
      <c r="AE668" s="122"/>
      <c r="AF668" s="122"/>
      <c r="AG668" s="122"/>
      <c r="AH668" s="122"/>
      <c r="AI668" s="122"/>
      <c r="AJ668" s="38"/>
      <c r="AK668" s="122"/>
      <c r="AL668" s="122"/>
      <c r="AM668" s="122"/>
      <c r="AN668" s="122"/>
      <c r="AO668" s="38"/>
      <c r="AP668" s="38"/>
      <c r="AQ668" s="38"/>
      <c r="AR668" s="17"/>
      <c r="AS668" s="1"/>
      <c r="AT668" s="17"/>
      <c r="AU668" s="1"/>
      <c r="AV668" s="17"/>
      <c r="AW668" s="1"/>
      <c r="AX668" s="2"/>
      <c r="AY668" s="1"/>
      <c r="AZ668" s="1"/>
    </row>
    <row x14ac:dyDescent="0.25" r="669" customHeight="1" ht="15">
      <c r="A669" s="1"/>
      <c r="B669" s="1"/>
      <c r="C669" s="1"/>
      <c r="D669" s="1"/>
      <c r="E669" s="1"/>
      <c r="F669" s="1"/>
      <c r="G669" s="1"/>
      <c r="H669" s="1"/>
      <c r="I669" s="1"/>
      <c r="J669" s="1"/>
      <c r="K669" s="17"/>
      <c r="L669" s="1"/>
      <c r="M669" s="1"/>
      <c r="N669" s="2"/>
      <c r="O669" s="2"/>
      <c r="P669" s="17"/>
      <c r="Q669" s="1"/>
      <c r="R669" s="1"/>
      <c r="S669" s="1"/>
      <c r="T669" s="38"/>
      <c r="U669" s="38"/>
      <c r="V669" s="38"/>
      <c r="W669" s="38"/>
      <c r="X669" s="38"/>
      <c r="Y669" s="38"/>
      <c r="Z669" s="38"/>
      <c r="AA669" s="122"/>
      <c r="AB669" s="122"/>
      <c r="AC669" s="122"/>
      <c r="AD669" s="122"/>
      <c r="AE669" s="122"/>
      <c r="AF669" s="122"/>
      <c r="AG669" s="122"/>
      <c r="AH669" s="122"/>
      <c r="AI669" s="122"/>
      <c r="AJ669" s="38"/>
      <c r="AK669" s="122"/>
      <c r="AL669" s="122"/>
      <c r="AM669" s="122"/>
      <c r="AN669" s="122"/>
      <c r="AO669" s="38"/>
      <c r="AP669" s="38"/>
      <c r="AQ669" s="38"/>
      <c r="AR669" s="17"/>
      <c r="AS669" s="1"/>
      <c r="AT669" s="17"/>
      <c r="AU669" s="1"/>
      <c r="AV669" s="17"/>
      <c r="AW669" s="1"/>
      <c r="AX669" s="2"/>
      <c r="AY669" s="1"/>
      <c r="AZ669" s="1"/>
    </row>
    <row x14ac:dyDescent="0.25" r="670" customHeight="1" ht="15">
      <c r="A670" s="1"/>
      <c r="B670" s="1"/>
      <c r="C670" s="1"/>
      <c r="D670" s="1"/>
      <c r="E670" s="1"/>
      <c r="F670" s="1"/>
      <c r="G670" s="1"/>
      <c r="H670" s="1"/>
      <c r="I670" s="1"/>
      <c r="J670" s="1"/>
      <c r="K670" s="17"/>
      <c r="L670" s="1"/>
      <c r="M670" s="1"/>
      <c r="N670" s="2"/>
      <c r="O670" s="2"/>
      <c r="P670" s="17"/>
      <c r="Q670" s="1"/>
      <c r="R670" s="1"/>
      <c r="S670" s="1"/>
      <c r="T670" s="38"/>
      <c r="U670" s="38"/>
      <c r="V670" s="38"/>
      <c r="W670" s="38"/>
      <c r="X670" s="38"/>
      <c r="Y670" s="38"/>
      <c r="Z670" s="38"/>
      <c r="AA670" s="122"/>
      <c r="AB670" s="122"/>
      <c r="AC670" s="122"/>
      <c r="AD670" s="122"/>
      <c r="AE670" s="122"/>
      <c r="AF670" s="122"/>
      <c r="AG670" s="122"/>
      <c r="AH670" s="122"/>
      <c r="AI670" s="122"/>
      <c r="AJ670" s="38"/>
      <c r="AK670" s="122"/>
      <c r="AL670" s="122"/>
      <c r="AM670" s="122"/>
      <c r="AN670" s="122"/>
      <c r="AO670" s="38"/>
      <c r="AP670" s="38"/>
      <c r="AQ670" s="38"/>
      <c r="AR670" s="17"/>
      <c r="AS670" s="1"/>
      <c r="AT670" s="17"/>
      <c r="AU670" s="1"/>
      <c r="AV670" s="17"/>
      <c r="AW670" s="1"/>
      <c r="AX670" s="2"/>
      <c r="AY670" s="1"/>
      <c r="AZ670" s="1"/>
    </row>
    <row x14ac:dyDescent="0.25" r="671" customHeight="1" ht="15">
      <c r="A671" s="1"/>
      <c r="B671" s="1"/>
      <c r="C671" s="1"/>
      <c r="D671" s="1"/>
      <c r="E671" s="1"/>
      <c r="F671" s="1"/>
      <c r="G671" s="1"/>
      <c r="H671" s="1"/>
      <c r="I671" s="1"/>
      <c r="J671" s="1"/>
      <c r="K671" s="17"/>
      <c r="L671" s="1"/>
      <c r="M671" s="1"/>
      <c r="N671" s="2"/>
      <c r="O671" s="2"/>
      <c r="P671" s="17"/>
      <c r="Q671" s="1"/>
      <c r="R671" s="1"/>
      <c r="S671" s="1"/>
      <c r="T671" s="38"/>
      <c r="U671" s="38"/>
      <c r="V671" s="38"/>
      <c r="W671" s="38"/>
      <c r="X671" s="38"/>
      <c r="Y671" s="38"/>
      <c r="Z671" s="38"/>
      <c r="AA671" s="122"/>
      <c r="AB671" s="122"/>
      <c r="AC671" s="122"/>
      <c r="AD671" s="122"/>
      <c r="AE671" s="122"/>
      <c r="AF671" s="122"/>
      <c r="AG671" s="122"/>
      <c r="AH671" s="122"/>
      <c r="AI671" s="122"/>
      <c r="AJ671" s="38"/>
      <c r="AK671" s="122"/>
      <c r="AL671" s="122"/>
      <c r="AM671" s="122"/>
      <c r="AN671" s="122"/>
      <c r="AO671" s="38"/>
      <c r="AP671" s="38"/>
      <c r="AQ671" s="38"/>
      <c r="AR671" s="17"/>
      <c r="AS671" s="1"/>
      <c r="AT671" s="17"/>
      <c r="AU671" s="1"/>
      <c r="AV671" s="17"/>
      <c r="AW671" s="1"/>
      <c r="AX671" s="2"/>
      <c r="AY671" s="1"/>
      <c r="AZ671" s="1"/>
    </row>
    <row x14ac:dyDescent="0.25" r="672" customHeight="1" ht="15">
      <c r="A672" s="1"/>
      <c r="B672" s="1"/>
      <c r="C672" s="1"/>
      <c r="D672" s="1"/>
      <c r="E672" s="1"/>
      <c r="F672" s="1"/>
      <c r="G672" s="1"/>
      <c r="H672" s="1"/>
      <c r="I672" s="1"/>
      <c r="J672" s="1"/>
      <c r="K672" s="17"/>
      <c r="L672" s="1"/>
      <c r="M672" s="1"/>
      <c r="N672" s="2"/>
      <c r="O672" s="2"/>
      <c r="P672" s="17"/>
      <c r="Q672" s="1"/>
      <c r="R672" s="1"/>
      <c r="S672" s="1"/>
      <c r="T672" s="38"/>
      <c r="U672" s="38"/>
      <c r="V672" s="38"/>
      <c r="W672" s="38"/>
      <c r="X672" s="38"/>
      <c r="Y672" s="38"/>
      <c r="Z672" s="38"/>
      <c r="AA672" s="122"/>
      <c r="AB672" s="122"/>
      <c r="AC672" s="122"/>
      <c r="AD672" s="122"/>
      <c r="AE672" s="122"/>
      <c r="AF672" s="122"/>
      <c r="AG672" s="122"/>
      <c r="AH672" s="122"/>
      <c r="AI672" s="122"/>
      <c r="AJ672" s="38"/>
      <c r="AK672" s="122"/>
      <c r="AL672" s="122"/>
      <c r="AM672" s="122"/>
      <c r="AN672" s="122"/>
      <c r="AO672" s="38"/>
      <c r="AP672" s="38"/>
      <c r="AQ672" s="38"/>
      <c r="AR672" s="17"/>
      <c r="AS672" s="1"/>
      <c r="AT672" s="17"/>
      <c r="AU672" s="1"/>
      <c r="AV672" s="17"/>
      <c r="AW672" s="1"/>
      <c r="AX672" s="2"/>
      <c r="AY672" s="1"/>
      <c r="AZ672" s="1"/>
    </row>
    <row x14ac:dyDescent="0.25" r="673" customHeight="1" ht="15">
      <c r="A673" s="1"/>
      <c r="B673" s="1"/>
      <c r="C673" s="1"/>
      <c r="D673" s="1"/>
      <c r="E673" s="1"/>
      <c r="F673" s="1"/>
      <c r="G673" s="1"/>
      <c r="H673" s="1"/>
      <c r="I673" s="1"/>
      <c r="J673" s="1"/>
      <c r="K673" s="17"/>
      <c r="L673" s="1"/>
      <c r="M673" s="1"/>
      <c r="N673" s="2"/>
      <c r="O673" s="2"/>
      <c r="P673" s="17"/>
      <c r="Q673" s="1"/>
      <c r="R673" s="1"/>
      <c r="S673" s="1"/>
      <c r="T673" s="38"/>
      <c r="U673" s="38"/>
      <c r="V673" s="38"/>
      <c r="W673" s="38"/>
      <c r="X673" s="38"/>
      <c r="Y673" s="38"/>
      <c r="Z673" s="38"/>
      <c r="AA673" s="122"/>
      <c r="AB673" s="122"/>
      <c r="AC673" s="122"/>
      <c r="AD673" s="122"/>
      <c r="AE673" s="122"/>
      <c r="AF673" s="122"/>
      <c r="AG673" s="122"/>
      <c r="AH673" s="122"/>
      <c r="AI673" s="122"/>
      <c r="AJ673" s="38"/>
      <c r="AK673" s="122"/>
      <c r="AL673" s="122"/>
      <c r="AM673" s="122"/>
      <c r="AN673" s="122"/>
      <c r="AO673" s="38"/>
      <c r="AP673" s="38"/>
      <c r="AQ673" s="38"/>
      <c r="AR673" s="17"/>
      <c r="AS673" s="1"/>
      <c r="AT673" s="17"/>
      <c r="AU673" s="1"/>
      <c r="AV673" s="17"/>
      <c r="AW673" s="1"/>
      <c r="AX673" s="2"/>
      <c r="AY673" s="1"/>
      <c r="AZ673" s="1"/>
    </row>
    <row x14ac:dyDescent="0.25" r="674" customHeight="1" ht="15">
      <c r="A674" s="1"/>
      <c r="B674" s="1"/>
      <c r="C674" s="1"/>
      <c r="D674" s="1"/>
      <c r="E674" s="1"/>
      <c r="F674" s="1"/>
      <c r="G674" s="1"/>
      <c r="H674" s="1"/>
      <c r="I674" s="1"/>
      <c r="J674" s="1"/>
      <c r="K674" s="17"/>
      <c r="L674" s="1"/>
      <c r="M674" s="1"/>
      <c r="N674" s="2"/>
      <c r="O674" s="2"/>
      <c r="P674" s="17"/>
      <c r="Q674" s="1"/>
      <c r="R674" s="1"/>
      <c r="S674" s="1"/>
      <c r="T674" s="38"/>
      <c r="U674" s="38"/>
      <c r="V674" s="38"/>
      <c r="W674" s="38"/>
      <c r="X674" s="38"/>
      <c r="Y674" s="38"/>
      <c r="Z674" s="38"/>
      <c r="AA674" s="122"/>
      <c r="AB674" s="122"/>
      <c r="AC674" s="122"/>
      <c r="AD674" s="122"/>
      <c r="AE674" s="122"/>
      <c r="AF674" s="122"/>
      <c r="AG674" s="122"/>
      <c r="AH674" s="122"/>
      <c r="AI674" s="122"/>
      <c r="AJ674" s="38"/>
      <c r="AK674" s="122"/>
      <c r="AL674" s="122"/>
      <c r="AM674" s="122"/>
      <c r="AN674" s="122"/>
      <c r="AO674" s="38"/>
      <c r="AP674" s="38"/>
      <c r="AQ674" s="38"/>
      <c r="AR674" s="17"/>
      <c r="AS674" s="1"/>
      <c r="AT674" s="17"/>
      <c r="AU674" s="1"/>
      <c r="AV674" s="17"/>
      <c r="AW674" s="1"/>
      <c r="AX674" s="2"/>
      <c r="AY674" s="1"/>
      <c r="AZ674" s="1"/>
    </row>
    <row x14ac:dyDescent="0.25" r="675" customHeight="1" ht="15">
      <c r="A675" s="1"/>
      <c r="B675" s="1"/>
      <c r="C675" s="1"/>
      <c r="D675" s="1"/>
      <c r="E675" s="1"/>
      <c r="F675" s="1"/>
      <c r="G675" s="1"/>
      <c r="H675" s="1"/>
      <c r="I675" s="1"/>
      <c r="J675" s="1"/>
      <c r="K675" s="17"/>
      <c r="L675" s="1"/>
      <c r="M675" s="1"/>
      <c r="N675" s="2"/>
      <c r="O675" s="2"/>
      <c r="P675" s="17"/>
      <c r="Q675" s="1"/>
      <c r="R675" s="1"/>
      <c r="S675" s="1"/>
      <c r="T675" s="38"/>
      <c r="U675" s="38"/>
      <c r="V675" s="38"/>
      <c r="W675" s="38"/>
      <c r="X675" s="38"/>
      <c r="Y675" s="38"/>
      <c r="Z675" s="38"/>
      <c r="AA675" s="122"/>
      <c r="AB675" s="122"/>
      <c r="AC675" s="122"/>
      <c r="AD675" s="122"/>
      <c r="AE675" s="122"/>
      <c r="AF675" s="122"/>
      <c r="AG675" s="122"/>
      <c r="AH675" s="122"/>
      <c r="AI675" s="122"/>
      <c r="AJ675" s="38"/>
      <c r="AK675" s="122"/>
      <c r="AL675" s="122"/>
      <c r="AM675" s="122"/>
      <c r="AN675" s="122"/>
      <c r="AO675" s="38"/>
      <c r="AP675" s="38"/>
      <c r="AQ675" s="38"/>
      <c r="AR675" s="17"/>
      <c r="AS675" s="1"/>
      <c r="AT675" s="17"/>
      <c r="AU675" s="1"/>
      <c r="AV675" s="17"/>
      <c r="AW675" s="1"/>
      <c r="AX675" s="2"/>
      <c r="AY675" s="1"/>
      <c r="AZ675" s="1"/>
    </row>
    <row x14ac:dyDescent="0.25" r="676" customHeight="1" ht="15">
      <c r="A676" s="1"/>
      <c r="B676" s="1"/>
      <c r="C676" s="1"/>
      <c r="D676" s="1"/>
      <c r="E676" s="1"/>
      <c r="F676" s="1"/>
      <c r="G676" s="1"/>
      <c r="H676" s="1"/>
      <c r="I676" s="1"/>
      <c r="J676" s="1"/>
      <c r="K676" s="17"/>
      <c r="L676" s="1"/>
      <c r="M676" s="1"/>
      <c r="N676" s="2"/>
      <c r="O676" s="2"/>
      <c r="P676" s="17"/>
      <c r="Q676" s="1"/>
      <c r="R676" s="1"/>
      <c r="S676" s="1"/>
      <c r="T676" s="38"/>
      <c r="U676" s="38"/>
      <c r="V676" s="38"/>
      <c r="W676" s="38"/>
      <c r="X676" s="38"/>
      <c r="Y676" s="38"/>
      <c r="Z676" s="38"/>
      <c r="AA676" s="122"/>
      <c r="AB676" s="122"/>
      <c r="AC676" s="122"/>
      <c r="AD676" s="122"/>
      <c r="AE676" s="122"/>
      <c r="AF676" s="122"/>
      <c r="AG676" s="122"/>
      <c r="AH676" s="122"/>
      <c r="AI676" s="122"/>
      <c r="AJ676" s="38"/>
      <c r="AK676" s="122"/>
      <c r="AL676" s="122"/>
      <c r="AM676" s="122"/>
      <c r="AN676" s="122"/>
      <c r="AO676" s="38"/>
      <c r="AP676" s="38"/>
      <c r="AQ676" s="38"/>
      <c r="AR676" s="17"/>
      <c r="AS676" s="1"/>
      <c r="AT676" s="17"/>
      <c r="AU676" s="1"/>
      <c r="AV676" s="17"/>
      <c r="AW676" s="1"/>
      <c r="AX676" s="2"/>
      <c r="AY676" s="1"/>
      <c r="AZ676" s="1"/>
    </row>
    <row x14ac:dyDescent="0.25" r="677" customHeight="1" ht="15">
      <c r="A677" s="1"/>
      <c r="B677" s="1"/>
      <c r="C677" s="1"/>
      <c r="D677" s="1"/>
      <c r="E677" s="1"/>
      <c r="F677" s="1"/>
      <c r="G677" s="1"/>
      <c r="H677" s="1"/>
      <c r="I677" s="1"/>
      <c r="J677" s="1"/>
      <c r="K677" s="17"/>
      <c r="L677" s="1"/>
      <c r="M677" s="1"/>
      <c r="N677" s="2"/>
      <c r="O677" s="2"/>
      <c r="P677" s="17"/>
      <c r="Q677" s="1"/>
      <c r="R677" s="1"/>
      <c r="S677" s="1"/>
      <c r="T677" s="38"/>
      <c r="U677" s="38"/>
      <c r="V677" s="38"/>
      <c r="W677" s="38"/>
      <c r="X677" s="38"/>
      <c r="Y677" s="38"/>
      <c r="Z677" s="38"/>
      <c r="AA677" s="122"/>
      <c r="AB677" s="122"/>
      <c r="AC677" s="122"/>
      <c r="AD677" s="122"/>
      <c r="AE677" s="122"/>
      <c r="AF677" s="122"/>
      <c r="AG677" s="122"/>
      <c r="AH677" s="122"/>
      <c r="AI677" s="122"/>
      <c r="AJ677" s="38"/>
      <c r="AK677" s="122"/>
      <c r="AL677" s="122"/>
      <c r="AM677" s="122"/>
      <c r="AN677" s="122"/>
      <c r="AO677" s="38"/>
      <c r="AP677" s="38"/>
      <c r="AQ677" s="38"/>
      <c r="AR677" s="17"/>
      <c r="AS677" s="1"/>
      <c r="AT677" s="17"/>
      <c r="AU677" s="1"/>
      <c r="AV677" s="17"/>
      <c r="AW677" s="1"/>
      <c r="AX677" s="2"/>
      <c r="AY677" s="1"/>
      <c r="AZ677" s="1"/>
    </row>
    <row x14ac:dyDescent="0.25" r="678" customHeight="1" ht="15">
      <c r="A678" s="1"/>
      <c r="B678" s="1"/>
      <c r="C678" s="1"/>
      <c r="D678" s="1"/>
      <c r="E678" s="1"/>
      <c r="F678" s="1"/>
      <c r="G678" s="1"/>
      <c r="H678" s="1"/>
      <c r="I678" s="1"/>
      <c r="J678" s="1"/>
      <c r="K678" s="17"/>
      <c r="L678" s="1"/>
      <c r="M678" s="1"/>
      <c r="N678" s="2"/>
      <c r="O678" s="2"/>
      <c r="P678" s="17"/>
      <c r="Q678" s="1"/>
      <c r="R678" s="1"/>
      <c r="S678" s="1"/>
      <c r="T678" s="38"/>
      <c r="U678" s="38"/>
      <c r="V678" s="38"/>
      <c r="W678" s="38"/>
      <c r="X678" s="38"/>
      <c r="Y678" s="38"/>
      <c r="Z678" s="38"/>
      <c r="AA678" s="122"/>
      <c r="AB678" s="122"/>
      <c r="AC678" s="122"/>
      <c r="AD678" s="122"/>
      <c r="AE678" s="122"/>
      <c r="AF678" s="122"/>
      <c r="AG678" s="122"/>
      <c r="AH678" s="122"/>
      <c r="AI678" s="122"/>
      <c r="AJ678" s="38"/>
      <c r="AK678" s="122"/>
      <c r="AL678" s="122"/>
      <c r="AM678" s="122"/>
      <c r="AN678" s="122"/>
      <c r="AO678" s="38"/>
      <c r="AP678" s="38"/>
      <c r="AQ678" s="38"/>
      <c r="AR678" s="17"/>
      <c r="AS678" s="1"/>
      <c r="AT678" s="17"/>
      <c r="AU678" s="1"/>
      <c r="AV678" s="17"/>
      <c r="AW678" s="1"/>
      <c r="AX678" s="2"/>
      <c r="AY678" s="1"/>
      <c r="AZ678" s="1"/>
    </row>
    <row x14ac:dyDescent="0.25" r="679" customHeight="1" ht="15">
      <c r="A679" s="1"/>
      <c r="B679" s="1"/>
      <c r="C679" s="1"/>
      <c r="D679" s="1"/>
      <c r="E679" s="1"/>
      <c r="F679" s="1"/>
      <c r="G679" s="1"/>
      <c r="H679" s="1"/>
      <c r="I679" s="1"/>
      <c r="J679" s="1"/>
      <c r="K679" s="17"/>
      <c r="L679" s="1"/>
      <c r="M679" s="1"/>
      <c r="N679" s="2"/>
      <c r="O679" s="2"/>
      <c r="P679" s="17"/>
      <c r="Q679" s="1"/>
      <c r="R679" s="1"/>
      <c r="S679" s="1"/>
      <c r="T679" s="38"/>
      <c r="U679" s="38"/>
      <c r="V679" s="38"/>
      <c r="W679" s="38"/>
      <c r="X679" s="38"/>
      <c r="Y679" s="38"/>
      <c r="Z679" s="38"/>
      <c r="AA679" s="122"/>
      <c r="AB679" s="122"/>
      <c r="AC679" s="122"/>
      <c r="AD679" s="122"/>
      <c r="AE679" s="122"/>
      <c r="AF679" s="122"/>
      <c r="AG679" s="122"/>
      <c r="AH679" s="122"/>
      <c r="AI679" s="122"/>
      <c r="AJ679" s="38"/>
      <c r="AK679" s="122"/>
      <c r="AL679" s="122"/>
      <c r="AM679" s="122"/>
      <c r="AN679" s="122"/>
      <c r="AO679" s="38"/>
      <c r="AP679" s="38"/>
      <c r="AQ679" s="38"/>
      <c r="AR679" s="17"/>
      <c r="AS679" s="1"/>
      <c r="AT679" s="17"/>
      <c r="AU679" s="1"/>
      <c r="AV679" s="17"/>
      <c r="AW679" s="1"/>
      <c r="AX679" s="2"/>
      <c r="AY679" s="1"/>
      <c r="AZ679" s="1"/>
    </row>
    <row x14ac:dyDescent="0.25" r="680" customHeight="1" ht="15">
      <c r="A680" s="1"/>
      <c r="B680" s="1"/>
      <c r="C680" s="1"/>
      <c r="D680" s="1"/>
      <c r="E680" s="1"/>
      <c r="F680" s="1"/>
      <c r="G680" s="1"/>
      <c r="H680" s="1"/>
      <c r="I680" s="1"/>
      <c r="J680" s="1"/>
      <c r="K680" s="17"/>
      <c r="L680" s="1"/>
      <c r="M680" s="1"/>
      <c r="N680" s="2"/>
      <c r="O680" s="2"/>
      <c r="P680" s="17"/>
      <c r="Q680" s="1"/>
      <c r="R680" s="1"/>
      <c r="S680" s="1"/>
      <c r="T680" s="38"/>
      <c r="U680" s="38"/>
      <c r="V680" s="38"/>
      <c r="W680" s="38"/>
      <c r="X680" s="38"/>
      <c r="Y680" s="38"/>
      <c r="Z680" s="38"/>
      <c r="AA680" s="122"/>
      <c r="AB680" s="122"/>
      <c r="AC680" s="122"/>
      <c r="AD680" s="122"/>
      <c r="AE680" s="122"/>
      <c r="AF680" s="122"/>
      <c r="AG680" s="122"/>
      <c r="AH680" s="122"/>
      <c r="AI680" s="122"/>
      <c r="AJ680" s="38"/>
      <c r="AK680" s="122"/>
      <c r="AL680" s="122"/>
      <c r="AM680" s="122"/>
      <c r="AN680" s="122"/>
      <c r="AO680" s="38"/>
      <c r="AP680" s="38"/>
      <c r="AQ680" s="38"/>
      <c r="AR680" s="17"/>
      <c r="AS680" s="1"/>
      <c r="AT680" s="17"/>
      <c r="AU680" s="1"/>
      <c r="AV680" s="17"/>
      <c r="AW680" s="1"/>
      <c r="AX680" s="2"/>
      <c r="AY680" s="1"/>
      <c r="AZ680" s="1"/>
    </row>
    <row x14ac:dyDescent="0.25" r="681" customHeight="1" ht="15">
      <c r="A681" s="1"/>
      <c r="B681" s="1"/>
      <c r="C681" s="1"/>
      <c r="D681" s="1"/>
      <c r="E681" s="1"/>
      <c r="F681" s="1"/>
      <c r="G681" s="1"/>
      <c r="H681" s="1"/>
      <c r="I681" s="1"/>
      <c r="J681" s="1"/>
      <c r="K681" s="17"/>
      <c r="L681" s="1"/>
      <c r="M681" s="1"/>
      <c r="N681" s="2"/>
      <c r="O681" s="2"/>
      <c r="P681" s="17"/>
      <c r="Q681" s="1"/>
      <c r="R681" s="1"/>
      <c r="S681" s="1"/>
      <c r="T681" s="38"/>
      <c r="U681" s="38"/>
      <c r="V681" s="38"/>
      <c r="W681" s="38"/>
      <c r="X681" s="38"/>
      <c r="Y681" s="38"/>
      <c r="Z681" s="38"/>
      <c r="AA681" s="122"/>
      <c r="AB681" s="122"/>
      <c r="AC681" s="122"/>
      <c r="AD681" s="122"/>
      <c r="AE681" s="122"/>
      <c r="AF681" s="122"/>
      <c r="AG681" s="122"/>
      <c r="AH681" s="122"/>
      <c r="AI681" s="122"/>
      <c r="AJ681" s="38"/>
      <c r="AK681" s="122"/>
      <c r="AL681" s="122"/>
      <c r="AM681" s="122"/>
      <c r="AN681" s="122"/>
      <c r="AO681" s="38"/>
      <c r="AP681" s="38"/>
      <c r="AQ681" s="38"/>
      <c r="AR681" s="17"/>
      <c r="AS681" s="1"/>
      <c r="AT681" s="17"/>
      <c r="AU681" s="1"/>
      <c r="AV681" s="17"/>
      <c r="AW681" s="1"/>
      <c r="AX681" s="2"/>
      <c r="AY681" s="1"/>
      <c r="AZ681" s="1"/>
    </row>
    <row x14ac:dyDescent="0.25" r="682" customHeight="1" ht="15">
      <c r="A682" s="1"/>
      <c r="B682" s="1"/>
      <c r="C682" s="1"/>
      <c r="D682" s="1"/>
      <c r="E682" s="1"/>
      <c r="F682" s="1"/>
      <c r="G682" s="1"/>
      <c r="H682" s="1"/>
      <c r="I682" s="1"/>
      <c r="J682" s="1"/>
      <c r="K682" s="17"/>
      <c r="L682" s="1"/>
      <c r="M682" s="1"/>
      <c r="N682" s="2"/>
      <c r="O682" s="2"/>
      <c r="P682" s="17"/>
      <c r="Q682" s="1"/>
      <c r="R682" s="1"/>
      <c r="S682" s="1"/>
      <c r="T682" s="38"/>
      <c r="U682" s="38"/>
      <c r="V682" s="38"/>
      <c r="W682" s="38"/>
      <c r="X682" s="38"/>
      <c r="Y682" s="38"/>
      <c r="Z682" s="38"/>
      <c r="AA682" s="122"/>
      <c r="AB682" s="122"/>
      <c r="AC682" s="122"/>
      <c r="AD682" s="122"/>
      <c r="AE682" s="122"/>
      <c r="AF682" s="122"/>
      <c r="AG682" s="122"/>
      <c r="AH682" s="122"/>
      <c r="AI682" s="122"/>
      <c r="AJ682" s="38"/>
      <c r="AK682" s="122"/>
      <c r="AL682" s="122"/>
      <c r="AM682" s="122"/>
      <c r="AN682" s="122"/>
      <c r="AO682" s="38"/>
      <c r="AP682" s="38"/>
      <c r="AQ682" s="38"/>
      <c r="AR682" s="17"/>
      <c r="AS682" s="1"/>
      <c r="AT682" s="17"/>
      <c r="AU682" s="1"/>
      <c r="AV682" s="17"/>
      <c r="AW682" s="1"/>
      <c r="AX682" s="2"/>
      <c r="AY682" s="1"/>
      <c r="AZ682" s="1"/>
    </row>
    <row x14ac:dyDescent="0.25" r="683" customHeight="1" ht="15">
      <c r="A683" s="1"/>
      <c r="B683" s="1"/>
      <c r="C683" s="1"/>
      <c r="D683" s="1"/>
      <c r="E683" s="1"/>
      <c r="F683" s="1"/>
      <c r="G683" s="1"/>
      <c r="H683" s="1"/>
      <c r="I683" s="1"/>
      <c r="J683" s="1"/>
      <c r="K683" s="17"/>
      <c r="L683" s="1"/>
      <c r="M683" s="1"/>
      <c r="N683" s="2"/>
      <c r="O683" s="2"/>
      <c r="P683" s="17"/>
      <c r="Q683" s="1"/>
      <c r="R683" s="1"/>
      <c r="S683" s="1"/>
      <c r="T683" s="38"/>
      <c r="U683" s="38"/>
      <c r="V683" s="38"/>
      <c r="W683" s="38"/>
      <c r="X683" s="38"/>
      <c r="Y683" s="38"/>
      <c r="Z683" s="38"/>
      <c r="AA683" s="122"/>
      <c r="AB683" s="122"/>
      <c r="AC683" s="122"/>
      <c r="AD683" s="122"/>
      <c r="AE683" s="122"/>
      <c r="AF683" s="122"/>
      <c r="AG683" s="122"/>
      <c r="AH683" s="122"/>
      <c r="AI683" s="122"/>
      <c r="AJ683" s="38"/>
      <c r="AK683" s="122"/>
      <c r="AL683" s="122"/>
      <c r="AM683" s="122"/>
      <c r="AN683" s="122"/>
      <c r="AO683" s="38"/>
      <c r="AP683" s="38"/>
      <c r="AQ683" s="38"/>
      <c r="AR683" s="17"/>
      <c r="AS683" s="1"/>
      <c r="AT683" s="17"/>
      <c r="AU683" s="1"/>
      <c r="AV683" s="17"/>
      <c r="AW683" s="1"/>
      <c r="AX683" s="2"/>
      <c r="AY683" s="1"/>
      <c r="AZ683" s="1"/>
    </row>
    <row x14ac:dyDescent="0.25" r="684" customHeight="1" ht="15">
      <c r="A684" s="1"/>
      <c r="B684" s="1"/>
      <c r="C684" s="1"/>
      <c r="D684" s="1"/>
      <c r="E684" s="1"/>
      <c r="F684" s="1"/>
      <c r="G684" s="1"/>
      <c r="H684" s="1"/>
      <c r="I684" s="1"/>
      <c r="J684" s="1"/>
      <c r="K684" s="17"/>
      <c r="L684" s="1"/>
      <c r="M684" s="1"/>
      <c r="N684" s="2"/>
      <c r="O684" s="2"/>
      <c r="P684" s="17"/>
      <c r="Q684" s="1"/>
      <c r="R684" s="1"/>
      <c r="S684" s="1"/>
      <c r="T684" s="38"/>
      <c r="U684" s="38"/>
      <c r="V684" s="38"/>
      <c r="W684" s="38"/>
      <c r="X684" s="38"/>
      <c r="Y684" s="38"/>
      <c r="Z684" s="38"/>
      <c r="AA684" s="122"/>
      <c r="AB684" s="122"/>
      <c r="AC684" s="122"/>
      <c r="AD684" s="122"/>
      <c r="AE684" s="122"/>
      <c r="AF684" s="122"/>
      <c r="AG684" s="122"/>
      <c r="AH684" s="122"/>
      <c r="AI684" s="122"/>
      <c r="AJ684" s="38"/>
      <c r="AK684" s="122"/>
      <c r="AL684" s="122"/>
      <c r="AM684" s="122"/>
      <c r="AN684" s="122"/>
      <c r="AO684" s="38"/>
      <c r="AP684" s="38"/>
      <c r="AQ684" s="38"/>
      <c r="AR684" s="17"/>
      <c r="AS684" s="1"/>
      <c r="AT684" s="17"/>
      <c r="AU684" s="1"/>
      <c r="AV684" s="17"/>
      <c r="AW684" s="1"/>
      <c r="AX684" s="2"/>
      <c r="AY684" s="1"/>
      <c r="AZ684" s="1"/>
    </row>
    <row x14ac:dyDescent="0.25" r="685" customHeight="1" ht="15">
      <c r="A685" s="1"/>
      <c r="B685" s="1"/>
      <c r="C685" s="1"/>
      <c r="D685" s="1"/>
      <c r="E685" s="1"/>
      <c r="F685" s="1"/>
      <c r="G685" s="1"/>
      <c r="H685" s="1"/>
      <c r="I685" s="1"/>
      <c r="J685" s="1"/>
      <c r="K685" s="17"/>
      <c r="L685" s="1"/>
      <c r="M685" s="1"/>
      <c r="N685" s="2"/>
      <c r="O685" s="2"/>
      <c r="P685" s="17"/>
      <c r="Q685" s="1"/>
      <c r="R685" s="1"/>
      <c r="S685" s="1"/>
      <c r="T685" s="38"/>
      <c r="U685" s="38"/>
      <c r="V685" s="38"/>
      <c r="W685" s="38"/>
      <c r="X685" s="38"/>
      <c r="Y685" s="38"/>
      <c r="Z685" s="38"/>
      <c r="AA685" s="122"/>
      <c r="AB685" s="122"/>
      <c r="AC685" s="122"/>
      <c r="AD685" s="122"/>
      <c r="AE685" s="122"/>
      <c r="AF685" s="122"/>
      <c r="AG685" s="122"/>
      <c r="AH685" s="122"/>
      <c r="AI685" s="122"/>
      <c r="AJ685" s="38"/>
      <c r="AK685" s="122"/>
      <c r="AL685" s="122"/>
      <c r="AM685" s="122"/>
      <c r="AN685" s="122"/>
      <c r="AO685" s="38"/>
      <c r="AP685" s="38"/>
      <c r="AQ685" s="38"/>
      <c r="AR685" s="17"/>
      <c r="AS685" s="1"/>
      <c r="AT685" s="17"/>
      <c r="AU685" s="1"/>
      <c r="AV685" s="17"/>
      <c r="AW685" s="1"/>
      <c r="AX685" s="2"/>
      <c r="AY685" s="1"/>
      <c r="AZ685" s="1"/>
    </row>
    <row x14ac:dyDescent="0.25" r="686" customHeight="1" ht="15">
      <c r="A686" s="1"/>
      <c r="B686" s="1"/>
      <c r="C686" s="1"/>
      <c r="D686" s="1"/>
      <c r="E686" s="1"/>
      <c r="F686" s="1"/>
      <c r="G686" s="1"/>
      <c r="H686" s="1"/>
      <c r="I686" s="1"/>
      <c r="J686" s="1"/>
      <c r="K686" s="17"/>
      <c r="L686" s="1"/>
      <c r="M686" s="1"/>
      <c r="N686" s="2"/>
      <c r="O686" s="2"/>
      <c r="P686" s="17"/>
      <c r="Q686" s="1"/>
      <c r="R686" s="1"/>
      <c r="S686" s="1"/>
      <c r="T686" s="38"/>
      <c r="U686" s="38"/>
      <c r="V686" s="38"/>
      <c r="W686" s="38"/>
      <c r="X686" s="38"/>
      <c r="Y686" s="38"/>
      <c r="Z686" s="38"/>
      <c r="AA686" s="122"/>
      <c r="AB686" s="122"/>
      <c r="AC686" s="122"/>
      <c r="AD686" s="122"/>
      <c r="AE686" s="122"/>
      <c r="AF686" s="122"/>
      <c r="AG686" s="122"/>
      <c r="AH686" s="122"/>
      <c r="AI686" s="122"/>
      <c r="AJ686" s="38"/>
      <c r="AK686" s="122"/>
      <c r="AL686" s="122"/>
      <c r="AM686" s="122"/>
      <c r="AN686" s="122"/>
      <c r="AO686" s="38"/>
      <c r="AP686" s="38"/>
      <c r="AQ686" s="38"/>
      <c r="AR686" s="17"/>
      <c r="AS686" s="1"/>
      <c r="AT686" s="17"/>
      <c r="AU686" s="1"/>
      <c r="AV686" s="17"/>
      <c r="AW686" s="1"/>
      <c r="AX686" s="2"/>
      <c r="AY686" s="1"/>
      <c r="AZ686" s="1"/>
    </row>
    <row x14ac:dyDescent="0.25" r="687" customHeight="1" ht="15">
      <c r="A687" s="1"/>
      <c r="B687" s="1"/>
      <c r="C687" s="1"/>
      <c r="D687" s="1"/>
      <c r="E687" s="1"/>
      <c r="F687" s="1"/>
      <c r="G687" s="1"/>
      <c r="H687" s="1"/>
      <c r="I687" s="1"/>
      <c r="J687" s="1"/>
      <c r="K687" s="17"/>
      <c r="L687" s="1"/>
      <c r="M687" s="1"/>
      <c r="N687" s="2"/>
      <c r="O687" s="2"/>
      <c r="P687" s="17"/>
      <c r="Q687" s="1"/>
      <c r="R687" s="1"/>
      <c r="S687" s="1"/>
      <c r="T687" s="38"/>
      <c r="U687" s="38"/>
      <c r="V687" s="38"/>
      <c r="W687" s="38"/>
      <c r="X687" s="38"/>
      <c r="Y687" s="38"/>
      <c r="Z687" s="38"/>
      <c r="AA687" s="122"/>
      <c r="AB687" s="122"/>
      <c r="AC687" s="122"/>
      <c r="AD687" s="122"/>
      <c r="AE687" s="122"/>
      <c r="AF687" s="122"/>
      <c r="AG687" s="122"/>
      <c r="AH687" s="122"/>
      <c r="AI687" s="122"/>
      <c r="AJ687" s="38"/>
      <c r="AK687" s="122"/>
      <c r="AL687" s="122"/>
      <c r="AM687" s="122"/>
      <c r="AN687" s="122"/>
      <c r="AO687" s="38"/>
      <c r="AP687" s="38"/>
      <c r="AQ687" s="38"/>
      <c r="AR687" s="17"/>
      <c r="AS687" s="1"/>
      <c r="AT687" s="17"/>
      <c r="AU687" s="1"/>
      <c r="AV687" s="17"/>
      <c r="AW687" s="1"/>
      <c r="AX687" s="2"/>
      <c r="AY687" s="1"/>
      <c r="AZ687" s="1"/>
    </row>
    <row x14ac:dyDescent="0.25" r="688" customHeight="1" ht="15">
      <c r="A688" s="1"/>
      <c r="B688" s="1"/>
      <c r="C688" s="1"/>
      <c r="D688" s="1"/>
      <c r="E688" s="1"/>
      <c r="F688" s="1"/>
      <c r="G688" s="1"/>
      <c r="H688" s="1"/>
      <c r="I688" s="1"/>
      <c r="J688" s="1"/>
      <c r="K688" s="17"/>
      <c r="L688" s="1"/>
      <c r="M688" s="1"/>
      <c r="N688" s="2"/>
      <c r="O688" s="2"/>
      <c r="P688" s="17"/>
      <c r="Q688" s="1"/>
      <c r="R688" s="1"/>
      <c r="S688" s="1"/>
      <c r="T688" s="38"/>
      <c r="U688" s="38"/>
      <c r="V688" s="38"/>
      <c r="W688" s="38"/>
      <c r="X688" s="38"/>
      <c r="Y688" s="38"/>
      <c r="Z688" s="38"/>
      <c r="AA688" s="122"/>
      <c r="AB688" s="122"/>
      <c r="AC688" s="122"/>
      <c r="AD688" s="122"/>
      <c r="AE688" s="122"/>
      <c r="AF688" s="122"/>
      <c r="AG688" s="122"/>
      <c r="AH688" s="122"/>
      <c r="AI688" s="122"/>
      <c r="AJ688" s="38"/>
      <c r="AK688" s="122"/>
      <c r="AL688" s="122"/>
      <c r="AM688" s="122"/>
      <c r="AN688" s="122"/>
      <c r="AO688" s="38"/>
      <c r="AP688" s="38"/>
      <c r="AQ688" s="38"/>
      <c r="AR688" s="17"/>
      <c r="AS688" s="1"/>
      <c r="AT688" s="17"/>
      <c r="AU688" s="1"/>
      <c r="AV688" s="17"/>
      <c r="AW688" s="1"/>
      <c r="AX688" s="2"/>
      <c r="AY688" s="1"/>
      <c r="AZ688" s="1"/>
    </row>
    <row x14ac:dyDescent="0.25" r="689" customHeight="1" ht="15">
      <c r="A689" s="1"/>
      <c r="B689" s="1"/>
      <c r="C689" s="1"/>
      <c r="D689" s="1"/>
      <c r="E689" s="1"/>
      <c r="F689" s="1"/>
      <c r="G689" s="1"/>
      <c r="H689" s="1"/>
      <c r="I689" s="1"/>
      <c r="J689" s="1"/>
      <c r="K689" s="17"/>
      <c r="L689" s="1"/>
      <c r="M689" s="1"/>
      <c r="N689" s="2"/>
      <c r="O689" s="2"/>
      <c r="P689" s="17"/>
      <c r="Q689" s="1"/>
      <c r="R689" s="1"/>
      <c r="S689" s="1"/>
      <c r="T689" s="38"/>
      <c r="U689" s="38"/>
      <c r="V689" s="38"/>
      <c r="W689" s="38"/>
      <c r="X689" s="38"/>
      <c r="Y689" s="38"/>
      <c r="Z689" s="38"/>
      <c r="AA689" s="122"/>
      <c r="AB689" s="122"/>
      <c r="AC689" s="122"/>
      <c r="AD689" s="122"/>
      <c r="AE689" s="122"/>
      <c r="AF689" s="122"/>
      <c r="AG689" s="122"/>
      <c r="AH689" s="122"/>
      <c r="AI689" s="122"/>
      <c r="AJ689" s="38"/>
      <c r="AK689" s="122"/>
      <c r="AL689" s="122"/>
      <c r="AM689" s="122"/>
      <c r="AN689" s="122"/>
      <c r="AO689" s="38"/>
      <c r="AP689" s="38"/>
      <c r="AQ689" s="38"/>
      <c r="AR689" s="17"/>
      <c r="AS689" s="1"/>
      <c r="AT689" s="17"/>
      <c r="AU689" s="1"/>
      <c r="AV689" s="17"/>
      <c r="AW689" s="1"/>
      <c r="AX689" s="2"/>
      <c r="AY689" s="1"/>
      <c r="AZ689" s="1"/>
    </row>
    <row x14ac:dyDescent="0.25" r="690" customHeight="1" ht="15">
      <c r="A690" s="1"/>
      <c r="B690" s="1"/>
      <c r="C690" s="1"/>
      <c r="D690" s="1"/>
      <c r="E690" s="1"/>
      <c r="F690" s="1"/>
      <c r="G690" s="1"/>
      <c r="H690" s="1"/>
      <c r="I690" s="1"/>
      <c r="J690" s="1"/>
      <c r="K690" s="17"/>
      <c r="L690" s="1"/>
      <c r="M690" s="1"/>
      <c r="N690" s="2"/>
      <c r="O690" s="2"/>
      <c r="P690" s="17"/>
      <c r="Q690" s="1"/>
      <c r="R690" s="1"/>
      <c r="S690" s="1"/>
      <c r="T690" s="38"/>
      <c r="U690" s="38"/>
      <c r="V690" s="38"/>
      <c r="W690" s="38"/>
      <c r="X690" s="38"/>
      <c r="Y690" s="38"/>
      <c r="Z690" s="38"/>
      <c r="AA690" s="122"/>
      <c r="AB690" s="122"/>
      <c r="AC690" s="122"/>
      <c r="AD690" s="122"/>
      <c r="AE690" s="122"/>
      <c r="AF690" s="122"/>
      <c r="AG690" s="122"/>
      <c r="AH690" s="122"/>
      <c r="AI690" s="122"/>
      <c r="AJ690" s="38"/>
      <c r="AK690" s="122"/>
      <c r="AL690" s="122"/>
      <c r="AM690" s="122"/>
      <c r="AN690" s="122"/>
      <c r="AO690" s="38"/>
      <c r="AP690" s="38"/>
      <c r="AQ690" s="38"/>
      <c r="AR690" s="17"/>
      <c r="AS690" s="1"/>
      <c r="AT690" s="17"/>
      <c r="AU690" s="1"/>
      <c r="AV690" s="17"/>
      <c r="AW690" s="1"/>
      <c r="AX690" s="2"/>
      <c r="AY690" s="1"/>
      <c r="AZ690" s="1"/>
    </row>
    <row x14ac:dyDescent="0.25" r="691" customHeight="1" ht="15">
      <c r="A691" s="1"/>
      <c r="B691" s="1"/>
      <c r="C691" s="1"/>
      <c r="D691" s="1"/>
      <c r="E691" s="1"/>
      <c r="F691" s="1"/>
      <c r="G691" s="1"/>
      <c r="H691" s="1"/>
      <c r="I691" s="1"/>
      <c r="J691" s="1"/>
      <c r="K691" s="17"/>
      <c r="L691" s="1"/>
      <c r="M691" s="1"/>
      <c r="N691" s="2"/>
      <c r="O691" s="2"/>
      <c r="P691" s="17"/>
      <c r="Q691" s="1"/>
      <c r="R691" s="1"/>
      <c r="S691" s="1"/>
      <c r="T691" s="38"/>
      <c r="U691" s="38"/>
      <c r="V691" s="38"/>
      <c r="W691" s="38"/>
      <c r="X691" s="38"/>
      <c r="Y691" s="38"/>
      <c r="Z691" s="38"/>
      <c r="AA691" s="122"/>
      <c r="AB691" s="122"/>
      <c r="AC691" s="122"/>
      <c r="AD691" s="122"/>
      <c r="AE691" s="122"/>
      <c r="AF691" s="122"/>
      <c r="AG691" s="122"/>
      <c r="AH691" s="122"/>
      <c r="AI691" s="122"/>
      <c r="AJ691" s="38"/>
      <c r="AK691" s="122"/>
      <c r="AL691" s="122"/>
      <c r="AM691" s="122"/>
      <c r="AN691" s="122"/>
      <c r="AO691" s="38"/>
      <c r="AP691" s="38"/>
      <c r="AQ691" s="38"/>
      <c r="AR691" s="17"/>
      <c r="AS691" s="1"/>
      <c r="AT691" s="17"/>
      <c r="AU691" s="1"/>
      <c r="AV691" s="17"/>
      <c r="AW691" s="1"/>
      <c r="AX691" s="2"/>
      <c r="AY691" s="1"/>
      <c r="AZ691" s="1"/>
    </row>
    <row x14ac:dyDescent="0.25" r="692" customHeight="1" ht="15">
      <c r="A692" s="1"/>
      <c r="B692" s="1"/>
      <c r="C692" s="1"/>
      <c r="D692" s="1"/>
      <c r="E692" s="1"/>
      <c r="F692" s="1"/>
      <c r="G692" s="1"/>
      <c r="H692" s="1"/>
      <c r="I692" s="1"/>
      <c r="J692" s="1"/>
      <c r="K692" s="17"/>
      <c r="L692" s="1"/>
      <c r="M692" s="1"/>
      <c r="N692" s="2"/>
      <c r="O692" s="2"/>
      <c r="P692" s="17"/>
      <c r="Q692" s="1"/>
      <c r="R692" s="1"/>
      <c r="S692" s="1"/>
      <c r="T692" s="38"/>
      <c r="U692" s="38"/>
      <c r="V692" s="38"/>
      <c r="W692" s="38"/>
      <c r="X692" s="38"/>
      <c r="Y692" s="38"/>
      <c r="Z692" s="38"/>
      <c r="AA692" s="122"/>
      <c r="AB692" s="122"/>
      <c r="AC692" s="122"/>
      <c r="AD692" s="122"/>
      <c r="AE692" s="122"/>
      <c r="AF692" s="122"/>
      <c r="AG692" s="122"/>
      <c r="AH692" s="122"/>
      <c r="AI692" s="122"/>
      <c r="AJ692" s="38"/>
      <c r="AK692" s="122"/>
      <c r="AL692" s="122"/>
      <c r="AM692" s="122"/>
      <c r="AN692" s="122"/>
      <c r="AO692" s="38"/>
      <c r="AP692" s="38"/>
      <c r="AQ692" s="38"/>
      <c r="AR692" s="17"/>
      <c r="AS692" s="1"/>
      <c r="AT692" s="17"/>
      <c r="AU692" s="1"/>
      <c r="AV692" s="17"/>
      <c r="AW692" s="1"/>
      <c r="AX692" s="2"/>
      <c r="AY692" s="1"/>
      <c r="AZ692" s="1"/>
    </row>
    <row x14ac:dyDescent="0.25" r="693" customHeight="1" ht="15">
      <c r="A693" s="1"/>
      <c r="B693" s="1"/>
      <c r="C693" s="1"/>
      <c r="D693" s="1"/>
      <c r="E693" s="1"/>
      <c r="F693" s="1"/>
      <c r="G693" s="1"/>
      <c r="H693" s="1"/>
      <c r="I693" s="1"/>
      <c r="J693" s="1"/>
      <c r="K693" s="17"/>
      <c r="L693" s="1"/>
      <c r="M693" s="1"/>
      <c r="N693" s="2"/>
      <c r="O693" s="2"/>
      <c r="P693" s="17"/>
      <c r="Q693" s="1"/>
      <c r="R693" s="1"/>
      <c r="S693" s="1"/>
      <c r="T693" s="38"/>
      <c r="U693" s="38"/>
      <c r="V693" s="38"/>
      <c r="W693" s="38"/>
      <c r="X693" s="38"/>
      <c r="Y693" s="38"/>
      <c r="Z693" s="38"/>
      <c r="AA693" s="122"/>
      <c r="AB693" s="122"/>
      <c r="AC693" s="122"/>
      <c r="AD693" s="122"/>
      <c r="AE693" s="122"/>
      <c r="AF693" s="122"/>
      <c r="AG693" s="122"/>
      <c r="AH693" s="122"/>
      <c r="AI693" s="122"/>
      <c r="AJ693" s="38"/>
      <c r="AK693" s="122"/>
      <c r="AL693" s="122"/>
      <c r="AM693" s="122"/>
      <c r="AN693" s="122"/>
      <c r="AO693" s="38"/>
      <c r="AP693" s="38"/>
      <c r="AQ693" s="38"/>
      <c r="AR693" s="17"/>
      <c r="AS693" s="1"/>
      <c r="AT693" s="17"/>
      <c r="AU693" s="1"/>
      <c r="AV693" s="17"/>
      <c r="AW693" s="1"/>
      <c r="AX693" s="2"/>
      <c r="AY693" s="1"/>
      <c r="AZ693" s="1"/>
    </row>
    <row x14ac:dyDescent="0.25" r="694" customHeight="1" ht="15">
      <c r="A694" s="1"/>
      <c r="B694" s="1"/>
      <c r="C694" s="1"/>
      <c r="D694" s="1"/>
      <c r="E694" s="1"/>
      <c r="F694" s="1"/>
      <c r="G694" s="1"/>
      <c r="H694" s="1"/>
      <c r="I694" s="1"/>
      <c r="J694" s="1"/>
      <c r="K694" s="17"/>
      <c r="L694" s="1"/>
      <c r="M694" s="1"/>
      <c r="N694" s="2"/>
      <c r="O694" s="2"/>
      <c r="P694" s="17"/>
      <c r="Q694" s="1"/>
      <c r="R694" s="1"/>
      <c r="S694" s="1"/>
      <c r="T694" s="38"/>
      <c r="U694" s="38"/>
      <c r="V694" s="38"/>
      <c r="W694" s="38"/>
      <c r="X694" s="38"/>
      <c r="Y694" s="38"/>
      <c r="Z694" s="38"/>
      <c r="AA694" s="122"/>
      <c r="AB694" s="122"/>
      <c r="AC694" s="122"/>
      <c r="AD694" s="122"/>
      <c r="AE694" s="122"/>
      <c r="AF694" s="122"/>
      <c r="AG694" s="122"/>
      <c r="AH694" s="122"/>
      <c r="AI694" s="122"/>
      <c r="AJ694" s="38"/>
      <c r="AK694" s="122"/>
      <c r="AL694" s="122"/>
      <c r="AM694" s="122"/>
      <c r="AN694" s="122"/>
      <c r="AO694" s="38"/>
      <c r="AP694" s="38"/>
      <c r="AQ694" s="38"/>
      <c r="AR694" s="17"/>
      <c r="AS694" s="1"/>
      <c r="AT694" s="17"/>
      <c r="AU694" s="1"/>
      <c r="AV694" s="17"/>
      <c r="AW694" s="1"/>
      <c r="AX694" s="2"/>
      <c r="AY694" s="1"/>
      <c r="AZ694" s="1"/>
    </row>
    <row x14ac:dyDescent="0.25" r="695" customHeight="1" ht="15">
      <c r="A695" s="1"/>
      <c r="B695" s="1"/>
      <c r="C695" s="1"/>
      <c r="D695" s="1"/>
      <c r="E695" s="1"/>
      <c r="F695" s="1"/>
      <c r="G695" s="1"/>
      <c r="H695" s="1"/>
      <c r="I695" s="1"/>
      <c r="J695" s="1"/>
      <c r="K695" s="17"/>
      <c r="L695" s="1"/>
      <c r="M695" s="1"/>
      <c r="N695" s="2"/>
      <c r="O695" s="2"/>
      <c r="P695" s="17"/>
      <c r="Q695" s="1"/>
      <c r="R695" s="1"/>
      <c r="S695" s="1"/>
      <c r="T695" s="38"/>
      <c r="U695" s="38"/>
      <c r="V695" s="38"/>
      <c r="W695" s="38"/>
      <c r="X695" s="38"/>
      <c r="Y695" s="38"/>
      <c r="Z695" s="38"/>
      <c r="AA695" s="122"/>
      <c r="AB695" s="122"/>
      <c r="AC695" s="122"/>
      <c r="AD695" s="122"/>
      <c r="AE695" s="122"/>
      <c r="AF695" s="122"/>
      <c r="AG695" s="122"/>
      <c r="AH695" s="122"/>
      <c r="AI695" s="122"/>
      <c r="AJ695" s="38"/>
      <c r="AK695" s="122"/>
      <c r="AL695" s="122"/>
      <c r="AM695" s="122"/>
      <c r="AN695" s="122"/>
      <c r="AO695" s="38"/>
      <c r="AP695" s="38"/>
      <c r="AQ695" s="38"/>
      <c r="AR695" s="17"/>
      <c r="AS695" s="1"/>
      <c r="AT695" s="17"/>
      <c r="AU695" s="1"/>
      <c r="AV695" s="17"/>
      <c r="AW695" s="1"/>
      <c r="AX695" s="2"/>
      <c r="AY695" s="1"/>
      <c r="AZ695" s="1"/>
    </row>
    <row x14ac:dyDescent="0.25" r="696" customHeight="1" ht="15">
      <c r="A696" s="1"/>
      <c r="B696" s="1"/>
      <c r="C696" s="1"/>
      <c r="D696" s="1"/>
      <c r="E696" s="1"/>
      <c r="F696" s="1"/>
      <c r="G696" s="1"/>
      <c r="H696" s="1"/>
      <c r="I696" s="1"/>
      <c r="J696" s="1"/>
      <c r="K696" s="17"/>
      <c r="L696" s="1"/>
      <c r="M696" s="1"/>
      <c r="N696" s="2"/>
      <c r="O696" s="2"/>
      <c r="P696" s="17"/>
      <c r="Q696" s="1"/>
      <c r="R696" s="1"/>
      <c r="S696" s="1"/>
      <c r="T696" s="38"/>
      <c r="U696" s="38"/>
      <c r="V696" s="38"/>
      <c r="W696" s="38"/>
      <c r="X696" s="38"/>
      <c r="Y696" s="38"/>
      <c r="Z696" s="38"/>
      <c r="AA696" s="122"/>
      <c r="AB696" s="122"/>
      <c r="AC696" s="122"/>
      <c r="AD696" s="122"/>
      <c r="AE696" s="122"/>
      <c r="AF696" s="122"/>
      <c r="AG696" s="122"/>
      <c r="AH696" s="122"/>
      <c r="AI696" s="122"/>
      <c r="AJ696" s="38"/>
      <c r="AK696" s="122"/>
      <c r="AL696" s="122"/>
      <c r="AM696" s="122"/>
      <c r="AN696" s="122"/>
      <c r="AO696" s="38"/>
      <c r="AP696" s="38"/>
      <c r="AQ696" s="38"/>
      <c r="AR696" s="17"/>
      <c r="AS696" s="1"/>
      <c r="AT696" s="17"/>
      <c r="AU696" s="1"/>
      <c r="AV696" s="17"/>
      <c r="AW696" s="1"/>
      <c r="AX696" s="2"/>
      <c r="AY696" s="1"/>
      <c r="AZ696" s="1"/>
    </row>
    <row x14ac:dyDescent="0.25" r="697" customHeight="1" ht="15">
      <c r="A697" s="1"/>
      <c r="B697" s="1"/>
      <c r="C697" s="1"/>
      <c r="D697" s="1"/>
      <c r="E697" s="1"/>
      <c r="F697" s="1"/>
      <c r="G697" s="1"/>
      <c r="H697" s="1"/>
      <c r="I697" s="1"/>
      <c r="J697" s="1"/>
      <c r="K697" s="17"/>
      <c r="L697" s="1"/>
      <c r="M697" s="1"/>
      <c r="N697" s="2"/>
      <c r="O697" s="2"/>
      <c r="P697" s="17"/>
      <c r="Q697" s="1"/>
      <c r="R697" s="1"/>
      <c r="S697" s="1"/>
      <c r="T697" s="38"/>
      <c r="U697" s="38"/>
      <c r="V697" s="38"/>
      <c r="W697" s="38"/>
      <c r="X697" s="38"/>
      <c r="Y697" s="38"/>
      <c r="Z697" s="38"/>
      <c r="AA697" s="122"/>
      <c r="AB697" s="122"/>
      <c r="AC697" s="122"/>
      <c r="AD697" s="122"/>
      <c r="AE697" s="122"/>
      <c r="AF697" s="122"/>
      <c r="AG697" s="122"/>
      <c r="AH697" s="122"/>
      <c r="AI697" s="122"/>
      <c r="AJ697" s="38"/>
      <c r="AK697" s="122"/>
      <c r="AL697" s="122"/>
      <c r="AM697" s="122"/>
      <c r="AN697" s="122"/>
      <c r="AO697" s="38"/>
      <c r="AP697" s="38"/>
      <c r="AQ697" s="38"/>
      <c r="AR697" s="17"/>
      <c r="AS697" s="1"/>
      <c r="AT697" s="17"/>
      <c r="AU697" s="1"/>
      <c r="AV697" s="17"/>
      <c r="AW697" s="1"/>
      <c r="AX697" s="2"/>
      <c r="AY697" s="1"/>
      <c r="AZ697" s="1"/>
    </row>
    <row x14ac:dyDescent="0.25" r="698" customHeight="1" ht="15">
      <c r="A698" s="1"/>
      <c r="B698" s="1"/>
      <c r="C698" s="1"/>
      <c r="D698" s="1"/>
      <c r="E698" s="1"/>
      <c r="F698" s="1"/>
      <c r="G698" s="1"/>
      <c r="H698" s="1"/>
      <c r="I698" s="1"/>
      <c r="J698" s="1"/>
      <c r="K698" s="17"/>
      <c r="L698" s="1"/>
      <c r="M698" s="1"/>
      <c r="N698" s="2"/>
      <c r="O698" s="2"/>
      <c r="P698" s="17"/>
      <c r="Q698" s="1"/>
      <c r="R698" s="1"/>
      <c r="S698" s="1"/>
      <c r="T698" s="38"/>
      <c r="U698" s="38"/>
      <c r="V698" s="38"/>
      <c r="W698" s="38"/>
      <c r="X698" s="38"/>
      <c r="Y698" s="38"/>
      <c r="Z698" s="38"/>
      <c r="AA698" s="122"/>
      <c r="AB698" s="122"/>
      <c r="AC698" s="122"/>
      <c r="AD698" s="122"/>
      <c r="AE698" s="122"/>
      <c r="AF698" s="122"/>
      <c r="AG698" s="122"/>
      <c r="AH698" s="122"/>
      <c r="AI698" s="122"/>
      <c r="AJ698" s="38"/>
      <c r="AK698" s="122"/>
      <c r="AL698" s="122"/>
      <c r="AM698" s="122"/>
      <c r="AN698" s="122"/>
      <c r="AO698" s="38"/>
      <c r="AP698" s="38"/>
      <c r="AQ698" s="38"/>
      <c r="AR698" s="17"/>
      <c r="AS698" s="1"/>
      <c r="AT698" s="17"/>
      <c r="AU698" s="1"/>
      <c r="AV698" s="17"/>
      <c r="AW698" s="1"/>
      <c r="AX698" s="2"/>
      <c r="AY698" s="1"/>
      <c r="AZ698" s="1"/>
    </row>
    <row x14ac:dyDescent="0.25" r="699" customHeight="1" ht="15">
      <c r="A699" s="1"/>
      <c r="B699" s="1"/>
      <c r="C699" s="1"/>
      <c r="D699" s="1"/>
      <c r="E699" s="1"/>
      <c r="F699" s="1"/>
      <c r="G699" s="1"/>
      <c r="H699" s="1"/>
      <c r="I699" s="1"/>
      <c r="J699" s="1"/>
      <c r="K699" s="17"/>
      <c r="L699" s="1"/>
      <c r="M699" s="1"/>
      <c r="N699" s="2"/>
      <c r="O699" s="2"/>
      <c r="P699" s="17"/>
      <c r="Q699" s="1"/>
      <c r="R699" s="1"/>
      <c r="S699" s="1"/>
      <c r="T699" s="38"/>
      <c r="U699" s="38"/>
      <c r="V699" s="38"/>
      <c r="W699" s="38"/>
      <c r="X699" s="38"/>
      <c r="Y699" s="38"/>
      <c r="Z699" s="38"/>
      <c r="AA699" s="122"/>
      <c r="AB699" s="122"/>
      <c r="AC699" s="122"/>
      <c r="AD699" s="122"/>
      <c r="AE699" s="122"/>
      <c r="AF699" s="122"/>
      <c r="AG699" s="122"/>
      <c r="AH699" s="122"/>
      <c r="AI699" s="122"/>
      <c r="AJ699" s="38"/>
      <c r="AK699" s="122"/>
      <c r="AL699" s="122"/>
      <c r="AM699" s="122"/>
      <c r="AN699" s="122"/>
      <c r="AO699" s="38"/>
      <c r="AP699" s="38"/>
      <c r="AQ699" s="38"/>
      <c r="AR699" s="17"/>
      <c r="AS699" s="1"/>
      <c r="AT699" s="17"/>
      <c r="AU699" s="1"/>
      <c r="AV699" s="17"/>
      <c r="AW699" s="1"/>
      <c r="AX699" s="2"/>
      <c r="AY699" s="1"/>
      <c r="AZ699" s="1"/>
    </row>
    <row x14ac:dyDescent="0.25" r="700" customHeight="1" ht="15">
      <c r="A700" s="1"/>
      <c r="B700" s="1"/>
      <c r="C700" s="1"/>
      <c r="D700" s="1"/>
      <c r="E700" s="1"/>
      <c r="F700" s="1"/>
      <c r="G700" s="1"/>
      <c r="H700" s="1"/>
      <c r="I700" s="1"/>
      <c r="J700" s="1"/>
      <c r="K700" s="17"/>
      <c r="L700" s="1"/>
      <c r="M700" s="1"/>
      <c r="N700" s="2"/>
      <c r="O700" s="2"/>
      <c r="P700" s="17"/>
      <c r="Q700" s="1"/>
      <c r="R700" s="1"/>
      <c r="S700" s="1"/>
      <c r="T700" s="38"/>
      <c r="U700" s="38"/>
      <c r="V700" s="38"/>
      <c r="W700" s="38"/>
      <c r="X700" s="38"/>
      <c r="Y700" s="38"/>
      <c r="Z700" s="38"/>
      <c r="AA700" s="122"/>
      <c r="AB700" s="122"/>
      <c r="AC700" s="122"/>
      <c r="AD700" s="122"/>
      <c r="AE700" s="122"/>
      <c r="AF700" s="122"/>
      <c r="AG700" s="122"/>
      <c r="AH700" s="122"/>
      <c r="AI700" s="122"/>
      <c r="AJ700" s="38"/>
      <c r="AK700" s="122"/>
      <c r="AL700" s="122"/>
      <c r="AM700" s="122"/>
      <c r="AN700" s="122"/>
      <c r="AO700" s="38"/>
      <c r="AP700" s="38"/>
      <c r="AQ700" s="38"/>
      <c r="AR700" s="17"/>
      <c r="AS700" s="1"/>
      <c r="AT700" s="17"/>
      <c r="AU700" s="1"/>
      <c r="AV700" s="17"/>
      <c r="AW700" s="1"/>
      <c r="AX700" s="2"/>
      <c r="AY700" s="1"/>
      <c r="AZ700" s="1"/>
    </row>
    <row x14ac:dyDescent="0.25" r="701" customHeight="1" ht="15">
      <c r="A701" s="1"/>
      <c r="B701" s="1"/>
      <c r="C701" s="1"/>
      <c r="D701" s="1"/>
      <c r="E701" s="1"/>
      <c r="F701" s="1"/>
      <c r="G701" s="1"/>
      <c r="H701" s="1"/>
      <c r="I701" s="1"/>
      <c r="J701" s="1"/>
      <c r="K701" s="17"/>
      <c r="L701" s="1"/>
      <c r="M701" s="1"/>
      <c r="N701" s="2"/>
      <c r="O701" s="2"/>
      <c r="P701" s="17"/>
      <c r="Q701" s="1"/>
      <c r="R701" s="1"/>
      <c r="S701" s="1"/>
      <c r="T701" s="38"/>
      <c r="U701" s="38"/>
      <c r="V701" s="38"/>
      <c r="W701" s="38"/>
      <c r="X701" s="38"/>
      <c r="Y701" s="38"/>
      <c r="Z701" s="38"/>
      <c r="AA701" s="122"/>
      <c r="AB701" s="122"/>
      <c r="AC701" s="122"/>
      <c r="AD701" s="122"/>
      <c r="AE701" s="122"/>
      <c r="AF701" s="122"/>
      <c r="AG701" s="122"/>
      <c r="AH701" s="122"/>
      <c r="AI701" s="122"/>
      <c r="AJ701" s="38"/>
      <c r="AK701" s="122"/>
      <c r="AL701" s="122"/>
      <c r="AM701" s="122"/>
      <c r="AN701" s="122"/>
      <c r="AO701" s="38"/>
      <c r="AP701" s="38"/>
      <c r="AQ701" s="38"/>
      <c r="AR701" s="17"/>
      <c r="AS701" s="1"/>
      <c r="AT701" s="17"/>
      <c r="AU701" s="1"/>
      <c r="AV701" s="17"/>
      <c r="AW701" s="1"/>
      <c r="AX701" s="2"/>
      <c r="AY701" s="1"/>
      <c r="AZ701" s="1"/>
    </row>
    <row x14ac:dyDescent="0.25" r="702" customHeight="1" ht="15">
      <c r="A702" s="1"/>
      <c r="B702" s="1"/>
      <c r="C702" s="1"/>
      <c r="D702" s="1"/>
      <c r="E702" s="1"/>
      <c r="F702" s="1"/>
      <c r="G702" s="1"/>
      <c r="H702" s="1"/>
      <c r="I702" s="1"/>
      <c r="J702" s="1"/>
      <c r="K702" s="17"/>
      <c r="L702" s="1"/>
      <c r="M702" s="1"/>
      <c r="N702" s="2"/>
      <c r="O702" s="2"/>
      <c r="P702" s="17"/>
      <c r="Q702" s="1"/>
      <c r="R702" s="1"/>
      <c r="S702" s="1"/>
      <c r="T702" s="38"/>
      <c r="U702" s="38"/>
      <c r="V702" s="38"/>
      <c r="W702" s="38"/>
      <c r="X702" s="38"/>
      <c r="Y702" s="38"/>
      <c r="Z702" s="38"/>
      <c r="AA702" s="122"/>
      <c r="AB702" s="122"/>
      <c r="AC702" s="122"/>
      <c r="AD702" s="122"/>
      <c r="AE702" s="122"/>
      <c r="AF702" s="122"/>
      <c r="AG702" s="122"/>
      <c r="AH702" s="122"/>
      <c r="AI702" s="122"/>
      <c r="AJ702" s="38"/>
      <c r="AK702" s="122"/>
      <c r="AL702" s="122"/>
      <c r="AM702" s="122"/>
      <c r="AN702" s="122"/>
      <c r="AO702" s="38"/>
      <c r="AP702" s="38"/>
      <c r="AQ702" s="38"/>
      <c r="AR702" s="17"/>
      <c r="AS702" s="1"/>
      <c r="AT702" s="17"/>
      <c r="AU702" s="1"/>
      <c r="AV702" s="17"/>
      <c r="AW702" s="1"/>
      <c r="AX702" s="2"/>
      <c r="AY702" s="1"/>
      <c r="AZ702" s="1"/>
    </row>
    <row x14ac:dyDescent="0.25" r="703" customHeight="1" ht="15">
      <c r="A703" s="1"/>
      <c r="B703" s="1"/>
      <c r="C703" s="1"/>
      <c r="D703" s="1"/>
      <c r="E703" s="1"/>
      <c r="F703" s="1"/>
      <c r="G703" s="1"/>
      <c r="H703" s="1"/>
      <c r="I703" s="1"/>
      <c r="J703" s="1"/>
      <c r="K703" s="17"/>
      <c r="L703" s="1"/>
      <c r="M703" s="1"/>
      <c r="N703" s="2"/>
      <c r="O703" s="2"/>
      <c r="P703" s="17"/>
      <c r="Q703" s="1"/>
      <c r="R703" s="1"/>
      <c r="S703" s="1"/>
      <c r="T703" s="38"/>
      <c r="U703" s="38"/>
      <c r="V703" s="38"/>
      <c r="W703" s="38"/>
      <c r="X703" s="38"/>
      <c r="Y703" s="38"/>
      <c r="Z703" s="38"/>
      <c r="AA703" s="122"/>
      <c r="AB703" s="122"/>
      <c r="AC703" s="122"/>
      <c r="AD703" s="122"/>
      <c r="AE703" s="122"/>
      <c r="AF703" s="122"/>
      <c r="AG703" s="122"/>
      <c r="AH703" s="122"/>
      <c r="AI703" s="122"/>
      <c r="AJ703" s="38"/>
      <c r="AK703" s="122"/>
      <c r="AL703" s="122"/>
      <c r="AM703" s="122"/>
      <c r="AN703" s="122"/>
      <c r="AO703" s="38"/>
      <c r="AP703" s="38"/>
      <c r="AQ703" s="38"/>
      <c r="AR703" s="17"/>
      <c r="AS703" s="1"/>
      <c r="AT703" s="17"/>
      <c r="AU703" s="1"/>
      <c r="AV703" s="17"/>
      <c r="AW703" s="1"/>
      <c r="AX703" s="2"/>
      <c r="AY703" s="1"/>
      <c r="AZ703" s="1"/>
    </row>
    <row x14ac:dyDescent="0.25" r="704" customHeight="1" ht="15">
      <c r="A704" s="1"/>
      <c r="B704" s="1"/>
      <c r="C704" s="1"/>
      <c r="D704" s="1"/>
      <c r="E704" s="1"/>
      <c r="F704" s="1"/>
      <c r="G704" s="1"/>
      <c r="H704" s="1"/>
      <c r="I704" s="1"/>
      <c r="J704" s="1"/>
      <c r="K704" s="17"/>
      <c r="L704" s="1"/>
      <c r="M704" s="1"/>
      <c r="N704" s="2"/>
      <c r="O704" s="2"/>
      <c r="P704" s="17"/>
      <c r="Q704" s="1"/>
      <c r="R704" s="1"/>
      <c r="S704" s="1"/>
      <c r="T704" s="38"/>
      <c r="U704" s="38"/>
      <c r="V704" s="38"/>
      <c r="W704" s="38"/>
      <c r="X704" s="38"/>
      <c r="Y704" s="38"/>
      <c r="Z704" s="38"/>
      <c r="AA704" s="122"/>
      <c r="AB704" s="122"/>
      <c r="AC704" s="122"/>
      <c r="AD704" s="122"/>
      <c r="AE704" s="122"/>
      <c r="AF704" s="122"/>
      <c r="AG704" s="122"/>
      <c r="AH704" s="122"/>
      <c r="AI704" s="122"/>
      <c r="AJ704" s="38"/>
      <c r="AK704" s="122"/>
      <c r="AL704" s="122"/>
      <c r="AM704" s="122"/>
      <c r="AN704" s="122"/>
      <c r="AO704" s="38"/>
      <c r="AP704" s="38"/>
      <c r="AQ704" s="38"/>
      <c r="AR704" s="17"/>
      <c r="AS704" s="1"/>
      <c r="AT704" s="17"/>
      <c r="AU704" s="1"/>
      <c r="AV704" s="17"/>
      <c r="AW704" s="1"/>
      <c r="AX704" s="2"/>
      <c r="AY704" s="1"/>
      <c r="AZ704" s="1"/>
    </row>
    <row x14ac:dyDescent="0.25" r="705" customHeight="1" ht="15">
      <c r="A705" s="1"/>
      <c r="B705" s="1"/>
      <c r="C705" s="1"/>
      <c r="D705" s="1"/>
      <c r="E705" s="1"/>
      <c r="F705" s="1"/>
      <c r="G705" s="1"/>
      <c r="H705" s="1"/>
      <c r="I705" s="1"/>
      <c r="J705" s="1"/>
      <c r="K705" s="17"/>
      <c r="L705" s="1"/>
      <c r="M705" s="1"/>
      <c r="N705" s="2"/>
      <c r="O705" s="2"/>
      <c r="P705" s="17"/>
      <c r="Q705" s="1"/>
      <c r="R705" s="1"/>
      <c r="S705" s="1"/>
      <c r="T705" s="38"/>
      <c r="U705" s="38"/>
      <c r="V705" s="38"/>
      <c r="W705" s="38"/>
      <c r="X705" s="38"/>
      <c r="Y705" s="38"/>
      <c r="Z705" s="38"/>
      <c r="AA705" s="122"/>
      <c r="AB705" s="122"/>
      <c r="AC705" s="122"/>
      <c r="AD705" s="122"/>
      <c r="AE705" s="122"/>
      <c r="AF705" s="122"/>
      <c r="AG705" s="122"/>
      <c r="AH705" s="122"/>
      <c r="AI705" s="122"/>
      <c r="AJ705" s="38"/>
      <c r="AK705" s="122"/>
      <c r="AL705" s="122"/>
      <c r="AM705" s="122"/>
      <c r="AN705" s="122"/>
      <c r="AO705" s="38"/>
      <c r="AP705" s="38"/>
      <c r="AQ705" s="38"/>
      <c r="AR705" s="17"/>
      <c r="AS705" s="1"/>
      <c r="AT705" s="17"/>
      <c r="AU705" s="1"/>
      <c r="AV705" s="17"/>
      <c r="AW705" s="1"/>
      <c r="AX705" s="2"/>
      <c r="AY705" s="1"/>
      <c r="AZ705" s="1"/>
    </row>
    <row x14ac:dyDescent="0.25" r="706" customHeight="1" ht="15">
      <c r="A706" s="1"/>
      <c r="B706" s="1"/>
      <c r="C706" s="1"/>
      <c r="D706" s="1"/>
      <c r="E706" s="1"/>
      <c r="F706" s="1"/>
      <c r="G706" s="1"/>
      <c r="H706" s="1"/>
      <c r="I706" s="1"/>
      <c r="J706" s="1"/>
      <c r="K706" s="17"/>
      <c r="L706" s="1"/>
      <c r="M706" s="1"/>
      <c r="N706" s="2"/>
      <c r="O706" s="2"/>
      <c r="P706" s="17"/>
      <c r="Q706" s="1"/>
      <c r="R706" s="1"/>
      <c r="S706" s="1"/>
      <c r="T706" s="38"/>
      <c r="U706" s="38"/>
      <c r="V706" s="38"/>
      <c r="W706" s="38"/>
      <c r="X706" s="38"/>
      <c r="Y706" s="38"/>
      <c r="Z706" s="38"/>
      <c r="AA706" s="122"/>
      <c r="AB706" s="122"/>
      <c r="AC706" s="122"/>
      <c r="AD706" s="122"/>
      <c r="AE706" s="122"/>
      <c r="AF706" s="122"/>
      <c r="AG706" s="122"/>
      <c r="AH706" s="122"/>
      <c r="AI706" s="122"/>
      <c r="AJ706" s="38"/>
      <c r="AK706" s="122"/>
      <c r="AL706" s="122"/>
      <c r="AM706" s="122"/>
      <c r="AN706" s="122"/>
      <c r="AO706" s="38"/>
      <c r="AP706" s="38"/>
      <c r="AQ706" s="38"/>
      <c r="AR706" s="17"/>
      <c r="AS706" s="1"/>
      <c r="AT706" s="17"/>
      <c r="AU706" s="1"/>
      <c r="AV706" s="17"/>
      <c r="AW706" s="1"/>
      <c r="AX706" s="2"/>
      <c r="AY706" s="1"/>
      <c r="AZ706" s="1"/>
    </row>
    <row x14ac:dyDescent="0.25" r="707" customHeight="1" ht="15">
      <c r="A707" s="1"/>
      <c r="B707" s="1"/>
      <c r="C707" s="1"/>
      <c r="D707" s="1"/>
      <c r="E707" s="1"/>
      <c r="F707" s="1"/>
      <c r="G707" s="1"/>
      <c r="H707" s="1"/>
      <c r="I707" s="1"/>
      <c r="J707" s="1"/>
      <c r="K707" s="17"/>
      <c r="L707" s="1"/>
      <c r="M707" s="1"/>
      <c r="N707" s="2"/>
      <c r="O707" s="2"/>
      <c r="P707" s="17"/>
      <c r="Q707" s="1"/>
      <c r="R707" s="1"/>
      <c r="S707" s="1"/>
      <c r="T707" s="38"/>
      <c r="U707" s="38"/>
      <c r="V707" s="38"/>
      <c r="W707" s="38"/>
      <c r="X707" s="38"/>
      <c r="Y707" s="38"/>
      <c r="Z707" s="38"/>
      <c r="AA707" s="122"/>
      <c r="AB707" s="122"/>
      <c r="AC707" s="122"/>
      <c r="AD707" s="122"/>
      <c r="AE707" s="122"/>
      <c r="AF707" s="122"/>
      <c r="AG707" s="122"/>
      <c r="AH707" s="122"/>
      <c r="AI707" s="122"/>
      <c r="AJ707" s="38"/>
      <c r="AK707" s="122"/>
      <c r="AL707" s="122"/>
      <c r="AM707" s="122"/>
      <c r="AN707" s="122"/>
      <c r="AO707" s="38"/>
      <c r="AP707" s="38"/>
      <c r="AQ707" s="38"/>
      <c r="AR707" s="17"/>
      <c r="AS707" s="1"/>
      <c r="AT707" s="17"/>
      <c r="AU707" s="1"/>
      <c r="AV707" s="17"/>
      <c r="AW707" s="1"/>
      <c r="AX707" s="2"/>
      <c r="AY707" s="1"/>
      <c r="AZ707" s="1"/>
    </row>
    <row x14ac:dyDescent="0.25" r="708" customHeight="1" ht="15">
      <c r="A708" s="1"/>
      <c r="B708" s="1"/>
      <c r="C708" s="1"/>
      <c r="D708" s="1"/>
      <c r="E708" s="1"/>
      <c r="F708" s="1"/>
      <c r="G708" s="1"/>
      <c r="H708" s="1"/>
      <c r="I708" s="1"/>
      <c r="J708" s="1"/>
      <c r="K708" s="17"/>
      <c r="L708" s="1"/>
      <c r="M708" s="1"/>
      <c r="N708" s="2"/>
      <c r="O708" s="2"/>
      <c r="P708" s="17"/>
      <c r="Q708" s="1"/>
      <c r="R708" s="1"/>
      <c r="S708" s="1"/>
      <c r="T708" s="38"/>
      <c r="U708" s="38"/>
      <c r="V708" s="38"/>
      <c r="W708" s="38"/>
      <c r="X708" s="38"/>
      <c r="Y708" s="38"/>
      <c r="Z708" s="38"/>
      <c r="AA708" s="122"/>
      <c r="AB708" s="122"/>
      <c r="AC708" s="122"/>
      <c r="AD708" s="122"/>
      <c r="AE708" s="122"/>
      <c r="AF708" s="122"/>
      <c r="AG708" s="122"/>
      <c r="AH708" s="122"/>
      <c r="AI708" s="122"/>
      <c r="AJ708" s="38"/>
      <c r="AK708" s="122"/>
      <c r="AL708" s="122"/>
      <c r="AM708" s="122"/>
      <c r="AN708" s="122"/>
      <c r="AO708" s="38"/>
      <c r="AP708" s="38"/>
      <c r="AQ708" s="38"/>
      <c r="AR708" s="17"/>
      <c r="AS708" s="1"/>
      <c r="AT708" s="17"/>
      <c r="AU708" s="1"/>
      <c r="AV708" s="17"/>
      <c r="AW708" s="1"/>
      <c r="AX708" s="2"/>
      <c r="AY708" s="1"/>
      <c r="AZ708" s="1"/>
    </row>
    <row x14ac:dyDescent="0.25" r="709" customHeight="1" ht="15">
      <c r="A709" s="1"/>
      <c r="B709" s="1"/>
      <c r="C709" s="1"/>
      <c r="D709" s="1"/>
      <c r="E709" s="1"/>
      <c r="F709" s="1"/>
      <c r="G709" s="1"/>
      <c r="H709" s="1"/>
      <c r="I709" s="1"/>
      <c r="J709" s="1"/>
      <c r="K709" s="17"/>
      <c r="L709" s="1"/>
      <c r="M709" s="1"/>
      <c r="N709" s="2"/>
      <c r="O709" s="2"/>
      <c r="P709" s="17"/>
      <c r="Q709" s="1"/>
      <c r="R709" s="1"/>
      <c r="S709" s="1"/>
      <c r="T709" s="38"/>
      <c r="U709" s="38"/>
      <c r="V709" s="38"/>
      <c r="W709" s="38"/>
      <c r="X709" s="38"/>
      <c r="Y709" s="38"/>
      <c r="Z709" s="38"/>
      <c r="AA709" s="122"/>
      <c r="AB709" s="122"/>
      <c r="AC709" s="122"/>
      <c r="AD709" s="122"/>
      <c r="AE709" s="122"/>
      <c r="AF709" s="122"/>
      <c r="AG709" s="122"/>
      <c r="AH709" s="122"/>
      <c r="AI709" s="122"/>
      <c r="AJ709" s="38"/>
      <c r="AK709" s="122"/>
      <c r="AL709" s="122"/>
      <c r="AM709" s="122"/>
      <c r="AN709" s="122"/>
      <c r="AO709" s="38"/>
      <c r="AP709" s="38"/>
      <c r="AQ709" s="38"/>
      <c r="AR709" s="17"/>
      <c r="AS709" s="1"/>
      <c r="AT709" s="17"/>
      <c r="AU709" s="1"/>
      <c r="AV709" s="17"/>
      <c r="AW709" s="1"/>
      <c r="AX709" s="2"/>
      <c r="AY709" s="1"/>
      <c r="AZ709" s="1"/>
    </row>
    <row x14ac:dyDescent="0.25" r="710" customHeight="1" ht="15">
      <c r="A710" s="1"/>
      <c r="B710" s="1"/>
      <c r="C710" s="1"/>
      <c r="D710" s="1"/>
      <c r="E710" s="1"/>
      <c r="F710" s="1"/>
      <c r="G710" s="1"/>
      <c r="H710" s="1"/>
      <c r="I710" s="1"/>
      <c r="J710" s="1"/>
      <c r="K710" s="17"/>
      <c r="L710" s="1"/>
      <c r="M710" s="1"/>
      <c r="N710" s="2"/>
      <c r="O710" s="2"/>
      <c r="P710" s="17"/>
      <c r="Q710" s="1"/>
      <c r="R710" s="1"/>
      <c r="S710" s="1"/>
      <c r="T710" s="38"/>
      <c r="U710" s="38"/>
      <c r="V710" s="38"/>
      <c r="W710" s="38"/>
      <c r="X710" s="38"/>
      <c r="Y710" s="38"/>
      <c r="Z710" s="38"/>
      <c r="AA710" s="122"/>
      <c r="AB710" s="122"/>
      <c r="AC710" s="122"/>
      <c r="AD710" s="122"/>
      <c r="AE710" s="122"/>
      <c r="AF710" s="122"/>
      <c r="AG710" s="122"/>
      <c r="AH710" s="122"/>
      <c r="AI710" s="122"/>
      <c r="AJ710" s="38"/>
      <c r="AK710" s="122"/>
      <c r="AL710" s="122"/>
      <c r="AM710" s="122"/>
      <c r="AN710" s="122"/>
      <c r="AO710" s="38"/>
      <c r="AP710" s="38"/>
      <c r="AQ710" s="38"/>
      <c r="AR710" s="17"/>
      <c r="AS710" s="1"/>
      <c r="AT710" s="17"/>
      <c r="AU710" s="1"/>
      <c r="AV710" s="17"/>
      <c r="AW710" s="1"/>
      <c r="AX710" s="2"/>
      <c r="AY710" s="1"/>
      <c r="AZ710" s="1"/>
    </row>
    <row x14ac:dyDescent="0.25" r="711" customHeight="1" ht="15">
      <c r="A711" s="1"/>
      <c r="B711" s="1"/>
      <c r="C711" s="1"/>
      <c r="D711" s="1"/>
      <c r="E711" s="1"/>
      <c r="F711" s="1"/>
      <c r="G711" s="1"/>
      <c r="H711" s="1"/>
      <c r="I711" s="1"/>
      <c r="J711" s="1"/>
      <c r="K711" s="17"/>
      <c r="L711" s="1"/>
      <c r="M711" s="1"/>
      <c r="N711" s="2"/>
      <c r="O711" s="2"/>
      <c r="P711" s="17"/>
      <c r="Q711" s="1"/>
      <c r="R711" s="1"/>
      <c r="S711" s="1"/>
      <c r="T711" s="38"/>
      <c r="U711" s="38"/>
      <c r="V711" s="38"/>
      <c r="W711" s="38"/>
      <c r="X711" s="38"/>
      <c r="Y711" s="38"/>
      <c r="Z711" s="38"/>
      <c r="AA711" s="122"/>
      <c r="AB711" s="122"/>
      <c r="AC711" s="122"/>
      <c r="AD711" s="122"/>
      <c r="AE711" s="122"/>
      <c r="AF711" s="122"/>
      <c r="AG711" s="122"/>
      <c r="AH711" s="122"/>
      <c r="AI711" s="122"/>
      <c r="AJ711" s="38"/>
      <c r="AK711" s="122"/>
      <c r="AL711" s="122"/>
      <c r="AM711" s="122"/>
      <c r="AN711" s="122"/>
      <c r="AO711" s="38"/>
      <c r="AP711" s="38"/>
      <c r="AQ711" s="38"/>
      <c r="AR711" s="17"/>
      <c r="AS711" s="1"/>
      <c r="AT711" s="17"/>
      <c r="AU711" s="1"/>
      <c r="AV711" s="17"/>
      <c r="AW711" s="1"/>
      <c r="AX711" s="2"/>
      <c r="AY711" s="1"/>
      <c r="AZ711" s="1"/>
    </row>
    <row x14ac:dyDescent="0.25" r="712" customHeight="1" ht="15">
      <c r="A712" s="1"/>
      <c r="B712" s="1"/>
      <c r="C712" s="1"/>
      <c r="D712" s="1"/>
      <c r="E712" s="1"/>
      <c r="F712" s="1"/>
      <c r="G712" s="1"/>
      <c r="H712" s="1"/>
      <c r="I712" s="1"/>
      <c r="J712" s="1"/>
      <c r="K712" s="17"/>
      <c r="L712" s="1"/>
      <c r="M712" s="1"/>
      <c r="N712" s="2"/>
      <c r="O712" s="2"/>
      <c r="P712" s="17"/>
      <c r="Q712" s="1"/>
      <c r="R712" s="1"/>
      <c r="S712" s="1"/>
      <c r="T712" s="38"/>
      <c r="U712" s="38"/>
      <c r="V712" s="38"/>
      <c r="W712" s="38"/>
      <c r="X712" s="38"/>
      <c r="Y712" s="38"/>
      <c r="Z712" s="38"/>
      <c r="AA712" s="122"/>
      <c r="AB712" s="122"/>
      <c r="AC712" s="122"/>
      <c r="AD712" s="122"/>
      <c r="AE712" s="122"/>
      <c r="AF712" s="122"/>
      <c r="AG712" s="122"/>
      <c r="AH712" s="122"/>
      <c r="AI712" s="122"/>
      <c r="AJ712" s="38"/>
      <c r="AK712" s="122"/>
      <c r="AL712" s="122"/>
      <c r="AM712" s="122"/>
      <c r="AN712" s="122"/>
      <c r="AO712" s="38"/>
      <c r="AP712" s="38"/>
      <c r="AQ712" s="38"/>
      <c r="AR712" s="17"/>
      <c r="AS712" s="1"/>
      <c r="AT712" s="17"/>
      <c r="AU712" s="1"/>
      <c r="AV712" s="17"/>
      <c r="AW712" s="1"/>
      <c r="AX712" s="2"/>
      <c r="AY712" s="1"/>
      <c r="AZ712" s="1"/>
    </row>
    <row x14ac:dyDescent="0.25" r="713" customHeight="1" ht="15">
      <c r="A713" s="1"/>
      <c r="B713" s="1"/>
      <c r="C713" s="1"/>
      <c r="D713" s="1"/>
      <c r="E713" s="1"/>
      <c r="F713" s="1"/>
      <c r="G713" s="1"/>
      <c r="H713" s="1"/>
      <c r="I713" s="1"/>
      <c r="J713" s="1"/>
      <c r="K713" s="17"/>
      <c r="L713" s="1"/>
      <c r="M713" s="1"/>
      <c r="N713" s="2"/>
      <c r="O713" s="2"/>
      <c r="P713" s="17"/>
      <c r="Q713" s="1"/>
      <c r="R713" s="1"/>
      <c r="S713" s="1"/>
      <c r="T713" s="38"/>
      <c r="U713" s="38"/>
      <c r="V713" s="38"/>
      <c r="W713" s="38"/>
      <c r="X713" s="38"/>
      <c r="Y713" s="38"/>
      <c r="Z713" s="38"/>
      <c r="AA713" s="122"/>
      <c r="AB713" s="122"/>
      <c r="AC713" s="122"/>
      <c r="AD713" s="122"/>
      <c r="AE713" s="122"/>
      <c r="AF713" s="122"/>
      <c r="AG713" s="122"/>
      <c r="AH713" s="122"/>
      <c r="AI713" s="122"/>
      <c r="AJ713" s="38"/>
      <c r="AK713" s="122"/>
      <c r="AL713" s="122"/>
      <c r="AM713" s="122"/>
      <c r="AN713" s="122"/>
      <c r="AO713" s="38"/>
      <c r="AP713" s="38"/>
      <c r="AQ713" s="38"/>
      <c r="AR713" s="17"/>
      <c r="AS713" s="1"/>
      <c r="AT713" s="17"/>
      <c r="AU713" s="1"/>
      <c r="AV713" s="17"/>
      <c r="AW713" s="1"/>
      <c r="AX713" s="2"/>
      <c r="AY713" s="1"/>
      <c r="AZ713" s="1"/>
    </row>
    <row x14ac:dyDescent="0.25" r="714" customHeight="1" ht="15">
      <c r="A714" s="1"/>
      <c r="B714" s="1"/>
      <c r="C714" s="1"/>
      <c r="D714" s="1"/>
      <c r="E714" s="1"/>
      <c r="F714" s="1"/>
      <c r="G714" s="1"/>
      <c r="H714" s="1"/>
      <c r="I714" s="1"/>
      <c r="J714" s="1"/>
      <c r="K714" s="17"/>
      <c r="L714" s="1"/>
      <c r="M714" s="1"/>
      <c r="N714" s="2"/>
      <c r="O714" s="2"/>
      <c r="P714" s="17"/>
      <c r="Q714" s="1"/>
      <c r="R714" s="1"/>
      <c r="S714" s="1"/>
      <c r="T714" s="38"/>
      <c r="U714" s="38"/>
      <c r="V714" s="38"/>
      <c r="W714" s="38"/>
      <c r="X714" s="38"/>
      <c r="Y714" s="38"/>
      <c r="Z714" s="38"/>
      <c r="AA714" s="122"/>
      <c r="AB714" s="122"/>
      <c r="AC714" s="122"/>
      <c r="AD714" s="122"/>
      <c r="AE714" s="122"/>
      <c r="AF714" s="122"/>
      <c r="AG714" s="122"/>
      <c r="AH714" s="122"/>
      <c r="AI714" s="122"/>
      <c r="AJ714" s="38"/>
      <c r="AK714" s="122"/>
      <c r="AL714" s="122"/>
      <c r="AM714" s="122"/>
      <c r="AN714" s="122"/>
      <c r="AO714" s="38"/>
      <c r="AP714" s="38"/>
      <c r="AQ714" s="38"/>
      <c r="AR714" s="17"/>
      <c r="AS714" s="1"/>
      <c r="AT714" s="17"/>
      <c r="AU714" s="1"/>
      <c r="AV714" s="17"/>
      <c r="AW714" s="1"/>
      <c r="AX714" s="2"/>
      <c r="AY714" s="1"/>
      <c r="AZ714" s="1"/>
    </row>
    <row x14ac:dyDescent="0.25" r="715" customHeight="1" ht="15">
      <c r="A715" s="1"/>
      <c r="B715" s="1"/>
      <c r="C715" s="1"/>
      <c r="D715" s="1"/>
      <c r="E715" s="1"/>
      <c r="F715" s="1"/>
      <c r="G715" s="1"/>
      <c r="H715" s="1"/>
      <c r="I715" s="1"/>
      <c r="J715" s="1"/>
      <c r="K715" s="17"/>
      <c r="L715" s="1"/>
      <c r="M715" s="1"/>
      <c r="N715" s="2"/>
      <c r="O715" s="2"/>
      <c r="P715" s="17"/>
      <c r="Q715" s="1"/>
      <c r="R715" s="1"/>
      <c r="S715" s="1"/>
      <c r="T715" s="38"/>
      <c r="U715" s="38"/>
      <c r="V715" s="38"/>
      <c r="W715" s="38"/>
      <c r="X715" s="38"/>
      <c r="Y715" s="38"/>
      <c r="Z715" s="38"/>
      <c r="AA715" s="122"/>
      <c r="AB715" s="122"/>
      <c r="AC715" s="122"/>
      <c r="AD715" s="122"/>
      <c r="AE715" s="122"/>
      <c r="AF715" s="122"/>
      <c r="AG715" s="122"/>
      <c r="AH715" s="122"/>
      <c r="AI715" s="122"/>
      <c r="AJ715" s="38"/>
      <c r="AK715" s="122"/>
      <c r="AL715" s="122"/>
      <c r="AM715" s="122"/>
      <c r="AN715" s="122"/>
      <c r="AO715" s="38"/>
      <c r="AP715" s="38"/>
      <c r="AQ715" s="38"/>
      <c r="AR715" s="17"/>
      <c r="AS715" s="1"/>
      <c r="AT715" s="17"/>
      <c r="AU715" s="1"/>
      <c r="AV715" s="17"/>
      <c r="AW715" s="1"/>
      <c r="AX715" s="2"/>
      <c r="AY715" s="1"/>
      <c r="AZ715" s="1"/>
    </row>
    <row x14ac:dyDescent="0.25" r="716" customHeight="1" ht="15">
      <c r="A716" s="1"/>
      <c r="B716" s="1"/>
      <c r="C716" s="1"/>
      <c r="D716" s="1"/>
      <c r="E716" s="1"/>
      <c r="F716" s="1"/>
      <c r="G716" s="1"/>
      <c r="H716" s="1"/>
      <c r="I716" s="1"/>
      <c r="J716" s="1"/>
      <c r="K716" s="17"/>
      <c r="L716" s="1"/>
      <c r="M716" s="1"/>
      <c r="N716" s="2"/>
      <c r="O716" s="2"/>
      <c r="P716" s="17"/>
      <c r="Q716" s="1"/>
      <c r="R716" s="1"/>
      <c r="S716" s="1"/>
      <c r="T716" s="38"/>
      <c r="U716" s="38"/>
      <c r="V716" s="38"/>
      <c r="W716" s="38"/>
      <c r="X716" s="38"/>
      <c r="Y716" s="38"/>
      <c r="Z716" s="38"/>
      <c r="AA716" s="122"/>
      <c r="AB716" s="122"/>
      <c r="AC716" s="122"/>
      <c r="AD716" s="122"/>
      <c r="AE716" s="122"/>
      <c r="AF716" s="122"/>
      <c r="AG716" s="122"/>
      <c r="AH716" s="122"/>
      <c r="AI716" s="122"/>
      <c r="AJ716" s="38"/>
      <c r="AK716" s="122"/>
      <c r="AL716" s="122"/>
      <c r="AM716" s="122"/>
      <c r="AN716" s="122"/>
      <c r="AO716" s="38"/>
      <c r="AP716" s="38"/>
      <c r="AQ716" s="38"/>
      <c r="AR716" s="17"/>
      <c r="AS716" s="1"/>
      <c r="AT716" s="17"/>
      <c r="AU716" s="1"/>
      <c r="AV716" s="17"/>
      <c r="AW716" s="1"/>
      <c r="AX716" s="2"/>
      <c r="AY716" s="1"/>
      <c r="AZ716" s="1"/>
    </row>
    <row x14ac:dyDescent="0.25" r="717" customHeight="1" ht="15">
      <c r="A717" s="1"/>
      <c r="B717" s="1"/>
      <c r="C717" s="1"/>
      <c r="D717" s="1"/>
      <c r="E717" s="1"/>
      <c r="F717" s="1"/>
      <c r="G717" s="1"/>
      <c r="H717" s="1"/>
      <c r="I717" s="1"/>
      <c r="J717" s="1"/>
      <c r="K717" s="17"/>
      <c r="L717" s="1"/>
      <c r="M717" s="1"/>
      <c r="N717" s="2"/>
      <c r="O717" s="2"/>
      <c r="P717" s="17"/>
      <c r="Q717" s="1"/>
      <c r="R717" s="1"/>
      <c r="S717" s="1"/>
      <c r="T717" s="38"/>
      <c r="U717" s="38"/>
      <c r="V717" s="38"/>
      <c r="W717" s="38"/>
      <c r="X717" s="38"/>
      <c r="Y717" s="38"/>
      <c r="Z717" s="38"/>
      <c r="AA717" s="122"/>
      <c r="AB717" s="122"/>
      <c r="AC717" s="122"/>
      <c r="AD717" s="122"/>
      <c r="AE717" s="122"/>
      <c r="AF717" s="122"/>
      <c r="AG717" s="122"/>
      <c r="AH717" s="122"/>
      <c r="AI717" s="122"/>
      <c r="AJ717" s="38"/>
      <c r="AK717" s="122"/>
      <c r="AL717" s="122"/>
      <c r="AM717" s="122"/>
      <c r="AN717" s="122"/>
      <c r="AO717" s="38"/>
      <c r="AP717" s="38"/>
      <c r="AQ717" s="38"/>
      <c r="AR717" s="17"/>
      <c r="AS717" s="1"/>
      <c r="AT717" s="17"/>
      <c r="AU717" s="1"/>
      <c r="AV717" s="17"/>
      <c r="AW717" s="1"/>
      <c r="AX717" s="2"/>
      <c r="AY717" s="1"/>
      <c r="AZ717" s="1"/>
    </row>
    <row x14ac:dyDescent="0.25" r="718" customHeight="1" ht="15">
      <c r="A718" s="1"/>
      <c r="B718" s="1"/>
      <c r="C718" s="1"/>
      <c r="D718" s="1"/>
      <c r="E718" s="1"/>
      <c r="F718" s="1"/>
      <c r="G718" s="1"/>
      <c r="H718" s="1"/>
      <c r="I718" s="1"/>
      <c r="J718" s="1"/>
      <c r="K718" s="17"/>
      <c r="L718" s="1"/>
      <c r="M718" s="1"/>
      <c r="N718" s="2"/>
      <c r="O718" s="2"/>
      <c r="P718" s="17"/>
      <c r="Q718" s="1"/>
      <c r="R718" s="1"/>
      <c r="S718" s="1"/>
      <c r="T718" s="38"/>
      <c r="U718" s="38"/>
      <c r="V718" s="38"/>
      <c r="W718" s="38"/>
      <c r="X718" s="38"/>
      <c r="Y718" s="38"/>
      <c r="Z718" s="38"/>
      <c r="AA718" s="122"/>
      <c r="AB718" s="122"/>
      <c r="AC718" s="122"/>
      <c r="AD718" s="122"/>
      <c r="AE718" s="122"/>
      <c r="AF718" s="122"/>
      <c r="AG718" s="122"/>
      <c r="AH718" s="122"/>
      <c r="AI718" s="122"/>
      <c r="AJ718" s="38"/>
      <c r="AK718" s="122"/>
      <c r="AL718" s="122"/>
      <c r="AM718" s="122"/>
      <c r="AN718" s="122"/>
      <c r="AO718" s="38"/>
      <c r="AP718" s="38"/>
      <c r="AQ718" s="38"/>
      <c r="AR718" s="17"/>
      <c r="AS718" s="1"/>
      <c r="AT718" s="17"/>
      <c r="AU718" s="1"/>
      <c r="AV718" s="17"/>
      <c r="AW718" s="1"/>
      <c r="AX718" s="2"/>
      <c r="AY718" s="1"/>
      <c r="AZ718" s="1"/>
    </row>
    <row x14ac:dyDescent="0.25" r="719" customHeight="1" ht="15">
      <c r="A719" s="1"/>
      <c r="B719" s="1"/>
      <c r="C719" s="1"/>
      <c r="D719" s="1"/>
      <c r="E719" s="1"/>
      <c r="F719" s="1"/>
      <c r="G719" s="1"/>
      <c r="H719" s="1"/>
      <c r="I719" s="1"/>
      <c r="J719" s="1"/>
      <c r="K719" s="17"/>
      <c r="L719" s="1"/>
      <c r="M719" s="1"/>
      <c r="N719" s="2"/>
      <c r="O719" s="2"/>
      <c r="P719" s="17"/>
      <c r="Q719" s="1"/>
      <c r="R719" s="1"/>
      <c r="S719" s="1"/>
      <c r="T719" s="38"/>
      <c r="U719" s="38"/>
      <c r="V719" s="38"/>
      <c r="W719" s="38"/>
      <c r="X719" s="38"/>
      <c r="Y719" s="38"/>
      <c r="Z719" s="38"/>
      <c r="AA719" s="122"/>
      <c r="AB719" s="122"/>
      <c r="AC719" s="122"/>
      <c r="AD719" s="122"/>
      <c r="AE719" s="122"/>
      <c r="AF719" s="122"/>
      <c r="AG719" s="122"/>
      <c r="AH719" s="122"/>
      <c r="AI719" s="122"/>
      <c r="AJ719" s="38"/>
      <c r="AK719" s="122"/>
      <c r="AL719" s="122"/>
      <c r="AM719" s="122"/>
      <c r="AN719" s="122"/>
      <c r="AO719" s="38"/>
      <c r="AP719" s="38"/>
      <c r="AQ719" s="38"/>
      <c r="AR719" s="17"/>
      <c r="AS719" s="1"/>
      <c r="AT719" s="17"/>
      <c r="AU719" s="1"/>
      <c r="AV719" s="17"/>
      <c r="AW719" s="1"/>
      <c r="AX719" s="2"/>
      <c r="AY719" s="1"/>
      <c r="AZ719" s="1"/>
    </row>
    <row x14ac:dyDescent="0.25" r="720" customHeight="1" ht="15">
      <c r="A720" s="1"/>
      <c r="B720" s="1"/>
      <c r="C720" s="1"/>
      <c r="D720" s="1"/>
      <c r="E720" s="1"/>
      <c r="F720" s="1"/>
      <c r="G720" s="1"/>
      <c r="H720" s="1"/>
      <c r="I720" s="1"/>
      <c r="J720" s="1"/>
      <c r="K720" s="17"/>
      <c r="L720" s="1"/>
      <c r="M720" s="1"/>
      <c r="N720" s="2"/>
      <c r="O720" s="2"/>
      <c r="P720" s="17"/>
      <c r="Q720" s="1"/>
      <c r="R720" s="1"/>
      <c r="S720" s="1"/>
      <c r="T720" s="38"/>
      <c r="U720" s="38"/>
      <c r="V720" s="38"/>
      <c r="W720" s="38"/>
      <c r="X720" s="38"/>
      <c r="Y720" s="38"/>
      <c r="Z720" s="38"/>
      <c r="AA720" s="122"/>
      <c r="AB720" s="122"/>
      <c r="AC720" s="122"/>
      <c r="AD720" s="122"/>
      <c r="AE720" s="122"/>
      <c r="AF720" s="122"/>
      <c r="AG720" s="122"/>
      <c r="AH720" s="122"/>
      <c r="AI720" s="122"/>
      <c r="AJ720" s="38"/>
      <c r="AK720" s="122"/>
      <c r="AL720" s="122"/>
      <c r="AM720" s="122"/>
      <c r="AN720" s="122"/>
      <c r="AO720" s="38"/>
      <c r="AP720" s="38"/>
      <c r="AQ720" s="38"/>
      <c r="AR720" s="17"/>
      <c r="AS720" s="1"/>
      <c r="AT720" s="17"/>
      <c r="AU720" s="1"/>
      <c r="AV720" s="17"/>
      <c r="AW720" s="1"/>
      <c r="AX720" s="2"/>
      <c r="AY720" s="1"/>
      <c r="AZ720" s="1"/>
    </row>
    <row x14ac:dyDescent="0.25" r="721" customHeight="1" ht="15">
      <c r="A721" s="1"/>
      <c r="B721" s="1"/>
      <c r="C721" s="1"/>
      <c r="D721" s="1"/>
      <c r="E721" s="1"/>
      <c r="F721" s="1"/>
      <c r="G721" s="1"/>
      <c r="H721" s="1"/>
      <c r="I721" s="1"/>
      <c r="J721" s="1"/>
      <c r="K721" s="17"/>
      <c r="L721" s="1"/>
      <c r="M721" s="1"/>
      <c r="N721" s="2"/>
      <c r="O721" s="2"/>
      <c r="P721" s="17"/>
      <c r="Q721" s="1"/>
      <c r="R721" s="1"/>
      <c r="S721" s="1"/>
      <c r="T721" s="38"/>
      <c r="U721" s="38"/>
      <c r="V721" s="38"/>
      <c r="W721" s="38"/>
      <c r="X721" s="38"/>
      <c r="Y721" s="38"/>
      <c r="Z721" s="38"/>
      <c r="AA721" s="122"/>
      <c r="AB721" s="122"/>
      <c r="AC721" s="122"/>
      <c r="AD721" s="122"/>
      <c r="AE721" s="122"/>
      <c r="AF721" s="122"/>
      <c r="AG721" s="122"/>
      <c r="AH721" s="122"/>
      <c r="AI721" s="122"/>
      <c r="AJ721" s="38"/>
      <c r="AK721" s="122"/>
      <c r="AL721" s="122"/>
      <c r="AM721" s="122"/>
      <c r="AN721" s="122"/>
      <c r="AO721" s="38"/>
      <c r="AP721" s="38"/>
      <c r="AQ721" s="38"/>
      <c r="AR721" s="17"/>
      <c r="AS721" s="1"/>
      <c r="AT721" s="17"/>
      <c r="AU721" s="1"/>
      <c r="AV721" s="17"/>
      <c r="AW721" s="1"/>
      <c r="AX721" s="2"/>
      <c r="AY721" s="1"/>
      <c r="AZ721" s="1"/>
    </row>
    <row x14ac:dyDescent="0.25" r="722" customHeight="1" ht="15">
      <c r="A722" s="1"/>
      <c r="B722" s="1"/>
      <c r="C722" s="1"/>
      <c r="D722" s="1"/>
      <c r="E722" s="1"/>
      <c r="F722" s="1"/>
      <c r="G722" s="1"/>
      <c r="H722" s="1"/>
      <c r="I722" s="1"/>
      <c r="J722" s="1"/>
      <c r="K722" s="17"/>
      <c r="L722" s="1"/>
      <c r="M722" s="1"/>
      <c r="N722" s="2"/>
      <c r="O722" s="2"/>
      <c r="P722" s="17"/>
      <c r="Q722" s="1"/>
      <c r="R722" s="1"/>
      <c r="S722" s="1"/>
      <c r="T722" s="38"/>
      <c r="U722" s="38"/>
      <c r="V722" s="38"/>
      <c r="W722" s="38"/>
      <c r="X722" s="38"/>
      <c r="Y722" s="38"/>
      <c r="Z722" s="38"/>
      <c r="AA722" s="122"/>
      <c r="AB722" s="122"/>
      <c r="AC722" s="122"/>
      <c r="AD722" s="122"/>
      <c r="AE722" s="122"/>
      <c r="AF722" s="122"/>
      <c r="AG722" s="122"/>
      <c r="AH722" s="122"/>
      <c r="AI722" s="122"/>
      <c r="AJ722" s="38"/>
      <c r="AK722" s="122"/>
      <c r="AL722" s="122"/>
      <c r="AM722" s="122"/>
      <c r="AN722" s="122"/>
      <c r="AO722" s="38"/>
      <c r="AP722" s="38"/>
      <c r="AQ722" s="38"/>
      <c r="AR722" s="17"/>
      <c r="AS722" s="1"/>
      <c r="AT722" s="17"/>
      <c r="AU722" s="1"/>
      <c r="AV722" s="17"/>
      <c r="AW722" s="1"/>
      <c r="AX722" s="2"/>
      <c r="AY722" s="1"/>
      <c r="AZ722" s="1"/>
    </row>
    <row x14ac:dyDescent="0.25" r="723" customHeight="1" ht="15">
      <c r="A723" s="1"/>
      <c r="B723" s="1"/>
      <c r="C723" s="1"/>
      <c r="D723" s="1"/>
      <c r="E723" s="1"/>
      <c r="F723" s="1"/>
      <c r="G723" s="1"/>
      <c r="H723" s="1"/>
      <c r="I723" s="1"/>
      <c r="J723" s="1"/>
      <c r="K723" s="17"/>
      <c r="L723" s="1"/>
      <c r="M723" s="1"/>
      <c r="N723" s="2"/>
      <c r="O723" s="2"/>
      <c r="P723" s="17"/>
      <c r="Q723" s="1"/>
      <c r="R723" s="1"/>
      <c r="S723" s="1"/>
      <c r="T723" s="38"/>
      <c r="U723" s="38"/>
      <c r="V723" s="38"/>
      <c r="W723" s="38"/>
      <c r="X723" s="38"/>
      <c r="Y723" s="38"/>
      <c r="Z723" s="38"/>
      <c r="AA723" s="122"/>
      <c r="AB723" s="122"/>
      <c r="AC723" s="122"/>
      <c r="AD723" s="122"/>
      <c r="AE723" s="122"/>
      <c r="AF723" s="122"/>
      <c r="AG723" s="122"/>
      <c r="AH723" s="122"/>
      <c r="AI723" s="122"/>
      <c r="AJ723" s="38"/>
      <c r="AK723" s="122"/>
      <c r="AL723" s="122"/>
      <c r="AM723" s="122"/>
      <c r="AN723" s="122"/>
      <c r="AO723" s="38"/>
      <c r="AP723" s="38"/>
      <c r="AQ723" s="38"/>
      <c r="AR723" s="17"/>
      <c r="AS723" s="1"/>
      <c r="AT723" s="17"/>
      <c r="AU723" s="1"/>
      <c r="AV723" s="17"/>
      <c r="AW723" s="1"/>
      <c r="AX723" s="2"/>
      <c r="AY723" s="1"/>
      <c r="AZ723" s="1"/>
    </row>
    <row x14ac:dyDescent="0.25" r="724" customHeight="1" ht="15">
      <c r="A724" s="1"/>
      <c r="B724" s="1"/>
      <c r="C724" s="1"/>
      <c r="D724" s="1"/>
      <c r="E724" s="1"/>
      <c r="F724" s="1"/>
      <c r="G724" s="1"/>
      <c r="H724" s="1"/>
      <c r="I724" s="1"/>
      <c r="J724" s="1"/>
      <c r="K724" s="17"/>
      <c r="L724" s="1"/>
      <c r="M724" s="1"/>
      <c r="N724" s="2"/>
      <c r="O724" s="2"/>
      <c r="P724" s="17"/>
      <c r="Q724" s="1"/>
      <c r="R724" s="1"/>
      <c r="S724" s="1"/>
      <c r="T724" s="38"/>
      <c r="U724" s="38"/>
      <c r="V724" s="38"/>
      <c r="W724" s="38"/>
      <c r="X724" s="38"/>
      <c r="Y724" s="38"/>
      <c r="Z724" s="38"/>
      <c r="AA724" s="122"/>
      <c r="AB724" s="122"/>
      <c r="AC724" s="122"/>
      <c r="AD724" s="122"/>
      <c r="AE724" s="122"/>
      <c r="AF724" s="122"/>
      <c r="AG724" s="122"/>
      <c r="AH724" s="122"/>
      <c r="AI724" s="122"/>
      <c r="AJ724" s="38"/>
      <c r="AK724" s="122"/>
      <c r="AL724" s="122"/>
      <c r="AM724" s="122"/>
      <c r="AN724" s="122"/>
      <c r="AO724" s="38"/>
      <c r="AP724" s="38"/>
      <c r="AQ724" s="38"/>
      <c r="AR724" s="17"/>
      <c r="AS724" s="1"/>
      <c r="AT724" s="17"/>
      <c r="AU724" s="1"/>
      <c r="AV724" s="17"/>
      <c r="AW724" s="1"/>
      <c r="AX724" s="2"/>
      <c r="AY724" s="1"/>
      <c r="AZ724" s="1"/>
    </row>
    <row x14ac:dyDescent="0.25" r="725" customHeight="1" ht="15">
      <c r="A725" s="1"/>
      <c r="B725" s="1"/>
      <c r="C725" s="1"/>
      <c r="D725" s="1"/>
      <c r="E725" s="1"/>
      <c r="F725" s="1"/>
      <c r="G725" s="1"/>
      <c r="H725" s="1"/>
      <c r="I725" s="1"/>
      <c r="J725" s="1"/>
      <c r="K725" s="17"/>
      <c r="L725" s="1"/>
      <c r="M725" s="1"/>
      <c r="N725" s="2"/>
      <c r="O725" s="2"/>
      <c r="P725" s="17"/>
      <c r="Q725" s="1"/>
      <c r="R725" s="1"/>
      <c r="S725" s="1"/>
      <c r="T725" s="38"/>
      <c r="U725" s="38"/>
      <c r="V725" s="38"/>
      <c r="W725" s="38"/>
      <c r="X725" s="38"/>
      <c r="Y725" s="38"/>
      <c r="Z725" s="38"/>
      <c r="AA725" s="122"/>
      <c r="AB725" s="122"/>
      <c r="AC725" s="122"/>
      <c r="AD725" s="122"/>
      <c r="AE725" s="122"/>
      <c r="AF725" s="122"/>
      <c r="AG725" s="122"/>
      <c r="AH725" s="122"/>
      <c r="AI725" s="122"/>
      <c r="AJ725" s="38"/>
      <c r="AK725" s="122"/>
      <c r="AL725" s="122"/>
      <c r="AM725" s="122"/>
      <c r="AN725" s="122"/>
      <c r="AO725" s="38"/>
      <c r="AP725" s="38"/>
      <c r="AQ725" s="38"/>
      <c r="AR725" s="17"/>
      <c r="AS725" s="1"/>
      <c r="AT725" s="17"/>
      <c r="AU725" s="1"/>
      <c r="AV725" s="17"/>
      <c r="AW725" s="1"/>
      <c r="AX725" s="2"/>
      <c r="AY725" s="1"/>
      <c r="AZ725" s="1"/>
    </row>
    <row x14ac:dyDescent="0.25" r="726" customHeight="1" ht="15">
      <c r="A726" s="1"/>
      <c r="B726" s="1"/>
      <c r="C726" s="1"/>
      <c r="D726" s="1"/>
      <c r="E726" s="1"/>
      <c r="F726" s="1"/>
      <c r="G726" s="1"/>
      <c r="H726" s="1"/>
      <c r="I726" s="1"/>
      <c r="J726" s="1"/>
      <c r="K726" s="17"/>
      <c r="L726" s="1"/>
      <c r="M726" s="1"/>
      <c r="N726" s="2"/>
      <c r="O726" s="2"/>
      <c r="P726" s="17"/>
      <c r="Q726" s="1"/>
      <c r="R726" s="1"/>
      <c r="S726" s="1"/>
      <c r="T726" s="38"/>
      <c r="U726" s="38"/>
      <c r="V726" s="38"/>
      <c r="W726" s="38"/>
      <c r="X726" s="38"/>
      <c r="Y726" s="38"/>
      <c r="Z726" s="38"/>
      <c r="AA726" s="122"/>
      <c r="AB726" s="122"/>
      <c r="AC726" s="122"/>
      <c r="AD726" s="122"/>
      <c r="AE726" s="122"/>
      <c r="AF726" s="122"/>
      <c r="AG726" s="122"/>
      <c r="AH726" s="122"/>
      <c r="AI726" s="122"/>
      <c r="AJ726" s="38"/>
      <c r="AK726" s="122"/>
      <c r="AL726" s="122"/>
      <c r="AM726" s="122"/>
      <c r="AN726" s="122"/>
      <c r="AO726" s="38"/>
      <c r="AP726" s="38"/>
      <c r="AQ726" s="38"/>
      <c r="AR726" s="17"/>
      <c r="AS726" s="1"/>
      <c r="AT726" s="17"/>
      <c r="AU726" s="1"/>
      <c r="AV726" s="17"/>
      <c r="AW726" s="1"/>
      <c r="AX726" s="2"/>
      <c r="AY726" s="1"/>
      <c r="AZ726" s="1"/>
    </row>
    <row x14ac:dyDescent="0.25" r="727" customHeight="1" ht="15">
      <c r="A727" s="1"/>
      <c r="B727" s="1"/>
      <c r="C727" s="1"/>
      <c r="D727" s="1"/>
      <c r="E727" s="1"/>
      <c r="F727" s="1"/>
      <c r="G727" s="1"/>
      <c r="H727" s="1"/>
      <c r="I727" s="1"/>
      <c r="J727" s="1"/>
      <c r="K727" s="17"/>
      <c r="L727" s="1"/>
      <c r="M727" s="1"/>
      <c r="N727" s="2"/>
      <c r="O727" s="2"/>
      <c r="P727" s="17"/>
      <c r="Q727" s="1"/>
      <c r="R727" s="1"/>
      <c r="S727" s="1"/>
      <c r="T727" s="38"/>
      <c r="U727" s="38"/>
      <c r="V727" s="38"/>
      <c r="W727" s="38"/>
      <c r="X727" s="38"/>
      <c r="Y727" s="38"/>
      <c r="Z727" s="38"/>
      <c r="AA727" s="122"/>
      <c r="AB727" s="122"/>
      <c r="AC727" s="122"/>
      <c r="AD727" s="122"/>
      <c r="AE727" s="122"/>
      <c r="AF727" s="122"/>
      <c r="AG727" s="122"/>
      <c r="AH727" s="122"/>
      <c r="AI727" s="122"/>
      <c r="AJ727" s="38"/>
      <c r="AK727" s="122"/>
      <c r="AL727" s="122"/>
      <c r="AM727" s="122"/>
      <c r="AN727" s="122"/>
      <c r="AO727" s="38"/>
      <c r="AP727" s="38"/>
      <c r="AQ727" s="38"/>
      <c r="AR727" s="17"/>
      <c r="AS727" s="1"/>
      <c r="AT727" s="17"/>
      <c r="AU727" s="1"/>
      <c r="AV727" s="17"/>
      <c r="AW727" s="1"/>
      <c r="AX727" s="2"/>
      <c r="AY727" s="1"/>
      <c r="AZ727" s="1"/>
    </row>
    <row x14ac:dyDescent="0.25" r="728" customHeight="1" ht="15">
      <c r="A728" s="1"/>
      <c r="B728" s="1"/>
      <c r="C728" s="1"/>
      <c r="D728" s="1"/>
      <c r="E728" s="1"/>
      <c r="F728" s="1"/>
      <c r="G728" s="1"/>
      <c r="H728" s="1"/>
      <c r="I728" s="1"/>
      <c r="J728" s="1"/>
      <c r="K728" s="17"/>
      <c r="L728" s="1"/>
      <c r="M728" s="1"/>
      <c r="N728" s="2"/>
      <c r="O728" s="2"/>
      <c r="P728" s="17"/>
      <c r="Q728" s="1"/>
      <c r="R728" s="1"/>
      <c r="S728" s="1"/>
      <c r="T728" s="38"/>
      <c r="U728" s="38"/>
      <c r="V728" s="38"/>
      <c r="W728" s="38"/>
      <c r="X728" s="38"/>
      <c r="Y728" s="38"/>
      <c r="Z728" s="38"/>
      <c r="AA728" s="122"/>
      <c r="AB728" s="122"/>
      <c r="AC728" s="122"/>
      <c r="AD728" s="122"/>
      <c r="AE728" s="122"/>
      <c r="AF728" s="122"/>
      <c r="AG728" s="122"/>
      <c r="AH728" s="122"/>
      <c r="AI728" s="122"/>
      <c r="AJ728" s="38"/>
      <c r="AK728" s="122"/>
      <c r="AL728" s="122"/>
      <c r="AM728" s="122"/>
      <c r="AN728" s="122"/>
      <c r="AO728" s="38"/>
      <c r="AP728" s="38"/>
      <c r="AQ728" s="38"/>
      <c r="AR728" s="17"/>
      <c r="AS728" s="1"/>
      <c r="AT728" s="17"/>
      <c r="AU728" s="1"/>
      <c r="AV728" s="17"/>
      <c r="AW728" s="1"/>
      <c r="AX728" s="2"/>
      <c r="AY728" s="1"/>
      <c r="AZ728" s="1"/>
    </row>
    <row x14ac:dyDescent="0.25" r="729" customHeight="1" ht="15">
      <c r="A729" s="1"/>
      <c r="B729" s="1"/>
      <c r="C729" s="1"/>
      <c r="D729" s="1"/>
      <c r="E729" s="1"/>
      <c r="F729" s="1"/>
      <c r="G729" s="1"/>
      <c r="H729" s="1"/>
      <c r="I729" s="1"/>
      <c r="J729" s="1"/>
      <c r="K729" s="17"/>
      <c r="L729" s="1"/>
      <c r="M729" s="1"/>
      <c r="N729" s="2"/>
      <c r="O729" s="2"/>
      <c r="P729" s="17"/>
      <c r="Q729" s="1"/>
      <c r="R729" s="1"/>
      <c r="S729" s="1"/>
      <c r="T729" s="38"/>
      <c r="U729" s="38"/>
      <c r="V729" s="38"/>
      <c r="W729" s="38"/>
      <c r="X729" s="38"/>
      <c r="Y729" s="38"/>
      <c r="Z729" s="38"/>
      <c r="AA729" s="122"/>
      <c r="AB729" s="122"/>
      <c r="AC729" s="122"/>
      <c r="AD729" s="122"/>
      <c r="AE729" s="122"/>
      <c r="AF729" s="122"/>
      <c r="AG729" s="122"/>
      <c r="AH729" s="122"/>
      <c r="AI729" s="122"/>
      <c r="AJ729" s="38"/>
      <c r="AK729" s="122"/>
      <c r="AL729" s="122"/>
      <c r="AM729" s="122"/>
      <c r="AN729" s="122"/>
      <c r="AO729" s="38"/>
      <c r="AP729" s="38"/>
      <c r="AQ729" s="38"/>
      <c r="AR729" s="17"/>
      <c r="AS729" s="1"/>
      <c r="AT729" s="17"/>
      <c r="AU729" s="1"/>
      <c r="AV729" s="17"/>
      <c r="AW729" s="1"/>
      <c r="AX729" s="2"/>
      <c r="AY729" s="1"/>
      <c r="AZ729" s="1"/>
    </row>
    <row x14ac:dyDescent="0.25" r="730" customHeight="1" ht="15">
      <c r="A730" s="1"/>
      <c r="B730" s="1"/>
      <c r="C730" s="1"/>
      <c r="D730" s="1"/>
      <c r="E730" s="1"/>
      <c r="F730" s="1"/>
      <c r="G730" s="1"/>
      <c r="H730" s="1"/>
      <c r="I730" s="1"/>
      <c r="J730" s="1"/>
      <c r="K730" s="17"/>
      <c r="L730" s="1"/>
      <c r="M730" s="1"/>
      <c r="N730" s="2"/>
      <c r="O730" s="2"/>
      <c r="P730" s="17"/>
      <c r="Q730" s="1"/>
      <c r="R730" s="1"/>
      <c r="S730" s="1"/>
      <c r="T730" s="38"/>
      <c r="U730" s="38"/>
      <c r="V730" s="38"/>
      <c r="W730" s="38"/>
      <c r="X730" s="38"/>
      <c r="Y730" s="38"/>
      <c r="Z730" s="38"/>
      <c r="AA730" s="122"/>
      <c r="AB730" s="122"/>
      <c r="AC730" s="122"/>
      <c r="AD730" s="122"/>
      <c r="AE730" s="122"/>
      <c r="AF730" s="122"/>
      <c r="AG730" s="122"/>
      <c r="AH730" s="122"/>
      <c r="AI730" s="122"/>
      <c r="AJ730" s="38"/>
      <c r="AK730" s="122"/>
      <c r="AL730" s="122"/>
      <c r="AM730" s="122"/>
      <c r="AN730" s="122"/>
      <c r="AO730" s="38"/>
      <c r="AP730" s="38"/>
      <c r="AQ730" s="38"/>
      <c r="AR730" s="17"/>
      <c r="AS730" s="1"/>
      <c r="AT730" s="17"/>
      <c r="AU730" s="1"/>
      <c r="AV730" s="17"/>
      <c r="AW730" s="1"/>
      <c r="AX730" s="2"/>
      <c r="AY730" s="1"/>
      <c r="AZ730" s="1"/>
    </row>
    <row x14ac:dyDescent="0.25" r="731" customHeight="1" ht="15">
      <c r="A731" s="1"/>
      <c r="B731" s="1"/>
      <c r="C731" s="1"/>
      <c r="D731" s="1"/>
      <c r="E731" s="1"/>
      <c r="F731" s="1"/>
      <c r="G731" s="1"/>
      <c r="H731" s="1"/>
      <c r="I731" s="1"/>
      <c r="J731" s="1"/>
      <c r="K731" s="17"/>
      <c r="L731" s="1"/>
      <c r="M731" s="1"/>
      <c r="N731" s="2"/>
      <c r="O731" s="2"/>
      <c r="P731" s="17"/>
      <c r="Q731" s="1"/>
      <c r="R731" s="1"/>
      <c r="S731" s="1"/>
      <c r="T731" s="38"/>
      <c r="U731" s="38"/>
      <c r="V731" s="38"/>
      <c r="W731" s="38"/>
      <c r="X731" s="38"/>
      <c r="Y731" s="38"/>
      <c r="Z731" s="38"/>
      <c r="AA731" s="122"/>
      <c r="AB731" s="122"/>
      <c r="AC731" s="122"/>
      <c r="AD731" s="122"/>
      <c r="AE731" s="122"/>
      <c r="AF731" s="122"/>
      <c r="AG731" s="122"/>
      <c r="AH731" s="122"/>
      <c r="AI731" s="122"/>
      <c r="AJ731" s="38"/>
      <c r="AK731" s="122"/>
      <c r="AL731" s="122"/>
      <c r="AM731" s="122"/>
      <c r="AN731" s="122"/>
      <c r="AO731" s="38"/>
      <c r="AP731" s="38"/>
      <c r="AQ731" s="38"/>
      <c r="AR731" s="17"/>
      <c r="AS731" s="1"/>
      <c r="AT731" s="17"/>
      <c r="AU731" s="1"/>
      <c r="AV731" s="17"/>
      <c r="AW731" s="1"/>
      <c r="AX731" s="2"/>
      <c r="AY731" s="1"/>
      <c r="AZ731" s="1"/>
    </row>
    <row x14ac:dyDescent="0.25" r="732" customHeight="1" ht="15">
      <c r="A732" s="1"/>
      <c r="B732" s="1"/>
      <c r="C732" s="1"/>
      <c r="D732" s="1"/>
      <c r="E732" s="1"/>
      <c r="F732" s="1"/>
      <c r="G732" s="1"/>
      <c r="H732" s="1"/>
      <c r="I732" s="1"/>
      <c r="J732" s="1"/>
      <c r="K732" s="17"/>
      <c r="L732" s="1"/>
      <c r="M732" s="1"/>
      <c r="N732" s="2"/>
      <c r="O732" s="2"/>
      <c r="P732" s="17"/>
      <c r="Q732" s="1"/>
      <c r="R732" s="1"/>
      <c r="S732" s="1"/>
      <c r="T732" s="38"/>
      <c r="U732" s="38"/>
      <c r="V732" s="38"/>
      <c r="W732" s="38"/>
      <c r="X732" s="38"/>
      <c r="Y732" s="38"/>
      <c r="Z732" s="38"/>
      <c r="AA732" s="122"/>
      <c r="AB732" s="122"/>
      <c r="AC732" s="122"/>
      <c r="AD732" s="122"/>
      <c r="AE732" s="122"/>
      <c r="AF732" s="122"/>
      <c r="AG732" s="122"/>
      <c r="AH732" s="122"/>
      <c r="AI732" s="122"/>
      <c r="AJ732" s="38"/>
      <c r="AK732" s="122"/>
      <c r="AL732" s="122"/>
      <c r="AM732" s="122"/>
      <c r="AN732" s="122"/>
      <c r="AO732" s="38"/>
      <c r="AP732" s="38"/>
      <c r="AQ732" s="38"/>
      <c r="AR732" s="17"/>
      <c r="AS732" s="1"/>
      <c r="AT732" s="17"/>
      <c r="AU732" s="1"/>
      <c r="AV732" s="17"/>
      <c r="AW732" s="1"/>
      <c r="AX732" s="2"/>
      <c r="AY732" s="1"/>
      <c r="AZ732" s="1"/>
    </row>
    <row x14ac:dyDescent="0.25" r="733" customHeight="1" ht="15">
      <c r="A733" s="1"/>
      <c r="B733" s="1"/>
      <c r="C733" s="1"/>
      <c r="D733" s="1"/>
      <c r="E733" s="1"/>
      <c r="F733" s="1"/>
      <c r="G733" s="1"/>
      <c r="H733" s="1"/>
      <c r="I733" s="1"/>
      <c r="J733" s="1"/>
      <c r="K733" s="17"/>
      <c r="L733" s="1"/>
      <c r="M733" s="1"/>
      <c r="N733" s="2"/>
      <c r="O733" s="2"/>
      <c r="P733" s="17"/>
      <c r="Q733" s="1"/>
      <c r="R733" s="1"/>
      <c r="S733" s="1"/>
      <c r="T733" s="38"/>
      <c r="U733" s="38"/>
      <c r="V733" s="38"/>
      <c r="W733" s="38"/>
      <c r="X733" s="38"/>
      <c r="Y733" s="38"/>
      <c r="Z733" s="38"/>
      <c r="AA733" s="122"/>
      <c r="AB733" s="122"/>
      <c r="AC733" s="122"/>
      <c r="AD733" s="122"/>
      <c r="AE733" s="122"/>
      <c r="AF733" s="122"/>
      <c r="AG733" s="122"/>
      <c r="AH733" s="122"/>
      <c r="AI733" s="122"/>
      <c r="AJ733" s="38"/>
      <c r="AK733" s="122"/>
      <c r="AL733" s="122"/>
      <c r="AM733" s="122"/>
      <c r="AN733" s="122"/>
      <c r="AO733" s="38"/>
      <c r="AP733" s="38"/>
      <c r="AQ733" s="38"/>
      <c r="AR733" s="17"/>
      <c r="AS733" s="1"/>
      <c r="AT733" s="17"/>
      <c r="AU733" s="1"/>
      <c r="AV733" s="17"/>
      <c r="AW733" s="1"/>
      <c r="AX733" s="2"/>
      <c r="AY733" s="1"/>
      <c r="AZ733" s="1"/>
    </row>
    <row x14ac:dyDescent="0.25" r="734" customHeight="1" ht="15">
      <c r="A734" s="1"/>
      <c r="B734" s="1"/>
      <c r="C734" s="1"/>
      <c r="D734" s="1"/>
      <c r="E734" s="1"/>
      <c r="F734" s="1"/>
      <c r="G734" s="1"/>
      <c r="H734" s="1"/>
      <c r="I734" s="1"/>
      <c r="J734" s="1"/>
      <c r="K734" s="17"/>
      <c r="L734" s="1"/>
      <c r="M734" s="1"/>
      <c r="N734" s="2"/>
      <c r="O734" s="2"/>
      <c r="P734" s="17"/>
      <c r="Q734" s="1"/>
      <c r="R734" s="1"/>
      <c r="S734" s="1"/>
      <c r="T734" s="38"/>
      <c r="U734" s="38"/>
      <c r="V734" s="38"/>
      <c r="W734" s="38"/>
      <c r="X734" s="38"/>
      <c r="Y734" s="38"/>
      <c r="Z734" s="38"/>
      <c r="AA734" s="122"/>
      <c r="AB734" s="122"/>
      <c r="AC734" s="122"/>
      <c r="AD734" s="122"/>
      <c r="AE734" s="122"/>
      <c r="AF734" s="122"/>
      <c r="AG734" s="122"/>
      <c r="AH734" s="122"/>
      <c r="AI734" s="122"/>
      <c r="AJ734" s="38"/>
      <c r="AK734" s="122"/>
      <c r="AL734" s="122"/>
      <c r="AM734" s="122"/>
      <c r="AN734" s="122"/>
      <c r="AO734" s="38"/>
      <c r="AP734" s="38"/>
      <c r="AQ734" s="38"/>
      <c r="AR734" s="17"/>
      <c r="AS734" s="1"/>
      <c r="AT734" s="17"/>
      <c r="AU734" s="1"/>
      <c r="AV734" s="17"/>
      <c r="AW734" s="1"/>
      <c r="AX734" s="2"/>
      <c r="AY734" s="1"/>
      <c r="AZ734" s="1"/>
    </row>
    <row x14ac:dyDescent="0.25" r="735" customHeight="1" ht="15">
      <c r="A735" s="1"/>
      <c r="B735" s="1"/>
      <c r="C735" s="1"/>
      <c r="D735" s="1"/>
      <c r="E735" s="1"/>
      <c r="F735" s="1"/>
      <c r="G735" s="1"/>
      <c r="H735" s="1"/>
      <c r="I735" s="1"/>
      <c r="J735" s="1"/>
      <c r="K735" s="17"/>
      <c r="L735" s="1"/>
      <c r="M735" s="1"/>
      <c r="N735" s="2"/>
      <c r="O735" s="2"/>
      <c r="P735" s="17"/>
      <c r="Q735" s="1"/>
      <c r="R735" s="1"/>
      <c r="S735" s="1"/>
      <c r="T735" s="38"/>
      <c r="U735" s="38"/>
      <c r="V735" s="38"/>
      <c r="W735" s="38"/>
      <c r="X735" s="38"/>
      <c r="Y735" s="38"/>
      <c r="Z735" s="38"/>
      <c r="AA735" s="122"/>
      <c r="AB735" s="122"/>
      <c r="AC735" s="122"/>
      <c r="AD735" s="122"/>
      <c r="AE735" s="122"/>
      <c r="AF735" s="122"/>
      <c r="AG735" s="122"/>
      <c r="AH735" s="122"/>
      <c r="AI735" s="122"/>
      <c r="AJ735" s="38"/>
      <c r="AK735" s="122"/>
      <c r="AL735" s="122"/>
      <c r="AM735" s="122"/>
      <c r="AN735" s="122"/>
      <c r="AO735" s="38"/>
      <c r="AP735" s="38"/>
      <c r="AQ735" s="38"/>
      <c r="AR735" s="17"/>
      <c r="AS735" s="1"/>
      <c r="AT735" s="17"/>
      <c r="AU735" s="1"/>
      <c r="AV735" s="17"/>
      <c r="AW735" s="1"/>
      <c r="AX735" s="2"/>
      <c r="AY735" s="1"/>
      <c r="AZ735" s="1"/>
    </row>
    <row x14ac:dyDescent="0.25" r="736" customHeight="1" ht="15">
      <c r="A736" s="1"/>
      <c r="B736" s="1"/>
      <c r="C736" s="1"/>
      <c r="D736" s="1"/>
      <c r="E736" s="1"/>
      <c r="F736" s="1"/>
      <c r="G736" s="1"/>
      <c r="H736" s="1"/>
      <c r="I736" s="1"/>
      <c r="J736" s="1"/>
      <c r="K736" s="17"/>
      <c r="L736" s="1"/>
      <c r="M736" s="1"/>
      <c r="N736" s="2"/>
      <c r="O736" s="2"/>
      <c r="P736" s="17"/>
      <c r="Q736" s="1"/>
      <c r="R736" s="1"/>
      <c r="S736" s="1"/>
      <c r="T736" s="38"/>
      <c r="U736" s="38"/>
      <c r="V736" s="38"/>
      <c r="W736" s="38"/>
      <c r="X736" s="38"/>
      <c r="Y736" s="38"/>
      <c r="Z736" s="38"/>
      <c r="AA736" s="122"/>
      <c r="AB736" s="122"/>
      <c r="AC736" s="122"/>
      <c r="AD736" s="122"/>
      <c r="AE736" s="122"/>
      <c r="AF736" s="122"/>
      <c r="AG736" s="122"/>
      <c r="AH736" s="122"/>
      <c r="AI736" s="122"/>
      <c r="AJ736" s="38"/>
      <c r="AK736" s="122"/>
      <c r="AL736" s="122"/>
      <c r="AM736" s="122"/>
      <c r="AN736" s="122"/>
      <c r="AO736" s="38"/>
      <c r="AP736" s="38"/>
      <c r="AQ736" s="38"/>
      <c r="AR736" s="17"/>
      <c r="AS736" s="1"/>
      <c r="AT736" s="17"/>
      <c r="AU736" s="1"/>
      <c r="AV736" s="17"/>
      <c r="AW736" s="1"/>
      <c r="AX736" s="2"/>
      <c r="AY736" s="1"/>
      <c r="AZ736" s="1"/>
    </row>
    <row x14ac:dyDescent="0.25" r="737" customHeight="1" ht="15">
      <c r="A737" s="1"/>
      <c r="B737" s="1"/>
      <c r="C737" s="1"/>
      <c r="D737" s="1"/>
      <c r="E737" s="1"/>
      <c r="F737" s="1"/>
      <c r="G737" s="1"/>
      <c r="H737" s="1"/>
      <c r="I737" s="1"/>
      <c r="J737" s="1"/>
      <c r="K737" s="17"/>
      <c r="L737" s="1"/>
      <c r="M737" s="1"/>
      <c r="N737" s="2"/>
      <c r="O737" s="2"/>
      <c r="P737" s="17"/>
      <c r="Q737" s="1"/>
      <c r="R737" s="1"/>
      <c r="S737" s="1"/>
      <c r="T737" s="38"/>
      <c r="U737" s="38"/>
      <c r="V737" s="38"/>
      <c r="W737" s="38"/>
      <c r="X737" s="38"/>
      <c r="Y737" s="38"/>
      <c r="Z737" s="38"/>
      <c r="AA737" s="122"/>
      <c r="AB737" s="122"/>
      <c r="AC737" s="122"/>
      <c r="AD737" s="122"/>
      <c r="AE737" s="122"/>
      <c r="AF737" s="122"/>
      <c r="AG737" s="122"/>
      <c r="AH737" s="122"/>
      <c r="AI737" s="122"/>
      <c r="AJ737" s="38"/>
      <c r="AK737" s="122"/>
      <c r="AL737" s="122"/>
      <c r="AM737" s="122"/>
      <c r="AN737" s="122"/>
      <c r="AO737" s="38"/>
      <c r="AP737" s="38"/>
      <c r="AQ737" s="38"/>
      <c r="AR737" s="17"/>
      <c r="AS737" s="1"/>
      <c r="AT737" s="17"/>
      <c r="AU737" s="1"/>
      <c r="AV737" s="17"/>
      <c r="AW737" s="1"/>
      <c r="AX737" s="2"/>
      <c r="AY737" s="1"/>
      <c r="AZ737" s="1"/>
    </row>
    <row x14ac:dyDescent="0.25" r="738" customHeight="1" ht="15">
      <c r="A738" s="1"/>
      <c r="B738" s="1"/>
      <c r="C738" s="1"/>
      <c r="D738" s="1"/>
      <c r="E738" s="1"/>
      <c r="F738" s="1"/>
      <c r="G738" s="1"/>
      <c r="H738" s="1"/>
      <c r="I738" s="1"/>
      <c r="J738" s="1"/>
      <c r="K738" s="17"/>
      <c r="L738" s="1"/>
      <c r="M738" s="1"/>
      <c r="N738" s="2"/>
      <c r="O738" s="2"/>
      <c r="P738" s="17"/>
      <c r="Q738" s="1"/>
      <c r="R738" s="1"/>
      <c r="S738" s="1"/>
      <c r="T738" s="38"/>
      <c r="U738" s="38"/>
      <c r="V738" s="38"/>
      <c r="W738" s="38"/>
      <c r="X738" s="38"/>
      <c r="Y738" s="38"/>
      <c r="Z738" s="38"/>
      <c r="AA738" s="122"/>
      <c r="AB738" s="122"/>
      <c r="AC738" s="122"/>
      <c r="AD738" s="122"/>
      <c r="AE738" s="122"/>
      <c r="AF738" s="122"/>
      <c r="AG738" s="122"/>
      <c r="AH738" s="122"/>
      <c r="AI738" s="122"/>
      <c r="AJ738" s="38"/>
      <c r="AK738" s="122"/>
      <c r="AL738" s="122"/>
      <c r="AM738" s="122"/>
      <c r="AN738" s="122"/>
      <c r="AO738" s="38"/>
      <c r="AP738" s="38"/>
      <c r="AQ738" s="38"/>
      <c r="AR738" s="17"/>
      <c r="AS738" s="1"/>
      <c r="AT738" s="17"/>
      <c r="AU738" s="1"/>
      <c r="AV738" s="17"/>
      <c r="AW738" s="1"/>
      <c r="AX738" s="2"/>
      <c r="AY738" s="1"/>
      <c r="AZ738" s="1"/>
    </row>
    <row x14ac:dyDescent="0.25" r="739" customHeight="1" ht="15">
      <c r="A739" s="1"/>
      <c r="B739" s="1"/>
      <c r="C739" s="1"/>
      <c r="D739" s="1"/>
      <c r="E739" s="1"/>
      <c r="F739" s="1"/>
      <c r="G739" s="1"/>
      <c r="H739" s="1"/>
      <c r="I739" s="1"/>
      <c r="J739" s="1"/>
      <c r="K739" s="17"/>
      <c r="L739" s="1"/>
      <c r="M739" s="1"/>
      <c r="N739" s="2"/>
      <c r="O739" s="2"/>
      <c r="P739" s="17"/>
      <c r="Q739" s="1"/>
      <c r="R739" s="1"/>
      <c r="S739" s="1"/>
      <c r="T739" s="38"/>
      <c r="U739" s="38"/>
      <c r="V739" s="38"/>
      <c r="W739" s="38"/>
      <c r="X739" s="38"/>
      <c r="Y739" s="38"/>
      <c r="Z739" s="38"/>
      <c r="AA739" s="122"/>
      <c r="AB739" s="122"/>
      <c r="AC739" s="122"/>
      <c r="AD739" s="122"/>
      <c r="AE739" s="122"/>
      <c r="AF739" s="122"/>
      <c r="AG739" s="122"/>
      <c r="AH739" s="122"/>
      <c r="AI739" s="122"/>
      <c r="AJ739" s="38"/>
      <c r="AK739" s="122"/>
      <c r="AL739" s="122"/>
      <c r="AM739" s="122"/>
      <c r="AN739" s="122"/>
      <c r="AO739" s="38"/>
      <c r="AP739" s="38"/>
      <c r="AQ739" s="38"/>
      <c r="AR739" s="17"/>
      <c r="AS739" s="1"/>
      <c r="AT739" s="17"/>
      <c r="AU739" s="1"/>
      <c r="AV739" s="17"/>
      <c r="AW739" s="1"/>
      <c r="AX739" s="2"/>
      <c r="AY739" s="1"/>
      <c r="AZ739" s="1"/>
    </row>
    <row x14ac:dyDescent="0.25" r="740" customHeight="1" ht="15">
      <c r="A740" s="1"/>
      <c r="B740" s="1"/>
      <c r="C740" s="1"/>
      <c r="D740" s="1"/>
      <c r="E740" s="1"/>
      <c r="F740" s="1"/>
      <c r="G740" s="1"/>
      <c r="H740" s="1"/>
      <c r="I740" s="1"/>
      <c r="J740" s="1"/>
      <c r="K740" s="17"/>
      <c r="L740" s="1"/>
      <c r="M740" s="1"/>
      <c r="N740" s="2"/>
      <c r="O740" s="2"/>
      <c r="P740" s="17"/>
      <c r="Q740" s="1"/>
      <c r="R740" s="1"/>
      <c r="S740" s="1"/>
      <c r="T740" s="38"/>
      <c r="U740" s="38"/>
      <c r="V740" s="38"/>
      <c r="W740" s="38"/>
      <c r="X740" s="38"/>
      <c r="Y740" s="38"/>
      <c r="Z740" s="38"/>
      <c r="AA740" s="122"/>
      <c r="AB740" s="122"/>
      <c r="AC740" s="122"/>
      <c r="AD740" s="122"/>
      <c r="AE740" s="122"/>
      <c r="AF740" s="122"/>
      <c r="AG740" s="122"/>
      <c r="AH740" s="122"/>
      <c r="AI740" s="122"/>
      <c r="AJ740" s="38"/>
      <c r="AK740" s="122"/>
      <c r="AL740" s="122"/>
      <c r="AM740" s="122"/>
      <c r="AN740" s="122"/>
      <c r="AO740" s="38"/>
      <c r="AP740" s="38"/>
      <c r="AQ740" s="38"/>
      <c r="AR740" s="17"/>
      <c r="AS740" s="1"/>
      <c r="AT740" s="17"/>
      <c r="AU740" s="1"/>
      <c r="AV740" s="17"/>
      <c r="AW740" s="1"/>
      <c r="AX740" s="2"/>
      <c r="AY740" s="1"/>
      <c r="AZ740" s="1"/>
    </row>
    <row x14ac:dyDescent="0.25" r="741" customHeight="1" ht="15">
      <c r="A741" s="1"/>
      <c r="B741" s="1"/>
      <c r="C741" s="1"/>
      <c r="D741" s="1"/>
      <c r="E741" s="1"/>
      <c r="F741" s="1"/>
      <c r="G741" s="1"/>
      <c r="H741" s="1"/>
      <c r="I741" s="1"/>
      <c r="J741" s="1"/>
      <c r="K741" s="17"/>
      <c r="L741" s="1"/>
      <c r="M741" s="1"/>
      <c r="N741" s="2"/>
      <c r="O741" s="2"/>
      <c r="P741" s="17"/>
      <c r="Q741" s="1"/>
      <c r="R741" s="1"/>
      <c r="S741" s="1"/>
      <c r="T741" s="38"/>
      <c r="U741" s="38"/>
      <c r="V741" s="38"/>
      <c r="W741" s="38"/>
      <c r="X741" s="38"/>
      <c r="Y741" s="38"/>
      <c r="Z741" s="38"/>
      <c r="AA741" s="122"/>
      <c r="AB741" s="122"/>
      <c r="AC741" s="122"/>
      <c r="AD741" s="122"/>
      <c r="AE741" s="122"/>
      <c r="AF741" s="122"/>
      <c r="AG741" s="122"/>
      <c r="AH741" s="122"/>
      <c r="AI741" s="122"/>
      <c r="AJ741" s="38"/>
      <c r="AK741" s="122"/>
      <c r="AL741" s="122"/>
      <c r="AM741" s="122"/>
      <c r="AN741" s="122"/>
      <c r="AO741" s="38"/>
      <c r="AP741" s="38"/>
      <c r="AQ741" s="38"/>
      <c r="AR741" s="17"/>
      <c r="AS741" s="1"/>
      <c r="AT741" s="17"/>
      <c r="AU741" s="1"/>
      <c r="AV741" s="17"/>
      <c r="AW741" s="1"/>
      <c r="AX741" s="2"/>
      <c r="AY741" s="1"/>
      <c r="AZ741" s="1"/>
    </row>
    <row x14ac:dyDescent="0.25" r="742" customHeight="1" ht="15">
      <c r="A742" s="1"/>
      <c r="B742" s="1"/>
      <c r="C742" s="1"/>
      <c r="D742" s="1"/>
      <c r="E742" s="1"/>
      <c r="F742" s="1"/>
      <c r="G742" s="1"/>
      <c r="H742" s="1"/>
      <c r="I742" s="1"/>
      <c r="J742" s="1"/>
      <c r="K742" s="17"/>
      <c r="L742" s="1"/>
      <c r="M742" s="1"/>
      <c r="N742" s="2"/>
      <c r="O742" s="2"/>
      <c r="P742" s="17"/>
      <c r="Q742" s="1"/>
      <c r="R742" s="1"/>
      <c r="S742" s="1"/>
      <c r="T742" s="38"/>
      <c r="U742" s="38"/>
      <c r="V742" s="38"/>
      <c r="W742" s="38"/>
      <c r="X742" s="38"/>
      <c r="Y742" s="38"/>
      <c r="Z742" s="38"/>
      <c r="AA742" s="122"/>
      <c r="AB742" s="122"/>
      <c r="AC742" s="122"/>
      <c r="AD742" s="122"/>
      <c r="AE742" s="122"/>
      <c r="AF742" s="122"/>
      <c r="AG742" s="122"/>
      <c r="AH742" s="122"/>
      <c r="AI742" s="122"/>
      <c r="AJ742" s="38"/>
      <c r="AK742" s="122"/>
      <c r="AL742" s="122"/>
      <c r="AM742" s="122"/>
      <c r="AN742" s="122"/>
      <c r="AO742" s="38"/>
      <c r="AP742" s="38"/>
      <c r="AQ742" s="38"/>
      <c r="AR742" s="17"/>
      <c r="AS742" s="1"/>
      <c r="AT742" s="17"/>
      <c r="AU742" s="1"/>
      <c r="AV742" s="17"/>
      <c r="AW742" s="1"/>
      <c r="AX742" s="2"/>
      <c r="AY742" s="1"/>
      <c r="AZ742" s="1"/>
    </row>
    <row x14ac:dyDescent="0.25" r="743" customHeight="1" ht="15">
      <c r="A743" s="1"/>
      <c r="B743" s="1"/>
      <c r="C743" s="1"/>
      <c r="D743" s="1"/>
      <c r="E743" s="1"/>
      <c r="F743" s="1"/>
      <c r="G743" s="1"/>
      <c r="H743" s="1"/>
      <c r="I743" s="1"/>
      <c r="J743" s="1"/>
      <c r="K743" s="17"/>
      <c r="L743" s="1"/>
      <c r="M743" s="1"/>
      <c r="N743" s="2"/>
      <c r="O743" s="2"/>
      <c r="P743" s="17"/>
      <c r="Q743" s="1"/>
      <c r="R743" s="1"/>
      <c r="S743" s="1"/>
      <c r="T743" s="38"/>
      <c r="U743" s="38"/>
      <c r="V743" s="38"/>
      <c r="W743" s="38"/>
      <c r="X743" s="38"/>
      <c r="Y743" s="38"/>
      <c r="Z743" s="38"/>
      <c r="AA743" s="122"/>
      <c r="AB743" s="122"/>
      <c r="AC743" s="122"/>
      <c r="AD743" s="122"/>
      <c r="AE743" s="122"/>
      <c r="AF743" s="122"/>
      <c r="AG743" s="122"/>
      <c r="AH743" s="122"/>
      <c r="AI743" s="122"/>
      <c r="AJ743" s="38"/>
      <c r="AK743" s="122"/>
      <c r="AL743" s="122"/>
      <c r="AM743" s="122"/>
      <c r="AN743" s="122"/>
      <c r="AO743" s="38"/>
      <c r="AP743" s="38"/>
      <c r="AQ743" s="38"/>
      <c r="AR743" s="17"/>
      <c r="AS743" s="1"/>
      <c r="AT743" s="17"/>
      <c r="AU743" s="1"/>
      <c r="AV743" s="17"/>
      <c r="AW743" s="1"/>
      <c r="AX743" s="2"/>
      <c r="AY743" s="1"/>
      <c r="AZ743" s="1"/>
    </row>
    <row x14ac:dyDescent="0.25" r="744" customHeight="1" ht="15">
      <c r="A744" s="1"/>
      <c r="B744" s="1"/>
      <c r="C744" s="1"/>
      <c r="D744" s="1"/>
      <c r="E744" s="1"/>
      <c r="F744" s="1"/>
      <c r="G744" s="1"/>
      <c r="H744" s="1"/>
      <c r="I744" s="1"/>
      <c r="J744" s="1"/>
      <c r="K744" s="17"/>
      <c r="L744" s="1"/>
      <c r="M744" s="1"/>
      <c r="N744" s="2"/>
      <c r="O744" s="2"/>
      <c r="P744" s="17"/>
      <c r="Q744" s="1"/>
      <c r="R744" s="1"/>
      <c r="S744" s="1"/>
      <c r="T744" s="38"/>
      <c r="U744" s="38"/>
      <c r="V744" s="38"/>
      <c r="W744" s="38"/>
      <c r="X744" s="38"/>
      <c r="Y744" s="38"/>
      <c r="Z744" s="38"/>
      <c r="AA744" s="122"/>
      <c r="AB744" s="122"/>
      <c r="AC744" s="122"/>
      <c r="AD744" s="122"/>
      <c r="AE744" s="122"/>
      <c r="AF744" s="122"/>
      <c r="AG744" s="122"/>
      <c r="AH744" s="122"/>
      <c r="AI744" s="122"/>
      <c r="AJ744" s="38"/>
      <c r="AK744" s="122"/>
      <c r="AL744" s="122"/>
      <c r="AM744" s="122"/>
      <c r="AN744" s="122"/>
      <c r="AO744" s="38"/>
      <c r="AP744" s="38"/>
      <c r="AQ744" s="38"/>
      <c r="AR744" s="17"/>
      <c r="AS744" s="1"/>
      <c r="AT744" s="17"/>
      <c r="AU744" s="1"/>
      <c r="AV744" s="17"/>
      <c r="AW744" s="1"/>
      <c r="AX744" s="2"/>
      <c r="AY744" s="1"/>
      <c r="AZ744" s="1"/>
    </row>
    <row x14ac:dyDescent="0.25" r="745" customHeight="1" ht="15">
      <c r="A745" s="1"/>
      <c r="B745" s="1"/>
      <c r="C745" s="1"/>
      <c r="D745" s="1"/>
      <c r="E745" s="1"/>
      <c r="F745" s="1"/>
      <c r="G745" s="1"/>
      <c r="H745" s="1"/>
      <c r="I745" s="1"/>
      <c r="J745" s="1"/>
      <c r="K745" s="17"/>
      <c r="L745" s="1"/>
      <c r="M745" s="1"/>
      <c r="N745" s="2"/>
      <c r="O745" s="2"/>
      <c r="P745" s="17"/>
      <c r="Q745" s="1"/>
      <c r="R745" s="1"/>
      <c r="S745" s="1"/>
      <c r="T745" s="38"/>
      <c r="U745" s="38"/>
      <c r="V745" s="38"/>
      <c r="W745" s="38"/>
      <c r="X745" s="38"/>
      <c r="Y745" s="38"/>
      <c r="Z745" s="38"/>
      <c r="AA745" s="122"/>
      <c r="AB745" s="122"/>
      <c r="AC745" s="122"/>
      <c r="AD745" s="122"/>
      <c r="AE745" s="122"/>
      <c r="AF745" s="122"/>
      <c r="AG745" s="122"/>
      <c r="AH745" s="122"/>
      <c r="AI745" s="122"/>
      <c r="AJ745" s="38"/>
      <c r="AK745" s="122"/>
      <c r="AL745" s="122"/>
      <c r="AM745" s="122"/>
      <c r="AN745" s="122"/>
      <c r="AO745" s="38"/>
      <c r="AP745" s="38"/>
      <c r="AQ745" s="38"/>
      <c r="AR745" s="17"/>
      <c r="AS745" s="1"/>
      <c r="AT745" s="17"/>
      <c r="AU745" s="1"/>
      <c r="AV745" s="17"/>
      <c r="AW745" s="1"/>
      <c r="AX745" s="2"/>
      <c r="AY745" s="1"/>
      <c r="AZ745" s="1"/>
    </row>
    <row x14ac:dyDescent="0.25" r="746" customHeight="1" ht="15">
      <c r="A746" s="1"/>
      <c r="B746" s="1"/>
      <c r="C746" s="1"/>
      <c r="D746" s="1"/>
      <c r="E746" s="1"/>
      <c r="F746" s="1"/>
      <c r="G746" s="1"/>
      <c r="H746" s="1"/>
      <c r="I746" s="1"/>
      <c r="J746" s="1"/>
      <c r="K746" s="17"/>
      <c r="L746" s="1"/>
      <c r="M746" s="1"/>
      <c r="N746" s="2"/>
      <c r="O746" s="2"/>
      <c r="P746" s="17"/>
      <c r="Q746" s="1"/>
      <c r="R746" s="1"/>
      <c r="S746" s="1"/>
      <c r="T746" s="38"/>
      <c r="U746" s="38"/>
      <c r="V746" s="38"/>
      <c r="W746" s="38"/>
      <c r="X746" s="38"/>
      <c r="Y746" s="38"/>
      <c r="Z746" s="38"/>
      <c r="AA746" s="122"/>
      <c r="AB746" s="122"/>
      <c r="AC746" s="122"/>
      <c r="AD746" s="122"/>
      <c r="AE746" s="122"/>
      <c r="AF746" s="122"/>
      <c r="AG746" s="122"/>
      <c r="AH746" s="122"/>
      <c r="AI746" s="122"/>
      <c r="AJ746" s="38"/>
      <c r="AK746" s="122"/>
      <c r="AL746" s="122"/>
      <c r="AM746" s="122"/>
      <c r="AN746" s="122"/>
      <c r="AO746" s="38"/>
      <c r="AP746" s="38"/>
      <c r="AQ746" s="38"/>
      <c r="AR746" s="17"/>
      <c r="AS746" s="1"/>
      <c r="AT746" s="17"/>
      <c r="AU746" s="1"/>
      <c r="AV746" s="17"/>
      <c r="AW746" s="1"/>
      <c r="AX746" s="2"/>
      <c r="AY746" s="1"/>
      <c r="AZ746" s="1"/>
    </row>
    <row x14ac:dyDescent="0.25" r="747" customHeight="1" ht="15">
      <c r="A747" s="1"/>
      <c r="B747" s="1"/>
      <c r="C747" s="1"/>
      <c r="D747" s="1"/>
      <c r="E747" s="1"/>
      <c r="F747" s="1"/>
      <c r="G747" s="1"/>
      <c r="H747" s="1"/>
      <c r="I747" s="1"/>
      <c r="J747" s="1"/>
      <c r="K747" s="17"/>
      <c r="L747" s="1"/>
      <c r="M747" s="1"/>
      <c r="N747" s="2"/>
      <c r="O747" s="2"/>
      <c r="P747" s="17"/>
      <c r="Q747" s="1"/>
      <c r="R747" s="1"/>
      <c r="S747" s="1"/>
      <c r="T747" s="38"/>
      <c r="U747" s="38"/>
      <c r="V747" s="38"/>
      <c r="W747" s="38"/>
      <c r="X747" s="38"/>
      <c r="Y747" s="38"/>
      <c r="Z747" s="38"/>
      <c r="AA747" s="122"/>
      <c r="AB747" s="122"/>
      <c r="AC747" s="122"/>
      <c r="AD747" s="122"/>
      <c r="AE747" s="122"/>
      <c r="AF747" s="122"/>
      <c r="AG747" s="122"/>
      <c r="AH747" s="122"/>
      <c r="AI747" s="122"/>
      <c r="AJ747" s="38"/>
      <c r="AK747" s="122"/>
      <c r="AL747" s="122"/>
      <c r="AM747" s="122"/>
      <c r="AN747" s="122"/>
      <c r="AO747" s="38"/>
      <c r="AP747" s="38"/>
      <c r="AQ747" s="38"/>
      <c r="AR747" s="17"/>
      <c r="AS747" s="1"/>
      <c r="AT747" s="17"/>
      <c r="AU747" s="1"/>
      <c r="AV747" s="17"/>
      <c r="AW747" s="1"/>
      <c r="AX747" s="2"/>
      <c r="AY747" s="1"/>
      <c r="AZ747" s="1"/>
    </row>
    <row x14ac:dyDescent="0.25" r="748" customHeight="1" ht="15">
      <c r="A748" s="1"/>
      <c r="B748" s="1"/>
      <c r="C748" s="1"/>
      <c r="D748" s="1"/>
      <c r="E748" s="1"/>
      <c r="F748" s="1"/>
      <c r="G748" s="1"/>
      <c r="H748" s="1"/>
      <c r="I748" s="1"/>
      <c r="J748" s="1"/>
      <c r="K748" s="17"/>
      <c r="L748" s="1"/>
      <c r="M748" s="1"/>
      <c r="N748" s="2"/>
      <c r="O748" s="2"/>
      <c r="P748" s="17"/>
      <c r="Q748" s="1"/>
      <c r="R748" s="1"/>
      <c r="S748" s="1"/>
      <c r="T748" s="38"/>
      <c r="U748" s="38"/>
      <c r="V748" s="38"/>
      <c r="W748" s="38"/>
      <c r="X748" s="38"/>
      <c r="Y748" s="38"/>
      <c r="Z748" s="38"/>
      <c r="AA748" s="122"/>
      <c r="AB748" s="122"/>
      <c r="AC748" s="122"/>
      <c r="AD748" s="122"/>
      <c r="AE748" s="122"/>
      <c r="AF748" s="122"/>
      <c r="AG748" s="122"/>
      <c r="AH748" s="122"/>
      <c r="AI748" s="122"/>
      <c r="AJ748" s="38"/>
      <c r="AK748" s="122"/>
      <c r="AL748" s="122"/>
      <c r="AM748" s="122"/>
      <c r="AN748" s="122"/>
      <c r="AO748" s="38"/>
      <c r="AP748" s="38"/>
      <c r="AQ748" s="38"/>
      <c r="AR748" s="17"/>
      <c r="AS748" s="1"/>
      <c r="AT748" s="17"/>
      <c r="AU748" s="1"/>
      <c r="AV748" s="17"/>
      <c r="AW748" s="1"/>
      <c r="AX748" s="2"/>
      <c r="AY748" s="1"/>
      <c r="AZ748" s="1"/>
    </row>
    <row x14ac:dyDescent="0.25" r="749" customHeight="1" ht="15">
      <c r="A749" s="1"/>
      <c r="B749" s="1"/>
      <c r="C749" s="1"/>
      <c r="D749" s="1"/>
      <c r="E749" s="1"/>
      <c r="F749" s="1"/>
      <c r="G749" s="1"/>
      <c r="H749" s="1"/>
      <c r="I749" s="1"/>
      <c r="J749" s="1"/>
      <c r="K749" s="17"/>
      <c r="L749" s="1"/>
      <c r="M749" s="1"/>
      <c r="N749" s="2"/>
      <c r="O749" s="2"/>
      <c r="P749" s="17"/>
      <c r="Q749" s="1"/>
      <c r="R749" s="1"/>
      <c r="S749" s="1"/>
      <c r="T749" s="38"/>
      <c r="U749" s="38"/>
      <c r="V749" s="38"/>
      <c r="W749" s="38"/>
      <c r="X749" s="38"/>
      <c r="Y749" s="38"/>
      <c r="Z749" s="38"/>
      <c r="AA749" s="122"/>
      <c r="AB749" s="122"/>
      <c r="AC749" s="122"/>
      <c r="AD749" s="122"/>
      <c r="AE749" s="122"/>
      <c r="AF749" s="122"/>
      <c r="AG749" s="122"/>
      <c r="AH749" s="122"/>
      <c r="AI749" s="122"/>
      <c r="AJ749" s="38"/>
      <c r="AK749" s="122"/>
      <c r="AL749" s="122"/>
      <c r="AM749" s="122"/>
      <c r="AN749" s="122"/>
      <c r="AO749" s="38"/>
      <c r="AP749" s="38"/>
      <c r="AQ749" s="38"/>
      <c r="AR749" s="17"/>
      <c r="AS749" s="1"/>
      <c r="AT749" s="17"/>
      <c r="AU749" s="1"/>
      <c r="AV749" s="17"/>
      <c r="AW749" s="1"/>
      <c r="AX749" s="2"/>
      <c r="AY749" s="1"/>
      <c r="AZ749" s="1"/>
    </row>
    <row x14ac:dyDescent="0.25" r="750" customHeight="1" ht="15">
      <c r="A750" s="1"/>
      <c r="B750" s="1"/>
      <c r="C750" s="1"/>
      <c r="D750" s="1"/>
      <c r="E750" s="1"/>
      <c r="F750" s="1"/>
      <c r="G750" s="1"/>
      <c r="H750" s="1"/>
      <c r="I750" s="1"/>
      <c r="J750" s="1"/>
      <c r="K750" s="17"/>
      <c r="L750" s="1"/>
      <c r="M750" s="1"/>
      <c r="N750" s="2"/>
      <c r="O750" s="2"/>
      <c r="P750" s="17"/>
      <c r="Q750" s="1"/>
      <c r="R750" s="1"/>
      <c r="S750" s="1"/>
      <c r="T750" s="38"/>
      <c r="U750" s="38"/>
      <c r="V750" s="38"/>
      <c r="W750" s="38"/>
      <c r="X750" s="38"/>
      <c r="Y750" s="38"/>
      <c r="Z750" s="38"/>
      <c r="AA750" s="122"/>
      <c r="AB750" s="122"/>
      <c r="AC750" s="122"/>
      <c r="AD750" s="122"/>
      <c r="AE750" s="122"/>
      <c r="AF750" s="122"/>
      <c r="AG750" s="122"/>
      <c r="AH750" s="122"/>
      <c r="AI750" s="122"/>
      <c r="AJ750" s="38"/>
      <c r="AK750" s="122"/>
      <c r="AL750" s="122"/>
      <c r="AM750" s="122"/>
      <c r="AN750" s="122"/>
      <c r="AO750" s="38"/>
      <c r="AP750" s="38"/>
      <c r="AQ750" s="38"/>
      <c r="AR750" s="17"/>
      <c r="AS750" s="1"/>
      <c r="AT750" s="17"/>
      <c r="AU750" s="1"/>
      <c r="AV750" s="17"/>
      <c r="AW750" s="1"/>
      <c r="AX750" s="2"/>
      <c r="AY750" s="1"/>
      <c r="AZ750" s="1"/>
    </row>
    <row x14ac:dyDescent="0.25" r="751" customHeight="1" ht="15">
      <c r="A751" s="1"/>
      <c r="B751" s="1"/>
      <c r="C751" s="1"/>
      <c r="D751" s="1"/>
      <c r="E751" s="1"/>
      <c r="F751" s="1"/>
      <c r="G751" s="1"/>
      <c r="H751" s="1"/>
      <c r="I751" s="1"/>
      <c r="J751" s="1"/>
      <c r="K751" s="17"/>
      <c r="L751" s="1"/>
      <c r="M751" s="1"/>
      <c r="N751" s="2"/>
      <c r="O751" s="2"/>
      <c r="P751" s="17"/>
      <c r="Q751" s="1"/>
      <c r="R751" s="1"/>
      <c r="S751" s="1"/>
      <c r="T751" s="38"/>
      <c r="U751" s="38"/>
      <c r="V751" s="38"/>
      <c r="W751" s="38"/>
      <c r="X751" s="38"/>
      <c r="Y751" s="38"/>
      <c r="Z751" s="38"/>
      <c r="AA751" s="122"/>
      <c r="AB751" s="122"/>
      <c r="AC751" s="122"/>
      <c r="AD751" s="122"/>
      <c r="AE751" s="122"/>
      <c r="AF751" s="122"/>
      <c r="AG751" s="122"/>
      <c r="AH751" s="122"/>
      <c r="AI751" s="122"/>
      <c r="AJ751" s="38"/>
      <c r="AK751" s="122"/>
      <c r="AL751" s="122"/>
      <c r="AM751" s="122"/>
      <c r="AN751" s="122"/>
      <c r="AO751" s="38"/>
      <c r="AP751" s="38"/>
      <c r="AQ751" s="38"/>
      <c r="AR751" s="17"/>
      <c r="AS751" s="1"/>
      <c r="AT751" s="17"/>
      <c r="AU751" s="1"/>
      <c r="AV751" s="17"/>
      <c r="AW751" s="1"/>
      <c r="AX751" s="2"/>
      <c r="AY751" s="1"/>
      <c r="AZ751" s="1"/>
    </row>
    <row x14ac:dyDescent="0.25" r="752" customHeight="1" ht="15">
      <c r="A752" s="1"/>
      <c r="B752" s="1"/>
      <c r="C752" s="1"/>
      <c r="D752" s="1"/>
      <c r="E752" s="1"/>
      <c r="F752" s="1"/>
      <c r="G752" s="1"/>
      <c r="H752" s="1"/>
      <c r="I752" s="1"/>
      <c r="J752" s="1"/>
      <c r="K752" s="17"/>
      <c r="L752" s="1"/>
      <c r="M752" s="1"/>
      <c r="N752" s="2"/>
      <c r="O752" s="2"/>
      <c r="P752" s="17"/>
      <c r="Q752" s="1"/>
      <c r="R752" s="1"/>
      <c r="S752" s="1"/>
      <c r="T752" s="38"/>
      <c r="U752" s="38"/>
      <c r="V752" s="38"/>
      <c r="W752" s="38"/>
      <c r="X752" s="38"/>
      <c r="Y752" s="38"/>
      <c r="Z752" s="38"/>
      <c r="AA752" s="122"/>
      <c r="AB752" s="122"/>
      <c r="AC752" s="122"/>
      <c r="AD752" s="122"/>
      <c r="AE752" s="122"/>
      <c r="AF752" s="122"/>
      <c r="AG752" s="122"/>
      <c r="AH752" s="122"/>
      <c r="AI752" s="122"/>
      <c r="AJ752" s="38"/>
      <c r="AK752" s="122"/>
      <c r="AL752" s="122"/>
      <c r="AM752" s="122"/>
      <c r="AN752" s="122"/>
      <c r="AO752" s="38"/>
      <c r="AP752" s="38"/>
      <c r="AQ752" s="38"/>
      <c r="AR752" s="17"/>
      <c r="AS752" s="1"/>
      <c r="AT752" s="17"/>
      <c r="AU752" s="1"/>
      <c r="AV752" s="17"/>
      <c r="AW752" s="1"/>
      <c r="AX752" s="2"/>
      <c r="AY752" s="1"/>
      <c r="AZ752" s="1"/>
    </row>
    <row x14ac:dyDescent="0.25" r="753" customHeight="1" ht="15">
      <c r="A753" s="1"/>
      <c r="B753" s="1"/>
      <c r="C753" s="1"/>
      <c r="D753" s="1"/>
      <c r="E753" s="1"/>
      <c r="F753" s="1"/>
      <c r="G753" s="1"/>
      <c r="H753" s="1"/>
      <c r="I753" s="1"/>
      <c r="J753" s="1"/>
      <c r="K753" s="17"/>
      <c r="L753" s="1"/>
      <c r="M753" s="1"/>
      <c r="N753" s="2"/>
      <c r="O753" s="2"/>
      <c r="P753" s="17"/>
      <c r="Q753" s="1"/>
      <c r="R753" s="1"/>
      <c r="S753" s="1"/>
      <c r="T753" s="38"/>
      <c r="U753" s="38"/>
      <c r="V753" s="38"/>
      <c r="W753" s="38"/>
      <c r="X753" s="38"/>
      <c r="Y753" s="38"/>
      <c r="Z753" s="38"/>
      <c r="AA753" s="122"/>
      <c r="AB753" s="122"/>
      <c r="AC753" s="122"/>
      <c r="AD753" s="122"/>
      <c r="AE753" s="122"/>
      <c r="AF753" s="122"/>
      <c r="AG753" s="122"/>
      <c r="AH753" s="122"/>
      <c r="AI753" s="122"/>
      <c r="AJ753" s="38"/>
      <c r="AK753" s="122"/>
      <c r="AL753" s="122"/>
      <c r="AM753" s="122"/>
      <c r="AN753" s="122"/>
      <c r="AO753" s="38"/>
      <c r="AP753" s="38"/>
      <c r="AQ753" s="38"/>
      <c r="AR753" s="17"/>
      <c r="AS753" s="1"/>
      <c r="AT753" s="17"/>
      <c r="AU753" s="1"/>
      <c r="AV753" s="17"/>
      <c r="AW753" s="1"/>
      <c r="AX753" s="2"/>
      <c r="AY753" s="1"/>
      <c r="AZ753" s="1"/>
    </row>
    <row x14ac:dyDescent="0.25" r="754" customHeight="1" ht="15">
      <c r="A754" s="1"/>
      <c r="B754" s="1"/>
      <c r="C754" s="1"/>
      <c r="D754" s="1"/>
      <c r="E754" s="1"/>
      <c r="F754" s="1"/>
      <c r="G754" s="1"/>
      <c r="H754" s="1"/>
      <c r="I754" s="1"/>
      <c r="J754" s="1"/>
      <c r="K754" s="17"/>
      <c r="L754" s="1"/>
      <c r="M754" s="1"/>
      <c r="N754" s="2"/>
      <c r="O754" s="2"/>
      <c r="P754" s="17"/>
      <c r="Q754" s="1"/>
      <c r="R754" s="1"/>
      <c r="S754" s="1"/>
      <c r="T754" s="38"/>
      <c r="U754" s="38"/>
      <c r="V754" s="38"/>
      <c r="W754" s="38"/>
      <c r="X754" s="38"/>
      <c r="Y754" s="38"/>
      <c r="Z754" s="38"/>
      <c r="AA754" s="122"/>
      <c r="AB754" s="122"/>
      <c r="AC754" s="122"/>
      <c r="AD754" s="122"/>
      <c r="AE754" s="122"/>
      <c r="AF754" s="122"/>
      <c r="AG754" s="122"/>
      <c r="AH754" s="122"/>
      <c r="AI754" s="122"/>
      <c r="AJ754" s="38"/>
      <c r="AK754" s="122"/>
      <c r="AL754" s="122"/>
      <c r="AM754" s="122"/>
      <c r="AN754" s="122"/>
      <c r="AO754" s="38"/>
      <c r="AP754" s="38"/>
      <c r="AQ754" s="38"/>
      <c r="AR754" s="17"/>
      <c r="AS754" s="1"/>
      <c r="AT754" s="17"/>
      <c r="AU754" s="1"/>
      <c r="AV754" s="17"/>
      <c r="AW754" s="1"/>
      <c r="AX754" s="2"/>
      <c r="AY754" s="1"/>
      <c r="AZ754" s="1"/>
    </row>
    <row x14ac:dyDescent="0.25" r="755" customHeight="1" ht="15">
      <c r="A755" s="1"/>
      <c r="B755" s="1"/>
      <c r="C755" s="1"/>
      <c r="D755" s="1"/>
      <c r="E755" s="1"/>
      <c r="F755" s="1"/>
      <c r="G755" s="1"/>
      <c r="H755" s="1"/>
      <c r="I755" s="1"/>
      <c r="J755" s="1"/>
      <c r="K755" s="17"/>
      <c r="L755" s="1"/>
      <c r="M755" s="1"/>
      <c r="N755" s="2"/>
      <c r="O755" s="2"/>
      <c r="P755" s="17"/>
      <c r="Q755" s="1"/>
      <c r="R755" s="1"/>
      <c r="S755" s="1"/>
      <c r="T755" s="38"/>
      <c r="U755" s="38"/>
      <c r="V755" s="38"/>
      <c r="W755" s="38"/>
      <c r="X755" s="38"/>
      <c r="Y755" s="38"/>
      <c r="Z755" s="38"/>
      <c r="AA755" s="122"/>
      <c r="AB755" s="122"/>
      <c r="AC755" s="122"/>
      <c r="AD755" s="122"/>
      <c r="AE755" s="122"/>
      <c r="AF755" s="122"/>
      <c r="AG755" s="122"/>
      <c r="AH755" s="122"/>
      <c r="AI755" s="122"/>
      <c r="AJ755" s="38"/>
      <c r="AK755" s="122"/>
      <c r="AL755" s="122"/>
      <c r="AM755" s="122"/>
      <c r="AN755" s="122"/>
      <c r="AO755" s="38"/>
      <c r="AP755" s="38"/>
      <c r="AQ755" s="38"/>
      <c r="AR755" s="17"/>
      <c r="AS755" s="1"/>
      <c r="AT755" s="17"/>
      <c r="AU755" s="1"/>
      <c r="AV755" s="17"/>
      <c r="AW755" s="1"/>
      <c r="AX755" s="2"/>
      <c r="AY755" s="1"/>
      <c r="AZ755" s="1"/>
    </row>
    <row x14ac:dyDescent="0.25" r="756" customHeight="1" ht="15">
      <c r="A756" s="1"/>
      <c r="B756" s="1"/>
      <c r="C756" s="1"/>
      <c r="D756" s="1"/>
      <c r="E756" s="1"/>
      <c r="F756" s="1"/>
      <c r="G756" s="1"/>
      <c r="H756" s="1"/>
      <c r="I756" s="1"/>
      <c r="J756" s="1"/>
      <c r="K756" s="17"/>
      <c r="L756" s="1"/>
      <c r="M756" s="1"/>
      <c r="N756" s="2"/>
      <c r="O756" s="2"/>
      <c r="P756" s="17"/>
      <c r="Q756" s="1"/>
      <c r="R756" s="1"/>
      <c r="S756" s="1"/>
      <c r="T756" s="38"/>
      <c r="U756" s="38"/>
      <c r="V756" s="38"/>
      <c r="W756" s="38"/>
      <c r="X756" s="38"/>
      <c r="Y756" s="38"/>
      <c r="Z756" s="38"/>
      <c r="AA756" s="122"/>
      <c r="AB756" s="122"/>
      <c r="AC756" s="122"/>
      <c r="AD756" s="122"/>
      <c r="AE756" s="122"/>
      <c r="AF756" s="122"/>
      <c r="AG756" s="122"/>
      <c r="AH756" s="122"/>
      <c r="AI756" s="122"/>
      <c r="AJ756" s="38"/>
      <c r="AK756" s="122"/>
      <c r="AL756" s="122"/>
      <c r="AM756" s="122"/>
      <c r="AN756" s="122"/>
      <c r="AO756" s="38"/>
      <c r="AP756" s="38"/>
      <c r="AQ756" s="38"/>
      <c r="AR756" s="17"/>
      <c r="AS756" s="1"/>
      <c r="AT756" s="17"/>
      <c r="AU756" s="1"/>
      <c r="AV756" s="17"/>
      <c r="AW756" s="1"/>
      <c r="AX756" s="2"/>
      <c r="AY756" s="1"/>
      <c r="AZ756" s="1"/>
    </row>
    <row x14ac:dyDescent="0.25" r="757" customHeight="1" ht="15">
      <c r="A757" s="1"/>
      <c r="B757" s="1"/>
      <c r="C757" s="1"/>
      <c r="D757" s="1"/>
      <c r="E757" s="1"/>
      <c r="F757" s="1"/>
      <c r="G757" s="1"/>
      <c r="H757" s="1"/>
      <c r="I757" s="1"/>
      <c r="J757" s="1"/>
      <c r="K757" s="17"/>
      <c r="L757" s="1"/>
      <c r="M757" s="1"/>
      <c r="N757" s="2"/>
      <c r="O757" s="2"/>
      <c r="P757" s="17"/>
      <c r="Q757" s="1"/>
      <c r="R757" s="1"/>
      <c r="S757" s="1"/>
      <c r="T757" s="38"/>
      <c r="U757" s="38"/>
      <c r="V757" s="38"/>
      <c r="W757" s="38"/>
      <c r="X757" s="38"/>
      <c r="Y757" s="38"/>
      <c r="Z757" s="38"/>
      <c r="AA757" s="122"/>
      <c r="AB757" s="122"/>
      <c r="AC757" s="122"/>
      <c r="AD757" s="122"/>
      <c r="AE757" s="122"/>
      <c r="AF757" s="122"/>
      <c r="AG757" s="122"/>
      <c r="AH757" s="122"/>
      <c r="AI757" s="122"/>
      <c r="AJ757" s="38"/>
      <c r="AK757" s="122"/>
      <c r="AL757" s="122"/>
      <c r="AM757" s="122"/>
      <c r="AN757" s="122"/>
      <c r="AO757" s="38"/>
      <c r="AP757" s="38"/>
      <c r="AQ757" s="38"/>
      <c r="AR757" s="17"/>
      <c r="AS757" s="1"/>
      <c r="AT757" s="17"/>
      <c r="AU757" s="1"/>
      <c r="AV757" s="17"/>
      <c r="AW757" s="1"/>
      <c r="AX757" s="2"/>
      <c r="AY757" s="1"/>
      <c r="AZ757" s="1"/>
    </row>
    <row x14ac:dyDescent="0.25" r="758" customHeight="1" ht="15">
      <c r="A758" s="1"/>
      <c r="B758" s="1"/>
      <c r="C758" s="1"/>
      <c r="D758" s="1"/>
      <c r="E758" s="1"/>
      <c r="F758" s="1"/>
      <c r="G758" s="1"/>
      <c r="H758" s="1"/>
      <c r="I758" s="1"/>
      <c r="J758" s="1"/>
      <c r="K758" s="17"/>
      <c r="L758" s="1"/>
      <c r="M758" s="1"/>
      <c r="N758" s="2"/>
      <c r="O758" s="2"/>
      <c r="P758" s="17"/>
      <c r="Q758" s="1"/>
      <c r="R758" s="1"/>
      <c r="S758" s="1"/>
      <c r="T758" s="38"/>
      <c r="U758" s="38"/>
      <c r="V758" s="38"/>
      <c r="W758" s="38"/>
      <c r="X758" s="38"/>
      <c r="Y758" s="38"/>
      <c r="Z758" s="38"/>
      <c r="AA758" s="122"/>
      <c r="AB758" s="122"/>
      <c r="AC758" s="122"/>
      <c r="AD758" s="122"/>
      <c r="AE758" s="122"/>
      <c r="AF758" s="122"/>
      <c r="AG758" s="122"/>
      <c r="AH758" s="122"/>
      <c r="AI758" s="122"/>
      <c r="AJ758" s="38"/>
      <c r="AK758" s="122"/>
      <c r="AL758" s="122"/>
      <c r="AM758" s="122"/>
      <c r="AN758" s="122"/>
      <c r="AO758" s="38"/>
      <c r="AP758" s="38"/>
      <c r="AQ758" s="38"/>
      <c r="AR758" s="17"/>
      <c r="AS758" s="1"/>
      <c r="AT758" s="17"/>
      <c r="AU758" s="1"/>
      <c r="AV758" s="17"/>
      <c r="AW758" s="1"/>
      <c r="AX758" s="2"/>
      <c r="AY758" s="1"/>
      <c r="AZ758" s="1"/>
    </row>
    <row x14ac:dyDescent="0.25" r="759" customHeight="1" ht="15">
      <c r="A759" s="1"/>
      <c r="B759" s="1"/>
      <c r="C759" s="1"/>
      <c r="D759" s="1"/>
      <c r="E759" s="1"/>
      <c r="F759" s="1"/>
      <c r="G759" s="1"/>
      <c r="H759" s="1"/>
      <c r="I759" s="1"/>
      <c r="J759" s="1"/>
      <c r="K759" s="17"/>
      <c r="L759" s="1"/>
      <c r="M759" s="1"/>
      <c r="N759" s="2"/>
      <c r="O759" s="2"/>
      <c r="P759" s="17"/>
      <c r="Q759" s="1"/>
      <c r="R759" s="1"/>
      <c r="S759" s="1"/>
      <c r="T759" s="38"/>
      <c r="U759" s="38"/>
      <c r="V759" s="38"/>
      <c r="W759" s="38"/>
      <c r="X759" s="38"/>
      <c r="Y759" s="38"/>
      <c r="Z759" s="38"/>
      <c r="AA759" s="122"/>
      <c r="AB759" s="122"/>
      <c r="AC759" s="122"/>
      <c r="AD759" s="122"/>
      <c r="AE759" s="122"/>
      <c r="AF759" s="122"/>
      <c r="AG759" s="122"/>
      <c r="AH759" s="122"/>
      <c r="AI759" s="122"/>
      <c r="AJ759" s="38"/>
      <c r="AK759" s="122"/>
      <c r="AL759" s="122"/>
      <c r="AM759" s="122"/>
      <c r="AN759" s="122"/>
      <c r="AO759" s="38"/>
      <c r="AP759" s="38"/>
      <c r="AQ759" s="38"/>
      <c r="AR759" s="17"/>
      <c r="AS759" s="1"/>
      <c r="AT759" s="17"/>
      <c r="AU759" s="1"/>
      <c r="AV759" s="17"/>
      <c r="AW759" s="1"/>
      <c r="AX759" s="2"/>
      <c r="AY759" s="1"/>
      <c r="AZ759" s="1"/>
    </row>
    <row x14ac:dyDescent="0.25" r="760" customHeight="1" ht="15">
      <c r="A760" s="1"/>
      <c r="B760" s="1"/>
      <c r="C760" s="1"/>
      <c r="D760" s="1"/>
      <c r="E760" s="1"/>
      <c r="F760" s="1"/>
      <c r="G760" s="1"/>
      <c r="H760" s="1"/>
      <c r="I760" s="1"/>
      <c r="J760" s="1"/>
      <c r="K760" s="17"/>
      <c r="L760" s="1"/>
      <c r="M760" s="1"/>
      <c r="N760" s="2"/>
      <c r="O760" s="2"/>
      <c r="P760" s="17"/>
      <c r="Q760" s="1"/>
      <c r="R760" s="1"/>
      <c r="S760" s="1"/>
      <c r="T760" s="38"/>
      <c r="U760" s="38"/>
      <c r="V760" s="38"/>
      <c r="W760" s="38"/>
      <c r="X760" s="38"/>
      <c r="Y760" s="38"/>
      <c r="Z760" s="38"/>
      <c r="AA760" s="122"/>
      <c r="AB760" s="122"/>
      <c r="AC760" s="122"/>
      <c r="AD760" s="122"/>
      <c r="AE760" s="122"/>
      <c r="AF760" s="122"/>
      <c r="AG760" s="122"/>
      <c r="AH760" s="122"/>
      <c r="AI760" s="122"/>
      <c r="AJ760" s="38"/>
      <c r="AK760" s="122"/>
      <c r="AL760" s="122"/>
      <c r="AM760" s="122"/>
      <c r="AN760" s="122"/>
      <c r="AO760" s="38"/>
      <c r="AP760" s="38"/>
      <c r="AQ760" s="38"/>
      <c r="AR760" s="17"/>
      <c r="AS760" s="1"/>
      <c r="AT760" s="17"/>
      <c r="AU760" s="1"/>
      <c r="AV760" s="17"/>
      <c r="AW760" s="1"/>
      <c r="AX760" s="2"/>
      <c r="AY760" s="1"/>
      <c r="AZ760" s="1"/>
    </row>
    <row x14ac:dyDescent="0.25" r="761" customHeight="1" ht="15">
      <c r="A761" s="1"/>
      <c r="B761" s="1"/>
      <c r="C761" s="1"/>
      <c r="D761" s="1"/>
      <c r="E761" s="1"/>
      <c r="F761" s="1"/>
      <c r="G761" s="1"/>
      <c r="H761" s="1"/>
      <c r="I761" s="1"/>
      <c r="J761" s="1"/>
      <c r="K761" s="17"/>
      <c r="L761" s="1"/>
      <c r="M761" s="1"/>
      <c r="N761" s="2"/>
      <c r="O761" s="2"/>
      <c r="P761" s="17"/>
      <c r="Q761" s="1"/>
      <c r="R761" s="1"/>
      <c r="S761" s="1"/>
      <c r="T761" s="38"/>
      <c r="U761" s="38"/>
      <c r="V761" s="38"/>
      <c r="W761" s="38"/>
      <c r="X761" s="38"/>
      <c r="Y761" s="38"/>
      <c r="Z761" s="38"/>
      <c r="AA761" s="122"/>
      <c r="AB761" s="122"/>
      <c r="AC761" s="122"/>
      <c r="AD761" s="122"/>
      <c r="AE761" s="122"/>
      <c r="AF761" s="122"/>
      <c r="AG761" s="122"/>
      <c r="AH761" s="122"/>
      <c r="AI761" s="122"/>
      <c r="AJ761" s="38"/>
      <c r="AK761" s="122"/>
      <c r="AL761" s="122"/>
      <c r="AM761" s="122"/>
      <c r="AN761" s="122"/>
      <c r="AO761" s="38"/>
      <c r="AP761" s="38"/>
      <c r="AQ761" s="38"/>
      <c r="AR761" s="17"/>
      <c r="AS761" s="1"/>
      <c r="AT761" s="17"/>
      <c r="AU761" s="1"/>
      <c r="AV761" s="17"/>
      <c r="AW761" s="1"/>
      <c r="AX761" s="2"/>
      <c r="AY761" s="1"/>
      <c r="AZ761" s="1"/>
    </row>
    <row x14ac:dyDescent="0.25" r="762" customHeight="1" ht="15">
      <c r="A762" s="1"/>
      <c r="B762" s="1"/>
      <c r="C762" s="1"/>
      <c r="D762" s="1"/>
      <c r="E762" s="1"/>
      <c r="F762" s="1"/>
      <c r="G762" s="1"/>
      <c r="H762" s="1"/>
      <c r="I762" s="1"/>
      <c r="J762" s="1"/>
      <c r="K762" s="17"/>
      <c r="L762" s="1"/>
      <c r="M762" s="1"/>
      <c r="N762" s="2"/>
      <c r="O762" s="2"/>
      <c r="P762" s="17"/>
      <c r="Q762" s="1"/>
      <c r="R762" s="1"/>
      <c r="S762" s="1"/>
      <c r="T762" s="38"/>
      <c r="U762" s="38"/>
      <c r="V762" s="38"/>
      <c r="W762" s="38"/>
      <c r="X762" s="38"/>
      <c r="Y762" s="38"/>
      <c r="Z762" s="38"/>
      <c r="AA762" s="122"/>
      <c r="AB762" s="122"/>
      <c r="AC762" s="122"/>
      <c r="AD762" s="122"/>
      <c r="AE762" s="122"/>
      <c r="AF762" s="122"/>
      <c r="AG762" s="122"/>
      <c r="AH762" s="122"/>
      <c r="AI762" s="122"/>
      <c r="AJ762" s="38"/>
      <c r="AK762" s="122"/>
      <c r="AL762" s="122"/>
      <c r="AM762" s="122"/>
      <c r="AN762" s="122"/>
      <c r="AO762" s="38"/>
      <c r="AP762" s="38"/>
      <c r="AQ762" s="38"/>
      <c r="AR762" s="17"/>
      <c r="AS762" s="1"/>
      <c r="AT762" s="17"/>
      <c r="AU762" s="1"/>
      <c r="AV762" s="17"/>
      <c r="AW762" s="1"/>
      <c r="AX762" s="2"/>
      <c r="AY762" s="1"/>
      <c r="AZ762" s="1"/>
    </row>
    <row x14ac:dyDescent="0.25" r="763" customHeight="1" ht="15">
      <c r="A763" s="1"/>
      <c r="B763" s="1"/>
      <c r="C763" s="1"/>
      <c r="D763" s="1"/>
      <c r="E763" s="1"/>
      <c r="F763" s="1"/>
      <c r="G763" s="1"/>
      <c r="H763" s="1"/>
      <c r="I763" s="1"/>
      <c r="J763" s="1"/>
      <c r="K763" s="17"/>
      <c r="L763" s="1"/>
      <c r="M763" s="1"/>
      <c r="N763" s="2"/>
      <c r="O763" s="2"/>
      <c r="P763" s="17"/>
      <c r="Q763" s="1"/>
      <c r="R763" s="1"/>
      <c r="S763" s="1"/>
      <c r="T763" s="38"/>
      <c r="U763" s="38"/>
      <c r="V763" s="38"/>
      <c r="W763" s="38"/>
      <c r="X763" s="38"/>
      <c r="Y763" s="38"/>
      <c r="Z763" s="38"/>
      <c r="AA763" s="122"/>
      <c r="AB763" s="122"/>
      <c r="AC763" s="122"/>
      <c r="AD763" s="122"/>
      <c r="AE763" s="122"/>
      <c r="AF763" s="122"/>
      <c r="AG763" s="122"/>
      <c r="AH763" s="122"/>
      <c r="AI763" s="122"/>
      <c r="AJ763" s="38"/>
      <c r="AK763" s="122"/>
      <c r="AL763" s="122"/>
      <c r="AM763" s="122"/>
      <c r="AN763" s="122"/>
      <c r="AO763" s="38"/>
      <c r="AP763" s="38"/>
      <c r="AQ763" s="38"/>
      <c r="AR763" s="17"/>
      <c r="AS763" s="1"/>
      <c r="AT763" s="17"/>
      <c r="AU763" s="1"/>
      <c r="AV763" s="17"/>
      <c r="AW763" s="1"/>
      <c r="AX763" s="2"/>
      <c r="AY763" s="1"/>
      <c r="AZ763" s="1"/>
    </row>
    <row x14ac:dyDescent="0.25" r="764" customHeight="1" ht="15">
      <c r="A764" s="1"/>
      <c r="B764" s="1"/>
      <c r="C764" s="1"/>
      <c r="D764" s="1"/>
      <c r="E764" s="1"/>
      <c r="F764" s="1"/>
      <c r="G764" s="1"/>
      <c r="H764" s="1"/>
      <c r="I764" s="1"/>
      <c r="J764" s="1"/>
      <c r="K764" s="17"/>
      <c r="L764" s="1"/>
      <c r="M764" s="1"/>
      <c r="N764" s="2"/>
      <c r="O764" s="2"/>
      <c r="P764" s="17"/>
      <c r="Q764" s="1"/>
      <c r="R764" s="1"/>
      <c r="S764" s="1"/>
      <c r="T764" s="38"/>
      <c r="U764" s="38"/>
      <c r="V764" s="38"/>
      <c r="W764" s="38"/>
      <c r="X764" s="38"/>
      <c r="Y764" s="38"/>
      <c r="Z764" s="38"/>
      <c r="AA764" s="122"/>
      <c r="AB764" s="122"/>
      <c r="AC764" s="122"/>
      <c r="AD764" s="122"/>
      <c r="AE764" s="122"/>
      <c r="AF764" s="122"/>
      <c r="AG764" s="122"/>
      <c r="AH764" s="122"/>
      <c r="AI764" s="122"/>
      <c r="AJ764" s="38"/>
      <c r="AK764" s="122"/>
      <c r="AL764" s="122"/>
      <c r="AM764" s="122"/>
      <c r="AN764" s="122"/>
      <c r="AO764" s="38"/>
      <c r="AP764" s="38"/>
      <c r="AQ764" s="38"/>
      <c r="AR764" s="17"/>
      <c r="AS764" s="1"/>
      <c r="AT764" s="17"/>
      <c r="AU764" s="1"/>
      <c r="AV764" s="17"/>
      <c r="AW764" s="1"/>
      <c r="AX764" s="2"/>
      <c r="AY764" s="1"/>
      <c r="AZ764" s="1"/>
    </row>
    <row x14ac:dyDescent="0.25" r="765" customHeight="1" ht="15">
      <c r="A765" s="1"/>
      <c r="B765" s="1"/>
      <c r="C765" s="1"/>
      <c r="D765" s="1"/>
      <c r="E765" s="1"/>
      <c r="F765" s="1"/>
      <c r="G765" s="1"/>
      <c r="H765" s="1"/>
      <c r="I765" s="1"/>
      <c r="J765" s="1"/>
      <c r="K765" s="17"/>
      <c r="L765" s="1"/>
      <c r="M765" s="1"/>
      <c r="N765" s="2"/>
      <c r="O765" s="2"/>
      <c r="P765" s="17"/>
      <c r="Q765" s="1"/>
      <c r="R765" s="1"/>
      <c r="S765" s="1"/>
      <c r="T765" s="38"/>
      <c r="U765" s="38"/>
      <c r="V765" s="38"/>
      <c r="W765" s="38"/>
      <c r="X765" s="38"/>
      <c r="Y765" s="38"/>
      <c r="Z765" s="38"/>
      <c r="AA765" s="122"/>
      <c r="AB765" s="122"/>
      <c r="AC765" s="122"/>
      <c r="AD765" s="122"/>
      <c r="AE765" s="122"/>
      <c r="AF765" s="122"/>
      <c r="AG765" s="122"/>
      <c r="AH765" s="122"/>
      <c r="AI765" s="122"/>
      <c r="AJ765" s="38"/>
      <c r="AK765" s="122"/>
      <c r="AL765" s="122"/>
      <c r="AM765" s="122"/>
      <c r="AN765" s="122"/>
      <c r="AO765" s="38"/>
      <c r="AP765" s="38"/>
      <c r="AQ765" s="38"/>
      <c r="AR765" s="17"/>
      <c r="AS765" s="1"/>
      <c r="AT765" s="17"/>
      <c r="AU765" s="1"/>
      <c r="AV765" s="17"/>
      <c r="AW765" s="1"/>
      <c r="AX765" s="2"/>
      <c r="AY765" s="1"/>
      <c r="AZ765" s="1"/>
    </row>
    <row x14ac:dyDescent="0.25" r="766" customHeight="1" ht="15">
      <c r="A766" s="1"/>
      <c r="B766" s="1"/>
      <c r="C766" s="1"/>
      <c r="D766" s="1"/>
      <c r="E766" s="1"/>
      <c r="F766" s="1"/>
      <c r="G766" s="1"/>
      <c r="H766" s="1"/>
      <c r="I766" s="1"/>
      <c r="J766" s="1"/>
      <c r="K766" s="17"/>
      <c r="L766" s="1"/>
      <c r="M766" s="1"/>
      <c r="N766" s="2"/>
      <c r="O766" s="2"/>
      <c r="P766" s="17"/>
      <c r="Q766" s="1"/>
      <c r="R766" s="1"/>
      <c r="S766" s="1"/>
      <c r="T766" s="38"/>
      <c r="U766" s="38"/>
      <c r="V766" s="38"/>
      <c r="W766" s="38"/>
      <c r="X766" s="38"/>
      <c r="Y766" s="38"/>
      <c r="Z766" s="38"/>
      <c r="AA766" s="122"/>
      <c r="AB766" s="122"/>
      <c r="AC766" s="122"/>
      <c r="AD766" s="122"/>
      <c r="AE766" s="122"/>
      <c r="AF766" s="122"/>
      <c r="AG766" s="122"/>
      <c r="AH766" s="122"/>
      <c r="AI766" s="122"/>
      <c r="AJ766" s="38"/>
      <c r="AK766" s="122"/>
      <c r="AL766" s="122"/>
      <c r="AM766" s="122"/>
      <c r="AN766" s="122"/>
      <c r="AO766" s="38"/>
      <c r="AP766" s="38"/>
      <c r="AQ766" s="38"/>
      <c r="AR766" s="17"/>
      <c r="AS766" s="1"/>
      <c r="AT766" s="17"/>
      <c r="AU766" s="1"/>
      <c r="AV766" s="17"/>
      <c r="AW766" s="1"/>
      <c r="AX766" s="2"/>
      <c r="AY766" s="1"/>
      <c r="AZ766" s="1"/>
    </row>
    <row x14ac:dyDescent="0.25" r="767" customHeight="1" ht="15">
      <c r="A767" s="1"/>
      <c r="B767" s="1"/>
      <c r="C767" s="1"/>
      <c r="D767" s="1"/>
      <c r="E767" s="1"/>
      <c r="F767" s="1"/>
      <c r="G767" s="1"/>
      <c r="H767" s="1"/>
      <c r="I767" s="1"/>
      <c r="J767" s="1"/>
      <c r="K767" s="17"/>
      <c r="L767" s="1"/>
      <c r="M767" s="1"/>
      <c r="N767" s="2"/>
      <c r="O767" s="2"/>
      <c r="P767" s="17"/>
      <c r="Q767" s="1"/>
      <c r="R767" s="1"/>
      <c r="S767" s="1"/>
      <c r="T767" s="38"/>
      <c r="U767" s="38"/>
      <c r="V767" s="38"/>
      <c r="W767" s="38"/>
      <c r="X767" s="38"/>
      <c r="Y767" s="38"/>
      <c r="Z767" s="38"/>
      <c r="AA767" s="122"/>
      <c r="AB767" s="122"/>
      <c r="AC767" s="122"/>
      <c r="AD767" s="122"/>
      <c r="AE767" s="122"/>
      <c r="AF767" s="122"/>
      <c r="AG767" s="122"/>
      <c r="AH767" s="122"/>
      <c r="AI767" s="122"/>
      <c r="AJ767" s="38"/>
      <c r="AK767" s="122"/>
      <c r="AL767" s="122"/>
      <c r="AM767" s="122"/>
      <c r="AN767" s="122"/>
      <c r="AO767" s="38"/>
      <c r="AP767" s="38"/>
      <c r="AQ767" s="38"/>
      <c r="AR767" s="17"/>
      <c r="AS767" s="1"/>
      <c r="AT767" s="17"/>
      <c r="AU767" s="1"/>
      <c r="AV767" s="17"/>
      <c r="AW767" s="1"/>
      <c r="AX767" s="2"/>
      <c r="AY767" s="1"/>
      <c r="AZ767" s="1"/>
    </row>
    <row x14ac:dyDescent="0.25" r="768" customHeight="1" ht="15">
      <c r="A768" s="1"/>
      <c r="B768" s="1"/>
      <c r="C768" s="1"/>
      <c r="D768" s="1"/>
      <c r="E768" s="1"/>
      <c r="F768" s="1"/>
      <c r="G768" s="1"/>
      <c r="H768" s="1"/>
      <c r="I768" s="1"/>
      <c r="J768" s="1"/>
      <c r="K768" s="17"/>
      <c r="L768" s="1"/>
      <c r="M768" s="1"/>
      <c r="N768" s="2"/>
      <c r="O768" s="2"/>
      <c r="P768" s="17"/>
      <c r="Q768" s="1"/>
      <c r="R768" s="1"/>
      <c r="S768" s="1"/>
      <c r="T768" s="38"/>
      <c r="U768" s="38"/>
      <c r="V768" s="38"/>
      <c r="W768" s="38"/>
      <c r="X768" s="38"/>
      <c r="Y768" s="38"/>
      <c r="Z768" s="38"/>
      <c r="AA768" s="122"/>
      <c r="AB768" s="122"/>
      <c r="AC768" s="122"/>
      <c r="AD768" s="122"/>
      <c r="AE768" s="122"/>
      <c r="AF768" s="122"/>
      <c r="AG768" s="122"/>
      <c r="AH768" s="122"/>
      <c r="AI768" s="122"/>
      <c r="AJ768" s="38"/>
      <c r="AK768" s="122"/>
      <c r="AL768" s="122"/>
      <c r="AM768" s="122"/>
      <c r="AN768" s="122"/>
      <c r="AO768" s="38"/>
      <c r="AP768" s="38"/>
      <c r="AQ768" s="38"/>
      <c r="AR768" s="17"/>
      <c r="AS768" s="1"/>
      <c r="AT768" s="17"/>
      <c r="AU768" s="1"/>
      <c r="AV768" s="17"/>
      <c r="AW768" s="1"/>
      <c r="AX768" s="2"/>
      <c r="AY768" s="1"/>
      <c r="AZ768" s="1"/>
    </row>
    <row x14ac:dyDescent="0.25" r="769" customHeight="1" ht="15">
      <c r="A769" s="1"/>
      <c r="B769" s="1"/>
      <c r="C769" s="1"/>
      <c r="D769" s="1"/>
      <c r="E769" s="1"/>
      <c r="F769" s="1"/>
      <c r="G769" s="1"/>
      <c r="H769" s="1"/>
      <c r="I769" s="1"/>
      <c r="J769" s="1"/>
      <c r="K769" s="17"/>
      <c r="L769" s="1"/>
      <c r="M769" s="1"/>
      <c r="N769" s="2"/>
      <c r="O769" s="2"/>
      <c r="P769" s="17"/>
      <c r="Q769" s="1"/>
      <c r="R769" s="1"/>
      <c r="S769" s="1"/>
      <c r="T769" s="38"/>
      <c r="U769" s="38"/>
      <c r="V769" s="38"/>
      <c r="W769" s="38"/>
      <c r="X769" s="38"/>
      <c r="Y769" s="38"/>
      <c r="Z769" s="38"/>
      <c r="AA769" s="122"/>
      <c r="AB769" s="122"/>
      <c r="AC769" s="122"/>
      <c r="AD769" s="122"/>
      <c r="AE769" s="122"/>
      <c r="AF769" s="122"/>
      <c r="AG769" s="122"/>
      <c r="AH769" s="122"/>
      <c r="AI769" s="122"/>
      <c r="AJ769" s="38"/>
      <c r="AK769" s="122"/>
      <c r="AL769" s="122"/>
      <c r="AM769" s="122"/>
      <c r="AN769" s="122"/>
      <c r="AO769" s="38"/>
      <c r="AP769" s="38"/>
      <c r="AQ769" s="38"/>
      <c r="AR769" s="17"/>
      <c r="AS769" s="1"/>
      <c r="AT769" s="17"/>
      <c r="AU769" s="1"/>
      <c r="AV769" s="17"/>
      <c r="AW769" s="1"/>
      <c r="AX769" s="2"/>
      <c r="AY769" s="1"/>
      <c r="AZ769" s="1"/>
    </row>
    <row x14ac:dyDescent="0.25" r="770" customHeight="1" ht="15">
      <c r="A770" s="1"/>
      <c r="B770" s="1"/>
      <c r="C770" s="1"/>
      <c r="D770" s="1"/>
      <c r="E770" s="1"/>
      <c r="F770" s="1"/>
      <c r="G770" s="1"/>
      <c r="H770" s="1"/>
      <c r="I770" s="1"/>
      <c r="J770" s="1"/>
      <c r="K770" s="17"/>
      <c r="L770" s="1"/>
      <c r="M770" s="1"/>
      <c r="N770" s="2"/>
      <c r="O770" s="2"/>
      <c r="P770" s="17"/>
      <c r="Q770" s="1"/>
      <c r="R770" s="1"/>
      <c r="S770" s="1"/>
      <c r="T770" s="38"/>
      <c r="U770" s="38"/>
      <c r="V770" s="38"/>
      <c r="W770" s="38"/>
      <c r="X770" s="38"/>
      <c r="Y770" s="38"/>
      <c r="Z770" s="38"/>
      <c r="AA770" s="122"/>
      <c r="AB770" s="122"/>
      <c r="AC770" s="122"/>
      <c r="AD770" s="122"/>
      <c r="AE770" s="122"/>
      <c r="AF770" s="122"/>
      <c r="AG770" s="122"/>
      <c r="AH770" s="122"/>
      <c r="AI770" s="122"/>
      <c r="AJ770" s="38"/>
      <c r="AK770" s="122"/>
      <c r="AL770" s="122"/>
      <c r="AM770" s="122"/>
      <c r="AN770" s="122"/>
      <c r="AO770" s="38"/>
      <c r="AP770" s="38"/>
      <c r="AQ770" s="38"/>
      <c r="AR770" s="17"/>
      <c r="AS770" s="1"/>
      <c r="AT770" s="17"/>
      <c r="AU770" s="1"/>
      <c r="AV770" s="17"/>
      <c r="AW770" s="1"/>
      <c r="AX770" s="2"/>
      <c r="AY770" s="1"/>
      <c r="AZ770" s="1"/>
    </row>
    <row x14ac:dyDescent="0.25" r="771" customHeight="1" ht="15">
      <c r="A771" s="1"/>
      <c r="B771" s="1"/>
      <c r="C771" s="1"/>
      <c r="D771" s="1"/>
      <c r="E771" s="1"/>
      <c r="F771" s="1"/>
      <c r="G771" s="1"/>
      <c r="H771" s="1"/>
      <c r="I771" s="1"/>
      <c r="J771" s="1"/>
      <c r="K771" s="17"/>
      <c r="L771" s="1"/>
      <c r="M771" s="1"/>
      <c r="N771" s="2"/>
      <c r="O771" s="2"/>
      <c r="P771" s="17"/>
      <c r="Q771" s="1"/>
      <c r="R771" s="1"/>
      <c r="S771" s="1"/>
      <c r="T771" s="38"/>
      <c r="U771" s="38"/>
      <c r="V771" s="38"/>
      <c r="W771" s="38"/>
      <c r="X771" s="38"/>
      <c r="Y771" s="38"/>
      <c r="Z771" s="38"/>
      <c r="AA771" s="122"/>
      <c r="AB771" s="122"/>
      <c r="AC771" s="122"/>
      <c r="AD771" s="122"/>
      <c r="AE771" s="122"/>
      <c r="AF771" s="122"/>
      <c r="AG771" s="122"/>
      <c r="AH771" s="122"/>
      <c r="AI771" s="122"/>
      <c r="AJ771" s="38"/>
      <c r="AK771" s="122"/>
      <c r="AL771" s="122"/>
      <c r="AM771" s="122"/>
      <c r="AN771" s="122"/>
      <c r="AO771" s="38"/>
      <c r="AP771" s="38"/>
      <c r="AQ771" s="38"/>
      <c r="AR771" s="17"/>
      <c r="AS771" s="1"/>
      <c r="AT771" s="17"/>
      <c r="AU771" s="1"/>
      <c r="AV771" s="17"/>
      <c r="AW771" s="1"/>
      <c r="AX771" s="2"/>
      <c r="AY771" s="1"/>
      <c r="AZ771" s="1"/>
    </row>
    <row x14ac:dyDescent="0.25" r="772" customHeight="1" ht="15">
      <c r="A772" s="1"/>
      <c r="B772" s="1"/>
      <c r="C772" s="1"/>
      <c r="D772" s="1"/>
      <c r="E772" s="1"/>
      <c r="F772" s="1"/>
      <c r="G772" s="1"/>
      <c r="H772" s="1"/>
      <c r="I772" s="1"/>
      <c r="J772" s="1"/>
      <c r="K772" s="17"/>
      <c r="L772" s="1"/>
      <c r="M772" s="1"/>
      <c r="N772" s="2"/>
      <c r="O772" s="2"/>
      <c r="P772" s="17"/>
      <c r="Q772" s="1"/>
      <c r="R772" s="1"/>
      <c r="S772" s="1"/>
      <c r="T772" s="38"/>
      <c r="U772" s="38"/>
      <c r="V772" s="38"/>
      <c r="W772" s="38"/>
      <c r="X772" s="38"/>
      <c r="Y772" s="38"/>
      <c r="Z772" s="38"/>
      <c r="AA772" s="122"/>
      <c r="AB772" s="122"/>
      <c r="AC772" s="122"/>
      <c r="AD772" s="122"/>
      <c r="AE772" s="122"/>
      <c r="AF772" s="122"/>
      <c r="AG772" s="122"/>
      <c r="AH772" s="122"/>
      <c r="AI772" s="122"/>
      <c r="AJ772" s="38"/>
      <c r="AK772" s="122"/>
      <c r="AL772" s="122"/>
      <c r="AM772" s="122"/>
      <c r="AN772" s="122"/>
      <c r="AO772" s="38"/>
      <c r="AP772" s="38"/>
      <c r="AQ772" s="38"/>
      <c r="AR772" s="17"/>
      <c r="AS772" s="1"/>
      <c r="AT772" s="17"/>
      <c r="AU772" s="1"/>
      <c r="AV772" s="17"/>
      <c r="AW772" s="1"/>
      <c r="AX772" s="2"/>
      <c r="AY772" s="1"/>
      <c r="AZ772" s="1"/>
    </row>
    <row x14ac:dyDescent="0.25" r="773" customHeight="1" ht="15">
      <c r="A773" s="1"/>
      <c r="B773" s="1"/>
      <c r="C773" s="1"/>
      <c r="D773" s="1"/>
      <c r="E773" s="1"/>
      <c r="F773" s="1"/>
      <c r="G773" s="1"/>
      <c r="H773" s="1"/>
      <c r="I773" s="1"/>
      <c r="J773" s="1"/>
      <c r="K773" s="17"/>
      <c r="L773" s="1"/>
      <c r="M773" s="1"/>
      <c r="N773" s="2"/>
      <c r="O773" s="2"/>
      <c r="P773" s="17"/>
      <c r="Q773" s="1"/>
      <c r="R773" s="1"/>
      <c r="S773" s="1"/>
      <c r="T773" s="38"/>
      <c r="U773" s="38"/>
      <c r="V773" s="38"/>
      <c r="W773" s="38"/>
      <c r="X773" s="38"/>
      <c r="Y773" s="38"/>
      <c r="Z773" s="38"/>
      <c r="AA773" s="122"/>
      <c r="AB773" s="122"/>
      <c r="AC773" s="122"/>
      <c r="AD773" s="122"/>
      <c r="AE773" s="122"/>
      <c r="AF773" s="122"/>
      <c r="AG773" s="122"/>
      <c r="AH773" s="122"/>
      <c r="AI773" s="122"/>
      <c r="AJ773" s="38"/>
      <c r="AK773" s="122"/>
      <c r="AL773" s="122"/>
      <c r="AM773" s="122"/>
      <c r="AN773" s="122"/>
      <c r="AO773" s="38"/>
      <c r="AP773" s="38"/>
      <c r="AQ773" s="38"/>
      <c r="AR773" s="17"/>
      <c r="AS773" s="1"/>
      <c r="AT773" s="17"/>
      <c r="AU773" s="1"/>
      <c r="AV773" s="17"/>
      <c r="AW773" s="1"/>
      <c r="AX773" s="2"/>
      <c r="AY773" s="1"/>
      <c r="AZ773" s="1"/>
    </row>
    <row x14ac:dyDescent="0.25" r="774" customHeight="1" ht="15">
      <c r="A774" s="1"/>
      <c r="B774" s="1"/>
      <c r="C774" s="1"/>
      <c r="D774" s="1"/>
      <c r="E774" s="1"/>
      <c r="F774" s="1"/>
      <c r="G774" s="1"/>
      <c r="H774" s="1"/>
      <c r="I774" s="1"/>
      <c r="J774" s="1"/>
      <c r="K774" s="17"/>
      <c r="L774" s="1"/>
      <c r="M774" s="1"/>
      <c r="N774" s="2"/>
      <c r="O774" s="2"/>
      <c r="P774" s="17"/>
      <c r="Q774" s="1"/>
      <c r="R774" s="1"/>
      <c r="S774" s="1"/>
      <c r="T774" s="38"/>
      <c r="U774" s="38"/>
      <c r="V774" s="38"/>
      <c r="W774" s="38"/>
      <c r="X774" s="38"/>
      <c r="Y774" s="38"/>
      <c r="Z774" s="38"/>
      <c r="AA774" s="122"/>
      <c r="AB774" s="122"/>
      <c r="AC774" s="122"/>
      <c r="AD774" s="122"/>
      <c r="AE774" s="122"/>
      <c r="AF774" s="122"/>
      <c r="AG774" s="122"/>
      <c r="AH774" s="122"/>
      <c r="AI774" s="122"/>
      <c r="AJ774" s="38"/>
      <c r="AK774" s="122"/>
      <c r="AL774" s="122"/>
      <c r="AM774" s="122"/>
      <c r="AN774" s="122"/>
      <c r="AO774" s="38"/>
      <c r="AP774" s="38"/>
      <c r="AQ774" s="38"/>
      <c r="AR774" s="17"/>
      <c r="AS774" s="1"/>
      <c r="AT774" s="17"/>
      <c r="AU774" s="1"/>
      <c r="AV774" s="17"/>
      <c r="AW774" s="1"/>
      <c r="AX774" s="2"/>
      <c r="AY774" s="1"/>
      <c r="AZ774" s="1"/>
    </row>
    <row x14ac:dyDescent="0.25" r="775" customHeight="1" ht="15">
      <c r="A775" s="1"/>
      <c r="B775" s="1"/>
      <c r="C775" s="1"/>
      <c r="D775" s="1"/>
      <c r="E775" s="1"/>
      <c r="F775" s="1"/>
      <c r="G775" s="1"/>
      <c r="H775" s="1"/>
      <c r="I775" s="1"/>
      <c r="J775" s="1"/>
      <c r="K775" s="17"/>
      <c r="L775" s="1"/>
      <c r="M775" s="1"/>
      <c r="N775" s="2"/>
      <c r="O775" s="2"/>
      <c r="P775" s="17"/>
      <c r="Q775" s="1"/>
      <c r="R775" s="1"/>
      <c r="S775" s="1"/>
      <c r="T775" s="38"/>
      <c r="U775" s="38"/>
      <c r="V775" s="38"/>
      <c r="W775" s="38"/>
      <c r="X775" s="38"/>
      <c r="Y775" s="38"/>
      <c r="Z775" s="38"/>
      <c r="AA775" s="122"/>
      <c r="AB775" s="122"/>
      <c r="AC775" s="122"/>
      <c r="AD775" s="122"/>
      <c r="AE775" s="122"/>
      <c r="AF775" s="122"/>
      <c r="AG775" s="122"/>
      <c r="AH775" s="122"/>
      <c r="AI775" s="122"/>
      <c r="AJ775" s="38"/>
      <c r="AK775" s="122"/>
      <c r="AL775" s="122"/>
      <c r="AM775" s="122"/>
      <c r="AN775" s="122"/>
      <c r="AO775" s="38"/>
      <c r="AP775" s="38"/>
      <c r="AQ775" s="38"/>
      <c r="AR775" s="17"/>
      <c r="AS775" s="1"/>
      <c r="AT775" s="17"/>
      <c r="AU775" s="1"/>
      <c r="AV775" s="17"/>
      <c r="AW775" s="1"/>
      <c r="AX775" s="2"/>
      <c r="AY775" s="1"/>
      <c r="AZ775" s="1"/>
    </row>
    <row x14ac:dyDescent="0.25" r="776" customHeight="1" ht="15">
      <c r="A776" s="1"/>
      <c r="B776" s="1"/>
      <c r="C776" s="1"/>
      <c r="D776" s="1"/>
      <c r="E776" s="1"/>
      <c r="F776" s="1"/>
      <c r="G776" s="1"/>
      <c r="H776" s="1"/>
      <c r="I776" s="1"/>
      <c r="J776" s="1"/>
      <c r="K776" s="17"/>
      <c r="L776" s="1"/>
      <c r="M776" s="1"/>
      <c r="N776" s="2"/>
      <c r="O776" s="2"/>
      <c r="P776" s="17"/>
      <c r="Q776" s="1"/>
      <c r="R776" s="1"/>
      <c r="S776" s="1"/>
      <c r="T776" s="38"/>
      <c r="U776" s="38"/>
      <c r="V776" s="38"/>
      <c r="W776" s="38"/>
      <c r="X776" s="38"/>
      <c r="Y776" s="38"/>
      <c r="Z776" s="38"/>
      <c r="AA776" s="122"/>
      <c r="AB776" s="122"/>
      <c r="AC776" s="122"/>
      <c r="AD776" s="122"/>
      <c r="AE776" s="122"/>
      <c r="AF776" s="122"/>
      <c r="AG776" s="122"/>
      <c r="AH776" s="122"/>
      <c r="AI776" s="122"/>
      <c r="AJ776" s="38"/>
      <c r="AK776" s="122"/>
      <c r="AL776" s="122"/>
      <c r="AM776" s="122"/>
      <c r="AN776" s="122"/>
      <c r="AO776" s="38"/>
      <c r="AP776" s="38"/>
      <c r="AQ776" s="38"/>
      <c r="AR776" s="17"/>
      <c r="AS776" s="1"/>
      <c r="AT776" s="17"/>
      <c r="AU776" s="1"/>
      <c r="AV776" s="17"/>
      <c r="AW776" s="1"/>
      <c r="AX776" s="2"/>
      <c r="AY776" s="1"/>
      <c r="AZ776" s="1"/>
    </row>
    <row x14ac:dyDescent="0.25" r="777" customHeight="1" ht="15">
      <c r="A777" s="1"/>
      <c r="B777" s="1"/>
      <c r="C777" s="1"/>
      <c r="D777" s="1"/>
      <c r="E777" s="1"/>
      <c r="F777" s="1"/>
      <c r="G777" s="1"/>
      <c r="H777" s="1"/>
      <c r="I777" s="1"/>
      <c r="J777" s="1"/>
      <c r="K777" s="17"/>
      <c r="L777" s="1"/>
      <c r="M777" s="1"/>
      <c r="N777" s="2"/>
      <c r="O777" s="2"/>
      <c r="P777" s="17"/>
      <c r="Q777" s="1"/>
      <c r="R777" s="1"/>
      <c r="S777" s="1"/>
      <c r="T777" s="38"/>
      <c r="U777" s="38"/>
      <c r="V777" s="38"/>
      <c r="W777" s="38"/>
      <c r="X777" s="38"/>
      <c r="Y777" s="38"/>
      <c r="Z777" s="38"/>
      <c r="AA777" s="122"/>
      <c r="AB777" s="122"/>
      <c r="AC777" s="122"/>
      <c r="AD777" s="122"/>
      <c r="AE777" s="122"/>
      <c r="AF777" s="122"/>
      <c r="AG777" s="122"/>
      <c r="AH777" s="122"/>
      <c r="AI777" s="122"/>
      <c r="AJ777" s="38"/>
      <c r="AK777" s="122"/>
      <c r="AL777" s="122"/>
      <c r="AM777" s="122"/>
      <c r="AN777" s="122"/>
      <c r="AO777" s="38"/>
      <c r="AP777" s="38"/>
      <c r="AQ777" s="38"/>
      <c r="AR777" s="17"/>
      <c r="AS777" s="1"/>
      <c r="AT777" s="17"/>
      <c r="AU777" s="1"/>
      <c r="AV777" s="17"/>
      <c r="AW777" s="1"/>
      <c r="AX777" s="2"/>
      <c r="AY777" s="1"/>
      <c r="AZ777" s="1"/>
    </row>
    <row x14ac:dyDescent="0.25" r="778" customHeight="1" ht="15">
      <c r="A778" s="1"/>
      <c r="B778" s="1"/>
      <c r="C778" s="1"/>
      <c r="D778" s="1"/>
      <c r="E778" s="1"/>
      <c r="F778" s="1"/>
      <c r="G778" s="1"/>
      <c r="H778" s="1"/>
      <c r="I778" s="1"/>
      <c r="J778" s="1"/>
      <c r="K778" s="17"/>
      <c r="L778" s="1"/>
      <c r="M778" s="1"/>
      <c r="N778" s="2"/>
      <c r="O778" s="2"/>
      <c r="P778" s="17"/>
      <c r="Q778" s="1"/>
      <c r="R778" s="1"/>
      <c r="S778" s="1"/>
      <c r="T778" s="38"/>
      <c r="U778" s="38"/>
      <c r="V778" s="38"/>
      <c r="W778" s="38"/>
      <c r="X778" s="38"/>
      <c r="Y778" s="38"/>
      <c r="Z778" s="38"/>
      <c r="AA778" s="122"/>
      <c r="AB778" s="122"/>
      <c r="AC778" s="122"/>
      <c r="AD778" s="122"/>
      <c r="AE778" s="122"/>
      <c r="AF778" s="122"/>
      <c r="AG778" s="122"/>
      <c r="AH778" s="122"/>
      <c r="AI778" s="122"/>
      <c r="AJ778" s="38"/>
      <c r="AK778" s="122"/>
      <c r="AL778" s="122"/>
      <c r="AM778" s="122"/>
      <c r="AN778" s="122"/>
      <c r="AO778" s="38"/>
      <c r="AP778" s="38"/>
      <c r="AQ778" s="38"/>
      <c r="AR778" s="17"/>
      <c r="AS778" s="1"/>
      <c r="AT778" s="17"/>
      <c r="AU778" s="1"/>
      <c r="AV778" s="17"/>
      <c r="AW778" s="1"/>
      <c r="AX778" s="2"/>
      <c r="AY778" s="1"/>
      <c r="AZ778" s="1"/>
    </row>
    <row x14ac:dyDescent="0.25" r="779" customHeight="1" ht="15">
      <c r="A779" s="1"/>
      <c r="B779" s="1"/>
      <c r="C779" s="1"/>
      <c r="D779" s="1"/>
      <c r="E779" s="1"/>
      <c r="F779" s="1"/>
      <c r="G779" s="1"/>
      <c r="H779" s="1"/>
      <c r="I779" s="1"/>
      <c r="J779" s="1"/>
      <c r="K779" s="17"/>
      <c r="L779" s="1"/>
      <c r="M779" s="1"/>
      <c r="N779" s="2"/>
      <c r="O779" s="2"/>
      <c r="P779" s="17"/>
      <c r="Q779" s="1"/>
      <c r="R779" s="1"/>
      <c r="S779" s="1"/>
      <c r="T779" s="38"/>
      <c r="U779" s="38"/>
      <c r="V779" s="38"/>
      <c r="W779" s="38"/>
      <c r="X779" s="38"/>
      <c r="Y779" s="38"/>
      <c r="Z779" s="38"/>
      <c r="AA779" s="122"/>
      <c r="AB779" s="122"/>
      <c r="AC779" s="122"/>
      <c r="AD779" s="122"/>
      <c r="AE779" s="122"/>
      <c r="AF779" s="122"/>
      <c r="AG779" s="122"/>
      <c r="AH779" s="122"/>
      <c r="AI779" s="122"/>
      <c r="AJ779" s="38"/>
      <c r="AK779" s="122"/>
      <c r="AL779" s="122"/>
      <c r="AM779" s="122"/>
      <c r="AN779" s="122"/>
      <c r="AO779" s="38"/>
      <c r="AP779" s="38"/>
      <c r="AQ779" s="38"/>
      <c r="AR779" s="17"/>
      <c r="AS779" s="1"/>
      <c r="AT779" s="17"/>
      <c r="AU779" s="1"/>
      <c r="AV779" s="17"/>
      <c r="AW779" s="1"/>
      <c r="AX779" s="2"/>
      <c r="AY779" s="1"/>
      <c r="AZ779" s="1"/>
    </row>
    <row x14ac:dyDescent="0.25" r="780" customHeight="1" ht="15">
      <c r="A780" s="1"/>
      <c r="B780" s="1"/>
      <c r="C780" s="1"/>
      <c r="D780" s="1"/>
      <c r="E780" s="1"/>
      <c r="F780" s="1"/>
      <c r="G780" s="1"/>
      <c r="H780" s="1"/>
      <c r="I780" s="1"/>
      <c r="J780" s="1"/>
      <c r="K780" s="17"/>
      <c r="L780" s="1"/>
      <c r="M780" s="1"/>
      <c r="N780" s="2"/>
      <c r="O780" s="2"/>
      <c r="P780" s="17"/>
      <c r="Q780" s="1"/>
      <c r="R780" s="1"/>
      <c r="S780" s="1"/>
      <c r="T780" s="38"/>
      <c r="U780" s="38"/>
      <c r="V780" s="38"/>
      <c r="W780" s="38"/>
      <c r="X780" s="38"/>
      <c r="Y780" s="38"/>
      <c r="Z780" s="38"/>
      <c r="AA780" s="122"/>
      <c r="AB780" s="122"/>
      <c r="AC780" s="122"/>
      <c r="AD780" s="122"/>
      <c r="AE780" s="122"/>
      <c r="AF780" s="122"/>
      <c r="AG780" s="122"/>
      <c r="AH780" s="122"/>
      <c r="AI780" s="122"/>
      <c r="AJ780" s="38"/>
      <c r="AK780" s="122"/>
      <c r="AL780" s="122"/>
      <c r="AM780" s="122"/>
      <c r="AN780" s="122"/>
      <c r="AO780" s="38"/>
      <c r="AP780" s="38"/>
      <c r="AQ780" s="38"/>
      <c r="AR780" s="17"/>
      <c r="AS780" s="1"/>
      <c r="AT780" s="17"/>
      <c r="AU780" s="1"/>
      <c r="AV780" s="17"/>
      <c r="AW780" s="1"/>
      <c r="AX780" s="2"/>
      <c r="AY780" s="1"/>
      <c r="AZ780" s="1"/>
    </row>
    <row x14ac:dyDescent="0.25" r="781" customHeight="1" ht="15">
      <c r="A781" s="1"/>
      <c r="B781" s="1"/>
      <c r="C781" s="1"/>
      <c r="D781" s="1"/>
      <c r="E781" s="1"/>
      <c r="F781" s="1"/>
      <c r="G781" s="1"/>
      <c r="H781" s="1"/>
      <c r="I781" s="1"/>
      <c r="J781" s="1"/>
      <c r="K781" s="17"/>
      <c r="L781" s="1"/>
      <c r="M781" s="1"/>
      <c r="N781" s="2"/>
      <c r="O781" s="2"/>
      <c r="P781" s="17"/>
      <c r="Q781" s="1"/>
      <c r="R781" s="1"/>
      <c r="S781" s="1"/>
      <c r="T781" s="38"/>
      <c r="U781" s="38"/>
      <c r="V781" s="38"/>
      <c r="W781" s="38"/>
      <c r="X781" s="38"/>
      <c r="Y781" s="38"/>
      <c r="Z781" s="38"/>
      <c r="AA781" s="122"/>
      <c r="AB781" s="122"/>
      <c r="AC781" s="122"/>
      <c r="AD781" s="122"/>
      <c r="AE781" s="122"/>
      <c r="AF781" s="122"/>
      <c r="AG781" s="122"/>
      <c r="AH781" s="122"/>
      <c r="AI781" s="122"/>
      <c r="AJ781" s="38"/>
      <c r="AK781" s="122"/>
      <c r="AL781" s="122"/>
      <c r="AM781" s="122"/>
      <c r="AN781" s="122"/>
      <c r="AO781" s="38"/>
      <c r="AP781" s="38"/>
      <c r="AQ781" s="38"/>
      <c r="AR781" s="17"/>
      <c r="AS781" s="1"/>
      <c r="AT781" s="17"/>
      <c r="AU781" s="1"/>
      <c r="AV781" s="17"/>
      <c r="AW781" s="1"/>
      <c r="AX781" s="2"/>
      <c r="AY781" s="1"/>
      <c r="AZ781" s="1"/>
    </row>
    <row x14ac:dyDescent="0.25" r="782" customHeight="1" ht="18.75">
      <c r="A782" s="1"/>
      <c r="B782" s="1"/>
      <c r="C782" s="1"/>
      <c r="D782" s="1"/>
      <c r="E782" s="1"/>
      <c r="F782" s="1"/>
      <c r="G782" s="1"/>
      <c r="H782" s="1"/>
      <c r="I782" s="1"/>
      <c r="J782" s="1"/>
      <c r="K782" s="17"/>
      <c r="L782" s="1"/>
      <c r="M782" s="1"/>
      <c r="N782" s="2"/>
      <c r="O782" s="2"/>
      <c r="P782" s="17"/>
      <c r="Q782" s="1"/>
      <c r="R782" s="1"/>
      <c r="S782" s="1"/>
      <c r="T782" s="38"/>
      <c r="U782" s="38"/>
      <c r="V782" s="38"/>
      <c r="W782" s="38"/>
      <c r="X782" s="38"/>
      <c r="Y782" s="38"/>
      <c r="Z782" s="38"/>
      <c r="AA782" s="122"/>
      <c r="AB782" s="122"/>
      <c r="AC782" s="122"/>
      <c r="AD782" s="122"/>
      <c r="AE782" s="122"/>
      <c r="AF782" s="122"/>
      <c r="AG782" s="122"/>
      <c r="AH782" s="122"/>
      <c r="AI782" s="122"/>
      <c r="AJ782" s="38"/>
      <c r="AK782" s="122"/>
      <c r="AL782" s="122"/>
      <c r="AM782" s="122"/>
      <c r="AN782" s="122"/>
      <c r="AO782" s="38"/>
      <c r="AP782" s="38"/>
      <c r="AQ782" s="38"/>
      <c r="AR782" s="17"/>
      <c r="AS782" s="1"/>
      <c r="AT782" s="17"/>
      <c r="AU782" s="1"/>
      <c r="AV782" s="17"/>
      <c r="AW782" s="1"/>
      <c r="AX782" s="2"/>
      <c r="AY782" s="1"/>
      <c r="AZ782" s="1"/>
    </row>
    <row x14ac:dyDescent="0.25" r="783" customHeight="1" ht="18.75">
      <c r="A783" s="1"/>
      <c r="B783" s="1"/>
      <c r="C783" s="1"/>
      <c r="D783" s="1"/>
      <c r="E783" s="1"/>
      <c r="F783" s="1"/>
      <c r="G783" s="1"/>
      <c r="H783" s="1"/>
      <c r="I783" s="1"/>
      <c r="J783" s="1"/>
      <c r="K783" s="17"/>
      <c r="L783" s="1"/>
      <c r="M783" s="1"/>
      <c r="N783" s="2"/>
      <c r="O783" s="2"/>
      <c r="P783" s="17"/>
      <c r="Q783" s="1"/>
      <c r="R783" s="1"/>
      <c r="S783" s="1"/>
      <c r="T783" s="38"/>
      <c r="U783" s="38"/>
      <c r="V783" s="38"/>
      <c r="W783" s="38"/>
      <c r="X783" s="38"/>
      <c r="Y783" s="38"/>
      <c r="Z783" s="38"/>
      <c r="AA783" s="122"/>
      <c r="AB783" s="122"/>
      <c r="AC783" s="122"/>
      <c r="AD783" s="122"/>
      <c r="AE783" s="122"/>
      <c r="AF783" s="122"/>
      <c r="AG783" s="122"/>
      <c r="AH783" s="122"/>
      <c r="AI783" s="122"/>
      <c r="AJ783" s="38"/>
      <c r="AK783" s="122"/>
      <c r="AL783" s="122"/>
      <c r="AM783" s="122"/>
      <c r="AN783" s="122"/>
      <c r="AO783" s="38"/>
      <c r="AP783" s="38"/>
      <c r="AQ783" s="38"/>
      <c r="AR783" s="17"/>
      <c r="AS783" s="1"/>
      <c r="AT783" s="17"/>
      <c r="AU783" s="1"/>
      <c r="AV783" s="17"/>
      <c r="AW783" s="1"/>
      <c r="AX783" s="2"/>
      <c r="AY783" s="1"/>
      <c r="AZ783" s="1"/>
    </row>
    <row x14ac:dyDescent="0.25" r="784" customHeight="1" ht="18.75">
      <c r="A784" s="1"/>
      <c r="B784" s="1"/>
      <c r="C784" s="1"/>
      <c r="D784" s="1"/>
      <c r="E784" s="1"/>
      <c r="F784" s="1"/>
      <c r="G784" s="1"/>
      <c r="H784" s="1"/>
      <c r="I784" s="1"/>
      <c r="J784" s="1"/>
      <c r="K784" s="17"/>
      <c r="L784" s="1"/>
      <c r="M784" s="1"/>
      <c r="N784" s="2"/>
      <c r="O784" s="2"/>
      <c r="P784" s="17"/>
      <c r="Q784" s="1"/>
      <c r="R784" s="1"/>
      <c r="S784" s="1"/>
      <c r="T784" s="38"/>
      <c r="U784" s="38"/>
      <c r="V784" s="38"/>
      <c r="W784" s="38"/>
      <c r="X784" s="38"/>
      <c r="Y784" s="38"/>
      <c r="Z784" s="38"/>
      <c r="AA784" s="122"/>
      <c r="AB784" s="122"/>
      <c r="AC784" s="122"/>
      <c r="AD784" s="122"/>
      <c r="AE784" s="122"/>
      <c r="AF784" s="122"/>
      <c r="AG784" s="122"/>
      <c r="AH784" s="122"/>
      <c r="AI784" s="122"/>
      <c r="AJ784" s="38"/>
      <c r="AK784" s="122"/>
      <c r="AL784" s="122"/>
      <c r="AM784" s="122"/>
      <c r="AN784" s="122"/>
      <c r="AO784" s="38"/>
      <c r="AP784" s="38"/>
      <c r="AQ784" s="38"/>
      <c r="AR784" s="17"/>
      <c r="AS784" s="1"/>
      <c r="AT784" s="17"/>
      <c r="AU784" s="1"/>
      <c r="AV784" s="17"/>
      <c r="AW784" s="1"/>
      <c r="AX784" s="2"/>
      <c r="AY784" s="1"/>
      <c r="AZ784" s="1"/>
    </row>
    <row x14ac:dyDescent="0.25" r="785" customHeight="1" ht="18.75">
      <c r="A785" s="1"/>
      <c r="B785" s="1"/>
      <c r="C785" s="1"/>
      <c r="D785" s="1"/>
      <c r="E785" s="1"/>
      <c r="F785" s="1"/>
      <c r="G785" s="1"/>
      <c r="H785" s="1"/>
      <c r="I785" s="1"/>
      <c r="J785" s="1"/>
      <c r="K785" s="17"/>
      <c r="L785" s="1"/>
      <c r="M785" s="1"/>
      <c r="N785" s="2"/>
      <c r="O785" s="2"/>
      <c r="P785" s="17"/>
      <c r="Q785" s="1"/>
      <c r="R785" s="1"/>
      <c r="S785" s="1"/>
      <c r="T785" s="38"/>
      <c r="U785" s="38"/>
      <c r="V785" s="38"/>
      <c r="W785" s="38"/>
      <c r="X785" s="38"/>
      <c r="Y785" s="38"/>
      <c r="Z785" s="38"/>
      <c r="AA785" s="122"/>
      <c r="AB785" s="122"/>
      <c r="AC785" s="122"/>
      <c r="AD785" s="122"/>
      <c r="AE785" s="122"/>
      <c r="AF785" s="122"/>
      <c r="AG785" s="122"/>
      <c r="AH785" s="122"/>
      <c r="AI785" s="122"/>
      <c r="AJ785" s="38"/>
      <c r="AK785" s="122"/>
      <c r="AL785" s="122"/>
      <c r="AM785" s="122"/>
      <c r="AN785" s="122"/>
      <c r="AO785" s="38"/>
      <c r="AP785" s="38"/>
      <c r="AQ785" s="38"/>
      <c r="AR785" s="17"/>
      <c r="AS785" s="1"/>
      <c r="AT785" s="17"/>
      <c r="AU785" s="1"/>
      <c r="AV785" s="17"/>
      <c r="AW785" s="1"/>
      <c r="AX785" s="2"/>
      <c r="AY785" s="1"/>
      <c r="AZ785" s="1"/>
    </row>
    <row x14ac:dyDescent="0.25" r="786" customHeight="1" ht="18.75">
      <c r="A786" s="1"/>
      <c r="B786" s="1"/>
      <c r="C786" s="1"/>
      <c r="D786" s="1"/>
      <c r="E786" s="1"/>
      <c r="F786" s="1"/>
      <c r="G786" s="1"/>
      <c r="H786" s="1"/>
      <c r="I786" s="1"/>
      <c r="J786" s="1"/>
      <c r="K786" s="17"/>
      <c r="L786" s="1"/>
      <c r="M786" s="1"/>
      <c r="N786" s="2"/>
      <c r="O786" s="2"/>
      <c r="P786" s="17"/>
      <c r="Q786" s="1"/>
      <c r="R786" s="1"/>
      <c r="S786" s="1"/>
      <c r="T786" s="38"/>
      <c r="U786" s="38"/>
      <c r="V786" s="38"/>
      <c r="W786" s="38"/>
      <c r="X786" s="38"/>
      <c r="Y786" s="38"/>
      <c r="Z786" s="38"/>
      <c r="AA786" s="122"/>
      <c r="AB786" s="122"/>
      <c r="AC786" s="122"/>
      <c r="AD786" s="122"/>
      <c r="AE786" s="122"/>
      <c r="AF786" s="122"/>
      <c r="AG786" s="122"/>
      <c r="AH786" s="122"/>
      <c r="AI786" s="122"/>
      <c r="AJ786" s="38"/>
      <c r="AK786" s="122"/>
      <c r="AL786" s="122"/>
      <c r="AM786" s="122"/>
      <c r="AN786" s="122"/>
      <c r="AO786" s="38"/>
      <c r="AP786" s="38"/>
      <c r="AQ786" s="38"/>
      <c r="AR786" s="17"/>
      <c r="AS786" s="1"/>
      <c r="AT786" s="17"/>
      <c r="AU786" s="1"/>
      <c r="AV786" s="17"/>
      <c r="AW786" s="1"/>
      <c r="AX786" s="2"/>
      <c r="AY786" s="1"/>
      <c r="AZ786" s="1"/>
    </row>
    <row x14ac:dyDescent="0.25" r="787" customHeight="1" ht="18.75">
      <c r="A787" s="1"/>
      <c r="B787" s="1"/>
      <c r="C787" s="1"/>
      <c r="D787" s="1"/>
      <c r="E787" s="1"/>
      <c r="F787" s="1"/>
      <c r="G787" s="1"/>
      <c r="H787" s="1"/>
      <c r="I787" s="1"/>
      <c r="J787" s="1"/>
      <c r="K787" s="17"/>
      <c r="L787" s="1"/>
      <c r="M787" s="1"/>
      <c r="N787" s="2"/>
      <c r="O787" s="2"/>
      <c r="P787" s="17"/>
      <c r="Q787" s="1"/>
      <c r="R787" s="1"/>
      <c r="S787" s="1"/>
      <c r="T787" s="38"/>
      <c r="U787" s="38"/>
      <c r="V787" s="38"/>
      <c r="W787" s="38"/>
      <c r="X787" s="38"/>
      <c r="Y787" s="38"/>
      <c r="Z787" s="38"/>
      <c r="AA787" s="122"/>
      <c r="AB787" s="122"/>
      <c r="AC787" s="122"/>
      <c r="AD787" s="122"/>
      <c r="AE787" s="122"/>
      <c r="AF787" s="122"/>
      <c r="AG787" s="122"/>
      <c r="AH787" s="122"/>
      <c r="AI787" s="122"/>
      <c r="AJ787" s="38"/>
      <c r="AK787" s="122"/>
      <c r="AL787" s="122"/>
      <c r="AM787" s="122"/>
      <c r="AN787" s="122"/>
      <c r="AO787" s="38"/>
      <c r="AP787" s="38"/>
      <c r="AQ787" s="38"/>
      <c r="AR787" s="17"/>
      <c r="AS787" s="1"/>
      <c r="AT787" s="17"/>
      <c r="AU787" s="1"/>
      <c r="AV787" s="17"/>
      <c r="AW787" s="1"/>
      <c r="AX787" s="2"/>
      <c r="AY787" s="1"/>
      <c r="AZ787" s="1"/>
    </row>
    <row x14ac:dyDescent="0.25" r="788" customHeight="1" ht="18.75">
      <c r="A788" s="1"/>
      <c r="B788" s="1"/>
      <c r="C788" s="1"/>
      <c r="D788" s="1"/>
      <c r="E788" s="1"/>
      <c r="F788" s="1"/>
      <c r="G788" s="1"/>
      <c r="H788" s="1"/>
      <c r="I788" s="1"/>
      <c r="J788" s="1"/>
      <c r="K788" s="17"/>
      <c r="L788" s="1"/>
      <c r="M788" s="1"/>
      <c r="N788" s="2"/>
      <c r="O788" s="2"/>
      <c r="P788" s="17"/>
      <c r="Q788" s="1"/>
      <c r="R788" s="1"/>
      <c r="S788" s="1"/>
      <c r="T788" s="38"/>
      <c r="U788" s="38"/>
      <c r="V788" s="38"/>
      <c r="W788" s="38"/>
      <c r="X788" s="38"/>
      <c r="Y788" s="38"/>
      <c r="Z788" s="38"/>
      <c r="AA788" s="122"/>
      <c r="AB788" s="122"/>
      <c r="AC788" s="122"/>
      <c r="AD788" s="122"/>
      <c r="AE788" s="122"/>
      <c r="AF788" s="122"/>
      <c r="AG788" s="122"/>
      <c r="AH788" s="122"/>
      <c r="AI788" s="122"/>
      <c r="AJ788" s="38"/>
      <c r="AK788" s="122"/>
      <c r="AL788" s="122"/>
      <c r="AM788" s="122"/>
      <c r="AN788" s="122"/>
      <c r="AO788" s="38"/>
      <c r="AP788" s="38"/>
      <c r="AQ788" s="38"/>
      <c r="AR788" s="17"/>
      <c r="AS788" s="1"/>
      <c r="AT788" s="17"/>
      <c r="AU788" s="1"/>
      <c r="AV788" s="17"/>
      <c r="AW788" s="1"/>
      <c r="AX788" s="2"/>
      <c r="AY788" s="1"/>
      <c r="AZ788" s="1"/>
    </row>
    <row x14ac:dyDescent="0.25" r="789" customHeight="1" ht="18.75">
      <c r="A789" s="1"/>
      <c r="B789" s="1"/>
      <c r="C789" s="1"/>
      <c r="D789" s="1"/>
      <c r="E789" s="1"/>
      <c r="F789" s="1"/>
      <c r="G789" s="1"/>
      <c r="H789" s="1"/>
      <c r="I789" s="1"/>
      <c r="J789" s="1"/>
      <c r="K789" s="17"/>
      <c r="L789" s="1"/>
      <c r="M789" s="1"/>
      <c r="N789" s="2"/>
      <c r="O789" s="2"/>
      <c r="P789" s="17"/>
      <c r="Q789" s="1"/>
      <c r="R789" s="1"/>
      <c r="S789" s="1"/>
      <c r="T789" s="38"/>
      <c r="U789" s="38"/>
      <c r="V789" s="38"/>
      <c r="W789" s="38"/>
      <c r="X789" s="38"/>
      <c r="Y789" s="38"/>
      <c r="Z789" s="38"/>
      <c r="AA789" s="122"/>
      <c r="AB789" s="122"/>
      <c r="AC789" s="122"/>
      <c r="AD789" s="122"/>
      <c r="AE789" s="122"/>
      <c r="AF789" s="122"/>
      <c r="AG789" s="122"/>
      <c r="AH789" s="122"/>
      <c r="AI789" s="122"/>
      <c r="AJ789" s="38"/>
      <c r="AK789" s="122"/>
      <c r="AL789" s="122"/>
      <c r="AM789" s="122"/>
      <c r="AN789" s="122"/>
      <c r="AO789" s="38"/>
      <c r="AP789" s="38"/>
      <c r="AQ789" s="38"/>
      <c r="AR789" s="17"/>
      <c r="AS789" s="1"/>
      <c r="AT789" s="17"/>
      <c r="AU789" s="1"/>
      <c r="AV789" s="17"/>
      <c r="AW789" s="1"/>
      <c r="AX789" s="2"/>
      <c r="AY789" s="1"/>
      <c r="AZ789" s="1"/>
    </row>
    <row x14ac:dyDescent="0.25" r="790" customHeight="1" ht="18.75">
      <c r="A790" s="1"/>
      <c r="B790" s="1"/>
      <c r="C790" s="1"/>
      <c r="D790" s="1"/>
      <c r="E790" s="1"/>
      <c r="F790" s="1"/>
      <c r="G790" s="1"/>
      <c r="H790" s="1"/>
      <c r="I790" s="1"/>
      <c r="J790" s="1"/>
      <c r="K790" s="17"/>
      <c r="L790" s="1"/>
      <c r="M790" s="1"/>
      <c r="N790" s="2"/>
      <c r="O790" s="2"/>
      <c r="P790" s="17"/>
      <c r="Q790" s="1"/>
      <c r="R790" s="1"/>
      <c r="S790" s="1"/>
      <c r="T790" s="38"/>
      <c r="U790" s="38"/>
      <c r="V790" s="38"/>
      <c r="W790" s="38"/>
      <c r="X790" s="38"/>
      <c r="Y790" s="38"/>
      <c r="Z790" s="38"/>
      <c r="AA790" s="122"/>
      <c r="AB790" s="122"/>
      <c r="AC790" s="122"/>
      <c r="AD790" s="122"/>
      <c r="AE790" s="122"/>
      <c r="AF790" s="122"/>
      <c r="AG790" s="122"/>
      <c r="AH790" s="122"/>
      <c r="AI790" s="122"/>
      <c r="AJ790" s="38"/>
      <c r="AK790" s="122"/>
      <c r="AL790" s="122"/>
      <c r="AM790" s="122"/>
      <c r="AN790" s="122"/>
      <c r="AO790" s="38"/>
      <c r="AP790" s="38"/>
      <c r="AQ790" s="38"/>
      <c r="AR790" s="17"/>
      <c r="AS790" s="1"/>
      <c r="AT790" s="17"/>
      <c r="AU790" s="1"/>
      <c r="AV790" s="17"/>
      <c r="AW790" s="1"/>
      <c r="AX790" s="2"/>
      <c r="AY790" s="1"/>
      <c r="AZ790" s="1"/>
    </row>
    <row x14ac:dyDescent="0.25" r="791" customHeight="1" ht="18.75">
      <c r="A791" s="1"/>
      <c r="B791" s="1"/>
      <c r="C791" s="1"/>
      <c r="D791" s="1"/>
      <c r="E791" s="1"/>
      <c r="F791" s="1"/>
      <c r="G791" s="1"/>
      <c r="H791" s="1"/>
      <c r="I791" s="1"/>
      <c r="J791" s="1"/>
      <c r="K791" s="17"/>
      <c r="L791" s="1"/>
      <c r="M791" s="1"/>
      <c r="N791" s="2"/>
      <c r="O791" s="2"/>
      <c r="P791" s="17"/>
      <c r="Q791" s="1"/>
      <c r="R791" s="1"/>
      <c r="S791" s="1"/>
      <c r="T791" s="38"/>
      <c r="U791" s="38"/>
      <c r="V791" s="38"/>
      <c r="W791" s="38"/>
      <c r="X791" s="38"/>
      <c r="Y791" s="38"/>
      <c r="Z791" s="38"/>
      <c r="AA791" s="122"/>
      <c r="AB791" s="122"/>
      <c r="AC791" s="122"/>
      <c r="AD791" s="122"/>
      <c r="AE791" s="122"/>
      <c r="AF791" s="122"/>
      <c r="AG791" s="122"/>
      <c r="AH791" s="122"/>
      <c r="AI791" s="122"/>
      <c r="AJ791" s="38"/>
      <c r="AK791" s="122"/>
      <c r="AL791" s="122"/>
      <c r="AM791" s="122"/>
      <c r="AN791" s="122"/>
      <c r="AO791" s="38"/>
      <c r="AP791" s="38"/>
      <c r="AQ791" s="38"/>
      <c r="AR791" s="17"/>
      <c r="AS791" s="1"/>
      <c r="AT791" s="17"/>
      <c r="AU791" s="1"/>
      <c r="AV791" s="17"/>
      <c r="AW791" s="1"/>
      <c r="AX791" s="2"/>
      <c r="AY791" s="1"/>
      <c r="AZ791" s="1"/>
    </row>
    <row x14ac:dyDescent="0.25" r="792" customHeight="1" ht="18.75">
      <c r="A792" s="1"/>
      <c r="B792" s="1"/>
      <c r="C792" s="1"/>
      <c r="D792" s="1"/>
      <c r="E792" s="1"/>
      <c r="F792" s="1"/>
      <c r="G792" s="1"/>
      <c r="H792" s="1"/>
      <c r="I792" s="1"/>
      <c r="J792" s="1"/>
      <c r="K792" s="17"/>
      <c r="L792" s="1"/>
      <c r="M792" s="1"/>
      <c r="N792" s="2"/>
      <c r="O792" s="2"/>
      <c r="P792" s="17"/>
      <c r="Q792" s="1"/>
      <c r="R792" s="1"/>
      <c r="S792" s="1"/>
      <c r="T792" s="38"/>
      <c r="U792" s="38"/>
      <c r="V792" s="38"/>
      <c r="W792" s="38"/>
      <c r="X792" s="38"/>
      <c r="Y792" s="38"/>
      <c r="Z792" s="38"/>
      <c r="AA792" s="122"/>
      <c r="AB792" s="122"/>
      <c r="AC792" s="122"/>
      <c r="AD792" s="122"/>
      <c r="AE792" s="122"/>
      <c r="AF792" s="122"/>
      <c r="AG792" s="122"/>
      <c r="AH792" s="122"/>
      <c r="AI792" s="122"/>
      <c r="AJ792" s="38"/>
      <c r="AK792" s="122"/>
      <c r="AL792" s="122"/>
      <c r="AM792" s="122"/>
      <c r="AN792" s="122"/>
      <c r="AO792" s="38"/>
      <c r="AP792" s="38"/>
      <c r="AQ792" s="38"/>
      <c r="AR792" s="17"/>
      <c r="AS792" s="1"/>
      <c r="AT792" s="17"/>
      <c r="AU792" s="1"/>
      <c r="AV792" s="17"/>
      <c r="AW792" s="1"/>
      <c r="AX792" s="2"/>
      <c r="AY792" s="1"/>
      <c r="AZ792" s="1"/>
    </row>
    <row x14ac:dyDescent="0.25" r="793" customHeight="1" ht="18.75">
      <c r="A793" s="1"/>
      <c r="B793" s="1"/>
      <c r="C793" s="1"/>
      <c r="D793" s="1"/>
      <c r="E793" s="1"/>
      <c r="F793" s="1"/>
      <c r="G793" s="1"/>
      <c r="H793" s="1"/>
      <c r="I793" s="1"/>
      <c r="J793" s="1"/>
      <c r="K793" s="17"/>
      <c r="L793" s="1"/>
      <c r="M793" s="1"/>
      <c r="N793" s="2"/>
      <c r="O793" s="2"/>
      <c r="P793" s="17"/>
      <c r="Q793" s="1"/>
      <c r="R793" s="1"/>
      <c r="S793" s="1"/>
      <c r="T793" s="38"/>
      <c r="U793" s="38"/>
      <c r="V793" s="38"/>
      <c r="W793" s="38"/>
      <c r="X793" s="38"/>
      <c r="Y793" s="38"/>
      <c r="Z793" s="38"/>
      <c r="AA793" s="122"/>
      <c r="AB793" s="122"/>
      <c r="AC793" s="122"/>
      <c r="AD793" s="122"/>
      <c r="AE793" s="122"/>
      <c r="AF793" s="122"/>
      <c r="AG793" s="122"/>
      <c r="AH793" s="122"/>
      <c r="AI793" s="122"/>
      <c r="AJ793" s="38"/>
      <c r="AK793" s="122"/>
      <c r="AL793" s="122"/>
      <c r="AM793" s="122"/>
      <c r="AN793" s="122"/>
      <c r="AO793" s="38"/>
      <c r="AP793" s="38"/>
      <c r="AQ793" s="38"/>
      <c r="AR793" s="17"/>
      <c r="AS793" s="1"/>
      <c r="AT793" s="17"/>
      <c r="AU793" s="1"/>
      <c r="AV793" s="17"/>
      <c r="AW793" s="1"/>
      <c r="AX793" s="2"/>
      <c r="AY793" s="1"/>
      <c r="AZ793" s="1"/>
    </row>
    <row x14ac:dyDescent="0.25" r="794" customHeight="1" ht="18.75">
      <c r="A794" s="1"/>
      <c r="B794" s="1"/>
      <c r="C794" s="1"/>
      <c r="D794" s="1"/>
      <c r="E794" s="1"/>
      <c r="F794" s="1"/>
      <c r="G794" s="1"/>
      <c r="H794" s="1"/>
      <c r="I794" s="1"/>
      <c r="J794" s="1"/>
      <c r="K794" s="17"/>
      <c r="L794" s="1"/>
      <c r="M794" s="1"/>
      <c r="N794" s="2"/>
      <c r="O794" s="2"/>
      <c r="P794" s="17"/>
      <c r="Q794" s="1"/>
      <c r="R794" s="1"/>
      <c r="S794" s="1"/>
      <c r="T794" s="38"/>
      <c r="U794" s="38"/>
      <c r="V794" s="38"/>
      <c r="W794" s="38"/>
      <c r="X794" s="38"/>
      <c r="Y794" s="38"/>
      <c r="Z794" s="38"/>
      <c r="AA794" s="122"/>
      <c r="AB794" s="122"/>
      <c r="AC794" s="122"/>
      <c r="AD794" s="122"/>
      <c r="AE794" s="122"/>
      <c r="AF794" s="122"/>
      <c r="AG794" s="122"/>
      <c r="AH794" s="122"/>
      <c r="AI794" s="122"/>
      <c r="AJ794" s="38"/>
      <c r="AK794" s="122"/>
      <c r="AL794" s="122"/>
      <c r="AM794" s="122"/>
      <c r="AN794" s="122"/>
      <c r="AO794" s="38"/>
      <c r="AP794" s="38"/>
      <c r="AQ794" s="38"/>
      <c r="AR794" s="17"/>
      <c r="AS794" s="1"/>
      <c r="AT794" s="17"/>
      <c r="AU794" s="1"/>
      <c r="AV794" s="17"/>
      <c r="AW794" s="1"/>
      <c r="AX794" s="2"/>
      <c r="AY794" s="1"/>
      <c r="AZ794" s="1"/>
    </row>
    <row x14ac:dyDescent="0.25" r="795" customHeight="1" ht="18.75">
      <c r="A795" s="1"/>
      <c r="B795" s="1"/>
      <c r="C795" s="1"/>
      <c r="D795" s="1"/>
      <c r="E795" s="1"/>
      <c r="F795" s="1"/>
      <c r="G795" s="1"/>
      <c r="H795" s="1"/>
      <c r="I795" s="1"/>
      <c r="J795" s="1"/>
      <c r="K795" s="17"/>
      <c r="L795" s="1"/>
      <c r="M795" s="1"/>
      <c r="N795" s="2"/>
      <c r="O795" s="2"/>
      <c r="P795" s="17"/>
      <c r="Q795" s="1"/>
      <c r="R795" s="1"/>
      <c r="S795" s="1"/>
      <c r="T795" s="38"/>
      <c r="U795" s="38"/>
      <c r="V795" s="38"/>
      <c r="W795" s="38"/>
      <c r="X795" s="38"/>
      <c r="Y795" s="38"/>
      <c r="Z795" s="38"/>
      <c r="AA795" s="122"/>
      <c r="AB795" s="122"/>
      <c r="AC795" s="122"/>
      <c r="AD795" s="122"/>
      <c r="AE795" s="122"/>
      <c r="AF795" s="122"/>
      <c r="AG795" s="122"/>
      <c r="AH795" s="122"/>
      <c r="AI795" s="122"/>
      <c r="AJ795" s="38"/>
      <c r="AK795" s="122"/>
      <c r="AL795" s="122"/>
      <c r="AM795" s="122"/>
      <c r="AN795" s="122"/>
      <c r="AO795" s="38"/>
      <c r="AP795" s="38"/>
      <c r="AQ795" s="38"/>
      <c r="AR795" s="17"/>
      <c r="AS795" s="1"/>
      <c r="AT795" s="17"/>
      <c r="AU795" s="1"/>
      <c r="AV795" s="17"/>
      <c r="AW795" s="1"/>
      <c r="AX795" s="2"/>
      <c r="AY795" s="1"/>
      <c r="AZ795" s="1"/>
    </row>
    <row x14ac:dyDescent="0.25" r="796" customHeight="1" ht="18.75">
      <c r="A796" s="1"/>
      <c r="B796" s="1"/>
      <c r="C796" s="1"/>
      <c r="D796" s="1"/>
      <c r="E796" s="1"/>
      <c r="F796" s="1"/>
      <c r="G796" s="1"/>
      <c r="H796" s="1"/>
      <c r="I796" s="1"/>
      <c r="J796" s="1"/>
      <c r="K796" s="17"/>
      <c r="L796" s="1"/>
      <c r="M796" s="1"/>
      <c r="N796" s="2"/>
      <c r="O796" s="2"/>
      <c r="P796" s="17"/>
      <c r="Q796" s="1"/>
      <c r="R796" s="1"/>
      <c r="S796" s="1"/>
      <c r="T796" s="38"/>
      <c r="U796" s="38"/>
      <c r="V796" s="38"/>
      <c r="W796" s="38"/>
      <c r="X796" s="38"/>
      <c r="Y796" s="38"/>
      <c r="Z796" s="38"/>
      <c r="AA796" s="122"/>
      <c r="AB796" s="122"/>
      <c r="AC796" s="122"/>
      <c r="AD796" s="122"/>
      <c r="AE796" s="122"/>
      <c r="AF796" s="122"/>
      <c r="AG796" s="122"/>
      <c r="AH796" s="122"/>
      <c r="AI796" s="122"/>
      <c r="AJ796" s="38"/>
      <c r="AK796" s="122"/>
      <c r="AL796" s="122"/>
      <c r="AM796" s="122"/>
      <c r="AN796" s="122"/>
      <c r="AO796" s="38"/>
      <c r="AP796" s="38"/>
      <c r="AQ796" s="38"/>
      <c r="AR796" s="17"/>
      <c r="AS796" s="1"/>
      <c r="AT796" s="17"/>
      <c r="AU796" s="1"/>
      <c r="AV796" s="17"/>
      <c r="AW796" s="1"/>
      <c r="AX796" s="2"/>
      <c r="AY796" s="1"/>
      <c r="AZ796" s="1"/>
    </row>
    <row x14ac:dyDescent="0.25" r="797" customHeight="1" ht="18.75">
      <c r="A797" s="1"/>
      <c r="B797" s="1"/>
      <c r="C797" s="1"/>
      <c r="D797" s="1"/>
      <c r="E797" s="1"/>
      <c r="F797" s="1"/>
      <c r="G797" s="1"/>
      <c r="H797" s="1"/>
      <c r="I797" s="1"/>
      <c r="J797" s="1"/>
      <c r="K797" s="17"/>
      <c r="L797" s="1"/>
      <c r="M797" s="1"/>
      <c r="N797" s="2"/>
      <c r="O797" s="2"/>
      <c r="P797" s="17"/>
      <c r="Q797" s="1"/>
      <c r="R797" s="1"/>
      <c r="S797" s="1"/>
      <c r="T797" s="38"/>
      <c r="U797" s="38"/>
      <c r="V797" s="38"/>
      <c r="W797" s="38"/>
      <c r="X797" s="38"/>
      <c r="Y797" s="38"/>
      <c r="Z797" s="38"/>
      <c r="AA797" s="122"/>
      <c r="AB797" s="122"/>
      <c r="AC797" s="122"/>
      <c r="AD797" s="122"/>
      <c r="AE797" s="122"/>
      <c r="AF797" s="122"/>
      <c r="AG797" s="122"/>
      <c r="AH797" s="122"/>
      <c r="AI797" s="122"/>
      <c r="AJ797" s="38"/>
      <c r="AK797" s="122"/>
      <c r="AL797" s="122"/>
      <c r="AM797" s="122"/>
      <c r="AN797" s="122"/>
      <c r="AO797" s="38"/>
      <c r="AP797" s="38"/>
      <c r="AQ797" s="38"/>
      <c r="AR797" s="17"/>
      <c r="AS797" s="1"/>
      <c r="AT797" s="17"/>
      <c r="AU797" s="1"/>
      <c r="AV797" s="17"/>
      <c r="AW797" s="1"/>
      <c r="AX797" s="2"/>
      <c r="AY797" s="1"/>
      <c r="AZ797" s="1"/>
    </row>
    <row x14ac:dyDescent="0.25" r="798" customHeight="1" ht="18.75">
      <c r="A798" s="1"/>
      <c r="B798" s="1"/>
      <c r="C798" s="1"/>
      <c r="D798" s="1"/>
      <c r="E798" s="1"/>
      <c r="F798" s="1"/>
      <c r="G798" s="1"/>
      <c r="H798" s="1"/>
      <c r="I798" s="1"/>
      <c r="J798" s="1"/>
      <c r="K798" s="17"/>
      <c r="L798" s="1"/>
      <c r="M798" s="1"/>
      <c r="N798" s="2"/>
      <c r="O798" s="2"/>
      <c r="P798" s="17"/>
      <c r="Q798" s="1"/>
      <c r="R798" s="1"/>
      <c r="S798" s="1"/>
      <c r="T798" s="38"/>
      <c r="U798" s="38"/>
      <c r="V798" s="38"/>
      <c r="W798" s="38"/>
      <c r="X798" s="38"/>
      <c r="Y798" s="38"/>
      <c r="Z798" s="38"/>
      <c r="AA798" s="122"/>
      <c r="AB798" s="122"/>
      <c r="AC798" s="122"/>
      <c r="AD798" s="122"/>
      <c r="AE798" s="122"/>
      <c r="AF798" s="122"/>
      <c r="AG798" s="122"/>
      <c r="AH798" s="122"/>
      <c r="AI798" s="122"/>
      <c r="AJ798" s="38"/>
      <c r="AK798" s="122"/>
      <c r="AL798" s="122"/>
      <c r="AM798" s="122"/>
      <c r="AN798" s="122"/>
      <c r="AO798" s="38"/>
      <c r="AP798" s="38"/>
      <c r="AQ798" s="38"/>
      <c r="AR798" s="17"/>
      <c r="AS798" s="1"/>
      <c r="AT798" s="17"/>
      <c r="AU798" s="1"/>
      <c r="AV798" s="17"/>
      <c r="AW798" s="1"/>
      <c r="AX798" s="2"/>
      <c r="AY798" s="1"/>
      <c r="AZ798" s="1"/>
    </row>
    <row x14ac:dyDescent="0.25" r="799" customHeight="1" ht="18.75">
      <c r="A799" s="1"/>
      <c r="B799" s="1"/>
      <c r="C799" s="1"/>
      <c r="D799" s="1"/>
      <c r="E799" s="1"/>
      <c r="F799" s="1"/>
      <c r="G799" s="1"/>
      <c r="H799" s="1"/>
      <c r="I799" s="1"/>
      <c r="J799" s="1"/>
      <c r="K799" s="17"/>
      <c r="L799" s="1"/>
      <c r="M799" s="1"/>
      <c r="N799" s="2"/>
      <c r="O799" s="2"/>
      <c r="P799" s="17"/>
      <c r="Q799" s="1"/>
      <c r="R799" s="1"/>
      <c r="S799" s="1"/>
      <c r="T799" s="38"/>
      <c r="U799" s="38"/>
      <c r="V799" s="38"/>
      <c r="W799" s="38"/>
      <c r="X799" s="38"/>
      <c r="Y799" s="38"/>
      <c r="Z799" s="38"/>
      <c r="AA799" s="122"/>
      <c r="AB799" s="122"/>
      <c r="AC799" s="122"/>
      <c r="AD799" s="122"/>
      <c r="AE799" s="122"/>
      <c r="AF799" s="122"/>
      <c r="AG799" s="122"/>
      <c r="AH799" s="122"/>
      <c r="AI799" s="122"/>
      <c r="AJ799" s="38"/>
      <c r="AK799" s="122"/>
      <c r="AL799" s="122"/>
      <c r="AM799" s="122"/>
      <c r="AN799" s="122"/>
      <c r="AO799" s="38"/>
      <c r="AP799" s="38"/>
      <c r="AQ799" s="38"/>
      <c r="AR799" s="17"/>
      <c r="AS799" s="1"/>
      <c r="AT799" s="17"/>
      <c r="AU799" s="1"/>
      <c r="AV799" s="17"/>
      <c r="AW799" s="1"/>
      <c r="AX799" s="2"/>
      <c r="AY799" s="1"/>
      <c r="AZ799" s="1"/>
    </row>
    <row x14ac:dyDescent="0.25" r="800" customHeight="1" ht="18.75">
      <c r="A800" s="1"/>
      <c r="B800" s="1"/>
      <c r="C800" s="1"/>
      <c r="D800" s="1"/>
      <c r="E800" s="1"/>
      <c r="F800" s="1"/>
      <c r="G800" s="1"/>
      <c r="H800" s="1"/>
      <c r="I800" s="1"/>
      <c r="J800" s="1"/>
      <c r="K800" s="17"/>
      <c r="L800" s="1"/>
      <c r="M800" s="1"/>
      <c r="N800" s="2"/>
      <c r="O800" s="2"/>
      <c r="P800" s="17"/>
      <c r="Q800" s="1"/>
      <c r="R800" s="1"/>
      <c r="S800" s="1"/>
      <c r="T800" s="38"/>
      <c r="U800" s="38"/>
      <c r="V800" s="38"/>
      <c r="W800" s="38"/>
      <c r="X800" s="38"/>
      <c r="Y800" s="38"/>
      <c r="Z800" s="38"/>
      <c r="AA800" s="122"/>
      <c r="AB800" s="122"/>
      <c r="AC800" s="122"/>
      <c r="AD800" s="122"/>
      <c r="AE800" s="122"/>
      <c r="AF800" s="122"/>
      <c r="AG800" s="122"/>
      <c r="AH800" s="122"/>
      <c r="AI800" s="122"/>
      <c r="AJ800" s="38"/>
      <c r="AK800" s="122"/>
      <c r="AL800" s="122"/>
      <c r="AM800" s="122"/>
      <c r="AN800" s="122"/>
      <c r="AO800" s="38"/>
      <c r="AP800" s="38"/>
      <c r="AQ800" s="38"/>
      <c r="AR800" s="17"/>
      <c r="AS800" s="1"/>
      <c r="AT800" s="17"/>
      <c r="AU800" s="1"/>
      <c r="AV800" s="17"/>
      <c r="AW800" s="1"/>
      <c r="AX800" s="2"/>
      <c r="AY800" s="1"/>
      <c r="AZ800" s="1"/>
    </row>
    <row x14ac:dyDescent="0.25" r="801" customHeight="1" ht="18.75">
      <c r="A801" s="1"/>
      <c r="B801" s="1"/>
      <c r="C801" s="1"/>
      <c r="D801" s="1"/>
      <c r="E801" s="1"/>
      <c r="F801" s="1"/>
      <c r="G801" s="1"/>
      <c r="H801" s="1"/>
      <c r="I801" s="1"/>
      <c r="J801" s="1"/>
      <c r="K801" s="17"/>
      <c r="L801" s="1"/>
      <c r="M801" s="1"/>
      <c r="N801" s="2"/>
      <c r="O801" s="2"/>
      <c r="P801" s="17"/>
      <c r="Q801" s="1"/>
      <c r="R801" s="1"/>
      <c r="S801" s="1"/>
      <c r="T801" s="38"/>
      <c r="U801" s="38"/>
      <c r="V801" s="38"/>
      <c r="W801" s="38"/>
      <c r="X801" s="38"/>
      <c r="Y801" s="38"/>
      <c r="Z801" s="38"/>
      <c r="AA801" s="122"/>
      <c r="AB801" s="122"/>
      <c r="AC801" s="122"/>
      <c r="AD801" s="122"/>
      <c r="AE801" s="122"/>
      <c r="AF801" s="122"/>
      <c r="AG801" s="122"/>
      <c r="AH801" s="122"/>
      <c r="AI801" s="122"/>
      <c r="AJ801" s="38"/>
      <c r="AK801" s="122"/>
      <c r="AL801" s="122"/>
      <c r="AM801" s="122"/>
      <c r="AN801" s="122"/>
      <c r="AO801" s="38"/>
      <c r="AP801" s="38"/>
      <c r="AQ801" s="38"/>
      <c r="AR801" s="17"/>
      <c r="AS801" s="1"/>
      <c r="AT801" s="17"/>
      <c r="AU801" s="1"/>
      <c r="AV801" s="17"/>
      <c r="AW801" s="1"/>
      <c r="AX801" s="2"/>
      <c r="AY801" s="1"/>
      <c r="AZ801" s="1"/>
    </row>
    <row x14ac:dyDescent="0.25" r="802" customHeight="1" ht="18.75">
      <c r="A802" s="1"/>
      <c r="B802" s="1"/>
      <c r="C802" s="1"/>
      <c r="D802" s="1"/>
      <c r="E802" s="1"/>
      <c r="F802" s="1"/>
      <c r="G802" s="1"/>
      <c r="H802" s="1"/>
      <c r="I802" s="1"/>
      <c r="J802" s="1"/>
      <c r="K802" s="17"/>
      <c r="L802" s="1"/>
      <c r="M802" s="1"/>
      <c r="N802" s="2"/>
      <c r="O802" s="2"/>
      <c r="P802" s="17"/>
      <c r="Q802" s="1"/>
      <c r="R802" s="1"/>
      <c r="S802" s="1"/>
      <c r="T802" s="38"/>
      <c r="U802" s="38"/>
      <c r="V802" s="38"/>
      <c r="W802" s="38"/>
      <c r="X802" s="38"/>
      <c r="Y802" s="38"/>
      <c r="Z802" s="38"/>
      <c r="AA802" s="122"/>
      <c r="AB802" s="122"/>
      <c r="AC802" s="122"/>
      <c r="AD802" s="122"/>
      <c r="AE802" s="122"/>
      <c r="AF802" s="122"/>
      <c r="AG802" s="122"/>
      <c r="AH802" s="122"/>
      <c r="AI802" s="122"/>
      <c r="AJ802" s="38"/>
      <c r="AK802" s="122"/>
      <c r="AL802" s="122"/>
      <c r="AM802" s="122"/>
      <c r="AN802" s="122"/>
      <c r="AO802" s="38"/>
      <c r="AP802" s="38"/>
      <c r="AQ802" s="38"/>
      <c r="AR802" s="17"/>
      <c r="AS802" s="1"/>
      <c r="AT802" s="17"/>
      <c r="AU802" s="1"/>
      <c r="AV802" s="17"/>
      <c r="AW802" s="1"/>
      <c r="AX802" s="2"/>
      <c r="AY802" s="1"/>
      <c r="AZ802" s="1"/>
    </row>
    <row x14ac:dyDescent="0.25" r="803" customHeight="1" ht="18.75">
      <c r="A803" s="1"/>
      <c r="B803" s="1"/>
      <c r="C803" s="1"/>
      <c r="D803" s="1"/>
      <c r="E803" s="1"/>
      <c r="F803" s="1"/>
      <c r="G803" s="1"/>
      <c r="H803" s="1"/>
      <c r="I803" s="1"/>
      <c r="J803" s="1"/>
      <c r="K803" s="17"/>
      <c r="L803" s="1"/>
      <c r="M803" s="1"/>
      <c r="N803" s="2"/>
      <c r="O803" s="2"/>
      <c r="P803" s="17"/>
      <c r="Q803" s="1"/>
      <c r="R803" s="1"/>
      <c r="S803" s="1"/>
      <c r="T803" s="38"/>
      <c r="U803" s="38"/>
      <c r="V803" s="38"/>
      <c r="W803" s="38"/>
      <c r="X803" s="38"/>
      <c r="Y803" s="38"/>
      <c r="Z803" s="38"/>
      <c r="AA803" s="122"/>
      <c r="AB803" s="122"/>
      <c r="AC803" s="122"/>
      <c r="AD803" s="122"/>
      <c r="AE803" s="122"/>
      <c r="AF803" s="122"/>
      <c r="AG803" s="122"/>
      <c r="AH803" s="122"/>
      <c r="AI803" s="122"/>
      <c r="AJ803" s="38"/>
      <c r="AK803" s="122"/>
      <c r="AL803" s="122"/>
      <c r="AM803" s="122"/>
      <c r="AN803" s="122"/>
      <c r="AO803" s="38"/>
      <c r="AP803" s="38"/>
      <c r="AQ803" s="38"/>
      <c r="AR803" s="17"/>
      <c r="AS803" s="1"/>
      <c r="AT803" s="17"/>
      <c r="AU803" s="1"/>
      <c r="AV803" s="17"/>
      <c r="AW803" s="1"/>
      <c r="AX803" s="2"/>
      <c r="AY803" s="1"/>
      <c r="AZ803" s="1"/>
    </row>
    <row x14ac:dyDescent="0.25" r="804" customHeight="1" ht="18.75">
      <c r="A804" s="1"/>
      <c r="B804" s="1"/>
      <c r="C804" s="1"/>
      <c r="D804" s="1"/>
      <c r="E804" s="1"/>
      <c r="F804" s="1"/>
      <c r="G804" s="1"/>
      <c r="H804" s="1"/>
      <c r="I804" s="1"/>
      <c r="J804" s="1"/>
      <c r="K804" s="17"/>
      <c r="L804" s="1"/>
      <c r="M804" s="1"/>
      <c r="N804" s="2"/>
      <c r="O804" s="2"/>
      <c r="P804" s="17"/>
      <c r="Q804" s="1"/>
      <c r="R804" s="1"/>
      <c r="S804" s="1"/>
      <c r="T804" s="38"/>
      <c r="U804" s="38"/>
      <c r="V804" s="38"/>
      <c r="W804" s="38"/>
      <c r="X804" s="38"/>
      <c r="Y804" s="38"/>
      <c r="Z804" s="38"/>
      <c r="AA804" s="122"/>
      <c r="AB804" s="122"/>
      <c r="AC804" s="122"/>
      <c r="AD804" s="122"/>
      <c r="AE804" s="122"/>
      <c r="AF804" s="122"/>
      <c r="AG804" s="122"/>
      <c r="AH804" s="122"/>
      <c r="AI804" s="122"/>
      <c r="AJ804" s="38"/>
      <c r="AK804" s="122"/>
      <c r="AL804" s="122"/>
      <c r="AM804" s="122"/>
      <c r="AN804" s="122"/>
      <c r="AO804" s="38"/>
      <c r="AP804" s="38"/>
      <c r="AQ804" s="38"/>
      <c r="AR804" s="17"/>
      <c r="AS804" s="1"/>
      <c r="AT804" s="17"/>
      <c r="AU804" s="1"/>
      <c r="AV804" s="17"/>
      <c r="AW804" s="1"/>
      <c r="AX804" s="2"/>
      <c r="AY804" s="1"/>
      <c r="AZ804" s="1"/>
    </row>
    <row x14ac:dyDescent="0.25" r="805" customHeight="1" ht="18.75">
      <c r="A805" s="1"/>
      <c r="B805" s="1"/>
      <c r="C805" s="1"/>
      <c r="D805" s="1"/>
      <c r="E805" s="1"/>
      <c r="F805" s="1"/>
      <c r="G805" s="1"/>
      <c r="H805" s="1"/>
      <c r="I805" s="1"/>
      <c r="J805" s="1"/>
      <c r="K805" s="17"/>
      <c r="L805" s="1"/>
      <c r="M805" s="1"/>
      <c r="N805" s="2"/>
      <c r="O805" s="2"/>
      <c r="P805" s="17"/>
      <c r="Q805" s="1"/>
      <c r="R805" s="1"/>
      <c r="S805" s="1"/>
      <c r="T805" s="38"/>
      <c r="U805" s="38"/>
      <c r="V805" s="38"/>
      <c r="W805" s="38"/>
      <c r="X805" s="38"/>
      <c r="Y805" s="38"/>
      <c r="Z805" s="38"/>
      <c r="AA805" s="122"/>
      <c r="AB805" s="122"/>
      <c r="AC805" s="122"/>
      <c r="AD805" s="122"/>
      <c r="AE805" s="122"/>
      <c r="AF805" s="122"/>
      <c r="AG805" s="122"/>
      <c r="AH805" s="122"/>
      <c r="AI805" s="122"/>
      <c r="AJ805" s="38"/>
      <c r="AK805" s="122"/>
      <c r="AL805" s="122"/>
      <c r="AM805" s="122"/>
      <c r="AN805" s="122"/>
      <c r="AO805" s="38"/>
      <c r="AP805" s="38"/>
      <c r="AQ805" s="38"/>
      <c r="AR805" s="17"/>
      <c r="AS805" s="1"/>
      <c r="AT805" s="17"/>
      <c r="AU805" s="1"/>
      <c r="AV805" s="17"/>
      <c r="AW805" s="1"/>
      <c r="AX805" s="2"/>
      <c r="AY805" s="1"/>
      <c r="AZ805" s="1"/>
    </row>
    <row x14ac:dyDescent="0.25" r="806" customHeight="1" ht="18.75">
      <c r="A806" s="1"/>
      <c r="B806" s="1"/>
      <c r="C806" s="1"/>
      <c r="D806" s="1"/>
      <c r="E806" s="1"/>
      <c r="F806" s="1"/>
      <c r="G806" s="1"/>
      <c r="H806" s="1"/>
      <c r="I806" s="1"/>
      <c r="J806" s="1"/>
      <c r="K806" s="17"/>
      <c r="L806" s="1"/>
      <c r="M806" s="1"/>
      <c r="N806" s="2"/>
      <c r="O806" s="2"/>
      <c r="P806" s="17"/>
      <c r="Q806" s="1"/>
      <c r="R806" s="1"/>
      <c r="S806" s="1"/>
      <c r="T806" s="38"/>
      <c r="U806" s="38"/>
      <c r="V806" s="38"/>
      <c r="W806" s="38"/>
      <c r="X806" s="38"/>
      <c r="Y806" s="38"/>
      <c r="Z806" s="38"/>
      <c r="AA806" s="122"/>
      <c r="AB806" s="122"/>
      <c r="AC806" s="122"/>
      <c r="AD806" s="122"/>
      <c r="AE806" s="122"/>
      <c r="AF806" s="122"/>
      <c r="AG806" s="122"/>
      <c r="AH806" s="122"/>
      <c r="AI806" s="122"/>
      <c r="AJ806" s="38"/>
      <c r="AK806" s="122"/>
      <c r="AL806" s="122"/>
      <c r="AM806" s="122"/>
      <c r="AN806" s="122"/>
      <c r="AO806" s="38"/>
      <c r="AP806" s="38"/>
      <c r="AQ806" s="38"/>
      <c r="AR806" s="17"/>
      <c r="AS806" s="1"/>
      <c r="AT806" s="17"/>
      <c r="AU806" s="1"/>
      <c r="AV806" s="17"/>
      <c r="AW806" s="1"/>
      <c r="AX806" s="2"/>
      <c r="AY806" s="1"/>
      <c r="AZ806" s="1"/>
    </row>
    <row x14ac:dyDescent="0.25" r="807" customHeight="1" ht="18.75">
      <c r="A807" s="1"/>
      <c r="B807" s="1"/>
      <c r="C807" s="1"/>
      <c r="D807" s="1"/>
      <c r="E807" s="1"/>
      <c r="F807" s="1"/>
      <c r="G807" s="1"/>
      <c r="H807" s="1"/>
      <c r="I807" s="1"/>
      <c r="J807" s="1"/>
      <c r="K807" s="17"/>
      <c r="L807" s="1"/>
      <c r="M807" s="1"/>
      <c r="N807" s="2"/>
      <c r="O807" s="2"/>
      <c r="P807" s="17"/>
      <c r="Q807" s="1"/>
      <c r="R807" s="1"/>
      <c r="S807" s="1"/>
      <c r="T807" s="38"/>
      <c r="U807" s="38"/>
      <c r="V807" s="38"/>
      <c r="W807" s="38"/>
      <c r="X807" s="38"/>
      <c r="Y807" s="38"/>
      <c r="Z807" s="38"/>
      <c r="AA807" s="122"/>
      <c r="AB807" s="122"/>
      <c r="AC807" s="122"/>
      <c r="AD807" s="122"/>
      <c r="AE807" s="122"/>
      <c r="AF807" s="122"/>
      <c r="AG807" s="122"/>
      <c r="AH807" s="122"/>
      <c r="AI807" s="122"/>
      <c r="AJ807" s="38"/>
      <c r="AK807" s="122"/>
      <c r="AL807" s="122"/>
      <c r="AM807" s="122"/>
      <c r="AN807" s="122"/>
      <c r="AO807" s="38"/>
      <c r="AP807" s="38"/>
      <c r="AQ807" s="38"/>
      <c r="AR807" s="17"/>
      <c r="AS807" s="1"/>
      <c r="AT807" s="17"/>
      <c r="AU807" s="1"/>
      <c r="AV807" s="17"/>
      <c r="AW807" s="1"/>
      <c r="AX807" s="2"/>
      <c r="AY807" s="1"/>
      <c r="AZ807" s="1"/>
    </row>
    <row x14ac:dyDescent="0.25" r="808" customHeight="1" ht="18.75">
      <c r="A808" s="1"/>
      <c r="B808" s="1"/>
      <c r="C808" s="1"/>
      <c r="D808" s="1"/>
      <c r="E808" s="1"/>
      <c r="F808" s="1"/>
      <c r="G808" s="1"/>
      <c r="H808" s="1"/>
      <c r="I808" s="1"/>
      <c r="J808" s="1"/>
      <c r="K808" s="17"/>
      <c r="L808" s="1"/>
      <c r="M808" s="1"/>
      <c r="N808" s="2"/>
      <c r="O808" s="2"/>
      <c r="P808" s="17"/>
      <c r="Q808" s="1"/>
      <c r="R808" s="1"/>
      <c r="S808" s="1"/>
      <c r="T808" s="38"/>
      <c r="U808" s="38"/>
      <c r="V808" s="38"/>
      <c r="W808" s="38"/>
      <c r="X808" s="38"/>
      <c r="Y808" s="38"/>
      <c r="Z808" s="38"/>
      <c r="AA808" s="122"/>
      <c r="AB808" s="122"/>
      <c r="AC808" s="122"/>
      <c r="AD808" s="122"/>
      <c r="AE808" s="122"/>
      <c r="AF808" s="122"/>
      <c r="AG808" s="122"/>
      <c r="AH808" s="122"/>
      <c r="AI808" s="122"/>
      <c r="AJ808" s="38"/>
      <c r="AK808" s="122"/>
      <c r="AL808" s="122"/>
      <c r="AM808" s="122"/>
      <c r="AN808" s="122"/>
      <c r="AO808" s="38"/>
      <c r="AP808" s="38"/>
      <c r="AQ808" s="38"/>
      <c r="AR808" s="17"/>
      <c r="AS808" s="1"/>
      <c r="AT808" s="17"/>
      <c r="AU808" s="1"/>
      <c r="AV808" s="17"/>
      <c r="AW808" s="1"/>
      <c r="AX808" s="2"/>
      <c r="AY808" s="1"/>
      <c r="AZ808" s="1"/>
    </row>
    <row x14ac:dyDescent="0.25" r="809" customHeight="1" ht="18.75">
      <c r="A809" s="1"/>
      <c r="B809" s="1"/>
      <c r="C809" s="1"/>
      <c r="D809" s="1"/>
      <c r="E809" s="1"/>
      <c r="F809" s="1"/>
      <c r="G809" s="1"/>
      <c r="H809" s="1"/>
      <c r="I809" s="1"/>
      <c r="J809" s="1"/>
      <c r="K809" s="17"/>
      <c r="L809" s="1"/>
      <c r="M809" s="1"/>
      <c r="N809" s="2"/>
      <c r="O809" s="2"/>
      <c r="P809" s="17"/>
      <c r="Q809" s="1"/>
      <c r="R809" s="1"/>
      <c r="S809" s="1"/>
      <c r="T809" s="38"/>
      <c r="U809" s="38"/>
      <c r="V809" s="38"/>
      <c r="W809" s="38"/>
      <c r="X809" s="38"/>
      <c r="Y809" s="38"/>
      <c r="Z809" s="38"/>
      <c r="AA809" s="122"/>
      <c r="AB809" s="122"/>
      <c r="AC809" s="122"/>
      <c r="AD809" s="122"/>
      <c r="AE809" s="122"/>
      <c r="AF809" s="122"/>
      <c r="AG809" s="122"/>
      <c r="AH809" s="122"/>
      <c r="AI809" s="122"/>
      <c r="AJ809" s="38"/>
      <c r="AK809" s="122"/>
      <c r="AL809" s="122"/>
      <c r="AM809" s="122"/>
      <c r="AN809" s="122"/>
      <c r="AO809" s="38"/>
      <c r="AP809" s="38"/>
      <c r="AQ809" s="38"/>
      <c r="AR809" s="17"/>
      <c r="AS809" s="1"/>
      <c r="AT809" s="17"/>
      <c r="AU809" s="1"/>
      <c r="AV809" s="17"/>
      <c r="AW809" s="1"/>
      <c r="AX809" s="2"/>
      <c r="AY809" s="1"/>
      <c r="AZ809" s="1"/>
    </row>
    <row x14ac:dyDescent="0.25" r="810" customHeight="1" ht="18.75">
      <c r="A810" s="1"/>
      <c r="B810" s="1"/>
      <c r="C810" s="1"/>
      <c r="D810" s="1"/>
      <c r="E810" s="1"/>
      <c r="F810" s="1"/>
      <c r="G810" s="1"/>
      <c r="H810" s="1"/>
      <c r="I810" s="1"/>
      <c r="J810" s="1"/>
      <c r="K810" s="17"/>
      <c r="L810" s="1"/>
      <c r="M810" s="1"/>
      <c r="N810" s="2"/>
      <c r="O810" s="2"/>
      <c r="P810" s="17"/>
      <c r="Q810" s="1"/>
      <c r="R810" s="1"/>
      <c r="S810" s="1"/>
      <c r="T810" s="38"/>
      <c r="U810" s="38"/>
      <c r="V810" s="38"/>
      <c r="W810" s="38"/>
      <c r="X810" s="38"/>
      <c r="Y810" s="38"/>
      <c r="Z810" s="38"/>
      <c r="AA810" s="122"/>
      <c r="AB810" s="122"/>
      <c r="AC810" s="122"/>
      <c r="AD810" s="122"/>
      <c r="AE810" s="122"/>
      <c r="AF810" s="122"/>
      <c r="AG810" s="122"/>
      <c r="AH810" s="122"/>
      <c r="AI810" s="122"/>
      <c r="AJ810" s="38"/>
      <c r="AK810" s="122"/>
      <c r="AL810" s="122"/>
      <c r="AM810" s="122"/>
      <c r="AN810" s="122"/>
      <c r="AO810" s="38"/>
      <c r="AP810" s="38"/>
      <c r="AQ810" s="38"/>
      <c r="AR810" s="17"/>
      <c r="AS810" s="1"/>
      <c r="AT810" s="17"/>
      <c r="AU810" s="1"/>
      <c r="AV810" s="17"/>
      <c r="AW810" s="1"/>
      <c r="AX810" s="2"/>
      <c r="AY810" s="1"/>
      <c r="AZ810" s="1"/>
    </row>
    <row x14ac:dyDescent="0.25" r="811" customHeight="1" ht="18.75">
      <c r="A811" s="1"/>
      <c r="B811" s="1"/>
      <c r="C811" s="1"/>
      <c r="D811" s="1"/>
      <c r="E811" s="1"/>
      <c r="F811" s="1"/>
      <c r="G811" s="1"/>
      <c r="H811" s="1"/>
      <c r="I811" s="1"/>
      <c r="J811" s="1"/>
      <c r="K811" s="17"/>
      <c r="L811" s="1"/>
      <c r="M811" s="1"/>
      <c r="N811" s="2"/>
      <c r="O811" s="2"/>
      <c r="P811" s="17"/>
      <c r="Q811" s="1"/>
      <c r="R811" s="1"/>
      <c r="S811" s="1"/>
      <c r="T811" s="38"/>
      <c r="U811" s="38"/>
      <c r="V811" s="38"/>
      <c r="W811" s="38"/>
      <c r="X811" s="38"/>
      <c r="Y811" s="38"/>
      <c r="Z811" s="38"/>
      <c r="AA811" s="122"/>
      <c r="AB811" s="122"/>
      <c r="AC811" s="122"/>
      <c r="AD811" s="122"/>
      <c r="AE811" s="122"/>
      <c r="AF811" s="122"/>
      <c r="AG811" s="122"/>
      <c r="AH811" s="122"/>
      <c r="AI811" s="122"/>
      <c r="AJ811" s="38"/>
      <c r="AK811" s="122"/>
      <c r="AL811" s="122"/>
      <c r="AM811" s="122"/>
      <c r="AN811" s="122"/>
      <c r="AO811" s="38"/>
      <c r="AP811" s="38"/>
      <c r="AQ811" s="38"/>
      <c r="AR811" s="17"/>
      <c r="AS811" s="1"/>
      <c r="AT811" s="17"/>
      <c r="AU811" s="1"/>
      <c r="AV811" s="17"/>
      <c r="AW811" s="1"/>
      <c r="AX811" s="2"/>
      <c r="AY811" s="1"/>
      <c r="AZ811" s="1"/>
    </row>
    <row x14ac:dyDescent="0.25" r="812" customHeight="1" ht="18.75">
      <c r="A812" s="1"/>
      <c r="B812" s="1"/>
      <c r="C812" s="1"/>
      <c r="D812" s="1"/>
      <c r="E812" s="1"/>
      <c r="F812" s="1"/>
      <c r="G812" s="1"/>
      <c r="H812" s="1"/>
      <c r="I812" s="1"/>
      <c r="J812" s="1"/>
      <c r="K812" s="17"/>
      <c r="L812" s="1"/>
      <c r="M812" s="1"/>
      <c r="N812" s="2"/>
      <c r="O812" s="2"/>
      <c r="P812" s="17"/>
      <c r="Q812" s="1"/>
      <c r="R812" s="1"/>
      <c r="S812" s="1"/>
      <c r="T812" s="38"/>
      <c r="U812" s="38"/>
      <c r="V812" s="38"/>
      <c r="W812" s="38"/>
      <c r="X812" s="38"/>
      <c r="Y812" s="38"/>
      <c r="Z812" s="38"/>
      <c r="AA812" s="122"/>
      <c r="AB812" s="122"/>
      <c r="AC812" s="122"/>
      <c r="AD812" s="122"/>
      <c r="AE812" s="122"/>
      <c r="AF812" s="122"/>
      <c r="AG812" s="122"/>
      <c r="AH812" s="122"/>
      <c r="AI812" s="122"/>
      <c r="AJ812" s="38"/>
      <c r="AK812" s="122"/>
      <c r="AL812" s="122"/>
      <c r="AM812" s="122"/>
      <c r="AN812" s="122"/>
      <c r="AO812" s="38"/>
      <c r="AP812" s="38"/>
      <c r="AQ812" s="38"/>
      <c r="AR812" s="17"/>
      <c r="AS812" s="1"/>
      <c r="AT812" s="17"/>
      <c r="AU812" s="1"/>
      <c r="AV812" s="17"/>
      <c r="AW812" s="1"/>
      <c r="AX812" s="2"/>
      <c r="AY812" s="1"/>
      <c r="AZ812" s="1"/>
    </row>
    <row x14ac:dyDescent="0.25" r="813" customHeight="1" ht="18.75">
      <c r="A813" s="1"/>
      <c r="B813" s="1"/>
      <c r="C813" s="1"/>
      <c r="D813" s="1"/>
      <c r="E813" s="1"/>
      <c r="F813" s="1"/>
      <c r="G813" s="1"/>
      <c r="H813" s="1"/>
      <c r="I813" s="1"/>
      <c r="J813" s="1"/>
      <c r="K813" s="17"/>
      <c r="L813" s="1"/>
      <c r="M813" s="1"/>
      <c r="N813" s="2"/>
      <c r="O813" s="2"/>
      <c r="P813" s="17"/>
      <c r="Q813" s="1"/>
      <c r="R813" s="1"/>
      <c r="S813" s="1"/>
      <c r="T813" s="38"/>
      <c r="U813" s="38"/>
      <c r="V813" s="38"/>
      <c r="W813" s="38"/>
      <c r="X813" s="38"/>
      <c r="Y813" s="38"/>
      <c r="Z813" s="38"/>
      <c r="AA813" s="122"/>
      <c r="AB813" s="122"/>
      <c r="AC813" s="122"/>
      <c r="AD813" s="122"/>
      <c r="AE813" s="122"/>
      <c r="AF813" s="122"/>
      <c r="AG813" s="122"/>
      <c r="AH813" s="122"/>
      <c r="AI813" s="122"/>
      <c r="AJ813" s="38"/>
      <c r="AK813" s="122"/>
      <c r="AL813" s="122"/>
      <c r="AM813" s="122"/>
      <c r="AN813" s="122"/>
      <c r="AO813" s="38"/>
      <c r="AP813" s="38"/>
      <c r="AQ813" s="38"/>
      <c r="AR813" s="17"/>
      <c r="AS813" s="1"/>
      <c r="AT813" s="17"/>
      <c r="AU813" s="1"/>
      <c r="AV813" s="17"/>
      <c r="AW813" s="1"/>
      <c r="AX813" s="2"/>
      <c r="AY813" s="1"/>
      <c r="AZ813" s="1"/>
    </row>
    <row x14ac:dyDescent="0.25" r="814" customHeight="1" ht="18.75">
      <c r="A814" s="1"/>
      <c r="B814" s="1"/>
      <c r="C814" s="1"/>
      <c r="D814" s="1"/>
      <c r="E814" s="1"/>
      <c r="F814" s="1"/>
      <c r="G814" s="1"/>
      <c r="H814" s="1"/>
      <c r="I814" s="1"/>
      <c r="J814" s="1"/>
      <c r="K814" s="17"/>
      <c r="L814" s="1"/>
      <c r="M814" s="1"/>
      <c r="N814" s="2"/>
      <c r="O814" s="2"/>
      <c r="P814" s="17"/>
      <c r="Q814" s="1"/>
      <c r="R814" s="1"/>
      <c r="S814" s="1"/>
      <c r="T814" s="38"/>
      <c r="U814" s="38"/>
      <c r="V814" s="38"/>
      <c r="W814" s="38"/>
      <c r="X814" s="38"/>
      <c r="Y814" s="38"/>
      <c r="Z814" s="38"/>
      <c r="AA814" s="122"/>
      <c r="AB814" s="122"/>
      <c r="AC814" s="122"/>
      <c r="AD814" s="122"/>
      <c r="AE814" s="122"/>
      <c r="AF814" s="122"/>
      <c r="AG814" s="122"/>
      <c r="AH814" s="122"/>
      <c r="AI814" s="122"/>
      <c r="AJ814" s="38"/>
      <c r="AK814" s="122"/>
      <c r="AL814" s="122"/>
      <c r="AM814" s="122"/>
      <c r="AN814" s="122"/>
      <c r="AO814" s="38"/>
      <c r="AP814" s="38"/>
      <c r="AQ814" s="38"/>
      <c r="AR814" s="17"/>
      <c r="AS814" s="1"/>
      <c r="AT814" s="17"/>
      <c r="AU814" s="1"/>
      <c r="AV814" s="17"/>
      <c r="AW814" s="1"/>
      <c r="AX814" s="2"/>
      <c r="AY814" s="1"/>
      <c r="AZ814" s="1"/>
    </row>
    <row x14ac:dyDescent="0.25" r="815" customHeight="1" ht="18.75">
      <c r="A815" s="1"/>
      <c r="B815" s="1"/>
      <c r="C815" s="1"/>
      <c r="D815" s="1"/>
      <c r="E815" s="1"/>
      <c r="F815" s="1"/>
      <c r="G815" s="1"/>
      <c r="H815" s="1"/>
      <c r="I815" s="1"/>
      <c r="J815" s="1"/>
      <c r="K815" s="17"/>
      <c r="L815" s="1"/>
      <c r="M815" s="1"/>
      <c r="N815" s="2"/>
      <c r="O815" s="2"/>
      <c r="P815" s="17"/>
      <c r="Q815" s="1"/>
      <c r="R815" s="1"/>
      <c r="S815" s="1"/>
      <c r="T815" s="38"/>
      <c r="U815" s="38"/>
      <c r="V815" s="38"/>
      <c r="W815" s="38"/>
      <c r="X815" s="38"/>
      <c r="Y815" s="38"/>
      <c r="Z815" s="38"/>
      <c r="AA815" s="122"/>
      <c r="AB815" s="122"/>
      <c r="AC815" s="122"/>
      <c r="AD815" s="122"/>
      <c r="AE815" s="122"/>
      <c r="AF815" s="122"/>
      <c r="AG815" s="122"/>
      <c r="AH815" s="122"/>
      <c r="AI815" s="122"/>
      <c r="AJ815" s="38"/>
      <c r="AK815" s="122"/>
      <c r="AL815" s="122"/>
      <c r="AM815" s="122"/>
      <c r="AN815" s="122"/>
      <c r="AO815" s="38"/>
      <c r="AP815" s="38"/>
      <c r="AQ815" s="38"/>
      <c r="AR815" s="17"/>
      <c r="AS815" s="1"/>
      <c r="AT815" s="17"/>
      <c r="AU815" s="1"/>
      <c r="AV815" s="17"/>
      <c r="AW815" s="1"/>
      <c r="AX815" s="2"/>
      <c r="AY815" s="1"/>
      <c r="AZ815" s="1"/>
    </row>
    <row x14ac:dyDescent="0.25" r="816" customHeight="1" ht="18.75">
      <c r="A816" s="1"/>
      <c r="B816" s="1"/>
      <c r="C816" s="1"/>
      <c r="D816" s="1"/>
      <c r="E816" s="1"/>
      <c r="F816" s="1"/>
      <c r="G816" s="1"/>
      <c r="H816" s="1"/>
      <c r="I816" s="1"/>
      <c r="J816" s="1"/>
      <c r="K816" s="17"/>
      <c r="L816" s="1"/>
      <c r="M816" s="1"/>
      <c r="N816" s="2"/>
      <c r="O816" s="2"/>
      <c r="P816" s="17"/>
      <c r="Q816" s="1"/>
      <c r="R816" s="1"/>
      <c r="S816" s="1"/>
      <c r="T816" s="38"/>
      <c r="U816" s="38"/>
      <c r="V816" s="38"/>
      <c r="W816" s="38"/>
      <c r="X816" s="38"/>
      <c r="Y816" s="38"/>
      <c r="Z816" s="38"/>
      <c r="AA816" s="122"/>
      <c r="AB816" s="122"/>
      <c r="AC816" s="122"/>
      <c r="AD816" s="122"/>
      <c r="AE816" s="122"/>
      <c r="AF816" s="122"/>
      <c r="AG816" s="122"/>
      <c r="AH816" s="122"/>
      <c r="AI816" s="122"/>
      <c r="AJ816" s="38"/>
      <c r="AK816" s="122"/>
      <c r="AL816" s="122"/>
      <c r="AM816" s="122"/>
      <c r="AN816" s="122"/>
      <c r="AO816" s="38"/>
      <c r="AP816" s="38"/>
      <c r="AQ816" s="38"/>
      <c r="AR816" s="17"/>
      <c r="AS816" s="1"/>
      <c r="AT816" s="17"/>
      <c r="AU816" s="1"/>
      <c r="AV816" s="17"/>
      <c r="AW816" s="1"/>
      <c r="AX816" s="2"/>
      <c r="AY816" s="1"/>
      <c r="AZ816" s="1"/>
    </row>
    <row x14ac:dyDescent="0.25" r="817" customHeight="1" ht="18.75">
      <c r="A817" s="1"/>
      <c r="B817" s="1"/>
      <c r="C817" s="1"/>
      <c r="D817" s="1"/>
      <c r="E817" s="1"/>
      <c r="F817" s="1"/>
      <c r="G817" s="1"/>
      <c r="H817" s="1"/>
      <c r="I817" s="1"/>
      <c r="J817" s="1"/>
      <c r="K817" s="17"/>
      <c r="L817" s="1"/>
      <c r="M817" s="1"/>
      <c r="N817" s="2"/>
      <c r="O817" s="2"/>
      <c r="P817" s="17"/>
      <c r="Q817" s="1"/>
      <c r="R817" s="1"/>
      <c r="S817" s="1"/>
      <c r="T817" s="38"/>
      <c r="U817" s="38"/>
      <c r="V817" s="38"/>
      <c r="W817" s="38"/>
      <c r="X817" s="38"/>
      <c r="Y817" s="38"/>
      <c r="Z817" s="38"/>
      <c r="AA817" s="122"/>
      <c r="AB817" s="122"/>
      <c r="AC817" s="122"/>
      <c r="AD817" s="122"/>
      <c r="AE817" s="122"/>
      <c r="AF817" s="122"/>
      <c r="AG817" s="122"/>
      <c r="AH817" s="122"/>
      <c r="AI817" s="122"/>
      <c r="AJ817" s="38"/>
      <c r="AK817" s="122"/>
      <c r="AL817" s="122"/>
      <c r="AM817" s="122"/>
      <c r="AN817" s="122"/>
      <c r="AO817" s="38"/>
      <c r="AP817" s="38"/>
      <c r="AQ817" s="38"/>
      <c r="AR817" s="17"/>
      <c r="AS817" s="1"/>
      <c r="AT817" s="17"/>
      <c r="AU817" s="1"/>
      <c r="AV817" s="17"/>
      <c r="AW817" s="1"/>
      <c r="AX817" s="2"/>
      <c r="AY817" s="1"/>
      <c r="AZ817" s="1"/>
    </row>
    <row x14ac:dyDescent="0.25" r="818" customHeight="1" ht="18.75">
      <c r="A818" s="1"/>
      <c r="B818" s="1"/>
      <c r="C818" s="1"/>
      <c r="D818" s="1"/>
      <c r="E818" s="1"/>
      <c r="F818" s="1"/>
      <c r="G818" s="1"/>
      <c r="H818" s="1"/>
      <c r="I818" s="1"/>
      <c r="J818" s="1"/>
      <c r="K818" s="17"/>
      <c r="L818" s="1"/>
      <c r="M818" s="1"/>
      <c r="N818" s="2"/>
      <c r="O818" s="2"/>
      <c r="P818" s="17"/>
      <c r="Q818" s="1"/>
      <c r="R818" s="1"/>
      <c r="S818" s="1"/>
      <c r="T818" s="38"/>
      <c r="U818" s="38"/>
      <c r="V818" s="38"/>
      <c r="W818" s="38"/>
      <c r="X818" s="38"/>
      <c r="Y818" s="38"/>
      <c r="Z818" s="38"/>
      <c r="AA818" s="122"/>
      <c r="AB818" s="122"/>
      <c r="AC818" s="122"/>
      <c r="AD818" s="122"/>
      <c r="AE818" s="122"/>
      <c r="AF818" s="122"/>
      <c r="AG818" s="122"/>
      <c r="AH818" s="122"/>
      <c r="AI818" s="122"/>
      <c r="AJ818" s="38"/>
      <c r="AK818" s="122"/>
      <c r="AL818" s="122"/>
      <c r="AM818" s="122"/>
      <c r="AN818" s="122"/>
      <c r="AO818" s="38"/>
      <c r="AP818" s="38"/>
      <c r="AQ818" s="38"/>
      <c r="AR818" s="17"/>
      <c r="AS818" s="1"/>
      <c r="AT818" s="17"/>
      <c r="AU818" s="1"/>
      <c r="AV818" s="17"/>
      <c r="AW818" s="1"/>
      <c r="AX818" s="2"/>
      <c r="AY818" s="1"/>
      <c r="AZ818" s="1"/>
    </row>
    <row x14ac:dyDescent="0.25" r="819" customHeight="1" ht="18.75">
      <c r="A819" s="1"/>
      <c r="B819" s="1"/>
      <c r="C819" s="1"/>
      <c r="D819" s="1"/>
      <c r="E819" s="1"/>
      <c r="F819" s="1"/>
      <c r="G819" s="1"/>
      <c r="H819" s="1"/>
      <c r="I819" s="1"/>
      <c r="J819" s="1"/>
      <c r="K819" s="17"/>
      <c r="L819" s="1"/>
      <c r="M819" s="1"/>
      <c r="N819" s="2"/>
      <c r="O819" s="2"/>
      <c r="P819" s="17"/>
      <c r="Q819" s="1"/>
      <c r="R819" s="1"/>
      <c r="S819" s="1"/>
      <c r="T819" s="38"/>
      <c r="U819" s="38"/>
      <c r="V819" s="38"/>
      <c r="W819" s="38"/>
      <c r="X819" s="38"/>
      <c r="Y819" s="38"/>
      <c r="Z819" s="38"/>
      <c r="AA819" s="122"/>
      <c r="AB819" s="122"/>
      <c r="AC819" s="122"/>
      <c r="AD819" s="122"/>
      <c r="AE819" s="122"/>
      <c r="AF819" s="122"/>
      <c r="AG819" s="122"/>
      <c r="AH819" s="122"/>
      <c r="AI819" s="122"/>
      <c r="AJ819" s="38"/>
      <c r="AK819" s="122"/>
      <c r="AL819" s="122"/>
      <c r="AM819" s="122"/>
      <c r="AN819" s="122"/>
      <c r="AO819" s="38"/>
      <c r="AP819" s="38"/>
      <c r="AQ819" s="38"/>
      <c r="AR819" s="17"/>
      <c r="AS819" s="1"/>
      <c r="AT819" s="17"/>
      <c r="AU819" s="1"/>
      <c r="AV819" s="17"/>
      <c r="AW819" s="1"/>
      <c r="AX819" s="2"/>
      <c r="AY819" s="1"/>
      <c r="AZ819" s="1"/>
    </row>
    <row x14ac:dyDescent="0.25" r="820" customHeight="1" ht="18.75">
      <c r="A820" s="1"/>
      <c r="B820" s="1"/>
      <c r="C820" s="1"/>
      <c r="D820" s="1"/>
      <c r="E820" s="1"/>
      <c r="F820" s="1"/>
      <c r="G820" s="1"/>
      <c r="H820" s="1"/>
      <c r="I820" s="1"/>
      <c r="J820" s="1"/>
      <c r="K820" s="17"/>
      <c r="L820" s="1"/>
      <c r="M820" s="1"/>
      <c r="N820" s="2"/>
      <c r="O820" s="2"/>
      <c r="P820" s="17"/>
      <c r="Q820" s="1"/>
      <c r="R820" s="1"/>
      <c r="S820" s="1"/>
      <c r="T820" s="38"/>
      <c r="U820" s="38"/>
      <c r="V820" s="38"/>
      <c r="W820" s="38"/>
      <c r="X820" s="38"/>
      <c r="Y820" s="38"/>
      <c r="Z820" s="38"/>
      <c r="AA820" s="122"/>
      <c r="AB820" s="122"/>
      <c r="AC820" s="122"/>
      <c r="AD820" s="122"/>
      <c r="AE820" s="122"/>
      <c r="AF820" s="122"/>
      <c r="AG820" s="122"/>
      <c r="AH820" s="122"/>
      <c r="AI820" s="122"/>
      <c r="AJ820" s="38"/>
      <c r="AK820" s="122"/>
      <c r="AL820" s="122"/>
      <c r="AM820" s="122"/>
      <c r="AN820" s="122"/>
      <c r="AO820" s="38"/>
      <c r="AP820" s="38"/>
      <c r="AQ820" s="38"/>
      <c r="AR820" s="17"/>
      <c r="AS820" s="1"/>
      <c r="AT820" s="17"/>
      <c r="AU820" s="1"/>
      <c r="AV820" s="17"/>
      <c r="AW820" s="1"/>
      <c r="AX820" s="2"/>
      <c r="AY820" s="1"/>
      <c r="AZ820" s="1"/>
    </row>
    <row x14ac:dyDescent="0.25" r="821" customHeight="1" ht="18.75">
      <c r="A821" s="1"/>
      <c r="B821" s="1"/>
      <c r="C821" s="1"/>
      <c r="D821" s="1"/>
      <c r="E821" s="1"/>
      <c r="F821" s="1"/>
      <c r="G821" s="1"/>
      <c r="H821" s="1"/>
      <c r="I821" s="1"/>
      <c r="J821" s="1"/>
      <c r="K821" s="17"/>
      <c r="L821" s="1"/>
      <c r="M821" s="1"/>
      <c r="N821" s="2"/>
      <c r="O821" s="2"/>
      <c r="P821" s="17"/>
      <c r="Q821" s="1"/>
      <c r="R821" s="1"/>
      <c r="S821" s="1"/>
      <c r="T821" s="38"/>
      <c r="U821" s="38"/>
      <c r="V821" s="38"/>
      <c r="W821" s="38"/>
      <c r="X821" s="38"/>
      <c r="Y821" s="38"/>
      <c r="Z821" s="38"/>
      <c r="AA821" s="122"/>
      <c r="AB821" s="122"/>
      <c r="AC821" s="122"/>
      <c r="AD821" s="122"/>
      <c r="AE821" s="122"/>
      <c r="AF821" s="122"/>
      <c r="AG821" s="122"/>
      <c r="AH821" s="122"/>
      <c r="AI821" s="122"/>
      <c r="AJ821" s="38"/>
      <c r="AK821" s="122"/>
      <c r="AL821" s="122"/>
      <c r="AM821" s="122"/>
      <c r="AN821" s="122"/>
      <c r="AO821" s="38"/>
      <c r="AP821" s="38"/>
      <c r="AQ821" s="38"/>
      <c r="AR821" s="17"/>
      <c r="AS821" s="1"/>
      <c r="AT821" s="17"/>
      <c r="AU821" s="1"/>
      <c r="AV821" s="17"/>
      <c r="AW821" s="1"/>
      <c r="AX821" s="2"/>
      <c r="AY821" s="1"/>
      <c r="AZ821" s="1"/>
    </row>
    <row x14ac:dyDescent="0.25" r="822" customHeight="1" ht="18.75">
      <c r="A822" s="1"/>
      <c r="B822" s="1"/>
      <c r="C822" s="1"/>
      <c r="D822" s="1"/>
      <c r="E822" s="1"/>
      <c r="F822" s="1"/>
      <c r="G822" s="1"/>
      <c r="H822" s="1"/>
      <c r="I822" s="1"/>
      <c r="J822" s="1"/>
      <c r="K822" s="17"/>
      <c r="L822" s="1"/>
      <c r="M822" s="1"/>
      <c r="N822" s="2"/>
      <c r="O822" s="2"/>
      <c r="P822" s="17"/>
      <c r="Q822" s="1"/>
      <c r="R822" s="1"/>
      <c r="S822" s="1"/>
      <c r="T822" s="38"/>
      <c r="U822" s="38"/>
      <c r="V822" s="38"/>
      <c r="W822" s="38"/>
      <c r="X822" s="38"/>
      <c r="Y822" s="38"/>
      <c r="Z822" s="38"/>
      <c r="AA822" s="122"/>
      <c r="AB822" s="122"/>
      <c r="AC822" s="122"/>
      <c r="AD822" s="122"/>
      <c r="AE822" s="122"/>
      <c r="AF822" s="122"/>
      <c r="AG822" s="122"/>
      <c r="AH822" s="122"/>
      <c r="AI822" s="122"/>
      <c r="AJ822" s="38"/>
      <c r="AK822" s="122"/>
      <c r="AL822" s="122"/>
      <c r="AM822" s="122"/>
      <c r="AN822" s="122"/>
      <c r="AO822" s="38"/>
      <c r="AP822" s="38"/>
      <c r="AQ822" s="38"/>
      <c r="AR822" s="17"/>
      <c r="AS822" s="1"/>
      <c r="AT822" s="17"/>
      <c r="AU822" s="1"/>
      <c r="AV822" s="17"/>
      <c r="AW822" s="1"/>
      <c r="AX822" s="2"/>
      <c r="AY822" s="1"/>
      <c r="AZ822" s="1"/>
    </row>
    <row x14ac:dyDescent="0.25" r="823" customHeight="1" ht="18.75">
      <c r="A823" s="1"/>
      <c r="B823" s="1"/>
      <c r="C823" s="1"/>
      <c r="D823" s="1"/>
      <c r="E823" s="1"/>
      <c r="F823" s="1"/>
      <c r="G823" s="1"/>
      <c r="H823" s="1"/>
      <c r="I823" s="1"/>
      <c r="J823" s="1"/>
      <c r="K823" s="17"/>
      <c r="L823" s="1"/>
      <c r="M823" s="1"/>
      <c r="N823" s="2"/>
      <c r="O823" s="2"/>
      <c r="P823" s="17"/>
      <c r="Q823" s="1"/>
      <c r="R823" s="1"/>
      <c r="S823" s="1"/>
      <c r="T823" s="38"/>
      <c r="U823" s="38"/>
      <c r="V823" s="38"/>
      <c r="W823" s="38"/>
      <c r="X823" s="38"/>
      <c r="Y823" s="38"/>
      <c r="Z823" s="38"/>
      <c r="AA823" s="122"/>
      <c r="AB823" s="122"/>
      <c r="AC823" s="122"/>
      <c r="AD823" s="122"/>
      <c r="AE823" s="122"/>
      <c r="AF823" s="122"/>
      <c r="AG823" s="122"/>
      <c r="AH823" s="122"/>
      <c r="AI823" s="122"/>
      <c r="AJ823" s="38"/>
      <c r="AK823" s="122"/>
      <c r="AL823" s="122"/>
      <c r="AM823" s="122"/>
      <c r="AN823" s="122"/>
      <c r="AO823" s="38"/>
      <c r="AP823" s="38"/>
      <c r="AQ823" s="38"/>
      <c r="AR823" s="17"/>
      <c r="AS823" s="1"/>
      <c r="AT823" s="17"/>
      <c r="AU823" s="1"/>
      <c r="AV823" s="17"/>
      <c r="AW823" s="1"/>
      <c r="AX823" s="2"/>
      <c r="AY823" s="1"/>
      <c r="AZ823" s="1"/>
    </row>
    <row x14ac:dyDescent="0.25" r="824" customHeight="1" ht="18.75">
      <c r="A824" s="1"/>
      <c r="B824" s="1"/>
      <c r="C824" s="1"/>
      <c r="D824" s="1"/>
      <c r="E824" s="1"/>
      <c r="F824" s="1"/>
      <c r="G824" s="1"/>
      <c r="H824" s="1"/>
      <c r="I824" s="1"/>
      <c r="J824" s="1"/>
      <c r="K824" s="17"/>
      <c r="L824" s="1"/>
      <c r="M824" s="1"/>
      <c r="N824" s="2"/>
      <c r="O824" s="2"/>
      <c r="P824" s="17"/>
      <c r="Q824" s="1"/>
      <c r="R824" s="1"/>
      <c r="S824" s="1"/>
      <c r="T824" s="38"/>
      <c r="U824" s="38"/>
      <c r="V824" s="38"/>
      <c r="W824" s="38"/>
      <c r="X824" s="38"/>
      <c r="Y824" s="38"/>
      <c r="Z824" s="38"/>
      <c r="AA824" s="122"/>
      <c r="AB824" s="122"/>
      <c r="AC824" s="122"/>
      <c r="AD824" s="122"/>
      <c r="AE824" s="122"/>
      <c r="AF824" s="122"/>
      <c r="AG824" s="122"/>
      <c r="AH824" s="122"/>
      <c r="AI824" s="122"/>
      <c r="AJ824" s="38"/>
      <c r="AK824" s="122"/>
      <c r="AL824" s="122"/>
      <c r="AM824" s="122"/>
      <c r="AN824" s="122"/>
      <c r="AO824" s="38"/>
      <c r="AP824" s="38"/>
      <c r="AQ824" s="38"/>
      <c r="AR824" s="17"/>
      <c r="AS824" s="1"/>
      <c r="AT824" s="17"/>
      <c r="AU824" s="1"/>
      <c r="AV824" s="17"/>
      <c r="AW824" s="1"/>
      <c r="AX824" s="2"/>
      <c r="AY824" s="1"/>
      <c r="AZ824" s="1"/>
    </row>
    <row x14ac:dyDescent="0.25" r="825" customHeight="1" ht="18.75">
      <c r="A825" s="1"/>
      <c r="B825" s="1"/>
      <c r="C825" s="1"/>
      <c r="D825" s="1"/>
      <c r="E825" s="1"/>
      <c r="F825" s="1"/>
      <c r="G825" s="1"/>
      <c r="H825" s="1"/>
      <c r="I825" s="1"/>
      <c r="J825" s="1"/>
      <c r="K825" s="17"/>
      <c r="L825" s="1"/>
      <c r="M825" s="1"/>
      <c r="N825" s="2"/>
      <c r="O825" s="2"/>
      <c r="P825" s="17"/>
      <c r="Q825" s="1"/>
      <c r="R825" s="1"/>
      <c r="S825" s="1"/>
      <c r="T825" s="38"/>
      <c r="U825" s="38"/>
      <c r="V825" s="38"/>
      <c r="W825" s="38"/>
      <c r="X825" s="38"/>
      <c r="Y825" s="38"/>
      <c r="Z825" s="38"/>
      <c r="AA825" s="122"/>
      <c r="AB825" s="122"/>
      <c r="AC825" s="122"/>
      <c r="AD825" s="122"/>
      <c r="AE825" s="122"/>
      <c r="AF825" s="122"/>
      <c r="AG825" s="122"/>
      <c r="AH825" s="122"/>
      <c r="AI825" s="122"/>
      <c r="AJ825" s="38"/>
      <c r="AK825" s="122"/>
      <c r="AL825" s="122"/>
      <c r="AM825" s="122"/>
      <c r="AN825" s="122"/>
      <c r="AO825" s="38"/>
      <c r="AP825" s="38"/>
      <c r="AQ825" s="38"/>
      <c r="AR825" s="17"/>
      <c r="AS825" s="1"/>
      <c r="AT825" s="17"/>
      <c r="AU825" s="1"/>
      <c r="AV825" s="17"/>
      <c r="AW825" s="1"/>
      <c r="AX825" s="2"/>
      <c r="AY825" s="1"/>
      <c r="AZ825" s="1"/>
    </row>
    <row x14ac:dyDescent="0.25" r="826" customHeight="1" ht="18.75">
      <c r="A826" s="1"/>
      <c r="B826" s="1"/>
      <c r="C826" s="1"/>
      <c r="D826" s="1"/>
      <c r="E826" s="1"/>
      <c r="F826" s="1"/>
      <c r="G826" s="1"/>
      <c r="H826" s="1"/>
      <c r="I826" s="1"/>
      <c r="J826" s="1"/>
      <c r="K826" s="17"/>
      <c r="L826" s="1"/>
      <c r="M826" s="1"/>
      <c r="N826" s="2"/>
      <c r="O826" s="2"/>
      <c r="P826" s="17"/>
      <c r="Q826" s="1"/>
      <c r="R826" s="1"/>
      <c r="S826" s="1"/>
      <c r="T826" s="38"/>
      <c r="U826" s="38"/>
      <c r="V826" s="38"/>
      <c r="W826" s="38"/>
      <c r="X826" s="38"/>
      <c r="Y826" s="38"/>
      <c r="Z826" s="38"/>
      <c r="AA826" s="122"/>
      <c r="AB826" s="122"/>
      <c r="AC826" s="122"/>
      <c r="AD826" s="122"/>
      <c r="AE826" s="122"/>
      <c r="AF826" s="122"/>
      <c r="AG826" s="122"/>
      <c r="AH826" s="122"/>
      <c r="AI826" s="122"/>
      <c r="AJ826" s="38"/>
      <c r="AK826" s="122"/>
      <c r="AL826" s="122"/>
      <c r="AM826" s="122"/>
      <c r="AN826" s="122"/>
      <c r="AO826" s="38"/>
      <c r="AP826" s="38"/>
      <c r="AQ826" s="38"/>
      <c r="AR826" s="17"/>
      <c r="AS826" s="1"/>
      <c r="AT826" s="17"/>
      <c r="AU826" s="1"/>
      <c r="AV826" s="17"/>
      <c r="AW826" s="1"/>
      <c r="AX826" s="2"/>
      <c r="AY826" s="1"/>
      <c r="AZ826" s="1"/>
    </row>
    <row x14ac:dyDescent="0.25" r="827" customHeight="1" ht="18.75">
      <c r="A827" s="1"/>
      <c r="B827" s="1"/>
      <c r="C827" s="1"/>
      <c r="D827" s="1"/>
      <c r="E827" s="1"/>
      <c r="F827" s="1"/>
      <c r="G827" s="1"/>
      <c r="H827" s="1"/>
      <c r="I827" s="1"/>
      <c r="J827" s="1"/>
      <c r="K827" s="17"/>
      <c r="L827" s="1"/>
      <c r="M827" s="1"/>
      <c r="N827" s="2"/>
      <c r="O827" s="2"/>
      <c r="P827" s="17"/>
      <c r="Q827" s="1"/>
      <c r="R827" s="1"/>
      <c r="S827" s="1"/>
      <c r="T827" s="38"/>
      <c r="U827" s="38"/>
      <c r="V827" s="38"/>
      <c r="W827" s="38"/>
      <c r="X827" s="38"/>
      <c r="Y827" s="38"/>
      <c r="Z827" s="38"/>
      <c r="AA827" s="122"/>
      <c r="AB827" s="122"/>
      <c r="AC827" s="122"/>
      <c r="AD827" s="122"/>
      <c r="AE827" s="122"/>
      <c r="AF827" s="122"/>
      <c r="AG827" s="122"/>
      <c r="AH827" s="122"/>
      <c r="AI827" s="122"/>
      <c r="AJ827" s="38"/>
      <c r="AK827" s="122"/>
      <c r="AL827" s="122"/>
      <c r="AM827" s="122"/>
      <c r="AN827" s="122"/>
      <c r="AO827" s="38"/>
      <c r="AP827" s="38"/>
      <c r="AQ827" s="38"/>
      <c r="AR827" s="17"/>
      <c r="AS827" s="1"/>
      <c r="AT827" s="17"/>
      <c r="AU827" s="1"/>
      <c r="AV827" s="17"/>
      <c r="AW827" s="1"/>
      <c r="AX827" s="2"/>
      <c r="AY827" s="1"/>
      <c r="AZ827" s="1"/>
    </row>
    <row x14ac:dyDescent="0.25" r="828" customHeight="1" ht="18.75">
      <c r="A828" s="1"/>
      <c r="B828" s="1"/>
      <c r="C828" s="1"/>
      <c r="D828" s="1"/>
      <c r="E828" s="1"/>
      <c r="F828" s="1"/>
      <c r="G828" s="1"/>
      <c r="H828" s="1"/>
      <c r="I828" s="1"/>
      <c r="J828" s="1"/>
      <c r="K828" s="17"/>
      <c r="L828" s="1"/>
      <c r="M828" s="1"/>
      <c r="N828" s="2"/>
      <c r="O828" s="2"/>
      <c r="P828" s="17"/>
      <c r="Q828" s="1"/>
      <c r="R828" s="1"/>
      <c r="S828" s="1"/>
      <c r="T828" s="38"/>
      <c r="U828" s="38"/>
      <c r="V828" s="38"/>
      <c r="W828" s="38"/>
      <c r="X828" s="38"/>
      <c r="Y828" s="38"/>
      <c r="Z828" s="38"/>
      <c r="AA828" s="122"/>
      <c r="AB828" s="122"/>
      <c r="AC828" s="122"/>
      <c r="AD828" s="122"/>
      <c r="AE828" s="122"/>
      <c r="AF828" s="122"/>
      <c r="AG828" s="122"/>
      <c r="AH828" s="122"/>
      <c r="AI828" s="122"/>
      <c r="AJ828" s="38"/>
      <c r="AK828" s="122"/>
      <c r="AL828" s="122"/>
      <c r="AM828" s="122"/>
      <c r="AN828" s="122"/>
      <c r="AO828" s="38"/>
      <c r="AP828" s="38"/>
      <c r="AQ828" s="38"/>
      <c r="AR828" s="17"/>
      <c r="AS828" s="1"/>
      <c r="AT828" s="17"/>
      <c r="AU828" s="1"/>
      <c r="AV828" s="17"/>
      <c r="AW828" s="1"/>
      <c r="AX828" s="2"/>
      <c r="AY828" s="1"/>
      <c r="AZ828" s="1"/>
    </row>
    <row x14ac:dyDescent="0.25" r="829" customHeight="1" ht="18.75">
      <c r="A829" s="1"/>
      <c r="B829" s="1"/>
      <c r="C829" s="1"/>
      <c r="D829" s="1"/>
      <c r="E829" s="1"/>
      <c r="F829" s="1"/>
      <c r="G829" s="1"/>
      <c r="H829" s="1"/>
      <c r="I829" s="1"/>
      <c r="J829" s="1"/>
      <c r="K829" s="17"/>
      <c r="L829" s="1"/>
      <c r="M829" s="1"/>
      <c r="N829" s="2"/>
      <c r="O829" s="2"/>
      <c r="P829" s="17"/>
      <c r="Q829" s="1"/>
      <c r="R829" s="1"/>
      <c r="S829" s="1"/>
      <c r="T829" s="38"/>
      <c r="U829" s="38"/>
      <c r="V829" s="38"/>
      <c r="W829" s="38"/>
      <c r="X829" s="38"/>
      <c r="Y829" s="38"/>
      <c r="Z829" s="38"/>
      <c r="AA829" s="122"/>
      <c r="AB829" s="122"/>
      <c r="AC829" s="122"/>
      <c r="AD829" s="122"/>
      <c r="AE829" s="122"/>
      <c r="AF829" s="122"/>
      <c r="AG829" s="122"/>
      <c r="AH829" s="122"/>
      <c r="AI829" s="122"/>
      <c r="AJ829" s="38"/>
      <c r="AK829" s="122"/>
      <c r="AL829" s="122"/>
      <c r="AM829" s="122"/>
      <c r="AN829" s="122"/>
      <c r="AO829" s="38"/>
      <c r="AP829" s="38"/>
      <c r="AQ829" s="38"/>
      <c r="AR829" s="17"/>
      <c r="AS829" s="1"/>
      <c r="AT829" s="17"/>
      <c r="AU829" s="1"/>
      <c r="AV829" s="17"/>
      <c r="AW829" s="1"/>
      <c r="AX829" s="2"/>
      <c r="AY829" s="1"/>
      <c r="AZ829" s="1"/>
    </row>
    <row x14ac:dyDescent="0.25" r="830" customHeight="1" ht="18.75">
      <c r="A830" s="1"/>
      <c r="B830" s="1"/>
      <c r="C830" s="1"/>
      <c r="D830" s="1"/>
      <c r="E830" s="1"/>
      <c r="F830" s="1"/>
      <c r="G830" s="1"/>
      <c r="H830" s="1"/>
      <c r="I830" s="1"/>
      <c r="J830" s="1"/>
      <c r="K830" s="17"/>
      <c r="L830" s="1"/>
      <c r="M830" s="1"/>
      <c r="N830" s="2"/>
      <c r="O830" s="2"/>
      <c r="P830" s="17"/>
      <c r="Q830" s="1"/>
      <c r="R830" s="1"/>
      <c r="S830" s="1"/>
      <c r="T830" s="38"/>
      <c r="U830" s="38"/>
      <c r="V830" s="38"/>
      <c r="W830" s="38"/>
      <c r="X830" s="38"/>
      <c r="Y830" s="38"/>
      <c r="Z830" s="38"/>
      <c r="AA830" s="122"/>
      <c r="AB830" s="122"/>
      <c r="AC830" s="122"/>
      <c r="AD830" s="122"/>
      <c r="AE830" s="122"/>
      <c r="AF830" s="122"/>
      <c r="AG830" s="122"/>
      <c r="AH830" s="122"/>
      <c r="AI830" s="122"/>
      <c r="AJ830" s="38"/>
      <c r="AK830" s="122"/>
      <c r="AL830" s="122"/>
      <c r="AM830" s="122"/>
      <c r="AN830" s="122"/>
      <c r="AO830" s="38"/>
      <c r="AP830" s="38"/>
      <c r="AQ830" s="38"/>
      <c r="AR830" s="17"/>
      <c r="AS830" s="1"/>
      <c r="AT830" s="17"/>
      <c r="AU830" s="1"/>
      <c r="AV830" s="17"/>
      <c r="AW830" s="1"/>
      <c r="AX830" s="2"/>
      <c r="AY830" s="1"/>
      <c r="AZ830" s="1"/>
    </row>
    <row x14ac:dyDescent="0.25" r="831" customHeight="1" ht="18.75">
      <c r="A831" s="1"/>
      <c r="B831" s="1"/>
      <c r="C831" s="1"/>
      <c r="D831" s="1"/>
      <c r="E831" s="1"/>
      <c r="F831" s="1"/>
      <c r="G831" s="1"/>
      <c r="H831" s="1"/>
      <c r="I831" s="1"/>
      <c r="J831" s="1"/>
      <c r="K831" s="17"/>
      <c r="L831" s="1"/>
      <c r="M831" s="1"/>
      <c r="N831" s="2"/>
      <c r="O831" s="2"/>
      <c r="P831" s="17"/>
      <c r="Q831" s="1"/>
      <c r="R831" s="1"/>
      <c r="S831" s="1"/>
      <c r="T831" s="38"/>
      <c r="U831" s="38"/>
      <c r="V831" s="38"/>
      <c r="W831" s="38"/>
      <c r="X831" s="38"/>
      <c r="Y831" s="38"/>
      <c r="Z831" s="38"/>
      <c r="AA831" s="122"/>
      <c r="AB831" s="122"/>
      <c r="AC831" s="122"/>
      <c r="AD831" s="122"/>
      <c r="AE831" s="122"/>
      <c r="AF831" s="122"/>
      <c r="AG831" s="122"/>
      <c r="AH831" s="122"/>
      <c r="AI831" s="122"/>
      <c r="AJ831" s="38"/>
      <c r="AK831" s="122"/>
      <c r="AL831" s="122"/>
      <c r="AM831" s="122"/>
      <c r="AN831" s="122"/>
      <c r="AO831" s="38"/>
      <c r="AP831" s="38"/>
      <c r="AQ831" s="38"/>
      <c r="AR831" s="17"/>
      <c r="AS831" s="1"/>
      <c r="AT831" s="17"/>
      <c r="AU831" s="1"/>
      <c r="AV831" s="17"/>
      <c r="AW831" s="1"/>
      <c r="AX831" s="2"/>
      <c r="AY831" s="1"/>
      <c r="AZ831" s="1"/>
    </row>
    <row x14ac:dyDescent="0.25" r="832" customHeight="1" ht="18.75">
      <c r="A832" s="1"/>
      <c r="B832" s="1"/>
      <c r="C832" s="1"/>
      <c r="D832" s="1"/>
      <c r="E832" s="1"/>
      <c r="F832" s="1"/>
      <c r="G832" s="1"/>
      <c r="H832" s="1"/>
      <c r="I832" s="1"/>
      <c r="J832" s="1"/>
      <c r="K832" s="17"/>
      <c r="L832" s="1"/>
      <c r="M832" s="1"/>
      <c r="N832" s="2"/>
      <c r="O832" s="2"/>
      <c r="P832" s="17"/>
      <c r="Q832" s="1"/>
      <c r="R832" s="1"/>
      <c r="S832" s="1"/>
      <c r="T832" s="38"/>
      <c r="U832" s="38"/>
      <c r="V832" s="38"/>
      <c r="W832" s="38"/>
      <c r="X832" s="38"/>
      <c r="Y832" s="38"/>
      <c r="Z832" s="38"/>
      <c r="AA832" s="122"/>
      <c r="AB832" s="122"/>
      <c r="AC832" s="122"/>
      <c r="AD832" s="122"/>
      <c r="AE832" s="122"/>
      <c r="AF832" s="122"/>
      <c r="AG832" s="122"/>
      <c r="AH832" s="122"/>
      <c r="AI832" s="122"/>
      <c r="AJ832" s="38"/>
      <c r="AK832" s="122"/>
      <c r="AL832" s="122"/>
      <c r="AM832" s="122"/>
      <c r="AN832" s="122"/>
      <c r="AO832" s="38"/>
      <c r="AP832" s="38"/>
      <c r="AQ832" s="38"/>
      <c r="AR832" s="17"/>
      <c r="AS832" s="1"/>
      <c r="AT832" s="17"/>
      <c r="AU832" s="1"/>
      <c r="AV832" s="17"/>
      <c r="AW832" s="1"/>
      <c r="AX832" s="2"/>
      <c r="AY832" s="1"/>
      <c r="AZ832" s="1"/>
    </row>
    <row x14ac:dyDescent="0.25" r="833" customHeight="1" ht="18.75">
      <c r="A833" s="1"/>
      <c r="B833" s="1"/>
      <c r="C833" s="1"/>
      <c r="D833" s="1"/>
      <c r="E833" s="1"/>
      <c r="F833" s="1"/>
      <c r="G833" s="1"/>
      <c r="H833" s="1"/>
      <c r="I833" s="1"/>
      <c r="J833" s="1"/>
      <c r="K833" s="17"/>
      <c r="L833" s="1"/>
      <c r="M833" s="1"/>
      <c r="N833" s="2"/>
      <c r="O833" s="2"/>
      <c r="P833" s="17"/>
      <c r="Q833" s="1"/>
      <c r="R833" s="1"/>
      <c r="S833" s="1"/>
      <c r="T833" s="38"/>
      <c r="U833" s="38"/>
      <c r="V833" s="38"/>
      <c r="W833" s="38"/>
      <c r="X833" s="38"/>
      <c r="Y833" s="38"/>
      <c r="Z833" s="38"/>
      <c r="AA833" s="122"/>
      <c r="AB833" s="122"/>
      <c r="AC833" s="122"/>
      <c r="AD833" s="122"/>
      <c r="AE833" s="122"/>
      <c r="AF833" s="122"/>
      <c r="AG833" s="122"/>
      <c r="AH833" s="122"/>
      <c r="AI833" s="122"/>
      <c r="AJ833" s="38"/>
      <c r="AK833" s="122"/>
      <c r="AL833" s="122"/>
      <c r="AM833" s="122"/>
      <c r="AN833" s="122"/>
      <c r="AO833" s="38"/>
      <c r="AP833" s="38"/>
      <c r="AQ833" s="38"/>
      <c r="AR833" s="17"/>
      <c r="AS833" s="1"/>
      <c r="AT833" s="17"/>
      <c r="AU833" s="1"/>
      <c r="AV833" s="17"/>
      <c r="AW833" s="1"/>
      <c r="AX833" s="2"/>
      <c r="AY833" s="1"/>
      <c r="AZ833" s="1"/>
    </row>
    <row x14ac:dyDescent="0.25" r="834" customHeight="1" ht="18.75">
      <c r="A834" s="1"/>
      <c r="B834" s="1"/>
      <c r="C834" s="1"/>
      <c r="D834" s="1"/>
      <c r="E834" s="1"/>
      <c r="F834" s="1"/>
      <c r="G834" s="1"/>
      <c r="H834" s="1"/>
      <c r="I834" s="1"/>
      <c r="J834" s="1"/>
      <c r="K834" s="17"/>
      <c r="L834" s="1"/>
      <c r="M834" s="1"/>
      <c r="N834" s="2"/>
      <c r="O834" s="2"/>
      <c r="P834" s="17"/>
      <c r="Q834" s="1"/>
      <c r="R834" s="1"/>
      <c r="S834" s="1"/>
      <c r="T834" s="38"/>
      <c r="U834" s="38"/>
      <c r="V834" s="38"/>
      <c r="W834" s="38"/>
      <c r="X834" s="38"/>
      <c r="Y834" s="38"/>
      <c r="Z834" s="38"/>
      <c r="AA834" s="122"/>
      <c r="AB834" s="122"/>
      <c r="AC834" s="122"/>
      <c r="AD834" s="122"/>
      <c r="AE834" s="122"/>
      <c r="AF834" s="122"/>
      <c r="AG834" s="122"/>
      <c r="AH834" s="122"/>
      <c r="AI834" s="122"/>
      <c r="AJ834" s="38"/>
      <c r="AK834" s="122"/>
      <c r="AL834" s="122"/>
      <c r="AM834" s="122"/>
      <c r="AN834" s="122"/>
      <c r="AO834" s="38"/>
      <c r="AP834" s="38"/>
      <c r="AQ834" s="38"/>
      <c r="AR834" s="17"/>
      <c r="AS834" s="1"/>
      <c r="AT834" s="17"/>
      <c r="AU834" s="1"/>
      <c r="AV834" s="17"/>
      <c r="AW834" s="1"/>
      <c r="AX834" s="2"/>
      <c r="AY834" s="1"/>
      <c r="AZ834" s="1"/>
    </row>
    <row x14ac:dyDescent="0.25" r="835" customHeight="1" ht="18.75">
      <c r="A835" s="1"/>
      <c r="B835" s="1"/>
      <c r="C835" s="1"/>
      <c r="D835" s="1"/>
      <c r="E835" s="1"/>
      <c r="F835" s="1"/>
      <c r="G835" s="1"/>
      <c r="H835" s="1"/>
      <c r="I835" s="1"/>
      <c r="J835" s="1"/>
      <c r="K835" s="17"/>
      <c r="L835" s="1"/>
      <c r="M835" s="1"/>
      <c r="N835" s="2"/>
      <c r="O835" s="2"/>
      <c r="P835" s="17"/>
      <c r="Q835" s="1"/>
      <c r="R835" s="1"/>
      <c r="S835" s="1"/>
      <c r="T835" s="38"/>
      <c r="U835" s="38"/>
      <c r="V835" s="38"/>
      <c r="W835" s="38"/>
      <c r="X835" s="38"/>
      <c r="Y835" s="38"/>
      <c r="Z835" s="38"/>
      <c r="AA835" s="122"/>
      <c r="AB835" s="122"/>
      <c r="AC835" s="122"/>
      <c r="AD835" s="122"/>
      <c r="AE835" s="122"/>
      <c r="AF835" s="122"/>
      <c r="AG835" s="122"/>
      <c r="AH835" s="122"/>
      <c r="AI835" s="122"/>
      <c r="AJ835" s="38"/>
      <c r="AK835" s="122"/>
      <c r="AL835" s="122"/>
      <c r="AM835" s="122"/>
      <c r="AN835" s="122"/>
      <c r="AO835" s="38"/>
      <c r="AP835" s="38"/>
      <c r="AQ835" s="38"/>
      <c r="AR835" s="17"/>
      <c r="AS835" s="1"/>
      <c r="AT835" s="17"/>
      <c r="AU835" s="1"/>
      <c r="AV835" s="17"/>
      <c r="AW835" s="1"/>
      <c r="AX835" s="2"/>
      <c r="AY835" s="1"/>
      <c r="AZ835" s="1"/>
    </row>
    <row x14ac:dyDescent="0.25" r="836" customHeight="1" ht="18.75">
      <c r="A836" s="1"/>
      <c r="B836" s="1"/>
      <c r="C836" s="1"/>
      <c r="D836" s="1"/>
      <c r="E836" s="1"/>
      <c r="F836" s="1"/>
      <c r="G836" s="1"/>
      <c r="H836" s="1"/>
      <c r="I836" s="1"/>
      <c r="J836" s="1"/>
      <c r="K836" s="17"/>
      <c r="L836" s="1"/>
      <c r="M836" s="1"/>
      <c r="N836" s="2"/>
      <c r="O836" s="2"/>
      <c r="P836" s="17"/>
      <c r="Q836" s="1"/>
      <c r="R836" s="1"/>
      <c r="S836" s="1"/>
      <c r="T836" s="38"/>
      <c r="U836" s="38"/>
      <c r="V836" s="38"/>
      <c r="W836" s="38"/>
      <c r="X836" s="38"/>
      <c r="Y836" s="38"/>
      <c r="Z836" s="38"/>
      <c r="AA836" s="122"/>
      <c r="AB836" s="122"/>
      <c r="AC836" s="122"/>
      <c r="AD836" s="122"/>
      <c r="AE836" s="122"/>
      <c r="AF836" s="122"/>
      <c r="AG836" s="122"/>
      <c r="AH836" s="122"/>
      <c r="AI836" s="122"/>
      <c r="AJ836" s="38"/>
      <c r="AK836" s="122"/>
      <c r="AL836" s="122"/>
      <c r="AM836" s="122"/>
      <c r="AN836" s="122"/>
      <c r="AO836" s="38"/>
      <c r="AP836" s="38"/>
      <c r="AQ836" s="38"/>
      <c r="AR836" s="17"/>
      <c r="AS836" s="1"/>
      <c r="AT836" s="17"/>
      <c r="AU836" s="1"/>
      <c r="AV836" s="17"/>
      <c r="AW836" s="1"/>
      <c r="AX836" s="2"/>
      <c r="AY836" s="1"/>
      <c r="AZ836" s="1"/>
    </row>
    <row x14ac:dyDescent="0.25" r="837" customHeight="1" ht="18.75">
      <c r="A837" s="1"/>
      <c r="B837" s="1"/>
      <c r="C837" s="1"/>
      <c r="D837" s="1"/>
      <c r="E837" s="1"/>
      <c r="F837" s="1"/>
      <c r="G837" s="1"/>
      <c r="H837" s="1"/>
      <c r="I837" s="1"/>
      <c r="J837" s="1"/>
      <c r="K837" s="17"/>
      <c r="L837" s="1"/>
      <c r="M837" s="1"/>
      <c r="N837" s="2"/>
      <c r="O837" s="2"/>
      <c r="P837" s="17"/>
      <c r="Q837" s="1"/>
      <c r="R837" s="1"/>
      <c r="S837" s="1"/>
      <c r="T837" s="38"/>
      <c r="U837" s="38"/>
      <c r="V837" s="38"/>
      <c r="W837" s="38"/>
      <c r="X837" s="38"/>
      <c r="Y837" s="38"/>
      <c r="Z837" s="38"/>
      <c r="AA837" s="122"/>
      <c r="AB837" s="122"/>
      <c r="AC837" s="122"/>
      <c r="AD837" s="122"/>
      <c r="AE837" s="122"/>
      <c r="AF837" s="122"/>
      <c r="AG837" s="122"/>
      <c r="AH837" s="122"/>
      <c r="AI837" s="122"/>
      <c r="AJ837" s="38"/>
      <c r="AK837" s="122"/>
      <c r="AL837" s="122"/>
      <c r="AM837" s="122"/>
      <c r="AN837" s="122"/>
      <c r="AO837" s="38"/>
      <c r="AP837" s="38"/>
      <c r="AQ837" s="38"/>
      <c r="AR837" s="17"/>
      <c r="AS837" s="1"/>
      <c r="AT837" s="17"/>
      <c r="AU837" s="1"/>
      <c r="AV837" s="17"/>
      <c r="AW837" s="1"/>
      <c r="AX837" s="2"/>
      <c r="AY837" s="1"/>
      <c r="AZ837" s="1"/>
    </row>
    <row x14ac:dyDescent="0.25" r="838" customHeight="1" ht="18.75">
      <c r="A838" s="1"/>
      <c r="B838" s="1"/>
      <c r="C838" s="1"/>
      <c r="D838" s="1"/>
      <c r="E838" s="1"/>
      <c r="F838" s="1"/>
      <c r="G838" s="1"/>
      <c r="H838" s="1"/>
      <c r="I838" s="1"/>
      <c r="J838" s="1"/>
      <c r="K838" s="17"/>
      <c r="L838" s="1"/>
      <c r="M838" s="1"/>
      <c r="N838" s="2"/>
      <c r="O838" s="2"/>
      <c r="P838" s="17"/>
      <c r="Q838" s="1"/>
      <c r="R838" s="1"/>
      <c r="S838" s="1"/>
      <c r="T838" s="38"/>
      <c r="U838" s="38"/>
      <c r="V838" s="38"/>
      <c r="W838" s="38"/>
      <c r="X838" s="38"/>
      <c r="Y838" s="38"/>
      <c r="Z838" s="38"/>
      <c r="AA838" s="122"/>
      <c r="AB838" s="122"/>
      <c r="AC838" s="122"/>
      <c r="AD838" s="122"/>
      <c r="AE838" s="122"/>
      <c r="AF838" s="122"/>
      <c r="AG838" s="122"/>
      <c r="AH838" s="122"/>
      <c r="AI838" s="122"/>
      <c r="AJ838" s="38"/>
      <c r="AK838" s="122"/>
      <c r="AL838" s="122"/>
      <c r="AM838" s="122"/>
      <c r="AN838" s="122"/>
      <c r="AO838" s="38"/>
      <c r="AP838" s="38"/>
      <c r="AQ838" s="38"/>
      <c r="AR838" s="17"/>
      <c r="AS838" s="1"/>
      <c r="AT838" s="17"/>
      <c r="AU838" s="1"/>
      <c r="AV838" s="17"/>
      <c r="AW838" s="1"/>
      <c r="AX838" s="2"/>
      <c r="AY838" s="1"/>
      <c r="AZ838" s="1"/>
    </row>
    <row x14ac:dyDescent="0.25" r="839" customHeight="1" ht="18.75">
      <c r="A839" s="1"/>
      <c r="B839" s="1"/>
      <c r="C839" s="1"/>
      <c r="D839" s="1"/>
      <c r="E839" s="1"/>
      <c r="F839" s="1"/>
      <c r="G839" s="1"/>
      <c r="H839" s="1"/>
      <c r="I839" s="1"/>
      <c r="J839" s="1"/>
      <c r="K839" s="17"/>
      <c r="L839" s="1"/>
      <c r="M839" s="1"/>
      <c r="N839" s="2"/>
      <c r="O839" s="2"/>
      <c r="P839" s="17"/>
      <c r="Q839" s="1"/>
      <c r="R839" s="1"/>
      <c r="S839" s="1"/>
      <c r="T839" s="38"/>
      <c r="U839" s="38"/>
      <c r="V839" s="38"/>
      <c r="W839" s="38"/>
      <c r="X839" s="38"/>
      <c r="Y839" s="38"/>
      <c r="Z839" s="38"/>
      <c r="AA839" s="122"/>
      <c r="AB839" s="122"/>
      <c r="AC839" s="122"/>
      <c r="AD839" s="122"/>
      <c r="AE839" s="122"/>
      <c r="AF839" s="122"/>
      <c r="AG839" s="122"/>
      <c r="AH839" s="122"/>
      <c r="AI839" s="122"/>
      <c r="AJ839" s="38"/>
      <c r="AK839" s="122"/>
      <c r="AL839" s="122"/>
      <c r="AM839" s="122"/>
      <c r="AN839" s="122"/>
      <c r="AO839" s="38"/>
      <c r="AP839" s="38"/>
      <c r="AQ839" s="38"/>
      <c r="AR839" s="17"/>
      <c r="AS839" s="1"/>
      <c r="AT839" s="17"/>
      <c r="AU839" s="1"/>
      <c r="AV839" s="17"/>
      <c r="AW839" s="1"/>
      <c r="AX839" s="2"/>
      <c r="AY839" s="1"/>
      <c r="AZ839" s="1"/>
    </row>
    <row x14ac:dyDescent="0.25" r="840" customHeight="1" ht="18.75">
      <c r="A840" s="1"/>
      <c r="B840" s="1"/>
      <c r="C840" s="1"/>
      <c r="D840" s="1"/>
      <c r="E840" s="1"/>
      <c r="F840" s="1"/>
      <c r="G840" s="1"/>
      <c r="H840" s="1"/>
      <c r="I840" s="1"/>
      <c r="J840" s="1"/>
      <c r="K840" s="17"/>
      <c r="L840" s="1"/>
      <c r="M840" s="1"/>
      <c r="N840" s="2"/>
      <c r="O840" s="2"/>
      <c r="P840" s="17"/>
      <c r="Q840" s="1"/>
      <c r="R840" s="1"/>
      <c r="S840" s="1"/>
      <c r="T840" s="38"/>
      <c r="U840" s="38"/>
      <c r="V840" s="38"/>
      <c r="W840" s="38"/>
      <c r="X840" s="38"/>
      <c r="Y840" s="38"/>
      <c r="Z840" s="38"/>
      <c r="AA840" s="122"/>
      <c r="AB840" s="122"/>
      <c r="AC840" s="122"/>
      <c r="AD840" s="122"/>
      <c r="AE840" s="122"/>
      <c r="AF840" s="122"/>
      <c r="AG840" s="122"/>
      <c r="AH840" s="122"/>
      <c r="AI840" s="122"/>
      <c r="AJ840" s="38"/>
      <c r="AK840" s="122"/>
      <c r="AL840" s="122"/>
      <c r="AM840" s="122"/>
      <c r="AN840" s="122"/>
      <c r="AO840" s="38"/>
      <c r="AP840" s="38"/>
      <c r="AQ840" s="38"/>
      <c r="AR840" s="17"/>
      <c r="AS840" s="1"/>
      <c r="AT840" s="17"/>
      <c r="AU840" s="1"/>
      <c r="AV840" s="17"/>
      <c r="AW840" s="1"/>
      <c r="AX840" s="2"/>
      <c r="AY840" s="1"/>
      <c r="AZ840" s="1"/>
    </row>
    <row x14ac:dyDescent="0.25" r="841" customHeight="1" ht="18.75">
      <c r="A841" s="1"/>
      <c r="B841" s="1"/>
      <c r="C841" s="1"/>
      <c r="D841" s="1"/>
      <c r="E841" s="1"/>
      <c r="F841" s="1"/>
      <c r="G841" s="1"/>
      <c r="H841" s="1"/>
      <c r="I841" s="1"/>
      <c r="J841" s="1"/>
      <c r="K841" s="17"/>
      <c r="L841" s="1"/>
      <c r="M841" s="1"/>
      <c r="N841" s="2"/>
      <c r="O841" s="2"/>
      <c r="P841" s="17"/>
      <c r="Q841" s="1"/>
      <c r="R841" s="1"/>
      <c r="S841" s="1"/>
      <c r="T841" s="38"/>
      <c r="U841" s="38"/>
      <c r="V841" s="38"/>
      <c r="W841" s="38"/>
      <c r="X841" s="38"/>
      <c r="Y841" s="38"/>
      <c r="Z841" s="38"/>
      <c r="AA841" s="122"/>
      <c r="AB841" s="122"/>
      <c r="AC841" s="122"/>
      <c r="AD841" s="122"/>
      <c r="AE841" s="122"/>
      <c r="AF841" s="122"/>
      <c r="AG841" s="122"/>
      <c r="AH841" s="122"/>
      <c r="AI841" s="122"/>
      <c r="AJ841" s="38"/>
      <c r="AK841" s="122"/>
      <c r="AL841" s="122"/>
      <c r="AM841" s="122"/>
      <c r="AN841" s="122"/>
      <c r="AO841" s="38"/>
      <c r="AP841" s="38"/>
      <c r="AQ841" s="38"/>
      <c r="AR841" s="17"/>
      <c r="AS841" s="1"/>
      <c r="AT841" s="17"/>
      <c r="AU841" s="1"/>
      <c r="AV841" s="17"/>
      <c r="AW841" s="1"/>
      <c r="AX841" s="2"/>
      <c r="AY841" s="1"/>
      <c r="AZ841" s="1"/>
    </row>
    <row x14ac:dyDescent="0.25" r="842" customHeight="1" ht="18.75">
      <c r="A842" s="1"/>
      <c r="B842" s="1"/>
      <c r="C842" s="1"/>
      <c r="D842" s="1"/>
      <c r="E842" s="1"/>
      <c r="F842" s="1"/>
      <c r="G842" s="1"/>
      <c r="H842" s="1"/>
      <c r="I842" s="1"/>
      <c r="J842" s="1"/>
      <c r="K842" s="17"/>
      <c r="L842" s="1"/>
      <c r="M842" s="1"/>
      <c r="N842" s="2"/>
      <c r="O842" s="2"/>
      <c r="P842" s="17"/>
      <c r="Q842" s="1"/>
      <c r="R842" s="1"/>
      <c r="S842" s="1"/>
      <c r="T842" s="38"/>
      <c r="U842" s="38"/>
      <c r="V842" s="38"/>
      <c r="W842" s="38"/>
      <c r="X842" s="38"/>
      <c r="Y842" s="38"/>
      <c r="Z842" s="38"/>
      <c r="AA842" s="122"/>
      <c r="AB842" s="122"/>
      <c r="AC842" s="122"/>
      <c r="AD842" s="122"/>
      <c r="AE842" s="122"/>
      <c r="AF842" s="122"/>
      <c r="AG842" s="122"/>
      <c r="AH842" s="122"/>
      <c r="AI842" s="122"/>
      <c r="AJ842" s="38"/>
      <c r="AK842" s="122"/>
      <c r="AL842" s="122"/>
      <c r="AM842" s="122"/>
      <c r="AN842" s="122"/>
      <c r="AO842" s="38"/>
      <c r="AP842" s="38"/>
      <c r="AQ842" s="38"/>
      <c r="AR842" s="17"/>
      <c r="AS842" s="1"/>
      <c r="AT842" s="17"/>
      <c r="AU842" s="1"/>
      <c r="AV842" s="17"/>
      <c r="AW842" s="1"/>
      <c r="AX842" s="2"/>
      <c r="AY842" s="1"/>
      <c r="AZ842" s="1"/>
    </row>
    <row x14ac:dyDescent="0.25" r="843" customHeight="1" ht="18.75">
      <c r="A843" s="1"/>
      <c r="B843" s="1"/>
      <c r="C843" s="1"/>
      <c r="D843" s="1"/>
      <c r="E843" s="1"/>
      <c r="F843" s="1"/>
      <c r="G843" s="1"/>
      <c r="H843" s="1"/>
      <c r="I843" s="1"/>
      <c r="J843" s="1"/>
      <c r="K843" s="17"/>
      <c r="L843" s="1"/>
      <c r="M843" s="1"/>
      <c r="N843" s="2"/>
      <c r="O843" s="2"/>
      <c r="P843" s="17"/>
      <c r="Q843" s="1"/>
      <c r="R843" s="1"/>
      <c r="S843" s="1"/>
      <c r="T843" s="38"/>
      <c r="U843" s="38"/>
      <c r="V843" s="38"/>
      <c r="W843" s="38"/>
      <c r="X843" s="38"/>
      <c r="Y843" s="38"/>
      <c r="Z843" s="38"/>
      <c r="AA843" s="122"/>
      <c r="AB843" s="122"/>
      <c r="AC843" s="122"/>
      <c r="AD843" s="122"/>
      <c r="AE843" s="122"/>
      <c r="AF843" s="122"/>
      <c r="AG843" s="122"/>
      <c r="AH843" s="122"/>
      <c r="AI843" s="122"/>
      <c r="AJ843" s="38"/>
      <c r="AK843" s="122"/>
      <c r="AL843" s="122"/>
      <c r="AM843" s="122"/>
      <c r="AN843" s="122"/>
      <c r="AO843" s="38"/>
      <c r="AP843" s="38"/>
      <c r="AQ843" s="38"/>
      <c r="AR843" s="17"/>
      <c r="AS843" s="1"/>
      <c r="AT843" s="17"/>
      <c r="AU843" s="1"/>
      <c r="AV843" s="17"/>
      <c r="AW843" s="1"/>
      <c r="AX843" s="2"/>
      <c r="AY843" s="1"/>
      <c r="AZ843" s="1"/>
    </row>
    <row x14ac:dyDescent="0.25" r="844" customHeight="1" ht="18.75">
      <c r="A844" s="1"/>
      <c r="B844" s="1"/>
      <c r="C844" s="1"/>
      <c r="D844" s="1"/>
      <c r="E844" s="1"/>
      <c r="F844" s="1"/>
      <c r="G844" s="1"/>
      <c r="H844" s="1"/>
      <c r="I844" s="1"/>
      <c r="J844" s="1"/>
      <c r="K844" s="17"/>
      <c r="L844" s="1"/>
      <c r="M844" s="1"/>
      <c r="N844" s="2"/>
      <c r="O844" s="2"/>
      <c r="P844" s="17"/>
      <c r="Q844" s="1"/>
      <c r="R844" s="1"/>
      <c r="S844" s="1"/>
      <c r="T844" s="38"/>
      <c r="U844" s="38"/>
      <c r="V844" s="38"/>
      <c r="W844" s="38"/>
      <c r="X844" s="38"/>
      <c r="Y844" s="38"/>
      <c r="Z844" s="38"/>
      <c r="AA844" s="122"/>
      <c r="AB844" s="122"/>
      <c r="AC844" s="122"/>
      <c r="AD844" s="122"/>
      <c r="AE844" s="122"/>
      <c r="AF844" s="122"/>
      <c r="AG844" s="122"/>
      <c r="AH844" s="122"/>
      <c r="AI844" s="122"/>
      <c r="AJ844" s="38"/>
      <c r="AK844" s="122"/>
      <c r="AL844" s="122"/>
      <c r="AM844" s="122"/>
      <c r="AN844" s="122"/>
      <c r="AO844" s="38"/>
      <c r="AP844" s="38"/>
      <c r="AQ844" s="38"/>
      <c r="AR844" s="17"/>
      <c r="AS844" s="1"/>
      <c r="AT844" s="17"/>
      <c r="AU844" s="1"/>
      <c r="AV844" s="17"/>
      <c r="AW844" s="1"/>
      <c r="AX844" s="2"/>
      <c r="AY844" s="1"/>
      <c r="AZ844" s="1"/>
    </row>
    <row x14ac:dyDescent="0.25" r="845" customHeight="1" ht="18.75">
      <c r="A845" s="1"/>
      <c r="B845" s="1"/>
      <c r="C845" s="1"/>
      <c r="D845" s="1"/>
      <c r="E845" s="1"/>
      <c r="F845" s="1"/>
      <c r="G845" s="1"/>
      <c r="H845" s="1"/>
      <c r="I845" s="1"/>
      <c r="J845" s="1"/>
      <c r="K845" s="17"/>
      <c r="L845" s="1"/>
      <c r="M845" s="1"/>
      <c r="N845" s="2"/>
      <c r="O845" s="2"/>
      <c r="P845" s="17"/>
      <c r="Q845" s="1"/>
      <c r="R845" s="1"/>
      <c r="S845" s="1"/>
      <c r="T845" s="38"/>
      <c r="U845" s="38"/>
      <c r="V845" s="38"/>
      <c r="W845" s="38"/>
      <c r="X845" s="38"/>
      <c r="Y845" s="38"/>
      <c r="Z845" s="38"/>
      <c r="AA845" s="122"/>
      <c r="AB845" s="122"/>
      <c r="AC845" s="122"/>
      <c r="AD845" s="122"/>
      <c r="AE845" s="122"/>
      <c r="AF845" s="122"/>
      <c r="AG845" s="122"/>
      <c r="AH845" s="122"/>
      <c r="AI845" s="122"/>
      <c r="AJ845" s="38"/>
      <c r="AK845" s="122"/>
      <c r="AL845" s="122"/>
      <c r="AM845" s="122"/>
      <c r="AN845" s="122"/>
      <c r="AO845" s="38"/>
      <c r="AP845" s="38"/>
      <c r="AQ845" s="38"/>
      <c r="AR845" s="17"/>
      <c r="AS845" s="1"/>
      <c r="AT845" s="17"/>
      <c r="AU845" s="1"/>
      <c r="AV845" s="17"/>
      <c r="AW845" s="1"/>
      <c r="AX845" s="2"/>
      <c r="AY845" s="1"/>
      <c r="AZ845" s="1"/>
    </row>
    <row x14ac:dyDescent="0.25" r="846" customHeight="1" ht="18.75">
      <c r="A846" s="1"/>
      <c r="B846" s="1"/>
      <c r="C846" s="1"/>
      <c r="D846" s="1"/>
      <c r="E846" s="1"/>
      <c r="F846" s="1"/>
      <c r="G846" s="1"/>
      <c r="H846" s="1"/>
      <c r="I846" s="1"/>
      <c r="J846" s="1"/>
      <c r="K846" s="17"/>
      <c r="L846" s="1"/>
      <c r="M846" s="1"/>
      <c r="N846" s="2"/>
      <c r="O846" s="2"/>
      <c r="P846" s="17"/>
      <c r="Q846" s="1"/>
      <c r="R846" s="1"/>
      <c r="S846" s="1"/>
      <c r="T846" s="38"/>
      <c r="U846" s="38"/>
      <c r="V846" s="38"/>
      <c r="W846" s="38"/>
      <c r="X846" s="38"/>
      <c r="Y846" s="38"/>
      <c r="Z846" s="38"/>
      <c r="AA846" s="122"/>
      <c r="AB846" s="122"/>
      <c r="AC846" s="122"/>
      <c r="AD846" s="122"/>
      <c r="AE846" s="122"/>
      <c r="AF846" s="122"/>
      <c r="AG846" s="122"/>
      <c r="AH846" s="122"/>
      <c r="AI846" s="122"/>
      <c r="AJ846" s="38"/>
      <c r="AK846" s="122"/>
      <c r="AL846" s="122"/>
      <c r="AM846" s="122"/>
      <c r="AN846" s="122"/>
      <c r="AO846" s="38"/>
      <c r="AP846" s="38"/>
      <c r="AQ846" s="38"/>
      <c r="AR846" s="17"/>
      <c r="AS846" s="1"/>
      <c r="AT846" s="17"/>
      <c r="AU846" s="1"/>
      <c r="AV846" s="17"/>
      <c r="AW846" s="1"/>
      <c r="AX846" s="2"/>
      <c r="AY846" s="1"/>
      <c r="AZ846" s="1"/>
    </row>
    <row x14ac:dyDescent="0.25" r="847" customHeight="1" ht="18.75">
      <c r="A847" s="1"/>
      <c r="B847" s="1"/>
      <c r="C847" s="1"/>
      <c r="D847" s="1"/>
      <c r="E847" s="1"/>
      <c r="F847" s="1"/>
      <c r="G847" s="1"/>
      <c r="H847" s="1"/>
      <c r="I847" s="1"/>
      <c r="J847" s="1"/>
      <c r="K847" s="17"/>
      <c r="L847" s="1"/>
      <c r="M847" s="1"/>
      <c r="N847" s="2"/>
      <c r="O847" s="2"/>
      <c r="P847" s="17"/>
      <c r="Q847" s="1"/>
      <c r="R847" s="1"/>
      <c r="S847" s="1"/>
      <c r="T847" s="38"/>
      <c r="U847" s="38"/>
      <c r="V847" s="38"/>
      <c r="W847" s="38"/>
      <c r="X847" s="38"/>
      <c r="Y847" s="38"/>
      <c r="Z847" s="38"/>
      <c r="AA847" s="122"/>
      <c r="AB847" s="122"/>
      <c r="AC847" s="122"/>
      <c r="AD847" s="122"/>
      <c r="AE847" s="122"/>
      <c r="AF847" s="122"/>
      <c r="AG847" s="122"/>
      <c r="AH847" s="122"/>
      <c r="AI847" s="122"/>
      <c r="AJ847" s="38"/>
      <c r="AK847" s="122"/>
      <c r="AL847" s="122"/>
      <c r="AM847" s="122"/>
      <c r="AN847" s="122"/>
      <c r="AO847" s="38"/>
      <c r="AP847" s="38"/>
      <c r="AQ847" s="38"/>
      <c r="AR847" s="17"/>
      <c r="AS847" s="1"/>
      <c r="AT847" s="17"/>
      <c r="AU847" s="1"/>
      <c r="AV847" s="17"/>
      <c r="AW847" s="1"/>
      <c r="AX847" s="2"/>
      <c r="AY847" s="1"/>
      <c r="AZ847" s="1"/>
    </row>
    <row x14ac:dyDescent="0.25" r="848" customHeight="1" ht="18.75">
      <c r="A848" s="1"/>
      <c r="B848" s="1"/>
      <c r="C848" s="1"/>
      <c r="D848" s="1"/>
      <c r="E848" s="1"/>
      <c r="F848" s="1"/>
      <c r="G848" s="1"/>
      <c r="H848" s="1"/>
      <c r="I848" s="1"/>
      <c r="J848" s="1"/>
      <c r="K848" s="17"/>
      <c r="L848" s="1"/>
      <c r="M848" s="1"/>
      <c r="N848" s="2"/>
      <c r="O848" s="2"/>
      <c r="P848" s="17"/>
      <c r="Q848" s="1"/>
      <c r="R848" s="1"/>
      <c r="S848" s="1"/>
      <c r="T848" s="38"/>
      <c r="U848" s="38"/>
      <c r="V848" s="38"/>
      <c r="W848" s="38"/>
      <c r="X848" s="38"/>
      <c r="Y848" s="38"/>
      <c r="Z848" s="38"/>
      <c r="AA848" s="122"/>
      <c r="AB848" s="122"/>
      <c r="AC848" s="122"/>
      <c r="AD848" s="122"/>
      <c r="AE848" s="122"/>
      <c r="AF848" s="122"/>
      <c r="AG848" s="122"/>
      <c r="AH848" s="122"/>
      <c r="AI848" s="122"/>
      <c r="AJ848" s="38"/>
      <c r="AK848" s="122"/>
      <c r="AL848" s="122"/>
      <c r="AM848" s="122"/>
      <c r="AN848" s="122"/>
      <c r="AO848" s="38"/>
      <c r="AP848" s="38"/>
      <c r="AQ848" s="38"/>
      <c r="AR848" s="17"/>
      <c r="AS848" s="1"/>
      <c r="AT848" s="17"/>
      <c r="AU848" s="1"/>
      <c r="AV848" s="17"/>
      <c r="AW848" s="1"/>
      <c r="AX848" s="2"/>
      <c r="AY848" s="1"/>
      <c r="AZ848" s="1"/>
    </row>
    <row x14ac:dyDescent="0.25" r="849" customHeight="1" ht="18.75">
      <c r="A849" s="1"/>
      <c r="B849" s="1"/>
      <c r="C849" s="1"/>
      <c r="D849" s="1"/>
      <c r="E849" s="1"/>
      <c r="F849" s="1"/>
      <c r="G849" s="1"/>
      <c r="H849" s="1"/>
      <c r="I849" s="1"/>
      <c r="J849" s="1"/>
      <c r="K849" s="17"/>
      <c r="L849" s="1"/>
      <c r="M849" s="1"/>
      <c r="N849" s="2"/>
      <c r="O849" s="2"/>
      <c r="P849" s="17"/>
      <c r="Q849" s="1"/>
      <c r="R849" s="1"/>
      <c r="S849" s="1"/>
      <c r="T849" s="38"/>
      <c r="U849" s="38"/>
      <c r="V849" s="38"/>
      <c r="W849" s="38"/>
      <c r="X849" s="38"/>
      <c r="Y849" s="38"/>
      <c r="Z849" s="38"/>
      <c r="AA849" s="122"/>
      <c r="AB849" s="122"/>
      <c r="AC849" s="122"/>
      <c r="AD849" s="122"/>
      <c r="AE849" s="122"/>
      <c r="AF849" s="122"/>
      <c r="AG849" s="122"/>
      <c r="AH849" s="122"/>
      <c r="AI849" s="122"/>
      <c r="AJ849" s="38"/>
      <c r="AK849" s="122"/>
      <c r="AL849" s="122"/>
      <c r="AM849" s="122"/>
      <c r="AN849" s="122"/>
      <c r="AO849" s="38"/>
      <c r="AP849" s="38"/>
      <c r="AQ849" s="38"/>
      <c r="AR849" s="17"/>
      <c r="AS849" s="1"/>
      <c r="AT849" s="17"/>
      <c r="AU849" s="1"/>
      <c r="AV849" s="17"/>
      <c r="AW849" s="1"/>
      <c r="AX849" s="2"/>
      <c r="AY849" s="1"/>
      <c r="AZ849" s="1"/>
    </row>
    <row x14ac:dyDescent="0.25" r="850" customHeight="1" ht="18.75">
      <c r="A850" s="1"/>
      <c r="B850" s="1"/>
      <c r="C850" s="1"/>
      <c r="D850" s="1"/>
      <c r="E850" s="1"/>
      <c r="F850" s="1"/>
      <c r="G850" s="1"/>
      <c r="H850" s="1"/>
      <c r="I850" s="1"/>
      <c r="J850" s="1"/>
      <c r="K850" s="17"/>
      <c r="L850" s="1"/>
      <c r="M850" s="1"/>
      <c r="N850" s="2"/>
      <c r="O850" s="2"/>
      <c r="P850" s="17"/>
      <c r="Q850" s="1"/>
      <c r="R850" s="1"/>
      <c r="S850" s="1"/>
      <c r="T850" s="38"/>
      <c r="U850" s="38"/>
      <c r="V850" s="38"/>
      <c r="W850" s="38"/>
      <c r="X850" s="38"/>
      <c r="Y850" s="38"/>
      <c r="Z850" s="38"/>
      <c r="AA850" s="122"/>
      <c r="AB850" s="122"/>
      <c r="AC850" s="122"/>
      <c r="AD850" s="122"/>
      <c r="AE850" s="122"/>
      <c r="AF850" s="122"/>
      <c r="AG850" s="122"/>
      <c r="AH850" s="122"/>
      <c r="AI850" s="122"/>
      <c r="AJ850" s="38"/>
      <c r="AK850" s="122"/>
      <c r="AL850" s="122"/>
      <c r="AM850" s="122"/>
      <c r="AN850" s="122"/>
      <c r="AO850" s="38"/>
      <c r="AP850" s="38"/>
      <c r="AQ850" s="38"/>
      <c r="AR850" s="17"/>
      <c r="AS850" s="1"/>
      <c r="AT850" s="17"/>
      <c r="AU850" s="1"/>
      <c r="AV850" s="17"/>
      <c r="AW850" s="1"/>
      <c r="AX850" s="2"/>
      <c r="AY850" s="1"/>
      <c r="AZ850" s="1"/>
    </row>
    <row x14ac:dyDescent="0.25" r="851" customHeight="1" ht="18.75">
      <c r="A851" s="1"/>
      <c r="B851" s="1"/>
      <c r="C851" s="1"/>
      <c r="D851" s="1"/>
      <c r="E851" s="1"/>
      <c r="F851" s="1"/>
      <c r="G851" s="1"/>
      <c r="H851" s="1"/>
      <c r="I851" s="1"/>
      <c r="J851" s="1"/>
      <c r="K851" s="17"/>
      <c r="L851" s="1"/>
      <c r="M851" s="1"/>
      <c r="N851" s="2"/>
      <c r="O851" s="2"/>
      <c r="P851" s="17"/>
      <c r="Q851" s="1"/>
      <c r="R851" s="1"/>
      <c r="S851" s="1"/>
      <c r="T851" s="38"/>
      <c r="U851" s="38"/>
      <c r="V851" s="38"/>
      <c r="W851" s="38"/>
      <c r="X851" s="38"/>
      <c r="Y851" s="38"/>
      <c r="Z851" s="38"/>
      <c r="AA851" s="122"/>
      <c r="AB851" s="122"/>
      <c r="AC851" s="122"/>
      <c r="AD851" s="122"/>
      <c r="AE851" s="122"/>
      <c r="AF851" s="122"/>
      <c r="AG851" s="122"/>
      <c r="AH851" s="122"/>
      <c r="AI851" s="122"/>
      <c r="AJ851" s="38"/>
      <c r="AK851" s="122"/>
      <c r="AL851" s="122"/>
      <c r="AM851" s="122"/>
      <c r="AN851" s="122"/>
      <c r="AO851" s="38"/>
      <c r="AP851" s="38"/>
      <c r="AQ851" s="38"/>
      <c r="AR851" s="17"/>
      <c r="AS851" s="1"/>
      <c r="AT851" s="17"/>
      <c r="AU851" s="1"/>
      <c r="AV851" s="17"/>
      <c r="AW851" s="1"/>
      <c r="AX851" s="2"/>
      <c r="AY851" s="1"/>
      <c r="AZ851" s="1"/>
    </row>
    <row x14ac:dyDescent="0.25" r="852" customHeight="1" ht="18.75">
      <c r="A852" s="1"/>
      <c r="B852" s="1"/>
      <c r="C852" s="1"/>
      <c r="D852" s="1"/>
      <c r="E852" s="1"/>
      <c r="F852" s="1"/>
      <c r="G852" s="1"/>
      <c r="H852" s="1"/>
      <c r="I852" s="1"/>
      <c r="J852" s="1"/>
      <c r="K852" s="17"/>
      <c r="L852" s="1"/>
      <c r="M852" s="1"/>
      <c r="N852" s="2"/>
      <c r="O852" s="2"/>
      <c r="P852" s="17"/>
      <c r="Q852" s="1"/>
      <c r="R852" s="1"/>
      <c r="S852" s="1"/>
      <c r="T852" s="38"/>
      <c r="U852" s="38"/>
      <c r="V852" s="38"/>
      <c r="W852" s="38"/>
      <c r="X852" s="38"/>
      <c r="Y852" s="38"/>
      <c r="Z852" s="38"/>
      <c r="AA852" s="122"/>
      <c r="AB852" s="122"/>
      <c r="AC852" s="122"/>
      <c r="AD852" s="122"/>
      <c r="AE852" s="122"/>
      <c r="AF852" s="122"/>
      <c r="AG852" s="122"/>
      <c r="AH852" s="122"/>
      <c r="AI852" s="122"/>
      <c r="AJ852" s="38"/>
      <c r="AK852" s="122"/>
      <c r="AL852" s="122"/>
      <c r="AM852" s="122"/>
      <c r="AN852" s="122"/>
      <c r="AO852" s="38"/>
      <c r="AP852" s="38"/>
      <c r="AQ852" s="38"/>
      <c r="AR852" s="17"/>
      <c r="AS852" s="1"/>
      <c r="AT852" s="17"/>
      <c r="AU852" s="1"/>
      <c r="AV852" s="17"/>
      <c r="AW852" s="1"/>
      <c r="AX852" s="2"/>
      <c r="AY852" s="1"/>
      <c r="AZ852" s="1"/>
    </row>
    <row x14ac:dyDescent="0.25" r="853" customHeight="1" ht="18.75">
      <c r="A853" s="1"/>
      <c r="B853" s="1"/>
      <c r="C853" s="1"/>
      <c r="D853" s="1"/>
      <c r="E853" s="1"/>
      <c r="F853" s="1"/>
      <c r="G853" s="1"/>
      <c r="H853" s="1"/>
      <c r="I853" s="1"/>
      <c r="J853" s="1"/>
      <c r="K853" s="17"/>
      <c r="L853" s="1"/>
      <c r="M853" s="1"/>
      <c r="N853" s="2"/>
      <c r="O853" s="2"/>
      <c r="P853" s="17"/>
      <c r="Q853" s="1"/>
      <c r="R853" s="1"/>
      <c r="S853" s="1"/>
      <c r="T853" s="38"/>
      <c r="U853" s="38"/>
      <c r="V853" s="38"/>
      <c r="W853" s="38"/>
      <c r="X853" s="38"/>
      <c r="Y853" s="38"/>
      <c r="Z853" s="38"/>
      <c r="AA853" s="122"/>
      <c r="AB853" s="122"/>
      <c r="AC853" s="122"/>
      <c r="AD853" s="122"/>
      <c r="AE853" s="122"/>
      <c r="AF853" s="122"/>
      <c r="AG853" s="122"/>
      <c r="AH853" s="122"/>
      <c r="AI853" s="122"/>
      <c r="AJ853" s="38"/>
      <c r="AK853" s="122"/>
      <c r="AL853" s="122"/>
      <c r="AM853" s="122"/>
      <c r="AN853" s="122"/>
      <c r="AO853" s="38"/>
      <c r="AP853" s="38"/>
      <c r="AQ853" s="38"/>
      <c r="AR853" s="17"/>
      <c r="AS853" s="1"/>
      <c r="AT853" s="17"/>
      <c r="AU853" s="1"/>
      <c r="AV853" s="17"/>
      <c r="AW853" s="1"/>
      <c r="AX853" s="2"/>
      <c r="AY853" s="1"/>
      <c r="AZ853" s="1"/>
    </row>
    <row x14ac:dyDescent="0.25" r="854" customHeight="1" ht="18.75">
      <c r="A854" s="1"/>
      <c r="B854" s="1"/>
      <c r="C854" s="1"/>
      <c r="D854" s="1"/>
      <c r="E854" s="1"/>
      <c r="F854" s="1"/>
      <c r="G854" s="1"/>
      <c r="H854" s="1"/>
      <c r="I854" s="1"/>
      <c r="J854" s="1"/>
      <c r="K854" s="17"/>
      <c r="L854" s="1"/>
      <c r="M854" s="1"/>
      <c r="N854" s="2"/>
      <c r="O854" s="2"/>
      <c r="P854" s="17"/>
      <c r="Q854" s="1"/>
      <c r="R854" s="1"/>
      <c r="S854" s="1"/>
      <c r="T854" s="38"/>
      <c r="U854" s="38"/>
      <c r="V854" s="38"/>
      <c r="W854" s="38"/>
      <c r="X854" s="38"/>
      <c r="Y854" s="38"/>
      <c r="Z854" s="38"/>
      <c r="AA854" s="122"/>
      <c r="AB854" s="122"/>
      <c r="AC854" s="122"/>
      <c r="AD854" s="122"/>
      <c r="AE854" s="122"/>
      <c r="AF854" s="122"/>
      <c r="AG854" s="122"/>
      <c r="AH854" s="122"/>
      <c r="AI854" s="122"/>
      <c r="AJ854" s="38"/>
      <c r="AK854" s="122"/>
      <c r="AL854" s="122"/>
      <c r="AM854" s="122"/>
      <c r="AN854" s="122"/>
      <c r="AO854" s="38"/>
      <c r="AP854" s="38"/>
      <c r="AQ854" s="38"/>
      <c r="AR854" s="17"/>
      <c r="AS854" s="1"/>
      <c r="AT854" s="17"/>
      <c r="AU854" s="1"/>
      <c r="AV854" s="17"/>
      <c r="AW854" s="1"/>
      <c r="AX854" s="2"/>
      <c r="AY854" s="1"/>
      <c r="AZ854" s="1"/>
    </row>
    <row x14ac:dyDescent="0.25" r="855" customHeight="1" ht="18.75">
      <c r="A855" s="1"/>
      <c r="B855" s="1"/>
      <c r="C855" s="1"/>
      <c r="D855" s="1"/>
      <c r="E855" s="1"/>
      <c r="F855" s="1"/>
      <c r="G855" s="1"/>
      <c r="H855" s="1"/>
      <c r="I855" s="1"/>
      <c r="J855" s="1"/>
      <c r="K855" s="17"/>
      <c r="L855" s="1"/>
      <c r="M855" s="1"/>
      <c r="N855" s="2"/>
      <c r="O855" s="2"/>
      <c r="P855" s="17"/>
      <c r="Q855" s="1"/>
      <c r="R855" s="1"/>
      <c r="S855" s="1"/>
      <c r="T855" s="38"/>
      <c r="U855" s="38"/>
      <c r="V855" s="38"/>
      <c r="W855" s="38"/>
      <c r="X855" s="38"/>
      <c r="Y855" s="38"/>
      <c r="Z855" s="38"/>
      <c r="AA855" s="122"/>
      <c r="AB855" s="122"/>
      <c r="AC855" s="122"/>
      <c r="AD855" s="122"/>
      <c r="AE855" s="122"/>
      <c r="AF855" s="122"/>
      <c r="AG855" s="122"/>
      <c r="AH855" s="122"/>
      <c r="AI855" s="122"/>
      <c r="AJ855" s="38"/>
      <c r="AK855" s="122"/>
      <c r="AL855" s="122"/>
      <c r="AM855" s="122"/>
      <c r="AN855" s="122"/>
      <c r="AO855" s="38"/>
      <c r="AP855" s="38"/>
      <c r="AQ855" s="38"/>
      <c r="AR855" s="17"/>
      <c r="AS855" s="1"/>
      <c r="AT855" s="17"/>
      <c r="AU855" s="1"/>
      <c r="AV855" s="17"/>
      <c r="AW855" s="1"/>
      <c r="AX855" s="2"/>
      <c r="AY855" s="1"/>
      <c r="AZ855" s="1"/>
    </row>
    <row x14ac:dyDescent="0.25" r="856" customHeight="1" ht="18.75">
      <c r="A856" s="1"/>
      <c r="B856" s="1"/>
      <c r="C856" s="1"/>
      <c r="D856" s="1"/>
      <c r="E856" s="1"/>
      <c r="F856" s="1"/>
      <c r="G856" s="1"/>
      <c r="H856" s="1"/>
      <c r="I856" s="1"/>
      <c r="J856" s="1"/>
      <c r="K856" s="17"/>
      <c r="L856" s="1"/>
      <c r="M856" s="1"/>
      <c r="N856" s="2"/>
      <c r="O856" s="2"/>
      <c r="P856" s="17"/>
      <c r="Q856" s="1"/>
      <c r="R856" s="1"/>
      <c r="S856" s="1"/>
      <c r="T856" s="38"/>
      <c r="U856" s="38"/>
      <c r="V856" s="38"/>
      <c r="W856" s="38"/>
      <c r="X856" s="38"/>
      <c r="Y856" s="38"/>
      <c r="Z856" s="38"/>
      <c r="AA856" s="122"/>
      <c r="AB856" s="122"/>
      <c r="AC856" s="122"/>
      <c r="AD856" s="122"/>
      <c r="AE856" s="122"/>
      <c r="AF856" s="122"/>
      <c r="AG856" s="122"/>
      <c r="AH856" s="122"/>
      <c r="AI856" s="122"/>
      <c r="AJ856" s="38"/>
      <c r="AK856" s="122"/>
      <c r="AL856" s="122"/>
      <c r="AM856" s="122"/>
      <c r="AN856" s="122"/>
      <c r="AO856" s="38"/>
      <c r="AP856" s="38"/>
      <c r="AQ856" s="38"/>
      <c r="AR856" s="17"/>
      <c r="AS856" s="1"/>
      <c r="AT856" s="17"/>
      <c r="AU856" s="1"/>
      <c r="AV856" s="17"/>
      <c r="AW856" s="1"/>
      <c r="AX856" s="2"/>
      <c r="AY856" s="1"/>
      <c r="AZ856" s="1"/>
    </row>
    <row x14ac:dyDescent="0.25" r="857" customHeight="1" ht="18.75">
      <c r="A857" s="1"/>
      <c r="B857" s="1"/>
      <c r="C857" s="1"/>
      <c r="D857" s="1"/>
      <c r="E857" s="1"/>
      <c r="F857" s="1"/>
      <c r="G857" s="1"/>
      <c r="H857" s="1"/>
      <c r="I857" s="1"/>
      <c r="J857" s="1"/>
      <c r="K857" s="17"/>
      <c r="L857" s="1"/>
      <c r="M857" s="1"/>
      <c r="N857" s="2"/>
      <c r="O857" s="2"/>
      <c r="P857" s="17"/>
      <c r="Q857" s="1"/>
      <c r="R857" s="1"/>
      <c r="S857" s="1"/>
      <c r="T857" s="38"/>
      <c r="U857" s="38"/>
      <c r="V857" s="38"/>
      <c r="W857" s="38"/>
      <c r="X857" s="38"/>
      <c r="Y857" s="38"/>
      <c r="Z857" s="38"/>
      <c r="AA857" s="122"/>
      <c r="AB857" s="122"/>
      <c r="AC857" s="122"/>
      <c r="AD857" s="122"/>
      <c r="AE857" s="122"/>
      <c r="AF857" s="122"/>
      <c r="AG857" s="122"/>
      <c r="AH857" s="122"/>
      <c r="AI857" s="122"/>
      <c r="AJ857" s="38"/>
      <c r="AK857" s="122"/>
      <c r="AL857" s="122"/>
      <c r="AM857" s="122"/>
      <c r="AN857" s="122"/>
      <c r="AO857" s="38"/>
      <c r="AP857" s="38"/>
      <c r="AQ857" s="38"/>
      <c r="AR857" s="17"/>
      <c r="AS857" s="1"/>
      <c r="AT857" s="17"/>
      <c r="AU857" s="1"/>
      <c r="AV857" s="17"/>
      <c r="AW857" s="1"/>
      <c r="AX857" s="2"/>
      <c r="AY857" s="1"/>
      <c r="AZ857" s="1"/>
    </row>
    <row x14ac:dyDescent="0.25" r="858" customHeight="1" ht="18.75">
      <c r="A858" s="1"/>
      <c r="B858" s="1"/>
      <c r="C858" s="1"/>
      <c r="D858" s="1"/>
      <c r="E858" s="1"/>
      <c r="F858" s="1"/>
      <c r="G858" s="1"/>
      <c r="H858" s="1"/>
      <c r="I858" s="1"/>
      <c r="J858" s="1"/>
      <c r="K858" s="17"/>
      <c r="L858" s="1"/>
      <c r="M858" s="1"/>
      <c r="N858" s="2"/>
      <c r="O858" s="2"/>
      <c r="P858" s="17"/>
      <c r="Q858" s="1"/>
      <c r="R858" s="1"/>
      <c r="S858" s="1"/>
      <c r="T858" s="38"/>
      <c r="U858" s="38"/>
      <c r="V858" s="38"/>
      <c r="W858" s="38"/>
      <c r="X858" s="38"/>
      <c r="Y858" s="38"/>
      <c r="Z858" s="38"/>
      <c r="AA858" s="122"/>
      <c r="AB858" s="122"/>
      <c r="AC858" s="122"/>
      <c r="AD858" s="122"/>
      <c r="AE858" s="122"/>
      <c r="AF858" s="122"/>
      <c r="AG858" s="122"/>
      <c r="AH858" s="122"/>
      <c r="AI858" s="122"/>
      <c r="AJ858" s="38"/>
      <c r="AK858" s="122"/>
      <c r="AL858" s="122"/>
      <c r="AM858" s="122"/>
      <c r="AN858" s="122"/>
      <c r="AO858" s="38"/>
      <c r="AP858" s="38"/>
      <c r="AQ858" s="38"/>
      <c r="AR858" s="17"/>
      <c r="AS858" s="1"/>
      <c r="AT858" s="17"/>
      <c r="AU858" s="1"/>
      <c r="AV858" s="17"/>
      <c r="AW858" s="1"/>
      <c r="AX858" s="2"/>
      <c r="AY858" s="1"/>
      <c r="AZ858" s="1"/>
    </row>
    <row x14ac:dyDescent="0.25" r="859" customHeight="1" ht="18.75">
      <c r="A859" s="1"/>
      <c r="B859" s="1"/>
      <c r="C859" s="1"/>
      <c r="D859" s="1"/>
      <c r="E859" s="1"/>
      <c r="F859" s="1"/>
      <c r="G859" s="1"/>
      <c r="H859" s="1"/>
      <c r="I859" s="1"/>
      <c r="J859" s="1"/>
      <c r="K859" s="17"/>
      <c r="L859" s="1"/>
      <c r="M859" s="1"/>
      <c r="N859" s="2"/>
      <c r="O859" s="2"/>
      <c r="P859" s="17"/>
      <c r="Q859" s="1"/>
      <c r="R859" s="1"/>
      <c r="S859" s="1"/>
      <c r="T859" s="38"/>
      <c r="U859" s="38"/>
      <c r="V859" s="38"/>
      <c r="W859" s="38"/>
      <c r="X859" s="38"/>
      <c r="Y859" s="38"/>
      <c r="Z859" s="38"/>
      <c r="AA859" s="122"/>
      <c r="AB859" s="122"/>
      <c r="AC859" s="122"/>
      <c r="AD859" s="122"/>
      <c r="AE859" s="122"/>
      <c r="AF859" s="122"/>
      <c r="AG859" s="122"/>
      <c r="AH859" s="122"/>
      <c r="AI859" s="122"/>
      <c r="AJ859" s="38"/>
      <c r="AK859" s="122"/>
      <c r="AL859" s="122"/>
      <c r="AM859" s="122"/>
      <c r="AN859" s="122"/>
      <c r="AO859" s="38"/>
      <c r="AP859" s="38"/>
      <c r="AQ859" s="38"/>
      <c r="AR859" s="17"/>
      <c r="AS859" s="1"/>
      <c r="AT859" s="17"/>
      <c r="AU859" s="1"/>
      <c r="AV859" s="17"/>
      <c r="AW859" s="1"/>
      <c r="AX859" s="2"/>
      <c r="AY859" s="1"/>
      <c r="AZ859" s="1"/>
    </row>
    <row x14ac:dyDescent="0.25" r="860" customHeight="1" ht="18.75">
      <c r="A860" s="1"/>
      <c r="B860" s="1"/>
      <c r="C860" s="1"/>
      <c r="D860" s="1"/>
      <c r="E860" s="1"/>
      <c r="F860" s="1"/>
      <c r="G860" s="1"/>
      <c r="H860" s="1"/>
      <c r="I860" s="1"/>
      <c r="J860" s="1"/>
      <c r="K860" s="17"/>
      <c r="L860" s="1"/>
      <c r="M860" s="1"/>
      <c r="N860" s="2"/>
      <c r="O860" s="2"/>
      <c r="P860" s="17"/>
      <c r="Q860" s="1"/>
      <c r="R860" s="1"/>
      <c r="S860" s="1"/>
      <c r="T860" s="38"/>
      <c r="U860" s="38"/>
      <c r="V860" s="38"/>
      <c r="W860" s="38"/>
      <c r="X860" s="38"/>
      <c r="Y860" s="38"/>
      <c r="Z860" s="38"/>
      <c r="AA860" s="122"/>
      <c r="AB860" s="122"/>
      <c r="AC860" s="122"/>
      <c r="AD860" s="122"/>
      <c r="AE860" s="122"/>
      <c r="AF860" s="122"/>
      <c r="AG860" s="122"/>
      <c r="AH860" s="122"/>
      <c r="AI860" s="122"/>
      <c r="AJ860" s="38"/>
      <c r="AK860" s="122"/>
      <c r="AL860" s="122"/>
      <c r="AM860" s="122"/>
      <c r="AN860" s="122"/>
      <c r="AO860" s="38"/>
      <c r="AP860" s="38"/>
      <c r="AQ860" s="38"/>
      <c r="AR860" s="17"/>
      <c r="AS860" s="1"/>
      <c r="AT860" s="17"/>
      <c r="AU860" s="1"/>
      <c r="AV860" s="17"/>
      <c r="AW860" s="1"/>
      <c r="AX860" s="2"/>
      <c r="AY860" s="1"/>
      <c r="AZ860" s="1"/>
    </row>
    <row x14ac:dyDescent="0.25" r="861" customHeight="1" ht="18.75">
      <c r="A861" s="1"/>
      <c r="B861" s="1"/>
      <c r="C861" s="1"/>
      <c r="D861" s="1"/>
      <c r="E861" s="1"/>
      <c r="F861" s="1"/>
      <c r="G861" s="1"/>
      <c r="H861" s="1"/>
      <c r="I861" s="1"/>
      <c r="J861" s="1"/>
      <c r="K861" s="17"/>
      <c r="L861" s="1"/>
      <c r="M861" s="1"/>
      <c r="N861" s="2"/>
      <c r="O861" s="2"/>
      <c r="P861" s="17"/>
      <c r="Q861" s="1"/>
      <c r="R861" s="1"/>
      <c r="S861" s="1"/>
      <c r="T861" s="38"/>
      <c r="U861" s="38"/>
      <c r="V861" s="38"/>
      <c r="W861" s="38"/>
      <c r="X861" s="38"/>
      <c r="Y861" s="38"/>
      <c r="Z861" s="38"/>
      <c r="AA861" s="122"/>
      <c r="AB861" s="122"/>
      <c r="AC861" s="122"/>
      <c r="AD861" s="122"/>
      <c r="AE861" s="122"/>
      <c r="AF861" s="122"/>
      <c r="AG861" s="122"/>
      <c r="AH861" s="122"/>
      <c r="AI861" s="122"/>
      <c r="AJ861" s="38"/>
      <c r="AK861" s="122"/>
      <c r="AL861" s="122"/>
      <c r="AM861" s="122"/>
      <c r="AN861" s="122"/>
      <c r="AO861" s="38"/>
      <c r="AP861" s="38"/>
      <c r="AQ861" s="38"/>
      <c r="AR861" s="17"/>
      <c r="AS861" s="1"/>
      <c r="AT861" s="17"/>
      <c r="AU861" s="1"/>
      <c r="AV861" s="17"/>
      <c r="AW861" s="1"/>
      <c r="AX861" s="2"/>
      <c r="AY861" s="1"/>
      <c r="AZ861" s="1"/>
    </row>
    <row x14ac:dyDescent="0.25" r="862" customHeight="1" ht="18.75">
      <c r="A862" s="1"/>
      <c r="B862" s="1"/>
      <c r="C862" s="1"/>
      <c r="D862" s="1"/>
      <c r="E862" s="1"/>
      <c r="F862" s="1"/>
      <c r="G862" s="1"/>
      <c r="H862" s="1"/>
      <c r="I862" s="1"/>
      <c r="J862" s="1"/>
      <c r="K862" s="17"/>
      <c r="L862" s="1"/>
      <c r="M862" s="1"/>
      <c r="N862" s="2"/>
      <c r="O862" s="2"/>
      <c r="P862" s="17"/>
      <c r="Q862" s="1"/>
      <c r="R862" s="1"/>
      <c r="S862" s="1"/>
      <c r="T862" s="38"/>
      <c r="U862" s="38"/>
      <c r="V862" s="38"/>
      <c r="W862" s="38"/>
      <c r="X862" s="38"/>
      <c r="Y862" s="38"/>
      <c r="Z862" s="38"/>
      <c r="AA862" s="122"/>
      <c r="AB862" s="122"/>
      <c r="AC862" s="122"/>
      <c r="AD862" s="122"/>
      <c r="AE862" s="122"/>
      <c r="AF862" s="122"/>
      <c r="AG862" s="122"/>
      <c r="AH862" s="122"/>
      <c r="AI862" s="122"/>
      <c r="AJ862" s="38"/>
      <c r="AK862" s="122"/>
      <c r="AL862" s="122"/>
      <c r="AM862" s="122"/>
      <c r="AN862" s="122"/>
      <c r="AO862" s="38"/>
      <c r="AP862" s="38"/>
      <c r="AQ862" s="38"/>
      <c r="AR862" s="17"/>
      <c r="AS862" s="1"/>
      <c r="AT862" s="17"/>
      <c r="AU862" s="1"/>
      <c r="AV862" s="17"/>
      <c r="AW862" s="1"/>
      <c r="AX862" s="2"/>
      <c r="AY862" s="1"/>
      <c r="AZ862" s="1"/>
    </row>
    <row x14ac:dyDescent="0.25" r="863" customHeight="1" ht="18.75">
      <c r="A863" s="1"/>
      <c r="B863" s="1"/>
      <c r="C863" s="1"/>
      <c r="D863" s="1"/>
      <c r="E863" s="1"/>
      <c r="F863" s="1"/>
      <c r="G863" s="1"/>
      <c r="H863" s="1"/>
      <c r="I863" s="1"/>
      <c r="J863" s="1"/>
      <c r="K863" s="17"/>
      <c r="L863" s="1"/>
      <c r="M863" s="1"/>
      <c r="N863" s="2"/>
      <c r="O863" s="2"/>
      <c r="P863" s="17"/>
      <c r="Q863" s="1"/>
      <c r="R863" s="1"/>
      <c r="S863" s="1"/>
      <c r="T863" s="38"/>
      <c r="U863" s="38"/>
      <c r="V863" s="38"/>
      <c r="W863" s="38"/>
      <c r="X863" s="38"/>
      <c r="Y863" s="38"/>
      <c r="Z863" s="38"/>
      <c r="AA863" s="122"/>
      <c r="AB863" s="122"/>
      <c r="AC863" s="122"/>
      <c r="AD863" s="122"/>
      <c r="AE863" s="122"/>
      <c r="AF863" s="122"/>
      <c r="AG863" s="122"/>
      <c r="AH863" s="122"/>
      <c r="AI863" s="122"/>
      <c r="AJ863" s="38"/>
      <c r="AK863" s="122"/>
      <c r="AL863" s="122"/>
      <c r="AM863" s="122"/>
      <c r="AN863" s="122"/>
      <c r="AO863" s="38"/>
      <c r="AP863" s="38"/>
      <c r="AQ863" s="38"/>
      <c r="AR863" s="17"/>
      <c r="AS863" s="1"/>
      <c r="AT863" s="17"/>
      <c r="AU863" s="1"/>
      <c r="AV863" s="17"/>
      <c r="AW863" s="1"/>
      <c r="AX863" s="2"/>
      <c r="AY863" s="1"/>
      <c r="AZ863" s="1"/>
    </row>
    <row x14ac:dyDescent="0.25" r="864" customHeight="1" ht="18.75">
      <c r="A864" s="1"/>
      <c r="B864" s="1"/>
      <c r="C864" s="1"/>
      <c r="D864" s="1"/>
      <c r="E864" s="1"/>
      <c r="F864" s="1"/>
      <c r="G864" s="1"/>
      <c r="H864" s="1"/>
      <c r="I864" s="1"/>
      <c r="J864" s="1"/>
      <c r="K864" s="17"/>
      <c r="L864" s="1"/>
      <c r="M864" s="1"/>
      <c r="N864" s="2"/>
      <c r="O864" s="2"/>
      <c r="P864" s="17"/>
      <c r="Q864" s="1"/>
      <c r="R864" s="1"/>
      <c r="S864" s="1"/>
      <c r="T864" s="38"/>
      <c r="U864" s="38"/>
      <c r="V864" s="38"/>
      <c r="W864" s="38"/>
      <c r="X864" s="38"/>
      <c r="Y864" s="38"/>
      <c r="Z864" s="38"/>
      <c r="AA864" s="122"/>
      <c r="AB864" s="122"/>
      <c r="AC864" s="122"/>
      <c r="AD864" s="122"/>
      <c r="AE864" s="122"/>
      <c r="AF864" s="122"/>
      <c r="AG864" s="122"/>
      <c r="AH864" s="122"/>
      <c r="AI864" s="122"/>
      <c r="AJ864" s="38"/>
      <c r="AK864" s="122"/>
      <c r="AL864" s="122"/>
      <c r="AM864" s="122"/>
      <c r="AN864" s="122"/>
      <c r="AO864" s="38"/>
      <c r="AP864" s="38"/>
      <c r="AQ864" s="38"/>
      <c r="AR864" s="17"/>
      <c r="AS864" s="1"/>
      <c r="AT864" s="17"/>
      <c r="AU864" s="1"/>
      <c r="AV864" s="17"/>
      <c r="AW864" s="1"/>
      <c r="AX864" s="2"/>
      <c r="AY864" s="1"/>
      <c r="AZ864" s="1"/>
    </row>
    <row x14ac:dyDescent="0.25" r="865" customHeight="1" ht="18.75">
      <c r="A865" s="1"/>
      <c r="B865" s="1"/>
      <c r="C865" s="1"/>
      <c r="D865" s="1"/>
      <c r="E865" s="1"/>
      <c r="F865" s="1"/>
      <c r="G865" s="1"/>
      <c r="H865" s="1"/>
      <c r="I865" s="1"/>
      <c r="J865" s="1"/>
      <c r="K865" s="17"/>
      <c r="L865" s="1"/>
      <c r="M865" s="1"/>
      <c r="N865" s="2"/>
      <c r="O865" s="2"/>
      <c r="P865" s="17"/>
      <c r="Q865" s="1"/>
      <c r="R865" s="1"/>
      <c r="S865" s="1"/>
      <c r="T865" s="38"/>
      <c r="U865" s="38"/>
      <c r="V865" s="38"/>
      <c r="W865" s="38"/>
      <c r="X865" s="38"/>
      <c r="Y865" s="38"/>
      <c r="Z865" s="38"/>
      <c r="AA865" s="122"/>
      <c r="AB865" s="122"/>
      <c r="AC865" s="122"/>
      <c r="AD865" s="122"/>
      <c r="AE865" s="122"/>
      <c r="AF865" s="122"/>
      <c r="AG865" s="122"/>
      <c r="AH865" s="122"/>
      <c r="AI865" s="122"/>
      <c r="AJ865" s="38"/>
      <c r="AK865" s="122"/>
      <c r="AL865" s="122"/>
      <c r="AM865" s="122"/>
      <c r="AN865" s="122"/>
      <c r="AO865" s="38"/>
      <c r="AP865" s="38"/>
      <c r="AQ865" s="38"/>
      <c r="AR865" s="17"/>
      <c r="AS865" s="1"/>
      <c r="AT865" s="17"/>
      <c r="AU865" s="1"/>
      <c r="AV865" s="17"/>
      <c r="AW865" s="1"/>
      <c r="AX865" s="2"/>
      <c r="AY865" s="1"/>
      <c r="AZ865" s="1"/>
    </row>
    <row x14ac:dyDescent="0.25" r="866" customHeight="1" ht="18.75">
      <c r="A866" s="1"/>
      <c r="B866" s="1"/>
      <c r="C866" s="1"/>
      <c r="D866" s="1"/>
      <c r="E866" s="1"/>
      <c r="F866" s="1"/>
      <c r="G866" s="1"/>
      <c r="H866" s="1"/>
      <c r="I866" s="1"/>
      <c r="J866" s="1"/>
      <c r="K866" s="17"/>
      <c r="L866" s="1"/>
      <c r="M866" s="1"/>
      <c r="N866" s="2"/>
      <c r="O866" s="2"/>
      <c r="P866" s="17"/>
      <c r="Q866" s="1"/>
      <c r="R866" s="1"/>
      <c r="S866" s="1"/>
      <c r="T866" s="38"/>
      <c r="U866" s="38"/>
      <c r="V866" s="38"/>
      <c r="W866" s="38"/>
      <c r="X866" s="38"/>
      <c r="Y866" s="38"/>
      <c r="Z866" s="38"/>
      <c r="AA866" s="122"/>
      <c r="AB866" s="122"/>
      <c r="AC866" s="122"/>
      <c r="AD866" s="122"/>
      <c r="AE866" s="122"/>
      <c r="AF866" s="122"/>
      <c r="AG866" s="122"/>
      <c r="AH866" s="122"/>
      <c r="AI866" s="122"/>
      <c r="AJ866" s="38"/>
      <c r="AK866" s="122"/>
      <c r="AL866" s="122"/>
      <c r="AM866" s="122"/>
      <c r="AN866" s="122"/>
      <c r="AO866" s="38"/>
      <c r="AP866" s="38"/>
      <c r="AQ866" s="38"/>
      <c r="AR866" s="17"/>
      <c r="AS866" s="1"/>
      <c r="AT866" s="17"/>
      <c r="AU866" s="1"/>
      <c r="AV866" s="17"/>
      <c r="AW866" s="1"/>
      <c r="AX866" s="2"/>
      <c r="AY866" s="1"/>
      <c r="AZ866" s="1"/>
    </row>
    <row x14ac:dyDescent="0.25" r="867" customHeight="1" ht="18.75">
      <c r="A867" s="1"/>
      <c r="B867" s="1"/>
      <c r="C867" s="1"/>
      <c r="D867" s="1"/>
      <c r="E867" s="1"/>
      <c r="F867" s="1"/>
      <c r="G867" s="1"/>
      <c r="H867" s="1"/>
      <c r="I867" s="1"/>
      <c r="J867" s="1"/>
      <c r="K867" s="17"/>
      <c r="L867" s="1"/>
      <c r="M867" s="1"/>
      <c r="N867" s="2"/>
      <c r="O867" s="2"/>
      <c r="P867" s="17"/>
      <c r="Q867" s="1"/>
      <c r="R867" s="1"/>
      <c r="S867" s="1"/>
      <c r="T867" s="38"/>
      <c r="U867" s="38"/>
      <c r="V867" s="38"/>
      <c r="W867" s="38"/>
      <c r="X867" s="38"/>
      <c r="Y867" s="38"/>
      <c r="Z867" s="38"/>
      <c r="AA867" s="122"/>
      <c r="AB867" s="122"/>
      <c r="AC867" s="122"/>
      <c r="AD867" s="122"/>
      <c r="AE867" s="122"/>
      <c r="AF867" s="122"/>
      <c r="AG867" s="122"/>
      <c r="AH867" s="122"/>
      <c r="AI867" s="122"/>
      <c r="AJ867" s="38"/>
      <c r="AK867" s="122"/>
      <c r="AL867" s="122"/>
      <c r="AM867" s="122"/>
      <c r="AN867" s="122"/>
      <c r="AO867" s="38"/>
      <c r="AP867" s="38"/>
      <c r="AQ867" s="38"/>
      <c r="AR867" s="17"/>
      <c r="AS867" s="1"/>
      <c r="AT867" s="17"/>
      <c r="AU867" s="1"/>
      <c r="AV867" s="17"/>
      <c r="AW867" s="1"/>
      <c r="AX867" s="2"/>
      <c r="AY867" s="1"/>
      <c r="AZ867" s="1"/>
    </row>
    <row x14ac:dyDescent="0.25" r="868" customHeight="1" ht="18.75">
      <c r="A868" s="1"/>
      <c r="B868" s="1"/>
      <c r="C868" s="1"/>
      <c r="D868" s="1"/>
      <c r="E868" s="1"/>
      <c r="F868" s="1"/>
      <c r="G868" s="1"/>
      <c r="H868" s="1"/>
      <c r="I868" s="1"/>
      <c r="J868" s="1"/>
      <c r="K868" s="17"/>
      <c r="L868" s="1"/>
      <c r="M868" s="1"/>
      <c r="N868" s="2"/>
      <c r="O868" s="2"/>
      <c r="P868" s="17"/>
      <c r="Q868" s="1"/>
      <c r="R868" s="1"/>
      <c r="S868" s="1"/>
      <c r="T868" s="38"/>
      <c r="U868" s="38"/>
      <c r="V868" s="38"/>
      <c r="W868" s="38"/>
      <c r="X868" s="38"/>
      <c r="Y868" s="38"/>
      <c r="Z868" s="38"/>
      <c r="AA868" s="122"/>
      <c r="AB868" s="122"/>
      <c r="AC868" s="122"/>
      <c r="AD868" s="122"/>
      <c r="AE868" s="122"/>
      <c r="AF868" s="122"/>
      <c r="AG868" s="122"/>
      <c r="AH868" s="122"/>
      <c r="AI868" s="122"/>
      <c r="AJ868" s="38"/>
      <c r="AK868" s="122"/>
      <c r="AL868" s="122"/>
      <c r="AM868" s="122"/>
      <c r="AN868" s="122"/>
      <c r="AO868" s="38"/>
      <c r="AP868" s="38"/>
      <c r="AQ868" s="38"/>
      <c r="AR868" s="17"/>
      <c r="AS868" s="1"/>
      <c r="AT868" s="17"/>
      <c r="AU868" s="1"/>
      <c r="AV868" s="17"/>
      <c r="AW868" s="1"/>
      <c r="AX868" s="2"/>
      <c r="AY868" s="1"/>
      <c r="AZ868" s="1"/>
    </row>
    <row x14ac:dyDescent="0.25" r="869" customHeight="1" ht="18.75">
      <c r="A869" s="1"/>
      <c r="B869" s="1"/>
      <c r="C869" s="1"/>
      <c r="D869" s="1"/>
      <c r="E869" s="1"/>
      <c r="F869" s="1"/>
      <c r="G869" s="1"/>
      <c r="H869" s="1"/>
      <c r="I869" s="1"/>
      <c r="J869" s="1"/>
      <c r="K869" s="17"/>
      <c r="L869" s="1"/>
      <c r="M869" s="1"/>
      <c r="N869" s="2"/>
      <c r="O869" s="2"/>
      <c r="P869" s="17"/>
      <c r="Q869" s="1"/>
      <c r="R869" s="1"/>
      <c r="S869" s="1"/>
      <c r="T869" s="38"/>
      <c r="U869" s="38"/>
      <c r="V869" s="38"/>
      <c r="W869" s="38"/>
      <c r="X869" s="38"/>
      <c r="Y869" s="38"/>
      <c r="Z869" s="38"/>
      <c r="AA869" s="122"/>
      <c r="AB869" s="122"/>
      <c r="AC869" s="122"/>
      <c r="AD869" s="122"/>
      <c r="AE869" s="122"/>
      <c r="AF869" s="122"/>
      <c r="AG869" s="122"/>
      <c r="AH869" s="122"/>
      <c r="AI869" s="122"/>
      <c r="AJ869" s="38"/>
      <c r="AK869" s="122"/>
      <c r="AL869" s="122"/>
      <c r="AM869" s="122"/>
      <c r="AN869" s="122"/>
      <c r="AO869" s="38"/>
      <c r="AP869" s="38"/>
      <c r="AQ869" s="38"/>
      <c r="AR869" s="17"/>
      <c r="AS869" s="1"/>
      <c r="AT869" s="17"/>
      <c r="AU869" s="1"/>
      <c r="AV869" s="17"/>
      <c r="AW869" s="1"/>
      <c r="AX869" s="2"/>
      <c r="AY869" s="1"/>
      <c r="AZ869" s="1"/>
    </row>
    <row x14ac:dyDescent="0.25" r="870" customHeight="1" ht="18.75">
      <c r="A870" s="1"/>
      <c r="B870" s="1"/>
      <c r="C870" s="1"/>
      <c r="D870" s="1"/>
      <c r="E870" s="1"/>
      <c r="F870" s="1"/>
      <c r="G870" s="1"/>
      <c r="H870" s="1"/>
      <c r="I870" s="1"/>
      <c r="J870" s="1"/>
      <c r="K870" s="17"/>
      <c r="L870" s="1"/>
      <c r="M870" s="1"/>
      <c r="N870" s="2"/>
      <c r="O870" s="2"/>
      <c r="P870" s="17"/>
      <c r="Q870" s="1"/>
      <c r="R870" s="1"/>
      <c r="S870" s="1"/>
      <c r="T870" s="38"/>
      <c r="U870" s="38"/>
      <c r="V870" s="38"/>
      <c r="W870" s="38"/>
      <c r="X870" s="38"/>
      <c r="Y870" s="38"/>
      <c r="Z870" s="38"/>
      <c r="AA870" s="122"/>
      <c r="AB870" s="122"/>
      <c r="AC870" s="122"/>
      <c r="AD870" s="122"/>
      <c r="AE870" s="122"/>
      <c r="AF870" s="122"/>
      <c r="AG870" s="122"/>
      <c r="AH870" s="122"/>
      <c r="AI870" s="122"/>
      <c r="AJ870" s="38"/>
      <c r="AK870" s="122"/>
      <c r="AL870" s="122"/>
      <c r="AM870" s="122"/>
      <c r="AN870" s="122"/>
      <c r="AO870" s="38"/>
      <c r="AP870" s="38"/>
      <c r="AQ870" s="38"/>
      <c r="AR870" s="17"/>
      <c r="AS870" s="1"/>
      <c r="AT870" s="17"/>
      <c r="AU870" s="1"/>
      <c r="AV870" s="17"/>
      <c r="AW870" s="1"/>
      <c r="AX870" s="2"/>
      <c r="AY870" s="1"/>
      <c r="AZ870" s="1"/>
    </row>
    <row x14ac:dyDescent="0.25" r="871" customHeight="1" ht="18.75">
      <c r="A871" s="1"/>
      <c r="B871" s="1"/>
      <c r="C871" s="1"/>
      <c r="D871" s="1"/>
      <c r="E871" s="1"/>
      <c r="F871" s="1"/>
      <c r="G871" s="1"/>
      <c r="H871" s="1"/>
      <c r="I871" s="1"/>
      <c r="J871" s="1"/>
      <c r="K871" s="17"/>
      <c r="L871" s="1"/>
      <c r="M871" s="1"/>
      <c r="N871" s="2"/>
      <c r="O871" s="2"/>
      <c r="P871" s="17"/>
      <c r="Q871" s="1"/>
      <c r="R871" s="1"/>
      <c r="S871" s="1"/>
      <c r="T871" s="38"/>
      <c r="U871" s="38"/>
      <c r="V871" s="38"/>
      <c r="W871" s="38"/>
      <c r="X871" s="38"/>
      <c r="Y871" s="38"/>
      <c r="Z871" s="38"/>
      <c r="AA871" s="122"/>
      <c r="AB871" s="122"/>
      <c r="AC871" s="122"/>
      <c r="AD871" s="122"/>
      <c r="AE871" s="122"/>
      <c r="AF871" s="122"/>
      <c r="AG871" s="122"/>
      <c r="AH871" s="122"/>
      <c r="AI871" s="122"/>
      <c r="AJ871" s="38"/>
      <c r="AK871" s="122"/>
      <c r="AL871" s="122"/>
      <c r="AM871" s="122"/>
      <c r="AN871" s="122"/>
      <c r="AO871" s="38"/>
      <c r="AP871" s="38"/>
      <c r="AQ871" s="38"/>
      <c r="AR871" s="17"/>
      <c r="AS871" s="1"/>
      <c r="AT871" s="17"/>
      <c r="AU871" s="1"/>
      <c r="AV871" s="17"/>
      <c r="AW871" s="1"/>
      <c r="AX871" s="2"/>
      <c r="AY871" s="1"/>
      <c r="AZ871" s="1"/>
    </row>
    <row x14ac:dyDescent="0.25" r="872" customHeight="1" ht="18.75">
      <c r="A872" s="1"/>
      <c r="B872" s="1"/>
      <c r="C872" s="1"/>
      <c r="D872" s="1"/>
      <c r="E872" s="1"/>
      <c r="F872" s="1"/>
      <c r="G872" s="1"/>
      <c r="H872" s="1"/>
      <c r="I872" s="1"/>
      <c r="J872" s="1"/>
      <c r="K872" s="17"/>
      <c r="L872" s="1"/>
      <c r="M872" s="1"/>
      <c r="N872" s="2"/>
      <c r="O872" s="2"/>
      <c r="P872" s="17"/>
      <c r="Q872" s="1"/>
      <c r="R872" s="1"/>
      <c r="S872" s="1"/>
      <c r="T872" s="38"/>
      <c r="U872" s="38"/>
      <c r="V872" s="38"/>
      <c r="W872" s="38"/>
      <c r="X872" s="38"/>
      <c r="Y872" s="38"/>
      <c r="Z872" s="38"/>
      <c r="AA872" s="122"/>
      <c r="AB872" s="122"/>
      <c r="AC872" s="122"/>
      <c r="AD872" s="122"/>
      <c r="AE872" s="122"/>
      <c r="AF872" s="122"/>
      <c r="AG872" s="122"/>
      <c r="AH872" s="122"/>
      <c r="AI872" s="122"/>
      <c r="AJ872" s="38"/>
      <c r="AK872" s="122"/>
      <c r="AL872" s="122"/>
      <c r="AM872" s="122"/>
      <c r="AN872" s="122"/>
      <c r="AO872" s="38"/>
      <c r="AP872" s="38"/>
      <c r="AQ872" s="38"/>
      <c r="AR872" s="17"/>
      <c r="AS872" s="1"/>
      <c r="AT872" s="17"/>
      <c r="AU872" s="1"/>
      <c r="AV872" s="17"/>
      <c r="AW872" s="1"/>
      <c r="AX872" s="2"/>
      <c r="AY872" s="1"/>
      <c r="AZ872" s="1"/>
    </row>
    <row x14ac:dyDescent="0.25" r="873" customHeight="1" ht="18.75">
      <c r="A873" s="1"/>
      <c r="B873" s="1"/>
      <c r="C873" s="1"/>
      <c r="D873" s="1"/>
      <c r="E873" s="1"/>
      <c r="F873" s="1"/>
      <c r="G873" s="1"/>
      <c r="H873" s="1"/>
      <c r="I873" s="1"/>
      <c r="J873" s="1"/>
      <c r="K873" s="17"/>
      <c r="L873" s="1"/>
      <c r="M873" s="1"/>
      <c r="N873" s="2"/>
      <c r="O873" s="2"/>
      <c r="P873" s="17"/>
      <c r="Q873" s="1"/>
      <c r="R873" s="1"/>
      <c r="S873" s="1"/>
      <c r="T873" s="38"/>
      <c r="U873" s="38"/>
      <c r="V873" s="38"/>
      <c r="W873" s="38"/>
      <c r="X873" s="38"/>
      <c r="Y873" s="38"/>
      <c r="Z873" s="38"/>
      <c r="AA873" s="122"/>
      <c r="AB873" s="122"/>
      <c r="AC873" s="122"/>
      <c r="AD873" s="122"/>
      <c r="AE873" s="122"/>
      <c r="AF873" s="122"/>
      <c r="AG873" s="122"/>
      <c r="AH873" s="122"/>
      <c r="AI873" s="122"/>
      <c r="AJ873" s="38"/>
      <c r="AK873" s="122"/>
      <c r="AL873" s="122"/>
      <c r="AM873" s="122"/>
      <c r="AN873" s="122"/>
      <c r="AO873" s="38"/>
      <c r="AP873" s="38"/>
      <c r="AQ873" s="38"/>
      <c r="AR873" s="17"/>
      <c r="AS873" s="1"/>
      <c r="AT873" s="17"/>
      <c r="AU873" s="1"/>
      <c r="AV873" s="17"/>
      <c r="AW873" s="1"/>
      <c r="AX873" s="2"/>
      <c r="AY873" s="1"/>
      <c r="AZ873" s="1"/>
    </row>
  </sheetData>
  <mergeCells count="2">
    <mergeCell ref="L2:L6"/>
    <mergeCell ref="M2:O6"/>
  </mergeCells>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Z960"/>
  <sheetViews>
    <sheetView workbookViewId="0"/>
  </sheetViews>
  <sheetFormatPr defaultRowHeight="15" x14ac:dyDescent="0.25"/>
  <cols>
    <col min="1" max="1" style="15" width="20.433571428571426" customWidth="1" bestFit="1"/>
    <col min="2" max="2" style="15" width="14.43357142857143" customWidth="1" bestFit="1"/>
    <col min="3" max="3" style="15" width="17.14785714285714" customWidth="1" bestFit="1"/>
    <col min="4" max="4" style="15" width="15.147857142857141" customWidth="1" bestFit="1"/>
    <col min="5" max="5" style="15" width="17.005" customWidth="1" bestFit="1"/>
    <col min="6" max="6" style="15" width="14.290714285714287" customWidth="1" bestFit="1"/>
    <col min="7" max="7" style="15" width="14.290714285714287" customWidth="1" bestFit="1"/>
    <col min="8" max="8" style="15" width="25.14785714285714" customWidth="1" bestFit="1"/>
    <col min="9" max="9" style="15" width="22.005" customWidth="1" bestFit="1"/>
    <col min="10" max="10" style="15" width="28.576428571428572" customWidth="1" bestFit="1"/>
    <col min="11" max="11" style="23" width="30.576428571428572" customWidth="1" bestFit="1"/>
    <col min="12" max="12" style="15" width="27.576428571428572" customWidth="1" bestFit="1"/>
    <col min="13" max="13" style="15" width="26.433571428571426" customWidth="1" bestFit="1"/>
    <col min="14" max="14" style="16" width="26.433571428571426" customWidth="1" bestFit="1"/>
    <col min="15" max="15" style="16" width="25.719285714285714" customWidth="1" bestFit="1"/>
    <col min="16" max="16" style="15" width="21.719285714285714" customWidth="1" bestFit="1"/>
    <col min="17" max="17" style="15" width="24.290714285714284" customWidth="1" bestFit="1"/>
    <col min="18" max="18" style="15" width="19.862142857142857" customWidth="1" bestFit="1"/>
    <col min="19" max="19" style="15" width="19.576428571428572" customWidth="1" bestFit="1"/>
    <col min="20" max="20" style="23" width="19.576428571428572" customWidth="1" bestFit="1"/>
    <col min="21" max="21" style="23" width="19.576428571428572" customWidth="1" bestFit="1"/>
    <col min="22" max="22" style="23" width="19.576428571428572" customWidth="1" bestFit="1"/>
    <col min="23" max="23" style="23" width="19.576428571428572" customWidth="1" bestFit="1"/>
    <col min="24" max="24" style="23" width="15.290714285714287" customWidth="1" bestFit="1"/>
    <col min="25" max="25" style="23" width="15.290714285714287" customWidth="1" bestFit="1"/>
    <col min="26" max="26" style="23" width="15.43357142857143" customWidth="1" bestFit="1"/>
    <col min="27" max="27" style="23" width="14.719285714285713" customWidth="1" bestFit="1"/>
    <col min="28" max="28" style="23" width="14.719285714285713" customWidth="1" bestFit="1"/>
    <col min="29" max="29" style="23" width="12.576428571428572" customWidth="1" bestFit="1"/>
    <col min="30" max="30" style="23" width="12.576428571428572" customWidth="1" bestFit="1"/>
    <col min="31" max="31" style="23" width="12.576428571428572" customWidth="1" bestFit="1"/>
    <col min="32" max="32" style="23" width="12.576428571428572" customWidth="1" bestFit="1"/>
    <col min="33" max="33" style="23" width="12.576428571428572" customWidth="1" bestFit="1"/>
    <col min="34" max="34" style="23" width="12.576428571428572" customWidth="1" bestFit="1"/>
    <col min="35" max="35" style="23" width="12.576428571428572" customWidth="1" bestFit="1"/>
    <col min="36" max="36" style="23" width="15.719285714285713" customWidth="1" bestFit="1"/>
    <col min="37" max="37" style="23" width="15.43357142857143" customWidth="1" bestFit="1"/>
    <col min="38" max="38" style="23" width="13.862142857142858" customWidth="1" bestFit="1"/>
    <col min="39" max="39" style="23" width="13.862142857142858" customWidth="1" bestFit="1"/>
    <col min="40" max="40" style="23" width="13.147857142857141" customWidth="1" bestFit="1"/>
    <col min="41" max="41" style="23" width="14.862142857142858" customWidth="1" bestFit="1"/>
    <col min="42" max="42" style="23" width="16.005" customWidth="1" bestFit="1"/>
    <col min="43" max="43" style="23" width="13.719285714285713" customWidth="1" bestFit="1"/>
    <col min="44" max="44" style="15" width="13.719285714285713" customWidth="1" bestFit="1"/>
    <col min="45" max="45" style="15" width="19.14785714285714" customWidth="1" bestFit="1"/>
    <col min="46" max="46" style="23" width="14.290714285714287" customWidth="1" bestFit="1"/>
    <col min="47" max="47" style="15" width="24.719285714285714" customWidth="1" bestFit="1"/>
    <col min="48" max="48" style="15" width="19.14785714285714" customWidth="1" bestFit="1"/>
    <col min="49" max="49" style="15" width="19.14785714285714" customWidth="1" bestFit="1"/>
    <col min="50" max="50" style="16" width="29.719285714285714" customWidth="1" bestFit="1"/>
    <col min="51" max="51" style="16" width="13.719285714285713" customWidth="1" bestFit="1"/>
    <col min="52" max="52" style="15" width="34.86214285714286" customWidth="1" bestFit="1"/>
  </cols>
  <sheetData>
    <row x14ac:dyDescent="0.25" r="1" customHeight="1" ht="9">
      <c r="A1" s="1"/>
      <c r="B1" s="1"/>
      <c r="C1" s="1"/>
      <c r="D1" s="1"/>
      <c r="E1" s="1"/>
      <c r="F1" s="1"/>
      <c r="G1" s="1"/>
      <c r="H1" s="1"/>
      <c r="I1" s="1"/>
      <c r="J1" s="1"/>
      <c r="K1" s="17"/>
      <c r="L1" s="1"/>
      <c r="M1" s="1"/>
      <c r="N1" s="2"/>
      <c r="O1" s="36"/>
      <c r="P1" s="1"/>
      <c r="Q1" s="1"/>
      <c r="R1" s="13"/>
      <c r="S1" s="1"/>
      <c r="T1" s="128"/>
      <c r="U1" s="17"/>
      <c r="V1" s="128"/>
      <c r="W1" s="128"/>
      <c r="X1" s="128"/>
      <c r="Y1" s="128"/>
      <c r="Z1" s="128"/>
      <c r="AA1" s="17"/>
      <c r="AB1" s="17"/>
      <c r="AC1" s="17"/>
      <c r="AD1" s="17"/>
      <c r="AE1" s="17"/>
      <c r="AF1" s="17"/>
      <c r="AG1" s="17"/>
      <c r="AH1" s="17"/>
      <c r="AI1" s="17"/>
      <c r="AJ1" s="17"/>
      <c r="AK1" s="17"/>
      <c r="AL1" s="17"/>
      <c r="AM1" s="17"/>
      <c r="AN1" s="17"/>
      <c r="AO1" s="17"/>
      <c r="AP1" s="17"/>
      <c r="AQ1" s="17"/>
      <c r="AR1" s="1"/>
      <c r="AS1" s="1"/>
      <c r="AT1" s="17"/>
      <c r="AU1" s="1"/>
      <c r="AV1" s="1"/>
      <c r="AW1" s="1"/>
      <c r="AX1" s="2"/>
      <c r="AY1" s="2"/>
      <c r="AZ1" s="1"/>
    </row>
    <row x14ac:dyDescent="0.25" r="2" customHeight="1" ht="24">
      <c r="A2" s="13"/>
      <c r="B2" s="41" t="s">
        <v>38975</v>
      </c>
      <c r="C2" s="41"/>
      <c r="D2" s="1"/>
      <c r="E2" s="1"/>
      <c r="F2" s="1"/>
      <c r="G2" s="42" t="s">
        <v>38976</v>
      </c>
      <c r="H2" s="43">
        <f>AND($H$3&lt;&gt;"",$H$4&lt;&gt;"")</f>
      </c>
      <c r="I2" s="1"/>
      <c r="J2" s="44" t="s">
        <v>38977</v>
      </c>
      <c r="K2" s="17"/>
      <c r="L2" s="45" t="s">
        <v>38978</v>
      </c>
      <c r="M2" s="45" t="s">
        <v>39445</v>
      </c>
      <c r="N2" s="54"/>
      <c r="O2" s="54"/>
      <c r="P2" s="1"/>
      <c r="Q2" s="1"/>
      <c r="R2" s="13"/>
      <c r="S2" s="1"/>
      <c r="T2" s="128"/>
      <c r="U2" s="17"/>
      <c r="V2" s="128"/>
      <c r="W2" s="128"/>
      <c r="X2" s="128"/>
      <c r="Y2" s="128"/>
      <c r="Z2" s="39"/>
      <c r="AA2" s="39"/>
      <c r="AB2" s="39"/>
      <c r="AC2" s="39"/>
      <c r="AD2" s="39"/>
      <c r="AE2" s="39"/>
      <c r="AF2" s="17"/>
      <c r="AG2" s="17"/>
      <c r="AH2" s="17"/>
      <c r="AI2" s="17"/>
      <c r="AJ2" s="39"/>
      <c r="AK2" s="17"/>
      <c r="AL2" s="17"/>
      <c r="AM2" s="17"/>
      <c r="AN2" s="17"/>
      <c r="AO2" s="17"/>
      <c r="AP2" s="39"/>
      <c r="AQ2" s="17"/>
      <c r="AR2" s="1"/>
      <c r="AS2" s="1"/>
      <c r="AT2" s="17"/>
      <c r="AU2" s="1"/>
      <c r="AV2" s="1"/>
      <c r="AW2" s="1"/>
      <c r="AX2" s="2"/>
      <c r="AY2" s="2"/>
      <c r="AZ2" s="1"/>
    </row>
    <row x14ac:dyDescent="0.25" r="3" customHeight="1" ht="17.15">
      <c r="A3" s="13"/>
      <c r="B3" s="48" t="s">
        <v>38980</v>
      </c>
      <c r="C3" s="49"/>
      <c r="D3" s="1"/>
      <c r="E3" s="1"/>
      <c r="F3" s="1"/>
      <c r="G3" s="50" t="s">
        <v>0</v>
      </c>
      <c r="H3" s="51" t="s">
        <v>8</v>
      </c>
      <c r="I3" s="129" t="s">
        <v>38981</v>
      </c>
      <c r="J3" s="53">
        <f>MID(CELL("filename"),SEARCH("[",CELL("filename"))+1,SEARCH("]",CELL("filename"))-SEARCH("[",CELL("filename"))-1)</f>
      </c>
      <c r="K3" s="17"/>
      <c r="L3" s="54"/>
      <c r="M3" s="54"/>
      <c r="N3" s="54"/>
      <c r="O3" s="54"/>
      <c r="P3" s="1"/>
      <c r="Q3" s="1"/>
      <c r="R3" s="13"/>
      <c r="S3" s="1"/>
      <c r="T3" s="130">
        <f>SUBTOTAL(9,Tabela99[jan/26])</f>
      </c>
      <c r="U3" s="130">
        <f>SUBTOTAL(9,Tabela99[fev/26])</f>
      </c>
      <c r="V3" s="130">
        <f>SUBTOTAL(9,Tabela99[mar/26])</f>
      </c>
      <c r="W3" s="130">
        <f>SUBTOTAL(9,Tabela99[abr/26])</f>
      </c>
      <c r="X3" s="130">
        <f>SUBTOTAL(9,Tabela99[mai/26])</f>
      </c>
      <c r="Y3" s="130">
        <f>SUBTOTAL(9,Tabela99[jun/26])</f>
      </c>
      <c r="Z3" s="130">
        <f>SUBTOTAL(9,Tabela99[jul/26])</f>
      </c>
      <c r="AA3" s="130">
        <f>SUBTOTAL(9,Tabela99[ago/26])</f>
      </c>
      <c r="AB3" s="130">
        <f>SUBTOTAL(9,Tabela99[set/26])</f>
      </c>
      <c r="AC3" s="130">
        <f>SUBTOTAL(9,Tabela99[out/26])</f>
      </c>
      <c r="AD3" s="130">
        <f>SUBTOTAL(9,Tabela99[nov/26])</f>
      </c>
      <c r="AE3" s="130">
        <f>SUBTOTAL(9,Tabela99[dez/26])</f>
      </c>
      <c r="AF3" s="130">
        <f>SUBTOTAL(9,Tabela99[2026])</f>
      </c>
      <c r="AG3" s="130">
        <f>SUBTOTAL(9,Tabela99[2027])</f>
      </c>
      <c r="AH3" s="130">
        <f>SUBTOTAL(9,Tabela99[2028])</f>
      </c>
      <c r="AI3" s="130">
        <f>SUBTOTAL(9,Tabela99[2029])</f>
      </c>
      <c r="AJ3" s="130">
        <f>SUBTOTAL(9,Tabela99[2030])</f>
      </c>
      <c r="AK3" s="130">
        <f>SUBTOTAL(9,Tabela99[2026-2030])</f>
      </c>
      <c r="AL3" s="130">
        <f>SUBTOTAL(9,Tabela99[2031])</f>
      </c>
      <c r="AM3" s="130">
        <f>SUBTOTAL(9,Tabela99[2032])</f>
      </c>
      <c r="AN3" s="130">
        <f>SUBTOTAL(9,Tabela99[2033])</f>
      </c>
      <c r="AO3" s="130">
        <f>SUBTOTAL(9,Tabela99[2034])</f>
      </c>
      <c r="AP3" s="130">
        <f>SUBTOTAL(9,Tabela99[2035])</f>
      </c>
      <c r="AQ3" s="130">
        <f>SUBTOTAL(9,Tabela99[2026-2035])</f>
      </c>
      <c r="AR3" s="1"/>
      <c r="AS3" s="1"/>
      <c r="AT3" s="17"/>
      <c r="AU3" s="1"/>
      <c r="AV3" s="1"/>
      <c r="AW3" s="1"/>
      <c r="AX3" s="2"/>
      <c r="AY3" s="2"/>
      <c r="AZ3" s="1"/>
    </row>
    <row x14ac:dyDescent="0.25" r="4" customHeight="1" ht="12.75">
      <c r="A4" s="13"/>
      <c r="B4" s="1"/>
      <c r="C4" s="13"/>
      <c r="D4" s="56"/>
      <c r="E4" s="1"/>
      <c r="F4" s="1"/>
      <c r="G4" s="50" t="s">
        <v>38982</v>
      </c>
      <c r="H4" s="57" t="s">
        <v>39446</v>
      </c>
      <c r="I4" s="1"/>
      <c r="J4" s="131"/>
      <c r="K4" s="17"/>
      <c r="L4" s="54"/>
      <c r="M4" s="54"/>
      <c r="N4" s="54"/>
      <c r="O4" s="54"/>
      <c r="P4" s="1"/>
      <c r="Q4" s="1"/>
      <c r="R4" s="13"/>
      <c r="S4" s="1"/>
      <c r="T4" s="132">
        <f>SUM(Tabela99[jan/26])</f>
      </c>
      <c r="U4" s="132">
        <f>SUM(Tabela99[fev/26])</f>
      </c>
      <c r="V4" s="132">
        <f>SUM(Tabela99[mar/26])</f>
      </c>
      <c r="W4" s="132">
        <f>SUM(Tabela99[abr/26])</f>
      </c>
      <c r="X4" s="132">
        <f>SUM(Tabela99[mai/26])</f>
      </c>
      <c r="Y4" s="132">
        <f>SUM(Tabela99[jun/26])</f>
      </c>
      <c r="Z4" s="132">
        <f>SUM(Tabela99[jul/26])</f>
      </c>
      <c r="AA4" s="132">
        <f>SUM(Tabela99[ago/26])</f>
      </c>
      <c r="AB4" s="132">
        <f>SUM(Tabela99[set/26])</f>
      </c>
      <c r="AC4" s="132">
        <f>SUM(Tabela99[out/26])</f>
      </c>
      <c r="AD4" s="132">
        <f>SUM(Tabela99[nov/26])</f>
      </c>
      <c r="AE4" s="132">
        <f>SUM(Tabela99[dez/26])</f>
      </c>
      <c r="AF4" s="132">
        <f>SUM(Tabela99[2026])</f>
      </c>
      <c r="AG4" s="132">
        <f>SUM(Tabela99[2027])</f>
      </c>
      <c r="AH4" s="132">
        <f>SUM(Tabela99[2028])</f>
      </c>
      <c r="AI4" s="132">
        <f>SUM(Tabela99[2029])</f>
      </c>
      <c r="AJ4" s="132">
        <f>SUM(Tabela99[2030])</f>
      </c>
      <c r="AK4" s="132">
        <f>SUM(Tabela99[2026-2030])</f>
      </c>
      <c r="AL4" s="132">
        <f>SUM(Tabela99[2031])</f>
      </c>
      <c r="AM4" s="132">
        <f>SUM(Tabela99[2032])</f>
      </c>
      <c r="AN4" s="132">
        <f>SUM(Tabela99[2033])</f>
      </c>
      <c r="AO4" s="132">
        <f>SUM(Tabela99[2034])</f>
      </c>
      <c r="AP4" s="132">
        <f>SUM(Tabela99[2035])</f>
      </c>
      <c r="AQ4" s="132">
        <f>SUM(Tabela99[2026-2035])</f>
      </c>
      <c r="AR4" s="1"/>
      <c r="AS4" s="1"/>
      <c r="AT4" s="17"/>
      <c r="AU4" s="1"/>
      <c r="AV4" s="1"/>
      <c r="AW4" s="1"/>
      <c r="AX4" s="2"/>
      <c r="AY4" s="2"/>
      <c r="AZ4" s="1"/>
    </row>
    <row x14ac:dyDescent="0.25" r="5" customHeight="1" ht="31.5">
      <c r="A5" s="133">
        <f>AND($H$2,'Consolidado-Eletronorte'!$B$19:$B$19)</f>
      </c>
      <c r="B5" s="61">
        <f>_xlfn.CONCAT(D9)</f>
      </c>
      <c r="C5" s="62"/>
      <c r="D5" s="1"/>
      <c r="E5" s="1"/>
      <c r="F5" s="1"/>
      <c r="G5" s="1"/>
      <c r="H5" s="1"/>
      <c r="I5" s="1"/>
      <c r="J5" s="131"/>
      <c r="K5" s="17"/>
      <c r="L5" s="54"/>
      <c r="M5" s="54"/>
      <c r="N5" s="54"/>
      <c r="O5" s="54"/>
      <c r="P5" s="13"/>
      <c r="Q5" s="1"/>
      <c r="R5" s="13"/>
      <c r="S5" s="1"/>
      <c r="T5" s="128"/>
      <c r="U5" s="128"/>
      <c r="V5" s="128"/>
      <c r="W5" s="128"/>
      <c r="X5" s="128"/>
      <c r="Y5" s="128"/>
      <c r="Z5" s="134"/>
      <c r="AA5" s="134"/>
      <c r="AB5" s="134"/>
      <c r="AC5" s="134"/>
      <c r="AD5" s="134"/>
      <c r="AE5" s="134"/>
      <c r="AF5" s="134"/>
      <c r="AG5" s="134"/>
      <c r="AH5" s="134"/>
      <c r="AI5" s="134"/>
      <c r="AJ5" s="134"/>
      <c r="AK5" s="134"/>
      <c r="AL5" s="134"/>
      <c r="AM5" s="134"/>
      <c r="AN5" s="134"/>
      <c r="AO5" s="134"/>
      <c r="AP5" s="17"/>
      <c r="AQ5" s="17"/>
      <c r="AR5" s="1"/>
      <c r="AS5" s="1"/>
      <c r="AT5" s="17"/>
      <c r="AU5" s="1"/>
      <c r="AV5" s="1"/>
      <c r="AW5" s="1"/>
      <c r="AX5" s="2"/>
      <c r="AY5" s="2"/>
      <c r="AZ5" s="1"/>
    </row>
    <row x14ac:dyDescent="0.25" r="6" customHeight="1" ht="25.5">
      <c r="A6" s="1"/>
      <c r="B6" s="1"/>
      <c r="C6" s="13"/>
      <c r="D6" s="1"/>
      <c r="E6" s="1"/>
      <c r="F6" s="1"/>
      <c r="G6" s="1"/>
      <c r="H6" s="13"/>
      <c r="I6" s="64"/>
      <c r="J6" s="135" t="s">
        <v>38984</v>
      </c>
      <c r="K6" s="113">
        <f>COUNTIF('Consolidado-Eletronorte'!$B$19:$B$19,TRUE)</f>
      </c>
      <c r="L6" s="67"/>
      <c r="M6" s="67"/>
      <c r="N6" s="67"/>
      <c r="O6" s="67"/>
      <c r="P6" s="1"/>
      <c r="Q6" s="1"/>
      <c r="R6" s="13"/>
      <c r="S6" s="1"/>
      <c r="T6" s="128"/>
      <c r="U6" s="17"/>
      <c r="V6" s="128"/>
      <c r="W6" s="128"/>
      <c r="X6" s="128"/>
      <c r="Y6" s="128"/>
      <c r="Z6" s="128"/>
      <c r="AA6" s="17"/>
      <c r="AB6" s="17"/>
      <c r="AC6" s="17"/>
      <c r="AD6" s="17"/>
      <c r="AE6" s="17"/>
      <c r="AF6" s="17"/>
      <c r="AG6" s="17"/>
      <c r="AH6" s="17"/>
      <c r="AI6" s="17"/>
      <c r="AJ6" s="17"/>
      <c r="AK6" s="17"/>
      <c r="AL6" s="17"/>
      <c r="AM6" s="17"/>
      <c r="AN6" s="17"/>
      <c r="AO6" s="17"/>
      <c r="AP6" s="17"/>
      <c r="AQ6" s="17"/>
      <c r="AR6" s="1"/>
      <c r="AS6" s="1"/>
      <c r="AT6" s="17"/>
      <c r="AU6" s="1"/>
      <c r="AV6" s="1"/>
      <c r="AW6" s="1"/>
      <c r="AX6" s="2"/>
      <c r="AY6" s="2"/>
      <c r="AZ6" s="1"/>
    </row>
    <row x14ac:dyDescent="0.25" r="7" customHeight="1" ht="40.15">
      <c r="A7" s="71" t="s">
        <v>38986</v>
      </c>
      <c r="B7" s="72"/>
      <c r="C7" s="73"/>
      <c r="D7" s="73"/>
      <c r="E7" s="73"/>
      <c r="F7" s="73"/>
      <c r="G7" s="74"/>
      <c r="H7" s="75" t="s">
        <v>38987</v>
      </c>
      <c r="I7" s="76"/>
      <c r="J7" s="76"/>
      <c r="K7" s="77"/>
      <c r="L7" s="78"/>
      <c r="M7" s="79" t="s">
        <v>38988</v>
      </c>
      <c r="N7" s="80" t="s">
        <v>38989</v>
      </c>
      <c r="O7" s="80"/>
      <c r="P7" s="81"/>
      <c r="Q7" s="81"/>
      <c r="R7" s="81"/>
      <c r="S7" s="81"/>
      <c r="T7" s="136" t="s">
        <v>38990</v>
      </c>
      <c r="U7" s="83"/>
      <c r="V7" s="83"/>
      <c r="W7" s="83"/>
      <c r="X7" s="83"/>
      <c r="Y7" s="83"/>
      <c r="Z7" s="83"/>
      <c r="AA7" s="83"/>
      <c r="AB7" s="83"/>
      <c r="AC7" s="83"/>
      <c r="AD7" s="83"/>
      <c r="AE7" s="83"/>
      <c r="AF7" s="83"/>
      <c r="AG7" s="83"/>
      <c r="AH7" s="83"/>
      <c r="AI7" s="83"/>
      <c r="AJ7" s="83"/>
      <c r="AK7" s="83"/>
      <c r="AL7" s="83"/>
      <c r="AM7" s="83"/>
      <c r="AN7" s="83"/>
      <c r="AO7" s="83"/>
      <c r="AP7" s="83"/>
      <c r="AQ7" s="83"/>
      <c r="AR7" s="84"/>
      <c r="AS7" s="85"/>
      <c r="AT7" s="17"/>
      <c r="AU7" s="1"/>
      <c r="AV7" s="1"/>
      <c r="AW7" s="1"/>
      <c r="AX7" s="2"/>
      <c r="AY7" s="2"/>
      <c r="AZ7" s="1"/>
    </row>
    <row x14ac:dyDescent="0.25" r="8" customHeight="1" ht="18.75">
      <c r="A8" s="137" t="s">
        <v>38994</v>
      </c>
      <c r="B8" s="137" t="s">
        <v>38995</v>
      </c>
      <c r="C8" s="137" t="s">
        <v>38981</v>
      </c>
      <c r="D8" s="137" t="s">
        <v>0</v>
      </c>
      <c r="E8" s="137" t="s">
        <v>38996</v>
      </c>
      <c r="F8" s="137" t="s">
        <v>38997</v>
      </c>
      <c r="G8" s="137" t="s">
        <v>38998</v>
      </c>
      <c r="H8" s="138" t="s">
        <v>38999</v>
      </c>
      <c r="I8" s="138" t="s">
        <v>36364</v>
      </c>
      <c r="J8" s="138" t="s">
        <v>3</v>
      </c>
      <c r="K8" s="139" t="s">
        <v>39000</v>
      </c>
      <c r="L8" s="138" t="s">
        <v>39001</v>
      </c>
      <c r="M8" s="140" t="s">
        <v>39002</v>
      </c>
      <c r="N8" s="141" t="s">
        <v>39003</v>
      </c>
      <c r="O8" s="142" t="s">
        <v>39004</v>
      </c>
      <c r="P8" s="142" t="s">
        <v>38277</v>
      </c>
      <c r="Q8" s="142" t="s">
        <v>39447</v>
      </c>
      <c r="R8" s="142" t="s">
        <v>39006</v>
      </c>
      <c r="S8" s="142" t="s">
        <v>39007</v>
      </c>
      <c r="T8" s="143" t="s">
        <v>39008</v>
      </c>
      <c r="U8" s="143" t="s">
        <v>39009</v>
      </c>
      <c r="V8" s="143" t="s">
        <v>39010</v>
      </c>
      <c r="W8" s="143" t="s">
        <v>39011</v>
      </c>
      <c r="X8" s="143" t="s">
        <v>39012</v>
      </c>
      <c r="Y8" s="143" t="s">
        <v>39013</v>
      </c>
      <c r="Z8" s="143" t="s">
        <v>39014</v>
      </c>
      <c r="AA8" s="143" t="s">
        <v>39015</v>
      </c>
      <c r="AB8" s="143" t="s">
        <v>39016</v>
      </c>
      <c r="AC8" s="143" t="s">
        <v>39017</v>
      </c>
      <c r="AD8" s="143" t="s">
        <v>39018</v>
      </c>
      <c r="AE8" s="143" t="s">
        <v>39019</v>
      </c>
      <c r="AF8" s="143">
        <v>2026</v>
      </c>
      <c r="AG8" s="143">
        <v>2027</v>
      </c>
      <c r="AH8" s="143">
        <v>2028</v>
      </c>
      <c r="AI8" s="143">
        <v>2029</v>
      </c>
      <c r="AJ8" s="143">
        <v>2030</v>
      </c>
      <c r="AK8" s="143" t="s">
        <v>39020</v>
      </c>
      <c r="AL8" s="143">
        <v>2031</v>
      </c>
      <c r="AM8" s="143">
        <v>2032</v>
      </c>
      <c r="AN8" s="143">
        <v>2033</v>
      </c>
      <c r="AO8" s="143">
        <v>2034</v>
      </c>
      <c r="AP8" s="143">
        <v>2035</v>
      </c>
      <c r="AQ8" s="144" t="s">
        <v>39021</v>
      </c>
      <c r="AR8" s="145" t="s">
        <v>39022</v>
      </c>
      <c r="AS8" s="146" t="s">
        <v>39023</v>
      </c>
      <c r="AT8" s="147" t="s">
        <v>39024</v>
      </c>
      <c r="AU8" s="148" t="s">
        <v>39448</v>
      </c>
      <c r="AV8" s="146" t="s">
        <v>39026</v>
      </c>
      <c r="AW8" s="146" t="s">
        <v>39027</v>
      </c>
      <c r="AX8" s="146" t="s">
        <v>39028</v>
      </c>
      <c r="AY8" s="146" t="s">
        <v>39029</v>
      </c>
      <c r="AZ8" s="146" t="s">
        <v>39030</v>
      </c>
    </row>
    <row x14ac:dyDescent="0.25" r="9" customHeight="1" ht="24.75">
      <c r="A9" s="149"/>
      <c r="B9" s="150">
        <f>AND(ISTEXT('Consolidado-Eletronorte'!#REF!),SUM('Consolidado-Eletronorte'!#REF!)&gt;0)</f>
      </c>
      <c r="C9" s="151">
        <f>$J$3</f>
      </c>
      <c r="D9" s="151">
        <f>$H$3</f>
      </c>
      <c r="E9" s="151">
        <f>$H$4</f>
      </c>
      <c r="F9" s="152"/>
      <c r="G9" s="151">
        <f>_xlfn.CONCAT('Consolidado-Eletronorte'!$D19,"_",ROW('Consolidado-Eletronorte'!$G19)-ROW('Consolidado-Eletronorte'!$G$18))</f>
      </c>
      <c r="H9" s="153" t="s">
        <v>10</v>
      </c>
      <c r="I9" s="153" t="s">
        <v>85</v>
      </c>
      <c r="J9" s="153" t="s">
        <v>5</v>
      </c>
      <c r="K9" s="154" t="s">
        <v>39449</v>
      </c>
      <c r="L9" s="153" t="s">
        <v>82</v>
      </c>
      <c r="M9" s="153" t="s">
        <v>39450</v>
      </c>
      <c r="N9" s="153"/>
      <c r="O9" s="153"/>
      <c r="P9" s="153"/>
      <c r="Q9" s="155" t="s">
        <v>39451</v>
      </c>
      <c r="R9" s="155" t="s">
        <v>39451</v>
      </c>
      <c r="S9" s="153" t="s">
        <v>39452</v>
      </c>
      <c r="T9" s="156">
        <v>0</v>
      </c>
      <c r="U9" s="157">
        <v>0</v>
      </c>
      <c r="V9" s="157">
        <v>369000</v>
      </c>
      <c r="W9" s="157">
        <v>117000</v>
      </c>
      <c r="X9" s="156">
        <v>88000</v>
      </c>
      <c r="Y9" s="156">
        <v>88000</v>
      </c>
      <c r="Z9" s="158">
        <v>352000</v>
      </c>
      <c r="AA9" s="158">
        <v>176000</v>
      </c>
      <c r="AB9" s="158">
        <v>176000</v>
      </c>
      <c r="AC9" s="158">
        <v>11000</v>
      </c>
      <c r="AD9" s="158">
        <v>0</v>
      </c>
      <c r="AE9" s="158">
        <v>0</v>
      </c>
      <c r="AF9" s="158">
        <f>SUM(Tabela99[[#This Row], [jan/26]:[dez/26]])</f>
      </c>
      <c r="AG9" s="158">
        <v>0</v>
      </c>
      <c r="AH9" s="158">
        <v>0</v>
      </c>
      <c r="AI9" s="158">
        <v>0</v>
      </c>
      <c r="AJ9" s="158">
        <v>0</v>
      </c>
      <c r="AK9" s="158">
        <f>SUM(Tabela99[[#This Row], [2026]:[2030]])</f>
      </c>
      <c r="AL9" s="157">
        <v>0</v>
      </c>
      <c r="AM9" s="158">
        <v>0</v>
      </c>
      <c r="AN9" s="158">
        <v>0</v>
      </c>
      <c r="AO9" s="158">
        <v>0</v>
      </c>
      <c r="AP9" s="158">
        <v>0</v>
      </c>
      <c r="AQ9" s="159">
        <f>SUM(Tabela99[[#This Row], [2026-2030]:[2035]])</f>
      </c>
      <c r="AR9" s="1"/>
      <c r="AS9" s="13" t="s">
        <v>39453</v>
      </c>
      <c r="AT9" s="39">
        <v>2025</v>
      </c>
      <c r="AU9" s="160">
        <f>_xlfn.XLOOKUP(Tabela99[[#This Row], [ID Financeiro]],'[4]Subproj Consolidado + Delta PE'!#REF!,'[4]Subproj Consolidado + Delta PE'!#REF!,,0,1)</f>
      </c>
      <c r="AV9" s="13" t="s">
        <v>39454</v>
      </c>
      <c r="AW9" s="13" t="s">
        <v>39116</v>
      </c>
      <c r="AX9" s="2"/>
      <c r="AY9" s="2"/>
      <c r="AZ9" s="13" t="s">
        <v>39455</v>
      </c>
    </row>
    <row x14ac:dyDescent="0.25" r="10" customHeight="1" ht="24.75">
      <c r="A10" s="149"/>
      <c r="B10" s="150">
        <f>AND(ISTEXT('Consolidado-Eletronorte'!#REF!),SUM('Consolidado-Eletronorte'!#REF!)&gt;0)</f>
      </c>
      <c r="C10" s="151">
        <f>INDIRECT(SUBSTITUTE($J19&amp;$K19," ",""))</f>
      </c>
      <c r="D10" s="151">
        <f>$H$3</f>
      </c>
      <c r="E10" s="151">
        <f>$H$4</f>
      </c>
      <c r="F10" s="152"/>
      <c r="G10" s="151">
        <f>_xlfn.CONCAT('Consolidado-Eletronorte'!#REF!,"_",ROW('Consolidado-Eletronorte'!#REF!)-ROW('Consolidado-Eletronorte'!$G$18))</f>
      </c>
      <c r="H10" s="153" t="s">
        <v>10</v>
      </c>
      <c r="I10" s="153" t="s">
        <v>85</v>
      </c>
      <c r="J10" s="153" t="s">
        <v>5</v>
      </c>
      <c r="K10" s="154" t="s">
        <v>39449</v>
      </c>
      <c r="L10" s="153" t="s">
        <v>39456</v>
      </c>
      <c r="M10" s="153" t="s">
        <v>39457</v>
      </c>
      <c r="N10" s="153"/>
      <c r="O10" s="153"/>
      <c r="P10" s="153"/>
      <c r="Q10" s="155" t="s">
        <v>39458</v>
      </c>
      <c r="R10" s="155" t="s">
        <v>39459</v>
      </c>
      <c r="S10" s="153" t="s">
        <v>39460</v>
      </c>
      <c r="T10" s="156">
        <v>0</v>
      </c>
      <c r="U10" s="157">
        <v>0</v>
      </c>
      <c r="V10" s="157">
        <v>0</v>
      </c>
      <c r="W10" s="157">
        <v>0</v>
      </c>
      <c r="X10" s="156">
        <v>400000</v>
      </c>
      <c r="Y10" s="156">
        <v>500000</v>
      </c>
      <c r="Z10" s="158">
        <v>500000</v>
      </c>
      <c r="AA10" s="158">
        <v>600000</v>
      </c>
      <c r="AB10" s="158">
        <v>0</v>
      </c>
      <c r="AC10" s="158">
        <v>0</v>
      </c>
      <c r="AD10" s="158">
        <v>0</v>
      </c>
      <c r="AE10" s="158">
        <v>0</v>
      </c>
      <c r="AF10" s="158">
        <f>SUM(Tabela99[[#This Row], [jan/26]:[dez/26]])</f>
      </c>
      <c r="AG10" s="158">
        <v>0</v>
      </c>
      <c r="AH10" s="158">
        <v>0</v>
      </c>
      <c r="AI10" s="158">
        <v>0</v>
      </c>
      <c r="AJ10" s="158">
        <v>0</v>
      </c>
      <c r="AK10" s="158">
        <f>SUM(Tabela99[[#This Row], [2026]:[2030]])</f>
      </c>
      <c r="AL10" s="157">
        <v>0</v>
      </c>
      <c r="AM10" s="158">
        <v>0</v>
      </c>
      <c r="AN10" s="158">
        <v>0</v>
      </c>
      <c r="AO10" s="158">
        <v>0</v>
      </c>
      <c r="AP10" s="158">
        <v>0</v>
      </c>
      <c r="AQ10" s="159">
        <f>SUM(Tabela99[[#This Row], [2026-2030]:[2035]])</f>
      </c>
      <c r="AR10" s="1"/>
      <c r="AS10" s="13" t="s">
        <v>39461</v>
      </c>
      <c r="AT10" s="39">
        <v>2025</v>
      </c>
      <c r="AU10" s="13" t="s">
        <v>39462</v>
      </c>
      <c r="AV10" s="160">
        <f>_xlfn.XLOOKUP(Tabela99[[#This Row], [ID de demanda candidata]],'[4]Subproj Consolidado + Delta PE'!#REF!,'[4]Subproj Consolidado + Delta PE'!#REF!,,0,1)</f>
      </c>
      <c r="AW10" s="13" t="s">
        <v>39116</v>
      </c>
      <c r="AX10" s="2"/>
      <c r="AY10" s="2"/>
      <c r="AZ10" s="13" t="s">
        <v>39463</v>
      </c>
    </row>
    <row x14ac:dyDescent="0.25" r="11" customHeight="1" ht="24.75">
      <c r="A11" s="149"/>
      <c r="B11" s="150">
        <f>AND(ISTEXT('Consolidado-Eletronorte'!#REF!),SUM('Consolidado-Eletronorte'!#REF!)&gt;0)</f>
      </c>
      <c r="C11" s="151">
        <f>INDIRECT(SUBSTITUTE($J20&amp;$K20," ",""))</f>
      </c>
      <c r="D11" s="151">
        <f>$H$3</f>
      </c>
      <c r="E11" s="151">
        <f>$H$4</f>
      </c>
      <c r="F11" s="152"/>
      <c r="G11" s="151">
        <f>_xlfn.CONCAT('Consolidado-Eletronorte'!#REF!,"_",ROW('Consolidado-Eletronorte'!#REF!)-ROW('Consolidado-Eletronorte'!$G$18))</f>
      </c>
      <c r="H11" s="153" t="s">
        <v>10</v>
      </c>
      <c r="I11" s="153" t="s">
        <v>85</v>
      </c>
      <c r="J11" s="153" t="s">
        <v>5</v>
      </c>
      <c r="K11" s="154" t="s">
        <v>39449</v>
      </c>
      <c r="L11" s="153" t="s">
        <v>82</v>
      </c>
      <c r="M11" s="153" t="s">
        <v>39457</v>
      </c>
      <c r="N11" s="153"/>
      <c r="O11" s="153"/>
      <c r="P11" s="153"/>
      <c r="Q11" s="155" t="s">
        <v>39464</v>
      </c>
      <c r="R11" s="155" t="s">
        <v>39464</v>
      </c>
      <c r="S11" s="153" t="s">
        <v>39460</v>
      </c>
      <c r="T11" s="156">
        <v>0</v>
      </c>
      <c r="U11" s="157">
        <v>0</v>
      </c>
      <c r="V11" s="157">
        <v>1270264</v>
      </c>
      <c r="W11" s="157">
        <v>133924</v>
      </c>
      <c r="X11" s="156">
        <v>100451</v>
      </c>
      <c r="Y11" s="156">
        <v>100451</v>
      </c>
      <c r="Z11" s="158">
        <v>100451</v>
      </c>
      <c r="AA11" s="158">
        <v>53574</v>
      </c>
      <c r="AB11" s="158">
        <v>0</v>
      </c>
      <c r="AC11" s="158">
        <v>0</v>
      </c>
      <c r="AD11" s="158">
        <v>0</v>
      </c>
      <c r="AE11" s="158">
        <v>0</v>
      </c>
      <c r="AF11" s="158">
        <f>SUM(Tabela99[[#This Row], [jan/26]:[dez/26]])</f>
      </c>
      <c r="AG11" s="158">
        <v>0</v>
      </c>
      <c r="AH11" s="158">
        <v>0</v>
      </c>
      <c r="AI11" s="158">
        <v>0</v>
      </c>
      <c r="AJ11" s="158">
        <v>0</v>
      </c>
      <c r="AK11" s="158">
        <f>SUM(Tabela99[[#This Row], [2026]:[2030]])</f>
      </c>
      <c r="AL11" s="157">
        <v>0</v>
      </c>
      <c r="AM11" s="158">
        <v>0</v>
      </c>
      <c r="AN11" s="158">
        <v>0</v>
      </c>
      <c r="AO11" s="158">
        <v>0</v>
      </c>
      <c r="AP11" s="158">
        <v>0</v>
      </c>
      <c r="AQ11" s="159">
        <f>SUM(Tabela99[[#This Row], [2026-2030]:[2035]])</f>
      </c>
      <c r="AR11" s="1"/>
      <c r="AS11" s="13" t="s">
        <v>39453</v>
      </c>
      <c r="AT11" s="39">
        <v>2025</v>
      </c>
      <c r="AU11" s="160">
        <f>_xlfn.XLOOKUP(Tabela99[[#This Row], [ID Financeiro]],'[4]Subproj Consolidado + Delta PE'!#REF!,'[4]Subproj Consolidado + Delta PE'!#REF!,,0,1)</f>
      </c>
      <c r="AV11" s="13" t="s">
        <v>39465</v>
      </c>
      <c r="AW11" s="13" t="s">
        <v>39116</v>
      </c>
      <c r="AX11" s="2"/>
      <c r="AY11" s="2"/>
      <c r="AZ11" s="13" t="s">
        <v>39455</v>
      </c>
    </row>
    <row x14ac:dyDescent="0.25" r="12" customHeight="1" ht="24.75">
      <c r="A12" s="149"/>
      <c r="B12" s="150">
        <f>AND(ISTEXT('Consolidado-Eletronorte'!#REF!),SUM('Consolidado-Eletronorte'!#REF!)&gt;0)</f>
      </c>
      <c r="C12" s="151">
        <f>INDIRECT(SUBSTITUTE($J21&amp;$K21," ",""))</f>
      </c>
      <c r="D12" s="151">
        <f>$H$3</f>
      </c>
      <c r="E12" s="151">
        <f>$H$4</f>
      </c>
      <c r="F12" s="152"/>
      <c r="G12" s="151">
        <f>_xlfn.CONCAT('Consolidado-Eletronorte'!#REF!,"_",ROW('Consolidado-Eletronorte'!#REF!)-ROW('Consolidado-Eletronorte'!$G$18))</f>
      </c>
      <c r="H12" s="153" t="s">
        <v>10</v>
      </c>
      <c r="I12" s="153" t="s">
        <v>85</v>
      </c>
      <c r="J12" s="153" t="s">
        <v>5</v>
      </c>
      <c r="K12" s="154" t="s">
        <v>39449</v>
      </c>
      <c r="L12" s="153" t="s">
        <v>39456</v>
      </c>
      <c r="M12" s="153" t="s">
        <v>39466</v>
      </c>
      <c r="N12" s="153"/>
      <c r="O12" s="153"/>
      <c r="P12" s="153"/>
      <c r="Q12" s="155" t="s">
        <v>39467</v>
      </c>
      <c r="R12" s="155" t="s">
        <v>39467</v>
      </c>
      <c r="S12" s="153" t="s">
        <v>38390</v>
      </c>
      <c r="T12" s="156">
        <v>0</v>
      </c>
      <c r="U12" s="157">
        <v>0</v>
      </c>
      <c r="V12" s="157">
        <v>0</v>
      </c>
      <c r="W12" s="157">
        <v>0</v>
      </c>
      <c r="X12" s="156">
        <v>1913600</v>
      </c>
      <c r="Y12" s="156">
        <v>0</v>
      </c>
      <c r="Z12" s="158">
        <v>0</v>
      </c>
      <c r="AA12" s="158">
        <v>0</v>
      </c>
      <c r="AB12" s="158">
        <v>0</v>
      </c>
      <c r="AC12" s="158">
        <v>0</v>
      </c>
      <c r="AD12" s="158">
        <v>0</v>
      </c>
      <c r="AE12" s="158">
        <v>0</v>
      </c>
      <c r="AF12" s="158">
        <f>SUM(Tabela99[[#This Row], [jan/26]:[dez/26]])</f>
      </c>
      <c r="AG12" s="158">
        <v>0</v>
      </c>
      <c r="AH12" s="158">
        <v>0</v>
      </c>
      <c r="AI12" s="158">
        <v>0</v>
      </c>
      <c r="AJ12" s="158">
        <v>0</v>
      </c>
      <c r="AK12" s="158">
        <f>SUM(Tabela99[[#This Row], [2026]:[2030]])</f>
      </c>
      <c r="AL12" s="157">
        <v>0</v>
      </c>
      <c r="AM12" s="158">
        <v>0</v>
      </c>
      <c r="AN12" s="158">
        <v>0</v>
      </c>
      <c r="AO12" s="158">
        <v>0</v>
      </c>
      <c r="AP12" s="158">
        <v>0</v>
      </c>
      <c r="AQ12" s="159">
        <f>SUM(Tabela99[[#This Row], [2026-2030]:[2035]])</f>
      </c>
      <c r="AR12" s="1"/>
      <c r="AS12" s="13" t="s">
        <v>39453</v>
      </c>
      <c r="AT12" s="39">
        <v>2025</v>
      </c>
      <c r="AU12" s="160">
        <f>_xlfn.XLOOKUP(Tabela99[[#This Row], [ID Financeiro]],'[4]Subproj Consolidado + Delta PE'!#REF!,'[4]Subproj Consolidado + Delta PE'!#REF!,,0,1)</f>
      </c>
      <c r="AV12" s="13" t="s">
        <v>39468</v>
      </c>
      <c r="AW12" s="13" t="s">
        <v>46</v>
      </c>
      <c r="AX12" s="2"/>
      <c r="AY12" s="2"/>
      <c r="AZ12" s="13" t="s">
        <v>39469</v>
      </c>
    </row>
    <row x14ac:dyDescent="0.25" r="13" customHeight="1" ht="24.75">
      <c r="A13" s="161"/>
      <c r="B13" s="150">
        <f>AND(ISTEXT('Consolidado-Eletronorte'!#REF!),SUM('Consolidado-Eletronorte'!#REF!)&gt;0)</f>
      </c>
      <c r="C13" s="162">
        <f>INDIRECT(SUBSTITUTE($J22&amp;$K22," ",""))</f>
      </c>
      <c r="D13" s="162">
        <f>$H$3</f>
      </c>
      <c r="E13" s="162">
        <f>$H$4</f>
      </c>
      <c r="F13" s="163"/>
      <c r="G13" s="162">
        <f>_xlfn.CONCAT('Consolidado-Eletronorte'!#REF!,"_",ROW('Consolidado-Eletronorte'!#REF!)-ROW('Consolidado-Eletronorte'!$G$18))</f>
      </c>
      <c r="H13" s="164" t="s">
        <v>10</v>
      </c>
      <c r="I13" s="164" t="s">
        <v>85</v>
      </c>
      <c r="J13" s="164" t="s">
        <v>5</v>
      </c>
      <c r="K13" s="165" t="s">
        <v>39449</v>
      </c>
      <c r="L13" s="164" t="s">
        <v>39456</v>
      </c>
      <c r="M13" s="164" t="s">
        <v>39457</v>
      </c>
      <c r="N13" s="164"/>
      <c r="O13" s="164"/>
      <c r="P13" s="164"/>
      <c r="Q13" s="166" t="s">
        <v>39470</v>
      </c>
      <c r="R13" s="166" t="s">
        <v>39471</v>
      </c>
      <c r="S13" s="164" t="s">
        <v>39460</v>
      </c>
      <c r="T13" s="167">
        <v>0</v>
      </c>
      <c r="U13" s="168">
        <v>0</v>
      </c>
      <c r="V13" s="168">
        <v>0</v>
      </c>
      <c r="W13" s="168">
        <v>0</v>
      </c>
      <c r="X13" s="167">
        <v>0</v>
      </c>
      <c r="Y13" s="167">
        <v>0</v>
      </c>
      <c r="Z13" s="169">
        <v>0</v>
      </c>
      <c r="AA13" s="169">
        <v>400000</v>
      </c>
      <c r="AB13" s="169">
        <v>400000</v>
      </c>
      <c r="AC13" s="169">
        <v>400000</v>
      </c>
      <c r="AD13" s="169">
        <v>400000</v>
      </c>
      <c r="AE13" s="169">
        <v>400000</v>
      </c>
      <c r="AF13" s="169">
        <f>SUM(Tabela99[[#This Row], [jan/26]:[dez/26]])</f>
      </c>
      <c r="AG13" s="169">
        <v>1000000</v>
      </c>
      <c r="AH13" s="169">
        <v>0</v>
      </c>
      <c r="AI13" s="169">
        <v>0</v>
      </c>
      <c r="AJ13" s="169">
        <v>0</v>
      </c>
      <c r="AK13" s="169">
        <f>SUM(Tabela99[[#This Row], [2026]:[2030]])</f>
      </c>
      <c r="AL13" s="168">
        <v>0</v>
      </c>
      <c r="AM13" s="169">
        <v>0</v>
      </c>
      <c r="AN13" s="169">
        <v>0</v>
      </c>
      <c r="AO13" s="169">
        <v>0</v>
      </c>
      <c r="AP13" s="169">
        <v>0</v>
      </c>
      <c r="AQ13" s="170">
        <f>SUM(Tabela99[[#This Row], [2026-2030]:[2035]])</f>
      </c>
      <c r="AR13" s="1"/>
      <c r="AS13" s="13" t="s">
        <v>39461</v>
      </c>
      <c r="AT13" s="39">
        <v>2025</v>
      </c>
      <c r="AU13" s="13" t="s">
        <v>39472</v>
      </c>
      <c r="AV13" s="160">
        <f>_xlfn.XLOOKUP(Tabela99[[#This Row], [ID de demanda candidata]],'[4]Subproj Consolidado + Delta PE'!#REF!,'[4]Subproj Consolidado + Delta PE'!#REF!,,0,1)</f>
      </c>
      <c r="AW13" s="13" t="s">
        <v>39116</v>
      </c>
      <c r="AX13" s="2"/>
      <c r="AY13" s="2"/>
      <c r="AZ13" s="13" t="s">
        <v>39463</v>
      </c>
    </row>
    <row x14ac:dyDescent="0.25" r="14" customHeight="1" ht="24.75">
      <c r="A14" s="149"/>
      <c r="B14" s="150">
        <f>AND(ISTEXT('Consolidado-Eletronorte'!#REF!),SUM('Consolidado-Eletronorte'!#REF!)&gt;0)</f>
      </c>
      <c r="C14" s="151">
        <f>INDIRECT(SUBSTITUTE($J23&amp;$K23," ",""))</f>
      </c>
      <c r="D14" s="151">
        <f>$H$3</f>
      </c>
      <c r="E14" s="151">
        <f>$H$4</f>
      </c>
      <c r="F14" s="152"/>
      <c r="G14" s="151">
        <f>_xlfn.CONCAT('Consolidado-Eletronorte'!#REF!,"_",ROW('Consolidado-Eletronorte'!#REF!)-ROW('Consolidado-Eletronorte'!$G$18))</f>
      </c>
      <c r="H14" s="153" t="s">
        <v>10</v>
      </c>
      <c r="I14" s="153" t="s">
        <v>85</v>
      </c>
      <c r="J14" s="153" t="s">
        <v>5</v>
      </c>
      <c r="K14" s="154" t="s">
        <v>39449</v>
      </c>
      <c r="L14" s="153" t="s">
        <v>82</v>
      </c>
      <c r="M14" s="153" t="s">
        <v>39457</v>
      </c>
      <c r="N14" s="153"/>
      <c r="O14" s="153"/>
      <c r="P14" s="153"/>
      <c r="Q14" s="155" t="s">
        <v>39473</v>
      </c>
      <c r="R14" s="155" t="s">
        <v>39473</v>
      </c>
      <c r="S14" s="153" t="s">
        <v>39460</v>
      </c>
      <c r="T14" s="156">
        <v>0</v>
      </c>
      <c r="U14" s="157">
        <v>0</v>
      </c>
      <c r="V14" s="157">
        <v>0</v>
      </c>
      <c r="W14" s="157">
        <v>0</v>
      </c>
      <c r="X14" s="156">
        <v>32403</v>
      </c>
      <c r="Y14" s="156">
        <v>1769010</v>
      </c>
      <c r="Z14" s="158">
        <v>697820</v>
      </c>
      <c r="AA14" s="158">
        <v>93410</v>
      </c>
      <c r="AB14" s="158">
        <v>76540</v>
      </c>
      <c r="AC14" s="158">
        <v>76540</v>
      </c>
      <c r="AD14" s="158">
        <v>97700</v>
      </c>
      <c r="AE14" s="158">
        <v>0</v>
      </c>
      <c r="AF14" s="158">
        <f>SUM(Tabela99[[#This Row], [jan/26]:[dez/26]])</f>
      </c>
      <c r="AG14" s="158">
        <v>0</v>
      </c>
      <c r="AH14" s="158">
        <v>0</v>
      </c>
      <c r="AI14" s="158">
        <v>0</v>
      </c>
      <c r="AJ14" s="158">
        <v>0</v>
      </c>
      <c r="AK14" s="158">
        <f>SUM(Tabela99[[#This Row], [2026]:[2030]])</f>
      </c>
      <c r="AL14" s="157">
        <v>0</v>
      </c>
      <c r="AM14" s="158">
        <v>0</v>
      </c>
      <c r="AN14" s="158">
        <v>0</v>
      </c>
      <c r="AO14" s="158">
        <v>0</v>
      </c>
      <c r="AP14" s="158">
        <v>0</v>
      </c>
      <c r="AQ14" s="159">
        <f>SUM(Tabela99[[#This Row], [2026-2030]:[2035]])</f>
      </c>
      <c r="AR14" s="1"/>
      <c r="AS14" s="13" t="s">
        <v>39453</v>
      </c>
      <c r="AT14" s="39">
        <v>2025</v>
      </c>
      <c r="AU14" s="160">
        <f>_xlfn.XLOOKUP(Tabela99[[#This Row], [ID Financeiro]],'[4]Subproj Consolidado + Delta PE'!#REF!,'[4]Subproj Consolidado + Delta PE'!#REF!,,0,1)</f>
      </c>
      <c r="AV14" s="13" t="s">
        <v>39474</v>
      </c>
      <c r="AW14" s="13" t="s">
        <v>39116</v>
      </c>
      <c r="AX14" s="2"/>
      <c r="AY14" s="2"/>
      <c r="AZ14" s="13" t="s">
        <v>39455</v>
      </c>
    </row>
    <row x14ac:dyDescent="0.25" r="15" customHeight="1" ht="24.75">
      <c r="A15" s="149"/>
      <c r="B15" s="150">
        <f>AND(ISTEXT('Consolidado-Eletronorte'!#REF!),SUM('Consolidado-Eletronorte'!#REF!)&gt;0)</f>
      </c>
      <c r="C15" s="151">
        <f>INDIRECT(SUBSTITUTE($J24&amp;$K24," ",""))</f>
      </c>
      <c r="D15" s="151">
        <f>$H$3</f>
      </c>
      <c r="E15" s="151">
        <f>$H$4</f>
      </c>
      <c r="F15" s="152"/>
      <c r="G15" s="151">
        <f>_xlfn.CONCAT('Consolidado-Eletronorte'!#REF!,"_",ROW('Consolidado-Eletronorte'!#REF!)-ROW('Consolidado-Eletronorte'!$G$18))</f>
      </c>
      <c r="H15" s="153" t="s">
        <v>10</v>
      </c>
      <c r="I15" s="153" t="s">
        <v>85</v>
      </c>
      <c r="J15" s="153" t="s">
        <v>5</v>
      </c>
      <c r="K15" s="154" t="s">
        <v>39475</v>
      </c>
      <c r="L15" s="153" t="s">
        <v>39456</v>
      </c>
      <c r="M15" s="153" t="s">
        <v>39476</v>
      </c>
      <c r="N15" s="153"/>
      <c r="O15" s="153"/>
      <c r="P15" s="153"/>
      <c r="Q15" s="155" t="s">
        <v>39477</v>
      </c>
      <c r="R15" s="155" t="s">
        <v>39478</v>
      </c>
      <c r="S15" s="153" t="s">
        <v>39479</v>
      </c>
      <c r="T15" s="156">
        <v>0</v>
      </c>
      <c r="U15" s="157">
        <v>0</v>
      </c>
      <c r="V15" s="157">
        <v>0</v>
      </c>
      <c r="W15" s="157">
        <v>0</v>
      </c>
      <c r="X15" s="156">
        <v>0</v>
      </c>
      <c r="Y15" s="156">
        <v>0</v>
      </c>
      <c r="Z15" s="158">
        <v>0</v>
      </c>
      <c r="AA15" s="158">
        <v>0</v>
      </c>
      <c r="AB15" s="158">
        <v>0</v>
      </c>
      <c r="AC15" s="158">
        <v>0</v>
      </c>
      <c r="AD15" s="158">
        <v>0</v>
      </c>
      <c r="AE15" s="158">
        <v>0</v>
      </c>
      <c r="AF15" s="158">
        <f>SUM(Tabela99[[#This Row], [jan/26]:[dez/26]])</f>
      </c>
      <c r="AG15" s="158">
        <v>2000</v>
      </c>
      <c r="AH15" s="158">
        <v>0</v>
      </c>
      <c r="AI15" s="158">
        <v>0</v>
      </c>
      <c r="AJ15" s="158">
        <v>0</v>
      </c>
      <c r="AK15" s="158">
        <f>SUM(Tabela99[[#This Row], [2026]:[2030]])</f>
      </c>
      <c r="AL15" s="157">
        <v>0</v>
      </c>
      <c r="AM15" s="158">
        <v>0</v>
      </c>
      <c r="AN15" s="158">
        <v>0</v>
      </c>
      <c r="AO15" s="158">
        <v>0</v>
      </c>
      <c r="AP15" s="158">
        <v>0</v>
      </c>
      <c r="AQ15" s="159">
        <f>SUM(Tabela99[[#This Row], [2026-2030]:[2035]])</f>
      </c>
      <c r="AR15" s="1"/>
      <c r="AS15" s="13" t="s">
        <v>39480</v>
      </c>
      <c r="AT15" s="39">
        <v>2025</v>
      </c>
      <c r="AU15" s="160">
        <f>_xlfn.XLOOKUP(Tabela99[[#This Row], [ID Financeiro]],'[4]Subproj Consolidado + Delta PE'!#REF!,'[4]Subproj Consolidado + Delta PE'!#REF!,,0,1)</f>
      </c>
      <c r="AV15" s="160">
        <f>_xlfn.XLOOKUP(Tabela99[[#This Row], [Especificação]],'[4]Subproj Consolidado + Delta PE'!#REF!,'[4]Subproj Consolidado + Delta PE'!#REF!,,0,1)</f>
      </c>
      <c r="AW15" s="13" t="s">
        <v>39194</v>
      </c>
      <c r="AX15" s="2"/>
      <c r="AY15" s="2"/>
      <c r="AZ15" s="13" t="s">
        <v>39481</v>
      </c>
    </row>
    <row x14ac:dyDescent="0.25" r="16" customHeight="1" ht="24.75">
      <c r="A16" s="149"/>
      <c r="B16" s="150">
        <f>AND(ISTEXT('Consolidado-Eletronorte'!#REF!),SUM('Consolidado-Eletronorte'!#REF!)&gt;0)</f>
      </c>
      <c r="C16" s="151">
        <f>INDIRECT(SUBSTITUTE($J25&amp;$K25," ",""))</f>
      </c>
      <c r="D16" s="151">
        <f>$H$3</f>
      </c>
      <c r="E16" s="151">
        <f>$H$4</f>
      </c>
      <c r="F16" s="152"/>
      <c r="G16" s="151">
        <f>_xlfn.CONCAT('Consolidado-Eletronorte'!#REF!,"_",ROW('Consolidado-Eletronorte'!#REF!)-ROW('Consolidado-Eletronorte'!$G$18))</f>
      </c>
      <c r="H16" s="153" t="s">
        <v>10</v>
      </c>
      <c r="I16" s="153" t="s">
        <v>85</v>
      </c>
      <c r="J16" s="153" t="s">
        <v>5</v>
      </c>
      <c r="K16" s="154" t="s">
        <v>39475</v>
      </c>
      <c r="L16" s="153" t="s">
        <v>39456</v>
      </c>
      <c r="M16" s="153" t="s">
        <v>39476</v>
      </c>
      <c r="N16" s="153"/>
      <c r="O16" s="153"/>
      <c r="P16" s="153"/>
      <c r="Q16" s="155" t="s">
        <v>39477</v>
      </c>
      <c r="R16" s="155" t="s">
        <v>39482</v>
      </c>
      <c r="S16" s="153" t="s">
        <v>39479</v>
      </c>
      <c r="T16" s="156">
        <v>0</v>
      </c>
      <c r="U16" s="157">
        <v>0</v>
      </c>
      <c r="V16" s="157">
        <v>0</v>
      </c>
      <c r="W16" s="157">
        <v>0</v>
      </c>
      <c r="X16" s="156">
        <v>0</v>
      </c>
      <c r="Y16" s="156">
        <v>0</v>
      </c>
      <c r="Z16" s="158">
        <v>0</v>
      </c>
      <c r="AA16" s="158">
        <v>0</v>
      </c>
      <c r="AB16" s="158">
        <v>0</v>
      </c>
      <c r="AC16" s="158">
        <v>0</v>
      </c>
      <c r="AD16" s="158">
        <v>0</v>
      </c>
      <c r="AE16" s="158">
        <v>0</v>
      </c>
      <c r="AF16" s="158">
        <f>SUM(Tabela99[[#This Row], [jan/26]:[dez/26]])</f>
      </c>
      <c r="AG16" s="158">
        <v>2700</v>
      </c>
      <c r="AH16" s="158">
        <v>0</v>
      </c>
      <c r="AI16" s="158">
        <v>0</v>
      </c>
      <c r="AJ16" s="158">
        <v>0</v>
      </c>
      <c r="AK16" s="158">
        <f>SUM(Tabela99[[#This Row], [2026]:[2030]])</f>
      </c>
      <c r="AL16" s="157">
        <v>0</v>
      </c>
      <c r="AM16" s="158">
        <v>0</v>
      </c>
      <c r="AN16" s="158">
        <v>0</v>
      </c>
      <c r="AO16" s="158">
        <v>0</v>
      </c>
      <c r="AP16" s="158">
        <v>0</v>
      </c>
      <c r="AQ16" s="159">
        <f>SUM(Tabela99[[#This Row], [2026-2030]:[2035]])</f>
      </c>
      <c r="AR16" s="1"/>
      <c r="AS16" s="13" t="s">
        <v>39480</v>
      </c>
      <c r="AT16" s="39">
        <v>2025</v>
      </c>
      <c r="AU16" s="160">
        <f>_xlfn.XLOOKUP(Tabela99[[#This Row], [ID Financeiro]],'[4]Subproj Consolidado + Delta PE'!#REF!,'[4]Subproj Consolidado + Delta PE'!#REF!,,0,1)</f>
      </c>
      <c r="AV16" s="160">
        <f>_xlfn.XLOOKUP(Tabela99[[#This Row], [Especificação]],'[4]Subproj Consolidado + Delta PE'!#REF!,'[4]Subproj Consolidado + Delta PE'!#REF!,,0,1)</f>
      </c>
      <c r="AW16" s="13" t="s">
        <v>39194</v>
      </c>
      <c r="AX16" s="2"/>
      <c r="AY16" s="2"/>
      <c r="AZ16" s="13" t="s">
        <v>39481</v>
      </c>
    </row>
    <row x14ac:dyDescent="0.25" r="17" customHeight="1" ht="24.75">
      <c r="A17" s="149"/>
      <c r="B17" s="150">
        <f>AND(ISTEXT('Consolidado-Eletronorte'!#REF!),SUM('Consolidado-Eletronorte'!#REF!)&gt;0)</f>
      </c>
      <c r="C17" s="151">
        <f>INDIRECT(SUBSTITUTE($J26&amp;$K26," ",""))</f>
      </c>
      <c r="D17" s="151">
        <f>$H$3</f>
      </c>
      <c r="E17" s="151">
        <f>$H$4</f>
      </c>
      <c r="F17" s="152"/>
      <c r="G17" s="151">
        <f>_xlfn.CONCAT('Consolidado-Eletronorte'!#REF!,"_",ROW('Consolidado-Eletronorte'!#REF!)-ROW('Consolidado-Eletronorte'!$G$18))</f>
      </c>
      <c r="H17" s="153" t="s">
        <v>10</v>
      </c>
      <c r="I17" s="153" t="s">
        <v>85</v>
      </c>
      <c r="J17" s="153" t="s">
        <v>5</v>
      </c>
      <c r="K17" s="154" t="s">
        <v>39449</v>
      </c>
      <c r="L17" s="153" t="s">
        <v>39456</v>
      </c>
      <c r="M17" s="153" t="s">
        <v>39450</v>
      </c>
      <c r="N17" s="153"/>
      <c r="O17" s="153"/>
      <c r="P17" s="153"/>
      <c r="Q17" s="155" t="s">
        <v>39483</v>
      </c>
      <c r="R17" s="155" t="s">
        <v>39483</v>
      </c>
      <c r="S17" s="153" t="s">
        <v>39452</v>
      </c>
      <c r="T17" s="156">
        <v>0</v>
      </c>
      <c r="U17" s="157">
        <v>0</v>
      </c>
      <c r="V17" s="157">
        <v>0</v>
      </c>
      <c r="W17" s="157">
        <v>0</v>
      </c>
      <c r="X17" s="156">
        <v>625000</v>
      </c>
      <c r="Y17" s="156">
        <v>0</v>
      </c>
      <c r="Z17" s="158">
        <v>0</v>
      </c>
      <c r="AA17" s="158">
        <v>0</v>
      </c>
      <c r="AB17" s="158">
        <v>0</v>
      </c>
      <c r="AC17" s="158">
        <v>0</v>
      </c>
      <c r="AD17" s="158">
        <v>0</v>
      </c>
      <c r="AE17" s="158">
        <v>0</v>
      </c>
      <c r="AF17" s="158">
        <f>SUM(Tabela99[[#This Row], [jan/26]:[dez/26]])</f>
      </c>
      <c r="AG17" s="158">
        <v>0</v>
      </c>
      <c r="AH17" s="158">
        <v>0</v>
      </c>
      <c r="AI17" s="158">
        <v>0</v>
      </c>
      <c r="AJ17" s="158">
        <v>0</v>
      </c>
      <c r="AK17" s="158">
        <f>SUM(Tabela99[[#This Row], [2026]:[2030]])</f>
      </c>
      <c r="AL17" s="157">
        <v>0</v>
      </c>
      <c r="AM17" s="158">
        <v>0</v>
      </c>
      <c r="AN17" s="158">
        <v>0</v>
      </c>
      <c r="AO17" s="158">
        <v>0</v>
      </c>
      <c r="AP17" s="158">
        <v>0</v>
      </c>
      <c r="AQ17" s="159">
        <f>SUM(Tabela99[[#This Row], [2026-2030]:[2035]])</f>
      </c>
      <c r="AR17" s="1"/>
      <c r="AS17" s="13" t="s">
        <v>39453</v>
      </c>
      <c r="AT17" s="39">
        <v>2025</v>
      </c>
      <c r="AU17" s="160">
        <f>_xlfn.XLOOKUP(Tabela99[[#This Row], [ID Financeiro]],'[4]Subproj Consolidado + Delta PE'!#REF!,'[4]Subproj Consolidado + Delta PE'!#REF!,,0,1)</f>
      </c>
      <c r="AV17" s="13" t="s">
        <v>39484</v>
      </c>
      <c r="AW17" s="13" t="s">
        <v>46</v>
      </c>
      <c r="AX17" s="2"/>
      <c r="AY17" s="2"/>
      <c r="AZ17" s="13" t="s">
        <v>39469</v>
      </c>
    </row>
    <row x14ac:dyDescent="0.25" r="18" customHeight="1" ht="24.75">
      <c r="A18" s="152"/>
      <c r="B18" s="150">
        <f>AND(ISTEXT('Consolidado-Eletronorte'!$H19:$M19),SUM('Consolidado-Eletronorte'!$AI19:$BF19)&gt;0)</f>
      </c>
      <c r="C18" s="151">
        <f>INDIRECT(SUBSTITUTE($J27&amp;$K27," ",""))</f>
      </c>
      <c r="D18" s="151">
        <f>$H$3</f>
      </c>
      <c r="E18" s="151">
        <f>$H$4</f>
      </c>
      <c r="F18" s="152"/>
      <c r="G18" s="151">
        <f>_xlfn.CONCAT('Consolidado-Eletronorte'!#REF!,"_",ROW('Consolidado-Eletronorte'!#REF!)-ROW('Consolidado-Eletronorte'!$G$18))</f>
      </c>
      <c r="H18" s="153" t="s">
        <v>10</v>
      </c>
      <c r="I18" s="153" t="s">
        <v>85</v>
      </c>
      <c r="J18" s="153" t="s">
        <v>5</v>
      </c>
      <c r="K18" s="154" t="s">
        <v>16</v>
      </c>
      <c r="L18" s="153" t="s">
        <v>39456</v>
      </c>
      <c r="M18" s="153" t="s">
        <v>39485</v>
      </c>
      <c r="N18" s="153"/>
      <c r="O18" s="153"/>
      <c r="P18" s="153"/>
      <c r="Q18" s="153" t="s">
        <v>39486</v>
      </c>
      <c r="R18" s="153" t="s">
        <v>39486</v>
      </c>
      <c r="S18" s="153" t="s">
        <v>38378</v>
      </c>
      <c r="T18" s="171">
        <v>0</v>
      </c>
      <c r="U18" s="171">
        <v>200000</v>
      </c>
      <c r="V18" s="171">
        <v>200000</v>
      </c>
      <c r="W18" s="171">
        <v>300000</v>
      </c>
      <c r="X18" s="171">
        <v>300000</v>
      </c>
      <c r="Y18" s="171">
        <v>3900000</v>
      </c>
      <c r="Z18" s="171">
        <v>25500000</v>
      </c>
      <c r="AA18" s="171">
        <v>400000</v>
      </c>
      <c r="AB18" s="171">
        <v>400000</v>
      </c>
      <c r="AC18" s="171">
        <v>400000</v>
      </c>
      <c r="AD18" s="171">
        <v>500000</v>
      </c>
      <c r="AE18" s="171">
        <v>25500000</v>
      </c>
      <c r="AF18" s="171">
        <f>SUM(Tabela99[[#This Row], [jan/26]:[dez/26]])</f>
      </c>
      <c r="AG18" s="171">
        <v>107000000</v>
      </c>
      <c r="AH18" s="171">
        <v>107000000</v>
      </c>
      <c r="AI18" s="171">
        <v>55200000</v>
      </c>
      <c r="AJ18" s="171">
        <v>0</v>
      </c>
      <c r="AK18" s="171">
        <f>SUM(Tabela99[[#This Row], [2026]:[2030]])</f>
      </c>
      <c r="AL18" s="171">
        <v>0</v>
      </c>
      <c r="AM18" s="171">
        <v>0</v>
      </c>
      <c r="AN18" s="171">
        <v>0</v>
      </c>
      <c r="AO18" s="171">
        <v>0</v>
      </c>
      <c r="AP18" s="171">
        <v>0</v>
      </c>
      <c r="AQ18" s="172">
        <f>SUM(Tabela99[[#This Row], [2026-2030]:[2035]])</f>
      </c>
      <c r="AR18" s="1"/>
      <c r="AS18" s="13" t="s">
        <v>39453</v>
      </c>
      <c r="AT18" s="39">
        <v>2025</v>
      </c>
      <c r="AU18" s="160">
        <f>_xlfn.XLOOKUP(Tabela99[[#This Row], [ID Financeiro]],'[4]Subproj Consolidado + Delta PE'!#REF!,'[4]Subproj Consolidado + Delta PE'!#REF!,,0,1)</f>
      </c>
      <c r="AV18" s="13" t="s">
        <v>39487</v>
      </c>
      <c r="AW18" s="13" t="s">
        <v>39116</v>
      </c>
      <c r="AX18" s="2"/>
      <c r="AY18" s="2"/>
      <c r="AZ18" s="13" t="s">
        <v>39488</v>
      </c>
    </row>
    <row x14ac:dyDescent="0.25" r="19" customHeight="1" ht="24.75">
      <c r="A19" s="149"/>
      <c r="B19" s="150">
        <f>AND(ISTEXT('Consolidado-Eletronorte'!#REF!),SUM('Consolidado-Eletronorte'!#REF!)&gt;0)</f>
      </c>
      <c r="C19" s="151">
        <f>INDIRECT(SUBSTITUTE($J28&amp;$K28," ",""))</f>
      </c>
      <c r="D19" s="151">
        <f>$H$3</f>
      </c>
      <c r="E19" s="151">
        <f>$H$4</f>
      </c>
      <c r="F19" s="152"/>
      <c r="G19" s="151">
        <f>_xlfn.CONCAT('Consolidado-Eletronorte'!#REF!,"_",ROW('Consolidado-Eletronorte'!#REF!)-ROW('Consolidado-Eletronorte'!$G$18))</f>
      </c>
      <c r="H19" s="153" t="s">
        <v>10</v>
      </c>
      <c r="I19" s="153" t="s">
        <v>85</v>
      </c>
      <c r="J19" s="153" t="s">
        <v>5</v>
      </c>
      <c r="K19" s="154" t="s">
        <v>39449</v>
      </c>
      <c r="L19" s="153" t="s">
        <v>39456</v>
      </c>
      <c r="M19" s="153" t="s">
        <v>39457</v>
      </c>
      <c r="N19" s="153"/>
      <c r="O19" s="153"/>
      <c r="P19" s="153"/>
      <c r="Q19" s="155" t="s">
        <v>39489</v>
      </c>
      <c r="R19" s="155" t="s">
        <v>39459</v>
      </c>
      <c r="S19" s="153" t="s">
        <v>39460</v>
      </c>
      <c r="T19" s="156">
        <v>0</v>
      </c>
      <c r="U19" s="157">
        <v>0</v>
      </c>
      <c r="V19" s="157">
        <v>0</v>
      </c>
      <c r="W19" s="157">
        <v>0</v>
      </c>
      <c r="X19" s="156">
        <v>0</v>
      </c>
      <c r="Y19" s="156">
        <v>0</v>
      </c>
      <c r="Z19" s="158">
        <v>0</v>
      </c>
      <c r="AA19" s="158">
        <v>0</v>
      </c>
      <c r="AB19" s="158">
        <v>0</v>
      </c>
      <c r="AC19" s="158">
        <v>0</v>
      </c>
      <c r="AD19" s="158">
        <v>0</v>
      </c>
      <c r="AE19" s="158">
        <v>0</v>
      </c>
      <c r="AF19" s="158">
        <f>SUM(Tabela99[[#This Row], [jan/26]:[dez/26]])</f>
      </c>
      <c r="AG19" s="158">
        <v>6000000</v>
      </c>
      <c r="AH19" s="158">
        <v>0</v>
      </c>
      <c r="AI19" s="158">
        <v>0</v>
      </c>
      <c r="AJ19" s="158">
        <v>0</v>
      </c>
      <c r="AK19" s="158">
        <f>SUM(Tabela99[[#This Row], [2026]:[2030]])</f>
      </c>
      <c r="AL19" s="157">
        <v>0</v>
      </c>
      <c r="AM19" s="158">
        <v>0</v>
      </c>
      <c r="AN19" s="158">
        <v>0</v>
      </c>
      <c r="AO19" s="158">
        <v>0</v>
      </c>
      <c r="AP19" s="158">
        <v>0</v>
      </c>
      <c r="AQ19" s="159">
        <f>SUM(Tabela99[[#This Row], [2026-2030]:[2035]])</f>
      </c>
      <c r="AR19" s="1"/>
      <c r="AS19" s="13" t="s">
        <v>39461</v>
      </c>
      <c r="AT19" s="39">
        <v>2025</v>
      </c>
      <c r="AU19" s="13" t="s">
        <v>39490</v>
      </c>
      <c r="AV19" s="160">
        <f>_xlfn.XLOOKUP(Tabela99[[#This Row], [ID de demanda candidata]],'[4]Subproj Consolidado + Delta PE'!#REF!,'[4]Subproj Consolidado + Delta PE'!#REF!,,0,1)</f>
      </c>
      <c r="AW19" s="13" t="s">
        <v>39116</v>
      </c>
      <c r="AX19" s="2"/>
      <c r="AY19" s="2"/>
      <c r="AZ19" s="13" t="s">
        <v>39463</v>
      </c>
    </row>
    <row x14ac:dyDescent="0.25" r="20" customHeight="1" ht="24.75">
      <c r="A20" s="149"/>
      <c r="B20" s="150">
        <f>AND(ISTEXT('Consolidado-Eletronorte'!#REF!),SUM('Consolidado-Eletronorte'!#REF!)&gt;0)</f>
      </c>
      <c r="C20" s="151">
        <f>INDIRECT(SUBSTITUTE($J29&amp;$K29," ",""))</f>
      </c>
      <c r="D20" s="151">
        <f>$H$3</f>
      </c>
      <c r="E20" s="151">
        <f>$H$4</f>
      </c>
      <c r="F20" s="152"/>
      <c r="G20" s="151">
        <f>_xlfn.CONCAT('Consolidado-Eletronorte'!#REF!,"_",ROW('Consolidado-Eletronorte'!#REF!)-ROW('Consolidado-Eletronorte'!$G$18))</f>
      </c>
      <c r="H20" s="153" t="s">
        <v>10</v>
      </c>
      <c r="I20" s="153" t="s">
        <v>85</v>
      </c>
      <c r="J20" s="153" t="s">
        <v>5</v>
      </c>
      <c r="K20" s="154" t="s">
        <v>39449</v>
      </c>
      <c r="L20" s="153" t="s">
        <v>39456</v>
      </c>
      <c r="M20" s="153" t="s">
        <v>39450</v>
      </c>
      <c r="N20" s="153"/>
      <c r="O20" s="153"/>
      <c r="P20" s="153"/>
      <c r="Q20" s="155" t="s">
        <v>39491</v>
      </c>
      <c r="R20" s="155" t="s">
        <v>39491</v>
      </c>
      <c r="S20" s="153" t="s">
        <v>39452</v>
      </c>
      <c r="T20" s="156">
        <v>583000</v>
      </c>
      <c r="U20" s="157">
        <v>0</v>
      </c>
      <c r="V20" s="157">
        <v>0</v>
      </c>
      <c r="W20" s="157">
        <v>0</v>
      </c>
      <c r="X20" s="156">
        <v>0</v>
      </c>
      <c r="Y20" s="156">
        <v>0</v>
      </c>
      <c r="Z20" s="158">
        <v>0</v>
      </c>
      <c r="AA20" s="158">
        <v>0</v>
      </c>
      <c r="AB20" s="158">
        <v>0</v>
      </c>
      <c r="AC20" s="158">
        <v>0</v>
      </c>
      <c r="AD20" s="158">
        <v>0</v>
      </c>
      <c r="AE20" s="158">
        <v>0</v>
      </c>
      <c r="AF20" s="158">
        <f>SUM(Tabela99[[#This Row], [jan/26]:[dez/26]])</f>
      </c>
      <c r="AG20" s="158">
        <v>0</v>
      </c>
      <c r="AH20" s="158">
        <v>0</v>
      </c>
      <c r="AI20" s="158">
        <v>0</v>
      </c>
      <c r="AJ20" s="158">
        <v>0</v>
      </c>
      <c r="AK20" s="158">
        <f>SUM(Tabela99[[#This Row], [2026]:[2030]])</f>
      </c>
      <c r="AL20" s="157">
        <v>0</v>
      </c>
      <c r="AM20" s="158">
        <v>0</v>
      </c>
      <c r="AN20" s="158">
        <v>0</v>
      </c>
      <c r="AO20" s="158">
        <v>0</v>
      </c>
      <c r="AP20" s="158">
        <v>0</v>
      </c>
      <c r="AQ20" s="159">
        <f>SUM(Tabela99[[#This Row], [2026-2030]:[2035]])</f>
      </c>
      <c r="AR20" s="1"/>
      <c r="AS20" s="13" t="s">
        <v>39453</v>
      </c>
      <c r="AT20" s="39">
        <v>2025</v>
      </c>
      <c r="AU20" s="160">
        <f>_xlfn.XLOOKUP(Tabela99[[#This Row], [ID Financeiro]],'[4]Subproj Consolidado + Delta PE'!#REF!,'[4]Subproj Consolidado + Delta PE'!#REF!,,0,1)</f>
      </c>
      <c r="AV20" s="13" t="s">
        <v>39492</v>
      </c>
      <c r="AW20" s="13" t="s">
        <v>46</v>
      </c>
      <c r="AX20" s="2"/>
      <c r="AY20" s="2"/>
      <c r="AZ20" s="13" t="s">
        <v>39469</v>
      </c>
    </row>
    <row x14ac:dyDescent="0.25" r="21" customHeight="1" ht="24.75">
      <c r="A21" s="149"/>
      <c r="B21" s="150">
        <f>AND(ISTEXT('Consolidado-Eletronorte'!#REF!),SUM('Consolidado-Eletronorte'!#REF!)&gt;0)</f>
      </c>
      <c r="C21" s="151">
        <f>INDIRECT(SUBSTITUTE($J30&amp;$K30," ",""))</f>
      </c>
      <c r="D21" s="151">
        <f>$H$3</f>
      </c>
      <c r="E21" s="151">
        <f>$H$4</f>
      </c>
      <c r="F21" s="152"/>
      <c r="G21" s="151">
        <f>_xlfn.CONCAT('Consolidado-Eletronorte'!#REF!,"_",ROW('Consolidado-Eletronorte'!#REF!)-ROW('Consolidado-Eletronorte'!$G$18))</f>
      </c>
      <c r="H21" s="153" t="s">
        <v>10</v>
      </c>
      <c r="I21" s="153" t="s">
        <v>85</v>
      </c>
      <c r="J21" s="153" t="s">
        <v>5</v>
      </c>
      <c r="K21" s="154" t="s">
        <v>39449</v>
      </c>
      <c r="L21" s="153" t="s">
        <v>39456</v>
      </c>
      <c r="M21" s="153" t="s">
        <v>39493</v>
      </c>
      <c r="N21" s="153"/>
      <c r="O21" s="153"/>
      <c r="P21" s="153"/>
      <c r="Q21" s="155" t="s">
        <v>39494</v>
      </c>
      <c r="R21" s="155" t="s">
        <v>39494</v>
      </c>
      <c r="S21" s="153" t="s">
        <v>38392</v>
      </c>
      <c r="T21" s="156">
        <v>0</v>
      </c>
      <c r="U21" s="157">
        <v>0</v>
      </c>
      <c r="V21" s="157">
        <v>0</v>
      </c>
      <c r="W21" s="157">
        <v>0</v>
      </c>
      <c r="X21" s="156">
        <v>0</v>
      </c>
      <c r="Y21" s="156">
        <v>100000</v>
      </c>
      <c r="Z21" s="158">
        <v>0</v>
      </c>
      <c r="AA21" s="158">
        <v>0</v>
      </c>
      <c r="AB21" s="158">
        <v>35000</v>
      </c>
      <c r="AC21" s="158">
        <v>0</v>
      </c>
      <c r="AD21" s="158">
        <v>0</v>
      </c>
      <c r="AE21" s="158">
        <v>0</v>
      </c>
      <c r="AF21" s="158">
        <f>SUM(Tabela99[[#This Row], [jan/26]:[dez/26]])</f>
      </c>
      <c r="AG21" s="158">
        <v>1600000</v>
      </c>
      <c r="AH21" s="158">
        <v>1600000</v>
      </c>
      <c r="AI21" s="158">
        <v>1600000</v>
      </c>
      <c r="AJ21" s="158">
        <v>0</v>
      </c>
      <c r="AK21" s="158">
        <f>SUM(Tabela99[[#This Row], [2026]:[2030]])</f>
      </c>
      <c r="AL21" s="157">
        <v>0</v>
      </c>
      <c r="AM21" s="158">
        <v>0</v>
      </c>
      <c r="AN21" s="158">
        <v>0</v>
      </c>
      <c r="AO21" s="158">
        <v>0</v>
      </c>
      <c r="AP21" s="158">
        <v>0</v>
      </c>
      <c r="AQ21" s="159">
        <f>SUM(Tabela99[[#This Row], [2026-2030]:[2035]])</f>
      </c>
      <c r="AR21" s="1"/>
      <c r="AS21" s="13" t="s">
        <v>39453</v>
      </c>
      <c r="AT21" s="39">
        <v>2025</v>
      </c>
      <c r="AU21" s="160">
        <f>_xlfn.XLOOKUP(Tabela99[[#This Row], [ID Financeiro]],'[4]Subproj Consolidado + Delta PE'!#REF!,'[4]Subproj Consolidado + Delta PE'!#REF!,,0,1)</f>
      </c>
      <c r="AV21" s="13" t="s">
        <v>39495</v>
      </c>
      <c r="AW21" s="13" t="s">
        <v>39194</v>
      </c>
      <c r="AX21" s="2"/>
      <c r="AY21" s="2"/>
      <c r="AZ21" s="13" t="s">
        <v>39496</v>
      </c>
    </row>
    <row x14ac:dyDescent="0.25" r="22" customHeight="1" ht="24.75">
      <c r="A22" s="161"/>
      <c r="B22" s="150">
        <f>AND(ISTEXT('Consolidado-Eletronorte'!#REF!),SUM('Consolidado-Eletronorte'!#REF!)&gt;0)</f>
      </c>
      <c r="C22" s="162">
        <f>INDIRECT(SUBSTITUTE($J31&amp;$K31," ",""))</f>
      </c>
      <c r="D22" s="162">
        <f>$H$3</f>
      </c>
      <c r="E22" s="162">
        <f>$H$4</f>
      </c>
      <c r="F22" s="163"/>
      <c r="G22" s="162">
        <f>_xlfn.CONCAT('Consolidado-Eletronorte'!#REF!,"_",ROW('Consolidado-Eletronorte'!#REF!)-ROW('Consolidado-Eletronorte'!$G$18))</f>
      </c>
      <c r="H22" s="164" t="s">
        <v>10</v>
      </c>
      <c r="I22" s="164" t="s">
        <v>85</v>
      </c>
      <c r="J22" s="164" t="s">
        <v>5</v>
      </c>
      <c r="K22" s="165" t="s">
        <v>39449</v>
      </c>
      <c r="L22" s="164" t="s">
        <v>39456</v>
      </c>
      <c r="M22" s="164" t="s">
        <v>39493</v>
      </c>
      <c r="N22" s="164"/>
      <c r="O22" s="164"/>
      <c r="P22" s="164"/>
      <c r="Q22" s="166" t="s">
        <v>39497</v>
      </c>
      <c r="R22" s="166" t="s">
        <v>39497</v>
      </c>
      <c r="S22" s="164" t="s">
        <v>38392</v>
      </c>
      <c r="T22" s="167">
        <v>0</v>
      </c>
      <c r="U22" s="168">
        <v>0</v>
      </c>
      <c r="V22" s="168">
        <v>0</v>
      </c>
      <c r="W22" s="168">
        <v>0</v>
      </c>
      <c r="X22" s="167">
        <v>0</v>
      </c>
      <c r="Y22" s="167">
        <v>100000</v>
      </c>
      <c r="Z22" s="169">
        <v>0</v>
      </c>
      <c r="AA22" s="169">
        <v>0</v>
      </c>
      <c r="AB22" s="169">
        <v>35000</v>
      </c>
      <c r="AC22" s="169">
        <v>0</v>
      </c>
      <c r="AD22" s="169">
        <v>0</v>
      </c>
      <c r="AE22" s="169">
        <v>0</v>
      </c>
      <c r="AF22" s="169">
        <f>SUM(Tabela99[[#This Row], [jan/26]:[dez/26]])</f>
      </c>
      <c r="AG22" s="169">
        <v>1600000</v>
      </c>
      <c r="AH22" s="169">
        <v>1600000</v>
      </c>
      <c r="AI22" s="169">
        <v>1600000</v>
      </c>
      <c r="AJ22" s="169">
        <v>0</v>
      </c>
      <c r="AK22" s="169">
        <f>SUM(Tabela99[[#This Row], [2026]:[2030]])</f>
      </c>
      <c r="AL22" s="168">
        <v>0</v>
      </c>
      <c r="AM22" s="169">
        <v>0</v>
      </c>
      <c r="AN22" s="169">
        <v>0</v>
      </c>
      <c r="AO22" s="169">
        <v>0</v>
      </c>
      <c r="AP22" s="169">
        <v>0</v>
      </c>
      <c r="AQ22" s="170">
        <f>SUM(Tabela99[[#This Row], [2026-2030]:[2035]])</f>
      </c>
      <c r="AR22" s="1"/>
      <c r="AS22" s="13" t="s">
        <v>39453</v>
      </c>
      <c r="AT22" s="39">
        <v>2025</v>
      </c>
      <c r="AU22" s="160">
        <f>_xlfn.XLOOKUP(Tabela99[[#This Row], [ID Financeiro]],'[4]Subproj Consolidado + Delta PE'!#REF!,'[4]Subproj Consolidado + Delta PE'!#REF!,,0,1)</f>
      </c>
      <c r="AV22" s="13" t="s">
        <v>39498</v>
      </c>
      <c r="AW22" s="13" t="s">
        <v>39194</v>
      </c>
      <c r="AX22" s="2"/>
      <c r="AY22" s="2"/>
      <c r="AZ22" s="13" t="s">
        <v>39496</v>
      </c>
    </row>
    <row x14ac:dyDescent="0.25" r="23" customHeight="1" ht="24.75">
      <c r="A23" s="149"/>
      <c r="B23" s="150">
        <f>AND(ISTEXT('Consolidado-Eletronorte'!#REF!),SUM('Consolidado-Eletronorte'!#REF!)&gt;0)</f>
      </c>
      <c r="C23" s="151">
        <f>INDIRECT(SUBSTITUTE($J32&amp;$K32," ",""))</f>
      </c>
      <c r="D23" s="151">
        <f>$H$3</f>
      </c>
      <c r="E23" s="151">
        <f>$H$4</f>
      </c>
      <c r="F23" s="152"/>
      <c r="G23" s="151">
        <f>_xlfn.CONCAT('Consolidado-Eletronorte'!#REF!,"_",ROW('Consolidado-Eletronorte'!#REF!)-ROW('Consolidado-Eletronorte'!$G$18))</f>
      </c>
      <c r="H23" s="153" t="s">
        <v>10</v>
      </c>
      <c r="I23" s="153" t="s">
        <v>85</v>
      </c>
      <c r="J23" s="153" t="s">
        <v>5</v>
      </c>
      <c r="K23" s="154" t="s">
        <v>39449</v>
      </c>
      <c r="L23" s="153" t="s">
        <v>39456</v>
      </c>
      <c r="M23" s="153" t="s">
        <v>39450</v>
      </c>
      <c r="N23" s="153"/>
      <c r="O23" s="153"/>
      <c r="P23" s="153"/>
      <c r="Q23" s="155" t="s">
        <v>39499</v>
      </c>
      <c r="R23" s="155" t="s">
        <v>39499</v>
      </c>
      <c r="S23" s="153" t="s">
        <v>39460</v>
      </c>
      <c r="T23" s="156">
        <v>0</v>
      </c>
      <c r="U23" s="157">
        <v>100000</v>
      </c>
      <c r="V23" s="157">
        <v>0</v>
      </c>
      <c r="W23" s="157">
        <v>0</v>
      </c>
      <c r="X23" s="156">
        <v>35000</v>
      </c>
      <c r="Y23" s="156">
        <v>0</v>
      </c>
      <c r="Z23" s="158">
        <v>900000</v>
      </c>
      <c r="AA23" s="158">
        <v>0</v>
      </c>
      <c r="AB23" s="158">
        <v>0</v>
      </c>
      <c r="AC23" s="158">
        <v>380000</v>
      </c>
      <c r="AD23" s="158">
        <v>0</v>
      </c>
      <c r="AE23" s="158">
        <v>0</v>
      </c>
      <c r="AF23" s="158">
        <f>SUM(Tabela99[[#This Row], [jan/26]:[dez/26]])</f>
      </c>
      <c r="AG23" s="158">
        <v>1600000</v>
      </c>
      <c r="AH23" s="158">
        <v>1600000</v>
      </c>
      <c r="AI23" s="158">
        <v>1600000</v>
      </c>
      <c r="AJ23" s="158">
        <v>0</v>
      </c>
      <c r="AK23" s="158">
        <f>SUM(Tabela99[[#This Row], [2026]:[2030]])</f>
      </c>
      <c r="AL23" s="157">
        <v>0</v>
      </c>
      <c r="AM23" s="158">
        <v>0</v>
      </c>
      <c r="AN23" s="158">
        <v>0</v>
      </c>
      <c r="AO23" s="158">
        <v>0</v>
      </c>
      <c r="AP23" s="158">
        <v>0</v>
      </c>
      <c r="AQ23" s="159">
        <f>SUM(Tabela99[[#This Row], [2026-2030]:[2035]])</f>
      </c>
      <c r="AR23" s="1"/>
      <c r="AS23" s="13" t="s">
        <v>39453</v>
      </c>
      <c r="AT23" s="39">
        <v>2025</v>
      </c>
      <c r="AU23" s="160">
        <f>_xlfn.XLOOKUP(Tabela99[[#This Row], [ID Financeiro]],'[4]Subproj Consolidado + Delta PE'!#REF!,'[4]Subproj Consolidado + Delta PE'!#REF!,,0,1)</f>
      </c>
      <c r="AV23" s="13" t="s">
        <v>39500</v>
      </c>
      <c r="AW23" s="13" t="s">
        <v>39194</v>
      </c>
      <c r="AX23" s="2"/>
      <c r="AY23" s="2"/>
      <c r="AZ23" s="13" t="s">
        <v>39496</v>
      </c>
    </row>
    <row x14ac:dyDescent="0.25" r="24" customHeight="1" ht="24.75">
      <c r="A24" s="163"/>
      <c r="B24" s="150">
        <f>AND(ISTEXT('Consolidado-Eletronorte'!#REF!),SUM('Consolidado-Eletronorte'!#REF!)&gt;0)</f>
      </c>
      <c r="C24" s="162">
        <f>INDIRECT(SUBSTITUTE($J33&amp;$K33," ",""))</f>
      </c>
      <c r="D24" s="162">
        <f>$H$3</f>
      </c>
      <c r="E24" s="162">
        <f>$H$4</f>
      </c>
      <c r="F24" s="163"/>
      <c r="G24" s="162">
        <f>_xlfn.CONCAT('Consolidado-Eletronorte'!#REF!,"_",ROW('Consolidado-Eletronorte'!#REF!)-ROW('Consolidado-Eletronorte'!$G$18))</f>
      </c>
      <c r="H24" s="164" t="s">
        <v>10</v>
      </c>
      <c r="I24" s="164" t="s">
        <v>85</v>
      </c>
      <c r="J24" s="164" t="s">
        <v>5</v>
      </c>
      <c r="K24" s="165" t="s">
        <v>16</v>
      </c>
      <c r="L24" s="164" t="s">
        <v>39456</v>
      </c>
      <c r="M24" s="164" t="s">
        <v>39501</v>
      </c>
      <c r="N24" s="164"/>
      <c r="O24" s="164"/>
      <c r="P24" s="164"/>
      <c r="Q24" s="164" t="s">
        <v>39502</v>
      </c>
      <c r="R24" s="164" t="s">
        <v>39502</v>
      </c>
      <c r="S24" s="164" t="s">
        <v>39503</v>
      </c>
      <c r="T24" s="173">
        <v>2000</v>
      </c>
      <c r="U24" s="173">
        <v>2000</v>
      </c>
      <c r="V24" s="173">
        <v>2000</v>
      </c>
      <c r="W24" s="173">
        <v>2000</v>
      </c>
      <c r="X24" s="173">
        <v>2000</v>
      </c>
      <c r="Y24" s="173">
        <v>2000</v>
      </c>
      <c r="Z24" s="173">
        <v>0</v>
      </c>
      <c r="AA24" s="173">
        <v>2000</v>
      </c>
      <c r="AB24" s="173">
        <v>2000</v>
      </c>
      <c r="AC24" s="173">
        <v>2000</v>
      </c>
      <c r="AD24" s="173">
        <v>2000</v>
      </c>
      <c r="AE24" s="173">
        <v>17500000</v>
      </c>
      <c r="AF24" s="173">
        <f>SUM(Tabela99[[#This Row], [jan/26]:[dez/26]])</f>
      </c>
      <c r="AG24" s="173">
        <v>95000000</v>
      </c>
      <c r="AH24" s="173">
        <v>52500000</v>
      </c>
      <c r="AI24" s="173">
        <v>10000000</v>
      </c>
      <c r="AJ24" s="173">
        <v>0</v>
      </c>
      <c r="AK24" s="173">
        <f>SUM(Tabela99[[#This Row], [2026]:[2030]])</f>
      </c>
      <c r="AL24" s="173">
        <v>0</v>
      </c>
      <c r="AM24" s="173">
        <v>0</v>
      </c>
      <c r="AN24" s="173">
        <v>0</v>
      </c>
      <c r="AO24" s="173">
        <v>0</v>
      </c>
      <c r="AP24" s="173">
        <v>0</v>
      </c>
      <c r="AQ24" s="174">
        <f>SUM(Tabela99[[#This Row], [2026-2030]:[2035]])</f>
      </c>
      <c r="AR24" s="1"/>
      <c r="AS24" s="13" t="s">
        <v>39453</v>
      </c>
      <c r="AT24" s="39">
        <v>2025</v>
      </c>
      <c r="AU24" s="160">
        <f>_xlfn.XLOOKUP(Tabela99[[#This Row], [ID Financeiro]],'[4]Subproj Consolidado + Delta PE'!#REF!,'[4]Subproj Consolidado + Delta PE'!#REF!,,0,1)</f>
      </c>
      <c r="AV24" s="13" t="s">
        <v>39504</v>
      </c>
      <c r="AW24" s="13" t="s">
        <v>39194</v>
      </c>
      <c r="AX24" s="2"/>
      <c r="AY24" s="2"/>
      <c r="AZ24" s="13" t="s">
        <v>39488</v>
      </c>
    </row>
    <row x14ac:dyDescent="0.25" r="25" customHeight="1" ht="24.75">
      <c r="A25" s="149"/>
      <c r="B25" s="150">
        <f>AND(ISTEXT('Consolidado-Eletronorte'!#REF!),SUM('Consolidado-Eletronorte'!#REF!)&gt;0)</f>
      </c>
      <c r="C25" s="151">
        <f>INDIRECT(SUBSTITUTE($J34&amp;$K34," ",""))</f>
      </c>
      <c r="D25" s="151">
        <f>$H$3</f>
      </c>
      <c r="E25" s="151">
        <f>$H$4</f>
      </c>
      <c r="F25" s="152"/>
      <c r="G25" s="151">
        <f>_xlfn.CONCAT('Consolidado-Eletronorte'!#REF!,"_",ROW('Consolidado-Eletronorte'!#REF!)-ROW('Consolidado-Eletronorte'!$G$18))</f>
      </c>
      <c r="H25" s="153" t="s">
        <v>10</v>
      </c>
      <c r="I25" s="153" t="s">
        <v>85</v>
      </c>
      <c r="J25" s="153" t="s">
        <v>5</v>
      </c>
      <c r="K25" s="154" t="s">
        <v>39449</v>
      </c>
      <c r="L25" s="153" t="s">
        <v>39456</v>
      </c>
      <c r="M25" s="153" t="s">
        <v>39450</v>
      </c>
      <c r="N25" s="153"/>
      <c r="O25" s="153"/>
      <c r="P25" s="153"/>
      <c r="Q25" s="155" t="s">
        <v>39505</v>
      </c>
      <c r="R25" s="155" t="s">
        <v>39505</v>
      </c>
      <c r="S25" s="153" t="s">
        <v>39452</v>
      </c>
      <c r="T25" s="156">
        <v>0</v>
      </c>
      <c r="U25" s="157">
        <v>0</v>
      </c>
      <c r="V25" s="157">
        <v>0</v>
      </c>
      <c r="W25" s="157">
        <v>0</v>
      </c>
      <c r="X25" s="156">
        <v>0</v>
      </c>
      <c r="Y25" s="156">
        <v>2000000</v>
      </c>
      <c r="Z25" s="158">
        <v>0</v>
      </c>
      <c r="AA25" s="158">
        <v>0</v>
      </c>
      <c r="AB25" s="158">
        <v>0</v>
      </c>
      <c r="AC25" s="158">
        <v>0</v>
      </c>
      <c r="AD25" s="158">
        <v>1800000</v>
      </c>
      <c r="AE25" s="158">
        <v>0</v>
      </c>
      <c r="AF25" s="158">
        <f>SUM(Tabela99[[#This Row], [jan/26]:[dez/26]])</f>
      </c>
      <c r="AG25" s="158">
        <v>0</v>
      </c>
      <c r="AH25" s="158">
        <v>0</v>
      </c>
      <c r="AI25" s="158">
        <v>0</v>
      </c>
      <c r="AJ25" s="158">
        <v>0</v>
      </c>
      <c r="AK25" s="158">
        <f>SUM(Tabela99[[#This Row], [2026]:[2030]])</f>
      </c>
      <c r="AL25" s="157">
        <v>0</v>
      </c>
      <c r="AM25" s="158">
        <v>0</v>
      </c>
      <c r="AN25" s="158">
        <v>0</v>
      </c>
      <c r="AO25" s="158">
        <v>0</v>
      </c>
      <c r="AP25" s="158">
        <v>0</v>
      </c>
      <c r="AQ25" s="159">
        <f>SUM(Tabela99[[#This Row], [2026-2030]:[2035]])</f>
      </c>
      <c r="AR25" s="1"/>
      <c r="AS25" s="13" t="s">
        <v>39453</v>
      </c>
      <c r="AT25" s="39">
        <v>2025</v>
      </c>
      <c r="AU25" s="160">
        <f>_xlfn.XLOOKUP(Tabela99[[#This Row], [ID Financeiro]],'[4]Subproj Consolidado + Delta PE'!#REF!,'[4]Subproj Consolidado + Delta PE'!#REF!,,0,1)</f>
      </c>
      <c r="AV25" s="13" t="s">
        <v>39506</v>
      </c>
      <c r="AW25" s="13" t="s">
        <v>39116</v>
      </c>
      <c r="AX25" s="2"/>
      <c r="AY25" s="2"/>
      <c r="AZ25" s="13" t="s">
        <v>39488</v>
      </c>
    </row>
    <row x14ac:dyDescent="0.25" r="26" customHeight="1" ht="24.75">
      <c r="A26" s="149"/>
      <c r="B26" s="150">
        <f>AND(ISTEXT('Consolidado-Eletronorte'!#REF!),SUM('Consolidado-Eletronorte'!#REF!)&gt;0)</f>
      </c>
      <c r="C26" s="151">
        <f>INDIRECT(SUBSTITUTE($J35&amp;$K35," ",""))</f>
      </c>
      <c r="D26" s="151">
        <f>$H$3</f>
      </c>
      <c r="E26" s="151">
        <f>$H$4</f>
      </c>
      <c r="F26" s="152"/>
      <c r="G26" s="151">
        <f>_xlfn.CONCAT('Consolidado-Eletronorte'!#REF!,"_",ROW('Consolidado-Eletronorte'!#REF!)-ROW('Consolidado-Eletronorte'!$G$18))</f>
      </c>
      <c r="H26" s="153" t="s">
        <v>10</v>
      </c>
      <c r="I26" s="153" t="s">
        <v>85</v>
      </c>
      <c r="J26" s="153" t="s">
        <v>5</v>
      </c>
      <c r="K26" s="154" t="s">
        <v>39449</v>
      </c>
      <c r="L26" s="153" t="s">
        <v>39456</v>
      </c>
      <c r="M26" s="153" t="s">
        <v>39507</v>
      </c>
      <c r="N26" s="153"/>
      <c r="O26" s="153"/>
      <c r="P26" s="153"/>
      <c r="Q26" s="155" t="s">
        <v>39508</v>
      </c>
      <c r="R26" s="155" t="s">
        <v>39508</v>
      </c>
      <c r="S26" s="153" t="s">
        <v>39509</v>
      </c>
      <c r="T26" s="156">
        <v>0</v>
      </c>
      <c r="U26" s="157">
        <v>0</v>
      </c>
      <c r="V26" s="157">
        <v>0</v>
      </c>
      <c r="W26" s="157">
        <v>0</v>
      </c>
      <c r="X26" s="156">
        <v>0</v>
      </c>
      <c r="Y26" s="156">
        <v>0</v>
      </c>
      <c r="Z26" s="158">
        <v>0</v>
      </c>
      <c r="AA26" s="158">
        <v>0</v>
      </c>
      <c r="AB26" s="158">
        <v>0</v>
      </c>
      <c r="AC26" s="158">
        <v>0</v>
      </c>
      <c r="AD26" s="158">
        <v>0</v>
      </c>
      <c r="AE26" s="158">
        <v>0</v>
      </c>
      <c r="AF26" s="158">
        <f>SUM(Tabela99[[#This Row], [jan/26]:[dez/26]])</f>
      </c>
      <c r="AG26" s="158">
        <v>2000000</v>
      </c>
      <c r="AH26" s="158">
        <v>0</v>
      </c>
      <c r="AI26" s="158">
        <v>0</v>
      </c>
      <c r="AJ26" s="158">
        <v>0</v>
      </c>
      <c r="AK26" s="158">
        <f>SUM(Tabela99[[#This Row], [2026]:[2030]])</f>
      </c>
      <c r="AL26" s="157">
        <v>0</v>
      </c>
      <c r="AM26" s="158">
        <v>0</v>
      </c>
      <c r="AN26" s="158">
        <v>0</v>
      </c>
      <c r="AO26" s="158">
        <v>0</v>
      </c>
      <c r="AP26" s="158">
        <v>0</v>
      </c>
      <c r="AQ26" s="159">
        <f>SUM(Tabela99[[#This Row], [2026-2030]:[2035]])</f>
      </c>
      <c r="AR26" s="1"/>
      <c r="AS26" s="13" t="s">
        <v>39510</v>
      </c>
      <c r="AT26" s="39">
        <v>2025</v>
      </c>
      <c r="AU26" s="160">
        <f>_xlfn.XLOOKUP(Tabela99[[#This Row], [ID Financeiro]],'[4]Subproj Consolidado + Delta PE'!#REF!,'[4]Subproj Consolidado + Delta PE'!#REF!,,0,1)</f>
      </c>
      <c r="AV26" s="160">
        <f>_xlfn.XLOOKUP(Tabela99[[#This Row], [Descrição do projeto]],'[4]Subproj Consolidado + Delta PE'!#REF!,'[4]Subproj Consolidado + Delta PE'!#REF!,,0,1)</f>
      </c>
      <c r="AW26" s="13" t="s">
        <v>39194</v>
      </c>
      <c r="AX26" s="2"/>
      <c r="AY26" s="2"/>
      <c r="AZ26" s="13" t="s">
        <v>39511</v>
      </c>
    </row>
    <row x14ac:dyDescent="0.25" r="27" customHeight="1" ht="24.75">
      <c r="A27" s="149"/>
      <c r="B27" s="150">
        <f>AND(ISTEXT('Consolidado-Eletronorte'!#REF!),SUM('Consolidado-Eletronorte'!#REF!)&gt;0)</f>
      </c>
      <c r="C27" s="151">
        <f>INDIRECT(SUBSTITUTE($J36&amp;$K36," ",""))</f>
      </c>
      <c r="D27" s="151">
        <f>$H$3</f>
      </c>
      <c r="E27" s="151">
        <f>$H$4</f>
      </c>
      <c r="F27" s="152"/>
      <c r="G27" s="151">
        <f>_xlfn.CONCAT('Consolidado-Eletronorte'!#REF!,"_",ROW('Consolidado-Eletronorte'!#REF!)-ROW('Consolidado-Eletronorte'!$G$18))</f>
      </c>
      <c r="H27" s="153" t="s">
        <v>10</v>
      </c>
      <c r="I27" s="153" t="s">
        <v>85</v>
      </c>
      <c r="J27" s="153" t="s">
        <v>5</v>
      </c>
      <c r="K27" s="154" t="s">
        <v>39449</v>
      </c>
      <c r="L27" s="153" t="s">
        <v>39456</v>
      </c>
      <c r="M27" s="153" t="s">
        <v>39512</v>
      </c>
      <c r="N27" s="153"/>
      <c r="O27" s="153"/>
      <c r="P27" s="153"/>
      <c r="Q27" s="155" t="s">
        <v>39513</v>
      </c>
      <c r="R27" s="155" t="s">
        <v>39514</v>
      </c>
      <c r="S27" s="153" t="s">
        <v>39460</v>
      </c>
      <c r="T27" s="156">
        <v>0</v>
      </c>
      <c r="U27" s="157">
        <v>0</v>
      </c>
      <c r="V27" s="157">
        <v>0</v>
      </c>
      <c r="W27" s="157">
        <v>0</v>
      </c>
      <c r="X27" s="156">
        <v>0</v>
      </c>
      <c r="Y27" s="156">
        <v>0</v>
      </c>
      <c r="Z27" s="158">
        <v>0</v>
      </c>
      <c r="AA27" s="158">
        <v>0</v>
      </c>
      <c r="AB27" s="158">
        <v>0</v>
      </c>
      <c r="AC27" s="158">
        <v>200000</v>
      </c>
      <c r="AD27" s="158">
        <v>0</v>
      </c>
      <c r="AE27" s="158">
        <v>0</v>
      </c>
      <c r="AF27" s="158">
        <f>SUM(Tabela99[[#This Row], [jan/26]:[dez/26]])</f>
      </c>
      <c r="AG27" s="158">
        <v>400000</v>
      </c>
      <c r="AH27" s="158">
        <v>0</v>
      </c>
      <c r="AI27" s="158">
        <v>0</v>
      </c>
      <c r="AJ27" s="158">
        <v>0</v>
      </c>
      <c r="AK27" s="158">
        <f>SUM(Tabela99[[#This Row], [2026]:[2030]])</f>
      </c>
      <c r="AL27" s="157">
        <v>0</v>
      </c>
      <c r="AM27" s="158">
        <v>0</v>
      </c>
      <c r="AN27" s="158">
        <v>0</v>
      </c>
      <c r="AO27" s="158">
        <v>0</v>
      </c>
      <c r="AP27" s="158">
        <v>0</v>
      </c>
      <c r="AQ27" s="159">
        <f>SUM(Tabela99[[#This Row], [2026-2030]:[2035]])</f>
      </c>
      <c r="AR27" s="1"/>
      <c r="AS27" s="13" t="s">
        <v>39461</v>
      </c>
      <c r="AT27" s="39">
        <v>2025</v>
      </c>
      <c r="AU27" s="13" t="s">
        <v>39515</v>
      </c>
      <c r="AV27" s="160">
        <f>_xlfn.XLOOKUP(Tabela99[[#This Row], [ID de demanda candidata]],'[4]Subproj Consolidado + Delta PE'!#REF!,'[4]Subproj Consolidado + Delta PE'!#REF!,,0,1)</f>
      </c>
      <c r="AW27" s="13" t="s">
        <v>39194</v>
      </c>
      <c r="AX27" s="2"/>
      <c r="AY27" s="2"/>
      <c r="AZ27" s="13" t="s">
        <v>39463</v>
      </c>
    </row>
    <row x14ac:dyDescent="0.25" r="28" customHeight="1" ht="24.75">
      <c r="A28" s="149"/>
      <c r="B28" s="150">
        <f>AND(ISTEXT('Consolidado-Eletronorte'!#REF!),SUM('Consolidado-Eletronorte'!#REF!)&gt;0)</f>
      </c>
      <c r="C28" s="151">
        <f>INDIRECT(SUBSTITUTE($J37&amp;$K37," ",""))</f>
      </c>
      <c r="D28" s="151">
        <f>$H$3</f>
      </c>
      <c r="E28" s="151">
        <f>$H$4</f>
      </c>
      <c r="F28" s="152"/>
      <c r="G28" s="151">
        <f>_xlfn.CONCAT('Consolidado-Eletronorte'!#REF!,"_",ROW('Consolidado-Eletronorte'!#REF!)-ROW('Consolidado-Eletronorte'!$G$18))</f>
      </c>
      <c r="H28" s="153" t="s">
        <v>10</v>
      </c>
      <c r="I28" s="153" t="s">
        <v>85</v>
      </c>
      <c r="J28" s="153" t="s">
        <v>5</v>
      </c>
      <c r="K28" s="154" t="s">
        <v>39449</v>
      </c>
      <c r="L28" s="153" t="s">
        <v>39456</v>
      </c>
      <c r="M28" s="153" t="s">
        <v>39457</v>
      </c>
      <c r="N28" s="153"/>
      <c r="O28" s="153"/>
      <c r="P28" s="153"/>
      <c r="Q28" s="155" t="s">
        <v>39516</v>
      </c>
      <c r="R28" s="155" t="s">
        <v>39517</v>
      </c>
      <c r="S28" s="153" t="s">
        <v>39460</v>
      </c>
      <c r="T28" s="156">
        <v>0</v>
      </c>
      <c r="U28" s="157">
        <v>0</v>
      </c>
      <c r="V28" s="157">
        <v>0</v>
      </c>
      <c r="W28" s="157">
        <v>0</v>
      </c>
      <c r="X28" s="156">
        <v>450000</v>
      </c>
      <c r="Y28" s="156">
        <v>450000</v>
      </c>
      <c r="Z28" s="158">
        <v>450000</v>
      </c>
      <c r="AA28" s="158">
        <v>450000</v>
      </c>
      <c r="AB28" s="158">
        <v>450000</v>
      </c>
      <c r="AC28" s="158">
        <v>450000</v>
      </c>
      <c r="AD28" s="158">
        <v>500000</v>
      </c>
      <c r="AE28" s="158">
        <v>500000</v>
      </c>
      <c r="AF28" s="158">
        <f>SUM(Tabela99[[#This Row], [jan/26]:[dez/26]])</f>
      </c>
      <c r="AG28" s="158">
        <v>0</v>
      </c>
      <c r="AH28" s="158">
        <v>0</v>
      </c>
      <c r="AI28" s="158">
        <v>0</v>
      </c>
      <c r="AJ28" s="158">
        <v>0</v>
      </c>
      <c r="AK28" s="158">
        <f>SUM(Tabela99[[#This Row], [2026]:[2030]])</f>
      </c>
      <c r="AL28" s="157">
        <v>0</v>
      </c>
      <c r="AM28" s="158">
        <v>0</v>
      </c>
      <c r="AN28" s="158">
        <v>0</v>
      </c>
      <c r="AO28" s="158">
        <v>0</v>
      </c>
      <c r="AP28" s="158">
        <v>0</v>
      </c>
      <c r="AQ28" s="159">
        <f>SUM(Tabela99[[#This Row], [2026-2030]:[2035]])</f>
      </c>
      <c r="AR28" s="1"/>
      <c r="AS28" s="13" t="s">
        <v>39461</v>
      </c>
      <c r="AT28" s="39">
        <v>2025</v>
      </c>
      <c r="AU28" s="13" t="s">
        <v>39518</v>
      </c>
      <c r="AV28" s="160">
        <f>_xlfn.XLOOKUP(Tabela99[[#This Row], [ID de demanda candidata]],'[4]Subproj Consolidado + Delta PE'!#REF!,'[4]Subproj Consolidado + Delta PE'!#REF!,,0,1)</f>
      </c>
      <c r="AW28" s="13" t="s">
        <v>46</v>
      </c>
      <c r="AX28" s="2"/>
      <c r="AY28" s="2"/>
      <c r="AZ28" s="13" t="s">
        <v>39463</v>
      </c>
    </row>
    <row x14ac:dyDescent="0.25" r="29" customHeight="1" ht="24.75">
      <c r="A29" s="149"/>
      <c r="B29" s="150">
        <f>AND(ISTEXT('Consolidado-Eletronorte'!#REF!),SUM('Consolidado-Eletronorte'!#REF!)&gt;0)</f>
      </c>
      <c r="C29" s="151">
        <f>INDIRECT(SUBSTITUTE($J38&amp;$K38," ",""))</f>
      </c>
      <c r="D29" s="151">
        <f>$H$3</f>
      </c>
      <c r="E29" s="151">
        <f>$H$4</f>
      </c>
      <c r="F29" s="152"/>
      <c r="G29" s="151">
        <f>_xlfn.CONCAT('Consolidado-Eletronorte'!#REF!,"_",ROW('Consolidado-Eletronorte'!#REF!)-ROW('Consolidado-Eletronorte'!$G$18))</f>
      </c>
      <c r="H29" s="153" t="s">
        <v>10</v>
      </c>
      <c r="I29" s="153" t="s">
        <v>85</v>
      </c>
      <c r="J29" s="153" t="s">
        <v>5</v>
      </c>
      <c r="K29" s="154" t="s">
        <v>39449</v>
      </c>
      <c r="L29" s="153" t="s">
        <v>39456</v>
      </c>
      <c r="M29" s="153" t="s">
        <v>39457</v>
      </c>
      <c r="N29" s="153"/>
      <c r="O29" s="153"/>
      <c r="P29" s="153"/>
      <c r="Q29" s="155" t="s">
        <v>39519</v>
      </c>
      <c r="R29" s="155" t="s">
        <v>39519</v>
      </c>
      <c r="S29" s="153" t="s">
        <v>39460</v>
      </c>
      <c r="T29" s="156">
        <v>497000</v>
      </c>
      <c r="U29" s="157">
        <v>0</v>
      </c>
      <c r="V29" s="157">
        <v>0</v>
      </c>
      <c r="W29" s="157">
        <v>0</v>
      </c>
      <c r="X29" s="156">
        <v>799000</v>
      </c>
      <c r="Y29" s="156">
        <v>0</v>
      </c>
      <c r="Z29" s="158">
        <v>0</v>
      </c>
      <c r="AA29" s="158">
        <v>0</v>
      </c>
      <c r="AB29" s="158">
        <v>0</v>
      </c>
      <c r="AC29" s="158">
        <v>0</v>
      </c>
      <c r="AD29" s="158">
        <v>0</v>
      </c>
      <c r="AE29" s="158">
        <v>0</v>
      </c>
      <c r="AF29" s="158">
        <f>SUM(Tabela99[[#This Row], [jan/26]:[dez/26]])</f>
      </c>
      <c r="AG29" s="158">
        <v>0</v>
      </c>
      <c r="AH29" s="158">
        <v>0</v>
      </c>
      <c r="AI29" s="158">
        <v>0</v>
      </c>
      <c r="AJ29" s="158">
        <v>0</v>
      </c>
      <c r="AK29" s="158">
        <f>SUM(Tabela99[[#This Row], [2026]:[2030]])</f>
      </c>
      <c r="AL29" s="157">
        <v>0</v>
      </c>
      <c r="AM29" s="158">
        <v>0</v>
      </c>
      <c r="AN29" s="158">
        <v>0</v>
      </c>
      <c r="AO29" s="158">
        <v>0</v>
      </c>
      <c r="AP29" s="158">
        <v>0</v>
      </c>
      <c r="AQ29" s="159">
        <f>SUM(Tabela99[[#This Row], [2026-2030]:[2035]])</f>
      </c>
      <c r="AR29" s="1"/>
      <c r="AS29" s="13" t="s">
        <v>39453</v>
      </c>
      <c r="AT29" s="39">
        <v>2025</v>
      </c>
      <c r="AU29" s="160">
        <f>_xlfn.XLOOKUP(Tabela99[[#This Row], [ID Financeiro]],'[4]Subproj Consolidado + Delta PE'!#REF!,'[4]Subproj Consolidado + Delta PE'!#REF!,,0,1)</f>
      </c>
      <c r="AV29" s="13" t="s">
        <v>39520</v>
      </c>
      <c r="AW29" s="13" t="s">
        <v>46</v>
      </c>
      <c r="AX29" s="2"/>
      <c r="AY29" s="2"/>
      <c r="AZ29" s="13" t="s">
        <v>39469</v>
      </c>
    </row>
    <row x14ac:dyDescent="0.25" r="30" customHeight="1" ht="24.75">
      <c r="A30" s="149"/>
      <c r="B30" s="150">
        <f>AND(ISTEXT('Consolidado-Eletronorte'!#REF!),SUM('Consolidado-Eletronorte'!#REF!)&gt;0)</f>
      </c>
      <c r="C30" s="151">
        <f>INDIRECT(SUBSTITUTE($J39&amp;$K39," ",""))</f>
      </c>
      <c r="D30" s="151">
        <f>$H$3</f>
      </c>
      <c r="E30" s="151">
        <f>$H$4</f>
      </c>
      <c r="F30" s="152"/>
      <c r="G30" s="151">
        <f>_xlfn.CONCAT('Consolidado-Eletronorte'!#REF!,"_",ROW('Consolidado-Eletronorte'!#REF!)-ROW('Consolidado-Eletronorte'!$G$18))</f>
      </c>
      <c r="H30" s="153" t="s">
        <v>10</v>
      </c>
      <c r="I30" s="153" t="s">
        <v>85</v>
      </c>
      <c r="J30" s="153" t="s">
        <v>5</v>
      </c>
      <c r="K30" s="154" t="s">
        <v>39449</v>
      </c>
      <c r="L30" s="153" t="s">
        <v>39456</v>
      </c>
      <c r="M30" s="153" t="s">
        <v>39521</v>
      </c>
      <c r="N30" s="153"/>
      <c r="O30" s="153"/>
      <c r="P30" s="153"/>
      <c r="Q30" s="155" t="s">
        <v>39522</v>
      </c>
      <c r="R30" s="155" t="s">
        <v>39522</v>
      </c>
      <c r="S30" s="153" t="s">
        <v>39523</v>
      </c>
      <c r="T30" s="156">
        <v>0</v>
      </c>
      <c r="U30" s="156">
        <v>0</v>
      </c>
      <c r="V30" s="156">
        <v>2125000</v>
      </c>
      <c r="W30" s="156">
        <v>100000</v>
      </c>
      <c r="X30" s="156">
        <v>100000</v>
      </c>
      <c r="Y30" s="156">
        <v>200000</v>
      </c>
      <c r="Z30" s="156">
        <v>2200000</v>
      </c>
      <c r="AA30" s="156">
        <v>200000</v>
      </c>
      <c r="AB30" s="156">
        <v>200000</v>
      </c>
      <c r="AC30" s="156">
        <v>200000</v>
      </c>
      <c r="AD30" s="156">
        <v>300000</v>
      </c>
      <c r="AE30" s="156">
        <v>17550000</v>
      </c>
      <c r="AF30" s="158">
        <f>SUM(Tabela99[[#This Row], [jan/26]:[dez/26]])</f>
      </c>
      <c r="AG30" s="158">
        <v>60000000</v>
      </c>
      <c r="AH30" s="158">
        <v>43625000</v>
      </c>
      <c r="AI30" s="158">
        <v>3200000</v>
      </c>
      <c r="AJ30" s="158">
        <v>0</v>
      </c>
      <c r="AK30" s="158">
        <f>SUM(Tabela99[[#This Row], [2026]:[2030]])</f>
      </c>
      <c r="AL30" s="157">
        <v>0</v>
      </c>
      <c r="AM30" s="158">
        <v>0</v>
      </c>
      <c r="AN30" s="158">
        <v>0</v>
      </c>
      <c r="AO30" s="158">
        <v>0</v>
      </c>
      <c r="AP30" s="158">
        <v>0</v>
      </c>
      <c r="AQ30" s="159">
        <f>SUM(Tabela99[[#This Row], [2026-2030]:[2035]])</f>
      </c>
      <c r="AR30" s="1"/>
      <c r="AS30" s="13" t="s">
        <v>39453</v>
      </c>
      <c r="AT30" s="39">
        <v>2025</v>
      </c>
      <c r="AU30" s="160">
        <f>_xlfn.XLOOKUP(Tabela99[[#This Row], [ID Financeiro]],'[4]Subproj Consolidado + Delta PE'!#REF!,'[4]Subproj Consolidado + Delta PE'!#REF!,,0,1)</f>
      </c>
      <c r="AV30" s="13" t="s">
        <v>39524</v>
      </c>
      <c r="AW30" s="13" t="s">
        <v>39116</v>
      </c>
      <c r="AX30" s="2"/>
      <c r="AY30" s="2"/>
      <c r="AZ30" s="13" t="s">
        <v>39488</v>
      </c>
    </row>
    <row x14ac:dyDescent="0.25" r="31" customHeight="1" ht="24.75">
      <c r="A31" s="149"/>
      <c r="B31" s="150">
        <f>AND(ISTEXT('Consolidado-Eletronorte'!#REF!),SUM('Consolidado-Eletronorte'!#REF!)&gt;0)</f>
      </c>
      <c r="C31" s="151">
        <f>INDIRECT(SUBSTITUTE($J40&amp;$K40," ",""))</f>
      </c>
      <c r="D31" s="151">
        <f>$H$3</f>
      </c>
      <c r="E31" s="151">
        <f>$H$4</f>
      </c>
      <c r="F31" s="152"/>
      <c r="G31" s="151">
        <f>_xlfn.CONCAT('Consolidado-Eletronorte'!#REF!,"_",ROW('Consolidado-Eletronorte'!#REF!)-ROW('Consolidado-Eletronorte'!$G$18))</f>
      </c>
      <c r="H31" s="153" t="s">
        <v>10</v>
      </c>
      <c r="I31" s="153" t="s">
        <v>85</v>
      </c>
      <c r="J31" s="153" t="s">
        <v>5</v>
      </c>
      <c r="K31" s="154" t="s">
        <v>39449</v>
      </c>
      <c r="L31" s="153" t="s">
        <v>39456</v>
      </c>
      <c r="M31" s="153" t="s">
        <v>39525</v>
      </c>
      <c r="N31" s="153"/>
      <c r="O31" s="153"/>
      <c r="P31" s="153"/>
      <c r="Q31" s="155" t="s">
        <v>39526</v>
      </c>
      <c r="R31" s="155" t="s">
        <v>39527</v>
      </c>
      <c r="S31" s="153" t="s">
        <v>38378</v>
      </c>
      <c r="T31" s="156">
        <v>0</v>
      </c>
      <c r="U31" s="157">
        <v>0</v>
      </c>
      <c r="V31" s="157">
        <v>0</v>
      </c>
      <c r="W31" s="157">
        <v>0</v>
      </c>
      <c r="X31" s="156">
        <v>0</v>
      </c>
      <c r="Y31" s="156">
        <v>0</v>
      </c>
      <c r="Z31" s="158">
        <v>0</v>
      </c>
      <c r="AA31" s="158">
        <v>0</v>
      </c>
      <c r="AB31" s="158">
        <v>0</v>
      </c>
      <c r="AC31" s="158">
        <v>0</v>
      </c>
      <c r="AD31" s="158">
        <v>0</v>
      </c>
      <c r="AE31" s="158">
        <v>0</v>
      </c>
      <c r="AF31" s="158">
        <f>SUM(Tabela99[[#This Row], [jan/26]:[dez/26]])</f>
      </c>
      <c r="AG31" s="158">
        <v>200000</v>
      </c>
      <c r="AH31" s="158">
        <v>200000</v>
      </c>
      <c r="AI31" s="158">
        <v>0</v>
      </c>
      <c r="AJ31" s="158">
        <v>0</v>
      </c>
      <c r="AK31" s="158">
        <f>SUM(Tabela99[[#This Row], [2026]:[2030]])</f>
      </c>
      <c r="AL31" s="157">
        <v>0</v>
      </c>
      <c r="AM31" s="158">
        <v>0</v>
      </c>
      <c r="AN31" s="158">
        <v>0</v>
      </c>
      <c r="AO31" s="158">
        <v>0</v>
      </c>
      <c r="AP31" s="158">
        <v>0</v>
      </c>
      <c r="AQ31" s="159">
        <f>SUM(Tabela99[[#This Row], [2026-2030]:[2035]])</f>
      </c>
      <c r="AR31" s="1"/>
      <c r="AS31" s="13" t="s">
        <v>39461</v>
      </c>
      <c r="AT31" s="39">
        <v>2025</v>
      </c>
      <c r="AU31" s="13" t="s">
        <v>39528</v>
      </c>
      <c r="AV31" s="160">
        <f>_xlfn.XLOOKUP(Tabela99[[#This Row], [ID de demanda candidata]],'[4]Subproj Consolidado + Delta PE'!#REF!,'[4]Subproj Consolidado + Delta PE'!#REF!,,0,1)</f>
      </c>
      <c r="AW31" s="13" t="s">
        <v>39194</v>
      </c>
      <c r="AX31" s="2"/>
      <c r="AY31" s="2"/>
      <c r="AZ31" s="13" t="s">
        <v>39529</v>
      </c>
    </row>
    <row x14ac:dyDescent="0.25" r="32" customHeight="1" ht="24.75">
      <c r="A32" s="149"/>
      <c r="B32" s="150">
        <f>AND(ISTEXT('Consolidado-Eletronorte'!#REF!),SUM('Consolidado-Eletronorte'!#REF!)&gt;0)</f>
      </c>
      <c r="C32" s="151">
        <f>INDIRECT(SUBSTITUTE($J41&amp;$K41," ",""))</f>
      </c>
      <c r="D32" s="151">
        <f>$H$3</f>
      </c>
      <c r="E32" s="151">
        <f>$H$4</f>
      </c>
      <c r="F32" s="152"/>
      <c r="G32" s="151">
        <f>_xlfn.CONCAT('Consolidado-Eletronorte'!#REF!,"_",ROW('Consolidado-Eletronorte'!#REF!)-ROW('Consolidado-Eletronorte'!$G$18))</f>
      </c>
      <c r="H32" s="153" t="s">
        <v>10</v>
      </c>
      <c r="I32" s="153" t="s">
        <v>85</v>
      </c>
      <c r="J32" s="153" t="s">
        <v>5</v>
      </c>
      <c r="K32" s="154" t="s">
        <v>39449</v>
      </c>
      <c r="L32" s="153" t="s">
        <v>39456</v>
      </c>
      <c r="M32" s="153" t="s">
        <v>39525</v>
      </c>
      <c r="N32" s="153"/>
      <c r="O32" s="153"/>
      <c r="P32" s="153"/>
      <c r="Q32" s="155" t="s">
        <v>39530</v>
      </c>
      <c r="R32" s="155" t="s">
        <v>39531</v>
      </c>
      <c r="S32" s="153" t="s">
        <v>38378</v>
      </c>
      <c r="T32" s="156">
        <v>0</v>
      </c>
      <c r="U32" s="157">
        <v>0</v>
      </c>
      <c r="V32" s="157">
        <v>0</v>
      </c>
      <c r="W32" s="157">
        <v>0</v>
      </c>
      <c r="X32" s="156">
        <v>0</v>
      </c>
      <c r="Y32" s="156">
        <v>0</v>
      </c>
      <c r="Z32" s="158">
        <v>0</v>
      </c>
      <c r="AA32" s="158">
        <v>0</v>
      </c>
      <c r="AB32" s="158">
        <v>0</v>
      </c>
      <c r="AC32" s="158">
        <v>0</v>
      </c>
      <c r="AD32" s="158">
        <v>0</v>
      </c>
      <c r="AE32" s="158">
        <v>0</v>
      </c>
      <c r="AF32" s="158">
        <f>SUM(Tabela99[[#This Row], [jan/26]:[dez/26]])</f>
      </c>
      <c r="AG32" s="158">
        <v>0</v>
      </c>
      <c r="AH32" s="158">
        <v>120000</v>
      </c>
      <c r="AI32" s="158">
        <v>0</v>
      </c>
      <c r="AJ32" s="158">
        <v>0</v>
      </c>
      <c r="AK32" s="158">
        <f>SUM(Tabela99[[#This Row], [2026]:[2030]])</f>
      </c>
      <c r="AL32" s="157">
        <v>0</v>
      </c>
      <c r="AM32" s="158">
        <v>0</v>
      </c>
      <c r="AN32" s="158">
        <v>0</v>
      </c>
      <c r="AO32" s="158">
        <v>0</v>
      </c>
      <c r="AP32" s="158">
        <v>0</v>
      </c>
      <c r="AQ32" s="159">
        <f>SUM(Tabela99[[#This Row], [2026-2030]:[2035]])</f>
      </c>
      <c r="AR32" s="1"/>
      <c r="AS32" s="13" t="s">
        <v>39461</v>
      </c>
      <c r="AT32" s="39">
        <v>2025</v>
      </c>
      <c r="AU32" s="13" t="s">
        <v>39532</v>
      </c>
      <c r="AV32" s="160">
        <f>_xlfn.XLOOKUP(Tabela99[[#This Row], [ID de demanda candidata]],'[4]Subproj Consolidado + Delta PE'!#REF!,'[4]Subproj Consolidado + Delta PE'!#REF!,,0,1)</f>
      </c>
      <c r="AW32" s="13" t="s">
        <v>39194</v>
      </c>
      <c r="AX32" s="2"/>
      <c r="AY32" s="2"/>
      <c r="AZ32" s="13" t="s">
        <v>39529</v>
      </c>
    </row>
    <row x14ac:dyDescent="0.25" r="33" customHeight="1" ht="24.75">
      <c r="A33" s="161"/>
      <c r="B33" s="150">
        <f>AND(ISTEXT('Consolidado-Eletronorte'!#REF!),SUM('Consolidado-Eletronorte'!#REF!)&gt;0)</f>
      </c>
      <c r="C33" s="162">
        <f>INDIRECT(SUBSTITUTE($J42&amp;$K42," ",""))</f>
      </c>
      <c r="D33" s="162">
        <f>$H$3</f>
      </c>
      <c r="E33" s="162">
        <f>$H$4</f>
      </c>
      <c r="F33" s="163"/>
      <c r="G33" s="162">
        <f>_xlfn.CONCAT('Consolidado-Eletronorte'!#REF!,"_",ROW('Consolidado-Eletronorte'!#REF!)-ROW('Consolidado-Eletronorte'!$G$18))</f>
      </c>
      <c r="H33" s="164" t="s">
        <v>10</v>
      </c>
      <c r="I33" s="164" t="s">
        <v>85</v>
      </c>
      <c r="J33" s="164" t="s">
        <v>5</v>
      </c>
      <c r="K33" s="165" t="s">
        <v>39449</v>
      </c>
      <c r="L33" s="164" t="s">
        <v>39456</v>
      </c>
      <c r="M33" s="164" t="s">
        <v>39525</v>
      </c>
      <c r="N33" s="164"/>
      <c r="O33" s="164"/>
      <c r="P33" s="164"/>
      <c r="Q33" s="166" t="s">
        <v>39533</v>
      </c>
      <c r="R33" s="166" t="s">
        <v>39534</v>
      </c>
      <c r="S33" s="164" t="s">
        <v>38378</v>
      </c>
      <c r="T33" s="167">
        <v>0</v>
      </c>
      <c r="U33" s="168">
        <v>0</v>
      </c>
      <c r="V33" s="168">
        <v>0</v>
      </c>
      <c r="W33" s="168">
        <v>0</v>
      </c>
      <c r="X33" s="167">
        <v>0</v>
      </c>
      <c r="Y33" s="167">
        <v>0</v>
      </c>
      <c r="Z33" s="169">
        <v>0</v>
      </c>
      <c r="AA33" s="169">
        <v>0</v>
      </c>
      <c r="AB33" s="169">
        <v>0</v>
      </c>
      <c r="AC33" s="169">
        <v>0</v>
      </c>
      <c r="AD33" s="169">
        <v>0</v>
      </c>
      <c r="AE33" s="169">
        <v>0</v>
      </c>
      <c r="AF33" s="169">
        <f>SUM(Tabela99[[#This Row], [jan/26]:[dez/26]])</f>
      </c>
      <c r="AG33" s="169">
        <v>2000000</v>
      </c>
      <c r="AH33" s="169">
        <v>0</v>
      </c>
      <c r="AI33" s="169">
        <v>0</v>
      </c>
      <c r="AJ33" s="169">
        <v>0</v>
      </c>
      <c r="AK33" s="169">
        <f>SUM(Tabela99[[#This Row], [2026]:[2030]])</f>
      </c>
      <c r="AL33" s="168">
        <v>0</v>
      </c>
      <c r="AM33" s="169">
        <v>0</v>
      </c>
      <c r="AN33" s="169">
        <v>0</v>
      </c>
      <c r="AO33" s="169">
        <v>0</v>
      </c>
      <c r="AP33" s="169">
        <v>0</v>
      </c>
      <c r="AQ33" s="170">
        <f>SUM(Tabela99[[#This Row], [2026-2030]:[2035]])</f>
      </c>
      <c r="AR33" s="1"/>
      <c r="AS33" s="13" t="s">
        <v>39461</v>
      </c>
      <c r="AT33" s="39">
        <v>2025</v>
      </c>
      <c r="AU33" s="13" t="s">
        <v>39535</v>
      </c>
      <c r="AV33" s="160">
        <f>_xlfn.XLOOKUP(Tabela99[[#This Row], [ID de demanda candidata]],'[4]Subproj Consolidado + Delta PE'!#REF!,'[4]Subproj Consolidado + Delta PE'!#REF!,,0,1)</f>
      </c>
      <c r="AW33" s="13" t="s">
        <v>39194</v>
      </c>
      <c r="AX33" s="2"/>
      <c r="AY33" s="2"/>
      <c r="AZ33" s="13" t="s">
        <v>39529</v>
      </c>
    </row>
    <row x14ac:dyDescent="0.25" r="34" customHeight="1" ht="24.75">
      <c r="A34" s="149"/>
      <c r="B34" s="150">
        <f>AND(ISTEXT('Consolidado-Eletronorte'!#REF!),SUM('Consolidado-Eletronorte'!#REF!)&gt;0)</f>
      </c>
      <c r="C34" s="151">
        <f>INDIRECT(SUBSTITUTE($J43&amp;$K43," ",""))</f>
      </c>
      <c r="D34" s="151">
        <f>$H$3</f>
      </c>
      <c r="E34" s="151">
        <f>$H$4</f>
      </c>
      <c r="F34" s="152"/>
      <c r="G34" s="151">
        <f>_xlfn.CONCAT('Consolidado-Eletronorte'!#REF!,"_",ROW('Consolidado-Eletronorte'!#REF!)-ROW('Consolidado-Eletronorte'!$G$18))</f>
      </c>
      <c r="H34" s="153" t="s">
        <v>10</v>
      </c>
      <c r="I34" s="153" t="s">
        <v>85</v>
      </c>
      <c r="J34" s="153" t="s">
        <v>5</v>
      </c>
      <c r="K34" s="154" t="s">
        <v>39449</v>
      </c>
      <c r="L34" s="153" t="s">
        <v>39456</v>
      </c>
      <c r="M34" s="153" t="s">
        <v>39525</v>
      </c>
      <c r="N34" s="153"/>
      <c r="O34" s="153"/>
      <c r="P34" s="153"/>
      <c r="Q34" s="155" t="s">
        <v>39536</v>
      </c>
      <c r="R34" s="155" t="s">
        <v>39537</v>
      </c>
      <c r="S34" s="153" t="s">
        <v>38378</v>
      </c>
      <c r="T34" s="156">
        <v>0</v>
      </c>
      <c r="U34" s="157">
        <v>0</v>
      </c>
      <c r="V34" s="157">
        <v>0</v>
      </c>
      <c r="W34" s="157">
        <v>0</v>
      </c>
      <c r="X34" s="156">
        <v>0</v>
      </c>
      <c r="Y34" s="156">
        <v>0</v>
      </c>
      <c r="Z34" s="158">
        <v>300000</v>
      </c>
      <c r="AA34" s="158">
        <v>300000</v>
      </c>
      <c r="AB34" s="158">
        <v>400000</v>
      </c>
      <c r="AC34" s="158">
        <v>400000</v>
      </c>
      <c r="AD34" s="158">
        <v>300000</v>
      </c>
      <c r="AE34" s="158">
        <v>300000</v>
      </c>
      <c r="AF34" s="158">
        <f>SUM(Tabela99[[#This Row], [jan/26]:[dez/26]])</f>
      </c>
      <c r="AG34" s="158">
        <v>0</v>
      </c>
      <c r="AH34" s="158">
        <v>0</v>
      </c>
      <c r="AI34" s="158">
        <v>0</v>
      </c>
      <c r="AJ34" s="158">
        <v>0</v>
      </c>
      <c r="AK34" s="158">
        <f>SUM(Tabela99[[#This Row], [2026]:[2030]])</f>
      </c>
      <c r="AL34" s="157">
        <v>0</v>
      </c>
      <c r="AM34" s="158">
        <v>0</v>
      </c>
      <c r="AN34" s="158">
        <v>0</v>
      </c>
      <c r="AO34" s="158">
        <v>0</v>
      </c>
      <c r="AP34" s="158">
        <v>0</v>
      </c>
      <c r="AQ34" s="159">
        <f>SUM(Tabela99[[#This Row], [2026-2030]:[2035]])</f>
      </c>
      <c r="AR34" s="1"/>
      <c r="AS34" s="13" t="s">
        <v>39461</v>
      </c>
      <c r="AT34" s="39">
        <v>2025</v>
      </c>
      <c r="AU34" s="13" t="s">
        <v>39538</v>
      </c>
      <c r="AV34" s="160">
        <f>_xlfn.XLOOKUP(Tabela99[[#This Row], [ID de demanda candidata]],'[4]Subproj Consolidado + Delta PE'!#REF!,'[4]Subproj Consolidado + Delta PE'!#REF!,,0,1)</f>
      </c>
      <c r="AW34" s="13" t="s">
        <v>39194</v>
      </c>
      <c r="AX34" s="2"/>
      <c r="AY34" s="2"/>
      <c r="AZ34" s="13" t="s">
        <v>39529</v>
      </c>
    </row>
    <row x14ac:dyDescent="0.25" r="35" customHeight="1" ht="24.75">
      <c r="A35" s="149"/>
      <c r="B35" s="150">
        <f>AND(ISTEXT('Consolidado-Eletronorte'!#REF!),SUM('Consolidado-Eletronorte'!#REF!)&gt;0)</f>
      </c>
      <c r="C35" s="151">
        <f>INDIRECT(SUBSTITUTE($J44&amp;$K44," ",""))</f>
      </c>
      <c r="D35" s="151">
        <f>$H$3</f>
      </c>
      <c r="E35" s="151">
        <f>$H$4</f>
      </c>
      <c r="F35" s="152"/>
      <c r="G35" s="151">
        <f>_xlfn.CONCAT('Consolidado-Eletronorte'!#REF!,"_",ROW('Consolidado-Eletronorte'!#REF!)-ROW('Consolidado-Eletronorte'!$G$18))</f>
      </c>
      <c r="H35" s="153" t="s">
        <v>10</v>
      </c>
      <c r="I35" s="153" t="s">
        <v>85</v>
      </c>
      <c r="J35" s="153" t="s">
        <v>5</v>
      </c>
      <c r="K35" s="154" t="s">
        <v>39449</v>
      </c>
      <c r="L35" s="153" t="s">
        <v>39456</v>
      </c>
      <c r="M35" s="153" t="s">
        <v>39457</v>
      </c>
      <c r="N35" s="153"/>
      <c r="O35" s="153"/>
      <c r="P35" s="153"/>
      <c r="Q35" s="155" t="s">
        <v>39539</v>
      </c>
      <c r="R35" s="155" t="s">
        <v>39540</v>
      </c>
      <c r="S35" s="153" t="s">
        <v>39460</v>
      </c>
      <c r="T35" s="156">
        <v>0</v>
      </c>
      <c r="U35" s="157">
        <v>0</v>
      </c>
      <c r="V35" s="157">
        <v>0</v>
      </c>
      <c r="W35" s="157">
        <v>200000</v>
      </c>
      <c r="X35" s="156">
        <v>200000</v>
      </c>
      <c r="Y35" s="156">
        <v>250000</v>
      </c>
      <c r="Z35" s="158">
        <v>0</v>
      </c>
      <c r="AA35" s="158">
        <v>0</v>
      </c>
      <c r="AB35" s="158">
        <v>0</v>
      </c>
      <c r="AC35" s="158">
        <v>0</v>
      </c>
      <c r="AD35" s="158">
        <v>0</v>
      </c>
      <c r="AE35" s="158">
        <v>0</v>
      </c>
      <c r="AF35" s="158">
        <f>SUM(Tabela99[[#This Row], [jan/26]:[dez/26]])</f>
      </c>
      <c r="AG35" s="158">
        <v>0</v>
      </c>
      <c r="AH35" s="158">
        <v>0</v>
      </c>
      <c r="AI35" s="158">
        <v>0</v>
      </c>
      <c r="AJ35" s="158">
        <v>0</v>
      </c>
      <c r="AK35" s="158">
        <f>SUM(Tabela99[[#This Row], [2026]:[2030]])</f>
      </c>
      <c r="AL35" s="157">
        <v>0</v>
      </c>
      <c r="AM35" s="158">
        <v>0</v>
      </c>
      <c r="AN35" s="158">
        <v>0</v>
      </c>
      <c r="AO35" s="158">
        <v>0</v>
      </c>
      <c r="AP35" s="158">
        <v>0</v>
      </c>
      <c r="AQ35" s="159">
        <f>SUM(Tabela99[[#This Row], [2026-2030]:[2035]])</f>
      </c>
      <c r="AR35" s="1"/>
      <c r="AS35" s="13" t="s">
        <v>39461</v>
      </c>
      <c r="AT35" s="39">
        <v>2025</v>
      </c>
      <c r="AU35" s="13" t="s">
        <v>39541</v>
      </c>
      <c r="AV35" s="160">
        <f>_xlfn.XLOOKUP(Tabela99[[#This Row], [ID de demanda candidata]],'[4]Subproj Consolidado + Delta PE'!#REF!,'[4]Subproj Consolidado + Delta PE'!#REF!,,0,1)</f>
      </c>
      <c r="AW35" s="13" t="s">
        <v>46</v>
      </c>
      <c r="AX35" s="2"/>
      <c r="AY35" s="2"/>
      <c r="AZ35" s="13" t="s">
        <v>39463</v>
      </c>
    </row>
    <row x14ac:dyDescent="0.25" r="36" customHeight="1" ht="24.75">
      <c r="A36" s="149"/>
      <c r="B36" s="150">
        <f>AND(ISTEXT('Consolidado-Eletronorte'!#REF!),SUM('Consolidado-Eletronorte'!#REF!)&gt;0)</f>
      </c>
      <c r="C36" s="151">
        <f>INDIRECT(SUBSTITUTE($J45&amp;$K45," ",""))</f>
      </c>
      <c r="D36" s="151">
        <f>$H$3</f>
      </c>
      <c r="E36" s="151">
        <f>$H$4</f>
      </c>
      <c r="F36" s="152"/>
      <c r="G36" s="151">
        <f>_xlfn.CONCAT('Consolidado-Eletronorte'!#REF!,"_",ROW('Consolidado-Eletronorte'!#REF!)-ROW('Consolidado-Eletronorte'!$G$18))</f>
      </c>
      <c r="H36" s="153" t="s">
        <v>10</v>
      </c>
      <c r="I36" s="153" t="s">
        <v>85</v>
      </c>
      <c r="J36" s="153" t="s">
        <v>5</v>
      </c>
      <c r="K36" s="154" t="s">
        <v>39449</v>
      </c>
      <c r="L36" s="153" t="s">
        <v>39456</v>
      </c>
      <c r="M36" s="153" t="s">
        <v>39457</v>
      </c>
      <c r="N36" s="153"/>
      <c r="O36" s="153"/>
      <c r="P36" s="153"/>
      <c r="Q36" s="155" t="s">
        <v>39542</v>
      </c>
      <c r="R36" s="155" t="s">
        <v>39542</v>
      </c>
      <c r="S36" s="153" t="s">
        <v>39460</v>
      </c>
      <c r="T36" s="156">
        <v>0</v>
      </c>
      <c r="U36" s="157">
        <v>700000</v>
      </c>
      <c r="V36" s="157">
        <v>0</v>
      </c>
      <c r="W36" s="157">
        <v>0</v>
      </c>
      <c r="X36" s="156">
        <v>0</v>
      </c>
      <c r="Y36" s="156">
        <v>0</v>
      </c>
      <c r="Z36" s="158">
        <v>0</v>
      </c>
      <c r="AA36" s="158">
        <v>0</v>
      </c>
      <c r="AB36" s="158">
        <v>0</v>
      </c>
      <c r="AC36" s="158">
        <v>0</v>
      </c>
      <c r="AD36" s="158">
        <v>0</v>
      </c>
      <c r="AE36" s="158">
        <v>0</v>
      </c>
      <c r="AF36" s="158">
        <f>SUM(Tabela99[[#This Row], [jan/26]:[dez/26]])</f>
      </c>
      <c r="AG36" s="158">
        <v>0</v>
      </c>
      <c r="AH36" s="158">
        <v>0</v>
      </c>
      <c r="AI36" s="158">
        <v>0</v>
      </c>
      <c r="AJ36" s="158">
        <v>0</v>
      </c>
      <c r="AK36" s="158">
        <f>SUM(Tabela99[[#This Row], [2026]:[2030]])</f>
      </c>
      <c r="AL36" s="157">
        <v>0</v>
      </c>
      <c r="AM36" s="158">
        <v>0</v>
      </c>
      <c r="AN36" s="158">
        <v>0</v>
      </c>
      <c r="AO36" s="158">
        <v>0</v>
      </c>
      <c r="AP36" s="158">
        <v>0</v>
      </c>
      <c r="AQ36" s="159">
        <f>SUM(Tabela99[[#This Row], [2026-2030]:[2035]])</f>
      </c>
      <c r="AR36" s="1"/>
      <c r="AS36" s="13" t="s">
        <v>39453</v>
      </c>
      <c r="AT36" s="39">
        <v>2025</v>
      </c>
      <c r="AU36" s="160">
        <f>_xlfn.XLOOKUP(Tabela99[[#This Row], [ID Financeiro]],'[4]Subproj Consolidado + Delta PE'!#REF!,'[4]Subproj Consolidado + Delta PE'!#REF!,,0,1)</f>
      </c>
      <c r="AV36" s="13" t="s">
        <v>39543</v>
      </c>
      <c r="AW36" s="13" t="s">
        <v>39116</v>
      </c>
      <c r="AX36" s="2"/>
      <c r="AY36" s="2"/>
      <c r="AZ36" s="13" t="s">
        <v>39469</v>
      </c>
    </row>
    <row x14ac:dyDescent="0.25" r="37" customHeight="1" ht="24.75">
      <c r="A37" s="161"/>
      <c r="B37" s="150">
        <f>AND(ISTEXT('Consolidado-Eletronorte'!#REF!),SUM('Consolidado-Eletronorte'!#REF!)&gt;0)</f>
      </c>
      <c r="C37" s="162">
        <f>INDIRECT(SUBSTITUTE($J46&amp;$K46," ",""))</f>
      </c>
      <c r="D37" s="162">
        <f>$H$3</f>
      </c>
      <c r="E37" s="162">
        <f>$H$4</f>
      </c>
      <c r="F37" s="163"/>
      <c r="G37" s="162">
        <f>_xlfn.CONCAT('Consolidado-Eletronorte'!#REF!,"_",ROW('Consolidado-Eletronorte'!#REF!)-ROW('Consolidado-Eletronorte'!$G$18))</f>
      </c>
      <c r="H37" s="164" t="s">
        <v>10</v>
      </c>
      <c r="I37" s="164" t="s">
        <v>85</v>
      </c>
      <c r="J37" s="164" t="s">
        <v>5</v>
      </c>
      <c r="K37" s="165" t="s">
        <v>39449</v>
      </c>
      <c r="L37" s="164" t="s">
        <v>39456</v>
      </c>
      <c r="M37" s="164" t="s">
        <v>39466</v>
      </c>
      <c r="N37" s="164"/>
      <c r="O37" s="164"/>
      <c r="P37" s="164"/>
      <c r="Q37" s="166" t="s">
        <v>39544</v>
      </c>
      <c r="R37" s="166" t="s">
        <v>39544</v>
      </c>
      <c r="S37" s="164" t="s">
        <v>38374</v>
      </c>
      <c r="T37" s="167">
        <v>0</v>
      </c>
      <c r="U37" s="168">
        <v>0</v>
      </c>
      <c r="V37" s="168">
        <v>372906</v>
      </c>
      <c r="W37" s="168">
        <v>0</v>
      </c>
      <c r="X37" s="167">
        <v>0</v>
      </c>
      <c r="Y37" s="167">
        <v>0</v>
      </c>
      <c r="Z37" s="169">
        <v>0</v>
      </c>
      <c r="AA37" s="169">
        <v>0</v>
      </c>
      <c r="AB37" s="169">
        <v>372906</v>
      </c>
      <c r="AC37" s="169">
        <v>0</v>
      </c>
      <c r="AD37" s="169">
        <v>32644</v>
      </c>
      <c r="AE37" s="169">
        <v>1931250</v>
      </c>
      <c r="AF37" s="169">
        <f>SUM(Tabela99[[#This Row], [jan/26]:[dez/26]])</f>
      </c>
      <c r="AG37" s="169">
        <v>802963</v>
      </c>
      <c r="AH37" s="169">
        <v>0</v>
      </c>
      <c r="AI37" s="169">
        <v>0</v>
      </c>
      <c r="AJ37" s="169">
        <v>0</v>
      </c>
      <c r="AK37" s="169">
        <f>SUM(Tabela99[[#This Row], [2026]:[2030]])</f>
      </c>
      <c r="AL37" s="168">
        <v>0</v>
      </c>
      <c r="AM37" s="169">
        <v>0</v>
      </c>
      <c r="AN37" s="169">
        <v>0</v>
      </c>
      <c r="AO37" s="169">
        <v>0</v>
      </c>
      <c r="AP37" s="169">
        <v>0</v>
      </c>
      <c r="AQ37" s="170">
        <f>SUM(Tabela99[[#This Row], [2026-2030]:[2035]])</f>
      </c>
      <c r="AR37" s="1"/>
      <c r="AS37" s="13" t="s">
        <v>39453</v>
      </c>
      <c r="AT37" s="39">
        <v>2025</v>
      </c>
      <c r="AU37" s="160">
        <f>_xlfn.XLOOKUP(Tabela99[[#This Row], [ID Financeiro]],'[4]Subproj Consolidado + Delta PE'!#REF!,'[4]Subproj Consolidado + Delta PE'!#REF!,,0,1)</f>
      </c>
      <c r="AV37" s="13" t="s">
        <v>39545</v>
      </c>
      <c r="AW37" s="13" t="s">
        <v>46</v>
      </c>
      <c r="AX37" s="2"/>
      <c r="AY37" s="2"/>
      <c r="AZ37" s="13" t="s">
        <v>39496</v>
      </c>
    </row>
    <row x14ac:dyDescent="0.25" r="38" customHeight="1" ht="24.75">
      <c r="A38" s="149"/>
      <c r="B38" s="150">
        <f>AND(ISTEXT('Consolidado-Eletronorte'!#REF!),SUM('Consolidado-Eletronorte'!#REF!)&gt;0)</f>
      </c>
      <c r="C38" s="151">
        <f>INDIRECT(SUBSTITUTE($J47&amp;$K47," ",""))</f>
      </c>
      <c r="D38" s="151">
        <f>$H$3</f>
      </c>
      <c r="E38" s="151">
        <f>$H$4</f>
      </c>
      <c r="F38" s="152"/>
      <c r="G38" s="151">
        <f>_xlfn.CONCAT('Consolidado-Eletronorte'!#REF!,"_",ROW('Consolidado-Eletronorte'!#REF!)-ROW('Consolidado-Eletronorte'!$G$18))</f>
      </c>
      <c r="H38" s="153" t="s">
        <v>10</v>
      </c>
      <c r="I38" s="153" t="s">
        <v>85</v>
      </c>
      <c r="J38" s="153" t="s">
        <v>5</v>
      </c>
      <c r="K38" s="154" t="s">
        <v>39449</v>
      </c>
      <c r="L38" s="153" t="s">
        <v>39456</v>
      </c>
      <c r="M38" s="153" t="s">
        <v>39512</v>
      </c>
      <c r="N38" s="153"/>
      <c r="O38" s="153"/>
      <c r="P38" s="153"/>
      <c r="Q38" s="155" t="s">
        <v>39546</v>
      </c>
      <c r="R38" s="155" t="s">
        <v>39547</v>
      </c>
      <c r="S38" s="153" t="s">
        <v>39460</v>
      </c>
      <c r="T38" s="156">
        <v>0</v>
      </c>
      <c r="U38" s="157">
        <v>0</v>
      </c>
      <c r="V38" s="157">
        <v>0</v>
      </c>
      <c r="W38" s="157">
        <v>0</v>
      </c>
      <c r="X38" s="156">
        <v>0</v>
      </c>
      <c r="Y38" s="156">
        <v>0</v>
      </c>
      <c r="Z38" s="158">
        <v>0</v>
      </c>
      <c r="AA38" s="158">
        <v>0</v>
      </c>
      <c r="AB38" s="158">
        <v>0</v>
      </c>
      <c r="AC38" s="158">
        <v>0</v>
      </c>
      <c r="AD38" s="158">
        <v>0</v>
      </c>
      <c r="AE38" s="158">
        <v>0</v>
      </c>
      <c r="AF38" s="158">
        <f>SUM(Tabela99[[#This Row], [jan/26]:[dez/26]])</f>
      </c>
      <c r="AG38" s="158">
        <v>500000</v>
      </c>
      <c r="AH38" s="158">
        <v>0</v>
      </c>
      <c r="AI38" s="158">
        <v>0</v>
      </c>
      <c r="AJ38" s="158">
        <v>0</v>
      </c>
      <c r="AK38" s="158">
        <f>SUM(Tabela99[[#This Row], [2026]:[2030]])</f>
      </c>
      <c r="AL38" s="157">
        <v>0</v>
      </c>
      <c r="AM38" s="158">
        <v>0</v>
      </c>
      <c r="AN38" s="158">
        <v>0</v>
      </c>
      <c r="AO38" s="158">
        <v>0</v>
      </c>
      <c r="AP38" s="158">
        <v>0</v>
      </c>
      <c r="AQ38" s="159">
        <f>SUM(Tabela99[[#This Row], [2026-2030]:[2035]])</f>
      </c>
      <c r="AR38" s="1"/>
      <c r="AS38" s="13" t="s">
        <v>39461</v>
      </c>
      <c r="AT38" s="39">
        <v>2025</v>
      </c>
      <c r="AU38" s="13" t="s">
        <v>39548</v>
      </c>
      <c r="AV38" s="160">
        <f>_xlfn.XLOOKUP(Tabela99[[#This Row], [ID de demanda candidata]],'[4]Subproj Consolidado + Delta PE'!#REF!,'[4]Subproj Consolidado + Delta PE'!#REF!,,0,1)</f>
      </c>
      <c r="AW38" s="13" t="s">
        <v>39194</v>
      </c>
      <c r="AX38" s="2"/>
      <c r="AY38" s="2"/>
      <c r="AZ38" s="13" t="s">
        <v>39463</v>
      </c>
    </row>
    <row x14ac:dyDescent="0.25" r="39" customHeight="1" ht="24.75">
      <c r="A39" s="149"/>
      <c r="B39" s="150">
        <f>AND(ISTEXT('Consolidado-Eletronorte'!#REF!),SUM('Consolidado-Eletronorte'!#REF!)&gt;0)</f>
      </c>
      <c r="C39" s="151">
        <f>INDIRECT(SUBSTITUTE($J48&amp;$K48," ",""))</f>
      </c>
      <c r="D39" s="151">
        <f>$H$3</f>
      </c>
      <c r="E39" s="151">
        <f>$H$4</f>
      </c>
      <c r="F39" s="152"/>
      <c r="G39" s="151">
        <f>_xlfn.CONCAT('Consolidado-Eletronorte'!#REF!,"_",ROW('Consolidado-Eletronorte'!#REF!)-ROW('Consolidado-Eletronorte'!$G$18))</f>
      </c>
      <c r="H39" s="153" t="s">
        <v>10</v>
      </c>
      <c r="I39" s="153" t="s">
        <v>85</v>
      </c>
      <c r="J39" s="153" t="s">
        <v>5</v>
      </c>
      <c r="K39" s="154" t="s">
        <v>39449</v>
      </c>
      <c r="L39" s="153" t="s">
        <v>39456</v>
      </c>
      <c r="M39" s="153" t="s">
        <v>39457</v>
      </c>
      <c r="N39" s="153"/>
      <c r="O39" s="153"/>
      <c r="P39" s="153"/>
      <c r="Q39" s="155" t="s">
        <v>39549</v>
      </c>
      <c r="R39" s="155" t="s">
        <v>39549</v>
      </c>
      <c r="S39" s="153" t="s">
        <v>39460</v>
      </c>
      <c r="T39" s="156">
        <v>0</v>
      </c>
      <c r="U39" s="157">
        <v>0</v>
      </c>
      <c r="V39" s="157">
        <v>0</v>
      </c>
      <c r="W39" s="157">
        <v>0</v>
      </c>
      <c r="X39" s="156">
        <v>0</v>
      </c>
      <c r="Y39" s="156">
        <v>0</v>
      </c>
      <c r="Z39" s="158">
        <v>0</v>
      </c>
      <c r="AA39" s="158">
        <v>0</v>
      </c>
      <c r="AB39" s="158">
        <v>0</v>
      </c>
      <c r="AC39" s="158">
        <v>0</v>
      </c>
      <c r="AD39" s="158">
        <v>0</v>
      </c>
      <c r="AE39" s="158">
        <v>1000000</v>
      </c>
      <c r="AF39" s="158">
        <f>SUM(Tabela99[[#This Row], [jan/26]:[dez/26]])</f>
      </c>
      <c r="AG39" s="158">
        <v>0</v>
      </c>
      <c r="AH39" s="158">
        <v>0</v>
      </c>
      <c r="AI39" s="158">
        <v>0</v>
      </c>
      <c r="AJ39" s="158">
        <v>0</v>
      </c>
      <c r="AK39" s="158">
        <f>SUM(Tabela99[[#This Row], [2026]:[2030]])</f>
      </c>
      <c r="AL39" s="157">
        <v>0</v>
      </c>
      <c r="AM39" s="158">
        <v>0</v>
      </c>
      <c r="AN39" s="158">
        <v>0</v>
      </c>
      <c r="AO39" s="158">
        <v>0</v>
      </c>
      <c r="AP39" s="158">
        <v>0</v>
      </c>
      <c r="AQ39" s="159">
        <f>SUM(Tabela99[[#This Row], [2026-2030]:[2035]])</f>
      </c>
      <c r="AR39" s="1"/>
      <c r="AS39" s="13" t="s">
        <v>39453</v>
      </c>
      <c r="AT39" s="39">
        <v>2025</v>
      </c>
      <c r="AU39" s="160">
        <f>_xlfn.XLOOKUP(Tabela99[[#This Row], [ID Financeiro]],'[4]Subproj Consolidado + Delta PE'!#REF!,'[4]Subproj Consolidado + Delta PE'!#REF!,,0,1)</f>
      </c>
      <c r="AV39" s="13" t="s">
        <v>39550</v>
      </c>
      <c r="AW39" s="13" t="s">
        <v>39194</v>
      </c>
      <c r="AX39" s="2"/>
      <c r="AY39" s="2"/>
      <c r="AZ39" s="13" t="s">
        <v>39469</v>
      </c>
    </row>
    <row x14ac:dyDescent="0.25" r="40" customHeight="1" ht="24.75">
      <c r="A40" s="149"/>
      <c r="B40" s="150">
        <f>AND(ISTEXT('Consolidado-Eletronorte'!#REF!),SUM('Consolidado-Eletronorte'!#REF!)&gt;0)</f>
      </c>
      <c r="C40" s="151">
        <f>INDIRECT(SUBSTITUTE($J49&amp;$K49," ",""))</f>
      </c>
      <c r="D40" s="151">
        <f>$H$3</f>
      </c>
      <c r="E40" s="151">
        <f>$H$4</f>
      </c>
      <c r="F40" s="152"/>
      <c r="G40" s="151">
        <f>_xlfn.CONCAT('Consolidado-Eletronorte'!#REF!,"_",ROW('Consolidado-Eletronorte'!#REF!)-ROW('Consolidado-Eletronorte'!$G$18))</f>
      </c>
      <c r="H40" s="153" t="s">
        <v>10</v>
      </c>
      <c r="I40" s="153" t="s">
        <v>85</v>
      </c>
      <c r="J40" s="153" t="s">
        <v>5</v>
      </c>
      <c r="K40" s="154" t="s">
        <v>39449</v>
      </c>
      <c r="L40" s="153" t="s">
        <v>39456</v>
      </c>
      <c r="M40" s="153" t="s">
        <v>39525</v>
      </c>
      <c r="N40" s="153"/>
      <c r="O40" s="153"/>
      <c r="P40" s="153"/>
      <c r="Q40" s="155" t="s">
        <v>39551</v>
      </c>
      <c r="R40" s="155" t="s">
        <v>39552</v>
      </c>
      <c r="S40" s="153" t="s">
        <v>38378</v>
      </c>
      <c r="T40" s="156">
        <v>0</v>
      </c>
      <c r="U40" s="157">
        <v>0</v>
      </c>
      <c r="V40" s="157">
        <v>0</v>
      </c>
      <c r="W40" s="157">
        <v>0</v>
      </c>
      <c r="X40" s="156">
        <v>100000</v>
      </c>
      <c r="Y40" s="156">
        <v>100000</v>
      </c>
      <c r="Z40" s="158">
        <v>150000</v>
      </c>
      <c r="AA40" s="158">
        <v>150000</v>
      </c>
      <c r="AB40" s="158">
        <v>100000</v>
      </c>
      <c r="AC40" s="158">
        <v>0</v>
      </c>
      <c r="AD40" s="158">
        <v>0</v>
      </c>
      <c r="AE40" s="158">
        <v>0</v>
      </c>
      <c r="AF40" s="158">
        <f>SUM(Tabela99[[#This Row], [jan/26]:[dez/26]])</f>
      </c>
      <c r="AG40" s="158">
        <v>0</v>
      </c>
      <c r="AH40" s="158">
        <v>0</v>
      </c>
      <c r="AI40" s="158">
        <v>0</v>
      </c>
      <c r="AJ40" s="158">
        <v>0</v>
      </c>
      <c r="AK40" s="158">
        <f>SUM(Tabela99[[#This Row], [2026]:[2030]])</f>
      </c>
      <c r="AL40" s="157">
        <v>0</v>
      </c>
      <c r="AM40" s="158">
        <v>0</v>
      </c>
      <c r="AN40" s="158">
        <v>0</v>
      </c>
      <c r="AO40" s="158">
        <v>0</v>
      </c>
      <c r="AP40" s="158">
        <v>0</v>
      </c>
      <c r="AQ40" s="159">
        <f>SUM(Tabela99[[#This Row], [2026-2030]:[2035]])</f>
      </c>
      <c r="AR40" s="1"/>
      <c r="AS40" s="13" t="s">
        <v>39461</v>
      </c>
      <c r="AT40" s="39">
        <v>2025</v>
      </c>
      <c r="AU40" s="13" t="s">
        <v>39553</v>
      </c>
      <c r="AV40" s="160">
        <f>_xlfn.XLOOKUP(Tabela99[[#This Row], [ID de demanda candidata]],'[4]Subproj Consolidado + Delta PE'!#REF!,'[4]Subproj Consolidado + Delta PE'!#REF!,,0,1)</f>
      </c>
      <c r="AW40" s="13" t="s">
        <v>39194</v>
      </c>
      <c r="AX40" s="2"/>
      <c r="AY40" s="2"/>
      <c r="AZ40" s="13" t="s">
        <v>39529</v>
      </c>
    </row>
    <row x14ac:dyDescent="0.25" r="41" customHeight="1" ht="24.75">
      <c r="A41" s="149"/>
      <c r="B41" s="150">
        <f>AND(ISTEXT('Consolidado-Eletronorte'!#REF!),SUM('Consolidado-Eletronorte'!#REF!)&gt;0)</f>
      </c>
      <c r="C41" s="151">
        <f>INDIRECT(SUBSTITUTE($J50&amp;$K50," ",""))</f>
      </c>
      <c r="D41" s="151">
        <f>$H$3</f>
      </c>
      <c r="E41" s="151">
        <f>$H$4</f>
      </c>
      <c r="F41" s="152"/>
      <c r="G41" s="151">
        <f>_xlfn.CONCAT('Consolidado-Eletronorte'!#REF!,"_",ROW('Consolidado-Eletronorte'!#REF!)-ROW('Consolidado-Eletronorte'!$G$18))</f>
      </c>
      <c r="H41" s="153" t="s">
        <v>10</v>
      </c>
      <c r="I41" s="153" t="s">
        <v>85</v>
      </c>
      <c r="J41" s="153" t="s">
        <v>5</v>
      </c>
      <c r="K41" s="154" t="s">
        <v>39449</v>
      </c>
      <c r="L41" s="153" t="s">
        <v>39456</v>
      </c>
      <c r="M41" s="153" t="s">
        <v>39525</v>
      </c>
      <c r="N41" s="153"/>
      <c r="O41" s="153"/>
      <c r="P41" s="153"/>
      <c r="Q41" s="155" t="s">
        <v>39554</v>
      </c>
      <c r="R41" s="155" t="s">
        <v>39555</v>
      </c>
      <c r="S41" s="153" t="s">
        <v>38378</v>
      </c>
      <c r="T41" s="156">
        <v>0</v>
      </c>
      <c r="U41" s="157">
        <v>0</v>
      </c>
      <c r="V41" s="157">
        <v>0</v>
      </c>
      <c r="W41" s="157">
        <v>0</v>
      </c>
      <c r="X41" s="156">
        <v>100000</v>
      </c>
      <c r="Y41" s="156">
        <v>100000</v>
      </c>
      <c r="Z41" s="158">
        <v>100000</v>
      </c>
      <c r="AA41" s="158">
        <v>100000</v>
      </c>
      <c r="AB41" s="158">
        <v>100000</v>
      </c>
      <c r="AC41" s="158">
        <v>0</v>
      </c>
      <c r="AD41" s="158">
        <v>0</v>
      </c>
      <c r="AE41" s="158">
        <v>0</v>
      </c>
      <c r="AF41" s="158">
        <f>SUM(Tabela99[[#This Row], [jan/26]:[dez/26]])</f>
      </c>
      <c r="AG41" s="158">
        <v>0</v>
      </c>
      <c r="AH41" s="158">
        <v>0</v>
      </c>
      <c r="AI41" s="158">
        <v>0</v>
      </c>
      <c r="AJ41" s="158">
        <v>0</v>
      </c>
      <c r="AK41" s="158">
        <f>SUM(Tabela99[[#This Row], [2026]:[2030]])</f>
      </c>
      <c r="AL41" s="157">
        <v>0</v>
      </c>
      <c r="AM41" s="158">
        <v>0</v>
      </c>
      <c r="AN41" s="158">
        <v>0</v>
      </c>
      <c r="AO41" s="158">
        <v>0</v>
      </c>
      <c r="AP41" s="158">
        <v>0</v>
      </c>
      <c r="AQ41" s="159">
        <f>SUM(Tabela99[[#This Row], [2026-2030]:[2035]])</f>
      </c>
      <c r="AR41" s="1"/>
      <c r="AS41" s="13" t="s">
        <v>39461</v>
      </c>
      <c r="AT41" s="39">
        <v>2025</v>
      </c>
      <c r="AU41" s="13" t="s">
        <v>39556</v>
      </c>
      <c r="AV41" s="160">
        <f>_xlfn.XLOOKUP(Tabela99[[#This Row], [ID de demanda candidata]],'[4]Subproj Consolidado + Delta PE'!#REF!,'[4]Subproj Consolidado + Delta PE'!#REF!,,0,1)</f>
      </c>
      <c r="AW41" s="13" t="s">
        <v>39194</v>
      </c>
      <c r="AX41" s="2"/>
      <c r="AY41" s="2"/>
      <c r="AZ41" s="13" t="s">
        <v>39529</v>
      </c>
    </row>
    <row x14ac:dyDescent="0.25" r="42" customHeight="1" ht="24.75">
      <c r="A42" s="161"/>
      <c r="B42" s="150">
        <f>AND(ISTEXT('Consolidado-Eletronorte'!#REF!),SUM('Consolidado-Eletronorte'!#REF!)&gt;0)</f>
      </c>
      <c r="C42" s="162">
        <f>INDIRECT(SUBSTITUTE($J51&amp;$K51," ",""))</f>
      </c>
      <c r="D42" s="162">
        <f>$H$3</f>
      </c>
      <c r="E42" s="162">
        <f>$H$4</f>
      </c>
      <c r="F42" s="163"/>
      <c r="G42" s="162">
        <f>_xlfn.CONCAT('Consolidado-Eletronorte'!#REF!,"_",ROW('Consolidado-Eletronorte'!#REF!)-ROW('Consolidado-Eletronorte'!$G$18))</f>
      </c>
      <c r="H42" s="164" t="s">
        <v>10</v>
      </c>
      <c r="I42" s="164" t="s">
        <v>85</v>
      </c>
      <c r="J42" s="164" t="s">
        <v>5</v>
      </c>
      <c r="K42" s="165" t="s">
        <v>39449</v>
      </c>
      <c r="L42" s="164" t="s">
        <v>39456</v>
      </c>
      <c r="M42" s="164" t="s">
        <v>39512</v>
      </c>
      <c r="N42" s="164"/>
      <c r="O42" s="164"/>
      <c r="P42" s="164"/>
      <c r="Q42" s="166" t="s">
        <v>39557</v>
      </c>
      <c r="R42" s="166" t="s">
        <v>39558</v>
      </c>
      <c r="S42" s="164" t="s">
        <v>39460</v>
      </c>
      <c r="T42" s="167">
        <v>0</v>
      </c>
      <c r="U42" s="168">
        <v>0</v>
      </c>
      <c r="V42" s="168">
        <v>0</v>
      </c>
      <c r="W42" s="168">
        <v>0</v>
      </c>
      <c r="X42" s="167">
        <v>0</v>
      </c>
      <c r="Y42" s="167">
        <v>0</v>
      </c>
      <c r="Z42" s="169">
        <v>0</v>
      </c>
      <c r="AA42" s="169">
        <v>0</v>
      </c>
      <c r="AB42" s="169">
        <v>0</v>
      </c>
      <c r="AC42" s="169">
        <v>0</v>
      </c>
      <c r="AD42" s="169">
        <v>0</v>
      </c>
      <c r="AE42" s="169">
        <v>0</v>
      </c>
      <c r="AF42" s="169">
        <f>SUM(Tabela99[[#This Row], [jan/26]:[dez/26]])</f>
      </c>
      <c r="AG42" s="169">
        <v>5000000</v>
      </c>
      <c r="AH42" s="169">
        <v>0</v>
      </c>
      <c r="AI42" s="169">
        <v>0</v>
      </c>
      <c r="AJ42" s="169">
        <v>0</v>
      </c>
      <c r="AK42" s="169">
        <f>SUM(Tabela99[[#This Row], [2026]:[2030]])</f>
      </c>
      <c r="AL42" s="168">
        <v>0</v>
      </c>
      <c r="AM42" s="169">
        <v>0</v>
      </c>
      <c r="AN42" s="169">
        <v>0</v>
      </c>
      <c r="AO42" s="169">
        <v>0</v>
      </c>
      <c r="AP42" s="169">
        <v>0</v>
      </c>
      <c r="AQ42" s="170">
        <f>SUM(Tabela99[[#This Row], [2026-2030]:[2035]])</f>
      </c>
      <c r="AR42" s="1"/>
      <c r="AS42" s="13" t="s">
        <v>39461</v>
      </c>
      <c r="AT42" s="39">
        <v>2025</v>
      </c>
      <c r="AU42" s="13" t="s">
        <v>39559</v>
      </c>
      <c r="AV42" s="1"/>
      <c r="AW42" s="13" t="s">
        <v>39194</v>
      </c>
      <c r="AX42" s="2"/>
      <c r="AY42" s="2"/>
      <c r="AZ42" s="13" t="s">
        <v>39463</v>
      </c>
    </row>
    <row x14ac:dyDescent="0.25" r="43" customHeight="1" ht="24.75">
      <c r="A43" s="175"/>
      <c r="B43" s="176">
        <f>AND(ISTEXT('Consolidado-Eletronorte'!#REF!),SUM('Consolidado-Eletronorte'!#REF!)&gt;0)</f>
      </c>
      <c r="C43" s="177">
        <f>INDIRECT(SUBSTITUTE($J52&amp;$K52," ",""))</f>
      </c>
      <c r="D43" s="177">
        <f>$H$3</f>
      </c>
      <c r="E43" s="177">
        <f>$H$4</f>
      </c>
      <c r="F43" s="178"/>
      <c r="G43" s="177">
        <f>_xlfn.CONCAT('Consolidado-Eletronorte'!#REF!,"_",ROW('Consolidado-Eletronorte'!#REF!)-ROW('Consolidado-Eletronorte'!$G$18))</f>
      </c>
      <c r="H43" s="179" t="s">
        <v>10</v>
      </c>
      <c r="I43" s="179" t="s">
        <v>85</v>
      </c>
      <c r="J43" s="179" t="s">
        <v>5</v>
      </c>
      <c r="K43" s="180" t="s">
        <v>39449</v>
      </c>
      <c r="L43" s="179" t="s">
        <v>39456</v>
      </c>
      <c r="M43" s="179" t="s">
        <v>39512</v>
      </c>
      <c r="N43" s="179"/>
      <c r="O43" s="179"/>
      <c r="P43" s="153"/>
      <c r="Q43" s="181" t="s">
        <v>39560</v>
      </c>
      <c r="R43" s="181" t="s">
        <v>39561</v>
      </c>
      <c r="S43" s="179" t="s">
        <v>39460</v>
      </c>
      <c r="T43" s="182">
        <v>0</v>
      </c>
      <c r="U43" s="183">
        <v>0</v>
      </c>
      <c r="V43" s="183">
        <v>0</v>
      </c>
      <c r="W43" s="183">
        <v>0</v>
      </c>
      <c r="X43" s="182">
        <v>0</v>
      </c>
      <c r="Y43" s="182">
        <v>0</v>
      </c>
      <c r="Z43" s="184">
        <v>0</v>
      </c>
      <c r="AA43" s="184">
        <v>0</v>
      </c>
      <c r="AB43" s="184">
        <v>0</v>
      </c>
      <c r="AC43" s="184">
        <v>0</v>
      </c>
      <c r="AD43" s="184">
        <v>0</v>
      </c>
      <c r="AE43" s="184">
        <v>0</v>
      </c>
      <c r="AF43" s="184">
        <f>SUM(Tabela99[[#This Row], [jan/26]:[dez/26]])</f>
      </c>
      <c r="AG43" s="184">
        <v>800000</v>
      </c>
      <c r="AH43" s="184">
        <v>0</v>
      </c>
      <c r="AI43" s="184">
        <v>0</v>
      </c>
      <c r="AJ43" s="184">
        <v>0</v>
      </c>
      <c r="AK43" s="184">
        <f>SUM(Tabela99[[#This Row], [2026]:[2030]])</f>
      </c>
      <c r="AL43" s="183">
        <v>0</v>
      </c>
      <c r="AM43" s="184">
        <v>0</v>
      </c>
      <c r="AN43" s="184">
        <v>0</v>
      </c>
      <c r="AO43" s="184">
        <v>0</v>
      </c>
      <c r="AP43" s="184">
        <v>0</v>
      </c>
      <c r="AQ43" s="185">
        <f>SUM(Tabela99[[#This Row], [2026-2030]:[2035]])</f>
      </c>
      <c r="AR43" s="1"/>
      <c r="AS43" s="13" t="s">
        <v>39461</v>
      </c>
      <c r="AT43" s="39">
        <v>2025</v>
      </c>
      <c r="AU43" s="13" t="s">
        <v>39562</v>
      </c>
      <c r="AV43" s="1"/>
      <c r="AW43" s="13" t="s">
        <v>39194</v>
      </c>
      <c r="AX43" s="2"/>
      <c r="AY43" s="2"/>
      <c r="AZ43" s="13" t="s">
        <v>39463</v>
      </c>
    </row>
    <row x14ac:dyDescent="0.25" r="44" customHeight="1" ht="24.75">
      <c r="A44" s="149"/>
      <c r="B44" s="150">
        <f>AND(ISTEXT('Consolidado-Eletronorte'!#REF!),SUM('Consolidado-Eletronorte'!#REF!)&gt;0)</f>
      </c>
      <c r="C44" s="151">
        <f>INDIRECT(SUBSTITUTE($J53&amp;$K53," ",""))</f>
      </c>
      <c r="D44" s="151">
        <f>$H$3</f>
      </c>
      <c r="E44" s="151">
        <f>$H$4</f>
      </c>
      <c r="F44" s="152"/>
      <c r="G44" s="151">
        <f>_xlfn.CONCAT('Consolidado-Eletronorte'!#REF!,"_",ROW('Consolidado-Eletronorte'!#REF!)-ROW('Consolidado-Eletronorte'!$G$18))</f>
      </c>
      <c r="H44" s="186" t="s">
        <v>10</v>
      </c>
      <c r="I44" s="153" t="s">
        <v>85</v>
      </c>
      <c r="J44" s="153" t="s">
        <v>5</v>
      </c>
      <c r="K44" s="154" t="s">
        <v>39449</v>
      </c>
      <c r="L44" s="153" t="s">
        <v>39456</v>
      </c>
      <c r="M44" s="153" t="s">
        <v>39512</v>
      </c>
      <c r="N44" s="153"/>
      <c r="O44" s="153"/>
      <c r="P44" s="153"/>
      <c r="Q44" s="155" t="s">
        <v>39563</v>
      </c>
      <c r="R44" s="155" t="s">
        <v>39564</v>
      </c>
      <c r="S44" s="153" t="s">
        <v>39460</v>
      </c>
      <c r="T44" s="156">
        <v>0</v>
      </c>
      <c r="U44" s="157">
        <v>0</v>
      </c>
      <c r="V44" s="157">
        <v>0</v>
      </c>
      <c r="W44" s="157">
        <v>0</v>
      </c>
      <c r="X44" s="156">
        <v>0</v>
      </c>
      <c r="Y44" s="156">
        <v>0</v>
      </c>
      <c r="Z44" s="158">
        <v>0</v>
      </c>
      <c r="AA44" s="158">
        <v>0</v>
      </c>
      <c r="AB44" s="158">
        <v>0</v>
      </c>
      <c r="AC44" s="158">
        <v>0</v>
      </c>
      <c r="AD44" s="158">
        <v>0</v>
      </c>
      <c r="AE44" s="158">
        <v>0</v>
      </c>
      <c r="AF44" s="158">
        <f>SUM(Tabela99[[#This Row], [jan/26]:[dez/26]])</f>
      </c>
      <c r="AG44" s="158">
        <v>400000</v>
      </c>
      <c r="AH44" s="158">
        <v>0</v>
      </c>
      <c r="AI44" s="158">
        <v>0</v>
      </c>
      <c r="AJ44" s="158">
        <v>0</v>
      </c>
      <c r="AK44" s="158">
        <f>SUM(Tabela99[[#This Row], [2026]:[2030]])</f>
      </c>
      <c r="AL44" s="157">
        <v>0</v>
      </c>
      <c r="AM44" s="158">
        <v>0</v>
      </c>
      <c r="AN44" s="158">
        <v>0</v>
      </c>
      <c r="AO44" s="158">
        <v>0</v>
      </c>
      <c r="AP44" s="158">
        <v>0</v>
      </c>
      <c r="AQ44" s="159">
        <f>SUM(Tabela99[[#This Row], [2026-2030]:[2035]])</f>
      </c>
      <c r="AR44" s="1"/>
      <c r="AS44" s="13" t="s">
        <v>39461</v>
      </c>
      <c r="AT44" s="39">
        <v>2025</v>
      </c>
      <c r="AU44" s="13" t="s">
        <v>39565</v>
      </c>
      <c r="AV44" s="1"/>
      <c r="AW44" s="13" t="s">
        <v>39194</v>
      </c>
      <c r="AX44" s="2"/>
      <c r="AY44" s="2"/>
      <c r="AZ44" s="13" t="s">
        <v>39463</v>
      </c>
    </row>
    <row x14ac:dyDescent="0.25" r="45" customHeight="1" ht="24.75">
      <c r="A45" s="187"/>
      <c r="B45" s="188">
        <f>AND(ISTEXT('Consolidado-Eletronorte'!#REF!),SUM('Consolidado-Eletronorte'!#REF!)&gt;0)</f>
      </c>
      <c r="C45" s="189">
        <f>INDIRECT(SUBSTITUTE($J54&amp;$K54," ",""))</f>
      </c>
      <c r="D45" s="189">
        <f>$H$3</f>
      </c>
      <c r="E45" s="189">
        <f>$H$4</f>
      </c>
      <c r="F45" s="190"/>
      <c r="G45" s="189">
        <f>_xlfn.CONCAT('Consolidado-Eletronorte'!#REF!,"_",ROW('Consolidado-Eletronorte'!#REF!)-ROW('Consolidado-Eletronorte'!$G$18))</f>
      </c>
      <c r="H45" s="186" t="s">
        <v>10</v>
      </c>
      <c r="I45" s="191" t="s">
        <v>85</v>
      </c>
      <c r="J45" s="191" t="s">
        <v>5</v>
      </c>
      <c r="K45" s="192" t="s">
        <v>39449</v>
      </c>
      <c r="L45" s="191" t="s">
        <v>39456</v>
      </c>
      <c r="M45" s="191" t="s">
        <v>39512</v>
      </c>
      <c r="N45" s="191"/>
      <c r="O45" s="191"/>
      <c r="P45" s="191"/>
      <c r="Q45" s="193" t="s">
        <v>39566</v>
      </c>
      <c r="R45" s="193" t="s">
        <v>39567</v>
      </c>
      <c r="S45" s="191" t="s">
        <v>39460</v>
      </c>
      <c r="T45" s="194">
        <v>0</v>
      </c>
      <c r="U45" s="195">
        <v>0</v>
      </c>
      <c r="V45" s="195">
        <v>0</v>
      </c>
      <c r="W45" s="195">
        <v>0</v>
      </c>
      <c r="X45" s="194">
        <v>0</v>
      </c>
      <c r="Y45" s="194">
        <v>0</v>
      </c>
      <c r="Z45" s="196">
        <v>0</v>
      </c>
      <c r="AA45" s="196">
        <v>0</v>
      </c>
      <c r="AB45" s="196">
        <v>0</v>
      </c>
      <c r="AC45" s="196">
        <v>0</v>
      </c>
      <c r="AD45" s="196">
        <v>0</v>
      </c>
      <c r="AE45" s="196">
        <v>0</v>
      </c>
      <c r="AF45" s="196">
        <f>SUM(Tabela99[[#This Row], [jan/26]:[dez/26]])</f>
      </c>
      <c r="AG45" s="196">
        <v>0</v>
      </c>
      <c r="AH45" s="196">
        <v>200000</v>
      </c>
      <c r="AI45" s="196">
        <v>0</v>
      </c>
      <c r="AJ45" s="196">
        <v>0</v>
      </c>
      <c r="AK45" s="196">
        <f>SUM(Tabela99[[#This Row], [2026]:[2030]])</f>
      </c>
      <c r="AL45" s="195">
        <v>0</v>
      </c>
      <c r="AM45" s="196">
        <v>0</v>
      </c>
      <c r="AN45" s="196">
        <v>0</v>
      </c>
      <c r="AO45" s="196">
        <v>0</v>
      </c>
      <c r="AP45" s="196">
        <v>0</v>
      </c>
      <c r="AQ45" s="197">
        <f>SUM(Tabela99[[#This Row], [2026-2030]:[2035]])</f>
      </c>
      <c r="AR45" s="1"/>
      <c r="AS45" s="13" t="s">
        <v>39461</v>
      </c>
      <c r="AT45" s="39">
        <v>2025</v>
      </c>
      <c r="AU45" s="13" t="s">
        <v>39568</v>
      </c>
      <c r="AV45" s="1"/>
      <c r="AW45" s="13" t="s">
        <v>39194</v>
      </c>
      <c r="AX45" s="2"/>
      <c r="AY45" s="2"/>
      <c r="AZ45" s="13" t="s">
        <v>39463</v>
      </c>
    </row>
    <row x14ac:dyDescent="0.25" r="46" customHeight="1" ht="24.75">
      <c r="A46" s="187"/>
      <c r="B46" s="188">
        <f>AND(ISTEXT('Consolidado-Eletronorte'!#REF!),SUM('Consolidado-Eletronorte'!#REF!)&gt;0)</f>
      </c>
      <c r="C46" s="189">
        <f>INDIRECT(SUBSTITUTE($J55&amp;$K55," ",""))</f>
      </c>
      <c r="D46" s="189">
        <f>$H$3</f>
      </c>
      <c r="E46" s="189">
        <f>$H$4</f>
      </c>
      <c r="F46" s="190"/>
      <c r="G46" s="189">
        <f>_xlfn.CONCAT('Consolidado-Eletronorte'!#REF!,"_",ROW('Consolidado-Eletronorte'!#REF!)-ROW('Consolidado-Eletronorte'!$G$18))</f>
      </c>
      <c r="H46" s="186" t="s">
        <v>10</v>
      </c>
      <c r="I46" s="191" t="s">
        <v>85</v>
      </c>
      <c r="J46" s="191" t="s">
        <v>5</v>
      </c>
      <c r="K46" s="192" t="s">
        <v>39449</v>
      </c>
      <c r="L46" s="191" t="s">
        <v>39456</v>
      </c>
      <c r="M46" s="191" t="s">
        <v>39512</v>
      </c>
      <c r="N46" s="191"/>
      <c r="O46" s="191"/>
      <c r="P46" s="191"/>
      <c r="Q46" s="193" t="s">
        <v>39569</v>
      </c>
      <c r="R46" s="193" t="s">
        <v>39570</v>
      </c>
      <c r="S46" s="191" t="s">
        <v>39460</v>
      </c>
      <c r="T46" s="194">
        <v>0</v>
      </c>
      <c r="U46" s="195">
        <v>0</v>
      </c>
      <c r="V46" s="195">
        <v>0</v>
      </c>
      <c r="W46" s="195">
        <v>0</v>
      </c>
      <c r="X46" s="194">
        <v>0</v>
      </c>
      <c r="Y46" s="194">
        <v>0</v>
      </c>
      <c r="Z46" s="196">
        <v>0</v>
      </c>
      <c r="AA46" s="196">
        <v>0</v>
      </c>
      <c r="AB46" s="196">
        <v>0</v>
      </c>
      <c r="AC46" s="196">
        <v>120000</v>
      </c>
      <c r="AD46" s="196">
        <v>0</v>
      </c>
      <c r="AE46" s="196">
        <v>0</v>
      </c>
      <c r="AF46" s="196">
        <f>SUM(Tabela99[[#This Row], [jan/26]:[dez/26]])</f>
      </c>
      <c r="AG46" s="196">
        <v>0</v>
      </c>
      <c r="AH46" s="196">
        <v>0</v>
      </c>
      <c r="AI46" s="196">
        <v>0</v>
      </c>
      <c r="AJ46" s="196">
        <v>0</v>
      </c>
      <c r="AK46" s="196">
        <f>SUM(Tabela99[[#This Row], [2026]:[2030]])</f>
      </c>
      <c r="AL46" s="195">
        <v>0</v>
      </c>
      <c r="AM46" s="196">
        <v>0</v>
      </c>
      <c r="AN46" s="196">
        <v>0</v>
      </c>
      <c r="AO46" s="196">
        <v>0</v>
      </c>
      <c r="AP46" s="196">
        <v>0</v>
      </c>
      <c r="AQ46" s="197">
        <f>SUM(Tabela99[[#This Row], [2026-2030]:[2035]])</f>
      </c>
      <c r="AR46" s="1"/>
      <c r="AS46" s="13" t="s">
        <v>39461</v>
      </c>
      <c r="AT46" s="39">
        <v>2025</v>
      </c>
      <c r="AU46" s="13" t="s">
        <v>39571</v>
      </c>
      <c r="AV46" s="1"/>
      <c r="AW46" s="13" t="s">
        <v>39194</v>
      </c>
      <c r="AX46" s="2"/>
      <c r="AY46" s="2"/>
      <c r="AZ46" s="13" t="s">
        <v>39463</v>
      </c>
    </row>
    <row x14ac:dyDescent="0.25" r="47" customHeight="1" ht="24.75">
      <c r="A47" s="187"/>
      <c r="B47" s="188">
        <f>AND(ISTEXT('Consolidado-Eletronorte'!#REF!),SUM('Consolidado-Eletronorte'!#REF!)&gt;0)</f>
      </c>
      <c r="C47" s="189">
        <f>INDIRECT(SUBSTITUTE($J56&amp;$K56," ",""))</f>
      </c>
      <c r="D47" s="189">
        <f>$H$3</f>
      </c>
      <c r="E47" s="189">
        <f>$H$4</f>
      </c>
      <c r="F47" s="190"/>
      <c r="G47" s="189">
        <f>_xlfn.CONCAT('Consolidado-Eletronorte'!#REF!,"_",ROW('Consolidado-Eletronorte'!#REF!)-ROW('Consolidado-Eletronorte'!$G$18))</f>
      </c>
      <c r="H47" s="186" t="s">
        <v>10</v>
      </c>
      <c r="I47" s="191" t="s">
        <v>85</v>
      </c>
      <c r="J47" s="191" t="s">
        <v>5</v>
      </c>
      <c r="K47" s="192" t="s">
        <v>39449</v>
      </c>
      <c r="L47" s="191" t="s">
        <v>39456</v>
      </c>
      <c r="M47" s="191" t="s">
        <v>39512</v>
      </c>
      <c r="N47" s="191"/>
      <c r="O47" s="191"/>
      <c r="P47" s="191"/>
      <c r="Q47" s="193" t="s">
        <v>39572</v>
      </c>
      <c r="R47" s="193" t="s">
        <v>39573</v>
      </c>
      <c r="S47" s="191" t="s">
        <v>39460</v>
      </c>
      <c r="T47" s="194">
        <v>0</v>
      </c>
      <c r="U47" s="195">
        <v>0</v>
      </c>
      <c r="V47" s="195">
        <v>0</v>
      </c>
      <c r="W47" s="195">
        <v>0</v>
      </c>
      <c r="X47" s="194">
        <v>0</v>
      </c>
      <c r="Y47" s="194">
        <v>0</v>
      </c>
      <c r="Z47" s="196">
        <v>0</v>
      </c>
      <c r="AA47" s="196">
        <v>0</v>
      </c>
      <c r="AB47" s="196">
        <v>0</v>
      </c>
      <c r="AC47" s="196">
        <v>100000</v>
      </c>
      <c r="AD47" s="196">
        <v>0</v>
      </c>
      <c r="AE47" s="196">
        <v>0</v>
      </c>
      <c r="AF47" s="196">
        <f>SUM(Tabela99[[#This Row], [jan/26]:[dez/26]])</f>
      </c>
      <c r="AG47" s="196">
        <v>100000</v>
      </c>
      <c r="AH47" s="196">
        <v>0</v>
      </c>
      <c r="AI47" s="196">
        <v>0</v>
      </c>
      <c r="AJ47" s="196">
        <v>0</v>
      </c>
      <c r="AK47" s="196">
        <f>SUM(Tabela99[[#This Row], [2026]:[2030]])</f>
      </c>
      <c r="AL47" s="195">
        <v>0</v>
      </c>
      <c r="AM47" s="196">
        <v>0</v>
      </c>
      <c r="AN47" s="196">
        <v>0</v>
      </c>
      <c r="AO47" s="196">
        <v>0</v>
      </c>
      <c r="AP47" s="196">
        <v>0</v>
      </c>
      <c r="AQ47" s="197">
        <f>SUM(Tabela99[[#This Row], [2026-2030]:[2035]])</f>
      </c>
      <c r="AR47" s="1"/>
      <c r="AS47" s="13" t="s">
        <v>39461</v>
      </c>
      <c r="AT47" s="39">
        <v>2025</v>
      </c>
      <c r="AU47" s="13" t="s">
        <v>39574</v>
      </c>
      <c r="AV47" s="1"/>
      <c r="AW47" s="13" t="s">
        <v>39194</v>
      </c>
      <c r="AX47" s="2"/>
      <c r="AY47" s="2"/>
      <c r="AZ47" s="13" t="s">
        <v>39463</v>
      </c>
    </row>
    <row x14ac:dyDescent="0.25" r="48" customHeight="1" ht="24.75">
      <c r="A48" s="187"/>
      <c r="B48" s="188">
        <f>AND(ISTEXT('Consolidado-Eletronorte'!#REF!),SUM('Consolidado-Eletronorte'!#REF!)&gt;0)</f>
      </c>
      <c r="C48" s="189">
        <f>INDIRECT(SUBSTITUTE($J57&amp;$K57," ",""))</f>
      </c>
      <c r="D48" s="189">
        <f>$H$3</f>
      </c>
      <c r="E48" s="189">
        <f>$H$4</f>
      </c>
      <c r="F48" s="190"/>
      <c r="G48" s="189">
        <f>_xlfn.CONCAT('Consolidado-Eletronorte'!#REF!,"_",ROW('Consolidado-Eletronorte'!#REF!)-ROW('Consolidado-Eletronorte'!$G$18))</f>
      </c>
      <c r="H48" s="186" t="s">
        <v>10</v>
      </c>
      <c r="I48" s="191" t="s">
        <v>85</v>
      </c>
      <c r="J48" s="191" t="s">
        <v>5</v>
      </c>
      <c r="K48" s="192" t="s">
        <v>39449</v>
      </c>
      <c r="L48" s="191" t="s">
        <v>39456</v>
      </c>
      <c r="M48" s="191" t="s">
        <v>39512</v>
      </c>
      <c r="N48" s="191"/>
      <c r="O48" s="191"/>
      <c r="P48" s="191"/>
      <c r="Q48" s="193" t="s">
        <v>39575</v>
      </c>
      <c r="R48" s="193" t="s">
        <v>39576</v>
      </c>
      <c r="S48" s="191" t="s">
        <v>39460</v>
      </c>
      <c r="T48" s="194">
        <v>0</v>
      </c>
      <c r="U48" s="195">
        <v>0</v>
      </c>
      <c r="V48" s="195">
        <v>0</v>
      </c>
      <c r="W48" s="195">
        <v>0</v>
      </c>
      <c r="X48" s="194">
        <v>0</v>
      </c>
      <c r="Y48" s="194">
        <v>0</v>
      </c>
      <c r="Z48" s="196">
        <v>0</v>
      </c>
      <c r="AA48" s="196">
        <v>0</v>
      </c>
      <c r="AB48" s="196">
        <v>0</v>
      </c>
      <c r="AC48" s="196">
        <v>0</v>
      </c>
      <c r="AD48" s="196">
        <v>0</v>
      </c>
      <c r="AE48" s="196">
        <v>0</v>
      </c>
      <c r="AF48" s="196">
        <f>SUM(Tabela99[[#This Row], [jan/26]:[dez/26]])</f>
      </c>
      <c r="AG48" s="196">
        <v>0</v>
      </c>
      <c r="AH48" s="196">
        <v>0</v>
      </c>
      <c r="AI48" s="196">
        <v>0</v>
      </c>
      <c r="AJ48" s="196">
        <v>200000</v>
      </c>
      <c r="AK48" s="196">
        <f>SUM(Tabela99[[#This Row], [2026]:[2030]])</f>
      </c>
      <c r="AL48" s="195">
        <v>0</v>
      </c>
      <c r="AM48" s="196">
        <v>0</v>
      </c>
      <c r="AN48" s="196">
        <v>0</v>
      </c>
      <c r="AO48" s="196">
        <v>0</v>
      </c>
      <c r="AP48" s="196">
        <v>0</v>
      </c>
      <c r="AQ48" s="197">
        <f>SUM(Tabela99[[#This Row], [2026-2030]:[2035]])</f>
      </c>
      <c r="AR48" s="1"/>
      <c r="AS48" s="13" t="s">
        <v>39461</v>
      </c>
      <c r="AT48" s="39">
        <v>2025</v>
      </c>
      <c r="AU48" s="13" t="s">
        <v>39577</v>
      </c>
      <c r="AV48" s="1"/>
      <c r="AW48" s="13" t="s">
        <v>39194</v>
      </c>
      <c r="AX48" s="2"/>
      <c r="AY48" s="2"/>
      <c r="AZ48" s="13" t="s">
        <v>39463</v>
      </c>
    </row>
    <row x14ac:dyDescent="0.25" r="49" customHeight="1" ht="24.75">
      <c r="A49" s="187"/>
      <c r="B49" s="188">
        <f>AND(ISTEXT('Consolidado-Eletronorte'!#REF!),SUM('Consolidado-Eletronorte'!#REF!)&gt;0)</f>
      </c>
      <c r="C49" s="189">
        <f>INDIRECT(SUBSTITUTE($J58&amp;$K58," ",""))</f>
      </c>
      <c r="D49" s="189">
        <f>$H$3</f>
      </c>
      <c r="E49" s="189">
        <f>$H$4</f>
      </c>
      <c r="F49" s="190"/>
      <c r="G49" s="189">
        <f>_xlfn.CONCAT('Consolidado-Eletronorte'!#REF!,"_",ROW('Consolidado-Eletronorte'!#REF!)-ROW('Consolidado-Eletronorte'!$G$18))</f>
      </c>
      <c r="H49" s="186" t="s">
        <v>10</v>
      </c>
      <c r="I49" s="191" t="s">
        <v>85</v>
      </c>
      <c r="J49" s="191" t="s">
        <v>5</v>
      </c>
      <c r="K49" s="192" t="s">
        <v>39449</v>
      </c>
      <c r="L49" s="191" t="s">
        <v>39456</v>
      </c>
      <c r="M49" s="191" t="s">
        <v>39578</v>
      </c>
      <c r="N49" s="191"/>
      <c r="O49" s="191"/>
      <c r="P49" s="191"/>
      <c r="Q49" s="193" t="s">
        <v>39579</v>
      </c>
      <c r="R49" s="193" t="s">
        <v>39580</v>
      </c>
      <c r="S49" s="191" t="s">
        <v>38384</v>
      </c>
      <c r="T49" s="194">
        <v>0</v>
      </c>
      <c r="U49" s="195">
        <v>0</v>
      </c>
      <c r="V49" s="195">
        <v>100000</v>
      </c>
      <c r="W49" s="195">
        <v>0</v>
      </c>
      <c r="X49" s="194">
        <v>0</v>
      </c>
      <c r="Y49" s="194">
        <v>0</v>
      </c>
      <c r="Z49" s="196">
        <v>0</v>
      </c>
      <c r="AA49" s="196">
        <v>0</v>
      </c>
      <c r="AB49" s="196">
        <v>0</v>
      </c>
      <c r="AC49" s="196">
        <v>0</v>
      </c>
      <c r="AD49" s="196">
        <v>0</v>
      </c>
      <c r="AE49" s="196">
        <v>0</v>
      </c>
      <c r="AF49" s="196">
        <f>SUM(Tabela99[[#This Row], [jan/26]:[dez/26]])</f>
      </c>
      <c r="AG49" s="196">
        <v>0</v>
      </c>
      <c r="AH49" s="196">
        <v>0</v>
      </c>
      <c r="AI49" s="196">
        <v>0</v>
      </c>
      <c r="AJ49" s="196">
        <v>0</v>
      </c>
      <c r="AK49" s="196">
        <f>SUM(Tabela99[[#This Row], [2026]:[2030]])</f>
      </c>
      <c r="AL49" s="195">
        <v>0</v>
      </c>
      <c r="AM49" s="196">
        <v>0</v>
      </c>
      <c r="AN49" s="196">
        <v>0</v>
      </c>
      <c r="AO49" s="196">
        <v>0</v>
      </c>
      <c r="AP49" s="196">
        <v>0</v>
      </c>
      <c r="AQ49" s="197">
        <f>SUM(Tabela99[[#This Row], [2026-2030]:[2035]])</f>
      </c>
      <c r="AR49" s="1"/>
      <c r="AS49" s="13" t="s">
        <v>39461</v>
      </c>
      <c r="AT49" s="39">
        <v>2025</v>
      </c>
      <c r="AU49" s="13" t="s">
        <v>39581</v>
      </c>
      <c r="AV49" s="1"/>
      <c r="AW49" s="13" t="s">
        <v>39194</v>
      </c>
      <c r="AX49" s="2"/>
      <c r="AY49" s="2"/>
      <c r="AZ49" s="13" t="s">
        <v>39582</v>
      </c>
    </row>
    <row x14ac:dyDescent="0.25" r="50" customHeight="1" ht="24.75">
      <c r="A50" s="187"/>
      <c r="B50" s="188">
        <f>AND(ISTEXT('Consolidado-Eletronorte'!#REF!),SUM('Consolidado-Eletronorte'!#REF!)&gt;0)</f>
      </c>
      <c r="C50" s="189">
        <f>INDIRECT(SUBSTITUTE($J59&amp;$K59," ",""))</f>
      </c>
      <c r="D50" s="189">
        <f>$H$3</f>
      </c>
      <c r="E50" s="189">
        <f>$H$4</f>
      </c>
      <c r="F50" s="190"/>
      <c r="G50" s="189">
        <f>_xlfn.CONCAT('Consolidado-Eletronorte'!#REF!,"_",ROW('Consolidado-Eletronorte'!#REF!)-ROW('Consolidado-Eletronorte'!$G$18))</f>
      </c>
      <c r="H50" s="186" t="s">
        <v>10</v>
      </c>
      <c r="I50" s="191" t="s">
        <v>85</v>
      </c>
      <c r="J50" s="191" t="s">
        <v>5</v>
      </c>
      <c r="K50" s="192" t="s">
        <v>39449</v>
      </c>
      <c r="L50" s="191" t="s">
        <v>39456</v>
      </c>
      <c r="M50" s="191" t="s">
        <v>39578</v>
      </c>
      <c r="N50" s="191"/>
      <c r="O50" s="191"/>
      <c r="P50" s="191"/>
      <c r="Q50" s="193" t="s">
        <v>39583</v>
      </c>
      <c r="R50" s="193" t="s">
        <v>39584</v>
      </c>
      <c r="S50" s="191" t="s">
        <v>38384</v>
      </c>
      <c r="T50" s="194">
        <v>0</v>
      </c>
      <c r="U50" s="195">
        <v>0</v>
      </c>
      <c r="V50" s="195">
        <v>0</v>
      </c>
      <c r="W50" s="195">
        <v>0</v>
      </c>
      <c r="X50" s="194">
        <v>0</v>
      </c>
      <c r="Y50" s="194">
        <v>0</v>
      </c>
      <c r="Z50" s="196">
        <v>0</v>
      </c>
      <c r="AA50" s="196">
        <v>0</v>
      </c>
      <c r="AB50" s="196">
        <v>0</v>
      </c>
      <c r="AC50" s="196">
        <v>0</v>
      </c>
      <c r="AD50" s="196">
        <v>0</v>
      </c>
      <c r="AE50" s="196">
        <v>0</v>
      </c>
      <c r="AF50" s="196">
        <f>SUM(Tabela99[[#This Row], [jan/26]:[dez/26]])</f>
      </c>
      <c r="AG50" s="196">
        <v>0</v>
      </c>
      <c r="AH50" s="196">
        <v>0</v>
      </c>
      <c r="AI50" s="196">
        <v>140000</v>
      </c>
      <c r="AJ50" s="196">
        <v>0</v>
      </c>
      <c r="AK50" s="196">
        <f>SUM(Tabela99[[#This Row], [2026]:[2030]])</f>
      </c>
      <c r="AL50" s="195">
        <v>0</v>
      </c>
      <c r="AM50" s="196">
        <v>0</v>
      </c>
      <c r="AN50" s="196">
        <v>0</v>
      </c>
      <c r="AO50" s="196">
        <v>0</v>
      </c>
      <c r="AP50" s="196">
        <v>0</v>
      </c>
      <c r="AQ50" s="197">
        <f>SUM(Tabela99[[#This Row], [2026-2030]:[2035]])</f>
      </c>
      <c r="AR50" s="1"/>
      <c r="AS50" s="13" t="s">
        <v>39461</v>
      </c>
      <c r="AT50" s="39">
        <v>2025</v>
      </c>
      <c r="AU50" s="13" t="s">
        <v>39585</v>
      </c>
      <c r="AV50" s="1"/>
      <c r="AW50" s="13" t="s">
        <v>39194</v>
      </c>
      <c r="AX50" s="2"/>
      <c r="AY50" s="2"/>
      <c r="AZ50" s="13" t="s">
        <v>39582</v>
      </c>
    </row>
    <row x14ac:dyDescent="0.25" r="51" customHeight="1" ht="24.75">
      <c r="A51" s="187"/>
      <c r="B51" s="188">
        <f>AND(ISTEXT('Consolidado-Eletronorte'!#REF!),SUM('Consolidado-Eletronorte'!#REF!)&gt;0)</f>
      </c>
      <c r="C51" s="189">
        <f>INDIRECT(SUBSTITUTE($J60&amp;$K60," ",""))</f>
      </c>
      <c r="D51" s="189">
        <f>$H$3</f>
      </c>
      <c r="E51" s="189">
        <f>$H$4</f>
      </c>
      <c r="F51" s="190"/>
      <c r="G51" s="189">
        <f>_xlfn.CONCAT('Consolidado-Eletronorte'!#REF!,"_",ROW('Consolidado-Eletronorte'!#REF!)-ROW('Consolidado-Eletronorte'!$G$18))</f>
      </c>
      <c r="H51" s="186" t="s">
        <v>10</v>
      </c>
      <c r="I51" s="191" t="s">
        <v>85</v>
      </c>
      <c r="J51" s="191" t="s">
        <v>5</v>
      </c>
      <c r="K51" s="192" t="s">
        <v>39449</v>
      </c>
      <c r="L51" s="191" t="s">
        <v>39456</v>
      </c>
      <c r="M51" s="191" t="s">
        <v>39578</v>
      </c>
      <c r="N51" s="191"/>
      <c r="O51" s="191"/>
      <c r="P51" s="191"/>
      <c r="Q51" s="193" t="s">
        <v>39586</v>
      </c>
      <c r="R51" s="193" t="s">
        <v>39587</v>
      </c>
      <c r="S51" s="191" t="s">
        <v>38384</v>
      </c>
      <c r="T51" s="194">
        <v>0</v>
      </c>
      <c r="U51" s="195">
        <v>0</v>
      </c>
      <c r="V51" s="195">
        <v>0</v>
      </c>
      <c r="W51" s="195">
        <v>0</v>
      </c>
      <c r="X51" s="194">
        <v>0</v>
      </c>
      <c r="Y51" s="194">
        <v>0</v>
      </c>
      <c r="Z51" s="196">
        <v>0</v>
      </c>
      <c r="AA51" s="196">
        <v>0</v>
      </c>
      <c r="AB51" s="196">
        <v>0</v>
      </c>
      <c r="AC51" s="196">
        <v>0</v>
      </c>
      <c r="AD51" s="196">
        <v>0</v>
      </c>
      <c r="AE51" s="196">
        <v>0</v>
      </c>
      <c r="AF51" s="196">
        <f>SUM(Tabela99[[#This Row], [jan/26]:[dez/26]])</f>
      </c>
      <c r="AG51" s="196">
        <v>0</v>
      </c>
      <c r="AH51" s="196">
        <v>100000</v>
      </c>
      <c r="AI51" s="196">
        <v>0</v>
      </c>
      <c r="AJ51" s="196">
        <v>0</v>
      </c>
      <c r="AK51" s="196">
        <f>SUM(Tabela99[[#This Row], [2026]:[2030]])</f>
      </c>
      <c r="AL51" s="195">
        <v>0</v>
      </c>
      <c r="AM51" s="196">
        <v>0</v>
      </c>
      <c r="AN51" s="196">
        <v>0</v>
      </c>
      <c r="AO51" s="196">
        <v>0</v>
      </c>
      <c r="AP51" s="196">
        <v>0</v>
      </c>
      <c r="AQ51" s="197">
        <f>SUM(Tabela99[[#This Row], [2026-2030]:[2035]])</f>
      </c>
      <c r="AR51" s="1"/>
      <c r="AS51" s="13" t="s">
        <v>39461</v>
      </c>
      <c r="AT51" s="39">
        <v>2025</v>
      </c>
      <c r="AU51" s="13" t="s">
        <v>39588</v>
      </c>
      <c r="AV51" s="1"/>
      <c r="AW51" s="13" t="s">
        <v>39194</v>
      </c>
      <c r="AX51" s="2"/>
      <c r="AY51" s="2"/>
      <c r="AZ51" s="13" t="s">
        <v>39582</v>
      </c>
    </row>
    <row x14ac:dyDescent="0.25" r="52" customHeight="1" ht="24.75">
      <c r="A52" s="187"/>
      <c r="B52" s="188">
        <f>AND(ISTEXT('Consolidado-Eletronorte'!#REF!),SUM('Consolidado-Eletronorte'!#REF!)&gt;0)</f>
      </c>
      <c r="C52" s="189">
        <f>INDIRECT(SUBSTITUTE($J61&amp;$K61," ",""))</f>
      </c>
      <c r="D52" s="189">
        <f>$H$3</f>
      </c>
      <c r="E52" s="189">
        <f>$H$4</f>
      </c>
      <c r="F52" s="190"/>
      <c r="G52" s="189">
        <f>_xlfn.CONCAT('Consolidado-Eletronorte'!#REF!,"_",ROW('Consolidado-Eletronorte'!#REF!)-ROW('Consolidado-Eletronorte'!$G$18))</f>
      </c>
      <c r="H52" s="186" t="s">
        <v>10</v>
      </c>
      <c r="I52" s="191" t="s">
        <v>85</v>
      </c>
      <c r="J52" s="191" t="s">
        <v>5</v>
      </c>
      <c r="K52" s="192" t="s">
        <v>39449</v>
      </c>
      <c r="L52" s="191" t="s">
        <v>39456</v>
      </c>
      <c r="M52" s="191" t="s">
        <v>39578</v>
      </c>
      <c r="N52" s="191"/>
      <c r="O52" s="191"/>
      <c r="P52" s="191"/>
      <c r="Q52" s="193" t="s">
        <v>39589</v>
      </c>
      <c r="R52" s="193" t="s">
        <v>39590</v>
      </c>
      <c r="S52" s="191" t="s">
        <v>38384</v>
      </c>
      <c r="T52" s="194">
        <v>0</v>
      </c>
      <c r="U52" s="195">
        <v>0</v>
      </c>
      <c r="V52" s="195">
        <v>0</v>
      </c>
      <c r="W52" s="195">
        <v>0</v>
      </c>
      <c r="X52" s="194">
        <v>0</v>
      </c>
      <c r="Y52" s="194">
        <v>0</v>
      </c>
      <c r="Z52" s="196">
        <v>0</v>
      </c>
      <c r="AA52" s="196">
        <v>0</v>
      </c>
      <c r="AB52" s="196">
        <v>0</v>
      </c>
      <c r="AC52" s="196">
        <v>0</v>
      </c>
      <c r="AD52" s="196">
        <v>0</v>
      </c>
      <c r="AE52" s="196">
        <v>0</v>
      </c>
      <c r="AF52" s="196">
        <f>SUM(Tabela99[[#This Row], [jan/26]:[dez/26]])</f>
      </c>
      <c r="AG52" s="196">
        <v>0</v>
      </c>
      <c r="AH52" s="196">
        <v>50000</v>
      </c>
      <c r="AI52" s="196">
        <v>0</v>
      </c>
      <c r="AJ52" s="196">
        <v>0</v>
      </c>
      <c r="AK52" s="196">
        <f>SUM(Tabela99[[#This Row], [2026]:[2030]])</f>
      </c>
      <c r="AL52" s="195">
        <v>0</v>
      </c>
      <c r="AM52" s="196">
        <v>0</v>
      </c>
      <c r="AN52" s="196">
        <v>0</v>
      </c>
      <c r="AO52" s="196">
        <v>0</v>
      </c>
      <c r="AP52" s="196">
        <v>0</v>
      </c>
      <c r="AQ52" s="197">
        <f>SUM(Tabela99[[#This Row], [2026-2030]:[2035]])</f>
      </c>
      <c r="AR52" s="1"/>
      <c r="AS52" s="13" t="s">
        <v>39461</v>
      </c>
      <c r="AT52" s="39">
        <v>2025</v>
      </c>
      <c r="AU52" s="13" t="s">
        <v>39591</v>
      </c>
      <c r="AV52" s="1"/>
      <c r="AW52" s="13" t="s">
        <v>39194</v>
      </c>
      <c r="AX52" s="2"/>
      <c r="AY52" s="2"/>
      <c r="AZ52" s="13" t="s">
        <v>39582</v>
      </c>
    </row>
    <row x14ac:dyDescent="0.25" r="53" customHeight="1" ht="24.75">
      <c r="A53" s="187"/>
      <c r="B53" s="188">
        <f>AND(ISTEXT('Consolidado-Eletronorte'!#REF!),SUM('Consolidado-Eletronorte'!#REF!)&gt;0)</f>
      </c>
      <c r="C53" s="189">
        <f>INDIRECT(SUBSTITUTE($J62&amp;$K62," ",""))</f>
      </c>
      <c r="D53" s="189">
        <f>$H$3</f>
      </c>
      <c r="E53" s="189">
        <f>$H$4</f>
      </c>
      <c r="F53" s="190"/>
      <c r="G53" s="189">
        <f>_xlfn.CONCAT('Consolidado-Eletronorte'!#REF!,"_",ROW('Consolidado-Eletronorte'!#REF!)-ROW('Consolidado-Eletronorte'!$G$18))</f>
      </c>
      <c r="H53" s="186" t="s">
        <v>10</v>
      </c>
      <c r="I53" s="191" t="s">
        <v>85</v>
      </c>
      <c r="J53" s="191" t="s">
        <v>5</v>
      </c>
      <c r="K53" s="192" t="s">
        <v>39449</v>
      </c>
      <c r="L53" s="191" t="s">
        <v>39456</v>
      </c>
      <c r="M53" s="191" t="s">
        <v>39578</v>
      </c>
      <c r="N53" s="191"/>
      <c r="O53" s="191"/>
      <c r="P53" s="191"/>
      <c r="Q53" s="193" t="s">
        <v>39592</v>
      </c>
      <c r="R53" s="193" t="s">
        <v>39593</v>
      </c>
      <c r="S53" s="191" t="s">
        <v>38384</v>
      </c>
      <c r="T53" s="194">
        <v>0</v>
      </c>
      <c r="U53" s="195">
        <v>0</v>
      </c>
      <c r="V53" s="195">
        <v>0</v>
      </c>
      <c r="W53" s="195">
        <v>0</v>
      </c>
      <c r="X53" s="194">
        <v>0</v>
      </c>
      <c r="Y53" s="194">
        <v>0</v>
      </c>
      <c r="Z53" s="196">
        <v>150000</v>
      </c>
      <c r="AA53" s="196">
        <v>200000</v>
      </c>
      <c r="AB53" s="196">
        <v>200000</v>
      </c>
      <c r="AC53" s="196">
        <v>150000</v>
      </c>
      <c r="AD53" s="196">
        <v>0</v>
      </c>
      <c r="AE53" s="196">
        <v>0</v>
      </c>
      <c r="AF53" s="196">
        <f>SUM(Tabela99[[#This Row], [jan/26]:[dez/26]])</f>
      </c>
      <c r="AG53" s="196">
        <v>0</v>
      </c>
      <c r="AH53" s="196">
        <v>0</v>
      </c>
      <c r="AI53" s="196">
        <v>0</v>
      </c>
      <c r="AJ53" s="196">
        <v>0</v>
      </c>
      <c r="AK53" s="196">
        <f>SUM(Tabela99[[#This Row], [2026]:[2030]])</f>
      </c>
      <c r="AL53" s="195">
        <v>0</v>
      </c>
      <c r="AM53" s="196">
        <v>0</v>
      </c>
      <c r="AN53" s="196">
        <v>0</v>
      </c>
      <c r="AO53" s="196">
        <v>0</v>
      </c>
      <c r="AP53" s="196">
        <v>0</v>
      </c>
      <c r="AQ53" s="197">
        <f>SUM(Tabela99[[#This Row], [2026-2030]:[2035]])</f>
      </c>
      <c r="AR53" s="1"/>
      <c r="AS53" s="13" t="s">
        <v>39461</v>
      </c>
      <c r="AT53" s="39">
        <v>2024</v>
      </c>
      <c r="AU53" s="13" t="s">
        <v>39594</v>
      </c>
      <c r="AV53" s="1"/>
      <c r="AW53" s="13" t="s">
        <v>39194</v>
      </c>
      <c r="AX53" s="2"/>
      <c r="AY53" s="2"/>
      <c r="AZ53" s="13" t="s">
        <v>39582</v>
      </c>
    </row>
    <row x14ac:dyDescent="0.25" r="54" customHeight="1" ht="24.75">
      <c r="A54" s="198"/>
      <c r="B54" s="188">
        <f>AND(ISTEXT('Consolidado-Eletronorte'!#REF!),SUM('Consolidado-Eletronorte'!#REF!)&gt;0)</f>
      </c>
      <c r="C54" s="199">
        <f>INDIRECT(SUBSTITUTE($J63&amp;$K63," ",""))</f>
      </c>
      <c r="D54" s="199">
        <f>$H$3</f>
      </c>
      <c r="E54" s="199">
        <f>$H$4</f>
      </c>
      <c r="F54" s="200"/>
      <c r="G54" s="199">
        <f>_xlfn.CONCAT('Consolidado-Eletronorte'!#REF!,"_",ROW('Consolidado-Eletronorte'!#REF!)-ROW('Consolidado-Eletronorte'!$G$18))</f>
      </c>
      <c r="H54" s="201" t="s">
        <v>10</v>
      </c>
      <c r="I54" s="202" t="s">
        <v>85</v>
      </c>
      <c r="J54" s="202" t="s">
        <v>5</v>
      </c>
      <c r="K54" s="203" t="s">
        <v>39449</v>
      </c>
      <c r="L54" s="202" t="s">
        <v>39456</v>
      </c>
      <c r="M54" s="202" t="s">
        <v>39595</v>
      </c>
      <c r="N54" s="202"/>
      <c r="O54" s="202"/>
      <c r="P54" s="202"/>
      <c r="Q54" s="204" t="s">
        <v>39596</v>
      </c>
      <c r="R54" s="204" t="s">
        <v>39597</v>
      </c>
      <c r="S54" s="202" t="s">
        <v>39598</v>
      </c>
      <c r="T54" s="205">
        <v>0</v>
      </c>
      <c r="U54" s="206">
        <v>0</v>
      </c>
      <c r="V54" s="206">
        <v>0</v>
      </c>
      <c r="W54" s="206">
        <v>0</v>
      </c>
      <c r="X54" s="205">
        <v>0</v>
      </c>
      <c r="Y54" s="205">
        <v>0</v>
      </c>
      <c r="Z54" s="207">
        <v>0</v>
      </c>
      <c r="AA54" s="207">
        <v>0</v>
      </c>
      <c r="AB54" s="207">
        <v>0</v>
      </c>
      <c r="AC54" s="207">
        <v>250000</v>
      </c>
      <c r="AD54" s="207">
        <v>0</v>
      </c>
      <c r="AE54" s="207">
        <v>0</v>
      </c>
      <c r="AF54" s="207">
        <f>SUM(Tabela99[[#This Row], [jan/26]:[dez/26]])</f>
      </c>
      <c r="AG54" s="207">
        <v>600000</v>
      </c>
      <c r="AH54" s="207">
        <v>0</v>
      </c>
      <c r="AI54" s="207">
        <v>0</v>
      </c>
      <c r="AJ54" s="207">
        <v>0</v>
      </c>
      <c r="AK54" s="207">
        <f>SUM(Tabela99[[#This Row], [2026]:[2030]])</f>
      </c>
      <c r="AL54" s="206">
        <v>0</v>
      </c>
      <c r="AM54" s="207">
        <v>0</v>
      </c>
      <c r="AN54" s="207">
        <v>0</v>
      </c>
      <c r="AO54" s="207">
        <v>0</v>
      </c>
      <c r="AP54" s="207">
        <v>0</v>
      </c>
      <c r="AQ54" s="208">
        <f>SUM(Tabela99[[#This Row], [2026-2030]:[2035]])</f>
      </c>
      <c r="AR54" s="1"/>
      <c r="AS54" s="13" t="s">
        <v>39461</v>
      </c>
      <c r="AT54" s="39">
        <v>2025</v>
      </c>
      <c r="AU54" s="13" t="s">
        <v>39599</v>
      </c>
      <c r="AV54" s="1"/>
      <c r="AW54" s="13" t="s">
        <v>39194</v>
      </c>
      <c r="AX54" s="2"/>
      <c r="AY54" s="2"/>
      <c r="AZ54" s="13" t="s">
        <v>39582</v>
      </c>
    </row>
    <row x14ac:dyDescent="0.25" r="55" customHeight="1" ht="24.75">
      <c r="A55" s="187"/>
      <c r="B55" s="188">
        <f>AND(ISTEXT('Consolidado-Eletronorte'!#REF!),SUM('Consolidado-Eletronorte'!#REF!)&gt;0)</f>
      </c>
      <c r="C55" s="189">
        <f>INDIRECT(SUBSTITUTE($J64&amp;$K64," ",""))</f>
      </c>
      <c r="D55" s="189">
        <f>$H$3</f>
      </c>
      <c r="E55" s="189">
        <f>$H$4</f>
      </c>
      <c r="F55" s="190"/>
      <c r="G55" s="189">
        <f>_xlfn.CONCAT('Consolidado-Eletronorte'!#REF!,"_",ROW('Consolidado-Eletronorte'!#REF!)-ROW('Consolidado-Eletronorte'!$G$18))</f>
      </c>
      <c r="H55" s="186" t="s">
        <v>10</v>
      </c>
      <c r="I55" s="191" t="s">
        <v>85</v>
      </c>
      <c r="J55" s="191" t="s">
        <v>5</v>
      </c>
      <c r="K55" s="192" t="s">
        <v>39449</v>
      </c>
      <c r="L55" s="191" t="s">
        <v>39456</v>
      </c>
      <c r="M55" s="191" t="s">
        <v>39595</v>
      </c>
      <c r="N55" s="191"/>
      <c r="O55" s="191"/>
      <c r="P55" s="191"/>
      <c r="Q55" s="193" t="s">
        <v>39600</v>
      </c>
      <c r="R55" s="193" t="s">
        <v>39601</v>
      </c>
      <c r="S55" s="191" t="s">
        <v>39598</v>
      </c>
      <c r="T55" s="194">
        <v>0</v>
      </c>
      <c r="U55" s="195">
        <v>0</v>
      </c>
      <c r="V55" s="195">
        <v>0</v>
      </c>
      <c r="W55" s="195">
        <v>0</v>
      </c>
      <c r="X55" s="194">
        <v>0</v>
      </c>
      <c r="Y55" s="194">
        <v>0</v>
      </c>
      <c r="Z55" s="196">
        <v>0</v>
      </c>
      <c r="AA55" s="196">
        <v>250000</v>
      </c>
      <c r="AB55" s="196">
        <v>0</v>
      </c>
      <c r="AC55" s="196">
        <v>0</v>
      </c>
      <c r="AD55" s="196">
        <v>0</v>
      </c>
      <c r="AE55" s="196">
        <v>0</v>
      </c>
      <c r="AF55" s="196">
        <f>SUM(Tabela99[[#This Row], [jan/26]:[dez/26]])</f>
      </c>
      <c r="AG55" s="196">
        <v>0</v>
      </c>
      <c r="AH55" s="196">
        <v>0</v>
      </c>
      <c r="AI55" s="196">
        <v>500000</v>
      </c>
      <c r="AJ55" s="196">
        <v>0</v>
      </c>
      <c r="AK55" s="196">
        <f>SUM(Tabela99[[#This Row], [2026]:[2030]])</f>
      </c>
      <c r="AL55" s="195">
        <v>0</v>
      </c>
      <c r="AM55" s="196">
        <v>0</v>
      </c>
      <c r="AN55" s="196">
        <v>0</v>
      </c>
      <c r="AO55" s="196">
        <v>0</v>
      </c>
      <c r="AP55" s="196">
        <v>0</v>
      </c>
      <c r="AQ55" s="197">
        <f>SUM(Tabela99[[#This Row], [2026-2030]:[2035]])</f>
      </c>
      <c r="AR55" s="1"/>
      <c r="AS55" s="13" t="s">
        <v>39461</v>
      </c>
      <c r="AT55" s="39">
        <v>2025</v>
      </c>
      <c r="AU55" s="13" t="s">
        <v>39602</v>
      </c>
      <c r="AV55" s="1"/>
      <c r="AW55" s="13" t="s">
        <v>39194</v>
      </c>
      <c r="AX55" s="2"/>
      <c r="AY55" s="2"/>
      <c r="AZ55" s="13" t="s">
        <v>39582</v>
      </c>
    </row>
    <row x14ac:dyDescent="0.25" r="56" customHeight="1" ht="24.75">
      <c r="A56" s="187"/>
      <c r="B56" s="188">
        <f>AND(ISTEXT('Consolidado-Eletronorte'!#REF!),SUM('Consolidado-Eletronorte'!#REF!)&gt;0)</f>
      </c>
      <c r="C56" s="189">
        <f>INDIRECT(SUBSTITUTE($J65&amp;$K65," ",""))</f>
      </c>
      <c r="D56" s="189">
        <f>$H$3</f>
      </c>
      <c r="E56" s="189">
        <f>$H$4</f>
      </c>
      <c r="F56" s="190"/>
      <c r="G56" s="189">
        <f>_xlfn.CONCAT('Consolidado-Eletronorte'!#REF!,"_",ROW('Consolidado-Eletronorte'!#REF!)-ROW('Consolidado-Eletronorte'!$G$18))</f>
      </c>
      <c r="H56" s="186" t="s">
        <v>10</v>
      </c>
      <c r="I56" s="191" t="s">
        <v>85</v>
      </c>
      <c r="J56" s="191" t="s">
        <v>5</v>
      </c>
      <c r="K56" s="192" t="s">
        <v>39449</v>
      </c>
      <c r="L56" s="191" t="s">
        <v>39456</v>
      </c>
      <c r="M56" s="191" t="s">
        <v>39595</v>
      </c>
      <c r="N56" s="191"/>
      <c r="O56" s="191"/>
      <c r="P56" s="191"/>
      <c r="Q56" s="193" t="s">
        <v>39603</v>
      </c>
      <c r="R56" s="193" t="s">
        <v>39604</v>
      </c>
      <c r="S56" s="191" t="s">
        <v>39598</v>
      </c>
      <c r="T56" s="194">
        <v>0</v>
      </c>
      <c r="U56" s="195">
        <v>0</v>
      </c>
      <c r="V56" s="195">
        <v>0</v>
      </c>
      <c r="W56" s="195">
        <v>0</v>
      </c>
      <c r="X56" s="194">
        <v>0</v>
      </c>
      <c r="Y56" s="194">
        <v>0</v>
      </c>
      <c r="Z56" s="196">
        <v>0</v>
      </c>
      <c r="AA56" s="196">
        <v>0</v>
      </c>
      <c r="AB56" s="196">
        <v>0</v>
      </c>
      <c r="AC56" s="196">
        <v>0</v>
      </c>
      <c r="AD56" s="196">
        <v>0</v>
      </c>
      <c r="AE56" s="196">
        <v>0</v>
      </c>
      <c r="AF56" s="196">
        <f>SUM(Tabela99[[#This Row], [jan/26]:[dez/26]])</f>
      </c>
      <c r="AG56" s="196">
        <v>300000</v>
      </c>
      <c r="AH56" s="196">
        <v>0</v>
      </c>
      <c r="AI56" s="196">
        <v>0</v>
      </c>
      <c r="AJ56" s="196">
        <v>0</v>
      </c>
      <c r="AK56" s="196">
        <f>SUM(Tabela99[[#This Row], [2026]:[2030]])</f>
      </c>
      <c r="AL56" s="195">
        <v>0</v>
      </c>
      <c r="AM56" s="196">
        <v>0</v>
      </c>
      <c r="AN56" s="196">
        <v>0</v>
      </c>
      <c r="AO56" s="196">
        <v>0</v>
      </c>
      <c r="AP56" s="196">
        <v>0</v>
      </c>
      <c r="AQ56" s="197">
        <f>SUM(Tabela99[[#This Row], [2026-2030]:[2035]])</f>
      </c>
      <c r="AR56" s="1"/>
      <c r="AS56" s="13" t="s">
        <v>39461</v>
      </c>
      <c r="AT56" s="39">
        <v>2025</v>
      </c>
      <c r="AU56" s="13" t="s">
        <v>39605</v>
      </c>
      <c r="AV56" s="1"/>
      <c r="AW56" s="13" t="s">
        <v>39194</v>
      </c>
      <c r="AX56" s="2"/>
      <c r="AY56" s="2"/>
      <c r="AZ56" s="13" t="s">
        <v>39582</v>
      </c>
    </row>
    <row x14ac:dyDescent="0.25" r="57" customHeight="1" ht="24.75">
      <c r="A57" s="187"/>
      <c r="B57" s="188">
        <f>AND(ISTEXT('Consolidado-Eletronorte'!#REF!),SUM('Consolidado-Eletronorte'!#REF!)&gt;0)</f>
      </c>
      <c r="C57" s="189">
        <f>INDIRECT(SUBSTITUTE($J66&amp;$K66," ",""))</f>
      </c>
      <c r="D57" s="189">
        <f>$H$3</f>
      </c>
      <c r="E57" s="189">
        <f>$H$4</f>
      </c>
      <c r="F57" s="190"/>
      <c r="G57" s="189">
        <f>_xlfn.CONCAT('Consolidado-Eletronorte'!#REF!,"_",ROW('Consolidado-Eletronorte'!#REF!)-ROW('Consolidado-Eletronorte'!$G$18))</f>
      </c>
      <c r="H57" s="186" t="s">
        <v>10</v>
      </c>
      <c r="I57" s="191" t="s">
        <v>85</v>
      </c>
      <c r="J57" s="191" t="s">
        <v>5</v>
      </c>
      <c r="K57" s="192" t="s">
        <v>39449</v>
      </c>
      <c r="L57" s="191" t="s">
        <v>39456</v>
      </c>
      <c r="M57" s="191" t="s">
        <v>39595</v>
      </c>
      <c r="N57" s="191"/>
      <c r="O57" s="191"/>
      <c r="P57" s="191"/>
      <c r="Q57" s="193" t="s">
        <v>39606</v>
      </c>
      <c r="R57" s="193" t="s">
        <v>39607</v>
      </c>
      <c r="S57" s="191" t="s">
        <v>39598</v>
      </c>
      <c r="T57" s="194">
        <v>0</v>
      </c>
      <c r="U57" s="195">
        <v>0</v>
      </c>
      <c r="V57" s="195">
        <v>0</v>
      </c>
      <c r="W57" s="195">
        <v>0</v>
      </c>
      <c r="X57" s="194">
        <v>0</v>
      </c>
      <c r="Y57" s="194">
        <v>0</v>
      </c>
      <c r="Z57" s="196">
        <v>0</v>
      </c>
      <c r="AA57" s="196">
        <v>0</v>
      </c>
      <c r="AB57" s="196">
        <v>0</v>
      </c>
      <c r="AC57" s="196">
        <v>0</v>
      </c>
      <c r="AD57" s="196">
        <v>0</v>
      </c>
      <c r="AE57" s="196">
        <v>0</v>
      </c>
      <c r="AF57" s="196">
        <f>SUM(Tabela99[[#This Row], [jan/26]:[dez/26]])</f>
      </c>
      <c r="AG57" s="196">
        <v>0</v>
      </c>
      <c r="AH57" s="196">
        <v>0</v>
      </c>
      <c r="AI57" s="196">
        <v>230000</v>
      </c>
      <c r="AJ57" s="196">
        <v>0</v>
      </c>
      <c r="AK57" s="196">
        <f>SUM(Tabela99[[#This Row], [2026]:[2030]])</f>
      </c>
      <c r="AL57" s="195">
        <v>0</v>
      </c>
      <c r="AM57" s="196">
        <v>0</v>
      </c>
      <c r="AN57" s="196">
        <v>0</v>
      </c>
      <c r="AO57" s="196">
        <v>0</v>
      </c>
      <c r="AP57" s="196">
        <v>0</v>
      </c>
      <c r="AQ57" s="197">
        <f>SUM(Tabela99[[#This Row], [2026-2030]:[2035]])</f>
      </c>
      <c r="AR57" s="1"/>
      <c r="AS57" s="13" t="s">
        <v>39461</v>
      </c>
      <c r="AT57" s="39">
        <v>2025</v>
      </c>
      <c r="AU57" s="13" t="s">
        <v>39608</v>
      </c>
      <c r="AV57" s="1"/>
      <c r="AW57" s="13" t="s">
        <v>39194</v>
      </c>
      <c r="AX57" s="2"/>
      <c r="AY57" s="2"/>
      <c r="AZ57" s="13" t="s">
        <v>39582</v>
      </c>
    </row>
    <row x14ac:dyDescent="0.25" r="58" customHeight="1" ht="24.75">
      <c r="A58" s="187"/>
      <c r="B58" s="188">
        <f>AND(ISTEXT('Consolidado-Eletronorte'!#REF!),SUM('Consolidado-Eletronorte'!#REF!)&gt;0)</f>
      </c>
      <c r="C58" s="189">
        <f>INDIRECT(SUBSTITUTE($J67&amp;$K67," ",""))</f>
      </c>
      <c r="D58" s="189">
        <f>$H$3</f>
      </c>
      <c r="E58" s="189">
        <f>$H$4</f>
      </c>
      <c r="F58" s="190"/>
      <c r="G58" s="189">
        <f>_xlfn.CONCAT('Consolidado-Eletronorte'!#REF!,"_",ROW('Consolidado-Eletronorte'!#REF!)-ROW('Consolidado-Eletronorte'!$G$18))</f>
      </c>
      <c r="H58" s="186" t="s">
        <v>10</v>
      </c>
      <c r="I58" s="191" t="s">
        <v>85</v>
      </c>
      <c r="J58" s="191" t="s">
        <v>5</v>
      </c>
      <c r="K58" s="192" t="s">
        <v>39449</v>
      </c>
      <c r="L58" s="191" t="s">
        <v>39456</v>
      </c>
      <c r="M58" s="191" t="s">
        <v>39595</v>
      </c>
      <c r="N58" s="191"/>
      <c r="O58" s="191"/>
      <c r="P58" s="191"/>
      <c r="Q58" s="193" t="s">
        <v>39609</v>
      </c>
      <c r="R58" s="193" t="s">
        <v>39610</v>
      </c>
      <c r="S58" s="191" t="s">
        <v>39598</v>
      </c>
      <c r="T58" s="194">
        <v>0</v>
      </c>
      <c r="U58" s="195">
        <v>0</v>
      </c>
      <c r="V58" s="195">
        <v>0</v>
      </c>
      <c r="W58" s="195">
        <v>0</v>
      </c>
      <c r="X58" s="194">
        <v>0</v>
      </c>
      <c r="Y58" s="194">
        <v>0</v>
      </c>
      <c r="Z58" s="196">
        <v>0</v>
      </c>
      <c r="AA58" s="196">
        <v>0</v>
      </c>
      <c r="AB58" s="196">
        <v>0</v>
      </c>
      <c r="AC58" s="196">
        <v>0</v>
      </c>
      <c r="AD58" s="196">
        <v>0</v>
      </c>
      <c r="AE58" s="196">
        <v>0</v>
      </c>
      <c r="AF58" s="196">
        <f>SUM(Tabela99[[#This Row], [jan/26]:[dez/26]])</f>
      </c>
      <c r="AG58" s="196">
        <v>0</v>
      </c>
      <c r="AH58" s="196">
        <v>200000</v>
      </c>
      <c r="AI58" s="196">
        <v>0</v>
      </c>
      <c r="AJ58" s="196">
        <v>0</v>
      </c>
      <c r="AK58" s="196">
        <f>SUM(Tabela99[[#This Row], [2026]:[2030]])</f>
      </c>
      <c r="AL58" s="195">
        <v>0</v>
      </c>
      <c r="AM58" s="196">
        <v>0</v>
      </c>
      <c r="AN58" s="196">
        <v>0</v>
      </c>
      <c r="AO58" s="196">
        <v>0</v>
      </c>
      <c r="AP58" s="196">
        <v>0</v>
      </c>
      <c r="AQ58" s="197">
        <f>SUM(Tabela99[[#This Row], [2026-2030]:[2035]])</f>
      </c>
      <c r="AR58" s="1"/>
      <c r="AS58" s="13" t="s">
        <v>39461</v>
      </c>
      <c r="AT58" s="39">
        <v>2025</v>
      </c>
      <c r="AU58" s="13" t="s">
        <v>39611</v>
      </c>
      <c r="AV58" s="1"/>
      <c r="AW58" s="13" t="s">
        <v>39194</v>
      </c>
      <c r="AX58" s="2"/>
      <c r="AY58" s="2"/>
      <c r="AZ58" s="13" t="s">
        <v>39582</v>
      </c>
    </row>
    <row x14ac:dyDescent="0.25" r="59" customHeight="1" ht="24.75">
      <c r="A59" s="187"/>
      <c r="B59" s="188">
        <f>AND(ISTEXT('Consolidado-Eletronorte'!#REF!),SUM('Consolidado-Eletronorte'!#REF!)&gt;0)</f>
      </c>
      <c r="C59" s="189">
        <f>INDIRECT(SUBSTITUTE($J68&amp;$K68," ",""))</f>
      </c>
      <c r="D59" s="189">
        <f>$H$3</f>
      </c>
      <c r="E59" s="189">
        <f>$H$4</f>
      </c>
      <c r="F59" s="190"/>
      <c r="G59" s="189">
        <f>_xlfn.CONCAT('Consolidado-Eletronorte'!#REF!,"_",ROW('Consolidado-Eletronorte'!#REF!)-ROW('Consolidado-Eletronorte'!$G$18))</f>
      </c>
      <c r="H59" s="186" t="s">
        <v>10</v>
      </c>
      <c r="I59" s="191" t="s">
        <v>85</v>
      </c>
      <c r="J59" s="191" t="s">
        <v>5</v>
      </c>
      <c r="K59" s="192" t="s">
        <v>39449</v>
      </c>
      <c r="L59" s="191" t="s">
        <v>39456</v>
      </c>
      <c r="M59" s="191" t="s">
        <v>39595</v>
      </c>
      <c r="N59" s="191"/>
      <c r="O59" s="191"/>
      <c r="P59" s="191"/>
      <c r="Q59" s="193" t="s">
        <v>39612</v>
      </c>
      <c r="R59" s="193" t="s">
        <v>39613</v>
      </c>
      <c r="S59" s="191" t="s">
        <v>39598</v>
      </c>
      <c r="T59" s="194">
        <v>0</v>
      </c>
      <c r="U59" s="195">
        <v>0</v>
      </c>
      <c r="V59" s="195">
        <v>0</v>
      </c>
      <c r="W59" s="195">
        <v>0</v>
      </c>
      <c r="X59" s="194">
        <v>0</v>
      </c>
      <c r="Y59" s="194">
        <v>0</v>
      </c>
      <c r="Z59" s="196">
        <v>0</v>
      </c>
      <c r="AA59" s="196">
        <v>0</v>
      </c>
      <c r="AB59" s="196">
        <v>0</v>
      </c>
      <c r="AC59" s="196">
        <v>0</v>
      </c>
      <c r="AD59" s="196">
        <v>0</v>
      </c>
      <c r="AE59" s="196">
        <v>0</v>
      </c>
      <c r="AF59" s="196">
        <f>SUM(Tabela99[[#This Row], [jan/26]:[dez/26]])</f>
      </c>
      <c r="AG59" s="196">
        <v>120000</v>
      </c>
      <c r="AH59" s="196">
        <v>0</v>
      </c>
      <c r="AI59" s="196">
        <v>0</v>
      </c>
      <c r="AJ59" s="196">
        <v>0</v>
      </c>
      <c r="AK59" s="196">
        <f>SUM(Tabela99[[#This Row], [2026]:[2030]])</f>
      </c>
      <c r="AL59" s="195">
        <v>0</v>
      </c>
      <c r="AM59" s="196">
        <v>0</v>
      </c>
      <c r="AN59" s="196">
        <v>0</v>
      </c>
      <c r="AO59" s="196">
        <v>0</v>
      </c>
      <c r="AP59" s="196">
        <v>0</v>
      </c>
      <c r="AQ59" s="197">
        <f>SUM(Tabela99[[#This Row], [2026-2030]:[2035]])</f>
      </c>
      <c r="AR59" s="1"/>
      <c r="AS59" s="13" t="s">
        <v>39461</v>
      </c>
      <c r="AT59" s="39">
        <v>2025</v>
      </c>
      <c r="AU59" s="13" t="s">
        <v>39614</v>
      </c>
      <c r="AV59" s="1"/>
      <c r="AW59" s="13" t="s">
        <v>39194</v>
      </c>
      <c r="AX59" s="2"/>
      <c r="AY59" s="2"/>
      <c r="AZ59" s="13" t="s">
        <v>39582</v>
      </c>
    </row>
    <row x14ac:dyDescent="0.25" r="60" customHeight="1" ht="24.75">
      <c r="A60" s="187"/>
      <c r="B60" s="188">
        <f>AND(ISTEXT('Consolidado-Eletronorte'!#REF!),SUM('Consolidado-Eletronorte'!#REF!)&gt;0)</f>
      </c>
      <c r="C60" s="189">
        <f>INDIRECT(SUBSTITUTE($J69&amp;$K69," ",""))</f>
      </c>
      <c r="D60" s="189">
        <f>$H$3</f>
      </c>
      <c r="E60" s="189">
        <f>$H$4</f>
      </c>
      <c r="F60" s="190"/>
      <c r="G60" s="189">
        <f>_xlfn.CONCAT('Consolidado-Eletronorte'!#REF!,"_",ROW('Consolidado-Eletronorte'!#REF!)-ROW('Consolidado-Eletronorte'!$G$18))</f>
      </c>
      <c r="H60" s="186" t="s">
        <v>10</v>
      </c>
      <c r="I60" s="191" t="s">
        <v>85</v>
      </c>
      <c r="J60" s="191" t="s">
        <v>5</v>
      </c>
      <c r="K60" s="192" t="s">
        <v>39449</v>
      </c>
      <c r="L60" s="191" t="s">
        <v>39456</v>
      </c>
      <c r="M60" s="191" t="s">
        <v>39595</v>
      </c>
      <c r="N60" s="191"/>
      <c r="O60" s="191"/>
      <c r="P60" s="191"/>
      <c r="Q60" s="193" t="s">
        <v>39615</v>
      </c>
      <c r="R60" s="193" t="s">
        <v>39616</v>
      </c>
      <c r="S60" s="191" t="s">
        <v>39598</v>
      </c>
      <c r="T60" s="194">
        <v>0</v>
      </c>
      <c r="U60" s="195">
        <v>0</v>
      </c>
      <c r="V60" s="195">
        <v>0</v>
      </c>
      <c r="W60" s="195">
        <v>0</v>
      </c>
      <c r="X60" s="194">
        <v>0</v>
      </c>
      <c r="Y60" s="194">
        <v>0</v>
      </c>
      <c r="Z60" s="196">
        <v>0</v>
      </c>
      <c r="AA60" s="196">
        <v>0</v>
      </c>
      <c r="AB60" s="196">
        <v>0</v>
      </c>
      <c r="AC60" s="196">
        <v>0</v>
      </c>
      <c r="AD60" s="196">
        <v>0</v>
      </c>
      <c r="AE60" s="196">
        <v>0</v>
      </c>
      <c r="AF60" s="196">
        <f>SUM(Tabela99[[#This Row], [jan/26]:[dez/26]])</f>
      </c>
      <c r="AG60" s="196">
        <v>75000</v>
      </c>
      <c r="AH60" s="196">
        <v>0</v>
      </c>
      <c r="AI60" s="196">
        <v>0</v>
      </c>
      <c r="AJ60" s="196">
        <v>0</v>
      </c>
      <c r="AK60" s="196">
        <f>SUM(Tabela99[[#This Row], [2026]:[2030]])</f>
      </c>
      <c r="AL60" s="195">
        <v>0</v>
      </c>
      <c r="AM60" s="196">
        <v>0</v>
      </c>
      <c r="AN60" s="196">
        <v>0</v>
      </c>
      <c r="AO60" s="196">
        <v>0</v>
      </c>
      <c r="AP60" s="196">
        <v>0</v>
      </c>
      <c r="AQ60" s="197">
        <f>SUM(Tabela99[[#This Row], [2026-2030]:[2035]])</f>
      </c>
      <c r="AR60" s="1"/>
      <c r="AS60" s="13" t="s">
        <v>39461</v>
      </c>
      <c r="AT60" s="39">
        <v>2025</v>
      </c>
      <c r="AU60" s="13" t="s">
        <v>39617</v>
      </c>
      <c r="AV60" s="1"/>
      <c r="AW60" s="13" t="s">
        <v>39194</v>
      </c>
      <c r="AX60" s="2"/>
      <c r="AY60" s="2"/>
      <c r="AZ60" s="13" t="s">
        <v>39582</v>
      </c>
    </row>
    <row x14ac:dyDescent="0.25" r="61" customHeight="1" ht="24.75">
      <c r="A61" s="187"/>
      <c r="B61" s="188">
        <f>AND(ISTEXT('Consolidado-Eletronorte'!#REF!),SUM('Consolidado-Eletronorte'!#REF!)&gt;0)</f>
      </c>
      <c r="C61" s="189">
        <f>INDIRECT(SUBSTITUTE($J70&amp;$K70," ",""))</f>
      </c>
      <c r="D61" s="189">
        <f>$H$3</f>
      </c>
      <c r="E61" s="189">
        <f>$H$4</f>
      </c>
      <c r="F61" s="190"/>
      <c r="G61" s="189">
        <f>_xlfn.CONCAT('Consolidado-Eletronorte'!#REF!,"_",ROW('Consolidado-Eletronorte'!#REF!)-ROW('Consolidado-Eletronorte'!$G$18))</f>
      </c>
      <c r="H61" s="186" t="s">
        <v>10</v>
      </c>
      <c r="I61" s="191" t="s">
        <v>85</v>
      </c>
      <c r="J61" s="191" t="s">
        <v>5</v>
      </c>
      <c r="K61" s="192" t="s">
        <v>39449</v>
      </c>
      <c r="L61" s="191" t="s">
        <v>39456</v>
      </c>
      <c r="M61" s="191" t="s">
        <v>39595</v>
      </c>
      <c r="N61" s="191"/>
      <c r="O61" s="191"/>
      <c r="P61" s="191"/>
      <c r="Q61" s="193" t="s">
        <v>39618</v>
      </c>
      <c r="R61" s="193" t="s">
        <v>39619</v>
      </c>
      <c r="S61" s="191" t="s">
        <v>39598</v>
      </c>
      <c r="T61" s="194">
        <v>0</v>
      </c>
      <c r="U61" s="195">
        <v>0</v>
      </c>
      <c r="V61" s="195">
        <v>0</v>
      </c>
      <c r="W61" s="195">
        <v>0</v>
      </c>
      <c r="X61" s="194">
        <v>0</v>
      </c>
      <c r="Y61" s="194">
        <v>0</v>
      </c>
      <c r="Z61" s="196">
        <v>0</v>
      </c>
      <c r="AA61" s="196">
        <v>0</v>
      </c>
      <c r="AB61" s="196">
        <v>0</v>
      </c>
      <c r="AC61" s="196">
        <v>0</v>
      </c>
      <c r="AD61" s="196">
        <v>0</v>
      </c>
      <c r="AE61" s="196">
        <v>0</v>
      </c>
      <c r="AF61" s="196">
        <f>SUM(Tabela99[[#This Row], [jan/26]:[dez/26]])</f>
      </c>
      <c r="AG61" s="196">
        <v>250000</v>
      </c>
      <c r="AH61" s="196">
        <v>0</v>
      </c>
      <c r="AI61" s="196">
        <v>0</v>
      </c>
      <c r="AJ61" s="196">
        <v>200000</v>
      </c>
      <c r="AK61" s="196">
        <f>SUM(Tabela99[[#This Row], [2026]:[2030]])</f>
      </c>
      <c r="AL61" s="195">
        <v>0</v>
      </c>
      <c r="AM61" s="196">
        <v>0</v>
      </c>
      <c r="AN61" s="196">
        <v>0</v>
      </c>
      <c r="AO61" s="196">
        <v>0</v>
      </c>
      <c r="AP61" s="196">
        <v>0</v>
      </c>
      <c r="AQ61" s="197">
        <f>SUM(Tabela99[[#This Row], [2026-2030]:[2035]])</f>
      </c>
      <c r="AR61" s="1"/>
      <c r="AS61" s="13" t="s">
        <v>39461</v>
      </c>
      <c r="AT61" s="39">
        <v>2025</v>
      </c>
      <c r="AU61" s="13" t="s">
        <v>39620</v>
      </c>
      <c r="AV61" s="1"/>
      <c r="AW61" s="13" t="s">
        <v>39194</v>
      </c>
      <c r="AX61" s="2"/>
      <c r="AY61" s="2"/>
      <c r="AZ61" s="13" t="s">
        <v>39582</v>
      </c>
    </row>
    <row x14ac:dyDescent="0.25" r="62" customHeight="1" ht="24.75">
      <c r="A62" s="198"/>
      <c r="B62" s="188">
        <f>AND(ISTEXT('Consolidado-Eletronorte'!#REF!),SUM('Consolidado-Eletronorte'!#REF!)&gt;0)</f>
      </c>
      <c r="C62" s="199">
        <f>INDIRECT(SUBSTITUTE($J71&amp;$K71," ",""))</f>
      </c>
      <c r="D62" s="199">
        <f>$H$3</f>
      </c>
      <c r="E62" s="199">
        <f>$H$4</f>
      </c>
      <c r="F62" s="200"/>
      <c r="G62" s="199">
        <f>_xlfn.CONCAT('Consolidado-Eletronorte'!#REF!,"_",ROW('Consolidado-Eletronorte'!#REF!)-ROW('Consolidado-Eletronorte'!$G$18))</f>
      </c>
      <c r="H62" s="201" t="s">
        <v>10</v>
      </c>
      <c r="I62" s="202" t="s">
        <v>85</v>
      </c>
      <c r="J62" s="202" t="s">
        <v>5</v>
      </c>
      <c r="K62" s="203" t="s">
        <v>39449</v>
      </c>
      <c r="L62" s="202" t="s">
        <v>39456</v>
      </c>
      <c r="M62" s="202" t="s">
        <v>39621</v>
      </c>
      <c r="N62" s="202"/>
      <c r="O62" s="202"/>
      <c r="P62" s="202"/>
      <c r="Q62" s="204" t="s">
        <v>39622</v>
      </c>
      <c r="R62" s="204" t="s">
        <v>39623</v>
      </c>
      <c r="S62" s="202" t="s">
        <v>39509</v>
      </c>
      <c r="T62" s="205">
        <v>0</v>
      </c>
      <c r="U62" s="205">
        <v>0</v>
      </c>
      <c r="V62" s="205">
        <v>0</v>
      </c>
      <c r="W62" s="205">
        <v>0</v>
      </c>
      <c r="X62" s="205">
        <v>0</v>
      </c>
      <c r="Y62" s="205">
        <v>0</v>
      </c>
      <c r="Z62" s="205">
        <v>0</v>
      </c>
      <c r="AA62" s="205">
        <v>0</v>
      </c>
      <c r="AB62" s="205">
        <v>0</v>
      </c>
      <c r="AC62" s="205">
        <v>0</v>
      </c>
      <c r="AD62" s="205">
        <v>0</v>
      </c>
      <c r="AE62" s="205">
        <v>0</v>
      </c>
      <c r="AF62" s="207">
        <f>SUM(Tabela99[[#This Row], [jan/26]:[dez/26]])</f>
      </c>
      <c r="AG62" s="207">
        <v>7000000</v>
      </c>
      <c r="AH62" s="207">
        <v>0</v>
      </c>
      <c r="AI62" s="207">
        <v>0</v>
      </c>
      <c r="AJ62" s="207">
        <v>0</v>
      </c>
      <c r="AK62" s="207">
        <f>SUM(Tabela99[[#This Row], [2026]:[2030]])</f>
      </c>
      <c r="AL62" s="206">
        <v>0</v>
      </c>
      <c r="AM62" s="207">
        <v>0</v>
      </c>
      <c r="AN62" s="207">
        <v>0</v>
      </c>
      <c r="AO62" s="207">
        <v>0</v>
      </c>
      <c r="AP62" s="207">
        <v>0</v>
      </c>
      <c r="AQ62" s="208">
        <f>SUM(Tabela99[[#This Row], [2026-2030]:[2035]])</f>
      </c>
      <c r="AR62" s="1"/>
      <c r="AS62" s="13" t="s">
        <v>39510</v>
      </c>
      <c r="AT62" s="39">
        <v>2025</v>
      </c>
      <c r="AU62" s="13" t="s">
        <v>39624</v>
      </c>
      <c r="AV62" s="1"/>
      <c r="AW62" s="13" t="s">
        <v>39194</v>
      </c>
      <c r="AX62" s="2"/>
      <c r="AY62" s="2"/>
      <c r="AZ62" s="13" t="s">
        <v>39511</v>
      </c>
    </row>
    <row x14ac:dyDescent="0.25" r="63" customHeight="1" ht="24.75">
      <c r="A63" s="187"/>
      <c r="B63" s="188">
        <f>AND(ISTEXT('Consolidado-Eletronorte'!#REF!),SUM('Consolidado-Eletronorte'!#REF!)&gt;0)</f>
      </c>
      <c r="C63" s="189">
        <f>INDIRECT(SUBSTITUTE($J72&amp;$K72," ",""))</f>
      </c>
      <c r="D63" s="189">
        <f>$H$3</f>
      </c>
      <c r="E63" s="189">
        <f>$H$4</f>
      </c>
      <c r="F63" s="190"/>
      <c r="G63" s="189">
        <f>_xlfn.CONCAT('Consolidado-Eletronorte'!#REF!,"_",ROW('Consolidado-Eletronorte'!#REF!)-ROW('Consolidado-Eletronorte'!$G$18))</f>
      </c>
      <c r="H63" s="186" t="s">
        <v>10</v>
      </c>
      <c r="I63" s="191" t="s">
        <v>85</v>
      </c>
      <c r="J63" s="191" t="s">
        <v>5</v>
      </c>
      <c r="K63" s="192" t="s">
        <v>39449</v>
      </c>
      <c r="L63" s="191" t="s">
        <v>39456</v>
      </c>
      <c r="M63" s="191" t="s">
        <v>39621</v>
      </c>
      <c r="N63" s="191"/>
      <c r="O63" s="191"/>
      <c r="P63" s="191"/>
      <c r="Q63" s="193" t="s">
        <v>39625</v>
      </c>
      <c r="R63" s="193" t="s">
        <v>39626</v>
      </c>
      <c r="S63" s="191" t="s">
        <v>39509</v>
      </c>
      <c r="T63" s="194">
        <v>0</v>
      </c>
      <c r="U63" s="195">
        <v>0</v>
      </c>
      <c r="V63" s="195">
        <v>0</v>
      </c>
      <c r="W63" s="195">
        <v>0</v>
      </c>
      <c r="X63" s="194">
        <v>0</v>
      </c>
      <c r="Y63" s="194">
        <v>0</v>
      </c>
      <c r="Z63" s="196">
        <v>0</v>
      </c>
      <c r="AA63" s="196">
        <v>0</v>
      </c>
      <c r="AB63" s="196">
        <v>0</v>
      </c>
      <c r="AC63" s="196">
        <v>0</v>
      </c>
      <c r="AD63" s="196">
        <v>0</v>
      </c>
      <c r="AE63" s="196">
        <v>0</v>
      </c>
      <c r="AF63" s="196">
        <f>SUM(Tabela99[[#This Row], [jan/26]:[dez/26]])</f>
      </c>
      <c r="AG63" s="196">
        <v>0</v>
      </c>
      <c r="AH63" s="196">
        <v>0</v>
      </c>
      <c r="AI63" s="196">
        <v>500000</v>
      </c>
      <c r="AJ63" s="196">
        <v>4500000</v>
      </c>
      <c r="AK63" s="196">
        <f>SUM(Tabela99[[#This Row], [2026]:[2030]])</f>
      </c>
      <c r="AL63" s="195">
        <v>0</v>
      </c>
      <c r="AM63" s="196">
        <v>0</v>
      </c>
      <c r="AN63" s="196">
        <v>0</v>
      </c>
      <c r="AO63" s="196">
        <v>0</v>
      </c>
      <c r="AP63" s="196">
        <v>0</v>
      </c>
      <c r="AQ63" s="197">
        <f>SUM(Tabela99[[#This Row], [2026-2030]:[2035]])</f>
      </c>
      <c r="AR63" s="1"/>
      <c r="AS63" s="13" t="s">
        <v>39510</v>
      </c>
      <c r="AT63" s="39">
        <v>2025</v>
      </c>
      <c r="AU63" s="13" t="s">
        <v>39627</v>
      </c>
      <c r="AV63" s="1"/>
      <c r="AW63" s="13" t="s">
        <v>39194</v>
      </c>
      <c r="AX63" s="2"/>
      <c r="AY63" s="2"/>
      <c r="AZ63" s="13" t="s">
        <v>39511</v>
      </c>
    </row>
    <row x14ac:dyDescent="0.25" r="64" customHeight="1" ht="24.75">
      <c r="A64" s="187"/>
      <c r="B64" s="188">
        <f>AND(ISTEXT('Consolidado-Eletronorte'!#REF!),SUM('Consolidado-Eletronorte'!#REF!)&gt;0)</f>
      </c>
      <c r="C64" s="189">
        <f>INDIRECT(SUBSTITUTE($J73&amp;$K73," ",""))</f>
      </c>
      <c r="D64" s="189">
        <f>$H$3</f>
      </c>
      <c r="E64" s="189">
        <f>$H$4</f>
      </c>
      <c r="F64" s="190"/>
      <c r="G64" s="189">
        <f>_xlfn.CONCAT('Consolidado-Eletronorte'!#REF!,"_",ROW('Consolidado-Eletronorte'!#REF!)-ROW('Consolidado-Eletronorte'!$G$18))</f>
      </c>
      <c r="H64" s="186" t="s">
        <v>10</v>
      </c>
      <c r="I64" s="191" t="s">
        <v>85</v>
      </c>
      <c r="J64" s="191" t="s">
        <v>5</v>
      </c>
      <c r="K64" s="192" t="s">
        <v>39449</v>
      </c>
      <c r="L64" s="191" t="s">
        <v>39456</v>
      </c>
      <c r="M64" s="191" t="s">
        <v>39628</v>
      </c>
      <c r="N64" s="191"/>
      <c r="O64" s="191"/>
      <c r="P64" s="191"/>
      <c r="Q64" s="193" t="s">
        <v>39629</v>
      </c>
      <c r="R64" s="193" t="s">
        <v>39630</v>
      </c>
      <c r="S64" s="191" t="s">
        <v>39631</v>
      </c>
      <c r="T64" s="194">
        <v>0</v>
      </c>
      <c r="U64" s="195">
        <v>0</v>
      </c>
      <c r="V64" s="195">
        <v>0</v>
      </c>
      <c r="W64" s="195">
        <v>0</v>
      </c>
      <c r="X64" s="194">
        <v>0</v>
      </c>
      <c r="Y64" s="194">
        <v>0</v>
      </c>
      <c r="Z64" s="196">
        <v>0</v>
      </c>
      <c r="AA64" s="196">
        <v>0</v>
      </c>
      <c r="AB64" s="196">
        <v>0</v>
      </c>
      <c r="AC64" s="196">
        <v>0</v>
      </c>
      <c r="AD64" s="196">
        <v>0</v>
      </c>
      <c r="AE64" s="196">
        <v>0</v>
      </c>
      <c r="AF64" s="196">
        <f>SUM(Tabela99[[#This Row], [jan/26]:[dez/26]])</f>
      </c>
      <c r="AG64" s="196">
        <v>400</v>
      </c>
      <c r="AH64" s="196">
        <v>0</v>
      </c>
      <c r="AI64" s="196">
        <v>0</v>
      </c>
      <c r="AJ64" s="196">
        <v>0</v>
      </c>
      <c r="AK64" s="196">
        <f>SUM(Tabela99[[#This Row], [2026]:[2030]])</f>
      </c>
      <c r="AL64" s="195">
        <v>0</v>
      </c>
      <c r="AM64" s="196">
        <v>0</v>
      </c>
      <c r="AN64" s="196">
        <v>0</v>
      </c>
      <c r="AO64" s="196">
        <v>0</v>
      </c>
      <c r="AP64" s="196">
        <v>0</v>
      </c>
      <c r="AQ64" s="197">
        <f>SUM(Tabela99[[#This Row], [2026-2030]:[2035]])</f>
      </c>
      <c r="AR64" s="1"/>
      <c r="AS64" s="13" t="s">
        <v>39510</v>
      </c>
      <c r="AT64" s="128" t="s">
        <v>39060</v>
      </c>
      <c r="AU64" s="13" t="s">
        <v>39632</v>
      </c>
      <c r="AV64" s="1"/>
      <c r="AW64" s="13" t="s">
        <v>39194</v>
      </c>
      <c r="AX64" s="2"/>
      <c r="AY64" s="2"/>
      <c r="AZ64" s="13" t="s">
        <v>39633</v>
      </c>
    </row>
    <row x14ac:dyDescent="0.25" r="65" customHeight="1" ht="24.75">
      <c r="A65" s="187"/>
      <c r="B65" s="188">
        <f>AND(ISTEXT('Consolidado-Eletronorte'!#REF!),SUM('Consolidado-Eletronorte'!#REF!)&gt;0)</f>
      </c>
      <c r="C65" s="189">
        <f>INDIRECT(SUBSTITUTE($J74&amp;$K74," ",""))</f>
      </c>
      <c r="D65" s="189">
        <f>$H$3</f>
      </c>
      <c r="E65" s="189">
        <f>$H$4</f>
      </c>
      <c r="F65" s="190"/>
      <c r="G65" s="189">
        <f>_xlfn.CONCAT('Consolidado-Eletronorte'!#REF!,"_",ROW('Consolidado-Eletronorte'!#REF!)-ROW('Consolidado-Eletronorte'!$G$18))</f>
      </c>
      <c r="H65" s="186" t="s">
        <v>10</v>
      </c>
      <c r="I65" s="191" t="s">
        <v>85</v>
      </c>
      <c r="J65" s="191" t="s">
        <v>5</v>
      </c>
      <c r="K65" s="192" t="s">
        <v>39449</v>
      </c>
      <c r="L65" s="191" t="s">
        <v>39456</v>
      </c>
      <c r="M65" s="191" t="s">
        <v>39628</v>
      </c>
      <c r="N65" s="191"/>
      <c r="O65" s="191"/>
      <c r="P65" s="191"/>
      <c r="Q65" s="193" t="s">
        <v>39634</v>
      </c>
      <c r="R65" s="193" t="s">
        <v>39635</v>
      </c>
      <c r="S65" s="191" t="s">
        <v>39631</v>
      </c>
      <c r="T65" s="194">
        <v>0</v>
      </c>
      <c r="U65" s="195">
        <v>0</v>
      </c>
      <c r="V65" s="195">
        <v>0</v>
      </c>
      <c r="W65" s="195">
        <v>0</v>
      </c>
      <c r="X65" s="194">
        <v>0</v>
      </c>
      <c r="Y65" s="194">
        <v>0</v>
      </c>
      <c r="Z65" s="196">
        <v>0</v>
      </c>
      <c r="AA65" s="196">
        <v>0</v>
      </c>
      <c r="AB65" s="196">
        <v>0</v>
      </c>
      <c r="AC65" s="196">
        <v>0</v>
      </c>
      <c r="AD65" s="196">
        <v>0</v>
      </c>
      <c r="AE65" s="196">
        <v>0</v>
      </c>
      <c r="AF65" s="196">
        <f>SUM(Tabela99[[#This Row], [jan/26]:[dez/26]])</f>
      </c>
      <c r="AG65" s="196">
        <v>0</v>
      </c>
      <c r="AH65" s="196">
        <v>400</v>
      </c>
      <c r="AI65" s="196">
        <v>0</v>
      </c>
      <c r="AJ65" s="196">
        <v>0</v>
      </c>
      <c r="AK65" s="196">
        <f>SUM(Tabela99[[#This Row], [2026]:[2030]])</f>
      </c>
      <c r="AL65" s="195">
        <v>0</v>
      </c>
      <c r="AM65" s="196">
        <v>0</v>
      </c>
      <c r="AN65" s="196">
        <v>0</v>
      </c>
      <c r="AO65" s="196">
        <v>0</v>
      </c>
      <c r="AP65" s="196">
        <v>0</v>
      </c>
      <c r="AQ65" s="197">
        <f>SUM(Tabela99[[#This Row], [2026-2030]:[2035]])</f>
      </c>
      <c r="AR65" s="1"/>
      <c r="AS65" s="13" t="s">
        <v>39510</v>
      </c>
      <c r="AT65" s="128" t="s">
        <v>39060</v>
      </c>
      <c r="AU65" s="13" t="s">
        <v>39636</v>
      </c>
      <c r="AV65" s="1"/>
      <c r="AW65" s="13" t="s">
        <v>39194</v>
      </c>
      <c r="AX65" s="2"/>
      <c r="AY65" s="2"/>
      <c r="AZ65" s="13" t="s">
        <v>39633</v>
      </c>
    </row>
    <row x14ac:dyDescent="0.25" r="66" customHeight="1" ht="24.75">
      <c r="A66" s="187"/>
      <c r="B66" s="188">
        <f>AND(ISTEXT('Consolidado-Eletronorte'!#REF!),SUM('Consolidado-Eletronorte'!#REF!)&gt;0)</f>
      </c>
      <c r="C66" s="189">
        <f>INDIRECT(SUBSTITUTE($J75&amp;$K75," ",""))</f>
      </c>
      <c r="D66" s="189">
        <f>$H$3</f>
      </c>
      <c r="E66" s="189">
        <f>$H$4</f>
      </c>
      <c r="F66" s="190"/>
      <c r="G66" s="189">
        <f>_xlfn.CONCAT('Consolidado-Eletronorte'!#REF!,"_",ROW('Consolidado-Eletronorte'!#REF!)-ROW('Consolidado-Eletronorte'!$G$18))</f>
      </c>
      <c r="H66" s="186" t="s">
        <v>10</v>
      </c>
      <c r="I66" s="191" t="s">
        <v>85</v>
      </c>
      <c r="J66" s="191" t="s">
        <v>5</v>
      </c>
      <c r="K66" s="192" t="s">
        <v>39449</v>
      </c>
      <c r="L66" s="191" t="s">
        <v>39456</v>
      </c>
      <c r="M66" s="191" t="s">
        <v>39628</v>
      </c>
      <c r="N66" s="191"/>
      <c r="O66" s="191"/>
      <c r="P66" s="191"/>
      <c r="Q66" s="193" t="s">
        <v>39637</v>
      </c>
      <c r="R66" s="193" t="s">
        <v>39635</v>
      </c>
      <c r="S66" s="191" t="s">
        <v>39631</v>
      </c>
      <c r="T66" s="194">
        <v>0</v>
      </c>
      <c r="U66" s="195">
        <v>0</v>
      </c>
      <c r="V66" s="195">
        <v>0</v>
      </c>
      <c r="W66" s="195">
        <v>0</v>
      </c>
      <c r="X66" s="194">
        <v>0</v>
      </c>
      <c r="Y66" s="194">
        <v>0</v>
      </c>
      <c r="Z66" s="196">
        <v>0</v>
      </c>
      <c r="AA66" s="196">
        <v>0</v>
      </c>
      <c r="AB66" s="196">
        <v>0</v>
      </c>
      <c r="AC66" s="196">
        <v>0</v>
      </c>
      <c r="AD66" s="196">
        <v>0</v>
      </c>
      <c r="AE66" s="196">
        <v>0</v>
      </c>
      <c r="AF66" s="196">
        <f>SUM(Tabela99[[#This Row], [jan/26]:[dez/26]])</f>
      </c>
      <c r="AG66" s="196">
        <v>400</v>
      </c>
      <c r="AH66" s="196">
        <v>0</v>
      </c>
      <c r="AI66" s="196">
        <v>0</v>
      </c>
      <c r="AJ66" s="196">
        <v>0</v>
      </c>
      <c r="AK66" s="196">
        <f>SUM(Tabela99[[#This Row], [2026]:[2030]])</f>
      </c>
      <c r="AL66" s="195">
        <v>0</v>
      </c>
      <c r="AM66" s="196">
        <v>0</v>
      </c>
      <c r="AN66" s="196">
        <v>0</v>
      </c>
      <c r="AO66" s="196">
        <v>0</v>
      </c>
      <c r="AP66" s="196">
        <v>0</v>
      </c>
      <c r="AQ66" s="197">
        <f>SUM(Tabela99[[#This Row], [2026-2030]:[2035]])</f>
      </c>
      <c r="AR66" s="1"/>
      <c r="AS66" s="13" t="s">
        <v>39510</v>
      </c>
      <c r="AT66" s="128" t="s">
        <v>39060</v>
      </c>
      <c r="AU66" s="13" t="s">
        <v>39638</v>
      </c>
      <c r="AV66" s="1"/>
      <c r="AW66" s="13" t="s">
        <v>39194</v>
      </c>
      <c r="AX66" s="2"/>
      <c r="AY66" s="2"/>
      <c r="AZ66" s="13" t="s">
        <v>39633</v>
      </c>
    </row>
    <row x14ac:dyDescent="0.25" r="67" customHeight="1" ht="24.75">
      <c r="A67" s="187"/>
      <c r="B67" s="188">
        <f>AND(ISTEXT('Consolidado-Eletronorte'!#REF!),SUM('Consolidado-Eletronorte'!#REF!)&gt;0)</f>
      </c>
      <c r="C67" s="189">
        <f>INDIRECT(SUBSTITUTE($J76&amp;$K76," ",""))</f>
      </c>
      <c r="D67" s="189">
        <f>$H$3</f>
      </c>
      <c r="E67" s="189">
        <f>$H$4</f>
      </c>
      <c r="F67" s="190"/>
      <c r="G67" s="189">
        <f>_xlfn.CONCAT('Consolidado-Eletronorte'!#REF!,"_",ROW('Consolidado-Eletronorte'!#REF!)-ROW('Consolidado-Eletronorte'!$G$18))</f>
      </c>
      <c r="H67" s="186" t="s">
        <v>10</v>
      </c>
      <c r="I67" s="191" t="s">
        <v>85</v>
      </c>
      <c r="J67" s="191" t="s">
        <v>5</v>
      </c>
      <c r="K67" s="192" t="s">
        <v>39449</v>
      </c>
      <c r="L67" s="191" t="s">
        <v>39456</v>
      </c>
      <c r="M67" s="191" t="s">
        <v>39628</v>
      </c>
      <c r="N67" s="191"/>
      <c r="O67" s="191"/>
      <c r="P67" s="191"/>
      <c r="Q67" s="193" t="s">
        <v>39639</v>
      </c>
      <c r="R67" s="193" t="s">
        <v>39635</v>
      </c>
      <c r="S67" s="191" t="s">
        <v>39631</v>
      </c>
      <c r="T67" s="194">
        <v>0</v>
      </c>
      <c r="U67" s="195">
        <v>0</v>
      </c>
      <c r="V67" s="195">
        <v>0</v>
      </c>
      <c r="W67" s="195">
        <v>0</v>
      </c>
      <c r="X67" s="194">
        <v>0</v>
      </c>
      <c r="Y67" s="194">
        <v>0</v>
      </c>
      <c r="Z67" s="196">
        <v>0</v>
      </c>
      <c r="AA67" s="196">
        <v>0</v>
      </c>
      <c r="AB67" s="196">
        <v>0</v>
      </c>
      <c r="AC67" s="196">
        <v>0</v>
      </c>
      <c r="AD67" s="196">
        <v>0</v>
      </c>
      <c r="AE67" s="196">
        <v>0</v>
      </c>
      <c r="AF67" s="196">
        <f>SUM(Tabela99[[#This Row], [jan/26]:[dez/26]])</f>
      </c>
      <c r="AG67" s="196">
        <v>0</v>
      </c>
      <c r="AH67" s="196">
        <v>400</v>
      </c>
      <c r="AI67" s="196">
        <v>0</v>
      </c>
      <c r="AJ67" s="196">
        <v>0</v>
      </c>
      <c r="AK67" s="196">
        <f>SUM(Tabela99[[#This Row], [2026]:[2030]])</f>
      </c>
      <c r="AL67" s="195">
        <v>0</v>
      </c>
      <c r="AM67" s="196">
        <v>0</v>
      </c>
      <c r="AN67" s="196">
        <v>0</v>
      </c>
      <c r="AO67" s="196">
        <v>0</v>
      </c>
      <c r="AP67" s="196">
        <v>0</v>
      </c>
      <c r="AQ67" s="197">
        <f>SUM(Tabela99[[#This Row], [2026-2030]:[2035]])</f>
      </c>
      <c r="AR67" s="1"/>
      <c r="AS67" s="13" t="s">
        <v>39510</v>
      </c>
      <c r="AT67" s="128" t="s">
        <v>39060</v>
      </c>
      <c r="AU67" s="13" t="s">
        <v>39640</v>
      </c>
      <c r="AV67" s="1"/>
      <c r="AW67" s="13" t="s">
        <v>39194</v>
      </c>
      <c r="AX67" s="2"/>
      <c r="AY67" s="2"/>
      <c r="AZ67" s="13" t="s">
        <v>39633</v>
      </c>
    </row>
    <row x14ac:dyDescent="0.25" r="68" customHeight="1" ht="24.75">
      <c r="A68" s="187"/>
      <c r="B68" s="188">
        <f>AND(ISTEXT('Consolidado-Eletronorte'!#REF!),SUM('Consolidado-Eletronorte'!#REF!)&gt;0)</f>
      </c>
      <c r="C68" s="189">
        <f>INDIRECT(SUBSTITUTE($J77&amp;$K77," ",""))</f>
      </c>
      <c r="D68" s="189">
        <f>$H$3</f>
      </c>
      <c r="E68" s="189">
        <f>$H$4</f>
      </c>
      <c r="F68" s="190"/>
      <c r="G68" s="189">
        <f>_xlfn.CONCAT('Consolidado-Eletronorte'!#REF!,"_",ROW('Consolidado-Eletronorte'!#REF!)-ROW('Consolidado-Eletronorte'!$G$18))</f>
      </c>
      <c r="H68" s="186" t="s">
        <v>10</v>
      </c>
      <c r="I68" s="191" t="s">
        <v>85</v>
      </c>
      <c r="J68" s="191" t="s">
        <v>5</v>
      </c>
      <c r="K68" s="192" t="s">
        <v>26</v>
      </c>
      <c r="L68" s="191" t="s">
        <v>39641</v>
      </c>
      <c r="M68" s="191" t="s">
        <v>39642</v>
      </c>
      <c r="N68" s="191"/>
      <c r="O68" s="191"/>
      <c r="P68" s="191"/>
      <c r="Q68" s="193" t="s">
        <v>39643</v>
      </c>
      <c r="R68" s="193" t="s">
        <v>39644</v>
      </c>
      <c r="S68" s="191" t="s">
        <v>39479</v>
      </c>
      <c r="T68" s="194">
        <v>0</v>
      </c>
      <c r="U68" s="195">
        <v>0</v>
      </c>
      <c r="V68" s="195">
        <v>0</v>
      </c>
      <c r="W68" s="195">
        <v>1500000</v>
      </c>
      <c r="X68" s="194">
        <v>2000000</v>
      </c>
      <c r="Y68" s="194">
        <v>0</v>
      </c>
      <c r="Z68" s="196">
        <v>0</v>
      </c>
      <c r="AA68" s="196">
        <v>0</v>
      </c>
      <c r="AB68" s="196">
        <v>2000000</v>
      </c>
      <c r="AC68" s="196">
        <v>0</v>
      </c>
      <c r="AD68" s="196">
        <v>0</v>
      </c>
      <c r="AE68" s="196">
        <v>0</v>
      </c>
      <c r="AF68" s="196">
        <f>SUM(Tabela99[[#This Row], [jan/26]:[dez/26]])</f>
      </c>
      <c r="AG68" s="196">
        <v>0</v>
      </c>
      <c r="AH68" s="196">
        <v>0</v>
      </c>
      <c r="AI68" s="196">
        <v>0</v>
      </c>
      <c r="AJ68" s="196">
        <v>0</v>
      </c>
      <c r="AK68" s="196">
        <f>SUM(Tabela99[[#This Row], [2026]:[2030]])</f>
      </c>
      <c r="AL68" s="195">
        <v>0</v>
      </c>
      <c r="AM68" s="196">
        <v>0</v>
      </c>
      <c r="AN68" s="196">
        <v>0</v>
      </c>
      <c r="AO68" s="196">
        <v>0</v>
      </c>
      <c r="AP68" s="196">
        <v>0</v>
      </c>
      <c r="AQ68" s="197">
        <f>SUM(Tabela99[[#This Row], [2026-2030]:[2035]])</f>
      </c>
      <c r="AR68" s="1"/>
      <c r="AS68" s="13" t="s">
        <v>39480</v>
      </c>
      <c r="AT68" s="39">
        <v>2025</v>
      </c>
      <c r="AU68" s="13" t="s">
        <v>39645</v>
      </c>
      <c r="AV68" s="1"/>
      <c r="AW68" s="13" t="s">
        <v>39194</v>
      </c>
      <c r="AX68" s="2"/>
      <c r="AY68" s="2"/>
      <c r="AZ68" s="13" t="s">
        <v>39481</v>
      </c>
    </row>
    <row x14ac:dyDescent="0.25" r="69" customHeight="1" ht="24.75">
      <c r="A69" s="187"/>
      <c r="B69" s="188">
        <f>AND(ISTEXT('Consolidado-Eletronorte'!#REF!),SUM('Consolidado-Eletronorte'!#REF!)&gt;0)</f>
      </c>
      <c r="C69" s="189">
        <f>INDIRECT(SUBSTITUTE($J78&amp;$K78," ",""))</f>
      </c>
      <c r="D69" s="189">
        <f>$H$3</f>
      </c>
      <c r="E69" s="189">
        <f>$H$4</f>
      </c>
      <c r="F69" s="190"/>
      <c r="G69" s="189">
        <f>_xlfn.CONCAT('Consolidado-Eletronorte'!#REF!,"_",ROW('Consolidado-Eletronorte'!#REF!)-ROW('Consolidado-Eletronorte'!$G$18))</f>
      </c>
      <c r="H69" s="186" t="s">
        <v>10</v>
      </c>
      <c r="I69" s="191" t="s">
        <v>85</v>
      </c>
      <c r="J69" s="191" t="s">
        <v>5</v>
      </c>
      <c r="K69" s="192" t="s">
        <v>26</v>
      </c>
      <c r="L69" s="191" t="s">
        <v>39641</v>
      </c>
      <c r="M69" s="191" t="s">
        <v>39642</v>
      </c>
      <c r="N69" s="191"/>
      <c r="O69" s="191"/>
      <c r="P69" s="191"/>
      <c r="Q69" s="193" t="s">
        <v>39646</v>
      </c>
      <c r="R69" s="193" t="s">
        <v>39647</v>
      </c>
      <c r="S69" s="191" t="s">
        <v>39479</v>
      </c>
      <c r="T69" s="194">
        <v>150000</v>
      </c>
      <c r="U69" s="195">
        <v>150000</v>
      </c>
      <c r="V69" s="195">
        <v>250000</v>
      </c>
      <c r="W69" s="195">
        <v>300000</v>
      </c>
      <c r="X69" s="194">
        <v>350000</v>
      </c>
      <c r="Y69" s="194">
        <v>350000</v>
      </c>
      <c r="Z69" s="196">
        <v>400000</v>
      </c>
      <c r="AA69" s="196">
        <v>400000</v>
      </c>
      <c r="AB69" s="196">
        <v>400000</v>
      </c>
      <c r="AC69" s="196">
        <v>400000</v>
      </c>
      <c r="AD69" s="196">
        <v>400000</v>
      </c>
      <c r="AE69" s="196">
        <v>400000</v>
      </c>
      <c r="AF69" s="196">
        <f>SUM(Tabela99[[#This Row], [jan/26]:[dez/26]])</f>
      </c>
      <c r="AG69" s="196">
        <v>0</v>
      </c>
      <c r="AH69" s="196">
        <v>0</v>
      </c>
      <c r="AI69" s="196">
        <v>0</v>
      </c>
      <c r="AJ69" s="196">
        <v>0</v>
      </c>
      <c r="AK69" s="196">
        <f>SUM(Tabela99[[#This Row], [2026]:[2030]])</f>
      </c>
      <c r="AL69" s="195">
        <v>0</v>
      </c>
      <c r="AM69" s="196">
        <v>0</v>
      </c>
      <c r="AN69" s="196">
        <v>0</v>
      </c>
      <c r="AO69" s="196">
        <v>0</v>
      </c>
      <c r="AP69" s="196">
        <v>0</v>
      </c>
      <c r="AQ69" s="197">
        <f>SUM(Tabela99[[#This Row], [2026-2030]:[2035]])</f>
      </c>
      <c r="AR69" s="1"/>
      <c r="AS69" s="13" t="s">
        <v>39480</v>
      </c>
      <c r="AT69" s="39">
        <v>2025</v>
      </c>
      <c r="AU69" s="13" t="s">
        <v>39648</v>
      </c>
      <c r="AV69" s="1"/>
      <c r="AW69" s="13" t="s">
        <v>39116</v>
      </c>
      <c r="AX69" s="2"/>
      <c r="AY69" s="2"/>
      <c r="AZ69" s="13" t="s">
        <v>39481</v>
      </c>
    </row>
    <row x14ac:dyDescent="0.25" r="70" customHeight="1" ht="24.75">
      <c r="A70" s="187"/>
      <c r="B70" s="188">
        <f>AND(ISTEXT('Consolidado-Eletronorte'!#REF!),SUM('Consolidado-Eletronorte'!#REF!)&gt;0)</f>
      </c>
      <c r="C70" s="189">
        <f>INDIRECT(SUBSTITUTE($J79&amp;$K79," ",""))</f>
      </c>
      <c r="D70" s="189">
        <f>$H$3</f>
      </c>
      <c r="E70" s="189">
        <f>$H$4</f>
      </c>
      <c r="F70" s="190"/>
      <c r="G70" s="189">
        <f>_xlfn.CONCAT('Consolidado-Eletronorte'!#REF!,"_",ROW('Consolidado-Eletronorte'!#REF!)-ROW('Consolidado-Eletronorte'!$G$18))</f>
      </c>
      <c r="H70" s="186" t="s">
        <v>10</v>
      </c>
      <c r="I70" s="191" t="s">
        <v>85</v>
      </c>
      <c r="J70" s="191" t="s">
        <v>5</v>
      </c>
      <c r="K70" s="192" t="s">
        <v>39475</v>
      </c>
      <c r="L70" s="191" t="s">
        <v>39456</v>
      </c>
      <c r="M70" s="191" t="s">
        <v>39476</v>
      </c>
      <c r="N70" s="191"/>
      <c r="O70" s="191"/>
      <c r="P70" s="191"/>
      <c r="Q70" s="193" t="s">
        <v>39649</v>
      </c>
      <c r="R70" s="193" t="s">
        <v>39650</v>
      </c>
      <c r="S70" s="191" t="s">
        <v>39479</v>
      </c>
      <c r="T70" s="194">
        <v>0</v>
      </c>
      <c r="U70" s="195">
        <v>0</v>
      </c>
      <c r="V70" s="195">
        <v>300000</v>
      </c>
      <c r="W70" s="195">
        <v>300000</v>
      </c>
      <c r="X70" s="194">
        <v>400000</v>
      </c>
      <c r="Y70" s="194">
        <v>0</v>
      </c>
      <c r="Z70" s="196">
        <v>0</v>
      </c>
      <c r="AA70" s="196">
        <v>0</v>
      </c>
      <c r="AB70" s="196">
        <v>0</v>
      </c>
      <c r="AC70" s="196">
        <v>0</v>
      </c>
      <c r="AD70" s="196">
        <v>0</v>
      </c>
      <c r="AE70" s="196">
        <v>0</v>
      </c>
      <c r="AF70" s="196">
        <f>SUM(Tabela99[[#This Row], [jan/26]:[dez/26]])</f>
      </c>
      <c r="AG70" s="196">
        <v>0</v>
      </c>
      <c r="AH70" s="196">
        <v>0</v>
      </c>
      <c r="AI70" s="196">
        <v>0</v>
      </c>
      <c r="AJ70" s="196">
        <v>0</v>
      </c>
      <c r="AK70" s="196">
        <f>SUM(Tabela99[[#This Row], [2026]:[2030]])</f>
      </c>
      <c r="AL70" s="195">
        <v>0</v>
      </c>
      <c r="AM70" s="196">
        <v>0</v>
      </c>
      <c r="AN70" s="196">
        <v>0</v>
      </c>
      <c r="AO70" s="196">
        <v>0</v>
      </c>
      <c r="AP70" s="196">
        <v>0</v>
      </c>
      <c r="AQ70" s="197">
        <f>SUM(Tabela99[[#This Row], [2026-2030]:[2035]])</f>
      </c>
      <c r="AR70" s="1"/>
      <c r="AS70" s="13" t="s">
        <v>39480</v>
      </c>
      <c r="AT70" s="128" t="s">
        <v>39060</v>
      </c>
      <c r="AU70" s="13" t="s">
        <v>39651</v>
      </c>
      <c r="AV70" s="1"/>
      <c r="AW70" s="13" t="s">
        <v>39194</v>
      </c>
      <c r="AX70" s="2"/>
      <c r="AY70" s="2"/>
      <c r="AZ70" s="13" t="s">
        <v>39481</v>
      </c>
    </row>
    <row x14ac:dyDescent="0.25" r="71" customHeight="1" ht="24.75">
      <c r="A71" s="187"/>
      <c r="B71" s="188">
        <f>AND(ISTEXT('Consolidado-Eletronorte'!#REF!),SUM('Consolidado-Eletronorte'!#REF!)&gt;0)</f>
      </c>
      <c r="C71" s="189">
        <f>INDIRECT(SUBSTITUTE($J80&amp;$K80," ",""))</f>
      </c>
      <c r="D71" s="189">
        <f>$H$3</f>
      </c>
      <c r="E71" s="189">
        <f>$H$4</f>
      </c>
      <c r="F71" s="190"/>
      <c r="G71" s="189">
        <f>_xlfn.CONCAT('Consolidado-Eletronorte'!#REF!,"_",ROW('Consolidado-Eletronorte'!#REF!)-ROW('Consolidado-Eletronorte'!$G$18))</f>
      </c>
      <c r="H71" s="186" t="s">
        <v>10</v>
      </c>
      <c r="I71" s="191" t="s">
        <v>85</v>
      </c>
      <c r="J71" s="191" t="s">
        <v>5</v>
      </c>
      <c r="K71" s="192" t="s">
        <v>39449</v>
      </c>
      <c r="L71" s="191" t="s">
        <v>39456</v>
      </c>
      <c r="M71" s="191" t="s">
        <v>39652</v>
      </c>
      <c r="N71" s="191"/>
      <c r="O71" s="191"/>
      <c r="P71" s="191"/>
      <c r="Q71" s="193" t="s">
        <v>39653</v>
      </c>
      <c r="R71" s="193" t="s">
        <v>39654</v>
      </c>
      <c r="S71" s="191" t="s">
        <v>39655</v>
      </c>
      <c r="T71" s="194">
        <v>0</v>
      </c>
      <c r="U71" s="195">
        <v>0</v>
      </c>
      <c r="V71" s="195">
        <v>0</v>
      </c>
      <c r="W71" s="195">
        <v>0</v>
      </c>
      <c r="X71" s="194">
        <v>600000</v>
      </c>
      <c r="Y71" s="194">
        <v>800000</v>
      </c>
      <c r="Z71" s="196">
        <v>800000</v>
      </c>
      <c r="AA71" s="196">
        <v>800000</v>
      </c>
      <c r="AB71" s="196">
        <v>0</v>
      </c>
      <c r="AC71" s="196">
        <v>0</v>
      </c>
      <c r="AD71" s="196">
        <v>0</v>
      </c>
      <c r="AE71" s="196">
        <v>0</v>
      </c>
      <c r="AF71" s="196">
        <f>SUM(Tabela99[[#This Row], [jan/26]:[dez/26]])</f>
      </c>
      <c r="AG71" s="196">
        <v>0</v>
      </c>
      <c r="AH71" s="196">
        <v>0</v>
      </c>
      <c r="AI71" s="196">
        <v>0</v>
      </c>
      <c r="AJ71" s="196">
        <v>0</v>
      </c>
      <c r="AK71" s="196">
        <f>SUM(Tabela99[[#This Row], [2026]:[2030]])</f>
      </c>
      <c r="AL71" s="195">
        <v>0</v>
      </c>
      <c r="AM71" s="196">
        <v>0</v>
      </c>
      <c r="AN71" s="196">
        <v>0</v>
      </c>
      <c r="AO71" s="196">
        <v>0</v>
      </c>
      <c r="AP71" s="196">
        <v>0</v>
      </c>
      <c r="AQ71" s="197">
        <f>SUM(Tabela99[[#This Row], [2026-2030]:[2035]])</f>
      </c>
      <c r="AR71" s="1"/>
      <c r="AS71" s="13" t="s">
        <v>39656</v>
      </c>
      <c r="AT71" s="39">
        <v>2025</v>
      </c>
      <c r="AU71" s="13" t="s">
        <v>39657</v>
      </c>
      <c r="AV71" s="1"/>
      <c r="AW71" s="13" t="s">
        <v>39194</v>
      </c>
      <c r="AX71" s="2"/>
      <c r="AY71" s="2"/>
      <c r="AZ71" s="13" t="s">
        <v>39658</v>
      </c>
    </row>
    <row x14ac:dyDescent="0.25" r="72" customHeight="1" ht="24.75">
      <c r="A72" s="187"/>
      <c r="B72" s="188">
        <f>AND(ISTEXT('Consolidado-Eletronorte'!#REF!),SUM('Consolidado-Eletronorte'!#REF!)&gt;0)</f>
      </c>
      <c r="C72" s="189">
        <f>INDIRECT(SUBSTITUTE($J81&amp;$K81," ",""))</f>
      </c>
      <c r="D72" s="189">
        <f>$H$3</f>
      </c>
      <c r="E72" s="189">
        <f>$H$4</f>
      </c>
      <c r="F72" s="190"/>
      <c r="G72" s="189">
        <f>_xlfn.CONCAT('Consolidado-Eletronorte'!#REF!,"_",ROW('Consolidado-Eletronorte'!#REF!)-ROW('Consolidado-Eletronorte'!$G$18))</f>
      </c>
      <c r="H72" s="186" t="s">
        <v>10</v>
      </c>
      <c r="I72" s="191" t="s">
        <v>85</v>
      </c>
      <c r="J72" s="191" t="s">
        <v>5</v>
      </c>
      <c r="K72" s="192" t="s">
        <v>39449</v>
      </c>
      <c r="L72" s="191" t="s">
        <v>39641</v>
      </c>
      <c r="M72" s="191" t="s">
        <v>39659</v>
      </c>
      <c r="N72" s="191"/>
      <c r="O72" s="191"/>
      <c r="P72" s="191"/>
      <c r="Q72" s="193" t="s">
        <v>39660</v>
      </c>
      <c r="R72" s="193" t="s">
        <v>39661</v>
      </c>
      <c r="S72" s="191" t="s">
        <v>38388</v>
      </c>
      <c r="T72" s="194">
        <v>0</v>
      </c>
      <c r="U72" s="195">
        <v>0</v>
      </c>
      <c r="V72" s="195">
        <v>0</v>
      </c>
      <c r="W72" s="195">
        <v>0</v>
      </c>
      <c r="X72" s="194">
        <v>0</v>
      </c>
      <c r="Y72" s="194">
        <v>0</v>
      </c>
      <c r="Z72" s="196">
        <v>0</v>
      </c>
      <c r="AA72" s="196">
        <v>0</v>
      </c>
      <c r="AB72" s="196">
        <v>0</v>
      </c>
      <c r="AC72" s="196">
        <v>0</v>
      </c>
      <c r="AD72" s="196">
        <v>0</v>
      </c>
      <c r="AE72" s="196">
        <v>0</v>
      </c>
      <c r="AF72" s="196">
        <f>SUM(Tabela99[[#This Row], [jan/26]:[dez/26]])</f>
      </c>
      <c r="AG72" s="196">
        <v>3500000</v>
      </c>
      <c r="AH72" s="196">
        <v>0</v>
      </c>
      <c r="AI72" s="196">
        <v>0</v>
      </c>
      <c r="AJ72" s="196">
        <v>0</v>
      </c>
      <c r="AK72" s="196">
        <f>SUM(Tabela99[[#This Row], [2026]:[2030]])</f>
      </c>
      <c r="AL72" s="195">
        <v>0</v>
      </c>
      <c r="AM72" s="196">
        <v>0</v>
      </c>
      <c r="AN72" s="196">
        <v>0</v>
      </c>
      <c r="AO72" s="196">
        <v>0</v>
      </c>
      <c r="AP72" s="196">
        <v>0</v>
      </c>
      <c r="AQ72" s="197">
        <f>SUM(Tabela99[[#This Row], [2026-2030]:[2035]])</f>
      </c>
      <c r="AR72" s="1"/>
      <c r="AS72" s="13" t="s">
        <v>39461</v>
      </c>
      <c r="AT72" s="39">
        <v>2025</v>
      </c>
      <c r="AU72" s="13" t="s">
        <v>24181</v>
      </c>
      <c r="AV72" s="1"/>
      <c r="AW72" s="13" t="s">
        <v>39194</v>
      </c>
      <c r="AX72" s="2"/>
      <c r="AY72" s="2"/>
      <c r="AZ72" s="13" t="s">
        <v>39662</v>
      </c>
    </row>
    <row x14ac:dyDescent="0.25" r="73" customHeight="1" ht="24.75">
      <c r="A73" s="198"/>
      <c r="B73" s="188">
        <f>AND(ISTEXT('Consolidado-Eletronorte'!#REF!),SUM('Consolidado-Eletronorte'!#REF!)&gt;0)</f>
      </c>
      <c r="C73" s="199">
        <f>$J$3</f>
      </c>
      <c r="D73" s="199">
        <f>$H$3</f>
      </c>
      <c r="E73" s="199">
        <f>$H$4</f>
      </c>
      <c r="F73" s="200"/>
      <c r="G73" s="199">
        <f>_xlfn.CONCAT('Consolidado-Eletronorte'!#REF!,"_",ROW('Consolidado-Eletronorte'!#REF!)-ROW('Consolidado-Eletronorte'!$G$18))</f>
      </c>
      <c r="H73" s="201" t="s">
        <v>10</v>
      </c>
      <c r="I73" s="202" t="s">
        <v>85</v>
      </c>
      <c r="J73" s="202" t="s">
        <v>5</v>
      </c>
      <c r="K73" s="203" t="s">
        <v>39449</v>
      </c>
      <c r="L73" s="202" t="s">
        <v>39456</v>
      </c>
      <c r="M73" s="202" t="s">
        <v>39628</v>
      </c>
      <c r="N73" s="202"/>
      <c r="O73" s="202"/>
      <c r="P73" s="202"/>
      <c r="Q73" s="204" t="s">
        <v>39663</v>
      </c>
      <c r="R73" s="204" t="s">
        <v>39664</v>
      </c>
      <c r="S73" s="202" t="s">
        <v>39631</v>
      </c>
      <c r="T73" s="205">
        <v>0</v>
      </c>
      <c r="U73" s="206">
        <v>0</v>
      </c>
      <c r="V73" s="206">
        <v>0</v>
      </c>
      <c r="W73" s="206">
        <v>0</v>
      </c>
      <c r="X73" s="205">
        <v>0</v>
      </c>
      <c r="Y73" s="205">
        <v>0</v>
      </c>
      <c r="Z73" s="207">
        <v>0</v>
      </c>
      <c r="AA73" s="207">
        <v>0</v>
      </c>
      <c r="AB73" s="207">
        <v>0</v>
      </c>
      <c r="AC73" s="207">
        <v>0</v>
      </c>
      <c r="AD73" s="207">
        <v>0</v>
      </c>
      <c r="AE73" s="207">
        <v>0</v>
      </c>
      <c r="AF73" s="207">
        <f>SUM(Tabela99[[#This Row], [jan/26]:[dez/26]])</f>
      </c>
      <c r="AG73" s="207">
        <v>3000000</v>
      </c>
      <c r="AH73" s="207">
        <v>0</v>
      </c>
      <c r="AI73" s="207">
        <v>0</v>
      </c>
      <c r="AJ73" s="207">
        <v>0</v>
      </c>
      <c r="AK73" s="207">
        <f>SUM(Tabela99[[#This Row], [2026]:[2030]])</f>
      </c>
      <c r="AL73" s="206">
        <v>0</v>
      </c>
      <c r="AM73" s="207">
        <v>0</v>
      </c>
      <c r="AN73" s="207">
        <v>0</v>
      </c>
      <c r="AO73" s="207">
        <v>0</v>
      </c>
      <c r="AP73" s="207">
        <v>0</v>
      </c>
      <c r="AQ73" s="208">
        <f>SUM(Tabela99[[#This Row], [2026-2030]:[2035]])</f>
      </c>
      <c r="AR73" s="1"/>
      <c r="AS73" s="13" t="s">
        <v>39510</v>
      </c>
      <c r="AT73" s="128" t="s">
        <v>39060</v>
      </c>
      <c r="AU73" s="13" t="s">
        <v>24181</v>
      </c>
      <c r="AV73" s="1"/>
      <c r="AW73" s="13" t="s">
        <v>39194</v>
      </c>
      <c r="AX73" s="2"/>
      <c r="AY73" s="2"/>
      <c r="AZ73" s="13" t="s">
        <v>39633</v>
      </c>
    </row>
    <row x14ac:dyDescent="0.25" r="74" customHeight="1" ht="24.75">
      <c r="A74" s="187"/>
      <c r="B74" s="188">
        <f>AND(ISTEXT('Consolidado-Eletronorte'!#REF!),SUM('Consolidado-Eletronorte'!#REF!)&gt;0)</f>
      </c>
      <c r="C74" s="189">
        <f>$J$3</f>
      </c>
      <c r="D74" s="189">
        <f>$H$3</f>
      </c>
      <c r="E74" s="189">
        <f>$H$4</f>
      </c>
      <c r="F74" s="190"/>
      <c r="G74" s="189">
        <f>_xlfn.CONCAT('Consolidado-Eletronorte'!#REF!,"_",ROW('Consolidado-Eletronorte'!#REF!)-ROW('Consolidado-Eletronorte'!$G$18))</f>
      </c>
      <c r="H74" s="186" t="s">
        <v>10</v>
      </c>
      <c r="I74" s="191" t="s">
        <v>85</v>
      </c>
      <c r="J74" s="191" t="s">
        <v>5</v>
      </c>
      <c r="K74" s="192" t="s">
        <v>39449</v>
      </c>
      <c r="L74" s="191" t="s">
        <v>39456</v>
      </c>
      <c r="M74" s="191" t="s">
        <v>39512</v>
      </c>
      <c r="N74" s="191"/>
      <c r="O74" s="191"/>
      <c r="P74" s="191"/>
      <c r="Q74" s="193" t="s">
        <v>39665</v>
      </c>
      <c r="R74" s="193" t="s">
        <v>39666</v>
      </c>
      <c r="S74" s="191" t="s">
        <v>39460</v>
      </c>
      <c r="T74" s="194">
        <v>0</v>
      </c>
      <c r="U74" s="195">
        <v>0</v>
      </c>
      <c r="V74" s="195">
        <v>0</v>
      </c>
      <c r="W74" s="195">
        <v>0</v>
      </c>
      <c r="X74" s="194">
        <v>0</v>
      </c>
      <c r="Y74" s="194">
        <v>0</v>
      </c>
      <c r="Z74" s="196">
        <v>0</v>
      </c>
      <c r="AA74" s="196">
        <v>0</v>
      </c>
      <c r="AB74" s="196">
        <v>0</v>
      </c>
      <c r="AC74" s="196">
        <v>0</v>
      </c>
      <c r="AD74" s="196">
        <v>0</v>
      </c>
      <c r="AE74" s="196">
        <v>0</v>
      </c>
      <c r="AF74" s="196">
        <f>SUM(Tabela99[[#This Row], [jan/26]:[dez/26]])</f>
      </c>
      <c r="AG74" s="196">
        <v>3000000</v>
      </c>
      <c r="AH74" s="196">
        <v>0</v>
      </c>
      <c r="AI74" s="196">
        <v>0</v>
      </c>
      <c r="AJ74" s="196">
        <v>0</v>
      </c>
      <c r="AK74" s="196">
        <f>SUM(Tabela99[[#This Row], [2026]:[2030]])</f>
      </c>
      <c r="AL74" s="195">
        <v>0</v>
      </c>
      <c r="AM74" s="196">
        <v>0</v>
      </c>
      <c r="AN74" s="196">
        <v>0</v>
      </c>
      <c r="AO74" s="196">
        <v>0</v>
      </c>
      <c r="AP74" s="196">
        <v>0</v>
      </c>
      <c r="AQ74" s="197">
        <f>SUM(Tabela99[[#This Row], [2026-2030]:[2035]])</f>
      </c>
      <c r="AR74" s="1"/>
      <c r="AS74" s="13" t="s">
        <v>39461</v>
      </c>
      <c r="AT74" s="128" t="s">
        <v>39060</v>
      </c>
      <c r="AU74" s="13" t="s">
        <v>24181</v>
      </c>
      <c r="AV74" s="1"/>
      <c r="AW74" s="13" t="s">
        <v>39194</v>
      </c>
      <c r="AX74" s="2"/>
      <c r="AY74" s="2"/>
      <c r="AZ74" s="13" t="s">
        <v>39463</v>
      </c>
    </row>
    <row x14ac:dyDescent="0.25" r="75" customHeight="1" ht="24.75">
      <c r="A75" s="198"/>
      <c r="B75" s="188">
        <f>AND(ISTEXT('Consolidado-Eletronorte'!#REF!),SUM('Consolidado-Eletronorte'!#REF!)&gt;0)</f>
      </c>
      <c r="C75" s="199">
        <f>$J$3</f>
      </c>
      <c r="D75" s="199">
        <f>$H$3</f>
      </c>
      <c r="E75" s="199">
        <f>$H$4</f>
      </c>
      <c r="F75" s="200"/>
      <c r="G75" s="199">
        <f>_xlfn.CONCAT('Consolidado-Eletronorte'!#REF!,"_",ROW('Consolidado-Eletronorte'!#REF!)-ROW('Consolidado-Eletronorte'!$G$18))</f>
      </c>
      <c r="H75" s="201" t="s">
        <v>10</v>
      </c>
      <c r="I75" s="202" t="s">
        <v>85</v>
      </c>
      <c r="J75" s="202" t="s">
        <v>5</v>
      </c>
      <c r="K75" s="203" t="s">
        <v>39449</v>
      </c>
      <c r="L75" s="202" t="s">
        <v>39456</v>
      </c>
      <c r="M75" s="202" t="s">
        <v>39525</v>
      </c>
      <c r="N75" s="202"/>
      <c r="O75" s="202"/>
      <c r="P75" s="202"/>
      <c r="Q75" s="204" t="s">
        <v>39667</v>
      </c>
      <c r="R75" s="204" t="s">
        <v>39668</v>
      </c>
      <c r="S75" s="202" t="s">
        <v>38378</v>
      </c>
      <c r="T75" s="205">
        <v>0</v>
      </c>
      <c r="U75" s="206">
        <v>0</v>
      </c>
      <c r="V75" s="206">
        <v>2500</v>
      </c>
      <c r="W75" s="206">
        <v>2500</v>
      </c>
      <c r="X75" s="205">
        <v>2500</v>
      </c>
      <c r="Y75" s="205">
        <v>2500</v>
      </c>
      <c r="Z75" s="207">
        <v>2500</v>
      </c>
      <c r="AA75" s="207">
        <v>700000</v>
      </c>
      <c r="AB75" s="207">
        <v>700000</v>
      </c>
      <c r="AC75" s="207">
        <v>700000</v>
      </c>
      <c r="AD75" s="207">
        <v>387500</v>
      </c>
      <c r="AE75" s="207">
        <v>0</v>
      </c>
      <c r="AF75" s="207">
        <f>SUM(Tabela99[[#This Row], [jan/26]:[dez/26]])</f>
      </c>
      <c r="AG75" s="207">
        <v>2500000</v>
      </c>
      <c r="AH75" s="207">
        <v>0</v>
      </c>
      <c r="AI75" s="207">
        <v>0</v>
      </c>
      <c r="AJ75" s="207">
        <v>0</v>
      </c>
      <c r="AK75" s="207">
        <f>SUM(Tabela99[[#This Row], [2026]:[2030]])</f>
      </c>
      <c r="AL75" s="206">
        <v>0</v>
      </c>
      <c r="AM75" s="207">
        <v>0</v>
      </c>
      <c r="AN75" s="207">
        <v>0</v>
      </c>
      <c r="AO75" s="207">
        <v>0</v>
      </c>
      <c r="AP75" s="207">
        <v>0</v>
      </c>
      <c r="AQ75" s="208">
        <f>SUM(Tabela99[[#This Row], [2026-2030]:[2035]])</f>
      </c>
      <c r="AR75" s="1"/>
      <c r="AS75" s="13" t="s">
        <v>39461</v>
      </c>
      <c r="AT75" s="39">
        <v>2025</v>
      </c>
      <c r="AU75" s="13" t="s">
        <v>24181</v>
      </c>
      <c r="AV75" s="1"/>
      <c r="AW75" s="13" t="s">
        <v>39194</v>
      </c>
      <c r="AX75" s="2"/>
      <c r="AY75" s="2"/>
      <c r="AZ75" s="13" t="s">
        <v>39529</v>
      </c>
    </row>
    <row x14ac:dyDescent="0.25" r="76" customHeight="1" ht="24.75">
      <c r="A76" s="187"/>
      <c r="B76" s="188">
        <f>AND(ISTEXT('Consolidado-Eletronorte'!#REF!),SUM('Consolidado-Eletronorte'!#REF!)&gt;0)</f>
      </c>
      <c r="C76" s="189">
        <f>$J$3</f>
      </c>
      <c r="D76" s="189">
        <f>$H$3</f>
      </c>
      <c r="E76" s="189">
        <f>$H$4</f>
      </c>
      <c r="F76" s="190"/>
      <c r="G76" s="189">
        <f>_xlfn.CONCAT('Consolidado-Eletronorte'!#REF!,"_",ROW('Consolidado-Eletronorte'!#REF!)-ROW('Consolidado-Eletronorte'!$G$18))</f>
      </c>
      <c r="H76" s="186" t="s">
        <v>10</v>
      </c>
      <c r="I76" s="191" t="s">
        <v>85</v>
      </c>
      <c r="J76" s="191" t="s">
        <v>5</v>
      </c>
      <c r="K76" s="192" t="s">
        <v>39449</v>
      </c>
      <c r="L76" s="191" t="s">
        <v>39456</v>
      </c>
      <c r="M76" s="191" t="s">
        <v>39669</v>
      </c>
      <c r="N76" s="191"/>
      <c r="O76" s="191"/>
      <c r="P76" s="191"/>
      <c r="Q76" s="193" t="s">
        <v>39670</v>
      </c>
      <c r="R76" s="193" t="s">
        <v>39664</v>
      </c>
      <c r="S76" s="191" t="s">
        <v>39671</v>
      </c>
      <c r="T76" s="194">
        <v>0</v>
      </c>
      <c r="U76" s="195">
        <v>0</v>
      </c>
      <c r="V76" s="195">
        <v>0</v>
      </c>
      <c r="W76" s="195">
        <v>0</v>
      </c>
      <c r="X76" s="194">
        <v>0</v>
      </c>
      <c r="Y76" s="194">
        <v>0</v>
      </c>
      <c r="Z76" s="196">
        <v>0</v>
      </c>
      <c r="AA76" s="196">
        <v>0</v>
      </c>
      <c r="AB76" s="196">
        <v>0</v>
      </c>
      <c r="AC76" s="196">
        <v>0</v>
      </c>
      <c r="AD76" s="196">
        <v>0</v>
      </c>
      <c r="AE76" s="196">
        <v>0</v>
      </c>
      <c r="AF76" s="196">
        <f>SUM(Tabela99[[#This Row], [jan/26]:[dez/26]])</f>
      </c>
      <c r="AG76" s="196">
        <v>2500000</v>
      </c>
      <c r="AH76" s="196">
        <v>0</v>
      </c>
      <c r="AI76" s="196">
        <v>0</v>
      </c>
      <c r="AJ76" s="196">
        <v>0</v>
      </c>
      <c r="AK76" s="196">
        <f>SUM(Tabela99[[#This Row], [2026]:[2030]])</f>
      </c>
      <c r="AL76" s="195">
        <v>0</v>
      </c>
      <c r="AM76" s="196">
        <v>0</v>
      </c>
      <c r="AN76" s="196">
        <v>0</v>
      </c>
      <c r="AO76" s="196">
        <v>0</v>
      </c>
      <c r="AP76" s="196">
        <v>0</v>
      </c>
      <c r="AQ76" s="197">
        <f>SUM(Tabela99[[#This Row], [2026-2030]:[2035]])</f>
      </c>
      <c r="AR76" s="1"/>
      <c r="AS76" s="13" t="s">
        <v>39461</v>
      </c>
      <c r="AT76" s="128" t="s">
        <v>39060</v>
      </c>
      <c r="AU76" s="13" t="s">
        <v>24181</v>
      </c>
      <c r="AV76" s="1"/>
      <c r="AW76" s="13" t="s">
        <v>39194</v>
      </c>
      <c r="AX76" s="2"/>
      <c r="AY76" s="2"/>
      <c r="AZ76" s="13" t="s">
        <v>39463</v>
      </c>
    </row>
    <row x14ac:dyDescent="0.25" r="77" customHeight="1" ht="24.75">
      <c r="A77" s="198"/>
      <c r="B77" s="188">
        <f>AND(ISTEXT('Consolidado-Eletronorte'!#REF!),SUM('Consolidado-Eletronorte'!#REF!)&gt;0)</f>
      </c>
      <c r="C77" s="199">
        <f>$J$3</f>
      </c>
      <c r="D77" s="199">
        <f>$H$3</f>
      </c>
      <c r="E77" s="199">
        <f>$H$4</f>
      </c>
      <c r="F77" s="200"/>
      <c r="G77" s="199">
        <f>_xlfn.CONCAT('Consolidado-Eletronorte'!#REF!,"_",ROW('Consolidado-Eletronorte'!#REF!)-ROW('Consolidado-Eletronorte'!$G$18))</f>
      </c>
      <c r="H77" s="201" t="s">
        <v>10</v>
      </c>
      <c r="I77" s="202" t="s">
        <v>85</v>
      </c>
      <c r="J77" s="202" t="s">
        <v>5</v>
      </c>
      <c r="K77" s="203" t="s">
        <v>26</v>
      </c>
      <c r="L77" s="202" t="s">
        <v>39641</v>
      </c>
      <c r="M77" s="202" t="s">
        <v>39672</v>
      </c>
      <c r="N77" s="202"/>
      <c r="O77" s="202"/>
      <c r="P77" s="202"/>
      <c r="Q77" s="204" t="s">
        <v>39673</v>
      </c>
      <c r="R77" s="204" t="s">
        <v>39673</v>
      </c>
      <c r="S77" s="202" t="s">
        <v>38380</v>
      </c>
      <c r="T77" s="205">
        <v>0</v>
      </c>
      <c r="U77" s="206">
        <v>0</v>
      </c>
      <c r="V77" s="206">
        <v>0</v>
      </c>
      <c r="W77" s="206">
        <v>0</v>
      </c>
      <c r="X77" s="205">
        <v>0</v>
      </c>
      <c r="Y77" s="205">
        <v>0</v>
      </c>
      <c r="Z77" s="207">
        <v>0</v>
      </c>
      <c r="AA77" s="207">
        <v>0</v>
      </c>
      <c r="AB77" s="207">
        <v>0</v>
      </c>
      <c r="AC77" s="207">
        <v>0</v>
      </c>
      <c r="AD77" s="207">
        <v>0</v>
      </c>
      <c r="AE77" s="207">
        <v>0</v>
      </c>
      <c r="AF77" s="207">
        <f>SUM(Tabela99[[#This Row], [jan/26]:[dez/26]])</f>
      </c>
      <c r="AG77" s="207">
        <v>2500000</v>
      </c>
      <c r="AH77" s="207">
        <v>2500000</v>
      </c>
      <c r="AI77" s="207">
        <v>0</v>
      </c>
      <c r="AJ77" s="207">
        <v>0</v>
      </c>
      <c r="AK77" s="207">
        <f>SUM(Tabela99[[#This Row], [2026]:[2030]])</f>
      </c>
      <c r="AL77" s="206">
        <v>0</v>
      </c>
      <c r="AM77" s="207">
        <v>0</v>
      </c>
      <c r="AN77" s="207">
        <v>0</v>
      </c>
      <c r="AO77" s="207">
        <v>0</v>
      </c>
      <c r="AP77" s="207">
        <v>0</v>
      </c>
      <c r="AQ77" s="208">
        <f>SUM(Tabela99[[#This Row], [2026-2030]:[2035]])</f>
      </c>
      <c r="AR77" s="1"/>
      <c r="AS77" s="13" t="s">
        <v>39674</v>
      </c>
      <c r="AT77" s="39">
        <v>2025</v>
      </c>
      <c r="AU77" s="13" t="s">
        <v>24181</v>
      </c>
      <c r="AV77" s="1"/>
      <c r="AW77" s="13" t="s">
        <v>39062</v>
      </c>
      <c r="AX77" s="2"/>
      <c r="AY77" s="2"/>
      <c r="AZ77" s="13" t="s">
        <v>39675</v>
      </c>
    </row>
    <row x14ac:dyDescent="0.25" r="78" customHeight="1" ht="24.75">
      <c r="A78" s="187"/>
      <c r="B78" s="188">
        <f>AND(ISTEXT('Consolidado-Eletronorte'!#REF!),SUM('Consolidado-Eletronorte'!#REF!)&gt;0)</f>
      </c>
      <c r="C78" s="189">
        <f>$J$3</f>
      </c>
      <c r="D78" s="189">
        <f>$H$3</f>
      </c>
      <c r="E78" s="189">
        <f>$H$4</f>
      </c>
      <c r="F78" s="190"/>
      <c r="G78" s="189">
        <f>_xlfn.CONCAT('Consolidado-Eletronorte'!#REF!,"_",ROW('Consolidado-Eletronorte'!#REF!)-ROW('Consolidado-Eletronorte'!$G$18))</f>
      </c>
      <c r="H78" s="186" t="s">
        <v>10</v>
      </c>
      <c r="I78" s="191" t="s">
        <v>85</v>
      </c>
      <c r="J78" s="191" t="s">
        <v>5</v>
      </c>
      <c r="K78" s="192" t="s">
        <v>39449</v>
      </c>
      <c r="L78" s="191" t="s">
        <v>39641</v>
      </c>
      <c r="M78" s="191" t="s">
        <v>39659</v>
      </c>
      <c r="N78" s="191"/>
      <c r="O78" s="191"/>
      <c r="P78" s="191"/>
      <c r="Q78" s="193" t="s">
        <v>39676</v>
      </c>
      <c r="R78" s="193" t="s">
        <v>39677</v>
      </c>
      <c r="S78" s="191" t="s">
        <v>38388</v>
      </c>
      <c r="T78" s="194">
        <v>0</v>
      </c>
      <c r="U78" s="195">
        <v>0</v>
      </c>
      <c r="V78" s="195">
        <v>0</v>
      </c>
      <c r="W78" s="195">
        <v>0</v>
      </c>
      <c r="X78" s="194">
        <v>0</v>
      </c>
      <c r="Y78" s="194">
        <v>0</v>
      </c>
      <c r="Z78" s="196">
        <v>0</v>
      </c>
      <c r="AA78" s="196">
        <v>0</v>
      </c>
      <c r="AB78" s="196">
        <v>0</v>
      </c>
      <c r="AC78" s="196">
        <v>0</v>
      </c>
      <c r="AD78" s="196">
        <v>0</v>
      </c>
      <c r="AE78" s="196">
        <v>0</v>
      </c>
      <c r="AF78" s="196">
        <f>SUM(Tabela99[[#This Row], [jan/26]:[dez/26]])</f>
      </c>
      <c r="AG78" s="196">
        <v>2300000</v>
      </c>
      <c r="AH78" s="196">
        <v>0</v>
      </c>
      <c r="AI78" s="196">
        <v>0</v>
      </c>
      <c r="AJ78" s="196">
        <v>0</v>
      </c>
      <c r="AK78" s="196">
        <f>SUM(Tabela99[[#This Row], [2026]:[2030]])</f>
      </c>
      <c r="AL78" s="195">
        <v>0</v>
      </c>
      <c r="AM78" s="196">
        <v>0</v>
      </c>
      <c r="AN78" s="196">
        <v>0</v>
      </c>
      <c r="AO78" s="196">
        <v>0</v>
      </c>
      <c r="AP78" s="196">
        <v>0</v>
      </c>
      <c r="AQ78" s="197">
        <f>SUM(Tabela99[[#This Row], [2026-2030]:[2035]])</f>
      </c>
      <c r="AR78" s="1"/>
      <c r="AS78" s="13" t="s">
        <v>39461</v>
      </c>
      <c r="AT78" s="39">
        <v>2025</v>
      </c>
      <c r="AU78" s="13" t="s">
        <v>24181</v>
      </c>
      <c r="AV78" s="1"/>
      <c r="AW78" s="13" t="s">
        <v>39194</v>
      </c>
      <c r="AX78" s="2"/>
      <c r="AY78" s="2"/>
      <c r="AZ78" s="13" t="s">
        <v>39662</v>
      </c>
    </row>
    <row x14ac:dyDescent="0.25" r="79" customHeight="1" ht="24.75">
      <c r="A79" s="198"/>
      <c r="B79" s="188">
        <f>AND(ISTEXT('Consolidado-Eletronorte'!#REF!),SUM('Consolidado-Eletronorte'!#REF!)&gt;0)</f>
      </c>
      <c r="C79" s="199">
        <f>$J$3</f>
      </c>
      <c r="D79" s="199">
        <f>$H$3</f>
      </c>
      <c r="E79" s="199">
        <f>$H$4</f>
      </c>
      <c r="F79" s="200"/>
      <c r="G79" s="199">
        <f>_xlfn.CONCAT('Consolidado-Eletronorte'!#REF!,"_",ROW('Consolidado-Eletronorte'!#REF!)-ROW('Consolidado-Eletronorte'!$G$18))</f>
      </c>
      <c r="H79" s="201" t="s">
        <v>10</v>
      </c>
      <c r="I79" s="202" t="s">
        <v>85</v>
      </c>
      <c r="J79" s="202" t="s">
        <v>5</v>
      </c>
      <c r="K79" s="203" t="s">
        <v>39449</v>
      </c>
      <c r="L79" s="202" t="s">
        <v>39456</v>
      </c>
      <c r="M79" s="202" t="s">
        <v>39669</v>
      </c>
      <c r="N79" s="202"/>
      <c r="O79" s="202"/>
      <c r="P79" s="202"/>
      <c r="Q79" s="204" t="s">
        <v>39678</v>
      </c>
      <c r="R79" s="204" t="s">
        <v>39664</v>
      </c>
      <c r="S79" s="202" t="s">
        <v>39671</v>
      </c>
      <c r="T79" s="205">
        <v>0</v>
      </c>
      <c r="U79" s="206">
        <v>0</v>
      </c>
      <c r="V79" s="206">
        <v>0</v>
      </c>
      <c r="W79" s="206">
        <v>0</v>
      </c>
      <c r="X79" s="205">
        <v>0</v>
      </c>
      <c r="Y79" s="205">
        <v>0</v>
      </c>
      <c r="Z79" s="207">
        <v>0</v>
      </c>
      <c r="AA79" s="207">
        <v>0</v>
      </c>
      <c r="AB79" s="207">
        <v>0</v>
      </c>
      <c r="AC79" s="207">
        <v>0</v>
      </c>
      <c r="AD79" s="207">
        <v>0</v>
      </c>
      <c r="AE79" s="207">
        <v>0</v>
      </c>
      <c r="AF79" s="207">
        <f>SUM(Tabela99[[#This Row], [jan/26]:[dez/26]])</f>
      </c>
      <c r="AG79" s="207">
        <v>2000000</v>
      </c>
      <c r="AH79" s="207">
        <v>0</v>
      </c>
      <c r="AI79" s="207">
        <v>0</v>
      </c>
      <c r="AJ79" s="207">
        <v>0</v>
      </c>
      <c r="AK79" s="207">
        <f>SUM(Tabela99[[#This Row], [2026]:[2030]])</f>
      </c>
      <c r="AL79" s="206">
        <v>0</v>
      </c>
      <c r="AM79" s="207">
        <v>0</v>
      </c>
      <c r="AN79" s="207">
        <v>0</v>
      </c>
      <c r="AO79" s="207">
        <v>0</v>
      </c>
      <c r="AP79" s="207">
        <v>0</v>
      </c>
      <c r="AQ79" s="208">
        <f>SUM(Tabela99[[#This Row], [2026-2030]:[2035]])</f>
      </c>
      <c r="AR79" s="1"/>
      <c r="AS79" s="13" t="s">
        <v>39461</v>
      </c>
      <c r="AT79" s="128" t="s">
        <v>39060</v>
      </c>
      <c r="AU79" s="13" t="s">
        <v>24181</v>
      </c>
      <c r="AV79" s="1"/>
      <c r="AW79" s="13" t="s">
        <v>39194</v>
      </c>
      <c r="AX79" s="2"/>
      <c r="AY79" s="2"/>
      <c r="AZ79" s="13" t="s">
        <v>39463</v>
      </c>
    </row>
    <row x14ac:dyDescent="0.25" r="80" customHeight="1" ht="24.75">
      <c r="A80" s="198"/>
      <c r="B80" s="188">
        <f>AND(ISTEXT('Consolidado-Eletronorte'!#REF!),SUM('Consolidado-Eletronorte'!#REF!)&gt;0)</f>
      </c>
      <c r="C80" s="199">
        <f>$J$3</f>
      </c>
      <c r="D80" s="199">
        <f>$H$3</f>
      </c>
      <c r="E80" s="199">
        <f>$H$4</f>
      </c>
      <c r="F80" s="200"/>
      <c r="G80" s="199">
        <f>_xlfn.CONCAT('Consolidado-Eletronorte'!#REF!,"_",ROW('Consolidado-Eletronorte'!#REF!)-ROW('Consolidado-Eletronorte'!$G$18))</f>
      </c>
      <c r="H80" s="201" t="s">
        <v>10</v>
      </c>
      <c r="I80" s="202" t="s">
        <v>85</v>
      </c>
      <c r="J80" s="202" t="s">
        <v>5</v>
      </c>
      <c r="K80" s="203" t="s">
        <v>39449</v>
      </c>
      <c r="L80" s="202" t="s">
        <v>39456</v>
      </c>
      <c r="M80" s="202" t="s">
        <v>39669</v>
      </c>
      <c r="N80" s="202"/>
      <c r="O80" s="202"/>
      <c r="P80" s="202"/>
      <c r="Q80" s="204" t="s">
        <v>39679</v>
      </c>
      <c r="R80" s="204" t="s">
        <v>39664</v>
      </c>
      <c r="S80" s="202" t="s">
        <v>39671</v>
      </c>
      <c r="T80" s="205">
        <v>0</v>
      </c>
      <c r="U80" s="206">
        <v>0</v>
      </c>
      <c r="V80" s="206">
        <v>0</v>
      </c>
      <c r="W80" s="206">
        <v>0</v>
      </c>
      <c r="X80" s="205">
        <v>0</v>
      </c>
      <c r="Y80" s="205">
        <v>0</v>
      </c>
      <c r="Z80" s="207">
        <v>0</v>
      </c>
      <c r="AA80" s="207">
        <v>0</v>
      </c>
      <c r="AB80" s="207">
        <v>0</v>
      </c>
      <c r="AC80" s="207">
        <v>0</v>
      </c>
      <c r="AD80" s="207">
        <v>0</v>
      </c>
      <c r="AE80" s="207">
        <v>0</v>
      </c>
      <c r="AF80" s="207">
        <f>SUM(Tabela99[[#This Row], [jan/26]:[dez/26]])</f>
      </c>
      <c r="AG80" s="207">
        <v>1500000</v>
      </c>
      <c r="AH80" s="207">
        <v>0</v>
      </c>
      <c r="AI80" s="207">
        <v>0</v>
      </c>
      <c r="AJ80" s="207">
        <v>0</v>
      </c>
      <c r="AK80" s="207">
        <f>SUM(Tabela99[[#This Row], [2026]:[2030]])</f>
      </c>
      <c r="AL80" s="206">
        <v>0</v>
      </c>
      <c r="AM80" s="207">
        <v>0</v>
      </c>
      <c r="AN80" s="207">
        <v>0</v>
      </c>
      <c r="AO80" s="207">
        <v>0</v>
      </c>
      <c r="AP80" s="207">
        <v>0</v>
      </c>
      <c r="AQ80" s="208">
        <f>SUM(Tabela99[[#This Row], [2026-2030]:[2035]])</f>
      </c>
      <c r="AR80" s="1"/>
      <c r="AS80" s="13" t="s">
        <v>39461</v>
      </c>
      <c r="AT80" s="128" t="s">
        <v>39060</v>
      </c>
      <c r="AU80" s="13" t="s">
        <v>24181</v>
      </c>
      <c r="AV80" s="1"/>
      <c r="AW80" s="13" t="s">
        <v>39194</v>
      </c>
      <c r="AX80" s="2"/>
      <c r="AY80" s="2"/>
      <c r="AZ80" s="13" t="s">
        <v>39463</v>
      </c>
    </row>
    <row x14ac:dyDescent="0.25" r="81" customHeight="1" ht="24.75">
      <c r="A81" s="187"/>
      <c r="B81" s="188">
        <f>AND(ISTEXT('Consolidado-Eletronorte'!#REF!),SUM('Consolidado-Eletronorte'!#REF!)&gt;0)</f>
      </c>
      <c r="C81" s="189">
        <f>$J$3</f>
      </c>
      <c r="D81" s="189">
        <f>$H$3</f>
      </c>
      <c r="E81" s="189">
        <f>$H$4</f>
      </c>
      <c r="F81" s="190"/>
      <c r="G81" s="189">
        <f>_xlfn.CONCAT('Consolidado-Eletronorte'!#REF!,"_",ROW('Consolidado-Eletronorte'!#REF!)-ROW('Consolidado-Eletronorte'!$G$18))</f>
      </c>
      <c r="H81" s="186" t="s">
        <v>10</v>
      </c>
      <c r="I81" s="191" t="s">
        <v>85</v>
      </c>
      <c r="J81" s="191" t="s">
        <v>5</v>
      </c>
      <c r="K81" s="192" t="s">
        <v>26</v>
      </c>
      <c r="L81" s="191" t="s">
        <v>39641</v>
      </c>
      <c r="M81" s="191" t="s">
        <v>39672</v>
      </c>
      <c r="N81" s="191"/>
      <c r="O81" s="191"/>
      <c r="P81" s="191"/>
      <c r="Q81" s="193" t="s">
        <v>39680</v>
      </c>
      <c r="R81" s="193" t="s">
        <v>39681</v>
      </c>
      <c r="S81" s="191" t="s">
        <v>38384</v>
      </c>
      <c r="T81" s="194">
        <v>0</v>
      </c>
      <c r="U81" s="195">
        <v>0</v>
      </c>
      <c r="V81" s="195">
        <v>0</v>
      </c>
      <c r="W81" s="195">
        <v>0</v>
      </c>
      <c r="X81" s="194">
        <v>0</v>
      </c>
      <c r="Y81" s="194">
        <v>0</v>
      </c>
      <c r="Z81" s="196">
        <v>0</v>
      </c>
      <c r="AA81" s="196">
        <v>0</v>
      </c>
      <c r="AB81" s="196">
        <v>0</v>
      </c>
      <c r="AC81" s="196">
        <v>0</v>
      </c>
      <c r="AD81" s="196">
        <v>0</v>
      </c>
      <c r="AE81" s="196">
        <v>0</v>
      </c>
      <c r="AF81" s="196">
        <f>SUM(Tabela99[[#This Row], [jan/26]:[dez/26]])</f>
      </c>
      <c r="AG81" s="196">
        <v>1500000</v>
      </c>
      <c r="AH81" s="196">
        <v>0</v>
      </c>
      <c r="AI81" s="196">
        <v>0</v>
      </c>
      <c r="AJ81" s="196">
        <v>0</v>
      </c>
      <c r="AK81" s="196">
        <f>SUM(Tabela99[[#This Row], [2026]:[2030]])</f>
      </c>
      <c r="AL81" s="195">
        <v>0</v>
      </c>
      <c r="AM81" s="196">
        <v>0</v>
      </c>
      <c r="AN81" s="196">
        <v>0</v>
      </c>
      <c r="AO81" s="196">
        <v>0</v>
      </c>
      <c r="AP81" s="196">
        <v>0</v>
      </c>
      <c r="AQ81" s="197">
        <f>SUM(Tabela99[[#This Row], [2026-2030]:[2035]])</f>
      </c>
      <c r="AR81" s="1"/>
      <c r="AS81" s="13" t="s">
        <v>39674</v>
      </c>
      <c r="AT81" s="39">
        <v>2025</v>
      </c>
      <c r="AU81" s="13" t="s">
        <v>24181</v>
      </c>
      <c r="AV81" s="1"/>
      <c r="AW81" s="13" t="s">
        <v>39062</v>
      </c>
      <c r="AX81" s="2"/>
      <c r="AY81" s="2"/>
      <c r="AZ81" s="13" t="s">
        <v>39682</v>
      </c>
    </row>
    <row x14ac:dyDescent="0.25" r="82" customHeight="1" ht="24.75">
      <c r="A82" s="187"/>
      <c r="B82" s="188">
        <f>AND(ISTEXT('Consolidado-Eletronorte'!#REF!),SUM('Consolidado-Eletronorte'!#REF!)&gt;0)</f>
      </c>
      <c r="C82" s="189">
        <f>$J$3</f>
      </c>
      <c r="D82" s="189">
        <f>$H$3</f>
      </c>
      <c r="E82" s="189">
        <f>$H$4</f>
      </c>
      <c r="F82" s="190"/>
      <c r="G82" s="189">
        <f>_xlfn.CONCAT('Consolidado-Eletronorte'!#REF!,"_",ROW('Consolidado-Eletronorte'!#REF!)-ROW('Consolidado-Eletronorte'!$G$18))</f>
      </c>
      <c r="H82" s="186" t="s">
        <v>10</v>
      </c>
      <c r="I82" s="191" t="s">
        <v>85</v>
      </c>
      <c r="J82" s="191" t="s">
        <v>5</v>
      </c>
      <c r="K82" s="192" t="s">
        <v>39449</v>
      </c>
      <c r="L82" s="191" t="s">
        <v>39456</v>
      </c>
      <c r="M82" s="191" t="s">
        <v>39669</v>
      </c>
      <c r="N82" s="191"/>
      <c r="O82" s="191"/>
      <c r="P82" s="191"/>
      <c r="Q82" s="193" t="s">
        <v>39683</v>
      </c>
      <c r="R82" s="193" t="s">
        <v>39664</v>
      </c>
      <c r="S82" s="191" t="s">
        <v>39671</v>
      </c>
      <c r="T82" s="194">
        <v>0</v>
      </c>
      <c r="U82" s="195">
        <v>0</v>
      </c>
      <c r="V82" s="195">
        <v>0</v>
      </c>
      <c r="W82" s="195">
        <v>0</v>
      </c>
      <c r="X82" s="194">
        <v>0</v>
      </c>
      <c r="Y82" s="194">
        <v>0</v>
      </c>
      <c r="Z82" s="196">
        <v>400000</v>
      </c>
      <c r="AA82" s="196">
        <v>400000</v>
      </c>
      <c r="AB82" s="196">
        <v>400000</v>
      </c>
      <c r="AC82" s="196">
        <v>400000</v>
      </c>
      <c r="AD82" s="196">
        <v>400000</v>
      </c>
      <c r="AE82" s="196">
        <v>0</v>
      </c>
      <c r="AF82" s="196">
        <f>SUM(Tabela99[[#This Row], [jan/26]:[dez/26]])</f>
      </c>
      <c r="AG82" s="196">
        <v>1000000</v>
      </c>
      <c r="AH82" s="196">
        <v>10000000</v>
      </c>
      <c r="AI82" s="196">
        <v>1000000</v>
      </c>
      <c r="AJ82" s="196">
        <v>1000000</v>
      </c>
      <c r="AK82" s="196">
        <f>SUM(Tabela99[[#This Row], [2026]:[2030]])</f>
      </c>
      <c r="AL82" s="195">
        <v>0</v>
      </c>
      <c r="AM82" s="196">
        <v>0</v>
      </c>
      <c r="AN82" s="196">
        <v>0</v>
      </c>
      <c r="AO82" s="196">
        <v>0</v>
      </c>
      <c r="AP82" s="196">
        <v>0</v>
      </c>
      <c r="AQ82" s="197">
        <f>SUM(Tabela99[[#This Row], [2026-2030]:[2035]])</f>
      </c>
      <c r="AR82" s="1"/>
      <c r="AS82" s="13" t="s">
        <v>39461</v>
      </c>
      <c r="AT82" s="128" t="s">
        <v>39060</v>
      </c>
      <c r="AU82" s="13" t="s">
        <v>24181</v>
      </c>
      <c r="AV82" s="1"/>
      <c r="AW82" s="13" t="s">
        <v>39194</v>
      </c>
      <c r="AX82" s="2"/>
      <c r="AY82" s="2"/>
      <c r="AZ82" s="13" t="s">
        <v>39463</v>
      </c>
    </row>
    <row x14ac:dyDescent="0.25" r="83" customHeight="1" ht="24.75">
      <c r="A83" s="198"/>
      <c r="B83" s="188">
        <f>AND(ISTEXT('Consolidado-Eletronorte'!#REF!),SUM('Consolidado-Eletronorte'!#REF!)&gt;0)</f>
      </c>
      <c r="C83" s="199">
        <f>$J$3</f>
      </c>
      <c r="D83" s="199">
        <f>$H$3</f>
      </c>
      <c r="E83" s="199">
        <f>$H$4</f>
      </c>
      <c r="F83" s="200"/>
      <c r="G83" s="199">
        <f>_xlfn.CONCAT('Consolidado-Eletronorte'!#REF!,"_",ROW('Consolidado-Eletronorte'!#REF!)-ROW('Consolidado-Eletronorte'!$G$18))</f>
      </c>
      <c r="H83" s="201" t="s">
        <v>10</v>
      </c>
      <c r="I83" s="202" t="s">
        <v>85</v>
      </c>
      <c r="J83" s="202" t="s">
        <v>5</v>
      </c>
      <c r="K83" s="203" t="s">
        <v>39449</v>
      </c>
      <c r="L83" s="202" t="s">
        <v>39456</v>
      </c>
      <c r="M83" s="202" t="s">
        <v>39512</v>
      </c>
      <c r="N83" s="202"/>
      <c r="O83" s="202"/>
      <c r="P83" s="202"/>
      <c r="Q83" s="204" t="s">
        <v>39684</v>
      </c>
      <c r="R83" s="204" t="s">
        <v>39685</v>
      </c>
      <c r="S83" s="202" t="s">
        <v>39460</v>
      </c>
      <c r="T83" s="205">
        <v>0</v>
      </c>
      <c r="U83" s="206">
        <v>0</v>
      </c>
      <c r="V83" s="206">
        <v>0</v>
      </c>
      <c r="W83" s="206">
        <v>0</v>
      </c>
      <c r="X83" s="205">
        <v>0</v>
      </c>
      <c r="Y83" s="205">
        <v>0</v>
      </c>
      <c r="Z83" s="207">
        <v>0</v>
      </c>
      <c r="AA83" s="207">
        <v>0</v>
      </c>
      <c r="AB83" s="207">
        <v>0</v>
      </c>
      <c r="AC83" s="207">
        <v>0</v>
      </c>
      <c r="AD83" s="207">
        <v>0</v>
      </c>
      <c r="AE83" s="207">
        <v>0</v>
      </c>
      <c r="AF83" s="207">
        <f>SUM(Tabela99[[#This Row], [jan/26]:[dez/26]])</f>
      </c>
      <c r="AG83" s="207">
        <v>1000000</v>
      </c>
      <c r="AH83" s="207">
        <v>0</v>
      </c>
      <c r="AI83" s="207">
        <v>0</v>
      </c>
      <c r="AJ83" s="207">
        <v>0</v>
      </c>
      <c r="AK83" s="207">
        <f>SUM(Tabela99[[#This Row], [2026]:[2030]])</f>
      </c>
      <c r="AL83" s="206">
        <v>0</v>
      </c>
      <c r="AM83" s="207">
        <v>0</v>
      </c>
      <c r="AN83" s="207">
        <v>0</v>
      </c>
      <c r="AO83" s="207">
        <v>0</v>
      </c>
      <c r="AP83" s="207">
        <v>0</v>
      </c>
      <c r="AQ83" s="208">
        <f>SUM(Tabela99[[#This Row], [2026-2030]:[2035]])</f>
      </c>
      <c r="AR83" s="1"/>
      <c r="AS83" s="13" t="s">
        <v>39461</v>
      </c>
      <c r="AT83" s="39">
        <v>2024</v>
      </c>
      <c r="AU83" s="13" t="s">
        <v>24181</v>
      </c>
      <c r="AV83" s="1"/>
      <c r="AW83" s="13" t="s">
        <v>39194</v>
      </c>
      <c r="AX83" s="2"/>
      <c r="AY83" s="2"/>
      <c r="AZ83" s="13" t="s">
        <v>39463</v>
      </c>
    </row>
    <row x14ac:dyDescent="0.25" r="84" customHeight="1" ht="24.75">
      <c r="A84" s="187"/>
      <c r="B84" s="188">
        <f>AND(ISTEXT('Consolidado-Eletronorte'!#REF!),SUM('Consolidado-Eletronorte'!#REF!)&gt;0)</f>
      </c>
      <c r="C84" s="189">
        <f>$J$3</f>
      </c>
      <c r="D84" s="189">
        <f>$H$3</f>
      </c>
      <c r="E84" s="189">
        <f>$H$4</f>
      </c>
      <c r="F84" s="190"/>
      <c r="G84" s="189">
        <f>_xlfn.CONCAT('Consolidado-Eletronorte'!#REF!,"_",ROW('Consolidado-Eletronorte'!#REF!)-ROW('Consolidado-Eletronorte'!$G$18))</f>
      </c>
      <c r="H84" s="186" t="s">
        <v>10</v>
      </c>
      <c r="I84" s="191" t="s">
        <v>85</v>
      </c>
      <c r="J84" s="191" t="s">
        <v>5</v>
      </c>
      <c r="K84" s="192" t="s">
        <v>26</v>
      </c>
      <c r="L84" s="191" t="s">
        <v>39641</v>
      </c>
      <c r="M84" s="191" t="s">
        <v>39686</v>
      </c>
      <c r="N84" s="191"/>
      <c r="O84" s="191"/>
      <c r="P84" s="191"/>
      <c r="Q84" s="193" t="s">
        <v>39687</v>
      </c>
      <c r="R84" s="193" t="s">
        <v>39688</v>
      </c>
      <c r="S84" s="191" t="s">
        <v>39689</v>
      </c>
      <c r="T84" s="194">
        <v>3333</v>
      </c>
      <c r="U84" s="195">
        <v>228333</v>
      </c>
      <c r="V84" s="195">
        <v>18333</v>
      </c>
      <c r="W84" s="195">
        <v>3333</v>
      </c>
      <c r="X84" s="194">
        <v>1733333</v>
      </c>
      <c r="Y84" s="194">
        <v>18333</v>
      </c>
      <c r="Z84" s="196">
        <v>3003</v>
      </c>
      <c r="AA84" s="196">
        <v>228333</v>
      </c>
      <c r="AB84" s="196">
        <v>4000</v>
      </c>
      <c r="AC84" s="196">
        <v>8333</v>
      </c>
      <c r="AD84" s="196">
        <v>228333</v>
      </c>
      <c r="AE84" s="196">
        <v>3000</v>
      </c>
      <c r="AF84" s="196">
        <f>SUM(Tabela99[[#This Row], [jan/26]:[dez/26]])</f>
      </c>
      <c r="AG84" s="196">
        <v>975000</v>
      </c>
      <c r="AH84" s="196">
        <v>525000</v>
      </c>
      <c r="AI84" s="196">
        <v>525000</v>
      </c>
      <c r="AJ84" s="196">
        <v>525000</v>
      </c>
      <c r="AK84" s="196">
        <f>SUM(Tabela99[[#This Row], [2026]:[2030]])</f>
      </c>
      <c r="AL84" s="195">
        <v>710000</v>
      </c>
      <c r="AM84" s="196">
        <v>715000</v>
      </c>
      <c r="AN84" s="196">
        <v>720000</v>
      </c>
      <c r="AO84" s="196">
        <v>725000</v>
      </c>
      <c r="AP84" s="196">
        <v>730000</v>
      </c>
      <c r="AQ84" s="197">
        <f>SUM(Tabela99[[#This Row], [2026-2030]:[2035]])</f>
      </c>
      <c r="AR84" s="1"/>
      <c r="AS84" s="13" t="s">
        <v>39674</v>
      </c>
      <c r="AT84" s="39">
        <v>2025</v>
      </c>
      <c r="AU84" s="13" t="s">
        <v>24181</v>
      </c>
      <c r="AV84" s="1"/>
      <c r="AW84" s="13" t="s">
        <v>46</v>
      </c>
      <c r="AX84" s="2"/>
      <c r="AY84" s="2"/>
      <c r="AZ84" s="13" t="s">
        <v>39690</v>
      </c>
    </row>
    <row x14ac:dyDescent="0.25" r="85" customHeight="1" ht="24.75">
      <c r="A85" s="198"/>
      <c r="B85" s="188">
        <f>AND(ISTEXT('Consolidado-Eletronorte'!#REF!),SUM('Consolidado-Eletronorte'!#REF!)&gt;0)</f>
      </c>
      <c r="C85" s="199">
        <f>$J$3</f>
      </c>
      <c r="D85" s="199">
        <f>$H$3</f>
      </c>
      <c r="E85" s="199">
        <f>$H$4</f>
      </c>
      <c r="F85" s="200"/>
      <c r="G85" s="199">
        <f>_xlfn.CONCAT('Consolidado-Eletronorte'!#REF!,"_",ROW('Consolidado-Eletronorte'!#REF!)-ROW('Consolidado-Eletronorte'!$G$18))</f>
      </c>
      <c r="H85" s="201" t="s">
        <v>10</v>
      </c>
      <c r="I85" s="202" t="s">
        <v>85</v>
      </c>
      <c r="J85" s="202" t="s">
        <v>5</v>
      </c>
      <c r="K85" s="203" t="s">
        <v>26</v>
      </c>
      <c r="L85" s="202" t="s">
        <v>39641</v>
      </c>
      <c r="M85" s="202" t="s">
        <v>39672</v>
      </c>
      <c r="N85" s="202"/>
      <c r="O85" s="202"/>
      <c r="P85" s="202"/>
      <c r="Q85" s="204" t="s">
        <v>39691</v>
      </c>
      <c r="R85" s="204" t="s">
        <v>39692</v>
      </c>
      <c r="S85" s="202" t="s">
        <v>38374</v>
      </c>
      <c r="T85" s="205">
        <v>0</v>
      </c>
      <c r="U85" s="206">
        <v>0</v>
      </c>
      <c r="V85" s="206">
        <v>0</v>
      </c>
      <c r="W85" s="206">
        <v>0</v>
      </c>
      <c r="X85" s="205">
        <v>0</v>
      </c>
      <c r="Y85" s="205">
        <v>0</v>
      </c>
      <c r="Z85" s="207">
        <v>0</v>
      </c>
      <c r="AA85" s="207">
        <v>0</v>
      </c>
      <c r="AB85" s="207">
        <v>0</v>
      </c>
      <c r="AC85" s="207">
        <v>0</v>
      </c>
      <c r="AD85" s="207">
        <v>0</v>
      </c>
      <c r="AE85" s="207">
        <v>0</v>
      </c>
      <c r="AF85" s="207">
        <f>SUM(Tabela99[[#This Row], [jan/26]:[dez/26]])</f>
      </c>
      <c r="AG85" s="207">
        <v>470000</v>
      </c>
      <c r="AH85" s="207">
        <v>0</v>
      </c>
      <c r="AI85" s="207">
        <v>0</v>
      </c>
      <c r="AJ85" s="207">
        <v>0</v>
      </c>
      <c r="AK85" s="207">
        <f>SUM(Tabela99[[#This Row], [2026]:[2030]])</f>
      </c>
      <c r="AL85" s="206">
        <v>0</v>
      </c>
      <c r="AM85" s="207">
        <v>0</v>
      </c>
      <c r="AN85" s="207">
        <v>0</v>
      </c>
      <c r="AO85" s="207">
        <v>0</v>
      </c>
      <c r="AP85" s="207">
        <v>0</v>
      </c>
      <c r="AQ85" s="208">
        <f>SUM(Tabela99[[#This Row], [2026-2030]:[2035]])</f>
      </c>
      <c r="AR85" s="1"/>
      <c r="AS85" s="13" t="s">
        <v>39674</v>
      </c>
      <c r="AT85" s="128" t="s">
        <v>39060</v>
      </c>
      <c r="AU85" s="13" t="s">
        <v>24181</v>
      </c>
      <c r="AV85" s="1"/>
      <c r="AW85" s="13" t="s">
        <v>39062</v>
      </c>
      <c r="AX85" s="2"/>
      <c r="AY85" s="2"/>
      <c r="AZ85" s="13" t="s">
        <v>39675</v>
      </c>
    </row>
    <row x14ac:dyDescent="0.25" r="86" customHeight="1" ht="24.75">
      <c r="A86" s="187"/>
      <c r="B86" s="188">
        <f>AND(ISTEXT('Consolidado-Eletronorte'!#REF!),SUM('Consolidado-Eletronorte'!#REF!)&gt;0)</f>
      </c>
      <c r="C86" s="189">
        <f>$J$3</f>
      </c>
      <c r="D86" s="189">
        <f>$H$3</f>
      </c>
      <c r="E86" s="189">
        <f>$H$4</f>
      </c>
      <c r="F86" s="190"/>
      <c r="G86" s="189">
        <f>_xlfn.CONCAT('Consolidado-Eletronorte'!#REF!,"_",ROW('Consolidado-Eletronorte'!#REF!)-ROW('Consolidado-Eletronorte'!$G$18))</f>
      </c>
      <c r="H86" s="186" t="s">
        <v>10</v>
      </c>
      <c r="I86" s="191" t="s">
        <v>85</v>
      </c>
      <c r="J86" s="191" t="s">
        <v>5</v>
      </c>
      <c r="K86" s="192" t="s">
        <v>26</v>
      </c>
      <c r="L86" s="191" t="s">
        <v>39641</v>
      </c>
      <c r="M86" s="191" t="s">
        <v>39672</v>
      </c>
      <c r="N86" s="191"/>
      <c r="O86" s="191"/>
      <c r="P86" s="191"/>
      <c r="Q86" s="193" t="s">
        <v>39693</v>
      </c>
      <c r="R86" s="193" t="s">
        <v>39694</v>
      </c>
      <c r="S86" s="191" t="s">
        <v>39460</v>
      </c>
      <c r="T86" s="194">
        <v>0</v>
      </c>
      <c r="U86" s="195">
        <v>0</v>
      </c>
      <c r="V86" s="195">
        <v>0</v>
      </c>
      <c r="W86" s="195">
        <v>0</v>
      </c>
      <c r="X86" s="194">
        <v>0</v>
      </c>
      <c r="Y86" s="194">
        <v>0</v>
      </c>
      <c r="Z86" s="196">
        <v>0</v>
      </c>
      <c r="AA86" s="196">
        <v>0</v>
      </c>
      <c r="AB86" s="196">
        <v>0</v>
      </c>
      <c r="AC86" s="196">
        <v>0</v>
      </c>
      <c r="AD86" s="196">
        <v>0</v>
      </c>
      <c r="AE86" s="196">
        <v>0</v>
      </c>
      <c r="AF86" s="196">
        <f>SUM(Tabela99[[#This Row], [jan/26]:[dez/26]])</f>
      </c>
      <c r="AG86" s="196">
        <v>470000</v>
      </c>
      <c r="AH86" s="196">
        <v>0</v>
      </c>
      <c r="AI86" s="196">
        <v>0</v>
      </c>
      <c r="AJ86" s="196">
        <v>0</v>
      </c>
      <c r="AK86" s="196">
        <f>SUM(Tabela99[[#This Row], [2026]:[2030]])</f>
      </c>
      <c r="AL86" s="195">
        <v>0</v>
      </c>
      <c r="AM86" s="196">
        <v>0</v>
      </c>
      <c r="AN86" s="196">
        <v>0</v>
      </c>
      <c r="AO86" s="196">
        <v>0</v>
      </c>
      <c r="AP86" s="196">
        <v>0</v>
      </c>
      <c r="AQ86" s="197">
        <f>SUM(Tabela99[[#This Row], [2026-2030]:[2035]])</f>
      </c>
      <c r="AR86" s="1"/>
      <c r="AS86" s="13" t="s">
        <v>39674</v>
      </c>
      <c r="AT86" s="128" t="s">
        <v>39060</v>
      </c>
      <c r="AU86" s="13" t="s">
        <v>24181</v>
      </c>
      <c r="AV86" s="1"/>
      <c r="AW86" s="13" t="s">
        <v>39062</v>
      </c>
      <c r="AX86" s="2"/>
      <c r="AY86" s="2"/>
      <c r="AZ86" s="13" t="s">
        <v>39695</v>
      </c>
    </row>
    <row x14ac:dyDescent="0.25" r="87" customHeight="1" ht="24.75">
      <c r="A87" s="198"/>
      <c r="B87" s="188">
        <f>AND(ISTEXT('Consolidado-Eletronorte'!#REF!),SUM('Consolidado-Eletronorte'!#REF!)&gt;0)</f>
      </c>
      <c r="C87" s="199">
        <f>$J$3</f>
      </c>
      <c r="D87" s="199">
        <f>$H$3</f>
      </c>
      <c r="E87" s="199">
        <f>$H$4</f>
      </c>
      <c r="F87" s="200"/>
      <c r="G87" s="199">
        <f>_xlfn.CONCAT('Consolidado-Eletronorte'!#REF!,"_",ROW('Consolidado-Eletronorte'!#REF!)-ROW('Consolidado-Eletronorte'!$G$18))</f>
      </c>
      <c r="H87" s="201" t="s">
        <v>10</v>
      </c>
      <c r="I87" s="202" t="s">
        <v>85</v>
      </c>
      <c r="J87" s="202" t="s">
        <v>5</v>
      </c>
      <c r="K87" s="203" t="s">
        <v>26</v>
      </c>
      <c r="L87" s="202" t="s">
        <v>39641</v>
      </c>
      <c r="M87" s="202" t="s">
        <v>39672</v>
      </c>
      <c r="N87" s="202"/>
      <c r="O87" s="202"/>
      <c r="P87" s="202"/>
      <c r="Q87" s="204" t="s">
        <v>39696</v>
      </c>
      <c r="R87" s="204" t="s">
        <v>39697</v>
      </c>
      <c r="S87" s="202" t="s">
        <v>38384</v>
      </c>
      <c r="T87" s="205">
        <v>0</v>
      </c>
      <c r="U87" s="206">
        <v>0</v>
      </c>
      <c r="V87" s="206">
        <v>0</v>
      </c>
      <c r="W87" s="206">
        <v>0</v>
      </c>
      <c r="X87" s="205">
        <v>0</v>
      </c>
      <c r="Y87" s="205">
        <v>0</v>
      </c>
      <c r="Z87" s="207">
        <v>0</v>
      </c>
      <c r="AA87" s="207">
        <v>0</v>
      </c>
      <c r="AB87" s="207">
        <v>0</v>
      </c>
      <c r="AC87" s="207">
        <v>0</v>
      </c>
      <c r="AD87" s="207">
        <v>0</v>
      </c>
      <c r="AE87" s="207">
        <v>0</v>
      </c>
      <c r="AF87" s="207">
        <f>SUM(Tabela99[[#This Row], [jan/26]:[dez/26]])</f>
      </c>
      <c r="AG87" s="207">
        <v>470000</v>
      </c>
      <c r="AH87" s="207">
        <v>0</v>
      </c>
      <c r="AI87" s="207">
        <v>0</v>
      </c>
      <c r="AJ87" s="207">
        <v>0</v>
      </c>
      <c r="AK87" s="207">
        <f>SUM(Tabela99[[#This Row], [2026]:[2030]])</f>
      </c>
      <c r="AL87" s="206">
        <v>0</v>
      </c>
      <c r="AM87" s="207">
        <v>0</v>
      </c>
      <c r="AN87" s="207">
        <v>0</v>
      </c>
      <c r="AO87" s="207">
        <v>0</v>
      </c>
      <c r="AP87" s="207">
        <v>0</v>
      </c>
      <c r="AQ87" s="208">
        <f>SUM(Tabela99[[#This Row], [2026-2030]:[2035]])</f>
      </c>
      <c r="AR87" s="1"/>
      <c r="AS87" s="13" t="s">
        <v>39674</v>
      </c>
      <c r="AT87" s="128" t="s">
        <v>39060</v>
      </c>
      <c r="AU87" s="13" t="s">
        <v>24181</v>
      </c>
      <c r="AV87" s="1"/>
      <c r="AW87" s="13" t="s">
        <v>39062</v>
      </c>
      <c r="AX87" s="2"/>
      <c r="AY87" s="2"/>
      <c r="AZ87" s="13" t="s">
        <v>39682</v>
      </c>
    </row>
    <row x14ac:dyDescent="0.25" r="88" customHeight="1" ht="24.75">
      <c r="A88" s="187"/>
      <c r="B88" s="188">
        <f>AND(ISTEXT('Consolidado-Eletronorte'!#REF!),SUM('Consolidado-Eletronorte'!#REF!)&gt;0)</f>
      </c>
      <c r="C88" s="189">
        <f>$J$3</f>
      </c>
      <c r="D88" s="189">
        <f>$H$3</f>
      </c>
      <c r="E88" s="189">
        <f>$H$4</f>
      </c>
      <c r="F88" s="190"/>
      <c r="G88" s="189">
        <f>_xlfn.CONCAT('Consolidado-Eletronorte'!#REF!,"_",ROW('Consolidado-Eletronorte'!#REF!)-ROW('Consolidado-Eletronorte'!$G$18))</f>
      </c>
      <c r="H88" s="186" t="s">
        <v>10</v>
      </c>
      <c r="I88" s="191" t="s">
        <v>85</v>
      </c>
      <c r="J88" s="191" t="s">
        <v>5</v>
      </c>
      <c r="K88" s="192" t="s">
        <v>26</v>
      </c>
      <c r="L88" s="191" t="s">
        <v>39641</v>
      </c>
      <c r="M88" s="191" t="s">
        <v>39672</v>
      </c>
      <c r="N88" s="191"/>
      <c r="O88" s="191"/>
      <c r="P88" s="191"/>
      <c r="Q88" s="193" t="s">
        <v>39698</v>
      </c>
      <c r="R88" s="193" t="s">
        <v>39699</v>
      </c>
      <c r="S88" s="191" t="s">
        <v>39452</v>
      </c>
      <c r="T88" s="194">
        <v>0</v>
      </c>
      <c r="U88" s="195">
        <v>0</v>
      </c>
      <c r="V88" s="195">
        <v>0</v>
      </c>
      <c r="W88" s="195">
        <v>0</v>
      </c>
      <c r="X88" s="194">
        <v>0</v>
      </c>
      <c r="Y88" s="194">
        <v>0</v>
      </c>
      <c r="Z88" s="196">
        <v>0</v>
      </c>
      <c r="AA88" s="196">
        <v>0</v>
      </c>
      <c r="AB88" s="196">
        <v>0</v>
      </c>
      <c r="AC88" s="196">
        <v>0</v>
      </c>
      <c r="AD88" s="196">
        <v>0</v>
      </c>
      <c r="AE88" s="196">
        <v>0</v>
      </c>
      <c r="AF88" s="196">
        <f>SUM(Tabela99[[#This Row], [jan/26]:[dez/26]])</f>
      </c>
      <c r="AG88" s="196">
        <v>470000</v>
      </c>
      <c r="AH88" s="196">
        <v>0</v>
      </c>
      <c r="AI88" s="196">
        <v>0</v>
      </c>
      <c r="AJ88" s="196">
        <v>0</v>
      </c>
      <c r="AK88" s="196">
        <f>SUM(Tabela99[[#This Row], [2026]:[2030]])</f>
      </c>
      <c r="AL88" s="195">
        <v>0</v>
      </c>
      <c r="AM88" s="196">
        <v>0</v>
      </c>
      <c r="AN88" s="196">
        <v>0</v>
      </c>
      <c r="AO88" s="196">
        <v>0</v>
      </c>
      <c r="AP88" s="196">
        <v>0</v>
      </c>
      <c r="AQ88" s="197">
        <f>SUM(Tabela99[[#This Row], [2026-2030]:[2035]])</f>
      </c>
      <c r="AR88" s="1"/>
      <c r="AS88" s="13" t="s">
        <v>39674</v>
      </c>
      <c r="AT88" s="128" t="s">
        <v>39060</v>
      </c>
      <c r="AU88" s="13" t="s">
        <v>24181</v>
      </c>
      <c r="AV88" s="1"/>
      <c r="AW88" s="13" t="s">
        <v>39062</v>
      </c>
      <c r="AX88" s="2"/>
      <c r="AY88" s="2"/>
      <c r="AZ88" s="13" t="s">
        <v>39695</v>
      </c>
    </row>
    <row x14ac:dyDescent="0.25" r="89" customHeight="1" ht="24.75">
      <c r="A89" s="198"/>
      <c r="B89" s="188">
        <f>AND(ISTEXT('Consolidado-Eletronorte'!#REF!),SUM('Consolidado-Eletronorte'!#REF!)&gt;0)</f>
      </c>
      <c r="C89" s="199">
        <f>$J$3</f>
      </c>
      <c r="D89" s="199">
        <f>$H$3</f>
      </c>
      <c r="E89" s="199">
        <f>$H$4</f>
      </c>
      <c r="F89" s="200"/>
      <c r="G89" s="199">
        <f>_xlfn.CONCAT('Consolidado-Eletronorte'!#REF!,"_",ROW('Consolidado-Eletronorte'!#REF!)-ROW('Consolidado-Eletronorte'!$G$18))</f>
      </c>
      <c r="H89" s="201" t="s">
        <v>10</v>
      </c>
      <c r="I89" s="202" t="s">
        <v>85</v>
      </c>
      <c r="J89" s="202" t="s">
        <v>5</v>
      </c>
      <c r="K89" s="203" t="s">
        <v>39449</v>
      </c>
      <c r="L89" s="202" t="s">
        <v>39456</v>
      </c>
      <c r="M89" s="202" t="s">
        <v>39507</v>
      </c>
      <c r="N89" s="202"/>
      <c r="O89" s="202"/>
      <c r="P89" s="202"/>
      <c r="Q89" s="204" t="s">
        <v>39700</v>
      </c>
      <c r="R89" s="204" t="s">
        <v>39700</v>
      </c>
      <c r="S89" s="202" t="s">
        <v>39509</v>
      </c>
      <c r="T89" s="205">
        <v>0</v>
      </c>
      <c r="U89" s="206">
        <v>0</v>
      </c>
      <c r="V89" s="206">
        <v>0</v>
      </c>
      <c r="W89" s="206">
        <v>0</v>
      </c>
      <c r="X89" s="205">
        <v>0</v>
      </c>
      <c r="Y89" s="205">
        <v>0</v>
      </c>
      <c r="Z89" s="207">
        <v>0</v>
      </c>
      <c r="AA89" s="207">
        <v>0</v>
      </c>
      <c r="AB89" s="207">
        <v>0</v>
      </c>
      <c r="AC89" s="207">
        <v>0</v>
      </c>
      <c r="AD89" s="207">
        <v>0</v>
      </c>
      <c r="AE89" s="207">
        <v>0</v>
      </c>
      <c r="AF89" s="207">
        <f>SUM(Tabela99[[#This Row], [jan/26]:[dez/26]])</f>
      </c>
      <c r="AG89" s="207">
        <v>450000</v>
      </c>
      <c r="AH89" s="207">
        <v>0</v>
      </c>
      <c r="AI89" s="207">
        <v>0</v>
      </c>
      <c r="AJ89" s="207">
        <v>0</v>
      </c>
      <c r="AK89" s="207">
        <f>SUM(Tabela99[[#This Row], [2026]:[2030]])</f>
      </c>
      <c r="AL89" s="206">
        <v>0</v>
      </c>
      <c r="AM89" s="207">
        <v>0</v>
      </c>
      <c r="AN89" s="207">
        <v>0</v>
      </c>
      <c r="AO89" s="207">
        <v>0</v>
      </c>
      <c r="AP89" s="207">
        <v>0</v>
      </c>
      <c r="AQ89" s="208">
        <f>SUM(Tabela99[[#This Row], [2026-2030]:[2035]])</f>
      </c>
      <c r="AR89" s="1"/>
      <c r="AS89" s="13" t="s">
        <v>39510</v>
      </c>
      <c r="AT89" s="39">
        <v>2025</v>
      </c>
      <c r="AU89" s="13" t="s">
        <v>24181</v>
      </c>
      <c r="AV89" s="1"/>
      <c r="AW89" s="13" t="s">
        <v>39194</v>
      </c>
      <c r="AX89" s="2"/>
      <c r="AY89" s="2"/>
      <c r="AZ89" s="13" t="s">
        <v>39511</v>
      </c>
    </row>
    <row x14ac:dyDescent="0.25" r="90" customHeight="1" ht="24.75">
      <c r="A90" s="187"/>
      <c r="B90" s="188">
        <f>AND(ISTEXT('Consolidado-Eletronorte'!#REF!),SUM('Consolidado-Eletronorte'!#REF!)&gt;0)</f>
      </c>
      <c r="C90" s="189">
        <f>$J$3</f>
      </c>
      <c r="D90" s="189">
        <f>$H$3</f>
      </c>
      <c r="E90" s="189">
        <f>$H$4</f>
      </c>
      <c r="F90" s="190"/>
      <c r="G90" s="189">
        <f>_xlfn.CONCAT('Consolidado-Eletronorte'!#REF!,"_",ROW('Consolidado-Eletronorte'!#REF!)-ROW('Consolidado-Eletronorte'!$G$18))</f>
      </c>
      <c r="H90" s="186" t="s">
        <v>10</v>
      </c>
      <c r="I90" s="191" t="s">
        <v>85</v>
      </c>
      <c r="J90" s="191" t="s">
        <v>5</v>
      </c>
      <c r="K90" s="192" t="s">
        <v>39449</v>
      </c>
      <c r="L90" s="191" t="s">
        <v>39456</v>
      </c>
      <c r="M90" s="191" t="s">
        <v>39701</v>
      </c>
      <c r="N90" s="191"/>
      <c r="O90" s="191"/>
      <c r="P90" s="191"/>
      <c r="Q90" s="193" t="s">
        <v>39702</v>
      </c>
      <c r="R90" s="193" t="s">
        <v>39703</v>
      </c>
      <c r="S90" s="191" t="s">
        <v>39704</v>
      </c>
      <c r="T90" s="194">
        <v>0</v>
      </c>
      <c r="U90" s="195">
        <v>0</v>
      </c>
      <c r="V90" s="195">
        <v>0</v>
      </c>
      <c r="W90" s="195">
        <v>0</v>
      </c>
      <c r="X90" s="194">
        <v>0</v>
      </c>
      <c r="Y90" s="194">
        <v>0</v>
      </c>
      <c r="Z90" s="196">
        <v>0</v>
      </c>
      <c r="AA90" s="196">
        <v>0</v>
      </c>
      <c r="AB90" s="196">
        <v>0</v>
      </c>
      <c r="AC90" s="196">
        <v>0</v>
      </c>
      <c r="AD90" s="196">
        <v>0</v>
      </c>
      <c r="AE90" s="196">
        <v>0</v>
      </c>
      <c r="AF90" s="196">
        <f>SUM(Tabela99[[#This Row], [jan/26]:[dez/26]])</f>
      </c>
      <c r="AG90" s="196">
        <v>450000</v>
      </c>
      <c r="AH90" s="196">
        <v>0</v>
      </c>
      <c r="AI90" s="196">
        <v>0</v>
      </c>
      <c r="AJ90" s="196">
        <v>0</v>
      </c>
      <c r="AK90" s="196">
        <f>SUM(Tabela99[[#This Row], [2026]:[2030]])</f>
      </c>
      <c r="AL90" s="195">
        <v>0</v>
      </c>
      <c r="AM90" s="196">
        <v>0</v>
      </c>
      <c r="AN90" s="196">
        <v>0</v>
      </c>
      <c r="AO90" s="196">
        <v>0</v>
      </c>
      <c r="AP90" s="196">
        <v>0</v>
      </c>
      <c r="AQ90" s="197">
        <f>SUM(Tabela99[[#This Row], [2026-2030]:[2035]])</f>
      </c>
      <c r="AR90" s="1"/>
      <c r="AS90" s="13" t="s">
        <v>39510</v>
      </c>
      <c r="AT90" s="39">
        <v>2025</v>
      </c>
      <c r="AU90" s="13" t="s">
        <v>24181</v>
      </c>
      <c r="AV90" s="1"/>
      <c r="AW90" s="13" t="s">
        <v>39194</v>
      </c>
      <c r="AX90" s="2"/>
      <c r="AY90" s="2"/>
      <c r="AZ90" s="13" t="s">
        <v>39705</v>
      </c>
    </row>
    <row x14ac:dyDescent="0.25" r="91" customHeight="1" ht="24.75">
      <c r="A91" s="187"/>
      <c r="B91" s="188">
        <f>AND(ISTEXT('Consolidado-Eletronorte'!#REF!),SUM('Consolidado-Eletronorte'!#REF!)&gt;0)</f>
      </c>
      <c r="C91" s="189">
        <f>$J$3</f>
      </c>
      <c r="D91" s="189">
        <f>$H$3</f>
      </c>
      <c r="E91" s="189">
        <f>$H$4</f>
      </c>
      <c r="F91" s="190"/>
      <c r="G91" s="189">
        <f>_xlfn.CONCAT('Consolidado-Eletronorte'!#REF!,"_",ROW('Consolidado-Eletronorte'!#REF!)-ROW('Consolidado-Eletronorte'!$G$18))</f>
      </c>
      <c r="H91" s="186" t="s">
        <v>10</v>
      </c>
      <c r="I91" s="191" t="s">
        <v>85</v>
      </c>
      <c r="J91" s="191" t="s">
        <v>5</v>
      </c>
      <c r="K91" s="192" t="s">
        <v>39449</v>
      </c>
      <c r="L91" s="191" t="s">
        <v>39456</v>
      </c>
      <c r="M91" s="191" t="s">
        <v>39669</v>
      </c>
      <c r="N91" s="191"/>
      <c r="O91" s="191"/>
      <c r="P91" s="191"/>
      <c r="Q91" s="193" t="s">
        <v>39706</v>
      </c>
      <c r="R91" s="193" t="s">
        <v>39664</v>
      </c>
      <c r="S91" s="191" t="s">
        <v>39671</v>
      </c>
      <c r="T91" s="194">
        <v>0</v>
      </c>
      <c r="U91" s="195">
        <v>0</v>
      </c>
      <c r="V91" s="195">
        <v>0</v>
      </c>
      <c r="W91" s="195">
        <v>0</v>
      </c>
      <c r="X91" s="194">
        <v>0</v>
      </c>
      <c r="Y91" s="194">
        <v>0</v>
      </c>
      <c r="Z91" s="196">
        <v>0</v>
      </c>
      <c r="AA91" s="196">
        <v>0</v>
      </c>
      <c r="AB91" s="196">
        <v>0</v>
      </c>
      <c r="AC91" s="196">
        <v>0</v>
      </c>
      <c r="AD91" s="196">
        <v>0</v>
      </c>
      <c r="AE91" s="196">
        <v>100000</v>
      </c>
      <c r="AF91" s="196">
        <f>SUM(Tabela99[[#This Row], [jan/26]:[dez/26]])</f>
      </c>
      <c r="AG91" s="196">
        <v>400000</v>
      </c>
      <c r="AH91" s="196">
        <v>0</v>
      </c>
      <c r="AI91" s="196">
        <v>0</v>
      </c>
      <c r="AJ91" s="196">
        <v>0</v>
      </c>
      <c r="AK91" s="196">
        <f>SUM(Tabela99[[#This Row], [2026]:[2030]])</f>
      </c>
      <c r="AL91" s="195">
        <v>0</v>
      </c>
      <c r="AM91" s="196">
        <v>0</v>
      </c>
      <c r="AN91" s="196">
        <v>0</v>
      </c>
      <c r="AO91" s="196">
        <v>0</v>
      </c>
      <c r="AP91" s="196">
        <v>0</v>
      </c>
      <c r="AQ91" s="197">
        <f>SUM(Tabela99[[#This Row], [2026-2030]:[2035]])</f>
      </c>
      <c r="AR91" s="1"/>
      <c r="AS91" s="13" t="s">
        <v>39461</v>
      </c>
      <c r="AT91" s="128" t="s">
        <v>39060</v>
      </c>
      <c r="AU91" s="13" t="s">
        <v>24181</v>
      </c>
      <c r="AV91" s="1"/>
      <c r="AW91" s="13" t="s">
        <v>39194</v>
      </c>
      <c r="AX91" s="2"/>
      <c r="AY91" s="2"/>
      <c r="AZ91" s="13" t="s">
        <v>39463</v>
      </c>
    </row>
    <row x14ac:dyDescent="0.25" r="92" customHeight="1" ht="24.75">
      <c r="A92" s="187"/>
      <c r="B92" s="188">
        <f>AND(ISTEXT('Consolidado-Eletronorte'!#REF!),SUM('Consolidado-Eletronorte'!#REF!)&gt;0)</f>
      </c>
      <c r="C92" s="189">
        <f>$J$3</f>
      </c>
      <c r="D92" s="189">
        <f>$H$3</f>
      </c>
      <c r="E92" s="189">
        <f>$H$4</f>
      </c>
      <c r="F92" s="190"/>
      <c r="G92" s="189">
        <f>_xlfn.CONCAT('Consolidado-Eletronorte'!#REF!,"_",ROW('Consolidado-Eletronorte'!#REF!)-ROW('Consolidado-Eletronorte'!$G$18))</f>
      </c>
      <c r="H92" s="186" t="s">
        <v>10</v>
      </c>
      <c r="I92" s="191" t="s">
        <v>85</v>
      </c>
      <c r="J92" s="191" t="s">
        <v>5</v>
      </c>
      <c r="K92" s="192" t="s">
        <v>26</v>
      </c>
      <c r="L92" s="191" t="s">
        <v>39641</v>
      </c>
      <c r="M92" s="191" t="s">
        <v>39672</v>
      </c>
      <c r="N92" s="191"/>
      <c r="O92" s="191"/>
      <c r="P92" s="191"/>
      <c r="Q92" s="193" t="s">
        <v>39707</v>
      </c>
      <c r="R92" s="193" t="s">
        <v>39708</v>
      </c>
      <c r="S92" s="191" t="s">
        <v>39452</v>
      </c>
      <c r="T92" s="194">
        <v>0</v>
      </c>
      <c r="U92" s="195">
        <v>0</v>
      </c>
      <c r="V92" s="195">
        <v>0</v>
      </c>
      <c r="W92" s="195">
        <v>0</v>
      </c>
      <c r="X92" s="194">
        <v>0</v>
      </c>
      <c r="Y92" s="194">
        <v>438125</v>
      </c>
      <c r="Z92" s="196">
        <v>0</v>
      </c>
      <c r="AA92" s="196">
        <v>0</v>
      </c>
      <c r="AB92" s="196">
        <v>0</v>
      </c>
      <c r="AC92" s="196">
        <v>0</v>
      </c>
      <c r="AD92" s="196">
        <v>0</v>
      </c>
      <c r="AE92" s="196">
        <v>0</v>
      </c>
      <c r="AF92" s="196">
        <f>SUM(Tabela99[[#This Row], [jan/26]:[dez/26]])</f>
      </c>
      <c r="AG92" s="196">
        <v>216931</v>
      </c>
      <c r="AH92" s="196">
        <v>0</v>
      </c>
      <c r="AI92" s="196">
        <v>0</v>
      </c>
      <c r="AJ92" s="196">
        <v>0</v>
      </c>
      <c r="AK92" s="196">
        <f>SUM(Tabela99[[#This Row], [2026]:[2030]])</f>
      </c>
      <c r="AL92" s="195">
        <v>0</v>
      </c>
      <c r="AM92" s="196">
        <v>0</v>
      </c>
      <c r="AN92" s="196">
        <v>0</v>
      </c>
      <c r="AO92" s="196">
        <v>0</v>
      </c>
      <c r="AP92" s="196">
        <v>0</v>
      </c>
      <c r="AQ92" s="197">
        <f>SUM(Tabela99[[#This Row], [2026-2030]:[2035]])</f>
      </c>
      <c r="AR92" s="1"/>
      <c r="AS92" s="13" t="s">
        <v>39674</v>
      </c>
      <c r="AT92" s="128" t="s">
        <v>39060</v>
      </c>
      <c r="AU92" s="13" t="s">
        <v>24181</v>
      </c>
      <c r="AV92" s="1"/>
      <c r="AW92" s="13" t="s">
        <v>39062</v>
      </c>
      <c r="AX92" s="2"/>
      <c r="AY92" s="2"/>
      <c r="AZ92" s="13" t="s">
        <v>39709</v>
      </c>
    </row>
    <row x14ac:dyDescent="0.25" r="93" customHeight="1" ht="24.75">
      <c r="A93" s="187"/>
      <c r="B93" s="188">
        <f>AND(ISTEXT('Consolidado-Eletronorte'!#REF!),SUM('Consolidado-Eletronorte'!#REF!)&gt;0)</f>
      </c>
      <c r="C93" s="189">
        <f>$J$3</f>
      </c>
      <c r="D93" s="189">
        <f>$H$3</f>
      </c>
      <c r="E93" s="189">
        <f>$H$4</f>
      </c>
      <c r="F93" s="190"/>
      <c r="G93" s="189">
        <f>_xlfn.CONCAT('Consolidado-Eletronorte'!#REF!,"_",ROW('Consolidado-Eletronorte'!#REF!)-ROW('Consolidado-Eletronorte'!$G$18))</f>
      </c>
      <c r="H93" s="186" t="s">
        <v>10</v>
      </c>
      <c r="I93" s="191" t="s">
        <v>85</v>
      </c>
      <c r="J93" s="191" t="s">
        <v>5</v>
      </c>
      <c r="K93" s="192" t="s">
        <v>26</v>
      </c>
      <c r="L93" s="191" t="s">
        <v>39641</v>
      </c>
      <c r="M93" s="191" t="s">
        <v>39672</v>
      </c>
      <c r="N93" s="191"/>
      <c r="O93" s="191"/>
      <c r="P93" s="191"/>
      <c r="Q93" s="193" t="s">
        <v>39707</v>
      </c>
      <c r="R93" s="193" t="s">
        <v>39708</v>
      </c>
      <c r="S93" s="191" t="s">
        <v>38380</v>
      </c>
      <c r="T93" s="194">
        <v>0</v>
      </c>
      <c r="U93" s="195">
        <v>0</v>
      </c>
      <c r="V93" s="195">
        <v>0</v>
      </c>
      <c r="W93" s="195">
        <v>0</v>
      </c>
      <c r="X93" s="194">
        <v>0</v>
      </c>
      <c r="Y93" s="194">
        <v>434385</v>
      </c>
      <c r="Z93" s="196">
        <v>0</v>
      </c>
      <c r="AA93" s="196">
        <v>0</v>
      </c>
      <c r="AB93" s="196">
        <v>0</v>
      </c>
      <c r="AC93" s="196">
        <v>0</v>
      </c>
      <c r="AD93" s="196">
        <v>0</v>
      </c>
      <c r="AE93" s="196">
        <v>0</v>
      </c>
      <c r="AF93" s="196">
        <f>SUM(Tabela99[[#This Row], [jan/26]:[dez/26]])</f>
      </c>
      <c r="AG93" s="196">
        <v>213191</v>
      </c>
      <c r="AH93" s="196">
        <v>0</v>
      </c>
      <c r="AI93" s="196">
        <v>0</v>
      </c>
      <c r="AJ93" s="196">
        <v>0</v>
      </c>
      <c r="AK93" s="196">
        <f>SUM(Tabela99[[#This Row], [2026]:[2030]])</f>
      </c>
      <c r="AL93" s="195">
        <v>0</v>
      </c>
      <c r="AM93" s="196">
        <v>0</v>
      </c>
      <c r="AN93" s="196">
        <v>0</v>
      </c>
      <c r="AO93" s="196">
        <v>0</v>
      </c>
      <c r="AP93" s="196">
        <v>0</v>
      </c>
      <c r="AQ93" s="197">
        <f>SUM(Tabela99[[#This Row], [2026-2030]:[2035]])</f>
      </c>
      <c r="AR93" s="1"/>
      <c r="AS93" s="13" t="s">
        <v>39674</v>
      </c>
      <c r="AT93" s="128" t="s">
        <v>39060</v>
      </c>
      <c r="AU93" s="13" t="s">
        <v>24181</v>
      </c>
      <c r="AV93" s="1"/>
      <c r="AW93" s="13" t="s">
        <v>39062</v>
      </c>
      <c r="AX93" s="2"/>
      <c r="AY93" s="2"/>
      <c r="AZ93" s="13" t="s">
        <v>39709</v>
      </c>
    </row>
    <row x14ac:dyDescent="0.25" r="94" customHeight="1" ht="24.75">
      <c r="A94" s="187"/>
      <c r="B94" s="188">
        <f>AND(ISTEXT('Consolidado-Eletronorte'!#REF!),SUM('Consolidado-Eletronorte'!#REF!)&gt;0)</f>
      </c>
      <c r="C94" s="189">
        <f>$J$3</f>
      </c>
      <c r="D94" s="189">
        <f>$H$3</f>
      </c>
      <c r="E94" s="189">
        <f>$H$4</f>
      </c>
      <c r="F94" s="190"/>
      <c r="G94" s="189">
        <f>_xlfn.CONCAT('Consolidado-Eletronorte'!#REF!,"_",ROW('Consolidado-Eletronorte'!#REF!)-ROW('Consolidado-Eletronorte'!$G$18))</f>
      </c>
      <c r="H94" s="186" t="s">
        <v>10</v>
      </c>
      <c r="I94" s="191" t="s">
        <v>85</v>
      </c>
      <c r="J94" s="191" t="s">
        <v>5</v>
      </c>
      <c r="K94" s="192" t="s">
        <v>26</v>
      </c>
      <c r="L94" s="191" t="s">
        <v>39641</v>
      </c>
      <c r="M94" s="191" t="s">
        <v>39672</v>
      </c>
      <c r="N94" s="191"/>
      <c r="O94" s="191"/>
      <c r="P94" s="191"/>
      <c r="Q94" s="193" t="s">
        <v>39707</v>
      </c>
      <c r="R94" s="193" t="s">
        <v>39708</v>
      </c>
      <c r="S94" s="191" t="s">
        <v>39460</v>
      </c>
      <c r="T94" s="194">
        <v>0</v>
      </c>
      <c r="U94" s="195">
        <v>0</v>
      </c>
      <c r="V94" s="195">
        <v>0</v>
      </c>
      <c r="W94" s="195">
        <v>0</v>
      </c>
      <c r="X94" s="194">
        <v>0</v>
      </c>
      <c r="Y94" s="194">
        <v>272567</v>
      </c>
      <c r="Z94" s="196">
        <v>0</v>
      </c>
      <c r="AA94" s="196">
        <v>0</v>
      </c>
      <c r="AB94" s="196">
        <v>0</v>
      </c>
      <c r="AC94" s="196">
        <v>0</v>
      </c>
      <c r="AD94" s="196">
        <v>0</v>
      </c>
      <c r="AE94" s="196">
        <v>0</v>
      </c>
      <c r="AF94" s="196">
        <f>SUM(Tabela99[[#This Row], [jan/26]:[dez/26]])</f>
      </c>
      <c r="AG94" s="196">
        <v>183288</v>
      </c>
      <c r="AH94" s="196">
        <v>0</v>
      </c>
      <c r="AI94" s="196">
        <v>0</v>
      </c>
      <c r="AJ94" s="196">
        <v>0</v>
      </c>
      <c r="AK94" s="196">
        <f>SUM(Tabela99[[#This Row], [2026]:[2030]])</f>
      </c>
      <c r="AL94" s="195">
        <v>0</v>
      </c>
      <c r="AM94" s="196">
        <v>0</v>
      </c>
      <c r="AN94" s="196">
        <v>0</v>
      </c>
      <c r="AO94" s="196">
        <v>0</v>
      </c>
      <c r="AP94" s="196">
        <v>0</v>
      </c>
      <c r="AQ94" s="197">
        <f>SUM(Tabela99[[#This Row], [2026-2030]:[2035]])</f>
      </c>
      <c r="AR94" s="1"/>
      <c r="AS94" s="13" t="s">
        <v>39674</v>
      </c>
      <c r="AT94" s="128" t="s">
        <v>39060</v>
      </c>
      <c r="AU94" s="13" t="s">
        <v>24181</v>
      </c>
      <c r="AV94" s="1"/>
      <c r="AW94" s="13" t="s">
        <v>39062</v>
      </c>
      <c r="AX94" s="2"/>
      <c r="AY94" s="2"/>
      <c r="AZ94" s="13" t="s">
        <v>39709</v>
      </c>
    </row>
    <row x14ac:dyDescent="0.25" r="95" customHeight="1" ht="24.75">
      <c r="A95" s="187"/>
      <c r="B95" s="188">
        <f>AND(ISTEXT('Consolidado-Eletronorte'!#REF!),SUM('Consolidado-Eletronorte'!#REF!)&gt;0)</f>
      </c>
      <c r="C95" s="189">
        <f>$J$3</f>
      </c>
      <c r="D95" s="189">
        <f>$H$3</f>
      </c>
      <c r="E95" s="189">
        <f>$H$4</f>
      </c>
      <c r="F95" s="190"/>
      <c r="G95" s="189">
        <f>_xlfn.CONCAT('Consolidado-Eletronorte'!#REF!,"_",ROW('Consolidado-Eletronorte'!#REF!)-ROW('Consolidado-Eletronorte'!$G$18))</f>
      </c>
      <c r="H95" s="186" t="s">
        <v>10</v>
      </c>
      <c r="I95" s="191" t="s">
        <v>85</v>
      </c>
      <c r="J95" s="191" t="s">
        <v>5</v>
      </c>
      <c r="K95" s="192" t="s">
        <v>39449</v>
      </c>
      <c r="L95" s="191" t="s">
        <v>39456</v>
      </c>
      <c r="M95" s="191" t="s">
        <v>39669</v>
      </c>
      <c r="N95" s="191"/>
      <c r="O95" s="191"/>
      <c r="P95" s="191"/>
      <c r="Q95" s="193" t="s">
        <v>39710</v>
      </c>
      <c r="R95" s="193" t="s">
        <v>39664</v>
      </c>
      <c r="S95" s="191" t="s">
        <v>39671</v>
      </c>
      <c r="T95" s="194">
        <v>0</v>
      </c>
      <c r="U95" s="195">
        <v>0</v>
      </c>
      <c r="V95" s="195">
        <v>0</v>
      </c>
      <c r="W95" s="195">
        <v>0</v>
      </c>
      <c r="X95" s="194">
        <v>0</v>
      </c>
      <c r="Y95" s="194">
        <v>0</v>
      </c>
      <c r="Z95" s="196">
        <v>0</v>
      </c>
      <c r="AA95" s="196">
        <v>0</v>
      </c>
      <c r="AB95" s="196">
        <v>0</v>
      </c>
      <c r="AC95" s="196">
        <v>0</v>
      </c>
      <c r="AD95" s="196">
        <v>0</v>
      </c>
      <c r="AE95" s="196">
        <v>0</v>
      </c>
      <c r="AF95" s="196">
        <f>SUM(Tabela99[[#This Row], [jan/26]:[dez/26]])</f>
      </c>
      <c r="AG95" s="196">
        <v>150000</v>
      </c>
      <c r="AH95" s="196">
        <v>0</v>
      </c>
      <c r="AI95" s="196">
        <v>0</v>
      </c>
      <c r="AJ95" s="196">
        <v>0</v>
      </c>
      <c r="AK95" s="196">
        <f>SUM(Tabela99[[#This Row], [2026]:[2030]])</f>
      </c>
      <c r="AL95" s="195">
        <v>0</v>
      </c>
      <c r="AM95" s="196">
        <v>0</v>
      </c>
      <c r="AN95" s="196">
        <v>0</v>
      </c>
      <c r="AO95" s="196">
        <v>0</v>
      </c>
      <c r="AP95" s="196">
        <v>0</v>
      </c>
      <c r="AQ95" s="197">
        <f>SUM(Tabela99[[#This Row], [2026-2030]:[2035]])</f>
      </c>
      <c r="AR95" s="1"/>
      <c r="AS95" s="13" t="s">
        <v>39461</v>
      </c>
      <c r="AT95" s="128" t="s">
        <v>39060</v>
      </c>
      <c r="AU95" s="13" t="s">
        <v>24181</v>
      </c>
      <c r="AV95" s="1"/>
      <c r="AW95" s="13" t="s">
        <v>39194</v>
      </c>
      <c r="AX95" s="2"/>
      <c r="AY95" s="2"/>
      <c r="AZ95" s="13" t="s">
        <v>39463</v>
      </c>
    </row>
    <row x14ac:dyDescent="0.25" r="96" customHeight="1" ht="24.75">
      <c r="A96" s="187"/>
      <c r="B96" s="188">
        <f>AND(ISTEXT('Consolidado-Eletronorte'!#REF!),SUM('Consolidado-Eletronorte'!#REF!)&gt;0)</f>
      </c>
      <c r="C96" s="189">
        <f>$J$3</f>
      </c>
      <c r="D96" s="189">
        <f>$H$3</f>
      </c>
      <c r="E96" s="189">
        <f>$H$4</f>
      </c>
      <c r="F96" s="190"/>
      <c r="G96" s="189">
        <f>_xlfn.CONCAT('Consolidado-Eletronorte'!#REF!,"_",ROW('Consolidado-Eletronorte'!#REF!)-ROW('Consolidado-Eletronorte'!$G$18))</f>
      </c>
      <c r="H96" s="186" t="s">
        <v>10</v>
      </c>
      <c r="I96" s="191" t="s">
        <v>85</v>
      </c>
      <c r="J96" s="191" t="s">
        <v>5</v>
      </c>
      <c r="K96" s="192" t="s">
        <v>26</v>
      </c>
      <c r="L96" s="191" t="s">
        <v>39641</v>
      </c>
      <c r="M96" s="191" t="s">
        <v>39672</v>
      </c>
      <c r="N96" s="191"/>
      <c r="O96" s="191"/>
      <c r="P96" s="191"/>
      <c r="Q96" s="193" t="s">
        <v>39707</v>
      </c>
      <c r="R96" s="193" t="s">
        <v>39708</v>
      </c>
      <c r="S96" s="191" t="s">
        <v>38378</v>
      </c>
      <c r="T96" s="194">
        <v>0</v>
      </c>
      <c r="U96" s="195">
        <v>0</v>
      </c>
      <c r="V96" s="195">
        <v>0</v>
      </c>
      <c r="W96" s="195">
        <v>0</v>
      </c>
      <c r="X96" s="194">
        <v>0</v>
      </c>
      <c r="Y96" s="194">
        <v>513070</v>
      </c>
      <c r="Z96" s="196">
        <v>0</v>
      </c>
      <c r="AA96" s="196">
        <v>0</v>
      </c>
      <c r="AB96" s="196">
        <v>0</v>
      </c>
      <c r="AC96" s="196">
        <v>0</v>
      </c>
      <c r="AD96" s="196">
        <v>0</v>
      </c>
      <c r="AE96" s="196">
        <v>0</v>
      </c>
      <c r="AF96" s="196">
        <f>SUM(Tabela99[[#This Row], [jan/26]:[dez/26]])</f>
      </c>
      <c r="AG96" s="196">
        <v>72946</v>
      </c>
      <c r="AH96" s="196">
        <v>0</v>
      </c>
      <c r="AI96" s="196">
        <v>0</v>
      </c>
      <c r="AJ96" s="196">
        <v>0</v>
      </c>
      <c r="AK96" s="196">
        <f>SUM(Tabela99[[#This Row], [2026]:[2030]])</f>
      </c>
      <c r="AL96" s="195">
        <v>0</v>
      </c>
      <c r="AM96" s="196">
        <v>0</v>
      </c>
      <c r="AN96" s="196">
        <v>0</v>
      </c>
      <c r="AO96" s="196">
        <v>0</v>
      </c>
      <c r="AP96" s="196">
        <v>0</v>
      </c>
      <c r="AQ96" s="197">
        <f>SUM(Tabela99[[#This Row], [2026-2030]:[2035]])</f>
      </c>
      <c r="AR96" s="1"/>
      <c r="AS96" s="13" t="s">
        <v>39674</v>
      </c>
      <c r="AT96" s="128" t="s">
        <v>39060</v>
      </c>
      <c r="AU96" s="13" t="s">
        <v>24181</v>
      </c>
      <c r="AV96" s="1"/>
      <c r="AW96" s="13" t="s">
        <v>39062</v>
      </c>
      <c r="AX96" s="2"/>
      <c r="AY96" s="2"/>
      <c r="AZ96" s="13" t="s">
        <v>39709</v>
      </c>
    </row>
    <row x14ac:dyDescent="0.25" r="97" customHeight="1" ht="24.75">
      <c r="A97" s="187"/>
      <c r="B97" s="188">
        <f>AND(ISTEXT('Consolidado-Eletronorte'!#REF!),SUM('Consolidado-Eletronorte'!#REF!)&gt;0)</f>
      </c>
      <c r="C97" s="189">
        <f>$J$3</f>
      </c>
      <c r="D97" s="189">
        <f>$H$3</f>
      </c>
      <c r="E97" s="189">
        <f>$H$4</f>
      </c>
      <c r="F97" s="190"/>
      <c r="G97" s="189">
        <f>_xlfn.CONCAT('Consolidado-Eletronorte'!#REF!,"_",ROW('Consolidado-Eletronorte'!#REF!)-ROW('Consolidado-Eletronorte'!$G$18))</f>
      </c>
      <c r="H97" s="186" t="s">
        <v>10</v>
      </c>
      <c r="I97" s="191" t="s">
        <v>85</v>
      </c>
      <c r="J97" s="191" t="s">
        <v>5</v>
      </c>
      <c r="K97" s="192" t="s">
        <v>26</v>
      </c>
      <c r="L97" s="191" t="s">
        <v>39641</v>
      </c>
      <c r="M97" s="191" t="s">
        <v>39672</v>
      </c>
      <c r="N97" s="191"/>
      <c r="O97" s="191"/>
      <c r="P97" s="191"/>
      <c r="Q97" s="193" t="s">
        <v>39707</v>
      </c>
      <c r="R97" s="193" t="s">
        <v>39708</v>
      </c>
      <c r="S97" s="191" t="s">
        <v>39711</v>
      </c>
      <c r="T97" s="194">
        <v>0</v>
      </c>
      <c r="U97" s="195">
        <v>0</v>
      </c>
      <c r="V97" s="195">
        <v>0</v>
      </c>
      <c r="W97" s="195">
        <v>0</v>
      </c>
      <c r="X97" s="194">
        <v>0</v>
      </c>
      <c r="Y97" s="194">
        <v>426907</v>
      </c>
      <c r="Z97" s="196">
        <v>0</v>
      </c>
      <c r="AA97" s="196">
        <v>0</v>
      </c>
      <c r="AB97" s="196">
        <v>0</v>
      </c>
      <c r="AC97" s="196">
        <v>0</v>
      </c>
      <c r="AD97" s="196">
        <v>0</v>
      </c>
      <c r="AE97" s="196">
        <v>0</v>
      </c>
      <c r="AF97" s="196">
        <f>SUM(Tabela99[[#This Row], [jan/26]:[dez/26]])</f>
      </c>
      <c r="AG97" s="196">
        <v>69576</v>
      </c>
      <c r="AH97" s="196">
        <v>0</v>
      </c>
      <c r="AI97" s="196">
        <v>0</v>
      </c>
      <c r="AJ97" s="196">
        <v>0</v>
      </c>
      <c r="AK97" s="196">
        <f>SUM(Tabela99[[#This Row], [2026]:[2030]])</f>
      </c>
      <c r="AL97" s="195">
        <v>0</v>
      </c>
      <c r="AM97" s="196">
        <v>0</v>
      </c>
      <c r="AN97" s="196">
        <v>0</v>
      </c>
      <c r="AO97" s="196">
        <v>0</v>
      </c>
      <c r="AP97" s="196">
        <v>0</v>
      </c>
      <c r="AQ97" s="197">
        <f>SUM(Tabela99[[#This Row], [2026-2030]:[2035]])</f>
      </c>
      <c r="AR97" s="1"/>
      <c r="AS97" s="13" t="s">
        <v>39674</v>
      </c>
      <c r="AT97" s="128" t="s">
        <v>39060</v>
      </c>
      <c r="AU97" s="13" t="s">
        <v>24181</v>
      </c>
      <c r="AV97" s="1"/>
      <c r="AW97" s="13" t="s">
        <v>39062</v>
      </c>
      <c r="AX97" s="2"/>
      <c r="AY97" s="2"/>
      <c r="AZ97" s="13" t="s">
        <v>39709</v>
      </c>
    </row>
    <row x14ac:dyDescent="0.25" r="98" customHeight="1" ht="24.75">
      <c r="A98" s="187"/>
      <c r="B98" s="188">
        <f>AND(ISTEXT('Consolidado-Eletronorte'!#REF!),SUM('Consolidado-Eletronorte'!#REF!)&gt;0)</f>
      </c>
      <c r="C98" s="189">
        <f>$J$3</f>
      </c>
      <c r="D98" s="189">
        <f>$H$3</f>
      </c>
      <c r="E98" s="189">
        <f>$H$4</f>
      </c>
      <c r="F98" s="190"/>
      <c r="G98" s="189">
        <f>_xlfn.CONCAT('Consolidado-Eletronorte'!#REF!,"_",ROW('Consolidado-Eletronorte'!#REF!)-ROW('Consolidado-Eletronorte'!$G$18))</f>
      </c>
      <c r="H98" s="186" t="s">
        <v>10</v>
      </c>
      <c r="I98" s="191" t="s">
        <v>85</v>
      </c>
      <c r="J98" s="191" t="s">
        <v>5</v>
      </c>
      <c r="K98" s="192" t="s">
        <v>26</v>
      </c>
      <c r="L98" s="191" t="s">
        <v>39641</v>
      </c>
      <c r="M98" s="191" t="s">
        <v>39672</v>
      </c>
      <c r="N98" s="191"/>
      <c r="O98" s="191"/>
      <c r="P98" s="191"/>
      <c r="Q98" s="193" t="s">
        <v>39707</v>
      </c>
      <c r="R98" s="193" t="s">
        <v>39708</v>
      </c>
      <c r="S98" s="191" t="s">
        <v>38390</v>
      </c>
      <c r="T98" s="194">
        <v>0</v>
      </c>
      <c r="U98" s="195">
        <v>0</v>
      </c>
      <c r="V98" s="195">
        <v>0</v>
      </c>
      <c r="W98" s="195">
        <v>0</v>
      </c>
      <c r="X98" s="194">
        <v>0</v>
      </c>
      <c r="Y98" s="194">
        <v>389570</v>
      </c>
      <c r="Z98" s="196">
        <v>0</v>
      </c>
      <c r="AA98" s="196">
        <v>0</v>
      </c>
      <c r="AB98" s="196">
        <v>0</v>
      </c>
      <c r="AC98" s="196">
        <v>0</v>
      </c>
      <c r="AD98" s="196">
        <v>0</v>
      </c>
      <c r="AE98" s="196">
        <v>0</v>
      </c>
      <c r="AF98" s="196">
        <f>SUM(Tabela99[[#This Row], [jan/26]:[dez/26]])</f>
      </c>
      <c r="AG98" s="196">
        <v>69576</v>
      </c>
      <c r="AH98" s="196">
        <v>0</v>
      </c>
      <c r="AI98" s="196">
        <v>0</v>
      </c>
      <c r="AJ98" s="196">
        <v>0</v>
      </c>
      <c r="AK98" s="196">
        <f>SUM(Tabela99[[#This Row], [2026]:[2030]])</f>
      </c>
      <c r="AL98" s="195">
        <v>0</v>
      </c>
      <c r="AM98" s="196">
        <v>0</v>
      </c>
      <c r="AN98" s="196">
        <v>0</v>
      </c>
      <c r="AO98" s="196">
        <v>0</v>
      </c>
      <c r="AP98" s="196">
        <v>0</v>
      </c>
      <c r="AQ98" s="197">
        <f>SUM(Tabela99[[#This Row], [2026-2030]:[2035]])</f>
      </c>
      <c r="AR98" s="1"/>
      <c r="AS98" s="13" t="s">
        <v>39674</v>
      </c>
      <c r="AT98" s="128" t="s">
        <v>39060</v>
      </c>
      <c r="AU98" s="13" t="s">
        <v>24181</v>
      </c>
      <c r="AV98" s="1"/>
      <c r="AW98" s="13" t="s">
        <v>39062</v>
      </c>
      <c r="AX98" s="2"/>
      <c r="AY98" s="2"/>
      <c r="AZ98" s="13" t="s">
        <v>39709</v>
      </c>
    </row>
    <row x14ac:dyDescent="0.25" r="99" customHeight="1" ht="24.75">
      <c r="A99" s="187"/>
      <c r="B99" s="188">
        <f>AND(ISTEXT('Consolidado-Eletronorte'!#REF!),SUM('Consolidado-Eletronorte'!#REF!)&gt;0)</f>
      </c>
      <c r="C99" s="189">
        <f>$J$3</f>
      </c>
      <c r="D99" s="189">
        <f>$H$3</f>
      </c>
      <c r="E99" s="189">
        <f>$H$4</f>
      </c>
      <c r="F99" s="190"/>
      <c r="G99" s="189">
        <f>_xlfn.CONCAT('Consolidado-Eletronorte'!#REF!,"_",ROW('Consolidado-Eletronorte'!#REF!)-ROW('Consolidado-Eletronorte'!$G$18))</f>
      </c>
      <c r="H99" s="186" t="s">
        <v>10</v>
      </c>
      <c r="I99" s="191" t="s">
        <v>85</v>
      </c>
      <c r="J99" s="191" t="s">
        <v>5</v>
      </c>
      <c r="K99" s="192" t="s">
        <v>39449</v>
      </c>
      <c r="L99" s="191" t="s">
        <v>39456</v>
      </c>
      <c r="M99" s="191" t="s">
        <v>39512</v>
      </c>
      <c r="N99" s="191"/>
      <c r="O99" s="191"/>
      <c r="P99" s="191"/>
      <c r="Q99" s="193" t="s">
        <v>39712</v>
      </c>
      <c r="R99" s="193" t="s">
        <v>39664</v>
      </c>
      <c r="S99" s="191" t="s">
        <v>39460</v>
      </c>
      <c r="T99" s="194">
        <v>0</v>
      </c>
      <c r="U99" s="195">
        <v>0</v>
      </c>
      <c r="V99" s="195">
        <v>0</v>
      </c>
      <c r="W99" s="195">
        <v>0</v>
      </c>
      <c r="X99" s="194">
        <v>0</v>
      </c>
      <c r="Y99" s="194">
        <v>0</v>
      </c>
      <c r="Z99" s="196">
        <v>0</v>
      </c>
      <c r="AA99" s="196">
        <v>0</v>
      </c>
      <c r="AB99" s="196">
        <v>0</v>
      </c>
      <c r="AC99" s="196">
        <v>0</v>
      </c>
      <c r="AD99" s="196">
        <v>0</v>
      </c>
      <c r="AE99" s="196">
        <v>0</v>
      </c>
      <c r="AF99" s="196">
        <f>SUM(Tabela99[[#This Row], [jan/26]:[dez/26]])</f>
      </c>
      <c r="AG99" s="196">
        <v>60000</v>
      </c>
      <c r="AH99" s="196">
        <v>0</v>
      </c>
      <c r="AI99" s="196">
        <v>0</v>
      </c>
      <c r="AJ99" s="196">
        <v>0</v>
      </c>
      <c r="AK99" s="196">
        <f>SUM(Tabela99[[#This Row], [2026]:[2030]])</f>
      </c>
      <c r="AL99" s="195">
        <v>0</v>
      </c>
      <c r="AM99" s="196">
        <v>0</v>
      </c>
      <c r="AN99" s="196">
        <v>0</v>
      </c>
      <c r="AO99" s="196">
        <v>0</v>
      </c>
      <c r="AP99" s="196">
        <v>0</v>
      </c>
      <c r="AQ99" s="197">
        <f>SUM(Tabela99[[#This Row], [2026-2030]:[2035]])</f>
      </c>
      <c r="AR99" s="1"/>
      <c r="AS99" s="13" t="s">
        <v>39461</v>
      </c>
      <c r="AT99" s="39">
        <v>2025</v>
      </c>
      <c r="AU99" s="13" t="s">
        <v>24181</v>
      </c>
      <c r="AV99" s="1"/>
      <c r="AW99" s="13" t="s">
        <v>39194</v>
      </c>
      <c r="AX99" s="2"/>
      <c r="AY99" s="2"/>
      <c r="AZ99" s="13" t="s">
        <v>39463</v>
      </c>
    </row>
    <row x14ac:dyDescent="0.25" r="100" customHeight="1" ht="24.75">
      <c r="A100" s="187"/>
      <c r="B100" s="188">
        <f>AND(ISTEXT('Consolidado-Eletronorte'!#REF!),SUM('Consolidado-Eletronorte'!#REF!)&gt;0)</f>
      </c>
      <c r="C100" s="189">
        <f>$J$3</f>
      </c>
      <c r="D100" s="189">
        <f>$H$3</f>
      </c>
      <c r="E100" s="189">
        <f>$H$4</f>
      </c>
      <c r="F100" s="190"/>
      <c r="G100" s="189">
        <f>_xlfn.CONCAT('Consolidado-Eletronorte'!#REF!,"_",ROW('Consolidado-Eletronorte'!#REF!)-ROW('Consolidado-Eletronorte'!$G$18))</f>
      </c>
      <c r="H100" s="186" t="s">
        <v>10</v>
      </c>
      <c r="I100" s="191" t="s">
        <v>85</v>
      </c>
      <c r="J100" s="191" t="s">
        <v>5</v>
      </c>
      <c r="K100" s="192" t="s">
        <v>26</v>
      </c>
      <c r="L100" s="191" t="s">
        <v>39641</v>
      </c>
      <c r="M100" s="191" t="s">
        <v>39672</v>
      </c>
      <c r="N100" s="191"/>
      <c r="O100" s="191"/>
      <c r="P100" s="191"/>
      <c r="Q100" s="193" t="s">
        <v>39707</v>
      </c>
      <c r="R100" s="193" t="s">
        <v>39708</v>
      </c>
      <c r="S100" s="191" t="s">
        <v>38388</v>
      </c>
      <c r="T100" s="194">
        <v>0</v>
      </c>
      <c r="U100" s="195">
        <v>0</v>
      </c>
      <c r="V100" s="195">
        <v>0</v>
      </c>
      <c r="W100" s="195">
        <v>0</v>
      </c>
      <c r="X100" s="194">
        <v>0</v>
      </c>
      <c r="Y100" s="194">
        <v>215830</v>
      </c>
      <c r="Z100" s="196">
        <v>0</v>
      </c>
      <c r="AA100" s="196">
        <v>0</v>
      </c>
      <c r="AB100" s="196">
        <v>0</v>
      </c>
      <c r="AC100" s="196">
        <v>0</v>
      </c>
      <c r="AD100" s="196">
        <v>0</v>
      </c>
      <c r="AE100" s="196">
        <v>0</v>
      </c>
      <c r="AF100" s="196">
        <f>SUM(Tabela99[[#This Row], [jan/26]:[dez/26]])</f>
      </c>
      <c r="AG100" s="196">
        <v>40043</v>
      </c>
      <c r="AH100" s="196">
        <v>0</v>
      </c>
      <c r="AI100" s="196">
        <v>0</v>
      </c>
      <c r="AJ100" s="196">
        <v>0</v>
      </c>
      <c r="AK100" s="196">
        <f>SUM(Tabela99[[#This Row], [2026]:[2030]])</f>
      </c>
      <c r="AL100" s="195">
        <v>0</v>
      </c>
      <c r="AM100" s="196">
        <v>0</v>
      </c>
      <c r="AN100" s="196">
        <v>0</v>
      </c>
      <c r="AO100" s="196">
        <v>0</v>
      </c>
      <c r="AP100" s="196">
        <v>0</v>
      </c>
      <c r="AQ100" s="197">
        <f>SUM(Tabela99[[#This Row], [2026-2030]:[2035]])</f>
      </c>
      <c r="AR100" s="1"/>
      <c r="AS100" s="13" t="s">
        <v>39674</v>
      </c>
      <c r="AT100" s="128" t="s">
        <v>39060</v>
      </c>
      <c r="AU100" s="13" t="s">
        <v>24181</v>
      </c>
      <c r="AV100" s="1"/>
      <c r="AW100" s="13" t="s">
        <v>39062</v>
      </c>
      <c r="AX100" s="2"/>
      <c r="AY100" s="2"/>
      <c r="AZ100" s="13" t="s">
        <v>39709</v>
      </c>
    </row>
    <row x14ac:dyDescent="0.25" r="101" customHeight="1" ht="24.75">
      <c r="A101" s="187"/>
      <c r="B101" s="188">
        <f>AND(ISTEXT('Consolidado-Eletronorte'!#REF!),SUM('Consolidado-Eletronorte'!#REF!)&gt;0)</f>
      </c>
      <c r="C101" s="189">
        <f>$J$3</f>
      </c>
      <c r="D101" s="189">
        <f>$H$3</f>
      </c>
      <c r="E101" s="189">
        <f>$H$4</f>
      </c>
      <c r="F101" s="190"/>
      <c r="G101" s="189">
        <f>_xlfn.CONCAT('Consolidado-Eletronorte'!#REF!,"_",ROW('Consolidado-Eletronorte'!#REF!)-ROW('Consolidado-Eletronorte'!$G$18))</f>
      </c>
      <c r="H101" s="186" t="s">
        <v>10</v>
      </c>
      <c r="I101" s="191" t="s">
        <v>85</v>
      </c>
      <c r="J101" s="191" t="s">
        <v>5</v>
      </c>
      <c r="K101" s="192" t="s">
        <v>26</v>
      </c>
      <c r="L101" s="191" t="s">
        <v>39641</v>
      </c>
      <c r="M101" s="191" t="s">
        <v>39672</v>
      </c>
      <c r="N101" s="191"/>
      <c r="O101" s="191"/>
      <c r="P101" s="191"/>
      <c r="Q101" s="193" t="s">
        <v>39707</v>
      </c>
      <c r="R101" s="193" t="s">
        <v>39708</v>
      </c>
      <c r="S101" s="191" t="s">
        <v>38372</v>
      </c>
      <c r="T101" s="194">
        <v>0</v>
      </c>
      <c r="U101" s="195">
        <v>0</v>
      </c>
      <c r="V101" s="195">
        <v>0</v>
      </c>
      <c r="W101" s="195">
        <v>0</v>
      </c>
      <c r="X101" s="194">
        <v>0</v>
      </c>
      <c r="Y101" s="194">
        <v>230462</v>
      </c>
      <c r="Z101" s="196">
        <v>0</v>
      </c>
      <c r="AA101" s="196">
        <v>0</v>
      </c>
      <c r="AB101" s="196">
        <v>0</v>
      </c>
      <c r="AC101" s="196">
        <v>0</v>
      </c>
      <c r="AD101" s="196">
        <v>0</v>
      </c>
      <c r="AE101" s="196">
        <v>0</v>
      </c>
      <c r="AF101" s="196">
        <f>SUM(Tabela99[[#This Row], [jan/26]:[dez/26]])</f>
      </c>
      <c r="AG101" s="196">
        <v>36473</v>
      </c>
      <c r="AH101" s="196">
        <v>0</v>
      </c>
      <c r="AI101" s="196">
        <v>0</v>
      </c>
      <c r="AJ101" s="196">
        <v>0</v>
      </c>
      <c r="AK101" s="196">
        <f>SUM(Tabela99[[#This Row], [2026]:[2030]])</f>
      </c>
      <c r="AL101" s="195">
        <v>0</v>
      </c>
      <c r="AM101" s="196">
        <v>0</v>
      </c>
      <c r="AN101" s="196">
        <v>0</v>
      </c>
      <c r="AO101" s="196">
        <v>0</v>
      </c>
      <c r="AP101" s="196">
        <v>0</v>
      </c>
      <c r="AQ101" s="197">
        <f>SUM(Tabela99[[#This Row], [2026-2030]:[2035]])</f>
      </c>
      <c r="AR101" s="1"/>
      <c r="AS101" s="13" t="s">
        <v>39674</v>
      </c>
      <c r="AT101" s="128" t="s">
        <v>39060</v>
      </c>
      <c r="AU101" s="13" t="s">
        <v>24181</v>
      </c>
      <c r="AV101" s="1"/>
      <c r="AW101" s="13" t="s">
        <v>39062</v>
      </c>
      <c r="AX101" s="2"/>
      <c r="AY101" s="2"/>
      <c r="AZ101" s="13" t="s">
        <v>39709</v>
      </c>
    </row>
    <row x14ac:dyDescent="0.25" r="102" customHeight="1" ht="24.75">
      <c r="A102" s="187"/>
      <c r="B102" s="188">
        <f>AND(ISTEXT('Consolidado-Eletronorte'!#REF!),SUM('Consolidado-Eletronorte'!#REF!)&gt;0)</f>
      </c>
      <c r="C102" s="189">
        <f>$J$3</f>
      </c>
      <c r="D102" s="189">
        <f>$H$3</f>
      </c>
      <c r="E102" s="189">
        <f>$H$4</f>
      </c>
      <c r="F102" s="190"/>
      <c r="G102" s="189">
        <f>_xlfn.CONCAT('Consolidado-Eletronorte'!#REF!,"_",ROW('Consolidado-Eletronorte'!#REF!)-ROW('Consolidado-Eletronorte'!$G$18))</f>
      </c>
      <c r="H102" s="186" t="s">
        <v>10</v>
      </c>
      <c r="I102" s="191" t="s">
        <v>85</v>
      </c>
      <c r="J102" s="191" t="s">
        <v>5</v>
      </c>
      <c r="K102" s="192" t="s">
        <v>26</v>
      </c>
      <c r="L102" s="191" t="s">
        <v>39641</v>
      </c>
      <c r="M102" s="191" t="s">
        <v>39672</v>
      </c>
      <c r="N102" s="191"/>
      <c r="O102" s="191"/>
      <c r="P102" s="191"/>
      <c r="Q102" s="193" t="s">
        <v>39707</v>
      </c>
      <c r="R102" s="193" t="s">
        <v>39708</v>
      </c>
      <c r="S102" s="191" t="s">
        <v>38384</v>
      </c>
      <c r="T102" s="194">
        <v>0</v>
      </c>
      <c r="U102" s="195">
        <v>0</v>
      </c>
      <c r="V102" s="195">
        <v>0</v>
      </c>
      <c r="W102" s="195">
        <v>0</v>
      </c>
      <c r="X102" s="194">
        <v>0</v>
      </c>
      <c r="Y102" s="194">
        <v>201305</v>
      </c>
      <c r="Z102" s="196">
        <v>0</v>
      </c>
      <c r="AA102" s="196">
        <v>0</v>
      </c>
      <c r="AB102" s="196">
        <v>0</v>
      </c>
      <c r="AC102" s="196">
        <v>0</v>
      </c>
      <c r="AD102" s="196">
        <v>0</v>
      </c>
      <c r="AE102" s="196">
        <v>0</v>
      </c>
      <c r="AF102" s="196">
        <f>SUM(Tabela99[[#This Row], [jan/26]:[dez/26]])</f>
      </c>
      <c r="AG102" s="196">
        <v>36473</v>
      </c>
      <c r="AH102" s="196">
        <v>0</v>
      </c>
      <c r="AI102" s="196">
        <v>0</v>
      </c>
      <c r="AJ102" s="196">
        <v>0</v>
      </c>
      <c r="AK102" s="196">
        <f>SUM(Tabela99[[#This Row], [2026]:[2030]])</f>
      </c>
      <c r="AL102" s="195">
        <v>0</v>
      </c>
      <c r="AM102" s="196">
        <v>0</v>
      </c>
      <c r="AN102" s="196">
        <v>0</v>
      </c>
      <c r="AO102" s="196">
        <v>0</v>
      </c>
      <c r="AP102" s="196">
        <v>0</v>
      </c>
      <c r="AQ102" s="197">
        <f>SUM(Tabela99[[#This Row], [2026-2030]:[2035]])</f>
      </c>
      <c r="AR102" s="1"/>
      <c r="AS102" s="13" t="s">
        <v>39674</v>
      </c>
      <c r="AT102" s="128" t="s">
        <v>39060</v>
      </c>
      <c r="AU102" s="13" t="s">
        <v>24181</v>
      </c>
      <c r="AV102" s="1"/>
      <c r="AW102" s="13" t="s">
        <v>39062</v>
      </c>
      <c r="AX102" s="2"/>
      <c r="AY102" s="2"/>
      <c r="AZ102" s="13" t="s">
        <v>39709</v>
      </c>
    </row>
    <row x14ac:dyDescent="0.25" r="103" customHeight="1" ht="24.75">
      <c r="A103" s="187"/>
      <c r="B103" s="188">
        <f>AND(ISTEXT('Consolidado-Eletronorte'!#REF!),SUM('Consolidado-Eletronorte'!#REF!)&gt;0)</f>
      </c>
      <c r="C103" s="189">
        <f>$J$3</f>
      </c>
      <c r="D103" s="189">
        <f>$H$3</f>
      </c>
      <c r="E103" s="189">
        <f>$H$4</f>
      </c>
      <c r="F103" s="190"/>
      <c r="G103" s="189">
        <f>_xlfn.CONCAT('Consolidado-Eletronorte'!#REF!,"_",ROW('Consolidado-Eletronorte'!#REF!)-ROW('Consolidado-Eletronorte'!$G$18))</f>
      </c>
      <c r="H103" s="186" t="s">
        <v>10</v>
      </c>
      <c r="I103" s="191" t="s">
        <v>85</v>
      </c>
      <c r="J103" s="191" t="s">
        <v>5</v>
      </c>
      <c r="K103" s="192" t="s">
        <v>26</v>
      </c>
      <c r="L103" s="191" t="s">
        <v>39641</v>
      </c>
      <c r="M103" s="191" t="s">
        <v>39672</v>
      </c>
      <c r="N103" s="191"/>
      <c r="O103" s="191"/>
      <c r="P103" s="191"/>
      <c r="Q103" s="193" t="s">
        <v>39707</v>
      </c>
      <c r="R103" s="193" t="s">
        <v>39708</v>
      </c>
      <c r="S103" s="191" t="s">
        <v>38392</v>
      </c>
      <c r="T103" s="194">
        <v>0</v>
      </c>
      <c r="U103" s="195">
        <v>0</v>
      </c>
      <c r="V103" s="195">
        <v>0</v>
      </c>
      <c r="W103" s="195">
        <v>0</v>
      </c>
      <c r="X103" s="194">
        <v>0</v>
      </c>
      <c r="Y103" s="194">
        <v>201305</v>
      </c>
      <c r="Z103" s="196">
        <v>0</v>
      </c>
      <c r="AA103" s="196">
        <v>0</v>
      </c>
      <c r="AB103" s="196">
        <v>0</v>
      </c>
      <c r="AC103" s="196">
        <v>0</v>
      </c>
      <c r="AD103" s="196">
        <v>0</v>
      </c>
      <c r="AE103" s="196">
        <v>0</v>
      </c>
      <c r="AF103" s="196">
        <f>SUM(Tabela99[[#This Row], [jan/26]:[dez/26]])</f>
      </c>
      <c r="AG103" s="196">
        <v>36473</v>
      </c>
      <c r="AH103" s="196">
        <v>0</v>
      </c>
      <c r="AI103" s="196">
        <v>0</v>
      </c>
      <c r="AJ103" s="196">
        <v>0</v>
      </c>
      <c r="AK103" s="196">
        <f>SUM(Tabela99[[#This Row], [2026]:[2030]])</f>
      </c>
      <c r="AL103" s="195">
        <v>0</v>
      </c>
      <c r="AM103" s="196">
        <v>0</v>
      </c>
      <c r="AN103" s="196">
        <v>0</v>
      </c>
      <c r="AO103" s="196">
        <v>0</v>
      </c>
      <c r="AP103" s="196">
        <v>0</v>
      </c>
      <c r="AQ103" s="197">
        <f>SUM(Tabela99[[#This Row], [2026-2030]:[2035]])</f>
      </c>
      <c r="AR103" s="1"/>
      <c r="AS103" s="13" t="s">
        <v>39674</v>
      </c>
      <c r="AT103" s="128" t="s">
        <v>39060</v>
      </c>
      <c r="AU103" s="13" t="s">
        <v>24181</v>
      </c>
      <c r="AV103" s="1"/>
      <c r="AW103" s="13" t="s">
        <v>39062</v>
      </c>
      <c r="AX103" s="2"/>
      <c r="AY103" s="2"/>
      <c r="AZ103" s="13" t="s">
        <v>39709</v>
      </c>
    </row>
    <row x14ac:dyDescent="0.25" r="104" customHeight="1" ht="24.75">
      <c r="A104" s="187"/>
      <c r="B104" s="188">
        <f>AND(ISTEXT('Consolidado-Eletronorte'!#REF!),SUM('Consolidado-Eletronorte'!#REF!)&gt;0)</f>
      </c>
      <c r="C104" s="189">
        <f>$J$3</f>
      </c>
      <c r="D104" s="189">
        <f>$H$3</f>
      </c>
      <c r="E104" s="189">
        <f>$H$4</f>
      </c>
      <c r="F104" s="190"/>
      <c r="G104" s="189">
        <f>_xlfn.CONCAT('Consolidado-Eletronorte'!#REF!,"_",ROW('Consolidado-Eletronorte'!#REF!)-ROW('Consolidado-Eletronorte'!$G$18))</f>
      </c>
      <c r="H104" s="186" t="s">
        <v>10</v>
      </c>
      <c r="I104" s="191" t="s">
        <v>85</v>
      </c>
      <c r="J104" s="191" t="s">
        <v>5</v>
      </c>
      <c r="K104" s="192" t="s">
        <v>39449</v>
      </c>
      <c r="L104" s="191" t="s">
        <v>39456</v>
      </c>
      <c r="M104" s="191" t="s">
        <v>39652</v>
      </c>
      <c r="N104" s="191"/>
      <c r="O104" s="191"/>
      <c r="P104" s="191"/>
      <c r="Q104" s="193" t="s">
        <v>39713</v>
      </c>
      <c r="R104" s="193" t="s">
        <v>39714</v>
      </c>
      <c r="S104" s="191" t="s">
        <v>39655</v>
      </c>
      <c r="T104" s="194">
        <v>0</v>
      </c>
      <c r="U104" s="195">
        <v>0</v>
      </c>
      <c r="V104" s="195">
        <v>0</v>
      </c>
      <c r="W104" s="195">
        <v>0</v>
      </c>
      <c r="X104" s="194">
        <v>0</v>
      </c>
      <c r="Y104" s="194">
        <v>0</v>
      </c>
      <c r="Z104" s="196">
        <v>0</v>
      </c>
      <c r="AA104" s="196">
        <v>0</v>
      </c>
      <c r="AB104" s="196">
        <v>0</v>
      </c>
      <c r="AC104" s="196">
        <v>0</v>
      </c>
      <c r="AD104" s="196">
        <v>0</v>
      </c>
      <c r="AE104" s="196">
        <v>0</v>
      </c>
      <c r="AF104" s="196">
        <f>SUM(Tabela99[[#This Row], [jan/26]:[dez/26]])</f>
      </c>
      <c r="AG104" s="196">
        <v>6000</v>
      </c>
      <c r="AH104" s="196">
        <v>0</v>
      </c>
      <c r="AI104" s="196">
        <v>0</v>
      </c>
      <c r="AJ104" s="196">
        <v>0</v>
      </c>
      <c r="AK104" s="196">
        <f>SUM(Tabela99[[#This Row], [2026]:[2030]])</f>
      </c>
      <c r="AL104" s="195">
        <v>0</v>
      </c>
      <c r="AM104" s="196">
        <v>0</v>
      </c>
      <c r="AN104" s="196">
        <v>0</v>
      </c>
      <c r="AO104" s="196">
        <v>0</v>
      </c>
      <c r="AP104" s="196">
        <v>0</v>
      </c>
      <c r="AQ104" s="197">
        <f>SUM(Tabela99[[#This Row], [2026-2030]:[2035]])</f>
      </c>
      <c r="AR104" s="1"/>
      <c r="AS104" s="13" t="s">
        <v>39656</v>
      </c>
      <c r="AT104" s="128" t="s">
        <v>39060</v>
      </c>
      <c r="AU104" s="13" t="s">
        <v>24181</v>
      </c>
      <c r="AV104" s="1"/>
      <c r="AW104" s="13" t="s">
        <v>39194</v>
      </c>
      <c r="AX104" s="2"/>
      <c r="AY104" s="2"/>
      <c r="AZ104" s="13" t="s">
        <v>39658</v>
      </c>
    </row>
    <row x14ac:dyDescent="0.25" r="105" customHeight="1" ht="24.75">
      <c r="A105" s="187"/>
      <c r="B105" s="188">
        <f>AND(ISTEXT('Consolidado-Eletronorte'!#REF!),SUM('Consolidado-Eletronorte'!#REF!)&gt;0)</f>
      </c>
      <c r="C105" s="189">
        <f>$J$3</f>
      </c>
      <c r="D105" s="189">
        <f>$H$3</f>
      </c>
      <c r="E105" s="189">
        <f>$H$4</f>
      </c>
      <c r="F105" s="190"/>
      <c r="G105" s="189">
        <f>_xlfn.CONCAT('Consolidado-Eletronorte'!#REF!,"_",ROW('Consolidado-Eletronorte'!#REF!)-ROW('Consolidado-Eletronorte'!$G$18))</f>
      </c>
      <c r="H105" s="186" t="s">
        <v>10</v>
      </c>
      <c r="I105" s="191" t="s">
        <v>85</v>
      </c>
      <c r="J105" s="191" t="s">
        <v>5</v>
      </c>
      <c r="K105" s="192" t="s">
        <v>39449</v>
      </c>
      <c r="L105" s="191" t="s">
        <v>39456</v>
      </c>
      <c r="M105" s="191" t="s">
        <v>39715</v>
      </c>
      <c r="N105" s="191"/>
      <c r="O105" s="191"/>
      <c r="P105" s="191"/>
      <c r="Q105" s="193" t="s">
        <v>39716</v>
      </c>
      <c r="R105" s="193" t="s">
        <v>39717</v>
      </c>
      <c r="S105" s="191" t="s">
        <v>39718</v>
      </c>
      <c r="T105" s="194">
        <v>0</v>
      </c>
      <c r="U105" s="195">
        <v>0</v>
      </c>
      <c r="V105" s="195">
        <v>0</v>
      </c>
      <c r="W105" s="195">
        <v>0</v>
      </c>
      <c r="X105" s="194">
        <v>0</v>
      </c>
      <c r="Y105" s="194">
        <v>0</v>
      </c>
      <c r="Z105" s="196">
        <v>0</v>
      </c>
      <c r="AA105" s="196">
        <v>0</v>
      </c>
      <c r="AB105" s="196">
        <v>0</v>
      </c>
      <c r="AC105" s="196">
        <v>300000</v>
      </c>
      <c r="AD105" s="196">
        <v>600000</v>
      </c>
      <c r="AE105" s="196">
        <v>600000</v>
      </c>
      <c r="AF105" s="196">
        <f>SUM(Tabela99[[#This Row], [jan/26]:[dez/26]])</f>
      </c>
      <c r="AG105" s="196">
        <v>5500</v>
      </c>
      <c r="AH105" s="196">
        <v>0</v>
      </c>
      <c r="AI105" s="196">
        <v>0</v>
      </c>
      <c r="AJ105" s="196">
        <v>0</v>
      </c>
      <c r="AK105" s="196">
        <f>SUM(Tabela99[[#This Row], [2026]:[2030]])</f>
      </c>
      <c r="AL105" s="195">
        <v>0</v>
      </c>
      <c r="AM105" s="196">
        <v>0</v>
      </c>
      <c r="AN105" s="196">
        <v>0</v>
      </c>
      <c r="AO105" s="196">
        <v>0</v>
      </c>
      <c r="AP105" s="196">
        <v>0</v>
      </c>
      <c r="AQ105" s="197">
        <f>SUM(Tabela99[[#This Row], [2026-2030]:[2035]])</f>
      </c>
      <c r="AR105" s="1"/>
      <c r="AS105" s="13" t="s">
        <v>39510</v>
      </c>
      <c r="AT105" s="39">
        <v>2024</v>
      </c>
      <c r="AU105" s="13" t="s">
        <v>24181</v>
      </c>
      <c r="AV105" s="1"/>
      <c r="AW105" s="13" t="s">
        <v>39194</v>
      </c>
      <c r="AX105" s="2"/>
      <c r="AY105" s="2"/>
      <c r="AZ105" s="13" t="s">
        <v>39719</v>
      </c>
    </row>
    <row x14ac:dyDescent="0.25" r="106" customHeight="1" ht="24.75">
      <c r="A106" s="187"/>
      <c r="B106" s="188">
        <f>AND(ISTEXT('Consolidado-Eletronorte'!#REF!),SUM('Consolidado-Eletronorte'!#REF!)&gt;0)</f>
      </c>
      <c r="C106" s="189">
        <f>$J$3</f>
      </c>
      <c r="D106" s="189">
        <f>$H$3</f>
      </c>
      <c r="E106" s="189">
        <f>$H$4</f>
      </c>
      <c r="F106" s="190"/>
      <c r="G106" s="189">
        <f>_xlfn.CONCAT('Consolidado-Eletronorte'!#REF!,"_",ROW('Consolidado-Eletronorte'!#REF!)-ROW('Consolidado-Eletronorte'!$G$18))</f>
      </c>
      <c r="H106" s="186" t="s">
        <v>10</v>
      </c>
      <c r="I106" s="191" t="s">
        <v>85</v>
      </c>
      <c r="J106" s="191" t="s">
        <v>5</v>
      </c>
      <c r="K106" s="192" t="s">
        <v>39449</v>
      </c>
      <c r="L106" s="191" t="s">
        <v>39456</v>
      </c>
      <c r="M106" s="191" t="s">
        <v>39652</v>
      </c>
      <c r="N106" s="191"/>
      <c r="O106" s="191"/>
      <c r="P106" s="191"/>
      <c r="Q106" s="193" t="s">
        <v>39720</v>
      </c>
      <c r="R106" s="193" t="s">
        <v>39721</v>
      </c>
      <c r="S106" s="191" t="s">
        <v>39655</v>
      </c>
      <c r="T106" s="194">
        <v>0</v>
      </c>
      <c r="U106" s="195">
        <v>0</v>
      </c>
      <c r="V106" s="195">
        <v>0</v>
      </c>
      <c r="W106" s="195">
        <v>0</v>
      </c>
      <c r="X106" s="194">
        <v>0</v>
      </c>
      <c r="Y106" s="194">
        <v>0</v>
      </c>
      <c r="Z106" s="196">
        <v>0</v>
      </c>
      <c r="AA106" s="196">
        <v>0</v>
      </c>
      <c r="AB106" s="196">
        <v>0</v>
      </c>
      <c r="AC106" s="196">
        <v>0</v>
      </c>
      <c r="AD106" s="196">
        <v>0</v>
      </c>
      <c r="AE106" s="196">
        <v>0</v>
      </c>
      <c r="AF106" s="196">
        <f>SUM(Tabela99[[#This Row], [jan/26]:[dez/26]])</f>
      </c>
      <c r="AG106" s="196">
        <v>5400</v>
      </c>
      <c r="AH106" s="196">
        <v>0</v>
      </c>
      <c r="AI106" s="196">
        <v>0</v>
      </c>
      <c r="AJ106" s="196">
        <v>0</v>
      </c>
      <c r="AK106" s="196">
        <f>SUM(Tabela99[[#This Row], [2026]:[2030]])</f>
      </c>
      <c r="AL106" s="195">
        <v>0</v>
      </c>
      <c r="AM106" s="196">
        <v>0</v>
      </c>
      <c r="AN106" s="196">
        <v>0</v>
      </c>
      <c r="AO106" s="196">
        <v>0</v>
      </c>
      <c r="AP106" s="196">
        <v>0</v>
      </c>
      <c r="AQ106" s="197">
        <f>SUM(Tabela99[[#This Row], [2026-2030]:[2035]])</f>
      </c>
      <c r="AR106" s="1"/>
      <c r="AS106" s="13" t="s">
        <v>39656</v>
      </c>
      <c r="AT106" s="128" t="s">
        <v>39060</v>
      </c>
      <c r="AU106" s="13" t="s">
        <v>24181</v>
      </c>
      <c r="AV106" s="1"/>
      <c r="AW106" s="13" t="s">
        <v>39194</v>
      </c>
      <c r="AX106" s="2"/>
      <c r="AY106" s="2"/>
      <c r="AZ106" s="13" t="s">
        <v>39658</v>
      </c>
    </row>
    <row x14ac:dyDescent="0.25" r="107" customHeight="1" ht="24.75">
      <c r="A107" s="187"/>
      <c r="B107" s="188">
        <f>AND(ISTEXT('Consolidado-Eletronorte'!#REF!),SUM('Consolidado-Eletronorte'!#REF!)&gt;0)</f>
      </c>
      <c r="C107" s="189">
        <f>$J$3</f>
      </c>
      <c r="D107" s="189">
        <f>$H$3</f>
      </c>
      <c r="E107" s="189">
        <f>$H$4</f>
      </c>
      <c r="F107" s="190"/>
      <c r="G107" s="189">
        <f>_xlfn.CONCAT('Consolidado-Eletronorte'!#REF!,"_",ROW('Consolidado-Eletronorte'!#REF!)-ROW('Consolidado-Eletronorte'!$G$18))</f>
      </c>
      <c r="H107" s="186" t="s">
        <v>10</v>
      </c>
      <c r="I107" s="191" t="s">
        <v>85</v>
      </c>
      <c r="J107" s="191" t="s">
        <v>5</v>
      </c>
      <c r="K107" s="192" t="s">
        <v>26</v>
      </c>
      <c r="L107" s="191" t="s">
        <v>39641</v>
      </c>
      <c r="M107" s="191" t="s">
        <v>39722</v>
      </c>
      <c r="N107" s="191"/>
      <c r="O107" s="191"/>
      <c r="P107" s="191"/>
      <c r="Q107" s="193" t="s">
        <v>39723</v>
      </c>
      <c r="R107" s="193" t="s">
        <v>39724</v>
      </c>
      <c r="S107" s="191" t="s">
        <v>38384</v>
      </c>
      <c r="T107" s="194">
        <v>0</v>
      </c>
      <c r="U107" s="195">
        <v>0</v>
      </c>
      <c r="V107" s="195">
        <v>0</v>
      </c>
      <c r="W107" s="195">
        <v>0</v>
      </c>
      <c r="X107" s="194">
        <v>0</v>
      </c>
      <c r="Y107" s="194">
        <v>0</v>
      </c>
      <c r="Z107" s="196">
        <v>0</v>
      </c>
      <c r="AA107" s="196">
        <v>0</v>
      </c>
      <c r="AB107" s="196">
        <v>0</v>
      </c>
      <c r="AC107" s="196">
        <v>0</v>
      </c>
      <c r="AD107" s="196">
        <v>0</v>
      </c>
      <c r="AE107" s="196">
        <v>400000</v>
      </c>
      <c r="AF107" s="196">
        <f>SUM(Tabela99[[#This Row], [jan/26]:[dez/26]])</f>
      </c>
      <c r="AG107" s="196">
        <v>5000</v>
      </c>
      <c r="AH107" s="196">
        <v>0</v>
      </c>
      <c r="AI107" s="196">
        <v>0</v>
      </c>
      <c r="AJ107" s="196">
        <v>0</v>
      </c>
      <c r="AK107" s="196">
        <f>SUM(Tabela99[[#This Row], [2026]:[2030]])</f>
      </c>
      <c r="AL107" s="195">
        <v>0</v>
      </c>
      <c r="AM107" s="196">
        <v>0</v>
      </c>
      <c r="AN107" s="196">
        <v>0</v>
      </c>
      <c r="AO107" s="196">
        <v>0</v>
      </c>
      <c r="AP107" s="196">
        <v>0</v>
      </c>
      <c r="AQ107" s="197">
        <f>SUM(Tabela99[[#This Row], [2026-2030]:[2035]])</f>
      </c>
      <c r="AR107" s="1"/>
      <c r="AS107" s="13" t="s">
        <v>39461</v>
      </c>
      <c r="AT107" s="128" t="s">
        <v>39060</v>
      </c>
      <c r="AU107" s="13" t="s">
        <v>24181</v>
      </c>
      <c r="AV107" s="1"/>
      <c r="AW107" s="13" t="s">
        <v>39194</v>
      </c>
      <c r="AX107" s="2"/>
      <c r="AY107" s="2"/>
      <c r="AZ107" s="13" t="s">
        <v>39582</v>
      </c>
    </row>
    <row x14ac:dyDescent="0.25" r="108" customHeight="1" ht="24.75">
      <c r="A108" s="187"/>
      <c r="B108" s="188">
        <f>AND(ISTEXT('Consolidado-Eletronorte'!#REF!),SUM('Consolidado-Eletronorte'!#REF!)&gt;0)</f>
      </c>
      <c r="C108" s="189">
        <f>$J$3</f>
      </c>
      <c r="D108" s="189">
        <f>$H$3</f>
      </c>
      <c r="E108" s="189">
        <f>$H$4</f>
      </c>
      <c r="F108" s="190"/>
      <c r="G108" s="189">
        <f>_xlfn.CONCAT('Consolidado-Eletronorte'!#REF!,"_",ROW('Consolidado-Eletronorte'!#REF!)-ROW('Consolidado-Eletronorte'!$G$18))</f>
      </c>
      <c r="H108" s="186" t="s">
        <v>10</v>
      </c>
      <c r="I108" s="191" t="s">
        <v>85</v>
      </c>
      <c r="J108" s="191" t="s">
        <v>5</v>
      </c>
      <c r="K108" s="192" t="s">
        <v>26</v>
      </c>
      <c r="L108" s="191" t="s">
        <v>39641</v>
      </c>
      <c r="M108" s="191" t="s">
        <v>39669</v>
      </c>
      <c r="N108" s="191"/>
      <c r="O108" s="191"/>
      <c r="P108" s="191"/>
      <c r="Q108" s="193" t="s">
        <v>39725</v>
      </c>
      <c r="R108" s="193" t="s">
        <v>39726</v>
      </c>
      <c r="S108" s="191" t="s">
        <v>39671</v>
      </c>
      <c r="T108" s="194">
        <v>0</v>
      </c>
      <c r="U108" s="195">
        <v>0</v>
      </c>
      <c r="V108" s="195">
        <v>0</v>
      </c>
      <c r="W108" s="195">
        <v>0</v>
      </c>
      <c r="X108" s="194">
        <v>0</v>
      </c>
      <c r="Y108" s="194">
        <v>0</v>
      </c>
      <c r="Z108" s="196">
        <v>0</v>
      </c>
      <c r="AA108" s="196">
        <v>0</v>
      </c>
      <c r="AB108" s="196">
        <v>0</v>
      </c>
      <c r="AC108" s="196">
        <v>0</v>
      </c>
      <c r="AD108" s="196">
        <v>0</v>
      </c>
      <c r="AE108" s="196">
        <v>0</v>
      </c>
      <c r="AF108" s="196">
        <f>SUM(Tabela99[[#This Row], [jan/26]:[dez/26]])</f>
      </c>
      <c r="AG108" s="196">
        <v>4500</v>
      </c>
      <c r="AH108" s="196">
        <v>0</v>
      </c>
      <c r="AI108" s="196">
        <v>0</v>
      </c>
      <c r="AJ108" s="196">
        <v>0</v>
      </c>
      <c r="AK108" s="196">
        <f>SUM(Tabela99[[#This Row], [2026]:[2030]])</f>
      </c>
      <c r="AL108" s="195">
        <v>0</v>
      </c>
      <c r="AM108" s="196">
        <v>0</v>
      </c>
      <c r="AN108" s="196">
        <v>0</v>
      </c>
      <c r="AO108" s="196">
        <v>0</v>
      </c>
      <c r="AP108" s="196">
        <v>0</v>
      </c>
      <c r="AQ108" s="197">
        <f>SUM(Tabela99[[#This Row], [2026-2030]:[2035]])</f>
      </c>
      <c r="AR108" s="1"/>
      <c r="AS108" s="13" t="s">
        <v>39461</v>
      </c>
      <c r="AT108" s="128" t="s">
        <v>39060</v>
      </c>
      <c r="AU108" s="13" t="s">
        <v>24181</v>
      </c>
      <c r="AV108" s="1"/>
      <c r="AW108" s="13" t="s">
        <v>39194</v>
      </c>
      <c r="AX108" s="2"/>
      <c r="AY108" s="2"/>
      <c r="AZ108" s="13" t="s">
        <v>39463</v>
      </c>
    </row>
    <row x14ac:dyDescent="0.25" r="109" customHeight="1" ht="24.75">
      <c r="A109" s="187"/>
      <c r="B109" s="188">
        <f>AND(ISTEXT('Consolidado-Eletronorte'!#REF!),SUM('Consolidado-Eletronorte'!#REF!)&gt;0)</f>
      </c>
      <c r="C109" s="189">
        <f>$J$3</f>
      </c>
      <c r="D109" s="189">
        <f>$H$3</f>
      </c>
      <c r="E109" s="189">
        <f>$H$4</f>
      </c>
      <c r="F109" s="190"/>
      <c r="G109" s="189">
        <f>_xlfn.CONCAT('Consolidado-Eletronorte'!#REF!,"_",ROW('Consolidado-Eletronorte'!#REF!)-ROW('Consolidado-Eletronorte'!$G$18))</f>
      </c>
      <c r="H109" s="186" t="s">
        <v>10</v>
      </c>
      <c r="I109" s="191" t="s">
        <v>85</v>
      </c>
      <c r="J109" s="191" t="s">
        <v>5</v>
      </c>
      <c r="K109" s="192" t="s">
        <v>26</v>
      </c>
      <c r="L109" s="191" t="s">
        <v>39641</v>
      </c>
      <c r="M109" s="191" t="s">
        <v>39727</v>
      </c>
      <c r="N109" s="191"/>
      <c r="O109" s="191"/>
      <c r="P109" s="191"/>
      <c r="Q109" s="193" t="s">
        <v>39728</v>
      </c>
      <c r="R109" s="193" t="s">
        <v>39729</v>
      </c>
      <c r="S109" s="191" t="s">
        <v>39509</v>
      </c>
      <c r="T109" s="194">
        <v>0</v>
      </c>
      <c r="U109" s="195">
        <v>0</v>
      </c>
      <c r="V109" s="195">
        <v>0</v>
      </c>
      <c r="W109" s="195">
        <v>0</v>
      </c>
      <c r="X109" s="194">
        <v>0</v>
      </c>
      <c r="Y109" s="194">
        <v>0</v>
      </c>
      <c r="Z109" s="196">
        <v>0</v>
      </c>
      <c r="AA109" s="196">
        <v>0</v>
      </c>
      <c r="AB109" s="196">
        <v>0</v>
      </c>
      <c r="AC109" s="196">
        <v>0</v>
      </c>
      <c r="AD109" s="196">
        <v>0</v>
      </c>
      <c r="AE109" s="196">
        <v>0</v>
      </c>
      <c r="AF109" s="196">
        <f>SUM(Tabela99[[#This Row], [jan/26]:[dez/26]])</f>
      </c>
      <c r="AG109" s="196">
        <v>3000</v>
      </c>
      <c r="AH109" s="196">
        <v>0</v>
      </c>
      <c r="AI109" s="196">
        <v>0</v>
      </c>
      <c r="AJ109" s="196">
        <v>0</v>
      </c>
      <c r="AK109" s="196">
        <f>SUM(Tabela99[[#This Row], [2026]:[2030]])</f>
      </c>
      <c r="AL109" s="195">
        <v>0</v>
      </c>
      <c r="AM109" s="196">
        <v>0</v>
      </c>
      <c r="AN109" s="196">
        <v>0</v>
      </c>
      <c r="AO109" s="196">
        <v>0</v>
      </c>
      <c r="AP109" s="196">
        <v>0</v>
      </c>
      <c r="AQ109" s="197">
        <f>SUM(Tabela99[[#This Row], [2026-2030]:[2035]])</f>
      </c>
      <c r="AR109" s="1"/>
      <c r="AS109" s="13" t="s">
        <v>39510</v>
      </c>
      <c r="AT109" s="39">
        <v>2025</v>
      </c>
      <c r="AU109" s="13" t="s">
        <v>24181</v>
      </c>
      <c r="AV109" s="1"/>
      <c r="AW109" s="13" t="s">
        <v>39194</v>
      </c>
      <c r="AX109" s="2"/>
      <c r="AY109" s="2"/>
      <c r="AZ109" s="13" t="s">
        <v>39511</v>
      </c>
    </row>
    <row x14ac:dyDescent="0.25" r="110" customHeight="1" ht="24.75">
      <c r="A110" s="187"/>
      <c r="B110" s="188">
        <f>AND(ISTEXT('Consolidado-Eletronorte'!#REF!),SUM('Consolidado-Eletronorte'!#REF!)&gt;0)</f>
      </c>
      <c r="C110" s="189">
        <f>$J$3</f>
      </c>
      <c r="D110" s="189">
        <f>$H$3</f>
      </c>
      <c r="E110" s="189">
        <f>$H$4</f>
      </c>
      <c r="F110" s="190"/>
      <c r="G110" s="189">
        <f>_xlfn.CONCAT('Consolidado-Eletronorte'!#REF!,"_",ROW('Consolidado-Eletronorte'!#REF!)-ROW('Consolidado-Eletronorte'!$G$18))</f>
      </c>
      <c r="H110" s="186" t="s">
        <v>10</v>
      </c>
      <c r="I110" s="191" t="s">
        <v>85</v>
      </c>
      <c r="J110" s="191" t="s">
        <v>5</v>
      </c>
      <c r="K110" s="192" t="s">
        <v>39449</v>
      </c>
      <c r="L110" s="191" t="s">
        <v>39456</v>
      </c>
      <c r="M110" s="191" t="s">
        <v>39507</v>
      </c>
      <c r="N110" s="191"/>
      <c r="O110" s="191"/>
      <c r="P110" s="191"/>
      <c r="Q110" s="193" t="s">
        <v>39730</v>
      </c>
      <c r="R110" s="193" t="s">
        <v>39635</v>
      </c>
      <c r="S110" s="191" t="s">
        <v>39509</v>
      </c>
      <c r="T110" s="194">
        <v>0</v>
      </c>
      <c r="U110" s="195">
        <v>0</v>
      </c>
      <c r="V110" s="195">
        <v>0</v>
      </c>
      <c r="W110" s="195">
        <v>0</v>
      </c>
      <c r="X110" s="194">
        <v>0</v>
      </c>
      <c r="Y110" s="194">
        <v>0</v>
      </c>
      <c r="Z110" s="196">
        <v>0</v>
      </c>
      <c r="AA110" s="196">
        <v>0</v>
      </c>
      <c r="AB110" s="196">
        <v>0</v>
      </c>
      <c r="AC110" s="196">
        <v>0</v>
      </c>
      <c r="AD110" s="196">
        <v>0</v>
      </c>
      <c r="AE110" s="196">
        <v>0</v>
      </c>
      <c r="AF110" s="196">
        <f>SUM(Tabela99[[#This Row], [jan/26]:[dez/26]])</f>
      </c>
      <c r="AG110" s="196">
        <v>2000</v>
      </c>
      <c r="AH110" s="196">
        <v>0</v>
      </c>
      <c r="AI110" s="196">
        <v>0</v>
      </c>
      <c r="AJ110" s="196">
        <v>0</v>
      </c>
      <c r="AK110" s="196">
        <f>SUM(Tabela99[[#This Row], [2026]:[2030]])</f>
      </c>
      <c r="AL110" s="195">
        <v>0</v>
      </c>
      <c r="AM110" s="196">
        <v>0</v>
      </c>
      <c r="AN110" s="196">
        <v>0</v>
      </c>
      <c r="AO110" s="196">
        <v>0</v>
      </c>
      <c r="AP110" s="196">
        <v>0</v>
      </c>
      <c r="AQ110" s="197">
        <f>SUM(Tabela99[[#This Row], [2026-2030]:[2035]])</f>
      </c>
      <c r="AR110" s="1"/>
      <c r="AS110" s="13" t="s">
        <v>39510</v>
      </c>
      <c r="AT110" s="39">
        <v>2025</v>
      </c>
      <c r="AU110" s="13" t="s">
        <v>24181</v>
      </c>
      <c r="AV110" s="1"/>
      <c r="AW110" s="13" t="s">
        <v>39194</v>
      </c>
      <c r="AX110" s="2"/>
      <c r="AY110" s="2"/>
      <c r="AZ110" s="13" t="s">
        <v>39511</v>
      </c>
    </row>
    <row x14ac:dyDescent="0.25" r="111" customHeight="1" ht="24.75">
      <c r="A111" s="187"/>
      <c r="B111" s="188">
        <f>AND(ISTEXT('Consolidado-Eletronorte'!#REF!),SUM('Consolidado-Eletronorte'!#REF!)&gt;0)</f>
      </c>
      <c r="C111" s="189">
        <f>$J$3</f>
      </c>
      <c r="D111" s="189">
        <f>$H$3</f>
      </c>
      <c r="E111" s="189">
        <f>$H$4</f>
      </c>
      <c r="F111" s="190"/>
      <c r="G111" s="189">
        <f>_xlfn.CONCAT('Consolidado-Eletronorte'!#REF!,"_",ROW('Consolidado-Eletronorte'!#REF!)-ROW('Consolidado-Eletronorte'!$G$18))</f>
      </c>
      <c r="H111" s="186" t="s">
        <v>10</v>
      </c>
      <c r="I111" s="191" t="s">
        <v>85</v>
      </c>
      <c r="J111" s="191" t="s">
        <v>5</v>
      </c>
      <c r="K111" s="192" t="s">
        <v>39449</v>
      </c>
      <c r="L111" s="191" t="s">
        <v>39456</v>
      </c>
      <c r="M111" s="191" t="s">
        <v>39652</v>
      </c>
      <c r="N111" s="191"/>
      <c r="O111" s="191"/>
      <c r="P111" s="191"/>
      <c r="Q111" s="193" t="s">
        <v>39731</v>
      </c>
      <c r="R111" s="193" t="s">
        <v>39664</v>
      </c>
      <c r="S111" s="191" t="s">
        <v>39655</v>
      </c>
      <c r="T111" s="194">
        <v>0</v>
      </c>
      <c r="U111" s="195">
        <v>0</v>
      </c>
      <c r="V111" s="195">
        <v>0</v>
      </c>
      <c r="W111" s="195">
        <v>0</v>
      </c>
      <c r="X111" s="194">
        <v>0</v>
      </c>
      <c r="Y111" s="194">
        <v>0</v>
      </c>
      <c r="Z111" s="196">
        <v>0</v>
      </c>
      <c r="AA111" s="196">
        <v>0</v>
      </c>
      <c r="AB111" s="196">
        <v>0</v>
      </c>
      <c r="AC111" s="196">
        <v>0</v>
      </c>
      <c r="AD111" s="196">
        <v>0</v>
      </c>
      <c r="AE111" s="196">
        <v>0</v>
      </c>
      <c r="AF111" s="196">
        <f>SUM(Tabela99[[#This Row], [jan/26]:[dez/26]])</f>
      </c>
      <c r="AG111" s="196">
        <v>1500</v>
      </c>
      <c r="AH111" s="196">
        <v>0</v>
      </c>
      <c r="AI111" s="196">
        <v>0</v>
      </c>
      <c r="AJ111" s="196">
        <v>0</v>
      </c>
      <c r="AK111" s="196">
        <f>SUM(Tabela99[[#This Row], [2026]:[2030]])</f>
      </c>
      <c r="AL111" s="195">
        <v>0</v>
      </c>
      <c r="AM111" s="196">
        <v>0</v>
      </c>
      <c r="AN111" s="196">
        <v>0</v>
      </c>
      <c r="AO111" s="196">
        <v>0</v>
      </c>
      <c r="AP111" s="196">
        <v>0</v>
      </c>
      <c r="AQ111" s="197">
        <f>SUM(Tabela99[[#This Row], [2026-2030]:[2035]])</f>
      </c>
      <c r="AR111" s="1"/>
      <c r="AS111" s="13" t="s">
        <v>39656</v>
      </c>
      <c r="AT111" s="128" t="s">
        <v>39060</v>
      </c>
      <c r="AU111" s="13" t="s">
        <v>24181</v>
      </c>
      <c r="AV111" s="1"/>
      <c r="AW111" s="13" t="s">
        <v>39194</v>
      </c>
      <c r="AX111" s="2"/>
      <c r="AY111" s="2"/>
      <c r="AZ111" s="13" t="s">
        <v>39658</v>
      </c>
    </row>
    <row x14ac:dyDescent="0.25" r="112" customHeight="1" ht="24.75">
      <c r="A112" s="187"/>
      <c r="B112" s="188">
        <f>AND(ISTEXT('Consolidado-Eletronorte'!#REF!),SUM('Consolidado-Eletronorte'!#REF!)&gt;0)</f>
      </c>
      <c r="C112" s="189">
        <f>$J$3</f>
      </c>
      <c r="D112" s="189">
        <f>$H$3</f>
      </c>
      <c r="E112" s="189">
        <f>$H$4</f>
      </c>
      <c r="F112" s="190"/>
      <c r="G112" s="189">
        <f>_xlfn.CONCAT('Consolidado-Eletronorte'!#REF!,"_",ROW('Consolidado-Eletronorte'!#REF!)-ROW('Consolidado-Eletronorte'!$G$18))</f>
      </c>
      <c r="H112" s="186" t="s">
        <v>10</v>
      </c>
      <c r="I112" s="191" t="s">
        <v>85</v>
      </c>
      <c r="J112" s="191" t="s">
        <v>5</v>
      </c>
      <c r="K112" s="192" t="s">
        <v>26</v>
      </c>
      <c r="L112" s="191" t="s">
        <v>39641</v>
      </c>
      <c r="M112" s="191" t="s">
        <v>39732</v>
      </c>
      <c r="N112" s="191"/>
      <c r="O112" s="191"/>
      <c r="P112" s="191"/>
      <c r="Q112" s="193" t="s">
        <v>39733</v>
      </c>
      <c r="R112" s="193" t="s">
        <v>39734</v>
      </c>
      <c r="S112" s="191" t="s">
        <v>39460</v>
      </c>
      <c r="T112" s="194">
        <v>0</v>
      </c>
      <c r="U112" s="195">
        <v>0</v>
      </c>
      <c r="V112" s="195">
        <v>0</v>
      </c>
      <c r="W112" s="195">
        <v>0</v>
      </c>
      <c r="X112" s="194">
        <v>0</v>
      </c>
      <c r="Y112" s="194">
        <v>0</v>
      </c>
      <c r="Z112" s="196">
        <v>0</v>
      </c>
      <c r="AA112" s="196">
        <v>0</v>
      </c>
      <c r="AB112" s="196">
        <v>0</v>
      </c>
      <c r="AC112" s="196">
        <v>0</v>
      </c>
      <c r="AD112" s="196">
        <v>0</v>
      </c>
      <c r="AE112" s="196">
        <v>0</v>
      </c>
      <c r="AF112" s="196">
        <f>SUM(Tabela99[[#This Row], [jan/26]:[dez/26]])</f>
      </c>
      <c r="AG112" s="196">
        <v>1500</v>
      </c>
      <c r="AH112" s="196">
        <v>0</v>
      </c>
      <c r="AI112" s="196">
        <v>0</v>
      </c>
      <c r="AJ112" s="196">
        <v>0</v>
      </c>
      <c r="AK112" s="196">
        <f>SUM(Tabela99[[#This Row], [2026]:[2030]])</f>
      </c>
      <c r="AL112" s="195">
        <v>0</v>
      </c>
      <c r="AM112" s="196">
        <v>0</v>
      </c>
      <c r="AN112" s="196">
        <v>0</v>
      </c>
      <c r="AO112" s="196">
        <v>0</v>
      </c>
      <c r="AP112" s="196">
        <v>0</v>
      </c>
      <c r="AQ112" s="197">
        <f>SUM(Tabela99[[#This Row], [2026-2030]:[2035]])</f>
      </c>
      <c r="AR112" s="1"/>
      <c r="AS112" s="13" t="s">
        <v>39461</v>
      </c>
      <c r="AT112" s="39">
        <v>2025</v>
      </c>
      <c r="AU112" s="13" t="s">
        <v>24181</v>
      </c>
      <c r="AV112" s="1"/>
      <c r="AW112" s="13" t="s">
        <v>39194</v>
      </c>
      <c r="AX112" s="2"/>
      <c r="AY112" s="2"/>
      <c r="AZ112" s="13" t="s">
        <v>39463</v>
      </c>
    </row>
    <row x14ac:dyDescent="0.25" r="113" customHeight="1" ht="24.75">
      <c r="A113" s="187"/>
      <c r="B113" s="188">
        <f>AND(ISTEXT('Consolidado-Eletronorte'!#REF!),SUM('Consolidado-Eletronorte'!#REF!)&gt;0)</f>
      </c>
      <c r="C113" s="189">
        <f>$J$3</f>
      </c>
      <c r="D113" s="189">
        <f>$H$3</f>
      </c>
      <c r="E113" s="189">
        <f>$H$4</f>
      </c>
      <c r="F113" s="190"/>
      <c r="G113" s="189">
        <f>_xlfn.CONCAT('Consolidado-Eletronorte'!#REF!,"_",ROW('Consolidado-Eletronorte'!#REF!)-ROW('Consolidado-Eletronorte'!$G$18))</f>
      </c>
      <c r="H113" s="186" t="s">
        <v>10</v>
      </c>
      <c r="I113" s="191" t="s">
        <v>85</v>
      </c>
      <c r="J113" s="191" t="s">
        <v>5</v>
      </c>
      <c r="K113" s="192" t="s">
        <v>26</v>
      </c>
      <c r="L113" s="191" t="s">
        <v>39641</v>
      </c>
      <c r="M113" s="191" t="s">
        <v>39722</v>
      </c>
      <c r="N113" s="191"/>
      <c r="O113" s="191"/>
      <c r="P113" s="191"/>
      <c r="Q113" s="193" t="s">
        <v>39735</v>
      </c>
      <c r="R113" s="193" t="s">
        <v>39736</v>
      </c>
      <c r="S113" s="191" t="s">
        <v>38384</v>
      </c>
      <c r="T113" s="194">
        <v>0</v>
      </c>
      <c r="U113" s="195">
        <v>0</v>
      </c>
      <c r="V113" s="195">
        <v>0</v>
      </c>
      <c r="W113" s="195">
        <v>0</v>
      </c>
      <c r="X113" s="194">
        <v>0</v>
      </c>
      <c r="Y113" s="194">
        <v>0</v>
      </c>
      <c r="Z113" s="196">
        <v>0</v>
      </c>
      <c r="AA113" s="196">
        <v>0</v>
      </c>
      <c r="AB113" s="196">
        <v>0</v>
      </c>
      <c r="AC113" s="196">
        <v>0</v>
      </c>
      <c r="AD113" s="196">
        <v>0</v>
      </c>
      <c r="AE113" s="196">
        <v>500000</v>
      </c>
      <c r="AF113" s="196">
        <f>SUM(Tabela99[[#This Row], [jan/26]:[dez/26]])</f>
      </c>
      <c r="AG113" s="196">
        <v>1200</v>
      </c>
      <c r="AH113" s="196">
        <v>0</v>
      </c>
      <c r="AI113" s="196">
        <v>0</v>
      </c>
      <c r="AJ113" s="196">
        <v>0</v>
      </c>
      <c r="AK113" s="196">
        <f>SUM(Tabela99[[#This Row], [2026]:[2030]])</f>
      </c>
      <c r="AL113" s="195">
        <v>0</v>
      </c>
      <c r="AM113" s="196">
        <v>0</v>
      </c>
      <c r="AN113" s="196">
        <v>0</v>
      </c>
      <c r="AO113" s="196">
        <v>0</v>
      </c>
      <c r="AP113" s="196">
        <v>0</v>
      </c>
      <c r="AQ113" s="197">
        <f>SUM(Tabela99[[#This Row], [2026-2030]:[2035]])</f>
      </c>
      <c r="AR113" s="1"/>
      <c r="AS113" s="13" t="s">
        <v>39461</v>
      </c>
      <c r="AT113" s="128" t="s">
        <v>39060</v>
      </c>
      <c r="AU113" s="13" t="s">
        <v>24181</v>
      </c>
      <c r="AV113" s="1"/>
      <c r="AW113" s="13" t="s">
        <v>39194</v>
      </c>
      <c r="AX113" s="2"/>
      <c r="AY113" s="2"/>
      <c r="AZ113" s="13" t="s">
        <v>39582</v>
      </c>
    </row>
    <row x14ac:dyDescent="0.25" r="114" customHeight="1" ht="24.75">
      <c r="A114" s="187"/>
      <c r="B114" s="188">
        <f>AND(ISTEXT('Consolidado-Eletronorte'!#REF!),SUM('Consolidado-Eletronorte'!#REF!)&gt;0)</f>
      </c>
      <c r="C114" s="189">
        <f>$J$3</f>
      </c>
      <c r="D114" s="189">
        <f>$H$3</f>
      </c>
      <c r="E114" s="189">
        <f>$H$4</f>
      </c>
      <c r="F114" s="190"/>
      <c r="G114" s="189">
        <f>_xlfn.CONCAT('Consolidado-Eletronorte'!#REF!,"_",ROW('Consolidado-Eletronorte'!#REF!)-ROW('Consolidado-Eletronorte'!$G$18))</f>
      </c>
      <c r="H114" s="186" t="s">
        <v>10</v>
      </c>
      <c r="I114" s="191" t="s">
        <v>85</v>
      </c>
      <c r="J114" s="191" t="s">
        <v>5</v>
      </c>
      <c r="K114" s="192" t="s">
        <v>39449</v>
      </c>
      <c r="L114" s="191" t="s">
        <v>39456</v>
      </c>
      <c r="M114" s="191" t="s">
        <v>39628</v>
      </c>
      <c r="N114" s="191"/>
      <c r="O114" s="191"/>
      <c r="P114" s="191"/>
      <c r="Q114" s="193" t="s">
        <v>39737</v>
      </c>
      <c r="R114" s="193" t="s">
        <v>39738</v>
      </c>
      <c r="S114" s="191" t="s">
        <v>39631</v>
      </c>
      <c r="T114" s="194">
        <v>0</v>
      </c>
      <c r="U114" s="195">
        <v>0</v>
      </c>
      <c r="V114" s="195">
        <v>0</v>
      </c>
      <c r="W114" s="195">
        <v>0</v>
      </c>
      <c r="X114" s="194">
        <v>0</v>
      </c>
      <c r="Y114" s="194">
        <v>0</v>
      </c>
      <c r="Z114" s="196">
        <v>250000</v>
      </c>
      <c r="AA114" s="196">
        <v>250000</v>
      </c>
      <c r="AB114" s="196">
        <v>250000</v>
      </c>
      <c r="AC114" s="196">
        <v>250000</v>
      </c>
      <c r="AD114" s="196">
        <v>0</v>
      </c>
      <c r="AE114" s="196">
        <v>0</v>
      </c>
      <c r="AF114" s="196">
        <f>SUM(Tabela99[[#This Row], [jan/26]:[dez/26]])</f>
      </c>
      <c r="AG114" s="196">
        <v>1000</v>
      </c>
      <c r="AH114" s="196">
        <v>0</v>
      </c>
      <c r="AI114" s="196">
        <v>0</v>
      </c>
      <c r="AJ114" s="196">
        <v>0</v>
      </c>
      <c r="AK114" s="196">
        <f>SUM(Tabela99[[#This Row], [2026]:[2030]])</f>
      </c>
      <c r="AL114" s="195">
        <v>0</v>
      </c>
      <c r="AM114" s="196">
        <v>0</v>
      </c>
      <c r="AN114" s="196">
        <v>0</v>
      </c>
      <c r="AO114" s="196">
        <v>0</v>
      </c>
      <c r="AP114" s="196">
        <v>0</v>
      </c>
      <c r="AQ114" s="197">
        <f>SUM(Tabela99[[#This Row], [2026-2030]:[2035]])</f>
      </c>
      <c r="AR114" s="1"/>
      <c r="AS114" s="13" t="s">
        <v>39510</v>
      </c>
      <c r="AT114" s="39">
        <v>2024</v>
      </c>
      <c r="AU114" s="13" t="s">
        <v>24181</v>
      </c>
      <c r="AV114" s="1"/>
      <c r="AW114" s="13" t="s">
        <v>39194</v>
      </c>
      <c r="AX114" s="2"/>
      <c r="AY114" s="2"/>
      <c r="AZ114" s="13" t="s">
        <v>39633</v>
      </c>
    </row>
    <row x14ac:dyDescent="0.25" r="115" customHeight="1" ht="24.75">
      <c r="A115" s="187"/>
      <c r="B115" s="188">
        <f>AND(ISTEXT('Consolidado-Eletronorte'!#REF!),SUM('Consolidado-Eletronorte'!#REF!)&gt;0)</f>
      </c>
      <c r="C115" s="189">
        <f>$J$3</f>
      </c>
      <c r="D115" s="189">
        <f>$H$3</f>
      </c>
      <c r="E115" s="189">
        <f>$H$4</f>
      </c>
      <c r="F115" s="190"/>
      <c r="G115" s="189">
        <f>_xlfn.CONCAT('Consolidado-Eletronorte'!#REF!,"_",ROW('Consolidado-Eletronorte'!#REF!)-ROW('Consolidado-Eletronorte'!$G$18))</f>
      </c>
      <c r="H115" s="186" t="s">
        <v>10</v>
      </c>
      <c r="I115" s="191" t="s">
        <v>85</v>
      </c>
      <c r="J115" s="191" t="s">
        <v>5</v>
      </c>
      <c r="K115" s="192" t="s">
        <v>39449</v>
      </c>
      <c r="L115" s="191" t="s">
        <v>39456</v>
      </c>
      <c r="M115" s="191" t="s">
        <v>39476</v>
      </c>
      <c r="N115" s="191"/>
      <c r="O115" s="191"/>
      <c r="P115" s="191"/>
      <c r="Q115" s="193" t="s">
        <v>39739</v>
      </c>
      <c r="R115" s="193" t="s">
        <v>39740</v>
      </c>
      <c r="S115" s="191" t="s">
        <v>39479</v>
      </c>
      <c r="T115" s="194">
        <v>0</v>
      </c>
      <c r="U115" s="195">
        <v>0</v>
      </c>
      <c r="V115" s="195">
        <v>0</v>
      </c>
      <c r="W115" s="195">
        <v>0</v>
      </c>
      <c r="X115" s="194">
        <v>0</v>
      </c>
      <c r="Y115" s="194">
        <v>0</v>
      </c>
      <c r="Z115" s="196">
        <v>0</v>
      </c>
      <c r="AA115" s="196">
        <v>0</v>
      </c>
      <c r="AB115" s="196">
        <v>0</v>
      </c>
      <c r="AC115" s="196">
        <v>0</v>
      </c>
      <c r="AD115" s="196">
        <v>0</v>
      </c>
      <c r="AE115" s="196">
        <v>0</v>
      </c>
      <c r="AF115" s="196">
        <f>SUM(Tabela99[[#This Row], [jan/26]:[dez/26]])</f>
      </c>
      <c r="AG115" s="196">
        <v>834</v>
      </c>
      <c r="AH115" s="196">
        <v>0</v>
      </c>
      <c r="AI115" s="196">
        <v>0</v>
      </c>
      <c r="AJ115" s="196">
        <v>0</v>
      </c>
      <c r="AK115" s="196">
        <f>SUM(Tabela99[[#This Row], [2026]:[2030]])</f>
      </c>
      <c r="AL115" s="195">
        <v>0</v>
      </c>
      <c r="AM115" s="196">
        <v>0</v>
      </c>
      <c r="AN115" s="196">
        <v>0</v>
      </c>
      <c r="AO115" s="196">
        <v>0</v>
      </c>
      <c r="AP115" s="196">
        <v>0</v>
      </c>
      <c r="AQ115" s="197">
        <f>SUM(Tabela99[[#This Row], [2026-2030]:[2035]])</f>
      </c>
      <c r="AR115" s="1"/>
      <c r="AS115" s="13" t="s">
        <v>39480</v>
      </c>
      <c r="AT115" s="128" t="s">
        <v>39060</v>
      </c>
      <c r="AU115" s="13" t="s">
        <v>24181</v>
      </c>
      <c r="AV115" s="1"/>
      <c r="AW115" s="13" t="s">
        <v>39194</v>
      </c>
      <c r="AX115" s="2"/>
      <c r="AY115" s="2"/>
      <c r="AZ115" s="13" t="s">
        <v>39481</v>
      </c>
    </row>
    <row x14ac:dyDescent="0.25" r="116" customHeight="1" ht="24.75">
      <c r="A116" s="187"/>
      <c r="B116" s="188">
        <f>AND(ISTEXT('Consolidado-Eletronorte'!#REF!),SUM('Consolidado-Eletronorte'!#REF!)&gt;0)</f>
      </c>
      <c r="C116" s="189">
        <f>$J$3</f>
      </c>
      <c r="D116" s="189">
        <f>$H$3</f>
      </c>
      <c r="E116" s="189">
        <f>$H$4</f>
      </c>
      <c r="F116" s="190"/>
      <c r="G116" s="189">
        <f>_xlfn.CONCAT('Consolidado-Eletronorte'!#REF!,"_",ROW('Consolidado-Eletronorte'!#REF!)-ROW('Consolidado-Eletronorte'!$G$18))</f>
      </c>
      <c r="H116" s="186" t="s">
        <v>10</v>
      </c>
      <c r="I116" s="191" t="s">
        <v>85</v>
      </c>
      <c r="J116" s="191" t="s">
        <v>5</v>
      </c>
      <c r="K116" s="192" t="s">
        <v>39449</v>
      </c>
      <c r="L116" s="191" t="s">
        <v>39456</v>
      </c>
      <c r="M116" s="191" t="s">
        <v>39476</v>
      </c>
      <c r="N116" s="191"/>
      <c r="O116" s="191"/>
      <c r="P116" s="191"/>
      <c r="Q116" s="193" t="s">
        <v>39741</v>
      </c>
      <c r="R116" s="193" t="s">
        <v>39740</v>
      </c>
      <c r="S116" s="191" t="s">
        <v>39479</v>
      </c>
      <c r="T116" s="194">
        <v>0</v>
      </c>
      <c r="U116" s="195">
        <v>0</v>
      </c>
      <c r="V116" s="195">
        <v>0</v>
      </c>
      <c r="W116" s="195">
        <v>0</v>
      </c>
      <c r="X116" s="194">
        <v>0</v>
      </c>
      <c r="Y116" s="194">
        <v>0</v>
      </c>
      <c r="Z116" s="196">
        <v>0</v>
      </c>
      <c r="AA116" s="196">
        <v>0</v>
      </c>
      <c r="AB116" s="196">
        <v>0</v>
      </c>
      <c r="AC116" s="196">
        <v>0</v>
      </c>
      <c r="AD116" s="196">
        <v>0</v>
      </c>
      <c r="AE116" s="196">
        <v>0</v>
      </c>
      <c r="AF116" s="196">
        <f>SUM(Tabela99[[#This Row], [jan/26]:[dez/26]])</f>
      </c>
      <c r="AG116" s="196">
        <v>637</v>
      </c>
      <c r="AH116" s="196">
        <v>0</v>
      </c>
      <c r="AI116" s="196">
        <v>0</v>
      </c>
      <c r="AJ116" s="196">
        <v>0</v>
      </c>
      <c r="AK116" s="196">
        <f>SUM(Tabela99[[#This Row], [2026]:[2030]])</f>
      </c>
      <c r="AL116" s="195">
        <v>0</v>
      </c>
      <c r="AM116" s="196">
        <v>0</v>
      </c>
      <c r="AN116" s="196">
        <v>0</v>
      </c>
      <c r="AO116" s="196">
        <v>0</v>
      </c>
      <c r="AP116" s="196">
        <v>0</v>
      </c>
      <c r="AQ116" s="197">
        <f>SUM(Tabela99[[#This Row], [2026-2030]:[2035]])</f>
      </c>
      <c r="AR116" s="1"/>
      <c r="AS116" s="13" t="s">
        <v>39480</v>
      </c>
      <c r="AT116" s="128" t="s">
        <v>39060</v>
      </c>
      <c r="AU116" s="13" t="s">
        <v>24181</v>
      </c>
      <c r="AV116" s="1"/>
      <c r="AW116" s="13" t="s">
        <v>39194</v>
      </c>
      <c r="AX116" s="2"/>
      <c r="AY116" s="2"/>
      <c r="AZ116" s="13" t="s">
        <v>39481</v>
      </c>
    </row>
    <row x14ac:dyDescent="0.25" r="117" customHeight="1" ht="24.75">
      <c r="A117" s="187"/>
      <c r="B117" s="188">
        <f>AND(ISTEXT('Consolidado-Eletronorte'!#REF!),SUM('Consolidado-Eletronorte'!#REF!)&gt;0)</f>
      </c>
      <c r="C117" s="189">
        <f>$J$3</f>
      </c>
      <c r="D117" s="189">
        <f>$H$3</f>
      </c>
      <c r="E117" s="189">
        <f>$H$4</f>
      </c>
      <c r="F117" s="190"/>
      <c r="G117" s="189">
        <f>_xlfn.CONCAT('Consolidado-Eletronorte'!#REF!,"_",ROW('Consolidado-Eletronorte'!#REF!)-ROW('Consolidado-Eletronorte'!$G$18))</f>
      </c>
      <c r="H117" s="186" t="s">
        <v>10</v>
      </c>
      <c r="I117" s="191" t="s">
        <v>85</v>
      </c>
      <c r="J117" s="191" t="s">
        <v>5</v>
      </c>
      <c r="K117" s="192" t="s">
        <v>39449</v>
      </c>
      <c r="L117" s="191" t="s">
        <v>39456</v>
      </c>
      <c r="M117" s="191" t="s">
        <v>39476</v>
      </c>
      <c r="N117" s="191"/>
      <c r="O117" s="191"/>
      <c r="P117" s="191"/>
      <c r="Q117" s="193" t="s">
        <v>39742</v>
      </c>
      <c r="R117" s="193" t="s">
        <v>39740</v>
      </c>
      <c r="S117" s="191" t="s">
        <v>39479</v>
      </c>
      <c r="T117" s="194">
        <v>0</v>
      </c>
      <c r="U117" s="195">
        <v>0</v>
      </c>
      <c r="V117" s="195">
        <v>0</v>
      </c>
      <c r="W117" s="195">
        <v>0</v>
      </c>
      <c r="X117" s="194">
        <v>0</v>
      </c>
      <c r="Y117" s="194">
        <v>0</v>
      </c>
      <c r="Z117" s="196">
        <v>0</v>
      </c>
      <c r="AA117" s="196">
        <v>0</v>
      </c>
      <c r="AB117" s="196">
        <v>0</v>
      </c>
      <c r="AC117" s="196">
        <v>0</v>
      </c>
      <c r="AD117" s="196">
        <v>0</v>
      </c>
      <c r="AE117" s="196">
        <v>0</v>
      </c>
      <c r="AF117" s="196">
        <f>SUM(Tabela99[[#This Row], [jan/26]:[dez/26]])</f>
      </c>
      <c r="AG117" s="196">
        <v>600</v>
      </c>
      <c r="AH117" s="196">
        <v>0</v>
      </c>
      <c r="AI117" s="196">
        <v>0</v>
      </c>
      <c r="AJ117" s="196">
        <v>0</v>
      </c>
      <c r="AK117" s="196">
        <f>SUM(Tabela99[[#This Row], [2026]:[2030]])</f>
      </c>
      <c r="AL117" s="195">
        <v>0</v>
      </c>
      <c r="AM117" s="196">
        <v>0</v>
      </c>
      <c r="AN117" s="196">
        <v>0</v>
      </c>
      <c r="AO117" s="196">
        <v>0</v>
      </c>
      <c r="AP117" s="196">
        <v>0</v>
      </c>
      <c r="AQ117" s="197">
        <f>SUM(Tabela99[[#This Row], [2026-2030]:[2035]])</f>
      </c>
      <c r="AR117" s="1"/>
      <c r="AS117" s="13" t="s">
        <v>39480</v>
      </c>
      <c r="AT117" s="128" t="s">
        <v>39060</v>
      </c>
      <c r="AU117" s="13" t="s">
        <v>24181</v>
      </c>
      <c r="AV117" s="1"/>
      <c r="AW117" s="13" t="s">
        <v>39194</v>
      </c>
      <c r="AX117" s="2"/>
      <c r="AY117" s="2"/>
      <c r="AZ117" s="13" t="s">
        <v>39481</v>
      </c>
    </row>
    <row x14ac:dyDescent="0.25" r="118" customHeight="1" ht="24.75">
      <c r="A118" s="187"/>
      <c r="B118" s="188">
        <f>AND(ISTEXT('Consolidado-Eletronorte'!#REF!),SUM('Consolidado-Eletronorte'!#REF!)&gt;0)</f>
      </c>
      <c r="C118" s="189">
        <f>$J$3</f>
      </c>
      <c r="D118" s="189">
        <f>$H$3</f>
      </c>
      <c r="E118" s="189">
        <f>$H$4</f>
      </c>
      <c r="F118" s="190"/>
      <c r="G118" s="189">
        <f>_xlfn.CONCAT('Consolidado-Eletronorte'!#REF!,"_",ROW('Consolidado-Eletronorte'!#REF!)-ROW('Consolidado-Eletronorte'!$G$18))</f>
      </c>
      <c r="H118" s="186" t="s">
        <v>10</v>
      </c>
      <c r="I118" s="191" t="s">
        <v>85</v>
      </c>
      <c r="J118" s="191" t="s">
        <v>5</v>
      </c>
      <c r="K118" s="192" t="s">
        <v>39449</v>
      </c>
      <c r="L118" s="191" t="s">
        <v>39456</v>
      </c>
      <c r="M118" s="191" t="s">
        <v>39652</v>
      </c>
      <c r="N118" s="191"/>
      <c r="O118" s="191"/>
      <c r="P118" s="191"/>
      <c r="Q118" s="193" t="s">
        <v>39743</v>
      </c>
      <c r="R118" s="193" t="s">
        <v>39744</v>
      </c>
      <c r="S118" s="191" t="s">
        <v>39655</v>
      </c>
      <c r="T118" s="194">
        <v>0</v>
      </c>
      <c r="U118" s="195">
        <v>0</v>
      </c>
      <c r="V118" s="195">
        <v>0</v>
      </c>
      <c r="W118" s="195">
        <v>0</v>
      </c>
      <c r="X118" s="194">
        <v>0</v>
      </c>
      <c r="Y118" s="194">
        <v>0</v>
      </c>
      <c r="Z118" s="196">
        <v>0</v>
      </c>
      <c r="AA118" s="196">
        <v>0</v>
      </c>
      <c r="AB118" s="196">
        <v>0</v>
      </c>
      <c r="AC118" s="196">
        <v>0</v>
      </c>
      <c r="AD118" s="196">
        <v>0</v>
      </c>
      <c r="AE118" s="196">
        <v>0</v>
      </c>
      <c r="AF118" s="196">
        <f>SUM(Tabela99[[#This Row], [jan/26]:[dez/26]])</f>
      </c>
      <c r="AG118" s="196">
        <v>550</v>
      </c>
      <c r="AH118" s="196">
        <v>0</v>
      </c>
      <c r="AI118" s="196">
        <v>0</v>
      </c>
      <c r="AJ118" s="196">
        <v>0</v>
      </c>
      <c r="AK118" s="196">
        <f>SUM(Tabela99[[#This Row], [2026]:[2030]])</f>
      </c>
      <c r="AL118" s="195">
        <v>0</v>
      </c>
      <c r="AM118" s="196">
        <v>0</v>
      </c>
      <c r="AN118" s="196">
        <v>0</v>
      </c>
      <c r="AO118" s="196">
        <v>0</v>
      </c>
      <c r="AP118" s="196">
        <v>0</v>
      </c>
      <c r="AQ118" s="197">
        <f>SUM(Tabela99[[#This Row], [2026-2030]:[2035]])</f>
      </c>
      <c r="AR118" s="1"/>
      <c r="AS118" s="13" t="s">
        <v>39656</v>
      </c>
      <c r="AT118" s="128" t="s">
        <v>39060</v>
      </c>
      <c r="AU118" s="13" t="s">
        <v>24181</v>
      </c>
      <c r="AV118" s="1"/>
      <c r="AW118" s="13" t="s">
        <v>39194</v>
      </c>
      <c r="AX118" s="2"/>
      <c r="AY118" s="2"/>
      <c r="AZ118" s="13" t="s">
        <v>39658</v>
      </c>
    </row>
    <row x14ac:dyDescent="0.25" r="119" customHeight="1" ht="24.75">
      <c r="A119" s="187"/>
      <c r="B119" s="188">
        <f>AND(ISTEXT('Consolidado-Eletronorte'!#REF!),SUM('Consolidado-Eletronorte'!#REF!)&gt;0)</f>
      </c>
      <c r="C119" s="189">
        <f>$J$3</f>
      </c>
      <c r="D119" s="189">
        <f>$H$3</f>
      </c>
      <c r="E119" s="189">
        <f>$H$4</f>
      </c>
      <c r="F119" s="190"/>
      <c r="G119" s="189">
        <f>_xlfn.CONCAT('Consolidado-Eletronorte'!#REF!,"_",ROW('Consolidado-Eletronorte'!#REF!)-ROW('Consolidado-Eletronorte'!$G$18))</f>
      </c>
      <c r="H119" s="186" t="s">
        <v>10</v>
      </c>
      <c r="I119" s="191" t="s">
        <v>85</v>
      </c>
      <c r="J119" s="191" t="s">
        <v>5</v>
      </c>
      <c r="K119" s="192" t="s">
        <v>39449</v>
      </c>
      <c r="L119" s="191" t="s">
        <v>39456</v>
      </c>
      <c r="M119" s="191" t="s">
        <v>39652</v>
      </c>
      <c r="N119" s="191"/>
      <c r="O119" s="191"/>
      <c r="P119" s="191"/>
      <c r="Q119" s="193" t="s">
        <v>39745</v>
      </c>
      <c r="R119" s="193" t="s">
        <v>39746</v>
      </c>
      <c r="S119" s="191" t="s">
        <v>39655</v>
      </c>
      <c r="T119" s="194">
        <v>0</v>
      </c>
      <c r="U119" s="195">
        <v>0</v>
      </c>
      <c r="V119" s="195">
        <v>0</v>
      </c>
      <c r="W119" s="195">
        <v>0</v>
      </c>
      <c r="X119" s="194">
        <v>0</v>
      </c>
      <c r="Y119" s="194">
        <v>0</v>
      </c>
      <c r="Z119" s="196">
        <v>0</v>
      </c>
      <c r="AA119" s="196">
        <v>0</v>
      </c>
      <c r="AB119" s="196">
        <v>0</v>
      </c>
      <c r="AC119" s="196">
        <v>0</v>
      </c>
      <c r="AD119" s="196">
        <v>0</v>
      </c>
      <c r="AE119" s="196">
        <v>0</v>
      </c>
      <c r="AF119" s="196">
        <f>SUM(Tabela99[[#This Row], [jan/26]:[dez/26]])</f>
      </c>
      <c r="AG119" s="196">
        <v>500</v>
      </c>
      <c r="AH119" s="196">
        <v>0</v>
      </c>
      <c r="AI119" s="196">
        <v>0</v>
      </c>
      <c r="AJ119" s="196">
        <v>0</v>
      </c>
      <c r="AK119" s="196">
        <f>SUM(Tabela99[[#This Row], [2026]:[2030]])</f>
      </c>
      <c r="AL119" s="195">
        <v>0</v>
      </c>
      <c r="AM119" s="196">
        <v>0</v>
      </c>
      <c r="AN119" s="196">
        <v>0</v>
      </c>
      <c r="AO119" s="196">
        <v>0</v>
      </c>
      <c r="AP119" s="196">
        <v>0</v>
      </c>
      <c r="AQ119" s="197">
        <f>SUM(Tabela99[[#This Row], [2026-2030]:[2035]])</f>
      </c>
      <c r="AR119" s="1"/>
      <c r="AS119" s="13" t="s">
        <v>39656</v>
      </c>
      <c r="AT119" s="128" t="s">
        <v>39060</v>
      </c>
      <c r="AU119" s="13" t="s">
        <v>24181</v>
      </c>
      <c r="AV119" s="1"/>
      <c r="AW119" s="13" t="s">
        <v>39194</v>
      </c>
      <c r="AX119" s="2"/>
      <c r="AY119" s="2"/>
      <c r="AZ119" s="13" t="s">
        <v>39658</v>
      </c>
    </row>
    <row x14ac:dyDescent="0.25" r="120" customHeight="1" ht="24.75">
      <c r="A120" s="187"/>
      <c r="B120" s="188">
        <f>AND(ISTEXT('Consolidado-Eletronorte'!#REF!),SUM('Consolidado-Eletronorte'!#REF!)&gt;0)</f>
      </c>
      <c r="C120" s="189">
        <f>$J$3</f>
      </c>
      <c r="D120" s="189">
        <f>$H$3</f>
      </c>
      <c r="E120" s="189">
        <f>$H$4</f>
      </c>
      <c r="F120" s="190"/>
      <c r="G120" s="189">
        <f>_xlfn.CONCAT('Consolidado-Eletronorte'!#REF!,"_",ROW('Consolidado-Eletronorte'!#REF!)-ROW('Consolidado-Eletronorte'!$G$18))</f>
      </c>
      <c r="H120" s="186" t="s">
        <v>10</v>
      </c>
      <c r="I120" s="191" t="s">
        <v>85</v>
      </c>
      <c r="J120" s="191" t="s">
        <v>5</v>
      </c>
      <c r="K120" s="192" t="s">
        <v>39449</v>
      </c>
      <c r="L120" s="191" t="s">
        <v>39456</v>
      </c>
      <c r="M120" s="191" t="s">
        <v>39747</v>
      </c>
      <c r="N120" s="191"/>
      <c r="O120" s="191"/>
      <c r="P120" s="191"/>
      <c r="Q120" s="193" t="s">
        <v>39748</v>
      </c>
      <c r="R120" s="193" t="s">
        <v>39749</v>
      </c>
      <c r="S120" s="191" t="s">
        <v>39655</v>
      </c>
      <c r="T120" s="194">
        <v>0</v>
      </c>
      <c r="U120" s="195">
        <v>0</v>
      </c>
      <c r="V120" s="195">
        <v>0</v>
      </c>
      <c r="W120" s="195">
        <v>0</v>
      </c>
      <c r="X120" s="194">
        <v>0</v>
      </c>
      <c r="Y120" s="194">
        <v>0</v>
      </c>
      <c r="Z120" s="196">
        <v>0</v>
      </c>
      <c r="AA120" s="196">
        <v>0</v>
      </c>
      <c r="AB120" s="196">
        <v>0</v>
      </c>
      <c r="AC120" s="196">
        <v>0</v>
      </c>
      <c r="AD120" s="196">
        <v>0</v>
      </c>
      <c r="AE120" s="196">
        <v>0</v>
      </c>
      <c r="AF120" s="196">
        <f>SUM(Tabela99[[#This Row], [jan/26]:[dez/26]])</f>
      </c>
      <c r="AG120" s="196">
        <v>500</v>
      </c>
      <c r="AH120" s="196">
        <v>0</v>
      </c>
      <c r="AI120" s="196">
        <v>0</v>
      </c>
      <c r="AJ120" s="196">
        <v>0</v>
      </c>
      <c r="AK120" s="196">
        <f>SUM(Tabela99[[#This Row], [2026]:[2030]])</f>
      </c>
      <c r="AL120" s="195">
        <v>0</v>
      </c>
      <c r="AM120" s="196">
        <v>0</v>
      </c>
      <c r="AN120" s="196">
        <v>0</v>
      </c>
      <c r="AO120" s="196">
        <v>0</v>
      </c>
      <c r="AP120" s="196">
        <v>0</v>
      </c>
      <c r="AQ120" s="197">
        <f>SUM(Tabela99[[#This Row], [2026-2030]:[2035]])</f>
      </c>
      <c r="AR120" s="1"/>
      <c r="AS120" s="13" t="s">
        <v>39656</v>
      </c>
      <c r="AT120" s="128" t="s">
        <v>39060</v>
      </c>
      <c r="AU120" s="13" t="s">
        <v>24181</v>
      </c>
      <c r="AV120" s="1"/>
      <c r="AW120" s="13" t="s">
        <v>39194</v>
      </c>
      <c r="AX120" s="2"/>
      <c r="AY120" s="2"/>
      <c r="AZ120" s="13" t="s">
        <v>39658</v>
      </c>
    </row>
    <row x14ac:dyDescent="0.25" r="121" customHeight="1" ht="24.75">
      <c r="A121" s="187"/>
      <c r="B121" s="188">
        <f>AND(ISTEXT('Consolidado-Eletronorte'!#REF!),SUM('Consolidado-Eletronorte'!#REF!)&gt;0)</f>
      </c>
      <c r="C121" s="189">
        <f>$J$3</f>
      </c>
      <c r="D121" s="189">
        <f>$H$3</f>
      </c>
      <c r="E121" s="189">
        <f>$H$4</f>
      </c>
      <c r="F121" s="190"/>
      <c r="G121" s="189">
        <f>_xlfn.CONCAT('Consolidado-Eletronorte'!#REF!,"_",ROW('Consolidado-Eletronorte'!#REF!)-ROW('Consolidado-Eletronorte'!$G$18))</f>
      </c>
      <c r="H121" s="186" t="s">
        <v>10</v>
      </c>
      <c r="I121" s="191" t="s">
        <v>85</v>
      </c>
      <c r="J121" s="191" t="s">
        <v>5</v>
      </c>
      <c r="K121" s="192" t="s">
        <v>39449</v>
      </c>
      <c r="L121" s="191" t="s">
        <v>39456</v>
      </c>
      <c r="M121" s="191" t="s">
        <v>39476</v>
      </c>
      <c r="N121" s="191"/>
      <c r="O121" s="191"/>
      <c r="P121" s="191"/>
      <c r="Q121" s="193" t="s">
        <v>39750</v>
      </c>
      <c r="R121" s="193" t="s">
        <v>39740</v>
      </c>
      <c r="S121" s="191" t="s">
        <v>39479</v>
      </c>
      <c r="T121" s="194">
        <v>0</v>
      </c>
      <c r="U121" s="195">
        <v>0</v>
      </c>
      <c r="V121" s="195">
        <v>0</v>
      </c>
      <c r="W121" s="195">
        <v>0</v>
      </c>
      <c r="X121" s="194">
        <v>0</v>
      </c>
      <c r="Y121" s="194">
        <v>0</v>
      </c>
      <c r="Z121" s="196">
        <v>0</v>
      </c>
      <c r="AA121" s="196">
        <v>0</v>
      </c>
      <c r="AB121" s="196">
        <v>0</v>
      </c>
      <c r="AC121" s="196">
        <v>0</v>
      </c>
      <c r="AD121" s="196">
        <v>0</v>
      </c>
      <c r="AE121" s="196">
        <v>0</v>
      </c>
      <c r="AF121" s="196">
        <f>SUM(Tabela99[[#This Row], [jan/26]:[dez/26]])</f>
      </c>
      <c r="AG121" s="196">
        <v>418</v>
      </c>
      <c r="AH121" s="196">
        <v>0</v>
      </c>
      <c r="AI121" s="196">
        <v>0</v>
      </c>
      <c r="AJ121" s="196">
        <v>0</v>
      </c>
      <c r="AK121" s="196">
        <f>SUM(Tabela99[[#This Row], [2026]:[2030]])</f>
      </c>
      <c r="AL121" s="195">
        <v>0</v>
      </c>
      <c r="AM121" s="196">
        <v>0</v>
      </c>
      <c r="AN121" s="196">
        <v>0</v>
      </c>
      <c r="AO121" s="196">
        <v>0</v>
      </c>
      <c r="AP121" s="196">
        <v>0</v>
      </c>
      <c r="AQ121" s="197">
        <f>SUM(Tabela99[[#This Row], [2026-2030]:[2035]])</f>
      </c>
      <c r="AR121" s="1"/>
      <c r="AS121" s="13" t="s">
        <v>39480</v>
      </c>
      <c r="AT121" s="128" t="s">
        <v>39060</v>
      </c>
      <c r="AU121" s="13" t="s">
        <v>24181</v>
      </c>
      <c r="AV121" s="1"/>
      <c r="AW121" s="13" t="s">
        <v>39194</v>
      </c>
      <c r="AX121" s="2"/>
      <c r="AY121" s="2"/>
      <c r="AZ121" s="13" t="s">
        <v>39481</v>
      </c>
    </row>
    <row x14ac:dyDescent="0.25" r="122" customHeight="1" ht="24.75">
      <c r="A122" s="187"/>
      <c r="B122" s="188">
        <f>AND(ISTEXT('Consolidado-Eletronorte'!#REF!),SUM('Consolidado-Eletronorte'!#REF!)&gt;0)</f>
      </c>
      <c r="C122" s="189">
        <f>$J$3</f>
      </c>
      <c r="D122" s="189">
        <f>$H$3</f>
      </c>
      <c r="E122" s="189">
        <f>$H$4</f>
      </c>
      <c r="F122" s="190"/>
      <c r="G122" s="189">
        <f>_xlfn.CONCAT('Consolidado-Eletronorte'!#REF!,"_",ROW('Consolidado-Eletronorte'!#REF!)-ROW('Consolidado-Eletronorte'!$G$18))</f>
      </c>
      <c r="H122" s="186" t="s">
        <v>10</v>
      </c>
      <c r="I122" s="191" t="s">
        <v>85</v>
      </c>
      <c r="J122" s="191" t="s">
        <v>5</v>
      </c>
      <c r="K122" s="192" t="s">
        <v>39449</v>
      </c>
      <c r="L122" s="191" t="s">
        <v>39456</v>
      </c>
      <c r="M122" s="191" t="s">
        <v>39747</v>
      </c>
      <c r="N122" s="191"/>
      <c r="O122" s="191"/>
      <c r="P122" s="191"/>
      <c r="Q122" s="193" t="s">
        <v>39751</v>
      </c>
      <c r="R122" s="193" t="s">
        <v>39752</v>
      </c>
      <c r="S122" s="191" t="s">
        <v>39655</v>
      </c>
      <c r="T122" s="194">
        <v>0</v>
      </c>
      <c r="U122" s="195">
        <v>0</v>
      </c>
      <c r="V122" s="195">
        <v>0</v>
      </c>
      <c r="W122" s="195">
        <v>0</v>
      </c>
      <c r="X122" s="194">
        <v>0</v>
      </c>
      <c r="Y122" s="194">
        <v>0</v>
      </c>
      <c r="Z122" s="196">
        <v>0</v>
      </c>
      <c r="AA122" s="196">
        <v>0</v>
      </c>
      <c r="AB122" s="196">
        <v>0</v>
      </c>
      <c r="AC122" s="196">
        <v>0</v>
      </c>
      <c r="AD122" s="196">
        <v>0</v>
      </c>
      <c r="AE122" s="196">
        <v>0</v>
      </c>
      <c r="AF122" s="196">
        <f>SUM(Tabela99[[#This Row], [jan/26]:[dez/26]])</f>
      </c>
      <c r="AG122" s="196">
        <v>400</v>
      </c>
      <c r="AH122" s="196">
        <v>0</v>
      </c>
      <c r="AI122" s="196">
        <v>0</v>
      </c>
      <c r="AJ122" s="196">
        <v>0</v>
      </c>
      <c r="AK122" s="196">
        <f>SUM(Tabela99[[#This Row], [2026]:[2030]])</f>
      </c>
      <c r="AL122" s="195">
        <v>0</v>
      </c>
      <c r="AM122" s="196">
        <v>0</v>
      </c>
      <c r="AN122" s="196">
        <v>0</v>
      </c>
      <c r="AO122" s="196">
        <v>0</v>
      </c>
      <c r="AP122" s="196">
        <v>0</v>
      </c>
      <c r="AQ122" s="197">
        <f>SUM(Tabela99[[#This Row], [2026-2030]:[2035]])</f>
      </c>
      <c r="AR122" s="1"/>
      <c r="AS122" s="13" t="s">
        <v>39656</v>
      </c>
      <c r="AT122" s="128" t="s">
        <v>39060</v>
      </c>
      <c r="AU122" s="13" t="s">
        <v>24181</v>
      </c>
      <c r="AV122" s="1"/>
      <c r="AW122" s="13" t="s">
        <v>39194</v>
      </c>
      <c r="AX122" s="2"/>
      <c r="AY122" s="2"/>
      <c r="AZ122" s="13" t="s">
        <v>39658</v>
      </c>
    </row>
    <row x14ac:dyDescent="0.25" r="123" customHeight="1" ht="24.75">
      <c r="A123" s="187"/>
      <c r="B123" s="188">
        <f>AND(ISTEXT('Consolidado-Eletronorte'!#REF!),SUM('Consolidado-Eletronorte'!#REF!)&gt;0)</f>
      </c>
      <c r="C123" s="189">
        <f>$J$3</f>
      </c>
      <c r="D123" s="189">
        <f>$H$3</f>
      </c>
      <c r="E123" s="189">
        <f>$H$4</f>
      </c>
      <c r="F123" s="190"/>
      <c r="G123" s="189">
        <f>_xlfn.CONCAT('Consolidado-Eletronorte'!#REF!,"_",ROW('Consolidado-Eletronorte'!#REF!)-ROW('Consolidado-Eletronorte'!$G$18))</f>
      </c>
      <c r="H123" s="186" t="s">
        <v>10</v>
      </c>
      <c r="I123" s="191" t="s">
        <v>85</v>
      </c>
      <c r="J123" s="191" t="s">
        <v>5</v>
      </c>
      <c r="K123" s="192" t="s">
        <v>39449</v>
      </c>
      <c r="L123" s="191" t="s">
        <v>39456</v>
      </c>
      <c r="M123" s="191" t="s">
        <v>39507</v>
      </c>
      <c r="N123" s="191"/>
      <c r="O123" s="191"/>
      <c r="P123" s="191"/>
      <c r="Q123" s="193" t="s">
        <v>39753</v>
      </c>
      <c r="R123" s="193" t="s">
        <v>39754</v>
      </c>
      <c r="S123" s="191" t="s">
        <v>39509</v>
      </c>
      <c r="T123" s="194">
        <v>0</v>
      </c>
      <c r="U123" s="195">
        <v>0</v>
      </c>
      <c r="V123" s="195">
        <v>0</v>
      </c>
      <c r="W123" s="195">
        <v>0</v>
      </c>
      <c r="X123" s="194">
        <v>0</v>
      </c>
      <c r="Y123" s="194">
        <v>0</v>
      </c>
      <c r="Z123" s="196">
        <v>0</v>
      </c>
      <c r="AA123" s="196">
        <v>0</v>
      </c>
      <c r="AB123" s="196">
        <v>0</v>
      </c>
      <c r="AC123" s="196">
        <v>0</v>
      </c>
      <c r="AD123" s="196">
        <v>0</v>
      </c>
      <c r="AE123" s="196">
        <v>0</v>
      </c>
      <c r="AF123" s="196">
        <f>SUM(Tabela99[[#This Row], [jan/26]:[dez/26]])</f>
      </c>
      <c r="AG123" s="196">
        <v>350</v>
      </c>
      <c r="AH123" s="196">
        <v>0</v>
      </c>
      <c r="AI123" s="196">
        <v>0</v>
      </c>
      <c r="AJ123" s="196">
        <v>0</v>
      </c>
      <c r="AK123" s="196">
        <f>SUM(Tabela99[[#This Row], [2026]:[2030]])</f>
      </c>
      <c r="AL123" s="195">
        <v>0</v>
      </c>
      <c r="AM123" s="196">
        <v>0</v>
      </c>
      <c r="AN123" s="196">
        <v>0</v>
      </c>
      <c r="AO123" s="196">
        <v>0</v>
      </c>
      <c r="AP123" s="196">
        <v>0</v>
      </c>
      <c r="AQ123" s="197">
        <f>SUM(Tabela99[[#This Row], [2026-2030]:[2035]])</f>
      </c>
      <c r="AR123" s="1"/>
      <c r="AS123" s="13" t="s">
        <v>39510</v>
      </c>
      <c r="AT123" s="128" t="s">
        <v>39060</v>
      </c>
      <c r="AU123" s="13" t="s">
        <v>24181</v>
      </c>
      <c r="AV123" s="1"/>
      <c r="AW123" s="13" t="s">
        <v>39194</v>
      </c>
      <c r="AX123" s="2"/>
      <c r="AY123" s="2"/>
      <c r="AZ123" s="13" t="s">
        <v>39511</v>
      </c>
    </row>
    <row x14ac:dyDescent="0.25" r="124" customHeight="1" ht="24.75">
      <c r="A124" s="187"/>
      <c r="B124" s="188">
        <f>AND(ISTEXT('Consolidado-Eletronorte'!#REF!),SUM('Consolidado-Eletronorte'!#REF!)&gt;0)</f>
      </c>
      <c r="C124" s="189">
        <f>$J$3</f>
      </c>
      <c r="D124" s="189">
        <f>$H$3</f>
      </c>
      <c r="E124" s="189">
        <f>$H$4</f>
      </c>
      <c r="F124" s="190"/>
      <c r="G124" s="189">
        <f>_xlfn.CONCAT('Consolidado-Eletronorte'!#REF!,"_",ROW('Consolidado-Eletronorte'!#REF!)-ROW('Consolidado-Eletronorte'!$G$18))</f>
      </c>
      <c r="H124" s="186" t="s">
        <v>10</v>
      </c>
      <c r="I124" s="191" t="s">
        <v>85</v>
      </c>
      <c r="J124" s="191" t="s">
        <v>5</v>
      </c>
      <c r="K124" s="192" t="s">
        <v>39449</v>
      </c>
      <c r="L124" s="191" t="s">
        <v>39456</v>
      </c>
      <c r="M124" s="191" t="s">
        <v>39476</v>
      </c>
      <c r="N124" s="191"/>
      <c r="O124" s="191"/>
      <c r="P124" s="191"/>
      <c r="Q124" s="193" t="s">
        <v>39755</v>
      </c>
      <c r="R124" s="193" t="s">
        <v>39740</v>
      </c>
      <c r="S124" s="191" t="s">
        <v>39479</v>
      </c>
      <c r="T124" s="194">
        <v>0</v>
      </c>
      <c r="U124" s="195">
        <v>0</v>
      </c>
      <c r="V124" s="195">
        <v>0</v>
      </c>
      <c r="W124" s="195">
        <v>0</v>
      </c>
      <c r="X124" s="194">
        <v>0</v>
      </c>
      <c r="Y124" s="194">
        <v>0</v>
      </c>
      <c r="Z124" s="196">
        <v>0</v>
      </c>
      <c r="AA124" s="196">
        <v>0</v>
      </c>
      <c r="AB124" s="196">
        <v>0</v>
      </c>
      <c r="AC124" s="196">
        <v>0</v>
      </c>
      <c r="AD124" s="196">
        <v>0</v>
      </c>
      <c r="AE124" s="196">
        <v>0</v>
      </c>
      <c r="AF124" s="196">
        <f>SUM(Tabela99[[#This Row], [jan/26]:[dez/26]])</f>
      </c>
      <c r="AG124" s="196">
        <v>319</v>
      </c>
      <c r="AH124" s="196">
        <v>0</v>
      </c>
      <c r="AI124" s="196">
        <v>0</v>
      </c>
      <c r="AJ124" s="196">
        <v>0</v>
      </c>
      <c r="AK124" s="196">
        <f>SUM(Tabela99[[#This Row], [2026]:[2030]])</f>
      </c>
      <c r="AL124" s="195">
        <v>0</v>
      </c>
      <c r="AM124" s="196">
        <v>0</v>
      </c>
      <c r="AN124" s="196">
        <v>0</v>
      </c>
      <c r="AO124" s="196">
        <v>0</v>
      </c>
      <c r="AP124" s="196">
        <v>0</v>
      </c>
      <c r="AQ124" s="197">
        <f>SUM(Tabela99[[#This Row], [2026-2030]:[2035]])</f>
      </c>
      <c r="AR124" s="1"/>
      <c r="AS124" s="13" t="s">
        <v>39480</v>
      </c>
      <c r="AT124" s="128" t="s">
        <v>39060</v>
      </c>
      <c r="AU124" s="13" t="s">
        <v>24181</v>
      </c>
      <c r="AV124" s="1"/>
      <c r="AW124" s="13" t="s">
        <v>39194</v>
      </c>
      <c r="AX124" s="2"/>
      <c r="AY124" s="2"/>
      <c r="AZ124" s="13" t="s">
        <v>39481</v>
      </c>
    </row>
    <row x14ac:dyDescent="0.25" r="125" customHeight="1" ht="24.75">
      <c r="A125" s="187"/>
      <c r="B125" s="188">
        <f>AND(ISTEXT('Consolidado-Eletronorte'!#REF!),SUM('Consolidado-Eletronorte'!#REF!)&gt;0)</f>
      </c>
      <c r="C125" s="189">
        <f>$J$3</f>
      </c>
      <c r="D125" s="189">
        <f>$H$3</f>
      </c>
      <c r="E125" s="189">
        <f>$H$4</f>
      </c>
      <c r="F125" s="190"/>
      <c r="G125" s="189">
        <f>_xlfn.CONCAT('Consolidado-Eletronorte'!#REF!,"_",ROW('Consolidado-Eletronorte'!#REF!)-ROW('Consolidado-Eletronorte'!$G$18))</f>
      </c>
      <c r="H125" s="186" t="s">
        <v>10</v>
      </c>
      <c r="I125" s="191" t="s">
        <v>85</v>
      </c>
      <c r="J125" s="191" t="s">
        <v>5</v>
      </c>
      <c r="K125" s="192" t="s">
        <v>39449</v>
      </c>
      <c r="L125" s="191" t="s">
        <v>39456</v>
      </c>
      <c r="M125" s="191" t="s">
        <v>39476</v>
      </c>
      <c r="N125" s="191"/>
      <c r="O125" s="191"/>
      <c r="P125" s="191"/>
      <c r="Q125" s="193" t="s">
        <v>39756</v>
      </c>
      <c r="R125" s="193" t="s">
        <v>39740</v>
      </c>
      <c r="S125" s="191" t="s">
        <v>39479</v>
      </c>
      <c r="T125" s="194">
        <v>0</v>
      </c>
      <c r="U125" s="195">
        <v>0</v>
      </c>
      <c r="V125" s="195">
        <v>0</v>
      </c>
      <c r="W125" s="195">
        <v>0</v>
      </c>
      <c r="X125" s="194">
        <v>0</v>
      </c>
      <c r="Y125" s="194">
        <v>0</v>
      </c>
      <c r="Z125" s="196">
        <v>0</v>
      </c>
      <c r="AA125" s="196">
        <v>0</v>
      </c>
      <c r="AB125" s="196">
        <v>0</v>
      </c>
      <c r="AC125" s="196">
        <v>0</v>
      </c>
      <c r="AD125" s="196">
        <v>0</v>
      </c>
      <c r="AE125" s="196">
        <v>0</v>
      </c>
      <c r="AF125" s="196">
        <f>SUM(Tabela99[[#This Row], [jan/26]:[dez/26]])</f>
      </c>
      <c r="AG125" s="196">
        <v>319</v>
      </c>
      <c r="AH125" s="196">
        <v>0</v>
      </c>
      <c r="AI125" s="196">
        <v>0</v>
      </c>
      <c r="AJ125" s="196">
        <v>0</v>
      </c>
      <c r="AK125" s="196">
        <f>SUM(Tabela99[[#This Row], [2026]:[2030]])</f>
      </c>
      <c r="AL125" s="195">
        <v>0</v>
      </c>
      <c r="AM125" s="196">
        <v>0</v>
      </c>
      <c r="AN125" s="196">
        <v>0</v>
      </c>
      <c r="AO125" s="196">
        <v>0</v>
      </c>
      <c r="AP125" s="196">
        <v>0</v>
      </c>
      <c r="AQ125" s="197">
        <f>SUM(Tabela99[[#This Row], [2026-2030]:[2035]])</f>
      </c>
      <c r="AR125" s="1"/>
      <c r="AS125" s="13" t="s">
        <v>39480</v>
      </c>
      <c r="AT125" s="128" t="s">
        <v>39060</v>
      </c>
      <c r="AU125" s="13" t="s">
        <v>24181</v>
      </c>
      <c r="AV125" s="1"/>
      <c r="AW125" s="13" t="s">
        <v>39194</v>
      </c>
      <c r="AX125" s="2"/>
      <c r="AY125" s="2"/>
      <c r="AZ125" s="13" t="s">
        <v>39481</v>
      </c>
    </row>
    <row x14ac:dyDescent="0.25" r="126" customHeight="1" ht="24.75">
      <c r="A126" s="187"/>
      <c r="B126" s="188">
        <f>AND(ISTEXT('Consolidado-Eletronorte'!#REF!),SUM('Consolidado-Eletronorte'!#REF!)&gt;0)</f>
      </c>
      <c r="C126" s="189">
        <f>$J$3</f>
      </c>
      <c r="D126" s="189">
        <f>$H$3</f>
      </c>
      <c r="E126" s="189">
        <f>$H$4</f>
      </c>
      <c r="F126" s="190"/>
      <c r="G126" s="189">
        <f>_xlfn.CONCAT('Consolidado-Eletronorte'!#REF!,"_",ROW('Consolidado-Eletronorte'!#REF!)-ROW('Consolidado-Eletronorte'!$G$18))</f>
      </c>
      <c r="H126" s="186" t="s">
        <v>10</v>
      </c>
      <c r="I126" s="191" t="s">
        <v>85</v>
      </c>
      <c r="J126" s="191" t="s">
        <v>5</v>
      </c>
      <c r="K126" s="192" t="s">
        <v>26</v>
      </c>
      <c r="L126" s="191" t="s">
        <v>39641</v>
      </c>
      <c r="M126" s="191" t="s">
        <v>39727</v>
      </c>
      <c r="N126" s="191"/>
      <c r="O126" s="191"/>
      <c r="P126" s="191"/>
      <c r="Q126" s="193" t="s">
        <v>39757</v>
      </c>
      <c r="R126" s="193" t="s">
        <v>39758</v>
      </c>
      <c r="S126" s="191" t="s">
        <v>39509</v>
      </c>
      <c r="T126" s="194">
        <v>65000</v>
      </c>
      <c r="U126" s="195">
        <v>65000</v>
      </c>
      <c r="V126" s="195">
        <v>0</v>
      </c>
      <c r="W126" s="195">
        <v>0</v>
      </c>
      <c r="X126" s="194">
        <v>0</v>
      </c>
      <c r="Y126" s="194">
        <v>0</v>
      </c>
      <c r="Z126" s="196">
        <v>0</v>
      </c>
      <c r="AA126" s="196">
        <v>100000</v>
      </c>
      <c r="AB126" s="196">
        <v>100000</v>
      </c>
      <c r="AC126" s="196">
        <v>100000</v>
      </c>
      <c r="AD126" s="196">
        <v>0</v>
      </c>
      <c r="AE126" s="196">
        <v>0</v>
      </c>
      <c r="AF126" s="196">
        <f>SUM(Tabela99[[#This Row], [jan/26]:[dez/26]])</f>
      </c>
      <c r="AG126" s="196">
        <v>300</v>
      </c>
      <c r="AH126" s="196">
        <v>300</v>
      </c>
      <c r="AI126" s="196">
        <v>300</v>
      </c>
      <c r="AJ126" s="196">
        <v>0</v>
      </c>
      <c r="AK126" s="196">
        <f>SUM(Tabela99[[#This Row], [2026]:[2030]])</f>
      </c>
      <c r="AL126" s="195">
        <v>0</v>
      </c>
      <c r="AM126" s="196">
        <v>0</v>
      </c>
      <c r="AN126" s="196">
        <v>0</v>
      </c>
      <c r="AO126" s="196">
        <v>0</v>
      </c>
      <c r="AP126" s="196">
        <v>0</v>
      </c>
      <c r="AQ126" s="197">
        <f>SUM(Tabela99[[#This Row], [2026-2030]:[2035]])</f>
      </c>
      <c r="AR126" s="1"/>
      <c r="AS126" s="13" t="s">
        <v>39510</v>
      </c>
      <c r="AT126" s="39">
        <v>2025</v>
      </c>
      <c r="AU126" s="13" t="s">
        <v>24181</v>
      </c>
      <c r="AV126" s="1"/>
      <c r="AW126" s="13" t="s">
        <v>39194</v>
      </c>
      <c r="AX126" s="2"/>
      <c r="AY126" s="2"/>
      <c r="AZ126" s="13" t="s">
        <v>39511</v>
      </c>
    </row>
    <row x14ac:dyDescent="0.25" r="127" customHeight="1" ht="24.75">
      <c r="A127" s="187"/>
      <c r="B127" s="188">
        <f>AND(ISTEXT('Consolidado-Eletronorte'!#REF!),SUM('Consolidado-Eletronorte'!#REF!)&gt;0)</f>
      </c>
      <c r="C127" s="189">
        <f>$J$3</f>
      </c>
      <c r="D127" s="189">
        <f>$H$3</f>
      </c>
      <c r="E127" s="189">
        <f>$H$4</f>
      </c>
      <c r="F127" s="190"/>
      <c r="G127" s="189">
        <f>_xlfn.CONCAT('Consolidado-Eletronorte'!#REF!,"_",ROW('Consolidado-Eletronorte'!#REF!)-ROW('Consolidado-Eletronorte'!$G$18))</f>
      </c>
      <c r="H127" s="186" t="s">
        <v>10</v>
      </c>
      <c r="I127" s="191" t="s">
        <v>85</v>
      </c>
      <c r="J127" s="191" t="s">
        <v>5</v>
      </c>
      <c r="K127" s="192" t="s">
        <v>39449</v>
      </c>
      <c r="L127" s="191" t="s">
        <v>39456</v>
      </c>
      <c r="M127" s="191" t="s">
        <v>39747</v>
      </c>
      <c r="N127" s="191"/>
      <c r="O127" s="191"/>
      <c r="P127" s="191"/>
      <c r="Q127" s="193" t="s">
        <v>39759</v>
      </c>
      <c r="R127" s="193" t="s">
        <v>39760</v>
      </c>
      <c r="S127" s="191" t="s">
        <v>39655</v>
      </c>
      <c r="T127" s="194">
        <v>0</v>
      </c>
      <c r="U127" s="195">
        <v>0</v>
      </c>
      <c r="V127" s="195">
        <v>0</v>
      </c>
      <c r="W127" s="195">
        <v>0</v>
      </c>
      <c r="X127" s="194">
        <v>0</v>
      </c>
      <c r="Y127" s="194">
        <v>0</v>
      </c>
      <c r="Z127" s="196">
        <v>0</v>
      </c>
      <c r="AA127" s="196">
        <v>0</v>
      </c>
      <c r="AB127" s="196">
        <v>0</v>
      </c>
      <c r="AC127" s="196">
        <v>0</v>
      </c>
      <c r="AD127" s="196">
        <v>0</v>
      </c>
      <c r="AE127" s="196">
        <v>0</v>
      </c>
      <c r="AF127" s="196">
        <f>SUM(Tabela99[[#This Row], [jan/26]:[dez/26]])</f>
      </c>
      <c r="AG127" s="196">
        <v>300</v>
      </c>
      <c r="AH127" s="196">
        <v>0</v>
      </c>
      <c r="AI127" s="196">
        <v>0</v>
      </c>
      <c r="AJ127" s="196">
        <v>0</v>
      </c>
      <c r="AK127" s="196">
        <f>SUM(Tabela99[[#This Row], [2026]:[2030]])</f>
      </c>
      <c r="AL127" s="195">
        <v>0</v>
      </c>
      <c r="AM127" s="196">
        <v>0</v>
      </c>
      <c r="AN127" s="196">
        <v>0</v>
      </c>
      <c r="AO127" s="196">
        <v>0</v>
      </c>
      <c r="AP127" s="196">
        <v>0</v>
      </c>
      <c r="AQ127" s="197">
        <f>SUM(Tabela99[[#This Row], [2026-2030]:[2035]])</f>
      </c>
      <c r="AR127" s="1"/>
      <c r="AS127" s="13" t="s">
        <v>39656</v>
      </c>
      <c r="AT127" s="128" t="s">
        <v>39060</v>
      </c>
      <c r="AU127" s="13" t="s">
        <v>24181</v>
      </c>
      <c r="AV127" s="1"/>
      <c r="AW127" s="13" t="s">
        <v>39194</v>
      </c>
      <c r="AX127" s="2"/>
      <c r="AY127" s="2"/>
      <c r="AZ127" s="13" t="s">
        <v>39658</v>
      </c>
    </row>
    <row x14ac:dyDescent="0.25" r="128" customHeight="1" ht="24.75">
      <c r="A128" s="187"/>
      <c r="B128" s="188">
        <f>AND(ISTEXT('Consolidado-Eletronorte'!#REF!),SUM('Consolidado-Eletronorte'!#REF!)&gt;0)</f>
      </c>
      <c r="C128" s="189">
        <f>$J$3</f>
      </c>
      <c r="D128" s="189">
        <f>$H$3</f>
      </c>
      <c r="E128" s="189">
        <f>$H$4</f>
      </c>
      <c r="F128" s="190"/>
      <c r="G128" s="189">
        <f>_xlfn.CONCAT('Consolidado-Eletronorte'!#REF!,"_",ROW('Consolidado-Eletronorte'!#REF!)-ROW('Consolidado-Eletronorte'!$G$18))</f>
      </c>
      <c r="H128" s="186" t="s">
        <v>10</v>
      </c>
      <c r="I128" s="191" t="s">
        <v>85</v>
      </c>
      <c r="J128" s="191" t="s">
        <v>5</v>
      </c>
      <c r="K128" s="192" t="s">
        <v>26</v>
      </c>
      <c r="L128" s="191" t="s">
        <v>39641</v>
      </c>
      <c r="M128" s="191" t="s">
        <v>39669</v>
      </c>
      <c r="N128" s="191"/>
      <c r="O128" s="191"/>
      <c r="P128" s="191"/>
      <c r="Q128" s="193" t="s">
        <v>39761</v>
      </c>
      <c r="R128" s="193" t="s">
        <v>39762</v>
      </c>
      <c r="S128" s="191" t="s">
        <v>39671</v>
      </c>
      <c r="T128" s="194">
        <v>0</v>
      </c>
      <c r="U128" s="195">
        <v>0</v>
      </c>
      <c r="V128" s="195">
        <v>0</v>
      </c>
      <c r="W128" s="195">
        <v>0</v>
      </c>
      <c r="X128" s="194">
        <v>0</v>
      </c>
      <c r="Y128" s="194">
        <v>0</v>
      </c>
      <c r="Z128" s="196">
        <v>0</v>
      </c>
      <c r="AA128" s="196">
        <v>0</v>
      </c>
      <c r="AB128" s="196">
        <v>0</v>
      </c>
      <c r="AC128" s="196">
        <v>0</v>
      </c>
      <c r="AD128" s="196">
        <v>0</v>
      </c>
      <c r="AE128" s="196">
        <v>0</v>
      </c>
      <c r="AF128" s="196">
        <f>SUM(Tabela99[[#This Row], [jan/26]:[dez/26]])</f>
      </c>
      <c r="AG128" s="196">
        <v>200</v>
      </c>
      <c r="AH128" s="196">
        <v>200</v>
      </c>
      <c r="AI128" s="196">
        <v>0</v>
      </c>
      <c r="AJ128" s="196">
        <v>0</v>
      </c>
      <c r="AK128" s="196">
        <f>SUM(Tabela99[[#This Row], [2026]:[2030]])</f>
      </c>
      <c r="AL128" s="195">
        <v>0</v>
      </c>
      <c r="AM128" s="196">
        <v>0</v>
      </c>
      <c r="AN128" s="196">
        <v>0</v>
      </c>
      <c r="AO128" s="196">
        <v>0</v>
      </c>
      <c r="AP128" s="196">
        <v>0</v>
      </c>
      <c r="AQ128" s="197">
        <f>SUM(Tabela99[[#This Row], [2026-2030]:[2035]])</f>
      </c>
      <c r="AR128" s="1"/>
      <c r="AS128" s="13" t="s">
        <v>39461</v>
      </c>
      <c r="AT128" s="128" t="s">
        <v>39060</v>
      </c>
      <c r="AU128" s="13" t="s">
        <v>24181</v>
      </c>
      <c r="AV128" s="1"/>
      <c r="AW128" s="13" t="s">
        <v>39194</v>
      </c>
      <c r="AX128" s="2"/>
      <c r="AY128" s="2"/>
      <c r="AZ128" s="13" t="s">
        <v>39463</v>
      </c>
    </row>
    <row x14ac:dyDescent="0.25" r="129" customHeight="1" ht="24.75">
      <c r="A129" s="187"/>
      <c r="B129" s="188">
        <f>AND(ISTEXT('Consolidado-Eletronorte'!#REF!),SUM('Consolidado-Eletronorte'!#REF!)&gt;0)</f>
      </c>
      <c r="C129" s="189">
        <f>$J$3</f>
      </c>
      <c r="D129" s="189">
        <f>$H$3</f>
      </c>
      <c r="E129" s="189">
        <f>$H$4</f>
      </c>
      <c r="F129" s="190"/>
      <c r="G129" s="189">
        <f>_xlfn.CONCAT('Consolidado-Eletronorte'!#REF!,"_",ROW('Consolidado-Eletronorte'!#REF!)-ROW('Consolidado-Eletronorte'!$G$18))</f>
      </c>
      <c r="H129" s="186" t="s">
        <v>10</v>
      </c>
      <c r="I129" s="191" t="s">
        <v>85</v>
      </c>
      <c r="J129" s="191" t="s">
        <v>5</v>
      </c>
      <c r="K129" s="192" t="s">
        <v>39449</v>
      </c>
      <c r="L129" s="191" t="s">
        <v>39456</v>
      </c>
      <c r="M129" s="191" t="s">
        <v>39476</v>
      </c>
      <c r="N129" s="191"/>
      <c r="O129" s="191"/>
      <c r="P129" s="191"/>
      <c r="Q129" s="193" t="s">
        <v>39763</v>
      </c>
      <c r="R129" s="193" t="s">
        <v>39740</v>
      </c>
      <c r="S129" s="191" t="s">
        <v>39479</v>
      </c>
      <c r="T129" s="194">
        <v>0</v>
      </c>
      <c r="U129" s="195">
        <v>0</v>
      </c>
      <c r="V129" s="195">
        <v>0</v>
      </c>
      <c r="W129" s="195">
        <v>0</v>
      </c>
      <c r="X129" s="194">
        <v>0</v>
      </c>
      <c r="Y129" s="194">
        <v>0</v>
      </c>
      <c r="Z129" s="196">
        <v>0</v>
      </c>
      <c r="AA129" s="196">
        <v>0</v>
      </c>
      <c r="AB129" s="196">
        <v>0</v>
      </c>
      <c r="AC129" s="196">
        <v>0</v>
      </c>
      <c r="AD129" s="196">
        <v>0</v>
      </c>
      <c r="AE129" s="196">
        <v>0</v>
      </c>
      <c r="AF129" s="196">
        <f>SUM(Tabela99[[#This Row], [jan/26]:[dez/26]])</f>
      </c>
      <c r="AG129" s="196">
        <v>180</v>
      </c>
      <c r="AH129" s="196">
        <v>0</v>
      </c>
      <c r="AI129" s="196">
        <v>0</v>
      </c>
      <c r="AJ129" s="196">
        <v>0</v>
      </c>
      <c r="AK129" s="196">
        <f>SUM(Tabela99[[#This Row], [2026]:[2030]])</f>
      </c>
      <c r="AL129" s="195">
        <v>0</v>
      </c>
      <c r="AM129" s="196">
        <v>0</v>
      </c>
      <c r="AN129" s="196">
        <v>0</v>
      </c>
      <c r="AO129" s="196">
        <v>0</v>
      </c>
      <c r="AP129" s="196">
        <v>0</v>
      </c>
      <c r="AQ129" s="197">
        <f>SUM(Tabela99[[#This Row], [2026-2030]:[2035]])</f>
      </c>
      <c r="AR129" s="1"/>
      <c r="AS129" s="13" t="s">
        <v>39480</v>
      </c>
      <c r="AT129" s="128" t="s">
        <v>39060</v>
      </c>
      <c r="AU129" s="13" t="s">
        <v>24181</v>
      </c>
      <c r="AV129" s="1"/>
      <c r="AW129" s="13" t="s">
        <v>39194</v>
      </c>
      <c r="AX129" s="2"/>
      <c r="AY129" s="2"/>
      <c r="AZ129" s="13" t="s">
        <v>39481</v>
      </c>
    </row>
    <row x14ac:dyDescent="0.25" r="130" customHeight="1" ht="24.75">
      <c r="A130" s="187"/>
      <c r="B130" s="188">
        <f>AND(ISTEXT('Consolidado-Eletronorte'!#REF!),SUM('Consolidado-Eletronorte'!#REF!)&gt;0)</f>
      </c>
      <c r="C130" s="189">
        <f>$J$3</f>
      </c>
      <c r="D130" s="189">
        <f>$H$3</f>
      </c>
      <c r="E130" s="189">
        <f>$H$4</f>
      </c>
      <c r="F130" s="190"/>
      <c r="G130" s="189">
        <f>_xlfn.CONCAT('Consolidado-Eletronorte'!#REF!,"_",ROW('Consolidado-Eletronorte'!#REF!)-ROW('Consolidado-Eletronorte'!$G$18))</f>
      </c>
      <c r="H130" s="186" t="s">
        <v>10</v>
      </c>
      <c r="I130" s="191" t="s">
        <v>85</v>
      </c>
      <c r="J130" s="191" t="s">
        <v>5</v>
      </c>
      <c r="K130" s="192" t="s">
        <v>39449</v>
      </c>
      <c r="L130" s="191" t="s">
        <v>39456</v>
      </c>
      <c r="M130" s="191" t="s">
        <v>39476</v>
      </c>
      <c r="N130" s="191"/>
      <c r="O130" s="191"/>
      <c r="P130" s="191"/>
      <c r="Q130" s="193" t="s">
        <v>39764</v>
      </c>
      <c r="R130" s="193" t="s">
        <v>39765</v>
      </c>
      <c r="S130" s="191" t="s">
        <v>39479</v>
      </c>
      <c r="T130" s="194">
        <v>0</v>
      </c>
      <c r="U130" s="195">
        <v>0</v>
      </c>
      <c r="V130" s="195">
        <v>0</v>
      </c>
      <c r="W130" s="195">
        <v>0</v>
      </c>
      <c r="X130" s="194">
        <v>0</v>
      </c>
      <c r="Y130" s="194">
        <v>0</v>
      </c>
      <c r="Z130" s="196">
        <v>0</v>
      </c>
      <c r="AA130" s="196">
        <v>0</v>
      </c>
      <c r="AB130" s="196">
        <v>0</v>
      </c>
      <c r="AC130" s="196">
        <v>0</v>
      </c>
      <c r="AD130" s="196">
        <v>0</v>
      </c>
      <c r="AE130" s="196">
        <v>0</v>
      </c>
      <c r="AF130" s="196">
        <f>SUM(Tabela99[[#This Row], [jan/26]:[dez/26]])</f>
      </c>
      <c r="AG130" s="196">
        <v>150</v>
      </c>
      <c r="AH130" s="196">
        <v>0</v>
      </c>
      <c r="AI130" s="196">
        <v>0</v>
      </c>
      <c r="AJ130" s="196">
        <v>0</v>
      </c>
      <c r="AK130" s="196">
        <f>SUM(Tabela99[[#This Row], [2026]:[2030]])</f>
      </c>
      <c r="AL130" s="195">
        <v>0</v>
      </c>
      <c r="AM130" s="196">
        <v>0</v>
      </c>
      <c r="AN130" s="196">
        <v>0</v>
      </c>
      <c r="AO130" s="196">
        <v>0</v>
      </c>
      <c r="AP130" s="196">
        <v>0</v>
      </c>
      <c r="AQ130" s="197">
        <f>SUM(Tabela99[[#This Row], [2026-2030]:[2035]])</f>
      </c>
      <c r="AR130" s="1"/>
      <c r="AS130" s="13" t="s">
        <v>39480</v>
      </c>
      <c r="AT130" s="128" t="s">
        <v>39060</v>
      </c>
      <c r="AU130" s="13" t="s">
        <v>24181</v>
      </c>
      <c r="AV130" s="1"/>
      <c r="AW130" s="13" t="s">
        <v>39194</v>
      </c>
      <c r="AX130" s="2"/>
      <c r="AY130" s="2"/>
      <c r="AZ130" s="13" t="s">
        <v>39481</v>
      </c>
    </row>
    <row x14ac:dyDescent="0.25" r="131" customHeight="1" ht="24.75">
      <c r="A131" s="187"/>
      <c r="B131" s="188">
        <f>AND(ISTEXT('Consolidado-Eletronorte'!#REF!),SUM('Consolidado-Eletronorte'!#REF!)&gt;0)</f>
      </c>
      <c r="C131" s="189">
        <f>$J$3</f>
      </c>
      <c r="D131" s="189">
        <f>$H$3</f>
      </c>
      <c r="E131" s="189">
        <f>$H$4</f>
      </c>
      <c r="F131" s="190"/>
      <c r="G131" s="189">
        <f>_xlfn.CONCAT('Consolidado-Eletronorte'!#REF!,"_",ROW('Consolidado-Eletronorte'!#REF!)-ROW('Consolidado-Eletronorte'!$G$18))</f>
      </c>
      <c r="H131" s="186" t="s">
        <v>10</v>
      </c>
      <c r="I131" s="191" t="s">
        <v>85</v>
      </c>
      <c r="J131" s="191" t="s">
        <v>5</v>
      </c>
      <c r="K131" s="192" t="s">
        <v>39449</v>
      </c>
      <c r="L131" s="191" t="s">
        <v>39456</v>
      </c>
      <c r="M131" s="191" t="s">
        <v>39476</v>
      </c>
      <c r="N131" s="191"/>
      <c r="O131" s="191"/>
      <c r="P131" s="191"/>
      <c r="Q131" s="193" t="s">
        <v>39766</v>
      </c>
      <c r="R131" s="193" t="s">
        <v>39765</v>
      </c>
      <c r="S131" s="191" t="s">
        <v>39479</v>
      </c>
      <c r="T131" s="194">
        <v>0</v>
      </c>
      <c r="U131" s="195">
        <v>0</v>
      </c>
      <c r="V131" s="195">
        <v>0</v>
      </c>
      <c r="W131" s="195">
        <v>0</v>
      </c>
      <c r="X131" s="194">
        <v>0</v>
      </c>
      <c r="Y131" s="194">
        <v>0</v>
      </c>
      <c r="Z131" s="196">
        <v>0</v>
      </c>
      <c r="AA131" s="196">
        <v>0</v>
      </c>
      <c r="AB131" s="196">
        <v>0</v>
      </c>
      <c r="AC131" s="196">
        <v>0</v>
      </c>
      <c r="AD131" s="196">
        <v>0</v>
      </c>
      <c r="AE131" s="196">
        <v>0</v>
      </c>
      <c r="AF131" s="196">
        <f>SUM(Tabela99[[#This Row], [jan/26]:[dez/26]])</f>
      </c>
      <c r="AG131" s="196">
        <v>150</v>
      </c>
      <c r="AH131" s="196">
        <v>0</v>
      </c>
      <c r="AI131" s="196">
        <v>0</v>
      </c>
      <c r="AJ131" s="196">
        <v>0</v>
      </c>
      <c r="AK131" s="196">
        <f>SUM(Tabela99[[#This Row], [2026]:[2030]])</f>
      </c>
      <c r="AL131" s="195">
        <v>0</v>
      </c>
      <c r="AM131" s="196">
        <v>0</v>
      </c>
      <c r="AN131" s="196">
        <v>0</v>
      </c>
      <c r="AO131" s="196">
        <v>0</v>
      </c>
      <c r="AP131" s="196">
        <v>0</v>
      </c>
      <c r="AQ131" s="197">
        <f>SUM(Tabela99[[#This Row], [2026-2030]:[2035]])</f>
      </c>
      <c r="AR131" s="1"/>
      <c r="AS131" s="13" t="s">
        <v>39480</v>
      </c>
      <c r="AT131" s="128" t="s">
        <v>39060</v>
      </c>
      <c r="AU131" s="13" t="s">
        <v>24181</v>
      </c>
      <c r="AV131" s="1"/>
      <c r="AW131" s="13" t="s">
        <v>39194</v>
      </c>
      <c r="AX131" s="2"/>
      <c r="AY131" s="2"/>
      <c r="AZ131" s="13" t="s">
        <v>39481</v>
      </c>
    </row>
    <row x14ac:dyDescent="0.25" r="132" customHeight="1" ht="24.75">
      <c r="A132" s="187"/>
      <c r="B132" s="188">
        <f>AND(ISTEXT('Consolidado-Eletronorte'!#REF!),SUM('Consolidado-Eletronorte'!#REF!)&gt;0)</f>
      </c>
      <c r="C132" s="189">
        <f>$J$3</f>
      </c>
      <c r="D132" s="189">
        <f>$H$3</f>
      </c>
      <c r="E132" s="189">
        <f>$H$4</f>
      </c>
      <c r="F132" s="190"/>
      <c r="G132" s="189">
        <f>_xlfn.CONCAT('Consolidado-Eletronorte'!#REF!,"_",ROW('Consolidado-Eletronorte'!#REF!)-ROW('Consolidado-Eletronorte'!$G$18))</f>
      </c>
      <c r="H132" s="186" t="s">
        <v>10</v>
      </c>
      <c r="I132" s="191" t="s">
        <v>85</v>
      </c>
      <c r="J132" s="191" t="s">
        <v>5</v>
      </c>
      <c r="K132" s="192" t="s">
        <v>39449</v>
      </c>
      <c r="L132" s="191" t="s">
        <v>39456</v>
      </c>
      <c r="M132" s="191" t="s">
        <v>39476</v>
      </c>
      <c r="N132" s="191"/>
      <c r="O132" s="191"/>
      <c r="P132" s="191"/>
      <c r="Q132" s="193" t="s">
        <v>39767</v>
      </c>
      <c r="R132" s="193" t="s">
        <v>39765</v>
      </c>
      <c r="S132" s="191" t="s">
        <v>39479</v>
      </c>
      <c r="T132" s="194">
        <v>0</v>
      </c>
      <c r="U132" s="195">
        <v>0</v>
      </c>
      <c r="V132" s="195">
        <v>0</v>
      </c>
      <c r="W132" s="195">
        <v>0</v>
      </c>
      <c r="X132" s="194">
        <v>0</v>
      </c>
      <c r="Y132" s="194">
        <v>0</v>
      </c>
      <c r="Z132" s="196">
        <v>0</v>
      </c>
      <c r="AA132" s="196">
        <v>0</v>
      </c>
      <c r="AB132" s="196">
        <v>0</v>
      </c>
      <c r="AC132" s="196">
        <v>0</v>
      </c>
      <c r="AD132" s="196">
        <v>0</v>
      </c>
      <c r="AE132" s="196">
        <v>0</v>
      </c>
      <c r="AF132" s="196">
        <f>SUM(Tabela99[[#This Row], [jan/26]:[dez/26]])</f>
      </c>
      <c r="AG132" s="196">
        <v>150</v>
      </c>
      <c r="AH132" s="196">
        <v>0</v>
      </c>
      <c r="AI132" s="196">
        <v>0</v>
      </c>
      <c r="AJ132" s="196">
        <v>0</v>
      </c>
      <c r="AK132" s="196">
        <f>SUM(Tabela99[[#This Row], [2026]:[2030]])</f>
      </c>
      <c r="AL132" s="195">
        <v>0</v>
      </c>
      <c r="AM132" s="196">
        <v>0</v>
      </c>
      <c r="AN132" s="196">
        <v>0</v>
      </c>
      <c r="AO132" s="196">
        <v>0</v>
      </c>
      <c r="AP132" s="196">
        <v>0</v>
      </c>
      <c r="AQ132" s="197">
        <f>SUM(Tabela99[[#This Row], [2026-2030]:[2035]])</f>
      </c>
      <c r="AR132" s="1"/>
      <c r="AS132" s="13" t="s">
        <v>39480</v>
      </c>
      <c r="AT132" s="128" t="s">
        <v>39060</v>
      </c>
      <c r="AU132" s="13" t="s">
        <v>24181</v>
      </c>
      <c r="AV132" s="1"/>
      <c r="AW132" s="13" t="s">
        <v>39194</v>
      </c>
      <c r="AX132" s="2"/>
      <c r="AY132" s="2"/>
      <c r="AZ132" s="13" t="s">
        <v>39481</v>
      </c>
    </row>
    <row x14ac:dyDescent="0.25" r="133" customHeight="1" ht="24.75">
      <c r="A133" s="187"/>
      <c r="B133" s="188">
        <f>AND(ISTEXT('Consolidado-Eletronorte'!#REF!),SUM('Consolidado-Eletronorte'!#REF!)&gt;0)</f>
      </c>
      <c r="C133" s="189">
        <f>$J$3</f>
      </c>
      <c r="D133" s="189">
        <f>$H$3</f>
      </c>
      <c r="E133" s="189">
        <f>$H$4</f>
      </c>
      <c r="F133" s="190"/>
      <c r="G133" s="189">
        <f>_xlfn.CONCAT('Consolidado-Eletronorte'!#REF!,"_",ROW('Consolidado-Eletronorte'!#REF!)-ROW('Consolidado-Eletronorte'!$G$18))</f>
      </c>
      <c r="H133" s="186" t="s">
        <v>10</v>
      </c>
      <c r="I133" s="191" t="s">
        <v>85</v>
      </c>
      <c r="J133" s="191" t="s">
        <v>5</v>
      </c>
      <c r="K133" s="192" t="s">
        <v>39449</v>
      </c>
      <c r="L133" s="191" t="s">
        <v>39456</v>
      </c>
      <c r="M133" s="191" t="s">
        <v>39652</v>
      </c>
      <c r="N133" s="191"/>
      <c r="O133" s="191"/>
      <c r="P133" s="191"/>
      <c r="Q133" s="193" t="s">
        <v>39768</v>
      </c>
      <c r="R133" s="193" t="s">
        <v>39752</v>
      </c>
      <c r="S133" s="191" t="s">
        <v>39655</v>
      </c>
      <c r="T133" s="194">
        <v>0</v>
      </c>
      <c r="U133" s="195">
        <v>0</v>
      </c>
      <c r="V133" s="195">
        <v>0</v>
      </c>
      <c r="W133" s="195">
        <v>0</v>
      </c>
      <c r="X133" s="194">
        <v>0</v>
      </c>
      <c r="Y133" s="194">
        <v>0</v>
      </c>
      <c r="Z133" s="196">
        <v>0</v>
      </c>
      <c r="AA133" s="196">
        <v>0</v>
      </c>
      <c r="AB133" s="196">
        <v>0</v>
      </c>
      <c r="AC133" s="196">
        <v>0</v>
      </c>
      <c r="AD133" s="196">
        <v>0</v>
      </c>
      <c r="AE133" s="196">
        <v>0</v>
      </c>
      <c r="AF133" s="196">
        <f>SUM(Tabela99[[#This Row], [jan/26]:[dez/26]])</f>
      </c>
      <c r="AG133" s="196">
        <v>150</v>
      </c>
      <c r="AH133" s="196">
        <v>0</v>
      </c>
      <c r="AI133" s="196">
        <v>0</v>
      </c>
      <c r="AJ133" s="196">
        <v>0</v>
      </c>
      <c r="AK133" s="196">
        <f>SUM(Tabela99[[#This Row], [2026]:[2030]])</f>
      </c>
      <c r="AL133" s="195">
        <v>0</v>
      </c>
      <c r="AM133" s="196">
        <v>0</v>
      </c>
      <c r="AN133" s="196">
        <v>0</v>
      </c>
      <c r="AO133" s="196">
        <v>0</v>
      </c>
      <c r="AP133" s="196">
        <v>0</v>
      </c>
      <c r="AQ133" s="197">
        <f>SUM(Tabela99[[#This Row], [2026-2030]:[2035]])</f>
      </c>
      <c r="AR133" s="1"/>
      <c r="AS133" s="13" t="s">
        <v>39656</v>
      </c>
      <c r="AT133" s="128" t="s">
        <v>39060</v>
      </c>
      <c r="AU133" s="13" t="s">
        <v>24181</v>
      </c>
      <c r="AV133" s="1"/>
      <c r="AW133" s="13" t="s">
        <v>39194</v>
      </c>
      <c r="AX133" s="2"/>
      <c r="AY133" s="2"/>
      <c r="AZ133" s="13" t="s">
        <v>39658</v>
      </c>
    </row>
    <row x14ac:dyDescent="0.25" r="134" customHeight="1" ht="24.75">
      <c r="A134" s="187"/>
      <c r="B134" s="188">
        <f>AND(ISTEXT('Consolidado-Eletronorte'!#REF!),SUM('Consolidado-Eletronorte'!#REF!)&gt;0)</f>
      </c>
      <c r="C134" s="189">
        <f>$J$3</f>
      </c>
      <c r="D134" s="189">
        <f>$H$3</f>
      </c>
      <c r="E134" s="189">
        <f>$H$4</f>
      </c>
      <c r="F134" s="190"/>
      <c r="G134" s="189">
        <f>_xlfn.CONCAT('Consolidado-Eletronorte'!#REF!,"_",ROW('Consolidado-Eletronorte'!#REF!)-ROW('Consolidado-Eletronorte'!$G$18))</f>
      </c>
      <c r="H134" s="186" t="s">
        <v>10</v>
      </c>
      <c r="I134" s="191" t="s">
        <v>85</v>
      </c>
      <c r="J134" s="191" t="s">
        <v>5</v>
      </c>
      <c r="K134" s="192" t="s">
        <v>39449</v>
      </c>
      <c r="L134" s="191" t="s">
        <v>39456</v>
      </c>
      <c r="M134" s="191" t="s">
        <v>39476</v>
      </c>
      <c r="N134" s="191"/>
      <c r="O134" s="191"/>
      <c r="P134" s="191"/>
      <c r="Q134" s="193" t="s">
        <v>39769</v>
      </c>
      <c r="R134" s="193" t="s">
        <v>39770</v>
      </c>
      <c r="S134" s="191" t="s">
        <v>39479</v>
      </c>
      <c r="T134" s="194">
        <v>0</v>
      </c>
      <c r="U134" s="195">
        <v>0</v>
      </c>
      <c r="V134" s="195">
        <v>0</v>
      </c>
      <c r="W134" s="195">
        <v>0</v>
      </c>
      <c r="X134" s="194">
        <v>0</v>
      </c>
      <c r="Y134" s="194">
        <v>0</v>
      </c>
      <c r="Z134" s="196">
        <v>0</v>
      </c>
      <c r="AA134" s="196">
        <v>0</v>
      </c>
      <c r="AB134" s="196">
        <v>0</v>
      </c>
      <c r="AC134" s="196">
        <v>0</v>
      </c>
      <c r="AD134" s="196">
        <v>0</v>
      </c>
      <c r="AE134" s="196">
        <v>0</v>
      </c>
      <c r="AF134" s="196">
        <f>SUM(Tabela99[[#This Row], [jan/26]:[dez/26]])</f>
      </c>
      <c r="AG134" s="196">
        <v>100</v>
      </c>
      <c r="AH134" s="196">
        <v>0</v>
      </c>
      <c r="AI134" s="196">
        <v>0</v>
      </c>
      <c r="AJ134" s="196">
        <v>0</v>
      </c>
      <c r="AK134" s="196">
        <f>SUM(Tabela99[[#This Row], [2026]:[2030]])</f>
      </c>
      <c r="AL134" s="195">
        <v>0</v>
      </c>
      <c r="AM134" s="196">
        <v>0</v>
      </c>
      <c r="AN134" s="196">
        <v>0</v>
      </c>
      <c r="AO134" s="196">
        <v>0</v>
      </c>
      <c r="AP134" s="196">
        <v>0</v>
      </c>
      <c r="AQ134" s="197">
        <f>SUM(Tabela99[[#This Row], [2026-2030]:[2035]])</f>
      </c>
      <c r="AR134" s="1"/>
      <c r="AS134" s="13" t="s">
        <v>39480</v>
      </c>
      <c r="AT134" s="128" t="s">
        <v>39060</v>
      </c>
      <c r="AU134" s="13" t="s">
        <v>24181</v>
      </c>
      <c r="AV134" s="1"/>
      <c r="AW134" s="13" t="s">
        <v>39194</v>
      </c>
      <c r="AX134" s="2"/>
      <c r="AY134" s="2"/>
      <c r="AZ134" s="13" t="s">
        <v>39481</v>
      </c>
    </row>
    <row x14ac:dyDescent="0.25" r="135" customHeight="1" ht="24.75">
      <c r="A135" s="187"/>
      <c r="B135" s="188">
        <f>AND(ISTEXT('Consolidado-Eletronorte'!#REF!),SUM('Consolidado-Eletronorte'!#REF!)&gt;0)</f>
      </c>
      <c r="C135" s="189">
        <f>$J$3</f>
      </c>
      <c r="D135" s="189">
        <f>$H$3</f>
      </c>
      <c r="E135" s="189">
        <f>$H$4</f>
      </c>
      <c r="F135" s="190"/>
      <c r="G135" s="189">
        <f>_xlfn.CONCAT('Consolidado-Eletronorte'!#REF!,"_",ROW('Consolidado-Eletronorte'!#REF!)-ROW('Consolidado-Eletronorte'!$G$18))</f>
      </c>
      <c r="H135" s="186" t="s">
        <v>10</v>
      </c>
      <c r="I135" s="191" t="s">
        <v>85</v>
      </c>
      <c r="J135" s="191" t="s">
        <v>5</v>
      </c>
      <c r="K135" s="192" t="s">
        <v>39449</v>
      </c>
      <c r="L135" s="191" t="s">
        <v>39456</v>
      </c>
      <c r="M135" s="191" t="s">
        <v>39476</v>
      </c>
      <c r="N135" s="191"/>
      <c r="O135" s="191"/>
      <c r="P135" s="191"/>
      <c r="Q135" s="193" t="s">
        <v>39771</v>
      </c>
      <c r="R135" s="193" t="s">
        <v>39770</v>
      </c>
      <c r="S135" s="191" t="s">
        <v>39479</v>
      </c>
      <c r="T135" s="194">
        <v>0</v>
      </c>
      <c r="U135" s="195">
        <v>0</v>
      </c>
      <c r="V135" s="195">
        <v>0</v>
      </c>
      <c r="W135" s="195">
        <v>0</v>
      </c>
      <c r="X135" s="194">
        <v>0</v>
      </c>
      <c r="Y135" s="194">
        <v>0</v>
      </c>
      <c r="Z135" s="196">
        <v>0</v>
      </c>
      <c r="AA135" s="196">
        <v>0</v>
      </c>
      <c r="AB135" s="196">
        <v>0</v>
      </c>
      <c r="AC135" s="196">
        <v>0</v>
      </c>
      <c r="AD135" s="196">
        <v>0</v>
      </c>
      <c r="AE135" s="196">
        <v>0</v>
      </c>
      <c r="AF135" s="196">
        <f>SUM(Tabela99[[#This Row], [jan/26]:[dez/26]])</f>
      </c>
      <c r="AG135" s="196">
        <v>100</v>
      </c>
      <c r="AH135" s="196">
        <v>0</v>
      </c>
      <c r="AI135" s="196">
        <v>0</v>
      </c>
      <c r="AJ135" s="196">
        <v>0</v>
      </c>
      <c r="AK135" s="196">
        <f>SUM(Tabela99[[#This Row], [2026]:[2030]])</f>
      </c>
      <c r="AL135" s="195">
        <v>0</v>
      </c>
      <c r="AM135" s="196">
        <v>0</v>
      </c>
      <c r="AN135" s="196">
        <v>0</v>
      </c>
      <c r="AO135" s="196">
        <v>0</v>
      </c>
      <c r="AP135" s="196">
        <v>0</v>
      </c>
      <c r="AQ135" s="197">
        <f>SUM(Tabela99[[#This Row], [2026-2030]:[2035]])</f>
      </c>
      <c r="AR135" s="1"/>
      <c r="AS135" s="13" t="s">
        <v>39480</v>
      </c>
      <c r="AT135" s="128" t="s">
        <v>39060</v>
      </c>
      <c r="AU135" s="13" t="s">
        <v>24181</v>
      </c>
      <c r="AV135" s="1"/>
      <c r="AW135" s="13" t="s">
        <v>39194</v>
      </c>
      <c r="AX135" s="2"/>
      <c r="AY135" s="2"/>
      <c r="AZ135" s="13" t="s">
        <v>39481</v>
      </c>
    </row>
    <row x14ac:dyDescent="0.25" r="136" customHeight="1" ht="24.75">
      <c r="A136" s="187"/>
      <c r="B136" s="188">
        <f>AND(ISTEXT('Consolidado-Eletronorte'!#REF!),SUM('Consolidado-Eletronorte'!#REF!)&gt;0)</f>
      </c>
      <c r="C136" s="189">
        <f>$J$3</f>
      </c>
      <c r="D136" s="189">
        <f>$H$3</f>
      </c>
      <c r="E136" s="189">
        <f>$H$4</f>
      </c>
      <c r="F136" s="190"/>
      <c r="G136" s="189">
        <f>_xlfn.CONCAT('Consolidado-Eletronorte'!#REF!,"_",ROW('Consolidado-Eletronorte'!#REF!)-ROW('Consolidado-Eletronorte'!$G$18))</f>
      </c>
      <c r="H136" s="186" t="s">
        <v>10</v>
      </c>
      <c r="I136" s="191" t="s">
        <v>85</v>
      </c>
      <c r="J136" s="191" t="s">
        <v>5</v>
      </c>
      <c r="K136" s="192" t="s">
        <v>39449</v>
      </c>
      <c r="L136" s="191" t="s">
        <v>39456</v>
      </c>
      <c r="M136" s="191" t="s">
        <v>39476</v>
      </c>
      <c r="N136" s="191"/>
      <c r="O136" s="191"/>
      <c r="P136" s="191"/>
      <c r="Q136" s="193" t="s">
        <v>39772</v>
      </c>
      <c r="R136" s="193" t="s">
        <v>39770</v>
      </c>
      <c r="S136" s="191" t="s">
        <v>39479</v>
      </c>
      <c r="T136" s="194">
        <v>0</v>
      </c>
      <c r="U136" s="195">
        <v>0</v>
      </c>
      <c r="V136" s="195">
        <v>0</v>
      </c>
      <c r="W136" s="195">
        <v>0</v>
      </c>
      <c r="X136" s="194">
        <v>0</v>
      </c>
      <c r="Y136" s="194">
        <v>0</v>
      </c>
      <c r="Z136" s="196">
        <v>0</v>
      </c>
      <c r="AA136" s="196">
        <v>0</v>
      </c>
      <c r="AB136" s="196">
        <v>0</v>
      </c>
      <c r="AC136" s="196">
        <v>0</v>
      </c>
      <c r="AD136" s="196">
        <v>0</v>
      </c>
      <c r="AE136" s="196">
        <v>0</v>
      </c>
      <c r="AF136" s="196">
        <f>SUM(Tabela99[[#This Row], [jan/26]:[dez/26]])</f>
      </c>
      <c r="AG136" s="196">
        <v>100</v>
      </c>
      <c r="AH136" s="196">
        <v>0</v>
      </c>
      <c r="AI136" s="196">
        <v>0</v>
      </c>
      <c r="AJ136" s="196">
        <v>0</v>
      </c>
      <c r="AK136" s="196">
        <f>SUM(Tabela99[[#This Row], [2026]:[2030]])</f>
      </c>
      <c r="AL136" s="195">
        <v>0</v>
      </c>
      <c r="AM136" s="196">
        <v>0</v>
      </c>
      <c r="AN136" s="196">
        <v>0</v>
      </c>
      <c r="AO136" s="196">
        <v>0</v>
      </c>
      <c r="AP136" s="196">
        <v>0</v>
      </c>
      <c r="AQ136" s="197">
        <f>SUM(Tabela99[[#This Row], [2026-2030]:[2035]])</f>
      </c>
      <c r="AR136" s="1"/>
      <c r="AS136" s="13" t="s">
        <v>39480</v>
      </c>
      <c r="AT136" s="128" t="s">
        <v>39060</v>
      </c>
      <c r="AU136" s="13" t="s">
        <v>24181</v>
      </c>
      <c r="AV136" s="1"/>
      <c r="AW136" s="13" t="s">
        <v>39194</v>
      </c>
      <c r="AX136" s="2"/>
      <c r="AY136" s="2"/>
      <c r="AZ136" s="13" t="s">
        <v>39481</v>
      </c>
    </row>
    <row x14ac:dyDescent="0.25" r="137" customHeight="1" ht="24.75">
      <c r="A137" s="187"/>
      <c r="B137" s="188">
        <f>AND(ISTEXT('Consolidado-Eletronorte'!#REF!),SUM('Consolidado-Eletronorte'!#REF!)&gt;0)</f>
      </c>
      <c r="C137" s="189">
        <f>$J$3</f>
      </c>
      <c r="D137" s="189">
        <f>$H$3</f>
      </c>
      <c r="E137" s="189">
        <f>$H$4</f>
      </c>
      <c r="F137" s="190"/>
      <c r="G137" s="189">
        <f>_xlfn.CONCAT('Consolidado-Eletronorte'!#REF!,"_",ROW('Consolidado-Eletronorte'!#REF!)-ROW('Consolidado-Eletronorte'!$G$18))</f>
      </c>
      <c r="H137" s="186" t="s">
        <v>10</v>
      </c>
      <c r="I137" s="191" t="s">
        <v>85</v>
      </c>
      <c r="J137" s="191" t="s">
        <v>5</v>
      </c>
      <c r="K137" s="192" t="s">
        <v>26</v>
      </c>
      <c r="L137" s="191" t="s">
        <v>39641</v>
      </c>
      <c r="M137" s="191" t="s">
        <v>39773</v>
      </c>
      <c r="N137" s="191"/>
      <c r="O137" s="191"/>
      <c r="P137" s="191"/>
      <c r="Q137" s="193" t="s">
        <v>39774</v>
      </c>
      <c r="R137" s="193" t="s">
        <v>39758</v>
      </c>
      <c r="S137" s="191" t="s">
        <v>38378</v>
      </c>
      <c r="T137" s="194">
        <v>75000</v>
      </c>
      <c r="U137" s="195">
        <v>75000</v>
      </c>
      <c r="V137" s="195">
        <v>0</v>
      </c>
      <c r="W137" s="195">
        <v>0</v>
      </c>
      <c r="X137" s="194">
        <v>0</v>
      </c>
      <c r="Y137" s="194">
        <v>0</v>
      </c>
      <c r="Z137" s="196">
        <v>0</v>
      </c>
      <c r="AA137" s="196">
        <v>0</v>
      </c>
      <c r="AB137" s="196">
        <v>0</v>
      </c>
      <c r="AC137" s="196">
        <v>0</v>
      </c>
      <c r="AD137" s="196">
        <v>0</v>
      </c>
      <c r="AE137" s="196">
        <v>0</v>
      </c>
      <c r="AF137" s="196">
        <f>SUM(Tabela99[[#This Row], [jan/26]:[dez/26]])</f>
      </c>
      <c r="AG137" s="196">
        <v>30</v>
      </c>
      <c r="AH137" s="196">
        <v>0</v>
      </c>
      <c r="AI137" s="196">
        <v>0</v>
      </c>
      <c r="AJ137" s="196">
        <v>0</v>
      </c>
      <c r="AK137" s="196">
        <f>SUM(Tabela99[[#This Row], [2026]:[2030]])</f>
      </c>
      <c r="AL137" s="195">
        <v>0</v>
      </c>
      <c r="AM137" s="196">
        <v>0</v>
      </c>
      <c r="AN137" s="196">
        <v>0</v>
      </c>
      <c r="AO137" s="196">
        <v>0</v>
      </c>
      <c r="AP137" s="196">
        <v>0</v>
      </c>
      <c r="AQ137" s="197">
        <f>SUM(Tabela99[[#This Row], [2026-2030]:[2035]])</f>
      </c>
      <c r="AR137" s="1"/>
      <c r="AS137" s="13" t="s">
        <v>39461</v>
      </c>
      <c r="AT137" s="39">
        <v>2025</v>
      </c>
      <c r="AU137" s="13" t="s">
        <v>24181</v>
      </c>
      <c r="AV137" s="1"/>
      <c r="AW137" s="13" t="s">
        <v>39194</v>
      </c>
      <c r="AX137" s="2"/>
      <c r="AY137" s="2"/>
      <c r="AZ137" s="13" t="s">
        <v>39529</v>
      </c>
    </row>
    <row x14ac:dyDescent="0.25" r="138" customHeight="1" ht="24.75">
      <c r="A138" s="187"/>
      <c r="B138" s="188">
        <f>AND(ISTEXT('Consolidado-Eletronorte'!#REF!),SUM('Consolidado-Eletronorte'!#REF!)&gt;0)</f>
      </c>
      <c r="C138" s="189">
        <f>$J$3</f>
      </c>
      <c r="D138" s="189">
        <f>$H$3</f>
      </c>
      <c r="E138" s="189">
        <f>$H$4</f>
      </c>
      <c r="F138" s="190"/>
      <c r="G138" s="189">
        <f>_xlfn.CONCAT('Consolidado-Eletronorte'!#REF!,"_",ROW('Consolidado-Eletronorte'!#REF!)-ROW('Consolidado-Eletronorte'!$G$18))</f>
      </c>
      <c r="H138" s="186" t="s">
        <v>10</v>
      </c>
      <c r="I138" s="191" t="s">
        <v>85</v>
      </c>
      <c r="J138" s="191" t="s">
        <v>5</v>
      </c>
      <c r="K138" s="192" t="s">
        <v>39449</v>
      </c>
      <c r="L138" s="191" t="s">
        <v>39456</v>
      </c>
      <c r="M138" s="191" t="s">
        <v>39652</v>
      </c>
      <c r="N138" s="191"/>
      <c r="O138" s="191"/>
      <c r="P138" s="191"/>
      <c r="Q138" s="193" t="s">
        <v>39775</v>
      </c>
      <c r="R138" s="193" t="s">
        <v>39776</v>
      </c>
      <c r="S138" s="191" t="s">
        <v>39655</v>
      </c>
      <c r="T138" s="194">
        <v>0</v>
      </c>
      <c r="U138" s="195">
        <v>0</v>
      </c>
      <c r="V138" s="195">
        <v>800000</v>
      </c>
      <c r="W138" s="195">
        <v>800000</v>
      </c>
      <c r="X138" s="194">
        <v>800000</v>
      </c>
      <c r="Y138" s="194">
        <v>800000</v>
      </c>
      <c r="Z138" s="196">
        <v>0</v>
      </c>
      <c r="AA138" s="196">
        <v>0</v>
      </c>
      <c r="AB138" s="196">
        <v>0</v>
      </c>
      <c r="AC138" s="196">
        <v>0</v>
      </c>
      <c r="AD138" s="196">
        <v>0</v>
      </c>
      <c r="AE138" s="196">
        <v>0</v>
      </c>
      <c r="AF138" s="196">
        <f>SUM(Tabela99[[#This Row], [jan/26]:[dez/26]])</f>
      </c>
      <c r="AG138" s="196">
        <v>0</v>
      </c>
      <c r="AH138" s="196">
        <v>0</v>
      </c>
      <c r="AI138" s="196">
        <v>0</v>
      </c>
      <c r="AJ138" s="196">
        <v>0</v>
      </c>
      <c r="AK138" s="196">
        <f>SUM(Tabela99[[#This Row], [2026]:[2030]])</f>
      </c>
      <c r="AL138" s="195">
        <v>0</v>
      </c>
      <c r="AM138" s="196">
        <v>0</v>
      </c>
      <c r="AN138" s="196">
        <v>0</v>
      </c>
      <c r="AO138" s="196">
        <v>0</v>
      </c>
      <c r="AP138" s="196">
        <v>0</v>
      </c>
      <c r="AQ138" s="197">
        <f>SUM(Tabela99[[#This Row], [2026-2030]:[2035]])</f>
      </c>
      <c r="AR138" s="1"/>
      <c r="AS138" s="13" t="s">
        <v>39656</v>
      </c>
      <c r="AT138" s="39">
        <v>2025</v>
      </c>
      <c r="AU138" s="13" t="s">
        <v>24181</v>
      </c>
      <c r="AV138" s="1"/>
      <c r="AW138" s="13" t="s">
        <v>39116</v>
      </c>
      <c r="AX138" s="2"/>
      <c r="AY138" s="2"/>
      <c r="AZ138" s="13" t="s">
        <v>39658</v>
      </c>
    </row>
    <row x14ac:dyDescent="0.25" r="139" customHeight="1" ht="24.75">
      <c r="A139" s="187"/>
      <c r="B139" s="188">
        <f>AND(ISTEXT('Consolidado-Eletronorte'!#REF!),SUM('Consolidado-Eletronorte'!#REF!)&gt;0)</f>
      </c>
      <c r="C139" s="189">
        <f>$J$3</f>
      </c>
      <c r="D139" s="189">
        <f>$H$3</f>
      </c>
      <c r="E139" s="189">
        <f>$H$4</f>
      </c>
      <c r="F139" s="190"/>
      <c r="G139" s="189">
        <f>_xlfn.CONCAT('Consolidado-Eletronorte'!#REF!,"_",ROW('Consolidado-Eletronorte'!#REF!)-ROW('Consolidado-Eletronorte'!$G$18))</f>
      </c>
      <c r="H139" s="186" t="s">
        <v>10</v>
      </c>
      <c r="I139" s="191" t="s">
        <v>85</v>
      </c>
      <c r="J139" s="191" t="s">
        <v>5</v>
      </c>
      <c r="K139" s="192" t="s">
        <v>26</v>
      </c>
      <c r="L139" s="191" t="s">
        <v>39641</v>
      </c>
      <c r="M139" s="191" t="s">
        <v>39686</v>
      </c>
      <c r="N139" s="191"/>
      <c r="O139" s="191"/>
      <c r="P139" s="191"/>
      <c r="Q139" s="193" t="s">
        <v>39777</v>
      </c>
      <c r="R139" s="193" t="s">
        <v>39778</v>
      </c>
      <c r="S139" s="191" t="s">
        <v>38378</v>
      </c>
      <c r="T139" s="194">
        <v>0</v>
      </c>
      <c r="U139" s="195">
        <v>0</v>
      </c>
      <c r="V139" s="195">
        <v>0</v>
      </c>
      <c r="W139" s="195">
        <v>2702000</v>
      </c>
      <c r="X139" s="194">
        <v>0</v>
      </c>
      <c r="Y139" s="194">
        <v>0</v>
      </c>
      <c r="Z139" s="196">
        <v>0</v>
      </c>
      <c r="AA139" s="196">
        <v>0</v>
      </c>
      <c r="AB139" s="196">
        <v>0</v>
      </c>
      <c r="AC139" s="196">
        <v>0</v>
      </c>
      <c r="AD139" s="196">
        <v>0</v>
      </c>
      <c r="AE139" s="196">
        <v>0</v>
      </c>
      <c r="AF139" s="196">
        <f>SUM(Tabela99[[#This Row], [jan/26]:[dez/26]])</f>
      </c>
      <c r="AG139" s="196">
        <v>0</v>
      </c>
      <c r="AH139" s="196">
        <v>0</v>
      </c>
      <c r="AI139" s="196">
        <v>0</v>
      </c>
      <c r="AJ139" s="196">
        <v>0</v>
      </c>
      <c r="AK139" s="196">
        <f>SUM(Tabela99[[#This Row], [2026]:[2030]])</f>
      </c>
      <c r="AL139" s="195">
        <v>0</v>
      </c>
      <c r="AM139" s="196">
        <v>0</v>
      </c>
      <c r="AN139" s="196">
        <v>0</v>
      </c>
      <c r="AO139" s="196">
        <v>0</v>
      </c>
      <c r="AP139" s="196">
        <v>0</v>
      </c>
      <c r="AQ139" s="197">
        <f>SUM(Tabela99[[#This Row], [2026-2030]:[2035]])</f>
      </c>
      <c r="AR139" s="1"/>
      <c r="AS139" s="13" t="s">
        <v>39674</v>
      </c>
      <c r="AT139" s="128" t="s">
        <v>39060</v>
      </c>
      <c r="AU139" s="13" t="s">
        <v>24181</v>
      </c>
      <c r="AV139" s="1"/>
      <c r="AW139" s="13" t="s">
        <v>39116</v>
      </c>
      <c r="AX139" s="2"/>
      <c r="AY139" s="2"/>
      <c r="AZ139" s="13" t="s">
        <v>39682</v>
      </c>
    </row>
    <row x14ac:dyDescent="0.25" r="140" customHeight="1" ht="24.75">
      <c r="A140" s="187"/>
      <c r="B140" s="188">
        <f>AND(ISTEXT('Consolidado-Eletronorte'!#REF!),SUM('Consolidado-Eletronorte'!#REF!)&gt;0)</f>
      </c>
      <c r="C140" s="189">
        <f>$J$3</f>
      </c>
      <c r="D140" s="189">
        <f>$H$3</f>
      </c>
      <c r="E140" s="189">
        <f>$H$4</f>
      </c>
      <c r="F140" s="190"/>
      <c r="G140" s="189">
        <f>_xlfn.CONCAT('Consolidado-Eletronorte'!#REF!,"_",ROW('Consolidado-Eletronorte'!#REF!)-ROW('Consolidado-Eletronorte'!$G$18))</f>
      </c>
      <c r="H140" s="186" t="s">
        <v>10</v>
      </c>
      <c r="I140" s="191" t="s">
        <v>85</v>
      </c>
      <c r="J140" s="191" t="s">
        <v>5</v>
      </c>
      <c r="K140" s="192" t="s">
        <v>26</v>
      </c>
      <c r="L140" s="191" t="s">
        <v>39641</v>
      </c>
      <c r="M140" s="191" t="s">
        <v>39669</v>
      </c>
      <c r="N140" s="191"/>
      <c r="O140" s="191"/>
      <c r="P140" s="191"/>
      <c r="Q140" s="193" t="s">
        <v>39779</v>
      </c>
      <c r="R140" s="193" t="s">
        <v>39780</v>
      </c>
      <c r="S140" s="191" t="s">
        <v>39671</v>
      </c>
      <c r="T140" s="194">
        <v>0</v>
      </c>
      <c r="U140" s="195">
        <v>0</v>
      </c>
      <c r="V140" s="195">
        <v>0</v>
      </c>
      <c r="W140" s="195">
        <v>0</v>
      </c>
      <c r="X140" s="194">
        <v>0</v>
      </c>
      <c r="Y140" s="194">
        <v>0</v>
      </c>
      <c r="Z140" s="196">
        <v>450000</v>
      </c>
      <c r="AA140" s="196">
        <v>450000</v>
      </c>
      <c r="AB140" s="196">
        <v>450000</v>
      </c>
      <c r="AC140" s="196">
        <v>450000</v>
      </c>
      <c r="AD140" s="196">
        <v>450000</v>
      </c>
      <c r="AE140" s="196">
        <v>0</v>
      </c>
      <c r="AF140" s="196">
        <f>SUM(Tabela99[[#This Row], [jan/26]:[dez/26]])</f>
      </c>
      <c r="AG140" s="196">
        <v>0</v>
      </c>
      <c r="AH140" s="196">
        <v>0</v>
      </c>
      <c r="AI140" s="196">
        <v>0</v>
      </c>
      <c r="AJ140" s="196">
        <v>0</v>
      </c>
      <c r="AK140" s="196">
        <f>SUM(Tabela99[[#This Row], [2026]:[2030]])</f>
      </c>
      <c r="AL140" s="195">
        <v>0</v>
      </c>
      <c r="AM140" s="196">
        <v>0</v>
      </c>
      <c r="AN140" s="196">
        <v>0</v>
      </c>
      <c r="AO140" s="196">
        <v>0</v>
      </c>
      <c r="AP140" s="196">
        <v>0</v>
      </c>
      <c r="AQ140" s="197">
        <f>SUM(Tabela99[[#This Row], [2026-2030]:[2035]])</f>
      </c>
      <c r="AR140" s="1"/>
      <c r="AS140" s="13" t="s">
        <v>39461</v>
      </c>
      <c r="AT140" s="128" t="s">
        <v>39060</v>
      </c>
      <c r="AU140" s="13" t="s">
        <v>24181</v>
      </c>
      <c r="AV140" s="1"/>
      <c r="AW140" s="13" t="s">
        <v>39194</v>
      </c>
      <c r="AX140" s="2"/>
      <c r="AY140" s="2"/>
      <c r="AZ140" s="13" t="s">
        <v>39463</v>
      </c>
    </row>
    <row x14ac:dyDescent="0.25" r="141" customHeight="1" ht="24.75">
      <c r="A141" s="187"/>
      <c r="B141" s="188">
        <f>AND(ISTEXT('Consolidado-Eletronorte'!#REF!),SUM('Consolidado-Eletronorte'!#REF!)&gt;0)</f>
      </c>
      <c r="C141" s="189">
        <f>$J$3</f>
      </c>
      <c r="D141" s="189">
        <f>$H$3</f>
      </c>
      <c r="E141" s="189">
        <f>$H$4</f>
      </c>
      <c r="F141" s="190"/>
      <c r="G141" s="189">
        <f>_xlfn.CONCAT('Consolidado-Eletronorte'!#REF!,"_",ROW('Consolidado-Eletronorte'!#REF!)-ROW('Consolidado-Eletronorte'!$G$18))</f>
      </c>
      <c r="H141" s="186" t="s">
        <v>10</v>
      </c>
      <c r="I141" s="191" t="s">
        <v>85</v>
      </c>
      <c r="J141" s="191" t="s">
        <v>5</v>
      </c>
      <c r="K141" s="192" t="s">
        <v>26</v>
      </c>
      <c r="L141" s="191" t="s">
        <v>39641</v>
      </c>
      <c r="M141" s="191" t="s">
        <v>39672</v>
      </c>
      <c r="N141" s="191"/>
      <c r="O141" s="191"/>
      <c r="P141" s="191"/>
      <c r="Q141" s="193" t="s">
        <v>39781</v>
      </c>
      <c r="R141" s="193" t="s">
        <v>39681</v>
      </c>
      <c r="S141" s="191" t="s">
        <v>38384</v>
      </c>
      <c r="T141" s="194">
        <v>0</v>
      </c>
      <c r="U141" s="195">
        <v>0</v>
      </c>
      <c r="V141" s="195">
        <v>0</v>
      </c>
      <c r="W141" s="195">
        <v>0</v>
      </c>
      <c r="X141" s="194">
        <v>0</v>
      </c>
      <c r="Y141" s="194">
        <v>0</v>
      </c>
      <c r="Z141" s="196">
        <v>0</v>
      </c>
      <c r="AA141" s="196">
        <v>0</v>
      </c>
      <c r="AB141" s="196">
        <v>2000000</v>
      </c>
      <c r="AC141" s="196">
        <v>0</v>
      </c>
      <c r="AD141" s="196">
        <v>0</v>
      </c>
      <c r="AE141" s="196">
        <v>0</v>
      </c>
      <c r="AF141" s="196">
        <f>SUM(Tabela99[[#This Row], [jan/26]:[dez/26]])</f>
      </c>
      <c r="AG141" s="196">
        <v>0</v>
      </c>
      <c r="AH141" s="196">
        <v>0</v>
      </c>
      <c r="AI141" s="196">
        <v>0</v>
      </c>
      <c r="AJ141" s="196">
        <v>0</v>
      </c>
      <c r="AK141" s="196">
        <f>SUM(Tabela99[[#This Row], [2026]:[2030]])</f>
      </c>
      <c r="AL141" s="195">
        <v>0</v>
      </c>
      <c r="AM141" s="196">
        <v>0</v>
      </c>
      <c r="AN141" s="196">
        <v>0</v>
      </c>
      <c r="AO141" s="196">
        <v>0</v>
      </c>
      <c r="AP141" s="196">
        <v>0</v>
      </c>
      <c r="AQ141" s="197">
        <f>SUM(Tabela99[[#This Row], [2026-2030]:[2035]])</f>
      </c>
      <c r="AR141" s="1"/>
      <c r="AS141" s="13" t="s">
        <v>39674</v>
      </c>
      <c r="AT141" s="39">
        <v>2025</v>
      </c>
      <c r="AU141" s="13" t="s">
        <v>24181</v>
      </c>
      <c r="AV141" s="1"/>
      <c r="AW141" s="13" t="s">
        <v>39062</v>
      </c>
      <c r="AX141" s="2"/>
      <c r="AY141" s="2"/>
      <c r="AZ141" s="13" t="s">
        <v>39682</v>
      </c>
    </row>
    <row x14ac:dyDescent="0.25" r="142" customHeight="1" ht="24.75">
      <c r="A142" s="187"/>
      <c r="B142" s="188">
        <f>AND(ISTEXT('Consolidado-Eletronorte'!#REF!),SUM('Consolidado-Eletronorte'!#REF!)&gt;0)</f>
      </c>
      <c r="C142" s="189">
        <f>$J$3</f>
      </c>
      <c r="D142" s="189">
        <f>$H$3</f>
      </c>
      <c r="E142" s="189">
        <f>$H$4</f>
      </c>
      <c r="F142" s="190"/>
      <c r="G142" s="189">
        <f>_xlfn.CONCAT('Consolidado-Eletronorte'!#REF!,"_",ROW('Consolidado-Eletronorte'!#REF!)-ROW('Consolidado-Eletronorte'!$G$18))</f>
      </c>
      <c r="H142" s="186" t="s">
        <v>10</v>
      </c>
      <c r="I142" s="191" t="s">
        <v>85</v>
      </c>
      <c r="J142" s="191" t="s">
        <v>5</v>
      </c>
      <c r="K142" s="192" t="s">
        <v>26</v>
      </c>
      <c r="L142" s="191" t="s">
        <v>39641</v>
      </c>
      <c r="M142" s="191" t="s">
        <v>39782</v>
      </c>
      <c r="N142" s="191"/>
      <c r="O142" s="191"/>
      <c r="P142" s="191"/>
      <c r="Q142" s="193" t="s">
        <v>39783</v>
      </c>
      <c r="R142" s="193" t="s">
        <v>39784</v>
      </c>
      <c r="S142" s="191" t="s">
        <v>39631</v>
      </c>
      <c r="T142" s="194">
        <v>0</v>
      </c>
      <c r="U142" s="195">
        <v>0</v>
      </c>
      <c r="V142" s="195">
        <v>0</v>
      </c>
      <c r="W142" s="195">
        <v>0</v>
      </c>
      <c r="X142" s="194">
        <v>300000</v>
      </c>
      <c r="Y142" s="194">
        <v>300000</v>
      </c>
      <c r="Z142" s="196">
        <v>300000</v>
      </c>
      <c r="AA142" s="196">
        <v>300000</v>
      </c>
      <c r="AB142" s="196">
        <v>300000</v>
      </c>
      <c r="AC142" s="196">
        <v>0</v>
      </c>
      <c r="AD142" s="196">
        <v>0</v>
      </c>
      <c r="AE142" s="196">
        <v>0</v>
      </c>
      <c r="AF142" s="196">
        <f>SUM(Tabela99[[#This Row], [jan/26]:[dez/26]])</f>
      </c>
      <c r="AG142" s="196">
        <v>0</v>
      </c>
      <c r="AH142" s="196">
        <v>0</v>
      </c>
      <c r="AI142" s="196">
        <v>0</v>
      </c>
      <c r="AJ142" s="196">
        <v>0</v>
      </c>
      <c r="AK142" s="196">
        <f>SUM(Tabela99[[#This Row], [2026]:[2030]])</f>
      </c>
      <c r="AL142" s="195">
        <v>0</v>
      </c>
      <c r="AM142" s="196">
        <v>0</v>
      </c>
      <c r="AN142" s="196">
        <v>0</v>
      </c>
      <c r="AO142" s="196">
        <v>0</v>
      </c>
      <c r="AP142" s="196">
        <v>0</v>
      </c>
      <c r="AQ142" s="197">
        <f>SUM(Tabela99[[#This Row], [2026-2030]:[2035]])</f>
      </c>
      <c r="AR142" s="1"/>
      <c r="AS142" s="13" t="s">
        <v>39510</v>
      </c>
      <c r="AT142" s="128" t="s">
        <v>39060</v>
      </c>
      <c r="AU142" s="13" t="s">
        <v>24181</v>
      </c>
      <c r="AV142" s="1"/>
      <c r="AW142" s="13" t="s">
        <v>39194</v>
      </c>
      <c r="AX142" s="2"/>
      <c r="AY142" s="2"/>
      <c r="AZ142" s="13" t="s">
        <v>39633</v>
      </c>
    </row>
    <row x14ac:dyDescent="0.25" r="143" customHeight="1" ht="24.75">
      <c r="A143" s="187"/>
      <c r="B143" s="188">
        <f>AND(ISTEXT('Consolidado-Eletronorte'!#REF!),SUM('Consolidado-Eletronorte'!#REF!)&gt;0)</f>
      </c>
      <c r="C143" s="189">
        <f>$J$3</f>
      </c>
      <c r="D143" s="189">
        <f>$H$3</f>
      </c>
      <c r="E143" s="189">
        <f>$H$4</f>
      </c>
      <c r="F143" s="190"/>
      <c r="G143" s="189">
        <f>_xlfn.CONCAT('Consolidado-Eletronorte'!#REF!,"_",ROW('Consolidado-Eletronorte'!#REF!)-ROW('Consolidado-Eletronorte'!$G$18))</f>
      </c>
      <c r="H143" s="186" t="s">
        <v>10</v>
      </c>
      <c r="I143" s="191" t="s">
        <v>85</v>
      </c>
      <c r="J143" s="191" t="s">
        <v>5</v>
      </c>
      <c r="K143" s="192" t="s">
        <v>26</v>
      </c>
      <c r="L143" s="191" t="s">
        <v>39641</v>
      </c>
      <c r="M143" s="191" t="s">
        <v>39672</v>
      </c>
      <c r="N143" s="191"/>
      <c r="O143" s="191"/>
      <c r="P143" s="191"/>
      <c r="Q143" s="193" t="s">
        <v>39785</v>
      </c>
      <c r="R143" s="193" t="s">
        <v>39786</v>
      </c>
      <c r="S143" s="191" t="s">
        <v>38392</v>
      </c>
      <c r="T143" s="194">
        <v>0</v>
      </c>
      <c r="U143" s="195">
        <v>0</v>
      </c>
      <c r="V143" s="195">
        <v>0</v>
      </c>
      <c r="W143" s="195">
        <v>0</v>
      </c>
      <c r="X143" s="194">
        <v>0</v>
      </c>
      <c r="Y143" s="194">
        <v>300000</v>
      </c>
      <c r="Z143" s="196">
        <v>300000</v>
      </c>
      <c r="AA143" s="196">
        <v>300000</v>
      </c>
      <c r="AB143" s="196">
        <v>300000</v>
      </c>
      <c r="AC143" s="196">
        <v>300000</v>
      </c>
      <c r="AD143" s="196">
        <v>0</v>
      </c>
      <c r="AE143" s="196">
        <v>0</v>
      </c>
      <c r="AF143" s="196">
        <f>SUM(Tabela99[[#This Row], [jan/26]:[dez/26]])</f>
      </c>
      <c r="AG143" s="196">
        <v>0</v>
      </c>
      <c r="AH143" s="196">
        <v>0</v>
      </c>
      <c r="AI143" s="196">
        <v>0</v>
      </c>
      <c r="AJ143" s="196">
        <v>0</v>
      </c>
      <c r="AK143" s="196">
        <f>SUM(Tabela99[[#This Row], [2026]:[2030]])</f>
      </c>
      <c r="AL143" s="195">
        <v>0</v>
      </c>
      <c r="AM143" s="196">
        <v>0</v>
      </c>
      <c r="AN143" s="196">
        <v>0</v>
      </c>
      <c r="AO143" s="196">
        <v>0</v>
      </c>
      <c r="AP143" s="196">
        <v>0</v>
      </c>
      <c r="AQ143" s="197">
        <f>SUM(Tabela99[[#This Row], [2026-2030]:[2035]])</f>
      </c>
      <c r="AR143" s="1"/>
      <c r="AS143" s="13" t="s">
        <v>39674</v>
      </c>
      <c r="AT143" s="39">
        <v>2025</v>
      </c>
      <c r="AU143" s="13" t="s">
        <v>24181</v>
      </c>
      <c r="AV143" s="1"/>
      <c r="AW143" s="13" t="s">
        <v>39194</v>
      </c>
      <c r="AX143" s="2"/>
      <c r="AY143" s="2"/>
      <c r="AZ143" s="13" t="s">
        <v>39675</v>
      </c>
    </row>
    <row x14ac:dyDescent="0.25" r="144" customHeight="1" ht="24.75">
      <c r="A144" s="187"/>
      <c r="B144" s="188">
        <f>AND(ISTEXT('Consolidado-Eletronorte'!#REF!),SUM('Consolidado-Eletronorte'!#REF!)&gt;0)</f>
      </c>
      <c r="C144" s="189">
        <f>$J$3</f>
      </c>
      <c r="D144" s="189">
        <f>$H$3</f>
      </c>
      <c r="E144" s="189">
        <f>$H$4</f>
      </c>
      <c r="F144" s="190"/>
      <c r="G144" s="189">
        <f>_xlfn.CONCAT('Consolidado-Eletronorte'!#REF!,"_",ROW('Consolidado-Eletronorte'!#REF!)-ROW('Consolidado-Eletronorte'!$G$18))</f>
      </c>
      <c r="H144" s="186" t="s">
        <v>10</v>
      </c>
      <c r="I144" s="191" t="s">
        <v>85</v>
      </c>
      <c r="J144" s="191" t="s">
        <v>5</v>
      </c>
      <c r="K144" s="192" t="s">
        <v>39449</v>
      </c>
      <c r="L144" s="191" t="s">
        <v>39456</v>
      </c>
      <c r="M144" s="191" t="s">
        <v>39652</v>
      </c>
      <c r="N144" s="191"/>
      <c r="O144" s="191"/>
      <c r="P144" s="191"/>
      <c r="Q144" s="193" t="s">
        <v>39787</v>
      </c>
      <c r="R144" s="193" t="s">
        <v>39788</v>
      </c>
      <c r="S144" s="191" t="s">
        <v>39655</v>
      </c>
      <c r="T144" s="194">
        <v>0</v>
      </c>
      <c r="U144" s="195">
        <v>140000</v>
      </c>
      <c r="V144" s="195">
        <v>140000</v>
      </c>
      <c r="W144" s="195">
        <v>140000</v>
      </c>
      <c r="X144" s="194">
        <v>140000</v>
      </c>
      <c r="Y144" s="194">
        <v>140000</v>
      </c>
      <c r="Z144" s="196">
        <v>140000</v>
      </c>
      <c r="AA144" s="196">
        <v>140000</v>
      </c>
      <c r="AB144" s="196">
        <v>140000</v>
      </c>
      <c r="AC144" s="196">
        <v>140000</v>
      </c>
      <c r="AD144" s="196">
        <v>140000</v>
      </c>
      <c r="AE144" s="196">
        <v>0</v>
      </c>
      <c r="AF144" s="196">
        <f>SUM(Tabela99[[#This Row], [jan/26]:[dez/26]])</f>
      </c>
      <c r="AG144" s="196">
        <v>0</v>
      </c>
      <c r="AH144" s="196">
        <v>0</v>
      </c>
      <c r="AI144" s="196">
        <v>0</v>
      </c>
      <c r="AJ144" s="196">
        <v>0</v>
      </c>
      <c r="AK144" s="196">
        <f>SUM(Tabela99[[#This Row], [2026]:[2030]])</f>
      </c>
      <c r="AL144" s="195">
        <v>0</v>
      </c>
      <c r="AM144" s="196">
        <v>0</v>
      </c>
      <c r="AN144" s="196">
        <v>0</v>
      </c>
      <c r="AO144" s="196">
        <v>0</v>
      </c>
      <c r="AP144" s="196">
        <v>0</v>
      </c>
      <c r="AQ144" s="197">
        <f>SUM(Tabela99[[#This Row], [2026-2030]:[2035]])</f>
      </c>
      <c r="AR144" s="1"/>
      <c r="AS144" s="13" t="s">
        <v>39656</v>
      </c>
      <c r="AT144" s="128" t="s">
        <v>39060</v>
      </c>
      <c r="AU144" s="13" t="s">
        <v>24181</v>
      </c>
      <c r="AV144" s="1"/>
      <c r="AW144" s="13" t="s">
        <v>39194</v>
      </c>
      <c r="AX144" s="2"/>
      <c r="AY144" s="2"/>
      <c r="AZ144" s="13" t="s">
        <v>39658</v>
      </c>
    </row>
    <row x14ac:dyDescent="0.25" r="145" customHeight="1" ht="24.75">
      <c r="A145" s="187"/>
      <c r="B145" s="188">
        <f>AND(ISTEXT('Consolidado-Eletronorte'!#REF!),SUM('Consolidado-Eletronorte'!#REF!)&gt;0)</f>
      </c>
      <c r="C145" s="189">
        <f>$J$3</f>
      </c>
      <c r="D145" s="189">
        <f>$H$3</f>
      </c>
      <c r="E145" s="189">
        <f>$H$4</f>
      </c>
      <c r="F145" s="190"/>
      <c r="G145" s="189">
        <f>_xlfn.CONCAT('Consolidado-Eletronorte'!#REF!,"_",ROW('Consolidado-Eletronorte'!#REF!)-ROW('Consolidado-Eletronorte'!$G$18))</f>
      </c>
      <c r="H145" s="186" t="s">
        <v>10</v>
      </c>
      <c r="I145" s="191" t="s">
        <v>85</v>
      </c>
      <c r="J145" s="191" t="s">
        <v>5</v>
      </c>
      <c r="K145" s="192" t="s">
        <v>39449</v>
      </c>
      <c r="L145" s="191" t="s">
        <v>39456</v>
      </c>
      <c r="M145" s="191" t="s">
        <v>39715</v>
      </c>
      <c r="N145" s="191"/>
      <c r="O145" s="191"/>
      <c r="P145" s="191"/>
      <c r="Q145" s="193" t="s">
        <v>39789</v>
      </c>
      <c r="R145" s="193" t="s">
        <v>39789</v>
      </c>
      <c r="S145" s="191" t="s">
        <v>39718</v>
      </c>
      <c r="T145" s="194">
        <v>0</v>
      </c>
      <c r="U145" s="195">
        <v>0</v>
      </c>
      <c r="V145" s="195">
        <v>0</v>
      </c>
      <c r="W145" s="195">
        <v>250000</v>
      </c>
      <c r="X145" s="194">
        <v>250000</v>
      </c>
      <c r="Y145" s="194">
        <v>250000</v>
      </c>
      <c r="Z145" s="196">
        <v>250000</v>
      </c>
      <c r="AA145" s="196">
        <v>100000</v>
      </c>
      <c r="AB145" s="196">
        <v>0</v>
      </c>
      <c r="AC145" s="196">
        <v>0</v>
      </c>
      <c r="AD145" s="196">
        <v>0</v>
      </c>
      <c r="AE145" s="196">
        <v>0</v>
      </c>
      <c r="AF145" s="196">
        <f>SUM(Tabela99[[#This Row], [jan/26]:[dez/26]])</f>
      </c>
      <c r="AG145" s="196">
        <v>0</v>
      </c>
      <c r="AH145" s="196">
        <v>0</v>
      </c>
      <c r="AI145" s="196">
        <v>0</v>
      </c>
      <c r="AJ145" s="196">
        <v>0</v>
      </c>
      <c r="AK145" s="196">
        <f>SUM(Tabela99[[#This Row], [2026]:[2030]])</f>
      </c>
      <c r="AL145" s="195">
        <v>0</v>
      </c>
      <c r="AM145" s="196">
        <v>0</v>
      </c>
      <c r="AN145" s="196">
        <v>0</v>
      </c>
      <c r="AO145" s="196">
        <v>0</v>
      </c>
      <c r="AP145" s="196">
        <v>0</v>
      </c>
      <c r="AQ145" s="197">
        <f>SUM(Tabela99[[#This Row], [2026-2030]:[2035]])</f>
      </c>
      <c r="AR145" s="1"/>
      <c r="AS145" s="13" t="s">
        <v>39510</v>
      </c>
      <c r="AT145" s="39">
        <v>2025</v>
      </c>
      <c r="AU145" s="13" t="s">
        <v>24181</v>
      </c>
      <c r="AV145" s="1"/>
      <c r="AW145" s="13" t="s">
        <v>39194</v>
      </c>
      <c r="AX145" s="2"/>
      <c r="AY145" s="2"/>
      <c r="AZ145" s="13" t="s">
        <v>39719</v>
      </c>
    </row>
    <row x14ac:dyDescent="0.25" r="146" customHeight="1" ht="24.75">
      <c r="A146" s="187"/>
      <c r="B146" s="188">
        <f>AND(ISTEXT('Consolidado-Eletronorte'!#REF!),SUM('Consolidado-Eletronorte'!#REF!)&gt;0)</f>
      </c>
      <c r="C146" s="189">
        <f>$J$3</f>
      </c>
      <c r="D146" s="189">
        <f>$H$3</f>
      </c>
      <c r="E146" s="189">
        <f>$H$4</f>
      </c>
      <c r="F146" s="190"/>
      <c r="G146" s="189">
        <f>_xlfn.CONCAT('Consolidado-Eletronorte'!#REF!,"_",ROW('Consolidado-Eletronorte'!#REF!)-ROW('Consolidado-Eletronorte'!$G$18))</f>
      </c>
      <c r="H146" s="186" t="s">
        <v>10</v>
      </c>
      <c r="I146" s="191" t="s">
        <v>85</v>
      </c>
      <c r="J146" s="191" t="s">
        <v>5</v>
      </c>
      <c r="K146" s="192" t="s">
        <v>26</v>
      </c>
      <c r="L146" s="191" t="s">
        <v>39641</v>
      </c>
      <c r="M146" s="191" t="s">
        <v>39669</v>
      </c>
      <c r="N146" s="191"/>
      <c r="O146" s="191"/>
      <c r="P146" s="191"/>
      <c r="Q146" s="193" t="s">
        <v>39790</v>
      </c>
      <c r="R146" s="193" t="s">
        <v>39780</v>
      </c>
      <c r="S146" s="191" t="s">
        <v>39671</v>
      </c>
      <c r="T146" s="194">
        <v>0</v>
      </c>
      <c r="U146" s="195">
        <v>0</v>
      </c>
      <c r="V146" s="195">
        <v>0</v>
      </c>
      <c r="W146" s="195">
        <v>0</v>
      </c>
      <c r="X146" s="194">
        <v>0</v>
      </c>
      <c r="Y146" s="194">
        <v>0</v>
      </c>
      <c r="Z146" s="196">
        <v>200000</v>
      </c>
      <c r="AA146" s="196">
        <v>200000</v>
      </c>
      <c r="AB146" s="196">
        <v>200000</v>
      </c>
      <c r="AC146" s="196">
        <v>200000</v>
      </c>
      <c r="AD146" s="196">
        <v>200000</v>
      </c>
      <c r="AE146" s="196">
        <v>0</v>
      </c>
      <c r="AF146" s="196">
        <f>SUM(Tabela99[[#This Row], [jan/26]:[dez/26]])</f>
      </c>
      <c r="AG146" s="196">
        <v>0</v>
      </c>
      <c r="AH146" s="196">
        <v>0</v>
      </c>
      <c r="AI146" s="196">
        <v>0</v>
      </c>
      <c r="AJ146" s="196">
        <v>0</v>
      </c>
      <c r="AK146" s="196">
        <f>SUM(Tabela99[[#This Row], [2026]:[2030]])</f>
      </c>
      <c r="AL146" s="195">
        <v>0</v>
      </c>
      <c r="AM146" s="196">
        <v>0</v>
      </c>
      <c r="AN146" s="196">
        <v>0</v>
      </c>
      <c r="AO146" s="196">
        <v>0</v>
      </c>
      <c r="AP146" s="196">
        <v>0</v>
      </c>
      <c r="AQ146" s="197">
        <f>SUM(Tabela99[[#This Row], [2026-2030]:[2035]])</f>
      </c>
      <c r="AR146" s="1"/>
      <c r="AS146" s="13" t="s">
        <v>39461</v>
      </c>
      <c r="AT146" s="128" t="s">
        <v>39060</v>
      </c>
      <c r="AU146" s="13" t="s">
        <v>24181</v>
      </c>
      <c r="AV146" s="1"/>
      <c r="AW146" s="13" t="s">
        <v>39194</v>
      </c>
      <c r="AX146" s="2"/>
      <c r="AY146" s="2"/>
      <c r="AZ146" s="13" t="s">
        <v>39463</v>
      </c>
    </row>
    <row x14ac:dyDescent="0.25" r="147" customHeight="1" ht="24.75">
      <c r="A147" s="187"/>
      <c r="B147" s="188">
        <f>AND(ISTEXT('Consolidado-Eletronorte'!#REF!),SUM('Consolidado-Eletronorte'!#REF!)&gt;0)</f>
      </c>
      <c r="C147" s="189">
        <f>$J$3</f>
      </c>
      <c r="D147" s="189">
        <f>$H$3</f>
      </c>
      <c r="E147" s="189">
        <f>$H$4</f>
      </c>
      <c r="F147" s="190"/>
      <c r="G147" s="189">
        <f>_xlfn.CONCAT('Consolidado-Eletronorte'!#REF!,"_",ROW('Consolidado-Eletronorte'!#REF!)-ROW('Consolidado-Eletronorte'!$G$18))</f>
      </c>
      <c r="H147" s="186" t="s">
        <v>10</v>
      </c>
      <c r="I147" s="191" t="s">
        <v>85</v>
      </c>
      <c r="J147" s="191" t="s">
        <v>5</v>
      </c>
      <c r="K147" s="192" t="s">
        <v>26</v>
      </c>
      <c r="L147" s="191" t="s">
        <v>39641</v>
      </c>
      <c r="M147" s="191" t="s">
        <v>39791</v>
      </c>
      <c r="N147" s="191"/>
      <c r="O147" s="191"/>
      <c r="P147" s="191"/>
      <c r="Q147" s="193" t="s">
        <v>39792</v>
      </c>
      <c r="R147" s="193" t="s">
        <v>39793</v>
      </c>
      <c r="S147" s="191" t="s">
        <v>39452</v>
      </c>
      <c r="T147" s="194">
        <v>0</v>
      </c>
      <c r="U147" s="195">
        <v>0</v>
      </c>
      <c r="V147" s="195">
        <v>0</v>
      </c>
      <c r="W147" s="195">
        <v>0</v>
      </c>
      <c r="X147" s="194">
        <v>215000</v>
      </c>
      <c r="Y147" s="194">
        <v>215000</v>
      </c>
      <c r="Z147" s="196">
        <v>215000</v>
      </c>
      <c r="AA147" s="196">
        <v>215000</v>
      </c>
      <c r="AB147" s="196">
        <v>0</v>
      </c>
      <c r="AC147" s="196">
        <v>0</v>
      </c>
      <c r="AD147" s="196">
        <v>0</v>
      </c>
      <c r="AE147" s="196">
        <v>0</v>
      </c>
      <c r="AF147" s="196">
        <f>SUM(Tabela99[[#This Row], [jan/26]:[dez/26]])</f>
      </c>
      <c r="AG147" s="196">
        <v>0</v>
      </c>
      <c r="AH147" s="196">
        <v>0</v>
      </c>
      <c r="AI147" s="196">
        <v>0</v>
      </c>
      <c r="AJ147" s="196">
        <v>0</v>
      </c>
      <c r="AK147" s="196">
        <f>SUM(Tabela99[[#This Row], [2026]:[2030]])</f>
      </c>
      <c r="AL147" s="195">
        <v>0</v>
      </c>
      <c r="AM147" s="196">
        <v>0</v>
      </c>
      <c r="AN147" s="196">
        <v>0</v>
      </c>
      <c r="AO147" s="196">
        <v>0</v>
      </c>
      <c r="AP147" s="196">
        <v>0</v>
      </c>
      <c r="AQ147" s="197">
        <f>SUM(Tabela99[[#This Row], [2026-2030]:[2035]])</f>
      </c>
      <c r="AR147" s="1"/>
      <c r="AS147" s="13" t="s">
        <v>39674</v>
      </c>
      <c r="AT147" s="39">
        <v>2025</v>
      </c>
      <c r="AU147" s="13" t="s">
        <v>24181</v>
      </c>
      <c r="AV147" s="1"/>
      <c r="AW147" s="13" t="s">
        <v>39194</v>
      </c>
      <c r="AX147" s="2"/>
      <c r="AY147" s="2"/>
      <c r="AZ147" s="13" t="s">
        <v>39695</v>
      </c>
    </row>
    <row x14ac:dyDescent="0.25" r="148" customHeight="1" ht="24.75">
      <c r="A148" s="187"/>
      <c r="B148" s="188">
        <f>AND(ISTEXT('Consolidado-Eletronorte'!#REF!),SUM('Consolidado-Eletronorte'!#REF!)&gt;0)</f>
      </c>
      <c r="C148" s="189">
        <f>$J$3</f>
      </c>
      <c r="D148" s="189">
        <f>$H$3</f>
      </c>
      <c r="E148" s="189">
        <f>$H$4</f>
      </c>
      <c r="F148" s="190"/>
      <c r="G148" s="189">
        <f>_xlfn.CONCAT('Consolidado-Eletronorte'!#REF!,"_",ROW('Consolidado-Eletronorte'!#REF!)-ROW('Consolidado-Eletronorte'!$G$18))</f>
      </c>
      <c r="H148" s="186" t="s">
        <v>10</v>
      </c>
      <c r="I148" s="191" t="s">
        <v>85</v>
      </c>
      <c r="J148" s="191" t="s">
        <v>5</v>
      </c>
      <c r="K148" s="192" t="s">
        <v>39449</v>
      </c>
      <c r="L148" s="191" t="s">
        <v>39456</v>
      </c>
      <c r="M148" s="191" t="s">
        <v>39476</v>
      </c>
      <c r="N148" s="191"/>
      <c r="O148" s="191"/>
      <c r="P148" s="191"/>
      <c r="Q148" s="193" t="s">
        <v>39794</v>
      </c>
      <c r="R148" s="193" t="s">
        <v>39740</v>
      </c>
      <c r="S148" s="191" t="s">
        <v>39479</v>
      </c>
      <c r="T148" s="194">
        <v>0</v>
      </c>
      <c r="U148" s="195">
        <v>0</v>
      </c>
      <c r="V148" s="195">
        <v>0</v>
      </c>
      <c r="W148" s="195">
        <v>0</v>
      </c>
      <c r="X148" s="194">
        <v>0</v>
      </c>
      <c r="Y148" s="194">
        <v>800000</v>
      </c>
      <c r="Z148" s="196">
        <v>0</v>
      </c>
      <c r="AA148" s="196">
        <v>0</v>
      </c>
      <c r="AB148" s="196">
        <v>0</v>
      </c>
      <c r="AC148" s="196">
        <v>0</v>
      </c>
      <c r="AD148" s="196">
        <v>0</v>
      </c>
      <c r="AE148" s="196">
        <v>0</v>
      </c>
      <c r="AF148" s="196">
        <f>SUM(Tabela99[[#This Row], [jan/26]:[dez/26]])</f>
      </c>
      <c r="AG148" s="196">
        <v>0</v>
      </c>
      <c r="AH148" s="196">
        <v>0</v>
      </c>
      <c r="AI148" s="196">
        <v>0</v>
      </c>
      <c r="AJ148" s="196">
        <v>0</v>
      </c>
      <c r="AK148" s="196">
        <f>SUM(Tabela99[[#This Row], [2026]:[2030]])</f>
      </c>
      <c r="AL148" s="195">
        <v>0</v>
      </c>
      <c r="AM148" s="196">
        <v>0</v>
      </c>
      <c r="AN148" s="196">
        <v>0</v>
      </c>
      <c r="AO148" s="196">
        <v>0</v>
      </c>
      <c r="AP148" s="196">
        <v>0</v>
      </c>
      <c r="AQ148" s="197">
        <f>SUM(Tabela99[[#This Row], [2026-2030]:[2035]])</f>
      </c>
      <c r="AR148" s="1"/>
      <c r="AS148" s="13" t="s">
        <v>39480</v>
      </c>
      <c r="AT148" s="128" t="s">
        <v>39060</v>
      </c>
      <c r="AU148" s="13" t="s">
        <v>24181</v>
      </c>
      <c r="AV148" s="1"/>
      <c r="AW148" s="13" t="s">
        <v>39194</v>
      </c>
      <c r="AX148" s="2"/>
      <c r="AY148" s="2"/>
      <c r="AZ148" s="13" t="s">
        <v>39481</v>
      </c>
    </row>
    <row x14ac:dyDescent="0.25" r="149" customHeight="1" ht="24.75">
      <c r="A149" s="187"/>
      <c r="B149" s="188">
        <f>AND(ISTEXT('Consolidado-Eletronorte'!#REF!),SUM('Consolidado-Eletronorte'!#REF!)&gt;0)</f>
      </c>
      <c r="C149" s="189">
        <f>$J$3</f>
      </c>
      <c r="D149" s="189">
        <f>$H$3</f>
      </c>
      <c r="E149" s="189">
        <f>$H$4</f>
      </c>
      <c r="F149" s="190"/>
      <c r="G149" s="189">
        <f>_xlfn.CONCAT('Consolidado-Eletronorte'!#REF!,"_",ROW('Consolidado-Eletronorte'!#REF!)-ROW('Consolidado-Eletronorte'!$G$18))</f>
      </c>
      <c r="H149" s="186" t="s">
        <v>10</v>
      </c>
      <c r="I149" s="191" t="s">
        <v>85</v>
      </c>
      <c r="J149" s="191" t="s">
        <v>5</v>
      </c>
      <c r="K149" s="192" t="s">
        <v>39449</v>
      </c>
      <c r="L149" s="191" t="s">
        <v>39456</v>
      </c>
      <c r="M149" s="191" t="s">
        <v>39476</v>
      </c>
      <c r="N149" s="191"/>
      <c r="O149" s="191"/>
      <c r="P149" s="191"/>
      <c r="Q149" s="193" t="s">
        <v>39795</v>
      </c>
      <c r="R149" s="193" t="s">
        <v>39740</v>
      </c>
      <c r="S149" s="191" t="s">
        <v>39479</v>
      </c>
      <c r="T149" s="194">
        <v>0</v>
      </c>
      <c r="U149" s="195">
        <v>0</v>
      </c>
      <c r="V149" s="195">
        <v>0</v>
      </c>
      <c r="W149" s="195">
        <v>0</v>
      </c>
      <c r="X149" s="194">
        <v>0</v>
      </c>
      <c r="Y149" s="194">
        <v>0</v>
      </c>
      <c r="Z149" s="196">
        <v>744000</v>
      </c>
      <c r="AA149" s="196">
        <v>0</v>
      </c>
      <c r="AB149" s="196">
        <v>0</v>
      </c>
      <c r="AC149" s="196">
        <v>0</v>
      </c>
      <c r="AD149" s="196">
        <v>0</v>
      </c>
      <c r="AE149" s="196">
        <v>0</v>
      </c>
      <c r="AF149" s="196">
        <f>SUM(Tabela99[[#This Row], [jan/26]:[dez/26]])</f>
      </c>
      <c r="AG149" s="196">
        <v>0</v>
      </c>
      <c r="AH149" s="196">
        <v>0</v>
      </c>
      <c r="AI149" s="196">
        <v>0</v>
      </c>
      <c r="AJ149" s="196">
        <v>0</v>
      </c>
      <c r="AK149" s="196">
        <f>SUM(Tabela99[[#This Row], [2026]:[2030]])</f>
      </c>
      <c r="AL149" s="195">
        <v>0</v>
      </c>
      <c r="AM149" s="196">
        <v>0</v>
      </c>
      <c r="AN149" s="196">
        <v>0</v>
      </c>
      <c r="AO149" s="196">
        <v>0</v>
      </c>
      <c r="AP149" s="196">
        <v>0</v>
      </c>
      <c r="AQ149" s="197">
        <f>SUM(Tabela99[[#This Row], [2026-2030]:[2035]])</f>
      </c>
      <c r="AR149" s="1"/>
      <c r="AS149" s="13" t="s">
        <v>39480</v>
      </c>
      <c r="AT149" s="128" t="s">
        <v>39060</v>
      </c>
      <c r="AU149" s="13" t="s">
        <v>24181</v>
      </c>
      <c r="AV149" s="1"/>
      <c r="AW149" s="13" t="s">
        <v>39194</v>
      </c>
      <c r="AX149" s="2"/>
      <c r="AY149" s="2"/>
      <c r="AZ149" s="13" t="s">
        <v>39481</v>
      </c>
    </row>
    <row x14ac:dyDescent="0.25" r="150" customHeight="1" ht="24.75">
      <c r="A150" s="187"/>
      <c r="B150" s="188">
        <f>AND(ISTEXT('Consolidado-Eletronorte'!#REF!),SUM('Consolidado-Eletronorte'!#REF!)&gt;0)</f>
      </c>
      <c r="C150" s="189">
        <f>$J$3</f>
      </c>
      <c r="D150" s="189">
        <f>$H$3</f>
      </c>
      <c r="E150" s="189">
        <f>$H$4</f>
      </c>
      <c r="F150" s="190"/>
      <c r="G150" s="189">
        <f>_xlfn.CONCAT('Consolidado-Eletronorte'!#REF!,"_",ROW('Consolidado-Eletronorte'!#REF!)-ROW('Consolidado-Eletronorte'!$G$18))</f>
      </c>
      <c r="H150" s="186" t="s">
        <v>10</v>
      </c>
      <c r="I150" s="191" t="s">
        <v>85</v>
      </c>
      <c r="J150" s="191" t="s">
        <v>5</v>
      </c>
      <c r="K150" s="192" t="s">
        <v>39449</v>
      </c>
      <c r="L150" s="191" t="s">
        <v>39456</v>
      </c>
      <c r="M150" s="191" t="s">
        <v>39507</v>
      </c>
      <c r="N150" s="191"/>
      <c r="O150" s="191"/>
      <c r="P150" s="191"/>
      <c r="Q150" s="193" t="s">
        <v>39753</v>
      </c>
      <c r="R150" s="193" t="s">
        <v>39796</v>
      </c>
      <c r="S150" s="191" t="s">
        <v>39509</v>
      </c>
      <c r="T150" s="194">
        <v>0</v>
      </c>
      <c r="U150" s="195">
        <v>0</v>
      </c>
      <c r="V150" s="195">
        <v>0</v>
      </c>
      <c r="W150" s="195">
        <v>0</v>
      </c>
      <c r="X150" s="194">
        <v>0</v>
      </c>
      <c r="Y150" s="194">
        <v>0</v>
      </c>
      <c r="Z150" s="196">
        <v>0</v>
      </c>
      <c r="AA150" s="196">
        <v>0</v>
      </c>
      <c r="AB150" s="196">
        <v>700000</v>
      </c>
      <c r="AC150" s="196">
        <v>0</v>
      </c>
      <c r="AD150" s="196">
        <v>0</v>
      </c>
      <c r="AE150" s="196">
        <v>0</v>
      </c>
      <c r="AF150" s="196">
        <f>SUM(Tabela99[[#This Row], [jan/26]:[dez/26]])</f>
      </c>
      <c r="AG150" s="196">
        <v>0</v>
      </c>
      <c r="AH150" s="196">
        <v>0</v>
      </c>
      <c r="AI150" s="196">
        <v>0</v>
      </c>
      <c r="AJ150" s="196">
        <v>0</v>
      </c>
      <c r="AK150" s="196">
        <f>SUM(Tabela99[[#This Row], [2026]:[2030]])</f>
      </c>
      <c r="AL150" s="195">
        <v>0</v>
      </c>
      <c r="AM150" s="196">
        <v>0</v>
      </c>
      <c r="AN150" s="196">
        <v>0</v>
      </c>
      <c r="AO150" s="196">
        <v>0</v>
      </c>
      <c r="AP150" s="196">
        <v>0</v>
      </c>
      <c r="AQ150" s="197">
        <f>SUM(Tabela99[[#This Row], [2026-2030]:[2035]])</f>
      </c>
      <c r="AR150" s="1"/>
      <c r="AS150" s="13" t="s">
        <v>39510</v>
      </c>
      <c r="AT150" s="128" t="s">
        <v>39060</v>
      </c>
      <c r="AU150" s="13" t="s">
        <v>24181</v>
      </c>
      <c r="AV150" s="1"/>
      <c r="AW150" s="13" t="s">
        <v>39194</v>
      </c>
      <c r="AX150" s="2"/>
      <c r="AY150" s="2"/>
      <c r="AZ150" s="13" t="s">
        <v>39511</v>
      </c>
    </row>
    <row x14ac:dyDescent="0.25" r="151" customHeight="1" ht="24.75">
      <c r="A151" s="187"/>
      <c r="B151" s="188">
        <f>AND(ISTEXT('Consolidado-Eletronorte'!#REF!),SUM('Consolidado-Eletronorte'!#REF!)&gt;0)</f>
      </c>
      <c r="C151" s="189">
        <f>$J$3</f>
      </c>
      <c r="D151" s="189">
        <f>$H$3</f>
      </c>
      <c r="E151" s="189">
        <f>$H$4</f>
      </c>
      <c r="F151" s="190"/>
      <c r="G151" s="189">
        <f>_xlfn.CONCAT('Consolidado-Eletronorte'!#REF!,"_",ROW('Consolidado-Eletronorte'!#REF!)-ROW('Consolidado-Eletronorte'!$G$18))</f>
      </c>
      <c r="H151" s="186" t="s">
        <v>10</v>
      </c>
      <c r="I151" s="191" t="s">
        <v>85</v>
      </c>
      <c r="J151" s="191" t="s">
        <v>5</v>
      </c>
      <c r="K151" s="192" t="s">
        <v>26</v>
      </c>
      <c r="L151" s="191" t="s">
        <v>39641</v>
      </c>
      <c r="M151" s="191" t="s">
        <v>39672</v>
      </c>
      <c r="N151" s="191"/>
      <c r="O151" s="191"/>
      <c r="P151" s="191"/>
      <c r="Q151" s="193" t="s">
        <v>39797</v>
      </c>
      <c r="R151" s="193" t="s">
        <v>39798</v>
      </c>
      <c r="S151" s="191" t="s">
        <v>39689</v>
      </c>
      <c r="T151" s="194">
        <v>0</v>
      </c>
      <c r="U151" s="195">
        <v>0</v>
      </c>
      <c r="V151" s="195">
        <v>0</v>
      </c>
      <c r="W151" s="195">
        <v>0</v>
      </c>
      <c r="X151" s="194">
        <v>700000</v>
      </c>
      <c r="Y151" s="194">
        <v>0</v>
      </c>
      <c r="Z151" s="196">
        <v>0</v>
      </c>
      <c r="AA151" s="196">
        <v>0</v>
      </c>
      <c r="AB151" s="196">
        <v>0</v>
      </c>
      <c r="AC151" s="196">
        <v>0</v>
      </c>
      <c r="AD151" s="196">
        <v>0</v>
      </c>
      <c r="AE151" s="196">
        <v>0</v>
      </c>
      <c r="AF151" s="196">
        <f>SUM(Tabela99[[#This Row], [jan/26]:[dez/26]])</f>
      </c>
      <c r="AG151" s="196">
        <v>0</v>
      </c>
      <c r="AH151" s="196">
        <v>0</v>
      </c>
      <c r="AI151" s="196">
        <v>0</v>
      </c>
      <c r="AJ151" s="196">
        <v>0</v>
      </c>
      <c r="AK151" s="196">
        <f>SUM(Tabela99[[#This Row], [2026]:[2030]])</f>
      </c>
      <c r="AL151" s="195">
        <v>0</v>
      </c>
      <c r="AM151" s="196">
        <v>0</v>
      </c>
      <c r="AN151" s="196">
        <v>0</v>
      </c>
      <c r="AO151" s="196">
        <v>0</v>
      </c>
      <c r="AP151" s="196">
        <v>0</v>
      </c>
      <c r="AQ151" s="197">
        <f>SUM(Tabela99[[#This Row], [2026-2030]:[2035]])</f>
      </c>
      <c r="AR151" s="1"/>
      <c r="AS151" s="13" t="s">
        <v>39674</v>
      </c>
      <c r="AT151" s="128" t="s">
        <v>39060</v>
      </c>
      <c r="AU151" s="13" t="s">
        <v>24181</v>
      </c>
      <c r="AV151" s="1"/>
      <c r="AW151" s="13" t="s">
        <v>39062</v>
      </c>
      <c r="AX151" s="2"/>
      <c r="AY151" s="2"/>
      <c r="AZ151" s="13" t="s">
        <v>39709</v>
      </c>
    </row>
    <row x14ac:dyDescent="0.25" r="152" customHeight="1" ht="24.75">
      <c r="A152" s="187"/>
      <c r="B152" s="188">
        <f>AND(ISTEXT('Consolidado-Eletronorte'!#REF!),SUM('Consolidado-Eletronorte'!#REF!)&gt;0)</f>
      </c>
      <c r="C152" s="189">
        <f>$J$3</f>
      </c>
      <c r="D152" s="189">
        <f>$H$3</f>
      </c>
      <c r="E152" s="189">
        <f>$H$4</f>
      </c>
      <c r="F152" s="190"/>
      <c r="G152" s="189">
        <f>_xlfn.CONCAT('Consolidado-Eletronorte'!#REF!,"_",ROW('Consolidado-Eletronorte'!#REF!)-ROW('Consolidado-Eletronorte'!$G$18))</f>
      </c>
      <c r="H152" s="186" t="s">
        <v>10</v>
      </c>
      <c r="I152" s="191" t="s">
        <v>85</v>
      </c>
      <c r="J152" s="191" t="s">
        <v>5</v>
      </c>
      <c r="K152" s="192" t="s">
        <v>39449</v>
      </c>
      <c r="L152" s="191" t="s">
        <v>39456</v>
      </c>
      <c r="M152" s="191" t="s">
        <v>39595</v>
      </c>
      <c r="N152" s="191"/>
      <c r="O152" s="191"/>
      <c r="P152" s="191"/>
      <c r="Q152" s="193" t="s">
        <v>39799</v>
      </c>
      <c r="R152" s="193" t="s">
        <v>39800</v>
      </c>
      <c r="S152" s="191" t="s">
        <v>39598</v>
      </c>
      <c r="T152" s="194">
        <v>0</v>
      </c>
      <c r="U152" s="195">
        <v>0</v>
      </c>
      <c r="V152" s="195">
        <v>0</v>
      </c>
      <c r="W152" s="195">
        <v>0</v>
      </c>
      <c r="X152" s="194">
        <v>0</v>
      </c>
      <c r="Y152" s="194">
        <v>0</v>
      </c>
      <c r="Z152" s="196">
        <v>0</v>
      </c>
      <c r="AA152" s="196">
        <v>0</v>
      </c>
      <c r="AB152" s="196">
        <v>200000</v>
      </c>
      <c r="AC152" s="196">
        <v>200000</v>
      </c>
      <c r="AD152" s="196">
        <v>200000</v>
      </c>
      <c r="AE152" s="196">
        <v>0</v>
      </c>
      <c r="AF152" s="196">
        <f>SUM(Tabela99[[#This Row], [jan/26]:[dez/26]])</f>
      </c>
      <c r="AG152" s="196">
        <v>0</v>
      </c>
      <c r="AH152" s="196">
        <v>0</v>
      </c>
      <c r="AI152" s="196">
        <v>0</v>
      </c>
      <c r="AJ152" s="196">
        <v>0</v>
      </c>
      <c r="AK152" s="196">
        <f>SUM(Tabela99[[#This Row], [2026]:[2030]])</f>
      </c>
      <c r="AL152" s="195">
        <v>0</v>
      </c>
      <c r="AM152" s="196">
        <v>0</v>
      </c>
      <c r="AN152" s="196">
        <v>0</v>
      </c>
      <c r="AO152" s="196">
        <v>0</v>
      </c>
      <c r="AP152" s="196">
        <v>0</v>
      </c>
      <c r="AQ152" s="197">
        <f>SUM(Tabela99[[#This Row], [2026-2030]:[2035]])</f>
      </c>
      <c r="AR152" s="1"/>
      <c r="AS152" s="13" t="s">
        <v>39461</v>
      </c>
      <c r="AT152" s="39">
        <v>2025</v>
      </c>
      <c r="AU152" s="13" t="s">
        <v>24181</v>
      </c>
      <c r="AV152" s="1"/>
      <c r="AW152" s="13" t="s">
        <v>39194</v>
      </c>
      <c r="AX152" s="2"/>
      <c r="AY152" s="2"/>
      <c r="AZ152" s="13" t="s">
        <v>39582</v>
      </c>
    </row>
    <row x14ac:dyDescent="0.25" r="153" customHeight="1" ht="24.75">
      <c r="A153" s="187"/>
      <c r="B153" s="188">
        <f>AND(ISTEXT('Consolidado-Eletronorte'!#REF!),SUM('Consolidado-Eletronorte'!#REF!)&gt;0)</f>
      </c>
      <c r="C153" s="189">
        <f>$J$3</f>
      </c>
      <c r="D153" s="189">
        <f>$H$3</f>
      </c>
      <c r="E153" s="189">
        <f>$H$4</f>
      </c>
      <c r="F153" s="190"/>
      <c r="G153" s="189">
        <f>_xlfn.CONCAT('Consolidado-Eletronorte'!#REF!,"_",ROW('Consolidado-Eletronorte'!#REF!)-ROW('Consolidado-Eletronorte'!$G$18))</f>
      </c>
      <c r="H153" s="186" t="s">
        <v>10</v>
      </c>
      <c r="I153" s="191" t="s">
        <v>85</v>
      </c>
      <c r="J153" s="191" t="s">
        <v>5</v>
      </c>
      <c r="K153" s="192" t="s">
        <v>39449</v>
      </c>
      <c r="L153" s="191" t="s">
        <v>39456</v>
      </c>
      <c r="M153" s="191" t="s">
        <v>39525</v>
      </c>
      <c r="N153" s="191"/>
      <c r="O153" s="191"/>
      <c r="P153" s="191"/>
      <c r="Q153" s="193" t="s">
        <v>39801</v>
      </c>
      <c r="R153" s="193" t="s">
        <v>39802</v>
      </c>
      <c r="S153" s="191" t="s">
        <v>38378</v>
      </c>
      <c r="T153" s="194">
        <v>0</v>
      </c>
      <c r="U153" s="195">
        <v>0</v>
      </c>
      <c r="V153" s="195">
        <v>0</v>
      </c>
      <c r="W153" s="195">
        <v>0</v>
      </c>
      <c r="X153" s="194">
        <v>0</v>
      </c>
      <c r="Y153" s="194">
        <v>0</v>
      </c>
      <c r="Z153" s="196">
        <v>0</v>
      </c>
      <c r="AA153" s="196">
        <v>0</v>
      </c>
      <c r="AB153" s="196">
        <v>200000</v>
      </c>
      <c r="AC153" s="196">
        <v>200000</v>
      </c>
      <c r="AD153" s="196">
        <v>200000</v>
      </c>
      <c r="AE153" s="196">
        <v>0</v>
      </c>
      <c r="AF153" s="196">
        <f>SUM(Tabela99[[#This Row], [jan/26]:[dez/26]])</f>
      </c>
      <c r="AG153" s="196">
        <v>0</v>
      </c>
      <c r="AH153" s="196">
        <v>0</v>
      </c>
      <c r="AI153" s="196">
        <v>0</v>
      </c>
      <c r="AJ153" s="196">
        <v>0</v>
      </c>
      <c r="AK153" s="196">
        <f>SUM(Tabela99[[#This Row], [2026]:[2030]])</f>
      </c>
      <c r="AL153" s="195">
        <v>0</v>
      </c>
      <c r="AM153" s="196">
        <v>0</v>
      </c>
      <c r="AN153" s="196">
        <v>0</v>
      </c>
      <c r="AO153" s="196">
        <v>0</v>
      </c>
      <c r="AP153" s="196">
        <v>0</v>
      </c>
      <c r="AQ153" s="197">
        <f>SUM(Tabela99[[#This Row], [2026-2030]:[2035]])</f>
      </c>
      <c r="AR153" s="1"/>
      <c r="AS153" s="13" t="s">
        <v>39461</v>
      </c>
      <c r="AT153" s="39">
        <v>2025</v>
      </c>
      <c r="AU153" s="13" t="s">
        <v>24181</v>
      </c>
      <c r="AV153" s="1"/>
      <c r="AW153" s="13" t="s">
        <v>39194</v>
      </c>
      <c r="AX153" s="2"/>
      <c r="AY153" s="2"/>
      <c r="AZ153" s="13" t="s">
        <v>39529</v>
      </c>
    </row>
    <row x14ac:dyDescent="0.25" r="154" customHeight="1" ht="24.75">
      <c r="A154" s="187"/>
      <c r="B154" s="188">
        <f>AND(ISTEXT('Consolidado-Eletronorte'!#REF!),SUM('Consolidado-Eletronorte'!#REF!)&gt;0)</f>
      </c>
      <c r="C154" s="189">
        <f>$J$3</f>
      </c>
      <c r="D154" s="189">
        <f>$H$3</f>
      </c>
      <c r="E154" s="189">
        <f>$H$4</f>
      </c>
      <c r="F154" s="190"/>
      <c r="G154" s="189">
        <f>_xlfn.CONCAT('Consolidado-Eletronorte'!#REF!,"_",ROW('Consolidado-Eletronorte'!#REF!)-ROW('Consolidado-Eletronorte'!$G$18))</f>
      </c>
      <c r="H154" s="186" t="s">
        <v>10</v>
      </c>
      <c r="I154" s="191" t="s">
        <v>85</v>
      </c>
      <c r="J154" s="191" t="s">
        <v>5</v>
      </c>
      <c r="K154" s="192" t="s">
        <v>39449</v>
      </c>
      <c r="L154" s="191" t="s">
        <v>39456</v>
      </c>
      <c r="M154" s="191" t="s">
        <v>39628</v>
      </c>
      <c r="N154" s="191"/>
      <c r="O154" s="191"/>
      <c r="P154" s="191"/>
      <c r="Q154" s="193" t="s">
        <v>39803</v>
      </c>
      <c r="R154" s="193" t="s">
        <v>39804</v>
      </c>
      <c r="S154" s="191" t="s">
        <v>39631</v>
      </c>
      <c r="T154" s="194">
        <v>0</v>
      </c>
      <c r="U154" s="195">
        <v>0</v>
      </c>
      <c r="V154" s="195">
        <v>0</v>
      </c>
      <c r="W154" s="195">
        <v>0</v>
      </c>
      <c r="X154" s="194">
        <v>0</v>
      </c>
      <c r="Y154" s="194">
        <v>0</v>
      </c>
      <c r="Z154" s="196">
        <v>0</v>
      </c>
      <c r="AA154" s="196">
        <v>0</v>
      </c>
      <c r="AB154" s="196">
        <v>300000</v>
      </c>
      <c r="AC154" s="196">
        <v>300000</v>
      </c>
      <c r="AD154" s="196">
        <v>0</v>
      </c>
      <c r="AE154" s="196">
        <v>0</v>
      </c>
      <c r="AF154" s="196">
        <f>SUM(Tabela99[[#This Row], [jan/26]:[dez/26]])</f>
      </c>
      <c r="AG154" s="196">
        <v>0</v>
      </c>
      <c r="AH154" s="196">
        <v>0</v>
      </c>
      <c r="AI154" s="196">
        <v>0</v>
      </c>
      <c r="AJ154" s="196">
        <v>0</v>
      </c>
      <c r="AK154" s="196">
        <f>SUM(Tabela99[[#This Row], [2026]:[2030]])</f>
      </c>
      <c r="AL154" s="195">
        <v>0</v>
      </c>
      <c r="AM154" s="196">
        <v>0</v>
      </c>
      <c r="AN154" s="196">
        <v>0</v>
      </c>
      <c r="AO154" s="196">
        <v>0</v>
      </c>
      <c r="AP154" s="196">
        <v>0</v>
      </c>
      <c r="AQ154" s="197">
        <f>SUM(Tabela99[[#This Row], [2026-2030]:[2035]])</f>
      </c>
      <c r="AR154" s="1"/>
      <c r="AS154" s="13" t="s">
        <v>39510</v>
      </c>
      <c r="AT154" s="128" t="s">
        <v>39060</v>
      </c>
      <c r="AU154" s="13" t="s">
        <v>24181</v>
      </c>
      <c r="AV154" s="1"/>
      <c r="AW154" s="13" t="s">
        <v>39194</v>
      </c>
      <c r="AX154" s="2"/>
      <c r="AY154" s="2"/>
      <c r="AZ154" s="13" t="s">
        <v>39633</v>
      </c>
    </row>
    <row x14ac:dyDescent="0.25" r="155" customHeight="1" ht="24.75">
      <c r="A155" s="187"/>
      <c r="B155" s="188">
        <f>AND(ISTEXT('Consolidado-Eletronorte'!#REF!),SUM('Consolidado-Eletronorte'!#REF!)&gt;0)</f>
      </c>
      <c r="C155" s="189">
        <f>$J$3</f>
      </c>
      <c r="D155" s="189">
        <f>$H$3</f>
      </c>
      <c r="E155" s="189">
        <f>$H$4</f>
      </c>
      <c r="F155" s="190"/>
      <c r="G155" s="189">
        <f>_xlfn.CONCAT('Consolidado-Eletronorte'!#REF!,"_",ROW('Consolidado-Eletronorte'!#REF!)-ROW('Consolidado-Eletronorte'!$G$18))</f>
      </c>
      <c r="H155" s="186" t="s">
        <v>10</v>
      </c>
      <c r="I155" s="191" t="s">
        <v>85</v>
      </c>
      <c r="J155" s="191" t="s">
        <v>5</v>
      </c>
      <c r="K155" s="192" t="s">
        <v>26</v>
      </c>
      <c r="L155" s="191" t="s">
        <v>39641</v>
      </c>
      <c r="M155" s="191" t="s">
        <v>39672</v>
      </c>
      <c r="N155" s="191"/>
      <c r="O155" s="191"/>
      <c r="P155" s="191"/>
      <c r="Q155" s="193" t="s">
        <v>39805</v>
      </c>
      <c r="R155" s="193" t="s">
        <v>39681</v>
      </c>
      <c r="S155" s="191" t="s">
        <v>38378</v>
      </c>
      <c r="T155" s="194">
        <v>0</v>
      </c>
      <c r="U155" s="195">
        <v>0</v>
      </c>
      <c r="V155" s="195">
        <v>0</v>
      </c>
      <c r="W155" s="195">
        <v>0</v>
      </c>
      <c r="X155" s="194">
        <v>0</v>
      </c>
      <c r="Y155" s="194">
        <v>0</v>
      </c>
      <c r="Z155" s="196">
        <v>0</v>
      </c>
      <c r="AA155" s="196">
        <v>0</v>
      </c>
      <c r="AB155" s="196">
        <v>600000</v>
      </c>
      <c r="AC155" s="196">
        <v>0</v>
      </c>
      <c r="AD155" s="196">
        <v>0</v>
      </c>
      <c r="AE155" s="196">
        <v>0</v>
      </c>
      <c r="AF155" s="196">
        <f>SUM(Tabela99[[#This Row], [jan/26]:[dez/26]])</f>
      </c>
      <c r="AG155" s="196">
        <v>0</v>
      </c>
      <c r="AH155" s="196">
        <v>0</v>
      </c>
      <c r="AI155" s="196">
        <v>0</v>
      </c>
      <c r="AJ155" s="196">
        <v>0</v>
      </c>
      <c r="AK155" s="196">
        <f>SUM(Tabela99[[#This Row], [2026]:[2030]])</f>
      </c>
      <c r="AL155" s="195">
        <v>0</v>
      </c>
      <c r="AM155" s="196">
        <v>0</v>
      </c>
      <c r="AN155" s="196">
        <v>0</v>
      </c>
      <c r="AO155" s="196">
        <v>0</v>
      </c>
      <c r="AP155" s="196">
        <v>0</v>
      </c>
      <c r="AQ155" s="197">
        <f>SUM(Tabela99[[#This Row], [2026-2030]:[2035]])</f>
      </c>
      <c r="AR155" s="1"/>
      <c r="AS155" s="13" t="s">
        <v>39674</v>
      </c>
      <c r="AT155" s="39">
        <v>2025</v>
      </c>
      <c r="AU155" s="13" t="s">
        <v>24181</v>
      </c>
      <c r="AV155" s="1"/>
      <c r="AW155" s="13" t="s">
        <v>39062</v>
      </c>
      <c r="AX155" s="2"/>
      <c r="AY155" s="2"/>
      <c r="AZ155" s="13" t="s">
        <v>39682</v>
      </c>
    </row>
    <row x14ac:dyDescent="0.25" r="156" customHeight="1" ht="24.75">
      <c r="A156" s="187"/>
      <c r="B156" s="188">
        <f>AND(ISTEXT('Consolidado-Eletronorte'!#REF!),SUM('Consolidado-Eletronorte'!#REF!)&gt;0)</f>
      </c>
      <c r="C156" s="189">
        <f>$J$3</f>
      </c>
      <c r="D156" s="189">
        <f>$H$3</f>
      </c>
      <c r="E156" s="189">
        <f>$H$4</f>
      </c>
      <c r="F156" s="190"/>
      <c r="G156" s="189">
        <f>_xlfn.CONCAT('Consolidado-Eletronorte'!#REF!,"_",ROW('Consolidado-Eletronorte'!#REF!)-ROW('Consolidado-Eletronorte'!$G$18))</f>
      </c>
      <c r="H156" s="186" t="s">
        <v>10</v>
      </c>
      <c r="I156" s="191" t="s">
        <v>85</v>
      </c>
      <c r="J156" s="191" t="s">
        <v>5</v>
      </c>
      <c r="K156" s="192" t="s">
        <v>39449</v>
      </c>
      <c r="L156" s="191" t="s">
        <v>39641</v>
      </c>
      <c r="M156" s="191" t="s">
        <v>39669</v>
      </c>
      <c r="N156" s="191"/>
      <c r="O156" s="191"/>
      <c r="P156" s="191"/>
      <c r="Q156" s="193" t="s">
        <v>39806</v>
      </c>
      <c r="R156" s="193" t="s">
        <v>39664</v>
      </c>
      <c r="S156" s="191" t="s">
        <v>39671</v>
      </c>
      <c r="T156" s="194">
        <v>0</v>
      </c>
      <c r="U156" s="195">
        <v>0</v>
      </c>
      <c r="V156" s="195">
        <v>0</v>
      </c>
      <c r="W156" s="195">
        <v>0</v>
      </c>
      <c r="X156" s="194">
        <v>0</v>
      </c>
      <c r="Y156" s="194">
        <v>0</v>
      </c>
      <c r="Z156" s="196">
        <v>0</v>
      </c>
      <c r="AA156" s="196">
        <v>300000</v>
      </c>
      <c r="AB156" s="196">
        <v>300000</v>
      </c>
      <c r="AC156" s="196">
        <v>0</v>
      </c>
      <c r="AD156" s="196">
        <v>0</v>
      </c>
      <c r="AE156" s="196">
        <v>0</v>
      </c>
      <c r="AF156" s="196">
        <f>SUM(Tabela99[[#This Row], [jan/26]:[dez/26]])</f>
      </c>
      <c r="AG156" s="196">
        <v>0</v>
      </c>
      <c r="AH156" s="196">
        <v>0</v>
      </c>
      <c r="AI156" s="196">
        <v>0</v>
      </c>
      <c r="AJ156" s="196">
        <v>0</v>
      </c>
      <c r="AK156" s="196">
        <f>SUM(Tabela99[[#This Row], [2026]:[2030]])</f>
      </c>
      <c r="AL156" s="195">
        <v>0</v>
      </c>
      <c r="AM156" s="196">
        <v>0</v>
      </c>
      <c r="AN156" s="196">
        <v>0</v>
      </c>
      <c r="AO156" s="196">
        <v>0</v>
      </c>
      <c r="AP156" s="196">
        <v>0</v>
      </c>
      <c r="AQ156" s="197">
        <f>SUM(Tabela99[[#This Row], [2026-2030]:[2035]])</f>
      </c>
      <c r="AR156" s="1"/>
      <c r="AS156" s="13" t="s">
        <v>39461</v>
      </c>
      <c r="AT156" s="128" t="s">
        <v>39060</v>
      </c>
      <c r="AU156" s="13" t="s">
        <v>24181</v>
      </c>
      <c r="AV156" s="1"/>
      <c r="AW156" s="13" t="s">
        <v>39194</v>
      </c>
      <c r="AX156" s="2"/>
      <c r="AY156" s="2"/>
      <c r="AZ156" s="13" t="s">
        <v>39463</v>
      </c>
    </row>
    <row x14ac:dyDescent="0.25" r="157" customHeight="1" ht="24.75">
      <c r="A157" s="187"/>
      <c r="B157" s="188">
        <f>AND(ISTEXT('Consolidado-Eletronorte'!#REF!),SUM('Consolidado-Eletronorte'!#REF!)&gt;0)</f>
      </c>
      <c r="C157" s="189">
        <f>$J$3</f>
      </c>
      <c r="D157" s="189">
        <f>$H$3</f>
      </c>
      <c r="E157" s="189">
        <f>$H$4</f>
      </c>
      <c r="F157" s="190"/>
      <c r="G157" s="189">
        <f>_xlfn.CONCAT('Consolidado-Eletronorte'!#REF!,"_",ROW('Consolidado-Eletronorte'!#REF!)-ROW('Consolidado-Eletronorte'!$G$18))</f>
      </c>
      <c r="H157" s="186" t="s">
        <v>10</v>
      </c>
      <c r="I157" s="191" t="s">
        <v>85</v>
      </c>
      <c r="J157" s="191" t="s">
        <v>5</v>
      </c>
      <c r="K157" s="192" t="s">
        <v>39449</v>
      </c>
      <c r="L157" s="191" t="s">
        <v>39456</v>
      </c>
      <c r="M157" s="191" t="s">
        <v>39669</v>
      </c>
      <c r="N157" s="191"/>
      <c r="O157" s="191"/>
      <c r="P157" s="191"/>
      <c r="Q157" s="193" t="s">
        <v>39807</v>
      </c>
      <c r="R157" s="193" t="s">
        <v>39664</v>
      </c>
      <c r="S157" s="191" t="s">
        <v>39671</v>
      </c>
      <c r="T157" s="194">
        <v>0</v>
      </c>
      <c r="U157" s="195">
        <v>0</v>
      </c>
      <c r="V157" s="195">
        <v>0</v>
      </c>
      <c r="W157" s="195">
        <v>0</v>
      </c>
      <c r="X157" s="194">
        <v>0</v>
      </c>
      <c r="Y157" s="194">
        <v>0</v>
      </c>
      <c r="Z157" s="196">
        <v>0</v>
      </c>
      <c r="AA157" s="196">
        <v>0</v>
      </c>
      <c r="AB157" s="196">
        <v>250000</v>
      </c>
      <c r="AC157" s="196">
        <v>250000</v>
      </c>
      <c r="AD157" s="196">
        <v>0</v>
      </c>
      <c r="AE157" s="196">
        <v>0</v>
      </c>
      <c r="AF157" s="196">
        <f>SUM(Tabela99[[#This Row], [jan/26]:[dez/26]])</f>
      </c>
      <c r="AG157" s="196">
        <v>0</v>
      </c>
      <c r="AH157" s="196">
        <v>0</v>
      </c>
      <c r="AI157" s="196">
        <v>0</v>
      </c>
      <c r="AJ157" s="196">
        <v>0</v>
      </c>
      <c r="AK157" s="196">
        <f>SUM(Tabela99[[#This Row], [2026]:[2030]])</f>
      </c>
      <c r="AL157" s="195">
        <v>0</v>
      </c>
      <c r="AM157" s="196">
        <v>0</v>
      </c>
      <c r="AN157" s="196">
        <v>0</v>
      </c>
      <c r="AO157" s="196">
        <v>0</v>
      </c>
      <c r="AP157" s="196">
        <v>0</v>
      </c>
      <c r="AQ157" s="197">
        <f>SUM(Tabela99[[#This Row], [2026-2030]:[2035]])</f>
      </c>
      <c r="AR157" s="1"/>
      <c r="AS157" s="13" t="s">
        <v>39461</v>
      </c>
      <c r="AT157" s="128" t="s">
        <v>39060</v>
      </c>
      <c r="AU157" s="13" t="s">
        <v>24181</v>
      </c>
      <c r="AV157" s="1"/>
      <c r="AW157" s="13" t="s">
        <v>39194</v>
      </c>
      <c r="AX157" s="2"/>
      <c r="AY157" s="2"/>
      <c r="AZ157" s="13" t="s">
        <v>39463</v>
      </c>
    </row>
    <row x14ac:dyDescent="0.25" r="158" customHeight="1" ht="24.75">
      <c r="A158" s="187"/>
      <c r="B158" s="188">
        <f>AND(ISTEXT('Consolidado-Eletronorte'!#REF!),SUM('Consolidado-Eletronorte'!#REF!)&gt;0)</f>
      </c>
      <c r="C158" s="189">
        <f>$J$3</f>
      </c>
      <c r="D158" s="189">
        <f>$H$3</f>
      </c>
      <c r="E158" s="189">
        <f>$H$4</f>
      </c>
      <c r="F158" s="190"/>
      <c r="G158" s="189">
        <f>_xlfn.CONCAT('Consolidado-Eletronorte'!#REF!,"_",ROW('Consolidado-Eletronorte'!#REF!)-ROW('Consolidado-Eletronorte'!$G$18))</f>
      </c>
      <c r="H158" s="186" t="s">
        <v>10</v>
      </c>
      <c r="I158" s="191" t="s">
        <v>85</v>
      </c>
      <c r="J158" s="191" t="s">
        <v>5</v>
      </c>
      <c r="K158" s="192" t="s">
        <v>39449</v>
      </c>
      <c r="L158" s="191" t="s">
        <v>39456</v>
      </c>
      <c r="M158" s="191" t="s">
        <v>39652</v>
      </c>
      <c r="N158" s="191"/>
      <c r="O158" s="191"/>
      <c r="P158" s="191"/>
      <c r="Q158" s="193" t="s">
        <v>39808</v>
      </c>
      <c r="R158" s="193" t="s">
        <v>39809</v>
      </c>
      <c r="S158" s="191" t="s">
        <v>39655</v>
      </c>
      <c r="T158" s="194">
        <v>0</v>
      </c>
      <c r="U158" s="195">
        <v>0</v>
      </c>
      <c r="V158" s="195">
        <v>0</v>
      </c>
      <c r="W158" s="195">
        <v>250000</v>
      </c>
      <c r="X158" s="194">
        <v>250000</v>
      </c>
      <c r="Y158" s="194">
        <v>0</v>
      </c>
      <c r="Z158" s="196">
        <v>0</v>
      </c>
      <c r="AA158" s="196">
        <v>0</v>
      </c>
      <c r="AB158" s="196">
        <v>0</v>
      </c>
      <c r="AC158" s="196">
        <v>0</v>
      </c>
      <c r="AD158" s="196">
        <v>0</v>
      </c>
      <c r="AE158" s="196">
        <v>0</v>
      </c>
      <c r="AF158" s="196">
        <f>SUM(Tabela99[[#This Row], [jan/26]:[dez/26]])</f>
      </c>
      <c r="AG158" s="196">
        <v>0</v>
      </c>
      <c r="AH158" s="196">
        <v>0</v>
      </c>
      <c r="AI158" s="196">
        <v>0</v>
      </c>
      <c r="AJ158" s="196">
        <v>0</v>
      </c>
      <c r="AK158" s="196">
        <f>SUM(Tabela99[[#This Row], [2026]:[2030]])</f>
      </c>
      <c r="AL158" s="195">
        <v>0</v>
      </c>
      <c r="AM158" s="196">
        <v>0</v>
      </c>
      <c r="AN158" s="196">
        <v>0</v>
      </c>
      <c r="AO158" s="196">
        <v>0</v>
      </c>
      <c r="AP158" s="196">
        <v>0</v>
      </c>
      <c r="AQ158" s="197">
        <f>SUM(Tabela99[[#This Row], [2026-2030]:[2035]])</f>
      </c>
      <c r="AR158" s="1"/>
      <c r="AS158" s="13" t="s">
        <v>39656</v>
      </c>
      <c r="AT158" s="39">
        <v>2025</v>
      </c>
      <c r="AU158" s="13" t="s">
        <v>24181</v>
      </c>
      <c r="AV158" s="1"/>
      <c r="AW158" s="13" t="s">
        <v>39194</v>
      </c>
      <c r="AX158" s="2"/>
      <c r="AY158" s="2"/>
      <c r="AZ158" s="13" t="s">
        <v>39658</v>
      </c>
    </row>
    <row x14ac:dyDescent="0.25" r="159" customHeight="1" ht="24.75">
      <c r="A159" s="187"/>
      <c r="B159" s="188">
        <f>AND(ISTEXT('Consolidado-Eletronorte'!#REF!),SUM('Consolidado-Eletronorte'!#REF!)&gt;0)</f>
      </c>
      <c r="C159" s="189">
        <f>$J$3</f>
      </c>
      <c r="D159" s="189">
        <f>$H$3</f>
      </c>
      <c r="E159" s="189">
        <f>$H$4</f>
      </c>
      <c r="F159" s="190"/>
      <c r="G159" s="189">
        <f>_xlfn.CONCAT('Consolidado-Eletronorte'!#REF!,"_",ROW('Consolidado-Eletronorte'!#REF!)-ROW('Consolidado-Eletronorte'!$G$18))</f>
      </c>
      <c r="H159" s="186" t="s">
        <v>10</v>
      </c>
      <c r="I159" s="191" t="s">
        <v>85</v>
      </c>
      <c r="J159" s="191" t="s">
        <v>5</v>
      </c>
      <c r="K159" s="192" t="s">
        <v>39449</v>
      </c>
      <c r="L159" s="191" t="s">
        <v>39456</v>
      </c>
      <c r="M159" s="191" t="s">
        <v>39701</v>
      </c>
      <c r="N159" s="191"/>
      <c r="O159" s="191"/>
      <c r="P159" s="191"/>
      <c r="Q159" s="193" t="s">
        <v>39810</v>
      </c>
      <c r="R159" s="193" t="s">
        <v>39811</v>
      </c>
      <c r="S159" s="191" t="s">
        <v>39704</v>
      </c>
      <c r="T159" s="194">
        <v>0</v>
      </c>
      <c r="U159" s="195">
        <v>500000</v>
      </c>
      <c r="V159" s="195">
        <v>0</v>
      </c>
      <c r="W159" s="195">
        <v>0</v>
      </c>
      <c r="X159" s="194">
        <v>0</v>
      </c>
      <c r="Y159" s="194">
        <v>0</v>
      </c>
      <c r="Z159" s="196">
        <v>0</v>
      </c>
      <c r="AA159" s="196">
        <v>0</v>
      </c>
      <c r="AB159" s="196">
        <v>0</v>
      </c>
      <c r="AC159" s="196">
        <v>0</v>
      </c>
      <c r="AD159" s="196">
        <v>0</v>
      </c>
      <c r="AE159" s="196">
        <v>0</v>
      </c>
      <c r="AF159" s="196">
        <f>SUM(Tabela99[[#This Row], [jan/26]:[dez/26]])</f>
      </c>
      <c r="AG159" s="196">
        <v>0</v>
      </c>
      <c r="AH159" s="196">
        <v>0</v>
      </c>
      <c r="AI159" s="196">
        <v>0</v>
      </c>
      <c r="AJ159" s="196">
        <v>0</v>
      </c>
      <c r="AK159" s="196">
        <f>SUM(Tabela99[[#This Row], [2026]:[2030]])</f>
      </c>
      <c r="AL159" s="195">
        <v>0</v>
      </c>
      <c r="AM159" s="196">
        <v>0</v>
      </c>
      <c r="AN159" s="196">
        <v>0</v>
      </c>
      <c r="AO159" s="196">
        <v>0</v>
      </c>
      <c r="AP159" s="196">
        <v>0</v>
      </c>
      <c r="AQ159" s="197">
        <f>SUM(Tabela99[[#This Row], [2026-2030]:[2035]])</f>
      </c>
      <c r="AR159" s="1"/>
      <c r="AS159" s="13" t="s">
        <v>39510</v>
      </c>
      <c r="AT159" s="39">
        <v>2025</v>
      </c>
      <c r="AU159" s="13" t="s">
        <v>24181</v>
      </c>
      <c r="AV159" s="1"/>
      <c r="AW159" s="13" t="s">
        <v>39194</v>
      </c>
      <c r="AX159" s="2"/>
      <c r="AY159" s="2"/>
      <c r="AZ159" s="13" t="s">
        <v>39705</v>
      </c>
    </row>
    <row x14ac:dyDescent="0.25" r="160" customHeight="1" ht="24.75">
      <c r="A160" s="187"/>
      <c r="B160" s="188">
        <f>AND(ISTEXT('Consolidado-Eletronorte'!#REF!),SUM('Consolidado-Eletronorte'!#REF!)&gt;0)</f>
      </c>
      <c r="C160" s="189">
        <f>$J$3</f>
      </c>
      <c r="D160" s="189">
        <f>$H$3</f>
      </c>
      <c r="E160" s="189">
        <f>$H$4</f>
      </c>
      <c r="F160" s="190"/>
      <c r="G160" s="189">
        <f>_xlfn.CONCAT('Consolidado-Eletronorte'!#REF!,"_",ROW('Consolidado-Eletronorte'!#REF!)-ROW('Consolidado-Eletronorte'!$G$18))</f>
      </c>
      <c r="H160" s="186" t="s">
        <v>10</v>
      </c>
      <c r="I160" s="191" t="s">
        <v>85</v>
      </c>
      <c r="J160" s="191" t="s">
        <v>5</v>
      </c>
      <c r="K160" s="192" t="s">
        <v>39449</v>
      </c>
      <c r="L160" s="191" t="s">
        <v>39456</v>
      </c>
      <c r="M160" s="191" t="s">
        <v>39652</v>
      </c>
      <c r="N160" s="191"/>
      <c r="O160" s="191"/>
      <c r="P160" s="191"/>
      <c r="Q160" s="193" t="s">
        <v>39812</v>
      </c>
      <c r="R160" s="193" t="s">
        <v>39813</v>
      </c>
      <c r="S160" s="191" t="s">
        <v>39655</v>
      </c>
      <c r="T160" s="194">
        <v>0</v>
      </c>
      <c r="U160" s="195">
        <v>0</v>
      </c>
      <c r="V160" s="195">
        <v>0</v>
      </c>
      <c r="W160" s="195">
        <v>0</v>
      </c>
      <c r="X160" s="194">
        <v>0</v>
      </c>
      <c r="Y160" s="194">
        <v>0</v>
      </c>
      <c r="Z160" s="196">
        <v>0</v>
      </c>
      <c r="AA160" s="196">
        <v>0</v>
      </c>
      <c r="AB160" s="196">
        <v>500000</v>
      </c>
      <c r="AC160" s="196">
        <v>0</v>
      </c>
      <c r="AD160" s="196">
        <v>0</v>
      </c>
      <c r="AE160" s="196">
        <v>0</v>
      </c>
      <c r="AF160" s="196">
        <f>SUM(Tabela99[[#This Row], [jan/26]:[dez/26]])</f>
      </c>
      <c r="AG160" s="196">
        <v>0</v>
      </c>
      <c r="AH160" s="196">
        <v>0</v>
      </c>
      <c r="AI160" s="196">
        <v>0</v>
      </c>
      <c r="AJ160" s="196">
        <v>0</v>
      </c>
      <c r="AK160" s="196">
        <f>SUM(Tabela99[[#This Row], [2026]:[2030]])</f>
      </c>
      <c r="AL160" s="195">
        <v>0</v>
      </c>
      <c r="AM160" s="196">
        <v>0</v>
      </c>
      <c r="AN160" s="196">
        <v>0</v>
      </c>
      <c r="AO160" s="196">
        <v>0</v>
      </c>
      <c r="AP160" s="196">
        <v>0</v>
      </c>
      <c r="AQ160" s="197">
        <f>SUM(Tabela99[[#This Row], [2026-2030]:[2035]])</f>
      </c>
      <c r="AR160" s="1"/>
      <c r="AS160" s="13" t="s">
        <v>39656</v>
      </c>
      <c r="AT160" s="39">
        <v>2025</v>
      </c>
      <c r="AU160" s="13" t="s">
        <v>24181</v>
      </c>
      <c r="AV160" s="1"/>
      <c r="AW160" s="13" t="s">
        <v>39194</v>
      </c>
      <c r="AX160" s="2"/>
      <c r="AY160" s="2"/>
      <c r="AZ160" s="13" t="s">
        <v>39658</v>
      </c>
    </row>
    <row x14ac:dyDescent="0.25" r="161" customHeight="1" ht="24.75">
      <c r="A161" s="187"/>
      <c r="B161" s="188">
        <f>AND(ISTEXT('Consolidado-Eletronorte'!#REF!),SUM('Consolidado-Eletronorte'!#REF!)&gt;0)</f>
      </c>
      <c r="C161" s="189">
        <f>$J$3</f>
      </c>
      <c r="D161" s="189">
        <f>$H$3</f>
      </c>
      <c r="E161" s="189">
        <f>$H$4</f>
      </c>
      <c r="F161" s="190"/>
      <c r="G161" s="189">
        <f>_xlfn.CONCAT('Consolidado-Eletronorte'!#REF!,"_",ROW('Consolidado-Eletronorte'!#REF!)-ROW('Consolidado-Eletronorte'!$G$18))</f>
      </c>
      <c r="H161" s="186" t="s">
        <v>10</v>
      </c>
      <c r="I161" s="191" t="s">
        <v>85</v>
      </c>
      <c r="J161" s="191" t="s">
        <v>5</v>
      </c>
      <c r="K161" s="192" t="s">
        <v>39449</v>
      </c>
      <c r="L161" s="191" t="s">
        <v>39456</v>
      </c>
      <c r="M161" s="191" t="s">
        <v>39507</v>
      </c>
      <c r="N161" s="191"/>
      <c r="O161" s="191"/>
      <c r="P161" s="191"/>
      <c r="Q161" s="193" t="s">
        <v>39814</v>
      </c>
      <c r="R161" s="193" t="s">
        <v>39815</v>
      </c>
      <c r="S161" s="191" t="s">
        <v>39509</v>
      </c>
      <c r="T161" s="194">
        <v>0</v>
      </c>
      <c r="U161" s="195">
        <v>0</v>
      </c>
      <c r="V161" s="195">
        <v>0</v>
      </c>
      <c r="W161" s="195">
        <v>0</v>
      </c>
      <c r="X161" s="194">
        <v>0</v>
      </c>
      <c r="Y161" s="194">
        <v>0</v>
      </c>
      <c r="Z161" s="196">
        <v>0</v>
      </c>
      <c r="AA161" s="196">
        <v>0</v>
      </c>
      <c r="AB161" s="196">
        <v>500000</v>
      </c>
      <c r="AC161" s="196">
        <v>0</v>
      </c>
      <c r="AD161" s="196">
        <v>0</v>
      </c>
      <c r="AE161" s="196">
        <v>0</v>
      </c>
      <c r="AF161" s="196">
        <f>SUM(Tabela99[[#This Row], [jan/26]:[dez/26]])</f>
      </c>
      <c r="AG161" s="196">
        <v>0</v>
      </c>
      <c r="AH161" s="196">
        <v>0</v>
      </c>
      <c r="AI161" s="196">
        <v>0</v>
      </c>
      <c r="AJ161" s="196">
        <v>0</v>
      </c>
      <c r="AK161" s="196">
        <f>SUM(Tabela99[[#This Row], [2026]:[2030]])</f>
      </c>
      <c r="AL161" s="195">
        <v>0</v>
      </c>
      <c r="AM161" s="196">
        <v>0</v>
      </c>
      <c r="AN161" s="196">
        <v>0</v>
      </c>
      <c r="AO161" s="196">
        <v>0</v>
      </c>
      <c r="AP161" s="196">
        <v>0</v>
      </c>
      <c r="AQ161" s="197">
        <f>SUM(Tabela99[[#This Row], [2026-2030]:[2035]])</f>
      </c>
      <c r="AR161" s="1"/>
      <c r="AS161" s="13" t="s">
        <v>39510</v>
      </c>
      <c r="AT161" s="128" t="s">
        <v>39060</v>
      </c>
      <c r="AU161" s="13" t="s">
        <v>24181</v>
      </c>
      <c r="AV161" s="1"/>
      <c r="AW161" s="13" t="s">
        <v>39194</v>
      </c>
      <c r="AX161" s="2"/>
      <c r="AY161" s="2"/>
      <c r="AZ161" s="13" t="s">
        <v>39511</v>
      </c>
    </row>
    <row x14ac:dyDescent="0.25" r="162" customHeight="1" ht="24.75">
      <c r="A162" s="187"/>
      <c r="B162" s="188">
        <f>AND(ISTEXT('Consolidado-Eletronorte'!#REF!),SUM('Consolidado-Eletronorte'!#REF!)&gt;0)</f>
      </c>
      <c r="C162" s="189">
        <f>$J$3</f>
      </c>
      <c r="D162" s="189">
        <f>$H$3</f>
      </c>
      <c r="E162" s="189">
        <f>$H$4</f>
      </c>
      <c r="F162" s="190"/>
      <c r="G162" s="189">
        <f>_xlfn.CONCAT('Consolidado-Eletronorte'!#REF!,"_",ROW('Consolidado-Eletronorte'!#REF!)-ROW('Consolidado-Eletronorte'!$G$18))</f>
      </c>
      <c r="H162" s="186" t="s">
        <v>10</v>
      </c>
      <c r="I162" s="191" t="s">
        <v>85</v>
      </c>
      <c r="J162" s="191" t="s">
        <v>5</v>
      </c>
      <c r="K162" s="192" t="s">
        <v>26</v>
      </c>
      <c r="L162" s="191" t="s">
        <v>39641</v>
      </c>
      <c r="M162" s="191" t="s">
        <v>39672</v>
      </c>
      <c r="N162" s="191"/>
      <c r="O162" s="191"/>
      <c r="P162" s="191"/>
      <c r="Q162" s="193" t="s">
        <v>39816</v>
      </c>
      <c r="R162" s="193" t="s">
        <v>39817</v>
      </c>
      <c r="S162" s="191" t="s">
        <v>38392</v>
      </c>
      <c r="T162" s="194">
        <v>0</v>
      </c>
      <c r="U162" s="195">
        <v>0</v>
      </c>
      <c r="V162" s="195">
        <v>0</v>
      </c>
      <c r="W162" s="195">
        <v>0</v>
      </c>
      <c r="X162" s="194">
        <v>0</v>
      </c>
      <c r="Y162" s="194">
        <v>0</v>
      </c>
      <c r="Z162" s="196">
        <v>94000</v>
      </c>
      <c r="AA162" s="196">
        <v>94000</v>
      </c>
      <c r="AB162" s="196">
        <v>94000</v>
      </c>
      <c r="AC162" s="196">
        <v>94000</v>
      </c>
      <c r="AD162" s="196">
        <v>94000</v>
      </c>
      <c r="AE162" s="196">
        <v>0</v>
      </c>
      <c r="AF162" s="196">
        <f>SUM(Tabela99[[#This Row], [jan/26]:[dez/26]])</f>
      </c>
      <c r="AG162" s="196">
        <v>0</v>
      </c>
      <c r="AH162" s="196">
        <v>0</v>
      </c>
      <c r="AI162" s="196">
        <v>0</v>
      </c>
      <c r="AJ162" s="196">
        <v>0</v>
      </c>
      <c r="AK162" s="196">
        <f>SUM(Tabela99[[#This Row], [2026]:[2030]])</f>
      </c>
      <c r="AL162" s="195">
        <v>0</v>
      </c>
      <c r="AM162" s="196">
        <v>0</v>
      </c>
      <c r="AN162" s="196">
        <v>0</v>
      </c>
      <c r="AO162" s="196">
        <v>0</v>
      </c>
      <c r="AP162" s="196">
        <v>0</v>
      </c>
      <c r="AQ162" s="197">
        <f>SUM(Tabela99[[#This Row], [2026-2030]:[2035]])</f>
      </c>
      <c r="AR162" s="1"/>
      <c r="AS162" s="13" t="s">
        <v>39674</v>
      </c>
      <c r="AT162" s="128" t="s">
        <v>39060</v>
      </c>
      <c r="AU162" s="13" t="s">
        <v>24181</v>
      </c>
      <c r="AV162" s="1"/>
      <c r="AW162" s="13" t="s">
        <v>39062</v>
      </c>
      <c r="AX162" s="2"/>
      <c r="AY162" s="2"/>
      <c r="AZ162" s="13" t="s">
        <v>39675</v>
      </c>
    </row>
    <row x14ac:dyDescent="0.25" r="163" customHeight="1" ht="24.75">
      <c r="A163" s="187"/>
      <c r="B163" s="188">
        <f>AND(ISTEXT('Consolidado-Eletronorte'!#REF!),SUM('Consolidado-Eletronorte'!#REF!)&gt;0)</f>
      </c>
      <c r="C163" s="189">
        <f>$J$3</f>
      </c>
      <c r="D163" s="189">
        <f>$H$3</f>
      </c>
      <c r="E163" s="189">
        <f>$H$4</f>
      </c>
      <c r="F163" s="190"/>
      <c r="G163" s="189">
        <f>_xlfn.CONCAT('Consolidado-Eletronorte'!#REF!,"_",ROW('Consolidado-Eletronorte'!#REF!)-ROW('Consolidado-Eletronorte'!$G$18))</f>
      </c>
      <c r="H163" s="186" t="s">
        <v>10</v>
      </c>
      <c r="I163" s="191" t="s">
        <v>85</v>
      </c>
      <c r="J163" s="191" t="s">
        <v>5</v>
      </c>
      <c r="K163" s="192" t="s">
        <v>26</v>
      </c>
      <c r="L163" s="191" t="s">
        <v>39641</v>
      </c>
      <c r="M163" s="191" t="s">
        <v>39672</v>
      </c>
      <c r="N163" s="191"/>
      <c r="O163" s="191"/>
      <c r="P163" s="191"/>
      <c r="Q163" s="193" t="s">
        <v>39818</v>
      </c>
      <c r="R163" s="193" t="s">
        <v>39819</v>
      </c>
      <c r="S163" s="191" t="s">
        <v>38388</v>
      </c>
      <c r="T163" s="194">
        <v>0</v>
      </c>
      <c r="U163" s="195">
        <v>0</v>
      </c>
      <c r="V163" s="195">
        <v>0</v>
      </c>
      <c r="W163" s="195">
        <v>0</v>
      </c>
      <c r="X163" s="194">
        <v>0</v>
      </c>
      <c r="Y163" s="194">
        <v>0</v>
      </c>
      <c r="Z163" s="196">
        <v>94000</v>
      </c>
      <c r="AA163" s="196">
        <v>94000</v>
      </c>
      <c r="AB163" s="196">
        <v>94000</v>
      </c>
      <c r="AC163" s="196">
        <v>94000</v>
      </c>
      <c r="AD163" s="196">
        <v>94000</v>
      </c>
      <c r="AE163" s="196">
        <v>0</v>
      </c>
      <c r="AF163" s="196">
        <f>SUM(Tabela99[[#This Row], [jan/26]:[dez/26]])</f>
      </c>
      <c r="AG163" s="196">
        <v>0</v>
      </c>
      <c r="AH163" s="196">
        <v>0</v>
      </c>
      <c r="AI163" s="196">
        <v>0</v>
      </c>
      <c r="AJ163" s="196">
        <v>0</v>
      </c>
      <c r="AK163" s="196">
        <f>SUM(Tabela99[[#This Row], [2026]:[2030]])</f>
      </c>
      <c r="AL163" s="195">
        <v>0</v>
      </c>
      <c r="AM163" s="196">
        <v>0</v>
      </c>
      <c r="AN163" s="196">
        <v>0</v>
      </c>
      <c r="AO163" s="196">
        <v>0</v>
      </c>
      <c r="AP163" s="196">
        <v>0</v>
      </c>
      <c r="AQ163" s="197">
        <f>SUM(Tabela99[[#This Row], [2026-2030]:[2035]])</f>
      </c>
      <c r="AR163" s="1"/>
      <c r="AS163" s="13" t="s">
        <v>39674</v>
      </c>
      <c r="AT163" s="128" t="s">
        <v>39060</v>
      </c>
      <c r="AU163" s="13" t="s">
        <v>24181</v>
      </c>
      <c r="AV163" s="1"/>
      <c r="AW163" s="13" t="s">
        <v>39062</v>
      </c>
      <c r="AX163" s="2"/>
      <c r="AY163" s="2"/>
      <c r="AZ163" s="13" t="s">
        <v>39690</v>
      </c>
    </row>
    <row x14ac:dyDescent="0.25" r="164" customHeight="1" ht="24.75">
      <c r="A164" s="187"/>
      <c r="B164" s="188">
        <f>AND(ISTEXT('Consolidado-Eletronorte'!#REF!),SUM('Consolidado-Eletronorte'!#REF!)&gt;0)</f>
      </c>
      <c r="C164" s="189">
        <f>$J$3</f>
      </c>
      <c r="D164" s="189">
        <f>$H$3</f>
      </c>
      <c r="E164" s="189">
        <f>$H$4</f>
      </c>
      <c r="F164" s="190"/>
      <c r="G164" s="189">
        <f>_xlfn.CONCAT('Consolidado-Eletronorte'!#REF!,"_",ROW('Consolidado-Eletronorte'!#REF!)-ROW('Consolidado-Eletronorte'!$G$18))</f>
      </c>
      <c r="H164" s="186" t="s">
        <v>10</v>
      </c>
      <c r="I164" s="191" t="s">
        <v>85</v>
      </c>
      <c r="J164" s="191" t="s">
        <v>5</v>
      </c>
      <c r="K164" s="192" t="s">
        <v>26</v>
      </c>
      <c r="L164" s="191" t="s">
        <v>39641</v>
      </c>
      <c r="M164" s="191" t="s">
        <v>39672</v>
      </c>
      <c r="N164" s="191"/>
      <c r="O164" s="191"/>
      <c r="P164" s="191"/>
      <c r="Q164" s="193" t="s">
        <v>39820</v>
      </c>
      <c r="R164" s="193" t="s">
        <v>39821</v>
      </c>
      <c r="S164" s="191" t="s">
        <v>38372</v>
      </c>
      <c r="T164" s="194">
        <v>0</v>
      </c>
      <c r="U164" s="195">
        <v>0</v>
      </c>
      <c r="V164" s="195">
        <v>0</v>
      </c>
      <c r="W164" s="195">
        <v>0</v>
      </c>
      <c r="X164" s="194">
        <v>0</v>
      </c>
      <c r="Y164" s="194">
        <v>0</v>
      </c>
      <c r="Z164" s="196">
        <v>94000</v>
      </c>
      <c r="AA164" s="196">
        <v>94000</v>
      </c>
      <c r="AB164" s="196">
        <v>94000</v>
      </c>
      <c r="AC164" s="196">
        <v>94000</v>
      </c>
      <c r="AD164" s="196">
        <v>94000</v>
      </c>
      <c r="AE164" s="196">
        <v>0</v>
      </c>
      <c r="AF164" s="196">
        <f>SUM(Tabela99[[#This Row], [jan/26]:[dez/26]])</f>
      </c>
      <c r="AG164" s="196">
        <v>0</v>
      </c>
      <c r="AH164" s="196">
        <v>0</v>
      </c>
      <c r="AI164" s="196">
        <v>0</v>
      </c>
      <c r="AJ164" s="196">
        <v>0</v>
      </c>
      <c r="AK164" s="196">
        <f>SUM(Tabela99[[#This Row], [2026]:[2030]])</f>
      </c>
      <c r="AL164" s="195">
        <v>0</v>
      </c>
      <c r="AM164" s="196">
        <v>0</v>
      </c>
      <c r="AN164" s="196">
        <v>0</v>
      </c>
      <c r="AO164" s="196">
        <v>0</v>
      </c>
      <c r="AP164" s="196">
        <v>0</v>
      </c>
      <c r="AQ164" s="197">
        <f>SUM(Tabela99[[#This Row], [2026-2030]:[2035]])</f>
      </c>
      <c r="AR164" s="1"/>
      <c r="AS164" s="13" t="s">
        <v>39674</v>
      </c>
      <c r="AT164" s="128" t="s">
        <v>39060</v>
      </c>
      <c r="AU164" s="13" t="s">
        <v>24181</v>
      </c>
      <c r="AV164" s="1"/>
      <c r="AW164" s="13" t="s">
        <v>39062</v>
      </c>
      <c r="AX164" s="2"/>
      <c r="AY164" s="2"/>
      <c r="AZ164" s="13" t="s">
        <v>39675</v>
      </c>
    </row>
    <row x14ac:dyDescent="0.25" r="165" customHeight="1" ht="24.75">
      <c r="A165" s="187"/>
      <c r="B165" s="188">
        <f>AND(ISTEXT('Consolidado-Eletronorte'!#REF!),SUM('Consolidado-Eletronorte'!#REF!)&gt;0)</f>
      </c>
      <c r="C165" s="189">
        <f>$J$3</f>
      </c>
      <c r="D165" s="189">
        <f>$H$3</f>
      </c>
      <c r="E165" s="189">
        <f>$H$4</f>
      </c>
      <c r="F165" s="190"/>
      <c r="G165" s="189">
        <f>_xlfn.CONCAT('Consolidado-Eletronorte'!#REF!,"_",ROW('Consolidado-Eletronorte'!#REF!)-ROW('Consolidado-Eletronorte'!$G$18))</f>
      </c>
      <c r="H165" s="186" t="s">
        <v>10</v>
      </c>
      <c r="I165" s="191" t="s">
        <v>85</v>
      </c>
      <c r="J165" s="191" t="s">
        <v>5</v>
      </c>
      <c r="K165" s="192" t="s">
        <v>26</v>
      </c>
      <c r="L165" s="191" t="s">
        <v>39641</v>
      </c>
      <c r="M165" s="191" t="s">
        <v>39672</v>
      </c>
      <c r="N165" s="191"/>
      <c r="O165" s="191"/>
      <c r="P165" s="191"/>
      <c r="Q165" s="193" t="s">
        <v>39822</v>
      </c>
      <c r="R165" s="193" t="s">
        <v>39823</v>
      </c>
      <c r="S165" s="191" t="s">
        <v>38380</v>
      </c>
      <c r="T165" s="194">
        <v>0</v>
      </c>
      <c r="U165" s="195">
        <v>0</v>
      </c>
      <c r="V165" s="195">
        <v>0</v>
      </c>
      <c r="W165" s="195">
        <v>0</v>
      </c>
      <c r="X165" s="194">
        <v>0</v>
      </c>
      <c r="Y165" s="194">
        <v>0</v>
      </c>
      <c r="Z165" s="196">
        <v>94000</v>
      </c>
      <c r="AA165" s="196">
        <v>94000</v>
      </c>
      <c r="AB165" s="196">
        <v>94000</v>
      </c>
      <c r="AC165" s="196">
        <v>94000</v>
      </c>
      <c r="AD165" s="196">
        <v>94000</v>
      </c>
      <c r="AE165" s="196">
        <v>0</v>
      </c>
      <c r="AF165" s="196">
        <f>SUM(Tabela99[[#This Row], [jan/26]:[dez/26]])</f>
      </c>
      <c r="AG165" s="196">
        <v>0</v>
      </c>
      <c r="AH165" s="196">
        <v>0</v>
      </c>
      <c r="AI165" s="196">
        <v>0</v>
      </c>
      <c r="AJ165" s="196">
        <v>0</v>
      </c>
      <c r="AK165" s="196">
        <f>SUM(Tabela99[[#This Row], [2026]:[2030]])</f>
      </c>
      <c r="AL165" s="195">
        <v>0</v>
      </c>
      <c r="AM165" s="196">
        <v>0</v>
      </c>
      <c r="AN165" s="196">
        <v>0</v>
      </c>
      <c r="AO165" s="196">
        <v>0</v>
      </c>
      <c r="AP165" s="196">
        <v>0</v>
      </c>
      <c r="AQ165" s="197">
        <f>SUM(Tabela99[[#This Row], [2026-2030]:[2035]])</f>
      </c>
      <c r="AR165" s="1"/>
      <c r="AS165" s="13" t="s">
        <v>39674</v>
      </c>
      <c r="AT165" s="128" t="s">
        <v>39060</v>
      </c>
      <c r="AU165" s="13" t="s">
        <v>24181</v>
      </c>
      <c r="AV165" s="1"/>
      <c r="AW165" s="13" t="s">
        <v>39062</v>
      </c>
      <c r="AX165" s="2"/>
      <c r="AY165" s="2"/>
      <c r="AZ165" s="13" t="s">
        <v>39675</v>
      </c>
    </row>
    <row x14ac:dyDescent="0.25" r="166" customHeight="1" ht="24.75">
      <c r="A166" s="187"/>
      <c r="B166" s="188">
        <f>AND(ISTEXT('Consolidado-Eletronorte'!#REF!),SUM('Consolidado-Eletronorte'!#REF!)&gt;0)</f>
      </c>
      <c r="C166" s="189">
        <f>$J$3</f>
      </c>
      <c r="D166" s="189">
        <f>$H$3</f>
      </c>
      <c r="E166" s="189">
        <f>$H$4</f>
      </c>
      <c r="F166" s="190"/>
      <c r="G166" s="189">
        <f>_xlfn.CONCAT('Consolidado-Eletronorte'!#REF!,"_",ROW('Consolidado-Eletronorte'!#REF!)-ROW('Consolidado-Eletronorte'!$G$18))</f>
      </c>
      <c r="H166" s="186" t="s">
        <v>10</v>
      </c>
      <c r="I166" s="191" t="s">
        <v>85</v>
      </c>
      <c r="J166" s="191" t="s">
        <v>5</v>
      </c>
      <c r="K166" s="192" t="s">
        <v>26</v>
      </c>
      <c r="L166" s="191" t="s">
        <v>39641</v>
      </c>
      <c r="M166" s="191" t="s">
        <v>39672</v>
      </c>
      <c r="N166" s="191"/>
      <c r="O166" s="191"/>
      <c r="P166" s="191"/>
      <c r="Q166" s="193" t="s">
        <v>39824</v>
      </c>
      <c r="R166" s="193" t="s">
        <v>39825</v>
      </c>
      <c r="S166" s="191" t="s">
        <v>38390</v>
      </c>
      <c r="T166" s="194">
        <v>0</v>
      </c>
      <c r="U166" s="195">
        <v>0</v>
      </c>
      <c r="V166" s="195">
        <v>0</v>
      </c>
      <c r="W166" s="195">
        <v>0</v>
      </c>
      <c r="X166" s="194">
        <v>0</v>
      </c>
      <c r="Y166" s="194">
        <v>0</v>
      </c>
      <c r="Z166" s="196">
        <v>94000</v>
      </c>
      <c r="AA166" s="196">
        <v>94000</v>
      </c>
      <c r="AB166" s="196">
        <v>94000</v>
      </c>
      <c r="AC166" s="196">
        <v>94000</v>
      </c>
      <c r="AD166" s="196">
        <v>94000</v>
      </c>
      <c r="AE166" s="196">
        <v>0</v>
      </c>
      <c r="AF166" s="196">
        <f>SUM(Tabela99[[#This Row], [jan/26]:[dez/26]])</f>
      </c>
      <c r="AG166" s="196">
        <v>0</v>
      </c>
      <c r="AH166" s="196">
        <v>0</v>
      </c>
      <c r="AI166" s="196">
        <v>0</v>
      </c>
      <c r="AJ166" s="196">
        <v>0</v>
      </c>
      <c r="AK166" s="196">
        <f>SUM(Tabela99[[#This Row], [2026]:[2030]])</f>
      </c>
      <c r="AL166" s="195">
        <v>0</v>
      </c>
      <c r="AM166" s="196">
        <v>0</v>
      </c>
      <c r="AN166" s="196">
        <v>0</v>
      </c>
      <c r="AO166" s="196">
        <v>0</v>
      </c>
      <c r="AP166" s="196">
        <v>0</v>
      </c>
      <c r="AQ166" s="197">
        <f>SUM(Tabela99[[#This Row], [2026-2030]:[2035]])</f>
      </c>
      <c r="AR166" s="1"/>
      <c r="AS166" s="13" t="s">
        <v>39674</v>
      </c>
      <c r="AT166" s="128" t="s">
        <v>39060</v>
      </c>
      <c r="AU166" s="13" t="s">
        <v>24181</v>
      </c>
      <c r="AV166" s="1"/>
      <c r="AW166" s="13" t="s">
        <v>39062</v>
      </c>
      <c r="AX166" s="2"/>
      <c r="AY166" s="2"/>
      <c r="AZ166" s="13" t="s">
        <v>39675</v>
      </c>
    </row>
    <row x14ac:dyDescent="0.25" r="167" customHeight="1" ht="24.75">
      <c r="A167" s="187"/>
      <c r="B167" s="188">
        <f>AND(ISTEXT('Consolidado-Eletronorte'!#REF!),SUM('Consolidado-Eletronorte'!#REF!)&gt;0)</f>
      </c>
      <c r="C167" s="189">
        <f>$J$3</f>
      </c>
      <c r="D167" s="189">
        <f>$H$3</f>
      </c>
      <c r="E167" s="189">
        <f>$H$4</f>
      </c>
      <c r="F167" s="190"/>
      <c r="G167" s="189">
        <f>_xlfn.CONCAT('Consolidado-Eletronorte'!#REF!,"_",ROW('Consolidado-Eletronorte'!#REF!)-ROW('Consolidado-Eletronorte'!$G$18))</f>
      </c>
      <c r="H167" s="186" t="s">
        <v>10</v>
      </c>
      <c r="I167" s="191" t="s">
        <v>85</v>
      </c>
      <c r="J167" s="191" t="s">
        <v>5</v>
      </c>
      <c r="K167" s="192" t="s">
        <v>26</v>
      </c>
      <c r="L167" s="191" t="s">
        <v>39641</v>
      </c>
      <c r="M167" s="191" t="s">
        <v>39672</v>
      </c>
      <c r="N167" s="191"/>
      <c r="O167" s="191"/>
      <c r="P167" s="191"/>
      <c r="Q167" s="193" t="s">
        <v>39826</v>
      </c>
      <c r="R167" s="193" t="s">
        <v>39827</v>
      </c>
      <c r="S167" s="191" t="s">
        <v>38378</v>
      </c>
      <c r="T167" s="194">
        <v>0</v>
      </c>
      <c r="U167" s="195">
        <v>47000</v>
      </c>
      <c r="V167" s="195">
        <v>47000</v>
      </c>
      <c r="W167" s="195">
        <v>47000</v>
      </c>
      <c r="X167" s="194">
        <v>47000</v>
      </c>
      <c r="Y167" s="194">
        <v>47000</v>
      </c>
      <c r="Z167" s="196">
        <v>47000</v>
      </c>
      <c r="AA167" s="196">
        <v>47000</v>
      </c>
      <c r="AB167" s="196">
        <v>47000</v>
      </c>
      <c r="AC167" s="196">
        <v>47000</v>
      </c>
      <c r="AD167" s="196">
        <v>47000</v>
      </c>
      <c r="AE167" s="196">
        <v>0</v>
      </c>
      <c r="AF167" s="196">
        <f>SUM(Tabela99[[#This Row], [jan/26]:[dez/26]])</f>
      </c>
      <c r="AG167" s="196">
        <v>0</v>
      </c>
      <c r="AH167" s="196">
        <v>0</v>
      </c>
      <c r="AI167" s="196">
        <v>0</v>
      </c>
      <c r="AJ167" s="196">
        <v>0</v>
      </c>
      <c r="AK167" s="196">
        <f>SUM(Tabela99[[#This Row], [2026]:[2030]])</f>
      </c>
      <c r="AL167" s="195">
        <v>0</v>
      </c>
      <c r="AM167" s="196">
        <v>0</v>
      </c>
      <c r="AN167" s="196">
        <v>0</v>
      </c>
      <c r="AO167" s="196">
        <v>0</v>
      </c>
      <c r="AP167" s="196">
        <v>0</v>
      </c>
      <c r="AQ167" s="197">
        <f>SUM(Tabela99[[#This Row], [2026-2030]:[2035]])</f>
      </c>
      <c r="AR167" s="1"/>
      <c r="AS167" s="13" t="s">
        <v>39674</v>
      </c>
      <c r="AT167" s="128" t="s">
        <v>39060</v>
      </c>
      <c r="AU167" s="13" t="s">
        <v>24181</v>
      </c>
      <c r="AV167" s="1"/>
      <c r="AW167" s="13" t="s">
        <v>39062</v>
      </c>
      <c r="AX167" s="2"/>
      <c r="AY167" s="2"/>
      <c r="AZ167" s="13" t="s">
        <v>39682</v>
      </c>
    </row>
    <row x14ac:dyDescent="0.25" r="168" customHeight="1" ht="24.75">
      <c r="A168" s="187"/>
      <c r="B168" s="188">
        <f>AND(ISTEXT('Consolidado-Eletronorte'!#REF!),SUM('Consolidado-Eletronorte'!#REF!)&gt;0)</f>
      </c>
      <c r="C168" s="189">
        <f>$J$3</f>
      </c>
      <c r="D168" s="189">
        <f>$H$3</f>
      </c>
      <c r="E168" s="189">
        <f>$H$4</f>
      </c>
      <c r="F168" s="190"/>
      <c r="G168" s="189">
        <f>_xlfn.CONCAT('Consolidado-Eletronorte'!#REF!,"_",ROW('Consolidado-Eletronorte'!#REF!)-ROW('Consolidado-Eletronorte'!$G$18))</f>
      </c>
      <c r="H168" s="186" t="s">
        <v>10</v>
      </c>
      <c r="I168" s="191" t="s">
        <v>85</v>
      </c>
      <c r="J168" s="191" t="s">
        <v>5</v>
      </c>
      <c r="K168" s="192" t="s">
        <v>39449</v>
      </c>
      <c r="L168" s="191" t="s">
        <v>39456</v>
      </c>
      <c r="M168" s="191" t="s">
        <v>39701</v>
      </c>
      <c r="N168" s="191"/>
      <c r="O168" s="191"/>
      <c r="P168" s="191"/>
      <c r="Q168" s="193" t="s">
        <v>39828</v>
      </c>
      <c r="R168" s="193" t="s">
        <v>39703</v>
      </c>
      <c r="S168" s="191" t="s">
        <v>39704</v>
      </c>
      <c r="T168" s="194">
        <v>0</v>
      </c>
      <c r="U168" s="195">
        <v>0</v>
      </c>
      <c r="V168" s="195">
        <v>0</v>
      </c>
      <c r="W168" s="195">
        <v>0</v>
      </c>
      <c r="X168" s="194">
        <v>0</v>
      </c>
      <c r="Y168" s="194">
        <v>150000</v>
      </c>
      <c r="Z168" s="196">
        <v>150000</v>
      </c>
      <c r="AA168" s="196">
        <v>150000</v>
      </c>
      <c r="AB168" s="196">
        <v>0</v>
      </c>
      <c r="AC168" s="196">
        <v>0</v>
      </c>
      <c r="AD168" s="196">
        <v>0</v>
      </c>
      <c r="AE168" s="196">
        <v>0</v>
      </c>
      <c r="AF168" s="196">
        <f>SUM(Tabela99[[#This Row], [jan/26]:[dez/26]])</f>
      </c>
      <c r="AG168" s="196">
        <v>0</v>
      </c>
      <c r="AH168" s="196">
        <v>0</v>
      </c>
      <c r="AI168" s="196">
        <v>0</v>
      </c>
      <c r="AJ168" s="196">
        <v>0</v>
      </c>
      <c r="AK168" s="196">
        <f>SUM(Tabela99[[#This Row], [2026]:[2030]])</f>
      </c>
      <c r="AL168" s="195">
        <v>0</v>
      </c>
      <c r="AM168" s="196">
        <v>0</v>
      </c>
      <c r="AN168" s="196">
        <v>0</v>
      </c>
      <c r="AO168" s="196">
        <v>0</v>
      </c>
      <c r="AP168" s="196">
        <v>0</v>
      </c>
      <c r="AQ168" s="197">
        <f>SUM(Tabela99[[#This Row], [2026-2030]:[2035]])</f>
      </c>
      <c r="AR168" s="1"/>
      <c r="AS168" s="13" t="s">
        <v>39510</v>
      </c>
      <c r="AT168" s="39">
        <v>2025</v>
      </c>
      <c r="AU168" s="13" t="s">
        <v>24181</v>
      </c>
      <c r="AV168" s="1"/>
      <c r="AW168" s="13" t="s">
        <v>39194</v>
      </c>
      <c r="AX168" s="2"/>
      <c r="AY168" s="2"/>
      <c r="AZ168" s="13" t="s">
        <v>39705</v>
      </c>
    </row>
    <row x14ac:dyDescent="0.25" r="169" customHeight="1" ht="24.75">
      <c r="A169" s="187"/>
      <c r="B169" s="188">
        <f>AND(ISTEXT('Consolidado-Eletronorte'!#REF!),SUM('Consolidado-Eletronorte'!#REF!)&gt;0)</f>
      </c>
      <c r="C169" s="189">
        <f>$J$3</f>
      </c>
      <c r="D169" s="189">
        <f>$H$3</f>
      </c>
      <c r="E169" s="189">
        <f>$H$4</f>
      </c>
      <c r="F169" s="190"/>
      <c r="G169" s="189">
        <f>_xlfn.CONCAT('Consolidado-Eletronorte'!#REF!,"_",ROW('Consolidado-Eletronorte'!#REF!)-ROW('Consolidado-Eletronorte'!$G$18))</f>
      </c>
      <c r="H169" s="186" t="s">
        <v>10</v>
      </c>
      <c r="I169" s="191" t="s">
        <v>85</v>
      </c>
      <c r="J169" s="191" t="s">
        <v>5</v>
      </c>
      <c r="K169" s="192" t="s">
        <v>39449</v>
      </c>
      <c r="L169" s="191" t="s">
        <v>39456</v>
      </c>
      <c r="M169" s="191" t="s">
        <v>39628</v>
      </c>
      <c r="N169" s="191"/>
      <c r="O169" s="191"/>
      <c r="P169" s="191"/>
      <c r="Q169" s="193" t="s">
        <v>39829</v>
      </c>
      <c r="R169" s="193" t="s">
        <v>39830</v>
      </c>
      <c r="S169" s="191" t="s">
        <v>39631</v>
      </c>
      <c r="T169" s="194">
        <v>0</v>
      </c>
      <c r="U169" s="195">
        <v>0</v>
      </c>
      <c r="V169" s="195">
        <v>0</v>
      </c>
      <c r="W169" s="195">
        <v>0</v>
      </c>
      <c r="X169" s="194">
        <v>100000</v>
      </c>
      <c r="Y169" s="194">
        <v>100000</v>
      </c>
      <c r="Z169" s="196">
        <v>100000</v>
      </c>
      <c r="AA169" s="196">
        <v>100000</v>
      </c>
      <c r="AB169" s="196">
        <v>0</v>
      </c>
      <c r="AC169" s="196">
        <v>0</v>
      </c>
      <c r="AD169" s="196">
        <v>0</v>
      </c>
      <c r="AE169" s="196">
        <v>0</v>
      </c>
      <c r="AF169" s="196">
        <f>SUM(Tabela99[[#This Row], [jan/26]:[dez/26]])</f>
      </c>
      <c r="AG169" s="196">
        <v>0</v>
      </c>
      <c r="AH169" s="196">
        <v>0</v>
      </c>
      <c r="AI169" s="196">
        <v>0</v>
      </c>
      <c r="AJ169" s="196">
        <v>0</v>
      </c>
      <c r="AK169" s="196">
        <f>SUM(Tabela99[[#This Row], [2026]:[2030]])</f>
      </c>
      <c r="AL169" s="195">
        <v>0</v>
      </c>
      <c r="AM169" s="196">
        <v>0</v>
      </c>
      <c r="AN169" s="196">
        <v>0</v>
      </c>
      <c r="AO169" s="196">
        <v>0</v>
      </c>
      <c r="AP169" s="196">
        <v>0</v>
      </c>
      <c r="AQ169" s="197">
        <f>SUM(Tabela99[[#This Row], [2026-2030]:[2035]])</f>
      </c>
      <c r="AR169" s="1"/>
      <c r="AS169" s="13" t="s">
        <v>39510</v>
      </c>
      <c r="AT169" s="128" t="s">
        <v>39060</v>
      </c>
      <c r="AU169" s="13" t="s">
        <v>24181</v>
      </c>
      <c r="AV169" s="1"/>
      <c r="AW169" s="13" t="s">
        <v>39194</v>
      </c>
      <c r="AX169" s="2"/>
      <c r="AY169" s="2"/>
      <c r="AZ169" s="13" t="s">
        <v>39633</v>
      </c>
    </row>
    <row x14ac:dyDescent="0.25" r="170" customHeight="1" ht="24.75">
      <c r="A170" s="187"/>
      <c r="B170" s="188">
        <f>AND(ISTEXT('Consolidado-Eletronorte'!#REF!),SUM('Consolidado-Eletronorte'!#REF!)&gt;0)</f>
      </c>
      <c r="C170" s="189">
        <f>$J$3</f>
      </c>
      <c r="D170" s="189">
        <f>$H$3</f>
      </c>
      <c r="E170" s="189">
        <f>$H$4</f>
      </c>
      <c r="F170" s="190"/>
      <c r="G170" s="189">
        <f>_xlfn.CONCAT('Consolidado-Eletronorte'!#REF!,"_",ROW('Consolidado-Eletronorte'!#REF!)-ROW('Consolidado-Eletronorte'!$G$18))</f>
      </c>
      <c r="H170" s="186" t="s">
        <v>10</v>
      </c>
      <c r="I170" s="191" t="s">
        <v>85</v>
      </c>
      <c r="J170" s="191" t="s">
        <v>5</v>
      </c>
      <c r="K170" s="192" t="s">
        <v>26</v>
      </c>
      <c r="L170" s="191" t="s">
        <v>39641</v>
      </c>
      <c r="M170" s="191" t="s">
        <v>39831</v>
      </c>
      <c r="N170" s="191"/>
      <c r="O170" s="191"/>
      <c r="P170" s="191"/>
      <c r="Q170" s="193" t="s">
        <v>39832</v>
      </c>
      <c r="R170" s="193" t="s">
        <v>39833</v>
      </c>
      <c r="S170" s="191" t="s">
        <v>38384</v>
      </c>
      <c r="T170" s="194">
        <v>0</v>
      </c>
      <c r="U170" s="195">
        <v>370000</v>
      </c>
      <c r="V170" s="195">
        <v>0</v>
      </c>
      <c r="W170" s="195">
        <v>0</v>
      </c>
      <c r="X170" s="194">
        <v>0</v>
      </c>
      <c r="Y170" s="194">
        <v>0</v>
      </c>
      <c r="Z170" s="196">
        <v>0</v>
      </c>
      <c r="AA170" s="196">
        <v>0</v>
      </c>
      <c r="AB170" s="196">
        <v>0</v>
      </c>
      <c r="AC170" s="196">
        <v>0</v>
      </c>
      <c r="AD170" s="196">
        <v>0</v>
      </c>
      <c r="AE170" s="196">
        <v>0</v>
      </c>
      <c r="AF170" s="196">
        <f>SUM(Tabela99[[#This Row], [jan/26]:[dez/26]])</f>
      </c>
      <c r="AG170" s="196">
        <v>0</v>
      </c>
      <c r="AH170" s="196">
        <v>0</v>
      </c>
      <c r="AI170" s="196">
        <v>0</v>
      </c>
      <c r="AJ170" s="196">
        <v>0</v>
      </c>
      <c r="AK170" s="196">
        <f>SUM(Tabela99[[#This Row], [2026]:[2030]])</f>
      </c>
      <c r="AL170" s="195">
        <v>0</v>
      </c>
      <c r="AM170" s="196">
        <v>0</v>
      </c>
      <c r="AN170" s="196">
        <v>0</v>
      </c>
      <c r="AO170" s="196">
        <v>0</v>
      </c>
      <c r="AP170" s="196">
        <v>0</v>
      </c>
      <c r="AQ170" s="197">
        <f>SUM(Tabela99[[#This Row], [2026-2030]:[2035]])</f>
      </c>
      <c r="AR170" s="1"/>
      <c r="AS170" s="13" t="s">
        <v>39674</v>
      </c>
      <c r="AT170" s="39">
        <v>2025</v>
      </c>
      <c r="AU170" s="13" t="s">
        <v>24181</v>
      </c>
      <c r="AV170" s="1"/>
      <c r="AW170" s="13" t="s">
        <v>46</v>
      </c>
      <c r="AX170" s="2"/>
      <c r="AY170" s="2"/>
      <c r="AZ170" s="13" t="s">
        <v>39682</v>
      </c>
    </row>
    <row x14ac:dyDescent="0.25" r="171" customHeight="1" ht="24.75">
      <c r="A171" s="187"/>
      <c r="B171" s="188">
        <f>AND(ISTEXT('Consolidado-Eletronorte'!#REF!),SUM('Consolidado-Eletronorte'!#REF!)&gt;0)</f>
      </c>
      <c r="C171" s="189">
        <f>$J$3</f>
      </c>
      <c r="D171" s="189">
        <f>$H$3</f>
      </c>
      <c r="E171" s="189">
        <f>$H$4</f>
      </c>
      <c r="F171" s="190"/>
      <c r="G171" s="189">
        <f>_xlfn.CONCAT('Consolidado-Eletronorte'!#REF!,"_",ROW('Consolidado-Eletronorte'!#REF!)-ROW('Consolidado-Eletronorte'!$G$18))</f>
      </c>
      <c r="H171" s="186" t="s">
        <v>10</v>
      </c>
      <c r="I171" s="191" t="s">
        <v>85</v>
      </c>
      <c r="J171" s="191" t="s">
        <v>5</v>
      </c>
      <c r="K171" s="192" t="s">
        <v>39449</v>
      </c>
      <c r="L171" s="191" t="s">
        <v>39456</v>
      </c>
      <c r="M171" s="191" t="s">
        <v>39652</v>
      </c>
      <c r="N171" s="191"/>
      <c r="O171" s="191"/>
      <c r="P171" s="191"/>
      <c r="Q171" s="193" t="s">
        <v>39834</v>
      </c>
      <c r="R171" s="193" t="s">
        <v>39813</v>
      </c>
      <c r="S171" s="191" t="s">
        <v>39655</v>
      </c>
      <c r="T171" s="194">
        <v>0</v>
      </c>
      <c r="U171" s="195">
        <v>0</v>
      </c>
      <c r="V171" s="195">
        <v>0</v>
      </c>
      <c r="W171" s="195">
        <v>0</v>
      </c>
      <c r="X171" s="194">
        <v>0</v>
      </c>
      <c r="Y171" s="194">
        <v>0</v>
      </c>
      <c r="Z171" s="196">
        <v>180000</v>
      </c>
      <c r="AA171" s="196">
        <v>180000</v>
      </c>
      <c r="AB171" s="196">
        <v>0</v>
      </c>
      <c r="AC171" s="196">
        <v>0</v>
      </c>
      <c r="AD171" s="196">
        <v>0</v>
      </c>
      <c r="AE171" s="196">
        <v>0</v>
      </c>
      <c r="AF171" s="196">
        <f>SUM(Tabela99[[#This Row], [jan/26]:[dez/26]])</f>
      </c>
      <c r="AG171" s="196">
        <v>0</v>
      </c>
      <c r="AH171" s="196">
        <v>0</v>
      </c>
      <c r="AI171" s="196">
        <v>0</v>
      </c>
      <c r="AJ171" s="196">
        <v>0</v>
      </c>
      <c r="AK171" s="196">
        <f>SUM(Tabela99[[#This Row], [2026]:[2030]])</f>
      </c>
      <c r="AL171" s="195">
        <v>0</v>
      </c>
      <c r="AM171" s="196">
        <v>0</v>
      </c>
      <c r="AN171" s="196">
        <v>0</v>
      </c>
      <c r="AO171" s="196">
        <v>0</v>
      </c>
      <c r="AP171" s="196">
        <v>0</v>
      </c>
      <c r="AQ171" s="197">
        <f>SUM(Tabela99[[#This Row], [2026-2030]:[2035]])</f>
      </c>
      <c r="AR171" s="1"/>
      <c r="AS171" s="13" t="s">
        <v>39656</v>
      </c>
      <c r="AT171" s="128" t="s">
        <v>39060</v>
      </c>
      <c r="AU171" s="13" t="s">
        <v>24181</v>
      </c>
      <c r="AV171" s="1"/>
      <c r="AW171" s="13" t="s">
        <v>39194</v>
      </c>
      <c r="AX171" s="2"/>
      <c r="AY171" s="2"/>
      <c r="AZ171" s="13" t="s">
        <v>39658</v>
      </c>
    </row>
    <row x14ac:dyDescent="0.25" r="172" customHeight="1" ht="24.75">
      <c r="A172" s="187"/>
      <c r="B172" s="188">
        <f>AND(ISTEXT('Consolidado-Eletronorte'!#REF!),SUM('Consolidado-Eletronorte'!#REF!)&gt;0)</f>
      </c>
      <c r="C172" s="189">
        <f>$J$3</f>
      </c>
      <c r="D172" s="189">
        <f>$H$3</f>
      </c>
      <c r="E172" s="189">
        <f>$H$4</f>
      </c>
      <c r="F172" s="190"/>
      <c r="G172" s="189">
        <f>_xlfn.CONCAT('Consolidado-Eletronorte'!#REF!,"_",ROW('Consolidado-Eletronorte'!#REF!)-ROW('Consolidado-Eletronorte'!$G$18))</f>
      </c>
      <c r="H172" s="186" t="s">
        <v>10</v>
      </c>
      <c r="I172" s="191" t="s">
        <v>85</v>
      </c>
      <c r="J172" s="191" t="s">
        <v>5</v>
      </c>
      <c r="K172" s="192" t="s">
        <v>39449</v>
      </c>
      <c r="L172" s="191" t="s">
        <v>39456</v>
      </c>
      <c r="M172" s="191" t="s">
        <v>39476</v>
      </c>
      <c r="N172" s="191"/>
      <c r="O172" s="191"/>
      <c r="P172" s="191"/>
      <c r="Q172" s="193" t="s">
        <v>39835</v>
      </c>
      <c r="R172" s="193" t="s">
        <v>39740</v>
      </c>
      <c r="S172" s="191" t="s">
        <v>39479</v>
      </c>
      <c r="T172" s="194">
        <v>0</v>
      </c>
      <c r="U172" s="195">
        <v>0</v>
      </c>
      <c r="V172" s="195">
        <v>0</v>
      </c>
      <c r="W172" s="195">
        <v>0</v>
      </c>
      <c r="X172" s="194">
        <v>0</v>
      </c>
      <c r="Y172" s="194">
        <v>315000</v>
      </c>
      <c r="Z172" s="196">
        <v>0</v>
      </c>
      <c r="AA172" s="196">
        <v>0</v>
      </c>
      <c r="AB172" s="196">
        <v>0</v>
      </c>
      <c r="AC172" s="196">
        <v>0</v>
      </c>
      <c r="AD172" s="196">
        <v>0</v>
      </c>
      <c r="AE172" s="196">
        <v>0</v>
      </c>
      <c r="AF172" s="196">
        <f>SUM(Tabela99[[#This Row], [jan/26]:[dez/26]])</f>
      </c>
      <c r="AG172" s="196">
        <v>0</v>
      </c>
      <c r="AH172" s="196">
        <v>0</v>
      </c>
      <c r="AI172" s="196">
        <v>0</v>
      </c>
      <c r="AJ172" s="196">
        <v>0</v>
      </c>
      <c r="AK172" s="196">
        <f>SUM(Tabela99[[#This Row], [2026]:[2030]])</f>
      </c>
      <c r="AL172" s="195">
        <v>0</v>
      </c>
      <c r="AM172" s="196">
        <v>0</v>
      </c>
      <c r="AN172" s="196">
        <v>0</v>
      </c>
      <c r="AO172" s="196">
        <v>0</v>
      </c>
      <c r="AP172" s="196">
        <v>0</v>
      </c>
      <c r="AQ172" s="197">
        <f>SUM(Tabela99[[#This Row], [2026-2030]:[2035]])</f>
      </c>
      <c r="AR172" s="1"/>
      <c r="AS172" s="13" t="s">
        <v>39480</v>
      </c>
      <c r="AT172" s="128" t="s">
        <v>39060</v>
      </c>
      <c r="AU172" s="13" t="s">
        <v>24181</v>
      </c>
      <c r="AV172" s="1"/>
      <c r="AW172" s="13" t="s">
        <v>39194</v>
      </c>
      <c r="AX172" s="2"/>
      <c r="AY172" s="2"/>
      <c r="AZ172" s="13" t="s">
        <v>39481</v>
      </c>
    </row>
    <row x14ac:dyDescent="0.25" r="173" customHeight="1" ht="24.75">
      <c r="A173" s="187"/>
      <c r="B173" s="188">
        <f>AND(ISTEXT('Consolidado-Eletronorte'!#REF!),SUM('Consolidado-Eletronorte'!#REF!)&gt;0)</f>
      </c>
      <c r="C173" s="189">
        <f>$J$3</f>
      </c>
      <c r="D173" s="189">
        <f>$H$3</f>
      </c>
      <c r="E173" s="189">
        <f>$H$4</f>
      </c>
      <c r="F173" s="190"/>
      <c r="G173" s="189">
        <f>_xlfn.CONCAT('Consolidado-Eletronorte'!#REF!,"_",ROW('Consolidado-Eletronorte'!#REF!)-ROW('Consolidado-Eletronorte'!$G$18))</f>
      </c>
      <c r="H173" s="186" t="s">
        <v>10</v>
      </c>
      <c r="I173" s="191" t="s">
        <v>85</v>
      </c>
      <c r="J173" s="191" t="s">
        <v>5</v>
      </c>
      <c r="K173" s="192" t="s">
        <v>39449</v>
      </c>
      <c r="L173" s="191" t="s">
        <v>39456</v>
      </c>
      <c r="M173" s="191" t="s">
        <v>39578</v>
      </c>
      <c r="N173" s="191"/>
      <c r="O173" s="191"/>
      <c r="P173" s="191"/>
      <c r="Q173" s="193" t="s">
        <v>39836</v>
      </c>
      <c r="R173" s="193" t="s">
        <v>39837</v>
      </c>
      <c r="S173" s="191" t="s">
        <v>38384</v>
      </c>
      <c r="T173" s="194">
        <v>0</v>
      </c>
      <c r="U173" s="195">
        <v>0</v>
      </c>
      <c r="V173" s="195">
        <v>0</v>
      </c>
      <c r="W173" s="195">
        <v>0</v>
      </c>
      <c r="X173" s="194">
        <v>0</v>
      </c>
      <c r="Y173" s="194">
        <v>0</v>
      </c>
      <c r="Z173" s="196">
        <v>0</v>
      </c>
      <c r="AA173" s="196">
        <v>0</v>
      </c>
      <c r="AB173" s="196">
        <v>300000</v>
      </c>
      <c r="AC173" s="196">
        <v>0</v>
      </c>
      <c r="AD173" s="196">
        <v>0</v>
      </c>
      <c r="AE173" s="196">
        <v>0</v>
      </c>
      <c r="AF173" s="196">
        <f>SUM(Tabela99[[#This Row], [jan/26]:[dez/26]])</f>
      </c>
      <c r="AG173" s="196">
        <v>0</v>
      </c>
      <c r="AH173" s="196">
        <v>0</v>
      </c>
      <c r="AI173" s="196">
        <v>0</v>
      </c>
      <c r="AJ173" s="196">
        <v>0</v>
      </c>
      <c r="AK173" s="196">
        <f>SUM(Tabela99[[#This Row], [2026]:[2030]])</f>
      </c>
      <c r="AL173" s="195">
        <v>0</v>
      </c>
      <c r="AM173" s="196">
        <v>0</v>
      </c>
      <c r="AN173" s="196">
        <v>0</v>
      </c>
      <c r="AO173" s="196">
        <v>0</v>
      </c>
      <c r="AP173" s="196">
        <v>0</v>
      </c>
      <c r="AQ173" s="197">
        <f>SUM(Tabela99[[#This Row], [2026-2030]:[2035]])</f>
      </c>
      <c r="AR173" s="1"/>
      <c r="AS173" s="13" t="s">
        <v>39461</v>
      </c>
      <c r="AT173" s="39">
        <v>2025</v>
      </c>
      <c r="AU173" s="13" t="s">
        <v>24181</v>
      </c>
      <c r="AV173" s="1"/>
      <c r="AW173" s="13" t="s">
        <v>39194</v>
      </c>
      <c r="AX173" s="2"/>
      <c r="AY173" s="2"/>
      <c r="AZ173" s="13" t="s">
        <v>39582</v>
      </c>
    </row>
    <row x14ac:dyDescent="0.25" r="174" customHeight="1" ht="24.75">
      <c r="A174" s="187"/>
      <c r="B174" s="188">
        <f>AND(ISTEXT('Consolidado-Eletronorte'!#REF!),SUM('Consolidado-Eletronorte'!#REF!)&gt;0)</f>
      </c>
      <c r="C174" s="189">
        <f>$J$3</f>
      </c>
      <c r="D174" s="189">
        <f>$H$3</f>
      </c>
      <c r="E174" s="189">
        <f>$H$4</f>
      </c>
      <c r="F174" s="190"/>
      <c r="G174" s="189">
        <f>_xlfn.CONCAT('Consolidado-Eletronorte'!#REF!,"_",ROW('Consolidado-Eletronorte'!#REF!)-ROW('Consolidado-Eletronorte'!$G$18))</f>
      </c>
      <c r="H174" s="186" t="s">
        <v>10</v>
      </c>
      <c r="I174" s="191" t="s">
        <v>85</v>
      </c>
      <c r="J174" s="191" t="s">
        <v>5</v>
      </c>
      <c r="K174" s="192" t="s">
        <v>39449</v>
      </c>
      <c r="L174" s="191" t="s">
        <v>39456</v>
      </c>
      <c r="M174" s="191" t="s">
        <v>39595</v>
      </c>
      <c r="N174" s="191"/>
      <c r="O174" s="191"/>
      <c r="P174" s="191"/>
      <c r="Q174" s="193" t="s">
        <v>39838</v>
      </c>
      <c r="R174" s="193" t="s">
        <v>39839</v>
      </c>
      <c r="S174" s="191" t="s">
        <v>39598</v>
      </c>
      <c r="T174" s="194">
        <v>0</v>
      </c>
      <c r="U174" s="195">
        <v>0</v>
      </c>
      <c r="V174" s="195">
        <v>0</v>
      </c>
      <c r="W174" s="195">
        <v>0</v>
      </c>
      <c r="X174" s="194">
        <v>300000</v>
      </c>
      <c r="Y174" s="194">
        <v>0</v>
      </c>
      <c r="Z174" s="196">
        <v>0</v>
      </c>
      <c r="AA174" s="196">
        <v>0</v>
      </c>
      <c r="AB174" s="196">
        <v>0</v>
      </c>
      <c r="AC174" s="196">
        <v>0</v>
      </c>
      <c r="AD174" s="196">
        <v>0</v>
      </c>
      <c r="AE174" s="196">
        <v>0</v>
      </c>
      <c r="AF174" s="196">
        <f>SUM(Tabela99[[#This Row], [jan/26]:[dez/26]])</f>
      </c>
      <c r="AG174" s="196">
        <v>0</v>
      </c>
      <c r="AH174" s="196">
        <v>0</v>
      </c>
      <c r="AI174" s="196">
        <v>0</v>
      </c>
      <c r="AJ174" s="196">
        <v>0</v>
      </c>
      <c r="AK174" s="196">
        <f>SUM(Tabela99[[#This Row], [2026]:[2030]])</f>
      </c>
      <c r="AL174" s="195">
        <v>0</v>
      </c>
      <c r="AM174" s="196">
        <v>0</v>
      </c>
      <c r="AN174" s="196">
        <v>0</v>
      </c>
      <c r="AO174" s="196">
        <v>0</v>
      </c>
      <c r="AP174" s="196">
        <v>0</v>
      </c>
      <c r="AQ174" s="197">
        <f>SUM(Tabela99[[#This Row], [2026-2030]:[2035]])</f>
      </c>
      <c r="AR174" s="1"/>
      <c r="AS174" s="13" t="s">
        <v>39461</v>
      </c>
      <c r="AT174" s="39">
        <v>2025</v>
      </c>
      <c r="AU174" s="13" t="s">
        <v>24181</v>
      </c>
      <c r="AV174" s="1"/>
      <c r="AW174" s="13" t="s">
        <v>39194</v>
      </c>
      <c r="AX174" s="2"/>
      <c r="AY174" s="2"/>
      <c r="AZ174" s="13" t="s">
        <v>39582</v>
      </c>
    </row>
    <row x14ac:dyDescent="0.25" r="175" customHeight="1" ht="24.75">
      <c r="A175" s="187"/>
      <c r="B175" s="188">
        <f>AND(ISTEXT('Consolidado-Eletronorte'!#REF!),SUM('Consolidado-Eletronorte'!#REF!)&gt;0)</f>
      </c>
      <c r="C175" s="189">
        <f>$J$3</f>
      </c>
      <c r="D175" s="189">
        <f>$H$3</f>
      </c>
      <c r="E175" s="189">
        <f>$H$4</f>
      </c>
      <c r="F175" s="190"/>
      <c r="G175" s="189">
        <f>_xlfn.CONCAT('Consolidado-Eletronorte'!#REF!,"_",ROW('Consolidado-Eletronorte'!#REF!)-ROW('Consolidado-Eletronorte'!$G$18))</f>
      </c>
      <c r="H175" s="186" t="s">
        <v>10</v>
      </c>
      <c r="I175" s="191" t="s">
        <v>85</v>
      </c>
      <c r="J175" s="191" t="s">
        <v>5</v>
      </c>
      <c r="K175" s="192" t="s">
        <v>39449</v>
      </c>
      <c r="L175" s="191" t="s">
        <v>39456</v>
      </c>
      <c r="M175" s="191" t="s">
        <v>39512</v>
      </c>
      <c r="N175" s="191"/>
      <c r="O175" s="191"/>
      <c r="P175" s="191"/>
      <c r="Q175" s="193" t="s">
        <v>39840</v>
      </c>
      <c r="R175" s="193" t="s">
        <v>39841</v>
      </c>
      <c r="S175" s="191" t="s">
        <v>39460</v>
      </c>
      <c r="T175" s="194">
        <v>0</v>
      </c>
      <c r="U175" s="195">
        <v>0</v>
      </c>
      <c r="V175" s="195">
        <v>0</v>
      </c>
      <c r="W175" s="195">
        <v>0</v>
      </c>
      <c r="X175" s="194">
        <v>0</v>
      </c>
      <c r="Y175" s="194">
        <v>150000</v>
      </c>
      <c r="Z175" s="196">
        <v>150000</v>
      </c>
      <c r="AA175" s="196">
        <v>0</v>
      </c>
      <c r="AB175" s="196">
        <v>0</v>
      </c>
      <c r="AC175" s="196">
        <v>0</v>
      </c>
      <c r="AD175" s="196">
        <v>0</v>
      </c>
      <c r="AE175" s="196">
        <v>0</v>
      </c>
      <c r="AF175" s="196">
        <f>SUM(Tabela99[[#This Row], [jan/26]:[dez/26]])</f>
      </c>
      <c r="AG175" s="196">
        <v>0</v>
      </c>
      <c r="AH175" s="196">
        <v>0</v>
      </c>
      <c r="AI175" s="196">
        <v>0</v>
      </c>
      <c r="AJ175" s="196">
        <v>0</v>
      </c>
      <c r="AK175" s="196">
        <f>SUM(Tabela99[[#This Row], [2026]:[2030]])</f>
      </c>
      <c r="AL175" s="195">
        <v>0</v>
      </c>
      <c r="AM175" s="196">
        <v>0</v>
      </c>
      <c r="AN175" s="196">
        <v>0</v>
      </c>
      <c r="AO175" s="196">
        <v>0</v>
      </c>
      <c r="AP175" s="196">
        <v>0</v>
      </c>
      <c r="AQ175" s="197">
        <f>SUM(Tabela99[[#This Row], [2026-2030]:[2035]])</f>
      </c>
      <c r="AR175" s="1"/>
      <c r="AS175" s="13" t="s">
        <v>39461</v>
      </c>
      <c r="AT175" s="128" t="s">
        <v>39060</v>
      </c>
      <c r="AU175" s="13" t="s">
        <v>24181</v>
      </c>
      <c r="AV175" s="1"/>
      <c r="AW175" s="13" t="s">
        <v>39194</v>
      </c>
      <c r="AX175" s="2"/>
      <c r="AY175" s="2"/>
      <c r="AZ175" s="13" t="s">
        <v>39463</v>
      </c>
    </row>
    <row x14ac:dyDescent="0.25" r="176" customHeight="1" ht="24.75">
      <c r="A176" s="187"/>
      <c r="B176" s="188">
        <f>AND(ISTEXT('Consolidado-Eletronorte'!#REF!),SUM('Consolidado-Eletronorte'!#REF!)&gt;0)</f>
      </c>
      <c r="C176" s="189">
        <f>$J$3</f>
      </c>
      <c r="D176" s="189">
        <f>$H$3</f>
      </c>
      <c r="E176" s="189">
        <f>$H$4</f>
      </c>
      <c r="F176" s="190"/>
      <c r="G176" s="189">
        <f>_xlfn.CONCAT('Consolidado-Eletronorte'!#REF!,"_",ROW('Consolidado-Eletronorte'!#REF!)-ROW('Consolidado-Eletronorte'!$G$18))</f>
      </c>
      <c r="H176" s="186" t="s">
        <v>10</v>
      </c>
      <c r="I176" s="191" t="s">
        <v>85</v>
      </c>
      <c r="J176" s="191" t="s">
        <v>5</v>
      </c>
      <c r="K176" s="192" t="s">
        <v>39449</v>
      </c>
      <c r="L176" s="191" t="s">
        <v>39456</v>
      </c>
      <c r="M176" s="191" t="s">
        <v>39621</v>
      </c>
      <c r="N176" s="191"/>
      <c r="O176" s="191"/>
      <c r="P176" s="191"/>
      <c r="Q176" s="193" t="s">
        <v>39811</v>
      </c>
      <c r="R176" s="193" t="s">
        <v>39811</v>
      </c>
      <c r="S176" s="191" t="s">
        <v>39509</v>
      </c>
      <c r="T176" s="194">
        <v>0</v>
      </c>
      <c r="U176" s="195">
        <v>0</v>
      </c>
      <c r="V176" s="195">
        <v>0</v>
      </c>
      <c r="W176" s="195">
        <v>300000</v>
      </c>
      <c r="X176" s="194">
        <v>0</v>
      </c>
      <c r="Y176" s="194">
        <v>0</v>
      </c>
      <c r="Z176" s="196">
        <v>0</v>
      </c>
      <c r="AA176" s="196">
        <v>0</v>
      </c>
      <c r="AB176" s="196">
        <v>0</v>
      </c>
      <c r="AC176" s="196">
        <v>0</v>
      </c>
      <c r="AD176" s="196">
        <v>0</v>
      </c>
      <c r="AE176" s="196">
        <v>0</v>
      </c>
      <c r="AF176" s="196">
        <f>SUM(Tabela99[[#This Row], [jan/26]:[dez/26]])</f>
      </c>
      <c r="AG176" s="196">
        <v>0</v>
      </c>
      <c r="AH176" s="196">
        <v>0</v>
      </c>
      <c r="AI176" s="196">
        <v>0</v>
      </c>
      <c r="AJ176" s="196">
        <v>0</v>
      </c>
      <c r="AK176" s="196">
        <f>SUM(Tabela99[[#This Row], [2026]:[2030]])</f>
      </c>
      <c r="AL176" s="195">
        <v>0</v>
      </c>
      <c r="AM176" s="196">
        <v>0</v>
      </c>
      <c r="AN176" s="196">
        <v>0</v>
      </c>
      <c r="AO176" s="196">
        <v>0</v>
      </c>
      <c r="AP176" s="196">
        <v>0</v>
      </c>
      <c r="AQ176" s="197">
        <f>SUM(Tabela99[[#This Row], [2026-2030]:[2035]])</f>
      </c>
      <c r="AR176" s="1"/>
      <c r="AS176" s="13" t="s">
        <v>39510</v>
      </c>
      <c r="AT176" s="39">
        <v>2025</v>
      </c>
      <c r="AU176" s="13" t="s">
        <v>24181</v>
      </c>
      <c r="AV176" s="1"/>
      <c r="AW176" s="13" t="s">
        <v>39194</v>
      </c>
      <c r="AX176" s="2"/>
      <c r="AY176" s="2"/>
      <c r="AZ176" s="13" t="s">
        <v>39511</v>
      </c>
    </row>
    <row x14ac:dyDescent="0.25" r="177" customHeight="1" ht="24.75">
      <c r="A177" s="187"/>
      <c r="B177" s="188">
        <f>AND(ISTEXT('Consolidado-Eletronorte'!#REF!),SUM('Consolidado-Eletronorte'!#REF!)&gt;0)</f>
      </c>
      <c r="C177" s="189">
        <f>$J$3</f>
      </c>
      <c r="D177" s="189">
        <f>$H$3</f>
      </c>
      <c r="E177" s="189">
        <f>$H$4</f>
      </c>
      <c r="F177" s="190"/>
      <c r="G177" s="189">
        <f>_xlfn.CONCAT('Consolidado-Eletronorte'!#REF!,"_",ROW('Consolidado-Eletronorte'!#REF!)-ROW('Consolidado-Eletronorte'!$G$18))</f>
      </c>
      <c r="H177" s="186" t="s">
        <v>10</v>
      </c>
      <c r="I177" s="191" t="s">
        <v>85</v>
      </c>
      <c r="J177" s="191" t="s">
        <v>5</v>
      </c>
      <c r="K177" s="192" t="s">
        <v>26</v>
      </c>
      <c r="L177" s="191" t="s">
        <v>39641</v>
      </c>
      <c r="M177" s="191" t="s">
        <v>39782</v>
      </c>
      <c r="N177" s="191"/>
      <c r="O177" s="191"/>
      <c r="P177" s="191"/>
      <c r="Q177" s="193" t="s">
        <v>39842</v>
      </c>
      <c r="R177" s="193" t="s">
        <v>39843</v>
      </c>
      <c r="S177" s="191" t="s">
        <v>39631</v>
      </c>
      <c r="T177" s="194">
        <v>0</v>
      </c>
      <c r="U177" s="195">
        <v>0</v>
      </c>
      <c r="V177" s="195">
        <v>0</v>
      </c>
      <c r="W177" s="195">
        <v>0</v>
      </c>
      <c r="X177" s="194">
        <v>0</v>
      </c>
      <c r="Y177" s="194">
        <v>0</v>
      </c>
      <c r="Z177" s="196">
        <v>0</v>
      </c>
      <c r="AA177" s="196">
        <v>0</v>
      </c>
      <c r="AB177" s="196">
        <v>300000</v>
      </c>
      <c r="AC177" s="196">
        <v>0</v>
      </c>
      <c r="AD177" s="196">
        <v>0</v>
      </c>
      <c r="AE177" s="196">
        <v>0</v>
      </c>
      <c r="AF177" s="196">
        <f>SUM(Tabela99[[#This Row], [jan/26]:[dez/26]])</f>
      </c>
      <c r="AG177" s="196">
        <v>0</v>
      </c>
      <c r="AH177" s="196">
        <v>0</v>
      </c>
      <c r="AI177" s="196">
        <v>0</v>
      </c>
      <c r="AJ177" s="196">
        <v>0</v>
      </c>
      <c r="AK177" s="196">
        <f>SUM(Tabela99[[#This Row], [2026]:[2030]])</f>
      </c>
      <c r="AL177" s="195">
        <v>0</v>
      </c>
      <c r="AM177" s="196">
        <v>0</v>
      </c>
      <c r="AN177" s="196">
        <v>0</v>
      </c>
      <c r="AO177" s="196">
        <v>0</v>
      </c>
      <c r="AP177" s="196">
        <v>0</v>
      </c>
      <c r="AQ177" s="197">
        <f>SUM(Tabela99[[#This Row], [2026-2030]:[2035]])</f>
      </c>
      <c r="AR177" s="1"/>
      <c r="AS177" s="13" t="s">
        <v>39510</v>
      </c>
      <c r="AT177" s="39">
        <v>2025</v>
      </c>
      <c r="AU177" s="13" t="s">
        <v>24181</v>
      </c>
      <c r="AV177" s="1"/>
      <c r="AW177" s="13" t="s">
        <v>39194</v>
      </c>
      <c r="AX177" s="2"/>
      <c r="AY177" s="2"/>
      <c r="AZ177" s="13" t="s">
        <v>39633</v>
      </c>
    </row>
    <row x14ac:dyDescent="0.25" r="178" customHeight="1" ht="24.75">
      <c r="A178" s="187"/>
      <c r="B178" s="188">
        <f>AND(ISTEXT('Consolidado-Eletronorte'!#REF!),SUM('Consolidado-Eletronorte'!#REF!)&gt;0)</f>
      </c>
      <c r="C178" s="189">
        <f>$J$3</f>
      </c>
      <c r="D178" s="189">
        <f>$H$3</f>
      </c>
      <c r="E178" s="189">
        <f>$H$4</f>
      </c>
      <c r="F178" s="190"/>
      <c r="G178" s="189">
        <f>_xlfn.CONCAT('Consolidado-Eletronorte'!#REF!,"_",ROW('Consolidado-Eletronorte'!#REF!)-ROW('Consolidado-Eletronorte'!$G$18))</f>
      </c>
      <c r="H178" s="186" t="s">
        <v>10</v>
      </c>
      <c r="I178" s="191" t="s">
        <v>85</v>
      </c>
      <c r="J178" s="191" t="s">
        <v>5</v>
      </c>
      <c r="K178" s="192" t="s">
        <v>26</v>
      </c>
      <c r="L178" s="191" t="s">
        <v>39641</v>
      </c>
      <c r="M178" s="191" t="s">
        <v>39727</v>
      </c>
      <c r="N178" s="191"/>
      <c r="O178" s="191"/>
      <c r="P178" s="191"/>
      <c r="Q178" s="193" t="s">
        <v>39842</v>
      </c>
      <c r="R178" s="193" t="s">
        <v>39843</v>
      </c>
      <c r="S178" s="191" t="s">
        <v>39718</v>
      </c>
      <c r="T178" s="194">
        <v>0</v>
      </c>
      <c r="U178" s="195">
        <v>0</v>
      </c>
      <c r="V178" s="195">
        <v>0</v>
      </c>
      <c r="W178" s="195">
        <v>0</v>
      </c>
      <c r="X178" s="194">
        <v>0</v>
      </c>
      <c r="Y178" s="194">
        <v>0</v>
      </c>
      <c r="Z178" s="196">
        <v>0</v>
      </c>
      <c r="AA178" s="196">
        <v>0</v>
      </c>
      <c r="AB178" s="196">
        <v>300000</v>
      </c>
      <c r="AC178" s="196">
        <v>0</v>
      </c>
      <c r="AD178" s="196">
        <v>0</v>
      </c>
      <c r="AE178" s="196">
        <v>0</v>
      </c>
      <c r="AF178" s="196">
        <f>SUM(Tabela99[[#This Row], [jan/26]:[dez/26]])</f>
      </c>
      <c r="AG178" s="196">
        <v>0</v>
      </c>
      <c r="AH178" s="196">
        <v>0</v>
      </c>
      <c r="AI178" s="196">
        <v>0</v>
      </c>
      <c r="AJ178" s="196">
        <v>0</v>
      </c>
      <c r="AK178" s="196">
        <f>SUM(Tabela99[[#This Row], [2026]:[2030]])</f>
      </c>
      <c r="AL178" s="195">
        <v>0</v>
      </c>
      <c r="AM178" s="196">
        <v>0</v>
      </c>
      <c r="AN178" s="196">
        <v>0</v>
      </c>
      <c r="AO178" s="196">
        <v>0</v>
      </c>
      <c r="AP178" s="196">
        <v>0</v>
      </c>
      <c r="AQ178" s="197">
        <f>SUM(Tabela99[[#This Row], [2026-2030]:[2035]])</f>
      </c>
      <c r="AR178" s="1"/>
      <c r="AS178" s="13" t="s">
        <v>39510</v>
      </c>
      <c r="AT178" s="39">
        <v>2025</v>
      </c>
      <c r="AU178" s="13" t="s">
        <v>24181</v>
      </c>
      <c r="AV178" s="1"/>
      <c r="AW178" s="13" t="s">
        <v>39194</v>
      </c>
      <c r="AX178" s="2"/>
      <c r="AY178" s="2"/>
      <c r="AZ178" s="13" t="s">
        <v>39633</v>
      </c>
    </row>
    <row x14ac:dyDescent="0.25" r="179" customHeight="1" ht="24.75">
      <c r="A179" s="187"/>
      <c r="B179" s="188">
        <f>AND(ISTEXT('Consolidado-Eletronorte'!#REF!),SUM('Consolidado-Eletronorte'!#REF!)&gt;0)</f>
      </c>
      <c r="C179" s="189">
        <f>$J$3</f>
      </c>
      <c r="D179" s="189">
        <f>$H$3</f>
      </c>
      <c r="E179" s="189">
        <f>$H$4</f>
      </c>
      <c r="F179" s="190"/>
      <c r="G179" s="189">
        <f>_xlfn.CONCAT('Consolidado-Eletronorte'!#REF!,"_",ROW('Consolidado-Eletronorte'!#REF!)-ROW('Consolidado-Eletronorte'!$G$18))</f>
      </c>
      <c r="H179" s="186" t="s">
        <v>10</v>
      </c>
      <c r="I179" s="191" t="s">
        <v>85</v>
      </c>
      <c r="J179" s="191" t="s">
        <v>5</v>
      </c>
      <c r="K179" s="192" t="s">
        <v>26</v>
      </c>
      <c r="L179" s="191" t="s">
        <v>39641</v>
      </c>
      <c r="M179" s="191" t="s">
        <v>39844</v>
      </c>
      <c r="N179" s="191"/>
      <c r="O179" s="191"/>
      <c r="P179" s="191"/>
      <c r="Q179" s="193" t="s">
        <v>39842</v>
      </c>
      <c r="R179" s="193" t="s">
        <v>39843</v>
      </c>
      <c r="S179" s="191" t="s">
        <v>39704</v>
      </c>
      <c r="T179" s="194">
        <v>0</v>
      </c>
      <c r="U179" s="195">
        <v>0</v>
      </c>
      <c r="V179" s="195">
        <v>0</v>
      </c>
      <c r="W179" s="195">
        <v>0</v>
      </c>
      <c r="X179" s="194">
        <v>0</v>
      </c>
      <c r="Y179" s="194">
        <v>0</v>
      </c>
      <c r="Z179" s="196">
        <v>0</v>
      </c>
      <c r="AA179" s="196">
        <v>0</v>
      </c>
      <c r="AB179" s="196">
        <v>300000</v>
      </c>
      <c r="AC179" s="196">
        <v>0</v>
      </c>
      <c r="AD179" s="196">
        <v>0</v>
      </c>
      <c r="AE179" s="196">
        <v>0</v>
      </c>
      <c r="AF179" s="196">
        <f>SUM(Tabela99[[#This Row], [jan/26]:[dez/26]])</f>
      </c>
      <c r="AG179" s="196">
        <v>0</v>
      </c>
      <c r="AH179" s="196">
        <v>0</v>
      </c>
      <c r="AI179" s="196">
        <v>0</v>
      </c>
      <c r="AJ179" s="196">
        <v>0</v>
      </c>
      <c r="AK179" s="196">
        <f>SUM(Tabela99[[#This Row], [2026]:[2030]])</f>
      </c>
      <c r="AL179" s="195">
        <v>0</v>
      </c>
      <c r="AM179" s="196">
        <v>0</v>
      </c>
      <c r="AN179" s="196">
        <v>0</v>
      </c>
      <c r="AO179" s="196">
        <v>0</v>
      </c>
      <c r="AP179" s="196">
        <v>0</v>
      </c>
      <c r="AQ179" s="197">
        <f>SUM(Tabela99[[#This Row], [2026-2030]:[2035]])</f>
      </c>
      <c r="AR179" s="1"/>
      <c r="AS179" s="13" t="s">
        <v>39510</v>
      </c>
      <c r="AT179" s="39">
        <v>2025</v>
      </c>
      <c r="AU179" s="13" t="s">
        <v>24181</v>
      </c>
      <c r="AV179" s="1"/>
      <c r="AW179" s="13" t="s">
        <v>39194</v>
      </c>
      <c r="AX179" s="2"/>
      <c r="AY179" s="2"/>
      <c r="AZ179" s="13" t="s">
        <v>39633</v>
      </c>
    </row>
    <row x14ac:dyDescent="0.25" r="180" customHeight="1" ht="24.75">
      <c r="A180" s="187"/>
      <c r="B180" s="188">
        <f>AND(ISTEXT('Consolidado-Eletronorte'!#REF!),SUM('Consolidado-Eletronorte'!#REF!)&gt;0)</f>
      </c>
      <c r="C180" s="189">
        <f>$J$3</f>
      </c>
      <c r="D180" s="189">
        <f>$H$3</f>
      </c>
      <c r="E180" s="189">
        <f>$H$4</f>
      </c>
      <c r="F180" s="190"/>
      <c r="G180" s="189">
        <f>_xlfn.CONCAT('Consolidado-Eletronorte'!#REF!,"_",ROW('Consolidado-Eletronorte'!#REF!)-ROW('Consolidado-Eletronorte'!$G$18))</f>
      </c>
      <c r="H180" s="186" t="s">
        <v>10</v>
      </c>
      <c r="I180" s="191" t="s">
        <v>85</v>
      </c>
      <c r="J180" s="191" t="s">
        <v>5</v>
      </c>
      <c r="K180" s="192" t="s">
        <v>26</v>
      </c>
      <c r="L180" s="191" t="s">
        <v>39641</v>
      </c>
      <c r="M180" s="191" t="s">
        <v>39727</v>
      </c>
      <c r="N180" s="191"/>
      <c r="O180" s="191"/>
      <c r="P180" s="191"/>
      <c r="Q180" s="193" t="s">
        <v>39845</v>
      </c>
      <c r="R180" s="193" t="s">
        <v>39843</v>
      </c>
      <c r="S180" s="191" t="s">
        <v>39509</v>
      </c>
      <c r="T180" s="194">
        <v>0</v>
      </c>
      <c r="U180" s="195">
        <v>0</v>
      </c>
      <c r="V180" s="195">
        <v>0</v>
      </c>
      <c r="W180" s="195">
        <v>0</v>
      </c>
      <c r="X180" s="194">
        <v>0</v>
      </c>
      <c r="Y180" s="194">
        <v>0</v>
      </c>
      <c r="Z180" s="196">
        <v>0</v>
      </c>
      <c r="AA180" s="196">
        <v>0</v>
      </c>
      <c r="AB180" s="196">
        <v>300000</v>
      </c>
      <c r="AC180" s="196">
        <v>0</v>
      </c>
      <c r="AD180" s="196">
        <v>0</v>
      </c>
      <c r="AE180" s="196">
        <v>0</v>
      </c>
      <c r="AF180" s="196">
        <f>SUM(Tabela99[[#This Row], [jan/26]:[dez/26]])</f>
      </c>
      <c r="AG180" s="196">
        <v>0</v>
      </c>
      <c r="AH180" s="196">
        <v>0</v>
      </c>
      <c r="AI180" s="196">
        <v>0</v>
      </c>
      <c r="AJ180" s="196">
        <v>0</v>
      </c>
      <c r="AK180" s="196">
        <f>SUM(Tabela99[[#This Row], [2026]:[2030]])</f>
      </c>
      <c r="AL180" s="195">
        <v>0</v>
      </c>
      <c r="AM180" s="196">
        <v>0</v>
      </c>
      <c r="AN180" s="196">
        <v>0</v>
      </c>
      <c r="AO180" s="196">
        <v>0</v>
      </c>
      <c r="AP180" s="196">
        <v>0</v>
      </c>
      <c r="AQ180" s="197">
        <f>SUM(Tabela99[[#This Row], [2026-2030]:[2035]])</f>
      </c>
      <c r="AR180" s="1"/>
      <c r="AS180" s="13" t="s">
        <v>39510</v>
      </c>
      <c r="AT180" s="39">
        <v>2025</v>
      </c>
      <c r="AU180" s="13" t="s">
        <v>24181</v>
      </c>
      <c r="AV180" s="1"/>
      <c r="AW180" s="13" t="s">
        <v>39194</v>
      </c>
      <c r="AX180" s="2"/>
      <c r="AY180" s="2"/>
      <c r="AZ180" s="13" t="s">
        <v>39511</v>
      </c>
    </row>
    <row x14ac:dyDescent="0.25" r="181" customHeight="1" ht="24.75">
      <c r="A181" s="187"/>
      <c r="B181" s="188">
        <f>AND(ISTEXT('Consolidado-Eletronorte'!#REF!),SUM('Consolidado-Eletronorte'!#REF!)&gt;0)</f>
      </c>
      <c r="C181" s="189">
        <f>$J$3</f>
      </c>
      <c r="D181" s="189">
        <f>$H$3</f>
      </c>
      <c r="E181" s="189">
        <f>$H$4</f>
      </c>
      <c r="F181" s="190"/>
      <c r="G181" s="189">
        <f>_xlfn.CONCAT('Consolidado-Eletronorte'!#REF!,"_",ROW('Consolidado-Eletronorte'!#REF!)-ROW('Consolidado-Eletronorte'!$G$18))</f>
      </c>
      <c r="H181" s="186" t="s">
        <v>10</v>
      </c>
      <c r="I181" s="191" t="s">
        <v>85</v>
      </c>
      <c r="J181" s="191" t="s">
        <v>5</v>
      </c>
      <c r="K181" s="192" t="s">
        <v>26</v>
      </c>
      <c r="L181" s="191" t="s">
        <v>39641</v>
      </c>
      <c r="M181" s="191" t="s">
        <v>39846</v>
      </c>
      <c r="N181" s="191"/>
      <c r="O181" s="191"/>
      <c r="P181" s="191"/>
      <c r="Q181" s="193" t="s">
        <v>39847</v>
      </c>
      <c r="R181" s="193" t="s">
        <v>39843</v>
      </c>
      <c r="S181" s="191" t="s">
        <v>39509</v>
      </c>
      <c r="T181" s="194">
        <v>0</v>
      </c>
      <c r="U181" s="195">
        <v>0</v>
      </c>
      <c r="V181" s="195">
        <v>0</v>
      </c>
      <c r="W181" s="195">
        <v>0</v>
      </c>
      <c r="X181" s="194">
        <v>0</v>
      </c>
      <c r="Y181" s="194">
        <v>0</v>
      </c>
      <c r="Z181" s="196">
        <v>0</v>
      </c>
      <c r="AA181" s="196">
        <v>0</v>
      </c>
      <c r="AB181" s="196">
        <v>300000</v>
      </c>
      <c r="AC181" s="196">
        <v>0</v>
      </c>
      <c r="AD181" s="196">
        <v>0</v>
      </c>
      <c r="AE181" s="196">
        <v>0</v>
      </c>
      <c r="AF181" s="196">
        <f>SUM(Tabela99[[#This Row], [jan/26]:[dez/26]])</f>
      </c>
      <c r="AG181" s="196">
        <v>0</v>
      </c>
      <c r="AH181" s="196">
        <v>0</v>
      </c>
      <c r="AI181" s="196">
        <v>0</v>
      </c>
      <c r="AJ181" s="196">
        <v>0</v>
      </c>
      <c r="AK181" s="196">
        <f>SUM(Tabela99[[#This Row], [2026]:[2030]])</f>
      </c>
      <c r="AL181" s="195">
        <v>0</v>
      </c>
      <c r="AM181" s="196">
        <v>0</v>
      </c>
      <c r="AN181" s="196">
        <v>0</v>
      </c>
      <c r="AO181" s="196">
        <v>0</v>
      </c>
      <c r="AP181" s="196">
        <v>0</v>
      </c>
      <c r="AQ181" s="197">
        <f>SUM(Tabela99[[#This Row], [2026-2030]:[2035]])</f>
      </c>
      <c r="AR181" s="1"/>
      <c r="AS181" s="13" t="s">
        <v>39510</v>
      </c>
      <c r="AT181" s="39">
        <v>2025</v>
      </c>
      <c r="AU181" s="13" t="s">
        <v>24181</v>
      </c>
      <c r="AV181" s="1"/>
      <c r="AW181" s="13" t="s">
        <v>39194</v>
      </c>
      <c r="AX181" s="2"/>
      <c r="AY181" s="2"/>
      <c r="AZ181" s="13" t="s">
        <v>39511</v>
      </c>
    </row>
    <row x14ac:dyDescent="0.25" r="182" customHeight="1" ht="24.75">
      <c r="A182" s="187"/>
      <c r="B182" s="188">
        <f>AND(ISTEXT('Consolidado-Eletronorte'!#REF!),SUM('Consolidado-Eletronorte'!#REF!)&gt;0)</f>
      </c>
      <c r="C182" s="189">
        <f>$J$3</f>
      </c>
      <c r="D182" s="189">
        <f>$H$3</f>
      </c>
      <c r="E182" s="189">
        <f>$H$4</f>
      </c>
      <c r="F182" s="190"/>
      <c r="G182" s="189">
        <f>_xlfn.CONCAT('Consolidado-Eletronorte'!#REF!,"_",ROW('Consolidado-Eletronorte'!#REF!)-ROW('Consolidado-Eletronorte'!$G$18))</f>
      </c>
      <c r="H182" s="186" t="s">
        <v>10</v>
      </c>
      <c r="I182" s="191" t="s">
        <v>85</v>
      </c>
      <c r="J182" s="191" t="s">
        <v>5</v>
      </c>
      <c r="K182" s="192" t="s">
        <v>26</v>
      </c>
      <c r="L182" s="191" t="s">
        <v>39641</v>
      </c>
      <c r="M182" s="191" t="s">
        <v>39848</v>
      </c>
      <c r="N182" s="191"/>
      <c r="O182" s="191"/>
      <c r="P182" s="191"/>
      <c r="Q182" s="193" t="s">
        <v>39849</v>
      </c>
      <c r="R182" s="193" t="s">
        <v>39843</v>
      </c>
      <c r="S182" s="191" t="s">
        <v>39655</v>
      </c>
      <c r="T182" s="194">
        <v>0</v>
      </c>
      <c r="U182" s="195">
        <v>0</v>
      </c>
      <c r="V182" s="195">
        <v>0</v>
      </c>
      <c r="W182" s="195">
        <v>0</v>
      </c>
      <c r="X182" s="194">
        <v>0</v>
      </c>
      <c r="Y182" s="194">
        <v>0</v>
      </c>
      <c r="Z182" s="196">
        <v>0</v>
      </c>
      <c r="AA182" s="196">
        <v>0</v>
      </c>
      <c r="AB182" s="196">
        <v>300000</v>
      </c>
      <c r="AC182" s="196">
        <v>0</v>
      </c>
      <c r="AD182" s="196">
        <v>0</v>
      </c>
      <c r="AE182" s="196">
        <v>0</v>
      </c>
      <c r="AF182" s="196">
        <f>SUM(Tabela99[[#This Row], [jan/26]:[dez/26]])</f>
      </c>
      <c r="AG182" s="196">
        <v>0</v>
      </c>
      <c r="AH182" s="196">
        <v>0</v>
      </c>
      <c r="AI182" s="196">
        <v>0</v>
      </c>
      <c r="AJ182" s="196">
        <v>0</v>
      </c>
      <c r="AK182" s="196">
        <f>SUM(Tabela99[[#This Row], [2026]:[2030]])</f>
      </c>
      <c r="AL182" s="195">
        <v>0</v>
      </c>
      <c r="AM182" s="196">
        <v>0</v>
      </c>
      <c r="AN182" s="196">
        <v>0</v>
      </c>
      <c r="AO182" s="196">
        <v>0</v>
      </c>
      <c r="AP182" s="196">
        <v>0</v>
      </c>
      <c r="AQ182" s="197">
        <f>SUM(Tabela99[[#This Row], [2026-2030]:[2035]])</f>
      </c>
      <c r="AR182" s="1"/>
      <c r="AS182" s="13" t="s">
        <v>39656</v>
      </c>
      <c r="AT182" s="39">
        <v>2025</v>
      </c>
      <c r="AU182" s="13" t="s">
        <v>24181</v>
      </c>
      <c r="AV182" s="1"/>
      <c r="AW182" s="13" t="s">
        <v>39194</v>
      </c>
      <c r="AX182" s="2"/>
      <c r="AY182" s="2"/>
      <c r="AZ182" s="13" t="s">
        <v>39658</v>
      </c>
    </row>
    <row x14ac:dyDescent="0.25" r="183" customHeight="1" ht="24.75">
      <c r="A183" s="187"/>
      <c r="B183" s="188">
        <f>AND(ISTEXT('Consolidado-Eletronorte'!#REF!),SUM('Consolidado-Eletronorte'!#REF!)&gt;0)</f>
      </c>
      <c r="C183" s="189">
        <f>$J$3</f>
      </c>
      <c r="D183" s="189">
        <f>$H$3</f>
      </c>
      <c r="E183" s="189">
        <f>$H$4</f>
      </c>
      <c r="F183" s="190"/>
      <c r="G183" s="189">
        <f>_xlfn.CONCAT('Consolidado-Eletronorte'!#REF!,"_",ROW('Consolidado-Eletronorte'!#REF!)-ROW('Consolidado-Eletronorte'!$G$18))</f>
      </c>
      <c r="H183" s="186" t="s">
        <v>10</v>
      </c>
      <c r="I183" s="191" t="s">
        <v>85</v>
      </c>
      <c r="J183" s="191" t="s">
        <v>5</v>
      </c>
      <c r="K183" s="192" t="s">
        <v>26</v>
      </c>
      <c r="L183" s="191" t="s">
        <v>39641</v>
      </c>
      <c r="M183" s="191" t="s">
        <v>39850</v>
      </c>
      <c r="N183" s="191"/>
      <c r="O183" s="191"/>
      <c r="P183" s="191"/>
      <c r="Q183" s="193" t="s">
        <v>39851</v>
      </c>
      <c r="R183" s="193" t="s">
        <v>39843</v>
      </c>
      <c r="S183" s="191" t="s">
        <v>39655</v>
      </c>
      <c r="T183" s="194">
        <v>0</v>
      </c>
      <c r="U183" s="195">
        <v>0</v>
      </c>
      <c r="V183" s="195">
        <v>0</v>
      </c>
      <c r="W183" s="195">
        <v>0</v>
      </c>
      <c r="X183" s="194">
        <v>0</v>
      </c>
      <c r="Y183" s="194">
        <v>0</v>
      </c>
      <c r="Z183" s="196">
        <v>0</v>
      </c>
      <c r="AA183" s="196">
        <v>0</v>
      </c>
      <c r="AB183" s="196">
        <v>300000</v>
      </c>
      <c r="AC183" s="196">
        <v>0</v>
      </c>
      <c r="AD183" s="196">
        <v>0</v>
      </c>
      <c r="AE183" s="196">
        <v>0</v>
      </c>
      <c r="AF183" s="196">
        <f>SUM(Tabela99[[#This Row], [jan/26]:[dez/26]])</f>
      </c>
      <c r="AG183" s="196">
        <v>0</v>
      </c>
      <c r="AH183" s="196">
        <v>0</v>
      </c>
      <c r="AI183" s="196">
        <v>0</v>
      </c>
      <c r="AJ183" s="196">
        <v>0</v>
      </c>
      <c r="AK183" s="196">
        <f>SUM(Tabela99[[#This Row], [2026]:[2030]])</f>
      </c>
      <c r="AL183" s="195">
        <v>0</v>
      </c>
      <c r="AM183" s="196">
        <v>0</v>
      </c>
      <c r="AN183" s="196">
        <v>0</v>
      </c>
      <c r="AO183" s="196">
        <v>0</v>
      </c>
      <c r="AP183" s="196">
        <v>0</v>
      </c>
      <c r="AQ183" s="197">
        <f>SUM(Tabela99[[#This Row], [2026-2030]:[2035]])</f>
      </c>
      <c r="AR183" s="1"/>
      <c r="AS183" s="13" t="s">
        <v>39656</v>
      </c>
      <c r="AT183" s="39">
        <v>2025</v>
      </c>
      <c r="AU183" s="13" t="s">
        <v>24181</v>
      </c>
      <c r="AV183" s="1"/>
      <c r="AW183" s="13" t="s">
        <v>39194</v>
      </c>
      <c r="AX183" s="2"/>
      <c r="AY183" s="2"/>
      <c r="AZ183" s="13" t="s">
        <v>39658</v>
      </c>
    </row>
    <row x14ac:dyDescent="0.25" r="184" customHeight="1" ht="24.75">
      <c r="A184" s="187"/>
      <c r="B184" s="188">
        <f>AND(ISTEXT('Consolidado-Eletronorte'!#REF!),SUM('Consolidado-Eletronorte'!#REF!)&gt;0)</f>
      </c>
      <c r="C184" s="189">
        <f>$J$3</f>
      </c>
      <c r="D184" s="189">
        <f>$H$3</f>
      </c>
      <c r="E184" s="189">
        <f>$H$4</f>
      </c>
      <c r="F184" s="190"/>
      <c r="G184" s="189">
        <f>_xlfn.CONCAT('Consolidado-Eletronorte'!#REF!,"_",ROW('Consolidado-Eletronorte'!#REF!)-ROW('Consolidado-Eletronorte'!$G$18))</f>
      </c>
      <c r="H184" s="186" t="s">
        <v>10</v>
      </c>
      <c r="I184" s="191" t="s">
        <v>85</v>
      </c>
      <c r="J184" s="191" t="s">
        <v>5</v>
      </c>
      <c r="K184" s="192" t="s">
        <v>26</v>
      </c>
      <c r="L184" s="191" t="s">
        <v>39641</v>
      </c>
      <c r="M184" s="191" t="s">
        <v>39642</v>
      </c>
      <c r="N184" s="191"/>
      <c r="O184" s="191"/>
      <c r="P184" s="191"/>
      <c r="Q184" s="193" t="s">
        <v>39852</v>
      </c>
      <c r="R184" s="193" t="s">
        <v>39843</v>
      </c>
      <c r="S184" s="191" t="s">
        <v>39479</v>
      </c>
      <c r="T184" s="194">
        <v>0</v>
      </c>
      <c r="U184" s="195">
        <v>0</v>
      </c>
      <c r="V184" s="195">
        <v>0</v>
      </c>
      <c r="W184" s="195">
        <v>0</v>
      </c>
      <c r="X184" s="194">
        <v>0</v>
      </c>
      <c r="Y184" s="194">
        <v>0</v>
      </c>
      <c r="Z184" s="196">
        <v>0</v>
      </c>
      <c r="AA184" s="196">
        <v>0</v>
      </c>
      <c r="AB184" s="196">
        <v>300000</v>
      </c>
      <c r="AC184" s="196">
        <v>0</v>
      </c>
      <c r="AD184" s="196">
        <v>0</v>
      </c>
      <c r="AE184" s="196">
        <v>0</v>
      </c>
      <c r="AF184" s="196">
        <f>SUM(Tabela99[[#This Row], [jan/26]:[dez/26]])</f>
      </c>
      <c r="AG184" s="196">
        <v>0</v>
      </c>
      <c r="AH184" s="196">
        <v>0</v>
      </c>
      <c r="AI184" s="196">
        <v>0</v>
      </c>
      <c r="AJ184" s="196">
        <v>0</v>
      </c>
      <c r="AK184" s="196">
        <f>SUM(Tabela99[[#This Row], [2026]:[2030]])</f>
      </c>
      <c r="AL184" s="195">
        <v>0</v>
      </c>
      <c r="AM184" s="196">
        <v>0</v>
      </c>
      <c r="AN184" s="196">
        <v>0</v>
      </c>
      <c r="AO184" s="196">
        <v>0</v>
      </c>
      <c r="AP184" s="196">
        <v>0</v>
      </c>
      <c r="AQ184" s="197">
        <f>SUM(Tabela99[[#This Row], [2026-2030]:[2035]])</f>
      </c>
      <c r="AR184" s="1"/>
      <c r="AS184" s="13" t="s">
        <v>39480</v>
      </c>
      <c r="AT184" s="39">
        <v>2025</v>
      </c>
      <c r="AU184" s="13" t="s">
        <v>24181</v>
      </c>
      <c r="AV184" s="1"/>
      <c r="AW184" s="13" t="s">
        <v>39194</v>
      </c>
      <c r="AX184" s="2"/>
      <c r="AY184" s="2"/>
      <c r="AZ184" s="13" t="s">
        <v>39481</v>
      </c>
    </row>
    <row x14ac:dyDescent="0.25" r="185" customHeight="1" ht="24.75">
      <c r="A185" s="187"/>
      <c r="B185" s="188">
        <f>AND(ISTEXT('Consolidado-Eletronorte'!#REF!),SUM('Consolidado-Eletronorte'!#REF!)&gt;0)</f>
      </c>
      <c r="C185" s="189">
        <f>$J$3</f>
      </c>
      <c r="D185" s="189">
        <f>$H$3</f>
      </c>
      <c r="E185" s="189">
        <f>$H$4</f>
      </c>
      <c r="F185" s="190"/>
      <c r="G185" s="189">
        <f>_xlfn.CONCAT('Consolidado-Eletronorte'!#REF!,"_",ROW('Consolidado-Eletronorte'!#REF!)-ROW('Consolidado-Eletronorte'!$G$18))</f>
      </c>
      <c r="H185" s="186" t="s">
        <v>10</v>
      </c>
      <c r="I185" s="191" t="s">
        <v>85</v>
      </c>
      <c r="J185" s="191" t="s">
        <v>5</v>
      </c>
      <c r="K185" s="192" t="s">
        <v>26</v>
      </c>
      <c r="L185" s="191" t="s">
        <v>39641</v>
      </c>
      <c r="M185" s="191" t="s">
        <v>39773</v>
      </c>
      <c r="N185" s="191"/>
      <c r="O185" s="191"/>
      <c r="P185" s="191"/>
      <c r="Q185" s="193" t="s">
        <v>39853</v>
      </c>
      <c r="R185" s="193" t="s">
        <v>39843</v>
      </c>
      <c r="S185" s="191" t="s">
        <v>38378</v>
      </c>
      <c r="T185" s="194">
        <v>0</v>
      </c>
      <c r="U185" s="195">
        <v>0</v>
      </c>
      <c r="V185" s="195">
        <v>0</v>
      </c>
      <c r="W185" s="195">
        <v>0</v>
      </c>
      <c r="X185" s="194">
        <v>0</v>
      </c>
      <c r="Y185" s="194">
        <v>0</v>
      </c>
      <c r="Z185" s="196">
        <v>0</v>
      </c>
      <c r="AA185" s="196">
        <v>0</v>
      </c>
      <c r="AB185" s="196">
        <v>300000</v>
      </c>
      <c r="AC185" s="196">
        <v>0</v>
      </c>
      <c r="AD185" s="196">
        <v>0</v>
      </c>
      <c r="AE185" s="196">
        <v>0</v>
      </c>
      <c r="AF185" s="196">
        <f>SUM(Tabela99[[#This Row], [jan/26]:[dez/26]])</f>
      </c>
      <c r="AG185" s="196">
        <v>0</v>
      </c>
      <c r="AH185" s="196">
        <v>0</v>
      </c>
      <c r="AI185" s="196">
        <v>0</v>
      </c>
      <c r="AJ185" s="196">
        <v>0</v>
      </c>
      <c r="AK185" s="196">
        <f>SUM(Tabela99[[#This Row], [2026]:[2030]])</f>
      </c>
      <c r="AL185" s="195">
        <v>0</v>
      </c>
      <c r="AM185" s="196">
        <v>0</v>
      </c>
      <c r="AN185" s="196">
        <v>0</v>
      </c>
      <c r="AO185" s="196">
        <v>0</v>
      </c>
      <c r="AP185" s="196">
        <v>0</v>
      </c>
      <c r="AQ185" s="197">
        <f>SUM(Tabela99[[#This Row], [2026-2030]:[2035]])</f>
      </c>
      <c r="AR185" s="1"/>
      <c r="AS185" s="13" t="s">
        <v>39461</v>
      </c>
      <c r="AT185" s="39">
        <v>2025</v>
      </c>
      <c r="AU185" s="13" t="s">
        <v>24181</v>
      </c>
      <c r="AV185" s="1"/>
      <c r="AW185" s="13" t="s">
        <v>39194</v>
      </c>
      <c r="AX185" s="2"/>
      <c r="AY185" s="2"/>
      <c r="AZ185" s="13" t="s">
        <v>39529</v>
      </c>
    </row>
    <row x14ac:dyDescent="0.25" r="186" customHeight="1" ht="24.75">
      <c r="A186" s="187"/>
      <c r="B186" s="188">
        <f>AND(ISTEXT('Consolidado-Eletronorte'!#REF!),SUM('Consolidado-Eletronorte'!#REF!)&gt;0)</f>
      </c>
      <c r="C186" s="189">
        <f>$J$3</f>
      </c>
      <c r="D186" s="189">
        <f>$H$3</f>
      </c>
      <c r="E186" s="189">
        <f>$H$4</f>
      </c>
      <c r="F186" s="190"/>
      <c r="G186" s="189">
        <f>_xlfn.CONCAT('Consolidado-Eletronorte'!#REF!,"_",ROW('Consolidado-Eletronorte'!#REF!)-ROW('Consolidado-Eletronorte'!$G$18))</f>
      </c>
      <c r="H186" s="186" t="s">
        <v>10</v>
      </c>
      <c r="I186" s="191" t="s">
        <v>85</v>
      </c>
      <c r="J186" s="191" t="s">
        <v>5</v>
      </c>
      <c r="K186" s="192" t="s">
        <v>26</v>
      </c>
      <c r="L186" s="191" t="s">
        <v>39641</v>
      </c>
      <c r="M186" s="191" t="s">
        <v>39854</v>
      </c>
      <c r="N186" s="191"/>
      <c r="O186" s="191"/>
      <c r="P186" s="191"/>
      <c r="Q186" s="193" t="s">
        <v>39855</v>
      </c>
      <c r="R186" s="193" t="s">
        <v>39843</v>
      </c>
      <c r="S186" s="191" t="s">
        <v>39598</v>
      </c>
      <c r="T186" s="194">
        <v>0</v>
      </c>
      <c r="U186" s="195">
        <v>0</v>
      </c>
      <c r="V186" s="195">
        <v>0</v>
      </c>
      <c r="W186" s="195">
        <v>0</v>
      </c>
      <c r="X186" s="194">
        <v>0</v>
      </c>
      <c r="Y186" s="194">
        <v>0</v>
      </c>
      <c r="Z186" s="196">
        <v>0</v>
      </c>
      <c r="AA186" s="196">
        <v>0</v>
      </c>
      <c r="AB186" s="196">
        <v>300000</v>
      </c>
      <c r="AC186" s="196">
        <v>0</v>
      </c>
      <c r="AD186" s="196">
        <v>0</v>
      </c>
      <c r="AE186" s="196">
        <v>0</v>
      </c>
      <c r="AF186" s="196">
        <f>SUM(Tabela99[[#This Row], [jan/26]:[dez/26]])</f>
      </c>
      <c r="AG186" s="196">
        <v>0</v>
      </c>
      <c r="AH186" s="196">
        <v>0</v>
      </c>
      <c r="AI186" s="196">
        <v>0</v>
      </c>
      <c r="AJ186" s="196">
        <v>0</v>
      </c>
      <c r="AK186" s="196">
        <f>SUM(Tabela99[[#This Row], [2026]:[2030]])</f>
      </c>
      <c r="AL186" s="195">
        <v>0</v>
      </c>
      <c r="AM186" s="196">
        <v>0</v>
      </c>
      <c r="AN186" s="196">
        <v>0</v>
      </c>
      <c r="AO186" s="196">
        <v>0</v>
      </c>
      <c r="AP186" s="196">
        <v>0</v>
      </c>
      <c r="AQ186" s="197">
        <f>SUM(Tabela99[[#This Row], [2026-2030]:[2035]])</f>
      </c>
      <c r="AR186" s="1"/>
      <c r="AS186" s="13" t="s">
        <v>39461</v>
      </c>
      <c r="AT186" s="39">
        <v>2025</v>
      </c>
      <c r="AU186" s="13" t="s">
        <v>24181</v>
      </c>
      <c r="AV186" s="1"/>
      <c r="AW186" s="13" t="s">
        <v>39194</v>
      </c>
      <c r="AX186" s="2"/>
      <c r="AY186" s="2"/>
      <c r="AZ186" s="13" t="s">
        <v>39582</v>
      </c>
    </row>
    <row x14ac:dyDescent="0.25" r="187" customHeight="1" ht="24.75">
      <c r="A187" s="187"/>
      <c r="B187" s="188">
        <f>AND(ISTEXT('Consolidado-Eletronorte'!#REF!),SUM('Consolidado-Eletronorte'!#REF!)&gt;0)</f>
      </c>
      <c r="C187" s="189">
        <f>$J$3</f>
      </c>
      <c r="D187" s="189">
        <f>$H$3</f>
      </c>
      <c r="E187" s="189">
        <f>$H$4</f>
      </c>
      <c r="F187" s="190"/>
      <c r="G187" s="189">
        <f>_xlfn.CONCAT('Consolidado-Eletronorte'!#REF!,"_",ROW('Consolidado-Eletronorte'!#REF!)-ROW('Consolidado-Eletronorte'!$G$18))</f>
      </c>
      <c r="H187" s="186" t="s">
        <v>10</v>
      </c>
      <c r="I187" s="191" t="s">
        <v>85</v>
      </c>
      <c r="J187" s="191" t="s">
        <v>5</v>
      </c>
      <c r="K187" s="192" t="s">
        <v>26</v>
      </c>
      <c r="L187" s="191" t="s">
        <v>39641</v>
      </c>
      <c r="M187" s="191" t="s">
        <v>39722</v>
      </c>
      <c r="N187" s="191"/>
      <c r="O187" s="191"/>
      <c r="P187" s="191"/>
      <c r="Q187" s="193" t="s">
        <v>39856</v>
      </c>
      <c r="R187" s="193" t="s">
        <v>39843</v>
      </c>
      <c r="S187" s="191" t="s">
        <v>38384</v>
      </c>
      <c r="T187" s="194">
        <v>0</v>
      </c>
      <c r="U187" s="195">
        <v>0</v>
      </c>
      <c r="V187" s="195">
        <v>0</v>
      </c>
      <c r="W187" s="195">
        <v>0</v>
      </c>
      <c r="X187" s="194">
        <v>0</v>
      </c>
      <c r="Y187" s="194">
        <v>0</v>
      </c>
      <c r="Z187" s="196">
        <v>0</v>
      </c>
      <c r="AA187" s="196">
        <v>0</v>
      </c>
      <c r="AB187" s="196">
        <v>300000</v>
      </c>
      <c r="AC187" s="196">
        <v>0</v>
      </c>
      <c r="AD187" s="196">
        <v>0</v>
      </c>
      <c r="AE187" s="196">
        <v>0</v>
      </c>
      <c r="AF187" s="196">
        <f>SUM(Tabela99[[#This Row], [jan/26]:[dez/26]])</f>
      </c>
      <c r="AG187" s="196">
        <v>0</v>
      </c>
      <c r="AH187" s="196">
        <v>0</v>
      </c>
      <c r="AI187" s="196">
        <v>0</v>
      </c>
      <c r="AJ187" s="196">
        <v>0</v>
      </c>
      <c r="AK187" s="196">
        <f>SUM(Tabela99[[#This Row], [2026]:[2030]])</f>
      </c>
      <c r="AL187" s="195">
        <v>0</v>
      </c>
      <c r="AM187" s="196">
        <v>0</v>
      </c>
      <c r="AN187" s="196">
        <v>0</v>
      </c>
      <c r="AO187" s="196">
        <v>0</v>
      </c>
      <c r="AP187" s="196">
        <v>0</v>
      </c>
      <c r="AQ187" s="197">
        <f>SUM(Tabela99[[#This Row], [2026-2030]:[2035]])</f>
      </c>
      <c r="AR187" s="1"/>
      <c r="AS187" s="13" t="s">
        <v>39461</v>
      </c>
      <c r="AT187" s="39">
        <v>2025</v>
      </c>
      <c r="AU187" s="13" t="s">
        <v>24181</v>
      </c>
      <c r="AV187" s="1"/>
      <c r="AW187" s="13" t="s">
        <v>39194</v>
      </c>
      <c r="AX187" s="2"/>
      <c r="AY187" s="2"/>
      <c r="AZ187" s="13" t="s">
        <v>39582</v>
      </c>
    </row>
    <row x14ac:dyDescent="0.25" r="188" customHeight="1" ht="24.75">
      <c r="A188" s="187"/>
      <c r="B188" s="188">
        <f>AND(ISTEXT('Consolidado-Eletronorte'!#REF!),SUM('Consolidado-Eletronorte'!#REF!)&gt;0)</f>
      </c>
      <c r="C188" s="189">
        <f>$J$3</f>
      </c>
      <c r="D188" s="189">
        <f>$H$3</f>
      </c>
      <c r="E188" s="189">
        <f>$H$4</f>
      </c>
      <c r="F188" s="190"/>
      <c r="G188" s="189">
        <f>_xlfn.CONCAT('Consolidado-Eletronorte'!#REF!,"_",ROW('Consolidado-Eletronorte'!#REF!)-ROW('Consolidado-Eletronorte'!$G$18))</f>
      </c>
      <c r="H188" s="186" t="s">
        <v>10</v>
      </c>
      <c r="I188" s="191" t="s">
        <v>85</v>
      </c>
      <c r="J188" s="191" t="s">
        <v>5</v>
      </c>
      <c r="K188" s="192" t="s">
        <v>26</v>
      </c>
      <c r="L188" s="191" t="s">
        <v>39641</v>
      </c>
      <c r="M188" s="191" t="s">
        <v>39659</v>
      </c>
      <c r="N188" s="191"/>
      <c r="O188" s="191"/>
      <c r="P188" s="191"/>
      <c r="Q188" s="193" t="s">
        <v>39857</v>
      </c>
      <c r="R188" s="193" t="s">
        <v>39843</v>
      </c>
      <c r="S188" s="191" t="s">
        <v>38388</v>
      </c>
      <c r="T188" s="194">
        <v>0</v>
      </c>
      <c r="U188" s="195">
        <v>0</v>
      </c>
      <c r="V188" s="195">
        <v>0</v>
      </c>
      <c r="W188" s="195">
        <v>0</v>
      </c>
      <c r="X188" s="194">
        <v>0</v>
      </c>
      <c r="Y188" s="194">
        <v>0</v>
      </c>
      <c r="Z188" s="196">
        <v>0</v>
      </c>
      <c r="AA188" s="196">
        <v>0</v>
      </c>
      <c r="AB188" s="196">
        <v>300000</v>
      </c>
      <c r="AC188" s="196">
        <v>0</v>
      </c>
      <c r="AD188" s="196">
        <v>0</v>
      </c>
      <c r="AE188" s="196">
        <v>0</v>
      </c>
      <c r="AF188" s="196">
        <f>SUM(Tabela99[[#This Row], [jan/26]:[dez/26]])</f>
      </c>
      <c r="AG188" s="196">
        <v>0</v>
      </c>
      <c r="AH188" s="196">
        <v>0</v>
      </c>
      <c r="AI188" s="196">
        <v>0</v>
      </c>
      <c r="AJ188" s="196">
        <v>0</v>
      </c>
      <c r="AK188" s="196">
        <f>SUM(Tabela99[[#This Row], [2026]:[2030]])</f>
      </c>
      <c r="AL188" s="195">
        <v>0</v>
      </c>
      <c r="AM188" s="196">
        <v>0</v>
      </c>
      <c r="AN188" s="196">
        <v>0</v>
      </c>
      <c r="AO188" s="196">
        <v>0</v>
      </c>
      <c r="AP188" s="196">
        <v>0</v>
      </c>
      <c r="AQ188" s="197">
        <f>SUM(Tabela99[[#This Row], [2026-2030]:[2035]])</f>
      </c>
      <c r="AR188" s="1"/>
      <c r="AS188" s="13" t="s">
        <v>39461</v>
      </c>
      <c r="AT188" s="39">
        <v>2025</v>
      </c>
      <c r="AU188" s="13" t="s">
        <v>24181</v>
      </c>
      <c r="AV188" s="1"/>
      <c r="AW188" s="13" t="s">
        <v>39194</v>
      </c>
      <c r="AX188" s="2"/>
      <c r="AY188" s="2"/>
      <c r="AZ188" s="13" t="s">
        <v>39662</v>
      </c>
    </row>
    <row x14ac:dyDescent="0.25" r="189" customHeight="1" ht="24.75">
      <c r="A189" s="187"/>
      <c r="B189" s="188">
        <f>AND(ISTEXT('Consolidado-Eletronorte'!#REF!),SUM('Consolidado-Eletronorte'!#REF!)&gt;0)</f>
      </c>
      <c r="C189" s="189">
        <f>$J$3</f>
      </c>
      <c r="D189" s="189">
        <f>$H$3</f>
      </c>
      <c r="E189" s="189">
        <f>$H$4</f>
      </c>
      <c r="F189" s="190"/>
      <c r="G189" s="189">
        <f>_xlfn.CONCAT('Consolidado-Eletronorte'!#REF!,"_",ROW('Consolidado-Eletronorte'!#REF!)-ROW('Consolidado-Eletronorte'!$G$18))</f>
      </c>
      <c r="H189" s="186" t="s">
        <v>10</v>
      </c>
      <c r="I189" s="191" t="s">
        <v>85</v>
      </c>
      <c r="J189" s="191" t="s">
        <v>5</v>
      </c>
      <c r="K189" s="192" t="s">
        <v>26</v>
      </c>
      <c r="L189" s="191" t="s">
        <v>39641</v>
      </c>
      <c r="M189" s="191" t="s">
        <v>39732</v>
      </c>
      <c r="N189" s="191"/>
      <c r="O189" s="191"/>
      <c r="P189" s="191"/>
      <c r="Q189" s="193" t="s">
        <v>39858</v>
      </c>
      <c r="R189" s="193" t="s">
        <v>39843</v>
      </c>
      <c r="S189" s="191" t="s">
        <v>39460</v>
      </c>
      <c r="T189" s="194">
        <v>0</v>
      </c>
      <c r="U189" s="195">
        <v>0</v>
      </c>
      <c r="V189" s="195">
        <v>0</v>
      </c>
      <c r="W189" s="195">
        <v>0</v>
      </c>
      <c r="X189" s="194">
        <v>0</v>
      </c>
      <c r="Y189" s="194">
        <v>0</v>
      </c>
      <c r="Z189" s="196">
        <v>0</v>
      </c>
      <c r="AA189" s="196">
        <v>0</v>
      </c>
      <c r="AB189" s="196">
        <v>300000</v>
      </c>
      <c r="AC189" s="196">
        <v>0</v>
      </c>
      <c r="AD189" s="196">
        <v>0</v>
      </c>
      <c r="AE189" s="196">
        <v>0</v>
      </c>
      <c r="AF189" s="196">
        <f>SUM(Tabela99[[#This Row], [jan/26]:[dez/26]])</f>
      </c>
      <c r="AG189" s="196">
        <v>0</v>
      </c>
      <c r="AH189" s="196">
        <v>0</v>
      </c>
      <c r="AI189" s="196">
        <v>0</v>
      </c>
      <c r="AJ189" s="196">
        <v>0</v>
      </c>
      <c r="AK189" s="196">
        <f>SUM(Tabela99[[#This Row], [2026]:[2030]])</f>
      </c>
      <c r="AL189" s="195">
        <v>0</v>
      </c>
      <c r="AM189" s="196">
        <v>0</v>
      </c>
      <c r="AN189" s="196">
        <v>0</v>
      </c>
      <c r="AO189" s="196">
        <v>0</v>
      </c>
      <c r="AP189" s="196">
        <v>0</v>
      </c>
      <c r="AQ189" s="197">
        <f>SUM(Tabela99[[#This Row], [2026-2030]:[2035]])</f>
      </c>
      <c r="AR189" s="1"/>
      <c r="AS189" s="13" t="s">
        <v>39461</v>
      </c>
      <c r="AT189" s="39">
        <v>2025</v>
      </c>
      <c r="AU189" s="13" t="s">
        <v>24181</v>
      </c>
      <c r="AV189" s="1"/>
      <c r="AW189" s="13" t="s">
        <v>39194</v>
      </c>
      <c r="AX189" s="2"/>
      <c r="AY189" s="2"/>
      <c r="AZ189" s="13" t="s">
        <v>39463</v>
      </c>
    </row>
    <row x14ac:dyDescent="0.25" r="190" customHeight="1" ht="24.75">
      <c r="A190" s="187"/>
      <c r="B190" s="188">
        <f>AND(ISTEXT('Consolidado-Eletronorte'!#REF!),SUM('Consolidado-Eletronorte'!#REF!)&gt;0)</f>
      </c>
      <c r="C190" s="189">
        <f>$J$3</f>
      </c>
      <c r="D190" s="189">
        <f>$H$3</f>
      </c>
      <c r="E190" s="189">
        <f>$H$4</f>
      </c>
      <c r="F190" s="190"/>
      <c r="G190" s="189">
        <f>_xlfn.CONCAT('Consolidado-Eletronorte'!#REF!,"_",ROW('Consolidado-Eletronorte'!#REF!)-ROW('Consolidado-Eletronorte'!$G$18))</f>
      </c>
      <c r="H190" s="186" t="s">
        <v>10</v>
      </c>
      <c r="I190" s="191" t="s">
        <v>85</v>
      </c>
      <c r="J190" s="191" t="s">
        <v>5</v>
      </c>
      <c r="K190" s="192" t="s">
        <v>26</v>
      </c>
      <c r="L190" s="191" t="s">
        <v>39641</v>
      </c>
      <c r="M190" s="191" t="s">
        <v>39669</v>
      </c>
      <c r="N190" s="191"/>
      <c r="O190" s="191"/>
      <c r="P190" s="191"/>
      <c r="Q190" s="193" t="s">
        <v>39859</v>
      </c>
      <c r="R190" s="193" t="s">
        <v>39843</v>
      </c>
      <c r="S190" s="191" t="s">
        <v>39671</v>
      </c>
      <c r="T190" s="194">
        <v>0</v>
      </c>
      <c r="U190" s="195">
        <v>0</v>
      </c>
      <c r="V190" s="195">
        <v>0</v>
      </c>
      <c r="W190" s="195">
        <v>0</v>
      </c>
      <c r="X190" s="194">
        <v>0</v>
      </c>
      <c r="Y190" s="194">
        <v>0</v>
      </c>
      <c r="Z190" s="196">
        <v>0</v>
      </c>
      <c r="AA190" s="196">
        <v>0</v>
      </c>
      <c r="AB190" s="196">
        <v>300000</v>
      </c>
      <c r="AC190" s="196">
        <v>0</v>
      </c>
      <c r="AD190" s="196">
        <v>0</v>
      </c>
      <c r="AE190" s="196">
        <v>0</v>
      </c>
      <c r="AF190" s="196">
        <f>SUM(Tabela99[[#This Row], [jan/26]:[dez/26]])</f>
      </c>
      <c r="AG190" s="196">
        <v>0</v>
      </c>
      <c r="AH190" s="196">
        <v>0</v>
      </c>
      <c r="AI190" s="196">
        <v>0</v>
      </c>
      <c r="AJ190" s="196">
        <v>0</v>
      </c>
      <c r="AK190" s="196">
        <f>SUM(Tabela99[[#This Row], [2026]:[2030]])</f>
      </c>
      <c r="AL190" s="195">
        <v>0</v>
      </c>
      <c r="AM190" s="196">
        <v>0</v>
      </c>
      <c r="AN190" s="196">
        <v>0</v>
      </c>
      <c r="AO190" s="196">
        <v>0</v>
      </c>
      <c r="AP190" s="196">
        <v>0</v>
      </c>
      <c r="AQ190" s="197">
        <f>SUM(Tabela99[[#This Row], [2026-2030]:[2035]])</f>
      </c>
      <c r="AR190" s="1"/>
      <c r="AS190" s="13" t="s">
        <v>39461</v>
      </c>
      <c r="AT190" s="128" t="s">
        <v>39060</v>
      </c>
      <c r="AU190" s="13" t="s">
        <v>24181</v>
      </c>
      <c r="AV190" s="1"/>
      <c r="AW190" s="13" t="s">
        <v>39194</v>
      </c>
      <c r="AX190" s="2"/>
      <c r="AY190" s="2"/>
      <c r="AZ190" s="13" t="s">
        <v>39463</v>
      </c>
    </row>
    <row x14ac:dyDescent="0.25" r="191" customHeight="1" ht="24.75">
      <c r="A191" s="187"/>
      <c r="B191" s="188">
        <f>AND(ISTEXT('Consolidado-Eletronorte'!#REF!),SUM('Consolidado-Eletronorte'!#REF!)&gt;0)</f>
      </c>
      <c r="C191" s="189">
        <f>$J$3</f>
      </c>
      <c r="D191" s="189">
        <f>$H$3</f>
      </c>
      <c r="E191" s="189">
        <f>$H$4</f>
      </c>
      <c r="F191" s="190"/>
      <c r="G191" s="189">
        <f>_xlfn.CONCAT('Consolidado-Eletronorte'!#REF!,"_",ROW('Consolidado-Eletronorte'!#REF!)-ROW('Consolidado-Eletronorte'!$G$18))</f>
      </c>
      <c r="H191" s="186" t="s">
        <v>10</v>
      </c>
      <c r="I191" s="191" t="s">
        <v>85</v>
      </c>
      <c r="J191" s="191" t="s">
        <v>5</v>
      </c>
      <c r="K191" s="192" t="s">
        <v>39449</v>
      </c>
      <c r="L191" s="191" t="s">
        <v>39641</v>
      </c>
      <c r="M191" s="191" t="s">
        <v>39669</v>
      </c>
      <c r="N191" s="191"/>
      <c r="O191" s="191"/>
      <c r="P191" s="191"/>
      <c r="Q191" s="193" t="s">
        <v>39860</v>
      </c>
      <c r="R191" s="193" t="s">
        <v>39664</v>
      </c>
      <c r="S191" s="191" t="s">
        <v>39671</v>
      </c>
      <c r="T191" s="194">
        <v>0</v>
      </c>
      <c r="U191" s="195">
        <v>0</v>
      </c>
      <c r="V191" s="195">
        <v>0</v>
      </c>
      <c r="W191" s="195">
        <v>0</v>
      </c>
      <c r="X191" s="194">
        <v>0</v>
      </c>
      <c r="Y191" s="194">
        <v>0</v>
      </c>
      <c r="Z191" s="196">
        <v>125000</v>
      </c>
      <c r="AA191" s="196">
        <v>125000</v>
      </c>
      <c r="AB191" s="196">
        <v>0</v>
      </c>
      <c r="AC191" s="196">
        <v>0</v>
      </c>
      <c r="AD191" s="196">
        <v>0</v>
      </c>
      <c r="AE191" s="196">
        <v>0</v>
      </c>
      <c r="AF191" s="196">
        <f>SUM(Tabela99[[#This Row], [jan/26]:[dez/26]])</f>
      </c>
      <c r="AG191" s="196">
        <v>0</v>
      </c>
      <c r="AH191" s="196">
        <v>0</v>
      </c>
      <c r="AI191" s="196">
        <v>0</v>
      </c>
      <c r="AJ191" s="196">
        <v>0</v>
      </c>
      <c r="AK191" s="196">
        <f>SUM(Tabela99[[#This Row], [2026]:[2030]])</f>
      </c>
      <c r="AL191" s="195">
        <v>0</v>
      </c>
      <c r="AM191" s="196">
        <v>0</v>
      </c>
      <c r="AN191" s="196">
        <v>0</v>
      </c>
      <c r="AO191" s="196">
        <v>0</v>
      </c>
      <c r="AP191" s="196">
        <v>0</v>
      </c>
      <c r="AQ191" s="197">
        <f>SUM(Tabela99[[#This Row], [2026-2030]:[2035]])</f>
      </c>
      <c r="AR191" s="1"/>
      <c r="AS191" s="13" t="s">
        <v>39461</v>
      </c>
      <c r="AT191" s="128" t="s">
        <v>39060</v>
      </c>
      <c r="AU191" s="13" t="s">
        <v>24181</v>
      </c>
      <c r="AV191" s="1"/>
      <c r="AW191" s="13" t="s">
        <v>39194</v>
      </c>
      <c r="AX191" s="2"/>
      <c r="AY191" s="2"/>
      <c r="AZ191" s="13" t="s">
        <v>39463</v>
      </c>
    </row>
    <row x14ac:dyDescent="0.25" r="192" customHeight="1" ht="24.75">
      <c r="A192" s="187"/>
      <c r="B192" s="188">
        <f>AND(ISTEXT('Consolidado-Eletronorte'!#REF!),SUM('Consolidado-Eletronorte'!#REF!)&gt;0)</f>
      </c>
      <c r="C192" s="189">
        <f>$J$3</f>
      </c>
      <c r="D192" s="189">
        <f>$H$3</f>
      </c>
      <c r="E192" s="189">
        <f>$H$4</f>
      </c>
      <c r="F192" s="190"/>
      <c r="G192" s="189">
        <f>_xlfn.CONCAT('Consolidado-Eletronorte'!#REF!,"_",ROW('Consolidado-Eletronorte'!#REF!)-ROW('Consolidado-Eletronorte'!$G$18))</f>
      </c>
      <c r="H192" s="186" t="s">
        <v>10</v>
      </c>
      <c r="I192" s="191" t="s">
        <v>85</v>
      </c>
      <c r="J192" s="191" t="s">
        <v>5</v>
      </c>
      <c r="K192" s="192" t="s">
        <v>39449</v>
      </c>
      <c r="L192" s="191" t="s">
        <v>39456</v>
      </c>
      <c r="M192" s="191" t="s">
        <v>39621</v>
      </c>
      <c r="N192" s="191"/>
      <c r="O192" s="191"/>
      <c r="P192" s="191"/>
      <c r="Q192" s="193" t="s">
        <v>39861</v>
      </c>
      <c r="R192" s="193" t="s">
        <v>39861</v>
      </c>
      <c r="S192" s="191" t="s">
        <v>39509</v>
      </c>
      <c r="T192" s="194">
        <v>0</v>
      </c>
      <c r="U192" s="195">
        <v>0</v>
      </c>
      <c r="V192" s="195">
        <v>0</v>
      </c>
      <c r="W192" s="195">
        <v>0</v>
      </c>
      <c r="X192" s="194">
        <v>0</v>
      </c>
      <c r="Y192" s="194">
        <v>0</v>
      </c>
      <c r="Z192" s="196">
        <v>0</v>
      </c>
      <c r="AA192" s="196">
        <v>0</v>
      </c>
      <c r="AB192" s="196">
        <v>200000</v>
      </c>
      <c r="AC192" s="196">
        <v>0</v>
      </c>
      <c r="AD192" s="196">
        <v>0</v>
      </c>
      <c r="AE192" s="196">
        <v>0</v>
      </c>
      <c r="AF192" s="196">
        <f>SUM(Tabela99[[#This Row], [jan/26]:[dez/26]])</f>
      </c>
      <c r="AG192" s="196">
        <v>0</v>
      </c>
      <c r="AH192" s="196">
        <v>0</v>
      </c>
      <c r="AI192" s="196">
        <v>0</v>
      </c>
      <c r="AJ192" s="196">
        <v>0</v>
      </c>
      <c r="AK192" s="196">
        <f>SUM(Tabela99[[#This Row], [2026]:[2030]])</f>
      </c>
      <c r="AL192" s="195">
        <v>0</v>
      </c>
      <c r="AM192" s="196">
        <v>0</v>
      </c>
      <c r="AN192" s="196">
        <v>0</v>
      </c>
      <c r="AO192" s="196">
        <v>0</v>
      </c>
      <c r="AP192" s="196">
        <v>0</v>
      </c>
      <c r="AQ192" s="197">
        <f>SUM(Tabela99[[#This Row], [2026-2030]:[2035]])</f>
      </c>
      <c r="AR192" s="1"/>
      <c r="AS192" s="13" t="s">
        <v>39510</v>
      </c>
      <c r="AT192" s="39">
        <v>2025</v>
      </c>
      <c r="AU192" s="13" t="s">
        <v>24181</v>
      </c>
      <c r="AV192" s="1"/>
      <c r="AW192" s="13" t="s">
        <v>39194</v>
      </c>
      <c r="AX192" s="2"/>
      <c r="AY192" s="2"/>
      <c r="AZ192" s="13" t="s">
        <v>39511</v>
      </c>
    </row>
    <row x14ac:dyDescent="0.25" r="193" customHeight="1" ht="24.75">
      <c r="A193" s="187"/>
      <c r="B193" s="188">
        <f>AND(ISTEXT('Consolidado-Eletronorte'!#REF!),SUM('Consolidado-Eletronorte'!#REF!)&gt;0)</f>
      </c>
      <c r="C193" s="189">
        <f>$J$3</f>
      </c>
      <c r="D193" s="189">
        <f>$H$3</f>
      </c>
      <c r="E193" s="189">
        <f>$H$4</f>
      </c>
      <c r="F193" s="190"/>
      <c r="G193" s="189">
        <f>_xlfn.CONCAT('Consolidado-Eletronorte'!#REF!,"_",ROW('Consolidado-Eletronorte'!#REF!)-ROW('Consolidado-Eletronorte'!$G$18))</f>
      </c>
      <c r="H193" s="186" t="s">
        <v>10</v>
      </c>
      <c r="I193" s="191" t="s">
        <v>85</v>
      </c>
      <c r="J193" s="191" t="s">
        <v>5</v>
      </c>
      <c r="K193" s="192" t="s">
        <v>39449</v>
      </c>
      <c r="L193" s="191" t="s">
        <v>39456</v>
      </c>
      <c r="M193" s="191" t="s">
        <v>39507</v>
      </c>
      <c r="N193" s="191"/>
      <c r="O193" s="191"/>
      <c r="P193" s="191"/>
      <c r="Q193" s="193" t="s">
        <v>39862</v>
      </c>
      <c r="R193" s="193" t="s">
        <v>39862</v>
      </c>
      <c r="S193" s="191" t="s">
        <v>39509</v>
      </c>
      <c r="T193" s="194">
        <v>0</v>
      </c>
      <c r="U193" s="195">
        <v>0</v>
      </c>
      <c r="V193" s="195">
        <v>0</v>
      </c>
      <c r="W193" s="195">
        <v>0</v>
      </c>
      <c r="X193" s="194">
        <v>0</v>
      </c>
      <c r="Y193" s="194">
        <v>0</v>
      </c>
      <c r="Z193" s="196">
        <v>0</v>
      </c>
      <c r="AA193" s="196">
        <v>0</v>
      </c>
      <c r="AB193" s="196">
        <v>200000</v>
      </c>
      <c r="AC193" s="196">
        <v>0</v>
      </c>
      <c r="AD193" s="196">
        <v>0</v>
      </c>
      <c r="AE193" s="196">
        <v>0</v>
      </c>
      <c r="AF193" s="196">
        <f>SUM(Tabela99[[#This Row], [jan/26]:[dez/26]])</f>
      </c>
      <c r="AG193" s="196">
        <v>0</v>
      </c>
      <c r="AH193" s="196">
        <v>0</v>
      </c>
      <c r="AI193" s="196">
        <v>0</v>
      </c>
      <c r="AJ193" s="196">
        <v>0</v>
      </c>
      <c r="AK193" s="196">
        <f>SUM(Tabela99[[#This Row], [2026]:[2030]])</f>
      </c>
      <c r="AL193" s="195">
        <v>0</v>
      </c>
      <c r="AM193" s="196">
        <v>0</v>
      </c>
      <c r="AN193" s="196">
        <v>0</v>
      </c>
      <c r="AO193" s="196">
        <v>0</v>
      </c>
      <c r="AP193" s="196">
        <v>0</v>
      </c>
      <c r="AQ193" s="197">
        <f>SUM(Tabela99[[#This Row], [2026-2030]:[2035]])</f>
      </c>
      <c r="AR193" s="1"/>
      <c r="AS193" s="13" t="s">
        <v>39510</v>
      </c>
      <c r="AT193" s="39">
        <v>2025</v>
      </c>
      <c r="AU193" s="13" t="s">
        <v>24181</v>
      </c>
      <c r="AV193" s="1"/>
      <c r="AW193" s="13" t="s">
        <v>39194</v>
      </c>
      <c r="AX193" s="2"/>
      <c r="AY193" s="2"/>
      <c r="AZ193" s="13" t="s">
        <v>39511</v>
      </c>
    </row>
    <row x14ac:dyDescent="0.25" r="194" customHeight="1" ht="24.75">
      <c r="A194" s="187"/>
      <c r="B194" s="188">
        <f>AND(ISTEXT('Consolidado-Eletronorte'!#REF!),SUM('Consolidado-Eletronorte'!#REF!)&gt;0)</f>
      </c>
      <c r="C194" s="189">
        <f>$J$3</f>
      </c>
      <c r="D194" s="189">
        <f>$H$3</f>
      </c>
      <c r="E194" s="189">
        <f>$H$4</f>
      </c>
      <c r="F194" s="190"/>
      <c r="G194" s="189">
        <f>_xlfn.CONCAT('Consolidado-Eletronorte'!#REF!,"_",ROW('Consolidado-Eletronorte'!#REF!)-ROW('Consolidado-Eletronorte'!$G$18))</f>
      </c>
      <c r="H194" s="186" t="s">
        <v>10</v>
      </c>
      <c r="I194" s="191" t="s">
        <v>85</v>
      </c>
      <c r="J194" s="191" t="s">
        <v>5</v>
      </c>
      <c r="K194" s="192" t="s">
        <v>26</v>
      </c>
      <c r="L194" s="191" t="s">
        <v>39641</v>
      </c>
      <c r="M194" s="191" t="s">
        <v>39672</v>
      </c>
      <c r="N194" s="191"/>
      <c r="O194" s="191"/>
      <c r="P194" s="191"/>
      <c r="Q194" s="193" t="s">
        <v>39863</v>
      </c>
      <c r="R194" s="193" t="s">
        <v>39681</v>
      </c>
      <c r="S194" s="191" t="s">
        <v>39503</v>
      </c>
      <c r="T194" s="194">
        <v>0</v>
      </c>
      <c r="U194" s="195">
        <v>0</v>
      </c>
      <c r="V194" s="195">
        <v>0</v>
      </c>
      <c r="W194" s="195">
        <v>0</v>
      </c>
      <c r="X194" s="194">
        <v>0</v>
      </c>
      <c r="Y194" s="194">
        <v>0</v>
      </c>
      <c r="Z194" s="196">
        <v>0</v>
      </c>
      <c r="AA194" s="196">
        <v>0</v>
      </c>
      <c r="AB194" s="196">
        <v>0</v>
      </c>
      <c r="AC194" s="196">
        <v>200000</v>
      </c>
      <c r="AD194" s="196">
        <v>0</v>
      </c>
      <c r="AE194" s="196">
        <v>0</v>
      </c>
      <c r="AF194" s="196">
        <f>SUM(Tabela99[[#This Row], [jan/26]:[dez/26]])</f>
      </c>
      <c r="AG194" s="196">
        <v>0</v>
      </c>
      <c r="AH194" s="196">
        <v>0</v>
      </c>
      <c r="AI194" s="196">
        <v>0</v>
      </c>
      <c r="AJ194" s="196">
        <v>0</v>
      </c>
      <c r="AK194" s="196">
        <f>SUM(Tabela99[[#This Row], [2026]:[2030]])</f>
      </c>
      <c r="AL194" s="195">
        <v>0</v>
      </c>
      <c r="AM194" s="196">
        <v>0</v>
      </c>
      <c r="AN194" s="196">
        <v>0</v>
      </c>
      <c r="AO194" s="196">
        <v>0</v>
      </c>
      <c r="AP194" s="196">
        <v>0</v>
      </c>
      <c r="AQ194" s="197">
        <f>SUM(Tabela99[[#This Row], [2026-2030]:[2035]])</f>
      </c>
      <c r="AR194" s="1"/>
      <c r="AS194" s="13" t="s">
        <v>39674</v>
      </c>
      <c r="AT194" s="39">
        <v>2025</v>
      </c>
      <c r="AU194" s="13" t="s">
        <v>24181</v>
      </c>
      <c r="AV194" s="1"/>
      <c r="AW194" s="13" t="s">
        <v>39062</v>
      </c>
      <c r="AX194" s="2"/>
      <c r="AY194" s="2"/>
      <c r="AZ194" s="13" t="s">
        <v>39682</v>
      </c>
    </row>
    <row x14ac:dyDescent="0.25" r="195" customHeight="1" ht="24.75">
      <c r="A195" s="187"/>
      <c r="B195" s="188">
        <f>AND(ISTEXT('Consolidado-Eletronorte'!#REF!),SUM('Consolidado-Eletronorte'!#REF!)&gt;0)</f>
      </c>
      <c r="C195" s="189">
        <f>$J$3</f>
      </c>
      <c r="D195" s="189">
        <f>$H$3</f>
      </c>
      <c r="E195" s="189">
        <f>$H$4</f>
      </c>
      <c r="F195" s="190"/>
      <c r="G195" s="189">
        <f>_xlfn.CONCAT('Consolidado-Eletronorte'!#REF!,"_",ROW('Consolidado-Eletronorte'!#REF!)-ROW('Consolidado-Eletronorte'!$G$18))</f>
      </c>
      <c r="H195" s="186" t="s">
        <v>10</v>
      </c>
      <c r="I195" s="191" t="s">
        <v>85</v>
      </c>
      <c r="J195" s="191" t="s">
        <v>5</v>
      </c>
      <c r="K195" s="192" t="s">
        <v>39449</v>
      </c>
      <c r="L195" s="191" t="s">
        <v>39456</v>
      </c>
      <c r="M195" s="191" t="s">
        <v>39476</v>
      </c>
      <c r="N195" s="191"/>
      <c r="O195" s="191"/>
      <c r="P195" s="191"/>
      <c r="Q195" s="193" t="s">
        <v>39864</v>
      </c>
      <c r="R195" s="193" t="s">
        <v>39740</v>
      </c>
      <c r="S195" s="191" t="s">
        <v>39479</v>
      </c>
      <c r="T195" s="194">
        <v>0</v>
      </c>
      <c r="U195" s="195">
        <v>0</v>
      </c>
      <c r="V195" s="195">
        <v>0</v>
      </c>
      <c r="W195" s="195">
        <v>0</v>
      </c>
      <c r="X195" s="194">
        <v>0</v>
      </c>
      <c r="Y195" s="194">
        <v>0</v>
      </c>
      <c r="Z195" s="196">
        <v>160000</v>
      </c>
      <c r="AA195" s="196">
        <v>0</v>
      </c>
      <c r="AB195" s="196">
        <v>0</v>
      </c>
      <c r="AC195" s="196">
        <v>0</v>
      </c>
      <c r="AD195" s="196">
        <v>0</v>
      </c>
      <c r="AE195" s="196">
        <v>0</v>
      </c>
      <c r="AF195" s="196">
        <f>SUM(Tabela99[[#This Row], [jan/26]:[dez/26]])</f>
      </c>
      <c r="AG195" s="196">
        <v>0</v>
      </c>
      <c r="AH195" s="196">
        <v>0</v>
      </c>
      <c r="AI195" s="196">
        <v>0</v>
      </c>
      <c r="AJ195" s="196">
        <v>0</v>
      </c>
      <c r="AK195" s="196">
        <f>SUM(Tabela99[[#This Row], [2026]:[2030]])</f>
      </c>
      <c r="AL195" s="195">
        <v>0</v>
      </c>
      <c r="AM195" s="196">
        <v>0</v>
      </c>
      <c r="AN195" s="196">
        <v>0</v>
      </c>
      <c r="AO195" s="196">
        <v>0</v>
      </c>
      <c r="AP195" s="196">
        <v>0</v>
      </c>
      <c r="AQ195" s="197">
        <f>SUM(Tabela99[[#This Row], [2026-2030]:[2035]])</f>
      </c>
      <c r="AR195" s="1"/>
      <c r="AS195" s="13" t="s">
        <v>39480</v>
      </c>
      <c r="AT195" s="128" t="s">
        <v>39060</v>
      </c>
      <c r="AU195" s="13" t="s">
        <v>24181</v>
      </c>
      <c r="AV195" s="1"/>
      <c r="AW195" s="13" t="s">
        <v>39194</v>
      </c>
      <c r="AX195" s="2"/>
      <c r="AY195" s="2"/>
      <c r="AZ195" s="13" t="s">
        <v>39481</v>
      </c>
    </row>
    <row x14ac:dyDescent="0.25" r="196" customHeight="1" ht="24.75">
      <c r="A196" s="187"/>
      <c r="B196" s="188">
        <f>AND(ISTEXT('Consolidado-Eletronorte'!#REF!),SUM('Consolidado-Eletronorte'!#REF!)&gt;0)</f>
      </c>
      <c r="C196" s="189">
        <f>$J$3</f>
      </c>
      <c r="D196" s="189">
        <f>$H$3</f>
      </c>
      <c r="E196" s="189">
        <f>$H$4</f>
      </c>
      <c r="F196" s="190"/>
      <c r="G196" s="189">
        <f>_xlfn.CONCAT('Consolidado-Eletronorte'!#REF!,"_",ROW('Consolidado-Eletronorte'!#REF!)-ROW('Consolidado-Eletronorte'!$G$18))</f>
      </c>
      <c r="H196" s="186" t="s">
        <v>10</v>
      </c>
      <c r="I196" s="191" t="s">
        <v>85</v>
      </c>
      <c r="J196" s="191" t="s">
        <v>5</v>
      </c>
      <c r="K196" s="192" t="s">
        <v>39449</v>
      </c>
      <c r="L196" s="191" t="s">
        <v>39456</v>
      </c>
      <c r="M196" s="191" t="s">
        <v>39476</v>
      </c>
      <c r="N196" s="191"/>
      <c r="O196" s="191"/>
      <c r="P196" s="191"/>
      <c r="Q196" s="193" t="s">
        <v>39865</v>
      </c>
      <c r="R196" s="193" t="s">
        <v>39740</v>
      </c>
      <c r="S196" s="191" t="s">
        <v>39479</v>
      </c>
      <c r="T196" s="194">
        <v>0</v>
      </c>
      <c r="U196" s="195">
        <v>0</v>
      </c>
      <c r="V196" s="195">
        <v>0</v>
      </c>
      <c r="W196" s="195">
        <v>0</v>
      </c>
      <c r="X196" s="194">
        <v>0</v>
      </c>
      <c r="Y196" s="194">
        <v>0</v>
      </c>
      <c r="Z196" s="196">
        <v>160000</v>
      </c>
      <c r="AA196" s="196">
        <v>0</v>
      </c>
      <c r="AB196" s="196">
        <v>0</v>
      </c>
      <c r="AC196" s="196">
        <v>0</v>
      </c>
      <c r="AD196" s="196">
        <v>0</v>
      </c>
      <c r="AE196" s="196">
        <v>0</v>
      </c>
      <c r="AF196" s="196">
        <f>SUM(Tabela99[[#This Row], [jan/26]:[dez/26]])</f>
      </c>
      <c r="AG196" s="196">
        <v>0</v>
      </c>
      <c r="AH196" s="196">
        <v>0</v>
      </c>
      <c r="AI196" s="196">
        <v>0</v>
      </c>
      <c r="AJ196" s="196">
        <v>0</v>
      </c>
      <c r="AK196" s="196">
        <f>SUM(Tabela99[[#This Row], [2026]:[2030]])</f>
      </c>
      <c r="AL196" s="195">
        <v>0</v>
      </c>
      <c r="AM196" s="196">
        <v>0</v>
      </c>
      <c r="AN196" s="196">
        <v>0</v>
      </c>
      <c r="AO196" s="196">
        <v>0</v>
      </c>
      <c r="AP196" s="196">
        <v>0</v>
      </c>
      <c r="AQ196" s="197">
        <f>SUM(Tabela99[[#This Row], [2026-2030]:[2035]])</f>
      </c>
      <c r="AR196" s="1"/>
      <c r="AS196" s="13" t="s">
        <v>39480</v>
      </c>
      <c r="AT196" s="128" t="s">
        <v>39060</v>
      </c>
      <c r="AU196" s="13" t="s">
        <v>24181</v>
      </c>
      <c r="AV196" s="1"/>
      <c r="AW196" s="13" t="s">
        <v>39194</v>
      </c>
      <c r="AX196" s="2"/>
      <c r="AY196" s="2"/>
      <c r="AZ196" s="13" t="s">
        <v>39481</v>
      </c>
    </row>
    <row x14ac:dyDescent="0.25" r="197" customHeight="1" ht="24.75">
      <c r="A197" s="187"/>
      <c r="B197" s="188">
        <f>AND(ISTEXT('Consolidado-Eletronorte'!#REF!),SUM('Consolidado-Eletronorte'!#REF!)&gt;0)</f>
      </c>
      <c r="C197" s="189">
        <f>$J$3</f>
      </c>
      <c r="D197" s="189">
        <f>$H$3</f>
      </c>
      <c r="E197" s="189">
        <f>$H$4</f>
      </c>
      <c r="F197" s="190"/>
      <c r="G197" s="189">
        <f>_xlfn.CONCAT('Consolidado-Eletronorte'!#REF!,"_",ROW('Consolidado-Eletronorte'!#REF!)-ROW('Consolidado-Eletronorte'!$G$18))</f>
      </c>
      <c r="H197" s="186" t="s">
        <v>10</v>
      </c>
      <c r="I197" s="191" t="s">
        <v>85</v>
      </c>
      <c r="J197" s="191" t="s">
        <v>5</v>
      </c>
      <c r="K197" s="192" t="s">
        <v>39449</v>
      </c>
      <c r="L197" s="191" t="s">
        <v>39456</v>
      </c>
      <c r="M197" s="191" t="s">
        <v>39476</v>
      </c>
      <c r="N197" s="191"/>
      <c r="O197" s="191"/>
      <c r="P197" s="191"/>
      <c r="Q197" s="193" t="s">
        <v>39866</v>
      </c>
      <c r="R197" s="193" t="s">
        <v>39740</v>
      </c>
      <c r="S197" s="191" t="s">
        <v>39479</v>
      </c>
      <c r="T197" s="194">
        <v>0</v>
      </c>
      <c r="U197" s="195">
        <v>0</v>
      </c>
      <c r="V197" s="195">
        <v>0</v>
      </c>
      <c r="W197" s="195">
        <v>0</v>
      </c>
      <c r="X197" s="194">
        <v>0</v>
      </c>
      <c r="Y197" s="194">
        <v>0</v>
      </c>
      <c r="Z197" s="196">
        <v>160000</v>
      </c>
      <c r="AA197" s="196">
        <v>0</v>
      </c>
      <c r="AB197" s="196">
        <v>0</v>
      </c>
      <c r="AC197" s="196">
        <v>0</v>
      </c>
      <c r="AD197" s="196">
        <v>0</v>
      </c>
      <c r="AE197" s="196">
        <v>0</v>
      </c>
      <c r="AF197" s="196">
        <f>SUM(Tabela99[[#This Row], [jan/26]:[dez/26]])</f>
      </c>
      <c r="AG197" s="196">
        <v>0</v>
      </c>
      <c r="AH197" s="196">
        <v>0</v>
      </c>
      <c r="AI197" s="196">
        <v>0</v>
      </c>
      <c r="AJ197" s="196">
        <v>0</v>
      </c>
      <c r="AK197" s="196">
        <f>SUM(Tabela99[[#This Row], [2026]:[2030]])</f>
      </c>
      <c r="AL197" s="195">
        <v>0</v>
      </c>
      <c r="AM197" s="196">
        <v>0</v>
      </c>
      <c r="AN197" s="196">
        <v>0</v>
      </c>
      <c r="AO197" s="196">
        <v>0</v>
      </c>
      <c r="AP197" s="196">
        <v>0</v>
      </c>
      <c r="AQ197" s="197">
        <f>SUM(Tabela99[[#This Row], [2026-2030]:[2035]])</f>
      </c>
      <c r="AR197" s="1"/>
      <c r="AS197" s="13" t="s">
        <v>39480</v>
      </c>
      <c r="AT197" s="128" t="s">
        <v>39060</v>
      </c>
      <c r="AU197" s="13" t="s">
        <v>24181</v>
      </c>
      <c r="AV197" s="1"/>
      <c r="AW197" s="13" t="s">
        <v>39194</v>
      </c>
      <c r="AX197" s="2"/>
      <c r="AY197" s="2"/>
      <c r="AZ197" s="13" t="s">
        <v>39481</v>
      </c>
    </row>
    <row x14ac:dyDescent="0.25" r="198" customHeight="1" ht="24.75">
      <c r="A198" s="187"/>
      <c r="B198" s="188">
        <f>AND(ISTEXT('Consolidado-Eletronorte'!#REF!),SUM('Consolidado-Eletronorte'!#REF!)&gt;0)</f>
      </c>
      <c r="C198" s="189">
        <f>$J$3</f>
      </c>
      <c r="D198" s="189">
        <f>$H$3</f>
      </c>
      <c r="E198" s="189">
        <f>$H$4</f>
      </c>
      <c r="F198" s="190"/>
      <c r="G198" s="189">
        <f>_xlfn.CONCAT('Consolidado-Eletronorte'!#REF!,"_",ROW('Consolidado-Eletronorte'!#REF!)-ROW('Consolidado-Eletronorte'!$G$18))</f>
      </c>
      <c r="H198" s="186" t="s">
        <v>10</v>
      </c>
      <c r="I198" s="191" t="s">
        <v>85</v>
      </c>
      <c r="J198" s="191" t="s">
        <v>5</v>
      </c>
      <c r="K198" s="192" t="s">
        <v>39449</v>
      </c>
      <c r="L198" s="191" t="s">
        <v>39456</v>
      </c>
      <c r="M198" s="191" t="s">
        <v>39507</v>
      </c>
      <c r="N198" s="191"/>
      <c r="O198" s="191"/>
      <c r="P198" s="191"/>
      <c r="Q198" s="193" t="s">
        <v>39867</v>
      </c>
      <c r="R198" s="193" t="s">
        <v>39867</v>
      </c>
      <c r="S198" s="191" t="s">
        <v>39509</v>
      </c>
      <c r="T198" s="194">
        <v>0</v>
      </c>
      <c r="U198" s="195">
        <v>0</v>
      </c>
      <c r="V198" s="195">
        <v>0</v>
      </c>
      <c r="W198" s="195">
        <v>150000</v>
      </c>
      <c r="X198" s="194">
        <v>0</v>
      </c>
      <c r="Y198" s="194">
        <v>0</v>
      </c>
      <c r="Z198" s="196">
        <v>0</v>
      </c>
      <c r="AA198" s="196">
        <v>0</v>
      </c>
      <c r="AB198" s="196">
        <v>0</v>
      </c>
      <c r="AC198" s="196">
        <v>0</v>
      </c>
      <c r="AD198" s="196">
        <v>0</v>
      </c>
      <c r="AE198" s="196">
        <v>0</v>
      </c>
      <c r="AF198" s="196">
        <f>SUM(Tabela99[[#This Row], [jan/26]:[dez/26]])</f>
      </c>
      <c r="AG198" s="196">
        <v>0</v>
      </c>
      <c r="AH198" s="196">
        <v>0</v>
      </c>
      <c r="AI198" s="196">
        <v>0</v>
      </c>
      <c r="AJ198" s="196">
        <v>0</v>
      </c>
      <c r="AK198" s="196">
        <f>SUM(Tabela99[[#This Row], [2026]:[2030]])</f>
      </c>
      <c r="AL198" s="195">
        <v>0</v>
      </c>
      <c r="AM198" s="196">
        <v>0</v>
      </c>
      <c r="AN198" s="196">
        <v>0</v>
      </c>
      <c r="AO198" s="196">
        <v>0</v>
      </c>
      <c r="AP198" s="196">
        <v>0</v>
      </c>
      <c r="AQ198" s="197">
        <f>SUM(Tabela99[[#This Row], [2026-2030]:[2035]])</f>
      </c>
      <c r="AR198" s="1"/>
      <c r="AS198" s="13" t="s">
        <v>39510</v>
      </c>
      <c r="AT198" s="39">
        <v>2025</v>
      </c>
      <c r="AU198" s="13" t="s">
        <v>24181</v>
      </c>
      <c r="AV198" s="1"/>
      <c r="AW198" s="13" t="s">
        <v>39194</v>
      </c>
      <c r="AX198" s="2"/>
      <c r="AY198" s="2"/>
      <c r="AZ198" s="13" t="s">
        <v>39511</v>
      </c>
    </row>
    <row x14ac:dyDescent="0.25" r="199" customHeight="1" ht="24.75">
      <c r="A199" s="187"/>
      <c r="B199" s="188">
        <f>AND(ISTEXT('Consolidado-Eletronorte'!#REF!),SUM('Consolidado-Eletronorte'!#REF!)&gt;0)</f>
      </c>
      <c r="C199" s="189">
        <f>$J$3</f>
      </c>
      <c r="D199" s="189">
        <f>$H$3</f>
      </c>
      <c r="E199" s="189">
        <f>$H$4</f>
      </c>
      <c r="F199" s="190"/>
      <c r="G199" s="189">
        <f>_xlfn.CONCAT('Consolidado-Eletronorte'!#REF!,"_",ROW('Consolidado-Eletronorte'!#REF!)-ROW('Consolidado-Eletronorte'!$G$18))</f>
      </c>
      <c r="H199" s="186" t="s">
        <v>10</v>
      </c>
      <c r="I199" s="191" t="s">
        <v>85</v>
      </c>
      <c r="J199" s="191" t="s">
        <v>5</v>
      </c>
      <c r="K199" s="192" t="s">
        <v>26</v>
      </c>
      <c r="L199" s="191" t="s">
        <v>39641</v>
      </c>
      <c r="M199" s="191" t="s">
        <v>39672</v>
      </c>
      <c r="N199" s="191"/>
      <c r="O199" s="191"/>
      <c r="P199" s="191"/>
      <c r="Q199" s="193" t="s">
        <v>39868</v>
      </c>
      <c r="R199" s="193" t="s">
        <v>39869</v>
      </c>
      <c r="S199" s="191" t="s">
        <v>39711</v>
      </c>
      <c r="T199" s="194">
        <v>0</v>
      </c>
      <c r="U199" s="195">
        <v>0</v>
      </c>
      <c r="V199" s="195">
        <v>0</v>
      </c>
      <c r="W199" s="195">
        <v>0</v>
      </c>
      <c r="X199" s="194">
        <v>0</v>
      </c>
      <c r="Y199" s="194">
        <v>0</v>
      </c>
      <c r="Z199" s="196">
        <v>0</v>
      </c>
      <c r="AA199" s="196">
        <v>121840</v>
      </c>
      <c r="AB199" s="196">
        <v>0</v>
      </c>
      <c r="AC199" s="196">
        <v>0</v>
      </c>
      <c r="AD199" s="196">
        <v>0</v>
      </c>
      <c r="AE199" s="196">
        <v>0</v>
      </c>
      <c r="AF199" s="196">
        <f>SUM(Tabela99[[#This Row], [jan/26]:[dez/26]])</f>
      </c>
      <c r="AG199" s="196">
        <v>0</v>
      </c>
      <c r="AH199" s="196">
        <v>0</v>
      </c>
      <c r="AI199" s="196">
        <v>0</v>
      </c>
      <c r="AJ199" s="196">
        <v>0</v>
      </c>
      <c r="AK199" s="196">
        <f>SUM(Tabela99[[#This Row], [2026]:[2030]])</f>
      </c>
      <c r="AL199" s="195">
        <v>0</v>
      </c>
      <c r="AM199" s="196">
        <v>0</v>
      </c>
      <c r="AN199" s="196">
        <v>0</v>
      </c>
      <c r="AO199" s="196">
        <v>0</v>
      </c>
      <c r="AP199" s="196">
        <v>0</v>
      </c>
      <c r="AQ199" s="197">
        <f>SUM(Tabela99[[#This Row], [2026-2030]:[2035]])</f>
      </c>
      <c r="AR199" s="1"/>
      <c r="AS199" s="13" t="s">
        <v>39674</v>
      </c>
      <c r="AT199" s="128" t="s">
        <v>39060</v>
      </c>
      <c r="AU199" s="13" t="s">
        <v>24181</v>
      </c>
      <c r="AV199" s="1"/>
      <c r="AW199" s="13" t="s">
        <v>39062</v>
      </c>
      <c r="AX199" s="2"/>
      <c r="AY199" s="2"/>
      <c r="AZ199" s="13" t="s">
        <v>39709</v>
      </c>
    </row>
    <row x14ac:dyDescent="0.25" r="200" customHeight="1" ht="24.75">
      <c r="A200" s="187"/>
      <c r="B200" s="188">
        <f>AND(ISTEXT('Consolidado-Eletronorte'!#REF!),SUM('Consolidado-Eletronorte'!#REF!)&gt;0)</f>
      </c>
      <c r="C200" s="189">
        <f>$J$3</f>
      </c>
      <c r="D200" s="189">
        <f>$H$3</f>
      </c>
      <c r="E200" s="189">
        <f>$H$4</f>
      </c>
      <c r="F200" s="190"/>
      <c r="G200" s="189">
        <f>_xlfn.CONCAT('Consolidado-Eletronorte'!#REF!,"_",ROW('Consolidado-Eletronorte'!#REF!)-ROW('Consolidado-Eletronorte'!$G$18))</f>
      </c>
      <c r="H200" s="186" t="s">
        <v>10</v>
      </c>
      <c r="I200" s="191" t="s">
        <v>85</v>
      </c>
      <c r="J200" s="191" t="s">
        <v>5</v>
      </c>
      <c r="K200" s="192" t="s">
        <v>26</v>
      </c>
      <c r="L200" s="191" t="s">
        <v>39641</v>
      </c>
      <c r="M200" s="191" t="s">
        <v>39672</v>
      </c>
      <c r="N200" s="191"/>
      <c r="O200" s="191"/>
      <c r="P200" s="191"/>
      <c r="Q200" s="193" t="s">
        <v>39868</v>
      </c>
      <c r="R200" s="193" t="s">
        <v>39869</v>
      </c>
      <c r="S200" s="191" t="s">
        <v>38390</v>
      </c>
      <c r="T200" s="194">
        <v>0</v>
      </c>
      <c r="U200" s="195">
        <v>0</v>
      </c>
      <c r="V200" s="195">
        <v>0</v>
      </c>
      <c r="W200" s="195">
        <v>0</v>
      </c>
      <c r="X200" s="194">
        <v>0</v>
      </c>
      <c r="Y200" s="194">
        <v>0</v>
      </c>
      <c r="Z200" s="196">
        <v>0</v>
      </c>
      <c r="AA200" s="196">
        <v>121840</v>
      </c>
      <c r="AB200" s="196">
        <v>0</v>
      </c>
      <c r="AC200" s="196">
        <v>0</v>
      </c>
      <c r="AD200" s="196">
        <v>0</v>
      </c>
      <c r="AE200" s="196">
        <v>0</v>
      </c>
      <c r="AF200" s="196">
        <f>SUM(Tabela99[[#This Row], [jan/26]:[dez/26]])</f>
      </c>
      <c r="AG200" s="196">
        <v>0</v>
      </c>
      <c r="AH200" s="196">
        <v>0</v>
      </c>
      <c r="AI200" s="196">
        <v>0</v>
      </c>
      <c r="AJ200" s="196">
        <v>0</v>
      </c>
      <c r="AK200" s="196">
        <f>SUM(Tabela99[[#This Row], [2026]:[2030]])</f>
      </c>
      <c r="AL200" s="195">
        <v>0</v>
      </c>
      <c r="AM200" s="196">
        <v>0</v>
      </c>
      <c r="AN200" s="196">
        <v>0</v>
      </c>
      <c r="AO200" s="196">
        <v>0</v>
      </c>
      <c r="AP200" s="196">
        <v>0</v>
      </c>
      <c r="AQ200" s="197">
        <f>SUM(Tabela99[[#This Row], [2026-2030]:[2035]])</f>
      </c>
      <c r="AR200" s="1"/>
      <c r="AS200" s="13" t="s">
        <v>39674</v>
      </c>
      <c r="AT200" s="128" t="s">
        <v>39060</v>
      </c>
      <c r="AU200" s="13" t="s">
        <v>24181</v>
      </c>
      <c r="AV200" s="1"/>
      <c r="AW200" s="13" t="s">
        <v>39062</v>
      </c>
      <c r="AX200" s="2"/>
      <c r="AY200" s="2"/>
      <c r="AZ200" s="13" t="s">
        <v>39709</v>
      </c>
    </row>
    <row x14ac:dyDescent="0.25" r="201" customHeight="1" ht="24.75">
      <c r="A201" s="187"/>
      <c r="B201" s="188">
        <f>AND(ISTEXT('Consolidado-Eletronorte'!#REF!),SUM('Consolidado-Eletronorte'!#REF!)&gt;0)</f>
      </c>
      <c r="C201" s="189">
        <f>$J$3</f>
      </c>
      <c r="D201" s="189">
        <f>$H$3</f>
      </c>
      <c r="E201" s="189">
        <f>$H$4</f>
      </c>
      <c r="F201" s="190"/>
      <c r="G201" s="189">
        <f>_xlfn.CONCAT('Consolidado-Eletronorte'!#REF!,"_",ROW('Consolidado-Eletronorte'!#REF!)-ROW('Consolidado-Eletronorte'!$G$18))</f>
      </c>
      <c r="H201" s="186" t="s">
        <v>10</v>
      </c>
      <c r="I201" s="191" t="s">
        <v>85</v>
      </c>
      <c r="J201" s="191" t="s">
        <v>5</v>
      </c>
      <c r="K201" s="192" t="s">
        <v>26</v>
      </c>
      <c r="L201" s="191" t="s">
        <v>39641</v>
      </c>
      <c r="M201" s="191" t="s">
        <v>39672</v>
      </c>
      <c r="N201" s="191"/>
      <c r="O201" s="191"/>
      <c r="P201" s="191"/>
      <c r="Q201" s="193" t="s">
        <v>39868</v>
      </c>
      <c r="R201" s="193" t="s">
        <v>39869</v>
      </c>
      <c r="S201" s="191" t="s">
        <v>38378</v>
      </c>
      <c r="T201" s="194">
        <v>0</v>
      </c>
      <c r="U201" s="195">
        <v>0</v>
      </c>
      <c r="V201" s="195">
        <v>0</v>
      </c>
      <c r="W201" s="195">
        <v>0</v>
      </c>
      <c r="X201" s="194">
        <v>0</v>
      </c>
      <c r="Y201" s="194">
        <v>0</v>
      </c>
      <c r="Z201" s="196">
        <v>0</v>
      </c>
      <c r="AA201" s="196">
        <v>121840</v>
      </c>
      <c r="AB201" s="196">
        <v>0</v>
      </c>
      <c r="AC201" s="196">
        <v>0</v>
      </c>
      <c r="AD201" s="196">
        <v>0</v>
      </c>
      <c r="AE201" s="196">
        <v>0</v>
      </c>
      <c r="AF201" s="196">
        <f>SUM(Tabela99[[#This Row], [jan/26]:[dez/26]])</f>
      </c>
      <c r="AG201" s="196">
        <v>0</v>
      </c>
      <c r="AH201" s="196">
        <v>0</v>
      </c>
      <c r="AI201" s="196">
        <v>0</v>
      </c>
      <c r="AJ201" s="196">
        <v>0</v>
      </c>
      <c r="AK201" s="196">
        <f>SUM(Tabela99[[#This Row], [2026]:[2030]])</f>
      </c>
      <c r="AL201" s="195">
        <v>0</v>
      </c>
      <c r="AM201" s="196">
        <v>0</v>
      </c>
      <c r="AN201" s="196">
        <v>0</v>
      </c>
      <c r="AO201" s="196">
        <v>0</v>
      </c>
      <c r="AP201" s="196">
        <v>0</v>
      </c>
      <c r="AQ201" s="197">
        <f>SUM(Tabela99[[#This Row], [2026-2030]:[2035]])</f>
      </c>
      <c r="AR201" s="1"/>
      <c r="AS201" s="13" t="s">
        <v>39674</v>
      </c>
      <c r="AT201" s="128" t="s">
        <v>39060</v>
      </c>
      <c r="AU201" s="13" t="s">
        <v>24181</v>
      </c>
      <c r="AV201" s="1"/>
      <c r="AW201" s="13" t="s">
        <v>39062</v>
      </c>
      <c r="AX201" s="2"/>
      <c r="AY201" s="2"/>
      <c r="AZ201" s="13" t="s">
        <v>39709</v>
      </c>
    </row>
    <row x14ac:dyDescent="0.25" r="202" customHeight="1" ht="24.75">
      <c r="A202" s="187"/>
      <c r="B202" s="188">
        <f>AND(ISTEXT('Consolidado-Eletronorte'!#REF!),SUM('Consolidado-Eletronorte'!#REF!)&gt;0)</f>
      </c>
      <c r="C202" s="189">
        <f>$J$3</f>
      </c>
      <c r="D202" s="189">
        <f>$H$3</f>
      </c>
      <c r="E202" s="189">
        <f>$H$4</f>
      </c>
      <c r="F202" s="190"/>
      <c r="G202" s="189">
        <f>_xlfn.CONCAT('Consolidado-Eletronorte'!#REF!,"_",ROW('Consolidado-Eletronorte'!#REF!)-ROW('Consolidado-Eletronorte'!$G$18))</f>
      </c>
      <c r="H202" s="186" t="s">
        <v>10</v>
      </c>
      <c r="I202" s="191" t="s">
        <v>85</v>
      </c>
      <c r="J202" s="191" t="s">
        <v>5</v>
      </c>
      <c r="K202" s="192" t="s">
        <v>26</v>
      </c>
      <c r="L202" s="191" t="s">
        <v>39641</v>
      </c>
      <c r="M202" s="191" t="s">
        <v>39672</v>
      </c>
      <c r="N202" s="191"/>
      <c r="O202" s="191"/>
      <c r="P202" s="191"/>
      <c r="Q202" s="193" t="s">
        <v>39868</v>
      </c>
      <c r="R202" s="193" t="s">
        <v>39869</v>
      </c>
      <c r="S202" s="191" t="s">
        <v>38372</v>
      </c>
      <c r="T202" s="194">
        <v>0</v>
      </c>
      <c r="U202" s="195">
        <v>0</v>
      </c>
      <c r="V202" s="195">
        <v>0</v>
      </c>
      <c r="W202" s="195">
        <v>0</v>
      </c>
      <c r="X202" s="194">
        <v>0</v>
      </c>
      <c r="Y202" s="194">
        <v>0</v>
      </c>
      <c r="Z202" s="196">
        <v>0</v>
      </c>
      <c r="AA202" s="196">
        <v>108599</v>
      </c>
      <c r="AB202" s="196">
        <v>0</v>
      </c>
      <c r="AC202" s="196">
        <v>0</v>
      </c>
      <c r="AD202" s="196">
        <v>0</v>
      </c>
      <c r="AE202" s="196">
        <v>0</v>
      </c>
      <c r="AF202" s="196">
        <f>SUM(Tabela99[[#This Row], [jan/26]:[dez/26]])</f>
      </c>
      <c r="AG202" s="196">
        <v>0</v>
      </c>
      <c r="AH202" s="196">
        <v>0</v>
      </c>
      <c r="AI202" s="196">
        <v>0</v>
      </c>
      <c r="AJ202" s="196">
        <v>0</v>
      </c>
      <c r="AK202" s="196">
        <f>SUM(Tabela99[[#This Row], [2026]:[2030]])</f>
      </c>
      <c r="AL202" s="195">
        <v>0</v>
      </c>
      <c r="AM202" s="196">
        <v>0</v>
      </c>
      <c r="AN202" s="196">
        <v>0</v>
      </c>
      <c r="AO202" s="196">
        <v>0</v>
      </c>
      <c r="AP202" s="196">
        <v>0</v>
      </c>
      <c r="AQ202" s="197">
        <f>SUM(Tabela99[[#This Row], [2026-2030]:[2035]])</f>
      </c>
      <c r="AR202" s="1"/>
      <c r="AS202" s="13" t="s">
        <v>39674</v>
      </c>
      <c r="AT202" s="128" t="s">
        <v>39060</v>
      </c>
      <c r="AU202" s="13" t="s">
        <v>24181</v>
      </c>
      <c r="AV202" s="1"/>
      <c r="AW202" s="13" t="s">
        <v>39062</v>
      </c>
      <c r="AX202" s="2"/>
      <c r="AY202" s="2"/>
      <c r="AZ202" s="13" t="s">
        <v>39709</v>
      </c>
    </row>
    <row x14ac:dyDescent="0.25" r="203" customHeight="1" ht="24.75">
      <c r="A203" s="187"/>
      <c r="B203" s="188">
        <f>AND(ISTEXT('Consolidado-Eletronorte'!#REF!),SUM('Consolidado-Eletronorte'!#REF!)&gt;0)</f>
      </c>
      <c r="C203" s="189">
        <f>$J$3</f>
      </c>
      <c r="D203" s="189">
        <f>$H$3</f>
      </c>
      <c r="E203" s="189">
        <f>$H$4</f>
      </c>
      <c r="F203" s="190"/>
      <c r="G203" s="189">
        <f>_xlfn.CONCAT('Consolidado-Eletronorte'!#REF!,"_",ROW('Consolidado-Eletronorte'!#REF!)-ROW('Consolidado-Eletronorte'!$G$18))</f>
      </c>
      <c r="H203" s="186" t="s">
        <v>10</v>
      </c>
      <c r="I203" s="191" t="s">
        <v>85</v>
      </c>
      <c r="J203" s="191" t="s">
        <v>5</v>
      </c>
      <c r="K203" s="192" t="s">
        <v>39449</v>
      </c>
      <c r="L203" s="191" t="s">
        <v>39456</v>
      </c>
      <c r="M203" s="191" t="s">
        <v>39701</v>
      </c>
      <c r="N203" s="191"/>
      <c r="O203" s="191"/>
      <c r="P203" s="191"/>
      <c r="Q203" s="193" t="s">
        <v>39870</v>
      </c>
      <c r="R203" s="193" t="s">
        <v>39630</v>
      </c>
      <c r="S203" s="191" t="s">
        <v>39704</v>
      </c>
      <c r="T203" s="194">
        <v>0</v>
      </c>
      <c r="U203" s="195">
        <v>0</v>
      </c>
      <c r="V203" s="195">
        <v>0</v>
      </c>
      <c r="W203" s="195">
        <v>0</v>
      </c>
      <c r="X203" s="194">
        <v>0</v>
      </c>
      <c r="Y203" s="194">
        <v>0</v>
      </c>
      <c r="Z203" s="196">
        <v>0</v>
      </c>
      <c r="AA203" s="196">
        <v>0</v>
      </c>
      <c r="AB203" s="196">
        <v>100000</v>
      </c>
      <c r="AC203" s="196">
        <v>0</v>
      </c>
      <c r="AD203" s="196">
        <v>0</v>
      </c>
      <c r="AE203" s="196">
        <v>0</v>
      </c>
      <c r="AF203" s="196">
        <f>SUM(Tabela99[[#This Row], [jan/26]:[dez/26]])</f>
      </c>
      <c r="AG203" s="196">
        <v>0</v>
      </c>
      <c r="AH203" s="196">
        <v>0</v>
      </c>
      <c r="AI203" s="196">
        <v>0</v>
      </c>
      <c r="AJ203" s="196">
        <v>0</v>
      </c>
      <c r="AK203" s="196">
        <f>SUM(Tabela99[[#This Row], [2026]:[2030]])</f>
      </c>
      <c r="AL203" s="195">
        <v>0</v>
      </c>
      <c r="AM203" s="196">
        <v>0</v>
      </c>
      <c r="AN203" s="196">
        <v>0</v>
      </c>
      <c r="AO203" s="196">
        <v>0</v>
      </c>
      <c r="AP203" s="196">
        <v>0</v>
      </c>
      <c r="AQ203" s="197">
        <f>SUM(Tabela99[[#This Row], [2026-2030]:[2035]])</f>
      </c>
      <c r="AR203" s="1"/>
      <c r="AS203" s="13" t="s">
        <v>39510</v>
      </c>
      <c r="AT203" s="39">
        <v>2025</v>
      </c>
      <c r="AU203" s="13" t="s">
        <v>24181</v>
      </c>
      <c r="AV203" s="1"/>
      <c r="AW203" s="13" t="s">
        <v>39194</v>
      </c>
      <c r="AX203" s="2"/>
      <c r="AY203" s="2"/>
      <c r="AZ203" s="13" t="s">
        <v>39705</v>
      </c>
    </row>
    <row x14ac:dyDescent="0.25" r="204" customHeight="1" ht="24.75">
      <c r="A204" s="187"/>
      <c r="B204" s="188">
        <f>AND(ISTEXT('Consolidado-Eletronorte'!#REF!),SUM('Consolidado-Eletronorte'!#REF!)&gt;0)</f>
      </c>
      <c r="C204" s="189">
        <f>$J$3</f>
      </c>
      <c r="D204" s="189">
        <f>$H$3</f>
      </c>
      <c r="E204" s="189">
        <f>$H$4</f>
      </c>
      <c r="F204" s="190"/>
      <c r="G204" s="189">
        <f>_xlfn.CONCAT('Consolidado-Eletronorte'!#REF!,"_",ROW('Consolidado-Eletronorte'!#REF!)-ROW('Consolidado-Eletronorte'!$G$18))</f>
      </c>
      <c r="H204" s="186" t="s">
        <v>10</v>
      </c>
      <c r="I204" s="191" t="s">
        <v>85</v>
      </c>
      <c r="J204" s="191" t="s">
        <v>5</v>
      </c>
      <c r="K204" s="192" t="s">
        <v>26</v>
      </c>
      <c r="L204" s="191" t="s">
        <v>39641</v>
      </c>
      <c r="M204" s="191" t="s">
        <v>39672</v>
      </c>
      <c r="N204" s="191"/>
      <c r="O204" s="191"/>
      <c r="P204" s="191"/>
      <c r="Q204" s="193" t="s">
        <v>39871</v>
      </c>
      <c r="R204" s="193" t="s">
        <v>39872</v>
      </c>
      <c r="S204" s="191" t="s">
        <v>38392</v>
      </c>
      <c r="T204" s="194">
        <v>0</v>
      </c>
      <c r="U204" s="195">
        <v>0</v>
      </c>
      <c r="V204" s="195">
        <v>0</v>
      </c>
      <c r="W204" s="195">
        <v>0</v>
      </c>
      <c r="X204" s="194">
        <v>70000</v>
      </c>
      <c r="Y204" s="194">
        <v>0</v>
      </c>
      <c r="Z204" s="196">
        <v>0</v>
      </c>
      <c r="AA204" s="196">
        <v>0</v>
      </c>
      <c r="AB204" s="196">
        <v>0</v>
      </c>
      <c r="AC204" s="196">
        <v>0</v>
      </c>
      <c r="AD204" s="196">
        <v>0</v>
      </c>
      <c r="AE204" s="196">
        <v>0</v>
      </c>
      <c r="AF204" s="196">
        <f>SUM(Tabela99[[#This Row], [jan/26]:[dez/26]])</f>
      </c>
      <c r="AG204" s="196">
        <v>0</v>
      </c>
      <c r="AH204" s="196">
        <v>0</v>
      </c>
      <c r="AI204" s="196">
        <v>0</v>
      </c>
      <c r="AJ204" s="196">
        <v>0</v>
      </c>
      <c r="AK204" s="196">
        <f>SUM(Tabela99[[#This Row], [2026]:[2030]])</f>
      </c>
      <c r="AL204" s="195">
        <v>0</v>
      </c>
      <c r="AM204" s="196">
        <v>0</v>
      </c>
      <c r="AN204" s="196">
        <v>0</v>
      </c>
      <c r="AO204" s="196">
        <v>0</v>
      </c>
      <c r="AP204" s="196">
        <v>0</v>
      </c>
      <c r="AQ204" s="197">
        <f>SUM(Tabela99[[#This Row], [2026-2030]:[2035]])</f>
      </c>
      <c r="AR204" s="1"/>
      <c r="AS204" s="13" t="s">
        <v>39674</v>
      </c>
      <c r="AT204" s="39">
        <v>2025</v>
      </c>
      <c r="AU204" s="13" t="s">
        <v>24181</v>
      </c>
      <c r="AV204" s="1"/>
      <c r="AW204" s="13" t="s">
        <v>39062</v>
      </c>
      <c r="AX204" s="2"/>
      <c r="AY204" s="2"/>
      <c r="AZ204" s="13" t="s">
        <v>39675</v>
      </c>
    </row>
    <row x14ac:dyDescent="0.25" r="205" customHeight="1" ht="24.75">
      <c r="A205" s="187"/>
      <c r="B205" s="188">
        <f>AND(ISTEXT('Consolidado-Eletronorte'!#REF!),SUM('Consolidado-Eletronorte'!#REF!)&gt;0)</f>
      </c>
      <c r="C205" s="189">
        <f>$J$3</f>
      </c>
      <c r="D205" s="189">
        <f>$H$3</f>
      </c>
      <c r="E205" s="189">
        <f>$H$4</f>
      </c>
      <c r="F205" s="190"/>
      <c r="G205" s="189">
        <f>_xlfn.CONCAT('Consolidado-Eletronorte'!#REF!,"_",ROW('Consolidado-Eletronorte'!#REF!)-ROW('Consolidado-Eletronorte'!$G$18))</f>
      </c>
      <c r="H205" s="186" t="s">
        <v>10</v>
      </c>
      <c r="I205" s="191" t="s">
        <v>85</v>
      </c>
      <c r="J205" s="191" t="s">
        <v>5</v>
      </c>
      <c r="K205" s="192" t="s">
        <v>39449</v>
      </c>
      <c r="L205" s="191" t="s">
        <v>39456</v>
      </c>
      <c r="M205" s="191" t="s">
        <v>39578</v>
      </c>
      <c r="N205" s="191"/>
      <c r="O205" s="191"/>
      <c r="P205" s="191"/>
      <c r="Q205" s="193" t="s">
        <v>39873</v>
      </c>
      <c r="R205" s="193" t="s">
        <v>39874</v>
      </c>
      <c r="S205" s="191" t="s">
        <v>38384</v>
      </c>
      <c r="T205" s="194">
        <v>0</v>
      </c>
      <c r="U205" s="195">
        <v>0</v>
      </c>
      <c r="V205" s="195">
        <v>0</v>
      </c>
      <c r="W205" s="195">
        <v>0</v>
      </c>
      <c r="X205" s="194">
        <v>0</v>
      </c>
      <c r="Y205" s="194">
        <v>60000</v>
      </c>
      <c r="Z205" s="196">
        <v>0</v>
      </c>
      <c r="AA205" s="196">
        <v>0</v>
      </c>
      <c r="AB205" s="196">
        <v>0</v>
      </c>
      <c r="AC205" s="196">
        <v>0</v>
      </c>
      <c r="AD205" s="196">
        <v>0</v>
      </c>
      <c r="AE205" s="196">
        <v>0</v>
      </c>
      <c r="AF205" s="196">
        <f>SUM(Tabela99[[#This Row], [jan/26]:[dez/26]])</f>
      </c>
      <c r="AG205" s="196">
        <v>0</v>
      </c>
      <c r="AH205" s="196">
        <v>0</v>
      </c>
      <c r="AI205" s="196">
        <v>0</v>
      </c>
      <c r="AJ205" s="196">
        <v>0</v>
      </c>
      <c r="AK205" s="196">
        <f>SUM(Tabela99[[#This Row], [2026]:[2030]])</f>
      </c>
      <c r="AL205" s="195">
        <v>0</v>
      </c>
      <c r="AM205" s="196">
        <v>0</v>
      </c>
      <c r="AN205" s="196">
        <v>0</v>
      </c>
      <c r="AO205" s="196">
        <v>0</v>
      </c>
      <c r="AP205" s="196">
        <v>0</v>
      </c>
      <c r="AQ205" s="197">
        <f>SUM(Tabela99[[#This Row], [2026-2030]:[2035]])</f>
      </c>
      <c r="AR205" s="1"/>
      <c r="AS205" s="13" t="s">
        <v>39461</v>
      </c>
      <c r="AT205" s="39">
        <v>2025</v>
      </c>
      <c r="AU205" s="13" t="s">
        <v>24181</v>
      </c>
      <c r="AV205" s="1"/>
      <c r="AW205" s="13" t="s">
        <v>39194</v>
      </c>
      <c r="AX205" s="2"/>
      <c r="AY205" s="2"/>
      <c r="AZ205" s="13" t="s">
        <v>39582</v>
      </c>
    </row>
    <row x14ac:dyDescent="0.25" r="206" customHeight="1" ht="24.75">
      <c r="A206" s="187"/>
      <c r="B206" s="188">
        <f>AND(ISTEXT('Consolidado-Eletronorte'!#REF!),SUM('Consolidado-Eletronorte'!#REF!)&gt;0)</f>
      </c>
      <c r="C206" s="189">
        <f>$J$3</f>
      </c>
      <c r="D206" s="189">
        <f>$H$3</f>
      </c>
      <c r="E206" s="189">
        <f>$H$4</f>
      </c>
      <c r="F206" s="190"/>
      <c r="G206" s="189">
        <f>_xlfn.CONCAT('Consolidado-Eletronorte'!#REF!,"_",ROW('Consolidado-Eletronorte'!#REF!)-ROW('Consolidado-Eletronorte'!$G$18))</f>
      </c>
      <c r="H206" s="186" t="s">
        <v>10</v>
      </c>
      <c r="I206" s="191" t="s">
        <v>85</v>
      </c>
      <c r="J206" s="191" t="s">
        <v>5</v>
      </c>
      <c r="K206" s="192" t="s">
        <v>26</v>
      </c>
      <c r="L206" s="191" t="s">
        <v>39641</v>
      </c>
      <c r="M206" s="191" t="s">
        <v>39672</v>
      </c>
      <c r="N206" s="191"/>
      <c r="O206" s="191"/>
      <c r="P206" s="191"/>
      <c r="Q206" s="193" t="s">
        <v>39875</v>
      </c>
      <c r="R206" s="193" t="s">
        <v>39876</v>
      </c>
      <c r="S206" s="191" t="s">
        <v>38388</v>
      </c>
      <c r="T206" s="194">
        <v>0</v>
      </c>
      <c r="U206" s="195">
        <v>0</v>
      </c>
      <c r="V206" s="195">
        <v>0</v>
      </c>
      <c r="W206" s="195">
        <v>0</v>
      </c>
      <c r="X206" s="194">
        <v>0</v>
      </c>
      <c r="Y206" s="194">
        <v>25000</v>
      </c>
      <c r="Z206" s="196">
        <v>0</v>
      </c>
      <c r="AA206" s="196">
        <v>0</v>
      </c>
      <c r="AB206" s="196">
        <v>0</v>
      </c>
      <c r="AC206" s="196">
        <v>0</v>
      </c>
      <c r="AD206" s="196">
        <v>0</v>
      </c>
      <c r="AE206" s="196">
        <v>0</v>
      </c>
      <c r="AF206" s="196">
        <f>SUM(Tabela99[[#This Row], [jan/26]:[dez/26]])</f>
      </c>
      <c r="AG206" s="196">
        <v>0</v>
      </c>
      <c r="AH206" s="196">
        <v>0</v>
      </c>
      <c r="AI206" s="196">
        <v>0</v>
      </c>
      <c r="AJ206" s="196">
        <v>0</v>
      </c>
      <c r="AK206" s="196">
        <f>SUM(Tabela99[[#This Row], [2026]:[2030]])</f>
      </c>
      <c r="AL206" s="195">
        <v>0</v>
      </c>
      <c r="AM206" s="196">
        <v>0</v>
      </c>
      <c r="AN206" s="196">
        <v>0</v>
      </c>
      <c r="AO206" s="196">
        <v>0</v>
      </c>
      <c r="AP206" s="196">
        <v>0</v>
      </c>
      <c r="AQ206" s="197">
        <f>SUM(Tabela99[[#This Row], [2026-2030]:[2035]])</f>
      </c>
      <c r="AR206" s="1"/>
      <c r="AS206" s="13" t="s">
        <v>39674</v>
      </c>
      <c r="AT206" s="128" t="s">
        <v>39060</v>
      </c>
      <c r="AU206" s="13" t="s">
        <v>24181</v>
      </c>
      <c r="AV206" s="1"/>
      <c r="AW206" s="13" t="s">
        <v>39062</v>
      </c>
      <c r="AX206" s="2"/>
      <c r="AY206" s="2"/>
      <c r="AZ206" s="13" t="s">
        <v>39690</v>
      </c>
    </row>
    <row x14ac:dyDescent="0.25" r="207" customHeight="1" ht="24.75">
      <c r="A207" s="187"/>
      <c r="B207" s="188">
        <f>AND(ISTEXT('Consolidado-Eletronorte'!#REF!),SUM('Consolidado-Eletronorte'!#REF!)&gt;0)</f>
      </c>
      <c r="C207" s="189">
        <f>$J$3</f>
      </c>
      <c r="D207" s="189">
        <f>$H$3</f>
      </c>
      <c r="E207" s="189">
        <f>$H$4</f>
      </c>
      <c r="F207" s="190"/>
      <c r="G207" s="189">
        <f>_xlfn.CONCAT('Consolidado-Eletronorte'!#REF!,"_",ROW('Consolidado-Eletronorte'!#REF!)-ROW('Consolidado-Eletronorte'!$G$18))</f>
      </c>
      <c r="H207" s="186" t="s">
        <v>10</v>
      </c>
      <c r="I207" s="191" t="s">
        <v>85</v>
      </c>
      <c r="J207" s="191" t="s">
        <v>5</v>
      </c>
      <c r="K207" s="192" t="s">
        <v>39449</v>
      </c>
      <c r="L207" s="191" t="s">
        <v>39456</v>
      </c>
      <c r="M207" s="191" t="s">
        <v>39476</v>
      </c>
      <c r="N207" s="191"/>
      <c r="O207" s="191"/>
      <c r="P207" s="191"/>
      <c r="Q207" s="193" t="s">
        <v>39877</v>
      </c>
      <c r="R207" s="193" t="s">
        <v>39740</v>
      </c>
      <c r="S207" s="191" t="s">
        <v>39479</v>
      </c>
      <c r="T207" s="194">
        <v>0</v>
      </c>
      <c r="U207" s="195">
        <v>0</v>
      </c>
      <c r="V207" s="195">
        <v>0</v>
      </c>
      <c r="W207" s="195">
        <v>0</v>
      </c>
      <c r="X207" s="194">
        <v>0</v>
      </c>
      <c r="Y207" s="194">
        <v>0</v>
      </c>
      <c r="Z207" s="196">
        <v>0</v>
      </c>
      <c r="AA207" s="196">
        <v>0</v>
      </c>
      <c r="AB207" s="196">
        <v>0</v>
      </c>
      <c r="AC207" s="196">
        <v>0</v>
      </c>
      <c r="AD207" s="196">
        <v>0</v>
      </c>
      <c r="AE207" s="196">
        <v>0</v>
      </c>
      <c r="AF207" s="196">
        <f>SUM(Tabela99[[#This Row], [jan/26]:[dez/26]])</f>
      </c>
      <c r="AG207" s="196">
        <v>0</v>
      </c>
      <c r="AH207" s="196">
        <v>480</v>
      </c>
      <c r="AI207" s="196">
        <v>0</v>
      </c>
      <c r="AJ207" s="196">
        <v>0</v>
      </c>
      <c r="AK207" s="196">
        <f>SUM(Tabela99[[#This Row], [2026]:[2030]])</f>
      </c>
      <c r="AL207" s="195">
        <v>0</v>
      </c>
      <c r="AM207" s="196">
        <v>0</v>
      </c>
      <c r="AN207" s="196">
        <v>0</v>
      </c>
      <c r="AO207" s="196">
        <v>0</v>
      </c>
      <c r="AP207" s="196">
        <v>0</v>
      </c>
      <c r="AQ207" s="197">
        <f>SUM(Tabela99[[#This Row], [2026-2030]:[2035]])</f>
      </c>
      <c r="AR207" s="1"/>
      <c r="AS207" s="13" t="s">
        <v>39480</v>
      </c>
      <c r="AT207" s="128" t="s">
        <v>39060</v>
      </c>
      <c r="AU207" s="13" t="s">
        <v>24181</v>
      </c>
      <c r="AV207" s="1"/>
      <c r="AW207" s="13" t="s">
        <v>39194</v>
      </c>
      <c r="AX207" s="2"/>
      <c r="AY207" s="2"/>
      <c r="AZ207" s="13" t="s">
        <v>39481</v>
      </c>
    </row>
    <row x14ac:dyDescent="0.25" r="208" customHeight="1" ht="24.75">
      <c r="A208" s="187"/>
      <c r="B208" s="188">
        <f>AND(ISTEXT('Consolidado-Eletronorte'!#REF!),SUM('Consolidado-Eletronorte'!#REF!)&gt;0)</f>
      </c>
      <c r="C208" s="189">
        <f>$J$3</f>
      </c>
      <c r="D208" s="189">
        <f>$H$3</f>
      </c>
      <c r="E208" s="189">
        <f>$H$4</f>
      </c>
      <c r="F208" s="190"/>
      <c r="G208" s="189">
        <f>_xlfn.CONCAT('Consolidado-Eletronorte'!#REF!,"_",ROW('Consolidado-Eletronorte'!#REF!)-ROW('Consolidado-Eletronorte'!$G$18))</f>
      </c>
      <c r="H208" s="186" t="s">
        <v>10</v>
      </c>
      <c r="I208" s="191" t="s">
        <v>85</v>
      </c>
      <c r="J208" s="191" t="s">
        <v>5</v>
      </c>
      <c r="K208" s="192" t="s">
        <v>39449</v>
      </c>
      <c r="L208" s="191" t="s">
        <v>39456</v>
      </c>
      <c r="M208" s="191" t="s">
        <v>39878</v>
      </c>
      <c r="N208" s="191"/>
      <c r="O208" s="191"/>
      <c r="P208" s="191"/>
      <c r="Q208" s="193" t="s">
        <v>39879</v>
      </c>
      <c r="R208" s="193" t="s">
        <v>39880</v>
      </c>
      <c r="S208" s="191" t="s">
        <v>39881</v>
      </c>
      <c r="T208" s="194">
        <v>0</v>
      </c>
      <c r="U208" s="195">
        <v>0</v>
      </c>
      <c r="V208" s="195">
        <v>0</v>
      </c>
      <c r="W208" s="195">
        <v>0</v>
      </c>
      <c r="X208" s="194">
        <v>0</v>
      </c>
      <c r="Y208" s="194">
        <v>0</v>
      </c>
      <c r="Z208" s="196">
        <v>0</v>
      </c>
      <c r="AA208" s="196">
        <v>0</v>
      </c>
      <c r="AB208" s="196">
        <v>0</v>
      </c>
      <c r="AC208" s="196">
        <v>0</v>
      </c>
      <c r="AD208" s="196">
        <v>0</v>
      </c>
      <c r="AE208" s="196">
        <v>0</v>
      </c>
      <c r="AF208" s="196">
        <f>SUM(Tabela99[[#This Row], [jan/26]:[dez/26]])</f>
      </c>
      <c r="AG208" s="196">
        <v>0</v>
      </c>
      <c r="AH208" s="196">
        <v>200000</v>
      </c>
      <c r="AI208" s="196">
        <v>0</v>
      </c>
      <c r="AJ208" s="196">
        <v>0</v>
      </c>
      <c r="AK208" s="196">
        <f>SUM(Tabela99[[#This Row], [2026]:[2030]])</f>
      </c>
      <c r="AL208" s="195">
        <v>0</v>
      </c>
      <c r="AM208" s="196">
        <v>0</v>
      </c>
      <c r="AN208" s="196">
        <v>0</v>
      </c>
      <c r="AO208" s="196">
        <v>0</v>
      </c>
      <c r="AP208" s="196">
        <v>0</v>
      </c>
      <c r="AQ208" s="197">
        <f>SUM(Tabela99[[#This Row], [2026-2030]:[2035]])</f>
      </c>
      <c r="AR208" s="1"/>
      <c r="AS208" s="13" t="s">
        <v>39461</v>
      </c>
      <c r="AT208" s="39">
        <v>2025</v>
      </c>
      <c r="AU208" s="13" t="s">
        <v>24181</v>
      </c>
      <c r="AV208" s="1"/>
      <c r="AW208" s="13" t="s">
        <v>39194</v>
      </c>
      <c r="AX208" s="2"/>
      <c r="AY208" s="2"/>
      <c r="AZ208" s="13" t="s">
        <v>39582</v>
      </c>
    </row>
    <row x14ac:dyDescent="0.25" r="209" customHeight="1" ht="24.75">
      <c r="A209" s="187"/>
      <c r="B209" s="188">
        <f>AND(ISTEXT('Consolidado-Eletronorte'!#REF!),SUM('Consolidado-Eletronorte'!#REF!)&gt;0)</f>
      </c>
      <c r="C209" s="189">
        <f>$J$3</f>
      </c>
      <c r="D209" s="189">
        <f>$H$3</f>
      </c>
      <c r="E209" s="189">
        <f>$H$4</f>
      </c>
      <c r="F209" s="190"/>
      <c r="G209" s="189">
        <f>_xlfn.CONCAT('Consolidado-Eletronorte'!#REF!,"_",ROW('Consolidado-Eletronorte'!#REF!)-ROW('Consolidado-Eletronorte'!$G$18))</f>
      </c>
      <c r="H209" s="186" t="s">
        <v>10</v>
      </c>
      <c r="I209" s="191" t="s">
        <v>85</v>
      </c>
      <c r="J209" s="191" t="s">
        <v>5</v>
      </c>
      <c r="K209" s="192" t="s">
        <v>39449</v>
      </c>
      <c r="L209" s="191" t="s">
        <v>39456</v>
      </c>
      <c r="M209" s="191" t="s">
        <v>39525</v>
      </c>
      <c r="N209" s="191"/>
      <c r="O209" s="191"/>
      <c r="P209" s="191"/>
      <c r="Q209" s="193" t="s">
        <v>39882</v>
      </c>
      <c r="R209" s="193" t="s">
        <v>39883</v>
      </c>
      <c r="S209" s="191" t="s">
        <v>38378</v>
      </c>
      <c r="T209" s="194">
        <v>0</v>
      </c>
      <c r="U209" s="195">
        <v>0</v>
      </c>
      <c r="V209" s="195">
        <v>0</v>
      </c>
      <c r="W209" s="195">
        <v>0</v>
      </c>
      <c r="X209" s="194">
        <v>0</v>
      </c>
      <c r="Y209" s="194">
        <v>0</v>
      </c>
      <c r="Z209" s="196">
        <v>0</v>
      </c>
      <c r="AA209" s="196">
        <v>0</v>
      </c>
      <c r="AB209" s="196">
        <v>0</v>
      </c>
      <c r="AC209" s="196">
        <v>0</v>
      </c>
      <c r="AD209" s="196">
        <v>0</v>
      </c>
      <c r="AE209" s="196">
        <v>0</v>
      </c>
      <c r="AF209" s="196">
        <f>SUM(Tabela99[[#This Row], [jan/26]:[dez/26]])</f>
      </c>
      <c r="AG209" s="196">
        <v>0</v>
      </c>
      <c r="AH209" s="196">
        <v>7000000</v>
      </c>
      <c r="AI209" s="196">
        <v>0</v>
      </c>
      <c r="AJ209" s="196">
        <v>0</v>
      </c>
      <c r="AK209" s="196">
        <f>SUM(Tabela99[[#This Row], [2026]:[2030]])</f>
      </c>
      <c r="AL209" s="195">
        <v>0</v>
      </c>
      <c r="AM209" s="196">
        <v>0</v>
      </c>
      <c r="AN209" s="196">
        <v>0</v>
      </c>
      <c r="AO209" s="196">
        <v>0</v>
      </c>
      <c r="AP209" s="196">
        <v>0</v>
      </c>
      <c r="AQ209" s="197">
        <f>SUM(Tabela99[[#This Row], [2026-2030]:[2035]])</f>
      </c>
      <c r="AR209" s="1"/>
      <c r="AS209" s="13" t="s">
        <v>39461</v>
      </c>
      <c r="AT209" s="128" t="s">
        <v>39060</v>
      </c>
      <c r="AU209" s="13" t="s">
        <v>24181</v>
      </c>
      <c r="AV209" s="1"/>
      <c r="AW209" s="13" t="s">
        <v>39194</v>
      </c>
      <c r="AX209" s="2"/>
      <c r="AY209" s="2"/>
      <c r="AZ209" s="13" t="s">
        <v>39529</v>
      </c>
    </row>
    <row x14ac:dyDescent="0.25" r="210" customHeight="1" ht="24.75">
      <c r="A210" s="187"/>
      <c r="B210" s="188">
        <f>AND(ISTEXT('Consolidado-Eletronorte'!#REF!),SUM('Consolidado-Eletronorte'!#REF!)&gt;0)</f>
      </c>
      <c r="C210" s="189">
        <f>$J$3</f>
      </c>
      <c r="D210" s="189">
        <f>$H$3</f>
      </c>
      <c r="E210" s="189">
        <f>$H$4</f>
      </c>
      <c r="F210" s="190"/>
      <c r="G210" s="189">
        <f>_xlfn.CONCAT('Consolidado-Eletronorte'!#REF!,"_",ROW('Consolidado-Eletronorte'!#REF!)-ROW('Consolidado-Eletronorte'!$G$18))</f>
      </c>
      <c r="H210" s="186" t="s">
        <v>10</v>
      </c>
      <c r="I210" s="191" t="s">
        <v>85</v>
      </c>
      <c r="J210" s="191" t="s">
        <v>5</v>
      </c>
      <c r="K210" s="192" t="s">
        <v>26</v>
      </c>
      <c r="L210" s="191" t="s">
        <v>39641</v>
      </c>
      <c r="M210" s="191" t="s">
        <v>39672</v>
      </c>
      <c r="N210" s="191"/>
      <c r="O210" s="191"/>
      <c r="P210" s="191"/>
      <c r="Q210" s="193" t="s">
        <v>39884</v>
      </c>
      <c r="R210" s="193" t="s">
        <v>39885</v>
      </c>
      <c r="S210" s="191" t="s">
        <v>38390</v>
      </c>
      <c r="T210" s="194">
        <v>0</v>
      </c>
      <c r="U210" s="195">
        <v>0</v>
      </c>
      <c r="V210" s="195">
        <v>0</v>
      </c>
      <c r="W210" s="195">
        <v>0</v>
      </c>
      <c r="X210" s="194">
        <v>0</v>
      </c>
      <c r="Y210" s="194">
        <v>0</v>
      </c>
      <c r="Z210" s="196">
        <v>0</v>
      </c>
      <c r="AA210" s="196">
        <v>0</v>
      </c>
      <c r="AB210" s="196">
        <v>0</v>
      </c>
      <c r="AC210" s="196">
        <v>0</v>
      </c>
      <c r="AD210" s="196">
        <v>0</v>
      </c>
      <c r="AE210" s="196">
        <v>0</v>
      </c>
      <c r="AF210" s="196">
        <f>SUM(Tabela99[[#This Row], [jan/26]:[dez/26]])</f>
      </c>
      <c r="AG210" s="196">
        <v>0</v>
      </c>
      <c r="AH210" s="196">
        <v>1500000</v>
      </c>
      <c r="AI210" s="196">
        <v>0</v>
      </c>
      <c r="AJ210" s="196">
        <v>0</v>
      </c>
      <c r="AK210" s="196">
        <f>SUM(Tabela99[[#This Row], [2026]:[2030]])</f>
      </c>
      <c r="AL210" s="195">
        <v>0</v>
      </c>
      <c r="AM210" s="196">
        <v>0</v>
      </c>
      <c r="AN210" s="196">
        <v>0</v>
      </c>
      <c r="AO210" s="196">
        <v>0</v>
      </c>
      <c r="AP210" s="196">
        <v>0</v>
      </c>
      <c r="AQ210" s="197">
        <f>SUM(Tabela99[[#This Row], [2026-2030]:[2035]])</f>
      </c>
      <c r="AR210" s="1"/>
      <c r="AS210" s="13" t="s">
        <v>39674</v>
      </c>
      <c r="AT210" s="39">
        <v>2025</v>
      </c>
      <c r="AU210" s="13" t="s">
        <v>24181</v>
      </c>
      <c r="AV210" s="1"/>
      <c r="AW210" s="13" t="s">
        <v>39062</v>
      </c>
      <c r="AX210" s="2"/>
      <c r="AY210" s="2"/>
      <c r="AZ210" s="13" t="s">
        <v>39675</v>
      </c>
    </row>
    <row x14ac:dyDescent="0.25" r="211" customHeight="1" ht="24.75">
      <c r="A211" s="187"/>
      <c r="B211" s="188">
        <f>AND(ISTEXT('Consolidado-Eletronorte'!#REF!),SUM('Consolidado-Eletronorte'!#REF!)&gt;0)</f>
      </c>
      <c r="C211" s="189">
        <f>$J$3</f>
      </c>
      <c r="D211" s="189">
        <f>$H$3</f>
      </c>
      <c r="E211" s="189">
        <f>$H$4</f>
      </c>
      <c r="F211" s="190"/>
      <c r="G211" s="189">
        <f>_xlfn.CONCAT('Consolidado-Eletronorte'!#REF!,"_",ROW('Consolidado-Eletronorte'!#REF!)-ROW('Consolidado-Eletronorte'!$G$18))</f>
      </c>
      <c r="H211" s="186" t="s">
        <v>10</v>
      </c>
      <c r="I211" s="191" t="s">
        <v>85</v>
      </c>
      <c r="J211" s="191" t="s">
        <v>5</v>
      </c>
      <c r="K211" s="192" t="s">
        <v>26</v>
      </c>
      <c r="L211" s="191" t="s">
        <v>39641</v>
      </c>
      <c r="M211" s="191" t="s">
        <v>39672</v>
      </c>
      <c r="N211" s="191"/>
      <c r="O211" s="191"/>
      <c r="P211" s="191"/>
      <c r="Q211" s="193" t="s">
        <v>39886</v>
      </c>
      <c r="R211" s="193" t="s">
        <v>39887</v>
      </c>
      <c r="S211" s="191" t="s">
        <v>38372</v>
      </c>
      <c r="T211" s="194">
        <v>0</v>
      </c>
      <c r="U211" s="195">
        <v>0</v>
      </c>
      <c r="V211" s="195">
        <v>0</v>
      </c>
      <c r="W211" s="195">
        <v>0</v>
      </c>
      <c r="X211" s="194">
        <v>0</v>
      </c>
      <c r="Y211" s="194">
        <v>0</v>
      </c>
      <c r="Z211" s="196">
        <v>0</v>
      </c>
      <c r="AA211" s="196">
        <v>0</v>
      </c>
      <c r="AB211" s="196">
        <v>0</v>
      </c>
      <c r="AC211" s="196">
        <v>0</v>
      </c>
      <c r="AD211" s="196">
        <v>0</v>
      </c>
      <c r="AE211" s="196">
        <v>0</v>
      </c>
      <c r="AF211" s="196">
        <f>SUM(Tabela99[[#This Row], [jan/26]:[dez/26]])</f>
      </c>
      <c r="AG211" s="196">
        <v>0</v>
      </c>
      <c r="AH211" s="196">
        <v>1500000</v>
      </c>
      <c r="AI211" s="196">
        <v>0</v>
      </c>
      <c r="AJ211" s="196">
        <v>0</v>
      </c>
      <c r="AK211" s="196">
        <f>SUM(Tabela99[[#This Row], [2026]:[2030]])</f>
      </c>
      <c r="AL211" s="195">
        <v>0</v>
      </c>
      <c r="AM211" s="196">
        <v>0</v>
      </c>
      <c r="AN211" s="196">
        <v>0</v>
      </c>
      <c r="AO211" s="196">
        <v>0</v>
      </c>
      <c r="AP211" s="196">
        <v>0</v>
      </c>
      <c r="AQ211" s="197">
        <f>SUM(Tabela99[[#This Row], [2026-2030]:[2035]])</f>
      </c>
      <c r="AR211" s="1"/>
      <c r="AS211" s="13" t="s">
        <v>39674</v>
      </c>
      <c r="AT211" s="39">
        <v>2025</v>
      </c>
      <c r="AU211" s="13" t="s">
        <v>24181</v>
      </c>
      <c r="AV211" s="1"/>
      <c r="AW211" s="13" t="s">
        <v>39062</v>
      </c>
      <c r="AX211" s="2"/>
      <c r="AY211" s="2"/>
      <c r="AZ211" s="13" t="s">
        <v>39675</v>
      </c>
    </row>
    <row x14ac:dyDescent="0.25" r="212" customHeight="1" ht="24.75">
      <c r="A212" s="187"/>
      <c r="B212" s="188">
        <f>AND(ISTEXT('Consolidado-Eletronorte'!#REF!),SUM('Consolidado-Eletronorte'!#REF!)&gt;0)</f>
      </c>
      <c r="C212" s="189">
        <f>$J$3</f>
      </c>
      <c r="D212" s="189">
        <f>$H$3</f>
      </c>
      <c r="E212" s="189">
        <f>$H$4</f>
      </c>
      <c r="F212" s="190"/>
      <c r="G212" s="189">
        <f>_xlfn.CONCAT('Consolidado-Eletronorte'!#REF!,"_",ROW('Consolidado-Eletronorte'!#REF!)-ROW('Consolidado-Eletronorte'!$G$18))</f>
      </c>
      <c r="H212" s="186" t="s">
        <v>10</v>
      </c>
      <c r="I212" s="191" t="s">
        <v>85</v>
      </c>
      <c r="J212" s="191" t="s">
        <v>5</v>
      </c>
      <c r="K212" s="192" t="s">
        <v>26</v>
      </c>
      <c r="L212" s="191" t="s">
        <v>39641</v>
      </c>
      <c r="M212" s="191" t="s">
        <v>39888</v>
      </c>
      <c r="N212" s="191"/>
      <c r="O212" s="191"/>
      <c r="P212" s="191"/>
      <c r="Q212" s="193" t="s">
        <v>39797</v>
      </c>
      <c r="R212" s="193" t="s">
        <v>39889</v>
      </c>
      <c r="S212" s="191" t="s">
        <v>39890</v>
      </c>
      <c r="T212" s="194">
        <v>0</v>
      </c>
      <c r="U212" s="195">
        <v>0</v>
      </c>
      <c r="V212" s="195">
        <v>0</v>
      </c>
      <c r="W212" s="195">
        <v>0</v>
      </c>
      <c r="X212" s="194">
        <v>0</v>
      </c>
      <c r="Y212" s="194">
        <v>0</v>
      </c>
      <c r="Z212" s="196">
        <v>0</v>
      </c>
      <c r="AA212" s="196">
        <v>0</v>
      </c>
      <c r="AB212" s="196">
        <v>0</v>
      </c>
      <c r="AC212" s="196">
        <v>0</v>
      </c>
      <c r="AD212" s="196">
        <v>0</v>
      </c>
      <c r="AE212" s="196">
        <v>0</v>
      </c>
      <c r="AF212" s="196">
        <f>SUM(Tabela99[[#This Row], [jan/26]:[dez/26]])</f>
      </c>
      <c r="AG212" s="196">
        <v>0</v>
      </c>
      <c r="AH212" s="196">
        <v>0</v>
      </c>
      <c r="AI212" s="196">
        <v>0</v>
      </c>
      <c r="AJ212" s="196">
        <v>0</v>
      </c>
      <c r="AK212" s="196">
        <f>SUM(Tabela99[[#This Row], [2026]:[2030]])</f>
      </c>
      <c r="AL212" s="195">
        <v>0</v>
      </c>
      <c r="AM212" s="196">
        <v>0</v>
      </c>
      <c r="AN212" s="196">
        <v>0</v>
      </c>
      <c r="AO212" s="196">
        <v>0</v>
      </c>
      <c r="AP212" s="196">
        <v>0</v>
      </c>
      <c r="AQ212" s="197">
        <f>SUM(Tabela99[[#This Row], [2026-2030]:[2035]])</f>
      </c>
      <c r="AR212" s="1"/>
      <c r="AS212" s="13" t="s">
        <v>39674</v>
      </c>
      <c r="AT212" s="128" t="s">
        <v>39060</v>
      </c>
      <c r="AU212" s="13" t="s">
        <v>24181</v>
      </c>
      <c r="AV212" s="1"/>
      <c r="AW212" s="13" t="s">
        <v>39062</v>
      </c>
      <c r="AX212" s="2"/>
      <c r="AY212" s="2"/>
      <c r="AZ212" s="13" t="s">
        <v>39709</v>
      </c>
    </row>
    <row x14ac:dyDescent="0.25" r="213" customHeight="1" ht="24.75">
      <c r="A213" s="187"/>
      <c r="B213" s="188">
        <f>AND(ISTEXT('Consolidado-Eletronorte'!#REF!),SUM('Consolidado-Eletronorte'!#REF!)&gt;0)</f>
      </c>
      <c r="C213" s="189">
        <f>$J$3</f>
      </c>
      <c r="D213" s="189">
        <f>$H$3</f>
      </c>
      <c r="E213" s="189">
        <f>$H$4</f>
      </c>
      <c r="F213" s="190"/>
      <c r="G213" s="189">
        <f>_xlfn.CONCAT('Consolidado-Eletronorte'!#REF!,"_",ROW('Consolidado-Eletronorte'!#REF!)-ROW('Consolidado-Eletronorte'!$G$18))</f>
      </c>
      <c r="H213" s="186" t="s">
        <v>10</v>
      </c>
      <c r="I213" s="191" t="s">
        <v>85</v>
      </c>
      <c r="J213" s="191" t="s">
        <v>5</v>
      </c>
      <c r="K213" s="192" t="s">
        <v>39449</v>
      </c>
      <c r="L213" s="191" t="s">
        <v>39456</v>
      </c>
      <c r="M213" s="191" t="s">
        <v>39701</v>
      </c>
      <c r="N213" s="191"/>
      <c r="O213" s="191"/>
      <c r="P213" s="191"/>
      <c r="Q213" s="193" t="s">
        <v>39891</v>
      </c>
      <c r="R213" s="193" t="s">
        <v>39892</v>
      </c>
      <c r="S213" s="191" t="s">
        <v>39704</v>
      </c>
      <c r="T213" s="194">
        <v>0</v>
      </c>
      <c r="U213" s="195">
        <v>0</v>
      </c>
      <c r="V213" s="195">
        <v>0</v>
      </c>
      <c r="W213" s="195">
        <v>0</v>
      </c>
      <c r="X213" s="194">
        <v>0</v>
      </c>
      <c r="Y213" s="194">
        <v>0</v>
      </c>
      <c r="Z213" s="196">
        <v>0</v>
      </c>
      <c r="AA213" s="196">
        <v>250000</v>
      </c>
      <c r="AB213" s="196">
        <v>0</v>
      </c>
      <c r="AC213" s="196">
        <v>0</v>
      </c>
      <c r="AD213" s="196">
        <v>0</v>
      </c>
      <c r="AE213" s="196">
        <v>0</v>
      </c>
      <c r="AF213" s="196">
        <f>SUM(Tabela99[[#This Row], [jan/26]:[dez/26]])</f>
      </c>
      <c r="AG213" s="196">
        <v>250000</v>
      </c>
      <c r="AH213" s="196">
        <v>0</v>
      </c>
      <c r="AI213" s="196">
        <v>0</v>
      </c>
      <c r="AJ213" s="196">
        <v>0</v>
      </c>
      <c r="AK213" s="196">
        <f>SUM(Tabela99[[#This Row], [2026]:[2030]])</f>
      </c>
      <c r="AL213" s="195">
        <v>0</v>
      </c>
      <c r="AM213" s="196">
        <v>0</v>
      </c>
      <c r="AN213" s="196">
        <v>0</v>
      </c>
      <c r="AO213" s="196">
        <v>0</v>
      </c>
      <c r="AP213" s="196">
        <v>0</v>
      </c>
      <c r="AQ213" s="197">
        <f>SUM(Tabela99[[#This Row], [2026-2030]:[2035]])</f>
      </c>
      <c r="AR213" s="1"/>
      <c r="AS213" s="13" t="s">
        <v>39510</v>
      </c>
      <c r="AT213" s="39">
        <v>2025</v>
      </c>
      <c r="AU213" s="13" t="s">
        <v>24181</v>
      </c>
      <c r="AV213" s="1"/>
      <c r="AW213" s="13" t="s">
        <v>39194</v>
      </c>
      <c r="AX213" s="2"/>
      <c r="AY213" s="2"/>
      <c r="AZ213" s="13" t="s">
        <v>39705</v>
      </c>
    </row>
    <row x14ac:dyDescent="0.25" r="214" customHeight="1" ht="24.75">
      <c r="A214" s="187"/>
      <c r="B214" s="188">
        <f>AND(ISTEXT('Consolidado-Eletronorte'!#REF!),SUM('Consolidado-Eletronorte'!#REF!)&gt;0)</f>
      </c>
      <c r="C214" s="189">
        <f>$J$3</f>
      </c>
      <c r="D214" s="189">
        <f>$H$3</f>
      </c>
      <c r="E214" s="189">
        <f>$H$4</f>
      </c>
      <c r="F214" s="190"/>
      <c r="G214" s="189">
        <f>_xlfn.CONCAT('Consolidado-Eletronorte'!#REF!,"_",ROW('Consolidado-Eletronorte'!#REF!)-ROW('Consolidado-Eletronorte'!$G$18))</f>
      </c>
      <c r="H214" s="186" t="s">
        <v>10</v>
      </c>
      <c r="I214" s="191" t="s">
        <v>85</v>
      </c>
      <c r="J214" s="191" t="s">
        <v>5</v>
      </c>
      <c r="K214" s="192" t="s">
        <v>39449</v>
      </c>
      <c r="L214" s="191" t="s">
        <v>39456</v>
      </c>
      <c r="M214" s="191" t="s">
        <v>39476</v>
      </c>
      <c r="N214" s="191"/>
      <c r="O214" s="191"/>
      <c r="P214" s="191"/>
      <c r="Q214" s="193" t="s">
        <v>39893</v>
      </c>
      <c r="R214" s="193" t="s">
        <v>39770</v>
      </c>
      <c r="S214" s="191" t="s">
        <v>39479</v>
      </c>
      <c r="T214" s="194">
        <v>0</v>
      </c>
      <c r="U214" s="195">
        <v>0</v>
      </c>
      <c r="V214" s="195">
        <v>0</v>
      </c>
      <c r="W214" s="195">
        <v>0</v>
      </c>
      <c r="X214" s="194">
        <v>0</v>
      </c>
      <c r="Y214" s="194">
        <v>0</v>
      </c>
      <c r="Z214" s="196">
        <v>0</v>
      </c>
      <c r="AA214" s="196">
        <v>0</v>
      </c>
      <c r="AB214" s="196">
        <v>0</v>
      </c>
      <c r="AC214" s="196">
        <v>0</v>
      </c>
      <c r="AD214" s="196">
        <v>0</v>
      </c>
      <c r="AE214" s="196">
        <v>0</v>
      </c>
      <c r="AF214" s="196">
        <f>SUM(Tabela99[[#This Row], [jan/26]:[dez/26]])</f>
      </c>
      <c r="AG214" s="196">
        <v>100</v>
      </c>
      <c r="AH214" s="196">
        <v>0</v>
      </c>
      <c r="AI214" s="196">
        <v>0</v>
      </c>
      <c r="AJ214" s="196">
        <v>0</v>
      </c>
      <c r="AK214" s="196">
        <f>SUM(Tabela99[[#This Row], [2026]:[2030]])</f>
      </c>
      <c r="AL214" s="195">
        <v>0</v>
      </c>
      <c r="AM214" s="196">
        <v>0</v>
      </c>
      <c r="AN214" s="196">
        <v>0</v>
      </c>
      <c r="AO214" s="196">
        <v>0</v>
      </c>
      <c r="AP214" s="196">
        <v>0</v>
      </c>
      <c r="AQ214" s="197">
        <f>SUM(Tabela99[[#This Row], [2026-2030]:[2035]])</f>
      </c>
      <c r="AR214" s="1"/>
      <c r="AS214" s="13" t="s">
        <v>39480</v>
      </c>
      <c r="AT214" s="128" t="s">
        <v>39060</v>
      </c>
      <c r="AU214" s="13" t="s">
        <v>24181</v>
      </c>
      <c r="AV214" s="1"/>
      <c r="AW214" s="13" t="s">
        <v>39194</v>
      </c>
      <c r="AX214" s="2"/>
      <c r="AY214" s="2"/>
      <c r="AZ214" s="13" t="s">
        <v>39481</v>
      </c>
    </row>
    <row x14ac:dyDescent="0.25" r="215" customHeight="1" ht="24.75">
      <c r="A215" s="187"/>
      <c r="B215" s="188">
        <f>AND(ISTEXT('Consolidado-Eletronorte'!#REF!),SUM('Consolidado-Eletronorte'!#REF!)&gt;0)</f>
      </c>
      <c r="C215" s="189">
        <f>$J$3</f>
      </c>
      <c r="D215" s="189">
        <f>$H$3</f>
      </c>
      <c r="E215" s="189">
        <f>$H$4</f>
      </c>
      <c r="F215" s="190"/>
      <c r="G215" s="189">
        <f>_xlfn.CONCAT('Consolidado-Eletronorte'!#REF!,"_",ROW('Consolidado-Eletronorte'!#REF!)-ROW('Consolidado-Eletronorte'!$G$18))</f>
      </c>
      <c r="H215" s="186" t="s">
        <v>10</v>
      </c>
      <c r="I215" s="191" t="s">
        <v>85</v>
      </c>
      <c r="J215" s="191" t="s">
        <v>5</v>
      </c>
      <c r="K215" s="192" t="s">
        <v>39449</v>
      </c>
      <c r="L215" s="191" t="s">
        <v>39456</v>
      </c>
      <c r="M215" s="191" t="s">
        <v>39701</v>
      </c>
      <c r="N215" s="191"/>
      <c r="O215" s="191"/>
      <c r="P215" s="191"/>
      <c r="Q215" s="193" t="s">
        <v>39894</v>
      </c>
      <c r="R215" s="193" t="s">
        <v>39892</v>
      </c>
      <c r="S215" s="191" t="s">
        <v>39704</v>
      </c>
      <c r="T215" s="194">
        <v>0</v>
      </c>
      <c r="U215" s="195">
        <v>0</v>
      </c>
      <c r="V215" s="195">
        <v>0</v>
      </c>
      <c r="W215" s="195">
        <v>0</v>
      </c>
      <c r="X215" s="194">
        <v>0</v>
      </c>
      <c r="Y215" s="194">
        <v>0</v>
      </c>
      <c r="Z215" s="196">
        <v>0</v>
      </c>
      <c r="AA215" s="196">
        <v>500000</v>
      </c>
      <c r="AB215" s="196">
        <v>0</v>
      </c>
      <c r="AC215" s="196">
        <v>0</v>
      </c>
      <c r="AD215" s="196">
        <v>0</v>
      </c>
      <c r="AE215" s="196">
        <v>0</v>
      </c>
      <c r="AF215" s="196">
        <f>SUM(Tabela99[[#This Row], [jan/26]:[dez/26]])</f>
      </c>
      <c r="AG215" s="196">
        <v>0</v>
      </c>
      <c r="AH215" s="196">
        <v>0</v>
      </c>
      <c r="AI215" s="196">
        <v>0</v>
      </c>
      <c r="AJ215" s="196">
        <v>0</v>
      </c>
      <c r="AK215" s="196">
        <f>SUM(Tabela99[[#This Row], [2026]:[2030]])</f>
      </c>
      <c r="AL215" s="195">
        <v>0</v>
      </c>
      <c r="AM215" s="196">
        <v>0</v>
      </c>
      <c r="AN215" s="196">
        <v>0</v>
      </c>
      <c r="AO215" s="196">
        <v>0</v>
      </c>
      <c r="AP215" s="196">
        <v>0</v>
      </c>
      <c r="AQ215" s="197">
        <f>SUM(Tabela99[[#This Row], [2026-2030]:[2035]])</f>
      </c>
      <c r="AR215" s="1"/>
      <c r="AS215" s="13" t="s">
        <v>39510</v>
      </c>
      <c r="AT215" s="39">
        <v>2025</v>
      </c>
      <c r="AU215" s="13" t="s">
        <v>24181</v>
      </c>
      <c r="AV215" s="1"/>
      <c r="AW215" s="13" t="s">
        <v>39194</v>
      </c>
      <c r="AX215" s="2"/>
      <c r="AY215" s="2"/>
      <c r="AZ215" s="13" t="s">
        <v>39705</v>
      </c>
    </row>
    <row x14ac:dyDescent="0.25" r="216" customHeight="1" ht="24.75">
      <c r="A216" s="187"/>
      <c r="B216" s="188">
        <f>AND(ISTEXT('Consolidado-Eletronorte'!#REF!),SUM('Consolidado-Eletronorte'!#REF!)&gt;0)</f>
      </c>
      <c r="C216" s="189">
        <f>$J$3</f>
      </c>
      <c r="D216" s="189">
        <f>$H$3</f>
      </c>
      <c r="E216" s="189">
        <f>$H$4</f>
      </c>
      <c r="F216" s="190"/>
      <c r="G216" s="189">
        <f>_xlfn.CONCAT('Consolidado-Eletronorte'!#REF!,"_",ROW('Consolidado-Eletronorte'!#REF!)-ROW('Consolidado-Eletronorte'!$G$18))</f>
      </c>
      <c r="H216" s="186" t="s">
        <v>10</v>
      </c>
      <c r="I216" s="191" t="s">
        <v>85</v>
      </c>
      <c r="J216" s="191" t="s">
        <v>5</v>
      </c>
      <c r="K216" s="192" t="s">
        <v>39449</v>
      </c>
      <c r="L216" s="191" t="s">
        <v>39456</v>
      </c>
      <c r="M216" s="191" t="s">
        <v>39476</v>
      </c>
      <c r="N216" s="191"/>
      <c r="O216" s="191"/>
      <c r="P216" s="191"/>
      <c r="Q216" s="193" t="s">
        <v>39895</v>
      </c>
      <c r="R216" s="193" t="s">
        <v>39740</v>
      </c>
      <c r="S216" s="191" t="s">
        <v>39479</v>
      </c>
      <c r="T216" s="194">
        <v>0</v>
      </c>
      <c r="U216" s="195">
        <v>0</v>
      </c>
      <c r="V216" s="195">
        <v>0</v>
      </c>
      <c r="W216" s="195">
        <v>0</v>
      </c>
      <c r="X216" s="194">
        <v>0</v>
      </c>
      <c r="Y216" s="194">
        <v>385000</v>
      </c>
      <c r="Z216" s="196">
        <v>0</v>
      </c>
      <c r="AA216" s="196">
        <v>0</v>
      </c>
      <c r="AB216" s="196">
        <v>0</v>
      </c>
      <c r="AC216" s="196">
        <v>0</v>
      </c>
      <c r="AD216" s="196">
        <v>0</v>
      </c>
      <c r="AE216" s="196">
        <v>0</v>
      </c>
      <c r="AF216" s="196">
        <f>SUM(Tabela99[[#This Row], [jan/26]:[dez/26]])</f>
      </c>
      <c r="AG216" s="196">
        <v>0</v>
      </c>
      <c r="AH216" s="196">
        <v>0</v>
      </c>
      <c r="AI216" s="196">
        <v>0</v>
      </c>
      <c r="AJ216" s="196">
        <v>0</v>
      </c>
      <c r="AK216" s="196">
        <f>SUM(Tabela99[[#This Row], [2026]:[2030]])</f>
      </c>
      <c r="AL216" s="195">
        <v>0</v>
      </c>
      <c r="AM216" s="196">
        <v>0</v>
      </c>
      <c r="AN216" s="196">
        <v>0</v>
      </c>
      <c r="AO216" s="196">
        <v>0</v>
      </c>
      <c r="AP216" s="196">
        <v>0</v>
      </c>
      <c r="AQ216" s="197">
        <f>SUM(Tabela99[[#This Row], [2026-2030]:[2035]])</f>
      </c>
      <c r="AR216" s="1"/>
      <c r="AS216" s="13" t="s">
        <v>39480</v>
      </c>
      <c r="AT216" s="128" t="s">
        <v>39060</v>
      </c>
      <c r="AU216" s="13" t="s">
        <v>24181</v>
      </c>
      <c r="AV216" s="1"/>
      <c r="AW216" s="13" t="s">
        <v>39194</v>
      </c>
      <c r="AX216" s="2"/>
      <c r="AY216" s="2"/>
      <c r="AZ216" s="13" t="s">
        <v>39481</v>
      </c>
    </row>
    <row x14ac:dyDescent="0.25" r="217" customHeight="1" ht="24.75">
      <c r="A217" s="187"/>
      <c r="B217" s="188">
        <f>AND(ISTEXT('Consolidado-Eletronorte'!#REF!),SUM('Consolidado-Eletronorte'!#REF!)&gt;0)</f>
      </c>
      <c r="C217" s="189">
        <f>$J$3</f>
      </c>
      <c r="D217" s="189">
        <f>$H$3</f>
      </c>
      <c r="E217" s="189">
        <f>$H$4</f>
      </c>
      <c r="F217" s="190"/>
      <c r="G217" s="189">
        <f>_xlfn.CONCAT('Consolidado-Eletronorte'!#REF!,"_",ROW('Consolidado-Eletronorte'!#REF!)-ROW('Consolidado-Eletronorte'!$G$18))</f>
      </c>
      <c r="H217" s="186" t="s">
        <v>10</v>
      </c>
      <c r="I217" s="191" t="s">
        <v>85</v>
      </c>
      <c r="J217" s="191" t="s">
        <v>5</v>
      </c>
      <c r="K217" s="192" t="s">
        <v>26</v>
      </c>
      <c r="L217" s="191" t="s">
        <v>39641</v>
      </c>
      <c r="M217" s="191" t="s">
        <v>39672</v>
      </c>
      <c r="N217" s="191"/>
      <c r="O217" s="191"/>
      <c r="P217" s="191"/>
      <c r="Q217" s="193" t="s">
        <v>39896</v>
      </c>
      <c r="R217" s="193" t="s">
        <v>39897</v>
      </c>
      <c r="S217" s="191" t="s">
        <v>38388</v>
      </c>
      <c r="T217" s="194">
        <v>0</v>
      </c>
      <c r="U217" s="195">
        <v>0</v>
      </c>
      <c r="V217" s="195">
        <v>0</v>
      </c>
      <c r="W217" s="195">
        <v>0</v>
      </c>
      <c r="X217" s="194">
        <v>0</v>
      </c>
      <c r="Y217" s="194">
        <v>0</v>
      </c>
      <c r="Z217" s="196">
        <v>0</v>
      </c>
      <c r="AA217" s="196">
        <v>0</v>
      </c>
      <c r="AB217" s="196">
        <v>0</v>
      </c>
      <c r="AC217" s="196">
        <v>0</v>
      </c>
      <c r="AD217" s="196">
        <v>0</v>
      </c>
      <c r="AE217" s="196">
        <v>0</v>
      </c>
      <c r="AF217" s="196">
        <f>SUM(Tabela99[[#This Row], [jan/26]:[dez/26]])</f>
      </c>
      <c r="AG217" s="196">
        <v>0</v>
      </c>
      <c r="AH217" s="196">
        <v>2500000</v>
      </c>
      <c r="AI217" s="196">
        <v>0</v>
      </c>
      <c r="AJ217" s="196">
        <v>0</v>
      </c>
      <c r="AK217" s="196">
        <f>SUM(Tabela99[[#This Row], [2026]:[2030]])</f>
      </c>
      <c r="AL217" s="195">
        <v>0</v>
      </c>
      <c r="AM217" s="196">
        <v>0</v>
      </c>
      <c r="AN217" s="196">
        <v>0</v>
      </c>
      <c r="AO217" s="196">
        <v>0</v>
      </c>
      <c r="AP217" s="196">
        <v>0</v>
      </c>
      <c r="AQ217" s="197">
        <f>SUM(Tabela99[[#This Row], [2026-2030]:[2035]])</f>
      </c>
      <c r="AR217" s="1"/>
      <c r="AS217" s="13" t="s">
        <v>39674</v>
      </c>
      <c r="AT217" s="39">
        <v>2025</v>
      </c>
      <c r="AU217" s="13" t="s">
        <v>47</v>
      </c>
      <c r="AV217" s="1"/>
      <c r="AW217" s="13" t="s">
        <v>39062</v>
      </c>
      <c r="AX217" s="2"/>
      <c r="AY217" s="2"/>
      <c r="AZ217" s="13" t="s">
        <v>39690</v>
      </c>
    </row>
    <row x14ac:dyDescent="0.25" r="218" customHeight="1" ht="24.75">
      <c r="A218" s="1"/>
      <c r="B218" s="209"/>
      <c r="C218" s="210"/>
      <c r="D218" s="211"/>
      <c r="E218" s="211"/>
      <c r="F218" s="210"/>
      <c r="G218" s="210"/>
      <c r="H218" s="212"/>
      <c r="I218" s="212"/>
      <c r="J218" s="212"/>
      <c r="K218" s="213"/>
      <c r="L218" s="212"/>
      <c r="M218" s="212"/>
      <c r="N218" s="212"/>
      <c r="O218" s="2"/>
      <c r="P218" s="1"/>
      <c r="Q218" s="212"/>
      <c r="R218" s="128"/>
      <c r="S218" s="39"/>
      <c r="T218" s="39"/>
      <c r="U218" s="39"/>
      <c r="V218" s="128"/>
      <c r="W218" s="128"/>
      <c r="X218" s="22"/>
      <c r="Y218" s="22"/>
      <c r="Z218" s="22"/>
      <c r="AA218" s="22"/>
      <c r="AB218" s="22"/>
      <c r="AC218" s="22"/>
      <c r="AD218" s="22"/>
      <c r="AE218" s="22"/>
      <c r="AF218" s="22"/>
      <c r="AG218" s="22"/>
      <c r="AH218" s="22"/>
      <c r="AI218" s="22"/>
      <c r="AJ218" s="39"/>
      <c r="AK218" s="22"/>
      <c r="AL218" s="22"/>
      <c r="AM218" s="22"/>
      <c r="AN218" s="22"/>
      <c r="AO218" s="39"/>
      <c r="AP218" s="17"/>
      <c r="AQ218" s="17"/>
      <c r="AR218" s="1"/>
      <c r="AS218" s="1"/>
      <c r="AT218" s="17"/>
      <c r="AU218" s="1"/>
      <c r="AV218" s="1"/>
      <c r="AW218" s="1"/>
      <c r="AX218" s="2"/>
      <c r="AY218" s="2"/>
      <c r="AZ218" s="1"/>
    </row>
    <row x14ac:dyDescent="0.25" r="219" customHeight="1" ht="24.75">
      <c r="A219" s="1"/>
      <c r="B219" s="209"/>
      <c r="C219" s="210"/>
      <c r="D219" s="211"/>
      <c r="E219" s="211"/>
      <c r="F219" s="210"/>
      <c r="G219" s="210"/>
      <c r="H219" s="212"/>
      <c r="I219" s="212"/>
      <c r="J219" s="212"/>
      <c r="K219" s="213"/>
      <c r="L219" s="212"/>
      <c r="M219" s="212"/>
      <c r="N219" s="212"/>
      <c r="O219" s="2"/>
      <c r="P219" s="1"/>
      <c r="Q219" s="212"/>
      <c r="R219" s="128"/>
      <c r="S219" s="39"/>
      <c r="T219" s="39"/>
      <c r="U219" s="39"/>
      <c r="V219" s="128"/>
      <c r="W219" s="128"/>
      <c r="X219" s="22"/>
      <c r="Y219" s="22"/>
      <c r="Z219" s="22"/>
      <c r="AA219" s="22"/>
      <c r="AB219" s="22"/>
      <c r="AC219" s="22"/>
      <c r="AD219" s="22"/>
      <c r="AE219" s="22"/>
      <c r="AF219" s="22"/>
      <c r="AG219" s="22"/>
      <c r="AH219" s="22"/>
      <c r="AI219" s="22"/>
      <c r="AJ219" s="39"/>
      <c r="AK219" s="22"/>
      <c r="AL219" s="22"/>
      <c r="AM219" s="22"/>
      <c r="AN219" s="22"/>
      <c r="AO219" s="39"/>
      <c r="AP219" s="17"/>
      <c r="AQ219" s="17"/>
      <c r="AR219" s="1"/>
      <c r="AS219" s="1"/>
      <c r="AT219" s="17"/>
      <c r="AU219" s="1"/>
      <c r="AV219" s="1"/>
      <c r="AW219" s="1"/>
      <c r="AX219" s="2"/>
      <c r="AY219" s="2"/>
      <c r="AZ219" s="1"/>
    </row>
    <row x14ac:dyDescent="0.25" r="220" customHeight="1" ht="24.75">
      <c r="A220" s="1"/>
      <c r="B220" s="209"/>
      <c r="C220" s="210"/>
      <c r="D220" s="211"/>
      <c r="E220" s="211"/>
      <c r="F220" s="210"/>
      <c r="G220" s="210"/>
      <c r="H220" s="212"/>
      <c r="I220" s="212"/>
      <c r="J220" s="212"/>
      <c r="K220" s="213"/>
      <c r="L220" s="212"/>
      <c r="M220" s="212"/>
      <c r="N220" s="212"/>
      <c r="O220" s="2"/>
      <c r="P220" s="1"/>
      <c r="Q220" s="212"/>
      <c r="R220" s="128"/>
      <c r="S220" s="39"/>
      <c r="T220" s="39"/>
      <c r="U220" s="39"/>
      <c r="V220" s="128"/>
      <c r="W220" s="128"/>
      <c r="X220" s="22"/>
      <c r="Y220" s="22"/>
      <c r="Z220" s="22"/>
      <c r="AA220" s="22"/>
      <c r="AB220" s="22"/>
      <c r="AC220" s="22"/>
      <c r="AD220" s="22"/>
      <c r="AE220" s="22"/>
      <c r="AF220" s="22"/>
      <c r="AG220" s="22"/>
      <c r="AH220" s="22"/>
      <c r="AI220" s="22"/>
      <c r="AJ220" s="39"/>
      <c r="AK220" s="22"/>
      <c r="AL220" s="22"/>
      <c r="AM220" s="22"/>
      <c r="AN220" s="22"/>
      <c r="AO220" s="39"/>
      <c r="AP220" s="17"/>
      <c r="AQ220" s="17"/>
      <c r="AR220" s="1"/>
      <c r="AS220" s="1"/>
      <c r="AT220" s="17"/>
      <c r="AU220" s="1"/>
      <c r="AV220" s="1"/>
      <c r="AW220" s="1"/>
      <c r="AX220" s="2"/>
      <c r="AY220" s="2"/>
      <c r="AZ220" s="1"/>
    </row>
    <row x14ac:dyDescent="0.25" r="221" customHeight="1" ht="24.75">
      <c r="A221" s="1"/>
      <c r="B221" s="209"/>
      <c r="C221" s="210"/>
      <c r="D221" s="211"/>
      <c r="E221" s="211"/>
      <c r="F221" s="210"/>
      <c r="G221" s="210"/>
      <c r="H221" s="212"/>
      <c r="I221" s="212"/>
      <c r="J221" s="212" t="s">
        <v>7</v>
      </c>
      <c r="K221" s="213" t="s">
        <v>27</v>
      </c>
      <c r="L221" s="212" t="s">
        <v>27</v>
      </c>
      <c r="M221" s="212"/>
      <c r="N221" s="212"/>
      <c r="O221" s="2"/>
      <c r="P221" s="1"/>
      <c r="Q221" s="212"/>
      <c r="R221" s="128"/>
      <c r="S221" s="39"/>
      <c r="T221" s="39"/>
      <c r="U221" s="39"/>
      <c r="V221" s="128"/>
      <c r="W221" s="128"/>
      <c r="X221" s="22"/>
      <c r="Y221" s="22"/>
      <c r="Z221" s="22"/>
      <c r="AA221" s="22"/>
      <c r="AB221" s="22"/>
      <c r="AC221" s="22"/>
      <c r="AD221" s="22"/>
      <c r="AE221" s="22"/>
      <c r="AF221" s="22"/>
      <c r="AG221" s="22"/>
      <c r="AH221" s="22"/>
      <c r="AI221" s="22"/>
      <c r="AJ221" s="39"/>
      <c r="AK221" s="22"/>
      <c r="AL221" s="22"/>
      <c r="AM221" s="22"/>
      <c r="AN221" s="22"/>
      <c r="AO221" s="39"/>
      <c r="AP221" s="17"/>
      <c r="AQ221" s="17"/>
      <c r="AR221" s="1"/>
      <c r="AS221" s="1"/>
      <c r="AT221" s="17"/>
      <c r="AU221" s="1"/>
      <c r="AV221" s="1"/>
      <c r="AW221" s="1"/>
      <c r="AX221" s="2"/>
      <c r="AY221" s="2"/>
      <c r="AZ221" s="1"/>
    </row>
    <row x14ac:dyDescent="0.25" r="222" customHeight="1" ht="24.75">
      <c r="A222" s="1"/>
      <c r="B222" s="1"/>
      <c r="C222" s="1"/>
      <c r="D222" s="1"/>
      <c r="E222" s="1"/>
      <c r="F222" s="1"/>
      <c r="G222" s="1"/>
      <c r="H222" s="1"/>
      <c r="I222" s="1"/>
      <c r="J222" s="1"/>
      <c r="K222" s="128">
        <f>INDIRECT(SUBSTITUTE($J10&amp;$K10," ",""))</f>
      </c>
      <c r="L222" s="1"/>
      <c r="M222" s="1"/>
      <c r="N222" s="2"/>
      <c r="O222" s="2"/>
      <c r="P222" s="1"/>
      <c r="Q222" s="1"/>
      <c r="R222" s="1"/>
      <c r="S222" s="1"/>
      <c r="T222" s="17"/>
      <c r="U222" s="17"/>
      <c r="V222" s="17"/>
      <c r="W222" s="17"/>
      <c r="X222" s="22"/>
      <c r="Y222" s="22"/>
      <c r="Z222" s="22"/>
      <c r="AA222" s="22"/>
      <c r="AB222" s="22"/>
      <c r="AC222" s="22"/>
      <c r="AD222" s="22"/>
      <c r="AE222" s="22"/>
      <c r="AF222" s="22"/>
      <c r="AG222" s="22"/>
      <c r="AH222" s="22"/>
      <c r="AI222" s="22"/>
      <c r="AJ222" s="17"/>
      <c r="AK222" s="22"/>
      <c r="AL222" s="22"/>
      <c r="AM222" s="22"/>
      <c r="AN222" s="22"/>
      <c r="AO222" s="17"/>
      <c r="AP222" s="17"/>
      <c r="AQ222" s="17"/>
      <c r="AR222" s="1"/>
      <c r="AS222" s="1"/>
      <c r="AT222" s="17"/>
      <c r="AU222" s="1"/>
      <c r="AV222" s="1"/>
      <c r="AW222" s="1"/>
      <c r="AX222" s="2"/>
      <c r="AY222" s="2"/>
      <c r="AZ222" s="1"/>
    </row>
    <row x14ac:dyDescent="0.25" r="223" customHeight="1" ht="24.75">
      <c r="A223" s="1"/>
      <c r="B223" s="1"/>
      <c r="C223" s="1"/>
      <c r="D223" s="1"/>
      <c r="E223" s="1"/>
      <c r="F223" s="1"/>
      <c r="G223" s="1"/>
      <c r="H223" s="1"/>
      <c r="I223" s="1"/>
      <c r="J223" s="1"/>
      <c r="K223" s="17"/>
      <c r="L223" s="1"/>
      <c r="M223" s="1"/>
      <c r="N223" s="2"/>
      <c r="O223" s="2"/>
      <c r="P223" s="1"/>
      <c r="Q223" s="1"/>
      <c r="R223" s="1"/>
      <c r="S223" s="1"/>
      <c r="T223" s="17"/>
      <c r="U223" s="17"/>
      <c r="V223" s="17"/>
      <c r="W223" s="17"/>
      <c r="X223" s="22"/>
      <c r="Y223" s="22"/>
      <c r="Z223" s="22"/>
      <c r="AA223" s="22"/>
      <c r="AB223" s="22"/>
      <c r="AC223" s="22"/>
      <c r="AD223" s="22"/>
      <c r="AE223" s="22"/>
      <c r="AF223" s="22"/>
      <c r="AG223" s="22"/>
      <c r="AH223" s="22"/>
      <c r="AI223" s="22"/>
      <c r="AJ223" s="17"/>
      <c r="AK223" s="22"/>
      <c r="AL223" s="22"/>
      <c r="AM223" s="22"/>
      <c r="AN223" s="22"/>
      <c r="AO223" s="17"/>
      <c r="AP223" s="17"/>
      <c r="AQ223" s="17"/>
      <c r="AR223" s="1"/>
      <c r="AS223" s="1"/>
      <c r="AT223" s="17"/>
      <c r="AU223" s="1"/>
      <c r="AV223" s="1"/>
      <c r="AW223" s="1"/>
      <c r="AX223" s="2"/>
      <c r="AY223" s="2"/>
      <c r="AZ223" s="1"/>
    </row>
    <row x14ac:dyDescent="0.25" r="224" customHeight="1" ht="24.75">
      <c r="A224" s="1"/>
      <c r="B224" s="1"/>
      <c r="C224" s="1"/>
      <c r="D224" s="1"/>
      <c r="E224" s="1"/>
      <c r="F224" s="1"/>
      <c r="G224" s="1"/>
      <c r="H224" s="1"/>
      <c r="I224" s="1"/>
      <c r="J224" s="13" t="s">
        <v>5</v>
      </c>
      <c r="K224" s="128" t="s">
        <v>21</v>
      </c>
      <c r="L224" s="1"/>
      <c r="M224" s="1"/>
      <c r="N224" s="2"/>
      <c r="O224" s="2"/>
      <c r="P224" s="1"/>
      <c r="Q224" s="1"/>
      <c r="R224" s="1"/>
      <c r="S224" s="1"/>
      <c r="T224" s="17"/>
      <c r="U224" s="17"/>
      <c r="V224" s="17"/>
      <c r="W224" s="17"/>
      <c r="X224" s="22"/>
      <c r="Y224" s="22"/>
      <c r="Z224" s="22"/>
      <c r="AA224" s="22"/>
      <c r="AB224" s="22"/>
      <c r="AC224" s="22"/>
      <c r="AD224" s="22"/>
      <c r="AE224" s="22"/>
      <c r="AF224" s="22"/>
      <c r="AG224" s="22"/>
      <c r="AH224" s="22"/>
      <c r="AI224" s="22"/>
      <c r="AJ224" s="17"/>
      <c r="AK224" s="22"/>
      <c r="AL224" s="22"/>
      <c r="AM224" s="22"/>
      <c r="AN224" s="22"/>
      <c r="AO224" s="17"/>
      <c r="AP224" s="17"/>
      <c r="AQ224" s="17"/>
      <c r="AR224" s="1"/>
      <c r="AS224" s="1"/>
      <c r="AT224" s="17"/>
      <c r="AU224" s="1"/>
      <c r="AV224" s="1"/>
      <c r="AW224" s="1"/>
      <c r="AX224" s="2"/>
      <c r="AY224" s="2"/>
      <c r="AZ224" s="1"/>
    </row>
    <row x14ac:dyDescent="0.25" r="225" customHeight="1" ht="24.75">
      <c r="A225" s="1"/>
      <c r="B225" s="1"/>
      <c r="C225" s="1"/>
      <c r="D225" s="1"/>
      <c r="E225" s="1"/>
      <c r="F225" s="1"/>
      <c r="G225" s="1"/>
      <c r="H225" s="1"/>
      <c r="I225" s="1"/>
      <c r="J225" s="160">
        <f>SUBSTITUTE(J221&amp;K221&amp;L221," ","")</f>
      </c>
      <c r="K225" s="128" t="s">
        <v>39898</v>
      </c>
      <c r="L225" s="1"/>
      <c r="M225" s="1"/>
      <c r="N225" s="2"/>
      <c r="O225" s="2"/>
      <c r="P225" s="1"/>
      <c r="Q225" s="1"/>
      <c r="R225" s="1"/>
      <c r="S225" s="1"/>
      <c r="T225" s="17"/>
      <c r="U225" s="17"/>
      <c r="V225" s="17"/>
      <c r="W225" s="17"/>
      <c r="X225" s="22"/>
      <c r="Y225" s="22"/>
      <c r="Z225" s="22"/>
      <c r="AA225" s="22"/>
      <c r="AB225" s="22"/>
      <c r="AC225" s="22"/>
      <c r="AD225" s="22"/>
      <c r="AE225" s="22"/>
      <c r="AF225" s="22"/>
      <c r="AG225" s="22"/>
      <c r="AH225" s="22"/>
      <c r="AI225" s="22"/>
      <c r="AJ225" s="17"/>
      <c r="AK225" s="22"/>
      <c r="AL225" s="22"/>
      <c r="AM225" s="22"/>
      <c r="AN225" s="22"/>
      <c r="AO225" s="17"/>
      <c r="AP225" s="17"/>
      <c r="AQ225" s="17"/>
      <c r="AR225" s="1"/>
      <c r="AS225" s="1"/>
      <c r="AT225" s="17"/>
      <c r="AU225" s="1"/>
      <c r="AV225" s="1"/>
      <c r="AW225" s="1"/>
      <c r="AX225" s="2"/>
      <c r="AY225" s="2"/>
      <c r="AZ225" s="1"/>
    </row>
    <row x14ac:dyDescent="0.25" r="226" customHeight="1" ht="24.75">
      <c r="A226" s="1"/>
      <c r="B226" s="1"/>
      <c r="C226" s="1"/>
      <c r="D226" s="1"/>
      <c r="E226" s="1"/>
      <c r="F226" s="1"/>
      <c r="G226" s="1"/>
      <c r="H226" s="1"/>
      <c r="I226" s="1"/>
      <c r="J226" s="1"/>
      <c r="K226" s="17"/>
      <c r="L226" s="1"/>
      <c r="M226" s="1"/>
      <c r="N226" s="2"/>
      <c r="O226" s="2"/>
      <c r="P226" s="1"/>
      <c r="Q226" s="1"/>
      <c r="R226" s="1"/>
      <c r="S226" s="1"/>
      <c r="T226" s="17"/>
      <c r="U226" s="17"/>
      <c r="V226" s="17"/>
      <c r="W226" s="17"/>
      <c r="X226" s="22"/>
      <c r="Y226" s="22"/>
      <c r="Z226" s="22"/>
      <c r="AA226" s="22"/>
      <c r="AB226" s="22"/>
      <c r="AC226" s="22"/>
      <c r="AD226" s="22"/>
      <c r="AE226" s="22"/>
      <c r="AF226" s="22"/>
      <c r="AG226" s="22"/>
      <c r="AH226" s="22"/>
      <c r="AI226" s="22"/>
      <c r="AJ226" s="17"/>
      <c r="AK226" s="22"/>
      <c r="AL226" s="22"/>
      <c r="AM226" s="22"/>
      <c r="AN226" s="22"/>
      <c r="AO226" s="17"/>
      <c r="AP226" s="17"/>
      <c r="AQ226" s="17"/>
      <c r="AR226" s="1"/>
      <c r="AS226" s="1"/>
      <c r="AT226" s="17"/>
      <c r="AU226" s="1"/>
      <c r="AV226" s="1"/>
      <c r="AW226" s="1"/>
      <c r="AX226" s="2"/>
      <c r="AY226" s="2"/>
      <c r="AZ226" s="1"/>
    </row>
    <row x14ac:dyDescent="0.25" r="227" customHeight="1" ht="24.75">
      <c r="A227" s="1"/>
      <c r="B227" s="1"/>
      <c r="C227" s="1"/>
      <c r="D227" s="1"/>
      <c r="E227" s="1"/>
      <c r="F227" s="1"/>
      <c r="G227" s="1"/>
      <c r="H227" s="1"/>
      <c r="I227" s="1"/>
      <c r="J227" s="1"/>
      <c r="K227" s="17"/>
      <c r="L227" s="1"/>
      <c r="M227" s="1"/>
      <c r="N227" s="2"/>
      <c r="O227" s="2"/>
      <c r="P227" s="1"/>
      <c r="Q227" s="1"/>
      <c r="R227" s="1"/>
      <c r="S227" s="1"/>
      <c r="T227" s="17"/>
      <c r="U227" s="17"/>
      <c r="V227" s="17"/>
      <c r="W227" s="17"/>
      <c r="X227" s="22"/>
      <c r="Y227" s="22"/>
      <c r="Z227" s="22"/>
      <c r="AA227" s="22"/>
      <c r="AB227" s="22"/>
      <c r="AC227" s="22"/>
      <c r="AD227" s="22"/>
      <c r="AE227" s="22"/>
      <c r="AF227" s="22"/>
      <c r="AG227" s="22"/>
      <c r="AH227" s="22"/>
      <c r="AI227" s="22"/>
      <c r="AJ227" s="17"/>
      <c r="AK227" s="22"/>
      <c r="AL227" s="22"/>
      <c r="AM227" s="22"/>
      <c r="AN227" s="22"/>
      <c r="AO227" s="17"/>
      <c r="AP227" s="17"/>
      <c r="AQ227" s="17"/>
      <c r="AR227" s="1"/>
      <c r="AS227" s="1"/>
      <c r="AT227" s="17"/>
      <c r="AU227" s="1"/>
      <c r="AV227" s="1"/>
      <c r="AW227" s="1"/>
      <c r="AX227" s="2"/>
      <c r="AY227" s="2"/>
      <c r="AZ227" s="1"/>
    </row>
    <row x14ac:dyDescent="0.25" r="228" customHeight="1" ht="24.75">
      <c r="A228" s="1"/>
      <c r="B228" s="1"/>
      <c r="C228" s="1"/>
      <c r="D228" s="1"/>
      <c r="E228" s="1"/>
      <c r="F228" s="1"/>
      <c r="G228" s="1"/>
      <c r="H228" s="1"/>
      <c r="I228" s="1"/>
      <c r="J228" s="1"/>
      <c r="K228" s="17"/>
      <c r="L228" s="1"/>
      <c r="M228" s="1"/>
      <c r="N228" s="2"/>
      <c r="O228" s="2"/>
      <c r="P228" s="1"/>
      <c r="Q228" s="1"/>
      <c r="R228" s="1"/>
      <c r="S228" s="1"/>
      <c r="T228" s="17"/>
      <c r="U228" s="17"/>
      <c r="V228" s="17"/>
      <c r="W228" s="17"/>
      <c r="X228" s="22"/>
      <c r="Y228" s="22"/>
      <c r="Z228" s="22"/>
      <c r="AA228" s="22"/>
      <c r="AB228" s="22"/>
      <c r="AC228" s="22"/>
      <c r="AD228" s="22"/>
      <c r="AE228" s="22"/>
      <c r="AF228" s="22"/>
      <c r="AG228" s="22"/>
      <c r="AH228" s="22"/>
      <c r="AI228" s="22"/>
      <c r="AJ228" s="17"/>
      <c r="AK228" s="22"/>
      <c r="AL228" s="22"/>
      <c r="AM228" s="22"/>
      <c r="AN228" s="22"/>
      <c r="AO228" s="17"/>
      <c r="AP228" s="17"/>
      <c r="AQ228" s="17"/>
      <c r="AR228" s="1"/>
      <c r="AS228" s="1"/>
      <c r="AT228" s="17"/>
      <c r="AU228" s="1"/>
      <c r="AV228" s="1"/>
      <c r="AW228" s="1"/>
      <c r="AX228" s="2"/>
      <c r="AY228" s="2"/>
      <c r="AZ228" s="1"/>
    </row>
    <row x14ac:dyDescent="0.25" r="229" customHeight="1" ht="24.75">
      <c r="A229" s="1"/>
      <c r="B229" s="1"/>
      <c r="C229" s="1"/>
      <c r="D229" s="1"/>
      <c r="E229" s="1"/>
      <c r="F229" s="1"/>
      <c r="G229" s="1"/>
      <c r="H229" s="1"/>
      <c r="I229" s="1"/>
      <c r="J229" s="1"/>
      <c r="K229" s="17"/>
      <c r="L229" s="1"/>
      <c r="M229" s="1"/>
      <c r="N229" s="2"/>
      <c r="O229" s="2"/>
      <c r="P229" s="1"/>
      <c r="Q229" s="1"/>
      <c r="R229" s="1"/>
      <c r="S229" s="1"/>
      <c r="T229" s="17"/>
      <c r="U229" s="17"/>
      <c r="V229" s="17"/>
      <c r="W229" s="17"/>
      <c r="X229" s="22"/>
      <c r="Y229" s="22"/>
      <c r="Z229" s="22"/>
      <c r="AA229" s="22"/>
      <c r="AB229" s="22"/>
      <c r="AC229" s="22"/>
      <c r="AD229" s="22"/>
      <c r="AE229" s="22"/>
      <c r="AF229" s="22"/>
      <c r="AG229" s="22"/>
      <c r="AH229" s="22"/>
      <c r="AI229" s="22"/>
      <c r="AJ229" s="17"/>
      <c r="AK229" s="22"/>
      <c r="AL229" s="22"/>
      <c r="AM229" s="22"/>
      <c r="AN229" s="22"/>
      <c r="AO229" s="17"/>
      <c r="AP229" s="17"/>
      <c r="AQ229" s="17"/>
      <c r="AR229" s="1"/>
      <c r="AS229" s="1"/>
      <c r="AT229" s="17"/>
      <c r="AU229" s="1"/>
      <c r="AV229" s="1"/>
      <c r="AW229" s="1"/>
      <c r="AX229" s="2"/>
      <c r="AY229" s="2"/>
      <c r="AZ229" s="1"/>
    </row>
    <row x14ac:dyDescent="0.25" r="230" customHeight="1" ht="24.75">
      <c r="A230" s="1"/>
      <c r="B230" s="1"/>
      <c r="C230" s="1"/>
      <c r="D230" s="1"/>
      <c r="E230" s="1"/>
      <c r="F230" s="1"/>
      <c r="G230" s="1"/>
      <c r="H230" s="1"/>
      <c r="I230" s="1"/>
      <c r="J230" s="1"/>
      <c r="K230" s="17"/>
      <c r="L230" s="1"/>
      <c r="M230" s="1"/>
      <c r="N230" s="2"/>
      <c r="O230" s="2"/>
      <c r="P230" s="1"/>
      <c r="Q230" s="1"/>
      <c r="R230" s="1"/>
      <c r="S230" s="1"/>
      <c r="T230" s="17"/>
      <c r="U230" s="17"/>
      <c r="V230" s="17"/>
      <c r="W230" s="17"/>
      <c r="X230" s="22"/>
      <c r="Y230" s="22"/>
      <c r="Z230" s="22"/>
      <c r="AA230" s="22"/>
      <c r="AB230" s="22"/>
      <c r="AC230" s="22"/>
      <c r="AD230" s="22"/>
      <c r="AE230" s="22"/>
      <c r="AF230" s="22"/>
      <c r="AG230" s="22"/>
      <c r="AH230" s="22"/>
      <c r="AI230" s="22"/>
      <c r="AJ230" s="17"/>
      <c r="AK230" s="22"/>
      <c r="AL230" s="22"/>
      <c r="AM230" s="22"/>
      <c r="AN230" s="22"/>
      <c r="AO230" s="17"/>
      <c r="AP230" s="17"/>
      <c r="AQ230" s="17"/>
      <c r="AR230" s="1"/>
      <c r="AS230" s="1"/>
      <c r="AT230" s="17"/>
      <c r="AU230" s="1"/>
      <c r="AV230" s="1"/>
      <c r="AW230" s="1"/>
      <c r="AX230" s="2"/>
      <c r="AY230" s="2"/>
      <c r="AZ230" s="1"/>
    </row>
    <row x14ac:dyDescent="0.25" r="231" customHeight="1" ht="24.75">
      <c r="A231" s="1"/>
      <c r="B231" s="1"/>
      <c r="C231" s="1"/>
      <c r="D231" s="1"/>
      <c r="E231" s="1"/>
      <c r="F231" s="1"/>
      <c r="G231" s="1"/>
      <c r="H231" s="1"/>
      <c r="I231" s="1"/>
      <c r="J231" s="1"/>
      <c r="K231" s="17"/>
      <c r="L231" s="1"/>
      <c r="M231" s="1"/>
      <c r="N231" s="2"/>
      <c r="O231" s="2"/>
      <c r="P231" s="1"/>
      <c r="Q231" s="1"/>
      <c r="R231" s="1"/>
      <c r="S231" s="1"/>
      <c r="T231" s="17"/>
      <c r="U231" s="17"/>
      <c r="V231" s="17"/>
      <c r="W231" s="17"/>
      <c r="X231" s="22"/>
      <c r="Y231" s="22"/>
      <c r="Z231" s="22"/>
      <c r="AA231" s="22"/>
      <c r="AB231" s="22"/>
      <c r="AC231" s="22"/>
      <c r="AD231" s="22"/>
      <c r="AE231" s="22"/>
      <c r="AF231" s="22"/>
      <c r="AG231" s="22"/>
      <c r="AH231" s="22"/>
      <c r="AI231" s="22"/>
      <c r="AJ231" s="17"/>
      <c r="AK231" s="22"/>
      <c r="AL231" s="22"/>
      <c r="AM231" s="22"/>
      <c r="AN231" s="22"/>
      <c r="AO231" s="17"/>
      <c r="AP231" s="17"/>
      <c r="AQ231" s="17"/>
      <c r="AR231" s="1"/>
      <c r="AS231" s="1"/>
      <c r="AT231" s="17"/>
      <c r="AU231" s="1"/>
      <c r="AV231" s="1"/>
      <c r="AW231" s="1"/>
      <c r="AX231" s="2"/>
      <c r="AY231" s="2"/>
      <c r="AZ231" s="1"/>
    </row>
    <row x14ac:dyDescent="0.25" r="232" customHeight="1" ht="24.75">
      <c r="A232" s="1"/>
      <c r="B232" s="1"/>
      <c r="C232" s="1"/>
      <c r="D232" s="1"/>
      <c r="E232" s="1"/>
      <c r="F232" s="1"/>
      <c r="G232" s="1"/>
      <c r="H232" s="1"/>
      <c r="I232" s="1"/>
      <c r="J232" s="1"/>
      <c r="K232" s="17"/>
      <c r="L232" s="1"/>
      <c r="M232" s="1"/>
      <c r="N232" s="2"/>
      <c r="O232" s="2"/>
      <c r="P232" s="1"/>
      <c r="Q232" s="1"/>
      <c r="R232" s="1"/>
      <c r="S232" s="1"/>
      <c r="T232" s="17"/>
      <c r="U232" s="17"/>
      <c r="V232" s="17"/>
      <c r="W232" s="17"/>
      <c r="X232" s="22"/>
      <c r="Y232" s="22"/>
      <c r="Z232" s="22"/>
      <c r="AA232" s="22"/>
      <c r="AB232" s="22"/>
      <c r="AC232" s="22"/>
      <c r="AD232" s="22"/>
      <c r="AE232" s="22"/>
      <c r="AF232" s="22"/>
      <c r="AG232" s="22"/>
      <c r="AH232" s="22"/>
      <c r="AI232" s="22"/>
      <c r="AJ232" s="17"/>
      <c r="AK232" s="22"/>
      <c r="AL232" s="22"/>
      <c r="AM232" s="22"/>
      <c r="AN232" s="22"/>
      <c r="AO232" s="17"/>
      <c r="AP232" s="17"/>
      <c r="AQ232" s="17"/>
      <c r="AR232" s="1"/>
      <c r="AS232" s="1"/>
      <c r="AT232" s="17"/>
      <c r="AU232" s="1"/>
      <c r="AV232" s="1"/>
      <c r="AW232" s="1"/>
      <c r="AX232" s="2"/>
      <c r="AY232" s="2"/>
      <c r="AZ232" s="1"/>
    </row>
    <row x14ac:dyDescent="0.25" r="233" customHeight="1" ht="24.75">
      <c r="A233" s="1"/>
      <c r="B233" s="1"/>
      <c r="C233" s="1"/>
      <c r="D233" s="1"/>
      <c r="E233" s="1"/>
      <c r="F233" s="1"/>
      <c r="G233" s="1"/>
      <c r="H233" s="1"/>
      <c r="I233" s="1"/>
      <c r="J233" s="1"/>
      <c r="K233" s="17"/>
      <c r="L233" s="1"/>
      <c r="M233" s="1"/>
      <c r="N233" s="2"/>
      <c r="O233" s="2"/>
      <c r="P233" s="1"/>
      <c r="Q233" s="1"/>
      <c r="R233" s="1"/>
      <c r="S233" s="1"/>
      <c r="T233" s="17"/>
      <c r="U233" s="17"/>
      <c r="V233" s="17"/>
      <c r="W233" s="17"/>
      <c r="X233" s="22"/>
      <c r="Y233" s="22"/>
      <c r="Z233" s="22"/>
      <c r="AA233" s="22"/>
      <c r="AB233" s="22"/>
      <c r="AC233" s="22"/>
      <c r="AD233" s="22"/>
      <c r="AE233" s="22"/>
      <c r="AF233" s="22"/>
      <c r="AG233" s="22"/>
      <c r="AH233" s="22"/>
      <c r="AI233" s="22"/>
      <c r="AJ233" s="17"/>
      <c r="AK233" s="22"/>
      <c r="AL233" s="22"/>
      <c r="AM233" s="22"/>
      <c r="AN233" s="22"/>
      <c r="AO233" s="17"/>
      <c r="AP233" s="17"/>
      <c r="AQ233" s="17"/>
      <c r="AR233" s="1"/>
      <c r="AS233" s="1"/>
      <c r="AT233" s="17"/>
      <c r="AU233" s="1"/>
      <c r="AV233" s="1"/>
      <c r="AW233" s="1"/>
      <c r="AX233" s="2"/>
      <c r="AY233" s="2"/>
      <c r="AZ233" s="1"/>
    </row>
    <row x14ac:dyDescent="0.25" r="234" customHeight="1" ht="24.75">
      <c r="A234" s="1"/>
      <c r="B234" s="1"/>
      <c r="C234" s="1"/>
      <c r="D234" s="1"/>
      <c r="E234" s="1"/>
      <c r="F234" s="1"/>
      <c r="G234" s="1"/>
      <c r="H234" s="1"/>
      <c r="I234" s="1"/>
      <c r="J234" s="1"/>
      <c r="K234" s="17"/>
      <c r="L234" s="1"/>
      <c r="M234" s="1"/>
      <c r="N234" s="2"/>
      <c r="O234" s="2"/>
      <c r="P234" s="1"/>
      <c r="Q234" s="1"/>
      <c r="R234" s="1"/>
      <c r="S234" s="1"/>
      <c r="T234" s="17"/>
      <c r="U234" s="17"/>
      <c r="V234" s="17"/>
      <c r="W234" s="17"/>
      <c r="X234" s="22"/>
      <c r="Y234" s="22"/>
      <c r="Z234" s="22"/>
      <c r="AA234" s="22"/>
      <c r="AB234" s="22"/>
      <c r="AC234" s="22"/>
      <c r="AD234" s="22"/>
      <c r="AE234" s="22"/>
      <c r="AF234" s="22"/>
      <c r="AG234" s="22"/>
      <c r="AH234" s="22"/>
      <c r="AI234" s="22"/>
      <c r="AJ234" s="17"/>
      <c r="AK234" s="22"/>
      <c r="AL234" s="22"/>
      <c r="AM234" s="22"/>
      <c r="AN234" s="22"/>
      <c r="AO234" s="17"/>
      <c r="AP234" s="17"/>
      <c r="AQ234" s="17"/>
      <c r="AR234" s="1"/>
      <c r="AS234" s="1"/>
      <c r="AT234" s="17"/>
      <c r="AU234" s="1"/>
      <c r="AV234" s="1"/>
      <c r="AW234" s="1"/>
      <c r="AX234" s="2"/>
      <c r="AY234" s="2"/>
      <c r="AZ234" s="1"/>
    </row>
    <row x14ac:dyDescent="0.25" r="235" customHeight="1" ht="24.75">
      <c r="A235" s="1"/>
      <c r="B235" s="1"/>
      <c r="C235" s="1"/>
      <c r="D235" s="1"/>
      <c r="E235" s="1"/>
      <c r="F235" s="1"/>
      <c r="G235" s="1"/>
      <c r="H235" s="1"/>
      <c r="I235" s="1"/>
      <c r="J235" s="1"/>
      <c r="K235" s="17"/>
      <c r="L235" s="1"/>
      <c r="M235" s="1"/>
      <c r="N235" s="2"/>
      <c r="O235" s="2"/>
      <c r="P235" s="1"/>
      <c r="Q235" s="1"/>
      <c r="R235" s="1"/>
      <c r="S235" s="1"/>
      <c r="T235" s="17"/>
      <c r="U235" s="17"/>
      <c r="V235" s="17"/>
      <c r="W235" s="17"/>
      <c r="X235" s="22"/>
      <c r="Y235" s="22"/>
      <c r="Z235" s="22"/>
      <c r="AA235" s="22"/>
      <c r="AB235" s="22"/>
      <c r="AC235" s="22"/>
      <c r="AD235" s="22"/>
      <c r="AE235" s="22"/>
      <c r="AF235" s="22"/>
      <c r="AG235" s="22"/>
      <c r="AH235" s="22"/>
      <c r="AI235" s="22"/>
      <c r="AJ235" s="17"/>
      <c r="AK235" s="22"/>
      <c r="AL235" s="22"/>
      <c r="AM235" s="22"/>
      <c r="AN235" s="22"/>
      <c r="AO235" s="17"/>
      <c r="AP235" s="17"/>
      <c r="AQ235" s="17"/>
      <c r="AR235" s="1"/>
      <c r="AS235" s="1"/>
      <c r="AT235" s="17"/>
      <c r="AU235" s="1"/>
      <c r="AV235" s="1"/>
      <c r="AW235" s="1"/>
      <c r="AX235" s="2"/>
      <c r="AY235" s="2"/>
      <c r="AZ235" s="1"/>
    </row>
    <row x14ac:dyDescent="0.25" r="236" customHeight="1" ht="24.75">
      <c r="A236" s="1"/>
      <c r="B236" s="1"/>
      <c r="C236" s="1"/>
      <c r="D236" s="1"/>
      <c r="E236" s="1"/>
      <c r="F236" s="1"/>
      <c r="G236" s="1"/>
      <c r="H236" s="1"/>
      <c r="I236" s="1"/>
      <c r="J236" s="1"/>
      <c r="K236" s="17"/>
      <c r="L236" s="1"/>
      <c r="M236" s="1"/>
      <c r="N236" s="2"/>
      <c r="O236" s="2"/>
      <c r="P236" s="1"/>
      <c r="Q236" s="1"/>
      <c r="R236" s="1"/>
      <c r="S236" s="1"/>
      <c r="T236" s="17"/>
      <c r="U236" s="17"/>
      <c r="V236" s="17"/>
      <c r="W236" s="17"/>
      <c r="X236" s="22"/>
      <c r="Y236" s="22"/>
      <c r="Z236" s="22"/>
      <c r="AA236" s="22"/>
      <c r="AB236" s="22"/>
      <c r="AC236" s="22"/>
      <c r="AD236" s="22"/>
      <c r="AE236" s="22"/>
      <c r="AF236" s="22"/>
      <c r="AG236" s="22"/>
      <c r="AH236" s="22"/>
      <c r="AI236" s="22"/>
      <c r="AJ236" s="17"/>
      <c r="AK236" s="22"/>
      <c r="AL236" s="22"/>
      <c r="AM236" s="22"/>
      <c r="AN236" s="22"/>
      <c r="AO236" s="17"/>
      <c r="AP236" s="17"/>
      <c r="AQ236" s="17"/>
      <c r="AR236" s="1"/>
      <c r="AS236" s="1"/>
      <c r="AT236" s="17"/>
      <c r="AU236" s="1"/>
      <c r="AV236" s="1"/>
      <c r="AW236" s="1"/>
      <c r="AX236" s="2"/>
      <c r="AY236" s="2"/>
      <c r="AZ236" s="1"/>
    </row>
    <row x14ac:dyDescent="0.25" r="237" customHeight="1" ht="24.75">
      <c r="A237" s="1"/>
      <c r="B237" s="1"/>
      <c r="C237" s="1"/>
      <c r="D237" s="1"/>
      <c r="E237" s="1"/>
      <c r="F237" s="1"/>
      <c r="G237" s="1"/>
      <c r="H237" s="1"/>
      <c r="I237" s="1"/>
      <c r="J237" s="1"/>
      <c r="K237" s="17"/>
      <c r="L237" s="1"/>
      <c r="M237" s="1"/>
      <c r="N237" s="2"/>
      <c r="O237" s="2"/>
      <c r="P237" s="1"/>
      <c r="Q237" s="1"/>
      <c r="R237" s="1"/>
      <c r="S237" s="1"/>
      <c r="T237" s="17"/>
      <c r="U237" s="17"/>
      <c r="V237" s="17"/>
      <c r="W237" s="17"/>
      <c r="X237" s="22"/>
      <c r="Y237" s="22"/>
      <c r="Z237" s="22"/>
      <c r="AA237" s="22"/>
      <c r="AB237" s="22"/>
      <c r="AC237" s="22"/>
      <c r="AD237" s="22"/>
      <c r="AE237" s="22"/>
      <c r="AF237" s="22"/>
      <c r="AG237" s="22"/>
      <c r="AH237" s="22"/>
      <c r="AI237" s="22"/>
      <c r="AJ237" s="17"/>
      <c r="AK237" s="22"/>
      <c r="AL237" s="22"/>
      <c r="AM237" s="22"/>
      <c r="AN237" s="22"/>
      <c r="AO237" s="17"/>
      <c r="AP237" s="17"/>
      <c r="AQ237" s="17"/>
      <c r="AR237" s="1"/>
      <c r="AS237" s="1"/>
      <c r="AT237" s="17"/>
      <c r="AU237" s="1"/>
      <c r="AV237" s="1"/>
      <c r="AW237" s="1"/>
      <c r="AX237" s="2"/>
      <c r="AY237" s="2"/>
      <c r="AZ237" s="1"/>
    </row>
    <row x14ac:dyDescent="0.25" r="238" customHeight="1" ht="24.75">
      <c r="A238" s="1"/>
      <c r="B238" s="1"/>
      <c r="C238" s="1"/>
      <c r="D238" s="1"/>
      <c r="E238" s="1"/>
      <c r="F238" s="1"/>
      <c r="G238" s="1"/>
      <c r="H238" s="1"/>
      <c r="I238" s="1"/>
      <c r="J238" s="1"/>
      <c r="K238" s="17"/>
      <c r="L238" s="1"/>
      <c r="M238" s="1"/>
      <c r="N238" s="2"/>
      <c r="O238" s="2"/>
      <c r="P238" s="1"/>
      <c r="Q238" s="1"/>
      <c r="R238" s="1"/>
      <c r="S238" s="1"/>
      <c r="T238" s="17"/>
      <c r="U238" s="17"/>
      <c r="V238" s="17"/>
      <c r="W238" s="17"/>
      <c r="X238" s="22"/>
      <c r="Y238" s="22"/>
      <c r="Z238" s="22"/>
      <c r="AA238" s="22"/>
      <c r="AB238" s="22"/>
      <c r="AC238" s="22"/>
      <c r="AD238" s="22"/>
      <c r="AE238" s="22"/>
      <c r="AF238" s="22"/>
      <c r="AG238" s="22"/>
      <c r="AH238" s="22"/>
      <c r="AI238" s="22"/>
      <c r="AJ238" s="17"/>
      <c r="AK238" s="22"/>
      <c r="AL238" s="22"/>
      <c r="AM238" s="22"/>
      <c r="AN238" s="22"/>
      <c r="AO238" s="17"/>
      <c r="AP238" s="17"/>
      <c r="AQ238" s="17"/>
      <c r="AR238" s="1"/>
      <c r="AS238" s="1"/>
      <c r="AT238" s="17"/>
      <c r="AU238" s="1"/>
      <c r="AV238" s="1"/>
      <c r="AW238" s="1"/>
      <c r="AX238" s="2"/>
      <c r="AY238" s="2"/>
      <c r="AZ238" s="1"/>
    </row>
    <row x14ac:dyDescent="0.25" r="239" customHeight="1" ht="24.75">
      <c r="A239" s="1"/>
      <c r="B239" s="1"/>
      <c r="C239" s="1"/>
      <c r="D239" s="1"/>
      <c r="E239" s="1"/>
      <c r="F239" s="1"/>
      <c r="G239" s="1"/>
      <c r="H239" s="1"/>
      <c r="I239" s="1"/>
      <c r="J239" s="1"/>
      <c r="K239" s="17"/>
      <c r="L239" s="1"/>
      <c r="M239" s="1"/>
      <c r="N239" s="2"/>
      <c r="O239" s="2"/>
      <c r="P239" s="1"/>
      <c r="Q239" s="1"/>
      <c r="R239" s="1"/>
      <c r="S239" s="1"/>
      <c r="T239" s="17"/>
      <c r="U239" s="17"/>
      <c r="V239" s="17"/>
      <c r="W239" s="17"/>
      <c r="X239" s="22"/>
      <c r="Y239" s="22"/>
      <c r="Z239" s="22"/>
      <c r="AA239" s="22"/>
      <c r="AB239" s="22"/>
      <c r="AC239" s="22"/>
      <c r="AD239" s="22"/>
      <c r="AE239" s="22"/>
      <c r="AF239" s="22"/>
      <c r="AG239" s="22"/>
      <c r="AH239" s="22"/>
      <c r="AI239" s="22"/>
      <c r="AJ239" s="17"/>
      <c r="AK239" s="22"/>
      <c r="AL239" s="22"/>
      <c r="AM239" s="22"/>
      <c r="AN239" s="22"/>
      <c r="AO239" s="17"/>
      <c r="AP239" s="17"/>
      <c r="AQ239" s="17"/>
      <c r="AR239" s="1"/>
      <c r="AS239" s="1"/>
      <c r="AT239" s="17"/>
      <c r="AU239" s="1"/>
      <c r="AV239" s="1"/>
      <c r="AW239" s="1"/>
      <c r="AX239" s="2"/>
      <c r="AY239" s="2"/>
      <c r="AZ239" s="1"/>
    </row>
    <row x14ac:dyDescent="0.25" r="240" customHeight="1" ht="24.75">
      <c r="A240" s="1"/>
      <c r="B240" s="1"/>
      <c r="C240" s="1"/>
      <c r="D240" s="1"/>
      <c r="E240" s="1"/>
      <c r="F240" s="1"/>
      <c r="G240" s="1"/>
      <c r="H240" s="1"/>
      <c r="I240" s="1"/>
      <c r="J240" s="1"/>
      <c r="K240" s="17"/>
      <c r="L240" s="1"/>
      <c r="M240" s="1"/>
      <c r="N240" s="2"/>
      <c r="O240" s="2"/>
      <c r="P240" s="1"/>
      <c r="Q240" s="1"/>
      <c r="R240" s="1"/>
      <c r="S240" s="1"/>
      <c r="T240" s="17"/>
      <c r="U240" s="17"/>
      <c r="V240" s="17"/>
      <c r="W240" s="17"/>
      <c r="X240" s="22"/>
      <c r="Y240" s="22"/>
      <c r="Z240" s="22"/>
      <c r="AA240" s="22"/>
      <c r="AB240" s="22"/>
      <c r="AC240" s="22"/>
      <c r="AD240" s="22"/>
      <c r="AE240" s="22"/>
      <c r="AF240" s="22"/>
      <c r="AG240" s="22"/>
      <c r="AH240" s="22"/>
      <c r="AI240" s="22"/>
      <c r="AJ240" s="17"/>
      <c r="AK240" s="22"/>
      <c r="AL240" s="22"/>
      <c r="AM240" s="22"/>
      <c r="AN240" s="22"/>
      <c r="AO240" s="17"/>
      <c r="AP240" s="17"/>
      <c r="AQ240" s="17"/>
      <c r="AR240" s="1"/>
      <c r="AS240" s="1"/>
      <c r="AT240" s="17"/>
      <c r="AU240" s="1"/>
      <c r="AV240" s="1"/>
      <c r="AW240" s="1"/>
      <c r="AX240" s="2"/>
      <c r="AY240" s="2"/>
      <c r="AZ240" s="1"/>
    </row>
    <row x14ac:dyDescent="0.25" r="241" customHeight="1" ht="24.75">
      <c r="A241" s="1"/>
      <c r="B241" s="1"/>
      <c r="C241" s="1"/>
      <c r="D241" s="1"/>
      <c r="E241" s="1"/>
      <c r="F241" s="1"/>
      <c r="G241" s="1"/>
      <c r="H241" s="1"/>
      <c r="I241" s="1"/>
      <c r="J241" s="1"/>
      <c r="K241" s="17"/>
      <c r="L241" s="1"/>
      <c r="M241" s="1"/>
      <c r="N241" s="2"/>
      <c r="O241" s="2"/>
      <c r="P241" s="1"/>
      <c r="Q241" s="1"/>
      <c r="R241" s="1"/>
      <c r="S241" s="1"/>
      <c r="T241" s="17"/>
      <c r="U241" s="17"/>
      <c r="V241" s="17"/>
      <c r="W241" s="17"/>
      <c r="X241" s="22"/>
      <c r="Y241" s="22"/>
      <c r="Z241" s="22"/>
      <c r="AA241" s="22"/>
      <c r="AB241" s="22"/>
      <c r="AC241" s="22"/>
      <c r="AD241" s="22"/>
      <c r="AE241" s="22"/>
      <c r="AF241" s="22"/>
      <c r="AG241" s="22"/>
      <c r="AH241" s="22"/>
      <c r="AI241" s="22"/>
      <c r="AJ241" s="17"/>
      <c r="AK241" s="22"/>
      <c r="AL241" s="22"/>
      <c r="AM241" s="22"/>
      <c r="AN241" s="22"/>
      <c r="AO241" s="17"/>
      <c r="AP241" s="17"/>
      <c r="AQ241" s="17"/>
      <c r="AR241" s="1"/>
      <c r="AS241" s="1"/>
      <c r="AT241" s="17"/>
      <c r="AU241" s="1"/>
      <c r="AV241" s="1"/>
      <c r="AW241" s="1"/>
      <c r="AX241" s="2"/>
      <c r="AY241" s="2"/>
      <c r="AZ241" s="1"/>
    </row>
    <row x14ac:dyDescent="0.25" r="242" customHeight="1" ht="24.75">
      <c r="A242" s="1"/>
      <c r="B242" s="1"/>
      <c r="C242" s="1"/>
      <c r="D242" s="1"/>
      <c r="E242" s="1"/>
      <c r="F242" s="1"/>
      <c r="G242" s="1"/>
      <c r="H242" s="1"/>
      <c r="I242" s="1"/>
      <c r="J242" s="1"/>
      <c r="K242" s="17"/>
      <c r="L242" s="1"/>
      <c r="M242" s="1"/>
      <c r="N242" s="2"/>
      <c r="O242" s="2"/>
      <c r="P242" s="1"/>
      <c r="Q242" s="1"/>
      <c r="R242" s="1"/>
      <c r="S242" s="1"/>
      <c r="T242" s="17"/>
      <c r="U242" s="17"/>
      <c r="V242" s="17"/>
      <c r="W242" s="17"/>
      <c r="X242" s="22"/>
      <c r="Y242" s="22"/>
      <c r="Z242" s="22"/>
      <c r="AA242" s="22"/>
      <c r="AB242" s="22"/>
      <c r="AC242" s="22"/>
      <c r="AD242" s="22"/>
      <c r="AE242" s="22"/>
      <c r="AF242" s="22"/>
      <c r="AG242" s="22"/>
      <c r="AH242" s="22"/>
      <c r="AI242" s="22"/>
      <c r="AJ242" s="17"/>
      <c r="AK242" s="22"/>
      <c r="AL242" s="22"/>
      <c r="AM242" s="22"/>
      <c r="AN242" s="22"/>
      <c r="AO242" s="17"/>
      <c r="AP242" s="17"/>
      <c r="AQ242" s="17"/>
      <c r="AR242" s="1"/>
      <c r="AS242" s="1"/>
      <c r="AT242" s="17"/>
      <c r="AU242" s="1"/>
      <c r="AV242" s="1"/>
      <c r="AW242" s="1"/>
      <c r="AX242" s="2"/>
      <c r="AY242" s="2"/>
      <c r="AZ242" s="1"/>
    </row>
    <row x14ac:dyDescent="0.25" r="243" customHeight="1" ht="24.75">
      <c r="A243" s="1"/>
      <c r="B243" s="1"/>
      <c r="C243" s="1"/>
      <c r="D243" s="1"/>
      <c r="E243" s="1"/>
      <c r="F243" s="1"/>
      <c r="G243" s="1"/>
      <c r="H243" s="1"/>
      <c r="I243" s="1"/>
      <c r="J243" s="1"/>
      <c r="K243" s="17"/>
      <c r="L243" s="1"/>
      <c r="M243" s="1"/>
      <c r="N243" s="2"/>
      <c r="O243" s="2"/>
      <c r="P243" s="1"/>
      <c r="Q243" s="1"/>
      <c r="R243" s="1"/>
      <c r="S243" s="1"/>
      <c r="T243" s="17"/>
      <c r="U243" s="17"/>
      <c r="V243" s="17"/>
      <c r="W243" s="17"/>
      <c r="X243" s="22"/>
      <c r="Y243" s="22"/>
      <c r="Z243" s="22"/>
      <c r="AA243" s="22"/>
      <c r="AB243" s="22"/>
      <c r="AC243" s="22"/>
      <c r="AD243" s="22"/>
      <c r="AE243" s="22"/>
      <c r="AF243" s="22"/>
      <c r="AG243" s="22"/>
      <c r="AH243" s="22"/>
      <c r="AI243" s="22"/>
      <c r="AJ243" s="17"/>
      <c r="AK243" s="22"/>
      <c r="AL243" s="22"/>
      <c r="AM243" s="22"/>
      <c r="AN243" s="22"/>
      <c r="AO243" s="17"/>
      <c r="AP243" s="17"/>
      <c r="AQ243" s="17"/>
      <c r="AR243" s="1"/>
      <c r="AS243" s="1"/>
      <c r="AT243" s="17"/>
      <c r="AU243" s="1"/>
      <c r="AV243" s="1"/>
      <c r="AW243" s="1"/>
      <c r="AX243" s="2"/>
      <c r="AY243" s="2"/>
      <c r="AZ243" s="1"/>
    </row>
    <row x14ac:dyDescent="0.25" r="244" customHeight="1" ht="24.75">
      <c r="A244" s="1"/>
      <c r="B244" s="1"/>
      <c r="C244" s="1"/>
      <c r="D244" s="1"/>
      <c r="E244" s="1"/>
      <c r="F244" s="1"/>
      <c r="G244" s="1"/>
      <c r="H244" s="1"/>
      <c r="I244" s="1"/>
      <c r="J244" s="1"/>
      <c r="K244" s="17"/>
      <c r="L244" s="1"/>
      <c r="M244" s="1"/>
      <c r="N244" s="2"/>
      <c r="O244" s="2"/>
      <c r="P244" s="1"/>
      <c r="Q244" s="1"/>
      <c r="R244" s="1"/>
      <c r="S244" s="1"/>
      <c r="T244" s="17"/>
      <c r="U244" s="17"/>
      <c r="V244" s="17"/>
      <c r="W244" s="17"/>
      <c r="X244" s="22"/>
      <c r="Y244" s="22"/>
      <c r="Z244" s="22"/>
      <c r="AA244" s="22"/>
      <c r="AB244" s="22"/>
      <c r="AC244" s="22"/>
      <c r="AD244" s="22"/>
      <c r="AE244" s="22"/>
      <c r="AF244" s="22"/>
      <c r="AG244" s="22"/>
      <c r="AH244" s="22"/>
      <c r="AI244" s="22"/>
      <c r="AJ244" s="17"/>
      <c r="AK244" s="22"/>
      <c r="AL244" s="22"/>
      <c r="AM244" s="22"/>
      <c r="AN244" s="22"/>
      <c r="AO244" s="17"/>
      <c r="AP244" s="17"/>
      <c r="AQ244" s="17"/>
      <c r="AR244" s="1"/>
      <c r="AS244" s="1"/>
      <c r="AT244" s="17"/>
      <c r="AU244" s="1"/>
      <c r="AV244" s="1"/>
      <c r="AW244" s="1"/>
      <c r="AX244" s="2"/>
      <c r="AY244" s="2"/>
      <c r="AZ244" s="1"/>
    </row>
    <row x14ac:dyDescent="0.25" r="245" customHeight="1" ht="24.75">
      <c r="A245" s="1"/>
      <c r="B245" s="1"/>
      <c r="C245" s="1"/>
      <c r="D245" s="1"/>
      <c r="E245" s="1"/>
      <c r="F245" s="1"/>
      <c r="G245" s="1"/>
      <c r="H245" s="1"/>
      <c r="I245" s="1"/>
      <c r="J245" s="1"/>
      <c r="K245" s="17"/>
      <c r="L245" s="1"/>
      <c r="M245" s="1"/>
      <c r="N245" s="2"/>
      <c r="O245" s="2"/>
      <c r="P245" s="1"/>
      <c r="Q245" s="1"/>
      <c r="R245" s="1"/>
      <c r="S245" s="1"/>
      <c r="T245" s="17"/>
      <c r="U245" s="17"/>
      <c r="V245" s="17"/>
      <c r="W245" s="17"/>
      <c r="X245" s="22"/>
      <c r="Y245" s="22"/>
      <c r="Z245" s="22"/>
      <c r="AA245" s="22"/>
      <c r="AB245" s="22"/>
      <c r="AC245" s="22"/>
      <c r="AD245" s="22"/>
      <c r="AE245" s="22"/>
      <c r="AF245" s="22"/>
      <c r="AG245" s="22"/>
      <c r="AH245" s="22"/>
      <c r="AI245" s="22"/>
      <c r="AJ245" s="17"/>
      <c r="AK245" s="22"/>
      <c r="AL245" s="22"/>
      <c r="AM245" s="22"/>
      <c r="AN245" s="22"/>
      <c r="AO245" s="17"/>
      <c r="AP245" s="17"/>
      <c r="AQ245" s="17"/>
      <c r="AR245" s="1"/>
      <c r="AS245" s="1"/>
      <c r="AT245" s="17"/>
      <c r="AU245" s="1"/>
      <c r="AV245" s="1"/>
      <c r="AW245" s="1"/>
      <c r="AX245" s="2"/>
      <c r="AY245" s="2"/>
      <c r="AZ245" s="1"/>
    </row>
    <row x14ac:dyDescent="0.25" r="246" customHeight="1" ht="24.75">
      <c r="A246" s="1"/>
      <c r="B246" s="1"/>
      <c r="C246" s="1"/>
      <c r="D246" s="1"/>
      <c r="E246" s="1"/>
      <c r="F246" s="1"/>
      <c r="G246" s="1"/>
      <c r="H246" s="1"/>
      <c r="I246" s="1"/>
      <c r="J246" s="1"/>
      <c r="K246" s="17"/>
      <c r="L246" s="1"/>
      <c r="M246" s="1"/>
      <c r="N246" s="2"/>
      <c r="O246" s="2"/>
      <c r="P246" s="1"/>
      <c r="Q246" s="1"/>
      <c r="R246" s="1"/>
      <c r="S246" s="1"/>
      <c r="T246" s="17"/>
      <c r="U246" s="17"/>
      <c r="V246" s="17"/>
      <c r="W246" s="17"/>
      <c r="X246" s="22"/>
      <c r="Y246" s="22"/>
      <c r="Z246" s="22"/>
      <c r="AA246" s="22"/>
      <c r="AB246" s="22"/>
      <c r="AC246" s="22"/>
      <c r="AD246" s="22"/>
      <c r="AE246" s="22"/>
      <c r="AF246" s="22"/>
      <c r="AG246" s="22"/>
      <c r="AH246" s="22"/>
      <c r="AI246" s="22"/>
      <c r="AJ246" s="17"/>
      <c r="AK246" s="22"/>
      <c r="AL246" s="22"/>
      <c r="AM246" s="22"/>
      <c r="AN246" s="22"/>
      <c r="AO246" s="17"/>
      <c r="AP246" s="17"/>
      <c r="AQ246" s="17"/>
      <c r="AR246" s="1"/>
      <c r="AS246" s="1"/>
      <c r="AT246" s="17"/>
      <c r="AU246" s="1"/>
      <c r="AV246" s="1"/>
      <c r="AW246" s="1"/>
      <c r="AX246" s="2"/>
      <c r="AY246" s="2"/>
      <c r="AZ246" s="1"/>
    </row>
    <row x14ac:dyDescent="0.25" r="247" customHeight="1" ht="24.75">
      <c r="A247" s="1"/>
      <c r="B247" s="1"/>
      <c r="C247" s="1"/>
      <c r="D247" s="1"/>
      <c r="E247" s="1"/>
      <c r="F247" s="1"/>
      <c r="G247" s="1"/>
      <c r="H247" s="1"/>
      <c r="I247" s="1"/>
      <c r="J247" s="1"/>
      <c r="K247" s="17"/>
      <c r="L247" s="1"/>
      <c r="M247" s="1"/>
      <c r="N247" s="2"/>
      <c r="O247" s="2"/>
      <c r="P247" s="1"/>
      <c r="Q247" s="1"/>
      <c r="R247" s="1"/>
      <c r="S247" s="1"/>
      <c r="T247" s="17"/>
      <c r="U247" s="17"/>
      <c r="V247" s="17"/>
      <c r="W247" s="17"/>
      <c r="X247" s="22"/>
      <c r="Y247" s="22"/>
      <c r="Z247" s="22"/>
      <c r="AA247" s="22"/>
      <c r="AB247" s="22"/>
      <c r="AC247" s="22"/>
      <c r="AD247" s="22"/>
      <c r="AE247" s="22"/>
      <c r="AF247" s="22"/>
      <c r="AG247" s="22"/>
      <c r="AH247" s="22"/>
      <c r="AI247" s="22"/>
      <c r="AJ247" s="17"/>
      <c r="AK247" s="22"/>
      <c r="AL247" s="22"/>
      <c r="AM247" s="22"/>
      <c r="AN247" s="22"/>
      <c r="AO247" s="17"/>
      <c r="AP247" s="17"/>
      <c r="AQ247" s="17"/>
      <c r="AR247" s="1"/>
      <c r="AS247" s="1"/>
      <c r="AT247" s="17"/>
      <c r="AU247" s="1"/>
      <c r="AV247" s="1"/>
      <c r="AW247" s="1"/>
      <c r="AX247" s="2"/>
      <c r="AY247" s="2"/>
      <c r="AZ247" s="1"/>
    </row>
    <row x14ac:dyDescent="0.25" r="248" customHeight="1" ht="24.75">
      <c r="A248" s="1"/>
      <c r="B248" s="1"/>
      <c r="C248" s="1"/>
      <c r="D248" s="1"/>
      <c r="E248" s="1"/>
      <c r="F248" s="1"/>
      <c r="G248" s="1"/>
      <c r="H248" s="1"/>
      <c r="I248" s="1"/>
      <c r="J248" s="1"/>
      <c r="K248" s="17"/>
      <c r="L248" s="1"/>
      <c r="M248" s="1"/>
      <c r="N248" s="2"/>
      <c r="O248" s="2"/>
      <c r="P248" s="1"/>
      <c r="Q248" s="1"/>
      <c r="R248" s="1"/>
      <c r="S248" s="1"/>
      <c r="T248" s="17"/>
      <c r="U248" s="17"/>
      <c r="V248" s="17"/>
      <c r="W248" s="17"/>
      <c r="X248" s="22"/>
      <c r="Y248" s="22"/>
      <c r="Z248" s="22"/>
      <c r="AA248" s="22"/>
      <c r="AB248" s="22"/>
      <c r="AC248" s="22"/>
      <c r="AD248" s="22"/>
      <c r="AE248" s="22"/>
      <c r="AF248" s="22"/>
      <c r="AG248" s="22"/>
      <c r="AH248" s="22"/>
      <c r="AI248" s="22"/>
      <c r="AJ248" s="17"/>
      <c r="AK248" s="22"/>
      <c r="AL248" s="22"/>
      <c r="AM248" s="22"/>
      <c r="AN248" s="22"/>
      <c r="AO248" s="17"/>
      <c r="AP248" s="17"/>
      <c r="AQ248" s="17"/>
      <c r="AR248" s="1"/>
      <c r="AS248" s="1"/>
      <c r="AT248" s="17"/>
      <c r="AU248" s="1"/>
      <c r="AV248" s="1"/>
      <c r="AW248" s="1"/>
      <c r="AX248" s="2"/>
      <c r="AY248" s="2"/>
      <c r="AZ248" s="1"/>
    </row>
    <row x14ac:dyDescent="0.25" r="249" customHeight="1" ht="24.75">
      <c r="A249" s="1"/>
      <c r="B249" s="1"/>
      <c r="C249" s="1"/>
      <c r="D249" s="1"/>
      <c r="E249" s="1"/>
      <c r="F249" s="1"/>
      <c r="G249" s="1"/>
      <c r="H249" s="1"/>
      <c r="I249" s="1"/>
      <c r="J249" s="1"/>
      <c r="K249" s="17"/>
      <c r="L249" s="1"/>
      <c r="M249" s="1"/>
      <c r="N249" s="2"/>
      <c r="O249" s="2"/>
      <c r="P249" s="1"/>
      <c r="Q249" s="1"/>
      <c r="R249" s="1"/>
      <c r="S249" s="1"/>
      <c r="T249" s="17"/>
      <c r="U249" s="17"/>
      <c r="V249" s="17"/>
      <c r="W249" s="17"/>
      <c r="X249" s="22"/>
      <c r="Y249" s="22"/>
      <c r="Z249" s="22"/>
      <c r="AA249" s="22"/>
      <c r="AB249" s="22"/>
      <c r="AC249" s="22"/>
      <c r="AD249" s="22"/>
      <c r="AE249" s="22"/>
      <c r="AF249" s="22"/>
      <c r="AG249" s="22"/>
      <c r="AH249" s="22"/>
      <c r="AI249" s="22"/>
      <c r="AJ249" s="17"/>
      <c r="AK249" s="22"/>
      <c r="AL249" s="22"/>
      <c r="AM249" s="22"/>
      <c r="AN249" s="22"/>
      <c r="AO249" s="17"/>
      <c r="AP249" s="17"/>
      <c r="AQ249" s="17"/>
      <c r="AR249" s="1"/>
      <c r="AS249" s="1"/>
      <c r="AT249" s="17"/>
      <c r="AU249" s="1"/>
      <c r="AV249" s="1"/>
      <c r="AW249" s="1"/>
      <c r="AX249" s="2"/>
      <c r="AY249" s="2"/>
      <c r="AZ249" s="1"/>
    </row>
    <row x14ac:dyDescent="0.25" r="250" customHeight="1" ht="24.75">
      <c r="A250" s="1"/>
      <c r="B250" s="1"/>
      <c r="C250" s="1"/>
      <c r="D250" s="1"/>
      <c r="E250" s="1"/>
      <c r="F250" s="1"/>
      <c r="G250" s="1"/>
      <c r="H250" s="1"/>
      <c r="I250" s="1"/>
      <c r="J250" s="1"/>
      <c r="K250" s="17"/>
      <c r="L250" s="1"/>
      <c r="M250" s="1"/>
      <c r="N250" s="2"/>
      <c r="O250" s="2"/>
      <c r="P250" s="1"/>
      <c r="Q250" s="1"/>
      <c r="R250" s="1"/>
      <c r="S250" s="1"/>
      <c r="T250" s="17"/>
      <c r="U250" s="17"/>
      <c r="V250" s="17"/>
      <c r="W250" s="17"/>
      <c r="X250" s="22"/>
      <c r="Y250" s="22"/>
      <c r="Z250" s="22"/>
      <c r="AA250" s="22"/>
      <c r="AB250" s="22"/>
      <c r="AC250" s="22"/>
      <c r="AD250" s="22"/>
      <c r="AE250" s="22"/>
      <c r="AF250" s="22"/>
      <c r="AG250" s="22"/>
      <c r="AH250" s="22"/>
      <c r="AI250" s="22"/>
      <c r="AJ250" s="17"/>
      <c r="AK250" s="22"/>
      <c r="AL250" s="22"/>
      <c r="AM250" s="22"/>
      <c r="AN250" s="22"/>
      <c r="AO250" s="17"/>
      <c r="AP250" s="17"/>
      <c r="AQ250" s="17"/>
      <c r="AR250" s="1"/>
      <c r="AS250" s="1"/>
      <c r="AT250" s="17"/>
      <c r="AU250" s="1"/>
      <c r="AV250" s="1"/>
      <c r="AW250" s="1"/>
      <c r="AX250" s="2"/>
      <c r="AY250" s="2"/>
      <c r="AZ250" s="1"/>
    </row>
    <row x14ac:dyDescent="0.25" r="251" customHeight="1" ht="24.75">
      <c r="A251" s="1"/>
      <c r="B251" s="1"/>
      <c r="C251" s="1"/>
      <c r="D251" s="1"/>
      <c r="E251" s="1"/>
      <c r="F251" s="1"/>
      <c r="G251" s="1"/>
      <c r="H251" s="1"/>
      <c r="I251" s="1"/>
      <c r="J251" s="1"/>
      <c r="K251" s="17"/>
      <c r="L251" s="1"/>
      <c r="M251" s="1"/>
      <c r="N251" s="2"/>
      <c r="O251" s="2"/>
      <c r="P251" s="1"/>
      <c r="Q251" s="1"/>
      <c r="R251" s="1"/>
      <c r="S251" s="1"/>
      <c r="T251" s="17"/>
      <c r="U251" s="17"/>
      <c r="V251" s="17"/>
      <c r="W251" s="17"/>
      <c r="X251" s="22"/>
      <c r="Y251" s="22"/>
      <c r="Z251" s="22"/>
      <c r="AA251" s="22"/>
      <c r="AB251" s="22"/>
      <c r="AC251" s="22"/>
      <c r="AD251" s="22"/>
      <c r="AE251" s="22"/>
      <c r="AF251" s="22"/>
      <c r="AG251" s="22"/>
      <c r="AH251" s="22"/>
      <c r="AI251" s="22"/>
      <c r="AJ251" s="17"/>
      <c r="AK251" s="22"/>
      <c r="AL251" s="22"/>
      <c r="AM251" s="22"/>
      <c r="AN251" s="22"/>
      <c r="AO251" s="17"/>
      <c r="AP251" s="17"/>
      <c r="AQ251" s="17"/>
      <c r="AR251" s="1"/>
      <c r="AS251" s="1"/>
      <c r="AT251" s="17"/>
      <c r="AU251" s="1"/>
      <c r="AV251" s="1"/>
      <c r="AW251" s="1"/>
      <c r="AX251" s="2"/>
      <c r="AY251" s="2"/>
      <c r="AZ251" s="1"/>
    </row>
    <row x14ac:dyDescent="0.25" r="252" customHeight="1" ht="24.75">
      <c r="A252" s="1"/>
      <c r="B252" s="1"/>
      <c r="C252" s="1"/>
      <c r="D252" s="1"/>
      <c r="E252" s="1"/>
      <c r="F252" s="1"/>
      <c r="G252" s="1"/>
      <c r="H252" s="1"/>
      <c r="I252" s="1"/>
      <c r="J252" s="1"/>
      <c r="K252" s="17"/>
      <c r="L252" s="1"/>
      <c r="M252" s="1"/>
      <c r="N252" s="2"/>
      <c r="O252" s="2"/>
      <c r="P252" s="1"/>
      <c r="Q252" s="1"/>
      <c r="R252" s="1"/>
      <c r="S252" s="1"/>
      <c r="T252" s="17"/>
      <c r="U252" s="17"/>
      <c r="V252" s="17"/>
      <c r="W252" s="17"/>
      <c r="X252" s="22"/>
      <c r="Y252" s="22"/>
      <c r="Z252" s="22"/>
      <c r="AA252" s="22"/>
      <c r="AB252" s="22"/>
      <c r="AC252" s="22"/>
      <c r="AD252" s="22"/>
      <c r="AE252" s="22"/>
      <c r="AF252" s="22"/>
      <c r="AG252" s="22"/>
      <c r="AH252" s="22"/>
      <c r="AI252" s="22"/>
      <c r="AJ252" s="17"/>
      <c r="AK252" s="22"/>
      <c r="AL252" s="22"/>
      <c r="AM252" s="22"/>
      <c r="AN252" s="22"/>
      <c r="AO252" s="17"/>
      <c r="AP252" s="17"/>
      <c r="AQ252" s="17"/>
      <c r="AR252" s="1"/>
      <c r="AS252" s="1"/>
      <c r="AT252" s="17"/>
      <c r="AU252" s="1"/>
      <c r="AV252" s="1"/>
      <c r="AW252" s="1"/>
      <c r="AX252" s="2"/>
      <c r="AY252" s="2"/>
      <c r="AZ252" s="1"/>
    </row>
    <row x14ac:dyDescent="0.25" r="253" customHeight="1" ht="24.75">
      <c r="A253" s="1"/>
      <c r="B253" s="1"/>
      <c r="C253" s="1"/>
      <c r="D253" s="1"/>
      <c r="E253" s="1"/>
      <c r="F253" s="1"/>
      <c r="G253" s="1"/>
      <c r="H253" s="1"/>
      <c r="I253" s="1"/>
      <c r="J253" s="1"/>
      <c r="K253" s="17"/>
      <c r="L253" s="1"/>
      <c r="M253" s="1"/>
      <c r="N253" s="2"/>
      <c r="O253" s="2"/>
      <c r="P253" s="1"/>
      <c r="Q253" s="1"/>
      <c r="R253" s="1"/>
      <c r="S253" s="1"/>
      <c r="T253" s="17"/>
      <c r="U253" s="17"/>
      <c r="V253" s="17"/>
      <c r="W253" s="17"/>
      <c r="X253" s="22"/>
      <c r="Y253" s="22"/>
      <c r="Z253" s="22"/>
      <c r="AA253" s="22"/>
      <c r="AB253" s="22"/>
      <c r="AC253" s="22"/>
      <c r="AD253" s="22"/>
      <c r="AE253" s="22"/>
      <c r="AF253" s="22"/>
      <c r="AG253" s="22"/>
      <c r="AH253" s="22"/>
      <c r="AI253" s="22"/>
      <c r="AJ253" s="17"/>
      <c r="AK253" s="22"/>
      <c r="AL253" s="22"/>
      <c r="AM253" s="22"/>
      <c r="AN253" s="22"/>
      <c r="AO253" s="17"/>
      <c r="AP253" s="17"/>
      <c r="AQ253" s="17"/>
      <c r="AR253" s="1"/>
      <c r="AS253" s="1"/>
      <c r="AT253" s="17"/>
      <c r="AU253" s="1"/>
      <c r="AV253" s="1"/>
      <c r="AW253" s="1"/>
      <c r="AX253" s="2"/>
      <c r="AY253" s="2"/>
      <c r="AZ253" s="1"/>
    </row>
    <row x14ac:dyDescent="0.25" r="254" customHeight="1" ht="24.75">
      <c r="A254" s="1"/>
      <c r="B254" s="1"/>
      <c r="C254" s="1"/>
      <c r="D254" s="1"/>
      <c r="E254" s="1"/>
      <c r="F254" s="1"/>
      <c r="G254" s="1"/>
      <c r="H254" s="1"/>
      <c r="I254" s="1"/>
      <c r="J254" s="1"/>
      <c r="K254" s="17"/>
      <c r="L254" s="1"/>
      <c r="M254" s="1"/>
      <c r="N254" s="2"/>
      <c r="O254" s="2"/>
      <c r="P254" s="1"/>
      <c r="Q254" s="1"/>
      <c r="R254" s="1"/>
      <c r="S254" s="1"/>
      <c r="T254" s="17"/>
      <c r="U254" s="17"/>
      <c r="V254" s="17"/>
      <c r="W254" s="17"/>
      <c r="X254" s="22"/>
      <c r="Y254" s="22"/>
      <c r="Z254" s="22"/>
      <c r="AA254" s="22"/>
      <c r="AB254" s="22"/>
      <c r="AC254" s="22"/>
      <c r="AD254" s="22"/>
      <c r="AE254" s="22"/>
      <c r="AF254" s="22"/>
      <c r="AG254" s="22"/>
      <c r="AH254" s="22"/>
      <c r="AI254" s="22"/>
      <c r="AJ254" s="17"/>
      <c r="AK254" s="22"/>
      <c r="AL254" s="22"/>
      <c r="AM254" s="22"/>
      <c r="AN254" s="22"/>
      <c r="AO254" s="17"/>
      <c r="AP254" s="17"/>
      <c r="AQ254" s="17"/>
      <c r="AR254" s="1"/>
      <c r="AS254" s="1"/>
      <c r="AT254" s="17"/>
      <c r="AU254" s="1"/>
      <c r="AV254" s="1"/>
      <c r="AW254" s="1"/>
      <c r="AX254" s="2"/>
      <c r="AY254" s="2"/>
      <c r="AZ254" s="1"/>
    </row>
    <row x14ac:dyDescent="0.25" r="255" customHeight="1" ht="24.75">
      <c r="A255" s="1"/>
      <c r="B255" s="1"/>
      <c r="C255" s="1"/>
      <c r="D255" s="1"/>
      <c r="E255" s="1"/>
      <c r="F255" s="1"/>
      <c r="G255" s="1"/>
      <c r="H255" s="1"/>
      <c r="I255" s="1"/>
      <c r="J255" s="1"/>
      <c r="K255" s="17"/>
      <c r="L255" s="1"/>
      <c r="M255" s="1"/>
      <c r="N255" s="2"/>
      <c r="O255" s="2"/>
      <c r="P255" s="1"/>
      <c r="Q255" s="1"/>
      <c r="R255" s="1"/>
      <c r="S255" s="1"/>
      <c r="T255" s="17"/>
      <c r="U255" s="17"/>
      <c r="V255" s="17"/>
      <c r="W255" s="17"/>
      <c r="X255" s="22"/>
      <c r="Y255" s="22"/>
      <c r="Z255" s="22"/>
      <c r="AA255" s="22"/>
      <c r="AB255" s="22"/>
      <c r="AC255" s="22"/>
      <c r="AD255" s="22"/>
      <c r="AE255" s="22"/>
      <c r="AF255" s="22"/>
      <c r="AG255" s="22"/>
      <c r="AH255" s="22"/>
      <c r="AI255" s="22"/>
      <c r="AJ255" s="17"/>
      <c r="AK255" s="22"/>
      <c r="AL255" s="22"/>
      <c r="AM255" s="22"/>
      <c r="AN255" s="22"/>
      <c r="AO255" s="17"/>
      <c r="AP255" s="17"/>
      <c r="AQ255" s="17"/>
      <c r="AR255" s="1"/>
      <c r="AS255" s="1"/>
      <c r="AT255" s="17"/>
      <c r="AU255" s="1"/>
      <c r="AV255" s="1"/>
      <c r="AW255" s="1"/>
      <c r="AX255" s="2"/>
      <c r="AY255" s="2"/>
      <c r="AZ255" s="1"/>
    </row>
    <row x14ac:dyDescent="0.25" r="256" customHeight="1" ht="24.75">
      <c r="A256" s="1"/>
      <c r="B256" s="1"/>
      <c r="C256" s="1"/>
      <c r="D256" s="1"/>
      <c r="E256" s="1"/>
      <c r="F256" s="1"/>
      <c r="G256" s="1"/>
      <c r="H256" s="1"/>
      <c r="I256" s="1"/>
      <c r="J256" s="1"/>
      <c r="K256" s="17"/>
      <c r="L256" s="1"/>
      <c r="M256" s="1"/>
      <c r="N256" s="2"/>
      <c r="O256" s="2"/>
      <c r="P256" s="1"/>
      <c r="Q256" s="1"/>
      <c r="R256" s="1"/>
      <c r="S256" s="1"/>
      <c r="T256" s="17"/>
      <c r="U256" s="17"/>
      <c r="V256" s="17"/>
      <c r="W256" s="17"/>
      <c r="X256" s="22"/>
      <c r="Y256" s="22"/>
      <c r="Z256" s="22"/>
      <c r="AA256" s="22"/>
      <c r="AB256" s="22"/>
      <c r="AC256" s="22"/>
      <c r="AD256" s="22"/>
      <c r="AE256" s="22"/>
      <c r="AF256" s="22"/>
      <c r="AG256" s="22"/>
      <c r="AH256" s="22"/>
      <c r="AI256" s="22"/>
      <c r="AJ256" s="17"/>
      <c r="AK256" s="22"/>
      <c r="AL256" s="22"/>
      <c r="AM256" s="22"/>
      <c r="AN256" s="22"/>
      <c r="AO256" s="17"/>
      <c r="AP256" s="17"/>
      <c r="AQ256" s="17"/>
      <c r="AR256" s="1"/>
      <c r="AS256" s="1"/>
      <c r="AT256" s="17"/>
      <c r="AU256" s="1"/>
      <c r="AV256" s="1"/>
      <c r="AW256" s="1"/>
      <c r="AX256" s="2"/>
      <c r="AY256" s="2"/>
      <c r="AZ256" s="1"/>
    </row>
    <row x14ac:dyDescent="0.25" r="257" customHeight="1" ht="24.75">
      <c r="A257" s="1"/>
      <c r="B257" s="1"/>
      <c r="C257" s="1"/>
      <c r="D257" s="1"/>
      <c r="E257" s="1"/>
      <c r="F257" s="1"/>
      <c r="G257" s="1"/>
      <c r="H257" s="1"/>
      <c r="I257" s="1"/>
      <c r="J257" s="1"/>
      <c r="K257" s="17"/>
      <c r="L257" s="1"/>
      <c r="M257" s="1"/>
      <c r="N257" s="2"/>
      <c r="O257" s="2"/>
      <c r="P257" s="1"/>
      <c r="Q257" s="1"/>
      <c r="R257" s="1"/>
      <c r="S257" s="1"/>
      <c r="T257" s="17"/>
      <c r="U257" s="17"/>
      <c r="V257" s="17"/>
      <c r="W257" s="17"/>
      <c r="X257" s="22"/>
      <c r="Y257" s="22"/>
      <c r="Z257" s="22"/>
      <c r="AA257" s="22"/>
      <c r="AB257" s="22"/>
      <c r="AC257" s="22"/>
      <c r="AD257" s="22"/>
      <c r="AE257" s="22"/>
      <c r="AF257" s="22"/>
      <c r="AG257" s="22"/>
      <c r="AH257" s="22"/>
      <c r="AI257" s="22"/>
      <c r="AJ257" s="17"/>
      <c r="AK257" s="22"/>
      <c r="AL257" s="22"/>
      <c r="AM257" s="22"/>
      <c r="AN257" s="22"/>
      <c r="AO257" s="17"/>
      <c r="AP257" s="17"/>
      <c r="AQ257" s="17"/>
      <c r="AR257" s="1"/>
      <c r="AS257" s="1"/>
      <c r="AT257" s="17"/>
      <c r="AU257" s="1"/>
      <c r="AV257" s="1"/>
      <c r="AW257" s="1"/>
      <c r="AX257" s="2"/>
      <c r="AY257" s="2"/>
      <c r="AZ257" s="1"/>
    </row>
    <row x14ac:dyDescent="0.25" r="258" customHeight="1" ht="24.75">
      <c r="A258" s="1"/>
      <c r="B258" s="1"/>
      <c r="C258" s="1"/>
      <c r="D258" s="1"/>
      <c r="E258" s="1"/>
      <c r="F258" s="1"/>
      <c r="G258" s="1"/>
      <c r="H258" s="1"/>
      <c r="I258" s="1"/>
      <c r="J258" s="1"/>
      <c r="K258" s="17"/>
      <c r="L258" s="1"/>
      <c r="M258" s="1"/>
      <c r="N258" s="2"/>
      <c r="O258" s="2"/>
      <c r="P258" s="1"/>
      <c r="Q258" s="1"/>
      <c r="R258" s="1"/>
      <c r="S258" s="1"/>
      <c r="T258" s="17"/>
      <c r="U258" s="17"/>
      <c r="V258" s="17"/>
      <c r="W258" s="17"/>
      <c r="X258" s="22"/>
      <c r="Y258" s="22"/>
      <c r="Z258" s="22"/>
      <c r="AA258" s="22"/>
      <c r="AB258" s="22"/>
      <c r="AC258" s="22"/>
      <c r="AD258" s="22"/>
      <c r="AE258" s="22"/>
      <c r="AF258" s="22"/>
      <c r="AG258" s="22"/>
      <c r="AH258" s="22"/>
      <c r="AI258" s="22"/>
      <c r="AJ258" s="17"/>
      <c r="AK258" s="22"/>
      <c r="AL258" s="22"/>
      <c r="AM258" s="22"/>
      <c r="AN258" s="22"/>
      <c r="AO258" s="17"/>
      <c r="AP258" s="17"/>
      <c r="AQ258" s="17"/>
      <c r="AR258" s="1"/>
      <c r="AS258" s="1"/>
      <c r="AT258" s="17"/>
      <c r="AU258" s="1"/>
      <c r="AV258" s="1"/>
      <c r="AW258" s="1"/>
      <c r="AX258" s="2"/>
      <c r="AY258" s="2"/>
      <c r="AZ258" s="1"/>
    </row>
    <row x14ac:dyDescent="0.25" r="259" customHeight="1" ht="24.75">
      <c r="A259" s="1"/>
      <c r="B259" s="1"/>
      <c r="C259" s="1"/>
      <c r="D259" s="1"/>
      <c r="E259" s="1"/>
      <c r="F259" s="1"/>
      <c r="G259" s="1"/>
      <c r="H259" s="1"/>
      <c r="I259" s="1"/>
      <c r="J259" s="1"/>
      <c r="K259" s="17"/>
      <c r="L259" s="1"/>
      <c r="M259" s="1"/>
      <c r="N259" s="2"/>
      <c r="O259" s="2"/>
      <c r="P259" s="1"/>
      <c r="Q259" s="1"/>
      <c r="R259" s="1"/>
      <c r="S259" s="1"/>
      <c r="T259" s="17"/>
      <c r="U259" s="17"/>
      <c r="V259" s="17"/>
      <c r="W259" s="17"/>
      <c r="X259" s="22"/>
      <c r="Y259" s="22"/>
      <c r="Z259" s="22"/>
      <c r="AA259" s="22"/>
      <c r="AB259" s="22"/>
      <c r="AC259" s="22"/>
      <c r="AD259" s="22"/>
      <c r="AE259" s="22"/>
      <c r="AF259" s="22"/>
      <c r="AG259" s="22"/>
      <c r="AH259" s="22"/>
      <c r="AI259" s="22"/>
      <c r="AJ259" s="17"/>
      <c r="AK259" s="22"/>
      <c r="AL259" s="22"/>
      <c r="AM259" s="22"/>
      <c r="AN259" s="22"/>
      <c r="AO259" s="17"/>
      <c r="AP259" s="17"/>
      <c r="AQ259" s="17"/>
      <c r="AR259" s="1"/>
      <c r="AS259" s="1"/>
      <c r="AT259" s="17"/>
      <c r="AU259" s="1"/>
      <c r="AV259" s="1"/>
      <c r="AW259" s="1"/>
      <c r="AX259" s="2"/>
      <c r="AY259" s="2"/>
      <c r="AZ259" s="1"/>
    </row>
    <row x14ac:dyDescent="0.25" r="260" customHeight="1" ht="24.75">
      <c r="A260" s="1"/>
      <c r="B260" s="1"/>
      <c r="C260" s="1"/>
      <c r="D260" s="1"/>
      <c r="E260" s="1"/>
      <c r="F260" s="1"/>
      <c r="G260" s="1"/>
      <c r="H260" s="1"/>
      <c r="I260" s="1"/>
      <c r="J260" s="1"/>
      <c r="K260" s="17"/>
      <c r="L260" s="1"/>
      <c r="M260" s="1"/>
      <c r="N260" s="2"/>
      <c r="O260" s="2"/>
      <c r="P260" s="1"/>
      <c r="Q260" s="1"/>
      <c r="R260" s="1"/>
      <c r="S260" s="1"/>
      <c r="T260" s="17"/>
      <c r="U260" s="17"/>
      <c r="V260" s="17"/>
      <c r="W260" s="17"/>
      <c r="X260" s="22"/>
      <c r="Y260" s="22"/>
      <c r="Z260" s="22"/>
      <c r="AA260" s="22"/>
      <c r="AB260" s="22"/>
      <c r="AC260" s="22"/>
      <c r="AD260" s="22"/>
      <c r="AE260" s="22"/>
      <c r="AF260" s="22"/>
      <c r="AG260" s="22"/>
      <c r="AH260" s="22"/>
      <c r="AI260" s="22"/>
      <c r="AJ260" s="17"/>
      <c r="AK260" s="22"/>
      <c r="AL260" s="22"/>
      <c r="AM260" s="22"/>
      <c r="AN260" s="22"/>
      <c r="AO260" s="17"/>
      <c r="AP260" s="17"/>
      <c r="AQ260" s="17"/>
      <c r="AR260" s="1"/>
      <c r="AS260" s="1"/>
      <c r="AT260" s="17"/>
      <c r="AU260" s="1"/>
      <c r="AV260" s="1"/>
      <c r="AW260" s="1"/>
      <c r="AX260" s="2"/>
      <c r="AY260" s="2"/>
      <c r="AZ260" s="1"/>
    </row>
    <row x14ac:dyDescent="0.25" r="261" customHeight="1" ht="24.75">
      <c r="A261" s="1"/>
      <c r="B261" s="1"/>
      <c r="C261" s="1"/>
      <c r="D261" s="1"/>
      <c r="E261" s="1"/>
      <c r="F261" s="1"/>
      <c r="G261" s="1"/>
      <c r="H261" s="1"/>
      <c r="I261" s="1"/>
      <c r="J261" s="1"/>
      <c r="K261" s="17"/>
      <c r="L261" s="1"/>
      <c r="M261" s="1"/>
      <c r="N261" s="2"/>
      <c r="O261" s="2"/>
      <c r="P261" s="1"/>
      <c r="Q261" s="1"/>
      <c r="R261" s="1"/>
      <c r="S261" s="1"/>
      <c r="T261" s="17"/>
      <c r="U261" s="17"/>
      <c r="V261" s="17"/>
      <c r="W261" s="17"/>
      <c r="X261" s="22"/>
      <c r="Y261" s="22"/>
      <c r="Z261" s="22"/>
      <c r="AA261" s="22"/>
      <c r="AB261" s="22"/>
      <c r="AC261" s="22"/>
      <c r="AD261" s="22"/>
      <c r="AE261" s="22"/>
      <c r="AF261" s="22"/>
      <c r="AG261" s="22"/>
      <c r="AH261" s="22"/>
      <c r="AI261" s="22"/>
      <c r="AJ261" s="17"/>
      <c r="AK261" s="22"/>
      <c r="AL261" s="22"/>
      <c r="AM261" s="22"/>
      <c r="AN261" s="22"/>
      <c r="AO261" s="17"/>
      <c r="AP261" s="17"/>
      <c r="AQ261" s="17"/>
      <c r="AR261" s="1"/>
      <c r="AS261" s="1"/>
      <c r="AT261" s="17"/>
      <c r="AU261" s="1"/>
      <c r="AV261" s="1"/>
      <c r="AW261" s="1"/>
      <c r="AX261" s="2"/>
      <c r="AY261" s="2"/>
      <c r="AZ261" s="1"/>
    </row>
    <row x14ac:dyDescent="0.25" r="262" customHeight="1" ht="24.75">
      <c r="A262" s="1"/>
      <c r="B262" s="1"/>
      <c r="C262" s="1"/>
      <c r="D262" s="1"/>
      <c r="E262" s="1"/>
      <c r="F262" s="1"/>
      <c r="G262" s="1"/>
      <c r="H262" s="1"/>
      <c r="I262" s="1"/>
      <c r="J262" s="1"/>
      <c r="K262" s="17"/>
      <c r="L262" s="1"/>
      <c r="M262" s="1"/>
      <c r="N262" s="2"/>
      <c r="O262" s="2"/>
      <c r="P262" s="1"/>
      <c r="Q262" s="1"/>
      <c r="R262" s="1"/>
      <c r="S262" s="1"/>
      <c r="T262" s="17"/>
      <c r="U262" s="17"/>
      <c r="V262" s="17"/>
      <c r="W262" s="17"/>
      <c r="X262" s="22"/>
      <c r="Y262" s="22"/>
      <c r="Z262" s="22"/>
      <c r="AA262" s="22"/>
      <c r="AB262" s="22"/>
      <c r="AC262" s="22"/>
      <c r="AD262" s="22"/>
      <c r="AE262" s="22"/>
      <c r="AF262" s="22"/>
      <c r="AG262" s="22"/>
      <c r="AH262" s="22"/>
      <c r="AI262" s="22"/>
      <c r="AJ262" s="17"/>
      <c r="AK262" s="22"/>
      <c r="AL262" s="22"/>
      <c r="AM262" s="22"/>
      <c r="AN262" s="22"/>
      <c r="AO262" s="17"/>
      <c r="AP262" s="17"/>
      <c r="AQ262" s="17"/>
      <c r="AR262" s="1"/>
      <c r="AS262" s="1"/>
      <c r="AT262" s="17"/>
      <c r="AU262" s="1"/>
      <c r="AV262" s="1"/>
      <c r="AW262" s="1"/>
      <c r="AX262" s="2"/>
      <c r="AY262" s="2"/>
      <c r="AZ262" s="1"/>
    </row>
    <row x14ac:dyDescent="0.25" r="263" customHeight="1" ht="24.75">
      <c r="A263" s="1"/>
      <c r="B263" s="1"/>
      <c r="C263" s="1"/>
      <c r="D263" s="1"/>
      <c r="E263" s="1"/>
      <c r="F263" s="1"/>
      <c r="G263" s="1"/>
      <c r="H263" s="1"/>
      <c r="I263" s="1"/>
      <c r="J263" s="1"/>
      <c r="K263" s="17"/>
      <c r="L263" s="1"/>
      <c r="M263" s="1"/>
      <c r="N263" s="2"/>
      <c r="O263" s="2"/>
      <c r="P263" s="1"/>
      <c r="Q263" s="1"/>
      <c r="R263" s="1"/>
      <c r="S263" s="1"/>
      <c r="T263" s="17"/>
      <c r="U263" s="17"/>
      <c r="V263" s="17"/>
      <c r="W263" s="17"/>
      <c r="X263" s="22"/>
      <c r="Y263" s="22"/>
      <c r="Z263" s="22"/>
      <c r="AA263" s="22"/>
      <c r="AB263" s="22"/>
      <c r="AC263" s="22"/>
      <c r="AD263" s="22"/>
      <c r="AE263" s="22"/>
      <c r="AF263" s="22"/>
      <c r="AG263" s="22"/>
      <c r="AH263" s="22"/>
      <c r="AI263" s="22"/>
      <c r="AJ263" s="17"/>
      <c r="AK263" s="22"/>
      <c r="AL263" s="22"/>
      <c r="AM263" s="22"/>
      <c r="AN263" s="22"/>
      <c r="AO263" s="17"/>
      <c r="AP263" s="17"/>
      <c r="AQ263" s="17"/>
      <c r="AR263" s="1"/>
      <c r="AS263" s="1"/>
      <c r="AT263" s="17"/>
      <c r="AU263" s="1"/>
      <c r="AV263" s="1"/>
      <c r="AW263" s="1"/>
      <c r="AX263" s="2"/>
      <c r="AY263" s="2"/>
      <c r="AZ263" s="1"/>
    </row>
    <row x14ac:dyDescent="0.25" r="264" customHeight="1" ht="24.75">
      <c r="A264" s="1"/>
      <c r="B264" s="1"/>
      <c r="C264" s="1"/>
      <c r="D264" s="1"/>
      <c r="E264" s="1"/>
      <c r="F264" s="1"/>
      <c r="G264" s="1"/>
      <c r="H264" s="1"/>
      <c r="I264" s="1"/>
      <c r="J264" s="1"/>
      <c r="K264" s="17"/>
      <c r="L264" s="1"/>
      <c r="M264" s="1"/>
      <c r="N264" s="2"/>
      <c r="O264" s="2"/>
      <c r="P264" s="1"/>
      <c r="Q264" s="1"/>
      <c r="R264" s="1"/>
      <c r="S264" s="1"/>
      <c r="T264" s="17"/>
      <c r="U264" s="17"/>
      <c r="V264" s="17"/>
      <c r="W264" s="17"/>
      <c r="X264" s="22"/>
      <c r="Y264" s="22"/>
      <c r="Z264" s="22"/>
      <c r="AA264" s="22"/>
      <c r="AB264" s="22"/>
      <c r="AC264" s="22"/>
      <c r="AD264" s="22"/>
      <c r="AE264" s="22"/>
      <c r="AF264" s="22"/>
      <c r="AG264" s="22"/>
      <c r="AH264" s="22"/>
      <c r="AI264" s="22"/>
      <c r="AJ264" s="17"/>
      <c r="AK264" s="22"/>
      <c r="AL264" s="22"/>
      <c r="AM264" s="22"/>
      <c r="AN264" s="22"/>
      <c r="AO264" s="17"/>
      <c r="AP264" s="17"/>
      <c r="AQ264" s="17"/>
      <c r="AR264" s="1"/>
      <c r="AS264" s="1"/>
      <c r="AT264" s="17"/>
      <c r="AU264" s="1"/>
      <c r="AV264" s="1"/>
      <c r="AW264" s="1"/>
      <c r="AX264" s="2"/>
      <c r="AY264" s="2"/>
      <c r="AZ264" s="1"/>
    </row>
    <row x14ac:dyDescent="0.25" r="265" customHeight="1" ht="15">
      <c r="A265" s="1"/>
      <c r="B265" s="1"/>
      <c r="C265" s="1"/>
      <c r="D265" s="1"/>
      <c r="E265" s="1"/>
      <c r="F265" s="1"/>
      <c r="G265" s="1"/>
      <c r="H265" s="1"/>
      <c r="I265" s="1"/>
      <c r="J265" s="1"/>
      <c r="K265" s="17"/>
      <c r="L265" s="1"/>
      <c r="M265" s="1"/>
      <c r="N265" s="2"/>
      <c r="O265" s="2"/>
      <c r="P265" s="1"/>
      <c r="Q265" s="1"/>
      <c r="R265" s="1"/>
      <c r="S265" s="1"/>
      <c r="T265" s="17"/>
      <c r="U265" s="17"/>
      <c r="V265" s="17"/>
      <c r="W265" s="17"/>
      <c r="X265" s="22"/>
      <c r="Y265" s="22"/>
      <c r="Z265" s="22"/>
      <c r="AA265" s="22"/>
      <c r="AB265" s="22"/>
      <c r="AC265" s="22"/>
      <c r="AD265" s="22"/>
      <c r="AE265" s="22"/>
      <c r="AF265" s="22"/>
      <c r="AG265" s="22"/>
      <c r="AH265" s="22"/>
      <c r="AI265" s="22"/>
      <c r="AJ265" s="17"/>
      <c r="AK265" s="22"/>
      <c r="AL265" s="22"/>
      <c r="AM265" s="22"/>
      <c r="AN265" s="22"/>
      <c r="AO265" s="17"/>
      <c r="AP265" s="17"/>
      <c r="AQ265" s="17"/>
      <c r="AR265" s="1"/>
      <c r="AS265" s="1"/>
      <c r="AT265" s="17"/>
      <c r="AU265" s="1"/>
      <c r="AV265" s="1"/>
      <c r="AW265" s="1"/>
      <c r="AX265" s="2"/>
      <c r="AY265" s="2"/>
      <c r="AZ265" s="1"/>
    </row>
    <row x14ac:dyDescent="0.25" r="266" customHeight="1" ht="15">
      <c r="A266" s="1"/>
      <c r="B266" s="1"/>
      <c r="C266" s="1"/>
      <c r="D266" s="1"/>
      <c r="E266" s="1"/>
      <c r="F266" s="1"/>
      <c r="G266" s="1"/>
      <c r="H266" s="1"/>
      <c r="I266" s="1"/>
      <c r="J266" s="1"/>
      <c r="K266" s="17"/>
      <c r="L266" s="1"/>
      <c r="M266" s="1"/>
      <c r="N266" s="2"/>
      <c r="O266" s="2"/>
      <c r="P266" s="1"/>
      <c r="Q266" s="1"/>
      <c r="R266" s="1"/>
      <c r="S266" s="1"/>
      <c r="T266" s="17"/>
      <c r="U266" s="17"/>
      <c r="V266" s="17"/>
      <c r="W266" s="17"/>
      <c r="X266" s="22"/>
      <c r="Y266" s="22"/>
      <c r="Z266" s="22"/>
      <c r="AA266" s="22"/>
      <c r="AB266" s="22"/>
      <c r="AC266" s="22"/>
      <c r="AD266" s="22"/>
      <c r="AE266" s="22"/>
      <c r="AF266" s="22"/>
      <c r="AG266" s="22"/>
      <c r="AH266" s="22"/>
      <c r="AI266" s="22"/>
      <c r="AJ266" s="17"/>
      <c r="AK266" s="22"/>
      <c r="AL266" s="22"/>
      <c r="AM266" s="22"/>
      <c r="AN266" s="22"/>
      <c r="AO266" s="17"/>
      <c r="AP266" s="17"/>
      <c r="AQ266" s="17"/>
      <c r="AR266" s="1"/>
      <c r="AS266" s="1"/>
      <c r="AT266" s="17"/>
      <c r="AU266" s="1"/>
      <c r="AV266" s="1"/>
      <c r="AW266" s="1"/>
      <c r="AX266" s="2"/>
      <c r="AY266" s="2"/>
      <c r="AZ266" s="1"/>
    </row>
    <row x14ac:dyDescent="0.25" r="267" customHeight="1" ht="15">
      <c r="A267" s="1"/>
      <c r="B267" s="1"/>
      <c r="C267" s="1"/>
      <c r="D267" s="1"/>
      <c r="E267" s="1"/>
      <c r="F267" s="1"/>
      <c r="G267" s="1"/>
      <c r="H267" s="1"/>
      <c r="I267" s="1"/>
      <c r="J267" s="1"/>
      <c r="K267" s="17"/>
      <c r="L267" s="1"/>
      <c r="M267" s="1"/>
      <c r="N267" s="2"/>
      <c r="O267" s="2"/>
      <c r="P267" s="1"/>
      <c r="Q267" s="1"/>
      <c r="R267" s="1"/>
      <c r="S267" s="1"/>
      <c r="T267" s="17"/>
      <c r="U267" s="17"/>
      <c r="V267" s="17"/>
      <c r="W267" s="17"/>
      <c r="X267" s="22"/>
      <c r="Y267" s="22"/>
      <c r="Z267" s="22"/>
      <c r="AA267" s="22"/>
      <c r="AB267" s="22"/>
      <c r="AC267" s="22"/>
      <c r="AD267" s="22"/>
      <c r="AE267" s="22"/>
      <c r="AF267" s="22"/>
      <c r="AG267" s="22"/>
      <c r="AH267" s="22"/>
      <c r="AI267" s="22"/>
      <c r="AJ267" s="17"/>
      <c r="AK267" s="22"/>
      <c r="AL267" s="22"/>
      <c r="AM267" s="22"/>
      <c r="AN267" s="22"/>
      <c r="AO267" s="17"/>
      <c r="AP267" s="17"/>
      <c r="AQ267" s="17"/>
      <c r="AR267" s="1"/>
      <c r="AS267" s="1"/>
      <c r="AT267" s="17"/>
      <c r="AU267" s="1"/>
      <c r="AV267" s="1"/>
      <c r="AW267" s="1"/>
      <c r="AX267" s="2"/>
      <c r="AY267" s="2"/>
      <c r="AZ267" s="1"/>
    </row>
    <row x14ac:dyDescent="0.25" r="268" customHeight="1" ht="15">
      <c r="A268" s="1"/>
      <c r="B268" s="1"/>
      <c r="C268" s="1"/>
      <c r="D268" s="1"/>
      <c r="E268" s="1"/>
      <c r="F268" s="1"/>
      <c r="G268" s="1"/>
      <c r="H268" s="1"/>
      <c r="I268" s="1"/>
      <c r="J268" s="1"/>
      <c r="K268" s="17"/>
      <c r="L268" s="1"/>
      <c r="M268" s="1"/>
      <c r="N268" s="2"/>
      <c r="O268" s="2"/>
      <c r="P268" s="1"/>
      <c r="Q268" s="1"/>
      <c r="R268" s="1"/>
      <c r="S268" s="1"/>
      <c r="T268" s="17"/>
      <c r="U268" s="17"/>
      <c r="V268" s="17"/>
      <c r="W268" s="17"/>
      <c r="X268" s="22"/>
      <c r="Y268" s="22"/>
      <c r="Z268" s="22"/>
      <c r="AA268" s="22"/>
      <c r="AB268" s="22"/>
      <c r="AC268" s="22"/>
      <c r="AD268" s="22"/>
      <c r="AE268" s="22"/>
      <c r="AF268" s="22"/>
      <c r="AG268" s="22"/>
      <c r="AH268" s="22"/>
      <c r="AI268" s="22"/>
      <c r="AJ268" s="17"/>
      <c r="AK268" s="22"/>
      <c r="AL268" s="22"/>
      <c r="AM268" s="22"/>
      <c r="AN268" s="22"/>
      <c r="AO268" s="17"/>
      <c r="AP268" s="17"/>
      <c r="AQ268" s="17"/>
      <c r="AR268" s="1"/>
      <c r="AS268" s="1"/>
      <c r="AT268" s="17"/>
      <c r="AU268" s="1"/>
      <c r="AV268" s="1"/>
      <c r="AW268" s="1"/>
      <c r="AX268" s="2"/>
      <c r="AY268" s="2"/>
      <c r="AZ268" s="1"/>
    </row>
    <row x14ac:dyDescent="0.25" r="269" customHeight="1" ht="15">
      <c r="A269" s="1"/>
      <c r="B269" s="1"/>
      <c r="C269" s="1"/>
      <c r="D269" s="1"/>
      <c r="E269" s="1"/>
      <c r="F269" s="1"/>
      <c r="G269" s="1"/>
      <c r="H269" s="1"/>
      <c r="I269" s="1"/>
      <c r="J269" s="1"/>
      <c r="K269" s="17"/>
      <c r="L269" s="1"/>
      <c r="M269" s="1"/>
      <c r="N269" s="2"/>
      <c r="O269" s="2"/>
      <c r="P269" s="1"/>
      <c r="Q269" s="1"/>
      <c r="R269" s="1"/>
      <c r="S269" s="1"/>
      <c r="T269" s="17"/>
      <c r="U269" s="17"/>
      <c r="V269" s="17"/>
      <c r="W269" s="17"/>
      <c r="X269" s="22"/>
      <c r="Y269" s="22"/>
      <c r="Z269" s="22"/>
      <c r="AA269" s="22"/>
      <c r="AB269" s="22"/>
      <c r="AC269" s="22"/>
      <c r="AD269" s="22"/>
      <c r="AE269" s="22"/>
      <c r="AF269" s="22"/>
      <c r="AG269" s="22"/>
      <c r="AH269" s="22"/>
      <c r="AI269" s="22"/>
      <c r="AJ269" s="17"/>
      <c r="AK269" s="22"/>
      <c r="AL269" s="22"/>
      <c r="AM269" s="22"/>
      <c r="AN269" s="22"/>
      <c r="AO269" s="17"/>
      <c r="AP269" s="17"/>
      <c r="AQ269" s="17"/>
      <c r="AR269" s="1"/>
      <c r="AS269" s="1"/>
      <c r="AT269" s="17"/>
      <c r="AU269" s="1"/>
      <c r="AV269" s="1"/>
      <c r="AW269" s="1"/>
      <c r="AX269" s="2"/>
      <c r="AY269" s="2"/>
      <c r="AZ269" s="1"/>
    </row>
    <row x14ac:dyDescent="0.25" r="270" customHeight="1" ht="15">
      <c r="A270" s="1"/>
      <c r="B270" s="1"/>
      <c r="C270" s="1"/>
      <c r="D270" s="1"/>
      <c r="E270" s="1"/>
      <c r="F270" s="1"/>
      <c r="G270" s="1"/>
      <c r="H270" s="1"/>
      <c r="I270" s="1"/>
      <c r="J270" s="1"/>
      <c r="K270" s="17"/>
      <c r="L270" s="1"/>
      <c r="M270" s="1"/>
      <c r="N270" s="2"/>
      <c r="O270" s="2"/>
      <c r="P270" s="1"/>
      <c r="Q270" s="1"/>
      <c r="R270" s="1"/>
      <c r="S270" s="1"/>
      <c r="T270" s="17"/>
      <c r="U270" s="17"/>
      <c r="V270" s="17"/>
      <c r="W270" s="17"/>
      <c r="X270" s="22"/>
      <c r="Y270" s="22"/>
      <c r="Z270" s="22"/>
      <c r="AA270" s="22"/>
      <c r="AB270" s="22"/>
      <c r="AC270" s="22"/>
      <c r="AD270" s="22"/>
      <c r="AE270" s="22"/>
      <c r="AF270" s="22"/>
      <c r="AG270" s="22"/>
      <c r="AH270" s="22"/>
      <c r="AI270" s="22"/>
      <c r="AJ270" s="17"/>
      <c r="AK270" s="22"/>
      <c r="AL270" s="22"/>
      <c r="AM270" s="22"/>
      <c r="AN270" s="22"/>
      <c r="AO270" s="17"/>
      <c r="AP270" s="17"/>
      <c r="AQ270" s="17"/>
      <c r="AR270" s="1"/>
      <c r="AS270" s="1"/>
      <c r="AT270" s="17"/>
      <c r="AU270" s="1"/>
      <c r="AV270" s="1"/>
      <c r="AW270" s="1"/>
      <c r="AX270" s="2"/>
      <c r="AY270" s="2"/>
      <c r="AZ270" s="1"/>
    </row>
    <row x14ac:dyDescent="0.25" r="271" customHeight="1" ht="15">
      <c r="A271" s="1"/>
      <c r="B271" s="1"/>
      <c r="C271" s="1"/>
      <c r="D271" s="1"/>
      <c r="E271" s="1"/>
      <c r="F271" s="1"/>
      <c r="G271" s="1"/>
      <c r="H271" s="1"/>
      <c r="I271" s="1"/>
      <c r="J271" s="1"/>
      <c r="K271" s="17"/>
      <c r="L271" s="1"/>
      <c r="M271" s="1"/>
      <c r="N271" s="2"/>
      <c r="O271" s="2"/>
      <c r="P271" s="1"/>
      <c r="Q271" s="1"/>
      <c r="R271" s="1"/>
      <c r="S271" s="1"/>
      <c r="T271" s="17"/>
      <c r="U271" s="17"/>
      <c r="V271" s="17"/>
      <c r="W271" s="17"/>
      <c r="X271" s="22"/>
      <c r="Y271" s="22"/>
      <c r="Z271" s="22"/>
      <c r="AA271" s="22"/>
      <c r="AB271" s="22"/>
      <c r="AC271" s="22"/>
      <c r="AD271" s="22"/>
      <c r="AE271" s="22"/>
      <c r="AF271" s="22"/>
      <c r="AG271" s="22"/>
      <c r="AH271" s="22"/>
      <c r="AI271" s="22"/>
      <c r="AJ271" s="17"/>
      <c r="AK271" s="22"/>
      <c r="AL271" s="22"/>
      <c r="AM271" s="22"/>
      <c r="AN271" s="22"/>
      <c r="AO271" s="17"/>
      <c r="AP271" s="17"/>
      <c r="AQ271" s="17"/>
      <c r="AR271" s="1"/>
      <c r="AS271" s="1"/>
      <c r="AT271" s="17"/>
      <c r="AU271" s="1"/>
      <c r="AV271" s="1"/>
      <c r="AW271" s="1"/>
      <c r="AX271" s="2"/>
      <c r="AY271" s="2"/>
      <c r="AZ271" s="1"/>
    </row>
    <row x14ac:dyDescent="0.25" r="272" customHeight="1" ht="15">
      <c r="A272" s="1"/>
      <c r="B272" s="1"/>
      <c r="C272" s="1"/>
      <c r="D272" s="1"/>
      <c r="E272" s="1"/>
      <c r="F272" s="1"/>
      <c r="G272" s="1"/>
      <c r="H272" s="1"/>
      <c r="I272" s="1"/>
      <c r="J272" s="1"/>
      <c r="K272" s="17"/>
      <c r="L272" s="1"/>
      <c r="M272" s="1"/>
      <c r="N272" s="2"/>
      <c r="O272" s="2"/>
      <c r="P272" s="1"/>
      <c r="Q272" s="1"/>
      <c r="R272" s="1"/>
      <c r="S272" s="1"/>
      <c r="T272" s="17"/>
      <c r="U272" s="17"/>
      <c r="V272" s="17"/>
      <c r="W272" s="17"/>
      <c r="X272" s="22"/>
      <c r="Y272" s="22"/>
      <c r="Z272" s="22"/>
      <c r="AA272" s="22"/>
      <c r="AB272" s="22"/>
      <c r="AC272" s="22"/>
      <c r="AD272" s="22"/>
      <c r="AE272" s="22"/>
      <c r="AF272" s="22"/>
      <c r="AG272" s="22"/>
      <c r="AH272" s="22"/>
      <c r="AI272" s="22"/>
      <c r="AJ272" s="17"/>
      <c r="AK272" s="22"/>
      <c r="AL272" s="22"/>
      <c r="AM272" s="22"/>
      <c r="AN272" s="22"/>
      <c r="AO272" s="17"/>
      <c r="AP272" s="17"/>
      <c r="AQ272" s="17"/>
      <c r="AR272" s="1"/>
      <c r="AS272" s="1"/>
      <c r="AT272" s="17"/>
      <c r="AU272" s="1"/>
      <c r="AV272" s="1"/>
      <c r="AW272" s="1"/>
      <c r="AX272" s="2"/>
      <c r="AY272" s="2"/>
      <c r="AZ272" s="1"/>
    </row>
    <row x14ac:dyDescent="0.25" r="273" customHeight="1" ht="15">
      <c r="A273" s="1"/>
      <c r="B273" s="1"/>
      <c r="C273" s="1"/>
      <c r="D273" s="1"/>
      <c r="E273" s="1"/>
      <c r="F273" s="1"/>
      <c r="G273" s="1"/>
      <c r="H273" s="1"/>
      <c r="I273" s="1"/>
      <c r="J273" s="1"/>
      <c r="K273" s="17"/>
      <c r="L273" s="1"/>
      <c r="M273" s="1"/>
      <c r="N273" s="2"/>
      <c r="O273" s="2"/>
      <c r="P273" s="1"/>
      <c r="Q273" s="1"/>
      <c r="R273" s="1"/>
      <c r="S273" s="1"/>
      <c r="T273" s="17"/>
      <c r="U273" s="17"/>
      <c r="V273" s="17"/>
      <c r="W273" s="17"/>
      <c r="X273" s="22"/>
      <c r="Y273" s="22"/>
      <c r="Z273" s="22"/>
      <c r="AA273" s="22"/>
      <c r="AB273" s="22"/>
      <c r="AC273" s="22"/>
      <c r="AD273" s="22"/>
      <c r="AE273" s="22"/>
      <c r="AF273" s="22"/>
      <c r="AG273" s="22"/>
      <c r="AH273" s="22"/>
      <c r="AI273" s="22"/>
      <c r="AJ273" s="17"/>
      <c r="AK273" s="22"/>
      <c r="AL273" s="22"/>
      <c r="AM273" s="22"/>
      <c r="AN273" s="22"/>
      <c r="AO273" s="17"/>
      <c r="AP273" s="17"/>
      <c r="AQ273" s="17"/>
      <c r="AR273" s="1"/>
      <c r="AS273" s="1"/>
      <c r="AT273" s="17"/>
      <c r="AU273" s="1"/>
      <c r="AV273" s="1"/>
      <c r="AW273" s="1"/>
      <c r="AX273" s="2"/>
      <c r="AY273" s="2"/>
      <c r="AZ273" s="1"/>
    </row>
    <row x14ac:dyDescent="0.25" r="274" customHeight="1" ht="15">
      <c r="A274" s="1"/>
      <c r="B274" s="1"/>
      <c r="C274" s="1"/>
      <c r="D274" s="1"/>
      <c r="E274" s="1"/>
      <c r="F274" s="1"/>
      <c r="G274" s="1"/>
      <c r="H274" s="1"/>
      <c r="I274" s="1"/>
      <c r="J274" s="1"/>
      <c r="K274" s="17"/>
      <c r="L274" s="1"/>
      <c r="M274" s="1"/>
      <c r="N274" s="2"/>
      <c r="O274" s="2"/>
      <c r="P274" s="1"/>
      <c r="Q274" s="1"/>
      <c r="R274" s="1"/>
      <c r="S274" s="1"/>
      <c r="T274" s="17"/>
      <c r="U274" s="17"/>
      <c r="V274" s="17"/>
      <c r="W274" s="17"/>
      <c r="X274" s="22"/>
      <c r="Y274" s="22"/>
      <c r="Z274" s="22"/>
      <c r="AA274" s="22"/>
      <c r="AB274" s="22"/>
      <c r="AC274" s="22"/>
      <c r="AD274" s="22"/>
      <c r="AE274" s="22"/>
      <c r="AF274" s="22"/>
      <c r="AG274" s="22"/>
      <c r="AH274" s="22"/>
      <c r="AI274" s="22"/>
      <c r="AJ274" s="17"/>
      <c r="AK274" s="22"/>
      <c r="AL274" s="22"/>
      <c r="AM274" s="22"/>
      <c r="AN274" s="22"/>
      <c r="AO274" s="17"/>
      <c r="AP274" s="17"/>
      <c r="AQ274" s="17"/>
      <c r="AR274" s="1"/>
      <c r="AS274" s="1"/>
      <c r="AT274" s="17"/>
      <c r="AU274" s="1"/>
      <c r="AV274" s="1"/>
      <c r="AW274" s="1"/>
      <c r="AX274" s="2"/>
      <c r="AY274" s="2"/>
      <c r="AZ274" s="1"/>
    </row>
    <row x14ac:dyDescent="0.25" r="275" customHeight="1" ht="15">
      <c r="A275" s="1"/>
      <c r="B275" s="1"/>
      <c r="C275" s="1"/>
      <c r="D275" s="1"/>
      <c r="E275" s="1"/>
      <c r="F275" s="1"/>
      <c r="G275" s="1"/>
      <c r="H275" s="1"/>
      <c r="I275" s="1"/>
      <c r="J275" s="1"/>
      <c r="K275" s="17"/>
      <c r="L275" s="1"/>
      <c r="M275" s="1"/>
      <c r="N275" s="2"/>
      <c r="O275" s="2"/>
      <c r="P275" s="1"/>
      <c r="Q275" s="1"/>
      <c r="R275" s="1"/>
      <c r="S275" s="1"/>
      <c r="T275" s="17"/>
      <c r="U275" s="17"/>
      <c r="V275" s="17"/>
      <c r="W275" s="17"/>
      <c r="X275" s="22"/>
      <c r="Y275" s="22"/>
      <c r="Z275" s="22"/>
      <c r="AA275" s="22"/>
      <c r="AB275" s="22"/>
      <c r="AC275" s="22"/>
      <c r="AD275" s="22"/>
      <c r="AE275" s="22"/>
      <c r="AF275" s="22"/>
      <c r="AG275" s="22"/>
      <c r="AH275" s="22"/>
      <c r="AI275" s="22"/>
      <c r="AJ275" s="17"/>
      <c r="AK275" s="22"/>
      <c r="AL275" s="22"/>
      <c r="AM275" s="22"/>
      <c r="AN275" s="22"/>
      <c r="AO275" s="17"/>
      <c r="AP275" s="17"/>
      <c r="AQ275" s="17"/>
      <c r="AR275" s="1"/>
      <c r="AS275" s="1"/>
      <c r="AT275" s="17"/>
      <c r="AU275" s="1"/>
      <c r="AV275" s="1"/>
      <c r="AW275" s="1"/>
      <c r="AX275" s="2"/>
      <c r="AY275" s="2"/>
      <c r="AZ275" s="1"/>
    </row>
    <row x14ac:dyDescent="0.25" r="276" customHeight="1" ht="15">
      <c r="A276" s="1"/>
      <c r="B276" s="1"/>
      <c r="C276" s="1"/>
      <c r="D276" s="1"/>
      <c r="E276" s="1"/>
      <c r="F276" s="1"/>
      <c r="G276" s="1"/>
      <c r="H276" s="1"/>
      <c r="I276" s="1"/>
      <c r="J276" s="1"/>
      <c r="K276" s="17"/>
      <c r="L276" s="1"/>
      <c r="M276" s="1"/>
      <c r="N276" s="2"/>
      <c r="O276" s="2"/>
      <c r="P276" s="1"/>
      <c r="Q276" s="1"/>
      <c r="R276" s="1"/>
      <c r="S276" s="1"/>
      <c r="T276" s="17"/>
      <c r="U276" s="17"/>
      <c r="V276" s="17"/>
      <c r="W276" s="17"/>
      <c r="X276" s="22"/>
      <c r="Y276" s="22"/>
      <c r="Z276" s="22"/>
      <c r="AA276" s="22"/>
      <c r="AB276" s="22"/>
      <c r="AC276" s="22"/>
      <c r="AD276" s="22"/>
      <c r="AE276" s="22"/>
      <c r="AF276" s="22"/>
      <c r="AG276" s="22"/>
      <c r="AH276" s="22"/>
      <c r="AI276" s="22"/>
      <c r="AJ276" s="17"/>
      <c r="AK276" s="22"/>
      <c r="AL276" s="22"/>
      <c r="AM276" s="22"/>
      <c r="AN276" s="22"/>
      <c r="AO276" s="17"/>
      <c r="AP276" s="17"/>
      <c r="AQ276" s="17"/>
      <c r="AR276" s="1"/>
      <c r="AS276" s="1"/>
      <c r="AT276" s="17"/>
      <c r="AU276" s="1"/>
      <c r="AV276" s="1"/>
      <c r="AW276" s="1"/>
      <c r="AX276" s="2"/>
      <c r="AY276" s="2"/>
      <c r="AZ276" s="1"/>
    </row>
    <row x14ac:dyDescent="0.25" r="277" customHeight="1" ht="15">
      <c r="A277" s="1"/>
      <c r="B277" s="1"/>
      <c r="C277" s="1"/>
      <c r="D277" s="1"/>
      <c r="E277" s="1"/>
      <c r="F277" s="1"/>
      <c r="G277" s="1"/>
      <c r="H277" s="1"/>
      <c r="I277" s="1"/>
      <c r="J277" s="1"/>
      <c r="K277" s="17"/>
      <c r="L277" s="1"/>
      <c r="M277" s="1"/>
      <c r="N277" s="2"/>
      <c r="O277" s="2"/>
      <c r="P277" s="1"/>
      <c r="Q277" s="1"/>
      <c r="R277" s="1"/>
      <c r="S277" s="1"/>
      <c r="T277" s="17"/>
      <c r="U277" s="17"/>
      <c r="V277" s="17"/>
      <c r="W277" s="17"/>
      <c r="X277" s="22"/>
      <c r="Y277" s="22"/>
      <c r="Z277" s="22"/>
      <c r="AA277" s="22"/>
      <c r="AB277" s="22"/>
      <c r="AC277" s="22"/>
      <c r="AD277" s="22"/>
      <c r="AE277" s="22"/>
      <c r="AF277" s="22"/>
      <c r="AG277" s="22"/>
      <c r="AH277" s="22"/>
      <c r="AI277" s="22"/>
      <c r="AJ277" s="17"/>
      <c r="AK277" s="22"/>
      <c r="AL277" s="22"/>
      <c r="AM277" s="22"/>
      <c r="AN277" s="22"/>
      <c r="AO277" s="17"/>
      <c r="AP277" s="17"/>
      <c r="AQ277" s="17"/>
      <c r="AR277" s="1"/>
      <c r="AS277" s="1"/>
      <c r="AT277" s="17"/>
      <c r="AU277" s="1"/>
      <c r="AV277" s="1"/>
      <c r="AW277" s="1"/>
      <c r="AX277" s="2"/>
      <c r="AY277" s="2"/>
      <c r="AZ277" s="1"/>
    </row>
    <row x14ac:dyDescent="0.25" r="278" customHeight="1" ht="15">
      <c r="A278" s="1"/>
      <c r="B278" s="1"/>
      <c r="C278" s="1"/>
      <c r="D278" s="1"/>
      <c r="E278" s="1"/>
      <c r="F278" s="1"/>
      <c r="G278" s="1"/>
      <c r="H278" s="1"/>
      <c r="I278" s="1"/>
      <c r="J278" s="1"/>
      <c r="K278" s="17"/>
      <c r="L278" s="1"/>
      <c r="M278" s="1"/>
      <c r="N278" s="2"/>
      <c r="O278" s="2"/>
      <c r="P278" s="1"/>
      <c r="Q278" s="1"/>
      <c r="R278" s="1"/>
      <c r="S278" s="1"/>
      <c r="T278" s="17"/>
      <c r="U278" s="17"/>
      <c r="V278" s="17"/>
      <c r="W278" s="17"/>
      <c r="X278" s="22"/>
      <c r="Y278" s="22"/>
      <c r="Z278" s="22"/>
      <c r="AA278" s="22"/>
      <c r="AB278" s="22"/>
      <c r="AC278" s="22"/>
      <c r="AD278" s="22"/>
      <c r="AE278" s="22"/>
      <c r="AF278" s="22"/>
      <c r="AG278" s="22"/>
      <c r="AH278" s="22"/>
      <c r="AI278" s="22"/>
      <c r="AJ278" s="17"/>
      <c r="AK278" s="22"/>
      <c r="AL278" s="22"/>
      <c r="AM278" s="22"/>
      <c r="AN278" s="22"/>
      <c r="AO278" s="17"/>
      <c r="AP278" s="17"/>
      <c r="AQ278" s="17"/>
      <c r="AR278" s="1"/>
      <c r="AS278" s="1"/>
      <c r="AT278" s="17"/>
      <c r="AU278" s="1"/>
      <c r="AV278" s="1"/>
      <c r="AW278" s="1"/>
      <c r="AX278" s="2"/>
      <c r="AY278" s="2"/>
      <c r="AZ278" s="1"/>
    </row>
    <row x14ac:dyDescent="0.25" r="279" customHeight="1" ht="15">
      <c r="A279" s="1"/>
      <c r="B279" s="1"/>
      <c r="C279" s="1"/>
      <c r="D279" s="1"/>
      <c r="E279" s="1"/>
      <c r="F279" s="1"/>
      <c r="G279" s="1"/>
      <c r="H279" s="1"/>
      <c r="I279" s="1"/>
      <c r="J279" s="1"/>
      <c r="K279" s="17"/>
      <c r="L279" s="1"/>
      <c r="M279" s="1"/>
      <c r="N279" s="2"/>
      <c r="O279" s="2"/>
      <c r="P279" s="1"/>
      <c r="Q279" s="1"/>
      <c r="R279" s="1"/>
      <c r="S279" s="1"/>
      <c r="T279" s="17"/>
      <c r="U279" s="17"/>
      <c r="V279" s="17"/>
      <c r="W279" s="17"/>
      <c r="X279" s="22"/>
      <c r="Y279" s="22"/>
      <c r="Z279" s="22"/>
      <c r="AA279" s="22"/>
      <c r="AB279" s="22"/>
      <c r="AC279" s="22"/>
      <c r="AD279" s="22"/>
      <c r="AE279" s="22"/>
      <c r="AF279" s="22"/>
      <c r="AG279" s="22"/>
      <c r="AH279" s="22"/>
      <c r="AI279" s="22"/>
      <c r="AJ279" s="17"/>
      <c r="AK279" s="22"/>
      <c r="AL279" s="22"/>
      <c r="AM279" s="22"/>
      <c r="AN279" s="22"/>
      <c r="AO279" s="17"/>
      <c r="AP279" s="17"/>
      <c r="AQ279" s="17"/>
      <c r="AR279" s="1"/>
      <c r="AS279" s="1"/>
      <c r="AT279" s="17"/>
      <c r="AU279" s="1"/>
      <c r="AV279" s="1"/>
      <c r="AW279" s="1"/>
      <c r="AX279" s="2"/>
      <c r="AY279" s="2"/>
      <c r="AZ279" s="1"/>
    </row>
    <row x14ac:dyDescent="0.25" r="280" customHeight="1" ht="15">
      <c r="A280" s="1"/>
      <c r="B280" s="1"/>
      <c r="C280" s="1"/>
      <c r="D280" s="1"/>
      <c r="E280" s="1"/>
      <c r="F280" s="1"/>
      <c r="G280" s="1"/>
      <c r="H280" s="1"/>
      <c r="I280" s="1"/>
      <c r="J280" s="1"/>
      <c r="K280" s="17"/>
      <c r="L280" s="1"/>
      <c r="M280" s="1"/>
      <c r="N280" s="2"/>
      <c r="O280" s="2"/>
      <c r="P280" s="1"/>
      <c r="Q280" s="1"/>
      <c r="R280" s="1"/>
      <c r="S280" s="1"/>
      <c r="T280" s="17"/>
      <c r="U280" s="17"/>
      <c r="V280" s="17"/>
      <c r="W280" s="17"/>
      <c r="X280" s="22"/>
      <c r="Y280" s="22"/>
      <c r="Z280" s="22"/>
      <c r="AA280" s="22"/>
      <c r="AB280" s="22"/>
      <c r="AC280" s="22"/>
      <c r="AD280" s="22"/>
      <c r="AE280" s="22"/>
      <c r="AF280" s="22"/>
      <c r="AG280" s="22"/>
      <c r="AH280" s="22"/>
      <c r="AI280" s="22"/>
      <c r="AJ280" s="17"/>
      <c r="AK280" s="22"/>
      <c r="AL280" s="22"/>
      <c r="AM280" s="22"/>
      <c r="AN280" s="22"/>
      <c r="AO280" s="17"/>
      <c r="AP280" s="17"/>
      <c r="AQ280" s="17"/>
      <c r="AR280" s="1"/>
      <c r="AS280" s="1"/>
      <c r="AT280" s="17"/>
      <c r="AU280" s="1"/>
      <c r="AV280" s="1"/>
      <c r="AW280" s="1"/>
      <c r="AX280" s="2"/>
      <c r="AY280" s="2"/>
      <c r="AZ280" s="1"/>
    </row>
    <row x14ac:dyDescent="0.25" r="281" customHeight="1" ht="15">
      <c r="A281" s="1"/>
      <c r="B281" s="1"/>
      <c r="C281" s="1"/>
      <c r="D281" s="1"/>
      <c r="E281" s="1"/>
      <c r="F281" s="1"/>
      <c r="G281" s="1"/>
      <c r="H281" s="1"/>
      <c r="I281" s="1"/>
      <c r="J281" s="1"/>
      <c r="K281" s="17"/>
      <c r="L281" s="1"/>
      <c r="M281" s="1"/>
      <c r="N281" s="2"/>
      <c r="O281" s="2"/>
      <c r="P281" s="1"/>
      <c r="Q281" s="1"/>
      <c r="R281" s="1"/>
      <c r="S281" s="1"/>
      <c r="T281" s="17"/>
      <c r="U281" s="17"/>
      <c r="V281" s="17"/>
      <c r="W281" s="17"/>
      <c r="X281" s="22"/>
      <c r="Y281" s="22"/>
      <c r="Z281" s="22"/>
      <c r="AA281" s="22"/>
      <c r="AB281" s="22"/>
      <c r="AC281" s="22"/>
      <c r="AD281" s="22"/>
      <c r="AE281" s="22"/>
      <c r="AF281" s="22"/>
      <c r="AG281" s="22"/>
      <c r="AH281" s="22"/>
      <c r="AI281" s="22"/>
      <c r="AJ281" s="17"/>
      <c r="AK281" s="22"/>
      <c r="AL281" s="22"/>
      <c r="AM281" s="22"/>
      <c r="AN281" s="22"/>
      <c r="AO281" s="17"/>
      <c r="AP281" s="17"/>
      <c r="AQ281" s="17"/>
      <c r="AR281" s="1"/>
      <c r="AS281" s="1"/>
      <c r="AT281" s="17"/>
      <c r="AU281" s="1"/>
      <c r="AV281" s="1"/>
      <c r="AW281" s="1"/>
      <c r="AX281" s="2"/>
      <c r="AY281" s="2"/>
      <c r="AZ281" s="1"/>
    </row>
    <row x14ac:dyDescent="0.25" r="282" customHeight="1" ht="15">
      <c r="A282" s="1"/>
      <c r="B282" s="1"/>
      <c r="C282" s="1"/>
      <c r="D282" s="1"/>
      <c r="E282" s="1"/>
      <c r="F282" s="1"/>
      <c r="G282" s="1"/>
      <c r="H282" s="1"/>
      <c r="I282" s="1"/>
      <c r="J282" s="1"/>
      <c r="K282" s="17"/>
      <c r="L282" s="1"/>
      <c r="M282" s="1"/>
      <c r="N282" s="2"/>
      <c r="O282" s="2"/>
      <c r="P282" s="1"/>
      <c r="Q282" s="1"/>
      <c r="R282" s="1"/>
      <c r="S282" s="1"/>
      <c r="T282" s="17"/>
      <c r="U282" s="17"/>
      <c r="V282" s="17"/>
      <c r="W282" s="17"/>
      <c r="X282" s="22"/>
      <c r="Y282" s="22"/>
      <c r="Z282" s="22"/>
      <c r="AA282" s="22"/>
      <c r="AB282" s="22"/>
      <c r="AC282" s="22"/>
      <c r="AD282" s="22"/>
      <c r="AE282" s="22"/>
      <c r="AF282" s="22"/>
      <c r="AG282" s="22"/>
      <c r="AH282" s="22"/>
      <c r="AI282" s="22"/>
      <c r="AJ282" s="17"/>
      <c r="AK282" s="22"/>
      <c r="AL282" s="22"/>
      <c r="AM282" s="22"/>
      <c r="AN282" s="22"/>
      <c r="AO282" s="17"/>
      <c r="AP282" s="17"/>
      <c r="AQ282" s="17"/>
      <c r="AR282" s="1"/>
      <c r="AS282" s="1"/>
      <c r="AT282" s="17"/>
      <c r="AU282" s="1"/>
      <c r="AV282" s="1"/>
      <c r="AW282" s="1"/>
      <c r="AX282" s="2"/>
      <c r="AY282" s="2"/>
      <c r="AZ282" s="1"/>
    </row>
    <row x14ac:dyDescent="0.25" r="283" customHeight="1" ht="15">
      <c r="A283" s="1"/>
      <c r="B283" s="1"/>
      <c r="C283" s="1"/>
      <c r="D283" s="1"/>
      <c r="E283" s="1"/>
      <c r="F283" s="1"/>
      <c r="G283" s="1"/>
      <c r="H283" s="1"/>
      <c r="I283" s="1"/>
      <c r="J283" s="1"/>
      <c r="K283" s="17"/>
      <c r="L283" s="1"/>
      <c r="M283" s="1"/>
      <c r="N283" s="2"/>
      <c r="O283" s="2"/>
      <c r="P283" s="1"/>
      <c r="Q283" s="1"/>
      <c r="R283" s="1"/>
      <c r="S283" s="1"/>
      <c r="T283" s="17"/>
      <c r="U283" s="17"/>
      <c r="V283" s="17"/>
      <c r="W283" s="17"/>
      <c r="X283" s="22"/>
      <c r="Y283" s="22"/>
      <c r="Z283" s="22"/>
      <c r="AA283" s="22"/>
      <c r="AB283" s="22"/>
      <c r="AC283" s="22"/>
      <c r="AD283" s="22"/>
      <c r="AE283" s="22"/>
      <c r="AF283" s="22"/>
      <c r="AG283" s="22"/>
      <c r="AH283" s="22"/>
      <c r="AI283" s="22"/>
      <c r="AJ283" s="17"/>
      <c r="AK283" s="22"/>
      <c r="AL283" s="22"/>
      <c r="AM283" s="22"/>
      <c r="AN283" s="22"/>
      <c r="AO283" s="17"/>
      <c r="AP283" s="17"/>
      <c r="AQ283" s="17"/>
      <c r="AR283" s="1"/>
      <c r="AS283" s="1"/>
      <c r="AT283" s="17"/>
      <c r="AU283" s="1"/>
      <c r="AV283" s="1"/>
      <c r="AW283" s="1"/>
      <c r="AX283" s="2"/>
      <c r="AY283" s="2"/>
      <c r="AZ283" s="1"/>
    </row>
    <row x14ac:dyDescent="0.25" r="284" customHeight="1" ht="15">
      <c r="A284" s="1"/>
      <c r="B284" s="1"/>
      <c r="C284" s="1"/>
      <c r="D284" s="1"/>
      <c r="E284" s="1"/>
      <c r="F284" s="1"/>
      <c r="G284" s="1"/>
      <c r="H284" s="1"/>
      <c r="I284" s="1"/>
      <c r="J284" s="1"/>
      <c r="K284" s="17"/>
      <c r="L284" s="1"/>
      <c r="M284" s="1"/>
      <c r="N284" s="2"/>
      <c r="O284" s="2"/>
      <c r="P284" s="1"/>
      <c r="Q284" s="1"/>
      <c r="R284" s="1"/>
      <c r="S284" s="1"/>
      <c r="T284" s="17"/>
      <c r="U284" s="17"/>
      <c r="V284" s="17"/>
      <c r="W284" s="17"/>
      <c r="X284" s="22"/>
      <c r="Y284" s="22"/>
      <c r="Z284" s="22"/>
      <c r="AA284" s="22"/>
      <c r="AB284" s="22"/>
      <c r="AC284" s="22"/>
      <c r="AD284" s="22"/>
      <c r="AE284" s="22"/>
      <c r="AF284" s="22"/>
      <c r="AG284" s="22"/>
      <c r="AH284" s="22"/>
      <c r="AI284" s="22"/>
      <c r="AJ284" s="17"/>
      <c r="AK284" s="22"/>
      <c r="AL284" s="22"/>
      <c r="AM284" s="22"/>
      <c r="AN284" s="22"/>
      <c r="AO284" s="17"/>
      <c r="AP284" s="17"/>
      <c r="AQ284" s="17"/>
      <c r="AR284" s="1"/>
      <c r="AS284" s="1"/>
      <c r="AT284" s="17"/>
      <c r="AU284" s="1"/>
      <c r="AV284" s="1"/>
      <c r="AW284" s="1"/>
      <c r="AX284" s="2"/>
      <c r="AY284" s="2"/>
      <c r="AZ284" s="1"/>
    </row>
    <row x14ac:dyDescent="0.25" r="285" customHeight="1" ht="15">
      <c r="A285" s="1"/>
      <c r="B285" s="1"/>
      <c r="C285" s="1"/>
      <c r="D285" s="1"/>
      <c r="E285" s="1"/>
      <c r="F285" s="1"/>
      <c r="G285" s="1"/>
      <c r="H285" s="1"/>
      <c r="I285" s="1"/>
      <c r="J285" s="1"/>
      <c r="K285" s="17"/>
      <c r="L285" s="1"/>
      <c r="M285" s="1"/>
      <c r="N285" s="2"/>
      <c r="O285" s="2"/>
      <c r="P285" s="1"/>
      <c r="Q285" s="1"/>
      <c r="R285" s="1"/>
      <c r="S285" s="1"/>
      <c r="T285" s="17"/>
      <c r="U285" s="17"/>
      <c r="V285" s="17"/>
      <c r="W285" s="17"/>
      <c r="X285" s="22"/>
      <c r="Y285" s="22"/>
      <c r="Z285" s="22"/>
      <c r="AA285" s="22"/>
      <c r="AB285" s="22"/>
      <c r="AC285" s="22"/>
      <c r="AD285" s="22"/>
      <c r="AE285" s="22"/>
      <c r="AF285" s="22"/>
      <c r="AG285" s="22"/>
      <c r="AH285" s="22"/>
      <c r="AI285" s="22"/>
      <c r="AJ285" s="17"/>
      <c r="AK285" s="22"/>
      <c r="AL285" s="22"/>
      <c r="AM285" s="22"/>
      <c r="AN285" s="22"/>
      <c r="AO285" s="17"/>
      <c r="AP285" s="17"/>
      <c r="AQ285" s="17"/>
      <c r="AR285" s="1"/>
      <c r="AS285" s="1"/>
      <c r="AT285" s="17"/>
      <c r="AU285" s="1"/>
      <c r="AV285" s="1"/>
      <c r="AW285" s="1"/>
      <c r="AX285" s="2"/>
      <c r="AY285" s="2"/>
      <c r="AZ285" s="1"/>
    </row>
    <row x14ac:dyDescent="0.25" r="286" customHeight="1" ht="15">
      <c r="A286" s="1"/>
      <c r="B286" s="1"/>
      <c r="C286" s="1"/>
      <c r="D286" s="1"/>
      <c r="E286" s="1"/>
      <c r="F286" s="1"/>
      <c r="G286" s="1"/>
      <c r="H286" s="1"/>
      <c r="I286" s="1"/>
      <c r="J286" s="1"/>
      <c r="K286" s="17"/>
      <c r="L286" s="1"/>
      <c r="M286" s="1"/>
      <c r="N286" s="2"/>
      <c r="O286" s="2"/>
      <c r="P286" s="1"/>
      <c r="Q286" s="1"/>
      <c r="R286" s="1"/>
      <c r="S286" s="1"/>
      <c r="T286" s="17"/>
      <c r="U286" s="17"/>
      <c r="V286" s="17"/>
      <c r="W286" s="17"/>
      <c r="X286" s="22"/>
      <c r="Y286" s="22"/>
      <c r="Z286" s="22"/>
      <c r="AA286" s="22"/>
      <c r="AB286" s="22"/>
      <c r="AC286" s="22"/>
      <c r="AD286" s="22"/>
      <c r="AE286" s="22"/>
      <c r="AF286" s="22"/>
      <c r="AG286" s="22"/>
      <c r="AH286" s="22"/>
      <c r="AI286" s="22"/>
      <c r="AJ286" s="17"/>
      <c r="AK286" s="22"/>
      <c r="AL286" s="22"/>
      <c r="AM286" s="22"/>
      <c r="AN286" s="22"/>
      <c r="AO286" s="17"/>
      <c r="AP286" s="17"/>
      <c r="AQ286" s="17"/>
      <c r="AR286" s="1"/>
      <c r="AS286" s="1"/>
      <c r="AT286" s="17"/>
      <c r="AU286" s="1"/>
      <c r="AV286" s="1"/>
      <c r="AW286" s="1"/>
      <c r="AX286" s="2"/>
      <c r="AY286" s="2"/>
      <c r="AZ286" s="1"/>
    </row>
    <row x14ac:dyDescent="0.25" r="287" customHeight="1" ht="15">
      <c r="A287" s="1"/>
      <c r="B287" s="1"/>
      <c r="C287" s="1"/>
      <c r="D287" s="1"/>
      <c r="E287" s="1"/>
      <c r="F287" s="1"/>
      <c r="G287" s="1"/>
      <c r="H287" s="1"/>
      <c r="I287" s="1"/>
      <c r="J287" s="1"/>
      <c r="K287" s="17"/>
      <c r="L287" s="1"/>
      <c r="M287" s="1"/>
      <c r="N287" s="2"/>
      <c r="O287" s="2"/>
      <c r="P287" s="1"/>
      <c r="Q287" s="1"/>
      <c r="R287" s="1"/>
      <c r="S287" s="1"/>
      <c r="T287" s="17"/>
      <c r="U287" s="17"/>
      <c r="V287" s="17"/>
      <c r="W287" s="17"/>
      <c r="X287" s="22"/>
      <c r="Y287" s="22"/>
      <c r="Z287" s="22"/>
      <c r="AA287" s="22"/>
      <c r="AB287" s="22"/>
      <c r="AC287" s="22"/>
      <c r="AD287" s="22"/>
      <c r="AE287" s="22"/>
      <c r="AF287" s="22"/>
      <c r="AG287" s="22"/>
      <c r="AH287" s="22"/>
      <c r="AI287" s="22"/>
      <c r="AJ287" s="17"/>
      <c r="AK287" s="22"/>
      <c r="AL287" s="22"/>
      <c r="AM287" s="22"/>
      <c r="AN287" s="22"/>
      <c r="AO287" s="17"/>
      <c r="AP287" s="17"/>
      <c r="AQ287" s="17"/>
      <c r="AR287" s="1"/>
      <c r="AS287" s="1"/>
      <c r="AT287" s="17"/>
      <c r="AU287" s="1"/>
      <c r="AV287" s="1"/>
      <c r="AW287" s="1"/>
      <c r="AX287" s="2"/>
      <c r="AY287" s="2"/>
      <c r="AZ287" s="1"/>
    </row>
    <row x14ac:dyDescent="0.25" r="288" customHeight="1" ht="15">
      <c r="A288" s="1"/>
      <c r="B288" s="1"/>
      <c r="C288" s="1"/>
      <c r="D288" s="1"/>
      <c r="E288" s="1"/>
      <c r="F288" s="1"/>
      <c r="G288" s="1"/>
      <c r="H288" s="1"/>
      <c r="I288" s="1"/>
      <c r="J288" s="1"/>
      <c r="K288" s="17"/>
      <c r="L288" s="1"/>
      <c r="M288" s="1"/>
      <c r="N288" s="2"/>
      <c r="O288" s="2"/>
      <c r="P288" s="1"/>
      <c r="Q288" s="1"/>
      <c r="R288" s="1"/>
      <c r="S288" s="1"/>
      <c r="T288" s="17"/>
      <c r="U288" s="17"/>
      <c r="V288" s="17"/>
      <c r="W288" s="17"/>
      <c r="X288" s="22"/>
      <c r="Y288" s="22"/>
      <c r="Z288" s="22"/>
      <c r="AA288" s="22"/>
      <c r="AB288" s="22"/>
      <c r="AC288" s="22"/>
      <c r="AD288" s="22"/>
      <c r="AE288" s="22"/>
      <c r="AF288" s="22"/>
      <c r="AG288" s="22"/>
      <c r="AH288" s="22"/>
      <c r="AI288" s="22"/>
      <c r="AJ288" s="17"/>
      <c r="AK288" s="22"/>
      <c r="AL288" s="22"/>
      <c r="AM288" s="22"/>
      <c r="AN288" s="22"/>
      <c r="AO288" s="17"/>
      <c r="AP288" s="17"/>
      <c r="AQ288" s="17"/>
      <c r="AR288" s="1"/>
      <c r="AS288" s="1"/>
      <c r="AT288" s="17"/>
      <c r="AU288" s="1"/>
      <c r="AV288" s="1"/>
      <c r="AW288" s="1"/>
      <c r="AX288" s="2"/>
      <c r="AY288" s="2"/>
      <c r="AZ288" s="1"/>
    </row>
    <row x14ac:dyDescent="0.25" r="289" customHeight="1" ht="15">
      <c r="A289" s="1"/>
      <c r="B289" s="1"/>
      <c r="C289" s="1"/>
      <c r="D289" s="1"/>
      <c r="E289" s="1"/>
      <c r="F289" s="1"/>
      <c r="G289" s="1"/>
      <c r="H289" s="1"/>
      <c r="I289" s="1"/>
      <c r="J289" s="1"/>
      <c r="K289" s="17"/>
      <c r="L289" s="1"/>
      <c r="M289" s="1"/>
      <c r="N289" s="2"/>
      <c r="O289" s="2"/>
      <c r="P289" s="1"/>
      <c r="Q289" s="1"/>
      <c r="R289" s="1"/>
      <c r="S289" s="1"/>
      <c r="T289" s="17"/>
      <c r="U289" s="17"/>
      <c r="V289" s="17"/>
      <c r="W289" s="17"/>
      <c r="X289" s="22"/>
      <c r="Y289" s="22"/>
      <c r="Z289" s="22"/>
      <c r="AA289" s="22"/>
      <c r="AB289" s="22"/>
      <c r="AC289" s="22"/>
      <c r="AD289" s="22"/>
      <c r="AE289" s="22"/>
      <c r="AF289" s="22"/>
      <c r="AG289" s="22"/>
      <c r="AH289" s="22"/>
      <c r="AI289" s="22"/>
      <c r="AJ289" s="17"/>
      <c r="AK289" s="22"/>
      <c r="AL289" s="22"/>
      <c r="AM289" s="22"/>
      <c r="AN289" s="22"/>
      <c r="AO289" s="17"/>
      <c r="AP289" s="17"/>
      <c r="AQ289" s="17"/>
      <c r="AR289" s="1"/>
      <c r="AS289" s="1"/>
      <c r="AT289" s="17"/>
      <c r="AU289" s="1"/>
      <c r="AV289" s="1"/>
      <c r="AW289" s="1"/>
      <c r="AX289" s="2"/>
      <c r="AY289" s="2"/>
      <c r="AZ289" s="1"/>
    </row>
    <row x14ac:dyDescent="0.25" r="290" customHeight="1" ht="15">
      <c r="A290" s="1"/>
      <c r="B290" s="1"/>
      <c r="C290" s="1"/>
      <c r="D290" s="1"/>
      <c r="E290" s="1"/>
      <c r="F290" s="1"/>
      <c r="G290" s="1"/>
      <c r="H290" s="1"/>
      <c r="I290" s="1"/>
      <c r="J290" s="1"/>
      <c r="K290" s="17"/>
      <c r="L290" s="1"/>
      <c r="M290" s="1"/>
      <c r="N290" s="2"/>
      <c r="O290" s="2"/>
      <c r="P290" s="1"/>
      <c r="Q290" s="1"/>
      <c r="R290" s="1"/>
      <c r="S290" s="1"/>
      <c r="T290" s="17"/>
      <c r="U290" s="17"/>
      <c r="V290" s="17"/>
      <c r="W290" s="17"/>
      <c r="X290" s="22"/>
      <c r="Y290" s="22"/>
      <c r="Z290" s="22"/>
      <c r="AA290" s="22"/>
      <c r="AB290" s="22"/>
      <c r="AC290" s="22"/>
      <c r="AD290" s="22"/>
      <c r="AE290" s="22"/>
      <c r="AF290" s="22"/>
      <c r="AG290" s="22"/>
      <c r="AH290" s="22"/>
      <c r="AI290" s="22"/>
      <c r="AJ290" s="17"/>
      <c r="AK290" s="22"/>
      <c r="AL290" s="22"/>
      <c r="AM290" s="22"/>
      <c r="AN290" s="22"/>
      <c r="AO290" s="17"/>
      <c r="AP290" s="17"/>
      <c r="AQ290" s="17"/>
      <c r="AR290" s="1"/>
      <c r="AS290" s="1"/>
      <c r="AT290" s="17"/>
      <c r="AU290" s="1"/>
      <c r="AV290" s="1"/>
      <c r="AW290" s="1"/>
      <c r="AX290" s="2"/>
      <c r="AY290" s="2"/>
      <c r="AZ290" s="1"/>
    </row>
    <row x14ac:dyDescent="0.25" r="291" customHeight="1" ht="15">
      <c r="A291" s="1"/>
      <c r="B291" s="1"/>
      <c r="C291" s="1"/>
      <c r="D291" s="1"/>
      <c r="E291" s="1"/>
      <c r="F291" s="1"/>
      <c r="G291" s="1"/>
      <c r="H291" s="1"/>
      <c r="I291" s="1"/>
      <c r="J291" s="1"/>
      <c r="K291" s="17"/>
      <c r="L291" s="1"/>
      <c r="M291" s="1"/>
      <c r="N291" s="2"/>
      <c r="O291" s="2"/>
      <c r="P291" s="1"/>
      <c r="Q291" s="1"/>
      <c r="R291" s="1"/>
      <c r="S291" s="1"/>
      <c r="T291" s="17"/>
      <c r="U291" s="17"/>
      <c r="V291" s="17"/>
      <c r="W291" s="17"/>
      <c r="X291" s="22"/>
      <c r="Y291" s="22"/>
      <c r="Z291" s="22"/>
      <c r="AA291" s="22"/>
      <c r="AB291" s="22"/>
      <c r="AC291" s="22"/>
      <c r="AD291" s="22"/>
      <c r="AE291" s="22"/>
      <c r="AF291" s="22"/>
      <c r="AG291" s="22"/>
      <c r="AH291" s="22"/>
      <c r="AI291" s="22"/>
      <c r="AJ291" s="17"/>
      <c r="AK291" s="22"/>
      <c r="AL291" s="22"/>
      <c r="AM291" s="22"/>
      <c r="AN291" s="22"/>
      <c r="AO291" s="17"/>
      <c r="AP291" s="17"/>
      <c r="AQ291" s="17"/>
      <c r="AR291" s="1"/>
      <c r="AS291" s="1"/>
      <c r="AT291" s="17"/>
      <c r="AU291" s="1"/>
      <c r="AV291" s="1"/>
      <c r="AW291" s="1"/>
      <c r="AX291" s="2"/>
      <c r="AY291" s="2"/>
      <c r="AZ291" s="1"/>
    </row>
    <row x14ac:dyDescent="0.25" r="292" customHeight="1" ht="15">
      <c r="A292" s="1"/>
      <c r="B292" s="1"/>
      <c r="C292" s="1"/>
      <c r="D292" s="1"/>
      <c r="E292" s="1"/>
      <c r="F292" s="1"/>
      <c r="G292" s="1"/>
      <c r="H292" s="1"/>
      <c r="I292" s="1"/>
      <c r="J292" s="1"/>
      <c r="K292" s="17"/>
      <c r="L292" s="1"/>
      <c r="M292" s="1"/>
      <c r="N292" s="2"/>
      <c r="O292" s="2"/>
      <c r="P292" s="1"/>
      <c r="Q292" s="1"/>
      <c r="R292" s="1"/>
      <c r="S292" s="1"/>
      <c r="T292" s="17"/>
      <c r="U292" s="17"/>
      <c r="V292" s="17"/>
      <c r="W292" s="17"/>
      <c r="X292" s="22"/>
      <c r="Y292" s="22"/>
      <c r="Z292" s="22"/>
      <c r="AA292" s="22"/>
      <c r="AB292" s="22"/>
      <c r="AC292" s="22"/>
      <c r="AD292" s="22"/>
      <c r="AE292" s="22"/>
      <c r="AF292" s="22"/>
      <c r="AG292" s="22"/>
      <c r="AH292" s="22"/>
      <c r="AI292" s="22"/>
      <c r="AJ292" s="17"/>
      <c r="AK292" s="22"/>
      <c r="AL292" s="22"/>
      <c r="AM292" s="22"/>
      <c r="AN292" s="22"/>
      <c r="AO292" s="17"/>
      <c r="AP292" s="17"/>
      <c r="AQ292" s="17"/>
      <c r="AR292" s="1"/>
      <c r="AS292" s="1"/>
      <c r="AT292" s="17"/>
      <c r="AU292" s="1"/>
      <c r="AV292" s="1"/>
      <c r="AW292" s="1"/>
      <c r="AX292" s="2"/>
      <c r="AY292" s="2"/>
      <c r="AZ292" s="1"/>
    </row>
    <row x14ac:dyDescent="0.25" r="293" customHeight="1" ht="15">
      <c r="A293" s="1"/>
      <c r="B293" s="1"/>
      <c r="C293" s="1"/>
      <c r="D293" s="1"/>
      <c r="E293" s="1"/>
      <c r="F293" s="1"/>
      <c r="G293" s="1"/>
      <c r="H293" s="1"/>
      <c r="I293" s="1"/>
      <c r="J293" s="1"/>
      <c r="K293" s="17"/>
      <c r="L293" s="1"/>
      <c r="M293" s="1"/>
      <c r="N293" s="2"/>
      <c r="O293" s="2"/>
      <c r="P293" s="1"/>
      <c r="Q293" s="1"/>
      <c r="R293" s="1"/>
      <c r="S293" s="1"/>
      <c r="T293" s="17"/>
      <c r="U293" s="17"/>
      <c r="V293" s="17"/>
      <c r="W293" s="17"/>
      <c r="X293" s="22"/>
      <c r="Y293" s="22"/>
      <c r="Z293" s="22"/>
      <c r="AA293" s="22"/>
      <c r="AB293" s="22"/>
      <c r="AC293" s="22"/>
      <c r="AD293" s="22"/>
      <c r="AE293" s="22"/>
      <c r="AF293" s="22"/>
      <c r="AG293" s="22"/>
      <c r="AH293" s="22"/>
      <c r="AI293" s="22"/>
      <c r="AJ293" s="17"/>
      <c r="AK293" s="22"/>
      <c r="AL293" s="22"/>
      <c r="AM293" s="22"/>
      <c r="AN293" s="22"/>
      <c r="AO293" s="17"/>
      <c r="AP293" s="17"/>
      <c r="AQ293" s="17"/>
      <c r="AR293" s="1"/>
      <c r="AS293" s="1"/>
      <c r="AT293" s="17"/>
      <c r="AU293" s="1"/>
      <c r="AV293" s="1"/>
      <c r="AW293" s="1"/>
      <c r="AX293" s="2"/>
      <c r="AY293" s="2"/>
      <c r="AZ293" s="1"/>
    </row>
    <row x14ac:dyDescent="0.25" r="294" customHeight="1" ht="15">
      <c r="A294" s="1"/>
      <c r="B294" s="1"/>
      <c r="C294" s="1"/>
      <c r="D294" s="1"/>
      <c r="E294" s="1"/>
      <c r="F294" s="1"/>
      <c r="G294" s="1"/>
      <c r="H294" s="1"/>
      <c r="I294" s="1"/>
      <c r="J294" s="1"/>
      <c r="K294" s="17"/>
      <c r="L294" s="1"/>
      <c r="M294" s="1"/>
      <c r="N294" s="2"/>
      <c r="O294" s="2"/>
      <c r="P294" s="1"/>
      <c r="Q294" s="1"/>
      <c r="R294" s="1"/>
      <c r="S294" s="1"/>
      <c r="T294" s="17"/>
      <c r="U294" s="17"/>
      <c r="V294" s="17"/>
      <c r="W294" s="17"/>
      <c r="X294" s="22"/>
      <c r="Y294" s="22"/>
      <c r="Z294" s="22"/>
      <c r="AA294" s="22"/>
      <c r="AB294" s="22"/>
      <c r="AC294" s="22"/>
      <c r="AD294" s="22"/>
      <c r="AE294" s="22"/>
      <c r="AF294" s="22"/>
      <c r="AG294" s="22"/>
      <c r="AH294" s="22"/>
      <c r="AI294" s="22"/>
      <c r="AJ294" s="17"/>
      <c r="AK294" s="22"/>
      <c r="AL294" s="22"/>
      <c r="AM294" s="22"/>
      <c r="AN294" s="22"/>
      <c r="AO294" s="17"/>
      <c r="AP294" s="17"/>
      <c r="AQ294" s="17"/>
      <c r="AR294" s="1"/>
      <c r="AS294" s="1"/>
      <c r="AT294" s="17"/>
      <c r="AU294" s="1"/>
      <c r="AV294" s="1"/>
      <c r="AW294" s="1"/>
      <c r="AX294" s="2"/>
      <c r="AY294" s="2"/>
      <c r="AZ294" s="1"/>
    </row>
    <row x14ac:dyDescent="0.25" r="295" customHeight="1" ht="15">
      <c r="A295" s="1"/>
      <c r="B295" s="1"/>
      <c r="C295" s="1"/>
      <c r="D295" s="1"/>
      <c r="E295" s="1"/>
      <c r="F295" s="1"/>
      <c r="G295" s="1"/>
      <c r="H295" s="1"/>
      <c r="I295" s="1"/>
      <c r="J295" s="1"/>
      <c r="K295" s="17"/>
      <c r="L295" s="1"/>
      <c r="M295" s="1"/>
      <c r="N295" s="2"/>
      <c r="O295" s="2"/>
      <c r="P295" s="1"/>
      <c r="Q295" s="1"/>
      <c r="R295" s="1"/>
      <c r="S295" s="1"/>
      <c r="T295" s="17"/>
      <c r="U295" s="17"/>
      <c r="V295" s="17"/>
      <c r="W295" s="17"/>
      <c r="X295" s="22"/>
      <c r="Y295" s="22"/>
      <c r="Z295" s="22"/>
      <c r="AA295" s="22"/>
      <c r="AB295" s="22"/>
      <c r="AC295" s="22"/>
      <c r="AD295" s="22"/>
      <c r="AE295" s="22"/>
      <c r="AF295" s="22"/>
      <c r="AG295" s="22"/>
      <c r="AH295" s="22"/>
      <c r="AI295" s="22"/>
      <c r="AJ295" s="17"/>
      <c r="AK295" s="22"/>
      <c r="AL295" s="22"/>
      <c r="AM295" s="22"/>
      <c r="AN295" s="22"/>
      <c r="AO295" s="17"/>
      <c r="AP295" s="17"/>
      <c r="AQ295" s="17"/>
      <c r="AR295" s="1"/>
      <c r="AS295" s="1"/>
      <c r="AT295" s="17"/>
      <c r="AU295" s="1"/>
      <c r="AV295" s="1"/>
      <c r="AW295" s="1"/>
      <c r="AX295" s="2"/>
      <c r="AY295" s="2"/>
      <c r="AZ295" s="1"/>
    </row>
    <row x14ac:dyDescent="0.25" r="296" customHeight="1" ht="15">
      <c r="A296" s="1"/>
      <c r="B296" s="1"/>
      <c r="C296" s="1"/>
      <c r="D296" s="1"/>
      <c r="E296" s="1"/>
      <c r="F296" s="1"/>
      <c r="G296" s="1"/>
      <c r="H296" s="1"/>
      <c r="I296" s="1"/>
      <c r="J296" s="1"/>
      <c r="K296" s="17"/>
      <c r="L296" s="1"/>
      <c r="M296" s="1"/>
      <c r="N296" s="2"/>
      <c r="O296" s="2"/>
      <c r="P296" s="1"/>
      <c r="Q296" s="1"/>
      <c r="R296" s="1"/>
      <c r="S296" s="1"/>
      <c r="T296" s="17"/>
      <c r="U296" s="17"/>
      <c r="V296" s="17"/>
      <c r="W296" s="17"/>
      <c r="X296" s="22"/>
      <c r="Y296" s="22"/>
      <c r="Z296" s="22"/>
      <c r="AA296" s="22"/>
      <c r="AB296" s="22"/>
      <c r="AC296" s="22"/>
      <c r="AD296" s="22"/>
      <c r="AE296" s="22"/>
      <c r="AF296" s="22"/>
      <c r="AG296" s="22"/>
      <c r="AH296" s="22"/>
      <c r="AI296" s="22"/>
      <c r="AJ296" s="17"/>
      <c r="AK296" s="22"/>
      <c r="AL296" s="22"/>
      <c r="AM296" s="22"/>
      <c r="AN296" s="22"/>
      <c r="AO296" s="17"/>
      <c r="AP296" s="17"/>
      <c r="AQ296" s="17"/>
      <c r="AR296" s="1"/>
      <c r="AS296" s="1"/>
      <c r="AT296" s="17"/>
      <c r="AU296" s="1"/>
      <c r="AV296" s="1"/>
      <c r="AW296" s="1"/>
      <c r="AX296" s="2"/>
      <c r="AY296" s="2"/>
      <c r="AZ296" s="1"/>
    </row>
    <row x14ac:dyDescent="0.25" r="297" customHeight="1" ht="15">
      <c r="A297" s="1"/>
      <c r="B297" s="1"/>
      <c r="C297" s="1"/>
      <c r="D297" s="1"/>
      <c r="E297" s="1"/>
      <c r="F297" s="1"/>
      <c r="G297" s="1"/>
      <c r="H297" s="1"/>
      <c r="I297" s="1"/>
      <c r="J297" s="1"/>
      <c r="K297" s="17"/>
      <c r="L297" s="1"/>
      <c r="M297" s="1"/>
      <c r="N297" s="2"/>
      <c r="O297" s="2"/>
      <c r="P297" s="1"/>
      <c r="Q297" s="1"/>
      <c r="R297" s="1"/>
      <c r="S297" s="1"/>
      <c r="T297" s="17"/>
      <c r="U297" s="17"/>
      <c r="V297" s="17"/>
      <c r="W297" s="17"/>
      <c r="X297" s="22"/>
      <c r="Y297" s="22"/>
      <c r="Z297" s="22"/>
      <c r="AA297" s="22"/>
      <c r="AB297" s="22"/>
      <c r="AC297" s="22"/>
      <c r="AD297" s="22"/>
      <c r="AE297" s="22"/>
      <c r="AF297" s="22"/>
      <c r="AG297" s="22"/>
      <c r="AH297" s="22"/>
      <c r="AI297" s="22"/>
      <c r="AJ297" s="17"/>
      <c r="AK297" s="22"/>
      <c r="AL297" s="22"/>
      <c r="AM297" s="22"/>
      <c r="AN297" s="22"/>
      <c r="AO297" s="17"/>
      <c r="AP297" s="17"/>
      <c r="AQ297" s="17"/>
      <c r="AR297" s="1"/>
      <c r="AS297" s="1"/>
      <c r="AT297" s="17"/>
      <c r="AU297" s="1"/>
      <c r="AV297" s="1"/>
      <c r="AW297" s="1"/>
      <c r="AX297" s="2"/>
      <c r="AY297" s="2"/>
      <c r="AZ297" s="1"/>
    </row>
    <row x14ac:dyDescent="0.25" r="298" customHeight="1" ht="15">
      <c r="A298" s="1"/>
      <c r="B298" s="1"/>
      <c r="C298" s="1"/>
      <c r="D298" s="1"/>
      <c r="E298" s="1"/>
      <c r="F298" s="1"/>
      <c r="G298" s="1"/>
      <c r="H298" s="1"/>
      <c r="I298" s="1"/>
      <c r="J298" s="1"/>
      <c r="K298" s="17"/>
      <c r="L298" s="1"/>
      <c r="M298" s="1"/>
      <c r="N298" s="2"/>
      <c r="O298" s="2"/>
      <c r="P298" s="1"/>
      <c r="Q298" s="1"/>
      <c r="R298" s="1"/>
      <c r="S298" s="1"/>
      <c r="T298" s="17"/>
      <c r="U298" s="17"/>
      <c r="V298" s="17"/>
      <c r="W298" s="17"/>
      <c r="X298" s="22"/>
      <c r="Y298" s="22"/>
      <c r="Z298" s="22"/>
      <c r="AA298" s="22"/>
      <c r="AB298" s="22"/>
      <c r="AC298" s="22"/>
      <c r="AD298" s="22"/>
      <c r="AE298" s="22"/>
      <c r="AF298" s="22"/>
      <c r="AG298" s="22"/>
      <c r="AH298" s="22"/>
      <c r="AI298" s="22"/>
      <c r="AJ298" s="17"/>
      <c r="AK298" s="22"/>
      <c r="AL298" s="22"/>
      <c r="AM298" s="22"/>
      <c r="AN298" s="22"/>
      <c r="AO298" s="17"/>
      <c r="AP298" s="17"/>
      <c r="AQ298" s="17"/>
      <c r="AR298" s="1"/>
      <c r="AS298" s="1"/>
      <c r="AT298" s="17"/>
      <c r="AU298" s="1"/>
      <c r="AV298" s="1"/>
      <c r="AW298" s="1"/>
      <c r="AX298" s="2"/>
      <c r="AY298" s="2"/>
      <c r="AZ298" s="1"/>
    </row>
    <row x14ac:dyDescent="0.25" r="299" customHeight="1" ht="15">
      <c r="A299" s="1"/>
      <c r="B299" s="1"/>
      <c r="C299" s="1"/>
      <c r="D299" s="1"/>
      <c r="E299" s="1"/>
      <c r="F299" s="1"/>
      <c r="G299" s="1"/>
      <c r="H299" s="1"/>
      <c r="I299" s="1"/>
      <c r="J299" s="1"/>
      <c r="K299" s="17"/>
      <c r="L299" s="1"/>
      <c r="M299" s="1"/>
      <c r="N299" s="2"/>
      <c r="O299" s="2"/>
      <c r="P299" s="1"/>
      <c r="Q299" s="1"/>
      <c r="R299" s="1"/>
      <c r="S299" s="1"/>
      <c r="T299" s="17"/>
      <c r="U299" s="17"/>
      <c r="V299" s="17"/>
      <c r="W299" s="17"/>
      <c r="X299" s="22"/>
      <c r="Y299" s="22"/>
      <c r="Z299" s="22"/>
      <c r="AA299" s="22"/>
      <c r="AB299" s="22"/>
      <c r="AC299" s="22"/>
      <c r="AD299" s="22"/>
      <c r="AE299" s="22"/>
      <c r="AF299" s="22"/>
      <c r="AG299" s="22"/>
      <c r="AH299" s="22"/>
      <c r="AI299" s="22"/>
      <c r="AJ299" s="17"/>
      <c r="AK299" s="22"/>
      <c r="AL299" s="22"/>
      <c r="AM299" s="22"/>
      <c r="AN299" s="22"/>
      <c r="AO299" s="17"/>
      <c r="AP299" s="17"/>
      <c r="AQ299" s="17"/>
      <c r="AR299" s="1"/>
      <c r="AS299" s="1"/>
      <c r="AT299" s="17"/>
      <c r="AU299" s="1"/>
      <c r="AV299" s="1"/>
      <c r="AW299" s="1"/>
      <c r="AX299" s="2"/>
      <c r="AY299" s="2"/>
      <c r="AZ299" s="1"/>
    </row>
    <row x14ac:dyDescent="0.25" r="300" customHeight="1" ht="15">
      <c r="A300" s="1"/>
      <c r="B300" s="1"/>
      <c r="C300" s="1"/>
      <c r="D300" s="1"/>
      <c r="E300" s="1"/>
      <c r="F300" s="1"/>
      <c r="G300" s="1"/>
      <c r="H300" s="1"/>
      <c r="I300" s="1"/>
      <c r="J300" s="1"/>
      <c r="K300" s="17"/>
      <c r="L300" s="1"/>
      <c r="M300" s="1"/>
      <c r="N300" s="2"/>
      <c r="O300" s="2"/>
      <c r="P300" s="1"/>
      <c r="Q300" s="1"/>
      <c r="R300" s="1"/>
      <c r="S300" s="1"/>
      <c r="T300" s="17"/>
      <c r="U300" s="17"/>
      <c r="V300" s="17"/>
      <c r="W300" s="17"/>
      <c r="X300" s="22"/>
      <c r="Y300" s="22"/>
      <c r="Z300" s="22"/>
      <c r="AA300" s="22"/>
      <c r="AB300" s="22"/>
      <c r="AC300" s="22"/>
      <c r="AD300" s="22"/>
      <c r="AE300" s="22"/>
      <c r="AF300" s="22"/>
      <c r="AG300" s="22"/>
      <c r="AH300" s="22"/>
      <c r="AI300" s="22"/>
      <c r="AJ300" s="17"/>
      <c r="AK300" s="22"/>
      <c r="AL300" s="22"/>
      <c r="AM300" s="22"/>
      <c r="AN300" s="22"/>
      <c r="AO300" s="17"/>
      <c r="AP300" s="17"/>
      <c r="AQ300" s="17"/>
      <c r="AR300" s="1"/>
      <c r="AS300" s="1"/>
      <c r="AT300" s="17"/>
      <c r="AU300" s="1"/>
      <c r="AV300" s="1"/>
      <c r="AW300" s="1"/>
      <c r="AX300" s="2"/>
      <c r="AY300" s="2"/>
      <c r="AZ300" s="1"/>
    </row>
    <row x14ac:dyDescent="0.25" r="301" customHeight="1" ht="15">
      <c r="A301" s="1"/>
      <c r="B301" s="1"/>
      <c r="C301" s="1"/>
      <c r="D301" s="1"/>
      <c r="E301" s="1"/>
      <c r="F301" s="1"/>
      <c r="G301" s="1"/>
      <c r="H301" s="1"/>
      <c r="I301" s="1"/>
      <c r="J301" s="1"/>
      <c r="K301" s="17"/>
      <c r="L301" s="1"/>
      <c r="M301" s="1"/>
      <c r="N301" s="2"/>
      <c r="O301" s="2"/>
      <c r="P301" s="1"/>
      <c r="Q301" s="1"/>
      <c r="R301" s="1"/>
      <c r="S301" s="1"/>
      <c r="T301" s="17"/>
      <c r="U301" s="17"/>
      <c r="V301" s="17"/>
      <c r="W301" s="17"/>
      <c r="X301" s="22"/>
      <c r="Y301" s="22"/>
      <c r="Z301" s="22"/>
      <c r="AA301" s="22"/>
      <c r="AB301" s="22"/>
      <c r="AC301" s="22"/>
      <c r="AD301" s="22"/>
      <c r="AE301" s="22"/>
      <c r="AF301" s="22"/>
      <c r="AG301" s="22"/>
      <c r="AH301" s="22"/>
      <c r="AI301" s="22"/>
      <c r="AJ301" s="17"/>
      <c r="AK301" s="22"/>
      <c r="AL301" s="22"/>
      <c r="AM301" s="22"/>
      <c r="AN301" s="22"/>
      <c r="AO301" s="17"/>
      <c r="AP301" s="17"/>
      <c r="AQ301" s="17"/>
      <c r="AR301" s="1"/>
      <c r="AS301" s="1"/>
      <c r="AT301" s="17"/>
      <c r="AU301" s="1"/>
      <c r="AV301" s="1"/>
      <c r="AW301" s="1"/>
      <c r="AX301" s="2"/>
      <c r="AY301" s="2"/>
      <c r="AZ301" s="1"/>
    </row>
    <row x14ac:dyDescent="0.25" r="302" customHeight="1" ht="15">
      <c r="A302" s="1"/>
      <c r="B302" s="1"/>
      <c r="C302" s="1"/>
      <c r="D302" s="1"/>
      <c r="E302" s="1"/>
      <c r="F302" s="1"/>
      <c r="G302" s="1"/>
      <c r="H302" s="1"/>
      <c r="I302" s="1"/>
      <c r="J302" s="1"/>
      <c r="K302" s="17"/>
      <c r="L302" s="1"/>
      <c r="M302" s="1"/>
      <c r="N302" s="2"/>
      <c r="O302" s="2"/>
      <c r="P302" s="1"/>
      <c r="Q302" s="1"/>
      <c r="R302" s="1"/>
      <c r="S302" s="1"/>
      <c r="T302" s="17"/>
      <c r="U302" s="17"/>
      <c r="V302" s="17"/>
      <c r="W302" s="17"/>
      <c r="X302" s="22"/>
      <c r="Y302" s="22"/>
      <c r="Z302" s="22"/>
      <c r="AA302" s="22"/>
      <c r="AB302" s="22"/>
      <c r="AC302" s="22"/>
      <c r="AD302" s="22"/>
      <c r="AE302" s="22"/>
      <c r="AF302" s="22"/>
      <c r="AG302" s="22"/>
      <c r="AH302" s="22"/>
      <c r="AI302" s="22"/>
      <c r="AJ302" s="17"/>
      <c r="AK302" s="22"/>
      <c r="AL302" s="22"/>
      <c r="AM302" s="22"/>
      <c r="AN302" s="22"/>
      <c r="AO302" s="17"/>
      <c r="AP302" s="17"/>
      <c r="AQ302" s="17"/>
      <c r="AR302" s="1"/>
      <c r="AS302" s="1"/>
      <c r="AT302" s="17"/>
      <c r="AU302" s="1"/>
      <c r="AV302" s="1"/>
      <c r="AW302" s="1"/>
      <c r="AX302" s="2"/>
      <c r="AY302" s="2"/>
      <c r="AZ302" s="1"/>
    </row>
    <row x14ac:dyDescent="0.25" r="303" customHeight="1" ht="15">
      <c r="A303" s="1"/>
      <c r="B303" s="1"/>
      <c r="C303" s="1"/>
      <c r="D303" s="1"/>
      <c r="E303" s="1"/>
      <c r="F303" s="1"/>
      <c r="G303" s="1"/>
      <c r="H303" s="1"/>
      <c r="I303" s="1"/>
      <c r="J303" s="1"/>
      <c r="K303" s="17"/>
      <c r="L303" s="1"/>
      <c r="M303" s="1"/>
      <c r="N303" s="2"/>
      <c r="O303" s="2"/>
      <c r="P303" s="1"/>
      <c r="Q303" s="1"/>
      <c r="R303" s="1"/>
      <c r="S303" s="1"/>
      <c r="T303" s="17"/>
      <c r="U303" s="17"/>
      <c r="V303" s="17"/>
      <c r="W303" s="17"/>
      <c r="X303" s="22"/>
      <c r="Y303" s="22"/>
      <c r="Z303" s="22"/>
      <c r="AA303" s="22"/>
      <c r="AB303" s="22"/>
      <c r="AC303" s="22"/>
      <c r="AD303" s="22"/>
      <c r="AE303" s="22"/>
      <c r="AF303" s="22"/>
      <c r="AG303" s="22"/>
      <c r="AH303" s="22"/>
      <c r="AI303" s="22"/>
      <c r="AJ303" s="17"/>
      <c r="AK303" s="22"/>
      <c r="AL303" s="22"/>
      <c r="AM303" s="22"/>
      <c r="AN303" s="22"/>
      <c r="AO303" s="17"/>
      <c r="AP303" s="17"/>
      <c r="AQ303" s="17"/>
      <c r="AR303" s="1"/>
      <c r="AS303" s="1"/>
      <c r="AT303" s="17"/>
      <c r="AU303" s="1"/>
      <c r="AV303" s="1"/>
      <c r="AW303" s="1"/>
      <c r="AX303" s="2"/>
      <c r="AY303" s="2"/>
      <c r="AZ303" s="1"/>
    </row>
    <row x14ac:dyDescent="0.25" r="304" customHeight="1" ht="15">
      <c r="A304" s="1"/>
      <c r="B304" s="1"/>
      <c r="C304" s="1"/>
      <c r="D304" s="1"/>
      <c r="E304" s="1"/>
      <c r="F304" s="1"/>
      <c r="G304" s="1"/>
      <c r="H304" s="1"/>
      <c r="I304" s="1"/>
      <c r="J304" s="1"/>
      <c r="K304" s="17"/>
      <c r="L304" s="1"/>
      <c r="M304" s="1"/>
      <c r="N304" s="2"/>
      <c r="O304" s="2"/>
      <c r="P304" s="1"/>
      <c r="Q304" s="1"/>
      <c r="R304" s="1"/>
      <c r="S304" s="1"/>
      <c r="T304" s="17"/>
      <c r="U304" s="17"/>
      <c r="V304" s="17"/>
      <c r="W304" s="17"/>
      <c r="X304" s="22"/>
      <c r="Y304" s="22"/>
      <c r="Z304" s="22"/>
      <c r="AA304" s="22"/>
      <c r="AB304" s="22"/>
      <c r="AC304" s="22"/>
      <c r="AD304" s="22"/>
      <c r="AE304" s="22"/>
      <c r="AF304" s="22"/>
      <c r="AG304" s="22"/>
      <c r="AH304" s="22"/>
      <c r="AI304" s="22"/>
      <c r="AJ304" s="17"/>
      <c r="AK304" s="22"/>
      <c r="AL304" s="22"/>
      <c r="AM304" s="22"/>
      <c r="AN304" s="22"/>
      <c r="AO304" s="17"/>
      <c r="AP304" s="17"/>
      <c r="AQ304" s="17"/>
      <c r="AR304" s="1"/>
      <c r="AS304" s="1"/>
      <c r="AT304" s="17"/>
      <c r="AU304" s="1"/>
      <c r="AV304" s="1"/>
      <c r="AW304" s="1"/>
      <c r="AX304" s="2"/>
      <c r="AY304" s="2"/>
      <c r="AZ304" s="1"/>
    </row>
    <row x14ac:dyDescent="0.25" r="305" customHeight="1" ht="15">
      <c r="A305" s="1"/>
      <c r="B305" s="1"/>
      <c r="C305" s="1"/>
      <c r="D305" s="1"/>
      <c r="E305" s="1"/>
      <c r="F305" s="1"/>
      <c r="G305" s="1"/>
      <c r="H305" s="1"/>
      <c r="I305" s="1"/>
      <c r="J305" s="1"/>
      <c r="K305" s="17"/>
      <c r="L305" s="1"/>
      <c r="M305" s="1"/>
      <c r="N305" s="2"/>
      <c r="O305" s="2"/>
      <c r="P305" s="1"/>
      <c r="Q305" s="1"/>
      <c r="R305" s="1"/>
      <c r="S305" s="1"/>
      <c r="T305" s="17"/>
      <c r="U305" s="17"/>
      <c r="V305" s="17"/>
      <c r="W305" s="17"/>
      <c r="X305" s="22"/>
      <c r="Y305" s="22"/>
      <c r="Z305" s="22"/>
      <c r="AA305" s="22"/>
      <c r="AB305" s="22"/>
      <c r="AC305" s="22"/>
      <c r="AD305" s="22"/>
      <c r="AE305" s="22"/>
      <c r="AF305" s="22"/>
      <c r="AG305" s="22"/>
      <c r="AH305" s="22"/>
      <c r="AI305" s="22"/>
      <c r="AJ305" s="17"/>
      <c r="AK305" s="22"/>
      <c r="AL305" s="22"/>
      <c r="AM305" s="22"/>
      <c r="AN305" s="22"/>
      <c r="AO305" s="17"/>
      <c r="AP305" s="17"/>
      <c r="AQ305" s="17"/>
      <c r="AR305" s="1"/>
      <c r="AS305" s="1"/>
      <c r="AT305" s="17"/>
      <c r="AU305" s="1"/>
      <c r="AV305" s="1"/>
      <c r="AW305" s="1"/>
      <c r="AX305" s="2"/>
      <c r="AY305" s="2"/>
      <c r="AZ305" s="1"/>
    </row>
    <row x14ac:dyDescent="0.25" r="306" customHeight="1" ht="15">
      <c r="A306" s="1"/>
      <c r="B306" s="1"/>
      <c r="C306" s="1"/>
      <c r="D306" s="1"/>
      <c r="E306" s="1"/>
      <c r="F306" s="1"/>
      <c r="G306" s="1"/>
      <c r="H306" s="1"/>
      <c r="I306" s="1"/>
      <c r="J306" s="1"/>
      <c r="K306" s="17"/>
      <c r="L306" s="1"/>
      <c r="M306" s="1"/>
      <c r="N306" s="2"/>
      <c r="O306" s="2"/>
      <c r="P306" s="1"/>
      <c r="Q306" s="1"/>
      <c r="R306" s="1"/>
      <c r="S306" s="1"/>
      <c r="T306" s="17"/>
      <c r="U306" s="17"/>
      <c r="V306" s="17"/>
      <c r="W306" s="17"/>
      <c r="X306" s="22"/>
      <c r="Y306" s="22"/>
      <c r="Z306" s="22"/>
      <c r="AA306" s="22"/>
      <c r="AB306" s="22"/>
      <c r="AC306" s="22"/>
      <c r="AD306" s="22"/>
      <c r="AE306" s="22"/>
      <c r="AF306" s="22"/>
      <c r="AG306" s="22"/>
      <c r="AH306" s="22"/>
      <c r="AI306" s="22"/>
      <c r="AJ306" s="17"/>
      <c r="AK306" s="22"/>
      <c r="AL306" s="22"/>
      <c r="AM306" s="22"/>
      <c r="AN306" s="22"/>
      <c r="AO306" s="17"/>
      <c r="AP306" s="17"/>
      <c r="AQ306" s="17"/>
      <c r="AR306" s="1"/>
      <c r="AS306" s="1"/>
      <c r="AT306" s="17"/>
      <c r="AU306" s="1"/>
      <c r="AV306" s="1"/>
      <c r="AW306" s="1"/>
      <c r="AX306" s="2"/>
      <c r="AY306" s="2"/>
      <c r="AZ306" s="1"/>
    </row>
    <row x14ac:dyDescent="0.25" r="307" customHeight="1" ht="15">
      <c r="A307" s="1"/>
      <c r="B307" s="1"/>
      <c r="C307" s="1"/>
      <c r="D307" s="1"/>
      <c r="E307" s="1"/>
      <c r="F307" s="1"/>
      <c r="G307" s="1"/>
      <c r="H307" s="1"/>
      <c r="I307" s="1"/>
      <c r="J307" s="1"/>
      <c r="K307" s="17"/>
      <c r="L307" s="1"/>
      <c r="M307" s="1"/>
      <c r="N307" s="2"/>
      <c r="O307" s="2"/>
      <c r="P307" s="1"/>
      <c r="Q307" s="1"/>
      <c r="R307" s="1"/>
      <c r="S307" s="1"/>
      <c r="T307" s="17"/>
      <c r="U307" s="17"/>
      <c r="V307" s="17"/>
      <c r="W307" s="17"/>
      <c r="X307" s="22"/>
      <c r="Y307" s="22"/>
      <c r="Z307" s="22"/>
      <c r="AA307" s="22"/>
      <c r="AB307" s="22"/>
      <c r="AC307" s="22"/>
      <c r="AD307" s="22"/>
      <c r="AE307" s="22"/>
      <c r="AF307" s="22"/>
      <c r="AG307" s="22"/>
      <c r="AH307" s="22"/>
      <c r="AI307" s="22"/>
      <c r="AJ307" s="17"/>
      <c r="AK307" s="22"/>
      <c r="AL307" s="22"/>
      <c r="AM307" s="22"/>
      <c r="AN307" s="22"/>
      <c r="AO307" s="17"/>
      <c r="AP307" s="17"/>
      <c r="AQ307" s="17"/>
      <c r="AR307" s="1"/>
      <c r="AS307" s="1"/>
      <c r="AT307" s="17"/>
      <c r="AU307" s="1"/>
      <c r="AV307" s="1"/>
      <c r="AW307" s="1"/>
      <c r="AX307" s="2"/>
      <c r="AY307" s="2"/>
      <c r="AZ307" s="1"/>
    </row>
    <row x14ac:dyDescent="0.25" r="308" customHeight="1" ht="15">
      <c r="A308" s="1"/>
      <c r="B308" s="1"/>
      <c r="C308" s="1"/>
      <c r="D308" s="1"/>
      <c r="E308" s="1"/>
      <c r="F308" s="1"/>
      <c r="G308" s="1"/>
      <c r="H308" s="1"/>
      <c r="I308" s="1"/>
      <c r="J308" s="1"/>
      <c r="K308" s="17"/>
      <c r="L308" s="1"/>
      <c r="M308" s="1"/>
      <c r="N308" s="2"/>
      <c r="O308" s="2"/>
      <c r="P308" s="1"/>
      <c r="Q308" s="1"/>
      <c r="R308" s="1"/>
      <c r="S308" s="1"/>
      <c r="T308" s="17"/>
      <c r="U308" s="17"/>
      <c r="V308" s="17"/>
      <c r="W308" s="17"/>
      <c r="X308" s="22"/>
      <c r="Y308" s="22"/>
      <c r="Z308" s="22"/>
      <c r="AA308" s="22"/>
      <c r="AB308" s="22"/>
      <c r="AC308" s="22"/>
      <c r="AD308" s="22"/>
      <c r="AE308" s="22"/>
      <c r="AF308" s="22"/>
      <c r="AG308" s="22"/>
      <c r="AH308" s="22"/>
      <c r="AI308" s="22"/>
      <c r="AJ308" s="17"/>
      <c r="AK308" s="22"/>
      <c r="AL308" s="22"/>
      <c r="AM308" s="22"/>
      <c r="AN308" s="22"/>
      <c r="AO308" s="17"/>
      <c r="AP308" s="17"/>
      <c r="AQ308" s="17"/>
      <c r="AR308" s="1"/>
      <c r="AS308" s="1"/>
      <c r="AT308" s="17"/>
      <c r="AU308" s="1"/>
      <c r="AV308" s="1"/>
      <c r="AW308" s="1"/>
      <c r="AX308" s="2"/>
      <c r="AY308" s="2"/>
      <c r="AZ308" s="1"/>
    </row>
    <row x14ac:dyDescent="0.25" r="309" customHeight="1" ht="15">
      <c r="A309" s="1"/>
      <c r="B309" s="1"/>
      <c r="C309" s="1"/>
      <c r="D309" s="1"/>
      <c r="E309" s="1"/>
      <c r="F309" s="1"/>
      <c r="G309" s="1"/>
      <c r="H309" s="1"/>
      <c r="I309" s="1"/>
      <c r="J309" s="1"/>
      <c r="K309" s="17"/>
      <c r="L309" s="1"/>
      <c r="M309" s="1"/>
      <c r="N309" s="2"/>
      <c r="O309" s="2"/>
      <c r="P309" s="1"/>
      <c r="Q309" s="1"/>
      <c r="R309" s="1"/>
      <c r="S309" s="1"/>
      <c r="T309" s="17"/>
      <c r="U309" s="17"/>
      <c r="V309" s="17"/>
      <c r="W309" s="17"/>
      <c r="X309" s="22"/>
      <c r="Y309" s="22"/>
      <c r="Z309" s="22"/>
      <c r="AA309" s="22"/>
      <c r="AB309" s="22"/>
      <c r="AC309" s="22"/>
      <c r="AD309" s="22"/>
      <c r="AE309" s="22"/>
      <c r="AF309" s="22"/>
      <c r="AG309" s="22"/>
      <c r="AH309" s="22"/>
      <c r="AI309" s="22"/>
      <c r="AJ309" s="17"/>
      <c r="AK309" s="22"/>
      <c r="AL309" s="22"/>
      <c r="AM309" s="22"/>
      <c r="AN309" s="22"/>
      <c r="AO309" s="17"/>
      <c r="AP309" s="17"/>
      <c r="AQ309" s="17"/>
      <c r="AR309" s="1"/>
      <c r="AS309" s="1"/>
      <c r="AT309" s="17"/>
      <c r="AU309" s="1"/>
      <c r="AV309" s="1"/>
      <c r="AW309" s="1"/>
      <c r="AX309" s="2"/>
      <c r="AY309" s="2"/>
      <c r="AZ309" s="1"/>
    </row>
    <row x14ac:dyDescent="0.25" r="310" customHeight="1" ht="15">
      <c r="A310" s="1"/>
      <c r="B310" s="1"/>
      <c r="C310" s="1"/>
      <c r="D310" s="1"/>
      <c r="E310" s="1"/>
      <c r="F310" s="1"/>
      <c r="G310" s="1"/>
      <c r="H310" s="1"/>
      <c r="I310" s="1"/>
      <c r="J310" s="1"/>
      <c r="K310" s="17"/>
      <c r="L310" s="1"/>
      <c r="M310" s="1"/>
      <c r="N310" s="2"/>
      <c r="O310" s="2"/>
      <c r="P310" s="1"/>
      <c r="Q310" s="1"/>
      <c r="R310" s="1"/>
      <c r="S310" s="1"/>
      <c r="T310" s="17"/>
      <c r="U310" s="17"/>
      <c r="V310" s="17"/>
      <c r="W310" s="17"/>
      <c r="X310" s="22"/>
      <c r="Y310" s="22"/>
      <c r="Z310" s="22"/>
      <c r="AA310" s="22"/>
      <c r="AB310" s="22"/>
      <c r="AC310" s="22"/>
      <c r="AD310" s="22"/>
      <c r="AE310" s="22"/>
      <c r="AF310" s="22"/>
      <c r="AG310" s="22"/>
      <c r="AH310" s="22"/>
      <c r="AI310" s="22"/>
      <c r="AJ310" s="17"/>
      <c r="AK310" s="22"/>
      <c r="AL310" s="22"/>
      <c r="AM310" s="22"/>
      <c r="AN310" s="22"/>
      <c r="AO310" s="17"/>
      <c r="AP310" s="17"/>
      <c r="AQ310" s="17"/>
      <c r="AR310" s="1"/>
      <c r="AS310" s="1"/>
      <c r="AT310" s="17"/>
      <c r="AU310" s="1"/>
      <c r="AV310" s="1"/>
      <c r="AW310" s="1"/>
      <c r="AX310" s="2"/>
      <c r="AY310" s="2"/>
      <c r="AZ310" s="1"/>
    </row>
    <row x14ac:dyDescent="0.25" r="311" customHeight="1" ht="15">
      <c r="A311" s="1"/>
      <c r="B311" s="1"/>
      <c r="C311" s="1"/>
      <c r="D311" s="1"/>
      <c r="E311" s="1"/>
      <c r="F311" s="1"/>
      <c r="G311" s="1"/>
      <c r="H311" s="1"/>
      <c r="I311" s="1"/>
      <c r="J311" s="1"/>
      <c r="K311" s="17"/>
      <c r="L311" s="1"/>
      <c r="M311" s="1"/>
      <c r="N311" s="2"/>
      <c r="O311" s="2"/>
      <c r="P311" s="1"/>
      <c r="Q311" s="1"/>
      <c r="R311" s="1"/>
      <c r="S311" s="1"/>
      <c r="T311" s="17"/>
      <c r="U311" s="17"/>
      <c r="V311" s="17"/>
      <c r="W311" s="17"/>
      <c r="X311" s="22"/>
      <c r="Y311" s="22"/>
      <c r="Z311" s="22"/>
      <c r="AA311" s="22"/>
      <c r="AB311" s="22"/>
      <c r="AC311" s="22"/>
      <c r="AD311" s="22"/>
      <c r="AE311" s="22"/>
      <c r="AF311" s="22"/>
      <c r="AG311" s="22"/>
      <c r="AH311" s="22"/>
      <c r="AI311" s="22"/>
      <c r="AJ311" s="17"/>
      <c r="AK311" s="22"/>
      <c r="AL311" s="22"/>
      <c r="AM311" s="22"/>
      <c r="AN311" s="22"/>
      <c r="AO311" s="17"/>
      <c r="AP311" s="17"/>
      <c r="AQ311" s="17"/>
      <c r="AR311" s="1"/>
      <c r="AS311" s="1"/>
      <c r="AT311" s="17"/>
      <c r="AU311" s="1"/>
      <c r="AV311" s="1"/>
      <c r="AW311" s="1"/>
      <c r="AX311" s="2"/>
      <c r="AY311" s="2"/>
      <c r="AZ311" s="1"/>
    </row>
    <row x14ac:dyDescent="0.25" r="312" customHeight="1" ht="15">
      <c r="A312" s="1"/>
      <c r="B312" s="1"/>
      <c r="C312" s="1"/>
      <c r="D312" s="1"/>
      <c r="E312" s="1"/>
      <c r="F312" s="1"/>
      <c r="G312" s="1"/>
      <c r="H312" s="1"/>
      <c r="I312" s="1"/>
      <c r="J312" s="1"/>
      <c r="K312" s="17"/>
      <c r="L312" s="1"/>
      <c r="M312" s="1"/>
      <c r="N312" s="2"/>
      <c r="O312" s="2"/>
      <c r="P312" s="1"/>
      <c r="Q312" s="1"/>
      <c r="R312" s="1"/>
      <c r="S312" s="1"/>
      <c r="T312" s="17"/>
      <c r="U312" s="17"/>
      <c r="V312" s="17"/>
      <c r="W312" s="17"/>
      <c r="X312" s="22"/>
      <c r="Y312" s="22"/>
      <c r="Z312" s="22"/>
      <c r="AA312" s="22"/>
      <c r="AB312" s="22"/>
      <c r="AC312" s="22"/>
      <c r="AD312" s="22"/>
      <c r="AE312" s="22"/>
      <c r="AF312" s="22"/>
      <c r="AG312" s="22"/>
      <c r="AH312" s="22"/>
      <c r="AI312" s="22"/>
      <c r="AJ312" s="17"/>
      <c r="AK312" s="22"/>
      <c r="AL312" s="22"/>
      <c r="AM312" s="22"/>
      <c r="AN312" s="22"/>
      <c r="AO312" s="17"/>
      <c r="AP312" s="17"/>
      <c r="AQ312" s="17"/>
      <c r="AR312" s="1"/>
      <c r="AS312" s="1"/>
      <c r="AT312" s="17"/>
      <c r="AU312" s="1"/>
      <c r="AV312" s="1"/>
      <c r="AW312" s="1"/>
      <c r="AX312" s="2"/>
      <c r="AY312" s="2"/>
      <c r="AZ312" s="1"/>
    </row>
    <row x14ac:dyDescent="0.25" r="313" customHeight="1" ht="15">
      <c r="A313" s="1"/>
      <c r="B313" s="1"/>
      <c r="C313" s="1"/>
      <c r="D313" s="1"/>
      <c r="E313" s="1"/>
      <c r="F313" s="1"/>
      <c r="G313" s="1"/>
      <c r="H313" s="1"/>
      <c r="I313" s="1"/>
      <c r="J313" s="1"/>
      <c r="K313" s="17"/>
      <c r="L313" s="1"/>
      <c r="M313" s="1"/>
      <c r="N313" s="2"/>
      <c r="O313" s="2"/>
      <c r="P313" s="1"/>
      <c r="Q313" s="1"/>
      <c r="R313" s="1"/>
      <c r="S313" s="1"/>
      <c r="T313" s="17"/>
      <c r="U313" s="17"/>
      <c r="V313" s="17"/>
      <c r="W313" s="17"/>
      <c r="X313" s="22"/>
      <c r="Y313" s="22"/>
      <c r="Z313" s="22"/>
      <c r="AA313" s="22"/>
      <c r="AB313" s="22"/>
      <c r="AC313" s="22"/>
      <c r="AD313" s="22"/>
      <c r="AE313" s="22"/>
      <c r="AF313" s="22"/>
      <c r="AG313" s="22"/>
      <c r="AH313" s="22"/>
      <c r="AI313" s="22"/>
      <c r="AJ313" s="17"/>
      <c r="AK313" s="22"/>
      <c r="AL313" s="22"/>
      <c r="AM313" s="22"/>
      <c r="AN313" s="22"/>
      <c r="AO313" s="17"/>
      <c r="AP313" s="17"/>
      <c r="AQ313" s="17"/>
      <c r="AR313" s="1"/>
      <c r="AS313" s="1"/>
      <c r="AT313" s="17"/>
      <c r="AU313" s="1"/>
      <c r="AV313" s="1"/>
      <c r="AW313" s="1"/>
      <c r="AX313" s="2"/>
      <c r="AY313" s="2"/>
      <c r="AZ313" s="1"/>
    </row>
    <row x14ac:dyDescent="0.25" r="314" customHeight="1" ht="15">
      <c r="A314" s="1"/>
      <c r="B314" s="1"/>
      <c r="C314" s="1"/>
      <c r="D314" s="1"/>
      <c r="E314" s="1"/>
      <c r="F314" s="1"/>
      <c r="G314" s="1"/>
      <c r="H314" s="1"/>
      <c r="I314" s="1"/>
      <c r="J314" s="1"/>
      <c r="K314" s="17"/>
      <c r="L314" s="1"/>
      <c r="M314" s="1"/>
      <c r="N314" s="2"/>
      <c r="O314" s="2"/>
      <c r="P314" s="1"/>
      <c r="Q314" s="1"/>
      <c r="R314" s="1"/>
      <c r="S314" s="1"/>
      <c r="T314" s="17"/>
      <c r="U314" s="17"/>
      <c r="V314" s="17"/>
      <c r="W314" s="17"/>
      <c r="X314" s="22"/>
      <c r="Y314" s="22"/>
      <c r="Z314" s="22"/>
      <c r="AA314" s="22"/>
      <c r="AB314" s="22"/>
      <c r="AC314" s="22"/>
      <c r="AD314" s="22"/>
      <c r="AE314" s="22"/>
      <c r="AF314" s="22"/>
      <c r="AG314" s="22"/>
      <c r="AH314" s="22"/>
      <c r="AI314" s="22"/>
      <c r="AJ314" s="17"/>
      <c r="AK314" s="22"/>
      <c r="AL314" s="22"/>
      <c r="AM314" s="22"/>
      <c r="AN314" s="22"/>
      <c r="AO314" s="17"/>
      <c r="AP314" s="17"/>
      <c r="AQ314" s="17"/>
      <c r="AR314" s="1"/>
      <c r="AS314" s="1"/>
      <c r="AT314" s="17"/>
      <c r="AU314" s="1"/>
      <c r="AV314" s="1"/>
      <c r="AW314" s="1"/>
      <c r="AX314" s="2"/>
      <c r="AY314" s="2"/>
      <c r="AZ314" s="1"/>
    </row>
    <row x14ac:dyDescent="0.25" r="315" customHeight="1" ht="15">
      <c r="A315" s="1"/>
      <c r="B315" s="1"/>
      <c r="C315" s="1"/>
      <c r="D315" s="1"/>
      <c r="E315" s="1"/>
      <c r="F315" s="1"/>
      <c r="G315" s="1"/>
      <c r="H315" s="1"/>
      <c r="I315" s="1"/>
      <c r="J315" s="1"/>
      <c r="K315" s="17"/>
      <c r="L315" s="1"/>
      <c r="M315" s="1"/>
      <c r="N315" s="2"/>
      <c r="O315" s="2"/>
      <c r="P315" s="1"/>
      <c r="Q315" s="1"/>
      <c r="R315" s="1"/>
      <c r="S315" s="1"/>
      <c r="T315" s="17"/>
      <c r="U315" s="17"/>
      <c r="V315" s="17"/>
      <c r="W315" s="17"/>
      <c r="X315" s="22"/>
      <c r="Y315" s="22"/>
      <c r="Z315" s="22"/>
      <c r="AA315" s="22"/>
      <c r="AB315" s="22"/>
      <c r="AC315" s="22"/>
      <c r="AD315" s="22"/>
      <c r="AE315" s="22"/>
      <c r="AF315" s="22"/>
      <c r="AG315" s="22"/>
      <c r="AH315" s="22"/>
      <c r="AI315" s="22"/>
      <c r="AJ315" s="17"/>
      <c r="AK315" s="22"/>
      <c r="AL315" s="22"/>
      <c r="AM315" s="22"/>
      <c r="AN315" s="22"/>
      <c r="AO315" s="17"/>
      <c r="AP315" s="17"/>
      <c r="AQ315" s="17"/>
      <c r="AR315" s="1"/>
      <c r="AS315" s="1"/>
      <c r="AT315" s="17"/>
      <c r="AU315" s="1"/>
      <c r="AV315" s="1"/>
      <c r="AW315" s="1"/>
      <c r="AX315" s="2"/>
      <c r="AY315" s="2"/>
      <c r="AZ315" s="1"/>
    </row>
    <row x14ac:dyDescent="0.25" r="316" customHeight="1" ht="15">
      <c r="A316" s="1"/>
      <c r="B316" s="1"/>
      <c r="C316" s="1"/>
      <c r="D316" s="1"/>
      <c r="E316" s="1"/>
      <c r="F316" s="1"/>
      <c r="G316" s="1"/>
      <c r="H316" s="1"/>
      <c r="I316" s="1"/>
      <c r="J316" s="1"/>
      <c r="K316" s="17"/>
      <c r="L316" s="1"/>
      <c r="M316" s="1"/>
      <c r="N316" s="2"/>
      <c r="O316" s="2"/>
      <c r="P316" s="1"/>
      <c r="Q316" s="1"/>
      <c r="R316" s="1"/>
      <c r="S316" s="1"/>
      <c r="T316" s="17"/>
      <c r="U316" s="17"/>
      <c r="V316" s="17"/>
      <c r="W316" s="17"/>
      <c r="X316" s="22"/>
      <c r="Y316" s="22"/>
      <c r="Z316" s="22"/>
      <c r="AA316" s="22"/>
      <c r="AB316" s="22"/>
      <c r="AC316" s="22"/>
      <c r="AD316" s="22"/>
      <c r="AE316" s="22"/>
      <c r="AF316" s="22"/>
      <c r="AG316" s="22"/>
      <c r="AH316" s="22"/>
      <c r="AI316" s="22"/>
      <c r="AJ316" s="17"/>
      <c r="AK316" s="22"/>
      <c r="AL316" s="22"/>
      <c r="AM316" s="22"/>
      <c r="AN316" s="22"/>
      <c r="AO316" s="17"/>
      <c r="AP316" s="17"/>
      <c r="AQ316" s="17"/>
      <c r="AR316" s="1"/>
      <c r="AS316" s="1"/>
      <c r="AT316" s="17"/>
      <c r="AU316" s="1"/>
      <c r="AV316" s="1"/>
      <c r="AW316" s="1"/>
      <c r="AX316" s="2"/>
      <c r="AY316" s="2"/>
      <c r="AZ316" s="1"/>
    </row>
    <row x14ac:dyDescent="0.25" r="317" customHeight="1" ht="15">
      <c r="A317" s="1"/>
      <c r="B317" s="1"/>
      <c r="C317" s="1"/>
      <c r="D317" s="1"/>
      <c r="E317" s="1"/>
      <c r="F317" s="1"/>
      <c r="G317" s="1"/>
      <c r="H317" s="1"/>
      <c r="I317" s="1"/>
      <c r="J317" s="1"/>
      <c r="K317" s="17"/>
      <c r="L317" s="1"/>
      <c r="M317" s="1"/>
      <c r="N317" s="2"/>
      <c r="O317" s="2"/>
      <c r="P317" s="1"/>
      <c r="Q317" s="1"/>
      <c r="R317" s="1"/>
      <c r="S317" s="1"/>
      <c r="T317" s="17"/>
      <c r="U317" s="17"/>
      <c r="V317" s="17"/>
      <c r="W317" s="17"/>
      <c r="X317" s="22"/>
      <c r="Y317" s="22"/>
      <c r="Z317" s="22"/>
      <c r="AA317" s="22"/>
      <c r="AB317" s="22"/>
      <c r="AC317" s="22"/>
      <c r="AD317" s="22"/>
      <c r="AE317" s="22"/>
      <c r="AF317" s="22"/>
      <c r="AG317" s="22"/>
      <c r="AH317" s="22"/>
      <c r="AI317" s="22"/>
      <c r="AJ317" s="17"/>
      <c r="AK317" s="22"/>
      <c r="AL317" s="22"/>
      <c r="AM317" s="22"/>
      <c r="AN317" s="22"/>
      <c r="AO317" s="17"/>
      <c r="AP317" s="17"/>
      <c r="AQ317" s="17"/>
      <c r="AR317" s="1"/>
      <c r="AS317" s="1"/>
      <c r="AT317" s="17"/>
      <c r="AU317" s="1"/>
      <c r="AV317" s="1"/>
      <c r="AW317" s="1"/>
      <c r="AX317" s="2"/>
      <c r="AY317" s="2"/>
      <c r="AZ317" s="1"/>
    </row>
    <row x14ac:dyDescent="0.25" r="318" customHeight="1" ht="15">
      <c r="A318" s="1"/>
      <c r="B318" s="1"/>
      <c r="C318" s="1"/>
      <c r="D318" s="1"/>
      <c r="E318" s="1"/>
      <c r="F318" s="1"/>
      <c r="G318" s="1"/>
      <c r="H318" s="1"/>
      <c r="I318" s="1"/>
      <c r="J318" s="1"/>
      <c r="K318" s="17"/>
      <c r="L318" s="1"/>
      <c r="M318" s="1"/>
      <c r="N318" s="2"/>
      <c r="O318" s="2"/>
      <c r="P318" s="1"/>
      <c r="Q318" s="1"/>
      <c r="R318" s="1"/>
      <c r="S318" s="1"/>
      <c r="T318" s="17"/>
      <c r="U318" s="17"/>
      <c r="V318" s="17"/>
      <c r="W318" s="17"/>
      <c r="X318" s="22"/>
      <c r="Y318" s="22"/>
      <c r="Z318" s="22"/>
      <c r="AA318" s="22"/>
      <c r="AB318" s="22"/>
      <c r="AC318" s="22"/>
      <c r="AD318" s="22"/>
      <c r="AE318" s="22"/>
      <c r="AF318" s="22"/>
      <c r="AG318" s="22"/>
      <c r="AH318" s="22"/>
      <c r="AI318" s="22"/>
      <c r="AJ318" s="17"/>
      <c r="AK318" s="22"/>
      <c r="AL318" s="22"/>
      <c r="AM318" s="22"/>
      <c r="AN318" s="22"/>
      <c r="AO318" s="17"/>
      <c r="AP318" s="17"/>
      <c r="AQ318" s="17"/>
      <c r="AR318" s="1"/>
      <c r="AS318" s="1"/>
      <c r="AT318" s="17"/>
      <c r="AU318" s="1"/>
      <c r="AV318" s="1"/>
      <c r="AW318" s="1"/>
      <c r="AX318" s="2"/>
      <c r="AY318" s="2"/>
      <c r="AZ318" s="1"/>
    </row>
    <row x14ac:dyDescent="0.25" r="319" customHeight="1" ht="15">
      <c r="A319" s="1"/>
      <c r="B319" s="1"/>
      <c r="C319" s="1"/>
      <c r="D319" s="1"/>
      <c r="E319" s="1"/>
      <c r="F319" s="1"/>
      <c r="G319" s="1"/>
      <c r="H319" s="1"/>
      <c r="I319" s="1"/>
      <c r="J319" s="1"/>
      <c r="K319" s="17"/>
      <c r="L319" s="1"/>
      <c r="M319" s="1"/>
      <c r="N319" s="2"/>
      <c r="O319" s="2"/>
      <c r="P319" s="1"/>
      <c r="Q319" s="1"/>
      <c r="R319" s="1"/>
      <c r="S319" s="1"/>
      <c r="T319" s="17"/>
      <c r="U319" s="17"/>
      <c r="V319" s="17"/>
      <c r="W319" s="17"/>
      <c r="X319" s="22"/>
      <c r="Y319" s="22"/>
      <c r="Z319" s="22"/>
      <c r="AA319" s="22"/>
      <c r="AB319" s="22"/>
      <c r="AC319" s="22"/>
      <c r="AD319" s="22"/>
      <c r="AE319" s="22"/>
      <c r="AF319" s="22"/>
      <c r="AG319" s="22"/>
      <c r="AH319" s="22"/>
      <c r="AI319" s="22"/>
      <c r="AJ319" s="17"/>
      <c r="AK319" s="22"/>
      <c r="AL319" s="22"/>
      <c r="AM319" s="22"/>
      <c r="AN319" s="22"/>
      <c r="AO319" s="17"/>
      <c r="AP319" s="17"/>
      <c r="AQ319" s="17"/>
      <c r="AR319" s="1"/>
      <c r="AS319" s="1"/>
      <c r="AT319" s="17"/>
      <c r="AU319" s="1"/>
      <c r="AV319" s="1"/>
      <c r="AW319" s="1"/>
      <c r="AX319" s="2"/>
      <c r="AY319" s="2"/>
      <c r="AZ319" s="1"/>
    </row>
    <row x14ac:dyDescent="0.25" r="320" customHeight="1" ht="15">
      <c r="A320" s="1"/>
      <c r="B320" s="1"/>
      <c r="C320" s="1"/>
      <c r="D320" s="1"/>
      <c r="E320" s="1"/>
      <c r="F320" s="1"/>
      <c r="G320" s="1"/>
      <c r="H320" s="1"/>
      <c r="I320" s="1"/>
      <c r="J320" s="1"/>
      <c r="K320" s="17"/>
      <c r="L320" s="1"/>
      <c r="M320" s="1"/>
      <c r="N320" s="2"/>
      <c r="O320" s="2"/>
      <c r="P320" s="1"/>
      <c r="Q320" s="1"/>
      <c r="R320" s="1"/>
      <c r="S320" s="1"/>
      <c r="T320" s="17"/>
      <c r="U320" s="17"/>
      <c r="V320" s="17"/>
      <c r="W320" s="17"/>
      <c r="X320" s="22"/>
      <c r="Y320" s="22"/>
      <c r="Z320" s="22"/>
      <c r="AA320" s="22"/>
      <c r="AB320" s="22"/>
      <c r="AC320" s="22"/>
      <c r="AD320" s="22"/>
      <c r="AE320" s="22"/>
      <c r="AF320" s="22"/>
      <c r="AG320" s="22"/>
      <c r="AH320" s="22"/>
      <c r="AI320" s="22"/>
      <c r="AJ320" s="17"/>
      <c r="AK320" s="22"/>
      <c r="AL320" s="22"/>
      <c r="AM320" s="22"/>
      <c r="AN320" s="22"/>
      <c r="AO320" s="17"/>
      <c r="AP320" s="17"/>
      <c r="AQ320" s="17"/>
      <c r="AR320" s="1"/>
      <c r="AS320" s="1"/>
      <c r="AT320" s="17"/>
      <c r="AU320" s="1"/>
      <c r="AV320" s="1"/>
      <c r="AW320" s="1"/>
      <c r="AX320" s="2"/>
      <c r="AY320" s="2"/>
      <c r="AZ320" s="1"/>
    </row>
    <row x14ac:dyDescent="0.25" r="321" customHeight="1" ht="15">
      <c r="A321" s="1"/>
      <c r="B321" s="1"/>
      <c r="C321" s="1"/>
      <c r="D321" s="1"/>
      <c r="E321" s="1"/>
      <c r="F321" s="1"/>
      <c r="G321" s="1"/>
      <c r="H321" s="1"/>
      <c r="I321" s="1"/>
      <c r="J321" s="1"/>
      <c r="K321" s="17"/>
      <c r="L321" s="1"/>
      <c r="M321" s="1"/>
      <c r="N321" s="2"/>
      <c r="O321" s="2"/>
      <c r="P321" s="1"/>
      <c r="Q321" s="1"/>
      <c r="R321" s="1"/>
      <c r="S321" s="1"/>
      <c r="T321" s="17"/>
      <c r="U321" s="17"/>
      <c r="V321" s="17"/>
      <c r="W321" s="17"/>
      <c r="X321" s="22"/>
      <c r="Y321" s="22"/>
      <c r="Z321" s="22"/>
      <c r="AA321" s="22"/>
      <c r="AB321" s="22"/>
      <c r="AC321" s="22"/>
      <c r="AD321" s="22"/>
      <c r="AE321" s="22"/>
      <c r="AF321" s="22"/>
      <c r="AG321" s="22"/>
      <c r="AH321" s="22"/>
      <c r="AI321" s="22"/>
      <c r="AJ321" s="17"/>
      <c r="AK321" s="22"/>
      <c r="AL321" s="22"/>
      <c r="AM321" s="22"/>
      <c r="AN321" s="22"/>
      <c r="AO321" s="17"/>
      <c r="AP321" s="17"/>
      <c r="AQ321" s="17"/>
      <c r="AR321" s="1"/>
      <c r="AS321" s="1"/>
      <c r="AT321" s="17"/>
      <c r="AU321" s="1"/>
      <c r="AV321" s="1"/>
      <c r="AW321" s="1"/>
      <c r="AX321" s="2"/>
      <c r="AY321" s="2"/>
      <c r="AZ321" s="1"/>
    </row>
    <row x14ac:dyDescent="0.25" r="322" customHeight="1" ht="15">
      <c r="A322" s="1"/>
      <c r="B322" s="1"/>
      <c r="C322" s="1"/>
      <c r="D322" s="1"/>
      <c r="E322" s="1"/>
      <c r="F322" s="1"/>
      <c r="G322" s="1"/>
      <c r="H322" s="1"/>
      <c r="I322" s="1"/>
      <c r="J322" s="1"/>
      <c r="K322" s="17"/>
      <c r="L322" s="1"/>
      <c r="M322" s="1"/>
      <c r="N322" s="2"/>
      <c r="O322" s="2"/>
      <c r="P322" s="1"/>
      <c r="Q322" s="1"/>
      <c r="R322" s="1"/>
      <c r="S322" s="1"/>
      <c r="T322" s="17"/>
      <c r="U322" s="17"/>
      <c r="V322" s="17"/>
      <c r="W322" s="17"/>
      <c r="X322" s="22"/>
      <c r="Y322" s="22"/>
      <c r="Z322" s="22"/>
      <c r="AA322" s="22"/>
      <c r="AB322" s="22"/>
      <c r="AC322" s="22"/>
      <c r="AD322" s="22"/>
      <c r="AE322" s="22"/>
      <c r="AF322" s="22"/>
      <c r="AG322" s="22"/>
      <c r="AH322" s="22"/>
      <c r="AI322" s="22"/>
      <c r="AJ322" s="17"/>
      <c r="AK322" s="22"/>
      <c r="AL322" s="22"/>
      <c r="AM322" s="22"/>
      <c r="AN322" s="22"/>
      <c r="AO322" s="17"/>
      <c r="AP322" s="17"/>
      <c r="AQ322" s="17"/>
      <c r="AR322" s="1"/>
      <c r="AS322" s="1"/>
      <c r="AT322" s="17"/>
      <c r="AU322" s="1"/>
      <c r="AV322" s="1"/>
      <c r="AW322" s="1"/>
      <c r="AX322" s="2"/>
      <c r="AY322" s="2"/>
      <c r="AZ322" s="1"/>
    </row>
    <row x14ac:dyDescent="0.25" r="323" customHeight="1" ht="15">
      <c r="A323" s="1"/>
      <c r="B323" s="1"/>
      <c r="C323" s="1"/>
      <c r="D323" s="1"/>
      <c r="E323" s="1"/>
      <c r="F323" s="1"/>
      <c r="G323" s="1"/>
      <c r="H323" s="1"/>
      <c r="I323" s="1"/>
      <c r="J323" s="1"/>
      <c r="K323" s="17"/>
      <c r="L323" s="1"/>
      <c r="M323" s="1"/>
      <c r="N323" s="2"/>
      <c r="O323" s="2"/>
      <c r="P323" s="1"/>
      <c r="Q323" s="1"/>
      <c r="R323" s="1"/>
      <c r="S323" s="1"/>
      <c r="T323" s="17"/>
      <c r="U323" s="17"/>
      <c r="V323" s="17"/>
      <c r="W323" s="17"/>
      <c r="X323" s="22"/>
      <c r="Y323" s="22"/>
      <c r="Z323" s="22"/>
      <c r="AA323" s="22"/>
      <c r="AB323" s="22"/>
      <c r="AC323" s="22"/>
      <c r="AD323" s="22"/>
      <c r="AE323" s="22"/>
      <c r="AF323" s="22"/>
      <c r="AG323" s="22"/>
      <c r="AH323" s="22"/>
      <c r="AI323" s="22"/>
      <c r="AJ323" s="17"/>
      <c r="AK323" s="22"/>
      <c r="AL323" s="22"/>
      <c r="AM323" s="22"/>
      <c r="AN323" s="22"/>
      <c r="AO323" s="17"/>
      <c r="AP323" s="17"/>
      <c r="AQ323" s="17"/>
      <c r="AR323" s="1"/>
      <c r="AS323" s="1"/>
      <c r="AT323" s="17"/>
      <c r="AU323" s="1"/>
      <c r="AV323" s="1"/>
      <c r="AW323" s="1"/>
      <c r="AX323" s="2"/>
      <c r="AY323" s="2"/>
      <c r="AZ323" s="1"/>
    </row>
    <row x14ac:dyDescent="0.25" r="324" customHeight="1" ht="15">
      <c r="A324" s="1"/>
      <c r="B324" s="1"/>
      <c r="C324" s="1"/>
      <c r="D324" s="1"/>
      <c r="E324" s="1"/>
      <c r="F324" s="1"/>
      <c r="G324" s="1"/>
      <c r="H324" s="1"/>
      <c r="I324" s="1"/>
      <c r="J324" s="1"/>
      <c r="K324" s="17"/>
      <c r="L324" s="1"/>
      <c r="M324" s="1"/>
      <c r="N324" s="2"/>
      <c r="O324" s="2"/>
      <c r="P324" s="1"/>
      <c r="Q324" s="1"/>
      <c r="R324" s="1"/>
      <c r="S324" s="1"/>
      <c r="T324" s="17"/>
      <c r="U324" s="17"/>
      <c r="V324" s="17"/>
      <c r="W324" s="17"/>
      <c r="X324" s="22"/>
      <c r="Y324" s="22"/>
      <c r="Z324" s="22"/>
      <c r="AA324" s="22"/>
      <c r="AB324" s="22"/>
      <c r="AC324" s="22"/>
      <c r="AD324" s="22"/>
      <c r="AE324" s="22"/>
      <c r="AF324" s="22"/>
      <c r="AG324" s="22"/>
      <c r="AH324" s="22"/>
      <c r="AI324" s="22"/>
      <c r="AJ324" s="17"/>
      <c r="AK324" s="22"/>
      <c r="AL324" s="22"/>
      <c r="AM324" s="22"/>
      <c r="AN324" s="22"/>
      <c r="AO324" s="17"/>
      <c r="AP324" s="17"/>
      <c r="AQ324" s="17"/>
      <c r="AR324" s="1"/>
      <c r="AS324" s="1"/>
      <c r="AT324" s="17"/>
      <c r="AU324" s="1"/>
      <c r="AV324" s="1"/>
      <c r="AW324" s="1"/>
      <c r="AX324" s="2"/>
      <c r="AY324" s="2"/>
      <c r="AZ324" s="1"/>
    </row>
    <row x14ac:dyDescent="0.25" r="325" customHeight="1" ht="15">
      <c r="A325" s="1"/>
      <c r="B325" s="1"/>
      <c r="C325" s="1"/>
      <c r="D325" s="1"/>
      <c r="E325" s="1"/>
      <c r="F325" s="1"/>
      <c r="G325" s="1"/>
      <c r="H325" s="1"/>
      <c r="I325" s="1"/>
      <c r="J325" s="1"/>
      <c r="K325" s="17"/>
      <c r="L325" s="1"/>
      <c r="M325" s="1"/>
      <c r="N325" s="2"/>
      <c r="O325" s="2"/>
      <c r="P325" s="1"/>
      <c r="Q325" s="1"/>
      <c r="R325" s="1"/>
      <c r="S325" s="1"/>
      <c r="T325" s="17"/>
      <c r="U325" s="17"/>
      <c r="V325" s="17"/>
      <c r="W325" s="17"/>
      <c r="X325" s="22"/>
      <c r="Y325" s="22"/>
      <c r="Z325" s="22"/>
      <c r="AA325" s="22"/>
      <c r="AB325" s="22"/>
      <c r="AC325" s="22"/>
      <c r="AD325" s="22"/>
      <c r="AE325" s="22"/>
      <c r="AF325" s="22"/>
      <c r="AG325" s="22"/>
      <c r="AH325" s="22"/>
      <c r="AI325" s="22"/>
      <c r="AJ325" s="17"/>
      <c r="AK325" s="22"/>
      <c r="AL325" s="22"/>
      <c r="AM325" s="22"/>
      <c r="AN325" s="22"/>
      <c r="AO325" s="17"/>
      <c r="AP325" s="17"/>
      <c r="AQ325" s="17"/>
      <c r="AR325" s="1"/>
      <c r="AS325" s="1"/>
      <c r="AT325" s="17"/>
      <c r="AU325" s="1"/>
      <c r="AV325" s="1"/>
      <c r="AW325" s="1"/>
      <c r="AX325" s="2"/>
      <c r="AY325" s="2"/>
      <c r="AZ325" s="1"/>
    </row>
    <row x14ac:dyDescent="0.25" r="326" customHeight="1" ht="15">
      <c r="A326" s="1"/>
      <c r="B326" s="1"/>
      <c r="C326" s="1"/>
      <c r="D326" s="1"/>
      <c r="E326" s="1"/>
      <c r="F326" s="1"/>
      <c r="G326" s="1"/>
      <c r="H326" s="1"/>
      <c r="I326" s="1"/>
      <c r="J326" s="1"/>
      <c r="K326" s="17"/>
      <c r="L326" s="1"/>
      <c r="M326" s="1"/>
      <c r="N326" s="2"/>
      <c r="O326" s="2"/>
      <c r="P326" s="1"/>
      <c r="Q326" s="1"/>
      <c r="R326" s="1"/>
      <c r="S326" s="1"/>
      <c r="T326" s="17"/>
      <c r="U326" s="17"/>
      <c r="V326" s="17"/>
      <c r="W326" s="17"/>
      <c r="X326" s="22"/>
      <c r="Y326" s="22"/>
      <c r="Z326" s="22"/>
      <c r="AA326" s="22"/>
      <c r="AB326" s="22"/>
      <c r="AC326" s="22"/>
      <c r="AD326" s="22"/>
      <c r="AE326" s="22"/>
      <c r="AF326" s="22"/>
      <c r="AG326" s="22"/>
      <c r="AH326" s="22"/>
      <c r="AI326" s="22"/>
      <c r="AJ326" s="17"/>
      <c r="AK326" s="22"/>
      <c r="AL326" s="22"/>
      <c r="AM326" s="22"/>
      <c r="AN326" s="22"/>
      <c r="AO326" s="17"/>
      <c r="AP326" s="17"/>
      <c r="AQ326" s="17"/>
      <c r="AR326" s="1"/>
      <c r="AS326" s="1"/>
      <c r="AT326" s="17"/>
      <c r="AU326" s="1"/>
      <c r="AV326" s="1"/>
      <c r="AW326" s="1"/>
      <c r="AX326" s="2"/>
      <c r="AY326" s="2"/>
      <c r="AZ326" s="1"/>
    </row>
    <row x14ac:dyDescent="0.25" r="327" customHeight="1" ht="15">
      <c r="A327" s="1"/>
      <c r="B327" s="1"/>
      <c r="C327" s="1"/>
      <c r="D327" s="1"/>
      <c r="E327" s="1"/>
      <c r="F327" s="1"/>
      <c r="G327" s="1"/>
      <c r="H327" s="1"/>
      <c r="I327" s="1"/>
      <c r="J327" s="1"/>
      <c r="K327" s="17"/>
      <c r="L327" s="1"/>
      <c r="M327" s="1"/>
      <c r="N327" s="2"/>
      <c r="O327" s="2"/>
      <c r="P327" s="1"/>
      <c r="Q327" s="1"/>
      <c r="R327" s="1"/>
      <c r="S327" s="1"/>
      <c r="T327" s="17"/>
      <c r="U327" s="17"/>
      <c r="V327" s="17"/>
      <c r="W327" s="17"/>
      <c r="X327" s="22"/>
      <c r="Y327" s="22"/>
      <c r="Z327" s="22"/>
      <c r="AA327" s="22"/>
      <c r="AB327" s="22"/>
      <c r="AC327" s="22"/>
      <c r="AD327" s="22"/>
      <c r="AE327" s="22"/>
      <c r="AF327" s="22"/>
      <c r="AG327" s="22"/>
      <c r="AH327" s="22"/>
      <c r="AI327" s="22"/>
      <c r="AJ327" s="17"/>
      <c r="AK327" s="22"/>
      <c r="AL327" s="22"/>
      <c r="AM327" s="22"/>
      <c r="AN327" s="22"/>
      <c r="AO327" s="17"/>
      <c r="AP327" s="17"/>
      <c r="AQ327" s="17"/>
      <c r="AR327" s="1"/>
      <c r="AS327" s="1"/>
      <c r="AT327" s="17"/>
      <c r="AU327" s="1"/>
      <c r="AV327" s="1"/>
      <c r="AW327" s="1"/>
      <c r="AX327" s="2"/>
      <c r="AY327" s="2"/>
      <c r="AZ327" s="1"/>
    </row>
    <row x14ac:dyDescent="0.25" r="328" customHeight="1" ht="15">
      <c r="A328" s="1"/>
      <c r="B328" s="1"/>
      <c r="C328" s="1"/>
      <c r="D328" s="1"/>
      <c r="E328" s="1"/>
      <c r="F328" s="1"/>
      <c r="G328" s="1"/>
      <c r="H328" s="1"/>
      <c r="I328" s="1"/>
      <c r="J328" s="1"/>
      <c r="K328" s="17"/>
      <c r="L328" s="1"/>
      <c r="M328" s="1"/>
      <c r="N328" s="2"/>
      <c r="O328" s="2"/>
      <c r="P328" s="1"/>
      <c r="Q328" s="1"/>
      <c r="R328" s="1"/>
      <c r="S328" s="1"/>
      <c r="T328" s="17"/>
      <c r="U328" s="17"/>
      <c r="V328" s="17"/>
      <c r="W328" s="17"/>
      <c r="X328" s="22"/>
      <c r="Y328" s="22"/>
      <c r="Z328" s="22"/>
      <c r="AA328" s="22"/>
      <c r="AB328" s="22"/>
      <c r="AC328" s="22"/>
      <c r="AD328" s="22"/>
      <c r="AE328" s="22"/>
      <c r="AF328" s="22"/>
      <c r="AG328" s="22"/>
      <c r="AH328" s="22"/>
      <c r="AI328" s="22"/>
      <c r="AJ328" s="17"/>
      <c r="AK328" s="22"/>
      <c r="AL328" s="22"/>
      <c r="AM328" s="22"/>
      <c r="AN328" s="22"/>
      <c r="AO328" s="17"/>
      <c r="AP328" s="17"/>
      <c r="AQ328" s="17"/>
      <c r="AR328" s="1"/>
      <c r="AS328" s="1"/>
      <c r="AT328" s="17"/>
      <c r="AU328" s="1"/>
      <c r="AV328" s="1"/>
      <c r="AW328" s="1"/>
      <c r="AX328" s="2"/>
      <c r="AY328" s="2"/>
      <c r="AZ328" s="1"/>
    </row>
    <row x14ac:dyDescent="0.25" r="329" customHeight="1" ht="15">
      <c r="A329" s="1"/>
      <c r="B329" s="1"/>
      <c r="C329" s="1"/>
      <c r="D329" s="1"/>
      <c r="E329" s="1"/>
      <c r="F329" s="1"/>
      <c r="G329" s="1"/>
      <c r="H329" s="1"/>
      <c r="I329" s="1"/>
      <c r="J329" s="1"/>
      <c r="K329" s="17"/>
      <c r="L329" s="1"/>
      <c r="M329" s="1"/>
      <c r="N329" s="2"/>
      <c r="O329" s="2"/>
      <c r="P329" s="1"/>
      <c r="Q329" s="1"/>
      <c r="R329" s="1"/>
      <c r="S329" s="1"/>
      <c r="T329" s="17"/>
      <c r="U329" s="17"/>
      <c r="V329" s="17"/>
      <c r="W329" s="17"/>
      <c r="X329" s="22"/>
      <c r="Y329" s="22"/>
      <c r="Z329" s="22"/>
      <c r="AA329" s="22"/>
      <c r="AB329" s="22"/>
      <c r="AC329" s="22"/>
      <c r="AD329" s="22"/>
      <c r="AE329" s="22"/>
      <c r="AF329" s="22"/>
      <c r="AG329" s="22"/>
      <c r="AH329" s="22"/>
      <c r="AI329" s="22"/>
      <c r="AJ329" s="17"/>
      <c r="AK329" s="22"/>
      <c r="AL329" s="22"/>
      <c r="AM329" s="22"/>
      <c r="AN329" s="22"/>
      <c r="AO329" s="17"/>
      <c r="AP329" s="17"/>
      <c r="AQ329" s="17"/>
      <c r="AR329" s="1"/>
      <c r="AS329" s="1"/>
      <c r="AT329" s="17"/>
      <c r="AU329" s="1"/>
      <c r="AV329" s="1"/>
      <c r="AW329" s="1"/>
      <c r="AX329" s="2"/>
      <c r="AY329" s="2"/>
      <c r="AZ329" s="1"/>
    </row>
    <row x14ac:dyDescent="0.25" r="330" customHeight="1" ht="15">
      <c r="A330" s="1"/>
      <c r="B330" s="1"/>
      <c r="C330" s="1"/>
      <c r="D330" s="1"/>
      <c r="E330" s="1"/>
      <c r="F330" s="1"/>
      <c r="G330" s="1"/>
      <c r="H330" s="1"/>
      <c r="I330" s="1"/>
      <c r="J330" s="1"/>
      <c r="K330" s="17"/>
      <c r="L330" s="1"/>
      <c r="M330" s="1"/>
      <c r="N330" s="2"/>
      <c r="O330" s="2"/>
      <c r="P330" s="1"/>
      <c r="Q330" s="1"/>
      <c r="R330" s="1"/>
      <c r="S330" s="1"/>
      <c r="T330" s="17"/>
      <c r="U330" s="17"/>
      <c r="V330" s="17"/>
      <c r="W330" s="17"/>
      <c r="X330" s="22"/>
      <c r="Y330" s="22"/>
      <c r="Z330" s="22"/>
      <c r="AA330" s="22"/>
      <c r="AB330" s="22"/>
      <c r="AC330" s="22"/>
      <c r="AD330" s="22"/>
      <c r="AE330" s="22"/>
      <c r="AF330" s="22"/>
      <c r="AG330" s="22"/>
      <c r="AH330" s="22"/>
      <c r="AI330" s="22"/>
      <c r="AJ330" s="17"/>
      <c r="AK330" s="22"/>
      <c r="AL330" s="22"/>
      <c r="AM330" s="22"/>
      <c r="AN330" s="22"/>
      <c r="AO330" s="17"/>
      <c r="AP330" s="17"/>
      <c r="AQ330" s="17"/>
      <c r="AR330" s="1"/>
      <c r="AS330" s="1"/>
      <c r="AT330" s="17"/>
      <c r="AU330" s="1"/>
      <c r="AV330" s="1"/>
      <c r="AW330" s="1"/>
      <c r="AX330" s="2"/>
      <c r="AY330" s="2"/>
      <c r="AZ330" s="1"/>
    </row>
    <row x14ac:dyDescent="0.25" r="331" customHeight="1" ht="15">
      <c r="A331" s="1"/>
      <c r="B331" s="1"/>
      <c r="C331" s="1"/>
      <c r="D331" s="1"/>
      <c r="E331" s="1"/>
      <c r="F331" s="1"/>
      <c r="G331" s="1"/>
      <c r="H331" s="1"/>
      <c r="I331" s="1"/>
      <c r="J331" s="1"/>
      <c r="K331" s="17"/>
      <c r="L331" s="1"/>
      <c r="M331" s="1"/>
      <c r="N331" s="2"/>
      <c r="O331" s="2"/>
      <c r="P331" s="1"/>
      <c r="Q331" s="1"/>
      <c r="R331" s="1"/>
      <c r="S331" s="1"/>
      <c r="T331" s="17"/>
      <c r="U331" s="17"/>
      <c r="V331" s="17"/>
      <c r="W331" s="17"/>
      <c r="X331" s="22"/>
      <c r="Y331" s="22"/>
      <c r="Z331" s="22"/>
      <c r="AA331" s="22"/>
      <c r="AB331" s="22"/>
      <c r="AC331" s="22"/>
      <c r="AD331" s="22"/>
      <c r="AE331" s="22"/>
      <c r="AF331" s="22"/>
      <c r="AG331" s="22"/>
      <c r="AH331" s="22"/>
      <c r="AI331" s="22"/>
      <c r="AJ331" s="17"/>
      <c r="AK331" s="22"/>
      <c r="AL331" s="22"/>
      <c r="AM331" s="22"/>
      <c r="AN331" s="22"/>
      <c r="AO331" s="17"/>
      <c r="AP331" s="17"/>
      <c r="AQ331" s="17"/>
      <c r="AR331" s="1"/>
      <c r="AS331" s="1"/>
      <c r="AT331" s="17"/>
      <c r="AU331" s="1"/>
      <c r="AV331" s="1"/>
      <c r="AW331" s="1"/>
      <c r="AX331" s="2"/>
      <c r="AY331" s="2"/>
      <c r="AZ331" s="1"/>
    </row>
    <row x14ac:dyDescent="0.25" r="332" customHeight="1" ht="15">
      <c r="A332" s="1"/>
      <c r="B332" s="1"/>
      <c r="C332" s="1"/>
      <c r="D332" s="1"/>
      <c r="E332" s="1"/>
      <c r="F332" s="1"/>
      <c r="G332" s="1"/>
      <c r="H332" s="1"/>
      <c r="I332" s="1"/>
      <c r="J332" s="1"/>
      <c r="K332" s="17"/>
      <c r="L332" s="1"/>
      <c r="M332" s="1"/>
      <c r="N332" s="2"/>
      <c r="O332" s="2"/>
      <c r="P332" s="1"/>
      <c r="Q332" s="1"/>
      <c r="R332" s="1"/>
      <c r="S332" s="1"/>
      <c r="T332" s="17"/>
      <c r="U332" s="17"/>
      <c r="V332" s="17"/>
      <c r="W332" s="17"/>
      <c r="X332" s="22"/>
      <c r="Y332" s="22"/>
      <c r="Z332" s="22"/>
      <c r="AA332" s="22"/>
      <c r="AB332" s="22"/>
      <c r="AC332" s="22"/>
      <c r="AD332" s="22"/>
      <c r="AE332" s="22"/>
      <c r="AF332" s="22"/>
      <c r="AG332" s="22"/>
      <c r="AH332" s="22"/>
      <c r="AI332" s="22"/>
      <c r="AJ332" s="17"/>
      <c r="AK332" s="22"/>
      <c r="AL332" s="22"/>
      <c r="AM332" s="22"/>
      <c r="AN332" s="22"/>
      <c r="AO332" s="17"/>
      <c r="AP332" s="17"/>
      <c r="AQ332" s="17"/>
      <c r="AR332" s="1"/>
      <c r="AS332" s="1"/>
      <c r="AT332" s="17"/>
      <c r="AU332" s="1"/>
      <c r="AV332" s="1"/>
      <c r="AW332" s="1"/>
      <c r="AX332" s="2"/>
      <c r="AY332" s="2"/>
      <c r="AZ332" s="1"/>
    </row>
    <row x14ac:dyDescent="0.25" r="333" customHeight="1" ht="15">
      <c r="A333" s="1"/>
      <c r="B333" s="1"/>
      <c r="C333" s="1"/>
      <c r="D333" s="1"/>
      <c r="E333" s="1"/>
      <c r="F333" s="1"/>
      <c r="G333" s="1"/>
      <c r="H333" s="1"/>
      <c r="I333" s="1"/>
      <c r="J333" s="1"/>
      <c r="K333" s="17"/>
      <c r="L333" s="1"/>
      <c r="M333" s="1"/>
      <c r="N333" s="2"/>
      <c r="O333" s="2"/>
      <c r="P333" s="1"/>
      <c r="Q333" s="1"/>
      <c r="R333" s="1"/>
      <c r="S333" s="1"/>
      <c r="T333" s="17"/>
      <c r="U333" s="17"/>
      <c r="V333" s="17"/>
      <c r="W333" s="17"/>
      <c r="X333" s="22"/>
      <c r="Y333" s="22"/>
      <c r="Z333" s="22"/>
      <c r="AA333" s="22"/>
      <c r="AB333" s="22"/>
      <c r="AC333" s="22"/>
      <c r="AD333" s="22"/>
      <c r="AE333" s="22"/>
      <c r="AF333" s="22"/>
      <c r="AG333" s="22"/>
      <c r="AH333" s="22"/>
      <c r="AI333" s="22"/>
      <c r="AJ333" s="17"/>
      <c r="AK333" s="22"/>
      <c r="AL333" s="22"/>
      <c r="AM333" s="22"/>
      <c r="AN333" s="22"/>
      <c r="AO333" s="17"/>
      <c r="AP333" s="17"/>
      <c r="AQ333" s="17"/>
      <c r="AR333" s="1"/>
      <c r="AS333" s="1"/>
      <c r="AT333" s="17"/>
      <c r="AU333" s="1"/>
      <c r="AV333" s="1"/>
      <c r="AW333" s="1"/>
      <c r="AX333" s="2"/>
      <c r="AY333" s="2"/>
      <c r="AZ333" s="1"/>
    </row>
    <row x14ac:dyDescent="0.25" r="334" customHeight="1" ht="15">
      <c r="A334" s="1"/>
      <c r="B334" s="1"/>
      <c r="C334" s="1"/>
      <c r="D334" s="1"/>
      <c r="E334" s="1"/>
      <c r="F334" s="1"/>
      <c r="G334" s="1"/>
      <c r="H334" s="1"/>
      <c r="I334" s="1"/>
      <c r="J334" s="1"/>
      <c r="K334" s="17"/>
      <c r="L334" s="1"/>
      <c r="M334" s="1"/>
      <c r="N334" s="2"/>
      <c r="O334" s="2"/>
      <c r="P334" s="1"/>
      <c r="Q334" s="1"/>
      <c r="R334" s="1"/>
      <c r="S334" s="1"/>
      <c r="T334" s="17"/>
      <c r="U334" s="17"/>
      <c r="V334" s="17"/>
      <c r="W334" s="17"/>
      <c r="X334" s="22"/>
      <c r="Y334" s="22"/>
      <c r="Z334" s="22"/>
      <c r="AA334" s="22"/>
      <c r="AB334" s="22"/>
      <c r="AC334" s="22"/>
      <c r="AD334" s="22"/>
      <c r="AE334" s="22"/>
      <c r="AF334" s="22"/>
      <c r="AG334" s="22"/>
      <c r="AH334" s="22"/>
      <c r="AI334" s="22"/>
      <c r="AJ334" s="17"/>
      <c r="AK334" s="22"/>
      <c r="AL334" s="22"/>
      <c r="AM334" s="22"/>
      <c r="AN334" s="22"/>
      <c r="AO334" s="17"/>
      <c r="AP334" s="17"/>
      <c r="AQ334" s="17"/>
      <c r="AR334" s="1"/>
      <c r="AS334" s="1"/>
      <c r="AT334" s="17"/>
      <c r="AU334" s="1"/>
      <c r="AV334" s="1"/>
      <c r="AW334" s="1"/>
      <c r="AX334" s="2"/>
      <c r="AY334" s="2"/>
      <c r="AZ334" s="1"/>
    </row>
    <row x14ac:dyDescent="0.25" r="335" customHeight="1" ht="15">
      <c r="A335" s="1"/>
      <c r="B335" s="1"/>
      <c r="C335" s="1"/>
      <c r="D335" s="1"/>
      <c r="E335" s="1"/>
      <c r="F335" s="1"/>
      <c r="G335" s="1"/>
      <c r="H335" s="1"/>
      <c r="I335" s="1"/>
      <c r="J335" s="1"/>
      <c r="K335" s="17"/>
      <c r="L335" s="1"/>
      <c r="M335" s="1"/>
      <c r="N335" s="2"/>
      <c r="O335" s="2"/>
      <c r="P335" s="1"/>
      <c r="Q335" s="1"/>
      <c r="R335" s="1"/>
      <c r="S335" s="1"/>
      <c r="T335" s="17"/>
      <c r="U335" s="17"/>
      <c r="V335" s="17"/>
      <c r="W335" s="17"/>
      <c r="X335" s="22"/>
      <c r="Y335" s="22"/>
      <c r="Z335" s="22"/>
      <c r="AA335" s="22"/>
      <c r="AB335" s="22"/>
      <c r="AC335" s="22"/>
      <c r="AD335" s="22"/>
      <c r="AE335" s="22"/>
      <c r="AF335" s="22"/>
      <c r="AG335" s="22"/>
      <c r="AH335" s="22"/>
      <c r="AI335" s="22"/>
      <c r="AJ335" s="17"/>
      <c r="AK335" s="22"/>
      <c r="AL335" s="22"/>
      <c r="AM335" s="22"/>
      <c r="AN335" s="22"/>
      <c r="AO335" s="17"/>
      <c r="AP335" s="17"/>
      <c r="AQ335" s="17"/>
      <c r="AR335" s="1"/>
      <c r="AS335" s="1"/>
      <c r="AT335" s="17"/>
      <c r="AU335" s="1"/>
      <c r="AV335" s="1"/>
      <c r="AW335" s="1"/>
      <c r="AX335" s="2"/>
      <c r="AY335" s="2"/>
      <c r="AZ335" s="1"/>
    </row>
    <row x14ac:dyDescent="0.25" r="336" customHeight="1" ht="15">
      <c r="A336" s="1"/>
      <c r="B336" s="1"/>
      <c r="C336" s="1"/>
      <c r="D336" s="1"/>
      <c r="E336" s="1"/>
      <c r="F336" s="1"/>
      <c r="G336" s="1"/>
      <c r="H336" s="1"/>
      <c r="I336" s="1"/>
      <c r="J336" s="1"/>
      <c r="K336" s="17"/>
      <c r="L336" s="1"/>
      <c r="M336" s="1"/>
      <c r="N336" s="2"/>
      <c r="O336" s="2"/>
      <c r="P336" s="1"/>
      <c r="Q336" s="1"/>
      <c r="R336" s="1"/>
      <c r="S336" s="1"/>
      <c r="T336" s="17"/>
      <c r="U336" s="17"/>
      <c r="V336" s="17"/>
      <c r="W336" s="17"/>
      <c r="X336" s="22"/>
      <c r="Y336" s="22"/>
      <c r="Z336" s="22"/>
      <c r="AA336" s="22"/>
      <c r="AB336" s="22"/>
      <c r="AC336" s="22"/>
      <c r="AD336" s="22"/>
      <c r="AE336" s="22"/>
      <c r="AF336" s="22"/>
      <c r="AG336" s="22"/>
      <c r="AH336" s="22"/>
      <c r="AI336" s="22"/>
      <c r="AJ336" s="17"/>
      <c r="AK336" s="22"/>
      <c r="AL336" s="22"/>
      <c r="AM336" s="22"/>
      <c r="AN336" s="22"/>
      <c r="AO336" s="17"/>
      <c r="AP336" s="17"/>
      <c r="AQ336" s="17"/>
      <c r="AR336" s="1"/>
      <c r="AS336" s="1"/>
      <c r="AT336" s="17"/>
      <c r="AU336" s="1"/>
      <c r="AV336" s="1"/>
      <c r="AW336" s="1"/>
      <c r="AX336" s="2"/>
      <c r="AY336" s="2"/>
      <c r="AZ336" s="1"/>
    </row>
    <row x14ac:dyDescent="0.25" r="337" customHeight="1" ht="15">
      <c r="A337" s="1"/>
      <c r="B337" s="1"/>
      <c r="C337" s="1"/>
      <c r="D337" s="1"/>
      <c r="E337" s="1"/>
      <c r="F337" s="1"/>
      <c r="G337" s="1"/>
      <c r="H337" s="1"/>
      <c r="I337" s="1"/>
      <c r="J337" s="1"/>
      <c r="K337" s="17"/>
      <c r="L337" s="1"/>
      <c r="M337" s="1"/>
      <c r="N337" s="2"/>
      <c r="O337" s="2"/>
      <c r="P337" s="1"/>
      <c r="Q337" s="1"/>
      <c r="R337" s="1"/>
      <c r="S337" s="1"/>
      <c r="T337" s="17"/>
      <c r="U337" s="17"/>
      <c r="V337" s="17"/>
      <c r="W337" s="17"/>
      <c r="X337" s="22"/>
      <c r="Y337" s="22"/>
      <c r="Z337" s="22"/>
      <c r="AA337" s="22"/>
      <c r="AB337" s="22"/>
      <c r="AC337" s="22"/>
      <c r="AD337" s="22"/>
      <c r="AE337" s="22"/>
      <c r="AF337" s="22"/>
      <c r="AG337" s="22"/>
      <c r="AH337" s="22"/>
      <c r="AI337" s="22"/>
      <c r="AJ337" s="17"/>
      <c r="AK337" s="22"/>
      <c r="AL337" s="22"/>
      <c r="AM337" s="22"/>
      <c r="AN337" s="22"/>
      <c r="AO337" s="17"/>
      <c r="AP337" s="17"/>
      <c r="AQ337" s="17"/>
      <c r="AR337" s="1"/>
      <c r="AS337" s="1"/>
      <c r="AT337" s="17"/>
      <c r="AU337" s="1"/>
      <c r="AV337" s="1"/>
      <c r="AW337" s="1"/>
      <c r="AX337" s="2"/>
      <c r="AY337" s="2"/>
      <c r="AZ337" s="1"/>
    </row>
    <row x14ac:dyDescent="0.25" r="338" customHeight="1" ht="15">
      <c r="A338" s="1"/>
      <c r="B338" s="1"/>
      <c r="C338" s="1"/>
      <c r="D338" s="1"/>
      <c r="E338" s="1"/>
      <c r="F338" s="1"/>
      <c r="G338" s="1"/>
      <c r="H338" s="1"/>
      <c r="I338" s="1"/>
      <c r="J338" s="1"/>
      <c r="K338" s="17"/>
      <c r="L338" s="1"/>
      <c r="M338" s="1"/>
      <c r="N338" s="2"/>
      <c r="O338" s="2"/>
      <c r="P338" s="1"/>
      <c r="Q338" s="1"/>
      <c r="R338" s="1"/>
      <c r="S338" s="1"/>
      <c r="T338" s="17"/>
      <c r="U338" s="17"/>
      <c r="V338" s="17"/>
      <c r="W338" s="17"/>
      <c r="X338" s="22"/>
      <c r="Y338" s="22"/>
      <c r="Z338" s="22"/>
      <c r="AA338" s="22"/>
      <c r="AB338" s="22"/>
      <c r="AC338" s="22"/>
      <c r="AD338" s="22"/>
      <c r="AE338" s="22"/>
      <c r="AF338" s="22"/>
      <c r="AG338" s="22"/>
      <c r="AH338" s="22"/>
      <c r="AI338" s="22"/>
      <c r="AJ338" s="17"/>
      <c r="AK338" s="22"/>
      <c r="AL338" s="22"/>
      <c r="AM338" s="22"/>
      <c r="AN338" s="22"/>
      <c r="AO338" s="17"/>
      <c r="AP338" s="17"/>
      <c r="AQ338" s="17"/>
      <c r="AR338" s="1"/>
      <c r="AS338" s="1"/>
      <c r="AT338" s="17"/>
      <c r="AU338" s="1"/>
      <c r="AV338" s="1"/>
      <c r="AW338" s="1"/>
      <c r="AX338" s="2"/>
      <c r="AY338" s="2"/>
      <c r="AZ338" s="1"/>
    </row>
    <row x14ac:dyDescent="0.25" r="339" customHeight="1" ht="15">
      <c r="A339" s="1"/>
      <c r="B339" s="1"/>
      <c r="C339" s="1"/>
      <c r="D339" s="1"/>
      <c r="E339" s="1"/>
      <c r="F339" s="1"/>
      <c r="G339" s="1"/>
      <c r="H339" s="1"/>
      <c r="I339" s="1"/>
      <c r="J339" s="1"/>
      <c r="K339" s="17"/>
      <c r="L339" s="1"/>
      <c r="M339" s="1"/>
      <c r="N339" s="2"/>
      <c r="O339" s="2"/>
      <c r="P339" s="1"/>
      <c r="Q339" s="1"/>
      <c r="R339" s="1"/>
      <c r="S339" s="1"/>
      <c r="T339" s="17"/>
      <c r="U339" s="17"/>
      <c r="V339" s="17"/>
      <c r="W339" s="17"/>
      <c r="X339" s="22"/>
      <c r="Y339" s="22"/>
      <c r="Z339" s="22"/>
      <c r="AA339" s="22"/>
      <c r="AB339" s="22"/>
      <c r="AC339" s="22"/>
      <c r="AD339" s="22"/>
      <c r="AE339" s="22"/>
      <c r="AF339" s="22"/>
      <c r="AG339" s="22"/>
      <c r="AH339" s="22"/>
      <c r="AI339" s="22"/>
      <c r="AJ339" s="17"/>
      <c r="AK339" s="22"/>
      <c r="AL339" s="22"/>
      <c r="AM339" s="22"/>
      <c r="AN339" s="22"/>
      <c r="AO339" s="17"/>
      <c r="AP339" s="17"/>
      <c r="AQ339" s="17"/>
      <c r="AR339" s="1"/>
      <c r="AS339" s="1"/>
      <c r="AT339" s="17"/>
      <c r="AU339" s="1"/>
      <c r="AV339" s="1"/>
      <c r="AW339" s="1"/>
      <c r="AX339" s="2"/>
      <c r="AY339" s="2"/>
      <c r="AZ339" s="1"/>
    </row>
    <row x14ac:dyDescent="0.25" r="340" customHeight="1" ht="15">
      <c r="A340" s="1"/>
      <c r="B340" s="1"/>
      <c r="C340" s="1"/>
      <c r="D340" s="1"/>
      <c r="E340" s="1"/>
      <c r="F340" s="1"/>
      <c r="G340" s="1"/>
      <c r="H340" s="1"/>
      <c r="I340" s="1"/>
      <c r="J340" s="1"/>
      <c r="K340" s="17"/>
      <c r="L340" s="1"/>
      <c r="M340" s="1"/>
      <c r="N340" s="2"/>
      <c r="O340" s="2"/>
      <c r="P340" s="1"/>
      <c r="Q340" s="1"/>
      <c r="R340" s="1"/>
      <c r="S340" s="1"/>
      <c r="T340" s="17"/>
      <c r="U340" s="17"/>
      <c r="V340" s="17"/>
      <c r="W340" s="17"/>
      <c r="X340" s="22"/>
      <c r="Y340" s="22"/>
      <c r="Z340" s="22"/>
      <c r="AA340" s="22"/>
      <c r="AB340" s="22"/>
      <c r="AC340" s="22"/>
      <c r="AD340" s="22"/>
      <c r="AE340" s="22"/>
      <c r="AF340" s="22"/>
      <c r="AG340" s="22"/>
      <c r="AH340" s="22"/>
      <c r="AI340" s="22"/>
      <c r="AJ340" s="17"/>
      <c r="AK340" s="22"/>
      <c r="AL340" s="22"/>
      <c r="AM340" s="22"/>
      <c r="AN340" s="22"/>
      <c r="AO340" s="17"/>
      <c r="AP340" s="17"/>
      <c r="AQ340" s="17"/>
      <c r="AR340" s="1"/>
      <c r="AS340" s="1"/>
      <c r="AT340" s="17"/>
      <c r="AU340" s="1"/>
      <c r="AV340" s="1"/>
      <c r="AW340" s="1"/>
      <c r="AX340" s="2"/>
      <c r="AY340" s="2"/>
      <c r="AZ340" s="1"/>
    </row>
    <row x14ac:dyDescent="0.25" r="341" customHeight="1" ht="15">
      <c r="A341" s="1"/>
      <c r="B341" s="1"/>
      <c r="C341" s="1"/>
      <c r="D341" s="1"/>
      <c r="E341" s="1"/>
      <c r="F341" s="1"/>
      <c r="G341" s="1"/>
      <c r="H341" s="1"/>
      <c r="I341" s="1"/>
      <c r="J341" s="1"/>
      <c r="K341" s="17"/>
      <c r="L341" s="1"/>
      <c r="M341" s="1"/>
      <c r="N341" s="2"/>
      <c r="O341" s="2"/>
      <c r="P341" s="1"/>
      <c r="Q341" s="1"/>
      <c r="R341" s="1"/>
      <c r="S341" s="1"/>
      <c r="T341" s="17"/>
      <c r="U341" s="17"/>
      <c r="V341" s="17"/>
      <c r="W341" s="17"/>
      <c r="X341" s="22"/>
      <c r="Y341" s="22"/>
      <c r="Z341" s="22"/>
      <c r="AA341" s="22"/>
      <c r="AB341" s="22"/>
      <c r="AC341" s="22"/>
      <c r="AD341" s="22"/>
      <c r="AE341" s="22"/>
      <c r="AF341" s="22"/>
      <c r="AG341" s="22"/>
      <c r="AH341" s="22"/>
      <c r="AI341" s="22"/>
      <c r="AJ341" s="17"/>
      <c r="AK341" s="22"/>
      <c r="AL341" s="22"/>
      <c r="AM341" s="22"/>
      <c r="AN341" s="22"/>
      <c r="AO341" s="17"/>
      <c r="AP341" s="17"/>
      <c r="AQ341" s="17"/>
      <c r="AR341" s="1"/>
      <c r="AS341" s="1"/>
      <c r="AT341" s="17"/>
      <c r="AU341" s="1"/>
      <c r="AV341" s="1"/>
      <c r="AW341" s="1"/>
      <c r="AX341" s="2"/>
      <c r="AY341" s="2"/>
      <c r="AZ341" s="1"/>
    </row>
    <row x14ac:dyDescent="0.25" r="342" customHeight="1" ht="15">
      <c r="A342" s="1"/>
      <c r="B342" s="1"/>
      <c r="C342" s="1"/>
      <c r="D342" s="1"/>
      <c r="E342" s="1"/>
      <c r="F342" s="1"/>
      <c r="G342" s="1"/>
      <c r="H342" s="1"/>
      <c r="I342" s="1"/>
      <c r="J342" s="1"/>
      <c r="K342" s="17"/>
      <c r="L342" s="1"/>
      <c r="M342" s="1"/>
      <c r="N342" s="2"/>
      <c r="O342" s="2"/>
      <c r="P342" s="1"/>
      <c r="Q342" s="1"/>
      <c r="R342" s="1"/>
      <c r="S342" s="1"/>
      <c r="T342" s="17"/>
      <c r="U342" s="17"/>
      <c r="V342" s="17"/>
      <c r="W342" s="17"/>
      <c r="X342" s="22"/>
      <c r="Y342" s="22"/>
      <c r="Z342" s="22"/>
      <c r="AA342" s="22"/>
      <c r="AB342" s="22"/>
      <c r="AC342" s="22"/>
      <c r="AD342" s="22"/>
      <c r="AE342" s="22"/>
      <c r="AF342" s="22"/>
      <c r="AG342" s="22"/>
      <c r="AH342" s="22"/>
      <c r="AI342" s="22"/>
      <c r="AJ342" s="17"/>
      <c r="AK342" s="22"/>
      <c r="AL342" s="22"/>
      <c r="AM342" s="22"/>
      <c r="AN342" s="22"/>
      <c r="AO342" s="17"/>
      <c r="AP342" s="17"/>
      <c r="AQ342" s="17"/>
      <c r="AR342" s="1"/>
      <c r="AS342" s="1"/>
      <c r="AT342" s="17"/>
      <c r="AU342" s="1"/>
      <c r="AV342" s="1"/>
      <c r="AW342" s="1"/>
      <c r="AX342" s="2"/>
      <c r="AY342" s="2"/>
      <c r="AZ342" s="1"/>
    </row>
    <row x14ac:dyDescent="0.25" r="343" customHeight="1" ht="15">
      <c r="A343" s="1"/>
      <c r="B343" s="1"/>
      <c r="C343" s="1"/>
      <c r="D343" s="1"/>
      <c r="E343" s="1"/>
      <c r="F343" s="1"/>
      <c r="G343" s="1"/>
      <c r="H343" s="1"/>
      <c r="I343" s="1"/>
      <c r="J343" s="1"/>
      <c r="K343" s="17"/>
      <c r="L343" s="1"/>
      <c r="M343" s="1"/>
      <c r="N343" s="2"/>
      <c r="O343" s="2"/>
      <c r="P343" s="1"/>
      <c r="Q343" s="1"/>
      <c r="R343" s="1"/>
      <c r="S343" s="1"/>
      <c r="T343" s="17"/>
      <c r="U343" s="17"/>
      <c r="V343" s="17"/>
      <c r="W343" s="17"/>
      <c r="X343" s="22"/>
      <c r="Y343" s="22"/>
      <c r="Z343" s="22"/>
      <c r="AA343" s="22"/>
      <c r="AB343" s="22"/>
      <c r="AC343" s="22"/>
      <c r="AD343" s="22"/>
      <c r="AE343" s="22"/>
      <c r="AF343" s="22"/>
      <c r="AG343" s="22"/>
      <c r="AH343" s="22"/>
      <c r="AI343" s="22"/>
      <c r="AJ343" s="17"/>
      <c r="AK343" s="22"/>
      <c r="AL343" s="22"/>
      <c r="AM343" s="22"/>
      <c r="AN343" s="22"/>
      <c r="AO343" s="17"/>
      <c r="AP343" s="17"/>
      <c r="AQ343" s="17"/>
      <c r="AR343" s="1"/>
      <c r="AS343" s="1"/>
      <c r="AT343" s="17"/>
      <c r="AU343" s="1"/>
      <c r="AV343" s="1"/>
      <c r="AW343" s="1"/>
      <c r="AX343" s="2"/>
      <c r="AY343" s="2"/>
      <c r="AZ343" s="1"/>
    </row>
    <row x14ac:dyDescent="0.25" r="344" customHeight="1" ht="15">
      <c r="A344" s="1"/>
      <c r="B344" s="1"/>
      <c r="C344" s="1"/>
      <c r="D344" s="1"/>
      <c r="E344" s="1"/>
      <c r="F344" s="1"/>
      <c r="G344" s="1"/>
      <c r="H344" s="1"/>
      <c r="I344" s="1"/>
      <c r="J344" s="1"/>
      <c r="K344" s="17"/>
      <c r="L344" s="1"/>
      <c r="M344" s="1"/>
      <c r="N344" s="2"/>
      <c r="O344" s="2"/>
      <c r="P344" s="1"/>
      <c r="Q344" s="1"/>
      <c r="R344" s="1"/>
      <c r="S344" s="1"/>
      <c r="T344" s="17"/>
      <c r="U344" s="17"/>
      <c r="V344" s="17"/>
      <c r="W344" s="17"/>
      <c r="X344" s="22"/>
      <c r="Y344" s="22"/>
      <c r="Z344" s="22"/>
      <c r="AA344" s="22"/>
      <c r="AB344" s="22"/>
      <c r="AC344" s="22"/>
      <c r="AD344" s="22"/>
      <c r="AE344" s="22"/>
      <c r="AF344" s="22"/>
      <c r="AG344" s="22"/>
      <c r="AH344" s="22"/>
      <c r="AI344" s="22"/>
      <c r="AJ344" s="17"/>
      <c r="AK344" s="22"/>
      <c r="AL344" s="22"/>
      <c r="AM344" s="22"/>
      <c r="AN344" s="22"/>
      <c r="AO344" s="17"/>
      <c r="AP344" s="17"/>
      <c r="AQ344" s="17"/>
      <c r="AR344" s="1"/>
      <c r="AS344" s="1"/>
      <c r="AT344" s="17"/>
      <c r="AU344" s="1"/>
      <c r="AV344" s="1"/>
      <c r="AW344" s="1"/>
      <c r="AX344" s="2"/>
      <c r="AY344" s="2"/>
      <c r="AZ344" s="1"/>
    </row>
    <row x14ac:dyDescent="0.25" r="345" customHeight="1" ht="15">
      <c r="A345" s="1"/>
      <c r="B345" s="1"/>
      <c r="C345" s="1"/>
      <c r="D345" s="1"/>
      <c r="E345" s="1"/>
      <c r="F345" s="1"/>
      <c r="G345" s="1"/>
      <c r="H345" s="1"/>
      <c r="I345" s="1"/>
      <c r="J345" s="1"/>
      <c r="K345" s="17"/>
      <c r="L345" s="1"/>
      <c r="M345" s="1"/>
      <c r="N345" s="2"/>
      <c r="O345" s="2"/>
      <c r="P345" s="1"/>
      <c r="Q345" s="1"/>
      <c r="R345" s="1"/>
      <c r="S345" s="1"/>
      <c r="T345" s="17"/>
      <c r="U345" s="17"/>
      <c r="V345" s="17"/>
      <c r="W345" s="17"/>
      <c r="X345" s="22"/>
      <c r="Y345" s="22"/>
      <c r="Z345" s="22"/>
      <c r="AA345" s="22"/>
      <c r="AB345" s="22"/>
      <c r="AC345" s="22"/>
      <c r="AD345" s="22"/>
      <c r="AE345" s="22"/>
      <c r="AF345" s="22"/>
      <c r="AG345" s="22"/>
      <c r="AH345" s="22"/>
      <c r="AI345" s="22"/>
      <c r="AJ345" s="17"/>
      <c r="AK345" s="22"/>
      <c r="AL345" s="22"/>
      <c r="AM345" s="22"/>
      <c r="AN345" s="22"/>
      <c r="AO345" s="17"/>
      <c r="AP345" s="17"/>
      <c r="AQ345" s="17"/>
      <c r="AR345" s="1"/>
      <c r="AS345" s="1"/>
      <c r="AT345" s="17"/>
      <c r="AU345" s="1"/>
      <c r="AV345" s="1"/>
      <c r="AW345" s="1"/>
      <c r="AX345" s="2"/>
      <c r="AY345" s="2"/>
      <c r="AZ345" s="1"/>
    </row>
    <row x14ac:dyDescent="0.25" r="346" customHeight="1" ht="15">
      <c r="A346" s="1"/>
      <c r="B346" s="1"/>
      <c r="C346" s="1"/>
      <c r="D346" s="1"/>
      <c r="E346" s="1"/>
      <c r="F346" s="1"/>
      <c r="G346" s="1"/>
      <c r="H346" s="1"/>
      <c r="I346" s="1"/>
      <c r="J346" s="1"/>
      <c r="K346" s="17"/>
      <c r="L346" s="1"/>
      <c r="M346" s="1"/>
      <c r="N346" s="2"/>
      <c r="O346" s="2"/>
      <c r="P346" s="1"/>
      <c r="Q346" s="1"/>
      <c r="R346" s="1"/>
      <c r="S346" s="1"/>
      <c r="T346" s="17"/>
      <c r="U346" s="17"/>
      <c r="V346" s="17"/>
      <c r="W346" s="17"/>
      <c r="X346" s="22"/>
      <c r="Y346" s="22"/>
      <c r="Z346" s="22"/>
      <c r="AA346" s="22"/>
      <c r="AB346" s="22"/>
      <c r="AC346" s="22"/>
      <c r="AD346" s="22"/>
      <c r="AE346" s="22"/>
      <c r="AF346" s="22"/>
      <c r="AG346" s="22"/>
      <c r="AH346" s="22"/>
      <c r="AI346" s="22"/>
      <c r="AJ346" s="17"/>
      <c r="AK346" s="22"/>
      <c r="AL346" s="22"/>
      <c r="AM346" s="22"/>
      <c r="AN346" s="22"/>
      <c r="AO346" s="17"/>
      <c r="AP346" s="17"/>
      <c r="AQ346" s="17"/>
      <c r="AR346" s="1"/>
      <c r="AS346" s="1"/>
      <c r="AT346" s="17"/>
      <c r="AU346" s="1"/>
      <c r="AV346" s="1"/>
      <c r="AW346" s="1"/>
      <c r="AX346" s="2"/>
      <c r="AY346" s="2"/>
      <c r="AZ346" s="1"/>
    </row>
    <row x14ac:dyDescent="0.25" r="347" customHeight="1" ht="15">
      <c r="A347" s="1"/>
      <c r="B347" s="1"/>
      <c r="C347" s="1"/>
      <c r="D347" s="1"/>
      <c r="E347" s="1"/>
      <c r="F347" s="1"/>
      <c r="G347" s="1"/>
      <c r="H347" s="1"/>
      <c r="I347" s="1"/>
      <c r="J347" s="1"/>
      <c r="K347" s="17"/>
      <c r="L347" s="1"/>
      <c r="M347" s="1"/>
      <c r="N347" s="2"/>
      <c r="O347" s="2"/>
      <c r="P347" s="1"/>
      <c r="Q347" s="1"/>
      <c r="R347" s="1"/>
      <c r="S347" s="1"/>
      <c r="T347" s="17"/>
      <c r="U347" s="17"/>
      <c r="V347" s="17"/>
      <c r="W347" s="17"/>
      <c r="X347" s="22"/>
      <c r="Y347" s="22"/>
      <c r="Z347" s="22"/>
      <c r="AA347" s="22"/>
      <c r="AB347" s="22"/>
      <c r="AC347" s="22"/>
      <c r="AD347" s="22"/>
      <c r="AE347" s="22"/>
      <c r="AF347" s="22"/>
      <c r="AG347" s="22"/>
      <c r="AH347" s="22"/>
      <c r="AI347" s="22"/>
      <c r="AJ347" s="17"/>
      <c r="AK347" s="22"/>
      <c r="AL347" s="22"/>
      <c r="AM347" s="22"/>
      <c r="AN347" s="22"/>
      <c r="AO347" s="17"/>
      <c r="AP347" s="17"/>
      <c r="AQ347" s="17"/>
      <c r="AR347" s="1"/>
      <c r="AS347" s="1"/>
      <c r="AT347" s="17"/>
      <c r="AU347" s="1"/>
      <c r="AV347" s="1"/>
      <c r="AW347" s="1"/>
      <c r="AX347" s="2"/>
      <c r="AY347" s="2"/>
      <c r="AZ347" s="1"/>
    </row>
    <row x14ac:dyDescent="0.25" r="348" customHeight="1" ht="15">
      <c r="A348" s="1"/>
      <c r="B348" s="1"/>
      <c r="C348" s="1"/>
      <c r="D348" s="1"/>
      <c r="E348" s="1"/>
      <c r="F348" s="1"/>
      <c r="G348" s="1"/>
      <c r="H348" s="1"/>
      <c r="I348" s="1"/>
      <c r="J348" s="1"/>
      <c r="K348" s="17"/>
      <c r="L348" s="1"/>
      <c r="M348" s="1"/>
      <c r="N348" s="2"/>
      <c r="O348" s="2"/>
      <c r="P348" s="1"/>
      <c r="Q348" s="1"/>
      <c r="R348" s="1"/>
      <c r="S348" s="1"/>
      <c r="T348" s="17"/>
      <c r="U348" s="17"/>
      <c r="V348" s="17"/>
      <c r="W348" s="17"/>
      <c r="X348" s="22"/>
      <c r="Y348" s="22"/>
      <c r="Z348" s="22"/>
      <c r="AA348" s="22"/>
      <c r="AB348" s="22"/>
      <c r="AC348" s="22"/>
      <c r="AD348" s="22"/>
      <c r="AE348" s="22"/>
      <c r="AF348" s="22"/>
      <c r="AG348" s="22"/>
      <c r="AH348" s="22"/>
      <c r="AI348" s="22"/>
      <c r="AJ348" s="17"/>
      <c r="AK348" s="22"/>
      <c r="AL348" s="22"/>
      <c r="AM348" s="22"/>
      <c r="AN348" s="22"/>
      <c r="AO348" s="17"/>
      <c r="AP348" s="17"/>
      <c r="AQ348" s="17"/>
      <c r="AR348" s="1"/>
      <c r="AS348" s="1"/>
      <c r="AT348" s="17"/>
      <c r="AU348" s="1"/>
      <c r="AV348" s="1"/>
      <c r="AW348" s="1"/>
      <c r="AX348" s="2"/>
      <c r="AY348" s="2"/>
      <c r="AZ348" s="1"/>
    </row>
    <row x14ac:dyDescent="0.25" r="349" customHeight="1" ht="15">
      <c r="A349" s="1"/>
      <c r="B349" s="1"/>
      <c r="C349" s="1"/>
      <c r="D349" s="1"/>
      <c r="E349" s="1"/>
      <c r="F349" s="1"/>
      <c r="G349" s="1"/>
      <c r="H349" s="1"/>
      <c r="I349" s="1"/>
      <c r="J349" s="1"/>
      <c r="K349" s="17"/>
      <c r="L349" s="1"/>
      <c r="M349" s="1"/>
      <c r="N349" s="2"/>
      <c r="O349" s="2"/>
      <c r="P349" s="1"/>
      <c r="Q349" s="1"/>
      <c r="R349" s="1"/>
      <c r="S349" s="1"/>
      <c r="T349" s="17"/>
      <c r="U349" s="17"/>
      <c r="V349" s="17"/>
      <c r="W349" s="17"/>
      <c r="X349" s="22"/>
      <c r="Y349" s="22"/>
      <c r="Z349" s="22"/>
      <c r="AA349" s="22"/>
      <c r="AB349" s="22"/>
      <c r="AC349" s="22"/>
      <c r="AD349" s="22"/>
      <c r="AE349" s="22"/>
      <c r="AF349" s="22"/>
      <c r="AG349" s="22"/>
      <c r="AH349" s="22"/>
      <c r="AI349" s="22"/>
      <c r="AJ349" s="17"/>
      <c r="AK349" s="22"/>
      <c r="AL349" s="22"/>
      <c r="AM349" s="22"/>
      <c r="AN349" s="22"/>
      <c r="AO349" s="17"/>
      <c r="AP349" s="17"/>
      <c r="AQ349" s="17"/>
      <c r="AR349" s="1"/>
      <c r="AS349" s="1"/>
      <c r="AT349" s="17"/>
      <c r="AU349" s="1"/>
      <c r="AV349" s="1"/>
      <c r="AW349" s="1"/>
      <c r="AX349" s="2"/>
      <c r="AY349" s="2"/>
      <c r="AZ349" s="1"/>
    </row>
    <row x14ac:dyDescent="0.25" r="350" customHeight="1" ht="15">
      <c r="A350" s="1"/>
      <c r="B350" s="1"/>
      <c r="C350" s="1"/>
      <c r="D350" s="1"/>
      <c r="E350" s="1"/>
      <c r="F350" s="1"/>
      <c r="G350" s="1"/>
      <c r="H350" s="1"/>
      <c r="I350" s="1"/>
      <c r="J350" s="1"/>
      <c r="K350" s="17"/>
      <c r="L350" s="1"/>
      <c r="M350" s="1"/>
      <c r="N350" s="2"/>
      <c r="O350" s="2"/>
      <c r="P350" s="1"/>
      <c r="Q350" s="1"/>
      <c r="R350" s="1"/>
      <c r="S350" s="1"/>
      <c r="T350" s="17"/>
      <c r="U350" s="17"/>
      <c r="V350" s="17"/>
      <c r="W350" s="17"/>
      <c r="X350" s="22"/>
      <c r="Y350" s="22"/>
      <c r="Z350" s="22"/>
      <c r="AA350" s="22"/>
      <c r="AB350" s="22"/>
      <c r="AC350" s="22"/>
      <c r="AD350" s="22"/>
      <c r="AE350" s="22"/>
      <c r="AF350" s="22"/>
      <c r="AG350" s="22"/>
      <c r="AH350" s="22"/>
      <c r="AI350" s="22"/>
      <c r="AJ350" s="17"/>
      <c r="AK350" s="22"/>
      <c r="AL350" s="22"/>
      <c r="AM350" s="22"/>
      <c r="AN350" s="22"/>
      <c r="AO350" s="17"/>
      <c r="AP350" s="17"/>
      <c r="AQ350" s="17"/>
      <c r="AR350" s="1"/>
      <c r="AS350" s="1"/>
      <c r="AT350" s="17"/>
      <c r="AU350" s="1"/>
      <c r="AV350" s="1"/>
      <c r="AW350" s="1"/>
      <c r="AX350" s="2"/>
      <c r="AY350" s="2"/>
      <c r="AZ350" s="1"/>
    </row>
    <row x14ac:dyDescent="0.25" r="351" customHeight="1" ht="15">
      <c r="A351" s="1"/>
      <c r="B351" s="1"/>
      <c r="C351" s="1"/>
      <c r="D351" s="1"/>
      <c r="E351" s="1"/>
      <c r="F351" s="1"/>
      <c r="G351" s="1"/>
      <c r="H351" s="1"/>
      <c r="I351" s="1"/>
      <c r="J351" s="1"/>
      <c r="K351" s="17"/>
      <c r="L351" s="1"/>
      <c r="M351" s="1"/>
      <c r="N351" s="2"/>
      <c r="O351" s="2"/>
      <c r="P351" s="1"/>
      <c r="Q351" s="1"/>
      <c r="R351" s="1"/>
      <c r="S351" s="1"/>
      <c r="T351" s="17"/>
      <c r="U351" s="17"/>
      <c r="V351" s="17"/>
      <c r="W351" s="17"/>
      <c r="X351" s="22"/>
      <c r="Y351" s="22"/>
      <c r="Z351" s="22"/>
      <c r="AA351" s="22"/>
      <c r="AB351" s="22"/>
      <c r="AC351" s="22"/>
      <c r="AD351" s="22"/>
      <c r="AE351" s="22"/>
      <c r="AF351" s="22"/>
      <c r="AG351" s="22"/>
      <c r="AH351" s="22"/>
      <c r="AI351" s="22"/>
      <c r="AJ351" s="17"/>
      <c r="AK351" s="22"/>
      <c r="AL351" s="22"/>
      <c r="AM351" s="22"/>
      <c r="AN351" s="22"/>
      <c r="AO351" s="17"/>
      <c r="AP351" s="17"/>
      <c r="AQ351" s="17"/>
      <c r="AR351" s="1"/>
      <c r="AS351" s="1"/>
      <c r="AT351" s="17"/>
      <c r="AU351" s="1"/>
      <c r="AV351" s="1"/>
      <c r="AW351" s="1"/>
      <c r="AX351" s="2"/>
      <c r="AY351" s="2"/>
      <c r="AZ351" s="1"/>
    </row>
    <row x14ac:dyDescent="0.25" r="352" customHeight="1" ht="15">
      <c r="A352" s="1"/>
      <c r="B352" s="1"/>
      <c r="C352" s="1"/>
      <c r="D352" s="1"/>
      <c r="E352" s="1"/>
      <c r="F352" s="1"/>
      <c r="G352" s="1"/>
      <c r="H352" s="1"/>
      <c r="I352" s="1"/>
      <c r="J352" s="1"/>
      <c r="K352" s="17"/>
      <c r="L352" s="1"/>
      <c r="M352" s="1"/>
      <c r="N352" s="2"/>
      <c r="O352" s="2"/>
      <c r="P352" s="1"/>
      <c r="Q352" s="1"/>
      <c r="R352" s="1"/>
      <c r="S352" s="1"/>
      <c r="T352" s="17"/>
      <c r="U352" s="17"/>
      <c r="V352" s="17"/>
      <c r="W352" s="17"/>
      <c r="X352" s="22"/>
      <c r="Y352" s="22"/>
      <c r="Z352" s="22"/>
      <c r="AA352" s="22"/>
      <c r="AB352" s="22"/>
      <c r="AC352" s="22"/>
      <c r="AD352" s="22"/>
      <c r="AE352" s="22"/>
      <c r="AF352" s="22"/>
      <c r="AG352" s="22"/>
      <c r="AH352" s="22"/>
      <c r="AI352" s="22"/>
      <c r="AJ352" s="17"/>
      <c r="AK352" s="22"/>
      <c r="AL352" s="22"/>
      <c r="AM352" s="22"/>
      <c r="AN352" s="22"/>
      <c r="AO352" s="17"/>
      <c r="AP352" s="17"/>
      <c r="AQ352" s="17"/>
      <c r="AR352" s="1"/>
      <c r="AS352" s="1"/>
      <c r="AT352" s="17"/>
      <c r="AU352" s="1"/>
      <c r="AV352" s="1"/>
      <c r="AW352" s="1"/>
      <c r="AX352" s="2"/>
      <c r="AY352" s="2"/>
      <c r="AZ352" s="1"/>
    </row>
    <row x14ac:dyDescent="0.25" r="353" customHeight="1" ht="15">
      <c r="A353" s="1"/>
      <c r="B353" s="1"/>
      <c r="C353" s="1"/>
      <c r="D353" s="1"/>
      <c r="E353" s="1"/>
      <c r="F353" s="1"/>
      <c r="G353" s="1"/>
      <c r="H353" s="1"/>
      <c r="I353" s="1"/>
      <c r="J353" s="1"/>
      <c r="K353" s="17"/>
      <c r="L353" s="1"/>
      <c r="M353" s="1"/>
      <c r="N353" s="2"/>
      <c r="O353" s="2"/>
      <c r="P353" s="1"/>
      <c r="Q353" s="1"/>
      <c r="R353" s="1"/>
      <c r="S353" s="1"/>
      <c r="T353" s="17"/>
      <c r="U353" s="17"/>
      <c r="V353" s="17"/>
      <c r="W353" s="17"/>
      <c r="X353" s="22"/>
      <c r="Y353" s="22"/>
      <c r="Z353" s="22"/>
      <c r="AA353" s="22"/>
      <c r="AB353" s="22"/>
      <c r="AC353" s="22"/>
      <c r="AD353" s="22"/>
      <c r="AE353" s="22"/>
      <c r="AF353" s="22"/>
      <c r="AG353" s="22"/>
      <c r="AH353" s="22"/>
      <c r="AI353" s="22"/>
      <c r="AJ353" s="17"/>
      <c r="AK353" s="22"/>
      <c r="AL353" s="22"/>
      <c r="AM353" s="22"/>
      <c r="AN353" s="22"/>
      <c r="AO353" s="17"/>
      <c r="AP353" s="17"/>
      <c r="AQ353" s="17"/>
      <c r="AR353" s="1"/>
      <c r="AS353" s="1"/>
      <c r="AT353" s="17"/>
      <c r="AU353" s="1"/>
      <c r="AV353" s="1"/>
      <c r="AW353" s="1"/>
      <c r="AX353" s="2"/>
      <c r="AY353" s="2"/>
      <c r="AZ353" s="1"/>
    </row>
    <row x14ac:dyDescent="0.25" r="354" customHeight="1" ht="15">
      <c r="A354" s="1"/>
      <c r="B354" s="1"/>
      <c r="C354" s="1"/>
      <c r="D354" s="1"/>
      <c r="E354" s="1"/>
      <c r="F354" s="1"/>
      <c r="G354" s="1"/>
      <c r="H354" s="1"/>
      <c r="I354" s="1"/>
      <c r="J354" s="1"/>
      <c r="K354" s="17"/>
      <c r="L354" s="1"/>
      <c r="M354" s="1"/>
      <c r="N354" s="2"/>
      <c r="O354" s="2"/>
      <c r="P354" s="1"/>
      <c r="Q354" s="1"/>
      <c r="R354" s="1"/>
      <c r="S354" s="1"/>
      <c r="T354" s="17"/>
      <c r="U354" s="17"/>
      <c r="V354" s="17"/>
      <c r="W354" s="17"/>
      <c r="X354" s="22"/>
      <c r="Y354" s="22"/>
      <c r="Z354" s="22"/>
      <c r="AA354" s="22"/>
      <c r="AB354" s="22"/>
      <c r="AC354" s="22"/>
      <c r="AD354" s="22"/>
      <c r="AE354" s="22"/>
      <c r="AF354" s="22"/>
      <c r="AG354" s="22"/>
      <c r="AH354" s="22"/>
      <c r="AI354" s="22"/>
      <c r="AJ354" s="17"/>
      <c r="AK354" s="22"/>
      <c r="AL354" s="22"/>
      <c r="AM354" s="22"/>
      <c r="AN354" s="22"/>
      <c r="AO354" s="17"/>
      <c r="AP354" s="17"/>
      <c r="AQ354" s="17"/>
      <c r="AR354" s="1"/>
      <c r="AS354" s="1"/>
      <c r="AT354" s="17"/>
      <c r="AU354" s="1"/>
      <c r="AV354" s="1"/>
      <c r="AW354" s="1"/>
      <c r="AX354" s="2"/>
      <c r="AY354" s="2"/>
      <c r="AZ354" s="1"/>
    </row>
    <row x14ac:dyDescent="0.25" r="355" customHeight="1" ht="15">
      <c r="A355" s="1"/>
      <c r="B355" s="1"/>
      <c r="C355" s="1"/>
      <c r="D355" s="1"/>
      <c r="E355" s="1"/>
      <c r="F355" s="1"/>
      <c r="G355" s="1"/>
      <c r="H355" s="1"/>
      <c r="I355" s="1"/>
      <c r="J355" s="1"/>
      <c r="K355" s="17"/>
      <c r="L355" s="1"/>
      <c r="M355" s="1"/>
      <c r="N355" s="2"/>
      <c r="O355" s="2"/>
      <c r="P355" s="1"/>
      <c r="Q355" s="1"/>
      <c r="R355" s="1"/>
      <c r="S355" s="1"/>
      <c r="T355" s="17"/>
      <c r="U355" s="17"/>
      <c r="V355" s="17"/>
      <c r="W355" s="17"/>
      <c r="X355" s="22"/>
      <c r="Y355" s="22"/>
      <c r="Z355" s="22"/>
      <c r="AA355" s="22"/>
      <c r="AB355" s="22"/>
      <c r="AC355" s="22"/>
      <c r="AD355" s="22"/>
      <c r="AE355" s="22"/>
      <c r="AF355" s="22"/>
      <c r="AG355" s="22"/>
      <c r="AH355" s="22"/>
      <c r="AI355" s="22"/>
      <c r="AJ355" s="17"/>
      <c r="AK355" s="22"/>
      <c r="AL355" s="22"/>
      <c r="AM355" s="22"/>
      <c r="AN355" s="22"/>
      <c r="AO355" s="17"/>
      <c r="AP355" s="17"/>
      <c r="AQ355" s="17"/>
      <c r="AR355" s="1"/>
      <c r="AS355" s="1"/>
      <c r="AT355" s="17"/>
      <c r="AU355" s="1"/>
      <c r="AV355" s="1"/>
      <c r="AW355" s="1"/>
      <c r="AX355" s="2"/>
      <c r="AY355" s="2"/>
      <c r="AZ355" s="1"/>
    </row>
    <row x14ac:dyDescent="0.25" r="356" customHeight="1" ht="15">
      <c r="A356" s="1"/>
      <c r="B356" s="1"/>
      <c r="C356" s="1"/>
      <c r="D356" s="1"/>
      <c r="E356" s="1"/>
      <c r="F356" s="1"/>
      <c r="G356" s="1"/>
      <c r="H356" s="1"/>
      <c r="I356" s="1"/>
      <c r="J356" s="1"/>
      <c r="K356" s="17"/>
      <c r="L356" s="1"/>
      <c r="M356" s="1"/>
      <c r="N356" s="2"/>
      <c r="O356" s="2"/>
      <c r="P356" s="1"/>
      <c r="Q356" s="1"/>
      <c r="R356" s="1"/>
      <c r="S356" s="1"/>
      <c r="T356" s="17"/>
      <c r="U356" s="17"/>
      <c r="V356" s="17"/>
      <c r="W356" s="17"/>
      <c r="X356" s="22"/>
      <c r="Y356" s="22"/>
      <c r="Z356" s="22"/>
      <c r="AA356" s="22"/>
      <c r="AB356" s="22"/>
      <c r="AC356" s="22"/>
      <c r="AD356" s="22"/>
      <c r="AE356" s="22"/>
      <c r="AF356" s="22"/>
      <c r="AG356" s="22"/>
      <c r="AH356" s="22"/>
      <c r="AI356" s="22"/>
      <c r="AJ356" s="17"/>
      <c r="AK356" s="22"/>
      <c r="AL356" s="22"/>
      <c r="AM356" s="22"/>
      <c r="AN356" s="22"/>
      <c r="AO356" s="17"/>
      <c r="AP356" s="17"/>
      <c r="AQ356" s="17"/>
      <c r="AR356" s="1"/>
      <c r="AS356" s="1"/>
      <c r="AT356" s="17"/>
      <c r="AU356" s="1"/>
      <c r="AV356" s="1"/>
      <c r="AW356" s="1"/>
      <c r="AX356" s="2"/>
      <c r="AY356" s="2"/>
      <c r="AZ356" s="1"/>
    </row>
    <row x14ac:dyDescent="0.25" r="357" customHeight="1" ht="15">
      <c r="A357" s="1"/>
      <c r="B357" s="1"/>
      <c r="C357" s="1"/>
      <c r="D357" s="1"/>
      <c r="E357" s="1"/>
      <c r="F357" s="1"/>
      <c r="G357" s="1"/>
      <c r="H357" s="1"/>
      <c r="I357" s="1"/>
      <c r="J357" s="1"/>
      <c r="K357" s="17"/>
      <c r="L357" s="1"/>
      <c r="M357" s="1"/>
      <c r="N357" s="2"/>
      <c r="O357" s="2"/>
      <c r="P357" s="1"/>
      <c r="Q357" s="1"/>
      <c r="R357" s="1"/>
      <c r="S357" s="1"/>
      <c r="T357" s="17"/>
      <c r="U357" s="17"/>
      <c r="V357" s="17"/>
      <c r="W357" s="17"/>
      <c r="X357" s="22"/>
      <c r="Y357" s="22"/>
      <c r="Z357" s="22"/>
      <c r="AA357" s="22"/>
      <c r="AB357" s="22"/>
      <c r="AC357" s="22"/>
      <c r="AD357" s="22"/>
      <c r="AE357" s="22"/>
      <c r="AF357" s="22"/>
      <c r="AG357" s="22"/>
      <c r="AH357" s="22"/>
      <c r="AI357" s="22"/>
      <c r="AJ357" s="17"/>
      <c r="AK357" s="22"/>
      <c r="AL357" s="22"/>
      <c r="AM357" s="22"/>
      <c r="AN357" s="22"/>
      <c r="AO357" s="17"/>
      <c r="AP357" s="17"/>
      <c r="AQ357" s="17"/>
      <c r="AR357" s="1"/>
      <c r="AS357" s="1"/>
      <c r="AT357" s="17"/>
      <c r="AU357" s="1"/>
      <c r="AV357" s="1"/>
      <c r="AW357" s="1"/>
      <c r="AX357" s="2"/>
      <c r="AY357" s="2"/>
      <c r="AZ357" s="1"/>
    </row>
    <row x14ac:dyDescent="0.25" r="358" customHeight="1" ht="15">
      <c r="A358" s="1"/>
      <c r="B358" s="1"/>
      <c r="C358" s="1"/>
      <c r="D358" s="1"/>
      <c r="E358" s="1"/>
      <c r="F358" s="1"/>
      <c r="G358" s="1"/>
      <c r="H358" s="1"/>
      <c r="I358" s="1"/>
      <c r="J358" s="1"/>
      <c r="K358" s="17"/>
      <c r="L358" s="1"/>
      <c r="M358" s="1"/>
      <c r="N358" s="2"/>
      <c r="O358" s="2"/>
      <c r="P358" s="1"/>
      <c r="Q358" s="1"/>
      <c r="R358" s="1"/>
      <c r="S358" s="1"/>
      <c r="T358" s="17"/>
      <c r="U358" s="17"/>
      <c r="V358" s="17"/>
      <c r="W358" s="17"/>
      <c r="X358" s="22"/>
      <c r="Y358" s="22"/>
      <c r="Z358" s="22"/>
      <c r="AA358" s="22"/>
      <c r="AB358" s="22"/>
      <c r="AC358" s="22"/>
      <c r="AD358" s="22"/>
      <c r="AE358" s="22"/>
      <c r="AF358" s="22"/>
      <c r="AG358" s="22"/>
      <c r="AH358" s="22"/>
      <c r="AI358" s="22"/>
      <c r="AJ358" s="17"/>
      <c r="AK358" s="22"/>
      <c r="AL358" s="22"/>
      <c r="AM358" s="22"/>
      <c r="AN358" s="22"/>
      <c r="AO358" s="17"/>
      <c r="AP358" s="17"/>
      <c r="AQ358" s="17"/>
      <c r="AR358" s="1"/>
      <c r="AS358" s="1"/>
      <c r="AT358" s="17"/>
      <c r="AU358" s="1"/>
      <c r="AV358" s="1"/>
      <c r="AW358" s="1"/>
      <c r="AX358" s="2"/>
      <c r="AY358" s="2"/>
      <c r="AZ358" s="1"/>
    </row>
    <row x14ac:dyDescent="0.25" r="359" customHeight="1" ht="15">
      <c r="A359" s="1"/>
      <c r="B359" s="1"/>
      <c r="C359" s="1"/>
      <c r="D359" s="1"/>
      <c r="E359" s="1"/>
      <c r="F359" s="1"/>
      <c r="G359" s="1"/>
      <c r="H359" s="1"/>
      <c r="I359" s="1"/>
      <c r="J359" s="1"/>
      <c r="K359" s="17"/>
      <c r="L359" s="1"/>
      <c r="M359" s="1"/>
      <c r="N359" s="2"/>
      <c r="O359" s="2"/>
      <c r="P359" s="1"/>
      <c r="Q359" s="1"/>
      <c r="R359" s="1"/>
      <c r="S359" s="1"/>
      <c r="T359" s="17"/>
      <c r="U359" s="17"/>
      <c r="V359" s="17"/>
      <c r="W359" s="17"/>
      <c r="X359" s="22"/>
      <c r="Y359" s="22"/>
      <c r="Z359" s="22"/>
      <c r="AA359" s="22"/>
      <c r="AB359" s="22"/>
      <c r="AC359" s="22"/>
      <c r="AD359" s="22"/>
      <c r="AE359" s="22"/>
      <c r="AF359" s="22"/>
      <c r="AG359" s="22"/>
      <c r="AH359" s="22"/>
      <c r="AI359" s="22"/>
      <c r="AJ359" s="17"/>
      <c r="AK359" s="22"/>
      <c r="AL359" s="22"/>
      <c r="AM359" s="22"/>
      <c r="AN359" s="22"/>
      <c r="AO359" s="17"/>
      <c r="AP359" s="17"/>
      <c r="AQ359" s="17"/>
      <c r="AR359" s="1"/>
      <c r="AS359" s="1"/>
      <c r="AT359" s="17"/>
      <c r="AU359" s="1"/>
      <c r="AV359" s="1"/>
      <c r="AW359" s="1"/>
      <c r="AX359" s="2"/>
      <c r="AY359" s="2"/>
      <c r="AZ359" s="1"/>
    </row>
    <row x14ac:dyDescent="0.25" r="360" customHeight="1" ht="15">
      <c r="A360" s="1"/>
      <c r="B360" s="1"/>
      <c r="C360" s="1"/>
      <c r="D360" s="1"/>
      <c r="E360" s="1"/>
      <c r="F360" s="1"/>
      <c r="G360" s="1"/>
      <c r="H360" s="1"/>
      <c r="I360" s="1"/>
      <c r="J360" s="1"/>
      <c r="K360" s="17"/>
      <c r="L360" s="1"/>
      <c r="M360" s="1"/>
      <c r="N360" s="2"/>
      <c r="O360" s="2"/>
      <c r="P360" s="1"/>
      <c r="Q360" s="1"/>
      <c r="R360" s="1"/>
      <c r="S360" s="1"/>
      <c r="T360" s="17"/>
      <c r="U360" s="17"/>
      <c r="V360" s="17"/>
      <c r="W360" s="17"/>
      <c r="X360" s="22"/>
      <c r="Y360" s="22"/>
      <c r="Z360" s="22"/>
      <c r="AA360" s="22"/>
      <c r="AB360" s="22"/>
      <c r="AC360" s="22"/>
      <c r="AD360" s="22"/>
      <c r="AE360" s="22"/>
      <c r="AF360" s="22"/>
      <c r="AG360" s="22"/>
      <c r="AH360" s="22"/>
      <c r="AI360" s="22"/>
      <c r="AJ360" s="17"/>
      <c r="AK360" s="22"/>
      <c r="AL360" s="22"/>
      <c r="AM360" s="22"/>
      <c r="AN360" s="22"/>
      <c r="AO360" s="17"/>
      <c r="AP360" s="17"/>
      <c r="AQ360" s="17"/>
      <c r="AR360" s="1"/>
      <c r="AS360" s="1"/>
      <c r="AT360" s="17"/>
      <c r="AU360" s="1"/>
      <c r="AV360" s="1"/>
      <c r="AW360" s="1"/>
      <c r="AX360" s="2"/>
      <c r="AY360" s="2"/>
      <c r="AZ360" s="1"/>
    </row>
    <row x14ac:dyDescent="0.25" r="361" customHeight="1" ht="15">
      <c r="A361" s="1"/>
      <c r="B361" s="1"/>
      <c r="C361" s="1"/>
      <c r="D361" s="1"/>
      <c r="E361" s="1"/>
      <c r="F361" s="1"/>
      <c r="G361" s="1"/>
      <c r="H361" s="1"/>
      <c r="I361" s="1"/>
      <c r="J361" s="1"/>
      <c r="K361" s="17"/>
      <c r="L361" s="1"/>
      <c r="M361" s="1"/>
      <c r="N361" s="2"/>
      <c r="O361" s="2"/>
      <c r="P361" s="1"/>
      <c r="Q361" s="1"/>
      <c r="R361" s="1"/>
      <c r="S361" s="1"/>
      <c r="T361" s="17"/>
      <c r="U361" s="17"/>
      <c r="V361" s="17"/>
      <c r="W361" s="17"/>
      <c r="X361" s="22"/>
      <c r="Y361" s="22"/>
      <c r="Z361" s="22"/>
      <c r="AA361" s="22"/>
      <c r="AB361" s="22"/>
      <c r="AC361" s="22"/>
      <c r="AD361" s="22"/>
      <c r="AE361" s="22"/>
      <c r="AF361" s="22"/>
      <c r="AG361" s="22"/>
      <c r="AH361" s="22"/>
      <c r="AI361" s="22"/>
      <c r="AJ361" s="17"/>
      <c r="AK361" s="22"/>
      <c r="AL361" s="22"/>
      <c r="AM361" s="22"/>
      <c r="AN361" s="22"/>
      <c r="AO361" s="17"/>
      <c r="AP361" s="17"/>
      <c r="AQ361" s="17"/>
      <c r="AR361" s="1"/>
      <c r="AS361" s="1"/>
      <c r="AT361" s="17"/>
      <c r="AU361" s="1"/>
      <c r="AV361" s="1"/>
      <c r="AW361" s="1"/>
      <c r="AX361" s="2"/>
      <c r="AY361" s="2"/>
      <c r="AZ361" s="1"/>
    </row>
    <row x14ac:dyDescent="0.25" r="362" customHeight="1" ht="15">
      <c r="A362" s="1"/>
      <c r="B362" s="1"/>
      <c r="C362" s="1"/>
      <c r="D362" s="1"/>
      <c r="E362" s="1"/>
      <c r="F362" s="1"/>
      <c r="G362" s="1"/>
      <c r="H362" s="1"/>
      <c r="I362" s="1"/>
      <c r="J362" s="1"/>
      <c r="K362" s="17"/>
      <c r="L362" s="1"/>
      <c r="M362" s="1"/>
      <c r="N362" s="2"/>
      <c r="O362" s="2"/>
      <c r="P362" s="1"/>
      <c r="Q362" s="1"/>
      <c r="R362" s="1"/>
      <c r="S362" s="1"/>
      <c r="T362" s="17"/>
      <c r="U362" s="17"/>
      <c r="V362" s="17"/>
      <c r="W362" s="17"/>
      <c r="X362" s="22"/>
      <c r="Y362" s="22"/>
      <c r="Z362" s="22"/>
      <c r="AA362" s="22"/>
      <c r="AB362" s="22"/>
      <c r="AC362" s="22"/>
      <c r="AD362" s="22"/>
      <c r="AE362" s="22"/>
      <c r="AF362" s="22"/>
      <c r="AG362" s="22"/>
      <c r="AH362" s="22"/>
      <c r="AI362" s="22"/>
      <c r="AJ362" s="17"/>
      <c r="AK362" s="22"/>
      <c r="AL362" s="22"/>
      <c r="AM362" s="22"/>
      <c r="AN362" s="22"/>
      <c r="AO362" s="17"/>
      <c r="AP362" s="17"/>
      <c r="AQ362" s="17"/>
      <c r="AR362" s="1"/>
      <c r="AS362" s="1"/>
      <c r="AT362" s="17"/>
      <c r="AU362" s="1"/>
      <c r="AV362" s="1"/>
      <c r="AW362" s="1"/>
      <c r="AX362" s="2"/>
      <c r="AY362" s="2"/>
      <c r="AZ362" s="1"/>
    </row>
    <row x14ac:dyDescent="0.25" r="363" customHeight="1" ht="15">
      <c r="A363" s="1"/>
      <c r="B363" s="1"/>
      <c r="C363" s="1"/>
      <c r="D363" s="1"/>
      <c r="E363" s="1"/>
      <c r="F363" s="1"/>
      <c r="G363" s="1"/>
      <c r="H363" s="1"/>
      <c r="I363" s="1"/>
      <c r="J363" s="1"/>
      <c r="K363" s="17"/>
      <c r="L363" s="1"/>
      <c r="M363" s="1"/>
      <c r="N363" s="2"/>
      <c r="O363" s="2"/>
      <c r="P363" s="1"/>
      <c r="Q363" s="1"/>
      <c r="R363" s="1"/>
      <c r="S363" s="1"/>
      <c r="T363" s="17"/>
      <c r="U363" s="17"/>
      <c r="V363" s="17"/>
      <c r="W363" s="17"/>
      <c r="X363" s="22"/>
      <c r="Y363" s="22"/>
      <c r="Z363" s="22"/>
      <c r="AA363" s="22"/>
      <c r="AB363" s="22"/>
      <c r="AC363" s="22"/>
      <c r="AD363" s="22"/>
      <c r="AE363" s="22"/>
      <c r="AF363" s="22"/>
      <c r="AG363" s="22"/>
      <c r="AH363" s="22"/>
      <c r="AI363" s="22"/>
      <c r="AJ363" s="17"/>
      <c r="AK363" s="22"/>
      <c r="AL363" s="22"/>
      <c r="AM363" s="22"/>
      <c r="AN363" s="22"/>
      <c r="AO363" s="17"/>
      <c r="AP363" s="17"/>
      <c r="AQ363" s="17"/>
      <c r="AR363" s="1"/>
      <c r="AS363" s="1"/>
      <c r="AT363" s="17"/>
      <c r="AU363" s="1"/>
      <c r="AV363" s="1"/>
      <c r="AW363" s="1"/>
      <c r="AX363" s="2"/>
      <c r="AY363" s="2"/>
      <c r="AZ363" s="1"/>
    </row>
    <row x14ac:dyDescent="0.25" r="364" customHeight="1" ht="15">
      <c r="A364" s="1"/>
      <c r="B364" s="1"/>
      <c r="C364" s="1"/>
      <c r="D364" s="1"/>
      <c r="E364" s="1"/>
      <c r="F364" s="1"/>
      <c r="G364" s="1"/>
      <c r="H364" s="1"/>
      <c r="I364" s="1"/>
      <c r="J364" s="1"/>
      <c r="K364" s="17"/>
      <c r="L364" s="1"/>
      <c r="M364" s="1"/>
      <c r="N364" s="2"/>
      <c r="O364" s="2"/>
      <c r="P364" s="1"/>
      <c r="Q364" s="1"/>
      <c r="R364" s="1"/>
      <c r="S364" s="1"/>
      <c r="T364" s="17"/>
      <c r="U364" s="17"/>
      <c r="V364" s="17"/>
      <c r="W364" s="17"/>
      <c r="X364" s="22"/>
      <c r="Y364" s="22"/>
      <c r="Z364" s="22"/>
      <c r="AA364" s="22"/>
      <c r="AB364" s="22"/>
      <c r="AC364" s="22"/>
      <c r="AD364" s="22"/>
      <c r="AE364" s="22"/>
      <c r="AF364" s="22"/>
      <c r="AG364" s="22"/>
      <c r="AH364" s="22"/>
      <c r="AI364" s="22"/>
      <c r="AJ364" s="17"/>
      <c r="AK364" s="22"/>
      <c r="AL364" s="22"/>
      <c r="AM364" s="22"/>
      <c r="AN364" s="22"/>
      <c r="AO364" s="17"/>
      <c r="AP364" s="17"/>
      <c r="AQ364" s="17"/>
      <c r="AR364" s="1"/>
      <c r="AS364" s="1"/>
      <c r="AT364" s="17"/>
      <c r="AU364" s="1"/>
      <c r="AV364" s="1"/>
      <c r="AW364" s="1"/>
      <c r="AX364" s="2"/>
      <c r="AY364" s="2"/>
      <c r="AZ364" s="1"/>
    </row>
    <row x14ac:dyDescent="0.25" r="365" customHeight="1" ht="15">
      <c r="A365" s="1"/>
      <c r="B365" s="1"/>
      <c r="C365" s="1"/>
      <c r="D365" s="1"/>
      <c r="E365" s="1"/>
      <c r="F365" s="1"/>
      <c r="G365" s="1"/>
      <c r="H365" s="1"/>
      <c r="I365" s="1"/>
      <c r="J365" s="1"/>
      <c r="K365" s="17"/>
      <c r="L365" s="1"/>
      <c r="M365" s="1"/>
      <c r="N365" s="2"/>
      <c r="O365" s="2"/>
      <c r="P365" s="1"/>
      <c r="Q365" s="1"/>
      <c r="R365" s="1"/>
      <c r="S365" s="1"/>
      <c r="T365" s="17"/>
      <c r="U365" s="17"/>
      <c r="V365" s="17"/>
      <c r="W365" s="17"/>
      <c r="X365" s="22"/>
      <c r="Y365" s="22"/>
      <c r="Z365" s="22"/>
      <c r="AA365" s="22"/>
      <c r="AB365" s="22"/>
      <c r="AC365" s="22"/>
      <c r="AD365" s="22"/>
      <c r="AE365" s="22"/>
      <c r="AF365" s="22"/>
      <c r="AG365" s="22"/>
      <c r="AH365" s="22"/>
      <c r="AI365" s="22"/>
      <c r="AJ365" s="17"/>
      <c r="AK365" s="22"/>
      <c r="AL365" s="22"/>
      <c r="AM365" s="22"/>
      <c r="AN365" s="22"/>
      <c r="AO365" s="17"/>
      <c r="AP365" s="17"/>
      <c r="AQ365" s="17"/>
      <c r="AR365" s="1"/>
      <c r="AS365" s="1"/>
      <c r="AT365" s="17"/>
      <c r="AU365" s="1"/>
      <c r="AV365" s="1"/>
      <c r="AW365" s="1"/>
      <c r="AX365" s="2"/>
      <c r="AY365" s="2"/>
      <c r="AZ365" s="1"/>
    </row>
    <row x14ac:dyDescent="0.25" r="366" customHeight="1" ht="15">
      <c r="A366" s="1"/>
      <c r="B366" s="1"/>
      <c r="C366" s="1"/>
      <c r="D366" s="1"/>
      <c r="E366" s="1"/>
      <c r="F366" s="1"/>
      <c r="G366" s="1"/>
      <c r="H366" s="1"/>
      <c r="I366" s="1"/>
      <c r="J366" s="1"/>
      <c r="K366" s="17"/>
      <c r="L366" s="1"/>
      <c r="M366" s="1"/>
      <c r="N366" s="2"/>
      <c r="O366" s="2"/>
      <c r="P366" s="1"/>
      <c r="Q366" s="1"/>
      <c r="R366" s="1"/>
      <c r="S366" s="1"/>
      <c r="T366" s="17"/>
      <c r="U366" s="17"/>
      <c r="V366" s="17"/>
      <c r="W366" s="17"/>
      <c r="X366" s="22"/>
      <c r="Y366" s="22"/>
      <c r="Z366" s="22"/>
      <c r="AA366" s="22"/>
      <c r="AB366" s="22"/>
      <c r="AC366" s="22"/>
      <c r="AD366" s="22"/>
      <c r="AE366" s="22"/>
      <c r="AF366" s="22"/>
      <c r="AG366" s="22"/>
      <c r="AH366" s="22"/>
      <c r="AI366" s="22"/>
      <c r="AJ366" s="17"/>
      <c r="AK366" s="22"/>
      <c r="AL366" s="22"/>
      <c r="AM366" s="22"/>
      <c r="AN366" s="22"/>
      <c r="AO366" s="17"/>
      <c r="AP366" s="17"/>
      <c r="AQ366" s="17"/>
      <c r="AR366" s="1"/>
      <c r="AS366" s="1"/>
      <c r="AT366" s="17"/>
      <c r="AU366" s="1"/>
      <c r="AV366" s="1"/>
      <c r="AW366" s="1"/>
      <c r="AX366" s="2"/>
      <c r="AY366" s="2"/>
      <c r="AZ366" s="1"/>
    </row>
    <row x14ac:dyDescent="0.25" r="367" customHeight="1" ht="15">
      <c r="A367" s="1"/>
      <c r="B367" s="1"/>
      <c r="C367" s="1"/>
      <c r="D367" s="1"/>
      <c r="E367" s="1"/>
      <c r="F367" s="1"/>
      <c r="G367" s="1"/>
      <c r="H367" s="1"/>
      <c r="I367" s="1"/>
      <c r="J367" s="1"/>
      <c r="K367" s="17"/>
      <c r="L367" s="1"/>
      <c r="M367" s="1"/>
      <c r="N367" s="2"/>
      <c r="O367" s="2"/>
      <c r="P367" s="1"/>
      <c r="Q367" s="1"/>
      <c r="R367" s="1"/>
      <c r="S367" s="1"/>
      <c r="T367" s="17"/>
      <c r="U367" s="17"/>
      <c r="V367" s="17"/>
      <c r="W367" s="17"/>
      <c r="X367" s="22"/>
      <c r="Y367" s="22"/>
      <c r="Z367" s="22"/>
      <c r="AA367" s="22"/>
      <c r="AB367" s="22"/>
      <c r="AC367" s="22"/>
      <c r="AD367" s="22"/>
      <c r="AE367" s="22"/>
      <c r="AF367" s="22"/>
      <c r="AG367" s="22"/>
      <c r="AH367" s="22"/>
      <c r="AI367" s="22"/>
      <c r="AJ367" s="17"/>
      <c r="AK367" s="22"/>
      <c r="AL367" s="22"/>
      <c r="AM367" s="22"/>
      <c r="AN367" s="22"/>
      <c r="AO367" s="17"/>
      <c r="AP367" s="17"/>
      <c r="AQ367" s="17"/>
      <c r="AR367" s="1"/>
      <c r="AS367" s="1"/>
      <c r="AT367" s="17"/>
      <c r="AU367" s="1"/>
      <c r="AV367" s="1"/>
      <c r="AW367" s="1"/>
      <c r="AX367" s="2"/>
      <c r="AY367" s="2"/>
      <c r="AZ367" s="1"/>
    </row>
    <row x14ac:dyDescent="0.25" r="368" customHeight="1" ht="15">
      <c r="A368" s="1"/>
      <c r="B368" s="1"/>
      <c r="C368" s="1"/>
      <c r="D368" s="1"/>
      <c r="E368" s="1"/>
      <c r="F368" s="1"/>
      <c r="G368" s="1"/>
      <c r="H368" s="1"/>
      <c r="I368" s="1"/>
      <c r="J368" s="1"/>
      <c r="K368" s="17"/>
      <c r="L368" s="1"/>
      <c r="M368" s="1"/>
      <c r="N368" s="2"/>
      <c r="O368" s="2"/>
      <c r="P368" s="1"/>
      <c r="Q368" s="1"/>
      <c r="R368" s="1"/>
      <c r="S368" s="1"/>
      <c r="T368" s="17"/>
      <c r="U368" s="17"/>
      <c r="V368" s="17"/>
      <c r="W368" s="17"/>
      <c r="X368" s="22"/>
      <c r="Y368" s="22"/>
      <c r="Z368" s="22"/>
      <c r="AA368" s="22"/>
      <c r="AB368" s="22"/>
      <c r="AC368" s="22"/>
      <c r="AD368" s="22"/>
      <c r="AE368" s="22"/>
      <c r="AF368" s="22"/>
      <c r="AG368" s="22"/>
      <c r="AH368" s="22"/>
      <c r="AI368" s="22"/>
      <c r="AJ368" s="17"/>
      <c r="AK368" s="22"/>
      <c r="AL368" s="22"/>
      <c r="AM368" s="22"/>
      <c r="AN368" s="22"/>
      <c r="AO368" s="17"/>
      <c r="AP368" s="17"/>
      <c r="AQ368" s="17"/>
      <c r="AR368" s="1"/>
      <c r="AS368" s="1"/>
      <c r="AT368" s="17"/>
      <c r="AU368" s="1"/>
      <c r="AV368" s="1"/>
      <c r="AW368" s="1"/>
      <c r="AX368" s="2"/>
      <c r="AY368" s="2"/>
      <c r="AZ368" s="1"/>
    </row>
    <row x14ac:dyDescent="0.25" r="369" customHeight="1" ht="15">
      <c r="A369" s="1"/>
      <c r="B369" s="1"/>
      <c r="C369" s="1"/>
      <c r="D369" s="1"/>
      <c r="E369" s="1"/>
      <c r="F369" s="1"/>
      <c r="G369" s="1"/>
      <c r="H369" s="1"/>
      <c r="I369" s="1"/>
      <c r="J369" s="1"/>
      <c r="K369" s="17"/>
      <c r="L369" s="1"/>
      <c r="M369" s="1"/>
      <c r="N369" s="2"/>
      <c r="O369" s="2"/>
      <c r="P369" s="1"/>
      <c r="Q369" s="1"/>
      <c r="R369" s="1"/>
      <c r="S369" s="1"/>
      <c r="T369" s="17"/>
      <c r="U369" s="17"/>
      <c r="V369" s="17"/>
      <c r="W369" s="17"/>
      <c r="X369" s="22"/>
      <c r="Y369" s="22"/>
      <c r="Z369" s="22"/>
      <c r="AA369" s="22"/>
      <c r="AB369" s="22"/>
      <c r="AC369" s="22"/>
      <c r="AD369" s="22"/>
      <c r="AE369" s="22"/>
      <c r="AF369" s="22"/>
      <c r="AG369" s="22"/>
      <c r="AH369" s="22"/>
      <c r="AI369" s="22"/>
      <c r="AJ369" s="17"/>
      <c r="AK369" s="22"/>
      <c r="AL369" s="22"/>
      <c r="AM369" s="22"/>
      <c r="AN369" s="22"/>
      <c r="AO369" s="17"/>
      <c r="AP369" s="17"/>
      <c r="AQ369" s="17"/>
      <c r="AR369" s="1"/>
      <c r="AS369" s="1"/>
      <c r="AT369" s="17"/>
      <c r="AU369" s="1"/>
      <c r="AV369" s="1"/>
      <c r="AW369" s="1"/>
      <c r="AX369" s="2"/>
      <c r="AY369" s="2"/>
      <c r="AZ369" s="1"/>
    </row>
    <row x14ac:dyDescent="0.25" r="370" customHeight="1" ht="15">
      <c r="A370" s="1"/>
      <c r="B370" s="1"/>
      <c r="C370" s="1"/>
      <c r="D370" s="1"/>
      <c r="E370" s="1"/>
      <c r="F370" s="1"/>
      <c r="G370" s="1"/>
      <c r="H370" s="1"/>
      <c r="I370" s="1"/>
      <c r="J370" s="1"/>
      <c r="K370" s="17"/>
      <c r="L370" s="1"/>
      <c r="M370" s="1"/>
      <c r="N370" s="2"/>
      <c r="O370" s="2"/>
      <c r="P370" s="1"/>
      <c r="Q370" s="1"/>
      <c r="R370" s="1"/>
      <c r="S370" s="1"/>
      <c r="T370" s="17"/>
      <c r="U370" s="17"/>
      <c r="V370" s="17"/>
      <c r="W370" s="17"/>
      <c r="X370" s="22"/>
      <c r="Y370" s="22"/>
      <c r="Z370" s="22"/>
      <c r="AA370" s="22"/>
      <c r="AB370" s="22"/>
      <c r="AC370" s="22"/>
      <c r="AD370" s="22"/>
      <c r="AE370" s="22"/>
      <c r="AF370" s="22"/>
      <c r="AG370" s="22"/>
      <c r="AH370" s="22"/>
      <c r="AI370" s="22"/>
      <c r="AJ370" s="17"/>
      <c r="AK370" s="22"/>
      <c r="AL370" s="22"/>
      <c r="AM370" s="22"/>
      <c r="AN370" s="22"/>
      <c r="AO370" s="17"/>
      <c r="AP370" s="17"/>
      <c r="AQ370" s="17"/>
      <c r="AR370" s="1"/>
      <c r="AS370" s="1"/>
      <c r="AT370" s="17"/>
      <c r="AU370" s="1"/>
      <c r="AV370" s="1"/>
      <c r="AW370" s="1"/>
      <c r="AX370" s="2"/>
      <c r="AY370" s="2"/>
      <c r="AZ370" s="1"/>
    </row>
    <row x14ac:dyDescent="0.25" r="371" customHeight="1" ht="15">
      <c r="A371" s="1"/>
      <c r="B371" s="1"/>
      <c r="C371" s="1"/>
      <c r="D371" s="1"/>
      <c r="E371" s="1"/>
      <c r="F371" s="1"/>
      <c r="G371" s="1"/>
      <c r="H371" s="1"/>
      <c r="I371" s="1"/>
      <c r="J371" s="1"/>
      <c r="K371" s="17"/>
      <c r="L371" s="1"/>
      <c r="M371" s="1"/>
      <c r="N371" s="2"/>
      <c r="O371" s="2"/>
      <c r="P371" s="1"/>
      <c r="Q371" s="1"/>
      <c r="R371" s="1"/>
      <c r="S371" s="1"/>
      <c r="T371" s="17"/>
      <c r="U371" s="17"/>
      <c r="V371" s="17"/>
      <c r="W371" s="17"/>
      <c r="X371" s="22"/>
      <c r="Y371" s="22"/>
      <c r="Z371" s="22"/>
      <c r="AA371" s="22"/>
      <c r="AB371" s="22"/>
      <c r="AC371" s="22"/>
      <c r="AD371" s="22"/>
      <c r="AE371" s="22"/>
      <c r="AF371" s="22"/>
      <c r="AG371" s="22"/>
      <c r="AH371" s="22"/>
      <c r="AI371" s="22"/>
      <c r="AJ371" s="17"/>
      <c r="AK371" s="22"/>
      <c r="AL371" s="22"/>
      <c r="AM371" s="22"/>
      <c r="AN371" s="22"/>
      <c r="AO371" s="17"/>
      <c r="AP371" s="17"/>
      <c r="AQ371" s="17"/>
      <c r="AR371" s="1"/>
      <c r="AS371" s="1"/>
      <c r="AT371" s="17"/>
      <c r="AU371" s="1"/>
      <c r="AV371" s="1"/>
      <c r="AW371" s="1"/>
      <c r="AX371" s="2"/>
      <c r="AY371" s="2"/>
      <c r="AZ371" s="1"/>
    </row>
    <row x14ac:dyDescent="0.25" r="372" customHeight="1" ht="15">
      <c r="A372" s="1"/>
      <c r="B372" s="1"/>
      <c r="C372" s="1"/>
      <c r="D372" s="1"/>
      <c r="E372" s="1"/>
      <c r="F372" s="1"/>
      <c r="G372" s="1"/>
      <c r="H372" s="1"/>
      <c r="I372" s="1"/>
      <c r="J372" s="1"/>
      <c r="K372" s="17"/>
      <c r="L372" s="1"/>
      <c r="M372" s="1"/>
      <c r="N372" s="2"/>
      <c r="O372" s="2"/>
      <c r="P372" s="1"/>
      <c r="Q372" s="1"/>
      <c r="R372" s="1"/>
      <c r="S372" s="1"/>
      <c r="T372" s="17"/>
      <c r="U372" s="17"/>
      <c r="V372" s="17"/>
      <c r="W372" s="17"/>
      <c r="X372" s="22"/>
      <c r="Y372" s="22"/>
      <c r="Z372" s="22"/>
      <c r="AA372" s="22"/>
      <c r="AB372" s="22"/>
      <c r="AC372" s="22"/>
      <c r="AD372" s="22"/>
      <c r="AE372" s="22"/>
      <c r="AF372" s="22"/>
      <c r="AG372" s="22"/>
      <c r="AH372" s="22"/>
      <c r="AI372" s="22"/>
      <c r="AJ372" s="17"/>
      <c r="AK372" s="22"/>
      <c r="AL372" s="22"/>
      <c r="AM372" s="22"/>
      <c r="AN372" s="22"/>
      <c r="AO372" s="17"/>
      <c r="AP372" s="17"/>
      <c r="AQ372" s="17"/>
      <c r="AR372" s="1"/>
      <c r="AS372" s="1"/>
      <c r="AT372" s="17"/>
      <c r="AU372" s="1"/>
      <c r="AV372" s="1"/>
      <c r="AW372" s="1"/>
      <c r="AX372" s="2"/>
      <c r="AY372" s="2"/>
      <c r="AZ372" s="1"/>
    </row>
    <row x14ac:dyDescent="0.25" r="373" customHeight="1" ht="15">
      <c r="A373" s="1"/>
      <c r="B373" s="1"/>
      <c r="C373" s="1"/>
      <c r="D373" s="1"/>
      <c r="E373" s="1"/>
      <c r="F373" s="1"/>
      <c r="G373" s="1"/>
      <c r="H373" s="1"/>
      <c r="I373" s="1"/>
      <c r="J373" s="1"/>
      <c r="K373" s="17"/>
      <c r="L373" s="1"/>
      <c r="M373" s="1"/>
      <c r="N373" s="2"/>
      <c r="O373" s="2"/>
      <c r="P373" s="1"/>
      <c r="Q373" s="1"/>
      <c r="R373" s="1"/>
      <c r="S373" s="1"/>
      <c r="T373" s="17"/>
      <c r="U373" s="17"/>
      <c r="V373" s="17"/>
      <c r="W373" s="17"/>
      <c r="X373" s="22"/>
      <c r="Y373" s="22"/>
      <c r="Z373" s="22"/>
      <c r="AA373" s="22"/>
      <c r="AB373" s="22"/>
      <c r="AC373" s="22"/>
      <c r="AD373" s="22"/>
      <c r="AE373" s="22"/>
      <c r="AF373" s="22"/>
      <c r="AG373" s="22"/>
      <c r="AH373" s="22"/>
      <c r="AI373" s="22"/>
      <c r="AJ373" s="17"/>
      <c r="AK373" s="22"/>
      <c r="AL373" s="22"/>
      <c r="AM373" s="22"/>
      <c r="AN373" s="22"/>
      <c r="AO373" s="17"/>
      <c r="AP373" s="17"/>
      <c r="AQ373" s="17"/>
      <c r="AR373" s="1"/>
      <c r="AS373" s="1"/>
      <c r="AT373" s="17"/>
      <c r="AU373" s="1"/>
      <c r="AV373" s="1"/>
      <c r="AW373" s="1"/>
      <c r="AX373" s="2"/>
      <c r="AY373" s="2"/>
      <c r="AZ373" s="1"/>
    </row>
    <row x14ac:dyDescent="0.25" r="374" customHeight="1" ht="15">
      <c r="A374" s="1"/>
      <c r="B374" s="1"/>
      <c r="C374" s="1"/>
      <c r="D374" s="1"/>
      <c r="E374" s="1"/>
      <c r="F374" s="1"/>
      <c r="G374" s="1"/>
      <c r="H374" s="1"/>
      <c r="I374" s="1"/>
      <c r="J374" s="1"/>
      <c r="K374" s="17"/>
      <c r="L374" s="1"/>
      <c r="M374" s="1"/>
      <c r="N374" s="2"/>
      <c r="O374" s="2"/>
      <c r="P374" s="1"/>
      <c r="Q374" s="1"/>
      <c r="R374" s="1"/>
      <c r="S374" s="1"/>
      <c r="T374" s="17"/>
      <c r="U374" s="17"/>
      <c r="V374" s="17"/>
      <c r="W374" s="17"/>
      <c r="X374" s="22"/>
      <c r="Y374" s="22"/>
      <c r="Z374" s="22"/>
      <c r="AA374" s="22"/>
      <c r="AB374" s="22"/>
      <c r="AC374" s="22"/>
      <c r="AD374" s="22"/>
      <c r="AE374" s="22"/>
      <c r="AF374" s="22"/>
      <c r="AG374" s="22"/>
      <c r="AH374" s="22"/>
      <c r="AI374" s="22"/>
      <c r="AJ374" s="17"/>
      <c r="AK374" s="22"/>
      <c r="AL374" s="22"/>
      <c r="AM374" s="22"/>
      <c r="AN374" s="22"/>
      <c r="AO374" s="17"/>
      <c r="AP374" s="17"/>
      <c r="AQ374" s="17"/>
      <c r="AR374" s="1"/>
      <c r="AS374" s="1"/>
      <c r="AT374" s="17"/>
      <c r="AU374" s="1"/>
      <c r="AV374" s="1"/>
      <c r="AW374" s="1"/>
      <c r="AX374" s="2"/>
      <c r="AY374" s="2"/>
      <c r="AZ374" s="1"/>
    </row>
    <row x14ac:dyDescent="0.25" r="375" customHeight="1" ht="15">
      <c r="A375" s="1"/>
      <c r="B375" s="1"/>
      <c r="C375" s="1"/>
      <c r="D375" s="1"/>
      <c r="E375" s="1"/>
      <c r="F375" s="1"/>
      <c r="G375" s="1"/>
      <c r="H375" s="1"/>
      <c r="I375" s="1"/>
      <c r="J375" s="1"/>
      <c r="K375" s="17"/>
      <c r="L375" s="1"/>
      <c r="M375" s="1"/>
      <c r="N375" s="2"/>
      <c r="O375" s="2"/>
      <c r="P375" s="1"/>
      <c r="Q375" s="1"/>
      <c r="R375" s="1"/>
      <c r="S375" s="1"/>
      <c r="T375" s="17"/>
      <c r="U375" s="17"/>
      <c r="V375" s="17"/>
      <c r="W375" s="17"/>
      <c r="X375" s="22"/>
      <c r="Y375" s="22"/>
      <c r="Z375" s="22"/>
      <c r="AA375" s="22"/>
      <c r="AB375" s="22"/>
      <c r="AC375" s="22"/>
      <c r="AD375" s="22"/>
      <c r="AE375" s="22"/>
      <c r="AF375" s="22"/>
      <c r="AG375" s="22"/>
      <c r="AH375" s="22"/>
      <c r="AI375" s="22"/>
      <c r="AJ375" s="17"/>
      <c r="AK375" s="22"/>
      <c r="AL375" s="22"/>
      <c r="AM375" s="22"/>
      <c r="AN375" s="22"/>
      <c r="AO375" s="17"/>
      <c r="AP375" s="17"/>
      <c r="AQ375" s="17"/>
      <c r="AR375" s="1"/>
      <c r="AS375" s="1"/>
      <c r="AT375" s="17"/>
      <c r="AU375" s="1"/>
      <c r="AV375" s="1"/>
      <c r="AW375" s="1"/>
      <c r="AX375" s="2"/>
      <c r="AY375" s="2"/>
      <c r="AZ375" s="1"/>
    </row>
    <row x14ac:dyDescent="0.25" r="376" customHeight="1" ht="15">
      <c r="A376" s="1"/>
      <c r="B376" s="1"/>
      <c r="C376" s="1"/>
      <c r="D376" s="1"/>
      <c r="E376" s="1"/>
      <c r="F376" s="1"/>
      <c r="G376" s="1"/>
      <c r="H376" s="1"/>
      <c r="I376" s="1"/>
      <c r="J376" s="1"/>
      <c r="K376" s="17"/>
      <c r="L376" s="1"/>
      <c r="M376" s="1"/>
      <c r="N376" s="2"/>
      <c r="O376" s="2"/>
      <c r="P376" s="1"/>
      <c r="Q376" s="1"/>
      <c r="R376" s="1"/>
      <c r="S376" s="1"/>
      <c r="T376" s="17"/>
      <c r="U376" s="17"/>
      <c r="V376" s="17"/>
      <c r="W376" s="17"/>
      <c r="X376" s="22"/>
      <c r="Y376" s="22"/>
      <c r="Z376" s="22"/>
      <c r="AA376" s="22"/>
      <c r="AB376" s="22"/>
      <c r="AC376" s="22"/>
      <c r="AD376" s="22"/>
      <c r="AE376" s="22"/>
      <c r="AF376" s="22"/>
      <c r="AG376" s="22"/>
      <c r="AH376" s="22"/>
      <c r="AI376" s="22"/>
      <c r="AJ376" s="17"/>
      <c r="AK376" s="22"/>
      <c r="AL376" s="22"/>
      <c r="AM376" s="22"/>
      <c r="AN376" s="22"/>
      <c r="AO376" s="17"/>
      <c r="AP376" s="17"/>
      <c r="AQ376" s="17"/>
      <c r="AR376" s="1"/>
      <c r="AS376" s="1"/>
      <c r="AT376" s="17"/>
      <c r="AU376" s="1"/>
      <c r="AV376" s="1"/>
      <c r="AW376" s="1"/>
      <c r="AX376" s="2"/>
      <c r="AY376" s="2"/>
      <c r="AZ376" s="1"/>
    </row>
    <row x14ac:dyDescent="0.25" r="377" customHeight="1" ht="15">
      <c r="A377" s="1"/>
      <c r="B377" s="1"/>
      <c r="C377" s="1"/>
      <c r="D377" s="1"/>
      <c r="E377" s="1"/>
      <c r="F377" s="1"/>
      <c r="G377" s="1"/>
      <c r="H377" s="1"/>
      <c r="I377" s="1"/>
      <c r="J377" s="1"/>
      <c r="K377" s="17"/>
      <c r="L377" s="1"/>
      <c r="M377" s="1"/>
      <c r="N377" s="2"/>
      <c r="O377" s="2"/>
      <c r="P377" s="1"/>
      <c r="Q377" s="1"/>
      <c r="R377" s="1"/>
      <c r="S377" s="1"/>
      <c r="T377" s="17"/>
      <c r="U377" s="17"/>
      <c r="V377" s="17"/>
      <c r="W377" s="17"/>
      <c r="X377" s="22"/>
      <c r="Y377" s="22"/>
      <c r="Z377" s="22"/>
      <c r="AA377" s="22"/>
      <c r="AB377" s="22"/>
      <c r="AC377" s="22"/>
      <c r="AD377" s="22"/>
      <c r="AE377" s="22"/>
      <c r="AF377" s="22"/>
      <c r="AG377" s="22"/>
      <c r="AH377" s="22"/>
      <c r="AI377" s="22"/>
      <c r="AJ377" s="17"/>
      <c r="AK377" s="22"/>
      <c r="AL377" s="22"/>
      <c r="AM377" s="22"/>
      <c r="AN377" s="22"/>
      <c r="AO377" s="17"/>
      <c r="AP377" s="17"/>
      <c r="AQ377" s="17"/>
      <c r="AR377" s="1"/>
      <c r="AS377" s="1"/>
      <c r="AT377" s="17"/>
      <c r="AU377" s="1"/>
      <c r="AV377" s="1"/>
      <c r="AW377" s="1"/>
      <c r="AX377" s="2"/>
      <c r="AY377" s="2"/>
      <c r="AZ377" s="1"/>
    </row>
    <row x14ac:dyDescent="0.25" r="378" customHeight="1" ht="15">
      <c r="A378" s="1"/>
      <c r="B378" s="1"/>
      <c r="C378" s="1"/>
      <c r="D378" s="1"/>
      <c r="E378" s="1"/>
      <c r="F378" s="1"/>
      <c r="G378" s="1"/>
      <c r="H378" s="1"/>
      <c r="I378" s="1"/>
      <c r="J378" s="1"/>
      <c r="K378" s="17"/>
      <c r="L378" s="1"/>
      <c r="M378" s="1"/>
      <c r="N378" s="2"/>
      <c r="O378" s="2"/>
      <c r="P378" s="1"/>
      <c r="Q378" s="1"/>
      <c r="R378" s="1"/>
      <c r="S378" s="1"/>
      <c r="T378" s="17"/>
      <c r="U378" s="17"/>
      <c r="V378" s="17"/>
      <c r="W378" s="17"/>
      <c r="X378" s="22"/>
      <c r="Y378" s="22"/>
      <c r="Z378" s="22"/>
      <c r="AA378" s="22"/>
      <c r="AB378" s="22"/>
      <c r="AC378" s="22"/>
      <c r="AD378" s="22"/>
      <c r="AE378" s="22"/>
      <c r="AF378" s="22"/>
      <c r="AG378" s="22"/>
      <c r="AH378" s="22"/>
      <c r="AI378" s="22"/>
      <c r="AJ378" s="17"/>
      <c r="AK378" s="22"/>
      <c r="AL378" s="22"/>
      <c r="AM378" s="22"/>
      <c r="AN378" s="22"/>
      <c r="AO378" s="17"/>
      <c r="AP378" s="17"/>
      <c r="AQ378" s="17"/>
      <c r="AR378" s="1"/>
      <c r="AS378" s="1"/>
      <c r="AT378" s="17"/>
      <c r="AU378" s="1"/>
      <c r="AV378" s="1"/>
      <c r="AW378" s="1"/>
      <c r="AX378" s="2"/>
      <c r="AY378" s="2"/>
      <c r="AZ378" s="1"/>
    </row>
    <row x14ac:dyDescent="0.25" r="379" customHeight="1" ht="15">
      <c r="A379" s="1"/>
      <c r="B379" s="1"/>
      <c r="C379" s="1"/>
      <c r="D379" s="1"/>
      <c r="E379" s="1"/>
      <c r="F379" s="1"/>
      <c r="G379" s="1"/>
      <c r="H379" s="1"/>
      <c r="I379" s="1"/>
      <c r="J379" s="1"/>
      <c r="K379" s="17"/>
      <c r="L379" s="1"/>
      <c r="M379" s="1"/>
      <c r="N379" s="2"/>
      <c r="O379" s="2"/>
      <c r="P379" s="1"/>
      <c r="Q379" s="1"/>
      <c r="R379" s="1"/>
      <c r="S379" s="1"/>
      <c r="T379" s="17"/>
      <c r="U379" s="17"/>
      <c r="V379" s="17"/>
      <c r="W379" s="17"/>
      <c r="X379" s="22"/>
      <c r="Y379" s="22"/>
      <c r="Z379" s="22"/>
      <c r="AA379" s="22"/>
      <c r="AB379" s="22"/>
      <c r="AC379" s="22"/>
      <c r="AD379" s="22"/>
      <c r="AE379" s="22"/>
      <c r="AF379" s="22"/>
      <c r="AG379" s="22"/>
      <c r="AH379" s="22"/>
      <c r="AI379" s="22"/>
      <c r="AJ379" s="17"/>
      <c r="AK379" s="22"/>
      <c r="AL379" s="22"/>
      <c r="AM379" s="22"/>
      <c r="AN379" s="22"/>
      <c r="AO379" s="17"/>
      <c r="AP379" s="17"/>
      <c r="AQ379" s="17"/>
      <c r="AR379" s="1"/>
      <c r="AS379" s="1"/>
      <c r="AT379" s="17"/>
      <c r="AU379" s="1"/>
      <c r="AV379" s="1"/>
      <c r="AW379" s="1"/>
      <c r="AX379" s="2"/>
      <c r="AY379" s="2"/>
      <c r="AZ379" s="1"/>
    </row>
    <row x14ac:dyDescent="0.25" r="380" customHeight="1" ht="15">
      <c r="A380" s="1"/>
      <c r="B380" s="1"/>
      <c r="C380" s="1"/>
      <c r="D380" s="1"/>
      <c r="E380" s="1"/>
      <c r="F380" s="1"/>
      <c r="G380" s="1"/>
      <c r="H380" s="1"/>
      <c r="I380" s="1"/>
      <c r="J380" s="1"/>
      <c r="K380" s="17"/>
      <c r="L380" s="1"/>
      <c r="M380" s="1"/>
      <c r="N380" s="2"/>
      <c r="O380" s="2"/>
      <c r="P380" s="1"/>
      <c r="Q380" s="1"/>
      <c r="R380" s="1"/>
      <c r="S380" s="1"/>
      <c r="T380" s="17"/>
      <c r="U380" s="17"/>
      <c r="V380" s="17"/>
      <c r="W380" s="17"/>
      <c r="X380" s="22"/>
      <c r="Y380" s="22"/>
      <c r="Z380" s="22"/>
      <c r="AA380" s="22"/>
      <c r="AB380" s="22"/>
      <c r="AC380" s="22"/>
      <c r="AD380" s="22"/>
      <c r="AE380" s="22"/>
      <c r="AF380" s="22"/>
      <c r="AG380" s="22"/>
      <c r="AH380" s="22"/>
      <c r="AI380" s="22"/>
      <c r="AJ380" s="17"/>
      <c r="AK380" s="22"/>
      <c r="AL380" s="22"/>
      <c r="AM380" s="22"/>
      <c r="AN380" s="22"/>
      <c r="AO380" s="17"/>
      <c r="AP380" s="17"/>
      <c r="AQ380" s="17"/>
      <c r="AR380" s="1"/>
      <c r="AS380" s="1"/>
      <c r="AT380" s="17"/>
      <c r="AU380" s="1"/>
      <c r="AV380" s="1"/>
      <c r="AW380" s="1"/>
      <c r="AX380" s="2"/>
      <c r="AY380" s="2"/>
      <c r="AZ380" s="1"/>
    </row>
    <row x14ac:dyDescent="0.25" r="381" customHeight="1" ht="15">
      <c r="A381" s="1"/>
      <c r="B381" s="1"/>
      <c r="C381" s="1"/>
      <c r="D381" s="1"/>
      <c r="E381" s="1"/>
      <c r="F381" s="1"/>
      <c r="G381" s="1"/>
      <c r="H381" s="1"/>
      <c r="I381" s="1"/>
      <c r="J381" s="1"/>
      <c r="K381" s="17"/>
      <c r="L381" s="1"/>
      <c r="M381" s="1"/>
      <c r="N381" s="2"/>
      <c r="O381" s="2"/>
      <c r="P381" s="1"/>
      <c r="Q381" s="1"/>
      <c r="R381" s="1"/>
      <c r="S381" s="1"/>
      <c r="T381" s="17"/>
      <c r="U381" s="17"/>
      <c r="V381" s="17"/>
      <c r="W381" s="17"/>
      <c r="X381" s="22"/>
      <c r="Y381" s="22"/>
      <c r="Z381" s="22"/>
      <c r="AA381" s="22"/>
      <c r="AB381" s="22"/>
      <c r="AC381" s="22"/>
      <c r="AD381" s="22"/>
      <c r="AE381" s="22"/>
      <c r="AF381" s="22"/>
      <c r="AG381" s="22"/>
      <c r="AH381" s="22"/>
      <c r="AI381" s="22"/>
      <c r="AJ381" s="17"/>
      <c r="AK381" s="22"/>
      <c r="AL381" s="22"/>
      <c r="AM381" s="22"/>
      <c r="AN381" s="22"/>
      <c r="AO381" s="17"/>
      <c r="AP381" s="17"/>
      <c r="AQ381" s="17"/>
      <c r="AR381" s="1"/>
      <c r="AS381" s="1"/>
      <c r="AT381" s="17"/>
      <c r="AU381" s="1"/>
      <c r="AV381" s="1"/>
      <c r="AW381" s="1"/>
      <c r="AX381" s="2"/>
      <c r="AY381" s="2"/>
      <c r="AZ381" s="1"/>
    </row>
    <row x14ac:dyDescent="0.25" r="382" customHeight="1" ht="15">
      <c r="A382" s="1"/>
      <c r="B382" s="1"/>
      <c r="C382" s="1"/>
      <c r="D382" s="1"/>
      <c r="E382" s="1"/>
      <c r="F382" s="1"/>
      <c r="G382" s="1"/>
      <c r="H382" s="1"/>
      <c r="I382" s="1"/>
      <c r="J382" s="1"/>
      <c r="K382" s="17"/>
      <c r="L382" s="1"/>
      <c r="M382" s="1"/>
      <c r="N382" s="2"/>
      <c r="O382" s="2"/>
      <c r="P382" s="1"/>
      <c r="Q382" s="1"/>
      <c r="R382" s="1"/>
      <c r="S382" s="1"/>
      <c r="T382" s="17"/>
      <c r="U382" s="17"/>
      <c r="V382" s="17"/>
      <c r="W382" s="17"/>
      <c r="X382" s="22"/>
      <c r="Y382" s="22"/>
      <c r="Z382" s="22"/>
      <c r="AA382" s="22"/>
      <c r="AB382" s="22"/>
      <c r="AC382" s="22"/>
      <c r="AD382" s="22"/>
      <c r="AE382" s="22"/>
      <c r="AF382" s="22"/>
      <c r="AG382" s="22"/>
      <c r="AH382" s="22"/>
      <c r="AI382" s="22"/>
      <c r="AJ382" s="17"/>
      <c r="AK382" s="22"/>
      <c r="AL382" s="22"/>
      <c r="AM382" s="22"/>
      <c r="AN382" s="22"/>
      <c r="AO382" s="17"/>
      <c r="AP382" s="17"/>
      <c r="AQ382" s="17"/>
      <c r="AR382" s="1"/>
      <c r="AS382" s="1"/>
      <c r="AT382" s="17"/>
      <c r="AU382" s="1"/>
      <c r="AV382" s="1"/>
      <c r="AW382" s="1"/>
      <c r="AX382" s="2"/>
      <c r="AY382" s="2"/>
      <c r="AZ382" s="1"/>
    </row>
    <row x14ac:dyDescent="0.25" r="383" customHeight="1" ht="15">
      <c r="A383" s="1"/>
      <c r="B383" s="1"/>
      <c r="C383" s="1"/>
      <c r="D383" s="1"/>
      <c r="E383" s="1"/>
      <c r="F383" s="1"/>
      <c r="G383" s="1"/>
      <c r="H383" s="1"/>
      <c r="I383" s="1"/>
      <c r="J383" s="1"/>
      <c r="K383" s="17"/>
      <c r="L383" s="1"/>
      <c r="M383" s="1"/>
      <c r="N383" s="2"/>
      <c r="O383" s="2"/>
      <c r="P383" s="1"/>
      <c r="Q383" s="1"/>
      <c r="R383" s="1"/>
      <c r="S383" s="1"/>
      <c r="T383" s="17"/>
      <c r="U383" s="17"/>
      <c r="V383" s="17"/>
      <c r="W383" s="17"/>
      <c r="X383" s="22"/>
      <c r="Y383" s="22"/>
      <c r="Z383" s="22"/>
      <c r="AA383" s="22"/>
      <c r="AB383" s="22"/>
      <c r="AC383" s="22"/>
      <c r="AD383" s="22"/>
      <c r="AE383" s="22"/>
      <c r="AF383" s="22"/>
      <c r="AG383" s="22"/>
      <c r="AH383" s="22"/>
      <c r="AI383" s="22"/>
      <c r="AJ383" s="17"/>
      <c r="AK383" s="22"/>
      <c r="AL383" s="22"/>
      <c r="AM383" s="22"/>
      <c r="AN383" s="22"/>
      <c r="AO383" s="17"/>
      <c r="AP383" s="17"/>
      <c r="AQ383" s="17"/>
      <c r="AR383" s="1"/>
      <c r="AS383" s="1"/>
      <c r="AT383" s="17"/>
      <c r="AU383" s="1"/>
      <c r="AV383" s="1"/>
      <c r="AW383" s="1"/>
      <c r="AX383" s="2"/>
      <c r="AY383" s="2"/>
      <c r="AZ383" s="1"/>
    </row>
    <row x14ac:dyDescent="0.25" r="384" customHeight="1" ht="15">
      <c r="A384" s="1"/>
      <c r="B384" s="1"/>
      <c r="C384" s="1"/>
      <c r="D384" s="1"/>
      <c r="E384" s="1"/>
      <c r="F384" s="1"/>
      <c r="G384" s="1"/>
      <c r="H384" s="1"/>
      <c r="I384" s="1"/>
      <c r="J384" s="1"/>
      <c r="K384" s="17"/>
      <c r="L384" s="1"/>
      <c r="M384" s="1"/>
      <c r="N384" s="2"/>
      <c r="O384" s="2"/>
      <c r="P384" s="1"/>
      <c r="Q384" s="1"/>
      <c r="R384" s="1"/>
      <c r="S384" s="1"/>
      <c r="T384" s="17"/>
      <c r="U384" s="17"/>
      <c r="V384" s="17"/>
      <c r="W384" s="17"/>
      <c r="X384" s="22"/>
      <c r="Y384" s="22"/>
      <c r="Z384" s="22"/>
      <c r="AA384" s="22"/>
      <c r="AB384" s="22"/>
      <c r="AC384" s="22"/>
      <c r="AD384" s="22"/>
      <c r="AE384" s="22"/>
      <c r="AF384" s="22"/>
      <c r="AG384" s="22"/>
      <c r="AH384" s="22"/>
      <c r="AI384" s="22"/>
      <c r="AJ384" s="17"/>
      <c r="AK384" s="22"/>
      <c r="AL384" s="22"/>
      <c r="AM384" s="22"/>
      <c r="AN384" s="22"/>
      <c r="AO384" s="17"/>
      <c r="AP384" s="17"/>
      <c r="AQ384" s="17"/>
      <c r="AR384" s="1"/>
      <c r="AS384" s="1"/>
      <c r="AT384" s="17"/>
      <c r="AU384" s="1"/>
      <c r="AV384" s="1"/>
      <c r="AW384" s="1"/>
      <c r="AX384" s="2"/>
      <c r="AY384" s="2"/>
      <c r="AZ384" s="1"/>
    </row>
    <row x14ac:dyDescent="0.25" r="385" customHeight="1" ht="15">
      <c r="A385" s="1"/>
      <c r="B385" s="1"/>
      <c r="C385" s="1"/>
      <c r="D385" s="1"/>
      <c r="E385" s="1"/>
      <c r="F385" s="1"/>
      <c r="G385" s="1"/>
      <c r="H385" s="1"/>
      <c r="I385" s="1"/>
      <c r="J385" s="1"/>
      <c r="K385" s="17"/>
      <c r="L385" s="1"/>
      <c r="M385" s="1"/>
      <c r="N385" s="2"/>
      <c r="O385" s="2"/>
      <c r="P385" s="1"/>
      <c r="Q385" s="1"/>
      <c r="R385" s="1"/>
      <c r="S385" s="1"/>
      <c r="T385" s="17"/>
      <c r="U385" s="17"/>
      <c r="V385" s="17"/>
      <c r="W385" s="17"/>
      <c r="X385" s="22"/>
      <c r="Y385" s="22"/>
      <c r="Z385" s="22"/>
      <c r="AA385" s="22"/>
      <c r="AB385" s="22"/>
      <c r="AC385" s="22"/>
      <c r="AD385" s="22"/>
      <c r="AE385" s="22"/>
      <c r="AF385" s="22"/>
      <c r="AG385" s="22"/>
      <c r="AH385" s="22"/>
      <c r="AI385" s="22"/>
      <c r="AJ385" s="17"/>
      <c r="AK385" s="22"/>
      <c r="AL385" s="22"/>
      <c r="AM385" s="22"/>
      <c r="AN385" s="22"/>
      <c r="AO385" s="17"/>
      <c r="AP385" s="17"/>
      <c r="AQ385" s="17"/>
      <c r="AR385" s="1"/>
      <c r="AS385" s="1"/>
      <c r="AT385" s="17"/>
      <c r="AU385" s="1"/>
      <c r="AV385" s="1"/>
      <c r="AW385" s="1"/>
      <c r="AX385" s="2"/>
      <c r="AY385" s="2"/>
      <c r="AZ385" s="1"/>
    </row>
    <row x14ac:dyDescent="0.25" r="386" customHeight="1" ht="15">
      <c r="A386" s="1"/>
      <c r="B386" s="1"/>
      <c r="C386" s="1"/>
      <c r="D386" s="1"/>
      <c r="E386" s="1"/>
      <c r="F386" s="1"/>
      <c r="G386" s="1"/>
      <c r="H386" s="1"/>
      <c r="I386" s="1"/>
      <c r="J386" s="1"/>
      <c r="K386" s="17"/>
      <c r="L386" s="1"/>
      <c r="M386" s="1"/>
      <c r="N386" s="2"/>
      <c r="O386" s="2"/>
      <c r="P386" s="1"/>
      <c r="Q386" s="1"/>
      <c r="R386" s="1"/>
      <c r="S386" s="1"/>
      <c r="T386" s="17"/>
      <c r="U386" s="17"/>
      <c r="V386" s="17"/>
      <c r="W386" s="17"/>
      <c r="X386" s="22"/>
      <c r="Y386" s="22"/>
      <c r="Z386" s="22"/>
      <c r="AA386" s="22"/>
      <c r="AB386" s="22"/>
      <c r="AC386" s="22"/>
      <c r="AD386" s="22"/>
      <c r="AE386" s="22"/>
      <c r="AF386" s="22"/>
      <c r="AG386" s="22"/>
      <c r="AH386" s="22"/>
      <c r="AI386" s="22"/>
      <c r="AJ386" s="17"/>
      <c r="AK386" s="22"/>
      <c r="AL386" s="22"/>
      <c r="AM386" s="22"/>
      <c r="AN386" s="22"/>
      <c r="AO386" s="17"/>
      <c r="AP386" s="17"/>
      <c r="AQ386" s="17"/>
      <c r="AR386" s="1"/>
      <c r="AS386" s="1"/>
      <c r="AT386" s="17"/>
      <c r="AU386" s="1"/>
      <c r="AV386" s="1"/>
      <c r="AW386" s="1"/>
      <c r="AX386" s="2"/>
      <c r="AY386" s="2"/>
      <c r="AZ386" s="1"/>
    </row>
    <row x14ac:dyDescent="0.25" r="387" customHeight="1" ht="15">
      <c r="A387" s="1"/>
      <c r="B387" s="1"/>
      <c r="C387" s="1"/>
      <c r="D387" s="1"/>
      <c r="E387" s="1"/>
      <c r="F387" s="1"/>
      <c r="G387" s="1"/>
      <c r="H387" s="1"/>
      <c r="I387" s="1"/>
      <c r="J387" s="1"/>
      <c r="K387" s="17"/>
      <c r="L387" s="1"/>
      <c r="M387" s="1"/>
      <c r="N387" s="2"/>
      <c r="O387" s="2"/>
      <c r="P387" s="1"/>
      <c r="Q387" s="1"/>
      <c r="R387" s="1"/>
      <c r="S387" s="1"/>
      <c r="T387" s="17"/>
      <c r="U387" s="17"/>
      <c r="V387" s="17"/>
      <c r="W387" s="17"/>
      <c r="X387" s="22"/>
      <c r="Y387" s="22"/>
      <c r="Z387" s="22"/>
      <c r="AA387" s="22"/>
      <c r="AB387" s="22"/>
      <c r="AC387" s="22"/>
      <c r="AD387" s="22"/>
      <c r="AE387" s="22"/>
      <c r="AF387" s="22"/>
      <c r="AG387" s="22"/>
      <c r="AH387" s="22"/>
      <c r="AI387" s="22"/>
      <c r="AJ387" s="17"/>
      <c r="AK387" s="22"/>
      <c r="AL387" s="22"/>
      <c r="AM387" s="22"/>
      <c r="AN387" s="22"/>
      <c r="AO387" s="17"/>
      <c r="AP387" s="17"/>
      <c r="AQ387" s="17"/>
      <c r="AR387" s="1"/>
      <c r="AS387" s="1"/>
      <c r="AT387" s="17"/>
      <c r="AU387" s="1"/>
      <c r="AV387" s="1"/>
      <c r="AW387" s="1"/>
      <c r="AX387" s="2"/>
      <c r="AY387" s="2"/>
      <c r="AZ387" s="1"/>
    </row>
    <row x14ac:dyDescent="0.25" r="388" customHeight="1" ht="15">
      <c r="A388" s="1"/>
      <c r="B388" s="1"/>
      <c r="C388" s="1"/>
      <c r="D388" s="1"/>
      <c r="E388" s="1"/>
      <c r="F388" s="1"/>
      <c r="G388" s="1"/>
      <c r="H388" s="1"/>
      <c r="I388" s="1"/>
      <c r="J388" s="1"/>
      <c r="K388" s="17"/>
      <c r="L388" s="1"/>
      <c r="M388" s="1"/>
      <c r="N388" s="2"/>
      <c r="O388" s="2"/>
      <c r="P388" s="1"/>
      <c r="Q388" s="1"/>
      <c r="R388" s="1"/>
      <c r="S388" s="1"/>
      <c r="T388" s="17"/>
      <c r="U388" s="17"/>
      <c r="V388" s="17"/>
      <c r="W388" s="17"/>
      <c r="X388" s="22"/>
      <c r="Y388" s="22"/>
      <c r="Z388" s="22"/>
      <c r="AA388" s="22"/>
      <c r="AB388" s="22"/>
      <c r="AC388" s="22"/>
      <c r="AD388" s="22"/>
      <c r="AE388" s="22"/>
      <c r="AF388" s="22"/>
      <c r="AG388" s="22"/>
      <c r="AH388" s="22"/>
      <c r="AI388" s="22"/>
      <c r="AJ388" s="17"/>
      <c r="AK388" s="22"/>
      <c r="AL388" s="22"/>
      <c r="AM388" s="22"/>
      <c r="AN388" s="22"/>
      <c r="AO388" s="17"/>
      <c r="AP388" s="17"/>
      <c r="AQ388" s="17"/>
      <c r="AR388" s="1"/>
      <c r="AS388" s="1"/>
      <c r="AT388" s="17"/>
      <c r="AU388" s="1"/>
      <c r="AV388" s="1"/>
      <c r="AW388" s="1"/>
      <c r="AX388" s="2"/>
      <c r="AY388" s="2"/>
      <c r="AZ388" s="1"/>
    </row>
    <row x14ac:dyDescent="0.25" r="389" customHeight="1" ht="15">
      <c r="A389" s="1"/>
      <c r="B389" s="1"/>
      <c r="C389" s="1"/>
      <c r="D389" s="1"/>
      <c r="E389" s="1"/>
      <c r="F389" s="1"/>
      <c r="G389" s="1"/>
      <c r="H389" s="1"/>
      <c r="I389" s="1"/>
      <c r="J389" s="1"/>
      <c r="K389" s="17"/>
      <c r="L389" s="1"/>
      <c r="M389" s="1"/>
      <c r="N389" s="2"/>
      <c r="O389" s="2"/>
      <c r="P389" s="1"/>
      <c r="Q389" s="1"/>
      <c r="R389" s="1"/>
      <c r="S389" s="1"/>
      <c r="T389" s="17"/>
      <c r="U389" s="17"/>
      <c r="V389" s="17"/>
      <c r="W389" s="17"/>
      <c r="X389" s="22"/>
      <c r="Y389" s="22"/>
      <c r="Z389" s="22"/>
      <c r="AA389" s="22"/>
      <c r="AB389" s="22"/>
      <c r="AC389" s="22"/>
      <c r="AD389" s="22"/>
      <c r="AE389" s="22"/>
      <c r="AF389" s="22"/>
      <c r="AG389" s="22"/>
      <c r="AH389" s="22"/>
      <c r="AI389" s="22"/>
      <c r="AJ389" s="17"/>
      <c r="AK389" s="22"/>
      <c r="AL389" s="22"/>
      <c r="AM389" s="22"/>
      <c r="AN389" s="22"/>
      <c r="AO389" s="17"/>
      <c r="AP389" s="17"/>
      <c r="AQ389" s="17"/>
      <c r="AR389" s="1"/>
      <c r="AS389" s="1"/>
      <c r="AT389" s="17"/>
      <c r="AU389" s="1"/>
      <c r="AV389" s="1"/>
      <c r="AW389" s="1"/>
      <c r="AX389" s="2"/>
      <c r="AY389" s="2"/>
      <c r="AZ389" s="1"/>
    </row>
    <row x14ac:dyDescent="0.25" r="390" customHeight="1" ht="15">
      <c r="A390" s="1"/>
      <c r="B390" s="1"/>
      <c r="C390" s="1"/>
      <c r="D390" s="1"/>
      <c r="E390" s="1"/>
      <c r="F390" s="1"/>
      <c r="G390" s="1"/>
      <c r="H390" s="1"/>
      <c r="I390" s="1"/>
      <c r="J390" s="1"/>
      <c r="K390" s="17"/>
      <c r="L390" s="1"/>
      <c r="M390" s="1"/>
      <c r="N390" s="2"/>
      <c r="O390" s="2"/>
      <c r="P390" s="1"/>
      <c r="Q390" s="1"/>
      <c r="R390" s="1"/>
      <c r="S390" s="1"/>
      <c r="T390" s="17"/>
      <c r="U390" s="17"/>
      <c r="V390" s="17"/>
      <c r="W390" s="17"/>
      <c r="X390" s="22"/>
      <c r="Y390" s="22"/>
      <c r="Z390" s="22"/>
      <c r="AA390" s="22"/>
      <c r="AB390" s="22"/>
      <c r="AC390" s="22"/>
      <c r="AD390" s="22"/>
      <c r="AE390" s="22"/>
      <c r="AF390" s="22"/>
      <c r="AG390" s="22"/>
      <c r="AH390" s="22"/>
      <c r="AI390" s="22"/>
      <c r="AJ390" s="17"/>
      <c r="AK390" s="22"/>
      <c r="AL390" s="22"/>
      <c r="AM390" s="22"/>
      <c r="AN390" s="22"/>
      <c r="AO390" s="17"/>
      <c r="AP390" s="17"/>
      <c r="AQ390" s="17"/>
      <c r="AR390" s="1"/>
      <c r="AS390" s="1"/>
      <c r="AT390" s="17"/>
      <c r="AU390" s="1"/>
      <c r="AV390" s="1"/>
      <c r="AW390" s="1"/>
      <c r="AX390" s="2"/>
      <c r="AY390" s="2"/>
      <c r="AZ390" s="1"/>
    </row>
    <row x14ac:dyDescent="0.25" r="391" customHeight="1" ht="15">
      <c r="A391" s="1"/>
      <c r="B391" s="1"/>
      <c r="C391" s="1"/>
      <c r="D391" s="1"/>
      <c r="E391" s="1"/>
      <c r="F391" s="1"/>
      <c r="G391" s="1"/>
      <c r="H391" s="1"/>
      <c r="I391" s="1"/>
      <c r="J391" s="1"/>
      <c r="K391" s="17"/>
      <c r="L391" s="1"/>
      <c r="M391" s="1"/>
      <c r="N391" s="2"/>
      <c r="O391" s="2"/>
      <c r="P391" s="1"/>
      <c r="Q391" s="1"/>
      <c r="R391" s="1"/>
      <c r="S391" s="1"/>
      <c r="T391" s="17"/>
      <c r="U391" s="17"/>
      <c r="V391" s="17"/>
      <c r="W391" s="17"/>
      <c r="X391" s="22"/>
      <c r="Y391" s="22"/>
      <c r="Z391" s="22"/>
      <c r="AA391" s="22"/>
      <c r="AB391" s="22"/>
      <c r="AC391" s="22"/>
      <c r="AD391" s="22"/>
      <c r="AE391" s="22"/>
      <c r="AF391" s="22"/>
      <c r="AG391" s="22"/>
      <c r="AH391" s="22"/>
      <c r="AI391" s="22"/>
      <c r="AJ391" s="17"/>
      <c r="AK391" s="22"/>
      <c r="AL391" s="22"/>
      <c r="AM391" s="22"/>
      <c r="AN391" s="22"/>
      <c r="AO391" s="17"/>
      <c r="AP391" s="17"/>
      <c r="AQ391" s="17"/>
      <c r="AR391" s="1"/>
      <c r="AS391" s="1"/>
      <c r="AT391" s="17"/>
      <c r="AU391" s="1"/>
      <c r="AV391" s="1"/>
      <c r="AW391" s="1"/>
      <c r="AX391" s="2"/>
      <c r="AY391" s="2"/>
      <c r="AZ391" s="1"/>
    </row>
    <row x14ac:dyDescent="0.25" r="392" customHeight="1" ht="15">
      <c r="A392" s="1"/>
      <c r="B392" s="1"/>
      <c r="C392" s="1"/>
      <c r="D392" s="1"/>
      <c r="E392" s="1"/>
      <c r="F392" s="1"/>
      <c r="G392" s="1"/>
      <c r="H392" s="1"/>
      <c r="I392" s="1"/>
      <c r="J392" s="1"/>
      <c r="K392" s="17"/>
      <c r="L392" s="1"/>
      <c r="M392" s="1"/>
      <c r="N392" s="2"/>
      <c r="O392" s="2"/>
      <c r="P392" s="1"/>
      <c r="Q392" s="1"/>
      <c r="R392" s="1"/>
      <c r="S392" s="1"/>
      <c r="T392" s="17"/>
      <c r="U392" s="17"/>
      <c r="V392" s="17"/>
      <c r="W392" s="17"/>
      <c r="X392" s="22"/>
      <c r="Y392" s="22"/>
      <c r="Z392" s="22"/>
      <c r="AA392" s="22"/>
      <c r="AB392" s="22"/>
      <c r="AC392" s="22"/>
      <c r="AD392" s="22"/>
      <c r="AE392" s="22"/>
      <c r="AF392" s="22"/>
      <c r="AG392" s="22"/>
      <c r="AH392" s="22"/>
      <c r="AI392" s="22"/>
      <c r="AJ392" s="17"/>
      <c r="AK392" s="22"/>
      <c r="AL392" s="22"/>
      <c r="AM392" s="22"/>
      <c r="AN392" s="22"/>
      <c r="AO392" s="17"/>
      <c r="AP392" s="17"/>
      <c r="AQ392" s="17"/>
      <c r="AR392" s="1"/>
      <c r="AS392" s="1"/>
      <c r="AT392" s="17"/>
      <c r="AU392" s="1"/>
      <c r="AV392" s="1"/>
      <c r="AW392" s="1"/>
      <c r="AX392" s="2"/>
      <c r="AY392" s="2"/>
      <c r="AZ392" s="1"/>
    </row>
    <row x14ac:dyDescent="0.25" r="393" customHeight="1" ht="15">
      <c r="A393" s="1"/>
      <c r="B393" s="1"/>
      <c r="C393" s="1"/>
      <c r="D393" s="1"/>
      <c r="E393" s="1"/>
      <c r="F393" s="1"/>
      <c r="G393" s="1"/>
      <c r="H393" s="1"/>
      <c r="I393" s="1"/>
      <c r="J393" s="1"/>
      <c r="K393" s="17"/>
      <c r="L393" s="1"/>
      <c r="M393" s="1"/>
      <c r="N393" s="2"/>
      <c r="O393" s="2"/>
      <c r="P393" s="1"/>
      <c r="Q393" s="1"/>
      <c r="R393" s="1"/>
      <c r="S393" s="1"/>
      <c r="T393" s="17"/>
      <c r="U393" s="17"/>
      <c r="V393" s="17"/>
      <c r="W393" s="17"/>
      <c r="X393" s="22"/>
      <c r="Y393" s="22"/>
      <c r="Z393" s="22"/>
      <c r="AA393" s="22"/>
      <c r="AB393" s="22"/>
      <c r="AC393" s="22"/>
      <c r="AD393" s="22"/>
      <c r="AE393" s="22"/>
      <c r="AF393" s="22"/>
      <c r="AG393" s="22"/>
      <c r="AH393" s="22"/>
      <c r="AI393" s="22"/>
      <c r="AJ393" s="17"/>
      <c r="AK393" s="22"/>
      <c r="AL393" s="22"/>
      <c r="AM393" s="22"/>
      <c r="AN393" s="22"/>
      <c r="AO393" s="17"/>
      <c r="AP393" s="17"/>
      <c r="AQ393" s="17"/>
      <c r="AR393" s="1"/>
      <c r="AS393" s="1"/>
      <c r="AT393" s="17"/>
      <c r="AU393" s="1"/>
      <c r="AV393" s="1"/>
      <c r="AW393" s="1"/>
      <c r="AX393" s="2"/>
      <c r="AY393" s="2"/>
      <c r="AZ393" s="1"/>
    </row>
    <row x14ac:dyDescent="0.25" r="394" customHeight="1" ht="15">
      <c r="A394" s="1"/>
      <c r="B394" s="1"/>
      <c r="C394" s="1"/>
      <c r="D394" s="1"/>
      <c r="E394" s="1"/>
      <c r="F394" s="1"/>
      <c r="G394" s="1"/>
      <c r="H394" s="1"/>
      <c r="I394" s="1"/>
      <c r="J394" s="1"/>
      <c r="K394" s="17"/>
      <c r="L394" s="1"/>
      <c r="M394" s="1"/>
      <c r="N394" s="2"/>
      <c r="O394" s="2"/>
      <c r="P394" s="1"/>
      <c r="Q394" s="1"/>
      <c r="R394" s="1"/>
      <c r="S394" s="1"/>
      <c r="T394" s="17"/>
      <c r="U394" s="17"/>
      <c r="V394" s="17"/>
      <c r="W394" s="17"/>
      <c r="X394" s="22"/>
      <c r="Y394" s="22"/>
      <c r="Z394" s="22"/>
      <c r="AA394" s="22"/>
      <c r="AB394" s="22"/>
      <c r="AC394" s="22"/>
      <c r="AD394" s="22"/>
      <c r="AE394" s="22"/>
      <c r="AF394" s="22"/>
      <c r="AG394" s="22"/>
      <c r="AH394" s="22"/>
      <c r="AI394" s="22"/>
      <c r="AJ394" s="17"/>
      <c r="AK394" s="22"/>
      <c r="AL394" s="22"/>
      <c r="AM394" s="22"/>
      <c r="AN394" s="22"/>
      <c r="AO394" s="17"/>
      <c r="AP394" s="17"/>
      <c r="AQ394" s="17"/>
      <c r="AR394" s="1"/>
      <c r="AS394" s="1"/>
      <c r="AT394" s="17"/>
      <c r="AU394" s="1"/>
      <c r="AV394" s="1"/>
      <c r="AW394" s="1"/>
      <c r="AX394" s="2"/>
      <c r="AY394" s="2"/>
      <c r="AZ394" s="1"/>
    </row>
    <row x14ac:dyDescent="0.25" r="395" customHeight="1" ht="15">
      <c r="A395" s="1"/>
      <c r="B395" s="1"/>
      <c r="C395" s="1"/>
      <c r="D395" s="1"/>
      <c r="E395" s="1"/>
      <c r="F395" s="1"/>
      <c r="G395" s="1"/>
      <c r="H395" s="1"/>
      <c r="I395" s="1"/>
      <c r="J395" s="1"/>
      <c r="K395" s="17"/>
      <c r="L395" s="1"/>
      <c r="M395" s="1"/>
      <c r="N395" s="2"/>
      <c r="O395" s="2"/>
      <c r="P395" s="1"/>
      <c r="Q395" s="1"/>
      <c r="R395" s="1"/>
      <c r="S395" s="1"/>
      <c r="T395" s="17"/>
      <c r="U395" s="17"/>
      <c r="V395" s="17"/>
      <c r="W395" s="17"/>
      <c r="X395" s="22"/>
      <c r="Y395" s="22"/>
      <c r="Z395" s="22"/>
      <c r="AA395" s="22"/>
      <c r="AB395" s="22"/>
      <c r="AC395" s="22"/>
      <c r="AD395" s="22"/>
      <c r="AE395" s="22"/>
      <c r="AF395" s="22"/>
      <c r="AG395" s="22"/>
      <c r="AH395" s="22"/>
      <c r="AI395" s="22"/>
      <c r="AJ395" s="17"/>
      <c r="AK395" s="22"/>
      <c r="AL395" s="22"/>
      <c r="AM395" s="22"/>
      <c r="AN395" s="22"/>
      <c r="AO395" s="17"/>
      <c r="AP395" s="17"/>
      <c r="AQ395" s="17"/>
      <c r="AR395" s="1"/>
      <c r="AS395" s="1"/>
      <c r="AT395" s="17"/>
      <c r="AU395" s="1"/>
      <c r="AV395" s="1"/>
      <c r="AW395" s="1"/>
      <c r="AX395" s="2"/>
      <c r="AY395" s="2"/>
      <c r="AZ395" s="1"/>
    </row>
    <row x14ac:dyDescent="0.25" r="396" customHeight="1" ht="15">
      <c r="A396" s="1"/>
      <c r="B396" s="1"/>
      <c r="C396" s="1"/>
      <c r="D396" s="1"/>
      <c r="E396" s="1"/>
      <c r="F396" s="1"/>
      <c r="G396" s="1"/>
      <c r="H396" s="1"/>
      <c r="I396" s="1"/>
      <c r="J396" s="1"/>
      <c r="K396" s="17"/>
      <c r="L396" s="1"/>
      <c r="M396" s="1"/>
      <c r="N396" s="2"/>
      <c r="O396" s="2"/>
      <c r="P396" s="1"/>
      <c r="Q396" s="1"/>
      <c r="R396" s="1"/>
      <c r="S396" s="1"/>
      <c r="T396" s="17"/>
      <c r="U396" s="17"/>
      <c r="V396" s="17"/>
      <c r="W396" s="17"/>
      <c r="X396" s="22"/>
      <c r="Y396" s="22"/>
      <c r="Z396" s="22"/>
      <c r="AA396" s="22"/>
      <c r="AB396" s="22"/>
      <c r="AC396" s="22"/>
      <c r="AD396" s="22"/>
      <c r="AE396" s="22"/>
      <c r="AF396" s="22"/>
      <c r="AG396" s="22"/>
      <c r="AH396" s="22"/>
      <c r="AI396" s="22"/>
      <c r="AJ396" s="17"/>
      <c r="AK396" s="22"/>
      <c r="AL396" s="22"/>
      <c r="AM396" s="22"/>
      <c r="AN396" s="22"/>
      <c r="AO396" s="17"/>
      <c r="AP396" s="17"/>
      <c r="AQ396" s="17"/>
      <c r="AR396" s="1"/>
      <c r="AS396" s="1"/>
      <c r="AT396" s="17"/>
      <c r="AU396" s="1"/>
      <c r="AV396" s="1"/>
      <c r="AW396" s="1"/>
      <c r="AX396" s="2"/>
      <c r="AY396" s="2"/>
      <c r="AZ396" s="1"/>
    </row>
    <row x14ac:dyDescent="0.25" r="397" customHeight="1" ht="15">
      <c r="A397" s="1"/>
      <c r="B397" s="1"/>
      <c r="C397" s="1"/>
      <c r="D397" s="1"/>
      <c r="E397" s="1"/>
      <c r="F397" s="1"/>
      <c r="G397" s="1"/>
      <c r="H397" s="1"/>
      <c r="I397" s="1"/>
      <c r="J397" s="1"/>
      <c r="K397" s="17"/>
      <c r="L397" s="1"/>
      <c r="M397" s="1"/>
      <c r="N397" s="2"/>
      <c r="O397" s="2"/>
      <c r="P397" s="1"/>
      <c r="Q397" s="1"/>
      <c r="R397" s="1"/>
      <c r="S397" s="1"/>
      <c r="T397" s="17"/>
      <c r="U397" s="17"/>
      <c r="V397" s="17"/>
      <c r="W397" s="17"/>
      <c r="X397" s="22"/>
      <c r="Y397" s="22"/>
      <c r="Z397" s="22"/>
      <c r="AA397" s="22"/>
      <c r="AB397" s="22"/>
      <c r="AC397" s="22"/>
      <c r="AD397" s="22"/>
      <c r="AE397" s="22"/>
      <c r="AF397" s="22"/>
      <c r="AG397" s="22"/>
      <c r="AH397" s="22"/>
      <c r="AI397" s="22"/>
      <c r="AJ397" s="17"/>
      <c r="AK397" s="22"/>
      <c r="AL397" s="22"/>
      <c r="AM397" s="22"/>
      <c r="AN397" s="22"/>
      <c r="AO397" s="17"/>
      <c r="AP397" s="17"/>
      <c r="AQ397" s="17"/>
      <c r="AR397" s="1"/>
      <c r="AS397" s="1"/>
      <c r="AT397" s="17"/>
      <c r="AU397" s="1"/>
      <c r="AV397" s="1"/>
      <c r="AW397" s="1"/>
      <c r="AX397" s="2"/>
      <c r="AY397" s="2"/>
      <c r="AZ397" s="1"/>
    </row>
    <row x14ac:dyDescent="0.25" r="398" customHeight="1" ht="15">
      <c r="A398" s="1"/>
      <c r="B398" s="1"/>
      <c r="C398" s="1"/>
      <c r="D398" s="1"/>
      <c r="E398" s="1"/>
      <c r="F398" s="1"/>
      <c r="G398" s="1"/>
      <c r="H398" s="1"/>
      <c r="I398" s="1"/>
      <c r="J398" s="1"/>
      <c r="K398" s="17"/>
      <c r="L398" s="1"/>
      <c r="M398" s="1"/>
      <c r="N398" s="2"/>
      <c r="O398" s="2"/>
      <c r="P398" s="1"/>
      <c r="Q398" s="1"/>
      <c r="R398" s="1"/>
      <c r="S398" s="1"/>
      <c r="T398" s="17"/>
      <c r="U398" s="17"/>
      <c r="V398" s="17"/>
      <c r="W398" s="17"/>
      <c r="X398" s="22"/>
      <c r="Y398" s="22"/>
      <c r="Z398" s="22"/>
      <c r="AA398" s="22"/>
      <c r="AB398" s="22"/>
      <c r="AC398" s="22"/>
      <c r="AD398" s="22"/>
      <c r="AE398" s="22"/>
      <c r="AF398" s="22"/>
      <c r="AG398" s="22"/>
      <c r="AH398" s="22"/>
      <c r="AI398" s="22"/>
      <c r="AJ398" s="17"/>
      <c r="AK398" s="22"/>
      <c r="AL398" s="22"/>
      <c r="AM398" s="22"/>
      <c r="AN398" s="22"/>
      <c r="AO398" s="17"/>
      <c r="AP398" s="17"/>
      <c r="AQ398" s="17"/>
      <c r="AR398" s="1"/>
      <c r="AS398" s="1"/>
      <c r="AT398" s="17"/>
      <c r="AU398" s="1"/>
      <c r="AV398" s="1"/>
      <c r="AW398" s="1"/>
      <c r="AX398" s="2"/>
      <c r="AY398" s="2"/>
      <c r="AZ398" s="1"/>
    </row>
    <row x14ac:dyDescent="0.25" r="399" customHeight="1" ht="15">
      <c r="A399" s="1"/>
      <c r="B399" s="1"/>
      <c r="C399" s="1"/>
      <c r="D399" s="1"/>
      <c r="E399" s="1"/>
      <c r="F399" s="1"/>
      <c r="G399" s="1"/>
      <c r="H399" s="1"/>
      <c r="I399" s="1"/>
      <c r="J399" s="1"/>
      <c r="K399" s="17"/>
      <c r="L399" s="1"/>
      <c r="M399" s="1"/>
      <c r="N399" s="2"/>
      <c r="O399" s="2"/>
      <c r="P399" s="1"/>
      <c r="Q399" s="1"/>
      <c r="R399" s="1"/>
      <c r="S399" s="1"/>
      <c r="T399" s="17"/>
      <c r="U399" s="17"/>
      <c r="V399" s="17"/>
      <c r="W399" s="17"/>
      <c r="X399" s="22"/>
      <c r="Y399" s="22"/>
      <c r="Z399" s="22"/>
      <c r="AA399" s="22"/>
      <c r="AB399" s="22"/>
      <c r="AC399" s="22"/>
      <c r="AD399" s="22"/>
      <c r="AE399" s="22"/>
      <c r="AF399" s="22"/>
      <c r="AG399" s="22"/>
      <c r="AH399" s="22"/>
      <c r="AI399" s="22"/>
      <c r="AJ399" s="17"/>
      <c r="AK399" s="22"/>
      <c r="AL399" s="22"/>
      <c r="AM399" s="22"/>
      <c r="AN399" s="22"/>
      <c r="AO399" s="17"/>
      <c r="AP399" s="17"/>
      <c r="AQ399" s="17"/>
      <c r="AR399" s="1"/>
      <c r="AS399" s="1"/>
      <c r="AT399" s="17"/>
      <c r="AU399" s="1"/>
      <c r="AV399" s="1"/>
      <c r="AW399" s="1"/>
      <c r="AX399" s="2"/>
      <c r="AY399" s="2"/>
      <c r="AZ399" s="1"/>
    </row>
    <row x14ac:dyDescent="0.25" r="400" customHeight="1" ht="15">
      <c r="A400" s="1"/>
      <c r="B400" s="1"/>
      <c r="C400" s="1"/>
      <c r="D400" s="1"/>
      <c r="E400" s="1"/>
      <c r="F400" s="1"/>
      <c r="G400" s="1"/>
      <c r="H400" s="1"/>
      <c r="I400" s="1"/>
      <c r="J400" s="1"/>
      <c r="K400" s="17"/>
      <c r="L400" s="1"/>
      <c r="M400" s="1"/>
      <c r="N400" s="2"/>
      <c r="O400" s="2"/>
      <c r="P400" s="1"/>
      <c r="Q400" s="1"/>
      <c r="R400" s="1"/>
      <c r="S400" s="1"/>
      <c r="T400" s="17"/>
      <c r="U400" s="17"/>
      <c r="V400" s="17"/>
      <c r="W400" s="17"/>
      <c r="X400" s="22"/>
      <c r="Y400" s="22"/>
      <c r="Z400" s="22"/>
      <c r="AA400" s="22"/>
      <c r="AB400" s="22"/>
      <c r="AC400" s="22"/>
      <c r="AD400" s="22"/>
      <c r="AE400" s="22"/>
      <c r="AF400" s="22"/>
      <c r="AG400" s="22"/>
      <c r="AH400" s="22"/>
      <c r="AI400" s="22"/>
      <c r="AJ400" s="17"/>
      <c r="AK400" s="22"/>
      <c r="AL400" s="22"/>
      <c r="AM400" s="22"/>
      <c r="AN400" s="22"/>
      <c r="AO400" s="17"/>
      <c r="AP400" s="17"/>
      <c r="AQ400" s="17"/>
      <c r="AR400" s="1"/>
      <c r="AS400" s="1"/>
      <c r="AT400" s="17"/>
      <c r="AU400" s="1"/>
      <c r="AV400" s="1"/>
      <c r="AW400" s="1"/>
      <c r="AX400" s="2"/>
      <c r="AY400" s="2"/>
      <c r="AZ400" s="1"/>
    </row>
    <row x14ac:dyDescent="0.25" r="401" customHeight="1" ht="15">
      <c r="A401" s="1"/>
      <c r="B401" s="1"/>
      <c r="C401" s="1"/>
      <c r="D401" s="1"/>
      <c r="E401" s="1"/>
      <c r="F401" s="1"/>
      <c r="G401" s="1"/>
      <c r="H401" s="1"/>
      <c r="I401" s="1"/>
      <c r="J401" s="1"/>
      <c r="K401" s="17"/>
      <c r="L401" s="1"/>
      <c r="M401" s="1"/>
      <c r="N401" s="2"/>
      <c r="O401" s="2"/>
      <c r="P401" s="1"/>
      <c r="Q401" s="1"/>
      <c r="R401" s="1"/>
      <c r="S401" s="1"/>
      <c r="T401" s="17"/>
      <c r="U401" s="17"/>
      <c r="V401" s="17"/>
      <c r="W401" s="17"/>
      <c r="X401" s="22"/>
      <c r="Y401" s="22"/>
      <c r="Z401" s="22"/>
      <c r="AA401" s="22"/>
      <c r="AB401" s="22"/>
      <c r="AC401" s="22"/>
      <c r="AD401" s="22"/>
      <c r="AE401" s="22"/>
      <c r="AF401" s="22"/>
      <c r="AG401" s="22"/>
      <c r="AH401" s="22"/>
      <c r="AI401" s="22"/>
      <c r="AJ401" s="17"/>
      <c r="AK401" s="22"/>
      <c r="AL401" s="22"/>
      <c r="AM401" s="22"/>
      <c r="AN401" s="22"/>
      <c r="AO401" s="17"/>
      <c r="AP401" s="17"/>
      <c r="AQ401" s="17"/>
      <c r="AR401" s="1"/>
      <c r="AS401" s="1"/>
      <c r="AT401" s="17"/>
      <c r="AU401" s="1"/>
      <c r="AV401" s="1"/>
      <c r="AW401" s="1"/>
      <c r="AX401" s="2"/>
      <c r="AY401" s="2"/>
      <c r="AZ401" s="1"/>
    </row>
    <row x14ac:dyDescent="0.25" r="402" customHeight="1" ht="15">
      <c r="A402" s="1"/>
      <c r="B402" s="1"/>
      <c r="C402" s="1"/>
      <c r="D402" s="1"/>
      <c r="E402" s="1"/>
      <c r="F402" s="1"/>
      <c r="G402" s="1"/>
      <c r="H402" s="1"/>
      <c r="I402" s="1"/>
      <c r="J402" s="1"/>
      <c r="K402" s="17"/>
      <c r="L402" s="1"/>
      <c r="M402" s="1"/>
      <c r="N402" s="2"/>
      <c r="O402" s="2"/>
      <c r="P402" s="1"/>
      <c r="Q402" s="1"/>
      <c r="R402" s="1"/>
      <c r="S402" s="1"/>
      <c r="T402" s="17"/>
      <c r="U402" s="17"/>
      <c r="V402" s="17"/>
      <c r="W402" s="17"/>
      <c r="X402" s="22"/>
      <c r="Y402" s="22"/>
      <c r="Z402" s="22"/>
      <c r="AA402" s="22"/>
      <c r="AB402" s="22"/>
      <c r="AC402" s="22"/>
      <c r="AD402" s="22"/>
      <c r="AE402" s="22"/>
      <c r="AF402" s="22"/>
      <c r="AG402" s="22"/>
      <c r="AH402" s="22"/>
      <c r="AI402" s="22"/>
      <c r="AJ402" s="17"/>
      <c r="AK402" s="22"/>
      <c r="AL402" s="22"/>
      <c r="AM402" s="22"/>
      <c r="AN402" s="22"/>
      <c r="AO402" s="17"/>
      <c r="AP402" s="17"/>
      <c r="AQ402" s="17"/>
      <c r="AR402" s="1"/>
      <c r="AS402" s="1"/>
      <c r="AT402" s="17"/>
      <c r="AU402" s="1"/>
      <c r="AV402" s="1"/>
      <c r="AW402" s="1"/>
      <c r="AX402" s="2"/>
      <c r="AY402" s="2"/>
      <c r="AZ402" s="1"/>
    </row>
    <row x14ac:dyDescent="0.25" r="403" customHeight="1" ht="15">
      <c r="A403" s="1"/>
      <c r="B403" s="1"/>
      <c r="C403" s="1"/>
      <c r="D403" s="1"/>
      <c r="E403" s="1"/>
      <c r="F403" s="1"/>
      <c r="G403" s="1"/>
      <c r="H403" s="1"/>
      <c r="I403" s="1"/>
      <c r="J403" s="1"/>
      <c r="K403" s="17"/>
      <c r="L403" s="1"/>
      <c r="M403" s="1"/>
      <c r="N403" s="2"/>
      <c r="O403" s="2"/>
      <c r="P403" s="1"/>
      <c r="Q403" s="1"/>
      <c r="R403" s="1"/>
      <c r="S403" s="1"/>
      <c r="T403" s="17"/>
      <c r="U403" s="17"/>
      <c r="V403" s="17"/>
      <c r="W403" s="17"/>
      <c r="X403" s="22"/>
      <c r="Y403" s="22"/>
      <c r="Z403" s="22"/>
      <c r="AA403" s="22"/>
      <c r="AB403" s="22"/>
      <c r="AC403" s="22"/>
      <c r="AD403" s="22"/>
      <c r="AE403" s="22"/>
      <c r="AF403" s="22"/>
      <c r="AG403" s="22"/>
      <c r="AH403" s="22"/>
      <c r="AI403" s="22"/>
      <c r="AJ403" s="17"/>
      <c r="AK403" s="22"/>
      <c r="AL403" s="22"/>
      <c r="AM403" s="22"/>
      <c r="AN403" s="22"/>
      <c r="AO403" s="17"/>
      <c r="AP403" s="17"/>
      <c r="AQ403" s="17"/>
      <c r="AR403" s="1"/>
      <c r="AS403" s="1"/>
      <c r="AT403" s="17"/>
      <c r="AU403" s="1"/>
      <c r="AV403" s="1"/>
      <c r="AW403" s="1"/>
      <c r="AX403" s="2"/>
      <c r="AY403" s="2"/>
      <c r="AZ403" s="1"/>
    </row>
    <row x14ac:dyDescent="0.25" r="404" customHeight="1" ht="15">
      <c r="A404" s="1"/>
      <c r="B404" s="1"/>
      <c r="C404" s="1"/>
      <c r="D404" s="1"/>
      <c r="E404" s="1"/>
      <c r="F404" s="1"/>
      <c r="G404" s="1"/>
      <c r="H404" s="1"/>
      <c r="I404" s="1"/>
      <c r="J404" s="1"/>
      <c r="K404" s="17"/>
      <c r="L404" s="1"/>
      <c r="M404" s="1"/>
      <c r="N404" s="2"/>
      <c r="O404" s="2"/>
      <c r="P404" s="1"/>
      <c r="Q404" s="1"/>
      <c r="R404" s="1"/>
      <c r="S404" s="1"/>
      <c r="T404" s="17"/>
      <c r="U404" s="17"/>
      <c r="V404" s="17"/>
      <c r="W404" s="17"/>
      <c r="X404" s="22"/>
      <c r="Y404" s="22"/>
      <c r="Z404" s="22"/>
      <c r="AA404" s="22"/>
      <c r="AB404" s="22"/>
      <c r="AC404" s="22"/>
      <c r="AD404" s="22"/>
      <c r="AE404" s="22"/>
      <c r="AF404" s="22"/>
      <c r="AG404" s="22"/>
      <c r="AH404" s="22"/>
      <c r="AI404" s="22"/>
      <c r="AJ404" s="17"/>
      <c r="AK404" s="22"/>
      <c r="AL404" s="22"/>
      <c r="AM404" s="22"/>
      <c r="AN404" s="22"/>
      <c r="AO404" s="17"/>
      <c r="AP404" s="17"/>
      <c r="AQ404" s="17"/>
      <c r="AR404" s="1"/>
      <c r="AS404" s="1"/>
      <c r="AT404" s="17"/>
      <c r="AU404" s="1"/>
      <c r="AV404" s="1"/>
      <c r="AW404" s="1"/>
      <c r="AX404" s="2"/>
      <c r="AY404" s="2"/>
      <c r="AZ404" s="1"/>
    </row>
    <row x14ac:dyDescent="0.25" r="405" customHeight="1" ht="15">
      <c r="A405" s="1"/>
      <c r="B405" s="1"/>
      <c r="C405" s="1"/>
      <c r="D405" s="1"/>
      <c r="E405" s="1"/>
      <c r="F405" s="1"/>
      <c r="G405" s="1"/>
      <c r="H405" s="1"/>
      <c r="I405" s="1"/>
      <c r="J405" s="1"/>
      <c r="K405" s="17"/>
      <c r="L405" s="1"/>
      <c r="M405" s="1"/>
      <c r="N405" s="2"/>
      <c r="O405" s="2"/>
      <c r="P405" s="1"/>
      <c r="Q405" s="1"/>
      <c r="R405" s="1"/>
      <c r="S405" s="1"/>
      <c r="T405" s="17"/>
      <c r="U405" s="17"/>
      <c r="V405" s="17"/>
      <c r="W405" s="17"/>
      <c r="X405" s="22"/>
      <c r="Y405" s="22"/>
      <c r="Z405" s="22"/>
      <c r="AA405" s="22"/>
      <c r="AB405" s="22"/>
      <c r="AC405" s="22"/>
      <c r="AD405" s="22"/>
      <c r="AE405" s="22"/>
      <c r="AF405" s="22"/>
      <c r="AG405" s="22"/>
      <c r="AH405" s="22"/>
      <c r="AI405" s="22"/>
      <c r="AJ405" s="17"/>
      <c r="AK405" s="22"/>
      <c r="AL405" s="22"/>
      <c r="AM405" s="22"/>
      <c r="AN405" s="22"/>
      <c r="AO405" s="17"/>
      <c r="AP405" s="17"/>
      <c r="AQ405" s="17"/>
      <c r="AR405" s="1"/>
      <c r="AS405" s="1"/>
      <c r="AT405" s="17"/>
      <c r="AU405" s="1"/>
      <c r="AV405" s="1"/>
      <c r="AW405" s="1"/>
      <c r="AX405" s="2"/>
      <c r="AY405" s="2"/>
      <c r="AZ405" s="1"/>
    </row>
    <row x14ac:dyDescent="0.25" r="406" customHeight="1" ht="15">
      <c r="A406" s="1"/>
      <c r="B406" s="1"/>
      <c r="C406" s="1"/>
      <c r="D406" s="1"/>
      <c r="E406" s="1"/>
      <c r="F406" s="1"/>
      <c r="G406" s="1"/>
      <c r="H406" s="1"/>
      <c r="I406" s="1"/>
      <c r="J406" s="1"/>
      <c r="K406" s="17"/>
      <c r="L406" s="1"/>
      <c r="M406" s="1"/>
      <c r="N406" s="2"/>
      <c r="O406" s="2"/>
      <c r="P406" s="1"/>
      <c r="Q406" s="1"/>
      <c r="R406" s="1"/>
      <c r="S406" s="1"/>
      <c r="T406" s="17"/>
      <c r="U406" s="17"/>
      <c r="V406" s="17"/>
      <c r="W406" s="17"/>
      <c r="X406" s="22"/>
      <c r="Y406" s="22"/>
      <c r="Z406" s="22"/>
      <c r="AA406" s="22"/>
      <c r="AB406" s="22"/>
      <c r="AC406" s="22"/>
      <c r="AD406" s="22"/>
      <c r="AE406" s="22"/>
      <c r="AF406" s="22"/>
      <c r="AG406" s="22"/>
      <c r="AH406" s="22"/>
      <c r="AI406" s="22"/>
      <c r="AJ406" s="17"/>
      <c r="AK406" s="22"/>
      <c r="AL406" s="22"/>
      <c r="AM406" s="22"/>
      <c r="AN406" s="22"/>
      <c r="AO406" s="17"/>
      <c r="AP406" s="17"/>
      <c r="AQ406" s="17"/>
      <c r="AR406" s="1"/>
      <c r="AS406" s="1"/>
      <c r="AT406" s="17"/>
      <c r="AU406" s="1"/>
      <c r="AV406" s="1"/>
      <c r="AW406" s="1"/>
      <c r="AX406" s="2"/>
      <c r="AY406" s="2"/>
      <c r="AZ406" s="1"/>
    </row>
    <row x14ac:dyDescent="0.25" r="407" customHeight="1" ht="15">
      <c r="A407" s="1"/>
      <c r="B407" s="1"/>
      <c r="C407" s="1"/>
      <c r="D407" s="1"/>
      <c r="E407" s="1"/>
      <c r="F407" s="1"/>
      <c r="G407" s="1"/>
      <c r="H407" s="1"/>
      <c r="I407" s="1"/>
      <c r="J407" s="1"/>
      <c r="K407" s="17"/>
      <c r="L407" s="1"/>
      <c r="M407" s="1"/>
      <c r="N407" s="2"/>
      <c r="O407" s="2"/>
      <c r="P407" s="1"/>
      <c r="Q407" s="1"/>
      <c r="R407" s="1"/>
      <c r="S407" s="1"/>
      <c r="T407" s="17"/>
      <c r="U407" s="17"/>
      <c r="V407" s="17"/>
      <c r="W407" s="17"/>
      <c r="X407" s="22"/>
      <c r="Y407" s="22"/>
      <c r="Z407" s="22"/>
      <c r="AA407" s="22"/>
      <c r="AB407" s="22"/>
      <c r="AC407" s="22"/>
      <c r="AD407" s="22"/>
      <c r="AE407" s="22"/>
      <c r="AF407" s="22"/>
      <c r="AG407" s="22"/>
      <c r="AH407" s="22"/>
      <c r="AI407" s="22"/>
      <c r="AJ407" s="17"/>
      <c r="AK407" s="22"/>
      <c r="AL407" s="22"/>
      <c r="AM407" s="22"/>
      <c r="AN407" s="22"/>
      <c r="AO407" s="17"/>
      <c r="AP407" s="17"/>
      <c r="AQ407" s="17"/>
      <c r="AR407" s="1"/>
      <c r="AS407" s="1"/>
      <c r="AT407" s="17"/>
      <c r="AU407" s="1"/>
      <c r="AV407" s="1"/>
      <c r="AW407" s="1"/>
      <c r="AX407" s="2"/>
      <c r="AY407" s="2"/>
      <c r="AZ407" s="1"/>
    </row>
    <row x14ac:dyDescent="0.25" r="408" customHeight="1" ht="15">
      <c r="A408" s="1"/>
      <c r="B408" s="1"/>
      <c r="C408" s="1"/>
      <c r="D408" s="1"/>
      <c r="E408" s="1"/>
      <c r="F408" s="1"/>
      <c r="G408" s="1"/>
      <c r="H408" s="1"/>
      <c r="I408" s="1"/>
      <c r="J408" s="1"/>
      <c r="K408" s="17"/>
      <c r="L408" s="1"/>
      <c r="M408" s="1"/>
      <c r="N408" s="2"/>
      <c r="O408" s="2"/>
      <c r="P408" s="1"/>
      <c r="Q408" s="1"/>
      <c r="R408" s="1"/>
      <c r="S408" s="1"/>
      <c r="T408" s="17"/>
      <c r="U408" s="17"/>
      <c r="V408" s="17"/>
      <c r="W408" s="17"/>
      <c r="X408" s="22"/>
      <c r="Y408" s="22"/>
      <c r="Z408" s="22"/>
      <c r="AA408" s="22"/>
      <c r="AB408" s="22"/>
      <c r="AC408" s="22"/>
      <c r="AD408" s="22"/>
      <c r="AE408" s="22"/>
      <c r="AF408" s="22"/>
      <c r="AG408" s="22"/>
      <c r="AH408" s="22"/>
      <c r="AI408" s="22"/>
      <c r="AJ408" s="17"/>
      <c r="AK408" s="22"/>
      <c r="AL408" s="22"/>
      <c r="AM408" s="22"/>
      <c r="AN408" s="22"/>
      <c r="AO408" s="17"/>
      <c r="AP408" s="17"/>
      <c r="AQ408" s="17"/>
      <c r="AR408" s="1"/>
      <c r="AS408" s="1"/>
      <c r="AT408" s="17"/>
      <c r="AU408" s="1"/>
      <c r="AV408" s="1"/>
      <c r="AW408" s="1"/>
      <c r="AX408" s="2"/>
      <c r="AY408" s="2"/>
      <c r="AZ408" s="1"/>
    </row>
    <row x14ac:dyDescent="0.25" r="409" customHeight="1" ht="15">
      <c r="A409" s="1"/>
      <c r="B409" s="1"/>
      <c r="C409" s="1"/>
      <c r="D409" s="1"/>
      <c r="E409" s="1"/>
      <c r="F409" s="1"/>
      <c r="G409" s="1"/>
      <c r="H409" s="1"/>
      <c r="I409" s="1"/>
      <c r="J409" s="1"/>
      <c r="K409" s="17"/>
      <c r="L409" s="1"/>
      <c r="M409" s="1"/>
      <c r="N409" s="2"/>
      <c r="O409" s="2"/>
      <c r="P409" s="1"/>
      <c r="Q409" s="1"/>
      <c r="R409" s="1"/>
      <c r="S409" s="1"/>
      <c r="T409" s="17"/>
      <c r="U409" s="17"/>
      <c r="V409" s="17"/>
      <c r="W409" s="17"/>
      <c r="X409" s="22"/>
      <c r="Y409" s="22"/>
      <c r="Z409" s="22"/>
      <c r="AA409" s="22"/>
      <c r="AB409" s="22"/>
      <c r="AC409" s="22"/>
      <c r="AD409" s="22"/>
      <c r="AE409" s="22"/>
      <c r="AF409" s="22"/>
      <c r="AG409" s="22"/>
      <c r="AH409" s="22"/>
      <c r="AI409" s="22"/>
      <c r="AJ409" s="17"/>
      <c r="AK409" s="22"/>
      <c r="AL409" s="22"/>
      <c r="AM409" s="22"/>
      <c r="AN409" s="22"/>
      <c r="AO409" s="17"/>
      <c r="AP409" s="17"/>
      <c r="AQ409" s="17"/>
      <c r="AR409" s="1"/>
      <c r="AS409" s="1"/>
      <c r="AT409" s="17"/>
      <c r="AU409" s="1"/>
      <c r="AV409" s="1"/>
      <c r="AW409" s="1"/>
      <c r="AX409" s="2"/>
      <c r="AY409" s="2"/>
      <c r="AZ409" s="1"/>
    </row>
    <row x14ac:dyDescent="0.25" r="410" customHeight="1" ht="15">
      <c r="A410" s="1"/>
      <c r="B410" s="1"/>
      <c r="C410" s="1"/>
      <c r="D410" s="1"/>
      <c r="E410" s="1"/>
      <c r="F410" s="1"/>
      <c r="G410" s="1"/>
      <c r="H410" s="1"/>
      <c r="I410" s="1"/>
      <c r="J410" s="1"/>
      <c r="K410" s="17"/>
      <c r="L410" s="1"/>
      <c r="M410" s="1"/>
      <c r="N410" s="2"/>
      <c r="O410" s="2"/>
      <c r="P410" s="1"/>
      <c r="Q410" s="1"/>
      <c r="R410" s="1"/>
      <c r="S410" s="1"/>
      <c r="T410" s="17"/>
      <c r="U410" s="17"/>
      <c r="V410" s="17"/>
      <c r="W410" s="17"/>
      <c r="X410" s="22"/>
      <c r="Y410" s="22"/>
      <c r="Z410" s="22"/>
      <c r="AA410" s="22"/>
      <c r="AB410" s="22"/>
      <c r="AC410" s="22"/>
      <c r="AD410" s="22"/>
      <c r="AE410" s="22"/>
      <c r="AF410" s="22"/>
      <c r="AG410" s="22"/>
      <c r="AH410" s="22"/>
      <c r="AI410" s="22"/>
      <c r="AJ410" s="17"/>
      <c r="AK410" s="22"/>
      <c r="AL410" s="22"/>
      <c r="AM410" s="22"/>
      <c r="AN410" s="22"/>
      <c r="AO410" s="17"/>
      <c r="AP410" s="17"/>
      <c r="AQ410" s="17"/>
      <c r="AR410" s="1"/>
      <c r="AS410" s="1"/>
      <c r="AT410" s="17"/>
      <c r="AU410" s="1"/>
      <c r="AV410" s="1"/>
      <c r="AW410" s="1"/>
      <c r="AX410" s="2"/>
      <c r="AY410" s="2"/>
      <c r="AZ410" s="1"/>
    </row>
    <row x14ac:dyDescent="0.25" r="411" customHeight="1" ht="15">
      <c r="A411" s="1"/>
      <c r="B411" s="1"/>
      <c r="C411" s="1"/>
      <c r="D411" s="1"/>
      <c r="E411" s="1"/>
      <c r="F411" s="1"/>
      <c r="G411" s="1"/>
      <c r="H411" s="1"/>
      <c r="I411" s="1"/>
      <c r="J411" s="1"/>
      <c r="K411" s="17"/>
      <c r="L411" s="1"/>
      <c r="M411" s="1"/>
      <c r="N411" s="2"/>
      <c r="O411" s="2"/>
      <c r="P411" s="1"/>
      <c r="Q411" s="1"/>
      <c r="R411" s="1"/>
      <c r="S411" s="1"/>
      <c r="T411" s="17"/>
      <c r="U411" s="17"/>
      <c r="V411" s="17"/>
      <c r="W411" s="17"/>
      <c r="X411" s="22"/>
      <c r="Y411" s="22"/>
      <c r="Z411" s="22"/>
      <c r="AA411" s="22"/>
      <c r="AB411" s="22"/>
      <c r="AC411" s="22"/>
      <c r="AD411" s="22"/>
      <c r="AE411" s="22"/>
      <c r="AF411" s="22"/>
      <c r="AG411" s="22"/>
      <c r="AH411" s="22"/>
      <c r="AI411" s="22"/>
      <c r="AJ411" s="17"/>
      <c r="AK411" s="22"/>
      <c r="AL411" s="22"/>
      <c r="AM411" s="22"/>
      <c r="AN411" s="22"/>
      <c r="AO411" s="17"/>
      <c r="AP411" s="17"/>
      <c r="AQ411" s="17"/>
      <c r="AR411" s="1"/>
      <c r="AS411" s="1"/>
      <c r="AT411" s="17"/>
      <c r="AU411" s="1"/>
      <c r="AV411" s="1"/>
      <c r="AW411" s="1"/>
      <c r="AX411" s="2"/>
      <c r="AY411" s="2"/>
      <c r="AZ411" s="1"/>
    </row>
    <row x14ac:dyDescent="0.25" r="412" customHeight="1" ht="15">
      <c r="A412" s="1"/>
      <c r="B412" s="1"/>
      <c r="C412" s="1"/>
      <c r="D412" s="1"/>
      <c r="E412" s="1"/>
      <c r="F412" s="1"/>
      <c r="G412" s="1"/>
      <c r="H412" s="1"/>
      <c r="I412" s="1"/>
      <c r="J412" s="1"/>
      <c r="K412" s="17"/>
      <c r="L412" s="1"/>
      <c r="M412" s="1"/>
      <c r="N412" s="2"/>
      <c r="O412" s="2"/>
      <c r="P412" s="1"/>
      <c r="Q412" s="1"/>
      <c r="R412" s="1"/>
      <c r="S412" s="1"/>
      <c r="T412" s="17"/>
      <c r="U412" s="17"/>
      <c r="V412" s="17"/>
      <c r="W412" s="17"/>
      <c r="X412" s="22"/>
      <c r="Y412" s="22"/>
      <c r="Z412" s="22"/>
      <c r="AA412" s="22"/>
      <c r="AB412" s="22"/>
      <c r="AC412" s="22"/>
      <c r="AD412" s="22"/>
      <c r="AE412" s="22"/>
      <c r="AF412" s="22"/>
      <c r="AG412" s="22"/>
      <c r="AH412" s="22"/>
      <c r="AI412" s="22"/>
      <c r="AJ412" s="17"/>
      <c r="AK412" s="22"/>
      <c r="AL412" s="22"/>
      <c r="AM412" s="22"/>
      <c r="AN412" s="22"/>
      <c r="AO412" s="17"/>
      <c r="AP412" s="17"/>
      <c r="AQ412" s="17"/>
      <c r="AR412" s="1"/>
      <c r="AS412" s="1"/>
      <c r="AT412" s="17"/>
      <c r="AU412" s="1"/>
      <c r="AV412" s="1"/>
      <c r="AW412" s="1"/>
      <c r="AX412" s="2"/>
      <c r="AY412" s="2"/>
      <c r="AZ412" s="1"/>
    </row>
    <row x14ac:dyDescent="0.25" r="413" customHeight="1" ht="15">
      <c r="A413" s="1"/>
      <c r="B413" s="1"/>
      <c r="C413" s="1"/>
      <c r="D413" s="1"/>
      <c r="E413" s="1"/>
      <c r="F413" s="1"/>
      <c r="G413" s="1"/>
      <c r="H413" s="1"/>
      <c r="I413" s="1"/>
      <c r="J413" s="1"/>
      <c r="K413" s="17"/>
      <c r="L413" s="1"/>
      <c r="M413" s="1"/>
      <c r="N413" s="2"/>
      <c r="O413" s="2"/>
      <c r="P413" s="1"/>
      <c r="Q413" s="1"/>
      <c r="R413" s="1"/>
      <c r="S413" s="1"/>
      <c r="T413" s="17"/>
      <c r="U413" s="17"/>
      <c r="V413" s="17"/>
      <c r="W413" s="17"/>
      <c r="X413" s="22"/>
      <c r="Y413" s="22"/>
      <c r="Z413" s="22"/>
      <c r="AA413" s="22"/>
      <c r="AB413" s="22"/>
      <c r="AC413" s="22"/>
      <c r="AD413" s="22"/>
      <c r="AE413" s="22"/>
      <c r="AF413" s="22"/>
      <c r="AG413" s="22"/>
      <c r="AH413" s="22"/>
      <c r="AI413" s="22"/>
      <c r="AJ413" s="17"/>
      <c r="AK413" s="22"/>
      <c r="AL413" s="22"/>
      <c r="AM413" s="22"/>
      <c r="AN413" s="22"/>
      <c r="AO413" s="17"/>
      <c r="AP413" s="17"/>
      <c r="AQ413" s="17"/>
      <c r="AR413" s="1"/>
      <c r="AS413" s="1"/>
      <c r="AT413" s="17"/>
      <c r="AU413" s="1"/>
      <c r="AV413" s="1"/>
      <c r="AW413" s="1"/>
      <c r="AX413" s="2"/>
      <c r="AY413" s="2"/>
      <c r="AZ413" s="1"/>
    </row>
    <row x14ac:dyDescent="0.25" r="414" customHeight="1" ht="15">
      <c r="A414" s="1"/>
      <c r="B414" s="1"/>
      <c r="C414" s="1"/>
      <c r="D414" s="1"/>
      <c r="E414" s="1"/>
      <c r="F414" s="1"/>
      <c r="G414" s="1"/>
      <c r="H414" s="1"/>
      <c r="I414" s="1"/>
      <c r="J414" s="1"/>
      <c r="K414" s="17"/>
      <c r="L414" s="1"/>
      <c r="M414" s="1"/>
      <c r="N414" s="2"/>
      <c r="O414" s="2"/>
      <c r="P414" s="1"/>
      <c r="Q414" s="1"/>
      <c r="R414" s="1"/>
      <c r="S414" s="1"/>
      <c r="T414" s="17"/>
      <c r="U414" s="17"/>
      <c r="V414" s="17"/>
      <c r="W414" s="17"/>
      <c r="X414" s="22"/>
      <c r="Y414" s="22"/>
      <c r="Z414" s="22"/>
      <c r="AA414" s="22"/>
      <c r="AB414" s="22"/>
      <c r="AC414" s="22"/>
      <c r="AD414" s="22"/>
      <c r="AE414" s="22"/>
      <c r="AF414" s="22"/>
      <c r="AG414" s="22"/>
      <c r="AH414" s="22"/>
      <c r="AI414" s="22"/>
      <c r="AJ414" s="17"/>
      <c r="AK414" s="22"/>
      <c r="AL414" s="22"/>
      <c r="AM414" s="22"/>
      <c r="AN414" s="22"/>
      <c r="AO414" s="17"/>
      <c r="AP414" s="17"/>
      <c r="AQ414" s="17"/>
      <c r="AR414" s="1"/>
      <c r="AS414" s="1"/>
      <c r="AT414" s="17"/>
      <c r="AU414" s="1"/>
      <c r="AV414" s="1"/>
      <c r="AW414" s="1"/>
      <c r="AX414" s="2"/>
      <c r="AY414" s="2"/>
      <c r="AZ414" s="1"/>
    </row>
    <row x14ac:dyDescent="0.25" r="415" customHeight="1" ht="15">
      <c r="A415" s="1"/>
      <c r="B415" s="1"/>
      <c r="C415" s="1"/>
      <c r="D415" s="1"/>
      <c r="E415" s="1"/>
      <c r="F415" s="1"/>
      <c r="G415" s="1"/>
      <c r="H415" s="1"/>
      <c r="I415" s="1"/>
      <c r="J415" s="1"/>
      <c r="K415" s="17"/>
      <c r="L415" s="1"/>
      <c r="M415" s="1"/>
      <c r="N415" s="2"/>
      <c r="O415" s="2"/>
      <c r="P415" s="1"/>
      <c r="Q415" s="1"/>
      <c r="R415" s="1"/>
      <c r="S415" s="1"/>
      <c r="T415" s="17"/>
      <c r="U415" s="17"/>
      <c r="V415" s="17"/>
      <c r="W415" s="17"/>
      <c r="X415" s="22"/>
      <c r="Y415" s="22"/>
      <c r="Z415" s="22"/>
      <c r="AA415" s="22"/>
      <c r="AB415" s="22"/>
      <c r="AC415" s="22"/>
      <c r="AD415" s="22"/>
      <c r="AE415" s="22"/>
      <c r="AF415" s="22"/>
      <c r="AG415" s="22"/>
      <c r="AH415" s="22"/>
      <c r="AI415" s="22"/>
      <c r="AJ415" s="17"/>
      <c r="AK415" s="22"/>
      <c r="AL415" s="22"/>
      <c r="AM415" s="22"/>
      <c r="AN415" s="22"/>
      <c r="AO415" s="17"/>
      <c r="AP415" s="17"/>
      <c r="AQ415" s="17"/>
      <c r="AR415" s="1"/>
      <c r="AS415" s="1"/>
      <c r="AT415" s="17"/>
      <c r="AU415" s="1"/>
      <c r="AV415" s="1"/>
      <c r="AW415" s="1"/>
      <c r="AX415" s="2"/>
      <c r="AY415" s="2"/>
      <c r="AZ415" s="1"/>
    </row>
    <row x14ac:dyDescent="0.25" r="416" customHeight="1" ht="15">
      <c r="A416" s="1"/>
      <c r="B416" s="1"/>
      <c r="C416" s="1"/>
      <c r="D416" s="1"/>
      <c r="E416" s="1"/>
      <c r="F416" s="1"/>
      <c r="G416" s="1"/>
      <c r="H416" s="1"/>
      <c r="I416" s="1"/>
      <c r="J416" s="1"/>
      <c r="K416" s="17"/>
      <c r="L416" s="1"/>
      <c r="M416" s="1"/>
      <c r="N416" s="2"/>
      <c r="O416" s="2"/>
      <c r="P416" s="1"/>
      <c r="Q416" s="1"/>
      <c r="R416" s="1"/>
      <c r="S416" s="1"/>
      <c r="T416" s="17"/>
      <c r="U416" s="17"/>
      <c r="V416" s="17"/>
      <c r="W416" s="17"/>
      <c r="X416" s="22"/>
      <c r="Y416" s="22"/>
      <c r="Z416" s="22"/>
      <c r="AA416" s="22"/>
      <c r="AB416" s="22"/>
      <c r="AC416" s="22"/>
      <c r="AD416" s="22"/>
      <c r="AE416" s="22"/>
      <c r="AF416" s="22"/>
      <c r="AG416" s="22"/>
      <c r="AH416" s="22"/>
      <c r="AI416" s="22"/>
      <c r="AJ416" s="17"/>
      <c r="AK416" s="22"/>
      <c r="AL416" s="22"/>
      <c r="AM416" s="22"/>
      <c r="AN416" s="22"/>
      <c r="AO416" s="17"/>
      <c r="AP416" s="17"/>
      <c r="AQ416" s="17"/>
      <c r="AR416" s="1"/>
      <c r="AS416" s="1"/>
      <c r="AT416" s="17"/>
      <c r="AU416" s="1"/>
      <c r="AV416" s="1"/>
      <c r="AW416" s="1"/>
      <c r="AX416" s="2"/>
      <c r="AY416" s="2"/>
      <c r="AZ416" s="1"/>
    </row>
    <row x14ac:dyDescent="0.25" r="417" customHeight="1" ht="15">
      <c r="A417" s="1"/>
      <c r="B417" s="1"/>
      <c r="C417" s="1"/>
      <c r="D417" s="1"/>
      <c r="E417" s="1"/>
      <c r="F417" s="1"/>
      <c r="G417" s="1"/>
      <c r="H417" s="1"/>
      <c r="I417" s="1"/>
      <c r="J417" s="1"/>
      <c r="K417" s="17"/>
      <c r="L417" s="1"/>
      <c r="M417" s="1"/>
      <c r="N417" s="2"/>
      <c r="O417" s="2"/>
      <c r="P417" s="1"/>
      <c r="Q417" s="1"/>
      <c r="R417" s="1"/>
      <c r="S417" s="1"/>
      <c r="T417" s="17"/>
      <c r="U417" s="17"/>
      <c r="V417" s="17"/>
      <c r="W417" s="17"/>
      <c r="X417" s="22"/>
      <c r="Y417" s="22"/>
      <c r="Z417" s="22"/>
      <c r="AA417" s="22"/>
      <c r="AB417" s="22"/>
      <c r="AC417" s="22"/>
      <c r="AD417" s="22"/>
      <c r="AE417" s="22"/>
      <c r="AF417" s="22"/>
      <c r="AG417" s="22"/>
      <c r="AH417" s="22"/>
      <c r="AI417" s="22"/>
      <c r="AJ417" s="17"/>
      <c r="AK417" s="22"/>
      <c r="AL417" s="22"/>
      <c r="AM417" s="22"/>
      <c r="AN417" s="22"/>
      <c r="AO417" s="17"/>
      <c r="AP417" s="17"/>
      <c r="AQ417" s="17"/>
      <c r="AR417" s="1"/>
      <c r="AS417" s="1"/>
      <c r="AT417" s="17"/>
      <c r="AU417" s="1"/>
      <c r="AV417" s="1"/>
      <c r="AW417" s="1"/>
      <c r="AX417" s="2"/>
      <c r="AY417" s="2"/>
      <c r="AZ417" s="1"/>
    </row>
    <row x14ac:dyDescent="0.25" r="418" customHeight="1" ht="15">
      <c r="A418" s="1"/>
      <c r="B418" s="1"/>
      <c r="C418" s="1"/>
      <c r="D418" s="1"/>
      <c r="E418" s="1"/>
      <c r="F418" s="1"/>
      <c r="G418" s="1"/>
      <c r="H418" s="1"/>
      <c r="I418" s="1"/>
      <c r="J418" s="1"/>
      <c r="K418" s="17"/>
      <c r="L418" s="1"/>
      <c r="M418" s="1"/>
      <c r="N418" s="2"/>
      <c r="O418" s="2"/>
      <c r="P418" s="1"/>
      <c r="Q418" s="1"/>
      <c r="R418" s="1"/>
      <c r="S418" s="1"/>
      <c r="T418" s="17"/>
      <c r="U418" s="17"/>
      <c r="V418" s="17"/>
      <c r="W418" s="17"/>
      <c r="X418" s="22"/>
      <c r="Y418" s="22"/>
      <c r="Z418" s="22"/>
      <c r="AA418" s="22"/>
      <c r="AB418" s="22"/>
      <c r="AC418" s="22"/>
      <c r="AD418" s="22"/>
      <c r="AE418" s="22"/>
      <c r="AF418" s="22"/>
      <c r="AG418" s="22"/>
      <c r="AH418" s="22"/>
      <c r="AI418" s="22"/>
      <c r="AJ418" s="17"/>
      <c r="AK418" s="22"/>
      <c r="AL418" s="22"/>
      <c r="AM418" s="22"/>
      <c r="AN418" s="22"/>
      <c r="AO418" s="17"/>
      <c r="AP418" s="17"/>
      <c r="AQ418" s="17"/>
      <c r="AR418" s="1"/>
      <c r="AS418" s="1"/>
      <c r="AT418" s="17"/>
      <c r="AU418" s="1"/>
      <c r="AV418" s="1"/>
      <c r="AW418" s="1"/>
      <c r="AX418" s="2"/>
      <c r="AY418" s="2"/>
      <c r="AZ418" s="1"/>
    </row>
    <row x14ac:dyDescent="0.25" r="419" customHeight="1" ht="15">
      <c r="A419" s="1"/>
      <c r="B419" s="1"/>
      <c r="C419" s="1"/>
      <c r="D419" s="1"/>
      <c r="E419" s="1"/>
      <c r="F419" s="1"/>
      <c r="G419" s="1"/>
      <c r="H419" s="1"/>
      <c r="I419" s="1"/>
      <c r="J419" s="1"/>
      <c r="K419" s="17"/>
      <c r="L419" s="1"/>
      <c r="M419" s="1"/>
      <c r="N419" s="2"/>
      <c r="O419" s="2"/>
      <c r="P419" s="1"/>
      <c r="Q419" s="1"/>
      <c r="R419" s="1"/>
      <c r="S419" s="1"/>
      <c r="T419" s="17"/>
      <c r="U419" s="17"/>
      <c r="V419" s="17"/>
      <c r="W419" s="17"/>
      <c r="X419" s="22"/>
      <c r="Y419" s="22"/>
      <c r="Z419" s="22"/>
      <c r="AA419" s="22"/>
      <c r="AB419" s="22"/>
      <c r="AC419" s="22"/>
      <c r="AD419" s="22"/>
      <c r="AE419" s="22"/>
      <c r="AF419" s="22"/>
      <c r="AG419" s="22"/>
      <c r="AH419" s="22"/>
      <c r="AI419" s="22"/>
      <c r="AJ419" s="17"/>
      <c r="AK419" s="22"/>
      <c r="AL419" s="22"/>
      <c r="AM419" s="22"/>
      <c r="AN419" s="22"/>
      <c r="AO419" s="17"/>
      <c r="AP419" s="17"/>
      <c r="AQ419" s="17"/>
      <c r="AR419" s="1"/>
      <c r="AS419" s="1"/>
      <c r="AT419" s="17"/>
      <c r="AU419" s="1"/>
      <c r="AV419" s="1"/>
      <c r="AW419" s="1"/>
      <c r="AX419" s="2"/>
      <c r="AY419" s="2"/>
      <c r="AZ419" s="1"/>
    </row>
    <row x14ac:dyDescent="0.25" r="420" customHeight="1" ht="15">
      <c r="A420" s="1"/>
      <c r="B420" s="1"/>
      <c r="C420" s="1"/>
      <c r="D420" s="1"/>
      <c r="E420" s="1"/>
      <c r="F420" s="1"/>
      <c r="G420" s="1"/>
      <c r="H420" s="1"/>
      <c r="I420" s="1"/>
      <c r="J420" s="1"/>
      <c r="K420" s="17"/>
      <c r="L420" s="1"/>
      <c r="M420" s="1"/>
      <c r="N420" s="2"/>
      <c r="O420" s="2"/>
      <c r="P420" s="1"/>
      <c r="Q420" s="1"/>
      <c r="R420" s="1"/>
      <c r="S420" s="1"/>
      <c r="T420" s="17"/>
      <c r="U420" s="17"/>
      <c r="V420" s="17"/>
      <c r="W420" s="17"/>
      <c r="X420" s="22"/>
      <c r="Y420" s="22"/>
      <c r="Z420" s="22"/>
      <c r="AA420" s="22"/>
      <c r="AB420" s="22"/>
      <c r="AC420" s="22"/>
      <c r="AD420" s="22"/>
      <c r="AE420" s="22"/>
      <c r="AF420" s="22"/>
      <c r="AG420" s="22"/>
      <c r="AH420" s="22"/>
      <c r="AI420" s="22"/>
      <c r="AJ420" s="17"/>
      <c r="AK420" s="22"/>
      <c r="AL420" s="22"/>
      <c r="AM420" s="22"/>
      <c r="AN420" s="22"/>
      <c r="AO420" s="17"/>
      <c r="AP420" s="17"/>
      <c r="AQ420" s="17"/>
      <c r="AR420" s="1"/>
      <c r="AS420" s="1"/>
      <c r="AT420" s="17"/>
      <c r="AU420" s="1"/>
      <c r="AV420" s="1"/>
      <c r="AW420" s="1"/>
      <c r="AX420" s="2"/>
      <c r="AY420" s="2"/>
      <c r="AZ420" s="1"/>
    </row>
    <row x14ac:dyDescent="0.25" r="421" customHeight="1" ht="15">
      <c r="A421" s="1"/>
      <c r="B421" s="1"/>
      <c r="C421" s="1"/>
      <c r="D421" s="1"/>
      <c r="E421" s="1"/>
      <c r="F421" s="1"/>
      <c r="G421" s="1"/>
      <c r="H421" s="1"/>
      <c r="I421" s="1"/>
      <c r="J421" s="1"/>
      <c r="K421" s="17"/>
      <c r="L421" s="1"/>
      <c r="M421" s="1"/>
      <c r="N421" s="2"/>
      <c r="O421" s="2"/>
      <c r="P421" s="1"/>
      <c r="Q421" s="1"/>
      <c r="R421" s="1"/>
      <c r="S421" s="1"/>
      <c r="T421" s="17"/>
      <c r="U421" s="17"/>
      <c r="V421" s="17"/>
      <c r="W421" s="17"/>
      <c r="X421" s="22"/>
      <c r="Y421" s="22"/>
      <c r="Z421" s="22"/>
      <c r="AA421" s="22"/>
      <c r="AB421" s="22"/>
      <c r="AC421" s="22"/>
      <c r="AD421" s="22"/>
      <c r="AE421" s="22"/>
      <c r="AF421" s="22"/>
      <c r="AG421" s="22"/>
      <c r="AH421" s="22"/>
      <c r="AI421" s="22"/>
      <c r="AJ421" s="17"/>
      <c r="AK421" s="22"/>
      <c r="AL421" s="22"/>
      <c r="AM421" s="22"/>
      <c r="AN421" s="22"/>
      <c r="AO421" s="17"/>
      <c r="AP421" s="17"/>
      <c r="AQ421" s="17"/>
      <c r="AR421" s="1"/>
      <c r="AS421" s="1"/>
      <c r="AT421" s="17"/>
      <c r="AU421" s="1"/>
      <c r="AV421" s="1"/>
      <c r="AW421" s="1"/>
      <c r="AX421" s="2"/>
      <c r="AY421" s="2"/>
      <c r="AZ421" s="1"/>
    </row>
    <row x14ac:dyDescent="0.25" r="422" customHeight="1" ht="15">
      <c r="A422" s="1"/>
      <c r="B422" s="1"/>
      <c r="C422" s="1"/>
      <c r="D422" s="1"/>
      <c r="E422" s="1"/>
      <c r="F422" s="1"/>
      <c r="G422" s="1"/>
      <c r="H422" s="1"/>
      <c r="I422" s="1"/>
      <c r="J422" s="1"/>
      <c r="K422" s="17"/>
      <c r="L422" s="1"/>
      <c r="M422" s="1"/>
      <c r="N422" s="2"/>
      <c r="O422" s="2"/>
      <c r="P422" s="1"/>
      <c r="Q422" s="1"/>
      <c r="R422" s="1"/>
      <c r="S422" s="1"/>
      <c r="T422" s="17"/>
      <c r="U422" s="17"/>
      <c r="V422" s="17"/>
      <c r="W422" s="17"/>
      <c r="X422" s="22"/>
      <c r="Y422" s="22"/>
      <c r="Z422" s="22"/>
      <c r="AA422" s="22"/>
      <c r="AB422" s="22"/>
      <c r="AC422" s="22"/>
      <c r="AD422" s="22"/>
      <c r="AE422" s="22"/>
      <c r="AF422" s="22"/>
      <c r="AG422" s="22"/>
      <c r="AH422" s="22"/>
      <c r="AI422" s="22"/>
      <c r="AJ422" s="17"/>
      <c r="AK422" s="22"/>
      <c r="AL422" s="22"/>
      <c r="AM422" s="22"/>
      <c r="AN422" s="22"/>
      <c r="AO422" s="17"/>
      <c r="AP422" s="17"/>
      <c r="AQ422" s="17"/>
      <c r="AR422" s="1"/>
      <c r="AS422" s="1"/>
      <c r="AT422" s="17"/>
      <c r="AU422" s="1"/>
      <c r="AV422" s="1"/>
      <c r="AW422" s="1"/>
      <c r="AX422" s="2"/>
      <c r="AY422" s="2"/>
      <c r="AZ422" s="1"/>
    </row>
    <row x14ac:dyDescent="0.25" r="423" customHeight="1" ht="15">
      <c r="A423" s="1"/>
      <c r="B423" s="1"/>
      <c r="C423" s="1"/>
      <c r="D423" s="1"/>
      <c r="E423" s="1"/>
      <c r="F423" s="1"/>
      <c r="G423" s="1"/>
      <c r="H423" s="1"/>
      <c r="I423" s="1"/>
      <c r="J423" s="1"/>
      <c r="K423" s="17"/>
      <c r="L423" s="1"/>
      <c r="M423" s="1"/>
      <c r="N423" s="2"/>
      <c r="O423" s="2"/>
      <c r="P423" s="1"/>
      <c r="Q423" s="1"/>
      <c r="R423" s="1"/>
      <c r="S423" s="1"/>
      <c r="T423" s="17"/>
      <c r="U423" s="17"/>
      <c r="V423" s="17"/>
      <c r="W423" s="17"/>
      <c r="X423" s="22"/>
      <c r="Y423" s="22"/>
      <c r="Z423" s="22"/>
      <c r="AA423" s="22"/>
      <c r="AB423" s="22"/>
      <c r="AC423" s="22"/>
      <c r="AD423" s="22"/>
      <c r="AE423" s="22"/>
      <c r="AF423" s="22"/>
      <c r="AG423" s="22"/>
      <c r="AH423" s="22"/>
      <c r="AI423" s="22"/>
      <c r="AJ423" s="17"/>
      <c r="AK423" s="22"/>
      <c r="AL423" s="22"/>
      <c r="AM423" s="22"/>
      <c r="AN423" s="22"/>
      <c r="AO423" s="17"/>
      <c r="AP423" s="17"/>
      <c r="AQ423" s="17"/>
      <c r="AR423" s="1"/>
      <c r="AS423" s="1"/>
      <c r="AT423" s="17"/>
      <c r="AU423" s="1"/>
      <c r="AV423" s="1"/>
      <c r="AW423" s="1"/>
      <c r="AX423" s="2"/>
      <c r="AY423" s="2"/>
      <c r="AZ423" s="1"/>
    </row>
    <row x14ac:dyDescent="0.25" r="424" customHeight="1" ht="15">
      <c r="A424" s="1"/>
      <c r="B424" s="1"/>
      <c r="C424" s="1"/>
      <c r="D424" s="1"/>
      <c r="E424" s="1"/>
      <c r="F424" s="1"/>
      <c r="G424" s="1"/>
      <c r="H424" s="1"/>
      <c r="I424" s="1"/>
      <c r="J424" s="1"/>
      <c r="K424" s="17"/>
      <c r="L424" s="1"/>
      <c r="M424" s="1"/>
      <c r="N424" s="2"/>
      <c r="O424" s="2"/>
      <c r="P424" s="1"/>
      <c r="Q424" s="1"/>
      <c r="R424" s="1"/>
      <c r="S424" s="1"/>
      <c r="T424" s="17"/>
      <c r="U424" s="17"/>
      <c r="V424" s="17"/>
      <c r="W424" s="17"/>
      <c r="X424" s="22"/>
      <c r="Y424" s="22"/>
      <c r="Z424" s="22"/>
      <c r="AA424" s="22"/>
      <c r="AB424" s="22"/>
      <c r="AC424" s="22"/>
      <c r="AD424" s="22"/>
      <c r="AE424" s="22"/>
      <c r="AF424" s="22"/>
      <c r="AG424" s="22"/>
      <c r="AH424" s="22"/>
      <c r="AI424" s="22"/>
      <c r="AJ424" s="17"/>
      <c r="AK424" s="22"/>
      <c r="AL424" s="22"/>
      <c r="AM424" s="22"/>
      <c r="AN424" s="22"/>
      <c r="AO424" s="17"/>
      <c r="AP424" s="17"/>
      <c r="AQ424" s="17"/>
      <c r="AR424" s="1"/>
      <c r="AS424" s="1"/>
      <c r="AT424" s="17"/>
      <c r="AU424" s="1"/>
      <c r="AV424" s="1"/>
      <c r="AW424" s="1"/>
      <c r="AX424" s="2"/>
      <c r="AY424" s="2"/>
      <c r="AZ424" s="1"/>
    </row>
    <row x14ac:dyDescent="0.25" r="425" customHeight="1" ht="15">
      <c r="A425" s="1"/>
      <c r="B425" s="1"/>
      <c r="C425" s="1"/>
      <c r="D425" s="1"/>
      <c r="E425" s="1"/>
      <c r="F425" s="1"/>
      <c r="G425" s="1"/>
      <c r="H425" s="1"/>
      <c r="I425" s="1"/>
      <c r="J425" s="1"/>
      <c r="K425" s="17"/>
      <c r="L425" s="1"/>
      <c r="M425" s="1"/>
      <c r="N425" s="2"/>
      <c r="O425" s="2"/>
      <c r="P425" s="1"/>
      <c r="Q425" s="1"/>
      <c r="R425" s="1"/>
      <c r="S425" s="1"/>
      <c r="T425" s="17"/>
      <c r="U425" s="17"/>
      <c r="V425" s="17"/>
      <c r="W425" s="17"/>
      <c r="X425" s="22"/>
      <c r="Y425" s="22"/>
      <c r="Z425" s="22"/>
      <c r="AA425" s="22"/>
      <c r="AB425" s="22"/>
      <c r="AC425" s="22"/>
      <c r="AD425" s="22"/>
      <c r="AE425" s="22"/>
      <c r="AF425" s="22"/>
      <c r="AG425" s="22"/>
      <c r="AH425" s="22"/>
      <c r="AI425" s="22"/>
      <c r="AJ425" s="17"/>
      <c r="AK425" s="22"/>
      <c r="AL425" s="22"/>
      <c r="AM425" s="22"/>
      <c r="AN425" s="22"/>
      <c r="AO425" s="17"/>
      <c r="AP425" s="17"/>
      <c r="AQ425" s="17"/>
      <c r="AR425" s="1"/>
      <c r="AS425" s="1"/>
      <c r="AT425" s="17"/>
      <c r="AU425" s="1"/>
      <c r="AV425" s="1"/>
      <c r="AW425" s="1"/>
      <c r="AX425" s="2"/>
      <c r="AY425" s="2"/>
      <c r="AZ425" s="1"/>
    </row>
    <row x14ac:dyDescent="0.25" r="426" customHeight="1" ht="15">
      <c r="A426" s="1"/>
      <c r="B426" s="1"/>
      <c r="C426" s="1"/>
      <c r="D426" s="1"/>
      <c r="E426" s="1"/>
      <c r="F426" s="1"/>
      <c r="G426" s="1"/>
      <c r="H426" s="1"/>
      <c r="I426" s="1"/>
      <c r="J426" s="1"/>
      <c r="K426" s="17"/>
      <c r="L426" s="1"/>
      <c r="M426" s="1"/>
      <c r="N426" s="2"/>
      <c r="O426" s="2"/>
      <c r="P426" s="1"/>
      <c r="Q426" s="1"/>
      <c r="R426" s="1"/>
      <c r="S426" s="1"/>
      <c r="T426" s="17"/>
      <c r="U426" s="17"/>
      <c r="V426" s="17"/>
      <c r="W426" s="17"/>
      <c r="X426" s="22"/>
      <c r="Y426" s="22"/>
      <c r="Z426" s="22"/>
      <c r="AA426" s="22"/>
      <c r="AB426" s="22"/>
      <c r="AC426" s="22"/>
      <c r="AD426" s="22"/>
      <c r="AE426" s="22"/>
      <c r="AF426" s="22"/>
      <c r="AG426" s="22"/>
      <c r="AH426" s="22"/>
      <c r="AI426" s="22"/>
      <c r="AJ426" s="17"/>
      <c r="AK426" s="22"/>
      <c r="AL426" s="22"/>
      <c r="AM426" s="22"/>
      <c r="AN426" s="22"/>
      <c r="AO426" s="17"/>
      <c r="AP426" s="17"/>
      <c r="AQ426" s="17"/>
      <c r="AR426" s="1"/>
      <c r="AS426" s="1"/>
      <c r="AT426" s="17"/>
      <c r="AU426" s="1"/>
      <c r="AV426" s="1"/>
      <c r="AW426" s="1"/>
      <c r="AX426" s="2"/>
      <c r="AY426" s="2"/>
      <c r="AZ426" s="1"/>
    </row>
    <row x14ac:dyDescent="0.25" r="427" customHeight="1" ht="15">
      <c r="A427" s="1"/>
      <c r="B427" s="1"/>
      <c r="C427" s="1"/>
      <c r="D427" s="1"/>
      <c r="E427" s="1"/>
      <c r="F427" s="1"/>
      <c r="G427" s="1"/>
      <c r="H427" s="1"/>
      <c r="I427" s="1"/>
      <c r="J427" s="1"/>
      <c r="K427" s="17"/>
      <c r="L427" s="1"/>
      <c r="M427" s="1"/>
      <c r="N427" s="2"/>
      <c r="O427" s="2"/>
      <c r="P427" s="1"/>
      <c r="Q427" s="1"/>
      <c r="R427" s="1"/>
      <c r="S427" s="1"/>
      <c r="T427" s="17"/>
      <c r="U427" s="17"/>
      <c r="V427" s="17"/>
      <c r="W427" s="17"/>
      <c r="X427" s="22"/>
      <c r="Y427" s="22"/>
      <c r="Z427" s="22"/>
      <c r="AA427" s="22"/>
      <c r="AB427" s="22"/>
      <c r="AC427" s="22"/>
      <c r="AD427" s="22"/>
      <c r="AE427" s="22"/>
      <c r="AF427" s="22"/>
      <c r="AG427" s="22"/>
      <c r="AH427" s="22"/>
      <c r="AI427" s="22"/>
      <c r="AJ427" s="17"/>
      <c r="AK427" s="22"/>
      <c r="AL427" s="22"/>
      <c r="AM427" s="22"/>
      <c r="AN427" s="22"/>
      <c r="AO427" s="17"/>
      <c r="AP427" s="17"/>
      <c r="AQ427" s="17"/>
      <c r="AR427" s="1"/>
      <c r="AS427" s="1"/>
      <c r="AT427" s="17"/>
      <c r="AU427" s="1"/>
      <c r="AV427" s="1"/>
      <c r="AW427" s="1"/>
      <c r="AX427" s="2"/>
      <c r="AY427" s="2"/>
      <c r="AZ427" s="1"/>
    </row>
    <row x14ac:dyDescent="0.25" r="428" customHeight="1" ht="15">
      <c r="A428" s="1"/>
      <c r="B428" s="1"/>
      <c r="C428" s="1"/>
      <c r="D428" s="1"/>
      <c r="E428" s="1"/>
      <c r="F428" s="1"/>
      <c r="G428" s="1"/>
      <c r="H428" s="1"/>
      <c r="I428" s="1"/>
      <c r="J428" s="1"/>
      <c r="K428" s="17"/>
      <c r="L428" s="1"/>
      <c r="M428" s="1"/>
      <c r="N428" s="2"/>
      <c r="O428" s="2"/>
      <c r="P428" s="1"/>
      <c r="Q428" s="1"/>
      <c r="R428" s="1"/>
      <c r="S428" s="1"/>
      <c r="T428" s="17"/>
      <c r="U428" s="17"/>
      <c r="V428" s="17"/>
      <c r="W428" s="17"/>
      <c r="X428" s="22"/>
      <c r="Y428" s="22"/>
      <c r="Z428" s="22"/>
      <c r="AA428" s="22"/>
      <c r="AB428" s="22"/>
      <c r="AC428" s="22"/>
      <c r="AD428" s="22"/>
      <c r="AE428" s="22"/>
      <c r="AF428" s="22"/>
      <c r="AG428" s="22"/>
      <c r="AH428" s="22"/>
      <c r="AI428" s="22"/>
      <c r="AJ428" s="17"/>
      <c r="AK428" s="22"/>
      <c r="AL428" s="22"/>
      <c r="AM428" s="22"/>
      <c r="AN428" s="22"/>
      <c r="AO428" s="17"/>
      <c r="AP428" s="17"/>
      <c r="AQ428" s="17"/>
      <c r="AR428" s="1"/>
      <c r="AS428" s="1"/>
      <c r="AT428" s="17"/>
      <c r="AU428" s="1"/>
      <c r="AV428" s="1"/>
      <c r="AW428" s="1"/>
      <c r="AX428" s="2"/>
      <c r="AY428" s="2"/>
      <c r="AZ428" s="1"/>
    </row>
    <row x14ac:dyDescent="0.25" r="429" customHeight="1" ht="15">
      <c r="A429" s="1"/>
      <c r="B429" s="1"/>
      <c r="C429" s="1"/>
      <c r="D429" s="1"/>
      <c r="E429" s="1"/>
      <c r="F429" s="1"/>
      <c r="G429" s="1"/>
      <c r="H429" s="1"/>
      <c r="I429" s="1"/>
      <c r="J429" s="1"/>
      <c r="K429" s="17"/>
      <c r="L429" s="1"/>
      <c r="M429" s="1"/>
      <c r="N429" s="2"/>
      <c r="O429" s="2"/>
      <c r="P429" s="1"/>
      <c r="Q429" s="1"/>
      <c r="R429" s="1"/>
      <c r="S429" s="1"/>
      <c r="T429" s="17"/>
      <c r="U429" s="17"/>
      <c r="V429" s="17"/>
      <c r="W429" s="17"/>
      <c r="X429" s="22"/>
      <c r="Y429" s="22"/>
      <c r="Z429" s="22"/>
      <c r="AA429" s="22"/>
      <c r="AB429" s="22"/>
      <c r="AC429" s="22"/>
      <c r="AD429" s="22"/>
      <c r="AE429" s="22"/>
      <c r="AF429" s="22"/>
      <c r="AG429" s="22"/>
      <c r="AH429" s="22"/>
      <c r="AI429" s="22"/>
      <c r="AJ429" s="17"/>
      <c r="AK429" s="22"/>
      <c r="AL429" s="22"/>
      <c r="AM429" s="22"/>
      <c r="AN429" s="22"/>
      <c r="AO429" s="17"/>
      <c r="AP429" s="17"/>
      <c r="AQ429" s="17"/>
      <c r="AR429" s="1"/>
      <c r="AS429" s="1"/>
      <c r="AT429" s="17"/>
      <c r="AU429" s="1"/>
      <c r="AV429" s="1"/>
      <c r="AW429" s="1"/>
      <c r="AX429" s="2"/>
      <c r="AY429" s="2"/>
      <c r="AZ429" s="1"/>
    </row>
    <row x14ac:dyDescent="0.25" r="430" customHeight="1" ht="15">
      <c r="A430" s="1"/>
      <c r="B430" s="1"/>
      <c r="C430" s="1"/>
      <c r="D430" s="1"/>
      <c r="E430" s="1"/>
      <c r="F430" s="1"/>
      <c r="G430" s="1"/>
      <c r="H430" s="1"/>
      <c r="I430" s="1"/>
      <c r="J430" s="1"/>
      <c r="K430" s="17"/>
      <c r="L430" s="1"/>
      <c r="M430" s="1"/>
      <c r="N430" s="2"/>
      <c r="O430" s="2"/>
      <c r="P430" s="1"/>
      <c r="Q430" s="1"/>
      <c r="R430" s="1"/>
      <c r="S430" s="1"/>
      <c r="T430" s="17"/>
      <c r="U430" s="17"/>
      <c r="V430" s="17"/>
      <c r="W430" s="17"/>
      <c r="X430" s="22"/>
      <c r="Y430" s="22"/>
      <c r="Z430" s="22"/>
      <c r="AA430" s="22"/>
      <c r="AB430" s="22"/>
      <c r="AC430" s="22"/>
      <c r="AD430" s="22"/>
      <c r="AE430" s="22"/>
      <c r="AF430" s="22"/>
      <c r="AG430" s="22"/>
      <c r="AH430" s="22"/>
      <c r="AI430" s="22"/>
      <c r="AJ430" s="17"/>
      <c r="AK430" s="22"/>
      <c r="AL430" s="22"/>
      <c r="AM430" s="22"/>
      <c r="AN430" s="22"/>
      <c r="AO430" s="17"/>
      <c r="AP430" s="17"/>
      <c r="AQ430" s="17"/>
      <c r="AR430" s="1"/>
      <c r="AS430" s="1"/>
      <c r="AT430" s="17"/>
      <c r="AU430" s="1"/>
      <c r="AV430" s="1"/>
      <c r="AW430" s="1"/>
      <c r="AX430" s="2"/>
      <c r="AY430" s="2"/>
      <c r="AZ430" s="1"/>
    </row>
    <row x14ac:dyDescent="0.25" r="431" customHeight="1" ht="15">
      <c r="A431" s="1"/>
      <c r="B431" s="1"/>
      <c r="C431" s="1"/>
      <c r="D431" s="1"/>
      <c r="E431" s="1"/>
      <c r="F431" s="1"/>
      <c r="G431" s="1"/>
      <c r="H431" s="1"/>
      <c r="I431" s="1"/>
      <c r="J431" s="1"/>
      <c r="K431" s="17"/>
      <c r="L431" s="1"/>
      <c r="M431" s="1"/>
      <c r="N431" s="2"/>
      <c r="O431" s="2"/>
      <c r="P431" s="1"/>
      <c r="Q431" s="1"/>
      <c r="R431" s="1"/>
      <c r="S431" s="1"/>
      <c r="T431" s="17"/>
      <c r="U431" s="17"/>
      <c r="V431" s="17"/>
      <c r="W431" s="17"/>
      <c r="X431" s="22"/>
      <c r="Y431" s="22"/>
      <c r="Z431" s="22"/>
      <c r="AA431" s="22"/>
      <c r="AB431" s="22"/>
      <c r="AC431" s="22"/>
      <c r="AD431" s="22"/>
      <c r="AE431" s="22"/>
      <c r="AF431" s="22"/>
      <c r="AG431" s="22"/>
      <c r="AH431" s="22"/>
      <c r="AI431" s="22"/>
      <c r="AJ431" s="17"/>
      <c r="AK431" s="22"/>
      <c r="AL431" s="22"/>
      <c r="AM431" s="22"/>
      <c r="AN431" s="22"/>
      <c r="AO431" s="17"/>
      <c r="AP431" s="17"/>
      <c r="AQ431" s="17"/>
      <c r="AR431" s="1"/>
      <c r="AS431" s="1"/>
      <c r="AT431" s="17"/>
      <c r="AU431" s="1"/>
      <c r="AV431" s="1"/>
      <c r="AW431" s="1"/>
      <c r="AX431" s="2"/>
      <c r="AY431" s="2"/>
      <c r="AZ431" s="1"/>
    </row>
    <row x14ac:dyDescent="0.25" r="432" customHeight="1" ht="15">
      <c r="A432" s="1"/>
      <c r="B432" s="1"/>
      <c r="C432" s="1"/>
      <c r="D432" s="1"/>
      <c r="E432" s="1"/>
      <c r="F432" s="1"/>
      <c r="G432" s="1"/>
      <c r="H432" s="1"/>
      <c r="I432" s="1"/>
      <c r="J432" s="1"/>
      <c r="K432" s="17"/>
      <c r="L432" s="1"/>
      <c r="M432" s="1"/>
      <c r="N432" s="2"/>
      <c r="O432" s="2"/>
      <c r="P432" s="1"/>
      <c r="Q432" s="1"/>
      <c r="R432" s="1"/>
      <c r="S432" s="1"/>
      <c r="T432" s="17"/>
      <c r="U432" s="17"/>
      <c r="V432" s="17"/>
      <c r="W432" s="17"/>
      <c r="X432" s="22"/>
      <c r="Y432" s="22"/>
      <c r="Z432" s="22"/>
      <c r="AA432" s="22"/>
      <c r="AB432" s="22"/>
      <c r="AC432" s="22"/>
      <c r="AD432" s="22"/>
      <c r="AE432" s="22"/>
      <c r="AF432" s="22"/>
      <c r="AG432" s="22"/>
      <c r="AH432" s="22"/>
      <c r="AI432" s="22"/>
      <c r="AJ432" s="17"/>
      <c r="AK432" s="22"/>
      <c r="AL432" s="22"/>
      <c r="AM432" s="22"/>
      <c r="AN432" s="22"/>
      <c r="AO432" s="17"/>
      <c r="AP432" s="17"/>
      <c r="AQ432" s="17"/>
      <c r="AR432" s="1"/>
      <c r="AS432" s="1"/>
      <c r="AT432" s="17"/>
      <c r="AU432" s="1"/>
      <c r="AV432" s="1"/>
      <c r="AW432" s="1"/>
      <c r="AX432" s="2"/>
      <c r="AY432" s="2"/>
      <c r="AZ432" s="1"/>
    </row>
    <row x14ac:dyDescent="0.25" r="433" customHeight="1" ht="15">
      <c r="A433" s="1"/>
      <c r="B433" s="1"/>
      <c r="C433" s="1"/>
      <c r="D433" s="1"/>
      <c r="E433" s="1"/>
      <c r="F433" s="1"/>
      <c r="G433" s="1"/>
      <c r="H433" s="1"/>
      <c r="I433" s="1"/>
      <c r="J433" s="1"/>
      <c r="K433" s="17"/>
      <c r="L433" s="1"/>
      <c r="M433" s="1"/>
      <c r="N433" s="2"/>
      <c r="O433" s="2"/>
      <c r="P433" s="1"/>
      <c r="Q433" s="1"/>
      <c r="R433" s="1"/>
      <c r="S433" s="1"/>
      <c r="T433" s="17"/>
      <c r="U433" s="17"/>
      <c r="V433" s="17"/>
      <c r="W433" s="17"/>
      <c r="X433" s="22"/>
      <c r="Y433" s="22"/>
      <c r="Z433" s="22"/>
      <c r="AA433" s="22"/>
      <c r="AB433" s="22"/>
      <c r="AC433" s="22"/>
      <c r="AD433" s="22"/>
      <c r="AE433" s="22"/>
      <c r="AF433" s="22"/>
      <c r="AG433" s="22"/>
      <c r="AH433" s="22"/>
      <c r="AI433" s="22"/>
      <c r="AJ433" s="17"/>
      <c r="AK433" s="22"/>
      <c r="AL433" s="22"/>
      <c r="AM433" s="22"/>
      <c r="AN433" s="22"/>
      <c r="AO433" s="17"/>
      <c r="AP433" s="17"/>
      <c r="AQ433" s="17"/>
      <c r="AR433" s="1"/>
      <c r="AS433" s="1"/>
      <c r="AT433" s="17"/>
      <c r="AU433" s="1"/>
      <c r="AV433" s="1"/>
      <c r="AW433" s="1"/>
      <c r="AX433" s="2"/>
      <c r="AY433" s="2"/>
      <c r="AZ433" s="1"/>
    </row>
    <row x14ac:dyDescent="0.25" r="434" customHeight="1" ht="15">
      <c r="A434" s="1"/>
      <c r="B434" s="1"/>
      <c r="C434" s="1"/>
      <c r="D434" s="1"/>
      <c r="E434" s="1"/>
      <c r="F434" s="1"/>
      <c r="G434" s="1"/>
      <c r="H434" s="1"/>
      <c r="I434" s="1"/>
      <c r="J434" s="1"/>
      <c r="K434" s="17"/>
      <c r="L434" s="1"/>
      <c r="M434" s="1"/>
      <c r="N434" s="2"/>
      <c r="O434" s="2"/>
      <c r="P434" s="1"/>
      <c r="Q434" s="1"/>
      <c r="R434" s="1"/>
      <c r="S434" s="1"/>
      <c r="T434" s="17"/>
      <c r="U434" s="17"/>
      <c r="V434" s="17"/>
      <c r="W434" s="17"/>
      <c r="X434" s="22"/>
      <c r="Y434" s="22"/>
      <c r="Z434" s="22"/>
      <c r="AA434" s="22"/>
      <c r="AB434" s="22"/>
      <c r="AC434" s="22"/>
      <c r="AD434" s="22"/>
      <c r="AE434" s="22"/>
      <c r="AF434" s="22"/>
      <c r="AG434" s="22"/>
      <c r="AH434" s="22"/>
      <c r="AI434" s="22"/>
      <c r="AJ434" s="17"/>
      <c r="AK434" s="22"/>
      <c r="AL434" s="22"/>
      <c r="AM434" s="22"/>
      <c r="AN434" s="22"/>
      <c r="AO434" s="17"/>
      <c r="AP434" s="17"/>
      <c r="AQ434" s="17"/>
      <c r="AR434" s="1"/>
      <c r="AS434" s="1"/>
      <c r="AT434" s="17"/>
      <c r="AU434" s="1"/>
      <c r="AV434" s="1"/>
      <c r="AW434" s="1"/>
      <c r="AX434" s="2"/>
      <c r="AY434" s="2"/>
      <c r="AZ434" s="1"/>
    </row>
    <row x14ac:dyDescent="0.25" r="435" customHeight="1" ht="15">
      <c r="A435" s="1"/>
      <c r="B435" s="1"/>
      <c r="C435" s="1"/>
      <c r="D435" s="1"/>
      <c r="E435" s="1"/>
      <c r="F435" s="1"/>
      <c r="G435" s="1"/>
      <c r="H435" s="1"/>
      <c r="I435" s="1"/>
      <c r="J435" s="1"/>
      <c r="K435" s="17"/>
      <c r="L435" s="1"/>
      <c r="M435" s="1"/>
      <c r="N435" s="2"/>
      <c r="O435" s="2"/>
      <c r="P435" s="1"/>
      <c r="Q435" s="1"/>
      <c r="R435" s="1"/>
      <c r="S435" s="1"/>
      <c r="T435" s="17"/>
      <c r="U435" s="17"/>
      <c r="V435" s="17"/>
      <c r="W435" s="17"/>
      <c r="X435" s="22"/>
      <c r="Y435" s="22"/>
      <c r="Z435" s="22"/>
      <c r="AA435" s="22"/>
      <c r="AB435" s="22"/>
      <c r="AC435" s="22"/>
      <c r="AD435" s="22"/>
      <c r="AE435" s="22"/>
      <c r="AF435" s="22"/>
      <c r="AG435" s="22"/>
      <c r="AH435" s="22"/>
      <c r="AI435" s="22"/>
      <c r="AJ435" s="17"/>
      <c r="AK435" s="22"/>
      <c r="AL435" s="22"/>
      <c r="AM435" s="22"/>
      <c r="AN435" s="22"/>
      <c r="AO435" s="17"/>
      <c r="AP435" s="17"/>
      <c r="AQ435" s="17"/>
      <c r="AR435" s="1"/>
      <c r="AS435" s="1"/>
      <c r="AT435" s="17"/>
      <c r="AU435" s="1"/>
      <c r="AV435" s="1"/>
      <c r="AW435" s="1"/>
      <c r="AX435" s="2"/>
      <c r="AY435" s="2"/>
      <c r="AZ435" s="1"/>
    </row>
    <row x14ac:dyDescent="0.25" r="436" customHeight="1" ht="15">
      <c r="A436" s="1"/>
      <c r="B436" s="1"/>
      <c r="C436" s="1"/>
      <c r="D436" s="1"/>
      <c r="E436" s="1"/>
      <c r="F436" s="1"/>
      <c r="G436" s="1"/>
      <c r="H436" s="1"/>
      <c r="I436" s="1"/>
      <c r="J436" s="1"/>
      <c r="K436" s="17"/>
      <c r="L436" s="1"/>
      <c r="M436" s="1"/>
      <c r="N436" s="2"/>
      <c r="O436" s="2"/>
      <c r="P436" s="1"/>
      <c r="Q436" s="1"/>
      <c r="R436" s="1"/>
      <c r="S436" s="1"/>
      <c r="T436" s="17"/>
      <c r="U436" s="17"/>
      <c r="V436" s="17"/>
      <c r="W436" s="17"/>
      <c r="X436" s="22"/>
      <c r="Y436" s="22"/>
      <c r="Z436" s="22"/>
      <c r="AA436" s="22"/>
      <c r="AB436" s="22"/>
      <c r="AC436" s="22"/>
      <c r="AD436" s="22"/>
      <c r="AE436" s="22"/>
      <c r="AF436" s="22"/>
      <c r="AG436" s="22"/>
      <c r="AH436" s="22"/>
      <c r="AI436" s="22"/>
      <c r="AJ436" s="17"/>
      <c r="AK436" s="22"/>
      <c r="AL436" s="22"/>
      <c r="AM436" s="22"/>
      <c r="AN436" s="22"/>
      <c r="AO436" s="17"/>
      <c r="AP436" s="17"/>
      <c r="AQ436" s="17"/>
      <c r="AR436" s="1"/>
      <c r="AS436" s="1"/>
      <c r="AT436" s="17"/>
      <c r="AU436" s="1"/>
      <c r="AV436" s="1"/>
      <c r="AW436" s="1"/>
      <c r="AX436" s="2"/>
      <c r="AY436" s="2"/>
      <c r="AZ436" s="1"/>
    </row>
    <row x14ac:dyDescent="0.25" r="437" customHeight="1" ht="15">
      <c r="A437" s="1"/>
      <c r="B437" s="1"/>
      <c r="C437" s="1"/>
      <c r="D437" s="1"/>
      <c r="E437" s="1"/>
      <c r="F437" s="1"/>
      <c r="G437" s="1"/>
      <c r="H437" s="1"/>
      <c r="I437" s="1"/>
      <c r="J437" s="1"/>
      <c r="K437" s="17"/>
      <c r="L437" s="1"/>
      <c r="M437" s="1"/>
      <c r="N437" s="2"/>
      <c r="O437" s="2"/>
      <c r="P437" s="1"/>
      <c r="Q437" s="1"/>
      <c r="R437" s="1"/>
      <c r="S437" s="1"/>
      <c r="T437" s="17"/>
      <c r="U437" s="17"/>
      <c r="V437" s="17"/>
      <c r="W437" s="17"/>
      <c r="X437" s="22"/>
      <c r="Y437" s="22"/>
      <c r="Z437" s="22"/>
      <c r="AA437" s="22"/>
      <c r="AB437" s="22"/>
      <c r="AC437" s="22"/>
      <c r="AD437" s="22"/>
      <c r="AE437" s="22"/>
      <c r="AF437" s="22"/>
      <c r="AG437" s="22"/>
      <c r="AH437" s="22"/>
      <c r="AI437" s="22"/>
      <c r="AJ437" s="17"/>
      <c r="AK437" s="22"/>
      <c r="AL437" s="22"/>
      <c r="AM437" s="22"/>
      <c r="AN437" s="22"/>
      <c r="AO437" s="17"/>
      <c r="AP437" s="17"/>
      <c r="AQ437" s="17"/>
      <c r="AR437" s="1"/>
      <c r="AS437" s="1"/>
      <c r="AT437" s="17"/>
      <c r="AU437" s="1"/>
      <c r="AV437" s="1"/>
      <c r="AW437" s="1"/>
      <c r="AX437" s="2"/>
      <c r="AY437" s="2"/>
      <c r="AZ437" s="1"/>
    </row>
    <row x14ac:dyDescent="0.25" r="438" customHeight="1" ht="15">
      <c r="A438" s="1"/>
      <c r="B438" s="1"/>
      <c r="C438" s="1"/>
      <c r="D438" s="1"/>
      <c r="E438" s="1"/>
      <c r="F438" s="1"/>
      <c r="G438" s="1"/>
      <c r="H438" s="1"/>
      <c r="I438" s="1"/>
      <c r="J438" s="1"/>
      <c r="K438" s="17"/>
      <c r="L438" s="1"/>
      <c r="M438" s="1"/>
      <c r="N438" s="2"/>
      <c r="O438" s="2"/>
      <c r="P438" s="1"/>
      <c r="Q438" s="1"/>
      <c r="R438" s="1"/>
      <c r="S438" s="1"/>
      <c r="T438" s="17"/>
      <c r="U438" s="17"/>
      <c r="V438" s="17"/>
      <c r="W438" s="17"/>
      <c r="X438" s="22"/>
      <c r="Y438" s="22"/>
      <c r="Z438" s="22"/>
      <c r="AA438" s="22"/>
      <c r="AB438" s="22"/>
      <c r="AC438" s="22"/>
      <c r="AD438" s="22"/>
      <c r="AE438" s="22"/>
      <c r="AF438" s="22"/>
      <c r="AG438" s="22"/>
      <c r="AH438" s="22"/>
      <c r="AI438" s="22"/>
      <c r="AJ438" s="17"/>
      <c r="AK438" s="22"/>
      <c r="AL438" s="22"/>
      <c r="AM438" s="22"/>
      <c r="AN438" s="22"/>
      <c r="AO438" s="17"/>
      <c r="AP438" s="17"/>
      <c r="AQ438" s="17"/>
      <c r="AR438" s="1"/>
      <c r="AS438" s="1"/>
      <c r="AT438" s="17"/>
      <c r="AU438" s="1"/>
      <c r="AV438" s="1"/>
      <c r="AW438" s="1"/>
      <c r="AX438" s="2"/>
      <c r="AY438" s="2"/>
      <c r="AZ438" s="1"/>
    </row>
    <row x14ac:dyDescent="0.25" r="439" customHeight="1" ht="15">
      <c r="A439" s="1"/>
      <c r="B439" s="1"/>
      <c r="C439" s="1"/>
      <c r="D439" s="1"/>
      <c r="E439" s="1"/>
      <c r="F439" s="1"/>
      <c r="G439" s="1"/>
      <c r="H439" s="1"/>
      <c r="I439" s="1"/>
      <c r="J439" s="1"/>
      <c r="K439" s="17"/>
      <c r="L439" s="1"/>
      <c r="M439" s="1"/>
      <c r="N439" s="2"/>
      <c r="O439" s="2"/>
      <c r="P439" s="1"/>
      <c r="Q439" s="1"/>
      <c r="R439" s="1"/>
      <c r="S439" s="1"/>
      <c r="T439" s="17"/>
      <c r="U439" s="17"/>
      <c r="V439" s="17"/>
      <c r="W439" s="17"/>
      <c r="X439" s="22"/>
      <c r="Y439" s="22"/>
      <c r="Z439" s="22"/>
      <c r="AA439" s="22"/>
      <c r="AB439" s="22"/>
      <c r="AC439" s="22"/>
      <c r="AD439" s="22"/>
      <c r="AE439" s="22"/>
      <c r="AF439" s="22"/>
      <c r="AG439" s="22"/>
      <c r="AH439" s="22"/>
      <c r="AI439" s="22"/>
      <c r="AJ439" s="17"/>
      <c r="AK439" s="22"/>
      <c r="AL439" s="22"/>
      <c r="AM439" s="22"/>
      <c r="AN439" s="22"/>
      <c r="AO439" s="17"/>
      <c r="AP439" s="17"/>
      <c r="AQ439" s="17"/>
      <c r="AR439" s="1"/>
      <c r="AS439" s="1"/>
      <c r="AT439" s="17"/>
      <c r="AU439" s="1"/>
      <c r="AV439" s="1"/>
      <c r="AW439" s="1"/>
      <c r="AX439" s="2"/>
      <c r="AY439" s="2"/>
      <c r="AZ439" s="1"/>
    </row>
    <row x14ac:dyDescent="0.25" r="440" customHeight="1" ht="15">
      <c r="A440" s="1"/>
      <c r="B440" s="1"/>
      <c r="C440" s="1"/>
      <c r="D440" s="1"/>
      <c r="E440" s="1"/>
      <c r="F440" s="1"/>
      <c r="G440" s="1"/>
      <c r="H440" s="1"/>
      <c r="I440" s="1"/>
      <c r="J440" s="1"/>
      <c r="K440" s="17"/>
      <c r="L440" s="1"/>
      <c r="M440" s="1"/>
      <c r="N440" s="2"/>
      <c r="O440" s="2"/>
      <c r="P440" s="1"/>
      <c r="Q440" s="1"/>
      <c r="R440" s="1"/>
      <c r="S440" s="1"/>
      <c r="T440" s="17"/>
      <c r="U440" s="17"/>
      <c r="V440" s="17"/>
      <c r="W440" s="17"/>
      <c r="X440" s="22"/>
      <c r="Y440" s="22"/>
      <c r="Z440" s="22"/>
      <c r="AA440" s="22"/>
      <c r="AB440" s="22"/>
      <c r="AC440" s="22"/>
      <c r="AD440" s="22"/>
      <c r="AE440" s="22"/>
      <c r="AF440" s="22"/>
      <c r="AG440" s="22"/>
      <c r="AH440" s="22"/>
      <c r="AI440" s="22"/>
      <c r="AJ440" s="17"/>
      <c r="AK440" s="22"/>
      <c r="AL440" s="22"/>
      <c r="AM440" s="22"/>
      <c r="AN440" s="22"/>
      <c r="AO440" s="17"/>
      <c r="AP440" s="17"/>
      <c r="AQ440" s="17"/>
      <c r="AR440" s="1"/>
      <c r="AS440" s="1"/>
      <c r="AT440" s="17"/>
      <c r="AU440" s="1"/>
      <c r="AV440" s="1"/>
      <c r="AW440" s="1"/>
      <c r="AX440" s="2"/>
      <c r="AY440" s="2"/>
      <c r="AZ440" s="1"/>
    </row>
    <row x14ac:dyDescent="0.25" r="441" customHeight="1" ht="15">
      <c r="A441" s="1"/>
      <c r="B441" s="1"/>
      <c r="C441" s="1"/>
      <c r="D441" s="1"/>
      <c r="E441" s="1"/>
      <c r="F441" s="1"/>
      <c r="G441" s="1"/>
      <c r="H441" s="1"/>
      <c r="I441" s="1"/>
      <c r="J441" s="1"/>
      <c r="K441" s="17"/>
      <c r="L441" s="1"/>
      <c r="M441" s="1"/>
      <c r="N441" s="2"/>
      <c r="O441" s="2"/>
      <c r="P441" s="1"/>
      <c r="Q441" s="1"/>
      <c r="R441" s="1"/>
      <c r="S441" s="1"/>
      <c r="T441" s="17"/>
      <c r="U441" s="17"/>
      <c r="V441" s="17"/>
      <c r="W441" s="17"/>
      <c r="X441" s="22"/>
      <c r="Y441" s="22"/>
      <c r="Z441" s="22"/>
      <c r="AA441" s="22"/>
      <c r="AB441" s="22"/>
      <c r="AC441" s="22"/>
      <c r="AD441" s="22"/>
      <c r="AE441" s="22"/>
      <c r="AF441" s="22"/>
      <c r="AG441" s="22"/>
      <c r="AH441" s="22"/>
      <c r="AI441" s="22"/>
      <c r="AJ441" s="17"/>
      <c r="AK441" s="22"/>
      <c r="AL441" s="22"/>
      <c r="AM441" s="22"/>
      <c r="AN441" s="22"/>
      <c r="AO441" s="17"/>
      <c r="AP441" s="17"/>
      <c r="AQ441" s="17"/>
      <c r="AR441" s="1"/>
      <c r="AS441" s="1"/>
      <c r="AT441" s="17"/>
      <c r="AU441" s="1"/>
      <c r="AV441" s="1"/>
      <c r="AW441" s="1"/>
      <c r="AX441" s="2"/>
      <c r="AY441" s="2"/>
      <c r="AZ441" s="1"/>
    </row>
    <row x14ac:dyDescent="0.25" r="442" customHeight="1" ht="15">
      <c r="A442" s="1"/>
      <c r="B442" s="1"/>
      <c r="C442" s="1"/>
      <c r="D442" s="1"/>
      <c r="E442" s="1"/>
      <c r="F442" s="1"/>
      <c r="G442" s="1"/>
      <c r="H442" s="1"/>
      <c r="I442" s="1"/>
      <c r="J442" s="1"/>
      <c r="K442" s="17"/>
      <c r="L442" s="1"/>
      <c r="M442" s="1"/>
      <c r="N442" s="2"/>
      <c r="O442" s="2"/>
      <c r="P442" s="1"/>
      <c r="Q442" s="1"/>
      <c r="R442" s="1"/>
      <c r="S442" s="1"/>
      <c r="T442" s="17"/>
      <c r="U442" s="17"/>
      <c r="V442" s="17"/>
      <c r="W442" s="17"/>
      <c r="X442" s="22"/>
      <c r="Y442" s="22"/>
      <c r="Z442" s="22"/>
      <c r="AA442" s="22"/>
      <c r="AB442" s="22"/>
      <c r="AC442" s="22"/>
      <c r="AD442" s="22"/>
      <c r="AE442" s="22"/>
      <c r="AF442" s="22"/>
      <c r="AG442" s="22"/>
      <c r="AH442" s="22"/>
      <c r="AI442" s="22"/>
      <c r="AJ442" s="17"/>
      <c r="AK442" s="22"/>
      <c r="AL442" s="22"/>
      <c r="AM442" s="22"/>
      <c r="AN442" s="22"/>
      <c r="AO442" s="17"/>
      <c r="AP442" s="17"/>
      <c r="AQ442" s="17"/>
      <c r="AR442" s="1"/>
      <c r="AS442" s="1"/>
      <c r="AT442" s="17"/>
      <c r="AU442" s="1"/>
      <c r="AV442" s="1"/>
      <c r="AW442" s="1"/>
      <c r="AX442" s="2"/>
      <c r="AY442" s="2"/>
      <c r="AZ442" s="1"/>
    </row>
    <row x14ac:dyDescent="0.25" r="443" customHeight="1" ht="15">
      <c r="A443" s="1"/>
      <c r="B443" s="1"/>
      <c r="C443" s="1"/>
      <c r="D443" s="1"/>
      <c r="E443" s="1"/>
      <c r="F443" s="1"/>
      <c r="G443" s="1"/>
      <c r="H443" s="1"/>
      <c r="I443" s="1"/>
      <c r="J443" s="1"/>
      <c r="K443" s="17"/>
      <c r="L443" s="1"/>
      <c r="M443" s="1"/>
      <c r="N443" s="2"/>
      <c r="O443" s="2"/>
      <c r="P443" s="1"/>
      <c r="Q443" s="1"/>
      <c r="R443" s="1"/>
      <c r="S443" s="1"/>
      <c r="T443" s="17"/>
      <c r="U443" s="17"/>
      <c r="V443" s="17"/>
      <c r="W443" s="17"/>
      <c r="X443" s="22"/>
      <c r="Y443" s="22"/>
      <c r="Z443" s="22"/>
      <c r="AA443" s="22"/>
      <c r="AB443" s="22"/>
      <c r="AC443" s="22"/>
      <c r="AD443" s="22"/>
      <c r="AE443" s="22"/>
      <c r="AF443" s="22"/>
      <c r="AG443" s="22"/>
      <c r="AH443" s="22"/>
      <c r="AI443" s="22"/>
      <c r="AJ443" s="17"/>
      <c r="AK443" s="22"/>
      <c r="AL443" s="22"/>
      <c r="AM443" s="22"/>
      <c r="AN443" s="22"/>
      <c r="AO443" s="17"/>
      <c r="AP443" s="17"/>
      <c r="AQ443" s="17"/>
      <c r="AR443" s="1"/>
      <c r="AS443" s="1"/>
      <c r="AT443" s="17"/>
      <c r="AU443" s="1"/>
      <c r="AV443" s="1"/>
      <c r="AW443" s="1"/>
      <c r="AX443" s="2"/>
      <c r="AY443" s="2"/>
      <c r="AZ443" s="1"/>
    </row>
    <row x14ac:dyDescent="0.25" r="444" customHeight="1" ht="15">
      <c r="A444" s="1"/>
      <c r="B444" s="1"/>
      <c r="C444" s="1"/>
      <c r="D444" s="1"/>
      <c r="E444" s="1"/>
      <c r="F444" s="1"/>
      <c r="G444" s="1"/>
      <c r="H444" s="1"/>
      <c r="I444" s="1"/>
      <c r="J444" s="1"/>
      <c r="K444" s="17"/>
      <c r="L444" s="1"/>
      <c r="M444" s="1"/>
      <c r="N444" s="2"/>
      <c r="O444" s="2"/>
      <c r="P444" s="1"/>
      <c r="Q444" s="1"/>
      <c r="R444" s="1"/>
      <c r="S444" s="1"/>
      <c r="T444" s="17"/>
      <c r="U444" s="17"/>
      <c r="V444" s="17"/>
      <c r="W444" s="17"/>
      <c r="X444" s="22"/>
      <c r="Y444" s="22"/>
      <c r="Z444" s="22"/>
      <c r="AA444" s="22"/>
      <c r="AB444" s="22"/>
      <c r="AC444" s="22"/>
      <c r="AD444" s="22"/>
      <c r="AE444" s="22"/>
      <c r="AF444" s="22"/>
      <c r="AG444" s="22"/>
      <c r="AH444" s="22"/>
      <c r="AI444" s="22"/>
      <c r="AJ444" s="17"/>
      <c r="AK444" s="22"/>
      <c r="AL444" s="22"/>
      <c r="AM444" s="22"/>
      <c r="AN444" s="22"/>
      <c r="AO444" s="17"/>
      <c r="AP444" s="17"/>
      <c r="AQ444" s="17"/>
      <c r="AR444" s="1"/>
      <c r="AS444" s="1"/>
      <c r="AT444" s="17"/>
      <c r="AU444" s="1"/>
      <c r="AV444" s="1"/>
      <c r="AW444" s="1"/>
      <c r="AX444" s="2"/>
      <c r="AY444" s="2"/>
      <c r="AZ444" s="1"/>
    </row>
    <row x14ac:dyDescent="0.25" r="445" customHeight="1" ht="15">
      <c r="A445" s="1"/>
      <c r="B445" s="1"/>
      <c r="C445" s="1"/>
      <c r="D445" s="1"/>
      <c r="E445" s="1"/>
      <c r="F445" s="1"/>
      <c r="G445" s="1"/>
      <c r="H445" s="1"/>
      <c r="I445" s="1"/>
      <c r="J445" s="1"/>
      <c r="K445" s="17"/>
      <c r="L445" s="1"/>
      <c r="M445" s="1"/>
      <c r="N445" s="2"/>
      <c r="O445" s="2"/>
      <c r="P445" s="1"/>
      <c r="Q445" s="1"/>
      <c r="R445" s="1"/>
      <c r="S445" s="1"/>
      <c r="T445" s="17"/>
      <c r="U445" s="17"/>
      <c r="V445" s="17"/>
      <c r="W445" s="17"/>
      <c r="X445" s="22"/>
      <c r="Y445" s="22"/>
      <c r="Z445" s="22"/>
      <c r="AA445" s="22"/>
      <c r="AB445" s="22"/>
      <c r="AC445" s="22"/>
      <c r="AD445" s="22"/>
      <c r="AE445" s="22"/>
      <c r="AF445" s="22"/>
      <c r="AG445" s="22"/>
      <c r="AH445" s="22"/>
      <c r="AI445" s="22"/>
      <c r="AJ445" s="17"/>
      <c r="AK445" s="22"/>
      <c r="AL445" s="22"/>
      <c r="AM445" s="22"/>
      <c r="AN445" s="22"/>
      <c r="AO445" s="17"/>
      <c r="AP445" s="17"/>
      <c r="AQ445" s="17"/>
      <c r="AR445" s="1"/>
      <c r="AS445" s="1"/>
      <c r="AT445" s="17"/>
      <c r="AU445" s="1"/>
      <c r="AV445" s="1"/>
      <c r="AW445" s="1"/>
      <c r="AX445" s="2"/>
      <c r="AY445" s="2"/>
      <c r="AZ445" s="1"/>
    </row>
    <row x14ac:dyDescent="0.25" r="446" customHeight="1" ht="15">
      <c r="A446" s="1"/>
      <c r="B446" s="1"/>
      <c r="C446" s="1"/>
      <c r="D446" s="1"/>
      <c r="E446" s="1"/>
      <c r="F446" s="1"/>
      <c r="G446" s="1"/>
      <c r="H446" s="1"/>
      <c r="I446" s="1"/>
      <c r="J446" s="1"/>
      <c r="K446" s="17"/>
      <c r="L446" s="1"/>
      <c r="M446" s="1"/>
      <c r="N446" s="2"/>
      <c r="O446" s="2"/>
      <c r="P446" s="1"/>
      <c r="Q446" s="1"/>
      <c r="R446" s="1"/>
      <c r="S446" s="1"/>
      <c r="T446" s="17"/>
      <c r="U446" s="17"/>
      <c r="V446" s="17"/>
      <c r="W446" s="17"/>
      <c r="X446" s="22"/>
      <c r="Y446" s="22"/>
      <c r="Z446" s="22"/>
      <c r="AA446" s="22"/>
      <c r="AB446" s="22"/>
      <c r="AC446" s="22"/>
      <c r="AD446" s="22"/>
      <c r="AE446" s="22"/>
      <c r="AF446" s="22"/>
      <c r="AG446" s="22"/>
      <c r="AH446" s="22"/>
      <c r="AI446" s="22"/>
      <c r="AJ446" s="17"/>
      <c r="AK446" s="22"/>
      <c r="AL446" s="22"/>
      <c r="AM446" s="22"/>
      <c r="AN446" s="22"/>
      <c r="AO446" s="17"/>
      <c r="AP446" s="17"/>
      <c r="AQ446" s="17"/>
      <c r="AR446" s="1"/>
      <c r="AS446" s="1"/>
      <c r="AT446" s="17"/>
      <c r="AU446" s="1"/>
      <c r="AV446" s="1"/>
      <c r="AW446" s="1"/>
      <c r="AX446" s="2"/>
      <c r="AY446" s="2"/>
      <c r="AZ446" s="1"/>
    </row>
    <row x14ac:dyDescent="0.25" r="447" customHeight="1" ht="15">
      <c r="A447" s="1"/>
      <c r="B447" s="1"/>
      <c r="C447" s="1"/>
      <c r="D447" s="1"/>
      <c r="E447" s="1"/>
      <c r="F447" s="1"/>
      <c r="G447" s="1"/>
      <c r="H447" s="1"/>
      <c r="I447" s="1"/>
      <c r="J447" s="1"/>
      <c r="K447" s="17"/>
      <c r="L447" s="1"/>
      <c r="M447" s="1"/>
      <c r="N447" s="2"/>
      <c r="O447" s="2"/>
      <c r="P447" s="1"/>
      <c r="Q447" s="1"/>
      <c r="R447" s="1"/>
      <c r="S447" s="1"/>
      <c r="T447" s="17"/>
      <c r="U447" s="17"/>
      <c r="V447" s="17"/>
      <c r="W447" s="17"/>
      <c r="X447" s="22"/>
      <c r="Y447" s="22"/>
      <c r="Z447" s="22"/>
      <c r="AA447" s="22"/>
      <c r="AB447" s="22"/>
      <c r="AC447" s="22"/>
      <c r="AD447" s="22"/>
      <c r="AE447" s="22"/>
      <c r="AF447" s="22"/>
      <c r="AG447" s="22"/>
      <c r="AH447" s="22"/>
      <c r="AI447" s="22"/>
      <c r="AJ447" s="17"/>
      <c r="AK447" s="22"/>
      <c r="AL447" s="22"/>
      <c r="AM447" s="22"/>
      <c r="AN447" s="22"/>
      <c r="AO447" s="17"/>
      <c r="AP447" s="17"/>
      <c r="AQ447" s="17"/>
      <c r="AR447" s="1"/>
      <c r="AS447" s="1"/>
      <c r="AT447" s="17"/>
      <c r="AU447" s="1"/>
      <c r="AV447" s="1"/>
      <c r="AW447" s="1"/>
      <c r="AX447" s="2"/>
      <c r="AY447" s="2"/>
      <c r="AZ447" s="1"/>
    </row>
    <row x14ac:dyDescent="0.25" r="448" customHeight="1" ht="15">
      <c r="A448" s="1"/>
      <c r="B448" s="1"/>
      <c r="C448" s="1"/>
      <c r="D448" s="1"/>
      <c r="E448" s="1"/>
      <c r="F448" s="1"/>
      <c r="G448" s="1"/>
      <c r="H448" s="1"/>
      <c r="I448" s="1"/>
      <c r="J448" s="1"/>
      <c r="K448" s="17"/>
      <c r="L448" s="1"/>
      <c r="M448" s="1"/>
      <c r="N448" s="2"/>
      <c r="O448" s="2"/>
      <c r="P448" s="1"/>
      <c r="Q448" s="1"/>
      <c r="R448" s="1"/>
      <c r="S448" s="1"/>
      <c r="T448" s="17"/>
      <c r="U448" s="17"/>
      <c r="V448" s="17"/>
      <c r="W448" s="17"/>
      <c r="X448" s="22"/>
      <c r="Y448" s="22"/>
      <c r="Z448" s="22"/>
      <c r="AA448" s="22"/>
      <c r="AB448" s="22"/>
      <c r="AC448" s="22"/>
      <c r="AD448" s="22"/>
      <c r="AE448" s="22"/>
      <c r="AF448" s="22"/>
      <c r="AG448" s="22"/>
      <c r="AH448" s="22"/>
      <c r="AI448" s="22"/>
      <c r="AJ448" s="17"/>
      <c r="AK448" s="22"/>
      <c r="AL448" s="22"/>
      <c r="AM448" s="22"/>
      <c r="AN448" s="22"/>
      <c r="AO448" s="17"/>
      <c r="AP448" s="17"/>
      <c r="AQ448" s="17"/>
      <c r="AR448" s="1"/>
      <c r="AS448" s="1"/>
      <c r="AT448" s="17"/>
      <c r="AU448" s="1"/>
      <c r="AV448" s="1"/>
      <c r="AW448" s="1"/>
      <c r="AX448" s="2"/>
      <c r="AY448" s="2"/>
      <c r="AZ448" s="1"/>
    </row>
    <row x14ac:dyDescent="0.25" r="449" customHeight="1" ht="15">
      <c r="A449" s="1"/>
      <c r="B449" s="1"/>
      <c r="C449" s="1"/>
      <c r="D449" s="1"/>
      <c r="E449" s="1"/>
      <c r="F449" s="1"/>
      <c r="G449" s="1"/>
      <c r="H449" s="1"/>
      <c r="I449" s="1"/>
      <c r="J449" s="1"/>
      <c r="K449" s="17"/>
      <c r="L449" s="1"/>
      <c r="M449" s="1"/>
      <c r="N449" s="2"/>
      <c r="O449" s="2"/>
      <c r="P449" s="1"/>
      <c r="Q449" s="1"/>
      <c r="R449" s="1"/>
      <c r="S449" s="1"/>
      <c r="T449" s="17"/>
      <c r="U449" s="17"/>
      <c r="V449" s="17"/>
      <c r="W449" s="17"/>
      <c r="X449" s="22"/>
      <c r="Y449" s="22"/>
      <c r="Z449" s="22"/>
      <c r="AA449" s="22"/>
      <c r="AB449" s="22"/>
      <c r="AC449" s="22"/>
      <c r="AD449" s="22"/>
      <c r="AE449" s="22"/>
      <c r="AF449" s="22"/>
      <c r="AG449" s="22"/>
      <c r="AH449" s="22"/>
      <c r="AI449" s="22"/>
      <c r="AJ449" s="17"/>
      <c r="AK449" s="22"/>
      <c r="AL449" s="22"/>
      <c r="AM449" s="22"/>
      <c r="AN449" s="22"/>
      <c r="AO449" s="17"/>
      <c r="AP449" s="17"/>
      <c r="AQ449" s="17"/>
      <c r="AR449" s="1"/>
      <c r="AS449" s="1"/>
      <c r="AT449" s="17"/>
      <c r="AU449" s="1"/>
      <c r="AV449" s="1"/>
      <c r="AW449" s="1"/>
      <c r="AX449" s="2"/>
      <c r="AY449" s="2"/>
      <c r="AZ449" s="1"/>
    </row>
    <row x14ac:dyDescent="0.25" r="450" customHeight="1" ht="15">
      <c r="A450" s="1"/>
      <c r="B450" s="1"/>
      <c r="C450" s="1"/>
      <c r="D450" s="1"/>
      <c r="E450" s="1"/>
      <c r="F450" s="1"/>
      <c r="G450" s="1"/>
      <c r="H450" s="1"/>
      <c r="I450" s="1"/>
      <c r="J450" s="1"/>
      <c r="K450" s="17"/>
      <c r="L450" s="1"/>
      <c r="M450" s="1"/>
      <c r="N450" s="2"/>
      <c r="O450" s="2"/>
      <c r="P450" s="1"/>
      <c r="Q450" s="1"/>
      <c r="R450" s="1"/>
      <c r="S450" s="1"/>
      <c r="T450" s="17"/>
      <c r="U450" s="17"/>
      <c r="V450" s="17"/>
      <c r="W450" s="17"/>
      <c r="X450" s="22"/>
      <c r="Y450" s="22"/>
      <c r="Z450" s="22"/>
      <c r="AA450" s="22"/>
      <c r="AB450" s="22"/>
      <c r="AC450" s="22"/>
      <c r="AD450" s="22"/>
      <c r="AE450" s="22"/>
      <c r="AF450" s="22"/>
      <c r="AG450" s="22"/>
      <c r="AH450" s="22"/>
      <c r="AI450" s="22"/>
      <c r="AJ450" s="17"/>
      <c r="AK450" s="22"/>
      <c r="AL450" s="22"/>
      <c r="AM450" s="22"/>
      <c r="AN450" s="22"/>
      <c r="AO450" s="17"/>
      <c r="AP450" s="17"/>
      <c r="AQ450" s="17"/>
      <c r="AR450" s="1"/>
      <c r="AS450" s="1"/>
      <c r="AT450" s="17"/>
      <c r="AU450" s="1"/>
      <c r="AV450" s="1"/>
      <c r="AW450" s="1"/>
      <c r="AX450" s="2"/>
      <c r="AY450" s="2"/>
      <c r="AZ450" s="1"/>
    </row>
    <row x14ac:dyDescent="0.25" r="451" customHeight="1" ht="15">
      <c r="A451" s="1"/>
      <c r="B451" s="1"/>
      <c r="C451" s="1"/>
      <c r="D451" s="1"/>
      <c r="E451" s="1"/>
      <c r="F451" s="1"/>
      <c r="G451" s="1"/>
      <c r="H451" s="1"/>
      <c r="I451" s="1"/>
      <c r="J451" s="1"/>
      <c r="K451" s="17"/>
      <c r="L451" s="1"/>
      <c r="M451" s="1"/>
      <c r="N451" s="2"/>
      <c r="O451" s="2"/>
      <c r="P451" s="1"/>
      <c r="Q451" s="1"/>
      <c r="R451" s="1"/>
      <c r="S451" s="1"/>
      <c r="T451" s="17"/>
      <c r="U451" s="17"/>
      <c r="V451" s="17"/>
      <c r="W451" s="17"/>
      <c r="X451" s="22"/>
      <c r="Y451" s="22"/>
      <c r="Z451" s="22"/>
      <c r="AA451" s="22"/>
      <c r="AB451" s="22"/>
      <c r="AC451" s="22"/>
      <c r="AD451" s="22"/>
      <c r="AE451" s="22"/>
      <c r="AF451" s="22"/>
      <c r="AG451" s="22"/>
      <c r="AH451" s="22"/>
      <c r="AI451" s="22"/>
      <c r="AJ451" s="17"/>
      <c r="AK451" s="22"/>
      <c r="AL451" s="22"/>
      <c r="AM451" s="22"/>
      <c r="AN451" s="22"/>
      <c r="AO451" s="17"/>
      <c r="AP451" s="17"/>
      <c r="AQ451" s="17"/>
      <c r="AR451" s="1"/>
      <c r="AS451" s="1"/>
      <c r="AT451" s="17"/>
      <c r="AU451" s="1"/>
      <c r="AV451" s="1"/>
      <c r="AW451" s="1"/>
      <c r="AX451" s="2"/>
      <c r="AY451" s="2"/>
      <c r="AZ451" s="1"/>
    </row>
    <row x14ac:dyDescent="0.25" r="452" customHeight="1" ht="15">
      <c r="A452" s="1"/>
      <c r="B452" s="1"/>
      <c r="C452" s="1"/>
      <c r="D452" s="1"/>
      <c r="E452" s="1"/>
      <c r="F452" s="1"/>
      <c r="G452" s="1"/>
      <c r="H452" s="1"/>
      <c r="I452" s="1"/>
      <c r="J452" s="1"/>
      <c r="K452" s="17"/>
      <c r="L452" s="1"/>
      <c r="M452" s="1"/>
      <c r="N452" s="2"/>
      <c r="O452" s="2"/>
      <c r="P452" s="1"/>
      <c r="Q452" s="1"/>
      <c r="R452" s="1"/>
      <c r="S452" s="1"/>
      <c r="T452" s="17"/>
      <c r="U452" s="17"/>
      <c r="V452" s="17"/>
      <c r="W452" s="17"/>
      <c r="X452" s="22"/>
      <c r="Y452" s="22"/>
      <c r="Z452" s="22"/>
      <c r="AA452" s="22"/>
      <c r="AB452" s="22"/>
      <c r="AC452" s="22"/>
      <c r="AD452" s="22"/>
      <c r="AE452" s="22"/>
      <c r="AF452" s="22"/>
      <c r="AG452" s="22"/>
      <c r="AH452" s="22"/>
      <c r="AI452" s="22"/>
      <c r="AJ452" s="17"/>
      <c r="AK452" s="22"/>
      <c r="AL452" s="22"/>
      <c r="AM452" s="22"/>
      <c r="AN452" s="22"/>
      <c r="AO452" s="17"/>
      <c r="AP452" s="17"/>
      <c r="AQ452" s="17"/>
      <c r="AR452" s="1"/>
      <c r="AS452" s="1"/>
      <c r="AT452" s="17"/>
      <c r="AU452" s="1"/>
      <c r="AV452" s="1"/>
      <c r="AW452" s="1"/>
      <c r="AX452" s="2"/>
      <c r="AY452" s="2"/>
      <c r="AZ452" s="1"/>
    </row>
    <row x14ac:dyDescent="0.25" r="453" customHeight="1" ht="15">
      <c r="A453" s="1"/>
      <c r="B453" s="1"/>
      <c r="C453" s="1"/>
      <c r="D453" s="1"/>
      <c r="E453" s="1"/>
      <c r="F453" s="1"/>
      <c r="G453" s="1"/>
      <c r="H453" s="1"/>
      <c r="I453" s="1"/>
      <c r="J453" s="1"/>
      <c r="K453" s="17"/>
      <c r="L453" s="1"/>
      <c r="M453" s="1"/>
      <c r="N453" s="2"/>
      <c r="O453" s="2"/>
      <c r="P453" s="1"/>
      <c r="Q453" s="1"/>
      <c r="R453" s="1"/>
      <c r="S453" s="1"/>
      <c r="T453" s="17"/>
      <c r="U453" s="17"/>
      <c r="V453" s="17"/>
      <c r="W453" s="17"/>
      <c r="X453" s="22"/>
      <c r="Y453" s="22"/>
      <c r="Z453" s="22"/>
      <c r="AA453" s="22"/>
      <c r="AB453" s="22"/>
      <c r="AC453" s="22"/>
      <c r="AD453" s="22"/>
      <c r="AE453" s="22"/>
      <c r="AF453" s="22"/>
      <c r="AG453" s="22"/>
      <c r="AH453" s="22"/>
      <c r="AI453" s="22"/>
      <c r="AJ453" s="17"/>
      <c r="AK453" s="22"/>
      <c r="AL453" s="22"/>
      <c r="AM453" s="22"/>
      <c r="AN453" s="22"/>
      <c r="AO453" s="17"/>
      <c r="AP453" s="17"/>
      <c r="AQ453" s="17"/>
      <c r="AR453" s="1"/>
      <c r="AS453" s="1"/>
      <c r="AT453" s="17"/>
      <c r="AU453" s="1"/>
      <c r="AV453" s="1"/>
      <c r="AW453" s="1"/>
      <c r="AX453" s="2"/>
      <c r="AY453" s="2"/>
      <c r="AZ453" s="1"/>
    </row>
    <row x14ac:dyDescent="0.25" r="454" customHeight="1" ht="15">
      <c r="A454" s="1"/>
      <c r="B454" s="1"/>
      <c r="C454" s="1"/>
      <c r="D454" s="1"/>
      <c r="E454" s="1"/>
      <c r="F454" s="1"/>
      <c r="G454" s="1"/>
      <c r="H454" s="1"/>
      <c r="I454" s="1"/>
      <c r="J454" s="1"/>
      <c r="K454" s="17"/>
      <c r="L454" s="1"/>
      <c r="M454" s="1"/>
      <c r="N454" s="2"/>
      <c r="O454" s="2"/>
      <c r="P454" s="1"/>
      <c r="Q454" s="1"/>
      <c r="R454" s="1"/>
      <c r="S454" s="1"/>
      <c r="T454" s="17"/>
      <c r="U454" s="17"/>
      <c r="V454" s="17"/>
      <c r="W454" s="17"/>
      <c r="X454" s="22"/>
      <c r="Y454" s="22"/>
      <c r="Z454" s="22"/>
      <c r="AA454" s="22"/>
      <c r="AB454" s="22"/>
      <c r="AC454" s="22"/>
      <c r="AD454" s="22"/>
      <c r="AE454" s="22"/>
      <c r="AF454" s="22"/>
      <c r="AG454" s="22"/>
      <c r="AH454" s="22"/>
      <c r="AI454" s="22"/>
      <c r="AJ454" s="17"/>
      <c r="AK454" s="22"/>
      <c r="AL454" s="22"/>
      <c r="AM454" s="22"/>
      <c r="AN454" s="22"/>
      <c r="AO454" s="17"/>
      <c r="AP454" s="17"/>
      <c r="AQ454" s="17"/>
      <c r="AR454" s="1"/>
      <c r="AS454" s="1"/>
      <c r="AT454" s="17"/>
      <c r="AU454" s="1"/>
      <c r="AV454" s="1"/>
      <c r="AW454" s="1"/>
      <c r="AX454" s="2"/>
      <c r="AY454" s="2"/>
      <c r="AZ454" s="1"/>
    </row>
    <row x14ac:dyDescent="0.25" r="455" customHeight="1" ht="15">
      <c r="A455" s="1"/>
      <c r="B455" s="1"/>
      <c r="C455" s="1"/>
      <c r="D455" s="1"/>
      <c r="E455" s="1"/>
      <c r="F455" s="1"/>
      <c r="G455" s="1"/>
      <c r="H455" s="1"/>
      <c r="I455" s="1"/>
      <c r="J455" s="1"/>
      <c r="K455" s="17"/>
      <c r="L455" s="1"/>
      <c r="M455" s="1"/>
      <c r="N455" s="2"/>
      <c r="O455" s="2"/>
      <c r="P455" s="1"/>
      <c r="Q455" s="1"/>
      <c r="R455" s="1"/>
      <c r="S455" s="1"/>
      <c r="T455" s="17"/>
      <c r="U455" s="17"/>
      <c r="V455" s="17"/>
      <c r="W455" s="17"/>
      <c r="X455" s="22"/>
      <c r="Y455" s="22"/>
      <c r="Z455" s="22"/>
      <c r="AA455" s="22"/>
      <c r="AB455" s="22"/>
      <c r="AC455" s="22"/>
      <c r="AD455" s="22"/>
      <c r="AE455" s="22"/>
      <c r="AF455" s="22"/>
      <c r="AG455" s="22"/>
      <c r="AH455" s="22"/>
      <c r="AI455" s="22"/>
      <c r="AJ455" s="17"/>
      <c r="AK455" s="22"/>
      <c r="AL455" s="22"/>
      <c r="AM455" s="22"/>
      <c r="AN455" s="22"/>
      <c r="AO455" s="17"/>
      <c r="AP455" s="17"/>
      <c r="AQ455" s="17"/>
      <c r="AR455" s="1"/>
      <c r="AS455" s="1"/>
      <c r="AT455" s="17"/>
      <c r="AU455" s="1"/>
      <c r="AV455" s="1"/>
      <c r="AW455" s="1"/>
      <c r="AX455" s="2"/>
      <c r="AY455" s="2"/>
      <c r="AZ455" s="1"/>
    </row>
    <row x14ac:dyDescent="0.25" r="456" customHeight="1" ht="15">
      <c r="A456" s="1"/>
      <c r="B456" s="1"/>
      <c r="C456" s="1"/>
      <c r="D456" s="1"/>
      <c r="E456" s="1"/>
      <c r="F456" s="1"/>
      <c r="G456" s="1"/>
      <c r="H456" s="1"/>
      <c r="I456" s="1"/>
      <c r="J456" s="1"/>
      <c r="K456" s="17"/>
      <c r="L456" s="1"/>
      <c r="M456" s="1"/>
      <c r="N456" s="2"/>
      <c r="O456" s="2"/>
      <c r="P456" s="1"/>
      <c r="Q456" s="1"/>
      <c r="R456" s="1"/>
      <c r="S456" s="1"/>
      <c r="T456" s="17"/>
      <c r="U456" s="17"/>
      <c r="V456" s="17"/>
      <c r="W456" s="17"/>
      <c r="X456" s="22"/>
      <c r="Y456" s="22"/>
      <c r="Z456" s="22"/>
      <c r="AA456" s="22"/>
      <c r="AB456" s="22"/>
      <c r="AC456" s="22"/>
      <c r="AD456" s="22"/>
      <c r="AE456" s="22"/>
      <c r="AF456" s="22"/>
      <c r="AG456" s="22"/>
      <c r="AH456" s="22"/>
      <c r="AI456" s="22"/>
      <c r="AJ456" s="17"/>
      <c r="AK456" s="22"/>
      <c r="AL456" s="22"/>
      <c r="AM456" s="22"/>
      <c r="AN456" s="22"/>
      <c r="AO456" s="17"/>
      <c r="AP456" s="17"/>
      <c r="AQ456" s="17"/>
      <c r="AR456" s="1"/>
      <c r="AS456" s="1"/>
      <c r="AT456" s="17"/>
      <c r="AU456" s="1"/>
      <c r="AV456" s="1"/>
      <c r="AW456" s="1"/>
      <c r="AX456" s="2"/>
      <c r="AY456" s="2"/>
      <c r="AZ456" s="1"/>
    </row>
    <row x14ac:dyDescent="0.25" r="457" customHeight="1" ht="15">
      <c r="A457" s="1"/>
      <c r="B457" s="1"/>
      <c r="C457" s="1"/>
      <c r="D457" s="1"/>
      <c r="E457" s="1"/>
      <c r="F457" s="1"/>
      <c r="G457" s="1"/>
      <c r="H457" s="1"/>
      <c r="I457" s="1"/>
      <c r="J457" s="1"/>
      <c r="K457" s="17"/>
      <c r="L457" s="1"/>
      <c r="M457" s="1"/>
      <c r="N457" s="2"/>
      <c r="O457" s="2"/>
      <c r="P457" s="1"/>
      <c r="Q457" s="1"/>
      <c r="R457" s="1"/>
      <c r="S457" s="1"/>
      <c r="T457" s="17"/>
      <c r="U457" s="17"/>
      <c r="V457" s="17"/>
      <c r="W457" s="17"/>
      <c r="X457" s="22"/>
      <c r="Y457" s="22"/>
      <c r="Z457" s="22"/>
      <c r="AA457" s="22"/>
      <c r="AB457" s="22"/>
      <c r="AC457" s="22"/>
      <c r="AD457" s="22"/>
      <c r="AE457" s="22"/>
      <c r="AF457" s="22"/>
      <c r="AG457" s="22"/>
      <c r="AH457" s="22"/>
      <c r="AI457" s="22"/>
      <c r="AJ457" s="17"/>
      <c r="AK457" s="22"/>
      <c r="AL457" s="22"/>
      <c r="AM457" s="22"/>
      <c r="AN457" s="22"/>
      <c r="AO457" s="17"/>
      <c r="AP457" s="17"/>
      <c r="AQ457" s="17"/>
      <c r="AR457" s="1"/>
      <c r="AS457" s="1"/>
      <c r="AT457" s="17"/>
      <c r="AU457" s="1"/>
      <c r="AV457" s="1"/>
      <c r="AW457" s="1"/>
      <c r="AX457" s="2"/>
      <c r="AY457" s="2"/>
      <c r="AZ457" s="1"/>
    </row>
    <row x14ac:dyDescent="0.25" r="458" customHeight="1" ht="15">
      <c r="A458" s="1"/>
      <c r="B458" s="1"/>
      <c r="C458" s="1"/>
      <c r="D458" s="1"/>
      <c r="E458" s="1"/>
      <c r="F458" s="1"/>
      <c r="G458" s="1"/>
      <c r="H458" s="1"/>
      <c r="I458" s="1"/>
      <c r="J458" s="1"/>
      <c r="K458" s="17"/>
      <c r="L458" s="1"/>
      <c r="M458" s="1"/>
      <c r="N458" s="2"/>
      <c r="O458" s="2"/>
      <c r="P458" s="1"/>
      <c r="Q458" s="1"/>
      <c r="R458" s="1"/>
      <c r="S458" s="1"/>
      <c r="T458" s="17"/>
      <c r="U458" s="17"/>
      <c r="V458" s="17"/>
      <c r="W458" s="17"/>
      <c r="X458" s="22"/>
      <c r="Y458" s="22"/>
      <c r="Z458" s="22"/>
      <c r="AA458" s="22"/>
      <c r="AB458" s="22"/>
      <c r="AC458" s="22"/>
      <c r="AD458" s="22"/>
      <c r="AE458" s="22"/>
      <c r="AF458" s="22"/>
      <c r="AG458" s="22"/>
      <c r="AH458" s="22"/>
      <c r="AI458" s="22"/>
      <c r="AJ458" s="17"/>
      <c r="AK458" s="22"/>
      <c r="AL458" s="22"/>
      <c r="AM458" s="22"/>
      <c r="AN458" s="22"/>
      <c r="AO458" s="17"/>
      <c r="AP458" s="17"/>
      <c r="AQ458" s="17"/>
      <c r="AR458" s="1"/>
      <c r="AS458" s="1"/>
      <c r="AT458" s="17"/>
      <c r="AU458" s="1"/>
      <c r="AV458" s="1"/>
      <c r="AW458" s="1"/>
      <c r="AX458" s="2"/>
      <c r="AY458" s="2"/>
      <c r="AZ458" s="1"/>
    </row>
    <row x14ac:dyDescent="0.25" r="459" customHeight="1" ht="15">
      <c r="A459" s="1"/>
      <c r="B459" s="1"/>
      <c r="C459" s="1"/>
      <c r="D459" s="1"/>
      <c r="E459" s="1"/>
      <c r="F459" s="1"/>
      <c r="G459" s="1"/>
      <c r="H459" s="1"/>
      <c r="I459" s="1"/>
      <c r="J459" s="1"/>
      <c r="K459" s="17"/>
      <c r="L459" s="1"/>
      <c r="M459" s="1"/>
      <c r="N459" s="2"/>
      <c r="O459" s="2"/>
      <c r="P459" s="1"/>
      <c r="Q459" s="1"/>
      <c r="R459" s="1"/>
      <c r="S459" s="1"/>
      <c r="T459" s="17"/>
      <c r="U459" s="17"/>
      <c r="V459" s="17"/>
      <c r="W459" s="17"/>
      <c r="X459" s="22"/>
      <c r="Y459" s="22"/>
      <c r="Z459" s="22"/>
      <c r="AA459" s="22"/>
      <c r="AB459" s="22"/>
      <c r="AC459" s="22"/>
      <c r="AD459" s="22"/>
      <c r="AE459" s="22"/>
      <c r="AF459" s="22"/>
      <c r="AG459" s="22"/>
      <c r="AH459" s="22"/>
      <c r="AI459" s="22"/>
      <c r="AJ459" s="17"/>
      <c r="AK459" s="22"/>
      <c r="AL459" s="22"/>
      <c r="AM459" s="22"/>
      <c r="AN459" s="22"/>
      <c r="AO459" s="17"/>
      <c r="AP459" s="17"/>
      <c r="AQ459" s="17"/>
      <c r="AR459" s="1"/>
      <c r="AS459" s="1"/>
      <c r="AT459" s="17"/>
      <c r="AU459" s="1"/>
      <c r="AV459" s="1"/>
      <c r="AW459" s="1"/>
      <c r="AX459" s="2"/>
      <c r="AY459" s="2"/>
      <c r="AZ459" s="1"/>
    </row>
    <row x14ac:dyDescent="0.25" r="460" customHeight="1" ht="15">
      <c r="A460" s="1"/>
      <c r="B460" s="1"/>
      <c r="C460" s="1"/>
      <c r="D460" s="1"/>
      <c r="E460" s="1"/>
      <c r="F460" s="1"/>
      <c r="G460" s="1"/>
      <c r="H460" s="1"/>
      <c r="I460" s="1"/>
      <c r="J460" s="1"/>
      <c r="K460" s="17"/>
      <c r="L460" s="1"/>
      <c r="M460" s="1"/>
      <c r="N460" s="2"/>
      <c r="O460" s="2"/>
      <c r="P460" s="1"/>
      <c r="Q460" s="1"/>
      <c r="R460" s="1"/>
      <c r="S460" s="1"/>
      <c r="T460" s="17"/>
      <c r="U460" s="17"/>
      <c r="V460" s="17"/>
      <c r="W460" s="17"/>
      <c r="X460" s="22"/>
      <c r="Y460" s="22"/>
      <c r="Z460" s="22"/>
      <c r="AA460" s="22"/>
      <c r="AB460" s="22"/>
      <c r="AC460" s="22"/>
      <c r="AD460" s="22"/>
      <c r="AE460" s="22"/>
      <c r="AF460" s="22"/>
      <c r="AG460" s="22"/>
      <c r="AH460" s="22"/>
      <c r="AI460" s="22"/>
      <c r="AJ460" s="17"/>
      <c r="AK460" s="22"/>
      <c r="AL460" s="22"/>
      <c r="AM460" s="22"/>
      <c r="AN460" s="22"/>
      <c r="AO460" s="17"/>
      <c r="AP460" s="17"/>
      <c r="AQ460" s="17"/>
      <c r="AR460" s="1"/>
      <c r="AS460" s="1"/>
      <c r="AT460" s="17"/>
      <c r="AU460" s="1"/>
      <c r="AV460" s="1"/>
      <c r="AW460" s="1"/>
      <c r="AX460" s="2"/>
      <c r="AY460" s="2"/>
      <c r="AZ460" s="1"/>
    </row>
    <row x14ac:dyDescent="0.25" r="461" customHeight="1" ht="15">
      <c r="A461" s="1"/>
      <c r="B461" s="1"/>
      <c r="C461" s="1"/>
      <c r="D461" s="1"/>
      <c r="E461" s="1"/>
      <c r="F461" s="1"/>
      <c r="G461" s="1"/>
      <c r="H461" s="1"/>
      <c r="I461" s="1"/>
      <c r="J461" s="1"/>
      <c r="K461" s="17"/>
      <c r="L461" s="1"/>
      <c r="M461" s="1"/>
      <c r="N461" s="2"/>
      <c r="O461" s="2"/>
      <c r="P461" s="1"/>
      <c r="Q461" s="1"/>
      <c r="R461" s="1"/>
      <c r="S461" s="1"/>
      <c r="T461" s="17"/>
      <c r="U461" s="17"/>
      <c r="V461" s="17"/>
      <c r="W461" s="17"/>
      <c r="X461" s="22"/>
      <c r="Y461" s="22"/>
      <c r="Z461" s="22"/>
      <c r="AA461" s="22"/>
      <c r="AB461" s="22"/>
      <c r="AC461" s="22"/>
      <c r="AD461" s="22"/>
      <c r="AE461" s="22"/>
      <c r="AF461" s="22"/>
      <c r="AG461" s="22"/>
      <c r="AH461" s="22"/>
      <c r="AI461" s="22"/>
      <c r="AJ461" s="17"/>
      <c r="AK461" s="22"/>
      <c r="AL461" s="22"/>
      <c r="AM461" s="22"/>
      <c r="AN461" s="22"/>
      <c r="AO461" s="17"/>
      <c r="AP461" s="17"/>
      <c r="AQ461" s="17"/>
      <c r="AR461" s="1"/>
      <c r="AS461" s="1"/>
      <c r="AT461" s="17"/>
      <c r="AU461" s="1"/>
      <c r="AV461" s="1"/>
      <c r="AW461" s="1"/>
      <c r="AX461" s="2"/>
      <c r="AY461" s="2"/>
      <c r="AZ461" s="1"/>
    </row>
    <row x14ac:dyDescent="0.25" r="462" customHeight="1" ht="15">
      <c r="A462" s="1"/>
      <c r="B462" s="1"/>
      <c r="C462" s="1"/>
      <c r="D462" s="1"/>
      <c r="E462" s="1"/>
      <c r="F462" s="1"/>
      <c r="G462" s="1"/>
      <c r="H462" s="1"/>
      <c r="I462" s="1"/>
      <c r="J462" s="1"/>
      <c r="K462" s="17"/>
      <c r="L462" s="1"/>
      <c r="M462" s="1"/>
      <c r="N462" s="2"/>
      <c r="O462" s="2"/>
      <c r="P462" s="1"/>
      <c r="Q462" s="1"/>
      <c r="R462" s="1"/>
      <c r="S462" s="1"/>
      <c r="T462" s="17"/>
      <c r="U462" s="17"/>
      <c r="V462" s="17"/>
      <c r="W462" s="17"/>
      <c r="X462" s="22"/>
      <c r="Y462" s="22"/>
      <c r="Z462" s="22"/>
      <c r="AA462" s="22"/>
      <c r="AB462" s="22"/>
      <c r="AC462" s="22"/>
      <c r="AD462" s="22"/>
      <c r="AE462" s="22"/>
      <c r="AF462" s="22"/>
      <c r="AG462" s="22"/>
      <c r="AH462" s="22"/>
      <c r="AI462" s="22"/>
      <c r="AJ462" s="17"/>
      <c r="AK462" s="22"/>
      <c r="AL462" s="22"/>
      <c r="AM462" s="22"/>
      <c r="AN462" s="22"/>
      <c r="AO462" s="17"/>
      <c r="AP462" s="17"/>
      <c r="AQ462" s="17"/>
      <c r="AR462" s="1"/>
      <c r="AS462" s="1"/>
      <c r="AT462" s="17"/>
      <c r="AU462" s="1"/>
      <c r="AV462" s="1"/>
      <c r="AW462" s="1"/>
      <c r="AX462" s="2"/>
      <c r="AY462" s="2"/>
      <c r="AZ462" s="1"/>
    </row>
    <row x14ac:dyDescent="0.25" r="463" customHeight="1" ht="15">
      <c r="A463" s="1"/>
      <c r="B463" s="1"/>
      <c r="C463" s="1"/>
      <c r="D463" s="1"/>
      <c r="E463" s="1"/>
      <c r="F463" s="1"/>
      <c r="G463" s="1"/>
      <c r="H463" s="1"/>
      <c r="I463" s="1"/>
      <c r="J463" s="1"/>
      <c r="K463" s="17"/>
      <c r="L463" s="1"/>
      <c r="M463" s="1"/>
      <c r="N463" s="2"/>
      <c r="O463" s="2"/>
      <c r="P463" s="1"/>
      <c r="Q463" s="1"/>
      <c r="R463" s="1"/>
      <c r="S463" s="1"/>
      <c r="T463" s="17"/>
      <c r="U463" s="17"/>
      <c r="V463" s="17"/>
      <c r="W463" s="17"/>
      <c r="X463" s="22"/>
      <c r="Y463" s="22"/>
      <c r="Z463" s="22"/>
      <c r="AA463" s="22"/>
      <c r="AB463" s="22"/>
      <c r="AC463" s="22"/>
      <c r="AD463" s="22"/>
      <c r="AE463" s="22"/>
      <c r="AF463" s="22"/>
      <c r="AG463" s="22"/>
      <c r="AH463" s="22"/>
      <c r="AI463" s="22"/>
      <c r="AJ463" s="17"/>
      <c r="AK463" s="22"/>
      <c r="AL463" s="22"/>
      <c r="AM463" s="22"/>
      <c r="AN463" s="22"/>
      <c r="AO463" s="17"/>
      <c r="AP463" s="17"/>
      <c r="AQ463" s="17"/>
      <c r="AR463" s="1"/>
      <c r="AS463" s="1"/>
      <c r="AT463" s="17"/>
      <c r="AU463" s="1"/>
      <c r="AV463" s="1"/>
      <c r="AW463" s="1"/>
      <c r="AX463" s="2"/>
      <c r="AY463" s="2"/>
      <c r="AZ463" s="1"/>
    </row>
    <row x14ac:dyDescent="0.25" r="464" customHeight="1" ht="15">
      <c r="A464" s="1"/>
      <c r="B464" s="1"/>
      <c r="C464" s="1"/>
      <c r="D464" s="1"/>
      <c r="E464" s="1"/>
      <c r="F464" s="1"/>
      <c r="G464" s="1"/>
      <c r="H464" s="1"/>
      <c r="I464" s="1"/>
      <c r="J464" s="1"/>
      <c r="K464" s="17"/>
      <c r="L464" s="1"/>
      <c r="M464" s="1"/>
      <c r="N464" s="2"/>
      <c r="O464" s="2"/>
      <c r="P464" s="1"/>
      <c r="Q464" s="1"/>
      <c r="R464" s="1"/>
      <c r="S464" s="1"/>
      <c r="T464" s="17"/>
      <c r="U464" s="17"/>
      <c r="V464" s="17"/>
      <c r="W464" s="17"/>
      <c r="X464" s="22"/>
      <c r="Y464" s="22"/>
      <c r="Z464" s="22"/>
      <c r="AA464" s="22"/>
      <c r="AB464" s="22"/>
      <c r="AC464" s="22"/>
      <c r="AD464" s="22"/>
      <c r="AE464" s="22"/>
      <c r="AF464" s="22"/>
      <c r="AG464" s="22"/>
      <c r="AH464" s="22"/>
      <c r="AI464" s="22"/>
      <c r="AJ464" s="17"/>
      <c r="AK464" s="22"/>
      <c r="AL464" s="22"/>
      <c r="AM464" s="22"/>
      <c r="AN464" s="22"/>
      <c r="AO464" s="17"/>
      <c r="AP464" s="17"/>
      <c r="AQ464" s="17"/>
      <c r="AR464" s="1"/>
      <c r="AS464" s="1"/>
      <c r="AT464" s="17"/>
      <c r="AU464" s="1"/>
      <c r="AV464" s="1"/>
      <c r="AW464" s="1"/>
      <c r="AX464" s="2"/>
      <c r="AY464" s="2"/>
      <c r="AZ464" s="1"/>
    </row>
    <row x14ac:dyDescent="0.25" r="465" customHeight="1" ht="15">
      <c r="A465" s="1"/>
      <c r="B465" s="1"/>
      <c r="C465" s="1"/>
      <c r="D465" s="1"/>
      <c r="E465" s="1"/>
      <c r="F465" s="1"/>
      <c r="G465" s="1"/>
      <c r="H465" s="1"/>
      <c r="I465" s="1"/>
      <c r="J465" s="1"/>
      <c r="K465" s="17"/>
      <c r="L465" s="1"/>
      <c r="M465" s="1"/>
      <c r="N465" s="2"/>
      <c r="O465" s="2"/>
      <c r="P465" s="1"/>
      <c r="Q465" s="1"/>
      <c r="R465" s="1"/>
      <c r="S465" s="1"/>
      <c r="T465" s="17"/>
      <c r="U465" s="17"/>
      <c r="V465" s="17"/>
      <c r="W465" s="17"/>
      <c r="X465" s="22"/>
      <c r="Y465" s="22"/>
      <c r="Z465" s="22"/>
      <c r="AA465" s="22"/>
      <c r="AB465" s="22"/>
      <c r="AC465" s="22"/>
      <c r="AD465" s="22"/>
      <c r="AE465" s="22"/>
      <c r="AF465" s="22"/>
      <c r="AG465" s="22"/>
      <c r="AH465" s="22"/>
      <c r="AI465" s="22"/>
      <c r="AJ465" s="17"/>
      <c r="AK465" s="22"/>
      <c r="AL465" s="22"/>
      <c r="AM465" s="22"/>
      <c r="AN465" s="22"/>
      <c r="AO465" s="17"/>
      <c r="AP465" s="17"/>
      <c r="AQ465" s="17"/>
      <c r="AR465" s="1"/>
      <c r="AS465" s="1"/>
      <c r="AT465" s="17"/>
      <c r="AU465" s="1"/>
      <c r="AV465" s="1"/>
      <c r="AW465" s="1"/>
      <c r="AX465" s="2"/>
      <c r="AY465" s="2"/>
      <c r="AZ465" s="1"/>
    </row>
    <row x14ac:dyDescent="0.25" r="466" customHeight="1" ht="15">
      <c r="A466" s="1"/>
      <c r="B466" s="1"/>
      <c r="C466" s="1"/>
      <c r="D466" s="1"/>
      <c r="E466" s="1"/>
      <c r="F466" s="1"/>
      <c r="G466" s="1"/>
      <c r="H466" s="1"/>
      <c r="I466" s="1"/>
      <c r="J466" s="1"/>
      <c r="K466" s="17"/>
      <c r="L466" s="1"/>
      <c r="M466" s="1"/>
      <c r="N466" s="2"/>
      <c r="O466" s="2"/>
      <c r="P466" s="1"/>
      <c r="Q466" s="1"/>
      <c r="R466" s="1"/>
      <c r="S466" s="1"/>
      <c r="T466" s="17"/>
      <c r="U466" s="17"/>
      <c r="V466" s="17"/>
      <c r="W466" s="17"/>
      <c r="X466" s="22"/>
      <c r="Y466" s="22"/>
      <c r="Z466" s="22"/>
      <c r="AA466" s="22"/>
      <c r="AB466" s="22"/>
      <c r="AC466" s="22"/>
      <c r="AD466" s="22"/>
      <c r="AE466" s="22"/>
      <c r="AF466" s="22"/>
      <c r="AG466" s="22"/>
      <c r="AH466" s="22"/>
      <c r="AI466" s="22"/>
      <c r="AJ466" s="17"/>
      <c r="AK466" s="22"/>
      <c r="AL466" s="22"/>
      <c r="AM466" s="22"/>
      <c r="AN466" s="22"/>
      <c r="AO466" s="17"/>
      <c r="AP466" s="17"/>
      <c r="AQ466" s="17"/>
      <c r="AR466" s="1"/>
      <c r="AS466" s="1"/>
      <c r="AT466" s="17"/>
      <c r="AU466" s="1"/>
      <c r="AV466" s="1"/>
      <c r="AW466" s="1"/>
      <c r="AX466" s="2"/>
      <c r="AY466" s="2"/>
      <c r="AZ466" s="1"/>
    </row>
    <row x14ac:dyDescent="0.25" r="467" customHeight="1" ht="15">
      <c r="A467" s="1"/>
      <c r="B467" s="1"/>
      <c r="C467" s="1"/>
      <c r="D467" s="1"/>
      <c r="E467" s="1"/>
      <c r="F467" s="1"/>
      <c r="G467" s="1"/>
      <c r="H467" s="1"/>
      <c r="I467" s="1"/>
      <c r="J467" s="1"/>
      <c r="K467" s="17"/>
      <c r="L467" s="1"/>
      <c r="M467" s="1"/>
      <c r="N467" s="2"/>
      <c r="O467" s="2"/>
      <c r="P467" s="1"/>
      <c r="Q467" s="1"/>
      <c r="R467" s="1"/>
      <c r="S467" s="1"/>
      <c r="T467" s="17"/>
      <c r="U467" s="17"/>
      <c r="V467" s="17"/>
      <c r="W467" s="17"/>
      <c r="X467" s="22"/>
      <c r="Y467" s="22"/>
      <c r="Z467" s="22"/>
      <c r="AA467" s="22"/>
      <c r="AB467" s="22"/>
      <c r="AC467" s="22"/>
      <c r="AD467" s="22"/>
      <c r="AE467" s="22"/>
      <c r="AF467" s="22"/>
      <c r="AG467" s="22"/>
      <c r="AH467" s="22"/>
      <c r="AI467" s="22"/>
      <c r="AJ467" s="17"/>
      <c r="AK467" s="22"/>
      <c r="AL467" s="22"/>
      <c r="AM467" s="22"/>
      <c r="AN467" s="22"/>
      <c r="AO467" s="17"/>
      <c r="AP467" s="17"/>
      <c r="AQ467" s="17"/>
      <c r="AR467" s="1"/>
      <c r="AS467" s="1"/>
      <c r="AT467" s="17"/>
      <c r="AU467" s="1"/>
      <c r="AV467" s="1"/>
      <c r="AW467" s="1"/>
      <c r="AX467" s="2"/>
      <c r="AY467" s="2"/>
      <c r="AZ467" s="1"/>
    </row>
    <row x14ac:dyDescent="0.25" r="468" customHeight="1" ht="15">
      <c r="A468" s="1"/>
      <c r="B468" s="1"/>
      <c r="C468" s="1"/>
      <c r="D468" s="1"/>
      <c r="E468" s="1"/>
      <c r="F468" s="1"/>
      <c r="G468" s="1"/>
      <c r="H468" s="1"/>
      <c r="I468" s="1"/>
      <c r="J468" s="1"/>
      <c r="K468" s="17"/>
      <c r="L468" s="1"/>
      <c r="M468" s="1"/>
      <c r="N468" s="2"/>
      <c r="O468" s="2"/>
      <c r="P468" s="1"/>
      <c r="Q468" s="1"/>
      <c r="R468" s="1"/>
      <c r="S468" s="1"/>
      <c r="T468" s="17"/>
      <c r="U468" s="17"/>
      <c r="V468" s="17"/>
      <c r="W468" s="17"/>
      <c r="X468" s="22"/>
      <c r="Y468" s="22"/>
      <c r="Z468" s="22"/>
      <c r="AA468" s="22"/>
      <c r="AB468" s="22"/>
      <c r="AC468" s="22"/>
      <c r="AD468" s="22"/>
      <c r="AE468" s="22"/>
      <c r="AF468" s="22"/>
      <c r="AG468" s="22"/>
      <c r="AH468" s="22"/>
      <c r="AI468" s="22"/>
      <c r="AJ468" s="17"/>
      <c r="AK468" s="22"/>
      <c r="AL468" s="22"/>
      <c r="AM468" s="22"/>
      <c r="AN468" s="22"/>
      <c r="AO468" s="17"/>
      <c r="AP468" s="17"/>
      <c r="AQ468" s="17"/>
      <c r="AR468" s="1"/>
      <c r="AS468" s="1"/>
      <c r="AT468" s="17"/>
      <c r="AU468" s="1"/>
      <c r="AV468" s="1"/>
      <c r="AW468" s="1"/>
      <c r="AX468" s="2"/>
      <c r="AY468" s="2"/>
      <c r="AZ468" s="1"/>
    </row>
    <row x14ac:dyDescent="0.25" r="469" customHeight="1" ht="15">
      <c r="A469" s="1"/>
      <c r="B469" s="1"/>
      <c r="C469" s="1"/>
      <c r="D469" s="1"/>
      <c r="E469" s="1"/>
      <c r="F469" s="1"/>
      <c r="G469" s="1"/>
      <c r="H469" s="1"/>
      <c r="I469" s="1"/>
      <c r="J469" s="1"/>
      <c r="K469" s="17"/>
      <c r="L469" s="1"/>
      <c r="M469" s="1"/>
      <c r="N469" s="2"/>
      <c r="O469" s="2"/>
      <c r="P469" s="1"/>
      <c r="Q469" s="1"/>
      <c r="R469" s="1"/>
      <c r="S469" s="1"/>
      <c r="T469" s="17"/>
      <c r="U469" s="17"/>
      <c r="V469" s="17"/>
      <c r="W469" s="17"/>
      <c r="X469" s="22"/>
      <c r="Y469" s="22"/>
      <c r="Z469" s="22"/>
      <c r="AA469" s="22"/>
      <c r="AB469" s="22"/>
      <c r="AC469" s="22"/>
      <c r="AD469" s="22"/>
      <c r="AE469" s="22"/>
      <c r="AF469" s="22"/>
      <c r="AG469" s="22"/>
      <c r="AH469" s="22"/>
      <c r="AI469" s="22"/>
      <c r="AJ469" s="17"/>
      <c r="AK469" s="22"/>
      <c r="AL469" s="22"/>
      <c r="AM469" s="22"/>
      <c r="AN469" s="22"/>
      <c r="AO469" s="17"/>
      <c r="AP469" s="17"/>
      <c r="AQ469" s="17"/>
      <c r="AR469" s="1"/>
      <c r="AS469" s="1"/>
      <c r="AT469" s="17"/>
      <c r="AU469" s="1"/>
      <c r="AV469" s="1"/>
      <c r="AW469" s="1"/>
      <c r="AX469" s="2"/>
      <c r="AY469" s="2"/>
      <c r="AZ469" s="1"/>
    </row>
    <row x14ac:dyDescent="0.25" r="470" customHeight="1" ht="15">
      <c r="A470" s="1"/>
      <c r="B470" s="1"/>
      <c r="C470" s="1"/>
      <c r="D470" s="1"/>
      <c r="E470" s="1"/>
      <c r="F470" s="1"/>
      <c r="G470" s="1"/>
      <c r="H470" s="1"/>
      <c r="I470" s="1"/>
      <c r="J470" s="1"/>
      <c r="K470" s="17"/>
      <c r="L470" s="1"/>
      <c r="M470" s="1"/>
      <c r="N470" s="2"/>
      <c r="O470" s="2"/>
      <c r="P470" s="1"/>
      <c r="Q470" s="1"/>
      <c r="R470" s="1"/>
      <c r="S470" s="1"/>
      <c r="T470" s="17"/>
      <c r="U470" s="17"/>
      <c r="V470" s="17"/>
      <c r="W470" s="17"/>
      <c r="X470" s="22"/>
      <c r="Y470" s="22"/>
      <c r="Z470" s="22"/>
      <c r="AA470" s="22"/>
      <c r="AB470" s="22"/>
      <c r="AC470" s="22"/>
      <c r="AD470" s="22"/>
      <c r="AE470" s="22"/>
      <c r="AF470" s="22"/>
      <c r="AG470" s="22"/>
      <c r="AH470" s="22"/>
      <c r="AI470" s="22"/>
      <c r="AJ470" s="17"/>
      <c r="AK470" s="22"/>
      <c r="AL470" s="22"/>
      <c r="AM470" s="22"/>
      <c r="AN470" s="22"/>
      <c r="AO470" s="17"/>
      <c r="AP470" s="17"/>
      <c r="AQ470" s="17"/>
      <c r="AR470" s="1"/>
      <c r="AS470" s="1"/>
      <c r="AT470" s="17"/>
      <c r="AU470" s="1"/>
      <c r="AV470" s="1"/>
      <c r="AW470" s="1"/>
      <c r="AX470" s="2"/>
      <c r="AY470" s="2"/>
      <c r="AZ470" s="1"/>
    </row>
    <row x14ac:dyDescent="0.25" r="471" customHeight="1" ht="15">
      <c r="A471" s="1"/>
      <c r="B471" s="1"/>
      <c r="C471" s="1"/>
      <c r="D471" s="1"/>
      <c r="E471" s="1"/>
      <c r="F471" s="1"/>
      <c r="G471" s="1"/>
      <c r="H471" s="1"/>
      <c r="I471" s="1"/>
      <c r="J471" s="1"/>
      <c r="K471" s="17"/>
      <c r="L471" s="1"/>
      <c r="M471" s="1"/>
      <c r="N471" s="2"/>
      <c r="O471" s="2"/>
      <c r="P471" s="1"/>
      <c r="Q471" s="1"/>
      <c r="R471" s="1"/>
      <c r="S471" s="1"/>
      <c r="T471" s="17"/>
      <c r="U471" s="17"/>
      <c r="V471" s="17"/>
      <c r="W471" s="17"/>
      <c r="X471" s="22"/>
      <c r="Y471" s="22"/>
      <c r="Z471" s="22"/>
      <c r="AA471" s="22"/>
      <c r="AB471" s="22"/>
      <c r="AC471" s="22"/>
      <c r="AD471" s="22"/>
      <c r="AE471" s="22"/>
      <c r="AF471" s="22"/>
      <c r="AG471" s="22"/>
      <c r="AH471" s="22"/>
      <c r="AI471" s="22"/>
      <c r="AJ471" s="17"/>
      <c r="AK471" s="22"/>
      <c r="AL471" s="22"/>
      <c r="AM471" s="22"/>
      <c r="AN471" s="22"/>
      <c r="AO471" s="17"/>
      <c r="AP471" s="17"/>
      <c r="AQ471" s="17"/>
      <c r="AR471" s="1"/>
      <c r="AS471" s="1"/>
      <c r="AT471" s="17"/>
      <c r="AU471" s="1"/>
      <c r="AV471" s="1"/>
      <c r="AW471" s="1"/>
      <c r="AX471" s="2"/>
      <c r="AY471" s="2"/>
      <c r="AZ471" s="1"/>
    </row>
    <row x14ac:dyDescent="0.25" r="472" customHeight="1" ht="15">
      <c r="A472" s="1"/>
      <c r="B472" s="1"/>
      <c r="C472" s="1"/>
      <c r="D472" s="1"/>
      <c r="E472" s="1"/>
      <c r="F472" s="1"/>
      <c r="G472" s="1"/>
      <c r="H472" s="1"/>
      <c r="I472" s="1"/>
      <c r="J472" s="1"/>
      <c r="K472" s="17"/>
      <c r="L472" s="1"/>
      <c r="M472" s="1"/>
      <c r="N472" s="2"/>
      <c r="O472" s="2"/>
      <c r="P472" s="1"/>
      <c r="Q472" s="1"/>
      <c r="R472" s="1"/>
      <c r="S472" s="1"/>
      <c r="T472" s="17"/>
      <c r="U472" s="17"/>
      <c r="V472" s="17"/>
      <c r="W472" s="17"/>
      <c r="X472" s="22"/>
      <c r="Y472" s="22"/>
      <c r="Z472" s="22"/>
      <c r="AA472" s="22"/>
      <c r="AB472" s="22"/>
      <c r="AC472" s="22"/>
      <c r="AD472" s="22"/>
      <c r="AE472" s="22"/>
      <c r="AF472" s="22"/>
      <c r="AG472" s="22"/>
      <c r="AH472" s="22"/>
      <c r="AI472" s="22"/>
      <c r="AJ472" s="17"/>
      <c r="AK472" s="22"/>
      <c r="AL472" s="22"/>
      <c r="AM472" s="22"/>
      <c r="AN472" s="22"/>
      <c r="AO472" s="17"/>
      <c r="AP472" s="17"/>
      <c r="AQ472" s="17"/>
      <c r="AR472" s="1"/>
      <c r="AS472" s="1"/>
      <c r="AT472" s="17"/>
      <c r="AU472" s="1"/>
      <c r="AV472" s="1"/>
      <c r="AW472" s="1"/>
      <c r="AX472" s="2"/>
      <c r="AY472" s="2"/>
      <c r="AZ472" s="1"/>
    </row>
    <row x14ac:dyDescent="0.25" r="473" customHeight="1" ht="15">
      <c r="A473" s="1"/>
      <c r="B473" s="1"/>
      <c r="C473" s="1"/>
      <c r="D473" s="1"/>
      <c r="E473" s="1"/>
      <c r="F473" s="1"/>
      <c r="G473" s="1"/>
      <c r="H473" s="1"/>
      <c r="I473" s="1"/>
      <c r="J473" s="1"/>
      <c r="K473" s="17"/>
      <c r="L473" s="1"/>
      <c r="M473" s="1"/>
      <c r="N473" s="2"/>
      <c r="O473" s="2"/>
      <c r="P473" s="1"/>
      <c r="Q473" s="1"/>
      <c r="R473" s="1"/>
      <c r="S473" s="1"/>
      <c r="T473" s="17"/>
      <c r="U473" s="17"/>
      <c r="V473" s="17"/>
      <c r="W473" s="17"/>
      <c r="X473" s="22"/>
      <c r="Y473" s="22"/>
      <c r="Z473" s="22"/>
      <c r="AA473" s="22"/>
      <c r="AB473" s="22"/>
      <c r="AC473" s="22"/>
      <c r="AD473" s="22"/>
      <c r="AE473" s="22"/>
      <c r="AF473" s="22"/>
      <c r="AG473" s="22"/>
      <c r="AH473" s="22"/>
      <c r="AI473" s="22"/>
      <c r="AJ473" s="17"/>
      <c r="AK473" s="22"/>
      <c r="AL473" s="22"/>
      <c r="AM473" s="22"/>
      <c r="AN473" s="22"/>
      <c r="AO473" s="17"/>
      <c r="AP473" s="17"/>
      <c r="AQ473" s="17"/>
      <c r="AR473" s="1"/>
      <c r="AS473" s="1"/>
      <c r="AT473" s="17"/>
      <c r="AU473" s="1"/>
      <c r="AV473" s="1"/>
      <c r="AW473" s="1"/>
      <c r="AX473" s="2"/>
      <c r="AY473" s="2"/>
      <c r="AZ473" s="1"/>
    </row>
    <row x14ac:dyDescent="0.25" r="474" customHeight="1" ht="15">
      <c r="A474" s="1"/>
      <c r="B474" s="1"/>
      <c r="C474" s="1"/>
      <c r="D474" s="1"/>
      <c r="E474" s="1"/>
      <c r="F474" s="1"/>
      <c r="G474" s="1"/>
      <c r="H474" s="1"/>
      <c r="I474" s="1"/>
      <c r="J474" s="1"/>
      <c r="K474" s="17"/>
      <c r="L474" s="1"/>
      <c r="M474" s="1"/>
      <c r="N474" s="2"/>
      <c r="O474" s="2"/>
      <c r="P474" s="1"/>
      <c r="Q474" s="1"/>
      <c r="R474" s="1"/>
      <c r="S474" s="1"/>
      <c r="T474" s="17"/>
      <c r="U474" s="17"/>
      <c r="V474" s="17"/>
      <c r="W474" s="17"/>
      <c r="X474" s="22"/>
      <c r="Y474" s="22"/>
      <c r="Z474" s="22"/>
      <c r="AA474" s="22"/>
      <c r="AB474" s="22"/>
      <c r="AC474" s="22"/>
      <c r="AD474" s="22"/>
      <c r="AE474" s="22"/>
      <c r="AF474" s="22"/>
      <c r="AG474" s="22"/>
      <c r="AH474" s="22"/>
      <c r="AI474" s="22"/>
      <c r="AJ474" s="17"/>
      <c r="AK474" s="22"/>
      <c r="AL474" s="22"/>
      <c r="AM474" s="22"/>
      <c r="AN474" s="22"/>
      <c r="AO474" s="17"/>
      <c r="AP474" s="17"/>
      <c r="AQ474" s="17"/>
      <c r="AR474" s="1"/>
      <c r="AS474" s="1"/>
      <c r="AT474" s="17"/>
      <c r="AU474" s="1"/>
      <c r="AV474" s="1"/>
      <c r="AW474" s="1"/>
      <c r="AX474" s="2"/>
      <c r="AY474" s="2"/>
      <c r="AZ474" s="1"/>
    </row>
    <row x14ac:dyDescent="0.25" r="475" customHeight="1" ht="15">
      <c r="A475" s="1"/>
      <c r="B475" s="1"/>
      <c r="C475" s="1"/>
      <c r="D475" s="1"/>
      <c r="E475" s="1"/>
      <c r="F475" s="1"/>
      <c r="G475" s="1"/>
      <c r="H475" s="1"/>
      <c r="I475" s="1"/>
      <c r="J475" s="1"/>
      <c r="K475" s="17"/>
      <c r="L475" s="1"/>
      <c r="M475" s="1"/>
      <c r="N475" s="2"/>
      <c r="O475" s="2"/>
      <c r="P475" s="1"/>
      <c r="Q475" s="1"/>
      <c r="R475" s="1"/>
      <c r="S475" s="1"/>
      <c r="T475" s="17"/>
      <c r="U475" s="17"/>
      <c r="V475" s="17"/>
      <c r="W475" s="17"/>
      <c r="X475" s="22"/>
      <c r="Y475" s="22"/>
      <c r="Z475" s="22"/>
      <c r="AA475" s="22"/>
      <c r="AB475" s="22"/>
      <c r="AC475" s="22"/>
      <c r="AD475" s="22"/>
      <c r="AE475" s="22"/>
      <c r="AF475" s="22"/>
      <c r="AG475" s="22"/>
      <c r="AH475" s="22"/>
      <c r="AI475" s="22"/>
      <c r="AJ475" s="17"/>
      <c r="AK475" s="22"/>
      <c r="AL475" s="22"/>
      <c r="AM475" s="22"/>
      <c r="AN475" s="22"/>
      <c r="AO475" s="17"/>
      <c r="AP475" s="17"/>
      <c r="AQ475" s="17"/>
      <c r="AR475" s="1"/>
      <c r="AS475" s="1"/>
      <c r="AT475" s="17"/>
      <c r="AU475" s="1"/>
      <c r="AV475" s="1"/>
      <c r="AW475" s="1"/>
      <c r="AX475" s="2"/>
      <c r="AY475" s="2"/>
      <c r="AZ475" s="1"/>
    </row>
    <row x14ac:dyDescent="0.25" r="476" customHeight="1" ht="15">
      <c r="A476" s="1"/>
      <c r="B476" s="1"/>
      <c r="C476" s="1"/>
      <c r="D476" s="1"/>
      <c r="E476" s="1"/>
      <c r="F476" s="1"/>
      <c r="G476" s="1"/>
      <c r="H476" s="1"/>
      <c r="I476" s="1"/>
      <c r="J476" s="1"/>
      <c r="K476" s="17"/>
      <c r="L476" s="1"/>
      <c r="M476" s="1"/>
      <c r="N476" s="2"/>
      <c r="O476" s="2"/>
      <c r="P476" s="1"/>
      <c r="Q476" s="1"/>
      <c r="R476" s="1"/>
      <c r="S476" s="1"/>
      <c r="T476" s="17"/>
      <c r="U476" s="17"/>
      <c r="V476" s="17"/>
      <c r="W476" s="17"/>
      <c r="X476" s="22"/>
      <c r="Y476" s="22"/>
      <c r="Z476" s="22"/>
      <c r="AA476" s="22"/>
      <c r="AB476" s="22"/>
      <c r="AC476" s="22"/>
      <c r="AD476" s="22"/>
      <c r="AE476" s="22"/>
      <c r="AF476" s="22"/>
      <c r="AG476" s="22"/>
      <c r="AH476" s="22"/>
      <c r="AI476" s="22"/>
      <c r="AJ476" s="17"/>
      <c r="AK476" s="22"/>
      <c r="AL476" s="22"/>
      <c r="AM476" s="22"/>
      <c r="AN476" s="22"/>
      <c r="AO476" s="17"/>
      <c r="AP476" s="17"/>
      <c r="AQ476" s="17"/>
      <c r="AR476" s="1"/>
      <c r="AS476" s="1"/>
      <c r="AT476" s="17"/>
      <c r="AU476" s="1"/>
      <c r="AV476" s="1"/>
      <c r="AW476" s="1"/>
      <c r="AX476" s="2"/>
      <c r="AY476" s="2"/>
      <c r="AZ476" s="1"/>
    </row>
    <row x14ac:dyDescent="0.25" r="477" customHeight="1" ht="15">
      <c r="A477" s="1"/>
      <c r="B477" s="1"/>
      <c r="C477" s="1"/>
      <c r="D477" s="1"/>
      <c r="E477" s="1"/>
      <c r="F477" s="1"/>
      <c r="G477" s="1"/>
      <c r="H477" s="1"/>
      <c r="I477" s="1"/>
      <c r="J477" s="1"/>
      <c r="K477" s="17"/>
      <c r="L477" s="1"/>
      <c r="M477" s="1"/>
      <c r="N477" s="2"/>
      <c r="O477" s="2"/>
      <c r="P477" s="1"/>
      <c r="Q477" s="1"/>
      <c r="R477" s="1"/>
      <c r="S477" s="1"/>
      <c r="T477" s="17"/>
      <c r="U477" s="17"/>
      <c r="V477" s="17"/>
      <c r="W477" s="17"/>
      <c r="X477" s="22"/>
      <c r="Y477" s="22"/>
      <c r="Z477" s="22"/>
      <c r="AA477" s="22"/>
      <c r="AB477" s="22"/>
      <c r="AC477" s="22"/>
      <c r="AD477" s="22"/>
      <c r="AE477" s="22"/>
      <c r="AF477" s="22"/>
      <c r="AG477" s="22"/>
      <c r="AH477" s="22"/>
      <c r="AI477" s="22"/>
      <c r="AJ477" s="17"/>
      <c r="AK477" s="22"/>
      <c r="AL477" s="22"/>
      <c r="AM477" s="22"/>
      <c r="AN477" s="22"/>
      <c r="AO477" s="17"/>
      <c r="AP477" s="17"/>
      <c r="AQ477" s="17"/>
      <c r="AR477" s="1"/>
      <c r="AS477" s="1"/>
      <c r="AT477" s="17"/>
      <c r="AU477" s="1"/>
      <c r="AV477" s="1"/>
      <c r="AW477" s="1"/>
      <c r="AX477" s="2"/>
      <c r="AY477" s="2"/>
      <c r="AZ477" s="1"/>
    </row>
    <row x14ac:dyDescent="0.25" r="478" customHeight="1" ht="15">
      <c r="A478" s="1"/>
      <c r="B478" s="1"/>
      <c r="C478" s="1"/>
      <c r="D478" s="1"/>
      <c r="E478" s="1"/>
      <c r="F478" s="1"/>
      <c r="G478" s="1"/>
      <c r="H478" s="1"/>
      <c r="I478" s="1"/>
      <c r="J478" s="1"/>
      <c r="K478" s="17"/>
      <c r="L478" s="1"/>
      <c r="M478" s="1"/>
      <c r="N478" s="2"/>
      <c r="O478" s="2"/>
      <c r="P478" s="1"/>
      <c r="Q478" s="1"/>
      <c r="R478" s="1"/>
      <c r="S478" s="1"/>
      <c r="T478" s="17"/>
      <c r="U478" s="17"/>
      <c r="V478" s="17"/>
      <c r="W478" s="17"/>
      <c r="X478" s="22"/>
      <c r="Y478" s="22"/>
      <c r="Z478" s="22"/>
      <c r="AA478" s="22"/>
      <c r="AB478" s="22"/>
      <c r="AC478" s="22"/>
      <c r="AD478" s="22"/>
      <c r="AE478" s="22"/>
      <c r="AF478" s="22"/>
      <c r="AG478" s="22"/>
      <c r="AH478" s="22"/>
      <c r="AI478" s="22"/>
      <c r="AJ478" s="17"/>
      <c r="AK478" s="22"/>
      <c r="AL478" s="22"/>
      <c r="AM478" s="22"/>
      <c r="AN478" s="22"/>
      <c r="AO478" s="17"/>
      <c r="AP478" s="17"/>
      <c r="AQ478" s="17"/>
      <c r="AR478" s="1"/>
      <c r="AS478" s="1"/>
      <c r="AT478" s="17"/>
      <c r="AU478" s="1"/>
      <c r="AV478" s="1"/>
      <c r="AW478" s="1"/>
      <c r="AX478" s="2"/>
      <c r="AY478" s="2"/>
      <c r="AZ478" s="1"/>
    </row>
    <row x14ac:dyDescent="0.25" r="479" customHeight="1" ht="15">
      <c r="A479" s="1"/>
      <c r="B479" s="1"/>
      <c r="C479" s="1"/>
      <c r="D479" s="1"/>
      <c r="E479" s="1"/>
      <c r="F479" s="1"/>
      <c r="G479" s="1"/>
      <c r="H479" s="1"/>
      <c r="I479" s="1"/>
      <c r="J479" s="1"/>
      <c r="K479" s="17"/>
      <c r="L479" s="1"/>
      <c r="M479" s="1"/>
      <c r="N479" s="2"/>
      <c r="O479" s="2"/>
      <c r="P479" s="1"/>
      <c r="Q479" s="1"/>
      <c r="R479" s="1"/>
      <c r="S479" s="1"/>
      <c r="T479" s="17"/>
      <c r="U479" s="17"/>
      <c r="V479" s="17"/>
      <c r="W479" s="17"/>
      <c r="X479" s="22"/>
      <c r="Y479" s="22"/>
      <c r="Z479" s="22"/>
      <c r="AA479" s="22"/>
      <c r="AB479" s="22"/>
      <c r="AC479" s="22"/>
      <c r="AD479" s="22"/>
      <c r="AE479" s="22"/>
      <c r="AF479" s="22"/>
      <c r="AG479" s="22"/>
      <c r="AH479" s="22"/>
      <c r="AI479" s="22"/>
      <c r="AJ479" s="17"/>
      <c r="AK479" s="22"/>
      <c r="AL479" s="22"/>
      <c r="AM479" s="22"/>
      <c r="AN479" s="22"/>
      <c r="AO479" s="17"/>
      <c r="AP479" s="17"/>
      <c r="AQ479" s="17"/>
      <c r="AR479" s="1"/>
      <c r="AS479" s="1"/>
      <c r="AT479" s="17"/>
      <c r="AU479" s="1"/>
      <c r="AV479" s="1"/>
      <c r="AW479" s="1"/>
      <c r="AX479" s="2"/>
      <c r="AY479" s="2"/>
      <c r="AZ479" s="1"/>
    </row>
    <row x14ac:dyDescent="0.25" r="480" customHeight="1" ht="15">
      <c r="A480" s="1"/>
      <c r="B480" s="1"/>
      <c r="C480" s="1"/>
      <c r="D480" s="1"/>
      <c r="E480" s="1"/>
      <c r="F480" s="1"/>
      <c r="G480" s="1"/>
      <c r="H480" s="1"/>
      <c r="I480" s="1"/>
      <c r="J480" s="1"/>
      <c r="K480" s="17"/>
      <c r="L480" s="1"/>
      <c r="M480" s="1"/>
      <c r="N480" s="2"/>
      <c r="O480" s="2"/>
      <c r="P480" s="1"/>
      <c r="Q480" s="1"/>
      <c r="R480" s="1"/>
      <c r="S480" s="1"/>
      <c r="T480" s="17"/>
      <c r="U480" s="17"/>
      <c r="V480" s="17"/>
      <c r="W480" s="17"/>
      <c r="X480" s="22"/>
      <c r="Y480" s="22"/>
      <c r="Z480" s="22"/>
      <c r="AA480" s="22"/>
      <c r="AB480" s="22"/>
      <c r="AC480" s="22"/>
      <c r="AD480" s="22"/>
      <c r="AE480" s="22"/>
      <c r="AF480" s="22"/>
      <c r="AG480" s="22"/>
      <c r="AH480" s="22"/>
      <c r="AI480" s="22"/>
      <c r="AJ480" s="17"/>
      <c r="AK480" s="22"/>
      <c r="AL480" s="22"/>
      <c r="AM480" s="22"/>
      <c r="AN480" s="22"/>
      <c r="AO480" s="17"/>
      <c r="AP480" s="17"/>
      <c r="AQ480" s="17"/>
      <c r="AR480" s="1"/>
      <c r="AS480" s="1"/>
      <c r="AT480" s="17"/>
      <c r="AU480" s="1"/>
      <c r="AV480" s="1"/>
      <c r="AW480" s="1"/>
      <c r="AX480" s="2"/>
      <c r="AY480" s="2"/>
      <c r="AZ480" s="1"/>
    </row>
    <row x14ac:dyDescent="0.25" r="481" customHeight="1" ht="15">
      <c r="A481" s="1"/>
      <c r="B481" s="1"/>
      <c r="C481" s="1"/>
      <c r="D481" s="1"/>
      <c r="E481" s="1"/>
      <c r="F481" s="1"/>
      <c r="G481" s="1"/>
      <c r="H481" s="1"/>
      <c r="I481" s="1"/>
      <c r="J481" s="1"/>
      <c r="K481" s="17"/>
      <c r="L481" s="1"/>
      <c r="M481" s="1"/>
      <c r="N481" s="2"/>
      <c r="O481" s="2"/>
      <c r="P481" s="1"/>
      <c r="Q481" s="1"/>
      <c r="R481" s="1"/>
      <c r="S481" s="1"/>
      <c r="T481" s="17"/>
      <c r="U481" s="17"/>
      <c r="V481" s="17"/>
      <c r="W481" s="17"/>
      <c r="X481" s="22"/>
      <c r="Y481" s="22"/>
      <c r="Z481" s="22"/>
      <c r="AA481" s="22"/>
      <c r="AB481" s="22"/>
      <c r="AC481" s="22"/>
      <c r="AD481" s="22"/>
      <c r="AE481" s="22"/>
      <c r="AF481" s="22"/>
      <c r="AG481" s="22"/>
      <c r="AH481" s="22"/>
      <c r="AI481" s="22"/>
      <c r="AJ481" s="17"/>
      <c r="AK481" s="22"/>
      <c r="AL481" s="22"/>
      <c r="AM481" s="22"/>
      <c r="AN481" s="22"/>
      <c r="AO481" s="17"/>
      <c r="AP481" s="17"/>
      <c r="AQ481" s="17"/>
      <c r="AR481" s="1"/>
      <c r="AS481" s="1"/>
      <c r="AT481" s="17"/>
      <c r="AU481" s="1"/>
      <c r="AV481" s="1"/>
      <c r="AW481" s="1"/>
      <c r="AX481" s="2"/>
      <c r="AY481" s="2"/>
      <c r="AZ481" s="1"/>
    </row>
    <row x14ac:dyDescent="0.25" r="482" customHeight="1" ht="15">
      <c r="A482" s="1"/>
      <c r="B482" s="1"/>
      <c r="C482" s="1"/>
      <c r="D482" s="1"/>
      <c r="E482" s="1"/>
      <c r="F482" s="1"/>
      <c r="G482" s="1"/>
      <c r="H482" s="1"/>
      <c r="I482" s="1"/>
      <c r="J482" s="1"/>
      <c r="K482" s="17"/>
      <c r="L482" s="1"/>
      <c r="M482" s="1"/>
      <c r="N482" s="2"/>
      <c r="O482" s="2"/>
      <c r="P482" s="1"/>
      <c r="Q482" s="1"/>
      <c r="R482" s="1"/>
      <c r="S482" s="1"/>
      <c r="T482" s="17"/>
      <c r="U482" s="17"/>
      <c r="V482" s="17"/>
      <c r="W482" s="17"/>
      <c r="X482" s="22"/>
      <c r="Y482" s="22"/>
      <c r="Z482" s="22"/>
      <c r="AA482" s="22"/>
      <c r="AB482" s="22"/>
      <c r="AC482" s="22"/>
      <c r="AD482" s="22"/>
      <c r="AE482" s="22"/>
      <c r="AF482" s="22"/>
      <c r="AG482" s="22"/>
      <c r="AH482" s="22"/>
      <c r="AI482" s="22"/>
      <c r="AJ482" s="17"/>
      <c r="AK482" s="22"/>
      <c r="AL482" s="22"/>
      <c r="AM482" s="22"/>
      <c r="AN482" s="22"/>
      <c r="AO482" s="17"/>
      <c r="AP482" s="17"/>
      <c r="AQ482" s="17"/>
      <c r="AR482" s="1"/>
      <c r="AS482" s="1"/>
      <c r="AT482" s="17"/>
      <c r="AU482" s="1"/>
      <c r="AV482" s="1"/>
      <c r="AW482" s="1"/>
      <c r="AX482" s="2"/>
      <c r="AY482" s="2"/>
      <c r="AZ482" s="1"/>
    </row>
    <row x14ac:dyDescent="0.25" r="483" customHeight="1" ht="15">
      <c r="A483" s="1"/>
      <c r="B483" s="1"/>
      <c r="C483" s="1"/>
      <c r="D483" s="1"/>
      <c r="E483" s="1"/>
      <c r="F483" s="1"/>
      <c r="G483" s="1"/>
      <c r="H483" s="1"/>
      <c r="I483" s="1"/>
      <c r="J483" s="1"/>
      <c r="K483" s="17"/>
      <c r="L483" s="1"/>
      <c r="M483" s="1"/>
      <c r="N483" s="2"/>
      <c r="O483" s="2"/>
      <c r="P483" s="1"/>
      <c r="Q483" s="1"/>
      <c r="R483" s="1"/>
      <c r="S483" s="1"/>
      <c r="T483" s="17"/>
      <c r="U483" s="17"/>
      <c r="V483" s="17"/>
      <c r="W483" s="17"/>
      <c r="X483" s="22"/>
      <c r="Y483" s="22"/>
      <c r="Z483" s="22"/>
      <c r="AA483" s="22"/>
      <c r="AB483" s="22"/>
      <c r="AC483" s="22"/>
      <c r="AD483" s="22"/>
      <c r="AE483" s="22"/>
      <c r="AF483" s="22"/>
      <c r="AG483" s="22"/>
      <c r="AH483" s="22"/>
      <c r="AI483" s="22"/>
      <c r="AJ483" s="17"/>
      <c r="AK483" s="22"/>
      <c r="AL483" s="22"/>
      <c r="AM483" s="22"/>
      <c r="AN483" s="22"/>
      <c r="AO483" s="17"/>
      <c r="AP483" s="17"/>
      <c r="AQ483" s="17"/>
      <c r="AR483" s="1"/>
      <c r="AS483" s="1"/>
      <c r="AT483" s="17"/>
      <c r="AU483" s="1"/>
      <c r="AV483" s="1"/>
      <c r="AW483" s="1"/>
      <c r="AX483" s="2"/>
      <c r="AY483" s="2"/>
      <c r="AZ483" s="1"/>
    </row>
    <row x14ac:dyDescent="0.25" r="484" customHeight="1" ht="15">
      <c r="A484" s="1"/>
      <c r="B484" s="1"/>
      <c r="C484" s="1"/>
      <c r="D484" s="1"/>
      <c r="E484" s="1"/>
      <c r="F484" s="1"/>
      <c r="G484" s="1"/>
      <c r="H484" s="1"/>
      <c r="I484" s="1"/>
      <c r="J484" s="1"/>
      <c r="K484" s="17"/>
      <c r="L484" s="1"/>
      <c r="M484" s="1"/>
      <c r="N484" s="2"/>
      <c r="O484" s="2"/>
      <c r="P484" s="1"/>
      <c r="Q484" s="1"/>
      <c r="R484" s="1"/>
      <c r="S484" s="1"/>
      <c r="T484" s="17"/>
      <c r="U484" s="17"/>
      <c r="V484" s="17"/>
      <c r="W484" s="17"/>
      <c r="X484" s="22"/>
      <c r="Y484" s="22"/>
      <c r="Z484" s="22"/>
      <c r="AA484" s="22"/>
      <c r="AB484" s="22"/>
      <c r="AC484" s="22"/>
      <c r="AD484" s="22"/>
      <c r="AE484" s="22"/>
      <c r="AF484" s="22"/>
      <c r="AG484" s="22"/>
      <c r="AH484" s="22"/>
      <c r="AI484" s="22"/>
      <c r="AJ484" s="17"/>
      <c r="AK484" s="22"/>
      <c r="AL484" s="22"/>
      <c r="AM484" s="22"/>
      <c r="AN484" s="22"/>
      <c r="AO484" s="17"/>
      <c r="AP484" s="17"/>
      <c r="AQ484" s="17"/>
      <c r="AR484" s="1"/>
      <c r="AS484" s="1"/>
      <c r="AT484" s="17"/>
      <c r="AU484" s="1"/>
      <c r="AV484" s="1"/>
      <c r="AW484" s="1"/>
      <c r="AX484" s="2"/>
      <c r="AY484" s="2"/>
      <c r="AZ484" s="1"/>
    </row>
    <row x14ac:dyDescent="0.25" r="485" customHeight="1" ht="15">
      <c r="A485" s="1"/>
      <c r="B485" s="1"/>
      <c r="C485" s="1"/>
      <c r="D485" s="1"/>
      <c r="E485" s="1"/>
      <c r="F485" s="1"/>
      <c r="G485" s="1"/>
      <c r="H485" s="1"/>
      <c r="I485" s="1"/>
      <c r="J485" s="1"/>
      <c r="K485" s="17"/>
      <c r="L485" s="1"/>
      <c r="M485" s="1"/>
      <c r="N485" s="2"/>
      <c r="O485" s="2"/>
      <c r="P485" s="1"/>
      <c r="Q485" s="1"/>
      <c r="R485" s="1"/>
      <c r="S485" s="1"/>
      <c r="T485" s="17"/>
      <c r="U485" s="17"/>
      <c r="V485" s="17"/>
      <c r="W485" s="17"/>
      <c r="X485" s="22"/>
      <c r="Y485" s="22"/>
      <c r="Z485" s="22"/>
      <c r="AA485" s="22"/>
      <c r="AB485" s="22"/>
      <c r="AC485" s="22"/>
      <c r="AD485" s="22"/>
      <c r="AE485" s="22"/>
      <c r="AF485" s="22"/>
      <c r="AG485" s="22"/>
      <c r="AH485" s="22"/>
      <c r="AI485" s="22"/>
      <c r="AJ485" s="17"/>
      <c r="AK485" s="22"/>
      <c r="AL485" s="22"/>
      <c r="AM485" s="22"/>
      <c r="AN485" s="22"/>
      <c r="AO485" s="17"/>
      <c r="AP485" s="17"/>
      <c r="AQ485" s="17"/>
      <c r="AR485" s="1"/>
      <c r="AS485" s="1"/>
      <c r="AT485" s="17"/>
      <c r="AU485" s="1"/>
      <c r="AV485" s="1"/>
      <c r="AW485" s="1"/>
      <c r="AX485" s="2"/>
      <c r="AY485" s="2"/>
      <c r="AZ485" s="1"/>
    </row>
    <row x14ac:dyDescent="0.25" r="486" customHeight="1" ht="15">
      <c r="A486" s="1"/>
      <c r="B486" s="1"/>
      <c r="C486" s="1"/>
      <c r="D486" s="1"/>
      <c r="E486" s="1"/>
      <c r="F486" s="1"/>
      <c r="G486" s="1"/>
      <c r="H486" s="1"/>
      <c r="I486" s="1"/>
      <c r="J486" s="1"/>
      <c r="K486" s="17"/>
      <c r="L486" s="1"/>
      <c r="M486" s="1"/>
      <c r="N486" s="2"/>
      <c r="O486" s="2"/>
      <c r="P486" s="1"/>
      <c r="Q486" s="1"/>
      <c r="R486" s="1"/>
      <c r="S486" s="1"/>
      <c r="T486" s="17"/>
      <c r="U486" s="17"/>
      <c r="V486" s="17"/>
      <c r="W486" s="17"/>
      <c r="X486" s="22"/>
      <c r="Y486" s="22"/>
      <c r="Z486" s="22"/>
      <c r="AA486" s="22"/>
      <c r="AB486" s="22"/>
      <c r="AC486" s="22"/>
      <c r="AD486" s="22"/>
      <c r="AE486" s="22"/>
      <c r="AF486" s="22"/>
      <c r="AG486" s="22"/>
      <c r="AH486" s="22"/>
      <c r="AI486" s="22"/>
      <c r="AJ486" s="17"/>
      <c r="AK486" s="22"/>
      <c r="AL486" s="22"/>
      <c r="AM486" s="22"/>
      <c r="AN486" s="22"/>
      <c r="AO486" s="17"/>
      <c r="AP486" s="17"/>
      <c r="AQ486" s="17"/>
      <c r="AR486" s="1"/>
      <c r="AS486" s="1"/>
      <c r="AT486" s="17"/>
      <c r="AU486" s="1"/>
      <c r="AV486" s="1"/>
      <c r="AW486" s="1"/>
      <c r="AX486" s="2"/>
      <c r="AY486" s="2"/>
      <c r="AZ486" s="1"/>
    </row>
    <row x14ac:dyDescent="0.25" r="487" customHeight="1" ht="15">
      <c r="A487" s="1"/>
      <c r="B487" s="1"/>
      <c r="C487" s="1"/>
      <c r="D487" s="1"/>
      <c r="E487" s="1"/>
      <c r="F487" s="1"/>
      <c r="G487" s="1"/>
      <c r="H487" s="1"/>
      <c r="I487" s="1"/>
      <c r="J487" s="1"/>
      <c r="K487" s="17"/>
      <c r="L487" s="1"/>
      <c r="M487" s="1"/>
      <c r="N487" s="2"/>
      <c r="O487" s="2"/>
      <c r="P487" s="1"/>
      <c r="Q487" s="1"/>
      <c r="R487" s="1"/>
      <c r="S487" s="1"/>
      <c r="T487" s="17"/>
      <c r="U487" s="17"/>
      <c r="V487" s="17"/>
      <c r="W487" s="17"/>
      <c r="X487" s="22"/>
      <c r="Y487" s="22"/>
      <c r="Z487" s="22"/>
      <c r="AA487" s="22"/>
      <c r="AB487" s="22"/>
      <c r="AC487" s="22"/>
      <c r="AD487" s="22"/>
      <c r="AE487" s="22"/>
      <c r="AF487" s="22"/>
      <c r="AG487" s="22"/>
      <c r="AH487" s="22"/>
      <c r="AI487" s="22"/>
      <c r="AJ487" s="17"/>
      <c r="AK487" s="22"/>
      <c r="AL487" s="22"/>
      <c r="AM487" s="22"/>
      <c r="AN487" s="22"/>
      <c r="AO487" s="17"/>
      <c r="AP487" s="17"/>
      <c r="AQ487" s="17"/>
      <c r="AR487" s="1"/>
      <c r="AS487" s="1"/>
      <c r="AT487" s="17"/>
      <c r="AU487" s="1"/>
      <c r="AV487" s="1"/>
      <c r="AW487" s="1"/>
      <c r="AX487" s="2"/>
      <c r="AY487" s="2"/>
      <c r="AZ487" s="1"/>
    </row>
    <row x14ac:dyDescent="0.25" r="488" customHeight="1" ht="15">
      <c r="A488" s="1"/>
      <c r="B488" s="1"/>
      <c r="C488" s="1"/>
      <c r="D488" s="1"/>
      <c r="E488" s="1"/>
      <c r="F488" s="1"/>
      <c r="G488" s="1"/>
      <c r="H488" s="1"/>
      <c r="I488" s="1"/>
      <c r="J488" s="1"/>
      <c r="K488" s="17"/>
      <c r="L488" s="1"/>
      <c r="M488" s="1"/>
      <c r="N488" s="2"/>
      <c r="O488" s="2"/>
      <c r="P488" s="1"/>
      <c r="Q488" s="1"/>
      <c r="R488" s="1"/>
      <c r="S488" s="1"/>
      <c r="T488" s="17"/>
      <c r="U488" s="17"/>
      <c r="V488" s="17"/>
      <c r="W488" s="17"/>
      <c r="X488" s="22"/>
      <c r="Y488" s="22"/>
      <c r="Z488" s="22"/>
      <c r="AA488" s="22"/>
      <c r="AB488" s="22"/>
      <c r="AC488" s="22"/>
      <c r="AD488" s="22"/>
      <c r="AE488" s="22"/>
      <c r="AF488" s="22"/>
      <c r="AG488" s="22"/>
      <c r="AH488" s="22"/>
      <c r="AI488" s="22"/>
      <c r="AJ488" s="17"/>
      <c r="AK488" s="22"/>
      <c r="AL488" s="22"/>
      <c r="AM488" s="22"/>
      <c r="AN488" s="22"/>
      <c r="AO488" s="17"/>
      <c r="AP488" s="17"/>
      <c r="AQ488" s="17"/>
      <c r="AR488" s="1"/>
      <c r="AS488" s="1"/>
      <c r="AT488" s="17"/>
      <c r="AU488" s="1"/>
      <c r="AV488" s="1"/>
      <c r="AW488" s="1"/>
      <c r="AX488" s="2"/>
      <c r="AY488" s="2"/>
      <c r="AZ488" s="1"/>
    </row>
    <row x14ac:dyDescent="0.25" r="489" customHeight="1" ht="15">
      <c r="A489" s="1"/>
      <c r="B489" s="1"/>
      <c r="C489" s="1"/>
      <c r="D489" s="1"/>
      <c r="E489" s="1"/>
      <c r="F489" s="1"/>
      <c r="G489" s="1"/>
      <c r="H489" s="1"/>
      <c r="I489" s="1"/>
      <c r="J489" s="1"/>
      <c r="K489" s="17"/>
      <c r="L489" s="1"/>
      <c r="M489" s="1"/>
      <c r="N489" s="2"/>
      <c r="O489" s="2"/>
      <c r="P489" s="1"/>
      <c r="Q489" s="1"/>
      <c r="R489" s="1"/>
      <c r="S489" s="1"/>
      <c r="T489" s="17"/>
      <c r="U489" s="17"/>
      <c r="V489" s="17"/>
      <c r="W489" s="17"/>
      <c r="X489" s="22"/>
      <c r="Y489" s="22"/>
      <c r="Z489" s="22"/>
      <c r="AA489" s="22"/>
      <c r="AB489" s="22"/>
      <c r="AC489" s="22"/>
      <c r="AD489" s="22"/>
      <c r="AE489" s="22"/>
      <c r="AF489" s="22"/>
      <c r="AG489" s="22"/>
      <c r="AH489" s="22"/>
      <c r="AI489" s="22"/>
      <c r="AJ489" s="17"/>
      <c r="AK489" s="22"/>
      <c r="AL489" s="22"/>
      <c r="AM489" s="22"/>
      <c r="AN489" s="22"/>
      <c r="AO489" s="17"/>
      <c r="AP489" s="17"/>
      <c r="AQ489" s="17"/>
      <c r="AR489" s="1"/>
      <c r="AS489" s="1"/>
      <c r="AT489" s="17"/>
      <c r="AU489" s="1"/>
      <c r="AV489" s="1"/>
      <c r="AW489" s="1"/>
      <c r="AX489" s="2"/>
      <c r="AY489" s="2"/>
      <c r="AZ489" s="1"/>
    </row>
    <row x14ac:dyDescent="0.25" r="490" customHeight="1" ht="15">
      <c r="A490" s="1"/>
      <c r="B490" s="1"/>
      <c r="C490" s="1"/>
      <c r="D490" s="1"/>
      <c r="E490" s="1"/>
      <c r="F490" s="1"/>
      <c r="G490" s="1"/>
      <c r="H490" s="1"/>
      <c r="I490" s="1"/>
      <c r="J490" s="1"/>
      <c r="K490" s="17"/>
      <c r="L490" s="1"/>
      <c r="M490" s="1"/>
      <c r="N490" s="2"/>
      <c r="O490" s="2"/>
      <c r="P490" s="1"/>
      <c r="Q490" s="1"/>
      <c r="R490" s="1"/>
      <c r="S490" s="1"/>
      <c r="T490" s="17"/>
      <c r="U490" s="17"/>
      <c r="V490" s="17"/>
      <c r="W490" s="17"/>
      <c r="X490" s="22"/>
      <c r="Y490" s="22"/>
      <c r="Z490" s="22"/>
      <c r="AA490" s="22"/>
      <c r="AB490" s="22"/>
      <c r="AC490" s="22"/>
      <c r="AD490" s="22"/>
      <c r="AE490" s="22"/>
      <c r="AF490" s="22"/>
      <c r="AG490" s="22"/>
      <c r="AH490" s="22"/>
      <c r="AI490" s="22"/>
      <c r="AJ490" s="17"/>
      <c r="AK490" s="22"/>
      <c r="AL490" s="22"/>
      <c r="AM490" s="22"/>
      <c r="AN490" s="22"/>
      <c r="AO490" s="17"/>
      <c r="AP490" s="17"/>
      <c r="AQ490" s="17"/>
      <c r="AR490" s="1"/>
      <c r="AS490" s="1"/>
      <c r="AT490" s="17"/>
      <c r="AU490" s="1"/>
      <c r="AV490" s="1"/>
      <c r="AW490" s="1"/>
      <c r="AX490" s="2"/>
      <c r="AY490" s="2"/>
      <c r="AZ490" s="1"/>
    </row>
    <row x14ac:dyDescent="0.25" r="491" customHeight="1" ht="15">
      <c r="A491" s="1"/>
      <c r="B491" s="1"/>
      <c r="C491" s="1"/>
      <c r="D491" s="1"/>
      <c r="E491" s="1"/>
      <c r="F491" s="1"/>
      <c r="G491" s="1"/>
      <c r="H491" s="1"/>
      <c r="I491" s="1"/>
      <c r="J491" s="1"/>
      <c r="K491" s="17"/>
      <c r="L491" s="1"/>
      <c r="M491" s="1"/>
      <c r="N491" s="2"/>
      <c r="O491" s="2"/>
      <c r="P491" s="1"/>
      <c r="Q491" s="1"/>
      <c r="R491" s="1"/>
      <c r="S491" s="1"/>
      <c r="T491" s="17"/>
      <c r="U491" s="17"/>
      <c r="V491" s="17"/>
      <c r="W491" s="17"/>
      <c r="X491" s="22"/>
      <c r="Y491" s="22"/>
      <c r="Z491" s="22"/>
      <c r="AA491" s="22"/>
      <c r="AB491" s="22"/>
      <c r="AC491" s="22"/>
      <c r="AD491" s="22"/>
      <c r="AE491" s="22"/>
      <c r="AF491" s="22"/>
      <c r="AG491" s="22"/>
      <c r="AH491" s="22"/>
      <c r="AI491" s="22"/>
      <c r="AJ491" s="17"/>
      <c r="AK491" s="22"/>
      <c r="AL491" s="22"/>
      <c r="AM491" s="22"/>
      <c r="AN491" s="22"/>
      <c r="AO491" s="17"/>
      <c r="AP491" s="17"/>
      <c r="AQ491" s="17"/>
      <c r="AR491" s="1"/>
      <c r="AS491" s="1"/>
      <c r="AT491" s="17"/>
      <c r="AU491" s="1"/>
      <c r="AV491" s="1"/>
      <c r="AW491" s="1"/>
      <c r="AX491" s="2"/>
      <c r="AY491" s="2"/>
      <c r="AZ491" s="1"/>
    </row>
    <row x14ac:dyDescent="0.25" r="492" customHeight="1" ht="15">
      <c r="A492" s="1"/>
      <c r="B492" s="1"/>
      <c r="C492" s="1"/>
      <c r="D492" s="1"/>
      <c r="E492" s="1"/>
      <c r="F492" s="1"/>
      <c r="G492" s="1"/>
      <c r="H492" s="1"/>
      <c r="I492" s="1"/>
      <c r="J492" s="1"/>
      <c r="K492" s="17"/>
      <c r="L492" s="1"/>
      <c r="M492" s="1"/>
      <c r="N492" s="2"/>
      <c r="O492" s="2"/>
      <c r="P492" s="1"/>
      <c r="Q492" s="1"/>
      <c r="R492" s="1"/>
      <c r="S492" s="1"/>
      <c r="T492" s="17"/>
      <c r="U492" s="17"/>
      <c r="V492" s="17"/>
      <c r="W492" s="17"/>
      <c r="X492" s="22"/>
      <c r="Y492" s="22"/>
      <c r="Z492" s="22"/>
      <c r="AA492" s="22"/>
      <c r="AB492" s="22"/>
      <c r="AC492" s="22"/>
      <c r="AD492" s="22"/>
      <c r="AE492" s="22"/>
      <c r="AF492" s="22"/>
      <c r="AG492" s="22"/>
      <c r="AH492" s="22"/>
      <c r="AI492" s="22"/>
      <c r="AJ492" s="17"/>
      <c r="AK492" s="22"/>
      <c r="AL492" s="22"/>
      <c r="AM492" s="22"/>
      <c r="AN492" s="22"/>
      <c r="AO492" s="17"/>
      <c r="AP492" s="17"/>
      <c r="AQ492" s="17"/>
      <c r="AR492" s="1"/>
      <c r="AS492" s="1"/>
      <c r="AT492" s="17"/>
      <c r="AU492" s="1"/>
      <c r="AV492" s="1"/>
      <c r="AW492" s="1"/>
      <c r="AX492" s="2"/>
      <c r="AY492" s="2"/>
      <c r="AZ492" s="1"/>
    </row>
    <row x14ac:dyDescent="0.25" r="493" customHeight="1" ht="15">
      <c r="A493" s="1"/>
      <c r="B493" s="1"/>
      <c r="C493" s="1"/>
      <c r="D493" s="1"/>
      <c r="E493" s="1"/>
      <c r="F493" s="1"/>
      <c r="G493" s="1"/>
      <c r="H493" s="1"/>
      <c r="I493" s="1"/>
      <c r="J493" s="1"/>
      <c r="K493" s="17"/>
      <c r="L493" s="1"/>
      <c r="M493" s="1"/>
      <c r="N493" s="2"/>
      <c r="O493" s="2"/>
      <c r="P493" s="1"/>
      <c r="Q493" s="1"/>
      <c r="R493" s="1"/>
      <c r="S493" s="1"/>
      <c r="T493" s="17"/>
      <c r="U493" s="17"/>
      <c r="V493" s="17"/>
      <c r="W493" s="17"/>
      <c r="X493" s="22"/>
      <c r="Y493" s="22"/>
      <c r="Z493" s="22"/>
      <c r="AA493" s="22"/>
      <c r="AB493" s="22"/>
      <c r="AC493" s="22"/>
      <c r="AD493" s="22"/>
      <c r="AE493" s="22"/>
      <c r="AF493" s="22"/>
      <c r="AG493" s="22"/>
      <c r="AH493" s="22"/>
      <c r="AI493" s="22"/>
      <c r="AJ493" s="17"/>
      <c r="AK493" s="22"/>
      <c r="AL493" s="22"/>
      <c r="AM493" s="22"/>
      <c r="AN493" s="22"/>
      <c r="AO493" s="17"/>
      <c r="AP493" s="17"/>
      <c r="AQ493" s="17"/>
      <c r="AR493" s="1"/>
      <c r="AS493" s="1"/>
      <c r="AT493" s="17"/>
      <c r="AU493" s="1"/>
      <c r="AV493" s="1"/>
      <c r="AW493" s="1"/>
      <c r="AX493" s="2"/>
      <c r="AY493" s="2"/>
      <c r="AZ493" s="1"/>
    </row>
    <row x14ac:dyDescent="0.25" r="494" customHeight="1" ht="15">
      <c r="A494" s="1"/>
      <c r="B494" s="1"/>
      <c r="C494" s="1"/>
      <c r="D494" s="1"/>
      <c r="E494" s="1"/>
      <c r="F494" s="1"/>
      <c r="G494" s="1"/>
      <c r="H494" s="1"/>
      <c r="I494" s="1"/>
      <c r="J494" s="1"/>
      <c r="K494" s="17"/>
      <c r="L494" s="1"/>
      <c r="M494" s="1"/>
      <c r="N494" s="2"/>
      <c r="O494" s="2"/>
      <c r="P494" s="1"/>
      <c r="Q494" s="1"/>
      <c r="R494" s="1"/>
      <c r="S494" s="1"/>
      <c r="T494" s="17"/>
      <c r="U494" s="17"/>
      <c r="V494" s="17"/>
      <c r="W494" s="17"/>
      <c r="X494" s="22"/>
      <c r="Y494" s="22"/>
      <c r="Z494" s="22"/>
      <c r="AA494" s="22"/>
      <c r="AB494" s="22"/>
      <c r="AC494" s="22"/>
      <c r="AD494" s="22"/>
      <c r="AE494" s="22"/>
      <c r="AF494" s="22"/>
      <c r="AG494" s="22"/>
      <c r="AH494" s="22"/>
      <c r="AI494" s="22"/>
      <c r="AJ494" s="17"/>
      <c r="AK494" s="22"/>
      <c r="AL494" s="22"/>
      <c r="AM494" s="22"/>
      <c r="AN494" s="22"/>
      <c r="AO494" s="17"/>
      <c r="AP494" s="17"/>
      <c r="AQ494" s="17"/>
      <c r="AR494" s="1"/>
      <c r="AS494" s="1"/>
      <c r="AT494" s="17"/>
      <c r="AU494" s="1"/>
      <c r="AV494" s="1"/>
      <c r="AW494" s="1"/>
      <c r="AX494" s="2"/>
      <c r="AY494" s="2"/>
      <c r="AZ494" s="1"/>
    </row>
    <row x14ac:dyDescent="0.25" r="495" customHeight="1" ht="15">
      <c r="A495" s="1"/>
      <c r="B495" s="1"/>
      <c r="C495" s="1"/>
      <c r="D495" s="1"/>
      <c r="E495" s="1"/>
      <c r="F495" s="1"/>
      <c r="G495" s="1"/>
      <c r="H495" s="1"/>
      <c r="I495" s="1"/>
      <c r="J495" s="1"/>
      <c r="K495" s="17"/>
      <c r="L495" s="1"/>
      <c r="M495" s="1"/>
      <c r="N495" s="2"/>
      <c r="O495" s="2"/>
      <c r="P495" s="1"/>
      <c r="Q495" s="1"/>
      <c r="R495" s="1"/>
      <c r="S495" s="1"/>
      <c r="T495" s="17"/>
      <c r="U495" s="17"/>
      <c r="V495" s="17"/>
      <c r="W495" s="17"/>
      <c r="X495" s="22"/>
      <c r="Y495" s="22"/>
      <c r="Z495" s="22"/>
      <c r="AA495" s="22"/>
      <c r="AB495" s="22"/>
      <c r="AC495" s="22"/>
      <c r="AD495" s="22"/>
      <c r="AE495" s="22"/>
      <c r="AF495" s="22"/>
      <c r="AG495" s="22"/>
      <c r="AH495" s="22"/>
      <c r="AI495" s="22"/>
      <c r="AJ495" s="17"/>
      <c r="AK495" s="22"/>
      <c r="AL495" s="22"/>
      <c r="AM495" s="22"/>
      <c r="AN495" s="22"/>
      <c r="AO495" s="17"/>
      <c r="AP495" s="17"/>
      <c r="AQ495" s="17"/>
      <c r="AR495" s="1"/>
      <c r="AS495" s="1"/>
      <c r="AT495" s="17"/>
      <c r="AU495" s="1"/>
      <c r="AV495" s="1"/>
      <c r="AW495" s="1"/>
      <c r="AX495" s="2"/>
      <c r="AY495" s="2"/>
      <c r="AZ495" s="1"/>
    </row>
    <row x14ac:dyDescent="0.25" r="496" customHeight="1" ht="15">
      <c r="A496" s="1"/>
      <c r="B496" s="1"/>
      <c r="C496" s="1"/>
      <c r="D496" s="1"/>
      <c r="E496" s="1"/>
      <c r="F496" s="1"/>
      <c r="G496" s="1"/>
      <c r="H496" s="1"/>
      <c r="I496" s="1"/>
      <c r="J496" s="1"/>
      <c r="K496" s="17"/>
      <c r="L496" s="1"/>
      <c r="M496" s="1"/>
      <c r="N496" s="2"/>
      <c r="O496" s="2"/>
      <c r="P496" s="1"/>
      <c r="Q496" s="1"/>
      <c r="R496" s="1"/>
      <c r="S496" s="1"/>
      <c r="T496" s="17"/>
      <c r="U496" s="17"/>
      <c r="V496" s="17"/>
      <c r="W496" s="17"/>
      <c r="X496" s="22"/>
      <c r="Y496" s="22"/>
      <c r="Z496" s="22"/>
      <c r="AA496" s="22"/>
      <c r="AB496" s="22"/>
      <c r="AC496" s="22"/>
      <c r="AD496" s="22"/>
      <c r="AE496" s="22"/>
      <c r="AF496" s="22"/>
      <c r="AG496" s="22"/>
      <c r="AH496" s="22"/>
      <c r="AI496" s="22"/>
      <c r="AJ496" s="17"/>
      <c r="AK496" s="22"/>
      <c r="AL496" s="22"/>
      <c r="AM496" s="22"/>
      <c r="AN496" s="22"/>
      <c r="AO496" s="17"/>
      <c r="AP496" s="17"/>
      <c r="AQ496" s="17"/>
      <c r="AR496" s="1"/>
      <c r="AS496" s="1"/>
      <c r="AT496" s="17"/>
      <c r="AU496" s="1"/>
      <c r="AV496" s="1"/>
      <c r="AW496" s="1"/>
      <c r="AX496" s="2"/>
      <c r="AY496" s="2"/>
      <c r="AZ496" s="1"/>
    </row>
    <row x14ac:dyDescent="0.25" r="497" customHeight="1" ht="15">
      <c r="A497" s="1"/>
      <c r="B497" s="1"/>
      <c r="C497" s="1"/>
      <c r="D497" s="1"/>
      <c r="E497" s="1"/>
      <c r="F497" s="1"/>
      <c r="G497" s="1"/>
      <c r="H497" s="1"/>
      <c r="I497" s="1"/>
      <c r="J497" s="1"/>
      <c r="K497" s="17"/>
      <c r="L497" s="1"/>
      <c r="M497" s="1"/>
      <c r="N497" s="2"/>
      <c r="O497" s="2"/>
      <c r="P497" s="1"/>
      <c r="Q497" s="1"/>
      <c r="R497" s="1"/>
      <c r="S497" s="1"/>
      <c r="T497" s="17"/>
      <c r="U497" s="17"/>
      <c r="V497" s="17"/>
      <c r="W497" s="17"/>
      <c r="X497" s="22"/>
      <c r="Y497" s="22"/>
      <c r="Z497" s="22"/>
      <c r="AA497" s="22"/>
      <c r="AB497" s="22"/>
      <c r="AC497" s="22"/>
      <c r="AD497" s="22"/>
      <c r="AE497" s="22"/>
      <c r="AF497" s="22"/>
      <c r="AG497" s="22"/>
      <c r="AH497" s="22"/>
      <c r="AI497" s="22"/>
      <c r="AJ497" s="17"/>
      <c r="AK497" s="22"/>
      <c r="AL497" s="22"/>
      <c r="AM497" s="22"/>
      <c r="AN497" s="22"/>
      <c r="AO497" s="17"/>
      <c r="AP497" s="17"/>
      <c r="AQ497" s="17"/>
      <c r="AR497" s="1"/>
      <c r="AS497" s="1"/>
      <c r="AT497" s="17"/>
      <c r="AU497" s="1"/>
      <c r="AV497" s="1"/>
      <c r="AW497" s="1"/>
      <c r="AX497" s="2"/>
      <c r="AY497" s="2"/>
      <c r="AZ497" s="1"/>
    </row>
    <row x14ac:dyDescent="0.25" r="498" customHeight="1" ht="15">
      <c r="A498" s="1"/>
      <c r="B498" s="1"/>
      <c r="C498" s="1"/>
      <c r="D498" s="1"/>
      <c r="E498" s="1"/>
      <c r="F498" s="1"/>
      <c r="G498" s="1"/>
      <c r="H498" s="1"/>
      <c r="I498" s="1"/>
      <c r="J498" s="1"/>
      <c r="K498" s="17"/>
      <c r="L498" s="1"/>
      <c r="M498" s="1"/>
      <c r="N498" s="2"/>
      <c r="O498" s="2"/>
      <c r="P498" s="1"/>
      <c r="Q498" s="1"/>
      <c r="R498" s="1"/>
      <c r="S498" s="1"/>
      <c r="T498" s="17"/>
      <c r="U498" s="17"/>
      <c r="V498" s="17"/>
      <c r="W498" s="17"/>
      <c r="X498" s="22"/>
      <c r="Y498" s="22"/>
      <c r="Z498" s="22"/>
      <c r="AA498" s="22"/>
      <c r="AB498" s="22"/>
      <c r="AC498" s="22"/>
      <c r="AD498" s="22"/>
      <c r="AE498" s="22"/>
      <c r="AF498" s="22"/>
      <c r="AG498" s="22"/>
      <c r="AH498" s="22"/>
      <c r="AI498" s="22"/>
      <c r="AJ498" s="17"/>
      <c r="AK498" s="22"/>
      <c r="AL498" s="22"/>
      <c r="AM498" s="22"/>
      <c r="AN498" s="22"/>
      <c r="AO498" s="17"/>
      <c r="AP498" s="17"/>
      <c r="AQ498" s="17"/>
      <c r="AR498" s="1"/>
      <c r="AS498" s="1"/>
      <c r="AT498" s="17"/>
      <c r="AU498" s="1"/>
      <c r="AV498" s="1"/>
      <c r="AW498" s="1"/>
      <c r="AX498" s="2"/>
      <c r="AY498" s="2"/>
      <c r="AZ498" s="1"/>
    </row>
    <row x14ac:dyDescent="0.25" r="499" customHeight="1" ht="15">
      <c r="A499" s="1"/>
      <c r="B499" s="1"/>
      <c r="C499" s="1"/>
      <c r="D499" s="1"/>
      <c r="E499" s="1"/>
      <c r="F499" s="1"/>
      <c r="G499" s="1"/>
      <c r="H499" s="1"/>
      <c r="I499" s="1"/>
      <c r="J499" s="1"/>
      <c r="K499" s="17"/>
      <c r="L499" s="1"/>
      <c r="M499" s="1"/>
      <c r="N499" s="2"/>
      <c r="O499" s="2"/>
      <c r="P499" s="1"/>
      <c r="Q499" s="1"/>
      <c r="R499" s="1"/>
      <c r="S499" s="1"/>
      <c r="T499" s="17"/>
      <c r="U499" s="17"/>
      <c r="V499" s="17"/>
      <c r="W499" s="17"/>
      <c r="X499" s="22"/>
      <c r="Y499" s="22"/>
      <c r="Z499" s="22"/>
      <c r="AA499" s="22"/>
      <c r="AB499" s="22"/>
      <c r="AC499" s="22"/>
      <c r="AD499" s="22"/>
      <c r="AE499" s="22"/>
      <c r="AF499" s="22"/>
      <c r="AG499" s="22"/>
      <c r="AH499" s="22"/>
      <c r="AI499" s="22"/>
      <c r="AJ499" s="17"/>
      <c r="AK499" s="22"/>
      <c r="AL499" s="22"/>
      <c r="AM499" s="22"/>
      <c r="AN499" s="22"/>
      <c r="AO499" s="17"/>
      <c r="AP499" s="17"/>
      <c r="AQ499" s="17"/>
      <c r="AR499" s="1"/>
      <c r="AS499" s="1"/>
      <c r="AT499" s="17"/>
      <c r="AU499" s="1"/>
      <c r="AV499" s="1"/>
      <c r="AW499" s="1"/>
      <c r="AX499" s="2"/>
      <c r="AY499" s="2"/>
      <c r="AZ499" s="1"/>
    </row>
    <row x14ac:dyDescent="0.25" r="500" customHeight="1" ht="15">
      <c r="A500" s="1"/>
      <c r="B500" s="1"/>
      <c r="C500" s="1"/>
      <c r="D500" s="1"/>
      <c r="E500" s="1"/>
      <c r="F500" s="1"/>
      <c r="G500" s="1"/>
      <c r="H500" s="1"/>
      <c r="I500" s="1"/>
      <c r="J500" s="1"/>
      <c r="K500" s="17"/>
      <c r="L500" s="1"/>
      <c r="M500" s="1"/>
      <c r="N500" s="2"/>
      <c r="O500" s="2"/>
      <c r="P500" s="1"/>
      <c r="Q500" s="1"/>
      <c r="R500" s="1"/>
      <c r="S500" s="1"/>
      <c r="T500" s="17"/>
      <c r="U500" s="17"/>
      <c r="V500" s="17"/>
      <c r="W500" s="17"/>
      <c r="X500" s="22"/>
      <c r="Y500" s="22"/>
      <c r="Z500" s="22"/>
      <c r="AA500" s="22"/>
      <c r="AB500" s="22"/>
      <c r="AC500" s="22"/>
      <c r="AD500" s="22"/>
      <c r="AE500" s="22"/>
      <c r="AF500" s="22"/>
      <c r="AG500" s="22"/>
      <c r="AH500" s="22"/>
      <c r="AI500" s="22"/>
      <c r="AJ500" s="17"/>
      <c r="AK500" s="22"/>
      <c r="AL500" s="22"/>
      <c r="AM500" s="22"/>
      <c r="AN500" s="22"/>
      <c r="AO500" s="17"/>
      <c r="AP500" s="17"/>
      <c r="AQ500" s="17"/>
      <c r="AR500" s="1"/>
      <c r="AS500" s="1"/>
      <c r="AT500" s="17"/>
      <c r="AU500" s="1"/>
      <c r="AV500" s="1"/>
      <c r="AW500" s="1"/>
      <c r="AX500" s="2"/>
      <c r="AY500" s="2"/>
      <c r="AZ500" s="1"/>
    </row>
    <row x14ac:dyDescent="0.25" r="501" customHeight="1" ht="15">
      <c r="A501" s="1"/>
      <c r="B501" s="1"/>
      <c r="C501" s="1"/>
      <c r="D501" s="1"/>
      <c r="E501" s="1"/>
      <c r="F501" s="1"/>
      <c r="G501" s="1"/>
      <c r="H501" s="1"/>
      <c r="I501" s="1"/>
      <c r="J501" s="1"/>
      <c r="K501" s="17"/>
      <c r="L501" s="1"/>
      <c r="M501" s="1"/>
      <c r="N501" s="2"/>
      <c r="O501" s="2"/>
      <c r="P501" s="1"/>
      <c r="Q501" s="1"/>
      <c r="R501" s="1"/>
      <c r="S501" s="1"/>
      <c r="T501" s="17"/>
      <c r="U501" s="17"/>
      <c r="V501" s="17"/>
      <c r="W501" s="17"/>
      <c r="X501" s="22"/>
      <c r="Y501" s="22"/>
      <c r="Z501" s="22"/>
      <c r="AA501" s="22"/>
      <c r="AB501" s="22"/>
      <c r="AC501" s="22"/>
      <c r="AD501" s="22"/>
      <c r="AE501" s="22"/>
      <c r="AF501" s="22"/>
      <c r="AG501" s="22"/>
      <c r="AH501" s="22"/>
      <c r="AI501" s="22"/>
      <c r="AJ501" s="17"/>
      <c r="AK501" s="22"/>
      <c r="AL501" s="22"/>
      <c r="AM501" s="22"/>
      <c r="AN501" s="22"/>
      <c r="AO501" s="17"/>
      <c r="AP501" s="17"/>
      <c r="AQ501" s="17"/>
      <c r="AR501" s="1"/>
      <c r="AS501" s="1"/>
      <c r="AT501" s="17"/>
      <c r="AU501" s="1"/>
      <c r="AV501" s="1"/>
      <c r="AW501" s="1"/>
      <c r="AX501" s="2"/>
      <c r="AY501" s="2"/>
      <c r="AZ501" s="1"/>
    </row>
    <row x14ac:dyDescent="0.25" r="502" customHeight="1" ht="15">
      <c r="A502" s="1"/>
      <c r="B502" s="1"/>
      <c r="C502" s="1"/>
      <c r="D502" s="1"/>
      <c r="E502" s="1"/>
      <c r="F502" s="1"/>
      <c r="G502" s="1"/>
      <c r="H502" s="1"/>
      <c r="I502" s="1"/>
      <c r="J502" s="1"/>
      <c r="K502" s="17"/>
      <c r="L502" s="1"/>
      <c r="M502" s="1"/>
      <c r="N502" s="2"/>
      <c r="O502" s="2"/>
      <c r="P502" s="1"/>
      <c r="Q502" s="1"/>
      <c r="R502" s="1"/>
      <c r="S502" s="1"/>
      <c r="T502" s="17"/>
      <c r="U502" s="17"/>
      <c r="V502" s="17"/>
      <c r="W502" s="17"/>
      <c r="X502" s="22"/>
      <c r="Y502" s="22"/>
      <c r="Z502" s="22"/>
      <c r="AA502" s="22"/>
      <c r="AB502" s="22"/>
      <c r="AC502" s="22"/>
      <c r="AD502" s="22"/>
      <c r="AE502" s="22"/>
      <c r="AF502" s="22"/>
      <c r="AG502" s="22"/>
      <c r="AH502" s="22"/>
      <c r="AI502" s="22"/>
      <c r="AJ502" s="17"/>
      <c r="AK502" s="22"/>
      <c r="AL502" s="22"/>
      <c r="AM502" s="22"/>
      <c r="AN502" s="22"/>
      <c r="AO502" s="17"/>
      <c r="AP502" s="17"/>
      <c r="AQ502" s="17"/>
      <c r="AR502" s="1"/>
      <c r="AS502" s="1"/>
      <c r="AT502" s="17"/>
      <c r="AU502" s="1"/>
      <c r="AV502" s="1"/>
      <c r="AW502" s="1"/>
      <c r="AX502" s="2"/>
      <c r="AY502" s="2"/>
      <c r="AZ502" s="1"/>
    </row>
    <row x14ac:dyDescent="0.25" r="503" customHeight="1" ht="15">
      <c r="A503" s="1"/>
      <c r="B503" s="1"/>
      <c r="C503" s="1"/>
      <c r="D503" s="1"/>
      <c r="E503" s="1"/>
      <c r="F503" s="1"/>
      <c r="G503" s="1"/>
      <c r="H503" s="1"/>
      <c r="I503" s="1"/>
      <c r="J503" s="1"/>
      <c r="K503" s="17"/>
      <c r="L503" s="1"/>
      <c r="M503" s="1"/>
      <c r="N503" s="2"/>
      <c r="O503" s="2"/>
      <c r="P503" s="1"/>
      <c r="Q503" s="1"/>
      <c r="R503" s="1"/>
      <c r="S503" s="1"/>
      <c r="T503" s="17"/>
      <c r="U503" s="17"/>
      <c r="V503" s="17"/>
      <c r="W503" s="17"/>
      <c r="X503" s="22"/>
      <c r="Y503" s="22"/>
      <c r="Z503" s="22"/>
      <c r="AA503" s="22"/>
      <c r="AB503" s="22"/>
      <c r="AC503" s="22"/>
      <c r="AD503" s="22"/>
      <c r="AE503" s="22"/>
      <c r="AF503" s="22"/>
      <c r="AG503" s="22"/>
      <c r="AH503" s="22"/>
      <c r="AI503" s="22"/>
      <c r="AJ503" s="17"/>
      <c r="AK503" s="22"/>
      <c r="AL503" s="22"/>
      <c r="AM503" s="22"/>
      <c r="AN503" s="22"/>
      <c r="AO503" s="17"/>
      <c r="AP503" s="17"/>
      <c r="AQ503" s="17"/>
      <c r="AR503" s="1"/>
      <c r="AS503" s="1"/>
      <c r="AT503" s="17"/>
      <c r="AU503" s="1"/>
      <c r="AV503" s="1"/>
      <c r="AW503" s="1"/>
      <c r="AX503" s="2"/>
      <c r="AY503" s="2"/>
      <c r="AZ503" s="1"/>
    </row>
    <row x14ac:dyDescent="0.25" r="504" customHeight="1" ht="15">
      <c r="A504" s="1"/>
      <c r="B504" s="1"/>
      <c r="C504" s="1"/>
      <c r="D504" s="1"/>
      <c r="E504" s="1"/>
      <c r="F504" s="1"/>
      <c r="G504" s="1"/>
      <c r="H504" s="1"/>
      <c r="I504" s="1"/>
      <c r="J504" s="1"/>
      <c r="K504" s="17"/>
      <c r="L504" s="1"/>
      <c r="M504" s="1"/>
      <c r="N504" s="2"/>
      <c r="O504" s="2"/>
      <c r="P504" s="1"/>
      <c r="Q504" s="1"/>
      <c r="R504" s="1"/>
      <c r="S504" s="1"/>
      <c r="T504" s="17"/>
      <c r="U504" s="17"/>
      <c r="V504" s="17"/>
      <c r="W504" s="17"/>
      <c r="X504" s="22"/>
      <c r="Y504" s="22"/>
      <c r="Z504" s="22"/>
      <c r="AA504" s="22"/>
      <c r="AB504" s="22"/>
      <c r="AC504" s="22"/>
      <c r="AD504" s="22"/>
      <c r="AE504" s="22"/>
      <c r="AF504" s="22"/>
      <c r="AG504" s="22"/>
      <c r="AH504" s="22"/>
      <c r="AI504" s="22"/>
      <c r="AJ504" s="17"/>
      <c r="AK504" s="22"/>
      <c r="AL504" s="22"/>
      <c r="AM504" s="22"/>
      <c r="AN504" s="22"/>
      <c r="AO504" s="17"/>
      <c r="AP504" s="17"/>
      <c r="AQ504" s="17"/>
      <c r="AR504" s="1"/>
      <c r="AS504" s="1"/>
      <c r="AT504" s="17"/>
      <c r="AU504" s="1"/>
      <c r="AV504" s="1"/>
      <c r="AW504" s="1"/>
      <c r="AX504" s="2"/>
      <c r="AY504" s="2"/>
      <c r="AZ504" s="1"/>
    </row>
    <row x14ac:dyDescent="0.25" r="505" customHeight="1" ht="15">
      <c r="A505" s="1"/>
      <c r="B505" s="1"/>
      <c r="C505" s="1"/>
      <c r="D505" s="1"/>
      <c r="E505" s="1"/>
      <c r="F505" s="1"/>
      <c r="G505" s="1"/>
      <c r="H505" s="1"/>
      <c r="I505" s="1"/>
      <c r="J505" s="1"/>
      <c r="K505" s="17"/>
      <c r="L505" s="1"/>
      <c r="M505" s="1"/>
      <c r="N505" s="2"/>
      <c r="O505" s="2"/>
      <c r="P505" s="1"/>
      <c r="Q505" s="1"/>
      <c r="R505" s="1"/>
      <c r="S505" s="1"/>
      <c r="T505" s="17"/>
      <c r="U505" s="17"/>
      <c r="V505" s="17"/>
      <c r="W505" s="17"/>
      <c r="X505" s="22"/>
      <c r="Y505" s="22"/>
      <c r="Z505" s="22"/>
      <c r="AA505" s="22"/>
      <c r="AB505" s="22"/>
      <c r="AC505" s="22"/>
      <c r="AD505" s="22"/>
      <c r="AE505" s="22"/>
      <c r="AF505" s="22"/>
      <c r="AG505" s="22"/>
      <c r="AH505" s="22"/>
      <c r="AI505" s="22"/>
      <c r="AJ505" s="17"/>
      <c r="AK505" s="22"/>
      <c r="AL505" s="22"/>
      <c r="AM505" s="22"/>
      <c r="AN505" s="22"/>
      <c r="AO505" s="17"/>
      <c r="AP505" s="17"/>
      <c r="AQ505" s="17"/>
      <c r="AR505" s="1"/>
      <c r="AS505" s="1"/>
      <c r="AT505" s="17"/>
      <c r="AU505" s="1"/>
      <c r="AV505" s="1"/>
      <c r="AW505" s="1"/>
      <c r="AX505" s="2"/>
      <c r="AY505" s="2"/>
      <c r="AZ505" s="1"/>
    </row>
    <row x14ac:dyDescent="0.25" r="506" customHeight="1" ht="15">
      <c r="A506" s="1"/>
      <c r="B506" s="1"/>
      <c r="C506" s="1"/>
      <c r="D506" s="1"/>
      <c r="E506" s="1"/>
      <c r="F506" s="1"/>
      <c r="G506" s="1"/>
      <c r="H506" s="1"/>
      <c r="I506" s="1"/>
      <c r="J506" s="1"/>
      <c r="K506" s="17"/>
      <c r="L506" s="1"/>
      <c r="M506" s="1"/>
      <c r="N506" s="2"/>
      <c r="O506" s="2"/>
      <c r="P506" s="1"/>
      <c r="Q506" s="1"/>
      <c r="R506" s="1"/>
      <c r="S506" s="1"/>
      <c r="T506" s="17"/>
      <c r="U506" s="17"/>
      <c r="V506" s="17"/>
      <c r="W506" s="17"/>
      <c r="X506" s="22"/>
      <c r="Y506" s="22"/>
      <c r="Z506" s="22"/>
      <c r="AA506" s="22"/>
      <c r="AB506" s="22"/>
      <c r="AC506" s="22"/>
      <c r="AD506" s="22"/>
      <c r="AE506" s="22"/>
      <c r="AF506" s="22"/>
      <c r="AG506" s="22"/>
      <c r="AH506" s="22"/>
      <c r="AI506" s="22"/>
      <c r="AJ506" s="17"/>
      <c r="AK506" s="22"/>
      <c r="AL506" s="22"/>
      <c r="AM506" s="22"/>
      <c r="AN506" s="22"/>
      <c r="AO506" s="17"/>
      <c r="AP506" s="17"/>
      <c r="AQ506" s="17"/>
      <c r="AR506" s="1"/>
      <c r="AS506" s="1"/>
      <c r="AT506" s="17"/>
      <c r="AU506" s="1"/>
      <c r="AV506" s="1"/>
      <c r="AW506" s="1"/>
      <c r="AX506" s="2"/>
      <c r="AY506" s="2"/>
      <c r="AZ506" s="1"/>
    </row>
    <row x14ac:dyDescent="0.25" r="507" customHeight="1" ht="15">
      <c r="A507" s="1"/>
      <c r="B507" s="1"/>
      <c r="C507" s="1"/>
      <c r="D507" s="1"/>
      <c r="E507" s="1"/>
      <c r="F507" s="1"/>
      <c r="G507" s="1"/>
      <c r="H507" s="1"/>
      <c r="I507" s="1"/>
      <c r="J507" s="1"/>
      <c r="K507" s="17"/>
      <c r="L507" s="1"/>
      <c r="M507" s="1"/>
      <c r="N507" s="2"/>
      <c r="O507" s="2"/>
      <c r="P507" s="1"/>
      <c r="Q507" s="1"/>
      <c r="R507" s="1"/>
      <c r="S507" s="1"/>
      <c r="T507" s="17"/>
      <c r="U507" s="17"/>
      <c r="V507" s="17"/>
      <c r="W507" s="17"/>
      <c r="X507" s="22"/>
      <c r="Y507" s="22"/>
      <c r="Z507" s="22"/>
      <c r="AA507" s="22"/>
      <c r="AB507" s="22"/>
      <c r="AC507" s="22"/>
      <c r="AD507" s="22"/>
      <c r="AE507" s="22"/>
      <c r="AF507" s="22"/>
      <c r="AG507" s="22"/>
      <c r="AH507" s="22"/>
      <c r="AI507" s="22"/>
      <c r="AJ507" s="17"/>
      <c r="AK507" s="22"/>
      <c r="AL507" s="22"/>
      <c r="AM507" s="22"/>
      <c r="AN507" s="22"/>
      <c r="AO507" s="17"/>
      <c r="AP507" s="17"/>
      <c r="AQ507" s="17"/>
      <c r="AR507" s="1"/>
      <c r="AS507" s="1"/>
      <c r="AT507" s="17"/>
      <c r="AU507" s="1"/>
      <c r="AV507" s="1"/>
      <c r="AW507" s="1"/>
      <c r="AX507" s="2"/>
      <c r="AY507" s="2"/>
      <c r="AZ507" s="1"/>
    </row>
    <row x14ac:dyDescent="0.25" r="508" customHeight="1" ht="15">
      <c r="A508" s="1"/>
      <c r="B508" s="1"/>
      <c r="C508" s="1"/>
      <c r="D508" s="1"/>
      <c r="E508" s="1"/>
      <c r="F508" s="1"/>
      <c r="G508" s="1"/>
      <c r="H508" s="1"/>
      <c r="I508" s="1"/>
      <c r="J508" s="1"/>
      <c r="K508" s="17"/>
      <c r="L508" s="1"/>
      <c r="M508" s="1"/>
      <c r="N508" s="2"/>
      <c r="O508" s="2"/>
      <c r="P508" s="1"/>
      <c r="Q508" s="1"/>
      <c r="R508" s="1"/>
      <c r="S508" s="1"/>
      <c r="T508" s="17"/>
      <c r="U508" s="17"/>
      <c r="V508" s="17"/>
      <c r="W508" s="17"/>
      <c r="X508" s="22"/>
      <c r="Y508" s="22"/>
      <c r="Z508" s="22"/>
      <c r="AA508" s="22"/>
      <c r="AB508" s="22"/>
      <c r="AC508" s="22"/>
      <c r="AD508" s="22"/>
      <c r="AE508" s="22"/>
      <c r="AF508" s="22"/>
      <c r="AG508" s="22"/>
      <c r="AH508" s="22"/>
      <c r="AI508" s="22"/>
      <c r="AJ508" s="17"/>
      <c r="AK508" s="22"/>
      <c r="AL508" s="22"/>
      <c r="AM508" s="22"/>
      <c r="AN508" s="22"/>
      <c r="AO508" s="17"/>
      <c r="AP508" s="17"/>
      <c r="AQ508" s="17"/>
      <c r="AR508" s="1"/>
      <c r="AS508" s="1"/>
      <c r="AT508" s="17"/>
      <c r="AU508" s="1"/>
      <c r="AV508" s="1"/>
      <c r="AW508" s="1"/>
      <c r="AX508" s="2"/>
      <c r="AY508" s="2"/>
      <c r="AZ508" s="1"/>
    </row>
    <row x14ac:dyDescent="0.25" r="509" customHeight="1" ht="15">
      <c r="A509" s="1"/>
      <c r="B509" s="1"/>
      <c r="C509" s="1"/>
      <c r="D509" s="1"/>
      <c r="E509" s="1"/>
      <c r="F509" s="1"/>
      <c r="G509" s="1"/>
      <c r="H509" s="1"/>
      <c r="I509" s="1"/>
      <c r="J509" s="1"/>
      <c r="K509" s="17"/>
      <c r="L509" s="1"/>
      <c r="M509" s="1"/>
      <c r="N509" s="2"/>
      <c r="O509" s="2"/>
      <c r="P509" s="1"/>
      <c r="Q509" s="1"/>
      <c r="R509" s="1"/>
      <c r="S509" s="1"/>
      <c r="T509" s="17"/>
      <c r="U509" s="17"/>
      <c r="V509" s="17"/>
      <c r="W509" s="17"/>
      <c r="X509" s="22"/>
      <c r="Y509" s="22"/>
      <c r="Z509" s="22"/>
      <c r="AA509" s="22"/>
      <c r="AB509" s="22"/>
      <c r="AC509" s="22"/>
      <c r="AD509" s="22"/>
      <c r="AE509" s="22"/>
      <c r="AF509" s="22"/>
      <c r="AG509" s="22"/>
      <c r="AH509" s="22"/>
      <c r="AI509" s="22"/>
      <c r="AJ509" s="17"/>
      <c r="AK509" s="22"/>
      <c r="AL509" s="22"/>
      <c r="AM509" s="22"/>
      <c r="AN509" s="22"/>
      <c r="AO509" s="17"/>
      <c r="AP509" s="17"/>
      <c r="AQ509" s="17"/>
      <c r="AR509" s="1"/>
      <c r="AS509" s="1"/>
      <c r="AT509" s="17"/>
      <c r="AU509" s="1"/>
      <c r="AV509" s="1"/>
      <c r="AW509" s="1"/>
      <c r="AX509" s="2"/>
      <c r="AY509" s="2"/>
      <c r="AZ509" s="1"/>
    </row>
    <row x14ac:dyDescent="0.25" r="510" customHeight="1" ht="15">
      <c r="A510" s="1"/>
      <c r="B510" s="1"/>
      <c r="C510" s="1"/>
      <c r="D510" s="1"/>
      <c r="E510" s="1"/>
      <c r="F510" s="1"/>
      <c r="G510" s="1"/>
      <c r="H510" s="1"/>
      <c r="I510" s="1"/>
      <c r="J510" s="1"/>
      <c r="K510" s="17"/>
      <c r="L510" s="1"/>
      <c r="M510" s="1"/>
      <c r="N510" s="2"/>
      <c r="O510" s="2"/>
      <c r="P510" s="1"/>
      <c r="Q510" s="1"/>
      <c r="R510" s="1"/>
      <c r="S510" s="1"/>
      <c r="T510" s="17"/>
      <c r="U510" s="17"/>
      <c r="V510" s="17"/>
      <c r="W510" s="17"/>
      <c r="X510" s="22"/>
      <c r="Y510" s="22"/>
      <c r="Z510" s="22"/>
      <c r="AA510" s="22"/>
      <c r="AB510" s="22"/>
      <c r="AC510" s="22"/>
      <c r="AD510" s="22"/>
      <c r="AE510" s="22"/>
      <c r="AF510" s="22"/>
      <c r="AG510" s="22"/>
      <c r="AH510" s="22"/>
      <c r="AI510" s="22"/>
      <c r="AJ510" s="17"/>
      <c r="AK510" s="22"/>
      <c r="AL510" s="22"/>
      <c r="AM510" s="22"/>
      <c r="AN510" s="22"/>
      <c r="AO510" s="17"/>
      <c r="AP510" s="17"/>
      <c r="AQ510" s="17"/>
      <c r="AR510" s="1"/>
      <c r="AS510" s="1"/>
      <c r="AT510" s="17"/>
      <c r="AU510" s="1"/>
      <c r="AV510" s="1"/>
      <c r="AW510" s="1"/>
      <c r="AX510" s="2"/>
      <c r="AY510" s="2"/>
      <c r="AZ510" s="1"/>
    </row>
    <row x14ac:dyDescent="0.25" r="511" customHeight="1" ht="15">
      <c r="A511" s="1"/>
      <c r="B511" s="1"/>
      <c r="C511" s="1"/>
      <c r="D511" s="1"/>
      <c r="E511" s="1"/>
      <c r="F511" s="1"/>
      <c r="G511" s="1"/>
      <c r="H511" s="1"/>
      <c r="I511" s="1"/>
      <c r="J511" s="1"/>
      <c r="K511" s="17"/>
      <c r="L511" s="1"/>
      <c r="M511" s="1"/>
      <c r="N511" s="2"/>
      <c r="O511" s="2"/>
      <c r="P511" s="1"/>
      <c r="Q511" s="1"/>
      <c r="R511" s="1"/>
      <c r="S511" s="1"/>
      <c r="T511" s="17"/>
      <c r="U511" s="17"/>
      <c r="V511" s="17"/>
      <c r="W511" s="17"/>
      <c r="X511" s="22"/>
      <c r="Y511" s="22"/>
      <c r="Z511" s="22"/>
      <c r="AA511" s="22"/>
      <c r="AB511" s="22"/>
      <c r="AC511" s="22"/>
      <c r="AD511" s="22"/>
      <c r="AE511" s="22"/>
      <c r="AF511" s="22"/>
      <c r="AG511" s="22"/>
      <c r="AH511" s="22"/>
      <c r="AI511" s="22"/>
      <c r="AJ511" s="17"/>
      <c r="AK511" s="22"/>
      <c r="AL511" s="22"/>
      <c r="AM511" s="22"/>
      <c r="AN511" s="22"/>
      <c r="AO511" s="17"/>
      <c r="AP511" s="17"/>
      <c r="AQ511" s="17"/>
      <c r="AR511" s="1"/>
      <c r="AS511" s="1"/>
      <c r="AT511" s="17"/>
      <c r="AU511" s="1"/>
      <c r="AV511" s="1"/>
      <c r="AW511" s="1"/>
      <c r="AX511" s="2"/>
      <c r="AY511" s="2"/>
      <c r="AZ511" s="1"/>
    </row>
    <row x14ac:dyDescent="0.25" r="512" customHeight="1" ht="15">
      <c r="A512" s="1"/>
      <c r="B512" s="1"/>
      <c r="C512" s="1"/>
      <c r="D512" s="1"/>
      <c r="E512" s="1"/>
      <c r="F512" s="1"/>
      <c r="G512" s="1"/>
      <c r="H512" s="1"/>
      <c r="I512" s="1"/>
      <c r="J512" s="1"/>
      <c r="K512" s="17"/>
      <c r="L512" s="1"/>
      <c r="M512" s="1"/>
      <c r="N512" s="2"/>
      <c r="O512" s="2"/>
      <c r="P512" s="1"/>
      <c r="Q512" s="1"/>
      <c r="R512" s="1"/>
      <c r="S512" s="1"/>
      <c r="T512" s="17"/>
      <c r="U512" s="17"/>
      <c r="V512" s="17"/>
      <c r="W512" s="17"/>
      <c r="X512" s="22"/>
      <c r="Y512" s="22"/>
      <c r="Z512" s="22"/>
      <c r="AA512" s="22"/>
      <c r="AB512" s="22"/>
      <c r="AC512" s="22"/>
      <c r="AD512" s="22"/>
      <c r="AE512" s="22"/>
      <c r="AF512" s="22"/>
      <c r="AG512" s="22"/>
      <c r="AH512" s="22"/>
      <c r="AI512" s="22"/>
      <c r="AJ512" s="17"/>
      <c r="AK512" s="22"/>
      <c r="AL512" s="22"/>
      <c r="AM512" s="22"/>
      <c r="AN512" s="22"/>
      <c r="AO512" s="17"/>
      <c r="AP512" s="17"/>
      <c r="AQ512" s="17"/>
      <c r="AR512" s="1"/>
      <c r="AS512" s="1"/>
      <c r="AT512" s="17"/>
      <c r="AU512" s="1"/>
      <c r="AV512" s="1"/>
      <c r="AW512" s="1"/>
      <c r="AX512" s="2"/>
      <c r="AY512" s="2"/>
      <c r="AZ512" s="1"/>
    </row>
    <row x14ac:dyDescent="0.25" r="513" customHeight="1" ht="15">
      <c r="A513" s="1"/>
      <c r="B513" s="1"/>
      <c r="C513" s="1"/>
      <c r="D513" s="1"/>
      <c r="E513" s="1"/>
      <c r="F513" s="1"/>
      <c r="G513" s="1"/>
      <c r="H513" s="1"/>
      <c r="I513" s="1"/>
      <c r="J513" s="1"/>
      <c r="K513" s="17"/>
      <c r="L513" s="1"/>
      <c r="M513" s="1"/>
      <c r="N513" s="2"/>
      <c r="O513" s="2"/>
      <c r="P513" s="1"/>
      <c r="Q513" s="1"/>
      <c r="R513" s="1"/>
      <c r="S513" s="1"/>
      <c r="T513" s="17"/>
      <c r="U513" s="17"/>
      <c r="V513" s="17"/>
      <c r="W513" s="17"/>
      <c r="X513" s="22"/>
      <c r="Y513" s="22"/>
      <c r="Z513" s="22"/>
      <c r="AA513" s="22"/>
      <c r="AB513" s="22"/>
      <c r="AC513" s="22"/>
      <c r="AD513" s="22"/>
      <c r="AE513" s="22"/>
      <c r="AF513" s="22"/>
      <c r="AG513" s="22"/>
      <c r="AH513" s="22"/>
      <c r="AI513" s="22"/>
      <c r="AJ513" s="17"/>
      <c r="AK513" s="22"/>
      <c r="AL513" s="22"/>
      <c r="AM513" s="22"/>
      <c r="AN513" s="22"/>
      <c r="AO513" s="17"/>
      <c r="AP513" s="17"/>
      <c r="AQ513" s="17"/>
      <c r="AR513" s="1"/>
      <c r="AS513" s="1"/>
      <c r="AT513" s="17"/>
      <c r="AU513" s="1"/>
      <c r="AV513" s="1"/>
      <c r="AW513" s="1"/>
      <c r="AX513" s="2"/>
      <c r="AY513" s="2"/>
      <c r="AZ513" s="1"/>
    </row>
    <row x14ac:dyDescent="0.25" r="514" customHeight="1" ht="15">
      <c r="A514" s="1"/>
      <c r="B514" s="1"/>
      <c r="C514" s="1"/>
      <c r="D514" s="1"/>
      <c r="E514" s="1"/>
      <c r="F514" s="1"/>
      <c r="G514" s="1"/>
      <c r="H514" s="1"/>
      <c r="I514" s="1"/>
      <c r="J514" s="1"/>
      <c r="K514" s="17"/>
      <c r="L514" s="1"/>
      <c r="M514" s="1"/>
      <c r="N514" s="2"/>
      <c r="O514" s="2"/>
      <c r="P514" s="1"/>
      <c r="Q514" s="1"/>
      <c r="R514" s="1"/>
      <c r="S514" s="1"/>
      <c r="T514" s="17"/>
      <c r="U514" s="17"/>
      <c r="V514" s="17"/>
      <c r="W514" s="17"/>
      <c r="X514" s="22"/>
      <c r="Y514" s="22"/>
      <c r="Z514" s="22"/>
      <c r="AA514" s="22"/>
      <c r="AB514" s="22"/>
      <c r="AC514" s="22"/>
      <c r="AD514" s="22"/>
      <c r="AE514" s="22"/>
      <c r="AF514" s="22"/>
      <c r="AG514" s="22"/>
      <c r="AH514" s="22"/>
      <c r="AI514" s="22"/>
      <c r="AJ514" s="17"/>
      <c r="AK514" s="22"/>
      <c r="AL514" s="22"/>
      <c r="AM514" s="22"/>
      <c r="AN514" s="22"/>
      <c r="AO514" s="17"/>
      <c r="AP514" s="17"/>
      <c r="AQ514" s="17"/>
      <c r="AR514" s="1"/>
      <c r="AS514" s="1"/>
      <c r="AT514" s="17"/>
      <c r="AU514" s="1"/>
      <c r="AV514" s="1"/>
      <c r="AW514" s="1"/>
      <c r="AX514" s="2"/>
      <c r="AY514" s="2"/>
      <c r="AZ514" s="1"/>
    </row>
    <row x14ac:dyDescent="0.25" r="515" customHeight="1" ht="15">
      <c r="A515" s="1"/>
      <c r="B515" s="1"/>
      <c r="C515" s="1"/>
      <c r="D515" s="1"/>
      <c r="E515" s="1"/>
      <c r="F515" s="1"/>
      <c r="G515" s="1"/>
      <c r="H515" s="1"/>
      <c r="I515" s="1"/>
      <c r="J515" s="1"/>
      <c r="K515" s="17"/>
      <c r="L515" s="1"/>
      <c r="M515" s="1"/>
      <c r="N515" s="2"/>
      <c r="O515" s="2"/>
      <c r="P515" s="1"/>
      <c r="Q515" s="1"/>
      <c r="R515" s="1"/>
      <c r="S515" s="1"/>
      <c r="T515" s="17"/>
      <c r="U515" s="17"/>
      <c r="V515" s="17"/>
      <c r="W515" s="17"/>
      <c r="X515" s="22"/>
      <c r="Y515" s="22"/>
      <c r="Z515" s="22"/>
      <c r="AA515" s="22"/>
      <c r="AB515" s="22"/>
      <c r="AC515" s="22"/>
      <c r="AD515" s="22"/>
      <c r="AE515" s="22"/>
      <c r="AF515" s="22"/>
      <c r="AG515" s="22"/>
      <c r="AH515" s="22"/>
      <c r="AI515" s="22"/>
      <c r="AJ515" s="17"/>
      <c r="AK515" s="22"/>
      <c r="AL515" s="22"/>
      <c r="AM515" s="22"/>
      <c r="AN515" s="22"/>
      <c r="AO515" s="17"/>
      <c r="AP515" s="17"/>
      <c r="AQ515" s="17"/>
      <c r="AR515" s="1"/>
      <c r="AS515" s="1"/>
      <c r="AT515" s="17"/>
      <c r="AU515" s="1"/>
      <c r="AV515" s="1"/>
      <c r="AW515" s="1"/>
      <c r="AX515" s="2"/>
      <c r="AY515" s="2"/>
      <c r="AZ515" s="1"/>
    </row>
    <row x14ac:dyDescent="0.25" r="516" customHeight="1" ht="15">
      <c r="A516" s="1"/>
      <c r="B516" s="1"/>
      <c r="C516" s="1"/>
      <c r="D516" s="1"/>
      <c r="E516" s="1"/>
      <c r="F516" s="1"/>
      <c r="G516" s="1"/>
      <c r="H516" s="1"/>
      <c r="I516" s="1"/>
      <c r="J516" s="1"/>
      <c r="K516" s="17"/>
      <c r="L516" s="1"/>
      <c r="M516" s="1"/>
      <c r="N516" s="2"/>
      <c r="O516" s="2"/>
      <c r="P516" s="1"/>
      <c r="Q516" s="1"/>
      <c r="R516" s="1"/>
      <c r="S516" s="1"/>
      <c r="T516" s="17"/>
      <c r="U516" s="17"/>
      <c r="V516" s="17"/>
      <c r="W516" s="17"/>
      <c r="X516" s="22"/>
      <c r="Y516" s="22"/>
      <c r="Z516" s="22"/>
      <c r="AA516" s="22"/>
      <c r="AB516" s="22"/>
      <c r="AC516" s="22"/>
      <c r="AD516" s="22"/>
      <c r="AE516" s="22"/>
      <c r="AF516" s="22"/>
      <c r="AG516" s="22"/>
      <c r="AH516" s="22"/>
      <c r="AI516" s="22"/>
      <c r="AJ516" s="17"/>
      <c r="AK516" s="22"/>
      <c r="AL516" s="22"/>
      <c r="AM516" s="22"/>
      <c r="AN516" s="22"/>
      <c r="AO516" s="17"/>
      <c r="AP516" s="17"/>
      <c r="AQ516" s="17"/>
      <c r="AR516" s="1"/>
      <c r="AS516" s="1"/>
      <c r="AT516" s="17"/>
      <c r="AU516" s="1"/>
      <c r="AV516" s="1"/>
      <c r="AW516" s="1"/>
      <c r="AX516" s="2"/>
      <c r="AY516" s="2"/>
      <c r="AZ516" s="1"/>
    </row>
    <row x14ac:dyDescent="0.25" r="517" customHeight="1" ht="15">
      <c r="A517" s="1"/>
      <c r="B517" s="1"/>
      <c r="C517" s="1"/>
      <c r="D517" s="1"/>
      <c r="E517" s="1"/>
      <c r="F517" s="1"/>
      <c r="G517" s="1"/>
      <c r="H517" s="1"/>
      <c r="I517" s="1"/>
      <c r="J517" s="1"/>
      <c r="K517" s="17"/>
      <c r="L517" s="1"/>
      <c r="M517" s="1"/>
      <c r="N517" s="2"/>
      <c r="O517" s="2"/>
      <c r="P517" s="1"/>
      <c r="Q517" s="1"/>
      <c r="R517" s="1"/>
      <c r="S517" s="1"/>
      <c r="T517" s="17"/>
      <c r="U517" s="17"/>
      <c r="V517" s="17"/>
      <c r="W517" s="17"/>
      <c r="X517" s="22"/>
      <c r="Y517" s="22"/>
      <c r="Z517" s="22"/>
      <c r="AA517" s="22"/>
      <c r="AB517" s="22"/>
      <c r="AC517" s="22"/>
      <c r="AD517" s="22"/>
      <c r="AE517" s="22"/>
      <c r="AF517" s="22"/>
      <c r="AG517" s="22"/>
      <c r="AH517" s="22"/>
      <c r="AI517" s="22"/>
      <c r="AJ517" s="17"/>
      <c r="AK517" s="22"/>
      <c r="AL517" s="22"/>
      <c r="AM517" s="22"/>
      <c r="AN517" s="22"/>
      <c r="AO517" s="17"/>
      <c r="AP517" s="17"/>
      <c r="AQ517" s="17"/>
      <c r="AR517" s="1"/>
      <c r="AS517" s="1"/>
      <c r="AT517" s="17"/>
      <c r="AU517" s="1"/>
      <c r="AV517" s="1"/>
      <c r="AW517" s="1"/>
      <c r="AX517" s="2"/>
      <c r="AY517" s="2"/>
      <c r="AZ517" s="1"/>
    </row>
    <row x14ac:dyDescent="0.25" r="518" customHeight="1" ht="15">
      <c r="A518" s="1"/>
      <c r="B518" s="1"/>
      <c r="C518" s="1"/>
      <c r="D518" s="1"/>
      <c r="E518" s="1"/>
      <c r="F518" s="1"/>
      <c r="G518" s="1"/>
      <c r="H518" s="1"/>
      <c r="I518" s="1"/>
      <c r="J518" s="1"/>
      <c r="K518" s="17"/>
      <c r="L518" s="1"/>
      <c r="M518" s="1"/>
      <c r="N518" s="2"/>
      <c r="O518" s="2"/>
      <c r="P518" s="1"/>
      <c r="Q518" s="1"/>
      <c r="R518" s="1"/>
      <c r="S518" s="1"/>
      <c r="T518" s="17"/>
      <c r="U518" s="17"/>
      <c r="V518" s="17"/>
      <c r="W518" s="17"/>
      <c r="X518" s="22"/>
      <c r="Y518" s="22"/>
      <c r="Z518" s="22"/>
      <c r="AA518" s="22"/>
      <c r="AB518" s="22"/>
      <c r="AC518" s="22"/>
      <c r="AD518" s="22"/>
      <c r="AE518" s="22"/>
      <c r="AF518" s="22"/>
      <c r="AG518" s="22"/>
      <c r="AH518" s="22"/>
      <c r="AI518" s="22"/>
      <c r="AJ518" s="17"/>
      <c r="AK518" s="22"/>
      <c r="AL518" s="22"/>
      <c r="AM518" s="22"/>
      <c r="AN518" s="22"/>
      <c r="AO518" s="17"/>
      <c r="AP518" s="17"/>
      <c r="AQ518" s="17"/>
      <c r="AR518" s="1"/>
      <c r="AS518" s="1"/>
      <c r="AT518" s="17"/>
      <c r="AU518" s="1"/>
      <c r="AV518" s="1"/>
      <c r="AW518" s="1"/>
      <c r="AX518" s="2"/>
      <c r="AY518" s="2"/>
      <c r="AZ518" s="1"/>
    </row>
    <row x14ac:dyDescent="0.25" r="519" customHeight="1" ht="15">
      <c r="A519" s="1"/>
      <c r="B519" s="1"/>
      <c r="C519" s="1"/>
      <c r="D519" s="1"/>
      <c r="E519" s="1"/>
      <c r="F519" s="1"/>
      <c r="G519" s="1"/>
      <c r="H519" s="1"/>
      <c r="I519" s="1"/>
      <c r="J519" s="1"/>
      <c r="K519" s="17"/>
      <c r="L519" s="1"/>
      <c r="M519" s="1"/>
      <c r="N519" s="2"/>
      <c r="O519" s="2"/>
      <c r="P519" s="1"/>
      <c r="Q519" s="1"/>
      <c r="R519" s="1"/>
      <c r="S519" s="1"/>
      <c r="T519" s="17"/>
      <c r="U519" s="17"/>
      <c r="V519" s="17"/>
      <c r="W519" s="17"/>
      <c r="X519" s="22"/>
      <c r="Y519" s="22"/>
      <c r="Z519" s="22"/>
      <c r="AA519" s="22"/>
      <c r="AB519" s="22"/>
      <c r="AC519" s="22"/>
      <c r="AD519" s="22"/>
      <c r="AE519" s="22"/>
      <c r="AF519" s="22"/>
      <c r="AG519" s="22"/>
      <c r="AH519" s="22"/>
      <c r="AI519" s="22"/>
      <c r="AJ519" s="17"/>
      <c r="AK519" s="22"/>
      <c r="AL519" s="22"/>
      <c r="AM519" s="22"/>
      <c r="AN519" s="22"/>
      <c r="AO519" s="17"/>
      <c r="AP519" s="17"/>
      <c r="AQ519" s="17"/>
      <c r="AR519" s="1"/>
      <c r="AS519" s="1"/>
      <c r="AT519" s="17"/>
      <c r="AU519" s="1"/>
      <c r="AV519" s="1"/>
      <c r="AW519" s="1"/>
      <c r="AX519" s="2"/>
      <c r="AY519" s="2"/>
      <c r="AZ519" s="1"/>
    </row>
    <row x14ac:dyDescent="0.25" r="520" customHeight="1" ht="15">
      <c r="A520" s="1"/>
      <c r="B520" s="1"/>
      <c r="C520" s="1"/>
      <c r="D520" s="1"/>
      <c r="E520" s="1"/>
      <c r="F520" s="1"/>
      <c r="G520" s="1"/>
      <c r="H520" s="1"/>
      <c r="I520" s="1"/>
      <c r="J520" s="1"/>
      <c r="K520" s="17"/>
      <c r="L520" s="1"/>
      <c r="M520" s="1"/>
      <c r="N520" s="2"/>
      <c r="O520" s="2"/>
      <c r="P520" s="1"/>
      <c r="Q520" s="1"/>
      <c r="R520" s="1"/>
      <c r="S520" s="1"/>
      <c r="T520" s="17"/>
      <c r="U520" s="17"/>
      <c r="V520" s="17"/>
      <c r="W520" s="17"/>
      <c r="X520" s="22"/>
      <c r="Y520" s="22"/>
      <c r="Z520" s="22"/>
      <c r="AA520" s="22"/>
      <c r="AB520" s="22"/>
      <c r="AC520" s="22"/>
      <c r="AD520" s="22"/>
      <c r="AE520" s="22"/>
      <c r="AF520" s="22"/>
      <c r="AG520" s="22"/>
      <c r="AH520" s="22"/>
      <c r="AI520" s="22"/>
      <c r="AJ520" s="17"/>
      <c r="AK520" s="22"/>
      <c r="AL520" s="22"/>
      <c r="AM520" s="22"/>
      <c r="AN520" s="22"/>
      <c r="AO520" s="17"/>
      <c r="AP520" s="17"/>
      <c r="AQ520" s="17"/>
      <c r="AR520" s="1"/>
      <c r="AS520" s="1"/>
      <c r="AT520" s="17"/>
      <c r="AU520" s="1"/>
      <c r="AV520" s="1"/>
      <c r="AW520" s="1"/>
      <c r="AX520" s="2"/>
      <c r="AY520" s="2"/>
      <c r="AZ520" s="1"/>
    </row>
    <row x14ac:dyDescent="0.25" r="521" customHeight="1" ht="15">
      <c r="A521" s="1"/>
      <c r="B521" s="1"/>
      <c r="C521" s="1"/>
      <c r="D521" s="1"/>
      <c r="E521" s="1"/>
      <c r="F521" s="1"/>
      <c r="G521" s="1"/>
      <c r="H521" s="1"/>
      <c r="I521" s="1"/>
      <c r="J521" s="1"/>
      <c r="K521" s="17"/>
      <c r="L521" s="1"/>
      <c r="M521" s="1"/>
      <c r="N521" s="2"/>
      <c r="O521" s="2"/>
      <c r="P521" s="1"/>
      <c r="Q521" s="1"/>
      <c r="R521" s="1"/>
      <c r="S521" s="1"/>
      <c r="T521" s="17"/>
      <c r="U521" s="17"/>
      <c r="V521" s="17"/>
      <c r="W521" s="17"/>
      <c r="X521" s="22"/>
      <c r="Y521" s="22"/>
      <c r="Z521" s="22"/>
      <c r="AA521" s="22"/>
      <c r="AB521" s="22"/>
      <c r="AC521" s="22"/>
      <c r="AD521" s="22"/>
      <c r="AE521" s="22"/>
      <c r="AF521" s="22"/>
      <c r="AG521" s="22"/>
      <c r="AH521" s="22"/>
      <c r="AI521" s="22"/>
      <c r="AJ521" s="17"/>
      <c r="AK521" s="22"/>
      <c r="AL521" s="22"/>
      <c r="AM521" s="22"/>
      <c r="AN521" s="22"/>
      <c r="AO521" s="17"/>
      <c r="AP521" s="17"/>
      <c r="AQ521" s="17"/>
      <c r="AR521" s="1"/>
      <c r="AS521" s="1"/>
      <c r="AT521" s="17"/>
      <c r="AU521" s="1"/>
      <c r="AV521" s="1"/>
      <c r="AW521" s="1"/>
      <c r="AX521" s="2"/>
      <c r="AY521" s="2"/>
      <c r="AZ521" s="1"/>
    </row>
    <row x14ac:dyDescent="0.25" r="522" customHeight="1" ht="15">
      <c r="A522" s="1"/>
      <c r="B522" s="1"/>
      <c r="C522" s="1"/>
      <c r="D522" s="1"/>
      <c r="E522" s="1"/>
      <c r="F522" s="1"/>
      <c r="G522" s="1"/>
      <c r="H522" s="1"/>
      <c r="I522" s="1"/>
      <c r="J522" s="1"/>
      <c r="K522" s="17"/>
      <c r="L522" s="1"/>
      <c r="M522" s="1"/>
      <c r="N522" s="2"/>
      <c r="O522" s="2"/>
      <c r="P522" s="1"/>
      <c r="Q522" s="1"/>
      <c r="R522" s="1"/>
      <c r="S522" s="1"/>
      <c r="T522" s="17"/>
      <c r="U522" s="17"/>
      <c r="V522" s="17"/>
      <c r="W522" s="17"/>
      <c r="X522" s="22"/>
      <c r="Y522" s="22"/>
      <c r="Z522" s="22"/>
      <c r="AA522" s="22"/>
      <c r="AB522" s="22"/>
      <c r="AC522" s="22"/>
      <c r="AD522" s="22"/>
      <c r="AE522" s="22"/>
      <c r="AF522" s="22"/>
      <c r="AG522" s="22"/>
      <c r="AH522" s="22"/>
      <c r="AI522" s="22"/>
      <c r="AJ522" s="17"/>
      <c r="AK522" s="22"/>
      <c r="AL522" s="22"/>
      <c r="AM522" s="22"/>
      <c r="AN522" s="22"/>
      <c r="AO522" s="17"/>
      <c r="AP522" s="17"/>
      <c r="AQ522" s="17"/>
      <c r="AR522" s="1"/>
      <c r="AS522" s="1"/>
      <c r="AT522" s="17"/>
      <c r="AU522" s="1"/>
      <c r="AV522" s="1"/>
      <c r="AW522" s="1"/>
      <c r="AX522" s="2"/>
      <c r="AY522" s="2"/>
      <c r="AZ522" s="1"/>
    </row>
    <row x14ac:dyDescent="0.25" r="523" customHeight="1" ht="15">
      <c r="A523" s="1"/>
      <c r="B523" s="1"/>
      <c r="C523" s="1"/>
      <c r="D523" s="1"/>
      <c r="E523" s="1"/>
      <c r="F523" s="1"/>
      <c r="G523" s="1"/>
      <c r="H523" s="1"/>
      <c r="I523" s="1"/>
      <c r="J523" s="1"/>
      <c r="K523" s="17"/>
      <c r="L523" s="1"/>
      <c r="M523" s="1"/>
      <c r="N523" s="2"/>
      <c r="O523" s="2"/>
      <c r="P523" s="1"/>
      <c r="Q523" s="1"/>
      <c r="R523" s="1"/>
      <c r="S523" s="1"/>
      <c r="T523" s="17"/>
      <c r="U523" s="17"/>
      <c r="V523" s="17"/>
      <c r="W523" s="17"/>
      <c r="X523" s="22"/>
      <c r="Y523" s="22"/>
      <c r="Z523" s="22"/>
      <c r="AA523" s="22"/>
      <c r="AB523" s="22"/>
      <c r="AC523" s="22"/>
      <c r="AD523" s="22"/>
      <c r="AE523" s="22"/>
      <c r="AF523" s="22"/>
      <c r="AG523" s="22"/>
      <c r="AH523" s="22"/>
      <c r="AI523" s="22"/>
      <c r="AJ523" s="17"/>
      <c r="AK523" s="22"/>
      <c r="AL523" s="22"/>
      <c r="AM523" s="22"/>
      <c r="AN523" s="22"/>
      <c r="AO523" s="17"/>
      <c r="AP523" s="17"/>
      <c r="AQ523" s="17"/>
      <c r="AR523" s="1"/>
      <c r="AS523" s="1"/>
      <c r="AT523" s="17"/>
      <c r="AU523" s="1"/>
      <c r="AV523" s="1"/>
      <c r="AW523" s="1"/>
      <c r="AX523" s="2"/>
      <c r="AY523" s="2"/>
      <c r="AZ523" s="1"/>
    </row>
    <row x14ac:dyDescent="0.25" r="524" customHeight="1" ht="15">
      <c r="A524" s="1"/>
      <c r="B524" s="1"/>
      <c r="C524" s="1"/>
      <c r="D524" s="1"/>
      <c r="E524" s="1"/>
      <c r="F524" s="1"/>
      <c r="G524" s="1"/>
      <c r="H524" s="1"/>
      <c r="I524" s="1"/>
      <c r="J524" s="1"/>
      <c r="K524" s="17"/>
      <c r="L524" s="1"/>
      <c r="M524" s="1"/>
      <c r="N524" s="2"/>
      <c r="O524" s="2"/>
      <c r="P524" s="1"/>
      <c r="Q524" s="1"/>
      <c r="R524" s="1"/>
      <c r="S524" s="1"/>
      <c r="T524" s="17"/>
      <c r="U524" s="17"/>
      <c r="V524" s="17"/>
      <c r="W524" s="17"/>
      <c r="X524" s="22"/>
      <c r="Y524" s="22"/>
      <c r="Z524" s="22"/>
      <c r="AA524" s="22"/>
      <c r="AB524" s="22"/>
      <c r="AC524" s="22"/>
      <c r="AD524" s="22"/>
      <c r="AE524" s="22"/>
      <c r="AF524" s="22"/>
      <c r="AG524" s="22"/>
      <c r="AH524" s="22"/>
      <c r="AI524" s="22"/>
      <c r="AJ524" s="17"/>
      <c r="AK524" s="22"/>
      <c r="AL524" s="22"/>
      <c r="AM524" s="22"/>
      <c r="AN524" s="22"/>
      <c r="AO524" s="17"/>
      <c r="AP524" s="17"/>
      <c r="AQ524" s="17"/>
      <c r="AR524" s="1"/>
      <c r="AS524" s="1"/>
      <c r="AT524" s="17"/>
      <c r="AU524" s="1"/>
      <c r="AV524" s="1"/>
      <c r="AW524" s="1"/>
      <c r="AX524" s="2"/>
      <c r="AY524" s="2"/>
      <c r="AZ524" s="1"/>
    </row>
    <row x14ac:dyDescent="0.25" r="525" customHeight="1" ht="15">
      <c r="A525" s="1"/>
      <c r="B525" s="1"/>
      <c r="C525" s="1"/>
      <c r="D525" s="1"/>
      <c r="E525" s="1"/>
      <c r="F525" s="1"/>
      <c r="G525" s="1"/>
      <c r="H525" s="1"/>
      <c r="I525" s="1"/>
      <c r="J525" s="1"/>
      <c r="K525" s="17"/>
      <c r="L525" s="1"/>
      <c r="M525" s="1"/>
      <c r="N525" s="2"/>
      <c r="O525" s="2"/>
      <c r="P525" s="1"/>
      <c r="Q525" s="1"/>
      <c r="R525" s="1"/>
      <c r="S525" s="1"/>
      <c r="T525" s="17"/>
      <c r="U525" s="17"/>
      <c r="V525" s="17"/>
      <c r="W525" s="17"/>
      <c r="X525" s="22"/>
      <c r="Y525" s="22"/>
      <c r="Z525" s="22"/>
      <c r="AA525" s="22"/>
      <c r="AB525" s="22"/>
      <c r="AC525" s="22"/>
      <c r="AD525" s="22"/>
      <c r="AE525" s="22"/>
      <c r="AF525" s="22"/>
      <c r="AG525" s="22"/>
      <c r="AH525" s="22"/>
      <c r="AI525" s="22"/>
      <c r="AJ525" s="17"/>
      <c r="AK525" s="22"/>
      <c r="AL525" s="22"/>
      <c r="AM525" s="22"/>
      <c r="AN525" s="22"/>
      <c r="AO525" s="17"/>
      <c r="AP525" s="17"/>
      <c r="AQ525" s="17"/>
      <c r="AR525" s="1"/>
      <c r="AS525" s="1"/>
      <c r="AT525" s="17"/>
      <c r="AU525" s="1"/>
      <c r="AV525" s="1"/>
      <c r="AW525" s="1"/>
      <c r="AX525" s="2"/>
      <c r="AY525" s="2"/>
      <c r="AZ525" s="1"/>
    </row>
    <row x14ac:dyDescent="0.25" r="526" customHeight="1" ht="15">
      <c r="A526" s="1"/>
      <c r="B526" s="1"/>
      <c r="C526" s="1"/>
      <c r="D526" s="1"/>
      <c r="E526" s="1"/>
      <c r="F526" s="1"/>
      <c r="G526" s="1"/>
      <c r="H526" s="1"/>
      <c r="I526" s="1"/>
      <c r="J526" s="1"/>
      <c r="K526" s="17"/>
      <c r="L526" s="1"/>
      <c r="M526" s="1"/>
      <c r="N526" s="2"/>
      <c r="O526" s="2"/>
      <c r="P526" s="1"/>
      <c r="Q526" s="1"/>
      <c r="R526" s="1"/>
      <c r="S526" s="1"/>
      <c r="T526" s="17"/>
      <c r="U526" s="17"/>
      <c r="V526" s="17"/>
      <c r="W526" s="17"/>
      <c r="X526" s="22"/>
      <c r="Y526" s="22"/>
      <c r="Z526" s="22"/>
      <c r="AA526" s="22"/>
      <c r="AB526" s="22"/>
      <c r="AC526" s="22"/>
      <c r="AD526" s="22"/>
      <c r="AE526" s="22"/>
      <c r="AF526" s="22"/>
      <c r="AG526" s="22"/>
      <c r="AH526" s="22"/>
      <c r="AI526" s="22"/>
      <c r="AJ526" s="17"/>
      <c r="AK526" s="22"/>
      <c r="AL526" s="22"/>
      <c r="AM526" s="22"/>
      <c r="AN526" s="22"/>
      <c r="AO526" s="17"/>
      <c r="AP526" s="17"/>
      <c r="AQ526" s="17"/>
      <c r="AR526" s="1"/>
      <c r="AS526" s="1"/>
      <c r="AT526" s="17"/>
      <c r="AU526" s="1"/>
      <c r="AV526" s="1"/>
      <c r="AW526" s="1"/>
      <c r="AX526" s="2"/>
      <c r="AY526" s="2"/>
      <c r="AZ526" s="1"/>
    </row>
    <row x14ac:dyDescent="0.25" r="527" customHeight="1" ht="15">
      <c r="A527" s="1"/>
      <c r="B527" s="1"/>
      <c r="C527" s="1"/>
      <c r="D527" s="1"/>
      <c r="E527" s="1"/>
      <c r="F527" s="1"/>
      <c r="G527" s="1"/>
      <c r="H527" s="1"/>
      <c r="I527" s="1"/>
      <c r="J527" s="1"/>
      <c r="K527" s="17"/>
      <c r="L527" s="1"/>
      <c r="M527" s="1"/>
      <c r="N527" s="2"/>
      <c r="O527" s="2"/>
      <c r="P527" s="1"/>
      <c r="Q527" s="1"/>
      <c r="R527" s="1"/>
      <c r="S527" s="1"/>
      <c r="T527" s="17"/>
      <c r="U527" s="17"/>
      <c r="V527" s="17"/>
      <c r="W527" s="17"/>
      <c r="X527" s="22"/>
      <c r="Y527" s="22"/>
      <c r="Z527" s="22"/>
      <c r="AA527" s="22"/>
      <c r="AB527" s="22"/>
      <c r="AC527" s="22"/>
      <c r="AD527" s="22"/>
      <c r="AE527" s="22"/>
      <c r="AF527" s="22"/>
      <c r="AG527" s="22"/>
      <c r="AH527" s="22"/>
      <c r="AI527" s="22"/>
      <c r="AJ527" s="17"/>
      <c r="AK527" s="22"/>
      <c r="AL527" s="22"/>
      <c r="AM527" s="22"/>
      <c r="AN527" s="22"/>
      <c r="AO527" s="17"/>
      <c r="AP527" s="17"/>
      <c r="AQ527" s="17"/>
      <c r="AR527" s="1"/>
      <c r="AS527" s="1"/>
      <c r="AT527" s="17"/>
      <c r="AU527" s="1"/>
      <c r="AV527" s="1"/>
      <c r="AW527" s="1"/>
      <c r="AX527" s="2"/>
      <c r="AY527" s="2"/>
      <c r="AZ527" s="1"/>
    </row>
    <row x14ac:dyDescent="0.25" r="528" customHeight="1" ht="15">
      <c r="A528" s="1"/>
      <c r="B528" s="1"/>
      <c r="C528" s="1"/>
      <c r="D528" s="1"/>
      <c r="E528" s="1"/>
      <c r="F528" s="1"/>
      <c r="G528" s="1"/>
      <c r="H528" s="1"/>
      <c r="I528" s="1"/>
      <c r="J528" s="1"/>
      <c r="K528" s="17"/>
      <c r="L528" s="1"/>
      <c r="M528" s="1"/>
      <c r="N528" s="2"/>
      <c r="O528" s="2"/>
      <c r="P528" s="1"/>
      <c r="Q528" s="1"/>
      <c r="R528" s="1"/>
      <c r="S528" s="1"/>
      <c r="T528" s="17"/>
      <c r="U528" s="17"/>
      <c r="V528" s="17"/>
      <c r="W528" s="17"/>
      <c r="X528" s="22"/>
      <c r="Y528" s="22"/>
      <c r="Z528" s="22"/>
      <c r="AA528" s="22"/>
      <c r="AB528" s="22"/>
      <c r="AC528" s="22"/>
      <c r="AD528" s="22"/>
      <c r="AE528" s="22"/>
      <c r="AF528" s="22"/>
      <c r="AG528" s="22"/>
      <c r="AH528" s="22"/>
      <c r="AI528" s="22"/>
      <c r="AJ528" s="17"/>
      <c r="AK528" s="22"/>
      <c r="AL528" s="22"/>
      <c r="AM528" s="22"/>
      <c r="AN528" s="22"/>
      <c r="AO528" s="17"/>
      <c r="AP528" s="17"/>
      <c r="AQ528" s="17"/>
      <c r="AR528" s="1"/>
      <c r="AS528" s="1"/>
      <c r="AT528" s="17"/>
      <c r="AU528" s="1"/>
      <c r="AV528" s="1"/>
      <c r="AW528" s="1"/>
      <c r="AX528" s="2"/>
      <c r="AY528" s="2"/>
      <c r="AZ528" s="1"/>
    </row>
    <row x14ac:dyDescent="0.25" r="529" customHeight="1" ht="15">
      <c r="A529" s="1"/>
      <c r="B529" s="1"/>
      <c r="C529" s="1"/>
      <c r="D529" s="1"/>
      <c r="E529" s="1"/>
      <c r="F529" s="1"/>
      <c r="G529" s="1"/>
      <c r="H529" s="1"/>
      <c r="I529" s="1"/>
      <c r="J529" s="1"/>
      <c r="K529" s="17"/>
      <c r="L529" s="1"/>
      <c r="M529" s="1"/>
      <c r="N529" s="2"/>
      <c r="O529" s="2"/>
      <c r="P529" s="1"/>
      <c r="Q529" s="1"/>
      <c r="R529" s="1"/>
      <c r="S529" s="1"/>
      <c r="T529" s="17"/>
      <c r="U529" s="17"/>
      <c r="V529" s="17"/>
      <c r="W529" s="17"/>
      <c r="X529" s="22"/>
      <c r="Y529" s="22"/>
      <c r="Z529" s="22"/>
      <c r="AA529" s="22"/>
      <c r="AB529" s="22"/>
      <c r="AC529" s="22"/>
      <c r="AD529" s="22"/>
      <c r="AE529" s="22"/>
      <c r="AF529" s="22"/>
      <c r="AG529" s="22"/>
      <c r="AH529" s="22"/>
      <c r="AI529" s="22"/>
      <c r="AJ529" s="17"/>
      <c r="AK529" s="22"/>
      <c r="AL529" s="22"/>
      <c r="AM529" s="22"/>
      <c r="AN529" s="22"/>
      <c r="AO529" s="17"/>
      <c r="AP529" s="17"/>
      <c r="AQ529" s="17"/>
      <c r="AR529" s="1"/>
      <c r="AS529" s="1"/>
      <c r="AT529" s="17"/>
      <c r="AU529" s="1"/>
      <c r="AV529" s="1"/>
      <c r="AW529" s="1"/>
      <c r="AX529" s="2"/>
      <c r="AY529" s="2"/>
      <c r="AZ529" s="1"/>
    </row>
    <row x14ac:dyDescent="0.25" r="530" customHeight="1" ht="15">
      <c r="A530" s="1"/>
      <c r="B530" s="1"/>
      <c r="C530" s="1"/>
      <c r="D530" s="1"/>
      <c r="E530" s="1"/>
      <c r="F530" s="1"/>
      <c r="G530" s="1"/>
      <c r="H530" s="1"/>
      <c r="I530" s="1"/>
      <c r="J530" s="1"/>
      <c r="K530" s="17"/>
      <c r="L530" s="1"/>
      <c r="M530" s="1"/>
      <c r="N530" s="2"/>
      <c r="O530" s="2"/>
      <c r="P530" s="1"/>
      <c r="Q530" s="1"/>
      <c r="R530" s="1"/>
      <c r="S530" s="1"/>
      <c r="T530" s="17"/>
      <c r="U530" s="17"/>
      <c r="V530" s="17"/>
      <c r="W530" s="17"/>
      <c r="X530" s="22"/>
      <c r="Y530" s="22"/>
      <c r="Z530" s="22"/>
      <c r="AA530" s="22"/>
      <c r="AB530" s="22"/>
      <c r="AC530" s="22"/>
      <c r="AD530" s="22"/>
      <c r="AE530" s="22"/>
      <c r="AF530" s="22"/>
      <c r="AG530" s="22"/>
      <c r="AH530" s="22"/>
      <c r="AI530" s="22"/>
      <c r="AJ530" s="17"/>
      <c r="AK530" s="22"/>
      <c r="AL530" s="22"/>
      <c r="AM530" s="22"/>
      <c r="AN530" s="22"/>
      <c r="AO530" s="17"/>
      <c r="AP530" s="17"/>
      <c r="AQ530" s="17"/>
      <c r="AR530" s="1"/>
      <c r="AS530" s="1"/>
      <c r="AT530" s="17"/>
      <c r="AU530" s="1"/>
      <c r="AV530" s="1"/>
      <c r="AW530" s="1"/>
      <c r="AX530" s="2"/>
      <c r="AY530" s="2"/>
      <c r="AZ530" s="1"/>
    </row>
    <row x14ac:dyDescent="0.25" r="531" customHeight="1" ht="15">
      <c r="A531" s="1"/>
      <c r="B531" s="1"/>
      <c r="C531" s="1"/>
      <c r="D531" s="1"/>
      <c r="E531" s="1"/>
      <c r="F531" s="1"/>
      <c r="G531" s="1"/>
      <c r="H531" s="1"/>
      <c r="I531" s="1"/>
      <c r="J531" s="1"/>
      <c r="K531" s="17"/>
      <c r="L531" s="1"/>
      <c r="M531" s="1"/>
      <c r="N531" s="2"/>
      <c r="O531" s="2"/>
      <c r="P531" s="1"/>
      <c r="Q531" s="1"/>
      <c r="R531" s="1"/>
      <c r="S531" s="1"/>
      <c r="T531" s="17"/>
      <c r="U531" s="17"/>
      <c r="V531" s="17"/>
      <c r="W531" s="17"/>
      <c r="X531" s="22"/>
      <c r="Y531" s="22"/>
      <c r="Z531" s="22"/>
      <c r="AA531" s="22"/>
      <c r="AB531" s="22"/>
      <c r="AC531" s="22"/>
      <c r="AD531" s="22"/>
      <c r="AE531" s="22"/>
      <c r="AF531" s="22"/>
      <c r="AG531" s="22"/>
      <c r="AH531" s="22"/>
      <c r="AI531" s="22"/>
      <c r="AJ531" s="17"/>
      <c r="AK531" s="22"/>
      <c r="AL531" s="22"/>
      <c r="AM531" s="22"/>
      <c r="AN531" s="22"/>
      <c r="AO531" s="17"/>
      <c r="AP531" s="17"/>
      <c r="AQ531" s="17"/>
      <c r="AR531" s="1"/>
      <c r="AS531" s="1"/>
      <c r="AT531" s="17"/>
      <c r="AU531" s="1"/>
      <c r="AV531" s="1"/>
      <c r="AW531" s="1"/>
      <c r="AX531" s="2"/>
      <c r="AY531" s="2"/>
      <c r="AZ531" s="1"/>
    </row>
    <row x14ac:dyDescent="0.25" r="532" customHeight="1" ht="15">
      <c r="A532" s="1"/>
      <c r="B532" s="1"/>
      <c r="C532" s="1"/>
      <c r="D532" s="1"/>
      <c r="E532" s="1"/>
      <c r="F532" s="1"/>
      <c r="G532" s="1"/>
      <c r="H532" s="1"/>
      <c r="I532" s="1"/>
      <c r="J532" s="1"/>
      <c r="K532" s="17"/>
      <c r="L532" s="1"/>
      <c r="M532" s="1"/>
      <c r="N532" s="2"/>
      <c r="O532" s="2"/>
      <c r="P532" s="1"/>
      <c r="Q532" s="1"/>
      <c r="R532" s="1"/>
      <c r="S532" s="1"/>
      <c r="T532" s="17"/>
      <c r="U532" s="17"/>
      <c r="V532" s="17"/>
      <c r="W532" s="17"/>
      <c r="X532" s="22"/>
      <c r="Y532" s="22"/>
      <c r="Z532" s="22"/>
      <c r="AA532" s="22"/>
      <c r="AB532" s="22"/>
      <c r="AC532" s="22"/>
      <c r="AD532" s="22"/>
      <c r="AE532" s="22"/>
      <c r="AF532" s="22"/>
      <c r="AG532" s="22"/>
      <c r="AH532" s="22"/>
      <c r="AI532" s="22"/>
      <c r="AJ532" s="17"/>
      <c r="AK532" s="22"/>
      <c r="AL532" s="22"/>
      <c r="AM532" s="22"/>
      <c r="AN532" s="22"/>
      <c r="AO532" s="17"/>
      <c r="AP532" s="17"/>
      <c r="AQ532" s="17"/>
      <c r="AR532" s="1"/>
      <c r="AS532" s="1"/>
      <c r="AT532" s="17"/>
      <c r="AU532" s="1"/>
      <c r="AV532" s="1"/>
      <c r="AW532" s="1"/>
      <c r="AX532" s="2"/>
      <c r="AY532" s="2"/>
      <c r="AZ532" s="1"/>
    </row>
    <row x14ac:dyDescent="0.25" r="533" customHeight="1" ht="15">
      <c r="A533" s="1"/>
      <c r="B533" s="1"/>
      <c r="C533" s="1"/>
      <c r="D533" s="1"/>
      <c r="E533" s="1"/>
      <c r="F533" s="1"/>
      <c r="G533" s="1"/>
      <c r="H533" s="1"/>
      <c r="I533" s="1"/>
      <c r="J533" s="1"/>
      <c r="K533" s="17"/>
      <c r="L533" s="1"/>
      <c r="M533" s="1"/>
      <c r="N533" s="2"/>
      <c r="O533" s="2"/>
      <c r="P533" s="1"/>
      <c r="Q533" s="1"/>
      <c r="R533" s="1"/>
      <c r="S533" s="1"/>
      <c r="T533" s="17"/>
      <c r="U533" s="17"/>
      <c r="V533" s="17"/>
      <c r="W533" s="17"/>
      <c r="X533" s="22"/>
      <c r="Y533" s="22"/>
      <c r="Z533" s="22"/>
      <c r="AA533" s="22"/>
      <c r="AB533" s="22"/>
      <c r="AC533" s="22"/>
      <c r="AD533" s="22"/>
      <c r="AE533" s="22"/>
      <c r="AF533" s="22"/>
      <c r="AG533" s="22"/>
      <c r="AH533" s="22"/>
      <c r="AI533" s="22"/>
      <c r="AJ533" s="17"/>
      <c r="AK533" s="22"/>
      <c r="AL533" s="22"/>
      <c r="AM533" s="22"/>
      <c r="AN533" s="22"/>
      <c r="AO533" s="17"/>
      <c r="AP533" s="17"/>
      <c r="AQ533" s="17"/>
      <c r="AR533" s="1"/>
      <c r="AS533" s="1"/>
      <c r="AT533" s="17"/>
      <c r="AU533" s="1"/>
      <c r="AV533" s="1"/>
      <c r="AW533" s="1"/>
      <c r="AX533" s="2"/>
      <c r="AY533" s="2"/>
      <c r="AZ533" s="1"/>
    </row>
    <row x14ac:dyDescent="0.25" r="534" customHeight="1" ht="15">
      <c r="A534" s="1"/>
      <c r="B534" s="1"/>
      <c r="C534" s="1"/>
      <c r="D534" s="1"/>
      <c r="E534" s="1"/>
      <c r="F534" s="1"/>
      <c r="G534" s="1"/>
      <c r="H534" s="1"/>
      <c r="I534" s="1"/>
      <c r="J534" s="1"/>
      <c r="K534" s="17"/>
      <c r="L534" s="1"/>
      <c r="M534" s="1"/>
      <c r="N534" s="2"/>
      <c r="O534" s="2"/>
      <c r="P534" s="1"/>
      <c r="Q534" s="1"/>
      <c r="R534" s="1"/>
      <c r="S534" s="1"/>
      <c r="T534" s="17"/>
      <c r="U534" s="17"/>
      <c r="V534" s="17"/>
      <c r="W534" s="17"/>
      <c r="X534" s="22"/>
      <c r="Y534" s="22"/>
      <c r="Z534" s="22"/>
      <c r="AA534" s="22"/>
      <c r="AB534" s="22"/>
      <c r="AC534" s="22"/>
      <c r="AD534" s="22"/>
      <c r="AE534" s="22"/>
      <c r="AF534" s="22"/>
      <c r="AG534" s="22"/>
      <c r="AH534" s="22"/>
      <c r="AI534" s="22"/>
      <c r="AJ534" s="17"/>
      <c r="AK534" s="22"/>
      <c r="AL534" s="22"/>
      <c r="AM534" s="22"/>
      <c r="AN534" s="22"/>
      <c r="AO534" s="17"/>
      <c r="AP534" s="17"/>
      <c r="AQ534" s="17"/>
      <c r="AR534" s="1"/>
      <c r="AS534" s="1"/>
      <c r="AT534" s="17"/>
      <c r="AU534" s="1"/>
      <c r="AV534" s="1"/>
      <c r="AW534" s="1"/>
      <c r="AX534" s="2"/>
      <c r="AY534" s="2"/>
      <c r="AZ534" s="1"/>
    </row>
    <row x14ac:dyDescent="0.25" r="535" customHeight="1" ht="15">
      <c r="A535" s="1"/>
      <c r="B535" s="1"/>
      <c r="C535" s="1"/>
      <c r="D535" s="1"/>
      <c r="E535" s="1"/>
      <c r="F535" s="1"/>
      <c r="G535" s="1"/>
      <c r="H535" s="1"/>
      <c r="I535" s="1"/>
      <c r="J535" s="1"/>
      <c r="K535" s="17"/>
      <c r="L535" s="1"/>
      <c r="M535" s="1"/>
      <c r="N535" s="2"/>
      <c r="O535" s="2"/>
      <c r="P535" s="1"/>
      <c r="Q535" s="1"/>
      <c r="R535" s="1"/>
      <c r="S535" s="1"/>
      <c r="T535" s="17"/>
      <c r="U535" s="17"/>
      <c r="V535" s="17"/>
      <c r="W535" s="17"/>
      <c r="X535" s="22"/>
      <c r="Y535" s="22"/>
      <c r="Z535" s="22"/>
      <c r="AA535" s="22"/>
      <c r="AB535" s="22"/>
      <c r="AC535" s="22"/>
      <c r="AD535" s="22"/>
      <c r="AE535" s="22"/>
      <c r="AF535" s="22"/>
      <c r="AG535" s="22"/>
      <c r="AH535" s="22"/>
      <c r="AI535" s="22"/>
      <c r="AJ535" s="17"/>
      <c r="AK535" s="22"/>
      <c r="AL535" s="22"/>
      <c r="AM535" s="22"/>
      <c r="AN535" s="22"/>
      <c r="AO535" s="17"/>
      <c r="AP535" s="17"/>
      <c r="AQ535" s="17"/>
      <c r="AR535" s="1"/>
      <c r="AS535" s="1"/>
      <c r="AT535" s="17"/>
      <c r="AU535" s="1"/>
      <c r="AV535" s="1"/>
      <c r="AW535" s="1"/>
      <c r="AX535" s="2"/>
      <c r="AY535" s="2"/>
      <c r="AZ535" s="1"/>
    </row>
    <row x14ac:dyDescent="0.25" r="536" customHeight="1" ht="15">
      <c r="A536" s="1"/>
      <c r="B536" s="1"/>
      <c r="C536" s="1"/>
      <c r="D536" s="1"/>
      <c r="E536" s="1"/>
      <c r="F536" s="1"/>
      <c r="G536" s="1"/>
      <c r="H536" s="1"/>
      <c r="I536" s="1"/>
      <c r="J536" s="1"/>
      <c r="K536" s="17"/>
      <c r="L536" s="1"/>
      <c r="M536" s="1"/>
      <c r="N536" s="2"/>
      <c r="O536" s="2"/>
      <c r="P536" s="1"/>
      <c r="Q536" s="1"/>
      <c r="R536" s="1"/>
      <c r="S536" s="1"/>
      <c r="T536" s="17"/>
      <c r="U536" s="17"/>
      <c r="V536" s="17"/>
      <c r="W536" s="17"/>
      <c r="X536" s="22"/>
      <c r="Y536" s="22"/>
      <c r="Z536" s="22"/>
      <c r="AA536" s="22"/>
      <c r="AB536" s="22"/>
      <c r="AC536" s="22"/>
      <c r="AD536" s="22"/>
      <c r="AE536" s="22"/>
      <c r="AF536" s="22"/>
      <c r="AG536" s="22"/>
      <c r="AH536" s="22"/>
      <c r="AI536" s="22"/>
      <c r="AJ536" s="17"/>
      <c r="AK536" s="22"/>
      <c r="AL536" s="22"/>
      <c r="AM536" s="22"/>
      <c r="AN536" s="22"/>
      <c r="AO536" s="17"/>
      <c r="AP536" s="17"/>
      <c r="AQ536" s="17"/>
      <c r="AR536" s="1"/>
      <c r="AS536" s="1"/>
      <c r="AT536" s="17"/>
      <c r="AU536" s="1"/>
      <c r="AV536" s="1"/>
      <c r="AW536" s="1"/>
      <c r="AX536" s="2"/>
      <c r="AY536" s="2"/>
      <c r="AZ536" s="1"/>
    </row>
    <row x14ac:dyDescent="0.25" r="537" customHeight="1" ht="15">
      <c r="A537" s="1"/>
      <c r="B537" s="1"/>
      <c r="C537" s="1"/>
      <c r="D537" s="1"/>
      <c r="E537" s="1"/>
      <c r="F537" s="1"/>
      <c r="G537" s="1"/>
      <c r="H537" s="1"/>
      <c r="I537" s="1"/>
      <c r="J537" s="1"/>
      <c r="K537" s="17"/>
      <c r="L537" s="1"/>
      <c r="M537" s="1"/>
      <c r="N537" s="2"/>
      <c r="O537" s="2"/>
      <c r="P537" s="1"/>
      <c r="Q537" s="1"/>
      <c r="R537" s="1"/>
      <c r="S537" s="1"/>
      <c r="T537" s="17"/>
      <c r="U537" s="17"/>
      <c r="V537" s="17"/>
      <c r="W537" s="17"/>
      <c r="X537" s="22"/>
      <c r="Y537" s="22"/>
      <c r="Z537" s="22"/>
      <c r="AA537" s="22"/>
      <c r="AB537" s="22"/>
      <c r="AC537" s="22"/>
      <c r="AD537" s="22"/>
      <c r="AE537" s="22"/>
      <c r="AF537" s="22"/>
      <c r="AG537" s="22"/>
      <c r="AH537" s="22"/>
      <c r="AI537" s="22"/>
      <c r="AJ537" s="17"/>
      <c r="AK537" s="22"/>
      <c r="AL537" s="22"/>
      <c r="AM537" s="22"/>
      <c r="AN537" s="22"/>
      <c r="AO537" s="17"/>
      <c r="AP537" s="17"/>
      <c r="AQ537" s="17"/>
      <c r="AR537" s="1"/>
      <c r="AS537" s="1"/>
      <c r="AT537" s="17"/>
      <c r="AU537" s="1"/>
      <c r="AV537" s="1"/>
      <c r="AW537" s="1"/>
      <c r="AX537" s="2"/>
      <c r="AY537" s="2"/>
      <c r="AZ537" s="1"/>
    </row>
    <row x14ac:dyDescent="0.25" r="538" customHeight="1" ht="15">
      <c r="A538" s="1"/>
      <c r="B538" s="1"/>
      <c r="C538" s="1"/>
      <c r="D538" s="1"/>
      <c r="E538" s="1"/>
      <c r="F538" s="1"/>
      <c r="G538" s="1"/>
      <c r="H538" s="1"/>
      <c r="I538" s="1"/>
      <c r="J538" s="1"/>
      <c r="K538" s="17"/>
      <c r="L538" s="1"/>
      <c r="M538" s="1"/>
      <c r="N538" s="2"/>
      <c r="O538" s="2"/>
      <c r="P538" s="1"/>
      <c r="Q538" s="1"/>
      <c r="R538" s="1"/>
      <c r="S538" s="1"/>
      <c r="T538" s="17"/>
      <c r="U538" s="17"/>
      <c r="V538" s="17"/>
      <c r="W538" s="17"/>
      <c r="X538" s="22"/>
      <c r="Y538" s="22"/>
      <c r="Z538" s="22"/>
      <c r="AA538" s="22"/>
      <c r="AB538" s="22"/>
      <c r="AC538" s="22"/>
      <c r="AD538" s="22"/>
      <c r="AE538" s="22"/>
      <c r="AF538" s="22"/>
      <c r="AG538" s="22"/>
      <c r="AH538" s="22"/>
      <c r="AI538" s="22"/>
      <c r="AJ538" s="17"/>
      <c r="AK538" s="22"/>
      <c r="AL538" s="22"/>
      <c r="AM538" s="22"/>
      <c r="AN538" s="22"/>
      <c r="AO538" s="17"/>
      <c r="AP538" s="17"/>
      <c r="AQ538" s="17"/>
      <c r="AR538" s="1"/>
      <c r="AS538" s="1"/>
      <c r="AT538" s="17"/>
      <c r="AU538" s="1"/>
      <c r="AV538" s="1"/>
      <c r="AW538" s="1"/>
      <c r="AX538" s="2"/>
      <c r="AY538" s="2"/>
      <c r="AZ538" s="1"/>
    </row>
    <row x14ac:dyDescent="0.25" r="539" customHeight="1" ht="15">
      <c r="A539" s="1"/>
      <c r="B539" s="1"/>
      <c r="C539" s="1"/>
      <c r="D539" s="1"/>
      <c r="E539" s="1"/>
      <c r="F539" s="1"/>
      <c r="G539" s="1"/>
      <c r="H539" s="1"/>
      <c r="I539" s="1"/>
      <c r="J539" s="1"/>
      <c r="K539" s="17"/>
      <c r="L539" s="1"/>
      <c r="M539" s="1"/>
      <c r="N539" s="2"/>
      <c r="O539" s="2"/>
      <c r="P539" s="1"/>
      <c r="Q539" s="1"/>
      <c r="R539" s="1"/>
      <c r="S539" s="1"/>
      <c r="T539" s="17"/>
      <c r="U539" s="17"/>
      <c r="V539" s="17"/>
      <c r="W539" s="17"/>
      <c r="X539" s="22"/>
      <c r="Y539" s="22"/>
      <c r="Z539" s="22"/>
      <c r="AA539" s="22"/>
      <c r="AB539" s="22"/>
      <c r="AC539" s="22"/>
      <c r="AD539" s="22"/>
      <c r="AE539" s="22"/>
      <c r="AF539" s="22"/>
      <c r="AG539" s="22"/>
      <c r="AH539" s="22"/>
      <c r="AI539" s="22"/>
      <c r="AJ539" s="17"/>
      <c r="AK539" s="22"/>
      <c r="AL539" s="22"/>
      <c r="AM539" s="22"/>
      <c r="AN539" s="22"/>
      <c r="AO539" s="17"/>
      <c r="AP539" s="17"/>
      <c r="AQ539" s="17"/>
      <c r="AR539" s="1"/>
      <c r="AS539" s="1"/>
      <c r="AT539" s="17"/>
      <c r="AU539" s="1"/>
      <c r="AV539" s="1"/>
      <c r="AW539" s="1"/>
      <c r="AX539" s="2"/>
      <c r="AY539" s="2"/>
      <c r="AZ539" s="1"/>
    </row>
    <row x14ac:dyDescent="0.25" r="540" customHeight="1" ht="15">
      <c r="A540" s="1"/>
      <c r="B540" s="1"/>
      <c r="C540" s="1"/>
      <c r="D540" s="1"/>
      <c r="E540" s="1"/>
      <c r="F540" s="1"/>
      <c r="G540" s="1"/>
      <c r="H540" s="1"/>
      <c r="I540" s="1"/>
      <c r="J540" s="1"/>
      <c r="K540" s="17"/>
      <c r="L540" s="1"/>
      <c r="M540" s="1"/>
      <c r="N540" s="2"/>
      <c r="O540" s="2"/>
      <c r="P540" s="1"/>
      <c r="Q540" s="1"/>
      <c r="R540" s="1"/>
      <c r="S540" s="1"/>
      <c r="T540" s="17"/>
      <c r="U540" s="17"/>
      <c r="V540" s="17"/>
      <c r="W540" s="17"/>
      <c r="X540" s="22"/>
      <c r="Y540" s="22"/>
      <c r="Z540" s="22"/>
      <c r="AA540" s="22"/>
      <c r="AB540" s="22"/>
      <c r="AC540" s="22"/>
      <c r="AD540" s="22"/>
      <c r="AE540" s="22"/>
      <c r="AF540" s="22"/>
      <c r="AG540" s="22"/>
      <c r="AH540" s="22"/>
      <c r="AI540" s="22"/>
      <c r="AJ540" s="17"/>
      <c r="AK540" s="22"/>
      <c r="AL540" s="22"/>
      <c r="AM540" s="22"/>
      <c r="AN540" s="22"/>
      <c r="AO540" s="17"/>
      <c r="AP540" s="17"/>
      <c r="AQ540" s="17"/>
      <c r="AR540" s="1"/>
      <c r="AS540" s="1"/>
      <c r="AT540" s="17"/>
      <c r="AU540" s="1"/>
      <c r="AV540" s="1"/>
      <c r="AW540" s="1"/>
      <c r="AX540" s="2"/>
      <c r="AY540" s="2"/>
      <c r="AZ540" s="1"/>
    </row>
    <row x14ac:dyDescent="0.25" r="541" customHeight="1" ht="15">
      <c r="A541" s="1"/>
      <c r="B541" s="1"/>
      <c r="C541" s="1"/>
      <c r="D541" s="1"/>
      <c r="E541" s="1"/>
      <c r="F541" s="1"/>
      <c r="G541" s="1"/>
      <c r="H541" s="1"/>
      <c r="I541" s="1"/>
      <c r="J541" s="1"/>
      <c r="K541" s="17"/>
      <c r="L541" s="1"/>
      <c r="M541" s="1"/>
      <c r="N541" s="2"/>
      <c r="O541" s="2"/>
      <c r="P541" s="1"/>
      <c r="Q541" s="1"/>
      <c r="R541" s="1"/>
      <c r="S541" s="1"/>
      <c r="T541" s="17"/>
      <c r="U541" s="17"/>
      <c r="V541" s="17"/>
      <c r="W541" s="17"/>
      <c r="X541" s="22"/>
      <c r="Y541" s="22"/>
      <c r="Z541" s="22"/>
      <c r="AA541" s="22"/>
      <c r="AB541" s="22"/>
      <c r="AC541" s="22"/>
      <c r="AD541" s="22"/>
      <c r="AE541" s="22"/>
      <c r="AF541" s="22"/>
      <c r="AG541" s="22"/>
      <c r="AH541" s="22"/>
      <c r="AI541" s="22"/>
      <c r="AJ541" s="17"/>
      <c r="AK541" s="22"/>
      <c r="AL541" s="22"/>
      <c r="AM541" s="22"/>
      <c r="AN541" s="22"/>
      <c r="AO541" s="17"/>
      <c r="AP541" s="17"/>
      <c r="AQ541" s="17"/>
      <c r="AR541" s="1"/>
      <c r="AS541" s="1"/>
      <c r="AT541" s="17"/>
      <c r="AU541" s="1"/>
      <c r="AV541" s="1"/>
      <c r="AW541" s="1"/>
      <c r="AX541" s="2"/>
      <c r="AY541" s="2"/>
      <c r="AZ541" s="1"/>
    </row>
    <row x14ac:dyDescent="0.25" r="542" customHeight="1" ht="15">
      <c r="A542" s="1"/>
      <c r="B542" s="1"/>
      <c r="C542" s="1"/>
      <c r="D542" s="1"/>
      <c r="E542" s="1"/>
      <c r="F542" s="1"/>
      <c r="G542" s="1"/>
      <c r="H542" s="1"/>
      <c r="I542" s="1"/>
      <c r="J542" s="1"/>
      <c r="K542" s="17"/>
      <c r="L542" s="1"/>
      <c r="M542" s="1"/>
      <c r="N542" s="2"/>
      <c r="O542" s="2"/>
      <c r="P542" s="1"/>
      <c r="Q542" s="1"/>
      <c r="R542" s="1"/>
      <c r="S542" s="1"/>
      <c r="T542" s="17"/>
      <c r="U542" s="17"/>
      <c r="V542" s="17"/>
      <c r="W542" s="17"/>
      <c r="X542" s="22"/>
      <c r="Y542" s="22"/>
      <c r="Z542" s="22"/>
      <c r="AA542" s="22"/>
      <c r="AB542" s="22"/>
      <c r="AC542" s="22"/>
      <c r="AD542" s="22"/>
      <c r="AE542" s="22"/>
      <c r="AF542" s="22"/>
      <c r="AG542" s="22"/>
      <c r="AH542" s="22"/>
      <c r="AI542" s="22"/>
      <c r="AJ542" s="17"/>
      <c r="AK542" s="22"/>
      <c r="AL542" s="22"/>
      <c r="AM542" s="22"/>
      <c r="AN542" s="22"/>
      <c r="AO542" s="17"/>
      <c r="AP542" s="17"/>
      <c r="AQ542" s="17"/>
      <c r="AR542" s="1"/>
      <c r="AS542" s="1"/>
      <c r="AT542" s="17"/>
      <c r="AU542" s="1"/>
      <c r="AV542" s="1"/>
      <c r="AW542" s="1"/>
      <c r="AX542" s="2"/>
      <c r="AY542" s="2"/>
      <c r="AZ542" s="1"/>
    </row>
    <row x14ac:dyDescent="0.25" r="543" customHeight="1" ht="15">
      <c r="A543" s="1"/>
      <c r="B543" s="1"/>
      <c r="C543" s="1"/>
      <c r="D543" s="1"/>
      <c r="E543" s="1"/>
      <c r="F543" s="1"/>
      <c r="G543" s="1"/>
      <c r="H543" s="1"/>
      <c r="I543" s="1"/>
      <c r="J543" s="1"/>
      <c r="K543" s="17"/>
      <c r="L543" s="1"/>
      <c r="M543" s="1"/>
      <c r="N543" s="2"/>
      <c r="O543" s="2"/>
      <c r="P543" s="1"/>
      <c r="Q543" s="1"/>
      <c r="R543" s="1"/>
      <c r="S543" s="1"/>
      <c r="T543" s="17"/>
      <c r="U543" s="17"/>
      <c r="V543" s="17"/>
      <c r="W543" s="17"/>
      <c r="X543" s="22"/>
      <c r="Y543" s="22"/>
      <c r="Z543" s="22"/>
      <c r="AA543" s="22"/>
      <c r="AB543" s="22"/>
      <c r="AC543" s="22"/>
      <c r="AD543" s="22"/>
      <c r="AE543" s="22"/>
      <c r="AF543" s="22"/>
      <c r="AG543" s="22"/>
      <c r="AH543" s="22"/>
      <c r="AI543" s="22"/>
      <c r="AJ543" s="17"/>
      <c r="AK543" s="22"/>
      <c r="AL543" s="22"/>
      <c r="AM543" s="22"/>
      <c r="AN543" s="22"/>
      <c r="AO543" s="17"/>
      <c r="AP543" s="17"/>
      <c r="AQ543" s="17"/>
      <c r="AR543" s="1"/>
      <c r="AS543" s="1"/>
      <c r="AT543" s="17"/>
      <c r="AU543" s="1"/>
      <c r="AV543" s="1"/>
      <c r="AW543" s="1"/>
      <c r="AX543" s="2"/>
      <c r="AY543" s="2"/>
      <c r="AZ543" s="1"/>
    </row>
    <row x14ac:dyDescent="0.25" r="544" customHeight="1" ht="15">
      <c r="A544" s="1"/>
      <c r="B544" s="1"/>
      <c r="C544" s="1"/>
      <c r="D544" s="1"/>
      <c r="E544" s="1"/>
      <c r="F544" s="1"/>
      <c r="G544" s="1"/>
      <c r="H544" s="1"/>
      <c r="I544" s="1"/>
      <c r="J544" s="1"/>
      <c r="K544" s="17"/>
      <c r="L544" s="1"/>
      <c r="M544" s="1"/>
      <c r="N544" s="2"/>
      <c r="O544" s="2"/>
      <c r="P544" s="1"/>
      <c r="Q544" s="1"/>
      <c r="R544" s="1"/>
      <c r="S544" s="1"/>
      <c r="T544" s="17"/>
      <c r="U544" s="17"/>
      <c r="V544" s="17"/>
      <c r="W544" s="17"/>
      <c r="X544" s="22"/>
      <c r="Y544" s="22"/>
      <c r="Z544" s="22"/>
      <c r="AA544" s="22"/>
      <c r="AB544" s="22"/>
      <c r="AC544" s="22"/>
      <c r="AD544" s="22"/>
      <c r="AE544" s="22"/>
      <c r="AF544" s="22"/>
      <c r="AG544" s="22"/>
      <c r="AH544" s="22"/>
      <c r="AI544" s="22"/>
      <c r="AJ544" s="17"/>
      <c r="AK544" s="22"/>
      <c r="AL544" s="22"/>
      <c r="AM544" s="22"/>
      <c r="AN544" s="22"/>
      <c r="AO544" s="17"/>
      <c r="AP544" s="17"/>
      <c r="AQ544" s="17"/>
      <c r="AR544" s="1"/>
      <c r="AS544" s="1"/>
      <c r="AT544" s="17"/>
      <c r="AU544" s="1"/>
      <c r="AV544" s="1"/>
      <c r="AW544" s="1"/>
      <c r="AX544" s="2"/>
      <c r="AY544" s="2"/>
      <c r="AZ544" s="1"/>
    </row>
    <row x14ac:dyDescent="0.25" r="545" customHeight="1" ht="15">
      <c r="A545" s="1"/>
      <c r="B545" s="1"/>
      <c r="C545" s="1"/>
      <c r="D545" s="1"/>
      <c r="E545" s="1"/>
      <c r="F545" s="1"/>
      <c r="G545" s="1"/>
      <c r="H545" s="1"/>
      <c r="I545" s="1"/>
      <c r="J545" s="1"/>
      <c r="K545" s="17"/>
      <c r="L545" s="1"/>
      <c r="M545" s="1"/>
      <c r="N545" s="2"/>
      <c r="O545" s="2"/>
      <c r="P545" s="1"/>
      <c r="Q545" s="1"/>
      <c r="R545" s="1"/>
      <c r="S545" s="1"/>
      <c r="T545" s="17"/>
      <c r="U545" s="17"/>
      <c r="V545" s="17"/>
      <c r="W545" s="17"/>
      <c r="X545" s="22"/>
      <c r="Y545" s="22"/>
      <c r="Z545" s="22"/>
      <c r="AA545" s="22"/>
      <c r="AB545" s="22"/>
      <c r="AC545" s="22"/>
      <c r="AD545" s="22"/>
      <c r="AE545" s="22"/>
      <c r="AF545" s="22"/>
      <c r="AG545" s="22"/>
      <c r="AH545" s="22"/>
      <c r="AI545" s="22"/>
      <c r="AJ545" s="17"/>
      <c r="AK545" s="22"/>
      <c r="AL545" s="22"/>
      <c r="AM545" s="22"/>
      <c r="AN545" s="22"/>
      <c r="AO545" s="17"/>
      <c r="AP545" s="17"/>
      <c r="AQ545" s="17"/>
      <c r="AR545" s="1"/>
      <c r="AS545" s="1"/>
      <c r="AT545" s="17"/>
      <c r="AU545" s="1"/>
      <c r="AV545" s="1"/>
      <c r="AW545" s="1"/>
      <c r="AX545" s="2"/>
      <c r="AY545" s="2"/>
      <c r="AZ545" s="1"/>
    </row>
    <row x14ac:dyDescent="0.25" r="546" customHeight="1" ht="15">
      <c r="A546" s="1"/>
      <c r="B546" s="1"/>
      <c r="C546" s="1"/>
      <c r="D546" s="1"/>
      <c r="E546" s="1"/>
      <c r="F546" s="1"/>
      <c r="G546" s="1"/>
      <c r="H546" s="1"/>
      <c r="I546" s="1"/>
      <c r="J546" s="1"/>
      <c r="K546" s="17"/>
      <c r="L546" s="1"/>
      <c r="M546" s="1"/>
      <c r="N546" s="2"/>
      <c r="O546" s="2"/>
      <c r="P546" s="1"/>
      <c r="Q546" s="1"/>
      <c r="R546" s="1"/>
      <c r="S546" s="1"/>
      <c r="T546" s="17"/>
      <c r="U546" s="17"/>
      <c r="V546" s="17"/>
      <c r="W546" s="17"/>
      <c r="X546" s="22"/>
      <c r="Y546" s="22"/>
      <c r="Z546" s="22"/>
      <c r="AA546" s="22"/>
      <c r="AB546" s="22"/>
      <c r="AC546" s="22"/>
      <c r="AD546" s="22"/>
      <c r="AE546" s="22"/>
      <c r="AF546" s="22"/>
      <c r="AG546" s="22"/>
      <c r="AH546" s="22"/>
      <c r="AI546" s="22"/>
      <c r="AJ546" s="17"/>
      <c r="AK546" s="22"/>
      <c r="AL546" s="22"/>
      <c r="AM546" s="22"/>
      <c r="AN546" s="22"/>
      <c r="AO546" s="17"/>
      <c r="AP546" s="17"/>
      <c r="AQ546" s="17"/>
      <c r="AR546" s="1"/>
      <c r="AS546" s="1"/>
      <c r="AT546" s="17"/>
      <c r="AU546" s="1"/>
      <c r="AV546" s="1"/>
      <c r="AW546" s="1"/>
      <c r="AX546" s="2"/>
      <c r="AY546" s="2"/>
      <c r="AZ546" s="1"/>
    </row>
    <row x14ac:dyDescent="0.25" r="547" customHeight="1" ht="15">
      <c r="A547" s="1"/>
      <c r="B547" s="1"/>
      <c r="C547" s="1"/>
      <c r="D547" s="1"/>
      <c r="E547" s="1"/>
      <c r="F547" s="1"/>
      <c r="G547" s="1"/>
      <c r="H547" s="1"/>
      <c r="I547" s="1"/>
      <c r="J547" s="1"/>
      <c r="K547" s="17"/>
      <c r="L547" s="1"/>
      <c r="M547" s="1"/>
      <c r="N547" s="2"/>
      <c r="O547" s="2"/>
      <c r="P547" s="1"/>
      <c r="Q547" s="1"/>
      <c r="R547" s="1"/>
      <c r="S547" s="1"/>
      <c r="T547" s="17"/>
      <c r="U547" s="17"/>
      <c r="V547" s="17"/>
      <c r="W547" s="17"/>
      <c r="X547" s="22"/>
      <c r="Y547" s="22"/>
      <c r="Z547" s="22"/>
      <c r="AA547" s="22"/>
      <c r="AB547" s="22"/>
      <c r="AC547" s="22"/>
      <c r="AD547" s="22"/>
      <c r="AE547" s="22"/>
      <c r="AF547" s="22"/>
      <c r="AG547" s="22"/>
      <c r="AH547" s="22"/>
      <c r="AI547" s="22"/>
      <c r="AJ547" s="17"/>
      <c r="AK547" s="22"/>
      <c r="AL547" s="22"/>
      <c r="AM547" s="22"/>
      <c r="AN547" s="22"/>
      <c r="AO547" s="17"/>
      <c r="AP547" s="17"/>
      <c r="AQ547" s="17"/>
      <c r="AR547" s="1"/>
      <c r="AS547" s="1"/>
      <c r="AT547" s="17"/>
      <c r="AU547" s="1"/>
      <c r="AV547" s="1"/>
      <c r="AW547" s="1"/>
      <c r="AX547" s="2"/>
      <c r="AY547" s="2"/>
      <c r="AZ547" s="1"/>
    </row>
    <row x14ac:dyDescent="0.25" r="548" customHeight="1" ht="15">
      <c r="A548" s="1"/>
      <c r="B548" s="1"/>
      <c r="C548" s="1"/>
      <c r="D548" s="1"/>
      <c r="E548" s="1"/>
      <c r="F548" s="1"/>
      <c r="G548" s="1"/>
      <c r="H548" s="1"/>
      <c r="I548" s="1"/>
      <c r="J548" s="1"/>
      <c r="K548" s="17"/>
      <c r="L548" s="1"/>
      <c r="M548" s="1"/>
      <c r="N548" s="2"/>
      <c r="O548" s="2"/>
      <c r="P548" s="1"/>
      <c r="Q548" s="1"/>
      <c r="R548" s="1"/>
      <c r="S548" s="1"/>
      <c r="T548" s="17"/>
      <c r="U548" s="17"/>
      <c r="V548" s="17"/>
      <c r="W548" s="17"/>
      <c r="X548" s="22"/>
      <c r="Y548" s="22"/>
      <c r="Z548" s="22"/>
      <c r="AA548" s="22"/>
      <c r="AB548" s="22"/>
      <c r="AC548" s="22"/>
      <c r="AD548" s="22"/>
      <c r="AE548" s="22"/>
      <c r="AF548" s="22"/>
      <c r="AG548" s="22"/>
      <c r="AH548" s="22"/>
      <c r="AI548" s="22"/>
      <c r="AJ548" s="17"/>
      <c r="AK548" s="22"/>
      <c r="AL548" s="22"/>
      <c r="AM548" s="22"/>
      <c r="AN548" s="22"/>
      <c r="AO548" s="17"/>
      <c r="AP548" s="17"/>
      <c r="AQ548" s="17"/>
      <c r="AR548" s="1"/>
      <c r="AS548" s="1"/>
      <c r="AT548" s="17"/>
      <c r="AU548" s="1"/>
      <c r="AV548" s="1"/>
      <c r="AW548" s="1"/>
      <c r="AX548" s="2"/>
      <c r="AY548" s="2"/>
      <c r="AZ548" s="1"/>
    </row>
    <row x14ac:dyDescent="0.25" r="549" customHeight="1" ht="15">
      <c r="A549" s="1"/>
      <c r="B549" s="1"/>
      <c r="C549" s="1"/>
      <c r="D549" s="1"/>
      <c r="E549" s="1"/>
      <c r="F549" s="1"/>
      <c r="G549" s="1"/>
      <c r="H549" s="1"/>
      <c r="I549" s="1"/>
      <c r="J549" s="1"/>
      <c r="K549" s="17"/>
      <c r="L549" s="1"/>
      <c r="M549" s="1"/>
      <c r="N549" s="2"/>
      <c r="O549" s="2"/>
      <c r="P549" s="1"/>
      <c r="Q549" s="1"/>
      <c r="R549" s="1"/>
      <c r="S549" s="1"/>
      <c r="T549" s="17"/>
      <c r="U549" s="17"/>
      <c r="V549" s="17"/>
      <c r="W549" s="17"/>
      <c r="X549" s="22"/>
      <c r="Y549" s="22"/>
      <c r="Z549" s="22"/>
      <c r="AA549" s="22"/>
      <c r="AB549" s="22"/>
      <c r="AC549" s="22"/>
      <c r="AD549" s="22"/>
      <c r="AE549" s="22"/>
      <c r="AF549" s="22"/>
      <c r="AG549" s="22"/>
      <c r="AH549" s="22"/>
      <c r="AI549" s="22"/>
      <c r="AJ549" s="17"/>
      <c r="AK549" s="22"/>
      <c r="AL549" s="22"/>
      <c r="AM549" s="22"/>
      <c r="AN549" s="22"/>
      <c r="AO549" s="17"/>
      <c r="AP549" s="17"/>
      <c r="AQ549" s="17"/>
      <c r="AR549" s="1"/>
      <c r="AS549" s="1"/>
      <c r="AT549" s="17"/>
      <c r="AU549" s="1"/>
      <c r="AV549" s="1"/>
      <c r="AW549" s="1"/>
      <c r="AX549" s="2"/>
      <c r="AY549" s="2"/>
      <c r="AZ549" s="1"/>
    </row>
    <row x14ac:dyDescent="0.25" r="550" customHeight="1" ht="15">
      <c r="A550" s="1"/>
      <c r="B550" s="1"/>
      <c r="C550" s="1"/>
      <c r="D550" s="1"/>
      <c r="E550" s="1"/>
      <c r="F550" s="1"/>
      <c r="G550" s="1"/>
      <c r="H550" s="1"/>
      <c r="I550" s="1"/>
      <c r="J550" s="1"/>
      <c r="K550" s="17"/>
      <c r="L550" s="1"/>
      <c r="M550" s="1"/>
      <c r="N550" s="2"/>
      <c r="O550" s="2"/>
      <c r="P550" s="1"/>
      <c r="Q550" s="1"/>
      <c r="R550" s="1"/>
      <c r="S550" s="1"/>
      <c r="T550" s="17"/>
      <c r="U550" s="17"/>
      <c r="V550" s="17"/>
      <c r="W550" s="17"/>
      <c r="X550" s="22"/>
      <c r="Y550" s="22"/>
      <c r="Z550" s="22"/>
      <c r="AA550" s="22"/>
      <c r="AB550" s="22"/>
      <c r="AC550" s="22"/>
      <c r="AD550" s="22"/>
      <c r="AE550" s="22"/>
      <c r="AF550" s="22"/>
      <c r="AG550" s="22"/>
      <c r="AH550" s="22"/>
      <c r="AI550" s="22"/>
      <c r="AJ550" s="17"/>
      <c r="AK550" s="22"/>
      <c r="AL550" s="22"/>
      <c r="AM550" s="22"/>
      <c r="AN550" s="22"/>
      <c r="AO550" s="17"/>
      <c r="AP550" s="17"/>
      <c r="AQ550" s="17"/>
      <c r="AR550" s="1"/>
      <c r="AS550" s="1"/>
      <c r="AT550" s="17"/>
      <c r="AU550" s="1"/>
      <c r="AV550" s="1"/>
      <c r="AW550" s="1"/>
      <c r="AX550" s="2"/>
      <c r="AY550" s="2"/>
      <c r="AZ550" s="1"/>
    </row>
    <row x14ac:dyDescent="0.25" r="551" customHeight="1" ht="15">
      <c r="A551" s="1"/>
      <c r="B551" s="1"/>
      <c r="C551" s="1"/>
      <c r="D551" s="1"/>
      <c r="E551" s="1"/>
      <c r="F551" s="1"/>
      <c r="G551" s="1"/>
      <c r="H551" s="1"/>
      <c r="I551" s="1"/>
      <c r="J551" s="1"/>
      <c r="K551" s="17"/>
      <c r="L551" s="1"/>
      <c r="M551" s="1"/>
      <c r="N551" s="2"/>
      <c r="O551" s="2"/>
      <c r="P551" s="1"/>
      <c r="Q551" s="1"/>
      <c r="R551" s="1"/>
      <c r="S551" s="1"/>
      <c r="T551" s="17"/>
      <c r="U551" s="17"/>
      <c r="V551" s="17"/>
      <c r="W551" s="17"/>
      <c r="X551" s="22"/>
      <c r="Y551" s="22"/>
      <c r="Z551" s="22"/>
      <c r="AA551" s="22"/>
      <c r="AB551" s="22"/>
      <c r="AC551" s="22"/>
      <c r="AD551" s="22"/>
      <c r="AE551" s="22"/>
      <c r="AF551" s="22"/>
      <c r="AG551" s="22"/>
      <c r="AH551" s="22"/>
      <c r="AI551" s="22"/>
      <c r="AJ551" s="17"/>
      <c r="AK551" s="22"/>
      <c r="AL551" s="22"/>
      <c r="AM551" s="22"/>
      <c r="AN551" s="22"/>
      <c r="AO551" s="17"/>
      <c r="AP551" s="17"/>
      <c r="AQ551" s="17"/>
      <c r="AR551" s="1"/>
      <c r="AS551" s="1"/>
      <c r="AT551" s="17"/>
      <c r="AU551" s="1"/>
      <c r="AV551" s="1"/>
      <c r="AW551" s="1"/>
      <c r="AX551" s="2"/>
      <c r="AY551" s="2"/>
      <c r="AZ551" s="1"/>
    </row>
    <row x14ac:dyDescent="0.25" r="552" customHeight="1" ht="15">
      <c r="A552" s="1"/>
      <c r="B552" s="1"/>
      <c r="C552" s="1"/>
      <c r="D552" s="1"/>
      <c r="E552" s="1"/>
      <c r="F552" s="1"/>
      <c r="G552" s="1"/>
      <c r="H552" s="1"/>
      <c r="I552" s="1"/>
      <c r="J552" s="1"/>
      <c r="K552" s="17"/>
      <c r="L552" s="1"/>
      <c r="M552" s="1"/>
      <c r="N552" s="2"/>
      <c r="O552" s="2"/>
      <c r="P552" s="1"/>
      <c r="Q552" s="1"/>
      <c r="R552" s="1"/>
      <c r="S552" s="1"/>
      <c r="T552" s="17"/>
      <c r="U552" s="17"/>
      <c r="V552" s="17"/>
      <c r="W552" s="17"/>
      <c r="X552" s="22"/>
      <c r="Y552" s="22"/>
      <c r="Z552" s="22"/>
      <c r="AA552" s="22"/>
      <c r="AB552" s="22"/>
      <c r="AC552" s="22"/>
      <c r="AD552" s="22"/>
      <c r="AE552" s="22"/>
      <c r="AF552" s="22"/>
      <c r="AG552" s="22"/>
      <c r="AH552" s="22"/>
      <c r="AI552" s="22"/>
      <c r="AJ552" s="17"/>
      <c r="AK552" s="22"/>
      <c r="AL552" s="22"/>
      <c r="AM552" s="22"/>
      <c r="AN552" s="22"/>
      <c r="AO552" s="17"/>
      <c r="AP552" s="17"/>
      <c r="AQ552" s="17"/>
      <c r="AR552" s="1"/>
      <c r="AS552" s="1"/>
      <c r="AT552" s="17"/>
      <c r="AU552" s="1"/>
      <c r="AV552" s="1"/>
      <c r="AW552" s="1"/>
      <c r="AX552" s="2"/>
      <c r="AY552" s="2"/>
      <c r="AZ552" s="1"/>
    </row>
    <row x14ac:dyDescent="0.25" r="553" customHeight="1" ht="15">
      <c r="A553" s="1"/>
      <c r="B553" s="1"/>
      <c r="C553" s="1"/>
      <c r="D553" s="1"/>
      <c r="E553" s="1"/>
      <c r="F553" s="1"/>
      <c r="G553" s="1"/>
      <c r="H553" s="1"/>
      <c r="I553" s="1"/>
      <c r="J553" s="1"/>
      <c r="K553" s="17"/>
      <c r="L553" s="1"/>
      <c r="M553" s="1"/>
      <c r="N553" s="2"/>
      <c r="O553" s="2"/>
      <c r="P553" s="1"/>
      <c r="Q553" s="1"/>
      <c r="R553" s="1"/>
      <c r="S553" s="1"/>
      <c r="T553" s="17"/>
      <c r="U553" s="17"/>
      <c r="V553" s="17"/>
      <c r="W553" s="17"/>
      <c r="X553" s="22"/>
      <c r="Y553" s="22"/>
      <c r="Z553" s="22"/>
      <c r="AA553" s="22"/>
      <c r="AB553" s="22"/>
      <c r="AC553" s="22"/>
      <c r="AD553" s="22"/>
      <c r="AE553" s="22"/>
      <c r="AF553" s="22"/>
      <c r="AG553" s="22"/>
      <c r="AH553" s="22"/>
      <c r="AI553" s="22"/>
      <c r="AJ553" s="17"/>
      <c r="AK553" s="22"/>
      <c r="AL553" s="22"/>
      <c r="AM553" s="22"/>
      <c r="AN553" s="22"/>
      <c r="AO553" s="17"/>
      <c r="AP553" s="17"/>
      <c r="AQ553" s="17"/>
      <c r="AR553" s="1"/>
      <c r="AS553" s="1"/>
      <c r="AT553" s="17"/>
      <c r="AU553" s="1"/>
      <c r="AV553" s="1"/>
      <c r="AW553" s="1"/>
      <c r="AX553" s="2"/>
      <c r="AY553" s="2"/>
      <c r="AZ553" s="1"/>
    </row>
    <row x14ac:dyDescent="0.25" r="554" customHeight="1" ht="15">
      <c r="A554" s="1"/>
      <c r="B554" s="1"/>
      <c r="C554" s="1"/>
      <c r="D554" s="1"/>
      <c r="E554" s="1"/>
      <c r="F554" s="1"/>
      <c r="G554" s="1"/>
      <c r="H554" s="1"/>
      <c r="I554" s="1"/>
      <c r="J554" s="1"/>
      <c r="K554" s="17"/>
      <c r="L554" s="1"/>
      <c r="M554" s="1"/>
      <c r="N554" s="2"/>
      <c r="O554" s="2"/>
      <c r="P554" s="1"/>
      <c r="Q554" s="1"/>
      <c r="R554" s="1"/>
      <c r="S554" s="1"/>
      <c r="T554" s="17"/>
      <c r="U554" s="17"/>
      <c r="V554" s="17"/>
      <c r="W554" s="17"/>
      <c r="X554" s="22"/>
      <c r="Y554" s="22"/>
      <c r="Z554" s="22"/>
      <c r="AA554" s="22"/>
      <c r="AB554" s="22"/>
      <c r="AC554" s="22"/>
      <c r="AD554" s="22"/>
      <c r="AE554" s="22"/>
      <c r="AF554" s="22"/>
      <c r="AG554" s="22"/>
      <c r="AH554" s="22"/>
      <c r="AI554" s="22"/>
      <c r="AJ554" s="17"/>
      <c r="AK554" s="22"/>
      <c r="AL554" s="22"/>
      <c r="AM554" s="22"/>
      <c r="AN554" s="22"/>
      <c r="AO554" s="17"/>
      <c r="AP554" s="17"/>
      <c r="AQ554" s="17"/>
      <c r="AR554" s="1"/>
      <c r="AS554" s="1"/>
      <c r="AT554" s="17"/>
      <c r="AU554" s="1"/>
      <c r="AV554" s="1"/>
      <c r="AW554" s="1"/>
      <c r="AX554" s="2"/>
      <c r="AY554" s="2"/>
      <c r="AZ554" s="1"/>
    </row>
    <row x14ac:dyDescent="0.25" r="555" customHeight="1" ht="15">
      <c r="A555" s="1"/>
      <c r="B555" s="1"/>
      <c r="C555" s="1"/>
      <c r="D555" s="1"/>
      <c r="E555" s="1"/>
      <c r="F555" s="1"/>
      <c r="G555" s="1"/>
      <c r="H555" s="1"/>
      <c r="I555" s="1"/>
      <c r="J555" s="1"/>
      <c r="K555" s="17"/>
      <c r="L555" s="1"/>
      <c r="M555" s="1"/>
      <c r="N555" s="2"/>
      <c r="O555" s="2"/>
      <c r="P555" s="1"/>
      <c r="Q555" s="1"/>
      <c r="R555" s="1"/>
      <c r="S555" s="1"/>
      <c r="T555" s="17"/>
      <c r="U555" s="17"/>
      <c r="V555" s="17"/>
      <c r="W555" s="17"/>
      <c r="X555" s="22"/>
      <c r="Y555" s="22"/>
      <c r="Z555" s="22"/>
      <c r="AA555" s="22"/>
      <c r="AB555" s="22"/>
      <c r="AC555" s="22"/>
      <c r="AD555" s="22"/>
      <c r="AE555" s="22"/>
      <c r="AF555" s="22"/>
      <c r="AG555" s="22"/>
      <c r="AH555" s="22"/>
      <c r="AI555" s="22"/>
      <c r="AJ555" s="17"/>
      <c r="AK555" s="22"/>
      <c r="AL555" s="22"/>
      <c r="AM555" s="22"/>
      <c r="AN555" s="22"/>
      <c r="AO555" s="17"/>
      <c r="AP555" s="17"/>
      <c r="AQ555" s="17"/>
      <c r="AR555" s="1"/>
      <c r="AS555" s="1"/>
      <c r="AT555" s="17"/>
      <c r="AU555" s="1"/>
      <c r="AV555" s="1"/>
      <c r="AW555" s="1"/>
      <c r="AX555" s="2"/>
      <c r="AY555" s="2"/>
      <c r="AZ555" s="1"/>
    </row>
    <row x14ac:dyDescent="0.25" r="556" customHeight="1" ht="15">
      <c r="A556" s="1"/>
      <c r="B556" s="1"/>
      <c r="C556" s="1"/>
      <c r="D556" s="1"/>
      <c r="E556" s="1"/>
      <c r="F556" s="1"/>
      <c r="G556" s="1"/>
      <c r="H556" s="1"/>
      <c r="I556" s="1"/>
      <c r="J556" s="1"/>
      <c r="K556" s="17"/>
      <c r="L556" s="1"/>
      <c r="M556" s="1"/>
      <c r="N556" s="2"/>
      <c r="O556" s="2"/>
      <c r="P556" s="1"/>
      <c r="Q556" s="1"/>
      <c r="R556" s="1"/>
      <c r="S556" s="1"/>
      <c r="T556" s="17"/>
      <c r="U556" s="17"/>
      <c r="V556" s="17"/>
      <c r="W556" s="17"/>
      <c r="X556" s="22"/>
      <c r="Y556" s="22"/>
      <c r="Z556" s="22"/>
      <c r="AA556" s="22"/>
      <c r="AB556" s="22"/>
      <c r="AC556" s="22"/>
      <c r="AD556" s="22"/>
      <c r="AE556" s="22"/>
      <c r="AF556" s="22"/>
      <c r="AG556" s="22"/>
      <c r="AH556" s="22"/>
      <c r="AI556" s="22"/>
      <c r="AJ556" s="17"/>
      <c r="AK556" s="22"/>
      <c r="AL556" s="22"/>
      <c r="AM556" s="22"/>
      <c r="AN556" s="22"/>
      <c r="AO556" s="17"/>
      <c r="AP556" s="17"/>
      <c r="AQ556" s="17"/>
      <c r="AR556" s="1"/>
      <c r="AS556" s="1"/>
      <c r="AT556" s="17"/>
      <c r="AU556" s="1"/>
      <c r="AV556" s="1"/>
      <c r="AW556" s="1"/>
      <c r="AX556" s="2"/>
      <c r="AY556" s="2"/>
      <c r="AZ556" s="1"/>
    </row>
    <row x14ac:dyDescent="0.25" r="557" customHeight="1" ht="15">
      <c r="A557" s="1"/>
      <c r="B557" s="1"/>
      <c r="C557" s="1"/>
      <c r="D557" s="1"/>
      <c r="E557" s="1"/>
      <c r="F557" s="1"/>
      <c r="G557" s="1"/>
      <c r="H557" s="1"/>
      <c r="I557" s="1"/>
      <c r="J557" s="1"/>
      <c r="K557" s="17"/>
      <c r="L557" s="1"/>
      <c r="M557" s="1"/>
      <c r="N557" s="2"/>
      <c r="O557" s="2"/>
      <c r="P557" s="1"/>
      <c r="Q557" s="1"/>
      <c r="R557" s="1"/>
      <c r="S557" s="1"/>
      <c r="T557" s="17"/>
      <c r="U557" s="17"/>
      <c r="V557" s="17"/>
      <c r="W557" s="17"/>
      <c r="X557" s="22"/>
      <c r="Y557" s="22"/>
      <c r="Z557" s="22"/>
      <c r="AA557" s="22"/>
      <c r="AB557" s="22"/>
      <c r="AC557" s="22"/>
      <c r="AD557" s="22"/>
      <c r="AE557" s="22"/>
      <c r="AF557" s="22"/>
      <c r="AG557" s="22"/>
      <c r="AH557" s="22"/>
      <c r="AI557" s="22"/>
      <c r="AJ557" s="17"/>
      <c r="AK557" s="22"/>
      <c r="AL557" s="22"/>
      <c r="AM557" s="22"/>
      <c r="AN557" s="22"/>
      <c r="AO557" s="17"/>
      <c r="AP557" s="17"/>
      <c r="AQ557" s="17"/>
      <c r="AR557" s="1"/>
      <c r="AS557" s="1"/>
      <c r="AT557" s="17"/>
      <c r="AU557" s="1"/>
      <c r="AV557" s="1"/>
      <c r="AW557" s="1"/>
      <c r="AX557" s="2"/>
      <c r="AY557" s="2"/>
      <c r="AZ557" s="1"/>
    </row>
    <row x14ac:dyDescent="0.25" r="558" customHeight="1" ht="15">
      <c r="A558" s="1"/>
      <c r="B558" s="1"/>
      <c r="C558" s="1"/>
      <c r="D558" s="1"/>
      <c r="E558" s="1"/>
      <c r="F558" s="1"/>
      <c r="G558" s="1"/>
      <c r="H558" s="1"/>
      <c r="I558" s="1"/>
      <c r="J558" s="1"/>
      <c r="K558" s="17"/>
      <c r="L558" s="1"/>
      <c r="M558" s="1"/>
      <c r="N558" s="2"/>
      <c r="O558" s="2"/>
      <c r="P558" s="1"/>
      <c r="Q558" s="1"/>
      <c r="R558" s="1"/>
      <c r="S558" s="1"/>
      <c r="T558" s="17"/>
      <c r="U558" s="17"/>
      <c r="V558" s="17"/>
      <c r="W558" s="17"/>
      <c r="X558" s="22"/>
      <c r="Y558" s="22"/>
      <c r="Z558" s="22"/>
      <c r="AA558" s="22"/>
      <c r="AB558" s="22"/>
      <c r="AC558" s="22"/>
      <c r="AD558" s="22"/>
      <c r="AE558" s="22"/>
      <c r="AF558" s="22"/>
      <c r="AG558" s="22"/>
      <c r="AH558" s="22"/>
      <c r="AI558" s="22"/>
      <c r="AJ558" s="17"/>
      <c r="AK558" s="22"/>
      <c r="AL558" s="22"/>
      <c r="AM558" s="22"/>
      <c r="AN558" s="22"/>
      <c r="AO558" s="17"/>
      <c r="AP558" s="17"/>
      <c r="AQ558" s="17"/>
      <c r="AR558" s="1"/>
      <c r="AS558" s="1"/>
      <c r="AT558" s="17"/>
      <c r="AU558" s="1"/>
      <c r="AV558" s="1"/>
      <c r="AW558" s="1"/>
      <c r="AX558" s="2"/>
      <c r="AY558" s="2"/>
      <c r="AZ558" s="1"/>
    </row>
    <row x14ac:dyDescent="0.25" r="559" customHeight="1" ht="15">
      <c r="A559" s="1"/>
      <c r="B559" s="1"/>
      <c r="C559" s="1"/>
      <c r="D559" s="1"/>
      <c r="E559" s="1"/>
      <c r="F559" s="1"/>
      <c r="G559" s="1"/>
      <c r="H559" s="1"/>
      <c r="I559" s="1"/>
      <c r="J559" s="1"/>
      <c r="K559" s="17"/>
      <c r="L559" s="1"/>
      <c r="M559" s="1"/>
      <c r="N559" s="2"/>
      <c r="O559" s="2"/>
      <c r="P559" s="1"/>
      <c r="Q559" s="1"/>
      <c r="R559" s="1"/>
      <c r="S559" s="1"/>
      <c r="T559" s="17"/>
      <c r="U559" s="17"/>
      <c r="V559" s="17"/>
      <c r="W559" s="17"/>
      <c r="X559" s="22"/>
      <c r="Y559" s="22"/>
      <c r="Z559" s="22"/>
      <c r="AA559" s="22"/>
      <c r="AB559" s="22"/>
      <c r="AC559" s="22"/>
      <c r="AD559" s="22"/>
      <c r="AE559" s="22"/>
      <c r="AF559" s="22"/>
      <c r="AG559" s="22"/>
      <c r="AH559" s="22"/>
      <c r="AI559" s="22"/>
      <c r="AJ559" s="17"/>
      <c r="AK559" s="22"/>
      <c r="AL559" s="22"/>
      <c r="AM559" s="22"/>
      <c r="AN559" s="22"/>
      <c r="AO559" s="17"/>
      <c r="AP559" s="17"/>
      <c r="AQ559" s="17"/>
      <c r="AR559" s="1"/>
      <c r="AS559" s="1"/>
      <c r="AT559" s="17"/>
      <c r="AU559" s="1"/>
      <c r="AV559" s="1"/>
      <c r="AW559" s="1"/>
      <c r="AX559" s="2"/>
      <c r="AY559" s="2"/>
      <c r="AZ559" s="1"/>
    </row>
    <row x14ac:dyDescent="0.25" r="560" customHeight="1" ht="15">
      <c r="A560" s="1"/>
      <c r="B560" s="1"/>
      <c r="C560" s="1"/>
      <c r="D560" s="1"/>
      <c r="E560" s="1"/>
      <c r="F560" s="1"/>
      <c r="G560" s="1"/>
      <c r="H560" s="1"/>
      <c r="I560" s="1"/>
      <c r="J560" s="1"/>
      <c r="K560" s="17"/>
      <c r="L560" s="1"/>
      <c r="M560" s="1"/>
      <c r="N560" s="2"/>
      <c r="O560" s="2"/>
      <c r="P560" s="1"/>
      <c r="Q560" s="1"/>
      <c r="R560" s="1"/>
      <c r="S560" s="1"/>
      <c r="T560" s="17"/>
      <c r="U560" s="17"/>
      <c r="V560" s="17"/>
      <c r="W560" s="17"/>
      <c r="X560" s="22"/>
      <c r="Y560" s="22"/>
      <c r="Z560" s="22"/>
      <c r="AA560" s="22"/>
      <c r="AB560" s="22"/>
      <c r="AC560" s="22"/>
      <c r="AD560" s="22"/>
      <c r="AE560" s="22"/>
      <c r="AF560" s="22"/>
      <c r="AG560" s="22"/>
      <c r="AH560" s="22"/>
      <c r="AI560" s="22"/>
      <c r="AJ560" s="17"/>
      <c r="AK560" s="22"/>
      <c r="AL560" s="22"/>
      <c r="AM560" s="22"/>
      <c r="AN560" s="22"/>
      <c r="AO560" s="17"/>
      <c r="AP560" s="17"/>
      <c r="AQ560" s="17"/>
      <c r="AR560" s="1"/>
      <c r="AS560" s="1"/>
      <c r="AT560" s="17"/>
      <c r="AU560" s="1"/>
      <c r="AV560" s="1"/>
      <c r="AW560" s="1"/>
      <c r="AX560" s="2"/>
      <c r="AY560" s="2"/>
      <c r="AZ560" s="1"/>
    </row>
    <row x14ac:dyDescent="0.25" r="561" customHeight="1" ht="15">
      <c r="A561" s="1"/>
      <c r="B561" s="1"/>
      <c r="C561" s="1"/>
      <c r="D561" s="1"/>
      <c r="E561" s="1"/>
      <c r="F561" s="1"/>
      <c r="G561" s="1"/>
      <c r="H561" s="1"/>
      <c r="I561" s="1"/>
      <c r="J561" s="1"/>
      <c r="K561" s="17"/>
      <c r="L561" s="1"/>
      <c r="M561" s="1"/>
      <c r="N561" s="2"/>
      <c r="O561" s="2"/>
      <c r="P561" s="1"/>
      <c r="Q561" s="1"/>
      <c r="R561" s="1"/>
      <c r="S561" s="1"/>
      <c r="T561" s="17"/>
      <c r="U561" s="17"/>
      <c r="V561" s="17"/>
      <c r="W561" s="17"/>
      <c r="X561" s="22"/>
      <c r="Y561" s="22"/>
      <c r="Z561" s="22"/>
      <c r="AA561" s="22"/>
      <c r="AB561" s="22"/>
      <c r="AC561" s="22"/>
      <c r="AD561" s="22"/>
      <c r="AE561" s="22"/>
      <c r="AF561" s="22"/>
      <c r="AG561" s="22"/>
      <c r="AH561" s="22"/>
      <c r="AI561" s="22"/>
      <c r="AJ561" s="17"/>
      <c r="AK561" s="22"/>
      <c r="AL561" s="22"/>
      <c r="AM561" s="22"/>
      <c r="AN561" s="22"/>
      <c r="AO561" s="17"/>
      <c r="AP561" s="17"/>
      <c r="AQ561" s="17"/>
      <c r="AR561" s="1"/>
      <c r="AS561" s="1"/>
      <c r="AT561" s="17"/>
      <c r="AU561" s="1"/>
      <c r="AV561" s="1"/>
      <c r="AW561" s="1"/>
      <c r="AX561" s="2"/>
      <c r="AY561" s="2"/>
      <c r="AZ561" s="1"/>
    </row>
    <row x14ac:dyDescent="0.25" r="562" customHeight="1" ht="15">
      <c r="A562" s="1"/>
      <c r="B562" s="1"/>
      <c r="C562" s="1"/>
      <c r="D562" s="1"/>
      <c r="E562" s="1"/>
      <c r="F562" s="1"/>
      <c r="G562" s="1"/>
      <c r="H562" s="1"/>
      <c r="I562" s="1"/>
      <c r="J562" s="1"/>
      <c r="K562" s="17"/>
      <c r="L562" s="1"/>
      <c r="M562" s="1"/>
      <c r="N562" s="2"/>
      <c r="O562" s="2"/>
      <c r="P562" s="1"/>
      <c r="Q562" s="1"/>
      <c r="R562" s="1"/>
      <c r="S562" s="1"/>
      <c r="T562" s="17"/>
      <c r="U562" s="17"/>
      <c r="V562" s="17"/>
      <c r="W562" s="17"/>
      <c r="X562" s="22"/>
      <c r="Y562" s="22"/>
      <c r="Z562" s="22"/>
      <c r="AA562" s="22"/>
      <c r="AB562" s="22"/>
      <c r="AC562" s="22"/>
      <c r="AD562" s="22"/>
      <c r="AE562" s="22"/>
      <c r="AF562" s="22"/>
      <c r="AG562" s="22"/>
      <c r="AH562" s="22"/>
      <c r="AI562" s="22"/>
      <c r="AJ562" s="17"/>
      <c r="AK562" s="22"/>
      <c r="AL562" s="22"/>
      <c r="AM562" s="22"/>
      <c r="AN562" s="22"/>
      <c r="AO562" s="17"/>
      <c r="AP562" s="17"/>
      <c r="AQ562" s="17"/>
      <c r="AR562" s="1"/>
      <c r="AS562" s="1"/>
      <c r="AT562" s="17"/>
      <c r="AU562" s="1"/>
      <c r="AV562" s="1"/>
      <c r="AW562" s="1"/>
      <c r="AX562" s="2"/>
      <c r="AY562" s="2"/>
      <c r="AZ562" s="1"/>
    </row>
    <row x14ac:dyDescent="0.25" r="563" customHeight="1" ht="15">
      <c r="A563" s="1"/>
      <c r="B563" s="1"/>
      <c r="C563" s="1"/>
      <c r="D563" s="1"/>
      <c r="E563" s="1"/>
      <c r="F563" s="1"/>
      <c r="G563" s="1"/>
      <c r="H563" s="1"/>
      <c r="I563" s="1"/>
      <c r="J563" s="1"/>
      <c r="K563" s="17"/>
      <c r="L563" s="1"/>
      <c r="M563" s="1"/>
      <c r="N563" s="2"/>
      <c r="O563" s="2"/>
      <c r="P563" s="1"/>
      <c r="Q563" s="1"/>
      <c r="R563" s="1"/>
      <c r="S563" s="1"/>
      <c r="T563" s="17"/>
      <c r="U563" s="17"/>
      <c r="V563" s="17"/>
      <c r="W563" s="17"/>
      <c r="X563" s="22"/>
      <c r="Y563" s="22"/>
      <c r="Z563" s="22"/>
      <c r="AA563" s="22"/>
      <c r="AB563" s="22"/>
      <c r="AC563" s="22"/>
      <c r="AD563" s="22"/>
      <c r="AE563" s="22"/>
      <c r="AF563" s="22"/>
      <c r="AG563" s="22"/>
      <c r="AH563" s="22"/>
      <c r="AI563" s="22"/>
      <c r="AJ563" s="17"/>
      <c r="AK563" s="22"/>
      <c r="AL563" s="22"/>
      <c r="AM563" s="22"/>
      <c r="AN563" s="22"/>
      <c r="AO563" s="17"/>
      <c r="AP563" s="17"/>
      <c r="AQ563" s="17"/>
      <c r="AR563" s="1"/>
      <c r="AS563" s="1"/>
      <c r="AT563" s="17"/>
      <c r="AU563" s="1"/>
      <c r="AV563" s="1"/>
      <c r="AW563" s="1"/>
      <c r="AX563" s="2"/>
      <c r="AY563" s="2"/>
      <c r="AZ563" s="1"/>
    </row>
    <row x14ac:dyDescent="0.25" r="564" customHeight="1" ht="15">
      <c r="A564" s="1"/>
      <c r="B564" s="1"/>
      <c r="C564" s="1"/>
      <c r="D564" s="1"/>
      <c r="E564" s="1"/>
      <c r="F564" s="1"/>
      <c r="G564" s="1"/>
      <c r="H564" s="1"/>
      <c r="I564" s="1"/>
      <c r="J564" s="1"/>
      <c r="K564" s="17"/>
      <c r="L564" s="1"/>
      <c r="M564" s="1"/>
      <c r="N564" s="2"/>
      <c r="O564" s="2"/>
      <c r="P564" s="1"/>
      <c r="Q564" s="1"/>
      <c r="R564" s="1"/>
      <c r="S564" s="1"/>
      <c r="T564" s="17"/>
      <c r="U564" s="17"/>
      <c r="V564" s="17"/>
      <c r="W564" s="17"/>
      <c r="X564" s="22"/>
      <c r="Y564" s="22"/>
      <c r="Z564" s="22"/>
      <c r="AA564" s="22"/>
      <c r="AB564" s="22"/>
      <c r="AC564" s="22"/>
      <c r="AD564" s="22"/>
      <c r="AE564" s="22"/>
      <c r="AF564" s="22"/>
      <c r="AG564" s="22"/>
      <c r="AH564" s="22"/>
      <c r="AI564" s="22"/>
      <c r="AJ564" s="17"/>
      <c r="AK564" s="22"/>
      <c r="AL564" s="22"/>
      <c r="AM564" s="22"/>
      <c r="AN564" s="22"/>
      <c r="AO564" s="17"/>
      <c r="AP564" s="17"/>
      <c r="AQ564" s="17"/>
      <c r="AR564" s="1"/>
      <c r="AS564" s="1"/>
      <c r="AT564" s="17"/>
      <c r="AU564" s="1"/>
      <c r="AV564" s="1"/>
      <c r="AW564" s="1"/>
      <c r="AX564" s="2"/>
      <c r="AY564" s="2"/>
      <c r="AZ564" s="1"/>
    </row>
    <row x14ac:dyDescent="0.25" r="565" customHeight="1" ht="15">
      <c r="A565" s="1"/>
      <c r="B565" s="1"/>
      <c r="C565" s="1"/>
      <c r="D565" s="1"/>
      <c r="E565" s="1"/>
      <c r="F565" s="1"/>
      <c r="G565" s="1"/>
      <c r="H565" s="1"/>
      <c r="I565" s="1"/>
      <c r="J565" s="1"/>
      <c r="K565" s="17"/>
      <c r="L565" s="1"/>
      <c r="M565" s="1"/>
      <c r="N565" s="2"/>
      <c r="O565" s="2"/>
      <c r="P565" s="1"/>
      <c r="Q565" s="1"/>
      <c r="R565" s="1"/>
      <c r="S565" s="1"/>
      <c r="T565" s="17"/>
      <c r="U565" s="17"/>
      <c r="V565" s="17"/>
      <c r="W565" s="17"/>
      <c r="X565" s="22"/>
      <c r="Y565" s="22"/>
      <c r="Z565" s="22"/>
      <c r="AA565" s="22"/>
      <c r="AB565" s="22"/>
      <c r="AC565" s="22"/>
      <c r="AD565" s="22"/>
      <c r="AE565" s="22"/>
      <c r="AF565" s="22"/>
      <c r="AG565" s="22"/>
      <c r="AH565" s="22"/>
      <c r="AI565" s="22"/>
      <c r="AJ565" s="17"/>
      <c r="AK565" s="22"/>
      <c r="AL565" s="22"/>
      <c r="AM565" s="22"/>
      <c r="AN565" s="22"/>
      <c r="AO565" s="17"/>
      <c r="AP565" s="17"/>
      <c r="AQ565" s="17"/>
      <c r="AR565" s="1"/>
      <c r="AS565" s="1"/>
      <c r="AT565" s="17"/>
      <c r="AU565" s="1"/>
      <c r="AV565" s="1"/>
      <c r="AW565" s="1"/>
      <c r="AX565" s="2"/>
      <c r="AY565" s="2"/>
      <c r="AZ565" s="1"/>
    </row>
    <row x14ac:dyDescent="0.25" r="566" customHeight="1" ht="15">
      <c r="A566" s="1"/>
      <c r="B566" s="1"/>
      <c r="C566" s="1"/>
      <c r="D566" s="1"/>
      <c r="E566" s="1"/>
      <c r="F566" s="1"/>
      <c r="G566" s="1"/>
      <c r="H566" s="1"/>
      <c r="I566" s="1"/>
      <c r="J566" s="1"/>
      <c r="K566" s="17"/>
      <c r="L566" s="1"/>
      <c r="M566" s="1"/>
      <c r="N566" s="2"/>
      <c r="O566" s="2"/>
      <c r="P566" s="1"/>
      <c r="Q566" s="1"/>
      <c r="R566" s="1"/>
      <c r="S566" s="1"/>
      <c r="T566" s="17"/>
      <c r="U566" s="17"/>
      <c r="V566" s="17"/>
      <c r="W566" s="17"/>
      <c r="X566" s="22"/>
      <c r="Y566" s="22"/>
      <c r="Z566" s="22"/>
      <c r="AA566" s="22"/>
      <c r="AB566" s="22"/>
      <c r="AC566" s="22"/>
      <c r="AD566" s="22"/>
      <c r="AE566" s="22"/>
      <c r="AF566" s="22"/>
      <c r="AG566" s="22"/>
      <c r="AH566" s="22"/>
      <c r="AI566" s="22"/>
      <c r="AJ566" s="17"/>
      <c r="AK566" s="22"/>
      <c r="AL566" s="22"/>
      <c r="AM566" s="22"/>
      <c r="AN566" s="22"/>
      <c r="AO566" s="17"/>
      <c r="AP566" s="17"/>
      <c r="AQ566" s="17"/>
      <c r="AR566" s="1"/>
      <c r="AS566" s="1"/>
      <c r="AT566" s="17"/>
      <c r="AU566" s="1"/>
      <c r="AV566" s="1"/>
      <c r="AW566" s="1"/>
      <c r="AX566" s="2"/>
      <c r="AY566" s="2"/>
      <c r="AZ566" s="1"/>
    </row>
    <row x14ac:dyDescent="0.25" r="567" customHeight="1" ht="15">
      <c r="A567" s="1"/>
      <c r="B567" s="1"/>
      <c r="C567" s="1"/>
      <c r="D567" s="1"/>
      <c r="E567" s="1"/>
      <c r="F567" s="1"/>
      <c r="G567" s="1"/>
      <c r="H567" s="1"/>
      <c r="I567" s="1"/>
      <c r="J567" s="1"/>
      <c r="K567" s="17"/>
      <c r="L567" s="1"/>
      <c r="M567" s="1"/>
      <c r="N567" s="2"/>
      <c r="O567" s="2"/>
      <c r="P567" s="1"/>
      <c r="Q567" s="1"/>
      <c r="R567" s="1"/>
      <c r="S567" s="1"/>
      <c r="T567" s="17"/>
      <c r="U567" s="17"/>
      <c r="V567" s="17"/>
      <c r="W567" s="17"/>
      <c r="X567" s="22"/>
      <c r="Y567" s="22"/>
      <c r="Z567" s="22"/>
      <c r="AA567" s="22"/>
      <c r="AB567" s="22"/>
      <c r="AC567" s="22"/>
      <c r="AD567" s="22"/>
      <c r="AE567" s="22"/>
      <c r="AF567" s="22"/>
      <c r="AG567" s="22"/>
      <c r="AH567" s="22"/>
      <c r="AI567" s="22"/>
      <c r="AJ567" s="17"/>
      <c r="AK567" s="22"/>
      <c r="AL567" s="22"/>
      <c r="AM567" s="22"/>
      <c r="AN567" s="22"/>
      <c r="AO567" s="17"/>
      <c r="AP567" s="17"/>
      <c r="AQ567" s="17"/>
      <c r="AR567" s="1"/>
      <c r="AS567" s="1"/>
      <c r="AT567" s="17"/>
      <c r="AU567" s="1"/>
      <c r="AV567" s="1"/>
      <c r="AW567" s="1"/>
      <c r="AX567" s="2"/>
      <c r="AY567" s="2"/>
      <c r="AZ567" s="1"/>
    </row>
    <row x14ac:dyDescent="0.25" r="568" customHeight="1" ht="15">
      <c r="A568" s="1"/>
      <c r="B568" s="1"/>
      <c r="C568" s="1"/>
      <c r="D568" s="1"/>
      <c r="E568" s="1"/>
      <c r="F568" s="1"/>
      <c r="G568" s="1"/>
      <c r="H568" s="1"/>
      <c r="I568" s="1"/>
      <c r="J568" s="1"/>
      <c r="K568" s="17"/>
      <c r="L568" s="1"/>
      <c r="M568" s="1"/>
      <c r="N568" s="2"/>
      <c r="O568" s="2"/>
      <c r="P568" s="1"/>
      <c r="Q568" s="1"/>
      <c r="R568" s="1"/>
      <c r="S568" s="1"/>
      <c r="T568" s="17"/>
      <c r="U568" s="17"/>
      <c r="V568" s="17"/>
      <c r="W568" s="17"/>
      <c r="X568" s="22"/>
      <c r="Y568" s="22"/>
      <c r="Z568" s="22"/>
      <c r="AA568" s="22"/>
      <c r="AB568" s="22"/>
      <c r="AC568" s="22"/>
      <c r="AD568" s="22"/>
      <c r="AE568" s="22"/>
      <c r="AF568" s="22"/>
      <c r="AG568" s="22"/>
      <c r="AH568" s="22"/>
      <c r="AI568" s="22"/>
      <c r="AJ568" s="17"/>
      <c r="AK568" s="22"/>
      <c r="AL568" s="22"/>
      <c r="AM568" s="22"/>
      <c r="AN568" s="22"/>
      <c r="AO568" s="17"/>
      <c r="AP568" s="17"/>
      <c r="AQ568" s="17"/>
      <c r="AR568" s="1"/>
      <c r="AS568" s="1"/>
      <c r="AT568" s="17"/>
      <c r="AU568" s="1"/>
      <c r="AV568" s="1"/>
      <c r="AW568" s="1"/>
      <c r="AX568" s="2"/>
      <c r="AY568" s="2"/>
      <c r="AZ568" s="1"/>
    </row>
    <row x14ac:dyDescent="0.25" r="569" customHeight="1" ht="15">
      <c r="A569" s="1"/>
      <c r="B569" s="1"/>
      <c r="C569" s="1"/>
      <c r="D569" s="1"/>
      <c r="E569" s="1"/>
      <c r="F569" s="1"/>
      <c r="G569" s="1"/>
      <c r="H569" s="1"/>
      <c r="I569" s="1"/>
      <c r="J569" s="1"/>
      <c r="K569" s="17"/>
      <c r="L569" s="1"/>
      <c r="M569" s="1"/>
      <c r="N569" s="2"/>
      <c r="O569" s="2"/>
      <c r="P569" s="1"/>
      <c r="Q569" s="1"/>
      <c r="R569" s="1"/>
      <c r="S569" s="1"/>
      <c r="T569" s="17"/>
      <c r="U569" s="17"/>
      <c r="V569" s="17"/>
      <c r="W569" s="17"/>
      <c r="X569" s="22"/>
      <c r="Y569" s="22"/>
      <c r="Z569" s="22"/>
      <c r="AA569" s="22"/>
      <c r="AB569" s="22"/>
      <c r="AC569" s="22"/>
      <c r="AD569" s="22"/>
      <c r="AE569" s="22"/>
      <c r="AF569" s="22"/>
      <c r="AG569" s="22"/>
      <c r="AH569" s="22"/>
      <c r="AI569" s="22"/>
      <c r="AJ569" s="17"/>
      <c r="AK569" s="22"/>
      <c r="AL569" s="22"/>
      <c r="AM569" s="22"/>
      <c r="AN569" s="22"/>
      <c r="AO569" s="17"/>
      <c r="AP569" s="17"/>
      <c r="AQ569" s="17"/>
      <c r="AR569" s="1"/>
      <c r="AS569" s="1"/>
      <c r="AT569" s="17"/>
      <c r="AU569" s="1"/>
      <c r="AV569" s="1"/>
      <c r="AW569" s="1"/>
      <c r="AX569" s="2"/>
      <c r="AY569" s="2"/>
      <c r="AZ569" s="1"/>
    </row>
    <row x14ac:dyDescent="0.25" r="570" customHeight="1" ht="15">
      <c r="A570" s="1"/>
      <c r="B570" s="1"/>
      <c r="C570" s="1"/>
      <c r="D570" s="1"/>
      <c r="E570" s="1"/>
      <c r="F570" s="1"/>
      <c r="G570" s="1"/>
      <c r="H570" s="1"/>
      <c r="I570" s="1"/>
      <c r="J570" s="1"/>
      <c r="K570" s="17"/>
      <c r="L570" s="1"/>
      <c r="M570" s="1"/>
      <c r="N570" s="2"/>
      <c r="O570" s="2"/>
      <c r="P570" s="1"/>
      <c r="Q570" s="1"/>
      <c r="R570" s="1"/>
      <c r="S570" s="1"/>
      <c r="T570" s="17"/>
      <c r="U570" s="17"/>
      <c r="V570" s="17"/>
      <c r="W570" s="17"/>
      <c r="X570" s="22"/>
      <c r="Y570" s="22"/>
      <c r="Z570" s="22"/>
      <c r="AA570" s="22"/>
      <c r="AB570" s="22"/>
      <c r="AC570" s="22"/>
      <c r="AD570" s="22"/>
      <c r="AE570" s="22"/>
      <c r="AF570" s="22"/>
      <c r="AG570" s="22"/>
      <c r="AH570" s="22"/>
      <c r="AI570" s="22"/>
      <c r="AJ570" s="17"/>
      <c r="AK570" s="22"/>
      <c r="AL570" s="22"/>
      <c r="AM570" s="22"/>
      <c r="AN570" s="22"/>
      <c r="AO570" s="17"/>
      <c r="AP570" s="17"/>
      <c r="AQ570" s="17"/>
      <c r="AR570" s="1"/>
      <c r="AS570" s="1"/>
      <c r="AT570" s="17"/>
      <c r="AU570" s="1"/>
      <c r="AV570" s="1"/>
      <c r="AW570" s="1"/>
      <c r="AX570" s="2"/>
      <c r="AY570" s="2"/>
      <c r="AZ570" s="1"/>
    </row>
    <row x14ac:dyDescent="0.25" r="571" customHeight="1" ht="15">
      <c r="A571" s="1"/>
      <c r="B571" s="1"/>
      <c r="C571" s="1"/>
      <c r="D571" s="1"/>
      <c r="E571" s="1"/>
      <c r="F571" s="1"/>
      <c r="G571" s="1"/>
      <c r="H571" s="1"/>
      <c r="I571" s="1"/>
      <c r="J571" s="1"/>
      <c r="K571" s="17"/>
      <c r="L571" s="1"/>
      <c r="M571" s="1"/>
      <c r="N571" s="2"/>
      <c r="O571" s="2"/>
      <c r="P571" s="1"/>
      <c r="Q571" s="1"/>
      <c r="R571" s="1"/>
      <c r="S571" s="1"/>
      <c r="T571" s="17"/>
      <c r="U571" s="17"/>
      <c r="V571" s="17"/>
      <c r="W571" s="17"/>
      <c r="X571" s="22"/>
      <c r="Y571" s="22"/>
      <c r="Z571" s="22"/>
      <c r="AA571" s="22"/>
      <c r="AB571" s="22"/>
      <c r="AC571" s="22"/>
      <c r="AD571" s="22"/>
      <c r="AE571" s="22"/>
      <c r="AF571" s="22"/>
      <c r="AG571" s="22"/>
      <c r="AH571" s="22"/>
      <c r="AI571" s="22"/>
      <c r="AJ571" s="17"/>
      <c r="AK571" s="22"/>
      <c r="AL571" s="22"/>
      <c r="AM571" s="22"/>
      <c r="AN571" s="22"/>
      <c r="AO571" s="17"/>
      <c r="AP571" s="17"/>
      <c r="AQ571" s="17"/>
      <c r="AR571" s="1"/>
      <c r="AS571" s="1"/>
      <c r="AT571" s="17"/>
      <c r="AU571" s="1"/>
      <c r="AV571" s="1"/>
      <c r="AW571" s="1"/>
      <c r="AX571" s="2"/>
      <c r="AY571" s="2"/>
      <c r="AZ571" s="1"/>
    </row>
    <row x14ac:dyDescent="0.25" r="572" customHeight="1" ht="15">
      <c r="A572" s="1"/>
      <c r="B572" s="1"/>
      <c r="C572" s="1"/>
      <c r="D572" s="1"/>
      <c r="E572" s="1"/>
      <c r="F572" s="1"/>
      <c r="G572" s="1"/>
      <c r="H572" s="1"/>
      <c r="I572" s="1"/>
      <c r="J572" s="1"/>
      <c r="K572" s="17"/>
      <c r="L572" s="1"/>
      <c r="M572" s="1"/>
      <c r="N572" s="2"/>
      <c r="O572" s="2"/>
      <c r="P572" s="1"/>
      <c r="Q572" s="1"/>
      <c r="R572" s="1"/>
      <c r="S572" s="1"/>
      <c r="T572" s="17"/>
      <c r="U572" s="17"/>
      <c r="V572" s="17"/>
      <c r="W572" s="17"/>
      <c r="X572" s="22"/>
      <c r="Y572" s="22"/>
      <c r="Z572" s="22"/>
      <c r="AA572" s="22"/>
      <c r="AB572" s="22"/>
      <c r="AC572" s="22"/>
      <c r="AD572" s="22"/>
      <c r="AE572" s="22"/>
      <c r="AF572" s="22"/>
      <c r="AG572" s="22"/>
      <c r="AH572" s="22"/>
      <c r="AI572" s="22"/>
      <c r="AJ572" s="17"/>
      <c r="AK572" s="22"/>
      <c r="AL572" s="22"/>
      <c r="AM572" s="22"/>
      <c r="AN572" s="22"/>
      <c r="AO572" s="17"/>
      <c r="AP572" s="17"/>
      <c r="AQ572" s="17"/>
      <c r="AR572" s="1"/>
      <c r="AS572" s="1"/>
      <c r="AT572" s="17"/>
      <c r="AU572" s="1"/>
      <c r="AV572" s="1"/>
      <c r="AW572" s="1"/>
      <c r="AX572" s="2"/>
      <c r="AY572" s="2"/>
      <c r="AZ572" s="1"/>
    </row>
    <row x14ac:dyDescent="0.25" r="573" customHeight="1" ht="15">
      <c r="A573" s="1"/>
      <c r="B573" s="1"/>
      <c r="C573" s="1"/>
      <c r="D573" s="1"/>
      <c r="E573" s="1"/>
      <c r="F573" s="1"/>
      <c r="G573" s="1"/>
      <c r="H573" s="1"/>
      <c r="I573" s="1"/>
      <c r="J573" s="1"/>
      <c r="K573" s="17"/>
      <c r="L573" s="1"/>
      <c r="M573" s="1"/>
      <c r="N573" s="2"/>
      <c r="O573" s="2"/>
      <c r="P573" s="1"/>
      <c r="Q573" s="1"/>
      <c r="R573" s="1"/>
      <c r="S573" s="1"/>
      <c r="T573" s="17"/>
      <c r="U573" s="17"/>
      <c r="V573" s="17"/>
      <c r="W573" s="17"/>
      <c r="X573" s="22"/>
      <c r="Y573" s="22"/>
      <c r="Z573" s="22"/>
      <c r="AA573" s="22"/>
      <c r="AB573" s="22"/>
      <c r="AC573" s="22"/>
      <c r="AD573" s="22"/>
      <c r="AE573" s="22"/>
      <c r="AF573" s="22"/>
      <c r="AG573" s="22"/>
      <c r="AH573" s="22"/>
      <c r="AI573" s="22"/>
      <c r="AJ573" s="17"/>
      <c r="AK573" s="22"/>
      <c r="AL573" s="22"/>
      <c r="AM573" s="22"/>
      <c r="AN573" s="22"/>
      <c r="AO573" s="17"/>
      <c r="AP573" s="17"/>
      <c r="AQ573" s="17"/>
      <c r="AR573" s="1"/>
      <c r="AS573" s="1"/>
      <c r="AT573" s="17"/>
      <c r="AU573" s="1"/>
      <c r="AV573" s="1"/>
      <c r="AW573" s="1"/>
      <c r="AX573" s="2"/>
      <c r="AY573" s="2"/>
      <c r="AZ573" s="1"/>
    </row>
    <row x14ac:dyDescent="0.25" r="574" customHeight="1" ht="15">
      <c r="A574" s="1"/>
      <c r="B574" s="1"/>
      <c r="C574" s="1"/>
      <c r="D574" s="1"/>
      <c r="E574" s="1"/>
      <c r="F574" s="1"/>
      <c r="G574" s="1"/>
      <c r="H574" s="1"/>
      <c r="I574" s="1"/>
      <c r="J574" s="1"/>
      <c r="K574" s="17"/>
      <c r="L574" s="1"/>
      <c r="M574" s="1"/>
      <c r="N574" s="2"/>
      <c r="O574" s="2"/>
      <c r="P574" s="1"/>
      <c r="Q574" s="1"/>
      <c r="R574" s="1"/>
      <c r="S574" s="1"/>
      <c r="T574" s="17"/>
      <c r="U574" s="17"/>
      <c r="V574" s="17"/>
      <c r="W574" s="17"/>
      <c r="X574" s="22"/>
      <c r="Y574" s="22"/>
      <c r="Z574" s="22"/>
      <c r="AA574" s="22"/>
      <c r="AB574" s="22"/>
      <c r="AC574" s="22"/>
      <c r="AD574" s="22"/>
      <c r="AE574" s="22"/>
      <c r="AF574" s="22"/>
      <c r="AG574" s="22"/>
      <c r="AH574" s="22"/>
      <c r="AI574" s="22"/>
      <c r="AJ574" s="17"/>
      <c r="AK574" s="22"/>
      <c r="AL574" s="22"/>
      <c r="AM574" s="22"/>
      <c r="AN574" s="22"/>
      <c r="AO574" s="17"/>
      <c r="AP574" s="17"/>
      <c r="AQ574" s="17"/>
      <c r="AR574" s="1"/>
      <c r="AS574" s="1"/>
      <c r="AT574" s="17"/>
      <c r="AU574" s="1"/>
      <c r="AV574" s="1"/>
      <c r="AW574" s="1"/>
      <c r="AX574" s="2"/>
      <c r="AY574" s="2"/>
      <c r="AZ574" s="1"/>
    </row>
    <row x14ac:dyDescent="0.25" r="575" customHeight="1" ht="15">
      <c r="A575" s="1"/>
      <c r="B575" s="1"/>
      <c r="C575" s="1"/>
      <c r="D575" s="1"/>
      <c r="E575" s="1"/>
      <c r="F575" s="1"/>
      <c r="G575" s="1"/>
      <c r="H575" s="1"/>
      <c r="I575" s="1"/>
      <c r="J575" s="1"/>
      <c r="K575" s="17"/>
      <c r="L575" s="1"/>
      <c r="M575" s="1"/>
      <c r="N575" s="2"/>
      <c r="O575" s="2"/>
      <c r="P575" s="1"/>
      <c r="Q575" s="1"/>
      <c r="R575" s="1"/>
      <c r="S575" s="1"/>
      <c r="T575" s="17"/>
      <c r="U575" s="17"/>
      <c r="V575" s="17"/>
      <c r="W575" s="17"/>
      <c r="X575" s="22"/>
      <c r="Y575" s="22"/>
      <c r="Z575" s="22"/>
      <c r="AA575" s="22"/>
      <c r="AB575" s="22"/>
      <c r="AC575" s="22"/>
      <c r="AD575" s="22"/>
      <c r="AE575" s="22"/>
      <c r="AF575" s="22"/>
      <c r="AG575" s="22"/>
      <c r="AH575" s="22"/>
      <c r="AI575" s="22"/>
      <c r="AJ575" s="17"/>
      <c r="AK575" s="22"/>
      <c r="AL575" s="22"/>
      <c r="AM575" s="22"/>
      <c r="AN575" s="22"/>
      <c r="AO575" s="17"/>
      <c r="AP575" s="17"/>
      <c r="AQ575" s="17"/>
      <c r="AR575" s="1"/>
      <c r="AS575" s="1"/>
      <c r="AT575" s="17"/>
      <c r="AU575" s="1"/>
      <c r="AV575" s="1"/>
      <c r="AW575" s="1"/>
      <c r="AX575" s="2"/>
      <c r="AY575" s="2"/>
      <c r="AZ575" s="1"/>
    </row>
    <row x14ac:dyDescent="0.25" r="576" customHeight="1" ht="15">
      <c r="A576" s="1"/>
      <c r="B576" s="1"/>
      <c r="C576" s="1"/>
      <c r="D576" s="1"/>
      <c r="E576" s="1"/>
      <c r="F576" s="1"/>
      <c r="G576" s="1"/>
      <c r="H576" s="1"/>
      <c r="I576" s="1"/>
      <c r="J576" s="1"/>
      <c r="K576" s="17"/>
      <c r="L576" s="1"/>
      <c r="M576" s="1"/>
      <c r="N576" s="2"/>
      <c r="O576" s="2"/>
      <c r="P576" s="1"/>
      <c r="Q576" s="1"/>
      <c r="R576" s="1"/>
      <c r="S576" s="1"/>
      <c r="T576" s="17"/>
      <c r="U576" s="17"/>
      <c r="V576" s="17"/>
      <c r="W576" s="17"/>
      <c r="X576" s="22"/>
      <c r="Y576" s="22"/>
      <c r="Z576" s="22"/>
      <c r="AA576" s="22"/>
      <c r="AB576" s="22"/>
      <c r="AC576" s="22"/>
      <c r="AD576" s="22"/>
      <c r="AE576" s="22"/>
      <c r="AF576" s="22"/>
      <c r="AG576" s="22"/>
      <c r="AH576" s="22"/>
      <c r="AI576" s="22"/>
      <c r="AJ576" s="17"/>
      <c r="AK576" s="22"/>
      <c r="AL576" s="22"/>
      <c r="AM576" s="22"/>
      <c r="AN576" s="22"/>
      <c r="AO576" s="17"/>
      <c r="AP576" s="17"/>
      <c r="AQ576" s="17"/>
      <c r="AR576" s="1"/>
      <c r="AS576" s="1"/>
      <c r="AT576" s="17"/>
      <c r="AU576" s="1"/>
      <c r="AV576" s="1"/>
      <c r="AW576" s="1"/>
      <c r="AX576" s="2"/>
      <c r="AY576" s="2"/>
      <c r="AZ576" s="1"/>
    </row>
    <row x14ac:dyDescent="0.25" r="577" customHeight="1" ht="15">
      <c r="A577" s="1"/>
      <c r="B577" s="1"/>
      <c r="C577" s="1"/>
      <c r="D577" s="1"/>
      <c r="E577" s="1"/>
      <c r="F577" s="1"/>
      <c r="G577" s="1"/>
      <c r="H577" s="1"/>
      <c r="I577" s="1"/>
      <c r="J577" s="1"/>
      <c r="K577" s="17"/>
      <c r="L577" s="1"/>
      <c r="M577" s="1"/>
      <c r="N577" s="2"/>
      <c r="O577" s="2"/>
      <c r="P577" s="1"/>
      <c r="Q577" s="1"/>
      <c r="R577" s="1"/>
      <c r="S577" s="1"/>
      <c r="T577" s="17"/>
      <c r="U577" s="17"/>
      <c r="V577" s="17"/>
      <c r="W577" s="17"/>
      <c r="X577" s="22"/>
      <c r="Y577" s="22"/>
      <c r="Z577" s="22"/>
      <c r="AA577" s="22"/>
      <c r="AB577" s="22"/>
      <c r="AC577" s="22"/>
      <c r="AD577" s="22"/>
      <c r="AE577" s="22"/>
      <c r="AF577" s="22"/>
      <c r="AG577" s="22"/>
      <c r="AH577" s="22"/>
      <c r="AI577" s="22"/>
      <c r="AJ577" s="17"/>
      <c r="AK577" s="22"/>
      <c r="AL577" s="22"/>
      <c r="AM577" s="22"/>
      <c r="AN577" s="22"/>
      <c r="AO577" s="17"/>
      <c r="AP577" s="17"/>
      <c r="AQ577" s="17"/>
      <c r="AR577" s="1"/>
      <c r="AS577" s="1"/>
      <c r="AT577" s="17"/>
      <c r="AU577" s="1"/>
      <c r="AV577" s="1"/>
      <c r="AW577" s="1"/>
      <c r="AX577" s="2"/>
      <c r="AY577" s="2"/>
      <c r="AZ577" s="1"/>
    </row>
    <row x14ac:dyDescent="0.25" r="578" customHeight="1" ht="15">
      <c r="A578" s="1"/>
      <c r="B578" s="1"/>
      <c r="C578" s="1"/>
      <c r="D578" s="1"/>
      <c r="E578" s="1"/>
      <c r="F578" s="1"/>
      <c r="G578" s="1"/>
      <c r="H578" s="1"/>
      <c r="I578" s="1"/>
      <c r="J578" s="1"/>
      <c r="K578" s="17"/>
      <c r="L578" s="1"/>
      <c r="M578" s="1"/>
      <c r="N578" s="2"/>
      <c r="O578" s="2"/>
      <c r="P578" s="1"/>
      <c r="Q578" s="1"/>
      <c r="R578" s="1"/>
      <c r="S578" s="1"/>
      <c r="T578" s="17"/>
      <c r="U578" s="17"/>
      <c r="V578" s="17"/>
      <c r="W578" s="17"/>
      <c r="X578" s="22"/>
      <c r="Y578" s="22"/>
      <c r="Z578" s="22"/>
      <c r="AA578" s="22"/>
      <c r="AB578" s="22"/>
      <c r="AC578" s="22"/>
      <c r="AD578" s="22"/>
      <c r="AE578" s="22"/>
      <c r="AF578" s="22"/>
      <c r="AG578" s="22"/>
      <c r="AH578" s="22"/>
      <c r="AI578" s="22"/>
      <c r="AJ578" s="17"/>
      <c r="AK578" s="22"/>
      <c r="AL578" s="22"/>
      <c r="AM578" s="22"/>
      <c r="AN578" s="22"/>
      <c r="AO578" s="17"/>
      <c r="AP578" s="17"/>
      <c r="AQ578" s="17"/>
      <c r="AR578" s="1"/>
      <c r="AS578" s="1"/>
      <c r="AT578" s="17"/>
      <c r="AU578" s="1"/>
      <c r="AV578" s="1"/>
      <c r="AW578" s="1"/>
      <c r="AX578" s="2"/>
      <c r="AY578" s="2"/>
      <c r="AZ578" s="1"/>
    </row>
    <row x14ac:dyDescent="0.25" r="579" customHeight="1" ht="15">
      <c r="A579" s="1"/>
      <c r="B579" s="1"/>
      <c r="C579" s="1"/>
      <c r="D579" s="1"/>
      <c r="E579" s="1"/>
      <c r="F579" s="1"/>
      <c r="G579" s="1"/>
      <c r="H579" s="1"/>
      <c r="I579" s="1"/>
      <c r="J579" s="1"/>
      <c r="K579" s="17"/>
      <c r="L579" s="1"/>
      <c r="M579" s="1"/>
      <c r="N579" s="2"/>
      <c r="O579" s="2"/>
      <c r="P579" s="1"/>
      <c r="Q579" s="1"/>
      <c r="R579" s="1"/>
      <c r="S579" s="1"/>
      <c r="T579" s="17"/>
      <c r="U579" s="17"/>
      <c r="V579" s="17"/>
      <c r="W579" s="17"/>
      <c r="X579" s="22"/>
      <c r="Y579" s="22"/>
      <c r="Z579" s="22"/>
      <c r="AA579" s="22"/>
      <c r="AB579" s="22"/>
      <c r="AC579" s="22"/>
      <c r="AD579" s="22"/>
      <c r="AE579" s="22"/>
      <c r="AF579" s="22"/>
      <c r="AG579" s="22"/>
      <c r="AH579" s="22"/>
      <c r="AI579" s="22"/>
      <c r="AJ579" s="17"/>
      <c r="AK579" s="22"/>
      <c r="AL579" s="22"/>
      <c r="AM579" s="22"/>
      <c r="AN579" s="22"/>
      <c r="AO579" s="17"/>
      <c r="AP579" s="17"/>
      <c r="AQ579" s="17"/>
      <c r="AR579" s="1"/>
      <c r="AS579" s="1"/>
      <c r="AT579" s="17"/>
      <c r="AU579" s="1"/>
      <c r="AV579" s="1"/>
      <c r="AW579" s="1"/>
      <c r="AX579" s="2"/>
      <c r="AY579" s="2"/>
      <c r="AZ579" s="1"/>
    </row>
    <row x14ac:dyDescent="0.25" r="580" customHeight="1" ht="15">
      <c r="A580" s="1"/>
      <c r="B580" s="1"/>
      <c r="C580" s="1"/>
      <c r="D580" s="1"/>
      <c r="E580" s="1"/>
      <c r="F580" s="1"/>
      <c r="G580" s="1"/>
      <c r="H580" s="1"/>
      <c r="I580" s="1"/>
      <c r="J580" s="1"/>
      <c r="K580" s="17"/>
      <c r="L580" s="1"/>
      <c r="M580" s="1"/>
      <c r="N580" s="2"/>
      <c r="O580" s="2"/>
      <c r="P580" s="1"/>
      <c r="Q580" s="1"/>
      <c r="R580" s="1"/>
      <c r="S580" s="1"/>
      <c r="T580" s="17"/>
      <c r="U580" s="17"/>
      <c r="V580" s="17"/>
      <c r="W580" s="17"/>
      <c r="X580" s="22"/>
      <c r="Y580" s="22"/>
      <c r="Z580" s="22"/>
      <c r="AA580" s="22"/>
      <c r="AB580" s="22"/>
      <c r="AC580" s="22"/>
      <c r="AD580" s="22"/>
      <c r="AE580" s="22"/>
      <c r="AF580" s="22"/>
      <c r="AG580" s="22"/>
      <c r="AH580" s="22"/>
      <c r="AI580" s="22"/>
      <c r="AJ580" s="17"/>
      <c r="AK580" s="22"/>
      <c r="AL580" s="22"/>
      <c r="AM580" s="22"/>
      <c r="AN580" s="22"/>
      <c r="AO580" s="17"/>
      <c r="AP580" s="17"/>
      <c r="AQ580" s="17"/>
      <c r="AR580" s="1"/>
      <c r="AS580" s="1"/>
      <c r="AT580" s="17"/>
      <c r="AU580" s="1"/>
      <c r="AV580" s="1"/>
      <c r="AW580" s="1"/>
      <c r="AX580" s="2"/>
      <c r="AY580" s="2"/>
      <c r="AZ580" s="1"/>
    </row>
    <row x14ac:dyDescent="0.25" r="581" customHeight="1" ht="15">
      <c r="A581" s="1"/>
      <c r="B581" s="1"/>
      <c r="C581" s="1"/>
      <c r="D581" s="1"/>
      <c r="E581" s="1"/>
      <c r="F581" s="1"/>
      <c r="G581" s="1"/>
      <c r="H581" s="1"/>
      <c r="I581" s="1"/>
      <c r="J581" s="1"/>
      <c r="K581" s="17"/>
      <c r="L581" s="1"/>
      <c r="M581" s="1"/>
      <c r="N581" s="2"/>
      <c r="O581" s="2"/>
      <c r="P581" s="1"/>
      <c r="Q581" s="1"/>
      <c r="R581" s="1"/>
      <c r="S581" s="1"/>
      <c r="T581" s="17"/>
      <c r="U581" s="17"/>
      <c r="V581" s="17"/>
      <c r="W581" s="17"/>
      <c r="X581" s="22"/>
      <c r="Y581" s="22"/>
      <c r="Z581" s="22"/>
      <c r="AA581" s="22"/>
      <c r="AB581" s="22"/>
      <c r="AC581" s="22"/>
      <c r="AD581" s="22"/>
      <c r="AE581" s="22"/>
      <c r="AF581" s="22"/>
      <c r="AG581" s="22"/>
      <c r="AH581" s="22"/>
      <c r="AI581" s="22"/>
      <c r="AJ581" s="17"/>
      <c r="AK581" s="22"/>
      <c r="AL581" s="22"/>
      <c r="AM581" s="22"/>
      <c r="AN581" s="22"/>
      <c r="AO581" s="17"/>
      <c r="AP581" s="17"/>
      <c r="AQ581" s="17"/>
      <c r="AR581" s="1"/>
      <c r="AS581" s="1"/>
      <c r="AT581" s="17"/>
      <c r="AU581" s="1"/>
      <c r="AV581" s="1"/>
      <c r="AW581" s="1"/>
      <c r="AX581" s="2"/>
      <c r="AY581" s="2"/>
      <c r="AZ581" s="1"/>
    </row>
    <row x14ac:dyDescent="0.25" r="582" customHeight="1" ht="15">
      <c r="A582" s="1"/>
      <c r="B582" s="1"/>
      <c r="C582" s="1"/>
      <c r="D582" s="1"/>
      <c r="E582" s="1"/>
      <c r="F582" s="1"/>
      <c r="G582" s="1"/>
      <c r="H582" s="1"/>
      <c r="I582" s="1"/>
      <c r="J582" s="1"/>
      <c r="K582" s="17"/>
      <c r="L582" s="1"/>
      <c r="M582" s="1"/>
      <c r="N582" s="2"/>
      <c r="O582" s="2"/>
      <c r="P582" s="1"/>
      <c r="Q582" s="1"/>
      <c r="R582" s="1"/>
      <c r="S582" s="1"/>
      <c r="T582" s="17"/>
      <c r="U582" s="17"/>
      <c r="V582" s="17"/>
      <c r="W582" s="17"/>
      <c r="X582" s="22"/>
      <c r="Y582" s="22"/>
      <c r="Z582" s="22"/>
      <c r="AA582" s="22"/>
      <c r="AB582" s="22"/>
      <c r="AC582" s="22"/>
      <c r="AD582" s="22"/>
      <c r="AE582" s="22"/>
      <c r="AF582" s="22"/>
      <c r="AG582" s="22"/>
      <c r="AH582" s="22"/>
      <c r="AI582" s="22"/>
      <c r="AJ582" s="17"/>
      <c r="AK582" s="22"/>
      <c r="AL582" s="22"/>
      <c r="AM582" s="22"/>
      <c r="AN582" s="22"/>
      <c r="AO582" s="17"/>
      <c r="AP582" s="17"/>
      <c r="AQ582" s="17"/>
      <c r="AR582" s="1"/>
      <c r="AS582" s="1"/>
      <c r="AT582" s="17"/>
      <c r="AU582" s="1"/>
      <c r="AV582" s="1"/>
      <c r="AW582" s="1"/>
      <c r="AX582" s="2"/>
      <c r="AY582" s="2"/>
      <c r="AZ582" s="1"/>
    </row>
    <row x14ac:dyDescent="0.25" r="583" customHeight="1" ht="15">
      <c r="A583" s="1"/>
      <c r="B583" s="1"/>
      <c r="C583" s="1"/>
      <c r="D583" s="1"/>
      <c r="E583" s="1"/>
      <c r="F583" s="1"/>
      <c r="G583" s="1"/>
      <c r="H583" s="1"/>
      <c r="I583" s="1"/>
      <c r="J583" s="1"/>
      <c r="K583" s="17"/>
      <c r="L583" s="1"/>
      <c r="M583" s="1"/>
      <c r="N583" s="2"/>
      <c r="O583" s="2"/>
      <c r="P583" s="1"/>
      <c r="Q583" s="1"/>
      <c r="R583" s="1"/>
      <c r="S583" s="1"/>
      <c r="T583" s="17"/>
      <c r="U583" s="17"/>
      <c r="V583" s="17"/>
      <c r="W583" s="17"/>
      <c r="X583" s="22"/>
      <c r="Y583" s="22"/>
      <c r="Z583" s="22"/>
      <c r="AA583" s="22"/>
      <c r="AB583" s="22"/>
      <c r="AC583" s="22"/>
      <c r="AD583" s="22"/>
      <c r="AE583" s="22"/>
      <c r="AF583" s="22"/>
      <c r="AG583" s="22"/>
      <c r="AH583" s="22"/>
      <c r="AI583" s="22"/>
      <c r="AJ583" s="17"/>
      <c r="AK583" s="22"/>
      <c r="AL583" s="22"/>
      <c r="AM583" s="22"/>
      <c r="AN583" s="22"/>
      <c r="AO583" s="17"/>
      <c r="AP583" s="17"/>
      <c r="AQ583" s="17"/>
      <c r="AR583" s="1"/>
      <c r="AS583" s="1"/>
      <c r="AT583" s="17"/>
      <c r="AU583" s="1"/>
      <c r="AV583" s="1"/>
      <c r="AW583" s="1"/>
      <c r="AX583" s="2"/>
      <c r="AY583" s="2"/>
      <c r="AZ583" s="1"/>
    </row>
    <row x14ac:dyDescent="0.25" r="584" customHeight="1" ht="15">
      <c r="A584" s="1"/>
      <c r="B584" s="1"/>
      <c r="C584" s="1"/>
      <c r="D584" s="1"/>
      <c r="E584" s="1"/>
      <c r="F584" s="1"/>
      <c r="G584" s="1"/>
      <c r="H584" s="1"/>
      <c r="I584" s="1"/>
      <c r="J584" s="1"/>
      <c r="K584" s="17"/>
      <c r="L584" s="1"/>
      <c r="M584" s="1"/>
      <c r="N584" s="2"/>
      <c r="O584" s="2"/>
      <c r="P584" s="1"/>
      <c r="Q584" s="1"/>
      <c r="R584" s="1"/>
      <c r="S584" s="1"/>
      <c r="T584" s="17"/>
      <c r="U584" s="17"/>
      <c r="V584" s="17"/>
      <c r="W584" s="17"/>
      <c r="X584" s="22"/>
      <c r="Y584" s="22"/>
      <c r="Z584" s="22"/>
      <c r="AA584" s="22"/>
      <c r="AB584" s="22"/>
      <c r="AC584" s="22"/>
      <c r="AD584" s="22"/>
      <c r="AE584" s="22"/>
      <c r="AF584" s="22"/>
      <c r="AG584" s="22"/>
      <c r="AH584" s="22"/>
      <c r="AI584" s="22"/>
      <c r="AJ584" s="17"/>
      <c r="AK584" s="22"/>
      <c r="AL584" s="22"/>
      <c r="AM584" s="22"/>
      <c r="AN584" s="22"/>
      <c r="AO584" s="17"/>
      <c r="AP584" s="17"/>
      <c r="AQ584" s="17"/>
      <c r="AR584" s="1"/>
      <c r="AS584" s="1"/>
      <c r="AT584" s="17"/>
      <c r="AU584" s="1"/>
      <c r="AV584" s="1"/>
      <c r="AW584" s="1"/>
      <c r="AX584" s="2"/>
      <c r="AY584" s="2"/>
      <c r="AZ584" s="1"/>
    </row>
    <row x14ac:dyDescent="0.25" r="585" customHeight="1" ht="15">
      <c r="A585" s="1"/>
      <c r="B585" s="1"/>
      <c r="C585" s="1"/>
      <c r="D585" s="1"/>
      <c r="E585" s="1"/>
      <c r="F585" s="1"/>
      <c r="G585" s="1"/>
      <c r="H585" s="1"/>
      <c r="I585" s="1"/>
      <c r="J585" s="1"/>
      <c r="K585" s="17"/>
      <c r="L585" s="1"/>
      <c r="M585" s="1"/>
      <c r="N585" s="2"/>
      <c r="O585" s="2"/>
      <c r="P585" s="1"/>
      <c r="Q585" s="1"/>
      <c r="R585" s="1"/>
      <c r="S585" s="1"/>
      <c r="T585" s="17"/>
      <c r="U585" s="17"/>
      <c r="V585" s="17"/>
      <c r="W585" s="17"/>
      <c r="X585" s="22"/>
      <c r="Y585" s="22"/>
      <c r="Z585" s="22"/>
      <c r="AA585" s="22"/>
      <c r="AB585" s="22"/>
      <c r="AC585" s="22"/>
      <c r="AD585" s="22"/>
      <c r="AE585" s="22"/>
      <c r="AF585" s="22"/>
      <c r="AG585" s="22"/>
      <c r="AH585" s="22"/>
      <c r="AI585" s="22"/>
      <c r="AJ585" s="17"/>
      <c r="AK585" s="22"/>
      <c r="AL585" s="22"/>
      <c r="AM585" s="22"/>
      <c r="AN585" s="22"/>
      <c r="AO585" s="17"/>
      <c r="AP585" s="17"/>
      <c r="AQ585" s="17"/>
      <c r="AR585" s="1"/>
      <c r="AS585" s="1"/>
      <c r="AT585" s="17"/>
      <c r="AU585" s="1"/>
      <c r="AV585" s="1"/>
      <c r="AW585" s="1"/>
      <c r="AX585" s="2"/>
      <c r="AY585" s="2"/>
      <c r="AZ585" s="1"/>
    </row>
    <row x14ac:dyDescent="0.25" r="586" customHeight="1" ht="15">
      <c r="A586" s="1"/>
      <c r="B586" s="1"/>
      <c r="C586" s="1"/>
      <c r="D586" s="1"/>
      <c r="E586" s="1"/>
      <c r="F586" s="1"/>
      <c r="G586" s="1"/>
      <c r="H586" s="1"/>
      <c r="I586" s="1"/>
      <c r="J586" s="1"/>
      <c r="K586" s="17"/>
      <c r="L586" s="1"/>
      <c r="M586" s="1"/>
      <c r="N586" s="2"/>
      <c r="O586" s="2"/>
      <c r="P586" s="1"/>
      <c r="Q586" s="1"/>
      <c r="R586" s="1"/>
      <c r="S586" s="1"/>
      <c r="T586" s="17"/>
      <c r="U586" s="17"/>
      <c r="V586" s="17"/>
      <c r="W586" s="17"/>
      <c r="X586" s="22"/>
      <c r="Y586" s="22"/>
      <c r="Z586" s="22"/>
      <c r="AA586" s="22"/>
      <c r="AB586" s="22"/>
      <c r="AC586" s="22"/>
      <c r="AD586" s="22"/>
      <c r="AE586" s="22"/>
      <c r="AF586" s="22"/>
      <c r="AG586" s="22"/>
      <c r="AH586" s="22"/>
      <c r="AI586" s="22"/>
      <c r="AJ586" s="17"/>
      <c r="AK586" s="22"/>
      <c r="AL586" s="22"/>
      <c r="AM586" s="22"/>
      <c r="AN586" s="22"/>
      <c r="AO586" s="17"/>
      <c r="AP586" s="17"/>
      <c r="AQ586" s="17"/>
      <c r="AR586" s="1"/>
      <c r="AS586" s="1"/>
      <c r="AT586" s="17"/>
      <c r="AU586" s="1"/>
      <c r="AV586" s="1"/>
      <c r="AW586" s="1"/>
      <c r="AX586" s="2"/>
      <c r="AY586" s="2"/>
      <c r="AZ586" s="1"/>
    </row>
    <row x14ac:dyDescent="0.25" r="587" customHeight="1" ht="15">
      <c r="A587" s="1"/>
      <c r="B587" s="1"/>
      <c r="C587" s="1"/>
      <c r="D587" s="1"/>
      <c r="E587" s="1"/>
      <c r="F587" s="1"/>
      <c r="G587" s="1"/>
      <c r="H587" s="1"/>
      <c r="I587" s="1"/>
      <c r="J587" s="1"/>
      <c r="K587" s="17"/>
      <c r="L587" s="1"/>
      <c r="M587" s="1"/>
      <c r="N587" s="2"/>
      <c r="O587" s="2"/>
      <c r="P587" s="1"/>
      <c r="Q587" s="1"/>
      <c r="R587" s="1"/>
      <c r="S587" s="1"/>
      <c r="T587" s="17"/>
      <c r="U587" s="17"/>
      <c r="V587" s="17"/>
      <c r="W587" s="17"/>
      <c r="X587" s="22"/>
      <c r="Y587" s="22"/>
      <c r="Z587" s="22"/>
      <c r="AA587" s="22"/>
      <c r="AB587" s="22"/>
      <c r="AC587" s="22"/>
      <c r="AD587" s="22"/>
      <c r="AE587" s="22"/>
      <c r="AF587" s="22"/>
      <c r="AG587" s="22"/>
      <c r="AH587" s="22"/>
      <c r="AI587" s="22"/>
      <c r="AJ587" s="17"/>
      <c r="AK587" s="22"/>
      <c r="AL587" s="22"/>
      <c r="AM587" s="22"/>
      <c r="AN587" s="22"/>
      <c r="AO587" s="17"/>
      <c r="AP587" s="17"/>
      <c r="AQ587" s="17"/>
      <c r="AR587" s="1"/>
      <c r="AS587" s="1"/>
      <c r="AT587" s="17"/>
      <c r="AU587" s="1"/>
      <c r="AV587" s="1"/>
      <c r="AW587" s="1"/>
      <c r="AX587" s="2"/>
      <c r="AY587" s="2"/>
      <c r="AZ587" s="1"/>
    </row>
    <row x14ac:dyDescent="0.25" r="588" customHeight="1" ht="15">
      <c r="A588" s="1"/>
      <c r="B588" s="1"/>
      <c r="C588" s="1"/>
      <c r="D588" s="1"/>
      <c r="E588" s="1"/>
      <c r="F588" s="1"/>
      <c r="G588" s="1"/>
      <c r="H588" s="1"/>
      <c r="I588" s="1"/>
      <c r="J588" s="1"/>
      <c r="K588" s="17"/>
      <c r="L588" s="1"/>
      <c r="M588" s="1"/>
      <c r="N588" s="2"/>
      <c r="O588" s="2"/>
      <c r="P588" s="1"/>
      <c r="Q588" s="1"/>
      <c r="R588" s="1"/>
      <c r="S588" s="1"/>
      <c r="T588" s="17"/>
      <c r="U588" s="17"/>
      <c r="V588" s="17"/>
      <c r="W588" s="17"/>
      <c r="X588" s="22"/>
      <c r="Y588" s="22"/>
      <c r="Z588" s="22"/>
      <c r="AA588" s="22"/>
      <c r="AB588" s="22"/>
      <c r="AC588" s="22"/>
      <c r="AD588" s="22"/>
      <c r="AE588" s="22"/>
      <c r="AF588" s="22"/>
      <c r="AG588" s="22"/>
      <c r="AH588" s="22"/>
      <c r="AI588" s="22"/>
      <c r="AJ588" s="17"/>
      <c r="AK588" s="22"/>
      <c r="AL588" s="22"/>
      <c r="AM588" s="22"/>
      <c r="AN588" s="22"/>
      <c r="AO588" s="17"/>
      <c r="AP588" s="17"/>
      <c r="AQ588" s="17"/>
      <c r="AR588" s="1"/>
      <c r="AS588" s="1"/>
      <c r="AT588" s="17"/>
      <c r="AU588" s="1"/>
      <c r="AV588" s="1"/>
      <c r="AW588" s="1"/>
      <c r="AX588" s="2"/>
      <c r="AY588" s="2"/>
      <c r="AZ588" s="1"/>
    </row>
    <row x14ac:dyDescent="0.25" r="589" customHeight="1" ht="15">
      <c r="A589" s="1"/>
      <c r="B589" s="1"/>
      <c r="C589" s="1"/>
      <c r="D589" s="1"/>
      <c r="E589" s="1"/>
      <c r="F589" s="1"/>
      <c r="G589" s="1"/>
      <c r="H589" s="1"/>
      <c r="I589" s="1"/>
      <c r="J589" s="1"/>
      <c r="K589" s="17"/>
      <c r="L589" s="1"/>
      <c r="M589" s="1"/>
      <c r="N589" s="2"/>
      <c r="O589" s="2"/>
      <c r="P589" s="1"/>
      <c r="Q589" s="1"/>
      <c r="R589" s="1"/>
      <c r="S589" s="1"/>
      <c r="T589" s="17"/>
      <c r="U589" s="17"/>
      <c r="V589" s="17"/>
      <c r="W589" s="17"/>
      <c r="X589" s="22"/>
      <c r="Y589" s="22"/>
      <c r="Z589" s="22"/>
      <c r="AA589" s="22"/>
      <c r="AB589" s="22"/>
      <c r="AC589" s="22"/>
      <c r="AD589" s="22"/>
      <c r="AE589" s="22"/>
      <c r="AF589" s="22"/>
      <c r="AG589" s="22"/>
      <c r="AH589" s="22"/>
      <c r="AI589" s="22"/>
      <c r="AJ589" s="17"/>
      <c r="AK589" s="22"/>
      <c r="AL589" s="22"/>
      <c r="AM589" s="22"/>
      <c r="AN589" s="22"/>
      <c r="AO589" s="17"/>
      <c r="AP589" s="17"/>
      <c r="AQ589" s="17"/>
      <c r="AR589" s="1"/>
      <c r="AS589" s="1"/>
      <c r="AT589" s="17"/>
      <c r="AU589" s="1"/>
      <c r="AV589" s="1"/>
      <c r="AW589" s="1"/>
      <c r="AX589" s="2"/>
      <c r="AY589" s="2"/>
      <c r="AZ589" s="1"/>
    </row>
    <row x14ac:dyDescent="0.25" r="590" customHeight="1" ht="15">
      <c r="A590" s="1"/>
      <c r="B590" s="1"/>
      <c r="C590" s="1"/>
      <c r="D590" s="1"/>
      <c r="E590" s="1"/>
      <c r="F590" s="1"/>
      <c r="G590" s="1"/>
      <c r="H590" s="1"/>
      <c r="I590" s="1"/>
      <c r="J590" s="1"/>
      <c r="K590" s="17"/>
      <c r="L590" s="1"/>
      <c r="M590" s="1"/>
      <c r="N590" s="2"/>
      <c r="O590" s="2"/>
      <c r="P590" s="1"/>
      <c r="Q590" s="1"/>
      <c r="R590" s="1"/>
      <c r="S590" s="1"/>
      <c r="T590" s="17"/>
      <c r="U590" s="17"/>
      <c r="V590" s="17"/>
      <c r="W590" s="17"/>
      <c r="X590" s="22"/>
      <c r="Y590" s="22"/>
      <c r="Z590" s="22"/>
      <c r="AA590" s="22"/>
      <c r="AB590" s="22"/>
      <c r="AC590" s="22"/>
      <c r="AD590" s="22"/>
      <c r="AE590" s="22"/>
      <c r="AF590" s="22"/>
      <c r="AG590" s="22"/>
      <c r="AH590" s="22"/>
      <c r="AI590" s="22"/>
      <c r="AJ590" s="17"/>
      <c r="AK590" s="22"/>
      <c r="AL590" s="22"/>
      <c r="AM590" s="22"/>
      <c r="AN590" s="22"/>
      <c r="AO590" s="17"/>
      <c r="AP590" s="17"/>
      <c r="AQ590" s="17"/>
      <c r="AR590" s="1"/>
      <c r="AS590" s="1"/>
      <c r="AT590" s="17"/>
      <c r="AU590" s="1"/>
      <c r="AV590" s="1"/>
      <c r="AW590" s="1"/>
      <c r="AX590" s="2"/>
      <c r="AY590" s="2"/>
      <c r="AZ590" s="1"/>
    </row>
    <row x14ac:dyDescent="0.25" r="591" customHeight="1" ht="15">
      <c r="A591" s="1"/>
      <c r="B591" s="1"/>
      <c r="C591" s="1"/>
      <c r="D591" s="1"/>
      <c r="E591" s="1"/>
      <c r="F591" s="1"/>
      <c r="G591" s="1"/>
      <c r="H591" s="1"/>
      <c r="I591" s="1"/>
      <c r="J591" s="1"/>
      <c r="K591" s="17"/>
      <c r="L591" s="1"/>
      <c r="M591" s="1"/>
      <c r="N591" s="2"/>
      <c r="O591" s="2"/>
      <c r="P591" s="1"/>
      <c r="Q591" s="1"/>
      <c r="R591" s="1"/>
      <c r="S591" s="1"/>
      <c r="T591" s="17"/>
      <c r="U591" s="17"/>
      <c r="V591" s="17"/>
      <c r="W591" s="17"/>
      <c r="X591" s="22"/>
      <c r="Y591" s="22"/>
      <c r="Z591" s="22"/>
      <c r="AA591" s="22"/>
      <c r="AB591" s="22"/>
      <c r="AC591" s="22"/>
      <c r="AD591" s="22"/>
      <c r="AE591" s="22"/>
      <c r="AF591" s="22"/>
      <c r="AG591" s="22"/>
      <c r="AH591" s="22"/>
      <c r="AI591" s="22"/>
      <c r="AJ591" s="17"/>
      <c r="AK591" s="22"/>
      <c r="AL591" s="22"/>
      <c r="AM591" s="22"/>
      <c r="AN591" s="22"/>
      <c r="AO591" s="17"/>
      <c r="AP591" s="17"/>
      <c r="AQ591" s="17"/>
      <c r="AR591" s="1"/>
      <c r="AS591" s="1"/>
      <c r="AT591" s="17"/>
      <c r="AU591" s="1"/>
      <c r="AV591" s="1"/>
      <c r="AW591" s="1"/>
      <c r="AX591" s="2"/>
      <c r="AY591" s="2"/>
      <c r="AZ591" s="1"/>
    </row>
    <row x14ac:dyDescent="0.25" r="592" customHeight="1" ht="15">
      <c r="A592" s="1"/>
      <c r="B592" s="1"/>
      <c r="C592" s="1"/>
      <c r="D592" s="1"/>
      <c r="E592" s="1"/>
      <c r="F592" s="1"/>
      <c r="G592" s="1"/>
      <c r="H592" s="1"/>
      <c r="I592" s="1"/>
      <c r="J592" s="1"/>
      <c r="K592" s="17"/>
      <c r="L592" s="1"/>
      <c r="M592" s="1"/>
      <c r="N592" s="2"/>
      <c r="O592" s="2"/>
      <c r="P592" s="1"/>
      <c r="Q592" s="1"/>
      <c r="R592" s="1"/>
      <c r="S592" s="1"/>
      <c r="T592" s="17"/>
      <c r="U592" s="17"/>
      <c r="V592" s="17"/>
      <c r="W592" s="17"/>
      <c r="X592" s="22"/>
      <c r="Y592" s="22"/>
      <c r="Z592" s="22"/>
      <c r="AA592" s="22"/>
      <c r="AB592" s="22"/>
      <c r="AC592" s="22"/>
      <c r="AD592" s="22"/>
      <c r="AE592" s="22"/>
      <c r="AF592" s="22"/>
      <c r="AG592" s="22"/>
      <c r="AH592" s="22"/>
      <c r="AI592" s="22"/>
      <c r="AJ592" s="17"/>
      <c r="AK592" s="22"/>
      <c r="AL592" s="22"/>
      <c r="AM592" s="22"/>
      <c r="AN592" s="22"/>
      <c r="AO592" s="17"/>
      <c r="AP592" s="17"/>
      <c r="AQ592" s="17"/>
      <c r="AR592" s="1"/>
      <c r="AS592" s="1"/>
      <c r="AT592" s="17"/>
      <c r="AU592" s="1"/>
      <c r="AV592" s="1"/>
      <c r="AW592" s="1"/>
      <c r="AX592" s="2"/>
      <c r="AY592" s="2"/>
      <c r="AZ592" s="1"/>
    </row>
    <row x14ac:dyDescent="0.25" r="593" customHeight="1" ht="15">
      <c r="A593" s="1"/>
      <c r="B593" s="1"/>
      <c r="C593" s="1"/>
      <c r="D593" s="1"/>
      <c r="E593" s="1"/>
      <c r="F593" s="1"/>
      <c r="G593" s="1"/>
      <c r="H593" s="1"/>
      <c r="I593" s="1"/>
      <c r="J593" s="1"/>
      <c r="K593" s="17"/>
      <c r="L593" s="1"/>
      <c r="M593" s="1"/>
      <c r="N593" s="2"/>
      <c r="O593" s="2"/>
      <c r="P593" s="1"/>
      <c r="Q593" s="1"/>
      <c r="R593" s="1"/>
      <c r="S593" s="1"/>
      <c r="T593" s="17"/>
      <c r="U593" s="17"/>
      <c r="V593" s="17"/>
      <c r="W593" s="17"/>
      <c r="X593" s="22"/>
      <c r="Y593" s="22"/>
      <c r="Z593" s="22"/>
      <c r="AA593" s="22"/>
      <c r="AB593" s="22"/>
      <c r="AC593" s="22"/>
      <c r="AD593" s="22"/>
      <c r="AE593" s="22"/>
      <c r="AF593" s="22"/>
      <c r="AG593" s="22"/>
      <c r="AH593" s="22"/>
      <c r="AI593" s="22"/>
      <c r="AJ593" s="17"/>
      <c r="AK593" s="22"/>
      <c r="AL593" s="22"/>
      <c r="AM593" s="22"/>
      <c r="AN593" s="22"/>
      <c r="AO593" s="17"/>
      <c r="AP593" s="17"/>
      <c r="AQ593" s="17"/>
      <c r="AR593" s="1"/>
      <c r="AS593" s="1"/>
      <c r="AT593" s="17"/>
      <c r="AU593" s="1"/>
      <c r="AV593" s="1"/>
      <c r="AW593" s="1"/>
      <c r="AX593" s="2"/>
      <c r="AY593" s="2"/>
      <c r="AZ593" s="1"/>
    </row>
    <row x14ac:dyDescent="0.25" r="594" customHeight="1" ht="15">
      <c r="A594" s="1"/>
      <c r="B594" s="1"/>
      <c r="C594" s="1"/>
      <c r="D594" s="1"/>
      <c r="E594" s="1"/>
      <c r="F594" s="1"/>
      <c r="G594" s="1"/>
      <c r="H594" s="1"/>
      <c r="I594" s="1"/>
      <c r="J594" s="1"/>
      <c r="K594" s="17"/>
      <c r="L594" s="1"/>
      <c r="M594" s="1"/>
      <c r="N594" s="2"/>
      <c r="O594" s="2"/>
      <c r="P594" s="1"/>
      <c r="Q594" s="1"/>
      <c r="R594" s="1"/>
      <c r="S594" s="1"/>
      <c r="T594" s="17"/>
      <c r="U594" s="17"/>
      <c r="V594" s="17"/>
      <c r="W594" s="17"/>
      <c r="X594" s="22"/>
      <c r="Y594" s="22"/>
      <c r="Z594" s="22"/>
      <c r="AA594" s="22"/>
      <c r="AB594" s="22"/>
      <c r="AC594" s="22"/>
      <c r="AD594" s="22"/>
      <c r="AE594" s="22"/>
      <c r="AF594" s="22"/>
      <c r="AG594" s="22"/>
      <c r="AH594" s="22"/>
      <c r="AI594" s="22"/>
      <c r="AJ594" s="17"/>
      <c r="AK594" s="22"/>
      <c r="AL594" s="22"/>
      <c r="AM594" s="22"/>
      <c r="AN594" s="22"/>
      <c r="AO594" s="17"/>
      <c r="AP594" s="17"/>
      <c r="AQ594" s="17"/>
      <c r="AR594" s="1"/>
      <c r="AS594" s="1"/>
      <c r="AT594" s="17"/>
      <c r="AU594" s="1"/>
      <c r="AV594" s="1"/>
      <c r="AW594" s="1"/>
      <c r="AX594" s="2"/>
      <c r="AY594" s="2"/>
      <c r="AZ594" s="1"/>
    </row>
    <row x14ac:dyDescent="0.25" r="595" customHeight="1" ht="15">
      <c r="A595" s="1"/>
      <c r="B595" s="1"/>
      <c r="C595" s="1"/>
      <c r="D595" s="1"/>
      <c r="E595" s="1"/>
      <c r="F595" s="1"/>
      <c r="G595" s="1"/>
      <c r="H595" s="1"/>
      <c r="I595" s="1"/>
      <c r="J595" s="1"/>
      <c r="K595" s="17"/>
      <c r="L595" s="1"/>
      <c r="M595" s="1"/>
      <c r="N595" s="2"/>
      <c r="O595" s="2"/>
      <c r="P595" s="1"/>
      <c r="Q595" s="1"/>
      <c r="R595" s="1"/>
      <c r="S595" s="1"/>
      <c r="T595" s="17"/>
      <c r="U595" s="17"/>
      <c r="V595" s="17"/>
      <c r="W595" s="17"/>
      <c r="X595" s="22"/>
      <c r="Y595" s="22"/>
      <c r="Z595" s="22"/>
      <c r="AA595" s="22"/>
      <c r="AB595" s="22"/>
      <c r="AC595" s="22"/>
      <c r="AD595" s="22"/>
      <c r="AE595" s="22"/>
      <c r="AF595" s="22"/>
      <c r="AG595" s="22"/>
      <c r="AH595" s="22"/>
      <c r="AI595" s="22"/>
      <c r="AJ595" s="17"/>
      <c r="AK595" s="22"/>
      <c r="AL595" s="22"/>
      <c r="AM595" s="22"/>
      <c r="AN595" s="22"/>
      <c r="AO595" s="17"/>
      <c r="AP595" s="17"/>
      <c r="AQ595" s="17"/>
      <c r="AR595" s="1"/>
      <c r="AS595" s="1"/>
      <c r="AT595" s="17"/>
      <c r="AU595" s="1"/>
      <c r="AV595" s="1"/>
      <c r="AW595" s="1"/>
      <c r="AX595" s="2"/>
      <c r="AY595" s="2"/>
      <c r="AZ595" s="1"/>
    </row>
    <row x14ac:dyDescent="0.25" r="596" customHeight="1" ht="15">
      <c r="A596" s="1"/>
      <c r="B596" s="1"/>
      <c r="C596" s="1"/>
      <c r="D596" s="1"/>
      <c r="E596" s="1"/>
      <c r="F596" s="1"/>
      <c r="G596" s="1"/>
      <c r="H596" s="1"/>
      <c r="I596" s="1"/>
      <c r="J596" s="1"/>
      <c r="K596" s="17"/>
      <c r="L596" s="1"/>
      <c r="M596" s="1"/>
      <c r="N596" s="2"/>
      <c r="O596" s="2"/>
      <c r="P596" s="1"/>
      <c r="Q596" s="1"/>
      <c r="R596" s="1"/>
      <c r="S596" s="1"/>
      <c r="T596" s="17"/>
      <c r="U596" s="17"/>
      <c r="V596" s="17"/>
      <c r="W596" s="17"/>
      <c r="X596" s="22"/>
      <c r="Y596" s="22"/>
      <c r="Z596" s="22"/>
      <c r="AA596" s="22"/>
      <c r="AB596" s="22"/>
      <c r="AC596" s="22"/>
      <c r="AD596" s="22"/>
      <c r="AE596" s="22"/>
      <c r="AF596" s="22"/>
      <c r="AG596" s="22"/>
      <c r="AH596" s="22"/>
      <c r="AI596" s="22"/>
      <c r="AJ596" s="17"/>
      <c r="AK596" s="22"/>
      <c r="AL596" s="22"/>
      <c r="AM596" s="22"/>
      <c r="AN596" s="22"/>
      <c r="AO596" s="17"/>
      <c r="AP596" s="17"/>
      <c r="AQ596" s="17"/>
      <c r="AR596" s="1"/>
      <c r="AS596" s="1"/>
      <c r="AT596" s="17"/>
      <c r="AU596" s="1"/>
      <c r="AV596" s="1"/>
      <c r="AW596" s="1"/>
      <c r="AX596" s="2"/>
      <c r="AY596" s="2"/>
      <c r="AZ596" s="1"/>
    </row>
    <row x14ac:dyDescent="0.25" r="597" customHeight="1" ht="15">
      <c r="A597" s="1"/>
      <c r="B597" s="1"/>
      <c r="C597" s="1"/>
      <c r="D597" s="1"/>
      <c r="E597" s="1"/>
      <c r="F597" s="1"/>
      <c r="G597" s="1"/>
      <c r="H597" s="1"/>
      <c r="I597" s="1"/>
      <c r="J597" s="1"/>
      <c r="K597" s="17"/>
      <c r="L597" s="1"/>
      <c r="M597" s="1"/>
      <c r="N597" s="2"/>
      <c r="O597" s="2"/>
      <c r="P597" s="1"/>
      <c r="Q597" s="1"/>
      <c r="R597" s="1"/>
      <c r="S597" s="1"/>
      <c r="T597" s="17"/>
      <c r="U597" s="17"/>
      <c r="V597" s="17"/>
      <c r="W597" s="17"/>
      <c r="X597" s="22"/>
      <c r="Y597" s="22"/>
      <c r="Z597" s="22"/>
      <c r="AA597" s="22"/>
      <c r="AB597" s="22"/>
      <c r="AC597" s="22"/>
      <c r="AD597" s="22"/>
      <c r="AE597" s="22"/>
      <c r="AF597" s="22"/>
      <c r="AG597" s="22"/>
      <c r="AH597" s="22"/>
      <c r="AI597" s="22"/>
      <c r="AJ597" s="17"/>
      <c r="AK597" s="22"/>
      <c r="AL597" s="22"/>
      <c r="AM597" s="22"/>
      <c r="AN597" s="22"/>
      <c r="AO597" s="17"/>
      <c r="AP597" s="17"/>
      <c r="AQ597" s="17"/>
      <c r="AR597" s="1"/>
      <c r="AS597" s="1"/>
      <c r="AT597" s="17"/>
      <c r="AU597" s="1"/>
      <c r="AV597" s="1"/>
      <c r="AW597" s="1"/>
      <c r="AX597" s="2"/>
      <c r="AY597" s="2"/>
      <c r="AZ597" s="1"/>
    </row>
    <row x14ac:dyDescent="0.25" r="598" customHeight="1" ht="15">
      <c r="A598" s="1"/>
      <c r="B598" s="1"/>
      <c r="C598" s="1"/>
      <c r="D598" s="1"/>
      <c r="E598" s="1"/>
      <c r="F598" s="1"/>
      <c r="G598" s="1"/>
      <c r="H598" s="1"/>
      <c r="I598" s="1"/>
      <c r="J598" s="1"/>
      <c r="K598" s="17"/>
      <c r="L598" s="1"/>
      <c r="M598" s="1"/>
      <c r="N598" s="2"/>
      <c r="O598" s="2"/>
      <c r="P598" s="1"/>
      <c r="Q598" s="1"/>
      <c r="R598" s="1"/>
      <c r="S598" s="1"/>
      <c r="T598" s="17"/>
      <c r="U598" s="17"/>
      <c r="V598" s="17"/>
      <c r="W598" s="17"/>
      <c r="X598" s="22"/>
      <c r="Y598" s="22"/>
      <c r="Z598" s="22"/>
      <c r="AA598" s="22"/>
      <c r="AB598" s="22"/>
      <c r="AC598" s="22"/>
      <c r="AD598" s="22"/>
      <c r="AE598" s="22"/>
      <c r="AF598" s="22"/>
      <c r="AG598" s="22"/>
      <c r="AH598" s="22"/>
      <c r="AI598" s="22"/>
      <c r="AJ598" s="17"/>
      <c r="AK598" s="22"/>
      <c r="AL598" s="22"/>
      <c r="AM598" s="22"/>
      <c r="AN598" s="22"/>
      <c r="AO598" s="17"/>
      <c r="AP598" s="17"/>
      <c r="AQ598" s="17"/>
      <c r="AR598" s="1"/>
      <c r="AS598" s="1"/>
      <c r="AT598" s="17"/>
      <c r="AU598" s="1"/>
      <c r="AV598" s="1"/>
      <c r="AW598" s="1"/>
      <c r="AX598" s="2"/>
      <c r="AY598" s="2"/>
      <c r="AZ598" s="1"/>
    </row>
    <row x14ac:dyDescent="0.25" r="599" customHeight="1" ht="15">
      <c r="A599" s="1"/>
      <c r="B599" s="1"/>
      <c r="C599" s="1"/>
      <c r="D599" s="1"/>
      <c r="E599" s="1"/>
      <c r="F599" s="1"/>
      <c r="G599" s="1"/>
      <c r="H599" s="1"/>
      <c r="I599" s="1"/>
      <c r="J599" s="1"/>
      <c r="K599" s="17"/>
      <c r="L599" s="1"/>
      <c r="M599" s="1"/>
      <c r="N599" s="2"/>
      <c r="O599" s="2"/>
      <c r="P599" s="1"/>
      <c r="Q599" s="1"/>
      <c r="R599" s="1"/>
      <c r="S599" s="1"/>
      <c r="T599" s="17"/>
      <c r="U599" s="17"/>
      <c r="V599" s="17"/>
      <c r="W599" s="17"/>
      <c r="X599" s="22"/>
      <c r="Y599" s="22"/>
      <c r="Z599" s="22"/>
      <c r="AA599" s="22"/>
      <c r="AB599" s="22"/>
      <c r="AC599" s="22"/>
      <c r="AD599" s="22"/>
      <c r="AE599" s="22"/>
      <c r="AF599" s="22"/>
      <c r="AG599" s="22"/>
      <c r="AH599" s="22"/>
      <c r="AI599" s="22"/>
      <c r="AJ599" s="17"/>
      <c r="AK599" s="22"/>
      <c r="AL599" s="22"/>
      <c r="AM599" s="22"/>
      <c r="AN599" s="22"/>
      <c r="AO599" s="17"/>
      <c r="AP599" s="17"/>
      <c r="AQ599" s="17"/>
      <c r="AR599" s="1"/>
      <c r="AS599" s="1"/>
      <c r="AT599" s="17"/>
      <c r="AU599" s="1"/>
      <c r="AV599" s="1"/>
      <c r="AW599" s="1"/>
      <c r="AX599" s="2"/>
      <c r="AY599" s="2"/>
      <c r="AZ599" s="1"/>
    </row>
    <row x14ac:dyDescent="0.25" r="600" customHeight="1" ht="15">
      <c r="A600" s="1"/>
      <c r="B600" s="1"/>
      <c r="C600" s="1"/>
      <c r="D600" s="1"/>
      <c r="E600" s="1"/>
      <c r="F600" s="1"/>
      <c r="G600" s="1"/>
      <c r="H600" s="1"/>
      <c r="I600" s="1"/>
      <c r="J600" s="1"/>
      <c r="K600" s="17"/>
      <c r="L600" s="1"/>
      <c r="M600" s="1"/>
      <c r="N600" s="2"/>
      <c r="O600" s="2"/>
      <c r="P600" s="1"/>
      <c r="Q600" s="1"/>
      <c r="R600" s="1"/>
      <c r="S600" s="1"/>
      <c r="T600" s="17"/>
      <c r="U600" s="17"/>
      <c r="V600" s="17"/>
      <c r="W600" s="17"/>
      <c r="X600" s="22"/>
      <c r="Y600" s="22"/>
      <c r="Z600" s="22"/>
      <c r="AA600" s="22"/>
      <c r="AB600" s="22"/>
      <c r="AC600" s="22"/>
      <c r="AD600" s="22"/>
      <c r="AE600" s="22"/>
      <c r="AF600" s="22"/>
      <c r="AG600" s="22"/>
      <c r="AH600" s="22"/>
      <c r="AI600" s="22"/>
      <c r="AJ600" s="17"/>
      <c r="AK600" s="22"/>
      <c r="AL600" s="22"/>
      <c r="AM600" s="22"/>
      <c r="AN600" s="22"/>
      <c r="AO600" s="17"/>
      <c r="AP600" s="17"/>
      <c r="AQ600" s="17"/>
      <c r="AR600" s="1"/>
      <c r="AS600" s="1"/>
      <c r="AT600" s="17"/>
      <c r="AU600" s="1"/>
      <c r="AV600" s="1"/>
      <c r="AW600" s="1"/>
      <c r="AX600" s="2"/>
      <c r="AY600" s="2"/>
      <c r="AZ600" s="1"/>
    </row>
    <row x14ac:dyDescent="0.25" r="601" customHeight="1" ht="15">
      <c r="A601" s="1"/>
      <c r="B601" s="1"/>
      <c r="C601" s="1"/>
      <c r="D601" s="1"/>
      <c r="E601" s="1"/>
      <c r="F601" s="1"/>
      <c r="G601" s="1"/>
      <c r="H601" s="1"/>
      <c r="I601" s="1"/>
      <c r="J601" s="1"/>
      <c r="K601" s="17"/>
      <c r="L601" s="1"/>
      <c r="M601" s="1"/>
      <c r="N601" s="2"/>
      <c r="O601" s="2"/>
      <c r="P601" s="1"/>
      <c r="Q601" s="1"/>
      <c r="R601" s="1"/>
      <c r="S601" s="1"/>
      <c r="T601" s="17"/>
      <c r="U601" s="17"/>
      <c r="V601" s="17"/>
      <c r="W601" s="17"/>
      <c r="X601" s="22"/>
      <c r="Y601" s="22"/>
      <c r="Z601" s="22"/>
      <c r="AA601" s="22"/>
      <c r="AB601" s="22"/>
      <c r="AC601" s="22"/>
      <c r="AD601" s="22"/>
      <c r="AE601" s="22"/>
      <c r="AF601" s="22"/>
      <c r="AG601" s="22"/>
      <c r="AH601" s="22"/>
      <c r="AI601" s="22"/>
      <c r="AJ601" s="17"/>
      <c r="AK601" s="22"/>
      <c r="AL601" s="22"/>
      <c r="AM601" s="22"/>
      <c r="AN601" s="22"/>
      <c r="AO601" s="17"/>
      <c r="AP601" s="17"/>
      <c r="AQ601" s="17"/>
      <c r="AR601" s="1"/>
      <c r="AS601" s="1"/>
      <c r="AT601" s="17"/>
      <c r="AU601" s="1"/>
      <c r="AV601" s="1"/>
      <c r="AW601" s="1"/>
      <c r="AX601" s="2"/>
      <c r="AY601" s="2"/>
      <c r="AZ601" s="1"/>
    </row>
    <row x14ac:dyDescent="0.25" r="602" customHeight="1" ht="15">
      <c r="A602" s="1"/>
      <c r="B602" s="1"/>
      <c r="C602" s="1"/>
      <c r="D602" s="1"/>
      <c r="E602" s="1"/>
      <c r="F602" s="1"/>
      <c r="G602" s="1"/>
      <c r="H602" s="1"/>
      <c r="I602" s="1"/>
      <c r="J602" s="1"/>
      <c r="K602" s="17"/>
      <c r="L602" s="1"/>
      <c r="M602" s="1"/>
      <c r="N602" s="2"/>
      <c r="O602" s="2"/>
      <c r="P602" s="1"/>
      <c r="Q602" s="1"/>
      <c r="R602" s="1"/>
      <c r="S602" s="1"/>
      <c r="T602" s="17"/>
      <c r="U602" s="17"/>
      <c r="V602" s="17"/>
      <c r="W602" s="17"/>
      <c r="X602" s="22"/>
      <c r="Y602" s="22"/>
      <c r="Z602" s="22"/>
      <c r="AA602" s="22"/>
      <c r="AB602" s="22"/>
      <c r="AC602" s="22"/>
      <c r="AD602" s="22"/>
      <c r="AE602" s="22"/>
      <c r="AF602" s="22"/>
      <c r="AG602" s="22"/>
      <c r="AH602" s="22"/>
      <c r="AI602" s="22"/>
      <c r="AJ602" s="17"/>
      <c r="AK602" s="22"/>
      <c r="AL602" s="22"/>
      <c r="AM602" s="22"/>
      <c r="AN602" s="22"/>
      <c r="AO602" s="17"/>
      <c r="AP602" s="17"/>
      <c r="AQ602" s="17"/>
      <c r="AR602" s="1"/>
      <c r="AS602" s="1"/>
      <c r="AT602" s="17"/>
      <c r="AU602" s="1"/>
      <c r="AV602" s="1"/>
      <c r="AW602" s="1"/>
      <c r="AX602" s="2"/>
      <c r="AY602" s="2"/>
      <c r="AZ602" s="1"/>
    </row>
    <row x14ac:dyDescent="0.25" r="603" customHeight="1" ht="15">
      <c r="A603" s="1"/>
      <c r="B603" s="1"/>
      <c r="C603" s="1"/>
      <c r="D603" s="1"/>
      <c r="E603" s="1"/>
      <c r="F603" s="1"/>
      <c r="G603" s="1"/>
      <c r="H603" s="1"/>
      <c r="I603" s="1"/>
      <c r="J603" s="1"/>
      <c r="K603" s="17"/>
      <c r="L603" s="1"/>
      <c r="M603" s="1"/>
      <c r="N603" s="2"/>
      <c r="O603" s="2"/>
      <c r="P603" s="1"/>
      <c r="Q603" s="1"/>
      <c r="R603" s="1"/>
      <c r="S603" s="1"/>
      <c r="T603" s="17"/>
      <c r="U603" s="17"/>
      <c r="V603" s="17"/>
      <c r="W603" s="17"/>
      <c r="X603" s="22"/>
      <c r="Y603" s="22"/>
      <c r="Z603" s="22"/>
      <c r="AA603" s="22"/>
      <c r="AB603" s="22"/>
      <c r="AC603" s="22"/>
      <c r="AD603" s="22"/>
      <c r="AE603" s="22"/>
      <c r="AF603" s="22"/>
      <c r="AG603" s="22"/>
      <c r="AH603" s="22"/>
      <c r="AI603" s="22"/>
      <c r="AJ603" s="17"/>
      <c r="AK603" s="22"/>
      <c r="AL603" s="22"/>
      <c r="AM603" s="22"/>
      <c r="AN603" s="22"/>
      <c r="AO603" s="17"/>
      <c r="AP603" s="17"/>
      <c r="AQ603" s="17"/>
      <c r="AR603" s="1"/>
      <c r="AS603" s="1"/>
      <c r="AT603" s="17"/>
      <c r="AU603" s="1"/>
      <c r="AV603" s="1"/>
      <c r="AW603" s="1"/>
      <c r="AX603" s="2"/>
      <c r="AY603" s="2"/>
      <c r="AZ603" s="1"/>
    </row>
    <row x14ac:dyDescent="0.25" r="604" customHeight="1" ht="15">
      <c r="A604" s="1"/>
      <c r="B604" s="1"/>
      <c r="C604" s="1"/>
      <c r="D604" s="1"/>
      <c r="E604" s="1"/>
      <c r="F604" s="1"/>
      <c r="G604" s="1"/>
      <c r="H604" s="1"/>
      <c r="I604" s="1"/>
      <c r="J604" s="1"/>
      <c r="K604" s="17"/>
      <c r="L604" s="1"/>
      <c r="M604" s="1"/>
      <c r="N604" s="2"/>
      <c r="O604" s="2"/>
      <c r="P604" s="1"/>
      <c r="Q604" s="1"/>
      <c r="R604" s="1"/>
      <c r="S604" s="1"/>
      <c r="T604" s="17"/>
      <c r="U604" s="17"/>
      <c r="V604" s="17"/>
      <c r="W604" s="17"/>
      <c r="X604" s="22"/>
      <c r="Y604" s="22"/>
      <c r="Z604" s="22"/>
      <c r="AA604" s="22"/>
      <c r="AB604" s="22"/>
      <c r="AC604" s="22"/>
      <c r="AD604" s="22"/>
      <c r="AE604" s="22"/>
      <c r="AF604" s="22"/>
      <c r="AG604" s="22"/>
      <c r="AH604" s="22"/>
      <c r="AI604" s="22"/>
      <c r="AJ604" s="17"/>
      <c r="AK604" s="22"/>
      <c r="AL604" s="22"/>
      <c r="AM604" s="22"/>
      <c r="AN604" s="22"/>
      <c r="AO604" s="17"/>
      <c r="AP604" s="17"/>
      <c r="AQ604" s="17"/>
      <c r="AR604" s="1"/>
      <c r="AS604" s="1"/>
      <c r="AT604" s="17"/>
      <c r="AU604" s="1"/>
      <c r="AV604" s="1"/>
      <c r="AW604" s="1"/>
      <c r="AX604" s="2"/>
      <c r="AY604" s="2"/>
      <c r="AZ604" s="1"/>
    </row>
    <row x14ac:dyDescent="0.25" r="605" customHeight="1" ht="15">
      <c r="A605" s="1"/>
      <c r="B605" s="1"/>
      <c r="C605" s="1"/>
      <c r="D605" s="1"/>
      <c r="E605" s="1"/>
      <c r="F605" s="1"/>
      <c r="G605" s="1"/>
      <c r="H605" s="1"/>
      <c r="I605" s="1"/>
      <c r="J605" s="1"/>
      <c r="K605" s="17"/>
      <c r="L605" s="1"/>
      <c r="M605" s="1"/>
      <c r="N605" s="2"/>
      <c r="O605" s="2"/>
      <c r="P605" s="1"/>
      <c r="Q605" s="1"/>
      <c r="R605" s="1"/>
      <c r="S605" s="1"/>
      <c r="T605" s="17"/>
      <c r="U605" s="17"/>
      <c r="V605" s="17"/>
      <c r="W605" s="17"/>
      <c r="X605" s="22"/>
      <c r="Y605" s="22"/>
      <c r="Z605" s="22"/>
      <c r="AA605" s="22"/>
      <c r="AB605" s="22"/>
      <c r="AC605" s="22"/>
      <c r="AD605" s="22"/>
      <c r="AE605" s="22"/>
      <c r="AF605" s="22"/>
      <c r="AG605" s="22"/>
      <c r="AH605" s="22"/>
      <c r="AI605" s="22"/>
      <c r="AJ605" s="17"/>
      <c r="AK605" s="22"/>
      <c r="AL605" s="22"/>
      <c r="AM605" s="22"/>
      <c r="AN605" s="22"/>
      <c r="AO605" s="17"/>
      <c r="AP605" s="17"/>
      <c r="AQ605" s="17"/>
      <c r="AR605" s="1"/>
      <c r="AS605" s="1"/>
      <c r="AT605" s="17"/>
      <c r="AU605" s="1"/>
      <c r="AV605" s="1"/>
      <c r="AW605" s="1"/>
      <c r="AX605" s="2"/>
      <c r="AY605" s="2"/>
      <c r="AZ605" s="1"/>
    </row>
    <row x14ac:dyDescent="0.25" r="606" customHeight="1" ht="15">
      <c r="A606" s="1"/>
      <c r="B606" s="1"/>
      <c r="C606" s="1"/>
      <c r="D606" s="1"/>
      <c r="E606" s="1"/>
      <c r="F606" s="1"/>
      <c r="G606" s="1"/>
      <c r="H606" s="1"/>
      <c r="I606" s="1"/>
      <c r="J606" s="1"/>
      <c r="K606" s="17"/>
      <c r="L606" s="1"/>
      <c r="M606" s="1"/>
      <c r="N606" s="2"/>
      <c r="O606" s="2"/>
      <c r="P606" s="1"/>
      <c r="Q606" s="1"/>
      <c r="R606" s="1"/>
      <c r="S606" s="1"/>
      <c r="T606" s="17"/>
      <c r="U606" s="17"/>
      <c r="V606" s="17"/>
      <c r="W606" s="17"/>
      <c r="X606" s="22"/>
      <c r="Y606" s="22"/>
      <c r="Z606" s="22"/>
      <c r="AA606" s="22"/>
      <c r="AB606" s="22"/>
      <c r="AC606" s="22"/>
      <c r="AD606" s="22"/>
      <c r="AE606" s="22"/>
      <c r="AF606" s="22"/>
      <c r="AG606" s="22"/>
      <c r="AH606" s="22"/>
      <c r="AI606" s="22"/>
      <c r="AJ606" s="17"/>
      <c r="AK606" s="22"/>
      <c r="AL606" s="22"/>
      <c r="AM606" s="22"/>
      <c r="AN606" s="22"/>
      <c r="AO606" s="17"/>
      <c r="AP606" s="17"/>
      <c r="AQ606" s="17"/>
      <c r="AR606" s="1"/>
      <c r="AS606" s="1"/>
      <c r="AT606" s="17"/>
      <c r="AU606" s="1"/>
      <c r="AV606" s="1"/>
      <c r="AW606" s="1"/>
      <c r="AX606" s="2"/>
      <c r="AY606" s="2"/>
      <c r="AZ606" s="1"/>
    </row>
    <row x14ac:dyDescent="0.25" r="607" customHeight="1" ht="15">
      <c r="A607" s="1"/>
      <c r="B607" s="1"/>
      <c r="C607" s="1"/>
      <c r="D607" s="1"/>
      <c r="E607" s="1"/>
      <c r="F607" s="1"/>
      <c r="G607" s="1"/>
      <c r="H607" s="1"/>
      <c r="I607" s="1"/>
      <c r="J607" s="1"/>
      <c r="K607" s="17"/>
      <c r="L607" s="1"/>
      <c r="M607" s="1"/>
      <c r="N607" s="2"/>
      <c r="O607" s="2"/>
      <c r="P607" s="1"/>
      <c r="Q607" s="1"/>
      <c r="R607" s="1"/>
      <c r="S607" s="1"/>
      <c r="T607" s="17"/>
      <c r="U607" s="17"/>
      <c r="V607" s="17"/>
      <c r="W607" s="17"/>
      <c r="X607" s="22"/>
      <c r="Y607" s="22"/>
      <c r="Z607" s="22"/>
      <c r="AA607" s="22"/>
      <c r="AB607" s="22"/>
      <c r="AC607" s="22"/>
      <c r="AD607" s="22"/>
      <c r="AE607" s="22"/>
      <c r="AF607" s="22"/>
      <c r="AG607" s="22"/>
      <c r="AH607" s="22"/>
      <c r="AI607" s="22"/>
      <c r="AJ607" s="17"/>
      <c r="AK607" s="22"/>
      <c r="AL607" s="22"/>
      <c r="AM607" s="22"/>
      <c r="AN607" s="22"/>
      <c r="AO607" s="17"/>
      <c r="AP607" s="17"/>
      <c r="AQ607" s="17"/>
      <c r="AR607" s="1"/>
      <c r="AS607" s="1"/>
      <c r="AT607" s="17"/>
      <c r="AU607" s="1"/>
      <c r="AV607" s="1"/>
      <c r="AW607" s="1"/>
      <c r="AX607" s="2"/>
      <c r="AY607" s="2"/>
      <c r="AZ607" s="1"/>
    </row>
    <row x14ac:dyDescent="0.25" r="608" customHeight="1" ht="15">
      <c r="A608" s="1"/>
      <c r="B608" s="1"/>
      <c r="C608" s="1"/>
      <c r="D608" s="1"/>
      <c r="E608" s="1"/>
      <c r="F608" s="1"/>
      <c r="G608" s="1"/>
      <c r="H608" s="1"/>
      <c r="I608" s="1"/>
      <c r="J608" s="1"/>
      <c r="K608" s="17"/>
      <c r="L608" s="1"/>
      <c r="M608" s="1"/>
      <c r="N608" s="2"/>
      <c r="O608" s="2"/>
      <c r="P608" s="1"/>
      <c r="Q608" s="1"/>
      <c r="R608" s="1"/>
      <c r="S608" s="1"/>
      <c r="T608" s="17"/>
      <c r="U608" s="17"/>
      <c r="V608" s="17"/>
      <c r="W608" s="17"/>
      <c r="X608" s="22"/>
      <c r="Y608" s="22"/>
      <c r="Z608" s="22"/>
      <c r="AA608" s="22"/>
      <c r="AB608" s="22"/>
      <c r="AC608" s="22"/>
      <c r="AD608" s="22"/>
      <c r="AE608" s="22"/>
      <c r="AF608" s="22"/>
      <c r="AG608" s="22"/>
      <c r="AH608" s="22"/>
      <c r="AI608" s="22"/>
      <c r="AJ608" s="17"/>
      <c r="AK608" s="22"/>
      <c r="AL608" s="22"/>
      <c r="AM608" s="22"/>
      <c r="AN608" s="22"/>
      <c r="AO608" s="17"/>
      <c r="AP608" s="17"/>
      <c r="AQ608" s="17"/>
      <c r="AR608" s="1"/>
      <c r="AS608" s="1"/>
      <c r="AT608" s="17"/>
      <c r="AU608" s="1"/>
      <c r="AV608" s="1"/>
      <c r="AW608" s="1"/>
      <c r="AX608" s="2"/>
      <c r="AY608" s="2"/>
      <c r="AZ608" s="1"/>
    </row>
    <row x14ac:dyDescent="0.25" r="609" customHeight="1" ht="15">
      <c r="A609" s="1"/>
      <c r="B609" s="1"/>
      <c r="C609" s="1"/>
      <c r="D609" s="1"/>
      <c r="E609" s="1"/>
      <c r="F609" s="1"/>
      <c r="G609" s="1"/>
      <c r="H609" s="1"/>
      <c r="I609" s="1"/>
      <c r="J609" s="1"/>
      <c r="K609" s="17"/>
      <c r="L609" s="1"/>
      <c r="M609" s="1"/>
      <c r="N609" s="2"/>
      <c r="O609" s="2"/>
      <c r="P609" s="1"/>
      <c r="Q609" s="1"/>
      <c r="R609" s="1"/>
      <c r="S609" s="1"/>
      <c r="T609" s="17"/>
      <c r="U609" s="17"/>
      <c r="V609" s="17"/>
      <c r="W609" s="17"/>
      <c r="X609" s="22"/>
      <c r="Y609" s="22"/>
      <c r="Z609" s="22"/>
      <c r="AA609" s="22"/>
      <c r="AB609" s="22"/>
      <c r="AC609" s="22"/>
      <c r="AD609" s="22"/>
      <c r="AE609" s="22"/>
      <c r="AF609" s="22"/>
      <c r="AG609" s="22"/>
      <c r="AH609" s="22"/>
      <c r="AI609" s="22"/>
      <c r="AJ609" s="17"/>
      <c r="AK609" s="22"/>
      <c r="AL609" s="22"/>
      <c r="AM609" s="22"/>
      <c r="AN609" s="22"/>
      <c r="AO609" s="17"/>
      <c r="AP609" s="17"/>
      <c r="AQ609" s="17"/>
      <c r="AR609" s="1"/>
      <c r="AS609" s="1"/>
      <c r="AT609" s="17"/>
      <c r="AU609" s="1"/>
      <c r="AV609" s="1"/>
      <c r="AW609" s="1"/>
      <c r="AX609" s="2"/>
      <c r="AY609" s="2"/>
      <c r="AZ609" s="1"/>
    </row>
    <row x14ac:dyDescent="0.25" r="610" customHeight="1" ht="15">
      <c r="A610" s="1"/>
      <c r="B610" s="1"/>
      <c r="C610" s="1"/>
      <c r="D610" s="1"/>
      <c r="E610" s="1"/>
      <c r="F610" s="1"/>
      <c r="G610" s="1"/>
      <c r="H610" s="1"/>
      <c r="I610" s="1"/>
      <c r="J610" s="1"/>
      <c r="K610" s="17"/>
      <c r="L610" s="1"/>
      <c r="M610" s="1"/>
      <c r="N610" s="2"/>
      <c r="O610" s="2"/>
      <c r="P610" s="1"/>
      <c r="Q610" s="1"/>
      <c r="R610" s="1"/>
      <c r="S610" s="1"/>
      <c r="T610" s="17"/>
      <c r="U610" s="17"/>
      <c r="V610" s="17"/>
      <c r="W610" s="17"/>
      <c r="X610" s="22"/>
      <c r="Y610" s="22"/>
      <c r="Z610" s="22"/>
      <c r="AA610" s="22"/>
      <c r="AB610" s="22"/>
      <c r="AC610" s="22"/>
      <c r="AD610" s="22"/>
      <c r="AE610" s="22"/>
      <c r="AF610" s="22"/>
      <c r="AG610" s="22"/>
      <c r="AH610" s="22"/>
      <c r="AI610" s="22"/>
      <c r="AJ610" s="17"/>
      <c r="AK610" s="22"/>
      <c r="AL610" s="22"/>
      <c r="AM610" s="22"/>
      <c r="AN610" s="22"/>
      <c r="AO610" s="17"/>
      <c r="AP610" s="17"/>
      <c r="AQ610" s="17"/>
      <c r="AR610" s="1"/>
      <c r="AS610" s="1"/>
      <c r="AT610" s="17"/>
      <c r="AU610" s="1"/>
      <c r="AV610" s="1"/>
      <c r="AW610" s="1"/>
      <c r="AX610" s="2"/>
      <c r="AY610" s="2"/>
      <c r="AZ610" s="1"/>
    </row>
    <row x14ac:dyDescent="0.25" r="611" customHeight="1" ht="15">
      <c r="A611" s="1"/>
      <c r="B611" s="1"/>
      <c r="C611" s="1"/>
      <c r="D611" s="1"/>
      <c r="E611" s="1"/>
      <c r="F611" s="1"/>
      <c r="G611" s="1"/>
      <c r="H611" s="1"/>
      <c r="I611" s="1"/>
      <c r="J611" s="1"/>
      <c r="K611" s="17"/>
      <c r="L611" s="1"/>
      <c r="M611" s="1"/>
      <c r="N611" s="2"/>
      <c r="O611" s="2"/>
      <c r="P611" s="1"/>
      <c r="Q611" s="1"/>
      <c r="R611" s="1"/>
      <c r="S611" s="1"/>
      <c r="T611" s="17"/>
      <c r="U611" s="17"/>
      <c r="V611" s="17"/>
      <c r="W611" s="17"/>
      <c r="X611" s="22"/>
      <c r="Y611" s="22"/>
      <c r="Z611" s="22"/>
      <c r="AA611" s="22"/>
      <c r="AB611" s="22"/>
      <c r="AC611" s="22"/>
      <c r="AD611" s="22"/>
      <c r="AE611" s="22"/>
      <c r="AF611" s="22"/>
      <c r="AG611" s="22"/>
      <c r="AH611" s="22"/>
      <c r="AI611" s="22"/>
      <c r="AJ611" s="17"/>
      <c r="AK611" s="22"/>
      <c r="AL611" s="22"/>
      <c r="AM611" s="22"/>
      <c r="AN611" s="22"/>
      <c r="AO611" s="17"/>
      <c r="AP611" s="17"/>
      <c r="AQ611" s="17"/>
      <c r="AR611" s="1"/>
      <c r="AS611" s="1"/>
      <c r="AT611" s="17"/>
      <c r="AU611" s="1"/>
      <c r="AV611" s="1"/>
      <c r="AW611" s="1"/>
      <c r="AX611" s="2"/>
      <c r="AY611" s="2"/>
      <c r="AZ611" s="1"/>
    </row>
    <row x14ac:dyDescent="0.25" r="612" customHeight="1" ht="15">
      <c r="A612" s="1"/>
      <c r="B612" s="1"/>
      <c r="C612" s="1"/>
      <c r="D612" s="1"/>
      <c r="E612" s="1"/>
      <c r="F612" s="1"/>
      <c r="G612" s="1"/>
      <c r="H612" s="1"/>
      <c r="I612" s="1"/>
      <c r="J612" s="1"/>
      <c r="K612" s="17"/>
      <c r="L612" s="1"/>
      <c r="M612" s="1"/>
      <c r="N612" s="2"/>
      <c r="O612" s="2"/>
      <c r="P612" s="1"/>
      <c r="Q612" s="1"/>
      <c r="R612" s="1"/>
      <c r="S612" s="1"/>
      <c r="T612" s="17"/>
      <c r="U612" s="17"/>
      <c r="V612" s="17"/>
      <c r="W612" s="17"/>
      <c r="X612" s="22"/>
      <c r="Y612" s="22"/>
      <c r="Z612" s="22"/>
      <c r="AA612" s="22"/>
      <c r="AB612" s="22"/>
      <c r="AC612" s="22"/>
      <c r="AD612" s="22"/>
      <c r="AE612" s="22"/>
      <c r="AF612" s="22"/>
      <c r="AG612" s="22"/>
      <c r="AH612" s="22"/>
      <c r="AI612" s="22"/>
      <c r="AJ612" s="17"/>
      <c r="AK612" s="22"/>
      <c r="AL612" s="22"/>
      <c r="AM612" s="22"/>
      <c r="AN612" s="22"/>
      <c r="AO612" s="17"/>
      <c r="AP612" s="17"/>
      <c r="AQ612" s="17"/>
      <c r="AR612" s="1"/>
      <c r="AS612" s="1"/>
      <c r="AT612" s="17"/>
      <c r="AU612" s="1"/>
      <c r="AV612" s="1"/>
      <c r="AW612" s="1"/>
      <c r="AX612" s="2"/>
      <c r="AY612" s="2"/>
      <c r="AZ612" s="1"/>
    </row>
    <row x14ac:dyDescent="0.25" r="613" customHeight="1" ht="15">
      <c r="A613" s="1"/>
      <c r="B613" s="1"/>
      <c r="C613" s="1"/>
      <c r="D613" s="1"/>
      <c r="E613" s="1"/>
      <c r="F613" s="1"/>
      <c r="G613" s="1"/>
      <c r="H613" s="1"/>
      <c r="I613" s="1"/>
      <c r="J613" s="1"/>
      <c r="K613" s="17"/>
      <c r="L613" s="1"/>
      <c r="M613" s="1"/>
      <c r="N613" s="2"/>
      <c r="O613" s="2"/>
      <c r="P613" s="1"/>
      <c r="Q613" s="1"/>
      <c r="R613" s="1"/>
      <c r="S613" s="1"/>
      <c r="T613" s="17"/>
      <c r="U613" s="17"/>
      <c r="V613" s="17"/>
      <c r="W613" s="17"/>
      <c r="X613" s="22"/>
      <c r="Y613" s="22"/>
      <c r="Z613" s="22"/>
      <c r="AA613" s="22"/>
      <c r="AB613" s="22"/>
      <c r="AC613" s="22"/>
      <c r="AD613" s="22"/>
      <c r="AE613" s="22"/>
      <c r="AF613" s="22"/>
      <c r="AG613" s="22"/>
      <c r="AH613" s="22"/>
      <c r="AI613" s="22"/>
      <c r="AJ613" s="17"/>
      <c r="AK613" s="22"/>
      <c r="AL613" s="22"/>
      <c r="AM613" s="22"/>
      <c r="AN613" s="22"/>
      <c r="AO613" s="17"/>
      <c r="AP613" s="17"/>
      <c r="AQ613" s="17"/>
      <c r="AR613" s="1"/>
      <c r="AS613" s="1"/>
      <c r="AT613" s="17"/>
      <c r="AU613" s="1"/>
      <c r="AV613" s="1"/>
      <c r="AW613" s="1"/>
      <c r="AX613" s="2"/>
      <c r="AY613" s="2"/>
      <c r="AZ613" s="1"/>
    </row>
    <row x14ac:dyDescent="0.25" r="614" customHeight="1" ht="15">
      <c r="A614" s="1"/>
      <c r="B614" s="1"/>
      <c r="C614" s="1"/>
      <c r="D614" s="1"/>
      <c r="E614" s="1"/>
      <c r="F614" s="1"/>
      <c r="G614" s="1"/>
      <c r="H614" s="1"/>
      <c r="I614" s="1"/>
      <c r="J614" s="1"/>
      <c r="K614" s="17"/>
      <c r="L614" s="1"/>
      <c r="M614" s="1"/>
      <c r="N614" s="2"/>
      <c r="O614" s="2"/>
      <c r="P614" s="1"/>
      <c r="Q614" s="1"/>
      <c r="R614" s="1"/>
      <c r="S614" s="1"/>
      <c r="T614" s="17"/>
      <c r="U614" s="17"/>
      <c r="V614" s="17"/>
      <c r="W614" s="17"/>
      <c r="X614" s="22"/>
      <c r="Y614" s="22"/>
      <c r="Z614" s="22"/>
      <c r="AA614" s="22"/>
      <c r="AB614" s="22"/>
      <c r="AC614" s="22"/>
      <c r="AD614" s="22"/>
      <c r="AE614" s="22"/>
      <c r="AF614" s="22"/>
      <c r="AG614" s="22"/>
      <c r="AH614" s="22"/>
      <c r="AI614" s="22"/>
      <c r="AJ614" s="17"/>
      <c r="AK614" s="22"/>
      <c r="AL614" s="22"/>
      <c r="AM614" s="22"/>
      <c r="AN614" s="22"/>
      <c r="AO614" s="17"/>
      <c r="AP614" s="17"/>
      <c r="AQ614" s="17"/>
      <c r="AR614" s="1"/>
      <c r="AS614" s="1"/>
      <c r="AT614" s="17"/>
      <c r="AU614" s="1"/>
      <c r="AV614" s="1"/>
      <c r="AW614" s="1"/>
      <c r="AX614" s="2"/>
      <c r="AY614" s="2"/>
      <c r="AZ614" s="1"/>
    </row>
    <row x14ac:dyDescent="0.25" r="615" customHeight="1" ht="15">
      <c r="A615" s="1"/>
      <c r="B615" s="1"/>
      <c r="C615" s="1"/>
      <c r="D615" s="1"/>
      <c r="E615" s="1"/>
      <c r="F615" s="1"/>
      <c r="G615" s="1"/>
      <c r="H615" s="1"/>
      <c r="I615" s="1"/>
      <c r="J615" s="1"/>
      <c r="K615" s="17"/>
      <c r="L615" s="1"/>
      <c r="M615" s="1"/>
      <c r="N615" s="2"/>
      <c r="O615" s="2"/>
      <c r="P615" s="1"/>
      <c r="Q615" s="1"/>
      <c r="R615" s="1"/>
      <c r="S615" s="1"/>
      <c r="T615" s="17"/>
      <c r="U615" s="17"/>
      <c r="V615" s="17"/>
      <c r="W615" s="17"/>
      <c r="X615" s="22"/>
      <c r="Y615" s="22"/>
      <c r="Z615" s="22"/>
      <c r="AA615" s="22"/>
      <c r="AB615" s="22"/>
      <c r="AC615" s="22"/>
      <c r="AD615" s="22"/>
      <c r="AE615" s="22"/>
      <c r="AF615" s="22"/>
      <c r="AG615" s="22"/>
      <c r="AH615" s="22"/>
      <c r="AI615" s="22"/>
      <c r="AJ615" s="17"/>
      <c r="AK615" s="22"/>
      <c r="AL615" s="22"/>
      <c r="AM615" s="22"/>
      <c r="AN615" s="22"/>
      <c r="AO615" s="17"/>
      <c r="AP615" s="17"/>
      <c r="AQ615" s="17"/>
      <c r="AR615" s="1"/>
      <c r="AS615" s="1"/>
      <c r="AT615" s="17"/>
      <c r="AU615" s="1"/>
      <c r="AV615" s="1"/>
      <c r="AW615" s="1"/>
      <c r="AX615" s="2"/>
      <c r="AY615" s="2"/>
      <c r="AZ615" s="1"/>
    </row>
    <row x14ac:dyDescent="0.25" r="616" customHeight="1" ht="15">
      <c r="A616" s="1"/>
      <c r="B616" s="1"/>
      <c r="C616" s="1"/>
      <c r="D616" s="1"/>
      <c r="E616" s="1"/>
      <c r="F616" s="1"/>
      <c r="G616" s="1"/>
      <c r="H616" s="1"/>
      <c r="I616" s="1"/>
      <c r="J616" s="1"/>
      <c r="K616" s="17"/>
      <c r="L616" s="1"/>
      <c r="M616" s="1"/>
      <c r="N616" s="2"/>
      <c r="O616" s="2"/>
      <c r="P616" s="1"/>
      <c r="Q616" s="1"/>
      <c r="R616" s="1"/>
      <c r="S616" s="1"/>
      <c r="T616" s="17"/>
      <c r="U616" s="17"/>
      <c r="V616" s="17"/>
      <c r="W616" s="17"/>
      <c r="X616" s="22"/>
      <c r="Y616" s="22"/>
      <c r="Z616" s="22"/>
      <c r="AA616" s="22"/>
      <c r="AB616" s="22"/>
      <c r="AC616" s="22"/>
      <c r="AD616" s="22"/>
      <c r="AE616" s="22"/>
      <c r="AF616" s="22"/>
      <c r="AG616" s="22"/>
      <c r="AH616" s="22"/>
      <c r="AI616" s="22"/>
      <c r="AJ616" s="17"/>
      <c r="AK616" s="22"/>
      <c r="AL616" s="22"/>
      <c r="AM616" s="22"/>
      <c r="AN616" s="22"/>
      <c r="AO616" s="17"/>
      <c r="AP616" s="17"/>
      <c r="AQ616" s="17"/>
      <c r="AR616" s="1"/>
      <c r="AS616" s="1"/>
      <c r="AT616" s="17"/>
      <c r="AU616" s="1"/>
      <c r="AV616" s="1"/>
      <c r="AW616" s="1"/>
      <c r="AX616" s="2"/>
      <c r="AY616" s="2"/>
      <c r="AZ616" s="1"/>
    </row>
    <row x14ac:dyDescent="0.25" r="617" customHeight="1" ht="15">
      <c r="A617" s="1"/>
      <c r="B617" s="1"/>
      <c r="C617" s="1"/>
      <c r="D617" s="1"/>
      <c r="E617" s="1"/>
      <c r="F617" s="1"/>
      <c r="G617" s="1"/>
      <c r="H617" s="1"/>
      <c r="I617" s="1"/>
      <c r="J617" s="1"/>
      <c r="K617" s="17"/>
      <c r="L617" s="1"/>
      <c r="M617" s="1"/>
      <c r="N617" s="2"/>
      <c r="O617" s="2"/>
      <c r="P617" s="1"/>
      <c r="Q617" s="1"/>
      <c r="R617" s="1"/>
      <c r="S617" s="1"/>
      <c r="T617" s="17"/>
      <c r="U617" s="17"/>
      <c r="V617" s="17"/>
      <c r="W617" s="17"/>
      <c r="X617" s="22"/>
      <c r="Y617" s="22"/>
      <c r="Z617" s="22"/>
      <c r="AA617" s="22"/>
      <c r="AB617" s="22"/>
      <c r="AC617" s="22"/>
      <c r="AD617" s="22"/>
      <c r="AE617" s="22"/>
      <c r="AF617" s="22"/>
      <c r="AG617" s="22"/>
      <c r="AH617" s="22"/>
      <c r="AI617" s="22"/>
      <c r="AJ617" s="17"/>
      <c r="AK617" s="22"/>
      <c r="AL617" s="22"/>
      <c r="AM617" s="22"/>
      <c r="AN617" s="22"/>
      <c r="AO617" s="17"/>
      <c r="AP617" s="17"/>
      <c r="AQ617" s="17"/>
      <c r="AR617" s="1"/>
      <c r="AS617" s="1"/>
      <c r="AT617" s="17"/>
      <c r="AU617" s="1"/>
      <c r="AV617" s="1"/>
      <c r="AW617" s="1"/>
      <c r="AX617" s="2"/>
      <c r="AY617" s="2"/>
      <c r="AZ617" s="1"/>
    </row>
    <row x14ac:dyDescent="0.25" r="618" customHeight="1" ht="15">
      <c r="A618" s="1"/>
      <c r="B618" s="1"/>
      <c r="C618" s="1"/>
      <c r="D618" s="1"/>
      <c r="E618" s="1"/>
      <c r="F618" s="1"/>
      <c r="G618" s="1"/>
      <c r="H618" s="1"/>
      <c r="I618" s="1"/>
      <c r="J618" s="1"/>
      <c r="K618" s="17"/>
      <c r="L618" s="1"/>
      <c r="M618" s="1"/>
      <c r="N618" s="2"/>
      <c r="O618" s="2"/>
      <c r="P618" s="1"/>
      <c r="Q618" s="1"/>
      <c r="R618" s="1"/>
      <c r="S618" s="1"/>
      <c r="T618" s="17"/>
      <c r="U618" s="17"/>
      <c r="V618" s="17"/>
      <c r="W618" s="17"/>
      <c r="X618" s="22"/>
      <c r="Y618" s="22"/>
      <c r="Z618" s="22"/>
      <c r="AA618" s="22"/>
      <c r="AB618" s="22"/>
      <c r="AC618" s="22"/>
      <c r="AD618" s="22"/>
      <c r="AE618" s="22"/>
      <c r="AF618" s="22"/>
      <c r="AG618" s="22"/>
      <c r="AH618" s="22"/>
      <c r="AI618" s="22"/>
      <c r="AJ618" s="17"/>
      <c r="AK618" s="22"/>
      <c r="AL618" s="22"/>
      <c r="AM618" s="22"/>
      <c r="AN618" s="22"/>
      <c r="AO618" s="17"/>
      <c r="AP618" s="17"/>
      <c r="AQ618" s="17"/>
      <c r="AR618" s="1"/>
      <c r="AS618" s="1"/>
      <c r="AT618" s="17"/>
      <c r="AU618" s="1"/>
      <c r="AV618" s="1"/>
      <c r="AW618" s="1"/>
      <c r="AX618" s="2"/>
      <c r="AY618" s="2"/>
      <c r="AZ618" s="1"/>
    </row>
    <row x14ac:dyDescent="0.25" r="619" customHeight="1" ht="15">
      <c r="A619" s="1"/>
      <c r="B619" s="1"/>
      <c r="C619" s="1"/>
      <c r="D619" s="1"/>
      <c r="E619" s="1"/>
      <c r="F619" s="1"/>
      <c r="G619" s="1"/>
      <c r="H619" s="1"/>
      <c r="I619" s="1"/>
      <c r="J619" s="1"/>
      <c r="K619" s="17"/>
      <c r="L619" s="1"/>
      <c r="M619" s="1"/>
      <c r="N619" s="2"/>
      <c r="O619" s="2"/>
      <c r="P619" s="1"/>
      <c r="Q619" s="1"/>
      <c r="R619" s="1"/>
      <c r="S619" s="1"/>
      <c r="T619" s="17"/>
      <c r="U619" s="17"/>
      <c r="V619" s="17"/>
      <c r="W619" s="17"/>
      <c r="X619" s="22"/>
      <c r="Y619" s="22"/>
      <c r="Z619" s="22"/>
      <c r="AA619" s="22"/>
      <c r="AB619" s="22"/>
      <c r="AC619" s="22"/>
      <c r="AD619" s="22"/>
      <c r="AE619" s="22"/>
      <c r="AF619" s="22"/>
      <c r="AG619" s="22"/>
      <c r="AH619" s="22"/>
      <c r="AI619" s="22"/>
      <c r="AJ619" s="17"/>
      <c r="AK619" s="22"/>
      <c r="AL619" s="22"/>
      <c r="AM619" s="22"/>
      <c r="AN619" s="22"/>
      <c r="AO619" s="17"/>
      <c r="AP619" s="17"/>
      <c r="AQ619" s="17"/>
      <c r="AR619" s="1"/>
      <c r="AS619" s="1"/>
      <c r="AT619" s="17"/>
      <c r="AU619" s="1"/>
      <c r="AV619" s="1"/>
      <c r="AW619" s="1"/>
      <c r="AX619" s="2"/>
      <c r="AY619" s="2"/>
      <c r="AZ619" s="1"/>
    </row>
    <row x14ac:dyDescent="0.25" r="620" customHeight="1" ht="15">
      <c r="A620" s="1"/>
      <c r="B620" s="1"/>
      <c r="C620" s="1"/>
      <c r="D620" s="1"/>
      <c r="E620" s="1"/>
      <c r="F620" s="1"/>
      <c r="G620" s="1"/>
      <c r="H620" s="1"/>
      <c r="I620" s="1"/>
      <c r="J620" s="1"/>
      <c r="K620" s="17"/>
      <c r="L620" s="1"/>
      <c r="M620" s="1"/>
      <c r="N620" s="2"/>
      <c r="O620" s="2"/>
      <c r="P620" s="1"/>
      <c r="Q620" s="1"/>
      <c r="R620" s="1"/>
      <c r="S620" s="1"/>
      <c r="T620" s="17"/>
      <c r="U620" s="17"/>
      <c r="V620" s="17"/>
      <c r="W620" s="17"/>
      <c r="X620" s="22"/>
      <c r="Y620" s="22"/>
      <c r="Z620" s="22"/>
      <c r="AA620" s="22"/>
      <c r="AB620" s="22"/>
      <c r="AC620" s="22"/>
      <c r="AD620" s="22"/>
      <c r="AE620" s="22"/>
      <c r="AF620" s="22"/>
      <c r="AG620" s="22"/>
      <c r="AH620" s="22"/>
      <c r="AI620" s="22"/>
      <c r="AJ620" s="17"/>
      <c r="AK620" s="22"/>
      <c r="AL620" s="22"/>
      <c r="AM620" s="22"/>
      <c r="AN620" s="22"/>
      <c r="AO620" s="17"/>
      <c r="AP620" s="17"/>
      <c r="AQ620" s="17"/>
      <c r="AR620" s="1"/>
      <c r="AS620" s="1"/>
      <c r="AT620" s="17"/>
      <c r="AU620" s="1"/>
      <c r="AV620" s="1"/>
      <c r="AW620" s="1"/>
      <c r="AX620" s="2"/>
      <c r="AY620" s="2"/>
      <c r="AZ620" s="1"/>
    </row>
    <row x14ac:dyDescent="0.25" r="621" customHeight="1" ht="15">
      <c r="A621" s="1"/>
      <c r="B621" s="1"/>
      <c r="C621" s="1"/>
      <c r="D621" s="1"/>
      <c r="E621" s="1"/>
      <c r="F621" s="1"/>
      <c r="G621" s="1"/>
      <c r="H621" s="1"/>
      <c r="I621" s="1"/>
      <c r="J621" s="1"/>
      <c r="K621" s="17"/>
      <c r="L621" s="1"/>
      <c r="M621" s="1"/>
      <c r="N621" s="2"/>
      <c r="O621" s="2"/>
      <c r="P621" s="1"/>
      <c r="Q621" s="1"/>
      <c r="R621" s="1"/>
      <c r="S621" s="1"/>
      <c r="T621" s="17"/>
      <c r="U621" s="17"/>
      <c r="V621" s="17"/>
      <c r="W621" s="17"/>
      <c r="X621" s="22"/>
      <c r="Y621" s="22"/>
      <c r="Z621" s="22"/>
      <c r="AA621" s="22"/>
      <c r="AB621" s="22"/>
      <c r="AC621" s="22"/>
      <c r="AD621" s="22"/>
      <c r="AE621" s="22"/>
      <c r="AF621" s="22"/>
      <c r="AG621" s="22"/>
      <c r="AH621" s="22"/>
      <c r="AI621" s="22"/>
      <c r="AJ621" s="17"/>
      <c r="AK621" s="22"/>
      <c r="AL621" s="22"/>
      <c r="AM621" s="22"/>
      <c r="AN621" s="22"/>
      <c r="AO621" s="17"/>
      <c r="AP621" s="17"/>
      <c r="AQ621" s="17"/>
      <c r="AR621" s="1"/>
      <c r="AS621" s="1"/>
      <c r="AT621" s="17"/>
      <c r="AU621" s="1"/>
      <c r="AV621" s="1"/>
      <c r="AW621" s="1"/>
      <c r="AX621" s="2"/>
      <c r="AY621" s="2"/>
      <c r="AZ621" s="1"/>
    </row>
    <row x14ac:dyDescent="0.25" r="622" customHeight="1" ht="15">
      <c r="A622" s="1"/>
      <c r="B622" s="1"/>
      <c r="C622" s="1"/>
      <c r="D622" s="1"/>
      <c r="E622" s="1"/>
      <c r="F622" s="1"/>
      <c r="G622" s="1"/>
      <c r="H622" s="1"/>
      <c r="I622" s="1"/>
      <c r="J622" s="1"/>
      <c r="K622" s="17"/>
      <c r="L622" s="1"/>
      <c r="M622" s="1"/>
      <c r="N622" s="2"/>
      <c r="O622" s="2"/>
      <c r="P622" s="1"/>
      <c r="Q622" s="1"/>
      <c r="R622" s="1"/>
      <c r="S622" s="1"/>
      <c r="T622" s="17"/>
      <c r="U622" s="17"/>
      <c r="V622" s="17"/>
      <c r="W622" s="17"/>
      <c r="X622" s="22"/>
      <c r="Y622" s="22"/>
      <c r="Z622" s="22"/>
      <c r="AA622" s="22"/>
      <c r="AB622" s="22"/>
      <c r="AC622" s="22"/>
      <c r="AD622" s="22"/>
      <c r="AE622" s="22"/>
      <c r="AF622" s="22"/>
      <c r="AG622" s="22"/>
      <c r="AH622" s="22"/>
      <c r="AI622" s="22"/>
      <c r="AJ622" s="17"/>
      <c r="AK622" s="22"/>
      <c r="AL622" s="22"/>
      <c r="AM622" s="22"/>
      <c r="AN622" s="22"/>
      <c r="AO622" s="17"/>
      <c r="AP622" s="17"/>
      <c r="AQ622" s="17"/>
      <c r="AR622" s="1"/>
      <c r="AS622" s="1"/>
      <c r="AT622" s="17"/>
      <c r="AU622" s="1"/>
      <c r="AV622" s="1"/>
      <c r="AW622" s="1"/>
      <c r="AX622" s="2"/>
      <c r="AY622" s="2"/>
      <c r="AZ622" s="1"/>
    </row>
    <row x14ac:dyDescent="0.25" r="623" customHeight="1" ht="15">
      <c r="A623" s="1"/>
      <c r="B623" s="1"/>
      <c r="C623" s="1"/>
      <c r="D623" s="1"/>
      <c r="E623" s="1"/>
      <c r="F623" s="1"/>
      <c r="G623" s="1"/>
      <c r="H623" s="1"/>
      <c r="I623" s="1"/>
      <c r="J623" s="1"/>
      <c r="K623" s="17"/>
      <c r="L623" s="1"/>
      <c r="M623" s="1"/>
      <c r="N623" s="2"/>
      <c r="O623" s="2"/>
      <c r="P623" s="1"/>
      <c r="Q623" s="1"/>
      <c r="R623" s="1"/>
      <c r="S623" s="1"/>
      <c r="T623" s="17"/>
      <c r="U623" s="17"/>
      <c r="V623" s="17"/>
      <c r="W623" s="17"/>
      <c r="X623" s="22"/>
      <c r="Y623" s="22"/>
      <c r="Z623" s="22"/>
      <c r="AA623" s="22"/>
      <c r="AB623" s="22"/>
      <c r="AC623" s="22"/>
      <c r="AD623" s="22"/>
      <c r="AE623" s="22"/>
      <c r="AF623" s="22"/>
      <c r="AG623" s="22"/>
      <c r="AH623" s="22"/>
      <c r="AI623" s="22"/>
      <c r="AJ623" s="17"/>
      <c r="AK623" s="22"/>
      <c r="AL623" s="22"/>
      <c r="AM623" s="22"/>
      <c r="AN623" s="22"/>
      <c r="AO623" s="17"/>
      <c r="AP623" s="17"/>
      <c r="AQ623" s="17"/>
      <c r="AR623" s="1"/>
      <c r="AS623" s="1"/>
      <c r="AT623" s="17"/>
      <c r="AU623" s="1"/>
      <c r="AV623" s="1"/>
      <c r="AW623" s="1"/>
      <c r="AX623" s="2"/>
      <c r="AY623" s="2"/>
      <c r="AZ623" s="1"/>
    </row>
    <row x14ac:dyDescent="0.25" r="624" customHeight="1" ht="15">
      <c r="A624" s="1"/>
      <c r="B624" s="1"/>
      <c r="C624" s="1"/>
      <c r="D624" s="1"/>
      <c r="E624" s="1"/>
      <c r="F624" s="1"/>
      <c r="G624" s="1"/>
      <c r="H624" s="1"/>
      <c r="I624" s="1"/>
      <c r="J624" s="1"/>
      <c r="K624" s="17"/>
      <c r="L624" s="1"/>
      <c r="M624" s="1"/>
      <c r="N624" s="2"/>
      <c r="O624" s="2"/>
      <c r="P624" s="1"/>
      <c r="Q624" s="1"/>
      <c r="R624" s="1"/>
      <c r="S624" s="1"/>
      <c r="T624" s="17"/>
      <c r="U624" s="17"/>
      <c r="V624" s="17"/>
      <c r="W624" s="17"/>
      <c r="X624" s="22"/>
      <c r="Y624" s="22"/>
      <c r="Z624" s="22"/>
      <c r="AA624" s="22"/>
      <c r="AB624" s="22"/>
      <c r="AC624" s="22"/>
      <c r="AD624" s="22"/>
      <c r="AE624" s="22"/>
      <c r="AF624" s="22"/>
      <c r="AG624" s="22"/>
      <c r="AH624" s="22"/>
      <c r="AI624" s="22"/>
      <c r="AJ624" s="17"/>
      <c r="AK624" s="22"/>
      <c r="AL624" s="22"/>
      <c r="AM624" s="22"/>
      <c r="AN624" s="22"/>
      <c r="AO624" s="17"/>
      <c r="AP624" s="17"/>
      <c r="AQ624" s="17"/>
      <c r="AR624" s="1"/>
      <c r="AS624" s="1"/>
      <c r="AT624" s="17"/>
      <c r="AU624" s="1"/>
      <c r="AV624" s="1"/>
      <c r="AW624" s="1"/>
      <c r="AX624" s="2"/>
      <c r="AY624" s="2"/>
      <c r="AZ624" s="1"/>
    </row>
    <row x14ac:dyDescent="0.25" r="625" customHeight="1" ht="15">
      <c r="A625" s="1"/>
      <c r="B625" s="1"/>
      <c r="C625" s="1"/>
      <c r="D625" s="1"/>
      <c r="E625" s="1"/>
      <c r="F625" s="1"/>
      <c r="G625" s="1"/>
      <c r="H625" s="1"/>
      <c r="I625" s="1"/>
      <c r="J625" s="1"/>
      <c r="K625" s="17"/>
      <c r="L625" s="1"/>
      <c r="M625" s="1"/>
      <c r="N625" s="2"/>
      <c r="O625" s="2"/>
      <c r="P625" s="1"/>
      <c r="Q625" s="1"/>
      <c r="R625" s="1"/>
      <c r="S625" s="1"/>
      <c r="T625" s="17"/>
      <c r="U625" s="17"/>
      <c r="V625" s="17"/>
      <c r="W625" s="17"/>
      <c r="X625" s="22"/>
      <c r="Y625" s="22"/>
      <c r="Z625" s="22"/>
      <c r="AA625" s="22"/>
      <c r="AB625" s="22"/>
      <c r="AC625" s="22"/>
      <c r="AD625" s="22"/>
      <c r="AE625" s="22"/>
      <c r="AF625" s="22"/>
      <c r="AG625" s="22"/>
      <c r="AH625" s="22"/>
      <c r="AI625" s="22"/>
      <c r="AJ625" s="17"/>
      <c r="AK625" s="22"/>
      <c r="AL625" s="22"/>
      <c r="AM625" s="22"/>
      <c r="AN625" s="22"/>
      <c r="AO625" s="17"/>
      <c r="AP625" s="17"/>
      <c r="AQ625" s="17"/>
      <c r="AR625" s="1"/>
      <c r="AS625" s="1"/>
      <c r="AT625" s="17"/>
      <c r="AU625" s="1"/>
      <c r="AV625" s="1"/>
      <c r="AW625" s="1"/>
      <c r="AX625" s="2"/>
      <c r="AY625" s="2"/>
      <c r="AZ625" s="1"/>
    </row>
    <row x14ac:dyDescent="0.25" r="626" customHeight="1" ht="15">
      <c r="A626" s="1"/>
      <c r="B626" s="1"/>
      <c r="C626" s="1"/>
      <c r="D626" s="1"/>
      <c r="E626" s="1"/>
      <c r="F626" s="1"/>
      <c r="G626" s="1"/>
      <c r="H626" s="1"/>
      <c r="I626" s="1"/>
      <c r="J626" s="1"/>
      <c r="K626" s="17"/>
      <c r="L626" s="1"/>
      <c r="M626" s="1"/>
      <c r="N626" s="2"/>
      <c r="O626" s="2"/>
      <c r="P626" s="1"/>
      <c r="Q626" s="1"/>
      <c r="R626" s="1"/>
      <c r="S626" s="1"/>
      <c r="T626" s="17"/>
      <c r="U626" s="17"/>
      <c r="V626" s="17"/>
      <c r="W626" s="17"/>
      <c r="X626" s="22"/>
      <c r="Y626" s="22"/>
      <c r="Z626" s="22"/>
      <c r="AA626" s="22"/>
      <c r="AB626" s="22"/>
      <c r="AC626" s="22"/>
      <c r="AD626" s="22"/>
      <c r="AE626" s="22"/>
      <c r="AF626" s="22"/>
      <c r="AG626" s="22"/>
      <c r="AH626" s="22"/>
      <c r="AI626" s="22"/>
      <c r="AJ626" s="17"/>
      <c r="AK626" s="22"/>
      <c r="AL626" s="22"/>
      <c r="AM626" s="22"/>
      <c r="AN626" s="22"/>
      <c r="AO626" s="17"/>
      <c r="AP626" s="17"/>
      <c r="AQ626" s="17"/>
      <c r="AR626" s="1"/>
      <c r="AS626" s="1"/>
      <c r="AT626" s="17"/>
      <c r="AU626" s="1"/>
      <c r="AV626" s="1"/>
      <c r="AW626" s="1"/>
      <c r="AX626" s="2"/>
      <c r="AY626" s="2"/>
      <c r="AZ626" s="1"/>
    </row>
    <row x14ac:dyDescent="0.25" r="627" customHeight="1" ht="15">
      <c r="A627" s="1"/>
      <c r="B627" s="1"/>
      <c r="C627" s="1"/>
      <c r="D627" s="1"/>
      <c r="E627" s="1"/>
      <c r="F627" s="1"/>
      <c r="G627" s="1"/>
      <c r="H627" s="1"/>
      <c r="I627" s="1"/>
      <c r="J627" s="1"/>
      <c r="K627" s="17"/>
      <c r="L627" s="1"/>
      <c r="M627" s="1"/>
      <c r="N627" s="2"/>
      <c r="O627" s="2"/>
      <c r="P627" s="1"/>
      <c r="Q627" s="1"/>
      <c r="R627" s="1"/>
      <c r="S627" s="1"/>
      <c r="T627" s="17"/>
      <c r="U627" s="17"/>
      <c r="V627" s="17"/>
      <c r="W627" s="17"/>
      <c r="X627" s="22"/>
      <c r="Y627" s="22"/>
      <c r="Z627" s="22"/>
      <c r="AA627" s="22"/>
      <c r="AB627" s="22"/>
      <c r="AC627" s="22"/>
      <c r="AD627" s="22"/>
      <c r="AE627" s="22"/>
      <c r="AF627" s="22"/>
      <c r="AG627" s="22"/>
      <c r="AH627" s="22"/>
      <c r="AI627" s="22"/>
      <c r="AJ627" s="17"/>
      <c r="AK627" s="22"/>
      <c r="AL627" s="22"/>
      <c r="AM627" s="22"/>
      <c r="AN627" s="22"/>
      <c r="AO627" s="17"/>
      <c r="AP627" s="17"/>
      <c r="AQ627" s="17"/>
      <c r="AR627" s="1"/>
      <c r="AS627" s="1"/>
      <c r="AT627" s="17"/>
      <c r="AU627" s="1"/>
      <c r="AV627" s="1"/>
      <c r="AW627" s="1"/>
      <c r="AX627" s="2"/>
      <c r="AY627" s="2"/>
      <c r="AZ627" s="1"/>
    </row>
    <row x14ac:dyDescent="0.25" r="628" customHeight="1" ht="15">
      <c r="A628" s="1"/>
      <c r="B628" s="1"/>
      <c r="C628" s="1"/>
      <c r="D628" s="1"/>
      <c r="E628" s="1"/>
      <c r="F628" s="1"/>
      <c r="G628" s="1"/>
      <c r="H628" s="1"/>
      <c r="I628" s="1"/>
      <c r="J628" s="1"/>
      <c r="K628" s="17"/>
      <c r="L628" s="1"/>
      <c r="M628" s="1"/>
      <c r="N628" s="2"/>
      <c r="O628" s="2"/>
      <c r="P628" s="1"/>
      <c r="Q628" s="1"/>
      <c r="R628" s="1"/>
      <c r="S628" s="1"/>
      <c r="T628" s="17"/>
      <c r="U628" s="17"/>
      <c r="V628" s="17"/>
      <c r="W628" s="17"/>
      <c r="X628" s="22"/>
      <c r="Y628" s="22"/>
      <c r="Z628" s="22"/>
      <c r="AA628" s="22"/>
      <c r="AB628" s="22"/>
      <c r="AC628" s="22"/>
      <c r="AD628" s="22"/>
      <c r="AE628" s="22"/>
      <c r="AF628" s="22"/>
      <c r="AG628" s="22"/>
      <c r="AH628" s="22"/>
      <c r="AI628" s="22"/>
      <c r="AJ628" s="17"/>
      <c r="AK628" s="22"/>
      <c r="AL628" s="22"/>
      <c r="AM628" s="22"/>
      <c r="AN628" s="22"/>
      <c r="AO628" s="17"/>
      <c r="AP628" s="17"/>
      <c r="AQ628" s="17"/>
      <c r="AR628" s="1"/>
      <c r="AS628" s="1"/>
      <c r="AT628" s="17"/>
      <c r="AU628" s="1"/>
      <c r="AV628" s="1"/>
      <c r="AW628" s="1"/>
      <c r="AX628" s="2"/>
      <c r="AY628" s="2"/>
      <c r="AZ628" s="1"/>
    </row>
    <row x14ac:dyDescent="0.25" r="629" customHeight="1" ht="15">
      <c r="A629" s="1"/>
      <c r="B629" s="1"/>
      <c r="C629" s="1"/>
      <c r="D629" s="1"/>
      <c r="E629" s="1"/>
      <c r="F629" s="1"/>
      <c r="G629" s="1"/>
      <c r="H629" s="1"/>
      <c r="I629" s="1"/>
      <c r="J629" s="1"/>
      <c r="K629" s="17"/>
      <c r="L629" s="1"/>
      <c r="M629" s="1"/>
      <c r="N629" s="2"/>
      <c r="O629" s="2"/>
      <c r="P629" s="1"/>
      <c r="Q629" s="1"/>
      <c r="R629" s="1"/>
      <c r="S629" s="1"/>
      <c r="T629" s="17"/>
      <c r="U629" s="17"/>
      <c r="V629" s="17"/>
      <c r="W629" s="17"/>
      <c r="X629" s="22"/>
      <c r="Y629" s="22"/>
      <c r="Z629" s="22"/>
      <c r="AA629" s="22"/>
      <c r="AB629" s="22"/>
      <c r="AC629" s="22"/>
      <c r="AD629" s="22"/>
      <c r="AE629" s="22"/>
      <c r="AF629" s="22"/>
      <c r="AG629" s="22"/>
      <c r="AH629" s="22"/>
      <c r="AI629" s="22"/>
      <c r="AJ629" s="17"/>
      <c r="AK629" s="22"/>
      <c r="AL629" s="22"/>
      <c r="AM629" s="22"/>
      <c r="AN629" s="22"/>
      <c r="AO629" s="17"/>
      <c r="AP629" s="17"/>
      <c r="AQ629" s="17"/>
      <c r="AR629" s="1"/>
      <c r="AS629" s="1"/>
      <c r="AT629" s="17"/>
      <c r="AU629" s="1"/>
      <c r="AV629" s="1"/>
      <c r="AW629" s="1"/>
      <c r="AX629" s="2"/>
      <c r="AY629" s="2"/>
      <c r="AZ629" s="1"/>
    </row>
    <row x14ac:dyDescent="0.25" r="630" customHeight="1" ht="15">
      <c r="A630" s="1"/>
      <c r="B630" s="1"/>
      <c r="C630" s="1"/>
      <c r="D630" s="1"/>
      <c r="E630" s="1"/>
      <c r="F630" s="1"/>
      <c r="G630" s="1"/>
      <c r="H630" s="1"/>
      <c r="I630" s="1"/>
      <c r="J630" s="1"/>
      <c r="K630" s="17"/>
      <c r="L630" s="1"/>
      <c r="M630" s="1"/>
      <c r="N630" s="2"/>
      <c r="O630" s="2"/>
      <c r="P630" s="1"/>
      <c r="Q630" s="1"/>
      <c r="R630" s="1"/>
      <c r="S630" s="1"/>
      <c r="T630" s="17"/>
      <c r="U630" s="17"/>
      <c r="V630" s="17"/>
      <c r="W630" s="17"/>
      <c r="X630" s="22"/>
      <c r="Y630" s="22"/>
      <c r="Z630" s="22"/>
      <c r="AA630" s="22"/>
      <c r="AB630" s="22"/>
      <c r="AC630" s="22"/>
      <c r="AD630" s="22"/>
      <c r="AE630" s="22"/>
      <c r="AF630" s="22"/>
      <c r="AG630" s="22"/>
      <c r="AH630" s="22"/>
      <c r="AI630" s="22"/>
      <c r="AJ630" s="17"/>
      <c r="AK630" s="22"/>
      <c r="AL630" s="22"/>
      <c r="AM630" s="22"/>
      <c r="AN630" s="22"/>
      <c r="AO630" s="17"/>
      <c r="AP630" s="17"/>
      <c r="AQ630" s="17"/>
      <c r="AR630" s="1"/>
      <c r="AS630" s="1"/>
      <c r="AT630" s="17"/>
      <c r="AU630" s="1"/>
      <c r="AV630" s="1"/>
      <c r="AW630" s="1"/>
      <c r="AX630" s="2"/>
      <c r="AY630" s="2"/>
      <c r="AZ630" s="1"/>
    </row>
    <row x14ac:dyDescent="0.25" r="631" customHeight="1" ht="15">
      <c r="A631" s="1"/>
      <c r="B631" s="1"/>
      <c r="C631" s="1"/>
      <c r="D631" s="1"/>
      <c r="E631" s="1"/>
      <c r="F631" s="1"/>
      <c r="G631" s="1"/>
      <c r="H631" s="1"/>
      <c r="I631" s="1"/>
      <c r="J631" s="1"/>
      <c r="K631" s="17"/>
      <c r="L631" s="1"/>
      <c r="M631" s="1"/>
      <c r="N631" s="2"/>
      <c r="O631" s="2"/>
      <c r="P631" s="1"/>
      <c r="Q631" s="1"/>
      <c r="R631" s="1"/>
      <c r="S631" s="1"/>
      <c r="T631" s="17"/>
      <c r="U631" s="17"/>
      <c r="V631" s="17"/>
      <c r="W631" s="17"/>
      <c r="X631" s="22"/>
      <c r="Y631" s="22"/>
      <c r="Z631" s="22"/>
      <c r="AA631" s="22"/>
      <c r="AB631" s="22"/>
      <c r="AC631" s="22"/>
      <c r="AD631" s="22"/>
      <c r="AE631" s="22"/>
      <c r="AF631" s="22"/>
      <c r="AG631" s="22"/>
      <c r="AH631" s="22"/>
      <c r="AI631" s="22"/>
      <c r="AJ631" s="17"/>
      <c r="AK631" s="22"/>
      <c r="AL631" s="22"/>
      <c r="AM631" s="22"/>
      <c r="AN631" s="22"/>
      <c r="AO631" s="17"/>
      <c r="AP631" s="17"/>
      <c r="AQ631" s="17"/>
      <c r="AR631" s="1"/>
      <c r="AS631" s="1"/>
      <c r="AT631" s="17"/>
      <c r="AU631" s="1"/>
      <c r="AV631" s="1"/>
      <c r="AW631" s="1"/>
      <c r="AX631" s="2"/>
      <c r="AY631" s="2"/>
      <c r="AZ631" s="1"/>
    </row>
    <row x14ac:dyDescent="0.25" r="632" customHeight="1" ht="15">
      <c r="A632" s="1"/>
      <c r="B632" s="1"/>
      <c r="C632" s="1"/>
      <c r="D632" s="1"/>
      <c r="E632" s="1"/>
      <c r="F632" s="1"/>
      <c r="G632" s="1"/>
      <c r="H632" s="1"/>
      <c r="I632" s="1"/>
      <c r="J632" s="1"/>
      <c r="K632" s="17"/>
      <c r="L632" s="1"/>
      <c r="M632" s="1"/>
      <c r="N632" s="2"/>
      <c r="O632" s="2"/>
      <c r="P632" s="1"/>
      <c r="Q632" s="1"/>
      <c r="R632" s="1"/>
      <c r="S632" s="1"/>
      <c r="T632" s="17"/>
      <c r="U632" s="17"/>
      <c r="V632" s="17"/>
      <c r="W632" s="17"/>
      <c r="X632" s="22"/>
      <c r="Y632" s="22"/>
      <c r="Z632" s="22"/>
      <c r="AA632" s="22"/>
      <c r="AB632" s="22"/>
      <c r="AC632" s="22"/>
      <c r="AD632" s="22"/>
      <c r="AE632" s="22"/>
      <c r="AF632" s="22"/>
      <c r="AG632" s="22"/>
      <c r="AH632" s="22"/>
      <c r="AI632" s="22"/>
      <c r="AJ632" s="17"/>
      <c r="AK632" s="22"/>
      <c r="AL632" s="22"/>
      <c r="AM632" s="22"/>
      <c r="AN632" s="22"/>
      <c r="AO632" s="17"/>
      <c r="AP632" s="17"/>
      <c r="AQ632" s="17"/>
      <c r="AR632" s="1"/>
      <c r="AS632" s="1"/>
      <c r="AT632" s="17"/>
      <c r="AU632" s="1"/>
      <c r="AV632" s="1"/>
      <c r="AW632" s="1"/>
      <c r="AX632" s="2"/>
      <c r="AY632" s="2"/>
      <c r="AZ632" s="1"/>
    </row>
    <row x14ac:dyDescent="0.25" r="633" customHeight="1" ht="15">
      <c r="A633" s="1"/>
      <c r="B633" s="1"/>
      <c r="C633" s="1"/>
      <c r="D633" s="1"/>
      <c r="E633" s="1"/>
      <c r="F633" s="1"/>
      <c r="G633" s="1"/>
      <c r="H633" s="1"/>
      <c r="I633" s="1"/>
      <c r="J633" s="1"/>
      <c r="K633" s="17"/>
      <c r="L633" s="1"/>
      <c r="M633" s="1"/>
      <c r="N633" s="2"/>
      <c r="O633" s="2"/>
      <c r="P633" s="1"/>
      <c r="Q633" s="1"/>
      <c r="R633" s="1"/>
      <c r="S633" s="1"/>
      <c r="T633" s="17"/>
      <c r="U633" s="17"/>
      <c r="V633" s="17"/>
      <c r="W633" s="17"/>
      <c r="X633" s="22"/>
      <c r="Y633" s="22"/>
      <c r="Z633" s="22"/>
      <c r="AA633" s="22"/>
      <c r="AB633" s="22"/>
      <c r="AC633" s="22"/>
      <c r="AD633" s="22"/>
      <c r="AE633" s="22"/>
      <c r="AF633" s="22"/>
      <c r="AG633" s="22"/>
      <c r="AH633" s="22"/>
      <c r="AI633" s="22"/>
      <c r="AJ633" s="17"/>
      <c r="AK633" s="22"/>
      <c r="AL633" s="22"/>
      <c r="AM633" s="22"/>
      <c r="AN633" s="22"/>
      <c r="AO633" s="17"/>
      <c r="AP633" s="17"/>
      <c r="AQ633" s="17"/>
      <c r="AR633" s="1"/>
      <c r="AS633" s="1"/>
      <c r="AT633" s="17"/>
      <c r="AU633" s="1"/>
      <c r="AV633" s="1"/>
      <c r="AW633" s="1"/>
      <c r="AX633" s="2"/>
      <c r="AY633" s="2"/>
      <c r="AZ633" s="1"/>
    </row>
    <row x14ac:dyDescent="0.25" r="634" customHeight="1" ht="15">
      <c r="A634" s="1"/>
      <c r="B634" s="1"/>
      <c r="C634" s="1"/>
      <c r="D634" s="1"/>
      <c r="E634" s="1"/>
      <c r="F634" s="1"/>
      <c r="G634" s="1"/>
      <c r="H634" s="1"/>
      <c r="I634" s="1"/>
      <c r="J634" s="1"/>
      <c r="K634" s="17"/>
      <c r="L634" s="1"/>
      <c r="M634" s="1"/>
      <c r="N634" s="2"/>
      <c r="O634" s="2"/>
      <c r="P634" s="1"/>
      <c r="Q634" s="1"/>
      <c r="R634" s="1"/>
      <c r="S634" s="1"/>
      <c r="T634" s="17"/>
      <c r="U634" s="17"/>
      <c r="V634" s="17"/>
      <c r="W634" s="17"/>
      <c r="X634" s="22"/>
      <c r="Y634" s="22"/>
      <c r="Z634" s="22"/>
      <c r="AA634" s="22"/>
      <c r="AB634" s="22"/>
      <c r="AC634" s="22"/>
      <c r="AD634" s="22"/>
      <c r="AE634" s="22"/>
      <c r="AF634" s="22"/>
      <c r="AG634" s="22"/>
      <c r="AH634" s="22"/>
      <c r="AI634" s="22"/>
      <c r="AJ634" s="17"/>
      <c r="AK634" s="22"/>
      <c r="AL634" s="22"/>
      <c r="AM634" s="22"/>
      <c r="AN634" s="22"/>
      <c r="AO634" s="17"/>
      <c r="AP634" s="17"/>
      <c r="AQ634" s="17"/>
      <c r="AR634" s="1"/>
      <c r="AS634" s="1"/>
      <c r="AT634" s="17"/>
      <c r="AU634" s="1"/>
      <c r="AV634" s="1"/>
      <c r="AW634" s="1"/>
      <c r="AX634" s="2"/>
      <c r="AY634" s="2"/>
      <c r="AZ634" s="1"/>
    </row>
    <row x14ac:dyDescent="0.25" r="635" customHeight="1" ht="15">
      <c r="A635" s="1"/>
      <c r="B635" s="1"/>
      <c r="C635" s="1"/>
      <c r="D635" s="1"/>
      <c r="E635" s="1"/>
      <c r="F635" s="1"/>
      <c r="G635" s="1"/>
      <c r="H635" s="1"/>
      <c r="I635" s="1"/>
      <c r="J635" s="1"/>
      <c r="K635" s="17"/>
      <c r="L635" s="1"/>
      <c r="M635" s="1"/>
      <c r="N635" s="2"/>
      <c r="O635" s="2"/>
      <c r="P635" s="1"/>
      <c r="Q635" s="1"/>
      <c r="R635" s="1"/>
      <c r="S635" s="1"/>
      <c r="T635" s="17"/>
      <c r="U635" s="17"/>
      <c r="V635" s="17"/>
      <c r="W635" s="17"/>
      <c r="X635" s="22"/>
      <c r="Y635" s="22"/>
      <c r="Z635" s="22"/>
      <c r="AA635" s="22"/>
      <c r="AB635" s="22"/>
      <c r="AC635" s="22"/>
      <c r="AD635" s="22"/>
      <c r="AE635" s="22"/>
      <c r="AF635" s="22"/>
      <c r="AG635" s="22"/>
      <c r="AH635" s="22"/>
      <c r="AI635" s="22"/>
      <c r="AJ635" s="17"/>
      <c r="AK635" s="22"/>
      <c r="AL635" s="22"/>
      <c r="AM635" s="22"/>
      <c r="AN635" s="22"/>
      <c r="AO635" s="17"/>
      <c r="AP635" s="17"/>
      <c r="AQ635" s="17"/>
      <c r="AR635" s="1"/>
      <c r="AS635" s="1"/>
      <c r="AT635" s="17"/>
      <c r="AU635" s="1"/>
      <c r="AV635" s="1"/>
      <c r="AW635" s="1"/>
      <c r="AX635" s="2"/>
      <c r="AY635" s="2"/>
      <c r="AZ635" s="1"/>
    </row>
    <row x14ac:dyDescent="0.25" r="636" customHeight="1" ht="15">
      <c r="A636" s="1"/>
      <c r="B636" s="1"/>
      <c r="C636" s="1"/>
      <c r="D636" s="1"/>
      <c r="E636" s="1"/>
      <c r="F636" s="1"/>
      <c r="G636" s="1"/>
      <c r="H636" s="1"/>
      <c r="I636" s="1"/>
      <c r="J636" s="1"/>
      <c r="K636" s="17"/>
      <c r="L636" s="1"/>
      <c r="M636" s="1"/>
      <c r="N636" s="2"/>
      <c r="O636" s="2"/>
      <c r="P636" s="1"/>
      <c r="Q636" s="1"/>
      <c r="R636" s="1"/>
      <c r="S636" s="1"/>
      <c r="T636" s="17"/>
      <c r="U636" s="17"/>
      <c r="V636" s="17"/>
      <c r="W636" s="17"/>
      <c r="X636" s="22"/>
      <c r="Y636" s="22"/>
      <c r="Z636" s="22"/>
      <c r="AA636" s="22"/>
      <c r="AB636" s="22"/>
      <c r="AC636" s="22"/>
      <c r="AD636" s="22"/>
      <c r="AE636" s="22"/>
      <c r="AF636" s="22"/>
      <c r="AG636" s="22"/>
      <c r="AH636" s="22"/>
      <c r="AI636" s="22"/>
      <c r="AJ636" s="17"/>
      <c r="AK636" s="22"/>
      <c r="AL636" s="22"/>
      <c r="AM636" s="22"/>
      <c r="AN636" s="22"/>
      <c r="AO636" s="17"/>
      <c r="AP636" s="17"/>
      <c r="AQ636" s="17"/>
      <c r="AR636" s="1"/>
      <c r="AS636" s="1"/>
      <c r="AT636" s="17"/>
      <c r="AU636" s="1"/>
      <c r="AV636" s="1"/>
      <c r="AW636" s="1"/>
      <c r="AX636" s="2"/>
      <c r="AY636" s="2"/>
      <c r="AZ636" s="1"/>
    </row>
    <row x14ac:dyDescent="0.25" r="637" customHeight="1" ht="15">
      <c r="A637" s="1"/>
      <c r="B637" s="1"/>
      <c r="C637" s="1"/>
      <c r="D637" s="1"/>
      <c r="E637" s="1"/>
      <c r="F637" s="1"/>
      <c r="G637" s="1"/>
      <c r="H637" s="1"/>
      <c r="I637" s="1"/>
      <c r="J637" s="1"/>
      <c r="K637" s="17"/>
      <c r="L637" s="1"/>
      <c r="M637" s="1"/>
      <c r="N637" s="2"/>
      <c r="O637" s="2"/>
      <c r="P637" s="1"/>
      <c r="Q637" s="1"/>
      <c r="R637" s="1"/>
      <c r="S637" s="1"/>
      <c r="T637" s="17"/>
      <c r="U637" s="17"/>
      <c r="V637" s="17"/>
      <c r="W637" s="17"/>
      <c r="X637" s="22"/>
      <c r="Y637" s="22"/>
      <c r="Z637" s="22"/>
      <c r="AA637" s="22"/>
      <c r="AB637" s="22"/>
      <c r="AC637" s="22"/>
      <c r="AD637" s="22"/>
      <c r="AE637" s="22"/>
      <c r="AF637" s="22"/>
      <c r="AG637" s="22"/>
      <c r="AH637" s="22"/>
      <c r="AI637" s="22"/>
      <c r="AJ637" s="17"/>
      <c r="AK637" s="22"/>
      <c r="AL637" s="22"/>
      <c r="AM637" s="22"/>
      <c r="AN637" s="22"/>
      <c r="AO637" s="17"/>
      <c r="AP637" s="17"/>
      <c r="AQ637" s="17"/>
      <c r="AR637" s="1"/>
      <c r="AS637" s="1"/>
      <c r="AT637" s="17"/>
      <c r="AU637" s="1"/>
      <c r="AV637" s="1"/>
      <c r="AW637" s="1"/>
      <c r="AX637" s="2"/>
      <c r="AY637" s="2"/>
      <c r="AZ637" s="1"/>
    </row>
    <row x14ac:dyDescent="0.25" r="638" customHeight="1" ht="15">
      <c r="A638" s="1"/>
      <c r="B638" s="1"/>
      <c r="C638" s="1"/>
      <c r="D638" s="1"/>
      <c r="E638" s="1"/>
      <c r="F638" s="1"/>
      <c r="G638" s="1"/>
      <c r="H638" s="1"/>
      <c r="I638" s="1"/>
      <c r="J638" s="1"/>
      <c r="K638" s="17"/>
      <c r="L638" s="1"/>
      <c r="M638" s="1"/>
      <c r="N638" s="2"/>
      <c r="O638" s="2"/>
      <c r="P638" s="1"/>
      <c r="Q638" s="1"/>
      <c r="R638" s="1"/>
      <c r="S638" s="1"/>
      <c r="T638" s="17"/>
      <c r="U638" s="17"/>
      <c r="V638" s="17"/>
      <c r="W638" s="17"/>
      <c r="X638" s="22"/>
      <c r="Y638" s="22"/>
      <c r="Z638" s="22"/>
      <c r="AA638" s="22"/>
      <c r="AB638" s="22"/>
      <c r="AC638" s="22"/>
      <c r="AD638" s="22"/>
      <c r="AE638" s="22"/>
      <c r="AF638" s="22"/>
      <c r="AG638" s="22"/>
      <c r="AH638" s="22"/>
      <c r="AI638" s="22"/>
      <c r="AJ638" s="17"/>
      <c r="AK638" s="22"/>
      <c r="AL638" s="22"/>
      <c r="AM638" s="22"/>
      <c r="AN638" s="22"/>
      <c r="AO638" s="17"/>
      <c r="AP638" s="17"/>
      <c r="AQ638" s="17"/>
      <c r="AR638" s="1"/>
      <c r="AS638" s="1"/>
      <c r="AT638" s="17"/>
      <c r="AU638" s="1"/>
      <c r="AV638" s="1"/>
      <c r="AW638" s="1"/>
      <c r="AX638" s="2"/>
      <c r="AY638" s="2"/>
      <c r="AZ638" s="1"/>
    </row>
    <row x14ac:dyDescent="0.25" r="639" customHeight="1" ht="15">
      <c r="A639" s="1"/>
      <c r="B639" s="1"/>
      <c r="C639" s="1"/>
      <c r="D639" s="1"/>
      <c r="E639" s="1"/>
      <c r="F639" s="1"/>
      <c r="G639" s="1"/>
      <c r="H639" s="1"/>
      <c r="I639" s="1"/>
      <c r="J639" s="1"/>
      <c r="K639" s="17"/>
      <c r="L639" s="1"/>
      <c r="M639" s="1"/>
      <c r="N639" s="2"/>
      <c r="O639" s="2"/>
      <c r="P639" s="1"/>
      <c r="Q639" s="1"/>
      <c r="R639" s="1"/>
      <c r="S639" s="1"/>
      <c r="T639" s="17"/>
      <c r="U639" s="17"/>
      <c r="V639" s="17"/>
      <c r="W639" s="17"/>
      <c r="X639" s="22"/>
      <c r="Y639" s="22"/>
      <c r="Z639" s="22"/>
      <c r="AA639" s="22"/>
      <c r="AB639" s="22"/>
      <c r="AC639" s="22"/>
      <c r="AD639" s="22"/>
      <c r="AE639" s="22"/>
      <c r="AF639" s="22"/>
      <c r="AG639" s="22"/>
      <c r="AH639" s="22"/>
      <c r="AI639" s="22"/>
      <c r="AJ639" s="17"/>
      <c r="AK639" s="22"/>
      <c r="AL639" s="22"/>
      <c r="AM639" s="22"/>
      <c r="AN639" s="22"/>
      <c r="AO639" s="17"/>
      <c r="AP639" s="17"/>
      <c r="AQ639" s="17"/>
      <c r="AR639" s="1"/>
      <c r="AS639" s="1"/>
      <c r="AT639" s="17"/>
      <c r="AU639" s="1"/>
      <c r="AV639" s="1"/>
      <c r="AW639" s="1"/>
      <c r="AX639" s="2"/>
      <c r="AY639" s="2"/>
      <c r="AZ639" s="1"/>
    </row>
    <row x14ac:dyDescent="0.25" r="640" customHeight="1" ht="15">
      <c r="A640" s="1"/>
      <c r="B640" s="1"/>
      <c r="C640" s="1"/>
      <c r="D640" s="1"/>
      <c r="E640" s="1"/>
      <c r="F640" s="1"/>
      <c r="G640" s="1"/>
      <c r="H640" s="1"/>
      <c r="I640" s="1"/>
      <c r="J640" s="1"/>
      <c r="K640" s="17"/>
      <c r="L640" s="1"/>
      <c r="M640" s="1"/>
      <c r="N640" s="2"/>
      <c r="O640" s="2"/>
      <c r="P640" s="1"/>
      <c r="Q640" s="1"/>
      <c r="R640" s="1"/>
      <c r="S640" s="1"/>
      <c r="T640" s="17"/>
      <c r="U640" s="17"/>
      <c r="V640" s="17"/>
      <c r="W640" s="17"/>
      <c r="X640" s="22"/>
      <c r="Y640" s="22"/>
      <c r="Z640" s="22"/>
      <c r="AA640" s="22"/>
      <c r="AB640" s="22"/>
      <c r="AC640" s="22"/>
      <c r="AD640" s="22"/>
      <c r="AE640" s="22"/>
      <c r="AF640" s="22"/>
      <c r="AG640" s="22"/>
      <c r="AH640" s="22"/>
      <c r="AI640" s="22"/>
      <c r="AJ640" s="17"/>
      <c r="AK640" s="22"/>
      <c r="AL640" s="22"/>
      <c r="AM640" s="22"/>
      <c r="AN640" s="22"/>
      <c r="AO640" s="17"/>
      <c r="AP640" s="17"/>
      <c r="AQ640" s="17"/>
      <c r="AR640" s="1"/>
      <c r="AS640" s="1"/>
      <c r="AT640" s="17"/>
      <c r="AU640" s="1"/>
      <c r="AV640" s="1"/>
      <c r="AW640" s="1"/>
      <c r="AX640" s="2"/>
      <c r="AY640" s="2"/>
      <c r="AZ640" s="1"/>
    </row>
    <row x14ac:dyDescent="0.25" r="641" customHeight="1" ht="15">
      <c r="A641" s="1"/>
      <c r="B641" s="1"/>
      <c r="C641" s="1"/>
      <c r="D641" s="1"/>
      <c r="E641" s="1"/>
      <c r="F641" s="1"/>
      <c r="G641" s="1"/>
      <c r="H641" s="1"/>
      <c r="I641" s="1"/>
      <c r="J641" s="1"/>
      <c r="K641" s="17"/>
      <c r="L641" s="1"/>
      <c r="M641" s="1"/>
      <c r="N641" s="2"/>
      <c r="O641" s="2"/>
      <c r="P641" s="1"/>
      <c r="Q641" s="1"/>
      <c r="R641" s="1"/>
      <c r="S641" s="1"/>
      <c r="T641" s="17"/>
      <c r="U641" s="17"/>
      <c r="V641" s="17"/>
      <c r="W641" s="17"/>
      <c r="X641" s="22"/>
      <c r="Y641" s="22"/>
      <c r="Z641" s="22"/>
      <c r="AA641" s="22"/>
      <c r="AB641" s="22"/>
      <c r="AC641" s="22"/>
      <c r="AD641" s="22"/>
      <c r="AE641" s="22"/>
      <c r="AF641" s="22"/>
      <c r="AG641" s="22"/>
      <c r="AH641" s="22"/>
      <c r="AI641" s="22"/>
      <c r="AJ641" s="17"/>
      <c r="AK641" s="22"/>
      <c r="AL641" s="22"/>
      <c r="AM641" s="22"/>
      <c r="AN641" s="22"/>
      <c r="AO641" s="17"/>
      <c r="AP641" s="17"/>
      <c r="AQ641" s="17"/>
      <c r="AR641" s="1"/>
      <c r="AS641" s="1"/>
      <c r="AT641" s="17"/>
      <c r="AU641" s="1"/>
      <c r="AV641" s="1"/>
      <c r="AW641" s="1"/>
      <c r="AX641" s="2"/>
      <c r="AY641" s="2"/>
      <c r="AZ641" s="1"/>
    </row>
    <row x14ac:dyDescent="0.25" r="642" customHeight="1" ht="15">
      <c r="A642" s="1"/>
      <c r="B642" s="1"/>
      <c r="C642" s="1"/>
      <c r="D642" s="1"/>
      <c r="E642" s="1"/>
      <c r="F642" s="1"/>
      <c r="G642" s="1"/>
      <c r="H642" s="1"/>
      <c r="I642" s="1"/>
      <c r="J642" s="1"/>
      <c r="K642" s="17"/>
      <c r="L642" s="1"/>
      <c r="M642" s="1"/>
      <c r="N642" s="2"/>
      <c r="O642" s="2"/>
      <c r="P642" s="1"/>
      <c r="Q642" s="1"/>
      <c r="R642" s="1"/>
      <c r="S642" s="1"/>
      <c r="T642" s="17"/>
      <c r="U642" s="17"/>
      <c r="V642" s="17"/>
      <c r="W642" s="17"/>
      <c r="X642" s="22"/>
      <c r="Y642" s="22"/>
      <c r="Z642" s="22"/>
      <c r="AA642" s="22"/>
      <c r="AB642" s="22"/>
      <c r="AC642" s="22"/>
      <c r="AD642" s="22"/>
      <c r="AE642" s="22"/>
      <c r="AF642" s="22"/>
      <c r="AG642" s="22"/>
      <c r="AH642" s="22"/>
      <c r="AI642" s="22"/>
      <c r="AJ642" s="17"/>
      <c r="AK642" s="22"/>
      <c r="AL642" s="22"/>
      <c r="AM642" s="22"/>
      <c r="AN642" s="22"/>
      <c r="AO642" s="17"/>
      <c r="AP642" s="17"/>
      <c r="AQ642" s="17"/>
      <c r="AR642" s="1"/>
      <c r="AS642" s="1"/>
      <c r="AT642" s="17"/>
      <c r="AU642" s="1"/>
      <c r="AV642" s="1"/>
      <c r="AW642" s="1"/>
      <c r="AX642" s="2"/>
      <c r="AY642" s="2"/>
      <c r="AZ642" s="1"/>
    </row>
    <row x14ac:dyDescent="0.25" r="643" customHeight="1" ht="15">
      <c r="A643" s="1"/>
      <c r="B643" s="1"/>
      <c r="C643" s="1"/>
      <c r="D643" s="1"/>
      <c r="E643" s="1"/>
      <c r="F643" s="1"/>
      <c r="G643" s="1"/>
      <c r="H643" s="1"/>
      <c r="I643" s="1"/>
      <c r="J643" s="1"/>
      <c r="K643" s="17"/>
      <c r="L643" s="1"/>
      <c r="M643" s="1"/>
      <c r="N643" s="2"/>
      <c r="O643" s="2"/>
      <c r="P643" s="1"/>
      <c r="Q643" s="1"/>
      <c r="R643" s="1"/>
      <c r="S643" s="1"/>
      <c r="T643" s="17"/>
      <c r="U643" s="17"/>
      <c r="V643" s="17"/>
      <c r="W643" s="17"/>
      <c r="X643" s="22"/>
      <c r="Y643" s="22"/>
      <c r="Z643" s="22"/>
      <c r="AA643" s="22"/>
      <c r="AB643" s="22"/>
      <c r="AC643" s="22"/>
      <c r="AD643" s="22"/>
      <c r="AE643" s="22"/>
      <c r="AF643" s="22"/>
      <c r="AG643" s="22"/>
      <c r="AH643" s="22"/>
      <c r="AI643" s="22"/>
      <c r="AJ643" s="17"/>
      <c r="AK643" s="22"/>
      <c r="AL643" s="22"/>
      <c r="AM643" s="22"/>
      <c r="AN643" s="22"/>
      <c r="AO643" s="17"/>
      <c r="AP643" s="17"/>
      <c r="AQ643" s="17"/>
      <c r="AR643" s="1"/>
      <c r="AS643" s="1"/>
      <c r="AT643" s="17"/>
      <c r="AU643" s="1"/>
      <c r="AV643" s="1"/>
      <c r="AW643" s="1"/>
      <c r="AX643" s="2"/>
      <c r="AY643" s="2"/>
      <c r="AZ643" s="1"/>
    </row>
    <row x14ac:dyDescent="0.25" r="644" customHeight="1" ht="15">
      <c r="A644" s="1"/>
      <c r="B644" s="1"/>
      <c r="C644" s="1"/>
      <c r="D644" s="1"/>
      <c r="E644" s="1"/>
      <c r="F644" s="1"/>
      <c r="G644" s="1"/>
      <c r="H644" s="1"/>
      <c r="I644" s="1"/>
      <c r="J644" s="1"/>
      <c r="K644" s="17"/>
      <c r="L644" s="1"/>
      <c r="M644" s="1"/>
      <c r="N644" s="2"/>
      <c r="O644" s="2"/>
      <c r="P644" s="1"/>
      <c r="Q644" s="1"/>
      <c r="R644" s="1"/>
      <c r="S644" s="1"/>
      <c r="T644" s="17"/>
      <c r="U644" s="17"/>
      <c r="V644" s="17"/>
      <c r="W644" s="17"/>
      <c r="X644" s="22"/>
      <c r="Y644" s="22"/>
      <c r="Z644" s="22"/>
      <c r="AA644" s="22"/>
      <c r="AB644" s="22"/>
      <c r="AC644" s="22"/>
      <c r="AD644" s="22"/>
      <c r="AE644" s="22"/>
      <c r="AF644" s="22"/>
      <c r="AG644" s="22"/>
      <c r="AH644" s="22"/>
      <c r="AI644" s="22"/>
      <c r="AJ644" s="17"/>
      <c r="AK644" s="22"/>
      <c r="AL644" s="22"/>
      <c r="AM644" s="22"/>
      <c r="AN644" s="22"/>
      <c r="AO644" s="17"/>
      <c r="AP644" s="17"/>
      <c r="AQ644" s="17"/>
      <c r="AR644" s="1"/>
      <c r="AS644" s="1"/>
      <c r="AT644" s="17"/>
      <c r="AU644" s="1"/>
      <c r="AV644" s="1"/>
      <c r="AW644" s="1"/>
      <c r="AX644" s="2"/>
      <c r="AY644" s="2"/>
      <c r="AZ644" s="1"/>
    </row>
    <row x14ac:dyDescent="0.25" r="645" customHeight="1" ht="15">
      <c r="A645" s="1"/>
      <c r="B645" s="1"/>
      <c r="C645" s="1"/>
      <c r="D645" s="1"/>
      <c r="E645" s="1"/>
      <c r="F645" s="1"/>
      <c r="G645" s="1"/>
      <c r="H645" s="1"/>
      <c r="I645" s="1"/>
      <c r="J645" s="1"/>
      <c r="K645" s="17"/>
      <c r="L645" s="1"/>
      <c r="M645" s="1"/>
      <c r="N645" s="2"/>
      <c r="O645" s="2"/>
      <c r="P645" s="1"/>
      <c r="Q645" s="1"/>
      <c r="R645" s="1"/>
      <c r="S645" s="1"/>
      <c r="T645" s="17"/>
      <c r="U645" s="17"/>
      <c r="V645" s="17"/>
      <c r="W645" s="17"/>
      <c r="X645" s="22"/>
      <c r="Y645" s="22"/>
      <c r="Z645" s="22"/>
      <c r="AA645" s="22"/>
      <c r="AB645" s="22"/>
      <c r="AC645" s="22"/>
      <c r="AD645" s="22"/>
      <c r="AE645" s="22"/>
      <c r="AF645" s="22"/>
      <c r="AG645" s="22"/>
      <c r="AH645" s="22"/>
      <c r="AI645" s="22"/>
      <c r="AJ645" s="17"/>
      <c r="AK645" s="22"/>
      <c r="AL645" s="22"/>
      <c r="AM645" s="22"/>
      <c r="AN645" s="22"/>
      <c r="AO645" s="17"/>
      <c r="AP645" s="17"/>
      <c r="AQ645" s="17"/>
      <c r="AR645" s="1"/>
      <c r="AS645" s="1"/>
      <c r="AT645" s="17"/>
      <c r="AU645" s="1"/>
      <c r="AV645" s="1"/>
      <c r="AW645" s="1"/>
      <c r="AX645" s="2"/>
      <c r="AY645" s="2"/>
      <c r="AZ645" s="1"/>
    </row>
    <row x14ac:dyDescent="0.25" r="646" customHeight="1" ht="15">
      <c r="A646" s="1"/>
      <c r="B646" s="1"/>
      <c r="C646" s="1"/>
      <c r="D646" s="1"/>
      <c r="E646" s="1"/>
      <c r="F646" s="1"/>
      <c r="G646" s="1"/>
      <c r="H646" s="1"/>
      <c r="I646" s="1"/>
      <c r="J646" s="1"/>
      <c r="K646" s="17"/>
      <c r="L646" s="1"/>
      <c r="M646" s="1"/>
      <c r="N646" s="2"/>
      <c r="O646" s="2"/>
      <c r="P646" s="1"/>
      <c r="Q646" s="1"/>
      <c r="R646" s="1"/>
      <c r="S646" s="1"/>
      <c r="T646" s="17"/>
      <c r="U646" s="17"/>
      <c r="V646" s="17"/>
      <c r="W646" s="17"/>
      <c r="X646" s="22"/>
      <c r="Y646" s="22"/>
      <c r="Z646" s="22"/>
      <c r="AA646" s="22"/>
      <c r="AB646" s="22"/>
      <c r="AC646" s="22"/>
      <c r="AD646" s="22"/>
      <c r="AE646" s="22"/>
      <c r="AF646" s="22"/>
      <c r="AG646" s="22"/>
      <c r="AH646" s="22"/>
      <c r="AI646" s="22"/>
      <c r="AJ646" s="17"/>
      <c r="AK646" s="22"/>
      <c r="AL646" s="22"/>
      <c r="AM646" s="22"/>
      <c r="AN646" s="22"/>
      <c r="AO646" s="17"/>
      <c r="AP646" s="17"/>
      <c r="AQ646" s="17"/>
      <c r="AR646" s="1"/>
      <c r="AS646" s="1"/>
      <c r="AT646" s="17"/>
      <c r="AU646" s="1"/>
      <c r="AV646" s="1"/>
      <c r="AW646" s="1"/>
      <c r="AX646" s="2"/>
      <c r="AY646" s="2"/>
      <c r="AZ646" s="1"/>
    </row>
    <row x14ac:dyDescent="0.25" r="647" customHeight="1" ht="15">
      <c r="A647" s="1"/>
      <c r="B647" s="1"/>
      <c r="C647" s="1"/>
      <c r="D647" s="1"/>
      <c r="E647" s="1"/>
      <c r="F647" s="1"/>
      <c r="G647" s="1"/>
      <c r="H647" s="1"/>
      <c r="I647" s="1"/>
      <c r="J647" s="1"/>
      <c r="K647" s="17"/>
      <c r="L647" s="1"/>
      <c r="M647" s="1"/>
      <c r="N647" s="2"/>
      <c r="O647" s="2"/>
      <c r="P647" s="1"/>
      <c r="Q647" s="1"/>
      <c r="R647" s="1"/>
      <c r="S647" s="1"/>
      <c r="T647" s="17"/>
      <c r="U647" s="17"/>
      <c r="V647" s="17"/>
      <c r="W647" s="17"/>
      <c r="X647" s="22"/>
      <c r="Y647" s="22"/>
      <c r="Z647" s="22"/>
      <c r="AA647" s="22"/>
      <c r="AB647" s="22"/>
      <c r="AC647" s="22"/>
      <c r="AD647" s="22"/>
      <c r="AE647" s="22"/>
      <c r="AF647" s="22"/>
      <c r="AG647" s="22"/>
      <c r="AH647" s="22"/>
      <c r="AI647" s="22"/>
      <c r="AJ647" s="17"/>
      <c r="AK647" s="22"/>
      <c r="AL647" s="22"/>
      <c r="AM647" s="22"/>
      <c r="AN647" s="22"/>
      <c r="AO647" s="17"/>
      <c r="AP647" s="17"/>
      <c r="AQ647" s="17"/>
      <c r="AR647" s="1"/>
      <c r="AS647" s="1"/>
      <c r="AT647" s="17"/>
      <c r="AU647" s="1"/>
      <c r="AV647" s="1"/>
      <c r="AW647" s="1"/>
      <c r="AX647" s="2"/>
      <c r="AY647" s="2"/>
      <c r="AZ647" s="1"/>
    </row>
    <row x14ac:dyDescent="0.25" r="648" customHeight="1" ht="15">
      <c r="A648" s="1"/>
      <c r="B648" s="1"/>
      <c r="C648" s="1"/>
      <c r="D648" s="1"/>
      <c r="E648" s="1"/>
      <c r="F648" s="1"/>
      <c r="G648" s="1"/>
      <c r="H648" s="1"/>
      <c r="I648" s="1"/>
      <c r="J648" s="1"/>
      <c r="K648" s="17"/>
      <c r="L648" s="1"/>
      <c r="M648" s="1"/>
      <c r="N648" s="2"/>
      <c r="O648" s="2"/>
      <c r="P648" s="1"/>
      <c r="Q648" s="1"/>
      <c r="R648" s="1"/>
      <c r="S648" s="1"/>
      <c r="T648" s="17"/>
      <c r="U648" s="17"/>
      <c r="V648" s="17"/>
      <c r="W648" s="17"/>
      <c r="X648" s="22"/>
      <c r="Y648" s="22"/>
      <c r="Z648" s="22"/>
      <c r="AA648" s="22"/>
      <c r="AB648" s="22"/>
      <c r="AC648" s="22"/>
      <c r="AD648" s="22"/>
      <c r="AE648" s="22"/>
      <c r="AF648" s="22"/>
      <c r="AG648" s="22"/>
      <c r="AH648" s="22"/>
      <c r="AI648" s="22"/>
      <c r="AJ648" s="17"/>
      <c r="AK648" s="22"/>
      <c r="AL648" s="22"/>
      <c r="AM648" s="22"/>
      <c r="AN648" s="22"/>
      <c r="AO648" s="17"/>
      <c r="AP648" s="17"/>
      <c r="AQ648" s="17"/>
      <c r="AR648" s="1"/>
      <c r="AS648" s="1"/>
      <c r="AT648" s="17"/>
      <c r="AU648" s="1"/>
      <c r="AV648" s="1"/>
      <c r="AW648" s="1"/>
      <c r="AX648" s="2"/>
      <c r="AY648" s="2"/>
      <c r="AZ648" s="1"/>
    </row>
    <row x14ac:dyDescent="0.25" r="649" customHeight="1" ht="15">
      <c r="A649" s="1"/>
      <c r="B649" s="1"/>
      <c r="C649" s="1"/>
      <c r="D649" s="1"/>
      <c r="E649" s="1"/>
      <c r="F649" s="1"/>
      <c r="G649" s="1"/>
      <c r="H649" s="1"/>
      <c r="I649" s="1"/>
      <c r="J649" s="1"/>
      <c r="K649" s="17"/>
      <c r="L649" s="1"/>
      <c r="M649" s="1"/>
      <c r="N649" s="2"/>
      <c r="O649" s="2"/>
      <c r="P649" s="1"/>
      <c r="Q649" s="1"/>
      <c r="R649" s="1"/>
      <c r="S649" s="1"/>
      <c r="T649" s="17"/>
      <c r="U649" s="17"/>
      <c r="V649" s="17"/>
      <c r="W649" s="17"/>
      <c r="X649" s="22"/>
      <c r="Y649" s="22"/>
      <c r="Z649" s="22"/>
      <c r="AA649" s="22"/>
      <c r="AB649" s="22"/>
      <c r="AC649" s="22"/>
      <c r="AD649" s="22"/>
      <c r="AE649" s="22"/>
      <c r="AF649" s="22"/>
      <c r="AG649" s="22"/>
      <c r="AH649" s="22"/>
      <c r="AI649" s="22"/>
      <c r="AJ649" s="17"/>
      <c r="AK649" s="22"/>
      <c r="AL649" s="22"/>
      <c r="AM649" s="22"/>
      <c r="AN649" s="22"/>
      <c r="AO649" s="17"/>
      <c r="AP649" s="17"/>
      <c r="AQ649" s="17"/>
      <c r="AR649" s="1"/>
      <c r="AS649" s="1"/>
      <c r="AT649" s="17"/>
      <c r="AU649" s="1"/>
      <c r="AV649" s="1"/>
      <c r="AW649" s="1"/>
      <c r="AX649" s="2"/>
      <c r="AY649" s="2"/>
      <c r="AZ649" s="1"/>
    </row>
    <row x14ac:dyDescent="0.25" r="650" customHeight="1" ht="15">
      <c r="A650" s="1"/>
      <c r="B650" s="1"/>
      <c r="C650" s="1"/>
      <c r="D650" s="1"/>
      <c r="E650" s="1"/>
      <c r="F650" s="1"/>
      <c r="G650" s="1"/>
      <c r="H650" s="1"/>
      <c r="I650" s="1"/>
      <c r="J650" s="1"/>
      <c r="K650" s="17"/>
      <c r="L650" s="1"/>
      <c r="M650" s="1"/>
      <c r="N650" s="2"/>
      <c r="O650" s="2"/>
      <c r="P650" s="1"/>
      <c r="Q650" s="1"/>
      <c r="R650" s="1"/>
      <c r="S650" s="1"/>
      <c r="T650" s="17"/>
      <c r="U650" s="17"/>
      <c r="V650" s="17"/>
      <c r="W650" s="17"/>
      <c r="X650" s="22"/>
      <c r="Y650" s="22"/>
      <c r="Z650" s="22"/>
      <c r="AA650" s="22"/>
      <c r="AB650" s="22"/>
      <c r="AC650" s="22"/>
      <c r="AD650" s="22"/>
      <c r="AE650" s="22"/>
      <c r="AF650" s="22"/>
      <c r="AG650" s="22"/>
      <c r="AH650" s="22"/>
      <c r="AI650" s="22"/>
      <c r="AJ650" s="17"/>
      <c r="AK650" s="22"/>
      <c r="AL650" s="22"/>
      <c r="AM650" s="22"/>
      <c r="AN650" s="22"/>
      <c r="AO650" s="17"/>
      <c r="AP650" s="17"/>
      <c r="AQ650" s="17"/>
      <c r="AR650" s="1"/>
      <c r="AS650" s="1"/>
      <c r="AT650" s="17"/>
      <c r="AU650" s="1"/>
      <c r="AV650" s="1"/>
      <c r="AW650" s="1"/>
      <c r="AX650" s="2"/>
      <c r="AY650" s="2"/>
      <c r="AZ650" s="1"/>
    </row>
    <row x14ac:dyDescent="0.25" r="651" customHeight="1" ht="15">
      <c r="A651" s="1"/>
      <c r="B651" s="1"/>
      <c r="C651" s="1"/>
      <c r="D651" s="1"/>
      <c r="E651" s="1"/>
      <c r="F651" s="1"/>
      <c r="G651" s="1"/>
      <c r="H651" s="1"/>
      <c r="I651" s="1"/>
      <c r="J651" s="1"/>
      <c r="K651" s="17"/>
      <c r="L651" s="1"/>
      <c r="M651" s="1"/>
      <c r="N651" s="2"/>
      <c r="O651" s="2"/>
      <c r="P651" s="1"/>
      <c r="Q651" s="1"/>
      <c r="R651" s="1"/>
      <c r="S651" s="1"/>
      <c r="T651" s="17"/>
      <c r="U651" s="17"/>
      <c r="V651" s="17"/>
      <c r="W651" s="17"/>
      <c r="X651" s="22"/>
      <c r="Y651" s="22"/>
      <c r="Z651" s="22"/>
      <c r="AA651" s="22"/>
      <c r="AB651" s="22"/>
      <c r="AC651" s="22"/>
      <c r="AD651" s="22"/>
      <c r="AE651" s="22"/>
      <c r="AF651" s="22"/>
      <c r="AG651" s="22"/>
      <c r="AH651" s="22"/>
      <c r="AI651" s="22"/>
      <c r="AJ651" s="17"/>
      <c r="AK651" s="22"/>
      <c r="AL651" s="22"/>
      <c r="AM651" s="22"/>
      <c r="AN651" s="22"/>
      <c r="AO651" s="17"/>
      <c r="AP651" s="17"/>
      <c r="AQ651" s="17"/>
      <c r="AR651" s="1"/>
      <c r="AS651" s="1"/>
      <c r="AT651" s="17"/>
      <c r="AU651" s="1"/>
      <c r="AV651" s="1"/>
      <c r="AW651" s="1"/>
      <c r="AX651" s="2"/>
      <c r="AY651" s="2"/>
      <c r="AZ651" s="1"/>
    </row>
    <row x14ac:dyDescent="0.25" r="652" customHeight="1" ht="15">
      <c r="A652" s="1"/>
      <c r="B652" s="1"/>
      <c r="C652" s="1"/>
      <c r="D652" s="1"/>
      <c r="E652" s="1"/>
      <c r="F652" s="1"/>
      <c r="G652" s="1"/>
      <c r="H652" s="1"/>
      <c r="I652" s="1"/>
      <c r="J652" s="1"/>
      <c r="K652" s="17"/>
      <c r="L652" s="1"/>
      <c r="M652" s="1"/>
      <c r="N652" s="2"/>
      <c r="O652" s="2"/>
      <c r="P652" s="1"/>
      <c r="Q652" s="1"/>
      <c r="R652" s="1"/>
      <c r="S652" s="1"/>
      <c r="T652" s="17"/>
      <c r="U652" s="17"/>
      <c r="V652" s="17"/>
      <c r="W652" s="17"/>
      <c r="X652" s="22"/>
      <c r="Y652" s="22"/>
      <c r="Z652" s="22"/>
      <c r="AA652" s="22"/>
      <c r="AB652" s="22"/>
      <c r="AC652" s="22"/>
      <c r="AD652" s="22"/>
      <c r="AE652" s="22"/>
      <c r="AF652" s="22"/>
      <c r="AG652" s="22"/>
      <c r="AH652" s="22"/>
      <c r="AI652" s="22"/>
      <c r="AJ652" s="17"/>
      <c r="AK652" s="22"/>
      <c r="AL652" s="22"/>
      <c r="AM652" s="22"/>
      <c r="AN652" s="22"/>
      <c r="AO652" s="17"/>
      <c r="AP652" s="17"/>
      <c r="AQ652" s="17"/>
      <c r="AR652" s="1"/>
      <c r="AS652" s="1"/>
      <c r="AT652" s="17"/>
      <c r="AU652" s="1"/>
      <c r="AV652" s="1"/>
      <c r="AW652" s="1"/>
      <c r="AX652" s="2"/>
      <c r="AY652" s="2"/>
      <c r="AZ652" s="1"/>
    </row>
    <row x14ac:dyDescent="0.25" r="653" customHeight="1" ht="15">
      <c r="A653" s="1"/>
      <c r="B653" s="1"/>
      <c r="C653" s="1"/>
      <c r="D653" s="1"/>
      <c r="E653" s="1"/>
      <c r="F653" s="1"/>
      <c r="G653" s="1"/>
      <c r="H653" s="1"/>
      <c r="I653" s="1"/>
      <c r="J653" s="1"/>
      <c r="K653" s="17"/>
      <c r="L653" s="1"/>
      <c r="M653" s="1"/>
      <c r="N653" s="2"/>
      <c r="O653" s="2"/>
      <c r="P653" s="1"/>
      <c r="Q653" s="1"/>
      <c r="R653" s="1"/>
      <c r="S653" s="1"/>
      <c r="T653" s="17"/>
      <c r="U653" s="17"/>
      <c r="V653" s="17"/>
      <c r="W653" s="17"/>
      <c r="X653" s="22"/>
      <c r="Y653" s="22"/>
      <c r="Z653" s="22"/>
      <c r="AA653" s="22"/>
      <c r="AB653" s="22"/>
      <c r="AC653" s="22"/>
      <c r="AD653" s="22"/>
      <c r="AE653" s="22"/>
      <c r="AF653" s="22"/>
      <c r="AG653" s="22"/>
      <c r="AH653" s="22"/>
      <c r="AI653" s="22"/>
      <c r="AJ653" s="17"/>
      <c r="AK653" s="22"/>
      <c r="AL653" s="22"/>
      <c r="AM653" s="22"/>
      <c r="AN653" s="22"/>
      <c r="AO653" s="17"/>
      <c r="AP653" s="17"/>
      <c r="AQ653" s="17"/>
      <c r="AR653" s="1"/>
      <c r="AS653" s="1"/>
      <c r="AT653" s="17"/>
      <c r="AU653" s="1"/>
      <c r="AV653" s="1"/>
      <c r="AW653" s="1"/>
      <c r="AX653" s="2"/>
      <c r="AY653" s="2"/>
      <c r="AZ653" s="1"/>
    </row>
    <row x14ac:dyDescent="0.25" r="654" customHeight="1" ht="15">
      <c r="A654" s="1"/>
      <c r="B654" s="1"/>
      <c r="C654" s="1"/>
      <c r="D654" s="1"/>
      <c r="E654" s="1"/>
      <c r="F654" s="1"/>
      <c r="G654" s="1"/>
      <c r="H654" s="1"/>
      <c r="I654" s="1"/>
      <c r="J654" s="1"/>
      <c r="K654" s="17"/>
      <c r="L654" s="1"/>
      <c r="M654" s="1"/>
      <c r="N654" s="2"/>
      <c r="O654" s="2"/>
      <c r="P654" s="1"/>
      <c r="Q654" s="1"/>
      <c r="R654" s="1"/>
      <c r="S654" s="1"/>
      <c r="T654" s="17"/>
      <c r="U654" s="17"/>
      <c r="V654" s="17"/>
      <c r="W654" s="17"/>
      <c r="X654" s="22"/>
      <c r="Y654" s="22"/>
      <c r="Z654" s="22"/>
      <c r="AA654" s="22"/>
      <c r="AB654" s="22"/>
      <c r="AC654" s="22"/>
      <c r="AD654" s="22"/>
      <c r="AE654" s="22"/>
      <c r="AF654" s="22"/>
      <c r="AG654" s="22"/>
      <c r="AH654" s="22"/>
      <c r="AI654" s="22"/>
      <c r="AJ654" s="17"/>
      <c r="AK654" s="22"/>
      <c r="AL654" s="22"/>
      <c r="AM654" s="22"/>
      <c r="AN654" s="22"/>
      <c r="AO654" s="17"/>
      <c r="AP654" s="17"/>
      <c r="AQ654" s="17"/>
      <c r="AR654" s="1"/>
      <c r="AS654" s="1"/>
      <c r="AT654" s="17"/>
      <c r="AU654" s="1"/>
      <c r="AV654" s="1"/>
      <c r="AW654" s="1"/>
      <c r="AX654" s="2"/>
      <c r="AY654" s="2"/>
      <c r="AZ654" s="1"/>
    </row>
    <row x14ac:dyDescent="0.25" r="655" customHeight="1" ht="15">
      <c r="A655" s="1"/>
      <c r="B655" s="1"/>
      <c r="C655" s="1"/>
      <c r="D655" s="1"/>
      <c r="E655" s="1"/>
      <c r="F655" s="1"/>
      <c r="G655" s="1"/>
      <c r="H655" s="1"/>
      <c r="I655" s="1"/>
      <c r="J655" s="1"/>
      <c r="K655" s="17"/>
      <c r="L655" s="1"/>
      <c r="M655" s="1"/>
      <c r="N655" s="2"/>
      <c r="O655" s="2"/>
      <c r="P655" s="1"/>
      <c r="Q655" s="1"/>
      <c r="R655" s="1"/>
      <c r="S655" s="1"/>
      <c r="T655" s="17"/>
      <c r="U655" s="17"/>
      <c r="V655" s="17"/>
      <c r="W655" s="17"/>
      <c r="X655" s="22"/>
      <c r="Y655" s="22"/>
      <c r="Z655" s="22"/>
      <c r="AA655" s="22"/>
      <c r="AB655" s="22"/>
      <c r="AC655" s="22"/>
      <c r="AD655" s="22"/>
      <c r="AE655" s="22"/>
      <c r="AF655" s="22"/>
      <c r="AG655" s="22"/>
      <c r="AH655" s="22"/>
      <c r="AI655" s="22"/>
      <c r="AJ655" s="17"/>
      <c r="AK655" s="22"/>
      <c r="AL655" s="22"/>
      <c r="AM655" s="22"/>
      <c r="AN655" s="22"/>
      <c r="AO655" s="17"/>
      <c r="AP655" s="17"/>
      <c r="AQ655" s="17"/>
      <c r="AR655" s="1"/>
      <c r="AS655" s="1"/>
      <c r="AT655" s="17"/>
      <c r="AU655" s="1"/>
      <c r="AV655" s="1"/>
      <c r="AW655" s="1"/>
      <c r="AX655" s="2"/>
      <c r="AY655" s="2"/>
      <c r="AZ655" s="1"/>
    </row>
    <row x14ac:dyDescent="0.25" r="656" customHeight="1" ht="15">
      <c r="A656" s="1"/>
      <c r="B656" s="1"/>
      <c r="C656" s="1"/>
      <c r="D656" s="1"/>
      <c r="E656" s="1"/>
      <c r="F656" s="1"/>
      <c r="G656" s="1"/>
      <c r="H656" s="1"/>
      <c r="I656" s="1"/>
      <c r="J656" s="1"/>
      <c r="K656" s="17"/>
      <c r="L656" s="1"/>
      <c r="M656" s="1"/>
      <c r="N656" s="2"/>
      <c r="O656" s="2"/>
      <c r="P656" s="1"/>
      <c r="Q656" s="1"/>
      <c r="R656" s="1"/>
      <c r="S656" s="1"/>
      <c r="T656" s="17"/>
      <c r="U656" s="17"/>
      <c r="V656" s="17"/>
      <c r="W656" s="17"/>
      <c r="X656" s="22"/>
      <c r="Y656" s="22"/>
      <c r="Z656" s="22"/>
      <c r="AA656" s="22"/>
      <c r="AB656" s="22"/>
      <c r="AC656" s="22"/>
      <c r="AD656" s="22"/>
      <c r="AE656" s="22"/>
      <c r="AF656" s="22"/>
      <c r="AG656" s="22"/>
      <c r="AH656" s="22"/>
      <c r="AI656" s="22"/>
      <c r="AJ656" s="17"/>
      <c r="AK656" s="22"/>
      <c r="AL656" s="22"/>
      <c r="AM656" s="22"/>
      <c r="AN656" s="22"/>
      <c r="AO656" s="17"/>
      <c r="AP656" s="17"/>
      <c r="AQ656" s="17"/>
      <c r="AR656" s="1"/>
      <c r="AS656" s="1"/>
      <c r="AT656" s="17"/>
      <c r="AU656" s="1"/>
      <c r="AV656" s="1"/>
      <c r="AW656" s="1"/>
      <c r="AX656" s="2"/>
      <c r="AY656" s="2"/>
      <c r="AZ656" s="1"/>
    </row>
    <row x14ac:dyDescent="0.25" r="657" customHeight="1" ht="15">
      <c r="A657" s="1"/>
      <c r="B657" s="1"/>
      <c r="C657" s="1"/>
      <c r="D657" s="1"/>
      <c r="E657" s="1"/>
      <c r="F657" s="1"/>
      <c r="G657" s="1"/>
      <c r="H657" s="1"/>
      <c r="I657" s="1"/>
      <c r="J657" s="1"/>
      <c r="K657" s="17"/>
      <c r="L657" s="1"/>
      <c r="M657" s="1"/>
      <c r="N657" s="2"/>
      <c r="O657" s="2"/>
      <c r="P657" s="1"/>
      <c r="Q657" s="1"/>
      <c r="R657" s="1"/>
      <c r="S657" s="1"/>
      <c r="T657" s="17"/>
      <c r="U657" s="17"/>
      <c r="V657" s="17"/>
      <c r="W657" s="17"/>
      <c r="X657" s="22"/>
      <c r="Y657" s="22"/>
      <c r="Z657" s="22"/>
      <c r="AA657" s="22"/>
      <c r="AB657" s="22"/>
      <c r="AC657" s="22"/>
      <c r="AD657" s="22"/>
      <c r="AE657" s="22"/>
      <c r="AF657" s="22"/>
      <c r="AG657" s="22"/>
      <c r="AH657" s="22"/>
      <c r="AI657" s="22"/>
      <c r="AJ657" s="17"/>
      <c r="AK657" s="22"/>
      <c r="AL657" s="22"/>
      <c r="AM657" s="22"/>
      <c r="AN657" s="22"/>
      <c r="AO657" s="17"/>
      <c r="AP657" s="17"/>
      <c r="AQ657" s="17"/>
      <c r="AR657" s="1"/>
      <c r="AS657" s="1"/>
      <c r="AT657" s="17"/>
      <c r="AU657" s="1"/>
      <c r="AV657" s="1"/>
      <c r="AW657" s="1"/>
      <c r="AX657" s="2"/>
      <c r="AY657" s="2"/>
      <c r="AZ657" s="1"/>
    </row>
    <row x14ac:dyDescent="0.25" r="658" customHeight="1" ht="15">
      <c r="A658" s="1"/>
      <c r="B658" s="1"/>
      <c r="C658" s="1"/>
      <c r="D658" s="1"/>
      <c r="E658" s="1"/>
      <c r="F658" s="1"/>
      <c r="G658" s="1"/>
      <c r="H658" s="1"/>
      <c r="I658" s="1"/>
      <c r="J658" s="1"/>
      <c r="K658" s="17"/>
      <c r="L658" s="1"/>
      <c r="M658" s="1"/>
      <c r="N658" s="2"/>
      <c r="O658" s="2"/>
      <c r="P658" s="1"/>
      <c r="Q658" s="1"/>
      <c r="R658" s="1"/>
      <c r="S658" s="1"/>
      <c r="T658" s="17"/>
      <c r="U658" s="17"/>
      <c r="V658" s="17"/>
      <c r="W658" s="17"/>
      <c r="X658" s="22"/>
      <c r="Y658" s="22"/>
      <c r="Z658" s="22"/>
      <c r="AA658" s="22"/>
      <c r="AB658" s="22"/>
      <c r="AC658" s="22"/>
      <c r="AD658" s="22"/>
      <c r="AE658" s="22"/>
      <c r="AF658" s="22"/>
      <c r="AG658" s="22"/>
      <c r="AH658" s="22"/>
      <c r="AI658" s="22"/>
      <c r="AJ658" s="17"/>
      <c r="AK658" s="22"/>
      <c r="AL658" s="22"/>
      <c r="AM658" s="22"/>
      <c r="AN658" s="22"/>
      <c r="AO658" s="17"/>
      <c r="AP658" s="17"/>
      <c r="AQ658" s="17"/>
      <c r="AR658" s="1"/>
      <c r="AS658" s="1"/>
      <c r="AT658" s="17"/>
      <c r="AU658" s="1"/>
      <c r="AV658" s="1"/>
      <c r="AW658" s="1"/>
      <c r="AX658" s="2"/>
      <c r="AY658" s="2"/>
      <c r="AZ658" s="1"/>
    </row>
    <row x14ac:dyDescent="0.25" r="659" customHeight="1" ht="15">
      <c r="A659" s="1"/>
      <c r="B659" s="1"/>
      <c r="C659" s="1"/>
      <c r="D659" s="1"/>
      <c r="E659" s="1"/>
      <c r="F659" s="1"/>
      <c r="G659" s="1"/>
      <c r="H659" s="1"/>
      <c r="I659" s="1"/>
      <c r="J659" s="1"/>
      <c r="K659" s="17"/>
      <c r="L659" s="1"/>
      <c r="M659" s="1"/>
      <c r="N659" s="2"/>
      <c r="O659" s="2"/>
      <c r="P659" s="1"/>
      <c r="Q659" s="1"/>
      <c r="R659" s="1"/>
      <c r="S659" s="1"/>
      <c r="T659" s="17"/>
      <c r="U659" s="17"/>
      <c r="V659" s="17"/>
      <c r="W659" s="17"/>
      <c r="X659" s="22"/>
      <c r="Y659" s="22"/>
      <c r="Z659" s="22"/>
      <c r="AA659" s="22"/>
      <c r="AB659" s="22"/>
      <c r="AC659" s="22"/>
      <c r="AD659" s="22"/>
      <c r="AE659" s="22"/>
      <c r="AF659" s="22"/>
      <c r="AG659" s="22"/>
      <c r="AH659" s="22"/>
      <c r="AI659" s="22"/>
      <c r="AJ659" s="17"/>
      <c r="AK659" s="22"/>
      <c r="AL659" s="22"/>
      <c r="AM659" s="22"/>
      <c r="AN659" s="22"/>
      <c r="AO659" s="17"/>
      <c r="AP659" s="17"/>
      <c r="AQ659" s="17"/>
      <c r="AR659" s="1"/>
      <c r="AS659" s="1"/>
      <c r="AT659" s="17"/>
      <c r="AU659" s="1"/>
      <c r="AV659" s="1"/>
      <c r="AW659" s="1"/>
      <c r="AX659" s="2"/>
      <c r="AY659" s="2"/>
      <c r="AZ659" s="1"/>
    </row>
    <row x14ac:dyDescent="0.25" r="660" customHeight="1" ht="15">
      <c r="A660" s="1"/>
      <c r="B660" s="1"/>
      <c r="C660" s="1"/>
      <c r="D660" s="1"/>
      <c r="E660" s="1"/>
      <c r="F660" s="1"/>
      <c r="G660" s="1"/>
      <c r="H660" s="1"/>
      <c r="I660" s="1"/>
      <c r="J660" s="1"/>
      <c r="K660" s="17"/>
      <c r="L660" s="1"/>
      <c r="M660" s="1"/>
      <c r="N660" s="2"/>
      <c r="O660" s="2"/>
      <c r="P660" s="1"/>
      <c r="Q660" s="1"/>
      <c r="R660" s="1"/>
      <c r="S660" s="1"/>
      <c r="T660" s="17"/>
      <c r="U660" s="17"/>
      <c r="V660" s="17"/>
      <c r="W660" s="17"/>
      <c r="X660" s="22"/>
      <c r="Y660" s="22"/>
      <c r="Z660" s="22"/>
      <c r="AA660" s="22"/>
      <c r="AB660" s="22"/>
      <c r="AC660" s="22"/>
      <c r="AD660" s="22"/>
      <c r="AE660" s="22"/>
      <c r="AF660" s="22"/>
      <c r="AG660" s="22"/>
      <c r="AH660" s="22"/>
      <c r="AI660" s="22"/>
      <c r="AJ660" s="17"/>
      <c r="AK660" s="22"/>
      <c r="AL660" s="22"/>
      <c r="AM660" s="22"/>
      <c r="AN660" s="22"/>
      <c r="AO660" s="17"/>
      <c r="AP660" s="17"/>
      <c r="AQ660" s="17"/>
      <c r="AR660" s="1"/>
      <c r="AS660" s="1"/>
      <c r="AT660" s="17"/>
      <c r="AU660" s="1"/>
      <c r="AV660" s="1"/>
      <c r="AW660" s="1"/>
      <c r="AX660" s="2"/>
      <c r="AY660" s="2"/>
      <c r="AZ660" s="1"/>
    </row>
    <row x14ac:dyDescent="0.25" r="661" customHeight="1" ht="15">
      <c r="A661" s="1"/>
      <c r="B661" s="1"/>
      <c r="C661" s="1"/>
      <c r="D661" s="1"/>
      <c r="E661" s="1"/>
      <c r="F661" s="1"/>
      <c r="G661" s="1"/>
      <c r="H661" s="1"/>
      <c r="I661" s="1"/>
      <c r="J661" s="1"/>
      <c r="K661" s="17"/>
      <c r="L661" s="1"/>
      <c r="M661" s="1"/>
      <c r="N661" s="2"/>
      <c r="O661" s="2"/>
      <c r="P661" s="1"/>
      <c r="Q661" s="1"/>
      <c r="R661" s="1"/>
      <c r="S661" s="1"/>
      <c r="T661" s="17"/>
      <c r="U661" s="17"/>
      <c r="V661" s="17"/>
      <c r="W661" s="17"/>
      <c r="X661" s="22"/>
      <c r="Y661" s="22"/>
      <c r="Z661" s="22"/>
      <c r="AA661" s="22"/>
      <c r="AB661" s="22"/>
      <c r="AC661" s="22"/>
      <c r="AD661" s="22"/>
      <c r="AE661" s="22"/>
      <c r="AF661" s="22"/>
      <c r="AG661" s="22"/>
      <c r="AH661" s="22"/>
      <c r="AI661" s="22"/>
      <c r="AJ661" s="17"/>
      <c r="AK661" s="22"/>
      <c r="AL661" s="22"/>
      <c r="AM661" s="22"/>
      <c r="AN661" s="22"/>
      <c r="AO661" s="17"/>
      <c r="AP661" s="17"/>
      <c r="AQ661" s="17"/>
      <c r="AR661" s="1"/>
      <c r="AS661" s="1"/>
      <c r="AT661" s="17"/>
      <c r="AU661" s="1"/>
      <c r="AV661" s="1"/>
      <c r="AW661" s="1"/>
      <c r="AX661" s="2"/>
      <c r="AY661" s="2"/>
      <c r="AZ661" s="1"/>
    </row>
    <row x14ac:dyDescent="0.25" r="662" customHeight="1" ht="15">
      <c r="A662" s="1"/>
      <c r="B662" s="1"/>
      <c r="C662" s="1"/>
      <c r="D662" s="1"/>
      <c r="E662" s="1"/>
      <c r="F662" s="1"/>
      <c r="G662" s="1"/>
      <c r="H662" s="1"/>
      <c r="I662" s="1"/>
      <c r="J662" s="1"/>
      <c r="K662" s="17"/>
      <c r="L662" s="1"/>
      <c r="M662" s="1"/>
      <c r="N662" s="2"/>
      <c r="O662" s="2"/>
      <c r="P662" s="1"/>
      <c r="Q662" s="1"/>
      <c r="R662" s="1"/>
      <c r="S662" s="1"/>
      <c r="T662" s="17"/>
      <c r="U662" s="17"/>
      <c r="V662" s="17"/>
      <c r="W662" s="17"/>
      <c r="X662" s="22"/>
      <c r="Y662" s="22"/>
      <c r="Z662" s="22"/>
      <c r="AA662" s="22"/>
      <c r="AB662" s="22"/>
      <c r="AC662" s="22"/>
      <c r="AD662" s="22"/>
      <c r="AE662" s="22"/>
      <c r="AF662" s="22"/>
      <c r="AG662" s="22"/>
      <c r="AH662" s="22"/>
      <c r="AI662" s="22"/>
      <c r="AJ662" s="17"/>
      <c r="AK662" s="22"/>
      <c r="AL662" s="22"/>
      <c r="AM662" s="22"/>
      <c r="AN662" s="22"/>
      <c r="AO662" s="17"/>
      <c r="AP662" s="17"/>
      <c r="AQ662" s="17"/>
      <c r="AR662" s="1"/>
      <c r="AS662" s="1"/>
      <c r="AT662" s="17"/>
      <c r="AU662" s="1"/>
      <c r="AV662" s="1"/>
      <c r="AW662" s="1"/>
      <c r="AX662" s="2"/>
      <c r="AY662" s="2"/>
      <c r="AZ662" s="1"/>
    </row>
    <row x14ac:dyDescent="0.25" r="663" customHeight="1" ht="15">
      <c r="A663" s="1"/>
      <c r="B663" s="1"/>
      <c r="C663" s="1"/>
      <c r="D663" s="1"/>
      <c r="E663" s="1"/>
      <c r="F663" s="1"/>
      <c r="G663" s="1"/>
      <c r="H663" s="1"/>
      <c r="I663" s="1"/>
      <c r="J663" s="1"/>
      <c r="K663" s="17"/>
      <c r="L663" s="1"/>
      <c r="M663" s="1"/>
      <c r="N663" s="2"/>
      <c r="O663" s="2"/>
      <c r="P663" s="1"/>
      <c r="Q663" s="1"/>
      <c r="R663" s="1"/>
      <c r="S663" s="1"/>
      <c r="T663" s="17"/>
      <c r="U663" s="17"/>
      <c r="V663" s="17"/>
      <c r="W663" s="17"/>
      <c r="X663" s="22"/>
      <c r="Y663" s="22"/>
      <c r="Z663" s="22"/>
      <c r="AA663" s="22"/>
      <c r="AB663" s="22"/>
      <c r="AC663" s="22"/>
      <c r="AD663" s="22"/>
      <c r="AE663" s="22"/>
      <c r="AF663" s="22"/>
      <c r="AG663" s="22"/>
      <c r="AH663" s="22"/>
      <c r="AI663" s="22"/>
      <c r="AJ663" s="17"/>
      <c r="AK663" s="22"/>
      <c r="AL663" s="22"/>
      <c r="AM663" s="22"/>
      <c r="AN663" s="22"/>
      <c r="AO663" s="17"/>
      <c r="AP663" s="17"/>
      <c r="AQ663" s="17"/>
      <c r="AR663" s="1"/>
      <c r="AS663" s="1"/>
      <c r="AT663" s="17"/>
      <c r="AU663" s="1"/>
      <c r="AV663" s="1"/>
      <c r="AW663" s="1"/>
      <c r="AX663" s="2"/>
      <c r="AY663" s="2"/>
      <c r="AZ663" s="1"/>
    </row>
    <row x14ac:dyDescent="0.25" r="664" customHeight="1" ht="15">
      <c r="A664" s="1"/>
      <c r="B664" s="1"/>
      <c r="C664" s="1"/>
      <c r="D664" s="1"/>
      <c r="E664" s="1"/>
      <c r="F664" s="1"/>
      <c r="G664" s="1"/>
      <c r="H664" s="1"/>
      <c r="I664" s="1"/>
      <c r="J664" s="1"/>
      <c r="K664" s="17"/>
      <c r="L664" s="1"/>
      <c r="M664" s="1"/>
      <c r="N664" s="2"/>
      <c r="O664" s="2"/>
      <c r="P664" s="1"/>
      <c r="Q664" s="1"/>
      <c r="R664" s="1"/>
      <c r="S664" s="1"/>
      <c r="T664" s="17"/>
      <c r="U664" s="17"/>
      <c r="V664" s="17"/>
      <c r="W664" s="17"/>
      <c r="X664" s="22"/>
      <c r="Y664" s="22"/>
      <c r="Z664" s="22"/>
      <c r="AA664" s="22"/>
      <c r="AB664" s="22"/>
      <c r="AC664" s="22"/>
      <c r="AD664" s="22"/>
      <c r="AE664" s="22"/>
      <c r="AF664" s="22"/>
      <c r="AG664" s="22"/>
      <c r="AH664" s="22"/>
      <c r="AI664" s="22"/>
      <c r="AJ664" s="17"/>
      <c r="AK664" s="22"/>
      <c r="AL664" s="22"/>
      <c r="AM664" s="22"/>
      <c r="AN664" s="22"/>
      <c r="AO664" s="17"/>
      <c r="AP664" s="17"/>
      <c r="AQ664" s="17"/>
      <c r="AR664" s="1"/>
      <c r="AS664" s="1"/>
      <c r="AT664" s="17"/>
      <c r="AU664" s="1"/>
      <c r="AV664" s="1"/>
      <c r="AW664" s="1"/>
      <c r="AX664" s="2"/>
      <c r="AY664" s="2"/>
      <c r="AZ664" s="1"/>
    </row>
    <row x14ac:dyDescent="0.25" r="665" customHeight="1" ht="15">
      <c r="A665" s="1"/>
      <c r="B665" s="1"/>
      <c r="C665" s="1"/>
      <c r="D665" s="1"/>
      <c r="E665" s="1"/>
      <c r="F665" s="1"/>
      <c r="G665" s="1"/>
      <c r="H665" s="1"/>
      <c r="I665" s="1"/>
      <c r="J665" s="1"/>
      <c r="K665" s="17"/>
      <c r="L665" s="1"/>
      <c r="M665" s="1"/>
      <c r="N665" s="2"/>
      <c r="O665" s="2"/>
      <c r="P665" s="1"/>
      <c r="Q665" s="1"/>
      <c r="R665" s="1"/>
      <c r="S665" s="1"/>
      <c r="T665" s="17"/>
      <c r="U665" s="17"/>
      <c r="V665" s="17"/>
      <c r="W665" s="17"/>
      <c r="X665" s="22"/>
      <c r="Y665" s="22"/>
      <c r="Z665" s="22"/>
      <c r="AA665" s="22"/>
      <c r="AB665" s="22"/>
      <c r="AC665" s="22"/>
      <c r="AD665" s="22"/>
      <c r="AE665" s="22"/>
      <c r="AF665" s="22"/>
      <c r="AG665" s="22"/>
      <c r="AH665" s="22"/>
      <c r="AI665" s="22"/>
      <c r="AJ665" s="17"/>
      <c r="AK665" s="22"/>
      <c r="AL665" s="22"/>
      <c r="AM665" s="22"/>
      <c r="AN665" s="22"/>
      <c r="AO665" s="17"/>
      <c r="AP665" s="17"/>
      <c r="AQ665" s="17"/>
      <c r="AR665" s="1"/>
      <c r="AS665" s="1"/>
      <c r="AT665" s="17"/>
      <c r="AU665" s="1"/>
      <c r="AV665" s="1"/>
      <c r="AW665" s="1"/>
      <c r="AX665" s="2"/>
      <c r="AY665" s="2"/>
      <c r="AZ665" s="1"/>
    </row>
    <row x14ac:dyDescent="0.25" r="666" customHeight="1" ht="15">
      <c r="A666" s="1"/>
      <c r="B666" s="1"/>
      <c r="C666" s="1"/>
      <c r="D666" s="1"/>
      <c r="E666" s="1"/>
      <c r="F666" s="1"/>
      <c r="G666" s="1"/>
      <c r="H666" s="1"/>
      <c r="I666" s="1"/>
      <c r="J666" s="1"/>
      <c r="K666" s="17"/>
      <c r="L666" s="1"/>
      <c r="M666" s="1"/>
      <c r="N666" s="2"/>
      <c r="O666" s="2"/>
      <c r="P666" s="1"/>
      <c r="Q666" s="1"/>
      <c r="R666" s="1"/>
      <c r="S666" s="1"/>
      <c r="T666" s="17"/>
      <c r="U666" s="17"/>
      <c r="V666" s="17"/>
      <c r="W666" s="17"/>
      <c r="X666" s="22"/>
      <c r="Y666" s="22"/>
      <c r="Z666" s="22"/>
      <c r="AA666" s="22"/>
      <c r="AB666" s="22"/>
      <c r="AC666" s="22"/>
      <c r="AD666" s="22"/>
      <c r="AE666" s="22"/>
      <c r="AF666" s="22"/>
      <c r="AG666" s="22"/>
      <c r="AH666" s="22"/>
      <c r="AI666" s="22"/>
      <c r="AJ666" s="17"/>
      <c r="AK666" s="22"/>
      <c r="AL666" s="22"/>
      <c r="AM666" s="22"/>
      <c r="AN666" s="22"/>
      <c r="AO666" s="17"/>
      <c r="AP666" s="17"/>
      <c r="AQ666" s="17"/>
      <c r="AR666" s="1"/>
      <c r="AS666" s="1"/>
      <c r="AT666" s="17"/>
      <c r="AU666" s="1"/>
      <c r="AV666" s="1"/>
      <c r="AW666" s="1"/>
      <c r="AX666" s="2"/>
      <c r="AY666" s="2"/>
      <c r="AZ666" s="1"/>
    </row>
    <row x14ac:dyDescent="0.25" r="667" customHeight="1" ht="15">
      <c r="A667" s="1"/>
      <c r="B667" s="1"/>
      <c r="C667" s="1"/>
      <c r="D667" s="1"/>
      <c r="E667" s="1"/>
      <c r="F667" s="1"/>
      <c r="G667" s="1"/>
      <c r="H667" s="1"/>
      <c r="I667" s="1"/>
      <c r="J667" s="1"/>
      <c r="K667" s="17"/>
      <c r="L667" s="1"/>
      <c r="M667" s="1"/>
      <c r="N667" s="2"/>
      <c r="O667" s="2"/>
      <c r="P667" s="1"/>
      <c r="Q667" s="1"/>
      <c r="R667" s="1"/>
      <c r="S667" s="1"/>
      <c r="T667" s="17"/>
      <c r="U667" s="17"/>
      <c r="V667" s="17"/>
      <c r="W667" s="17"/>
      <c r="X667" s="22"/>
      <c r="Y667" s="22"/>
      <c r="Z667" s="22"/>
      <c r="AA667" s="22"/>
      <c r="AB667" s="22"/>
      <c r="AC667" s="22"/>
      <c r="AD667" s="22"/>
      <c r="AE667" s="22"/>
      <c r="AF667" s="22"/>
      <c r="AG667" s="22"/>
      <c r="AH667" s="22"/>
      <c r="AI667" s="22"/>
      <c r="AJ667" s="17"/>
      <c r="AK667" s="22"/>
      <c r="AL667" s="22"/>
      <c r="AM667" s="22"/>
      <c r="AN667" s="22"/>
      <c r="AO667" s="17"/>
      <c r="AP667" s="17"/>
      <c r="AQ667" s="17"/>
      <c r="AR667" s="1"/>
      <c r="AS667" s="1"/>
      <c r="AT667" s="17"/>
      <c r="AU667" s="1"/>
      <c r="AV667" s="1"/>
      <c r="AW667" s="1"/>
      <c r="AX667" s="2"/>
      <c r="AY667" s="2"/>
      <c r="AZ667" s="1"/>
    </row>
    <row x14ac:dyDescent="0.25" r="668" customHeight="1" ht="15">
      <c r="A668" s="1"/>
      <c r="B668" s="1"/>
      <c r="C668" s="1"/>
      <c r="D668" s="1"/>
      <c r="E668" s="1"/>
      <c r="F668" s="1"/>
      <c r="G668" s="1"/>
      <c r="H668" s="1"/>
      <c r="I668" s="1"/>
      <c r="J668" s="1"/>
      <c r="K668" s="17"/>
      <c r="L668" s="1"/>
      <c r="M668" s="1"/>
      <c r="N668" s="2"/>
      <c r="O668" s="2"/>
      <c r="P668" s="1"/>
      <c r="Q668" s="1"/>
      <c r="R668" s="1"/>
      <c r="S668" s="1"/>
      <c r="T668" s="17"/>
      <c r="U668" s="17"/>
      <c r="V668" s="17"/>
      <c r="W668" s="17"/>
      <c r="X668" s="22"/>
      <c r="Y668" s="22"/>
      <c r="Z668" s="22"/>
      <c r="AA668" s="22"/>
      <c r="AB668" s="22"/>
      <c r="AC668" s="22"/>
      <c r="AD668" s="22"/>
      <c r="AE668" s="22"/>
      <c r="AF668" s="22"/>
      <c r="AG668" s="22"/>
      <c r="AH668" s="22"/>
      <c r="AI668" s="22"/>
      <c r="AJ668" s="17"/>
      <c r="AK668" s="22"/>
      <c r="AL668" s="22"/>
      <c r="AM668" s="22"/>
      <c r="AN668" s="22"/>
      <c r="AO668" s="17"/>
      <c r="AP668" s="17"/>
      <c r="AQ668" s="17"/>
      <c r="AR668" s="1"/>
      <c r="AS668" s="1"/>
      <c r="AT668" s="17"/>
      <c r="AU668" s="1"/>
      <c r="AV668" s="1"/>
      <c r="AW668" s="1"/>
      <c r="AX668" s="2"/>
      <c r="AY668" s="2"/>
      <c r="AZ668" s="1"/>
    </row>
    <row x14ac:dyDescent="0.25" r="669" customHeight="1" ht="15">
      <c r="A669" s="1"/>
      <c r="B669" s="1"/>
      <c r="C669" s="1"/>
      <c r="D669" s="1"/>
      <c r="E669" s="1"/>
      <c r="F669" s="1"/>
      <c r="G669" s="1"/>
      <c r="H669" s="1"/>
      <c r="I669" s="1"/>
      <c r="J669" s="1"/>
      <c r="K669" s="17"/>
      <c r="L669" s="1"/>
      <c r="M669" s="1"/>
      <c r="N669" s="2"/>
      <c r="O669" s="2"/>
      <c r="P669" s="1"/>
      <c r="Q669" s="1"/>
      <c r="R669" s="1"/>
      <c r="S669" s="1"/>
      <c r="T669" s="17"/>
      <c r="U669" s="17"/>
      <c r="V669" s="17"/>
      <c r="W669" s="17"/>
      <c r="X669" s="22"/>
      <c r="Y669" s="22"/>
      <c r="Z669" s="22"/>
      <c r="AA669" s="22"/>
      <c r="AB669" s="22"/>
      <c r="AC669" s="22"/>
      <c r="AD669" s="22"/>
      <c r="AE669" s="22"/>
      <c r="AF669" s="22"/>
      <c r="AG669" s="22"/>
      <c r="AH669" s="22"/>
      <c r="AI669" s="22"/>
      <c r="AJ669" s="17"/>
      <c r="AK669" s="22"/>
      <c r="AL669" s="22"/>
      <c r="AM669" s="22"/>
      <c r="AN669" s="22"/>
      <c r="AO669" s="17"/>
      <c r="AP669" s="17"/>
      <c r="AQ669" s="17"/>
      <c r="AR669" s="1"/>
      <c r="AS669" s="1"/>
      <c r="AT669" s="17"/>
      <c r="AU669" s="1"/>
      <c r="AV669" s="1"/>
      <c r="AW669" s="1"/>
      <c r="AX669" s="2"/>
      <c r="AY669" s="2"/>
      <c r="AZ669" s="1"/>
    </row>
    <row x14ac:dyDescent="0.25" r="670" customHeight="1" ht="15">
      <c r="A670" s="1"/>
      <c r="B670" s="1"/>
      <c r="C670" s="1"/>
      <c r="D670" s="1"/>
      <c r="E670" s="1"/>
      <c r="F670" s="1"/>
      <c r="G670" s="1"/>
      <c r="H670" s="1"/>
      <c r="I670" s="1"/>
      <c r="J670" s="1"/>
      <c r="K670" s="17"/>
      <c r="L670" s="1"/>
      <c r="M670" s="1"/>
      <c r="N670" s="2"/>
      <c r="O670" s="2"/>
      <c r="P670" s="1"/>
      <c r="Q670" s="1"/>
      <c r="R670" s="1"/>
      <c r="S670" s="1"/>
      <c r="T670" s="17"/>
      <c r="U670" s="17"/>
      <c r="V670" s="17"/>
      <c r="W670" s="17"/>
      <c r="X670" s="22"/>
      <c r="Y670" s="22"/>
      <c r="Z670" s="22"/>
      <c r="AA670" s="22"/>
      <c r="AB670" s="22"/>
      <c r="AC670" s="22"/>
      <c r="AD670" s="22"/>
      <c r="AE670" s="22"/>
      <c r="AF670" s="22"/>
      <c r="AG670" s="22"/>
      <c r="AH670" s="22"/>
      <c r="AI670" s="22"/>
      <c r="AJ670" s="17"/>
      <c r="AK670" s="22"/>
      <c r="AL670" s="22"/>
      <c r="AM670" s="22"/>
      <c r="AN670" s="22"/>
      <c r="AO670" s="17"/>
      <c r="AP670" s="17"/>
      <c r="AQ670" s="17"/>
      <c r="AR670" s="1"/>
      <c r="AS670" s="1"/>
      <c r="AT670" s="17"/>
      <c r="AU670" s="1"/>
      <c r="AV670" s="1"/>
      <c r="AW670" s="1"/>
      <c r="AX670" s="2"/>
      <c r="AY670" s="2"/>
      <c r="AZ670" s="1"/>
    </row>
    <row x14ac:dyDescent="0.25" r="671" customHeight="1" ht="15">
      <c r="A671" s="1"/>
      <c r="B671" s="1"/>
      <c r="C671" s="1"/>
      <c r="D671" s="1"/>
      <c r="E671" s="1"/>
      <c r="F671" s="1"/>
      <c r="G671" s="1"/>
      <c r="H671" s="1"/>
      <c r="I671" s="1"/>
      <c r="J671" s="1"/>
      <c r="K671" s="17"/>
      <c r="L671" s="1"/>
      <c r="M671" s="1"/>
      <c r="N671" s="2"/>
      <c r="O671" s="2"/>
      <c r="P671" s="1"/>
      <c r="Q671" s="1"/>
      <c r="R671" s="1"/>
      <c r="S671" s="1"/>
      <c r="T671" s="17"/>
      <c r="U671" s="17"/>
      <c r="V671" s="17"/>
      <c r="W671" s="17"/>
      <c r="X671" s="22"/>
      <c r="Y671" s="22"/>
      <c r="Z671" s="22"/>
      <c r="AA671" s="22"/>
      <c r="AB671" s="22"/>
      <c r="AC671" s="22"/>
      <c r="AD671" s="22"/>
      <c r="AE671" s="22"/>
      <c r="AF671" s="22"/>
      <c r="AG671" s="22"/>
      <c r="AH671" s="22"/>
      <c r="AI671" s="22"/>
      <c r="AJ671" s="17"/>
      <c r="AK671" s="22"/>
      <c r="AL671" s="22"/>
      <c r="AM671" s="22"/>
      <c r="AN671" s="22"/>
      <c r="AO671" s="17"/>
      <c r="AP671" s="17"/>
      <c r="AQ671" s="17"/>
      <c r="AR671" s="1"/>
      <c r="AS671" s="1"/>
      <c r="AT671" s="17"/>
      <c r="AU671" s="1"/>
      <c r="AV671" s="1"/>
      <c r="AW671" s="1"/>
      <c r="AX671" s="2"/>
      <c r="AY671" s="2"/>
      <c r="AZ671" s="1"/>
    </row>
    <row x14ac:dyDescent="0.25" r="672" customHeight="1" ht="15">
      <c r="A672" s="1"/>
      <c r="B672" s="1"/>
      <c r="C672" s="1"/>
      <c r="D672" s="1"/>
      <c r="E672" s="1"/>
      <c r="F672" s="1"/>
      <c r="G672" s="1"/>
      <c r="H672" s="1"/>
      <c r="I672" s="1"/>
      <c r="J672" s="1"/>
      <c r="K672" s="17"/>
      <c r="L672" s="1"/>
      <c r="M672" s="1"/>
      <c r="N672" s="2"/>
      <c r="O672" s="2"/>
      <c r="P672" s="1"/>
      <c r="Q672" s="1"/>
      <c r="R672" s="1"/>
      <c r="S672" s="1"/>
      <c r="T672" s="17"/>
      <c r="U672" s="17"/>
      <c r="V672" s="17"/>
      <c r="W672" s="17"/>
      <c r="X672" s="22"/>
      <c r="Y672" s="22"/>
      <c r="Z672" s="22"/>
      <c r="AA672" s="22"/>
      <c r="AB672" s="22"/>
      <c r="AC672" s="22"/>
      <c r="AD672" s="22"/>
      <c r="AE672" s="22"/>
      <c r="AF672" s="22"/>
      <c r="AG672" s="22"/>
      <c r="AH672" s="22"/>
      <c r="AI672" s="22"/>
      <c r="AJ672" s="17"/>
      <c r="AK672" s="22"/>
      <c r="AL672" s="22"/>
      <c r="AM672" s="22"/>
      <c r="AN672" s="22"/>
      <c r="AO672" s="17"/>
      <c r="AP672" s="17"/>
      <c r="AQ672" s="17"/>
      <c r="AR672" s="1"/>
      <c r="AS672" s="1"/>
      <c r="AT672" s="17"/>
      <c r="AU672" s="1"/>
      <c r="AV672" s="1"/>
      <c r="AW672" s="1"/>
      <c r="AX672" s="2"/>
      <c r="AY672" s="2"/>
      <c r="AZ672" s="1"/>
    </row>
    <row x14ac:dyDescent="0.25" r="673" customHeight="1" ht="15">
      <c r="A673" s="1"/>
      <c r="B673" s="1"/>
      <c r="C673" s="1"/>
      <c r="D673" s="1"/>
      <c r="E673" s="1"/>
      <c r="F673" s="1"/>
      <c r="G673" s="1"/>
      <c r="H673" s="1"/>
      <c r="I673" s="1"/>
      <c r="J673" s="1"/>
      <c r="K673" s="17"/>
      <c r="L673" s="1"/>
      <c r="M673" s="1"/>
      <c r="N673" s="2"/>
      <c r="O673" s="2"/>
      <c r="P673" s="1"/>
      <c r="Q673" s="1"/>
      <c r="R673" s="1"/>
      <c r="S673" s="1"/>
      <c r="T673" s="17"/>
      <c r="U673" s="17"/>
      <c r="V673" s="17"/>
      <c r="W673" s="17"/>
      <c r="X673" s="22"/>
      <c r="Y673" s="22"/>
      <c r="Z673" s="22"/>
      <c r="AA673" s="22"/>
      <c r="AB673" s="22"/>
      <c r="AC673" s="22"/>
      <c r="AD673" s="22"/>
      <c r="AE673" s="22"/>
      <c r="AF673" s="22"/>
      <c r="AG673" s="22"/>
      <c r="AH673" s="22"/>
      <c r="AI673" s="22"/>
      <c r="AJ673" s="17"/>
      <c r="AK673" s="22"/>
      <c r="AL673" s="22"/>
      <c r="AM673" s="22"/>
      <c r="AN673" s="22"/>
      <c r="AO673" s="17"/>
      <c r="AP673" s="17"/>
      <c r="AQ673" s="17"/>
      <c r="AR673" s="1"/>
      <c r="AS673" s="1"/>
      <c r="AT673" s="17"/>
      <c r="AU673" s="1"/>
      <c r="AV673" s="1"/>
      <c r="AW673" s="1"/>
      <c r="AX673" s="2"/>
      <c r="AY673" s="2"/>
      <c r="AZ673" s="1"/>
    </row>
    <row x14ac:dyDescent="0.25" r="674" customHeight="1" ht="15">
      <c r="A674" s="1"/>
      <c r="B674" s="1"/>
      <c r="C674" s="1"/>
      <c r="D674" s="1"/>
      <c r="E674" s="1"/>
      <c r="F674" s="1"/>
      <c r="G674" s="1"/>
      <c r="H674" s="1"/>
      <c r="I674" s="1"/>
      <c r="J674" s="1"/>
      <c r="K674" s="17"/>
      <c r="L674" s="1"/>
      <c r="M674" s="1"/>
      <c r="N674" s="2"/>
      <c r="O674" s="2"/>
      <c r="P674" s="1"/>
      <c r="Q674" s="1"/>
      <c r="R674" s="1"/>
      <c r="S674" s="1"/>
      <c r="T674" s="17"/>
      <c r="U674" s="17"/>
      <c r="V674" s="17"/>
      <c r="W674" s="17"/>
      <c r="X674" s="22"/>
      <c r="Y674" s="22"/>
      <c r="Z674" s="22"/>
      <c r="AA674" s="22"/>
      <c r="AB674" s="22"/>
      <c r="AC674" s="22"/>
      <c r="AD674" s="22"/>
      <c r="AE674" s="22"/>
      <c r="AF674" s="22"/>
      <c r="AG674" s="22"/>
      <c r="AH674" s="22"/>
      <c r="AI674" s="22"/>
      <c r="AJ674" s="17"/>
      <c r="AK674" s="22"/>
      <c r="AL674" s="22"/>
      <c r="AM674" s="22"/>
      <c r="AN674" s="22"/>
      <c r="AO674" s="17"/>
      <c r="AP674" s="17"/>
      <c r="AQ674" s="17"/>
      <c r="AR674" s="1"/>
      <c r="AS674" s="1"/>
      <c r="AT674" s="17"/>
      <c r="AU674" s="1"/>
      <c r="AV674" s="1"/>
      <c r="AW674" s="1"/>
      <c r="AX674" s="2"/>
      <c r="AY674" s="2"/>
      <c r="AZ674" s="1"/>
    </row>
    <row x14ac:dyDescent="0.25" r="675" customHeight="1" ht="15">
      <c r="A675" s="1"/>
      <c r="B675" s="1"/>
      <c r="C675" s="1"/>
      <c r="D675" s="1"/>
      <c r="E675" s="1"/>
      <c r="F675" s="1"/>
      <c r="G675" s="1"/>
      <c r="H675" s="1"/>
      <c r="I675" s="1"/>
      <c r="J675" s="1"/>
      <c r="K675" s="17"/>
      <c r="L675" s="1"/>
      <c r="M675" s="1"/>
      <c r="N675" s="2"/>
      <c r="O675" s="2"/>
      <c r="P675" s="1"/>
      <c r="Q675" s="1"/>
      <c r="R675" s="1"/>
      <c r="S675" s="1"/>
      <c r="T675" s="17"/>
      <c r="U675" s="17"/>
      <c r="V675" s="17"/>
      <c r="W675" s="17"/>
      <c r="X675" s="22"/>
      <c r="Y675" s="22"/>
      <c r="Z675" s="22"/>
      <c r="AA675" s="22"/>
      <c r="AB675" s="22"/>
      <c r="AC675" s="22"/>
      <c r="AD675" s="22"/>
      <c r="AE675" s="22"/>
      <c r="AF675" s="22"/>
      <c r="AG675" s="22"/>
      <c r="AH675" s="22"/>
      <c r="AI675" s="22"/>
      <c r="AJ675" s="17"/>
      <c r="AK675" s="22"/>
      <c r="AL675" s="22"/>
      <c r="AM675" s="22"/>
      <c r="AN675" s="22"/>
      <c r="AO675" s="17"/>
      <c r="AP675" s="17"/>
      <c r="AQ675" s="17"/>
      <c r="AR675" s="1"/>
      <c r="AS675" s="1"/>
      <c r="AT675" s="17"/>
      <c r="AU675" s="1"/>
      <c r="AV675" s="1"/>
      <c r="AW675" s="1"/>
      <c r="AX675" s="2"/>
      <c r="AY675" s="2"/>
      <c r="AZ675" s="1"/>
    </row>
    <row x14ac:dyDescent="0.25" r="676" customHeight="1" ht="15">
      <c r="A676" s="1"/>
      <c r="B676" s="1"/>
      <c r="C676" s="1"/>
      <c r="D676" s="1"/>
      <c r="E676" s="1"/>
      <c r="F676" s="1"/>
      <c r="G676" s="1"/>
      <c r="H676" s="1"/>
      <c r="I676" s="1"/>
      <c r="J676" s="1"/>
      <c r="K676" s="17"/>
      <c r="L676" s="1"/>
      <c r="M676" s="1"/>
      <c r="N676" s="2"/>
      <c r="O676" s="2"/>
      <c r="P676" s="1"/>
      <c r="Q676" s="1"/>
      <c r="R676" s="1"/>
      <c r="S676" s="1"/>
      <c r="T676" s="17"/>
      <c r="U676" s="17"/>
      <c r="V676" s="17"/>
      <c r="W676" s="17"/>
      <c r="X676" s="22"/>
      <c r="Y676" s="22"/>
      <c r="Z676" s="22"/>
      <c r="AA676" s="22"/>
      <c r="AB676" s="22"/>
      <c r="AC676" s="22"/>
      <c r="AD676" s="22"/>
      <c r="AE676" s="22"/>
      <c r="AF676" s="22"/>
      <c r="AG676" s="22"/>
      <c r="AH676" s="22"/>
      <c r="AI676" s="22"/>
      <c r="AJ676" s="17"/>
      <c r="AK676" s="22"/>
      <c r="AL676" s="22"/>
      <c r="AM676" s="22"/>
      <c r="AN676" s="22"/>
      <c r="AO676" s="17"/>
      <c r="AP676" s="17"/>
      <c r="AQ676" s="17"/>
      <c r="AR676" s="1"/>
      <c r="AS676" s="1"/>
      <c r="AT676" s="17"/>
      <c r="AU676" s="1"/>
      <c r="AV676" s="1"/>
      <c r="AW676" s="1"/>
      <c r="AX676" s="2"/>
      <c r="AY676" s="2"/>
      <c r="AZ676" s="1"/>
    </row>
    <row x14ac:dyDescent="0.25" r="677" customHeight="1" ht="15">
      <c r="A677" s="1"/>
      <c r="B677" s="1"/>
      <c r="C677" s="1"/>
      <c r="D677" s="1"/>
      <c r="E677" s="1"/>
      <c r="F677" s="1"/>
      <c r="G677" s="1"/>
      <c r="H677" s="1"/>
      <c r="I677" s="1"/>
      <c r="J677" s="1"/>
      <c r="K677" s="17"/>
      <c r="L677" s="1"/>
      <c r="M677" s="1"/>
      <c r="N677" s="2"/>
      <c r="O677" s="2"/>
      <c r="P677" s="1"/>
      <c r="Q677" s="1"/>
      <c r="R677" s="1"/>
      <c r="S677" s="1"/>
      <c r="T677" s="17"/>
      <c r="U677" s="17"/>
      <c r="V677" s="17"/>
      <c r="W677" s="17"/>
      <c r="X677" s="22"/>
      <c r="Y677" s="22"/>
      <c r="Z677" s="22"/>
      <c r="AA677" s="22"/>
      <c r="AB677" s="22"/>
      <c r="AC677" s="22"/>
      <c r="AD677" s="22"/>
      <c r="AE677" s="22"/>
      <c r="AF677" s="22"/>
      <c r="AG677" s="22"/>
      <c r="AH677" s="22"/>
      <c r="AI677" s="22"/>
      <c r="AJ677" s="17"/>
      <c r="AK677" s="22"/>
      <c r="AL677" s="22"/>
      <c r="AM677" s="22"/>
      <c r="AN677" s="22"/>
      <c r="AO677" s="17"/>
      <c r="AP677" s="17"/>
      <c r="AQ677" s="17"/>
      <c r="AR677" s="1"/>
      <c r="AS677" s="1"/>
      <c r="AT677" s="17"/>
      <c r="AU677" s="1"/>
      <c r="AV677" s="1"/>
      <c r="AW677" s="1"/>
      <c r="AX677" s="2"/>
      <c r="AY677" s="2"/>
      <c r="AZ677" s="1"/>
    </row>
    <row x14ac:dyDescent="0.25" r="678" customHeight="1" ht="15">
      <c r="A678" s="1"/>
      <c r="B678" s="1"/>
      <c r="C678" s="1"/>
      <c r="D678" s="1"/>
      <c r="E678" s="1"/>
      <c r="F678" s="1"/>
      <c r="G678" s="1"/>
      <c r="H678" s="1"/>
      <c r="I678" s="1"/>
      <c r="J678" s="1"/>
      <c r="K678" s="17"/>
      <c r="L678" s="1"/>
      <c r="M678" s="1"/>
      <c r="N678" s="2"/>
      <c r="O678" s="2"/>
      <c r="P678" s="1"/>
      <c r="Q678" s="1"/>
      <c r="R678" s="1"/>
      <c r="S678" s="1"/>
      <c r="T678" s="17"/>
      <c r="U678" s="17"/>
      <c r="V678" s="17"/>
      <c r="W678" s="17"/>
      <c r="X678" s="22"/>
      <c r="Y678" s="22"/>
      <c r="Z678" s="22"/>
      <c r="AA678" s="22"/>
      <c r="AB678" s="22"/>
      <c r="AC678" s="22"/>
      <c r="AD678" s="22"/>
      <c r="AE678" s="22"/>
      <c r="AF678" s="22"/>
      <c r="AG678" s="22"/>
      <c r="AH678" s="22"/>
      <c r="AI678" s="22"/>
      <c r="AJ678" s="17"/>
      <c r="AK678" s="22"/>
      <c r="AL678" s="22"/>
      <c r="AM678" s="22"/>
      <c r="AN678" s="22"/>
      <c r="AO678" s="17"/>
      <c r="AP678" s="17"/>
      <c r="AQ678" s="17"/>
      <c r="AR678" s="1"/>
      <c r="AS678" s="1"/>
      <c r="AT678" s="17"/>
      <c r="AU678" s="1"/>
      <c r="AV678" s="1"/>
      <c r="AW678" s="1"/>
      <c r="AX678" s="2"/>
      <c r="AY678" s="2"/>
      <c r="AZ678" s="1"/>
    </row>
    <row x14ac:dyDescent="0.25" r="679" customHeight="1" ht="15">
      <c r="A679" s="1"/>
      <c r="B679" s="1"/>
      <c r="C679" s="1"/>
      <c r="D679" s="1"/>
      <c r="E679" s="1"/>
      <c r="F679" s="1"/>
      <c r="G679" s="1"/>
      <c r="H679" s="1"/>
      <c r="I679" s="1"/>
      <c r="J679" s="1"/>
      <c r="K679" s="17"/>
      <c r="L679" s="1"/>
      <c r="M679" s="1"/>
      <c r="N679" s="2"/>
      <c r="O679" s="2"/>
      <c r="P679" s="1"/>
      <c r="Q679" s="1"/>
      <c r="R679" s="1"/>
      <c r="S679" s="1"/>
      <c r="T679" s="17"/>
      <c r="U679" s="17"/>
      <c r="V679" s="17"/>
      <c r="W679" s="17"/>
      <c r="X679" s="22"/>
      <c r="Y679" s="22"/>
      <c r="Z679" s="22"/>
      <c r="AA679" s="22"/>
      <c r="AB679" s="22"/>
      <c r="AC679" s="22"/>
      <c r="AD679" s="22"/>
      <c r="AE679" s="22"/>
      <c r="AF679" s="22"/>
      <c r="AG679" s="22"/>
      <c r="AH679" s="22"/>
      <c r="AI679" s="22"/>
      <c r="AJ679" s="17"/>
      <c r="AK679" s="22"/>
      <c r="AL679" s="22"/>
      <c r="AM679" s="22"/>
      <c r="AN679" s="22"/>
      <c r="AO679" s="17"/>
      <c r="AP679" s="17"/>
      <c r="AQ679" s="17"/>
      <c r="AR679" s="1"/>
      <c r="AS679" s="1"/>
      <c r="AT679" s="17"/>
      <c r="AU679" s="1"/>
      <c r="AV679" s="1"/>
      <c r="AW679" s="1"/>
      <c r="AX679" s="2"/>
      <c r="AY679" s="2"/>
      <c r="AZ679" s="1"/>
    </row>
    <row x14ac:dyDescent="0.25" r="680" customHeight="1" ht="15">
      <c r="A680" s="1"/>
      <c r="B680" s="1"/>
      <c r="C680" s="1"/>
      <c r="D680" s="1"/>
      <c r="E680" s="1"/>
      <c r="F680" s="1"/>
      <c r="G680" s="1"/>
      <c r="H680" s="1"/>
      <c r="I680" s="1"/>
      <c r="J680" s="1"/>
      <c r="K680" s="17"/>
      <c r="L680" s="1"/>
      <c r="M680" s="1"/>
      <c r="N680" s="2"/>
      <c r="O680" s="2"/>
      <c r="P680" s="1"/>
      <c r="Q680" s="1"/>
      <c r="R680" s="1"/>
      <c r="S680" s="1"/>
      <c r="T680" s="17"/>
      <c r="U680" s="17"/>
      <c r="V680" s="17"/>
      <c r="W680" s="17"/>
      <c r="X680" s="22"/>
      <c r="Y680" s="22"/>
      <c r="Z680" s="22"/>
      <c r="AA680" s="22"/>
      <c r="AB680" s="22"/>
      <c r="AC680" s="22"/>
      <c r="AD680" s="22"/>
      <c r="AE680" s="22"/>
      <c r="AF680" s="22"/>
      <c r="AG680" s="22"/>
      <c r="AH680" s="22"/>
      <c r="AI680" s="22"/>
      <c r="AJ680" s="17"/>
      <c r="AK680" s="22"/>
      <c r="AL680" s="22"/>
      <c r="AM680" s="22"/>
      <c r="AN680" s="22"/>
      <c r="AO680" s="17"/>
      <c r="AP680" s="17"/>
      <c r="AQ680" s="17"/>
      <c r="AR680" s="1"/>
      <c r="AS680" s="1"/>
      <c r="AT680" s="17"/>
      <c r="AU680" s="1"/>
      <c r="AV680" s="1"/>
      <c r="AW680" s="1"/>
      <c r="AX680" s="2"/>
      <c r="AY680" s="2"/>
      <c r="AZ680" s="1"/>
    </row>
    <row x14ac:dyDescent="0.25" r="681" customHeight="1" ht="15">
      <c r="A681" s="1"/>
      <c r="B681" s="1"/>
      <c r="C681" s="1"/>
      <c r="D681" s="1"/>
      <c r="E681" s="1"/>
      <c r="F681" s="1"/>
      <c r="G681" s="1"/>
      <c r="H681" s="1"/>
      <c r="I681" s="1"/>
      <c r="J681" s="1"/>
      <c r="K681" s="17"/>
      <c r="L681" s="1"/>
      <c r="M681" s="1"/>
      <c r="N681" s="2"/>
      <c r="O681" s="2"/>
      <c r="P681" s="1"/>
      <c r="Q681" s="1"/>
      <c r="R681" s="1"/>
      <c r="S681" s="1"/>
      <c r="T681" s="17"/>
      <c r="U681" s="17"/>
      <c r="V681" s="17"/>
      <c r="W681" s="17"/>
      <c r="X681" s="22"/>
      <c r="Y681" s="22"/>
      <c r="Z681" s="22"/>
      <c r="AA681" s="22"/>
      <c r="AB681" s="22"/>
      <c r="AC681" s="22"/>
      <c r="AD681" s="22"/>
      <c r="AE681" s="22"/>
      <c r="AF681" s="22"/>
      <c r="AG681" s="22"/>
      <c r="AH681" s="22"/>
      <c r="AI681" s="22"/>
      <c r="AJ681" s="17"/>
      <c r="AK681" s="22"/>
      <c r="AL681" s="22"/>
      <c r="AM681" s="22"/>
      <c r="AN681" s="22"/>
      <c r="AO681" s="17"/>
      <c r="AP681" s="17"/>
      <c r="AQ681" s="17"/>
      <c r="AR681" s="1"/>
      <c r="AS681" s="1"/>
      <c r="AT681" s="17"/>
      <c r="AU681" s="1"/>
      <c r="AV681" s="1"/>
      <c r="AW681" s="1"/>
      <c r="AX681" s="2"/>
      <c r="AY681" s="2"/>
      <c r="AZ681" s="1"/>
    </row>
    <row x14ac:dyDescent="0.25" r="682" customHeight="1" ht="15">
      <c r="A682" s="1"/>
      <c r="B682" s="1"/>
      <c r="C682" s="1"/>
      <c r="D682" s="1"/>
      <c r="E682" s="1"/>
      <c r="F682" s="1"/>
      <c r="G682" s="1"/>
      <c r="H682" s="1"/>
      <c r="I682" s="1"/>
      <c r="J682" s="1"/>
      <c r="K682" s="17"/>
      <c r="L682" s="1"/>
      <c r="M682" s="1"/>
      <c r="N682" s="2"/>
      <c r="O682" s="2"/>
      <c r="P682" s="1"/>
      <c r="Q682" s="1"/>
      <c r="R682" s="1"/>
      <c r="S682" s="1"/>
      <c r="T682" s="17"/>
      <c r="U682" s="17"/>
      <c r="V682" s="17"/>
      <c r="W682" s="17"/>
      <c r="X682" s="22"/>
      <c r="Y682" s="22"/>
      <c r="Z682" s="22"/>
      <c r="AA682" s="22"/>
      <c r="AB682" s="22"/>
      <c r="AC682" s="22"/>
      <c r="AD682" s="22"/>
      <c r="AE682" s="22"/>
      <c r="AF682" s="22"/>
      <c r="AG682" s="22"/>
      <c r="AH682" s="22"/>
      <c r="AI682" s="22"/>
      <c r="AJ682" s="17"/>
      <c r="AK682" s="22"/>
      <c r="AL682" s="22"/>
      <c r="AM682" s="22"/>
      <c r="AN682" s="22"/>
      <c r="AO682" s="17"/>
      <c r="AP682" s="17"/>
      <c r="AQ682" s="17"/>
      <c r="AR682" s="1"/>
      <c r="AS682" s="1"/>
      <c r="AT682" s="17"/>
      <c r="AU682" s="1"/>
      <c r="AV682" s="1"/>
      <c r="AW682" s="1"/>
      <c r="AX682" s="2"/>
      <c r="AY682" s="2"/>
      <c r="AZ682" s="1"/>
    </row>
    <row x14ac:dyDescent="0.25" r="683" customHeight="1" ht="15">
      <c r="A683" s="1"/>
      <c r="B683" s="1"/>
      <c r="C683" s="1"/>
      <c r="D683" s="1"/>
      <c r="E683" s="1"/>
      <c r="F683" s="1"/>
      <c r="G683" s="1"/>
      <c r="H683" s="1"/>
      <c r="I683" s="1"/>
      <c r="J683" s="1"/>
      <c r="K683" s="17"/>
      <c r="L683" s="1"/>
      <c r="M683" s="1"/>
      <c r="N683" s="2"/>
      <c r="O683" s="2"/>
      <c r="P683" s="1"/>
      <c r="Q683" s="1"/>
      <c r="R683" s="1"/>
      <c r="S683" s="1"/>
      <c r="T683" s="17"/>
      <c r="U683" s="17"/>
      <c r="V683" s="17"/>
      <c r="W683" s="17"/>
      <c r="X683" s="22"/>
      <c r="Y683" s="22"/>
      <c r="Z683" s="22"/>
      <c r="AA683" s="22"/>
      <c r="AB683" s="22"/>
      <c r="AC683" s="22"/>
      <c r="AD683" s="22"/>
      <c r="AE683" s="22"/>
      <c r="AF683" s="22"/>
      <c r="AG683" s="22"/>
      <c r="AH683" s="22"/>
      <c r="AI683" s="22"/>
      <c r="AJ683" s="17"/>
      <c r="AK683" s="22"/>
      <c r="AL683" s="22"/>
      <c r="AM683" s="22"/>
      <c r="AN683" s="22"/>
      <c r="AO683" s="17"/>
      <c r="AP683" s="17"/>
      <c r="AQ683" s="17"/>
      <c r="AR683" s="1"/>
      <c r="AS683" s="1"/>
      <c r="AT683" s="17"/>
      <c r="AU683" s="1"/>
      <c r="AV683" s="1"/>
      <c r="AW683" s="1"/>
      <c r="AX683" s="2"/>
      <c r="AY683" s="2"/>
      <c r="AZ683" s="1"/>
    </row>
    <row x14ac:dyDescent="0.25" r="684" customHeight="1" ht="15">
      <c r="A684" s="1"/>
      <c r="B684" s="1"/>
      <c r="C684" s="1"/>
      <c r="D684" s="1"/>
      <c r="E684" s="1"/>
      <c r="F684" s="1"/>
      <c r="G684" s="1"/>
      <c r="H684" s="1"/>
      <c r="I684" s="1"/>
      <c r="J684" s="1"/>
      <c r="K684" s="17"/>
      <c r="L684" s="1"/>
      <c r="M684" s="1"/>
      <c r="N684" s="2"/>
      <c r="O684" s="2"/>
      <c r="P684" s="1"/>
      <c r="Q684" s="1"/>
      <c r="R684" s="1"/>
      <c r="S684" s="1"/>
      <c r="T684" s="17"/>
      <c r="U684" s="17"/>
      <c r="V684" s="17"/>
      <c r="W684" s="17"/>
      <c r="X684" s="22"/>
      <c r="Y684" s="22"/>
      <c r="Z684" s="22"/>
      <c r="AA684" s="22"/>
      <c r="AB684" s="22"/>
      <c r="AC684" s="22"/>
      <c r="AD684" s="22"/>
      <c r="AE684" s="22"/>
      <c r="AF684" s="22"/>
      <c r="AG684" s="22"/>
      <c r="AH684" s="22"/>
      <c r="AI684" s="22"/>
      <c r="AJ684" s="17"/>
      <c r="AK684" s="22"/>
      <c r="AL684" s="22"/>
      <c r="AM684" s="22"/>
      <c r="AN684" s="22"/>
      <c r="AO684" s="17"/>
      <c r="AP684" s="17"/>
      <c r="AQ684" s="17"/>
      <c r="AR684" s="1"/>
      <c r="AS684" s="1"/>
      <c r="AT684" s="17"/>
      <c r="AU684" s="1"/>
      <c r="AV684" s="1"/>
      <c r="AW684" s="1"/>
      <c r="AX684" s="2"/>
      <c r="AY684" s="2"/>
      <c r="AZ684" s="1"/>
    </row>
    <row x14ac:dyDescent="0.25" r="685" customHeight="1" ht="15">
      <c r="A685" s="1"/>
      <c r="B685" s="1"/>
      <c r="C685" s="1"/>
      <c r="D685" s="1"/>
      <c r="E685" s="1"/>
      <c r="F685" s="1"/>
      <c r="G685" s="1"/>
      <c r="H685" s="1"/>
      <c r="I685" s="1"/>
      <c r="J685" s="1"/>
      <c r="K685" s="17"/>
      <c r="L685" s="1"/>
      <c r="M685" s="1"/>
      <c r="N685" s="2"/>
      <c r="O685" s="2"/>
      <c r="P685" s="1"/>
      <c r="Q685" s="1"/>
      <c r="R685" s="1"/>
      <c r="S685" s="1"/>
      <c r="T685" s="17"/>
      <c r="U685" s="17"/>
      <c r="V685" s="17"/>
      <c r="W685" s="17"/>
      <c r="X685" s="22"/>
      <c r="Y685" s="22"/>
      <c r="Z685" s="22"/>
      <c r="AA685" s="22"/>
      <c r="AB685" s="22"/>
      <c r="AC685" s="22"/>
      <c r="AD685" s="22"/>
      <c r="AE685" s="22"/>
      <c r="AF685" s="22"/>
      <c r="AG685" s="22"/>
      <c r="AH685" s="22"/>
      <c r="AI685" s="22"/>
      <c r="AJ685" s="17"/>
      <c r="AK685" s="22"/>
      <c r="AL685" s="22"/>
      <c r="AM685" s="22"/>
      <c r="AN685" s="22"/>
      <c r="AO685" s="17"/>
      <c r="AP685" s="17"/>
      <c r="AQ685" s="17"/>
      <c r="AR685" s="1"/>
      <c r="AS685" s="1"/>
      <c r="AT685" s="17"/>
      <c r="AU685" s="1"/>
      <c r="AV685" s="1"/>
      <c r="AW685" s="1"/>
      <c r="AX685" s="2"/>
      <c r="AY685" s="2"/>
      <c r="AZ685" s="1"/>
    </row>
    <row x14ac:dyDescent="0.25" r="686" customHeight="1" ht="15">
      <c r="A686" s="1"/>
      <c r="B686" s="1"/>
      <c r="C686" s="1"/>
      <c r="D686" s="1"/>
      <c r="E686" s="1"/>
      <c r="F686" s="1"/>
      <c r="G686" s="1"/>
      <c r="H686" s="1"/>
      <c r="I686" s="1"/>
      <c r="J686" s="1"/>
      <c r="K686" s="17"/>
      <c r="L686" s="1"/>
      <c r="M686" s="1"/>
      <c r="N686" s="2"/>
      <c r="O686" s="2"/>
      <c r="P686" s="1"/>
      <c r="Q686" s="1"/>
      <c r="R686" s="1"/>
      <c r="S686" s="1"/>
      <c r="T686" s="17"/>
      <c r="U686" s="17"/>
      <c r="V686" s="17"/>
      <c r="W686" s="17"/>
      <c r="X686" s="22"/>
      <c r="Y686" s="22"/>
      <c r="Z686" s="22"/>
      <c r="AA686" s="22"/>
      <c r="AB686" s="22"/>
      <c r="AC686" s="22"/>
      <c r="AD686" s="22"/>
      <c r="AE686" s="22"/>
      <c r="AF686" s="22"/>
      <c r="AG686" s="22"/>
      <c r="AH686" s="22"/>
      <c r="AI686" s="22"/>
      <c r="AJ686" s="17"/>
      <c r="AK686" s="22"/>
      <c r="AL686" s="22"/>
      <c r="AM686" s="22"/>
      <c r="AN686" s="22"/>
      <c r="AO686" s="17"/>
      <c r="AP686" s="17"/>
      <c r="AQ686" s="17"/>
      <c r="AR686" s="1"/>
      <c r="AS686" s="1"/>
      <c r="AT686" s="17"/>
      <c r="AU686" s="1"/>
      <c r="AV686" s="1"/>
      <c r="AW686" s="1"/>
      <c r="AX686" s="2"/>
      <c r="AY686" s="2"/>
      <c r="AZ686" s="1"/>
    </row>
    <row x14ac:dyDescent="0.25" r="687" customHeight="1" ht="15">
      <c r="A687" s="1"/>
      <c r="B687" s="1"/>
      <c r="C687" s="1"/>
      <c r="D687" s="1"/>
      <c r="E687" s="1"/>
      <c r="F687" s="1"/>
      <c r="G687" s="1"/>
      <c r="H687" s="1"/>
      <c r="I687" s="1"/>
      <c r="J687" s="1"/>
      <c r="K687" s="17"/>
      <c r="L687" s="1"/>
      <c r="M687" s="1"/>
      <c r="N687" s="2"/>
      <c r="O687" s="2"/>
      <c r="P687" s="1"/>
      <c r="Q687" s="1"/>
      <c r="R687" s="1"/>
      <c r="S687" s="1"/>
      <c r="T687" s="17"/>
      <c r="U687" s="17"/>
      <c r="V687" s="17"/>
      <c r="W687" s="17"/>
      <c r="X687" s="22"/>
      <c r="Y687" s="22"/>
      <c r="Z687" s="22"/>
      <c r="AA687" s="22"/>
      <c r="AB687" s="22"/>
      <c r="AC687" s="22"/>
      <c r="AD687" s="22"/>
      <c r="AE687" s="22"/>
      <c r="AF687" s="22"/>
      <c r="AG687" s="22"/>
      <c r="AH687" s="22"/>
      <c r="AI687" s="22"/>
      <c r="AJ687" s="17"/>
      <c r="AK687" s="22"/>
      <c r="AL687" s="22"/>
      <c r="AM687" s="22"/>
      <c r="AN687" s="22"/>
      <c r="AO687" s="17"/>
      <c r="AP687" s="17"/>
      <c r="AQ687" s="17"/>
      <c r="AR687" s="1"/>
      <c r="AS687" s="1"/>
      <c r="AT687" s="17"/>
      <c r="AU687" s="1"/>
      <c r="AV687" s="1"/>
      <c r="AW687" s="1"/>
      <c r="AX687" s="2"/>
      <c r="AY687" s="2"/>
      <c r="AZ687" s="1"/>
    </row>
    <row x14ac:dyDescent="0.25" r="688" customHeight="1" ht="15">
      <c r="A688" s="1"/>
      <c r="B688" s="1"/>
      <c r="C688" s="1"/>
      <c r="D688" s="1"/>
      <c r="E688" s="1"/>
      <c r="F688" s="1"/>
      <c r="G688" s="1"/>
      <c r="H688" s="1"/>
      <c r="I688" s="1"/>
      <c r="J688" s="1"/>
      <c r="K688" s="17"/>
      <c r="L688" s="1"/>
      <c r="M688" s="1"/>
      <c r="N688" s="2"/>
      <c r="O688" s="2"/>
      <c r="P688" s="1"/>
      <c r="Q688" s="1"/>
      <c r="R688" s="1"/>
      <c r="S688" s="1"/>
      <c r="T688" s="17"/>
      <c r="U688" s="17"/>
      <c r="V688" s="17"/>
      <c r="W688" s="17"/>
      <c r="X688" s="22"/>
      <c r="Y688" s="22"/>
      <c r="Z688" s="22"/>
      <c r="AA688" s="22"/>
      <c r="AB688" s="22"/>
      <c r="AC688" s="22"/>
      <c r="AD688" s="22"/>
      <c r="AE688" s="22"/>
      <c r="AF688" s="22"/>
      <c r="AG688" s="22"/>
      <c r="AH688" s="22"/>
      <c r="AI688" s="22"/>
      <c r="AJ688" s="17"/>
      <c r="AK688" s="22"/>
      <c r="AL688" s="22"/>
      <c r="AM688" s="22"/>
      <c r="AN688" s="22"/>
      <c r="AO688" s="17"/>
      <c r="AP688" s="17"/>
      <c r="AQ688" s="17"/>
      <c r="AR688" s="1"/>
      <c r="AS688" s="1"/>
      <c r="AT688" s="17"/>
      <c r="AU688" s="1"/>
      <c r="AV688" s="1"/>
      <c r="AW688" s="1"/>
      <c r="AX688" s="2"/>
      <c r="AY688" s="2"/>
      <c r="AZ688" s="1"/>
    </row>
    <row x14ac:dyDescent="0.25" r="689" customHeight="1" ht="15">
      <c r="A689" s="1"/>
      <c r="B689" s="1"/>
      <c r="C689" s="1"/>
      <c r="D689" s="1"/>
      <c r="E689" s="1"/>
      <c r="F689" s="1"/>
      <c r="G689" s="1"/>
      <c r="H689" s="1"/>
      <c r="I689" s="1"/>
      <c r="J689" s="1"/>
      <c r="K689" s="17"/>
      <c r="L689" s="1"/>
      <c r="M689" s="1"/>
      <c r="N689" s="2"/>
      <c r="O689" s="2"/>
      <c r="P689" s="1"/>
      <c r="Q689" s="1"/>
      <c r="R689" s="1"/>
      <c r="S689" s="1"/>
      <c r="T689" s="17"/>
      <c r="U689" s="17"/>
      <c r="V689" s="17"/>
      <c r="W689" s="17"/>
      <c r="X689" s="22"/>
      <c r="Y689" s="22"/>
      <c r="Z689" s="22"/>
      <c r="AA689" s="22"/>
      <c r="AB689" s="22"/>
      <c r="AC689" s="22"/>
      <c r="AD689" s="22"/>
      <c r="AE689" s="22"/>
      <c r="AF689" s="22"/>
      <c r="AG689" s="22"/>
      <c r="AH689" s="22"/>
      <c r="AI689" s="22"/>
      <c r="AJ689" s="17"/>
      <c r="AK689" s="22"/>
      <c r="AL689" s="22"/>
      <c r="AM689" s="22"/>
      <c r="AN689" s="22"/>
      <c r="AO689" s="17"/>
      <c r="AP689" s="17"/>
      <c r="AQ689" s="17"/>
      <c r="AR689" s="1"/>
      <c r="AS689" s="1"/>
      <c r="AT689" s="17"/>
      <c r="AU689" s="1"/>
      <c r="AV689" s="1"/>
      <c r="AW689" s="1"/>
      <c r="AX689" s="2"/>
      <c r="AY689" s="2"/>
      <c r="AZ689" s="1"/>
    </row>
    <row x14ac:dyDescent="0.25" r="690" customHeight="1" ht="15">
      <c r="A690" s="1"/>
      <c r="B690" s="1"/>
      <c r="C690" s="1"/>
      <c r="D690" s="1"/>
      <c r="E690" s="1"/>
      <c r="F690" s="1"/>
      <c r="G690" s="1"/>
      <c r="H690" s="1"/>
      <c r="I690" s="1"/>
      <c r="J690" s="1"/>
      <c r="K690" s="17"/>
      <c r="L690" s="1"/>
      <c r="M690" s="1"/>
      <c r="N690" s="2"/>
      <c r="O690" s="2"/>
      <c r="P690" s="1"/>
      <c r="Q690" s="1"/>
      <c r="R690" s="1"/>
      <c r="S690" s="1"/>
      <c r="T690" s="17"/>
      <c r="U690" s="17"/>
      <c r="V690" s="17"/>
      <c r="W690" s="17"/>
      <c r="X690" s="22"/>
      <c r="Y690" s="22"/>
      <c r="Z690" s="22"/>
      <c r="AA690" s="22"/>
      <c r="AB690" s="22"/>
      <c r="AC690" s="22"/>
      <c r="AD690" s="22"/>
      <c r="AE690" s="22"/>
      <c r="AF690" s="22"/>
      <c r="AG690" s="22"/>
      <c r="AH690" s="22"/>
      <c r="AI690" s="22"/>
      <c r="AJ690" s="17"/>
      <c r="AK690" s="22"/>
      <c r="AL690" s="22"/>
      <c r="AM690" s="22"/>
      <c r="AN690" s="22"/>
      <c r="AO690" s="17"/>
      <c r="AP690" s="17"/>
      <c r="AQ690" s="17"/>
      <c r="AR690" s="1"/>
      <c r="AS690" s="1"/>
      <c r="AT690" s="17"/>
      <c r="AU690" s="1"/>
      <c r="AV690" s="1"/>
      <c r="AW690" s="1"/>
      <c r="AX690" s="2"/>
      <c r="AY690" s="2"/>
      <c r="AZ690" s="1"/>
    </row>
    <row x14ac:dyDescent="0.25" r="691" customHeight="1" ht="15">
      <c r="A691" s="1"/>
      <c r="B691" s="1"/>
      <c r="C691" s="1"/>
      <c r="D691" s="1"/>
      <c r="E691" s="1"/>
      <c r="F691" s="1"/>
      <c r="G691" s="1"/>
      <c r="H691" s="1"/>
      <c r="I691" s="1"/>
      <c r="J691" s="1"/>
      <c r="K691" s="17"/>
      <c r="L691" s="1"/>
      <c r="M691" s="1"/>
      <c r="N691" s="2"/>
      <c r="O691" s="2"/>
      <c r="P691" s="1"/>
      <c r="Q691" s="1"/>
      <c r="R691" s="1"/>
      <c r="S691" s="1"/>
      <c r="T691" s="17"/>
      <c r="U691" s="17"/>
      <c r="V691" s="17"/>
      <c r="W691" s="17"/>
      <c r="X691" s="22"/>
      <c r="Y691" s="22"/>
      <c r="Z691" s="22"/>
      <c r="AA691" s="22"/>
      <c r="AB691" s="22"/>
      <c r="AC691" s="22"/>
      <c r="AD691" s="22"/>
      <c r="AE691" s="22"/>
      <c r="AF691" s="22"/>
      <c r="AG691" s="22"/>
      <c r="AH691" s="22"/>
      <c r="AI691" s="22"/>
      <c r="AJ691" s="17"/>
      <c r="AK691" s="22"/>
      <c r="AL691" s="22"/>
      <c r="AM691" s="22"/>
      <c r="AN691" s="22"/>
      <c r="AO691" s="17"/>
      <c r="AP691" s="17"/>
      <c r="AQ691" s="17"/>
      <c r="AR691" s="1"/>
      <c r="AS691" s="1"/>
      <c r="AT691" s="17"/>
      <c r="AU691" s="1"/>
      <c r="AV691" s="1"/>
      <c r="AW691" s="1"/>
      <c r="AX691" s="2"/>
      <c r="AY691" s="2"/>
      <c r="AZ691" s="1"/>
    </row>
    <row x14ac:dyDescent="0.25" r="692" customHeight="1" ht="15">
      <c r="A692" s="1"/>
      <c r="B692" s="1"/>
      <c r="C692" s="1"/>
      <c r="D692" s="1"/>
      <c r="E692" s="1"/>
      <c r="F692" s="1"/>
      <c r="G692" s="1"/>
      <c r="H692" s="1"/>
      <c r="I692" s="1"/>
      <c r="J692" s="1"/>
      <c r="K692" s="17"/>
      <c r="L692" s="1"/>
      <c r="M692" s="1"/>
      <c r="N692" s="2"/>
      <c r="O692" s="2"/>
      <c r="P692" s="1"/>
      <c r="Q692" s="1"/>
      <c r="R692" s="1"/>
      <c r="S692" s="1"/>
      <c r="T692" s="17"/>
      <c r="U692" s="17"/>
      <c r="V692" s="17"/>
      <c r="W692" s="17"/>
      <c r="X692" s="22"/>
      <c r="Y692" s="22"/>
      <c r="Z692" s="22"/>
      <c r="AA692" s="22"/>
      <c r="AB692" s="22"/>
      <c r="AC692" s="22"/>
      <c r="AD692" s="22"/>
      <c r="AE692" s="22"/>
      <c r="AF692" s="22"/>
      <c r="AG692" s="22"/>
      <c r="AH692" s="22"/>
      <c r="AI692" s="22"/>
      <c r="AJ692" s="17"/>
      <c r="AK692" s="22"/>
      <c r="AL692" s="22"/>
      <c r="AM692" s="22"/>
      <c r="AN692" s="22"/>
      <c r="AO692" s="17"/>
      <c r="AP692" s="17"/>
      <c r="AQ692" s="17"/>
      <c r="AR692" s="1"/>
      <c r="AS692" s="1"/>
      <c r="AT692" s="17"/>
      <c r="AU692" s="1"/>
      <c r="AV692" s="1"/>
      <c r="AW692" s="1"/>
      <c r="AX692" s="2"/>
      <c r="AY692" s="2"/>
      <c r="AZ692" s="1"/>
    </row>
    <row x14ac:dyDescent="0.25" r="693" customHeight="1" ht="15">
      <c r="A693" s="1"/>
      <c r="B693" s="1"/>
      <c r="C693" s="1"/>
      <c r="D693" s="1"/>
      <c r="E693" s="1"/>
      <c r="F693" s="1"/>
      <c r="G693" s="1"/>
      <c r="H693" s="1"/>
      <c r="I693" s="1"/>
      <c r="J693" s="1"/>
      <c r="K693" s="17"/>
      <c r="L693" s="1"/>
      <c r="M693" s="1"/>
      <c r="N693" s="2"/>
      <c r="O693" s="2"/>
      <c r="P693" s="1"/>
      <c r="Q693" s="1"/>
      <c r="R693" s="1"/>
      <c r="S693" s="1"/>
      <c r="T693" s="17"/>
      <c r="U693" s="17"/>
      <c r="V693" s="17"/>
      <c r="W693" s="17"/>
      <c r="X693" s="22"/>
      <c r="Y693" s="22"/>
      <c r="Z693" s="22"/>
      <c r="AA693" s="22"/>
      <c r="AB693" s="22"/>
      <c r="AC693" s="22"/>
      <c r="AD693" s="22"/>
      <c r="AE693" s="22"/>
      <c r="AF693" s="22"/>
      <c r="AG693" s="22"/>
      <c r="AH693" s="22"/>
      <c r="AI693" s="22"/>
      <c r="AJ693" s="17"/>
      <c r="AK693" s="22"/>
      <c r="AL693" s="22"/>
      <c r="AM693" s="22"/>
      <c r="AN693" s="22"/>
      <c r="AO693" s="17"/>
      <c r="AP693" s="17"/>
      <c r="AQ693" s="17"/>
      <c r="AR693" s="1"/>
      <c r="AS693" s="1"/>
      <c r="AT693" s="17"/>
      <c r="AU693" s="1"/>
      <c r="AV693" s="1"/>
      <c r="AW693" s="1"/>
      <c r="AX693" s="2"/>
      <c r="AY693" s="2"/>
      <c r="AZ693" s="1"/>
    </row>
    <row x14ac:dyDescent="0.25" r="694" customHeight="1" ht="15">
      <c r="A694" s="1"/>
      <c r="B694" s="1"/>
      <c r="C694" s="1"/>
      <c r="D694" s="1"/>
      <c r="E694" s="1"/>
      <c r="F694" s="1"/>
      <c r="G694" s="1"/>
      <c r="H694" s="1"/>
      <c r="I694" s="1"/>
      <c r="J694" s="1"/>
      <c r="K694" s="17"/>
      <c r="L694" s="1"/>
      <c r="M694" s="1"/>
      <c r="N694" s="2"/>
      <c r="O694" s="2"/>
      <c r="P694" s="1"/>
      <c r="Q694" s="1"/>
      <c r="R694" s="1"/>
      <c r="S694" s="1"/>
      <c r="T694" s="17"/>
      <c r="U694" s="17"/>
      <c r="V694" s="17"/>
      <c r="W694" s="17"/>
      <c r="X694" s="22"/>
      <c r="Y694" s="22"/>
      <c r="Z694" s="22"/>
      <c r="AA694" s="22"/>
      <c r="AB694" s="22"/>
      <c r="AC694" s="22"/>
      <c r="AD694" s="22"/>
      <c r="AE694" s="22"/>
      <c r="AF694" s="22"/>
      <c r="AG694" s="22"/>
      <c r="AH694" s="22"/>
      <c r="AI694" s="22"/>
      <c r="AJ694" s="17"/>
      <c r="AK694" s="22"/>
      <c r="AL694" s="22"/>
      <c r="AM694" s="22"/>
      <c r="AN694" s="22"/>
      <c r="AO694" s="17"/>
      <c r="AP694" s="17"/>
      <c r="AQ694" s="17"/>
      <c r="AR694" s="1"/>
      <c r="AS694" s="1"/>
      <c r="AT694" s="17"/>
      <c r="AU694" s="1"/>
      <c r="AV694" s="1"/>
      <c r="AW694" s="1"/>
      <c r="AX694" s="2"/>
      <c r="AY694" s="2"/>
      <c r="AZ694" s="1"/>
    </row>
    <row x14ac:dyDescent="0.25" r="695" customHeight="1" ht="15">
      <c r="A695" s="1"/>
      <c r="B695" s="1"/>
      <c r="C695" s="1"/>
      <c r="D695" s="1"/>
      <c r="E695" s="1"/>
      <c r="F695" s="1"/>
      <c r="G695" s="1"/>
      <c r="H695" s="1"/>
      <c r="I695" s="1"/>
      <c r="J695" s="1"/>
      <c r="K695" s="17"/>
      <c r="L695" s="1"/>
      <c r="M695" s="1"/>
      <c r="N695" s="2"/>
      <c r="O695" s="2"/>
      <c r="P695" s="1"/>
      <c r="Q695" s="1"/>
      <c r="R695" s="1"/>
      <c r="S695" s="1"/>
      <c r="T695" s="17"/>
      <c r="U695" s="17"/>
      <c r="V695" s="17"/>
      <c r="W695" s="17"/>
      <c r="X695" s="22"/>
      <c r="Y695" s="22"/>
      <c r="Z695" s="22"/>
      <c r="AA695" s="22"/>
      <c r="AB695" s="22"/>
      <c r="AC695" s="22"/>
      <c r="AD695" s="22"/>
      <c r="AE695" s="22"/>
      <c r="AF695" s="22"/>
      <c r="AG695" s="22"/>
      <c r="AH695" s="22"/>
      <c r="AI695" s="22"/>
      <c r="AJ695" s="17"/>
      <c r="AK695" s="22"/>
      <c r="AL695" s="22"/>
      <c r="AM695" s="22"/>
      <c r="AN695" s="22"/>
      <c r="AO695" s="17"/>
      <c r="AP695" s="17"/>
      <c r="AQ695" s="17"/>
      <c r="AR695" s="1"/>
      <c r="AS695" s="1"/>
      <c r="AT695" s="17"/>
      <c r="AU695" s="1"/>
      <c r="AV695" s="1"/>
      <c r="AW695" s="1"/>
      <c r="AX695" s="2"/>
      <c r="AY695" s="2"/>
      <c r="AZ695" s="1"/>
    </row>
    <row x14ac:dyDescent="0.25" r="696" customHeight="1" ht="15">
      <c r="A696" s="1"/>
      <c r="B696" s="1"/>
      <c r="C696" s="1"/>
      <c r="D696" s="1"/>
      <c r="E696" s="1"/>
      <c r="F696" s="1"/>
      <c r="G696" s="1"/>
      <c r="H696" s="1"/>
      <c r="I696" s="1"/>
      <c r="J696" s="1"/>
      <c r="K696" s="17"/>
      <c r="L696" s="1"/>
      <c r="M696" s="1"/>
      <c r="N696" s="2"/>
      <c r="O696" s="2"/>
      <c r="P696" s="1"/>
      <c r="Q696" s="1"/>
      <c r="R696" s="1"/>
      <c r="S696" s="1"/>
      <c r="T696" s="17"/>
      <c r="U696" s="17"/>
      <c r="V696" s="17"/>
      <c r="W696" s="17"/>
      <c r="X696" s="22"/>
      <c r="Y696" s="22"/>
      <c r="Z696" s="22"/>
      <c r="AA696" s="22"/>
      <c r="AB696" s="22"/>
      <c r="AC696" s="22"/>
      <c r="AD696" s="22"/>
      <c r="AE696" s="22"/>
      <c r="AF696" s="22"/>
      <c r="AG696" s="22"/>
      <c r="AH696" s="22"/>
      <c r="AI696" s="22"/>
      <c r="AJ696" s="17"/>
      <c r="AK696" s="22"/>
      <c r="AL696" s="22"/>
      <c r="AM696" s="22"/>
      <c r="AN696" s="22"/>
      <c r="AO696" s="17"/>
      <c r="AP696" s="17"/>
      <c r="AQ696" s="17"/>
      <c r="AR696" s="1"/>
      <c r="AS696" s="1"/>
      <c r="AT696" s="17"/>
      <c r="AU696" s="1"/>
      <c r="AV696" s="1"/>
      <c r="AW696" s="1"/>
      <c r="AX696" s="2"/>
      <c r="AY696" s="2"/>
      <c r="AZ696" s="1"/>
    </row>
    <row x14ac:dyDescent="0.25" r="697" customHeight="1" ht="15">
      <c r="A697" s="1"/>
      <c r="B697" s="1"/>
      <c r="C697" s="1"/>
      <c r="D697" s="1"/>
      <c r="E697" s="1"/>
      <c r="F697" s="1"/>
      <c r="G697" s="1"/>
      <c r="H697" s="1"/>
      <c r="I697" s="1"/>
      <c r="J697" s="1"/>
      <c r="K697" s="17"/>
      <c r="L697" s="1"/>
      <c r="M697" s="1"/>
      <c r="N697" s="2"/>
      <c r="O697" s="2"/>
      <c r="P697" s="1"/>
      <c r="Q697" s="1"/>
      <c r="R697" s="1"/>
      <c r="S697" s="1"/>
      <c r="T697" s="17"/>
      <c r="U697" s="17"/>
      <c r="V697" s="17"/>
      <c r="W697" s="17"/>
      <c r="X697" s="22"/>
      <c r="Y697" s="22"/>
      <c r="Z697" s="22"/>
      <c r="AA697" s="22"/>
      <c r="AB697" s="22"/>
      <c r="AC697" s="22"/>
      <c r="AD697" s="22"/>
      <c r="AE697" s="22"/>
      <c r="AF697" s="22"/>
      <c r="AG697" s="22"/>
      <c r="AH697" s="22"/>
      <c r="AI697" s="22"/>
      <c r="AJ697" s="17"/>
      <c r="AK697" s="22"/>
      <c r="AL697" s="22"/>
      <c r="AM697" s="22"/>
      <c r="AN697" s="22"/>
      <c r="AO697" s="17"/>
      <c r="AP697" s="17"/>
      <c r="AQ697" s="17"/>
      <c r="AR697" s="1"/>
      <c r="AS697" s="1"/>
      <c r="AT697" s="17"/>
      <c r="AU697" s="1"/>
      <c r="AV697" s="1"/>
      <c r="AW697" s="1"/>
      <c r="AX697" s="2"/>
      <c r="AY697" s="2"/>
      <c r="AZ697" s="1"/>
    </row>
    <row x14ac:dyDescent="0.25" r="698" customHeight="1" ht="15">
      <c r="A698" s="1"/>
      <c r="B698" s="1"/>
      <c r="C698" s="1"/>
      <c r="D698" s="1"/>
      <c r="E698" s="1"/>
      <c r="F698" s="1"/>
      <c r="G698" s="1"/>
      <c r="H698" s="1"/>
      <c r="I698" s="1"/>
      <c r="J698" s="1"/>
      <c r="K698" s="17"/>
      <c r="L698" s="1"/>
      <c r="M698" s="1"/>
      <c r="N698" s="2"/>
      <c r="O698" s="2"/>
      <c r="P698" s="1"/>
      <c r="Q698" s="1"/>
      <c r="R698" s="1"/>
      <c r="S698" s="1"/>
      <c r="T698" s="17"/>
      <c r="U698" s="17"/>
      <c r="V698" s="17"/>
      <c r="W698" s="17"/>
      <c r="X698" s="22"/>
      <c r="Y698" s="22"/>
      <c r="Z698" s="22"/>
      <c r="AA698" s="22"/>
      <c r="AB698" s="22"/>
      <c r="AC698" s="22"/>
      <c r="AD698" s="22"/>
      <c r="AE698" s="22"/>
      <c r="AF698" s="22"/>
      <c r="AG698" s="22"/>
      <c r="AH698" s="22"/>
      <c r="AI698" s="22"/>
      <c r="AJ698" s="17"/>
      <c r="AK698" s="22"/>
      <c r="AL698" s="22"/>
      <c r="AM698" s="22"/>
      <c r="AN698" s="22"/>
      <c r="AO698" s="17"/>
      <c r="AP698" s="17"/>
      <c r="AQ698" s="17"/>
      <c r="AR698" s="1"/>
      <c r="AS698" s="1"/>
      <c r="AT698" s="17"/>
      <c r="AU698" s="1"/>
      <c r="AV698" s="1"/>
      <c r="AW698" s="1"/>
      <c r="AX698" s="2"/>
      <c r="AY698" s="2"/>
      <c r="AZ698" s="1"/>
    </row>
    <row x14ac:dyDescent="0.25" r="699" customHeight="1" ht="15">
      <c r="A699" s="1"/>
      <c r="B699" s="1"/>
      <c r="C699" s="1"/>
      <c r="D699" s="1"/>
      <c r="E699" s="1"/>
      <c r="F699" s="1"/>
      <c r="G699" s="1"/>
      <c r="H699" s="1"/>
      <c r="I699" s="1"/>
      <c r="J699" s="1"/>
      <c r="K699" s="17"/>
      <c r="L699" s="1"/>
      <c r="M699" s="1"/>
      <c r="N699" s="2"/>
      <c r="O699" s="2"/>
      <c r="P699" s="1"/>
      <c r="Q699" s="1"/>
      <c r="R699" s="1"/>
      <c r="S699" s="1"/>
      <c r="T699" s="17"/>
      <c r="U699" s="17"/>
      <c r="V699" s="17"/>
      <c r="W699" s="17"/>
      <c r="X699" s="22"/>
      <c r="Y699" s="22"/>
      <c r="Z699" s="22"/>
      <c r="AA699" s="22"/>
      <c r="AB699" s="22"/>
      <c r="AC699" s="22"/>
      <c r="AD699" s="22"/>
      <c r="AE699" s="22"/>
      <c r="AF699" s="22"/>
      <c r="AG699" s="22"/>
      <c r="AH699" s="22"/>
      <c r="AI699" s="22"/>
      <c r="AJ699" s="17"/>
      <c r="AK699" s="22"/>
      <c r="AL699" s="22"/>
      <c r="AM699" s="22"/>
      <c r="AN699" s="22"/>
      <c r="AO699" s="17"/>
      <c r="AP699" s="17"/>
      <c r="AQ699" s="17"/>
      <c r="AR699" s="1"/>
      <c r="AS699" s="1"/>
      <c r="AT699" s="17"/>
      <c r="AU699" s="1"/>
      <c r="AV699" s="1"/>
      <c r="AW699" s="1"/>
      <c r="AX699" s="2"/>
      <c r="AY699" s="2"/>
      <c r="AZ699" s="1"/>
    </row>
    <row x14ac:dyDescent="0.25" r="700" customHeight="1" ht="15">
      <c r="A700" s="1"/>
      <c r="B700" s="1"/>
      <c r="C700" s="1"/>
      <c r="D700" s="1"/>
      <c r="E700" s="1"/>
      <c r="F700" s="1"/>
      <c r="G700" s="1"/>
      <c r="H700" s="1"/>
      <c r="I700" s="1"/>
      <c r="J700" s="1"/>
      <c r="K700" s="17"/>
      <c r="L700" s="1"/>
      <c r="M700" s="1"/>
      <c r="N700" s="2"/>
      <c r="O700" s="2"/>
      <c r="P700" s="1"/>
      <c r="Q700" s="1"/>
      <c r="R700" s="1"/>
      <c r="S700" s="1"/>
      <c r="T700" s="17"/>
      <c r="U700" s="17"/>
      <c r="V700" s="17"/>
      <c r="W700" s="17"/>
      <c r="X700" s="22"/>
      <c r="Y700" s="22"/>
      <c r="Z700" s="22"/>
      <c r="AA700" s="22"/>
      <c r="AB700" s="22"/>
      <c r="AC700" s="22"/>
      <c r="AD700" s="22"/>
      <c r="AE700" s="22"/>
      <c r="AF700" s="22"/>
      <c r="AG700" s="22"/>
      <c r="AH700" s="22"/>
      <c r="AI700" s="22"/>
      <c r="AJ700" s="17"/>
      <c r="AK700" s="22"/>
      <c r="AL700" s="22"/>
      <c r="AM700" s="22"/>
      <c r="AN700" s="22"/>
      <c r="AO700" s="17"/>
      <c r="AP700" s="17"/>
      <c r="AQ700" s="17"/>
      <c r="AR700" s="1"/>
      <c r="AS700" s="1"/>
      <c r="AT700" s="17"/>
      <c r="AU700" s="1"/>
      <c r="AV700" s="1"/>
      <c r="AW700" s="1"/>
      <c r="AX700" s="2"/>
      <c r="AY700" s="2"/>
      <c r="AZ700" s="1"/>
    </row>
    <row x14ac:dyDescent="0.25" r="701" customHeight="1" ht="15">
      <c r="A701" s="1"/>
      <c r="B701" s="1"/>
      <c r="C701" s="1"/>
      <c r="D701" s="1"/>
      <c r="E701" s="1"/>
      <c r="F701" s="1"/>
      <c r="G701" s="1"/>
      <c r="H701" s="1"/>
      <c r="I701" s="1"/>
      <c r="J701" s="1"/>
      <c r="K701" s="17"/>
      <c r="L701" s="1"/>
      <c r="M701" s="1"/>
      <c r="N701" s="2"/>
      <c r="O701" s="2"/>
      <c r="P701" s="1"/>
      <c r="Q701" s="1"/>
      <c r="R701" s="1"/>
      <c r="S701" s="1"/>
      <c r="T701" s="17"/>
      <c r="U701" s="17"/>
      <c r="V701" s="17"/>
      <c r="W701" s="17"/>
      <c r="X701" s="22"/>
      <c r="Y701" s="22"/>
      <c r="Z701" s="22"/>
      <c r="AA701" s="22"/>
      <c r="AB701" s="22"/>
      <c r="AC701" s="22"/>
      <c r="AD701" s="22"/>
      <c r="AE701" s="22"/>
      <c r="AF701" s="22"/>
      <c r="AG701" s="22"/>
      <c r="AH701" s="22"/>
      <c r="AI701" s="22"/>
      <c r="AJ701" s="17"/>
      <c r="AK701" s="22"/>
      <c r="AL701" s="22"/>
      <c r="AM701" s="22"/>
      <c r="AN701" s="22"/>
      <c r="AO701" s="17"/>
      <c r="AP701" s="17"/>
      <c r="AQ701" s="17"/>
      <c r="AR701" s="1"/>
      <c r="AS701" s="1"/>
      <c r="AT701" s="17"/>
      <c r="AU701" s="1"/>
      <c r="AV701" s="1"/>
      <c r="AW701" s="1"/>
      <c r="AX701" s="2"/>
      <c r="AY701" s="2"/>
      <c r="AZ701" s="1"/>
    </row>
    <row x14ac:dyDescent="0.25" r="702" customHeight="1" ht="15">
      <c r="A702" s="1"/>
      <c r="B702" s="1"/>
      <c r="C702" s="1"/>
      <c r="D702" s="1"/>
      <c r="E702" s="1"/>
      <c r="F702" s="1"/>
      <c r="G702" s="1"/>
      <c r="H702" s="1"/>
      <c r="I702" s="1"/>
      <c r="J702" s="1"/>
      <c r="K702" s="17"/>
      <c r="L702" s="1"/>
      <c r="M702" s="1"/>
      <c r="N702" s="2"/>
      <c r="O702" s="2"/>
      <c r="P702" s="1"/>
      <c r="Q702" s="1"/>
      <c r="R702" s="1"/>
      <c r="S702" s="1"/>
      <c r="T702" s="17"/>
      <c r="U702" s="17"/>
      <c r="V702" s="17"/>
      <c r="W702" s="17"/>
      <c r="X702" s="22"/>
      <c r="Y702" s="22"/>
      <c r="Z702" s="22"/>
      <c r="AA702" s="22"/>
      <c r="AB702" s="22"/>
      <c r="AC702" s="22"/>
      <c r="AD702" s="22"/>
      <c r="AE702" s="22"/>
      <c r="AF702" s="22"/>
      <c r="AG702" s="22"/>
      <c r="AH702" s="22"/>
      <c r="AI702" s="22"/>
      <c r="AJ702" s="17"/>
      <c r="AK702" s="22"/>
      <c r="AL702" s="22"/>
      <c r="AM702" s="22"/>
      <c r="AN702" s="22"/>
      <c r="AO702" s="17"/>
      <c r="AP702" s="17"/>
      <c r="AQ702" s="17"/>
      <c r="AR702" s="1"/>
      <c r="AS702" s="1"/>
      <c r="AT702" s="17"/>
      <c r="AU702" s="1"/>
      <c r="AV702" s="1"/>
      <c r="AW702" s="1"/>
      <c r="AX702" s="2"/>
      <c r="AY702" s="2"/>
      <c r="AZ702" s="1"/>
    </row>
    <row x14ac:dyDescent="0.25" r="703" customHeight="1" ht="15">
      <c r="A703" s="1"/>
      <c r="B703" s="1"/>
      <c r="C703" s="1"/>
      <c r="D703" s="1"/>
      <c r="E703" s="1"/>
      <c r="F703" s="1"/>
      <c r="G703" s="1"/>
      <c r="H703" s="1"/>
      <c r="I703" s="1"/>
      <c r="J703" s="1"/>
      <c r="K703" s="17"/>
      <c r="L703" s="1"/>
      <c r="M703" s="1"/>
      <c r="N703" s="2"/>
      <c r="O703" s="2"/>
      <c r="P703" s="1"/>
      <c r="Q703" s="1"/>
      <c r="R703" s="1"/>
      <c r="S703" s="1"/>
      <c r="T703" s="17"/>
      <c r="U703" s="17"/>
      <c r="V703" s="17"/>
      <c r="W703" s="17"/>
      <c r="X703" s="22"/>
      <c r="Y703" s="22"/>
      <c r="Z703" s="22"/>
      <c r="AA703" s="22"/>
      <c r="AB703" s="22"/>
      <c r="AC703" s="22"/>
      <c r="AD703" s="22"/>
      <c r="AE703" s="22"/>
      <c r="AF703" s="22"/>
      <c r="AG703" s="22"/>
      <c r="AH703" s="22"/>
      <c r="AI703" s="22"/>
      <c r="AJ703" s="17"/>
      <c r="AK703" s="22"/>
      <c r="AL703" s="22"/>
      <c r="AM703" s="22"/>
      <c r="AN703" s="22"/>
      <c r="AO703" s="17"/>
      <c r="AP703" s="17"/>
      <c r="AQ703" s="17"/>
      <c r="AR703" s="1"/>
      <c r="AS703" s="1"/>
      <c r="AT703" s="17"/>
      <c r="AU703" s="1"/>
      <c r="AV703" s="1"/>
      <c r="AW703" s="1"/>
      <c r="AX703" s="2"/>
      <c r="AY703" s="2"/>
      <c r="AZ703" s="1"/>
    </row>
    <row x14ac:dyDescent="0.25" r="704" customHeight="1" ht="15">
      <c r="A704" s="1"/>
      <c r="B704" s="1"/>
      <c r="C704" s="1"/>
      <c r="D704" s="1"/>
      <c r="E704" s="1"/>
      <c r="F704" s="1"/>
      <c r="G704" s="1"/>
      <c r="H704" s="1"/>
      <c r="I704" s="1"/>
      <c r="J704" s="1"/>
      <c r="K704" s="17"/>
      <c r="L704" s="1"/>
      <c r="M704" s="1"/>
      <c r="N704" s="2"/>
      <c r="O704" s="2"/>
      <c r="P704" s="1"/>
      <c r="Q704" s="1"/>
      <c r="R704" s="1"/>
      <c r="S704" s="1"/>
      <c r="T704" s="17"/>
      <c r="U704" s="17"/>
      <c r="V704" s="17"/>
      <c r="W704" s="17"/>
      <c r="X704" s="22"/>
      <c r="Y704" s="22"/>
      <c r="Z704" s="22"/>
      <c r="AA704" s="22"/>
      <c r="AB704" s="22"/>
      <c r="AC704" s="22"/>
      <c r="AD704" s="22"/>
      <c r="AE704" s="22"/>
      <c r="AF704" s="22"/>
      <c r="AG704" s="22"/>
      <c r="AH704" s="22"/>
      <c r="AI704" s="22"/>
      <c r="AJ704" s="17"/>
      <c r="AK704" s="22"/>
      <c r="AL704" s="22"/>
      <c r="AM704" s="22"/>
      <c r="AN704" s="22"/>
      <c r="AO704" s="17"/>
      <c r="AP704" s="17"/>
      <c r="AQ704" s="17"/>
      <c r="AR704" s="1"/>
      <c r="AS704" s="1"/>
      <c r="AT704" s="17"/>
      <c r="AU704" s="1"/>
      <c r="AV704" s="1"/>
      <c r="AW704" s="1"/>
      <c r="AX704" s="2"/>
      <c r="AY704" s="2"/>
      <c r="AZ704" s="1"/>
    </row>
    <row x14ac:dyDescent="0.25" r="705" customHeight="1" ht="15">
      <c r="A705" s="1"/>
      <c r="B705" s="1"/>
      <c r="C705" s="1"/>
      <c r="D705" s="1"/>
      <c r="E705" s="1"/>
      <c r="F705" s="1"/>
      <c r="G705" s="1"/>
      <c r="H705" s="1"/>
      <c r="I705" s="1"/>
      <c r="J705" s="1"/>
      <c r="K705" s="17"/>
      <c r="L705" s="1"/>
      <c r="M705" s="1"/>
      <c r="N705" s="2"/>
      <c r="O705" s="2"/>
      <c r="P705" s="1"/>
      <c r="Q705" s="1"/>
      <c r="R705" s="1"/>
      <c r="S705" s="1"/>
      <c r="T705" s="17"/>
      <c r="U705" s="17"/>
      <c r="V705" s="17"/>
      <c r="W705" s="17"/>
      <c r="X705" s="22"/>
      <c r="Y705" s="22"/>
      <c r="Z705" s="22"/>
      <c r="AA705" s="22"/>
      <c r="AB705" s="22"/>
      <c r="AC705" s="22"/>
      <c r="AD705" s="22"/>
      <c r="AE705" s="22"/>
      <c r="AF705" s="22"/>
      <c r="AG705" s="22"/>
      <c r="AH705" s="22"/>
      <c r="AI705" s="22"/>
      <c r="AJ705" s="17"/>
      <c r="AK705" s="22"/>
      <c r="AL705" s="22"/>
      <c r="AM705" s="22"/>
      <c r="AN705" s="22"/>
      <c r="AO705" s="17"/>
      <c r="AP705" s="17"/>
      <c r="AQ705" s="17"/>
      <c r="AR705" s="1"/>
      <c r="AS705" s="1"/>
      <c r="AT705" s="17"/>
      <c r="AU705" s="1"/>
      <c r="AV705" s="1"/>
      <c r="AW705" s="1"/>
      <c r="AX705" s="2"/>
      <c r="AY705" s="2"/>
      <c r="AZ705" s="1"/>
    </row>
    <row x14ac:dyDescent="0.25" r="706" customHeight="1" ht="15">
      <c r="A706" s="1"/>
      <c r="B706" s="1"/>
      <c r="C706" s="1"/>
      <c r="D706" s="1"/>
      <c r="E706" s="1"/>
      <c r="F706" s="1"/>
      <c r="G706" s="1"/>
      <c r="H706" s="1"/>
      <c r="I706" s="1"/>
      <c r="J706" s="1"/>
      <c r="K706" s="17"/>
      <c r="L706" s="1"/>
      <c r="M706" s="1"/>
      <c r="N706" s="2"/>
      <c r="O706" s="2"/>
      <c r="P706" s="1"/>
      <c r="Q706" s="1"/>
      <c r="R706" s="1"/>
      <c r="S706" s="1"/>
      <c r="T706" s="17"/>
      <c r="U706" s="17"/>
      <c r="V706" s="17"/>
      <c r="W706" s="17"/>
      <c r="X706" s="22"/>
      <c r="Y706" s="22"/>
      <c r="Z706" s="22"/>
      <c r="AA706" s="22"/>
      <c r="AB706" s="22"/>
      <c r="AC706" s="22"/>
      <c r="AD706" s="22"/>
      <c r="AE706" s="22"/>
      <c r="AF706" s="22"/>
      <c r="AG706" s="22"/>
      <c r="AH706" s="22"/>
      <c r="AI706" s="22"/>
      <c r="AJ706" s="17"/>
      <c r="AK706" s="22"/>
      <c r="AL706" s="22"/>
      <c r="AM706" s="22"/>
      <c r="AN706" s="22"/>
      <c r="AO706" s="17"/>
      <c r="AP706" s="17"/>
      <c r="AQ706" s="17"/>
      <c r="AR706" s="1"/>
      <c r="AS706" s="1"/>
      <c r="AT706" s="17"/>
      <c r="AU706" s="1"/>
      <c r="AV706" s="1"/>
      <c r="AW706" s="1"/>
      <c r="AX706" s="2"/>
      <c r="AY706" s="2"/>
      <c r="AZ706" s="1"/>
    </row>
    <row x14ac:dyDescent="0.25" r="707" customHeight="1" ht="15">
      <c r="A707" s="1"/>
      <c r="B707" s="1"/>
      <c r="C707" s="1"/>
      <c r="D707" s="1"/>
      <c r="E707" s="1"/>
      <c r="F707" s="1"/>
      <c r="G707" s="1"/>
      <c r="H707" s="1"/>
      <c r="I707" s="1"/>
      <c r="J707" s="1"/>
      <c r="K707" s="17"/>
      <c r="L707" s="1"/>
      <c r="M707" s="1"/>
      <c r="N707" s="2"/>
      <c r="O707" s="2"/>
      <c r="P707" s="1"/>
      <c r="Q707" s="1"/>
      <c r="R707" s="1"/>
      <c r="S707" s="1"/>
      <c r="T707" s="17"/>
      <c r="U707" s="17"/>
      <c r="V707" s="17"/>
      <c r="W707" s="17"/>
      <c r="X707" s="22"/>
      <c r="Y707" s="22"/>
      <c r="Z707" s="22"/>
      <c r="AA707" s="22"/>
      <c r="AB707" s="22"/>
      <c r="AC707" s="22"/>
      <c r="AD707" s="22"/>
      <c r="AE707" s="22"/>
      <c r="AF707" s="22"/>
      <c r="AG707" s="22"/>
      <c r="AH707" s="22"/>
      <c r="AI707" s="22"/>
      <c r="AJ707" s="17"/>
      <c r="AK707" s="22"/>
      <c r="AL707" s="22"/>
      <c r="AM707" s="22"/>
      <c r="AN707" s="22"/>
      <c r="AO707" s="17"/>
      <c r="AP707" s="17"/>
      <c r="AQ707" s="17"/>
      <c r="AR707" s="1"/>
      <c r="AS707" s="1"/>
      <c r="AT707" s="17"/>
      <c r="AU707" s="1"/>
      <c r="AV707" s="1"/>
      <c r="AW707" s="1"/>
      <c r="AX707" s="2"/>
      <c r="AY707" s="2"/>
      <c r="AZ707" s="1"/>
    </row>
    <row x14ac:dyDescent="0.25" r="708" customHeight="1" ht="15">
      <c r="A708" s="1"/>
      <c r="B708" s="1"/>
      <c r="C708" s="1"/>
      <c r="D708" s="1"/>
      <c r="E708" s="1"/>
      <c r="F708" s="1"/>
      <c r="G708" s="1"/>
      <c r="H708" s="1"/>
      <c r="I708" s="1"/>
      <c r="J708" s="1"/>
      <c r="K708" s="17"/>
      <c r="L708" s="1"/>
      <c r="M708" s="1"/>
      <c r="N708" s="2"/>
      <c r="O708" s="2"/>
      <c r="P708" s="1"/>
      <c r="Q708" s="1"/>
      <c r="R708" s="1"/>
      <c r="S708" s="1"/>
      <c r="T708" s="17"/>
      <c r="U708" s="17"/>
      <c r="V708" s="17"/>
      <c r="W708" s="17"/>
      <c r="X708" s="22"/>
      <c r="Y708" s="22"/>
      <c r="Z708" s="22"/>
      <c r="AA708" s="22"/>
      <c r="AB708" s="22"/>
      <c r="AC708" s="22"/>
      <c r="AD708" s="22"/>
      <c r="AE708" s="22"/>
      <c r="AF708" s="22"/>
      <c r="AG708" s="22"/>
      <c r="AH708" s="22"/>
      <c r="AI708" s="22"/>
      <c r="AJ708" s="17"/>
      <c r="AK708" s="22"/>
      <c r="AL708" s="22"/>
      <c r="AM708" s="22"/>
      <c r="AN708" s="22"/>
      <c r="AO708" s="17"/>
      <c r="AP708" s="17"/>
      <c r="AQ708" s="17"/>
      <c r="AR708" s="1"/>
      <c r="AS708" s="1"/>
      <c r="AT708" s="17"/>
      <c r="AU708" s="1"/>
      <c r="AV708" s="1"/>
      <c r="AW708" s="1"/>
      <c r="AX708" s="2"/>
      <c r="AY708" s="2"/>
      <c r="AZ708" s="1"/>
    </row>
    <row x14ac:dyDescent="0.25" r="709" customHeight="1" ht="15">
      <c r="A709" s="1"/>
      <c r="B709" s="1"/>
      <c r="C709" s="1"/>
      <c r="D709" s="1"/>
      <c r="E709" s="1"/>
      <c r="F709" s="1"/>
      <c r="G709" s="1"/>
      <c r="H709" s="1"/>
      <c r="I709" s="1"/>
      <c r="J709" s="1"/>
      <c r="K709" s="17"/>
      <c r="L709" s="1"/>
      <c r="M709" s="1"/>
      <c r="N709" s="2"/>
      <c r="O709" s="2"/>
      <c r="P709" s="1"/>
      <c r="Q709" s="1"/>
      <c r="R709" s="1"/>
      <c r="S709" s="1"/>
      <c r="T709" s="17"/>
      <c r="U709" s="17"/>
      <c r="V709" s="17"/>
      <c r="W709" s="17"/>
      <c r="X709" s="22"/>
      <c r="Y709" s="22"/>
      <c r="Z709" s="22"/>
      <c r="AA709" s="22"/>
      <c r="AB709" s="22"/>
      <c r="AC709" s="22"/>
      <c r="AD709" s="22"/>
      <c r="AE709" s="22"/>
      <c r="AF709" s="22"/>
      <c r="AG709" s="22"/>
      <c r="AH709" s="22"/>
      <c r="AI709" s="22"/>
      <c r="AJ709" s="17"/>
      <c r="AK709" s="22"/>
      <c r="AL709" s="22"/>
      <c r="AM709" s="22"/>
      <c r="AN709" s="22"/>
      <c r="AO709" s="17"/>
      <c r="AP709" s="17"/>
      <c r="AQ709" s="17"/>
      <c r="AR709" s="1"/>
      <c r="AS709" s="1"/>
      <c r="AT709" s="17"/>
      <c r="AU709" s="1"/>
      <c r="AV709" s="1"/>
      <c r="AW709" s="1"/>
      <c r="AX709" s="2"/>
      <c r="AY709" s="2"/>
      <c r="AZ709" s="1"/>
    </row>
    <row x14ac:dyDescent="0.25" r="710" customHeight="1" ht="15">
      <c r="A710" s="1"/>
      <c r="B710" s="1"/>
      <c r="C710" s="1"/>
      <c r="D710" s="1"/>
      <c r="E710" s="1"/>
      <c r="F710" s="1"/>
      <c r="G710" s="1"/>
      <c r="H710" s="1"/>
      <c r="I710" s="1"/>
      <c r="J710" s="1"/>
      <c r="K710" s="17"/>
      <c r="L710" s="1"/>
      <c r="M710" s="1"/>
      <c r="N710" s="2"/>
      <c r="O710" s="2"/>
      <c r="P710" s="1"/>
      <c r="Q710" s="1"/>
      <c r="R710" s="1"/>
      <c r="S710" s="1"/>
      <c r="T710" s="17"/>
      <c r="U710" s="17"/>
      <c r="V710" s="17"/>
      <c r="W710" s="17"/>
      <c r="X710" s="22"/>
      <c r="Y710" s="22"/>
      <c r="Z710" s="22"/>
      <c r="AA710" s="22"/>
      <c r="AB710" s="22"/>
      <c r="AC710" s="22"/>
      <c r="AD710" s="22"/>
      <c r="AE710" s="22"/>
      <c r="AF710" s="22"/>
      <c r="AG710" s="22"/>
      <c r="AH710" s="22"/>
      <c r="AI710" s="22"/>
      <c r="AJ710" s="17"/>
      <c r="AK710" s="22"/>
      <c r="AL710" s="22"/>
      <c r="AM710" s="22"/>
      <c r="AN710" s="22"/>
      <c r="AO710" s="17"/>
      <c r="AP710" s="17"/>
      <c r="AQ710" s="17"/>
      <c r="AR710" s="1"/>
      <c r="AS710" s="1"/>
      <c r="AT710" s="17"/>
      <c r="AU710" s="1"/>
      <c r="AV710" s="1"/>
      <c r="AW710" s="1"/>
      <c r="AX710" s="2"/>
      <c r="AY710" s="2"/>
      <c r="AZ710" s="1"/>
    </row>
    <row x14ac:dyDescent="0.25" r="711" customHeight="1" ht="15">
      <c r="A711" s="1"/>
      <c r="B711" s="1"/>
      <c r="C711" s="1"/>
      <c r="D711" s="1"/>
      <c r="E711" s="1"/>
      <c r="F711" s="1"/>
      <c r="G711" s="1"/>
      <c r="H711" s="1"/>
      <c r="I711" s="1"/>
      <c r="J711" s="1"/>
      <c r="K711" s="17"/>
      <c r="L711" s="1"/>
      <c r="M711" s="1"/>
      <c r="N711" s="2"/>
      <c r="O711" s="2"/>
      <c r="P711" s="1"/>
      <c r="Q711" s="1"/>
      <c r="R711" s="1"/>
      <c r="S711" s="1"/>
      <c r="T711" s="17"/>
      <c r="U711" s="17"/>
      <c r="V711" s="17"/>
      <c r="W711" s="17"/>
      <c r="X711" s="22"/>
      <c r="Y711" s="22"/>
      <c r="Z711" s="22"/>
      <c r="AA711" s="22"/>
      <c r="AB711" s="22"/>
      <c r="AC711" s="22"/>
      <c r="AD711" s="22"/>
      <c r="AE711" s="22"/>
      <c r="AF711" s="22"/>
      <c r="AG711" s="22"/>
      <c r="AH711" s="22"/>
      <c r="AI711" s="22"/>
      <c r="AJ711" s="17"/>
      <c r="AK711" s="22"/>
      <c r="AL711" s="22"/>
      <c r="AM711" s="22"/>
      <c r="AN711" s="22"/>
      <c r="AO711" s="17"/>
      <c r="AP711" s="17"/>
      <c r="AQ711" s="17"/>
      <c r="AR711" s="1"/>
      <c r="AS711" s="1"/>
      <c r="AT711" s="17"/>
      <c r="AU711" s="1"/>
      <c r="AV711" s="1"/>
      <c r="AW711" s="1"/>
      <c r="AX711" s="2"/>
      <c r="AY711" s="2"/>
      <c r="AZ711" s="1"/>
    </row>
    <row x14ac:dyDescent="0.25" r="712" customHeight="1" ht="15">
      <c r="A712" s="1"/>
      <c r="B712" s="1"/>
      <c r="C712" s="1"/>
      <c r="D712" s="1"/>
      <c r="E712" s="1"/>
      <c r="F712" s="1"/>
      <c r="G712" s="1"/>
      <c r="H712" s="1"/>
      <c r="I712" s="1"/>
      <c r="J712" s="1"/>
      <c r="K712" s="17"/>
      <c r="L712" s="1"/>
      <c r="M712" s="1"/>
      <c r="N712" s="2"/>
      <c r="O712" s="2"/>
      <c r="P712" s="1"/>
      <c r="Q712" s="1"/>
      <c r="R712" s="1"/>
      <c r="S712" s="1"/>
      <c r="T712" s="17"/>
      <c r="U712" s="17"/>
      <c r="V712" s="17"/>
      <c r="W712" s="17"/>
      <c r="X712" s="22"/>
      <c r="Y712" s="22"/>
      <c r="Z712" s="22"/>
      <c r="AA712" s="22"/>
      <c r="AB712" s="22"/>
      <c r="AC712" s="22"/>
      <c r="AD712" s="22"/>
      <c r="AE712" s="22"/>
      <c r="AF712" s="22"/>
      <c r="AG712" s="22"/>
      <c r="AH712" s="22"/>
      <c r="AI712" s="22"/>
      <c r="AJ712" s="17"/>
      <c r="AK712" s="22"/>
      <c r="AL712" s="22"/>
      <c r="AM712" s="22"/>
      <c r="AN712" s="22"/>
      <c r="AO712" s="17"/>
      <c r="AP712" s="17"/>
      <c r="AQ712" s="17"/>
      <c r="AR712" s="1"/>
      <c r="AS712" s="1"/>
      <c r="AT712" s="17"/>
      <c r="AU712" s="1"/>
      <c r="AV712" s="1"/>
      <c r="AW712" s="1"/>
      <c r="AX712" s="2"/>
      <c r="AY712" s="2"/>
      <c r="AZ712" s="1"/>
    </row>
    <row x14ac:dyDescent="0.25" r="713" customHeight="1" ht="15">
      <c r="A713" s="1"/>
      <c r="B713" s="1"/>
      <c r="C713" s="1"/>
      <c r="D713" s="1"/>
      <c r="E713" s="1"/>
      <c r="F713" s="1"/>
      <c r="G713" s="1"/>
      <c r="H713" s="1"/>
      <c r="I713" s="1"/>
      <c r="J713" s="1"/>
      <c r="K713" s="17"/>
      <c r="L713" s="1"/>
      <c r="M713" s="1"/>
      <c r="N713" s="2"/>
      <c r="O713" s="2"/>
      <c r="P713" s="1"/>
      <c r="Q713" s="1"/>
      <c r="R713" s="1"/>
      <c r="S713" s="1"/>
      <c r="T713" s="17"/>
      <c r="U713" s="17"/>
      <c r="V713" s="17"/>
      <c r="W713" s="17"/>
      <c r="X713" s="22"/>
      <c r="Y713" s="22"/>
      <c r="Z713" s="22"/>
      <c r="AA713" s="22"/>
      <c r="AB713" s="22"/>
      <c r="AC713" s="22"/>
      <c r="AD713" s="22"/>
      <c r="AE713" s="22"/>
      <c r="AF713" s="22"/>
      <c r="AG713" s="22"/>
      <c r="AH713" s="22"/>
      <c r="AI713" s="22"/>
      <c r="AJ713" s="17"/>
      <c r="AK713" s="22"/>
      <c r="AL713" s="22"/>
      <c r="AM713" s="22"/>
      <c r="AN713" s="22"/>
      <c r="AO713" s="17"/>
      <c r="AP713" s="17"/>
      <c r="AQ713" s="17"/>
      <c r="AR713" s="1"/>
      <c r="AS713" s="1"/>
      <c r="AT713" s="17"/>
      <c r="AU713" s="1"/>
      <c r="AV713" s="1"/>
      <c r="AW713" s="1"/>
      <c r="AX713" s="2"/>
      <c r="AY713" s="2"/>
      <c r="AZ713" s="1"/>
    </row>
    <row x14ac:dyDescent="0.25" r="714" customHeight="1" ht="15">
      <c r="A714" s="1"/>
      <c r="B714" s="1"/>
      <c r="C714" s="1"/>
      <c r="D714" s="1"/>
      <c r="E714" s="1"/>
      <c r="F714" s="1"/>
      <c r="G714" s="1"/>
      <c r="H714" s="1"/>
      <c r="I714" s="1"/>
      <c r="J714" s="1"/>
      <c r="K714" s="17"/>
      <c r="L714" s="1"/>
      <c r="M714" s="1"/>
      <c r="N714" s="2"/>
      <c r="O714" s="2"/>
      <c r="P714" s="1"/>
      <c r="Q714" s="1"/>
      <c r="R714" s="1"/>
      <c r="S714" s="1"/>
      <c r="T714" s="17"/>
      <c r="U714" s="17"/>
      <c r="V714" s="17"/>
      <c r="W714" s="17"/>
      <c r="X714" s="22"/>
      <c r="Y714" s="22"/>
      <c r="Z714" s="22"/>
      <c r="AA714" s="22"/>
      <c r="AB714" s="22"/>
      <c r="AC714" s="22"/>
      <c r="AD714" s="22"/>
      <c r="AE714" s="22"/>
      <c r="AF714" s="22"/>
      <c r="AG714" s="22"/>
      <c r="AH714" s="22"/>
      <c r="AI714" s="22"/>
      <c r="AJ714" s="17"/>
      <c r="AK714" s="22"/>
      <c r="AL714" s="22"/>
      <c r="AM714" s="22"/>
      <c r="AN714" s="22"/>
      <c r="AO714" s="17"/>
      <c r="AP714" s="17"/>
      <c r="AQ714" s="17"/>
      <c r="AR714" s="1"/>
      <c r="AS714" s="1"/>
      <c r="AT714" s="17"/>
      <c r="AU714" s="1"/>
      <c r="AV714" s="1"/>
      <c r="AW714" s="1"/>
      <c r="AX714" s="2"/>
      <c r="AY714" s="2"/>
      <c r="AZ714" s="1"/>
    </row>
    <row x14ac:dyDescent="0.25" r="715" customHeight="1" ht="15">
      <c r="A715" s="1"/>
      <c r="B715" s="1"/>
      <c r="C715" s="1"/>
      <c r="D715" s="1"/>
      <c r="E715" s="1"/>
      <c r="F715" s="1"/>
      <c r="G715" s="1"/>
      <c r="H715" s="1"/>
      <c r="I715" s="1"/>
      <c r="J715" s="1"/>
      <c r="K715" s="17"/>
      <c r="L715" s="1"/>
      <c r="M715" s="1"/>
      <c r="N715" s="2"/>
      <c r="O715" s="2"/>
      <c r="P715" s="1"/>
      <c r="Q715" s="1"/>
      <c r="R715" s="1"/>
      <c r="S715" s="1"/>
      <c r="T715" s="17"/>
      <c r="U715" s="17"/>
      <c r="V715" s="17"/>
      <c r="W715" s="17"/>
      <c r="X715" s="22"/>
      <c r="Y715" s="22"/>
      <c r="Z715" s="22"/>
      <c r="AA715" s="22"/>
      <c r="AB715" s="22"/>
      <c r="AC715" s="22"/>
      <c r="AD715" s="22"/>
      <c r="AE715" s="22"/>
      <c r="AF715" s="22"/>
      <c r="AG715" s="22"/>
      <c r="AH715" s="22"/>
      <c r="AI715" s="22"/>
      <c r="AJ715" s="17"/>
      <c r="AK715" s="22"/>
      <c r="AL715" s="22"/>
      <c r="AM715" s="22"/>
      <c r="AN715" s="22"/>
      <c r="AO715" s="17"/>
      <c r="AP715" s="17"/>
      <c r="AQ715" s="17"/>
      <c r="AR715" s="1"/>
      <c r="AS715" s="1"/>
      <c r="AT715" s="17"/>
      <c r="AU715" s="1"/>
      <c r="AV715" s="1"/>
      <c r="AW715" s="1"/>
      <c r="AX715" s="2"/>
      <c r="AY715" s="2"/>
      <c r="AZ715" s="1"/>
    </row>
    <row x14ac:dyDescent="0.25" r="716" customHeight="1" ht="15">
      <c r="A716" s="1"/>
      <c r="B716" s="1"/>
      <c r="C716" s="1"/>
      <c r="D716" s="1"/>
      <c r="E716" s="1"/>
      <c r="F716" s="1"/>
      <c r="G716" s="1"/>
      <c r="H716" s="1"/>
      <c r="I716" s="1"/>
      <c r="J716" s="1"/>
      <c r="K716" s="17"/>
      <c r="L716" s="1"/>
      <c r="M716" s="1"/>
      <c r="N716" s="2"/>
      <c r="O716" s="2"/>
      <c r="P716" s="1"/>
      <c r="Q716" s="1"/>
      <c r="R716" s="1"/>
      <c r="S716" s="1"/>
      <c r="T716" s="17"/>
      <c r="U716" s="17"/>
      <c r="V716" s="17"/>
      <c r="W716" s="17"/>
      <c r="X716" s="22"/>
      <c r="Y716" s="22"/>
      <c r="Z716" s="22"/>
      <c r="AA716" s="22"/>
      <c r="AB716" s="22"/>
      <c r="AC716" s="22"/>
      <c r="AD716" s="22"/>
      <c r="AE716" s="22"/>
      <c r="AF716" s="22"/>
      <c r="AG716" s="22"/>
      <c r="AH716" s="22"/>
      <c r="AI716" s="22"/>
      <c r="AJ716" s="17"/>
      <c r="AK716" s="22"/>
      <c r="AL716" s="22"/>
      <c r="AM716" s="22"/>
      <c r="AN716" s="22"/>
      <c r="AO716" s="17"/>
      <c r="AP716" s="17"/>
      <c r="AQ716" s="17"/>
      <c r="AR716" s="1"/>
      <c r="AS716" s="1"/>
      <c r="AT716" s="17"/>
      <c r="AU716" s="1"/>
      <c r="AV716" s="1"/>
      <c r="AW716" s="1"/>
      <c r="AX716" s="2"/>
      <c r="AY716" s="2"/>
      <c r="AZ716" s="1"/>
    </row>
    <row x14ac:dyDescent="0.25" r="717" customHeight="1" ht="15">
      <c r="A717" s="1"/>
      <c r="B717" s="1"/>
      <c r="C717" s="1"/>
      <c r="D717" s="1"/>
      <c r="E717" s="1"/>
      <c r="F717" s="1"/>
      <c r="G717" s="1"/>
      <c r="H717" s="1"/>
      <c r="I717" s="1"/>
      <c r="J717" s="1"/>
      <c r="K717" s="17"/>
      <c r="L717" s="1"/>
      <c r="M717" s="1"/>
      <c r="N717" s="2"/>
      <c r="O717" s="2"/>
      <c r="P717" s="1"/>
      <c r="Q717" s="1"/>
      <c r="R717" s="1"/>
      <c r="S717" s="1"/>
      <c r="T717" s="17"/>
      <c r="U717" s="17"/>
      <c r="V717" s="17"/>
      <c r="W717" s="17"/>
      <c r="X717" s="22"/>
      <c r="Y717" s="22"/>
      <c r="Z717" s="22"/>
      <c r="AA717" s="22"/>
      <c r="AB717" s="22"/>
      <c r="AC717" s="22"/>
      <c r="AD717" s="22"/>
      <c r="AE717" s="22"/>
      <c r="AF717" s="22"/>
      <c r="AG717" s="22"/>
      <c r="AH717" s="22"/>
      <c r="AI717" s="22"/>
      <c r="AJ717" s="17"/>
      <c r="AK717" s="22"/>
      <c r="AL717" s="22"/>
      <c r="AM717" s="22"/>
      <c r="AN717" s="22"/>
      <c r="AO717" s="17"/>
      <c r="AP717" s="17"/>
      <c r="AQ717" s="17"/>
      <c r="AR717" s="1"/>
      <c r="AS717" s="1"/>
      <c r="AT717" s="17"/>
      <c r="AU717" s="1"/>
      <c r="AV717" s="1"/>
      <c r="AW717" s="1"/>
      <c r="AX717" s="2"/>
      <c r="AY717" s="2"/>
      <c r="AZ717" s="1"/>
    </row>
    <row x14ac:dyDescent="0.25" r="718" customHeight="1" ht="15">
      <c r="A718" s="1"/>
      <c r="B718" s="1"/>
      <c r="C718" s="1"/>
      <c r="D718" s="1"/>
      <c r="E718" s="1"/>
      <c r="F718" s="1"/>
      <c r="G718" s="1"/>
      <c r="H718" s="1"/>
      <c r="I718" s="1"/>
      <c r="J718" s="1"/>
      <c r="K718" s="17"/>
      <c r="L718" s="1"/>
      <c r="M718" s="1"/>
      <c r="N718" s="2"/>
      <c r="O718" s="2"/>
      <c r="P718" s="1"/>
      <c r="Q718" s="1"/>
      <c r="R718" s="1"/>
      <c r="S718" s="1"/>
      <c r="T718" s="17"/>
      <c r="U718" s="17"/>
      <c r="V718" s="17"/>
      <c r="W718" s="17"/>
      <c r="X718" s="22"/>
      <c r="Y718" s="22"/>
      <c r="Z718" s="22"/>
      <c r="AA718" s="22"/>
      <c r="AB718" s="22"/>
      <c r="AC718" s="22"/>
      <c r="AD718" s="22"/>
      <c r="AE718" s="22"/>
      <c r="AF718" s="22"/>
      <c r="AG718" s="22"/>
      <c r="AH718" s="22"/>
      <c r="AI718" s="22"/>
      <c r="AJ718" s="17"/>
      <c r="AK718" s="22"/>
      <c r="AL718" s="22"/>
      <c r="AM718" s="22"/>
      <c r="AN718" s="22"/>
      <c r="AO718" s="17"/>
      <c r="AP718" s="17"/>
      <c r="AQ718" s="17"/>
      <c r="AR718" s="1"/>
      <c r="AS718" s="1"/>
      <c r="AT718" s="17"/>
      <c r="AU718" s="1"/>
      <c r="AV718" s="1"/>
      <c r="AW718" s="1"/>
      <c r="AX718" s="2"/>
      <c r="AY718" s="2"/>
      <c r="AZ718" s="1"/>
    </row>
    <row x14ac:dyDescent="0.25" r="719" customHeight="1" ht="15">
      <c r="A719" s="1"/>
      <c r="B719" s="1"/>
      <c r="C719" s="1"/>
      <c r="D719" s="1"/>
      <c r="E719" s="1"/>
      <c r="F719" s="1"/>
      <c r="G719" s="1"/>
      <c r="H719" s="1"/>
      <c r="I719" s="1"/>
      <c r="J719" s="1"/>
      <c r="K719" s="17"/>
      <c r="L719" s="1"/>
      <c r="M719" s="1"/>
      <c r="N719" s="2"/>
      <c r="O719" s="2"/>
      <c r="P719" s="1"/>
      <c r="Q719" s="1"/>
      <c r="R719" s="1"/>
      <c r="S719" s="1"/>
      <c r="T719" s="17"/>
      <c r="U719" s="17"/>
      <c r="V719" s="17"/>
      <c r="W719" s="17"/>
      <c r="X719" s="22"/>
      <c r="Y719" s="22"/>
      <c r="Z719" s="22"/>
      <c r="AA719" s="22"/>
      <c r="AB719" s="22"/>
      <c r="AC719" s="22"/>
      <c r="AD719" s="22"/>
      <c r="AE719" s="22"/>
      <c r="AF719" s="22"/>
      <c r="AG719" s="22"/>
      <c r="AH719" s="22"/>
      <c r="AI719" s="22"/>
      <c r="AJ719" s="17"/>
      <c r="AK719" s="22"/>
      <c r="AL719" s="22"/>
      <c r="AM719" s="22"/>
      <c r="AN719" s="22"/>
      <c r="AO719" s="17"/>
      <c r="AP719" s="17"/>
      <c r="AQ719" s="17"/>
      <c r="AR719" s="1"/>
      <c r="AS719" s="1"/>
      <c r="AT719" s="17"/>
      <c r="AU719" s="1"/>
      <c r="AV719" s="1"/>
      <c r="AW719" s="1"/>
      <c r="AX719" s="2"/>
      <c r="AY719" s="2"/>
      <c r="AZ719" s="1"/>
    </row>
    <row x14ac:dyDescent="0.25" r="720" customHeight="1" ht="15">
      <c r="A720" s="1"/>
      <c r="B720" s="1"/>
      <c r="C720" s="1"/>
      <c r="D720" s="1"/>
      <c r="E720" s="1"/>
      <c r="F720" s="1"/>
      <c r="G720" s="1"/>
      <c r="H720" s="1"/>
      <c r="I720" s="1"/>
      <c r="J720" s="1"/>
      <c r="K720" s="17"/>
      <c r="L720" s="1"/>
      <c r="M720" s="1"/>
      <c r="N720" s="2"/>
      <c r="O720" s="2"/>
      <c r="P720" s="1"/>
      <c r="Q720" s="1"/>
      <c r="R720" s="1"/>
      <c r="S720" s="1"/>
      <c r="T720" s="17"/>
      <c r="U720" s="17"/>
      <c r="V720" s="17"/>
      <c r="W720" s="17"/>
      <c r="X720" s="22"/>
      <c r="Y720" s="22"/>
      <c r="Z720" s="22"/>
      <c r="AA720" s="22"/>
      <c r="AB720" s="22"/>
      <c r="AC720" s="22"/>
      <c r="AD720" s="22"/>
      <c r="AE720" s="22"/>
      <c r="AF720" s="22"/>
      <c r="AG720" s="22"/>
      <c r="AH720" s="22"/>
      <c r="AI720" s="22"/>
      <c r="AJ720" s="17"/>
      <c r="AK720" s="22"/>
      <c r="AL720" s="22"/>
      <c r="AM720" s="22"/>
      <c r="AN720" s="22"/>
      <c r="AO720" s="17"/>
      <c r="AP720" s="17"/>
      <c r="AQ720" s="17"/>
      <c r="AR720" s="1"/>
      <c r="AS720" s="1"/>
      <c r="AT720" s="17"/>
      <c r="AU720" s="1"/>
      <c r="AV720" s="1"/>
      <c r="AW720" s="1"/>
      <c r="AX720" s="2"/>
      <c r="AY720" s="2"/>
      <c r="AZ720" s="1"/>
    </row>
    <row x14ac:dyDescent="0.25" r="721" customHeight="1" ht="15">
      <c r="A721" s="1"/>
      <c r="B721" s="1"/>
      <c r="C721" s="1"/>
      <c r="D721" s="1"/>
      <c r="E721" s="1"/>
      <c r="F721" s="1"/>
      <c r="G721" s="1"/>
      <c r="H721" s="1"/>
      <c r="I721" s="1"/>
      <c r="J721" s="1"/>
      <c r="K721" s="17"/>
      <c r="L721" s="1"/>
      <c r="M721" s="1"/>
      <c r="N721" s="2"/>
      <c r="O721" s="2"/>
      <c r="P721" s="1"/>
      <c r="Q721" s="1"/>
      <c r="R721" s="1"/>
      <c r="S721" s="1"/>
      <c r="T721" s="17"/>
      <c r="U721" s="17"/>
      <c r="V721" s="17"/>
      <c r="W721" s="17"/>
      <c r="X721" s="22"/>
      <c r="Y721" s="22"/>
      <c r="Z721" s="22"/>
      <c r="AA721" s="22"/>
      <c r="AB721" s="22"/>
      <c r="AC721" s="22"/>
      <c r="AD721" s="22"/>
      <c r="AE721" s="22"/>
      <c r="AF721" s="22"/>
      <c r="AG721" s="22"/>
      <c r="AH721" s="22"/>
      <c r="AI721" s="22"/>
      <c r="AJ721" s="17"/>
      <c r="AK721" s="22"/>
      <c r="AL721" s="22"/>
      <c r="AM721" s="22"/>
      <c r="AN721" s="22"/>
      <c r="AO721" s="17"/>
      <c r="AP721" s="17"/>
      <c r="AQ721" s="17"/>
      <c r="AR721" s="1"/>
      <c r="AS721" s="1"/>
      <c r="AT721" s="17"/>
      <c r="AU721" s="1"/>
      <c r="AV721" s="1"/>
      <c r="AW721" s="1"/>
      <c r="AX721" s="2"/>
      <c r="AY721" s="2"/>
      <c r="AZ721" s="1"/>
    </row>
    <row x14ac:dyDescent="0.25" r="722" customHeight="1" ht="15">
      <c r="A722" s="1"/>
      <c r="B722" s="1"/>
      <c r="C722" s="1"/>
      <c r="D722" s="1"/>
      <c r="E722" s="1"/>
      <c r="F722" s="1"/>
      <c r="G722" s="1"/>
      <c r="H722" s="1"/>
      <c r="I722" s="1"/>
      <c r="J722" s="1"/>
      <c r="K722" s="17"/>
      <c r="L722" s="1"/>
      <c r="M722" s="1"/>
      <c r="N722" s="2"/>
      <c r="O722" s="2"/>
      <c r="P722" s="1"/>
      <c r="Q722" s="1"/>
      <c r="R722" s="1"/>
      <c r="S722" s="1"/>
      <c r="T722" s="17"/>
      <c r="U722" s="17"/>
      <c r="V722" s="17"/>
      <c r="W722" s="17"/>
      <c r="X722" s="22"/>
      <c r="Y722" s="22"/>
      <c r="Z722" s="22"/>
      <c r="AA722" s="22"/>
      <c r="AB722" s="22"/>
      <c r="AC722" s="22"/>
      <c r="AD722" s="22"/>
      <c r="AE722" s="22"/>
      <c r="AF722" s="22"/>
      <c r="AG722" s="22"/>
      <c r="AH722" s="22"/>
      <c r="AI722" s="22"/>
      <c r="AJ722" s="17"/>
      <c r="AK722" s="22"/>
      <c r="AL722" s="22"/>
      <c r="AM722" s="22"/>
      <c r="AN722" s="22"/>
      <c r="AO722" s="17"/>
      <c r="AP722" s="17"/>
      <c r="AQ722" s="17"/>
      <c r="AR722" s="1"/>
      <c r="AS722" s="1"/>
      <c r="AT722" s="17"/>
      <c r="AU722" s="1"/>
      <c r="AV722" s="1"/>
      <c r="AW722" s="1"/>
      <c r="AX722" s="2"/>
      <c r="AY722" s="2"/>
      <c r="AZ722" s="1"/>
    </row>
    <row x14ac:dyDescent="0.25" r="723" customHeight="1" ht="15">
      <c r="A723" s="1"/>
      <c r="B723" s="1"/>
      <c r="C723" s="1"/>
      <c r="D723" s="1"/>
      <c r="E723" s="1"/>
      <c r="F723" s="1"/>
      <c r="G723" s="1"/>
      <c r="H723" s="1"/>
      <c r="I723" s="1"/>
      <c r="J723" s="1"/>
      <c r="K723" s="17"/>
      <c r="L723" s="1"/>
      <c r="M723" s="1"/>
      <c r="N723" s="2"/>
      <c r="O723" s="2"/>
      <c r="P723" s="1"/>
      <c r="Q723" s="1"/>
      <c r="R723" s="1"/>
      <c r="S723" s="1"/>
      <c r="T723" s="17"/>
      <c r="U723" s="17"/>
      <c r="V723" s="17"/>
      <c r="W723" s="17"/>
      <c r="X723" s="22"/>
      <c r="Y723" s="22"/>
      <c r="Z723" s="22"/>
      <c r="AA723" s="22"/>
      <c r="AB723" s="22"/>
      <c r="AC723" s="22"/>
      <c r="AD723" s="22"/>
      <c r="AE723" s="22"/>
      <c r="AF723" s="22"/>
      <c r="AG723" s="22"/>
      <c r="AH723" s="22"/>
      <c r="AI723" s="22"/>
      <c r="AJ723" s="17"/>
      <c r="AK723" s="22"/>
      <c r="AL723" s="22"/>
      <c r="AM723" s="22"/>
      <c r="AN723" s="22"/>
      <c r="AO723" s="17"/>
      <c r="AP723" s="17"/>
      <c r="AQ723" s="17"/>
      <c r="AR723" s="1"/>
      <c r="AS723" s="1"/>
      <c r="AT723" s="17"/>
      <c r="AU723" s="1"/>
      <c r="AV723" s="1"/>
      <c r="AW723" s="1"/>
      <c r="AX723" s="2"/>
      <c r="AY723" s="2"/>
      <c r="AZ723" s="1"/>
    </row>
    <row x14ac:dyDescent="0.25" r="724" customHeight="1" ht="15">
      <c r="A724" s="1"/>
      <c r="B724" s="1"/>
      <c r="C724" s="1"/>
      <c r="D724" s="1"/>
      <c r="E724" s="1"/>
      <c r="F724" s="1"/>
      <c r="G724" s="1"/>
      <c r="H724" s="1"/>
      <c r="I724" s="1"/>
      <c r="J724" s="1"/>
      <c r="K724" s="17"/>
      <c r="L724" s="1"/>
      <c r="M724" s="1"/>
      <c r="N724" s="2"/>
      <c r="O724" s="2"/>
      <c r="P724" s="1"/>
      <c r="Q724" s="1"/>
      <c r="R724" s="1"/>
      <c r="S724" s="1"/>
      <c r="T724" s="17"/>
      <c r="U724" s="17"/>
      <c r="V724" s="17"/>
      <c r="W724" s="17"/>
      <c r="X724" s="22"/>
      <c r="Y724" s="22"/>
      <c r="Z724" s="22"/>
      <c r="AA724" s="22"/>
      <c r="AB724" s="22"/>
      <c r="AC724" s="22"/>
      <c r="AD724" s="22"/>
      <c r="AE724" s="22"/>
      <c r="AF724" s="22"/>
      <c r="AG724" s="22"/>
      <c r="AH724" s="22"/>
      <c r="AI724" s="22"/>
      <c r="AJ724" s="17"/>
      <c r="AK724" s="22"/>
      <c r="AL724" s="22"/>
      <c r="AM724" s="22"/>
      <c r="AN724" s="22"/>
      <c r="AO724" s="17"/>
      <c r="AP724" s="17"/>
      <c r="AQ724" s="17"/>
      <c r="AR724" s="1"/>
      <c r="AS724" s="1"/>
      <c r="AT724" s="17"/>
      <c r="AU724" s="1"/>
      <c r="AV724" s="1"/>
      <c r="AW724" s="1"/>
      <c r="AX724" s="2"/>
      <c r="AY724" s="2"/>
      <c r="AZ724" s="1"/>
    </row>
    <row x14ac:dyDescent="0.25" r="725" customHeight="1" ht="15">
      <c r="A725" s="1"/>
      <c r="B725" s="1"/>
      <c r="C725" s="1"/>
      <c r="D725" s="1"/>
      <c r="E725" s="1"/>
      <c r="F725" s="1"/>
      <c r="G725" s="1"/>
      <c r="H725" s="1"/>
      <c r="I725" s="1"/>
      <c r="J725" s="1"/>
      <c r="K725" s="17"/>
      <c r="L725" s="1"/>
      <c r="M725" s="1"/>
      <c r="N725" s="2"/>
      <c r="O725" s="2"/>
      <c r="P725" s="1"/>
      <c r="Q725" s="1"/>
      <c r="R725" s="1"/>
      <c r="S725" s="1"/>
      <c r="T725" s="17"/>
      <c r="U725" s="17"/>
      <c r="V725" s="17"/>
      <c r="W725" s="17"/>
      <c r="X725" s="22"/>
      <c r="Y725" s="22"/>
      <c r="Z725" s="22"/>
      <c r="AA725" s="22"/>
      <c r="AB725" s="22"/>
      <c r="AC725" s="22"/>
      <c r="AD725" s="22"/>
      <c r="AE725" s="22"/>
      <c r="AF725" s="22"/>
      <c r="AG725" s="22"/>
      <c r="AH725" s="22"/>
      <c r="AI725" s="22"/>
      <c r="AJ725" s="17"/>
      <c r="AK725" s="22"/>
      <c r="AL725" s="22"/>
      <c r="AM725" s="22"/>
      <c r="AN725" s="22"/>
      <c r="AO725" s="17"/>
      <c r="AP725" s="17"/>
      <c r="AQ725" s="17"/>
      <c r="AR725" s="1"/>
      <c r="AS725" s="1"/>
      <c r="AT725" s="17"/>
      <c r="AU725" s="1"/>
      <c r="AV725" s="1"/>
      <c r="AW725" s="1"/>
      <c r="AX725" s="2"/>
      <c r="AY725" s="2"/>
      <c r="AZ725" s="1"/>
    </row>
    <row x14ac:dyDescent="0.25" r="726" customHeight="1" ht="15">
      <c r="A726" s="1"/>
      <c r="B726" s="1"/>
      <c r="C726" s="1"/>
      <c r="D726" s="1"/>
      <c r="E726" s="1"/>
      <c r="F726" s="1"/>
      <c r="G726" s="1"/>
      <c r="H726" s="1"/>
      <c r="I726" s="1"/>
      <c r="J726" s="1"/>
      <c r="K726" s="17"/>
      <c r="L726" s="1"/>
      <c r="M726" s="1"/>
      <c r="N726" s="2"/>
      <c r="O726" s="2"/>
      <c r="P726" s="1"/>
      <c r="Q726" s="1"/>
      <c r="R726" s="1"/>
      <c r="S726" s="1"/>
      <c r="T726" s="17"/>
      <c r="U726" s="17"/>
      <c r="V726" s="17"/>
      <c r="W726" s="17"/>
      <c r="X726" s="22"/>
      <c r="Y726" s="22"/>
      <c r="Z726" s="22"/>
      <c r="AA726" s="22"/>
      <c r="AB726" s="22"/>
      <c r="AC726" s="22"/>
      <c r="AD726" s="22"/>
      <c r="AE726" s="22"/>
      <c r="AF726" s="22"/>
      <c r="AG726" s="22"/>
      <c r="AH726" s="22"/>
      <c r="AI726" s="22"/>
      <c r="AJ726" s="17"/>
      <c r="AK726" s="22"/>
      <c r="AL726" s="22"/>
      <c r="AM726" s="22"/>
      <c r="AN726" s="22"/>
      <c r="AO726" s="17"/>
      <c r="AP726" s="17"/>
      <c r="AQ726" s="17"/>
      <c r="AR726" s="1"/>
      <c r="AS726" s="1"/>
      <c r="AT726" s="17"/>
      <c r="AU726" s="1"/>
      <c r="AV726" s="1"/>
      <c r="AW726" s="1"/>
      <c r="AX726" s="2"/>
      <c r="AY726" s="2"/>
      <c r="AZ726" s="1"/>
    </row>
    <row x14ac:dyDescent="0.25" r="727" customHeight="1" ht="15">
      <c r="A727" s="1"/>
      <c r="B727" s="1"/>
      <c r="C727" s="1"/>
      <c r="D727" s="1"/>
      <c r="E727" s="1"/>
      <c r="F727" s="1"/>
      <c r="G727" s="1"/>
      <c r="H727" s="1"/>
      <c r="I727" s="1"/>
      <c r="J727" s="1"/>
      <c r="K727" s="17"/>
      <c r="L727" s="1"/>
      <c r="M727" s="1"/>
      <c r="N727" s="2"/>
      <c r="O727" s="2"/>
      <c r="P727" s="1"/>
      <c r="Q727" s="1"/>
      <c r="R727" s="1"/>
      <c r="S727" s="1"/>
      <c r="T727" s="17"/>
      <c r="U727" s="17"/>
      <c r="V727" s="17"/>
      <c r="W727" s="17"/>
      <c r="X727" s="22"/>
      <c r="Y727" s="22"/>
      <c r="Z727" s="22"/>
      <c r="AA727" s="22"/>
      <c r="AB727" s="22"/>
      <c r="AC727" s="22"/>
      <c r="AD727" s="22"/>
      <c r="AE727" s="22"/>
      <c r="AF727" s="22"/>
      <c r="AG727" s="22"/>
      <c r="AH727" s="22"/>
      <c r="AI727" s="22"/>
      <c r="AJ727" s="17"/>
      <c r="AK727" s="22"/>
      <c r="AL727" s="22"/>
      <c r="AM727" s="22"/>
      <c r="AN727" s="22"/>
      <c r="AO727" s="17"/>
      <c r="AP727" s="17"/>
      <c r="AQ727" s="17"/>
      <c r="AR727" s="1"/>
      <c r="AS727" s="1"/>
      <c r="AT727" s="17"/>
      <c r="AU727" s="1"/>
      <c r="AV727" s="1"/>
      <c r="AW727" s="1"/>
      <c r="AX727" s="2"/>
      <c r="AY727" s="2"/>
      <c r="AZ727" s="1"/>
    </row>
    <row x14ac:dyDescent="0.25" r="728" customHeight="1" ht="15">
      <c r="A728" s="1"/>
      <c r="B728" s="1"/>
      <c r="C728" s="1"/>
      <c r="D728" s="1"/>
      <c r="E728" s="1"/>
      <c r="F728" s="1"/>
      <c r="G728" s="1"/>
      <c r="H728" s="1"/>
      <c r="I728" s="1"/>
      <c r="J728" s="1"/>
      <c r="K728" s="17"/>
      <c r="L728" s="1"/>
      <c r="M728" s="1"/>
      <c r="N728" s="2"/>
      <c r="O728" s="2"/>
      <c r="P728" s="1"/>
      <c r="Q728" s="1"/>
      <c r="R728" s="1"/>
      <c r="S728" s="1"/>
      <c r="T728" s="17"/>
      <c r="U728" s="17"/>
      <c r="V728" s="17"/>
      <c r="W728" s="17"/>
      <c r="X728" s="22"/>
      <c r="Y728" s="22"/>
      <c r="Z728" s="22"/>
      <c r="AA728" s="22"/>
      <c r="AB728" s="22"/>
      <c r="AC728" s="22"/>
      <c r="AD728" s="22"/>
      <c r="AE728" s="22"/>
      <c r="AF728" s="22"/>
      <c r="AG728" s="22"/>
      <c r="AH728" s="22"/>
      <c r="AI728" s="22"/>
      <c r="AJ728" s="17"/>
      <c r="AK728" s="22"/>
      <c r="AL728" s="22"/>
      <c r="AM728" s="22"/>
      <c r="AN728" s="22"/>
      <c r="AO728" s="17"/>
      <c r="AP728" s="17"/>
      <c r="AQ728" s="17"/>
      <c r="AR728" s="1"/>
      <c r="AS728" s="1"/>
      <c r="AT728" s="17"/>
      <c r="AU728" s="1"/>
      <c r="AV728" s="1"/>
      <c r="AW728" s="1"/>
      <c r="AX728" s="2"/>
      <c r="AY728" s="2"/>
      <c r="AZ728" s="1"/>
    </row>
    <row x14ac:dyDescent="0.25" r="729" customHeight="1" ht="15">
      <c r="A729" s="1"/>
      <c r="B729" s="1"/>
      <c r="C729" s="1"/>
      <c r="D729" s="1"/>
      <c r="E729" s="1"/>
      <c r="F729" s="1"/>
      <c r="G729" s="1"/>
      <c r="H729" s="1"/>
      <c r="I729" s="1"/>
      <c r="J729" s="1"/>
      <c r="K729" s="17"/>
      <c r="L729" s="1"/>
      <c r="M729" s="1"/>
      <c r="N729" s="2"/>
      <c r="O729" s="2"/>
      <c r="P729" s="1"/>
      <c r="Q729" s="1"/>
      <c r="R729" s="1"/>
      <c r="S729" s="1"/>
      <c r="T729" s="17"/>
      <c r="U729" s="17"/>
      <c r="V729" s="17"/>
      <c r="W729" s="17"/>
      <c r="X729" s="22"/>
      <c r="Y729" s="22"/>
      <c r="Z729" s="22"/>
      <c r="AA729" s="22"/>
      <c r="AB729" s="22"/>
      <c r="AC729" s="22"/>
      <c r="AD729" s="22"/>
      <c r="AE729" s="22"/>
      <c r="AF729" s="22"/>
      <c r="AG729" s="22"/>
      <c r="AH729" s="22"/>
      <c r="AI729" s="22"/>
      <c r="AJ729" s="17"/>
      <c r="AK729" s="22"/>
      <c r="AL729" s="22"/>
      <c r="AM729" s="22"/>
      <c r="AN729" s="22"/>
      <c r="AO729" s="17"/>
      <c r="AP729" s="17"/>
      <c r="AQ729" s="17"/>
      <c r="AR729" s="1"/>
      <c r="AS729" s="1"/>
      <c r="AT729" s="17"/>
      <c r="AU729" s="1"/>
      <c r="AV729" s="1"/>
      <c r="AW729" s="1"/>
      <c r="AX729" s="2"/>
      <c r="AY729" s="2"/>
      <c r="AZ729" s="1"/>
    </row>
    <row x14ac:dyDescent="0.25" r="730" customHeight="1" ht="15">
      <c r="A730" s="1"/>
      <c r="B730" s="1"/>
      <c r="C730" s="1"/>
      <c r="D730" s="1"/>
      <c r="E730" s="1"/>
      <c r="F730" s="1"/>
      <c r="G730" s="1"/>
      <c r="H730" s="1"/>
      <c r="I730" s="1"/>
      <c r="J730" s="1"/>
      <c r="K730" s="17"/>
      <c r="L730" s="1"/>
      <c r="M730" s="1"/>
      <c r="N730" s="2"/>
      <c r="O730" s="2"/>
      <c r="P730" s="1"/>
      <c r="Q730" s="1"/>
      <c r="R730" s="1"/>
      <c r="S730" s="1"/>
      <c r="T730" s="17"/>
      <c r="U730" s="17"/>
      <c r="V730" s="17"/>
      <c r="W730" s="17"/>
      <c r="X730" s="22"/>
      <c r="Y730" s="22"/>
      <c r="Z730" s="22"/>
      <c r="AA730" s="22"/>
      <c r="AB730" s="22"/>
      <c r="AC730" s="22"/>
      <c r="AD730" s="22"/>
      <c r="AE730" s="22"/>
      <c r="AF730" s="22"/>
      <c r="AG730" s="22"/>
      <c r="AH730" s="22"/>
      <c r="AI730" s="22"/>
      <c r="AJ730" s="17"/>
      <c r="AK730" s="22"/>
      <c r="AL730" s="22"/>
      <c r="AM730" s="22"/>
      <c r="AN730" s="22"/>
      <c r="AO730" s="17"/>
      <c r="AP730" s="17"/>
      <c r="AQ730" s="17"/>
      <c r="AR730" s="1"/>
      <c r="AS730" s="1"/>
      <c r="AT730" s="17"/>
      <c r="AU730" s="1"/>
      <c r="AV730" s="1"/>
      <c r="AW730" s="1"/>
      <c r="AX730" s="2"/>
      <c r="AY730" s="2"/>
      <c r="AZ730" s="1"/>
    </row>
    <row x14ac:dyDescent="0.25" r="731" customHeight="1" ht="15">
      <c r="A731" s="1"/>
      <c r="B731" s="1"/>
      <c r="C731" s="1"/>
      <c r="D731" s="1"/>
      <c r="E731" s="1"/>
      <c r="F731" s="1"/>
      <c r="G731" s="1"/>
      <c r="H731" s="1"/>
      <c r="I731" s="1"/>
      <c r="J731" s="1"/>
      <c r="K731" s="17"/>
      <c r="L731" s="1"/>
      <c r="M731" s="1"/>
      <c r="N731" s="2"/>
      <c r="O731" s="2"/>
      <c r="P731" s="1"/>
      <c r="Q731" s="1"/>
      <c r="R731" s="1"/>
      <c r="S731" s="1"/>
      <c r="T731" s="17"/>
      <c r="U731" s="17"/>
      <c r="V731" s="17"/>
      <c r="W731" s="17"/>
      <c r="X731" s="22"/>
      <c r="Y731" s="22"/>
      <c r="Z731" s="22"/>
      <c r="AA731" s="22"/>
      <c r="AB731" s="22"/>
      <c r="AC731" s="22"/>
      <c r="AD731" s="22"/>
      <c r="AE731" s="22"/>
      <c r="AF731" s="22"/>
      <c r="AG731" s="22"/>
      <c r="AH731" s="22"/>
      <c r="AI731" s="22"/>
      <c r="AJ731" s="17"/>
      <c r="AK731" s="22"/>
      <c r="AL731" s="22"/>
      <c r="AM731" s="22"/>
      <c r="AN731" s="22"/>
      <c r="AO731" s="17"/>
      <c r="AP731" s="17"/>
      <c r="AQ731" s="17"/>
      <c r="AR731" s="1"/>
      <c r="AS731" s="1"/>
      <c r="AT731" s="17"/>
      <c r="AU731" s="1"/>
      <c r="AV731" s="1"/>
      <c r="AW731" s="1"/>
      <c r="AX731" s="2"/>
      <c r="AY731" s="2"/>
      <c r="AZ731" s="1"/>
    </row>
    <row x14ac:dyDescent="0.25" r="732" customHeight="1" ht="15">
      <c r="A732" s="1"/>
      <c r="B732" s="1"/>
      <c r="C732" s="1"/>
      <c r="D732" s="1"/>
      <c r="E732" s="1"/>
      <c r="F732" s="1"/>
      <c r="G732" s="1"/>
      <c r="H732" s="1"/>
      <c r="I732" s="1"/>
      <c r="J732" s="1"/>
      <c r="K732" s="17"/>
      <c r="L732" s="1"/>
      <c r="M732" s="1"/>
      <c r="N732" s="2"/>
      <c r="O732" s="2"/>
      <c r="P732" s="1"/>
      <c r="Q732" s="1"/>
      <c r="R732" s="1"/>
      <c r="S732" s="1"/>
      <c r="T732" s="17"/>
      <c r="U732" s="17"/>
      <c r="V732" s="17"/>
      <c r="W732" s="17"/>
      <c r="X732" s="22"/>
      <c r="Y732" s="22"/>
      <c r="Z732" s="22"/>
      <c r="AA732" s="22"/>
      <c r="AB732" s="22"/>
      <c r="AC732" s="22"/>
      <c r="AD732" s="22"/>
      <c r="AE732" s="22"/>
      <c r="AF732" s="22"/>
      <c r="AG732" s="22"/>
      <c r="AH732" s="22"/>
      <c r="AI732" s="22"/>
      <c r="AJ732" s="17"/>
      <c r="AK732" s="22"/>
      <c r="AL732" s="22"/>
      <c r="AM732" s="22"/>
      <c r="AN732" s="22"/>
      <c r="AO732" s="17"/>
      <c r="AP732" s="17"/>
      <c r="AQ732" s="17"/>
      <c r="AR732" s="1"/>
      <c r="AS732" s="1"/>
      <c r="AT732" s="17"/>
      <c r="AU732" s="1"/>
      <c r="AV732" s="1"/>
      <c r="AW732" s="1"/>
      <c r="AX732" s="2"/>
      <c r="AY732" s="2"/>
      <c r="AZ732" s="1"/>
    </row>
    <row x14ac:dyDescent="0.25" r="733" customHeight="1" ht="15">
      <c r="A733" s="1"/>
      <c r="B733" s="1"/>
      <c r="C733" s="1"/>
      <c r="D733" s="1"/>
      <c r="E733" s="1"/>
      <c r="F733" s="1"/>
      <c r="G733" s="1"/>
      <c r="H733" s="1"/>
      <c r="I733" s="1"/>
      <c r="J733" s="1"/>
      <c r="K733" s="17"/>
      <c r="L733" s="1"/>
      <c r="M733" s="1"/>
      <c r="N733" s="2"/>
      <c r="O733" s="2"/>
      <c r="P733" s="1"/>
      <c r="Q733" s="1"/>
      <c r="R733" s="1"/>
      <c r="S733" s="1"/>
      <c r="T733" s="17"/>
      <c r="U733" s="17"/>
      <c r="V733" s="17"/>
      <c r="W733" s="17"/>
      <c r="X733" s="22"/>
      <c r="Y733" s="22"/>
      <c r="Z733" s="22"/>
      <c r="AA733" s="22"/>
      <c r="AB733" s="22"/>
      <c r="AC733" s="22"/>
      <c r="AD733" s="22"/>
      <c r="AE733" s="22"/>
      <c r="AF733" s="22"/>
      <c r="AG733" s="22"/>
      <c r="AH733" s="22"/>
      <c r="AI733" s="22"/>
      <c r="AJ733" s="17"/>
      <c r="AK733" s="22"/>
      <c r="AL733" s="22"/>
      <c r="AM733" s="22"/>
      <c r="AN733" s="22"/>
      <c r="AO733" s="17"/>
      <c r="AP733" s="17"/>
      <c r="AQ733" s="17"/>
      <c r="AR733" s="1"/>
      <c r="AS733" s="1"/>
      <c r="AT733" s="17"/>
      <c r="AU733" s="1"/>
      <c r="AV733" s="1"/>
      <c r="AW733" s="1"/>
      <c r="AX733" s="2"/>
      <c r="AY733" s="2"/>
      <c r="AZ733" s="1"/>
    </row>
    <row x14ac:dyDescent="0.25" r="734" customHeight="1" ht="15">
      <c r="A734" s="1"/>
      <c r="B734" s="1"/>
      <c r="C734" s="1"/>
      <c r="D734" s="1"/>
      <c r="E734" s="1"/>
      <c r="F734" s="1"/>
      <c r="G734" s="1"/>
      <c r="H734" s="1"/>
      <c r="I734" s="1"/>
      <c r="J734" s="1"/>
      <c r="K734" s="17"/>
      <c r="L734" s="1"/>
      <c r="M734" s="1"/>
      <c r="N734" s="2"/>
      <c r="O734" s="2"/>
      <c r="P734" s="1"/>
      <c r="Q734" s="1"/>
      <c r="R734" s="1"/>
      <c r="S734" s="1"/>
      <c r="T734" s="17"/>
      <c r="U734" s="17"/>
      <c r="V734" s="17"/>
      <c r="W734" s="17"/>
      <c r="X734" s="22"/>
      <c r="Y734" s="22"/>
      <c r="Z734" s="22"/>
      <c r="AA734" s="22"/>
      <c r="AB734" s="22"/>
      <c r="AC734" s="22"/>
      <c r="AD734" s="22"/>
      <c r="AE734" s="22"/>
      <c r="AF734" s="22"/>
      <c r="AG734" s="22"/>
      <c r="AH734" s="22"/>
      <c r="AI734" s="22"/>
      <c r="AJ734" s="17"/>
      <c r="AK734" s="22"/>
      <c r="AL734" s="22"/>
      <c r="AM734" s="22"/>
      <c r="AN734" s="22"/>
      <c r="AO734" s="17"/>
      <c r="AP734" s="17"/>
      <c r="AQ734" s="17"/>
      <c r="AR734" s="1"/>
      <c r="AS734" s="1"/>
      <c r="AT734" s="17"/>
      <c r="AU734" s="1"/>
      <c r="AV734" s="1"/>
      <c r="AW734" s="1"/>
      <c r="AX734" s="2"/>
      <c r="AY734" s="2"/>
      <c r="AZ734" s="1"/>
    </row>
    <row x14ac:dyDescent="0.25" r="735" customHeight="1" ht="15">
      <c r="A735" s="1"/>
      <c r="B735" s="1"/>
      <c r="C735" s="1"/>
      <c r="D735" s="1"/>
      <c r="E735" s="1"/>
      <c r="F735" s="1"/>
      <c r="G735" s="1"/>
      <c r="H735" s="1"/>
      <c r="I735" s="1"/>
      <c r="J735" s="1"/>
      <c r="K735" s="17"/>
      <c r="L735" s="1"/>
      <c r="M735" s="1"/>
      <c r="N735" s="2"/>
      <c r="O735" s="2"/>
      <c r="P735" s="1"/>
      <c r="Q735" s="1"/>
      <c r="R735" s="1"/>
      <c r="S735" s="1"/>
      <c r="T735" s="17"/>
      <c r="U735" s="17"/>
      <c r="V735" s="17"/>
      <c r="W735" s="17"/>
      <c r="X735" s="22"/>
      <c r="Y735" s="22"/>
      <c r="Z735" s="22"/>
      <c r="AA735" s="22"/>
      <c r="AB735" s="22"/>
      <c r="AC735" s="22"/>
      <c r="AD735" s="22"/>
      <c r="AE735" s="22"/>
      <c r="AF735" s="22"/>
      <c r="AG735" s="22"/>
      <c r="AH735" s="22"/>
      <c r="AI735" s="22"/>
      <c r="AJ735" s="17"/>
      <c r="AK735" s="22"/>
      <c r="AL735" s="22"/>
      <c r="AM735" s="22"/>
      <c r="AN735" s="22"/>
      <c r="AO735" s="17"/>
      <c r="AP735" s="17"/>
      <c r="AQ735" s="17"/>
      <c r="AR735" s="1"/>
      <c r="AS735" s="1"/>
      <c r="AT735" s="17"/>
      <c r="AU735" s="1"/>
      <c r="AV735" s="1"/>
      <c r="AW735" s="1"/>
      <c r="AX735" s="2"/>
      <c r="AY735" s="2"/>
      <c r="AZ735" s="1"/>
    </row>
    <row x14ac:dyDescent="0.25" r="736" customHeight="1" ht="15">
      <c r="A736" s="1"/>
      <c r="B736" s="1"/>
      <c r="C736" s="1"/>
      <c r="D736" s="1"/>
      <c r="E736" s="1"/>
      <c r="F736" s="1"/>
      <c r="G736" s="1"/>
      <c r="H736" s="1"/>
      <c r="I736" s="1"/>
      <c r="J736" s="1"/>
      <c r="K736" s="17"/>
      <c r="L736" s="1"/>
      <c r="M736" s="1"/>
      <c r="N736" s="2"/>
      <c r="O736" s="2"/>
      <c r="P736" s="1"/>
      <c r="Q736" s="1"/>
      <c r="R736" s="1"/>
      <c r="S736" s="1"/>
      <c r="T736" s="17"/>
      <c r="U736" s="17"/>
      <c r="V736" s="17"/>
      <c r="W736" s="17"/>
      <c r="X736" s="22"/>
      <c r="Y736" s="22"/>
      <c r="Z736" s="22"/>
      <c r="AA736" s="22"/>
      <c r="AB736" s="22"/>
      <c r="AC736" s="22"/>
      <c r="AD736" s="22"/>
      <c r="AE736" s="22"/>
      <c r="AF736" s="22"/>
      <c r="AG736" s="22"/>
      <c r="AH736" s="22"/>
      <c r="AI736" s="22"/>
      <c r="AJ736" s="17"/>
      <c r="AK736" s="22"/>
      <c r="AL736" s="22"/>
      <c r="AM736" s="22"/>
      <c r="AN736" s="22"/>
      <c r="AO736" s="17"/>
      <c r="AP736" s="17"/>
      <c r="AQ736" s="17"/>
      <c r="AR736" s="1"/>
      <c r="AS736" s="1"/>
      <c r="AT736" s="17"/>
      <c r="AU736" s="1"/>
      <c r="AV736" s="1"/>
      <c r="AW736" s="1"/>
      <c r="AX736" s="2"/>
      <c r="AY736" s="2"/>
      <c r="AZ736" s="1"/>
    </row>
    <row x14ac:dyDescent="0.25" r="737" customHeight="1" ht="15">
      <c r="A737" s="1"/>
      <c r="B737" s="1"/>
      <c r="C737" s="1"/>
      <c r="D737" s="1"/>
      <c r="E737" s="1"/>
      <c r="F737" s="1"/>
      <c r="G737" s="1"/>
      <c r="H737" s="1"/>
      <c r="I737" s="1"/>
      <c r="J737" s="1"/>
      <c r="K737" s="17"/>
      <c r="L737" s="1"/>
      <c r="M737" s="1"/>
      <c r="N737" s="2"/>
      <c r="O737" s="2"/>
      <c r="P737" s="1"/>
      <c r="Q737" s="1"/>
      <c r="R737" s="1"/>
      <c r="S737" s="1"/>
      <c r="T737" s="17"/>
      <c r="U737" s="17"/>
      <c r="V737" s="17"/>
      <c r="W737" s="17"/>
      <c r="X737" s="22"/>
      <c r="Y737" s="22"/>
      <c r="Z737" s="22"/>
      <c r="AA737" s="22"/>
      <c r="AB737" s="22"/>
      <c r="AC737" s="22"/>
      <c r="AD737" s="22"/>
      <c r="AE737" s="22"/>
      <c r="AF737" s="22"/>
      <c r="AG737" s="22"/>
      <c r="AH737" s="22"/>
      <c r="AI737" s="22"/>
      <c r="AJ737" s="17"/>
      <c r="AK737" s="22"/>
      <c r="AL737" s="22"/>
      <c r="AM737" s="22"/>
      <c r="AN737" s="22"/>
      <c r="AO737" s="17"/>
      <c r="AP737" s="17"/>
      <c r="AQ737" s="17"/>
      <c r="AR737" s="1"/>
      <c r="AS737" s="1"/>
      <c r="AT737" s="17"/>
      <c r="AU737" s="1"/>
      <c r="AV737" s="1"/>
      <c r="AW737" s="1"/>
      <c r="AX737" s="2"/>
      <c r="AY737" s="2"/>
      <c r="AZ737" s="1"/>
    </row>
    <row x14ac:dyDescent="0.25" r="738" customHeight="1" ht="15">
      <c r="A738" s="1"/>
      <c r="B738" s="1"/>
      <c r="C738" s="1"/>
      <c r="D738" s="1"/>
      <c r="E738" s="1"/>
      <c r="F738" s="1"/>
      <c r="G738" s="1"/>
      <c r="H738" s="1"/>
      <c r="I738" s="1"/>
      <c r="J738" s="1"/>
      <c r="K738" s="17"/>
      <c r="L738" s="1"/>
      <c r="M738" s="1"/>
      <c r="N738" s="2"/>
      <c r="O738" s="2"/>
      <c r="P738" s="1"/>
      <c r="Q738" s="1"/>
      <c r="R738" s="1"/>
      <c r="S738" s="1"/>
      <c r="T738" s="17"/>
      <c r="U738" s="17"/>
      <c r="V738" s="17"/>
      <c r="W738" s="17"/>
      <c r="X738" s="22"/>
      <c r="Y738" s="22"/>
      <c r="Z738" s="22"/>
      <c r="AA738" s="22"/>
      <c r="AB738" s="22"/>
      <c r="AC738" s="22"/>
      <c r="AD738" s="22"/>
      <c r="AE738" s="22"/>
      <c r="AF738" s="22"/>
      <c r="AG738" s="22"/>
      <c r="AH738" s="22"/>
      <c r="AI738" s="22"/>
      <c r="AJ738" s="17"/>
      <c r="AK738" s="22"/>
      <c r="AL738" s="22"/>
      <c r="AM738" s="22"/>
      <c r="AN738" s="22"/>
      <c r="AO738" s="17"/>
      <c r="AP738" s="17"/>
      <c r="AQ738" s="17"/>
      <c r="AR738" s="1"/>
      <c r="AS738" s="1"/>
      <c r="AT738" s="17"/>
      <c r="AU738" s="1"/>
      <c r="AV738" s="1"/>
      <c r="AW738" s="1"/>
      <c r="AX738" s="2"/>
      <c r="AY738" s="2"/>
      <c r="AZ738" s="1"/>
    </row>
    <row x14ac:dyDescent="0.25" r="739" customHeight="1" ht="15">
      <c r="A739" s="1"/>
      <c r="B739" s="1"/>
      <c r="C739" s="1"/>
      <c r="D739" s="1"/>
      <c r="E739" s="1"/>
      <c r="F739" s="1"/>
      <c r="G739" s="1"/>
      <c r="H739" s="1"/>
      <c r="I739" s="1"/>
      <c r="J739" s="1"/>
      <c r="K739" s="17"/>
      <c r="L739" s="1"/>
      <c r="M739" s="1"/>
      <c r="N739" s="2"/>
      <c r="O739" s="2"/>
      <c r="P739" s="1"/>
      <c r="Q739" s="1"/>
      <c r="R739" s="1"/>
      <c r="S739" s="1"/>
      <c r="T739" s="17"/>
      <c r="U739" s="17"/>
      <c r="V739" s="17"/>
      <c r="W739" s="17"/>
      <c r="X739" s="22"/>
      <c r="Y739" s="22"/>
      <c r="Z739" s="22"/>
      <c r="AA739" s="22"/>
      <c r="AB739" s="22"/>
      <c r="AC739" s="22"/>
      <c r="AD739" s="22"/>
      <c r="AE739" s="22"/>
      <c r="AF739" s="22"/>
      <c r="AG739" s="22"/>
      <c r="AH739" s="22"/>
      <c r="AI739" s="22"/>
      <c r="AJ739" s="17"/>
      <c r="AK739" s="22"/>
      <c r="AL739" s="22"/>
      <c r="AM739" s="22"/>
      <c r="AN739" s="22"/>
      <c r="AO739" s="17"/>
      <c r="AP739" s="17"/>
      <c r="AQ739" s="17"/>
      <c r="AR739" s="1"/>
      <c r="AS739" s="1"/>
      <c r="AT739" s="17"/>
      <c r="AU739" s="1"/>
      <c r="AV739" s="1"/>
      <c r="AW739" s="1"/>
      <c r="AX739" s="2"/>
      <c r="AY739" s="2"/>
      <c r="AZ739" s="1"/>
    </row>
    <row x14ac:dyDescent="0.25" r="740" customHeight="1" ht="15">
      <c r="A740" s="1"/>
      <c r="B740" s="1"/>
      <c r="C740" s="1"/>
      <c r="D740" s="1"/>
      <c r="E740" s="1"/>
      <c r="F740" s="1"/>
      <c r="G740" s="1"/>
      <c r="H740" s="1"/>
      <c r="I740" s="1"/>
      <c r="J740" s="1"/>
      <c r="K740" s="17"/>
      <c r="L740" s="1"/>
      <c r="M740" s="1"/>
      <c r="N740" s="2"/>
      <c r="O740" s="2"/>
      <c r="P740" s="1"/>
      <c r="Q740" s="1"/>
      <c r="R740" s="1"/>
      <c r="S740" s="1"/>
      <c r="T740" s="17"/>
      <c r="U740" s="17"/>
      <c r="V740" s="17"/>
      <c r="W740" s="17"/>
      <c r="X740" s="22"/>
      <c r="Y740" s="22"/>
      <c r="Z740" s="22"/>
      <c r="AA740" s="22"/>
      <c r="AB740" s="22"/>
      <c r="AC740" s="22"/>
      <c r="AD740" s="22"/>
      <c r="AE740" s="22"/>
      <c r="AF740" s="22"/>
      <c r="AG740" s="22"/>
      <c r="AH740" s="22"/>
      <c r="AI740" s="22"/>
      <c r="AJ740" s="17"/>
      <c r="AK740" s="22"/>
      <c r="AL740" s="22"/>
      <c r="AM740" s="22"/>
      <c r="AN740" s="22"/>
      <c r="AO740" s="17"/>
      <c r="AP740" s="17"/>
      <c r="AQ740" s="17"/>
      <c r="AR740" s="1"/>
      <c r="AS740" s="1"/>
      <c r="AT740" s="17"/>
      <c r="AU740" s="1"/>
      <c r="AV740" s="1"/>
      <c r="AW740" s="1"/>
      <c r="AX740" s="2"/>
      <c r="AY740" s="2"/>
      <c r="AZ740" s="1"/>
    </row>
    <row x14ac:dyDescent="0.25" r="741" customHeight="1" ht="15">
      <c r="A741" s="1"/>
      <c r="B741" s="1"/>
      <c r="C741" s="1"/>
      <c r="D741" s="1"/>
      <c r="E741" s="1"/>
      <c r="F741" s="1"/>
      <c r="G741" s="1"/>
      <c r="H741" s="1"/>
      <c r="I741" s="1"/>
      <c r="J741" s="1"/>
      <c r="K741" s="17"/>
      <c r="L741" s="1"/>
      <c r="M741" s="1"/>
      <c r="N741" s="2"/>
      <c r="O741" s="2"/>
      <c r="P741" s="1"/>
      <c r="Q741" s="1"/>
      <c r="R741" s="1"/>
      <c r="S741" s="1"/>
      <c r="T741" s="17"/>
      <c r="U741" s="17"/>
      <c r="V741" s="17"/>
      <c r="W741" s="17"/>
      <c r="X741" s="22"/>
      <c r="Y741" s="22"/>
      <c r="Z741" s="22"/>
      <c r="AA741" s="22"/>
      <c r="AB741" s="22"/>
      <c r="AC741" s="22"/>
      <c r="AD741" s="22"/>
      <c r="AE741" s="22"/>
      <c r="AF741" s="22"/>
      <c r="AG741" s="22"/>
      <c r="AH741" s="22"/>
      <c r="AI741" s="22"/>
      <c r="AJ741" s="17"/>
      <c r="AK741" s="22"/>
      <c r="AL741" s="22"/>
      <c r="AM741" s="22"/>
      <c r="AN741" s="22"/>
      <c r="AO741" s="17"/>
      <c r="AP741" s="17"/>
      <c r="AQ741" s="17"/>
      <c r="AR741" s="1"/>
      <c r="AS741" s="1"/>
      <c r="AT741" s="17"/>
      <c r="AU741" s="1"/>
      <c r="AV741" s="1"/>
      <c r="AW741" s="1"/>
      <c r="AX741" s="2"/>
      <c r="AY741" s="2"/>
      <c r="AZ741" s="1"/>
    </row>
    <row x14ac:dyDescent="0.25" r="742" customHeight="1" ht="15">
      <c r="A742" s="1"/>
      <c r="B742" s="1"/>
      <c r="C742" s="1"/>
      <c r="D742" s="1"/>
      <c r="E742" s="1"/>
      <c r="F742" s="1"/>
      <c r="G742" s="1"/>
      <c r="H742" s="1"/>
      <c r="I742" s="1"/>
      <c r="J742" s="1"/>
      <c r="K742" s="17"/>
      <c r="L742" s="1"/>
      <c r="M742" s="1"/>
      <c r="N742" s="2"/>
      <c r="O742" s="2"/>
      <c r="P742" s="1"/>
      <c r="Q742" s="1"/>
      <c r="R742" s="1"/>
      <c r="S742" s="1"/>
      <c r="T742" s="17"/>
      <c r="U742" s="17"/>
      <c r="V742" s="17"/>
      <c r="W742" s="17"/>
      <c r="X742" s="22"/>
      <c r="Y742" s="22"/>
      <c r="Z742" s="22"/>
      <c r="AA742" s="22"/>
      <c r="AB742" s="22"/>
      <c r="AC742" s="22"/>
      <c r="AD742" s="22"/>
      <c r="AE742" s="22"/>
      <c r="AF742" s="22"/>
      <c r="AG742" s="22"/>
      <c r="AH742" s="22"/>
      <c r="AI742" s="22"/>
      <c r="AJ742" s="17"/>
      <c r="AK742" s="22"/>
      <c r="AL742" s="22"/>
      <c r="AM742" s="22"/>
      <c r="AN742" s="22"/>
      <c r="AO742" s="17"/>
      <c r="AP742" s="17"/>
      <c r="AQ742" s="17"/>
      <c r="AR742" s="1"/>
      <c r="AS742" s="1"/>
      <c r="AT742" s="17"/>
      <c r="AU742" s="1"/>
      <c r="AV742" s="1"/>
      <c r="AW742" s="1"/>
      <c r="AX742" s="2"/>
      <c r="AY742" s="2"/>
      <c r="AZ742" s="1"/>
    </row>
    <row x14ac:dyDescent="0.25" r="743" customHeight="1" ht="15">
      <c r="A743" s="1"/>
      <c r="B743" s="1"/>
      <c r="C743" s="1"/>
      <c r="D743" s="1"/>
      <c r="E743" s="1"/>
      <c r="F743" s="1"/>
      <c r="G743" s="1"/>
      <c r="H743" s="1"/>
      <c r="I743" s="1"/>
      <c r="J743" s="1"/>
      <c r="K743" s="17"/>
      <c r="L743" s="1"/>
      <c r="M743" s="1"/>
      <c r="N743" s="2"/>
      <c r="O743" s="2"/>
      <c r="P743" s="1"/>
      <c r="Q743" s="1"/>
      <c r="R743" s="1"/>
      <c r="S743" s="1"/>
      <c r="T743" s="17"/>
      <c r="U743" s="17"/>
      <c r="V743" s="17"/>
      <c r="W743" s="17"/>
      <c r="X743" s="22"/>
      <c r="Y743" s="22"/>
      <c r="Z743" s="22"/>
      <c r="AA743" s="22"/>
      <c r="AB743" s="22"/>
      <c r="AC743" s="22"/>
      <c r="AD743" s="22"/>
      <c r="AE743" s="22"/>
      <c r="AF743" s="22"/>
      <c r="AG743" s="22"/>
      <c r="AH743" s="22"/>
      <c r="AI743" s="22"/>
      <c r="AJ743" s="17"/>
      <c r="AK743" s="22"/>
      <c r="AL743" s="22"/>
      <c r="AM743" s="22"/>
      <c r="AN743" s="22"/>
      <c r="AO743" s="17"/>
      <c r="AP743" s="17"/>
      <c r="AQ743" s="17"/>
      <c r="AR743" s="1"/>
      <c r="AS743" s="1"/>
      <c r="AT743" s="17"/>
      <c r="AU743" s="1"/>
      <c r="AV743" s="1"/>
      <c r="AW743" s="1"/>
      <c r="AX743" s="2"/>
      <c r="AY743" s="2"/>
      <c r="AZ743" s="1"/>
    </row>
    <row x14ac:dyDescent="0.25" r="744" customHeight="1" ht="15">
      <c r="A744" s="1"/>
      <c r="B744" s="1"/>
      <c r="C744" s="1"/>
      <c r="D744" s="1"/>
      <c r="E744" s="1"/>
      <c r="F744" s="1"/>
      <c r="G744" s="1"/>
      <c r="H744" s="1"/>
      <c r="I744" s="1"/>
      <c r="J744" s="1"/>
      <c r="K744" s="17"/>
      <c r="L744" s="1"/>
      <c r="M744" s="1"/>
      <c r="N744" s="2"/>
      <c r="O744" s="2"/>
      <c r="P744" s="1"/>
      <c r="Q744" s="1"/>
      <c r="R744" s="1"/>
      <c r="S744" s="1"/>
      <c r="T744" s="17"/>
      <c r="U744" s="17"/>
      <c r="V744" s="17"/>
      <c r="W744" s="17"/>
      <c r="X744" s="22"/>
      <c r="Y744" s="22"/>
      <c r="Z744" s="22"/>
      <c r="AA744" s="22"/>
      <c r="AB744" s="22"/>
      <c r="AC744" s="22"/>
      <c r="AD744" s="22"/>
      <c r="AE744" s="22"/>
      <c r="AF744" s="22"/>
      <c r="AG744" s="22"/>
      <c r="AH744" s="22"/>
      <c r="AI744" s="22"/>
      <c r="AJ744" s="17"/>
      <c r="AK744" s="22"/>
      <c r="AL744" s="22"/>
      <c r="AM744" s="22"/>
      <c r="AN744" s="22"/>
      <c r="AO744" s="17"/>
      <c r="AP744" s="17"/>
      <c r="AQ744" s="17"/>
      <c r="AR744" s="1"/>
      <c r="AS744" s="1"/>
      <c r="AT744" s="17"/>
      <c r="AU744" s="1"/>
      <c r="AV744" s="1"/>
      <c r="AW744" s="1"/>
      <c r="AX744" s="2"/>
      <c r="AY744" s="2"/>
      <c r="AZ744" s="1"/>
    </row>
    <row x14ac:dyDescent="0.25" r="745" customHeight="1" ht="15">
      <c r="A745" s="1"/>
      <c r="B745" s="1"/>
      <c r="C745" s="1"/>
      <c r="D745" s="1"/>
      <c r="E745" s="1"/>
      <c r="F745" s="1"/>
      <c r="G745" s="1"/>
      <c r="H745" s="1"/>
      <c r="I745" s="1"/>
      <c r="J745" s="1"/>
      <c r="K745" s="17"/>
      <c r="L745" s="1"/>
      <c r="M745" s="1"/>
      <c r="N745" s="2"/>
      <c r="O745" s="2"/>
      <c r="P745" s="1"/>
      <c r="Q745" s="1"/>
      <c r="R745" s="1"/>
      <c r="S745" s="1"/>
      <c r="T745" s="17"/>
      <c r="U745" s="17"/>
      <c r="V745" s="17"/>
      <c r="W745" s="17"/>
      <c r="X745" s="22"/>
      <c r="Y745" s="22"/>
      <c r="Z745" s="22"/>
      <c r="AA745" s="22"/>
      <c r="AB745" s="22"/>
      <c r="AC745" s="22"/>
      <c r="AD745" s="22"/>
      <c r="AE745" s="22"/>
      <c r="AF745" s="22"/>
      <c r="AG745" s="22"/>
      <c r="AH745" s="22"/>
      <c r="AI745" s="22"/>
      <c r="AJ745" s="17"/>
      <c r="AK745" s="22"/>
      <c r="AL745" s="22"/>
      <c r="AM745" s="22"/>
      <c r="AN745" s="22"/>
      <c r="AO745" s="17"/>
      <c r="AP745" s="17"/>
      <c r="AQ745" s="17"/>
      <c r="AR745" s="1"/>
      <c r="AS745" s="1"/>
      <c r="AT745" s="17"/>
      <c r="AU745" s="1"/>
      <c r="AV745" s="1"/>
      <c r="AW745" s="1"/>
      <c r="AX745" s="2"/>
      <c r="AY745" s="2"/>
      <c r="AZ745" s="1"/>
    </row>
    <row x14ac:dyDescent="0.25" r="746" customHeight="1" ht="15">
      <c r="A746" s="1"/>
      <c r="B746" s="1"/>
      <c r="C746" s="1"/>
      <c r="D746" s="1"/>
      <c r="E746" s="1"/>
      <c r="F746" s="1"/>
      <c r="G746" s="1"/>
      <c r="H746" s="1"/>
      <c r="I746" s="1"/>
      <c r="J746" s="1"/>
      <c r="K746" s="17"/>
      <c r="L746" s="1"/>
      <c r="M746" s="1"/>
      <c r="N746" s="2"/>
      <c r="O746" s="2"/>
      <c r="P746" s="1"/>
      <c r="Q746" s="1"/>
      <c r="R746" s="1"/>
      <c r="S746" s="1"/>
      <c r="T746" s="17"/>
      <c r="U746" s="17"/>
      <c r="V746" s="17"/>
      <c r="W746" s="17"/>
      <c r="X746" s="22"/>
      <c r="Y746" s="22"/>
      <c r="Z746" s="22"/>
      <c r="AA746" s="22"/>
      <c r="AB746" s="22"/>
      <c r="AC746" s="22"/>
      <c r="AD746" s="22"/>
      <c r="AE746" s="22"/>
      <c r="AF746" s="22"/>
      <c r="AG746" s="22"/>
      <c r="AH746" s="22"/>
      <c r="AI746" s="22"/>
      <c r="AJ746" s="17"/>
      <c r="AK746" s="22"/>
      <c r="AL746" s="22"/>
      <c r="AM746" s="22"/>
      <c r="AN746" s="22"/>
      <c r="AO746" s="17"/>
      <c r="AP746" s="17"/>
      <c r="AQ746" s="17"/>
      <c r="AR746" s="1"/>
      <c r="AS746" s="1"/>
      <c r="AT746" s="17"/>
      <c r="AU746" s="1"/>
      <c r="AV746" s="1"/>
      <c r="AW746" s="1"/>
      <c r="AX746" s="2"/>
      <c r="AY746" s="2"/>
      <c r="AZ746" s="1"/>
    </row>
    <row x14ac:dyDescent="0.25" r="747" customHeight="1" ht="15">
      <c r="A747" s="1"/>
      <c r="B747" s="1"/>
      <c r="C747" s="1"/>
      <c r="D747" s="1"/>
      <c r="E747" s="1"/>
      <c r="F747" s="1"/>
      <c r="G747" s="1"/>
      <c r="H747" s="1"/>
      <c r="I747" s="1"/>
      <c r="J747" s="1"/>
      <c r="K747" s="17"/>
      <c r="L747" s="1"/>
      <c r="M747" s="1"/>
      <c r="N747" s="2"/>
      <c r="O747" s="2"/>
      <c r="P747" s="1"/>
      <c r="Q747" s="1"/>
      <c r="R747" s="1"/>
      <c r="S747" s="1"/>
      <c r="T747" s="17"/>
      <c r="U747" s="17"/>
      <c r="V747" s="17"/>
      <c r="W747" s="17"/>
      <c r="X747" s="22"/>
      <c r="Y747" s="22"/>
      <c r="Z747" s="22"/>
      <c r="AA747" s="22"/>
      <c r="AB747" s="22"/>
      <c r="AC747" s="22"/>
      <c r="AD747" s="22"/>
      <c r="AE747" s="22"/>
      <c r="AF747" s="22"/>
      <c r="AG747" s="22"/>
      <c r="AH747" s="22"/>
      <c r="AI747" s="22"/>
      <c r="AJ747" s="17"/>
      <c r="AK747" s="22"/>
      <c r="AL747" s="22"/>
      <c r="AM747" s="22"/>
      <c r="AN747" s="22"/>
      <c r="AO747" s="17"/>
      <c r="AP747" s="17"/>
      <c r="AQ747" s="17"/>
      <c r="AR747" s="1"/>
      <c r="AS747" s="1"/>
      <c r="AT747" s="17"/>
      <c r="AU747" s="1"/>
      <c r="AV747" s="1"/>
      <c r="AW747" s="1"/>
      <c r="AX747" s="2"/>
      <c r="AY747" s="2"/>
      <c r="AZ747" s="1"/>
    </row>
    <row x14ac:dyDescent="0.25" r="748" customHeight="1" ht="15">
      <c r="A748" s="1"/>
      <c r="B748" s="1"/>
      <c r="C748" s="1"/>
      <c r="D748" s="1"/>
      <c r="E748" s="1"/>
      <c r="F748" s="1"/>
      <c r="G748" s="1"/>
      <c r="H748" s="1"/>
      <c r="I748" s="1"/>
      <c r="J748" s="1"/>
      <c r="K748" s="17"/>
      <c r="L748" s="1"/>
      <c r="M748" s="1"/>
      <c r="N748" s="2"/>
      <c r="O748" s="2"/>
      <c r="P748" s="1"/>
      <c r="Q748" s="1"/>
      <c r="R748" s="1"/>
      <c r="S748" s="1"/>
      <c r="T748" s="17"/>
      <c r="U748" s="17"/>
      <c r="V748" s="17"/>
      <c r="W748" s="17"/>
      <c r="X748" s="22"/>
      <c r="Y748" s="22"/>
      <c r="Z748" s="22"/>
      <c r="AA748" s="22"/>
      <c r="AB748" s="22"/>
      <c r="AC748" s="22"/>
      <c r="AD748" s="22"/>
      <c r="AE748" s="22"/>
      <c r="AF748" s="22"/>
      <c r="AG748" s="22"/>
      <c r="AH748" s="22"/>
      <c r="AI748" s="22"/>
      <c r="AJ748" s="17"/>
      <c r="AK748" s="22"/>
      <c r="AL748" s="22"/>
      <c r="AM748" s="22"/>
      <c r="AN748" s="22"/>
      <c r="AO748" s="17"/>
      <c r="AP748" s="17"/>
      <c r="AQ748" s="17"/>
      <c r="AR748" s="1"/>
      <c r="AS748" s="1"/>
      <c r="AT748" s="17"/>
      <c r="AU748" s="1"/>
      <c r="AV748" s="1"/>
      <c r="AW748" s="1"/>
      <c r="AX748" s="2"/>
      <c r="AY748" s="2"/>
      <c r="AZ748" s="1"/>
    </row>
    <row x14ac:dyDescent="0.25" r="749" customHeight="1" ht="15">
      <c r="A749" s="1"/>
      <c r="B749" s="1"/>
      <c r="C749" s="1"/>
      <c r="D749" s="1"/>
      <c r="E749" s="1"/>
      <c r="F749" s="1"/>
      <c r="G749" s="1"/>
      <c r="H749" s="1"/>
      <c r="I749" s="1"/>
      <c r="J749" s="1"/>
      <c r="K749" s="17"/>
      <c r="L749" s="1"/>
      <c r="M749" s="1"/>
      <c r="N749" s="2"/>
      <c r="O749" s="2"/>
      <c r="P749" s="1"/>
      <c r="Q749" s="1"/>
      <c r="R749" s="1"/>
      <c r="S749" s="1"/>
      <c r="T749" s="17"/>
      <c r="U749" s="17"/>
      <c r="V749" s="17"/>
      <c r="W749" s="17"/>
      <c r="X749" s="22"/>
      <c r="Y749" s="22"/>
      <c r="Z749" s="22"/>
      <c r="AA749" s="22"/>
      <c r="AB749" s="22"/>
      <c r="AC749" s="22"/>
      <c r="AD749" s="22"/>
      <c r="AE749" s="22"/>
      <c r="AF749" s="22"/>
      <c r="AG749" s="22"/>
      <c r="AH749" s="22"/>
      <c r="AI749" s="22"/>
      <c r="AJ749" s="17"/>
      <c r="AK749" s="22"/>
      <c r="AL749" s="22"/>
      <c r="AM749" s="22"/>
      <c r="AN749" s="22"/>
      <c r="AO749" s="17"/>
      <c r="AP749" s="17"/>
      <c r="AQ749" s="17"/>
      <c r="AR749" s="1"/>
      <c r="AS749" s="1"/>
      <c r="AT749" s="17"/>
      <c r="AU749" s="1"/>
      <c r="AV749" s="1"/>
      <c r="AW749" s="1"/>
      <c r="AX749" s="2"/>
      <c r="AY749" s="2"/>
      <c r="AZ749" s="1"/>
    </row>
    <row x14ac:dyDescent="0.25" r="750" customHeight="1" ht="15">
      <c r="A750" s="1"/>
      <c r="B750" s="1"/>
      <c r="C750" s="1"/>
      <c r="D750" s="1"/>
      <c r="E750" s="1"/>
      <c r="F750" s="1"/>
      <c r="G750" s="1"/>
      <c r="H750" s="1"/>
      <c r="I750" s="1"/>
      <c r="J750" s="1"/>
      <c r="K750" s="17"/>
      <c r="L750" s="1"/>
      <c r="M750" s="1"/>
      <c r="N750" s="2"/>
      <c r="O750" s="2"/>
      <c r="P750" s="1"/>
      <c r="Q750" s="1"/>
      <c r="R750" s="1"/>
      <c r="S750" s="1"/>
      <c r="T750" s="17"/>
      <c r="U750" s="17"/>
      <c r="V750" s="17"/>
      <c r="W750" s="17"/>
      <c r="X750" s="22"/>
      <c r="Y750" s="22"/>
      <c r="Z750" s="22"/>
      <c r="AA750" s="22"/>
      <c r="AB750" s="22"/>
      <c r="AC750" s="22"/>
      <c r="AD750" s="22"/>
      <c r="AE750" s="22"/>
      <c r="AF750" s="22"/>
      <c r="AG750" s="22"/>
      <c r="AH750" s="22"/>
      <c r="AI750" s="22"/>
      <c r="AJ750" s="17"/>
      <c r="AK750" s="22"/>
      <c r="AL750" s="22"/>
      <c r="AM750" s="22"/>
      <c r="AN750" s="22"/>
      <c r="AO750" s="17"/>
      <c r="AP750" s="17"/>
      <c r="AQ750" s="17"/>
      <c r="AR750" s="1"/>
      <c r="AS750" s="1"/>
      <c r="AT750" s="17"/>
      <c r="AU750" s="1"/>
      <c r="AV750" s="1"/>
      <c r="AW750" s="1"/>
      <c r="AX750" s="2"/>
      <c r="AY750" s="2"/>
      <c r="AZ750" s="1"/>
    </row>
    <row x14ac:dyDescent="0.25" r="751" customHeight="1" ht="15">
      <c r="A751" s="1"/>
      <c r="B751" s="1"/>
      <c r="C751" s="1"/>
      <c r="D751" s="1"/>
      <c r="E751" s="1"/>
      <c r="F751" s="1"/>
      <c r="G751" s="1"/>
      <c r="H751" s="1"/>
      <c r="I751" s="1"/>
      <c r="J751" s="1"/>
      <c r="K751" s="17"/>
      <c r="L751" s="1"/>
      <c r="M751" s="1"/>
      <c r="N751" s="2"/>
      <c r="O751" s="2"/>
      <c r="P751" s="1"/>
      <c r="Q751" s="1"/>
      <c r="R751" s="1"/>
      <c r="S751" s="1"/>
      <c r="T751" s="17"/>
      <c r="U751" s="17"/>
      <c r="V751" s="17"/>
      <c r="W751" s="17"/>
      <c r="X751" s="22"/>
      <c r="Y751" s="22"/>
      <c r="Z751" s="22"/>
      <c r="AA751" s="22"/>
      <c r="AB751" s="22"/>
      <c r="AC751" s="22"/>
      <c r="AD751" s="22"/>
      <c r="AE751" s="22"/>
      <c r="AF751" s="22"/>
      <c r="AG751" s="22"/>
      <c r="AH751" s="22"/>
      <c r="AI751" s="22"/>
      <c r="AJ751" s="17"/>
      <c r="AK751" s="22"/>
      <c r="AL751" s="22"/>
      <c r="AM751" s="22"/>
      <c r="AN751" s="22"/>
      <c r="AO751" s="17"/>
      <c r="AP751" s="17"/>
      <c r="AQ751" s="17"/>
      <c r="AR751" s="1"/>
      <c r="AS751" s="1"/>
      <c r="AT751" s="17"/>
      <c r="AU751" s="1"/>
      <c r="AV751" s="1"/>
      <c r="AW751" s="1"/>
      <c r="AX751" s="2"/>
      <c r="AY751" s="2"/>
      <c r="AZ751" s="1"/>
    </row>
    <row x14ac:dyDescent="0.25" r="752" customHeight="1" ht="15">
      <c r="A752" s="1"/>
      <c r="B752" s="1"/>
      <c r="C752" s="1"/>
      <c r="D752" s="1"/>
      <c r="E752" s="1"/>
      <c r="F752" s="1"/>
      <c r="G752" s="1"/>
      <c r="H752" s="1"/>
      <c r="I752" s="1"/>
      <c r="J752" s="1"/>
      <c r="K752" s="17"/>
      <c r="L752" s="1"/>
      <c r="M752" s="1"/>
      <c r="N752" s="2"/>
      <c r="O752" s="2"/>
      <c r="P752" s="1"/>
      <c r="Q752" s="1"/>
      <c r="R752" s="1"/>
      <c r="S752" s="1"/>
      <c r="T752" s="17"/>
      <c r="U752" s="17"/>
      <c r="V752" s="17"/>
      <c r="W752" s="17"/>
      <c r="X752" s="22"/>
      <c r="Y752" s="22"/>
      <c r="Z752" s="22"/>
      <c r="AA752" s="22"/>
      <c r="AB752" s="22"/>
      <c r="AC752" s="22"/>
      <c r="AD752" s="22"/>
      <c r="AE752" s="22"/>
      <c r="AF752" s="22"/>
      <c r="AG752" s="22"/>
      <c r="AH752" s="22"/>
      <c r="AI752" s="22"/>
      <c r="AJ752" s="17"/>
      <c r="AK752" s="22"/>
      <c r="AL752" s="22"/>
      <c r="AM752" s="22"/>
      <c r="AN752" s="22"/>
      <c r="AO752" s="17"/>
      <c r="AP752" s="17"/>
      <c r="AQ752" s="17"/>
      <c r="AR752" s="1"/>
      <c r="AS752" s="1"/>
      <c r="AT752" s="17"/>
      <c r="AU752" s="1"/>
      <c r="AV752" s="1"/>
      <c r="AW752" s="1"/>
      <c r="AX752" s="2"/>
      <c r="AY752" s="2"/>
      <c r="AZ752" s="1"/>
    </row>
    <row x14ac:dyDescent="0.25" r="753" customHeight="1" ht="15">
      <c r="A753" s="1"/>
      <c r="B753" s="1"/>
      <c r="C753" s="1"/>
      <c r="D753" s="1"/>
      <c r="E753" s="1"/>
      <c r="F753" s="1"/>
      <c r="G753" s="1"/>
      <c r="H753" s="1"/>
      <c r="I753" s="1"/>
      <c r="J753" s="1"/>
      <c r="K753" s="17"/>
      <c r="L753" s="1"/>
      <c r="M753" s="1"/>
      <c r="N753" s="2"/>
      <c r="O753" s="2"/>
      <c r="P753" s="1"/>
      <c r="Q753" s="1"/>
      <c r="R753" s="1"/>
      <c r="S753" s="1"/>
      <c r="T753" s="17"/>
      <c r="U753" s="17"/>
      <c r="V753" s="17"/>
      <c r="W753" s="17"/>
      <c r="X753" s="22"/>
      <c r="Y753" s="22"/>
      <c r="Z753" s="22"/>
      <c r="AA753" s="22"/>
      <c r="AB753" s="22"/>
      <c r="AC753" s="22"/>
      <c r="AD753" s="22"/>
      <c r="AE753" s="22"/>
      <c r="AF753" s="22"/>
      <c r="AG753" s="22"/>
      <c r="AH753" s="22"/>
      <c r="AI753" s="22"/>
      <c r="AJ753" s="17"/>
      <c r="AK753" s="22"/>
      <c r="AL753" s="22"/>
      <c r="AM753" s="22"/>
      <c r="AN753" s="22"/>
      <c r="AO753" s="17"/>
      <c r="AP753" s="17"/>
      <c r="AQ753" s="17"/>
      <c r="AR753" s="1"/>
      <c r="AS753" s="1"/>
      <c r="AT753" s="17"/>
      <c r="AU753" s="1"/>
      <c r="AV753" s="1"/>
      <c r="AW753" s="1"/>
      <c r="AX753" s="2"/>
      <c r="AY753" s="2"/>
      <c r="AZ753" s="1"/>
    </row>
    <row x14ac:dyDescent="0.25" r="754" customHeight="1" ht="15">
      <c r="A754" s="1"/>
      <c r="B754" s="1"/>
      <c r="C754" s="1"/>
      <c r="D754" s="1"/>
      <c r="E754" s="1"/>
      <c r="F754" s="1"/>
      <c r="G754" s="1"/>
      <c r="H754" s="1"/>
      <c r="I754" s="1"/>
      <c r="J754" s="1"/>
      <c r="K754" s="17"/>
      <c r="L754" s="1"/>
      <c r="M754" s="1"/>
      <c r="N754" s="2"/>
      <c r="O754" s="2"/>
      <c r="P754" s="1"/>
      <c r="Q754" s="1"/>
      <c r="R754" s="1"/>
      <c r="S754" s="1"/>
      <c r="T754" s="17"/>
      <c r="U754" s="17"/>
      <c r="V754" s="17"/>
      <c r="W754" s="17"/>
      <c r="X754" s="22"/>
      <c r="Y754" s="22"/>
      <c r="Z754" s="22"/>
      <c r="AA754" s="22"/>
      <c r="AB754" s="22"/>
      <c r="AC754" s="22"/>
      <c r="AD754" s="22"/>
      <c r="AE754" s="22"/>
      <c r="AF754" s="22"/>
      <c r="AG754" s="22"/>
      <c r="AH754" s="22"/>
      <c r="AI754" s="22"/>
      <c r="AJ754" s="17"/>
      <c r="AK754" s="22"/>
      <c r="AL754" s="22"/>
      <c r="AM754" s="22"/>
      <c r="AN754" s="22"/>
      <c r="AO754" s="17"/>
      <c r="AP754" s="17"/>
      <c r="AQ754" s="17"/>
      <c r="AR754" s="1"/>
      <c r="AS754" s="1"/>
      <c r="AT754" s="17"/>
      <c r="AU754" s="1"/>
      <c r="AV754" s="1"/>
      <c r="AW754" s="1"/>
      <c r="AX754" s="2"/>
      <c r="AY754" s="2"/>
      <c r="AZ754" s="1"/>
    </row>
    <row x14ac:dyDescent="0.25" r="755" customHeight="1" ht="15">
      <c r="A755" s="1"/>
      <c r="B755" s="1"/>
      <c r="C755" s="1"/>
      <c r="D755" s="1"/>
      <c r="E755" s="1"/>
      <c r="F755" s="1"/>
      <c r="G755" s="1"/>
      <c r="H755" s="1"/>
      <c r="I755" s="1"/>
      <c r="J755" s="1"/>
      <c r="K755" s="17"/>
      <c r="L755" s="1"/>
      <c r="M755" s="1"/>
      <c r="N755" s="2"/>
      <c r="O755" s="2"/>
      <c r="P755" s="1"/>
      <c r="Q755" s="1"/>
      <c r="R755" s="1"/>
      <c r="S755" s="1"/>
      <c r="T755" s="17"/>
      <c r="U755" s="17"/>
      <c r="V755" s="17"/>
      <c r="W755" s="17"/>
      <c r="X755" s="22"/>
      <c r="Y755" s="22"/>
      <c r="Z755" s="22"/>
      <c r="AA755" s="22"/>
      <c r="AB755" s="22"/>
      <c r="AC755" s="22"/>
      <c r="AD755" s="22"/>
      <c r="AE755" s="22"/>
      <c r="AF755" s="22"/>
      <c r="AG755" s="22"/>
      <c r="AH755" s="22"/>
      <c r="AI755" s="22"/>
      <c r="AJ755" s="17"/>
      <c r="AK755" s="22"/>
      <c r="AL755" s="22"/>
      <c r="AM755" s="22"/>
      <c r="AN755" s="22"/>
      <c r="AO755" s="17"/>
      <c r="AP755" s="17"/>
      <c r="AQ755" s="17"/>
      <c r="AR755" s="1"/>
      <c r="AS755" s="1"/>
      <c r="AT755" s="17"/>
      <c r="AU755" s="1"/>
      <c r="AV755" s="1"/>
      <c r="AW755" s="1"/>
      <c r="AX755" s="2"/>
      <c r="AY755" s="2"/>
      <c r="AZ755" s="1"/>
    </row>
    <row x14ac:dyDescent="0.25" r="756" customHeight="1" ht="15">
      <c r="A756" s="1"/>
      <c r="B756" s="1"/>
      <c r="C756" s="1"/>
      <c r="D756" s="1"/>
      <c r="E756" s="1"/>
      <c r="F756" s="1"/>
      <c r="G756" s="1"/>
      <c r="H756" s="1"/>
      <c r="I756" s="1"/>
      <c r="J756" s="1"/>
      <c r="K756" s="17"/>
      <c r="L756" s="1"/>
      <c r="M756" s="1"/>
      <c r="N756" s="2"/>
      <c r="O756" s="2"/>
      <c r="P756" s="1"/>
      <c r="Q756" s="1"/>
      <c r="R756" s="1"/>
      <c r="S756" s="1"/>
      <c r="T756" s="17"/>
      <c r="U756" s="17"/>
      <c r="V756" s="17"/>
      <c r="W756" s="17"/>
      <c r="X756" s="22"/>
      <c r="Y756" s="22"/>
      <c r="Z756" s="22"/>
      <c r="AA756" s="22"/>
      <c r="AB756" s="22"/>
      <c r="AC756" s="22"/>
      <c r="AD756" s="22"/>
      <c r="AE756" s="22"/>
      <c r="AF756" s="22"/>
      <c r="AG756" s="22"/>
      <c r="AH756" s="22"/>
      <c r="AI756" s="22"/>
      <c r="AJ756" s="17"/>
      <c r="AK756" s="22"/>
      <c r="AL756" s="22"/>
      <c r="AM756" s="22"/>
      <c r="AN756" s="22"/>
      <c r="AO756" s="17"/>
      <c r="AP756" s="17"/>
      <c r="AQ756" s="17"/>
      <c r="AR756" s="1"/>
      <c r="AS756" s="1"/>
      <c r="AT756" s="17"/>
      <c r="AU756" s="1"/>
      <c r="AV756" s="1"/>
      <c r="AW756" s="1"/>
      <c r="AX756" s="2"/>
      <c r="AY756" s="2"/>
      <c r="AZ756" s="1"/>
    </row>
    <row x14ac:dyDescent="0.25" r="757" customHeight="1" ht="15">
      <c r="A757" s="1"/>
      <c r="B757" s="1"/>
      <c r="C757" s="1"/>
      <c r="D757" s="1"/>
      <c r="E757" s="1"/>
      <c r="F757" s="1"/>
      <c r="G757" s="1"/>
      <c r="H757" s="1"/>
      <c r="I757" s="1"/>
      <c r="J757" s="1"/>
      <c r="K757" s="17"/>
      <c r="L757" s="1"/>
      <c r="M757" s="1"/>
      <c r="N757" s="2"/>
      <c r="O757" s="2"/>
      <c r="P757" s="1"/>
      <c r="Q757" s="1"/>
      <c r="R757" s="1"/>
      <c r="S757" s="1"/>
      <c r="T757" s="17"/>
      <c r="U757" s="17"/>
      <c r="V757" s="17"/>
      <c r="W757" s="17"/>
      <c r="X757" s="22"/>
      <c r="Y757" s="22"/>
      <c r="Z757" s="22"/>
      <c r="AA757" s="22"/>
      <c r="AB757" s="22"/>
      <c r="AC757" s="22"/>
      <c r="AD757" s="22"/>
      <c r="AE757" s="22"/>
      <c r="AF757" s="22"/>
      <c r="AG757" s="22"/>
      <c r="AH757" s="22"/>
      <c r="AI757" s="22"/>
      <c r="AJ757" s="17"/>
      <c r="AK757" s="22"/>
      <c r="AL757" s="22"/>
      <c r="AM757" s="22"/>
      <c r="AN757" s="22"/>
      <c r="AO757" s="17"/>
      <c r="AP757" s="17"/>
      <c r="AQ757" s="17"/>
      <c r="AR757" s="1"/>
      <c r="AS757" s="1"/>
      <c r="AT757" s="17"/>
      <c r="AU757" s="1"/>
      <c r="AV757" s="1"/>
      <c r="AW757" s="1"/>
      <c r="AX757" s="2"/>
      <c r="AY757" s="2"/>
      <c r="AZ757" s="1"/>
    </row>
    <row x14ac:dyDescent="0.25" r="758" customHeight="1" ht="15">
      <c r="A758" s="1"/>
      <c r="B758" s="1"/>
      <c r="C758" s="1"/>
      <c r="D758" s="1"/>
      <c r="E758" s="1"/>
      <c r="F758" s="1"/>
      <c r="G758" s="1"/>
      <c r="H758" s="1"/>
      <c r="I758" s="1"/>
      <c r="J758" s="1"/>
      <c r="K758" s="17"/>
      <c r="L758" s="1"/>
      <c r="M758" s="1"/>
      <c r="N758" s="2"/>
      <c r="O758" s="2"/>
      <c r="P758" s="1"/>
      <c r="Q758" s="1"/>
      <c r="R758" s="1"/>
      <c r="S758" s="1"/>
      <c r="T758" s="17"/>
      <c r="U758" s="17"/>
      <c r="V758" s="17"/>
      <c r="W758" s="17"/>
      <c r="X758" s="22"/>
      <c r="Y758" s="22"/>
      <c r="Z758" s="22"/>
      <c r="AA758" s="22"/>
      <c r="AB758" s="22"/>
      <c r="AC758" s="22"/>
      <c r="AD758" s="22"/>
      <c r="AE758" s="22"/>
      <c r="AF758" s="22"/>
      <c r="AG758" s="22"/>
      <c r="AH758" s="22"/>
      <c r="AI758" s="22"/>
      <c r="AJ758" s="17"/>
      <c r="AK758" s="22"/>
      <c r="AL758" s="22"/>
      <c r="AM758" s="22"/>
      <c r="AN758" s="22"/>
      <c r="AO758" s="17"/>
      <c r="AP758" s="17"/>
      <c r="AQ758" s="17"/>
      <c r="AR758" s="1"/>
      <c r="AS758" s="1"/>
      <c r="AT758" s="17"/>
      <c r="AU758" s="1"/>
      <c r="AV758" s="1"/>
      <c r="AW758" s="1"/>
      <c r="AX758" s="2"/>
      <c r="AY758" s="2"/>
      <c r="AZ758" s="1"/>
    </row>
    <row x14ac:dyDescent="0.25" r="759" customHeight="1" ht="15">
      <c r="A759" s="1"/>
      <c r="B759" s="1"/>
      <c r="C759" s="1"/>
      <c r="D759" s="1"/>
      <c r="E759" s="1"/>
      <c r="F759" s="1"/>
      <c r="G759" s="1"/>
      <c r="H759" s="1"/>
      <c r="I759" s="1"/>
      <c r="J759" s="1"/>
      <c r="K759" s="17"/>
      <c r="L759" s="1"/>
      <c r="M759" s="1"/>
      <c r="N759" s="2"/>
      <c r="O759" s="2"/>
      <c r="P759" s="1"/>
      <c r="Q759" s="1"/>
      <c r="R759" s="1"/>
      <c r="S759" s="1"/>
      <c r="T759" s="17"/>
      <c r="U759" s="17"/>
      <c r="V759" s="17"/>
      <c r="W759" s="17"/>
      <c r="X759" s="22"/>
      <c r="Y759" s="22"/>
      <c r="Z759" s="22"/>
      <c r="AA759" s="22"/>
      <c r="AB759" s="22"/>
      <c r="AC759" s="22"/>
      <c r="AD759" s="22"/>
      <c r="AE759" s="22"/>
      <c r="AF759" s="22"/>
      <c r="AG759" s="22"/>
      <c r="AH759" s="22"/>
      <c r="AI759" s="22"/>
      <c r="AJ759" s="17"/>
      <c r="AK759" s="22"/>
      <c r="AL759" s="22"/>
      <c r="AM759" s="22"/>
      <c r="AN759" s="22"/>
      <c r="AO759" s="17"/>
      <c r="AP759" s="17"/>
      <c r="AQ759" s="17"/>
      <c r="AR759" s="1"/>
      <c r="AS759" s="1"/>
      <c r="AT759" s="17"/>
      <c r="AU759" s="1"/>
      <c r="AV759" s="1"/>
      <c r="AW759" s="1"/>
      <c r="AX759" s="2"/>
      <c r="AY759" s="2"/>
      <c r="AZ759" s="1"/>
    </row>
    <row x14ac:dyDescent="0.25" r="760" customHeight="1" ht="15">
      <c r="A760" s="1"/>
      <c r="B760" s="1"/>
      <c r="C760" s="1"/>
      <c r="D760" s="1"/>
      <c r="E760" s="1"/>
      <c r="F760" s="1"/>
      <c r="G760" s="1"/>
      <c r="H760" s="1"/>
      <c r="I760" s="1"/>
      <c r="J760" s="1"/>
      <c r="K760" s="17"/>
      <c r="L760" s="1"/>
      <c r="M760" s="1"/>
      <c r="N760" s="2"/>
      <c r="O760" s="2"/>
      <c r="P760" s="1"/>
      <c r="Q760" s="1"/>
      <c r="R760" s="1"/>
      <c r="S760" s="1"/>
      <c r="T760" s="17"/>
      <c r="U760" s="17"/>
      <c r="V760" s="17"/>
      <c r="W760" s="17"/>
      <c r="X760" s="22"/>
      <c r="Y760" s="22"/>
      <c r="Z760" s="22"/>
      <c r="AA760" s="22"/>
      <c r="AB760" s="22"/>
      <c r="AC760" s="22"/>
      <c r="AD760" s="22"/>
      <c r="AE760" s="22"/>
      <c r="AF760" s="22"/>
      <c r="AG760" s="22"/>
      <c r="AH760" s="22"/>
      <c r="AI760" s="22"/>
      <c r="AJ760" s="17"/>
      <c r="AK760" s="22"/>
      <c r="AL760" s="22"/>
      <c r="AM760" s="22"/>
      <c r="AN760" s="22"/>
      <c r="AO760" s="17"/>
      <c r="AP760" s="17"/>
      <c r="AQ760" s="17"/>
      <c r="AR760" s="1"/>
      <c r="AS760" s="1"/>
      <c r="AT760" s="17"/>
      <c r="AU760" s="1"/>
      <c r="AV760" s="1"/>
      <c r="AW760" s="1"/>
      <c r="AX760" s="2"/>
      <c r="AY760" s="2"/>
      <c r="AZ760" s="1"/>
    </row>
    <row x14ac:dyDescent="0.25" r="761" customHeight="1" ht="15">
      <c r="A761" s="1"/>
      <c r="B761" s="1"/>
      <c r="C761" s="1"/>
      <c r="D761" s="1"/>
      <c r="E761" s="1"/>
      <c r="F761" s="1"/>
      <c r="G761" s="1"/>
      <c r="H761" s="1"/>
      <c r="I761" s="1"/>
      <c r="J761" s="1"/>
      <c r="K761" s="17"/>
      <c r="L761" s="1"/>
      <c r="M761" s="1"/>
      <c r="N761" s="2"/>
      <c r="O761" s="2"/>
      <c r="P761" s="1"/>
      <c r="Q761" s="1"/>
      <c r="R761" s="1"/>
      <c r="S761" s="1"/>
      <c r="T761" s="17"/>
      <c r="U761" s="17"/>
      <c r="V761" s="17"/>
      <c r="W761" s="17"/>
      <c r="X761" s="22"/>
      <c r="Y761" s="22"/>
      <c r="Z761" s="22"/>
      <c r="AA761" s="22"/>
      <c r="AB761" s="22"/>
      <c r="AC761" s="22"/>
      <c r="AD761" s="22"/>
      <c r="AE761" s="22"/>
      <c r="AF761" s="22"/>
      <c r="AG761" s="22"/>
      <c r="AH761" s="22"/>
      <c r="AI761" s="22"/>
      <c r="AJ761" s="17"/>
      <c r="AK761" s="22"/>
      <c r="AL761" s="22"/>
      <c r="AM761" s="22"/>
      <c r="AN761" s="22"/>
      <c r="AO761" s="17"/>
      <c r="AP761" s="17"/>
      <c r="AQ761" s="17"/>
      <c r="AR761" s="1"/>
      <c r="AS761" s="1"/>
      <c r="AT761" s="17"/>
      <c r="AU761" s="1"/>
      <c r="AV761" s="1"/>
      <c r="AW761" s="1"/>
      <c r="AX761" s="2"/>
      <c r="AY761" s="2"/>
      <c r="AZ761" s="1"/>
    </row>
    <row x14ac:dyDescent="0.25" r="762" customHeight="1" ht="15">
      <c r="A762" s="1"/>
      <c r="B762" s="1"/>
      <c r="C762" s="1"/>
      <c r="D762" s="1"/>
      <c r="E762" s="1"/>
      <c r="F762" s="1"/>
      <c r="G762" s="1"/>
      <c r="H762" s="1"/>
      <c r="I762" s="1"/>
      <c r="J762" s="1"/>
      <c r="K762" s="17"/>
      <c r="L762" s="1"/>
      <c r="M762" s="1"/>
      <c r="N762" s="2"/>
      <c r="O762" s="2"/>
      <c r="P762" s="1"/>
      <c r="Q762" s="1"/>
      <c r="R762" s="1"/>
      <c r="S762" s="1"/>
      <c r="T762" s="17"/>
      <c r="U762" s="17"/>
      <c r="V762" s="17"/>
      <c r="W762" s="17"/>
      <c r="X762" s="22"/>
      <c r="Y762" s="22"/>
      <c r="Z762" s="22"/>
      <c r="AA762" s="22"/>
      <c r="AB762" s="22"/>
      <c r="AC762" s="22"/>
      <c r="AD762" s="22"/>
      <c r="AE762" s="22"/>
      <c r="AF762" s="22"/>
      <c r="AG762" s="22"/>
      <c r="AH762" s="22"/>
      <c r="AI762" s="22"/>
      <c r="AJ762" s="17"/>
      <c r="AK762" s="22"/>
      <c r="AL762" s="22"/>
      <c r="AM762" s="22"/>
      <c r="AN762" s="22"/>
      <c r="AO762" s="17"/>
      <c r="AP762" s="17"/>
      <c r="AQ762" s="17"/>
      <c r="AR762" s="1"/>
      <c r="AS762" s="1"/>
      <c r="AT762" s="17"/>
      <c r="AU762" s="1"/>
      <c r="AV762" s="1"/>
      <c r="AW762" s="1"/>
      <c r="AX762" s="2"/>
      <c r="AY762" s="2"/>
      <c r="AZ762" s="1"/>
    </row>
    <row x14ac:dyDescent="0.25" r="763" customHeight="1" ht="15">
      <c r="A763" s="1"/>
      <c r="B763" s="1"/>
      <c r="C763" s="1"/>
      <c r="D763" s="1"/>
      <c r="E763" s="1"/>
      <c r="F763" s="1"/>
      <c r="G763" s="1"/>
      <c r="H763" s="1"/>
      <c r="I763" s="1"/>
      <c r="J763" s="1"/>
      <c r="K763" s="17"/>
      <c r="L763" s="1"/>
      <c r="M763" s="1"/>
      <c r="N763" s="2"/>
      <c r="O763" s="2"/>
      <c r="P763" s="1"/>
      <c r="Q763" s="1"/>
      <c r="R763" s="1"/>
      <c r="S763" s="1"/>
      <c r="T763" s="17"/>
      <c r="U763" s="17"/>
      <c r="V763" s="17"/>
      <c r="W763" s="17"/>
      <c r="X763" s="22"/>
      <c r="Y763" s="22"/>
      <c r="Z763" s="22"/>
      <c r="AA763" s="22"/>
      <c r="AB763" s="22"/>
      <c r="AC763" s="22"/>
      <c r="AD763" s="22"/>
      <c r="AE763" s="22"/>
      <c r="AF763" s="22"/>
      <c r="AG763" s="22"/>
      <c r="AH763" s="22"/>
      <c r="AI763" s="22"/>
      <c r="AJ763" s="17"/>
      <c r="AK763" s="22"/>
      <c r="AL763" s="22"/>
      <c r="AM763" s="22"/>
      <c r="AN763" s="22"/>
      <c r="AO763" s="17"/>
      <c r="AP763" s="17"/>
      <c r="AQ763" s="17"/>
      <c r="AR763" s="1"/>
      <c r="AS763" s="1"/>
      <c r="AT763" s="17"/>
      <c r="AU763" s="1"/>
      <c r="AV763" s="1"/>
      <c r="AW763" s="1"/>
      <c r="AX763" s="2"/>
      <c r="AY763" s="2"/>
      <c r="AZ763" s="1"/>
    </row>
    <row x14ac:dyDescent="0.25" r="764" customHeight="1" ht="15">
      <c r="A764" s="1"/>
      <c r="B764" s="1"/>
      <c r="C764" s="1"/>
      <c r="D764" s="1"/>
      <c r="E764" s="1"/>
      <c r="F764" s="1"/>
      <c r="G764" s="1"/>
      <c r="H764" s="1"/>
      <c r="I764" s="1"/>
      <c r="J764" s="1"/>
      <c r="K764" s="17"/>
      <c r="L764" s="1"/>
      <c r="M764" s="1"/>
      <c r="N764" s="2"/>
      <c r="O764" s="2"/>
      <c r="P764" s="1"/>
      <c r="Q764" s="1"/>
      <c r="R764" s="1"/>
      <c r="S764" s="1"/>
      <c r="T764" s="17"/>
      <c r="U764" s="17"/>
      <c r="V764" s="17"/>
      <c r="W764" s="17"/>
      <c r="X764" s="22"/>
      <c r="Y764" s="22"/>
      <c r="Z764" s="22"/>
      <c r="AA764" s="22"/>
      <c r="AB764" s="22"/>
      <c r="AC764" s="22"/>
      <c r="AD764" s="22"/>
      <c r="AE764" s="22"/>
      <c r="AF764" s="22"/>
      <c r="AG764" s="22"/>
      <c r="AH764" s="22"/>
      <c r="AI764" s="22"/>
      <c r="AJ764" s="17"/>
      <c r="AK764" s="22"/>
      <c r="AL764" s="22"/>
      <c r="AM764" s="22"/>
      <c r="AN764" s="22"/>
      <c r="AO764" s="17"/>
      <c r="AP764" s="17"/>
      <c r="AQ764" s="17"/>
      <c r="AR764" s="1"/>
      <c r="AS764" s="1"/>
      <c r="AT764" s="17"/>
      <c r="AU764" s="1"/>
      <c r="AV764" s="1"/>
      <c r="AW764" s="1"/>
      <c r="AX764" s="2"/>
      <c r="AY764" s="2"/>
      <c r="AZ764" s="1"/>
    </row>
    <row x14ac:dyDescent="0.25" r="765" customHeight="1" ht="15">
      <c r="A765" s="1"/>
      <c r="B765" s="1"/>
      <c r="C765" s="1"/>
      <c r="D765" s="1"/>
      <c r="E765" s="1"/>
      <c r="F765" s="1"/>
      <c r="G765" s="1"/>
      <c r="H765" s="1"/>
      <c r="I765" s="1"/>
      <c r="J765" s="1"/>
      <c r="K765" s="17"/>
      <c r="L765" s="1"/>
      <c r="M765" s="1"/>
      <c r="N765" s="2"/>
      <c r="O765" s="2"/>
      <c r="P765" s="1"/>
      <c r="Q765" s="1"/>
      <c r="R765" s="1"/>
      <c r="S765" s="1"/>
      <c r="T765" s="17"/>
      <c r="U765" s="17"/>
      <c r="V765" s="17"/>
      <c r="W765" s="17"/>
      <c r="X765" s="22"/>
      <c r="Y765" s="22"/>
      <c r="Z765" s="22"/>
      <c r="AA765" s="22"/>
      <c r="AB765" s="22"/>
      <c r="AC765" s="22"/>
      <c r="AD765" s="22"/>
      <c r="AE765" s="22"/>
      <c r="AF765" s="22"/>
      <c r="AG765" s="22"/>
      <c r="AH765" s="22"/>
      <c r="AI765" s="22"/>
      <c r="AJ765" s="17"/>
      <c r="AK765" s="22"/>
      <c r="AL765" s="22"/>
      <c r="AM765" s="22"/>
      <c r="AN765" s="22"/>
      <c r="AO765" s="17"/>
      <c r="AP765" s="17"/>
      <c r="AQ765" s="17"/>
      <c r="AR765" s="1"/>
      <c r="AS765" s="1"/>
      <c r="AT765" s="17"/>
      <c r="AU765" s="1"/>
      <c r="AV765" s="1"/>
      <c r="AW765" s="1"/>
      <c r="AX765" s="2"/>
      <c r="AY765" s="2"/>
      <c r="AZ765" s="1"/>
    </row>
    <row x14ac:dyDescent="0.25" r="766" customHeight="1" ht="15">
      <c r="A766" s="1"/>
      <c r="B766" s="1"/>
      <c r="C766" s="1"/>
      <c r="D766" s="1"/>
      <c r="E766" s="1"/>
      <c r="F766" s="1"/>
      <c r="G766" s="1"/>
      <c r="H766" s="1"/>
      <c r="I766" s="1"/>
      <c r="J766" s="1"/>
      <c r="K766" s="17"/>
      <c r="L766" s="1"/>
      <c r="M766" s="1"/>
      <c r="N766" s="2"/>
      <c r="O766" s="2"/>
      <c r="P766" s="1"/>
      <c r="Q766" s="1"/>
      <c r="R766" s="1"/>
      <c r="S766" s="1"/>
      <c r="T766" s="17"/>
      <c r="U766" s="17"/>
      <c r="V766" s="17"/>
      <c r="W766" s="17"/>
      <c r="X766" s="22"/>
      <c r="Y766" s="22"/>
      <c r="Z766" s="22"/>
      <c r="AA766" s="22"/>
      <c r="AB766" s="22"/>
      <c r="AC766" s="22"/>
      <c r="AD766" s="22"/>
      <c r="AE766" s="22"/>
      <c r="AF766" s="22"/>
      <c r="AG766" s="22"/>
      <c r="AH766" s="22"/>
      <c r="AI766" s="22"/>
      <c r="AJ766" s="17"/>
      <c r="AK766" s="22"/>
      <c r="AL766" s="22"/>
      <c r="AM766" s="22"/>
      <c r="AN766" s="22"/>
      <c r="AO766" s="17"/>
      <c r="AP766" s="17"/>
      <c r="AQ766" s="17"/>
      <c r="AR766" s="1"/>
      <c r="AS766" s="1"/>
      <c r="AT766" s="17"/>
      <c r="AU766" s="1"/>
      <c r="AV766" s="1"/>
      <c r="AW766" s="1"/>
      <c r="AX766" s="2"/>
      <c r="AY766" s="2"/>
      <c r="AZ766" s="1"/>
    </row>
    <row x14ac:dyDescent="0.25" r="767" customHeight="1" ht="15">
      <c r="A767" s="1"/>
      <c r="B767" s="1"/>
      <c r="C767" s="1"/>
      <c r="D767" s="1"/>
      <c r="E767" s="1"/>
      <c r="F767" s="1"/>
      <c r="G767" s="1"/>
      <c r="H767" s="1"/>
      <c r="I767" s="1"/>
      <c r="J767" s="1"/>
      <c r="K767" s="17"/>
      <c r="L767" s="1"/>
      <c r="M767" s="1"/>
      <c r="N767" s="2"/>
      <c r="O767" s="2"/>
      <c r="P767" s="1"/>
      <c r="Q767" s="1"/>
      <c r="R767" s="1"/>
      <c r="S767" s="1"/>
      <c r="T767" s="17"/>
      <c r="U767" s="17"/>
      <c r="V767" s="17"/>
      <c r="W767" s="17"/>
      <c r="X767" s="22"/>
      <c r="Y767" s="22"/>
      <c r="Z767" s="22"/>
      <c r="AA767" s="22"/>
      <c r="AB767" s="22"/>
      <c r="AC767" s="22"/>
      <c r="AD767" s="22"/>
      <c r="AE767" s="22"/>
      <c r="AF767" s="22"/>
      <c r="AG767" s="22"/>
      <c r="AH767" s="22"/>
      <c r="AI767" s="22"/>
      <c r="AJ767" s="17"/>
      <c r="AK767" s="22"/>
      <c r="AL767" s="22"/>
      <c r="AM767" s="22"/>
      <c r="AN767" s="22"/>
      <c r="AO767" s="17"/>
      <c r="AP767" s="17"/>
      <c r="AQ767" s="17"/>
      <c r="AR767" s="1"/>
      <c r="AS767" s="1"/>
      <c r="AT767" s="17"/>
      <c r="AU767" s="1"/>
      <c r="AV767" s="1"/>
      <c r="AW767" s="1"/>
      <c r="AX767" s="2"/>
      <c r="AY767" s="2"/>
      <c r="AZ767" s="1"/>
    </row>
    <row x14ac:dyDescent="0.25" r="768" customHeight="1" ht="15">
      <c r="A768" s="1"/>
      <c r="B768" s="1"/>
      <c r="C768" s="1"/>
      <c r="D768" s="1"/>
      <c r="E768" s="1"/>
      <c r="F768" s="1"/>
      <c r="G768" s="1"/>
      <c r="H768" s="1"/>
      <c r="I768" s="1"/>
      <c r="J768" s="1"/>
      <c r="K768" s="17"/>
      <c r="L768" s="1"/>
      <c r="M768" s="1"/>
      <c r="N768" s="2"/>
      <c r="O768" s="2"/>
      <c r="P768" s="1"/>
      <c r="Q768" s="1"/>
      <c r="R768" s="1"/>
      <c r="S768" s="1"/>
      <c r="T768" s="17"/>
      <c r="U768" s="17"/>
      <c r="V768" s="17"/>
      <c r="W768" s="17"/>
      <c r="X768" s="22"/>
      <c r="Y768" s="22"/>
      <c r="Z768" s="22"/>
      <c r="AA768" s="22"/>
      <c r="AB768" s="22"/>
      <c r="AC768" s="22"/>
      <c r="AD768" s="22"/>
      <c r="AE768" s="22"/>
      <c r="AF768" s="22"/>
      <c r="AG768" s="22"/>
      <c r="AH768" s="22"/>
      <c r="AI768" s="22"/>
      <c r="AJ768" s="17"/>
      <c r="AK768" s="22"/>
      <c r="AL768" s="22"/>
      <c r="AM768" s="22"/>
      <c r="AN768" s="22"/>
      <c r="AO768" s="17"/>
      <c r="AP768" s="17"/>
      <c r="AQ768" s="17"/>
      <c r="AR768" s="1"/>
      <c r="AS768" s="1"/>
      <c r="AT768" s="17"/>
      <c r="AU768" s="1"/>
      <c r="AV768" s="1"/>
      <c r="AW768" s="1"/>
      <c r="AX768" s="2"/>
      <c r="AY768" s="2"/>
      <c r="AZ768" s="1"/>
    </row>
    <row x14ac:dyDescent="0.25" r="769" customHeight="1" ht="15">
      <c r="A769" s="1"/>
      <c r="B769" s="1"/>
      <c r="C769" s="1"/>
      <c r="D769" s="1"/>
      <c r="E769" s="1"/>
      <c r="F769" s="1"/>
      <c r="G769" s="1"/>
      <c r="H769" s="1"/>
      <c r="I769" s="1"/>
      <c r="J769" s="1"/>
      <c r="K769" s="17"/>
      <c r="L769" s="1"/>
      <c r="M769" s="1"/>
      <c r="N769" s="2"/>
      <c r="O769" s="2"/>
      <c r="P769" s="1"/>
      <c r="Q769" s="1"/>
      <c r="R769" s="1"/>
      <c r="S769" s="1"/>
      <c r="T769" s="17"/>
      <c r="U769" s="17"/>
      <c r="V769" s="17"/>
      <c r="W769" s="17"/>
      <c r="X769" s="22"/>
      <c r="Y769" s="22"/>
      <c r="Z769" s="22"/>
      <c r="AA769" s="22"/>
      <c r="AB769" s="22"/>
      <c r="AC769" s="22"/>
      <c r="AD769" s="22"/>
      <c r="AE769" s="22"/>
      <c r="AF769" s="22"/>
      <c r="AG769" s="22"/>
      <c r="AH769" s="22"/>
      <c r="AI769" s="22"/>
      <c r="AJ769" s="17"/>
      <c r="AK769" s="22"/>
      <c r="AL769" s="22"/>
      <c r="AM769" s="22"/>
      <c r="AN769" s="22"/>
      <c r="AO769" s="17"/>
      <c r="AP769" s="17"/>
      <c r="AQ769" s="17"/>
      <c r="AR769" s="1"/>
      <c r="AS769" s="1"/>
      <c r="AT769" s="17"/>
      <c r="AU769" s="1"/>
      <c r="AV769" s="1"/>
      <c r="AW769" s="1"/>
      <c r="AX769" s="2"/>
      <c r="AY769" s="2"/>
      <c r="AZ769" s="1"/>
    </row>
    <row x14ac:dyDescent="0.25" r="770" customHeight="1" ht="15">
      <c r="A770" s="1"/>
      <c r="B770" s="1"/>
      <c r="C770" s="1"/>
      <c r="D770" s="1"/>
      <c r="E770" s="1"/>
      <c r="F770" s="1"/>
      <c r="G770" s="1"/>
      <c r="H770" s="1"/>
      <c r="I770" s="1"/>
      <c r="J770" s="1"/>
      <c r="K770" s="17"/>
      <c r="L770" s="1"/>
      <c r="M770" s="1"/>
      <c r="N770" s="2"/>
      <c r="O770" s="2"/>
      <c r="P770" s="1"/>
      <c r="Q770" s="1"/>
      <c r="R770" s="1"/>
      <c r="S770" s="1"/>
      <c r="T770" s="17"/>
      <c r="U770" s="17"/>
      <c r="V770" s="17"/>
      <c r="W770" s="17"/>
      <c r="X770" s="22"/>
      <c r="Y770" s="22"/>
      <c r="Z770" s="22"/>
      <c r="AA770" s="22"/>
      <c r="AB770" s="22"/>
      <c r="AC770" s="22"/>
      <c r="AD770" s="22"/>
      <c r="AE770" s="22"/>
      <c r="AF770" s="22"/>
      <c r="AG770" s="22"/>
      <c r="AH770" s="22"/>
      <c r="AI770" s="22"/>
      <c r="AJ770" s="17"/>
      <c r="AK770" s="22"/>
      <c r="AL770" s="22"/>
      <c r="AM770" s="22"/>
      <c r="AN770" s="22"/>
      <c r="AO770" s="17"/>
      <c r="AP770" s="17"/>
      <c r="AQ770" s="17"/>
      <c r="AR770" s="1"/>
      <c r="AS770" s="1"/>
      <c r="AT770" s="17"/>
      <c r="AU770" s="1"/>
      <c r="AV770" s="1"/>
      <c r="AW770" s="1"/>
      <c r="AX770" s="2"/>
      <c r="AY770" s="2"/>
      <c r="AZ770" s="1"/>
    </row>
    <row x14ac:dyDescent="0.25" r="771" customHeight="1" ht="15">
      <c r="A771" s="1"/>
      <c r="B771" s="1"/>
      <c r="C771" s="1"/>
      <c r="D771" s="1"/>
      <c r="E771" s="1"/>
      <c r="F771" s="1"/>
      <c r="G771" s="1"/>
      <c r="H771" s="1"/>
      <c r="I771" s="1"/>
      <c r="J771" s="1"/>
      <c r="K771" s="17"/>
      <c r="L771" s="1"/>
      <c r="M771" s="1"/>
      <c r="N771" s="2"/>
      <c r="O771" s="2"/>
      <c r="P771" s="1"/>
      <c r="Q771" s="1"/>
      <c r="R771" s="1"/>
      <c r="S771" s="1"/>
      <c r="T771" s="17"/>
      <c r="U771" s="17"/>
      <c r="V771" s="17"/>
      <c r="W771" s="17"/>
      <c r="X771" s="22"/>
      <c r="Y771" s="22"/>
      <c r="Z771" s="22"/>
      <c r="AA771" s="22"/>
      <c r="AB771" s="22"/>
      <c r="AC771" s="22"/>
      <c r="AD771" s="22"/>
      <c r="AE771" s="22"/>
      <c r="AF771" s="22"/>
      <c r="AG771" s="22"/>
      <c r="AH771" s="22"/>
      <c r="AI771" s="22"/>
      <c r="AJ771" s="17"/>
      <c r="AK771" s="22"/>
      <c r="AL771" s="22"/>
      <c r="AM771" s="22"/>
      <c r="AN771" s="22"/>
      <c r="AO771" s="17"/>
      <c r="AP771" s="17"/>
      <c r="AQ771" s="17"/>
      <c r="AR771" s="1"/>
      <c r="AS771" s="1"/>
      <c r="AT771" s="17"/>
      <c r="AU771" s="1"/>
      <c r="AV771" s="1"/>
      <c r="AW771" s="1"/>
      <c r="AX771" s="2"/>
      <c r="AY771" s="2"/>
      <c r="AZ771" s="1"/>
    </row>
    <row x14ac:dyDescent="0.25" r="772" customHeight="1" ht="15">
      <c r="A772" s="1"/>
      <c r="B772" s="1"/>
      <c r="C772" s="1"/>
      <c r="D772" s="1"/>
      <c r="E772" s="1"/>
      <c r="F772" s="1"/>
      <c r="G772" s="1"/>
      <c r="H772" s="1"/>
      <c r="I772" s="1"/>
      <c r="J772" s="1"/>
      <c r="K772" s="17"/>
      <c r="L772" s="1"/>
      <c r="M772" s="1"/>
      <c r="N772" s="2"/>
      <c r="O772" s="2"/>
      <c r="P772" s="1"/>
      <c r="Q772" s="1"/>
      <c r="R772" s="1"/>
      <c r="S772" s="1"/>
      <c r="T772" s="17"/>
      <c r="U772" s="17"/>
      <c r="V772" s="17"/>
      <c r="W772" s="17"/>
      <c r="X772" s="22"/>
      <c r="Y772" s="22"/>
      <c r="Z772" s="22"/>
      <c r="AA772" s="22"/>
      <c r="AB772" s="22"/>
      <c r="AC772" s="22"/>
      <c r="AD772" s="22"/>
      <c r="AE772" s="22"/>
      <c r="AF772" s="22"/>
      <c r="AG772" s="22"/>
      <c r="AH772" s="22"/>
      <c r="AI772" s="22"/>
      <c r="AJ772" s="17"/>
      <c r="AK772" s="22"/>
      <c r="AL772" s="22"/>
      <c r="AM772" s="22"/>
      <c r="AN772" s="22"/>
      <c r="AO772" s="17"/>
      <c r="AP772" s="17"/>
      <c r="AQ772" s="17"/>
      <c r="AR772" s="1"/>
      <c r="AS772" s="1"/>
      <c r="AT772" s="17"/>
      <c r="AU772" s="1"/>
      <c r="AV772" s="1"/>
      <c r="AW772" s="1"/>
      <c r="AX772" s="2"/>
      <c r="AY772" s="2"/>
      <c r="AZ772" s="1"/>
    </row>
    <row x14ac:dyDescent="0.25" r="773" customHeight="1" ht="15">
      <c r="A773" s="1"/>
      <c r="B773" s="1"/>
      <c r="C773" s="1"/>
      <c r="D773" s="1"/>
      <c r="E773" s="1"/>
      <c r="F773" s="1"/>
      <c r="G773" s="1"/>
      <c r="H773" s="1"/>
      <c r="I773" s="1"/>
      <c r="J773" s="1"/>
      <c r="K773" s="17"/>
      <c r="L773" s="1"/>
      <c r="M773" s="1"/>
      <c r="N773" s="2"/>
      <c r="O773" s="2"/>
      <c r="P773" s="1"/>
      <c r="Q773" s="1"/>
      <c r="R773" s="1"/>
      <c r="S773" s="1"/>
      <c r="T773" s="17"/>
      <c r="U773" s="17"/>
      <c r="V773" s="17"/>
      <c r="W773" s="17"/>
      <c r="X773" s="22"/>
      <c r="Y773" s="22"/>
      <c r="Z773" s="22"/>
      <c r="AA773" s="22"/>
      <c r="AB773" s="22"/>
      <c r="AC773" s="22"/>
      <c r="AD773" s="22"/>
      <c r="AE773" s="22"/>
      <c r="AF773" s="22"/>
      <c r="AG773" s="22"/>
      <c r="AH773" s="22"/>
      <c r="AI773" s="22"/>
      <c r="AJ773" s="17"/>
      <c r="AK773" s="22"/>
      <c r="AL773" s="22"/>
      <c r="AM773" s="22"/>
      <c r="AN773" s="22"/>
      <c r="AO773" s="17"/>
      <c r="AP773" s="17"/>
      <c r="AQ773" s="17"/>
      <c r="AR773" s="1"/>
      <c r="AS773" s="1"/>
      <c r="AT773" s="17"/>
      <c r="AU773" s="1"/>
      <c r="AV773" s="1"/>
      <c r="AW773" s="1"/>
      <c r="AX773" s="2"/>
      <c r="AY773" s="2"/>
      <c r="AZ773" s="1"/>
    </row>
    <row x14ac:dyDescent="0.25" r="774" customHeight="1" ht="15">
      <c r="A774" s="1"/>
      <c r="B774" s="1"/>
      <c r="C774" s="1"/>
      <c r="D774" s="1"/>
      <c r="E774" s="1"/>
      <c r="F774" s="1"/>
      <c r="G774" s="1"/>
      <c r="H774" s="1"/>
      <c r="I774" s="1"/>
      <c r="J774" s="1"/>
      <c r="K774" s="17"/>
      <c r="L774" s="1"/>
      <c r="M774" s="1"/>
      <c r="N774" s="2"/>
      <c r="O774" s="2"/>
      <c r="P774" s="1"/>
      <c r="Q774" s="1"/>
      <c r="R774" s="1"/>
      <c r="S774" s="1"/>
      <c r="T774" s="17"/>
      <c r="U774" s="17"/>
      <c r="V774" s="17"/>
      <c r="W774" s="17"/>
      <c r="X774" s="22"/>
      <c r="Y774" s="22"/>
      <c r="Z774" s="22"/>
      <c r="AA774" s="22"/>
      <c r="AB774" s="22"/>
      <c r="AC774" s="22"/>
      <c r="AD774" s="22"/>
      <c r="AE774" s="22"/>
      <c r="AF774" s="22"/>
      <c r="AG774" s="22"/>
      <c r="AH774" s="22"/>
      <c r="AI774" s="22"/>
      <c r="AJ774" s="17"/>
      <c r="AK774" s="22"/>
      <c r="AL774" s="22"/>
      <c r="AM774" s="22"/>
      <c r="AN774" s="22"/>
      <c r="AO774" s="17"/>
      <c r="AP774" s="17"/>
      <c r="AQ774" s="17"/>
      <c r="AR774" s="1"/>
      <c r="AS774" s="1"/>
      <c r="AT774" s="17"/>
      <c r="AU774" s="1"/>
      <c r="AV774" s="1"/>
      <c r="AW774" s="1"/>
      <c r="AX774" s="2"/>
      <c r="AY774" s="2"/>
      <c r="AZ774" s="1"/>
    </row>
    <row x14ac:dyDescent="0.25" r="775" customHeight="1" ht="15">
      <c r="A775" s="1"/>
      <c r="B775" s="1"/>
      <c r="C775" s="1"/>
      <c r="D775" s="1"/>
      <c r="E775" s="1"/>
      <c r="F775" s="1"/>
      <c r="G775" s="1"/>
      <c r="H775" s="1"/>
      <c r="I775" s="1"/>
      <c r="J775" s="1"/>
      <c r="K775" s="17"/>
      <c r="L775" s="1"/>
      <c r="M775" s="1"/>
      <c r="N775" s="2"/>
      <c r="O775" s="2"/>
      <c r="P775" s="1"/>
      <c r="Q775" s="1"/>
      <c r="R775" s="1"/>
      <c r="S775" s="1"/>
      <c r="T775" s="17"/>
      <c r="U775" s="17"/>
      <c r="V775" s="17"/>
      <c r="W775" s="17"/>
      <c r="X775" s="22"/>
      <c r="Y775" s="22"/>
      <c r="Z775" s="22"/>
      <c r="AA775" s="22"/>
      <c r="AB775" s="22"/>
      <c r="AC775" s="22"/>
      <c r="AD775" s="22"/>
      <c r="AE775" s="22"/>
      <c r="AF775" s="22"/>
      <c r="AG775" s="22"/>
      <c r="AH775" s="22"/>
      <c r="AI775" s="22"/>
      <c r="AJ775" s="17"/>
      <c r="AK775" s="22"/>
      <c r="AL775" s="22"/>
      <c r="AM775" s="22"/>
      <c r="AN775" s="22"/>
      <c r="AO775" s="17"/>
      <c r="AP775" s="17"/>
      <c r="AQ775" s="17"/>
      <c r="AR775" s="1"/>
      <c r="AS775" s="1"/>
      <c r="AT775" s="17"/>
      <c r="AU775" s="1"/>
      <c r="AV775" s="1"/>
      <c r="AW775" s="1"/>
      <c r="AX775" s="2"/>
      <c r="AY775" s="2"/>
      <c r="AZ775" s="1"/>
    </row>
    <row x14ac:dyDescent="0.25" r="776" customHeight="1" ht="15">
      <c r="A776" s="1"/>
      <c r="B776" s="1"/>
      <c r="C776" s="1"/>
      <c r="D776" s="1"/>
      <c r="E776" s="1"/>
      <c r="F776" s="1"/>
      <c r="G776" s="1"/>
      <c r="H776" s="1"/>
      <c r="I776" s="1"/>
      <c r="J776" s="1"/>
      <c r="K776" s="17"/>
      <c r="L776" s="1"/>
      <c r="M776" s="1"/>
      <c r="N776" s="2"/>
      <c r="O776" s="2"/>
      <c r="P776" s="1"/>
      <c r="Q776" s="1"/>
      <c r="R776" s="1"/>
      <c r="S776" s="1"/>
      <c r="T776" s="17"/>
      <c r="U776" s="17"/>
      <c r="V776" s="17"/>
      <c r="W776" s="17"/>
      <c r="X776" s="22"/>
      <c r="Y776" s="22"/>
      <c r="Z776" s="22"/>
      <c r="AA776" s="22"/>
      <c r="AB776" s="22"/>
      <c r="AC776" s="22"/>
      <c r="AD776" s="22"/>
      <c r="AE776" s="22"/>
      <c r="AF776" s="22"/>
      <c r="AG776" s="22"/>
      <c r="AH776" s="22"/>
      <c r="AI776" s="22"/>
      <c r="AJ776" s="17"/>
      <c r="AK776" s="22"/>
      <c r="AL776" s="22"/>
      <c r="AM776" s="22"/>
      <c r="AN776" s="22"/>
      <c r="AO776" s="17"/>
      <c r="AP776" s="17"/>
      <c r="AQ776" s="17"/>
      <c r="AR776" s="1"/>
      <c r="AS776" s="1"/>
      <c r="AT776" s="17"/>
      <c r="AU776" s="1"/>
      <c r="AV776" s="1"/>
      <c r="AW776" s="1"/>
      <c r="AX776" s="2"/>
      <c r="AY776" s="2"/>
      <c r="AZ776" s="1"/>
    </row>
    <row x14ac:dyDescent="0.25" r="777" customHeight="1" ht="15">
      <c r="A777" s="1"/>
      <c r="B777" s="1"/>
      <c r="C777" s="1"/>
      <c r="D777" s="1"/>
      <c r="E777" s="1"/>
      <c r="F777" s="1"/>
      <c r="G777" s="1"/>
      <c r="H777" s="1"/>
      <c r="I777" s="1"/>
      <c r="J777" s="1"/>
      <c r="K777" s="17"/>
      <c r="L777" s="1"/>
      <c r="M777" s="1"/>
      <c r="N777" s="2"/>
      <c r="O777" s="2"/>
      <c r="P777" s="1"/>
      <c r="Q777" s="1"/>
      <c r="R777" s="1"/>
      <c r="S777" s="1"/>
      <c r="T777" s="17"/>
      <c r="U777" s="17"/>
      <c r="V777" s="17"/>
      <c r="W777" s="17"/>
      <c r="X777" s="22"/>
      <c r="Y777" s="22"/>
      <c r="Z777" s="22"/>
      <c r="AA777" s="22"/>
      <c r="AB777" s="22"/>
      <c r="AC777" s="22"/>
      <c r="AD777" s="22"/>
      <c r="AE777" s="22"/>
      <c r="AF777" s="22"/>
      <c r="AG777" s="22"/>
      <c r="AH777" s="22"/>
      <c r="AI777" s="22"/>
      <c r="AJ777" s="17"/>
      <c r="AK777" s="22"/>
      <c r="AL777" s="22"/>
      <c r="AM777" s="22"/>
      <c r="AN777" s="22"/>
      <c r="AO777" s="17"/>
      <c r="AP777" s="17"/>
      <c r="AQ777" s="17"/>
      <c r="AR777" s="1"/>
      <c r="AS777" s="1"/>
      <c r="AT777" s="17"/>
      <c r="AU777" s="1"/>
      <c r="AV777" s="1"/>
      <c r="AW777" s="1"/>
      <c r="AX777" s="2"/>
      <c r="AY777" s="2"/>
      <c r="AZ777" s="1"/>
    </row>
    <row x14ac:dyDescent="0.25" r="778" customHeight="1" ht="15">
      <c r="A778" s="1"/>
      <c r="B778" s="1"/>
      <c r="C778" s="1"/>
      <c r="D778" s="1"/>
      <c r="E778" s="1"/>
      <c r="F778" s="1"/>
      <c r="G778" s="1"/>
      <c r="H778" s="1"/>
      <c r="I778" s="1"/>
      <c r="J778" s="1"/>
      <c r="K778" s="17"/>
      <c r="L778" s="1"/>
      <c r="M778" s="1"/>
      <c r="N778" s="2"/>
      <c r="O778" s="2"/>
      <c r="P778" s="1"/>
      <c r="Q778" s="1"/>
      <c r="R778" s="1"/>
      <c r="S778" s="1"/>
      <c r="T778" s="17"/>
      <c r="U778" s="17"/>
      <c r="V778" s="17"/>
      <c r="W778" s="17"/>
      <c r="X778" s="22"/>
      <c r="Y778" s="22"/>
      <c r="Z778" s="22"/>
      <c r="AA778" s="22"/>
      <c r="AB778" s="22"/>
      <c r="AC778" s="22"/>
      <c r="AD778" s="22"/>
      <c r="AE778" s="22"/>
      <c r="AF778" s="22"/>
      <c r="AG778" s="22"/>
      <c r="AH778" s="22"/>
      <c r="AI778" s="22"/>
      <c r="AJ778" s="17"/>
      <c r="AK778" s="22"/>
      <c r="AL778" s="22"/>
      <c r="AM778" s="22"/>
      <c r="AN778" s="22"/>
      <c r="AO778" s="17"/>
      <c r="AP778" s="17"/>
      <c r="AQ778" s="17"/>
      <c r="AR778" s="1"/>
      <c r="AS778" s="1"/>
      <c r="AT778" s="17"/>
      <c r="AU778" s="1"/>
      <c r="AV778" s="1"/>
      <c r="AW778" s="1"/>
      <c r="AX778" s="2"/>
      <c r="AY778" s="2"/>
      <c r="AZ778" s="1"/>
    </row>
    <row x14ac:dyDescent="0.25" r="779" customHeight="1" ht="15">
      <c r="A779" s="1"/>
      <c r="B779" s="1"/>
      <c r="C779" s="1"/>
      <c r="D779" s="1"/>
      <c r="E779" s="1"/>
      <c r="F779" s="1"/>
      <c r="G779" s="1"/>
      <c r="H779" s="1"/>
      <c r="I779" s="1"/>
      <c r="J779" s="1"/>
      <c r="K779" s="17"/>
      <c r="L779" s="1"/>
      <c r="M779" s="1"/>
      <c r="N779" s="2"/>
      <c r="O779" s="2"/>
      <c r="P779" s="1"/>
      <c r="Q779" s="1"/>
      <c r="R779" s="1"/>
      <c r="S779" s="1"/>
      <c r="T779" s="17"/>
      <c r="U779" s="17"/>
      <c r="V779" s="17"/>
      <c r="W779" s="17"/>
      <c r="X779" s="22"/>
      <c r="Y779" s="22"/>
      <c r="Z779" s="22"/>
      <c r="AA779" s="22"/>
      <c r="AB779" s="22"/>
      <c r="AC779" s="22"/>
      <c r="AD779" s="22"/>
      <c r="AE779" s="22"/>
      <c r="AF779" s="22"/>
      <c r="AG779" s="22"/>
      <c r="AH779" s="22"/>
      <c r="AI779" s="22"/>
      <c r="AJ779" s="17"/>
      <c r="AK779" s="22"/>
      <c r="AL779" s="22"/>
      <c r="AM779" s="22"/>
      <c r="AN779" s="22"/>
      <c r="AO779" s="17"/>
      <c r="AP779" s="17"/>
      <c r="AQ779" s="17"/>
      <c r="AR779" s="1"/>
      <c r="AS779" s="1"/>
      <c r="AT779" s="17"/>
      <c r="AU779" s="1"/>
      <c r="AV779" s="1"/>
      <c r="AW779" s="1"/>
      <c r="AX779" s="2"/>
      <c r="AY779" s="2"/>
      <c r="AZ779" s="1"/>
    </row>
    <row x14ac:dyDescent="0.25" r="780" customHeight="1" ht="15">
      <c r="A780" s="1"/>
      <c r="B780" s="1"/>
      <c r="C780" s="1"/>
      <c r="D780" s="1"/>
      <c r="E780" s="1"/>
      <c r="F780" s="1"/>
      <c r="G780" s="1"/>
      <c r="H780" s="1"/>
      <c r="I780" s="1"/>
      <c r="J780" s="1"/>
      <c r="K780" s="17"/>
      <c r="L780" s="1"/>
      <c r="M780" s="1"/>
      <c r="N780" s="2"/>
      <c r="O780" s="2"/>
      <c r="P780" s="1"/>
      <c r="Q780" s="1"/>
      <c r="R780" s="1"/>
      <c r="S780" s="1"/>
      <c r="T780" s="17"/>
      <c r="U780" s="17"/>
      <c r="V780" s="17"/>
      <c r="W780" s="17"/>
      <c r="X780" s="22"/>
      <c r="Y780" s="22"/>
      <c r="Z780" s="22"/>
      <c r="AA780" s="22"/>
      <c r="AB780" s="22"/>
      <c r="AC780" s="22"/>
      <c r="AD780" s="22"/>
      <c r="AE780" s="22"/>
      <c r="AF780" s="22"/>
      <c r="AG780" s="22"/>
      <c r="AH780" s="22"/>
      <c r="AI780" s="22"/>
      <c r="AJ780" s="17"/>
      <c r="AK780" s="22"/>
      <c r="AL780" s="22"/>
      <c r="AM780" s="22"/>
      <c r="AN780" s="22"/>
      <c r="AO780" s="17"/>
      <c r="AP780" s="17"/>
      <c r="AQ780" s="17"/>
      <c r="AR780" s="1"/>
      <c r="AS780" s="1"/>
      <c r="AT780" s="17"/>
      <c r="AU780" s="1"/>
      <c r="AV780" s="1"/>
      <c r="AW780" s="1"/>
      <c r="AX780" s="2"/>
      <c r="AY780" s="2"/>
      <c r="AZ780" s="1"/>
    </row>
    <row x14ac:dyDescent="0.25" r="781" customHeight="1" ht="15">
      <c r="A781" s="1"/>
      <c r="B781" s="1"/>
      <c r="C781" s="1"/>
      <c r="D781" s="1"/>
      <c r="E781" s="1"/>
      <c r="F781" s="1"/>
      <c r="G781" s="1"/>
      <c r="H781" s="1"/>
      <c r="I781" s="1"/>
      <c r="J781" s="1"/>
      <c r="K781" s="17"/>
      <c r="L781" s="1"/>
      <c r="M781" s="1"/>
      <c r="N781" s="2"/>
      <c r="O781" s="2"/>
      <c r="P781" s="1"/>
      <c r="Q781" s="1"/>
      <c r="R781" s="1"/>
      <c r="S781" s="1"/>
      <c r="T781" s="17"/>
      <c r="U781" s="17"/>
      <c r="V781" s="17"/>
      <c r="W781" s="17"/>
      <c r="X781" s="22"/>
      <c r="Y781" s="22"/>
      <c r="Z781" s="22"/>
      <c r="AA781" s="22"/>
      <c r="AB781" s="22"/>
      <c r="AC781" s="22"/>
      <c r="AD781" s="22"/>
      <c r="AE781" s="22"/>
      <c r="AF781" s="22"/>
      <c r="AG781" s="22"/>
      <c r="AH781" s="22"/>
      <c r="AI781" s="22"/>
      <c r="AJ781" s="17"/>
      <c r="AK781" s="22"/>
      <c r="AL781" s="22"/>
      <c r="AM781" s="22"/>
      <c r="AN781" s="22"/>
      <c r="AO781" s="17"/>
      <c r="AP781" s="17"/>
      <c r="AQ781" s="17"/>
      <c r="AR781" s="1"/>
      <c r="AS781" s="1"/>
      <c r="AT781" s="17"/>
      <c r="AU781" s="1"/>
      <c r="AV781" s="1"/>
      <c r="AW781" s="1"/>
      <c r="AX781" s="2"/>
      <c r="AY781" s="2"/>
      <c r="AZ781" s="1"/>
    </row>
    <row x14ac:dyDescent="0.25" r="782" customHeight="1" ht="15">
      <c r="A782" s="1"/>
      <c r="B782" s="1"/>
      <c r="C782" s="1"/>
      <c r="D782" s="1"/>
      <c r="E782" s="1"/>
      <c r="F782" s="1"/>
      <c r="G782" s="1"/>
      <c r="H782" s="1"/>
      <c r="I782" s="1"/>
      <c r="J782" s="1"/>
      <c r="K782" s="17"/>
      <c r="L782" s="1"/>
      <c r="M782" s="1"/>
      <c r="N782" s="2"/>
      <c r="O782" s="2"/>
      <c r="P782" s="1"/>
      <c r="Q782" s="1"/>
      <c r="R782" s="1"/>
      <c r="S782" s="1"/>
      <c r="T782" s="17"/>
      <c r="U782" s="17"/>
      <c r="V782" s="17"/>
      <c r="W782" s="17"/>
      <c r="X782" s="22"/>
      <c r="Y782" s="22"/>
      <c r="Z782" s="22"/>
      <c r="AA782" s="22"/>
      <c r="AB782" s="22"/>
      <c r="AC782" s="22"/>
      <c r="AD782" s="22"/>
      <c r="AE782" s="22"/>
      <c r="AF782" s="22"/>
      <c r="AG782" s="22"/>
      <c r="AH782" s="22"/>
      <c r="AI782" s="22"/>
      <c r="AJ782" s="17"/>
      <c r="AK782" s="22"/>
      <c r="AL782" s="22"/>
      <c r="AM782" s="22"/>
      <c r="AN782" s="22"/>
      <c r="AO782" s="17"/>
      <c r="AP782" s="17"/>
      <c r="AQ782" s="17"/>
      <c r="AR782" s="1"/>
      <c r="AS782" s="1"/>
      <c r="AT782" s="17"/>
      <c r="AU782" s="1"/>
      <c r="AV782" s="1"/>
      <c r="AW782" s="1"/>
      <c r="AX782" s="2"/>
      <c r="AY782" s="2"/>
      <c r="AZ782" s="1"/>
    </row>
    <row x14ac:dyDescent="0.25" r="783" customHeight="1" ht="15">
      <c r="A783" s="1"/>
      <c r="B783" s="1"/>
      <c r="C783" s="1"/>
      <c r="D783" s="1"/>
      <c r="E783" s="1"/>
      <c r="F783" s="1"/>
      <c r="G783" s="1"/>
      <c r="H783" s="1"/>
      <c r="I783" s="1"/>
      <c r="J783" s="1"/>
      <c r="K783" s="17"/>
      <c r="L783" s="1"/>
      <c r="M783" s="1"/>
      <c r="N783" s="2"/>
      <c r="O783" s="2"/>
      <c r="P783" s="1"/>
      <c r="Q783" s="1"/>
      <c r="R783" s="1"/>
      <c r="S783" s="1"/>
      <c r="T783" s="17"/>
      <c r="U783" s="17"/>
      <c r="V783" s="17"/>
      <c r="W783" s="17"/>
      <c r="X783" s="22"/>
      <c r="Y783" s="22"/>
      <c r="Z783" s="22"/>
      <c r="AA783" s="22"/>
      <c r="AB783" s="22"/>
      <c r="AC783" s="22"/>
      <c r="AD783" s="22"/>
      <c r="AE783" s="22"/>
      <c r="AF783" s="22"/>
      <c r="AG783" s="22"/>
      <c r="AH783" s="22"/>
      <c r="AI783" s="22"/>
      <c r="AJ783" s="17"/>
      <c r="AK783" s="22"/>
      <c r="AL783" s="22"/>
      <c r="AM783" s="22"/>
      <c r="AN783" s="22"/>
      <c r="AO783" s="17"/>
      <c r="AP783" s="17"/>
      <c r="AQ783" s="17"/>
      <c r="AR783" s="1"/>
      <c r="AS783" s="1"/>
      <c r="AT783" s="17"/>
      <c r="AU783" s="1"/>
      <c r="AV783" s="1"/>
      <c r="AW783" s="1"/>
      <c r="AX783" s="2"/>
      <c r="AY783" s="2"/>
      <c r="AZ783" s="1"/>
    </row>
    <row x14ac:dyDescent="0.25" r="784" customHeight="1" ht="15">
      <c r="A784" s="1"/>
      <c r="B784" s="1"/>
      <c r="C784" s="1"/>
      <c r="D784" s="1"/>
      <c r="E784" s="1"/>
      <c r="F784" s="1"/>
      <c r="G784" s="1"/>
      <c r="H784" s="1"/>
      <c r="I784" s="1"/>
      <c r="J784" s="1"/>
      <c r="K784" s="17"/>
      <c r="L784" s="1"/>
      <c r="M784" s="1"/>
      <c r="N784" s="2"/>
      <c r="O784" s="2"/>
      <c r="P784" s="1"/>
      <c r="Q784" s="1"/>
      <c r="R784" s="1"/>
      <c r="S784" s="1"/>
      <c r="T784" s="17"/>
      <c r="U784" s="17"/>
      <c r="V784" s="17"/>
      <c r="W784" s="17"/>
      <c r="X784" s="22"/>
      <c r="Y784" s="22"/>
      <c r="Z784" s="22"/>
      <c r="AA784" s="22"/>
      <c r="AB784" s="22"/>
      <c r="AC784" s="22"/>
      <c r="AD784" s="22"/>
      <c r="AE784" s="22"/>
      <c r="AF784" s="22"/>
      <c r="AG784" s="22"/>
      <c r="AH784" s="22"/>
      <c r="AI784" s="22"/>
      <c r="AJ784" s="17"/>
      <c r="AK784" s="22"/>
      <c r="AL784" s="22"/>
      <c r="AM784" s="22"/>
      <c r="AN784" s="22"/>
      <c r="AO784" s="17"/>
      <c r="AP784" s="17"/>
      <c r="AQ784" s="17"/>
      <c r="AR784" s="1"/>
      <c r="AS784" s="1"/>
      <c r="AT784" s="17"/>
      <c r="AU784" s="1"/>
      <c r="AV784" s="1"/>
      <c r="AW784" s="1"/>
      <c r="AX784" s="2"/>
      <c r="AY784" s="2"/>
      <c r="AZ784" s="1"/>
    </row>
    <row x14ac:dyDescent="0.25" r="785" customHeight="1" ht="15">
      <c r="A785" s="1"/>
      <c r="B785" s="1"/>
      <c r="C785" s="1"/>
      <c r="D785" s="1"/>
      <c r="E785" s="1"/>
      <c r="F785" s="1"/>
      <c r="G785" s="1"/>
      <c r="H785" s="1"/>
      <c r="I785" s="1"/>
      <c r="J785" s="1"/>
      <c r="K785" s="17"/>
      <c r="L785" s="1"/>
      <c r="M785" s="1"/>
      <c r="N785" s="2"/>
      <c r="O785" s="2"/>
      <c r="P785" s="1"/>
      <c r="Q785" s="1"/>
      <c r="R785" s="1"/>
      <c r="S785" s="1"/>
      <c r="T785" s="17"/>
      <c r="U785" s="17"/>
      <c r="V785" s="17"/>
      <c r="W785" s="17"/>
      <c r="X785" s="22"/>
      <c r="Y785" s="22"/>
      <c r="Z785" s="22"/>
      <c r="AA785" s="22"/>
      <c r="AB785" s="22"/>
      <c r="AC785" s="22"/>
      <c r="AD785" s="22"/>
      <c r="AE785" s="22"/>
      <c r="AF785" s="22"/>
      <c r="AG785" s="22"/>
      <c r="AH785" s="22"/>
      <c r="AI785" s="22"/>
      <c r="AJ785" s="17"/>
      <c r="AK785" s="22"/>
      <c r="AL785" s="22"/>
      <c r="AM785" s="22"/>
      <c r="AN785" s="22"/>
      <c r="AO785" s="17"/>
      <c r="AP785" s="17"/>
      <c r="AQ785" s="17"/>
      <c r="AR785" s="1"/>
      <c r="AS785" s="1"/>
      <c r="AT785" s="17"/>
      <c r="AU785" s="1"/>
      <c r="AV785" s="1"/>
      <c r="AW785" s="1"/>
      <c r="AX785" s="2"/>
      <c r="AY785" s="2"/>
      <c r="AZ785" s="1"/>
    </row>
    <row x14ac:dyDescent="0.25" r="786" customHeight="1" ht="15">
      <c r="A786" s="1"/>
      <c r="B786" s="1"/>
      <c r="C786" s="1"/>
      <c r="D786" s="1"/>
      <c r="E786" s="1"/>
      <c r="F786" s="1"/>
      <c r="G786" s="1"/>
      <c r="H786" s="1"/>
      <c r="I786" s="1"/>
      <c r="J786" s="1"/>
      <c r="K786" s="17"/>
      <c r="L786" s="1"/>
      <c r="M786" s="1"/>
      <c r="N786" s="2"/>
      <c r="O786" s="2"/>
      <c r="P786" s="1"/>
      <c r="Q786" s="1"/>
      <c r="R786" s="1"/>
      <c r="S786" s="1"/>
      <c r="T786" s="17"/>
      <c r="U786" s="17"/>
      <c r="V786" s="17"/>
      <c r="W786" s="17"/>
      <c r="X786" s="22"/>
      <c r="Y786" s="22"/>
      <c r="Z786" s="22"/>
      <c r="AA786" s="22"/>
      <c r="AB786" s="22"/>
      <c r="AC786" s="22"/>
      <c r="AD786" s="22"/>
      <c r="AE786" s="22"/>
      <c r="AF786" s="22"/>
      <c r="AG786" s="22"/>
      <c r="AH786" s="22"/>
      <c r="AI786" s="22"/>
      <c r="AJ786" s="17"/>
      <c r="AK786" s="22"/>
      <c r="AL786" s="22"/>
      <c r="AM786" s="22"/>
      <c r="AN786" s="22"/>
      <c r="AO786" s="17"/>
      <c r="AP786" s="17"/>
      <c r="AQ786" s="17"/>
      <c r="AR786" s="1"/>
      <c r="AS786" s="1"/>
      <c r="AT786" s="17"/>
      <c r="AU786" s="1"/>
      <c r="AV786" s="1"/>
      <c r="AW786" s="1"/>
      <c r="AX786" s="2"/>
      <c r="AY786" s="2"/>
      <c r="AZ786" s="1"/>
    </row>
    <row x14ac:dyDescent="0.25" r="787" customHeight="1" ht="18.75">
      <c r="A787" s="1"/>
      <c r="B787" s="1"/>
      <c r="C787" s="1"/>
      <c r="D787" s="1"/>
      <c r="E787" s="1"/>
      <c r="F787" s="1"/>
      <c r="G787" s="1"/>
      <c r="H787" s="1"/>
      <c r="I787" s="1"/>
      <c r="J787" s="1"/>
      <c r="K787" s="17"/>
      <c r="L787" s="1"/>
      <c r="M787" s="1"/>
      <c r="N787" s="2"/>
      <c r="O787" s="2"/>
      <c r="P787" s="1"/>
      <c r="Q787" s="1"/>
      <c r="R787" s="1"/>
      <c r="S787" s="1"/>
      <c r="T787" s="17"/>
      <c r="U787" s="17"/>
      <c r="V787" s="17"/>
      <c r="W787" s="17"/>
      <c r="X787" s="22"/>
      <c r="Y787" s="22"/>
      <c r="Z787" s="22"/>
      <c r="AA787" s="22"/>
      <c r="AB787" s="22"/>
      <c r="AC787" s="22"/>
      <c r="AD787" s="22"/>
      <c r="AE787" s="22"/>
      <c r="AF787" s="22"/>
      <c r="AG787" s="22"/>
      <c r="AH787" s="22"/>
      <c r="AI787" s="22"/>
      <c r="AJ787" s="17"/>
      <c r="AK787" s="22"/>
      <c r="AL787" s="22"/>
      <c r="AM787" s="22"/>
      <c r="AN787" s="22"/>
      <c r="AO787" s="17"/>
      <c r="AP787" s="17"/>
      <c r="AQ787" s="17"/>
      <c r="AR787" s="1"/>
      <c r="AS787" s="1"/>
      <c r="AT787" s="17"/>
      <c r="AU787" s="1"/>
      <c r="AV787" s="1"/>
      <c r="AW787" s="1"/>
      <c r="AX787" s="2"/>
      <c r="AY787" s="2"/>
      <c r="AZ787" s="1"/>
    </row>
    <row x14ac:dyDescent="0.25" r="788" customHeight="1" ht="18.75">
      <c r="A788" s="1"/>
      <c r="B788" s="1"/>
      <c r="C788" s="1"/>
      <c r="D788" s="1"/>
      <c r="E788" s="1"/>
      <c r="F788" s="1"/>
      <c r="G788" s="1"/>
      <c r="H788" s="1"/>
      <c r="I788" s="1"/>
      <c r="J788" s="1"/>
      <c r="K788" s="17"/>
      <c r="L788" s="1"/>
      <c r="M788" s="1"/>
      <c r="N788" s="2"/>
      <c r="O788" s="2"/>
      <c r="P788" s="1"/>
      <c r="Q788" s="1"/>
      <c r="R788" s="1"/>
      <c r="S788" s="1"/>
      <c r="T788" s="17"/>
      <c r="U788" s="17"/>
      <c r="V788" s="17"/>
      <c r="W788" s="17"/>
      <c r="X788" s="22"/>
      <c r="Y788" s="22"/>
      <c r="Z788" s="22"/>
      <c r="AA788" s="22"/>
      <c r="AB788" s="22"/>
      <c r="AC788" s="22"/>
      <c r="AD788" s="22"/>
      <c r="AE788" s="22"/>
      <c r="AF788" s="22"/>
      <c r="AG788" s="22"/>
      <c r="AH788" s="22"/>
      <c r="AI788" s="22"/>
      <c r="AJ788" s="17"/>
      <c r="AK788" s="22"/>
      <c r="AL788" s="22"/>
      <c r="AM788" s="22"/>
      <c r="AN788" s="22"/>
      <c r="AO788" s="17"/>
      <c r="AP788" s="17"/>
      <c r="AQ788" s="17"/>
      <c r="AR788" s="1"/>
      <c r="AS788" s="1"/>
      <c r="AT788" s="17"/>
      <c r="AU788" s="1"/>
      <c r="AV788" s="1"/>
      <c r="AW788" s="1"/>
      <c r="AX788" s="2"/>
      <c r="AY788" s="2"/>
      <c r="AZ788" s="1"/>
    </row>
    <row x14ac:dyDescent="0.25" r="789" customHeight="1" ht="18.75">
      <c r="A789" s="1"/>
      <c r="B789" s="1"/>
      <c r="C789" s="1"/>
      <c r="D789" s="1"/>
      <c r="E789" s="1"/>
      <c r="F789" s="1"/>
      <c r="G789" s="1"/>
      <c r="H789" s="1"/>
      <c r="I789" s="1"/>
      <c r="J789" s="1"/>
      <c r="K789" s="17"/>
      <c r="L789" s="1"/>
      <c r="M789" s="1"/>
      <c r="N789" s="2"/>
      <c r="O789" s="2"/>
      <c r="P789" s="1"/>
      <c r="Q789" s="1"/>
      <c r="R789" s="1"/>
      <c r="S789" s="1"/>
      <c r="T789" s="17"/>
      <c r="U789" s="17"/>
      <c r="V789" s="17"/>
      <c r="W789" s="17"/>
      <c r="X789" s="22"/>
      <c r="Y789" s="22"/>
      <c r="Z789" s="22"/>
      <c r="AA789" s="22"/>
      <c r="AB789" s="22"/>
      <c r="AC789" s="22"/>
      <c r="AD789" s="22"/>
      <c r="AE789" s="22"/>
      <c r="AF789" s="22"/>
      <c r="AG789" s="22"/>
      <c r="AH789" s="22"/>
      <c r="AI789" s="22"/>
      <c r="AJ789" s="17"/>
      <c r="AK789" s="22"/>
      <c r="AL789" s="22"/>
      <c r="AM789" s="22"/>
      <c r="AN789" s="22"/>
      <c r="AO789" s="17"/>
      <c r="AP789" s="17"/>
      <c r="AQ789" s="17"/>
      <c r="AR789" s="1"/>
      <c r="AS789" s="1"/>
      <c r="AT789" s="17"/>
      <c r="AU789" s="1"/>
      <c r="AV789" s="1"/>
      <c r="AW789" s="1"/>
      <c r="AX789" s="2"/>
      <c r="AY789" s="2"/>
      <c r="AZ789" s="1"/>
    </row>
    <row x14ac:dyDescent="0.25" r="790" customHeight="1" ht="18.75">
      <c r="A790" s="1"/>
      <c r="B790" s="1"/>
      <c r="C790" s="1"/>
      <c r="D790" s="1"/>
      <c r="E790" s="1"/>
      <c r="F790" s="1"/>
      <c r="G790" s="1"/>
      <c r="H790" s="1"/>
      <c r="I790" s="1"/>
      <c r="J790" s="1"/>
      <c r="K790" s="17"/>
      <c r="L790" s="1"/>
      <c r="M790" s="1"/>
      <c r="N790" s="2"/>
      <c r="O790" s="2"/>
      <c r="P790" s="1"/>
      <c r="Q790" s="1"/>
      <c r="R790" s="1"/>
      <c r="S790" s="1"/>
      <c r="T790" s="17"/>
      <c r="U790" s="17"/>
      <c r="V790" s="17"/>
      <c r="W790" s="17"/>
      <c r="X790" s="22"/>
      <c r="Y790" s="22"/>
      <c r="Z790" s="22"/>
      <c r="AA790" s="22"/>
      <c r="AB790" s="22"/>
      <c r="AC790" s="22"/>
      <c r="AD790" s="22"/>
      <c r="AE790" s="22"/>
      <c r="AF790" s="22"/>
      <c r="AG790" s="22"/>
      <c r="AH790" s="22"/>
      <c r="AI790" s="22"/>
      <c r="AJ790" s="17"/>
      <c r="AK790" s="22"/>
      <c r="AL790" s="22"/>
      <c r="AM790" s="22"/>
      <c r="AN790" s="22"/>
      <c r="AO790" s="17"/>
      <c r="AP790" s="17"/>
      <c r="AQ790" s="17"/>
      <c r="AR790" s="1"/>
      <c r="AS790" s="1"/>
      <c r="AT790" s="17"/>
      <c r="AU790" s="1"/>
      <c r="AV790" s="1"/>
      <c r="AW790" s="1"/>
      <c r="AX790" s="2"/>
      <c r="AY790" s="2"/>
      <c r="AZ790" s="1"/>
    </row>
    <row x14ac:dyDescent="0.25" r="791" customHeight="1" ht="18.75">
      <c r="A791" s="1"/>
      <c r="B791" s="1"/>
      <c r="C791" s="1"/>
      <c r="D791" s="1"/>
      <c r="E791" s="1"/>
      <c r="F791" s="1"/>
      <c r="G791" s="1"/>
      <c r="H791" s="1"/>
      <c r="I791" s="1"/>
      <c r="J791" s="1"/>
      <c r="K791" s="17"/>
      <c r="L791" s="1"/>
      <c r="M791" s="1"/>
      <c r="N791" s="2"/>
      <c r="O791" s="2"/>
      <c r="P791" s="1"/>
      <c r="Q791" s="1"/>
      <c r="R791" s="1"/>
      <c r="S791" s="1"/>
      <c r="T791" s="17"/>
      <c r="U791" s="17"/>
      <c r="V791" s="17"/>
      <c r="W791" s="17"/>
      <c r="X791" s="22"/>
      <c r="Y791" s="22"/>
      <c r="Z791" s="22"/>
      <c r="AA791" s="22"/>
      <c r="AB791" s="22"/>
      <c r="AC791" s="22"/>
      <c r="AD791" s="22"/>
      <c r="AE791" s="22"/>
      <c r="AF791" s="22"/>
      <c r="AG791" s="22"/>
      <c r="AH791" s="22"/>
      <c r="AI791" s="22"/>
      <c r="AJ791" s="17"/>
      <c r="AK791" s="22"/>
      <c r="AL791" s="22"/>
      <c r="AM791" s="22"/>
      <c r="AN791" s="22"/>
      <c r="AO791" s="17"/>
      <c r="AP791" s="17"/>
      <c r="AQ791" s="17"/>
      <c r="AR791" s="1"/>
      <c r="AS791" s="1"/>
      <c r="AT791" s="17"/>
      <c r="AU791" s="1"/>
      <c r="AV791" s="1"/>
      <c r="AW791" s="1"/>
      <c r="AX791" s="2"/>
      <c r="AY791" s="2"/>
      <c r="AZ791" s="1"/>
    </row>
    <row x14ac:dyDescent="0.25" r="792" customHeight="1" ht="18.75">
      <c r="A792" s="1"/>
      <c r="B792" s="1"/>
      <c r="C792" s="1"/>
      <c r="D792" s="1"/>
      <c r="E792" s="1"/>
      <c r="F792" s="1"/>
      <c r="G792" s="1"/>
      <c r="H792" s="1"/>
      <c r="I792" s="1"/>
      <c r="J792" s="1"/>
      <c r="K792" s="17"/>
      <c r="L792" s="1"/>
      <c r="M792" s="1"/>
      <c r="N792" s="2"/>
      <c r="O792" s="2"/>
      <c r="P792" s="1"/>
      <c r="Q792" s="1"/>
      <c r="R792" s="1"/>
      <c r="S792" s="1"/>
      <c r="T792" s="17"/>
      <c r="U792" s="17"/>
      <c r="V792" s="17"/>
      <c r="W792" s="17"/>
      <c r="X792" s="22"/>
      <c r="Y792" s="22"/>
      <c r="Z792" s="22"/>
      <c r="AA792" s="22"/>
      <c r="AB792" s="22"/>
      <c r="AC792" s="22"/>
      <c r="AD792" s="22"/>
      <c r="AE792" s="22"/>
      <c r="AF792" s="22"/>
      <c r="AG792" s="22"/>
      <c r="AH792" s="22"/>
      <c r="AI792" s="22"/>
      <c r="AJ792" s="17"/>
      <c r="AK792" s="22"/>
      <c r="AL792" s="22"/>
      <c r="AM792" s="22"/>
      <c r="AN792" s="22"/>
      <c r="AO792" s="17"/>
      <c r="AP792" s="17"/>
      <c r="AQ792" s="17"/>
      <c r="AR792" s="1"/>
      <c r="AS792" s="1"/>
      <c r="AT792" s="17"/>
      <c r="AU792" s="1"/>
      <c r="AV792" s="1"/>
      <c r="AW792" s="1"/>
      <c r="AX792" s="2"/>
      <c r="AY792" s="2"/>
      <c r="AZ792" s="1"/>
    </row>
    <row x14ac:dyDescent="0.25" r="793" customHeight="1" ht="18.75">
      <c r="A793" s="1"/>
      <c r="B793" s="1"/>
      <c r="C793" s="1"/>
      <c r="D793" s="1"/>
      <c r="E793" s="1"/>
      <c r="F793" s="1"/>
      <c r="G793" s="1"/>
      <c r="H793" s="1"/>
      <c r="I793" s="1"/>
      <c r="J793" s="1"/>
      <c r="K793" s="17"/>
      <c r="L793" s="1"/>
      <c r="M793" s="1"/>
      <c r="N793" s="2"/>
      <c r="O793" s="2"/>
      <c r="P793" s="1"/>
      <c r="Q793" s="1"/>
      <c r="R793" s="1"/>
      <c r="S793" s="1"/>
      <c r="T793" s="17"/>
      <c r="U793" s="17"/>
      <c r="V793" s="17"/>
      <c r="W793" s="17"/>
      <c r="X793" s="22"/>
      <c r="Y793" s="22"/>
      <c r="Z793" s="22"/>
      <c r="AA793" s="22"/>
      <c r="AB793" s="22"/>
      <c r="AC793" s="22"/>
      <c r="AD793" s="22"/>
      <c r="AE793" s="22"/>
      <c r="AF793" s="22"/>
      <c r="AG793" s="22"/>
      <c r="AH793" s="22"/>
      <c r="AI793" s="22"/>
      <c r="AJ793" s="17"/>
      <c r="AK793" s="22"/>
      <c r="AL793" s="22"/>
      <c r="AM793" s="22"/>
      <c r="AN793" s="22"/>
      <c r="AO793" s="17"/>
      <c r="AP793" s="17"/>
      <c r="AQ793" s="17"/>
      <c r="AR793" s="1"/>
      <c r="AS793" s="1"/>
      <c r="AT793" s="17"/>
      <c r="AU793" s="1"/>
      <c r="AV793" s="1"/>
      <c r="AW793" s="1"/>
      <c r="AX793" s="2"/>
      <c r="AY793" s="2"/>
      <c r="AZ793" s="1"/>
    </row>
    <row x14ac:dyDescent="0.25" r="794" customHeight="1" ht="18.75">
      <c r="A794" s="1"/>
      <c r="B794" s="1"/>
      <c r="C794" s="1"/>
      <c r="D794" s="1"/>
      <c r="E794" s="1"/>
      <c r="F794" s="1"/>
      <c r="G794" s="1"/>
      <c r="H794" s="1"/>
      <c r="I794" s="1"/>
      <c r="J794" s="1"/>
      <c r="K794" s="17"/>
      <c r="L794" s="1"/>
      <c r="M794" s="1"/>
      <c r="N794" s="2"/>
      <c r="O794" s="2"/>
      <c r="P794" s="1"/>
      <c r="Q794" s="1"/>
      <c r="R794" s="1"/>
      <c r="S794" s="1"/>
      <c r="T794" s="17"/>
      <c r="U794" s="17"/>
      <c r="V794" s="17"/>
      <c r="W794" s="17"/>
      <c r="X794" s="22"/>
      <c r="Y794" s="22"/>
      <c r="Z794" s="22"/>
      <c r="AA794" s="22"/>
      <c r="AB794" s="22"/>
      <c r="AC794" s="22"/>
      <c r="AD794" s="22"/>
      <c r="AE794" s="22"/>
      <c r="AF794" s="22"/>
      <c r="AG794" s="22"/>
      <c r="AH794" s="22"/>
      <c r="AI794" s="22"/>
      <c r="AJ794" s="17"/>
      <c r="AK794" s="22"/>
      <c r="AL794" s="22"/>
      <c r="AM794" s="22"/>
      <c r="AN794" s="22"/>
      <c r="AO794" s="17"/>
      <c r="AP794" s="17"/>
      <c r="AQ794" s="17"/>
      <c r="AR794" s="1"/>
      <c r="AS794" s="1"/>
      <c r="AT794" s="17"/>
      <c r="AU794" s="1"/>
      <c r="AV794" s="1"/>
      <c r="AW794" s="1"/>
      <c r="AX794" s="2"/>
      <c r="AY794" s="2"/>
      <c r="AZ794" s="1"/>
    </row>
    <row x14ac:dyDescent="0.25" r="795" customHeight="1" ht="18.75">
      <c r="A795" s="1"/>
      <c r="B795" s="1"/>
      <c r="C795" s="1"/>
      <c r="D795" s="1"/>
      <c r="E795" s="1"/>
      <c r="F795" s="1"/>
      <c r="G795" s="1"/>
      <c r="H795" s="1"/>
      <c r="I795" s="1"/>
      <c r="J795" s="1"/>
      <c r="K795" s="17"/>
      <c r="L795" s="1"/>
      <c r="M795" s="1"/>
      <c r="N795" s="2"/>
      <c r="O795" s="2"/>
      <c r="P795" s="1"/>
      <c r="Q795" s="1"/>
      <c r="R795" s="1"/>
      <c r="S795" s="1"/>
      <c r="T795" s="17"/>
      <c r="U795" s="17"/>
      <c r="V795" s="17"/>
      <c r="W795" s="17"/>
      <c r="X795" s="22"/>
      <c r="Y795" s="22"/>
      <c r="Z795" s="22"/>
      <c r="AA795" s="22"/>
      <c r="AB795" s="22"/>
      <c r="AC795" s="22"/>
      <c r="AD795" s="22"/>
      <c r="AE795" s="22"/>
      <c r="AF795" s="22"/>
      <c r="AG795" s="22"/>
      <c r="AH795" s="22"/>
      <c r="AI795" s="22"/>
      <c r="AJ795" s="17"/>
      <c r="AK795" s="22"/>
      <c r="AL795" s="22"/>
      <c r="AM795" s="22"/>
      <c r="AN795" s="22"/>
      <c r="AO795" s="17"/>
      <c r="AP795" s="17"/>
      <c r="AQ795" s="17"/>
      <c r="AR795" s="1"/>
      <c r="AS795" s="1"/>
      <c r="AT795" s="17"/>
      <c r="AU795" s="1"/>
      <c r="AV795" s="1"/>
      <c r="AW795" s="1"/>
      <c r="AX795" s="2"/>
      <c r="AY795" s="2"/>
      <c r="AZ795" s="1"/>
    </row>
    <row x14ac:dyDescent="0.25" r="796" customHeight="1" ht="18.75">
      <c r="A796" s="1"/>
      <c r="B796" s="1"/>
      <c r="C796" s="1"/>
      <c r="D796" s="1"/>
      <c r="E796" s="1"/>
      <c r="F796" s="1"/>
      <c r="G796" s="1"/>
      <c r="H796" s="1"/>
      <c r="I796" s="1"/>
      <c r="J796" s="1"/>
      <c r="K796" s="17"/>
      <c r="L796" s="1"/>
      <c r="M796" s="1"/>
      <c r="N796" s="2"/>
      <c r="O796" s="2"/>
      <c r="P796" s="1"/>
      <c r="Q796" s="1"/>
      <c r="R796" s="1"/>
      <c r="S796" s="1"/>
      <c r="T796" s="17"/>
      <c r="U796" s="17"/>
      <c r="V796" s="17"/>
      <c r="W796" s="17"/>
      <c r="X796" s="22"/>
      <c r="Y796" s="22"/>
      <c r="Z796" s="22"/>
      <c r="AA796" s="22"/>
      <c r="AB796" s="22"/>
      <c r="AC796" s="22"/>
      <c r="AD796" s="22"/>
      <c r="AE796" s="22"/>
      <c r="AF796" s="22"/>
      <c r="AG796" s="22"/>
      <c r="AH796" s="22"/>
      <c r="AI796" s="22"/>
      <c r="AJ796" s="17"/>
      <c r="AK796" s="22"/>
      <c r="AL796" s="22"/>
      <c r="AM796" s="22"/>
      <c r="AN796" s="22"/>
      <c r="AO796" s="17"/>
      <c r="AP796" s="17"/>
      <c r="AQ796" s="17"/>
      <c r="AR796" s="1"/>
      <c r="AS796" s="1"/>
      <c r="AT796" s="17"/>
      <c r="AU796" s="1"/>
      <c r="AV796" s="1"/>
      <c r="AW796" s="1"/>
      <c r="AX796" s="2"/>
      <c r="AY796" s="2"/>
      <c r="AZ796" s="1"/>
    </row>
    <row x14ac:dyDescent="0.25" r="797" customHeight="1" ht="18.75">
      <c r="A797" s="1"/>
      <c r="B797" s="1"/>
      <c r="C797" s="1"/>
      <c r="D797" s="1"/>
      <c r="E797" s="1"/>
      <c r="F797" s="1"/>
      <c r="G797" s="1"/>
      <c r="H797" s="1"/>
      <c r="I797" s="1"/>
      <c r="J797" s="1"/>
      <c r="K797" s="17"/>
      <c r="L797" s="1"/>
      <c r="M797" s="1"/>
      <c r="N797" s="2"/>
      <c r="O797" s="2"/>
      <c r="P797" s="1"/>
      <c r="Q797" s="1"/>
      <c r="R797" s="1"/>
      <c r="S797" s="1"/>
      <c r="T797" s="17"/>
      <c r="U797" s="17"/>
      <c r="V797" s="17"/>
      <c r="W797" s="17"/>
      <c r="X797" s="22"/>
      <c r="Y797" s="22"/>
      <c r="Z797" s="22"/>
      <c r="AA797" s="22"/>
      <c r="AB797" s="22"/>
      <c r="AC797" s="22"/>
      <c r="AD797" s="22"/>
      <c r="AE797" s="22"/>
      <c r="AF797" s="22"/>
      <c r="AG797" s="22"/>
      <c r="AH797" s="22"/>
      <c r="AI797" s="22"/>
      <c r="AJ797" s="17"/>
      <c r="AK797" s="22"/>
      <c r="AL797" s="22"/>
      <c r="AM797" s="22"/>
      <c r="AN797" s="22"/>
      <c r="AO797" s="17"/>
      <c r="AP797" s="17"/>
      <c r="AQ797" s="17"/>
      <c r="AR797" s="1"/>
      <c r="AS797" s="1"/>
      <c r="AT797" s="17"/>
      <c r="AU797" s="1"/>
      <c r="AV797" s="1"/>
      <c r="AW797" s="1"/>
      <c r="AX797" s="2"/>
      <c r="AY797" s="2"/>
      <c r="AZ797" s="1"/>
    </row>
    <row x14ac:dyDescent="0.25" r="798" customHeight="1" ht="18.75">
      <c r="A798" s="1"/>
      <c r="B798" s="1"/>
      <c r="C798" s="1"/>
      <c r="D798" s="1"/>
      <c r="E798" s="1"/>
      <c r="F798" s="1"/>
      <c r="G798" s="1"/>
      <c r="H798" s="1"/>
      <c r="I798" s="1"/>
      <c r="J798" s="1"/>
      <c r="K798" s="17"/>
      <c r="L798" s="1"/>
      <c r="M798" s="1"/>
      <c r="N798" s="2"/>
      <c r="O798" s="2"/>
      <c r="P798" s="1"/>
      <c r="Q798" s="1"/>
      <c r="R798" s="1"/>
      <c r="S798" s="1"/>
      <c r="T798" s="17"/>
      <c r="U798" s="17"/>
      <c r="V798" s="17"/>
      <c r="W798" s="17"/>
      <c r="X798" s="22"/>
      <c r="Y798" s="22"/>
      <c r="Z798" s="22"/>
      <c r="AA798" s="22"/>
      <c r="AB798" s="22"/>
      <c r="AC798" s="22"/>
      <c r="AD798" s="22"/>
      <c r="AE798" s="22"/>
      <c r="AF798" s="22"/>
      <c r="AG798" s="22"/>
      <c r="AH798" s="22"/>
      <c r="AI798" s="22"/>
      <c r="AJ798" s="17"/>
      <c r="AK798" s="22"/>
      <c r="AL798" s="22"/>
      <c r="AM798" s="22"/>
      <c r="AN798" s="22"/>
      <c r="AO798" s="17"/>
      <c r="AP798" s="17"/>
      <c r="AQ798" s="17"/>
      <c r="AR798" s="1"/>
      <c r="AS798" s="1"/>
      <c r="AT798" s="17"/>
      <c r="AU798" s="1"/>
      <c r="AV798" s="1"/>
      <c r="AW798" s="1"/>
      <c r="AX798" s="2"/>
      <c r="AY798" s="2"/>
      <c r="AZ798" s="1"/>
    </row>
    <row x14ac:dyDescent="0.25" r="799" customHeight="1" ht="18.75">
      <c r="A799" s="1"/>
      <c r="B799" s="1"/>
      <c r="C799" s="1"/>
      <c r="D799" s="1"/>
      <c r="E799" s="1"/>
      <c r="F799" s="1"/>
      <c r="G799" s="1"/>
      <c r="H799" s="1"/>
      <c r="I799" s="1"/>
      <c r="J799" s="1"/>
      <c r="K799" s="17"/>
      <c r="L799" s="1"/>
      <c r="M799" s="1"/>
      <c r="N799" s="2"/>
      <c r="O799" s="2"/>
      <c r="P799" s="1"/>
      <c r="Q799" s="1"/>
      <c r="R799" s="1"/>
      <c r="S799" s="1"/>
      <c r="T799" s="17"/>
      <c r="U799" s="17"/>
      <c r="V799" s="17"/>
      <c r="W799" s="17"/>
      <c r="X799" s="22"/>
      <c r="Y799" s="22"/>
      <c r="Z799" s="22"/>
      <c r="AA799" s="22"/>
      <c r="AB799" s="22"/>
      <c r="AC799" s="22"/>
      <c r="AD799" s="22"/>
      <c r="AE799" s="22"/>
      <c r="AF799" s="22"/>
      <c r="AG799" s="22"/>
      <c r="AH799" s="22"/>
      <c r="AI799" s="22"/>
      <c r="AJ799" s="17"/>
      <c r="AK799" s="22"/>
      <c r="AL799" s="22"/>
      <c r="AM799" s="22"/>
      <c r="AN799" s="22"/>
      <c r="AO799" s="17"/>
      <c r="AP799" s="17"/>
      <c r="AQ799" s="17"/>
      <c r="AR799" s="1"/>
      <c r="AS799" s="1"/>
      <c r="AT799" s="17"/>
      <c r="AU799" s="1"/>
      <c r="AV799" s="1"/>
      <c r="AW799" s="1"/>
      <c r="AX799" s="2"/>
      <c r="AY799" s="2"/>
      <c r="AZ799" s="1"/>
    </row>
    <row x14ac:dyDescent="0.25" r="800" customHeight="1" ht="18.75">
      <c r="A800" s="1"/>
      <c r="B800" s="1"/>
      <c r="C800" s="1"/>
      <c r="D800" s="1"/>
      <c r="E800" s="1"/>
      <c r="F800" s="1"/>
      <c r="G800" s="1"/>
      <c r="H800" s="1"/>
      <c r="I800" s="1"/>
      <c r="J800" s="1"/>
      <c r="K800" s="17"/>
      <c r="L800" s="1"/>
      <c r="M800" s="1"/>
      <c r="N800" s="2"/>
      <c r="O800" s="2"/>
      <c r="P800" s="1"/>
      <c r="Q800" s="1"/>
      <c r="R800" s="1"/>
      <c r="S800" s="1"/>
      <c r="T800" s="17"/>
      <c r="U800" s="17"/>
      <c r="V800" s="17"/>
      <c r="W800" s="17"/>
      <c r="X800" s="22"/>
      <c r="Y800" s="22"/>
      <c r="Z800" s="22"/>
      <c r="AA800" s="22"/>
      <c r="AB800" s="22"/>
      <c r="AC800" s="22"/>
      <c r="AD800" s="22"/>
      <c r="AE800" s="22"/>
      <c r="AF800" s="22"/>
      <c r="AG800" s="22"/>
      <c r="AH800" s="22"/>
      <c r="AI800" s="22"/>
      <c r="AJ800" s="17"/>
      <c r="AK800" s="22"/>
      <c r="AL800" s="22"/>
      <c r="AM800" s="22"/>
      <c r="AN800" s="22"/>
      <c r="AO800" s="17"/>
      <c r="AP800" s="17"/>
      <c r="AQ800" s="17"/>
      <c r="AR800" s="1"/>
      <c r="AS800" s="1"/>
      <c r="AT800" s="17"/>
      <c r="AU800" s="1"/>
      <c r="AV800" s="1"/>
      <c r="AW800" s="1"/>
      <c r="AX800" s="2"/>
      <c r="AY800" s="2"/>
      <c r="AZ800" s="1"/>
    </row>
    <row x14ac:dyDescent="0.25" r="801" customHeight="1" ht="18.75">
      <c r="A801" s="1"/>
      <c r="B801" s="1"/>
      <c r="C801" s="1"/>
      <c r="D801" s="1"/>
      <c r="E801" s="1"/>
      <c r="F801" s="1"/>
      <c r="G801" s="1"/>
      <c r="H801" s="1"/>
      <c r="I801" s="1"/>
      <c r="J801" s="1"/>
      <c r="K801" s="17"/>
      <c r="L801" s="1"/>
      <c r="M801" s="1"/>
      <c r="N801" s="2"/>
      <c r="O801" s="2"/>
      <c r="P801" s="1"/>
      <c r="Q801" s="1"/>
      <c r="R801" s="1"/>
      <c r="S801" s="1"/>
      <c r="T801" s="17"/>
      <c r="U801" s="17"/>
      <c r="V801" s="17"/>
      <c r="W801" s="17"/>
      <c r="X801" s="22"/>
      <c r="Y801" s="22"/>
      <c r="Z801" s="22"/>
      <c r="AA801" s="22"/>
      <c r="AB801" s="22"/>
      <c r="AC801" s="22"/>
      <c r="AD801" s="22"/>
      <c r="AE801" s="22"/>
      <c r="AF801" s="22"/>
      <c r="AG801" s="22"/>
      <c r="AH801" s="22"/>
      <c r="AI801" s="22"/>
      <c r="AJ801" s="17"/>
      <c r="AK801" s="22"/>
      <c r="AL801" s="22"/>
      <c r="AM801" s="22"/>
      <c r="AN801" s="22"/>
      <c r="AO801" s="17"/>
      <c r="AP801" s="17"/>
      <c r="AQ801" s="17"/>
      <c r="AR801" s="1"/>
      <c r="AS801" s="1"/>
      <c r="AT801" s="17"/>
      <c r="AU801" s="1"/>
      <c r="AV801" s="1"/>
      <c r="AW801" s="1"/>
      <c r="AX801" s="2"/>
      <c r="AY801" s="2"/>
      <c r="AZ801" s="1"/>
    </row>
    <row x14ac:dyDescent="0.25" r="802" customHeight="1" ht="18.75">
      <c r="A802" s="1"/>
      <c r="B802" s="1"/>
      <c r="C802" s="1"/>
      <c r="D802" s="1"/>
      <c r="E802" s="1"/>
      <c r="F802" s="1"/>
      <c r="G802" s="1"/>
      <c r="H802" s="1"/>
      <c r="I802" s="1"/>
      <c r="J802" s="1"/>
      <c r="K802" s="17"/>
      <c r="L802" s="1"/>
      <c r="M802" s="1"/>
      <c r="N802" s="2"/>
      <c r="O802" s="2"/>
      <c r="P802" s="1"/>
      <c r="Q802" s="1"/>
      <c r="R802" s="1"/>
      <c r="S802" s="1"/>
      <c r="T802" s="17"/>
      <c r="U802" s="17"/>
      <c r="V802" s="17"/>
      <c r="W802" s="17"/>
      <c r="X802" s="22"/>
      <c r="Y802" s="22"/>
      <c r="Z802" s="22"/>
      <c r="AA802" s="22"/>
      <c r="AB802" s="22"/>
      <c r="AC802" s="22"/>
      <c r="AD802" s="22"/>
      <c r="AE802" s="22"/>
      <c r="AF802" s="22"/>
      <c r="AG802" s="22"/>
      <c r="AH802" s="22"/>
      <c r="AI802" s="22"/>
      <c r="AJ802" s="17"/>
      <c r="AK802" s="22"/>
      <c r="AL802" s="22"/>
      <c r="AM802" s="22"/>
      <c r="AN802" s="22"/>
      <c r="AO802" s="17"/>
      <c r="AP802" s="17"/>
      <c r="AQ802" s="17"/>
      <c r="AR802" s="1"/>
      <c r="AS802" s="1"/>
      <c r="AT802" s="17"/>
      <c r="AU802" s="1"/>
      <c r="AV802" s="1"/>
      <c r="AW802" s="1"/>
      <c r="AX802" s="2"/>
      <c r="AY802" s="2"/>
      <c r="AZ802" s="1"/>
    </row>
    <row x14ac:dyDescent="0.25" r="803" customHeight="1" ht="18.75">
      <c r="A803" s="1"/>
      <c r="B803" s="1"/>
      <c r="C803" s="1"/>
      <c r="D803" s="1"/>
      <c r="E803" s="1"/>
      <c r="F803" s="1"/>
      <c r="G803" s="1"/>
      <c r="H803" s="1"/>
      <c r="I803" s="1"/>
      <c r="J803" s="1"/>
      <c r="K803" s="17"/>
      <c r="L803" s="1"/>
      <c r="M803" s="1"/>
      <c r="N803" s="2"/>
      <c r="O803" s="2"/>
      <c r="P803" s="1"/>
      <c r="Q803" s="1"/>
      <c r="R803" s="1"/>
      <c r="S803" s="1"/>
      <c r="T803" s="17"/>
      <c r="U803" s="17"/>
      <c r="V803" s="17"/>
      <c r="W803" s="17"/>
      <c r="X803" s="22"/>
      <c r="Y803" s="22"/>
      <c r="Z803" s="22"/>
      <c r="AA803" s="22"/>
      <c r="AB803" s="22"/>
      <c r="AC803" s="22"/>
      <c r="AD803" s="22"/>
      <c r="AE803" s="22"/>
      <c r="AF803" s="22"/>
      <c r="AG803" s="22"/>
      <c r="AH803" s="22"/>
      <c r="AI803" s="22"/>
      <c r="AJ803" s="17"/>
      <c r="AK803" s="22"/>
      <c r="AL803" s="22"/>
      <c r="AM803" s="22"/>
      <c r="AN803" s="22"/>
      <c r="AO803" s="17"/>
      <c r="AP803" s="17"/>
      <c r="AQ803" s="17"/>
      <c r="AR803" s="1"/>
      <c r="AS803" s="1"/>
      <c r="AT803" s="17"/>
      <c r="AU803" s="1"/>
      <c r="AV803" s="1"/>
      <c r="AW803" s="1"/>
      <c r="AX803" s="2"/>
      <c r="AY803" s="2"/>
      <c r="AZ803" s="1"/>
    </row>
    <row x14ac:dyDescent="0.25" r="804" customHeight="1" ht="18.75">
      <c r="A804" s="1"/>
      <c r="B804" s="1"/>
      <c r="C804" s="1"/>
      <c r="D804" s="1"/>
      <c r="E804" s="1"/>
      <c r="F804" s="1"/>
      <c r="G804" s="1"/>
      <c r="H804" s="1"/>
      <c r="I804" s="1"/>
      <c r="J804" s="1"/>
      <c r="K804" s="17"/>
      <c r="L804" s="1"/>
      <c r="M804" s="1"/>
      <c r="N804" s="2"/>
      <c r="O804" s="2"/>
      <c r="P804" s="1"/>
      <c r="Q804" s="1"/>
      <c r="R804" s="1"/>
      <c r="S804" s="1"/>
      <c r="T804" s="17"/>
      <c r="U804" s="17"/>
      <c r="V804" s="17"/>
      <c r="W804" s="17"/>
      <c r="X804" s="22"/>
      <c r="Y804" s="22"/>
      <c r="Z804" s="22"/>
      <c r="AA804" s="22"/>
      <c r="AB804" s="22"/>
      <c r="AC804" s="22"/>
      <c r="AD804" s="22"/>
      <c r="AE804" s="22"/>
      <c r="AF804" s="22"/>
      <c r="AG804" s="22"/>
      <c r="AH804" s="22"/>
      <c r="AI804" s="22"/>
      <c r="AJ804" s="17"/>
      <c r="AK804" s="22"/>
      <c r="AL804" s="22"/>
      <c r="AM804" s="22"/>
      <c r="AN804" s="22"/>
      <c r="AO804" s="17"/>
      <c r="AP804" s="17"/>
      <c r="AQ804" s="17"/>
      <c r="AR804" s="1"/>
      <c r="AS804" s="1"/>
      <c r="AT804" s="17"/>
      <c r="AU804" s="1"/>
      <c r="AV804" s="1"/>
      <c r="AW804" s="1"/>
      <c r="AX804" s="2"/>
      <c r="AY804" s="2"/>
      <c r="AZ804" s="1"/>
    </row>
    <row x14ac:dyDescent="0.25" r="805" customHeight="1" ht="18.75">
      <c r="A805" s="1"/>
      <c r="B805" s="1"/>
      <c r="C805" s="1"/>
      <c r="D805" s="1"/>
      <c r="E805" s="1"/>
      <c r="F805" s="1"/>
      <c r="G805" s="1"/>
      <c r="H805" s="1"/>
      <c r="I805" s="1"/>
      <c r="J805" s="1"/>
      <c r="K805" s="17"/>
      <c r="L805" s="1"/>
      <c r="M805" s="1"/>
      <c r="N805" s="2"/>
      <c r="O805" s="2"/>
      <c r="P805" s="1"/>
      <c r="Q805" s="1"/>
      <c r="R805" s="1"/>
      <c r="S805" s="1"/>
      <c r="T805" s="17"/>
      <c r="U805" s="17"/>
      <c r="V805" s="17"/>
      <c r="W805" s="17"/>
      <c r="X805" s="22"/>
      <c r="Y805" s="22"/>
      <c r="Z805" s="22"/>
      <c r="AA805" s="22"/>
      <c r="AB805" s="22"/>
      <c r="AC805" s="22"/>
      <c r="AD805" s="22"/>
      <c r="AE805" s="22"/>
      <c r="AF805" s="22"/>
      <c r="AG805" s="22"/>
      <c r="AH805" s="22"/>
      <c r="AI805" s="22"/>
      <c r="AJ805" s="17"/>
      <c r="AK805" s="22"/>
      <c r="AL805" s="22"/>
      <c r="AM805" s="22"/>
      <c r="AN805" s="22"/>
      <c r="AO805" s="17"/>
      <c r="AP805" s="17"/>
      <c r="AQ805" s="17"/>
      <c r="AR805" s="1"/>
      <c r="AS805" s="1"/>
      <c r="AT805" s="17"/>
      <c r="AU805" s="1"/>
      <c r="AV805" s="1"/>
      <c r="AW805" s="1"/>
      <c r="AX805" s="2"/>
      <c r="AY805" s="2"/>
      <c r="AZ805" s="1"/>
    </row>
    <row x14ac:dyDescent="0.25" r="806" customHeight="1" ht="18.75">
      <c r="A806" s="1"/>
      <c r="B806" s="1"/>
      <c r="C806" s="1"/>
      <c r="D806" s="1"/>
      <c r="E806" s="1"/>
      <c r="F806" s="1"/>
      <c r="G806" s="1"/>
      <c r="H806" s="1"/>
      <c r="I806" s="1"/>
      <c r="J806" s="1"/>
      <c r="K806" s="17"/>
      <c r="L806" s="1"/>
      <c r="M806" s="1"/>
      <c r="N806" s="2"/>
      <c r="O806" s="2"/>
      <c r="P806" s="1"/>
      <c r="Q806" s="1"/>
      <c r="R806" s="1"/>
      <c r="S806" s="1"/>
      <c r="T806" s="17"/>
      <c r="U806" s="17"/>
      <c r="V806" s="17"/>
      <c r="W806" s="17"/>
      <c r="X806" s="22"/>
      <c r="Y806" s="22"/>
      <c r="Z806" s="22"/>
      <c r="AA806" s="22"/>
      <c r="AB806" s="22"/>
      <c r="AC806" s="22"/>
      <c r="AD806" s="22"/>
      <c r="AE806" s="22"/>
      <c r="AF806" s="22"/>
      <c r="AG806" s="22"/>
      <c r="AH806" s="22"/>
      <c r="AI806" s="22"/>
      <c r="AJ806" s="17"/>
      <c r="AK806" s="22"/>
      <c r="AL806" s="22"/>
      <c r="AM806" s="22"/>
      <c r="AN806" s="22"/>
      <c r="AO806" s="17"/>
      <c r="AP806" s="17"/>
      <c r="AQ806" s="17"/>
      <c r="AR806" s="1"/>
      <c r="AS806" s="1"/>
      <c r="AT806" s="17"/>
      <c r="AU806" s="1"/>
      <c r="AV806" s="1"/>
      <c r="AW806" s="1"/>
      <c r="AX806" s="2"/>
      <c r="AY806" s="2"/>
      <c r="AZ806" s="1"/>
    </row>
    <row x14ac:dyDescent="0.25" r="807" customHeight="1" ht="18.75">
      <c r="A807" s="1"/>
      <c r="B807" s="1"/>
      <c r="C807" s="1"/>
      <c r="D807" s="1"/>
      <c r="E807" s="1"/>
      <c r="F807" s="1"/>
      <c r="G807" s="1"/>
      <c r="H807" s="1"/>
      <c r="I807" s="1"/>
      <c r="J807" s="1"/>
      <c r="K807" s="17"/>
      <c r="L807" s="1"/>
      <c r="M807" s="1"/>
      <c r="N807" s="2"/>
      <c r="O807" s="2"/>
      <c r="P807" s="1"/>
      <c r="Q807" s="1"/>
      <c r="R807" s="1"/>
      <c r="S807" s="1"/>
      <c r="T807" s="17"/>
      <c r="U807" s="17"/>
      <c r="V807" s="17"/>
      <c r="W807" s="17"/>
      <c r="X807" s="22"/>
      <c r="Y807" s="22"/>
      <c r="Z807" s="22"/>
      <c r="AA807" s="22"/>
      <c r="AB807" s="22"/>
      <c r="AC807" s="22"/>
      <c r="AD807" s="22"/>
      <c r="AE807" s="22"/>
      <c r="AF807" s="22"/>
      <c r="AG807" s="22"/>
      <c r="AH807" s="22"/>
      <c r="AI807" s="22"/>
      <c r="AJ807" s="17"/>
      <c r="AK807" s="22"/>
      <c r="AL807" s="22"/>
      <c r="AM807" s="22"/>
      <c r="AN807" s="22"/>
      <c r="AO807" s="17"/>
      <c r="AP807" s="17"/>
      <c r="AQ807" s="17"/>
      <c r="AR807" s="1"/>
      <c r="AS807" s="1"/>
      <c r="AT807" s="17"/>
      <c r="AU807" s="1"/>
      <c r="AV807" s="1"/>
      <c r="AW807" s="1"/>
      <c r="AX807" s="2"/>
      <c r="AY807" s="2"/>
      <c r="AZ807" s="1"/>
    </row>
    <row x14ac:dyDescent="0.25" r="808" customHeight="1" ht="18.75">
      <c r="A808" s="1"/>
      <c r="B808" s="1"/>
      <c r="C808" s="1"/>
      <c r="D808" s="1"/>
      <c r="E808" s="1"/>
      <c r="F808" s="1"/>
      <c r="G808" s="1"/>
      <c r="H808" s="1"/>
      <c r="I808" s="1"/>
      <c r="J808" s="1"/>
      <c r="K808" s="17"/>
      <c r="L808" s="1"/>
      <c r="M808" s="1"/>
      <c r="N808" s="2"/>
      <c r="O808" s="2"/>
      <c r="P808" s="1"/>
      <c r="Q808" s="1"/>
      <c r="R808" s="1"/>
      <c r="S808" s="1"/>
      <c r="T808" s="17"/>
      <c r="U808" s="17"/>
      <c r="V808" s="17"/>
      <c r="W808" s="17"/>
      <c r="X808" s="22"/>
      <c r="Y808" s="22"/>
      <c r="Z808" s="22"/>
      <c r="AA808" s="22"/>
      <c r="AB808" s="22"/>
      <c r="AC808" s="22"/>
      <c r="AD808" s="22"/>
      <c r="AE808" s="22"/>
      <c r="AF808" s="22"/>
      <c r="AG808" s="22"/>
      <c r="AH808" s="22"/>
      <c r="AI808" s="22"/>
      <c r="AJ808" s="17"/>
      <c r="AK808" s="22"/>
      <c r="AL808" s="22"/>
      <c r="AM808" s="22"/>
      <c r="AN808" s="22"/>
      <c r="AO808" s="17"/>
      <c r="AP808" s="17"/>
      <c r="AQ808" s="17"/>
      <c r="AR808" s="1"/>
      <c r="AS808" s="1"/>
      <c r="AT808" s="17"/>
      <c r="AU808" s="1"/>
      <c r="AV808" s="1"/>
      <c r="AW808" s="1"/>
      <c r="AX808" s="2"/>
      <c r="AY808" s="2"/>
      <c r="AZ808" s="1"/>
    </row>
    <row x14ac:dyDescent="0.25" r="809" customHeight="1" ht="18.75">
      <c r="A809" s="1"/>
      <c r="B809" s="1"/>
      <c r="C809" s="1"/>
      <c r="D809" s="1"/>
      <c r="E809" s="1"/>
      <c r="F809" s="1"/>
      <c r="G809" s="1"/>
      <c r="H809" s="1"/>
      <c r="I809" s="1"/>
      <c r="J809" s="1"/>
      <c r="K809" s="17"/>
      <c r="L809" s="1"/>
      <c r="M809" s="1"/>
      <c r="N809" s="2"/>
      <c r="O809" s="2"/>
      <c r="P809" s="1"/>
      <c r="Q809" s="1"/>
      <c r="R809" s="1"/>
      <c r="S809" s="1"/>
      <c r="T809" s="17"/>
      <c r="U809" s="17"/>
      <c r="V809" s="17"/>
      <c r="W809" s="17"/>
      <c r="X809" s="22"/>
      <c r="Y809" s="22"/>
      <c r="Z809" s="22"/>
      <c r="AA809" s="22"/>
      <c r="AB809" s="22"/>
      <c r="AC809" s="22"/>
      <c r="AD809" s="22"/>
      <c r="AE809" s="22"/>
      <c r="AF809" s="22"/>
      <c r="AG809" s="22"/>
      <c r="AH809" s="22"/>
      <c r="AI809" s="22"/>
      <c r="AJ809" s="17"/>
      <c r="AK809" s="22"/>
      <c r="AL809" s="22"/>
      <c r="AM809" s="22"/>
      <c r="AN809" s="22"/>
      <c r="AO809" s="17"/>
      <c r="AP809" s="17"/>
      <c r="AQ809" s="17"/>
      <c r="AR809" s="1"/>
      <c r="AS809" s="1"/>
      <c r="AT809" s="17"/>
      <c r="AU809" s="1"/>
      <c r="AV809" s="1"/>
      <c r="AW809" s="1"/>
      <c r="AX809" s="2"/>
      <c r="AY809" s="2"/>
      <c r="AZ809" s="1"/>
    </row>
    <row x14ac:dyDescent="0.25" r="810" customHeight="1" ht="18.75">
      <c r="A810" s="1"/>
      <c r="B810" s="1"/>
      <c r="C810" s="1"/>
      <c r="D810" s="1"/>
      <c r="E810" s="1"/>
      <c r="F810" s="1"/>
      <c r="G810" s="1"/>
      <c r="H810" s="1"/>
      <c r="I810" s="1"/>
      <c r="J810" s="1"/>
      <c r="K810" s="17"/>
      <c r="L810" s="1"/>
      <c r="M810" s="1"/>
      <c r="N810" s="2"/>
      <c r="O810" s="2"/>
      <c r="P810" s="1"/>
      <c r="Q810" s="1"/>
      <c r="R810" s="1"/>
      <c r="S810" s="1"/>
      <c r="T810" s="17"/>
      <c r="U810" s="17"/>
      <c r="V810" s="17"/>
      <c r="W810" s="17"/>
      <c r="X810" s="22"/>
      <c r="Y810" s="22"/>
      <c r="Z810" s="22"/>
      <c r="AA810" s="22"/>
      <c r="AB810" s="22"/>
      <c r="AC810" s="22"/>
      <c r="AD810" s="22"/>
      <c r="AE810" s="22"/>
      <c r="AF810" s="22"/>
      <c r="AG810" s="22"/>
      <c r="AH810" s="22"/>
      <c r="AI810" s="22"/>
      <c r="AJ810" s="17"/>
      <c r="AK810" s="22"/>
      <c r="AL810" s="22"/>
      <c r="AM810" s="22"/>
      <c r="AN810" s="22"/>
      <c r="AO810" s="17"/>
      <c r="AP810" s="17"/>
      <c r="AQ810" s="17"/>
      <c r="AR810" s="1"/>
      <c r="AS810" s="1"/>
      <c r="AT810" s="17"/>
      <c r="AU810" s="1"/>
      <c r="AV810" s="1"/>
      <c r="AW810" s="1"/>
      <c r="AX810" s="2"/>
      <c r="AY810" s="2"/>
      <c r="AZ810" s="1"/>
    </row>
    <row x14ac:dyDescent="0.25" r="811" customHeight="1" ht="18.75">
      <c r="A811" s="1"/>
      <c r="B811" s="1"/>
      <c r="C811" s="1"/>
      <c r="D811" s="1"/>
      <c r="E811" s="1"/>
      <c r="F811" s="1"/>
      <c r="G811" s="1"/>
      <c r="H811" s="1"/>
      <c r="I811" s="1"/>
      <c r="J811" s="1"/>
      <c r="K811" s="17"/>
      <c r="L811" s="1"/>
      <c r="M811" s="1"/>
      <c r="N811" s="2"/>
      <c r="O811" s="2"/>
      <c r="P811" s="1"/>
      <c r="Q811" s="1"/>
      <c r="R811" s="1"/>
      <c r="S811" s="1"/>
      <c r="T811" s="17"/>
      <c r="U811" s="17"/>
      <c r="V811" s="17"/>
      <c r="W811" s="17"/>
      <c r="X811" s="22"/>
      <c r="Y811" s="22"/>
      <c r="Z811" s="22"/>
      <c r="AA811" s="22"/>
      <c r="AB811" s="22"/>
      <c r="AC811" s="22"/>
      <c r="AD811" s="22"/>
      <c r="AE811" s="22"/>
      <c r="AF811" s="22"/>
      <c r="AG811" s="22"/>
      <c r="AH811" s="22"/>
      <c r="AI811" s="22"/>
      <c r="AJ811" s="17"/>
      <c r="AK811" s="22"/>
      <c r="AL811" s="22"/>
      <c r="AM811" s="22"/>
      <c r="AN811" s="22"/>
      <c r="AO811" s="17"/>
      <c r="AP811" s="17"/>
      <c r="AQ811" s="17"/>
      <c r="AR811" s="1"/>
      <c r="AS811" s="1"/>
      <c r="AT811" s="17"/>
      <c r="AU811" s="1"/>
      <c r="AV811" s="1"/>
      <c r="AW811" s="1"/>
      <c r="AX811" s="2"/>
      <c r="AY811" s="2"/>
      <c r="AZ811" s="1"/>
    </row>
    <row x14ac:dyDescent="0.25" r="812" customHeight="1" ht="18.75">
      <c r="A812" s="1"/>
      <c r="B812" s="1"/>
      <c r="C812" s="1"/>
      <c r="D812" s="1"/>
      <c r="E812" s="1"/>
      <c r="F812" s="1"/>
      <c r="G812" s="1"/>
      <c r="H812" s="1"/>
      <c r="I812" s="1"/>
      <c r="J812" s="1"/>
      <c r="K812" s="17"/>
      <c r="L812" s="1"/>
      <c r="M812" s="1"/>
      <c r="N812" s="2"/>
      <c r="O812" s="2"/>
      <c r="P812" s="1"/>
      <c r="Q812" s="1"/>
      <c r="R812" s="1"/>
      <c r="S812" s="1"/>
      <c r="T812" s="17"/>
      <c r="U812" s="17"/>
      <c r="V812" s="17"/>
      <c r="W812" s="17"/>
      <c r="X812" s="22"/>
      <c r="Y812" s="22"/>
      <c r="Z812" s="22"/>
      <c r="AA812" s="22"/>
      <c r="AB812" s="22"/>
      <c r="AC812" s="22"/>
      <c r="AD812" s="22"/>
      <c r="AE812" s="22"/>
      <c r="AF812" s="22"/>
      <c r="AG812" s="22"/>
      <c r="AH812" s="22"/>
      <c r="AI812" s="22"/>
      <c r="AJ812" s="17"/>
      <c r="AK812" s="22"/>
      <c r="AL812" s="22"/>
      <c r="AM812" s="22"/>
      <c r="AN812" s="22"/>
      <c r="AO812" s="17"/>
      <c r="AP812" s="17"/>
      <c r="AQ812" s="17"/>
      <c r="AR812" s="1"/>
      <c r="AS812" s="1"/>
      <c r="AT812" s="17"/>
      <c r="AU812" s="1"/>
      <c r="AV812" s="1"/>
      <c r="AW812" s="1"/>
      <c r="AX812" s="2"/>
      <c r="AY812" s="2"/>
      <c r="AZ812" s="1"/>
    </row>
    <row x14ac:dyDescent="0.25" r="813" customHeight="1" ht="18.75">
      <c r="A813" s="1"/>
      <c r="B813" s="1"/>
      <c r="C813" s="1"/>
      <c r="D813" s="1"/>
      <c r="E813" s="1"/>
      <c r="F813" s="1"/>
      <c r="G813" s="1"/>
      <c r="H813" s="1"/>
      <c r="I813" s="1"/>
      <c r="J813" s="1"/>
      <c r="K813" s="17"/>
      <c r="L813" s="1"/>
      <c r="M813" s="1"/>
      <c r="N813" s="2"/>
      <c r="O813" s="2"/>
      <c r="P813" s="1"/>
      <c r="Q813" s="1"/>
      <c r="R813" s="1"/>
      <c r="S813" s="1"/>
      <c r="T813" s="17"/>
      <c r="U813" s="17"/>
      <c r="V813" s="17"/>
      <c r="W813" s="17"/>
      <c r="X813" s="22"/>
      <c r="Y813" s="22"/>
      <c r="Z813" s="22"/>
      <c r="AA813" s="22"/>
      <c r="AB813" s="22"/>
      <c r="AC813" s="22"/>
      <c r="AD813" s="22"/>
      <c r="AE813" s="22"/>
      <c r="AF813" s="22"/>
      <c r="AG813" s="22"/>
      <c r="AH813" s="22"/>
      <c r="AI813" s="22"/>
      <c r="AJ813" s="17"/>
      <c r="AK813" s="22"/>
      <c r="AL813" s="22"/>
      <c r="AM813" s="22"/>
      <c r="AN813" s="22"/>
      <c r="AO813" s="17"/>
      <c r="AP813" s="17"/>
      <c r="AQ813" s="17"/>
      <c r="AR813" s="1"/>
      <c r="AS813" s="1"/>
      <c r="AT813" s="17"/>
      <c r="AU813" s="1"/>
      <c r="AV813" s="1"/>
      <c r="AW813" s="1"/>
      <c r="AX813" s="2"/>
      <c r="AY813" s="2"/>
      <c r="AZ813" s="1"/>
    </row>
    <row x14ac:dyDescent="0.25" r="814" customHeight="1" ht="18.75">
      <c r="A814" s="1"/>
      <c r="B814" s="1"/>
      <c r="C814" s="1"/>
      <c r="D814" s="1"/>
      <c r="E814" s="1"/>
      <c r="F814" s="1"/>
      <c r="G814" s="1"/>
      <c r="H814" s="1"/>
      <c r="I814" s="1"/>
      <c r="J814" s="1"/>
      <c r="K814" s="17"/>
      <c r="L814" s="1"/>
      <c r="M814" s="1"/>
      <c r="N814" s="2"/>
      <c r="O814" s="2"/>
      <c r="P814" s="1"/>
      <c r="Q814" s="1"/>
      <c r="R814" s="1"/>
      <c r="S814" s="1"/>
      <c r="T814" s="17"/>
      <c r="U814" s="17"/>
      <c r="V814" s="17"/>
      <c r="W814" s="17"/>
      <c r="X814" s="22"/>
      <c r="Y814" s="22"/>
      <c r="Z814" s="22"/>
      <c r="AA814" s="22"/>
      <c r="AB814" s="22"/>
      <c r="AC814" s="22"/>
      <c r="AD814" s="22"/>
      <c r="AE814" s="22"/>
      <c r="AF814" s="22"/>
      <c r="AG814" s="22"/>
      <c r="AH814" s="22"/>
      <c r="AI814" s="22"/>
      <c r="AJ814" s="17"/>
      <c r="AK814" s="22"/>
      <c r="AL814" s="22"/>
      <c r="AM814" s="22"/>
      <c r="AN814" s="22"/>
      <c r="AO814" s="17"/>
      <c r="AP814" s="17"/>
      <c r="AQ814" s="17"/>
      <c r="AR814" s="1"/>
      <c r="AS814" s="1"/>
      <c r="AT814" s="17"/>
      <c r="AU814" s="1"/>
      <c r="AV814" s="1"/>
      <c r="AW814" s="1"/>
      <c r="AX814" s="2"/>
      <c r="AY814" s="2"/>
      <c r="AZ814" s="1"/>
    </row>
    <row x14ac:dyDescent="0.25" r="815" customHeight="1" ht="18.75">
      <c r="A815" s="1"/>
      <c r="B815" s="1"/>
      <c r="C815" s="1"/>
      <c r="D815" s="1"/>
      <c r="E815" s="1"/>
      <c r="F815" s="1"/>
      <c r="G815" s="1"/>
      <c r="H815" s="1"/>
      <c r="I815" s="1"/>
      <c r="J815" s="1"/>
      <c r="K815" s="17"/>
      <c r="L815" s="1"/>
      <c r="M815" s="1"/>
      <c r="N815" s="2"/>
      <c r="O815" s="2"/>
      <c r="P815" s="1"/>
      <c r="Q815" s="1"/>
      <c r="R815" s="1"/>
      <c r="S815" s="1"/>
      <c r="T815" s="17"/>
      <c r="U815" s="17"/>
      <c r="V815" s="17"/>
      <c r="W815" s="17"/>
      <c r="X815" s="22"/>
      <c r="Y815" s="22"/>
      <c r="Z815" s="22"/>
      <c r="AA815" s="22"/>
      <c r="AB815" s="22"/>
      <c r="AC815" s="22"/>
      <c r="AD815" s="22"/>
      <c r="AE815" s="22"/>
      <c r="AF815" s="22"/>
      <c r="AG815" s="22"/>
      <c r="AH815" s="22"/>
      <c r="AI815" s="22"/>
      <c r="AJ815" s="17"/>
      <c r="AK815" s="22"/>
      <c r="AL815" s="22"/>
      <c r="AM815" s="22"/>
      <c r="AN815" s="22"/>
      <c r="AO815" s="17"/>
      <c r="AP815" s="17"/>
      <c r="AQ815" s="17"/>
      <c r="AR815" s="1"/>
      <c r="AS815" s="1"/>
      <c r="AT815" s="17"/>
      <c r="AU815" s="1"/>
      <c r="AV815" s="1"/>
      <c r="AW815" s="1"/>
      <c r="AX815" s="2"/>
      <c r="AY815" s="2"/>
      <c r="AZ815" s="1"/>
    </row>
    <row x14ac:dyDescent="0.25" r="816" customHeight="1" ht="18.75">
      <c r="A816" s="1"/>
      <c r="B816" s="1"/>
      <c r="C816" s="1"/>
      <c r="D816" s="1"/>
      <c r="E816" s="1"/>
      <c r="F816" s="1"/>
      <c r="G816" s="1"/>
      <c r="H816" s="1"/>
      <c r="I816" s="1"/>
      <c r="J816" s="1"/>
      <c r="K816" s="17"/>
      <c r="L816" s="1"/>
      <c r="M816" s="1"/>
      <c r="N816" s="2"/>
      <c r="O816" s="2"/>
      <c r="P816" s="1"/>
      <c r="Q816" s="1"/>
      <c r="R816" s="1"/>
      <c r="S816" s="1"/>
      <c r="T816" s="17"/>
      <c r="U816" s="17"/>
      <c r="V816" s="17"/>
      <c r="W816" s="17"/>
      <c r="X816" s="22"/>
      <c r="Y816" s="22"/>
      <c r="Z816" s="22"/>
      <c r="AA816" s="22"/>
      <c r="AB816" s="22"/>
      <c r="AC816" s="22"/>
      <c r="AD816" s="22"/>
      <c r="AE816" s="22"/>
      <c r="AF816" s="22"/>
      <c r="AG816" s="22"/>
      <c r="AH816" s="22"/>
      <c r="AI816" s="22"/>
      <c r="AJ816" s="17"/>
      <c r="AK816" s="22"/>
      <c r="AL816" s="22"/>
      <c r="AM816" s="22"/>
      <c r="AN816" s="22"/>
      <c r="AO816" s="17"/>
      <c r="AP816" s="17"/>
      <c r="AQ816" s="17"/>
      <c r="AR816" s="1"/>
      <c r="AS816" s="1"/>
      <c r="AT816" s="17"/>
      <c r="AU816" s="1"/>
      <c r="AV816" s="1"/>
      <c r="AW816" s="1"/>
      <c r="AX816" s="2"/>
      <c r="AY816" s="2"/>
      <c r="AZ816" s="1"/>
    </row>
    <row x14ac:dyDescent="0.25" r="817" customHeight="1" ht="18.75">
      <c r="A817" s="1"/>
      <c r="B817" s="1"/>
      <c r="C817" s="1"/>
      <c r="D817" s="1"/>
      <c r="E817" s="1"/>
      <c r="F817" s="1"/>
      <c r="G817" s="1"/>
      <c r="H817" s="1"/>
      <c r="I817" s="1"/>
      <c r="J817" s="1"/>
      <c r="K817" s="17"/>
      <c r="L817" s="1"/>
      <c r="M817" s="1"/>
      <c r="N817" s="2"/>
      <c r="O817" s="2"/>
      <c r="P817" s="1"/>
      <c r="Q817" s="1"/>
      <c r="R817" s="1"/>
      <c r="S817" s="1"/>
      <c r="T817" s="17"/>
      <c r="U817" s="17"/>
      <c r="V817" s="17"/>
      <c r="W817" s="17"/>
      <c r="X817" s="22"/>
      <c r="Y817" s="22"/>
      <c r="Z817" s="22"/>
      <c r="AA817" s="22"/>
      <c r="AB817" s="22"/>
      <c r="AC817" s="22"/>
      <c r="AD817" s="22"/>
      <c r="AE817" s="22"/>
      <c r="AF817" s="22"/>
      <c r="AG817" s="22"/>
      <c r="AH817" s="22"/>
      <c r="AI817" s="22"/>
      <c r="AJ817" s="17"/>
      <c r="AK817" s="22"/>
      <c r="AL817" s="22"/>
      <c r="AM817" s="22"/>
      <c r="AN817" s="22"/>
      <c r="AO817" s="17"/>
      <c r="AP817" s="17"/>
      <c r="AQ817" s="17"/>
      <c r="AR817" s="1"/>
      <c r="AS817" s="1"/>
      <c r="AT817" s="17"/>
      <c r="AU817" s="1"/>
      <c r="AV817" s="1"/>
      <c r="AW817" s="1"/>
      <c r="AX817" s="2"/>
      <c r="AY817" s="2"/>
      <c r="AZ817" s="1"/>
    </row>
    <row x14ac:dyDescent="0.25" r="818" customHeight="1" ht="18.75">
      <c r="A818" s="1"/>
      <c r="B818" s="1"/>
      <c r="C818" s="1"/>
      <c r="D818" s="1"/>
      <c r="E818" s="1"/>
      <c r="F818" s="1"/>
      <c r="G818" s="1"/>
      <c r="H818" s="1"/>
      <c r="I818" s="1"/>
      <c r="J818" s="1"/>
      <c r="K818" s="17"/>
      <c r="L818" s="1"/>
      <c r="M818" s="1"/>
      <c r="N818" s="2"/>
      <c r="O818" s="2"/>
      <c r="P818" s="1"/>
      <c r="Q818" s="1"/>
      <c r="R818" s="1"/>
      <c r="S818" s="1"/>
      <c r="T818" s="17"/>
      <c r="U818" s="17"/>
      <c r="V818" s="17"/>
      <c r="W818" s="17"/>
      <c r="X818" s="22"/>
      <c r="Y818" s="22"/>
      <c r="Z818" s="22"/>
      <c r="AA818" s="22"/>
      <c r="AB818" s="22"/>
      <c r="AC818" s="22"/>
      <c r="AD818" s="22"/>
      <c r="AE818" s="22"/>
      <c r="AF818" s="22"/>
      <c r="AG818" s="22"/>
      <c r="AH818" s="22"/>
      <c r="AI818" s="22"/>
      <c r="AJ818" s="17"/>
      <c r="AK818" s="22"/>
      <c r="AL818" s="22"/>
      <c r="AM818" s="22"/>
      <c r="AN818" s="22"/>
      <c r="AO818" s="17"/>
      <c r="AP818" s="17"/>
      <c r="AQ818" s="17"/>
      <c r="AR818" s="1"/>
      <c r="AS818" s="1"/>
      <c r="AT818" s="17"/>
      <c r="AU818" s="1"/>
      <c r="AV818" s="1"/>
      <c r="AW818" s="1"/>
      <c r="AX818" s="2"/>
      <c r="AY818" s="2"/>
      <c r="AZ818" s="1"/>
    </row>
    <row x14ac:dyDescent="0.25" r="819" customHeight="1" ht="18.75">
      <c r="A819" s="1"/>
      <c r="B819" s="1"/>
      <c r="C819" s="1"/>
      <c r="D819" s="1"/>
      <c r="E819" s="1"/>
      <c r="F819" s="1"/>
      <c r="G819" s="1"/>
      <c r="H819" s="1"/>
      <c r="I819" s="1"/>
      <c r="J819" s="1"/>
      <c r="K819" s="17"/>
      <c r="L819" s="1"/>
      <c r="M819" s="1"/>
      <c r="N819" s="2"/>
      <c r="O819" s="2"/>
      <c r="P819" s="1"/>
      <c r="Q819" s="1"/>
      <c r="R819" s="1"/>
      <c r="S819" s="1"/>
      <c r="T819" s="17"/>
      <c r="U819" s="17"/>
      <c r="V819" s="17"/>
      <c r="W819" s="17"/>
      <c r="X819" s="22"/>
      <c r="Y819" s="22"/>
      <c r="Z819" s="22"/>
      <c r="AA819" s="22"/>
      <c r="AB819" s="22"/>
      <c r="AC819" s="22"/>
      <c r="AD819" s="22"/>
      <c r="AE819" s="22"/>
      <c r="AF819" s="22"/>
      <c r="AG819" s="22"/>
      <c r="AH819" s="22"/>
      <c r="AI819" s="22"/>
      <c r="AJ819" s="17"/>
      <c r="AK819" s="22"/>
      <c r="AL819" s="22"/>
      <c r="AM819" s="22"/>
      <c r="AN819" s="22"/>
      <c r="AO819" s="17"/>
      <c r="AP819" s="17"/>
      <c r="AQ819" s="17"/>
      <c r="AR819" s="1"/>
      <c r="AS819" s="1"/>
      <c r="AT819" s="17"/>
      <c r="AU819" s="1"/>
      <c r="AV819" s="1"/>
      <c r="AW819" s="1"/>
      <c r="AX819" s="2"/>
      <c r="AY819" s="2"/>
      <c r="AZ819" s="1"/>
    </row>
    <row x14ac:dyDescent="0.25" r="820" customHeight="1" ht="18.75">
      <c r="A820" s="1"/>
      <c r="B820" s="1"/>
      <c r="C820" s="1"/>
      <c r="D820" s="1"/>
      <c r="E820" s="1"/>
      <c r="F820" s="1"/>
      <c r="G820" s="1"/>
      <c r="H820" s="1"/>
      <c r="I820" s="1"/>
      <c r="J820" s="1"/>
      <c r="K820" s="17"/>
      <c r="L820" s="1"/>
      <c r="M820" s="1"/>
      <c r="N820" s="2"/>
      <c r="O820" s="2"/>
      <c r="P820" s="1"/>
      <c r="Q820" s="1"/>
      <c r="R820" s="1"/>
      <c r="S820" s="1"/>
      <c r="T820" s="17"/>
      <c r="U820" s="17"/>
      <c r="V820" s="17"/>
      <c r="W820" s="17"/>
      <c r="X820" s="22"/>
      <c r="Y820" s="22"/>
      <c r="Z820" s="22"/>
      <c r="AA820" s="22"/>
      <c r="AB820" s="22"/>
      <c r="AC820" s="22"/>
      <c r="AD820" s="22"/>
      <c r="AE820" s="22"/>
      <c r="AF820" s="22"/>
      <c r="AG820" s="22"/>
      <c r="AH820" s="22"/>
      <c r="AI820" s="22"/>
      <c r="AJ820" s="17"/>
      <c r="AK820" s="22"/>
      <c r="AL820" s="22"/>
      <c r="AM820" s="22"/>
      <c r="AN820" s="22"/>
      <c r="AO820" s="17"/>
      <c r="AP820" s="17"/>
      <c r="AQ820" s="17"/>
      <c r="AR820" s="1"/>
      <c r="AS820" s="1"/>
      <c r="AT820" s="17"/>
      <c r="AU820" s="1"/>
      <c r="AV820" s="1"/>
      <c r="AW820" s="1"/>
      <c r="AX820" s="2"/>
      <c r="AY820" s="2"/>
      <c r="AZ820" s="1"/>
    </row>
    <row x14ac:dyDescent="0.25" r="821" customHeight="1" ht="18.75">
      <c r="A821" s="1"/>
      <c r="B821" s="1"/>
      <c r="C821" s="1"/>
      <c r="D821" s="1"/>
      <c r="E821" s="1"/>
      <c r="F821" s="1"/>
      <c r="G821" s="1"/>
      <c r="H821" s="1"/>
      <c r="I821" s="1"/>
      <c r="J821" s="1"/>
      <c r="K821" s="17"/>
      <c r="L821" s="1"/>
      <c r="M821" s="1"/>
      <c r="N821" s="2"/>
      <c r="O821" s="2"/>
      <c r="P821" s="1"/>
      <c r="Q821" s="1"/>
      <c r="R821" s="1"/>
      <c r="S821" s="1"/>
      <c r="T821" s="17"/>
      <c r="U821" s="17"/>
      <c r="V821" s="17"/>
      <c r="W821" s="17"/>
      <c r="X821" s="22"/>
      <c r="Y821" s="22"/>
      <c r="Z821" s="22"/>
      <c r="AA821" s="22"/>
      <c r="AB821" s="22"/>
      <c r="AC821" s="22"/>
      <c r="AD821" s="22"/>
      <c r="AE821" s="22"/>
      <c r="AF821" s="22"/>
      <c r="AG821" s="22"/>
      <c r="AH821" s="22"/>
      <c r="AI821" s="22"/>
      <c r="AJ821" s="17"/>
      <c r="AK821" s="22"/>
      <c r="AL821" s="22"/>
      <c r="AM821" s="22"/>
      <c r="AN821" s="22"/>
      <c r="AO821" s="17"/>
      <c r="AP821" s="17"/>
      <c r="AQ821" s="17"/>
      <c r="AR821" s="1"/>
      <c r="AS821" s="1"/>
      <c r="AT821" s="17"/>
      <c r="AU821" s="1"/>
      <c r="AV821" s="1"/>
      <c r="AW821" s="1"/>
      <c r="AX821" s="2"/>
      <c r="AY821" s="2"/>
      <c r="AZ821" s="1"/>
    </row>
    <row x14ac:dyDescent="0.25" r="822" customHeight="1" ht="18.75">
      <c r="A822" s="1"/>
      <c r="B822" s="1"/>
      <c r="C822" s="1"/>
      <c r="D822" s="1"/>
      <c r="E822" s="1"/>
      <c r="F822" s="1"/>
      <c r="G822" s="1"/>
      <c r="H822" s="1"/>
      <c r="I822" s="1"/>
      <c r="J822" s="1"/>
      <c r="K822" s="17"/>
      <c r="L822" s="1"/>
      <c r="M822" s="1"/>
      <c r="N822" s="2"/>
      <c r="O822" s="2"/>
      <c r="P822" s="1"/>
      <c r="Q822" s="1"/>
      <c r="R822" s="1"/>
      <c r="S822" s="1"/>
      <c r="T822" s="17"/>
      <c r="U822" s="17"/>
      <c r="V822" s="17"/>
      <c r="W822" s="17"/>
      <c r="X822" s="22"/>
      <c r="Y822" s="22"/>
      <c r="Z822" s="22"/>
      <c r="AA822" s="22"/>
      <c r="AB822" s="22"/>
      <c r="AC822" s="22"/>
      <c r="AD822" s="22"/>
      <c r="AE822" s="22"/>
      <c r="AF822" s="22"/>
      <c r="AG822" s="22"/>
      <c r="AH822" s="22"/>
      <c r="AI822" s="22"/>
      <c r="AJ822" s="17"/>
      <c r="AK822" s="22"/>
      <c r="AL822" s="22"/>
      <c r="AM822" s="22"/>
      <c r="AN822" s="22"/>
      <c r="AO822" s="17"/>
      <c r="AP822" s="17"/>
      <c r="AQ822" s="17"/>
      <c r="AR822" s="1"/>
      <c r="AS822" s="1"/>
      <c r="AT822" s="17"/>
      <c r="AU822" s="1"/>
      <c r="AV822" s="1"/>
      <c r="AW822" s="1"/>
      <c r="AX822" s="2"/>
      <c r="AY822" s="2"/>
      <c r="AZ822" s="1"/>
    </row>
    <row x14ac:dyDescent="0.25" r="823" customHeight="1" ht="18.75">
      <c r="A823" s="1"/>
      <c r="B823" s="1"/>
      <c r="C823" s="1"/>
      <c r="D823" s="1"/>
      <c r="E823" s="1"/>
      <c r="F823" s="1"/>
      <c r="G823" s="1"/>
      <c r="H823" s="1"/>
      <c r="I823" s="1"/>
      <c r="J823" s="1"/>
      <c r="K823" s="17"/>
      <c r="L823" s="1"/>
      <c r="M823" s="1"/>
      <c r="N823" s="2"/>
      <c r="O823" s="2"/>
      <c r="P823" s="1"/>
      <c r="Q823" s="1"/>
      <c r="R823" s="1"/>
      <c r="S823" s="1"/>
      <c r="T823" s="17"/>
      <c r="U823" s="17"/>
      <c r="V823" s="17"/>
      <c r="W823" s="17"/>
      <c r="X823" s="22"/>
      <c r="Y823" s="22"/>
      <c r="Z823" s="22"/>
      <c r="AA823" s="22"/>
      <c r="AB823" s="22"/>
      <c r="AC823" s="22"/>
      <c r="AD823" s="22"/>
      <c r="AE823" s="22"/>
      <c r="AF823" s="22"/>
      <c r="AG823" s="22"/>
      <c r="AH823" s="22"/>
      <c r="AI823" s="22"/>
      <c r="AJ823" s="17"/>
      <c r="AK823" s="22"/>
      <c r="AL823" s="22"/>
      <c r="AM823" s="22"/>
      <c r="AN823" s="22"/>
      <c r="AO823" s="17"/>
      <c r="AP823" s="17"/>
      <c r="AQ823" s="17"/>
      <c r="AR823" s="1"/>
      <c r="AS823" s="1"/>
      <c r="AT823" s="17"/>
      <c r="AU823" s="1"/>
      <c r="AV823" s="1"/>
      <c r="AW823" s="1"/>
      <c r="AX823" s="2"/>
      <c r="AY823" s="2"/>
      <c r="AZ823" s="1"/>
    </row>
    <row x14ac:dyDescent="0.25" r="824" customHeight="1" ht="18.75">
      <c r="A824" s="1"/>
      <c r="B824" s="1"/>
      <c r="C824" s="1"/>
      <c r="D824" s="1"/>
      <c r="E824" s="1"/>
      <c r="F824" s="1"/>
      <c r="G824" s="1"/>
      <c r="H824" s="1"/>
      <c r="I824" s="1"/>
      <c r="J824" s="1"/>
      <c r="K824" s="17"/>
      <c r="L824" s="1"/>
      <c r="M824" s="1"/>
      <c r="N824" s="2"/>
      <c r="O824" s="2"/>
      <c r="P824" s="1"/>
      <c r="Q824" s="1"/>
      <c r="R824" s="1"/>
      <c r="S824" s="1"/>
      <c r="T824" s="17"/>
      <c r="U824" s="17"/>
      <c r="V824" s="17"/>
      <c r="W824" s="17"/>
      <c r="X824" s="22"/>
      <c r="Y824" s="22"/>
      <c r="Z824" s="22"/>
      <c r="AA824" s="22"/>
      <c r="AB824" s="22"/>
      <c r="AC824" s="22"/>
      <c r="AD824" s="22"/>
      <c r="AE824" s="22"/>
      <c r="AF824" s="22"/>
      <c r="AG824" s="22"/>
      <c r="AH824" s="22"/>
      <c r="AI824" s="22"/>
      <c r="AJ824" s="17"/>
      <c r="AK824" s="22"/>
      <c r="AL824" s="22"/>
      <c r="AM824" s="22"/>
      <c r="AN824" s="22"/>
      <c r="AO824" s="17"/>
      <c r="AP824" s="17"/>
      <c r="AQ824" s="17"/>
      <c r="AR824" s="1"/>
      <c r="AS824" s="1"/>
      <c r="AT824" s="17"/>
      <c r="AU824" s="1"/>
      <c r="AV824" s="1"/>
      <c r="AW824" s="1"/>
      <c r="AX824" s="2"/>
      <c r="AY824" s="2"/>
      <c r="AZ824" s="1"/>
    </row>
    <row x14ac:dyDescent="0.25" r="825" customHeight="1" ht="18.75">
      <c r="A825" s="1"/>
      <c r="B825" s="1"/>
      <c r="C825" s="1"/>
      <c r="D825" s="1"/>
      <c r="E825" s="1"/>
      <c r="F825" s="1"/>
      <c r="G825" s="1"/>
      <c r="H825" s="1"/>
      <c r="I825" s="1"/>
      <c r="J825" s="1"/>
      <c r="K825" s="17"/>
      <c r="L825" s="1"/>
      <c r="M825" s="1"/>
      <c r="N825" s="2"/>
      <c r="O825" s="2"/>
      <c r="P825" s="1"/>
      <c r="Q825" s="1"/>
      <c r="R825" s="1"/>
      <c r="S825" s="1"/>
      <c r="T825" s="17"/>
      <c r="U825" s="17"/>
      <c r="V825" s="17"/>
      <c r="W825" s="17"/>
      <c r="X825" s="22"/>
      <c r="Y825" s="22"/>
      <c r="Z825" s="22"/>
      <c r="AA825" s="22"/>
      <c r="AB825" s="22"/>
      <c r="AC825" s="22"/>
      <c r="AD825" s="22"/>
      <c r="AE825" s="22"/>
      <c r="AF825" s="22"/>
      <c r="AG825" s="22"/>
      <c r="AH825" s="22"/>
      <c r="AI825" s="22"/>
      <c r="AJ825" s="17"/>
      <c r="AK825" s="22"/>
      <c r="AL825" s="22"/>
      <c r="AM825" s="22"/>
      <c r="AN825" s="22"/>
      <c r="AO825" s="17"/>
      <c r="AP825" s="17"/>
      <c r="AQ825" s="17"/>
      <c r="AR825" s="1"/>
      <c r="AS825" s="1"/>
      <c r="AT825" s="17"/>
      <c r="AU825" s="1"/>
      <c r="AV825" s="1"/>
      <c r="AW825" s="1"/>
      <c r="AX825" s="2"/>
      <c r="AY825" s="2"/>
      <c r="AZ825" s="1"/>
    </row>
    <row x14ac:dyDescent="0.25" r="826" customHeight="1" ht="18.75">
      <c r="A826" s="1"/>
      <c r="B826" s="1"/>
      <c r="C826" s="1"/>
      <c r="D826" s="1"/>
      <c r="E826" s="1"/>
      <c r="F826" s="1"/>
      <c r="G826" s="1"/>
      <c r="H826" s="1"/>
      <c r="I826" s="1"/>
      <c r="J826" s="1"/>
      <c r="K826" s="17"/>
      <c r="L826" s="1"/>
      <c r="M826" s="1"/>
      <c r="N826" s="2"/>
      <c r="O826" s="2"/>
      <c r="P826" s="1"/>
      <c r="Q826" s="1"/>
      <c r="R826" s="1"/>
      <c r="S826" s="1"/>
      <c r="T826" s="17"/>
      <c r="U826" s="17"/>
      <c r="V826" s="17"/>
      <c r="W826" s="17"/>
      <c r="X826" s="22"/>
      <c r="Y826" s="22"/>
      <c r="Z826" s="22"/>
      <c r="AA826" s="22"/>
      <c r="AB826" s="22"/>
      <c r="AC826" s="22"/>
      <c r="AD826" s="22"/>
      <c r="AE826" s="22"/>
      <c r="AF826" s="22"/>
      <c r="AG826" s="22"/>
      <c r="AH826" s="22"/>
      <c r="AI826" s="22"/>
      <c r="AJ826" s="17"/>
      <c r="AK826" s="22"/>
      <c r="AL826" s="22"/>
      <c r="AM826" s="22"/>
      <c r="AN826" s="22"/>
      <c r="AO826" s="17"/>
      <c r="AP826" s="17"/>
      <c r="AQ826" s="17"/>
      <c r="AR826" s="1"/>
      <c r="AS826" s="1"/>
      <c r="AT826" s="17"/>
      <c r="AU826" s="1"/>
      <c r="AV826" s="1"/>
      <c r="AW826" s="1"/>
      <c r="AX826" s="2"/>
      <c r="AY826" s="2"/>
      <c r="AZ826" s="1"/>
    </row>
    <row x14ac:dyDescent="0.25" r="827" customHeight="1" ht="18.75">
      <c r="A827" s="1"/>
      <c r="B827" s="1"/>
      <c r="C827" s="1"/>
      <c r="D827" s="1"/>
      <c r="E827" s="1"/>
      <c r="F827" s="1"/>
      <c r="G827" s="1"/>
      <c r="H827" s="1"/>
      <c r="I827" s="1"/>
      <c r="J827" s="1"/>
      <c r="K827" s="17"/>
      <c r="L827" s="1"/>
      <c r="M827" s="1"/>
      <c r="N827" s="2"/>
      <c r="O827" s="2"/>
      <c r="P827" s="1"/>
      <c r="Q827" s="1"/>
      <c r="R827" s="1"/>
      <c r="S827" s="1"/>
      <c r="T827" s="17"/>
      <c r="U827" s="17"/>
      <c r="V827" s="17"/>
      <c r="W827" s="17"/>
      <c r="X827" s="22"/>
      <c r="Y827" s="22"/>
      <c r="Z827" s="22"/>
      <c r="AA827" s="22"/>
      <c r="AB827" s="22"/>
      <c r="AC827" s="22"/>
      <c r="AD827" s="22"/>
      <c r="AE827" s="22"/>
      <c r="AF827" s="22"/>
      <c r="AG827" s="22"/>
      <c r="AH827" s="22"/>
      <c r="AI827" s="22"/>
      <c r="AJ827" s="17"/>
      <c r="AK827" s="22"/>
      <c r="AL827" s="22"/>
      <c r="AM827" s="22"/>
      <c r="AN827" s="22"/>
      <c r="AO827" s="17"/>
      <c r="AP827" s="17"/>
      <c r="AQ827" s="17"/>
      <c r="AR827" s="1"/>
      <c r="AS827" s="1"/>
      <c r="AT827" s="17"/>
      <c r="AU827" s="1"/>
      <c r="AV827" s="1"/>
      <c r="AW827" s="1"/>
      <c r="AX827" s="2"/>
      <c r="AY827" s="2"/>
      <c r="AZ827" s="1"/>
    </row>
    <row x14ac:dyDescent="0.25" r="828" customHeight="1" ht="18.75">
      <c r="A828" s="1"/>
      <c r="B828" s="1"/>
      <c r="C828" s="1"/>
      <c r="D828" s="1"/>
      <c r="E828" s="1"/>
      <c r="F828" s="1"/>
      <c r="G828" s="1"/>
      <c r="H828" s="1"/>
      <c r="I828" s="1"/>
      <c r="J828" s="1"/>
      <c r="K828" s="17"/>
      <c r="L828" s="1"/>
      <c r="M828" s="1"/>
      <c r="N828" s="2"/>
      <c r="O828" s="2"/>
      <c r="P828" s="1"/>
      <c r="Q828" s="1"/>
      <c r="R828" s="1"/>
      <c r="S828" s="1"/>
      <c r="T828" s="17"/>
      <c r="U828" s="17"/>
      <c r="V828" s="17"/>
      <c r="W828" s="17"/>
      <c r="X828" s="22"/>
      <c r="Y828" s="22"/>
      <c r="Z828" s="22"/>
      <c r="AA828" s="22"/>
      <c r="AB828" s="22"/>
      <c r="AC828" s="22"/>
      <c r="AD828" s="22"/>
      <c r="AE828" s="22"/>
      <c r="AF828" s="22"/>
      <c r="AG828" s="22"/>
      <c r="AH828" s="22"/>
      <c r="AI828" s="22"/>
      <c r="AJ828" s="17"/>
      <c r="AK828" s="22"/>
      <c r="AL828" s="22"/>
      <c r="AM828" s="22"/>
      <c r="AN828" s="22"/>
      <c r="AO828" s="17"/>
      <c r="AP828" s="17"/>
      <c r="AQ828" s="17"/>
      <c r="AR828" s="1"/>
      <c r="AS828" s="1"/>
      <c r="AT828" s="17"/>
      <c r="AU828" s="1"/>
      <c r="AV828" s="1"/>
      <c r="AW828" s="1"/>
      <c r="AX828" s="2"/>
      <c r="AY828" s="2"/>
      <c r="AZ828" s="1"/>
    </row>
    <row x14ac:dyDescent="0.25" r="829" customHeight="1" ht="18.75">
      <c r="A829" s="1"/>
      <c r="B829" s="1"/>
      <c r="C829" s="1"/>
      <c r="D829" s="1"/>
      <c r="E829" s="1"/>
      <c r="F829" s="1"/>
      <c r="G829" s="1"/>
      <c r="H829" s="1"/>
      <c r="I829" s="1"/>
      <c r="J829" s="1"/>
      <c r="K829" s="17"/>
      <c r="L829" s="1"/>
      <c r="M829" s="1"/>
      <c r="N829" s="2"/>
      <c r="O829" s="2"/>
      <c r="P829" s="1"/>
      <c r="Q829" s="1"/>
      <c r="R829" s="1"/>
      <c r="S829" s="1"/>
      <c r="T829" s="17"/>
      <c r="U829" s="17"/>
      <c r="V829" s="17"/>
      <c r="W829" s="17"/>
      <c r="X829" s="22"/>
      <c r="Y829" s="22"/>
      <c r="Z829" s="22"/>
      <c r="AA829" s="22"/>
      <c r="AB829" s="22"/>
      <c r="AC829" s="22"/>
      <c r="AD829" s="22"/>
      <c r="AE829" s="22"/>
      <c r="AF829" s="22"/>
      <c r="AG829" s="22"/>
      <c r="AH829" s="22"/>
      <c r="AI829" s="22"/>
      <c r="AJ829" s="17"/>
      <c r="AK829" s="22"/>
      <c r="AL829" s="22"/>
      <c r="AM829" s="22"/>
      <c r="AN829" s="22"/>
      <c r="AO829" s="17"/>
      <c r="AP829" s="17"/>
      <c r="AQ829" s="17"/>
      <c r="AR829" s="1"/>
      <c r="AS829" s="1"/>
      <c r="AT829" s="17"/>
      <c r="AU829" s="1"/>
      <c r="AV829" s="1"/>
      <c r="AW829" s="1"/>
      <c r="AX829" s="2"/>
      <c r="AY829" s="2"/>
      <c r="AZ829" s="1"/>
    </row>
    <row x14ac:dyDescent="0.25" r="830" customHeight="1" ht="18.75">
      <c r="A830" s="1"/>
      <c r="B830" s="1"/>
      <c r="C830" s="1"/>
      <c r="D830" s="1"/>
      <c r="E830" s="1"/>
      <c r="F830" s="1"/>
      <c r="G830" s="1"/>
      <c r="H830" s="1"/>
      <c r="I830" s="1"/>
      <c r="J830" s="1"/>
      <c r="K830" s="17"/>
      <c r="L830" s="1"/>
      <c r="M830" s="1"/>
      <c r="N830" s="2"/>
      <c r="O830" s="2"/>
      <c r="P830" s="1"/>
      <c r="Q830" s="1"/>
      <c r="R830" s="1"/>
      <c r="S830" s="1"/>
      <c r="T830" s="17"/>
      <c r="U830" s="17"/>
      <c r="V830" s="17"/>
      <c r="W830" s="17"/>
      <c r="X830" s="22"/>
      <c r="Y830" s="22"/>
      <c r="Z830" s="22"/>
      <c r="AA830" s="22"/>
      <c r="AB830" s="22"/>
      <c r="AC830" s="22"/>
      <c r="AD830" s="22"/>
      <c r="AE830" s="22"/>
      <c r="AF830" s="22"/>
      <c r="AG830" s="22"/>
      <c r="AH830" s="22"/>
      <c r="AI830" s="22"/>
      <c r="AJ830" s="17"/>
      <c r="AK830" s="22"/>
      <c r="AL830" s="22"/>
      <c r="AM830" s="22"/>
      <c r="AN830" s="22"/>
      <c r="AO830" s="17"/>
      <c r="AP830" s="17"/>
      <c r="AQ830" s="17"/>
      <c r="AR830" s="1"/>
      <c r="AS830" s="1"/>
      <c r="AT830" s="17"/>
      <c r="AU830" s="1"/>
      <c r="AV830" s="1"/>
      <c r="AW830" s="1"/>
      <c r="AX830" s="2"/>
      <c r="AY830" s="2"/>
      <c r="AZ830" s="1"/>
    </row>
    <row x14ac:dyDescent="0.25" r="831" customHeight="1" ht="18.75">
      <c r="A831" s="1"/>
      <c r="B831" s="1"/>
      <c r="C831" s="1"/>
      <c r="D831" s="1"/>
      <c r="E831" s="1"/>
      <c r="F831" s="1"/>
      <c r="G831" s="1"/>
      <c r="H831" s="1"/>
      <c r="I831" s="1"/>
      <c r="J831" s="1"/>
      <c r="K831" s="17"/>
      <c r="L831" s="1"/>
      <c r="M831" s="1"/>
      <c r="N831" s="2"/>
      <c r="O831" s="2"/>
      <c r="P831" s="1"/>
      <c r="Q831" s="1"/>
      <c r="R831" s="1"/>
      <c r="S831" s="1"/>
      <c r="T831" s="17"/>
      <c r="U831" s="17"/>
      <c r="V831" s="17"/>
      <c r="W831" s="17"/>
      <c r="X831" s="22"/>
      <c r="Y831" s="22"/>
      <c r="Z831" s="22"/>
      <c r="AA831" s="22"/>
      <c r="AB831" s="22"/>
      <c r="AC831" s="22"/>
      <c r="AD831" s="22"/>
      <c r="AE831" s="22"/>
      <c r="AF831" s="22"/>
      <c r="AG831" s="22"/>
      <c r="AH831" s="22"/>
      <c r="AI831" s="22"/>
      <c r="AJ831" s="17"/>
      <c r="AK831" s="22"/>
      <c r="AL831" s="22"/>
      <c r="AM831" s="22"/>
      <c r="AN831" s="22"/>
      <c r="AO831" s="17"/>
      <c r="AP831" s="17"/>
      <c r="AQ831" s="17"/>
      <c r="AR831" s="1"/>
      <c r="AS831" s="1"/>
      <c r="AT831" s="17"/>
      <c r="AU831" s="1"/>
      <c r="AV831" s="1"/>
      <c r="AW831" s="1"/>
      <c r="AX831" s="2"/>
      <c r="AY831" s="2"/>
      <c r="AZ831" s="1"/>
    </row>
    <row x14ac:dyDescent="0.25" r="832" customHeight="1" ht="18.75">
      <c r="A832" s="1"/>
      <c r="B832" s="1"/>
      <c r="C832" s="1"/>
      <c r="D832" s="1"/>
      <c r="E832" s="1"/>
      <c r="F832" s="1"/>
      <c r="G832" s="1"/>
      <c r="H832" s="1"/>
      <c r="I832" s="1"/>
      <c r="J832" s="1"/>
      <c r="K832" s="17"/>
      <c r="L832" s="1"/>
      <c r="M832" s="1"/>
      <c r="N832" s="2"/>
      <c r="O832" s="2"/>
      <c r="P832" s="1"/>
      <c r="Q832" s="1"/>
      <c r="R832" s="1"/>
      <c r="S832" s="1"/>
      <c r="T832" s="17"/>
      <c r="U832" s="17"/>
      <c r="V832" s="17"/>
      <c r="W832" s="17"/>
      <c r="X832" s="22"/>
      <c r="Y832" s="22"/>
      <c r="Z832" s="22"/>
      <c r="AA832" s="22"/>
      <c r="AB832" s="22"/>
      <c r="AC832" s="22"/>
      <c r="AD832" s="22"/>
      <c r="AE832" s="22"/>
      <c r="AF832" s="22"/>
      <c r="AG832" s="22"/>
      <c r="AH832" s="22"/>
      <c r="AI832" s="22"/>
      <c r="AJ832" s="17"/>
      <c r="AK832" s="22"/>
      <c r="AL832" s="22"/>
      <c r="AM832" s="22"/>
      <c r="AN832" s="22"/>
      <c r="AO832" s="17"/>
      <c r="AP832" s="17"/>
      <c r="AQ832" s="17"/>
      <c r="AR832" s="1"/>
      <c r="AS832" s="1"/>
      <c r="AT832" s="17"/>
      <c r="AU832" s="1"/>
      <c r="AV832" s="1"/>
      <c r="AW832" s="1"/>
      <c r="AX832" s="2"/>
      <c r="AY832" s="2"/>
      <c r="AZ832" s="1"/>
    </row>
    <row x14ac:dyDescent="0.25" r="833" customHeight="1" ht="18.75">
      <c r="A833" s="1"/>
      <c r="B833" s="1"/>
      <c r="C833" s="1"/>
      <c r="D833" s="1"/>
      <c r="E833" s="1"/>
      <c r="F833" s="1"/>
      <c r="G833" s="1"/>
      <c r="H833" s="1"/>
      <c r="I833" s="1"/>
      <c r="J833" s="1"/>
      <c r="K833" s="17"/>
      <c r="L833" s="1"/>
      <c r="M833" s="1"/>
      <c r="N833" s="2"/>
      <c r="O833" s="2"/>
      <c r="P833" s="1"/>
      <c r="Q833" s="1"/>
      <c r="R833" s="1"/>
      <c r="S833" s="1"/>
      <c r="T833" s="17"/>
      <c r="U833" s="17"/>
      <c r="V833" s="17"/>
      <c r="W833" s="17"/>
      <c r="X833" s="22"/>
      <c r="Y833" s="22"/>
      <c r="Z833" s="22"/>
      <c r="AA833" s="22"/>
      <c r="AB833" s="22"/>
      <c r="AC833" s="22"/>
      <c r="AD833" s="22"/>
      <c r="AE833" s="22"/>
      <c r="AF833" s="22"/>
      <c r="AG833" s="22"/>
      <c r="AH833" s="22"/>
      <c r="AI833" s="22"/>
      <c r="AJ833" s="17"/>
      <c r="AK833" s="22"/>
      <c r="AL833" s="22"/>
      <c r="AM833" s="22"/>
      <c r="AN833" s="22"/>
      <c r="AO833" s="17"/>
      <c r="AP833" s="17"/>
      <c r="AQ833" s="17"/>
      <c r="AR833" s="1"/>
      <c r="AS833" s="1"/>
      <c r="AT833" s="17"/>
      <c r="AU833" s="1"/>
      <c r="AV833" s="1"/>
      <c r="AW833" s="1"/>
      <c r="AX833" s="2"/>
      <c r="AY833" s="2"/>
      <c r="AZ833" s="1"/>
    </row>
    <row x14ac:dyDescent="0.25" r="834" customHeight="1" ht="18.75">
      <c r="A834" s="1"/>
      <c r="B834" s="1"/>
      <c r="C834" s="1"/>
      <c r="D834" s="1"/>
      <c r="E834" s="1"/>
      <c r="F834" s="1"/>
      <c r="G834" s="1"/>
      <c r="H834" s="1"/>
      <c r="I834" s="1"/>
      <c r="J834" s="1"/>
      <c r="K834" s="17"/>
      <c r="L834" s="1"/>
      <c r="M834" s="1"/>
      <c r="N834" s="2"/>
      <c r="O834" s="2"/>
      <c r="P834" s="1"/>
      <c r="Q834" s="1"/>
      <c r="R834" s="1"/>
      <c r="S834" s="1"/>
      <c r="T834" s="17"/>
      <c r="U834" s="17"/>
      <c r="V834" s="17"/>
      <c r="W834" s="17"/>
      <c r="X834" s="22"/>
      <c r="Y834" s="22"/>
      <c r="Z834" s="22"/>
      <c r="AA834" s="22"/>
      <c r="AB834" s="22"/>
      <c r="AC834" s="22"/>
      <c r="AD834" s="22"/>
      <c r="AE834" s="22"/>
      <c r="AF834" s="22"/>
      <c r="AG834" s="22"/>
      <c r="AH834" s="22"/>
      <c r="AI834" s="22"/>
      <c r="AJ834" s="17"/>
      <c r="AK834" s="22"/>
      <c r="AL834" s="22"/>
      <c r="AM834" s="22"/>
      <c r="AN834" s="22"/>
      <c r="AO834" s="17"/>
      <c r="AP834" s="17"/>
      <c r="AQ834" s="17"/>
      <c r="AR834" s="1"/>
      <c r="AS834" s="1"/>
      <c r="AT834" s="17"/>
      <c r="AU834" s="1"/>
      <c r="AV834" s="1"/>
      <c r="AW834" s="1"/>
      <c r="AX834" s="2"/>
      <c r="AY834" s="2"/>
      <c r="AZ834" s="1"/>
    </row>
    <row x14ac:dyDescent="0.25" r="835" customHeight="1" ht="18.75">
      <c r="A835" s="1"/>
      <c r="B835" s="1"/>
      <c r="C835" s="1"/>
      <c r="D835" s="1"/>
      <c r="E835" s="1"/>
      <c r="F835" s="1"/>
      <c r="G835" s="1"/>
      <c r="H835" s="1"/>
      <c r="I835" s="1"/>
      <c r="J835" s="1"/>
      <c r="K835" s="17"/>
      <c r="L835" s="1"/>
      <c r="M835" s="1"/>
      <c r="N835" s="2"/>
      <c r="O835" s="2"/>
      <c r="P835" s="1"/>
      <c r="Q835" s="1"/>
      <c r="R835" s="1"/>
      <c r="S835" s="1"/>
      <c r="T835" s="17"/>
      <c r="U835" s="17"/>
      <c r="V835" s="17"/>
      <c r="W835" s="17"/>
      <c r="X835" s="22"/>
      <c r="Y835" s="22"/>
      <c r="Z835" s="22"/>
      <c r="AA835" s="22"/>
      <c r="AB835" s="22"/>
      <c r="AC835" s="22"/>
      <c r="AD835" s="22"/>
      <c r="AE835" s="22"/>
      <c r="AF835" s="22"/>
      <c r="AG835" s="22"/>
      <c r="AH835" s="22"/>
      <c r="AI835" s="22"/>
      <c r="AJ835" s="17"/>
      <c r="AK835" s="22"/>
      <c r="AL835" s="22"/>
      <c r="AM835" s="22"/>
      <c r="AN835" s="22"/>
      <c r="AO835" s="17"/>
      <c r="AP835" s="17"/>
      <c r="AQ835" s="17"/>
      <c r="AR835" s="1"/>
      <c r="AS835" s="1"/>
      <c r="AT835" s="17"/>
      <c r="AU835" s="1"/>
      <c r="AV835" s="1"/>
      <c r="AW835" s="1"/>
      <c r="AX835" s="2"/>
      <c r="AY835" s="2"/>
      <c r="AZ835" s="1"/>
    </row>
    <row x14ac:dyDescent="0.25" r="836" customHeight="1" ht="18.75">
      <c r="A836" s="1"/>
      <c r="B836" s="1"/>
      <c r="C836" s="1"/>
      <c r="D836" s="1"/>
      <c r="E836" s="1"/>
      <c r="F836" s="1"/>
      <c r="G836" s="1"/>
      <c r="H836" s="1"/>
      <c r="I836" s="1"/>
      <c r="J836" s="1"/>
      <c r="K836" s="17"/>
      <c r="L836" s="1"/>
      <c r="M836" s="1"/>
      <c r="N836" s="2"/>
      <c r="O836" s="2"/>
      <c r="P836" s="1"/>
      <c r="Q836" s="1"/>
      <c r="R836" s="1"/>
      <c r="S836" s="1"/>
      <c r="T836" s="17"/>
      <c r="U836" s="17"/>
      <c r="V836" s="17"/>
      <c r="W836" s="17"/>
      <c r="X836" s="22"/>
      <c r="Y836" s="22"/>
      <c r="Z836" s="22"/>
      <c r="AA836" s="22"/>
      <c r="AB836" s="22"/>
      <c r="AC836" s="22"/>
      <c r="AD836" s="22"/>
      <c r="AE836" s="22"/>
      <c r="AF836" s="22"/>
      <c r="AG836" s="22"/>
      <c r="AH836" s="22"/>
      <c r="AI836" s="22"/>
      <c r="AJ836" s="17"/>
      <c r="AK836" s="22"/>
      <c r="AL836" s="22"/>
      <c r="AM836" s="22"/>
      <c r="AN836" s="22"/>
      <c r="AO836" s="17"/>
      <c r="AP836" s="17"/>
      <c r="AQ836" s="17"/>
      <c r="AR836" s="1"/>
      <c r="AS836" s="1"/>
      <c r="AT836" s="17"/>
      <c r="AU836" s="1"/>
      <c r="AV836" s="1"/>
      <c r="AW836" s="1"/>
      <c r="AX836" s="2"/>
      <c r="AY836" s="2"/>
      <c r="AZ836" s="1"/>
    </row>
    <row x14ac:dyDescent="0.25" r="837" customHeight="1" ht="18.75">
      <c r="A837" s="1"/>
      <c r="B837" s="1"/>
      <c r="C837" s="1"/>
      <c r="D837" s="1"/>
      <c r="E837" s="1"/>
      <c r="F837" s="1"/>
      <c r="G837" s="1"/>
      <c r="H837" s="1"/>
      <c r="I837" s="1"/>
      <c r="J837" s="1"/>
      <c r="K837" s="17"/>
      <c r="L837" s="1"/>
      <c r="M837" s="1"/>
      <c r="N837" s="2"/>
      <c r="O837" s="2"/>
      <c r="P837" s="1"/>
      <c r="Q837" s="1"/>
      <c r="R837" s="1"/>
      <c r="S837" s="1"/>
      <c r="T837" s="17"/>
      <c r="U837" s="17"/>
      <c r="V837" s="17"/>
      <c r="W837" s="17"/>
      <c r="X837" s="22"/>
      <c r="Y837" s="22"/>
      <c r="Z837" s="22"/>
      <c r="AA837" s="22"/>
      <c r="AB837" s="22"/>
      <c r="AC837" s="22"/>
      <c r="AD837" s="22"/>
      <c r="AE837" s="22"/>
      <c r="AF837" s="22"/>
      <c r="AG837" s="22"/>
      <c r="AH837" s="22"/>
      <c r="AI837" s="22"/>
      <c r="AJ837" s="17"/>
      <c r="AK837" s="22"/>
      <c r="AL837" s="22"/>
      <c r="AM837" s="22"/>
      <c r="AN837" s="22"/>
      <c r="AO837" s="17"/>
      <c r="AP837" s="17"/>
      <c r="AQ837" s="17"/>
      <c r="AR837" s="1"/>
      <c r="AS837" s="1"/>
      <c r="AT837" s="17"/>
      <c r="AU837" s="1"/>
      <c r="AV837" s="1"/>
      <c r="AW837" s="1"/>
      <c r="AX837" s="2"/>
      <c r="AY837" s="2"/>
      <c r="AZ837" s="1"/>
    </row>
    <row x14ac:dyDescent="0.25" r="838" customHeight="1" ht="18.75">
      <c r="A838" s="1"/>
      <c r="B838" s="1"/>
      <c r="C838" s="1"/>
      <c r="D838" s="1"/>
      <c r="E838" s="1"/>
      <c r="F838" s="1"/>
      <c r="G838" s="1"/>
      <c r="H838" s="1"/>
      <c r="I838" s="1"/>
      <c r="J838" s="1"/>
      <c r="K838" s="17"/>
      <c r="L838" s="1"/>
      <c r="M838" s="1"/>
      <c r="N838" s="2"/>
      <c r="O838" s="2"/>
      <c r="P838" s="1"/>
      <c r="Q838" s="1"/>
      <c r="R838" s="1"/>
      <c r="S838" s="1"/>
      <c r="T838" s="17"/>
      <c r="U838" s="17"/>
      <c r="V838" s="17"/>
      <c r="W838" s="17"/>
      <c r="X838" s="22"/>
      <c r="Y838" s="22"/>
      <c r="Z838" s="22"/>
      <c r="AA838" s="22"/>
      <c r="AB838" s="22"/>
      <c r="AC838" s="22"/>
      <c r="AD838" s="22"/>
      <c r="AE838" s="22"/>
      <c r="AF838" s="22"/>
      <c r="AG838" s="22"/>
      <c r="AH838" s="22"/>
      <c r="AI838" s="22"/>
      <c r="AJ838" s="17"/>
      <c r="AK838" s="22"/>
      <c r="AL838" s="22"/>
      <c r="AM838" s="22"/>
      <c r="AN838" s="22"/>
      <c r="AO838" s="17"/>
      <c r="AP838" s="17"/>
      <c r="AQ838" s="17"/>
      <c r="AR838" s="1"/>
      <c r="AS838" s="1"/>
      <c r="AT838" s="17"/>
      <c r="AU838" s="1"/>
      <c r="AV838" s="1"/>
      <c r="AW838" s="1"/>
      <c r="AX838" s="2"/>
      <c r="AY838" s="2"/>
      <c r="AZ838" s="1"/>
    </row>
    <row x14ac:dyDescent="0.25" r="839" customHeight="1" ht="18.75">
      <c r="A839" s="1"/>
      <c r="B839" s="1"/>
      <c r="C839" s="1"/>
      <c r="D839" s="1"/>
      <c r="E839" s="1"/>
      <c r="F839" s="1"/>
      <c r="G839" s="1"/>
      <c r="H839" s="1"/>
      <c r="I839" s="1"/>
      <c r="J839" s="1"/>
      <c r="K839" s="17"/>
      <c r="L839" s="1"/>
      <c r="M839" s="1"/>
      <c r="N839" s="2"/>
      <c r="O839" s="2"/>
      <c r="P839" s="1"/>
      <c r="Q839" s="1"/>
      <c r="R839" s="1"/>
      <c r="S839" s="1"/>
      <c r="T839" s="17"/>
      <c r="U839" s="17"/>
      <c r="V839" s="17"/>
      <c r="W839" s="17"/>
      <c r="X839" s="22"/>
      <c r="Y839" s="22"/>
      <c r="Z839" s="22"/>
      <c r="AA839" s="22"/>
      <c r="AB839" s="22"/>
      <c r="AC839" s="22"/>
      <c r="AD839" s="22"/>
      <c r="AE839" s="22"/>
      <c r="AF839" s="22"/>
      <c r="AG839" s="22"/>
      <c r="AH839" s="22"/>
      <c r="AI839" s="22"/>
      <c r="AJ839" s="17"/>
      <c r="AK839" s="22"/>
      <c r="AL839" s="22"/>
      <c r="AM839" s="22"/>
      <c r="AN839" s="22"/>
      <c r="AO839" s="17"/>
      <c r="AP839" s="17"/>
      <c r="AQ839" s="17"/>
      <c r="AR839" s="1"/>
      <c r="AS839" s="1"/>
      <c r="AT839" s="17"/>
      <c r="AU839" s="1"/>
      <c r="AV839" s="1"/>
      <c r="AW839" s="1"/>
      <c r="AX839" s="2"/>
      <c r="AY839" s="2"/>
      <c r="AZ839" s="1"/>
    </row>
    <row x14ac:dyDescent="0.25" r="840" customHeight="1" ht="18.75">
      <c r="A840" s="1"/>
      <c r="B840" s="1"/>
      <c r="C840" s="1"/>
      <c r="D840" s="1"/>
      <c r="E840" s="1"/>
      <c r="F840" s="1"/>
      <c r="G840" s="1"/>
      <c r="H840" s="1"/>
      <c r="I840" s="1"/>
      <c r="J840" s="1"/>
      <c r="K840" s="17"/>
      <c r="L840" s="1"/>
      <c r="M840" s="1"/>
      <c r="N840" s="2"/>
      <c r="O840" s="2"/>
      <c r="P840" s="1"/>
      <c r="Q840" s="1"/>
      <c r="R840" s="1"/>
      <c r="S840" s="1"/>
      <c r="T840" s="17"/>
      <c r="U840" s="17"/>
      <c r="V840" s="17"/>
      <c r="W840" s="17"/>
      <c r="X840" s="22"/>
      <c r="Y840" s="22"/>
      <c r="Z840" s="22"/>
      <c r="AA840" s="22"/>
      <c r="AB840" s="22"/>
      <c r="AC840" s="22"/>
      <c r="AD840" s="22"/>
      <c r="AE840" s="22"/>
      <c r="AF840" s="22"/>
      <c r="AG840" s="22"/>
      <c r="AH840" s="22"/>
      <c r="AI840" s="22"/>
      <c r="AJ840" s="17"/>
      <c r="AK840" s="22"/>
      <c r="AL840" s="22"/>
      <c r="AM840" s="22"/>
      <c r="AN840" s="22"/>
      <c r="AO840" s="17"/>
      <c r="AP840" s="17"/>
      <c r="AQ840" s="17"/>
      <c r="AR840" s="1"/>
      <c r="AS840" s="1"/>
      <c r="AT840" s="17"/>
      <c r="AU840" s="1"/>
      <c r="AV840" s="1"/>
      <c r="AW840" s="1"/>
      <c r="AX840" s="2"/>
      <c r="AY840" s="2"/>
      <c r="AZ840" s="1"/>
    </row>
    <row x14ac:dyDescent="0.25" r="841" customHeight="1" ht="18.75">
      <c r="A841" s="1"/>
      <c r="B841" s="1"/>
      <c r="C841" s="1"/>
      <c r="D841" s="1"/>
      <c r="E841" s="1"/>
      <c r="F841" s="1"/>
      <c r="G841" s="1"/>
      <c r="H841" s="1"/>
      <c r="I841" s="1"/>
      <c r="J841" s="1"/>
      <c r="K841" s="17"/>
      <c r="L841" s="1"/>
      <c r="M841" s="1"/>
      <c r="N841" s="2"/>
      <c r="O841" s="2"/>
      <c r="P841" s="1"/>
      <c r="Q841" s="1"/>
      <c r="R841" s="1"/>
      <c r="S841" s="1"/>
      <c r="T841" s="17"/>
      <c r="U841" s="17"/>
      <c r="V841" s="17"/>
      <c r="W841" s="17"/>
      <c r="X841" s="22"/>
      <c r="Y841" s="22"/>
      <c r="Z841" s="22"/>
      <c r="AA841" s="22"/>
      <c r="AB841" s="22"/>
      <c r="AC841" s="22"/>
      <c r="AD841" s="22"/>
      <c r="AE841" s="22"/>
      <c r="AF841" s="22"/>
      <c r="AG841" s="22"/>
      <c r="AH841" s="22"/>
      <c r="AI841" s="22"/>
      <c r="AJ841" s="17"/>
      <c r="AK841" s="22"/>
      <c r="AL841" s="22"/>
      <c r="AM841" s="22"/>
      <c r="AN841" s="22"/>
      <c r="AO841" s="17"/>
      <c r="AP841" s="17"/>
      <c r="AQ841" s="17"/>
      <c r="AR841" s="1"/>
      <c r="AS841" s="1"/>
      <c r="AT841" s="17"/>
      <c r="AU841" s="1"/>
      <c r="AV841" s="1"/>
      <c r="AW841" s="1"/>
      <c r="AX841" s="2"/>
      <c r="AY841" s="2"/>
      <c r="AZ841" s="1"/>
    </row>
    <row x14ac:dyDescent="0.25" r="842" customHeight="1" ht="18.75">
      <c r="A842" s="1"/>
      <c r="B842" s="1"/>
      <c r="C842" s="1"/>
      <c r="D842" s="1"/>
      <c r="E842" s="1"/>
      <c r="F842" s="1"/>
      <c r="G842" s="1"/>
      <c r="H842" s="1"/>
      <c r="I842" s="1"/>
      <c r="J842" s="1"/>
      <c r="K842" s="17"/>
      <c r="L842" s="1"/>
      <c r="M842" s="1"/>
      <c r="N842" s="2"/>
      <c r="O842" s="2"/>
      <c r="P842" s="1"/>
      <c r="Q842" s="1"/>
      <c r="R842" s="1"/>
      <c r="S842" s="1"/>
      <c r="T842" s="17"/>
      <c r="U842" s="17"/>
      <c r="V842" s="17"/>
      <c r="W842" s="17"/>
      <c r="X842" s="22"/>
      <c r="Y842" s="22"/>
      <c r="Z842" s="22"/>
      <c r="AA842" s="22"/>
      <c r="AB842" s="22"/>
      <c r="AC842" s="22"/>
      <c r="AD842" s="22"/>
      <c r="AE842" s="22"/>
      <c r="AF842" s="22"/>
      <c r="AG842" s="22"/>
      <c r="AH842" s="22"/>
      <c r="AI842" s="22"/>
      <c r="AJ842" s="17"/>
      <c r="AK842" s="22"/>
      <c r="AL842" s="22"/>
      <c r="AM842" s="22"/>
      <c r="AN842" s="22"/>
      <c r="AO842" s="17"/>
      <c r="AP842" s="17"/>
      <c r="AQ842" s="17"/>
      <c r="AR842" s="1"/>
      <c r="AS842" s="1"/>
      <c r="AT842" s="17"/>
      <c r="AU842" s="1"/>
      <c r="AV842" s="1"/>
      <c r="AW842" s="1"/>
      <c r="AX842" s="2"/>
      <c r="AY842" s="2"/>
      <c r="AZ842" s="1"/>
    </row>
    <row x14ac:dyDescent="0.25" r="843" customHeight="1" ht="18.75">
      <c r="A843" s="1"/>
      <c r="B843" s="1"/>
      <c r="C843" s="1"/>
      <c r="D843" s="1"/>
      <c r="E843" s="1"/>
      <c r="F843" s="1"/>
      <c r="G843" s="1"/>
      <c r="H843" s="1"/>
      <c r="I843" s="1"/>
      <c r="J843" s="1"/>
      <c r="K843" s="17"/>
      <c r="L843" s="1"/>
      <c r="M843" s="1"/>
      <c r="N843" s="2"/>
      <c r="O843" s="2"/>
      <c r="P843" s="1"/>
      <c r="Q843" s="1"/>
      <c r="R843" s="1"/>
      <c r="S843" s="1"/>
      <c r="T843" s="17"/>
      <c r="U843" s="17"/>
      <c r="V843" s="17"/>
      <c r="W843" s="17"/>
      <c r="X843" s="22"/>
      <c r="Y843" s="22"/>
      <c r="Z843" s="22"/>
      <c r="AA843" s="22"/>
      <c r="AB843" s="22"/>
      <c r="AC843" s="22"/>
      <c r="AD843" s="22"/>
      <c r="AE843" s="22"/>
      <c r="AF843" s="22"/>
      <c r="AG843" s="22"/>
      <c r="AH843" s="22"/>
      <c r="AI843" s="22"/>
      <c r="AJ843" s="17"/>
      <c r="AK843" s="22"/>
      <c r="AL843" s="22"/>
      <c r="AM843" s="22"/>
      <c r="AN843" s="22"/>
      <c r="AO843" s="17"/>
      <c r="AP843" s="17"/>
      <c r="AQ843" s="17"/>
      <c r="AR843" s="1"/>
      <c r="AS843" s="1"/>
      <c r="AT843" s="17"/>
      <c r="AU843" s="1"/>
      <c r="AV843" s="1"/>
      <c r="AW843" s="1"/>
      <c r="AX843" s="2"/>
      <c r="AY843" s="2"/>
      <c r="AZ843" s="1"/>
    </row>
    <row x14ac:dyDescent="0.25" r="844" customHeight="1" ht="18.75">
      <c r="A844" s="1"/>
      <c r="B844" s="1"/>
      <c r="C844" s="1"/>
      <c r="D844" s="1"/>
      <c r="E844" s="1"/>
      <c r="F844" s="1"/>
      <c r="G844" s="1"/>
      <c r="H844" s="1"/>
      <c r="I844" s="1"/>
      <c r="J844" s="1"/>
      <c r="K844" s="17"/>
      <c r="L844" s="1"/>
      <c r="M844" s="1"/>
      <c r="N844" s="2"/>
      <c r="O844" s="2"/>
      <c r="P844" s="1"/>
      <c r="Q844" s="1"/>
      <c r="R844" s="1"/>
      <c r="S844" s="1"/>
      <c r="T844" s="17"/>
      <c r="U844" s="17"/>
      <c r="V844" s="17"/>
      <c r="W844" s="17"/>
      <c r="X844" s="22"/>
      <c r="Y844" s="22"/>
      <c r="Z844" s="22"/>
      <c r="AA844" s="22"/>
      <c r="AB844" s="22"/>
      <c r="AC844" s="22"/>
      <c r="AD844" s="22"/>
      <c r="AE844" s="22"/>
      <c r="AF844" s="22"/>
      <c r="AG844" s="22"/>
      <c r="AH844" s="22"/>
      <c r="AI844" s="22"/>
      <c r="AJ844" s="17"/>
      <c r="AK844" s="22"/>
      <c r="AL844" s="22"/>
      <c r="AM844" s="22"/>
      <c r="AN844" s="22"/>
      <c r="AO844" s="17"/>
      <c r="AP844" s="17"/>
      <c r="AQ844" s="17"/>
      <c r="AR844" s="1"/>
      <c r="AS844" s="1"/>
      <c r="AT844" s="17"/>
      <c r="AU844" s="1"/>
      <c r="AV844" s="1"/>
      <c r="AW844" s="1"/>
      <c r="AX844" s="2"/>
      <c r="AY844" s="2"/>
      <c r="AZ844" s="1"/>
    </row>
    <row x14ac:dyDescent="0.25" r="845" customHeight="1" ht="18.75">
      <c r="A845" s="1"/>
      <c r="B845" s="1"/>
      <c r="C845" s="1"/>
      <c r="D845" s="1"/>
      <c r="E845" s="1"/>
      <c r="F845" s="1"/>
      <c r="G845" s="1"/>
      <c r="H845" s="1"/>
      <c r="I845" s="1"/>
      <c r="J845" s="1"/>
      <c r="K845" s="17"/>
      <c r="L845" s="1"/>
      <c r="M845" s="1"/>
      <c r="N845" s="2"/>
      <c r="O845" s="2"/>
      <c r="P845" s="1"/>
      <c r="Q845" s="1"/>
      <c r="R845" s="1"/>
      <c r="S845" s="1"/>
      <c r="T845" s="17"/>
      <c r="U845" s="17"/>
      <c r="V845" s="17"/>
      <c r="W845" s="17"/>
      <c r="X845" s="22"/>
      <c r="Y845" s="22"/>
      <c r="Z845" s="22"/>
      <c r="AA845" s="22"/>
      <c r="AB845" s="22"/>
      <c r="AC845" s="22"/>
      <c r="AD845" s="22"/>
      <c r="AE845" s="22"/>
      <c r="AF845" s="22"/>
      <c r="AG845" s="22"/>
      <c r="AH845" s="22"/>
      <c r="AI845" s="22"/>
      <c r="AJ845" s="17"/>
      <c r="AK845" s="22"/>
      <c r="AL845" s="22"/>
      <c r="AM845" s="22"/>
      <c r="AN845" s="22"/>
      <c r="AO845" s="17"/>
      <c r="AP845" s="17"/>
      <c r="AQ845" s="17"/>
      <c r="AR845" s="1"/>
      <c r="AS845" s="1"/>
      <c r="AT845" s="17"/>
      <c r="AU845" s="1"/>
      <c r="AV845" s="1"/>
      <c r="AW845" s="1"/>
      <c r="AX845" s="2"/>
      <c r="AY845" s="2"/>
      <c r="AZ845" s="1"/>
    </row>
    <row x14ac:dyDescent="0.25" r="846" customHeight="1" ht="18.75">
      <c r="A846" s="1"/>
      <c r="B846" s="1"/>
      <c r="C846" s="1"/>
      <c r="D846" s="1"/>
      <c r="E846" s="1"/>
      <c r="F846" s="1"/>
      <c r="G846" s="1"/>
      <c r="H846" s="1"/>
      <c r="I846" s="1"/>
      <c r="J846" s="1"/>
      <c r="K846" s="17"/>
      <c r="L846" s="1"/>
      <c r="M846" s="1"/>
      <c r="N846" s="2"/>
      <c r="O846" s="2"/>
      <c r="P846" s="1"/>
      <c r="Q846" s="1"/>
      <c r="R846" s="1"/>
      <c r="S846" s="1"/>
      <c r="T846" s="17"/>
      <c r="U846" s="17"/>
      <c r="V846" s="17"/>
      <c r="W846" s="17"/>
      <c r="X846" s="22"/>
      <c r="Y846" s="22"/>
      <c r="Z846" s="22"/>
      <c r="AA846" s="22"/>
      <c r="AB846" s="22"/>
      <c r="AC846" s="22"/>
      <c r="AD846" s="22"/>
      <c r="AE846" s="22"/>
      <c r="AF846" s="22"/>
      <c r="AG846" s="22"/>
      <c r="AH846" s="22"/>
      <c r="AI846" s="22"/>
      <c r="AJ846" s="17"/>
      <c r="AK846" s="22"/>
      <c r="AL846" s="22"/>
      <c r="AM846" s="22"/>
      <c r="AN846" s="22"/>
      <c r="AO846" s="17"/>
      <c r="AP846" s="17"/>
      <c r="AQ846" s="17"/>
      <c r="AR846" s="1"/>
      <c r="AS846" s="1"/>
      <c r="AT846" s="17"/>
      <c r="AU846" s="1"/>
      <c r="AV846" s="1"/>
      <c r="AW846" s="1"/>
      <c r="AX846" s="2"/>
      <c r="AY846" s="2"/>
      <c r="AZ846" s="1"/>
    </row>
    <row x14ac:dyDescent="0.25" r="847" customHeight="1" ht="18.75">
      <c r="A847" s="1"/>
      <c r="B847" s="1"/>
      <c r="C847" s="1"/>
      <c r="D847" s="1"/>
      <c r="E847" s="1"/>
      <c r="F847" s="1"/>
      <c r="G847" s="1"/>
      <c r="H847" s="1"/>
      <c r="I847" s="1"/>
      <c r="J847" s="1"/>
      <c r="K847" s="17"/>
      <c r="L847" s="1"/>
      <c r="M847" s="1"/>
      <c r="N847" s="2"/>
      <c r="O847" s="2"/>
      <c r="P847" s="1"/>
      <c r="Q847" s="1"/>
      <c r="R847" s="1"/>
      <c r="S847" s="1"/>
      <c r="T847" s="17"/>
      <c r="U847" s="17"/>
      <c r="V847" s="17"/>
      <c r="W847" s="17"/>
      <c r="X847" s="22"/>
      <c r="Y847" s="22"/>
      <c r="Z847" s="22"/>
      <c r="AA847" s="22"/>
      <c r="AB847" s="22"/>
      <c r="AC847" s="22"/>
      <c r="AD847" s="22"/>
      <c r="AE847" s="22"/>
      <c r="AF847" s="22"/>
      <c r="AG847" s="22"/>
      <c r="AH847" s="22"/>
      <c r="AI847" s="22"/>
      <c r="AJ847" s="17"/>
      <c r="AK847" s="22"/>
      <c r="AL847" s="22"/>
      <c r="AM847" s="22"/>
      <c r="AN847" s="22"/>
      <c r="AO847" s="17"/>
      <c r="AP847" s="17"/>
      <c r="AQ847" s="17"/>
      <c r="AR847" s="1"/>
      <c r="AS847" s="1"/>
      <c r="AT847" s="17"/>
      <c r="AU847" s="1"/>
      <c r="AV847" s="1"/>
      <c r="AW847" s="1"/>
      <c r="AX847" s="2"/>
      <c r="AY847" s="2"/>
      <c r="AZ847" s="1"/>
    </row>
    <row x14ac:dyDescent="0.25" r="848" customHeight="1" ht="18.75">
      <c r="A848" s="1"/>
      <c r="B848" s="1"/>
      <c r="C848" s="1"/>
      <c r="D848" s="1"/>
      <c r="E848" s="1"/>
      <c r="F848" s="1"/>
      <c r="G848" s="1"/>
      <c r="H848" s="1"/>
      <c r="I848" s="1"/>
      <c r="J848" s="1"/>
      <c r="K848" s="17"/>
      <c r="L848" s="1"/>
      <c r="M848" s="1"/>
      <c r="N848" s="2"/>
      <c r="O848" s="2"/>
      <c r="P848" s="1"/>
      <c r="Q848" s="1"/>
      <c r="R848" s="1"/>
      <c r="S848" s="1"/>
      <c r="T848" s="17"/>
      <c r="U848" s="17"/>
      <c r="V848" s="17"/>
      <c r="W848" s="17"/>
      <c r="X848" s="22"/>
      <c r="Y848" s="22"/>
      <c r="Z848" s="22"/>
      <c r="AA848" s="22"/>
      <c r="AB848" s="22"/>
      <c r="AC848" s="22"/>
      <c r="AD848" s="22"/>
      <c r="AE848" s="22"/>
      <c r="AF848" s="22"/>
      <c r="AG848" s="22"/>
      <c r="AH848" s="22"/>
      <c r="AI848" s="22"/>
      <c r="AJ848" s="17"/>
      <c r="AK848" s="22"/>
      <c r="AL848" s="22"/>
      <c r="AM848" s="22"/>
      <c r="AN848" s="22"/>
      <c r="AO848" s="17"/>
      <c r="AP848" s="17"/>
      <c r="AQ848" s="17"/>
      <c r="AR848" s="1"/>
      <c r="AS848" s="1"/>
      <c r="AT848" s="17"/>
      <c r="AU848" s="1"/>
      <c r="AV848" s="1"/>
      <c r="AW848" s="1"/>
      <c r="AX848" s="2"/>
      <c r="AY848" s="2"/>
      <c r="AZ848" s="1"/>
    </row>
    <row x14ac:dyDescent="0.25" r="849" customHeight="1" ht="18.75">
      <c r="A849" s="1"/>
      <c r="B849" s="1"/>
      <c r="C849" s="1"/>
      <c r="D849" s="1"/>
      <c r="E849" s="1"/>
      <c r="F849" s="1"/>
      <c r="G849" s="1"/>
      <c r="H849" s="1"/>
      <c r="I849" s="1"/>
      <c r="J849" s="1"/>
      <c r="K849" s="17"/>
      <c r="L849" s="1"/>
      <c r="M849" s="1"/>
      <c r="N849" s="2"/>
      <c r="O849" s="2"/>
      <c r="P849" s="1"/>
      <c r="Q849" s="1"/>
      <c r="R849" s="1"/>
      <c r="S849" s="1"/>
      <c r="T849" s="17"/>
      <c r="U849" s="17"/>
      <c r="V849" s="17"/>
      <c r="W849" s="17"/>
      <c r="X849" s="22"/>
      <c r="Y849" s="22"/>
      <c r="Z849" s="22"/>
      <c r="AA849" s="22"/>
      <c r="AB849" s="22"/>
      <c r="AC849" s="22"/>
      <c r="AD849" s="22"/>
      <c r="AE849" s="22"/>
      <c r="AF849" s="22"/>
      <c r="AG849" s="22"/>
      <c r="AH849" s="22"/>
      <c r="AI849" s="22"/>
      <c r="AJ849" s="17"/>
      <c r="AK849" s="22"/>
      <c r="AL849" s="22"/>
      <c r="AM849" s="22"/>
      <c r="AN849" s="22"/>
      <c r="AO849" s="17"/>
      <c r="AP849" s="17"/>
      <c r="AQ849" s="17"/>
      <c r="AR849" s="1"/>
      <c r="AS849" s="1"/>
      <c r="AT849" s="17"/>
      <c r="AU849" s="1"/>
      <c r="AV849" s="1"/>
      <c r="AW849" s="1"/>
      <c r="AX849" s="2"/>
      <c r="AY849" s="2"/>
      <c r="AZ849" s="1"/>
    </row>
    <row x14ac:dyDescent="0.25" r="850" customHeight="1" ht="18.75">
      <c r="A850" s="1"/>
      <c r="B850" s="1"/>
      <c r="C850" s="1"/>
      <c r="D850" s="1"/>
      <c r="E850" s="1"/>
      <c r="F850" s="1"/>
      <c r="G850" s="1"/>
      <c r="H850" s="1"/>
      <c r="I850" s="1"/>
      <c r="J850" s="1"/>
      <c r="K850" s="17"/>
      <c r="L850" s="1"/>
      <c r="M850" s="1"/>
      <c r="N850" s="2"/>
      <c r="O850" s="2"/>
      <c r="P850" s="1"/>
      <c r="Q850" s="1"/>
      <c r="R850" s="1"/>
      <c r="S850" s="1"/>
      <c r="T850" s="17"/>
      <c r="U850" s="17"/>
      <c r="V850" s="17"/>
      <c r="W850" s="17"/>
      <c r="X850" s="22"/>
      <c r="Y850" s="22"/>
      <c r="Z850" s="22"/>
      <c r="AA850" s="22"/>
      <c r="AB850" s="22"/>
      <c r="AC850" s="22"/>
      <c r="AD850" s="22"/>
      <c r="AE850" s="22"/>
      <c r="AF850" s="22"/>
      <c r="AG850" s="22"/>
      <c r="AH850" s="22"/>
      <c r="AI850" s="22"/>
      <c r="AJ850" s="17"/>
      <c r="AK850" s="22"/>
      <c r="AL850" s="22"/>
      <c r="AM850" s="22"/>
      <c r="AN850" s="22"/>
      <c r="AO850" s="17"/>
      <c r="AP850" s="17"/>
      <c r="AQ850" s="17"/>
      <c r="AR850" s="1"/>
      <c r="AS850" s="1"/>
      <c r="AT850" s="17"/>
      <c r="AU850" s="1"/>
      <c r="AV850" s="1"/>
      <c r="AW850" s="1"/>
      <c r="AX850" s="2"/>
      <c r="AY850" s="2"/>
      <c r="AZ850" s="1"/>
    </row>
    <row x14ac:dyDescent="0.25" r="851" customHeight="1" ht="18.75">
      <c r="A851" s="1"/>
      <c r="B851" s="1"/>
      <c r="C851" s="1"/>
      <c r="D851" s="1"/>
      <c r="E851" s="1"/>
      <c r="F851" s="1"/>
      <c r="G851" s="1"/>
      <c r="H851" s="1"/>
      <c r="I851" s="1"/>
      <c r="J851" s="1"/>
      <c r="K851" s="17"/>
      <c r="L851" s="1"/>
      <c r="M851" s="1"/>
      <c r="N851" s="2"/>
      <c r="O851" s="2"/>
      <c r="P851" s="1"/>
      <c r="Q851" s="1"/>
      <c r="R851" s="1"/>
      <c r="S851" s="1"/>
      <c r="T851" s="17"/>
      <c r="U851" s="17"/>
      <c r="V851" s="17"/>
      <c r="W851" s="17"/>
      <c r="X851" s="22"/>
      <c r="Y851" s="22"/>
      <c r="Z851" s="22"/>
      <c r="AA851" s="22"/>
      <c r="AB851" s="22"/>
      <c r="AC851" s="22"/>
      <c r="AD851" s="22"/>
      <c r="AE851" s="22"/>
      <c r="AF851" s="22"/>
      <c r="AG851" s="22"/>
      <c r="AH851" s="22"/>
      <c r="AI851" s="22"/>
      <c r="AJ851" s="17"/>
      <c r="AK851" s="22"/>
      <c r="AL851" s="22"/>
      <c r="AM851" s="22"/>
      <c r="AN851" s="22"/>
      <c r="AO851" s="17"/>
      <c r="AP851" s="17"/>
      <c r="AQ851" s="17"/>
      <c r="AR851" s="1"/>
      <c r="AS851" s="1"/>
      <c r="AT851" s="17"/>
      <c r="AU851" s="1"/>
      <c r="AV851" s="1"/>
      <c r="AW851" s="1"/>
      <c r="AX851" s="2"/>
      <c r="AY851" s="2"/>
      <c r="AZ851" s="1"/>
    </row>
    <row x14ac:dyDescent="0.25" r="852" customHeight="1" ht="18.75">
      <c r="A852" s="1"/>
      <c r="B852" s="1"/>
      <c r="C852" s="1"/>
      <c r="D852" s="1"/>
      <c r="E852" s="1"/>
      <c r="F852" s="1"/>
      <c r="G852" s="1"/>
      <c r="H852" s="1"/>
      <c r="I852" s="1"/>
      <c r="J852" s="1"/>
      <c r="K852" s="17"/>
      <c r="L852" s="1"/>
      <c r="M852" s="1"/>
      <c r="N852" s="2"/>
      <c r="O852" s="2"/>
      <c r="P852" s="1"/>
      <c r="Q852" s="1"/>
      <c r="R852" s="1"/>
      <c r="S852" s="1"/>
      <c r="T852" s="17"/>
      <c r="U852" s="17"/>
      <c r="V852" s="17"/>
      <c r="W852" s="17"/>
      <c r="X852" s="22"/>
      <c r="Y852" s="22"/>
      <c r="Z852" s="22"/>
      <c r="AA852" s="22"/>
      <c r="AB852" s="22"/>
      <c r="AC852" s="22"/>
      <c r="AD852" s="22"/>
      <c r="AE852" s="22"/>
      <c r="AF852" s="22"/>
      <c r="AG852" s="22"/>
      <c r="AH852" s="22"/>
      <c r="AI852" s="22"/>
      <c r="AJ852" s="17"/>
      <c r="AK852" s="22"/>
      <c r="AL852" s="22"/>
      <c r="AM852" s="22"/>
      <c r="AN852" s="22"/>
      <c r="AO852" s="17"/>
      <c r="AP852" s="17"/>
      <c r="AQ852" s="17"/>
      <c r="AR852" s="1"/>
      <c r="AS852" s="1"/>
      <c r="AT852" s="17"/>
      <c r="AU852" s="1"/>
      <c r="AV852" s="1"/>
      <c r="AW852" s="1"/>
      <c r="AX852" s="2"/>
      <c r="AY852" s="2"/>
      <c r="AZ852" s="1"/>
    </row>
    <row x14ac:dyDescent="0.25" r="853" customHeight="1" ht="18.75">
      <c r="A853" s="1"/>
      <c r="B853" s="1"/>
      <c r="C853" s="1"/>
      <c r="D853" s="1"/>
      <c r="E853" s="1"/>
      <c r="F853" s="1"/>
      <c r="G853" s="1"/>
      <c r="H853" s="1"/>
      <c r="I853" s="1"/>
      <c r="J853" s="1"/>
      <c r="K853" s="17"/>
      <c r="L853" s="1"/>
      <c r="M853" s="1"/>
      <c r="N853" s="2"/>
      <c r="O853" s="2"/>
      <c r="P853" s="1"/>
      <c r="Q853" s="1"/>
      <c r="R853" s="1"/>
      <c r="S853" s="1"/>
      <c r="T853" s="17"/>
      <c r="U853" s="17"/>
      <c r="V853" s="17"/>
      <c r="W853" s="17"/>
      <c r="X853" s="22"/>
      <c r="Y853" s="22"/>
      <c r="Z853" s="22"/>
      <c r="AA853" s="22"/>
      <c r="AB853" s="22"/>
      <c r="AC853" s="22"/>
      <c r="AD853" s="22"/>
      <c r="AE853" s="22"/>
      <c r="AF853" s="22"/>
      <c r="AG853" s="22"/>
      <c r="AH853" s="22"/>
      <c r="AI853" s="22"/>
      <c r="AJ853" s="17"/>
      <c r="AK853" s="22"/>
      <c r="AL853" s="22"/>
      <c r="AM853" s="22"/>
      <c r="AN853" s="22"/>
      <c r="AO853" s="17"/>
      <c r="AP853" s="17"/>
      <c r="AQ853" s="17"/>
      <c r="AR853" s="1"/>
      <c r="AS853" s="1"/>
      <c r="AT853" s="17"/>
      <c r="AU853" s="1"/>
      <c r="AV853" s="1"/>
      <c r="AW853" s="1"/>
      <c r="AX853" s="2"/>
      <c r="AY853" s="2"/>
      <c r="AZ853" s="1"/>
    </row>
    <row x14ac:dyDescent="0.25" r="854" customHeight="1" ht="18.75">
      <c r="A854" s="1"/>
      <c r="B854" s="1"/>
      <c r="C854" s="1"/>
      <c r="D854" s="1"/>
      <c r="E854" s="1"/>
      <c r="F854" s="1"/>
      <c r="G854" s="1"/>
      <c r="H854" s="1"/>
      <c r="I854" s="1"/>
      <c r="J854" s="1"/>
      <c r="K854" s="17"/>
      <c r="L854" s="1"/>
      <c r="M854" s="1"/>
      <c r="N854" s="2"/>
      <c r="O854" s="2"/>
      <c r="P854" s="1"/>
      <c r="Q854" s="1"/>
      <c r="R854" s="1"/>
      <c r="S854" s="1"/>
      <c r="T854" s="17"/>
      <c r="U854" s="17"/>
      <c r="V854" s="17"/>
      <c r="W854" s="17"/>
      <c r="X854" s="22"/>
      <c r="Y854" s="22"/>
      <c r="Z854" s="22"/>
      <c r="AA854" s="22"/>
      <c r="AB854" s="22"/>
      <c r="AC854" s="22"/>
      <c r="AD854" s="22"/>
      <c r="AE854" s="22"/>
      <c r="AF854" s="22"/>
      <c r="AG854" s="22"/>
      <c r="AH854" s="22"/>
      <c r="AI854" s="22"/>
      <c r="AJ854" s="17"/>
      <c r="AK854" s="22"/>
      <c r="AL854" s="22"/>
      <c r="AM854" s="22"/>
      <c r="AN854" s="22"/>
      <c r="AO854" s="17"/>
      <c r="AP854" s="17"/>
      <c r="AQ854" s="17"/>
      <c r="AR854" s="1"/>
      <c r="AS854" s="1"/>
      <c r="AT854" s="17"/>
      <c r="AU854" s="1"/>
      <c r="AV854" s="1"/>
      <c r="AW854" s="1"/>
      <c r="AX854" s="2"/>
      <c r="AY854" s="2"/>
      <c r="AZ854" s="1"/>
    </row>
    <row x14ac:dyDescent="0.25" r="855" customHeight="1" ht="18.75">
      <c r="A855" s="1"/>
      <c r="B855" s="1"/>
      <c r="C855" s="1"/>
      <c r="D855" s="1"/>
      <c r="E855" s="1"/>
      <c r="F855" s="1"/>
      <c r="G855" s="1"/>
      <c r="H855" s="1"/>
      <c r="I855" s="1"/>
      <c r="J855" s="1"/>
      <c r="K855" s="17"/>
      <c r="L855" s="1"/>
      <c r="M855" s="1"/>
      <c r="N855" s="2"/>
      <c r="O855" s="2"/>
      <c r="P855" s="1"/>
      <c r="Q855" s="1"/>
      <c r="R855" s="1"/>
      <c r="S855" s="1"/>
      <c r="T855" s="17"/>
      <c r="U855" s="17"/>
      <c r="V855" s="17"/>
      <c r="W855" s="17"/>
      <c r="X855" s="22"/>
      <c r="Y855" s="22"/>
      <c r="Z855" s="22"/>
      <c r="AA855" s="22"/>
      <c r="AB855" s="22"/>
      <c r="AC855" s="22"/>
      <c r="AD855" s="22"/>
      <c r="AE855" s="22"/>
      <c r="AF855" s="22"/>
      <c r="AG855" s="22"/>
      <c r="AH855" s="22"/>
      <c r="AI855" s="22"/>
      <c r="AJ855" s="17"/>
      <c r="AK855" s="22"/>
      <c r="AL855" s="22"/>
      <c r="AM855" s="22"/>
      <c r="AN855" s="22"/>
      <c r="AO855" s="17"/>
      <c r="AP855" s="17"/>
      <c r="AQ855" s="17"/>
      <c r="AR855" s="1"/>
      <c r="AS855" s="1"/>
      <c r="AT855" s="17"/>
      <c r="AU855" s="1"/>
      <c r="AV855" s="1"/>
      <c r="AW855" s="1"/>
      <c r="AX855" s="2"/>
      <c r="AY855" s="2"/>
      <c r="AZ855" s="1"/>
    </row>
    <row x14ac:dyDescent="0.25" r="856" customHeight="1" ht="18.75">
      <c r="A856" s="1"/>
      <c r="B856" s="1"/>
      <c r="C856" s="1"/>
      <c r="D856" s="1"/>
      <c r="E856" s="1"/>
      <c r="F856" s="1"/>
      <c r="G856" s="1"/>
      <c r="H856" s="1"/>
      <c r="I856" s="1"/>
      <c r="J856" s="1"/>
      <c r="K856" s="17"/>
      <c r="L856" s="1"/>
      <c r="M856" s="1"/>
      <c r="N856" s="2"/>
      <c r="O856" s="2"/>
      <c r="P856" s="1"/>
      <c r="Q856" s="1"/>
      <c r="R856" s="1"/>
      <c r="S856" s="1"/>
      <c r="T856" s="17"/>
      <c r="U856" s="17"/>
      <c r="V856" s="17"/>
      <c r="W856" s="17"/>
      <c r="X856" s="22"/>
      <c r="Y856" s="22"/>
      <c r="Z856" s="22"/>
      <c r="AA856" s="22"/>
      <c r="AB856" s="22"/>
      <c r="AC856" s="22"/>
      <c r="AD856" s="22"/>
      <c r="AE856" s="22"/>
      <c r="AF856" s="22"/>
      <c r="AG856" s="22"/>
      <c r="AH856" s="22"/>
      <c r="AI856" s="22"/>
      <c r="AJ856" s="17"/>
      <c r="AK856" s="22"/>
      <c r="AL856" s="22"/>
      <c r="AM856" s="22"/>
      <c r="AN856" s="22"/>
      <c r="AO856" s="17"/>
      <c r="AP856" s="17"/>
      <c r="AQ856" s="17"/>
      <c r="AR856" s="1"/>
      <c r="AS856" s="1"/>
      <c r="AT856" s="17"/>
      <c r="AU856" s="1"/>
      <c r="AV856" s="1"/>
      <c r="AW856" s="1"/>
      <c r="AX856" s="2"/>
      <c r="AY856" s="2"/>
      <c r="AZ856" s="1"/>
    </row>
    <row x14ac:dyDescent="0.25" r="857" customHeight="1" ht="18.75">
      <c r="A857" s="1"/>
      <c r="B857" s="1"/>
      <c r="C857" s="1"/>
      <c r="D857" s="1"/>
      <c r="E857" s="1"/>
      <c r="F857" s="1"/>
      <c r="G857" s="1"/>
      <c r="H857" s="1"/>
      <c r="I857" s="1"/>
      <c r="J857" s="1"/>
      <c r="K857" s="17"/>
      <c r="L857" s="1"/>
      <c r="M857" s="1"/>
      <c r="N857" s="2"/>
      <c r="O857" s="2"/>
      <c r="P857" s="1"/>
      <c r="Q857" s="1"/>
      <c r="R857" s="1"/>
      <c r="S857" s="1"/>
      <c r="T857" s="17"/>
      <c r="U857" s="17"/>
      <c r="V857" s="17"/>
      <c r="W857" s="17"/>
      <c r="X857" s="22"/>
      <c r="Y857" s="22"/>
      <c r="Z857" s="22"/>
      <c r="AA857" s="22"/>
      <c r="AB857" s="22"/>
      <c r="AC857" s="22"/>
      <c r="AD857" s="22"/>
      <c r="AE857" s="22"/>
      <c r="AF857" s="22"/>
      <c r="AG857" s="22"/>
      <c r="AH857" s="22"/>
      <c r="AI857" s="22"/>
      <c r="AJ857" s="17"/>
      <c r="AK857" s="22"/>
      <c r="AL857" s="22"/>
      <c r="AM857" s="22"/>
      <c r="AN857" s="22"/>
      <c r="AO857" s="17"/>
      <c r="AP857" s="17"/>
      <c r="AQ857" s="17"/>
      <c r="AR857" s="1"/>
      <c r="AS857" s="1"/>
      <c r="AT857" s="17"/>
      <c r="AU857" s="1"/>
      <c r="AV857" s="1"/>
      <c r="AW857" s="1"/>
      <c r="AX857" s="2"/>
      <c r="AY857" s="2"/>
      <c r="AZ857" s="1"/>
    </row>
    <row x14ac:dyDescent="0.25" r="858" customHeight="1" ht="18.75">
      <c r="A858" s="1"/>
      <c r="B858" s="1"/>
      <c r="C858" s="1"/>
      <c r="D858" s="1"/>
      <c r="E858" s="1"/>
      <c r="F858" s="1"/>
      <c r="G858" s="1"/>
      <c r="H858" s="1"/>
      <c r="I858" s="1"/>
      <c r="J858" s="1"/>
      <c r="K858" s="17"/>
      <c r="L858" s="1"/>
      <c r="M858" s="1"/>
      <c r="N858" s="2"/>
      <c r="O858" s="2"/>
      <c r="P858" s="1"/>
      <c r="Q858" s="1"/>
      <c r="R858" s="1"/>
      <c r="S858" s="1"/>
      <c r="T858" s="17"/>
      <c r="U858" s="17"/>
      <c r="V858" s="17"/>
      <c r="W858" s="17"/>
      <c r="X858" s="22"/>
      <c r="Y858" s="22"/>
      <c r="Z858" s="22"/>
      <c r="AA858" s="22"/>
      <c r="AB858" s="22"/>
      <c r="AC858" s="22"/>
      <c r="AD858" s="22"/>
      <c r="AE858" s="22"/>
      <c r="AF858" s="22"/>
      <c r="AG858" s="22"/>
      <c r="AH858" s="22"/>
      <c r="AI858" s="22"/>
      <c r="AJ858" s="17"/>
      <c r="AK858" s="22"/>
      <c r="AL858" s="22"/>
      <c r="AM858" s="22"/>
      <c r="AN858" s="22"/>
      <c r="AO858" s="17"/>
      <c r="AP858" s="17"/>
      <c r="AQ858" s="17"/>
      <c r="AR858" s="1"/>
      <c r="AS858" s="1"/>
      <c r="AT858" s="17"/>
      <c r="AU858" s="1"/>
      <c r="AV858" s="1"/>
      <c r="AW858" s="1"/>
      <c r="AX858" s="2"/>
      <c r="AY858" s="2"/>
      <c r="AZ858" s="1"/>
    </row>
    <row x14ac:dyDescent="0.25" r="859" customHeight="1" ht="18.75">
      <c r="A859" s="1"/>
      <c r="B859" s="1"/>
      <c r="C859" s="1"/>
      <c r="D859" s="1"/>
      <c r="E859" s="1"/>
      <c r="F859" s="1"/>
      <c r="G859" s="1"/>
      <c r="H859" s="1"/>
      <c r="I859" s="1"/>
      <c r="J859" s="1"/>
      <c r="K859" s="17"/>
      <c r="L859" s="1"/>
      <c r="M859" s="1"/>
      <c r="N859" s="2"/>
      <c r="O859" s="2"/>
      <c r="P859" s="1"/>
      <c r="Q859" s="1"/>
      <c r="R859" s="1"/>
      <c r="S859" s="1"/>
      <c r="T859" s="17"/>
      <c r="U859" s="17"/>
      <c r="V859" s="17"/>
      <c r="W859" s="17"/>
      <c r="X859" s="22"/>
      <c r="Y859" s="22"/>
      <c r="Z859" s="22"/>
      <c r="AA859" s="22"/>
      <c r="AB859" s="22"/>
      <c r="AC859" s="22"/>
      <c r="AD859" s="22"/>
      <c r="AE859" s="22"/>
      <c r="AF859" s="22"/>
      <c r="AG859" s="22"/>
      <c r="AH859" s="22"/>
      <c r="AI859" s="22"/>
      <c r="AJ859" s="17"/>
      <c r="AK859" s="22"/>
      <c r="AL859" s="22"/>
      <c r="AM859" s="22"/>
      <c r="AN859" s="22"/>
      <c r="AO859" s="17"/>
      <c r="AP859" s="17"/>
      <c r="AQ859" s="17"/>
      <c r="AR859" s="1"/>
      <c r="AS859" s="1"/>
      <c r="AT859" s="17"/>
      <c r="AU859" s="1"/>
      <c r="AV859" s="1"/>
      <c r="AW859" s="1"/>
      <c r="AX859" s="2"/>
      <c r="AY859" s="2"/>
      <c r="AZ859" s="1"/>
    </row>
    <row x14ac:dyDescent="0.25" r="860" customHeight="1" ht="18.75">
      <c r="A860" s="1"/>
      <c r="B860" s="1"/>
      <c r="C860" s="1"/>
      <c r="D860" s="1"/>
      <c r="E860" s="1"/>
      <c r="F860" s="1"/>
      <c r="G860" s="1"/>
      <c r="H860" s="1"/>
      <c r="I860" s="1"/>
      <c r="J860" s="1"/>
      <c r="K860" s="17"/>
      <c r="L860" s="1"/>
      <c r="M860" s="1"/>
      <c r="N860" s="2"/>
      <c r="O860" s="2"/>
      <c r="P860" s="1"/>
      <c r="Q860" s="1"/>
      <c r="R860" s="1"/>
      <c r="S860" s="1"/>
      <c r="T860" s="17"/>
      <c r="U860" s="17"/>
      <c r="V860" s="17"/>
      <c r="W860" s="17"/>
      <c r="X860" s="22"/>
      <c r="Y860" s="22"/>
      <c r="Z860" s="22"/>
      <c r="AA860" s="22"/>
      <c r="AB860" s="22"/>
      <c r="AC860" s="22"/>
      <c r="AD860" s="22"/>
      <c r="AE860" s="22"/>
      <c r="AF860" s="22"/>
      <c r="AG860" s="22"/>
      <c r="AH860" s="22"/>
      <c r="AI860" s="22"/>
      <c r="AJ860" s="17"/>
      <c r="AK860" s="22"/>
      <c r="AL860" s="22"/>
      <c r="AM860" s="22"/>
      <c r="AN860" s="22"/>
      <c r="AO860" s="17"/>
      <c r="AP860" s="17"/>
      <c r="AQ860" s="17"/>
      <c r="AR860" s="1"/>
      <c r="AS860" s="1"/>
      <c r="AT860" s="17"/>
      <c r="AU860" s="1"/>
      <c r="AV860" s="1"/>
      <c r="AW860" s="1"/>
      <c r="AX860" s="2"/>
      <c r="AY860" s="2"/>
      <c r="AZ860" s="1"/>
    </row>
    <row x14ac:dyDescent="0.25" r="861" customHeight="1" ht="18.75">
      <c r="A861" s="1"/>
      <c r="B861" s="1"/>
      <c r="C861" s="1"/>
      <c r="D861" s="1"/>
      <c r="E861" s="1"/>
      <c r="F861" s="1"/>
      <c r="G861" s="1"/>
      <c r="H861" s="1"/>
      <c r="I861" s="1"/>
      <c r="J861" s="1"/>
      <c r="K861" s="17"/>
      <c r="L861" s="1"/>
      <c r="M861" s="1"/>
      <c r="N861" s="2"/>
      <c r="O861" s="2"/>
      <c r="P861" s="1"/>
      <c r="Q861" s="1"/>
      <c r="R861" s="1"/>
      <c r="S861" s="1"/>
      <c r="T861" s="17"/>
      <c r="U861" s="17"/>
      <c r="V861" s="17"/>
      <c r="W861" s="17"/>
      <c r="X861" s="22"/>
      <c r="Y861" s="22"/>
      <c r="Z861" s="22"/>
      <c r="AA861" s="22"/>
      <c r="AB861" s="22"/>
      <c r="AC861" s="22"/>
      <c r="AD861" s="22"/>
      <c r="AE861" s="22"/>
      <c r="AF861" s="22"/>
      <c r="AG861" s="22"/>
      <c r="AH861" s="22"/>
      <c r="AI861" s="22"/>
      <c r="AJ861" s="17"/>
      <c r="AK861" s="22"/>
      <c r="AL861" s="22"/>
      <c r="AM861" s="22"/>
      <c r="AN861" s="22"/>
      <c r="AO861" s="17"/>
      <c r="AP861" s="17"/>
      <c r="AQ861" s="17"/>
      <c r="AR861" s="1"/>
      <c r="AS861" s="1"/>
      <c r="AT861" s="17"/>
      <c r="AU861" s="1"/>
      <c r="AV861" s="1"/>
      <c r="AW861" s="1"/>
      <c r="AX861" s="2"/>
      <c r="AY861" s="2"/>
      <c r="AZ861" s="1"/>
    </row>
    <row x14ac:dyDescent="0.25" r="862" customHeight="1" ht="18.75">
      <c r="A862" s="1"/>
      <c r="B862" s="1"/>
      <c r="C862" s="1"/>
      <c r="D862" s="1"/>
      <c r="E862" s="1"/>
      <c r="F862" s="1"/>
      <c r="G862" s="1"/>
      <c r="H862" s="1"/>
      <c r="I862" s="1"/>
      <c r="J862" s="1"/>
      <c r="K862" s="17"/>
      <c r="L862" s="1"/>
      <c r="M862" s="1"/>
      <c r="N862" s="2"/>
      <c r="O862" s="2"/>
      <c r="P862" s="1"/>
      <c r="Q862" s="1"/>
      <c r="R862" s="1"/>
      <c r="S862" s="1"/>
      <c r="T862" s="17"/>
      <c r="U862" s="17"/>
      <c r="V862" s="17"/>
      <c r="W862" s="17"/>
      <c r="X862" s="22"/>
      <c r="Y862" s="22"/>
      <c r="Z862" s="22"/>
      <c r="AA862" s="22"/>
      <c r="AB862" s="22"/>
      <c r="AC862" s="22"/>
      <c r="AD862" s="22"/>
      <c r="AE862" s="22"/>
      <c r="AF862" s="22"/>
      <c r="AG862" s="22"/>
      <c r="AH862" s="22"/>
      <c r="AI862" s="22"/>
      <c r="AJ862" s="17"/>
      <c r="AK862" s="22"/>
      <c r="AL862" s="22"/>
      <c r="AM862" s="22"/>
      <c r="AN862" s="22"/>
      <c r="AO862" s="17"/>
      <c r="AP862" s="17"/>
      <c r="AQ862" s="17"/>
      <c r="AR862" s="1"/>
      <c r="AS862" s="1"/>
      <c r="AT862" s="17"/>
      <c r="AU862" s="1"/>
      <c r="AV862" s="1"/>
      <c r="AW862" s="1"/>
      <c r="AX862" s="2"/>
      <c r="AY862" s="2"/>
      <c r="AZ862" s="1"/>
    </row>
    <row x14ac:dyDescent="0.25" r="863" customHeight="1" ht="18.75">
      <c r="A863" s="1"/>
      <c r="B863" s="1"/>
      <c r="C863" s="1"/>
      <c r="D863" s="1"/>
      <c r="E863" s="1"/>
      <c r="F863" s="1"/>
      <c r="G863" s="1"/>
      <c r="H863" s="1"/>
      <c r="I863" s="1"/>
      <c r="J863" s="1"/>
      <c r="K863" s="17"/>
      <c r="L863" s="1"/>
      <c r="M863" s="1"/>
      <c r="N863" s="2"/>
      <c r="O863" s="2"/>
      <c r="P863" s="1"/>
      <c r="Q863" s="1"/>
      <c r="R863" s="1"/>
      <c r="S863" s="1"/>
      <c r="T863" s="17"/>
      <c r="U863" s="17"/>
      <c r="V863" s="17"/>
      <c r="W863" s="17"/>
      <c r="X863" s="22"/>
      <c r="Y863" s="22"/>
      <c r="Z863" s="22"/>
      <c r="AA863" s="22"/>
      <c r="AB863" s="22"/>
      <c r="AC863" s="22"/>
      <c r="AD863" s="22"/>
      <c r="AE863" s="22"/>
      <c r="AF863" s="22"/>
      <c r="AG863" s="22"/>
      <c r="AH863" s="22"/>
      <c r="AI863" s="22"/>
      <c r="AJ863" s="17"/>
      <c r="AK863" s="22"/>
      <c r="AL863" s="22"/>
      <c r="AM863" s="22"/>
      <c r="AN863" s="22"/>
      <c r="AO863" s="17"/>
      <c r="AP863" s="17"/>
      <c r="AQ863" s="17"/>
      <c r="AR863" s="1"/>
      <c r="AS863" s="1"/>
      <c r="AT863" s="17"/>
      <c r="AU863" s="1"/>
      <c r="AV863" s="1"/>
      <c r="AW863" s="1"/>
      <c r="AX863" s="2"/>
      <c r="AY863" s="2"/>
      <c r="AZ863" s="1"/>
    </row>
    <row x14ac:dyDescent="0.25" r="864" customHeight="1" ht="18.75">
      <c r="A864" s="1"/>
      <c r="B864" s="1"/>
      <c r="C864" s="1"/>
      <c r="D864" s="1"/>
      <c r="E864" s="1"/>
      <c r="F864" s="1"/>
      <c r="G864" s="1"/>
      <c r="H864" s="1"/>
      <c r="I864" s="1"/>
      <c r="J864" s="1"/>
      <c r="K864" s="17"/>
      <c r="L864" s="1"/>
      <c r="M864" s="1"/>
      <c r="N864" s="2"/>
      <c r="O864" s="2"/>
      <c r="P864" s="1"/>
      <c r="Q864" s="1"/>
      <c r="R864" s="1"/>
      <c r="S864" s="1"/>
      <c r="T864" s="17"/>
      <c r="U864" s="17"/>
      <c r="V864" s="17"/>
      <c r="W864" s="17"/>
      <c r="X864" s="22"/>
      <c r="Y864" s="22"/>
      <c r="Z864" s="22"/>
      <c r="AA864" s="22"/>
      <c r="AB864" s="22"/>
      <c r="AC864" s="22"/>
      <c r="AD864" s="22"/>
      <c r="AE864" s="22"/>
      <c r="AF864" s="22"/>
      <c r="AG864" s="22"/>
      <c r="AH864" s="22"/>
      <c r="AI864" s="22"/>
      <c r="AJ864" s="17"/>
      <c r="AK864" s="22"/>
      <c r="AL864" s="22"/>
      <c r="AM864" s="22"/>
      <c r="AN864" s="22"/>
      <c r="AO864" s="17"/>
      <c r="AP864" s="17"/>
      <c r="AQ864" s="17"/>
      <c r="AR864" s="1"/>
      <c r="AS864" s="1"/>
      <c r="AT864" s="17"/>
      <c r="AU864" s="1"/>
      <c r="AV864" s="1"/>
      <c r="AW864" s="1"/>
      <c r="AX864" s="2"/>
      <c r="AY864" s="2"/>
      <c r="AZ864" s="1"/>
    </row>
    <row x14ac:dyDescent="0.25" r="865" customHeight="1" ht="18.75">
      <c r="A865" s="1"/>
      <c r="B865" s="1"/>
      <c r="C865" s="1"/>
      <c r="D865" s="1"/>
      <c r="E865" s="1"/>
      <c r="F865" s="1"/>
      <c r="G865" s="1"/>
      <c r="H865" s="1"/>
      <c r="I865" s="1"/>
      <c r="J865" s="1"/>
      <c r="K865" s="17"/>
      <c r="L865" s="1"/>
      <c r="M865" s="1"/>
      <c r="N865" s="2"/>
      <c r="O865" s="2"/>
      <c r="P865" s="1"/>
      <c r="Q865" s="1"/>
      <c r="R865" s="1"/>
      <c r="S865" s="1"/>
      <c r="T865" s="17"/>
      <c r="U865" s="17"/>
      <c r="V865" s="17"/>
      <c r="W865" s="17"/>
      <c r="X865" s="22"/>
      <c r="Y865" s="22"/>
      <c r="Z865" s="22"/>
      <c r="AA865" s="22"/>
      <c r="AB865" s="22"/>
      <c r="AC865" s="22"/>
      <c r="AD865" s="22"/>
      <c r="AE865" s="22"/>
      <c r="AF865" s="22"/>
      <c r="AG865" s="22"/>
      <c r="AH865" s="22"/>
      <c r="AI865" s="22"/>
      <c r="AJ865" s="17"/>
      <c r="AK865" s="22"/>
      <c r="AL865" s="22"/>
      <c r="AM865" s="22"/>
      <c r="AN865" s="22"/>
      <c r="AO865" s="17"/>
      <c r="AP865" s="17"/>
      <c r="AQ865" s="17"/>
      <c r="AR865" s="1"/>
      <c r="AS865" s="1"/>
      <c r="AT865" s="17"/>
      <c r="AU865" s="1"/>
      <c r="AV865" s="1"/>
      <c r="AW865" s="1"/>
      <c r="AX865" s="2"/>
      <c r="AY865" s="2"/>
      <c r="AZ865" s="1"/>
    </row>
    <row x14ac:dyDescent="0.25" r="866" customHeight="1" ht="18.75">
      <c r="A866" s="1"/>
      <c r="B866" s="1"/>
      <c r="C866" s="1"/>
      <c r="D866" s="1"/>
      <c r="E866" s="1"/>
      <c r="F866" s="1"/>
      <c r="G866" s="1"/>
      <c r="H866" s="1"/>
      <c r="I866" s="1"/>
      <c r="J866" s="1"/>
      <c r="K866" s="17"/>
      <c r="L866" s="1"/>
      <c r="M866" s="1"/>
      <c r="N866" s="2"/>
      <c r="O866" s="2"/>
      <c r="P866" s="1"/>
      <c r="Q866" s="1"/>
      <c r="R866" s="1"/>
      <c r="S866" s="1"/>
      <c r="T866" s="17"/>
      <c r="U866" s="17"/>
      <c r="V866" s="17"/>
      <c r="W866" s="17"/>
      <c r="X866" s="22"/>
      <c r="Y866" s="22"/>
      <c r="Z866" s="22"/>
      <c r="AA866" s="22"/>
      <c r="AB866" s="22"/>
      <c r="AC866" s="22"/>
      <c r="AD866" s="22"/>
      <c r="AE866" s="22"/>
      <c r="AF866" s="22"/>
      <c r="AG866" s="22"/>
      <c r="AH866" s="22"/>
      <c r="AI866" s="22"/>
      <c r="AJ866" s="17"/>
      <c r="AK866" s="22"/>
      <c r="AL866" s="22"/>
      <c r="AM866" s="22"/>
      <c r="AN866" s="22"/>
      <c r="AO866" s="17"/>
      <c r="AP866" s="17"/>
      <c r="AQ866" s="17"/>
      <c r="AR866" s="1"/>
      <c r="AS866" s="1"/>
      <c r="AT866" s="17"/>
      <c r="AU866" s="1"/>
      <c r="AV866" s="1"/>
      <c r="AW866" s="1"/>
      <c r="AX866" s="2"/>
      <c r="AY866" s="2"/>
      <c r="AZ866" s="1"/>
    </row>
    <row x14ac:dyDescent="0.25" r="867" customHeight="1" ht="18.75">
      <c r="A867" s="1"/>
      <c r="B867" s="1"/>
      <c r="C867" s="1"/>
      <c r="D867" s="1"/>
      <c r="E867" s="1"/>
      <c r="F867" s="1"/>
      <c r="G867" s="1"/>
      <c r="H867" s="1"/>
      <c r="I867" s="1"/>
      <c r="J867" s="1"/>
      <c r="K867" s="17"/>
      <c r="L867" s="1"/>
      <c r="M867" s="1"/>
      <c r="N867" s="2"/>
      <c r="O867" s="2"/>
      <c r="P867" s="1"/>
      <c r="Q867" s="1"/>
      <c r="R867" s="1"/>
      <c r="S867" s="1"/>
      <c r="T867" s="17"/>
      <c r="U867" s="17"/>
      <c r="V867" s="17"/>
      <c r="W867" s="17"/>
      <c r="X867" s="22"/>
      <c r="Y867" s="22"/>
      <c r="Z867" s="22"/>
      <c r="AA867" s="22"/>
      <c r="AB867" s="22"/>
      <c r="AC867" s="22"/>
      <c r="AD867" s="22"/>
      <c r="AE867" s="22"/>
      <c r="AF867" s="22"/>
      <c r="AG867" s="22"/>
      <c r="AH867" s="22"/>
      <c r="AI867" s="22"/>
      <c r="AJ867" s="17"/>
      <c r="AK867" s="22"/>
      <c r="AL867" s="22"/>
      <c r="AM867" s="22"/>
      <c r="AN867" s="22"/>
      <c r="AO867" s="17"/>
      <c r="AP867" s="17"/>
      <c r="AQ867" s="17"/>
      <c r="AR867" s="1"/>
      <c r="AS867" s="1"/>
      <c r="AT867" s="17"/>
      <c r="AU867" s="1"/>
      <c r="AV867" s="1"/>
      <c r="AW867" s="1"/>
      <c r="AX867" s="2"/>
      <c r="AY867" s="2"/>
      <c r="AZ867" s="1"/>
    </row>
    <row x14ac:dyDescent="0.25" r="868" customHeight="1" ht="18.75">
      <c r="A868" s="1"/>
      <c r="B868" s="1"/>
      <c r="C868" s="1"/>
      <c r="D868" s="1"/>
      <c r="E868" s="1"/>
      <c r="F868" s="1"/>
      <c r="G868" s="1"/>
      <c r="H868" s="1"/>
      <c r="I868" s="1"/>
      <c r="J868" s="1"/>
      <c r="K868" s="17"/>
      <c r="L868" s="1"/>
      <c r="M868" s="1"/>
      <c r="N868" s="2"/>
      <c r="O868" s="2"/>
      <c r="P868" s="1"/>
      <c r="Q868" s="1"/>
      <c r="R868" s="1"/>
      <c r="S868" s="1"/>
      <c r="T868" s="17"/>
      <c r="U868" s="17"/>
      <c r="V868" s="17"/>
      <c r="W868" s="17"/>
      <c r="X868" s="22"/>
      <c r="Y868" s="22"/>
      <c r="Z868" s="22"/>
      <c r="AA868" s="22"/>
      <c r="AB868" s="22"/>
      <c r="AC868" s="22"/>
      <c r="AD868" s="22"/>
      <c r="AE868" s="22"/>
      <c r="AF868" s="22"/>
      <c r="AG868" s="22"/>
      <c r="AH868" s="22"/>
      <c r="AI868" s="22"/>
      <c r="AJ868" s="17"/>
      <c r="AK868" s="22"/>
      <c r="AL868" s="22"/>
      <c r="AM868" s="22"/>
      <c r="AN868" s="22"/>
      <c r="AO868" s="17"/>
      <c r="AP868" s="17"/>
      <c r="AQ868" s="17"/>
      <c r="AR868" s="1"/>
      <c r="AS868" s="1"/>
      <c r="AT868" s="17"/>
      <c r="AU868" s="1"/>
      <c r="AV868" s="1"/>
      <c r="AW868" s="1"/>
      <c r="AX868" s="2"/>
      <c r="AY868" s="2"/>
      <c r="AZ868" s="1"/>
    </row>
    <row x14ac:dyDescent="0.25" r="869" customHeight="1" ht="18.75">
      <c r="A869" s="1"/>
      <c r="B869" s="1"/>
      <c r="C869" s="1"/>
      <c r="D869" s="1"/>
      <c r="E869" s="1"/>
      <c r="F869" s="1"/>
      <c r="G869" s="1"/>
      <c r="H869" s="1"/>
      <c r="I869" s="1"/>
      <c r="J869" s="1"/>
      <c r="K869" s="17"/>
      <c r="L869" s="1"/>
      <c r="M869" s="1"/>
      <c r="N869" s="2"/>
      <c r="O869" s="2"/>
      <c r="P869" s="1"/>
      <c r="Q869" s="1"/>
      <c r="R869" s="1"/>
      <c r="S869" s="1"/>
      <c r="T869" s="17"/>
      <c r="U869" s="17"/>
      <c r="V869" s="17"/>
      <c r="W869" s="17"/>
      <c r="X869" s="22"/>
      <c r="Y869" s="22"/>
      <c r="Z869" s="22"/>
      <c r="AA869" s="22"/>
      <c r="AB869" s="22"/>
      <c r="AC869" s="22"/>
      <c r="AD869" s="22"/>
      <c r="AE869" s="22"/>
      <c r="AF869" s="22"/>
      <c r="AG869" s="22"/>
      <c r="AH869" s="22"/>
      <c r="AI869" s="22"/>
      <c r="AJ869" s="17"/>
      <c r="AK869" s="22"/>
      <c r="AL869" s="22"/>
      <c r="AM869" s="22"/>
      <c r="AN869" s="22"/>
      <c r="AO869" s="17"/>
      <c r="AP869" s="17"/>
      <c r="AQ869" s="17"/>
      <c r="AR869" s="1"/>
      <c r="AS869" s="1"/>
      <c r="AT869" s="17"/>
      <c r="AU869" s="1"/>
      <c r="AV869" s="1"/>
      <c r="AW869" s="1"/>
      <c r="AX869" s="2"/>
      <c r="AY869" s="2"/>
      <c r="AZ869" s="1"/>
    </row>
    <row x14ac:dyDescent="0.25" r="870" customHeight="1" ht="18.75">
      <c r="A870" s="1"/>
      <c r="B870" s="1"/>
      <c r="C870" s="1"/>
      <c r="D870" s="1"/>
      <c r="E870" s="1"/>
      <c r="F870" s="1"/>
      <c r="G870" s="1"/>
      <c r="H870" s="1"/>
      <c r="I870" s="1"/>
      <c r="J870" s="1"/>
      <c r="K870" s="17"/>
      <c r="L870" s="1"/>
      <c r="M870" s="1"/>
      <c r="N870" s="2"/>
      <c r="O870" s="2"/>
      <c r="P870" s="1"/>
      <c r="Q870" s="1"/>
      <c r="R870" s="1"/>
      <c r="S870" s="1"/>
      <c r="T870" s="17"/>
      <c r="U870" s="17"/>
      <c r="V870" s="17"/>
      <c r="W870" s="17"/>
      <c r="X870" s="22"/>
      <c r="Y870" s="22"/>
      <c r="Z870" s="22"/>
      <c r="AA870" s="22"/>
      <c r="AB870" s="22"/>
      <c r="AC870" s="22"/>
      <c r="AD870" s="22"/>
      <c r="AE870" s="22"/>
      <c r="AF870" s="22"/>
      <c r="AG870" s="22"/>
      <c r="AH870" s="22"/>
      <c r="AI870" s="22"/>
      <c r="AJ870" s="17"/>
      <c r="AK870" s="22"/>
      <c r="AL870" s="22"/>
      <c r="AM870" s="22"/>
      <c r="AN870" s="22"/>
      <c r="AO870" s="17"/>
      <c r="AP870" s="17"/>
      <c r="AQ870" s="17"/>
      <c r="AR870" s="1"/>
      <c r="AS870" s="1"/>
      <c r="AT870" s="17"/>
      <c r="AU870" s="1"/>
      <c r="AV870" s="1"/>
      <c r="AW870" s="1"/>
      <c r="AX870" s="2"/>
      <c r="AY870" s="2"/>
      <c r="AZ870" s="1"/>
    </row>
    <row x14ac:dyDescent="0.25" r="871" customHeight="1" ht="18.75">
      <c r="A871" s="1"/>
      <c r="B871" s="1"/>
      <c r="C871" s="1"/>
      <c r="D871" s="1"/>
      <c r="E871" s="1"/>
      <c r="F871" s="1"/>
      <c r="G871" s="1"/>
      <c r="H871" s="1"/>
      <c r="I871" s="1"/>
      <c r="J871" s="1"/>
      <c r="K871" s="17"/>
      <c r="L871" s="1"/>
      <c r="M871" s="1"/>
      <c r="N871" s="2"/>
      <c r="O871" s="2"/>
      <c r="P871" s="1"/>
      <c r="Q871" s="1"/>
      <c r="R871" s="1"/>
      <c r="S871" s="1"/>
      <c r="T871" s="17"/>
      <c r="U871" s="17"/>
      <c r="V871" s="17"/>
      <c r="W871" s="17"/>
      <c r="X871" s="22"/>
      <c r="Y871" s="22"/>
      <c r="Z871" s="22"/>
      <c r="AA871" s="22"/>
      <c r="AB871" s="22"/>
      <c r="AC871" s="22"/>
      <c r="AD871" s="22"/>
      <c r="AE871" s="22"/>
      <c r="AF871" s="22"/>
      <c r="AG871" s="22"/>
      <c r="AH871" s="22"/>
      <c r="AI871" s="22"/>
      <c r="AJ871" s="17"/>
      <c r="AK871" s="22"/>
      <c r="AL871" s="22"/>
      <c r="AM871" s="22"/>
      <c r="AN871" s="22"/>
      <c r="AO871" s="17"/>
      <c r="AP871" s="17"/>
      <c r="AQ871" s="17"/>
      <c r="AR871" s="1"/>
      <c r="AS871" s="1"/>
      <c r="AT871" s="17"/>
      <c r="AU871" s="1"/>
      <c r="AV871" s="1"/>
      <c r="AW871" s="1"/>
      <c r="AX871" s="2"/>
      <c r="AY871" s="2"/>
      <c r="AZ871" s="1"/>
    </row>
    <row x14ac:dyDescent="0.25" r="872" customHeight="1" ht="18.75">
      <c r="A872" s="1"/>
      <c r="B872" s="1"/>
      <c r="C872" s="1"/>
      <c r="D872" s="1"/>
      <c r="E872" s="1"/>
      <c r="F872" s="1"/>
      <c r="G872" s="1"/>
      <c r="H872" s="1"/>
      <c r="I872" s="1"/>
      <c r="J872" s="1"/>
      <c r="K872" s="17"/>
      <c r="L872" s="1"/>
      <c r="M872" s="1"/>
      <c r="N872" s="2"/>
      <c r="O872" s="2"/>
      <c r="P872" s="1"/>
      <c r="Q872" s="1"/>
      <c r="R872" s="1"/>
      <c r="S872" s="1"/>
      <c r="T872" s="17"/>
      <c r="U872" s="17"/>
      <c r="V872" s="17"/>
      <c r="W872" s="17"/>
      <c r="X872" s="22"/>
      <c r="Y872" s="22"/>
      <c r="Z872" s="22"/>
      <c r="AA872" s="22"/>
      <c r="AB872" s="22"/>
      <c r="AC872" s="22"/>
      <c r="AD872" s="22"/>
      <c r="AE872" s="22"/>
      <c r="AF872" s="22"/>
      <c r="AG872" s="22"/>
      <c r="AH872" s="22"/>
      <c r="AI872" s="22"/>
      <c r="AJ872" s="17"/>
      <c r="AK872" s="22"/>
      <c r="AL872" s="22"/>
      <c r="AM872" s="22"/>
      <c r="AN872" s="22"/>
      <c r="AO872" s="17"/>
      <c r="AP872" s="17"/>
      <c r="AQ872" s="17"/>
      <c r="AR872" s="1"/>
      <c r="AS872" s="1"/>
      <c r="AT872" s="17"/>
      <c r="AU872" s="1"/>
      <c r="AV872" s="1"/>
      <c r="AW872" s="1"/>
      <c r="AX872" s="2"/>
      <c r="AY872" s="2"/>
      <c r="AZ872" s="1"/>
    </row>
    <row x14ac:dyDescent="0.25" r="873" customHeight="1" ht="18.75">
      <c r="A873" s="1"/>
      <c r="B873" s="1"/>
      <c r="C873" s="1"/>
      <c r="D873" s="1"/>
      <c r="E873" s="1"/>
      <c r="F873" s="1"/>
      <c r="G873" s="1"/>
      <c r="H873" s="1"/>
      <c r="I873" s="1"/>
      <c r="J873" s="1"/>
      <c r="K873" s="17"/>
      <c r="L873" s="1"/>
      <c r="M873" s="1"/>
      <c r="N873" s="2"/>
      <c r="O873" s="2"/>
      <c r="P873" s="1"/>
      <c r="Q873" s="1"/>
      <c r="R873" s="1"/>
      <c r="S873" s="1"/>
      <c r="T873" s="17"/>
      <c r="U873" s="17"/>
      <c r="V873" s="17"/>
      <c r="W873" s="17"/>
      <c r="X873" s="22"/>
      <c r="Y873" s="22"/>
      <c r="Z873" s="22"/>
      <c r="AA873" s="22"/>
      <c r="AB873" s="22"/>
      <c r="AC873" s="22"/>
      <c r="AD873" s="22"/>
      <c r="AE873" s="22"/>
      <c r="AF873" s="22"/>
      <c r="AG873" s="22"/>
      <c r="AH873" s="22"/>
      <c r="AI873" s="22"/>
      <c r="AJ873" s="17"/>
      <c r="AK873" s="22"/>
      <c r="AL873" s="22"/>
      <c r="AM873" s="22"/>
      <c r="AN873" s="22"/>
      <c r="AO873" s="17"/>
      <c r="AP873" s="17"/>
      <c r="AQ873" s="17"/>
      <c r="AR873" s="1"/>
      <c r="AS873" s="1"/>
      <c r="AT873" s="17"/>
      <c r="AU873" s="1"/>
      <c r="AV873" s="1"/>
      <c r="AW873" s="1"/>
      <c r="AX873" s="2"/>
      <c r="AY873" s="2"/>
      <c r="AZ873" s="1"/>
    </row>
    <row x14ac:dyDescent="0.25" r="874" customHeight="1" ht="18.75">
      <c r="A874" s="1"/>
      <c r="B874" s="1"/>
      <c r="C874" s="1"/>
      <c r="D874" s="1"/>
      <c r="E874" s="1"/>
      <c r="F874" s="1"/>
      <c r="G874" s="1"/>
      <c r="H874" s="1"/>
      <c r="I874" s="1"/>
      <c r="J874" s="1"/>
      <c r="K874" s="17"/>
      <c r="L874" s="1"/>
      <c r="M874" s="1"/>
      <c r="N874" s="2"/>
      <c r="O874" s="2"/>
      <c r="P874" s="1"/>
      <c r="Q874" s="1"/>
      <c r="R874" s="1"/>
      <c r="S874" s="1"/>
      <c r="T874" s="17"/>
      <c r="U874" s="17"/>
      <c r="V874" s="17"/>
      <c r="W874" s="17"/>
      <c r="X874" s="22"/>
      <c r="Y874" s="22"/>
      <c r="Z874" s="22"/>
      <c r="AA874" s="22"/>
      <c r="AB874" s="22"/>
      <c r="AC874" s="22"/>
      <c r="AD874" s="22"/>
      <c r="AE874" s="22"/>
      <c r="AF874" s="22"/>
      <c r="AG874" s="22"/>
      <c r="AH874" s="22"/>
      <c r="AI874" s="22"/>
      <c r="AJ874" s="17"/>
      <c r="AK874" s="22"/>
      <c r="AL874" s="22"/>
      <c r="AM874" s="22"/>
      <c r="AN874" s="22"/>
      <c r="AO874" s="17"/>
      <c r="AP874" s="17"/>
      <c r="AQ874" s="17"/>
      <c r="AR874" s="1"/>
      <c r="AS874" s="1"/>
      <c r="AT874" s="17"/>
      <c r="AU874" s="1"/>
      <c r="AV874" s="1"/>
      <c r="AW874" s="1"/>
      <c r="AX874" s="2"/>
      <c r="AY874" s="2"/>
      <c r="AZ874" s="1"/>
    </row>
    <row x14ac:dyDescent="0.25" r="875" customHeight="1" ht="18.75">
      <c r="A875" s="1"/>
      <c r="B875" s="1"/>
      <c r="C875" s="1"/>
      <c r="D875" s="1"/>
      <c r="E875" s="1"/>
      <c r="F875" s="1"/>
      <c r="G875" s="1"/>
      <c r="H875" s="1"/>
      <c r="I875" s="1"/>
      <c r="J875" s="1"/>
      <c r="K875" s="17"/>
      <c r="L875" s="1"/>
      <c r="M875" s="1"/>
      <c r="N875" s="2"/>
      <c r="O875" s="2"/>
      <c r="P875" s="1"/>
      <c r="Q875" s="1"/>
      <c r="R875" s="1"/>
      <c r="S875" s="1"/>
      <c r="T875" s="17"/>
      <c r="U875" s="17"/>
      <c r="V875" s="17"/>
      <c r="W875" s="17"/>
      <c r="X875" s="22"/>
      <c r="Y875" s="22"/>
      <c r="Z875" s="22"/>
      <c r="AA875" s="22"/>
      <c r="AB875" s="22"/>
      <c r="AC875" s="22"/>
      <c r="AD875" s="22"/>
      <c r="AE875" s="22"/>
      <c r="AF875" s="22"/>
      <c r="AG875" s="22"/>
      <c r="AH875" s="22"/>
      <c r="AI875" s="22"/>
      <c r="AJ875" s="17"/>
      <c r="AK875" s="22"/>
      <c r="AL875" s="22"/>
      <c r="AM875" s="22"/>
      <c r="AN875" s="22"/>
      <c r="AO875" s="17"/>
      <c r="AP875" s="17"/>
      <c r="AQ875" s="17"/>
      <c r="AR875" s="1"/>
      <c r="AS875" s="1"/>
      <c r="AT875" s="17"/>
      <c r="AU875" s="1"/>
      <c r="AV875" s="1"/>
      <c r="AW875" s="1"/>
      <c r="AX875" s="2"/>
      <c r="AY875" s="2"/>
      <c r="AZ875" s="1"/>
    </row>
    <row x14ac:dyDescent="0.25" r="876" customHeight="1" ht="18.75">
      <c r="A876" s="1"/>
      <c r="B876" s="1"/>
      <c r="C876" s="1"/>
      <c r="D876" s="1"/>
      <c r="E876" s="1"/>
      <c r="F876" s="1"/>
      <c r="G876" s="1"/>
      <c r="H876" s="1"/>
      <c r="I876" s="1"/>
      <c r="J876" s="1"/>
      <c r="K876" s="17"/>
      <c r="L876" s="1"/>
      <c r="M876" s="1"/>
      <c r="N876" s="2"/>
      <c r="O876" s="2"/>
      <c r="P876" s="1"/>
      <c r="Q876" s="1"/>
      <c r="R876" s="1"/>
      <c r="S876" s="1"/>
      <c r="T876" s="17"/>
      <c r="U876" s="17"/>
      <c r="V876" s="17"/>
      <c r="W876" s="17"/>
      <c r="X876" s="22"/>
      <c r="Y876" s="22"/>
      <c r="Z876" s="22"/>
      <c r="AA876" s="22"/>
      <c r="AB876" s="22"/>
      <c r="AC876" s="22"/>
      <c r="AD876" s="22"/>
      <c r="AE876" s="22"/>
      <c r="AF876" s="22"/>
      <c r="AG876" s="22"/>
      <c r="AH876" s="22"/>
      <c r="AI876" s="22"/>
      <c r="AJ876" s="17"/>
      <c r="AK876" s="22"/>
      <c r="AL876" s="22"/>
      <c r="AM876" s="22"/>
      <c r="AN876" s="22"/>
      <c r="AO876" s="17"/>
      <c r="AP876" s="17"/>
      <c r="AQ876" s="17"/>
      <c r="AR876" s="1"/>
      <c r="AS876" s="1"/>
      <c r="AT876" s="17"/>
      <c r="AU876" s="1"/>
      <c r="AV876" s="1"/>
      <c r="AW876" s="1"/>
      <c r="AX876" s="2"/>
      <c r="AY876" s="2"/>
      <c r="AZ876" s="1"/>
    </row>
    <row x14ac:dyDescent="0.25" r="877" customHeight="1" ht="18.75">
      <c r="A877" s="1"/>
      <c r="B877" s="1"/>
      <c r="C877" s="1"/>
      <c r="D877" s="1"/>
      <c r="E877" s="1"/>
      <c r="F877" s="1"/>
      <c r="G877" s="1"/>
      <c r="H877" s="1"/>
      <c r="I877" s="1"/>
      <c r="J877" s="1"/>
      <c r="K877" s="17"/>
      <c r="L877" s="1"/>
      <c r="M877" s="1"/>
      <c r="N877" s="2"/>
      <c r="O877" s="2"/>
      <c r="P877" s="1"/>
      <c r="Q877" s="1"/>
      <c r="R877" s="1"/>
      <c r="S877" s="1"/>
      <c r="T877" s="17"/>
      <c r="U877" s="17"/>
      <c r="V877" s="17"/>
      <c r="W877" s="17"/>
      <c r="X877" s="22"/>
      <c r="Y877" s="22"/>
      <c r="Z877" s="22"/>
      <c r="AA877" s="22"/>
      <c r="AB877" s="22"/>
      <c r="AC877" s="22"/>
      <c r="AD877" s="22"/>
      <c r="AE877" s="22"/>
      <c r="AF877" s="22"/>
      <c r="AG877" s="22"/>
      <c r="AH877" s="22"/>
      <c r="AI877" s="22"/>
      <c r="AJ877" s="17"/>
      <c r="AK877" s="22"/>
      <c r="AL877" s="22"/>
      <c r="AM877" s="22"/>
      <c r="AN877" s="22"/>
      <c r="AO877" s="17"/>
      <c r="AP877" s="17"/>
      <c r="AQ877" s="17"/>
      <c r="AR877" s="1"/>
      <c r="AS877" s="1"/>
      <c r="AT877" s="17"/>
      <c r="AU877" s="1"/>
      <c r="AV877" s="1"/>
      <c r="AW877" s="1"/>
      <c r="AX877" s="2"/>
      <c r="AY877" s="2"/>
      <c r="AZ877" s="1"/>
    </row>
    <row x14ac:dyDescent="0.25" r="878" customHeight="1" ht="18.75">
      <c r="A878" s="1"/>
      <c r="B878" s="1"/>
      <c r="C878" s="1"/>
      <c r="D878" s="1"/>
      <c r="E878" s="1"/>
      <c r="F878" s="1"/>
      <c r="G878" s="1"/>
      <c r="H878" s="1"/>
      <c r="I878" s="1"/>
      <c r="J878" s="1"/>
      <c r="K878" s="17"/>
      <c r="L878" s="1"/>
      <c r="M878" s="1"/>
      <c r="N878" s="2"/>
      <c r="O878" s="2"/>
      <c r="P878" s="1"/>
      <c r="Q878" s="1"/>
      <c r="R878" s="1"/>
      <c r="S878" s="1"/>
      <c r="T878" s="17"/>
      <c r="U878" s="17"/>
      <c r="V878" s="17"/>
      <c r="W878" s="17"/>
      <c r="X878" s="22"/>
      <c r="Y878" s="22"/>
      <c r="Z878" s="22"/>
      <c r="AA878" s="22"/>
      <c r="AB878" s="22"/>
      <c r="AC878" s="22"/>
      <c r="AD878" s="22"/>
      <c r="AE878" s="22"/>
      <c r="AF878" s="22"/>
      <c r="AG878" s="22"/>
      <c r="AH878" s="22"/>
      <c r="AI878" s="22"/>
      <c r="AJ878" s="17"/>
      <c r="AK878" s="22"/>
      <c r="AL878" s="22"/>
      <c r="AM878" s="22"/>
      <c r="AN878" s="22"/>
      <c r="AO878" s="17"/>
      <c r="AP878" s="17"/>
      <c r="AQ878" s="17"/>
      <c r="AR878" s="1"/>
      <c r="AS878" s="1"/>
      <c r="AT878" s="17"/>
      <c r="AU878" s="1"/>
      <c r="AV878" s="1"/>
      <c r="AW878" s="1"/>
      <c r="AX878" s="2"/>
      <c r="AY878" s="2"/>
      <c r="AZ878" s="1"/>
    </row>
    <row x14ac:dyDescent="0.25" r="879" customHeight="1" ht="18.75">
      <c r="A879" s="1"/>
      <c r="B879" s="1"/>
      <c r="C879" s="1"/>
      <c r="D879" s="1"/>
      <c r="E879" s="1"/>
      <c r="F879" s="1"/>
      <c r="G879" s="1"/>
      <c r="H879" s="1"/>
      <c r="I879" s="1"/>
      <c r="J879" s="1"/>
      <c r="K879" s="17"/>
      <c r="L879" s="1"/>
      <c r="M879" s="1"/>
      <c r="N879" s="2"/>
      <c r="O879" s="2"/>
      <c r="P879" s="1"/>
      <c r="Q879" s="1"/>
      <c r="R879" s="1"/>
      <c r="S879" s="1"/>
      <c r="T879" s="17"/>
      <c r="U879" s="17"/>
      <c r="V879" s="17"/>
      <c r="W879" s="17"/>
      <c r="X879" s="22"/>
      <c r="Y879" s="22"/>
      <c r="Z879" s="22"/>
      <c r="AA879" s="22"/>
      <c r="AB879" s="22"/>
      <c r="AC879" s="22"/>
      <c r="AD879" s="22"/>
      <c r="AE879" s="22"/>
      <c r="AF879" s="22"/>
      <c r="AG879" s="22"/>
      <c r="AH879" s="22"/>
      <c r="AI879" s="22"/>
      <c r="AJ879" s="17"/>
      <c r="AK879" s="22"/>
      <c r="AL879" s="22"/>
      <c r="AM879" s="22"/>
      <c r="AN879" s="22"/>
      <c r="AO879" s="17"/>
      <c r="AP879" s="17"/>
      <c r="AQ879" s="17"/>
      <c r="AR879" s="1"/>
      <c r="AS879" s="1"/>
      <c r="AT879" s="17"/>
      <c r="AU879" s="1"/>
      <c r="AV879" s="1"/>
      <c r="AW879" s="1"/>
      <c r="AX879" s="2"/>
      <c r="AY879" s="2"/>
      <c r="AZ879" s="1"/>
    </row>
    <row x14ac:dyDescent="0.25" r="880" customHeight="1" ht="18.75">
      <c r="A880" s="1"/>
      <c r="B880" s="1"/>
      <c r="C880" s="1"/>
      <c r="D880" s="1"/>
      <c r="E880" s="1"/>
      <c r="F880" s="1"/>
      <c r="G880" s="1"/>
      <c r="H880" s="1"/>
      <c r="I880" s="1"/>
      <c r="J880" s="1"/>
      <c r="K880" s="17"/>
      <c r="L880" s="1"/>
      <c r="M880" s="1"/>
      <c r="N880" s="2"/>
      <c r="O880" s="2"/>
      <c r="P880" s="1"/>
      <c r="Q880" s="1"/>
      <c r="R880" s="1"/>
      <c r="S880" s="1"/>
      <c r="T880" s="17"/>
      <c r="U880" s="17"/>
      <c r="V880" s="17"/>
      <c r="W880" s="17"/>
      <c r="X880" s="22"/>
      <c r="Y880" s="22"/>
      <c r="Z880" s="22"/>
      <c r="AA880" s="22"/>
      <c r="AB880" s="22"/>
      <c r="AC880" s="22"/>
      <c r="AD880" s="22"/>
      <c r="AE880" s="22"/>
      <c r="AF880" s="22"/>
      <c r="AG880" s="22"/>
      <c r="AH880" s="22"/>
      <c r="AI880" s="22"/>
      <c r="AJ880" s="17"/>
      <c r="AK880" s="22"/>
      <c r="AL880" s="22"/>
      <c r="AM880" s="22"/>
      <c r="AN880" s="22"/>
      <c r="AO880" s="17"/>
      <c r="AP880" s="17"/>
      <c r="AQ880" s="17"/>
      <c r="AR880" s="1"/>
      <c r="AS880" s="1"/>
      <c r="AT880" s="17"/>
      <c r="AU880" s="1"/>
      <c r="AV880" s="1"/>
      <c r="AW880" s="1"/>
      <c r="AX880" s="2"/>
      <c r="AY880" s="2"/>
      <c r="AZ880" s="1"/>
    </row>
    <row x14ac:dyDescent="0.25" r="881" customHeight="1" ht="18.75">
      <c r="A881" s="1"/>
      <c r="B881" s="1"/>
      <c r="C881" s="1"/>
      <c r="D881" s="1"/>
      <c r="E881" s="1"/>
      <c r="F881" s="1"/>
      <c r="G881" s="1"/>
      <c r="H881" s="1"/>
      <c r="I881" s="1"/>
      <c r="J881" s="1"/>
      <c r="K881" s="17"/>
      <c r="L881" s="1"/>
      <c r="M881" s="1"/>
      <c r="N881" s="2"/>
      <c r="O881" s="2"/>
      <c r="P881" s="1"/>
      <c r="Q881" s="1"/>
      <c r="R881" s="1"/>
      <c r="S881" s="1"/>
      <c r="T881" s="17"/>
      <c r="U881" s="17"/>
      <c r="V881" s="17"/>
      <c r="W881" s="17"/>
      <c r="X881" s="22"/>
      <c r="Y881" s="22"/>
      <c r="Z881" s="22"/>
      <c r="AA881" s="22"/>
      <c r="AB881" s="22"/>
      <c r="AC881" s="22"/>
      <c r="AD881" s="22"/>
      <c r="AE881" s="22"/>
      <c r="AF881" s="22"/>
      <c r="AG881" s="22"/>
      <c r="AH881" s="22"/>
      <c r="AI881" s="22"/>
      <c r="AJ881" s="17"/>
      <c r="AK881" s="22"/>
      <c r="AL881" s="22"/>
      <c r="AM881" s="22"/>
      <c r="AN881" s="22"/>
      <c r="AO881" s="17"/>
      <c r="AP881" s="17"/>
      <c r="AQ881" s="17"/>
      <c r="AR881" s="1"/>
      <c r="AS881" s="1"/>
      <c r="AT881" s="17"/>
      <c r="AU881" s="1"/>
      <c r="AV881" s="1"/>
      <c r="AW881" s="1"/>
      <c r="AX881" s="2"/>
      <c r="AY881" s="2"/>
      <c r="AZ881" s="1"/>
    </row>
    <row x14ac:dyDescent="0.25" r="882" customHeight="1" ht="18.75">
      <c r="A882" s="1"/>
      <c r="B882" s="1"/>
      <c r="C882" s="1"/>
      <c r="D882" s="1"/>
      <c r="E882" s="1"/>
      <c r="F882" s="1"/>
      <c r="G882" s="1"/>
      <c r="H882" s="1"/>
      <c r="I882" s="1"/>
      <c r="J882" s="1"/>
      <c r="K882" s="17"/>
      <c r="L882" s="1"/>
      <c r="M882" s="1"/>
      <c r="N882" s="2"/>
      <c r="O882" s="2"/>
      <c r="P882" s="1"/>
      <c r="Q882" s="1"/>
      <c r="R882" s="1"/>
      <c r="S882" s="1"/>
      <c r="T882" s="17"/>
      <c r="U882" s="17"/>
      <c r="V882" s="17"/>
      <c r="W882" s="17"/>
      <c r="X882" s="22"/>
      <c r="Y882" s="22"/>
      <c r="Z882" s="22"/>
      <c r="AA882" s="22"/>
      <c r="AB882" s="22"/>
      <c r="AC882" s="22"/>
      <c r="AD882" s="22"/>
      <c r="AE882" s="22"/>
      <c r="AF882" s="22"/>
      <c r="AG882" s="22"/>
      <c r="AH882" s="22"/>
      <c r="AI882" s="22"/>
      <c r="AJ882" s="17"/>
      <c r="AK882" s="22"/>
      <c r="AL882" s="22"/>
      <c r="AM882" s="22"/>
      <c r="AN882" s="22"/>
      <c r="AO882" s="17"/>
      <c r="AP882" s="17"/>
      <c r="AQ882" s="17"/>
      <c r="AR882" s="1"/>
      <c r="AS882" s="1"/>
      <c r="AT882" s="17"/>
      <c r="AU882" s="1"/>
      <c r="AV882" s="1"/>
      <c r="AW882" s="1"/>
      <c r="AX882" s="2"/>
      <c r="AY882" s="2"/>
      <c r="AZ882" s="1"/>
    </row>
    <row x14ac:dyDescent="0.25" r="883" customHeight="1" ht="18.75">
      <c r="A883" s="1"/>
      <c r="B883" s="1"/>
      <c r="C883" s="1"/>
      <c r="D883" s="1"/>
      <c r="E883" s="1"/>
      <c r="F883" s="1"/>
      <c r="G883" s="1"/>
      <c r="H883" s="1"/>
      <c r="I883" s="1"/>
      <c r="J883" s="1"/>
      <c r="K883" s="17"/>
      <c r="L883" s="1"/>
      <c r="M883" s="1"/>
      <c r="N883" s="2"/>
      <c r="O883" s="2"/>
      <c r="P883" s="1"/>
      <c r="Q883" s="1"/>
      <c r="R883" s="1"/>
      <c r="S883" s="1"/>
      <c r="T883" s="17"/>
      <c r="U883" s="17"/>
      <c r="V883" s="17"/>
      <c r="W883" s="17"/>
      <c r="X883" s="22"/>
      <c r="Y883" s="22"/>
      <c r="Z883" s="22"/>
      <c r="AA883" s="22"/>
      <c r="AB883" s="22"/>
      <c r="AC883" s="22"/>
      <c r="AD883" s="22"/>
      <c r="AE883" s="22"/>
      <c r="AF883" s="22"/>
      <c r="AG883" s="22"/>
      <c r="AH883" s="22"/>
      <c r="AI883" s="22"/>
      <c r="AJ883" s="17"/>
      <c r="AK883" s="22"/>
      <c r="AL883" s="22"/>
      <c r="AM883" s="22"/>
      <c r="AN883" s="22"/>
      <c r="AO883" s="17"/>
      <c r="AP883" s="17"/>
      <c r="AQ883" s="17"/>
      <c r="AR883" s="1"/>
      <c r="AS883" s="1"/>
      <c r="AT883" s="17"/>
      <c r="AU883" s="1"/>
      <c r="AV883" s="1"/>
      <c r="AW883" s="1"/>
      <c r="AX883" s="2"/>
      <c r="AY883" s="2"/>
      <c r="AZ883" s="1"/>
    </row>
    <row x14ac:dyDescent="0.25" r="884" customHeight="1" ht="18.75">
      <c r="A884" s="1"/>
      <c r="B884" s="1"/>
      <c r="C884" s="1"/>
      <c r="D884" s="1"/>
      <c r="E884" s="1"/>
      <c r="F884" s="1"/>
      <c r="G884" s="1"/>
      <c r="H884" s="1"/>
      <c r="I884" s="1"/>
      <c r="J884" s="1"/>
      <c r="K884" s="17"/>
      <c r="L884" s="1"/>
      <c r="M884" s="1"/>
      <c r="N884" s="2"/>
      <c r="O884" s="2"/>
      <c r="P884" s="1"/>
      <c r="Q884" s="1"/>
      <c r="R884" s="1"/>
      <c r="S884" s="1"/>
      <c r="T884" s="17"/>
      <c r="U884" s="17"/>
      <c r="V884" s="17"/>
      <c r="W884" s="17"/>
      <c r="X884" s="22"/>
      <c r="Y884" s="22"/>
      <c r="Z884" s="22"/>
      <c r="AA884" s="22"/>
      <c r="AB884" s="22"/>
      <c r="AC884" s="22"/>
      <c r="AD884" s="22"/>
      <c r="AE884" s="22"/>
      <c r="AF884" s="22"/>
      <c r="AG884" s="22"/>
      <c r="AH884" s="22"/>
      <c r="AI884" s="22"/>
      <c r="AJ884" s="17"/>
      <c r="AK884" s="22"/>
      <c r="AL884" s="22"/>
      <c r="AM884" s="22"/>
      <c r="AN884" s="22"/>
      <c r="AO884" s="17"/>
      <c r="AP884" s="17"/>
      <c r="AQ884" s="17"/>
      <c r="AR884" s="1"/>
      <c r="AS884" s="1"/>
      <c r="AT884" s="17"/>
      <c r="AU884" s="1"/>
      <c r="AV884" s="1"/>
      <c r="AW884" s="1"/>
      <c r="AX884" s="2"/>
      <c r="AY884" s="2"/>
      <c r="AZ884" s="1"/>
    </row>
    <row x14ac:dyDescent="0.25" r="885" customHeight="1" ht="18.75">
      <c r="A885" s="1"/>
      <c r="B885" s="1"/>
      <c r="C885" s="1"/>
      <c r="D885" s="1"/>
      <c r="E885" s="1"/>
      <c r="F885" s="1"/>
      <c r="G885" s="1"/>
      <c r="H885" s="1"/>
      <c r="I885" s="1"/>
      <c r="J885" s="1"/>
      <c r="K885" s="17"/>
      <c r="L885" s="1"/>
      <c r="M885" s="1"/>
      <c r="N885" s="2"/>
      <c r="O885" s="2"/>
      <c r="P885" s="1"/>
      <c r="Q885" s="1"/>
      <c r="R885" s="1"/>
      <c r="S885" s="1"/>
      <c r="T885" s="17"/>
      <c r="U885" s="17"/>
      <c r="V885" s="17"/>
      <c r="W885" s="17"/>
      <c r="X885" s="22"/>
      <c r="Y885" s="22"/>
      <c r="Z885" s="22"/>
      <c r="AA885" s="22"/>
      <c r="AB885" s="22"/>
      <c r="AC885" s="22"/>
      <c r="AD885" s="22"/>
      <c r="AE885" s="22"/>
      <c r="AF885" s="22"/>
      <c r="AG885" s="22"/>
      <c r="AH885" s="22"/>
      <c r="AI885" s="22"/>
      <c r="AJ885" s="17"/>
      <c r="AK885" s="22"/>
      <c r="AL885" s="22"/>
      <c r="AM885" s="22"/>
      <c r="AN885" s="22"/>
      <c r="AO885" s="17"/>
      <c r="AP885" s="17"/>
      <c r="AQ885" s="17"/>
      <c r="AR885" s="1"/>
      <c r="AS885" s="1"/>
      <c r="AT885" s="17"/>
      <c r="AU885" s="1"/>
      <c r="AV885" s="1"/>
      <c r="AW885" s="1"/>
      <c r="AX885" s="2"/>
      <c r="AY885" s="2"/>
      <c r="AZ885" s="1"/>
    </row>
    <row x14ac:dyDescent="0.25" r="886" customHeight="1" ht="18.75">
      <c r="A886" s="1"/>
      <c r="B886" s="1"/>
      <c r="C886" s="1"/>
      <c r="D886" s="1"/>
      <c r="E886" s="1"/>
      <c r="F886" s="1"/>
      <c r="G886" s="1"/>
      <c r="H886" s="1"/>
      <c r="I886" s="1"/>
      <c r="J886" s="1"/>
      <c r="K886" s="17"/>
      <c r="L886" s="1"/>
      <c r="M886" s="1"/>
      <c r="N886" s="2"/>
      <c r="O886" s="2"/>
      <c r="P886" s="1"/>
      <c r="Q886" s="1"/>
      <c r="R886" s="1"/>
      <c r="S886" s="1"/>
      <c r="T886" s="17"/>
      <c r="U886" s="17"/>
      <c r="V886" s="17"/>
      <c r="W886" s="17"/>
      <c r="X886" s="22"/>
      <c r="Y886" s="22"/>
      <c r="Z886" s="22"/>
      <c r="AA886" s="22"/>
      <c r="AB886" s="22"/>
      <c r="AC886" s="22"/>
      <c r="AD886" s="22"/>
      <c r="AE886" s="22"/>
      <c r="AF886" s="22"/>
      <c r="AG886" s="22"/>
      <c r="AH886" s="22"/>
      <c r="AI886" s="22"/>
      <c r="AJ886" s="17"/>
      <c r="AK886" s="22"/>
      <c r="AL886" s="22"/>
      <c r="AM886" s="22"/>
      <c r="AN886" s="22"/>
      <c r="AO886" s="17"/>
      <c r="AP886" s="17"/>
      <c r="AQ886" s="17"/>
      <c r="AR886" s="1"/>
      <c r="AS886" s="1"/>
      <c r="AT886" s="17"/>
      <c r="AU886" s="1"/>
      <c r="AV886" s="1"/>
      <c r="AW886" s="1"/>
      <c r="AX886" s="2"/>
      <c r="AY886" s="2"/>
      <c r="AZ886" s="1"/>
    </row>
    <row x14ac:dyDescent="0.25" r="887" customHeight="1" ht="18.75">
      <c r="A887" s="1"/>
      <c r="B887" s="1"/>
      <c r="C887" s="1"/>
      <c r="D887" s="1"/>
      <c r="E887" s="1"/>
      <c r="F887" s="1"/>
      <c r="G887" s="1"/>
      <c r="H887" s="1"/>
      <c r="I887" s="1"/>
      <c r="J887" s="1"/>
      <c r="K887" s="17"/>
      <c r="L887" s="1"/>
      <c r="M887" s="1"/>
      <c r="N887" s="2"/>
      <c r="O887" s="2"/>
      <c r="P887" s="1"/>
      <c r="Q887" s="1"/>
      <c r="R887" s="1"/>
      <c r="S887" s="1"/>
      <c r="T887" s="17"/>
      <c r="U887" s="17"/>
      <c r="V887" s="17"/>
      <c r="W887" s="17"/>
      <c r="X887" s="22"/>
      <c r="Y887" s="22"/>
      <c r="Z887" s="22"/>
      <c r="AA887" s="22"/>
      <c r="AB887" s="22"/>
      <c r="AC887" s="22"/>
      <c r="AD887" s="22"/>
      <c r="AE887" s="22"/>
      <c r="AF887" s="22"/>
      <c r="AG887" s="22"/>
      <c r="AH887" s="22"/>
      <c r="AI887" s="22"/>
      <c r="AJ887" s="17"/>
      <c r="AK887" s="22"/>
      <c r="AL887" s="22"/>
      <c r="AM887" s="22"/>
      <c r="AN887" s="22"/>
      <c r="AO887" s="17"/>
      <c r="AP887" s="17"/>
      <c r="AQ887" s="17"/>
      <c r="AR887" s="1"/>
      <c r="AS887" s="1"/>
      <c r="AT887" s="17"/>
      <c r="AU887" s="1"/>
      <c r="AV887" s="1"/>
      <c r="AW887" s="1"/>
      <c r="AX887" s="2"/>
      <c r="AY887" s="2"/>
      <c r="AZ887" s="1"/>
    </row>
    <row x14ac:dyDescent="0.25" r="888" customHeight="1" ht="18.75">
      <c r="A888" s="1"/>
      <c r="B888" s="1"/>
      <c r="C888" s="1"/>
      <c r="D888" s="1"/>
      <c r="E888" s="1"/>
      <c r="F888" s="1"/>
      <c r="G888" s="1"/>
      <c r="H888" s="1"/>
      <c r="I888" s="1"/>
      <c r="J888" s="1"/>
      <c r="K888" s="17"/>
      <c r="L888" s="1"/>
      <c r="M888" s="1"/>
      <c r="N888" s="2"/>
      <c r="O888" s="2"/>
      <c r="P888" s="1"/>
      <c r="Q888" s="1"/>
      <c r="R888" s="1"/>
      <c r="S888" s="1"/>
      <c r="T888" s="17"/>
      <c r="U888" s="17"/>
      <c r="V888" s="17"/>
      <c r="W888" s="17"/>
      <c r="X888" s="22"/>
      <c r="Y888" s="22"/>
      <c r="Z888" s="22"/>
      <c r="AA888" s="22"/>
      <c r="AB888" s="22"/>
      <c r="AC888" s="22"/>
      <c r="AD888" s="22"/>
      <c r="AE888" s="22"/>
      <c r="AF888" s="22"/>
      <c r="AG888" s="22"/>
      <c r="AH888" s="22"/>
      <c r="AI888" s="22"/>
      <c r="AJ888" s="17"/>
      <c r="AK888" s="22"/>
      <c r="AL888" s="22"/>
      <c r="AM888" s="22"/>
      <c r="AN888" s="22"/>
      <c r="AO888" s="17"/>
      <c r="AP888" s="17"/>
      <c r="AQ888" s="17"/>
      <c r="AR888" s="1"/>
      <c r="AS888" s="1"/>
      <c r="AT888" s="17"/>
      <c r="AU888" s="1"/>
      <c r="AV888" s="1"/>
      <c r="AW888" s="1"/>
      <c r="AX888" s="2"/>
      <c r="AY888" s="2"/>
      <c r="AZ888" s="1"/>
    </row>
    <row x14ac:dyDescent="0.25" r="889" customHeight="1" ht="18.75">
      <c r="A889" s="1"/>
      <c r="B889" s="1"/>
      <c r="C889" s="1"/>
      <c r="D889" s="1"/>
      <c r="E889" s="1"/>
      <c r="F889" s="1"/>
      <c r="G889" s="1"/>
      <c r="H889" s="1"/>
      <c r="I889" s="1"/>
      <c r="J889" s="1"/>
      <c r="K889" s="17"/>
      <c r="L889" s="1"/>
      <c r="M889" s="1"/>
      <c r="N889" s="2"/>
      <c r="O889" s="2"/>
      <c r="P889" s="1"/>
      <c r="Q889" s="1"/>
      <c r="R889" s="1"/>
      <c r="S889" s="1"/>
      <c r="T889" s="17"/>
      <c r="U889" s="17"/>
      <c r="V889" s="17"/>
      <c r="W889" s="17"/>
      <c r="X889" s="22"/>
      <c r="Y889" s="22"/>
      <c r="Z889" s="22"/>
      <c r="AA889" s="22"/>
      <c r="AB889" s="22"/>
      <c r="AC889" s="22"/>
      <c r="AD889" s="22"/>
      <c r="AE889" s="22"/>
      <c r="AF889" s="22"/>
      <c r="AG889" s="22"/>
      <c r="AH889" s="22"/>
      <c r="AI889" s="22"/>
      <c r="AJ889" s="17"/>
      <c r="AK889" s="22"/>
      <c r="AL889" s="22"/>
      <c r="AM889" s="22"/>
      <c r="AN889" s="22"/>
      <c r="AO889" s="17"/>
      <c r="AP889" s="17"/>
      <c r="AQ889" s="17"/>
      <c r="AR889" s="1"/>
      <c r="AS889" s="1"/>
      <c r="AT889" s="17"/>
      <c r="AU889" s="1"/>
      <c r="AV889" s="1"/>
      <c r="AW889" s="1"/>
      <c r="AX889" s="2"/>
      <c r="AY889" s="2"/>
      <c r="AZ889" s="1"/>
    </row>
    <row x14ac:dyDescent="0.25" r="890" customHeight="1" ht="18.75">
      <c r="A890" s="1"/>
      <c r="B890" s="1"/>
      <c r="C890" s="1"/>
      <c r="D890" s="1"/>
      <c r="E890" s="1"/>
      <c r="F890" s="1"/>
      <c r="G890" s="1"/>
      <c r="H890" s="1"/>
      <c r="I890" s="1"/>
      <c r="J890" s="1"/>
      <c r="K890" s="17"/>
      <c r="L890" s="1"/>
      <c r="M890" s="1"/>
      <c r="N890" s="2"/>
      <c r="O890" s="2"/>
      <c r="P890" s="1"/>
      <c r="Q890" s="1"/>
      <c r="R890" s="1"/>
      <c r="S890" s="1"/>
      <c r="T890" s="17"/>
      <c r="U890" s="17"/>
      <c r="V890" s="17"/>
      <c r="W890" s="17"/>
      <c r="X890" s="22"/>
      <c r="Y890" s="22"/>
      <c r="Z890" s="22"/>
      <c r="AA890" s="22"/>
      <c r="AB890" s="22"/>
      <c r="AC890" s="22"/>
      <c r="AD890" s="22"/>
      <c r="AE890" s="22"/>
      <c r="AF890" s="22"/>
      <c r="AG890" s="22"/>
      <c r="AH890" s="22"/>
      <c r="AI890" s="22"/>
      <c r="AJ890" s="17"/>
      <c r="AK890" s="22"/>
      <c r="AL890" s="22"/>
      <c r="AM890" s="22"/>
      <c r="AN890" s="22"/>
      <c r="AO890" s="17"/>
      <c r="AP890" s="17"/>
      <c r="AQ890" s="17"/>
      <c r="AR890" s="1"/>
      <c r="AS890" s="1"/>
      <c r="AT890" s="17"/>
      <c r="AU890" s="1"/>
      <c r="AV890" s="1"/>
      <c r="AW890" s="1"/>
      <c r="AX890" s="2"/>
      <c r="AY890" s="2"/>
      <c r="AZ890" s="1"/>
    </row>
    <row x14ac:dyDescent="0.25" r="891" customHeight="1" ht="18.75">
      <c r="A891" s="1"/>
      <c r="B891" s="1"/>
      <c r="C891" s="1"/>
      <c r="D891" s="1"/>
      <c r="E891" s="1"/>
      <c r="F891" s="1"/>
      <c r="G891" s="1"/>
      <c r="H891" s="1"/>
      <c r="I891" s="1"/>
      <c r="J891" s="1"/>
      <c r="K891" s="17"/>
      <c r="L891" s="1"/>
      <c r="M891" s="1"/>
      <c r="N891" s="2"/>
      <c r="O891" s="2"/>
      <c r="P891" s="1"/>
      <c r="Q891" s="1"/>
      <c r="R891" s="1"/>
      <c r="S891" s="1"/>
      <c r="T891" s="17"/>
      <c r="U891" s="17"/>
      <c r="V891" s="17"/>
      <c r="W891" s="17"/>
      <c r="X891" s="22"/>
      <c r="Y891" s="22"/>
      <c r="Z891" s="22"/>
      <c r="AA891" s="22"/>
      <c r="AB891" s="22"/>
      <c r="AC891" s="22"/>
      <c r="AD891" s="22"/>
      <c r="AE891" s="22"/>
      <c r="AF891" s="22"/>
      <c r="AG891" s="22"/>
      <c r="AH891" s="22"/>
      <c r="AI891" s="22"/>
      <c r="AJ891" s="17"/>
      <c r="AK891" s="22"/>
      <c r="AL891" s="22"/>
      <c r="AM891" s="22"/>
      <c r="AN891" s="22"/>
      <c r="AO891" s="17"/>
      <c r="AP891" s="17"/>
      <c r="AQ891" s="17"/>
      <c r="AR891" s="1"/>
      <c r="AS891" s="1"/>
      <c r="AT891" s="17"/>
      <c r="AU891" s="1"/>
      <c r="AV891" s="1"/>
      <c r="AW891" s="1"/>
      <c r="AX891" s="2"/>
      <c r="AY891" s="2"/>
      <c r="AZ891" s="1"/>
    </row>
    <row x14ac:dyDescent="0.25" r="892" customHeight="1" ht="18.75">
      <c r="A892" s="1"/>
      <c r="B892" s="1"/>
      <c r="C892" s="1"/>
      <c r="D892" s="1"/>
      <c r="E892" s="1"/>
      <c r="F892" s="1"/>
      <c r="G892" s="1"/>
      <c r="H892" s="1"/>
      <c r="I892" s="1"/>
      <c r="J892" s="1"/>
      <c r="K892" s="17"/>
      <c r="L892" s="1"/>
      <c r="M892" s="1"/>
      <c r="N892" s="2"/>
      <c r="O892" s="2"/>
      <c r="P892" s="1"/>
      <c r="Q892" s="1"/>
      <c r="R892" s="1"/>
      <c r="S892" s="1"/>
      <c r="T892" s="17"/>
      <c r="U892" s="17"/>
      <c r="V892" s="17"/>
      <c r="W892" s="17"/>
      <c r="X892" s="22"/>
      <c r="Y892" s="22"/>
      <c r="Z892" s="22"/>
      <c r="AA892" s="22"/>
      <c r="AB892" s="22"/>
      <c r="AC892" s="22"/>
      <c r="AD892" s="22"/>
      <c r="AE892" s="22"/>
      <c r="AF892" s="22"/>
      <c r="AG892" s="22"/>
      <c r="AH892" s="22"/>
      <c r="AI892" s="22"/>
      <c r="AJ892" s="17"/>
      <c r="AK892" s="22"/>
      <c r="AL892" s="22"/>
      <c r="AM892" s="22"/>
      <c r="AN892" s="22"/>
      <c r="AO892" s="17"/>
      <c r="AP892" s="17"/>
      <c r="AQ892" s="17"/>
      <c r="AR892" s="1"/>
      <c r="AS892" s="1"/>
      <c r="AT892" s="17"/>
      <c r="AU892" s="1"/>
      <c r="AV892" s="1"/>
      <c r="AW892" s="1"/>
      <c r="AX892" s="2"/>
      <c r="AY892" s="2"/>
      <c r="AZ892" s="1"/>
    </row>
    <row x14ac:dyDescent="0.25" r="893" customHeight="1" ht="18.75">
      <c r="A893" s="1"/>
      <c r="B893" s="1"/>
      <c r="C893" s="1"/>
      <c r="D893" s="1"/>
      <c r="E893" s="1"/>
      <c r="F893" s="1"/>
      <c r="G893" s="1"/>
      <c r="H893" s="1"/>
      <c r="I893" s="1"/>
      <c r="J893" s="1"/>
      <c r="K893" s="17"/>
      <c r="L893" s="1"/>
      <c r="M893" s="1"/>
      <c r="N893" s="2"/>
      <c r="O893" s="2"/>
      <c r="P893" s="1"/>
      <c r="Q893" s="1"/>
      <c r="R893" s="1"/>
      <c r="S893" s="1"/>
      <c r="T893" s="17"/>
      <c r="U893" s="17"/>
      <c r="V893" s="17"/>
      <c r="W893" s="17"/>
      <c r="X893" s="22"/>
      <c r="Y893" s="22"/>
      <c r="Z893" s="22"/>
      <c r="AA893" s="22"/>
      <c r="AB893" s="22"/>
      <c r="AC893" s="22"/>
      <c r="AD893" s="22"/>
      <c r="AE893" s="22"/>
      <c r="AF893" s="22"/>
      <c r="AG893" s="22"/>
      <c r="AH893" s="22"/>
      <c r="AI893" s="22"/>
      <c r="AJ893" s="17"/>
      <c r="AK893" s="22"/>
      <c r="AL893" s="22"/>
      <c r="AM893" s="22"/>
      <c r="AN893" s="22"/>
      <c r="AO893" s="17"/>
      <c r="AP893" s="17"/>
      <c r="AQ893" s="17"/>
      <c r="AR893" s="1"/>
      <c r="AS893" s="1"/>
      <c r="AT893" s="17"/>
      <c r="AU893" s="1"/>
      <c r="AV893" s="1"/>
      <c r="AW893" s="1"/>
      <c r="AX893" s="2"/>
      <c r="AY893" s="2"/>
      <c r="AZ893" s="1"/>
    </row>
    <row x14ac:dyDescent="0.25" r="894" customHeight="1" ht="18.75">
      <c r="A894" s="1"/>
      <c r="B894" s="1"/>
      <c r="C894" s="1"/>
      <c r="D894" s="1"/>
      <c r="E894" s="1"/>
      <c r="F894" s="1"/>
      <c r="G894" s="1"/>
      <c r="H894" s="1"/>
      <c r="I894" s="1"/>
      <c r="J894" s="1"/>
      <c r="K894" s="17"/>
      <c r="L894" s="1"/>
      <c r="M894" s="1"/>
      <c r="N894" s="2"/>
      <c r="O894" s="2"/>
      <c r="P894" s="1"/>
      <c r="Q894" s="1"/>
      <c r="R894" s="1"/>
      <c r="S894" s="1"/>
      <c r="T894" s="17"/>
      <c r="U894" s="17"/>
      <c r="V894" s="17"/>
      <c r="W894" s="17"/>
      <c r="X894" s="22"/>
      <c r="Y894" s="22"/>
      <c r="Z894" s="22"/>
      <c r="AA894" s="22"/>
      <c r="AB894" s="22"/>
      <c r="AC894" s="22"/>
      <c r="AD894" s="22"/>
      <c r="AE894" s="22"/>
      <c r="AF894" s="22"/>
      <c r="AG894" s="22"/>
      <c r="AH894" s="22"/>
      <c r="AI894" s="22"/>
      <c r="AJ894" s="17"/>
      <c r="AK894" s="22"/>
      <c r="AL894" s="22"/>
      <c r="AM894" s="22"/>
      <c r="AN894" s="22"/>
      <c r="AO894" s="17"/>
      <c r="AP894" s="17"/>
      <c r="AQ894" s="17"/>
      <c r="AR894" s="1"/>
      <c r="AS894" s="1"/>
      <c r="AT894" s="17"/>
      <c r="AU894" s="1"/>
      <c r="AV894" s="1"/>
      <c r="AW894" s="1"/>
      <c r="AX894" s="2"/>
      <c r="AY894" s="2"/>
      <c r="AZ894" s="1"/>
    </row>
    <row x14ac:dyDescent="0.25" r="895" customHeight="1" ht="18.75">
      <c r="A895" s="1"/>
      <c r="B895" s="1"/>
      <c r="C895" s="1"/>
      <c r="D895" s="1"/>
      <c r="E895" s="1"/>
      <c r="F895" s="1"/>
      <c r="G895" s="1"/>
      <c r="H895" s="1"/>
      <c r="I895" s="1"/>
      <c r="J895" s="1"/>
      <c r="K895" s="17"/>
      <c r="L895" s="1"/>
      <c r="M895" s="1"/>
      <c r="N895" s="2"/>
      <c r="O895" s="2"/>
      <c r="P895" s="1"/>
      <c r="Q895" s="1"/>
      <c r="R895" s="1"/>
      <c r="S895" s="1"/>
      <c r="T895" s="17"/>
      <c r="U895" s="17"/>
      <c r="V895" s="17"/>
      <c r="W895" s="17"/>
      <c r="X895" s="22"/>
      <c r="Y895" s="22"/>
      <c r="Z895" s="22"/>
      <c r="AA895" s="22"/>
      <c r="AB895" s="22"/>
      <c r="AC895" s="22"/>
      <c r="AD895" s="22"/>
      <c r="AE895" s="22"/>
      <c r="AF895" s="22"/>
      <c r="AG895" s="22"/>
      <c r="AH895" s="22"/>
      <c r="AI895" s="22"/>
      <c r="AJ895" s="17"/>
      <c r="AK895" s="22"/>
      <c r="AL895" s="22"/>
      <c r="AM895" s="22"/>
      <c r="AN895" s="22"/>
      <c r="AO895" s="17"/>
      <c r="AP895" s="17"/>
      <c r="AQ895" s="17"/>
      <c r="AR895" s="1"/>
      <c r="AS895" s="1"/>
      <c r="AT895" s="17"/>
      <c r="AU895" s="1"/>
      <c r="AV895" s="1"/>
      <c r="AW895" s="1"/>
      <c r="AX895" s="2"/>
      <c r="AY895" s="2"/>
      <c r="AZ895" s="1"/>
    </row>
    <row x14ac:dyDescent="0.25" r="896" customHeight="1" ht="18.75">
      <c r="A896" s="1"/>
      <c r="B896" s="1"/>
      <c r="C896" s="1"/>
      <c r="D896" s="1"/>
      <c r="E896" s="1"/>
      <c r="F896" s="1"/>
      <c r="G896" s="1"/>
      <c r="H896" s="1"/>
      <c r="I896" s="1"/>
      <c r="J896" s="1"/>
      <c r="K896" s="17"/>
      <c r="L896" s="1"/>
      <c r="M896" s="1"/>
      <c r="N896" s="2"/>
      <c r="O896" s="2"/>
      <c r="P896" s="1"/>
      <c r="Q896" s="1"/>
      <c r="R896" s="1"/>
      <c r="S896" s="1"/>
      <c r="T896" s="17"/>
      <c r="U896" s="17"/>
      <c r="V896" s="17"/>
      <c r="W896" s="17"/>
      <c r="X896" s="22"/>
      <c r="Y896" s="22"/>
      <c r="Z896" s="22"/>
      <c r="AA896" s="22"/>
      <c r="AB896" s="22"/>
      <c r="AC896" s="22"/>
      <c r="AD896" s="22"/>
      <c r="AE896" s="22"/>
      <c r="AF896" s="22"/>
      <c r="AG896" s="22"/>
      <c r="AH896" s="22"/>
      <c r="AI896" s="22"/>
      <c r="AJ896" s="17"/>
      <c r="AK896" s="22"/>
      <c r="AL896" s="22"/>
      <c r="AM896" s="22"/>
      <c r="AN896" s="22"/>
      <c r="AO896" s="17"/>
      <c r="AP896" s="17"/>
      <c r="AQ896" s="17"/>
      <c r="AR896" s="1"/>
      <c r="AS896" s="1"/>
      <c r="AT896" s="17"/>
      <c r="AU896" s="1"/>
      <c r="AV896" s="1"/>
      <c r="AW896" s="1"/>
      <c r="AX896" s="2"/>
      <c r="AY896" s="2"/>
      <c r="AZ896" s="1"/>
    </row>
    <row x14ac:dyDescent="0.25" r="897" customHeight="1" ht="18.75">
      <c r="A897" s="1"/>
      <c r="B897" s="1"/>
      <c r="C897" s="1"/>
      <c r="D897" s="1"/>
      <c r="E897" s="1"/>
      <c r="F897" s="1"/>
      <c r="G897" s="1"/>
      <c r="H897" s="1"/>
      <c r="I897" s="1"/>
      <c r="J897" s="1"/>
      <c r="K897" s="17"/>
      <c r="L897" s="1"/>
      <c r="M897" s="1"/>
      <c r="N897" s="2"/>
      <c r="O897" s="2"/>
      <c r="P897" s="1"/>
      <c r="Q897" s="1"/>
      <c r="R897" s="1"/>
      <c r="S897" s="1"/>
      <c r="T897" s="17"/>
      <c r="U897" s="17"/>
      <c r="V897" s="17"/>
      <c r="W897" s="17"/>
      <c r="X897" s="22"/>
      <c r="Y897" s="22"/>
      <c r="Z897" s="22"/>
      <c r="AA897" s="22"/>
      <c r="AB897" s="22"/>
      <c r="AC897" s="22"/>
      <c r="AD897" s="22"/>
      <c r="AE897" s="22"/>
      <c r="AF897" s="22"/>
      <c r="AG897" s="22"/>
      <c r="AH897" s="22"/>
      <c r="AI897" s="22"/>
      <c r="AJ897" s="17"/>
      <c r="AK897" s="22"/>
      <c r="AL897" s="22"/>
      <c r="AM897" s="22"/>
      <c r="AN897" s="22"/>
      <c r="AO897" s="17"/>
      <c r="AP897" s="17"/>
      <c r="AQ897" s="17"/>
      <c r="AR897" s="1"/>
      <c r="AS897" s="1"/>
      <c r="AT897" s="17"/>
      <c r="AU897" s="1"/>
      <c r="AV897" s="1"/>
      <c r="AW897" s="1"/>
      <c r="AX897" s="2"/>
      <c r="AY897" s="2"/>
      <c r="AZ897" s="1"/>
    </row>
    <row x14ac:dyDescent="0.25" r="898" customHeight="1" ht="18.75">
      <c r="A898" s="1"/>
      <c r="B898" s="1"/>
      <c r="C898" s="1"/>
      <c r="D898" s="1"/>
      <c r="E898" s="1"/>
      <c r="F898" s="1"/>
      <c r="G898" s="1"/>
      <c r="H898" s="1"/>
      <c r="I898" s="1"/>
      <c r="J898" s="1"/>
      <c r="K898" s="17"/>
      <c r="L898" s="1"/>
      <c r="M898" s="1"/>
      <c r="N898" s="2"/>
      <c r="O898" s="2"/>
      <c r="P898" s="1"/>
      <c r="Q898" s="1"/>
      <c r="R898" s="1"/>
      <c r="S898" s="1"/>
      <c r="T898" s="17"/>
      <c r="U898" s="17"/>
      <c r="V898" s="17"/>
      <c r="W898" s="17"/>
      <c r="X898" s="22"/>
      <c r="Y898" s="22"/>
      <c r="Z898" s="22"/>
      <c r="AA898" s="22"/>
      <c r="AB898" s="22"/>
      <c r="AC898" s="22"/>
      <c r="AD898" s="22"/>
      <c r="AE898" s="22"/>
      <c r="AF898" s="22"/>
      <c r="AG898" s="22"/>
      <c r="AH898" s="22"/>
      <c r="AI898" s="22"/>
      <c r="AJ898" s="17"/>
      <c r="AK898" s="22"/>
      <c r="AL898" s="22"/>
      <c r="AM898" s="22"/>
      <c r="AN898" s="22"/>
      <c r="AO898" s="17"/>
      <c r="AP898" s="17"/>
      <c r="AQ898" s="17"/>
      <c r="AR898" s="1"/>
      <c r="AS898" s="1"/>
      <c r="AT898" s="17"/>
      <c r="AU898" s="1"/>
      <c r="AV898" s="1"/>
      <c r="AW898" s="1"/>
      <c r="AX898" s="2"/>
      <c r="AY898" s="2"/>
      <c r="AZ898" s="1"/>
    </row>
    <row x14ac:dyDescent="0.25" r="899" customHeight="1" ht="18.75">
      <c r="A899" s="1"/>
      <c r="B899" s="1"/>
      <c r="C899" s="1"/>
      <c r="D899" s="1"/>
      <c r="E899" s="1"/>
      <c r="F899" s="1"/>
      <c r="G899" s="1"/>
      <c r="H899" s="1"/>
      <c r="I899" s="1"/>
      <c r="J899" s="1"/>
      <c r="K899" s="17"/>
      <c r="L899" s="1"/>
      <c r="M899" s="1"/>
      <c r="N899" s="2"/>
      <c r="O899" s="2"/>
      <c r="P899" s="1"/>
      <c r="Q899" s="1"/>
      <c r="R899" s="1"/>
      <c r="S899" s="1"/>
      <c r="T899" s="17"/>
      <c r="U899" s="17"/>
      <c r="V899" s="17"/>
      <c r="W899" s="17"/>
      <c r="X899" s="22"/>
      <c r="Y899" s="22"/>
      <c r="Z899" s="22"/>
      <c r="AA899" s="22"/>
      <c r="AB899" s="22"/>
      <c r="AC899" s="22"/>
      <c r="AD899" s="22"/>
      <c r="AE899" s="22"/>
      <c r="AF899" s="22"/>
      <c r="AG899" s="22"/>
      <c r="AH899" s="22"/>
      <c r="AI899" s="22"/>
      <c r="AJ899" s="17"/>
      <c r="AK899" s="22"/>
      <c r="AL899" s="22"/>
      <c r="AM899" s="22"/>
      <c r="AN899" s="22"/>
      <c r="AO899" s="17"/>
      <c r="AP899" s="17"/>
      <c r="AQ899" s="17"/>
      <c r="AR899" s="1"/>
      <c r="AS899" s="1"/>
      <c r="AT899" s="17"/>
      <c r="AU899" s="1"/>
      <c r="AV899" s="1"/>
      <c r="AW899" s="1"/>
      <c r="AX899" s="2"/>
      <c r="AY899" s="2"/>
      <c r="AZ899" s="1"/>
    </row>
    <row x14ac:dyDescent="0.25" r="900" customHeight="1" ht="18.75">
      <c r="A900" s="1"/>
      <c r="B900" s="1"/>
      <c r="C900" s="1"/>
      <c r="D900" s="1"/>
      <c r="E900" s="1"/>
      <c r="F900" s="1"/>
      <c r="G900" s="1"/>
      <c r="H900" s="1"/>
      <c r="I900" s="1"/>
      <c r="J900" s="1"/>
      <c r="K900" s="17"/>
      <c r="L900" s="1"/>
      <c r="M900" s="1"/>
      <c r="N900" s="2"/>
      <c r="O900" s="2"/>
      <c r="P900" s="1"/>
      <c r="Q900" s="1"/>
      <c r="R900" s="1"/>
      <c r="S900" s="1"/>
      <c r="T900" s="17"/>
      <c r="U900" s="17"/>
      <c r="V900" s="17"/>
      <c r="W900" s="17"/>
      <c r="X900" s="22"/>
      <c r="Y900" s="22"/>
      <c r="Z900" s="22"/>
      <c r="AA900" s="22"/>
      <c r="AB900" s="22"/>
      <c r="AC900" s="22"/>
      <c r="AD900" s="22"/>
      <c r="AE900" s="22"/>
      <c r="AF900" s="22"/>
      <c r="AG900" s="22"/>
      <c r="AH900" s="22"/>
      <c r="AI900" s="22"/>
      <c r="AJ900" s="17"/>
      <c r="AK900" s="22"/>
      <c r="AL900" s="22"/>
      <c r="AM900" s="22"/>
      <c r="AN900" s="22"/>
      <c r="AO900" s="17"/>
      <c r="AP900" s="17"/>
      <c r="AQ900" s="17"/>
      <c r="AR900" s="1"/>
      <c r="AS900" s="1"/>
      <c r="AT900" s="17"/>
      <c r="AU900" s="1"/>
      <c r="AV900" s="1"/>
      <c r="AW900" s="1"/>
      <c r="AX900" s="2"/>
      <c r="AY900" s="2"/>
      <c r="AZ900" s="1"/>
    </row>
    <row x14ac:dyDescent="0.25" r="901" customHeight="1" ht="18.75">
      <c r="A901" s="1"/>
      <c r="B901" s="1"/>
      <c r="C901" s="1"/>
      <c r="D901" s="1"/>
      <c r="E901" s="1"/>
      <c r="F901" s="1"/>
      <c r="G901" s="1"/>
      <c r="H901" s="1"/>
      <c r="I901" s="1"/>
      <c r="J901" s="1"/>
      <c r="K901" s="17"/>
      <c r="L901" s="1"/>
      <c r="M901" s="1"/>
      <c r="N901" s="2"/>
      <c r="O901" s="2"/>
      <c r="P901" s="1"/>
      <c r="Q901" s="1"/>
      <c r="R901" s="1"/>
      <c r="S901" s="1"/>
      <c r="T901" s="17"/>
      <c r="U901" s="17"/>
      <c r="V901" s="17"/>
      <c r="W901" s="17"/>
      <c r="X901" s="22"/>
      <c r="Y901" s="22"/>
      <c r="Z901" s="22"/>
      <c r="AA901" s="22"/>
      <c r="AB901" s="22"/>
      <c r="AC901" s="22"/>
      <c r="AD901" s="22"/>
      <c r="AE901" s="22"/>
      <c r="AF901" s="22"/>
      <c r="AG901" s="22"/>
      <c r="AH901" s="22"/>
      <c r="AI901" s="22"/>
      <c r="AJ901" s="17"/>
      <c r="AK901" s="22"/>
      <c r="AL901" s="22"/>
      <c r="AM901" s="22"/>
      <c r="AN901" s="22"/>
      <c r="AO901" s="17"/>
      <c r="AP901" s="17"/>
      <c r="AQ901" s="17"/>
      <c r="AR901" s="1"/>
      <c r="AS901" s="1"/>
      <c r="AT901" s="17"/>
      <c r="AU901" s="1"/>
      <c r="AV901" s="1"/>
      <c r="AW901" s="1"/>
      <c r="AX901" s="2"/>
      <c r="AY901" s="2"/>
      <c r="AZ901" s="1"/>
    </row>
    <row x14ac:dyDescent="0.25" r="902" customHeight="1" ht="18.75">
      <c r="A902" s="1"/>
      <c r="B902" s="1"/>
      <c r="C902" s="1"/>
      <c r="D902" s="1"/>
      <c r="E902" s="1"/>
      <c r="F902" s="1"/>
      <c r="G902" s="1"/>
      <c r="H902" s="1"/>
      <c r="I902" s="1"/>
      <c r="J902" s="1"/>
      <c r="K902" s="17"/>
      <c r="L902" s="1"/>
      <c r="M902" s="1"/>
      <c r="N902" s="2"/>
      <c r="O902" s="2"/>
      <c r="P902" s="1"/>
      <c r="Q902" s="1"/>
      <c r="R902" s="1"/>
      <c r="S902" s="1"/>
      <c r="T902" s="17"/>
      <c r="U902" s="17"/>
      <c r="V902" s="17"/>
      <c r="W902" s="17"/>
      <c r="X902" s="22"/>
      <c r="Y902" s="22"/>
      <c r="Z902" s="22"/>
      <c r="AA902" s="22"/>
      <c r="AB902" s="22"/>
      <c r="AC902" s="22"/>
      <c r="AD902" s="22"/>
      <c r="AE902" s="22"/>
      <c r="AF902" s="22"/>
      <c r="AG902" s="22"/>
      <c r="AH902" s="22"/>
      <c r="AI902" s="22"/>
      <c r="AJ902" s="17"/>
      <c r="AK902" s="22"/>
      <c r="AL902" s="22"/>
      <c r="AM902" s="22"/>
      <c r="AN902" s="22"/>
      <c r="AO902" s="17"/>
      <c r="AP902" s="17"/>
      <c r="AQ902" s="17"/>
      <c r="AR902" s="1"/>
      <c r="AS902" s="1"/>
      <c r="AT902" s="17"/>
      <c r="AU902" s="1"/>
      <c r="AV902" s="1"/>
      <c r="AW902" s="1"/>
      <c r="AX902" s="2"/>
      <c r="AY902" s="2"/>
      <c r="AZ902" s="1"/>
    </row>
    <row x14ac:dyDescent="0.25" r="903" customHeight="1" ht="18.75">
      <c r="A903" s="1"/>
      <c r="B903" s="1"/>
      <c r="C903" s="1"/>
      <c r="D903" s="1"/>
      <c r="E903" s="1"/>
      <c r="F903" s="1"/>
      <c r="G903" s="1"/>
      <c r="H903" s="1"/>
      <c r="I903" s="1"/>
      <c r="J903" s="1"/>
      <c r="K903" s="17"/>
      <c r="L903" s="1"/>
      <c r="M903" s="1"/>
      <c r="N903" s="2"/>
      <c r="O903" s="2"/>
      <c r="P903" s="1"/>
      <c r="Q903" s="1"/>
      <c r="R903" s="1"/>
      <c r="S903" s="1"/>
      <c r="T903" s="17"/>
      <c r="U903" s="17"/>
      <c r="V903" s="17"/>
      <c r="W903" s="17"/>
      <c r="X903" s="22"/>
      <c r="Y903" s="22"/>
      <c r="Z903" s="22"/>
      <c r="AA903" s="22"/>
      <c r="AB903" s="22"/>
      <c r="AC903" s="22"/>
      <c r="AD903" s="22"/>
      <c r="AE903" s="22"/>
      <c r="AF903" s="22"/>
      <c r="AG903" s="22"/>
      <c r="AH903" s="22"/>
      <c r="AI903" s="22"/>
      <c r="AJ903" s="17"/>
      <c r="AK903" s="22"/>
      <c r="AL903" s="22"/>
      <c r="AM903" s="22"/>
      <c r="AN903" s="22"/>
      <c r="AO903" s="17"/>
      <c r="AP903" s="17"/>
      <c r="AQ903" s="17"/>
      <c r="AR903" s="1"/>
      <c r="AS903" s="1"/>
      <c r="AT903" s="17"/>
      <c r="AU903" s="1"/>
      <c r="AV903" s="1"/>
      <c r="AW903" s="1"/>
      <c r="AX903" s="2"/>
      <c r="AY903" s="2"/>
      <c r="AZ903" s="1"/>
    </row>
    <row x14ac:dyDescent="0.25" r="904" customHeight="1" ht="18.75">
      <c r="A904" s="1"/>
      <c r="B904" s="1"/>
      <c r="C904" s="1"/>
      <c r="D904" s="1"/>
      <c r="E904" s="1"/>
      <c r="F904" s="1"/>
      <c r="G904" s="1"/>
      <c r="H904" s="1"/>
      <c r="I904" s="1"/>
      <c r="J904" s="1"/>
      <c r="K904" s="17"/>
      <c r="L904" s="1"/>
      <c r="M904" s="1"/>
      <c r="N904" s="2"/>
      <c r="O904" s="2"/>
      <c r="P904" s="1"/>
      <c r="Q904" s="1"/>
      <c r="R904" s="1"/>
      <c r="S904" s="1"/>
      <c r="T904" s="17"/>
      <c r="U904" s="17"/>
      <c r="V904" s="17"/>
      <c r="W904" s="17"/>
      <c r="X904" s="22"/>
      <c r="Y904" s="22"/>
      <c r="Z904" s="22"/>
      <c r="AA904" s="22"/>
      <c r="AB904" s="22"/>
      <c r="AC904" s="22"/>
      <c r="AD904" s="22"/>
      <c r="AE904" s="22"/>
      <c r="AF904" s="22"/>
      <c r="AG904" s="22"/>
      <c r="AH904" s="22"/>
      <c r="AI904" s="22"/>
      <c r="AJ904" s="17"/>
      <c r="AK904" s="22"/>
      <c r="AL904" s="22"/>
      <c r="AM904" s="22"/>
      <c r="AN904" s="22"/>
      <c r="AO904" s="17"/>
      <c r="AP904" s="17"/>
      <c r="AQ904" s="17"/>
      <c r="AR904" s="1"/>
      <c r="AS904" s="1"/>
      <c r="AT904" s="17"/>
      <c r="AU904" s="1"/>
      <c r="AV904" s="1"/>
      <c r="AW904" s="1"/>
      <c r="AX904" s="2"/>
      <c r="AY904" s="2"/>
      <c r="AZ904" s="1"/>
    </row>
    <row x14ac:dyDescent="0.25" r="905" customHeight="1" ht="18.75">
      <c r="A905" s="1"/>
      <c r="B905" s="1"/>
      <c r="C905" s="1"/>
      <c r="D905" s="1"/>
      <c r="E905" s="1"/>
      <c r="F905" s="1"/>
      <c r="G905" s="1"/>
      <c r="H905" s="1"/>
      <c r="I905" s="1"/>
      <c r="J905" s="1"/>
      <c r="K905" s="17"/>
      <c r="L905" s="1"/>
      <c r="M905" s="1"/>
      <c r="N905" s="2"/>
      <c r="O905" s="2"/>
      <c r="P905" s="1"/>
      <c r="Q905" s="1"/>
      <c r="R905" s="1"/>
      <c r="S905" s="1"/>
      <c r="T905" s="17"/>
      <c r="U905" s="17"/>
      <c r="V905" s="17"/>
      <c r="W905" s="17"/>
      <c r="X905" s="22"/>
      <c r="Y905" s="22"/>
      <c r="Z905" s="22"/>
      <c r="AA905" s="22"/>
      <c r="AB905" s="22"/>
      <c r="AC905" s="22"/>
      <c r="AD905" s="22"/>
      <c r="AE905" s="22"/>
      <c r="AF905" s="22"/>
      <c r="AG905" s="22"/>
      <c r="AH905" s="22"/>
      <c r="AI905" s="22"/>
      <c r="AJ905" s="17"/>
      <c r="AK905" s="22"/>
      <c r="AL905" s="22"/>
      <c r="AM905" s="22"/>
      <c r="AN905" s="22"/>
      <c r="AO905" s="17"/>
      <c r="AP905" s="17"/>
      <c r="AQ905" s="17"/>
      <c r="AR905" s="1"/>
      <c r="AS905" s="1"/>
      <c r="AT905" s="17"/>
      <c r="AU905" s="1"/>
      <c r="AV905" s="1"/>
      <c r="AW905" s="1"/>
      <c r="AX905" s="2"/>
      <c r="AY905" s="2"/>
      <c r="AZ905" s="1"/>
    </row>
    <row x14ac:dyDescent="0.25" r="906" customHeight="1" ht="18.75">
      <c r="A906" s="1"/>
      <c r="B906" s="1"/>
      <c r="C906" s="1"/>
      <c r="D906" s="1"/>
      <c r="E906" s="1"/>
      <c r="F906" s="1"/>
      <c r="G906" s="1"/>
      <c r="H906" s="1"/>
      <c r="I906" s="1"/>
      <c r="J906" s="1"/>
      <c r="K906" s="17"/>
      <c r="L906" s="1"/>
      <c r="M906" s="1"/>
      <c r="N906" s="2"/>
      <c r="O906" s="2"/>
      <c r="P906" s="1"/>
      <c r="Q906" s="1"/>
      <c r="R906" s="1"/>
      <c r="S906" s="1"/>
      <c r="T906" s="17"/>
      <c r="U906" s="17"/>
      <c r="V906" s="17"/>
      <c r="W906" s="17"/>
      <c r="X906" s="22"/>
      <c r="Y906" s="22"/>
      <c r="Z906" s="22"/>
      <c r="AA906" s="22"/>
      <c r="AB906" s="22"/>
      <c r="AC906" s="22"/>
      <c r="AD906" s="22"/>
      <c r="AE906" s="22"/>
      <c r="AF906" s="22"/>
      <c r="AG906" s="22"/>
      <c r="AH906" s="22"/>
      <c r="AI906" s="22"/>
      <c r="AJ906" s="17"/>
      <c r="AK906" s="22"/>
      <c r="AL906" s="22"/>
      <c r="AM906" s="22"/>
      <c r="AN906" s="22"/>
      <c r="AO906" s="17"/>
      <c r="AP906" s="17"/>
      <c r="AQ906" s="17"/>
      <c r="AR906" s="1"/>
      <c r="AS906" s="1"/>
      <c r="AT906" s="17"/>
      <c r="AU906" s="1"/>
      <c r="AV906" s="1"/>
      <c r="AW906" s="1"/>
      <c r="AX906" s="2"/>
      <c r="AY906" s="2"/>
      <c r="AZ906" s="1"/>
    </row>
    <row x14ac:dyDescent="0.25" r="907" customHeight="1" ht="18.75">
      <c r="A907" s="1"/>
      <c r="B907" s="1"/>
      <c r="C907" s="1"/>
      <c r="D907" s="1"/>
      <c r="E907" s="1"/>
      <c r="F907" s="1"/>
      <c r="G907" s="1"/>
      <c r="H907" s="1"/>
      <c r="I907" s="1"/>
      <c r="J907" s="1"/>
      <c r="K907" s="17"/>
      <c r="L907" s="1"/>
      <c r="M907" s="1"/>
      <c r="N907" s="2"/>
      <c r="O907" s="2"/>
      <c r="P907" s="1"/>
      <c r="Q907" s="1"/>
      <c r="R907" s="1"/>
      <c r="S907" s="1"/>
      <c r="T907" s="17"/>
      <c r="U907" s="17"/>
      <c r="V907" s="17"/>
      <c r="W907" s="17"/>
      <c r="X907" s="22"/>
      <c r="Y907" s="22"/>
      <c r="Z907" s="22"/>
      <c r="AA907" s="22"/>
      <c r="AB907" s="22"/>
      <c r="AC907" s="22"/>
      <c r="AD907" s="22"/>
      <c r="AE907" s="22"/>
      <c r="AF907" s="22"/>
      <c r="AG907" s="22"/>
      <c r="AH907" s="22"/>
      <c r="AI907" s="22"/>
      <c r="AJ907" s="17"/>
      <c r="AK907" s="22"/>
      <c r="AL907" s="22"/>
      <c r="AM907" s="22"/>
      <c r="AN907" s="22"/>
      <c r="AO907" s="17"/>
      <c r="AP907" s="17"/>
      <c r="AQ907" s="17"/>
      <c r="AR907" s="1"/>
      <c r="AS907" s="1"/>
      <c r="AT907" s="17"/>
      <c r="AU907" s="1"/>
      <c r="AV907" s="1"/>
      <c r="AW907" s="1"/>
      <c r="AX907" s="2"/>
      <c r="AY907" s="2"/>
      <c r="AZ907" s="1"/>
    </row>
    <row x14ac:dyDescent="0.25" r="908" customHeight="1" ht="18.75">
      <c r="A908" s="1"/>
      <c r="B908" s="1"/>
      <c r="C908" s="1"/>
      <c r="D908" s="1"/>
      <c r="E908" s="1"/>
      <c r="F908" s="1"/>
      <c r="G908" s="1"/>
      <c r="H908" s="1"/>
      <c r="I908" s="1"/>
      <c r="J908" s="1"/>
      <c r="K908" s="17"/>
      <c r="L908" s="1"/>
      <c r="M908" s="1"/>
      <c r="N908" s="2"/>
      <c r="O908" s="2"/>
      <c r="P908" s="1"/>
      <c r="Q908" s="1"/>
      <c r="R908" s="1"/>
      <c r="S908" s="1"/>
      <c r="T908" s="17"/>
      <c r="U908" s="17"/>
      <c r="V908" s="17"/>
      <c r="W908" s="17"/>
      <c r="X908" s="22"/>
      <c r="Y908" s="22"/>
      <c r="Z908" s="22"/>
      <c r="AA908" s="22"/>
      <c r="AB908" s="22"/>
      <c r="AC908" s="22"/>
      <c r="AD908" s="22"/>
      <c r="AE908" s="22"/>
      <c r="AF908" s="22"/>
      <c r="AG908" s="22"/>
      <c r="AH908" s="22"/>
      <c r="AI908" s="22"/>
      <c r="AJ908" s="17"/>
      <c r="AK908" s="22"/>
      <c r="AL908" s="22"/>
      <c r="AM908" s="22"/>
      <c r="AN908" s="22"/>
      <c r="AO908" s="17"/>
      <c r="AP908" s="17"/>
      <c r="AQ908" s="17"/>
      <c r="AR908" s="1"/>
      <c r="AS908" s="1"/>
      <c r="AT908" s="17"/>
      <c r="AU908" s="1"/>
      <c r="AV908" s="1"/>
      <c r="AW908" s="1"/>
      <c r="AX908" s="2"/>
      <c r="AY908" s="2"/>
      <c r="AZ908" s="1"/>
    </row>
    <row x14ac:dyDescent="0.25" r="909" customHeight="1" ht="18.75">
      <c r="A909" s="1"/>
      <c r="B909" s="1"/>
      <c r="C909" s="1"/>
      <c r="D909" s="1"/>
      <c r="E909" s="1"/>
      <c r="F909" s="1"/>
      <c r="G909" s="1"/>
      <c r="H909" s="1"/>
      <c r="I909" s="1"/>
      <c r="J909" s="1"/>
      <c r="K909" s="17"/>
      <c r="L909" s="1"/>
      <c r="M909" s="1"/>
      <c r="N909" s="2"/>
      <c r="O909" s="2"/>
      <c r="P909" s="1"/>
      <c r="Q909" s="1"/>
      <c r="R909" s="1"/>
      <c r="S909" s="1"/>
      <c r="T909" s="17"/>
      <c r="U909" s="17"/>
      <c r="V909" s="17"/>
      <c r="W909" s="17"/>
      <c r="X909" s="22"/>
      <c r="Y909" s="22"/>
      <c r="Z909" s="22"/>
      <c r="AA909" s="22"/>
      <c r="AB909" s="22"/>
      <c r="AC909" s="22"/>
      <c r="AD909" s="22"/>
      <c r="AE909" s="22"/>
      <c r="AF909" s="22"/>
      <c r="AG909" s="22"/>
      <c r="AH909" s="22"/>
      <c r="AI909" s="22"/>
      <c r="AJ909" s="17"/>
      <c r="AK909" s="22"/>
      <c r="AL909" s="22"/>
      <c r="AM909" s="22"/>
      <c r="AN909" s="22"/>
      <c r="AO909" s="17"/>
      <c r="AP909" s="17"/>
      <c r="AQ909" s="17"/>
      <c r="AR909" s="1"/>
      <c r="AS909" s="1"/>
      <c r="AT909" s="17"/>
      <c r="AU909" s="1"/>
      <c r="AV909" s="1"/>
      <c r="AW909" s="1"/>
      <c r="AX909" s="2"/>
      <c r="AY909" s="2"/>
      <c r="AZ909" s="1"/>
    </row>
    <row x14ac:dyDescent="0.25" r="910" customHeight="1" ht="18.75">
      <c r="A910" s="1"/>
      <c r="B910" s="1"/>
      <c r="C910" s="1"/>
      <c r="D910" s="1"/>
      <c r="E910" s="1"/>
      <c r="F910" s="1"/>
      <c r="G910" s="1"/>
      <c r="H910" s="1"/>
      <c r="I910" s="1"/>
      <c r="J910" s="1"/>
      <c r="K910" s="17"/>
      <c r="L910" s="1"/>
      <c r="M910" s="1"/>
      <c r="N910" s="2"/>
      <c r="O910" s="2"/>
      <c r="P910" s="1"/>
      <c r="Q910" s="1"/>
      <c r="R910" s="1"/>
      <c r="S910" s="1"/>
      <c r="T910" s="17"/>
      <c r="U910" s="17"/>
      <c r="V910" s="17"/>
      <c r="W910" s="17"/>
      <c r="X910" s="22"/>
      <c r="Y910" s="22"/>
      <c r="Z910" s="22"/>
      <c r="AA910" s="22"/>
      <c r="AB910" s="22"/>
      <c r="AC910" s="22"/>
      <c r="AD910" s="22"/>
      <c r="AE910" s="22"/>
      <c r="AF910" s="22"/>
      <c r="AG910" s="22"/>
      <c r="AH910" s="22"/>
      <c r="AI910" s="22"/>
      <c r="AJ910" s="17"/>
      <c r="AK910" s="22"/>
      <c r="AL910" s="22"/>
      <c r="AM910" s="22"/>
      <c r="AN910" s="22"/>
      <c r="AO910" s="17"/>
      <c r="AP910" s="17"/>
      <c r="AQ910" s="17"/>
      <c r="AR910" s="1"/>
      <c r="AS910" s="1"/>
      <c r="AT910" s="17"/>
      <c r="AU910" s="1"/>
      <c r="AV910" s="1"/>
      <c r="AW910" s="1"/>
      <c r="AX910" s="2"/>
      <c r="AY910" s="2"/>
      <c r="AZ910" s="1"/>
    </row>
    <row x14ac:dyDescent="0.25" r="911" customHeight="1" ht="18.75">
      <c r="A911" s="1"/>
      <c r="B911" s="1"/>
      <c r="C911" s="1"/>
      <c r="D911" s="1"/>
      <c r="E911" s="1"/>
      <c r="F911" s="1"/>
      <c r="G911" s="1"/>
      <c r="H911" s="1"/>
      <c r="I911" s="1"/>
      <c r="J911" s="1"/>
      <c r="K911" s="17"/>
      <c r="L911" s="1"/>
      <c r="M911" s="1"/>
      <c r="N911" s="2"/>
      <c r="O911" s="2"/>
      <c r="P911" s="1"/>
      <c r="Q911" s="1"/>
      <c r="R911" s="1"/>
      <c r="S911" s="1"/>
      <c r="T911" s="17"/>
      <c r="U911" s="17"/>
      <c r="V911" s="17"/>
      <c r="W911" s="17"/>
      <c r="X911" s="22"/>
      <c r="Y911" s="22"/>
      <c r="Z911" s="22"/>
      <c r="AA911" s="22"/>
      <c r="AB911" s="22"/>
      <c r="AC911" s="22"/>
      <c r="AD911" s="22"/>
      <c r="AE911" s="22"/>
      <c r="AF911" s="22"/>
      <c r="AG911" s="22"/>
      <c r="AH911" s="22"/>
      <c r="AI911" s="22"/>
      <c r="AJ911" s="17"/>
      <c r="AK911" s="22"/>
      <c r="AL911" s="22"/>
      <c r="AM911" s="22"/>
      <c r="AN911" s="22"/>
      <c r="AO911" s="17"/>
      <c r="AP911" s="17"/>
      <c r="AQ911" s="17"/>
      <c r="AR911" s="1"/>
      <c r="AS911" s="1"/>
      <c r="AT911" s="17"/>
      <c r="AU911" s="1"/>
      <c r="AV911" s="1"/>
      <c r="AW911" s="1"/>
      <c r="AX911" s="2"/>
      <c r="AY911" s="2"/>
      <c r="AZ911" s="1"/>
    </row>
    <row x14ac:dyDescent="0.25" r="912" customHeight="1" ht="18.75">
      <c r="A912" s="1"/>
      <c r="B912" s="1"/>
      <c r="C912" s="1"/>
      <c r="D912" s="1"/>
      <c r="E912" s="1"/>
      <c r="F912" s="1"/>
      <c r="G912" s="1"/>
      <c r="H912" s="1"/>
      <c r="I912" s="1"/>
      <c r="J912" s="1"/>
      <c r="K912" s="17"/>
      <c r="L912" s="1"/>
      <c r="M912" s="1"/>
      <c r="N912" s="2"/>
      <c r="O912" s="2"/>
      <c r="P912" s="1"/>
      <c r="Q912" s="1"/>
      <c r="R912" s="1"/>
      <c r="S912" s="1"/>
      <c r="T912" s="17"/>
      <c r="U912" s="17"/>
      <c r="V912" s="17"/>
      <c r="W912" s="17"/>
      <c r="X912" s="22"/>
      <c r="Y912" s="22"/>
      <c r="Z912" s="22"/>
      <c r="AA912" s="22"/>
      <c r="AB912" s="22"/>
      <c r="AC912" s="22"/>
      <c r="AD912" s="22"/>
      <c r="AE912" s="22"/>
      <c r="AF912" s="22"/>
      <c r="AG912" s="22"/>
      <c r="AH912" s="22"/>
      <c r="AI912" s="22"/>
      <c r="AJ912" s="17"/>
      <c r="AK912" s="22"/>
      <c r="AL912" s="22"/>
      <c r="AM912" s="22"/>
      <c r="AN912" s="22"/>
      <c r="AO912" s="17"/>
      <c r="AP912" s="17"/>
      <c r="AQ912" s="17"/>
      <c r="AR912" s="1"/>
      <c r="AS912" s="1"/>
      <c r="AT912" s="17"/>
      <c r="AU912" s="1"/>
      <c r="AV912" s="1"/>
      <c r="AW912" s="1"/>
      <c r="AX912" s="2"/>
      <c r="AY912" s="2"/>
      <c r="AZ912" s="1"/>
    </row>
    <row x14ac:dyDescent="0.25" r="913" customHeight="1" ht="18.75">
      <c r="A913" s="1"/>
      <c r="B913" s="1"/>
      <c r="C913" s="1"/>
      <c r="D913" s="1"/>
      <c r="E913" s="1"/>
      <c r="F913" s="1"/>
      <c r="G913" s="1"/>
      <c r="H913" s="1"/>
      <c r="I913" s="1"/>
      <c r="J913" s="1"/>
      <c r="K913" s="17"/>
      <c r="L913" s="1"/>
      <c r="M913" s="1"/>
      <c r="N913" s="2"/>
      <c r="O913" s="2"/>
      <c r="P913" s="1"/>
      <c r="Q913" s="1"/>
      <c r="R913" s="1"/>
      <c r="S913" s="1"/>
      <c r="T913" s="17"/>
      <c r="U913" s="17"/>
      <c r="V913" s="17"/>
      <c r="W913" s="17"/>
      <c r="X913" s="22"/>
      <c r="Y913" s="22"/>
      <c r="Z913" s="22"/>
      <c r="AA913" s="22"/>
      <c r="AB913" s="22"/>
      <c r="AC913" s="22"/>
      <c r="AD913" s="22"/>
      <c r="AE913" s="22"/>
      <c r="AF913" s="22"/>
      <c r="AG913" s="22"/>
      <c r="AH913" s="22"/>
      <c r="AI913" s="22"/>
      <c r="AJ913" s="17"/>
      <c r="AK913" s="22"/>
      <c r="AL913" s="22"/>
      <c r="AM913" s="22"/>
      <c r="AN913" s="22"/>
      <c r="AO913" s="17"/>
      <c r="AP913" s="17"/>
      <c r="AQ913" s="17"/>
      <c r="AR913" s="1"/>
      <c r="AS913" s="1"/>
      <c r="AT913" s="17"/>
      <c r="AU913" s="1"/>
      <c r="AV913" s="1"/>
      <c r="AW913" s="1"/>
      <c r="AX913" s="2"/>
      <c r="AY913" s="2"/>
      <c r="AZ913" s="1"/>
    </row>
    <row x14ac:dyDescent="0.25" r="914" customHeight="1" ht="18.75">
      <c r="A914" s="1"/>
      <c r="B914" s="1"/>
      <c r="C914" s="1"/>
      <c r="D914" s="1"/>
      <c r="E914" s="1"/>
      <c r="F914" s="1"/>
      <c r="G914" s="1"/>
      <c r="H914" s="1"/>
      <c r="I914" s="1"/>
      <c r="J914" s="1"/>
      <c r="K914" s="17"/>
      <c r="L914" s="1"/>
      <c r="M914" s="1"/>
      <c r="N914" s="2"/>
      <c r="O914" s="2"/>
      <c r="P914" s="1"/>
      <c r="Q914" s="1"/>
      <c r="R914" s="1"/>
      <c r="S914" s="1"/>
      <c r="T914" s="17"/>
      <c r="U914" s="17"/>
      <c r="V914" s="17"/>
      <c r="W914" s="17"/>
      <c r="X914" s="22"/>
      <c r="Y914" s="22"/>
      <c r="Z914" s="22"/>
      <c r="AA914" s="22"/>
      <c r="AB914" s="22"/>
      <c r="AC914" s="22"/>
      <c r="AD914" s="22"/>
      <c r="AE914" s="22"/>
      <c r="AF914" s="22"/>
      <c r="AG914" s="22"/>
      <c r="AH914" s="22"/>
      <c r="AI914" s="22"/>
      <c r="AJ914" s="17"/>
      <c r="AK914" s="22"/>
      <c r="AL914" s="22"/>
      <c r="AM914" s="22"/>
      <c r="AN914" s="22"/>
      <c r="AO914" s="17"/>
      <c r="AP914" s="17"/>
      <c r="AQ914" s="17"/>
      <c r="AR914" s="1"/>
      <c r="AS914" s="1"/>
      <c r="AT914" s="17"/>
      <c r="AU914" s="1"/>
      <c r="AV914" s="1"/>
      <c r="AW914" s="1"/>
      <c r="AX914" s="2"/>
      <c r="AY914" s="2"/>
      <c r="AZ914" s="1"/>
    </row>
    <row x14ac:dyDescent="0.25" r="915" customHeight="1" ht="18.75">
      <c r="A915" s="1"/>
      <c r="B915" s="1"/>
      <c r="C915" s="1"/>
      <c r="D915" s="1"/>
      <c r="E915" s="1"/>
      <c r="F915" s="1"/>
      <c r="G915" s="1"/>
      <c r="H915" s="1"/>
      <c r="I915" s="1"/>
      <c r="J915" s="1"/>
      <c r="K915" s="17"/>
      <c r="L915" s="1"/>
      <c r="M915" s="1"/>
      <c r="N915" s="2"/>
      <c r="O915" s="2"/>
      <c r="P915" s="1"/>
      <c r="Q915" s="1"/>
      <c r="R915" s="1"/>
      <c r="S915" s="1"/>
      <c r="T915" s="17"/>
      <c r="U915" s="17"/>
      <c r="V915" s="17"/>
      <c r="W915" s="17"/>
      <c r="X915" s="22"/>
      <c r="Y915" s="22"/>
      <c r="Z915" s="22"/>
      <c r="AA915" s="22"/>
      <c r="AB915" s="22"/>
      <c r="AC915" s="22"/>
      <c r="AD915" s="22"/>
      <c r="AE915" s="22"/>
      <c r="AF915" s="22"/>
      <c r="AG915" s="22"/>
      <c r="AH915" s="22"/>
      <c r="AI915" s="22"/>
      <c r="AJ915" s="17"/>
      <c r="AK915" s="22"/>
      <c r="AL915" s="22"/>
      <c r="AM915" s="22"/>
      <c r="AN915" s="22"/>
      <c r="AO915" s="17"/>
      <c r="AP915" s="17"/>
      <c r="AQ915" s="17"/>
      <c r="AR915" s="1"/>
      <c r="AS915" s="1"/>
      <c r="AT915" s="17"/>
      <c r="AU915" s="1"/>
      <c r="AV915" s="1"/>
      <c r="AW915" s="1"/>
      <c r="AX915" s="2"/>
      <c r="AY915" s="2"/>
      <c r="AZ915" s="1"/>
    </row>
    <row x14ac:dyDescent="0.25" r="916" customHeight="1" ht="18.75">
      <c r="A916" s="1"/>
      <c r="B916" s="1"/>
      <c r="C916" s="1"/>
      <c r="D916" s="1"/>
      <c r="E916" s="1"/>
      <c r="F916" s="1"/>
      <c r="G916" s="1"/>
      <c r="H916" s="1"/>
      <c r="I916" s="1"/>
      <c r="J916" s="1"/>
      <c r="K916" s="17"/>
      <c r="L916" s="1"/>
      <c r="M916" s="1"/>
      <c r="N916" s="2"/>
      <c r="O916" s="2"/>
      <c r="P916" s="1"/>
      <c r="Q916" s="1"/>
      <c r="R916" s="1"/>
      <c r="S916" s="1"/>
      <c r="T916" s="17"/>
      <c r="U916" s="17"/>
      <c r="V916" s="17"/>
      <c r="W916" s="17"/>
      <c r="X916" s="22"/>
      <c r="Y916" s="22"/>
      <c r="Z916" s="22"/>
      <c r="AA916" s="22"/>
      <c r="AB916" s="22"/>
      <c r="AC916" s="22"/>
      <c r="AD916" s="22"/>
      <c r="AE916" s="22"/>
      <c r="AF916" s="22"/>
      <c r="AG916" s="22"/>
      <c r="AH916" s="22"/>
      <c r="AI916" s="22"/>
      <c r="AJ916" s="17"/>
      <c r="AK916" s="22"/>
      <c r="AL916" s="22"/>
      <c r="AM916" s="22"/>
      <c r="AN916" s="22"/>
      <c r="AO916" s="17"/>
      <c r="AP916" s="17"/>
      <c r="AQ916" s="17"/>
      <c r="AR916" s="1"/>
      <c r="AS916" s="1"/>
      <c r="AT916" s="17"/>
      <c r="AU916" s="1"/>
      <c r="AV916" s="1"/>
      <c r="AW916" s="1"/>
      <c r="AX916" s="2"/>
      <c r="AY916" s="2"/>
      <c r="AZ916" s="1"/>
    </row>
    <row x14ac:dyDescent="0.25" r="917" customHeight="1" ht="18.75">
      <c r="A917" s="1"/>
      <c r="B917" s="1"/>
      <c r="C917" s="1"/>
      <c r="D917" s="1"/>
      <c r="E917" s="1"/>
      <c r="F917" s="1"/>
      <c r="G917" s="1"/>
      <c r="H917" s="1"/>
      <c r="I917" s="1"/>
      <c r="J917" s="1"/>
      <c r="K917" s="17"/>
      <c r="L917" s="1"/>
      <c r="M917" s="1"/>
      <c r="N917" s="2"/>
      <c r="O917" s="2"/>
      <c r="P917" s="1"/>
      <c r="Q917" s="1"/>
      <c r="R917" s="1"/>
      <c r="S917" s="1"/>
      <c r="T917" s="17"/>
      <c r="U917" s="17"/>
      <c r="V917" s="17"/>
      <c r="W917" s="17"/>
      <c r="X917" s="22"/>
      <c r="Y917" s="22"/>
      <c r="Z917" s="22"/>
      <c r="AA917" s="22"/>
      <c r="AB917" s="22"/>
      <c r="AC917" s="22"/>
      <c r="AD917" s="22"/>
      <c r="AE917" s="22"/>
      <c r="AF917" s="22"/>
      <c r="AG917" s="22"/>
      <c r="AH917" s="22"/>
      <c r="AI917" s="22"/>
      <c r="AJ917" s="17"/>
      <c r="AK917" s="22"/>
      <c r="AL917" s="22"/>
      <c r="AM917" s="22"/>
      <c r="AN917" s="22"/>
      <c r="AO917" s="17"/>
      <c r="AP917" s="17"/>
      <c r="AQ917" s="17"/>
      <c r="AR917" s="1"/>
      <c r="AS917" s="1"/>
      <c r="AT917" s="17"/>
      <c r="AU917" s="1"/>
      <c r="AV917" s="1"/>
      <c r="AW917" s="1"/>
      <c r="AX917" s="2"/>
      <c r="AY917" s="2"/>
      <c r="AZ917" s="1"/>
    </row>
    <row x14ac:dyDescent="0.25" r="918" customHeight="1" ht="18.75">
      <c r="A918" s="1"/>
      <c r="B918" s="1"/>
      <c r="C918" s="1"/>
      <c r="D918" s="1"/>
      <c r="E918" s="1"/>
      <c r="F918" s="1"/>
      <c r="G918" s="1"/>
      <c r="H918" s="1"/>
      <c r="I918" s="1"/>
      <c r="J918" s="1"/>
      <c r="K918" s="17"/>
      <c r="L918" s="1"/>
      <c r="M918" s="1"/>
      <c r="N918" s="2"/>
      <c r="O918" s="2"/>
      <c r="P918" s="1"/>
      <c r="Q918" s="1"/>
      <c r="R918" s="1"/>
      <c r="S918" s="1"/>
      <c r="T918" s="17"/>
      <c r="U918" s="17"/>
      <c r="V918" s="17"/>
      <c r="W918" s="17"/>
      <c r="X918" s="22"/>
      <c r="Y918" s="22"/>
      <c r="Z918" s="22"/>
      <c r="AA918" s="22"/>
      <c r="AB918" s="22"/>
      <c r="AC918" s="22"/>
      <c r="AD918" s="22"/>
      <c r="AE918" s="22"/>
      <c r="AF918" s="22"/>
      <c r="AG918" s="22"/>
      <c r="AH918" s="22"/>
      <c r="AI918" s="22"/>
      <c r="AJ918" s="17"/>
      <c r="AK918" s="22"/>
      <c r="AL918" s="22"/>
      <c r="AM918" s="22"/>
      <c r="AN918" s="22"/>
      <c r="AO918" s="17"/>
      <c r="AP918" s="17"/>
      <c r="AQ918" s="17"/>
      <c r="AR918" s="1"/>
      <c r="AS918" s="1"/>
      <c r="AT918" s="17"/>
      <c r="AU918" s="1"/>
      <c r="AV918" s="1"/>
      <c r="AW918" s="1"/>
      <c r="AX918" s="2"/>
      <c r="AY918" s="2"/>
      <c r="AZ918" s="1"/>
    </row>
    <row x14ac:dyDescent="0.25" r="919" customHeight="1" ht="18.75">
      <c r="A919" s="1"/>
      <c r="B919" s="1"/>
      <c r="C919" s="1"/>
      <c r="D919" s="1"/>
      <c r="E919" s="1"/>
      <c r="F919" s="1"/>
      <c r="G919" s="1"/>
      <c r="H919" s="1"/>
      <c r="I919" s="1"/>
      <c r="J919" s="1"/>
      <c r="K919" s="17"/>
      <c r="L919" s="1"/>
      <c r="M919" s="1"/>
      <c r="N919" s="2"/>
      <c r="O919" s="2"/>
      <c r="P919" s="1"/>
      <c r="Q919" s="1"/>
      <c r="R919" s="1"/>
      <c r="S919" s="1"/>
      <c r="T919" s="17"/>
      <c r="U919" s="17"/>
      <c r="V919" s="17"/>
      <c r="W919" s="17"/>
      <c r="X919" s="22"/>
      <c r="Y919" s="22"/>
      <c r="Z919" s="22"/>
      <c r="AA919" s="22"/>
      <c r="AB919" s="22"/>
      <c r="AC919" s="22"/>
      <c r="AD919" s="22"/>
      <c r="AE919" s="22"/>
      <c r="AF919" s="22"/>
      <c r="AG919" s="22"/>
      <c r="AH919" s="22"/>
      <c r="AI919" s="22"/>
      <c r="AJ919" s="17"/>
      <c r="AK919" s="22"/>
      <c r="AL919" s="22"/>
      <c r="AM919" s="22"/>
      <c r="AN919" s="22"/>
      <c r="AO919" s="17"/>
      <c r="AP919" s="17"/>
      <c r="AQ919" s="17"/>
      <c r="AR919" s="1"/>
      <c r="AS919" s="1"/>
      <c r="AT919" s="17"/>
      <c r="AU919" s="1"/>
      <c r="AV919" s="1"/>
      <c r="AW919" s="1"/>
      <c r="AX919" s="2"/>
      <c r="AY919" s="2"/>
      <c r="AZ919" s="1"/>
    </row>
    <row x14ac:dyDescent="0.25" r="920" customHeight="1" ht="18.75">
      <c r="A920" s="1"/>
      <c r="B920" s="1"/>
      <c r="C920" s="1"/>
      <c r="D920" s="1"/>
      <c r="E920" s="1"/>
      <c r="F920" s="1"/>
      <c r="G920" s="1"/>
      <c r="H920" s="1"/>
      <c r="I920" s="1"/>
      <c r="J920" s="1"/>
      <c r="K920" s="17"/>
      <c r="L920" s="1"/>
      <c r="M920" s="1"/>
      <c r="N920" s="2"/>
      <c r="O920" s="2"/>
      <c r="P920" s="1"/>
      <c r="Q920" s="1"/>
      <c r="R920" s="1"/>
      <c r="S920" s="1"/>
      <c r="T920" s="17"/>
      <c r="U920" s="17"/>
      <c r="V920" s="17"/>
      <c r="W920" s="17"/>
      <c r="X920" s="22"/>
      <c r="Y920" s="22"/>
      <c r="Z920" s="22"/>
      <c r="AA920" s="22"/>
      <c r="AB920" s="22"/>
      <c r="AC920" s="22"/>
      <c r="AD920" s="22"/>
      <c r="AE920" s="22"/>
      <c r="AF920" s="22"/>
      <c r="AG920" s="22"/>
      <c r="AH920" s="22"/>
      <c r="AI920" s="22"/>
      <c r="AJ920" s="17"/>
      <c r="AK920" s="22"/>
      <c r="AL920" s="22"/>
      <c r="AM920" s="22"/>
      <c r="AN920" s="22"/>
      <c r="AO920" s="17"/>
      <c r="AP920" s="17"/>
      <c r="AQ920" s="17"/>
      <c r="AR920" s="1"/>
      <c r="AS920" s="1"/>
      <c r="AT920" s="17"/>
      <c r="AU920" s="1"/>
      <c r="AV920" s="1"/>
      <c r="AW920" s="1"/>
      <c r="AX920" s="2"/>
      <c r="AY920" s="2"/>
      <c r="AZ920" s="1"/>
    </row>
    <row x14ac:dyDescent="0.25" r="921" customHeight="1" ht="18.75">
      <c r="A921" s="1"/>
      <c r="B921" s="1"/>
      <c r="C921" s="1"/>
      <c r="D921" s="1"/>
      <c r="E921" s="1"/>
      <c r="F921" s="1"/>
      <c r="G921" s="1"/>
      <c r="H921" s="1"/>
      <c r="I921" s="1"/>
      <c r="J921" s="1"/>
      <c r="K921" s="17"/>
      <c r="L921" s="1"/>
      <c r="M921" s="1"/>
      <c r="N921" s="2"/>
      <c r="O921" s="2"/>
      <c r="P921" s="1"/>
      <c r="Q921" s="1"/>
      <c r="R921" s="1"/>
      <c r="S921" s="1"/>
      <c r="T921" s="17"/>
      <c r="U921" s="17"/>
      <c r="V921" s="17"/>
      <c r="W921" s="17"/>
      <c r="X921" s="22"/>
      <c r="Y921" s="22"/>
      <c r="Z921" s="22"/>
      <c r="AA921" s="22"/>
      <c r="AB921" s="22"/>
      <c r="AC921" s="22"/>
      <c r="AD921" s="22"/>
      <c r="AE921" s="22"/>
      <c r="AF921" s="22"/>
      <c r="AG921" s="22"/>
      <c r="AH921" s="22"/>
      <c r="AI921" s="22"/>
      <c r="AJ921" s="17"/>
      <c r="AK921" s="22"/>
      <c r="AL921" s="22"/>
      <c r="AM921" s="22"/>
      <c r="AN921" s="22"/>
      <c r="AO921" s="17"/>
      <c r="AP921" s="17"/>
      <c r="AQ921" s="17"/>
      <c r="AR921" s="1"/>
      <c r="AS921" s="1"/>
      <c r="AT921" s="17"/>
      <c r="AU921" s="1"/>
      <c r="AV921" s="1"/>
      <c r="AW921" s="1"/>
      <c r="AX921" s="2"/>
      <c r="AY921" s="2"/>
      <c r="AZ921" s="1"/>
    </row>
    <row x14ac:dyDescent="0.25" r="922" customHeight="1" ht="18.75">
      <c r="A922" s="1"/>
      <c r="B922" s="1"/>
      <c r="C922" s="1"/>
      <c r="D922" s="1"/>
      <c r="E922" s="1"/>
      <c r="F922" s="1"/>
      <c r="G922" s="1"/>
      <c r="H922" s="1"/>
      <c r="I922" s="1"/>
      <c r="J922" s="1"/>
      <c r="K922" s="17"/>
      <c r="L922" s="1"/>
      <c r="M922" s="1"/>
      <c r="N922" s="2"/>
      <c r="O922" s="2"/>
      <c r="P922" s="1"/>
      <c r="Q922" s="1"/>
      <c r="R922" s="1"/>
      <c r="S922" s="1"/>
      <c r="T922" s="17"/>
      <c r="U922" s="17"/>
      <c r="V922" s="17"/>
      <c r="W922" s="17"/>
      <c r="X922" s="22"/>
      <c r="Y922" s="22"/>
      <c r="Z922" s="22"/>
      <c r="AA922" s="22"/>
      <c r="AB922" s="22"/>
      <c r="AC922" s="22"/>
      <c r="AD922" s="22"/>
      <c r="AE922" s="22"/>
      <c r="AF922" s="22"/>
      <c r="AG922" s="22"/>
      <c r="AH922" s="22"/>
      <c r="AI922" s="22"/>
      <c r="AJ922" s="17"/>
      <c r="AK922" s="22"/>
      <c r="AL922" s="22"/>
      <c r="AM922" s="22"/>
      <c r="AN922" s="22"/>
      <c r="AO922" s="17"/>
      <c r="AP922" s="17"/>
      <c r="AQ922" s="17"/>
      <c r="AR922" s="1"/>
      <c r="AS922" s="1"/>
      <c r="AT922" s="17"/>
      <c r="AU922" s="1"/>
      <c r="AV922" s="1"/>
      <c r="AW922" s="1"/>
      <c r="AX922" s="2"/>
      <c r="AY922" s="2"/>
      <c r="AZ922" s="1"/>
    </row>
    <row x14ac:dyDescent="0.25" r="923" customHeight="1" ht="18.75">
      <c r="A923" s="1"/>
      <c r="B923" s="1"/>
      <c r="C923" s="1"/>
      <c r="D923" s="1"/>
      <c r="E923" s="1"/>
      <c r="F923" s="1"/>
      <c r="G923" s="1"/>
      <c r="H923" s="1"/>
      <c r="I923" s="1"/>
      <c r="J923" s="1"/>
      <c r="K923" s="17"/>
      <c r="L923" s="1"/>
      <c r="M923" s="1"/>
      <c r="N923" s="2"/>
      <c r="O923" s="2"/>
      <c r="P923" s="1"/>
      <c r="Q923" s="1"/>
      <c r="R923" s="1"/>
      <c r="S923" s="1"/>
      <c r="T923" s="17"/>
      <c r="U923" s="17"/>
      <c r="V923" s="17"/>
      <c r="W923" s="17"/>
      <c r="X923" s="22"/>
      <c r="Y923" s="22"/>
      <c r="Z923" s="22"/>
      <c r="AA923" s="22"/>
      <c r="AB923" s="22"/>
      <c r="AC923" s="22"/>
      <c r="AD923" s="22"/>
      <c r="AE923" s="22"/>
      <c r="AF923" s="22"/>
      <c r="AG923" s="22"/>
      <c r="AH923" s="22"/>
      <c r="AI923" s="22"/>
      <c r="AJ923" s="17"/>
      <c r="AK923" s="22"/>
      <c r="AL923" s="22"/>
      <c r="AM923" s="22"/>
      <c r="AN923" s="22"/>
      <c r="AO923" s="17"/>
      <c r="AP923" s="17"/>
      <c r="AQ923" s="17"/>
      <c r="AR923" s="1"/>
      <c r="AS923" s="1"/>
      <c r="AT923" s="17"/>
      <c r="AU923" s="1"/>
      <c r="AV923" s="1"/>
      <c r="AW923" s="1"/>
      <c r="AX923" s="2"/>
      <c r="AY923" s="2"/>
      <c r="AZ923" s="1"/>
    </row>
    <row x14ac:dyDescent="0.25" r="924" customHeight="1" ht="18.75">
      <c r="A924" s="1"/>
      <c r="B924" s="1"/>
      <c r="C924" s="1"/>
      <c r="D924" s="1"/>
      <c r="E924" s="1"/>
      <c r="F924" s="1"/>
      <c r="G924" s="1"/>
      <c r="H924" s="1"/>
      <c r="I924" s="1"/>
      <c r="J924" s="1"/>
      <c r="K924" s="17"/>
      <c r="L924" s="1"/>
      <c r="M924" s="1"/>
      <c r="N924" s="2"/>
      <c r="O924" s="2"/>
      <c r="P924" s="1"/>
      <c r="Q924" s="1"/>
      <c r="R924" s="1"/>
      <c r="S924" s="1"/>
      <c r="T924" s="17"/>
      <c r="U924" s="17"/>
      <c r="V924" s="17"/>
      <c r="W924" s="17"/>
      <c r="X924" s="22"/>
      <c r="Y924" s="22"/>
      <c r="Z924" s="22"/>
      <c r="AA924" s="22"/>
      <c r="AB924" s="22"/>
      <c r="AC924" s="22"/>
      <c r="AD924" s="22"/>
      <c r="AE924" s="22"/>
      <c r="AF924" s="22"/>
      <c r="AG924" s="22"/>
      <c r="AH924" s="22"/>
      <c r="AI924" s="22"/>
      <c r="AJ924" s="17"/>
      <c r="AK924" s="22"/>
      <c r="AL924" s="22"/>
      <c r="AM924" s="22"/>
      <c r="AN924" s="22"/>
      <c r="AO924" s="17"/>
      <c r="AP924" s="17"/>
      <c r="AQ924" s="17"/>
      <c r="AR924" s="1"/>
      <c r="AS924" s="1"/>
      <c r="AT924" s="17"/>
      <c r="AU924" s="1"/>
      <c r="AV924" s="1"/>
      <c r="AW924" s="1"/>
      <c r="AX924" s="2"/>
      <c r="AY924" s="2"/>
      <c r="AZ924" s="1"/>
    </row>
    <row x14ac:dyDescent="0.25" r="925" customHeight="1" ht="18.75">
      <c r="A925" s="1"/>
      <c r="B925" s="1"/>
      <c r="C925" s="1"/>
      <c r="D925" s="1"/>
      <c r="E925" s="1"/>
      <c r="F925" s="1"/>
      <c r="G925" s="1"/>
      <c r="H925" s="1"/>
      <c r="I925" s="1"/>
      <c r="J925" s="1"/>
      <c r="K925" s="17"/>
      <c r="L925" s="1"/>
      <c r="M925" s="1"/>
      <c r="N925" s="2"/>
      <c r="O925" s="2"/>
      <c r="P925" s="1"/>
      <c r="Q925" s="1"/>
      <c r="R925" s="1"/>
      <c r="S925" s="1"/>
      <c r="T925" s="17"/>
      <c r="U925" s="17"/>
      <c r="V925" s="17"/>
      <c r="W925" s="17"/>
      <c r="X925" s="22"/>
      <c r="Y925" s="22"/>
      <c r="Z925" s="22"/>
      <c r="AA925" s="22"/>
      <c r="AB925" s="22"/>
      <c r="AC925" s="22"/>
      <c r="AD925" s="22"/>
      <c r="AE925" s="22"/>
      <c r="AF925" s="22"/>
      <c r="AG925" s="22"/>
      <c r="AH925" s="22"/>
      <c r="AI925" s="22"/>
      <c r="AJ925" s="17"/>
      <c r="AK925" s="22"/>
      <c r="AL925" s="22"/>
      <c r="AM925" s="22"/>
      <c r="AN925" s="22"/>
      <c r="AO925" s="17"/>
      <c r="AP925" s="17"/>
      <c r="AQ925" s="17"/>
      <c r="AR925" s="1"/>
      <c r="AS925" s="1"/>
      <c r="AT925" s="17"/>
      <c r="AU925" s="1"/>
      <c r="AV925" s="1"/>
      <c r="AW925" s="1"/>
      <c r="AX925" s="2"/>
      <c r="AY925" s="2"/>
      <c r="AZ925" s="1"/>
    </row>
    <row x14ac:dyDescent="0.25" r="926" customHeight="1" ht="18.75">
      <c r="A926" s="1"/>
      <c r="B926" s="1"/>
      <c r="C926" s="1"/>
      <c r="D926" s="1"/>
      <c r="E926" s="1"/>
      <c r="F926" s="1"/>
      <c r="G926" s="1"/>
      <c r="H926" s="1"/>
      <c r="I926" s="1"/>
      <c r="J926" s="1"/>
      <c r="K926" s="17"/>
      <c r="L926" s="1"/>
      <c r="M926" s="1"/>
      <c r="N926" s="2"/>
      <c r="O926" s="2"/>
      <c r="P926" s="1"/>
      <c r="Q926" s="1"/>
      <c r="R926" s="1"/>
      <c r="S926" s="1"/>
      <c r="T926" s="17"/>
      <c r="U926" s="17"/>
      <c r="V926" s="17"/>
      <c r="W926" s="17"/>
      <c r="X926" s="22"/>
      <c r="Y926" s="22"/>
      <c r="Z926" s="22"/>
      <c r="AA926" s="22"/>
      <c r="AB926" s="22"/>
      <c r="AC926" s="22"/>
      <c r="AD926" s="22"/>
      <c r="AE926" s="22"/>
      <c r="AF926" s="22"/>
      <c r="AG926" s="22"/>
      <c r="AH926" s="22"/>
      <c r="AI926" s="22"/>
      <c r="AJ926" s="17"/>
      <c r="AK926" s="22"/>
      <c r="AL926" s="22"/>
      <c r="AM926" s="22"/>
      <c r="AN926" s="22"/>
      <c r="AO926" s="17"/>
      <c r="AP926" s="17"/>
      <c r="AQ926" s="17"/>
      <c r="AR926" s="1"/>
      <c r="AS926" s="1"/>
      <c r="AT926" s="17"/>
      <c r="AU926" s="1"/>
      <c r="AV926" s="1"/>
      <c r="AW926" s="1"/>
      <c r="AX926" s="2"/>
      <c r="AY926" s="2"/>
      <c r="AZ926" s="1"/>
    </row>
    <row x14ac:dyDescent="0.25" r="927" customHeight="1" ht="18.75">
      <c r="A927" s="1"/>
      <c r="B927" s="1"/>
      <c r="C927" s="1"/>
      <c r="D927" s="1"/>
      <c r="E927" s="1"/>
      <c r="F927" s="1"/>
      <c r="G927" s="1"/>
      <c r="H927" s="1"/>
      <c r="I927" s="1"/>
      <c r="J927" s="1"/>
      <c r="K927" s="17"/>
      <c r="L927" s="1"/>
      <c r="M927" s="1"/>
      <c r="N927" s="2"/>
      <c r="O927" s="2"/>
      <c r="P927" s="1"/>
      <c r="Q927" s="1"/>
      <c r="R927" s="1"/>
      <c r="S927" s="1"/>
      <c r="T927" s="17"/>
      <c r="U927" s="17"/>
      <c r="V927" s="17"/>
      <c r="W927" s="17"/>
      <c r="X927" s="22"/>
      <c r="Y927" s="22"/>
      <c r="Z927" s="22"/>
      <c r="AA927" s="22"/>
      <c r="AB927" s="22"/>
      <c r="AC927" s="22"/>
      <c r="AD927" s="22"/>
      <c r="AE927" s="22"/>
      <c r="AF927" s="22"/>
      <c r="AG927" s="22"/>
      <c r="AH927" s="22"/>
      <c r="AI927" s="22"/>
      <c r="AJ927" s="17"/>
      <c r="AK927" s="22"/>
      <c r="AL927" s="22"/>
      <c r="AM927" s="22"/>
      <c r="AN927" s="22"/>
      <c r="AO927" s="17"/>
      <c r="AP927" s="17"/>
      <c r="AQ927" s="17"/>
      <c r="AR927" s="1"/>
      <c r="AS927" s="1"/>
      <c r="AT927" s="17"/>
      <c r="AU927" s="1"/>
      <c r="AV927" s="1"/>
      <c r="AW927" s="1"/>
      <c r="AX927" s="2"/>
      <c r="AY927" s="2"/>
      <c r="AZ927" s="1"/>
    </row>
    <row x14ac:dyDescent="0.25" r="928" customHeight="1" ht="18.75">
      <c r="A928" s="1"/>
      <c r="B928" s="1"/>
      <c r="C928" s="1"/>
      <c r="D928" s="1"/>
      <c r="E928" s="1"/>
      <c r="F928" s="1"/>
      <c r="G928" s="1"/>
      <c r="H928" s="1"/>
      <c r="I928" s="1"/>
      <c r="J928" s="1"/>
      <c r="K928" s="17"/>
      <c r="L928" s="1"/>
      <c r="M928" s="1"/>
      <c r="N928" s="2"/>
      <c r="O928" s="2"/>
      <c r="P928" s="1"/>
      <c r="Q928" s="1"/>
      <c r="R928" s="1"/>
      <c r="S928" s="1"/>
      <c r="T928" s="17"/>
      <c r="U928" s="17"/>
      <c r="V928" s="17"/>
      <c r="W928" s="17"/>
      <c r="X928" s="22"/>
      <c r="Y928" s="22"/>
      <c r="Z928" s="22"/>
      <c r="AA928" s="22"/>
      <c r="AB928" s="22"/>
      <c r="AC928" s="22"/>
      <c r="AD928" s="22"/>
      <c r="AE928" s="22"/>
      <c r="AF928" s="22"/>
      <c r="AG928" s="22"/>
      <c r="AH928" s="22"/>
      <c r="AI928" s="22"/>
      <c r="AJ928" s="17"/>
      <c r="AK928" s="22"/>
      <c r="AL928" s="22"/>
      <c r="AM928" s="22"/>
      <c r="AN928" s="22"/>
      <c r="AO928" s="17"/>
      <c r="AP928" s="17"/>
      <c r="AQ928" s="17"/>
      <c r="AR928" s="1"/>
      <c r="AS928" s="1"/>
      <c r="AT928" s="17"/>
      <c r="AU928" s="1"/>
      <c r="AV928" s="1"/>
      <c r="AW928" s="1"/>
      <c r="AX928" s="2"/>
      <c r="AY928" s="2"/>
      <c r="AZ928" s="1"/>
    </row>
    <row x14ac:dyDescent="0.25" r="929" customHeight="1" ht="18.75">
      <c r="A929" s="1"/>
      <c r="B929" s="1"/>
      <c r="C929" s="1"/>
      <c r="D929" s="1"/>
      <c r="E929" s="1"/>
      <c r="F929" s="1"/>
      <c r="G929" s="1"/>
      <c r="H929" s="1"/>
      <c r="I929" s="1"/>
      <c r="J929" s="1"/>
      <c r="K929" s="17"/>
      <c r="L929" s="1"/>
      <c r="M929" s="1"/>
      <c r="N929" s="2"/>
      <c r="O929" s="2"/>
      <c r="P929" s="1"/>
      <c r="Q929" s="1"/>
      <c r="R929" s="1"/>
      <c r="S929" s="1"/>
      <c r="T929" s="17"/>
      <c r="U929" s="17"/>
      <c r="V929" s="17"/>
      <c r="W929" s="17"/>
      <c r="X929" s="22"/>
      <c r="Y929" s="22"/>
      <c r="Z929" s="22"/>
      <c r="AA929" s="22"/>
      <c r="AB929" s="22"/>
      <c r="AC929" s="22"/>
      <c r="AD929" s="22"/>
      <c r="AE929" s="22"/>
      <c r="AF929" s="22"/>
      <c r="AG929" s="22"/>
      <c r="AH929" s="22"/>
      <c r="AI929" s="22"/>
      <c r="AJ929" s="17"/>
      <c r="AK929" s="22"/>
      <c r="AL929" s="22"/>
      <c r="AM929" s="22"/>
      <c r="AN929" s="22"/>
      <c r="AO929" s="17"/>
      <c r="AP929" s="17"/>
      <c r="AQ929" s="17"/>
      <c r="AR929" s="1"/>
      <c r="AS929" s="1"/>
      <c r="AT929" s="17"/>
      <c r="AU929" s="1"/>
      <c r="AV929" s="1"/>
      <c r="AW929" s="1"/>
      <c r="AX929" s="2"/>
      <c r="AY929" s="2"/>
      <c r="AZ929" s="1"/>
    </row>
    <row x14ac:dyDescent="0.25" r="930" customHeight="1" ht="18.75">
      <c r="A930" s="1"/>
      <c r="B930" s="1"/>
      <c r="C930" s="1"/>
      <c r="D930" s="1"/>
      <c r="E930" s="1"/>
      <c r="F930" s="1"/>
      <c r="G930" s="1"/>
      <c r="H930" s="1"/>
      <c r="I930" s="1"/>
      <c r="J930" s="1"/>
      <c r="K930" s="17"/>
      <c r="L930" s="1"/>
      <c r="M930" s="1"/>
      <c r="N930" s="2"/>
      <c r="O930" s="2"/>
      <c r="P930" s="1"/>
      <c r="Q930" s="1"/>
      <c r="R930" s="1"/>
      <c r="S930" s="1"/>
      <c r="T930" s="17"/>
      <c r="U930" s="17"/>
      <c r="V930" s="17"/>
      <c r="W930" s="17"/>
      <c r="X930" s="22"/>
      <c r="Y930" s="22"/>
      <c r="Z930" s="22"/>
      <c r="AA930" s="22"/>
      <c r="AB930" s="22"/>
      <c r="AC930" s="22"/>
      <c r="AD930" s="22"/>
      <c r="AE930" s="22"/>
      <c r="AF930" s="22"/>
      <c r="AG930" s="22"/>
      <c r="AH930" s="22"/>
      <c r="AI930" s="22"/>
      <c r="AJ930" s="17"/>
      <c r="AK930" s="22"/>
      <c r="AL930" s="22"/>
      <c r="AM930" s="22"/>
      <c r="AN930" s="22"/>
      <c r="AO930" s="17"/>
      <c r="AP930" s="17"/>
      <c r="AQ930" s="17"/>
      <c r="AR930" s="1"/>
      <c r="AS930" s="1"/>
      <c r="AT930" s="17"/>
      <c r="AU930" s="1"/>
      <c r="AV930" s="1"/>
      <c r="AW930" s="1"/>
      <c r="AX930" s="2"/>
      <c r="AY930" s="2"/>
      <c r="AZ930" s="1"/>
    </row>
    <row x14ac:dyDescent="0.25" r="931" customHeight="1" ht="18.75">
      <c r="A931" s="1"/>
      <c r="B931" s="1"/>
      <c r="C931" s="1"/>
      <c r="D931" s="1"/>
      <c r="E931" s="1"/>
      <c r="F931" s="1"/>
      <c r="G931" s="1"/>
      <c r="H931" s="1"/>
      <c r="I931" s="1"/>
      <c r="J931" s="1"/>
      <c r="K931" s="17"/>
      <c r="L931" s="1"/>
      <c r="M931" s="1"/>
      <c r="N931" s="2"/>
      <c r="O931" s="2"/>
      <c r="P931" s="1"/>
      <c r="Q931" s="1"/>
      <c r="R931" s="1"/>
      <c r="S931" s="1"/>
      <c r="T931" s="17"/>
      <c r="U931" s="17"/>
      <c r="V931" s="17"/>
      <c r="W931" s="17"/>
      <c r="X931" s="22"/>
      <c r="Y931" s="22"/>
      <c r="Z931" s="22"/>
      <c r="AA931" s="22"/>
      <c r="AB931" s="22"/>
      <c r="AC931" s="22"/>
      <c r="AD931" s="22"/>
      <c r="AE931" s="22"/>
      <c r="AF931" s="22"/>
      <c r="AG931" s="22"/>
      <c r="AH931" s="22"/>
      <c r="AI931" s="22"/>
      <c r="AJ931" s="17"/>
      <c r="AK931" s="22"/>
      <c r="AL931" s="22"/>
      <c r="AM931" s="22"/>
      <c r="AN931" s="22"/>
      <c r="AO931" s="17"/>
      <c r="AP931" s="17"/>
      <c r="AQ931" s="17"/>
      <c r="AR931" s="1"/>
      <c r="AS931" s="1"/>
      <c r="AT931" s="17"/>
      <c r="AU931" s="1"/>
      <c r="AV931" s="1"/>
      <c r="AW931" s="1"/>
      <c r="AX931" s="2"/>
      <c r="AY931" s="2"/>
      <c r="AZ931" s="1"/>
    </row>
    <row x14ac:dyDescent="0.25" r="932" customHeight="1" ht="18.75">
      <c r="A932" s="1"/>
      <c r="B932" s="1"/>
      <c r="C932" s="1"/>
      <c r="D932" s="1"/>
      <c r="E932" s="1"/>
      <c r="F932" s="1"/>
      <c r="G932" s="1"/>
      <c r="H932" s="1"/>
      <c r="I932" s="1"/>
      <c r="J932" s="1"/>
      <c r="K932" s="17"/>
      <c r="L932" s="1"/>
      <c r="M932" s="1"/>
      <c r="N932" s="2"/>
      <c r="O932" s="2"/>
      <c r="P932" s="1"/>
      <c r="Q932" s="1"/>
      <c r="R932" s="1"/>
      <c r="S932" s="1"/>
      <c r="T932" s="17"/>
      <c r="U932" s="17"/>
      <c r="V932" s="17"/>
      <c r="W932" s="17"/>
      <c r="X932" s="22"/>
      <c r="Y932" s="22"/>
      <c r="Z932" s="22"/>
      <c r="AA932" s="22"/>
      <c r="AB932" s="22"/>
      <c r="AC932" s="22"/>
      <c r="AD932" s="22"/>
      <c r="AE932" s="22"/>
      <c r="AF932" s="22"/>
      <c r="AG932" s="22"/>
      <c r="AH932" s="22"/>
      <c r="AI932" s="22"/>
      <c r="AJ932" s="17"/>
      <c r="AK932" s="22"/>
      <c r="AL932" s="22"/>
      <c r="AM932" s="22"/>
      <c r="AN932" s="22"/>
      <c r="AO932" s="17"/>
      <c r="AP932" s="17"/>
      <c r="AQ932" s="17"/>
      <c r="AR932" s="1"/>
      <c r="AS932" s="1"/>
      <c r="AT932" s="17"/>
      <c r="AU932" s="1"/>
      <c r="AV932" s="1"/>
      <c r="AW932" s="1"/>
      <c r="AX932" s="2"/>
      <c r="AY932" s="2"/>
      <c r="AZ932" s="1"/>
    </row>
    <row x14ac:dyDescent="0.25" r="933" customHeight="1" ht="18.75">
      <c r="A933" s="1"/>
      <c r="B933" s="1"/>
      <c r="C933" s="1"/>
      <c r="D933" s="1"/>
      <c r="E933" s="1"/>
      <c r="F933" s="1"/>
      <c r="G933" s="1"/>
      <c r="H933" s="1"/>
      <c r="I933" s="1"/>
      <c r="J933" s="1"/>
      <c r="K933" s="17"/>
      <c r="L933" s="1"/>
      <c r="M933" s="1"/>
      <c r="N933" s="2"/>
      <c r="O933" s="2"/>
      <c r="P933" s="1"/>
      <c r="Q933" s="1"/>
      <c r="R933" s="1"/>
      <c r="S933" s="1"/>
      <c r="T933" s="17"/>
      <c r="U933" s="17"/>
      <c r="V933" s="17"/>
      <c r="W933" s="17"/>
      <c r="X933" s="22"/>
      <c r="Y933" s="22"/>
      <c r="Z933" s="22"/>
      <c r="AA933" s="22"/>
      <c r="AB933" s="22"/>
      <c r="AC933" s="22"/>
      <c r="AD933" s="22"/>
      <c r="AE933" s="22"/>
      <c r="AF933" s="22"/>
      <c r="AG933" s="22"/>
      <c r="AH933" s="22"/>
      <c r="AI933" s="22"/>
      <c r="AJ933" s="17"/>
      <c r="AK933" s="22"/>
      <c r="AL933" s="22"/>
      <c r="AM933" s="22"/>
      <c r="AN933" s="22"/>
      <c r="AO933" s="17"/>
      <c r="AP933" s="17"/>
      <c r="AQ933" s="17"/>
      <c r="AR933" s="1"/>
      <c r="AS933" s="1"/>
      <c r="AT933" s="17"/>
      <c r="AU933" s="1"/>
      <c r="AV933" s="1"/>
      <c r="AW933" s="1"/>
      <c r="AX933" s="2"/>
      <c r="AY933" s="2"/>
      <c r="AZ933" s="1"/>
    </row>
    <row x14ac:dyDescent="0.25" r="934" customHeight="1" ht="18.75">
      <c r="A934" s="1"/>
      <c r="B934" s="1"/>
      <c r="C934" s="1"/>
      <c r="D934" s="1"/>
      <c r="E934" s="1"/>
      <c r="F934" s="1"/>
      <c r="G934" s="1"/>
      <c r="H934" s="1"/>
      <c r="I934" s="1"/>
      <c r="J934" s="1"/>
      <c r="K934" s="17"/>
      <c r="L934" s="1"/>
      <c r="M934" s="1"/>
      <c r="N934" s="2"/>
      <c r="O934" s="2"/>
      <c r="P934" s="1"/>
      <c r="Q934" s="1"/>
      <c r="R934" s="1"/>
      <c r="S934" s="1"/>
      <c r="T934" s="17"/>
      <c r="U934" s="17"/>
      <c r="V934" s="17"/>
      <c r="W934" s="17"/>
      <c r="X934" s="22"/>
      <c r="Y934" s="22"/>
      <c r="Z934" s="22"/>
      <c r="AA934" s="22"/>
      <c r="AB934" s="22"/>
      <c r="AC934" s="22"/>
      <c r="AD934" s="22"/>
      <c r="AE934" s="22"/>
      <c r="AF934" s="22"/>
      <c r="AG934" s="22"/>
      <c r="AH934" s="22"/>
      <c r="AI934" s="22"/>
      <c r="AJ934" s="17"/>
      <c r="AK934" s="22"/>
      <c r="AL934" s="22"/>
      <c r="AM934" s="22"/>
      <c r="AN934" s="22"/>
      <c r="AO934" s="17"/>
      <c r="AP934" s="17"/>
      <c r="AQ934" s="17"/>
      <c r="AR934" s="1"/>
      <c r="AS934" s="1"/>
      <c r="AT934" s="17"/>
      <c r="AU934" s="1"/>
      <c r="AV934" s="1"/>
      <c r="AW934" s="1"/>
      <c r="AX934" s="2"/>
      <c r="AY934" s="2"/>
      <c r="AZ934" s="1"/>
    </row>
    <row x14ac:dyDescent="0.25" r="935" customHeight="1" ht="18.75">
      <c r="A935" s="1"/>
      <c r="B935" s="1"/>
      <c r="C935" s="1"/>
      <c r="D935" s="1"/>
      <c r="E935" s="1"/>
      <c r="F935" s="1"/>
      <c r="G935" s="1"/>
      <c r="H935" s="1"/>
      <c r="I935" s="1"/>
      <c r="J935" s="1"/>
      <c r="K935" s="17"/>
      <c r="L935" s="1"/>
      <c r="M935" s="1"/>
      <c r="N935" s="2"/>
      <c r="O935" s="2"/>
      <c r="P935" s="1"/>
      <c r="Q935" s="1"/>
      <c r="R935" s="1"/>
      <c r="S935" s="1"/>
      <c r="T935" s="17"/>
      <c r="U935" s="17"/>
      <c r="V935" s="17"/>
      <c r="W935" s="17"/>
      <c r="X935" s="22"/>
      <c r="Y935" s="22"/>
      <c r="Z935" s="22"/>
      <c r="AA935" s="22"/>
      <c r="AB935" s="22"/>
      <c r="AC935" s="22"/>
      <c r="AD935" s="22"/>
      <c r="AE935" s="22"/>
      <c r="AF935" s="22"/>
      <c r="AG935" s="22"/>
      <c r="AH935" s="22"/>
      <c r="AI935" s="22"/>
      <c r="AJ935" s="17"/>
      <c r="AK935" s="22"/>
      <c r="AL935" s="22"/>
      <c r="AM935" s="22"/>
      <c r="AN935" s="22"/>
      <c r="AO935" s="17"/>
      <c r="AP935" s="17"/>
      <c r="AQ935" s="17"/>
      <c r="AR935" s="1"/>
      <c r="AS935" s="1"/>
      <c r="AT935" s="17"/>
      <c r="AU935" s="1"/>
      <c r="AV935" s="1"/>
      <c r="AW935" s="1"/>
      <c r="AX935" s="2"/>
      <c r="AY935" s="2"/>
      <c r="AZ935" s="1"/>
    </row>
    <row x14ac:dyDescent="0.25" r="936" customHeight="1" ht="18.75">
      <c r="A936" s="1"/>
      <c r="B936" s="1"/>
      <c r="C936" s="1"/>
      <c r="D936" s="1"/>
      <c r="E936" s="1"/>
      <c r="F936" s="1"/>
      <c r="G936" s="1"/>
      <c r="H936" s="1"/>
      <c r="I936" s="1"/>
      <c r="J936" s="1"/>
      <c r="K936" s="17"/>
      <c r="L936" s="1"/>
      <c r="M936" s="1"/>
      <c r="N936" s="2"/>
      <c r="O936" s="2"/>
      <c r="P936" s="1"/>
      <c r="Q936" s="1"/>
      <c r="R936" s="1"/>
      <c r="S936" s="1"/>
      <c r="T936" s="17"/>
      <c r="U936" s="17"/>
      <c r="V936" s="17"/>
      <c r="W936" s="17"/>
      <c r="X936" s="22"/>
      <c r="Y936" s="22"/>
      <c r="Z936" s="22"/>
      <c r="AA936" s="22"/>
      <c r="AB936" s="22"/>
      <c r="AC936" s="22"/>
      <c r="AD936" s="22"/>
      <c r="AE936" s="22"/>
      <c r="AF936" s="22"/>
      <c r="AG936" s="22"/>
      <c r="AH936" s="22"/>
      <c r="AI936" s="22"/>
      <c r="AJ936" s="17"/>
      <c r="AK936" s="22"/>
      <c r="AL936" s="22"/>
      <c r="AM936" s="22"/>
      <c r="AN936" s="22"/>
      <c r="AO936" s="17"/>
      <c r="AP936" s="17"/>
      <c r="AQ936" s="17"/>
      <c r="AR936" s="1"/>
      <c r="AS936" s="1"/>
      <c r="AT936" s="17"/>
      <c r="AU936" s="1"/>
      <c r="AV936" s="1"/>
      <c r="AW936" s="1"/>
      <c r="AX936" s="2"/>
      <c r="AY936" s="2"/>
      <c r="AZ936" s="1"/>
    </row>
    <row x14ac:dyDescent="0.25" r="937" customHeight="1" ht="18.75">
      <c r="A937" s="1"/>
      <c r="B937" s="1"/>
      <c r="C937" s="1"/>
      <c r="D937" s="1"/>
      <c r="E937" s="1"/>
      <c r="F937" s="1"/>
      <c r="G937" s="1"/>
      <c r="H937" s="1"/>
      <c r="I937" s="1"/>
      <c r="J937" s="1"/>
      <c r="K937" s="17"/>
      <c r="L937" s="1"/>
      <c r="M937" s="1"/>
      <c r="N937" s="2"/>
      <c r="O937" s="2"/>
      <c r="P937" s="1"/>
      <c r="Q937" s="1"/>
      <c r="R937" s="1"/>
      <c r="S937" s="1"/>
      <c r="T937" s="17"/>
      <c r="U937" s="17"/>
      <c r="V937" s="17"/>
      <c r="W937" s="17"/>
      <c r="X937" s="22"/>
      <c r="Y937" s="22"/>
      <c r="Z937" s="22"/>
      <c r="AA937" s="22"/>
      <c r="AB937" s="22"/>
      <c r="AC937" s="22"/>
      <c r="AD937" s="22"/>
      <c r="AE937" s="22"/>
      <c r="AF937" s="22"/>
      <c r="AG937" s="22"/>
      <c r="AH937" s="22"/>
      <c r="AI937" s="22"/>
      <c r="AJ937" s="17"/>
      <c r="AK937" s="22"/>
      <c r="AL937" s="22"/>
      <c r="AM937" s="22"/>
      <c r="AN937" s="22"/>
      <c r="AO937" s="17"/>
      <c r="AP937" s="17"/>
      <c r="AQ937" s="17"/>
      <c r="AR937" s="1"/>
      <c r="AS937" s="1"/>
      <c r="AT937" s="17"/>
      <c r="AU937" s="1"/>
      <c r="AV937" s="1"/>
      <c r="AW937" s="1"/>
      <c r="AX937" s="2"/>
      <c r="AY937" s="2"/>
      <c r="AZ937" s="1"/>
    </row>
    <row x14ac:dyDescent="0.25" r="938" customHeight="1" ht="18.75">
      <c r="A938" s="1"/>
      <c r="B938" s="1"/>
      <c r="C938" s="1"/>
      <c r="D938" s="1"/>
      <c r="E938" s="1"/>
      <c r="F938" s="1"/>
      <c r="G938" s="1"/>
      <c r="H938" s="1"/>
      <c r="I938" s="1"/>
      <c r="J938" s="1"/>
      <c r="K938" s="17"/>
      <c r="L938" s="1"/>
      <c r="M938" s="1"/>
      <c r="N938" s="2"/>
      <c r="O938" s="2"/>
      <c r="P938" s="1"/>
      <c r="Q938" s="1"/>
      <c r="R938" s="1"/>
      <c r="S938" s="1"/>
      <c r="T938" s="17"/>
      <c r="U938" s="17"/>
      <c r="V938" s="17"/>
      <c r="W938" s="17"/>
      <c r="X938" s="22"/>
      <c r="Y938" s="22"/>
      <c r="Z938" s="22"/>
      <c r="AA938" s="22"/>
      <c r="AB938" s="22"/>
      <c r="AC938" s="22"/>
      <c r="AD938" s="22"/>
      <c r="AE938" s="22"/>
      <c r="AF938" s="22"/>
      <c r="AG938" s="22"/>
      <c r="AH938" s="22"/>
      <c r="AI938" s="22"/>
      <c r="AJ938" s="17"/>
      <c r="AK938" s="22"/>
      <c r="AL938" s="22"/>
      <c r="AM938" s="22"/>
      <c r="AN938" s="22"/>
      <c r="AO938" s="17"/>
      <c r="AP938" s="17"/>
      <c r="AQ938" s="17"/>
      <c r="AR938" s="1"/>
      <c r="AS938" s="1"/>
      <c r="AT938" s="17"/>
      <c r="AU938" s="1"/>
      <c r="AV938" s="1"/>
      <c r="AW938" s="1"/>
      <c r="AX938" s="2"/>
      <c r="AY938" s="2"/>
      <c r="AZ938" s="1"/>
    </row>
    <row x14ac:dyDescent="0.25" r="939" customHeight="1" ht="18.75">
      <c r="A939" s="1"/>
      <c r="B939" s="1"/>
      <c r="C939" s="1"/>
      <c r="D939" s="1"/>
      <c r="E939" s="1"/>
      <c r="F939" s="1"/>
      <c r="G939" s="1"/>
      <c r="H939" s="1"/>
      <c r="I939" s="1"/>
      <c r="J939" s="1"/>
      <c r="K939" s="17"/>
      <c r="L939" s="1"/>
      <c r="M939" s="1"/>
      <c r="N939" s="2"/>
      <c r="O939" s="2"/>
      <c r="P939" s="1"/>
      <c r="Q939" s="1"/>
      <c r="R939" s="1"/>
      <c r="S939" s="1"/>
      <c r="T939" s="17"/>
      <c r="U939" s="17"/>
      <c r="V939" s="17"/>
      <c r="W939" s="17"/>
      <c r="X939" s="22"/>
      <c r="Y939" s="22"/>
      <c r="Z939" s="22"/>
      <c r="AA939" s="22"/>
      <c r="AB939" s="22"/>
      <c r="AC939" s="22"/>
      <c r="AD939" s="22"/>
      <c r="AE939" s="22"/>
      <c r="AF939" s="22"/>
      <c r="AG939" s="22"/>
      <c r="AH939" s="22"/>
      <c r="AI939" s="22"/>
      <c r="AJ939" s="17"/>
      <c r="AK939" s="22"/>
      <c r="AL939" s="22"/>
      <c r="AM939" s="22"/>
      <c r="AN939" s="22"/>
      <c r="AO939" s="17"/>
      <c r="AP939" s="17"/>
      <c r="AQ939" s="17"/>
      <c r="AR939" s="1"/>
      <c r="AS939" s="1"/>
      <c r="AT939" s="17"/>
      <c r="AU939" s="1"/>
      <c r="AV939" s="1"/>
      <c r="AW939" s="1"/>
      <c r="AX939" s="2"/>
      <c r="AY939" s="2"/>
      <c r="AZ939" s="1"/>
    </row>
    <row x14ac:dyDescent="0.25" r="940" customHeight="1" ht="18.75">
      <c r="A940" s="1"/>
      <c r="B940" s="1"/>
      <c r="C940" s="1"/>
      <c r="D940" s="1"/>
      <c r="E940" s="1"/>
      <c r="F940" s="1"/>
      <c r="G940" s="1"/>
      <c r="H940" s="1"/>
      <c r="I940" s="1"/>
      <c r="J940" s="1"/>
      <c r="K940" s="17"/>
      <c r="L940" s="1"/>
      <c r="M940" s="1"/>
      <c r="N940" s="2"/>
      <c r="O940" s="2"/>
      <c r="P940" s="1"/>
      <c r="Q940" s="1"/>
      <c r="R940" s="1"/>
      <c r="S940" s="1"/>
      <c r="T940" s="17"/>
      <c r="U940" s="17"/>
      <c r="V940" s="17"/>
      <c r="W940" s="17"/>
      <c r="X940" s="22"/>
      <c r="Y940" s="22"/>
      <c r="Z940" s="22"/>
      <c r="AA940" s="22"/>
      <c r="AB940" s="22"/>
      <c r="AC940" s="22"/>
      <c r="AD940" s="22"/>
      <c r="AE940" s="22"/>
      <c r="AF940" s="22"/>
      <c r="AG940" s="22"/>
      <c r="AH940" s="22"/>
      <c r="AI940" s="22"/>
      <c r="AJ940" s="17"/>
      <c r="AK940" s="22"/>
      <c r="AL940" s="22"/>
      <c r="AM940" s="22"/>
      <c r="AN940" s="22"/>
      <c r="AO940" s="17"/>
      <c r="AP940" s="17"/>
      <c r="AQ940" s="17"/>
      <c r="AR940" s="1"/>
      <c r="AS940" s="1"/>
      <c r="AT940" s="17"/>
      <c r="AU940" s="1"/>
      <c r="AV940" s="1"/>
      <c r="AW940" s="1"/>
      <c r="AX940" s="2"/>
      <c r="AY940" s="2"/>
      <c r="AZ940" s="1"/>
    </row>
    <row x14ac:dyDescent="0.25" r="941" customHeight="1" ht="18.75">
      <c r="A941" s="1"/>
      <c r="B941" s="1"/>
      <c r="C941" s="1"/>
      <c r="D941" s="1"/>
      <c r="E941" s="1"/>
      <c r="F941" s="1"/>
      <c r="G941" s="1"/>
      <c r="H941" s="1"/>
      <c r="I941" s="1"/>
      <c r="J941" s="1"/>
      <c r="K941" s="17"/>
      <c r="L941" s="1"/>
      <c r="M941" s="1"/>
      <c r="N941" s="2"/>
      <c r="O941" s="2"/>
      <c r="P941" s="1"/>
      <c r="Q941" s="1"/>
      <c r="R941" s="1"/>
      <c r="S941" s="1"/>
      <c r="T941" s="17"/>
      <c r="U941" s="17"/>
      <c r="V941" s="17"/>
      <c r="W941" s="17"/>
      <c r="X941" s="22"/>
      <c r="Y941" s="22"/>
      <c r="Z941" s="22"/>
      <c r="AA941" s="22"/>
      <c r="AB941" s="22"/>
      <c r="AC941" s="22"/>
      <c r="AD941" s="22"/>
      <c r="AE941" s="22"/>
      <c r="AF941" s="22"/>
      <c r="AG941" s="22"/>
      <c r="AH941" s="22"/>
      <c r="AI941" s="22"/>
      <c r="AJ941" s="17"/>
      <c r="AK941" s="22"/>
      <c r="AL941" s="22"/>
      <c r="AM941" s="22"/>
      <c r="AN941" s="22"/>
      <c r="AO941" s="17"/>
      <c r="AP941" s="17"/>
      <c r="AQ941" s="17"/>
      <c r="AR941" s="1"/>
      <c r="AS941" s="1"/>
      <c r="AT941" s="17"/>
      <c r="AU941" s="1"/>
      <c r="AV941" s="1"/>
      <c r="AW941" s="1"/>
      <c r="AX941" s="2"/>
      <c r="AY941" s="2"/>
      <c r="AZ941" s="1"/>
    </row>
    <row x14ac:dyDescent="0.25" r="942" customHeight="1" ht="18.75">
      <c r="A942" s="1"/>
      <c r="B942" s="1"/>
      <c r="C942" s="1"/>
      <c r="D942" s="1"/>
      <c r="E942" s="1"/>
      <c r="F942" s="1"/>
      <c r="G942" s="1"/>
      <c r="H942" s="1"/>
      <c r="I942" s="1"/>
      <c r="J942" s="1"/>
      <c r="K942" s="17"/>
      <c r="L942" s="1"/>
      <c r="M942" s="1"/>
      <c r="N942" s="2"/>
      <c r="O942" s="2"/>
      <c r="P942" s="1"/>
      <c r="Q942" s="1"/>
      <c r="R942" s="1"/>
      <c r="S942" s="1"/>
      <c r="T942" s="17"/>
      <c r="U942" s="17"/>
      <c r="V942" s="17"/>
      <c r="W942" s="17"/>
      <c r="X942" s="22"/>
      <c r="Y942" s="22"/>
      <c r="Z942" s="22"/>
      <c r="AA942" s="22"/>
      <c r="AB942" s="22"/>
      <c r="AC942" s="22"/>
      <c r="AD942" s="22"/>
      <c r="AE942" s="22"/>
      <c r="AF942" s="22"/>
      <c r="AG942" s="22"/>
      <c r="AH942" s="22"/>
      <c r="AI942" s="22"/>
      <c r="AJ942" s="17"/>
      <c r="AK942" s="22"/>
      <c r="AL942" s="22"/>
      <c r="AM942" s="22"/>
      <c r="AN942" s="22"/>
      <c r="AO942" s="17"/>
      <c r="AP942" s="17"/>
      <c r="AQ942" s="17"/>
      <c r="AR942" s="1"/>
      <c r="AS942" s="1"/>
      <c r="AT942" s="17"/>
      <c r="AU942" s="1"/>
      <c r="AV942" s="1"/>
      <c r="AW942" s="1"/>
      <c r="AX942" s="2"/>
      <c r="AY942" s="2"/>
      <c r="AZ942" s="1"/>
    </row>
    <row x14ac:dyDescent="0.25" r="943" customHeight="1" ht="18.75">
      <c r="A943" s="1"/>
      <c r="B943" s="1"/>
      <c r="C943" s="1"/>
      <c r="D943" s="1"/>
      <c r="E943" s="1"/>
      <c r="F943" s="1"/>
      <c r="G943" s="1"/>
      <c r="H943" s="1"/>
      <c r="I943" s="1"/>
      <c r="J943" s="1"/>
      <c r="K943" s="17"/>
      <c r="L943" s="1"/>
      <c r="M943" s="1"/>
      <c r="N943" s="2"/>
      <c r="O943" s="2"/>
      <c r="P943" s="1"/>
      <c r="Q943" s="1"/>
      <c r="R943" s="1"/>
      <c r="S943" s="1"/>
      <c r="T943" s="17"/>
      <c r="U943" s="17"/>
      <c r="V943" s="17"/>
      <c r="W943" s="17"/>
      <c r="X943" s="22"/>
      <c r="Y943" s="22"/>
      <c r="Z943" s="22"/>
      <c r="AA943" s="22"/>
      <c r="AB943" s="22"/>
      <c r="AC943" s="22"/>
      <c r="AD943" s="22"/>
      <c r="AE943" s="22"/>
      <c r="AF943" s="22"/>
      <c r="AG943" s="22"/>
      <c r="AH943" s="22"/>
      <c r="AI943" s="22"/>
      <c r="AJ943" s="17"/>
      <c r="AK943" s="22"/>
      <c r="AL943" s="22"/>
      <c r="AM943" s="22"/>
      <c r="AN943" s="22"/>
      <c r="AO943" s="17"/>
      <c r="AP943" s="17"/>
      <c r="AQ943" s="17"/>
      <c r="AR943" s="1"/>
      <c r="AS943" s="1"/>
      <c r="AT943" s="17"/>
      <c r="AU943" s="1"/>
      <c r="AV943" s="1"/>
      <c r="AW943" s="1"/>
      <c r="AX943" s="2"/>
      <c r="AY943" s="2"/>
      <c r="AZ943" s="1"/>
    </row>
    <row x14ac:dyDescent="0.25" r="944" customHeight="1" ht="18.75">
      <c r="A944" s="1"/>
      <c r="B944" s="1"/>
      <c r="C944" s="1"/>
      <c r="D944" s="1"/>
      <c r="E944" s="1"/>
      <c r="F944" s="1"/>
      <c r="G944" s="1"/>
      <c r="H944" s="1"/>
      <c r="I944" s="1"/>
      <c r="J944" s="1"/>
      <c r="K944" s="17"/>
      <c r="L944" s="1"/>
      <c r="M944" s="1"/>
      <c r="N944" s="2"/>
      <c r="O944" s="2"/>
      <c r="P944" s="1"/>
      <c r="Q944" s="1"/>
      <c r="R944" s="1"/>
      <c r="S944" s="1"/>
      <c r="T944" s="17"/>
      <c r="U944" s="17"/>
      <c r="V944" s="17"/>
      <c r="W944" s="17"/>
      <c r="X944" s="22"/>
      <c r="Y944" s="22"/>
      <c r="Z944" s="22"/>
      <c r="AA944" s="22"/>
      <c r="AB944" s="22"/>
      <c r="AC944" s="22"/>
      <c r="AD944" s="22"/>
      <c r="AE944" s="22"/>
      <c r="AF944" s="22"/>
      <c r="AG944" s="22"/>
      <c r="AH944" s="22"/>
      <c r="AI944" s="22"/>
      <c r="AJ944" s="17"/>
      <c r="AK944" s="22"/>
      <c r="AL944" s="22"/>
      <c r="AM944" s="22"/>
      <c r="AN944" s="22"/>
      <c r="AO944" s="17"/>
      <c r="AP944" s="17"/>
      <c r="AQ944" s="17"/>
      <c r="AR944" s="1"/>
      <c r="AS944" s="1"/>
      <c r="AT944" s="17"/>
      <c r="AU944" s="1"/>
      <c r="AV944" s="1"/>
      <c r="AW944" s="1"/>
      <c r="AX944" s="2"/>
      <c r="AY944" s="2"/>
      <c r="AZ944" s="1"/>
    </row>
    <row x14ac:dyDescent="0.25" r="945" customHeight="1" ht="18.75">
      <c r="A945" s="1"/>
      <c r="B945" s="1"/>
      <c r="C945" s="1"/>
      <c r="D945" s="1"/>
      <c r="E945" s="1"/>
      <c r="F945" s="1"/>
      <c r="G945" s="1"/>
      <c r="H945" s="1"/>
      <c r="I945" s="1"/>
      <c r="J945" s="1"/>
      <c r="K945" s="17"/>
      <c r="L945" s="1"/>
      <c r="M945" s="1"/>
      <c r="N945" s="2"/>
      <c r="O945" s="2"/>
      <c r="P945" s="1"/>
      <c r="Q945" s="1"/>
      <c r="R945" s="1"/>
      <c r="S945" s="1"/>
      <c r="T945" s="17"/>
      <c r="U945" s="17"/>
      <c r="V945" s="17"/>
      <c r="W945" s="17"/>
      <c r="X945" s="22"/>
      <c r="Y945" s="22"/>
      <c r="Z945" s="22"/>
      <c r="AA945" s="22"/>
      <c r="AB945" s="22"/>
      <c r="AC945" s="22"/>
      <c r="AD945" s="22"/>
      <c r="AE945" s="22"/>
      <c r="AF945" s="22"/>
      <c r="AG945" s="22"/>
      <c r="AH945" s="22"/>
      <c r="AI945" s="22"/>
      <c r="AJ945" s="17"/>
      <c r="AK945" s="22"/>
      <c r="AL945" s="22"/>
      <c r="AM945" s="22"/>
      <c r="AN945" s="22"/>
      <c r="AO945" s="17"/>
      <c r="AP945" s="17"/>
      <c r="AQ945" s="17"/>
      <c r="AR945" s="1"/>
      <c r="AS945" s="1"/>
      <c r="AT945" s="17"/>
      <c r="AU945" s="1"/>
      <c r="AV945" s="1"/>
      <c r="AW945" s="1"/>
      <c r="AX945" s="2"/>
      <c r="AY945" s="2"/>
      <c r="AZ945" s="1"/>
    </row>
    <row x14ac:dyDescent="0.25" r="946" customHeight="1" ht="18.75">
      <c r="A946" s="1"/>
      <c r="B946" s="1"/>
      <c r="C946" s="1"/>
      <c r="D946" s="1"/>
      <c r="E946" s="1"/>
      <c r="F946" s="1"/>
      <c r="G946" s="1"/>
      <c r="H946" s="1"/>
      <c r="I946" s="1"/>
      <c r="J946" s="1"/>
      <c r="K946" s="17"/>
      <c r="L946" s="1"/>
      <c r="M946" s="1"/>
      <c r="N946" s="2"/>
      <c r="O946" s="2"/>
      <c r="P946" s="1"/>
      <c r="Q946" s="1"/>
      <c r="R946" s="1"/>
      <c r="S946" s="1"/>
      <c r="T946" s="17"/>
      <c r="U946" s="17"/>
      <c r="V946" s="17"/>
      <c r="W946" s="17"/>
      <c r="X946" s="22"/>
      <c r="Y946" s="22"/>
      <c r="Z946" s="22"/>
      <c r="AA946" s="22"/>
      <c r="AB946" s="22"/>
      <c r="AC946" s="22"/>
      <c r="AD946" s="22"/>
      <c r="AE946" s="22"/>
      <c r="AF946" s="22"/>
      <c r="AG946" s="22"/>
      <c r="AH946" s="22"/>
      <c r="AI946" s="22"/>
      <c r="AJ946" s="17"/>
      <c r="AK946" s="22"/>
      <c r="AL946" s="22"/>
      <c r="AM946" s="22"/>
      <c r="AN946" s="22"/>
      <c r="AO946" s="17"/>
      <c r="AP946" s="17"/>
      <c r="AQ946" s="17"/>
      <c r="AR946" s="1"/>
      <c r="AS946" s="1"/>
      <c r="AT946" s="17"/>
      <c r="AU946" s="1"/>
      <c r="AV946" s="1"/>
      <c r="AW946" s="1"/>
      <c r="AX946" s="2"/>
      <c r="AY946" s="2"/>
      <c r="AZ946" s="1"/>
    </row>
    <row x14ac:dyDescent="0.25" r="947" customHeight="1" ht="18.75">
      <c r="A947" s="1"/>
      <c r="B947" s="1"/>
      <c r="C947" s="1"/>
      <c r="D947" s="1"/>
      <c r="E947" s="1"/>
      <c r="F947" s="1"/>
      <c r="G947" s="1"/>
      <c r="H947" s="1"/>
      <c r="I947" s="1"/>
      <c r="J947" s="1"/>
      <c r="K947" s="17"/>
      <c r="L947" s="1"/>
      <c r="M947" s="1"/>
      <c r="N947" s="2"/>
      <c r="O947" s="2"/>
      <c r="P947" s="1"/>
      <c r="Q947" s="1"/>
      <c r="R947" s="1"/>
      <c r="S947" s="1"/>
      <c r="T947" s="17"/>
      <c r="U947" s="17"/>
      <c r="V947" s="17"/>
      <c r="W947" s="17"/>
      <c r="X947" s="22"/>
      <c r="Y947" s="22"/>
      <c r="Z947" s="22"/>
      <c r="AA947" s="22"/>
      <c r="AB947" s="22"/>
      <c r="AC947" s="22"/>
      <c r="AD947" s="22"/>
      <c r="AE947" s="22"/>
      <c r="AF947" s="22"/>
      <c r="AG947" s="22"/>
      <c r="AH947" s="22"/>
      <c r="AI947" s="22"/>
      <c r="AJ947" s="17"/>
      <c r="AK947" s="22"/>
      <c r="AL947" s="22"/>
      <c r="AM947" s="22"/>
      <c r="AN947" s="22"/>
      <c r="AO947" s="17"/>
      <c r="AP947" s="17"/>
      <c r="AQ947" s="17"/>
      <c r="AR947" s="1"/>
      <c r="AS947" s="1"/>
      <c r="AT947" s="17"/>
      <c r="AU947" s="1"/>
      <c r="AV947" s="1"/>
      <c r="AW947" s="1"/>
      <c r="AX947" s="2"/>
      <c r="AY947" s="2"/>
      <c r="AZ947" s="1"/>
    </row>
    <row x14ac:dyDescent="0.25" r="948" customHeight="1" ht="18.75">
      <c r="A948" s="1"/>
      <c r="B948" s="1"/>
      <c r="C948" s="1"/>
      <c r="D948" s="1"/>
      <c r="E948" s="1"/>
      <c r="F948" s="1"/>
      <c r="G948" s="1"/>
      <c r="H948" s="1"/>
      <c r="I948" s="1"/>
      <c r="J948" s="1"/>
      <c r="K948" s="17"/>
      <c r="L948" s="1"/>
      <c r="M948" s="1"/>
      <c r="N948" s="2"/>
      <c r="O948" s="2"/>
      <c r="P948" s="1"/>
      <c r="Q948" s="1"/>
      <c r="R948" s="1"/>
      <c r="S948" s="1"/>
      <c r="T948" s="17"/>
      <c r="U948" s="17"/>
      <c r="V948" s="17"/>
      <c r="W948" s="17"/>
      <c r="X948" s="22"/>
      <c r="Y948" s="22"/>
      <c r="Z948" s="22"/>
      <c r="AA948" s="22"/>
      <c r="AB948" s="22"/>
      <c r="AC948" s="22"/>
      <c r="AD948" s="22"/>
      <c r="AE948" s="22"/>
      <c r="AF948" s="22"/>
      <c r="AG948" s="22"/>
      <c r="AH948" s="22"/>
      <c r="AI948" s="22"/>
      <c r="AJ948" s="17"/>
      <c r="AK948" s="22"/>
      <c r="AL948" s="22"/>
      <c r="AM948" s="22"/>
      <c r="AN948" s="22"/>
      <c r="AO948" s="17"/>
      <c r="AP948" s="17"/>
      <c r="AQ948" s="17"/>
      <c r="AR948" s="1"/>
      <c r="AS948" s="1"/>
      <c r="AT948" s="17"/>
      <c r="AU948" s="1"/>
      <c r="AV948" s="1"/>
      <c r="AW948" s="1"/>
      <c r="AX948" s="2"/>
      <c r="AY948" s="2"/>
      <c r="AZ948" s="1"/>
    </row>
    <row x14ac:dyDescent="0.25" r="949" customHeight="1" ht="18.75">
      <c r="A949" s="1"/>
      <c r="B949" s="1"/>
      <c r="C949" s="1"/>
      <c r="D949" s="1"/>
      <c r="E949" s="1"/>
      <c r="F949" s="1"/>
      <c r="G949" s="1"/>
      <c r="H949" s="1"/>
      <c r="I949" s="1"/>
      <c r="J949" s="1"/>
      <c r="K949" s="17"/>
      <c r="L949" s="1"/>
      <c r="M949" s="1"/>
      <c r="N949" s="2"/>
      <c r="O949" s="2"/>
      <c r="P949" s="1"/>
      <c r="Q949" s="1"/>
      <c r="R949" s="1"/>
      <c r="S949" s="1"/>
      <c r="T949" s="17"/>
      <c r="U949" s="17"/>
      <c r="V949" s="17"/>
      <c r="W949" s="17"/>
      <c r="X949" s="22"/>
      <c r="Y949" s="22"/>
      <c r="Z949" s="22"/>
      <c r="AA949" s="22"/>
      <c r="AB949" s="22"/>
      <c r="AC949" s="22"/>
      <c r="AD949" s="22"/>
      <c r="AE949" s="22"/>
      <c r="AF949" s="22"/>
      <c r="AG949" s="22"/>
      <c r="AH949" s="22"/>
      <c r="AI949" s="22"/>
      <c r="AJ949" s="17"/>
      <c r="AK949" s="22"/>
      <c r="AL949" s="22"/>
      <c r="AM949" s="22"/>
      <c r="AN949" s="22"/>
      <c r="AO949" s="17"/>
      <c r="AP949" s="17"/>
      <c r="AQ949" s="17"/>
      <c r="AR949" s="1"/>
      <c r="AS949" s="1"/>
      <c r="AT949" s="17"/>
      <c r="AU949" s="1"/>
      <c r="AV949" s="1"/>
      <c r="AW949" s="1"/>
      <c r="AX949" s="2"/>
      <c r="AY949" s="2"/>
      <c r="AZ949" s="1"/>
    </row>
    <row x14ac:dyDescent="0.25" r="950" customHeight="1" ht="18.75">
      <c r="A950" s="1"/>
      <c r="B950" s="1"/>
      <c r="C950" s="1"/>
      <c r="D950" s="1"/>
      <c r="E950" s="1"/>
      <c r="F950" s="1"/>
      <c r="G950" s="1"/>
      <c r="H950" s="1"/>
      <c r="I950" s="1"/>
      <c r="J950" s="1"/>
      <c r="K950" s="17"/>
      <c r="L950" s="1"/>
      <c r="M950" s="1"/>
      <c r="N950" s="2"/>
      <c r="O950" s="2"/>
      <c r="P950" s="1"/>
      <c r="Q950" s="1"/>
      <c r="R950" s="1"/>
      <c r="S950" s="1"/>
      <c r="T950" s="17"/>
      <c r="U950" s="17"/>
      <c r="V950" s="17"/>
      <c r="W950" s="17"/>
      <c r="X950" s="22"/>
      <c r="Y950" s="22"/>
      <c r="Z950" s="22"/>
      <c r="AA950" s="22"/>
      <c r="AB950" s="22"/>
      <c r="AC950" s="22"/>
      <c r="AD950" s="22"/>
      <c r="AE950" s="22"/>
      <c r="AF950" s="22"/>
      <c r="AG950" s="22"/>
      <c r="AH950" s="22"/>
      <c r="AI950" s="22"/>
      <c r="AJ950" s="17"/>
      <c r="AK950" s="22"/>
      <c r="AL950" s="22"/>
      <c r="AM950" s="22"/>
      <c r="AN950" s="22"/>
      <c r="AO950" s="17"/>
      <c r="AP950" s="17"/>
      <c r="AQ950" s="17"/>
      <c r="AR950" s="1"/>
      <c r="AS950" s="1"/>
      <c r="AT950" s="17"/>
      <c r="AU950" s="1"/>
      <c r="AV950" s="1"/>
      <c r="AW950" s="1"/>
      <c r="AX950" s="2"/>
      <c r="AY950" s="2"/>
      <c r="AZ950" s="1"/>
    </row>
    <row x14ac:dyDescent="0.25" r="951" customHeight="1" ht="18.75">
      <c r="A951" s="1"/>
      <c r="B951" s="1"/>
      <c r="C951" s="1"/>
      <c r="D951" s="1"/>
      <c r="E951" s="1"/>
      <c r="F951" s="1"/>
      <c r="G951" s="1"/>
      <c r="H951" s="1"/>
      <c r="I951" s="1"/>
      <c r="J951" s="1"/>
      <c r="K951" s="17"/>
      <c r="L951" s="1"/>
      <c r="M951" s="1"/>
      <c r="N951" s="2"/>
      <c r="O951" s="2"/>
      <c r="P951" s="1"/>
      <c r="Q951" s="1"/>
      <c r="R951" s="1"/>
      <c r="S951" s="1"/>
      <c r="T951" s="17"/>
      <c r="U951" s="17"/>
      <c r="V951" s="17"/>
      <c r="W951" s="17"/>
      <c r="X951" s="22"/>
      <c r="Y951" s="22"/>
      <c r="Z951" s="22"/>
      <c r="AA951" s="22"/>
      <c r="AB951" s="22"/>
      <c r="AC951" s="22"/>
      <c r="AD951" s="22"/>
      <c r="AE951" s="22"/>
      <c r="AF951" s="22"/>
      <c r="AG951" s="22"/>
      <c r="AH951" s="22"/>
      <c r="AI951" s="22"/>
      <c r="AJ951" s="17"/>
      <c r="AK951" s="22"/>
      <c r="AL951" s="22"/>
      <c r="AM951" s="22"/>
      <c r="AN951" s="22"/>
      <c r="AO951" s="17"/>
      <c r="AP951" s="17"/>
      <c r="AQ951" s="17"/>
      <c r="AR951" s="1"/>
      <c r="AS951" s="1"/>
      <c r="AT951" s="17"/>
      <c r="AU951" s="1"/>
      <c r="AV951" s="1"/>
      <c r="AW951" s="1"/>
      <c r="AX951" s="2"/>
      <c r="AY951" s="2"/>
      <c r="AZ951" s="1"/>
    </row>
    <row x14ac:dyDescent="0.25" r="952" customHeight="1" ht="18.75">
      <c r="A952" s="1"/>
      <c r="B952" s="1"/>
      <c r="C952" s="1"/>
      <c r="D952" s="1"/>
      <c r="E952" s="1"/>
      <c r="F952" s="1"/>
      <c r="G952" s="1"/>
      <c r="H952" s="1"/>
      <c r="I952" s="1"/>
      <c r="J952" s="1"/>
      <c r="K952" s="17"/>
      <c r="L952" s="1"/>
      <c r="M952" s="1"/>
      <c r="N952" s="2"/>
      <c r="O952" s="2"/>
      <c r="P952" s="1"/>
      <c r="Q952" s="1"/>
      <c r="R952" s="1"/>
      <c r="S952" s="1"/>
      <c r="T952" s="17"/>
      <c r="U952" s="17"/>
      <c r="V952" s="17"/>
      <c r="W952" s="17"/>
      <c r="X952" s="22"/>
      <c r="Y952" s="22"/>
      <c r="Z952" s="22"/>
      <c r="AA952" s="22"/>
      <c r="AB952" s="22"/>
      <c r="AC952" s="22"/>
      <c r="AD952" s="22"/>
      <c r="AE952" s="22"/>
      <c r="AF952" s="22"/>
      <c r="AG952" s="22"/>
      <c r="AH952" s="22"/>
      <c r="AI952" s="22"/>
      <c r="AJ952" s="17"/>
      <c r="AK952" s="22"/>
      <c r="AL952" s="22"/>
      <c r="AM952" s="22"/>
      <c r="AN952" s="22"/>
      <c r="AO952" s="17"/>
      <c r="AP952" s="17"/>
      <c r="AQ952" s="17"/>
      <c r="AR952" s="1"/>
      <c r="AS952" s="1"/>
      <c r="AT952" s="17"/>
      <c r="AU952" s="1"/>
      <c r="AV952" s="1"/>
      <c r="AW952" s="1"/>
      <c r="AX952" s="2"/>
      <c r="AY952" s="2"/>
      <c r="AZ952" s="1"/>
    </row>
    <row x14ac:dyDescent="0.25" r="953" customHeight="1" ht="18.75">
      <c r="A953" s="1"/>
      <c r="B953" s="1"/>
      <c r="C953" s="1"/>
      <c r="D953" s="1"/>
      <c r="E953" s="1"/>
      <c r="F953" s="1"/>
      <c r="G953" s="1"/>
      <c r="H953" s="1"/>
      <c r="I953" s="1"/>
      <c r="J953" s="1"/>
      <c r="K953" s="17"/>
      <c r="L953" s="1"/>
      <c r="M953" s="1"/>
      <c r="N953" s="2"/>
      <c r="O953" s="2"/>
      <c r="P953" s="1"/>
      <c r="Q953" s="1"/>
      <c r="R953" s="1"/>
      <c r="S953" s="1"/>
      <c r="T953" s="17"/>
      <c r="U953" s="17"/>
      <c r="V953" s="17"/>
      <c r="W953" s="17"/>
      <c r="X953" s="22"/>
      <c r="Y953" s="22"/>
      <c r="Z953" s="22"/>
      <c r="AA953" s="22"/>
      <c r="AB953" s="22"/>
      <c r="AC953" s="22"/>
      <c r="AD953" s="22"/>
      <c r="AE953" s="22"/>
      <c r="AF953" s="22"/>
      <c r="AG953" s="22"/>
      <c r="AH953" s="22"/>
      <c r="AI953" s="22"/>
      <c r="AJ953" s="17"/>
      <c r="AK953" s="22"/>
      <c r="AL953" s="22"/>
      <c r="AM953" s="22"/>
      <c r="AN953" s="22"/>
      <c r="AO953" s="17"/>
      <c r="AP953" s="17"/>
      <c r="AQ953" s="17"/>
      <c r="AR953" s="1"/>
      <c r="AS953" s="1"/>
      <c r="AT953" s="17"/>
      <c r="AU953" s="1"/>
      <c r="AV953" s="1"/>
      <c r="AW953" s="1"/>
      <c r="AX953" s="2"/>
      <c r="AY953" s="2"/>
      <c r="AZ953" s="1"/>
    </row>
    <row x14ac:dyDescent="0.25" r="954" customHeight="1" ht="18.75">
      <c r="A954" s="1"/>
      <c r="B954" s="1"/>
      <c r="C954" s="1"/>
      <c r="D954" s="1"/>
      <c r="E954" s="1"/>
      <c r="F954" s="1"/>
      <c r="G954" s="1"/>
      <c r="H954" s="1"/>
      <c r="I954" s="1"/>
      <c r="J954" s="1"/>
      <c r="K954" s="17"/>
      <c r="L954" s="1"/>
      <c r="M954" s="1"/>
      <c r="N954" s="2"/>
      <c r="O954" s="2"/>
      <c r="P954" s="1"/>
      <c r="Q954" s="1"/>
      <c r="R954" s="1"/>
      <c r="S954" s="1"/>
      <c r="T954" s="17"/>
      <c r="U954" s="17"/>
      <c r="V954" s="17"/>
      <c r="W954" s="17"/>
      <c r="X954" s="22"/>
      <c r="Y954" s="22"/>
      <c r="Z954" s="22"/>
      <c r="AA954" s="22"/>
      <c r="AB954" s="22"/>
      <c r="AC954" s="22"/>
      <c r="AD954" s="22"/>
      <c r="AE954" s="22"/>
      <c r="AF954" s="22"/>
      <c r="AG954" s="22"/>
      <c r="AH954" s="22"/>
      <c r="AI954" s="22"/>
      <c r="AJ954" s="17"/>
      <c r="AK954" s="22"/>
      <c r="AL954" s="22"/>
      <c r="AM954" s="22"/>
      <c r="AN954" s="22"/>
      <c r="AO954" s="17"/>
      <c r="AP954" s="17"/>
      <c r="AQ954" s="17"/>
      <c r="AR954" s="1"/>
      <c r="AS954" s="1"/>
      <c r="AT954" s="17"/>
      <c r="AU954" s="1"/>
      <c r="AV954" s="1"/>
      <c r="AW954" s="1"/>
      <c r="AX954" s="2"/>
      <c r="AY954" s="2"/>
      <c r="AZ954" s="1"/>
    </row>
    <row x14ac:dyDescent="0.25" r="955" customHeight="1" ht="18.75">
      <c r="A955" s="1"/>
      <c r="B955" s="1"/>
      <c r="C955" s="1"/>
      <c r="D955" s="1"/>
      <c r="E955" s="1"/>
      <c r="F955" s="1"/>
      <c r="G955" s="1"/>
      <c r="H955" s="1"/>
      <c r="I955" s="1"/>
      <c r="J955" s="1"/>
      <c r="K955" s="17"/>
      <c r="L955" s="1"/>
      <c r="M955" s="1"/>
      <c r="N955" s="2"/>
      <c r="O955" s="2"/>
      <c r="P955" s="1"/>
      <c r="Q955" s="1"/>
      <c r="R955" s="1"/>
      <c r="S955" s="1"/>
      <c r="T955" s="17"/>
      <c r="U955" s="17"/>
      <c r="V955" s="17"/>
      <c r="W955" s="17"/>
      <c r="X955" s="22"/>
      <c r="Y955" s="22"/>
      <c r="Z955" s="22"/>
      <c r="AA955" s="22"/>
      <c r="AB955" s="22"/>
      <c r="AC955" s="22"/>
      <c r="AD955" s="22"/>
      <c r="AE955" s="22"/>
      <c r="AF955" s="22"/>
      <c r="AG955" s="22"/>
      <c r="AH955" s="22"/>
      <c r="AI955" s="22"/>
      <c r="AJ955" s="17"/>
      <c r="AK955" s="22"/>
      <c r="AL955" s="22"/>
      <c r="AM955" s="22"/>
      <c r="AN955" s="22"/>
      <c r="AO955" s="17"/>
      <c r="AP955" s="17"/>
      <c r="AQ955" s="17"/>
      <c r="AR955" s="1"/>
      <c r="AS955" s="1"/>
      <c r="AT955" s="17"/>
      <c r="AU955" s="1"/>
      <c r="AV955" s="1"/>
      <c r="AW955" s="1"/>
      <c r="AX955" s="2"/>
      <c r="AY955" s="2"/>
      <c r="AZ955" s="1"/>
    </row>
    <row x14ac:dyDescent="0.25" r="956" customHeight="1" ht="18.75">
      <c r="A956" s="1"/>
      <c r="B956" s="1"/>
      <c r="C956" s="1"/>
      <c r="D956" s="1"/>
      <c r="E956" s="1"/>
      <c r="F956" s="1"/>
      <c r="G956" s="1"/>
      <c r="H956" s="1"/>
      <c r="I956" s="1"/>
      <c r="J956" s="1"/>
      <c r="K956" s="17"/>
      <c r="L956" s="1"/>
      <c r="M956" s="1"/>
      <c r="N956" s="2"/>
      <c r="O956" s="2"/>
      <c r="P956" s="1"/>
      <c r="Q956" s="1"/>
      <c r="R956" s="1"/>
      <c r="S956" s="1"/>
      <c r="T956" s="17"/>
      <c r="U956" s="17"/>
      <c r="V956" s="17"/>
      <c r="W956" s="17"/>
      <c r="X956" s="22"/>
      <c r="Y956" s="22"/>
      <c r="Z956" s="22"/>
      <c r="AA956" s="22"/>
      <c r="AB956" s="22"/>
      <c r="AC956" s="22"/>
      <c r="AD956" s="22"/>
      <c r="AE956" s="22"/>
      <c r="AF956" s="22"/>
      <c r="AG956" s="22"/>
      <c r="AH956" s="22"/>
      <c r="AI956" s="22"/>
      <c r="AJ956" s="17"/>
      <c r="AK956" s="22"/>
      <c r="AL956" s="22"/>
      <c r="AM956" s="22"/>
      <c r="AN956" s="22"/>
      <c r="AO956" s="17"/>
      <c r="AP956" s="17"/>
      <c r="AQ956" s="17"/>
      <c r="AR956" s="1"/>
      <c r="AS956" s="1"/>
      <c r="AT956" s="17"/>
      <c r="AU956" s="1"/>
      <c r="AV956" s="1"/>
      <c r="AW956" s="1"/>
      <c r="AX956" s="2"/>
      <c r="AY956" s="2"/>
      <c r="AZ956" s="1"/>
    </row>
    <row x14ac:dyDescent="0.25" r="957" customHeight="1" ht="18.75">
      <c r="A957" s="1"/>
      <c r="B957" s="1"/>
      <c r="C957" s="1"/>
      <c r="D957" s="1"/>
      <c r="E957" s="1"/>
      <c r="F957" s="1"/>
      <c r="G957" s="1"/>
      <c r="H957" s="1"/>
      <c r="I957" s="1"/>
      <c r="J957" s="1"/>
      <c r="K957" s="17"/>
      <c r="L957" s="1"/>
      <c r="M957" s="1"/>
      <c r="N957" s="2"/>
      <c r="O957" s="2"/>
      <c r="P957" s="1"/>
      <c r="Q957" s="1"/>
      <c r="R957" s="1"/>
      <c r="S957" s="1"/>
      <c r="T957" s="17"/>
      <c r="U957" s="17"/>
      <c r="V957" s="17"/>
      <c r="W957" s="17"/>
      <c r="X957" s="22"/>
      <c r="Y957" s="22"/>
      <c r="Z957" s="22"/>
      <c r="AA957" s="22"/>
      <c r="AB957" s="22"/>
      <c r="AC957" s="22"/>
      <c r="AD957" s="22"/>
      <c r="AE957" s="22"/>
      <c r="AF957" s="22"/>
      <c r="AG957" s="22"/>
      <c r="AH957" s="22"/>
      <c r="AI957" s="22"/>
      <c r="AJ957" s="17"/>
      <c r="AK957" s="22"/>
      <c r="AL957" s="22"/>
      <c r="AM957" s="22"/>
      <c r="AN957" s="22"/>
      <c r="AO957" s="17"/>
      <c r="AP957" s="17"/>
      <c r="AQ957" s="17"/>
      <c r="AR957" s="1"/>
      <c r="AS957" s="1"/>
      <c r="AT957" s="17"/>
      <c r="AU957" s="1"/>
      <c r="AV957" s="1"/>
      <c r="AW957" s="1"/>
      <c r="AX957" s="2"/>
      <c r="AY957" s="2"/>
      <c r="AZ957" s="1"/>
    </row>
    <row x14ac:dyDescent="0.25" r="958" customHeight="1" ht="18.75">
      <c r="A958" s="1"/>
      <c r="B958" s="1"/>
      <c r="C958" s="1"/>
      <c r="D958" s="1"/>
      <c r="E958" s="1"/>
      <c r="F958" s="1"/>
      <c r="G958" s="1"/>
      <c r="H958" s="1"/>
      <c r="I958" s="1"/>
      <c r="J958" s="1"/>
      <c r="K958" s="17"/>
      <c r="L958" s="1"/>
      <c r="M958" s="1"/>
      <c r="N958" s="2"/>
      <c r="O958" s="2"/>
      <c r="P958" s="1"/>
      <c r="Q958" s="1"/>
      <c r="R958" s="1"/>
      <c r="S958" s="1"/>
      <c r="T958" s="17"/>
      <c r="U958" s="17"/>
      <c r="V958" s="17"/>
      <c r="W958" s="17"/>
      <c r="X958" s="22"/>
      <c r="Y958" s="22"/>
      <c r="Z958" s="22"/>
      <c r="AA958" s="22"/>
      <c r="AB958" s="22"/>
      <c r="AC958" s="22"/>
      <c r="AD958" s="22"/>
      <c r="AE958" s="22"/>
      <c r="AF958" s="22"/>
      <c r="AG958" s="22"/>
      <c r="AH958" s="22"/>
      <c r="AI958" s="22"/>
      <c r="AJ958" s="17"/>
      <c r="AK958" s="22"/>
      <c r="AL958" s="22"/>
      <c r="AM958" s="22"/>
      <c r="AN958" s="22"/>
      <c r="AO958" s="17"/>
      <c r="AP958" s="17"/>
      <c r="AQ958" s="17"/>
      <c r="AR958" s="1"/>
      <c r="AS958" s="1"/>
      <c r="AT958" s="17"/>
      <c r="AU958" s="1"/>
      <c r="AV958" s="1"/>
      <c r="AW958" s="1"/>
      <c r="AX958" s="2"/>
      <c r="AY958" s="2"/>
      <c r="AZ958" s="1"/>
    </row>
    <row x14ac:dyDescent="0.25" r="959" customHeight="1" ht="18.75">
      <c r="A959" s="1"/>
      <c r="B959" s="1"/>
      <c r="C959" s="1"/>
      <c r="D959" s="1"/>
      <c r="E959" s="1"/>
      <c r="F959" s="1"/>
      <c r="G959" s="1"/>
      <c r="H959" s="1"/>
      <c r="I959" s="1"/>
      <c r="J959" s="1"/>
      <c r="K959" s="17"/>
      <c r="L959" s="1"/>
      <c r="M959" s="1"/>
      <c r="N959" s="2"/>
      <c r="O959" s="2"/>
      <c r="P959" s="1"/>
      <c r="Q959" s="1"/>
      <c r="R959" s="1"/>
      <c r="S959" s="1"/>
      <c r="T959" s="17"/>
      <c r="U959" s="17"/>
      <c r="V959" s="17"/>
      <c r="W959" s="17"/>
      <c r="X959" s="22"/>
      <c r="Y959" s="22"/>
      <c r="Z959" s="22"/>
      <c r="AA959" s="22"/>
      <c r="AB959" s="22"/>
      <c r="AC959" s="22"/>
      <c r="AD959" s="22"/>
      <c r="AE959" s="22"/>
      <c r="AF959" s="22"/>
      <c r="AG959" s="22"/>
      <c r="AH959" s="22"/>
      <c r="AI959" s="22"/>
      <c r="AJ959" s="17"/>
      <c r="AK959" s="22"/>
      <c r="AL959" s="22"/>
      <c r="AM959" s="22"/>
      <c r="AN959" s="22"/>
      <c r="AO959" s="17"/>
      <c r="AP959" s="17"/>
      <c r="AQ959" s="17"/>
      <c r="AR959" s="1"/>
      <c r="AS959" s="1"/>
      <c r="AT959" s="17"/>
      <c r="AU959" s="1"/>
      <c r="AV959" s="1"/>
      <c r="AW959" s="1"/>
      <c r="AX959" s="2"/>
      <c r="AY959" s="2"/>
      <c r="AZ959" s="1"/>
    </row>
    <row x14ac:dyDescent="0.25" r="960" customHeight="1" ht="18.75">
      <c r="A960" s="1"/>
      <c r="B960" s="1"/>
      <c r="C960" s="1"/>
      <c r="D960" s="1"/>
      <c r="E960" s="1"/>
      <c r="F960" s="1"/>
      <c r="G960" s="1"/>
      <c r="H960" s="1"/>
      <c r="I960" s="1"/>
      <c r="J960" s="1"/>
      <c r="K960" s="17"/>
      <c r="L960" s="1"/>
      <c r="M960" s="1"/>
      <c r="N960" s="2"/>
      <c r="O960" s="2"/>
      <c r="P960" s="1"/>
      <c r="Q960" s="1"/>
      <c r="R960" s="1"/>
      <c r="S960" s="1"/>
      <c r="T960" s="17"/>
      <c r="U960" s="17"/>
      <c r="V960" s="17"/>
      <c r="W960" s="17"/>
      <c r="X960" s="22"/>
      <c r="Y960" s="17"/>
      <c r="Z960" s="17"/>
      <c r="AA960" s="17"/>
      <c r="AB960" s="17"/>
      <c r="AC960" s="17"/>
      <c r="AD960" s="17"/>
      <c r="AE960" s="17"/>
      <c r="AF960" s="17"/>
      <c r="AG960" s="17"/>
      <c r="AH960" s="17"/>
      <c r="AI960" s="17"/>
      <c r="AJ960" s="17"/>
      <c r="AK960" s="17"/>
      <c r="AL960" s="17"/>
      <c r="AM960" s="17"/>
      <c r="AN960" s="17"/>
      <c r="AO960" s="17"/>
      <c r="AP960" s="17"/>
      <c r="AQ960" s="17"/>
      <c r="AR960" s="1"/>
      <c r="AS960" s="1"/>
      <c r="AT960" s="17"/>
      <c r="AU960" s="1"/>
      <c r="AV960" s="1"/>
      <c r="AW960" s="1"/>
      <c r="AX960" s="2"/>
      <c r="AY960" s="2"/>
      <c r="AZ960" s="1"/>
    </row>
  </sheetData>
  <mergeCells count="2">
    <mergeCell ref="L2:L6"/>
    <mergeCell ref="M2:O6"/>
  </mergeCells>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F233"/>
  <sheetViews>
    <sheetView workbookViewId="0"/>
  </sheetViews>
  <sheetFormatPr defaultRowHeight="15" x14ac:dyDescent="0.25"/>
  <cols>
    <col min="1" max="1" style="15" width="18.433571428571426" customWidth="1" bestFit="1"/>
    <col min="2" max="2" style="15" width="15.290714285714287" customWidth="1" bestFit="1"/>
    <col min="3" max="3" style="15" width="49.57642857142857" customWidth="1" bestFit="1"/>
    <col min="4" max="4" style="15" width="5.433571428571429" customWidth="1" bestFit="1"/>
    <col min="5" max="5" style="15" width="12.862142857142858" customWidth="1" bestFit="1"/>
    <col min="6" max="6" style="15" width="13.43357142857143" customWidth="1" bestFit="1"/>
    <col min="7" max="7" style="15" width="15.005" customWidth="1" bestFit="1"/>
    <col min="8" max="8" style="15" width="18.290714285714284" customWidth="1" bestFit="1"/>
    <col min="9" max="9" style="15" width="10.005" customWidth="1" bestFit="1"/>
    <col min="10" max="10" style="15" width="21.005" customWidth="1" bestFit="1"/>
    <col min="11" max="11" style="23" width="32.57642857142857" customWidth="1" bestFit="1"/>
    <col min="12" max="12" style="15" width="30.290714285714284" customWidth="1" bestFit="1"/>
    <col min="13" max="13" style="15" width="22.433571428571426" customWidth="1" bestFit="1"/>
    <col min="14" max="14" style="15" width="16.290714285714284" customWidth="1" bestFit="1"/>
    <col min="15" max="15" style="15" width="20.862142857142857" customWidth="1" bestFit="1"/>
    <col min="16" max="16" style="15" width="22.14785714285714" customWidth="1" bestFit="1"/>
    <col min="17" max="17" style="15" width="84.57642857142856" customWidth="1" bestFit="1"/>
    <col min="18" max="18" style="15" width="18.719285714285714" customWidth="1" bestFit="1"/>
    <col min="19" max="19" style="15" width="21.005" customWidth="1" bestFit="1"/>
    <col min="20" max="20" style="126" width="12.43357142857143" customWidth="1" bestFit="1"/>
    <col min="21" max="21" style="126" width="12.43357142857143" customWidth="1" bestFit="1"/>
    <col min="22" max="22" style="126" width="12.43357142857143" customWidth="1" bestFit="1"/>
    <col min="23" max="23" style="126" width="12.43357142857143" customWidth="1" bestFit="1"/>
    <col min="24" max="24" style="126" width="12.43357142857143" customWidth="1" bestFit="1"/>
    <col min="25" max="25" style="126" width="12.43357142857143" customWidth="1" bestFit="1"/>
    <col min="26" max="26" style="126" width="12.43357142857143" customWidth="1" bestFit="1"/>
    <col min="27" max="27" style="126" width="12.43357142857143" customWidth="1" bestFit="1"/>
    <col min="28" max="28" style="126" width="12.43357142857143" customWidth="1" bestFit="1"/>
    <col min="29" max="29" style="126" width="12.43357142857143" customWidth="1" bestFit="1"/>
    <col min="30" max="30" style="126" width="12.43357142857143" customWidth="1" bestFit="1"/>
    <col min="31" max="31" style="126" width="12.43357142857143" customWidth="1" bestFit="1"/>
    <col min="32" max="32" style="126" width="15.576428571428572" customWidth="1" bestFit="1"/>
    <col min="33" max="33" style="126" width="12.43357142857143" customWidth="1" bestFit="1"/>
    <col min="34" max="34" style="126" width="12.43357142857143" customWidth="1" bestFit="1"/>
    <col min="35" max="35" style="126" width="12.43357142857143" customWidth="1" bestFit="1"/>
    <col min="36" max="36" style="126" width="12.43357142857143" customWidth="1" bestFit="1"/>
    <col min="37" max="37" style="126" width="16.433571428571426" customWidth="1" bestFit="1"/>
    <col min="38" max="38" style="126" width="12.43357142857143" customWidth="1" bestFit="1"/>
    <col min="39" max="39" style="126" width="12.43357142857143" customWidth="1" bestFit="1"/>
    <col min="40" max="40" style="126" width="12.43357142857143" customWidth="1" bestFit="1"/>
    <col min="41" max="41" style="126" width="12.43357142857143" customWidth="1" bestFit="1"/>
    <col min="42" max="42" style="126" width="12.43357142857143" customWidth="1" bestFit="1"/>
    <col min="43" max="43" style="126" width="18.719285714285714" customWidth="1" bestFit="1"/>
    <col min="44" max="44" style="23" width="11.43357142857143" customWidth="1" bestFit="1"/>
    <col min="45" max="45" style="15" width="18.14785714285714" customWidth="1" bestFit="1"/>
    <col min="46" max="46" style="23" width="13.862142857142858" customWidth="1" bestFit="1"/>
    <col min="47" max="47" style="23" width="19.719285714285714" customWidth="1" bestFit="1"/>
    <col min="48" max="48" style="15" width="13.290714285714287" customWidth="1" bestFit="1"/>
    <col min="49" max="49" style="15" width="18.14785714285714" customWidth="1" bestFit="1"/>
    <col min="50" max="50" style="16" width="88.57642857142856" customWidth="1" bestFit="1"/>
    <col min="51" max="51" style="16" width="70.57642857142856" customWidth="1" bestFit="1"/>
    <col min="52" max="52" style="15" width="31.14785714285714" customWidth="1" bestFit="1"/>
    <col min="53" max="53" style="15" width="40.005" customWidth="1" bestFit="1"/>
    <col min="54" max="54" style="15" width="40.005" customWidth="1" bestFit="1"/>
    <col min="55" max="55" style="15" width="40.005" customWidth="1" bestFit="1"/>
    <col min="56" max="56" style="15" width="40.005" customWidth="1" bestFit="1"/>
    <col min="57" max="57" style="15" width="40.005" customWidth="1" bestFit="1"/>
    <col min="58" max="58" style="15" width="40.005" customWidth="1" bestFit="1"/>
    <col min="59" max="59" style="15" width="40.005" customWidth="1" bestFit="1"/>
    <col min="60" max="60" style="15" width="40.005" customWidth="1" bestFit="1"/>
    <col min="61" max="61" style="15" width="40.005" customWidth="1" bestFit="1"/>
    <col min="62" max="62" style="15" width="40.005" customWidth="1" bestFit="1"/>
    <col min="63" max="63" style="15" width="40.005" customWidth="1" bestFit="1"/>
    <col min="64" max="64" style="15" width="40.005" customWidth="1" bestFit="1"/>
    <col min="65" max="65" style="15" width="40.005" customWidth="1" bestFit="1"/>
    <col min="66" max="66" style="15" width="40.005" customWidth="1" bestFit="1"/>
    <col min="67" max="67" style="15" width="40.005" customWidth="1" bestFit="1"/>
    <col min="68" max="68" style="23" width="25.14785714285714" customWidth="1" bestFit="1"/>
    <col min="69" max="69" style="23" width="25.14785714285714" customWidth="1" bestFit="1"/>
    <col min="70" max="70" style="127" width="20.005" customWidth="1" bestFit="1"/>
    <col min="71" max="71" style="23" width="26.005" customWidth="1" bestFit="1"/>
    <col min="72" max="72" style="23" width="26.005" customWidth="1" bestFit="1"/>
    <col min="73" max="73" style="127" width="19.719285714285714" customWidth="1" bestFit="1"/>
    <col min="74" max="74" style="127" width="16.719285714285714" customWidth="1" bestFit="1"/>
    <col min="75" max="75" style="15" width="13.576428571428572" customWidth="1" bestFit="1"/>
    <col min="76" max="76" style="15" width="13.576428571428572" customWidth="1" bestFit="1"/>
    <col min="77" max="77" style="15" width="13.576428571428572" customWidth="1" bestFit="1"/>
    <col min="78" max="78" style="15" width="13.576428571428572" customWidth="1" bestFit="1"/>
    <col min="79" max="79" style="15" width="13.576428571428572" customWidth="1" bestFit="1"/>
    <col min="80" max="80" style="15" width="13.576428571428572" customWidth="1" bestFit="1"/>
    <col min="81" max="81" style="15" width="13.576428571428572" customWidth="1" bestFit="1"/>
    <col min="82" max="82" style="15" width="13.576428571428572" customWidth="1" bestFit="1"/>
    <col min="83" max="83" style="15" width="13.576428571428572" customWidth="1" bestFit="1"/>
    <col min="84" max="84" style="15" width="13.576428571428572" customWidth="1" bestFit="1"/>
    <col min="85" max="85" style="15" width="13.576428571428572" customWidth="1" bestFit="1"/>
    <col min="86" max="86" style="15" width="13.576428571428572" customWidth="1" bestFit="1"/>
    <col min="87" max="87" style="15" width="13.576428571428572" customWidth="1" bestFit="1"/>
    <col min="88" max="88" style="15" width="13.576428571428572" customWidth="1" bestFit="1"/>
    <col min="89" max="89" style="15" width="13.576428571428572" customWidth="1" bestFit="1"/>
    <col min="90" max="90" style="15" width="13.576428571428572" customWidth="1" bestFit="1"/>
    <col min="91" max="91" style="15" width="13.576428571428572" customWidth="1" bestFit="1"/>
    <col min="92" max="92" style="15" width="13.576428571428572" customWidth="1" bestFit="1"/>
    <col min="93" max="93" style="15" width="13.576428571428572" customWidth="1" bestFit="1"/>
    <col min="94" max="94" style="15" width="13.576428571428572" customWidth="1" bestFit="1"/>
    <col min="95" max="95" style="16" width="13.576428571428572" customWidth="1" bestFit="1"/>
    <col min="96" max="96" style="16" width="13.576428571428572" customWidth="1" bestFit="1"/>
    <col min="97" max="97" style="16" width="13.576428571428572" customWidth="1" bestFit="1"/>
    <col min="98" max="98" style="16" width="13.576428571428572" customWidth="1" bestFit="1"/>
    <col min="99" max="99" style="16" width="13.576428571428572" customWidth="1" bestFit="1"/>
    <col min="100" max="100" style="16" width="13.576428571428572" customWidth="1" bestFit="1"/>
    <col min="101" max="101" style="16" width="13.576428571428572" customWidth="1" bestFit="1"/>
    <col min="102" max="102" style="16" width="13.576428571428572" customWidth="1" bestFit="1"/>
    <col min="103" max="103" style="16" width="13.576428571428572" customWidth="1" bestFit="1"/>
    <col min="104" max="104" style="16" width="13.576428571428572" customWidth="1" bestFit="1"/>
    <col min="105" max="105" style="16" width="13.576428571428572" customWidth="1" bestFit="1"/>
    <col min="106" max="106" style="16" width="13.576428571428572" customWidth="1" bestFit="1"/>
    <col min="107" max="107" style="16" width="13.576428571428572" customWidth="1" bestFit="1"/>
    <col min="108" max="108" style="16" width="13.576428571428572" customWidth="1" bestFit="1"/>
    <col min="109" max="109" style="16" width="13.576428571428572" customWidth="1" bestFit="1"/>
    <col min="110" max="110" style="16" width="13.576428571428572" customWidth="1" bestFit="1"/>
    <col min="111" max="111" style="16" width="13.576428571428572" customWidth="1" bestFit="1"/>
    <col min="112" max="112" style="16" width="13.576428571428572" customWidth="1" bestFit="1"/>
    <col min="113" max="113" style="16" width="13.576428571428572" customWidth="1" bestFit="1"/>
    <col min="114" max="114" style="16" width="13.576428571428572" customWidth="1" bestFit="1"/>
    <col min="115" max="115" style="16" width="13.576428571428572" customWidth="1" bestFit="1"/>
    <col min="116" max="116" style="16" width="13.576428571428572" customWidth="1" bestFit="1"/>
    <col min="117" max="117" style="16" width="13.576428571428572" customWidth="1" bestFit="1"/>
    <col min="118" max="118" style="16" width="13.576428571428572" customWidth="1" bestFit="1"/>
    <col min="119" max="119" style="16" width="13.576428571428572" customWidth="1" bestFit="1"/>
    <col min="120" max="120" style="16" width="13.576428571428572" customWidth="1" bestFit="1"/>
    <col min="121" max="121" style="16" width="13.576428571428572" customWidth="1" bestFit="1"/>
    <col min="122" max="122" style="16" width="13.576428571428572" customWidth="1" bestFit="1"/>
    <col min="123" max="123" style="16" width="13.576428571428572" customWidth="1" bestFit="1"/>
    <col min="124" max="124" style="16" width="13.576428571428572" customWidth="1" bestFit="1"/>
    <col min="125" max="125" style="16" width="13.576428571428572" customWidth="1" bestFit="1"/>
    <col min="126" max="126" style="16" width="13.576428571428572" customWidth="1" bestFit="1"/>
    <col min="127" max="127" style="16" width="13.576428571428572" customWidth="1" bestFit="1"/>
    <col min="128" max="128" style="16" width="13.576428571428572" customWidth="1" bestFit="1"/>
    <col min="129" max="129" style="16" width="13.576428571428572" customWidth="1" bestFit="1"/>
    <col min="130" max="130" style="16" width="13.576428571428572" customWidth="1" bestFit="1"/>
    <col min="131" max="131" style="16" width="13.576428571428572" customWidth="1" bestFit="1"/>
    <col min="132" max="132" style="16" width="13.576428571428572" customWidth="1" bestFit="1"/>
    <col min="133" max="133" style="16" width="13.576428571428572" customWidth="1" bestFit="1"/>
    <col min="134" max="134" style="16" width="13.576428571428572" customWidth="1" bestFit="1"/>
    <col min="135" max="135" style="16" width="13.576428571428572" customWidth="1" bestFit="1"/>
    <col min="136" max="136" style="16" width="13.576428571428572" customWidth="1" bestFit="1"/>
    <col min="137" max="137" style="16" width="13.576428571428572" customWidth="1" bestFit="1"/>
    <col min="138" max="138" style="16" width="13.576428571428572" customWidth="1" bestFit="1"/>
    <col min="139" max="139" style="16" width="13.576428571428572" customWidth="1" bestFit="1"/>
    <col min="140" max="140" style="16" width="13.576428571428572" customWidth="1" bestFit="1"/>
    <col min="141" max="141" style="16" width="13.576428571428572" customWidth="1" bestFit="1"/>
    <col min="142" max="142" style="16" width="13.576428571428572" customWidth="1" bestFit="1"/>
    <col min="143" max="143" style="16" width="13.576428571428572" customWidth="1" bestFit="1"/>
    <col min="144" max="144" style="16" width="13.576428571428572" customWidth="1" bestFit="1"/>
    <col min="145" max="145" style="16" width="13.576428571428572" customWidth="1" bestFit="1"/>
    <col min="146" max="146" style="16" width="13.576428571428572" customWidth="1" bestFit="1"/>
    <col min="147" max="147" style="16" width="13.576428571428572" customWidth="1" bestFit="1"/>
    <col min="148" max="148" style="16" width="13.576428571428572" customWidth="1" bestFit="1"/>
    <col min="149" max="149" style="16" width="13.576428571428572" customWidth="1" bestFit="1"/>
    <col min="150" max="150" style="16" width="13.576428571428572" customWidth="1" bestFit="1"/>
    <col min="151" max="151" style="16" width="13.576428571428572" customWidth="1" bestFit="1"/>
    <col min="152" max="152" style="16" width="13.576428571428572" customWidth="1" bestFit="1"/>
    <col min="153" max="153" style="16" width="13.576428571428572" customWidth="1" bestFit="1"/>
    <col min="154" max="154" style="16" width="13.576428571428572" customWidth="1" bestFit="1"/>
    <col min="155" max="155" style="16" width="13.576428571428572" customWidth="1" bestFit="1"/>
    <col min="156" max="156" style="16" width="13.576428571428572" customWidth="1" bestFit="1"/>
    <col min="157" max="157" style="16" width="13.576428571428572" customWidth="1" bestFit="1"/>
    <col min="158" max="158" style="16" width="13.576428571428572" customWidth="1" bestFit="1"/>
    <col min="159" max="159" style="16" width="13.576428571428572" customWidth="1" bestFit="1"/>
    <col min="160" max="160" style="16" width="13.576428571428572" customWidth="1" bestFit="1"/>
    <col min="161" max="161" style="16" width="13.576428571428572" customWidth="1" bestFit="1"/>
    <col min="162" max="162" style="16" width="13.576428571428572" customWidth="1" bestFit="1"/>
  </cols>
  <sheetData>
    <row x14ac:dyDescent="0.25" r="1" customHeight="1" ht="9">
      <c r="A1" s="34"/>
      <c r="B1" s="1"/>
      <c r="C1" s="35"/>
      <c r="D1" s="1"/>
      <c r="E1" s="1"/>
      <c r="F1" s="1"/>
      <c r="G1" s="1"/>
      <c r="H1" s="13"/>
      <c r="I1" s="13"/>
      <c r="J1" s="13"/>
      <c r="K1" s="17"/>
      <c r="L1" s="1"/>
      <c r="M1" s="1"/>
      <c r="N1" s="1"/>
      <c r="O1" s="36"/>
      <c r="P1" s="13"/>
      <c r="Q1" s="1"/>
      <c r="R1" s="1"/>
      <c r="S1" s="1"/>
      <c r="T1" s="37"/>
      <c r="U1" s="38"/>
      <c r="V1" s="38"/>
      <c r="W1" s="38"/>
      <c r="X1" s="37"/>
      <c r="Y1" s="37"/>
      <c r="Z1" s="38"/>
      <c r="AA1" s="38"/>
      <c r="AB1" s="38"/>
      <c r="AC1" s="38"/>
      <c r="AD1" s="38"/>
      <c r="AE1" s="38"/>
      <c r="AF1" s="38"/>
      <c r="AG1" s="38"/>
      <c r="AH1" s="38"/>
      <c r="AI1" s="38"/>
      <c r="AJ1" s="38"/>
      <c r="AK1" s="38"/>
      <c r="AL1" s="38"/>
      <c r="AM1" s="38"/>
      <c r="AN1" s="38"/>
      <c r="AO1" s="38"/>
      <c r="AP1" s="38"/>
      <c r="AQ1" s="38"/>
      <c r="AR1" s="17"/>
      <c r="AS1" s="1"/>
      <c r="AT1" s="39"/>
      <c r="AU1" s="17"/>
      <c r="AV1" s="1"/>
      <c r="AW1" s="1"/>
      <c r="AX1" s="36"/>
      <c r="AY1" s="2"/>
      <c r="AZ1" s="1"/>
      <c r="BA1" s="1"/>
      <c r="BB1" s="1"/>
      <c r="BC1" s="1"/>
      <c r="BD1" s="1"/>
      <c r="BE1" s="1"/>
      <c r="BF1" s="1"/>
      <c r="BG1" s="1"/>
      <c r="BH1" s="1"/>
      <c r="BI1" s="1"/>
      <c r="BJ1" s="1"/>
      <c r="BK1" s="1"/>
      <c r="BL1" s="1"/>
      <c r="BM1" s="1"/>
      <c r="BN1" s="1"/>
      <c r="BO1" s="1"/>
      <c r="BP1" s="17"/>
      <c r="BQ1" s="17"/>
      <c r="BR1" s="40"/>
      <c r="BS1" s="17"/>
      <c r="BT1" s="17"/>
      <c r="BU1" s="40"/>
      <c r="BV1" s="40"/>
      <c r="BW1" s="1"/>
      <c r="BX1" s="1"/>
      <c r="BY1" s="1"/>
      <c r="BZ1" s="1"/>
      <c r="CA1" s="1"/>
      <c r="CB1" s="1"/>
      <c r="CC1" s="1"/>
      <c r="CD1" s="1"/>
      <c r="CE1" s="1"/>
      <c r="CF1" s="1"/>
      <c r="CG1" s="1"/>
      <c r="CH1" s="1"/>
      <c r="CI1" s="1"/>
      <c r="CJ1" s="1"/>
      <c r="CK1" s="1"/>
      <c r="CL1" s="1"/>
      <c r="CM1" s="1"/>
      <c r="CN1" s="1"/>
      <c r="CO1" s="1"/>
      <c r="CP1" s="1"/>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c r="EU1" s="2"/>
      <c r="EV1" s="2"/>
      <c r="EW1" s="2"/>
      <c r="EX1" s="2"/>
      <c r="EY1" s="2"/>
      <c r="EZ1" s="2"/>
      <c r="FA1" s="2"/>
      <c r="FB1" s="2"/>
      <c r="FC1" s="2"/>
      <c r="FD1" s="2"/>
      <c r="FE1" s="2"/>
      <c r="FF1" s="2"/>
    </row>
    <row x14ac:dyDescent="0.25" r="2" customHeight="1" ht="21">
      <c r="A2" s="1"/>
      <c r="B2" s="41" t="s">
        <v>38975</v>
      </c>
      <c r="C2" s="41"/>
      <c r="D2" s="1"/>
      <c r="E2" s="1"/>
      <c r="F2" s="1"/>
      <c r="G2" s="42" t="s">
        <v>38976</v>
      </c>
      <c r="H2" s="43">
        <f>AND($H$3&lt;&gt;"",$H$4&lt;&gt;"")</f>
      </c>
      <c r="I2" s="13"/>
      <c r="J2" s="44" t="s">
        <v>38977</v>
      </c>
      <c r="K2" s="17"/>
      <c r="L2" s="45" t="s">
        <v>38978</v>
      </c>
      <c r="M2" s="46" t="s">
        <v>38979</v>
      </c>
      <c r="N2" s="47"/>
      <c r="O2" s="47"/>
      <c r="P2" s="1"/>
      <c r="Q2" s="1"/>
      <c r="R2" s="1"/>
      <c r="S2" s="1"/>
      <c r="T2" s="37"/>
      <c r="U2" s="38"/>
      <c r="V2" s="38"/>
      <c r="W2" s="38"/>
      <c r="X2" s="37"/>
      <c r="Y2" s="37"/>
      <c r="Z2" s="39"/>
      <c r="AA2" s="39"/>
      <c r="AB2" s="39"/>
      <c r="AC2" s="39"/>
      <c r="AD2" s="39"/>
      <c r="AE2" s="39"/>
      <c r="AF2" s="38"/>
      <c r="AG2" s="38"/>
      <c r="AH2" s="38"/>
      <c r="AI2" s="38"/>
      <c r="AJ2" s="39"/>
      <c r="AK2" s="38"/>
      <c r="AL2" s="38"/>
      <c r="AM2" s="38"/>
      <c r="AN2" s="38"/>
      <c r="AO2" s="38"/>
      <c r="AP2" s="39"/>
      <c r="AQ2" s="38"/>
      <c r="AR2" s="17"/>
      <c r="AS2" s="1"/>
      <c r="AT2" s="39"/>
      <c r="AU2" s="17"/>
      <c r="AV2" s="1"/>
      <c r="AW2" s="1"/>
      <c r="AX2" s="36"/>
      <c r="AY2" s="2"/>
      <c r="AZ2" s="1"/>
      <c r="BA2" s="1"/>
      <c r="BB2" s="1"/>
      <c r="BC2" s="1"/>
      <c r="BD2" s="1"/>
      <c r="BE2" s="1"/>
      <c r="BF2" s="1"/>
      <c r="BG2" s="1"/>
      <c r="BH2" s="1"/>
      <c r="BI2" s="1"/>
      <c r="BJ2" s="1"/>
      <c r="BK2" s="1"/>
      <c r="BL2" s="1"/>
      <c r="BM2" s="1"/>
      <c r="BN2" s="1"/>
      <c r="BO2" s="1"/>
      <c r="BP2" s="17"/>
      <c r="BQ2" s="17"/>
      <c r="BR2" s="40"/>
      <c r="BS2" s="17"/>
      <c r="BT2" s="17"/>
      <c r="BU2" s="40"/>
      <c r="BV2" s="40"/>
      <c r="BW2" s="1"/>
      <c r="BX2" s="1"/>
      <c r="BY2" s="1"/>
      <c r="BZ2" s="1"/>
      <c r="CA2" s="1"/>
      <c r="CB2" s="1"/>
      <c r="CC2" s="1"/>
      <c r="CD2" s="1"/>
      <c r="CE2" s="1"/>
      <c r="CF2" s="1"/>
      <c r="CG2" s="1"/>
      <c r="CH2" s="1"/>
      <c r="CI2" s="1"/>
      <c r="CJ2" s="1"/>
      <c r="CK2" s="1"/>
      <c r="CL2" s="1"/>
      <c r="CM2" s="1"/>
      <c r="CN2" s="1"/>
      <c r="CO2" s="1"/>
      <c r="CP2" s="1"/>
      <c r="CQ2" s="2"/>
      <c r="CR2" s="2"/>
      <c r="CS2" s="2"/>
      <c r="CT2" s="2"/>
      <c r="CU2" s="2"/>
      <c r="CV2" s="2"/>
      <c r="CW2" s="2"/>
      <c r="CX2" s="2"/>
      <c r="CY2" s="2"/>
      <c r="CZ2" s="2"/>
      <c r="DA2" s="2"/>
      <c r="DB2" s="2"/>
      <c r="DC2" s="2"/>
      <c r="DD2" s="2"/>
      <c r="DE2" s="2"/>
      <c r="DF2" s="2"/>
      <c r="DG2" s="2"/>
      <c r="DH2" s="2"/>
      <c r="DI2" s="2"/>
      <c r="DJ2" s="2"/>
      <c r="DK2" s="2"/>
      <c r="DL2" s="2"/>
      <c r="DM2" s="2"/>
      <c r="DN2" s="2"/>
      <c r="DO2" s="2"/>
      <c r="DP2" s="2"/>
      <c r="DQ2" s="2"/>
      <c r="DR2" s="2"/>
      <c r="DS2" s="2"/>
      <c r="DT2" s="2"/>
      <c r="DU2" s="2"/>
      <c r="DV2" s="2"/>
      <c r="DW2" s="2"/>
      <c r="DX2" s="2"/>
      <c r="DY2" s="2"/>
      <c r="DZ2" s="2"/>
      <c r="EA2" s="2"/>
      <c r="EB2" s="2"/>
      <c r="EC2" s="2"/>
      <c r="ED2" s="2"/>
      <c r="EE2" s="2"/>
      <c r="EF2" s="2"/>
      <c r="EG2" s="2"/>
      <c r="EH2" s="2"/>
      <c r="EI2" s="2"/>
      <c r="EJ2" s="2"/>
      <c r="EK2" s="2"/>
      <c r="EL2" s="2"/>
      <c r="EM2" s="2"/>
      <c r="EN2" s="2"/>
      <c r="EO2" s="2"/>
      <c r="EP2" s="2"/>
      <c r="EQ2" s="2"/>
      <c r="ER2" s="2"/>
      <c r="ES2" s="2"/>
      <c r="ET2" s="2"/>
      <c r="EU2" s="2"/>
      <c r="EV2" s="2"/>
      <c r="EW2" s="2"/>
      <c r="EX2" s="2"/>
      <c r="EY2" s="2"/>
      <c r="EZ2" s="2"/>
      <c r="FA2" s="2"/>
      <c r="FB2" s="2"/>
      <c r="FC2" s="2"/>
      <c r="FD2" s="2"/>
      <c r="FE2" s="2"/>
      <c r="FF2" s="2"/>
    </row>
    <row x14ac:dyDescent="0.25" r="3" customHeight="1" ht="21">
      <c r="A3" s="1"/>
      <c r="B3" s="48" t="s">
        <v>38980</v>
      </c>
      <c r="C3" s="49"/>
      <c r="D3" s="1"/>
      <c r="E3" s="1"/>
      <c r="F3" s="1"/>
      <c r="G3" s="50" t="s">
        <v>0</v>
      </c>
      <c r="H3" s="51" t="s">
        <v>8</v>
      </c>
      <c r="I3" s="52" t="s">
        <v>38981</v>
      </c>
      <c r="J3" s="53">
        <f>MID(CELL("filename"),SEARCH("[",CELL("filename"))+1,SEARCH("]",CELL("filename"))-SEARCH("[",CELL("filename"))-1)</f>
      </c>
      <c r="K3" s="17"/>
      <c r="L3" s="54"/>
      <c r="M3" s="47"/>
      <c r="N3" s="47"/>
      <c r="O3" s="47"/>
      <c r="P3" s="1"/>
      <c r="Q3" s="1"/>
      <c r="R3" s="1"/>
      <c r="S3" s="1"/>
      <c r="T3" s="55">
        <f>SUBTOTAL(9,_tPE26_29_Consolidada[jan/26])</f>
      </c>
      <c r="U3" s="55">
        <f>SUBTOTAL(9,_tPE26_29_Consolidada[fev/26])</f>
      </c>
      <c r="V3" s="55">
        <f>SUBTOTAL(9,_tPE26_29_Consolidada[mar/26])</f>
      </c>
      <c r="W3" s="55">
        <f>SUBTOTAL(9,_tPE26_29_Consolidada[abr/26])</f>
      </c>
      <c r="X3" s="55">
        <f>SUBTOTAL(9,_tPE26_29_Consolidada[mai/26])</f>
      </c>
      <c r="Y3" s="55">
        <f>SUBTOTAL(9,_tPE26_29_Consolidada[jun/26])</f>
      </c>
      <c r="Z3" s="55">
        <f>SUBTOTAL(9,_tPE26_29_Consolidada[jul/26])</f>
      </c>
      <c r="AA3" s="55">
        <f>SUBTOTAL(9,_tPE26_29_Consolidada[ago/26])</f>
      </c>
      <c r="AB3" s="55">
        <f>SUBTOTAL(9,_tPE26_29_Consolidada[set/26])</f>
      </c>
      <c r="AC3" s="55">
        <f>SUBTOTAL(9,_tPE26_29_Consolidada[out/26])</f>
      </c>
      <c r="AD3" s="55">
        <f>SUBTOTAL(9,_tPE26_29_Consolidada[nov/26])</f>
      </c>
      <c r="AE3" s="55">
        <f>SUBTOTAL(9,_tPE26_29_Consolidada[dez/26])</f>
      </c>
      <c r="AF3" s="55">
        <f>SUBTOTAL(9,_tPE26_29_Consolidada[2026])</f>
      </c>
      <c r="AG3" s="55">
        <f>SUBTOTAL(9,_tPE26_29_Consolidada[2027])</f>
      </c>
      <c r="AH3" s="55">
        <f>SUBTOTAL(9,_tPE26_29_Consolidada[2028])</f>
      </c>
      <c r="AI3" s="55">
        <f>SUBTOTAL(9,_tPE26_29_Consolidada[2029])</f>
      </c>
      <c r="AJ3" s="55">
        <f>SUBTOTAL(9,_tPE26_29_Consolidada[2030])</f>
      </c>
      <c r="AK3" s="55">
        <f>SUBTOTAL(9,_tPE26_29_Consolidada[2026-2030])</f>
      </c>
      <c r="AL3" s="55">
        <f>SUBTOTAL(9,_tPE26_29_Consolidada[2031])</f>
      </c>
      <c r="AM3" s="55">
        <f>SUBTOTAL(9,_tPE26_29_Consolidada[2032])</f>
      </c>
      <c r="AN3" s="55">
        <f>SUBTOTAL(9,_tPE26_29_Consolidada[2033])</f>
      </c>
      <c r="AO3" s="55">
        <f>SUBTOTAL(9,_tPE26_29_Consolidada[2034])</f>
      </c>
      <c r="AP3" s="55">
        <f>SUBTOTAL(9,_tPE26_29_Consolidada[2035])</f>
      </c>
      <c r="AQ3" s="55">
        <f>SUBTOTAL(9,_tPE26_29_Consolidada[2026-2035])</f>
      </c>
      <c r="AR3" s="17"/>
      <c r="AS3" s="1"/>
      <c r="AT3" s="39"/>
      <c r="AU3" s="17"/>
      <c r="AV3" s="1"/>
      <c r="AW3" s="1"/>
      <c r="AX3" s="36"/>
      <c r="AY3" s="2"/>
      <c r="AZ3" s="1"/>
      <c r="BA3" s="1"/>
      <c r="BB3" s="1"/>
      <c r="BC3" s="1"/>
      <c r="BD3" s="1"/>
      <c r="BE3" s="1"/>
      <c r="BF3" s="1"/>
      <c r="BG3" s="1"/>
      <c r="BH3" s="1"/>
      <c r="BI3" s="1"/>
      <c r="BJ3" s="1"/>
      <c r="BK3" s="1"/>
      <c r="BL3" s="1"/>
      <c r="BM3" s="1"/>
      <c r="BN3" s="1"/>
      <c r="BO3" s="1"/>
      <c r="BP3" s="17"/>
      <c r="BQ3" s="17"/>
      <c r="BR3" s="40"/>
      <c r="BS3" s="17"/>
      <c r="BT3" s="17"/>
      <c r="BU3" s="40"/>
      <c r="BV3" s="40"/>
      <c r="BW3" s="1"/>
      <c r="BX3" s="1"/>
      <c r="BY3" s="1"/>
      <c r="BZ3" s="1"/>
      <c r="CA3" s="1"/>
      <c r="CB3" s="1"/>
      <c r="CC3" s="1"/>
      <c r="CD3" s="1"/>
      <c r="CE3" s="1"/>
      <c r="CF3" s="1"/>
      <c r="CG3" s="1"/>
      <c r="CH3" s="1"/>
      <c r="CI3" s="1"/>
      <c r="CJ3" s="1"/>
      <c r="CK3" s="1"/>
      <c r="CL3" s="1"/>
      <c r="CM3" s="1"/>
      <c r="CN3" s="1"/>
      <c r="CO3" s="1"/>
      <c r="CP3" s="1"/>
      <c r="CQ3" s="2"/>
      <c r="CR3" s="2"/>
      <c r="CS3" s="2"/>
      <c r="CT3" s="2"/>
      <c r="CU3" s="2"/>
      <c r="CV3" s="2"/>
      <c r="CW3" s="2"/>
      <c r="CX3" s="2"/>
      <c r="CY3" s="2"/>
      <c r="CZ3" s="2"/>
      <c r="DA3" s="2"/>
      <c r="DB3" s="2"/>
      <c r="DC3" s="2"/>
      <c r="DD3" s="2"/>
      <c r="DE3" s="2"/>
      <c r="DF3" s="2"/>
      <c r="DG3" s="2"/>
      <c r="DH3" s="2"/>
      <c r="DI3" s="2"/>
      <c r="DJ3" s="2"/>
      <c r="DK3" s="2"/>
      <c r="DL3" s="2"/>
      <c r="DM3" s="2"/>
      <c r="DN3" s="2"/>
      <c r="DO3" s="2"/>
      <c r="DP3" s="2"/>
      <c r="DQ3" s="2"/>
      <c r="DR3" s="2"/>
      <c r="DS3" s="2"/>
      <c r="DT3" s="2"/>
      <c r="DU3" s="2"/>
      <c r="DV3" s="2"/>
      <c r="DW3" s="2"/>
      <c r="DX3" s="2"/>
      <c r="DY3" s="2"/>
      <c r="DZ3" s="2"/>
      <c r="EA3" s="2"/>
      <c r="EB3" s="2"/>
      <c r="EC3" s="2"/>
      <c r="ED3" s="2"/>
      <c r="EE3" s="2"/>
      <c r="EF3" s="2"/>
      <c r="EG3" s="2"/>
      <c r="EH3" s="2"/>
      <c r="EI3" s="2"/>
      <c r="EJ3" s="2"/>
      <c r="EK3" s="2"/>
      <c r="EL3" s="2"/>
      <c r="EM3" s="2"/>
      <c r="EN3" s="2"/>
      <c r="EO3" s="2"/>
      <c r="EP3" s="2"/>
      <c r="EQ3" s="2"/>
      <c r="ER3" s="2"/>
      <c r="ES3" s="2"/>
      <c r="ET3" s="2"/>
      <c r="EU3" s="2"/>
      <c r="EV3" s="2"/>
      <c r="EW3" s="2"/>
      <c r="EX3" s="2"/>
      <c r="EY3" s="2"/>
      <c r="EZ3" s="2"/>
      <c r="FA3" s="2"/>
      <c r="FB3" s="2"/>
      <c r="FC3" s="2"/>
      <c r="FD3" s="2"/>
      <c r="FE3" s="2"/>
      <c r="FF3" s="2"/>
    </row>
    <row x14ac:dyDescent="0.25" r="4" customHeight="1" ht="21">
      <c r="A4" s="1"/>
      <c r="B4" s="1"/>
      <c r="C4" s="1"/>
      <c r="D4" s="56"/>
      <c r="E4" s="1"/>
      <c r="F4" s="1"/>
      <c r="G4" s="50" t="s">
        <v>38982</v>
      </c>
      <c r="H4" s="57" t="s">
        <v>38983</v>
      </c>
      <c r="I4" s="13"/>
      <c r="J4" s="58"/>
      <c r="K4" s="17"/>
      <c r="L4" s="54"/>
      <c r="M4" s="47"/>
      <c r="N4" s="47"/>
      <c r="O4" s="47"/>
      <c r="P4" s="1"/>
      <c r="Q4" s="1"/>
      <c r="R4" s="1"/>
      <c r="S4" s="1"/>
      <c r="T4" s="59">
        <f>SUM(_tPE26_29_Consolidada[jan/26])</f>
      </c>
      <c r="U4" s="59">
        <f>SUM(_tPE26_29_Consolidada[fev/26])</f>
      </c>
      <c r="V4" s="59">
        <f>SUM(_tPE26_29_Consolidada[mar/26])</f>
      </c>
      <c r="W4" s="59">
        <f>SUM(_tPE26_29_Consolidada[abr/26])</f>
      </c>
      <c r="X4" s="59">
        <f>SUM(_tPE26_29_Consolidada[mai/26])</f>
      </c>
      <c r="Y4" s="59">
        <f>SUM(_tPE26_29_Consolidada[jun/26])</f>
      </c>
      <c r="Z4" s="59">
        <f>SUM(_tPE26_29_Consolidada[jul/26])</f>
      </c>
      <c r="AA4" s="59">
        <f>SUM(_tPE26_29_Consolidada[ago/26])</f>
      </c>
      <c r="AB4" s="59">
        <f>SUM(_tPE26_29_Consolidada[set/26])</f>
      </c>
      <c r="AC4" s="59">
        <f>SUM(_tPE26_29_Consolidada[out/26])</f>
      </c>
      <c r="AD4" s="59">
        <f>SUM(_tPE26_29_Consolidada[nov/26])</f>
      </c>
      <c r="AE4" s="59">
        <f>SUM(_tPE26_29_Consolidada[dez/26])</f>
      </c>
      <c r="AF4" s="59">
        <f>SUM(_tPE26_29_Consolidada[2026])</f>
      </c>
      <c r="AG4" s="59">
        <f>SUM(_tPE26_29_Consolidada[2027])</f>
      </c>
      <c r="AH4" s="59">
        <f>SUM(_tPE26_29_Consolidada[2028])</f>
      </c>
      <c r="AI4" s="59">
        <f>SUM(_tPE26_29_Consolidada[2029])</f>
      </c>
      <c r="AJ4" s="59">
        <f>SUM(_tPE26_29_Consolidada[2030])</f>
      </c>
      <c r="AK4" s="59">
        <f>SUM(_tPE26_29_Consolidada[2026-2030])</f>
      </c>
      <c r="AL4" s="59">
        <f>SUM(_tPE26_29_Consolidada[2031])</f>
      </c>
      <c r="AM4" s="59">
        <f>SUM(_tPE26_29_Consolidada[2032])</f>
      </c>
      <c r="AN4" s="59">
        <f>SUM(_tPE26_29_Consolidada[2033])</f>
      </c>
      <c r="AO4" s="59">
        <f>SUM(_tPE26_29_Consolidada[2034])</f>
      </c>
      <c r="AP4" s="59">
        <f>SUM(_tPE26_29_Consolidada[2035])</f>
      </c>
      <c r="AQ4" s="59">
        <f>SUM(_tPE26_29_Consolidada[2026-2035])</f>
      </c>
      <c r="AR4" s="17"/>
      <c r="AS4" s="1"/>
      <c r="AT4" s="39"/>
      <c r="AU4" s="17"/>
      <c r="AV4" s="1"/>
      <c r="AW4" s="1"/>
      <c r="AX4" s="36"/>
      <c r="AY4" s="2"/>
      <c r="AZ4" s="1"/>
      <c r="BA4" s="1"/>
      <c r="BB4" s="1"/>
      <c r="BC4" s="1"/>
      <c r="BD4" s="1"/>
      <c r="BE4" s="1"/>
      <c r="BF4" s="1"/>
      <c r="BG4" s="1"/>
      <c r="BH4" s="1"/>
      <c r="BI4" s="1"/>
      <c r="BJ4" s="1"/>
      <c r="BK4" s="1"/>
      <c r="BL4" s="1"/>
      <c r="BM4" s="1"/>
      <c r="BN4" s="1"/>
      <c r="BO4" s="1"/>
      <c r="BP4" s="17"/>
      <c r="BQ4" s="17"/>
      <c r="BR4" s="40"/>
      <c r="BS4" s="17"/>
      <c r="BT4" s="17"/>
      <c r="BU4" s="40"/>
      <c r="BV4" s="40"/>
      <c r="BW4" s="1"/>
      <c r="BX4" s="1"/>
      <c r="BY4" s="1"/>
      <c r="BZ4" s="1"/>
      <c r="CA4" s="1"/>
      <c r="CB4" s="1"/>
      <c r="CC4" s="1"/>
      <c r="CD4" s="1"/>
      <c r="CE4" s="1"/>
      <c r="CF4" s="1"/>
      <c r="CG4" s="1"/>
      <c r="CH4" s="1"/>
      <c r="CI4" s="1"/>
      <c r="CJ4" s="1"/>
      <c r="CK4" s="1"/>
      <c r="CL4" s="1"/>
      <c r="CM4" s="1"/>
      <c r="CN4" s="1"/>
      <c r="CO4" s="1"/>
      <c r="CP4" s="1"/>
      <c r="CQ4" s="2"/>
      <c r="CR4" s="2"/>
      <c r="CS4" s="2"/>
      <c r="CT4" s="2"/>
      <c r="CU4" s="2"/>
      <c r="CV4" s="2"/>
      <c r="CW4" s="2"/>
      <c r="CX4" s="2"/>
      <c r="CY4" s="2"/>
      <c r="CZ4" s="2"/>
      <c r="DA4" s="2"/>
      <c r="DB4" s="2"/>
      <c r="DC4" s="2"/>
      <c r="DD4" s="2"/>
      <c r="DE4" s="2"/>
      <c r="DF4" s="2"/>
      <c r="DG4" s="2"/>
      <c r="DH4" s="2"/>
      <c r="DI4" s="2"/>
      <c r="DJ4" s="2"/>
      <c r="DK4" s="2"/>
      <c r="DL4" s="2"/>
      <c r="DM4" s="2"/>
      <c r="DN4" s="2"/>
      <c r="DO4" s="2"/>
      <c r="DP4" s="2"/>
      <c r="DQ4" s="2"/>
      <c r="DR4" s="2"/>
      <c r="DS4" s="2"/>
      <c r="DT4" s="2"/>
      <c r="DU4" s="2"/>
      <c r="DV4" s="2"/>
      <c r="DW4" s="2"/>
      <c r="DX4" s="2"/>
      <c r="DY4" s="2"/>
      <c r="DZ4" s="2"/>
      <c r="EA4" s="2"/>
      <c r="EB4" s="2"/>
      <c r="EC4" s="2"/>
      <c r="ED4" s="2"/>
      <c r="EE4" s="2"/>
      <c r="EF4" s="2"/>
      <c r="EG4" s="2"/>
      <c r="EH4" s="2"/>
      <c r="EI4" s="2"/>
      <c r="EJ4" s="2"/>
      <c r="EK4" s="2"/>
      <c r="EL4" s="2"/>
      <c r="EM4" s="2"/>
      <c r="EN4" s="2"/>
      <c r="EO4" s="2"/>
      <c r="EP4" s="2"/>
      <c r="EQ4" s="2"/>
      <c r="ER4" s="2"/>
      <c r="ES4" s="2"/>
      <c r="ET4" s="2"/>
      <c r="EU4" s="2"/>
      <c r="EV4" s="2"/>
      <c r="EW4" s="2"/>
      <c r="EX4" s="2"/>
      <c r="EY4" s="2"/>
      <c r="EZ4" s="2"/>
      <c r="FA4" s="2"/>
      <c r="FB4" s="2"/>
      <c r="FC4" s="2"/>
      <c r="FD4" s="2"/>
      <c r="FE4" s="2"/>
      <c r="FF4" s="2"/>
    </row>
    <row x14ac:dyDescent="0.25" r="5" customHeight="1" ht="21">
      <c r="A5" s="60">
        <f>AND($H$2,_tPE26_29_Consolidada[Check])</f>
      </c>
      <c r="B5" s="61">
        <f>_xlfn.CONCAT(D9)</f>
      </c>
      <c r="C5" s="62"/>
      <c r="D5" s="1"/>
      <c r="E5" s="1"/>
      <c r="F5" s="1"/>
      <c r="G5" s="1"/>
      <c r="H5" s="13"/>
      <c r="I5" s="13"/>
      <c r="J5" s="58"/>
      <c r="K5" s="17"/>
      <c r="L5" s="54"/>
      <c r="M5" s="47"/>
      <c r="N5" s="47"/>
      <c r="O5" s="47"/>
      <c r="P5" s="1"/>
      <c r="Q5" s="1"/>
      <c r="R5" s="1"/>
      <c r="S5" s="1"/>
      <c r="T5" s="37"/>
      <c r="U5" s="37"/>
      <c r="V5" s="37"/>
      <c r="W5" s="37"/>
      <c r="X5" s="37"/>
      <c r="Y5" s="37"/>
      <c r="Z5" s="63"/>
      <c r="AA5" s="63"/>
      <c r="AB5" s="63"/>
      <c r="AC5" s="63"/>
      <c r="AD5" s="63"/>
      <c r="AE5" s="63"/>
      <c r="AF5" s="63"/>
      <c r="AG5" s="63"/>
      <c r="AH5" s="63"/>
      <c r="AI5" s="63"/>
      <c r="AJ5" s="63"/>
      <c r="AK5" s="63"/>
      <c r="AL5" s="63"/>
      <c r="AM5" s="63"/>
      <c r="AN5" s="63"/>
      <c r="AO5" s="63"/>
      <c r="AP5" s="38"/>
      <c r="AQ5" s="38"/>
      <c r="AR5" s="17"/>
      <c r="AS5" s="1"/>
      <c r="AT5" s="39"/>
      <c r="AU5" s="17"/>
      <c r="AV5" s="1"/>
      <c r="AW5" s="1"/>
      <c r="AX5" s="36"/>
      <c r="AY5" s="2"/>
      <c r="AZ5" s="1"/>
      <c r="BA5" s="1"/>
      <c r="BB5" s="1"/>
      <c r="BC5" s="1"/>
      <c r="BD5" s="1"/>
      <c r="BE5" s="1"/>
      <c r="BF5" s="1"/>
      <c r="BG5" s="1"/>
      <c r="BH5" s="1"/>
      <c r="BI5" s="1"/>
      <c r="BJ5" s="1"/>
      <c r="BK5" s="1"/>
      <c r="BL5" s="1"/>
      <c r="BM5" s="1"/>
      <c r="BN5" s="1"/>
      <c r="BO5" s="1"/>
      <c r="BP5" s="17"/>
      <c r="BQ5" s="17"/>
      <c r="BR5" s="40"/>
      <c r="BS5" s="17"/>
      <c r="BT5" s="17"/>
      <c r="BU5" s="40"/>
      <c r="BV5" s="40"/>
      <c r="BW5" s="1"/>
      <c r="BX5" s="1"/>
      <c r="BY5" s="1"/>
      <c r="BZ5" s="1"/>
      <c r="CA5" s="1"/>
      <c r="CB5" s="1"/>
      <c r="CC5" s="1"/>
      <c r="CD5" s="1"/>
      <c r="CE5" s="1"/>
      <c r="CF5" s="1"/>
      <c r="CG5" s="1"/>
      <c r="CH5" s="1"/>
      <c r="CI5" s="1"/>
      <c r="CJ5" s="1"/>
      <c r="CK5" s="1"/>
      <c r="CL5" s="1"/>
      <c r="CM5" s="1"/>
      <c r="CN5" s="1"/>
      <c r="CO5" s="1"/>
      <c r="CP5" s="1"/>
      <c r="CQ5" s="2"/>
      <c r="CR5" s="2"/>
      <c r="CS5" s="2"/>
      <c r="CT5" s="2"/>
      <c r="CU5" s="2"/>
      <c r="CV5" s="2"/>
      <c r="CW5" s="2"/>
      <c r="CX5" s="2"/>
      <c r="CY5" s="2"/>
      <c r="CZ5" s="2"/>
      <c r="DA5" s="2"/>
      <c r="DB5" s="2"/>
      <c r="DC5" s="2"/>
      <c r="DD5" s="2"/>
      <c r="DE5" s="2"/>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c r="EU5" s="2"/>
      <c r="EV5" s="2"/>
      <c r="EW5" s="2"/>
      <c r="EX5" s="2"/>
      <c r="EY5" s="2"/>
      <c r="EZ5" s="2"/>
      <c r="FA5" s="2"/>
      <c r="FB5" s="2"/>
      <c r="FC5" s="2"/>
      <c r="FD5" s="2"/>
      <c r="FE5" s="2"/>
      <c r="FF5" s="2"/>
    </row>
    <row x14ac:dyDescent="0.25" r="6" customHeight="1" ht="25.5">
      <c r="A6" s="34"/>
      <c r="B6" s="1"/>
      <c r="C6" s="1"/>
      <c r="D6" s="1"/>
      <c r="E6" s="1"/>
      <c r="F6" s="1"/>
      <c r="G6" s="1"/>
      <c r="H6" s="13"/>
      <c r="I6" s="64"/>
      <c r="J6" s="65" t="s">
        <v>38984</v>
      </c>
      <c r="K6" s="66">
        <f>COUNTIF(_tPE26_29_Consolidada[Check],TRUE)</f>
      </c>
      <c r="L6" s="67"/>
      <c r="M6" s="68"/>
      <c r="N6" s="68"/>
      <c r="O6" s="68"/>
      <c r="P6" s="1"/>
      <c r="Q6" s="1"/>
      <c r="R6" s="1"/>
      <c r="S6" s="69"/>
      <c r="T6" s="37"/>
      <c r="U6" s="38"/>
      <c r="V6" s="38"/>
      <c r="W6" s="38"/>
      <c r="X6" s="37"/>
      <c r="Y6" s="37"/>
      <c r="Z6" s="38"/>
      <c r="AA6" s="38"/>
      <c r="AB6" s="38"/>
      <c r="AC6" s="38"/>
      <c r="AD6" s="38"/>
      <c r="AE6" s="38"/>
      <c r="AF6" s="38"/>
      <c r="AG6" s="38"/>
      <c r="AH6" s="38"/>
      <c r="AI6" s="38"/>
      <c r="AJ6" s="39">
        <v>1000</v>
      </c>
      <c r="AK6" s="38"/>
      <c r="AL6" s="38"/>
      <c r="AM6" s="38"/>
      <c r="AN6" s="38"/>
      <c r="AO6" s="38"/>
      <c r="AP6" s="38"/>
      <c r="AQ6" s="38"/>
      <c r="AR6" s="17"/>
      <c r="AS6" s="1"/>
      <c r="AT6" s="39"/>
      <c r="AU6" s="17"/>
      <c r="AV6" s="1"/>
      <c r="AW6" s="1"/>
      <c r="AX6" s="36"/>
      <c r="AY6" s="2"/>
      <c r="AZ6" s="1"/>
      <c r="BA6" s="70" t="s">
        <v>38985</v>
      </c>
      <c r="BB6" s="70"/>
      <c r="BC6" s="70"/>
      <c r="BD6" s="70"/>
      <c r="BE6" s="70"/>
      <c r="BF6" s="70"/>
      <c r="BG6" s="70"/>
      <c r="BH6" s="70"/>
      <c r="BI6" s="70"/>
      <c r="BJ6" s="70"/>
      <c r="BK6" s="70"/>
      <c r="BL6" s="70"/>
      <c r="BM6" s="70"/>
      <c r="BN6" s="70"/>
      <c r="BO6" s="70"/>
      <c r="BP6" s="17"/>
      <c r="BQ6" s="17"/>
      <c r="BR6" s="40"/>
      <c r="BS6" s="17"/>
      <c r="BT6" s="17"/>
      <c r="BU6" s="40"/>
      <c r="BV6" s="40"/>
      <c r="BW6" s="1"/>
      <c r="BX6" s="1"/>
      <c r="BY6" s="1"/>
      <c r="BZ6" s="1"/>
      <c r="CA6" s="1"/>
      <c r="CB6" s="1"/>
      <c r="CC6" s="1"/>
      <c r="CD6" s="1"/>
      <c r="CE6" s="1"/>
      <c r="CF6" s="1"/>
      <c r="CG6" s="1"/>
      <c r="CH6" s="1"/>
      <c r="CI6" s="1"/>
      <c r="CJ6" s="1"/>
      <c r="CK6" s="1"/>
      <c r="CL6" s="1"/>
      <c r="CM6" s="1"/>
      <c r="CN6" s="1"/>
      <c r="CO6" s="1"/>
      <c r="CP6" s="1"/>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c r="EU6" s="2"/>
      <c r="EV6" s="2"/>
      <c r="EW6" s="2"/>
      <c r="EX6" s="2"/>
      <c r="EY6" s="2"/>
      <c r="EZ6" s="2"/>
      <c r="FA6" s="2"/>
      <c r="FB6" s="2"/>
      <c r="FC6" s="2"/>
      <c r="FD6" s="2"/>
      <c r="FE6" s="2"/>
      <c r="FF6" s="2"/>
    </row>
    <row x14ac:dyDescent="0.25" r="7" customHeight="1" ht="29.25">
      <c r="A7" s="71" t="s">
        <v>38986</v>
      </c>
      <c r="B7" s="72"/>
      <c r="C7" s="73"/>
      <c r="D7" s="73"/>
      <c r="E7" s="73"/>
      <c r="F7" s="73"/>
      <c r="G7" s="74"/>
      <c r="H7" s="75" t="s">
        <v>38987</v>
      </c>
      <c r="I7" s="76"/>
      <c r="J7" s="76"/>
      <c r="K7" s="77"/>
      <c r="L7" s="78"/>
      <c r="M7" s="79" t="s">
        <v>38988</v>
      </c>
      <c r="N7" s="80" t="s">
        <v>38989</v>
      </c>
      <c r="O7" s="80"/>
      <c r="P7" s="81"/>
      <c r="Q7" s="81"/>
      <c r="R7" s="81"/>
      <c r="S7" s="81"/>
      <c r="T7" s="82" t="s">
        <v>38990</v>
      </c>
      <c r="U7" s="83"/>
      <c r="V7" s="83"/>
      <c r="W7" s="83"/>
      <c r="X7" s="83"/>
      <c r="Y7" s="83"/>
      <c r="Z7" s="83"/>
      <c r="AA7" s="83"/>
      <c r="AB7" s="83"/>
      <c r="AC7" s="83"/>
      <c r="AD7" s="83"/>
      <c r="AE7" s="83"/>
      <c r="AF7" s="83"/>
      <c r="AG7" s="83"/>
      <c r="AH7" s="83"/>
      <c r="AI7" s="83"/>
      <c r="AJ7" s="83"/>
      <c r="AK7" s="83"/>
      <c r="AL7" s="83"/>
      <c r="AM7" s="83"/>
      <c r="AN7" s="83"/>
      <c r="AO7" s="83"/>
      <c r="AP7" s="83"/>
      <c r="AQ7" s="83"/>
      <c r="AR7" s="84"/>
      <c r="AS7" s="85"/>
      <c r="AT7" s="86"/>
      <c r="AU7" s="87" t="s">
        <v>38991</v>
      </c>
      <c r="AV7" s="88" t="s">
        <v>38992</v>
      </c>
      <c r="AW7" s="1"/>
      <c r="AX7" s="89"/>
      <c r="AY7" s="2"/>
      <c r="AZ7" s="1"/>
      <c r="BA7" s="79" t="s">
        <v>38988</v>
      </c>
      <c r="BB7" s="90"/>
      <c r="BC7" s="91" t="s">
        <v>38993</v>
      </c>
      <c r="BD7" s="91"/>
      <c r="BE7" s="91"/>
      <c r="BF7" s="91"/>
      <c r="BG7" s="91"/>
      <c r="BH7" s="91"/>
      <c r="BI7" s="91"/>
      <c r="BJ7" s="80" t="s">
        <v>38989</v>
      </c>
      <c r="BK7" s="81"/>
      <c r="BL7" s="81"/>
      <c r="BM7" s="80"/>
      <c r="BN7" s="81"/>
      <c r="BO7" s="81"/>
      <c r="BP7" s="17"/>
      <c r="BQ7" s="17"/>
      <c r="BR7" s="40"/>
      <c r="BS7" s="17"/>
      <c r="BT7" s="92"/>
      <c r="BU7" s="40"/>
      <c r="BV7" s="40"/>
      <c r="BW7" s="1"/>
      <c r="BX7" s="1"/>
      <c r="BY7" s="1"/>
      <c r="BZ7" s="1"/>
      <c r="CA7" s="1"/>
      <c r="CB7" s="1"/>
      <c r="CC7" s="1"/>
      <c r="CD7" s="1"/>
      <c r="CE7" s="1"/>
      <c r="CF7" s="1"/>
      <c r="CG7" s="1"/>
      <c r="CH7" s="1"/>
      <c r="CI7" s="1"/>
      <c r="CJ7" s="1"/>
      <c r="CK7" s="1"/>
      <c r="CL7" s="1"/>
      <c r="CM7" s="1"/>
      <c r="CN7" s="1"/>
      <c r="CO7" s="1"/>
      <c r="CP7" s="1"/>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c r="EX7" s="2"/>
      <c r="EY7" s="2"/>
      <c r="EZ7" s="2"/>
      <c r="FA7" s="2"/>
      <c r="FB7" s="2"/>
      <c r="FC7" s="2"/>
      <c r="FD7" s="2"/>
      <c r="FE7" s="2"/>
      <c r="FF7" s="2"/>
    </row>
    <row x14ac:dyDescent="0.25" r="8" customHeight="1" ht="28.5" customFormat="1" s="18">
      <c r="A8" s="93" t="s">
        <v>38994</v>
      </c>
      <c r="B8" s="93" t="s">
        <v>38995</v>
      </c>
      <c r="C8" s="93" t="s">
        <v>38981</v>
      </c>
      <c r="D8" s="93" t="s">
        <v>0</v>
      </c>
      <c r="E8" s="93" t="s">
        <v>38996</v>
      </c>
      <c r="F8" s="93" t="s">
        <v>38997</v>
      </c>
      <c r="G8" s="93" t="s">
        <v>38998</v>
      </c>
      <c r="H8" s="94" t="s">
        <v>38999</v>
      </c>
      <c r="I8" s="94" t="s">
        <v>36364</v>
      </c>
      <c r="J8" s="94" t="s">
        <v>3</v>
      </c>
      <c r="K8" s="95" t="s">
        <v>39000</v>
      </c>
      <c r="L8" s="94" t="s">
        <v>39001</v>
      </c>
      <c r="M8" s="96" t="s">
        <v>39002</v>
      </c>
      <c r="N8" s="97" t="s">
        <v>39003</v>
      </c>
      <c r="O8" s="98" t="s">
        <v>39004</v>
      </c>
      <c r="P8" s="98" t="s">
        <v>38277</v>
      </c>
      <c r="Q8" s="98" t="s">
        <v>39005</v>
      </c>
      <c r="R8" s="98" t="s">
        <v>39006</v>
      </c>
      <c r="S8" s="98" t="s">
        <v>39007</v>
      </c>
      <c r="T8" s="99" t="s">
        <v>39008</v>
      </c>
      <c r="U8" s="99" t="s">
        <v>39009</v>
      </c>
      <c r="V8" s="99" t="s">
        <v>39010</v>
      </c>
      <c r="W8" s="99" t="s">
        <v>39011</v>
      </c>
      <c r="X8" s="99" t="s">
        <v>39012</v>
      </c>
      <c r="Y8" s="99" t="s">
        <v>39013</v>
      </c>
      <c r="Z8" s="99" t="s">
        <v>39014</v>
      </c>
      <c r="AA8" s="99" t="s">
        <v>39015</v>
      </c>
      <c r="AB8" s="99" t="s">
        <v>39016</v>
      </c>
      <c r="AC8" s="99" t="s">
        <v>39017</v>
      </c>
      <c r="AD8" s="99" t="s">
        <v>39018</v>
      </c>
      <c r="AE8" s="99" t="s">
        <v>39019</v>
      </c>
      <c r="AF8" s="99">
        <v>2026</v>
      </c>
      <c r="AG8" s="99">
        <v>2027</v>
      </c>
      <c r="AH8" s="99">
        <v>2028</v>
      </c>
      <c r="AI8" s="99">
        <v>2029</v>
      </c>
      <c r="AJ8" s="99">
        <v>2030</v>
      </c>
      <c r="AK8" s="99" t="s">
        <v>39020</v>
      </c>
      <c r="AL8" s="99">
        <v>2031</v>
      </c>
      <c r="AM8" s="99">
        <v>2032</v>
      </c>
      <c r="AN8" s="99">
        <v>2033</v>
      </c>
      <c r="AO8" s="99">
        <v>2034</v>
      </c>
      <c r="AP8" s="99">
        <v>2035</v>
      </c>
      <c r="AQ8" s="99" t="s">
        <v>39021</v>
      </c>
      <c r="AR8" s="100" t="s">
        <v>39022</v>
      </c>
      <c r="AS8" s="101" t="s">
        <v>39023</v>
      </c>
      <c r="AT8" s="102" t="s">
        <v>39024</v>
      </c>
      <c r="AU8" s="102" t="s">
        <v>39025</v>
      </c>
      <c r="AV8" s="101" t="s">
        <v>39026</v>
      </c>
      <c r="AW8" s="101" t="s">
        <v>39027</v>
      </c>
      <c r="AX8" s="101" t="s">
        <v>39028</v>
      </c>
      <c r="AY8" s="103" t="s">
        <v>39029</v>
      </c>
      <c r="AZ8" s="101" t="s">
        <v>39030</v>
      </c>
      <c r="BA8" s="104" t="s">
        <v>39031</v>
      </c>
      <c r="BB8" s="104" t="s">
        <v>39032</v>
      </c>
      <c r="BC8" s="105" t="s">
        <v>39033</v>
      </c>
      <c r="BD8" s="105" t="s">
        <v>39034</v>
      </c>
      <c r="BE8" s="105" t="s">
        <v>38281</v>
      </c>
      <c r="BF8" s="105" t="s">
        <v>39035</v>
      </c>
      <c r="BG8" s="105" t="s">
        <v>39036</v>
      </c>
      <c r="BH8" s="105" t="s">
        <v>39037</v>
      </c>
      <c r="BI8" s="106" t="s">
        <v>39038</v>
      </c>
      <c r="BJ8" s="107" t="s">
        <v>39039</v>
      </c>
      <c r="BK8" s="108" t="s">
        <v>39040</v>
      </c>
      <c r="BL8" s="108" t="s">
        <v>39041</v>
      </c>
      <c r="BM8" s="108" t="s">
        <v>39042</v>
      </c>
      <c r="BN8" s="108" t="s">
        <v>39043</v>
      </c>
      <c r="BO8" s="108" t="s">
        <v>39044</v>
      </c>
      <c r="BP8" s="109" t="s">
        <v>39045</v>
      </c>
      <c r="BQ8" s="109" t="s">
        <v>39046</v>
      </c>
      <c r="BR8" s="110" t="s">
        <v>39047</v>
      </c>
      <c r="BS8" s="109" t="s">
        <v>39048</v>
      </c>
      <c r="BT8" s="109" t="s">
        <v>39049</v>
      </c>
      <c r="BU8" s="110" t="s">
        <v>39050</v>
      </c>
      <c r="BV8" s="110" t="s">
        <v>39051</v>
      </c>
      <c r="BW8" s="2"/>
      <c r="BX8" s="2"/>
      <c r="BY8" s="2"/>
      <c r="BZ8" s="2"/>
      <c r="CA8" s="2"/>
      <c r="CB8" s="2"/>
      <c r="CC8" s="2"/>
      <c r="CD8" s="2"/>
      <c r="CE8" s="2"/>
      <c r="CF8" s="2"/>
      <c r="CG8" s="2"/>
      <c r="CH8" s="2"/>
      <c r="CI8" s="2"/>
      <c r="CJ8" s="2"/>
      <c r="CK8" s="2"/>
      <c r="CL8" s="2"/>
      <c r="CM8" s="2"/>
      <c r="CN8" s="2"/>
      <c r="CO8" s="2"/>
      <c r="CP8" s="2"/>
      <c r="CQ8" s="111"/>
      <c r="CR8" s="111"/>
      <c r="CS8" s="111"/>
      <c r="CT8" s="111"/>
      <c r="CU8" s="111"/>
      <c r="CV8" s="111"/>
      <c r="CW8" s="111"/>
      <c r="CX8" s="111"/>
      <c r="CY8" s="111"/>
      <c r="CZ8" s="111"/>
      <c r="DA8" s="111"/>
      <c r="DB8" s="111"/>
      <c r="DC8" s="111"/>
      <c r="DD8" s="111"/>
      <c r="DE8" s="111"/>
      <c r="DF8" s="111"/>
      <c r="DG8" s="111"/>
      <c r="DH8" s="111"/>
      <c r="DI8" s="111"/>
      <c r="DJ8" s="111"/>
      <c r="DK8" s="111"/>
      <c r="DL8" s="111"/>
      <c r="DM8" s="111"/>
      <c r="DN8" s="111"/>
      <c r="DO8" s="111"/>
      <c r="DP8" s="111"/>
      <c r="DQ8" s="111"/>
      <c r="DR8" s="111"/>
      <c r="DS8" s="111"/>
      <c r="DT8" s="111"/>
      <c r="DU8" s="111"/>
      <c r="DV8" s="111"/>
      <c r="DW8" s="111"/>
      <c r="DX8" s="111"/>
      <c r="DY8" s="111"/>
      <c r="DZ8" s="111"/>
      <c r="EA8" s="111"/>
      <c r="EB8" s="111"/>
      <c r="EC8" s="111"/>
      <c r="ED8" s="111"/>
      <c r="EE8" s="111"/>
      <c r="EF8" s="111"/>
      <c r="EG8" s="111"/>
      <c r="EH8" s="111"/>
      <c r="EI8" s="111"/>
      <c r="EJ8" s="111"/>
      <c r="EK8" s="111"/>
      <c r="EL8" s="111"/>
      <c r="EM8" s="111"/>
      <c r="EN8" s="111"/>
      <c r="EO8" s="111"/>
      <c r="EP8" s="111"/>
      <c r="EQ8" s="111"/>
      <c r="ER8" s="111"/>
      <c r="ES8" s="111"/>
      <c r="ET8" s="111"/>
      <c r="EU8" s="111"/>
      <c r="EV8" s="111"/>
      <c r="EW8" s="111"/>
      <c r="EX8" s="111"/>
      <c r="EY8" s="111"/>
      <c r="EZ8" s="111"/>
      <c r="FA8" s="2"/>
      <c r="FB8" s="2"/>
      <c r="FC8" s="2"/>
      <c r="FD8" s="2"/>
      <c r="FE8" s="2"/>
      <c r="FF8" s="2"/>
    </row>
    <row x14ac:dyDescent="0.25" r="9" customHeight="1" ht="63">
      <c r="A9" s="3"/>
      <c r="B9" s="112" t="s">
        <v>39052</v>
      </c>
      <c r="C9" s="3" t="s">
        <v>39053</v>
      </c>
      <c r="D9" s="3" t="s">
        <v>8</v>
      </c>
      <c r="E9" s="3" t="s">
        <v>38983</v>
      </c>
      <c r="F9" s="3"/>
      <c r="G9" s="3" t="s">
        <v>39054</v>
      </c>
      <c r="H9" s="3" t="s">
        <v>10</v>
      </c>
      <c r="I9" s="3" t="s">
        <v>86</v>
      </c>
      <c r="J9" s="3" t="s">
        <v>5</v>
      </c>
      <c r="K9" s="113" t="s">
        <v>16</v>
      </c>
      <c r="L9" s="3" t="s">
        <v>67</v>
      </c>
      <c r="M9" s="3" t="s">
        <v>39055</v>
      </c>
      <c r="N9" s="3"/>
      <c r="O9" s="3"/>
      <c r="P9" s="3"/>
      <c r="Q9" s="3" t="s">
        <v>39056</v>
      </c>
      <c r="R9" s="3" t="s">
        <v>39057</v>
      </c>
      <c r="S9" s="3" t="s">
        <v>39058</v>
      </c>
      <c r="T9" s="114">
        <v>10000</v>
      </c>
      <c r="U9" s="114">
        <v>10000</v>
      </c>
      <c r="V9" s="114">
        <v>10000</v>
      </c>
      <c r="W9" s="114">
        <v>10000</v>
      </c>
      <c r="X9" s="114">
        <v>10000</v>
      </c>
      <c r="Y9" s="114">
        <v>0</v>
      </c>
      <c r="Z9" s="114">
        <v>0</v>
      </c>
      <c r="AA9" s="114">
        <v>400000</v>
      </c>
      <c r="AB9" s="114">
        <v>0</v>
      </c>
      <c r="AC9" s="114">
        <v>50000</v>
      </c>
      <c r="AD9" s="114">
        <v>0</v>
      </c>
      <c r="AE9" s="114">
        <v>0</v>
      </c>
      <c r="AF9" s="114">
        <v>500000</v>
      </c>
      <c r="AG9" s="114">
        <v>1000000</v>
      </c>
      <c r="AH9" s="114">
        <v>1000000</v>
      </c>
      <c r="AI9" s="114">
        <v>0</v>
      </c>
      <c r="AJ9" s="114">
        <v>0</v>
      </c>
      <c r="AK9" s="114">
        <v>2500000</v>
      </c>
      <c r="AL9" s="114">
        <v>0</v>
      </c>
      <c r="AM9" s="114">
        <v>0</v>
      </c>
      <c r="AN9" s="114">
        <v>0</v>
      </c>
      <c r="AO9" s="114">
        <v>0</v>
      </c>
      <c r="AP9" s="114">
        <v>0</v>
      </c>
      <c r="AQ9" s="114">
        <v>2500000</v>
      </c>
      <c r="AR9" s="22">
        <v>161</v>
      </c>
      <c r="AS9" s="3" t="s">
        <v>39059</v>
      </c>
      <c r="AT9" s="115" t="s">
        <v>39060</v>
      </c>
      <c r="AU9" s="113" t="s">
        <v>39061</v>
      </c>
      <c r="AV9" s="3"/>
      <c r="AW9" s="3" t="s">
        <v>39062</v>
      </c>
      <c r="AX9" s="8" t="s">
        <v>39063</v>
      </c>
      <c r="AY9" s="8"/>
      <c r="AZ9" s="3" t="s">
        <v>39064</v>
      </c>
      <c r="BA9" s="3"/>
      <c r="BB9" s="3"/>
      <c r="BC9" s="3"/>
      <c r="BD9" s="3"/>
      <c r="BE9" s="3"/>
      <c r="BF9" s="3"/>
      <c r="BG9" s="3"/>
      <c r="BH9" s="3"/>
      <c r="BI9" s="3"/>
      <c r="BJ9" s="3"/>
      <c r="BK9" s="3"/>
      <c r="BL9" s="3"/>
      <c r="BM9" s="3"/>
      <c r="BN9" s="3"/>
      <c r="BO9" s="3"/>
      <c r="BP9" s="116">
        <f>IFERROR(VLOOKUP(_tPE26_29_Consolidada[[#This Row], [ID Financeiro]],'[4]PE 25-29'!$B:$AF,31,FALSE),0)</f>
      </c>
      <c r="BQ9" s="116">
        <f>_tPE26_29_Consolidada[[#This Row], [2026]]*1000</f>
      </c>
      <c r="BR9" s="117">
        <f>_tPE26_29_Consolidada[[#This Row], [Orçado 2026 (PE25-29)]]-_tPE26_29_Consolidada[[#This Row], [Orçado 2026 (PE26-30)]]</f>
      </c>
      <c r="BS9" s="117">
        <f>IFERROR(VLOOKUP(_tPE26_29_Consolidada[[#This Row], [ID Financeiro]],'[4]PE 25-29'!$B:$AT,45,FALSE),0)</f>
      </c>
      <c r="BT9" s="117">
        <f>_tPE26_29_Consolidada[[#This Row], [2026-2030]]*1000</f>
      </c>
      <c r="BU9" s="117">
        <f>-_tPE26_29_Consolidada[[#This Row], [Orçado 26/30 (PE25-29)]]+_tPE26_29_Consolidada[[#This Row], [Orçado 26/30 (PE26-30)]]</f>
      </c>
      <c r="BV9" s="22">
        <f>IFERROR(_tPE26_29_Consolidada[[#This Row], [Dif2]]/_tPE26_29_Consolidada[[#This Row], [Orçado 26/30 (PE25-29)]],0)</f>
      </c>
      <c r="BW9" s="1"/>
      <c r="BX9" s="1"/>
      <c r="BY9" s="1"/>
      <c r="BZ9" s="1"/>
      <c r="CA9" s="1"/>
      <c r="CB9" s="1"/>
      <c r="CC9" s="1"/>
      <c r="CD9" s="1"/>
      <c r="CE9" s="1"/>
      <c r="CF9" s="1"/>
      <c r="CG9" s="1"/>
      <c r="CH9" s="1"/>
      <c r="CI9" s="1"/>
      <c r="CJ9" s="1"/>
      <c r="CK9" s="1"/>
      <c r="CL9" s="1"/>
      <c r="CM9" s="1"/>
      <c r="CN9" s="1"/>
      <c r="CO9" s="1"/>
      <c r="CP9" s="1"/>
      <c r="CQ9" s="111"/>
      <c r="CR9" s="111"/>
      <c r="CS9" s="111"/>
      <c r="CT9" s="111"/>
      <c r="CU9" s="111"/>
      <c r="CV9" s="111"/>
      <c r="CW9" s="111"/>
      <c r="CX9" s="111"/>
      <c r="CY9" s="111"/>
      <c r="CZ9" s="111"/>
      <c r="DA9" s="111"/>
      <c r="DB9" s="111"/>
      <c r="DC9" s="111"/>
      <c r="DD9" s="111"/>
      <c r="DE9" s="111"/>
      <c r="DF9" s="111"/>
      <c r="DG9" s="111"/>
      <c r="DH9" s="111"/>
      <c r="DI9" s="111"/>
      <c r="DJ9" s="111"/>
      <c r="DK9" s="111"/>
      <c r="DL9" s="111"/>
      <c r="DM9" s="111"/>
      <c r="DN9" s="111"/>
      <c r="DO9" s="111"/>
      <c r="DP9" s="111"/>
      <c r="DQ9" s="111"/>
      <c r="DR9" s="111"/>
      <c r="DS9" s="111"/>
      <c r="DT9" s="111"/>
      <c r="DU9" s="111"/>
      <c r="DV9" s="111"/>
      <c r="DW9" s="111"/>
      <c r="DX9" s="111"/>
      <c r="DY9" s="111"/>
      <c r="DZ9" s="111"/>
      <c r="EA9" s="111"/>
      <c r="EB9" s="111"/>
      <c r="EC9" s="111"/>
      <c r="ED9" s="111"/>
      <c r="EE9" s="111"/>
      <c r="EF9" s="111"/>
      <c r="EG9" s="111"/>
      <c r="EH9" s="111"/>
      <c r="EI9" s="111"/>
      <c r="EJ9" s="111"/>
      <c r="EK9" s="111"/>
      <c r="EL9" s="111"/>
      <c r="EM9" s="111"/>
      <c r="EN9" s="111"/>
      <c r="EO9" s="111"/>
      <c r="EP9" s="111"/>
      <c r="EQ9" s="111"/>
      <c r="ER9" s="111"/>
      <c r="ES9" s="111"/>
      <c r="ET9" s="111"/>
      <c r="EU9" s="111"/>
      <c r="EV9" s="111"/>
      <c r="EW9" s="111"/>
      <c r="EX9" s="111"/>
      <c r="EY9" s="111"/>
      <c r="EZ9" s="111"/>
      <c r="FA9" s="2"/>
      <c r="FB9" s="2"/>
      <c r="FC9" s="2"/>
      <c r="FD9" s="2"/>
      <c r="FE9" s="2"/>
      <c r="FF9" s="2"/>
    </row>
    <row x14ac:dyDescent="0.25" r="10" customHeight="1" ht="18.75">
      <c r="A10" s="3"/>
      <c r="B10" s="118" t="s">
        <v>39052</v>
      </c>
      <c r="C10" s="3" t="s">
        <v>39053</v>
      </c>
      <c r="D10" s="3" t="s">
        <v>8</v>
      </c>
      <c r="E10" s="3" t="s">
        <v>38983</v>
      </c>
      <c r="F10" s="3"/>
      <c r="G10" s="3" t="s">
        <v>39065</v>
      </c>
      <c r="H10" s="3" t="s">
        <v>10</v>
      </c>
      <c r="I10" s="3" t="s">
        <v>86</v>
      </c>
      <c r="J10" s="3" t="s">
        <v>5</v>
      </c>
      <c r="K10" s="113" t="s">
        <v>16</v>
      </c>
      <c r="L10" s="3" t="s">
        <v>67</v>
      </c>
      <c r="M10" s="3" t="s">
        <v>39055</v>
      </c>
      <c r="N10" s="3"/>
      <c r="O10" s="3"/>
      <c r="P10" s="3"/>
      <c r="Q10" s="3" t="s">
        <v>39066</v>
      </c>
      <c r="R10" s="3" t="s">
        <v>39057</v>
      </c>
      <c r="S10" s="3" t="s">
        <v>39058</v>
      </c>
      <c r="T10" s="114">
        <v>0</v>
      </c>
      <c r="U10" s="114">
        <v>0</v>
      </c>
      <c r="V10" s="114">
        <v>0</v>
      </c>
      <c r="W10" s="114">
        <v>0</v>
      </c>
      <c r="X10" s="114">
        <v>0</v>
      </c>
      <c r="Y10" s="114">
        <v>0</v>
      </c>
      <c r="Z10" s="114">
        <v>5000</v>
      </c>
      <c r="AA10" s="114">
        <v>5000</v>
      </c>
      <c r="AB10" s="114">
        <v>5000</v>
      </c>
      <c r="AC10" s="114">
        <v>5000</v>
      </c>
      <c r="AD10" s="114">
        <v>5000</v>
      </c>
      <c r="AE10" s="114">
        <v>5000</v>
      </c>
      <c r="AF10" s="114">
        <v>30000</v>
      </c>
      <c r="AG10" s="114">
        <v>4000000</v>
      </c>
      <c r="AH10" s="114">
        <v>4000000</v>
      </c>
      <c r="AI10" s="114">
        <v>4000000</v>
      </c>
      <c r="AJ10" s="114">
        <v>2970000</v>
      </c>
      <c r="AK10" s="114">
        <v>15000000</v>
      </c>
      <c r="AL10" s="114">
        <v>0</v>
      </c>
      <c r="AM10" s="114">
        <v>0</v>
      </c>
      <c r="AN10" s="114">
        <v>0</v>
      </c>
      <c r="AO10" s="114">
        <v>0</v>
      </c>
      <c r="AP10" s="114">
        <v>0</v>
      </c>
      <c r="AQ10" s="114">
        <v>15000000</v>
      </c>
      <c r="AR10" s="22">
        <v>175</v>
      </c>
      <c r="AS10" s="3" t="s">
        <v>39059</v>
      </c>
      <c r="AT10" s="115" t="s">
        <v>39060</v>
      </c>
      <c r="AU10" s="113" t="s">
        <v>39067</v>
      </c>
      <c r="AV10" s="3"/>
      <c r="AW10" s="3" t="s">
        <v>39062</v>
      </c>
      <c r="AX10" s="8" t="s">
        <v>39066</v>
      </c>
      <c r="AY10" s="8"/>
      <c r="AZ10" s="3" t="s">
        <v>39068</v>
      </c>
      <c r="BA10" s="3"/>
      <c r="BB10" s="3"/>
      <c r="BC10" s="3"/>
      <c r="BD10" s="3"/>
      <c r="BE10" s="3"/>
      <c r="BF10" s="3"/>
      <c r="BG10" s="3"/>
      <c r="BH10" s="3"/>
      <c r="BI10" s="3"/>
      <c r="BJ10" s="3"/>
      <c r="BK10" s="3"/>
      <c r="BL10" s="3"/>
      <c r="BM10" s="3"/>
      <c r="BN10" s="3"/>
      <c r="BO10" s="3"/>
      <c r="BP10" s="116">
        <f>IFERROR(VLOOKUP(_tPE26_29_Consolidada[[#This Row], [ID Financeiro]],'[4]PE 25-29'!$B:$AF,31,FALSE),0)</f>
      </c>
      <c r="BQ10" s="116">
        <f>_tPE26_29_Consolidada[[#This Row], [2026]]*1000</f>
      </c>
      <c r="BR10" s="117">
        <f>_tPE26_29_Consolidada[[#This Row], [Orçado 2026 (PE25-29)]]-_tPE26_29_Consolidada[[#This Row], [Orçado 2026 (PE26-30)]]</f>
      </c>
      <c r="BS10" s="117">
        <f>IFERROR(VLOOKUP(_tPE26_29_Consolidada[[#This Row], [ID Financeiro]],'[4]PE 25-29'!$B:$AT,45,FALSE),0)</f>
      </c>
      <c r="BT10" s="117">
        <f>_tPE26_29_Consolidada[[#This Row], [2026-2030]]*1000</f>
      </c>
      <c r="BU10" s="117">
        <f>-_tPE26_29_Consolidada[[#This Row], [Orçado 26/30 (PE25-29)]]+_tPE26_29_Consolidada[[#This Row], [Orçado 26/30 (PE26-30)]]</f>
      </c>
      <c r="BV10" s="22">
        <f>IFERROR(_tPE26_29_Consolidada[[#This Row], [Dif2]]/_tPE26_29_Consolidada[[#This Row], [Orçado 26/30 (PE25-29)]],0)</f>
      </c>
      <c r="BW10" s="1"/>
      <c r="BX10" s="1"/>
      <c r="BY10" s="1"/>
      <c r="BZ10" s="1"/>
      <c r="CA10" s="1"/>
      <c r="CB10" s="1"/>
      <c r="CC10" s="1"/>
      <c r="CD10" s="1"/>
      <c r="CE10" s="1"/>
      <c r="CF10" s="1"/>
      <c r="CG10" s="1"/>
      <c r="CH10" s="1"/>
      <c r="CI10" s="1"/>
      <c r="CJ10" s="1"/>
      <c r="CK10" s="1"/>
      <c r="CL10" s="1"/>
      <c r="CM10" s="1"/>
      <c r="CN10" s="1"/>
      <c r="CO10" s="1"/>
      <c r="CP10" s="1"/>
      <c r="CQ10" s="111"/>
      <c r="CR10" s="111"/>
      <c r="CS10" s="111"/>
      <c r="CT10" s="111"/>
      <c r="CU10" s="111"/>
      <c r="CV10" s="111"/>
      <c r="CW10" s="111"/>
      <c r="CX10" s="111"/>
      <c r="CY10" s="111"/>
      <c r="CZ10" s="111"/>
      <c r="DA10" s="111"/>
      <c r="DB10" s="111"/>
      <c r="DC10" s="111"/>
      <c r="DD10" s="111"/>
      <c r="DE10" s="111"/>
      <c r="DF10" s="111"/>
      <c r="DG10" s="111"/>
      <c r="DH10" s="111"/>
      <c r="DI10" s="111"/>
      <c r="DJ10" s="111"/>
      <c r="DK10" s="111"/>
      <c r="DL10" s="111"/>
      <c r="DM10" s="111"/>
      <c r="DN10" s="111"/>
      <c r="DO10" s="111"/>
      <c r="DP10" s="111"/>
      <c r="DQ10" s="111"/>
      <c r="DR10" s="111"/>
      <c r="DS10" s="111"/>
      <c r="DT10" s="111"/>
      <c r="DU10" s="111"/>
      <c r="DV10" s="111"/>
      <c r="DW10" s="111"/>
      <c r="DX10" s="111"/>
      <c r="DY10" s="111"/>
      <c r="DZ10" s="111"/>
      <c r="EA10" s="111"/>
      <c r="EB10" s="111"/>
      <c r="EC10" s="111"/>
      <c r="ED10" s="111"/>
      <c r="EE10" s="111"/>
      <c r="EF10" s="111"/>
      <c r="EG10" s="111"/>
      <c r="EH10" s="111"/>
      <c r="EI10" s="111"/>
      <c r="EJ10" s="111"/>
      <c r="EK10" s="111"/>
      <c r="EL10" s="111"/>
      <c r="EM10" s="111"/>
      <c r="EN10" s="111"/>
      <c r="EO10" s="111"/>
      <c r="EP10" s="111"/>
      <c r="EQ10" s="111"/>
      <c r="ER10" s="111"/>
      <c r="ES10" s="111"/>
      <c r="ET10" s="111"/>
      <c r="EU10" s="111"/>
      <c r="EV10" s="111"/>
      <c r="EW10" s="111"/>
      <c r="EX10" s="111"/>
      <c r="EY10" s="111"/>
      <c r="EZ10" s="111"/>
      <c r="FA10" s="2"/>
      <c r="FB10" s="2"/>
      <c r="FC10" s="2"/>
      <c r="FD10" s="2"/>
      <c r="FE10" s="2"/>
      <c r="FF10" s="2"/>
    </row>
    <row x14ac:dyDescent="0.25" r="11" customHeight="1" ht="18.75">
      <c r="A11" s="3"/>
      <c r="B11" s="118" t="s">
        <v>39052</v>
      </c>
      <c r="C11" s="3" t="s">
        <v>39053</v>
      </c>
      <c r="D11" s="3" t="s">
        <v>8</v>
      </c>
      <c r="E11" s="3" t="s">
        <v>38983</v>
      </c>
      <c r="F11" s="3"/>
      <c r="G11" s="3" t="s">
        <v>39069</v>
      </c>
      <c r="H11" s="3" t="s">
        <v>10</v>
      </c>
      <c r="I11" s="3" t="s">
        <v>86</v>
      </c>
      <c r="J11" s="3" t="s">
        <v>5</v>
      </c>
      <c r="K11" s="113" t="s">
        <v>16</v>
      </c>
      <c r="L11" s="3" t="s">
        <v>67</v>
      </c>
      <c r="M11" s="3" t="s">
        <v>39055</v>
      </c>
      <c r="N11" s="3"/>
      <c r="O11" s="3"/>
      <c r="P11" s="3"/>
      <c r="Q11" s="3" t="s">
        <v>39070</v>
      </c>
      <c r="R11" s="3" t="s">
        <v>39057</v>
      </c>
      <c r="S11" s="3" t="s">
        <v>39058</v>
      </c>
      <c r="T11" s="114">
        <v>20000</v>
      </c>
      <c r="U11" s="114">
        <v>20000</v>
      </c>
      <c r="V11" s="114">
        <v>20000</v>
      </c>
      <c r="W11" s="114">
        <v>20000</v>
      </c>
      <c r="X11" s="114">
        <v>20000</v>
      </c>
      <c r="Y11" s="114">
        <v>0</v>
      </c>
      <c r="Z11" s="114">
        <v>0</v>
      </c>
      <c r="AA11" s="114">
        <v>0</v>
      </c>
      <c r="AB11" s="114">
        <v>500000</v>
      </c>
      <c r="AC11" s="114">
        <v>100000</v>
      </c>
      <c r="AD11" s="114">
        <v>600000</v>
      </c>
      <c r="AE11" s="114">
        <v>200000</v>
      </c>
      <c r="AF11" s="114">
        <v>1500000</v>
      </c>
      <c r="AG11" s="114">
        <v>2800000</v>
      </c>
      <c r="AH11" s="114">
        <v>1200000</v>
      </c>
      <c r="AI11" s="114">
        <v>0</v>
      </c>
      <c r="AJ11" s="114">
        <v>0</v>
      </c>
      <c r="AK11" s="114">
        <v>5500000</v>
      </c>
      <c r="AL11" s="114">
        <v>0</v>
      </c>
      <c r="AM11" s="114">
        <v>0</v>
      </c>
      <c r="AN11" s="114">
        <v>0</v>
      </c>
      <c r="AO11" s="114">
        <v>0</v>
      </c>
      <c r="AP11" s="114">
        <v>0</v>
      </c>
      <c r="AQ11" s="114">
        <v>5500000</v>
      </c>
      <c r="AR11" s="22">
        <v>152</v>
      </c>
      <c r="AS11" s="3" t="s">
        <v>39059</v>
      </c>
      <c r="AT11" s="115" t="s">
        <v>39060</v>
      </c>
      <c r="AU11" s="113" t="s">
        <v>39071</v>
      </c>
      <c r="AV11" s="3"/>
      <c r="AW11" s="3" t="s">
        <v>39062</v>
      </c>
      <c r="AX11" s="8" t="s">
        <v>39072</v>
      </c>
      <c r="AY11" s="8"/>
      <c r="AZ11" s="3" t="s">
        <v>39073</v>
      </c>
      <c r="BA11" s="3"/>
      <c r="BB11" s="3"/>
      <c r="BC11" s="3"/>
      <c r="BD11" s="3"/>
      <c r="BE11" s="3"/>
      <c r="BF11" s="3"/>
      <c r="BG11" s="3"/>
      <c r="BH11" s="3"/>
      <c r="BI11" s="3"/>
      <c r="BJ11" s="3"/>
      <c r="BK11" s="3"/>
      <c r="BL11" s="3"/>
      <c r="BM11" s="3"/>
      <c r="BN11" s="3"/>
      <c r="BO11" s="3"/>
      <c r="BP11" s="116">
        <f>IFERROR(VLOOKUP(_tPE26_29_Consolidada[[#This Row], [ID Financeiro]],'[4]PE 25-29'!$B:$AF,31,FALSE),0)</f>
      </c>
      <c r="BQ11" s="116">
        <f>_tPE26_29_Consolidada[[#This Row], [2026]]*1000</f>
      </c>
      <c r="BR11" s="117">
        <f>_tPE26_29_Consolidada[[#This Row], [Orçado 2026 (PE25-29)]]-_tPE26_29_Consolidada[[#This Row], [Orçado 2026 (PE26-30)]]</f>
      </c>
      <c r="BS11" s="117">
        <f>IFERROR(VLOOKUP(_tPE26_29_Consolidada[[#This Row], [ID Financeiro]],'[4]PE 25-29'!$B:$AT,45,FALSE),0)</f>
      </c>
      <c r="BT11" s="117">
        <f>_tPE26_29_Consolidada[[#This Row], [2026-2030]]*1000</f>
      </c>
      <c r="BU11" s="117">
        <f>-_tPE26_29_Consolidada[[#This Row], [Orçado 26/30 (PE25-29)]]+_tPE26_29_Consolidada[[#This Row], [Orçado 26/30 (PE26-30)]]</f>
      </c>
      <c r="BV11" s="22">
        <f>IFERROR(_tPE26_29_Consolidada[[#This Row], [Dif2]]/_tPE26_29_Consolidada[[#This Row], [Orçado 26/30 (PE25-29)]],0)</f>
      </c>
      <c r="BW11" s="1"/>
      <c r="BX11" s="1"/>
      <c r="BY11" s="1"/>
      <c r="BZ11" s="1"/>
      <c r="CA11" s="1"/>
      <c r="CB11" s="1"/>
      <c r="CC11" s="1"/>
      <c r="CD11" s="1"/>
      <c r="CE11" s="1"/>
      <c r="CF11" s="1"/>
      <c r="CG11" s="1"/>
      <c r="CH11" s="1"/>
      <c r="CI11" s="1"/>
      <c r="CJ11" s="1"/>
      <c r="CK11" s="1"/>
      <c r="CL11" s="1"/>
      <c r="CM11" s="1"/>
      <c r="CN11" s="1"/>
      <c r="CO11" s="1"/>
      <c r="CP11" s="1"/>
      <c r="CQ11" s="111"/>
      <c r="CR11" s="111"/>
      <c r="CS11" s="111"/>
      <c r="CT11" s="111"/>
      <c r="CU11" s="111"/>
      <c r="CV11" s="111"/>
      <c r="CW11" s="111"/>
      <c r="CX11" s="111"/>
      <c r="CY11" s="111"/>
      <c r="CZ11" s="111"/>
      <c r="DA11" s="111"/>
      <c r="DB11" s="111"/>
      <c r="DC11" s="111"/>
      <c r="DD11" s="111"/>
      <c r="DE11" s="111"/>
      <c r="DF11" s="111"/>
      <c r="DG11" s="111"/>
      <c r="DH11" s="111"/>
      <c r="DI11" s="111"/>
      <c r="DJ11" s="111"/>
      <c r="DK11" s="111"/>
      <c r="DL11" s="111"/>
      <c r="DM11" s="111"/>
      <c r="DN11" s="111"/>
      <c r="DO11" s="111"/>
      <c r="DP11" s="111"/>
      <c r="DQ11" s="111"/>
      <c r="DR11" s="111"/>
      <c r="DS11" s="111"/>
      <c r="DT11" s="111"/>
      <c r="DU11" s="111"/>
      <c r="DV11" s="111"/>
      <c r="DW11" s="111"/>
      <c r="DX11" s="111"/>
      <c r="DY11" s="111"/>
      <c r="DZ11" s="111"/>
      <c r="EA11" s="111"/>
      <c r="EB11" s="111"/>
      <c r="EC11" s="111"/>
      <c r="ED11" s="111"/>
      <c r="EE11" s="111"/>
      <c r="EF11" s="111"/>
      <c r="EG11" s="111"/>
      <c r="EH11" s="111"/>
      <c r="EI11" s="111"/>
      <c r="EJ11" s="111"/>
      <c r="EK11" s="111"/>
      <c r="EL11" s="111"/>
      <c r="EM11" s="111"/>
      <c r="EN11" s="111"/>
      <c r="EO11" s="111"/>
      <c r="EP11" s="111"/>
      <c r="EQ11" s="111"/>
      <c r="ER11" s="111"/>
      <c r="ES11" s="111"/>
      <c r="ET11" s="111"/>
      <c r="EU11" s="111"/>
      <c r="EV11" s="111"/>
      <c r="EW11" s="111"/>
      <c r="EX11" s="111"/>
      <c r="EY11" s="111"/>
      <c r="EZ11" s="111"/>
      <c r="FA11" s="2"/>
      <c r="FB11" s="2"/>
      <c r="FC11" s="2"/>
      <c r="FD11" s="2"/>
      <c r="FE11" s="2"/>
      <c r="FF11" s="2"/>
    </row>
    <row x14ac:dyDescent="0.25" r="12" customHeight="1" ht="18.75">
      <c r="A12" s="3"/>
      <c r="B12" s="118" t="s">
        <v>39052</v>
      </c>
      <c r="C12" s="3" t="s">
        <v>39053</v>
      </c>
      <c r="D12" s="3" t="s">
        <v>8</v>
      </c>
      <c r="E12" s="3" t="s">
        <v>38983</v>
      </c>
      <c r="F12" s="3"/>
      <c r="G12" s="3" t="s">
        <v>39074</v>
      </c>
      <c r="H12" s="3" t="s">
        <v>10</v>
      </c>
      <c r="I12" s="3" t="s">
        <v>86</v>
      </c>
      <c r="J12" s="3" t="s">
        <v>5</v>
      </c>
      <c r="K12" s="113" t="s">
        <v>16</v>
      </c>
      <c r="L12" s="3" t="s">
        <v>67</v>
      </c>
      <c r="M12" s="3" t="s">
        <v>39055</v>
      </c>
      <c r="N12" s="3"/>
      <c r="O12" s="3"/>
      <c r="P12" s="3"/>
      <c r="Q12" s="3" t="s">
        <v>39075</v>
      </c>
      <c r="R12" s="3" t="s">
        <v>39057</v>
      </c>
      <c r="S12" s="3" t="s">
        <v>39058</v>
      </c>
      <c r="T12" s="114">
        <v>0</v>
      </c>
      <c r="U12" s="114">
        <v>10000</v>
      </c>
      <c r="V12" s="114">
        <v>10000</v>
      </c>
      <c r="W12" s="114">
        <v>10000</v>
      </c>
      <c r="X12" s="114">
        <v>10000</v>
      </c>
      <c r="Y12" s="114">
        <v>10000</v>
      </c>
      <c r="Z12" s="114">
        <v>0</v>
      </c>
      <c r="AA12" s="114">
        <v>0</v>
      </c>
      <c r="AB12" s="114">
        <v>250000</v>
      </c>
      <c r="AC12" s="114">
        <v>0</v>
      </c>
      <c r="AD12" s="114">
        <v>300000</v>
      </c>
      <c r="AE12" s="114">
        <v>0</v>
      </c>
      <c r="AF12" s="114">
        <v>600000</v>
      </c>
      <c r="AG12" s="114">
        <v>4400000</v>
      </c>
      <c r="AH12" s="114">
        <v>4000000</v>
      </c>
      <c r="AI12" s="114">
        <v>3000000</v>
      </c>
      <c r="AJ12" s="114">
        <v>0</v>
      </c>
      <c r="AK12" s="114">
        <v>12000000</v>
      </c>
      <c r="AL12" s="114">
        <v>0</v>
      </c>
      <c r="AM12" s="114">
        <v>0</v>
      </c>
      <c r="AN12" s="114">
        <v>0</v>
      </c>
      <c r="AO12" s="114">
        <v>0</v>
      </c>
      <c r="AP12" s="114">
        <v>0</v>
      </c>
      <c r="AQ12" s="114">
        <v>12000000</v>
      </c>
      <c r="AR12" s="22">
        <v>160</v>
      </c>
      <c r="AS12" s="3" t="s">
        <v>39059</v>
      </c>
      <c r="AT12" s="115" t="s">
        <v>39060</v>
      </c>
      <c r="AU12" s="113" t="s">
        <v>39076</v>
      </c>
      <c r="AV12" s="3"/>
      <c r="AW12" s="3" t="s">
        <v>39062</v>
      </c>
      <c r="AX12" s="8" t="s">
        <v>39075</v>
      </c>
      <c r="AY12" s="8"/>
      <c r="AZ12" s="3" t="s">
        <v>39064</v>
      </c>
      <c r="BA12" s="3"/>
      <c r="BB12" s="3"/>
      <c r="BC12" s="3"/>
      <c r="BD12" s="3"/>
      <c r="BE12" s="3"/>
      <c r="BF12" s="3"/>
      <c r="BG12" s="3"/>
      <c r="BH12" s="3"/>
      <c r="BI12" s="3"/>
      <c r="BJ12" s="3"/>
      <c r="BK12" s="3"/>
      <c r="BL12" s="3"/>
      <c r="BM12" s="3"/>
      <c r="BN12" s="3"/>
      <c r="BO12" s="3"/>
      <c r="BP12" s="116">
        <f>IFERROR(VLOOKUP(_tPE26_29_Consolidada[[#This Row], [ID Financeiro]],'[4]PE 25-29'!$B:$AF,31,FALSE),0)</f>
      </c>
      <c r="BQ12" s="116">
        <f>_tPE26_29_Consolidada[[#This Row], [2026]]*1000</f>
      </c>
      <c r="BR12" s="117">
        <f>_tPE26_29_Consolidada[[#This Row], [Orçado 2026 (PE25-29)]]-_tPE26_29_Consolidada[[#This Row], [Orçado 2026 (PE26-30)]]</f>
      </c>
      <c r="BS12" s="117">
        <f>IFERROR(VLOOKUP(_tPE26_29_Consolidada[[#This Row], [ID Financeiro]],'[4]PE 25-29'!$B:$AT,45,FALSE),0)</f>
      </c>
      <c r="BT12" s="117">
        <f>_tPE26_29_Consolidada[[#This Row], [2026-2030]]*1000</f>
      </c>
      <c r="BU12" s="117">
        <f>-_tPE26_29_Consolidada[[#This Row], [Orçado 26/30 (PE25-29)]]+_tPE26_29_Consolidada[[#This Row], [Orçado 26/30 (PE26-30)]]</f>
      </c>
      <c r="BV12" s="22">
        <f>IFERROR(_tPE26_29_Consolidada[[#This Row], [Dif2]]/_tPE26_29_Consolidada[[#This Row], [Orçado 26/30 (PE25-29)]],0)</f>
      </c>
      <c r="BW12" s="1"/>
      <c r="BX12" s="1"/>
      <c r="BY12" s="1"/>
      <c r="BZ12" s="1"/>
      <c r="CA12" s="1"/>
      <c r="CB12" s="1"/>
      <c r="CC12" s="1"/>
      <c r="CD12" s="1"/>
      <c r="CE12" s="1"/>
      <c r="CF12" s="1"/>
      <c r="CG12" s="1"/>
      <c r="CH12" s="1"/>
      <c r="CI12" s="1"/>
      <c r="CJ12" s="1"/>
      <c r="CK12" s="1"/>
      <c r="CL12" s="1"/>
      <c r="CM12" s="1"/>
      <c r="CN12" s="1"/>
      <c r="CO12" s="1"/>
      <c r="CP12" s="1"/>
      <c r="CQ12" s="111"/>
      <c r="CR12" s="111"/>
      <c r="CS12" s="111"/>
      <c r="CT12" s="111"/>
      <c r="CU12" s="111"/>
      <c r="CV12" s="111"/>
      <c r="CW12" s="111"/>
      <c r="CX12" s="111"/>
      <c r="CY12" s="111"/>
      <c r="CZ12" s="111"/>
      <c r="DA12" s="111"/>
      <c r="DB12" s="111"/>
      <c r="DC12" s="111"/>
      <c r="DD12" s="111"/>
      <c r="DE12" s="111"/>
      <c r="DF12" s="111"/>
      <c r="DG12" s="111"/>
      <c r="DH12" s="111"/>
      <c r="DI12" s="111"/>
      <c r="DJ12" s="111"/>
      <c r="DK12" s="111"/>
      <c r="DL12" s="111"/>
      <c r="DM12" s="111"/>
      <c r="DN12" s="111"/>
      <c r="DO12" s="111"/>
      <c r="DP12" s="111"/>
      <c r="DQ12" s="111"/>
      <c r="DR12" s="111"/>
      <c r="DS12" s="111"/>
      <c r="DT12" s="111"/>
      <c r="DU12" s="111"/>
      <c r="DV12" s="111"/>
      <c r="DW12" s="111"/>
      <c r="DX12" s="111"/>
      <c r="DY12" s="111"/>
      <c r="DZ12" s="111"/>
      <c r="EA12" s="111"/>
      <c r="EB12" s="111"/>
      <c r="EC12" s="111"/>
      <c r="ED12" s="111"/>
      <c r="EE12" s="111"/>
      <c r="EF12" s="111"/>
      <c r="EG12" s="111"/>
      <c r="EH12" s="111"/>
      <c r="EI12" s="111"/>
      <c r="EJ12" s="111"/>
      <c r="EK12" s="111"/>
      <c r="EL12" s="111"/>
      <c r="EM12" s="111"/>
      <c r="EN12" s="111"/>
      <c r="EO12" s="111"/>
      <c r="EP12" s="111"/>
      <c r="EQ12" s="111"/>
      <c r="ER12" s="111"/>
      <c r="ES12" s="111"/>
      <c r="ET12" s="111"/>
      <c r="EU12" s="111"/>
      <c r="EV12" s="111"/>
      <c r="EW12" s="111"/>
      <c r="EX12" s="111"/>
      <c r="EY12" s="111"/>
      <c r="EZ12" s="111"/>
      <c r="FA12" s="2"/>
      <c r="FB12" s="2"/>
      <c r="FC12" s="2"/>
      <c r="FD12" s="2"/>
      <c r="FE12" s="2"/>
      <c r="FF12" s="2"/>
    </row>
    <row x14ac:dyDescent="0.25" r="13" customHeight="1" ht="18.75">
      <c r="A13" s="3"/>
      <c r="B13" s="118" t="s">
        <v>39052</v>
      </c>
      <c r="C13" s="3" t="s">
        <v>39053</v>
      </c>
      <c r="D13" s="3" t="s">
        <v>8</v>
      </c>
      <c r="E13" s="3" t="s">
        <v>38983</v>
      </c>
      <c r="F13" s="3"/>
      <c r="G13" s="3" t="s">
        <v>39077</v>
      </c>
      <c r="H13" s="3" t="s">
        <v>10</v>
      </c>
      <c r="I13" s="3" t="s">
        <v>86</v>
      </c>
      <c r="J13" s="3" t="s">
        <v>5</v>
      </c>
      <c r="K13" s="113" t="s">
        <v>16</v>
      </c>
      <c r="L13" s="3" t="s">
        <v>67</v>
      </c>
      <c r="M13" s="3" t="s">
        <v>39055</v>
      </c>
      <c r="N13" s="3"/>
      <c r="O13" s="3"/>
      <c r="P13" s="3"/>
      <c r="Q13" s="3" t="s">
        <v>39078</v>
      </c>
      <c r="R13" s="3" t="s">
        <v>39057</v>
      </c>
      <c r="S13" s="3" t="s">
        <v>39058</v>
      </c>
      <c r="T13" s="114">
        <v>0</v>
      </c>
      <c r="U13" s="114">
        <v>0</v>
      </c>
      <c r="V13" s="114">
        <v>0</v>
      </c>
      <c r="W13" s="114">
        <v>140000</v>
      </c>
      <c r="X13" s="114">
        <v>100000</v>
      </c>
      <c r="Y13" s="114">
        <v>100000</v>
      </c>
      <c r="Z13" s="114">
        <v>200000</v>
      </c>
      <c r="AA13" s="114">
        <v>100000</v>
      </c>
      <c r="AB13" s="114">
        <v>270000</v>
      </c>
      <c r="AC13" s="114">
        <v>390000</v>
      </c>
      <c r="AD13" s="114">
        <v>265000</v>
      </c>
      <c r="AE13" s="114">
        <v>0</v>
      </c>
      <c r="AF13" s="114">
        <v>1565000</v>
      </c>
      <c r="AG13" s="114">
        <v>3000000</v>
      </c>
      <c r="AH13" s="114">
        <v>3000000</v>
      </c>
      <c r="AI13" s="114">
        <v>3000000</v>
      </c>
      <c r="AJ13" s="114">
        <v>3000000</v>
      </c>
      <c r="AK13" s="114">
        <v>13565000</v>
      </c>
      <c r="AL13" s="114">
        <v>3000000</v>
      </c>
      <c r="AM13" s="114">
        <v>3000000</v>
      </c>
      <c r="AN13" s="114">
        <v>3000000</v>
      </c>
      <c r="AO13" s="114">
        <v>3000000</v>
      </c>
      <c r="AP13" s="114">
        <v>3000000</v>
      </c>
      <c r="AQ13" s="114">
        <v>28565000</v>
      </c>
      <c r="AR13" s="22">
        <v>153</v>
      </c>
      <c r="AS13" s="3" t="s">
        <v>39059</v>
      </c>
      <c r="AT13" s="115" t="s">
        <v>39060</v>
      </c>
      <c r="AU13" s="113" t="s">
        <v>39079</v>
      </c>
      <c r="AV13" s="3"/>
      <c r="AW13" s="3" t="s">
        <v>39062</v>
      </c>
      <c r="AX13" s="8" t="s">
        <v>39078</v>
      </c>
      <c r="AY13" s="8"/>
      <c r="AZ13" s="3" t="s">
        <v>39080</v>
      </c>
      <c r="BA13" s="3"/>
      <c r="BB13" s="3"/>
      <c r="BC13" s="3"/>
      <c r="BD13" s="3"/>
      <c r="BE13" s="3"/>
      <c r="BF13" s="3"/>
      <c r="BG13" s="3"/>
      <c r="BH13" s="3"/>
      <c r="BI13" s="3"/>
      <c r="BJ13" s="3"/>
      <c r="BK13" s="3"/>
      <c r="BL13" s="3"/>
      <c r="BM13" s="3"/>
      <c r="BN13" s="3"/>
      <c r="BO13" s="3"/>
      <c r="BP13" s="116">
        <f>IFERROR(VLOOKUP(_tPE26_29_Consolidada[[#This Row], [ID Financeiro]],'[4]PE 25-29'!$B:$AF,31,FALSE),0)</f>
      </c>
      <c r="BQ13" s="116">
        <f>_tPE26_29_Consolidada[[#This Row], [2026]]*1000</f>
      </c>
      <c r="BR13" s="117">
        <f>_tPE26_29_Consolidada[[#This Row], [Orçado 2026 (PE25-29)]]-_tPE26_29_Consolidada[[#This Row], [Orçado 2026 (PE26-30)]]</f>
      </c>
      <c r="BS13" s="117">
        <f>IFERROR(VLOOKUP(_tPE26_29_Consolidada[[#This Row], [ID Financeiro]],'[4]PE 25-29'!$B:$AT,45,FALSE),0)</f>
      </c>
      <c r="BT13" s="117">
        <f>_tPE26_29_Consolidada[[#This Row], [2026-2030]]*1000</f>
      </c>
      <c r="BU13" s="117">
        <f>-_tPE26_29_Consolidada[[#This Row], [Orçado 26/30 (PE25-29)]]+_tPE26_29_Consolidada[[#This Row], [Orçado 26/30 (PE26-30)]]</f>
      </c>
      <c r="BV13" s="22">
        <f>IFERROR(_tPE26_29_Consolidada[[#This Row], [Dif2]]/_tPE26_29_Consolidada[[#This Row], [Orçado 26/30 (PE25-29)]],0)</f>
      </c>
      <c r="BW13" s="1"/>
      <c r="BX13" s="1"/>
      <c r="BY13" s="1"/>
      <c r="BZ13" s="1"/>
      <c r="CA13" s="1"/>
      <c r="CB13" s="1"/>
      <c r="CC13" s="1"/>
      <c r="CD13" s="1"/>
      <c r="CE13" s="1"/>
      <c r="CF13" s="1"/>
      <c r="CG13" s="1"/>
      <c r="CH13" s="1"/>
      <c r="CI13" s="1"/>
      <c r="CJ13" s="1"/>
      <c r="CK13" s="1"/>
      <c r="CL13" s="1"/>
      <c r="CM13" s="1"/>
      <c r="CN13" s="1"/>
      <c r="CO13" s="1"/>
      <c r="CP13" s="1"/>
      <c r="CQ13" s="111"/>
      <c r="CR13" s="111"/>
      <c r="CS13" s="111"/>
      <c r="CT13" s="111"/>
      <c r="CU13" s="111"/>
      <c r="CV13" s="111"/>
      <c r="CW13" s="111"/>
      <c r="CX13" s="111"/>
      <c r="CY13" s="111"/>
      <c r="CZ13" s="111"/>
      <c r="DA13" s="111"/>
      <c r="DB13" s="111"/>
      <c r="DC13" s="111"/>
      <c r="DD13" s="111"/>
      <c r="DE13" s="111"/>
      <c r="DF13" s="111"/>
      <c r="DG13" s="111"/>
      <c r="DH13" s="111"/>
      <c r="DI13" s="111"/>
      <c r="DJ13" s="111"/>
      <c r="DK13" s="111"/>
      <c r="DL13" s="111"/>
      <c r="DM13" s="111"/>
      <c r="DN13" s="111"/>
      <c r="DO13" s="111"/>
      <c r="DP13" s="111"/>
      <c r="DQ13" s="111"/>
      <c r="DR13" s="111"/>
      <c r="DS13" s="111"/>
      <c r="DT13" s="111"/>
      <c r="DU13" s="111"/>
      <c r="DV13" s="111"/>
      <c r="DW13" s="111"/>
      <c r="DX13" s="111"/>
      <c r="DY13" s="111"/>
      <c r="DZ13" s="111"/>
      <c r="EA13" s="111"/>
      <c r="EB13" s="111"/>
      <c r="EC13" s="111"/>
      <c r="ED13" s="111"/>
      <c r="EE13" s="111"/>
      <c r="EF13" s="111"/>
      <c r="EG13" s="111"/>
      <c r="EH13" s="111"/>
      <c r="EI13" s="111"/>
      <c r="EJ13" s="111"/>
      <c r="EK13" s="111"/>
      <c r="EL13" s="111"/>
      <c r="EM13" s="111"/>
      <c r="EN13" s="111"/>
      <c r="EO13" s="111"/>
      <c r="EP13" s="111"/>
      <c r="EQ13" s="111"/>
      <c r="ER13" s="111"/>
      <c r="ES13" s="111"/>
      <c r="ET13" s="111"/>
      <c r="EU13" s="111"/>
      <c r="EV13" s="111"/>
      <c r="EW13" s="111"/>
      <c r="EX13" s="111"/>
      <c r="EY13" s="111"/>
      <c r="EZ13" s="111"/>
      <c r="FA13" s="2"/>
      <c r="FB13" s="2"/>
      <c r="FC13" s="2"/>
      <c r="FD13" s="2"/>
      <c r="FE13" s="2"/>
      <c r="FF13" s="2"/>
    </row>
    <row x14ac:dyDescent="0.25" r="14" customHeight="1" ht="18.75">
      <c r="A14" s="3"/>
      <c r="B14" s="118" t="s">
        <v>39052</v>
      </c>
      <c r="C14" s="3" t="s">
        <v>39053</v>
      </c>
      <c r="D14" s="3" t="s">
        <v>8</v>
      </c>
      <c r="E14" s="3" t="s">
        <v>38983</v>
      </c>
      <c r="F14" s="3"/>
      <c r="G14" s="3" t="s">
        <v>39081</v>
      </c>
      <c r="H14" s="3" t="s">
        <v>10</v>
      </c>
      <c r="I14" s="3" t="s">
        <v>86</v>
      </c>
      <c r="J14" s="3" t="s">
        <v>5</v>
      </c>
      <c r="K14" s="113" t="s">
        <v>16</v>
      </c>
      <c r="L14" s="3" t="s">
        <v>67</v>
      </c>
      <c r="M14" s="3" t="s">
        <v>39055</v>
      </c>
      <c r="N14" s="3"/>
      <c r="O14" s="3"/>
      <c r="P14" s="3"/>
      <c r="Q14" s="3" t="s">
        <v>39082</v>
      </c>
      <c r="R14" s="3" t="s">
        <v>39057</v>
      </c>
      <c r="S14" s="3" t="s">
        <v>39083</v>
      </c>
      <c r="T14" s="114">
        <v>10000</v>
      </c>
      <c r="U14" s="114">
        <v>5000</v>
      </c>
      <c r="V14" s="114">
        <v>0</v>
      </c>
      <c r="W14" s="114">
        <v>0</v>
      </c>
      <c r="X14" s="114">
        <v>0</v>
      </c>
      <c r="Y14" s="114">
        <v>340000</v>
      </c>
      <c r="Z14" s="114">
        <v>20000</v>
      </c>
      <c r="AA14" s="114">
        <v>20000</v>
      </c>
      <c r="AB14" s="114">
        <v>20000</v>
      </c>
      <c r="AC14" s="114">
        <v>0</v>
      </c>
      <c r="AD14" s="114">
        <v>0</v>
      </c>
      <c r="AE14" s="114">
        <v>0</v>
      </c>
      <c r="AF14" s="114">
        <v>415000</v>
      </c>
      <c r="AG14" s="114">
        <v>0</v>
      </c>
      <c r="AH14" s="114">
        <v>0</v>
      </c>
      <c r="AI14" s="114">
        <v>0</v>
      </c>
      <c r="AJ14" s="114">
        <v>0</v>
      </c>
      <c r="AK14" s="114">
        <v>415000</v>
      </c>
      <c r="AL14" s="114">
        <v>0</v>
      </c>
      <c r="AM14" s="114">
        <v>0</v>
      </c>
      <c r="AN14" s="114">
        <v>0</v>
      </c>
      <c r="AO14" s="114">
        <v>0</v>
      </c>
      <c r="AP14" s="114">
        <v>0</v>
      </c>
      <c r="AQ14" s="114">
        <v>415000</v>
      </c>
      <c r="AR14" s="22">
        <v>162</v>
      </c>
      <c r="AS14" s="3" t="s">
        <v>39059</v>
      </c>
      <c r="AT14" s="115" t="s">
        <v>39060</v>
      </c>
      <c r="AU14" s="113" t="s">
        <v>39084</v>
      </c>
      <c r="AV14" s="3"/>
      <c r="AW14" s="3" t="s">
        <v>39062</v>
      </c>
      <c r="AX14" s="8" t="s">
        <v>39082</v>
      </c>
      <c r="AY14" s="8"/>
      <c r="AZ14" s="3" t="s">
        <v>39085</v>
      </c>
      <c r="BA14" s="3"/>
      <c r="BB14" s="3"/>
      <c r="BC14" s="3"/>
      <c r="BD14" s="3"/>
      <c r="BE14" s="3"/>
      <c r="BF14" s="3"/>
      <c r="BG14" s="3"/>
      <c r="BH14" s="3"/>
      <c r="BI14" s="3"/>
      <c r="BJ14" s="3"/>
      <c r="BK14" s="3"/>
      <c r="BL14" s="3"/>
      <c r="BM14" s="3"/>
      <c r="BN14" s="3"/>
      <c r="BO14" s="3"/>
      <c r="BP14" s="116">
        <f>IFERROR(VLOOKUP(_tPE26_29_Consolidada[[#This Row], [ID Financeiro]],'[4]PE 25-29'!$B:$AF,31,FALSE),0)</f>
      </c>
      <c r="BQ14" s="116">
        <f>_tPE26_29_Consolidada[[#This Row], [2026]]*1000</f>
      </c>
      <c r="BR14" s="117">
        <f>_tPE26_29_Consolidada[[#This Row], [Orçado 2026 (PE25-29)]]-_tPE26_29_Consolidada[[#This Row], [Orçado 2026 (PE26-30)]]</f>
      </c>
      <c r="BS14" s="117">
        <f>IFERROR(VLOOKUP(_tPE26_29_Consolidada[[#This Row], [ID Financeiro]],'[4]PE 25-29'!$B:$AT,45,FALSE),0)</f>
      </c>
      <c r="BT14" s="117">
        <f>_tPE26_29_Consolidada[[#This Row], [2026-2030]]*1000</f>
      </c>
      <c r="BU14" s="117">
        <f>-_tPE26_29_Consolidada[[#This Row], [Orçado 26/30 (PE25-29)]]+_tPE26_29_Consolidada[[#This Row], [Orçado 26/30 (PE26-30)]]</f>
      </c>
      <c r="BV14" s="22">
        <f>IFERROR(_tPE26_29_Consolidada[[#This Row], [Dif2]]/_tPE26_29_Consolidada[[#This Row], [Orçado 26/30 (PE25-29)]],0)</f>
      </c>
      <c r="BW14" s="1"/>
      <c r="BX14" s="1"/>
      <c r="BY14" s="1"/>
      <c r="BZ14" s="1"/>
      <c r="CA14" s="1"/>
      <c r="CB14" s="1"/>
      <c r="CC14" s="1"/>
      <c r="CD14" s="1"/>
      <c r="CE14" s="1"/>
      <c r="CF14" s="1"/>
      <c r="CG14" s="1"/>
      <c r="CH14" s="1"/>
      <c r="CI14" s="1"/>
      <c r="CJ14" s="1"/>
      <c r="CK14" s="1"/>
      <c r="CL14" s="1"/>
      <c r="CM14" s="1"/>
      <c r="CN14" s="1"/>
      <c r="CO14" s="1"/>
      <c r="CP14" s="1"/>
      <c r="CQ14" s="111"/>
      <c r="CR14" s="111"/>
      <c r="CS14" s="111"/>
      <c r="CT14" s="111"/>
      <c r="CU14" s="111"/>
      <c r="CV14" s="111"/>
      <c r="CW14" s="111"/>
      <c r="CX14" s="111"/>
      <c r="CY14" s="111"/>
      <c r="CZ14" s="111"/>
      <c r="DA14" s="111"/>
      <c r="DB14" s="111"/>
      <c r="DC14" s="111"/>
      <c r="DD14" s="111"/>
      <c r="DE14" s="111"/>
      <c r="DF14" s="111"/>
      <c r="DG14" s="111"/>
      <c r="DH14" s="111"/>
      <c r="DI14" s="111"/>
      <c r="DJ14" s="111"/>
      <c r="DK14" s="111"/>
      <c r="DL14" s="111"/>
      <c r="DM14" s="111"/>
      <c r="DN14" s="111"/>
      <c r="DO14" s="111"/>
      <c r="DP14" s="111"/>
      <c r="DQ14" s="111"/>
      <c r="DR14" s="111"/>
      <c r="DS14" s="111"/>
      <c r="DT14" s="111"/>
      <c r="DU14" s="111"/>
      <c r="DV14" s="111"/>
      <c r="DW14" s="111"/>
      <c r="DX14" s="111"/>
      <c r="DY14" s="111"/>
      <c r="DZ14" s="111"/>
      <c r="EA14" s="111"/>
      <c r="EB14" s="111"/>
      <c r="EC14" s="111"/>
      <c r="ED14" s="111"/>
      <c r="EE14" s="111"/>
      <c r="EF14" s="111"/>
      <c r="EG14" s="111"/>
      <c r="EH14" s="111"/>
      <c r="EI14" s="111"/>
      <c r="EJ14" s="111"/>
      <c r="EK14" s="111"/>
      <c r="EL14" s="111"/>
      <c r="EM14" s="111"/>
      <c r="EN14" s="111"/>
      <c r="EO14" s="111"/>
      <c r="EP14" s="111"/>
      <c r="EQ14" s="111"/>
      <c r="ER14" s="111"/>
      <c r="ES14" s="111"/>
      <c r="ET14" s="111"/>
      <c r="EU14" s="111"/>
      <c r="EV14" s="111"/>
      <c r="EW14" s="111"/>
      <c r="EX14" s="111"/>
      <c r="EY14" s="111"/>
      <c r="EZ14" s="111"/>
      <c r="FA14" s="2"/>
      <c r="FB14" s="2"/>
      <c r="FC14" s="2"/>
      <c r="FD14" s="2"/>
      <c r="FE14" s="2"/>
      <c r="FF14" s="2"/>
    </row>
    <row x14ac:dyDescent="0.25" r="15" customHeight="1" ht="18.75">
      <c r="A15" s="3"/>
      <c r="B15" s="118" t="s">
        <v>39052</v>
      </c>
      <c r="C15" s="3" t="s">
        <v>39053</v>
      </c>
      <c r="D15" s="3" t="s">
        <v>8</v>
      </c>
      <c r="E15" s="3" t="s">
        <v>38983</v>
      </c>
      <c r="F15" s="3"/>
      <c r="G15" s="3" t="s">
        <v>39086</v>
      </c>
      <c r="H15" s="3" t="s">
        <v>10</v>
      </c>
      <c r="I15" s="3" t="s">
        <v>86</v>
      </c>
      <c r="J15" s="3" t="s">
        <v>5</v>
      </c>
      <c r="K15" s="113" t="s">
        <v>16</v>
      </c>
      <c r="L15" s="3" t="s">
        <v>67</v>
      </c>
      <c r="M15" s="3" t="s">
        <v>39055</v>
      </c>
      <c r="N15" s="3"/>
      <c r="O15" s="3"/>
      <c r="P15" s="3"/>
      <c r="Q15" s="3" t="s">
        <v>39087</v>
      </c>
      <c r="R15" s="3" t="s">
        <v>39057</v>
      </c>
      <c r="S15" s="3" t="s">
        <v>39083</v>
      </c>
      <c r="T15" s="114">
        <v>2000</v>
      </c>
      <c r="U15" s="114">
        <v>1000</v>
      </c>
      <c r="V15" s="114">
        <v>0</v>
      </c>
      <c r="W15" s="114">
        <v>0</v>
      </c>
      <c r="X15" s="114">
        <v>0</v>
      </c>
      <c r="Y15" s="114">
        <v>100000</v>
      </c>
      <c r="Z15" s="114">
        <v>10000</v>
      </c>
      <c r="AA15" s="114">
        <v>20000</v>
      </c>
      <c r="AB15" s="114">
        <v>10000</v>
      </c>
      <c r="AC15" s="114">
        <v>0</v>
      </c>
      <c r="AD15" s="114">
        <v>0</v>
      </c>
      <c r="AE15" s="114">
        <v>0</v>
      </c>
      <c r="AF15" s="114">
        <v>143000</v>
      </c>
      <c r="AG15" s="114">
        <v>0</v>
      </c>
      <c r="AH15" s="114">
        <v>0</v>
      </c>
      <c r="AI15" s="114">
        <v>0</v>
      </c>
      <c r="AJ15" s="114">
        <v>0</v>
      </c>
      <c r="AK15" s="114">
        <v>143000</v>
      </c>
      <c r="AL15" s="114">
        <v>0</v>
      </c>
      <c r="AM15" s="114">
        <v>0</v>
      </c>
      <c r="AN15" s="114">
        <v>0</v>
      </c>
      <c r="AO15" s="114">
        <v>0</v>
      </c>
      <c r="AP15" s="114">
        <v>0</v>
      </c>
      <c r="AQ15" s="114">
        <v>143000</v>
      </c>
      <c r="AR15" s="22">
        <v>168</v>
      </c>
      <c r="AS15" s="3" t="s">
        <v>39059</v>
      </c>
      <c r="AT15" s="115" t="s">
        <v>39060</v>
      </c>
      <c r="AU15" s="113" t="s">
        <v>39088</v>
      </c>
      <c r="AV15" s="3"/>
      <c r="AW15" s="3" t="s">
        <v>39062</v>
      </c>
      <c r="AX15" s="8" t="s">
        <v>39087</v>
      </c>
      <c r="AY15" s="8"/>
      <c r="AZ15" s="3" t="s">
        <v>39085</v>
      </c>
      <c r="BA15" s="3"/>
      <c r="BB15" s="3"/>
      <c r="BC15" s="3"/>
      <c r="BD15" s="3"/>
      <c r="BE15" s="3"/>
      <c r="BF15" s="3"/>
      <c r="BG15" s="3"/>
      <c r="BH15" s="3"/>
      <c r="BI15" s="3"/>
      <c r="BJ15" s="3"/>
      <c r="BK15" s="3"/>
      <c r="BL15" s="3"/>
      <c r="BM15" s="3"/>
      <c r="BN15" s="3"/>
      <c r="BO15" s="3"/>
      <c r="BP15" s="116">
        <f>IFERROR(VLOOKUP(_tPE26_29_Consolidada[[#This Row], [ID Financeiro]],'[4]PE 25-29'!$B:$AF,31,FALSE),0)</f>
      </c>
      <c r="BQ15" s="116">
        <f>_tPE26_29_Consolidada[[#This Row], [2026]]*1000</f>
      </c>
      <c r="BR15" s="117">
        <f>_tPE26_29_Consolidada[[#This Row], [Orçado 2026 (PE25-29)]]-_tPE26_29_Consolidada[[#This Row], [Orçado 2026 (PE26-30)]]</f>
      </c>
      <c r="BS15" s="117">
        <f>IFERROR(VLOOKUP(_tPE26_29_Consolidada[[#This Row], [ID Financeiro]],'[4]PE 25-29'!$B:$AT,45,FALSE),0)</f>
      </c>
      <c r="BT15" s="117">
        <f>_tPE26_29_Consolidada[[#This Row], [2026-2030]]*1000</f>
      </c>
      <c r="BU15" s="117">
        <f>-_tPE26_29_Consolidada[[#This Row], [Orçado 26/30 (PE25-29)]]+_tPE26_29_Consolidada[[#This Row], [Orçado 26/30 (PE26-30)]]</f>
      </c>
      <c r="BV15" s="22">
        <f>IFERROR(_tPE26_29_Consolidada[[#This Row], [Dif2]]/_tPE26_29_Consolidada[[#This Row], [Orçado 26/30 (PE25-29)]],0)</f>
      </c>
      <c r="BW15" s="1"/>
      <c r="BX15" s="1"/>
      <c r="BY15" s="1"/>
      <c r="BZ15" s="1"/>
      <c r="CA15" s="1"/>
      <c r="CB15" s="1"/>
      <c r="CC15" s="1"/>
      <c r="CD15" s="1"/>
      <c r="CE15" s="1"/>
      <c r="CF15" s="1"/>
      <c r="CG15" s="1"/>
      <c r="CH15" s="1"/>
      <c r="CI15" s="1"/>
      <c r="CJ15" s="1"/>
      <c r="CK15" s="1"/>
      <c r="CL15" s="1"/>
      <c r="CM15" s="1"/>
      <c r="CN15" s="1"/>
      <c r="CO15" s="1"/>
      <c r="CP15" s="1"/>
      <c r="CQ15" s="111"/>
      <c r="CR15" s="111"/>
      <c r="CS15" s="111"/>
      <c r="CT15" s="111"/>
      <c r="CU15" s="111"/>
      <c r="CV15" s="111"/>
      <c r="CW15" s="111"/>
      <c r="CX15" s="111"/>
      <c r="CY15" s="111"/>
      <c r="CZ15" s="111"/>
      <c r="DA15" s="111"/>
      <c r="DB15" s="111"/>
      <c r="DC15" s="111"/>
      <c r="DD15" s="111"/>
      <c r="DE15" s="111"/>
      <c r="DF15" s="111"/>
      <c r="DG15" s="111"/>
      <c r="DH15" s="111"/>
      <c r="DI15" s="111"/>
      <c r="DJ15" s="111"/>
      <c r="DK15" s="111"/>
      <c r="DL15" s="111"/>
      <c r="DM15" s="111"/>
      <c r="DN15" s="111"/>
      <c r="DO15" s="111"/>
      <c r="DP15" s="111"/>
      <c r="DQ15" s="111"/>
      <c r="DR15" s="111"/>
      <c r="DS15" s="111"/>
      <c r="DT15" s="111"/>
      <c r="DU15" s="111"/>
      <c r="DV15" s="111"/>
      <c r="DW15" s="111"/>
      <c r="DX15" s="111"/>
      <c r="DY15" s="111"/>
      <c r="DZ15" s="111"/>
      <c r="EA15" s="111"/>
      <c r="EB15" s="111"/>
      <c r="EC15" s="111"/>
      <c r="ED15" s="111"/>
      <c r="EE15" s="111"/>
      <c r="EF15" s="111"/>
      <c r="EG15" s="111"/>
      <c r="EH15" s="111"/>
      <c r="EI15" s="111"/>
      <c r="EJ15" s="111"/>
      <c r="EK15" s="111"/>
      <c r="EL15" s="111"/>
      <c r="EM15" s="111"/>
      <c r="EN15" s="111"/>
      <c r="EO15" s="111"/>
      <c r="EP15" s="111"/>
      <c r="EQ15" s="111"/>
      <c r="ER15" s="111"/>
      <c r="ES15" s="111"/>
      <c r="ET15" s="111"/>
      <c r="EU15" s="111"/>
      <c r="EV15" s="111"/>
      <c r="EW15" s="111"/>
      <c r="EX15" s="111"/>
      <c r="EY15" s="111"/>
      <c r="EZ15" s="111"/>
      <c r="FA15" s="2"/>
      <c r="FB15" s="2"/>
      <c r="FC15" s="2"/>
      <c r="FD15" s="2"/>
      <c r="FE15" s="2"/>
      <c r="FF15" s="2"/>
    </row>
    <row x14ac:dyDescent="0.25" r="16" customHeight="1" ht="18.75">
      <c r="A16" s="3"/>
      <c r="B16" s="118" t="s">
        <v>39052</v>
      </c>
      <c r="C16" s="3" t="s">
        <v>39053</v>
      </c>
      <c r="D16" s="3" t="s">
        <v>8</v>
      </c>
      <c r="E16" s="3" t="s">
        <v>38983</v>
      </c>
      <c r="F16" s="3"/>
      <c r="G16" s="3" t="s">
        <v>39089</v>
      </c>
      <c r="H16" s="3" t="s">
        <v>10</v>
      </c>
      <c r="I16" s="3" t="s">
        <v>86</v>
      </c>
      <c r="J16" s="3" t="s">
        <v>5</v>
      </c>
      <c r="K16" s="113" t="s">
        <v>16</v>
      </c>
      <c r="L16" s="3" t="s">
        <v>67</v>
      </c>
      <c r="M16" s="3" t="s">
        <v>39055</v>
      </c>
      <c r="N16" s="3"/>
      <c r="O16" s="3"/>
      <c r="P16" s="3"/>
      <c r="Q16" s="3" t="s">
        <v>39090</v>
      </c>
      <c r="R16" s="3" t="s">
        <v>39057</v>
      </c>
      <c r="S16" s="3" t="s">
        <v>39083</v>
      </c>
      <c r="T16" s="114">
        <v>0</v>
      </c>
      <c r="U16" s="114">
        <v>0</v>
      </c>
      <c r="V16" s="114">
        <v>5000</v>
      </c>
      <c r="W16" s="114">
        <v>5000</v>
      </c>
      <c r="X16" s="114">
        <v>5000</v>
      </c>
      <c r="Y16" s="114">
        <v>0</v>
      </c>
      <c r="Z16" s="114">
        <v>0</v>
      </c>
      <c r="AA16" s="114">
        <v>0</v>
      </c>
      <c r="AB16" s="114">
        <v>0</v>
      </c>
      <c r="AC16" s="114">
        <v>0</v>
      </c>
      <c r="AD16" s="114">
        <v>5000</v>
      </c>
      <c r="AE16" s="114">
        <v>0</v>
      </c>
      <c r="AF16" s="114">
        <v>20000</v>
      </c>
      <c r="AG16" s="114">
        <v>1200000</v>
      </c>
      <c r="AH16" s="114">
        <v>0</v>
      </c>
      <c r="AI16" s="114">
        <v>0</v>
      </c>
      <c r="AJ16" s="114">
        <v>0</v>
      </c>
      <c r="AK16" s="114">
        <v>1220000</v>
      </c>
      <c r="AL16" s="114">
        <v>0</v>
      </c>
      <c r="AM16" s="114">
        <v>0</v>
      </c>
      <c r="AN16" s="114">
        <v>0</v>
      </c>
      <c r="AO16" s="114">
        <v>0</v>
      </c>
      <c r="AP16" s="114">
        <v>0</v>
      </c>
      <c r="AQ16" s="114">
        <v>1220000</v>
      </c>
      <c r="AR16" s="22">
        <v>176</v>
      </c>
      <c r="AS16" s="3" t="s">
        <v>39059</v>
      </c>
      <c r="AT16" s="115" t="s">
        <v>39060</v>
      </c>
      <c r="AU16" s="113" t="s">
        <v>39091</v>
      </c>
      <c r="AV16" s="3"/>
      <c r="AW16" s="3" t="s">
        <v>39062</v>
      </c>
      <c r="AX16" s="8" t="s">
        <v>39090</v>
      </c>
      <c r="AY16" s="8"/>
      <c r="AZ16" s="3" t="s">
        <v>39092</v>
      </c>
      <c r="BA16" s="3"/>
      <c r="BB16" s="3"/>
      <c r="BC16" s="3"/>
      <c r="BD16" s="3"/>
      <c r="BE16" s="3"/>
      <c r="BF16" s="3"/>
      <c r="BG16" s="3"/>
      <c r="BH16" s="3"/>
      <c r="BI16" s="3"/>
      <c r="BJ16" s="3"/>
      <c r="BK16" s="3"/>
      <c r="BL16" s="3"/>
      <c r="BM16" s="3"/>
      <c r="BN16" s="3"/>
      <c r="BO16" s="3"/>
      <c r="BP16" s="116">
        <f>IFERROR(VLOOKUP(_tPE26_29_Consolidada[[#This Row], [ID Financeiro]],'[4]PE 25-29'!$B:$AF,31,FALSE),0)</f>
      </c>
      <c r="BQ16" s="116">
        <f>_tPE26_29_Consolidada[[#This Row], [2026]]*1000</f>
      </c>
      <c r="BR16" s="117">
        <f>_tPE26_29_Consolidada[[#This Row], [Orçado 2026 (PE25-29)]]-_tPE26_29_Consolidada[[#This Row], [Orçado 2026 (PE26-30)]]</f>
      </c>
      <c r="BS16" s="117">
        <f>IFERROR(VLOOKUP(_tPE26_29_Consolidada[[#This Row], [ID Financeiro]],'[4]PE 25-29'!$B:$AT,45,FALSE),0)</f>
      </c>
      <c r="BT16" s="117">
        <f>_tPE26_29_Consolidada[[#This Row], [2026-2030]]*1000</f>
      </c>
      <c r="BU16" s="117">
        <f>-_tPE26_29_Consolidada[[#This Row], [Orçado 26/30 (PE25-29)]]+_tPE26_29_Consolidada[[#This Row], [Orçado 26/30 (PE26-30)]]</f>
      </c>
      <c r="BV16" s="22">
        <f>IFERROR(_tPE26_29_Consolidada[[#This Row], [Dif2]]/_tPE26_29_Consolidada[[#This Row], [Orçado 26/30 (PE25-29)]],0)</f>
      </c>
      <c r="BW16" s="1"/>
      <c r="BX16" s="1"/>
      <c r="BY16" s="1"/>
      <c r="BZ16" s="1"/>
      <c r="CA16" s="1"/>
      <c r="CB16" s="1"/>
      <c r="CC16" s="1"/>
      <c r="CD16" s="1"/>
      <c r="CE16" s="1"/>
      <c r="CF16" s="1"/>
      <c r="CG16" s="1"/>
      <c r="CH16" s="1"/>
      <c r="CI16" s="1"/>
      <c r="CJ16" s="1"/>
      <c r="CK16" s="1"/>
      <c r="CL16" s="1"/>
      <c r="CM16" s="1"/>
      <c r="CN16" s="1"/>
      <c r="CO16" s="1"/>
      <c r="CP16" s="1"/>
      <c r="CQ16" s="111"/>
      <c r="CR16" s="111"/>
      <c r="CS16" s="111"/>
      <c r="CT16" s="111"/>
      <c r="CU16" s="111"/>
      <c r="CV16" s="111"/>
      <c r="CW16" s="111"/>
      <c r="CX16" s="111"/>
      <c r="CY16" s="111"/>
      <c r="CZ16" s="111"/>
      <c r="DA16" s="111"/>
      <c r="DB16" s="111"/>
      <c r="DC16" s="111"/>
      <c r="DD16" s="111"/>
      <c r="DE16" s="111"/>
      <c r="DF16" s="111"/>
      <c r="DG16" s="111"/>
      <c r="DH16" s="111"/>
      <c r="DI16" s="111"/>
      <c r="DJ16" s="111"/>
      <c r="DK16" s="111"/>
      <c r="DL16" s="111"/>
      <c r="DM16" s="111"/>
      <c r="DN16" s="111"/>
      <c r="DO16" s="111"/>
      <c r="DP16" s="111"/>
      <c r="DQ16" s="111"/>
      <c r="DR16" s="111"/>
      <c r="DS16" s="111"/>
      <c r="DT16" s="111"/>
      <c r="DU16" s="111"/>
      <c r="DV16" s="111"/>
      <c r="DW16" s="111"/>
      <c r="DX16" s="111"/>
      <c r="DY16" s="111"/>
      <c r="DZ16" s="111"/>
      <c r="EA16" s="111"/>
      <c r="EB16" s="111"/>
      <c r="EC16" s="111"/>
      <c r="ED16" s="111"/>
      <c r="EE16" s="111"/>
      <c r="EF16" s="111"/>
      <c r="EG16" s="111"/>
      <c r="EH16" s="111"/>
      <c r="EI16" s="111"/>
      <c r="EJ16" s="111"/>
      <c r="EK16" s="111"/>
      <c r="EL16" s="111"/>
      <c r="EM16" s="111"/>
      <c r="EN16" s="111"/>
      <c r="EO16" s="111"/>
      <c r="EP16" s="111"/>
      <c r="EQ16" s="111"/>
      <c r="ER16" s="111"/>
      <c r="ES16" s="111"/>
      <c r="ET16" s="111"/>
      <c r="EU16" s="111"/>
      <c r="EV16" s="111"/>
      <c r="EW16" s="111"/>
      <c r="EX16" s="111"/>
      <c r="EY16" s="111"/>
      <c r="EZ16" s="111"/>
      <c r="FA16" s="2"/>
      <c r="FB16" s="2"/>
      <c r="FC16" s="2"/>
      <c r="FD16" s="2"/>
      <c r="FE16" s="2"/>
      <c r="FF16" s="2"/>
    </row>
    <row x14ac:dyDescent="0.25" r="17" customHeight="1" ht="18.75">
      <c r="A17" s="3"/>
      <c r="B17" s="118" t="s">
        <v>39052</v>
      </c>
      <c r="C17" s="3" t="s">
        <v>39053</v>
      </c>
      <c r="D17" s="3" t="s">
        <v>8</v>
      </c>
      <c r="E17" s="3" t="s">
        <v>38983</v>
      </c>
      <c r="F17" s="3"/>
      <c r="G17" s="3" t="s">
        <v>39093</v>
      </c>
      <c r="H17" s="3" t="s">
        <v>10</v>
      </c>
      <c r="I17" s="3" t="s">
        <v>86</v>
      </c>
      <c r="J17" s="3" t="s">
        <v>5</v>
      </c>
      <c r="K17" s="113" t="s">
        <v>16</v>
      </c>
      <c r="L17" s="3" t="s">
        <v>67</v>
      </c>
      <c r="M17" s="3" t="s">
        <v>39055</v>
      </c>
      <c r="N17" s="3"/>
      <c r="O17" s="3"/>
      <c r="P17" s="3"/>
      <c r="Q17" s="3" t="s">
        <v>39094</v>
      </c>
      <c r="R17" s="3" t="s">
        <v>39057</v>
      </c>
      <c r="S17" s="3" t="s">
        <v>39083</v>
      </c>
      <c r="T17" s="114">
        <v>0</v>
      </c>
      <c r="U17" s="114">
        <v>0</v>
      </c>
      <c r="V17" s="114">
        <v>10000</v>
      </c>
      <c r="W17" s="114">
        <v>10000</v>
      </c>
      <c r="X17" s="114">
        <v>10000</v>
      </c>
      <c r="Y17" s="114">
        <v>0</v>
      </c>
      <c r="Z17" s="114">
        <v>0</v>
      </c>
      <c r="AA17" s="114">
        <v>0</v>
      </c>
      <c r="AB17" s="114">
        <v>0</v>
      </c>
      <c r="AC17" s="114">
        <v>500000</v>
      </c>
      <c r="AD17" s="114">
        <v>50000</v>
      </c>
      <c r="AE17" s="114">
        <v>40000</v>
      </c>
      <c r="AF17" s="114">
        <v>0</v>
      </c>
      <c r="AG17" s="114">
        <v>620000</v>
      </c>
      <c r="AH17" s="114">
        <v>0</v>
      </c>
      <c r="AI17" s="114">
        <v>0</v>
      </c>
      <c r="AJ17" s="114">
        <v>0</v>
      </c>
      <c r="AK17" s="114">
        <v>620000</v>
      </c>
      <c r="AL17" s="114">
        <v>0</v>
      </c>
      <c r="AM17" s="114">
        <v>0</v>
      </c>
      <c r="AN17" s="114">
        <v>0</v>
      </c>
      <c r="AO17" s="114">
        <v>0</v>
      </c>
      <c r="AP17" s="114">
        <v>0</v>
      </c>
      <c r="AQ17" s="114">
        <v>620000</v>
      </c>
      <c r="AR17" s="22">
        <v>158</v>
      </c>
      <c r="AS17" s="3" t="s">
        <v>39059</v>
      </c>
      <c r="AT17" s="115" t="s">
        <v>39060</v>
      </c>
      <c r="AU17" s="113" t="s">
        <v>39095</v>
      </c>
      <c r="AV17" s="3"/>
      <c r="AW17" s="3" t="s">
        <v>39062</v>
      </c>
      <c r="AX17" s="8" t="s">
        <v>39094</v>
      </c>
      <c r="AY17" s="8"/>
      <c r="AZ17" s="3" t="s">
        <v>39085</v>
      </c>
      <c r="BA17" s="3"/>
      <c r="BB17" s="3"/>
      <c r="BC17" s="3"/>
      <c r="BD17" s="3"/>
      <c r="BE17" s="3"/>
      <c r="BF17" s="3"/>
      <c r="BG17" s="3"/>
      <c r="BH17" s="3"/>
      <c r="BI17" s="3"/>
      <c r="BJ17" s="3"/>
      <c r="BK17" s="3"/>
      <c r="BL17" s="3"/>
      <c r="BM17" s="3"/>
      <c r="BN17" s="3"/>
      <c r="BO17" s="3"/>
      <c r="BP17" s="116">
        <f>IFERROR(VLOOKUP(_tPE26_29_Consolidada[[#This Row], [ID Financeiro]],'[4]PE 25-29'!$B:$AF,31,FALSE),0)</f>
      </c>
      <c r="BQ17" s="116">
        <f>_tPE26_29_Consolidada[[#This Row], [2026]]*1000</f>
      </c>
      <c r="BR17" s="117">
        <f>_tPE26_29_Consolidada[[#This Row], [Orçado 2026 (PE25-29)]]-_tPE26_29_Consolidada[[#This Row], [Orçado 2026 (PE26-30)]]</f>
      </c>
      <c r="BS17" s="117">
        <f>IFERROR(VLOOKUP(_tPE26_29_Consolidada[[#This Row], [ID Financeiro]],'[4]PE 25-29'!$B:$AT,45,FALSE),0)</f>
      </c>
      <c r="BT17" s="117">
        <f>_tPE26_29_Consolidada[[#This Row], [2026-2030]]*1000</f>
      </c>
      <c r="BU17" s="117">
        <f>-_tPE26_29_Consolidada[[#This Row], [Orçado 26/30 (PE25-29)]]+_tPE26_29_Consolidada[[#This Row], [Orçado 26/30 (PE26-30)]]</f>
      </c>
      <c r="BV17" s="22">
        <f>IFERROR(_tPE26_29_Consolidada[[#This Row], [Dif2]]/_tPE26_29_Consolidada[[#This Row], [Orçado 26/30 (PE25-29)]],0)</f>
      </c>
      <c r="BW17" s="1"/>
      <c r="BX17" s="1"/>
      <c r="BY17" s="1"/>
      <c r="BZ17" s="1"/>
      <c r="CA17" s="1"/>
      <c r="CB17" s="1"/>
      <c r="CC17" s="1"/>
      <c r="CD17" s="1"/>
      <c r="CE17" s="1"/>
      <c r="CF17" s="1"/>
      <c r="CG17" s="1"/>
      <c r="CH17" s="1"/>
      <c r="CI17" s="1"/>
      <c r="CJ17" s="1"/>
      <c r="CK17" s="1"/>
      <c r="CL17" s="1"/>
      <c r="CM17" s="1"/>
      <c r="CN17" s="1"/>
      <c r="CO17" s="1"/>
      <c r="CP17" s="1"/>
      <c r="CQ17" s="111"/>
      <c r="CR17" s="111"/>
      <c r="CS17" s="111"/>
      <c r="CT17" s="111"/>
      <c r="CU17" s="111"/>
      <c r="CV17" s="111"/>
      <c r="CW17" s="111"/>
      <c r="CX17" s="111"/>
      <c r="CY17" s="111"/>
      <c r="CZ17" s="111"/>
      <c r="DA17" s="111"/>
      <c r="DB17" s="111"/>
      <c r="DC17" s="111"/>
      <c r="DD17" s="111"/>
      <c r="DE17" s="111"/>
      <c r="DF17" s="111"/>
      <c r="DG17" s="111"/>
      <c r="DH17" s="111"/>
      <c r="DI17" s="111"/>
      <c r="DJ17" s="111"/>
      <c r="DK17" s="111"/>
      <c r="DL17" s="111"/>
      <c r="DM17" s="111"/>
      <c r="DN17" s="111"/>
      <c r="DO17" s="111"/>
      <c r="DP17" s="111"/>
      <c r="DQ17" s="111"/>
      <c r="DR17" s="111"/>
      <c r="DS17" s="111"/>
      <c r="DT17" s="111"/>
      <c r="DU17" s="111"/>
      <c r="DV17" s="111"/>
      <c r="DW17" s="111"/>
      <c r="DX17" s="111"/>
      <c r="DY17" s="111"/>
      <c r="DZ17" s="111"/>
      <c r="EA17" s="111"/>
      <c r="EB17" s="111"/>
      <c r="EC17" s="111"/>
      <c r="ED17" s="111"/>
      <c r="EE17" s="111"/>
      <c r="EF17" s="111"/>
      <c r="EG17" s="111"/>
      <c r="EH17" s="111"/>
      <c r="EI17" s="111"/>
      <c r="EJ17" s="111"/>
      <c r="EK17" s="111"/>
      <c r="EL17" s="111"/>
      <c r="EM17" s="111"/>
      <c r="EN17" s="111"/>
      <c r="EO17" s="111"/>
      <c r="EP17" s="111"/>
      <c r="EQ17" s="111"/>
      <c r="ER17" s="111"/>
      <c r="ES17" s="111"/>
      <c r="ET17" s="111"/>
      <c r="EU17" s="111"/>
      <c r="EV17" s="111"/>
      <c r="EW17" s="111"/>
      <c r="EX17" s="111"/>
      <c r="EY17" s="111"/>
      <c r="EZ17" s="111"/>
      <c r="FA17" s="2"/>
      <c r="FB17" s="2"/>
      <c r="FC17" s="2"/>
      <c r="FD17" s="2"/>
      <c r="FE17" s="2"/>
      <c r="FF17" s="2"/>
    </row>
    <row x14ac:dyDescent="0.25" r="18" customHeight="1" ht="18.75">
      <c r="A18" s="3"/>
      <c r="B18" s="118" t="s">
        <v>39052</v>
      </c>
      <c r="C18" s="3" t="s">
        <v>39053</v>
      </c>
      <c r="D18" s="3" t="s">
        <v>8</v>
      </c>
      <c r="E18" s="3" t="s">
        <v>38983</v>
      </c>
      <c r="F18" s="3"/>
      <c r="G18" s="3" t="s">
        <v>39096</v>
      </c>
      <c r="H18" s="3" t="s">
        <v>10</v>
      </c>
      <c r="I18" s="3" t="s">
        <v>86</v>
      </c>
      <c r="J18" s="3" t="s">
        <v>5</v>
      </c>
      <c r="K18" s="113" t="s">
        <v>16</v>
      </c>
      <c r="L18" s="3" t="s">
        <v>67</v>
      </c>
      <c r="M18" s="3" t="s">
        <v>39055</v>
      </c>
      <c r="N18" s="3"/>
      <c r="O18" s="3"/>
      <c r="P18" s="3"/>
      <c r="Q18" s="3" t="s">
        <v>39097</v>
      </c>
      <c r="R18" s="3" t="s">
        <v>39057</v>
      </c>
      <c r="S18" s="3" t="s">
        <v>39098</v>
      </c>
      <c r="T18" s="114">
        <v>0</v>
      </c>
      <c r="U18" s="114">
        <v>0</v>
      </c>
      <c r="V18" s="114">
        <v>0</v>
      </c>
      <c r="W18" s="114">
        <v>0</v>
      </c>
      <c r="X18" s="114">
        <v>0</v>
      </c>
      <c r="Y18" s="114">
        <v>50000</v>
      </c>
      <c r="Z18" s="114">
        <v>0</v>
      </c>
      <c r="AA18" s="114">
        <v>0</v>
      </c>
      <c r="AB18" s="114">
        <v>0</v>
      </c>
      <c r="AC18" s="114">
        <v>0</v>
      </c>
      <c r="AD18" s="114">
        <v>0</v>
      </c>
      <c r="AE18" s="114">
        <v>0</v>
      </c>
      <c r="AF18" s="114">
        <v>50000</v>
      </c>
      <c r="AG18" s="114">
        <v>950000</v>
      </c>
      <c r="AH18" s="114">
        <v>1000000</v>
      </c>
      <c r="AI18" s="114">
        <v>0</v>
      </c>
      <c r="AJ18" s="114">
        <v>0</v>
      </c>
      <c r="AK18" s="114">
        <v>2000000</v>
      </c>
      <c r="AL18" s="114">
        <v>0</v>
      </c>
      <c r="AM18" s="114">
        <v>0</v>
      </c>
      <c r="AN18" s="114">
        <v>0</v>
      </c>
      <c r="AO18" s="114">
        <v>0</v>
      </c>
      <c r="AP18" s="114">
        <v>0</v>
      </c>
      <c r="AQ18" s="114">
        <v>2000000</v>
      </c>
      <c r="AR18" s="22">
        <v>170</v>
      </c>
      <c r="AS18" s="3" t="s">
        <v>39059</v>
      </c>
      <c r="AT18" s="115" t="s">
        <v>39060</v>
      </c>
      <c r="AU18" s="113" t="s">
        <v>39099</v>
      </c>
      <c r="AV18" s="3"/>
      <c r="AW18" s="3" t="s">
        <v>39062</v>
      </c>
      <c r="AX18" s="8" t="s">
        <v>39097</v>
      </c>
      <c r="AY18" s="8"/>
      <c r="AZ18" s="3" t="s">
        <v>39092</v>
      </c>
      <c r="BA18" s="3"/>
      <c r="BB18" s="3"/>
      <c r="BC18" s="3"/>
      <c r="BD18" s="3"/>
      <c r="BE18" s="3"/>
      <c r="BF18" s="3"/>
      <c r="BG18" s="3"/>
      <c r="BH18" s="3"/>
      <c r="BI18" s="3"/>
      <c r="BJ18" s="3"/>
      <c r="BK18" s="3"/>
      <c r="BL18" s="3"/>
      <c r="BM18" s="3"/>
      <c r="BN18" s="3"/>
      <c r="BO18" s="3"/>
      <c r="BP18" s="116">
        <f>IFERROR(VLOOKUP(_tPE26_29_Consolidada[[#This Row], [ID Financeiro]],'[4]PE 25-29'!$B:$AF,31,FALSE),0)</f>
      </c>
      <c r="BQ18" s="116">
        <f>_tPE26_29_Consolidada[[#This Row], [2026]]*1000</f>
      </c>
      <c r="BR18" s="117">
        <f>_tPE26_29_Consolidada[[#This Row], [Orçado 2026 (PE25-29)]]-_tPE26_29_Consolidada[[#This Row], [Orçado 2026 (PE26-30)]]</f>
      </c>
      <c r="BS18" s="117">
        <f>IFERROR(VLOOKUP(_tPE26_29_Consolidada[[#This Row], [ID Financeiro]],'[4]PE 25-29'!$B:$AT,45,FALSE),0)</f>
      </c>
      <c r="BT18" s="117">
        <f>_tPE26_29_Consolidada[[#This Row], [2026-2030]]*1000</f>
      </c>
      <c r="BU18" s="117">
        <f>-_tPE26_29_Consolidada[[#This Row], [Orçado 26/30 (PE25-29)]]+_tPE26_29_Consolidada[[#This Row], [Orçado 26/30 (PE26-30)]]</f>
      </c>
      <c r="BV18" s="22">
        <f>IFERROR(_tPE26_29_Consolidada[[#This Row], [Dif2]]/_tPE26_29_Consolidada[[#This Row], [Orçado 26/30 (PE25-29)]],0)</f>
      </c>
      <c r="BW18" s="1"/>
      <c r="BX18" s="1"/>
      <c r="BY18" s="1"/>
      <c r="BZ18" s="1"/>
      <c r="CA18" s="1"/>
      <c r="CB18" s="1"/>
      <c r="CC18" s="1"/>
      <c r="CD18" s="1"/>
      <c r="CE18" s="1"/>
      <c r="CF18" s="1"/>
      <c r="CG18" s="1"/>
      <c r="CH18" s="1"/>
      <c r="CI18" s="1"/>
      <c r="CJ18" s="1"/>
      <c r="CK18" s="1"/>
      <c r="CL18" s="1"/>
      <c r="CM18" s="1"/>
      <c r="CN18" s="1"/>
      <c r="CO18" s="1"/>
      <c r="CP18" s="1"/>
      <c r="CQ18" s="111"/>
      <c r="CR18" s="111"/>
      <c r="CS18" s="111"/>
      <c r="CT18" s="111"/>
      <c r="CU18" s="111"/>
      <c r="CV18" s="111"/>
      <c r="CW18" s="111"/>
      <c r="CX18" s="111"/>
      <c r="CY18" s="111"/>
      <c r="CZ18" s="111"/>
      <c r="DA18" s="111"/>
      <c r="DB18" s="111"/>
      <c r="DC18" s="111"/>
      <c r="DD18" s="111"/>
      <c r="DE18" s="111"/>
      <c r="DF18" s="111"/>
      <c r="DG18" s="111"/>
      <c r="DH18" s="111"/>
      <c r="DI18" s="111"/>
      <c r="DJ18" s="111"/>
      <c r="DK18" s="111"/>
      <c r="DL18" s="111"/>
      <c r="DM18" s="111"/>
      <c r="DN18" s="111"/>
      <c r="DO18" s="111"/>
      <c r="DP18" s="111"/>
      <c r="DQ18" s="111"/>
      <c r="DR18" s="111"/>
      <c r="DS18" s="111"/>
      <c r="DT18" s="111"/>
      <c r="DU18" s="111"/>
      <c r="DV18" s="111"/>
      <c r="DW18" s="111"/>
      <c r="DX18" s="111"/>
      <c r="DY18" s="111"/>
      <c r="DZ18" s="111"/>
      <c r="EA18" s="111"/>
      <c r="EB18" s="111"/>
      <c r="EC18" s="111"/>
      <c r="ED18" s="111"/>
      <c r="EE18" s="111"/>
      <c r="EF18" s="111"/>
      <c r="EG18" s="111"/>
      <c r="EH18" s="111"/>
      <c r="EI18" s="111"/>
      <c r="EJ18" s="111"/>
      <c r="EK18" s="111"/>
      <c r="EL18" s="111"/>
      <c r="EM18" s="111"/>
      <c r="EN18" s="111"/>
      <c r="EO18" s="111"/>
      <c r="EP18" s="111"/>
      <c r="EQ18" s="111"/>
      <c r="ER18" s="111"/>
      <c r="ES18" s="111"/>
      <c r="ET18" s="111"/>
      <c r="EU18" s="111"/>
      <c r="EV18" s="111"/>
      <c r="EW18" s="111"/>
      <c r="EX18" s="111"/>
      <c r="EY18" s="111"/>
      <c r="EZ18" s="111"/>
      <c r="FA18" s="2"/>
      <c r="FB18" s="2"/>
      <c r="FC18" s="2"/>
      <c r="FD18" s="2"/>
      <c r="FE18" s="2"/>
      <c r="FF18" s="2"/>
    </row>
    <row x14ac:dyDescent="0.25" r="19" customHeight="1" ht="18.75">
      <c r="A19" s="3"/>
      <c r="B19" s="118" t="s">
        <v>39052</v>
      </c>
      <c r="C19" s="3" t="s">
        <v>39053</v>
      </c>
      <c r="D19" s="3" t="s">
        <v>8</v>
      </c>
      <c r="E19" s="3" t="s">
        <v>38983</v>
      </c>
      <c r="F19" s="3"/>
      <c r="G19" s="3" t="s">
        <v>39100</v>
      </c>
      <c r="H19" s="3" t="s">
        <v>10</v>
      </c>
      <c r="I19" s="3" t="s">
        <v>86</v>
      </c>
      <c r="J19" s="3" t="s">
        <v>5</v>
      </c>
      <c r="K19" s="113" t="s">
        <v>16</v>
      </c>
      <c r="L19" s="3" t="s">
        <v>67</v>
      </c>
      <c r="M19" s="3" t="s">
        <v>39055</v>
      </c>
      <c r="N19" s="3"/>
      <c r="O19" s="3"/>
      <c r="P19" s="3"/>
      <c r="Q19" s="3" t="s">
        <v>39101</v>
      </c>
      <c r="R19" s="3" t="s">
        <v>39057</v>
      </c>
      <c r="S19" s="3" t="s">
        <v>39058</v>
      </c>
      <c r="T19" s="114">
        <v>5000</v>
      </c>
      <c r="U19" s="114">
        <v>5000</v>
      </c>
      <c r="V19" s="114">
        <v>5000</v>
      </c>
      <c r="W19" s="114">
        <v>5000</v>
      </c>
      <c r="X19" s="114">
        <v>5000</v>
      </c>
      <c r="Y19" s="114">
        <v>5000</v>
      </c>
      <c r="Z19" s="114">
        <v>0</v>
      </c>
      <c r="AA19" s="114">
        <v>0</v>
      </c>
      <c r="AB19" s="114">
        <v>0</v>
      </c>
      <c r="AC19" s="114">
        <v>600000</v>
      </c>
      <c r="AD19" s="114">
        <v>10000</v>
      </c>
      <c r="AE19" s="114">
        <v>10000</v>
      </c>
      <c r="AF19" s="114">
        <v>650000</v>
      </c>
      <c r="AG19" s="114">
        <v>0</v>
      </c>
      <c r="AH19" s="114">
        <v>0</v>
      </c>
      <c r="AI19" s="114">
        <v>0</v>
      </c>
      <c r="AJ19" s="114">
        <v>0</v>
      </c>
      <c r="AK19" s="114">
        <v>650000</v>
      </c>
      <c r="AL19" s="114">
        <v>0</v>
      </c>
      <c r="AM19" s="114">
        <v>0</v>
      </c>
      <c r="AN19" s="114">
        <v>0</v>
      </c>
      <c r="AO19" s="114">
        <v>0</v>
      </c>
      <c r="AP19" s="114">
        <v>0</v>
      </c>
      <c r="AQ19" s="114">
        <v>650000</v>
      </c>
      <c r="AR19" s="22">
        <v>156</v>
      </c>
      <c r="AS19" s="3" t="s">
        <v>39059</v>
      </c>
      <c r="AT19" s="115" t="s">
        <v>39060</v>
      </c>
      <c r="AU19" s="113" t="s">
        <v>39102</v>
      </c>
      <c r="AV19" s="3"/>
      <c r="AW19" s="3" t="s">
        <v>39062</v>
      </c>
      <c r="AX19" s="8" t="s">
        <v>39101</v>
      </c>
      <c r="AY19" s="8"/>
      <c r="AZ19" s="3" t="s">
        <v>39068</v>
      </c>
      <c r="BA19" s="3"/>
      <c r="BB19" s="3"/>
      <c r="BC19" s="3"/>
      <c r="BD19" s="3"/>
      <c r="BE19" s="3"/>
      <c r="BF19" s="3"/>
      <c r="BG19" s="3"/>
      <c r="BH19" s="3"/>
      <c r="BI19" s="3"/>
      <c r="BJ19" s="3"/>
      <c r="BK19" s="3"/>
      <c r="BL19" s="3"/>
      <c r="BM19" s="3"/>
      <c r="BN19" s="3"/>
      <c r="BO19" s="3"/>
      <c r="BP19" s="116">
        <f>IFERROR(VLOOKUP(_tPE26_29_Consolidada[[#This Row], [ID Financeiro]],'[4]PE 25-29'!$B:$AF,31,FALSE),0)</f>
      </c>
      <c r="BQ19" s="116">
        <f>_tPE26_29_Consolidada[[#This Row], [2026]]*1000</f>
      </c>
      <c r="BR19" s="117">
        <f>_tPE26_29_Consolidada[[#This Row], [Orçado 2026 (PE25-29)]]-_tPE26_29_Consolidada[[#This Row], [Orçado 2026 (PE26-30)]]</f>
      </c>
      <c r="BS19" s="117">
        <f>IFERROR(VLOOKUP(_tPE26_29_Consolidada[[#This Row], [ID Financeiro]],'[4]PE 25-29'!$B:$AT,45,FALSE),0)</f>
      </c>
      <c r="BT19" s="117">
        <f>_tPE26_29_Consolidada[[#This Row], [2026-2030]]*1000</f>
      </c>
      <c r="BU19" s="117">
        <f>-_tPE26_29_Consolidada[[#This Row], [Orçado 26/30 (PE25-29)]]+_tPE26_29_Consolidada[[#This Row], [Orçado 26/30 (PE26-30)]]</f>
      </c>
      <c r="BV19" s="22">
        <f>IFERROR(_tPE26_29_Consolidada[[#This Row], [Dif2]]/_tPE26_29_Consolidada[[#This Row], [Orçado 26/30 (PE25-29)]],0)</f>
      </c>
      <c r="BW19" s="1"/>
      <c r="BX19" s="1"/>
      <c r="BY19" s="1"/>
      <c r="BZ19" s="1"/>
      <c r="CA19" s="1"/>
      <c r="CB19" s="1"/>
      <c r="CC19" s="1"/>
      <c r="CD19" s="1"/>
      <c r="CE19" s="1"/>
      <c r="CF19" s="1"/>
      <c r="CG19" s="1"/>
      <c r="CH19" s="1"/>
      <c r="CI19" s="1"/>
      <c r="CJ19" s="1"/>
      <c r="CK19" s="1"/>
      <c r="CL19" s="1"/>
      <c r="CM19" s="1"/>
      <c r="CN19" s="1"/>
      <c r="CO19" s="1"/>
      <c r="CP19" s="1"/>
      <c r="CQ19" s="111"/>
      <c r="CR19" s="111"/>
      <c r="CS19" s="111"/>
      <c r="CT19" s="111"/>
      <c r="CU19" s="111"/>
      <c r="CV19" s="111"/>
      <c r="CW19" s="111"/>
      <c r="CX19" s="111"/>
      <c r="CY19" s="111"/>
      <c r="CZ19" s="111"/>
      <c r="DA19" s="111"/>
      <c r="DB19" s="111"/>
      <c r="DC19" s="111"/>
      <c r="DD19" s="111"/>
      <c r="DE19" s="111"/>
      <c r="DF19" s="111"/>
      <c r="DG19" s="111"/>
      <c r="DH19" s="111"/>
      <c r="DI19" s="111"/>
      <c r="DJ19" s="111"/>
      <c r="DK19" s="111"/>
      <c r="DL19" s="111"/>
      <c r="DM19" s="111"/>
      <c r="DN19" s="111"/>
      <c r="DO19" s="111"/>
      <c r="DP19" s="111"/>
      <c r="DQ19" s="111"/>
      <c r="DR19" s="111"/>
      <c r="DS19" s="111"/>
      <c r="DT19" s="111"/>
      <c r="DU19" s="111"/>
      <c r="DV19" s="111"/>
      <c r="DW19" s="111"/>
      <c r="DX19" s="111"/>
      <c r="DY19" s="111"/>
      <c r="DZ19" s="111"/>
      <c r="EA19" s="111"/>
      <c r="EB19" s="111"/>
      <c r="EC19" s="111"/>
      <c r="ED19" s="111"/>
      <c r="EE19" s="111"/>
      <c r="EF19" s="111"/>
      <c r="EG19" s="111"/>
      <c r="EH19" s="111"/>
      <c r="EI19" s="111"/>
      <c r="EJ19" s="111"/>
      <c r="EK19" s="111"/>
      <c r="EL19" s="111"/>
      <c r="EM19" s="111"/>
      <c r="EN19" s="111"/>
      <c r="EO19" s="111"/>
      <c r="EP19" s="111"/>
      <c r="EQ19" s="111"/>
      <c r="ER19" s="111"/>
      <c r="ES19" s="111"/>
      <c r="ET19" s="111"/>
      <c r="EU19" s="111"/>
      <c r="EV19" s="111"/>
      <c r="EW19" s="111"/>
      <c r="EX19" s="111"/>
      <c r="EY19" s="111"/>
      <c r="EZ19" s="111"/>
      <c r="FA19" s="2"/>
      <c r="FB19" s="2"/>
      <c r="FC19" s="2"/>
      <c r="FD19" s="2"/>
      <c r="FE19" s="2"/>
      <c r="FF19" s="2"/>
    </row>
    <row x14ac:dyDescent="0.25" r="20" customHeight="1" ht="18.75">
      <c r="A20" s="3"/>
      <c r="B20" s="118" t="s">
        <v>39052</v>
      </c>
      <c r="C20" s="3" t="s">
        <v>39053</v>
      </c>
      <c r="D20" s="3" t="s">
        <v>8</v>
      </c>
      <c r="E20" s="3" t="s">
        <v>38983</v>
      </c>
      <c r="F20" s="3"/>
      <c r="G20" s="3" t="s">
        <v>39103</v>
      </c>
      <c r="H20" s="3" t="s">
        <v>10</v>
      </c>
      <c r="I20" s="3" t="s">
        <v>86</v>
      </c>
      <c r="J20" s="3" t="s">
        <v>5</v>
      </c>
      <c r="K20" s="113" t="s">
        <v>16</v>
      </c>
      <c r="L20" s="3" t="s">
        <v>67</v>
      </c>
      <c r="M20" s="3" t="s">
        <v>39055</v>
      </c>
      <c r="N20" s="3"/>
      <c r="O20" s="3"/>
      <c r="P20" s="3"/>
      <c r="Q20" s="3" t="s">
        <v>39104</v>
      </c>
      <c r="R20" s="3" t="s">
        <v>39057</v>
      </c>
      <c r="S20" s="3" t="s">
        <v>39105</v>
      </c>
      <c r="T20" s="114">
        <v>5000</v>
      </c>
      <c r="U20" s="114">
        <v>5000</v>
      </c>
      <c r="V20" s="114">
        <v>15000</v>
      </c>
      <c r="W20" s="114">
        <v>10000</v>
      </c>
      <c r="X20" s="114">
        <v>315000</v>
      </c>
      <c r="Y20" s="114">
        <v>230000</v>
      </c>
      <c r="Z20" s="114">
        <v>1265000</v>
      </c>
      <c r="AA20" s="114">
        <v>1265000</v>
      </c>
      <c r="AB20" s="114">
        <v>15000</v>
      </c>
      <c r="AC20" s="114">
        <v>15000</v>
      </c>
      <c r="AD20" s="114">
        <v>760000</v>
      </c>
      <c r="AE20" s="114">
        <v>0</v>
      </c>
      <c r="AF20" s="114">
        <v>3900000</v>
      </c>
      <c r="AG20" s="114">
        <v>800000</v>
      </c>
      <c r="AH20" s="114">
        <v>0</v>
      </c>
      <c r="AI20" s="114">
        <v>0</v>
      </c>
      <c r="AJ20" s="114">
        <v>0</v>
      </c>
      <c r="AK20" s="114">
        <v>4700000</v>
      </c>
      <c r="AL20" s="114">
        <v>0</v>
      </c>
      <c r="AM20" s="114">
        <v>0</v>
      </c>
      <c r="AN20" s="114">
        <v>0</v>
      </c>
      <c r="AO20" s="114">
        <v>0</v>
      </c>
      <c r="AP20" s="114">
        <v>0</v>
      </c>
      <c r="AQ20" s="114">
        <v>4700000</v>
      </c>
      <c r="AR20" s="22">
        <v>147</v>
      </c>
      <c r="AS20" s="3" t="s">
        <v>39059</v>
      </c>
      <c r="AT20" s="115" t="s">
        <v>39060</v>
      </c>
      <c r="AU20" s="113" t="s">
        <v>39106</v>
      </c>
      <c r="AV20" s="3"/>
      <c r="AW20" s="3" t="s">
        <v>39062</v>
      </c>
      <c r="AX20" s="8" t="s">
        <v>39104</v>
      </c>
      <c r="AY20" s="8"/>
      <c r="AZ20" s="3" t="s">
        <v>39107</v>
      </c>
      <c r="BA20" s="3"/>
      <c r="BB20" s="3"/>
      <c r="BC20" s="3"/>
      <c r="BD20" s="3"/>
      <c r="BE20" s="3"/>
      <c r="BF20" s="3"/>
      <c r="BG20" s="3"/>
      <c r="BH20" s="3"/>
      <c r="BI20" s="3"/>
      <c r="BJ20" s="3"/>
      <c r="BK20" s="3"/>
      <c r="BL20" s="3"/>
      <c r="BM20" s="3"/>
      <c r="BN20" s="3"/>
      <c r="BO20" s="3"/>
      <c r="BP20" s="116">
        <f>IFERROR(VLOOKUP(_tPE26_29_Consolidada[[#This Row], [ID Financeiro]],'[4]PE 25-29'!$B:$AF,31,FALSE),0)</f>
      </c>
      <c r="BQ20" s="116">
        <f>_tPE26_29_Consolidada[[#This Row], [2026]]*1000</f>
      </c>
      <c r="BR20" s="117">
        <f>_tPE26_29_Consolidada[[#This Row], [Orçado 2026 (PE25-29)]]-_tPE26_29_Consolidada[[#This Row], [Orçado 2026 (PE26-30)]]</f>
      </c>
      <c r="BS20" s="117">
        <f>IFERROR(VLOOKUP(_tPE26_29_Consolidada[[#This Row], [ID Financeiro]],'[4]PE 25-29'!$B:$AT,45,FALSE),0)</f>
      </c>
      <c r="BT20" s="117">
        <f>_tPE26_29_Consolidada[[#This Row], [2026-2030]]*1000</f>
      </c>
      <c r="BU20" s="117">
        <f>-_tPE26_29_Consolidada[[#This Row], [Orçado 26/30 (PE25-29)]]+_tPE26_29_Consolidada[[#This Row], [Orçado 26/30 (PE26-30)]]</f>
      </c>
      <c r="BV20" s="22">
        <f>IFERROR(_tPE26_29_Consolidada[[#This Row], [Dif2]]/_tPE26_29_Consolidada[[#This Row], [Orçado 26/30 (PE25-29)]],0)</f>
      </c>
      <c r="BW20" s="1"/>
      <c r="BX20" s="1"/>
      <c r="BY20" s="1"/>
      <c r="BZ20" s="1"/>
      <c r="CA20" s="1"/>
      <c r="CB20" s="1"/>
      <c r="CC20" s="1"/>
      <c r="CD20" s="1"/>
      <c r="CE20" s="1"/>
      <c r="CF20" s="1"/>
      <c r="CG20" s="1"/>
      <c r="CH20" s="1"/>
      <c r="CI20" s="1"/>
      <c r="CJ20" s="1"/>
      <c r="CK20" s="1"/>
      <c r="CL20" s="1"/>
      <c r="CM20" s="1"/>
      <c r="CN20" s="1"/>
      <c r="CO20" s="1"/>
      <c r="CP20" s="1"/>
      <c r="CQ20" s="111"/>
      <c r="CR20" s="111"/>
      <c r="CS20" s="111"/>
      <c r="CT20" s="111"/>
      <c r="CU20" s="111"/>
      <c r="CV20" s="111"/>
      <c r="CW20" s="111"/>
      <c r="CX20" s="111"/>
      <c r="CY20" s="111"/>
      <c r="CZ20" s="111"/>
      <c r="DA20" s="111"/>
      <c r="DB20" s="111"/>
      <c r="DC20" s="111"/>
      <c r="DD20" s="111"/>
      <c r="DE20" s="111"/>
      <c r="DF20" s="111"/>
      <c r="DG20" s="111"/>
      <c r="DH20" s="111"/>
      <c r="DI20" s="111"/>
      <c r="DJ20" s="111"/>
      <c r="DK20" s="111"/>
      <c r="DL20" s="111"/>
      <c r="DM20" s="111"/>
      <c r="DN20" s="111"/>
      <c r="DO20" s="111"/>
      <c r="DP20" s="111"/>
      <c r="DQ20" s="111"/>
      <c r="DR20" s="111"/>
      <c r="DS20" s="111"/>
      <c r="DT20" s="111"/>
      <c r="DU20" s="111"/>
      <c r="DV20" s="111"/>
      <c r="DW20" s="111"/>
      <c r="DX20" s="111"/>
      <c r="DY20" s="111"/>
      <c r="DZ20" s="111"/>
      <c r="EA20" s="111"/>
      <c r="EB20" s="111"/>
      <c r="EC20" s="111"/>
      <c r="ED20" s="111"/>
      <c r="EE20" s="111"/>
      <c r="EF20" s="111"/>
      <c r="EG20" s="111"/>
      <c r="EH20" s="111"/>
      <c r="EI20" s="111"/>
      <c r="EJ20" s="111"/>
      <c r="EK20" s="111"/>
      <c r="EL20" s="111"/>
      <c r="EM20" s="111"/>
      <c r="EN20" s="111"/>
      <c r="EO20" s="111"/>
      <c r="EP20" s="111"/>
      <c r="EQ20" s="111"/>
      <c r="ER20" s="111"/>
      <c r="ES20" s="111"/>
      <c r="ET20" s="111"/>
      <c r="EU20" s="111"/>
      <c r="EV20" s="111"/>
      <c r="EW20" s="111"/>
      <c r="EX20" s="111"/>
      <c r="EY20" s="111"/>
      <c r="EZ20" s="111"/>
      <c r="FA20" s="2"/>
      <c r="FB20" s="2"/>
      <c r="FC20" s="2"/>
      <c r="FD20" s="2"/>
      <c r="FE20" s="2"/>
      <c r="FF20" s="2"/>
    </row>
    <row x14ac:dyDescent="0.25" r="21" customHeight="1" ht="18.75">
      <c r="A21" s="3"/>
      <c r="B21" s="118" t="s">
        <v>39052</v>
      </c>
      <c r="C21" s="3" t="s">
        <v>39053</v>
      </c>
      <c r="D21" s="3" t="s">
        <v>8</v>
      </c>
      <c r="E21" s="3" t="s">
        <v>38983</v>
      </c>
      <c r="F21" s="3"/>
      <c r="G21" s="3" t="s">
        <v>39108</v>
      </c>
      <c r="H21" s="3" t="s">
        <v>10</v>
      </c>
      <c r="I21" s="3" t="s">
        <v>86</v>
      </c>
      <c r="J21" s="3" t="s">
        <v>5</v>
      </c>
      <c r="K21" s="113" t="s">
        <v>16</v>
      </c>
      <c r="L21" s="3" t="s">
        <v>67</v>
      </c>
      <c r="M21" s="3" t="s">
        <v>39055</v>
      </c>
      <c r="N21" s="3"/>
      <c r="O21" s="3"/>
      <c r="P21" s="3"/>
      <c r="Q21" s="3" t="s">
        <v>39109</v>
      </c>
      <c r="R21" s="3" t="s">
        <v>39057</v>
      </c>
      <c r="S21" s="3" t="s">
        <v>39105</v>
      </c>
      <c r="T21" s="114">
        <v>10000</v>
      </c>
      <c r="U21" s="114">
        <v>10000</v>
      </c>
      <c r="V21" s="114">
        <v>10000</v>
      </c>
      <c r="W21" s="114">
        <v>10000</v>
      </c>
      <c r="X21" s="114">
        <v>10000</v>
      </c>
      <c r="Y21" s="114">
        <v>10000</v>
      </c>
      <c r="Z21" s="114">
        <v>0</v>
      </c>
      <c r="AA21" s="114">
        <v>0</v>
      </c>
      <c r="AB21" s="114">
        <v>0</v>
      </c>
      <c r="AC21" s="114">
        <v>550000</v>
      </c>
      <c r="AD21" s="114">
        <v>30000</v>
      </c>
      <c r="AE21" s="114">
        <v>10000</v>
      </c>
      <c r="AF21" s="114">
        <v>650000</v>
      </c>
      <c r="AG21" s="114">
        <v>50000</v>
      </c>
      <c r="AH21" s="114">
        <v>0</v>
      </c>
      <c r="AI21" s="114">
        <v>0</v>
      </c>
      <c r="AJ21" s="114">
        <v>0</v>
      </c>
      <c r="AK21" s="114">
        <v>700000</v>
      </c>
      <c r="AL21" s="114">
        <v>0</v>
      </c>
      <c r="AM21" s="114">
        <v>0</v>
      </c>
      <c r="AN21" s="114">
        <v>0</v>
      </c>
      <c r="AO21" s="114">
        <v>0</v>
      </c>
      <c r="AP21" s="114">
        <v>0</v>
      </c>
      <c r="AQ21" s="114">
        <v>700000</v>
      </c>
      <c r="AR21" s="22">
        <v>157</v>
      </c>
      <c r="AS21" s="3" t="s">
        <v>39059</v>
      </c>
      <c r="AT21" s="115" t="s">
        <v>39060</v>
      </c>
      <c r="AU21" s="113" t="s">
        <v>39110</v>
      </c>
      <c r="AV21" s="3"/>
      <c r="AW21" s="3" t="s">
        <v>39062</v>
      </c>
      <c r="AX21" s="8" t="s">
        <v>39109</v>
      </c>
      <c r="AY21" s="8"/>
      <c r="AZ21" s="3" t="s">
        <v>39111</v>
      </c>
      <c r="BA21" s="3"/>
      <c r="BB21" s="3"/>
      <c r="BC21" s="3"/>
      <c r="BD21" s="3"/>
      <c r="BE21" s="3"/>
      <c r="BF21" s="3"/>
      <c r="BG21" s="3"/>
      <c r="BH21" s="3"/>
      <c r="BI21" s="3"/>
      <c r="BJ21" s="3"/>
      <c r="BK21" s="3"/>
      <c r="BL21" s="3"/>
      <c r="BM21" s="3"/>
      <c r="BN21" s="3"/>
      <c r="BO21" s="3"/>
      <c r="BP21" s="116">
        <f>IFERROR(VLOOKUP(_tPE26_29_Consolidada[[#This Row], [ID Financeiro]],'[4]PE 25-29'!$B:$AF,31,FALSE),0)</f>
      </c>
      <c r="BQ21" s="116">
        <f>_tPE26_29_Consolidada[[#This Row], [2026]]*1000</f>
      </c>
      <c r="BR21" s="117">
        <f>_tPE26_29_Consolidada[[#This Row], [Orçado 2026 (PE25-29)]]-_tPE26_29_Consolidada[[#This Row], [Orçado 2026 (PE26-30)]]</f>
      </c>
      <c r="BS21" s="117">
        <f>IFERROR(VLOOKUP(_tPE26_29_Consolidada[[#This Row], [ID Financeiro]],'[4]PE 25-29'!$B:$AT,45,FALSE),0)</f>
      </c>
      <c r="BT21" s="117">
        <f>_tPE26_29_Consolidada[[#This Row], [2026-2030]]*1000</f>
      </c>
      <c r="BU21" s="117">
        <f>-_tPE26_29_Consolidada[[#This Row], [Orçado 26/30 (PE25-29)]]+_tPE26_29_Consolidada[[#This Row], [Orçado 26/30 (PE26-30)]]</f>
      </c>
      <c r="BV21" s="22">
        <f>IFERROR(_tPE26_29_Consolidada[[#This Row], [Dif2]]/_tPE26_29_Consolidada[[#This Row], [Orçado 26/30 (PE25-29)]],0)</f>
      </c>
      <c r="BW21" s="1"/>
      <c r="BX21" s="1"/>
      <c r="BY21" s="1"/>
      <c r="BZ21" s="1"/>
      <c r="CA21" s="1"/>
      <c r="CB21" s="1"/>
      <c r="CC21" s="1"/>
      <c r="CD21" s="1"/>
      <c r="CE21" s="1"/>
      <c r="CF21" s="1"/>
      <c r="CG21" s="1"/>
      <c r="CH21" s="1"/>
      <c r="CI21" s="1"/>
      <c r="CJ21" s="1"/>
      <c r="CK21" s="1"/>
      <c r="CL21" s="1"/>
      <c r="CM21" s="1"/>
      <c r="CN21" s="1"/>
      <c r="CO21" s="1"/>
      <c r="CP21" s="1"/>
      <c r="CQ21" s="111"/>
      <c r="CR21" s="111"/>
      <c r="CS21" s="111"/>
      <c r="CT21" s="111"/>
      <c r="CU21" s="111"/>
      <c r="CV21" s="111"/>
      <c r="CW21" s="111"/>
      <c r="CX21" s="111"/>
      <c r="CY21" s="111"/>
      <c r="CZ21" s="111"/>
      <c r="DA21" s="111"/>
      <c r="DB21" s="111"/>
      <c r="DC21" s="111"/>
      <c r="DD21" s="111"/>
      <c r="DE21" s="111"/>
      <c r="DF21" s="111"/>
      <c r="DG21" s="111"/>
      <c r="DH21" s="111"/>
      <c r="DI21" s="111"/>
      <c r="DJ21" s="111"/>
      <c r="DK21" s="111"/>
      <c r="DL21" s="111"/>
      <c r="DM21" s="111"/>
      <c r="DN21" s="111"/>
      <c r="DO21" s="111"/>
      <c r="DP21" s="111"/>
      <c r="DQ21" s="111"/>
      <c r="DR21" s="111"/>
      <c r="DS21" s="111"/>
      <c r="DT21" s="111"/>
      <c r="DU21" s="111"/>
      <c r="DV21" s="111"/>
      <c r="DW21" s="111"/>
      <c r="DX21" s="111"/>
      <c r="DY21" s="111"/>
      <c r="DZ21" s="111"/>
      <c r="EA21" s="111"/>
      <c r="EB21" s="111"/>
      <c r="EC21" s="111"/>
      <c r="ED21" s="111"/>
      <c r="EE21" s="111"/>
      <c r="EF21" s="111"/>
      <c r="EG21" s="111"/>
      <c r="EH21" s="111"/>
      <c r="EI21" s="111"/>
      <c r="EJ21" s="111"/>
      <c r="EK21" s="111"/>
      <c r="EL21" s="111"/>
      <c r="EM21" s="111"/>
      <c r="EN21" s="111"/>
      <c r="EO21" s="111"/>
      <c r="EP21" s="111"/>
      <c r="EQ21" s="111"/>
      <c r="ER21" s="111"/>
      <c r="ES21" s="111"/>
      <c r="ET21" s="111"/>
      <c r="EU21" s="111"/>
      <c r="EV21" s="111"/>
      <c r="EW21" s="111"/>
      <c r="EX21" s="111"/>
      <c r="EY21" s="111"/>
      <c r="EZ21" s="111"/>
      <c r="FA21" s="2"/>
      <c r="FB21" s="2"/>
      <c r="FC21" s="2"/>
      <c r="FD21" s="2"/>
      <c r="FE21" s="2"/>
      <c r="FF21" s="2"/>
    </row>
    <row x14ac:dyDescent="0.25" r="22" customHeight="1" ht="18.75">
      <c r="A22" s="3"/>
      <c r="B22" s="118" t="s">
        <v>39052</v>
      </c>
      <c r="C22" s="3" t="s">
        <v>39053</v>
      </c>
      <c r="D22" s="3" t="s">
        <v>8</v>
      </c>
      <c r="E22" s="3" t="s">
        <v>38983</v>
      </c>
      <c r="F22" s="3"/>
      <c r="G22" s="3" t="s">
        <v>39112</v>
      </c>
      <c r="H22" s="3" t="s">
        <v>10</v>
      </c>
      <c r="I22" s="3" t="s">
        <v>86</v>
      </c>
      <c r="J22" s="3" t="s">
        <v>5</v>
      </c>
      <c r="K22" s="113" t="s">
        <v>16</v>
      </c>
      <c r="L22" s="3" t="s">
        <v>67</v>
      </c>
      <c r="M22" s="3" t="s">
        <v>39055</v>
      </c>
      <c r="N22" s="3"/>
      <c r="O22" s="3"/>
      <c r="P22" s="3"/>
      <c r="Q22" s="3" t="s">
        <v>39113</v>
      </c>
      <c r="R22" s="3" t="s">
        <v>39057</v>
      </c>
      <c r="S22" s="3" t="s">
        <v>39114</v>
      </c>
      <c r="T22" s="114">
        <v>200000</v>
      </c>
      <c r="U22" s="114">
        <v>1300000</v>
      </c>
      <c r="V22" s="114">
        <v>400000</v>
      </c>
      <c r="W22" s="114">
        <v>1000000</v>
      </c>
      <c r="X22" s="114">
        <v>1600000</v>
      </c>
      <c r="Y22" s="114">
        <v>600000</v>
      </c>
      <c r="Z22" s="114">
        <v>1500000</v>
      </c>
      <c r="AA22" s="114">
        <v>700000</v>
      </c>
      <c r="AB22" s="114">
        <v>600000</v>
      </c>
      <c r="AC22" s="114">
        <v>5000000</v>
      </c>
      <c r="AD22" s="114">
        <v>1500000</v>
      </c>
      <c r="AE22" s="114">
        <v>600000</v>
      </c>
      <c r="AF22" s="114">
        <v>15000000</v>
      </c>
      <c r="AG22" s="114">
        <v>20000000</v>
      </c>
      <c r="AH22" s="114">
        <v>0</v>
      </c>
      <c r="AI22" s="114">
        <v>0</v>
      </c>
      <c r="AJ22" s="114">
        <v>0</v>
      </c>
      <c r="AK22" s="114">
        <v>35000000</v>
      </c>
      <c r="AL22" s="114">
        <v>0</v>
      </c>
      <c r="AM22" s="114">
        <v>0</v>
      </c>
      <c r="AN22" s="114">
        <v>0</v>
      </c>
      <c r="AO22" s="114">
        <v>0</v>
      </c>
      <c r="AP22" s="114">
        <v>0</v>
      </c>
      <c r="AQ22" s="114">
        <v>35000000</v>
      </c>
      <c r="AR22" s="22">
        <v>159</v>
      </c>
      <c r="AS22" s="3" t="s">
        <v>39059</v>
      </c>
      <c r="AT22" s="115" t="s">
        <v>39060</v>
      </c>
      <c r="AU22" s="113" t="s">
        <v>39115</v>
      </c>
      <c r="AV22" s="3"/>
      <c r="AW22" s="3" t="s">
        <v>39116</v>
      </c>
      <c r="AX22" s="8" t="s">
        <v>39113</v>
      </c>
      <c r="AY22" s="8"/>
      <c r="AZ22" s="3" t="s">
        <v>39117</v>
      </c>
      <c r="BA22" s="3"/>
      <c r="BB22" s="3"/>
      <c r="BC22" s="3"/>
      <c r="BD22" s="3"/>
      <c r="BE22" s="3"/>
      <c r="BF22" s="3"/>
      <c r="BG22" s="3"/>
      <c r="BH22" s="3"/>
      <c r="BI22" s="3"/>
      <c r="BJ22" s="3"/>
      <c r="BK22" s="3"/>
      <c r="BL22" s="3"/>
      <c r="BM22" s="3"/>
      <c r="BN22" s="3"/>
      <c r="BO22" s="3"/>
      <c r="BP22" s="116">
        <f>IFERROR(VLOOKUP(_tPE26_29_Consolidada[[#This Row], [ID Financeiro]],'[4]PE 25-29'!$B:$AF,31,FALSE),0)</f>
      </c>
      <c r="BQ22" s="116">
        <f>_tPE26_29_Consolidada[[#This Row], [2026]]*1000</f>
      </c>
      <c r="BR22" s="117">
        <f>_tPE26_29_Consolidada[[#This Row], [Orçado 2026 (PE25-29)]]-_tPE26_29_Consolidada[[#This Row], [Orçado 2026 (PE26-30)]]</f>
      </c>
      <c r="BS22" s="117">
        <f>IFERROR(VLOOKUP(_tPE26_29_Consolidada[[#This Row], [ID Financeiro]],'[4]PE 25-29'!$B:$AT,45,FALSE),0)</f>
      </c>
      <c r="BT22" s="117">
        <f>_tPE26_29_Consolidada[[#This Row], [2026-2030]]*1000</f>
      </c>
      <c r="BU22" s="117">
        <f>-_tPE26_29_Consolidada[[#This Row], [Orçado 26/30 (PE25-29)]]+_tPE26_29_Consolidada[[#This Row], [Orçado 26/30 (PE26-30)]]</f>
      </c>
      <c r="BV22" s="22">
        <f>IFERROR(_tPE26_29_Consolidada[[#This Row], [Dif2]]/_tPE26_29_Consolidada[[#This Row], [Orçado 26/30 (PE25-29)]],0)</f>
      </c>
      <c r="BW22" s="1"/>
      <c r="BX22" s="1"/>
      <c r="BY22" s="1"/>
      <c r="BZ22" s="1"/>
      <c r="CA22" s="1"/>
      <c r="CB22" s="1"/>
      <c r="CC22" s="1"/>
      <c r="CD22" s="1"/>
      <c r="CE22" s="1"/>
      <c r="CF22" s="1"/>
      <c r="CG22" s="1"/>
      <c r="CH22" s="1"/>
      <c r="CI22" s="1"/>
      <c r="CJ22" s="1"/>
      <c r="CK22" s="1"/>
      <c r="CL22" s="1"/>
      <c r="CM22" s="1"/>
      <c r="CN22" s="1"/>
      <c r="CO22" s="1"/>
      <c r="CP22" s="1"/>
      <c r="CQ22" s="111"/>
      <c r="CR22" s="111"/>
      <c r="CS22" s="111"/>
      <c r="CT22" s="111"/>
      <c r="CU22" s="111"/>
      <c r="CV22" s="111"/>
      <c r="CW22" s="111"/>
      <c r="CX22" s="111"/>
      <c r="CY22" s="111"/>
      <c r="CZ22" s="111"/>
      <c r="DA22" s="111"/>
      <c r="DB22" s="111"/>
      <c r="DC22" s="111"/>
      <c r="DD22" s="111"/>
      <c r="DE22" s="111"/>
      <c r="DF22" s="111"/>
      <c r="DG22" s="111"/>
      <c r="DH22" s="111"/>
      <c r="DI22" s="111"/>
      <c r="DJ22" s="111"/>
      <c r="DK22" s="111"/>
      <c r="DL22" s="111"/>
      <c r="DM22" s="111"/>
      <c r="DN22" s="111"/>
      <c r="DO22" s="111"/>
      <c r="DP22" s="111"/>
      <c r="DQ22" s="111"/>
      <c r="DR22" s="111"/>
      <c r="DS22" s="111"/>
      <c r="DT22" s="111"/>
      <c r="DU22" s="111"/>
      <c r="DV22" s="111"/>
      <c r="DW22" s="111"/>
      <c r="DX22" s="111"/>
      <c r="DY22" s="111"/>
      <c r="DZ22" s="111"/>
      <c r="EA22" s="111"/>
      <c r="EB22" s="111"/>
      <c r="EC22" s="111"/>
      <c r="ED22" s="111"/>
      <c r="EE22" s="111"/>
      <c r="EF22" s="111"/>
      <c r="EG22" s="111"/>
      <c r="EH22" s="111"/>
      <c r="EI22" s="111"/>
      <c r="EJ22" s="111"/>
      <c r="EK22" s="111"/>
      <c r="EL22" s="111"/>
      <c r="EM22" s="111"/>
      <c r="EN22" s="111"/>
      <c r="EO22" s="111"/>
      <c r="EP22" s="111"/>
      <c r="EQ22" s="111"/>
      <c r="ER22" s="111"/>
      <c r="ES22" s="111"/>
      <c r="ET22" s="111"/>
      <c r="EU22" s="111"/>
      <c r="EV22" s="111"/>
      <c r="EW22" s="111"/>
      <c r="EX22" s="111"/>
      <c r="EY22" s="111"/>
      <c r="EZ22" s="111"/>
      <c r="FA22" s="2"/>
      <c r="FB22" s="2"/>
      <c r="FC22" s="2"/>
      <c r="FD22" s="2"/>
      <c r="FE22" s="2"/>
      <c r="FF22" s="2"/>
    </row>
    <row x14ac:dyDescent="0.25" r="23" customHeight="1" ht="18.75">
      <c r="A23" s="3"/>
      <c r="B23" s="118" t="s">
        <v>39052</v>
      </c>
      <c r="C23" s="3" t="s">
        <v>39053</v>
      </c>
      <c r="D23" s="3" t="s">
        <v>8</v>
      </c>
      <c r="E23" s="3" t="s">
        <v>38983</v>
      </c>
      <c r="F23" s="3"/>
      <c r="G23" s="3" t="s">
        <v>39118</v>
      </c>
      <c r="H23" s="3" t="s">
        <v>10</v>
      </c>
      <c r="I23" s="3" t="s">
        <v>86</v>
      </c>
      <c r="J23" s="3" t="s">
        <v>5</v>
      </c>
      <c r="K23" s="113" t="s">
        <v>16</v>
      </c>
      <c r="L23" s="3" t="s">
        <v>67</v>
      </c>
      <c r="M23" s="3" t="s">
        <v>39055</v>
      </c>
      <c r="N23" s="3"/>
      <c r="O23" s="3"/>
      <c r="P23" s="3"/>
      <c r="Q23" s="3" t="s">
        <v>39119</v>
      </c>
      <c r="R23" s="3" t="s">
        <v>39057</v>
      </c>
      <c r="S23" s="3" t="s">
        <v>39114</v>
      </c>
      <c r="T23" s="114">
        <v>0</v>
      </c>
      <c r="U23" s="114">
        <v>0</v>
      </c>
      <c r="V23" s="114">
        <v>0</v>
      </c>
      <c r="W23" s="114">
        <v>0</v>
      </c>
      <c r="X23" s="114">
        <v>0</v>
      </c>
      <c r="Y23" s="114">
        <v>0</v>
      </c>
      <c r="Z23" s="114">
        <v>10000</v>
      </c>
      <c r="AA23" s="114">
        <v>10000</v>
      </c>
      <c r="AB23" s="114">
        <v>10000</v>
      </c>
      <c r="AC23" s="114">
        <v>10000</v>
      </c>
      <c r="AD23" s="114">
        <v>10000</v>
      </c>
      <c r="AE23" s="114">
        <v>10000</v>
      </c>
      <c r="AF23" s="114">
        <v>60000</v>
      </c>
      <c r="AG23" s="114">
        <v>5000000</v>
      </c>
      <c r="AH23" s="114">
        <v>22000000</v>
      </c>
      <c r="AI23" s="114">
        <v>13000000</v>
      </c>
      <c r="AJ23" s="114">
        <v>0</v>
      </c>
      <c r="AK23" s="114">
        <v>40060000</v>
      </c>
      <c r="AL23" s="114">
        <v>0</v>
      </c>
      <c r="AM23" s="114">
        <v>0</v>
      </c>
      <c r="AN23" s="114">
        <v>0</v>
      </c>
      <c r="AO23" s="114">
        <v>0</v>
      </c>
      <c r="AP23" s="114">
        <v>0</v>
      </c>
      <c r="AQ23" s="114">
        <v>40060000</v>
      </c>
      <c r="AR23" s="22">
        <v>169</v>
      </c>
      <c r="AS23" s="3" t="s">
        <v>39059</v>
      </c>
      <c r="AT23" s="115" t="s">
        <v>39060</v>
      </c>
      <c r="AU23" s="113" t="s">
        <v>39120</v>
      </c>
      <c r="AV23" s="3"/>
      <c r="AW23" s="3" t="s">
        <v>39062</v>
      </c>
      <c r="AX23" s="8" t="s">
        <v>39119</v>
      </c>
      <c r="AY23" s="8"/>
      <c r="AZ23" s="3" t="s">
        <v>39117</v>
      </c>
      <c r="BA23" s="3"/>
      <c r="BB23" s="3"/>
      <c r="BC23" s="3"/>
      <c r="BD23" s="3"/>
      <c r="BE23" s="3"/>
      <c r="BF23" s="3"/>
      <c r="BG23" s="3"/>
      <c r="BH23" s="3"/>
      <c r="BI23" s="3"/>
      <c r="BJ23" s="3"/>
      <c r="BK23" s="3"/>
      <c r="BL23" s="3"/>
      <c r="BM23" s="3"/>
      <c r="BN23" s="3"/>
      <c r="BO23" s="3"/>
      <c r="BP23" s="116">
        <f>IFERROR(VLOOKUP(_tPE26_29_Consolidada[[#This Row], [ID Financeiro]],'[4]PE 25-29'!$B:$AF,31,FALSE),0)</f>
      </c>
      <c r="BQ23" s="116">
        <f>_tPE26_29_Consolidada[[#This Row], [2026]]*1000</f>
      </c>
      <c r="BR23" s="117">
        <f>_tPE26_29_Consolidada[[#This Row], [Orçado 2026 (PE25-29)]]-_tPE26_29_Consolidada[[#This Row], [Orçado 2026 (PE26-30)]]</f>
      </c>
      <c r="BS23" s="117">
        <f>IFERROR(VLOOKUP(_tPE26_29_Consolidada[[#This Row], [ID Financeiro]],'[4]PE 25-29'!$B:$AT,45,FALSE),0)</f>
      </c>
      <c r="BT23" s="117">
        <f>_tPE26_29_Consolidada[[#This Row], [2026-2030]]*1000</f>
      </c>
      <c r="BU23" s="117">
        <f>-_tPE26_29_Consolidada[[#This Row], [Orçado 26/30 (PE25-29)]]+_tPE26_29_Consolidada[[#This Row], [Orçado 26/30 (PE26-30)]]</f>
      </c>
      <c r="BV23" s="22">
        <f>IFERROR(_tPE26_29_Consolidada[[#This Row], [Dif2]]/_tPE26_29_Consolidada[[#This Row], [Orçado 26/30 (PE25-29)]],0)</f>
      </c>
      <c r="BW23" s="1"/>
      <c r="BX23" s="1"/>
      <c r="BY23" s="1"/>
      <c r="BZ23" s="1"/>
      <c r="CA23" s="1"/>
      <c r="CB23" s="1"/>
      <c r="CC23" s="1"/>
      <c r="CD23" s="1"/>
      <c r="CE23" s="1"/>
      <c r="CF23" s="1"/>
      <c r="CG23" s="1"/>
      <c r="CH23" s="1"/>
      <c r="CI23" s="1"/>
      <c r="CJ23" s="1"/>
      <c r="CK23" s="1"/>
      <c r="CL23" s="1"/>
      <c r="CM23" s="1"/>
      <c r="CN23" s="1"/>
      <c r="CO23" s="1"/>
      <c r="CP23" s="1"/>
      <c r="CQ23" s="111"/>
      <c r="CR23" s="111"/>
      <c r="CS23" s="111"/>
      <c r="CT23" s="111"/>
      <c r="CU23" s="111"/>
      <c r="CV23" s="111"/>
      <c r="CW23" s="111"/>
      <c r="CX23" s="111"/>
      <c r="CY23" s="111"/>
      <c r="CZ23" s="111"/>
      <c r="DA23" s="111"/>
      <c r="DB23" s="111"/>
      <c r="DC23" s="111"/>
      <c r="DD23" s="111"/>
      <c r="DE23" s="111"/>
      <c r="DF23" s="111"/>
      <c r="DG23" s="111"/>
      <c r="DH23" s="111"/>
      <c r="DI23" s="111"/>
      <c r="DJ23" s="111"/>
      <c r="DK23" s="111"/>
      <c r="DL23" s="111"/>
      <c r="DM23" s="111"/>
      <c r="DN23" s="111"/>
      <c r="DO23" s="111"/>
      <c r="DP23" s="111"/>
      <c r="DQ23" s="111"/>
      <c r="DR23" s="111"/>
      <c r="DS23" s="111"/>
      <c r="DT23" s="111"/>
      <c r="DU23" s="111"/>
      <c r="DV23" s="111"/>
      <c r="DW23" s="111"/>
      <c r="DX23" s="111"/>
      <c r="DY23" s="111"/>
      <c r="DZ23" s="111"/>
      <c r="EA23" s="111"/>
      <c r="EB23" s="111"/>
      <c r="EC23" s="111"/>
      <c r="ED23" s="111"/>
      <c r="EE23" s="111"/>
      <c r="EF23" s="111"/>
      <c r="EG23" s="111"/>
      <c r="EH23" s="111"/>
      <c r="EI23" s="111"/>
      <c r="EJ23" s="111"/>
      <c r="EK23" s="111"/>
      <c r="EL23" s="111"/>
      <c r="EM23" s="111"/>
      <c r="EN23" s="111"/>
      <c r="EO23" s="111"/>
      <c r="EP23" s="111"/>
      <c r="EQ23" s="111"/>
      <c r="ER23" s="111"/>
      <c r="ES23" s="111"/>
      <c r="ET23" s="111"/>
      <c r="EU23" s="111"/>
      <c r="EV23" s="111"/>
      <c r="EW23" s="111"/>
      <c r="EX23" s="111"/>
      <c r="EY23" s="111"/>
      <c r="EZ23" s="111"/>
      <c r="FA23" s="2"/>
      <c r="FB23" s="2"/>
      <c r="FC23" s="2"/>
      <c r="FD23" s="2"/>
      <c r="FE23" s="2"/>
      <c r="FF23" s="2"/>
    </row>
    <row x14ac:dyDescent="0.25" r="24" customHeight="1" ht="18.75">
      <c r="A24" s="3"/>
      <c r="B24" s="118" t="s">
        <v>39052</v>
      </c>
      <c r="C24" s="3" t="s">
        <v>39053</v>
      </c>
      <c r="D24" s="3" t="s">
        <v>8</v>
      </c>
      <c r="E24" s="3" t="s">
        <v>38983</v>
      </c>
      <c r="F24" s="3"/>
      <c r="G24" s="3" t="s">
        <v>39121</v>
      </c>
      <c r="H24" s="3" t="s">
        <v>10</v>
      </c>
      <c r="I24" s="3" t="s">
        <v>86</v>
      </c>
      <c r="J24" s="3" t="s">
        <v>5</v>
      </c>
      <c r="K24" s="113" t="s">
        <v>16</v>
      </c>
      <c r="L24" s="3" t="s">
        <v>67</v>
      </c>
      <c r="M24" s="3" t="s">
        <v>39055</v>
      </c>
      <c r="N24" s="3"/>
      <c r="O24" s="3"/>
      <c r="P24" s="3"/>
      <c r="Q24" s="3" t="s">
        <v>39122</v>
      </c>
      <c r="R24" s="3" t="s">
        <v>39057</v>
      </c>
      <c r="S24" s="3" t="s">
        <v>39123</v>
      </c>
      <c r="T24" s="114">
        <v>0</v>
      </c>
      <c r="U24" s="114">
        <v>0</v>
      </c>
      <c r="V24" s="114">
        <v>100000</v>
      </c>
      <c r="W24" s="114">
        <v>0</v>
      </c>
      <c r="X24" s="114">
        <v>900000</v>
      </c>
      <c r="Y24" s="114">
        <v>0</v>
      </c>
      <c r="Z24" s="114">
        <v>0</v>
      </c>
      <c r="AA24" s="114">
        <v>0</v>
      </c>
      <c r="AB24" s="114">
        <v>0</v>
      </c>
      <c r="AC24" s="114">
        <v>0</v>
      </c>
      <c r="AD24" s="114">
        <v>0</v>
      </c>
      <c r="AE24" s="114">
        <v>0</v>
      </c>
      <c r="AF24" s="114">
        <v>1000000</v>
      </c>
      <c r="AG24" s="114">
        <v>0</v>
      </c>
      <c r="AH24" s="114">
        <v>0</v>
      </c>
      <c r="AI24" s="114">
        <v>0</v>
      </c>
      <c r="AJ24" s="114">
        <v>0</v>
      </c>
      <c r="AK24" s="114">
        <v>1000000</v>
      </c>
      <c r="AL24" s="114">
        <v>0</v>
      </c>
      <c r="AM24" s="114">
        <v>0</v>
      </c>
      <c r="AN24" s="114">
        <v>0</v>
      </c>
      <c r="AO24" s="114">
        <v>0</v>
      </c>
      <c r="AP24" s="114">
        <v>0</v>
      </c>
      <c r="AQ24" s="114">
        <v>1000000</v>
      </c>
      <c r="AR24" s="22">
        <v>154</v>
      </c>
      <c r="AS24" s="3" t="s">
        <v>39059</v>
      </c>
      <c r="AT24" s="115" t="s">
        <v>39060</v>
      </c>
      <c r="AU24" s="113" t="s">
        <v>39124</v>
      </c>
      <c r="AV24" s="3"/>
      <c r="AW24" s="3" t="s">
        <v>39062</v>
      </c>
      <c r="AX24" s="8" t="s">
        <v>39122</v>
      </c>
      <c r="AY24" s="8"/>
      <c r="AZ24" s="3" t="s">
        <v>39125</v>
      </c>
      <c r="BA24" s="3"/>
      <c r="BB24" s="3"/>
      <c r="BC24" s="3"/>
      <c r="BD24" s="3"/>
      <c r="BE24" s="3"/>
      <c r="BF24" s="3"/>
      <c r="BG24" s="3"/>
      <c r="BH24" s="3"/>
      <c r="BI24" s="3"/>
      <c r="BJ24" s="3"/>
      <c r="BK24" s="3"/>
      <c r="BL24" s="3"/>
      <c r="BM24" s="3"/>
      <c r="BN24" s="3"/>
      <c r="BO24" s="3"/>
      <c r="BP24" s="116">
        <f>IFERROR(VLOOKUP(_tPE26_29_Consolidada[[#This Row], [ID Financeiro]],'[4]PE 25-29'!$B:$AF,31,FALSE),0)</f>
      </c>
      <c r="BQ24" s="116">
        <f>_tPE26_29_Consolidada[[#This Row], [2026]]*1000</f>
      </c>
      <c r="BR24" s="117">
        <f>_tPE26_29_Consolidada[[#This Row], [Orçado 2026 (PE25-29)]]-_tPE26_29_Consolidada[[#This Row], [Orçado 2026 (PE26-30)]]</f>
      </c>
      <c r="BS24" s="117">
        <f>IFERROR(VLOOKUP(_tPE26_29_Consolidada[[#This Row], [ID Financeiro]],'[4]PE 25-29'!$B:$AT,45,FALSE),0)</f>
      </c>
      <c r="BT24" s="117">
        <f>_tPE26_29_Consolidada[[#This Row], [2026-2030]]*1000</f>
      </c>
      <c r="BU24" s="117">
        <f>-_tPE26_29_Consolidada[[#This Row], [Orçado 26/30 (PE25-29)]]+_tPE26_29_Consolidada[[#This Row], [Orçado 26/30 (PE26-30)]]</f>
      </c>
      <c r="BV24" s="22">
        <f>IFERROR(_tPE26_29_Consolidada[[#This Row], [Dif2]]/_tPE26_29_Consolidada[[#This Row], [Orçado 26/30 (PE25-29)]],0)</f>
      </c>
      <c r="BW24" s="1"/>
      <c r="BX24" s="1"/>
      <c r="BY24" s="1"/>
      <c r="BZ24" s="1"/>
      <c r="CA24" s="1"/>
      <c r="CB24" s="1"/>
      <c r="CC24" s="1"/>
      <c r="CD24" s="1"/>
      <c r="CE24" s="1"/>
      <c r="CF24" s="1"/>
      <c r="CG24" s="1"/>
      <c r="CH24" s="1"/>
      <c r="CI24" s="1"/>
      <c r="CJ24" s="1"/>
      <c r="CK24" s="1"/>
      <c r="CL24" s="1"/>
      <c r="CM24" s="1"/>
      <c r="CN24" s="1"/>
      <c r="CO24" s="1"/>
      <c r="CP24" s="1"/>
      <c r="CQ24" s="111"/>
      <c r="CR24" s="111"/>
      <c r="CS24" s="111"/>
      <c r="CT24" s="111"/>
      <c r="CU24" s="111"/>
      <c r="CV24" s="111"/>
      <c r="CW24" s="111"/>
      <c r="CX24" s="111"/>
      <c r="CY24" s="111"/>
      <c r="CZ24" s="111"/>
      <c r="DA24" s="111"/>
      <c r="DB24" s="111"/>
      <c r="DC24" s="111"/>
      <c r="DD24" s="111"/>
      <c r="DE24" s="111"/>
      <c r="DF24" s="111"/>
      <c r="DG24" s="111"/>
      <c r="DH24" s="111"/>
      <c r="DI24" s="111"/>
      <c r="DJ24" s="111"/>
      <c r="DK24" s="111"/>
      <c r="DL24" s="111"/>
      <c r="DM24" s="111"/>
      <c r="DN24" s="111"/>
      <c r="DO24" s="111"/>
      <c r="DP24" s="111"/>
      <c r="DQ24" s="111"/>
      <c r="DR24" s="111"/>
      <c r="DS24" s="111"/>
      <c r="DT24" s="111"/>
      <c r="DU24" s="111"/>
      <c r="DV24" s="111"/>
      <c r="DW24" s="111"/>
      <c r="DX24" s="111"/>
      <c r="DY24" s="111"/>
      <c r="DZ24" s="111"/>
      <c r="EA24" s="111"/>
      <c r="EB24" s="111"/>
      <c r="EC24" s="111"/>
      <c r="ED24" s="111"/>
      <c r="EE24" s="111"/>
      <c r="EF24" s="111"/>
      <c r="EG24" s="111"/>
      <c r="EH24" s="111"/>
      <c r="EI24" s="111"/>
      <c r="EJ24" s="111"/>
      <c r="EK24" s="111"/>
      <c r="EL24" s="111"/>
      <c r="EM24" s="111"/>
      <c r="EN24" s="111"/>
      <c r="EO24" s="111"/>
      <c r="EP24" s="111"/>
      <c r="EQ24" s="111"/>
      <c r="ER24" s="111"/>
      <c r="ES24" s="111"/>
      <c r="ET24" s="111"/>
      <c r="EU24" s="111"/>
      <c r="EV24" s="111"/>
      <c r="EW24" s="111"/>
      <c r="EX24" s="111"/>
      <c r="EY24" s="111"/>
      <c r="EZ24" s="111"/>
      <c r="FA24" s="2"/>
      <c r="FB24" s="2"/>
      <c r="FC24" s="2"/>
      <c r="FD24" s="2"/>
      <c r="FE24" s="2"/>
      <c r="FF24" s="2"/>
    </row>
    <row x14ac:dyDescent="0.25" r="25" customHeight="1" ht="18.75">
      <c r="A25" s="3"/>
      <c r="B25" s="118" t="s">
        <v>39052</v>
      </c>
      <c r="C25" s="3" t="s">
        <v>39053</v>
      </c>
      <c r="D25" s="3" t="s">
        <v>8</v>
      </c>
      <c r="E25" s="3" t="s">
        <v>38983</v>
      </c>
      <c r="F25" s="3"/>
      <c r="G25" s="3" t="s">
        <v>39126</v>
      </c>
      <c r="H25" s="3" t="s">
        <v>10</v>
      </c>
      <c r="I25" s="3" t="s">
        <v>86</v>
      </c>
      <c r="J25" s="3" t="s">
        <v>5</v>
      </c>
      <c r="K25" s="113" t="s">
        <v>16</v>
      </c>
      <c r="L25" s="3" t="s">
        <v>67</v>
      </c>
      <c r="M25" s="3" t="s">
        <v>39055</v>
      </c>
      <c r="N25" s="3"/>
      <c r="O25" s="3"/>
      <c r="P25" s="3"/>
      <c r="Q25" s="3" t="s">
        <v>39127</v>
      </c>
      <c r="R25" s="3" t="s">
        <v>39057</v>
      </c>
      <c r="S25" s="3" t="s">
        <v>39128</v>
      </c>
      <c r="T25" s="114">
        <v>10000</v>
      </c>
      <c r="U25" s="114">
        <v>10000</v>
      </c>
      <c r="V25" s="114">
        <v>10000</v>
      </c>
      <c r="W25" s="114">
        <v>10000</v>
      </c>
      <c r="X25" s="114">
        <v>10000</v>
      </c>
      <c r="Y25" s="114">
        <v>10000</v>
      </c>
      <c r="Z25" s="114">
        <v>10000</v>
      </c>
      <c r="AA25" s="114">
        <v>10000</v>
      </c>
      <c r="AB25" s="114">
        <v>60000</v>
      </c>
      <c r="AC25" s="114">
        <v>10000</v>
      </c>
      <c r="AD25" s="114">
        <v>60000</v>
      </c>
      <c r="AE25" s="114">
        <v>10000</v>
      </c>
      <c r="AF25" s="114">
        <v>220000</v>
      </c>
      <c r="AG25" s="114">
        <v>30000</v>
      </c>
      <c r="AH25" s="114">
        <v>0</v>
      </c>
      <c r="AI25" s="114">
        <v>0</v>
      </c>
      <c r="AJ25" s="114">
        <v>0</v>
      </c>
      <c r="AK25" s="114">
        <v>250000</v>
      </c>
      <c r="AL25" s="114">
        <v>0</v>
      </c>
      <c r="AM25" s="114">
        <v>0</v>
      </c>
      <c r="AN25" s="114">
        <v>0</v>
      </c>
      <c r="AO25" s="114">
        <v>0</v>
      </c>
      <c r="AP25" s="114">
        <v>0</v>
      </c>
      <c r="AQ25" s="114">
        <v>250000</v>
      </c>
      <c r="AR25" s="22">
        <v>165</v>
      </c>
      <c r="AS25" s="3" t="s">
        <v>39059</v>
      </c>
      <c r="AT25" s="115" t="s">
        <v>39060</v>
      </c>
      <c r="AU25" s="113" t="s">
        <v>39129</v>
      </c>
      <c r="AV25" s="3"/>
      <c r="AW25" s="3" t="s">
        <v>39062</v>
      </c>
      <c r="AX25" s="8" t="s">
        <v>39127</v>
      </c>
      <c r="AY25" s="8"/>
      <c r="AZ25" s="3" t="s">
        <v>39130</v>
      </c>
      <c r="BA25" s="3"/>
      <c r="BB25" s="3"/>
      <c r="BC25" s="3"/>
      <c r="BD25" s="3"/>
      <c r="BE25" s="3"/>
      <c r="BF25" s="3"/>
      <c r="BG25" s="3"/>
      <c r="BH25" s="3"/>
      <c r="BI25" s="3"/>
      <c r="BJ25" s="3"/>
      <c r="BK25" s="3"/>
      <c r="BL25" s="3"/>
      <c r="BM25" s="3"/>
      <c r="BN25" s="3"/>
      <c r="BO25" s="3"/>
      <c r="BP25" s="116">
        <f>IFERROR(VLOOKUP(_tPE26_29_Consolidada[[#This Row], [ID Financeiro]],'[4]PE 25-29'!$B:$AF,31,FALSE),0)</f>
      </c>
      <c r="BQ25" s="116">
        <f>_tPE26_29_Consolidada[[#This Row], [2026]]*1000</f>
      </c>
      <c r="BR25" s="117">
        <f>_tPE26_29_Consolidada[[#This Row], [Orçado 2026 (PE25-29)]]-_tPE26_29_Consolidada[[#This Row], [Orçado 2026 (PE26-30)]]</f>
      </c>
      <c r="BS25" s="117">
        <f>IFERROR(VLOOKUP(_tPE26_29_Consolidada[[#This Row], [ID Financeiro]],'[4]PE 25-29'!$B:$AT,45,FALSE),0)</f>
      </c>
      <c r="BT25" s="117">
        <f>_tPE26_29_Consolidada[[#This Row], [2026-2030]]*1000</f>
      </c>
      <c r="BU25" s="117">
        <f>-_tPE26_29_Consolidada[[#This Row], [Orçado 26/30 (PE25-29)]]+_tPE26_29_Consolidada[[#This Row], [Orçado 26/30 (PE26-30)]]</f>
      </c>
      <c r="BV25" s="22">
        <f>IFERROR(_tPE26_29_Consolidada[[#This Row], [Dif2]]/_tPE26_29_Consolidada[[#This Row], [Orçado 26/30 (PE25-29)]],0)</f>
      </c>
      <c r="BW25" s="1"/>
      <c r="BX25" s="1"/>
      <c r="BY25" s="1"/>
      <c r="BZ25" s="1"/>
      <c r="CA25" s="1"/>
      <c r="CB25" s="1"/>
      <c r="CC25" s="1"/>
      <c r="CD25" s="1"/>
      <c r="CE25" s="1"/>
      <c r="CF25" s="1"/>
      <c r="CG25" s="1"/>
      <c r="CH25" s="1"/>
      <c r="CI25" s="1"/>
      <c r="CJ25" s="1"/>
      <c r="CK25" s="1"/>
      <c r="CL25" s="1"/>
      <c r="CM25" s="1"/>
      <c r="CN25" s="1"/>
      <c r="CO25" s="1"/>
      <c r="CP25" s="1"/>
      <c r="CQ25" s="111"/>
      <c r="CR25" s="111"/>
      <c r="CS25" s="111"/>
      <c r="CT25" s="111"/>
      <c r="CU25" s="111"/>
      <c r="CV25" s="111"/>
      <c r="CW25" s="111"/>
      <c r="CX25" s="111"/>
      <c r="CY25" s="111"/>
      <c r="CZ25" s="111"/>
      <c r="DA25" s="111"/>
      <c r="DB25" s="111"/>
      <c r="DC25" s="111"/>
      <c r="DD25" s="111"/>
      <c r="DE25" s="111"/>
      <c r="DF25" s="111"/>
      <c r="DG25" s="111"/>
      <c r="DH25" s="111"/>
      <c r="DI25" s="111"/>
      <c r="DJ25" s="111"/>
      <c r="DK25" s="111"/>
      <c r="DL25" s="111"/>
      <c r="DM25" s="111"/>
      <c r="DN25" s="111"/>
      <c r="DO25" s="111"/>
      <c r="DP25" s="111"/>
      <c r="DQ25" s="111"/>
      <c r="DR25" s="111"/>
      <c r="DS25" s="111"/>
      <c r="DT25" s="111"/>
      <c r="DU25" s="111"/>
      <c r="DV25" s="111"/>
      <c r="DW25" s="111"/>
      <c r="DX25" s="111"/>
      <c r="DY25" s="111"/>
      <c r="DZ25" s="111"/>
      <c r="EA25" s="111"/>
      <c r="EB25" s="111"/>
      <c r="EC25" s="111"/>
      <c r="ED25" s="111"/>
      <c r="EE25" s="111"/>
      <c r="EF25" s="111"/>
      <c r="EG25" s="111"/>
      <c r="EH25" s="111"/>
      <c r="EI25" s="111"/>
      <c r="EJ25" s="111"/>
      <c r="EK25" s="111"/>
      <c r="EL25" s="111"/>
      <c r="EM25" s="111"/>
      <c r="EN25" s="111"/>
      <c r="EO25" s="111"/>
      <c r="EP25" s="111"/>
      <c r="EQ25" s="111"/>
      <c r="ER25" s="111"/>
      <c r="ES25" s="111"/>
      <c r="ET25" s="111"/>
      <c r="EU25" s="111"/>
      <c r="EV25" s="111"/>
      <c r="EW25" s="111"/>
      <c r="EX25" s="111"/>
      <c r="EY25" s="111"/>
      <c r="EZ25" s="111"/>
      <c r="FA25" s="2"/>
      <c r="FB25" s="2"/>
      <c r="FC25" s="2"/>
      <c r="FD25" s="2"/>
      <c r="FE25" s="2"/>
      <c r="FF25" s="2"/>
    </row>
    <row x14ac:dyDescent="0.25" r="26" customHeight="1" ht="18.75">
      <c r="A26" s="3"/>
      <c r="B26" s="118" t="s">
        <v>39052</v>
      </c>
      <c r="C26" s="3" t="s">
        <v>39053</v>
      </c>
      <c r="D26" s="3" t="s">
        <v>8</v>
      </c>
      <c r="E26" s="3" t="s">
        <v>38983</v>
      </c>
      <c r="F26" s="3"/>
      <c r="G26" s="3" t="s">
        <v>39131</v>
      </c>
      <c r="H26" s="3" t="s">
        <v>10</v>
      </c>
      <c r="I26" s="3" t="s">
        <v>86</v>
      </c>
      <c r="J26" s="3" t="s">
        <v>5</v>
      </c>
      <c r="K26" s="113" t="s">
        <v>16</v>
      </c>
      <c r="L26" s="3" t="s">
        <v>67</v>
      </c>
      <c r="M26" s="3" t="s">
        <v>39055</v>
      </c>
      <c r="N26" s="3"/>
      <c r="O26" s="3"/>
      <c r="P26" s="3"/>
      <c r="Q26" s="3" t="s">
        <v>39132</v>
      </c>
      <c r="R26" s="3" t="s">
        <v>39057</v>
      </c>
      <c r="S26" s="3" t="s">
        <v>39133</v>
      </c>
      <c r="T26" s="114">
        <v>0</v>
      </c>
      <c r="U26" s="114">
        <v>0</v>
      </c>
      <c r="V26" s="114">
        <v>0</v>
      </c>
      <c r="W26" s="114">
        <v>0</v>
      </c>
      <c r="X26" s="114">
        <v>0</v>
      </c>
      <c r="Y26" s="114">
        <v>210000</v>
      </c>
      <c r="Z26" s="114">
        <v>40000</v>
      </c>
      <c r="AA26" s="114">
        <v>0</v>
      </c>
      <c r="AB26" s="114">
        <v>0</v>
      </c>
      <c r="AC26" s="114">
        <v>0</v>
      </c>
      <c r="AD26" s="114">
        <v>0</v>
      </c>
      <c r="AE26" s="114">
        <v>0</v>
      </c>
      <c r="AF26" s="114">
        <v>250000</v>
      </c>
      <c r="AG26" s="114">
        <v>0</v>
      </c>
      <c r="AH26" s="114">
        <v>0</v>
      </c>
      <c r="AI26" s="114">
        <v>0</v>
      </c>
      <c r="AJ26" s="114">
        <v>0</v>
      </c>
      <c r="AK26" s="114">
        <v>250000</v>
      </c>
      <c r="AL26" s="114">
        <v>0</v>
      </c>
      <c r="AM26" s="114">
        <v>0</v>
      </c>
      <c r="AN26" s="114">
        <v>0</v>
      </c>
      <c r="AO26" s="114">
        <v>0</v>
      </c>
      <c r="AP26" s="114">
        <v>0</v>
      </c>
      <c r="AQ26" s="114">
        <v>250000</v>
      </c>
      <c r="AR26" s="22">
        <v>164</v>
      </c>
      <c r="AS26" s="3" t="s">
        <v>39059</v>
      </c>
      <c r="AT26" s="115" t="s">
        <v>39060</v>
      </c>
      <c r="AU26" s="113" t="s">
        <v>39134</v>
      </c>
      <c r="AV26" s="3"/>
      <c r="AW26" s="3" t="s">
        <v>39062</v>
      </c>
      <c r="AX26" s="8" t="s">
        <v>39132</v>
      </c>
      <c r="AY26" s="8"/>
      <c r="AZ26" s="3" t="s">
        <v>39135</v>
      </c>
      <c r="BA26" s="3"/>
      <c r="BB26" s="3"/>
      <c r="BC26" s="3"/>
      <c r="BD26" s="3"/>
      <c r="BE26" s="3"/>
      <c r="BF26" s="3"/>
      <c r="BG26" s="3"/>
      <c r="BH26" s="3"/>
      <c r="BI26" s="3"/>
      <c r="BJ26" s="3"/>
      <c r="BK26" s="3"/>
      <c r="BL26" s="3"/>
      <c r="BM26" s="3"/>
      <c r="BN26" s="3"/>
      <c r="BO26" s="3"/>
      <c r="BP26" s="116">
        <f>IFERROR(VLOOKUP(_tPE26_29_Consolidada[[#This Row], [ID Financeiro]],'[4]PE 25-29'!$B:$AF,31,FALSE),0)</f>
      </c>
      <c r="BQ26" s="116">
        <f>_tPE26_29_Consolidada[[#This Row], [2026]]*1000</f>
      </c>
      <c r="BR26" s="117">
        <f>_tPE26_29_Consolidada[[#This Row], [Orçado 2026 (PE25-29)]]-_tPE26_29_Consolidada[[#This Row], [Orçado 2026 (PE26-30)]]</f>
      </c>
      <c r="BS26" s="117">
        <f>IFERROR(VLOOKUP(_tPE26_29_Consolidada[[#This Row], [ID Financeiro]],'[4]PE 25-29'!$B:$AT,45,FALSE),0)</f>
      </c>
      <c r="BT26" s="117">
        <f>_tPE26_29_Consolidada[[#This Row], [2026-2030]]*1000</f>
      </c>
      <c r="BU26" s="117">
        <f>-_tPE26_29_Consolidada[[#This Row], [Orçado 26/30 (PE25-29)]]+_tPE26_29_Consolidada[[#This Row], [Orçado 26/30 (PE26-30)]]</f>
      </c>
      <c r="BV26" s="22">
        <f>IFERROR(_tPE26_29_Consolidada[[#This Row], [Dif2]]/_tPE26_29_Consolidada[[#This Row], [Orçado 26/30 (PE25-29)]],0)</f>
      </c>
      <c r="BW26" s="1"/>
      <c r="BX26" s="1"/>
      <c r="BY26" s="1"/>
      <c r="BZ26" s="1"/>
      <c r="CA26" s="1"/>
      <c r="CB26" s="1"/>
      <c r="CC26" s="1"/>
      <c r="CD26" s="1"/>
      <c r="CE26" s="1"/>
      <c r="CF26" s="1"/>
      <c r="CG26" s="1"/>
      <c r="CH26" s="1"/>
      <c r="CI26" s="1"/>
      <c r="CJ26" s="1"/>
      <c r="CK26" s="1"/>
      <c r="CL26" s="1"/>
      <c r="CM26" s="1"/>
      <c r="CN26" s="1"/>
      <c r="CO26" s="1"/>
      <c r="CP26" s="1"/>
      <c r="CQ26" s="111"/>
      <c r="CR26" s="111"/>
      <c r="CS26" s="111"/>
      <c r="CT26" s="111"/>
      <c r="CU26" s="111"/>
      <c r="CV26" s="111"/>
      <c r="CW26" s="111"/>
      <c r="CX26" s="111"/>
      <c r="CY26" s="111"/>
      <c r="CZ26" s="111"/>
      <c r="DA26" s="111"/>
      <c r="DB26" s="111"/>
      <c r="DC26" s="111"/>
      <c r="DD26" s="111"/>
      <c r="DE26" s="111"/>
      <c r="DF26" s="111"/>
      <c r="DG26" s="111"/>
      <c r="DH26" s="111"/>
      <c r="DI26" s="111"/>
      <c r="DJ26" s="111"/>
      <c r="DK26" s="111"/>
      <c r="DL26" s="111"/>
      <c r="DM26" s="111"/>
      <c r="DN26" s="111"/>
      <c r="DO26" s="111"/>
      <c r="DP26" s="111"/>
      <c r="DQ26" s="111"/>
      <c r="DR26" s="111"/>
      <c r="DS26" s="111"/>
      <c r="DT26" s="111"/>
      <c r="DU26" s="111"/>
      <c r="DV26" s="111"/>
      <c r="DW26" s="111"/>
      <c r="DX26" s="111"/>
      <c r="DY26" s="111"/>
      <c r="DZ26" s="111"/>
      <c r="EA26" s="111"/>
      <c r="EB26" s="111"/>
      <c r="EC26" s="111"/>
      <c r="ED26" s="111"/>
      <c r="EE26" s="111"/>
      <c r="EF26" s="111"/>
      <c r="EG26" s="111"/>
      <c r="EH26" s="111"/>
      <c r="EI26" s="111"/>
      <c r="EJ26" s="111"/>
      <c r="EK26" s="111"/>
      <c r="EL26" s="111"/>
      <c r="EM26" s="111"/>
      <c r="EN26" s="111"/>
      <c r="EO26" s="111"/>
      <c r="EP26" s="111"/>
      <c r="EQ26" s="111"/>
      <c r="ER26" s="111"/>
      <c r="ES26" s="111"/>
      <c r="ET26" s="111"/>
      <c r="EU26" s="111"/>
      <c r="EV26" s="111"/>
      <c r="EW26" s="111"/>
      <c r="EX26" s="111"/>
      <c r="EY26" s="111"/>
      <c r="EZ26" s="111"/>
      <c r="FA26" s="2"/>
      <c r="FB26" s="2"/>
      <c r="FC26" s="2"/>
      <c r="FD26" s="2"/>
      <c r="FE26" s="2"/>
      <c r="FF26" s="2"/>
    </row>
    <row x14ac:dyDescent="0.25" r="27" customHeight="1" ht="18.75">
      <c r="A27" s="3"/>
      <c r="B27" s="118" t="s">
        <v>39052</v>
      </c>
      <c r="C27" s="3" t="s">
        <v>39053</v>
      </c>
      <c r="D27" s="3" t="s">
        <v>8</v>
      </c>
      <c r="E27" s="3" t="s">
        <v>38983</v>
      </c>
      <c r="F27" s="3"/>
      <c r="G27" s="3" t="s">
        <v>39136</v>
      </c>
      <c r="H27" s="3" t="s">
        <v>10</v>
      </c>
      <c r="I27" s="3" t="s">
        <v>86</v>
      </c>
      <c r="J27" s="3" t="s">
        <v>5</v>
      </c>
      <c r="K27" s="113" t="s">
        <v>16</v>
      </c>
      <c r="L27" s="3" t="s">
        <v>67</v>
      </c>
      <c r="M27" s="3" t="s">
        <v>39055</v>
      </c>
      <c r="N27" s="3"/>
      <c r="O27" s="3"/>
      <c r="P27" s="3"/>
      <c r="Q27" s="3" t="s">
        <v>39137</v>
      </c>
      <c r="R27" s="3" t="s">
        <v>39057</v>
      </c>
      <c r="S27" s="3" t="s">
        <v>39133</v>
      </c>
      <c r="T27" s="114">
        <v>0</v>
      </c>
      <c r="U27" s="114">
        <v>0</v>
      </c>
      <c r="V27" s="114">
        <v>0</v>
      </c>
      <c r="W27" s="114">
        <v>10000</v>
      </c>
      <c r="X27" s="114">
        <v>10000</v>
      </c>
      <c r="Y27" s="114">
        <v>10000</v>
      </c>
      <c r="Z27" s="114">
        <v>10000</v>
      </c>
      <c r="AA27" s="114">
        <v>10000</v>
      </c>
      <c r="AB27" s="114">
        <v>0</v>
      </c>
      <c r="AC27" s="114">
        <v>450000</v>
      </c>
      <c r="AD27" s="114">
        <v>0</v>
      </c>
      <c r="AE27" s="114">
        <v>500000</v>
      </c>
      <c r="AF27" s="114">
        <v>1000000</v>
      </c>
      <c r="AG27" s="114">
        <v>1500000</v>
      </c>
      <c r="AH27" s="114">
        <v>1500000</v>
      </c>
      <c r="AI27" s="114">
        <v>1000000</v>
      </c>
      <c r="AJ27" s="114">
        <v>1000000</v>
      </c>
      <c r="AK27" s="114">
        <v>6000000</v>
      </c>
      <c r="AL27" s="114">
        <v>0</v>
      </c>
      <c r="AM27" s="114">
        <v>0</v>
      </c>
      <c r="AN27" s="114">
        <v>0</v>
      </c>
      <c r="AO27" s="114">
        <v>0</v>
      </c>
      <c r="AP27" s="114">
        <v>0</v>
      </c>
      <c r="AQ27" s="114">
        <v>6000000</v>
      </c>
      <c r="AR27" s="22">
        <v>155</v>
      </c>
      <c r="AS27" s="3" t="s">
        <v>39059</v>
      </c>
      <c r="AT27" s="115" t="s">
        <v>39060</v>
      </c>
      <c r="AU27" s="113" t="s">
        <v>39138</v>
      </c>
      <c r="AV27" s="3"/>
      <c r="AW27" s="3" t="s">
        <v>39062</v>
      </c>
      <c r="AX27" s="8" t="s">
        <v>39137</v>
      </c>
      <c r="AY27" s="8" t="s">
        <v>39139</v>
      </c>
      <c r="AZ27" s="3" t="s">
        <v>39064</v>
      </c>
      <c r="BA27" s="3"/>
      <c r="BB27" s="3"/>
      <c r="BC27" s="3"/>
      <c r="BD27" s="3"/>
      <c r="BE27" s="3"/>
      <c r="BF27" s="3"/>
      <c r="BG27" s="3"/>
      <c r="BH27" s="3"/>
      <c r="BI27" s="3"/>
      <c r="BJ27" s="3"/>
      <c r="BK27" s="3"/>
      <c r="BL27" s="3"/>
      <c r="BM27" s="3"/>
      <c r="BN27" s="3"/>
      <c r="BO27" s="3"/>
      <c r="BP27" s="116">
        <f>IFERROR(VLOOKUP(_tPE26_29_Consolidada[[#This Row], [ID Financeiro]],'[4]PE 25-29'!$B:$AF,31,FALSE),0)</f>
      </c>
      <c r="BQ27" s="116">
        <f>_tPE26_29_Consolidada[[#This Row], [2026]]*1000</f>
      </c>
      <c r="BR27" s="117">
        <f>_tPE26_29_Consolidada[[#This Row], [Orçado 2026 (PE25-29)]]-_tPE26_29_Consolidada[[#This Row], [Orçado 2026 (PE26-30)]]</f>
      </c>
      <c r="BS27" s="117">
        <f>IFERROR(VLOOKUP(_tPE26_29_Consolidada[[#This Row], [ID Financeiro]],'[4]PE 25-29'!$B:$AT,45,FALSE),0)</f>
      </c>
      <c r="BT27" s="117">
        <f>_tPE26_29_Consolidada[[#This Row], [2026-2030]]*1000</f>
      </c>
      <c r="BU27" s="117">
        <f>-_tPE26_29_Consolidada[[#This Row], [Orçado 26/30 (PE25-29)]]+_tPE26_29_Consolidada[[#This Row], [Orçado 26/30 (PE26-30)]]</f>
      </c>
      <c r="BV27" s="22">
        <f>IFERROR(_tPE26_29_Consolidada[[#This Row], [Dif2]]/_tPE26_29_Consolidada[[#This Row], [Orçado 26/30 (PE25-29)]],0)</f>
      </c>
      <c r="BW27" s="1"/>
      <c r="BX27" s="1"/>
      <c r="BY27" s="1"/>
      <c r="BZ27" s="1"/>
      <c r="CA27" s="1"/>
      <c r="CB27" s="1"/>
      <c r="CC27" s="1"/>
      <c r="CD27" s="1"/>
      <c r="CE27" s="1"/>
      <c r="CF27" s="1"/>
      <c r="CG27" s="1"/>
      <c r="CH27" s="1"/>
      <c r="CI27" s="1"/>
      <c r="CJ27" s="1"/>
      <c r="CK27" s="1"/>
      <c r="CL27" s="1"/>
      <c r="CM27" s="1"/>
      <c r="CN27" s="1"/>
      <c r="CO27" s="1"/>
      <c r="CP27" s="1"/>
      <c r="CQ27" s="111"/>
      <c r="CR27" s="111"/>
      <c r="CS27" s="111"/>
      <c r="CT27" s="111"/>
      <c r="CU27" s="111"/>
      <c r="CV27" s="111"/>
      <c r="CW27" s="111"/>
      <c r="CX27" s="111"/>
      <c r="CY27" s="111"/>
      <c r="CZ27" s="111"/>
      <c r="DA27" s="111"/>
      <c r="DB27" s="111"/>
      <c r="DC27" s="111"/>
      <c r="DD27" s="111"/>
      <c r="DE27" s="111"/>
      <c r="DF27" s="111"/>
      <c r="DG27" s="111"/>
      <c r="DH27" s="111"/>
      <c r="DI27" s="111"/>
      <c r="DJ27" s="111"/>
      <c r="DK27" s="111"/>
      <c r="DL27" s="111"/>
      <c r="DM27" s="111"/>
      <c r="DN27" s="111"/>
      <c r="DO27" s="111"/>
      <c r="DP27" s="111"/>
      <c r="DQ27" s="111"/>
      <c r="DR27" s="111"/>
      <c r="DS27" s="111"/>
      <c r="DT27" s="111"/>
      <c r="DU27" s="111"/>
      <c r="DV27" s="111"/>
      <c r="DW27" s="111"/>
      <c r="DX27" s="111"/>
      <c r="DY27" s="111"/>
      <c r="DZ27" s="111"/>
      <c r="EA27" s="111"/>
      <c r="EB27" s="111"/>
      <c r="EC27" s="111"/>
      <c r="ED27" s="111"/>
      <c r="EE27" s="111"/>
      <c r="EF27" s="111"/>
      <c r="EG27" s="111"/>
      <c r="EH27" s="111"/>
      <c r="EI27" s="111"/>
      <c r="EJ27" s="111"/>
      <c r="EK27" s="111"/>
      <c r="EL27" s="111"/>
      <c r="EM27" s="111"/>
      <c r="EN27" s="111"/>
      <c r="EO27" s="111"/>
      <c r="EP27" s="111"/>
      <c r="EQ27" s="111"/>
      <c r="ER27" s="111"/>
      <c r="ES27" s="111"/>
      <c r="ET27" s="111"/>
      <c r="EU27" s="111"/>
      <c r="EV27" s="111"/>
      <c r="EW27" s="111"/>
      <c r="EX27" s="111"/>
      <c r="EY27" s="111"/>
      <c r="EZ27" s="111"/>
      <c r="FA27" s="2"/>
      <c r="FB27" s="2"/>
      <c r="FC27" s="2"/>
      <c r="FD27" s="2"/>
      <c r="FE27" s="2"/>
      <c r="FF27" s="2"/>
    </row>
    <row x14ac:dyDescent="0.25" r="28" customHeight="1" ht="18.75">
      <c r="A28" s="3"/>
      <c r="B28" s="118" t="s">
        <v>39052</v>
      </c>
      <c r="C28" s="3" t="s">
        <v>39053</v>
      </c>
      <c r="D28" s="3" t="s">
        <v>8</v>
      </c>
      <c r="E28" s="3" t="s">
        <v>38983</v>
      </c>
      <c r="F28" s="3"/>
      <c r="G28" s="3" t="s">
        <v>39140</v>
      </c>
      <c r="H28" s="3" t="s">
        <v>10</v>
      </c>
      <c r="I28" s="3" t="s">
        <v>86</v>
      </c>
      <c r="J28" s="3" t="s">
        <v>5</v>
      </c>
      <c r="K28" s="113" t="s">
        <v>16</v>
      </c>
      <c r="L28" s="3" t="s">
        <v>67</v>
      </c>
      <c r="M28" s="3" t="s">
        <v>39055</v>
      </c>
      <c r="N28" s="3"/>
      <c r="O28" s="3"/>
      <c r="P28" s="3"/>
      <c r="Q28" s="3" t="s">
        <v>39141</v>
      </c>
      <c r="R28" s="3" t="s">
        <v>39057</v>
      </c>
      <c r="S28" s="3" t="s">
        <v>39133</v>
      </c>
      <c r="T28" s="114">
        <v>0</v>
      </c>
      <c r="U28" s="114">
        <v>80000</v>
      </c>
      <c r="V28" s="114">
        <v>0</v>
      </c>
      <c r="W28" s="114">
        <v>1170000</v>
      </c>
      <c r="X28" s="114">
        <v>300000</v>
      </c>
      <c r="Y28" s="114">
        <v>250000</v>
      </c>
      <c r="Z28" s="114">
        <v>0</v>
      </c>
      <c r="AA28" s="114">
        <v>0</v>
      </c>
      <c r="AB28" s="114">
        <v>0</v>
      </c>
      <c r="AC28" s="114">
        <v>0</v>
      </c>
      <c r="AD28" s="114">
        <v>0</v>
      </c>
      <c r="AE28" s="114">
        <v>0</v>
      </c>
      <c r="AF28" s="114">
        <v>1800000</v>
      </c>
      <c r="AG28" s="114">
        <v>0</v>
      </c>
      <c r="AH28" s="114">
        <v>0</v>
      </c>
      <c r="AI28" s="114">
        <v>0</v>
      </c>
      <c r="AJ28" s="114">
        <v>0</v>
      </c>
      <c r="AK28" s="114">
        <v>1800000</v>
      </c>
      <c r="AL28" s="114">
        <v>0</v>
      </c>
      <c r="AM28" s="114">
        <v>0</v>
      </c>
      <c r="AN28" s="114">
        <v>0</v>
      </c>
      <c r="AO28" s="114">
        <v>0</v>
      </c>
      <c r="AP28" s="114">
        <v>0</v>
      </c>
      <c r="AQ28" s="114">
        <v>1800000</v>
      </c>
      <c r="AR28" s="22">
        <v>151</v>
      </c>
      <c r="AS28" s="3" t="s">
        <v>39059</v>
      </c>
      <c r="AT28" s="115" t="s">
        <v>39060</v>
      </c>
      <c r="AU28" s="113" t="s">
        <v>39142</v>
      </c>
      <c r="AV28" s="3"/>
      <c r="AW28" s="3" t="s">
        <v>39062</v>
      </c>
      <c r="AX28" s="8" t="s">
        <v>39141</v>
      </c>
      <c r="AY28" s="8" t="s">
        <v>39139</v>
      </c>
      <c r="AZ28" s="3" t="s">
        <v>39143</v>
      </c>
      <c r="BA28" s="3"/>
      <c r="BB28" s="3"/>
      <c r="BC28" s="3"/>
      <c r="BD28" s="3"/>
      <c r="BE28" s="3"/>
      <c r="BF28" s="3"/>
      <c r="BG28" s="3"/>
      <c r="BH28" s="3"/>
      <c r="BI28" s="3"/>
      <c r="BJ28" s="3"/>
      <c r="BK28" s="3"/>
      <c r="BL28" s="3"/>
      <c r="BM28" s="3"/>
      <c r="BN28" s="3"/>
      <c r="BO28" s="3"/>
      <c r="BP28" s="116">
        <f>IFERROR(VLOOKUP(_tPE26_29_Consolidada[[#This Row], [ID Financeiro]],'[4]PE 25-29'!$B:$AF,31,FALSE),0)</f>
      </c>
      <c r="BQ28" s="116">
        <f>_tPE26_29_Consolidada[[#This Row], [2026]]*1000</f>
      </c>
      <c r="BR28" s="117">
        <f>_tPE26_29_Consolidada[[#This Row], [Orçado 2026 (PE25-29)]]-_tPE26_29_Consolidada[[#This Row], [Orçado 2026 (PE26-30)]]</f>
      </c>
      <c r="BS28" s="117">
        <f>IFERROR(VLOOKUP(_tPE26_29_Consolidada[[#This Row], [ID Financeiro]],'[4]PE 25-29'!$B:$AT,45,FALSE),0)</f>
      </c>
      <c r="BT28" s="117">
        <f>_tPE26_29_Consolidada[[#This Row], [2026-2030]]*1000</f>
      </c>
      <c r="BU28" s="117">
        <f>-_tPE26_29_Consolidada[[#This Row], [Orçado 26/30 (PE25-29)]]+_tPE26_29_Consolidada[[#This Row], [Orçado 26/30 (PE26-30)]]</f>
      </c>
      <c r="BV28" s="22">
        <f>IFERROR(_tPE26_29_Consolidada[[#This Row], [Dif2]]/_tPE26_29_Consolidada[[#This Row], [Orçado 26/30 (PE25-29)]],0)</f>
      </c>
      <c r="BW28" s="1"/>
      <c r="BX28" s="1"/>
      <c r="BY28" s="1"/>
      <c r="BZ28" s="1"/>
      <c r="CA28" s="1"/>
      <c r="CB28" s="1"/>
      <c r="CC28" s="1"/>
      <c r="CD28" s="1"/>
      <c r="CE28" s="1"/>
      <c r="CF28" s="1"/>
      <c r="CG28" s="1"/>
      <c r="CH28" s="1"/>
      <c r="CI28" s="1"/>
      <c r="CJ28" s="1"/>
      <c r="CK28" s="1"/>
      <c r="CL28" s="1"/>
      <c r="CM28" s="1"/>
      <c r="CN28" s="1"/>
      <c r="CO28" s="1"/>
      <c r="CP28" s="1"/>
      <c r="CQ28" s="111"/>
      <c r="CR28" s="111"/>
      <c r="CS28" s="111"/>
      <c r="CT28" s="111"/>
      <c r="CU28" s="111"/>
      <c r="CV28" s="111"/>
      <c r="CW28" s="111"/>
      <c r="CX28" s="111"/>
      <c r="CY28" s="111"/>
      <c r="CZ28" s="111"/>
      <c r="DA28" s="111"/>
      <c r="DB28" s="111"/>
      <c r="DC28" s="111"/>
      <c r="DD28" s="111"/>
      <c r="DE28" s="111"/>
      <c r="DF28" s="111"/>
      <c r="DG28" s="111"/>
      <c r="DH28" s="111"/>
      <c r="DI28" s="111"/>
      <c r="DJ28" s="111"/>
      <c r="DK28" s="111"/>
      <c r="DL28" s="111"/>
      <c r="DM28" s="111"/>
      <c r="DN28" s="111"/>
      <c r="DO28" s="111"/>
      <c r="DP28" s="111"/>
      <c r="DQ28" s="111"/>
      <c r="DR28" s="111"/>
      <c r="DS28" s="111"/>
      <c r="DT28" s="111"/>
      <c r="DU28" s="111"/>
      <c r="DV28" s="111"/>
      <c r="DW28" s="111"/>
      <c r="DX28" s="111"/>
      <c r="DY28" s="111"/>
      <c r="DZ28" s="111"/>
      <c r="EA28" s="111"/>
      <c r="EB28" s="111"/>
      <c r="EC28" s="111"/>
      <c r="ED28" s="111"/>
      <c r="EE28" s="111"/>
      <c r="EF28" s="111"/>
      <c r="EG28" s="111"/>
      <c r="EH28" s="111"/>
      <c r="EI28" s="111"/>
      <c r="EJ28" s="111"/>
      <c r="EK28" s="111"/>
      <c r="EL28" s="111"/>
      <c r="EM28" s="111"/>
      <c r="EN28" s="111"/>
      <c r="EO28" s="111"/>
      <c r="EP28" s="111"/>
      <c r="EQ28" s="111"/>
      <c r="ER28" s="111"/>
      <c r="ES28" s="111"/>
      <c r="ET28" s="111"/>
      <c r="EU28" s="111"/>
      <c r="EV28" s="111"/>
      <c r="EW28" s="111"/>
      <c r="EX28" s="111"/>
      <c r="EY28" s="111"/>
      <c r="EZ28" s="111"/>
      <c r="FA28" s="2"/>
      <c r="FB28" s="2"/>
      <c r="FC28" s="2"/>
      <c r="FD28" s="2"/>
      <c r="FE28" s="2"/>
      <c r="FF28" s="2"/>
    </row>
    <row x14ac:dyDescent="0.25" r="29" customHeight="1" ht="18.75">
      <c r="A29" s="3"/>
      <c r="B29" s="118" t="s">
        <v>39052</v>
      </c>
      <c r="C29" s="3" t="s">
        <v>39053</v>
      </c>
      <c r="D29" s="3" t="s">
        <v>8</v>
      </c>
      <c r="E29" s="3" t="s">
        <v>38983</v>
      </c>
      <c r="F29" s="3"/>
      <c r="G29" s="3" t="s">
        <v>39144</v>
      </c>
      <c r="H29" s="3" t="s">
        <v>10</v>
      </c>
      <c r="I29" s="3" t="s">
        <v>86</v>
      </c>
      <c r="J29" s="3" t="s">
        <v>5</v>
      </c>
      <c r="K29" s="113" t="s">
        <v>16</v>
      </c>
      <c r="L29" s="3" t="s">
        <v>67</v>
      </c>
      <c r="M29" s="3" t="s">
        <v>39055</v>
      </c>
      <c r="N29" s="3"/>
      <c r="O29" s="3"/>
      <c r="P29" s="3"/>
      <c r="Q29" s="3" t="s">
        <v>39145</v>
      </c>
      <c r="R29" s="3" t="s">
        <v>39057</v>
      </c>
      <c r="S29" s="3" t="s">
        <v>39133</v>
      </c>
      <c r="T29" s="114">
        <v>5000</v>
      </c>
      <c r="U29" s="114">
        <v>5000</v>
      </c>
      <c r="V29" s="114">
        <v>5000</v>
      </c>
      <c r="W29" s="114">
        <v>5000</v>
      </c>
      <c r="X29" s="114">
        <v>5000</v>
      </c>
      <c r="Y29" s="114">
        <v>5000</v>
      </c>
      <c r="Z29" s="114">
        <v>0</v>
      </c>
      <c r="AA29" s="114">
        <v>0</v>
      </c>
      <c r="AB29" s="114">
        <v>0</v>
      </c>
      <c r="AC29" s="114">
        <v>2600000</v>
      </c>
      <c r="AD29" s="114">
        <v>470000</v>
      </c>
      <c r="AE29" s="114">
        <v>2000000</v>
      </c>
      <c r="AF29" s="114">
        <v>5100000</v>
      </c>
      <c r="AG29" s="114">
        <v>2000000</v>
      </c>
      <c r="AH29" s="114">
        <v>0</v>
      </c>
      <c r="AI29" s="114">
        <v>0</v>
      </c>
      <c r="AJ29" s="114">
        <v>0</v>
      </c>
      <c r="AK29" s="114">
        <v>7100000</v>
      </c>
      <c r="AL29" s="114">
        <v>0</v>
      </c>
      <c r="AM29" s="114">
        <v>0</v>
      </c>
      <c r="AN29" s="114">
        <v>0</v>
      </c>
      <c r="AO29" s="114">
        <v>0</v>
      </c>
      <c r="AP29" s="114">
        <v>0</v>
      </c>
      <c r="AQ29" s="114">
        <v>7100000</v>
      </c>
      <c r="AR29" s="22">
        <v>146</v>
      </c>
      <c r="AS29" s="3" t="s">
        <v>39059</v>
      </c>
      <c r="AT29" s="115" t="s">
        <v>39060</v>
      </c>
      <c r="AU29" s="113" t="s">
        <v>39146</v>
      </c>
      <c r="AV29" s="3"/>
      <c r="AW29" s="3" t="s">
        <v>39062</v>
      </c>
      <c r="AX29" s="8" t="s">
        <v>39145</v>
      </c>
      <c r="AY29" s="8" t="s">
        <v>39139</v>
      </c>
      <c r="AZ29" s="3" t="s">
        <v>39068</v>
      </c>
      <c r="BA29" s="3"/>
      <c r="BB29" s="3"/>
      <c r="BC29" s="3"/>
      <c r="BD29" s="3"/>
      <c r="BE29" s="3"/>
      <c r="BF29" s="3"/>
      <c r="BG29" s="3"/>
      <c r="BH29" s="3"/>
      <c r="BI29" s="3"/>
      <c r="BJ29" s="3"/>
      <c r="BK29" s="3"/>
      <c r="BL29" s="3"/>
      <c r="BM29" s="3"/>
      <c r="BN29" s="3"/>
      <c r="BO29" s="3"/>
      <c r="BP29" s="116">
        <f>IFERROR(VLOOKUP(_tPE26_29_Consolidada[[#This Row], [ID Financeiro]],'[4]PE 25-29'!$B:$AF,31,FALSE),0)</f>
      </c>
      <c r="BQ29" s="116">
        <f>_tPE26_29_Consolidada[[#This Row], [2026]]*1000</f>
      </c>
      <c r="BR29" s="117">
        <f>_tPE26_29_Consolidada[[#This Row], [Orçado 2026 (PE25-29)]]-_tPE26_29_Consolidada[[#This Row], [Orçado 2026 (PE26-30)]]</f>
      </c>
      <c r="BS29" s="117">
        <f>IFERROR(VLOOKUP(_tPE26_29_Consolidada[[#This Row], [ID Financeiro]],'[4]PE 25-29'!$B:$AT,45,FALSE),0)</f>
      </c>
      <c r="BT29" s="117">
        <f>_tPE26_29_Consolidada[[#This Row], [2026-2030]]*1000</f>
      </c>
      <c r="BU29" s="117">
        <f>-_tPE26_29_Consolidada[[#This Row], [Orçado 26/30 (PE25-29)]]+_tPE26_29_Consolidada[[#This Row], [Orçado 26/30 (PE26-30)]]</f>
      </c>
      <c r="BV29" s="22">
        <f>IFERROR(_tPE26_29_Consolidada[[#This Row], [Dif2]]/_tPE26_29_Consolidada[[#This Row], [Orçado 26/30 (PE25-29)]],0)</f>
      </c>
      <c r="BW29" s="1"/>
      <c r="BX29" s="1"/>
      <c r="BY29" s="1"/>
      <c r="BZ29" s="1"/>
      <c r="CA29" s="1"/>
      <c r="CB29" s="1"/>
      <c r="CC29" s="1"/>
      <c r="CD29" s="1"/>
      <c r="CE29" s="1"/>
      <c r="CF29" s="1"/>
      <c r="CG29" s="1"/>
      <c r="CH29" s="1"/>
      <c r="CI29" s="1"/>
      <c r="CJ29" s="1"/>
      <c r="CK29" s="1"/>
      <c r="CL29" s="1"/>
      <c r="CM29" s="1"/>
      <c r="CN29" s="1"/>
      <c r="CO29" s="1"/>
      <c r="CP29" s="1"/>
      <c r="CQ29" s="111"/>
      <c r="CR29" s="111"/>
      <c r="CS29" s="111"/>
      <c r="CT29" s="111"/>
      <c r="CU29" s="111"/>
      <c r="CV29" s="111"/>
      <c r="CW29" s="111"/>
      <c r="CX29" s="111"/>
      <c r="CY29" s="111"/>
      <c r="CZ29" s="111"/>
      <c r="DA29" s="111"/>
      <c r="DB29" s="111"/>
      <c r="DC29" s="111"/>
      <c r="DD29" s="111"/>
      <c r="DE29" s="111"/>
      <c r="DF29" s="111"/>
      <c r="DG29" s="111"/>
      <c r="DH29" s="111"/>
      <c r="DI29" s="111"/>
      <c r="DJ29" s="111"/>
      <c r="DK29" s="111"/>
      <c r="DL29" s="111"/>
      <c r="DM29" s="111"/>
      <c r="DN29" s="111"/>
      <c r="DO29" s="111"/>
      <c r="DP29" s="111"/>
      <c r="DQ29" s="111"/>
      <c r="DR29" s="111"/>
      <c r="DS29" s="111"/>
      <c r="DT29" s="111"/>
      <c r="DU29" s="111"/>
      <c r="DV29" s="111"/>
      <c r="DW29" s="111"/>
      <c r="DX29" s="111"/>
      <c r="DY29" s="111"/>
      <c r="DZ29" s="111"/>
      <c r="EA29" s="111"/>
      <c r="EB29" s="111"/>
      <c r="EC29" s="111"/>
      <c r="ED29" s="111"/>
      <c r="EE29" s="111"/>
      <c r="EF29" s="111"/>
      <c r="EG29" s="111"/>
      <c r="EH29" s="111"/>
      <c r="EI29" s="111"/>
      <c r="EJ29" s="111"/>
      <c r="EK29" s="111"/>
      <c r="EL29" s="111"/>
      <c r="EM29" s="111"/>
      <c r="EN29" s="111"/>
      <c r="EO29" s="111"/>
      <c r="EP29" s="111"/>
      <c r="EQ29" s="111"/>
      <c r="ER29" s="111"/>
      <c r="ES29" s="111"/>
      <c r="ET29" s="111"/>
      <c r="EU29" s="111"/>
      <c r="EV29" s="111"/>
      <c r="EW29" s="111"/>
      <c r="EX29" s="111"/>
      <c r="EY29" s="111"/>
      <c r="EZ29" s="111"/>
      <c r="FA29" s="2"/>
      <c r="FB29" s="2"/>
      <c r="FC29" s="2"/>
      <c r="FD29" s="2"/>
      <c r="FE29" s="2"/>
      <c r="FF29" s="2"/>
    </row>
    <row x14ac:dyDescent="0.25" r="30" customHeight="1" ht="18.75">
      <c r="A30" s="3"/>
      <c r="B30" s="118" t="s">
        <v>39052</v>
      </c>
      <c r="C30" s="3" t="s">
        <v>39053</v>
      </c>
      <c r="D30" s="3" t="s">
        <v>8</v>
      </c>
      <c r="E30" s="3" t="s">
        <v>38983</v>
      </c>
      <c r="F30" s="3"/>
      <c r="G30" s="3" t="s">
        <v>39147</v>
      </c>
      <c r="H30" s="3" t="s">
        <v>10</v>
      </c>
      <c r="I30" s="3" t="s">
        <v>86</v>
      </c>
      <c r="J30" s="3" t="s">
        <v>5</v>
      </c>
      <c r="K30" s="113" t="s">
        <v>16</v>
      </c>
      <c r="L30" s="3" t="s">
        <v>67</v>
      </c>
      <c r="M30" s="3" t="s">
        <v>39055</v>
      </c>
      <c r="N30" s="3"/>
      <c r="O30" s="3"/>
      <c r="P30" s="3"/>
      <c r="Q30" s="3" t="s">
        <v>39148</v>
      </c>
      <c r="R30" s="3" t="s">
        <v>39057</v>
      </c>
      <c r="S30" s="3" t="s">
        <v>39133</v>
      </c>
      <c r="T30" s="114">
        <v>0</v>
      </c>
      <c r="U30" s="114">
        <v>0</v>
      </c>
      <c r="V30" s="114">
        <v>0</v>
      </c>
      <c r="W30" s="114">
        <v>0</v>
      </c>
      <c r="X30" s="114">
        <v>0</v>
      </c>
      <c r="Y30" s="114">
        <v>0</v>
      </c>
      <c r="Z30" s="114">
        <v>0</v>
      </c>
      <c r="AA30" s="114">
        <v>0</v>
      </c>
      <c r="AB30" s="114">
        <v>0</v>
      </c>
      <c r="AC30" s="114">
        <v>200000</v>
      </c>
      <c r="AD30" s="114">
        <v>200000</v>
      </c>
      <c r="AE30" s="114">
        <v>0</v>
      </c>
      <c r="AF30" s="114">
        <v>400000</v>
      </c>
      <c r="AG30" s="114">
        <v>0</v>
      </c>
      <c r="AH30" s="114">
        <v>0</v>
      </c>
      <c r="AI30" s="114">
        <v>0</v>
      </c>
      <c r="AJ30" s="114">
        <v>0</v>
      </c>
      <c r="AK30" s="114">
        <v>400000</v>
      </c>
      <c r="AL30" s="114">
        <v>0</v>
      </c>
      <c r="AM30" s="114">
        <v>0</v>
      </c>
      <c r="AN30" s="114">
        <v>0</v>
      </c>
      <c r="AO30" s="114">
        <v>0</v>
      </c>
      <c r="AP30" s="114">
        <v>0</v>
      </c>
      <c r="AQ30" s="114">
        <v>400000</v>
      </c>
      <c r="AR30" s="22">
        <v>163</v>
      </c>
      <c r="AS30" s="3" t="s">
        <v>39059</v>
      </c>
      <c r="AT30" s="115" t="s">
        <v>39060</v>
      </c>
      <c r="AU30" s="113" t="s">
        <v>39149</v>
      </c>
      <c r="AV30" s="3"/>
      <c r="AW30" s="3" t="s">
        <v>39062</v>
      </c>
      <c r="AX30" s="8" t="s">
        <v>39148</v>
      </c>
      <c r="AY30" s="8" t="s">
        <v>39139</v>
      </c>
      <c r="AZ30" s="3" t="s">
        <v>39135</v>
      </c>
      <c r="BA30" s="3"/>
      <c r="BB30" s="3"/>
      <c r="BC30" s="3"/>
      <c r="BD30" s="3"/>
      <c r="BE30" s="3"/>
      <c r="BF30" s="3"/>
      <c r="BG30" s="3"/>
      <c r="BH30" s="3"/>
      <c r="BI30" s="3"/>
      <c r="BJ30" s="3"/>
      <c r="BK30" s="3"/>
      <c r="BL30" s="3"/>
      <c r="BM30" s="3"/>
      <c r="BN30" s="3"/>
      <c r="BO30" s="3"/>
      <c r="BP30" s="116">
        <f>IFERROR(VLOOKUP(_tPE26_29_Consolidada[[#This Row], [ID Financeiro]],'[4]PE 25-29'!$B:$AF,31,FALSE),0)</f>
      </c>
      <c r="BQ30" s="116">
        <f>_tPE26_29_Consolidada[[#This Row], [2026]]*1000</f>
      </c>
      <c r="BR30" s="117">
        <f>_tPE26_29_Consolidada[[#This Row], [Orçado 2026 (PE25-29)]]-_tPE26_29_Consolidada[[#This Row], [Orçado 2026 (PE26-30)]]</f>
      </c>
      <c r="BS30" s="117">
        <f>IFERROR(VLOOKUP(_tPE26_29_Consolidada[[#This Row], [ID Financeiro]],'[4]PE 25-29'!$B:$AT,45,FALSE),0)</f>
      </c>
      <c r="BT30" s="117">
        <f>_tPE26_29_Consolidada[[#This Row], [2026-2030]]*1000</f>
      </c>
      <c r="BU30" s="117">
        <f>-_tPE26_29_Consolidada[[#This Row], [Orçado 26/30 (PE25-29)]]+_tPE26_29_Consolidada[[#This Row], [Orçado 26/30 (PE26-30)]]</f>
      </c>
      <c r="BV30" s="22">
        <f>IFERROR(_tPE26_29_Consolidada[[#This Row], [Dif2]]/_tPE26_29_Consolidada[[#This Row], [Orçado 26/30 (PE25-29)]],0)</f>
      </c>
      <c r="BW30" s="1"/>
      <c r="BX30" s="1"/>
      <c r="BY30" s="1"/>
      <c r="BZ30" s="1"/>
      <c r="CA30" s="1"/>
      <c r="CB30" s="1"/>
      <c r="CC30" s="1"/>
      <c r="CD30" s="1"/>
      <c r="CE30" s="1"/>
      <c r="CF30" s="1"/>
      <c r="CG30" s="1"/>
      <c r="CH30" s="1"/>
      <c r="CI30" s="1"/>
      <c r="CJ30" s="1"/>
      <c r="CK30" s="1"/>
      <c r="CL30" s="1"/>
      <c r="CM30" s="1"/>
      <c r="CN30" s="1"/>
      <c r="CO30" s="1"/>
      <c r="CP30" s="1"/>
      <c r="CQ30" s="111"/>
      <c r="CR30" s="111"/>
      <c r="CS30" s="111"/>
      <c r="CT30" s="111"/>
      <c r="CU30" s="111"/>
      <c r="CV30" s="111"/>
      <c r="CW30" s="111"/>
      <c r="CX30" s="111"/>
      <c r="CY30" s="111"/>
      <c r="CZ30" s="111"/>
      <c r="DA30" s="111"/>
      <c r="DB30" s="111"/>
      <c r="DC30" s="111"/>
      <c r="DD30" s="111"/>
      <c r="DE30" s="111"/>
      <c r="DF30" s="111"/>
      <c r="DG30" s="111"/>
      <c r="DH30" s="111"/>
      <c r="DI30" s="111"/>
      <c r="DJ30" s="111"/>
      <c r="DK30" s="111"/>
      <c r="DL30" s="111"/>
      <c r="DM30" s="111"/>
      <c r="DN30" s="111"/>
      <c r="DO30" s="111"/>
      <c r="DP30" s="111"/>
      <c r="DQ30" s="111"/>
      <c r="DR30" s="111"/>
      <c r="DS30" s="111"/>
      <c r="DT30" s="111"/>
      <c r="DU30" s="111"/>
      <c r="DV30" s="111"/>
      <c r="DW30" s="111"/>
      <c r="DX30" s="111"/>
      <c r="DY30" s="111"/>
      <c r="DZ30" s="111"/>
      <c r="EA30" s="111"/>
      <c r="EB30" s="111"/>
      <c r="EC30" s="111"/>
      <c r="ED30" s="111"/>
      <c r="EE30" s="111"/>
      <c r="EF30" s="111"/>
      <c r="EG30" s="111"/>
      <c r="EH30" s="111"/>
      <c r="EI30" s="111"/>
      <c r="EJ30" s="111"/>
      <c r="EK30" s="111"/>
      <c r="EL30" s="111"/>
      <c r="EM30" s="111"/>
      <c r="EN30" s="111"/>
      <c r="EO30" s="111"/>
      <c r="EP30" s="111"/>
      <c r="EQ30" s="111"/>
      <c r="ER30" s="111"/>
      <c r="ES30" s="111"/>
      <c r="ET30" s="111"/>
      <c r="EU30" s="111"/>
      <c r="EV30" s="111"/>
      <c r="EW30" s="111"/>
      <c r="EX30" s="111"/>
      <c r="EY30" s="111"/>
      <c r="EZ30" s="111"/>
      <c r="FA30" s="2"/>
      <c r="FB30" s="2"/>
      <c r="FC30" s="2"/>
      <c r="FD30" s="2"/>
      <c r="FE30" s="2"/>
      <c r="FF30" s="2"/>
    </row>
    <row x14ac:dyDescent="0.25" r="31" customHeight="1" ht="18.75">
      <c r="A31" s="3"/>
      <c r="B31" s="118" t="s">
        <v>39052</v>
      </c>
      <c r="C31" s="3" t="s">
        <v>39053</v>
      </c>
      <c r="D31" s="3" t="s">
        <v>8</v>
      </c>
      <c r="E31" s="3" t="s">
        <v>38983</v>
      </c>
      <c r="F31" s="3"/>
      <c r="G31" s="3" t="s">
        <v>39150</v>
      </c>
      <c r="H31" s="3" t="s">
        <v>10</v>
      </c>
      <c r="I31" s="3" t="s">
        <v>86</v>
      </c>
      <c r="J31" s="3" t="s">
        <v>5</v>
      </c>
      <c r="K31" s="113" t="s">
        <v>16</v>
      </c>
      <c r="L31" s="3" t="s">
        <v>67</v>
      </c>
      <c r="M31" s="3" t="s">
        <v>39055</v>
      </c>
      <c r="N31" s="3"/>
      <c r="O31" s="3"/>
      <c r="P31" s="3"/>
      <c r="Q31" s="3" t="s">
        <v>39151</v>
      </c>
      <c r="R31" s="3" t="s">
        <v>39057</v>
      </c>
      <c r="S31" s="3" t="s">
        <v>39133</v>
      </c>
      <c r="T31" s="114">
        <v>0</v>
      </c>
      <c r="U31" s="114">
        <v>0</v>
      </c>
      <c r="V31" s="114">
        <v>0</v>
      </c>
      <c r="W31" s="114">
        <v>0</v>
      </c>
      <c r="X31" s="114">
        <v>0</v>
      </c>
      <c r="Y31" s="114">
        <v>0</v>
      </c>
      <c r="Z31" s="114">
        <v>0</v>
      </c>
      <c r="AA31" s="114">
        <v>0</v>
      </c>
      <c r="AB31" s="114">
        <v>0</v>
      </c>
      <c r="AC31" s="114">
        <v>0</v>
      </c>
      <c r="AD31" s="114">
        <v>0</v>
      </c>
      <c r="AE31" s="114">
        <v>2000000</v>
      </c>
      <c r="AF31" s="114">
        <v>2000000</v>
      </c>
      <c r="AG31" s="114">
        <v>6000000</v>
      </c>
      <c r="AH31" s="114">
        <v>0</v>
      </c>
      <c r="AI31" s="114">
        <v>0</v>
      </c>
      <c r="AJ31" s="114">
        <v>0</v>
      </c>
      <c r="AK31" s="114">
        <v>8000000</v>
      </c>
      <c r="AL31" s="114">
        <v>0</v>
      </c>
      <c r="AM31" s="114">
        <v>0</v>
      </c>
      <c r="AN31" s="114">
        <v>0</v>
      </c>
      <c r="AO31" s="114">
        <v>0</v>
      </c>
      <c r="AP31" s="114">
        <v>0</v>
      </c>
      <c r="AQ31" s="114">
        <v>8000000</v>
      </c>
      <c r="AR31" s="22">
        <v>149</v>
      </c>
      <c r="AS31" s="3" t="s">
        <v>39059</v>
      </c>
      <c r="AT31" s="115" t="s">
        <v>39060</v>
      </c>
      <c r="AU31" s="113" t="s">
        <v>39152</v>
      </c>
      <c r="AV31" s="3"/>
      <c r="AW31" s="3" t="s">
        <v>39062</v>
      </c>
      <c r="AX31" s="8" t="s">
        <v>39151</v>
      </c>
      <c r="AY31" s="8" t="s">
        <v>39139</v>
      </c>
      <c r="AZ31" s="3" t="s">
        <v>39135</v>
      </c>
      <c r="BA31" s="3"/>
      <c r="BB31" s="3"/>
      <c r="BC31" s="3"/>
      <c r="BD31" s="3"/>
      <c r="BE31" s="3"/>
      <c r="BF31" s="3"/>
      <c r="BG31" s="3"/>
      <c r="BH31" s="3"/>
      <c r="BI31" s="3"/>
      <c r="BJ31" s="3"/>
      <c r="BK31" s="3"/>
      <c r="BL31" s="3"/>
      <c r="BM31" s="3"/>
      <c r="BN31" s="3"/>
      <c r="BO31" s="3"/>
      <c r="BP31" s="116">
        <f>IFERROR(VLOOKUP(_tPE26_29_Consolidada[[#This Row], [ID Financeiro]],'[4]PE 25-29'!$B:$AF,31,FALSE),0)</f>
      </c>
      <c r="BQ31" s="116">
        <f>_tPE26_29_Consolidada[[#This Row], [2026]]*1000</f>
      </c>
      <c r="BR31" s="117">
        <f>_tPE26_29_Consolidada[[#This Row], [Orçado 2026 (PE25-29)]]-_tPE26_29_Consolidada[[#This Row], [Orçado 2026 (PE26-30)]]</f>
      </c>
      <c r="BS31" s="117">
        <f>IFERROR(VLOOKUP(_tPE26_29_Consolidada[[#This Row], [ID Financeiro]],'[4]PE 25-29'!$B:$AT,45,FALSE),0)</f>
      </c>
      <c r="BT31" s="117">
        <f>_tPE26_29_Consolidada[[#This Row], [2026-2030]]*1000</f>
      </c>
      <c r="BU31" s="117">
        <f>-_tPE26_29_Consolidada[[#This Row], [Orçado 26/30 (PE25-29)]]+_tPE26_29_Consolidada[[#This Row], [Orçado 26/30 (PE26-30)]]</f>
      </c>
      <c r="BV31" s="22">
        <f>IFERROR(_tPE26_29_Consolidada[[#This Row], [Dif2]]/_tPE26_29_Consolidada[[#This Row], [Orçado 26/30 (PE25-29)]],0)</f>
      </c>
      <c r="BW31" s="1"/>
      <c r="BX31" s="1"/>
      <c r="BY31" s="1"/>
      <c r="BZ31" s="1"/>
      <c r="CA31" s="1"/>
      <c r="CB31" s="1"/>
      <c r="CC31" s="1"/>
      <c r="CD31" s="1"/>
      <c r="CE31" s="1"/>
      <c r="CF31" s="1"/>
      <c r="CG31" s="1"/>
      <c r="CH31" s="1"/>
      <c r="CI31" s="1"/>
      <c r="CJ31" s="1"/>
      <c r="CK31" s="1"/>
      <c r="CL31" s="1"/>
      <c r="CM31" s="1"/>
      <c r="CN31" s="1"/>
      <c r="CO31" s="1"/>
      <c r="CP31" s="1"/>
      <c r="CQ31" s="111"/>
      <c r="CR31" s="111"/>
      <c r="CS31" s="111"/>
      <c r="CT31" s="111"/>
      <c r="CU31" s="111"/>
      <c r="CV31" s="111"/>
      <c r="CW31" s="111"/>
      <c r="CX31" s="111"/>
      <c r="CY31" s="111"/>
      <c r="CZ31" s="111"/>
      <c r="DA31" s="111"/>
      <c r="DB31" s="111"/>
      <c r="DC31" s="111"/>
      <c r="DD31" s="111"/>
      <c r="DE31" s="111"/>
      <c r="DF31" s="111"/>
      <c r="DG31" s="111"/>
      <c r="DH31" s="111"/>
      <c r="DI31" s="111"/>
      <c r="DJ31" s="111"/>
      <c r="DK31" s="111"/>
      <c r="DL31" s="111"/>
      <c r="DM31" s="111"/>
      <c r="DN31" s="111"/>
      <c r="DO31" s="111"/>
      <c r="DP31" s="111"/>
      <c r="DQ31" s="111"/>
      <c r="DR31" s="111"/>
      <c r="DS31" s="111"/>
      <c r="DT31" s="111"/>
      <c r="DU31" s="111"/>
      <c r="DV31" s="111"/>
      <c r="DW31" s="111"/>
      <c r="DX31" s="111"/>
      <c r="DY31" s="111"/>
      <c r="DZ31" s="111"/>
      <c r="EA31" s="111"/>
      <c r="EB31" s="111"/>
      <c r="EC31" s="111"/>
      <c r="ED31" s="111"/>
      <c r="EE31" s="111"/>
      <c r="EF31" s="111"/>
      <c r="EG31" s="111"/>
      <c r="EH31" s="111"/>
      <c r="EI31" s="111"/>
      <c r="EJ31" s="111"/>
      <c r="EK31" s="111"/>
      <c r="EL31" s="111"/>
      <c r="EM31" s="111"/>
      <c r="EN31" s="111"/>
      <c r="EO31" s="111"/>
      <c r="EP31" s="111"/>
      <c r="EQ31" s="111"/>
      <c r="ER31" s="111"/>
      <c r="ES31" s="111"/>
      <c r="ET31" s="111"/>
      <c r="EU31" s="111"/>
      <c r="EV31" s="111"/>
      <c r="EW31" s="111"/>
      <c r="EX31" s="111"/>
      <c r="EY31" s="111"/>
      <c r="EZ31" s="111"/>
      <c r="FA31" s="2"/>
      <c r="FB31" s="2"/>
      <c r="FC31" s="2"/>
      <c r="FD31" s="2"/>
      <c r="FE31" s="2"/>
      <c r="FF31" s="2"/>
    </row>
    <row x14ac:dyDescent="0.25" r="32" customHeight="1" ht="18.75">
      <c r="A32" s="3"/>
      <c r="B32" s="118" t="s">
        <v>39052</v>
      </c>
      <c r="C32" s="3" t="s">
        <v>39053</v>
      </c>
      <c r="D32" s="3" t="s">
        <v>8</v>
      </c>
      <c r="E32" s="3" t="s">
        <v>38983</v>
      </c>
      <c r="F32" s="3"/>
      <c r="G32" s="3" t="s">
        <v>39153</v>
      </c>
      <c r="H32" s="3" t="s">
        <v>10</v>
      </c>
      <c r="I32" s="3" t="s">
        <v>86</v>
      </c>
      <c r="J32" s="3" t="s">
        <v>5</v>
      </c>
      <c r="K32" s="113" t="s">
        <v>16</v>
      </c>
      <c r="L32" s="3" t="s">
        <v>67</v>
      </c>
      <c r="M32" s="3" t="s">
        <v>39055</v>
      </c>
      <c r="N32" s="3"/>
      <c r="O32" s="3"/>
      <c r="P32" s="3"/>
      <c r="Q32" s="3" t="s">
        <v>39154</v>
      </c>
      <c r="R32" s="3" t="s">
        <v>39155</v>
      </c>
      <c r="S32" s="3" t="s">
        <v>39133</v>
      </c>
      <c r="T32" s="114">
        <v>0</v>
      </c>
      <c r="U32" s="114">
        <v>0</v>
      </c>
      <c r="V32" s="114">
        <v>5000</v>
      </c>
      <c r="W32" s="114">
        <v>5000</v>
      </c>
      <c r="X32" s="114">
        <v>5000</v>
      </c>
      <c r="Y32" s="114">
        <v>5000</v>
      </c>
      <c r="Z32" s="114">
        <v>5000</v>
      </c>
      <c r="AA32" s="114">
        <v>5000</v>
      </c>
      <c r="AB32" s="114">
        <v>5000</v>
      </c>
      <c r="AC32" s="114">
        <v>5000</v>
      </c>
      <c r="AD32" s="114">
        <v>5000</v>
      </c>
      <c r="AE32" s="114">
        <v>5000</v>
      </c>
      <c r="AF32" s="114">
        <v>50000</v>
      </c>
      <c r="AG32" s="114">
        <v>500000</v>
      </c>
      <c r="AH32" s="114">
        <v>0</v>
      </c>
      <c r="AI32" s="114">
        <v>0</v>
      </c>
      <c r="AJ32" s="114">
        <v>0</v>
      </c>
      <c r="AK32" s="114">
        <v>550000</v>
      </c>
      <c r="AL32" s="114">
        <v>0</v>
      </c>
      <c r="AM32" s="114">
        <v>0</v>
      </c>
      <c r="AN32" s="114">
        <v>0</v>
      </c>
      <c r="AO32" s="114">
        <v>0</v>
      </c>
      <c r="AP32" s="114">
        <v>0</v>
      </c>
      <c r="AQ32" s="114">
        <v>550000</v>
      </c>
      <c r="AR32" s="22">
        <v>171</v>
      </c>
      <c r="AS32" s="3" t="s">
        <v>39156</v>
      </c>
      <c r="AT32" s="115" t="s">
        <v>39060</v>
      </c>
      <c r="AU32" s="113" t="s">
        <v>39157</v>
      </c>
      <c r="AV32" s="3"/>
      <c r="AW32" s="3" t="s">
        <v>39062</v>
      </c>
      <c r="AX32" s="8" t="s">
        <v>39154</v>
      </c>
      <c r="AY32" s="8" t="s">
        <v>39139</v>
      </c>
      <c r="AZ32" s="3" t="s">
        <v>39158</v>
      </c>
      <c r="BA32" s="3"/>
      <c r="BB32" s="3"/>
      <c r="BC32" s="3"/>
      <c r="BD32" s="3"/>
      <c r="BE32" s="3"/>
      <c r="BF32" s="3"/>
      <c r="BG32" s="3"/>
      <c r="BH32" s="3"/>
      <c r="BI32" s="3"/>
      <c r="BJ32" s="3"/>
      <c r="BK32" s="3"/>
      <c r="BL32" s="3"/>
      <c r="BM32" s="3"/>
      <c r="BN32" s="3"/>
      <c r="BO32" s="3"/>
      <c r="BP32" s="116">
        <f>IFERROR(VLOOKUP(_tPE26_29_Consolidada[[#This Row], [ID Financeiro]],'[4]PE 25-29'!$B:$AF,31,FALSE),0)</f>
      </c>
      <c r="BQ32" s="116">
        <f>_tPE26_29_Consolidada[[#This Row], [2026]]*1000</f>
      </c>
      <c r="BR32" s="117">
        <f>_tPE26_29_Consolidada[[#This Row], [Orçado 2026 (PE25-29)]]-_tPE26_29_Consolidada[[#This Row], [Orçado 2026 (PE26-30)]]</f>
      </c>
      <c r="BS32" s="117">
        <f>IFERROR(VLOOKUP(_tPE26_29_Consolidada[[#This Row], [ID Financeiro]],'[4]PE 25-29'!$B:$AT,45,FALSE),0)</f>
      </c>
      <c r="BT32" s="117">
        <f>_tPE26_29_Consolidada[[#This Row], [2026-2030]]*1000</f>
      </c>
      <c r="BU32" s="117">
        <f>-_tPE26_29_Consolidada[[#This Row], [Orçado 26/30 (PE25-29)]]+_tPE26_29_Consolidada[[#This Row], [Orçado 26/30 (PE26-30)]]</f>
      </c>
      <c r="BV32" s="22">
        <f>IFERROR(_tPE26_29_Consolidada[[#This Row], [Dif2]]/_tPE26_29_Consolidada[[#This Row], [Orçado 26/30 (PE25-29)]],0)</f>
      </c>
      <c r="BW32" s="1"/>
      <c r="BX32" s="1"/>
      <c r="BY32" s="1"/>
      <c r="BZ32" s="1"/>
      <c r="CA32" s="1"/>
      <c r="CB32" s="1"/>
      <c r="CC32" s="1"/>
      <c r="CD32" s="1"/>
      <c r="CE32" s="1"/>
      <c r="CF32" s="1"/>
      <c r="CG32" s="1"/>
      <c r="CH32" s="1"/>
      <c r="CI32" s="1"/>
      <c r="CJ32" s="1"/>
      <c r="CK32" s="1"/>
      <c r="CL32" s="1"/>
      <c r="CM32" s="1"/>
      <c r="CN32" s="1"/>
      <c r="CO32" s="1"/>
      <c r="CP32" s="1"/>
      <c r="CQ32" s="111"/>
      <c r="CR32" s="111"/>
      <c r="CS32" s="111"/>
      <c r="CT32" s="111"/>
      <c r="CU32" s="111"/>
      <c r="CV32" s="111"/>
      <c r="CW32" s="111"/>
      <c r="CX32" s="111"/>
      <c r="CY32" s="111"/>
      <c r="CZ32" s="111"/>
      <c r="DA32" s="111"/>
      <c r="DB32" s="111"/>
      <c r="DC32" s="111"/>
      <c r="DD32" s="111"/>
      <c r="DE32" s="111"/>
      <c r="DF32" s="111"/>
      <c r="DG32" s="111"/>
      <c r="DH32" s="111"/>
      <c r="DI32" s="111"/>
      <c r="DJ32" s="111"/>
      <c r="DK32" s="111"/>
      <c r="DL32" s="111"/>
      <c r="DM32" s="111"/>
      <c r="DN32" s="111"/>
      <c r="DO32" s="111"/>
      <c r="DP32" s="111"/>
      <c r="DQ32" s="111"/>
      <c r="DR32" s="111"/>
      <c r="DS32" s="111"/>
      <c r="DT32" s="111"/>
      <c r="DU32" s="111"/>
      <c r="DV32" s="111"/>
      <c r="DW32" s="111"/>
      <c r="DX32" s="111"/>
      <c r="DY32" s="111"/>
      <c r="DZ32" s="111"/>
      <c r="EA32" s="111"/>
      <c r="EB32" s="111"/>
      <c r="EC32" s="111"/>
      <c r="ED32" s="111"/>
      <c r="EE32" s="111"/>
      <c r="EF32" s="111"/>
      <c r="EG32" s="111"/>
      <c r="EH32" s="111"/>
      <c r="EI32" s="111"/>
      <c r="EJ32" s="111"/>
      <c r="EK32" s="111"/>
      <c r="EL32" s="111"/>
      <c r="EM32" s="111"/>
      <c r="EN32" s="111"/>
      <c r="EO32" s="111"/>
      <c r="EP32" s="111"/>
      <c r="EQ32" s="111"/>
      <c r="ER32" s="111"/>
      <c r="ES32" s="111"/>
      <c r="ET32" s="111"/>
      <c r="EU32" s="111"/>
      <c r="EV32" s="111"/>
      <c r="EW32" s="111"/>
      <c r="EX32" s="111"/>
      <c r="EY32" s="111"/>
      <c r="EZ32" s="111"/>
      <c r="FA32" s="2"/>
      <c r="FB32" s="2"/>
      <c r="FC32" s="2"/>
      <c r="FD32" s="2"/>
      <c r="FE32" s="2"/>
      <c r="FF32" s="2"/>
    </row>
    <row x14ac:dyDescent="0.25" r="33" customHeight="1" ht="18.75">
      <c r="A33" s="3"/>
      <c r="B33" s="118" t="s">
        <v>39052</v>
      </c>
      <c r="C33" s="3" t="s">
        <v>39053</v>
      </c>
      <c r="D33" s="3" t="s">
        <v>8</v>
      </c>
      <c r="E33" s="3" t="s">
        <v>38983</v>
      </c>
      <c r="F33" s="3"/>
      <c r="G33" s="3" t="s">
        <v>39159</v>
      </c>
      <c r="H33" s="3" t="s">
        <v>10</v>
      </c>
      <c r="I33" s="3" t="s">
        <v>86</v>
      </c>
      <c r="J33" s="3" t="s">
        <v>5</v>
      </c>
      <c r="K33" s="113" t="s">
        <v>16</v>
      </c>
      <c r="L33" s="3" t="s">
        <v>67</v>
      </c>
      <c r="M33" s="3" t="s">
        <v>39055</v>
      </c>
      <c r="N33" s="3"/>
      <c r="O33" s="3"/>
      <c r="P33" s="3"/>
      <c r="Q33" s="3" t="s">
        <v>39160</v>
      </c>
      <c r="R33" s="3" t="s">
        <v>39057</v>
      </c>
      <c r="S33" s="3" t="s">
        <v>39133</v>
      </c>
      <c r="T33" s="114">
        <v>0</v>
      </c>
      <c r="U33" s="114">
        <v>0</v>
      </c>
      <c r="V33" s="114">
        <v>0</v>
      </c>
      <c r="W33" s="114">
        <v>0</v>
      </c>
      <c r="X33" s="114">
        <v>0</v>
      </c>
      <c r="Y33" s="114">
        <v>0</v>
      </c>
      <c r="Z33" s="114">
        <v>0</v>
      </c>
      <c r="AA33" s="114">
        <v>10000</v>
      </c>
      <c r="AB33" s="114">
        <v>10000</v>
      </c>
      <c r="AC33" s="114">
        <v>10000</v>
      </c>
      <c r="AD33" s="114">
        <v>10000</v>
      </c>
      <c r="AE33" s="114">
        <v>10000</v>
      </c>
      <c r="AF33" s="114">
        <v>50000</v>
      </c>
      <c r="AG33" s="114">
        <v>1450000</v>
      </c>
      <c r="AH33" s="114">
        <v>0</v>
      </c>
      <c r="AI33" s="114">
        <v>0</v>
      </c>
      <c r="AJ33" s="114">
        <v>0</v>
      </c>
      <c r="AK33" s="114">
        <v>1500000</v>
      </c>
      <c r="AL33" s="114">
        <v>0</v>
      </c>
      <c r="AM33" s="114">
        <v>0</v>
      </c>
      <c r="AN33" s="114">
        <v>0</v>
      </c>
      <c r="AO33" s="114">
        <v>0</v>
      </c>
      <c r="AP33" s="114">
        <v>0</v>
      </c>
      <c r="AQ33" s="114">
        <v>1500000</v>
      </c>
      <c r="AR33" s="22">
        <v>172</v>
      </c>
      <c r="AS33" s="3" t="s">
        <v>39059</v>
      </c>
      <c r="AT33" s="115" t="s">
        <v>39060</v>
      </c>
      <c r="AU33" s="113" t="s">
        <v>39161</v>
      </c>
      <c r="AV33" s="3"/>
      <c r="AW33" s="3" t="s">
        <v>39062</v>
      </c>
      <c r="AX33" s="8" t="s">
        <v>39160</v>
      </c>
      <c r="AY33" s="8" t="s">
        <v>39139</v>
      </c>
      <c r="AZ33" s="3" t="s">
        <v>39158</v>
      </c>
      <c r="BA33" s="3"/>
      <c r="BB33" s="3"/>
      <c r="BC33" s="3"/>
      <c r="BD33" s="3"/>
      <c r="BE33" s="3"/>
      <c r="BF33" s="3"/>
      <c r="BG33" s="3"/>
      <c r="BH33" s="3"/>
      <c r="BI33" s="3"/>
      <c r="BJ33" s="3"/>
      <c r="BK33" s="3"/>
      <c r="BL33" s="3"/>
      <c r="BM33" s="3"/>
      <c r="BN33" s="3"/>
      <c r="BO33" s="3"/>
      <c r="BP33" s="116">
        <f>IFERROR(VLOOKUP(_tPE26_29_Consolidada[[#This Row], [ID Financeiro]],'[4]PE 25-29'!$B:$AF,31,FALSE),0)</f>
      </c>
      <c r="BQ33" s="116">
        <f>_tPE26_29_Consolidada[[#This Row], [2026]]*1000</f>
      </c>
      <c r="BR33" s="117">
        <f>_tPE26_29_Consolidada[[#This Row], [Orçado 2026 (PE25-29)]]-_tPE26_29_Consolidada[[#This Row], [Orçado 2026 (PE26-30)]]</f>
      </c>
      <c r="BS33" s="117">
        <f>IFERROR(VLOOKUP(_tPE26_29_Consolidada[[#This Row], [ID Financeiro]],'[4]PE 25-29'!$B:$AT,45,FALSE),0)</f>
      </c>
      <c r="BT33" s="117">
        <f>_tPE26_29_Consolidada[[#This Row], [2026-2030]]*1000</f>
      </c>
      <c r="BU33" s="117">
        <f>-_tPE26_29_Consolidada[[#This Row], [Orçado 26/30 (PE25-29)]]+_tPE26_29_Consolidada[[#This Row], [Orçado 26/30 (PE26-30)]]</f>
      </c>
      <c r="BV33" s="22">
        <f>IFERROR(_tPE26_29_Consolidada[[#This Row], [Dif2]]/_tPE26_29_Consolidada[[#This Row], [Orçado 26/30 (PE25-29)]],0)</f>
      </c>
      <c r="BW33" s="1"/>
      <c r="BX33" s="1"/>
      <c r="BY33" s="1"/>
      <c r="BZ33" s="1"/>
      <c r="CA33" s="1"/>
      <c r="CB33" s="1"/>
      <c r="CC33" s="1"/>
      <c r="CD33" s="1"/>
      <c r="CE33" s="1"/>
      <c r="CF33" s="1"/>
      <c r="CG33" s="1"/>
      <c r="CH33" s="1"/>
      <c r="CI33" s="1"/>
      <c r="CJ33" s="1"/>
      <c r="CK33" s="1"/>
      <c r="CL33" s="1"/>
      <c r="CM33" s="1"/>
      <c r="CN33" s="1"/>
      <c r="CO33" s="1"/>
      <c r="CP33" s="1"/>
      <c r="CQ33" s="111"/>
      <c r="CR33" s="111"/>
      <c r="CS33" s="111"/>
      <c r="CT33" s="111"/>
      <c r="CU33" s="111"/>
      <c r="CV33" s="111"/>
      <c r="CW33" s="111"/>
      <c r="CX33" s="111"/>
      <c r="CY33" s="111"/>
      <c r="CZ33" s="111"/>
      <c r="DA33" s="111"/>
      <c r="DB33" s="111"/>
      <c r="DC33" s="111"/>
      <c r="DD33" s="111"/>
      <c r="DE33" s="111"/>
      <c r="DF33" s="111"/>
      <c r="DG33" s="111"/>
      <c r="DH33" s="111"/>
      <c r="DI33" s="111"/>
      <c r="DJ33" s="111"/>
      <c r="DK33" s="111"/>
      <c r="DL33" s="111"/>
      <c r="DM33" s="111"/>
      <c r="DN33" s="111"/>
      <c r="DO33" s="111"/>
      <c r="DP33" s="111"/>
      <c r="DQ33" s="111"/>
      <c r="DR33" s="111"/>
      <c r="DS33" s="111"/>
      <c r="DT33" s="111"/>
      <c r="DU33" s="111"/>
      <c r="DV33" s="111"/>
      <c r="DW33" s="111"/>
      <c r="DX33" s="111"/>
      <c r="DY33" s="111"/>
      <c r="DZ33" s="111"/>
      <c r="EA33" s="111"/>
      <c r="EB33" s="111"/>
      <c r="EC33" s="111"/>
      <c r="ED33" s="111"/>
      <c r="EE33" s="111"/>
      <c r="EF33" s="111"/>
      <c r="EG33" s="111"/>
      <c r="EH33" s="111"/>
      <c r="EI33" s="111"/>
      <c r="EJ33" s="111"/>
      <c r="EK33" s="111"/>
      <c r="EL33" s="111"/>
      <c r="EM33" s="111"/>
      <c r="EN33" s="111"/>
      <c r="EO33" s="111"/>
      <c r="EP33" s="111"/>
      <c r="EQ33" s="111"/>
      <c r="ER33" s="111"/>
      <c r="ES33" s="111"/>
      <c r="ET33" s="111"/>
      <c r="EU33" s="111"/>
      <c r="EV33" s="111"/>
      <c r="EW33" s="111"/>
      <c r="EX33" s="111"/>
      <c r="EY33" s="111"/>
      <c r="EZ33" s="111"/>
      <c r="FA33" s="2"/>
      <c r="FB33" s="2"/>
      <c r="FC33" s="2"/>
      <c r="FD33" s="2"/>
      <c r="FE33" s="2"/>
      <c r="FF33" s="2"/>
    </row>
    <row x14ac:dyDescent="0.25" r="34" customHeight="1" ht="18.75">
      <c r="A34" s="3"/>
      <c r="B34" s="118" t="s">
        <v>39052</v>
      </c>
      <c r="C34" s="3" t="s">
        <v>39053</v>
      </c>
      <c r="D34" s="3" t="s">
        <v>8</v>
      </c>
      <c r="E34" s="3" t="s">
        <v>38983</v>
      </c>
      <c r="F34" s="3"/>
      <c r="G34" s="3" t="s">
        <v>39162</v>
      </c>
      <c r="H34" s="3" t="s">
        <v>10</v>
      </c>
      <c r="I34" s="3" t="s">
        <v>86</v>
      </c>
      <c r="J34" s="3" t="s">
        <v>5</v>
      </c>
      <c r="K34" s="113" t="s">
        <v>16</v>
      </c>
      <c r="L34" s="3" t="s">
        <v>67</v>
      </c>
      <c r="M34" s="3" t="s">
        <v>39055</v>
      </c>
      <c r="N34" s="3"/>
      <c r="O34" s="3"/>
      <c r="P34" s="3"/>
      <c r="Q34" s="3" t="s">
        <v>39163</v>
      </c>
      <c r="R34" s="3" t="s">
        <v>39155</v>
      </c>
      <c r="S34" s="3" t="s">
        <v>39058</v>
      </c>
      <c r="T34" s="114">
        <v>5000</v>
      </c>
      <c r="U34" s="114">
        <v>5000</v>
      </c>
      <c r="V34" s="114">
        <v>5000</v>
      </c>
      <c r="W34" s="114">
        <v>5000</v>
      </c>
      <c r="X34" s="114">
        <v>5000</v>
      </c>
      <c r="Y34" s="114">
        <v>5000</v>
      </c>
      <c r="Z34" s="114">
        <v>5000</v>
      </c>
      <c r="AA34" s="114">
        <v>5000</v>
      </c>
      <c r="AB34" s="114">
        <v>5000</v>
      </c>
      <c r="AC34" s="114">
        <v>5000</v>
      </c>
      <c r="AD34" s="114">
        <v>75000</v>
      </c>
      <c r="AE34" s="114">
        <v>75000</v>
      </c>
      <c r="AF34" s="114">
        <v>200000</v>
      </c>
      <c r="AG34" s="114">
        <v>3500000</v>
      </c>
      <c r="AH34" s="114">
        <v>4000000</v>
      </c>
      <c r="AI34" s="114">
        <v>0</v>
      </c>
      <c r="AJ34" s="114">
        <v>0</v>
      </c>
      <c r="AK34" s="114">
        <v>7700000</v>
      </c>
      <c r="AL34" s="114">
        <v>0</v>
      </c>
      <c r="AM34" s="114">
        <v>0</v>
      </c>
      <c r="AN34" s="114">
        <v>0</v>
      </c>
      <c r="AO34" s="114">
        <v>0</v>
      </c>
      <c r="AP34" s="114">
        <v>0</v>
      </c>
      <c r="AQ34" s="114">
        <v>7700000</v>
      </c>
      <c r="AR34" s="22">
        <v>166</v>
      </c>
      <c r="AS34" s="3" t="s">
        <v>39156</v>
      </c>
      <c r="AT34" s="115" t="s">
        <v>39060</v>
      </c>
      <c r="AU34" s="113" t="s">
        <v>39164</v>
      </c>
      <c r="AV34" s="3"/>
      <c r="AW34" s="3" t="s">
        <v>39062</v>
      </c>
      <c r="AX34" s="8" t="s">
        <v>39163</v>
      </c>
      <c r="AY34" s="8"/>
      <c r="AZ34" s="3" t="s">
        <v>39158</v>
      </c>
      <c r="BA34" s="3"/>
      <c r="BB34" s="3"/>
      <c r="BC34" s="3"/>
      <c r="BD34" s="3"/>
      <c r="BE34" s="3"/>
      <c r="BF34" s="3"/>
      <c r="BG34" s="3"/>
      <c r="BH34" s="3"/>
      <c r="BI34" s="3"/>
      <c r="BJ34" s="3"/>
      <c r="BK34" s="3"/>
      <c r="BL34" s="3"/>
      <c r="BM34" s="3"/>
      <c r="BN34" s="3"/>
      <c r="BO34" s="3"/>
      <c r="BP34" s="116">
        <f>IFERROR(VLOOKUP(_tPE26_29_Consolidada[[#This Row], [ID Financeiro]],'[4]PE 25-29'!$B:$AF,31,FALSE),0)</f>
      </c>
      <c r="BQ34" s="116">
        <f>_tPE26_29_Consolidada[[#This Row], [2026]]*1000</f>
      </c>
      <c r="BR34" s="117">
        <f>_tPE26_29_Consolidada[[#This Row], [Orçado 2026 (PE25-29)]]-_tPE26_29_Consolidada[[#This Row], [Orçado 2026 (PE26-30)]]</f>
      </c>
      <c r="BS34" s="117">
        <f>IFERROR(VLOOKUP(_tPE26_29_Consolidada[[#This Row], [ID Financeiro]],'[4]PE 25-29'!$B:$AT,45,FALSE),0)</f>
      </c>
      <c r="BT34" s="117">
        <f>_tPE26_29_Consolidada[[#This Row], [2026-2030]]*1000</f>
      </c>
      <c r="BU34" s="117">
        <f>-_tPE26_29_Consolidada[[#This Row], [Orçado 26/30 (PE25-29)]]+_tPE26_29_Consolidada[[#This Row], [Orçado 26/30 (PE26-30)]]</f>
      </c>
      <c r="BV34" s="22">
        <f>IFERROR(_tPE26_29_Consolidada[[#This Row], [Dif2]]/_tPE26_29_Consolidada[[#This Row], [Orçado 26/30 (PE25-29)]],0)</f>
      </c>
      <c r="BW34" s="1"/>
      <c r="BX34" s="1"/>
      <c r="BY34" s="1"/>
      <c r="BZ34" s="1"/>
      <c r="CA34" s="1"/>
      <c r="CB34" s="1"/>
      <c r="CC34" s="1"/>
      <c r="CD34" s="1"/>
      <c r="CE34" s="1"/>
      <c r="CF34" s="1"/>
      <c r="CG34" s="1"/>
      <c r="CH34" s="1"/>
      <c r="CI34" s="1"/>
      <c r="CJ34" s="1"/>
      <c r="CK34" s="1"/>
      <c r="CL34" s="1"/>
      <c r="CM34" s="1"/>
      <c r="CN34" s="1"/>
      <c r="CO34" s="1"/>
      <c r="CP34" s="1"/>
      <c r="CQ34" s="111"/>
      <c r="CR34" s="111"/>
      <c r="CS34" s="111"/>
      <c r="CT34" s="111"/>
      <c r="CU34" s="111"/>
      <c r="CV34" s="111"/>
      <c r="CW34" s="111"/>
      <c r="CX34" s="111"/>
      <c r="CY34" s="111"/>
      <c r="CZ34" s="111"/>
      <c r="DA34" s="111"/>
      <c r="DB34" s="111"/>
      <c r="DC34" s="111"/>
      <c r="DD34" s="111"/>
      <c r="DE34" s="111"/>
      <c r="DF34" s="111"/>
      <c r="DG34" s="111"/>
      <c r="DH34" s="111"/>
      <c r="DI34" s="111"/>
      <c r="DJ34" s="111"/>
      <c r="DK34" s="111"/>
      <c r="DL34" s="111"/>
      <c r="DM34" s="111"/>
      <c r="DN34" s="111"/>
      <c r="DO34" s="111"/>
      <c r="DP34" s="111"/>
      <c r="DQ34" s="111"/>
      <c r="DR34" s="111"/>
      <c r="DS34" s="111"/>
      <c r="DT34" s="111"/>
      <c r="DU34" s="111"/>
      <c r="DV34" s="111"/>
      <c r="DW34" s="111"/>
      <c r="DX34" s="111"/>
      <c r="DY34" s="111"/>
      <c r="DZ34" s="111"/>
      <c r="EA34" s="111"/>
      <c r="EB34" s="111"/>
      <c r="EC34" s="111"/>
      <c r="ED34" s="111"/>
      <c r="EE34" s="111"/>
      <c r="EF34" s="111"/>
      <c r="EG34" s="111"/>
      <c r="EH34" s="111"/>
      <c r="EI34" s="111"/>
      <c r="EJ34" s="111"/>
      <c r="EK34" s="111"/>
      <c r="EL34" s="111"/>
      <c r="EM34" s="111"/>
      <c r="EN34" s="111"/>
      <c r="EO34" s="111"/>
      <c r="EP34" s="111"/>
      <c r="EQ34" s="111"/>
      <c r="ER34" s="111"/>
      <c r="ES34" s="111"/>
      <c r="ET34" s="111"/>
      <c r="EU34" s="111"/>
      <c r="EV34" s="111"/>
      <c r="EW34" s="111"/>
      <c r="EX34" s="111"/>
      <c r="EY34" s="111"/>
      <c r="EZ34" s="111"/>
      <c r="FA34" s="2"/>
      <c r="FB34" s="2"/>
      <c r="FC34" s="2"/>
      <c r="FD34" s="2"/>
      <c r="FE34" s="2"/>
      <c r="FF34" s="2"/>
    </row>
    <row x14ac:dyDescent="0.25" r="35" customHeight="1" ht="18.75">
      <c r="A35" s="3"/>
      <c r="B35" s="118" t="s">
        <v>39052</v>
      </c>
      <c r="C35" s="3" t="s">
        <v>39053</v>
      </c>
      <c r="D35" s="3" t="s">
        <v>8</v>
      </c>
      <c r="E35" s="3" t="s">
        <v>38983</v>
      </c>
      <c r="F35" s="3"/>
      <c r="G35" s="3" t="s">
        <v>39165</v>
      </c>
      <c r="H35" s="3" t="s">
        <v>10</v>
      </c>
      <c r="I35" s="3" t="s">
        <v>86</v>
      </c>
      <c r="J35" s="3" t="s">
        <v>5</v>
      </c>
      <c r="K35" s="113" t="s">
        <v>16</v>
      </c>
      <c r="L35" s="3" t="s">
        <v>67</v>
      </c>
      <c r="M35" s="3" t="s">
        <v>39055</v>
      </c>
      <c r="N35" s="3"/>
      <c r="O35" s="3"/>
      <c r="P35" s="3"/>
      <c r="Q35" s="3" t="s">
        <v>39166</v>
      </c>
      <c r="R35" s="3" t="s">
        <v>39155</v>
      </c>
      <c r="S35" s="3" t="s">
        <v>39167</v>
      </c>
      <c r="T35" s="114">
        <v>5000</v>
      </c>
      <c r="U35" s="114">
        <v>5000</v>
      </c>
      <c r="V35" s="114">
        <v>5000</v>
      </c>
      <c r="W35" s="114">
        <v>5000</v>
      </c>
      <c r="X35" s="114">
        <v>5000</v>
      </c>
      <c r="Y35" s="114">
        <v>5000</v>
      </c>
      <c r="Z35" s="114">
        <v>5000</v>
      </c>
      <c r="AA35" s="114">
        <v>5000</v>
      </c>
      <c r="AB35" s="114">
        <v>5000</v>
      </c>
      <c r="AC35" s="114">
        <v>5000</v>
      </c>
      <c r="AD35" s="114">
        <v>75000</v>
      </c>
      <c r="AE35" s="114">
        <v>75000</v>
      </c>
      <c r="AF35" s="114">
        <v>200000</v>
      </c>
      <c r="AG35" s="114">
        <v>900000</v>
      </c>
      <c r="AH35" s="114">
        <v>0</v>
      </c>
      <c r="AI35" s="114">
        <v>0</v>
      </c>
      <c r="AJ35" s="114">
        <v>0</v>
      </c>
      <c r="AK35" s="114">
        <v>1100000</v>
      </c>
      <c r="AL35" s="114">
        <v>0</v>
      </c>
      <c r="AM35" s="114">
        <v>0</v>
      </c>
      <c r="AN35" s="114">
        <v>0</v>
      </c>
      <c r="AO35" s="114">
        <v>0</v>
      </c>
      <c r="AP35" s="114">
        <v>0</v>
      </c>
      <c r="AQ35" s="114">
        <v>1100000</v>
      </c>
      <c r="AR35" s="22">
        <v>167</v>
      </c>
      <c r="AS35" s="3" t="s">
        <v>39156</v>
      </c>
      <c r="AT35" s="115" t="s">
        <v>39060</v>
      </c>
      <c r="AU35" s="113" t="s">
        <v>39168</v>
      </c>
      <c r="AV35" s="3"/>
      <c r="AW35" s="3" t="s">
        <v>39062</v>
      </c>
      <c r="AX35" s="8" t="s">
        <v>39166</v>
      </c>
      <c r="AY35" s="8"/>
      <c r="AZ35" s="3" t="s">
        <v>39158</v>
      </c>
      <c r="BA35" s="3"/>
      <c r="BB35" s="3"/>
      <c r="BC35" s="3"/>
      <c r="BD35" s="3"/>
      <c r="BE35" s="3"/>
      <c r="BF35" s="3"/>
      <c r="BG35" s="3"/>
      <c r="BH35" s="3"/>
      <c r="BI35" s="3"/>
      <c r="BJ35" s="3"/>
      <c r="BK35" s="3"/>
      <c r="BL35" s="3"/>
      <c r="BM35" s="3"/>
      <c r="BN35" s="3"/>
      <c r="BO35" s="3"/>
      <c r="BP35" s="116">
        <f>IFERROR(VLOOKUP(_tPE26_29_Consolidada[[#This Row], [ID Financeiro]],'[4]PE 25-29'!$B:$AF,31,FALSE),0)</f>
      </c>
      <c r="BQ35" s="116">
        <f>_tPE26_29_Consolidada[[#This Row], [2026]]*1000</f>
      </c>
      <c r="BR35" s="117">
        <f>_tPE26_29_Consolidada[[#This Row], [Orçado 2026 (PE25-29)]]-_tPE26_29_Consolidada[[#This Row], [Orçado 2026 (PE26-30)]]</f>
      </c>
      <c r="BS35" s="117">
        <f>IFERROR(VLOOKUP(_tPE26_29_Consolidada[[#This Row], [ID Financeiro]],'[4]PE 25-29'!$B:$AT,45,FALSE),0)</f>
      </c>
      <c r="BT35" s="117">
        <f>_tPE26_29_Consolidada[[#This Row], [2026-2030]]*1000</f>
      </c>
      <c r="BU35" s="117">
        <f>-_tPE26_29_Consolidada[[#This Row], [Orçado 26/30 (PE25-29)]]+_tPE26_29_Consolidada[[#This Row], [Orçado 26/30 (PE26-30)]]</f>
      </c>
      <c r="BV35" s="22">
        <f>IFERROR(_tPE26_29_Consolidada[[#This Row], [Dif2]]/_tPE26_29_Consolidada[[#This Row], [Orçado 26/30 (PE25-29)]],0)</f>
      </c>
      <c r="BW35" s="1"/>
      <c r="BX35" s="1"/>
      <c r="BY35" s="1"/>
      <c r="BZ35" s="1"/>
      <c r="CA35" s="1"/>
      <c r="CB35" s="1"/>
      <c r="CC35" s="1"/>
      <c r="CD35" s="1"/>
      <c r="CE35" s="1"/>
      <c r="CF35" s="1"/>
      <c r="CG35" s="1"/>
      <c r="CH35" s="1"/>
      <c r="CI35" s="1"/>
      <c r="CJ35" s="1"/>
      <c r="CK35" s="1"/>
      <c r="CL35" s="1"/>
      <c r="CM35" s="1"/>
      <c r="CN35" s="1"/>
      <c r="CO35" s="1"/>
      <c r="CP35" s="1"/>
      <c r="CQ35" s="111"/>
      <c r="CR35" s="111"/>
      <c r="CS35" s="111"/>
      <c r="CT35" s="111"/>
      <c r="CU35" s="111"/>
      <c r="CV35" s="111"/>
      <c r="CW35" s="111"/>
      <c r="CX35" s="111"/>
      <c r="CY35" s="111"/>
      <c r="CZ35" s="111"/>
      <c r="DA35" s="111"/>
      <c r="DB35" s="111"/>
      <c r="DC35" s="111"/>
      <c r="DD35" s="111"/>
      <c r="DE35" s="111"/>
      <c r="DF35" s="111"/>
      <c r="DG35" s="111"/>
      <c r="DH35" s="111"/>
      <c r="DI35" s="111"/>
      <c r="DJ35" s="111"/>
      <c r="DK35" s="111"/>
      <c r="DL35" s="111"/>
      <c r="DM35" s="111"/>
      <c r="DN35" s="111"/>
      <c r="DO35" s="111"/>
      <c r="DP35" s="111"/>
      <c r="DQ35" s="111"/>
      <c r="DR35" s="111"/>
      <c r="DS35" s="111"/>
      <c r="DT35" s="111"/>
      <c r="DU35" s="111"/>
      <c r="DV35" s="111"/>
      <c r="DW35" s="111"/>
      <c r="DX35" s="111"/>
      <c r="DY35" s="111"/>
      <c r="DZ35" s="111"/>
      <c r="EA35" s="111"/>
      <c r="EB35" s="111"/>
      <c r="EC35" s="111"/>
      <c r="ED35" s="111"/>
      <c r="EE35" s="111"/>
      <c r="EF35" s="111"/>
      <c r="EG35" s="111"/>
      <c r="EH35" s="111"/>
      <c r="EI35" s="111"/>
      <c r="EJ35" s="111"/>
      <c r="EK35" s="111"/>
      <c r="EL35" s="111"/>
      <c r="EM35" s="111"/>
      <c r="EN35" s="111"/>
      <c r="EO35" s="111"/>
      <c r="EP35" s="111"/>
      <c r="EQ35" s="111"/>
      <c r="ER35" s="111"/>
      <c r="ES35" s="111"/>
      <c r="ET35" s="111"/>
      <c r="EU35" s="111"/>
      <c r="EV35" s="111"/>
      <c r="EW35" s="111"/>
      <c r="EX35" s="111"/>
      <c r="EY35" s="111"/>
      <c r="EZ35" s="111"/>
      <c r="FA35" s="2"/>
      <c r="FB35" s="2"/>
      <c r="FC35" s="2"/>
      <c r="FD35" s="2"/>
      <c r="FE35" s="2"/>
      <c r="FF35" s="2"/>
    </row>
    <row x14ac:dyDescent="0.25" r="36" customHeight="1" ht="18.75">
      <c r="A36" s="3"/>
      <c r="B36" s="118" t="s">
        <v>39052</v>
      </c>
      <c r="C36" s="3" t="s">
        <v>39053</v>
      </c>
      <c r="D36" s="3" t="s">
        <v>8</v>
      </c>
      <c r="E36" s="3" t="s">
        <v>38983</v>
      </c>
      <c r="F36" s="3"/>
      <c r="G36" s="3" t="s">
        <v>39169</v>
      </c>
      <c r="H36" s="3" t="s">
        <v>10</v>
      </c>
      <c r="I36" s="3" t="s">
        <v>86</v>
      </c>
      <c r="J36" s="3" t="s">
        <v>5</v>
      </c>
      <c r="K36" s="113" t="s">
        <v>16</v>
      </c>
      <c r="L36" s="3" t="s">
        <v>67</v>
      </c>
      <c r="M36" s="3" t="s">
        <v>39055</v>
      </c>
      <c r="N36" s="3"/>
      <c r="O36" s="3"/>
      <c r="P36" s="3"/>
      <c r="Q36" s="3" t="s">
        <v>39170</v>
      </c>
      <c r="R36" s="3" t="s">
        <v>39155</v>
      </c>
      <c r="S36" s="3" t="s">
        <v>39171</v>
      </c>
      <c r="T36" s="114">
        <v>0</v>
      </c>
      <c r="U36" s="114">
        <v>0</v>
      </c>
      <c r="V36" s="114">
        <v>5000</v>
      </c>
      <c r="W36" s="114">
        <v>5000</v>
      </c>
      <c r="X36" s="114">
        <v>5000</v>
      </c>
      <c r="Y36" s="114">
        <v>5000</v>
      </c>
      <c r="Z36" s="114">
        <v>5000</v>
      </c>
      <c r="AA36" s="114">
        <v>5000</v>
      </c>
      <c r="AB36" s="114">
        <v>5000</v>
      </c>
      <c r="AC36" s="114">
        <v>5000</v>
      </c>
      <c r="AD36" s="114">
        <v>5000</v>
      </c>
      <c r="AE36" s="114">
        <v>5000</v>
      </c>
      <c r="AF36" s="114">
        <v>50000</v>
      </c>
      <c r="AG36" s="114">
        <v>950000</v>
      </c>
      <c r="AH36" s="114">
        <v>1000000</v>
      </c>
      <c r="AI36" s="114">
        <v>0</v>
      </c>
      <c r="AJ36" s="114">
        <v>0</v>
      </c>
      <c r="AK36" s="114">
        <v>2000000</v>
      </c>
      <c r="AL36" s="114">
        <v>0</v>
      </c>
      <c r="AM36" s="114">
        <v>0</v>
      </c>
      <c r="AN36" s="114">
        <v>0</v>
      </c>
      <c r="AO36" s="114">
        <v>0</v>
      </c>
      <c r="AP36" s="114">
        <v>0</v>
      </c>
      <c r="AQ36" s="114">
        <v>2000000</v>
      </c>
      <c r="AR36" s="22">
        <v>173</v>
      </c>
      <c r="AS36" s="3" t="s">
        <v>39156</v>
      </c>
      <c r="AT36" s="115" t="s">
        <v>39060</v>
      </c>
      <c r="AU36" s="113" t="s">
        <v>39172</v>
      </c>
      <c r="AV36" s="3"/>
      <c r="AW36" s="3" t="s">
        <v>39062</v>
      </c>
      <c r="AX36" s="8" t="s">
        <v>39170</v>
      </c>
      <c r="AY36" s="8"/>
      <c r="AZ36" s="3" t="s">
        <v>39158</v>
      </c>
      <c r="BA36" s="3"/>
      <c r="BB36" s="3"/>
      <c r="BC36" s="3"/>
      <c r="BD36" s="3"/>
      <c r="BE36" s="3"/>
      <c r="BF36" s="3"/>
      <c r="BG36" s="3"/>
      <c r="BH36" s="3"/>
      <c r="BI36" s="3"/>
      <c r="BJ36" s="3"/>
      <c r="BK36" s="3"/>
      <c r="BL36" s="3"/>
      <c r="BM36" s="3"/>
      <c r="BN36" s="3"/>
      <c r="BO36" s="3"/>
      <c r="BP36" s="116">
        <f>IFERROR(VLOOKUP(_tPE26_29_Consolidada[[#This Row], [ID Financeiro]],'[4]PE 25-29'!$B:$AF,31,FALSE),0)</f>
      </c>
      <c r="BQ36" s="116">
        <f>_tPE26_29_Consolidada[[#This Row], [2026]]*1000</f>
      </c>
      <c r="BR36" s="117">
        <f>_tPE26_29_Consolidada[[#This Row], [Orçado 2026 (PE25-29)]]-_tPE26_29_Consolidada[[#This Row], [Orçado 2026 (PE26-30)]]</f>
      </c>
      <c r="BS36" s="117">
        <f>IFERROR(VLOOKUP(_tPE26_29_Consolidada[[#This Row], [ID Financeiro]],'[4]PE 25-29'!$B:$AT,45,FALSE),0)</f>
      </c>
      <c r="BT36" s="117">
        <f>_tPE26_29_Consolidada[[#This Row], [2026-2030]]*1000</f>
      </c>
      <c r="BU36" s="117">
        <f>-_tPE26_29_Consolidada[[#This Row], [Orçado 26/30 (PE25-29)]]+_tPE26_29_Consolidada[[#This Row], [Orçado 26/30 (PE26-30)]]</f>
      </c>
      <c r="BV36" s="22">
        <f>IFERROR(_tPE26_29_Consolidada[[#This Row], [Dif2]]/_tPE26_29_Consolidada[[#This Row], [Orçado 26/30 (PE25-29)]],0)</f>
      </c>
      <c r="BW36" s="1"/>
      <c r="BX36" s="1"/>
      <c r="BY36" s="1"/>
      <c r="BZ36" s="1"/>
      <c r="CA36" s="1"/>
      <c r="CB36" s="1"/>
      <c r="CC36" s="1"/>
      <c r="CD36" s="1"/>
      <c r="CE36" s="1"/>
      <c r="CF36" s="1"/>
      <c r="CG36" s="1"/>
      <c r="CH36" s="1"/>
      <c r="CI36" s="1"/>
      <c r="CJ36" s="1"/>
      <c r="CK36" s="1"/>
      <c r="CL36" s="1"/>
      <c r="CM36" s="1"/>
      <c r="CN36" s="1"/>
      <c r="CO36" s="1"/>
      <c r="CP36" s="1"/>
      <c r="CQ36" s="111"/>
      <c r="CR36" s="111"/>
      <c r="CS36" s="111"/>
      <c r="CT36" s="111"/>
      <c r="CU36" s="111"/>
      <c r="CV36" s="111"/>
      <c r="CW36" s="111"/>
      <c r="CX36" s="111"/>
      <c r="CY36" s="111"/>
      <c r="CZ36" s="111"/>
      <c r="DA36" s="111"/>
      <c r="DB36" s="111"/>
      <c r="DC36" s="111"/>
      <c r="DD36" s="111"/>
      <c r="DE36" s="111"/>
      <c r="DF36" s="111"/>
      <c r="DG36" s="111"/>
      <c r="DH36" s="111"/>
      <c r="DI36" s="111"/>
      <c r="DJ36" s="111"/>
      <c r="DK36" s="111"/>
      <c r="DL36" s="111"/>
      <c r="DM36" s="111"/>
      <c r="DN36" s="111"/>
      <c r="DO36" s="111"/>
      <c r="DP36" s="111"/>
      <c r="DQ36" s="111"/>
      <c r="DR36" s="111"/>
      <c r="DS36" s="111"/>
      <c r="DT36" s="111"/>
      <c r="DU36" s="111"/>
      <c r="DV36" s="111"/>
      <c r="DW36" s="111"/>
      <c r="DX36" s="111"/>
      <c r="DY36" s="111"/>
      <c r="DZ36" s="111"/>
      <c r="EA36" s="111"/>
      <c r="EB36" s="111"/>
      <c r="EC36" s="111"/>
      <c r="ED36" s="111"/>
      <c r="EE36" s="111"/>
      <c r="EF36" s="111"/>
      <c r="EG36" s="111"/>
      <c r="EH36" s="111"/>
      <c r="EI36" s="111"/>
      <c r="EJ36" s="111"/>
      <c r="EK36" s="111"/>
      <c r="EL36" s="111"/>
      <c r="EM36" s="111"/>
      <c r="EN36" s="111"/>
      <c r="EO36" s="111"/>
      <c r="EP36" s="111"/>
      <c r="EQ36" s="111"/>
      <c r="ER36" s="111"/>
      <c r="ES36" s="111"/>
      <c r="ET36" s="111"/>
      <c r="EU36" s="111"/>
      <c r="EV36" s="111"/>
      <c r="EW36" s="111"/>
      <c r="EX36" s="111"/>
      <c r="EY36" s="111"/>
      <c r="EZ36" s="111"/>
      <c r="FA36" s="2"/>
      <c r="FB36" s="2"/>
      <c r="FC36" s="2"/>
      <c r="FD36" s="2"/>
      <c r="FE36" s="2"/>
      <c r="FF36" s="2"/>
    </row>
    <row x14ac:dyDescent="0.25" r="37" customHeight="1" ht="18.75">
      <c r="A37" s="3"/>
      <c r="B37" s="118" t="s">
        <v>39052</v>
      </c>
      <c r="C37" s="3" t="s">
        <v>39053</v>
      </c>
      <c r="D37" s="3" t="s">
        <v>8</v>
      </c>
      <c r="E37" s="3" t="s">
        <v>38983</v>
      </c>
      <c r="F37" s="3"/>
      <c r="G37" s="3" t="s">
        <v>39173</v>
      </c>
      <c r="H37" s="3" t="s">
        <v>10</v>
      </c>
      <c r="I37" s="3" t="s">
        <v>86</v>
      </c>
      <c r="J37" s="3" t="s">
        <v>5</v>
      </c>
      <c r="K37" s="113" t="s">
        <v>16</v>
      </c>
      <c r="L37" s="3" t="s">
        <v>67</v>
      </c>
      <c r="M37" s="3" t="s">
        <v>39055</v>
      </c>
      <c r="N37" s="3"/>
      <c r="O37" s="3"/>
      <c r="P37" s="3"/>
      <c r="Q37" s="3" t="s">
        <v>39174</v>
      </c>
      <c r="R37" s="3" t="s">
        <v>39155</v>
      </c>
      <c r="S37" s="3" t="s">
        <v>39175</v>
      </c>
      <c r="T37" s="114">
        <v>0</v>
      </c>
      <c r="U37" s="114">
        <v>0</v>
      </c>
      <c r="V37" s="114">
        <v>5000</v>
      </c>
      <c r="W37" s="114">
        <v>5000</v>
      </c>
      <c r="X37" s="114">
        <v>5000</v>
      </c>
      <c r="Y37" s="114">
        <v>5000</v>
      </c>
      <c r="Z37" s="114">
        <v>5000</v>
      </c>
      <c r="AA37" s="114">
        <v>5000</v>
      </c>
      <c r="AB37" s="114">
        <v>5000</v>
      </c>
      <c r="AC37" s="114">
        <v>5000</v>
      </c>
      <c r="AD37" s="114">
        <v>5000</v>
      </c>
      <c r="AE37" s="114">
        <v>5000</v>
      </c>
      <c r="AF37" s="114">
        <v>50000</v>
      </c>
      <c r="AG37" s="114">
        <v>3800000</v>
      </c>
      <c r="AH37" s="114">
        <v>2150000</v>
      </c>
      <c r="AI37" s="114">
        <v>0</v>
      </c>
      <c r="AJ37" s="114">
        <v>0</v>
      </c>
      <c r="AK37" s="114">
        <v>6000000</v>
      </c>
      <c r="AL37" s="114">
        <v>0</v>
      </c>
      <c r="AM37" s="114">
        <v>0</v>
      </c>
      <c r="AN37" s="114">
        <v>0</v>
      </c>
      <c r="AO37" s="114">
        <v>0</v>
      </c>
      <c r="AP37" s="114">
        <v>0</v>
      </c>
      <c r="AQ37" s="114">
        <v>6000000</v>
      </c>
      <c r="AR37" s="22">
        <v>174</v>
      </c>
      <c r="AS37" s="3" t="s">
        <v>39156</v>
      </c>
      <c r="AT37" s="115" t="s">
        <v>39060</v>
      </c>
      <c r="AU37" s="113" t="s">
        <v>39176</v>
      </c>
      <c r="AV37" s="3"/>
      <c r="AW37" s="3" t="s">
        <v>39062</v>
      </c>
      <c r="AX37" s="8" t="s">
        <v>39174</v>
      </c>
      <c r="AY37" s="8"/>
      <c r="AZ37" s="3" t="s">
        <v>39158</v>
      </c>
      <c r="BA37" s="3"/>
      <c r="BB37" s="3"/>
      <c r="BC37" s="3"/>
      <c r="BD37" s="3"/>
      <c r="BE37" s="3"/>
      <c r="BF37" s="3"/>
      <c r="BG37" s="3"/>
      <c r="BH37" s="3"/>
      <c r="BI37" s="3"/>
      <c r="BJ37" s="3"/>
      <c r="BK37" s="3"/>
      <c r="BL37" s="3"/>
      <c r="BM37" s="3"/>
      <c r="BN37" s="3"/>
      <c r="BO37" s="3"/>
      <c r="BP37" s="116">
        <f>IFERROR(VLOOKUP(_tPE26_29_Consolidada[[#This Row], [ID Financeiro]],'[4]PE 25-29'!$B:$AF,31,FALSE),0)</f>
      </c>
      <c r="BQ37" s="116">
        <f>_tPE26_29_Consolidada[[#This Row], [2026]]*1000</f>
      </c>
      <c r="BR37" s="117">
        <f>_tPE26_29_Consolidada[[#This Row], [Orçado 2026 (PE25-29)]]-_tPE26_29_Consolidada[[#This Row], [Orçado 2026 (PE26-30)]]</f>
      </c>
      <c r="BS37" s="117">
        <f>IFERROR(VLOOKUP(_tPE26_29_Consolidada[[#This Row], [ID Financeiro]],'[4]PE 25-29'!$B:$AT,45,FALSE),0)</f>
      </c>
      <c r="BT37" s="117">
        <f>_tPE26_29_Consolidada[[#This Row], [2026-2030]]*1000</f>
      </c>
      <c r="BU37" s="117">
        <f>-_tPE26_29_Consolidada[[#This Row], [Orçado 26/30 (PE25-29)]]+_tPE26_29_Consolidada[[#This Row], [Orçado 26/30 (PE26-30)]]</f>
      </c>
      <c r="BV37" s="22">
        <f>IFERROR(_tPE26_29_Consolidada[[#This Row], [Dif2]]/_tPE26_29_Consolidada[[#This Row], [Orçado 26/30 (PE25-29)]],0)</f>
      </c>
      <c r="BW37" s="1"/>
      <c r="BX37" s="1"/>
      <c r="BY37" s="1"/>
      <c r="BZ37" s="1"/>
      <c r="CA37" s="1"/>
      <c r="CB37" s="1"/>
      <c r="CC37" s="1"/>
      <c r="CD37" s="1"/>
      <c r="CE37" s="1"/>
      <c r="CF37" s="1"/>
      <c r="CG37" s="1"/>
      <c r="CH37" s="1"/>
      <c r="CI37" s="1"/>
      <c r="CJ37" s="1"/>
      <c r="CK37" s="1"/>
      <c r="CL37" s="1"/>
      <c r="CM37" s="1"/>
      <c r="CN37" s="1"/>
      <c r="CO37" s="1"/>
      <c r="CP37" s="1"/>
      <c r="CQ37" s="111"/>
      <c r="CR37" s="111"/>
      <c r="CS37" s="111"/>
      <c r="CT37" s="111"/>
      <c r="CU37" s="111"/>
      <c r="CV37" s="111"/>
      <c r="CW37" s="111"/>
      <c r="CX37" s="111"/>
      <c r="CY37" s="111"/>
      <c r="CZ37" s="111"/>
      <c r="DA37" s="111"/>
      <c r="DB37" s="111"/>
      <c r="DC37" s="111"/>
      <c r="DD37" s="111"/>
      <c r="DE37" s="111"/>
      <c r="DF37" s="111"/>
      <c r="DG37" s="111"/>
      <c r="DH37" s="111"/>
      <c r="DI37" s="111"/>
      <c r="DJ37" s="111"/>
      <c r="DK37" s="111"/>
      <c r="DL37" s="111"/>
      <c r="DM37" s="111"/>
      <c r="DN37" s="111"/>
      <c r="DO37" s="111"/>
      <c r="DP37" s="111"/>
      <c r="DQ37" s="111"/>
      <c r="DR37" s="111"/>
      <c r="DS37" s="111"/>
      <c r="DT37" s="111"/>
      <c r="DU37" s="111"/>
      <c r="DV37" s="111"/>
      <c r="DW37" s="111"/>
      <c r="DX37" s="111"/>
      <c r="DY37" s="111"/>
      <c r="DZ37" s="111"/>
      <c r="EA37" s="111"/>
      <c r="EB37" s="111"/>
      <c r="EC37" s="111"/>
      <c r="ED37" s="111"/>
      <c r="EE37" s="111"/>
      <c r="EF37" s="111"/>
      <c r="EG37" s="111"/>
      <c r="EH37" s="111"/>
      <c r="EI37" s="111"/>
      <c r="EJ37" s="111"/>
      <c r="EK37" s="111"/>
      <c r="EL37" s="111"/>
      <c r="EM37" s="111"/>
      <c r="EN37" s="111"/>
      <c r="EO37" s="111"/>
      <c r="EP37" s="111"/>
      <c r="EQ37" s="111"/>
      <c r="ER37" s="111"/>
      <c r="ES37" s="111"/>
      <c r="ET37" s="111"/>
      <c r="EU37" s="111"/>
      <c r="EV37" s="111"/>
      <c r="EW37" s="111"/>
      <c r="EX37" s="111"/>
      <c r="EY37" s="111"/>
      <c r="EZ37" s="111"/>
      <c r="FA37" s="2"/>
      <c r="FB37" s="2"/>
      <c r="FC37" s="2"/>
      <c r="FD37" s="2"/>
      <c r="FE37" s="2"/>
      <c r="FF37" s="2"/>
    </row>
    <row x14ac:dyDescent="0.25" r="38" customHeight="1" ht="18.75">
      <c r="A38" s="3"/>
      <c r="B38" s="118" t="s">
        <v>39052</v>
      </c>
      <c r="C38" s="3" t="s">
        <v>39053</v>
      </c>
      <c r="D38" s="3" t="s">
        <v>8</v>
      </c>
      <c r="E38" s="3" t="s">
        <v>38983</v>
      </c>
      <c r="F38" s="3"/>
      <c r="G38" s="3" t="s">
        <v>39177</v>
      </c>
      <c r="H38" s="3" t="s">
        <v>10</v>
      </c>
      <c r="I38" s="3" t="s">
        <v>86</v>
      </c>
      <c r="J38" s="3" t="s">
        <v>5</v>
      </c>
      <c r="K38" s="113" t="s">
        <v>16</v>
      </c>
      <c r="L38" s="3" t="s">
        <v>67</v>
      </c>
      <c r="M38" s="3" t="s">
        <v>39055</v>
      </c>
      <c r="N38" s="3"/>
      <c r="O38" s="3"/>
      <c r="P38" s="3"/>
      <c r="Q38" s="3" t="s">
        <v>39178</v>
      </c>
      <c r="R38" s="3" t="s">
        <v>39057</v>
      </c>
      <c r="S38" s="3" t="s">
        <v>39083</v>
      </c>
      <c r="T38" s="114">
        <v>5000</v>
      </c>
      <c r="U38" s="114">
        <v>5000</v>
      </c>
      <c r="V38" s="114">
        <v>5000</v>
      </c>
      <c r="W38" s="114">
        <v>5000</v>
      </c>
      <c r="X38" s="114">
        <v>0</v>
      </c>
      <c r="Y38" s="114">
        <v>0</v>
      </c>
      <c r="Z38" s="114">
        <v>0</v>
      </c>
      <c r="AA38" s="114">
        <v>1100000</v>
      </c>
      <c r="AB38" s="114">
        <v>1100000</v>
      </c>
      <c r="AC38" s="114">
        <v>0</v>
      </c>
      <c r="AD38" s="114">
        <v>0</v>
      </c>
      <c r="AE38" s="114">
        <v>0</v>
      </c>
      <c r="AF38" s="114">
        <v>2220000</v>
      </c>
      <c r="AG38" s="114">
        <v>50000</v>
      </c>
      <c r="AH38" s="114">
        <v>0</v>
      </c>
      <c r="AI38" s="114">
        <v>0</v>
      </c>
      <c r="AJ38" s="114">
        <v>0</v>
      </c>
      <c r="AK38" s="114">
        <v>2270000</v>
      </c>
      <c r="AL38" s="114">
        <v>0</v>
      </c>
      <c r="AM38" s="114">
        <v>0</v>
      </c>
      <c r="AN38" s="114">
        <v>0</v>
      </c>
      <c r="AO38" s="114">
        <v>0</v>
      </c>
      <c r="AP38" s="114">
        <v>0</v>
      </c>
      <c r="AQ38" s="114">
        <v>2270000</v>
      </c>
      <c r="AR38" s="22">
        <v>148</v>
      </c>
      <c r="AS38" s="3" t="s">
        <v>39059</v>
      </c>
      <c r="AT38" s="115" t="s">
        <v>39060</v>
      </c>
      <c r="AU38" s="113" t="s">
        <v>39179</v>
      </c>
      <c r="AV38" s="3"/>
      <c r="AW38" s="3" t="s">
        <v>39062</v>
      </c>
      <c r="AX38" s="8" t="s">
        <v>39178</v>
      </c>
      <c r="AY38" s="8"/>
      <c r="AZ38" s="3" t="s">
        <v>39117</v>
      </c>
      <c r="BA38" s="3"/>
      <c r="BB38" s="3"/>
      <c r="BC38" s="3"/>
      <c r="BD38" s="3"/>
      <c r="BE38" s="3"/>
      <c r="BF38" s="3"/>
      <c r="BG38" s="3"/>
      <c r="BH38" s="3"/>
      <c r="BI38" s="3"/>
      <c r="BJ38" s="3"/>
      <c r="BK38" s="3"/>
      <c r="BL38" s="3"/>
      <c r="BM38" s="3"/>
      <c r="BN38" s="3"/>
      <c r="BO38" s="3"/>
      <c r="BP38" s="116">
        <f>IFERROR(VLOOKUP(_tPE26_29_Consolidada[[#This Row], [ID Financeiro]],'[4]PE 25-29'!$B:$AF,31,FALSE),0)</f>
      </c>
      <c r="BQ38" s="116">
        <f>_tPE26_29_Consolidada[[#This Row], [2026]]*1000</f>
      </c>
      <c r="BR38" s="117">
        <f>_tPE26_29_Consolidada[[#This Row], [Orçado 2026 (PE25-29)]]-_tPE26_29_Consolidada[[#This Row], [Orçado 2026 (PE26-30)]]</f>
      </c>
      <c r="BS38" s="117">
        <f>IFERROR(VLOOKUP(_tPE26_29_Consolidada[[#This Row], [ID Financeiro]],'[4]PE 25-29'!$B:$AT,45,FALSE),0)</f>
      </c>
      <c r="BT38" s="117">
        <f>_tPE26_29_Consolidada[[#This Row], [2026-2030]]*1000</f>
      </c>
      <c r="BU38" s="117">
        <f>-_tPE26_29_Consolidada[[#This Row], [Orçado 26/30 (PE25-29)]]+_tPE26_29_Consolidada[[#This Row], [Orçado 26/30 (PE26-30)]]</f>
      </c>
      <c r="BV38" s="22">
        <f>IFERROR(_tPE26_29_Consolidada[[#This Row], [Dif2]]/_tPE26_29_Consolidada[[#This Row], [Orçado 26/30 (PE25-29)]],0)</f>
      </c>
      <c r="BW38" s="1"/>
      <c r="BX38" s="1"/>
      <c r="BY38" s="1"/>
      <c r="BZ38" s="1"/>
      <c r="CA38" s="1"/>
      <c r="CB38" s="1"/>
      <c r="CC38" s="1"/>
      <c r="CD38" s="1"/>
      <c r="CE38" s="1"/>
      <c r="CF38" s="1"/>
      <c r="CG38" s="1"/>
      <c r="CH38" s="1"/>
      <c r="CI38" s="1"/>
      <c r="CJ38" s="1"/>
      <c r="CK38" s="1"/>
      <c r="CL38" s="1"/>
      <c r="CM38" s="1"/>
      <c r="CN38" s="1"/>
      <c r="CO38" s="1"/>
      <c r="CP38" s="1"/>
      <c r="CQ38" s="111"/>
      <c r="CR38" s="111"/>
      <c r="CS38" s="111"/>
      <c r="CT38" s="111"/>
      <c r="CU38" s="111"/>
      <c r="CV38" s="111"/>
      <c r="CW38" s="111"/>
      <c r="CX38" s="111"/>
      <c r="CY38" s="111"/>
      <c r="CZ38" s="111"/>
      <c r="DA38" s="111"/>
      <c r="DB38" s="111"/>
      <c r="DC38" s="111"/>
      <c r="DD38" s="111"/>
      <c r="DE38" s="111"/>
      <c r="DF38" s="111"/>
      <c r="DG38" s="111"/>
      <c r="DH38" s="111"/>
      <c r="DI38" s="111"/>
      <c r="DJ38" s="111"/>
      <c r="DK38" s="111"/>
      <c r="DL38" s="111"/>
      <c r="DM38" s="111"/>
      <c r="DN38" s="111"/>
      <c r="DO38" s="111"/>
      <c r="DP38" s="111"/>
      <c r="DQ38" s="111"/>
      <c r="DR38" s="111"/>
      <c r="DS38" s="111"/>
      <c r="DT38" s="111"/>
      <c r="DU38" s="111"/>
      <c r="DV38" s="111"/>
      <c r="DW38" s="111"/>
      <c r="DX38" s="111"/>
      <c r="DY38" s="111"/>
      <c r="DZ38" s="111"/>
      <c r="EA38" s="111"/>
      <c r="EB38" s="111"/>
      <c r="EC38" s="111"/>
      <c r="ED38" s="111"/>
      <c r="EE38" s="111"/>
      <c r="EF38" s="111"/>
      <c r="EG38" s="111"/>
      <c r="EH38" s="111"/>
      <c r="EI38" s="111"/>
      <c r="EJ38" s="111"/>
      <c r="EK38" s="111"/>
      <c r="EL38" s="111"/>
      <c r="EM38" s="111"/>
      <c r="EN38" s="111"/>
      <c r="EO38" s="111"/>
      <c r="EP38" s="111"/>
      <c r="EQ38" s="111"/>
      <c r="ER38" s="111"/>
      <c r="ES38" s="111"/>
      <c r="ET38" s="111"/>
      <c r="EU38" s="111"/>
      <c r="EV38" s="111"/>
      <c r="EW38" s="111"/>
      <c r="EX38" s="111"/>
      <c r="EY38" s="111"/>
      <c r="EZ38" s="111"/>
      <c r="FA38" s="2"/>
      <c r="FB38" s="2"/>
      <c r="FC38" s="2"/>
      <c r="FD38" s="2"/>
      <c r="FE38" s="2"/>
      <c r="FF38" s="2"/>
    </row>
    <row x14ac:dyDescent="0.25" r="39" customHeight="1" ht="18.75">
      <c r="A39" s="3"/>
      <c r="B39" s="118" t="s">
        <v>39052</v>
      </c>
      <c r="C39" s="3" t="s">
        <v>39053</v>
      </c>
      <c r="D39" s="3" t="s">
        <v>8</v>
      </c>
      <c r="E39" s="3" t="s">
        <v>38983</v>
      </c>
      <c r="F39" s="3"/>
      <c r="G39" s="3" t="s">
        <v>39180</v>
      </c>
      <c r="H39" s="3" t="s">
        <v>10</v>
      </c>
      <c r="I39" s="3" t="s">
        <v>86</v>
      </c>
      <c r="J39" s="3" t="s">
        <v>5</v>
      </c>
      <c r="K39" s="113" t="s">
        <v>16</v>
      </c>
      <c r="L39" s="3" t="s">
        <v>67</v>
      </c>
      <c r="M39" s="3" t="s">
        <v>39055</v>
      </c>
      <c r="N39" s="3"/>
      <c r="O39" s="3"/>
      <c r="P39" s="3"/>
      <c r="Q39" s="3" t="s">
        <v>39181</v>
      </c>
      <c r="R39" s="3" t="s">
        <v>39057</v>
      </c>
      <c r="S39" s="3" t="s">
        <v>39123</v>
      </c>
      <c r="T39" s="114">
        <v>0</v>
      </c>
      <c r="U39" s="114">
        <v>0</v>
      </c>
      <c r="V39" s="114">
        <v>0</v>
      </c>
      <c r="W39" s="114">
        <v>0</v>
      </c>
      <c r="X39" s="114">
        <v>0</v>
      </c>
      <c r="Y39" s="114">
        <v>0</v>
      </c>
      <c r="Z39" s="114">
        <v>300000</v>
      </c>
      <c r="AA39" s="114">
        <v>300000</v>
      </c>
      <c r="AB39" s="114">
        <v>300000</v>
      </c>
      <c r="AC39" s="114">
        <v>300000</v>
      </c>
      <c r="AD39" s="114">
        <v>300000</v>
      </c>
      <c r="AE39" s="114">
        <v>500000</v>
      </c>
      <c r="AF39" s="114">
        <v>2000000</v>
      </c>
      <c r="AG39" s="114">
        <v>0</v>
      </c>
      <c r="AH39" s="114">
        <v>0</v>
      </c>
      <c r="AI39" s="114">
        <v>0</v>
      </c>
      <c r="AJ39" s="114">
        <v>0</v>
      </c>
      <c r="AK39" s="114">
        <v>2000000</v>
      </c>
      <c r="AL39" s="114">
        <v>0</v>
      </c>
      <c r="AM39" s="114">
        <v>0</v>
      </c>
      <c r="AN39" s="114">
        <v>0</v>
      </c>
      <c r="AO39" s="114">
        <v>0</v>
      </c>
      <c r="AP39" s="114">
        <v>0</v>
      </c>
      <c r="AQ39" s="114">
        <v>2000000</v>
      </c>
      <c r="AR39" s="22">
        <v>150</v>
      </c>
      <c r="AS39" s="3" t="s">
        <v>39059</v>
      </c>
      <c r="AT39" s="115" t="s">
        <v>39060</v>
      </c>
      <c r="AU39" s="113" t="s">
        <v>39182</v>
      </c>
      <c r="AV39" s="3"/>
      <c r="AW39" s="3" t="s">
        <v>39062</v>
      </c>
      <c r="AX39" s="8" t="s">
        <v>39181</v>
      </c>
      <c r="AY39" s="8"/>
      <c r="AZ39" s="3" t="s">
        <v>39183</v>
      </c>
      <c r="BA39" s="3"/>
      <c r="BB39" s="3"/>
      <c r="BC39" s="3"/>
      <c r="BD39" s="3"/>
      <c r="BE39" s="3"/>
      <c r="BF39" s="3"/>
      <c r="BG39" s="3"/>
      <c r="BH39" s="3"/>
      <c r="BI39" s="3"/>
      <c r="BJ39" s="3"/>
      <c r="BK39" s="3"/>
      <c r="BL39" s="3"/>
      <c r="BM39" s="3"/>
      <c r="BN39" s="3"/>
      <c r="BO39" s="3"/>
      <c r="BP39" s="116">
        <f>IFERROR(VLOOKUP(_tPE26_29_Consolidada[[#This Row], [ID Financeiro]],'[4]PE 25-29'!$B:$AF,31,FALSE),0)</f>
      </c>
      <c r="BQ39" s="116">
        <f>_tPE26_29_Consolidada[[#This Row], [2026]]*1000</f>
      </c>
      <c r="BR39" s="117">
        <f>_tPE26_29_Consolidada[[#This Row], [Orçado 2026 (PE25-29)]]-_tPE26_29_Consolidada[[#This Row], [Orçado 2026 (PE26-30)]]</f>
      </c>
      <c r="BS39" s="117">
        <f>IFERROR(VLOOKUP(_tPE26_29_Consolidada[[#This Row], [ID Financeiro]],'[4]PE 25-29'!$B:$AT,45,FALSE),0)</f>
      </c>
      <c r="BT39" s="117">
        <f>_tPE26_29_Consolidada[[#This Row], [2026-2030]]*1000</f>
      </c>
      <c r="BU39" s="117">
        <f>-_tPE26_29_Consolidada[[#This Row], [Orçado 26/30 (PE25-29)]]+_tPE26_29_Consolidada[[#This Row], [Orçado 26/30 (PE26-30)]]</f>
      </c>
      <c r="BV39" s="22">
        <f>IFERROR(_tPE26_29_Consolidada[[#This Row], [Dif2]]/_tPE26_29_Consolidada[[#This Row], [Orçado 26/30 (PE25-29)]],0)</f>
      </c>
      <c r="BW39" s="1"/>
      <c r="BX39" s="1"/>
      <c r="BY39" s="1"/>
      <c r="BZ39" s="1"/>
      <c r="CA39" s="1"/>
      <c r="CB39" s="1"/>
      <c r="CC39" s="1"/>
      <c r="CD39" s="1"/>
      <c r="CE39" s="1"/>
      <c r="CF39" s="1"/>
      <c r="CG39" s="1"/>
      <c r="CH39" s="1"/>
      <c r="CI39" s="1"/>
      <c r="CJ39" s="1"/>
      <c r="CK39" s="1"/>
      <c r="CL39" s="1"/>
      <c r="CM39" s="1"/>
      <c r="CN39" s="1"/>
      <c r="CO39" s="1"/>
      <c r="CP39" s="1"/>
      <c r="CQ39" s="111"/>
      <c r="CR39" s="111"/>
      <c r="CS39" s="111"/>
      <c r="CT39" s="111"/>
      <c r="CU39" s="111"/>
      <c r="CV39" s="111"/>
      <c r="CW39" s="111"/>
      <c r="CX39" s="111"/>
      <c r="CY39" s="111"/>
      <c r="CZ39" s="111"/>
      <c r="DA39" s="111"/>
      <c r="DB39" s="111"/>
      <c r="DC39" s="111"/>
      <c r="DD39" s="111"/>
      <c r="DE39" s="111"/>
      <c r="DF39" s="111"/>
      <c r="DG39" s="111"/>
      <c r="DH39" s="111"/>
      <c r="DI39" s="111"/>
      <c r="DJ39" s="111"/>
      <c r="DK39" s="111"/>
      <c r="DL39" s="111"/>
      <c r="DM39" s="111"/>
      <c r="DN39" s="111"/>
      <c r="DO39" s="111"/>
      <c r="DP39" s="111"/>
      <c r="DQ39" s="111"/>
      <c r="DR39" s="111"/>
      <c r="DS39" s="111"/>
      <c r="DT39" s="111"/>
      <c r="DU39" s="111"/>
      <c r="DV39" s="111"/>
      <c r="DW39" s="111"/>
      <c r="DX39" s="111"/>
      <c r="DY39" s="111"/>
      <c r="DZ39" s="111"/>
      <c r="EA39" s="111"/>
      <c r="EB39" s="111"/>
      <c r="EC39" s="111"/>
      <c r="ED39" s="111"/>
      <c r="EE39" s="111"/>
      <c r="EF39" s="111"/>
      <c r="EG39" s="111"/>
      <c r="EH39" s="111"/>
      <c r="EI39" s="111"/>
      <c r="EJ39" s="111"/>
      <c r="EK39" s="111"/>
      <c r="EL39" s="111"/>
      <c r="EM39" s="111"/>
      <c r="EN39" s="111"/>
      <c r="EO39" s="111"/>
      <c r="EP39" s="111"/>
      <c r="EQ39" s="111"/>
      <c r="ER39" s="111"/>
      <c r="ES39" s="111"/>
      <c r="ET39" s="111"/>
      <c r="EU39" s="111"/>
      <c r="EV39" s="111"/>
      <c r="EW39" s="111"/>
      <c r="EX39" s="111"/>
      <c r="EY39" s="111"/>
      <c r="EZ39" s="111"/>
      <c r="FA39" s="2"/>
      <c r="FB39" s="2"/>
      <c r="FC39" s="2"/>
      <c r="FD39" s="2"/>
      <c r="FE39" s="2"/>
      <c r="FF39" s="2"/>
    </row>
    <row x14ac:dyDescent="0.25" r="40" customHeight="1" ht="18.75">
      <c r="A40" s="3"/>
      <c r="B40" s="118" t="s">
        <v>39052</v>
      </c>
      <c r="C40" s="3" t="s">
        <v>39053</v>
      </c>
      <c r="D40" s="3" t="s">
        <v>8</v>
      </c>
      <c r="E40" s="3" t="s">
        <v>38983</v>
      </c>
      <c r="F40" s="3"/>
      <c r="G40" s="3" t="s">
        <v>39184</v>
      </c>
      <c r="H40" s="3" t="s">
        <v>10</v>
      </c>
      <c r="I40" s="3" t="s">
        <v>86</v>
      </c>
      <c r="J40" s="3" t="s">
        <v>5</v>
      </c>
      <c r="K40" s="113" t="s">
        <v>16</v>
      </c>
      <c r="L40" s="3" t="s">
        <v>67</v>
      </c>
      <c r="M40" s="3" t="s">
        <v>39055</v>
      </c>
      <c r="N40" s="3"/>
      <c r="O40" s="3"/>
      <c r="P40" s="3"/>
      <c r="Q40" s="3" t="s">
        <v>39185</v>
      </c>
      <c r="R40" s="3" t="s">
        <v>39057</v>
      </c>
      <c r="S40" s="3" t="s">
        <v>39098</v>
      </c>
      <c r="T40" s="114">
        <v>0</v>
      </c>
      <c r="U40" s="114">
        <v>0</v>
      </c>
      <c r="V40" s="114">
        <v>0</v>
      </c>
      <c r="W40" s="114">
        <v>0</v>
      </c>
      <c r="X40" s="114">
        <v>0</v>
      </c>
      <c r="Y40" s="114">
        <v>0</v>
      </c>
      <c r="Z40" s="114">
        <v>0</v>
      </c>
      <c r="AA40" s="114">
        <v>0</v>
      </c>
      <c r="AB40" s="114">
        <v>0</v>
      </c>
      <c r="AC40" s="114">
        <v>0</v>
      </c>
      <c r="AD40" s="114">
        <v>0</v>
      </c>
      <c r="AE40" s="114">
        <v>0</v>
      </c>
      <c r="AF40" s="114">
        <v>0</v>
      </c>
      <c r="AG40" s="114">
        <v>300000</v>
      </c>
      <c r="AH40" s="114">
        <v>0</v>
      </c>
      <c r="AI40" s="114">
        <v>0</v>
      </c>
      <c r="AJ40" s="114">
        <v>0</v>
      </c>
      <c r="AK40" s="114">
        <v>300000</v>
      </c>
      <c r="AL40" s="114">
        <v>0</v>
      </c>
      <c r="AM40" s="114">
        <v>0</v>
      </c>
      <c r="AN40" s="114">
        <v>0</v>
      </c>
      <c r="AO40" s="114">
        <v>0</v>
      </c>
      <c r="AP40" s="114">
        <v>0</v>
      </c>
      <c r="AQ40" s="114">
        <v>300000</v>
      </c>
      <c r="AR40" s="22">
        <v>178</v>
      </c>
      <c r="AS40" s="3" t="s">
        <v>39059</v>
      </c>
      <c r="AT40" s="115">
        <v>2025</v>
      </c>
      <c r="AU40" s="22">
        <f>_xlfn.XLOOKUP(_tPE26_29_Consolidada[[#This Row], [ID Financeiro]],[5]Projetos!$K:$K,[5]Projetos!$A:$A,0,0)</f>
      </c>
      <c r="AV40" s="3" t="s">
        <v>39186</v>
      </c>
      <c r="AW40" s="3" t="s">
        <v>39062</v>
      </c>
      <c r="AX40" s="8" t="s">
        <v>39185</v>
      </c>
      <c r="AY40" s="8"/>
      <c r="AZ40" s="3" t="s">
        <v>39187</v>
      </c>
      <c r="BA40" s="3"/>
      <c r="BB40" s="3"/>
      <c r="BC40" s="3"/>
      <c r="BD40" s="3"/>
      <c r="BE40" s="3"/>
      <c r="BF40" s="3"/>
      <c r="BG40" s="3"/>
      <c r="BH40" s="3"/>
      <c r="BI40" s="3"/>
      <c r="BJ40" s="3"/>
      <c r="BK40" s="3"/>
      <c r="BL40" s="3"/>
      <c r="BM40" s="3"/>
      <c r="BN40" s="3"/>
      <c r="BO40" s="3"/>
      <c r="BP40" s="116">
        <f>IFERROR(VLOOKUP(_tPE26_29_Consolidada[[#This Row], [ID Financeiro]],'[4]PE 25-29'!$B:$AF,31,FALSE),0)</f>
      </c>
      <c r="BQ40" s="116">
        <f>_tPE26_29_Consolidada[[#This Row], [2026]]*1000</f>
      </c>
      <c r="BR40" s="117">
        <f>_tPE26_29_Consolidada[[#This Row], [Orçado 2026 (PE25-29)]]-_tPE26_29_Consolidada[[#This Row], [Orçado 2026 (PE26-30)]]</f>
      </c>
      <c r="BS40" s="117">
        <f>IFERROR(VLOOKUP(_tPE26_29_Consolidada[[#This Row], [ID Financeiro]],'[4]PE 25-29'!$B:$AT,45,FALSE),0)</f>
      </c>
      <c r="BT40" s="117">
        <f>_tPE26_29_Consolidada[[#This Row], [2026-2030]]*1000</f>
      </c>
      <c r="BU40" s="117">
        <f>-_tPE26_29_Consolidada[[#This Row], [Orçado 26/30 (PE25-29)]]+_tPE26_29_Consolidada[[#This Row], [Orçado 26/30 (PE26-30)]]</f>
      </c>
      <c r="BV40" s="119">
        <f>IFERROR(_tPE26_29_Consolidada[[#This Row], [Dif2]]/_tPE26_29_Consolidada[[#This Row], [Orçado 26/30 (PE25-29)]],0)</f>
      </c>
      <c r="BW40" s="1"/>
      <c r="BX40" s="1"/>
      <c r="BY40" s="1"/>
      <c r="BZ40" s="1"/>
      <c r="CA40" s="1"/>
      <c r="CB40" s="1"/>
      <c r="CC40" s="1"/>
      <c r="CD40" s="1"/>
      <c r="CE40" s="1"/>
      <c r="CF40" s="1"/>
      <c r="CG40" s="1"/>
      <c r="CH40" s="1"/>
      <c r="CI40" s="1"/>
      <c r="CJ40" s="1"/>
      <c r="CK40" s="1"/>
      <c r="CL40" s="1"/>
      <c r="CM40" s="1"/>
      <c r="CN40" s="1"/>
      <c r="CO40" s="1"/>
      <c r="CP40" s="1"/>
      <c r="CQ40" s="111"/>
      <c r="CR40" s="111"/>
      <c r="CS40" s="111"/>
      <c r="CT40" s="111"/>
      <c r="CU40" s="111"/>
      <c r="CV40" s="111"/>
      <c r="CW40" s="111"/>
      <c r="CX40" s="111"/>
      <c r="CY40" s="111"/>
      <c r="CZ40" s="111"/>
      <c r="DA40" s="111"/>
      <c r="DB40" s="111"/>
      <c r="DC40" s="111"/>
      <c r="DD40" s="111"/>
      <c r="DE40" s="111"/>
      <c r="DF40" s="111"/>
      <c r="DG40" s="111"/>
      <c r="DH40" s="111"/>
      <c r="DI40" s="111"/>
      <c r="DJ40" s="111"/>
      <c r="DK40" s="111"/>
      <c r="DL40" s="111"/>
      <c r="DM40" s="111"/>
      <c r="DN40" s="111"/>
      <c r="DO40" s="111"/>
      <c r="DP40" s="111"/>
      <c r="DQ40" s="111"/>
      <c r="DR40" s="111"/>
      <c r="DS40" s="111"/>
      <c r="DT40" s="111"/>
      <c r="DU40" s="111"/>
      <c r="DV40" s="111"/>
      <c r="DW40" s="111"/>
      <c r="DX40" s="111"/>
      <c r="DY40" s="111"/>
      <c r="DZ40" s="111"/>
      <c r="EA40" s="111"/>
      <c r="EB40" s="111"/>
      <c r="EC40" s="111"/>
      <c r="ED40" s="111"/>
      <c r="EE40" s="111"/>
      <c r="EF40" s="111"/>
      <c r="EG40" s="111"/>
      <c r="EH40" s="111"/>
      <c r="EI40" s="111"/>
      <c r="EJ40" s="111"/>
      <c r="EK40" s="111"/>
      <c r="EL40" s="111"/>
      <c r="EM40" s="111"/>
      <c r="EN40" s="111"/>
      <c r="EO40" s="111"/>
      <c r="EP40" s="111"/>
      <c r="EQ40" s="111"/>
      <c r="ER40" s="111"/>
      <c r="ES40" s="111"/>
      <c r="ET40" s="111"/>
      <c r="EU40" s="111"/>
      <c r="EV40" s="111"/>
      <c r="EW40" s="111"/>
      <c r="EX40" s="111"/>
      <c r="EY40" s="111"/>
      <c r="EZ40" s="111"/>
      <c r="FA40" s="2"/>
      <c r="FB40" s="2"/>
      <c r="FC40" s="2"/>
      <c r="FD40" s="2"/>
      <c r="FE40" s="2"/>
      <c r="FF40" s="2"/>
    </row>
    <row x14ac:dyDescent="0.25" r="41" customHeight="1" ht="18.75">
      <c r="A41" s="3"/>
      <c r="B41" s="118" t="s">
        <v>39052</v>
      </c>
      <c r="C41" s="3" t="s">
        <v>39053</v>
      </c>
      <c r="D41" s="3" t="s">
        <v>8</v>
      </c>
      <c r="E41" s="3" t="s">
        <v>38983</v>
      </c>
      <c r="F41" s="3"/>
      <c r="G41" s="3" t="s">
        <v>39188</v>
      </c>
      <c r="H41" s="3" t="s">
        <v>10</v>
      </c>
      <c r="I41" s="3" t="s">
        <v>86</v>
      </c>
      <c r="J41" s="3" t="s">
        <v>5</v>
      </c>
      <c r="K41" s="113" t="s">
        <v>16</v>
      </c>
      <c r="L41" s="3" t="s">
        <v>67</v>
      </c>
      <c r="M41" s="3" t="s">
        <v>39055</v>
      </c>
      <c r="N41" s="3"/>
      <c r="O41" s="3"/>
      <c r="P41" s="3"/>
      <c r="Q41" s="3" t="s">
        <v>39189</v>
      </c>
      <c r="R41" s="3" t="s">
        <v>39057</v>
      </c>
      <c r="S41" s="3" t="s">
        <v>39098</v>
      </c>
      <c r="T41" s="114">
        <v>0</v>
      </c>
      <c r="U41" s="114">
        <v>0</v>
      </c>
      <c r="V41" s="114">
        <v>0</v>
      </c>
      <c r="W41" s="114">
        <v>0</v>
      </c>
      <c r="X41" s="114">
        <v>0</v>
      </c>
      <c r="Y41" s="114">
        <v>0</v>
      </c>
      <c r="Z41" s="114">
        <v>0</v>
      </c>
      <c r="AA41" s="114">
        <v>0</v>
      </c>
      <c r="AB41" s="114">
        <v>0</v>
      </c>
      <c r="AC41" s="114">
        <v>0</v>
      </c>
      <c r="AD41" s="114">
        <v>0</v>
      </c>
      <c r="AE41" s="114">
        <v>0</v>
      </c>
      <c r="AF41" s="114">
        <v>0</v>
      </c>
      <c r="AG41" s="114">
        <v>400000</v>
      </c>
      <c r="AH41" s="114">
        <v>0</v>
      </c>
      <c r="AI41" s="114">
        <v>0</v>
      </c>
      <c r="AJ41" s="114">
        <v>0</v>
      </c>
      <c r="AK41" s="114">
        <v>400000</v>
      </c>
      <c r="AL41" s="114">
        <v>0</v>
      </c>
      <c r="AM41" s="114">
        <v>0</v>
      </c>
      <c r="AN41" s="114">
        <v>0</v>
      </c>
      <c r="AO41" s="114">
        <v>0</v>
      </c>
      <c r="AP41" s="114">
        <v>0</v>
      </c>
      <c r="AQ41" s="114">
        <v>400000</v>
      </c>
      <c r="AR41" s="22">
        <v>179</v>
      </c>
      <c r="AS41" s="3" t="s">
        <v>39059</v>
      </c>
      <c r="AT41" s="115">
        <v>2025</v>
      </c>
      <c r="AU41" s="22">
        <f>_xlfn.XLOOKUP(_tPE26_29_Consolidada[[#This Row], [ID Financeiro]],[5]Projetos!$K:$K,[5]Projetos!$A:$A,0,0)</f>
      </c>
      <c r="AV41" s="3" t="s">
        <v>39190</v>
      </c>
      <c r="AW41" s="3" t="s">
        <v>39062</v>
      </c>
      <c r="AX41" s="8" t="s">
        <v>39189</v>
      </c>
      <c r="AY41" s="8"/>
      <c r="AZ41" s="3" t="s">
        <v>39187</v>
      </c>
      <c r="BA41" s="3"/>
      <c r="BB41" s="3"/>
      <c r="BC41" s="3"/>
      <c r="BD41" s="3"/>
      <c r="BE41" s="3"/>
      <c r="BF41" s="3"/>
      <c r="BG41" s="3"/>
      <c r="BH41" s="3"/>
      <c r="BI41" s="3"/>
      <c r="BJ41" s="3"/>
      <c r="BK41" s="3"/>
      <c r="BL41" s="3"/>
      <c r="BM41" s="3"/>
      <c r="BN41" s="3"/>
      <c r="BO41" s="3"/>
      <c r="BP41" s="116">
        <f>IFERROR(VLOOKUP(_tPE26_29_Consolidada[[#This Row], [ID Financeiro]],'[4]PE 25-29'!$B:$AF,31,FALSE),0)</f>
      </c>
      <c r="BQ41" s="116">
        <f>_tPE26_29_Consolidada[[#This Row], [2026]]*1000</f>
      </c>
      <c r="BR41" s="117">
        <f>_tPE26_29_Consolidada[[#This Row], [Orçado 2026 (PE25-29)]]-_tPE26_29_Consolidada[[#This Row], [Orçado 2026 (PE26-30)]]</f>
      </c>
      <c r="BS41" s="117">
        <f>IFERROR(VLOOKUP(_tPE26_29_Consolidada[[#This Row], [ID Financeiro]],'[4]PE 25-29'!$B:$AT,45,FALSE),0)</f>
      </c>
      <c r="BT41" s="117">
        <f>_tPE26_29_Consolidada[[#This Row], [2026-2030]]*1000</f>
      </c>
      <c r="BU41" s="117">
        <f>-_tPE26_29_Consolidada[[#This Row], [Orçado 26/30 (PE25-29)]]+_tPE26_29_Consolidada[[#This Row], [Orçado 26/30 (PE26-30)]]</f>
      </c>
      <c r="BV41" s="119">
        <f>IFERROR(_tPE26_29_Consolidada[[#This Row], [Dif2]]/_tPE26_29_Consolidada[[#This Row], [Orçado 26/30 (PE25-29)]],0)</f>
      </c>
      <c r="BW41" s="1"/>
      <c r="BX41" s="1"/>
      <c r="BY41" s="1"/>
      <c r="BZ41" s="1"/>
      <c r="CA41" s="1"/>
      <c r="CB41" s="1"/>
      <c r="CC41" s="1"/>
      <c r="CD41" s="1"/>
      <c r="CE41" s="1"/>
      <c r="CF41" s="1"/>
      <c r="CG41" s="1"/>
      <c r="CH41" s="1"/>
      <c r="CI41" s="1"/>
      <c r="CJ41" s="1"/>
      <c r="CK41" s="1"/>
      <c r="CL41" s="1"/>
      <c r="CM41" s="1"/>
      <c r="CN41" s="1"/>
      <c r="CO41" s="1"/>
      <c r="CP41" s="1"/>
      <c r="CQ41" s="111"/>
      <c r="CR41" s="111"/>
      <c r="CS41" s="111"/>
      <c r="CT41" s="111"/>
      <c r="CU41" s="111"/>
      <c r="CV41" s="111"/>
      <c r="CW41" s="111"/>
      <c r="CX41" s="111"/>
      <c r="CY41" s="111"/>
      <c r="CZ41" s="111"/>
      <c r="DA41" s="111"/>
      <c r="DB41" s="111"/>
      <c r="DC41" s="111"/>
      <c r="DD41" s="111"/>
      <c r="DE41" s="111"/>
      <c r="DF41" s="111"/>
      <c r="DG41" s="111"/>
      <c r="DH41" s="111"/>
      <c r="DI41" s="111"/>
      <c r="DJ41" s="111"/>
      <c r="DK41" s="111"/>
      <c r="DL41" s="111"/>
      <c r="DM41" s="111"/>
      <c r="DN41" s="111"/>
      <c r="DO41" s="111"/>
      <c r="DP41" s="111"/>
      <c r="DQ41" s="111"/>
      <c r="DR41" s="111"/>
      <c r="DS41" s="111"/>
      <c r="DT41" s="111"/>
      <c r="DU41" s="111"/>
      <c r="DV41" s="111"/>
      <c r="DW41" s="111"/>
      <c r="DX41" s="111"/>
      <c r="DY41" s="111"/>
      <c r="DZ41" s="111"/>
      <c r="EA41" s="111"/>
      <c r="EB41" s="111"/>
      <c r="EC41" s="111"/>
      <c r="ED41" s="111"/>
      <c r="EE41" s="111"/>
      <c r="EF41" s="111"/>
      <c r="EG41" s="111"/>
      <c r="EH41" s="111"/>
      <c r="EI41" s="111"/>
      <c r="EJ41" s="111"/>
      <c r="EK41" s="111"/>
      <c r="EL41" s="111"/>
      <c r="EM41" s="111"/>
      <c r="EN41" s="111"/>
      <c r="EO41" s="111"/>
      <c r="EP41" s="111"/>
      <c r="EQ41" s="111"/>
      <c r="ER41" s="111"/>
      <c r="ES41" s="111"/>
      <c r="ET41" s="111"/>
      <c r="EU41" s="111"/>
      <c r="EV41" s="111"/>
      <c r="EW41" s="111"/>
      <c r="EX41" s="111"/>
      <c r="EY41" s="111"/>
      <c r="EZ41" s="111"/>
      <c r="FA41" s="2"/>
      <c r="FB41" s="2"/>
      <c r="FC41" s="2"/>
      <c r="FD41" s="2"/>
      <c r="FE41" s="2"/>
      <c r="FF41" s="2"/>
    </row>
    <row x14ac:dyDescent="0.25" r="42" customHeight="1" ht="18.75">
      <c r="A42" s="3"/>
      <c r="B42" s="118" t="s">
        <v>39052</v>
      </c>
      <c r="C42" s="3" t="s">
        <v>39053</v>
      </c>
      <c r="D42" s="3" t="s">
        <v>8</v>
      </c>
      <c r="E42" s="3" t="s">
        <v>38983</v>
      </c>
      <c r="F42" s="3"/>
      <c r="G42" s="3" t="s">
        <v>39191</v>
      </c>
      <c r="H42" s="3" t="s">
        <v>10</v>
      </c>
      <c r="I42" s="3" t="s">
        <v>86</v>
      </c>
      <c r="J42" s="3" t="s">
        <v>5</v>
      </c>
      <c r="K42" s="113" t="s">
        <v>16</v>
      </c>
      <c r="L42" s="3" t="s">
        <v>67</v>
      </c>
      <c r="M42" s="3" t="s">
        <v>39055</v>
      </c>
      <c r="N42" s="3"/>
      <c r="O42" s="3"/>
      <c r="P42" s="3"/>
      <c r="Q42" s="3" t="s">
        <v>39192</v>
      </c>
      <c r="R42" s="3" t="s">
        <v>39155</v>
      </c>
      <c r="S42" s="3" t="s">
        <v>39123</v>
      </c>
      <c r="T42" s="114">
        <v>5000</v>
      </c>
      <c r="U42" s="114">
        <v>5000</v>
      </c>
      <c r="V42" s="114">
        <v>5000</v>
      </c>
      <c r="W42" s="114">
        <v>5000</v>
      </c>
      <c r="X42" s="114">
        <v>5000</v>
      </c>
      <c r="Y42" s="114">
        <v>5000</v>
      </c>
      <c r="Z42" s="114">
        <v>5000</v>
      </c>
      <c r="AA42" s="114">
        <v>193000</v>
      </c>
      <c r="AB42" s="114">
        <v>193000</v>
      </c>
      <c r="AC42" s="114">
        <v>243000</v>
      </c>
      <c r="AD42" s="114">
        <v>243000</v>
      </c>
      <c r="AE42" s="114">
        <v>193000</v>
      </c>
      <c r="AF42" s="114">
        <v>1100000</v>
      </c>
      <c r="AG42" s="114">
        <v>900000</v>
      </c>
      <c r="AH42" s="114">
        <v>0</v>
      </c>
      <c r="AI42" s="114">
        <v>0</v>
      </c>
      <c r="AJ42" s="114">
        <v>0</v>
      </c>
      <c r="AK42" s="114">
        <v>2000000</v>
      </c>
      <c r="AL42" s="114">
        <v>0</v>
      </c>
      <c r="AM42" s="114">
        <v>0</v>
      </c>
      <c r="AN42" s="114">
        <v>0</v>
      </c>
      <c r="AO42" s="114">
        <v>0</v>
      </c>
      <c r="AP42" s="114">
        <v>0</v>
      </c>
      <c r="AQ42" s="114">
        <v>2000000</v>
      </c>
      <c r="AR42" s="22">
        <v>180</v>
      </c>
      <c r="AS42" s="3" t="s">
        <v>39156</v>
      </c>
      <c r="AT42" s="115">
        <v>2025</v>
      </c>
      <c r="AU42" s="22">
        <f>_xlfn.XLOOKUP(_tPE26_29_Consolidada[[#This Row], [ID Financeiro]],[5]Projetos!$K:$K,[5]Projetos!$A:$A,0,0)</f>
      </c>
      <c r="AV42" s="3" t="s">
        <v>39193</v>
      </c>
      <c r="AW42" s="3" t="s">
        <v>39194</v>
      </c>
      <c r="AX42" s="8" t="s">
        <v>39192</v>
      </c>
      <c r="AY42" s="8"/>
      <c r="AZ42" s="3" t="s">
        <v>39158</v>
      </c>
      <c r="BA42" s="3"/>
      <c r="BB42" s="3"/>
      <c r="BC42" s="3"/>
      <c r="BD42" s="3"/>
      <c r="BE42" s="3"/>
      <c r="BF42" s="3"/>
      <c r="BG42" s="3"/>
      <c r="BH42" s="3"/>
      <c r="BI42" s="3"/>
      <c r="BJ42" s="3"/>
      <c r="BK42" s="3"/>
      <c r="BL42" s="3"/>
      <c r="BM42" s="3"/>
      <c r="BN42" s="3"/>
      <c r="BO42" s="3"/>
      <c r="BP42" s="116">
        <f>IFERROR(VLOOKUP(_tPE26_29_Consolidada[[#This Row], [ID Financeiro]],'[4]PE 25-29'!$B:$AF,31,FALSE),0)</f>
      </c>
      <c r="BQ42" s="116">
        <f>_tPE26_29_Consolidada[[#This Row], [2026]]*1000</f>
      </c>
      <c r="BR42" s="117">
        <f>_tPE26_29_Consolidada[[#This Row], [Orçado 2026 (PE25-29)]]-_tPE26_29_Consolidada[[#This Row], [Orçado 2026 (PE26-30)]]</f>
      </c>
      <c r="BS42" s="117">
        <f>IFERROR(VLOOKUP(_tPE26_29_Consolidada[[#This Row], [ID Financeiro]],'[4]PE 25-29'!$B:$AT,45,FALSE),0)</f>
      </c>
      <c r="BT42" s="117">
        <f>_tPE26_29_Consolidada[[#This Row], [2026-2030]]*1000</f>
      </c>
      <c r="BU42" s="117">
        <f>-_tPE26_29_Consolidada[[#This Row], [Orçado 26/30 (PE25-29)]]+_tPE26_29_Consolidada[[#This Row], [Orçado 26/30 (PE26-30)]]</f>
      </c>
      <c r="BV42" s="119">
        <f>IFERROR(_tPE26_29_Consolidada[[#This Row], [Dif2]]/_tPE26_29_Consolidada[[#This Row], [Orçado 26/30 (PE25-29)]],0)</f>
      </c>
      <c r="BW42" s="1"/>
      <c r="BX42" s="1"/>
      <c r="BY42" s="1"/>
      <c r="BZ42" s="1"/>
      <c r="CA42" s="1"/>
      <c r="CB42" s="1"/>
      <c r="CC42" s="1"/>
      <c r="CD42" s="1"/>
      <c r="CE42" s="1"/>
      <c r="CF42" s="1"/>
      <c r="CG42" s="1"/>
      <c r="CH42" s="1"/>
      <c r="CI42" s="1"/>
      <c r="CJ42" s="1"/>
      <c r="CK42" s="1"/>
      <c r="CL42" s="1"/>
      <c r="CM42" s="1"/>
      <c r="CN42" s="1"/>
      <c r="CO42" s="1"/>
      <c r="CP42" s="1"/>
      <c r="CQ42" s="111"/>
      <c r="CR42" s="111"/>
      <c r="CS42" s="111"/>
      <c r="CT42" s="111"/>
      <c r="CU42" s="111"/>
      <c r="CV42" s="111"/>
      <c r="CW42" s="111"/>
      <c r="CX42" s="111"/>
      <c r="CY42" s="111"/>
      <c r="CZ42" s="111"/>
      <c r="DA42" s="111"/>
      <c r="DB42" s="111"/>
      <c r="DC42" s="111"/>
      <c r="DD42" s="111"/>
      <c r="DE42" s="111"/>
      <c r="DF42" s="111"/>
      <c r="DG42" s="111"/>
      <c r="DH42" s="111"/>
      <c r="DI42" s="111"/>
      <c r="DJ42" s="111"/>
      <c r="DK42" s="111"/>
      <c r="DL42" s="111"/>
      <c r="DM42" s="111"/>
      <c r="DN42" s="111"/>
      <c r="DO42" s="111"/>
      <c r="DP42" s="111"/>
      <c r="DQ42" s="111"/>
      <c r="DR42" s="111"/>
      <c r="DS42" s="111"/>
      <c r="DT42" s="111"/>
      <c r="DU42" s="111"/>
      <c r="DV42" s="111"/>
      <c r="DW42" s="111"/>
      <c r="DX42" s="111"/>
      <c r="DY42" s="111"/>
      <c r="DZ42" s="111"/>
      <c r="EA42" s="111"/>
      <c r="EB42" s="111"/>
      <c r="EC42" s="111"/>
      <c r="ED42" s="111"/>
      <c r="EE42" s="111"/>
      <c r="EF42" s="111"/>
      <c r="EG42" s="111"/>
      <c r="EH42" s="111"/>
      <c r="EI42" s="111"/>
      <c r="EJ42" s="111"/>
      <c r="EK42" s="111"/>
      <c r="EL42" s="111"/>
      <c r="EM42" s="111"/>
      <c r="EN42" s="111"/>
      <c r="EO42" s="111"/>
      <c r="EP42" s="111"/>
      <c r="EQ42" s="111"/>
      <c r="ER42" s="111"/>
      <c r="ES42" s="111"/>
      <c r="ET42" s="111"/>
      <c r="EU42" s="111"/>
      <c r="EV42" s="111"/>
      <c r="EW42" s="111"/>
      <c r="EX42" s="111"/>
      <c r="EY42" s="111"/>
      <c r="EZ42" s="111"/>
      <c r="FA42" s="2"/>
      <c r="FB42" s="2"/>
      <c r="FC42" s="2"/>
      <c r="FD42" s="2"/>
      <c r="FE42" s="2"/>
      <c r="FF42" s="2"/>
    </row>
    <row x14ac:dyDescent="0.25" r="43" customHeight="1" ht="18.75">
      <c r="A43" s="3"/>
      <c r="B43" s="118" t="s">
        <v>39052</v>
      </c>
      <c r="C43" s="3" t="s">
        <v>39053</v>
      </c>
      <c r="D43" s="3" t="s">
        <v>8</v>
      </c>
      <c r="E43" s="3" t="s">
        <v>38983</v>
      </c>
      <c r="F43" s="3"/>
      <c r="G43" s="3" t="s">
        <v>39195</v>
      </c>
      <c r="H43" s="3" t="s">
        <v>10</v>
      </c>
      <c r="I43" s="3" t="s">
        <v>86</v>
      </c>
      <c r="J43" s="3" t="s">
        <v>5</v>
      </c>
      <c r="K43" s="113" t="s">
        <v>16</v>
      </c>
      <c r="L43" s="3" t="s">
        <v>67</v>
      </c>
      <c r="M43" s="3" t="s">
        <v>39055</v>
      </c>
      <c r="N43" s="3"/>
      <c r="O43" s="3"/>
      <c r="P43" s="3"/>
      <c r="Q43" s="3" t="s">
        <v>39196</v>
      </c>
      <c r="R43" s="3" t="s">
        <v>39057</v>
      </c>
      <c r="S43" s="3" t="s">
        <v>39197</v>
      </c>
      <c r="T43" s="114">
        <v>1000</v>
      </c>
      <c r="U43" s="114">
        <v>1000</v>
      </c>
      <c r="V43" s="114">
        <v>1000</v>
      </c>
      <c r="W43" s="114">
        <v>1000</v>
      </c>
      <c r="X43" s="114">
        <v>1000</v>
      </c>
      <c r="Y43" s="114">
        <v>1000</v>
      </c>
      <c r="Z43" s="114">
        <v>1000</v>
      </c>
      <c r="AA43" s="114">
        <v>1000</v>
      </c>
      <c r="AB43" s="114">
        <v>50000</v>
      </c>
      <c r="AC43" s="114">
        <v>10000</v>
      </c>
      <c r="AD43" s="114">
        <v>64000</v>
      </c>
      <c r="AE43" s="114">
        <v>10000</v>
      </c>
      <c r="AF43" s="114">
        <v>142000</v>
      </c>
      <c r="AG43" s="114">
        <v>8000</v>
      </c>
      <c r="AH43" s="114">
        <v>0</v>
      </c>
      <c r="AI43" s="114">
        <v>0</v>
      </c>
      <c r="AJ43" s="114">
        <v>0</v>
      </c>
      <c r="AK43" s="114">
        <v>150000</v>
      </c>
      <c r="AL43" s="114">
        <v>0</v>
      </c>
      <c r="AM43" s="114">
        <v>0</v>
      </c>
      <c r="AN43" s="114">
        <v>0</v>
      </c>
      <c r="AO43" s="114">
        <v>0</v>
      </c>
      <c r="AP43" s="114">
        <v>0</v>
      </c>
      <c r="AQ43" s="114">
        <v>150000</v>
      </c>
      <c r="AR43" s="22">
        <v>181</v>
      </c>
      <c r="AS43" s="3" t="s">
        <v>39059</v>
      </c>
      <c r="AT43" s="115">
        <v>2025</v>
      </c>
      <c r="AU43" s="22">
        <f>_xlfn.XLOOKUP(_tPE26_29_Consolidada[[#This Row], [ID Financeiro]],[5]Projetos!$K:$K,[5]Projetos!$A:$A,0,0)</f>
      </c>
      <c r="AV43" s="3" t="s">
        <v>39198</v>
      </c>
      <c r="AW43" s="3" t="s">
        <v>39194</v>
      </c>
      <c r="AX43" s="8" t="s">
        <v>39196</v>
      </c>
      <c r="AY43" s="8"/>
      <c r="AZ43" s="3" t="s">
        <v>39130</v>
      </c>
      <c r="BA43" s="3"/>
      <c r="BB43" s="3"/>
      <c r="BC43" s="3"/>
      <c r="BD43" s="3"/>
      <c r="BE43" s="3"/>
      <c r="BF43" s="3"/>
      <c r="BG43" s="3"/>
      <c r="BH43" s="3"/>
      <c r="BI43" s="3"/>
      <c r="BJ43" s="3"/>
      <c r="BK43" s="3"/>
      <c r="BL43" s="3"/>
      <c r="BM43" s="3"/>
      <c r="BN43" s="3"/>
      <c r="BO43" s="3"/>
      <c r="BP43" s="116">
        <f>IFERROR(VLOOKUP(_tPE26_29_Consolidada[[#This Row], [ID Financeiro]],'[4]PE 25-29'!$B:$AF,31,FALSE),0)</f>
      </c>
      <c r="BQ43" s="116">
        <f>_tPE26_29_Consolidada[[#This Row], [2026]]*1000</f>
      </c>
      <c r="BR43" s="117">
        <f>_tPE26_29_Consolidada[[#This Row], [Orçado 2026 (PE25-29)]]-_tPE26_29_Consolidada[[#This Row], [Orçado 2026 (PE26-30)]]</f>
      </c>
      <c r="BS43" s="117">
        <f>IFERROR(VLOOKUP(_tPE26_29_Consolidada[[#This Row], [ID Financeiro]],'[4]PE 25-29'!$B:$AT,45,FALSE),0)</f>
      </c>
      <c r="BT43" s="117">
        <f>_tPE26_29_Consolidada[[#This Row], [2026-2030]]*1000</f>
      </c>
      <c r="BU43" s="117">
        <f>-_tPE26_29_Consolidada[[#This Row], [Orçado 26/30 (PE25-29)]]+_tPE26_29_Consolidada[[#This Row], [Orçado 26/30 (PE26-30)]]</f>
      </c>
      <c r="BV43" s="119">
        <f>IFERROR(_tPE26_29_Consolidada[[#This Row], [Dif2]]/_tPE26_29_Consolidada[[#This Row], [Orçado 26/30 (PE25-29)]],0)</f>
      </c>
      <c r="BW43" s="1"/>
      <c r="BX43" s="1"/>
      <c r="BY43" s="1"/>
      <c r="BZ43" s="1"/>
      <c r="CA43" s="1"/>
      <c r="CB43" s="1"/>
      <c r="CC43" s="1"/>
      <c r="CD43" s="1"/>
      <c r="CE43" s="1"/>
      <c r="CF43" s="1"/>
      <c r="CG43" s="1"/>
      <c r="CH43" s="1"/>
      <c r="CI43" s="1"/>
      <c r="CJ43" s="1"/>
      <c r="CK43" s="1"/>
      <c r="CL43" s="1"/>
      <c r="CM43" s="1"/>
      <c r="CN43" s="1"/>
      <c r="CO43" s="1"/>
      <c r="CP43" s="1"/>
      <c r="CQ43" s="111"/>
      <c r="CR43" s="111"/>
      <c r="CS43" s="111"/>
      <c r="CT43" s="111"/>
      <c r="CU43" s="111"/>
      <c r="CV43" s="111"/>
      <c r="CW43" s="111"/>
      <c r="CX43" s="111"/>
      <c r="CY43" s="111"/>
      <c r="CZ43" s="111"/>
      <c r="DA43" s="111"/>
      <c r="DB43" s="111"/>
      <c r="DC43" s="111"/>
      <c r="DD43" s="111"/>
      <c r="DE43" s="111"/>
      <c r="DF43" s="111"/>
      <c r="DG43" s="111"/>
      <c r="DH43" s="111"/>
      <c r="DI43" s="111"/>
      <c r="DJ43" s="111"/>
      <c r="DK43" s="111"/>
      <c r="DL43" s="111"/>
      <c r="DM43" s="111"/>
      <c r="DN43" s="111"/>
      <c r="DO43" s="111"/>
      <c r="DP43" s="111"/>
      <c r="DQ43" s="111"/>
      <c r="DR43" s="111"/>
      <c r="DS43" s="111"/>
      <c r="DT43" s="111"/>
      <c r="DU43" s="111"/>
      <c r="DV43" s="111"/>
      <c r="DW43" s="111"/>
      <c r="DX43" s="111"/>
      <c r="DY43" s="111"/>
      <c r="DZ43" s="111"/>
      <c r="EA43" s="111"/>
      <c r="EB43" s="111"/>
      <c r="EC43" s="111"/>
      <c r="ED43" s="111"/>
      <c r="EE43" s="111"/>
      <c r="EF43" s="111"/>
      <c r="EG43" s="111"/>
      <c r="EH43" s="111"/>
      <c r="EI43" s="111"/>
      <c r="EJ43" s="111"/>
      <c r="EK43" s="111"/>
      <c r="EL43" s="111"/>
      <c r="EM43" s="111"/>
      <c r="EN43" s="111"/>
      <c r="EO43" s="111"/>
      <c r="EP43" s="111"/>
      <c r="EQ43" s="111"/>
      <c r="ER43" s="111"/>
      <c r="ES43" s="111"/>
      <c r="ET43" s="111"/>
      <c r="EU43" s="111"/>
      <c r="EV43" s="111"/>
      <c r="EW43" s="111"/>
      <c r="EX43" s="111"/>
      <c r="EY43" s="111"/>
      <c r="EZ43" s="111"/>
      <c r="FA43" s="2"/>
      <c r="FB43" s="2"/>
      <c r="FC43" s="2"/>
      <c r="FD43" s="2"/>
      <c r="FE43" s="2"/>
      <c r="FF43" s="2"/>
    </row>
    <row x14ac:dyDescent="0.25" r="44" customHeight="1" ht="18.75">
      <c r="A44" s="3"/>
      <c r="B44" s="118" t="s">
        <v>39052</v>
      </c>
      <c r="C44" s="3" t="s">
        <v>39053</v>
      </c>
      <c r="D44" s="3" t="s">
        <v>8</v>
      </c>
      <c r="E44" s="3" t="s">
        <v>38983</v>
      </c>
      <c r="F44" s="3"/>
      <c r="G44" s="3" t="s">
        <v>39199</v>
      </c>
      <c r="H44" s="3" t="s">
        <v>10</v>
      </c>
      <c r="I44" s="3" t="s">
        <v>86</v>
      </c>
      <c r="J44" s="3" t="s">
        <v>5</v>
      </c>
      <c r="K44" s="113" t="s">
        <v>16</v>
      </c>
      <c r="L44" s="3" t="s">
        <v>67</v>
      </c>
      <c r="M44" s="3" t="s">
        <v>39055</v>
      </c>
      <c r="N44" s="3"/>
      <c r="O44" s="3"/>
      <c r="P44" s="3"/>
      <c r="Q44" s="3" t="s">
        <v>39200</v>
      </c>
      <c r="R44" s="3" t="s">
        <v>39057</v>
      </c>
      <c r="S44" s="3" t="s">
        <v>39128</v>
      </c>
      <c r="T44" s="114">
        <v>1000</v>
      </c>
      <c r="U44" s="114">
        <v>1000</v>
      </c>
      <c r="V44" s="114">
        <v>1000</v>
      </c>
      <c r="W44" s="114">
        <v>1000</v>
      </c>
      <c r="X44" s="114">
        <v>1000</v>
      </c>
      <c r="Y44" s="114">
        <v>1000</v>
      </c>
      <c r="Z44" s="114">
        <v>1000</v>
      </c>
      <c r="AA44" s="114">
        <v>1000</v>
      </c>
      <c r="AB44" s="114">
        <v>50000</v>
      </c>
      <c r="AC44" s="114">
        <v>10000</v>
      </c>
      <c r="AD44" s="114">
        <v>64000</v>
      </c>
      <c r="AE44" s="114">
        <v>10000</v>
      </c>
      <c r="AF44" s="114">
        <v>142000</v>
      </c>
      <c r="AG44" s="114">
        <v>8000</v>
      </c>
      <c r="AH44" s="114">
        <v>0</v>
      </c>
      <c r="AI44" s="114">
        <v>0</v>
      </c>
      <c r="AJ44" s="114">
        <v>0</v>
      </c>
      <c r="AK44" s="114">
        <v>150000</v>
      </c>
      <c r="AL44" s="114">
        <v>0</v>
      </c>
      <c r="AM44" s="114">
        <v>0</v>
      </c>
      <c r="AN44" s="114">
        <v>0</v>
      </c>
      <c r="AO44" s="114">
        <v>0</v>
      </c>
      <c r="AP44" s="114">
        <v>0</v>
      </c>
      <c r="AQ44" s="114">
        <v>150000</v>
      </c>
      <c r="AR44" s="22">
        <v>182</v>
      </c>
      <c r="AS44" s="3" t="s">
        <v>39059</v>
      </c>
      <c r="AT44" s="115">
        <v>2025</v>
      </c>
      <c r="AU44" s="22">
        <f>_xlfn.XLOOKUP(_tPE26_29_Consolidada[[#This Row], [ID Financeiro]],[5]Projetos!$K:$K,[5]Projetos!$A:$A,0,0)</f>
      </c>
      <c r="AV44" s="3" t="s">
        <v>39201</v>
      </c>
      <c r="AW44" s="3" t="s">
        <v>39194</v>
      </c>
      <c r="AX44" s="8" t="s">
        <v>39200</v>
      </c>
      <c r="AY44" s="8"/>
      <c r="AZ44" s="3" t="s">
        <v>39130</v>
      </c>
      <c r="BA44" s="3"/>
      <c r="BB44" s="3"/>
      <c r="BC44" s="3"/>
      <c r="BD44" s="3"/>
      <c r="BE44" s="3"/>
      <c r="BF44" s="3"/>
      <c r="BG44" s="3"/>
      <c r="BH44" s="3"/>
      <c r="BI44" s="3"/>
      <c r="BJ44" s="3"/>
      <c r="BK44" s="3"/>
      <c r="BL44" s="3"/>
      <c r="BM44" s="3"/>
      <c r="BN44" s="3"/>
      <c r="BO44" s="3"/>
      <c r="BP44" s="116">
        <f>IFERROR(VLOOKUP(_tPE26_29_Consolidada[[#This Row], [ID Financeiro]],'[4]PE 25-29'!$B:$AF,31,FALSE),0)</f>
      </c>
      <c r="BQ44" s="116">
        <f>_tPE26_29_Consolidada[[#This Row], [2026]]*1000</f>
      </c>
      <c r="BR44" s="117">
        <f>_tPE26_29_Consolidada[[#This Row], [Orçado 2026 (PE25-29)]]-_tPE26_29_Consolidada[[#This Row], [Orçado 2026 (PE26-30)]]</f>
      </c>
      <c r="BS44" s="117">
        <f>IFERROR(VLOOKUP(_tPE26_29_Consolidada[[#This Row], [ID Financeiro]],'[4]PE 25-29'!$B:$AT,45,FALSE),0)</f>
      </c>
      <c r="BT44" s="117">
        <f>_tPE26_29_Consolidada[[#This Row], [2026-2030]]*1000</f>
      </c>
      <c r="BU44" s="117">
        <f>-_tPE26_29_Consolidada[[#This Row], [Orçado 26/30 (PE25-29)]]+_tPE26_29_Consolidada[[#This Row], [Orçado 26/30 (PE26-30)]]</f>
      </c>
      <c r="BV44" s="119">
        <f>IFERROR(_tPE26_29_Consolidada[[#This Row], [Dif2]]/_tPE26_29_Consolidada[[#This Row], [Orçado 26/30 (PE25-29)]],0)</f>
      </c>
      <c r="BW44" s="1"/>
      <c r="BX44" s="1"/>
      <c r="BY44" s="1"/>
      <c r="BZ44" s="1"/>
      <c r="CA44" s="1"/>
      <c r="CB44" s="1"/>
      <c r="CC44" s="1"/>
      <c r="CD44" s="1"/>
      <c r="CE44" s="1"/>
      <c r="CF44" s="1"/>
      <c r="CG44" s="1"/>
      <c r="CH44" s="1"/>
      <c r="CI44" s="1"/>
      <c r="CJ44" s="1"/>
      <c r="CK44" s="1"/>
      <c r="CL44" s="1"/>
      <c r="CM44" s="1"/>
      <c r="CN44" s="1"/>
      <c r="CO44" s="1"/>
      <c r="CP44" s="1"/>
      <c r="CQ44" s="111"/>
      <c r="CR44" s="111"/>
      <c r="CS44" s="111"/>
      <c r="CT44" s="111"/>
      <c r="CU44" s="111"/>
      <c r="CV44" s="111"/>
      <c r="CW44" s="111"/>
      <c r="CX44" s="111"/>
      <c r="CY44" s="111"/>
      <c r="CZ44" s="111"/>
      <c r="DA44" s="111"/>
      <c r="DB44" s="111"/>
      <c r="DC44" s="111"/>
      <c r="DD44" s="111"/>
      <c r="DE44" s="111"/>
      <c r="DF44" s="111"/>
      <c r="DG44" s="111"/>
      <c r="DH44" s="111"/>
      <c r="DI44" s="111"/>
      <c r="DJ44" s="111"/>
      <c r="DK44" s="111"/>
      <c r="DL44" s="111"/>
      <c r="DM44" s="111"/>
      <c r="DN44" s="111"/>
      <c r="DO44" s="111"/>
      <c r="DP44" s="111"/>
      <c r="DQ44" s="111"/>
      <c r="DR44" s="111"/>
      <c r="DS44" s="111"/>
      <c r="DT44" s="111"/>
      <c r="DU44" s="111"/>
      <c r="DV44" s="111"/>
      <c r="DW44" s="111"/>
      <c r="DX44" s="111"/>
      <c r="DY44" s="111"/>
      <c r="DZ44" s="111"/>
      <c r="EA44" s="111"/>
      <c r="EB44" s="111"/>
      <c r="EC44" s="111"/>
      <c r="ED44" s="111"/>
      <c r="EE44" s="111"/>
      <c r="EF44" s="111"/>
      <c r="EG44" s="111"/>
      <c r="EH44" s="111"/>
      <c r="EI44" s="111"/>
      <c r="EJ44" s="111"/>
      <c r="EK44" s="111"/>
      <c r="EL44" s="111"/>
      <c r="EM44" s="111"/>
      <c r="EN44" s="111"/>
      <c r="EO44" s="111"/>
      <c r="EP44" s="111"/>
      <c r="EQ44" s="111"/>
      <c r="ER44" s="111"/>
      <c r="ES44" s="111"/>
      <c r="ET44" s="111"/>
      <c r="EU44" s="111"/>
      <c r="EV44" s="111"/>
      <c r="EW44" s="111"/>
      <c r="EX44" s="111"/>
      <c r="EY44" s="111"/>
      <c r="EZ44" s="111"/>
      <c r="FA44" s="2"/>
      <c r="FB44" s="2"/>
      <c r="FC44" s="2"/>
      <c r="FD44" s="2"/>
      <c r="FE44" s="2"/>
      <c r="FF44" s="2"/>
    </row>
    <row x14ac:dyDescent="0.25" r="45" customHeight="1" ht="18.75">
      <c r="A45" s="3"/>
      <c r="B45" s="118" t="s">
        <v>39052</v>
      </c>
      <c r="C45" s="3" t="s">
        <v>39053</v>
      </c>
      <c r="D45" s="3" t="s">
        <v>8</v>
      </c>
      <c r="E45" s="3" t="s">
        <v>38983</v>
      </c>
      <c r="F45" s="3"/>
      <c r="G45" s="3" t="s">
        <v>39202</v>
      </c>
      <c r="H45" s="3" t="s">
        <v>10</v>
      </c>
      <c r="I45" s="3" t="s">
        <v>86</v>
      </c>
      <c r="J45" s="3" t="s">
        <v>5</v>
      </c>
      <c r="K45" s="113" t="s">
        <v>16</v>
      </c>
      <c r="L45" s="3" t="s">
        <v>67</v>
      </c>
      <c r="M45" s="3" t="s">
        <v>39055</v>
      </c>
      <c r="N45" s="3"/>
      <c r="O45" s="3"/>
      <c r="P45" s="3"/>
      <c r="Q45" s="3" t="s">
        <v>39203</v>
      </c>
      <c r="R45" s="3" t="s">
        <v>39057</v>
      </c>
      <c r="S45" s="3" t="s">
        <v>39128</v>
      </c>
      <c r="T45" s="114">
        <v>1000</v>
      </c>
      <c r="U45" s="114">
        <v>1000</v>
      </c>
      <c r="V45" s="114">
        <v>2000</v>
      </c>
      <c r="W45" s="114">
        <v>2000</v>
      </c>
      <c r="X45" s="114">
        <v>70000</v>
      </c>
      <c r="Y45" s="114">
        <v>4000</v>
      </c>
      <c r="Z45" s="114">
        <v>4000</v>
      </c>
      <c r="AA45" s="114">
        <v>4000</v>
      </c>
      <c r="AB45" s="114">
        <v>4000</v>
      </c>
      <c r="AC45" s="114">
        <v>0</v>
      </c>
      <c r="AD45" s="114">
        <v>0</v>
      </c>
      <c r="AE45" s="114">
        <v>0</v>
      </c>
      <c r="AF45" s="114">
        <v>92000</v>
      </c>
      <c r="AG45" s="114">
        <v>0</v>
      </c>
      <c r="AH45" s="114">
        <v>0</v>
      </c>
      <c r="AI45" s="114">
        <v>0</v>
      </c>
      <c r="AJ45" s="114">
        <v>0</v>
      </c>
      <c r="AK45" s="114">
        <v>92000</v>
      </c>
      <c r="AL45" s="114">
        <v>0</v>
      </c>
      <c r="AM45" s="114">
        <v>0</v>
      </c>
      <c r="AN45" s="114">
        <v>0</v>
      </c>
      <c r="AO45" s="114">
        <v>0</v>
      </c>
      <c r="AP45" s="114">
        <v>0</v>
      </c>
      <c r="AQ45" s="114">
        <v>92000</v>
      </c>
      <c r="AR45" s="22">
        <v>183</v>
      </c>
      <c r="AS45" s="3" t="s">
        <v>39059</v>
      </c>
      <c r="AT45" s="115">
        <v>2025</v>
      </c>
      <c r="AU45" s="22">
        <f>_xlfn.XLOOKUP(_tPE26_29_Consolidada[[#This Row], [ID Financeiro]],[5]Projetos!$K:$K,[5]Projetos!$A:$A,0,0)</f>
      </c>
      <c r="AV45" s="3" t="s">
        <v>39204</v>
      </c>
      <c r="AW45" s="3" t="s">
        <v>39194</v>
      </c>
      <c r="AX45" s="8" t="s">
        <v>39203</v>
      </c>
      <c r="AY45" s="8"/>
      <c r="AZ45" s="3" t="s">
        <v>39130</v>
      </c>
      <c r="BA45" s="3"/>
      <c r="BB45" s="3"/>
      <c r="BC45" s="3"/>
      <c r="BD45" s="3"/>
      <c r="BE45" s="3"/>
      <c r="BF45" s="3"/>
      <c r="BG45" s="3"/>
      <c r="BH45" s="3"/>
      <c r="BI45" s="3"/>
      <c r="BJ45" s="3"/>
      <c r="BK45" s="3"/>
      <c r="BL45" s="3"/>
      <c r="BM45" s="3"/>
      <c r="BN45" s="3"/>
      <c r="BO45" s="3"/>
      <c r="BP45" s="116">
        <f>IFERROR(VLOOKUP(_tPE26_29_Consolidada[[#This Row], [ID Financeiro]],'[4]PE 25-29'!$B:$AF,31,FALSE),0)</f>
      </c>
      <c r="BQ45" s="116">
        <f>_tPE26_29_Consolidada[[#This Row], [2026]]*1000</f>
      </c>
      <c r="BR45" s="117">
        <f>_tPE26_29_Consolidada[[#This Row], [Orçado 2026 (PE25-29)]]-_tPE26_29_Consolidada[[#This Row], [Orçado 2026 (PE26-30)]]</f>
      </c>
      <c r="BS45" s="117">
        <f>IFERROR(VLOOKUP(_tPE26_29_Consolidada[[#This Row], [ID Financeiro]],'[4]PE 25-29'!$B:$AT,45,FALSE),0)</f>
      </c>
      <c r="BT45" s="117">
        <f>_tPE26_29_Consolidada[[#This Row], [2026-2030]]*1000</f>
      </c>
      <c r="BU45" s="117">
        <f>-_tPE26_29_Consolidada[[#This Row], [Orçado 26/30 (PE25-29)]]+_tPE26_29_Consolidada[[#This Row], [Orçado 26/30 (PE26-30)]]</f>
      </c>
      <c r="BV45" s="119">
        <f>IFERROR(_tPE26_29_Consolidada[[#This Row], [Dif2]]/_tPE26_29_Consolidada[[#This Row], [Orçado 26/30 (PE25-29)]],0)</f>
      </c>
      <c r="BW45" s="1"/>
      <c r="BX45" s="1"/>
      <c r="BY45" s="1"/>
      <c r="BZ45" s="1"/>
      <c r="CA45" s="1"/>
      <c r="CB45" s="1"/>
      <c r="CC45" s="1"/>
      <c r="CD45" s="1"/>
      <c r="CE45" s="1"/>
      <c r="CF45" s="1"/>
      <c r="CG45" s="1"/>
      <c r="CH45" s="1"/>
      <c r="CI45" s="1"/>
      <c r="CJ45" s="1"/>
      <c r="CK45" s="1"/>
      <c r="CL45" s="1"/>
      <c r="CM45" s="1"/>
      <c r="CN45" s="1"/>
      <c r="CO45" s="1"/>
      <c r="CP45" s="1"/>
      <c r="CQ45" s="111"/>
      <c r="CR45" s="111"/>
      <c r="CS45" s="111"/>
      <c r="CT45" s="111"/>
      <c r="CU45" s="111"/>
      <c r="CV45" s="111"/>
      <c r="CW45" s="111"/>
      <c r="CX45" s="111"/>
      <c r="CY45" s="111"/>
      <c r="CZ45" s="111"/>
      <c r="DA45" s="111"/>
      <c r="DB45" s="111"/>
      <c r="DC45" s="111"/>
      <c r="DD45" s="111"/>
      <c r="DE45" s="111"/>
      <c r="DF45" s="111"/>
      <c r="DG45" s="111"/>
      <c r="DH45" s="111"/>
      <c r="DI45" s="111"/>
      <c r="DJ45" s="111"/>
      <c r="DK45" s="111"/>
      <c r="DL45" s="111"/>
      <c r="DM45" s="111"/>
      <c r="DN45" s="111"/>
      <c r="DO45" s="111"/>
      <c r="DP45" s="111"/>
      <c r="DQ45" s="111"/>
      <c r="DR45" s="111"/>
      <c r="DS45" s="111"/>
      <c r="DT45" s="111"/>
      <c r="DU45" s="111"/>
      <c r="DV45" s="111"/>
      <c r="DW45" s="111"/>
      <c r="DX45" s="111"/>
      <c r="DY45" s="111"/>
      <c r="DZ45" s="111"/>
      <c r="EA45" s="111"/>
      <c r="EB45" s="111"/>
      <c r="EC45" s="111"/>
      <c r="ED45" s="111"/>
      <c r="EE45" s="111"/>
      <c r="EF45" s="111"/>
      <c r="EG45" s="111"/>
      <c r="EH45" s="111"/>
      <c r="EI45" s="111"/>
      <c r="EJ45" s="111"/>
      <c r="EK45" s="111"/>
      <c r="EL45" s="111"/>
      <c r="EM45" s="111"/>
      <c r="EN45" s="111"/>
      <c r="EO45" s="111"/>
      <c r="EP45" s="111"/>
      <c r="EQ45" s="111"/>
      <c r="ER45" s="111"/>
      <c r="ES45" s="111"/>
      <c r="ET45" s="111"/>
      <c r="EU45" s="111"/>
      <c r="EV45" s="111"/>
      <c r="EW45" s="111"/>
      <c r="EX45" s="111"/>
      <c r="EY45" s="111"/>
      <c r="EZ45" s="111"/>
      <c r="FA45" s="2"/>
      <c r="FB45" s="2"/>
      <c r="FC45" s="2"/>
      <c r="FD45" s="2"/>
      <c r="FE45" s="2"/>
      <c r="FF45" s="2"/>
    </row>
    <row x14ac:dyDescent="0.25" r="46" customHeight="1" ht="18.75">
      <c r="A46" s="3"/>
      <c r="B46" s="118" t="s">
        <v>39052</v>
      </c>
      <c r="C46" s="3" t="s">
        <v>39053</v>
      </c>
      <c r="D46" s="3" t="s">
        <v>8</v>
      </c>
      <c r="E46" s="3" t="s">
        <v>38983</v>
      </c>
      <c r="F46" s="3"/>
      <c r="G46" s="3" t="s">
        <v>39205</v>
      </c>
      <c r="H46" s="3" t="s">
        <v>10</v>
      </c>
      <c r="I46" s="3" t="s">
        <v>86</v>
      </c>
      <c r="J46" s="3" t="s">
        <v>5</v>
      </c>
      <c r="K46" s="113" t="s">
        <v>16</v>
      </c>
      <c r="L46" s="3" t="s">
        <v>67</v>
      </c>
      <c r="M46" s="3" t="s">
        <v>39055</v>
      </c>
      <c r="N46" s="3"/>
      <c r="O46" s="3"/>
      <c r="P46" s="3"/>
      <c r="Q46" s="3" t="s">
        <v>39206</v>
      </c>
      <c r="R46" s="3" t="s">
        <v>39057</v>
      </c>
      <c r="S46" s="3" t="s">
        <v>39058</v>
      </c>
      <c r="T46" s="114">
        <v>0</v>
      </c>
      <c r="U46" s="114">
        <v>1200000</v>
      </c>
      <c r="V46" s="114">
        <v>0</v>
      </c>
      <c r="W46" s="114">
        <v>3300000</v>
      </c>
      <c r="X46" s="114">
        <v>0</v>
      </c>
      <c r="Y46" s="114">
        <v>3300000</v>
      </c>
      <c r="Z46" s="114">
        <v>0</v>
      </c>
      <c r="AA46" s="114">
        <v>0</v>
      </c>
      <c r="AB46" s="114">
        <v>3300000</v>
      </c>
      <c r="AC46" s="114">
        <v>0</v>
      </c>
      <c r="AD46" s="114">
        <v>3300000</v>
      </c>
      <c r="AE46" s="114">
        <v>0</v>
      </c>
      <c r="AF46" s="114">
        <v>14400000</v>
      </c>
      <c r="AG46" s="114">
        <v>9600000</v>
      </c>
      <c r="AH46" s="114">
        <v>0</v>
      </c>
      <c r="AI46" s="114">
        <v>0</v>
      </c>
      <c r="AJ46" s="114">
        <v>0</v>
      </c>
      <c r="AK46" s="114">
        <v>24000000</v>
      </c>
      <c r="AL46" s="114">
        <v>0</v>
      </c>
      <c r="AM46" s="114">
        <v>0</v>
      </c>
      <c r="AN46" s="114">
        <v>0</v>
      </c>
      <c r="AO46" s="114">
        <v>0</v>
      </c>
      <c r="AP46" s="114">
        <v>0</v>
      </c>
      <c r="AQ46" s="114">
        <v>24000000</v>
      </c>
      <c r="AR46" s="22">
        <v>184</v>
      </c>
      <c r="AS46" s="3" t="s">
        <v>39059</v>
      </c>
      <c r="AT46" s="115">
        <v>2025</v>
      </c>
      <c r="AU46" s="22">
        <f>_xlfn.XLOOKUP(_tPE26_29_Consolidada[[#This Row], [ID Financeiro]],[5]Projetos!$K:$K,[5]Projetos!$A:$A,0,0)</f>
      </c>
      <c r="AV46" s="3" t="s">
        <v>39207</v>
      </c>
      <c r="AW46" s="3" t="s">
        <v>39116</v>
      </c>
      <c r="AX46" s="8" t="s">
        <v>39208</v>
      </c>
      <c r="AY46" s="8"/>
      <c r="AZ46" s="3" t="s">
        <v>39209</v>
      </c>
      <c r="BA46" s="3"/>
      <c r="BB46" s="3"/>
      <c r="BC46" s="3"/>
      <c r="BD46" s="3"/>
      <c r="BE46" s="3"/>
      <c r="BF46" s="3"/>
      <c r="BG46" s="3"/>
      <c r="BH46" s="3"/>
      <c r="BI46" s="3"/>
      <c r="BJ46" s="3"/>
      <c r="BK46" s="3"/>
      <c r="BL46" s="3"/>
      <c r="BM46" s="3"/>
      <c r="BN46" s="3"/>
      <c r="BO46" s="3"/>
      <c r="BP46" s="116">
        <f>IFERROR(VLOOKUP(_tPE26_29_Consolidada[[#This Row], [ID Financeiro]],'[4]PE 25-29'!$B:$AF,31,FALSE),0)</f>
      </c>
      <c r="BQ46" s="116">
        <f>_tPE26_29_Consolidada[[#This Row], [2026]]*1000</f>
      </c>
      <c r="BR46" s="117">
        <f>_tPE26_29_Consolidada[[#This Row], [Orçado 2026 (PE25-29)]]-_tPE26_29_Consolidada[[#This Row], [Orçado 2026 (PE26-30)]]</f>
      </c>
      <c r="BS46" s="117">
        <f>IFERROR(VLOOKUP(_tPE26_29_Consolidada[[#This Row], [ID Financeiro]],'[4]PE 25-29'!$B:$AT,45,FALSE),0)</f>
      </c>
      <c r="BT46" s="117">
        <f>_tPE26_29_Consolidada[[#This Row], [2026-2030]]*1000</f>
      </c>
      <c r="BU46" s="117">
        <f>-_tPE26_29_Consolidada[[#This Row], [Orçado 26/30 (PE25-29)]]+_tPE26_29_Consolidada[[#This Row], [Orçado 26/30 (PE26-30)]]</f>
      </c>
      <c r="BV46" s="119">
        <f>IFERROR(_tPE26_29_Consolidada[[#This Row], [Dif2]]/_tPE26_29_Consolidada[[#This Row], [Orçado 26/30 (PE25-29)]],0)</f>
      </c>
      <c r="BW46" s="1"/>
      <c r="BX46" s="1"/>
      <c r="BY46" s="1"/>
      <c r="BZ46" s="1"/>
      <c r="CA46" s="1"/>
      <c r="CB46" s="1"/>
      <c r="CC46" s="1"/>
      <c r="CD46" s="1"/>
      <c r="CE46" s="1"/>
      <c r="CF46" s="1"/>
      <c r="CG46" s="1"/>
      <c r="CH46" s="1"/>
      <c r="CI46" s="1"/>
      <c r="CJ46" s="1"/>
      <c r="CK46" s="1"/>
      <c r="CL46" s="1"/>
      <c r="CM46" s="1"/>
      <c r="CN46" s="1"/>
      <c r="CO46" s="1"/>
      <c r="CP46" s="1"/>
      <c r="CQ46" s="111"/>
      <c r="CR46" s="111"/>
      <c r="CS46" s="111"/>
      <c r="CT46" s="111"/>
      <c r="CU46" s="111"/>
      <c r="CV46" s="111"/>
      <c r="CW46" s="111"/>
      <c r="CX46" s="111"/>
      <c r="CY46" s="111"/>
      <c r="CZ46" s="111"/>
      <c r="DA46" s="111"/>
      <c r="DB46" s="111"/>
      <c r="DC46" s="111"/>
      <c r="DD46" s="111"/>
      <c r="DE46" s="111"/>
      <c r="DF46" s="111"/>
      <c r="DG46" s="111"/>
      <c r="DH46" s="111"/>
      <c r="DI46" s="111"/>
      <c r="DJ46" s="111"/>
      <c r="DK46" s="111"/>
      <c r="DL46" s="111"/>
      <c r="DM46" s="111"/>
      <c r="DN46" s="111"/>
      <c r="DO46" s="111"/>
      <c r="DP46" s="111"/>
      <c r="DQ46" s="111"/>
      <c r="DR46" s="111"/>
      <c r="DS46" s="111"/>
      <c r="DT46" s="111"/>
      <c r="DU46" s="111"/>
      <c r="DV46" s="111"/>
      <c r="DW46" s="111"/>
      <c r="DX46" s="111"/>
      <c r="DY46" s="111"/>
      <c r="DZ46" s="111"/>
      <c r="EA46" s="111"/>
      <c r="EB46" s="111"/>
      <c r="EC46" s="111"/>
      <c r="ED46" s="111"/>
      <c r="EE46" s="111"/>
      <c r="EF46" s="111"/>
      <c r="EG46" s="111"/>
      <c r="EH46" s="111"/>
      <c r="EI46" s="111"/>
      <c r="EJ46" s="111"/>
      <c r="EK46" s="111"/>
      <c r="EL46" s="111"/>
      <c r="EM46" s="111"/>
      <c r="EN46" s="111"/>
      <c r="EO46" s="111"/>
      <c r="EP46" s="111"/>
      <c r="EQ46" s="111"/>
      <c r="ER46" s="111"/>
      <c r="ES46" s="111"/>
      <c r="ET46" s="111"/>
      <c r="EU46" s="111"/>
      <c r="EV46" s="111"/>
      <c r="EW46" s="111"/>
      <c r="EX46" s="111"/>
      <c r="EY46" s="111"/>
      <c r="EZ46" s="111"/>
      <c r="FA46" s="2"/>
      <c r="FB46" s="2"/>
      <c r="FC46" s="2"/>
      <c r="FD46" s="2"/>
      <c r="FE46" s="2"/>
      <c r="FF46" s="2"/>
    </row>
    <row x14ac:dyDescent="0.25" r="47" customHeight="1" ht="18.75">
      <c r="A47" s="3"/>
      <c r="B47" s="118" t="s">
        <v>39052</v>
      </c>
      <c r="C47" s="3" t="s">
        <v>39053</v>
      </c>
      <c r="D47" s="3" t="s">
        <v>8</v>
      </c>
      <c r="E47" s="3" t="s">
        <v>38983</v>
      </c>
      <c r="F47" s="3"/>
      <c r="G47" s="3" t="s">
        <v>39210</v>
      </c>
      <c r="H47" s="3" t="s">
        <v>10</v>
      </c>
      <c r="I47" s="3" t="s">
        <v>86</v>
      </c>
      <c r="J47" s="3" t="s">
        <v>5</v>
      </c>
      <c r="K47" s="113" t="s">
        <v>16</v>
      </c>
      <c r="L47" s="3" t="s">
        <v>67</v>
      </c>
      <c r="M47" s="3" t="s">
        <v>39055</v>
      </c>
      <c r="N47" s="3"/>
      <c r="O47" s="3"/>
      <c r="P47" s="3"/>
      <c r="Q47" s="3" t="s">
        <v>39211</v>
      </c>
      <c r="R47" s="3" t="s">
        <v>39057</v>
      </c>
      <c r="S47" s="3" t="s">
        <v>39058</v>
      </c>
      <c r="T47" s="114">
        <v>0</v>
      </c>
      <c r="U47" s="114">
        <v>0</v>
      </c>
      <c r="V47" s="114">
        <v>0</v>
      </c>
      <c r="W47" s="114">
        <v>0</v>
      </c>
      <c r="X47" s="114">
        <v>0</v>
      </c>
      <c r="Y47" s="114">
        <v>0</v>
      </c>
      <c r="Z47" s="114">
        <v>0</v>
      </c>
      <c r="AA47" s="114">
        <v>0</v>
      </c>
      <c r="AB47" s="114">
        <v>0</v>
      </c>
      <c r="AC47" s="114">
        <v>350000</v>
      </c>
      <c r="AD47" s="114">
        <v>350000</v>
      </c>
      <c r="AE47" s="114">
        <v>350000</v>
      </c>
      <c r="AF47" s="114">
        <v>1050000</v>
      </c>
      <c r="AG47" s="114">
        <v>9250000</v>
      </c>
      <c r="AH47" s="114">
        <v>5000000</v>
      </c>
      <c r="AI47" s="114">
        <v>3500000</v>
      </c>
      <c r="AJ47" s="114">
        <v>1200000</v>
      </c>
      <c r="AK47" s="114">
        <v>20000000</v>
      </c>
      <c r="AL47" s="114">
        <v>0</v>
      </c>
      <c r="AM47" s="114">
        <v>0</v>
      </c>
      <c r="AN47" s="114">
        <v>0</v>
      </c>
      <c r="AO47" s="114">
        <v>0</v>
      </c>
      <c r="AP47" s="114">
        <v>0</v>
      </c>
      <c r="AQ47" s="114">
        <v>20000000</v>
      </c>
      <c r="AR47" s="22">
        <v>185</v>
      </c>
      <c r="AS47" s="3" t="s">
        <v>39059</v>
      </c>
      <c r="AT47" s="115">
        <v>2025</v>
      </c>
      <c r="AU47" s="22">
        <f>_xlfn.XLOOKUP(_tPE26_29_Consolidada[[#This Row], [ID Financeiro]],[5]Projetos!$K:$K,[5]Projetos!$A:$A,0,0)</f>
      </c>
      <c r="AV47" s="3" t="s">
        <v>39212</v>
      </c>
      <c r="AW47" s="3" t="s">
        <v>39194</v>
      </c>
      <c r="AX47" s="8" t="s">
        <v>39211</v>
      </c>
      <c r="AY47" s="8"/>
      <c r="AZ47" s="3" t="s">
        <v>39092</v>
      </c>
      <c r="BA47" s="3"/>
      <c r="BB47" s="3"/>
      <c r="BC47" s="3"/>
      <c r="BD47" s="3"/>
      <c r="BE47" s="3"/>
      <c r="BF47" s="3"/>
      <c r="BG47" s="3"/>
      <c r="BH47" s="3"/>
      <c r="BI47" s="3"/>
      <c r="BJ47" s="3"/>
      <c r="BK47" s="3"/>
      <c r="BL47" s="3"/>
      <c r="BM47" s="3"/>
      <c r="BN47" s="3"/>
      <c r="BO47" s="3"/>
      <c r="BP47" s="116">
        <f>IFERROR(VLOOKUP(_tPE26_29_Consolidada[[#This Row], [ID Financeiro]],'[4]PE 25-29'!$B:$AF,31,FALSE),0)</f>
      </c>
      <c r="BQ47" s="116">
        <f>_tPE26_29_Consolidada[[#This Row], [2026]]*1000</f>
      </c>
      <c r="BR47" s="117">
        <f>_tPE26_29_Consolidada[[#This Row], [Orçado 2026 (PE25-29)]]-_tPE26_29_Consolidada[[#This Row], [Orçado 2026 (PE26-30)]]</f>
      </c>
      <c r="BS47" s="117">
        <f>IFERROR(VLOOKUP(_tPE26_29_Consolidada[[#This Row], [ID Financeiro]],'[4]PE 25-29'!$B:$AT,45,FALSE),0)</f>
      </c>
      <c r="BT47" s="117">
        <f>_tPE26_29_Consolidada[[#This Row], [2026-2030]]*1000</f>
      </c>
      <c r="BU47" s="117">
        <f>-_tPE26_29_Consolidada[[#This Row], [Orçado 26/30 (PE25-29)]]+_tPE26_29_Consolidada[[#This Row], [Orçado 26/30 (PE26-30)]]</f>
      </c>
      <c r="BV47" s="119">
        <f>IFERROR(_tPE26_29_Consolidada[[#This Row], [Dif2]]/_tPE26_29_Consolidada[[#This Row], [Orçado 26/30 (PE25-29)]],0)</f>
      </c>
      <c r="BW47" s="1"/>
      <c r="BX47" s="1"/>
      <c r="BY47" s="1"/>
      <c r="BZ47" s="1"/>
      <c r="CA47" s="1"/>
      <c r="CB47" s="1"/>
      <c r="CC47" s="1"/>
      <c r="CD47" s="1"/>
      <c r="CE47" s="1"/>
      <c r="CF47" s="1"/>
      <c r="CG47" s="1"/>
      <c r="CH47" s="1"/>
      <c r="CI47" s="1"/>
      <c r="CJ47" s="1"/>
      <c r="CK47" s="1"/>
      <c r="CL47" s="1"/>
      <c r="CM47" s="1"/>
      <c r="CN47" s="1"/>
      <c r="CO47" s="1"/>
      <c r="CP47" s="1"/>
      <c r="CQ47" s="111"/>
      <c r="CR47" s="111"/>
      <c r="CS47" s="111"/>
      <c r="CT47" s="111"/>
      <c r="CU47" s="111"/>
      <c r="CV47" s="111"/>
      <c r="CW47" s="111"/>
      <c r="CX47" s="111"/>
      <c r="CY47" s="111"/>
      <c r="CZ47" s="111"/>
      <c r="DA47" s="111"/>
      <c r="DB47" s="111"/>
      <c r="DC47" s="111"/>
      <c r="DD47" s="111"/>
      <c r="DE47" s="111"/>
      <c r="DF47" s="111"/>
      <c r="DG47" s="111"/>
      <c r="DH47" s="111"/>
      <c r="DI47" s="111"/>
      <c r="DJ47" s="111"/>
      <c r="DK47" s="111"/>
      <c r="DL47" s="111"/>
      <c r="DM47" s="111"/>
      <c r="DN47" s="111"/>
      <c r="DO47" s="111"/>
      <c r="DP47" s="111"/>
      <c r="DQ47" s="111"/>
      <c r="DR47" s="111"/>
      <c r="DS47" s="111"/>
      <c r="DT47" s="111"/>
      <c r="DU47" s="111"/>
      <c r="DV47" s="111"/>
      <c r="DW47" s="111"/>
      <c r="DX47" s="111"/>
      <c r="DY47" s="111"/>
      <c r="DZ47" s="111"/>
      <c r="EA47" s="111"/>
      <c r="EB47" s="111"/>
      <c r="EC47" s="111"/>
      <c r="ED47" s="111"/>
      <c r="EE47" s="111"/>
      <c r="EF47" s="111"/>
      <c r="EG47" s="111"/>
      <c r="EH47" s="111"/>
      <c r="EI47" s="111"/>
      <c r="EJ47" s="111"/>
      <c r="EK47" s="111"/>
      <c r="EL47" s="111"/>
      <c r="EM47" s="111"/>
      <c r="EN47" s="111"/>
      <c r="EO47" s="111"/>
      <c r="EP47" s="111"/>
      <c r="EQ47" s="111"/>
      <c r="ER47" s="111"/>
      <c r="ES47" s="111"/>
      <c r="ET47" s="111"/>
      <c r="EU47" s="111"/>
      <c r="EV47" s="111"/>
      <c r="EW47" s="111"/>
      <c r="EX47" s="111"/>
      <c r="EY47" s="111"/>
      <c r="EZ47" s="111"/>
      <c r="FA47" s="2"/>
      <c r="FB47" s="2"/>
      <c r="FC47" s="2"/>
      <c r="FD47" s="2"/>
      <c r="FE47" s="2"/>
      <c r="FF47" s="2"/>
    </row>
    <row x14ac:dyDescent="0.25" r="48" customHeight="1" ht="18.75">
      <c r="A48" s="3"/>
      <c r="B48" s="118" t="s">
        <v>39052</v>
      </c>
      <c r="C48" s="3" t="s">
        <v>39053</v>
      </c>
      <c r="D48" s="3" t="s">
        <v>8</v>
      </c>
      <c r="E48" s="3" t="s">
        <v>38983</v>
      </c>
      <c r="F48" s="3"/>
      <c r="G48" s="3" t="s">
        <v>39213</v>
      </c>
      <c r="H48" s="3" t="s">
        <v>10</v>
      </c>
      <c r="I48" s="3" t="s">
        <v>86</v>
      </c>
      <c r="J48" s="3" t="s">
        <v>5</v>
      </c>
      <c r="K48" s="113" t="s">
        <v>16</v>
      </c>
      <c r="L48" s="3" t="s">
        <v>67</v>
      </c>
      <c r="M48" s="3" t="s">
        <v>39055</v>
      </c>
      <c r="N48" s="3"/>
      <c r="O48" s="3"/>
      <c r="P48" s="3"/>
      <c r="Q48" s="3" t="s">
        <v>39214</v>
      </c>
      <c r="R48" s="3" t="s">
        <v>39057</v>
      </c>
      <c r="S48" s="3" t="s">
        <v>39133</v>
      </c>
      <c r="T48" s="114">
        <v>0</v>
      </c>
      <c r="U48" s="114">
        <v>0</v>
      </c>
      <c r="V48" s="114">
        <v>0</v>
      </c>
      <c r="W48" s="114">
        <v>0</v>
      </c>
      <c r="X48" s="114">
        <v>0</v>
      </c>
      <c r="Y48" s="114">
        <v>0</v>
      </c>
      <c r="Z48" s="114">
        <v>0</v>
      </c>
      <c r="AA48" s="114">
        <v>0</v>
      </c>
      <c r="AB48" s="114">
        <v>25000</v>
      </c>
      <c r="AC48" s="114">
        <v>0</v>
      </c>
      <c r="AD48" s="114">
        <v>0</v>
      </c>
      <c r="AE48" s="114">
        <v>0</v>
      </c>
      <c r="AF48" s="114">
        <v>25000</v>
      </c>
      <c r="AG48" s="114">
        <v>0</v>
      </c>
      <c r="AH48" s="114">
        <v>0</v>
      </c>
      <c r="AI48" s="114">
        <v>0</v>
      </c>
      <c r="AJ48" s="114">
        <v>0</v>
      </c>
      <c r="AK48" s="114">
        <v>25000</v>
      </c>
      <c r="AL48" s="114">
        <v>0</v>
      </c>
      <c r="AM48" s="114">
        <v>0</v>
      </c>
      <c r="AN48" s="114">
        <v>0</v>
      </c>
      <c r="AO48" s="114">
        <v>0</v>
      </c>
      <c r="AP48" s="114">
        <v>0</v>
      </c>
      <c r="AQ48" s="114">
        <v>25000</v>
      </c>
      <c r="AR48" s="22">
        <v>186</v>
      </c>
      <c r="AS48" s="3" t="s">
        <v>39059</v>
      </c>
      <c r="AT48" s="115">
        <v>2025</v>
      </c>
      <c r="AU48" s="22">
        <f>_xlfn.XLOOKUP(_tPE26_29_Consolidada[[#This Row], [ID Financeiro]],[5]Projetos!$K:$K,[5]Projetos!$A:$A,0,0)</f>
      </c>
      <c r="AV48" s="3" t="s">
        <v>39215</v>
      </c>
      <c r="AW48" s="3" t="s">
        <v>46</v>
      </c>
      <c r="AX48" s="8" t="s">
        <v>39214</v>
      </c>
      <c r="AY48" s="8"/>
      <c r="AZ48" s="3" t="s">
        <v>39135</v>
      </c>
      <c r="BA48" s="3"/>
      <c r="BB48" s="3"/>
      <c r="BC48" s="3"/>
      <c r="BD48" s="3"/>
      <c r="BE48" s="3"/>
      <c r="BF48" s="3"/>
      <c r="BG48" s="3"/>
      <c r="BH48" s="3"/>
      <c r="BI48" s="3"/>
      <c r="BJ48" s="3"/>
      <c r="BK48" s="3"/>
      <c r="BL48" s="3"/>
      <c r="BM48" s="3"/>
      <c r="BN48" s="3"/>
      <c r="BO48" s="3"/>
      <c r="BP48" s="116">
        <f>IFERROR(VLOOKUP(_tPE26_29_Consolidada[[#This Row], [ID Financeiro]],'[4]PE 25-29'!$B:$AF,31,FALSE),0)</f>
      </c>
      <c r="BQ48" s="116">
        <f>_tPE26_29_Consolidada[[#This Row], [2026]]*1000</f>
      </c>
      <c r="BR48" s="117">
        <f>_tPE26_29_Consolidada[[#This Row], [Orçado 2026 (PE25-29)]]-_tPE26_29_Consolidada[[#This Row], [Orçado 2026 (PE26-30)]]</f>
      </c>
      <c r="BS48" s="117">
        <f>IFERROR(VLOOKUP(_tPE26_29_Consolidada[[#This Row], [ID Financeiro]],'[4]PE 25-29'!$B:$AT,45,FALSE),0)</f>
      </c>
      <c r="BT48" s="117">
        <f>_tPE26_29_Consolidada[[#This Row], [2026-2030]]*1000</f>
      </c>
      <c r="BU48" s="117">
        <f>-_tPE26_29_Consolidada[[#This Row], [Orçado 26/30 (PE25-29)]]+_tPE26_29_Consolidada[[#This Row], [Orçado 26/30 (PE26-30)]]</f>
      </c>
      <c r="BV48" s="119">
        <f>IFERROR(_tPE26_29_Consolidada[[#This Row], [Dif2]]/_tPE26_29_Consolidada[[#This Row], [Orçado 26/30 (PE25-29)]],0)</f>
      </c>
      <c r="BW48" s="1"/>
      <c r="BX48" s="1"/>
      <c r="BY48" s="1"/>
      <c r="BZ48" s="1"/>
      <c r="CA48" s="1"/>
      <c r="CB48" s="1"/>
      <c r="CC48" s="1"/>
      <c r="CD48" s="1"/>
      <c r="CE48" s="1"/>
      <c r="CF48" s="1"/>
      <c r="CG48" s="1"/>
      <c r="CH48" s="1"/>
      <c r="CI48" s="1"/>
      <c r="CJ48" s="1"/>
      <c r="CK48" s="1"/>
      <c r="CL48" s="1"/>
      <c r="CM48" s="1"/>
      <c r="CN48" s="1"/>
      <c r="CO48" s="1"/>
      <c r="CP48" s="1"/>
      <c r="CQ48" s="111"/>
      <c r="CR48" s="111"/>
      <c r="CS48" s="111"/>
      <c r="CT48" s="111"/>
      <c r="CU48" s="111"/>
      <c r="CV48" s="111"/>
      <c r="CW48" s="111"/>
      <c r="CX48" s="111"/>
      <c r="CY48" s="111"/>
      <c r="CZ48" s="111"/>
      <c r="DA48" s="111"/>
      <c r="DB48" s="111"/>
      <c r="DC48" s="111"/>
      <c r="DD48" s="111"/>
      <c r="DE48" s="111"/>
      <c r="DF48" s="111"/>
      <c r="DG48" s="111"/>
      <c r="DH48" s="111"/>
      <c r="DI48" s="111"/>
      <c r="DJ48" s="111"/>
      <c r="DK48" s="111"/>
      <c r="DL48" s="111"/>
      <c r="DM48" s="111"/>
      <c r="DN48" s="111"/>
      <c r="DO48" s="111"/>
      <c r="DP48" s="111"/>
      <c r="DQ48" s="111"/>
      <c r="DR48" s="111"/>
      <c r="DS48" s="111"/>
      <c r="DT48" s="111"/>
      <c r="DU48" s="111"/>
      <c r="DV48" s="111"/>
      <c r="DW48" s="111"/>
      <c r="DX48" s="111"/>
      <c r="DY48" s="111"/>
      <c r="DZ48" s="111"/>
      <c r="EA48" s="111"/>
      <c r="EB48" s="111"/>
      <c r="EC48" s="111"/>
      <c r="ED48" s="111"/>
      <c r="EE48" s="111"/>
      <c r="EF48" s="111"/>
      <c r="EG48" s="111"/>
      <c r="EH48" s="111"/>
      <c r="EI48" s="111"/>
      <c r="EJ48" s="111"/>
      <c r="EK48" s="111"/>
      <c r="EL48" s="111"/>
      <c r="EM48" s="111"/>
      <c r="EN48" s="111"/>
      <c r="EO48" s="111"/>
      <c r="EP48" s="111"/>
      <c r="EQ48" s="111"/>
      <c r="ER48" s="111"/>
      <c r="ES48" s="111"/>
      <c r="ET48" s="111"/>
      <c r="EU48" s="111"/>
      <c r="EV48" s="111"/>
      <c r="EW48" s="111"/>
      <c r="EX48" s="111"/>
      <c r="EY48" s="111"/>
      <c r="EZ48" s="111"/>
      <c r="FA48" s="2"/>
      <c r="FB48" s="2"/>
      <c r="FC48" s="2"/>
      <c r="FD48" s="2"/>
      <c r="FE48" s="2"/>
      <c r="FF48" s="2"/>
    </row>
    <row x14ac:dyDescent="0.25" r="49" customHeight="1" ht="18.75">
      <c r="A49" s="3"/>
      <c r="B49" s="118" t="s">
        <v>39052</v>
      </c>
      <c r="C49" s="3" t="s">
        <v>39053</v>
      </c>
      <c r="D49" s="3" t="s">
        <v>8</v>
      </c>
      <c r="E49" s="3" t="s">
        <v>38983</v>
      </c>
      <c r="F49" s="3"/>
      <c r="G49" s="3" t="s">
        <v>39216</v>
      </c>
      <c r="H49" s="3" t="s">
        <v>10</v>
      </c>
      <c r="I49" s="3" t="s">
        <v>86</v>
      </c>
      <c r="J49" s="3" t="s">
        <v>5</v>
      </c>
      <c r="K49" s="113" t="s">
        <v>16</v>
      </c>
      <c r="L49" s="3" t="s">
        <v>67</v>
      </c>
      <c r="M49" s="3" t="s">
        <v>39055</v>
      </c>
      <c r="N49" s="3"/>
      <c r="O49" s="3"/>
      <c r="P49" s="3"/>
      <c r="Q49" s="3" t="s">
        <v>39217</v>
      </c>
      <c r="R49" s="3" t="s">
        <v>39057</v>
      </c>
      <c r="S49" s="3" t="s">
        <v>39058</v>
      </c>
      <c r="T49" s="114">
        <v>0</v>
      </c>
      <c r="U49" s="114">
        <v>0</v>
      </c>
      <c r="V49" s="114">
        <v>0</v>
      </c>
      <c r="W49" s="114">
        <v>300000</v>
      </c>
      <c r="X49" s="114">
        <v>300000</v>
      </c>
      <c r="Y49" s="114">
        <v>300000</v>
      </c>
      <c r="Z49" s="114">
        <v>0</v>
      </c>
      <c r="AA49" s="114">
        <v>0</v>
      </c>
      <c r="AB49" s="114">
        <v>0</v>
      </c>
      <c r="AC49" s="114">
        <v>0</v>
      </c>
      <c r="AD49" s="114">
        <v>0</v>
      </c>
      <c r="AE49" s="114">
        <v>0</v>
      </c>
      <c r="AF49" s="114">
        <v>900000</v>
      </c>
      <c r="AG49" s="114">
        <v>0</v>
      </c>
      <c r="AH49" s="114">
        <v>0</v>
      </c>
      <c r="AI49" s="114">
        <v>0</v>
      </c>
      <c r="AJ49" s="114">
        <v>0</v>
      </c>
      <c r="AK49" s="114">
        <v>900000</v>
      </c>
      <c r="AL49" s="114">
        <v>0</v>
      </c>
      <c r="AM49" s="114">
        <v>0</v>
      </c>
      <c r="AN49" s="114">
        <v>0</v>
      </c>
      <c r="AO49" s="114">
        <v>0</v>
      </c>
      <c r="AP49" s="114">
        <v>0</v>
      </c>
      <c r="AQ49" s="114">
        <v>900000</v>
      </c>
      <c r="AR49" s="22">
        <v>187</v>
      </c>
      <c r="AS49" s="3" t="s">
        <v>39059</v>
      </c>
      <c r="AT49" s="115">
        <v>2025</v>
      </c>
      <c r="AU49" s="22">
        <f>_xlfn.XLOOKUP(_tPE26_29_Consolidada[[#This Row], [ID Financeiro]],[5]Projetos!$K:$K,[5]Projetos!$A:$A,0,0)</f>
      </c>
      <c r="AV49" s="3" t="s">
        <v>39218</v>
      </c>
      <c r="AW49" s="3" t="s">
        <v>39194</v>
      </c>
      <c r="AX49" s="8" t="s">
        <v>39217</v>
      </c>
      <c r="AY49" s="8"/>
      <c r="AZ49" s="3" t="s">
        <v>39125</v>
      </c>
      <c r="BA49" s="3"/>
      <c r="BB49" s="3"/>
      <c r="BC49" s="3"/>
      <c r="BD49" s="3"/>
      <c r="BE49" s="3"/>
      <c r="BF49" s="3"/>
      <c r="BG49" s="3"/>
      <c r="BH49" s="3"/>
      <c r="BI49" s="3"/>
      <c r="BJ49" s="3"/>
      <c r="BK49" s="3"/>
      <c r="BL49" s="3"/>
      <c r="BM49" s="3"/>
      <c r="BN49" s="3"/>
      <c r="BO49" s="3"/>
      <c r="BP49" s="116">
        <f>IFERROR(VLOOKUP(_tPE26_29_Consolidada[[#This Row], [ID Financeiro]],'[4]PE 25-29'!$B:$AF,31,FALSE),0)</f>
      </c>
      <c r="BQ49" s="116">
        <f>_tPE26_29_Consolidada[[#This Row], [2026]]*1000</f>
      </c>
      <c r="BR49" s="117">
        <f>_tPE26_29_Consolidada[[#This Row], [Orçado 2026 (PE25-29)]]-_tPE26_29_Consolidada[[#This Row], [Orçado 2026 (PE26-30)]]</f>
      </c>
      <c r="BS49" s="117">
        <f>IFERROR(VLOOKUP(_tPE26_29_Consolidada[[#This Row], [ID Financeiro]],'[4]PE 25-29'!$B:$AT,45,FALSE),0)</f>
      </c>
      <c r="BT49" s="117">
        <f>_tPE26_29_Consolidada[[#This Row], [2026-2030]]*1000</f>
      </c>
      <c r="BU49" s="117">
        <f>-_tPE26_29_Consolidada[[#This Row], [Orçado 26/30 (PE25-29)]]+_tPE26_29_Consolidada[[#This Row], [Orçado 26/30 (PE26-30)]]</f>
      </c>
      <c r="BV49" s="119">
        <f>IFERROR(_tPE26_29_Consolidada[[#This Row], [Dif2]]/_tPE26_29_Consolidada[[#This Row], [Orçado 26/30 (PE25-29)]],0)</f>
      </c>
      <c r="BW49" s="1"/>
      <c r="BX49" s="1"/>
      <c r="BY49" s="1"/>
      <c r="BZ49" s="1"/>
      <c r="CA49" s="1"/>
      <c r="CB49" s="1"/>
      <c r="CC49" s="1"/>
      <c r="CD49" s="1"/>
      <c r="CE49" s="1"/>
      <c r="CF49" s="1"/>
      <c r="CG49" s="1"/>
      <c r="CH49" s="1"/>
      <c r="CI49" s="1"/>
      <c r="CJ49" s="1"/>
      <c r="CK49" s="1"/>
      <c r="CL49" s="1"/>
      <c r="CM49" s="1"/>
      <c r="CN49" s="1"/>
      <c r="CO49" s="1"/>
      <c r="CP49" s="1"/>
      <c r="CQ49" s="111"/>
      <c r="CR49" s="111"/>
      <c r="CS49" s="111"/>
      <c r="CT49" s="111"/>
      <c r="CU49" s="111"/>
      <c r="CV49" s="111"/>
      <c r="CW49" s="111"/>
      <c r="CX49" s="111"/>
      <c r="CY49" s="111"/>
      <c r="CZ49" s="111"/>
      <c r="DA49" s="111"/>
      <c r="DB49" s="111"/>
      <c r="DC49" s="111"/>
      <c r="DD49" s="111"/>
      <c r="DE49" s="111"/>
      <c r="DF49" s="111"/>
      <c r="DG49" s="111"/>
      <c r="DH49" s="111"/>
      <c r="DI49" s="111"/>
      <c r="DJ49" s="111"/>
      <c r="DK49" s="111"/>
      <c r="DL49" s="111"/>
      <c r="DM49" s="111"/>
      <c r="DN49" s="111"/>
      <c r="DO49" s="111"/>
      <c r="DP49" s="111"/>
      <c r="DQ49" s="111"/>
      <c r="DR49" s="111"/>
      <c r="DS49" s="111"/>
      <c r="DT49" s="111"/>
      <c r="DU49" s="111"/>
      <c r="DV49" s="111"/>
      <c r="DW49" s="111"/>
      <c r="DX49" s="111"/>
      <c r="DY49" s="111"/>
      <c r="DZ49" s="111"/>
      <c r="EA49" s="111"/>
      <c r="EB49" s="111"/>
      <c r="EC49" s="111"/>
      <c r="ED49" s="111"/>
      <c r="EE49" s="111"/>
      <c r="EF49" s="111"/>
      <c r="EG49" s="111"/>
      <c r="EH49" s="111"/>
      <c r="EI49" s="111"/>
      <c r="EJ49" s="111"/>
      <c r="EK49" s="111"/>
      <c r="EL49" s="111"/>
      <c r="EM49" s="111"/>
      <c r="EN49" s="111"/>
      <c r="EO49" s="111"/>
      <c r="EP49" s="111"/>
      <c r="EQ49" s="111"/>
      <c r="ER49" s="111"/>
      <c r="ES49" s="111"/>
      <c r="ET49" s="111"/>
      <c r="EU49" s="111"/>
      <c r="EV49" s="111"/>
      <c r="EW49" s="111"/>
      <c r="EX49" s="111"/>
      <c r="EY49" s="111"/>
      <c r="EZ49" s="111"/>
      <c r="FA49" s="2"/>
      <c r="FB49" s="2"/>
      <c r="FC49" s="2"/>
      <c r="FD49" s="2"/>
      <c r="FE49" s="2"/>
      <c r="FF49" s="2"/>
    </row>
    <row x14ac:dyDescent="0.25" r="50" customHeight="1" ht="18.75">
      <c r="A50" s="3"/>
      <c r="B50" s="118" t="s">
        <v>39052</v>
      </c>
      <c r="C50" s="3" t="s">
        <v>39053</v>
      </c>
      <c r="D50" s="3" t="s">
        <v>8</v>
      </c>
      <c r="E50" s="3" t="s">
        <v>38983</v>
      </c>
      <c r="F50" s="3"/>
      <c r="G50" s="3" t="s">
        <v>39219</v>
      </c>
      <c r="H50" s="3" t="s">
        <v>10</v>
      </c>
      <c r="I50" s="3" t="s">
        <v>86</v>
      </c>
      <c r="J50" s="3" t="s">
        <v>5</v>
      </c>
      <c r="K50" s="113" t="s">
        <v>16</v>
      </c>
      <c r="L50" s="3" t="s">
        <v>67</v>
      </c>
      <c r="M50" s="3" t="s">
        <v>39055</v>
      </c>
      <c r="N50" s="3"/>
      <c r="O50" s="3"/>
      <c r="P50" s="3"/>
      <c r="Q50" s="3" t="s">
        <v>39220</v>
      </c>
      <c r="R50" s="3" t="s">
        <v>39155</v>
      </c>
      <c r="S50" s="3" t="s">
        <v>39058</v>
      </c>
      <c r="T50" s="114">
        <v>0</v>
      </c>
      <c r="U50" s="114">
        <v>0</v>
      </c>
      <c r="V50" s="114">
        <v>450000</v>
      </c>
      <c r="W50" s="114">
        <v>350000</v>
      </c>
      <c r="X50" s="114">
        <v>350000</v>
      </c>
      <c r="Y50" s="114">
        <v>350000</v>
      </c>
      <c r="Z50" s="114">
        <v>350000</v>
      </c>
      <c r="AA50" s="114">
        <v>350000</v>
      </c>
      <c r="AB50" s="114">
        <v>350000</v>
      </c>
      <c r="AC50" s="114">
        <v>350000</v>
      </c>
      <c r="AD50" s="114">
        <v>350000</v>
      </c>
      <c r="AE50" s="114">
        <v>350000</v>
      </c>
      <c r="AF50" s="114">
        <v>3600000</v>
      </c>
      <c r="AG50" s="114">
        <v>2500000</v>
      </c>
      <c r="AH50" s="114">
        <v>0</v>
      </c>
      <c r="AI50" s="114">
        <v>0</v>
      </c>
      <c r="AJ50" s="114">
        <v>0</v>
      </c>
      <c r="AK50" s="114">
        <v>6100000</v>
      </c>
      <c r="AL50" s="114">
        <v>0</v>
      </c>
      <c r="AM50" s="114">
        <v>0</v>
      </c>
      <c r="AN50" s="114">
        <v>0</v>
      </c>
      <c r="AO50" s="114">
        <v>0</v>
      </c>
      <c r="AP50" s="114">
        <v>0</v>
      </c>
      <c r="AQ50" s="114">
        <v>6100000</v>
      </c>
      <c r="AR50" s="22">
        <v>188</v>
      </c>
      <c r="AS50" s="3" t="s">
        <v>39156</v>
      </c>
      <c r="AT50" s="115">
        <v>2025</v>
      </c>
      <c r="AU50" s="22">
        <f>_xlfn.XLOOKUP(_tPE26_29_Consolidada[[#This Row], [ID Financeiro]],[5]Projetos!$K:$K,[5]Projetos!$A:$A,0,0)</f>
      </c>
      <c r="AV50" s="3" t="s">
        <v>39221</v>
      </c>
      <c r="AW50" s="3" t="s">
        <v>39116</v>
      </c>
      <c r="AX50" s="8" t="s">
        <v>39220</v>
      </c>
      <c r="AY50" s="8"/>
      <c r="AZ50" s="3" t="s">
        <v>39158</v>
      </c>
      <c r="BA50" s="3"/>
      <c r="BB50" s="3"/>
      <c r="BC50" s="3"/>
      <c r="BD50" s="3"/>
      <c r="BE50" s="3"/>
      <c r="BF50" s="3"/>
      <c r="BG50" s="3"/>
      <c r="BH50" s="3"/>
      <c r="BI50" s="3"/>
      <c r="BJ50" s="3"/>
      <c r="BK50" s="3"/>
      <c r="BL50" s="3"/>
      <c r="BM50" s="3"/>
      <c r="BN50" s="3"/>
      <c r="BO50" s="3"/>
      <c r="BP50" s="116">
        <f>IFERROR(VLOOKUP(_tPE26_29_Consolidada[[#This Row], [ID Financeiro]],'[4]PE 25-29'!$B:$AF,31,FALSE),0)</f>
      </c>
      <c r="BQ50" s="116">
        <f>_tPE26_29_Consolidada[[#This Row], [2026]]*1000</f>
      </c>
      <c r="BR50" s="117">
        <f>_tPE26_29_Consolidada[[#This Row], [Orçado 2026 (PE25-29)]]-_tPE26_29_Consolidada[[#This Row], [Orçado 2026 (PE26-30)]]</f>
      </c>
      <c r="BS50" s="117">
        <f>IFERROR(VLOOKUP(_tPE26_29_Consolidada[[#This Row], [ID Financeiro]],'[4]PE 25-29'!$B:$AT,45,FALSE),0)</f>
      </c>
      <c r="BT50" s="117">
        <f>_tPE26_29_Consolidada[[#This Row], [2026-2030]]*1000</f>
      </c>
      <c r="BU50" s="117">
        <f>-_tPE26_29_Consolidada[[#This Row], [Orçado 26/30 (PE25-29)]]+_tPE26_29_Consolidada[[#This Row], [Orçado 26/30 (PE26-30)]]</f>
      </c>
      <c r="BV50" s="119">
        <f>IFERROR(_tPE26_29_Consolidada[[#This Row], [Dif2]]/_tPE26_29_Consolidada[[#This Row], [Orçado 26/30 (PE25-29)]],0)</f>
      </c>
      <c r="BW50" s="1"/>
      <c r="BX50" s="1"/>
      <c r="BY50" s="1"/>
      <c r="BZ50" s="1"/>
      <c r="CA50" s="1"/>
      <c r="CB50" s="1"/>
      <c r="CC50" s="1"/>
      <c r="CD50" s="1"/>
      <c r="CE50" s="1"/>
      <c r="CF50" s="1"/>
      <c r="CG50" s="1"/>
      <c r="CH50" s="1"/>
      <c r="CI50" s="1"/>
      <c r="CJ50" s="1"/>
      <c r="CK50" s="1"/>
      <c r="CL50" s="1"/>
      <c r="CM50" s="1"/>
      <c r="CN50" s="1"/>
      <c r="CO50" s="1"/>
      <c r="CP50" s="1"/>
      <c r="CQ50" s="111"/>
      <c r="CR50" s="111"/>
      <c r="CS50" s="111"/>
      <c r="CT50" s="111"/>
      <c r="CU50" s="111"/>
      <c r="CV50" s="111"/>
      <c r="CW50" s="111"/>
      <c r="CX50" s="111"/>
      <c r="CY50" s="111"/>
      <c r="CZ50" s="111"/>
      <c r="DA50" s="111"/>
      <c r="DB50" s="111"/>
      <c r="DC50" s="111"/>
      <c r="DD50" s="111"/>
      <c r="DE50" s="111"/>
      <c r="DF50" s="111"/>
      <c r="DG50" s="111"/>
      <c r="DH50" s="111"/>
      <c r="DI50" s="111"/>
      <c r="DJ50" s="111"/>
      <c r="DK50" s="111"/>
      <c r="DL50" s="111"/>
      <c r="DM50" s="111"/>
      <c r="DN50" s="111"/>
      <c r="DO50" s="111"/>
      <c r="DP50" s="111"/>
      <c r="DQ50" s="111"/>
      <c r="DR50" s="111"/>
      <c r="DS50" s="111"/>
      <c r="DT50" s="111"/>
      <c r="DU50" s="111"/>
      <c r="DV50" s="111"/>
      <c r="DW50" s="111"/>
      <c r="DX50" s="111"/>
      <c r="DY50" s="111"/>
      <c r="DZ50" s="111"/>
      <c r="EA50" s="111"/>
      <c r="EB50" s="111"/>
      <c r="EC50" s="111"/>
      <c r="ED50" s="111"/>
      <c r="EE50" s="111"/>
      <c r="EF50" s="111"/>
      <c r="EG50" s="111"/>
      <c r="EH50" s="111"/>
      <c r="EI50" s="111"/>
      <c r="EJ50" s="111"/>
      <c r="EK50" s="111"/>
      <c r="EL50" s="111"/>
      <c r="EM50" s="111"/>
      <c r="EN50" s="111"/>
      <c r="EO50" s="111"/>
      <c r="EP50" s="111"/>
      <c r="EQ50" s="111"/>
      <c r="ER50" s="111"/>
      <c r="ES50" s="111"/>
      <c r="ET50" s="111"/>
      <c r="EU50" s="111"/>
      <c r="EV50" s="111"/>
      <c r="EW50" s="111"/>
      <c r="EX50" s="111"/>
      <c r="EY50" s="111"/>
      <c r="EZ50" s="111"/>
      <c r="FA50" s="2"/>
      <c r="FB50" s="2"/>
      <c r="FC50" s="2"/>
      <c r="FD50" s="2"/>
      <c r="FE50" s="2"/>
      <c r="FF50" s="2"/>
    </row>
    <row x14ac:dyDescent="0.25" r="51" customHeight="1" ht="18.75">
      <c r="A51" s="3"/>
      <c r="B51" s="118" t="s">
        <v>39052</v>
      </c>
      <c r="C51" s="3" t="s">
        <v>39053</v>
      </c>
      <c r="D51" s="3" t="s">
        <v>8</v>
      </c>
      <c r="E51" s="3" t="s">
        <v>38983</v>
      </c>
      <c r="F51" s="3"/>
      <c r="G51" s="3" t="s">
        <v>39222</v>
      </c>
      <c r="H51" s="3" t="s">
        <v>10</v>
      </c>
      <c r="I51" s="3" t="s">
        <v>86</v>
      </c>
      <c r="J51" s="3" t="s">
        <v>5</v>
      </c>
      <c r="K51" s="113" t="s">
        <v>16</v>
      </c>
      <c r="L51" s="3" t="s">
        <v>67</v>
      </c>
      <c r="M51" s="3" t="s">
        <v>39055</v>
      </c>
      <c r="N51" s="3"/>
      <c r="O51" s="3"/>
      <c r="P51" s="3"/>
      <c r="Q51" s="3" t="s">
        <v>39223</v>
      </c>
      <c r="R51" s="3" t="s">
        <v>39155</v>
      </c>
      <c r="S51" s="3" t="s">
        <v>39175</v>
      </c>
      <c r="T51" s="114">
        <v>10000</v>
      </c>
      <c r="U51" s="114">
        <v>10000</v>
      </c>
      <c r="V51" s="114">
        <v>110000</v>
      </c>
      <c r="W51" s="114">
        <v>110000</v>
      </c>
      <c r="X51" s="114">
        <v>110000</v>
      </c>
      <c r="Y51" s="114">
        <v>110000</v>
      </c>
      <c r="Z51" s="114">
        <v>110000</v>
      </c>
      <c r="AA51" s="114">
        <v>110000</v>
      </c>
      <c r="AB51" s="114">
        <v>110000</v>
      </c>
      <c r="AC51" s="114">
        <v>110000</v>
      </c>
      <c r="AD51" s="114">
        <v>110000</v>
      </c>
      <c r="AE51" s="114">
        <v>110000</v>
      </c>
      <c r="AF51" s="114">
        <v>1120000</v>
      </c>
      <c r="AG51" s="114">
        <v>0</v>
      </c>
      <c r="AH51" s="114">
        <v>0</v>
      </c>
      <c r="AI51" s="114">
        <v>0</v>
      </c>
      <c r="AJ51" s="114">
        <v>0</v>
      </c>
      <c r="AK51" s="114">
        <v>1120000</v>
      </c>
      <c r="AL51" s="114">
        <v>0</v>
      </c>
      <c r="AM51" s="114">
        <v>0</v>
      </c>
      <c r="AN51" s="114">
        <v>0</v>
      </c>
      <c r="AO51" s="114">
        <v>0</v>
      </c>
      <c r="AP51" s="114">
        <v>0</v>
      </c>
      <c r="AQ51" s="114">
        <v>1120000</v>
      </c>
      <c r="AR51" s="22">
        <v>189</v>
      </c>
      <c r="AS51" s="3" t="s">
        <v>39156</v>
      </c>
      <c r="AT51" s="115">
        <v>2025</v>
      </c>
      <c r="AU51" s="22">
        <f>_xlfn.XLOOKUP(_tPE26_29_Consolidada[[#This Row], [ID Financeiro]],[5]Projetos!$K:$K,[5]Projetos!$A:$A,0,0)</f>
      </c>
      <c r="AV51" s="3" t="s">
        <v>39224</v>
      </c>
      <c r="AW51" s="3" t="s">
        <v>39194</v>
      </c>
      <c r="AX51" s="8" t="s">
        <v>39223</v>
      </c>
      <c r="AY51" s="8"/>
      <c r="AZ51" s="3" t="s">
        <v>39158</v>
      </c>
      <c r="BA51" s="3"/>
      <c r="BB51" s="3"/>
      <c r="BC51" s="3"/>
      <c r="BD51" s="3"/>
      <c r="BE51" s="3"/>
      <c r="BF51" s="3"/>
      <c r="BG51" s="3"/>
      <c r="BH51" s="3"/>
      <c r="BI51" s="3"/>
      <c r="BJ51" s="3"/>
      <c r="BK51" s="3"/>
      <c r="BL51" s="3"/>
      <c r="BM51" s="3"/>
      <c r="BN51" s="3"/>
      <c r="BO51" s="3"/>
      <c r="BP51" s="116">
        <f>IFERROR(VLOOKUP(_tPE26_29_Consolidada[[#This Row], [ID Financeiro]],'[4]PE 25-29'!$B:$AF,31,FALSE),0)</f>
      </c>
      <c r="BQ51" s="116">
        <f>_tPE26_29_Consolidada[[#This Row], [2026]]*1000</f>
      </c>
      <c r="BR51" s="117">
        <f>_tPE26_29_Consolidada[[#This Row], [Orçado 2026 (PE25-29)]]-_tPE26_29_Consolidada[[#This Row], [Orçado 2026 (PE26-30)]]</f>
      </c>
      <c r="BS51" s="117">
        <f>IFERROR(VLOOKUP(_tPE26_29_Consolidada[[#This Row], [ID Financeiro]],'[4]PE 25-29'!$B:$AT,45,FALSE),0)</f>
      </c>
      <c r="BT51" s="117">
        <f>_tPE26_29_Consolidada[[#This Row], [2026-2030]]*1000</f>
      </c>
      <c r="BU51" s="117">
        <f>-_tPE26_29_Consolidada[[#This Row], [Orçado 26/30 (PE25-29)]]+_tPE26_29_Consolidada[[#This Row], [Orçado 26/30 (PE26-30)]]</f>
      </c>
      <c r="BV51" s="119">
        <f>IFERROR(_tPE26_29_Consolidada[[#This Row], [Dif2]]/_tPE26_29_Consolidada[[#This Row], [Orçado 26/30 (PE25-29)]],0)</f>
      </c>
      <c r="BW51" s="1"/>
      <c r="BX51" s="1"/>
      <c r="BY51" s="1"/>
      <c r="BZ51" s="1"/>
      <c r="CA51" s="1"/>
      <c r="CB51" s="1"/>
      <c r="CC51" s="1"/>
      <c r="CD51" s="1"/>
      <c r="CE51" s="1"/>
      <c r="CF51" s="1"/>
      <c r="CG51" s="1"/>
      <c r="CH51" s="1"/>
      <c r="CI51" s="1"/>
      <c r="CJ51" s="1"/>
      <c r="CK51" s="1"/>
      <c r="CL51" s="1"/>
      <c r="CM51" s="1"/>
      <c r="CN51" s="1"/>
      <c r="CO51" s="1"/>
      <c r="CP51" s="1"/>
      <c r="CQ51" s="111"/>
      <c r="CR51" s="111"/>
      <c r="CS51" s="111"/>
      <c r="CT51" s="111"/>
      <c r="CU51" s="111"/>
      <c r="CV51" s="111"/>
      <c r="CW51" s="111"/>
      <c r="CX51" s="111"/>
      <c r="CY51" s="111"/>
      <c r="CZ51" s="111"/>
      <c r="DA51" s="111"/>
      <c r="DB51" s="111"/>
      <c r="DC51" s="111"/>
      <c r="DD51" s="111"/>
      <c r="DE51" s="111"/>
      <c r="DF51" s="111"/>
      <c r="DG51" s="111"/>
      <c r="DH51" s="111"/>
      <c r="DI51" s="111"/>
      <c r="DJ51" s="111"/>
      <c r="DK51" s="111"/>
      <c r="DL51" s="111"/>
      <c r="DM51" s="111"/>
      <c r="DN51" s="111"/>
      <c r="DO51" s="111"/>
      <c r="DP51" s="111"/>
      <c r="DQ51" s="111"/>
      <c r="DR51" s="111"/>
      <c r="DS51" s="111"/>
      <c r="DT51" s="111"/>
      <c r="DU51" s="111"/>
      <c r="DV51" s="111"/>
      <c r="DW51" s="111"/>
      <c r="DX51" s="111"/>
      <c r="DY51" s="111"/>
      <c r="DZ51" s="111"/>
      <c r="EA51" s="111"/>
      <c r="EB51" s="111"/>
      <c r="EC51" s="111"/>
      <c r="ED51" s="111"/>
      <c r="EE51" s="111"/>
      <c r="EF51" s="111"/>
      <c r="EG51" s="111"/>
      <c r="EH51" s="111"/>
      <c r="EI51" s="111"/>
      <c r="EJ51" s="111"/>
      <c r="EK51" s="111"/>
      <c r="EL51" s="111"/>
      <c r="EM51" s="111"/>
      <c r="EN51" s="111"/>
      <c r="EO51" s="111"/>
      <c r="EP51" s="111"/>
      <c r="EQ51" s="111"/>
      <c r="ER51" s="111"/>
      <c r="ES51" s="111"/>
      <c r="ET51" s="111"/>
      <c r="EU51" s="111"/>
      <c r="EV51" s="111"/>
      <c r="EW51" s="111"/>
      <c r="EX51" s="111"/>
      <c r="EY51" s="111"/>
      <c r="EZ51" s="111"/>
      <c r="FA51" s="2"/>
      <c r="FB51" s="2"/>
      <c r="FC51" s="2"/>
      <c r="FD51" s="2"/>
      <c r="FE51" s="2"/>
      <c r="FF51" s="2"/>
    </row>
    <row x14ac:dyDescent="0.25" r="52" customHeight="1" ht="18.75">
      <c r="A52" s="3"/>
      <c r="B52" s="118" t="s">
        <v>39052</v>
      </c>
      <c r="C52" s="3" t="s">
        <v>39053</v>
      </c>
      <c r="D52" s="3" t="s">
        <v>8</v>
      </c>
      <c r="E52" s="3" t="s">
        <v>38983</v>
      </c>
      <c r="F52" s="3"/>
      <c r="G52" s="3" t="s">
        <v>39225</v>
      </c>
      <c r="H52" s="3" t="s">
        <v>10</v>
      </c>
      <c r="I52" s="3" t="s">
        <v>86</v>
      </c>
      <c r="J52" s="3" t="s">
        <v>5</v>
      </c>
      <c r="K52" s="113" t="s">
        <v>16</v>
      </c>
      <c r="L52" s="3" t="s">
        <v>67</v>
      </c>
      <c r="M52" s="3" t="s">
        <v>39055</v>
      </c>
      <c r="N52" s="3"/>
      <c r="O52" s="3"/>
      <c r="P52" s="3"/>
      <c r="Q52" s="3" t="s">
        <v>39226</v>
      </c>
      <c r="R52" s="3" t="s">
        <v>39057</v>
      </c>
      <c r="S52" s="3" t="s">
        <v>39058</v>
      </c>
      <c r="T52" s="114">
        <v>0</v>
      </c>
      <c r="U52" s="114">
        <v>0</v>
      </c>
      <c r="V52" s="114">
        <v>0</v>
      </c>
      <c r="W52" s="114">
        <v>300000</v>
      </c>
      <c r="X52" s="114">
        <v>20000</v>
      </c>
      <c r="Y52" s="114">
        <v>20000</v>
      </c>
      <c r="Z52" s="114">
        <v>20000</v>
      </c>
      <c r="AA52" s="114">
        <v>130000</v>
      </c>
      <c r="AB52" s="114">
        <v>300000</v>
      </c>
      <c r="AC52" s="114">
        <v>20000</v>
      </c>
      <c r="AD52" s="114">
        <v>20000</v>
      </c>
      <c r="AE52" s="114">
        <v>20000</v>
      </c>
      <c r="AF52" s="114">
        <v>850000</v>
      </c>
      <c r="AG52" s="114">
        <v>130000</v>
      </c>
      <c r="AH52" s="114">
        <v>0</v>
      </c>
      <c r="AI52" s="114">
        <v>0</v>
      </c>
      <c r="AJ52" s="114">
        <v>0</v>
      </c>
      <c r="AK52" s="114">
        <v>980000</v>
      </c>
      <c r="AL52" s="114">
        <v>0</v>
      </c>
      <c r="AM52" s="114">
        <v>0</v>
      </c>
      <c r="AN52" s="114">
        <v>0</v>
      </c>
      <c r="AO52" s="114">
        <v>0</v>
      </c>
      <c r="AP52" s="114">
        <v>0</v>
      </c>
      <c r="AQ52" s="114">
        <v>980000</v>
      </c>
      <c r="AR52" s="22">
        <v>190</v>
      </c>
      <c r="AS52" s="3" t="s">
        <v>39059</v>
      </c>
      <c r="AT52" s="115">
        <v>2025</v>
      </c>
      <c r="AU52" s="22">
        <f>_xlfn.XLOOKUP(_tPE26_29_Consolidada[[#This Row], [ID Financeiro]],[5]Projetos!$K:$K,[5]Projetos!$A:$A,0,0)</f>
      </c>
      <c r="AV52" s="3" t="s">
        <v>39227</v>
      </c>
      <c r="AW52" s="3" t="s">
        <v>39116</v>
      </c>
      <c r="AX52" s="8" t="s">
        <v>39226</v>
      </c>
      <c r="AY52" s="8"/>
      <c r="AZ52" s="3" t="s">
        <v>39117</v>
      </c>
      <c r="BA52" s="3"/>
      <c r="BB52" s="3"/>
      <c r="BC52" s="3"/>
      <c r="BD52" s="3"/>
      <c r="BE52" s="3"/>
      <c r="BF52" s="3"/>
      <c r="BG52" s="3"/>
      <c r="BH52" s="3"/>
      <c r="BI52" s="3"/>
      <c r="BJ52" s="3"/>
      <c r="BK52" s="3"/>
      <c r="BL52" s="3"/>
      <c r="BM52" s="3"/>
      <c r="BN52" s="3"/>
      <c r="BO52" s="3"/>
      <c r="BP52" s="116">
        <f>IFERROR(VLOOKUP(_tPE26_29_Consolidada[[#This Row], [ID Financeiro]],'[4]PE 25-29'!$B:$AF,31,FALSE),0)</f>
      </c>
      <c r="BQ52" s="116">
        <f>_tPE26_29_Consolidada[[#This Row], [2026]]*1000</f>
      </c>
      <c r="BR52" s="117">
        <f>_tPE26_29_Consolidada[[#This Row], [Orçado 2026 (PE25-29)]]-_tPE26_29_Consolidada[[#This Row], [Orçado 2026 (PE26-30)]]</f>
      </c>
      <c r="BS52" s="117">
        <f>IFERROR(VLOOKUP(_tPE26_29_Consolidada[[#This Row], [ID Financeiro]],'[4]PE 25-29'!$B:$AT,45,FALSE),0)</f>
      </c>
      <c r="BT52" s="117">
        <f>_tPE26_29_Consolidada[[#This Row], [2026-2030]]*1000</f>
      </c>
      <c r="BU52" s="117">
        <f>-_tPE26_29_Consolidada[[#This Row], [Orçado 26/30 (PE25-29)]]+_tPE26_29_Consolidada[[#This Row], [Orçado 26/30 (PE26-30)]]</f>
      </c>
      <c r="BV52" s="119">
        <f>IFERROR(_tPE26_29_Consolidada[[#This Row], [Dif2]]/_tPE26_29_Consolidada[[#This Row], [Orçado 26/30 (PE25-29)]],0)</f>
      </c>
      <c r="BW52" s="1"/>
      <c r="BX52" s="1"/>
      <c r="BY52" s="1"/>
      <c r="BZ52" s="1"/>
      <c r="CA52" s="1"/>
      <c r="CB52" s="1"/>
      <c r="CC52" s="1"/>
      <c r="CD52" s="1"/>
      <c r="CE52" s="1"/>
      <c r="CF52" s="1"/>
      <c r="CG52" s="1"/>
      <c r="CH52" s="1"/>
      <c r="CI52" s="1"/>
      <c r="CJ52" s="1"/>
      <c r="CK52" s="1"/>
      <c r="CL52" s="1"/>
      <c r="CM52" s="1"/>
      <c r="CN52" s="1"/>
      <c r="CO52" s="1"/>
      <c r="CP52" s="1"/>
      <c r="CQ52" s="111"/>
      <c r="CR52" s="111"/>
      <c r="CS52" s="111"/>
      <c r="CT52" s="111"/>
      <c r="CU52" s="111"/>
      <c r="CV52" s="111"/>
      <c r="CW52" s="111"/>
      <c r="CX52" s="111"/>
      <c r="CY52" s="111"/>
      <c r="CZ52" s="111"/>
      <c r="DA52" s="111"/>
      <c r="DB52" s="111"/>
      <c r="DC52" s="111"/>
      <c r="DD52" s="111"/>
      <c r="DE52" s="111"/>
      <c r="DF52" s="111"/>
      <c r="DG52" s="111"/>
      <c r="DH52" s="111"/>
      <c r="DI52" s="111"/>
      <c r="DJ52" s="111"/>
      <c r="DK52" s="111"/>
      <c r="DL52" s="111"/>
      <c r="DM52" s="111"/>
      <c r="DN52" s="111"/>
      <c r="DO52" s="111"/>
      <c r="DP52" s="111"/>
      <c r="DQ52" s="111"/>
      <c r="DR52" s="111"/>
      <c r="DS52" s="111"/>
      <c r="DT52" s="111"/>
      <c r="DU52" s="111"/>
      <c r="DV52" s="111"/>
      <c r="DW52" s="111"/>
      <c r="DX52" s="111"/>
      <c r="DY52" s="111"/>
      <c r="DZ52" s="111"/>
      <c r="EA52" s="111"/>
      <c r="EB52" s="111"/>
      <c r="EC52" s="111"/>
      <c r="ED52" s="111"/>
      <c r="EE52" s="111"/>
      <c r="EF52" s="111"/>
      <c r="EG52" s="111"/>
      <c r="EH52" s="111"/>
      <c r="EI52" s="111"/>
      <c r="EJ52" s="111"/>
      <c r="EK52" s="111"/>
      <c r="EL52" s="111"/>
      <c r="EM52" s="111"/>
      <c r="EN52" s="111"/>
      <c r="EO52" s="111"/>
      <c r="EP52" s="111"/>
      <c r="EQ52" s="111"/>
      <c r="ER52" s="111"/>
      <c r="ES52" s="111"/>
      <c r="ET52" s="111"/>
      <c r="EU52" s="111"/>
      <c r="EV52" s="111"/>
      <c r="EW52" s="111"/>
      <c r="EX52" s="111"/>
      <c r="EY52" s="111"/>
      <c r="EZ52" s="111"/>
      <c r="FA52" s="2"/>
      <c r="FB52" s="2"/>
      <c r="FC52" s="2"/>
      <c r="FD52" s="2"/>
      <c r="FE52" s="2"/>
      <c r="FF52" s="2"/>
    </row>
    <row x14ac:dyDescent="0.25" r="53" customHeight="1" ht="18.75">
      <c r="A53" s="3"/>
      <c r="B53" s="118" t="s">
        <v>39052</v>
      </c>
      <c r="C53" s="3" t="s">
        <v>39053</v>
      </c>
      <c r="D53" s="3" t="s">
        <v>8</v>
      </c>
      <c r="E53" s="3" t="s">
        <v>38983</v>
      </c>
      <c r="F53" s="3"/>
      <c r="G53" s="3" t="s">
        <v>39228</v>
      </c>
      <c r="H53" s="3" t="s">
        <v>10</v>
      </c>
      <c r="I53" s="3" t="s">
        <v>86</v>
      </c>
      <c r="J53" s="3" t="s">
        <v>5</v>
      </c>
      <c r="K53" s="113" t="s">
        <v>16</v>
      </c>
      <c r="L53" s="3" t="s">
        <v>67</v>
      </c>
      <c r="M53" s="3" t="s">
        <v>39055</v>
      </c>
      <c r="N53" s="3"/>
      <c r="O53" s="3"/>
      <c r="P53" s="3"/>
      <c r="Q53" s="3" t="s">
        <v>39229</v>
      </c>
      <c r="R53" s="3" t="s">
        <v>39057</v>
      </c>
      <c r="S53" s="3" t="s">
        <v>39058</v>
      </c>
      <c r="T53" s="114">
        <v>216000</v>
      </c>
      <c r="U53" s="114">
        <v>96000</v>
      </c>
      <c r="V53" s="114">
        <v>216000</v>
      </c>
      <c r="W53" s="114">
        <v>96000</v>
      </c>
      <c r="X53" s="114">
        <v>96000</v>
      </c>
      <c r="Y53" s="114">
        <v>216000</v>
      </c>
      <c r="Z53" s="114">
        <v>96000</v>
      </c>
      <c r="AA53" s="114">
        <v>96000</v>
      </c>
      <c r="AB53" s="114">
        <v>0</v>
      </c>
      <c r="AC53" s="114">
        <v>0</v>
      </c>
      <c r="AD53" s="114">
        <v>0</v>
      </c>
      <c r="AE53" s="114">
        <v>0</v>
      </c>
      <c r="AF53" s="114">
        <v>1128000</v>
      </c>
      <c r="AG53" s="114">
        <v>0</v>
      </c>
      <c r="AH53" s="114">
        <v>0</v>
      </c>
      <c r="AI53" s="114">
        <v>0</v>
      </c>
      <c r="AJ53" s="114">
        <v>0</v>
      </c>
      <c r="AK53" s="114">
        <v>1128000</v>
      </c>
      <c r="AL53" s="114">
        <v>0</v>
      </c>
      <c r="AM53" s="114">
        <v>0</v>
      </c>
      <c r="AN53" s="114">
        <v>0</v>
      </c>
      <c r="AO53" s="114">
        <v>0</v>
      </c>
      <c r="AP53" s="114">
        <v>0</v>
      </c>
      <c r="AQ53" s="114">
        <v>1128000</v>
      </c>
      <c r="AR53" s="22">
        <v>191</v>
      </c>
      <c r="AS53" s="3" t="s">
        <v>39059</v>
      </c>
      <c r="AT53" s="115">
        <v>2025</v>
      </c>
      <c r="AU53" s="22">
        <f>_xlfn.XLOOKUP(_tPE26_29_Consolidada[[#This Row], [ID Financeiro]],[5]Projetos!$K:$K,[5]Projetos!$A:$A,0,0)</f>
      </c>
      <c r="AV53" s="3" t="s">
        <v>39230</v>
      </c>
      <c r="AW53" s="3" t="s">
        <v>46</v>
      </c>
      <c r="AX53" s="8" t="s">
        <v>39229</v>
      </c>
      <c r="AY53" s="8"/>
      <c r="AZ53" s="3" t="s">
        <v>39117</v>
      </c>
      <c r="BA53" s="3"/>
      <c r="BB53" s="3"/>
      <c r="BC53" s="3"/>
      <c r="BD53" s="3"/>
      <c r="BE53" s="3"/>
      <c r="BF53" s="3"/>
      <c r="BG53" s="3"/>
      <c r="BH53" s="3"/>
      <c r="BI53" s="3"/>
      <c r="BJ53" s="3"/>
      <c r="BK53" s="3"/>
      <c r="BL53" s="3"/>
      <c r="BM53" s="3"/>
      <c r="BN53" s="3"/>
      <c r="BO53" s="3"/>
      <c r="BP53" s="116">
        <f>IFERROR(VLOOKUP(_tPE26_29_Consolidada[[#This Row], [ID Financeiro]],'[4]PE 25-29'!$B:$AF,31,FALSE),0)</f>
      </c>
      <c r="BQ53" s="116">
        <f>_tPE26_29_Consolidada[[#This Row], [2026]]*1000</f>
      </c>
      <c r="BR53" s="117">
        <f>_tPE26_29_Consolidada[[#This Row], [Orçado 2026 (PE25-29)]]-_tPE26_29_Consolidada[[#This Row], [Orçado 2026 (PE26-30)]]</f>
      </c>
      <c r="BS53" s="117">
        <f>IFERROR(VLOOKUP(_tPE26_29_Consolidada[[#This Row], [ID Financeiro]],'[4]PE 25-29'!$B:$AT,45,FALSE),0)</f>
      </c>
      <c r="BT53" s="117">
        <f>_tPE26_29_Consolidada[[#This Row], [2026-2030]]*1000</f>
      </c>
      <c r="BU53" s="117">
        <f>-_tPE26_29_Consolidada[[#This Row], [Orçado 26/30 (PE25-29)]]+_tPE26_29_Consolidada[[#This Row], [Orçado 26/30 (PE26-30)]]</f>
      </c>
      <c r="BV53" s="119">
        <f>IFERROR(_tPE26_29_Consolidada[[#This Row], [Dif2]]/_tPE26_29_Consolidada[[#This Row], [Orçado 26/30 (PE25-29)]],0)</f>
      </c>
      <c r="BW53" s="1"/>
      <c r="BX53" s="1"/>
      <c r="BY53" s="1"/>
      <c r="BZ53" s="1"/>
      <c r="CA53" s="1"/>
      <c r="CB53" s="1"/>
      <c r="CC53" s="1"/>
      <c r="CD53" s="1"/>
      <c r="CE53" s="1"/>
      <c r="CF53" s="1"/>
      <c r="CG53" s="1"/>
      <c r="CH53" s="1"/>
      <c r="CI53" s="1"/>
      <c r="CJ53" s="1"/>
      <c r="CK53" s="1"/>
      <c r="CL53" s="1"/>
      <c r="CM53" s="1"/>
      <c r="CN53" s="1"/>
      <c r="CO53" s="1"/>
      <c r="CP53" s="1"/>
      <c r="CQ53" s="111"/>
      <c r="CR53" s="111"/>
      <c r="CS53" s="111"/>
      <c r="CT53" s="111"/>
      <c r="CU53" s="111"/>
      <c r="CV53" s="111"/>
      <c r="CW53" s="111"/>
      <c r="CX53" s="111"/>
      <c r="CY53" s="111"/>
      <c r="CZ53" s="111"/>
      <c r="DA53" s="111"/>
      <c r="DB53" s="111"/>
      <c r="DC53" s="111"/>
      <c r="DD53" s="111"/>
      <c r="DE53" s="111"/>
      <c r="DF53" s="111"/>
      <c r="DG53" s="111"/>
      <c r="DH53" s="111"/>
      <c r="DI53" s="111"/>
      <c r="DJ53" s="111"/>
      <c r="DK53" s="111"/>
      <c r="DL53" s="111"/>
      <c r="DM53" s="111"/>
      <c r="DN53" s="111"/>
      <c r="DO53" s="111"/>
      <c r="DP53" s="111"/>
      <c r="DQ53" s="111"/>
      <c r="DR53" s="111"/>
      <c r="DS53" s="111"/>
      <c r="DT53" s="111"/>
      <c r="DU53" s="111"/>
      <c r="DV53" s="111"/>
      <c r="DW53" s="111"/>
      <c r="DX53" s="111"/>
      <c r="DY53" s="111"/>
      <c r="DZ53" s="111"/>
      <c r="EA53" s="111"/>
      <c r="EB53" s="111"/>
      <c r="EC53" s="111"/>
      <c r="ED53" s="111"/>
      <c r="EE53" s="111"/>
      <c r="EF53" s="111"/>
      <c r="EG53" s="111"/>
      <c r="EH53" s="111"/>
      <c r="EI53" s="111"/>
      <c r="EJ53" s="111"/>
      <c r="EK53" s="111"/>
      <c r="EL53" s="111"/>
      <c r="EM53" s="111"/>
      <c r="EN53" s="111"/>
      <c r="EO53" s="111"/>
      <c r="EP53" s="111"/>
      <c r="EQ53" s="111"/>
      <c r="ER53" s="111"/>
      <c r="ES53" s="111"/>
      <c r="ET53" s="111"/>
      <c r="EU53" s="111"/>
      <c r="EV53" s="111"/>
      <c r="EW53" s="111"/>
      <c r="EX53" s="111"/>
      <c r="EY53" s="111"/>
      <c r="EZ53" s="111"/>
      <c r="FA53" s="2"/>
      <c r="FB53" s="2"/>
      <c r="FC53" s="2"/>
      <c r="FD53" s="2"/>
      <c r="FE53" s="2"/>
      <c r="FF53" s="2"/>
    </row>
    <row x14ac:dyDescent="0.25" r="54" customHeight="1" ht="18.75">
      <c r="A54" s="3"/>
      <c r="B54" s="118" t="s">
        <v>39052</v>
      </c>
      <c r="C54" s="3" t="s">
        <v>39053</v>
      </c>
      <c r="D54" s="3" t="s">
        <v>8</v>
      </c>
      <c r="E54" s="3" t="s">
        <v>38983</v>
      </c>
      <c r="F54" s="3"/>
      <c r="G54" s="3" t="s">
        <v>39231</v>
      </c>
      <c r="H54" s="3" t="s">
        <v>10</v>
      </c>
      <c r="I54" s="3" t="s">
        <v>86</v>
      </c>
      <c r="J54" s="3" t="s">
        <v>5</v>
      </c>
      <c r="K54" s="113" t="s">
        <v>16</v>
      </c>
      <c r="L54" s="3" t="s">
        <v>67</v>
      </c>
      <c r="M54" s="3" t="s">
        <v>39055</v>
      </c>
      <c r="N54" s="3"/>
      <c r="O54" s="3"/>
      <c r="P54" s="3"/>
      <c r="Q54" s="3" t="s">
        <v>39232</v>
      </c>
      <c r="R54" s="3" t="s">
        <v>39057</v>
      </c>
      <c r="S54" s="3" t="s">
        <v>39058</v>
      </c>
      <c r="T54" s="114">
        <v>0</v>
      </c>
      <c r="U54" s="114">
        <v>100000</v>
      </c>
      <c r="V54" s="114">
        <v>0</v>
      </c>
      <c r="W54" s="114">
        <v>100000</v>
      </c>
      <c r="X54" s="114">
        <v>0</v>
      </c>
      <c r="Y54" s="114">
        <v>100000</v>
      </c>
      <c r="Z54" s="114">
        <v>0</v>
      </c>
      <c r="AA54" s="114">
        <v>100000</v>
      </c>
      <c r="AB54" s="114">
        <v>0</v>
      </c>
      <c r="AC54" s="114">
        <v>100000</v>
      </c>
      <c r="AD54" s="114">
        <v>0</v>
      </c>
      <c r="AE54" s="114">
        <v>100000</v>
      </c>
      <c r="AF54" s="114">
        <v>600000</v>
      </c>
      <c r="AG54" s="114">
        <v>0</v>
      </c>
      <c r="AH54" s="114">
        <v>0</v>
      </c>
      <c r="AI54" s="114">
        <v>0</v>
      </c>
      <c r="AJ54" s="114">
        <v>0</v>
      </c>
      <c r="AK54" s="114">
        <v>600000</v>
      </c>
      <c r="AL54" s="114">
        <v>0</v>
      </c>
      <c r="AM54" s="114">
        <v>0</v>
      </c>
      <c r="AN54" s="114">
        <v>0</v>
      </c>
      <c r="AO54" s="114">
        <v>0</v>
      </c>
      <c r="AP54" s="114">
        <v>0</v>
      </c>
      <c r="AQ54" s="114">
        <v>600000</v>
      </c>
      <c r="AR54" s="22">
        <v>192</v>
      </c>
      <c r="AS54" s="3" t="s">
        <v>39059</v>
      </c>
      <c r="AT54" s="115">
        <v>2025</v>
      </c>
      <c r="AU54" s="22">
        <f>_xlfn.XLOOKUP(_tPE26_29_Consolidada[[#This Row], [ID Financeiro]],[5]Projetos!$K:$K,[5]Projetos!$A:$A,0,0)</f>
      </c>
      <c r="AV54" s="3" t="s">
        <v>39233</v>
      </c>
      <c r="AW54" s="3" t="s">
        <v>46</v>
      </c>
      <c r="AX54" s="8" t="s">
        <v>39232</v>
      </c>
      <c r="AY54" s="8"/>
      <c r="AZ54" s="3" t="s">
        <v>39092</v>
      </c>
      <c r="BA54" s="3"/>
      <c r="BB54" s="3"/>
      <c r="BC54" s="3"/>
      <c r="BD54" s="3"/>
      <c r="BE54" s="3"/>
      <c r="BF54" s="3"/>
      <c r="BG54" s="3"/>
      <c r="BH54" s="3"/>
      <c r="BI54" s="3"/>
      <c r="BJ54" s="3"/>
      <c r="BK54" s="3"/>
      <c r="BL54" s="3"/>
      <c r="BM54" s="3"/>
      <c r="BN54" s="3"/>
      <c r="BO54" s="3"/>
      <c r="BP54" s="116">
        <f>IFERROR(VLOOKUP(_tPE26_29_Consolidada[[#This Row], [ID Financeiro]],'[4]PE 25-29'!$B:$AF,31,FALSE),0)</f>
      </c>
      <c r="BQ54" s="116">
        <f>_tPE26_29_Consolidada[[#This Row], [2026]]*1000</f>
      </c>
      <c r="BR54" s="117">
        <f>_tPE26_29_Consolidada[[#This Row], [Orçado 2026 (PE25-29)]]-_tPE26_29_Consolidada[[#This Row], [Orçado 2026 (PE26-30)]]</f>
      </c>
      <c r="BS54" s="117">
        <f>IFERROR(VLOOKUP(_tPE26_29_Consolidada[[#This Row], [ID Financeiro]],'[4]PE 25-29'!$B:$AT,45,FALSE),0)</f>
      </c>
      <c r="BT54" s="117">
        <f>_tPE26_29_Consolidada[[#This Row], [2026-2030]]*1000</f>
      </c>
      <c r="BU54" s="117">
        <f>-_tPE26_29_Consolidada[[#This Row], [Orçado 26/30 (PE25-29)]]+_tPE26_29_Consolidada[[#This Row], [Orçado 26/30 (PE26-30)]]</f>
      </c>
      <c r="BV54" s="119">
        <f>IFERROR(_tPE26_29_Consolidada[[#This Row], [Dif2]]/_tPE26_29_Consolidada[[#This Row], [Orçado 26/30 (PE25-29)]],0)</f>
      </c>
      <c r="BW54" s="1"/>
      <c r="BX54" s="1"/>
      <c r="BY54" s="1"/>
      <c r="BZ54" s="1"/>
      <c r="CA54" s="1"/>
      <c r="CB54" s="1"/>
      <c r="CC54" s="1"/>
      <c r="CD54" s="1"/>
      <c r="CE54" s="1"/>
      <c r="CF54" s="1"/>
      <c r="CG54" s="1"/>
      <c r="CH54" s="1"/>
      <c r="CI54" s="1"/>
      <c r="CJ54" s="1"/>
      <c r="CK54" s="1"/>
      <c r="CL54" s="1"/>
      <c r="CM54" s="1"/>
      <c r="CN54" s="1"/>
      <c r="CO54" s="1"/>
      <c r="CP54" s="1"/>
      <c r="CQ54" s="111"/>
      <c r="CR54" s="111"/>
      <c r="CS54" s="111"/>
      <c r="CT54" s="111"/>
      <c r="CU54" s="111"/>
      <c r="CV54" s="111"/>
      <c r="CW54" s="111"/>
      <c r="CX54" s="111"/>
      <c r="CY54" s="111"/>
      <c r="CZ54" s="111"/>
      <c r="DA54" s="111"/>
      <c r="DB54" s="111"/>
      <c r="DC54" s="111"/>
      <c r="DD54" s="111"/>
      <c r="DE54" s="111"/>
      <c r="DF54" s="111"/>
      <c r="DG54" s="111"/>
      <c r="DH54" s="111"/>
      <c r="DI54" s="111"/>
      <c r="DJ54" s="111"/>
      <c r="DK54" s="111"/>
      <c r="DL54" s="111"/>
      <c r="DM54" s="111"/>
      <c r="DN54" s="111"/>
      <c r="DO54" s="111"/>
      <c r="DP54" s="111"/>
      <c r="DQ54" s="111"/>
      <c r="DR54" s="111"/>
      <c r="DS54" s="111"/>
      <c r="DT54" s="111"/>
      <c r="DU54" s="111"/>
      <c r="DV54" s="111"/>
      <c r="DW54" s="111"/>
      <c r="DX54" s="111"/>
      <c r="DY54" s="111"/>
      <c r="DZ54" s="111"/>
      <c r="EA54" s="111"/>
      <c r="EB54" s="111"/>
      <c r="EC54" s="111"/>
      <c r="ED54" s="111"/>
      <c r="EE54" s="111"/>
      <c r="EF54" s="111"/>
      <c r="EG54" s="111"/>
      <c r="EH54" s="111"/>
      <c r="EI54" s="111"/>
      <c r="EJ54" s="111"/>
      <c r="EK54" s="111"/>
      <c r="EL54" s="111"/>
      <c r="EM54" s="111"/>
      <c r="EN54" s="111"/>
      <c r="EO54" s="111"/>
      <c r="EP54" s="111"/>
      <c r="EQ54" s="111"/>
      <c r="ER54" s="111"/>
      <c r="ES54" s="111"/>
      <c r="ET54" s="111"/>
      <c r="EU54" s="111"/>
      <c r="EV54" s="111"/>
      <c r="EW54" s="111"/>
      <c r="EX54" s="111"/>
      <c r="EY54" s="111"/>
      <c r="EZ54" s="111"/>
      <c r="FA54" s="2"/>
      <c r="FB54" s="2"/>
      <c r="FC54" s="2"/>
      <c r="FD54" s="2"/>
      <c r="FE54" s="2"/>
      <c r="FF54" s="2"/>
    </row>
    <row x14ac:dyDescent="0.25" r="55" customHeight="1" ht="18.75">
      <c r="A55" s="3"/>
      <c r="B55" s="118" t="s">
        <v>39052</v>
      </c>
      <c r="C55" s="3" t="s">
        <v>39053</v>
      </c>
      <c r="D55" s="3" t="s">
        <v>8</v>
      </c>
      <c r="E55" s="3" t="s">
        <v>38983</v>
      </c>
      <c r="F55" s="3"/>
      <c r="G55" s="3" t="s">
        <v>39234</v>
      </c>
      <c r="H55" s="3" t="s">
        <v>10</v>
      </c>
      <c r="I55" s="3" t="s">
        <v>86</v>
      </c>
      <c r="J55" s="3" t="s">
        <v>5</v>
      </c>
      <c r="K55" s="113" t="s">
        <v>16</v>
      </c>
      <c r="L55" s="3" t="s">
        <v>67</v>
      </c>
      <c r="M55" s="3" t="s">
        <v>39055</v>
      </c>
      <c r="N55" s="3"/>
      <c r="O55" s="3"/>
      <c r="P55" s="3"/>
      <c r="Q55" s="3" t="s">
        <v>39235</v>
      </c>
      <c r="R55" s="3" t="s">
        <v>39057</v>
      </c>
      <c r="S55" s="3" t="s">
        <v>39167</v>
      </c>
      <c r="T55" s="114">
        <v>40000</v>
      </c>
      <c r="U55" s="114">
        <v>3400000</v>
      </c>
      <c r="V55" s="114">
        <v>280000</v>
      </c>
      <c r="W55" s="114">
        <v>2400000</v>
      </c>
      <c r="X55" s="114">
        <v>160000</v>
      </c>
      <c r="Y55" s="114">
        <v>470000</v>
      </c>
      <c r="Z55" s="114">
        <v>0</v>
      </c>
      <c r="AA55" s="114">
        <v>0</v>
      </c>
      <c r="AB55" s="114">
        <v>0</v>
      </c>
      <c r="AC55" s="114">
        <v>0</v>
      </c>
      <c r="AD55" s="114">
        <v>0</v>
      </c>
      <c r="AE55" s="114">
        <v>0</v>
      </c>
      <c r="AF55" s="114">
        <v>6750000</v>
      </c>
      <c r="AG55" s="114">
        <v>0</v>
      </c>
      <c r="AH55" s="114">
        <v>0</v>
      </c>
      <c r="AI55" s="114">
        <v>0</v>
      </c>
      <c r="AJ55" s="114">
        <v>0</v>
      </c>
      <c r="AK55" s="114">
        <v>6750000</v>
      </c>
      <c r="AL55" s="114">
        <v>0</v>
      </c>
      <c r="AM55" s="114">
        <v>0</v>
      </c>
      <c r="AN55" s="114">
        <v>0</v>
      </c>
      <c r="AO55" s="114">
        <v>0</v>
      </c>
      <c r="AP55" s="114">
        <v>0</v>
      </c>
      <c r="AQ55" s="114">
        <v>6750000</v>
      </c>
      <c r="AR55" s="22">
        <v>193</v>
      </c>
      <c r="AS55" s="3" t="s">
        <v>39059</v>
      </c>
      <c r="AT55" s="115">
        <v>2025</v>
      </c>
      <c r="AU55" s="22">
        <f>_xlfn.XLOOKUP(_tPE26_29_Consolidada[[#This Row], [ID Financeiro]],[5]Projetos!$K:$K,[5]Projetos!$A:$A,0,0)</f>
      </c>
      <c r="AV55" s="3" t="s">
        <v>39236</v>
      </c>
      <c r="AW55" s="3" t="s">
        <v>46</v>
      </c>
      <c r="AX55" s="8" t="s">
        <v>39235</v>
      </c>
      <c r="AY55" s="8"/>
      <c r="AZ55" s="3" t="s">
        <v>39143</v>
      </c>
      <c r="BA55" s="3"/>
      <c r="BB55" s="3"/>
      <c r="BC55" s="3"/>
      <c r="BD55" s="3"/>
      <c r="BE55" s="3"/>
      <c r="BF55" s="3"/>
      <c r="BG55" s="3"/>
      <c r="BH55" s="3"/>
      <c r="BI55" s="3"/>
      <c r="BJ55" s="3"/>
      <c r="BK55" s="3"/>
      <c r="BL55" s="3"/>
      <c r="BM55" s="3"/>
      <c r="BN55" s="3"/>
      <c r="BO55" s="3"/>
      <c r="BP55" s="116">
        <f>IFERROR(VLOOKUP(_tPE26_29_Consolidada[[#This Row], [ID Financeiro]],'[4]PE 25-29'!$B:$AF,31,FALSE),0)</f>
      </c>
      <c r="BQ55" s="116">
        <f>_tPE26_29_Consolidada[[#This Row], [2026]]*1000</f>
      </c>
      <c r="BR55" s="117">
        <f>_tPE26_29_Consolidada[[#This Row], [Orçado 2026 (PE25-29)]]-_tPE26_29_Consolidada[[#This Row], [Orçado 2026 (PE26-30)]]</f>
      </c>
      <c r="BS55" s="117">
        <f>IFERROR(VLOOKUP(_tPE26_29_Consolidada[[#This Row], [ID Financeiro]],'[4]PE 25-29'!$B:$AT,45,FALSE),0)</f>
      </c>
      <c r="BT55" s="117">
        <f>_tPE26_29_Consolidada[[#This Row], [2026-2030]]*1000</f>
      </c>
      <c r="BU55" s="117">
        <f>-_tPE26_29_Consolidada[[#This Row], [Orçado 26/30 (PE25-29)]]+_tPE26_29_Consolidada[[#This Row], [Orçado 26/30 (PE26-30)]]</f>
      </c>
      <c r="BV55" s="119">
        <f>IFERROR(_tPE26_29_Consolidada[[#This Row], [Dif2]]/_tPE26_29_Consolidada[[#This Row], [Orçado 26/30 (PE25-29)]],0)</f>
      </c>
      <c r="BW55" s="1"/>
      <c r="BX55" s="1"/>
      <c r="BY55" s="1"/>
      <c r="BZ55" s="1"/>
      <c r="CA55" s="1"/>
      <c r="CB55" s="1"/>
      <c r="CC55" s="1"/>
      <c r="CD55" s="1"/>
      <c r="CE55" s="1"/>
      <c r="CF55" s="1"/>
      <c r="CG55" s="1"/>
      <c r="CH55" s="1"/>
      <c r="CI55" s="1"/>
      <c r="CJ55" s="1"/>
      <c r="CK55" s="1"/>
      <c r="CL55" s="1"/>
      <c r="CM55" s="1"/>
      <c r="CN55" s="1"/>
      <c r="CO55" s="1"/>
      <c r="CP55" s="1"/>
      <c r="CQ55" s="111"/>
      <c r="CR55" s="111"/>
      <c r="CS55" s="111"/>
      <c r="CT55" s="111"/>
      <c r="CU55" s="111"/>
      <c r="CV55" s="111"/>
      <c r="CW55" s="111"/>
      <c r="CX55" s="111"/>
      <c r="CY55" s="111"/>
      <c r="CZ55" s="111"/>
      <c r="DA55" s="111"/>
      <c r="DB55" s="111"/>
      <c r="DC55" s="111"/>
      <c r="DD55" s="111"/>
      <c r="DE55" s="111"/>
      <c r="DF55" s="111"/>
      <c r="DG55" s="111"/>
      <c r="DH55" s="111"/>
      <c r="DI55" s="111"/>
      <c r="DJ55" s="111"/>
      <c r="DK55" s="111"/>
      <c r="DL55" s="111"/>
      <c r="DM55" s="111"/>
      <c r="DN55" s="111"/>
      <c r="DO55" s="111"/>
      <c r="DP55" s="111"/>
      <c r="DQ55" s="111"/>
      <c r="DR55" s="111"/>
      <c r="DS55" s="111"/>
      <c r="DT55" s="111"/>
      <c r="DU55" s="111"/>
      <c r="DV55" s="111"/>
      <c r="DW55" s="111"/>
      <c r="DX55" s="111"/>
      <c r="DY55" s="111"/>
      <c r="DZ55" s="111"/>
      <c r="EA55" s="111"/>
      <c r="EB55" s="111"/>
      <c r="EC55" s="111"/>
      <c r="ED55" s="111"/>
      <c r="EE55" s="111"/>
      <c r="EF55" s="111"/>
      <c r="EG55" s="111"/>
      <c r="EH55" s="111"/>
      <c r="EI55" s="111"/>
      <c r="EJ55" s="111"/>
      <c r="EK55" s="111"/>
      <c r="EL55" s="111"/>
      <c r="EM55" s="111"/>
      <c r="EN55" s="111"/>
      <c r="EO55" s="111"/>
      <c r="EP55" s="111"/>
      <c r="EQ55" s="111"/>
      <c r="ER55" s="111"/>
      <c r="ES55" s="111"/>
      <c r="ET55" s="111"/>
      <c r="EU55" s="111"/>
      <c r="EV55" s="111"/>
      <c r="EW55" s="111"/>
      <c r="EX55" s="111"/>
      <c r="EY55" s="111"/>
      <c r="EZ55" s="111"/>
      <c r="FA55" s="2"/>
      <c r="FB55" s="2"/>
      <c r="FC55" s="2"/>
      <c r="FD55" s="2"/>
      <c r="FE55" s="2"/>
      <c r="FF55" s="2"/>
    </row>
    <row x14ac:dyDescent="0.25" r="56" customHeight="1" ht="18.75">
      <c r="A56" s="3"/>
      <c r="B56" s="118" t="s">
        <v>39052</v>
      </c>
      <c r="C56" s="3" t="s">
        <v>39053</v>
      </c>
      <c r="D56" s="3" t="s">
        <v>8</v>
      </c>
      <c r="E56" s="3" t="s">
        <v>38983</v>
      </c>
      <c r="F56" s="3"/>
      <c r="G56" s="3" t="s">
        <v>39237</v>
      </c>
      <c r="H56" s="3" t="s">
        <v>10</v>
      </c>
      <c r="I56" s="3" t="s">
        <v>86</v>
      </c>
      <c r="J56" s="3" t="s">
        <v>5</v>
      </c>
      <c r="K56" s="113" t="s">
        <v>16</v>
      </c>
      <c r="L56" s="3" t="s">
        <v>67</v>
      </c>
      <c r="M56" s="3" t="s">
        <v>39055</v>
      </c>
      <c r="N56" s="3"/>
      <c r="O56" s="3"/>
      <c r="P56" s="3"/>
      <c r="Q56" s="3" t="s">
        <v>39238</v>
      </c>
      <c r="R56" s="3" t="s">
        <v>39057</v>
      </c>
      <c r="S56" s="3" t="s">
        <v>39098</v>
      </c>
      <c r="T56" s="114">
        <v>20000</v>
      </c>
      <c r="U56" s="114">
        <v>20000</v>
      </c>
      <c r="V56" s="114">
        <v>20000</v>
      </c>
      <c r="W56" s="114">
        <v>1400000</v>
      </c>
      <c r="X56" s="114">
        <v>250000</v>
      </c>
      <c r="Y56" s="114">
        <v>250000</v>
      </c>
      <c r="Z56" s="114">
        <v>250000</v>
      </c>
      <c r="AA56" s="114">
        <v>250000</v>
      </c>
      <c r="AB56" s="114">
        <v>1300000</v>
      </c>
      <c r="AC56" s="114">
        <v>20000</v>
      </c>
      <c r="AD56" s="114">
        <v>100000</v>
      </c>
      <c r="AE56" s="114">
        <v>120000</v>
      </c>
      <c r="AF56" s="114">
        <v>4000000</v>
      </c>
      <c r="AG56" s="114">
        <v>500000</v>
      </c>
      <c r="AH56" s="114">
        <v>0</v>
      </c>
      <c r="AI56" s="114">
        <v>0</v>
      </c>
      <c r="AJ56" s="114">
        <v>0</v>
      </c>
      <c r="AK56" s="114">
        <v>4500000</v>
      </c>
      <c r="AL56" s="114">
        <v>0</v>
      </c>
      <c r="AM56" s="114">
        <v>0</v>
      </c>
      <c r="AN56" s="114">
        <v>0</v>
      </c>
      <c r="AO56" s="114">
        <v>0</v>
      </c>
      <c r="AP56" s="114">
        <v>0</v>
      </c>
      <c r="AQ56" s="114">
        <v>4500000</v>
      </c>
      <c r="AR56" s="22">
        <v>194</v>
      </c>
      <c r="AS56" s="3" t="s">
        <v>39059</v>
      </c>
      <c r="AT56" s="115">
        <v>2025</v>
      </c>
      <c r="AU56" s="22">
        <f>_xlfn.XLOOKUP(_tPE26_29_Consolidada[[#This Row], [ID Financeiro]],[5]Projetos!$K:$K,[5]Projetos!$A:$A,0,0)</f>
      </c>
      <c r="AV56" s="3" t="s">
        <v>39239</v>
      </c>
      <c r="AW56" s="3" t="s">
        <v>46</v>
      </c>
      <c r="AX56" s="8" t="s">
        <v>39238</v>
      </c>
      <c r="AY56" s="8"/>
      <c r="AZ56" s="3" t="s">
        <v>39068</v>
      </c>
      <c r="BA56" s="3"/>
      <c r="BB56" s="3"/>
      <c r="BC56" s="3"/>
      <c r="BD56" s="3"/>
      <c r="BE56" s="3"/>
      <c r="BF56" s="3"/>
      <c r="BG56" s="3"/>
      <c r="BH56" s="3"/>
      <c r="BI56" s="3"/>
      <c r="BJ56" s="3"/>
      <c r="BK56" s="3"/>
      <c r="BL56" s="3"/>
      <c r="BM56" s="3"/>
      <c r="BN56" s="3"/>
      <c r="BO56" s="3"/>
      <c r="BP56" s="116">
        <f>IFERROR(VLOOKUP(_tPE26_29_Consolidada[[#This Row], [ID Financeiro]],'[4]PE 25-29'!$B:$AF,31,FALSE),0)</f>
      </c>
      <c r="BQ56" s="116">
        <f>_tPE26_29_Consolidada[[#This Row], [2026]]*1000</f>
      </c>
      <c r="BR56" s="117">
        <f>_tPE26_29_Consolidada[[#This Row], [Orçado 2026 (PE25-29)]]-_tPE26_29_Consolidada[[#This Row], [Orçado 2026 (PE26-30)]]</f>
      </c>
      <c r="BS56" s="117">
        <f>IFERROR(VLOOKUP(_tPE26_29_Consolidada[[#This Row], [ID Financeiro]],'[4]PE 25-29'!$B:$AT,45,FALSE),0)</f>
      </c>
      <c r="BT56" s="117">
        <f>_tPE26_29_Consolidada[[#This Row], [2026-2030]]*1000</f>
      </c>
      <c r="BU56" s="117">
        <f>-_tPE26_29_Consolidada[[#This Row], [Orçado 26/30 (PE25-29)]]+_tPE26_29_Consolidada[[#This Row], [Orçado 26/30 (PE26-30)]]</f>
      </c>
      <c r="BV56" s="119">
        <f>IFERROR(_tPE26_29_Consolidada[[#This Row], [Dif2]]/_tPE26_29_Consolidada[[#This Row], [Orçado 26/30 (PE25-29)]],0)</f>
      </c>
      <c r="BW56" s="1"/>
      <c r="BX56" s="1"/>
      <c r="BY56" s="1"/>
      <c r="BZ56" s="1"/>
      <c r="CA56" s="1"/>
      <c r="CB56" s="1"/>
      <c r="CC56" s="1"/>
      <c r="CD56" s="1"/>
      <c r="CE56" s="1"/>
      <c r="CF56" s="1"/>
      <c r="CG56" s="1"/>
      <c r="CH56" s="1"/>
      <c r="CI56" s="1"/>
      <c r="CJ56" s="1"/>
      <c r="CK56" s="1"/>
      <c r="CL56" s="1"/>
      <c r="CM56" s="1"/>
      <c r="CN56" s="1"/>
      <c r="CO56" s="1"/>
      <c r="CP56" s="1"/>
      <c r="CQ56" s="111"/>
      <c r="CR56" s="111"/>
      <c r="CS56" s="111"/>
      <c r="CT56" s="111"/>
      <c r="CU56" s="111"/>
      <c r="CV56" s="111"/>
      <c r="CW56" s="111"/>
      <c r="CX56" s="111"/>
      <c r="CY56" s="111"/>
      <c r="CZ56" s="111"/>
      <c r="DA56" s="111"/>
      <c r="DB56" s="111"/>
      <c r="DC56" s="111"/>
      <c r="DD56" s="111"/>
      <c r="DE56" s="111"/>
      <c r="DF56" s="111"/>
      <c r="DG56" s="111"/>
      <c r="DH56" s="111"/>
      <c r="DI56" s="111"/>
      <c r="DJ56" s="111"/>
      <c r="DK56" s="111"/>
      <c r="DL56" s="111"/>
      <c r="DM56" s="111"/>
      <c r="DN56" s="111"/>
      <c r="DO56" s="111"/>
      <c r="DP56" s="111"/>
      <c r="DQ56" s="111"/>
      <c r="DR56" s="111"/>
      <c r="DS56" s="111"/>
      <c r="DT56" s="111"/>
      <c r="DU56" s="111"/>
      <c r="DV56" s="111"/>
      <c r="DW56" s="111"/>
      <c r="DX56" s="111"/>
      <c r="DY56" s="111"/>
      <c r="DZ56" s="111"/>
      <c r="EA56" s="111"/>
      <c r="EB56" s="111"/>
      <c r="EC56" s="111"/>
      <c r="ED56" s="111"/>
      <c r="EE56" s="111"/>
      <c r="EF56" s="111"/>
      <c r="EG56" s="111"/>
      <c r="EH56" s="111"/>
      <c r="EI56" s="111"/>
      <c r="EJ56" s="111"/>
      <c r="EK56" s="111"/>
      <c r="EL56" s="111"/>
      <c r="EM56" s="111"/>
      <c r="EN56" s="111"/>
      <c r="EO56" s="111"/>
      <c r="EP56" s="111"/>
      <c r="EQ56" s="111"/>
      <c r="ER56" s="111"/>
      <c r="ES56" s="111"/>
      <c r="ET56" s="111"/>
      <c r="EU56" s="111"/>
      <c r="EV56" s="111"/>
      <c r="EW56" s="111"/>
      <c r="EX56" s="111"/>
      <c r="EY56" s="111"/>
      <c r="EZ56" s="111"/>
      <c r="FA56" s="2"/>
      <c r="FB56" s="2"/>
      <c r="FC56" s="2"/>
      <c r="FD56" s="2"/>
      <c r="FE56" s="2"/>
      <c r="FF56" s="2"/>
    </row>
    <row x14ac:dyDescent="0.25" r="57" customHeight="1" ht="18.75">
      <c r="A57" s="3"/>
      <c r="B57" s="118" t="s">
        <v>39052</v>
      </c>
      <c r="C57" s="3" t="s">
        <v>39053</v>
      </c>
      <c r="D57" s="3" t="s">
        <v>8</v>
      </c>
      <c r="E57" s="3" t="s">
        <v>38983</v>
      </c>
      <c r="F57" s="3"/>
      <c r="G57" s="3" t="s">
        <v>39240</v>
      </c>
      <c r="H57" s="3" t="s">
        <v>10</v>
      </c>
      <c r="I57" s="3" t="s">
        <v>86</v>
      </c>
      <c r="J57" s="3" t="s">
        <v>5</v>
      </c>
      <c r="K57" s="113" t="s">
        <v>16</v>
      </c>
      <c r="L57" s="3" t="s">
        <v>67</v>
      </c>
      <c r="M57" s="3" t="s">
        <v>39055</v>
      </c>
      <c r="N57" s="3"/>
      <c r="O57" s="3"/>
      <c r="P57" s="3"/>
      <c r="Q57" s="3" t="s">
        <v>39241</v>
      </c>
      <c r="R57" s="3" t="s">
        <v>39057</v>
      </c>
      <c r="S57" s="3" t="s">
        <v>39058</v>
      </c>
      <c r="T57" s="114">
        <v>30000</v>
      </c>
      <c r="U57" s="114">
        <v>30000</v>
      </c>
      <c r="V57" s="114">
        <v>30000</v>
      </c>
      <c r="W57" s="114">
        <v>30000</v>
      </c>
      <c r="X57" s="114">
        <v>30000</v>
      </c>
      <c r="Y57" s="114">
        <v>30000</v>
      </c>
      <c r="Z57" s="114">
        <v>320000</v>
      </c>
      <c r="AA57" s="114">
        <v>2500000</v>
      </c>
      <c r="AB57" s="114">
        <v>1000000</v>
      </c>
      <c r="AC57" s="114">
        <v>1000000</v>
      </c>
      <c r="AD57" s="114">
        <v>1000000</v>
      </c>
      <c r="AE57" s="114">
        <v>1000000</v>
      </c>
      <c r="AF57" s="114">
        <v>7000000</v>
      </c>
      <c r="AG57" s="114">
        <v>60000000</v>
      </c>
      <c r="AH57" s="114">
        <v>60000000</v>
      </c>
      <c r="AI57" s="114">
        <v>68000000</v>
      </c>
      <c r="AJ57" s="114">
        <v>68900000</v>
      </c>
      <c r="AK57" s="114">
        <v>263900000</v>
      </c>
      <c r="AL57" s="114">
        <v>0</v>
      </c>
      <c r="AM57" s="114">
        <v>0</v>
      </c>
      <c r="AN57" s="114">
        <v>0</v>
      </c>
      <c r="AO57" s="114">
        <v>0</v>
      </c>
      <c r="AP57" s="114">
        <v>0</v>
      </c>
      <c r="AQ57" s="114">
        <v>263900000</v>
      </c>
      <c r="AR57" s="22">
        <v>195</v>
      </c>
      <c r="AS57" s="3" t="s">
        <v>39059</v>
      </c>
      <c r="AT57" s="115">
        <v>2025</v>
      </c>
      <c r="AU57" s="22">
        <f>_xlfn.XLOOKUP(_tPE26_29_Consolidada[[#This Row], [ID Financeiro]],[5]Projetos!$K:$K,[5]Projetos!$A:$A,0,0)</f>
      </c>
      <c r="AV57" s="3" t="s">
        <v>39242</v>
      </c>
      <c r="AW57" s="3" t="s">
        <v>39194</v>
      </c>
      <c r="AX57" s="8" t="s">
        <v>39241</v>
      </c>
      <c r="AY57" s="8"/>
      <c r="AZ57" s="3" t="s">
        <v>39243</v>
      </c>
      <c r="BA57" s="3"/>
      <c r="BB57" s="3"/>
      <c r="BC57" s="3"/>
      <c r="BD57" s="3"/>
      <c r="BE57" s="3"/>
      <c r="BF57" s="3"/>
      <c r="BG57" s="3"/>
      <c r="BH57" s="3"/>
      <c r="BI57" s="3"/>
      <c r="BJ57" s="3"/>
      <c r="BK57" s="3"/>
      <c r="BL57" s="3"/>
      <c r="BM57" s="3"/>
      <c r="BN57" s="3"/>
      <c r="BO57" s="3"/>
      <c r="BP57" s="116">
        <f>IFERROR(VLOOKUP(_tPE26_29_Consolidada[[#This Row], [ID Financeiro]],'[4]PE 25-29'!$B:$AF,31,FALSE),0)</f>
      </c>
      <c r="BQ57" s="116">
        <f>_tPE26_29_Consolidada[[#This Row], [2026]]*1000</f>
      </c>
      <c r="BR57" s="117">
        <f>_tPE26_29_Consolidada[[#This Row], [Orçado 2026 (PE25-29)]]-_tPE26_29_Consolidada[[#This Row], [Orçado 2026 (PE26-30)]]</f>
      </c>
      <c r="BS57" s="117">
        <f>IFERROR(VLOOKUP(_tPE26_29_Consolidada[[#This Row], [ID Financeiro]],'[4]PE 25-29'!$B:$AT,45,FALSE),0)</f>
      </c>
      <c r="BT57" s="117">
        <f>_tPE26_29_Consolidada[[#This Row], [2026-2030]]*1000</f>
      </c>
      <c r="BU57" s="117">
        <f>-_tPE26_29_Consolidada[[#This Row], [Orçado 26/30 (PE25-29)]]+_tPE26_29_Consolidada[[#This Row], [Orçado 26/30 (PE26-30)]]</f>
      </c>
      <c r="BV57" s="119">
        <f>IFERROR(_tPE26_29_Consolidada[[#This Row], [Dif2]]/_tPE26_29_Consolidada[[#This Row], [Orçado 26/30 (PE25-29)]],0)</f>
      </c>
      <c r="BW57" s="1"/>
      <c r="BX57" s="1"/>
      <c r="BY57" s="1"/>
      <c r="BZ57" s="1"/>
      <c r="CA57" s="1"/>
      <c r="CB57" s="1"/>
      <c r="CC57" s="1"/>
      <c r="CD57" s="1"/>
      <c r="CE57" s="1"/>
      <c r="CF57" s="1"/>
      <c r="CG57" s="1"/>
      <c r="CH57" s="1"/>
      <c r="CI57" s="1"/>
      <c r="CJ57" s="1"/>
      <c r="CK57" s="1"/>
      <c r="CL57" s="1"/>
      <c r="CM57" s="1"/>
      <c r="CN57" s="1"/>
      <c r="CO57" s="1"/>
      <c r="CP57" s="1"/>
      <c r="CQ57" s="111"/>
      <c r="CR57" s="111"/>
      <c r="CS57" s="111"/>
      <c r="CT57" s="111"/>
      <c r="CU57" s="111"/>
      <c r="CV57" s="111"/>
      <c r="CW57" s="111"/>
      <c r="CX57" s="111"/>
      <c r="CY57" s="111"/>
      <c r="CZ57" s="111"/>
      <c r="DA57" s="111"/>
      <c r="DB57" s="111"/>
      <c r="DC57" s="111"/>
      <c r="DD57" s="111"/>
      <c r="DE57" s="111"/>
      <c r="DF57" s="111"/>
      <c r="DG57" s="111"/>
      <c r="DH57" s="111"/>
      <c r="DI57" s="111"/>
      <c r="DJ57" s="111"/>
      <c r="DK57" s="111"/>
      <c r="DL57" s="111"/>
      <c r="DM57" s="111"/>
      <c r="DN57" s="111"/>
      <c r="DO57" s="111"/>
      <c r="DP57" s="111"/>
      <c r="DQ57" s="111"/>
      <c r="DR57" s="111"/>
      <c r="DS57" s="111"/>
      <c r="DT57" s="111"/>
      <c r="DU57" s="111"/>
      <c r="DV57" s="111"/>
      <c r="DW57" s="111"/>
      <c r="DX57" s="111"/>
      <c r="DY57" s="111"/>
      <c r="DZ57" s="111"/>
      <c r="EA57" s="111"/>
      <c r="EB57" s="111"/>
      <c r="EC57" s="111"/>
      <c r="ED57" s="111"/>
      <c r="EE57" s="111"/>
      <c r="EF57" s="111"/>
      <c r="EG57" s="111"/>
      <c r="EH57" s="111"/>
      <c r="EI57" s="111"/>
      <c r="EJ57" s="111"/>
      <c r="EK57" s="111"/>
      <c r="EL57" s="111"/>
      <c r="EM57" s="111"/>
      <c r="EN57" s="111"/>
      <c r="EO57" s="111"/>
      <c r="EP57" s="111"/>
      <c r="EQ57" s="111"/>
      <c r="ER57" s="111"/>
      <c r="ES57" s="111"/>
      <c r="ET57" s="111"/>
      <c r="EU57" s="111"/>
      <c r="EV57" s="111"/>
      <c r="EW57" s="111"/>
      <c r="EX57" s="111"/>
      <c r="EY57" s="111"/>
      <c r="EZ57" s="111"/>
      <c r="FA57" s="2"/>
      <c r="FB57" s="2"/>
      <c r="FC57" s="2"/>
      <c r="FD57" s="2"/>
      <c r="FE57" s="2"/>
      <c r="FF57" s="2"/>
    </row>
    <row x14ac:dyDescent="0.25" r="58" customHeight="1" ht="18.75">
      <c r="A58" s="3"/>
      <c r="B58" s="118" t="s">
        <v>39052</v>
      </c>
      <c r="C58" s="3" t="s">
        <v>39053</v>
      </c>
      <c r="D58" s="3" t="s">
        <v>8</v>
      </c>
      <c r="E58" s="3" t="s">
        <v>38983</v>
      </c>
      <c r="F58" s="3"/>
      <c r="G58" s="3" t="s">
        <v>39244</v>
      </c>
      <c r="H58" s="3" t="s">
        <v>10</v>
      </c>
      <c r="I58" s="3" t="s">
        <v>86</v>
      </c>
      <c r="J58" s="3" t="s">
        <v>5</v>
      </c>
      <c r="K58" s="113" t="s">
        <v>16</v>
      </c>
      <c r="L58" s="3" t="s">
        <v>67</v>
      </c>
      <c r="M58" s="3" t="s">
        <v>39245</v>
      </c>
      <c r="N58" s="3"/>
      <c r="O58" s="3"/>
      <c r="P58" s="3"/>
      <c r="Q58" s="3" t="s">
        <v>39246</v>
      </c>
      <c r="R58" s="3" t="s">
        <v>39247</v>
      </c>
      <c r="S58" s="3" t="s">
        <v>39058</v>
      </c>
      <c r="T58" s="114">
        <v>0</v>
      </c>
      <c r="U58" s="114">
        <v>0</v>
      </c>
      <c r="V58" s="114">
        <v>0</v>
      </c>
      <c r="W58" s="114">
        <v>190000</v>
      </c>
      <c r="X58" s="114">
        <v>190000</v>
      </c>
      <c r="Y58" s="114">
        <v>190000</v>
      </c>
      <c r="Z58" s="114">
        <v>0</v>
      </c>
      <c r="AA58" s="114">
        <v>0</v>
      </c>
      <c r="AB58" s="114">
        <v>0</v>
      </c>
      <c r="AC58" s="114">
        <v>0</v>
      </c>
      <c r="AD58" s="114">
        <v>0</v>
      </c>
      <c r="AE58" s="114">
        <v>0</v>
      </c>
      <c r="AF58" s="114">
        <v>570000</v>
      </c>
      <c r="AG58" s="114">
        <v>0</v>
      </c>
      <c r="AH58" s="114">
        <v>0</v>
      </c>
      <c r="AI58" s="114">
        <v>0</v>
      </c>
      <c r="AJ58" s="114">
        <v>0</v>
      </c>
      <c r="AK58" s="114">
        <v>570000</v>
      </c>
      <c r="AL58" s="114">
        <v>0</v>
      </c>
      <c r="AM58" s="114">
        <v>0</v>
      </c>
      <c r="AN58" s="114">
        <v>0</v>
      </c>
      <c r="AO58" s="114">
        <v>0</v>
      </c>
      <c r="AP58" s="114">
        <v>0</v>
      </c>
      <c r="AQ58" s="114">
        <v>570000</v>
      </c>
      <c r="AR58" s="22">
        <v>196</v>
      </c>
      <c r="AS58" s="3" t="s">
        <v>39248</v>
      </c>
      <c r="AT58" s="115">
        <v>2025</v>
      </c>
      <c r="AU58" s="22">
        <f>_xlfn.XLOOKUP(_tPE26_29_Consolidada[[#This Row], [ID Financeiro]],[5]Projetos!$K:$K,[5]Projetos!$A:$A,0,0)</f>
      </c>
      <c r="AV58" s="3" t="s">
        <v>39249</v>
      </c>
      <c r="AW58" s="3" t="s">
        <v>39194</v>
      </c>
      <c r="AX58" s="8" t="s">
        <v>39246</v>
      </c>
      <c r="AY58" s="8"/>
      <c r="AZ58" s="3" t="s">
        <v>39250</v>
      </c>
      <c r="BA58" s="3"/>
      <c r="BB58" s="3"/>
      <c r="BC58" s="3"/>
      <c r="BD58" s="3"/>
      <c r="BE58" s="3"/>
      <c r="BF58" s="3"/>
      <c r="BG58" s="3"/>
      <c r="BH58" s="3"/>
      <c r="BI58" s="3"/>
      <c r="BJ58" s="3"/>
      <c r="BK58" s="3"/>
      <c r="BL58" s="3"/>
      <c r="BM58" s="3"/>
      <c r="BN58" s="3"/>
      <c r="BO58" s="3"/>
      <c r="BP58" s="116">
        <f>IFERROR(VLOOKUP(_tPE26_29_Consolidada[[#This Row], [ID Financeiro]],'[4]PE 25-29'!$B:$AF,31,FALSE),0)</f>
      </c>
      <c r="BQ58" s="116">
        <f>_tPE26_29_Consolidada[[#This Row], [2026]]*1000</f>
      </c>
      <c r="BR58" s="117">
        <f>_tPE26_29_Consolidada[[#This Row], [Orçado 2026 (PE25-29)]]-_tPE26_29_Consolidada[[#This Row], [Orçado 2026 (PE26-30)]]</f>
      </c>
      <c r="BS58" s="117">
        <f>IFERROR(VLOOKUP(_tPE26_29_Consolidada[[#This Row], [ID Financeiro]],'[4]PE 25-29'!$B:$AT,45,FALSE),0)</f>
      </c>
      <c r="BT58" s="117">
        <f>_tPE26_29_Consolidada[[#This Row], [2026-2030]]*1000</f>
      </c>
      <c r="BU58" s="117">
        <f>-_tPE26_29_Consolidada[[#This Row], [Orçado 26/30 (PE25-29)]]+_tPE26_29_Consolidada[[#This Row], [Orçado 26/30 (PE26-30)]]</f>
      </c>
      <c r="BV58" s="119">
        <f>IFERROR(_tPE26_29_Consolidada[[#This Row], [Dif2]]/_tPE26_29_Consolidada[[#This Row], [Orçado 26/30 (PE25-29)]],0)</f>
      </c>
      <c r="BW58" s="1"/>
      <c r="BX58" s="1"/>
      <c r="BY58" s="1"/>
      <c r="BZ58" s="1"/>
      <c r="CA58" s="1"/>
      <c r="CB58" s="1"/>
      <c r="CC58" s="1"/>
      <c r="CD58" s="1"/>
      <c r="CE58" s="1"/>
      <c r="CF58" s="1"/>
      <c r="CG58" s="1"/>
      <c r="CH58" s="1"/>
      <c r="CI58" s="1"/>
      <c r="CJ58" s="1"/>
      <c r="CK58" s="1"/>
      <c r="CL58" s="1"/>
      <c r="CM58" s="1"/>
      <c r="CN58" s="1"/>
      <c r="CO58" s="1"/>
      <c r="CP58" s="1"/>
      <c r="CQ58" s="111"/>
      <c r="CR58" s="111"/>
      <c r="CS58" s="111"/>
      <c r="CT58" s="111"/>
      <c r="CU58" s="111"/>
      <c r="CV58" s="111"/>
      <c r="CW58" s="111"/>
      <c r="CX58" s="111"/>
      <c r="CY58" s="111"/>
      <c r="CZ58" s="111"/>
      <c r="DA58" s="111"/>
      <c r="DB58" s="111"/>
      <c r="DC58" s="111"/>
      <c r="DD58" s="111"/>
      <c r="DE58" s="111"/>
      <c r="DF58" s="111"/>
      <c r="DG58" s="111"/>
      <c r="DH58" s="111"/>
      <c r="DI58" s="111"/>
      <c r="DJ58" s="111"/>
      <c r="DK58" s="111"/>
      <c r="DL58" s="111"/>
      <c r="DM58" s="111"/>
      <c r="DN58" s="111"/>
      <c r="DO58" s="111"/>
      <c r="DP58" s="111"/>
      <c r="DQ58" s="111"/>
      <c r="DR58" s="111"/>
      <c r="DS58" s="111"/>
      <c r="DT58" s="111"/>
      <c r="DU58" s="111"/>
      <c r="DV58" s="111"/>
      <c r="DW58" s="111"/>
      <c r="DX58" s="111"/>
      <c r="DY58" s="111"/>
      <c r="DZ58" s="111"/>
      <c r="EA58" s="111"/>
      <c r="EB58" s="111"/>
      <c r="EC58" s="111"/>
      <c r="ED58" s="111"/>
      <c r="EE58" s="111"/>
      <c r="EF58" s="111"/>
      <c r="EG58" s="111"/>
      <c r="EH58" s="111"/>
      <c r="EI58" s="111"/>
      <c r="EJ58" s="111"/>
      <c r="EK58" s="111"/>
      <c r="EL58" s="111"/>
      <c r="EM58" s="111"/>
      <c r="EN58" s="111"/>
      <c r="EO58" s="111"/>
      <c r="EP58" s="111"/>
      <c r="EQ58" s="111"/>
      <c r="ER58" s="111"/>
      <c r="ES58" s="111"/>
      <c r="ET58" s="111"/>
      <c r="EU58" s="111"/>
      <c r="EV58" s="111"/>
      <c r="EW58" s="111"/>
      <c r="EX58" s="111"/>
      <c r="EY58" s="111"/>
      <c r="EZ58" s="111"/>
      <c r="FA58" s="2"/>
      <c r="FB58" s="2"/>
      <c r="FC58" s="2"/>
      <c r="FD58" s="2"/>
      <c r="FE58" s="2"/>
      <c r="FF58" s="2"/>
    </row>
    <row x14ac:dyDescent="0.25" r="59" customHeight="1" ht="18.75">
      <c r="A59" s="3"/>
      <c r="B59" s="118" t="s">
        <v>39052</v>
      </c>
      <c r="C59" s="3" t="s">
        <v>39053</v>
      </c>
      <c r="D59" s="3" t="s">
        <v>8</v>
      </c>
      <c r="E59" s="3" t="s">
        <v>38983</v>
      </c>
      <c r="F59" s="3"/>
      <c r="G59" s="3" t="s">
        <v>39251</v>
      </c>
      <c r="H59" s="3" t="s">
        <v>10</v>
      </c>
      <c r="I59" s="3" t="s">
        <v>86</v>
      </c>
      <c r="J59" s="3" t="s">
        <v>5</v>
      </c>
      <c r="K59" s="113" t="s">
        <v>16</v>
      </c>
      <c r="L59" s="3" t="s">
        <v>67</v>
      </c>
      <c r="M59" s="3" t="s">
        <v>39055</v>
      </c>
      <c r="N59" s="3"/>
      <c r="O59" s="3"/>
      <c r="P59" s="3"/>
      <c r="Q59" s="3" t="s">
        <v>39252</v>
      </c>
      <c r="R59" s="3" t="s">
        <v>39057</v>
      </c>
      <c r="S59" s="3" t="s">
        <v>39098</v>
      </c>
      <c r="T59" s="114">
        <v>0</v>
      </c>
      <c r="U59" s="114">
        <v>0</v>
      </c>
      <c r="V59" s="114">
        <v>0</v>
      </c>
      <c r="W59" s="114">
        <v>0</v>
      </c>
      <c r="X59" s="114">
        <v>0</v>
      </c>
      <c r="Y59" s="114">
        <v>0</v>
      </c>
      <c r="Z59" s="114">
        <v>100000</v>
      </c>
      <c r="AA59" s="114">
        <v>0</v>
      </c>
      <c r="AB59" s="114">
        <v>0</v>
      </c>
      <c r="AC59" s="114">
        <v>0</v>
      </c>
      <c r="AD59" s="114">
        <v>0</v>
      </c>
      <c r="AE59" s="114">
        <v>100000</v>
      </c>
      <c r="AF59" s="114">
        <v>200000</v>
      </c>
      <c r="AG59" s="114">
        <v>0</v>
      </c>
      <c r="AH59" s="114">
        <v>0</v>
      </c>
      <c r="AI59" s="114">
        <v>0</v>
      </c>
      <c r="AJ59" s="114">
        <v>0</v>
      </c>
      <c r="AK59" s="114">
        <v>200000</v>
      </c>
      <c r="AL59" s="114">
        <v>0</v>
      </c>
      <c r="AM59" s="114">
        <v>0</v>
      </c>
      <c r="AN59" s="114">
        <v>0</v>
      </c>
      <c r="AO59" s="114">
        <v>0</v>
      </c>
      <c r="AP59" s="114">
        <v>0</v>
      </c>
      <c r="AQ59" s="114">
        <v>200000</v>
      </c>
      <c r="AR59" s="22">
        <v>197</v>
      </c>
      <c r="AS59" s="3" t="s">
        <v>39059</v>
      </c>
      <c r="AT59" s="115">
        <v>2025</v>
      </c>
      <c r="AU59" s="22">
        <f>_xlfn.XLOOKUP(_tPE26_29_Consolidada[[#This Row], [ID Financeiro]],[5]Projetos!$K:$K,[5]Projetos!$A:$A,0,0)</f>
      </c>
      <c r="AV59" s="3" t="s">
        <v>39253</v>
      </c>
      <c r="AW59" s="3" t="s">
        <v>39194</v>
      </c>
      <c r="AX59" s="8" t="s">
        <v>39252</v>
      </c>
      <c r="AY59" s="8"/>
      <c r="AZ59" s="3" t="s">
        <v>39187</v>
      </c>
      <c r="BA59" s="3"/>
      <c r="BB59" s="3"/>
      <c r="BC59" s="3"/>
      <c r="BD59" s="3"/>
      <c r="BE59" s="3"/>
      <c r="BF59" s="3"/>
      <c r="BG59" s="3"/>
      <c r="BH59" s="3"/>
      <c r="BI59" s="3"/>
      <c r="BJ59" s="3"/>
      <c r="BK59" s="3"/>
      <c r="BL59" s="3"/>
      <c r="BM59" s="3"/>
      <c r="BN59" s="3"/>
      <c r="BO59" s="3"/>
      <c r="BP59" s="116">
        <f>IFERROR(VLOOKUP(_tPE26_29_Consolidada[[#This Row], [ID Financeiro]],'[4]PE 25-29'!$B:$AF,31,FALSE),0)</f>
      </c>
      <c r="BQ59" s="116">
        <f>_tPE26_29_Consolidada[[#This Row], [2026]]*1000</f>
      </c>
      <c r="BR59" s="117">
        <f>_tPE26_29_Consolidada[[#This Row], [Orçado 2026 (PE25-29)]]-_tPE26_29_Consolidada[[#This Row], [Orçado 2026 (PE26-30)]]</f>
      </c>
      <c r="BS59" s="117">
        <f>IFERROR(VLOOKUP(_tPE26_29_Consolidada[[#This Row], [ID Financeiro]],'[4]PE 25-29'!$B:$AT,45,FALSE),0)</f>
      </c>
      <c r="BT59" s="117">
        <f>_tPE26_29_Consolidada[[#This Row], [2026-2030]]*1000</f>
      </c>
      <c r="BU59" s="117">
        <f>-_tPE26_29_Consolidada[[#This Row], [Orçado 26/30 (PE25-29)]]+_tPE26_29_Consolidada[[#This Row], [Orçado 26/30 (PE26-30)]]</f>
      </c>
      <c r="BV59" s="119">
        <f>IFERROR(_tPE26_29_Consolidada[[#This Row], [Dif2]]/_tPE26_29_Consolidada[[#This Row], [Orçado 26/30 (PE25-29)]],0)</f>
      </c>
      <c r="BW59" s="1"/>
      <c r="BX59" s="1"/>
      <c r="BY59" s="1"/>
      <c r="BZ59" s="1"/>
      <c r="CA59" s="1"/>
      <c r="CB59" s="1"/>
      <c r="CC59" s="1"/>
      <c r="CD59" s="1"/>
      <c r="CE59" s="1"/>
      <c r="CF59" s="1"/>
      <c r="CG59" s="1"/>
      <c r="CH59" s="1"/>
      <c r="CI59" s="1"/>
      <c r="CJ59" s="1"/>
      <c r="CK59" s="1"/>
      <c r="CL59" s="1"/>
      <c r="CM59" s="1"/>
      <c r="CN59" s="1"/>
      <c r="CO59" s="1"/>
      <c r="CP59" s="1"/>
      <c r="CQ59" s="111"/>
      <c r="CR59" s="111"/>
      <c r="CS59" s="111"/>
      <c r="CT59" s="111"/>
      <c r="CU59" s="111"/>
      <c r="CV59" s="111"/>
      <c r="CW59" s="111"/>
      <c r="CX59" s="111"/>
      <c r="CY59" s="111"/>
      <c r="CZ59" s="111"/>
      <c r="DA59" s="111"/>
      <c r="DB59" s="111"/>
      <c r="DC59" s="111"/>
      <c r="DD59" s="111"/>
      <c r="DE59" s="111"/>
      <c r="DF59" s="111"/>
      <c r="DG59" s="111"/>
      <c r="DH59" s="111"/>
      <c r="DI59" s="111"/>
      <c r="DJ59" s="111"/>
      <c r="DK59" s="111"/>
      <c r="DL59" s="111"/>
      <c r="DM59" s="111"/>
      <c r="DN59" s="111"/>
      <c r="DO59" s="111"/>
      <c r="DP59" s="111"/>
      <c r="DQ59" s="111"/>
      <c r="DR59" s="111"/>
      <c r="DS59" s="111"/>
      <c r="DT59" s="111"/>
      <c r="DU59" s="111"/>
      <c r="DV59" s="111"/>
      <c r="DW59" s="111"/>
      <c r="DX59" s="111"/>
      <c r="DY59" s="111"/>
      <c r="DZ59" s="111"/>
      <c r="EA59" s="111"/>
      <c r="EB59" s="111"/>
      <c r="EC59" s="111"/>
      <c r="ED59" s="111"/>
      <c r="EE59" s="111"/>
      <c r="EF59" s="111"/>
      <c r="EG59" s="111"/>
      <c r="EH59" s="111"/>
      <c r="EI59" s="111"/>
      <c r="EJ59" s="111"/>
      <c r="EK59" s="111"/>
      <c r="EL59" s="111"/>
      <c r="EM59" s="111"/>
      <c r="EN59" s="111"/>
      <c r="EO59" s="111"/>
      <c r="EP59" s="111"/>
      <c r="EQ59" s="111"/>
      <c r="ER59" s="111"/>
      <c r="ES59" s="111"/>
      <c r="ET59" s="111"/>
      <c r="EU59" s="111"/>
      <c r="EV59" s="111"/>
      <c r="EW59" s="111"/>
      <c r="EX59" s="111"/>
      <c r="EY59" s="111"/>
      <c r="EZ59" s="111"/>
      <c r="FA59" s="2"/>
      <c r="FB59" s="2"/>
      <c r="FC59" s="2"/>
      <c r="FD59" s="2"/>
      <c r="FE59" s="2"/>
      <c r="FF59" s="2"/>
    </row>
    <row x14ac:dyDescent="0.25" r="60" customHeight="1" ht="18.75">
      <c r="A60" s="3"/>
      <c r="B60" s="118" t="s">
        <v>39052</v>
      </c>
      <c r="C60" s="3" t="s">
        <v>39053</v>
      </c>
      <c r="D60" s="3" t="s">
        <v>8</v>
      </c>
      <c r="E60" s="3" t="s">
        <v>38983</v>
      </c>
      <c r="F60" s="3"/>
      <c r="G60" s="3" t="s">
        <v>39254</v>
      </c>
      <c r="H60" s="3" t="s">
        <v>10</v>
      </c>
      <c r="I60" s="3" t="s">
        <v>86</v>
      </c>
      <c r="J60" s="3" t="s">
        <v>5</v>
      </c>
      <c r="K60" s="113" t="s">
        <v>16</v>
      </c>
      <c r="L60" s="3" t="s">
        <v>67</v>
      </c>
      <c r="M60" s="3" t="s">
        <v>39055</v>
      </c>
      <c r="N60" s="3"/>
      <c r="O60" s="3"/>
      <c r="P60" s="3"/>
      <c r="Q60" s="3" t="s">
        <v>39255</v>
      </c>
      <c r="R60" s="3" t="s">
        <v>39057</v>
      </c>
      <c r="S60" s="3" t="s">
        <v>39128</v>
      </c>
      <c r="T60" s="114">
        <v>30000</v>
      </c>
      <c r="U60" s="114">
        <v>30000</v>
      </c>
      <c r="V60" s="114">
        <v>130000</v>
      </c>
      <c r="W60" s="114">
        <v>10000</v>
      </c>
      <c r="X60" s="114">
        <v>10000</v>
      </c>
      <c r="Y60" s="114">
        <v>10000</v>
      </c>
      <c r="Z60" s="114">
        <v>10000</v>
      </c>
      <c r="AA60" s="114">
        <v>10000</v>
      </c>
      <c r="AB60" s="114">
        <v>10000</v>
      </c>
      <c r="AC60" s="114">
        <v>10000</v>
      </c>
      <c r="AD60" s="114">
        <v>10000</v>
      </c>
      <c r="AE60" s="114">
        <v>10000</v>
      </c>
      <c r="AF60" s="114">
        <v>280000</v>
      </c>
      <c r="AG60" s="114">
        <v>0</v>
      </c>
      <c r="AH60" s="114">
        <v>0</v>
      </c>
      <c r="AI60" s="114">
        <v>0</v>
      </c>
      <c r="AJ60" s="114">
        <v>0</v>
      </c>
      <c r="AK60" s="114">
        <v>280000</v>
      </c>
      <c r="AL60" s="114">
        <v>0</v>
      </c>
      <c r="AM60" s="114">
        <v>0</v>
      </c>
      <c r="AN60" s="114">
        <v>0</v>
      </c>
      <c r="AO60" s="114">
        <v>0</v>
      </c>
      <c r="AP60" s="114">
        <v>0</v>
      </c>
      <c r="AQ60" s="114">
        <v>280000</v>
      </c>
      <c r="AR60" s="22">
        <v>198</v>
      </c>
      <c r="AS60" s="3" t="s">
        <v>39059</v>
      </c>
      <c r="AT60" s="115">
        <v>2025</v>
      </c>
      <c r="AU60" s="22">
        <f>_xlfn.XLOOKUP(_tPE26_29_Consolidada[[#This Row], [ID Financeiro]],[5]Projetos!$K:$K,[5]Projetos!$A:$A,0,0)</f>
      </c>
      <c r="AV60" s="3" t="s">
        <v>39256</v>
      </c>
      <c r="AW60" s="3" t="s">
        <v>39116</v>
      </c>
      <c r="AX60" s="8" t="s">
        <v>39255</v>
      </c>
      <c r="AY60" s="8"/>
      <c r="AZ60" s="3" t="s">
        <v>39130</v>
      </c>
      <c r="BA60" s="3"/>
      <c r="BB60" s="3"/>
      <c r="BC60" s="3"/>
      <c r="BD60" s="3"/>
      <c r="BE60" s="3"/>
      <c r="BF60" s="3"/>
      <c r="BG60" s="3"/>
      <c r="BH60" s="3"/>
      <c r="BI60" s="3"/>
      <c r="BJ60" s="3"/>
      <c r="BK60" s="3"/>
      <c r="BL60" s="3"/>
      <c r="BM60" s="3"/>
      <c r="BN60" s="3"/>
      <c r="BO60" s="3"/>
      <c r="BP60" s="116">
        <f>IFERROR(VLOOKUP(_tPE26_29_Consolidada[[#This Row], [ID Financeiro]],'[4]PE 25-29'!$B:$AF,31,FALSE),0)</f>
      </c>
      <c r="BQ60" s="116">
        <f>_tPE26_29_Consolidada[[#This Row], [2026]]*1000</f>
      </c>
      <c r="BR60" s="117">
        <f>_tPE26_29_Consolidada[[#This Row], [Orçado 2026 (PE25-29)]]-_tPE26_29_Consolidada[[#This Row], [Orçado 2026 (PE26-30)]]</f>
      </c>
      <c r="BS60" s="117">
        <f>IFERROR(VLOOKUP(_tPE26_29_Consolidada[[#This Row], [ID Financeiro]],'[4]PE 25-29'!$B:$AT,45,FALSE),0)</f>
      </c>
      <c r="BT60" s="117">
        <f>_tPE26_29_Consolidada[[#This Row], [2026-2030]]*1000</f>
      </c>
      <c r="BU60" s="117">
        <f>-_tPE26_29_Consolidada[[#This Row], [Orçado 26/30 (PE25-29)]]+_tPE26_29_Consolidada[[#This Row], [Orçado 26/30 (PE26-30)]]</f>
      </c>
      <c r="BV60" s="119">
        <f>IFERROR(_tPE26_29_Consolidada[[#This Row], [Dif2]]/_tPE26_29_Consolidada[[#This Row], [Orçado 26/30 (PE25-29)]],0)</f>
      </c>
      <c r="BW60" s="1"/>
      <c r="BX60" s="1"/>
      <c r="BY60" s="1"/>
      <c r="BZ60" s="1"/>
      <c r="CA60" s="1"/>
      <c r="CB60" s="1"/>
      <c r="CC60" s="1"/>
      <c r="CD60" s="1"/>
      <c r="CE60" s="1"/>
      <c r="CF60" s="1"/>
      <c r="CG60" s="1"/>
      <c r="CH60" s="1"/>
      <c r="CI60" s="1"/>
      <c r="CJ60" s="1"/>
      <c r="CK60" s="1"/>
      <c r="CL60" s="1"/>
      <c r="CM60" s="1"/>
      <c r="CN60" s="1"/>
      <c r="CO60" s="1"/>
      <c r="CP60" s="1"/>
      <c r="CQ60" s="111"/>
      <c r="CR60" s="111"/>
      <c r="CS60" s="111"/>
      <c r="CT60" s="111"/>
      <c r="CU60" s="111"/>
      <c r="CV60" s="111"/>
      <c r="CW60" s="111"/>
      <c r="CX60" s="111"/>
      <c r="CY60" s="111"/>
      <c r="CZ60" s="111"/>
      <c r="DA60" s="111"/>
      <c r="DB60" s="111"/>
      <c r="DC60" s="111"/>
      <c r="DD60" s="111"/>
      <c r="DE60" s="111"/>
      <c r="DF60" s="111"/>
      <c r="DG60" s="111"/>
      <c r="DH60" s="111"/>
      <c r="DI60" s="111"/>
      <c r="DJ60" s="111"/>
      <c r="DK60" s="111"/>
      <c r="DL60" s="111"/>
      <c r="DM60" s="111"/>
      <c r="DN60" s="111"/>
      <c r="DO60" s="111"/>
      <c r="DP60" s="111"/>
      <c r="DQ60" s="111"/>
      <c r="DR60" s="111"/>
      <c r="DS60" s="111"/>
      <c r="DT60" s="111"/>
      <c r="DU60" s="111"/>
      <c r="DV60" s="111"/>
      <c r="DW60" s="111"/>
      <c r="DX60" s="111"/>
      <c r="DY60" s="111"/>
      <c r="DZ60" s="111"/>
      <c r="EA60" s="111"/>
      <c r="EB60" s="111"/>
      <c r="EC60" s="111"/>
      <c r="ED60" s="111"/>
      <c r="EE60" s="111"/>
      <c r="EF60" s="111"/>
      <c r="EG60" s="111"/>
      <c r="EH60" s="111"/>
      <c r="EI60" s="111"/>
      <c r="EJ60" s="111"/>
      <c r="EK60" s="111"/>
      <c r="EL60" s="111"/>
      <c r="EM60" s="111"/>
      <c r="EN60" s="111"/>
      <c r="EO60" s="111"/>
      <c r="EP60" s="111"/>
      <c r="EQ60" s="111"/>
      <c r="ER60" s="111"/>
      <c r="ES60" s="111"/>
      <c r="ET60" s="111"/>
      <c r="EU60" s="111"/>
      <c r="EV60" s="111"/>
      <c r="EW60" s="111"/>
      <c r="EX60" s="111"/>
      <c r="EY60" s="111"/>
      <c r="EZ60" s="111"/>
      <c r="FA60" s="2"/>
      <c r="FB60" s="2"/>
      <c r="FC60" s="2"/>
      <c r="FD60" s="2"/>
      <c r="FE60" s="2"/>
      <c r="FF60" s="2"/>
    </row>
    <row x14ac:dyDescent="0.25" r="61" customHeight="1" ht="18.75">
      <c r="A61" s="3"/>
      <c r="B61" s="118" t="s">
        <v>39052</v>
      </c>
      <c r="C61" s="3" t="s">
        <v>39053</v>
      </c>
      <c r="D61" s="3" t="s">
        <v>8</v>
      </c>
      <c r="E61" s="3" t="s">
        <v>38983</v>
      </c>
      <c r="F61" s="3"/>
      <c r="G61" s="3" t="s">
        <v>39257</v>
      </c>
      <c r="H61" s="3" t="s">
        <v>10</v>
      </c>
      <c r="I61" s="3" t="s">
        <v>86</v>
      </c>
      <c r="J61" s="3" t="s">
        <v>5</v>
      </c>
      <c r="K61" s="113" t="s">
        <v>16</v>
      </c>
      <c r="L61" s="3" t="s">
        <v>67</v>
      </c>
      <c r="M61" s="3" t="s">
        <v>39055</v>
      </c>
      <c r="N61" s="3"/>
      <c r="O61" s="3"/>
      <c r="P61" s="3"/>
      <c r="Q61" s="3" t="s">
        <v>39258</v>
      </c>
      <c r="R61" s="3" t="s">
        <v>39057</v>
      </c>
      <c r="S61" s="3" t="s">
        <v>39098</v>
      </c>
      <c r="T61" s="114">
        <v>213000</v>
      </c>
      <c r="U61" s="114">
        <v>0</v>
      </c>
      <c r="V61" s="114">
        <v>950000</v>
      </c>
      <c r="W61" s="114">
        <v>0</v>
      </c>
      <c r="X61" s="114">
        <v>916000</v>
      </c>
      <c r="Y61" s="114">
        <v>0</v>
      </c>
      <c r="Z61" s="114">
        <v>0</v>
      </c>
      <c r="AA61" s="114">
        <v>47000</v>
      </c>
      <c r="AB61" s="114">
        <v>0</v>
      </c>
      <c r="AC61" s="114">
        <v>1800000</v>
      </c>
      <c r="AD61" s="114">
        <v>570000</v>
      </c>
      <c r="AE61" s="114">
        <v>1265000</v>
      </c>
      <c r="AF61" s="114">
        <v>5761000</v>
      </c>
      <c r="AG61" s="114">
        <v>0</v>
      </c>
      <c r="AH61" s="114">
        <v>0</v>
      </c>
      <c r="AI61" s="114">
        <v>0</v>
      </c>
      <c r="AJ61" s="114">
        <v>0</v>
      </c>
      <c r="AK61" s="114">
        <v>5761000</v>
      </c>
      <c r="AL61" s="114">
        <v>0</v>
      </c>
      <c r="AM61" s="114">
        <v>0</v>
      </c>
      <c r="AN61" s="114">
        <v>0</v>
      </c>
      <c r="AO61" s="114">
        <v>0</v>
      </c>
      <c r="AP61" s="114">
        <v>0</v>
      </c>
      <c r="AQ61" s="114">
        <v>5761000</v>
      </c>
      <c r="AR61" s="22">
        <v>199</v>
      </c>
      <c r="AS61" s="3" t="s">
        <v>39059</v>
      </c>
      <c r="AT61" s="115">
        <v>2025</v>
      </c>
      <c r="AU61" s="22">
        <f>_xlfn.XLOOKUP(_tPE26_29_Consolidada[[#This Row], [ID Financeiro]],[5]Projetos!$K:$K,[5]Projetos!$A:$A,0,0)</f>
      </c>
      <c r="AV61" s="3" t="s">
        <v>39259</v>
      </c>
      <c r="AW61" s="3" t="s">
        <v>46</v>
      </c>
      <c r="AX61" s="8" t="s">
        <v>39258</v>
      </c>
      <c r="AY61" s="8"/>
      <c r="AZ61" s="3" t="s">
        <v>39117</v>
      </c>
      <c r="BA61" s="3"/>
      <c r="BB61" s="3"/>
      <c r="BC61" s="3"/>
      <c r="BD61" s="3"/>
      <c r="BE61" s="3"/>
      <c r="BF61" s="3"/>
      <c r="BG61" s="3"/>
      <c r="BH61" s="3"/>
      <c r="BI61" s="3"/>
      <c r="BJ61" s="3"/>
      <c r="BK61" s="3"/>
      <c r="BL61" s="3"/>
      <c r="BM61" s="3"/>
      <c r="BN61" s="3"/>
      <c r="BO61" s="3"/>
      <c r="BP61" s="116">
        <f>IFERROR(VLOOKUP(_tPE26_29_Consolidada[[#This Row], [ID Financeiro]],'[4]PE 25-29'!$B:$AF,31,FALSE),0)</f>
      </c>
      <c r="BQ61" s="116">
        <f>_tPE26_29_Consolidada[[#This Row], [2026]]*1000</f>
      </c>
      <c r="BR61" s="117">
        <f>_tPE26_29_Consolidada[[#This Row], [Orçado 2026 (PE25-29)]]-_tPE26_29_Consolidada[[#This Row], [Orçado 2026 (PE26-30)]]</f>
      </c>
      <c r="BS61" s="117">
        <f>IFERROR(VLOOKUP(_tPE26_29_Consolidada[[#This Row], [ID Financeiro]],'[4]PE 25-29'!$B:$AT,45,FALSE),0)</f>
      </c>
      <c r="BT61" s="117">
        <f>_tPE26_29_Consolidada[[#This Row], [2026-2030]]*1000</f>
      </c>
      <c r="BU61" s="117">
        <f>-_tPE26_29_Consolidada[[#This Row], [Orçado 26/30 (PE25-29)]]+_tPE26_29_Consolidada[[#This Row], [Orçado 26/30 (PE26-30)]]</f>
      </c>
      <c r="BV61" s="119">
        <f>IFERROR(_tPE26_29_Consolidada[[#This Row], [Dif2]]/_tPE26_29_Consolidada[[#This Row], [Orçado 26/30 (PE25-29)]],0)</f>
      </c>
      <c r="BW61" s="1"/>
      <c r="BX61" s="1"/>
      <c r="BY61" s="1"/>
      <c r="BZ61" s="1"/>
      <c r="CA61" s="1"/>
      <c r="CB61" s="1"/>
      <c r="CC61" s="1"/>
      <c r="CD61" s="1"/>
      <c r="CE61" s="1"/>
      <c r="CF61" s="1"/>
      <c r="CG61" s="1"/>
      <c r="CH61" s="1"/>
      <c r="CI61" s="1"/>
      <c r="CJ61" s="1"/>
      <c r="CK61" s="1"/>
      <c r="CL61" s="1"/>
      <c r="CM61" s="1"/>
      <c r="CN61" s="1"/>
      <c r="CO61" s="1"/>
      <c r="CP61" s="1"/>
      <c r="CQ61" s="111"/>
      <c r="CR61" s="111"/>
      <c r="CS61" s="111"/>
      <c r="CT61" s="111"/>
      <c r="CU61" s="111"/>
      <c r="CV61" s="111"/>
      <c r="CW61" s="111"/>
      <c r="CX61" s="111"/>
      <c r="CY61" s="111"/>
      <c r="CZ61" s="111"/>
      <c r="DA61" s="111"/>
      <c r="DB61" s="111"/>
      <c r="DC61" s="111"/>
      <c r="DD61" s="111"/>
      <c r="DE61" s="111"/>
      <c r="DF61" s="111"/>
      <c r="DG61" s="111"/>
      <c r="DH61" s="111"/>
      <c r="DI61" s="111"/>
      <c r="DJ61" s="111"/>
      <c r="DK61" s="111"/>
      <c r="DL61" s="111"/>
      <c r="DM61" s="111"/>
      <c r="DN61" s="111"/>
      <c r="DO61" s="111"/>
      <c r="DP61" s="111"/>
      <c r="DQ61" s="111"/>
      <c r="DR61" s="111"/>
      <c r="DS61" s="111"/>
      <c r="DT61" s="111"/>
      <c r="DU61" s="111"/>
      <c r="DV61" s="111"/>
      <c r="DW61" s="111"/>
      <c r="DX61" s="111"/>
      <c r="DY61" s="111"/>
      <c r="DZ61" s="111"/>
      <c r="EA61" s="111"/>
      <c r="EB61" s="111"/>
      <c r="EC61" s="111"/>
      <c r="ED61" s="111"/>
      <c r="EE61" s="111"/>
      <c r="EF61" s="111"/>
      <c r="EG61" s="111"/>
      <c r="EH61" s="111"/>
      <c r="EI61" s="111"/>
      <c r="EJ61" s="111"/>
      <c r="EK61" s="111"/>
      <c r="EL61" s="111"/>
      <c r="EM61" s="111"/>
      <c r="EN61" s="111"/>
      <c r="EO61" s="111"/>
      <c r="EP61" s="111"/>
      <c r="EQ61" s="111"/>
      <c r="ER61" s="111"/>
      <c r="ES61" s="111"/>
      <c r="ET61" s="111"/>
      <c r="EU61" s="111"/>
      <c r="EV61" s="111"/>
      <c r="EW61" s="111"/>
      <c r="EX61" s="111"/>
      <c r="EY61" s="111"/>
      <c r="EZ61" s="111"/>
      <c r="FA61" s="2"/>
      <c r="FB61" s="2"/>
      <c r="FC61" s="2"/>
      <c r="FD61" s="2"/>
      <c r="FE61" s="2"/>
      <c r="FF61" s="2"/>
    </row>
    <row x14ac:dyDescent="0.25" r="62" customHeight="1" ht="18.75">
      <c r="A62" s="3"/>
      <c r="B62" s="118" t="s">
        <v>39052</v>
      </c>
      <c r="C62" s="3" t="s">
        <v>39053</v>
      </c>
      <c r="D62" s="3" t="s">
        <v>8</v>
      </c>
      <c r="E62" s="3" t="s">
        <v>38983</v>
      </c>
      <c r="F62" s="3"/>
      <c r="G62" s="3" t="s">
        <v>39260</v>
      </c>
      <c r="H62" s="3" t="s">
        <v>10</v>
      </c>
      <c r="I62" s="3" t="s">
        <v>86</v>
      </c>
      <c r="J62" s="3" t="s">
        <v>5</v>
      </c>
      <c r="K62" s="113" t="s">
        <v>16</v>
      </c>
      <c r="L62" s="3" t="s">
        <v>67</v>
      </c>
      <c r="M62" s="3" t="s">
        <v>39055</v>
      </c>
      <c r="N62" s="3"/>
      <c r="O62" s="3"/>
      <c r="P62" s="3"/>
      <c r="Q62" s="3" t="s">
        <v>39261</v>
      </c>
      <c r="R62" s="3" t="s">
        <v>39057</v>
      </c>
      <c r="S62" s="3" t="s">
        <v>39058</v>
      </c>
      <c r="T62" s="114">
        <v>90000</v>
      </c>
      <c r="U62" s="114">
        <v>0</v>
      </c>
      <c r="V62" s="114">
        <v>0</v>
      </c>
      <c r="W62" s="114">
        <v>410000</v>
      </c>
      <c r="X62" s="114">
        <v>400000</v>
      </c>
      <c r="Y62" s="114">
        <v>416000</v>
      </c>
      <c r="Z62" s="114">
        <v>609000</v>
      </c>
      <c r="AA62" s="114">
        <v>525000</v>
      </c>
      <c r="AB62" s="114">
        <v>525000</v>
      </c>
      <c r="AC62" s="114">
        <v>525000</v>
      </c>
      <c r="AD62" s="114">
        <v>525000</v>
      </c>
      <c r="AE62" s="114">
        <v>525000</v>
      </c>
      <c r="AF62" s="114">
        <v>4550000</v>
      </c>
      <c r="AG62" s="114">
        <v>5450000</v>
      </c>
      <c r="AH62" s="114">
        <v>0</v>
      </c>
      <c r="AI62" s="114">
        <v>0</v>
      </c>
      <c r="AJ62" s="114">
        <v>0</v>
      </c>
      <c r="AK62" s="114">
        <v>10000000</v>
      </c>
      <c r="AL62" s="114">
        <v>0</v>
      </c>
      <c r="AM62" s="114">
        <v>0</v>
      </c>
      <c r="AN62" s="114">
        <v>0</v>
      </c>
      <c r="AO62" s="114">
        <v>0</v>
      </c>
      <c r="AP62" s="114">
        <v>0</v>
      </c>
      <c r="AQ62" s="114">
        <v>10000000</v>
      </c>
      <c r="AR62" s="22">
        <v>200</v>
      </c>
      <c r="AS62" s="3" t="s">
        <v>39059</v>
      </c>
      <c r="AT62" s="115">
        <v>2025</v>
      </c>
      <c r="AU62" s="22">
        <f>_xlfn.XLOOKUP(_tPE26_29_Consolidada[[#This Row], [ID Financeiro]],[5]Projetos!$K:$K,[5]Projetos!$A:$A,0,0)</f>
      </c>
      <c r="AV62" s="3" t="s">
        <v>39262</v>
      </c>
      <c r="AW62" s="3" t="s">
        <v>39116</v>
      </c>
      <c r="AX62" s="8" t="s">
        <v>39263</v>
      </c>
      <c r="AY62" s="8"/>
      <c r="AZ62" s="3" t="s">
        <v>39117</v>
      </c>
      <c r="BA62" s="3"/>
      <c r="BB62" s="3"/>
      <c r="BC62" s="3"/>
      <c r="BD62" s="3"/>
      <c r="BE62" s="3"/>
      <c r="BF62" s="3"/>
      <c r="BG62" s="3"/>
      <c r="BH62" s="3"/>
      <c r="BI62" s="3"/>
      <c r="BJ62" s="3"/>
      <c r="BK62" s="3"/>
      <c r="BL62" s="3"/>
      <c r="BM62" s="3"/>
      <c r="BN62" s="3"/>
      <c r="BO62" s="3"/>
      <c r="BP62" s="116">
        <f>IFERROR(VLOOKUP(_tPE26_29_Consolidada[[#This Row], [ID Financeiro]],'[4]PE 25-29'!$B:$AF,31,FALSE),0)</f>
      </c>
      <c r="BQ62" s="116">
        <f>_tPE26_29_Consolidada[[#This Row], [2026]]*1000</f>
      </c>
      <c r="BR62" s="117">
        <f>_tPE26_29_Consolidada[[#This Row], [Orçado 2026 (PE25-29)]]-_tPE26_29_Consolidada[[#This Row], [Orçado 2026 (PE26-30)]]</f>
      </c>
      <c r="BS62" s="117">
        <f>IFERROR(VLOOKUP(_tPE26_29_Consolidada[[#This Row], [ID Financeiro]],'[4]PE 25-29'!$B:$AT,45,FALSE),0)</f>
      </c>
      <c r="BT62" s="117">
        <f>_tPE26_29_Consolidada[[#This Row], [2026-2030]]*1000</f>
      </c>
      <c r="BU62" s="117">
        <f>-_tPE26_29_Consolidada[[#This Row], [Orçado 26/30 (PE25-29)]]+_tPE26_29_Consolidada[[#This Row], [Orçado 26/30 (PE26-30)]]</f>
      </c>
      <c r="BV62" s="119">
        <f>IFERROR(_tPE26_29_Consolidada[[#This Row], [Dif2]]/_tPE26_29_Consolidada[[#This Row], [Orçado 26/30 (PE25-29)]],0)</f>
      </c>
      <c r="BW62" s="1"/>
      <c r="BX62" s="1"/>
      <c r="BY62" s="1"/>
      <c r="BZ62" s="1"/>
      <c r="CA62" s="1"/>
      <c r="CB62" s="1"/>
      <c r="CC62" s="1"/>
      <c r="CD62" s="1"/>
      <c r="CE62" s="1"/>
      <c r="CF62" s="1"/>
      <c r="CG62" s="1"/>
      <c r="CH62" s="1"/>
      <c r="CI62" s="1"/>
      <c r="CJ62" s="1"/>
      <c r="CK62" s="1"/>
      <c r="CL62" s="1"/>
      <c r="CM62" s="1"/>
      <c r="CN62" s="1"/>
      <c r="CO62" s="1"/>
      <c r="CP62" s="1"/>
      <c r="CQ62" s="111"/>
      <c r="CR62" s="111"/>
      <c r="CS62" s="111"/>
      <c r="CT62" s="111"/>
      <c r="CU62" s="111"/>
      <c r="CV62" s="111"/>
      <c r="CW62" s="111"/>
      <c r="CX62" s="111"/>
      <c r="CY62" s="111"/>
      <c r="CZ62" s="111"/>
      <c r="DA62" s="111"/>
      <c r="DB62" s="111"/>
      <c r="DC62" s="111"/>
      <c r="DD62" s="111"/>
      <c r="DE62" s="111"/>
      <c r="DF62" s="111"/>
      <c r="DG62" s="111"/>
      <c r="DH62" s="111"/>
      <c r="DI62" s="111"/>
      <c r="DJ62" s="111"/>
      <c r="DK62" s="111"/>
      <c r="DL62" s="111"/>
      <c r="DM62" s="111"/>
      <c r="DN62" s="111"/>
      <c r="DO62" s="111"/>
      <c r="DP62" s="111"/>
      <c r="DQ62" s="111"/>
      <c r="DR62" s="111"/>
      <c r="DS62" s="111"/>
      <c r="DT62" s="111"/>
      <c r="DU62" s="111"/>
      <c r="DV62" s="111"/>
      <c r="DW62" s="111"/>
      <c r="DX62" s="111"/>
      <c r="DY62" s="111"/>
      <c r="DZ62" s="111"/>
      <c r="EA62" s="111"/>
      <c r="EB62" s="111"/>
      <c r="EC62" s="111"/>
      <c r="ED62" s="111"/>
      <c r="EE62" s="111"/>
      <c r="EF62" s="111"/>
      <c r="EG62" s="111"/>
      <c r="EH62" s="111"/>
      <c r="EI62" s="111"/>
      <c r="EJ62" s="111"/>
      <c r="EK62" s="111"/>
      <c r="EL62" s="111"/>
      <c r="EM62" s="111"/>
      <c r="EN62" s="111"/>
      <c r="EO62" s="111"/>
      <c r="EP62" s="111"/>
      <c r="EQ62" s="111"/>
      <c r="ER62" s="111"/>
      <c r="ES62" s="111"/>
      <c r="ET62" s="111"/>
      <c r="EU62" s="111"/>
      <c r="EV62" s="111"/>
      <c r="EW62" s="111"/>
      <c r="EX62" s="111"/>
      <c r="EY62" s="111"/>
      <c r="EZ62" s="111"/>
      <c r="FA62" s="2"/>
      <c r="FB62" s="2"/>
      <c r="FC62" s="2"/>
      <c r="FD62" s="2"/>
      <c r="FE62" s="2"/>
      <c r="FF62" s="2"/>
    </row>
    <row x14ac:dyDescent="0.25" r="63" customHeight="1" ht="18.75">
      <c r="A63" s="3"/>
      <c r="B63" s="118" t="s">
        <v>39052</v>
      </c>
      <c r="C63" s="3" t="s">
        <v>39053</v>
      </c>
      <c r="D63" s="3" t="s">
        <v>8</v>
      </c>
      <c r="E63" s="3" t="s">
        <v>38983</v>
      </c>
      <c r="F63" s="3"/>
      <c r="G63" s="3" t="s">
        <v>39264</v>
      </c>
      <c r="H63" s="3" t="s">
        <v>10</v>
      </c>
      <c r="I63" s="3" t="s">
        <v>86</v>
      </c>
      <c r="J63" s="3" t="s">
        <v>5</v>
      </c>
      <c r="K63" s="113" t="s">
        <v>16</v>
      </c>
      <c r="L63" s="3" t="s">
        <v>67</v>
      </c>
      <c r="M63" s="3" t="s">
        <v>39055</v>
      </c>
      <c r="N63" s="3"/>
      <c r="O63" s="3"/>
      <c r="P63" s="3"/>
      <c r="Q63" s="3" t="s">
        <v>39265</v>
      </c>
      <c r="R63" s="3" t="s">
        <v>39057</v>
      </c>
      <c r="S63" s="3" t="s">
        <v>39083</v>
      </c>
      <c r="T63" s="114">
        <v>5000</v>
      </c>
      <c r="U63" s="114">
        <v>5000</v>
      </c>
      <c r="V63" s="114">
        <v>15000</v>
      </c>
      <c r="W63" s="114">
        <v>10000</v>
      </c>
      <c r="X63" s="114">
        <v>315000</v>
      </c>
      <c r="Y63" s="114">
        <v>220000</v>
      </c>
      <c r="Z63" s="114">
        <v>1015000</v>
      </c>
      <c r="AA63" s="114">
        <v>1015000</v>
      </c>
      <c r="AB63" s="114">
        <v>15000</v>
      </c>
      <c r="AC63" s="114">
        <v>15000</v>
      </c>
      <c r="AD63" s="114">
        <v>35000</v>
      </c>
      <c r="AE63" s="114">
        <v>35000</v>
      </c>
      <c r="AF63" s="114">
        <v>2700000</v>
      </c>
      <c r="AG63" s="114">
        <v>500000</v>
      </c>
      <c r="AH63" s="114">
        <v>0</v>
      </c>
      <c r="AI63" s="114">
        <v>0</v>
      </c>
      <c r="AJ63" s="114">
        <v>0</v>
      </c>
      <c r="AK63" s="114">
        <v>3200000</v>
      </c>
      <c r="AL63" s="114">
        <v>0</v>
      </c>
      <c r="AM63" s="114">
        <v>0</v>
      </c>
      <c r="AN63" s="114">
        <v>0</v>
      </c>
      <c r="AO63" s="114">
        <v>0</v>
      </c>
      <c r="AP63" s="114">
        <v>0</v>
      </c>
      <c r="AQ63" s="114">
        <v>3200000</v>
      </c>
      <c r="AR63" s="22">
        <v>201</v>
      </c>
      <c r="AS63" s="3" t="s">
        <v>39059</v>
      </c>
      <c r="AT63" s="115">
        <v>2025</v>
      </c>
      <c r="AU63" s="22">
        <f>_xlfn.XLOOKUP(_tPE26_29_Consolidada[[#This Row], [ID Financeiro]],[5]Projetos!$K:$K,[5]Projetos!$A:$A,0,0)</f>
      </c>
      <c r="AV63" s="3" t="s">
        <v>39266</v>
      </c>
      <c r="AW63" s="3" t="s">
        <v>39194</v>
      </c>
      <c r="AX63" s="8" t="s">
        <v>39265</v>
      </c>
      <c r="AY63" s="8"/>
      <c r="AZ63" s="3" t="s">
        <v>39107</v>
      </c>
      <c r="BA63" s="3"/>
      <c r="BB63" s="3"/>
      <c r="BC63" s="3"/>
      <c r="BD63" s="3"/>
      <c r="BE63" s="3"/>
      <c r="BF63" s="3"/>
      <c r="BG63" s="3"/>
      <c r="BH63" s="3"/>
      <c r="BI63" s="3"/>
      <c r="BJ63" s="3"/>
      <c r="BK63" s="3"/>
      <c r="BL63" s="3"/>
      <c r="BM63" s="3"/>
      <c r="BN63" s="3"/>
      <c r="BO63" s="3"/>
      <c r="BP63" s="116">
        <f>IFERROR(VLOOKUP(_tPE26_29_Consolidada[[#This Row], [ID Financeiro]],'[4]PE 25-29'!$B:$AF,31,FALSE),0)</f>
      </c>
      <c r="BQ63" s="116">
        <f>_tPE26_29_Consolidada[[#This Row], [2026]]*1000</f>
      </c>
      <c r="BR63" s="117">
        <f>_tPE26_29_Consolidada[[#This Row], [Orçado 2026 (PE25-29)]]-_tPE26_29_Consolidada[[#This Row], [Orçado 2026 (PE26-30)]]</f>
      </c>
      <c r="BS63" s="117">
        <f>IFERROR(VLOOKUP(_tPE26_29_Consolidada[[#This Row], [ID Financeiro]],'[4]PE 25-29'!$B:$AT,45,FALSE),0)</f>
      </c>
      <c r="BT63" s="117">
        <f>_tPE26_29_Consolidada[[#This Row], [2026-2030]]*1000</f>
      </c>
      <c r="BU63" s="117">
        <f>-_tPE26_29_Consolidada[[#This Row], [Orçado 26/30 (PE25-29)]]+_tPE26_29_Consolidada[[#This Row], [Orçado 26/30 (PE26-30)]]</f>
      </c>
      <c r="BV63" s="119">
        <f>IFERROR(_tPE26_29_Consolidada[[#This Row], [Dif2]]/_tPE26_29_Consolidada[[#This Row], [Orçado 26/30 (PE25-29)]],0)</f>
      </c>
      <c r="BW63" s="1"/>
      <c r="BX63" s="1"/>
      <c r="BY63" s="1"/>
      <c r="BZ63" s="1"/>
      <c r="CA63" s="1"/>
      <c r="CB63" s="1"/>
      <c r="CC63" s="1"/>
      <c r="CD63" s="1"/>
      <c r="CE63" s="1"/>
      <c r="CF63" s="1"/>
      <c r="CG63" s="1"/>
      <c r="CH63" s="1"/>
      <c r="CI63" s="1"/>
      <c r="CJ63" s="1"/>
      <c r="CK63" s="1"/>
      <c r="CL63" s="1"/>
      <c r="CM63" s="1"/>
      <c r="CN63" s="1"/>
      <c r="CO63" s="1"/>
      <c r="CP63" s="1"/>
      <c r="CQ63" s="111"/>
      <c r="CR63" s="111"/>
      <c r="CS63" s="111"/>
      <c r="CT63" s="111"/>
      <c r="CU63" s="111"/>
      <c r="CV63" s="111"/>
      <c r="CW63" s="111"/>
      <c r="CX63" s="111"/>
      <c r="CY63" s="111"/>
      <c r="CZ63" s="111"/>
      <c r="DA63" s="111"/>
      <c r="DB63" s="111"/>
      <c r="DC63" s="111"/>
      <c r="DD63" s="111"/>
      <c r="DE63" s="111"/>
      <c r="DF63" s="111"/>
      <c r="DG63" s="111"/>
      <c r="DH63" s="111"/>
      <c r="DI63" s="111"/>
      <c r="DJ63" s="111"/>
      <c r="DK63" s="111"/>
      <c r="DL63" s="111"/>
      <c r="DM63" s="111"/>
      <c r="DN63" s="111"/>
      <c r="DO63" s="111"/>
      <c r="DP63" s="111"/>
      <c r="DQ63" s="111"/>
      <c r="DR63" s="111"/>
      <c r="DS63" s="111"/>
      <c r="DT63" s="111"/>
      <c r="DU63" s="111"/>
      <c r="DV63" s="111"/>
      <c r="DW63" s="111"/>
      <c r="DX63" s="111"/>
      <c r="DY63" s="111"/>
      <c r="DZ63" s="111"/>
      <c r="EA63" s="111"/>
      <c r="EB63" s="111"/>
      <c r="EC63" s="111"/>
      <c r="ED63" s="111"/>
      <c r="EE63" s="111"/>
      <c r="EF63" s="111"/>
      <c r="EG63" s="111"/>
      <c r="EH63" s="111"/>
      <c r="EI63" s="111"/>
      <c r="EJ63" s="111"/>
      <c r="EK63" s="111"/>
      <c r="EL63" s="111"/>
      <c r="EM63" s="111"/>
      <c r="EN63" s="111"/>
      <c r="EO63" s="111"/>
      <c r="EP63" s="111"/>
      <c r="EQ63" s="111"/>
      <c r="ER63" s="111"/>
      <c r="ES63" s="111"/>
      <c r="ET63" s="111"/>
      <c r="EU63" s="111"/>
      <c r="EV63" s="111"/>
      <c r="EW63" s="111"/>
      <c r="EX63" s="111"/>
      <c r="EY63" s="111"/>
      <c r="EZ63" s="111"/>
      <c r="FA63" s="2"/>
      <c r="FB63" s="2"/>
      <c r="FC63" s="2"/>
      <c r="FD63" s="2"/>
      <c r="FE63" s="2"/>
      <c r="FF63" s="2"/>
    </row>
    <row x14ac:dyDescent="0.25" r="64" customHeight="1" ht="18.75">
      <c r="A64" s="3"/>
      <c r="B64" s="118" t="s">
        <v>39052</v>
      </c>
      <c r="C64" s="3" t="s">
        <v>39053</v>
      </c>
      <c r="D64" s="3" t="s">
        <v>8</v>
      </c>
      <c r="E64" s="3" t="s">
        <v>38983</v>
      </c>
      <c r="F64" s="3"/>
      <c r="G64" s="3" t="s">
        <v>39267</v>
      </c>
      <c r="H64" s="3" t="s">
        <v>10</v>
      </c>
      <c r="I64" s="3" t="s">
        <v>86</v>
      </c>
      <c r="J64" s="3" t="s">
        <v>5</v>
      </c>
      <c r="K64" s="113" t="s">
        <v>16</v>
      </c>
      <c r="L64" s="3" t="s">
        <v>67</v>
      </c>
      <c r="M64" s="3" t="s">
        <v>39055</v>
      </c>
      <c r="N64" s="3"/>
      <c r="O64" s="3"/>
      <c r="P64" s="3"/>
      <c r="Q64" s="3" t="s">
        <v>39268</v>
      </c>
      <c r="R64" s="3" t="s">
        <v>39057</v>
      </c>
      <c r="S64" s="3" t="s">
        <v>39058</v>
      </c>
      <c r="T64" s="114">
        <v>200000</v>
      </c>
      <c r="U64" s="114">
        <v>100000</v>
      </c>
      <c r="V64" s="114">
        <v>400000</v>
      </c>
      <c r="W64" s="114">
        <v>50000</v>
      </c>
      <c r="X64" s="114">
        <v>200000</v>
      </c>
      <c r="Y64" s="114">
        <v>200000</v>
      </c>
      <c r="Z64" s="114">
        <v>1500000</v>
      </c>
      <c r="AA64" s="114">
        <v>500000</v>
      </c>
      <c r="AB64" s="114">
        <v>500000</v>
      </c>
      <c r="AC64" s="114">
        <v>400000</v>
      </c>
      <c r="AD64" s="114">
        <v>400000</v>
      </c>
      <c r="AE64" s="114">
        <v>50000</v>
      </c>
      <c r="AF64" s="114">
        <v>4500000</v>
      </c>
      <c r="AG64" s="114">
        <v>1500000</v>
      </c>
      <c r="AH64" s="114">
        <v>0</v>
      </c>
      <c r="AI64" s="114">
        <v>0</v>
      </c>
      <c r="AJ64" s="114">
        <v>0</v>
      </c>
      <c r="AK64" s="114">
        <v>6000000</v>
      </c>
      <c r="AL64" s="114">
        <v>0</v>
      </c>
      <c r="AM64" s="114">
        <v>0</v>
      </c>
      <c r="AN64" s="114">
        <v>0</v>
      </c>
      <c r="AO64" s="114">
        <v>0</v>
      </c>
      <c r="AP64" s="114">
        <v>0</v>
      </c>
      <c r="AQ64" s="114">
        <v>6000000</v>
      </c>
      <c r="AR64" s="22">
        <v>202</v>
      </c>
      <c r="AS64" s="3" t="s">
        <v>39059</v>
      </c>
      <c r="AT64" s="115">
        <v>2025</v>
      </c>
      <c r="AU64" s="22">
        <f>_xlfn.XLOOKUP(_tPE26_29_Consolidada[[#This Row], [ID Financeiro]],[5]Projetos!$K:$K,[5]Projetos!$A:$A,0,0)</f>
      </c>
      <c r="AV64" s="3" t="s">
        <v>39269</v>
      </c>
      <c r="AW64" s="3" t="s">
        <v>39116</v>
      </c>
      <c r="AX64" s="8" t="s">
        <v>39268</v>
      </c>
      <c r="AY64" s="8"/>
      <c r="AZ64" s="3" t="s">
        <v>39270</v>
      </c>
      <c r="BA64" s="3"/>
      <c r="BB64" s="3"/>
      <c r="BC64" s="3"/>
      <c r="BD64" s="3"/>
      <c r="BE64" s="3"/>
      <c r="BF64" s="3"/>
      <c r="BG64" s="3"/>
      <c r="BH64" s="3"/>
      <c r="BI64" s="3"/>
      <c r="BJ64" s="3"/>
      <c r="BK64" s="3"/>
      <c r="BL64" s="3"/>
      <c r="BM64" s="3"/>
      <c r="BN64" s="3"/>
      <c r="BO64" s="3"/>
      <c r="BP64" s="116">
        <f>IFERROR(VLOOKUP(_tPE26_29_Consolidada[[#This Row], [ID Financeiro]],'[4]PE 25-29'!$B:$AF,31,FALSE),0)</f>
      </c>
      <c r="BQ64" s="116">
        <f>_tPE26_29_Consolidada[[#This Row], [2026]]*1000</f>
      </c>
      <c r="BR64" s="117">
        <f>_tPE26_29_Consolidada[[#This Row], [Orçado 2026 (PE25-29)]]-_tPE26_29_Consolidada[[#This Row], [Orçado 2026 (PE26-30)]]</f>
      </c>
      <c r="BS64" s="117">
        <f>IFERROR(VLOOKUP(_tPE26_29_Consolidada[[#This Row], [ID Financeiro]],'[4]PE 25-29'!$B:$AT,45,FALSE),0)</f>
      </c>
      <c r="BT64" s="117">
        <f>_tPE26_29_Consolidada[[#This Row], [2026-2030]]*1000</f>
      </c>
      <c r="BU64" s="117">
        <f>-_tPE26_29_Consolidada[[#This Row], [Orçado 26/30 (PE25-29)]]+_tPE26_29_Consolidada[[#This Row], [Orçado 26/30 (PE26-30)]]</f>
      </c>
      <c r="BV64" s="119">
        <f>IFERROR(_tPE26_29_Consolidada[[#This Row], [Dif2]]/_tPE26_29_Consolidada[[#This Row], [Orçado 26/30 (PE25-29)]],0)</f>
      </c>
      <c r="BW64" s="1"/>
      <c r="BX64" s="1"/>
      <c r="BY64" s="1"/>
      <c r="BZ64" s="1"/>
      <c r="CA64" s="1"/>
      <c r="CB64" s="1"/>
      <c r="CC64" s="1"/>
      <c r="CD64" s="1"/>
      <c r="CE64" s="1"/>
      <c r="CF64" s="1"/>
      <c r="CG64" s="1"/>
      <c r="CH64" s="1"/>
      <c r="CI64" s="1"/>
      <c r="CJ64" s="1"/>
      <c r="CK64" s="1"/>
      <c r="CL64" s="1"/>
      <c r="CM64" s="1"/>
      <c r="CN64" s="1"/>
      <c r="CO64" s="1"/>
      <c r="CP64" s="1"/>
      <c r="CQ64" s="111"/>
      <c r="CR64" s="111"/>
      <c r="CS64" s="111"/>
      <c r="CT64" s="111"/>
      <c r="CU64" s="111"/>
      <c r="CV64" s="111"/>
      <c r="CW64" s="111"/>
      <c r="CX64" s="111"/>
      <c r="CY64" s="111"/>
      <c r="CZ64" s="111"/>
      <c r="DA64" s="111"/>
      <c r="DB64" s="111"/>
      <c r="DC64" s="111"/>
      <c r="DD64" s="111"/>
      <c r="DE64" s="111"/>
      <c r="DF64" s="111"/>
      <c r="DG64" s="111"/>
      <c r="DH64" s="111"/>
      <c r="DI64" s="111"/>
      <c r="DJ64" s="111"/>
      <c r="DK64" s="111"/>
      <c r="DL64" s="111"/>
      <c r="DM64" s="111"/>
      <c r="DN64" s="111"/>
      <c r="DO64" s="111"/>
      <c r="DP64" s="111"/>
      <c r="DQ64" s="111"/>
      <c r="DR64" s="111"/>
      <c r="DS64" s="111"/>
      <c r="DT64" s="111"/>
      <c r="DU64" s="111"/>
      <c r="DV64" s="111"/>
      <c r="DW64" s="111"/>
      <c r="DX64" s="111"/>
      <c r="DY64" s="111"/>
      <c r="DZ64" s="111"/>
      <c r="EA64" s="111"/>
      <c r="EB64" s="111"/>
      <c r="EC64" s="111"/>
      <c r="ED64" s="111"/>
      <c r="EE64" s="111"/>
      <c r="EF64" s="111"/>
      <c r="EG64" s="111"/>
      <c r="EH64" s="111"/>
      <c r="EI64" s="111"/>
      <c r="EJ64" s="111"/>
      <c r="EK64" s="111"/>
      <c r="EL64" s="111"/>
      <c r="EM64" s="111"/>
      <c r="EN64" s="111"/>
      <c r="EO64" s="111"/>
      <c r="EP64" s="111"/>
      <c r="EQ64" s="111"/>
      <c r="ER64" s="111"/>
      <c r="ES64" s="111"/>
      <c r="ET64" s="111"/>
      <c r="EU64" s="111"/>
      <c r="EV64" s="111"/>
      <c r="EW64" s="111"/>
      <c r="EX64" s="111"/>
      <c r="EY64" s="111"/>
      <c r="EZ64" s="111"/>
      <c r="FA64" s="2"/>
      <c r="FB64" s="2"/>
      <c r="FC64" s="2"/>
      <c r="FD64" s="2"/>
      <c r="FE64" s="2"/>
      <c r="FF64" s="2"/>
    </row>
    <row x14ac:dyDescent="0.25" r="65" customHeight="1" ht="18.75">
      <c r="A65" s="3"/>
      <c r="B65" s="118" t="s">
        <v>39052</v>
      </c>
      <c r="C65" s="3" t="s">
        <v>39053</v>
      </c>
      <c r="D65" s="3" t="s">
        <v>8</v>
      </c>
      <c r="E65" s="3" t="s">
        <v>38983</v>
      </c>
      <c r="F65" s="3"/>
      <c r="G65" s="3" t="s">
        <v>39271</v>
      </c>
      <c r="H65" s="3" t="s">
        <v>10</v>
      </c>
      <c r="I65" s="3" t="s">
        <v>86</v>
      </c>
      <c r="J65" s="3" t="s">
        <v>5</v>
      </c>
      <c r="K65" s="113" t="s">
        <v>16</v>
      </c>
      <c r="L65" s="3" t="s">
        <v>67</v>
      </c>
      <c r="M65" s="3" t="s">
        <v>39055</v>
      </c>
      <c r="N65" s="3"/>
      <c r="O65" s="3"/>
      <c r="P65" s="3"/>
      <c r="Q65" s="3" t="s">
        <v>39272</v>
      </c>
      <c r="R65" s="3" t="s">
        <v>39057</v>
      </c>
      <c r="S65" s="3" t="s">
        <v>39058</v>
      </c>
      <c r="T65" s="114">
        <v>5000</v>
      </c>
      <c r="U65" s="114">
        <v>20000</v>
      </c>
      <c r="V65" s="114">
        <v>25000</v>
      </c>
      <c r="W65" s="114">
        <v>200000</v>
      </c>
      <c r="X65" s="114">
        <v>500000</v>
      </c>
      <c r="Y65" s="114">
        <v>50000</v>
      </c>
      <c r="Z65" s="114">
        <v>100000</v>
      </c>
      <c r="AA65" s="114">
        <v>200000</v>
      </c>
      <c r="AB65" s="114">
        <v>1000000</v>
      </c>
      <c r="AC65" s="114">
        <v>200000</v>
      </c>
      <c r="AD65" s="114">
        <v>200000</v>
      </c>
      <c r="AE65" s="114">
        <v>200000</v>
      </c>
      <c r="AF65" s="114">
        <v>2700000</v>
      </c>
      <c r="AG65" s="114">
        <v>2000000</v>
      </c>
      <c r="AH65" s="114">
        <v>1000000</v>
      </c>
      <c r="AI65" s="114">
        <v>500000</v>
      </c>
      <c r="AJ65" s="114">
        <v>0</v>
      </c>
      <c r="AK65" s="114">
        <v>6200000</v>
      </c>
      <c r="AL65" s="114">
        <v>0</v>
      </c>
      <c r="AM65" s="114">
        <v>0</v>
      </c>
      <c r="AN65" s="114">
        <v>0</v>
      </c>
      <c r="AO65" s="114">
        <v>0</v>
      </c>
      <c r="AP65" s="114">
        <v>0</v>
      </c>
      <c r="AQ65" s="114">
        <v>6200000</v>
      </c>
      <c r="AR65" s="22">
        <v>203</v>
      </c>
      <c r="AS65" s="3" t="s">
        <v>39059</v>
      </c>
      <c r="AT65" s="115">
        <v>2025</v>
      </c>
      <c r="AU65" s="22">
        <f>_xlfn.XLOOKUP(_tPE26_29_Consolidada[[#This Row], [ID Financeiro]],[5]Projetos!$K:$K,[5]Projetos!$A:$A,0,0)</f>
      </c>
      <c r="AV65" s="3" t="s">
        <v>39273</v>
      </c>
      <c r="AW65" s="3" t="s">
        <v>39116</v>
      </c>
      <c r="AX65" s="8" t="s">
        <v>39272</v>
      </c>
      <c r="AY65" s="8"/>
      <c r="AZ65" s="3" t="s">
        <v>39270</v>
      </c>
      <c r="BA65" s="3"/>
      <c r="BB65" s="3"/>
      <c r="BC65" s="3"/>
      <c r="BD65" s="3"/>
      <c r="BE65" s="3"/>
      <c r="BF65" s="3"/>
      <c r="BG65" s="3"/>
      <c r="BH65" s="3"/>
      <c r="BI65" s="3"/>
      <c r="BJ65" s="3"/>
      <c r="BK65" s="3"/>
      <c r="BL65" s="3"/>
      <c r="BM65" s="3"/>
      <c r="BN65" s="3"/>
      <c r="BO65" s="3"/>
      <c r="BP65" s="116">
        <f>IFERROR(VLOOKUP(_tPE26_29_Consolidada[[#This Row], [ID Financeiro]],'[4]PE 25-29'!$B:$AF,31,FALSE),0)</f>
      </c>
      <c r="BQ65" s="116">
        <f>_tPE26_29_Consolidada[[#This Row], [2026]]*1000</f>
      </c>
      <c r="BR65" s="117">
        <f>_tPE26_29_Consolidada[[#This Row], [Orçado 2026 (PE25-29)]]-_tPE26_29_Consolidada[[#This Row], [Orçado 2026 (PE26-30)]]</f>
      </c>
      <c r="BS65" s="117">
        <f>IFERROR(VLOOKUP(_tPE26_29_Consolidada[[#This Row], [ID Financeiro]],'[4]PE 25-29'!$B:$AT,45,FALSE),0)</f>
      </c>
      <c r="BT65" s="117">
        <f>_tPE26_29_Consolidada[[#This Row], [2026-2030]]*1000</f>
      </c>
      <c r="BU65" s="117">
        <f>-_tPE26_29_Consolidada[[#This Row], [Orçado 26/30 (PE25-29)]]+_tPE26_29_Consolidada[[#This Row], [Orçado 26/30 (PE26-30)]]</f>
      </c>
      <c r="BV65" s="119">
        <f>IFERROR(_tPE26_29_Consolidada[[#This Row], [Dif2]]/_tPE26_29_Consolidada[[#This Row], [Orçado 26/30 (PE25-29)]],0)</f>
      </c>
      <c r="BW65" s="1"/>
      <c r="BX65" s="1"/>
      <c r="BY65" s="1"/>
      <c r="BZ65" s="1"/>
      <c r="CA65" s="1"/>
      <c r="CB65" s="1"/>
      <c r="CC65" s="1"/>
      <c r="CD65" s="1"/>
      <c r="CE65" s="1"/>
      <c r="CF65" s="1"/>
      <c r="CG65" s="1"/>
      <c r="CH65" s="1"/>
      <c r="CI65" s="1"/>
      <c r="CJ65" s="1"/>
      <c r="CK65" s="1"/>
      <c r="CL65" s="1"/>
      <c r="CM65" s="1"/>
      <c r="CN65" s="1"/>
      <c r="CO65" s="1"/>
      <c r="CP65" s="1"/>
      <c r="CQ65" s="111"/>
      <c r="CR65" s="111"/>
      <c r="CS65" s="111"/>
      <c r="CT65" s="111"/>
      <c r="CU65" s="111"/>
      <c r="CV65" s="111"/>
      <c r="CW65" s="111"/>
      <c r="CX65" s="111"/>
      <c r="CY65" s="111"/>
      <c r="CZ65" s="111"/>
      <c r="DA65" s="111"/>
      <c r="DB65" s="111"/>
      <c r="DC65" s="111"/>
      <c r="DD65" s="111"/>
      <c r="DE65" s="111"/>
      <c r="DF65" s="111"/>
      <c r="DG65" s="111"/>
      <c r="DH65" s="111"/>
      <c r="DI65" s="111"/>
      <c r="DJ65" s="111"/>
      <c r="DK65" s="111"/>
      <c r="DL65" s="111"/>
      <c r="DM65" s="111"/>
      <c r="DN65" s="111"/>
      <c r="DO65" s="111"/>
      <c r="DP65" s="111"/>
      <c r="DQ65" s="111"/>
      <c r="DR65" s="111"/>
      <c r="DS65" s="111"/>
      <c r="DT65" s="111"/>
      <c r="DU65" s="111"/>
      <c r="DV65" s="111"/>
      <c r="DW65" s="111"/>
      <c r="DX65" s="111"/>
      <c r="DY65" s="111"/>
      <c r="DZ65" s="111"/>
      <c r="EA65" s="111"/>
      <c r="EB65" s="111"/>
      <c r="EC65" s="111"/>
      <c r="ED65" s="111"/>
      <c r="EE65" s="111"/>
      <c r="EF65" s="111"/>
      <c r="EG65" s="111"/>
      <c r="EH65" s="111"/>
      <c r="EI65" s="111"/>
      <c r="EJ65" s="111"/>
      <c r="EK65" s="111"/>
      <c r="EL65" s="111"/>
      <c r="EM65" s="111"/>
      <c r="EN65" s="111"/>
      <c r="EO65" s="111"/>
      <c r="EP65" s="111"/>
      <c r="EQ65" s="111"/>
      <c r="ER65" s="111"/>
      <c r="ES65" s="111"/>
      <c r="ET65" s="111"/>
      <c r="EU65" s="111"/>
      <c r="EV65" s="111"/>
      <c r="EW65" s="111"/>
      <c r="EX65" s="111"/>
      <c r="EY65" s="111"/>
      <c r="EZ65" s="111"/>
      <c r="FA65" s="2"/>
      <c r="FB65" s="2"/>
      <c r="FC65" s="2"/>
      <c r="FD65" s="2"/>
      <c r="FE65" s="2"/>
      <c r="FF65" s="2"/>
    </row>
    <row x14ac:dyDescent="0.25" r="66" customHeight="1" ht="18.75">
      <c r="A66" s="3"/>
      <c r="B66" s="118" t="s">
        <v>39052</v>
      </c>
      <c r="C66" s="3" t="s">
        <v>39053</v>
      </c>
      <c r="D66" s="3" t="s">
        <v>8</v>
      </c>
      <c r="E66" s="3" t="s">
        <v>38983</v>
      </c>
      <c r="F66" s="3"/>
      <c r="G66" s="3" t="s">
        <v>39274</v>
      </c>
      <c r="H66" s="3" t="s">
        <v>10</v>
      </c>
      <c r="I66" s="3" t="s">
        <v>86</v>
      </c>
      <c r="J66" s="3" t="s">
        <v>5</v>
      </c>
      <c r="K66" s="113" t="s">
        <v>16</v>
      </c>
      <c r="L66" s="3" t="s">
        <v>67</v>
      </c>
      <c r="M66" s="3" t="s">
        <v>39055</v>
      </c>
      <c r="N66" s="3"/>
      <c r="O66" s="3"/>
      <c r="P66" s="3"/>
      <c r="Q66" s="3" t="s">
        <v>39275</v>
      </c>
      <c r="R66" s="3" t="s">
        <v>39057</v>
      </c>
      <c r="S66" s="3" t="s">
        <v>39105</v>
      </c>
      <c r="T66" s="114">
        <v>2000</v>
      </c>
      <c r="U66" s="114">
        <v>2000</v>
      </c>
      <c r="V66" s="114">
        <v>2000</v>
      </c>
      <c r="W66" s="114">
        <v>2000</v>
      </c>
      <c r="X66" s="114">
        <v>2000</v>
      </c>
      <c r="Y66" s="114">
        <v>2000</v>
      </c>
      <c r="Z66" s="114">
        <v>50000</v>
      </c>
      <c r="AA66" s="114">
        <v>50000</v>
      </c>
      <c r="AB66" s="114">
        <v>200000</v>
      </c>
      <c r="AC66" s="114">
        <v>100000</v>
      </c>
      <c r="AD66" s="114">
        <v>0</v>
      </c>
      <c r="AE66" s="114">
        <v>0</v>
      </c>
      <c r="AF66" s="114">
        <v>412000</v>
      </c>
      <c r="AG66" s="114">
        <v>48000</v>
      </c>
      <c r="AH66" s="114">
        <v>0</v>
      </c>
      <c r="AI66" s="114">
        <v>0</v>
      </c>
      <c r="AJ66" s="114">
        <v>0</v>
      </c>
      <c r="AK66" s="114">
        <v>460000</v>
      </c>
      <c r="AL66" s="114">
        <v>0</v>
      </c>
      <c r="AM66" s="114">
        <v>0</v>
      </c>
      <c r="AN66" s="114">
        <v>0</v>
      </c>
      <c r="AO66" s="114">
        <v>0</v>
      </c>
      <c r="AP66" s="114">
        <v>0</v>
      </c>
      <c r="AQ66" s="114">
        <v>460000</v>
      </c>
      <c r="AR66" s="22">
        <v>204</v>
      </c>
      <c r="AS66" s="3" t="s">
        <v>39059</v>
      </c>
      <c r="AT66" s="115">
        <v>2025</v>
      </c>
      <c r="AU66" s="22">
        <f>_xlfn.XLOOKUP(_tPE26_29_Consolidada[[#This Row], [ID Financeiro]],[5]Projetos!$K:$K,[5]Projetos!$A:$A,0,0)</f>
      </c>
      <c r="AV66" s="3" t="s">
        <v>39276</v>
      </c>
      <c r="AW66" s="3" t="s">
        <v>39194</v>
      </c>
      <c r="AX66" s="8" t="s">
        <v>39275</v>
      </c>
      <c r="AY66" s="8"/>
      <c r="AZ66" s="3" t="s">
        <v>39277</v>
      </c>
      <c r="BA66" s="3"/>
      <c r="BB66" s="3"/>
      <c r="BC66" s="3"/>
      <c r="BD66" s="3"/>
      <c r="BE66" s="3"/>
      <c r="BF66" s="3"/>
      <c r="BG66" s="3"/>
      <c r="BH66" s="3"/>
      <c r="BI66" s="3"/>
      <c r="BJ66" s="3"/>
      <c r="BK66" s="3"/>
      <c r="BL66" s="3"/>
      <c r="BM66" s="3"/>
      <c r="BN66" s="3"/>
      <c r="BO66" s="3"/>
      <c r="BP66" s="116">
        <f>IFERROR(VLOOKUP(_tPE26_29_Consolidada[[#This Row], [ID Financeiro]],'[4]PE 25-29'!$B:$AF,31,FALSE),0)</f>
      </c>
      <c r="BQ66" s="116">
        <f>_tPE26_29_Consolidada[[#This Row], [2026]]*1000</f>
      </c>
      <c r="BR66" s="117">
        <f>_tPE26_29_Consolidada[[#This Row], [Orçado 2026 (PE25-29)]]-_tPE26_29_Consolidada[[#This Row], [Orçado 2026 (PE26-30)]]</f>
      </c>
      <c r="BS66" s="117">
        <f>IFERROR(VLOOKUP(_tPE26_29_Consolidada[[#This Row], [ID Financeiro]],'[4]PE 25-29'!$B:$AT,45,FALSE),0)</f>
      </c>
      <c r="BT66" s="117">
        <f>_tPE26_29_Consolidada[[#This Row], [2026-2030]]*1000</f>
      </c>
      <c r="BU66" s="117">
        <f>-_tPE26_29_Consolidada[[#This Row], [Orçado 26/30 (PE25-29)]]+_tPE26_29_Consolidada[[#This Row], [Orçado 26/30 (PE26-30)]]</f>
      </c>
      <c r="BV66" s="119">
        <f>IFERROR(_tPE26_29_Consolidada[[#This Row], [Dif2]]/_tPE26_29_Consolidada[[#This Row], [Orçado 26/30 (PE25-29)]],0)</f>
      </c>
      <c r="BW66" s="1"/>
      <c r="BX66" s="1"/>
      <c r="BY66" s="1"/>
      <c r="BZ66" s="1"/>
      <c r="CA66" s="1"/>
      <c r="CB66" s="1"/>
      <c r="CC66" s="1"/>
      <c r="CD66" s="1"/>
      <c r="CE66" s="1"/>
      <c r="CF66" s="1"/>
      <c r="CG66" s="1"/>
      <c r="CH66" s="1"/>
      <c r="CI66" s="1"/>
      <c r="CJ66" s="1"/>
      <c r="CK66" s="1"/>
      <c r="CL66" s="1"/>
      <c r="CM66" s="1"/>
      <c r="CN66" s="1"/>
      <c r="CO66" s="1"/>
      <c r="CP66" s="1"/>
      <c r="CQ66" s="111"/>
      <c r="CR66" s="111"/>
      <c r="CS66" s="111"/>
      <c r="CT66" s="111"/>
      <c r="CU66" s="111"/>
      <c r="CV66" s="111"/>
      <c r="CW66" s="111"/>
      <c r="CX66" s="111"/>
      <c r="CY66" s="111"/>
      <c r="CZ66" s="111"/>
      <c r="DA66" s="111"/>
      <c r="DB66" s="111"/>
      <c r="DC66" s="111"/>
      <c r="DD66" s="111"/>
      <c r="DE66" s="111"/>
      <c r="DF66" s="111"/>
      <c r="DG66" s="111"/>
      <c r="DH66" s="111"/>
      <c r="DI66" s="111"/>
      <c r="DJ66" s="111"/>
      <c r="DK66" s="111"/>
      <c r="DL66" s="111"/>
      <c r="DM66" s="111"/>
      <c r="DN66" s="111"/>
      <c r="DO66" s="111"/>
      <c r="DP66" s="111"/>
      <c r="DQ66" s="111"/>
      <c r="DR66" s="111"/>
      <c r="DS66" s="111"/>
      <c r="DT66" s="111"/>
      <c r="DU66" s="111"/>
      <c r="DV66" s="111"/>
      <c r="DW66" s="111"/>
      <c r="DX66" s="111"/>
      <c r="DY66" s="111"/>
      <c r="DZ66" s="111"/>
      <c r="EA66" s="111"/>
      <c r="EB66" s="111"/>
      <c r="EC66" s="111"/>
      <c r="ED66" s="111"/>
      <c r="EE66" s="111"/>
      <c r="EF66" s="111"/>
      <c r="EG66" s="111"/>
      <c r="EH66" s="111"/>
      <c r="EI66" s="111"/>
      <c r="EJ66" s="111"/>
      <c r="EK66" s="111"/>
      <c r="EL66" s="111"/>
      <c r="EM66" s="111"/>
      <c r="EN66" s="111"/>
      <c r="EO66" s="111"/>
      <c r="EP66" s="111"/>
      <c r="EQ66" s="111"/>
      <c r="ER66" s="111"/>
      <c r="ES66" s="111"/>
      <c r="ET66" s="111"/>
      <c r="EU66" s="111"/>
      <c r="EV66" s="111"/>
      <c r="EW66" s="111"/>
      <c r="EX66" s="111"/>
      <c r="EY66" s="111"/>
      <c r="EZ66" s="111"/>
      <c r="FA66" s="2"/>
      <c r="FB66" s="2"/>
      <c r="FC66" s="2"/>
      <c r="FD66" s="2"/>
      <c r="FE66" s="2"/>
      <c r="FF66" s="2"/>
    </row>
    <row x14ac:dyDescent="0.25" r="67" customHeight="1" ht="18.75">
      <c r="A67" s="3"/>
      <c r="B67" s="118" t="s">
        <v>39052</v>
      </c>
      <c r="C67" s="3" t="s">
        <v>39053</v>
      </c>
      <c r="D67" s="3" t="s">
        <v>8</v>
      </c>
      <c r="E67" s="3" t="s">
        <v>38983</v>
      </c>
      <c r="F67" s="3"/>
      <c r="G67" s="3" t="s">
        <v>39278</v>
      </c>
      <c r="H67" s="3" t="s">
        <v>10</v>
      </c>
      <c r="I67" s="3" t="s">
        <v>86</v>
      </c>
      <c r="J67" s="3" t="s">
        <v>5</v>
      </c>
      <c r="K67" s="113" t="s">
        <v>16</v>
      </c>
      <c r="L67" s="3" t="s">
        <v>67</v>
      </c>
      <c r="M67" s="3" t="s">
        <v>39055</v>
      </c>
      <c r="N67" s="3"/>
      <c r="O67" s="3"/>
      <c r="P67" s="3"/>
      <c r="Q67" s="3" t="s">
        <v>39279</v>
      </c>
      <c r="R67" s="3" t="s">
        <v>39057</v>
      </c>
      <c r="S67" s="3" t="s">
        <v>39083</v>
      </c>
      <c r="T67" s="114">
        <v>100000</v>
      </c>
      <c r="U67" s="114">
        <v>250000</v>
      </c>
      <c r="V67" s="114">
        <v>0</v>
      </c>
      <c r="W67" s="114">
        <v>0</v>
      </c>
      <c r="X67" s="114">
        <v>0</v>
      </c>
      <c r="Y67" s="114">
        <v>0</v>
      </c>
      <c r="Z67" s="114">
        <v>0</v>
      </c>
      <c r="AA67" s="114">
        <v>0</v>
      </c>
      <c r="AB67" s="114">
        <v>0</v>
      </c>
      <c r="AC67" s="114">
        <v>0</v>
      </c>
      <c r="AD67" s="114">
        <v>0</v>
      </c>
      <c r="AE67" s="114">
        <v>0</v>
      </c>
      <c r="AF67" s="114">
        <v>350000</v>
      </c>
      <c r="AG67" s="114">
        <v>0</v>
      </c>
      <c r="AH67" s="114">
        <v>0</v>
      </c>
      <c r="AI67" s="114">
        <v>0</v>
      </c>
      <c r="AJ67" s="114">
        <v>0</v>
      </c>
      <c r="AK67" s="114">
        <v>350000</v>
      </c>
      <c r="AL67" s="114">
        <v>0</v>
      </c>
      <c r="AM67" s="114">
        <v>0</v>
      </c>
      <c r="AN67" s="114">
        <v>0</v>
      </c>
      <c r="AO67" s="114">
        <v>0</v>
      </c>
      <c r="AP67" s="114">
        <v>0</v>
      </c>
      <c r="AQ67" s="114">
        <v>350000</v>
      </c>
      <c r="AR67" s="22">
        <v>205</v>
      </c>
      <c r="AS67" s="3" t="s">
        <v>39059</v>
      </c>
      <c r="AT67" s="115">
        <v>2025</v>
      </c>
      <c r="AU67" s="22">
        <f>_xlfn.XLOOKUP(_tPE26_29_Consolidada[[#This Row], [ID Financeiro]],[5]Projetos!$K:$K,[5]Projetos!$A:$A,0,0)</f>
      </c>
      <c r="AV67" s="3" t="s">
        <v>39280</v>
      </c>
      <c r="AW67" s="3" t="s">
        <v>46</v>
      </c>
      <c r="AX67" s="8" t="s">
        <v>39279</v>
      </c>
      <c r="AY67" s="8"/>
      <c r="AZ67" s="3" t="s">
        <v>39092</v>
      </c>
      <c r="BA67" s="3"/>
      <c r="BB67" s="3"/>
      <c r="BC67" s="3"/>
      <c r="BD67" s="3"/>
      <c r="BE67" s="3"/>
      <c r="BF67" s="3"/>
      <c r="BG67" s="3"/>
      <c r="BH67" s="3"/>
      <c r="BI67" s="3"/>
      <c r="BJ67" s="3"/>
      <c r="BK67" s="3"/>
      <c r="BL67" s="3"/>
      <c r="BM67" s="3"/>
      <c r="BN67" s="3"/>
      <c r="BO67" s="3"/>
      <c r="BP67" s="116">
        <f>IFERROR(VLOOKUP(_tPE26_29_Consolidada[[#This Row], [ID Financeiro]],'[4]PE 25-29'!$B:$AF,31,FALSE),0)</f>
      </c>
      <c r="BQ67" s="116">
        <f>_tPE26_29_Consolidada[[#This Row], [2026]]*1000</f>
      </c>
      <c r="BR67" s="117">
        <f>_tPE26_29_Consolidada[[#This Row], [Orçado 2026 (PE25-29)]]-_tPE26_29_Consolidada[[#This Row], [Orçado 2026 (PE26-30)]]</f>
      </c>
      <c r="BS67" s="117">
        <f>IFERROR(VLOOKUP(_tPE26_29_Consolidada[[#This Row], [ID Financeiro]],'[4]PE 25-29'!$B:$AT,45,FALSE),0)</f>
      </c>
      <c r="BT67" s="117">
        <f>_tPE26_29_Consolidada[[#This Row], [2026-2030]]*1000</f>
      </c>
      <c r="BU67" s="117">
        <f>-_tPE26_29_Consolidada[[#This Row], [Orçado 26/30 (PE25-29)]]+_tPE26_29_Consolidada[[#This Row], [Orçado 26/30 (PE26-30)]]</f>
      </c>
      <c r="BV67" s="119">
        <f>IFERROR(_tPE26_29_Consolidada[[#This Row], [Dif2]]/_tPE26_29_Consolidada[[#This Row], [Orçado 26/30 (PE25-29)]],0)</f>
      </c>
      <c r="BW67" s="1"/>
      <c r="BX67" s="1"/>
      <c r="BY67" s="1"/>
      <c r="BZ67" s="1"/>
      <c r="CA67" s="1"/>
      <c r="CB67" s="1"/>
      <c r="CC67" s="1"/>
      <c r="CD67" s="1"/>
      <c r="CE67" s="1"/>
      <c r="CF67" s="1"/>
      <c r="CG67" s="1"/>
      <c r="CH67" s="1"/>
      <c r="CI67" s="1"/>
      <c r="CJ67" s="1"/>
      <c r="CK67" s="1"/>
      <c r="CL67" s="1"/>
      <c r="CM67" s="1"/>
      <c r="CN67" s="1"/>
      <c r="CO67" s="1"/>
      <c r="CP67" s="1"/>
      <c r="CQ67" s="111"/>
      <c r="CR67" s="111"/>
      <c r="CS67" s="111"/>
      <c r="CT67" s="111"/>
      <c r="CU67" s="111"/>
      <c r="CV67" s="111"/>
      <c r="CW67" s="111"/>
      <c r="CX67" s="111"/>
      <c r="CY67" s="111"/>
      <c r="CZ67" s="111"/>
      <c r="DA67" s="111"/>
      <c r="DB67" s="111"/>
      <c r="DC67" s="111"/>
      <c r="DD67" s="111"/>
      <c r="DE67" s="111"/>
      <c r="DF67" s="111"/>
      <c r="DG67" s="111"/>
      <c r="DH67" s="111"/>
      <c r="DI67" s="111"/>
      <c r="DJ67" s="111"/>
      <c r="DK67" s="111"/>
      <c r="DL67" s="111"/>
      <c r="DM67" s="111"/>
      <c r="DN67" s="111"/>
      <c r="DO67" s="111"/>
      <c r="DP67" s="111"/>
      <c r="DQ67" s="111"/>
      <c r="DR67" s="111"/>
      <c r="DS67" s="111"/>
      <c r="DT67" s="111"/>
      <c r="DU67" s="111"/>
      <c r="DV67" s="111"/>
      <c r="DW67" s="111"/>
      <c r="DX67" s="111"/>
      <c r="DY67" s="111"/>
      <c r="DZ67" s="111"/>
      <c r="EA67" s="111"/>
      <c r="EB67" s="111"/>
      <c r="EC67" s="111"/>
      <c r="ED67" s="111"/>
      <c r="EE67" s="111"/>
      <c r="EF67" s="111"/>
      <c r="EG67" s="111"/>
      <c r="EH67" s="111"/>
      <c r="EI67" s="111"/>
      <c r="EJ67" s="111"/>
      <c r="EK67" s="111"/>
      <c r="EL67" s="111"/>
      <c r="EM67" s="111"/>
      <c r="EN67" s="111"/>
      <c r="EO67" s="111"/>
      <c r="EP67" s="111"/>
      <c r="EQ67" s="111"/>
      <c r="ER67" s="111"/>
      <c r="ES67" s="111"/>
      <c r="ET67" s="111"/>
      <c r="EU67" s="111"/>
      <c r="EV67" s="111"/>
      <c r="EW67" s="111"/>
      <c r="EX67" s="111"/>
      <c r="EY67" s="111"/>
      <c r="EZ67" s="111"/>
      <c r="FA67" s="2"/>
      <c r="FB67" s="2"/>
      <c r="FC67" s="2"/>
      <c r="FD67" s="2"/>
      <c r="FE67" s="2"/>
      <c r="FF67" s="2"/>
    </row>
    <row x14ac:dyDescent="0.25" r="68" customHeight="1" ht="18.75">
      <c r="A68" s="3"/>
      <c r="B68" s="118" t="s">
        <v>39052</v>
      </c>
      <c r="C68" s="3" t="s">
        <v>39053</v>
      </c>
      <c r="D68" s="3" t="s">
        <v>8</v>
      </c>
      <c r="E68" s="3" t="s">
        <v>38983</v>
      </c>
      <c r="F68" s="3"/>
      <c r="G68" s="3" t="s">
        <v>39281</v>
      </c>
      <c r="H68" s="3" t="s">
        <v>10</v>
      </c>
      <c r="I68" s="3" t="s">
        <v>86</v>
      </c>
      <c r="J68" s="3" t="s">
        <v>5</v>
      </c>
      <c r="K68" s="113" t="s">
        <v>16</v>
      </c>
      <c r="L68" s="3" t="s">
        <v>67</v>
      </c>
      <c r="M68" s="3" t="s">
        <v>39055</v>
      </c>
      <c r="N68" s="3"/>
      <c r="O68" s="3"/>
      <c r="P68" s="3"/>
      <c r="Q68" s="3" t="s">
        <v>39282</v>
      </c>
      <c r="R68" s="3" t="s">
        <v>39057</v>
      </c>
      <c r="S68" s="3" t="s">
        <v>39058</v>
      </c>
      <c r="T68" s="114">
        <v>5000</v>
      </c>
      <c r="U68" s="114">
        <v>5000</v>
      </c>
      <c r="V68" s="114">
        <v>5000</v>
      </c>
      <c r="W68" s="114">
        <v>5000</v>
      </c>
      <c r="X68" s="114">
        <v>5000</v>
      </c>
      <c r="Y68" s="114">
        <v>5000</v>
      </c>
      <c r="Z68" s="114">
        <v>5000</v>
      </c>
      <c r="AA68" s="114">
        <v>5000</v>
      </c>
      <c r="AB68" s="114">
        <v>5000</v>
      </c>
      <c r="AC68" s="114">
        <v>5000</v>
      </c>
      <c r="AD68" s="114">
        <v>0</v>
      </c>
      <c r="AE68" s="114">
        <v>0</v>
      </c>
      <c r="AF68" s="114">
        <v>50000</v>
      </c>
      <c r="AG68" s="114">
        <v>2000000</v>
      </c>
      <c r="AH68" s="114">
        <v>1950000</v>
      </c>
      <c r="AI68" s="114">
        <v>0</v>
      </c>
      <c r="AJ68" s="114">
        <v>0</v>
      </c>
      <c r="AK68" s="114">
        <v>4000000</v>
      </c>
      <c r="AL68" s="114">
        <v>0</v>
      </c>
      <c r="AM68" s="114">
        <v>0</v>
      </c>
      <c r="AN68" s="114">
        <v>0</v>
      </c>
      <c r="AO68" s="114">
        <v>0</v>
      </c>
      <c r="AP68" s="114">
        <v>0</v>
      </c>
      <c r="AQ68" s="114">
        <v>4000000</v>
      </c>
      <c r="AR68" s="22">
        <v>206</v>
      </c>
      <c r="AS68" s="3" t="s">
        <v>39059</v>
      </c>
      <c r="AT68" s="115">
        <v>2025</v>
      </c>
      <c r="AU68" s="22">
        <f>_xlfn.XLOOKUP(_tPE26_29_Consolidada[[#This Row], [ID Financeiro]],[5]Projetos!$K:$K,[5]Projetos!$A:$A,0,0)</f>
      </c>
      <c r="AV68" s="3" t="s">
        <v>39283</v>
      </c>
      <c r="AW68" s="3" t="s">
        <v>39194</v>
      </c>
      <c r="AX68" s="8" t="s">
        <v>39282</v>
      </c>
      <c r="AY68" s="8"/>
      <c r="AZ68" s="3" t="s">
        <v>39284</v>
      </c>
      <c r="BA68" s="3"/>
      <c r="BB68" s="3"/>
      <c r="BC68" s="3"/>
      <c r="BD68" s="3"/>
      <c r="BE68" s="3"/>
      <c r="BF68" s="3"/>
      <c r="BG68" s="3"/>
      <c r="BH68" s="3"/>
      <c r="BI68" s="3"/>
      <c r="BJ68" s="3"/>
      <c r="BK68" s="3"/>
      <c r="BL68" s="3"/>
      <c r="BM68" s="3"/>
      <c r="BN68" s="3"/>
      <c r="BO68" s="3"/>
      <c r="BP68" s="116">
        <f>IFERROR(VLOOKUP(_tPE26_29_Consolidada[[#This Row], [ID Financeiro]],'[4]PE 25-29'!$B:$AF,31,FALSE),0)</f>
      </c>
      <c r="BQ68" s="116">
        <f>_tPE26_29_Consolidada[[#This Row], [2026]]*1000</f>
      </c>
      <c r="BR68" s="117">
        <f>_tPE26_29_Consolidada[[#This Row], [Orçado 2026 (PE25-29)]]-_tPE26_29_Consolidada[[#This Row], [Orçado 2026 (PE26-30)]]</f>
      </c>
      <c r="BS68" s="117">
        <f>IFERROR(VLOOKUP(_tPE26_29_Consolidada[[#This Row], [ID Financeiro]],'[4]PE 25-29'!$B:$AT,45,FALSE),0)</f>
      </c>
      <c r="BT68" s="117">
        <f>_tPE26_29_Consolidada[[#This Row], [2026-2030]]*1000</f>
      </c>
      <c r="BU68" s="117">
        <f>-_tPE26_29_Consolidada[[#This Row], [Orçado 26/30 (PE25-29)]]+_tPE26_29_Consolidada[[#This Row], [Orçado 26/30 (PE26-30)]]</f>
      </c>
      <c r="BV68" s="119">
        <f>IFERROR(_tPE26_29_Consolidada[[#This Row], [Dif2]]/_tPE26_29_Consolidada[[#This Row], [Orçado 26/30 (PE25-29)]],0)</f>
      </c>
      <c r="BW68" s="1"/>
      <c r="BX68" s="1"/>
      <c r="BY68" s="1"/>
      <c r="BZ68" s="1"/>
      <c r="CA68" s="1"/>
      <c r="CB68" s="1"/>
      <c r="CC68" s="1"/>
      <c r="CD68" s="1"/>
      <c r="CE68" s="1"/>
      <c r="CF68" s="1"/>
      <c r="CG68" s="1"/>
      <c r="CH68" s="1"/>
      <c r="CI68" s="1"/>
      <c r="CJ68" s="1"/>
      <c r="CK68" s="1"/>
      <c r="CL68" s="1"/>
      <c r="CM68" s="1"/>
      <c r="CN68" s="1"/>
      <c r="CO68" s="1"/>
      <c r="CP68" s="1"/>
      <c r="CQ68" s="111"/>
      <c r="CR68" s="111"/>
      <c r="CS68" s="111"/>
      <c r="CT68" s="111"/>
      <c r="CU68" s="111"/>
      <c r="CV68" s="111"/>
      <c r="CW68" s="111"/>
      <c r="CX68" s="111"/>
      <c r="CY68" s="111"/>
      <c r="CZ68" s="111"/>
      <c r="DA68" s="111"/>
      <c r="DB68" s="111"/>
      <c r="DC68" s="111"/>
      <c r="DD68" s="111"/>
      <c r="DE68" s="111"/>
      <c r="DF68" s="111"/>
      <c r="DG68" s="111"/>
      <c r="DH68" s="111"/>
      <c r="DI68" s="111"/>
      <c r="DJ68" s="111"/>
      <c r="DK68" s="111"/>
      <c r="DL68" s="111"/>
      <c r="DM68" s="111"/>
      <c r="DN68" s="111"/>
      <c r="DO68" s="111"/>
      <c r="DP68" s="111"/>
      <c r="DQ68" s="111"/>
      <c r="DR68" s="111"/>
      <c r="DS68" s="111"/>
      <c r="DT68" s="111"/>
      <c r="DU68" s="111"/>
      <c r="DV68" s="111"/>
      <c r="DW68" s="111"/>
      <c r="DX68" s="111"/>
      <c r="DY68" s="111"/>
      <c r="DZ68" s="111"/>
      <c r="EA68" s="111"/>
      <c r="EB68" s="111"/>
      <c r="EC68" s="111"/>
      <c r="ED68" s="111"/>
      <c r="EE68" s="111"/>
      <c r="EF68" s="111"/>
      <c r="EG68" s="111"/>
      <c r="EH68" s="111"/>
      <c r="EI68" s="111"/>
      <c r="EJ68" s="111"/>
      <c r="EK68" s="111"/>
      <c r="EL68" s="111"/>
      <c r="EM68" s="111"/>
      <c r="EN68" s="111"/>
      <c r="EO68" s="111"/>
      <c r="EP68" s="111"/>
      <c r="EQ68" s="111"/>
      <c r="ER68" s="111"/>
      <c r="ES68" s="111"/>
      <c r="ET68" s="111"/>
      <c r="EU68" s="111"/>
      <c r="EV68" s="111"/>
      <c r="EW68" s="111"/>
      <c r="EX68" s="111"/>
      <c r="EY68" s="111"/>
      <c r="EZ68" s="111"/>
      <c r="FA68" s="2"/>
      <c r="FB68" s="2"/>
      <c r="FC68" s="2"/>
      <c r="FD68" s="2"/>
      <c r="FE68" s="2"/>
      <c r="FF68" s="2"/>
    </row>
    <row x14ac:dyDescent="0.25" r="69" customHeight="1" ht="18.75">
      <c r="A69" s="3"/>
      <c r="B69" s="118" t="s">
        <v>39052</v>
      </c>
      <c r="C69" s="3" t="s">
        <v>39053</v>
      </c>
      <c r="D69" s="3" t="s">
        <v>8</v>
      </c>
      <c r="E69" s="3" t="s">
        <v>38983</v>
      </c>
      <c r="F69" s="3"/>
      <c r="G69" s="3" t="s">
        <v>39285</v>
      </c>
      <c r="H69" s="3" t="s">
        <v>10</v>
      </c>
      <c r="I69" s="3" t="s">
        <v>86</v>
      </c>
      <c r="J69" s="3" t="s">
        <v>5</v>
      </c>
      <c r="K69" s="113" t="s">
        <v>16</v>
      </c>
      <c r="L69" s="3" t="s">
        <v>67</v>
      </c>
      <c r="M69" s="3" t="s">
        <v>39055</v>
      </c>
      <c r="N69" s="3"/>
      <c r="O69" s="3"/>
      <c r="P69" s="3"/>
      <c r="Q69" s="3" t="s">
        <v>39286</v>
      </c>
      <c r="R69" s="3" t="s">
        <v>39057</v>
      </c>
      <c r="S69" s="3" t="s">
        <v>39128</v>
      </c>
      <c r="T69" s="114">
        <v>1000</v>
      </c>
      <c r="U69" s="114">
        <v>1000</v>
      </c>
      <c r="V69" s="114">
        <v>1000</v>
      </c>
      <c r="W69" s="114">
        <v>1000</v>
      </c>
      <c r="X69" s="114">
        <v>1000</v>
      </c>
      <c r="Y69" s="114">
        <v>1000</v>
      </c>
      <c r="Z69" s="114">
        <v>1000</v>
      </c>
      <c r="AA69" s="114">
        <v>1000</v>
      </c>
      <c r="AB69" s="114">
        <v>1000</v>
      </c>
      <c r="AC69" s="114">
        <v>1000</v>
      </c>
      <c r="AD69" s="114">
        <v>100000</v>
      </c>
      <c r="AE69" s="114">
        <v>15000</v>
      </c>
      <c r="AF69" s="114">
        <v>125000</v>
      </c>
      <c r="AG69" s="114">
        <v>120000</v>
      </c>
      <c r="AH69" s="114">
        <v>0</v>
      </c>
      <c r="AI69" s="114">
        <v>0</v>
      </c>
      <c r="AJ69" s="114">
        <v>0</v>
      </c>
      <c r="AK69" s="114">
        <v>245000</v>
      </c>
      <c r="AL69" s="114">
        <v>0</v>
      </c>
      <c r="AM69" s="114">
        <v>0</v>
      </c>
      <c r="AN69" s="114">
        <v>0</v>
      </c>
      <c r="AO69" s="114">
        <v>0</v>
      </c>
      <c r="AP69" s="114">
        <v>0</v>
      </c>
      <c r="AQ69" s="114">
        <v>245000</v>
      </c>
      <c r="AR69" s="22">
        <v>207</v>
      </c>
      <c r="AS69" s="3" t="s">
        <v>39059</v>
      </c>
      <c r="AT69" s="115">
        <v>2025</v>
      </c>
      <c r="AU69" s="22">
        <f>_xlfn.XLOOKUP(_tPE26_29_Consolidada[[#This Row], [ID Financeiro]],[5]Projetos!$K:$K,[5]Projetos!$A:$A,0,0)</f>
      </c>
      <c r="AV69" s="3" t="s">
        <v>39287</v>
      </c>
      <c r="AW69" s="3" t="s">
        <v>39194</v>
      </c>
      <c r="AX69" s="8" t="s">
        <v>39286</v>
      </c>
      <c r="AY69" s="8"/>
      <c r="AZ69" s="3" t="s">
        <v>39130</v>
      </c>
      <c r="BA69" s="3"/>
      <c r="BB69" s="3"/>
      <c r="BC69" s="3"/>
      <c r="BD69" s="3"/>
      <c r="BE69" s="3"/>
      <c r="BF69" s="3"/>
      <c r="BG69" s="3"/>
      <c r="BH69" s="3"/>
      <c r="BI69" s="3"/>
      <c r="BJ69" s="3"/>
      <c r="BK69" s="3"/>
      <c r="BL69" s="3"/>
      <c r="BM69" s="3"/>
      <c r="BN69" s="3"/>
      <c r="BO69" s="3"/>
      <c r="BP69" s="116">
        <f>IFERROR(VLOOKUP(_tPE26_29_Consolidada[[#This Row], [ID Financeiro]],'[4]PE 25-29'!$B:$AF,31,FALSE),0)</f>
      </c>
      <c r="BQ69" s="116">
        <f>_tPE26_29_Consolidada[[#This Row], [2026]]*1000</f>
      </c>
      <c r="BR69" s="117">
        <f>_tPE26_29_Consolidada[[#This Row], [Orçado 2026 (PE25-29)]]-_tPE26_29_Consolidada[[#This Row], [Orçado 2026 (PE26-30)]]</f>
      </c>
      <c r="BS69" s="117">
        <f>IFERROR(VLOOKUP(_tPE26_29_Consolidada[[#This Row], [ID Financeiro]],'[4]PE 25-29'!$B:$AT,45,FALSE),0)</f>
      </c>
      <c r="BT69" s="117">
        <f>_tPE26_29_Consolidada[[#This Row], [2026-2030]]*1000</f>
      </c>
      <c r="BU69" s="117">
        <f>-_tPE26_29_Consolidada[[#This Row], [Orçado 26/30 (PE25-29)]]+_tPE26_29_Consolidada[[#This Row], [Orçado 26/30 (PE26-30)]]</f>
      </c>
      <c r="BV69" s="119">
        <f>IFERROR(_tPE26_29_Consolidada[[#This Row], [Dif2]]/_tPE26_29_Consolidada[[#This Row], [Orçado 26/30 (PE25-29)]],0)</f>
      </c>
      <c r="BW69" s="1"/>
      <c r="BX69" s="1"/>
      <c r="BY69" s="1"/>
      <c r="BZ69" s="1"/>
      <c r="CA69" s="1"/>
      <c r="CB69" s="1"/>
      <c r="CC69" s="1"/>
      <c r="CD69" s="1"/>
      <c r="CE69" s="1"/>
      <c r="CF69" s="1"/>
      <c r="CG69" s="1"/>
      <c r="CH69" s="1"/>
      <c r="CI69" s="1"/>
      <c r="CJ69" s="1"/>
      <c r="CK69" s="1"/>
      <c r="CL69" s="1"/>
      <c r="CM69" s="1"/>
      <c r="CN69" s="1"/>
      <c r="CO69" s="1"/>
      <c r="CP69" s="1"/>
      <c r="CQ69" s="111"/>
      <c r="CR69" s="111"/>
      <c r="CS69" s="111"/>
      <c r="CT69" s="111"/>
      <c r="CU69" s="111"/>
      <c r="CV69" s="111"/>
      <c r="CW69" s="111"/>
      <c r="CX69" s="111"/>
      <c r="CY69" s="111"/>
      <c r="CZ69" s="111"/>
      <c r="DA69" s="111"/>
      <c r="DB69" s="111"/>
      <c r="DC69" s="111"/>
      <c r="DD69" s="111"/>
      <c r="DE69" s="111"/>
      <c r="DF69" s="111"/>
      <c r="DG69" s="111"/>
      <c r="DH69" s="111"/>
      <c r="DI69" s="111"/>
      <c r="DJ69" s="111"/>
      <c r="DK69" s="111"/>
      <c r="DL69" s="111"/>
      <c r="DM69" s="111"/>
      <c r="DN69" s="111"/>
      <c r="DO69" s="111"/>
      <c r="DP69" s="111"/>
      <c r="DQ69" s="111"/>
      <c r="DR69" s="111"/>
      <c r="DS69" s="111"/>
      <c r="DT69" s="111"/>
      <c r="DU69" s="111"/>
      <c r="DV69" s="111"/>
      <c r="DW69" s="111"/>
      <c r="DX69" s="111"/>
      <c r="DY69" s="111"/>
      <c r="DZ69" s="111"/>
      <c r="EA69" s="111"/>
      <c r="EB69" s="111"/>
      <c r="EC69" s="111"/>
      <c r="ED69" s="111"/>
      <c r="EE69" s="111"/>
      <c r="EF69" s="111"/>
      <c r="EG69" s="111"/>
      <c r="EH69" s="111"/>
      <c r="EI69" s="111"/>
      <c r="EJ69" s="111"/>
      <c r="EK69" s="111"/>
      <c r="EL69" s="111"/>
      <c r="EM69" s="111"/>
      <c r="EN69" s="111"/>
      <c r="EO69" s="111"/>
      <c r="EP69" s="111"/>
      <c r="EQ69" s="111"/>
      <c r="ER69" s="111"/>
      <c r="ES69" s="111"/>
      <c r="ET69" s="111"/>
      <c r="EU69" s="111"/>
      <c r="EV69" s="111"/>
      <c r="EW69" s="111"/>
      <c r="EX69" s="111"/>
      <c r="EY69" s="111"/>
      <c r="EZ69" s="111"/>
      <c r="FA69" s="2"/>
      <c r="FB69" s="2"/>
      <c r="FC69" s="2"/>
      <c r="FD69" s="2"/>
      <c r="FE69" s="2"/>
      <c r="FF69" s="2"/>
    </row>
    <row x14ac:dyDescent="0.25" r="70" customHeight="1" ht="18.75">
      <c r="A70" s="3"/>
      <c r="B70" s="118" t="s">
        <v>39052</v>
      </c>
      <c r="C70" s="3" t="s">
        <v>39053</v>
      </c>
      <c r="D70" s="3" t="s">
        <v>8</v>
      </c>
      <c r="E70" s="3" t="s">
        <v>38983</v>
      </c>
      <c r="F70" s="3"/>
      <c r="G70" s="3" t="s">
        <v>39288</v>
      </c>
      <c r="H70" s="3" t="s">
        <v>10</v>
      </c>
      <c r="I70" s="3" t="s">
        <v>86</v>
      </c>
      <c r="J70" s="3" t="s">
        <v>5</v>
      </c>
      <c r="K70" s="113" t="s">
        <v>16</v>
      </c>
      <c r="L70" s="3" t="s">
        <v>67</v>
      </c>
      <c r="M70" s="3" t="s">
        <v>39055</v>
      </c>
      <c r="N70" s="3"/>
      <c r="O70" s="3"/>
      <c r="P70" s="3"/>
      <c r="Q70" s="3" t="s">
        <v>39289</v>
      </c>
      <c r="R70" s="3" t="s">
        <v>39057</v>
      </c>
      <c r="S70" s="3" t="s">
        <v>39098</v>
      </c>
      <c r="T70" s="114">
        <v>0</v>
      </c>
      <c r="U70" s="114">
        <v>0</v>
      </c>
      <c r="V70" s="114">
        <v>0</v>
      </c>
      <c r="W70" s="114">
        <v>0</v>
      </c>
      <c r="X70" s="114">
        <v>0</v>
      </c>
      <c r="Y70" s="114">
        <v>0</v>
      </c>
      <c r="Z70" s="114">
        <v>0</v>
      </c>
      <c r="AA70" s="114">
        <v>0</v>
      </c>
      <c r="AB70" s="114">
        <v>175000</v>
      </c>
      <c r="AC70" s="114">
        <v>0</v>
      </c>
      <c r="AD70" s="114">
        <v>0</v>
      </c>
      <c r="AE70" s="114">
        <v>175000</v>
      </c>
      <c r="AF70" s="114">
        <v>350000</v>
      </c>
      <c r="AG70" s="114">
        <v>0</v>
      </c>
      <c r="AH70" s="114">
        <v>0</v>
      </c>
      <c r="AI70" s="114">
        <v>0</v>
      </c>
      <c r="AJ70" s="114">
        <v>0</v>
      </c>
      <c r="AK70" s="114">
        <v>350000</v>
      </c>
      <c r="AL70" s="114">
        <v>0</v>
      </c>
      <c r="AM70" s="114">
        <v>0</v>
      </c>
      <c r="AN70" s="114">
        <v>0</v>
      </c>
      <c r="AO70" s="114">
        <v>0</v>
      </c>
      <c r="AP70" s="114">
        <v>0</v>
      </c>
      <c r="AQ70" s="114">
        <v>350000</v>
      </c>
      <c r="AR70" s="22">
        <v>208</v>
      </c>
      <c r="AS70" s="3" t="s">
        <v>39059</v>
      </c>
      <c r="AT70" s="115">
        <v>2025</v>
      </c>
      <c r="AU70" s="22">
        <f>_xlfn.XLOOKUP(_tPE26_29_Consolidada[[#This Row], [ID Financeiro]],[5]Projetos!$K:$K,[5]Projetos!$A:$A,0,0)</f>
      </c>
      <c r="AV70" s="3" t="s">
        <v>39290</v>
      </c>
      <c r="AW70" s="3" t="s">
        <v>39194</v>
      </c>
      <c r="AX70" s="8" t="s">
        <v>39289</v>
      </c>
      <c r="AY70" s="8"/>
      <c r="AZ70" s="3" t="s">
        <v>39187</v>
      </c>
      <c r="BA70" s="3"/>
      <c r="BB70" s="3"/>
      <c r="BC70" s="3"/>
      <c r="BD70" s="3"/>
      <c r="BE70" s="3"/>
      <c r="BF70" s="3"/>
      <c r="BG70" s="3"/>
      <c r="BH70" s="3"/>
      <c r="BI70" s="3"/>
      <c r="BJ70" s="3"/>
      <c r="BK70" s="3"/>
      <c r="BL70" s="3"/>
      <c r="BM70" s="3"/>
      <c r="BN70" s="3"/>
      <c r="BO70" s="3"/>
      <c r="BP70" s="116">
        <f>IFERROR(VLOOKUP(_tPE26_29_Consolidada[[#This Row], [ID Financeiro]],'[4]PE 25-29'!$B:$AF,31,FALSE),0)</f>
      </c>
      <c r="BQ70" s="116">
        <f>_tPE26_29_Consolidada[[#This Row], [2026]]*1000</f>
      </c>
      <c r="BR70" s="117">
        <f>_tPE26_29_Consolidada[[#This Row], [Orçado 2026 (PE25-29)]]-_tPE26_29_Consolidada[[#This Row], [Orçado 2026 (PE26-30)]]</f>
      </c>
      <c r="BS70" s="117">
        <f>IFERROR(VLOOKUP(_tPE26_29_Consolidada[[#This Row], [ID Financeiro]],'[4]PE 25-29'!$B:$AT,45,FALSE),0)</f>
      </c>
      <c r="BT70" s="117">
        <f>_tPE26_29_Consolidada[[#This Row], [2026-2030]]*1000</f>
      </c>
      <c r="BU70" s="117">
        <f>-_tPE26_29_Consolidada[[#This Row], [Orçado 26/30 (PE25-29)]]+_tPE26_29_Consolidada[[#This Row], [Orçado 26/30 (PE26-30)]]</f>
      </c>
      <c r="BV70" s="119">
        <f>IFERROR(_tPE26_29_Consolidada[[#This Row], [Dif2]]/_tPE26_29_Consolidada[[#This Row], [Orçado 26/30 (PE25-29)]],0)</f>
      </c>
      <c r="BW70" s="1"/>
      <c r="BX70" s="1"/>
      <c r="BY70" s="1"/>
      <c r="BZ70" s="1"/>
      <c r="CA70" s="1"/>
      <c r="CB70" s="1"/>
      <c r="CC70" s="1"/>
      <c r="CD70" s="1"/>
      <c r="CE70" s="1"/>
      <c r="CF70" s="1"/>
      <c r="CG70" s="1"/>
      <c r="CH70" s="1"/>
      <c r="CI70" s="1"/>
      <c r="CJ70" s="1"/>
      <c r="CK70" s="1"/>
      <c r="CL70" s="1"/>
      <c r="CM70" s="1"/>
      <c r="CN70" s="1"/>
      <c r="CO70" s="1"/>
      <c r="CP70" s="1"/>
      <c r="CQ70" s="111"/>
      <c r="CR70" s="111"/>
      <c r="CS70" s="111"/>
      <c r="CT70" s="111"/>
      <c r="CU70" s="111"/>
      <c r="CV70" s="111"/>
      <c r="CW70" s="111"/>
      <c r="CX70" s="111"/>
      <c r="CY70" s="111"/>
      <c r="CZ70" s="111"/>
      <c r="DA70" s="111"/>
      <c r="DB70" s="111"/>
      <c r="DC70" s="111"/>
      <c r="DD70" s="111"/>
      <c r="DE70" s="111"/>
      <c r="DF70" s="111"/>
      <c r="DG70" s="111"/>
      <c r="DH70" s="111"/>
      <c r="DI70" s="111"/>
      <c r="DJ70" s="111"/>
      <c r="DK70" s="111"/>
      <c r="DL70" s="111"/>
      <c r="DM70" s="111"/>
      <c r="DN70" s="111"/>
      <c r="DO70" s="111"/>
      <c r="DP70" s="111"/>
      <c r="DQ70" s="111"/>
      <c r="DR70" s="111"/>
      <c r="DS70" s="111"/>
      <c r="DT70" s="111"/>
      <c r="DU70" s="111"/>
      <c r="DV70" s="111"/>
      <c r="DW70" s="111"/>
      <c r="DX70" s="111"/>
      <c r="DY70" s="111"/>
      <c r="DZ70" s="111"/>
      <c r="EA70" s="111"/>
      <c r="EB70" s="111"/>
      <c r="EC70" s="111"/>
      <c r="ED70" s="111"/>
      <c r="EE70" s="111"/>
      <c r="EF70" s="111"/>
      <c r="EG70" s="111"/>
      <c r="EH70" s="111"/>
      <c r="EI70" s="111"/>
      <c r="EJ70" s="111"/>
      <c r="EK70" s="111"/>
      <c r="EL70" s="111"/>
      <c r="EM70" s="111"/>
      <c r="EN70" s="111"/>
      <c r="EO70" s="111"/>
      <c r="EP70" s="111"/>
      <c r="EQ70" s="111"/>
      <c r="ER70" s="111"/>
      <c r="ES70" s="111"/>
      <c r="ET70" s="111"/>
      <c r="EU70" s="111"/>
      <c r="EV70" s="111"/>
      <c r="EW70" s="111"/>
      <c r="EX70" s="111"/>
      <c r="EY70" s="111"/>
      <c r="EZ70" s="111"/>
      <c r="FA70" s="2"/>
      <c r="FB70" s="2"/>
      <c r="FC70" s="2"/>
      <c r="FD70" s="2"/>
      <c r="FE70" s="2"/>
      <c r="FF70" s="2"/>
    </row>
    <row x14ac:dyDescent="0.25" r="71" customHeight="1" ht="18.75">
      <c r="A71" s="3"/>
      <c r="B71" s="118" t="s">
        <v>39052</v>
      </c>
      <c r="C71" s="3" t="s">
        <v>39053</v>
      </c>
      <c r="D71" s="3" t="s">
        <v>8</v>
      </c>
      <c r="E71" s="3" t="s">
        <v>38983</v>
      </c>
      <c r="F71" s="3"/>
      <c r="G71" s="3" t="s">
        <v>39291</v>
      </c>
      <c r="H71" s="3" t="s">
        <v>10</v>
      </c>
      <c r="I71" s="3" t="s">
        <v>86</v>
      </c>
      <c r="J71" s="3" t="s">
        <v>5</v>
      </c>
      <c r="K71" s="113" t="s">
        <v>16</v>
      </c>
      <c r="L71" s="3" t="s">
        <v>67</v>
      </c>
      <c r="M71" s="3" t="s">
        <v>39055</v>
      </c>
      <c r="N71" s="3"/>
      <c r="O71" s="3"/>
      <c r="P71" s="3"/>
      <c r="Q71" s="3" t="s">
        <v>39292</v>
      </c>
      <c r="R71" s="3" t="s">
        <v>39057</v>
      </c>
      <c r="S71" s="3" t="s">
        <v>39058</v>
      </c>
      <c r="T71" s="114">
        <v>0</v>
      </c>
      <c r="U71" s="114">
        <v>0</v>
      </c>
      <c r="V71" s="114">
        <v>1000000</v>
      </c>
      <c r="W71" s="114">
        <v>0</v>
      </c>
      <c r="X71" s="114">
        <v>0</v>
      </c>
      <c r="Y71" s="114">
        <v>0</v>
      </c>
      <c r="Z71" s="114">
        <v>0</v>
      </c>
      <c r="AA71" s="114">
        <v>800000</v>
      </c>
      <c r="AB71" s="114">
        <v>0</v>
      </c>
      <c r="AC71" s="114">
        <v>700000</v>
      </c>
      <c r="AD71" s="114">
        <v>0</v>
      </c>
      <c r="AE71" s="114">
        <v>100000</v>
      </c>
      <c r="AF71" s="114">
        <v>2600000</v>
      </c>
      <c r="AG71" s="114">
        <v>0</v>
      </c>
      <c r="AH71" s="114">
        <v>0</v>
      </c>
      <c r="AI71" s="114">
        <v>0</v>
      </c>
      <c r="AJ71" s="114">
        <v>0</v>
      </c>
      <c r="AK71" s="114">
        <v>2600000</v>
      </c>
      <c r="AL71" s="114">
        <v>0</v>
      </c>
      <c r="AM71" s="114">
        <v>0</v>
      </c>
      <c r="AN71" s="114">
        <v>0</v>
      </c>
      <c r="AO71" s="114">
        <v>0</v>
      </c>
      <c r="AP71" s="114">
        <v>0</v>
      </c>
      <c r="AQ71" s="114">
        <v>2600000</v>
      </c>
      <c r="AR71" s="22">
        <v>209</v>
      </c>
      <c r="AS71" s="3" t="s">
        <v>39059</v>
      </c>
      <c r="AT71" s="115">
        <v>2025</v>
      </c>
      <c r="AU71" s="22">
        <f>_xlfn.XLOOKUP(_tPE26_29_Consolidada[[#This Row], [ID Financeiro]],[5]Projetos!$K:$K,[5]Projetos!$A:$A,0,0)</f>
      </c>
      <c r="AV71" s="3" t="s">
        <v>39293</v>
      </c>
      <c r="AW71" s="3" t="s">
        <v>39116</v>
      </c>
      <c r="AX71" s="8" t="s">
        <v>39292</v>
      </c>
      <c r="AY71" s="8"/>
      <c r="AZ71" s="3" t="s">
        <v>39064</v>
      </c>
      <c r="BA71" s="3"/>
      <c r="BB71" s="3"/>
      <c r="BC71" s="3"/>
      <c r="BD71" s="3"/>
      <c r="BE71" s="3"/>
      <c r="BF71" s="3"/>
      <c r="BG71" s="3"/>
      <c r="BH71" s="3"/>
      <c r="BI71" s="3"/>
      <c r="BJ71" s="3"/>
      <c r="BK71" s="3"/>
      <c r="BL71" s="3"/>
      <c r="BM71" s="3"/>
      <c r="BN71" s="3"/>
      <c r="BO71" s="3"/>
      <c r="BP71" s="116">
        <f>IFERROR(VLOOKUP(_tPE26_29_Consolidada[[#This Row], [ID Financeiro]],'[4]PE 25-29'!$B:$AF,31,FALSE),0)</f>
      </c>
      <c r="BQ71" s="116">
        <f>_tPE26_29_Consolidada[[#This Row], [2026]]*1000</f>
      </c>
      <c r="BR71" s="117">
        <f>_tPE26_29_Consolidada[[#This Row], [Orçado 2026 (PE25-29)]]-_tPE26_29_Consolidada[[#This Row], [Orçado 2026 (PE26-30)]]</f>
      </c>
      <c r="BS71" s="117">
        <f>IFERROR(VLOOKUP(_tPE26_29_Consolidada[[#This Row], [ID Financeiro]],'[4]PE 25-29'!$B:$AT,45,FALSE),0)</f>
      </c>
      <c r="BT71" s="117">
        <f>_tPE26_29_Consolidada[[#This Row], [2026-2030]]*1000</f>
      </c>
      <c r="BU71" s="117">
        <f>-_tPE26_29_Consolidada[[#This Row], [Orçado 26/30 (PE25-29)]]+_tPE26_29_Consolidada[[#This Row], [Orçado 26/30 (PE26-30)]]</f>
      </c>
      <c r="BV71" s="119">
        <f>IFERROR(_tPE26_29_Consolidada[[#This Row], [Dif2]]/_tPE26_29_Consolidada[[#This Row], [Orçado 26/30 (PE25-29)]],0)</f>
      </c>
      <c r="BW71" s="1"/>
      <c r="BX71" s="1"/>
      <c r="BY71" s="1"/>
      <c r="BZ71" s="1"/>
      <c r="CA71" s="1"/>
      <c r="CB71" s="1"/>
      <c r="CC71" s="1"/>
      <c r="CD71" s="1"/>
      <c r="CE71" s="1"/>
      <c r="CF71" s="1"/>
      <c r="CG71" s="1"/>
      <c r="CH71" s="1"/>
      <c r="CI71" s="1"/>
      <c r="CJ71" s="1"/>
      <c r="CK71" s="1"/>
      <c r="CL71" s="1"/>
      <c r="CM71" s="1"/>
      <c r="CN71" s="1"/>
      <c r="CO71" s="1"/>
      <c r="CP71" s="1"/>
      <c r="CQ71" s="111"/>
      <c r="CR71" s="111"/>
      <c r="CS71" s="111"/>
      <c r="CT71" s="111"/>
      <c r="CU71" s="111"/>
      <c r="CV71" s="111"/>
      <c r="CW71" s="111"/>
      <c r="CX71" s="111"/>
      <c r="CY71" s="111"/>
      <c r="CZ71" s="111"/>
      <c r="DA71" s="111"/>
      <c r="DB71" s="111"/>
      <c r="DC71" s="111"/>
      <c r="DD71" s="111"/>
      <c r="DE71" s="111"/>
      <c r="DF71" s="111"/>
      <c r="DG71" s="111"/>
      <c r="DH71" s="111"/>
      <c r="DI71" s="111"/>
      <c r="DJ71" s="111"/>
      <c r="DK71" s="111"/>
      <c r="DL71" s="111"/>
      <c r="DM71" s="111"/>
      <c r="DN71" s="111"/>
      <c r="DO71" s="111"/>
      <c r="DP71" s="111"/>
      <c r="DQ71" s="111"/>
      <c r="DR71" s="111"/>
      <c r="DS71" s="111"/>
      <c r="DT71" s="111"/>
      <c r="DU71" s="111"/>
      <c r="DV71" s="111"/>
      <c r="DW71" s="111"/>
      <c r="DX71" s="111"/>
      <c r="DY71" s="111"/>
      <c r="DZ71" s="111"/>
      <c r="EA71" s="111"/>
      <c r="EB71" s="111"/>
      <c r="EC71" s="111"/>
      <c r="ED71" s="111"/>
      <c r="EE71" s="111"/>
      <c r="EF71" s="111"/>
      <c r="EG71" s="111"/>
      <c r="EH71" s="111"/>
      <c r="EI71" s="111"/>
      <c r="EJ71" s="111"/>
      <c r="EK71" s="111"/>
      <c r="EL71" s="111"/>
      <c r="EM71" s="111"/>
      <c r="EN71" s="111"/>
      <c r="EO71" s="111"/>
      <c r="EP71" s="111"/>
      <c r="EQ71" s="111"/>
      <c r="ER71" s="111"/>
      <c r="ES71" s="111"/>
      <c r="ET71" s="111"/>
      <c r="EU71" s="111"/>
      <c r="EV71" s="111"/>
      <c r="EW71" s="111"/>
      <c r="EX71" s="111"/>
      <c r="EY71" s="111"/>
      <c r="EZ71" s="111"/>
      <c r="FA71" s="2"/>
      <c r="FB71" s="2"/>
      <c r="FC71" s="2"/>
      <c r="FD71" s="2"/>
      <c r="FE71" s="2"/>
      <c r="FF71" s="2"/>
    </row>
    <row x14ac:dyDescent="0.25" r="72" customHeight="1" ht="18.75">
      <c r="A72" s="3"/>
      <c r="B72" s="118" t="s">
        <v>39052</v>
      </c>
      <c r="C72" s="3" t="s">
        <v>39053</v>
      </c>
      <c r="D72" s="3" t="s">
        <v>8</v>
      </c>
      <c r="E72" s="3" t="s">
        <v>38983</v>
      </c>
      <c r="F72" s="3"/>
      <c r="G72" s="3" t="s">
        <v>39294</v>
      </c>
      <c r="H72" s="3" t="s">
        <v>10</v>
      </c>
      <c r="I72" s="3" t="s">
        <v>86</v>
      </c>
      <c r="J72" s="3" t="s">
        <v>5</v>
      </c>
      <c r="K72" s="113" t="s">
        <v>16</v>
      </c>
      <c r="L72" s="3" t="s">
        <v>67</v>
      </c>
      <c r="M72" s="3" t="s">
        <v>39245</v>
      </c>
      <c r="N72" s="3"/>
      <c r="O72" s="3"/>
      <c r="P72" s="3"/>
      <c r="Q72" s="3" t="s">
        <v>39295</v>
      </c>
      <c r="R72" s="3" t="s">
        <v>39247</v>
      </c>
      <c r="S72" s="3" t="s">
        <v>39058</v>
      </c>
      <c r="T72" s="114">
        <v>0</v>
      </c>
      <c r="U72" s="114">
        <v>0</v>
      </c>
      <c r="V72" s="114">
        <v>0</v>
      </c>
      <c r="W72" s="114">
        <v>0</v>
      </c>
      <c r="X72" s="114">
        <v>0</v>
      </c>
      <c r="Y72" s="114">
        <v>0</v>
      </c>
      <c r="Z72" s="114">
        <v>0</v>
      </c>
      <c r="AA72" s="114">
        <v>0</v>
      </c>
      <c r="AB72" s="114">
        <v>0</v>
      </c>
      <c r="AC72" s="114">
        <v>100000</v>
      </c>
      <c r="AD72" s="114">
        <v>100000</v>
      </c>
      <c r="AE72" s="114">
        <v>100000</v>
      </c>
      <c r="AF72" s="114">
        <v>300000</v>
      </c>
      <c r="AG72" s="114">
        <v>300000</v>
      </c>
      <c r="AH72" s="114">
        <v>0</v>
      </c>
      <c r="AI72" s="114">
        <v>0</v>
      </c>
      <c r="AJ72" s="114">
        <v>0</v>
      </c>
      <c r="AK72" s="114">
        <v>600000</v>
      </c>
      <c r="AL72" s="114">
        <v>0</v>
      </c>
      <c r="AM72" s="114">
        <v>0</v>
      </c>
      <c r="AN72" s="114">
        <v>0</v>
      </c>
      <c r="AO72" s="114">
        <v>0</v>
      </c>
      <c r="AP72" s="114">
        <v>0</v>
      </c>
      <c r="AQ72" s="114">
        <v>600000</v>
      </c>
      <c r="AR72" s="22">
        <v>210</v>
      </c>
      <c r="AS72" s="3" t="s">
        <v>39248</v>
      </c>
      <c r="AT72" s="115">
        <v>2025</v>
      </c>
      <c r="AU72" s="22">
        <f>_xlfn.XLOOKUP(_tPE26_29_Consolidada[[#This Row], [ID Financeiro]],[5]Projetos!$K:$K,[5]Projetos!$A:$A,0,0)</f>
      </c>
      <c r="AV72" s="3" t="s">
        <v>39296</v>
      </c>
      <c r="AW72" s="3" t="s">
        <v>39194</v>
      </c>
      <c r="AX72" s="8" t="s">
        <v>39295</v>
      </c>
      <c r="AY72" s="8"/>
      <c r="AZ72" s="3" t="s">
        <v>39250</v>
      </c>
      <c r="BA72" s="3"/>
      <c r="BB72" s="3"/>
      <c r="BC72" s="3"/>
      <c r="BD72" s="3"/>
      <c r="BE72" s="3"/>
      <c r="BF72" s="3"/>
      <c r="BG72" s="3"/>
      <c r="BH72" s="3"/>
      <c r="BI72" s="3"/>
      <c r="BJ72" s="3"/>
      <c r="BK72" s="3"/>
      <c r="BL72" s="3"/>
      <c r="BM72" s="3"/>
      <c r="BN72" s="3"/>
      <c r="BO72" s="3"/>
      <c r="BP72" s="116">
        <f>IFERROR(VLOOKUP(_tPE26_29_Consolidada[[#This Row], [ID Financeiro]],'[4]PE 25-29'!$B:$AF,31,FALSE),0)</f>
      </c>
      <c r="BQ72" s="116">
        <f>_tPE26_29_Consolidada[[#This Row], [2026]]*1000</f>
      </c>
      <c r="BR72" s="117">
        <f>_tPE26_29_Consolidada[[#This Row], [Orçado 2026 (PE25-29)]]-_tPE26_29_Consolidada[[#This Row], [Orçado 2026 (PE26-30)]]</f>
      </c>
      <c r="BS72" s="117">
        <f>IFERROR(VLOOKUP(_tPE26_29_Consolidada[[#This Row], [ID Financeiro]],'[4]PE 25-29'!$B:$AT,45,FALSE),0)</f>
      </c>
      <c r="BT72" s="117">
        <f>_tPE26_29_Consolidada[[#This Row], [2026-2030]]*1000</f>
      </c>
      <c r="BU72" s="117">
        <f>-_tPE26_29_Consolidada[[#This Row], [Orçado 26/30 (PE25-29)]]+_tPE26_29_Consolidada[[#This Row], [Orçado 26/30 (PE26-30)]]</f>
      </c>
      <c r="BV72" s="119">
        <f>IFERROR(_tPE26_29_Consolidada[[#This Row], [Dif2]]/_tPE26_29_Consolidada[[#This Row], [Orçado 26/30 (PE25-29)]],0)</f>
      </c>
      <c r="BW72" s="1"/>
      <c r="BX72" s="1"/>
      <c r="BY72" s="1"/>
      <c r="BZ72" s="1"/>
      <c r="CA72" s="1"/>
      <c r="CB72" s="1"/>
      <c r="CC72" s="1"/>
      <c r="CD72" s="1"/>
      <c r="CE72" s="1"/>
      <c r="CF72" s="1"/>
      <c r="CG72" s="1"/>
      <c r="CH72" s="1"/>
      <c r="CI72" s="1"/>
      <c r="CJ72" s="1"/>
      <c r="CK72" s="1"/>
      <c r="CL72" s="1"/>
      <c r="CM72" s="1"/>
      <c r="CN72" s="1"/>
      <c r="CO72" s="1"/>
      <c r="CP72" s="1"/>
      <c r="CQ72" s="111"/>
      <c r="CR72" s="111"/>
      <c r="CS72" s="111"/>
      <c r="CT72" s="111"/>
      <c r="CU72" s="111"/>
      <c r="CV72" s="111"/>
      <c r="CW72" s="111"/>
      <c r="CX72" s="111"/>
      <c r="CY72" s="111"/>
      <c r="CZ72" s="111"/>
      <c r="DA72" s="111"/>
      <c r="DB72" s="111"/>
      <c r="DC72" s="111"/>
      <c r="DD72" s="111"/>
      <c r="DE72" s="111"/>
      <c r="DF72" s="111"/>
      <c r="DG72" s="111"/>
      <c r="DH72" s="111"/>
      <c r="DI72" s="111"/>
      <c r="DJ72" s="111"/>
      <c r="DK72" s="111"/>
      <c r="DL72" s="111"/>
      <c r="DM72" s="111"/>
      <c r="DN72" s="111"/>
      <c r="DO72" s="111"/>
      <c r="DP72" s="111"/>
      <c r="DQ72" s="111"/>
      <c r="DR72" s="111"/>
      <c r="DS72" s="111"/>
      <c r="DT72" s="111"/>
      <c r="DU72" s="111"/>
      <c r="DV72" s="111"/>
      <c r="DW72" s="111"/>
      <c r="DX72" s="111"/>
      <c r="DY72" s="111"/>
      <c r="DZ72" s="111"/>
      <c r="EA72" s="111"/>
      <c r="EB72" s="111"/>
      <c r="EC72" s="111"/>
      <c r="ED72" s="111"/>
      <c r="EE72" s="111"/>
      <c r="EF72" s="111"/>
      <c r="EG72" s="111"/>
      <c r="EH72" s="111"/>
      <c r="EI72" s="111"/>
      <c r="EJ72" s="111"/>
      <c r="EK72" s="111"/>
      <c r="EL72" s="111"/>
      <c r="EM72" s="111"/>
      <c r="EN72" s="111"/>
      <c r="EO72" s="111"/>
      <c r="EP72" s="111"/>
      <c r="EQ72" s="111"/>
      <c r="ER72" s="111"/>
      <c r="ES72" s="111"/>
      <c r="ET72" s="111"/>
      <c r="EU72" s="111"/>
      <c r="EV72" s="111"/>
      <c r="EW72" s="111"/>
      <c r="EX72" s="111"/>
      <c r="EY72" s="111"/>
      <c r="EZ72" s="111"/>
      <c r="FA72" s="2"/>
      <c r="FB72" s="2"/>
      <c r="FC72" s="2"/>
      <c r="FD72" s="2"/>
      <c r="FE72" s="2"/>
      <c r="FF72" s="2"/>
    </row>
    <row x14ac:dyDescent="0.25" r="73" customHeight="1" ht="18.75">
      <c r="A73" s="3"/>
      <c r="B73" s="118" t="s">
        <v>39052</v>
      </c>
      <c r="C73" s="3" t="s">
        <v>39053</v>
      </c>
      <c r="D73" s="3" t="s">
        <v>8</v>
      </c>
      <c r="E73" s="3" t="s">
        <v>38983</v>
      </c>
      <c r="F73" s="3"/>
      <c r="G73" s="3" t="s">
        <v>39297</v>
      </c>
      <c r="H73" s="3" t="s">
        <v>10</v>
      </c>
      <c r="I73" s="3" t="s">
        <v>86</v>
      </c>
      <c r="J73" s="3" t="s">
        <v>5</v>
      </c>
      <c r="K73" s="113" t="s">
        <v>16</v>
      </c>
      <c r="L73" s="3" t="s">
        <v>67</v>
      </c>
      <c r="M73" s="3" t="s">
        <v>39055</v>
      </c>
      <c r="N73" s="3"/>
      <c r="O73" s="3"/>
      <c r="P73" s="3"/>
      <c r="Q73" s="3" t="s">
        <v>39298</v>
      </c>
      <c r="R73" s="3" t="s">
        <v>39057</v>
      </c>
      <c r="S73" s="3" t="s">
        <v>39098</v>
      </c>
      <c r="T73" s="114">
        <v>10000</v>
      </c>
      <c r="U73" s="114">
        <v>1900000</v>
      </c>
      <c r="V73" s="114">
        <v>1800000</v>
      </c>
      <c r="W73" s="114">
        <v>4620000</v>
      </c>
      <c r="X73" s="114">
        <v>6500000</v>
      </c>
      <c r="Y73" s="114">
        <v>4320000</v>
      </c>
      <c r="Z73" s="114">
        <v>1600000</v>
      </c>
      <c r="AA73" s="114">
        <v>830000</v>
      </c>
      <c r="AB73" s="114">
        <v>560000</v>
      </c>
      <c r="AC73" s="114">
        <v>150000</v>
      </c>
      <c r="AD73" s="114">
        <v>6200000</v>
      </c>
      <c r="AE73" s="114">
        <v>10000</v>
      </c>
      <c r="AF73" s="114">
        <v>28500000</v>
      </c>
      <c r="AG73" s="114">
        <v>9000000</v>
      </c>
      <c r="AH73" s="114">
        <v>0</v>
      </c>
      <c r="AI73" s="114">
        <v>0</v>
      </c>
      <c r="AJ73" s="114">
        <v>0</v>
      </c>
      <c r="AK73" s="114">
        <v>37500000</v>
      </c>
      <c r="AL73" s="114">
        <v>0</v>
      </c>
      <c r="AM73" s="114">
        <v>0</v>
      </c>
      <c r="AN73" s="114">
        <v>0</v>
      </c>
      <c r="AO73" s="114">
        <v>0</v>
      </c>
      <c r="AP73" s="114">
        <v>0</v>
      </c>
      <c r="AQ73" s="114">
        <v>37500000</v>
      </c>
      <c r="AR73" s="22">
        <v>211</v>
      </c>
      <c r="AS73" s="3" t="s">
        <v>39059</v>
      </c>
      <c r="AT73" s="115">
        <v>2025</v>
      </c>
      <c r="AU73" s="22">
        <f>_xlfn.XLOOKUP(_tPE26_29_Consolidada[[#This Row], [ID Financeiro]],[5]Projetos!$K:$K,[5]Projetos!$A:$A,0,0)</f>
      </c>
      <c r="AV73" s="3" t="s">
        <v>39299</v>
      </c>
      <c r="AW73" s="3" t="s">
        <v>46</v>
      </c>
      <c r="AX73" s="8" t="s">
        <v>39298</v>
      </c>
      <c r="AY73" s="8"/>
      <c r="AZ73" s="3" t="s">
        <v>39107</v>
      </c>
      <c r="BA73" s="3"/>
      <c r="BB73" s="3"/>
      <c r="BC73" s="3"/>
      <c r="BD73" s="3"/>
      <c r="BE73" s="3"/>
      <c r="BF73" s="3"/>
      <c r="BG73" s="3"/>
      <c r="BH73" s="3"/>
      <c r="BI73" s="3"/>
      <c r="BJ73" s="3"/>
      <c r="BK73" s="3"/>
      <c r="BL73" s="3"/>
      <c r="BM73" s="3"/>
      <c r="BN73" s="3"/>
      <c r="BO73" s="3"/>
      <c r="BP73" s="116">
        <f>IFERROR(VLOOKUP(_tPE26_29_Consolidada[[#This Row], [ID Financeiro]],'[4]PE 25-29'!$B:$AF,31,FALSE),0)</f>
      </c>
      <c r="BQ73" s="116">
        <f>_tPE26_29_Consolidada[[#This Row], [2026]]*1000</f>
      </c>
      <c r="BR73" s="117">
        <f>_tPE26_29_Consolidada[[#This Row], [Orçado 2026 (PE25-29)]]-_tPE26_29_Consolidada[[#This Row], [Orçado 2026 (PE26-30)]]</f>
      </c>
      <c r="BS73" s="117">
        <f>IFERROR(VLOOKUP(_tPE26_29_Consolidada[[#This Row], [ID Financeiro]],'[4]PE 25-29'!$B:$AT,45,FALSE),0)</f>
      </c>
      <c r="BT73" s="117">
        <f>_tPE26_29_Consolidada[[#This Row], [2026-2030]]*1000</f>
      </c>
      <c r="BU73" s="117">
        <f>-_tPE26_29_Consolidada[[#This Row], [Orçado 26/30 (PE25-29)]]+_tPE26_29_Consolidada[[#This Row], [Orçado 26/30 (PE26-30)]]</f>
      </c>
      <c r="BV73" s="119">
        <f>IFERROR(_tPE26_29_Consolidada[[#This Row], [Dif2]]/_tPE26_29_Consolidada[[#This Row], [Orçado 26/30 (PE25-29)]],0)</f>
      </c>
      <c r="BW73" s="1"/>
      <c r="BX73" s="1"/>
      <c r="BY73" s="1"/>
      <c r="BZ73" s="1"/>
      <c r="CA73" s="1"/>
      <c r="CB73" s="1"/>
      <c r="CC73" s="1"/>
      <c r="CD73" s="1"/>
      <c r="CE73" s="1"/>
      <c r="CF73" s="1"/>
      <c r="CG73" s="1"/>
      <c r="CH73" s="1"/>
      <c r="CI73" s="1"/>
      <c r="CJ73" s="1"/>
      <c r="CK73" s="1"/>
      <c r="CL73" s="1"/>
      <c r="CM73" s="1"/>
      <c r="CN73" s="1"/>
      <c r="CO73" s="1"/>
      <c r="CP73" s="1"/>
      <c r="CQ73" s="111"/>
      <c r="CR73" s="111"/>
      <c r="CS73" s="111"/>
      <c r="CT73" s="111"/>
      <c r="CU73" s="111"/>
      <c r="CV73" s="111"/>
      <c r="CW73" s="111"/>
      <c r="CX73" s="111"/>
      <c r="CY73" s="111"/>
      <c r="CZ73" s="111"/>
      <c r="DA73" s="111"/>
      <c r="DB73" s="111"/>
      <c r="DC73" s="111"/>
      <c r="DD73" s="111"/>
      <c r="DE73" s="111"/>
      <c r="DF73" s="111"/>
      <c r="DG73" s="111"/>
      <c r="DH73" s="111"/>
      <c r="DI73" s="111"/>
      <c r="DJ73" s="111"/>
      <c r="DK73" s="111"/>
      <c r="DL73" s="111"/>
      <c r="DM73" s="111"/>
      <c r="DN73" s="111"/>
      <c r="DO73" s="111"/>
      <c r="DP73" s="111"/>
      <c r="DQ73" s="111"/>
      <c r="DR73" s="111"/>
      <c r="DS73" s="111"/>
      <c r="DT73" s="111"/>
      <c r="DU73" s="111"/>
      <c r="DV73" s="111"/>
      <c r="DW73" s="111"/>
      <c r="DX73" s="111"/>
      <c r="DY73" s="111"/>
      <c r="DZ73" s="111"/>
      <c r="EA73" s="111"/>
      <c r="EB73" s="111"/>
      <c r="EC73" s="111"/>
      <c r="ED73" s="111"/>
      <c r="EE73" s="111"/>
      <c r="EF73" s="111"/>
      <c r="EG73" s="111"/>
      <c r="EH73" s="111"/>
      <c r="EI73" s="111"/>
      <c r="EJ73" s="111"/>
      <c r="EK73" s="111"/>
      <c r="EL73" s="111"/>
      <c r="EM73" s="111"/>
      <c r="EN73" s="111"/>
      <c r="EO73" s="111"/>
      <c r="EP73" s="111"/>
      <c r="EQ73" s="111"/>
      <c r="ER73" s="111"/>
      <c r="ES73" s="111"/>
      <c r="ET73" s="111"/>
      <c r="EU73" s="111"/>
      <c r="EV73" s="111"/>
      <c r="EW73" s="111"/>
      <c r="EX73" s="111"/>
      <c r="EY73" s="111"/>
      <c r="EZ73" s="111"/>
      <c r="FA73" s="2"/>
      <c r="FB73" s="2"/>
      <c r="FC73" s="2"/>
      <c r="FD73" s="2"/>
      <c r="FE73" s="2"/>
      <c r="FF73" s="2"/>
    </row>
    <row x14ac:dyDescent="0.25" r="74" customHeight="1" ht="18.75">
      <c r="A74" s="3"/>
      <c r="B74" s="118" t="s">
        <v>39052</v>
      </c>
      <c r="C74" s="3" t="s">
        <v>39053</v>
      </c>
      <c r="D74" s="3" t="s">
        <v>8</v>
      </c>
      <c r="E74" s="3" t="s">
        <v>38983</v>
      </c>
      <c r="F74" s="3"/>
      <c r="G74" s="3" t="s">
        <v>39300</v>
      </c>
      <c r="H74" s="3" t="s">
        <v>10</v>
      </c>
      <c r="I74" s="3" t="s">
        <v>86</v>
      </c>
      <c r="J74" s="3" t="s">
        <v>5</v>
      </c>
      <c r="K74" s="113" t="s">
        <v>16</v>
      </c>
      <c r="L74" s="3" t="s">
        <v>67</v>
      </c>
      <c r="M74" s="3" t="s">
        <v>39055</v>
      </c>
      <c r="N74" s="3"/>
      <c r="O74" s="3"/>
      <c r="P74" s="3"/>
      <c r="Q74" s="3" t="s">
        <v>39301</v>
      </c>
      <c r="R74" s="3" t="s">
        <v>39057</v>
      </c>
      <c r="S74" s="3" t="s">
        <v>39083</v>
      </c>
      <c r="T74" s="114">
        <v>0</v>
      </c>
      <c r="U74" s="114">
        <v>0</v>
      </c>
      <c r="V74" s="114">
        <v>350000</v>
      </c>
      <c r="W74" s="114">
        <v>10000</v>
      </c>
      <c r="X74" s="114">
        <v>30000</v>
      </c>
      <c r="Y74" s="114">
        <v>0</v>
      </c>
      <c r="Z74" s="114">
        <v>30000</v>
      </c>
      <c r="AA74" s="114">
        <v>0</v>
      </c>
      <c r="AB74" s="114">
        <v>0</v>
      </c>
      <c r="AC74" s="114">
        <v>0</v>
      </c>
      <c r="AD74" s="114">
        <v>0</v>
      </c>
      <c r="AE74" s="114">
        <v>0</v>
      </c>
      <c r="AF74" s="114">
        <v>420000</v>
      </c>
      <c r="AG74" s="114">
        <v>0</v>
      </c>
      <c r="AH74" s="114">
        <v>0</v>
      </c>
      <c r="AI74" s="114">
        <v>0</v>
      </c>
      <c r="AJ74" s="114">
        <v>0</v>
      </c>
      <c r="AK74" s="114">
        <v>420000</v>
      </c>
      <c r="AL74" s="114">
        <v>0</v>
      </c>
      <c r="AM74" s="114">
        <v>0</v>
      </c>
      <c r="AN74" s="114">
        <v>0</v>
      </c>
      <c r="AO74" s="114">
        <v>0</v>
      </c>
      <c r="AP74" s="114">
        <v>0</v>
      </c>
      <c r="AQ74" s="114">
        <v>420000</v>
      </c>
      <c r="AR74" s="22">
        <v>212</v>
      </c>
      <c r="AS74" s="3" t="s">
        <v>39059</v>
      </c>
      <c r="AT74" s="115">
        <v>2025</v>
      </c>
      <c r="AU74" s="22">
        <f>_xlfn.XLOOKUP(_tPE26_29_Consolidada[[#This Row], [ID Financeiro]],[5]Projetos!$K:$K,[5]Projetos!$A:$A,0,0)</f>
      </c>
      <c r="AV74" s="3" t="s">
        <v>39302</v>
      </c>
      <c r="AW74" s="3" t="s">
        <v>39116</v>
      </c>
      <c r="AX74" s="8" t="s">
        <v>39301</v>
      </c>
      <c r="AY74" s="8"/>
      <c r="AZ74" s="3" t="s">
        <v>39085</v>
      </c>
      <c r="BA74" s="3"/>
      <c r="BB74" s="3"/>
      <c r="BC74" s="3"/>
      <c r="BD74" s="3"/>
      <c r="BE74" s="3"/>
      <c r="BF74" s="3"/>
      <c r="BG74" s="3"/>
      <c r="BH74" s="3"/>
      <c r="BI74" s="3"/>
      <c r="BJ74" s="3"/>
      <c r="BK74" s="3"/>
      <c r="BL74" s="3"/>
      <c r="BM74" s="3"/>
      <c r="BN74" s="3"/>
      <c r="BO74" s="3"/>
      <c r="BP74" s="116">
        <f>IFERROR(VLOOKUP(_tPE26_29_Consolidada[[#This Row], [ID Financeiro]],'[4]PE 25-29'!$B:$AF,31,FALSE),0)</f>
      </c>
      <c r="BQ74" s="116">
        <f>_tPE26_29_Consolidada[[#This Row], [2026]]*1000</f>
      </c>
      <c r="BR74" s="117">
        <f>_tPE26_29_Consolidada[[#This Row], [Orçado 2026 (PE25-29)]]-_tPE26_29_Consolidada[[#This Row], [Orçado 2026 (PE26-30)]]</f>
      </c>
      <c r="BS74" s="117">
        <f>IFERROR(VLOOKUP(_tPE26_29_Consolidada[[#This Row], [ID Financeiro]],'[4]PE 25-29'!$B:$AT,45,FALSE),0)</f>
      </c>
      <c r="BT74" s="117">
        <f>_tPE26_29_Consolidada[[#This Row], [2026-2030]]*1000</f>
      </c>
      <c r="BU74" s="117">
        <f>-_tPE26_29_Consolidada[[#This Row], [Orçado 26/30 (PE25-29)]]+_tPE26_29_Consolidada[[#This Row], [Orçado 26/30 (PE26-30)]]</f>
      </c>
      <c r="BV74" s="119">
        <f>IFERROR(_tPE26_29_Consolidada[[#This Row], [Dif2]]/_tPE26_29_Consolidada[[#This Row], [Orçado 26/30 (PE25-29)]],0)</f>
      </c>
      <c r="BW74" s="1"/>
      <c r="BX74" s="1"/>
      <c r="BY74" s="1"/>
      <c r="BZ74" s="1"/>
      <c r="CA74" s="1"/>
      <c r="CB74" s="1"/>
      <c r="CC74" s="1"/>
      <c r="CD74" s="1"/>
      <c r="CE74" s="1"/>
      <c r="CF74" s="1"/>
      <c r="CG74" s="1"/>
      <c r="CH74" s="1"/>
      <c r="CI74" s="1"/>
      <c r="CJ74" s="1"/>
      <c r="CK74" s="1"/>
      <c r="CL74" s="1"/>
      <c r="CM74" s="1"/>
      <c r="CN74" s="1"/>
      <c r="CO74" s="1"/>
      <c r="CP74" s="1"/>
      <c r="CQ74" s="111"/>
      <c r="CR74" s="111"/>
      <c r="CS74" s="111"/>
      <c r="CT74" s="111"/>
      <c r="CU74" s="111"/>
      <c r="CV74" s="111"/>
      <c r="CW74" s="111"/>
      <c r="CX74" s="111"/>
      <c r="CY74" s="111"/>
      <c r="CZ74" s="111"/>
      <c r="DA74" s="111"/>
      <c r="DB74" s="111"/>
      <c r="DC74" s="111"/>
      <c r="DD74" s="111"/>
      <c r="DE74" s="111"/>
      <c r="DF74" s="111"/>
      <c r="DG74" s="111"/>
      <c r="DH74" s="111"/>
      <c r="DI74" s="111"/>
      <c r="DJ74" s="111"/>
      <c r="DK74" s="111"/>
      <c r="DL74" s="111"/>
      <c r="DM74" s="111"/>
      <c r="DN74" s="111"/>
      <c r="DO74" s="111"/>
      <c r="DP74" s="111"/>
      <c r="DQ74" s="111"/>
      <c r="DR74" s="111"/>
      <c r="DS74" s="111"/>
      <c r="DT74" s="111"/>
      <c r="DU74" s="111"/>
      <c r="DV74" s="111"/>
      <c r="DW74" s="111"/>
      <c r="DX74" s="111"/>
      <c r="DY74" s="111"/>
      <c r="DZ74" s="111"/>
      <c r="EA74" s="111"/>
      <c r="EB74" s="111"/>
      <c r="EC74" s="111"/>
      <c r="ED74" s="111"/>
      <c r="EE74" s="111"/>
      <c r="EF74" s="111"/>
      <c r="EG74" s="111"/>
      <c r="EH74" s="111"/>
      <c r="EI74" s="111"/>
      <c r="EJ74" s="111"/>
      <c r="EK74" s="111"/>
      <c r="EL74" s="111"/>
      <c r="EM74" s="111"/>
      <c r="EN74" s="111"/>
      <c r="EO74" s="111"/>
      <c r="EP74" s="111"/>
      <c r="EQ74" s="111"/>
      <c r="ER74" s="111"/>
      <c r="ES74" s="111"/>
      <c r="ET74" s="111"/>
      <c r="EU74" s="111"/>
      <c r="EV74" s="111"/>
      <c r="EW74" s="111"/>
      <c r="EX74" s="111"/>
      <c r="EY74" s="111"/>
      <c r="EZ74" s="111"/>
      <c r="FA74" s="2"/>
      <c r="FB74" s="2"/>
      <c r="FC74" s="2"/>
      <c r="FD74" s="2"/>
      <c r="FE74" s="2"/>
      <c r="FF74" s="2"/>
    </row>
    <row x14ac:dyDescent="0.25" r="75" customHeight="1" ht="18.75">
      <c r="A75" s="3"/>
      <c r="B75" s="118" t="s">
        <v>39052</v>
      </c>
      <c r="C75" s="3" t="s">
        <v>39053</v>
      </c>
      <c r="D75" s="3" t="s">
        <v>8</v>
      </c>
      <c r="E75" s="3" t="s">
        <v>38983</v>
      </c>
      <c r="F75" s="3"/>
      <c r="G75" s="3" t="s">
        <v>39303</v>
      </c>
      <c r="H75" s="3" t="s">
        <v>10</v>
      </c>
      <c r="I75" s="3" t="s">
        <v>86</v>
      </c>
      <c r="J75" s="3" t="s">
        <v>5</v>
      </c>
      <c r="K75" s="113" t="s">
        <v>16</v>
      </c>
      <c r="L75" s="3" t="s">
        <v>67</v>
      </c>
      <c r="M75" s="3" t="s">
        <v>39055</v>
      </c>
      <c r="N75" s="3"/>
      <c r="O75" s="3"/>
      <c r="P75" s="3"/>
      <c r="Q75" s="3" t="s">
        <v>39304</v>
      </c>
      <c r="R75" s="3" t="s">
        <v>39057</v>
      </c>
      <c r="S75" s="3" t="s">
        <v>39098</v>
      </c>
      <c r="T75" s="114">
        <v>0</v>
      </c>
      <c r="U75" s="114">
        <v>0</v>
      </c>
      <c r="V75" s="114">
        <v>0</v>
      </c>
      <c r="W75" s="114">
        <v>0</v>
      </c>
      <c r="X75" s="114">
        <v>0</v>
      </c>
      <c r="Y75" s="114">
        <v>0</v>
      </c>
      <c r="Z75" s="114">
        <v>0</v>
      </c>
      <c r="AA75" s="114">
        <v>0</v>
      </c>
      <c r="AB75" s="114">
        <v>0</v>
      </c>
      <c r="AC75" s="114">
        <v>0</v>
      </c>
      <c r="AD75" s="114">
        <v>0</v>
      </c>
      <c r="AE75" s="114">
        <v>0</v>
      </c>
      <c r="AF75" s="114">
        <v>0</v>
      </c>
      <c r="AG75" s="114">
        <v>150000</v>
      </c>
      <c r="AH75" s="114">
        <v>150000</v>
      </c>
      <c r="AI75" s="114">
        <v>0</v>
      </c>
      <c r="AJ75" s="114">
        <v>0</v>
      </c>
      <c r="AK75" s="114">
        <v>300000</v>
      </c>
      <c r="AL75" s="114">
        <v>0</v>
      </c>
      <c r="AM75" s="114">
        <v>0</v>
      </c>
      <c r="AN75" s="114">
        <v>0</v>
      </c>
      <c r="AO75" s="114">
        <v>0</v>
      </c>
      <c r="AP75" s="114">
        <v>0</v>
      </c>
      <c r="AQ75" s="114">
        <v>300000</v>
      </c>
      <c r="AR75" s="22">
        <v>213</v>
      </c>
      <c r="AS75" s="3" t="s">
        <v>39059</v>
      </c>
      <c r="AT75" s="115">
        <v>2025</v>
      </c>
      <c r="AU75" s="22">
        <f>_xlfn.XLOOKUP(_tPE26_29_Consolidada[[#This Row], [ID Financeiro]],[5]Projetos!$K:$K,[5]Projetos!$A:$A,0,0)</f>
      </c>
      <c r="AV75" s="3" t="s">
        <v>39305</v>
      </c>
      <c r="AW75" s="3" t="s">
        <v>39194</v>
      </c>
      <c r="AX75" s="8" t="s">
        <v>39304</v>
      </c>
      <c r="AY75" s="8"/>
      <c r="AZ75" s="3" t="s">
        <v>39187</v>
      </c>
      <c r="BA75" s="3"/>
      <c r="BB75" s="3"/>
      <c r="BC75" s="3"/>
      <c r="BD75" s="3"/>
      <c r="BE75" s="3"/>
      <c r="BF75" s="3"/>
      <c r="BG75" s="3"/>
      <c r="BH75" s="3"/>
      <c r="BI75" s="3"/>
      <c r="BJ75" s="3"/>
      <c r="BK75" s="3"/>
      <c r="BL75" s="3"/>
      <c r="BM75" s="3"/>
      <c r="BN75" s="3"/>
      <c r="BO75" s="3"/>
      <c r="BP75" s="116">
        <f>IFERROR(VLOOKUP(_tPE26_29_Consolidada[[#This Row], [ID Financeiro]],'[4]PE 25-29'!$B:$AF,31,FALSE),0)</f>
      </c>
      <c r="BQ75" s="116">
        <f>_tPE26_29_Consolidada[[#This Row], [2026]]*1000</f>
      </c>
      <c r="BR75" s="117">
        <f>_tPE26_29_Consolidada[[#This Row], [Orçado 2026 (PE25-29)]]-_tPE26_29_Consolidada[[#This Row], [Orçado 2026 (PE26-30)]]</f>
      </c>
      <c r="BS75" s="117">
        <f>IFERROR(VLOOKUP(_tPE26_29_Consolidada[[#This Row], [ID Financeiro]],'[4]PE 25-29'!$B:$AT,45,FALSE),0)</f>
      </c>
      <c r="BT75" s="117">
        <f>_tPE26_29_Consolidada[[#This Row], [2026-2030]]*1000</f>
      </c>
      <c r="BU75" s="117">
        <f>-_tPE26_29_Consolidada[[#This Row], [Orçado 26/30 (PE25-29)]]+_tPE26_29_Consolidada[[#This Row], [Orçado 26/30 (PE26-30)]]</f>
      </c>
      <c r="BV75" s="119">
        <f>IFERROR(_tPE26_29_Consolidada[[#This Row], [Dif2]]/_tPE26_29_Consolidada[[#This Row], [Orçado 26/30 (PE25-29)]],0)</f>
      </c>
      <c r="BW75" s="1"/>
      <c r="BX75" s="1"/>
      <c r="BY75" s="1"/>
      <c r="BZ75" s="1"/>
      <c r="CA75" s="1"/>
      <c r="CB75" s="1"/>
      <c r="CC75" s="1"/>
      <c r="CD75" s="1"/>
      <c r="CE75" s="1"/>
      <c r="CF75" s="1"/>
      <c r="CG75" s="1"/>
      <c r="CH75" s="1"/>
      <c r="CI75" s="1"/>
      <c r="CJ75" s="1"/>
      <c r="CK75" s="1"/>
      <c r="CL75" s="1"/>
      <c r="CM75" s="1"/>
      <c r="CN75" s="1"/>
      <c r="CO75" s="1"/>
      <c r="CP75" s="1"/>
      <c r="CQ75" s="111"/>
      <c r="CR75" s="111"/>
      <c r="CS75" s="111"/>
      <c r="CT75" s="111"/>
      <c r="CU75" s="111"/>
      <c r="CV75" s="111"/>
      <c r="CW75" s="111"/>
      <c r="CX75" s="111"/>
      <c r="CY75" s="111"/>
      <c r="CZ75" s="111"/>
      <c r="DA75" s="111"/>
      <c r="DB75" s="111"/>
      <c r="DC75" s="111"/>
      <c r="DD75" s="111"/>
      <c r="DE75" s="111"/>
      <c r="DF75" s="111"/>
      <c r="DG75" s="111"/>
      <c r="DH75" s="111"/>
      <c r="DI75" s="111"/>
      <c r="DJ75" s="111"/>
      <c r="DK75" s="111"/>
      <c r="DL75" s="111"/>
      <c r="DM75" s="111"/>
      <c r="DN75" s="111"/>
      <c r="DO75" s="111"/>
      <c r="DP75" s="111"/>
      <c r="DQ75" s="111"/>
      <c r="DR75" s="111"/>
      <c r="DS75" s="111"/>
      <c r="DT75" s="111"/>
      <c r="DU75" s="111"/>
      <c r="DV75" s="111"/>
      <c r="DW75" s="111"/>
      <c r="DX75" s="111"/>
      <c r="DY75" s="111"/>
      <c r="DZ75" s="111"/>
      <c r="EA75" s="111"/>
      <c r="EB75" s="111"/>
      <c r="EC75" s="111"/>
      <c r="ED75" s="111"/>
      <c r="EE75" s="111"/>
      <c r="EF75" s="111"/>
      <c r="EG75" s="111"/>
      <c r="EH75" s="111"/>
      <c r="EI75" s="111"/>
      <c r="EJ75" s="111"/>
      <c r="EK75" s="111"/>
      <c r="EL75" s="111"/>
      <c r="EM75" s="111"/>
      <c r="EN75" s="111"/>
      <c r="EO75" s="111"/>
      <c r="EP75" s="111"/>
      <c r="EQ75" s="111"/>
      <c r="ER75" s="111"/>
      <c r="ES75" s="111"/>
      <c r="ET75" s="111"/>
      <c r="EU75" s="111"/>
      <c r="EV75" s="111"/>
      <c r="EW75" s="111"/>
      <c r="EX75" s="111"/>
      <c r="EY75" s="111"/>
      <c r="EZ75" s="111"/>
      <c r="FA75" s="2"/>
      <c r="FB75" s="2"/>
      <c r="FC75" s="2"/>
      <c r="FD75" s="2"/>
      <c r="FE75" s="2"/>
      <c r="FF75" s="2"/>
    </row>
    <row x14ac:dyDescent="0.25" r="76" customHeight="1" ht="18.75">
      <c r="A76" s="3"/>
      <c r="B76" s="118" t="s">
        <v>39052</v>
      </c>
      <c r="C76" s="3" t="s">
        <v>39053</v>
      </c>
      <c r="D76" s="3" t="s">
        <v>8</v>
      </c>
      <c r="E76" s="3" t="s">
        <v>38983</v>
      </c>
      <c r="F76" s="3"/>
      <c r="G76" s="3" t="s">
        <v>39306</v>
      </c>
      <c r="H76" s="3" t="s">
        <v>10</v>
      </c>
      <c r="I76" s="3" t="s">
        <v>86</v>
      </c>
      <c r="J76" s="3" t="s">
        <v>5</v>
      </c>
      <c r="K76" s="113" t="s">
        <v>16</v>
      </c>
      <c r="L76" s="3" t="s">
        <v>67</v>
      </c>
      <c r="M76" s="3" t="s">
        <v>39055</v>
      </c>
      <c r="N76" s="3"/>
      <c r="O76" s="3"/>
      <c r="P76" s="3"/>
      <c r="Q76" s="3" t="s">
        <v>39307</v>
      </c>
      <c r="R76" s="3" t="s">
        <v>39057</v>
      </c>
      <c r="S76" s="3" t="s">
        <v>39058</v>
      </c>
      <c r="T76" s="114">
        <v>30000</v>
      </c>
      <c r="U76" s="114">
        <v>30000</v>
      </c>
      <c r="V76" s="114">
        <v>30000</v>
      </c>
      <c r="W76" s="114">
        <v>30000</v>
      </c>
      <c r="X76" s="114">
        <v>30000</v>
      </c>
      <c r="Y76" s="114">
        <v>30000</v>
      </c>
      <c r="Z76" s="114">
        <v>30000</v>
      </c>
      <c r="AA76" s="114">
        <v>30000</v>
      </c>
      <c r="AB76" s="114">
        <v>30000</v>
      </c>
      <c r="AC76" s="114">
        <v>30000</v>
      </c>
      <c r="AD76" s="114">
        <v>30000</v>
      </c>
      <c r="AE76" s="114">
        <v>30000</v>
      </c>
      <c r="AF76" s="114">
        <v>360000</v>
      </c>
      <c r="AG76" s="114">
        <v>0</v>
      </c>
      <c r="AH76" s="114">
        <v>0</v>
      </c>
      <c r="AI76" s="114">
        <v>0</v>
      </c>
      <c r="AJ76" s="114">
        <v>0</v>
      </c>
      <c r="AK76" s="114">
        <v>360000</v>
      </c>
      <c r="AL76" s="114">
        <v>0</v>
      </c>
      <c r="AM76" s="114">
        <v>0</v>
      </c>
      <c r="AN76" s="114">
        <v>0</v>
      </c>
      <c r="AO76" s="114">
        <v>0</v>
      </c>
      <c r="AP76" s="114">
        <v>0</v>
      </c>
      <c r="AQ76" s="114">
        <v>360000</v>
      </c>
      <c r="AR76" s="22">
        <v>214</v>
      </c>
      <c r="AS76" s="3" t="s">
        <v>39059</v>
      </c>
      <c r="AT76" s="115">
        <v>2025</v>
      </c>
      <c r="AU76" s="22">
        <f>_xlfn.XLOOKUP(_tPE26_29_Consolidada[[#This Row], [ID Financeiro]],[5]Projetos!$K:$K,[5]Projetos!$A:$A,0,0)</f>
      </c>
      <c r="AV76" s="3" t="s">
        <v>39308</v>
      </c>
      <c r="AW76" s="3" t="s">
        <v>46</v>
      </c>
      <c r="AX76" s="8" t="s">
        <v>39307</v>
      </c>
      <c r="AY76" s="8"/>
      <c r="AZ76" s="3" t="s">
        <v>39309</v>
      </c>
      <c r="BA76" s="3"/>
      <c r="BB76" s="3"/>
      <c r="BC76" s="3"/>
      <c r="BD76" s="3"/>
      <c r="BE76" s="3"/>
      <c r="BF76" s="3"/>
      <c r="BG76" s="3"/>
      <c r="BH76" s="3"/>
      <c r="BI76" s="3"/>
      <c r="BJ76" s="3"/>
      <c r="BK76" s="3"/>
      <c r="BL76" s="3"/>
      <c r="BM76" s="3"/>
      <c r="BN76" s="3"/>
      <c r="BO76" s="3"/>
      <c r="BP76" s="116">
        <f>IFERROR(VLOOKUP(_tPE26_29_Consolidada[[#This Row], [ID Financeiro]],'[4]PE 25-29'!$B:$AF,31,FALSE),0)</f>
      </c>
      <c r="BQ76" s="116">
        <f>_tPE26_29_Consolidada[[#This Row], [2026]]*1000</f>
      </c>
      <c r="BR76" s="117">
        <f>_tPE26_29_Consolidada[[#This Row], [Orçado 2026 (PE25-29)]]-_tPE26_29_Consolidada[[#This Row], [Orçado 2026 (PE26-30)]]</f>
      </c>
      <c r="BS76" s="117">
        <f>IFERROR(VLOOKUP(_tPE26_29_Consolidada[[#This Row], [ID Financeiro]],'[4]PE 25-29'!$B:$AT,45,FALSE),0)</f>
      </c>
      <c r="BT76" s="117">
        <f>_tPE26_29_Consolidada[[#This Row], [2026-2030]]*1000</f>
      </c>
      <c r="BU76" s="117">
        <f>-_tPE26_29_Consolidada[[#This Row], [Orçado 26/30 (PE25-29)]]+_tPE26_29_Consolidada[[#This Row], [Orçado 26/30 (PE26-30)]]</f>
      </c>
      <c r="BV76" s="119">
        <f>IFERROR(_tPE26_29_Consolidada[[#This Row], [Dif2]]/_tPE26_29_Consolidada[[#This Row], [Orçado 26/30 (PE25-29)]],0)</f>
      </c>
      <c r="BW76" s="1"/>
      <c r="BX76" s="1"/>
      <c r="BY76" s="1"/>
      <c r="BZ76" s="1"/>
      <c r="CA76" s="1"/>
      <c r="CB76" s="1"/>
      <c r="CC76" s="1"/>
      <c r="CD76" s="1"/>
      <c r="CE76" s="1"/>
      <c r="CF76" s="1"/>
      <c r="CG76" s="1"/>
      <c r="CH76" s="1"/>
      <c r="CI76" s="1"/>
      <c r="CJ76" s="1"/>
      <c r="CK76" s="1"/>
      <c r="CL76" s="1"/>
      <c r="CM76" s="1"/>
      <c r="CN76" s="1"/>
      <c r="CO76" s="1"/>
      <c r="CP76" s="1"/>
      <c r="CQ76" s="111"/>
      <c r="CR76" s="111"/>
      <c r="CS76" s="111"/>
      <c r="CT76" s="111"/>
      <c r="CU76" s="111"/>
      <c r="CV76" s="111"/>
      <c r="CW76" s="111"/>
      <c r="CX76" s="111"/>
      <c r="CY76" s="111"/>
      <c r="CZ76" s="111"/>
      <c r="DA76" s="111"/>
      <c r="DB76" s="111"/>
      <c r="DC76" s="111"/>
      <c r="DD76" s="111"/>
      <c r="DE76" s="111"/>
      <c r="DF76" s="111"/>
      <c r="DG76" s="111"/>
      <c r="DH76" s="111"/>
      <c r="DI76" s="111"/>
      <c r="DJ76" s="111"/>
      <c r="DK76" s="111"/>
      <c r="DL76" s="111"/>
      <c r="DM76" s="111"/>
      <c r="DN76" s="111"/>
      <c r="DO76" s="111"/>
      <c r="DP76" s="111"/>
      <c r="DQ76" s="111"/>
      <c r="DR76" s="111"/>
      <c r="DS76" s="111"/>
      <c r="DT76" s="111"/>
      <c r="DU76" s="111"/>
      <c r="DV76" s="111"/>
      <c r="DW76" s="111"/>
      <c r="DX76" s="111"/>
      <c r="DY76" s="111"/>
      <c r="DZ76" s="111"/>
      <c r="EA76" s="111"/>
      <c r="EB76" s="111"/>
      <c r="EC76" s="111"/>
      <c r="ED76" s="111"/>
      <c r="EE76" s="111"/>
      <c r="EF76" s="111"/>
      <c r="EG76" s="111"/>
      <c r="EH76" s="111"/>
      <c r="EI76" s="111"/>
      <c r="EJ76" s="111"/>
      <c r="EK76" s="111"/>
      <c r="EL76" s="111"/>
      <c r="EM76" s="111"/>
      <c r="EN76" s="111"/>
      <c r="EO76" s="111"/>
      <c r="EP76" s="111"/>
      <c r="EQ76" s="111"/>
      <c r="ER76" s="111"/>
      <c r="ES76" s="111"/>
      <c r="ET76" s="111"/>
      <c r="EU76" s="111"/>
      <c r="EV76" s="111"/>
      <c r="EW76" s="111"/>
      <c r="EX76" s="111"/>
      <c r="EY76" s="111"/>
      <c r="EZ76" s="111"/>
      <c r="FA76" s="2"/>
      <c r="FB76" s="2"/>
      <c r="FC76" s="2"/>
      <c r="FD76" s="2"/>
      <c r="FE76" s="2"/>
      <c r="FF76" s="2"/>
    </row>
    <row x14ac:dyDescent="0.25" r="77" customHeight="1" ht="18.75">
      <c r="A77" s="3"/>
      <c r="B77" s="118" t="s">
        <v>39052</v>
      </c>
      <c r="C77" s="3" t="s">
        <v>39053</v>
      </c>
      <c r="D77" s="3" t="s">
        <v>8</v>
      </c>
      <c r="E77" s="3" t="s">
        <v>38983</v>
      </c>
      <c r="F77" s="3"/>
      <c r="G77" s="3" t="s">
        <v>39310</v>
      </c>
      <c r="H77" s="3" t="s">
        <v>10</v>
      </c>
      <c r="I77" s="3" t="s">
        <v>86</v>
      </c>
      <c r="J77" s="3" t="s">
        <v>5</v>
      </c>
      <c r="K77" s="113" t="s">
        <v>16</v>
      </c>
      <c r="L77" s="3" t="s">
        <v>67</v>
      </c>
      <c r="M77" s="3" t="s">
        <v>39055</v>
      </c>
      <c r="N77" s="3"/>
      <c r="O77" s="3"/>
      <c r="P77" s="3"/>
      <c r="Q77" s="3" t="s">
        <v>39311</v>
      </c>
      <c r="R77" s="3" t="s">
        <v>39057</v>
      </c>
      <c r="S77" s="3" t="s">
        <v>39058</v>
      </c>
      <c r="T77" s="114">
        <v>10000</v>
      </c>
      <c r="U77" s="114">
        <v>20000</v>
      </c>
      <c r="V77" s="114">
        <v>20000</v>
      </c>
      <c r="W77" s="114">
        <v>0</v>
      </c>
      <c r="X77" s="114">
        <v>0</v>
      </c>
      <c r="Y77" s="114">
        <v>0</v>
      </c>
      <c r="Z77" s="114">
        <v>500000</v>
      </c>
      <c r="AA77" s="114">
        <v>0</v>
      </c>
      <c r="AB77" s="114">
        <v>50000</v>
      </c>
      <c r="AC77" s="114">
        <v>200000</v>
      </c>
      <c r="AD77" s="114">
        <v>200000</v>
      </c>
      <c r="AE77" s="114">
        <v>2000000</v>
      </c>
      <c r="AF77" s="114">
        <v>3000000</v>
      </c>
      <c r="AG77" s="114">
        <v>2000000</v>
      </c>
      <c r="AH77" s="114">
        <v>1000000</v>
      </c>
      <c r="AI77" s="114">
        <v>500000</v>
      </c>
      <c r="AJ77" s="114">
        <v>0</v>
      </c>
      <c r="AK77" s="114">
        <v>6500000</v>
      </c>
      <c r="AL77" s="114">
        <v>0</v>
      </c>
      <c r="AM77" s="114">
        <v>0</v>
      </c>
      <c r="AN77" s="114">
        <v>0</v>
      </c>
      <c r="AO77" s="114">
        <v>0</v>
      </c>
      <c r="AP77" s="114">
        <v>0</v>
      </c>
      <c r="AQ77" s="114">
        <v>6500000</v>
      </c>
      <c r="AR77" s="22">
        <v>215</v>
      </c>
      <c r="AS77" s="3" t="s">
        <v>39059</v>
      </c>
      <c r="AT77" s="115">
        <v>2025</v>
      </c>
      <c r="AU77" s="22">
        <f>_xlfn.XLOOKUP(_tPE26_29_Consolidada[[#This Row], [ID Financeiro]],[5]Projetos!$K:$K,[5]Projetos!$A:$A,0,0)</f>
      </c>
      <c r="AV77" s="3" t="s">
        <v>39312</v>
      </c>
      <c r="AW77" s="3" t="s">
        <v>39194</v>
      </c>
      <c r="AX77" s="8" t="s">
        <v>39311</v>
      </c>
      <c r="AY77" s="8"/>
      <c r="AZ77" s="3" t="s">
        <v>39270</v>
      </c>
      <c r="BA77" s="3"/>
      <c r="BB77" s="3"/>
      <c r="BC77" s="3"/>
      <c r="BD77" s="3"/>
      <c r="BE77" s="3"/>
      <c r="BF77" s="3"/>
      <c r="BG77" s="3"/>
      <c r="BH77" s="3"/>
      <c r="BI77" s="3"/>
      <c r="BJ77" s="3"/>
      <c r="BK77" s="3"/>
      <c r="BL77" s="3"/>
      <c r="BM77" s="3"/>
      <c r="BN77" s="3"/>
      <c r="BO77" s="3"/>
      <c r="BP77" s="116">
        <f>IFERROR(VLOOKUP(_tPE26_29_Consolidada[[#This Row], [ID Financeiro]],'[4]PE 25-29'!$B:$AF,31,FALSE),0)</f>
      </c>
      <c r="BQ77" s="116">
        <f>_tPE26_29_Consolidada[[#This Row], [2026]]*1000</f>
      </c>
      <c r="BR77" s="117">
        <f>_tPE26_29_Consolidada[[#This Row], [Orçado 2026 (PE25-29)]]-_tPE26_29_Consolidada[[#This Row], [Orçado 2026 (PE26-30)]]</f>
      </c>
      <c r="BS77" s="117">
        <f>IFERROR(VLOOKUP(_tPE26_29_Consolidada[[#This Row], [ID Financeiro]],'[4]PE 25-29'!$B:$AT,45,FALSE),0)</f>
      </c>
      <c r="BT77" s="117">
        <f>_tPE26_29_Consolidada[[#This Row], [2026-2030]]*1000</f>
      </c>
      <c r="BU77" s="117">
        <f>-_tPE26_29_Consolidada[[#This Row], [Orçado 26/30 (PE25-29)]]+_tPE26_29_Consolidada[[#This Row], [Orçado 26/30 (PE26-30)]]</f>
      </c>
      <c r="BV77" s="119">
        <f>IFERROR(_tPE26_29_Consolidada[[#This Row], [Dif2]]/_tPE26_29_Consolidada[[#This Row], [Orçado 26/30 (PE25-29)]],0)</f>
      </c>
      <c r="BW77" s="1"/>
      <c r="BX77" s="1"/>
      <c r="BY77" s="1"/>
      <c r="BZ77" s="1"/>
      <c r="CA77" s="1"/>
      <c r="CB77" s="1"/>
      <c r="CC77" s="1"/>
      <c r="CD77" s="1"/>
      <c r="CE77" s="1"/>
      <c r="CF77" s="1"/>
      <c r="CG77" s="1"/>
      <c r="CH77" s="1"/>
      <c r="CI77" s="1"/>
      <c r="CJ77" s="1"/>
      <c r="CK77" s="1"/>
      <c r="CL77" s="1"/>
      <c r="CM77" s="1"/>
      <c r="CN77" s="1"/>
      <c r="CO77" s="1"/>
      <c r="CP77" s="1"/>
      <c r="CQ77" s="111"/>
      <c r="CR77" s="111"/>
      <c r="CS77" s="111"/>
      <c r="CT77" s="111"/>
      <c r="CU77" s="111"/>
      <c r="CV77" s="111"/>
      <c r="CW77" s="111"/>
      <c r="CX77" s="111"/>
      <c r="CY77" s="111"/>
      <c r="CZ77" s="111"/>
      <c r="DA77" s="111"/>
      <c r="DB77" s="111"/>
      <c r="DC77" s="111"/>
      <c r="DD77" s="111"/>
      <c r="DE77" s="111"/>
      <c r="DF77" s="111"/>
      <c r="DG77" s="111"/>
      <c r="DH77" s="111"/>
      <c r="DI77" s="111"/>
      <c r="DJ77" s="111"/>
      <c r="DK77" s="111"/>
      <c r="DL77" s="111"/>
      <c r="DM77" s="111"/>
      <c r="DN77" s="111"/>
      <c r="DO77" s="111"/>
      <c r="DP77" s="111"/>
      <c r="DQ77" s="111"/>
      <c r="DR77" s="111"/>
      <c r="DS77" s="111"/>
      <c r="DT77" s="111"/>
      <c r="DU77" s="111"/>
      <c r="DV77" s="111"/>
      <c r="DW77" s="111"/>
      <c r="DX77" s="111"/>
      <c r="DY77" s="111"/>
      <c r="DZ77" s="111"/>
      <c r="EA77" s="111"/>
      <c r="EB77" s="111"/>
      <c r="EC77" s="111"/>
      <c r="ED77" s="111"/>
      <c r="EE77" s="111"/>
      <c r="EF77" s="111"/>
      <c r="EG77" s="111"/>
      <c r="EH77" s="111"/>
      <c r="EI77" s="111"/>
      <c r="EJ77" s="111"/>
      <c r="EK77" s="111"/>
      <c r="EL77" s="111"/>
      <c r="EM77" s="111"/>
      <c r="EN77" s="111"/>
      <c r="EO77" s="111"/>
      <c r="EP77" s="111"/>
      <c r="EQ77" s="111"/>
      <c r="ER77" s="111"/>
      <c r="ES77" s="111"/>
      <c r="ET77" s="111"/>
      <c r="EU77" s="111"/>
      <c r="EV77" s="111"/>
      <c r="EW77" s="111"/>
      <c r="EX77" s="111"/>
      <c r="EY77" s="111"/>
      <c r="EZ77" s="111"/>
      <c r="FA77" s="2"/>
      <c r="FB77" s="2"/>
      <c r="FC77" s="2"/>
      <c r="FD77" s="2"/>
      <c r="FE77" s="2"/>
      <c r="FF77" s="2"/>
    </row>
    <row x14ac:dyDescent="0.25" r="78" customHeight="1" ht="18.75">
      <c r="A78" s="3"/>
      <c r="B78" s="118" t="s">
        <v>39052</v>
      </c>
      <c r="C78" s="3" t="s">
        <v>39053</v>
      </c>
      <c r="D78" s="3" t="s">
        <v>8</v>
      </c>
      <c r="E78" s="3" t="s">
        <v>38983</v>
      </c>
      <c r="F78" s="3"/>
      <c r="G78" s="3" t="s">
        <v>39313</v>
      </c>
      <c r="H78" s="3" t="s">
        <v>10</v>
      </c>
      <c r="I78" s="3" t="s">
        <v>86</v>
      </c>
      <c r="J78" s="3" t="s">
        <v>5</v>
      </c>
      <c r="K78" s="113" t="s">
        <v>16</v>
      </c>
      <c r="L78" s="3" t="s">
        <v>67</v>
      </c>
      <c r="M78" s="3" t="s">
        <v>39055</v>
      </c>
      <c r="N78" s="3"/>
      <c r="O78" s="3"/>
      <c r="P78" s="3"/>
      <c r="Q78" s="3" t="s">
        <v>39314</v>
      </c>
      <c r="R78" s="3" t="s">
        <v>39057</v>
      </c>
      <c r="S78" s="3" t="s">
        <v>39058</v>
      </c>
      <c r="T78" s="114">
        <v>20000</v>
      </c>
      <c r="U78" s="114">
        <v>20000</v>
      </c>
      <c r="V78" s="114">
        <v>20000</v>
      </c>
      <c r="W78" s="114">
        <v>20000</v>
      </c>
      <c r="X78" s="114">
        <v>20000</v>
      </c>
      <c r="Y78" s="114">
        <v>400000</v>
      </c>
      <c r="Z78" s="114">
        <v>400000</v>
      </c>
      <c r="AA78" s="114">
        <v>50000</v>
      </c>
      <c r="AB78" s="114">
        <v>600000</v>
      </c>
      <c r="AC78" s="114">
        <v>1200000</v>
      </c>
      <c r="AD78" s="114">
        <v>800000</v>
      </c>
      <c r="AE78" s="114">
        <v>50000</v>
      </c>
      <c r="AF78" s="114">
        <v>3600000</v>
      </c>
      <c r="AG78" s="114">
        <v>11400000</v>
      </c>
      <c r="AH78" s="114">
        <v>11300000</v>
      </c>
      <c r="AI78" s="114">
        <v>4000000</v>
      </c>
      <c r="AJ78" s="114">
        <v>2800000</v>
      </c>
      <c r="AK78" s="114">
        <v>33100000</v>
      </c>
      <c r="AL78" s="114">
        <v>2800000</v>
      </c>
      <c r="AM78" s="114">
        <v>2800000</v>
      </c>
      <c r="AN78" s="114">
        <v>2300000</v>
      </c>
      <c r="AO78" s="114">
        <v>0</v>
      </c>
      <c r="AP78" s="114">
        <v>0</v>
      </c>
      <c r="AQ78" s="114">
        <v>41000000</v>
      </c>
      <c r="AR78" s="22">
        <v>216</v>
      </c>
      <c r="AS78" s="3" t="s">
        <v>39059</v>
      </c>
      <c r="AT78" s="115">
        <v>2025</v>
      </c>
      <c r="AU78" s="22">
        <f>_xlfn.XLOOKUP(_tPE26_29_Consolidada[[#This Row], [ID Financeiro]],[5]Projetos!$K:$K,[5]Projetos!$A:$A,0,0)</f>
      </c>
      <c r="AV78" s="3" t="s">
        <v>39315</v>
      </c>
      <c r="AW78" s="3" t="s">
        <v>39194</v>
      </c>
      <c r="AX78" s="8" t="s">
        <v>39314</v>
      </c>
      <c r="AY78" s="8"/>
      <c r="AZ78" s="3" t="s">
        <v>39117</v>
      </c>
      <c r="BA78" s="3"/>
      <c r="BB78" s="3"/>
      <c r="BC78" s="3"/>
      <c r="BD78" s="3"/>
      <c r="BE78" s="3"/>
      <c r="BF78" s="3"/>
      <c r="BG78" s="3"/>
      <c r="BH78" s="3"/>
      <c r="BI78" s="3"/>
      <c r="BJ78" s="3"/>
      <c r="BK78" s="3"/>
      <c r="BL78" s="3"/>
      <c r="BM78" s="3"/>
      <c r="BN78" s="3"/>
      <c r="BO78" s="3"/>
      <c r="BP78" s="116">
        <f>IFERROR(VLOOKUP(_tPE26_29_Consolidada[[#This Row], [ID Financeiro]],'[4]PE 25-29'!$B:$AF,31,FALSE),0)</f>
      </c>
      <c r="BQ78" s="116">
        <f>_tPE26_29_Consolidada[[#This Row], [2026]]*1000</f>
      </c>
      <c r="BR78" s="117">
        <f>_tPE26_29_Consolidada[[#This Row], [Orçado 2026 (PE25-29)]]-_tPE26_29_Consolidada[[#This Row], [Orçado 2026 (PE26-30)]]</f>
      </c>
      <c r="BS78" s="117">
        <f>IFERROR(VLOOKUP(_tPE26_29_Consolidada[[#This Row], [ID Financeiro]],'[4]PE 25-29'!$B:$AT,45,FALSE),0)</f>
      </c>
      <c r="BT78" s="117">
        <f>_tPE26_29_Consolidada[[#This Row], [2026-2030]]*1000</f>
      </c>
      <c r="BU78" s="117">
        <f>-_tPE26_29_Consolidada[[#This Row], [Orçado 26/30 (PE25-29)]]+_tPE26_29_Consolidada[[#This Row], [Orçado 26/30 (PE26-30)]]</f>
      </c>
      <c r="BV78" s="119">
        <f>IFERROR(_tPE26_29_Consolidada[[#This Row], [Dif2]]/_tPE26_29_Consolidada[[#This Row], [Orçado 26/30 (PE25-29)]],0)</f>
      </c>
      <c r="BW78" s="1"/>
      <c r="BX78" s="1"/>
      <c r="BY78" s="1"/>
      <c r="BZ78" s="1"/>
      <c r="CA78" s="1"/>
      <c r="CB78" s="1"/>
      <c r="CC78" s="1"/>
      <c r="CD78" s="1"/>
      <c r="CE78" s="1"/>
      <c r="CF78" s="1"/>
      <c r="CG78" s="1"/>
      <c r="CH78" s="1"/>
      <c r="CI78" s="1"/>
      <c r="CJ78" s="1"/>
      <c r="CK78" s="1"/>
      <c r="CL78" s="1"/>
      <c r="CM78" s="1"/>
      <c r="CN78" s="1"/>
      <c r="CO78" s="1"/>
      <c r="CP78" s="1"/>
      <c r="CQ78" s="111"/>
      <c r="CR78" s="111"/>
      <c r="CS78" s="111"/>
      <c r="CT78" s="111"/>
      <c r="CU78" s="111"/>
      <c r="CV78" s="111"/>
      <c r="CW78" s="111"/>
      <c r="CX78" s="111"/>
      <c r="CY78" s="111"/>
      <c r="CZ78" s="111"/>
      <c r="DA78" s="111"/>
      <c r="DB78" s="111"/>
      <c r="DC78" s="111"/>
      <c r="DD78" s="111"/>
      <c r="DE78" s="111"/>
      <c r="DF78" s="111"/>
      <c r="DG78" s="111"/>
      <c r="DH78" s="111"/>
      <c r="DI78" s="111"/>
      <c r="DJ78" s="111"/>
      <c r="DK78" s="111"/>
      <c r="DL78" s="111"/>
      <c r="DM78" s="111"/>
      <c r="DN78" s="111"/>
      <c r="DO78" s="111"/>
      <c r="DP78" s="111"/>
      <c r="DQ78" s="111"/>
      <c r="DR78" s="111"/>
      <c r="DS78" s="111"/>
      <c r="DT78" s="111"/>
      <c r="DU78" s="111"/>
      <c r="DV78" s="111"/>
      <c r="DW78" s="111"/>
      <c r="DX78" s="111"/>
      <c r="DY78" s="111"/>
      <c r="DZ78" s="111"/>
      <c r="EA78" s="111"/>
      <c r="EB78" s="111"/>
      <c r="EC78" s="111"/>
      <c r="ED78" s="111"/>
      <c r="EE78" s="111"/>
      <c r="EF78" s="111"/>
      <c r="EG78" s="111"/>
      <c r="EH78" s="111"/>
      <c r="EI78" s="111"/>
      <c r="EJ78" s="111"/>
      <c r="EK78" s="111"/>
      <c r="EL78" s="111"/>
      <c r="EM78" s="111"/>
      <c r="EN78" s="111"/>
      <c r="EO78" s="111"/>
      <c r="EP78" s="111"/>
      <c r="EQ78" s="111"/>
      <c r="ER78" s="111"/>
      <c r="ES78" s="111"/>
      <c r="ET78" s="111"/>
      <c r="EU78" s="111"/>
      <c r="EV78" s="111"/>
      <c r="EW78" s="111"/>
      <c r="EX78" s="111"/>
      <c r="EY78" s="111"/>
      <c r="EZ78" s="111"/>
      <c r="FA78" s="2"/>
      <c r="FB78" s="2"/>
      <c r="FC78" s="2"/>
      <c r="FD78" s="2"/>
      <c r="FE78" s="2"/>
      <c r="FF78" s="2"/>
    </row>
    <row x14ac:dyDescent="0.25" r="79" customHeight="1" ht="18.75">
      <c r="A79" s="3"/>
      <c r="B79" s="118" t="s">
        <v>39052</v>
      </c>
      <c r="C79" s="3" t="s">
        <v>39053</v>
      </c>
      <c r="D79" s="3" t="s">
        <v>8</v>
      </c>
      <c r="E79" s="3" t="s">
        <v>38983</v>
      </c>
      <c r="F79" s="3"/>
      <c r="G79" s="3" t="s">
        <v>39316</v>
      </c>
      <c r="H79" s="3" t="s">
        <v>10</v>
      </c>
      <c r="I79" s="3" t="s">
        <v>86</v>
      </c>
      <c r="J79" s="3" t="s">
        <v>5</v>
      </c>
      <c r="K79" s="113" t="s">
        <v>16</v>
      </c>
      <c r="L79" s="3" t="s">
        <v>67</v>
      </c>
      <c r="M79" s="3" t="s">
        <v>39317</v>
      </c>
      <c r="N79" s="3"/>
      <c r="O79" s="3"/>
      <c r="P79" s="3"/>
      <c r="Q79" s="3" t="s">
        <v>39318</v>
      </c>
      <c r="R79" s="3" t="s">
        <v>39057</v>
      </c>
      <c r="S79" s="3" t="s">
        <v>39197</v>
      </c>
      <c r="T79" s="114">
        <v>80000</v>
      </c>
      <c r="U79" s="114">
        <v>80000</v>
      </c>
      <c r="V79" s="114">
        <v>60000</v>
      </c>
      <c r="W79" s="114">
        <v>60000</v>
      </c>
      <c r="X79" s="114">
        <v>60000</v>
      </c>
      <c r="Y79" s="114">
        <v>60000</v>
      </c>
      <c r="Z79" s="114">
        <v>60000</v>
      </c>
      <c r="AA79" s="114">
        <v>60000</v>
      </c>
      <c r="AB79" s="114">
        <v>60000</v>
      </c>
      <c r="AC79" s="114">
        <v>60000</v>
      </c>
      <c r="AD79" s="114">
        <v>60000</v>
      </c>
      <c r="AE79" s="114">
        <v>60000</v>
      </c>
      <c r="AF79" s="114">
        <v>760000</v>
      </c>
      <c r="AG79" s="114">
        <v>4725000</v>
      </c>
      <c r="AH79" s="114">
        <v>6500000</v>
      </c>
      <c r="AI79" s="114">
        <v>6500000</v>
      </c>
      <c r="AJ79" s="114">
        <v>6500000</v>
      </c>
      <c r="AK79" s="114">
        <v>24985000</v>
      </c>
      <c r="AL79" s="114">
        <v>0</v>
      </c>
      <c r="AM79" s="114">
        <v>0</v>
      </c>
      <c r="AN79" s="114">
        <v>0</v>
      </c>
      <c r="AO79" s="114">
        <v>0</v>
      </c>
      <c r="AP79" s="114">
        <v>0</v>
      </c>
      <c r="AQ79" s="114">
        <v>24985000</v>
      </c>
      <c r="AR79" s="22">
        <v>217</v>
      </c>
      <c r="AS79" s="3" t="s">
        <v>39059</v>
      </c>
      <c r="AT79" s="115">
        <v>2025</v>
      </c>
      <c r="AU79" s="22">
        <f>_xlfn.XLOOKUP(_tPE26_29_Consolidada[[#This Row], [ID Financeiro]],[5]Projetos!$K:$K,[5]Projetos!$A:$A,0,0)</f>
      </c>
      <c r="AV79" s="3" t="s">
        <v>39319</v>
      </c>
      <c r="AW79" s="3" t="s">
        <v>39194</v>
      </c>
      <c r="AX79" s="8" t="s">
        <v>39318</v>
      </c>
      <c r="AY79" s="8"/>
      <c r="AZ79" s="3" t="s">
        <v>39130</v>
      </c>
      <c r="BA79" s="3"/>
      <c r="BB79" s="3"/>
      <c r="BC79" s="3"/>
      <c r="BD79" s="3"/>
      <c r="BE79" s="3"/>
      <c r="BF79" s="3"/>
      <c r="BG79" s="3"/>
      <c r="BH79" s="3"/>
      <c r="BI79" s="3"/>
      <c r="BJ79" s="3"/>
      <c r="BK79" s="3"/>
      <c r="BL79" s="3"/>
      <c r="BM79" s="3"/>
      <c r="BN79" s="3"/>
      <c r="BO79" s="3"/>
      <c r="BP79" s="116">
        <f>IFERROR(VLOOKUP(_tPE26_29_Consolidada[[#This Row], [ID Financeiro]],'[4]PE 25-29'!$B:$AF,31,FALSE),0)</f>
      </c>
      <c r="BQ79" s="116">
        <f>_tPE26_29_Consolidada[[#This Row], [2026]]*1000</f>
      </c>
      <c r="BR79" s="117">
        <f>_tPE26_29_Consolidada[[#This Row], [Orçado 2026 (PE25-29)]]-_tPE26_29_Consolidada[[#This Row], [Orçado 2026 (PE26-30)]]</f>
      </c>
      <c r="BS79" s="117">
        <f>IFERROR(VLOOKUP(_tPE26_29_Consolidada[[#This Row], [ID Financeiro]],'[4]PE 25-29'!$B:$AT,45,FALSE),0)</f>
      </c>
      <c r="BT79" s="117">
        <f>_tPE26_29_Consolidada[[#This Row], [2026-2030]]*1000</f>
      </c>
      <c r="BU79" s="117">
        <f>-_tPE26_29_Consolidada[[#This Row], [Orçado 26/30 (PE25-29)]]+_tPE26_29_Consolidada[[#This Row], [Orçado 26/30 (PE26-30)]]</f>
      </c>
      <c r="BV79" s="119">
        <f>IFERROR(_tPE26_29_Consolidada[[#This Row], [Dif2]]/_tPE26_29_Consolidada[[#This Row], [Orçado 26/30 (PE25-29)]],0)</f>
      </c>
      <c r="BW79" s="1"/>
      <c r="BX79" s="1"/>
      <c r="BY79" s="1"/>
      <c r="BZ79" s="1"/>
      <c r="CA79" s="1"/>
      <c r="CB79" s="1"/>
      <c r="CC79" s="1"/>
      <c r="CD79" s="1"/>
      <c r="CE79" s="1"/>
      <c r="CF79" s="1"/>
      <c r="CG79" s="1"/>
      <c r="CH79" s="1"/>
      <c r="CI79" s="1"/>
      <c r="CJ79" s="1"/>
      <c r="CK79" s="1"/>
      <c r="CL79" s="1"/>
      <c r="CM79" s="1"/>
      <c r="CN79" s="1"/>
      <c r="CO79" s="1"/>
      <c r="CP79" s="1"/>
      <c r="CQ79" s="111"/>
      <c r="CR79" s="111"/>
      <c r="CS79" s="111"/>
      <c r="CT79" s="111"/>
      <c r="CU79" s="111"/>
      <c r="CV79" s="111"/>
      <c r="CW79" s="111"/>
      <c r="CX79" s="111"/>
      <c r="CY79" s="111"/>
      <c r="CZ79" s="111"/>
      <c r="DA79" s="111"/>
      <c r="DB79" s="111"/>
      <c r="DC79" s="111"/>
      <c r="DD79" s="111"/>
      <c r="DE79" s="111"/>
      <c r="DF79" s="111"/>
      <c r="DG79" s="111"/>
      <c r="DH79" s="111"/>
      <c r="DI79" s="111"/>
      <c r="DJ79" s="111"/>
      <c r="DK79" s="111"/>
      <c r="DL79" s="111"/>
      <c r="DM79" s="111"/>
      <c r="DN79" s="111"/>
      <c r="DO79" s="111"/>
      <c r="DP79" s="111"/>
      <c r="DQ79" s="111"/>
      <c r="DR79" s="111"/>
      <c r="DS79" s="111"/>
      <c r="DT79" s="111"/>
      <c r="DU79" s="111"/>
      <c r="DV79" s="111"/>
      <c r="DW79" s="111"/>
      <c r="DX79" s="111"/>
      <c r="DY79" s="111"/>
      <c r="DZ79" s="111"/>
      <c r="EA79" s="111"/>
      <c r="EB79" s="111"/>
      <c r="EC79" s="111"/>
      <c r="ED79" s="111"/>
      <c r="EE79" s="111"/>
      <c r="EF79" s="111"/>
      <c r="EG79" s="111"/>
      <c r="EH79" s="111"/>
      <c r="EI79" s="111"/>
      <c r="EJ79" s="111"/>
      <c r="EK79" s="111"/>
      <c r="EL79" s="111"/>
      <c r="EM79" s="111"/>
      <c r="EN79" s="111"/>
      <c r="EO79" s="111"/>
      <c r="EP79" s="111"/>
      <c r="EQ79" s="111"/>
      <c r="ER79" s="111"/>
      <c r="ES79" s="111"/>
      <c r="ET79" s="111"/>
      <c r="EU79" s="111"/>
      <c r="EV79" s="111"/>
      <c r="EW79" s="111"/>
      <c r="EX79" s="111"/>
      <c r="EY79" s="111"/>
      <c r="EZ79" s="111"/>
      <c r="FA79" s="2"/>
      <c r="FB79" s="2"/>
      <c r="FC79" s="2"/>
      <c r="FD79" s="2"/>
      <c r="FE79" s="2"/>
      <c r="FF79" s="2"/>
    </row>
    <row x14ac:dyDescent="0.25" r="80" customHeight="1" ht="18.75">
      <c r="A80" s="3"/>
      <c r="B80" s="118" t="s">
        <v>39052</v>
      </c>
      <c r="C80" s="3" t="s">
        <v>39053</v>
      </c>
      <c r="D80" s="3" t="s">
        <v>8</v>
      </c>
      <c r="E80" s="3" t="s">
        <v>38983</v>
      </c>
      <c r="F80" s="3"/>
      <c r="G80" s="3" t="s">
        <v>39320</v>
      </c>
      <c r="H80" s="3" t="s">
        <v>10</v>
      </c>
      <c r="I80" s="3" t="s">
        <v>86</v>
      </c>
      <c r="J80" s="3" t="s">
        <v>5</v>
      </c>
      <c r="K80" s="113" t="s">
        <v>16</v>
      </c>
      <c r="L80" s="3" t="s">
        <v>67</v>
      </c>
      <c r="M80" s="3" t="s">
        <v>39055</v>
      </c>
      <c r="N80" s="3"/>
      <c r="O80" s="3"/>
      <c r="P80" s="3"/>
      <c r="Q80" s="3" t="s">
        <v>39321</v>
      </c>
      <c r="R80" s="3" t="s">
        <v>39057</v>
      </c>
      <c r="S80" s="3" t="s">
        <v>39171</v>
      </c>
      <c r="T80" s="114">
        <v>100000</v>
      </c>
      <c r="U80" s="114">
        <v>100000</v>
      </c>
      <c r="V80" s="114">
        <v>100000</v>
      </c>
      <c r="W80" s="114">
        <v>100000</v>
      </c>
      <c r="X80" s="114">
        <v>50000</v>
      </c>
      <c r="Y80" s="114">
        <v>50000</v>
      </c>
      <c r="Z80" s="114">
        <v>50000</v>
      </c>
      <c r="AA80" s="114">
        <v>50000</v>
      </c>
      <c r="AB80" s="114">
        <v>50000</v>
      </c>
      <c r="AC80" s="114">
        <v>50000</v>
      </c>
      <c r="AD80" s="114">
        <v>50000</v>
      </c>
      <c r="AE80" s="114">
        <v>50000</v>
      </c>
      <c r="AF80" s="114">
        <v>800000</v>
      </c>
      <c r="AG80" s="114">
        <v>20000000</v>
      </c>
      <c r="AH80" s="114">
        <v>70000000</v>
      </c>
      <c r="AI80" s="114">
        <v>70000000</v>
      </c>
      <c r="AJ80" s="114">
        <v>39100000</v>
      </c>
      <c r="AK80" s="114">
        <v>199900000</v>
      </c>
      <c r="AL80" s="114">
        <v>0</v>
      </c>
      <c r="AM80" s="114">
        <v>0</v>
      </c>
      <c r="AN80" s="114">
        <v>0</v>
      </c>
      <c r="AO80" s="114">
        <v>0</v>
      </c>
      <c r="AP80" s="114">
        <v>0</v>
      </c>
      <c r="AQ80" s="114">
        <v>199900000</v>
      </c>
      <c r="AR80" s="22">
        <v>218</v>
      </c>
      <c r="AS80" s="3" t="s">
        <v>39059</v>
      </c>
      <c r="AT80" s="115">
        <v>2025</v>
      </c>
      <c r="AU80" s="22">
        <f>_xlfn.XLOOKUP(_tPE26_29_Consolidada[[#This Row], [ID Financeiro]],[5]Projetos!$K:$K,[5]Projetos!$A:$A,0,0)</f>
      </c>
      <c r="AV80" s="3" t="s">
        <v>39322</v>
      </c>
      <c r="AW80" s="3" t="s">
        <v>39194</v>
      </c>
      <c r="AX80" s="8" t="s">
        <v>39321</v>
      </c>
      <c r="AY80" s="8"/>
      <c r="AZ80" s="3" t="s">
        <v>39323</v>
      </c>
      <c r="BA80" s="3"/>
      <c r="BB80" s="3"/>
      <c r="BC80" s="3"/>
      <c r="BD80" s="3"/>
      <c r="BE80" s="3"/>
      <c r="BF80" s="3"/>
      <c r="BG80" s="3"/>
      <c r="BH80" s="3"/>
      <c r="BI80" s="3"/>
      <c r="BJ80" s="3"/>
      <c r="BK80" s="3"/>
      <c r="BL80" s="3"/>
      <c r="BM80" s="3"/>
      <c r="BN80" s="3"/>
      <c r="BO80" s="3"/>
      <c r="BP80" s="116">
        <f>IFERROR(VLOOKUP(_tPE26_29_Consolidada[[#This Row], [ID Financeiro]],'[4]PE 25-29'!$B:$AF,31,FALSE),0)</f>
      </c>
      <c r="BQ80" s="116">
        <f>_tPE26_29_Consolidada[[#This Row], [2026]]*1000</f>
      </c>
      <c r="BR80" s="117">
        <f>_tPE26_29_Consolidada[[#This Row], [Orçado 2026 (PE25-29)]]-_tPE26_29_Consolidada[[#This Row], [Orçado 2026 (PE26-30)]]</f>
      </c>
      <c r="BS80" s="117">
        <f>IFERROR(VLOOKUP(_tPE26_29_Consolidada[[#This Row], [ID Financeiro]],'[4]PE 25-29'!$B:$AT,45,FALSE),0)</f>
      </c>
      <c r="BT80" s="117">
        <f>_tPE26_29_Consolidada[[#This Row], [2026-2030]]*1000</f>
      </c>
      <c r="BU80" s="117">
        <f>-_tPE26_29_Consolidada[[#This Row], [Orçado 26/30 (PE25-29)]]+_tPE26_29_Consolidada[[#This Row], [Orçado 26/30 (PE26-30)]]</f>
      </c>
      <c r="BV80" s="119">
        <f>IFERROR(_tPE26_29_Consolidada[[#This Row], [Dif2]]/_tPE26_29_Consolidada[[#This Row], [Orçado 26/30 (PE25-29)]],0)</f>
      </c>
      <c r="BW80" s="1"/>
      <c r="BX80" s="1"/>
      <c r="BY80" s="1"/>
      <c r="BZ80" s="1"/>
      <c r="CA80" s="1"/>
      <c r="CB80" s="1"/>
      <c r="CC80" s="1"/>
      <c r="CD80" s="1"/>
      <c r="CE80" s="1"/>
      <c r="CF80" s="1"/>
      <c r="CG80" s="1"/>
      <c r="CH80" s="1"/>
      <c r="CI80" s="1"/>
      <c r="CJ80" s="1"/>
      <c r="CK80" s="1"/>
      <c r="CL80" s="1"/>
      <c r="CM80" s="1"/>
      <c r="CN80" s="1"/>
      <c r="CO80" s="1"/>
      <c r="CP80" s="1"/>
      <c r="CQ80" s="111"/>
      <c r="CR80" s="111"/>
      <c r="CS80" s="111"/>
      <c r="CT80" s="111"/>
      <c r="CU80" s="111"/>
      <c r="CV80" s="111"/>
      <c r="CW80" s="111"/>
      <c r="CX80" s="111"/>
      <c r="CY80" s="111"/>
      <c r="CZ80" s="111"/>
      <c r="DA80" s="111"/>
      <c r="DB80" s="111"/>
      <c r="DC80" s="111"/>
      <c r="DD80" s="111"/>
      <c r="DE80" s="111"/>
      <c r="DF80" s="111"/>
      <c r="DG80" s="111"/>
      <c r="DH80" s="111"/>
      <c r="DI80" s="111"/>
      <c r="DJ80" s="111"/>
      <c r="DK80" s="111"/>
      <c r="DL80" s="111"/>
      <c r="DM80" s="111"/>
      <c r="DN80" s="111"/>
      <c r="DO80" s="111"/>
      <c r="DP80" s="111"/>
      <c r="DQ80" s="111"/>
      <c r="DR80" s="111"/>
      <c r="DS80" s="111"/>
      <c r="DT80" s="111"/>
      <c r="DU80" s="111"/>
      <c r="DV80" s="111"/>
      <c r="DW80" s="111"/>
      <c r="DX80" s="111"/>
      <c r="DY80" s="111"/>
      <c r="DZ80" s="111"/>
      <c r="EA80" s="111"/>
      <c r="EB80" s="111"/>
      <c r="EC80" s="111"/>
      <c r="ED80" s="111"/>
      <c r="EE80" s="111"/>
      <c r="EF80" s="111"/>
      <c r="EG80" s="111"/>
      <c r="EH80" s="111"/>
      <c r="EI80" s="111"/>
      <c r="EJ80" s="111"/>
      <c r="EK80" s="111"/>
      <c r="EL80" s="111"/>
      <c r="EM80" s="111"/>
      <c r="EN80" s="111"/>
      <c r="EO80" s="111"/>
      <c r="EP80" s="111"/>
      <c r="EQ80" s="111"/>
      <c r="ER80" s="111"/>
      <c r="ES80" s="111"/>
      <c r="ET80" s="111"/>
      <c r="EU80" s="111"/>
      <c r="EV80" s="111"/>
      <c r="EW80" s="111"/>
      <c r="EX80" s="111"/>
      <c r="EY80" s="111"/>
      <c r="EZ80" s="111"/>
      <c r="FA80" s="2"/>
      <c r="FB80" s="2"/>
      <c r="FC80" s="2"/>
      <c r="FD80" s="2"/>
      <c r="FE80" s="2"/>
      <c r="FF80" s="2"/>
    </row>
    <row x14ac:dyDescent="0.25" r="81" customHeight="1" ht="18.75">
      <c r="A81" s="3"/>
      <c r="B81" s="118" t="s">
        <v>39052</v>
      </c>
      <c r="C81" s="3" t="s">
        <v>39053</v>
      </c>
      <c r="D81" s="3" t="s">
        <v>8</v>
      </c>
      <c r="E81" s="3" t="s">
        <v>38983</v>
      </c>
      <c r="F81" s="3"/>
      <c r="G81" s="3" t="s">
        <v>39324</v>
      </c>
      <c r="H81" s="3" t="s">
        <v>10</v>
      </c>
      <c r="I81" s="3" t="s">
        <v>86</v>
      </c>
      <c r="J81" s="3" t="s">
        <v>5</v>
      </c>
      <c r="K81" s="113" t="s">
        <v>16</v>
      </c>
      <c r="L81" s="3" t="s">
        <v>67</v>
      </c>
      <c r="M81" s="3" t="s">
        <v>39245</v>
      </c>
      <c r="N81" s="3"/>
      <c r="O81" s="3"/>
      <c r="P81" s="3"/>
      <c r="Q81" s="3" t="s">
        <v>39325</v>
      </c>
      <c r="R81" s="3" t="s">
        <v>39247</v>
      </c>
      <c r="S81" s="3" t="s">
        <v>39058</v>
      </c>
      <c r="T81" s="114">
        <v>130000</v>
      </c>
      <c r="U81" s="114">
        <v>130000</v>
      </c>
      <c r="V81" s="114">
        <v>130000</v>
      </c>
      <c r="W81" s="114">
        <v>0</v>
      </c>
      <c r="X81" s="114">
        <v>0</v>
      </c>
      <c r="Y81" s="114">
        <v>0</v>
      </c>
      <c r="Z81" s="114">
        <v>0</v>
      </c>
      <c r="AA81" s="114">
        <v>0</v>
      </c>
      <c r="AB81" s="114">
        <v>0</v>
      </c>
      <c r="AC81" s="114">
        <v>0</v>
      </c>
      <c r="AD81" s="114">
        <v>0</v>
      </c>
      <c r="AE81" s="114">
        <v>0</v>
      </c>
      <c r="AF81" s="114">
        <v>390000</v>
      </c>
      <c r="AG81" s="114">
        <v>0</v>
      </c>
      <c r="AH81" s="114">
        <v>0</v>
      </c>
      <c r="AI81" s="114">
        <v>0</v>
      </c>
      <c r="AJ81" s="114">
        <v>0</v>
      </c>
      <c r="AK81" s="114">
        <v>390000</v>
      </c>
      <c r="AL81" s="114">
        <v>0</v>
      </c>
      <c r="AM81" s="114">
        <v>0</v>
      </c>
      <c r="AN81" s="114">
        <v>0</v>
      </c>
      <c r="AO81" s="114">
        <v>0</v>
      </c>
      <c r="AP81" s="114">
        <v>0</v>
      </c>
      <c r="AQ81" s="114">
        <v>390000</v>
      </c>
      <c r="AR81" s="22">
        <v>219</v>
      </c>
      <c r="AS81" s="3" t="s">
        <v>39248</v>
      </c>
      <c r="AT81" s="115">
        <v>2025</v>
      </c>
      <c r="AU81" s="22">
        <f>_xlfn.XLOOKUP(_tPE26_29_Consolidada[[#This Row], [ID Financeiro]],[5]Projetos!$K:$K,[5]Projetos!$A:$A,0,0)</f>
      </c>
      <c r="AV81" s="3" t="s">
        <v>39326</v>
      </c>
      <c r="AW81" s="3" t="s">
        <v>39116</v>
      </c>
      <c r="AX81" s="8" t="s">
        <v>39325</v>
      </c>
      <c r="AY81" s="8"/>
      <c r="AZ81" s="3" t="s">
        <v>39250</v>
      </c>
      <c r="BA81" s="3"/>
      <c r="BB81" s="3"/>
      <c r="BC81" s="3"/>
      <c r="BD81" s="3"/>
      <c r="BE81" s="3"/>
      <c r="BF81" s="3"/>
      <c r="BG81" s="3"/>
      <c r="BH81" s="3"/>
      <c r="BI81" s="3"/>
      <c r="BJ81" s="3"/>
      <c r="BK81" s="3"/>
      <c r="BL81" s="3"/>
      <c r="BM81" s="3"/>
      <c r="BN81" s="3"/>
      <c r="BO81" s="3"/>
      <c r="BP81" s="116">
        <f>IFERROR(VLOOKUP(_tPE26_29_Consolidada[[#This Row], [ID Financeiro]],'[4]PE 25-29'!$B:$AF,31,FALSE),0)</f>
      </c>
      <c r="BQ81" s="116">
        <f>_tPE26_29_Consolidada[[#This Row], [2026]]*1000</f>
      </c>
      <c r="BR81" s="117">
        <f>_tPE26_29_Consolidada[[#This Row], [Orçado 2026 (PE25-29)]]-_tPE26_29_Consolidada[[#This Row], [Orçado 2026 (PE26-30)]]</f>
      </c>
      <c r="BS81" s="117">
        <f>IFERROR(VLOOKUP(_tPE26_29_Consolidada[[#This Row], [ID Financeiro]],'[4]PE 25-29'!$B:$AT,45,FALSE),0)</f>
      </c>
      <c r="BT81" s="117">
        <f>_tPE26_29_Consolidada[[#This Row], [2026-2030]]*1000</f>
      </c>
      <c r="BU81" s="117">
        <f>-_tPE26_29_Consolidada[[#This Row], [Orçado 26/30 (PE25-29)]]+_tPE26_29_Consolidada[[#This Row], [Orçado 26/30 (PE26-30)]]</f>
      </c>
      <c r="BV81" s="119">
        <f>IFERROR(_tPE26_29_Consolidada[[#This Row], [Dif2]]/_tPE26_29_Consolidada[[#This Row], [Orçado 26/30 (PE25-29)]],0)</f>
      </c>
      <c r="BW81" s="1"/>
      <c r="BX81" s="1"/>
      <c r="BY81" s="1"/>
      <c r="BZ81" s="1"/>
      <c r="CA81" s="1"/>
      <c r="CB81" s="1"/>
      <c r="CC81" s="1"/>
      <c r="CD81" s="1"/>
      <c r="CE81" s="1"/>
      <c r="CF81" s="1"/>
      <c r="CG81" s="1"/>
      <c r="CH81" s="1"/>
      <c r="CI81" s="1"/>
      <c r="CJ81" s="1"/>
      <c r="CK81" s="1"/>
      <c r="CL81" s="1"/>
      <c r="CM81" s="1"/>
      <c r="CN81" s="1"/>
      <c r="CO81" s="1"/>
      <c r="CP81" s="1"/>
      <c r="CQ81" s="111"/>
      <c r="CR81" s="111"/>
      <c r="CS81" s="111"/>
      <c r="CT81" s="111"/>
      <c r="CU81" s="111"/>
      <c r="CV81" s="111"/>
      <c r="CW81" s="111"/>
      <c r="CX81" s="111"/>
      <c r="CY81" s="111"/>
      <c r="CZ81" s="111"/>
      <c r="DA81" s="111"/>
      <c r="DB81" s="111"/>
      <c r="DC81" s="111"/>
      <c r="DD81" s="111"/>
      <c r="DE81" s="111"/>
      <c r="DF81" s="111"/>
      <c r="DG81" s="111"/>
      <c r="DH81" s="111"/>
      <c r="DI81" s="111"/>
      <c r="DJ81" s="111"/>
      <c r="DK81" s="111"/>
      <c r="DL81" s="111"/>
      <c r="DM81" s="111"/>
      <c r="DN81" s="111"/>
      <c r="DO81" s="111"/>
      <c r="DP81" s="111"/>
      <c r="DQ81" s="111"/>
      <c r="DR81" s="111"/>
      <c r="DS81" s="111"/>
      <c r="DT81" s="111"/>
      <c r="DU81" s="111"/>
      <c r="DV81" s="111"/>
      <c r="DW81" s="111"/>
      <c r="DX81" s="111"/>
      <c r="DY81" s="111"/>
      <c r="DZ81" s="111"/>
      <c r="EA81" s="111"/>
      <c r="EB81" s="111"/>
      <c r="EC81" s="111"/>
      <c r="ED81" s="111"/>
      <c r="EE81" s="111"/>
      <c r="EF81" s="111"/>
      <c r="EG81" s="111"/>
      <c r="EH81" s="111"/>
      <c r="EI81" s="111"/>
      <c r="EJ81" s="111"/>
      <c r="EK81" s="111"/>
      <c r="EL81" s="111"/>
      <c r="EM81" s="111"/>
      <c r="EN81" s="111"/>
      <c r="EO81" s="111"/>
      <c r="EP81" s="111"/>
      <c r="EQ81" s="111"/>
      <c r="ER81" s="111"/>
      <c r="ES81" s="111"/>
      <c r="ET81" s="111"/>
      <c r="EU81" s="111"/>
      <c r="EV81" s="111"/>
      <c r="EW81" s="111"/>
      <c r="EX81" s="111"/>
      <c r="EY81" s="111"/>
      <c r="EZ81" s="111"/>
      <c r="FA81" s="2"/>
      <c r="FB81" s="2"/>
      <c r="FC81" s="2"/>
      <c r="FD81" s="2"/>
      <c r="FE81" s="2"/>
      <c r="FF81" s="2"/>
    </row>
    <row x14ac:dyDescent="0.25" r="82" customHeight="1" ht="18.75">
      <c r="A82" s="3"/>
      <c r="B82" s="118" t="s">
        <v>39052</v>
      </c>
      <c r="C82" s="3" t="s">
        <v>39053</v>
      </c>
      <c r="D82" s="3" t="s">
        <v>8</v>
      </c>
      <c r="E82" s="3" t="s">
        <v>38983</v>
      </c>
      <c r="F82" s="3"/>
      <c r="G82" s="3" t="s">
        <v>39327</v>
      </c>
      <c r="H82" s="3" t="s">
        <v>10</v>
      </c>
      <c r="I82" s="3" t="s">
        <v>86</v>
      </c>
      <c r="J82" s="3" t="s">
        <v>5</v>
      </c>
      <c r="K82" s="113" t="s">
        <v>16</v>
      </c>
      <c r="L82" s="3" t="s">
        <v>67</v>
      </c>
      <c r="M82" s="3" t="s">
        <v>39055</v>
      </c>
      <c r="N82" s="3"/>
      <c r="O82" s="3"/>
      <c r="P82" s="3"/>
      <c r="Q82" s="3" t="s">
        <v>39328</v>
      </c>
      <c r="R82" s="3" t="s">
        <v>39057</v>
      </c>
      <c r="S82" s="3" t="s">
        <v>39098</v>
      </c>
      <c r="T82" s="114">
        <v>0</v>
      </c>
      <c r="U82" s="114">
        <v>0</v>
      </c>
      <c r="V82" s="114">
        <v>0</v>
      </c>
      <c r="W82" s="114">
        <v>0</v>
      </c>
      <c r="X82" s="114">
        <v>0</v>
      </c>
      <c r="Y82" s="114">
        <v>0</v>
      </c>
      <c r="Z82" s="114">
        <v>0</v>
      </c>
      <c r="AA82" s="114">
        <v>0</v>
      </c>
      <c r="AB82" s="114">
        <v>0</v>
      </c>
      <c r="AC82" s="114">
        <v>200000</v>
      </c>
      <c r="AD82" s="114">
        <v>0</v>
      </c>
      <c r="AE82" s="114">
        <v>0</v>
      </c>
      <c r="AF82" s="114">
        <v>200000</v>
      </c>
      <c r="AG82" s="114">
        <v>100000</v>
      </c>
      <c r="AH82" s="114">
        <v>0</v>
      </c>
      <c r="AI82" s="114">
        <v>0</v>
      </c>
      <c r="AJ82" s="114">
        <v>0</v>
      </c>
      <c r="AK82" s="114">
        <v>300000</v>
      </c>
      <c r="AL82" s="114">
        <v>0</v>
      </c>
      <c r="AM82" s="114">
        <v>0</v>
      </c>
      <c r="AN82" s="114">
        <v>0</v>
      </c>
      <c r="AO82" s="114">
        <v>0</v>
      </c>
      <c r="AP82" s="114">
        <v>0</v>
      </c>
      <c r="AQ82" s="114">
        <v>300000</v>
      </c>
      <c r="AR82" s="22">
        <v>220</v>
      </c>
      <c r="AS82" s="3" t="s">
        <v>39059</v>
      </c>
      <c r="AT82" s="115">
        <v>2025</v>
      </c>
      <c r="AU82" s="22">
        <f>_xlfn.XLOOKUP(_tPE26_29_Consolidada[[#This Row], [ID Financeiro]],[5]Projetos!$K:$K,[5]Projetos!$A:$A,0,0)</f>
      </c>
      <c r="AV82" s="3" t="s">
        <v>39329</v>
      </c>
      <c r="AW82" s="3" t="s">
        <v>39194</v>
      </c>
      <c r="AX82" s="8" t="s">
        <v>39328</v>
      </c>
      <c r="AY82" s="8"/>
      <c r="AZ82" s="3" t="s">
        <v>39187</v>
      </c>
      <c r="BA82" s="3"/>
      <c r="BB82" s="3"/>
      <c r="BC82" s="3"/>
      <c r="BD82" s="3"/>
      <c r="BE82" s="3"/>
      <c r="BF82" s="3"/>
      <c r="BG82" s="3"/>
      <c r="BH82" s="3"/>
      <c r="BI82" s="3"/>
      <c r="BJ82" s="3"/>
      <c r="BK82" s="3"/>
      <c r="BL82" s="3"/>
      <c r="BM82" s="3"/>
      <c r="BN82" s="3"/>
      <c r="BO82" s="3"/>
      <c r="BP82" s="116">
        <f>IFERROR(VLOOKUP(_tPE26_29_Consolidada[[#This Row], [ID Financeiro]],'[4]PE 25-29'!$B:$AF,31,FALSE),0)</f>
      </c>
      <c r="BQ82" s="116">
        <f>_tPE26_29_Consolidada[[#This Row], [2026]]*1000</f>
      </c>
      <c r="BR82" s="117">
        <f>_tPE26_29_Consolidada[[#This Row], [Orçado 2026 (PE25-29)]]-_tPE26_29_Consolidada[[#This Row], [Orçado 2026 (PE26-30)]]</f>
      </c>
      <c r="BS82" s="117">
        <f>IFERROR(VLOOKUP(_tPE26_29_Consolidada[[#This Row], [ID Financeiro]],'[4]PE 25-29'!$B:$AT,45,FALSE),0)</f>
      </c>
      <c r="BT82" s="117">
        <f>_tPE26_29_Consolidada[[#This Row], [2026-2030]]*1000</f>
      </c>
      <c r="BU82" s="117">
        <f>-_tPE26_29_Consolidada[[#This Row], [Orçado 26/30 (PE25-29)]]+_tPE26_29_Consolidada[[#This Row], [Orçado 26/30 (PE26-30)]]</f>
      </c>
      <c r="BV82" s="119">
        <f>IFERROR(_tPE26_29_Consolidada[[#This Row], [Dif2]]/_tPE26_29_Consolidada[[#This Row], [Orçado 26/30 (PE25-29)]],0)</f>
      </c>
      <c r="BW82" s="1"/>
      <c r="BX82" s="1"/>
      <c r="BY82" s="1"/>
      <c r="BZ82" s="1"/>
      <c r="CA82" s="1"/>
      <c r="CB82" s="1"/>
      <c r="CC82" s="1"/>
      <c r="CD82" s="1"/>
      <c r="CE82" s="1"/>
      <c r="CF82" s="1"/>
      <c r="CG82" s="1"/>
      <c r="CH82" s="1"/>
      <c r="CI82" s="1"/>
      <c r="CJ82" s="1"/>
      <c r="CK82" s="1"/>
      <c r="CL82" s="1"/>
      <c r="CM82" s="1"/>
      <c r="CN82" s="1"/>
      <c r="CO82" s="1"/>
      <c r="CP82" s="1"/>
      <c r="CQ82" s="111"/>
      <c r="CR82" s="111"/>
      <c r="CS82" s="111"/>
      <c r="CT82" s="111"/>
      <c r="CU82" s="111"/>
      <c r="CV82" s="111"/>
      <c r="CW82" s="111"/>
      <c r="CX82" s="111"/>
      <c r="CY82" s="111"/>
      <c r="CZ82" s="111"/>
      <c r="DA82" s="111"/>
      <c r="DB82" s="111"/>
      <c r="DC82" s="111"/>
      <c r="DD82" s="111"/>
      <c r="DE82" s="111"/>
      <c r="DF82" s="111"/>
      <c r="DG82" s="111"/>
      <c r="DH82" s="111"/>
      <c r="DI82" s="111"/>
      <c r="DJ82" s="111"/>
      <c r="DK82" s="111"/>
      <c r="DL82" s="111"/>
      <c r="DM82" s="111"/>
      <c r="DN82" s="111"/>
      <c r="DO82" s="111"/>
      <c r="DP82" s="111"/>
      <c r="DQ82" s="111"/>
      <c r="DR82" s="111"/>
      <c r="DS82" s="111"/>
      <c r="DT82" s="111"/>
      <c r="DU82" s="111"/>
      <c r="DV82" s="111"/>
      <c r="DW82" s="111"/>
      <c r="DX82" s="111"/>
      <c r="DY82" s="111"/>
      <c r="DZ82" s="111"/>
      <c r="EA82" s="111"/>
      <c r="EB82" s="111"/>
      <c r="EC82" s="111"/>
      <c r="ED82" s="111"/>
      <c r="EE82" s="111"/>
      <c r="EF82" s="111"/>
      <c r="EG82" s="111"/>
      <c r="EH82" s="111"/>
      <c r="EI82" s="111"/>
      <c r="EJ82" s="111"/>
      <c r="EK82" s="111"/>
      <c r="EL82" s="111"/>
      <c r="EM82" s="111"/>
      <c r="EN82" s="111"/>
      <c r="EO82" s="111"/>
      <c r="EP82" s="111"/>
      <c r="EQ82" s="111"/>
      <c r="ER82" s="111"/>
      <c r="ES82" s="111"/>
      <c r="ET82" s="111"/>
      <c r="EU82" s="111"/>
      <c r="EV82" s="111"/>
      <c r="EW82" s="111"/>
      <c r="EX82" s="111"/>
      <c r="EY82" s="111"/>
      <c r="EZ82" s="111"/>
      <c r="FA82" s="2"/>
      <c r="FB82" s="2"/>
      <c r="FC82" s="2"/>
      <c r="FD82" s="2"/>
      <c r="FE82" s="2"/>
      <c r="FF82" s="2"/>
    </row>
    <row x14ac:dyDescent="0.25" r="83" customHeight="1" ht="18.75">
      <c r="A83" s="3"/>
      <c r="B83" s="118" t="s">
        <v>39052</v>
      </c>
      <c r="C83" s="3" t="s">
        <v>39053</v>
      </c>
      <c r="D83" s="3" t="s">
        <v>8</v>
      </c>
      <c r="E83" s="3" t="s">
        <v>38983</v>
      </c>
      <c r="F83" s="3"/>
      <c r="G83" s="3" t="s">
        <v>39330</v>
      </c>
      <c r="H83" s="3" t="s">
        <v>10</v>
      </c>
      <c r="I83" s="3" t="s">
        <v>86</v>
      </c>
      <c r="J83" s="3" t="s">
        <v>5</v>
      </c>
      <c r="K83" s="113" t="s">
        <v>16</v>
      </c>
      <c r="L83" s="3" t="s">
        <v>67</v>
      </c>
      <c r="M83" s="3" t="s">
        <v>39331</v>
      </c>
      <c r="N83" s="3"/>
      <c r="O83" s="3"/>
      <c r="P83" s="3"/>
      <c r="Q83" s="3" t="s">
        <v>39332</v>
      </c>
      <c r="R83" s="3" t="s">
        <v>39333</v>
      </c>
      <c r="S83" s="3" t="s">
        <v>39058</v>
      </c>
      <c r="T83" s="114">
        <v>660000</v>
      </c>
      <c r="U83" s="114">
        <v>740000</v>
      </c>
      <c r="V83" s="114">
        <v>660000</v>
      </c>
      <c r="W83" s="114">
        <v>660000</v>
      </c>
      <c r="X83" s="114">
        <v>660000</v>
      </c>
      <c r="Y83" s="114">
        <v>660000</v>
      </c>
      <c r="Z83" s="114">
        <v>660000</v>
      </c>
      <c r="AA83" s="114">
        <v>660000</v>
      </c>
      <c r="AB83" s="114">
        <v>660000</v>
      </c>
      <c r="AC83" s="114">
        <v>660000</v>
      </c>
      <c r="AD83" s="114">
        <v>660000</v>
      </c>
      <c r="AE83" s="114">
        <v>660000</v>
      </c>
      <c r="AF83" s="114">
        <v>8000000</v>
      </c>
      <c r="AG83" s="114">
        <v>8000000</v>
      </c>
      <c r="AH83" s="114">
        <v>8000000</v>
      </c>
      <c r="AI83" s="114">
        <v>8000000</v>
      </c>
      <c r="AJ83" s="114">
        <v>8000000</v>
      </c>
      <c r="AK83" s="114">
        <v>40000000</v>
      </c>
      <c r="AL83" s="114">
        <v>0</v>
      </c>
      <c r="AM83" s="114">
        <v>0</v>
      </c>
      <c r="AN83" s="114">
        <v>0</v>
      </c>
      <c r="AO83" s="114">
        <v>0</v>
      </c>
      <c r="AP83" s="114">
        <v>0</v>
      </c>
      <c r="AQ83" s="114">
        <v>40000000</v>
      </c>
      <c r="AR83" s="22">
        <v>221</v>
      </c>
      <c r="AS83" s="3" t="s">
        <v>39334</v>
      </c>
      <c r="AT83" s="115">
        <v>2025</v>
      </c>
      <c r="AU83" s="22">
        <f>_xlfn.XLOOKUP(_tPE26_29_Consolidada[[#This Row], [ID Financeiro]],[5]Projetos!$K:$K,[5]Projetos!$A:$A,0,0)</f>
      </c>
      <c r="AV83" s="3" t="s">
        <v>39335</v>
      </c>
      <c r="AW83" s="3" t="s">
        <v>39116</v>
      </c>
      <c r="AX83" s="8" t="s">
        <v>39332</v>
      </c>
      <c r="AY83" s="8"/>
      <c r="AZ83" s="3" t="s">
        <v>39336</v>
      </c>
      <c r="BA83" s="3"/>
      <c r="BB83" s="3"/>
      <c r="BC83" s="3"/>
      <c r="BD83" s="3"/>
      <c r="BE83" s="3"/>
      <c r="BF83" s="3"/>
      <c r="BG83" s="3"/>
      <c r="BH83" s="3"/>
      <c r="BI83" s="3"/>
      <c r="BJ83" s="3"/>
      <c r="BK83" s="3"/>
      <c r="BL83" s="3"/>
      <c r="BM83" s="3"/>
      <c r="BN83" s="3"/>
      <c r="BO83" s="3"/>
      <c r="BP83" s="116">
        <f>IFERROR(VLOOKUP(_tPE26_29_Consolidada[[#This Row], [ID Financeiro]],'[4]PE 25-29'!$B:$AF,31,FALSE),0)</f>
      </c>
      <c r="BQ83" s="116">
        <f>_tPE26_29_Consolidada[[#This Row], [2026]]*1000</f>
      </c>
      <c r="BR83" s="117">
        <f>_tPE26_29_Consolidada[[#This Row], [Orçado 2026 (PE25-29)]]-_tPE26_29_Consolidada[[#This Row], [Orçado 2026 (PE26-30)]]</f>
      </c>
      <c r="BS83" s="117">
        <f>IFERROR(VLOOKUP(_tPE26_29_Consolidada[[#This Row], [ID Financeiro]],'[4]PE 25-29'!$B:$AT,45,FALSE),0)</f>
      </c>
      <c r="BT83" s="117">
        <f>_tPE26_29_Consolidada[[#This Row], [2026-2030]]*1000</f>
      </c>
      <c r="BU83" s="117">
        <f>-_tPE26_29_Consolidada[[#This Row], [Orçado 26/30 (PE25-29)]]+_tPE26_29_Consolidada[[#This Row], [Orçado 26/30 (PE26-30)]]</f>
      </c>
      <c r="BV83" s="119">
        <f>IFERROR(_tPE26_29_Consolidada[[#This Row], [Dif2]]/_tPE26_29_Consolidada[[#This Row], [Orçado 26/30 (PE25-29)]],0)</f>
      </c>
      <c r="BW83" s="1"/>
      <c r="BX83" s="1"/>
      <c r="BY83" s="1"/>
      <c r="BZ83" s="1"/>
      <c r="CA83" s="1"/>
      <c r="CB83" s="1"/>
      <c r="CC83" s="1"/>
      <c r="CD83" s="1"/>
      <c r="CE83" s="1"/>
      <c r="CF83" s="1"/>
      <c r="CG83" s="1"/>
      <c r="CH83" s="1"/>
      <c r="CI83" s="1"/>
      <c r="CJ83" s="1"/>
      <c r="CK83" s="1"/>
      <c r="CL83" s="1"/>
      <c r="CM83" s="1"/>
      <c r="CN83" s="1"/>
      <c r="CO83" s="1"/>
      <c r="CP83" s="1"/>
      <c r="CQ83" s="111"/>
      <c r="CR83" s="111"/>
      <c r="CS83" s="111"/>
      <c r="CT83" s="111"/>
      <c r="CU83" s="111"/>
      <c r="CV83" s="111"/>
      <c r="CW83" s="111"/>
      <c r="CX83" s="111"/>
      <c r="CY83" s="111"/>
      <c r="CZ83" s="111"/>
      <c r="DA83" s="111"/>
      <c r="DB83" s="111"/>
      <c r="DC83" s="111"/>
      <c r="DD83" s="111"/>
      <c r="DE83" s="111"/>
      <c r="DF83" s="111"/>
      <c r="DG83" s="111"/>
      <c r="DH83" s="111"/>
      <c r="DI83" s="111"/>
      <c r="DJ83" s="111"/>
      <c r="DK83" s="111"/>
      <c r="DL83" s="111"/>
      <c r="DM83" s="111"/>
      <c r="DN83" s="111"/>
      <c r="DO83" s="111"/>
      <c r="DP83" s="111"/>
      <c r="DQ83" s="111"/>
      <c r="DR83" s="111"/>
      <c r="DS83" s="111"/>
      <c r="DT83" s="111"/>
      <c r="DU83" s="111"/>
      <c r="DV83" s="111"/>
      <c r="DW83" s="111"/>
      <c r="DX83" s="111"/>
      <c r="DY83" s="111"/>
      <c r="DZ83" s="111"/>
      <c r="EA83" s="111"/>
      <c r="EB83" s="111"/>
      <c r="EC83" s="111"/>
      <c r="ED83" s="111"/>
      <c r="EE83" s="111"/>
      <c r="EF83" s="111"/>
      <c r="EG83" s="111"/>
      <c r="EH83" s="111"/>
      <c r="EI83" s="111"/>
      <c r="EJ83" s="111"/>
      <c r="EK83" s="111"/>
      <c r="EL83" s="111"/>
      <c r="EM83" s="111"/>
      <c r="EN83" s="111"/>
      <c r="EO83" s="111"/>
      <c r="EP83" s="111"/>
      <c r="EQ83" s="111"/>
      <c r="ER83" s="111"/>
      <c r="ES83" s="111"/>
      <c r="ET83" s="111"/>
      <c r="EU83" s="111"/>
      <c r="EV83" s="111"/>
      <c r="EW83" s="111"/>
      <c r="EX83" s="111"/>
      <c r="EY83" s="111"/>
      <c r="EZ83" s="111"/>
      <c r="FA83" s="2"/>
      <c r="FB83" s="2"/>
      <c r="FC83" s="2"/>
      <c r="FD83" s="2"/>
      <c r="FE83" s="2"/>
      <c r="FF83" s="2"/>
    </row>
    <row x14ac:dyDescent="0.25" r="84" customHeight="1" ht="18.75">
      <c r="A84" s="3"/>
      <c r="B84" s="118" t="s">
        <v>39052</v>
      </c>
      <c r="C84" s="3" t="s">
        <v>39053</v>
      </c>
      <c r="D84" s="3" t="s">
        <v>8</v>
      </c>
      <c r="E84" s="3" t="s">
        <v>38983</v>
      </c>
      <c r="F84" s="3"/>
      <c r="G84" s="3" t="s">
        <v>39337</v>
      </c>
      <c r="H84" s="3" t="s">
        <v>10</v>
      </c>
      <c r="I84" s="3" t="s">
        <v>86</v>
      </c>
      <c r="J84" s="3" t="s">
        <v>5</v>
      </c>
      <c r="K84" s="113" t="s">
        <v>16</v>
      </c>
      <c r="L84" s="3" t="s">
        <v>67</v>
      </c>
      <c r="M84" s="3" t="s">
        <v>39055</v>
      </c>
      <c r="N84" s="3"/>
      <c r="O84" s="3"/>
      <c r="P84" s="3"/>
      <c r="Q84" s="3" t="s">
        <v>39338</v>
      </c>
      <c r="R84" s="3" t="s">
        <v>39057</v>
      </c>
      <c r="S84" s="3" t="s">
        <v>39058</v>
      </c>
      <c r="T84" s="114">
        <v>50000</v>
      </c>
      <c r="U84" s="114">
        <v>50000</v>
      </c>
      <c r="V84" s="114">
        <v>75000</v>
      </c>
      <c r="W84" s="114">
        <v>50000</v>
      </c>
      <c r="X84" s="114">
        <v>50000</v>
      </c>
      <c r="Y84" s="114">
        <v>75000</v>
      </c>
      <c r="Z84" s="114">
        <v>50000</v>
      </c>
      <c r="AA84" s="114">
        <v>75000</v>
      </c>
      <c r="AB84" s="114">
        <v>50000</v>
      </c>
      <c r="AC84" s="114">
        <v>75000</v>
      </c>
      <c r="AD84" s="114">
        <v>50000</v>
      </c>
      <c r="AE84" s="114">
        <v>50000</v>
      </c>
      <c r="AF84" s="114">
        <v>700000</v>
      </c>
      <c r="AG84" s="114">
        <v>300000</v>
      </c>
      <c r="AH84" s="114">
        <v>0</v>
      </c>
      <c r="AI84" s="114">
        <v>0</v>
      </c>
      <c r="AJ84" s="114">
        <v>0</v>
      </c>
      <c r="AK84" s="114">
        <v>1000000</v>
      </c>
      <c r="AL84" s="114">
        <v>0</v>
      </c>
      <c r="AM84" s="114">
        <v>0</v>
      </c>
      <c r="AN84" s="114">
        <v>0</v>
      </c>
      <c r="AO84" s="114">
        <v>0</v>
      </c>
      <c r="AP84" s="114">
        <v>0</v>
      </c>
      <c r="AQ84" s="114">
        <v>1000000</v>
      </c>
      <c r="AR84" s="22">
        <v>222</v>
      </c>
      <c r="AS84" s="3" t="s">
        <v>39059</v>
      </c>
      <c r="AT84" s="115">
        <v>2025</v>
      </c>
      <c r="AU84" s="22">
        <f>_xlfn.XLOOKUP(_tPE26_29_Consolidada[[#This Row], [ID Financeiro]],[5]Projetos!$K:$K,[5]Projetos!$A:$A,0,0)</f>
      </c>
      <c r="AV84" s="3" t="s">
        <v>39339</v>
      </c>
      <c r="AW84" s="3" t="s">
        <v>46</v>
      </c>
      <c r="AX84" s="8" t="s">
        <v>39338</v>
      </c>
      <c r="AY84" s="8"/>
      <c r="AZ84" s="3" t="s">
        <v>39340</v>
      </c>
      <c r="BA84" s="3"/>
      <c r="BB84" s="3"/>
      <c r="BC84" s="3"/>
      <c r="BD84" s="3"/>
      <c r="BE84" s="3"/>
      <c r="BF84" s="3"/>
      <c r="BG84" s="3"/>
      <c r="BH84" s="3"/>
      <c r="BI84" s="3"/>
      <c r="BJ84" s="3"/>
      <c r="BK84" s="3"/>
      <c r="BL84" s="3"/>
      <c r="BM84" s="3"/>
      <c r="BN84" s="3"/>
      <c r="BO84" s="3"/>
      <c r="BP84" s="116">
        <f>IFERROR(VLOOKUP(_tPE26_29_Consolidada[[#This Row], [ID Financeiro]],'[4]PE 25-29'!$B:$AF,31,FALSE),0)</f>
      </c>
      <c r="BQ84" s="116">
        <f>_tPE26_29_Consolidada[[#This Row], [2026]]*1000</f>
      </c>
      <c r="BR84" s="117">
        <f>_tPE26_29_Consolidada[[#This Row], [Orçado 2026 (PE25-29)]]-_tPE26_29_Consolidada[[#This Row], [Orçado 2026 (PE26-30)]]</f>
      </c>
      <c r="BS84" s="117">
        <f>IFERROR(VLOOKUP(_tPE26_29_Consolidada[[#This Row], [ID Financeiro]],'[4]PE 25-29'!$B:$AT,45,FALSE),0)</f>
      </c>
      <c r="BT84" s="117">
        <f>_tPE26_29_Consolidada[[#This Row], [2026-2030]]*1000</f>
      </c>
      <c r="BU84" s="117">
        <f>-_tPE26_29_Consolidada[[#This Row], [Orçado 26/30 (PE25-29)]]+_tPE26_29_Consolidada[[#This Row], [Orçado 26/30 (PE26-30)]]</f>
      </c>
      <c r="BV84" s="119">
        <f>IFERROR(_tPE26_29_Consolidada[[#This Row], [Dif2]]/_tPE26_29_Consolidada[[#This Row], [Orçado 26/30 (PE25-29)]],0)</f>
      </c>
      <c r="BW84" s="1"/>
      <c r="BX84" s="1"/>
      <c r="BY84" s="1"/>
      <c r="BZ84" s="1"/>
      <c r="CA84" s="1"/>
      <c r="CB84" s="1"/>
      <c r="CC84" s="1"/>
      <c r="CD84" s="1"/>
      <c r="CE84" s="1"/>
      <c r="CF84" s="1"/>
      <c r="CG84" s="1"/>
      <c r="CH84" s="1"/>
      <c r="CI84" s="1"/>
      <c r="CJ84" s="1"/>
      <c r="CK84" s="1"/>
      <c r="CL84" s="1"/>
      <c r="CM84" s="1"/>
      <c r="CN84" s="1"/>
      <c r="CO84" s="1"/>
      <c r="CP84" s="1"/>
      <c r="CQ84" s="111"/>
      <c r="CR84" s="111"/>
      <c r="CS84" s="111"/>
      <c r="CT84" s="111"/>
      <c r="CU84" s="111"/>
      <c r="CV84" s="111"/>
      <c r="CW84" s="111"/>
      <c r="CX84" s="111"/>
      <c r="CY84" s="111"/>
      <c r="CZ84" s="111"/>
      <c r="DA84" s="111"/>
      <c r="DB84" s="111"/>
      <c r="DC84" s="111"/>
      <c r="DD84" s="111"/>
      <c r="DE84" s="111"/>
      <c r="DF84" s="111"/>
      <c r="DG84" s="111"/>
      <c r="DH84" s="111"/>
      <c r="DI84" s="111"/>
      <c r="DJ84" s="111"/>
      <c r="DK84" s="111"/>
      <c r="DL84" s="111"/>
      <c r="DM84" s="111"/>
      <c r="DN84" s="111"/>
      <c r="DO84" s="111"/>
      <c r="DP84" s="111"/>
      <c r="DQ84" s="111"/>
      <c r="DR84" s="111"/>
      <c r="DS84" s="111"/>
      <c r="DT84" s="111"/>
      <c r="DU84" s="111"/>
      <c r="DV84" s="111"/>
      <c r="DW84" s="111"/>
      <c r="DX84" s="111"/>
      <c r="DY84" s="111"/>
      <c r="DZ84" s="111"/>
      <c r="EA84" s="111"/>
      <c r="EB84" s="111"/>
      <c r="EC84" s="111"/>
      <c r="ED84" s="111"/>
      <c r="EE84" s="111"/>
      <c r="EF84" s="111"/>
      <c r="EG84" s="111"/>
      <c r="EH84" s="111"/>
      <c r="EI84" s="111"/>
      <c r="EJ84" s="111"/>
      <c r="EK84" s="111"/>
      <c r="EL84" s="111"/>
      <c r="EM84" s="111"/>
      <c r="EN84" s="111"/>
      <c r="EO84" s="111"/>
      <c r="EP84" s="111"/>
      <c r="EQ84" s="111"/>
      <c r="ER84" s="111"/>
      <c r="ES84" s="111"/>
      <c r="ET84" s="111"/>
      <c r="EU84" s="111"/>
      <c r="EV84" s="111"/>
      <c r="EW84" s="111"/>
      <c r="EX84" s="111"/>
      <c r="EY84" s="111"/>
      <c r="EZ84" s="111"/>
      <c r="FA84" s="2"/>
      <c r="FB84" s="2"/>
      <c r="FC84" s="2"/>
      <c r="FD84" s="2"/>
      <c r="FE84" s="2"/>
      <c r="FF84" s="2"/>
    </row>
    <row x14ac:dyDescent="0.25" r="85" customHeight="1" ht="18.75">
      <c r="A85" s="3"/>
      <c r="B85" s="118" t="s">
        <v>39052</v>
      </c>
      <c r="C85" s="3" t="s">
        <v>39053</v>
      </c>
      <c r="D85" s="3" t="s">
        <v>8</v>
      </c>
      <c r="E85" s="3" t="s">
        <v>38983</v>
      </c>
      <c r="F85" s="3"/>
      <c r="G85" s="3" t="s">
        <v>39341</v>
      </c>
      <c r="H85" s="3" t="s">
        <v>10</v>
      </c>
      <c r="I85" s="3" t="s">
        <v>86</v>
      </c>
      <c r="J85" s="3" t="s">
        <v>5</v>
      </c>
      <c r="K85" s="113" t="s">
        <v>16</v>
      </c>
      <c r="L85" s="3" t="s">
        <v>67</v>
      </c>
      <c r="M85" s="3" t="s">
        <v>39055</v>
      </c>
      <c r="N85" s="3"/>
      <c r="O85" s="3"/>
      <c r="P85" s="3"/>
      <c r="Q85" s="3" t="s">
        <v>39342</v>
      </c>
      <c r="R85" s="3" t="s">
        <v>39155</v>
      </c>
      <c r="S85" s="3" t="s">
        <v>39058</v>
      </c>
      <c r="T85" s="114">
        <v>0</v>
      </c>
      <c r="U85" s="114">
        <v>0</v>
      </c>
      <c r="V85" s="114">
        <v>450000</v>
      </c>
      <c r="W85" s="114">
        <v>350000</v>
      </c>
      <c r="X85" s="114">
        <v>350000</v>
      </c>
      <c r="Y85" s="114">
        <v>350000</v>
      </c>
      <c r="Z85" s="114">
        <v>350000</v>
      </c>
      <c r="AA85" s="114">
        <v>350000</v>
      </c>
      <c r="AB85" s="114">
        <v>350000</v>
      </c>
      <c r="AC85" s="114">
        <v>350000</v>
      </c>
      <c r="AD85" s="114">
        <v>350000</v>
      </c>
      <c r="AE85" s="114">
        <v>350000</v>
      </c>
      <c r="AF85" s="114">
        <v>3600000</v>
      </c>
      <c r="AG85" s="114">
        <v>2500000</v>
      </c>
      <c r="AH85" s="114">
        <v>0</v>
      </c>
      <c r="AI85" s="114">
        <v>0</v>
      </c>
      <c r="AJ85" s="114">
        <v>0</v>
      </c>
      <c r="AK85" s="114">
        <v>6100000</v>
      </c>
      <c r="AL85" s="114">
        <v>0</v>
      </c>
      <c r="AM85" s="114">
        <v>0</v>
      </c>
      <c r="AN85" s="114">
        <v>0</v>
      </c>
      <c r="AO85" s="114">
        <v>0</v>
      </c>
      <c r="AP85" s="114">
        <v>0</v>
      </c>
      <c r="AQ85" s="114">
        <v>6100000</v>
      </c>
      <c r="AR85" s="22">
        <v>223</v>
      </c>
      <c r="AS85" s="3" t="s">
        <v>39156</v>
      </c>
      <c r="AT85" s="115">
        <v>2025</v>
      </c>
      <c r="AU85" s="22">
        <f>_xlfn.XLOOKUP(_tPE26_29_Consolidada[[#This Row], [ID Financeiro]],[5]Projetos!$K:$K,[5]Projetos!$A:$A,0,0)</f>
      </c>
      <c r="AV85" s="3" t="s">
        <v>39343</v>
      </c>
      <c r="AW85" s="3" t="s">
        <v>39116</v>
      </c>
      <c r="AX85" s="8" t="s">
        <v>39342</v>
      </c>
      <c r="AY85" s="8"/>
      <c r="AZ85" s="3" t="s">
        <v>39158</v>
      </c>
      <c r="BA85" s="3"/>
      <c r="BB85" s="3"/>
      <c r="BC85" s="3"/>
      <c r="BD85" s="3"/>
      <c r="BE85" s="3"/>
      <c r="BF85" s="3"/>
      <c r="BG85" s="3"/>
      <c r="BH85" s="3"/>
      <c r="BI85" s="3"/>
      <c r="BJ85" s="3"/>
      <c r="BK85" s="3"/>
      <c r="BL85" s="3"/>
      <c r="BM85" s="3"/>
      <c r="BN85" s="3"/>
      <c r="BO85" s="3"/>
      <c r="BP85" s="116">
        <f>IFERROR(VLOOKUP(_tPE26_29_Consolidada[[#This Row], [ID Financeiro]],'[4]PE 25-29'!$B:$AF,31,FALSE),0)</f>
      </c>
      <c r="BQ85" s="116">
        <f>_tPE26_29_Consolidada[[#This Row], [2026]]*1000</f>
      </c>
      <c r="BR85" s="117">
        <f>_tPE26_29_Consolidada[[#This Row], [Orçado 2026 (PE25-29)]]-_tPE26_29_Consolidada[[#This Row], [Orçado 2026 (PE26-30)]]</f>
      </c>
      <c r="BS85" s="117">
        <f>IFERROR(VLOOKUP(_tPE26_29_Consolidada[[#This Row], [ID Financeiro]],'[4]PE 25-29'!$B:$AT,45,FALSE),0)</f>
      </c>
      <c r="BT85" s="117">
        <f>_tPE26_29_Consolidada[[#This Row], [2026-2030]]*1000</f>
      </c>
      <c r="BU85" s="117">
        <f>-_tPE26_29_Consolidada[[#This Row], [Orçado 26/30 (PE25-29)]]+_tPE26_29_Consolidada[[#This Row], [Orçado 26/30 (PE26-30)]]</f>
      </c>
      <c r="BV85" s="119">
        <f>IFERROR(_tPE26_29_Consolidada[[#This Row], [Dif2]]/_tPE26_29_Consolidada[[#This Row], [Orçado 26/30 (PE25-29)]],0)</f>
      </c>
      <c r="BW85" s="1"/>
      <c r="BX85" s="1"/>
      <c r="BY85" s="1"/>
      <c r="BZ85" s="1"/>
      <c r="CA85" s="1"/>
      <c r="CB85" s="1"/>
      <c r="CC85" s="1"/>
      <c r="CD85" s="1"/>
      <c r="CE85" s="1"/>
      <c r="CF85" s="1"/>
      <c r="CG85" s="1"/>
      <c r="CH85" s="1"/>
      <c r="CI85" s="1"/>
      <c r="CJ85" s="1"/>
      <c r="CK85" s="1"/>
      <c r="CL85" s="1"/>
      <c r="CM85" s="1"/>
      <c r="CN85" s="1"/>
      <c r="CO85" s="1"/>
      <c r="CP85" s="1"/>
      <c r="CQ85" s="111"/>
      <c r="CR85" s="111"/>
      <c r="CS85" s="111"/>
      <c r="CT85" s="111"/>
      <c r="CU85" s="111"/>
      <c r="CV85" s="111"/>
      <c r="CW85" s="111"/>
      <c r="CX85" s="111"/>
      <c r="CY85" s="111"/>
      <c r="CZ85" s="111"/>
      <c r="DA85" s="111"/>
      <c r="DB85" s="111"/>
      <c r="DC85" s="111"/>
      <c r="DD85" s="111"/>
      <c r="DE85" s="111"/>
      <c r="DF85" s="111"/>
      <c r="DG85" s="111"/>
      <c r="DH85" s="111"/>
      <c r="DI85" s="111"/>
      <c r="DJ85" s="111"/>
      <c r="DK85" s="111"/>
      <c r="DL85" s="111"/>
      <c r="DM85" s="111"/>
      <c r="DN85" s="111"/>
      <c r="DO85" s="111"/>
      <c r="DP85" s="111"/>
      <c r="DQ85" s="111"/>
      <c r="DR85" s="111"/>
      <c r="DS85" s="111"/>
      <c r="DT85" s="111"/>
      <c r="DU85" s="111"/>
      <c r="DV85" s="111"/>
      <c r="DW85" s="111"/>
      <c r="DX85" s="111"/>
      <c r="DY85" s="111"/>
      <c r="DZ85" s="111"/>
      <c r="EA85" s="111"/>
      <c r="EB85" s="111"/>
      <c r="EC85" s="111"/>
      <c r="ED85" s="111"/>
      <c r="EE85" s="111"/>
      <c r="EF85" s="111"/>
      <c r="EG85" s="111"/>
      <c r="EH85" s="111"/>
      <c r="EI85" s="111"/>
      <c r="EJ85" s="111"/>
      <c r="EK85" s="111"/>
      <c r="EL85" s="111"/>
      <c r="EM85" s="111"/>
      <c r="EN85" s="111"/>
      <c r="EO85" s="111"/>
      <c r="EP85" s="111"/>
      <c r="EQ85" s="111"/>
      <c r="ER85" s="111"/>
      <c r="ES85" s="111"/>
      <c r="ET85" s="111"/>
      <c r="EU85" s="111"/>
      <c r="EV85" s="111"/>
      <c r="EW85" s="111"/>
      <c r="EX85" s="111"/>
      <c r="EY85" s="111"/>
      <c r="EZ85" s="111"/>
      <c r="FA85" s="2"/>
      <c r="FB85" s="2"/>
      <c r="FC85" s="2"/>
      <c r="FD85" s="2"/>
      <c r="FE85" s="2"/>
      <c r="FF85" s="2"/>
    </row>
    <row x14ac:dyDescent="0.25" r="86" customHeight="1" ht="18.75">
      <c r="A86" s="3"/>
      <c r="B86" s="118" t="s">
        <v>39052</v>
      </c>
      <c r="C86" s="3" t="s">
        <v>39053</v>
      </c>
      <c r="D86" s="3" t="s">
        <v>8</v>
      </c>
      <c r="E86" s="3" t="s">
        <v>38983</v>
      </c>
      <c r="F86" s="3"/>
      <c r="G86" s="3" t="s">
        <v>39344</v>
      </c>
      <c r="H86" s="3" t="s">
        <v>10</v>
      </c>
      <c r="I86" s="3" t="s">
        <v>86</v>
      </c>
      <c r="J86" s="3" t="s">
        <v>5</v>
      </c>
      <c r="K86" s="113" t="s">
        <v>16</v>
      </c>
      <c r="L86" s="3" t="s">
        <v>67</v>
      </c>
      <c r="M86" s="3" t="s">
        <v>39345</v>
      </c>
      <c r="N86" s="3"/>
      <c r="O86" s="3"/>
      <c r="P86" s="3"/>
      <c r="Q86" s="3" t="s">
        <v>39346</v>
      </c>
      <c r="R86" s="3" t="s">
        <v>39347</v>
      </c>
      <c r="S86" s="3" t="s">
        <v>39058</v>
      </c>
      <c r="T86" s="114">
        <v>0</v>
      </c>
      <c r="U86" s="114">
        <v>0</v>
      </c>
      <c r="V86" s="114">
        <v>0</v>
      </c>
      <c r="W86" s="114">
        <v>0</v>
      </c>
      <c r="X86" s="114">
        <v>0</v>
      </c>
      <c r="Y86" s="114">
        <v>0</v>
      </c>
      <c r="Z86" s="114">
        <v>0</v>
      </c>
      <c r="AA86" s="114">
        <v>0</v>
      </c>
      <c r="AB86" s="114">
        <v>0</v>
      </c>
      <c r="AC86" s="114">
        <v>10000</v>
      </c>
      <c r="AD86" s="114">
        <v>10000</v>
      </c>
      <c r="AE86" s="114">
        <v>2185654.01</v>
      </c>
      <c r="AF86" s="114">
        <v>2206000</v>
      </c>
      <c r="AG86" s="114">
        <v>1782677.77</v>
      </c>
      <c r="AH86" s="114">
        <v>0</v>
      </c>
      <c r="AI86" s="114">
        <v>0</v>
      </c>
      <c r="AJ86" s="114">
        <v>0</v>
      </c>
      <c r="AK86" s="114">
        <v>3988000</v>
      </c>
      <c r="AL86" s="114">
        <v>0</v>
      </c>
      <c r="AM86" s="114">
        <v>0</v>
      </c>
      <c r="AN86" s="114">
        <v>0</v>
      </c>
      <c r="AO86" s="114">
        <v>0</v>
      </c>
      <c r="AP86" s="114">
        <v>0</v>
      </c>
      <c r="AQ86" s="114">
        <v>3988000</v>
      </c>
      <c r="AR86" s="22">
        <v>224</v>
      </c>
      <c r="AS86" s="3" t="s">
        <v>39348</v>
      </c>
      <c r="AT86" s="115">
        <v>2025</v>
      </c>
      <c r="AU86" s="22">
        <f>_xlfn.XLOOKUP(_tPE26_29_Consolidada[[#This Row], [ID Financeiro]],[5]Projetos!$K:$K,[5]Projetos!$A:$A,0,0)</f>
      </c>
      <c r="AV86" s="3" t="s">
        <v>39349</v>
      </c>
      <c r="AW86" s="3" t="s">
        <v>46</v>
      </c>
      <c r="AX86" s="8" t="s">
        <v>39350</v>
      </c>
      <c r="AY86" s="8"/>
      <c r="AZ86" s="3" t="s">
        <v>39351</v>
      </c>
      <c r="BA86" s="3"/>
      <c r="BB86" s="3"/>
      <c r="BC86" s="3"/>
      <c r="BD86" s="3"/>
      <c r="BE86" s="3"/>
      <c r="BF86" s="3"/>
      <c r="BG86" s="3"/>
      <c r="BH86" s="3"/>
      <c r="BI86" s="3"/>
      <c r="BJ86" s="3"/>
      <c r="BK86" s="3"/>
      <c r="BL86" s="3"/>
      <c r="BM86" s="3"/>
      <c r="BN86" s="3"/>
      <c r="BO86" s="3"/>
      <c r="BP86" s="116">
        <f>IFERROR(VLOOKUP(_tPE26_29_Consolidada[[#This Row], [ID Financeiro]],'[4]PE 25-29'!$B:$AF,31,FALSE),0)</f>
      </c>
      <c r="BQ86" s="116">
        <f>_tPE26_29_Consolidada[[#This Row], [2026]]*1000</f>
      </c>
      <c r="BR86" s="117">
        <f>_tPE26_29_Consolidada[[#This Row], [Orçado 2026 (PE25-29)]]-_tPE26_29_Consolidada[[#This Row], [Orçado 2026 (PE26-30)]]</f>
      </c>
      <c r="BS86" s="117">
        <f>IFERROR(VLOOKUP(_tPE26_29_Consolidada[[#This Row], [ID Financeiro]],'[4]PE 25-29'!$B:$AT,45,FALSE),0)</f>
      </c>
      <c r="BT86" s="117">
        <f>_tPE26_29_Consolidada[[#This Row], [2026-2030]]*1000</f>
      </c>
      <c r="BU86" s="117">
        <f>-_tPE26_29_Consolidada[[#This Row], [Orçado 26/30 (PE25-29)]]+_tPE26_29_Consolidada[[#This Row], [Orçado 26/30 (PE26-30)]]</f>
      </c>
      <c r="BV86" s="119">
        <f>IFERROR(_tPE26_29_Consolidada[[#This Row], [Dif2]]/_tPE26_29_Consolidada[[#This Row], [Orçado 26/30 (PE25-29)]],0)</f>
      </c>
      <c r="BW86" s="1"/>
      <c r="BX86" s="1"/>
      <c r="BY86" s="1"/>
      <c r="BZ86" s="1"/>
      <c r="CA86" s="1"/>
      <c r="CB86" s="1"/>
      <c r="CC86" s="1"/>
      <c r="CD86" s="1"/>
      <c r="CE86" s="1"/>
      <c r="CF86" s="1"/>
      <c r="CG86" s="1"/>
      <c r="CH86" s="1"/>
      <c r="CI86" s="1"/>
      <c r="CJ86" s="1"/>
      <c r="CK86" s="1"/>
      <c r="CL86" s="1"/>
      <c r="CM86" s="1"/>
      <c r="CN86" s="1"/>
      <c r="CO86" s="1"/>
      <c r="CP86" s="1"/>
      <c r="CQ86" s="111"/>
      <c r="CR86" s="111"/>
      <c r="CS86" s="111"/>
      <c r="CT86" s="111"/>
      <c r="CU86" s="111"/>
      <c r="CV86" s="111"/>
      <c r="CW86" s="111"/>
      <c r="CX86" s="111"/>
      <c r="CY86" s="111"/>
      <c r="CZ86" s="111"/>
      <c r="DA86" s="111"/>
      <c r="DB86" s="111"/>
      <c r="DC86" s="111"/>
      <c r="DD86" s="111"/>
      <c r="DE86" s="111"/>
      <c r="DF86" s="111"/>
      <c r="DG86" s="111"/>
      <c r="DH86" s="111"/>
      <c r="DI86" s="111"/>
      <c r="DJ86" s="111"/>
      <c r="DK86" s="111"/>
      <c r="DL86" s="111"/>
      <c r="DM86" s="111"/>
      <c r="DN86" s="111"/>
      <c r="DO86" s="111"/>
      <c r="DP86" s="111"/>
      <c r="DQ86" s="111"/>
      <c r="DR86" s="111"/>
      <c r="DS86" s="111"/>
      <c r="DT86" s="111"/>
      <c r="DU86" s="111"/>
      <c r="DV86" s="111"/>
      <c r="DW86" s="111"/>
      <c r="DX86" s="111"/>
      <c r="DY86" s="111"/>
      <c r="DZ86" s="111"/>
      <c r="EA86" s="111"/>
      <c r="EB86" s="111"/>
      <c r="EC86" s="111"/>
      <c r="ED86" s="111"/>
      <c r="EE86" s="111"/>
      <c r="EF86" s="111"/>
      <c r="EG86" s="111"/>
      <c r="EH86" s="111"/>
      <c r="EI86" s="111"/>
      <c r="EJ86" s="111"/>
      <c r="EK86" s="111"/>
      <c r="EL86" s="111"/>
      <c r="EM86" s="111"/>
      <c r="EN86" s="111"/>
      <c r="EO86" s="111"/>
      <c r="EP86" s="111"/>
      <c r="EQ86" s="111"/>
      <c r="ER86" s="111"/>
      <c r="ES86" s="111"/>
      <c r="ET86" s="111"/>
      <c r="EU86" s="111"/>
      <c r="EV86" s="111"/>
      <c r="EW86" s="111"/>
      <c r="EX86" s="111"/>
      <c r="EY86" s="111"/>
      <c r="EZ86" s="111"/>
      <c r="FA86" s="2"/>
      <c r="FB86" s="2"/>
      <c r="FC86" s="2"/>
      <c r="FD86" s="2"/>
      <c r="FE86" s="2"/>
      <c r="FF86" s="2"/>
    </row>
    <row x14ac:dyDescent="0.25" r="87" customHeight="1" ht="18.75">
      <c r="A87" s="3"/>
      <c r="B87" s="118" t="s">
        <v>39052</v>
      </c>
      <c r="C87" s="3" t="s">
        <v>39053</v>
      </c>
      <c r="D87" s="3" t="s">
        <v>8</v>
      </c>
      <c r="E87" s="3" t="s">
        <v>38983</v>
      </c>
      <c r="F87" s="3"/>
      <c r="G87" s="3" t="s">
        <v>39352</v>
      </c>
      <c r="H87" s="3" t="s">
        <v>10</v>
      </c>
      <c r="I87" s="3" t="s">
        <v>86</v>
      </c>
      <c r="J87" s="3" t="s">
        <v>5</v>
      </c>
      <c r="K87" s="113" t="s">
        <v>16</v>
      </c>
      <c r="L87" s="3" t="s">
        <v>67</v>
      </c>
      <c r="M87" s="3" t="s">
        <v>39055</v>
      </c>
      <c r="N87" s="3"/>
      <c r="O87" s="3"/>
      <c r="P87" s="3"/>
      <c r="Q87" s="3" t="s">
        <v>39353</v>
      </c>
      <c r="R87" s="3" t="s">
        <v>39057</v>
      </c>
      <c r="S87" s="3" t="s">
        <v>39128</v>
      </c>
      <c r="T87" s="114">
        <v>10000</v>
      </c>
      <c r="U87" s="114">
        <v>10000</v>
      </c>
      <c r="V87" s="114">
        <v>10000</v>
      </c>
      <c r="W87" s="114">
        <v>10000</v>
      </c>
      <c r="X87" s="114">
        <v>300000</v>
      </c>
      <c r="Y87" s="114">
        <v>100000</v>
      </c>
      <c r="Z87" s="114">
        <v>100000</v>
      </c>
      <c r="AA87" s="114">
        <v>2000</v>
      </c>
      <c r="AB87" s="114">
        <v>2000</v>
      </c>
      <c r="AC87" s="114">
        <v>2000</v>
      </c>
      <c r="AD87" s="114">
        <v>2000</v>
      </c>
      <c r="AE87" s="114">
        <v>2000</v>
      </c>
      <c r="AF87" s="114">
        <v>550000</v>
      </c>
      <c r="AG87" s="114">
        <v>40000</v>
      </c>
      <c r="AH87" s="114">
        <v>0</v>
      </c>
      <c r="AI87" s="114">
        <v>0</v>
      </c>
      <c r="AJ87" s="114">
        <v>0</v>
      </c>
      <c r="AK87" s="114">
        <v>590000</v>
      </c>
      <c r="AL87" s="114">
        <v>0</v>
      </c>
      <c r="AM87" s="114">
        <v>0</v>
      </c>
      <c r="AN87" s="114">
        <v>0</v>
      </c>
      <c r="AO87" s="114">
        <v>0</v>
      </c>
      <c r="AP87" s="114">
        <v>0</v>
      </c>
      <c r="AQ87" s="114">
        <v>590000</v>
      </c>
      <c r="AR87" s="22">
        <v>225</v>
      </c>
      <c r="AS87" s="3" t="s">
        <v>39059</v>
      </c>
      <c r="AT87" s="115">
        <v>2025</v>
      </c>
      <c r="AU87" s="22">
        <f>_xlfn.XLOOKUP(_tPE26_29_Consolidada[[#This Row], [ID Financeiro]],[5]Projetos!$K:$K,[5]Projetos!$A:$A,0,0)</f>
      </c>
      <c r="AV87" s="3" t="s">
        <v>39354</v>
      </c>
      <c r="AW87" s="3" t="s">
        <v>39194</v>
      </c>
      <c r="AX87" s="8" t="s">
        <v>39353</v>
      </c>
      <c r="AY87" s="8"/>
      <c r="AZ87" s="3" t="s">
        <v>39130</v>
      </c>
      <c r="BA87" s="3"/>
      <c r="BB87" s="3"/>
      <c r="BC87" s="3"/>
      <c r="BD87" s="3"/>
      <c r="BE87" s="3"/>
      <c r="BF87" s="3"/>
      <c r="BG87" s="3"/>
      <c r="BH87" s="3"/>
      <c r="BI87" s="3"/>
      <c r="BJ87" s="3"/>
      <c r="BK87" s="3"/>
      <c r="BL87" s="3"/>
      <c r="BM87" s="3"/>
      <c r="BN87" s="3"/>
      <c r="BO87" s="3"/>
      <c r="BP87" s="116">
        <f>IFERROR(VLOOKUP(_tPE26_29_Consolidada[[#This Row], [ID Financeiro]],'[4]PE 25-29'!$B:$AF,31,FALSE),0)</f>
      </c>
      <c r="BQ87" s="116">
        <f>_tPE26_29_Consolidada[[#This Row], [2026]]*1000</f>
      </c>
      <c r="BR87" s="117">
        <f>_tPE26_29_Consolidada[[#This Row], [Orçado 2026 (PE25-29)]]-_tPE26_29_Consolidada[[#This Row], [Orçado 2026 (PE26-30)]]</f>
      </c>
      <c r="BS87" s="117">
        <f>IFERROR(VLOOKUP(_tPE26_29_Consolidada[[#This Row], [ID Financeiro]],'[4]PE 25-29'!$B:$AT,45,FALSE),0)</f>
      </c>
      <c r="BT87" s="117">
        <f>_tPE26_29_Consolidada[[#This Row], [2026-2030]]*1000</f>
      </c>
      <c r="BU87" s="117">
        <f>-_tPE26_29_Consolidada[[#This Row], [Orçado 26/30 (PE25-29)]]+_tPE26_29_Consolidada[[#This Row], [Orçado 26/30 (PE26-30)]]</f>
      </c>
      <c r="BV87" s="119">
        <f>IFERROR(_tPE26_29_Consolidada[[#This Row], [Dif2]]/_tPE26_29_Consolidada[[#This Row], [Orçado 26/30 (PE25-29)]],0)</f>
      </c>
      <c r="BW87" s="1"/>
      <c r="BX87" s="1"/>
      <c r="BY87" s="1"/>
      <c r="BZ87" s="1"/>
      <c r="CA87" s="1"/>
      <c r="CB87" s="1"/>
      <c r="CC87" s="1"/>
      <c r="CD87" s="1"/>
      <c r="CE87" s="1"/>
      <c r="CF87" s="1"/>
      <c r="CG87" s="1"/>
      <c r="CH87" s="1"/>
      <c r="CI87" s="1"/>
      <c r="CJ87" s="1"/>
      <c r="CK87" s="1"/>
      <c r="CL87" s="1"/>
      <c r="CM87" s="1"/>
      <c r="CN87" s="1"/>
      <c r="CO87" s="1"/>
      <c r="CP87" s="1"/>
      <c r="CQ87" s="111"/>
      <c r="CR87" s="111"/>
      <c r="CS87" s="111"/>
      <c r="CT87" s="111"/>
      <c r="CU87" s="111"/>
      <c r="CV87" s="111"/>
      <c r="CW87" s="111"/>
      <c r="CX87" s="111"/>
      <c r="CY87" s="111"/>
      <c r="CZ87" s="111"/>
      <c r="DA87" s="111"/>
      <c r="DB87" s="111"/>
      <c r="DC87" s="111"/>
      <c r="DD87" s="111"/>
      <c r="DE87" s="111"/>
      <c r="DF87" s="111"/>
      <c r="DG87" s="111"/>
      <c r="DH87" s="111"/>
      <c r="DI87" s="111"/>
      <c r="DJ87" s="111"/>
      <c r="DK87" s="111"/>
      <c r="DL87" s="111"/>
      <c r="DM87" s="111"/>
      <c r="DN87" s="111"/>
      <c r="DO87" s="111"/>
      <c r="DP87" s="111"/>
      <c r="DQ87" s="111"/>
      <c r="DR87" s="111"/>
      <c r="DS87" s="111"/>
      <c r="DT87" s="111"/>
      <c r="DU87" s="111"/>
      <c r="DV87" s="111"/>
      <c r="DW87" s="111"/>
      <c r="DX87" s="111"/>
      <c r="DY87" s="111"/>
      <c r="DZ87" s="111"/>
      <c r="EA87" s="111"/>
      <c r="EB87" s="111"/>
      <c r="EC87" s="111"/>
      <c r="ED87" s="111"/>
      <c r="EE87" s="111"/>
      <c r="EF87" s="111"/>
      <c r="EG87" s="111"/>
      <c r="EH87" s="111"/>
      <c r="EI87" s="111"/>
      <c r="EJ87" s="111"/>
      <c r="EK87" s="111"/>
      <c r="EL87" s="111"/>
      <c r="EM87" s="111"/>
      <c r="EN87" s="111"/>
      <c r="EO87" s="111"/>
      <c r="EP87" s="111"/>
      <c r="EQ87" s="111"/>
      <c r="ER87" s="111"/>
      <c r="ES87" s="111"/>
      <c r="ET87" s="111"/>
      <c r="EU87" s="111"/>
      <c r="EV87" s="111"/>
      <c r="EW87" s="111"/>
      <c r="EX87" s="111"/>
      <c r="EY87" s="111"/>
      <c r="EZ87" s="111"/>
      <c r="FA87" s="2"/>
      <c r="FB87" s="2"/>
      <c r="FC87" s="2"/>
      <c r="FD87" s="2"/>
      <c r="FE87" s="2"/>
      <c r="FF87" s="2"/>
    </row>
    <row x14ac:dyDescent="0.25" r="88" customHeight="1" ht="18.75">
      <c r="A88" s="3"/>
      <c r="B88" s="118" t="s">
        <v>39052</v>
      </c>
      <c r="C88" s="3" t="s">
        <v>39053</v>
      </c>
      <c r="D88" s="3" t="s">
        <v>8</v>
      </c>
      <c r="E88" s="3" t="s">
        <v>38983</v>
      </c>
      <c r="F88" s="3"/>
      <c r="G88" s="3" t="s">
        <v>39355</v>
      </c>
      <c r="H88" s="3" t="s">
        <v>10</v>
      </c>
      <c r="I88" s="3" t="s">
        <v>86</v>
      </c>
      <c r="J88" s="3" t="s">
        <v>5</v>
      </c>
      <c r="K88" s="113" t="s">
        <v>16</v>
      </c>
      <c r="L88" s="3" t="s">
        <v>67</v>
      </c>
      <c r="M88" s="3" t="s">
        <v>39055</v>
      </c>
      <c r="N88" s="3"/>
      <c r="O88" s="3"/>
      <c r="P88" s="3"/>
      <c r="Q88" s="3" t="s">
        <v>39356</v>
      </c>
      <c r="R88" s="3" t="s">
        <v>39057</v>
      </c>
      <c r="S88" s="3" t="s">
        <v>39083</v>
      </c>
      <c r="T88" s="114">
        <v>0</v>
      </c>
      <c r="U88" s="114">
        <v>0</v>
      </c>
      <c r="V88" s="114">
        <v>0</v>
      </c>
      <c r="W88" s="114">
        <v>0</v>
      </c>
      <c r="X88" s="114">
        <v>0</v>
      </c>
      <c r="Y88" s="114">
        <v>0</v>
      </c>
      <c r="Z88" s="114">
        <v>10000</v>
      </c>
      <c r="AA88" s="114">
        <v>10000</v>
      </c>
      <c r="AB88" s="114">
        <v>10000</v>
      </c>
      <c r="AC88" s="114">
        <v>10000</v>
      </c>
      <c r="AD88" s="114">
        <v>10000</v>
      </c>
      <c r="AE88" s="114">
        <v>0</v>
      </c>
      <c r="AF88" s="114">
        <v>50000</v>
      </c>
      <c r="AG88" s="114">
        <v>350000</v>
      </c>
      <c r="AH88" s="114">
        <v>0</v>
      </c>
      <c r="AI88" s="114">
        <v>0</v>
      </c>
      <c r="AJ88" s="114">
        <v>0</v>
      </c>
      <c r="AK88" s="114">
        <v>400000</v>
      </c>
      <c r="AL88" s="114">
        <v>0</v>
      </c>
      <c r="AM88" s="114">
        <v>0</v>
      </c>
      <c r="AN88" s="114">
        <v>0</v>
      </c>
      <c r="AO88" s="114">
        <v>0</v>
      </c>
      <c r="AP88" s="114">
        <v>0</v>
      </c>
      <c r="AQ88" s="114">
        <v>400000</v>
      </c>
      <c r="AR88" s="22">
        <v>226</v>
      </c>
      <c r="AS88" s="3" t="s">
        <v>39059</v>
      </c>
      <c r="AT88" s="115">
        <v>2025</v>
      </c>
      <c r="AU88" s="22">
        <f>_xlfn.XLOOKUP(_tPE26_29_Consolidada[[#This Row], [ID Financeiro]],[5]Projetos!$K:$K,[5]Projetos!$A:$A,0,0)</f>
      </c>
      <c r="AV88" s="3" t="s">
        <v>39357</v>
      </c>
      <c r="AW88" s="3" t="s">
        <v>39194</v>
      </c>
      <c r="AX88" s="8" t="s">
        <v>39356</v>
      </c>
      <c r="AY88" s="8"/>
      <c r="AZ88" s="3" t="s">
        <v>39064</v>
      </c>
      <c r="BA88" s="3"/>
      <c r="BB88" s="3"/>
      <c r="BC88" s="3"/>
      <c r="BD88" s="3"/>
      <c r="BE88" s="3"/>
      <c r="BF88" s="3"/>
      <c r="BG88" s="3"/>
      <c r="BH88" s="3"/>
      <c r="BI88" s="3"/>
      <c r="BJ88" s="3"/>
      <c r="BK88" s="3"/>
      <c r="BL88" s="3"/>
      <c r="BM88" s="3"/>
      <c r="BN88" s="3"/>
      <c r="BO88" s="3"/>
      <c r="BP88" s="116">
        <f>IFERROR(VLOOKUP(_tPE26_29_Consolidada[[#This Row], [ID Financeiro]],'[4]PE 25-29'!$B:$AF,31,FALSE),0)</f>
      </c>
      <c r="BQ88" s="116">
        <f>_tPE26_29_Consolidada[[#This Row], [2026]]*1000</f>
      </c>
      <c r="BR88" s="117">
        <f>_tPE26_29_Consolidada[[#This Row], [Orçado 2026 (PE25-29)]]-_tPE26_29_Consolidada[[#This Row], [Orçado 2026 (PE26-30)]]</f>
      </c>
      <c r="BS88" s="117">
        <f>IFERROR(VLOOKUP(_tPE26_29_Consolidada[[#This Row], [ID Financeiro]],'[4]PE 25-29'!$B:$AT,45,FALSE),0)</f>
      </c>
      <c r="BT88" s="117">
        <f>_tPE26_29_Consolidada[[#This Row], [2026-2030]]*1000</f>
      </c>
      <c r="BU88" s="117">
        <f>-_tPE26_29_Consolidada[[#This Row], [Orçado 26/30 (PE25-29)]]+_tPE26_29_Consolidada[[#This Row], [Orçado 26/30 (PE26-30)]]</f>
      </c>
      <c r="BV88" s="119">
        <f>IFERROR(_tPE26_29_Consolidada[[#This Row], [Dif2]]/_tPE26_29_Consolidada[[#This Row], [Orçado 26/30 (PE25-29)]],0)</f>
      </c>
      <c r="BW88" s="1"/>
      <c r="BX88" s="1"/>
      <c r="BY88" s="1"/>
      <c r="BZ88" s="1"/>
      <c r="CA88" s="1"/>
      <c r="CB88" s="1"/>
      <c r="CC88" s="1"/>
      <c r="CD88" s="1"/>
      <c r="CE88" s="1"/>
      <c r="CF88" s="1"/>
      <c r="CG88" s="1"/>
      <c r="CH88" s="1"/>
      <c r="CI88" s="1"/>
      <c r="CJ88" s="1"/>
      <c r="CK88" s="1"/>
      <c r="CL88" s="1"/>
      <c r="CM88" s="1"/>
      <c r="CN88" s="1"/>
      <c r="CO88" s="1"/>
      <c r="CP88" s="1"/>
      <c r="CQ88" s="111"/>
      <c r="CR88" s="111"/>
      <c r="CS88" s="111"/>
      <c r="CT88" s="111"/>
      <c r="CU88" s="111"/>
      <c r="CV88" s="111"/>
      <c r="CW88" s="111"/>
      <c r="CX88" s="111"/>
      <c r="CY88" s="111"/>
      <c r="CZ88" s="111"/>
      <c r="DA88" s="111"/>
      <c r="DB88" s="111"/>
      <c r="DC88" s="111"/>
      <c r="DD88" s="111"/>
      <c r="DE88" s="111"/>
      <c r="DF88" s="111"/>
      <c r="DG88" s="111"/>
      <c r="DH88" s="111"/>
      <c r="DI88" s="111"/>
      <c r="DJ88" s="111"/>
      <c r="DK88" s="111"/>
      <c r="DL88" s="111"/>
      <c r="DM88" s="111"/>
      <c r="DN88" s="111"/>
      <c r="DO88" s="111"/>
      <c r="DP88" s="111"/>
      <c r="DQ88" s="111"/>
      <c r="DR88" s="111"/>
      <c r="DS88" s="111"/>
      <c r="DT88" s="111"/>
      <c r="DU88" s="111"/>
      <c r="DV88" s="111"/>
      <c r="DW88" s="111"/>
      <c r="DX88" s="111"/>
      <c r="DY88" s="111"/>
      <c r="DZ88" s="111"/>
      <c r="EA88" s="111"/>
      <c r="EB88" s="111"/>
      <c r="EC88" s="111"/>
      <c r="ED88" s="111"/>
      <c r="EE88" s="111"/>
      <c r="EF88" s="111"/>
      <c r="EG88" s="111"/>
      <c r="EH88" s="111"/>
      <c r="EI88" s="111"/>
      <c r="EJ88" s="111"/>
      <c r="EK88" s="111"/>
      <c r="EL88" s="111"/>
      <c r="EM88" s="111"/>
      <c r="EN88" s="111"/>
      <c r="EO88" s="111"/>
      <c r="EP88" s="111"/>
      <c r="EQ88" s="111"/>
      <c r="ER88" s="111"/>
      <c r="ES88" s="111"/>
      <c r="ET88" s="111"/>
      <c r="EU88" s="111"/>
      <c r="EV88" s="111"/>
      <c r="EW88" s="111"/>
      <c r="EX88" s="111"/>
      <c r="EY88" s="111"/>
      <c r="EZ88" s="111"/>
      <c r="FA88" s="2"/>
      <c r="FB88" s="2"/>
      <c r="FC88" s="2"/>
      <c r="FD88" s="2"/>
      <c r="FE88" s="2"/>
      <c r="FF88" s="2"/>
    </row>
    <row x14ac:dyDescent="0.25" r="89" customHeight="1" ht="18.75">
      <c r="A89" s="3"/>
      <c r="B89" s="118" t="s">
        <v>39052</v>
      </c>
      <c r="C89" s="3" t="s">
        <v>39053</v>
      </c>
      <c r="D89" s="3" t="s">
        <v>8</v>
      </c>
      <c r="E89" s="3" t="s">
        <v>38983</v>
      </c>
      <c r="F89" s="3"/>
      <c r="G89" s="3" t="s">
        <v>39358</v>
      </c>
      <c r="H89" s="3" t="s">
        <v>10</v>
      </c>
      <c r="I89" s="3" t="s">
        <v>86</v>
      </c>
      <c r="J89" s="3" t="s">
        <v>5</v>
      </c>
      <c r="K89" s="113" t="s">
        <v>16</v>
      </c>
      <c r="L89" s="3" t="s">
        <v>67</v>
      </c>
      <c r="M89" s="3" t="s">
        <v>39055</v>
      </c>
      <c r="N89" s="3"/>
      <c r="O89" s="3"/>
      <c r="P89" s="3"/>
      <c r="Q89" s="3" t="s">
        <v>39359</v>
      </c>
      <c r="R89" s="3" t="s">
        <v>39057</v>
      </c>
      <c r="S89" s="3" t="s">
        <v>39171</v>
      </c>
      <c r="T89" s="114">
        <v>0</v>
      </c>
      <c r="U89" s="114">
        <v>0</v>
      </c>
      <c r="V89" s="114">
        <v>0</v>
      </c>
      <c r="W89" s="114">
        <v>0</v>
      </c>
      <c r="X89" s="114">
        <v>0</v>
      </c>
      <c r="Y89" s="114">
        <v>0</v>
      </c>
      <c r="Z89" s="114">
        <v>2000000</v>
      </c>
      <c r="AA89" s="114">
        <v>0</v>
      </c>
      <c r="AB89" s="114">
        <v>0</v>
      </c>
      <c r="AC89" s="114">
        <v>0</v>
      </c>
      <c r="AD89" s="114">
        <v>0</v>
      </c>
      <c r="AE89" s="114">
        <v>0</v>
      </c>
      <c r="AF89" s="114">
        <v>2000000</v>
      </c>
      <c r="AG89" s="114">
        <v>1000000</v>
      </c>
      <c r="AH89" s="114">
        <v>0</v>
      </c>
      <c r="AI89" s="114">
        <v>0</v>
      </c>
      <c r="AJ89" s="114">
        <v>0</v>
      </c>
      <c r="AK89" s="114">
        <v>3000000</v>
      </c>
      <c r="AL89" s="114">
        <v>0</v>
      </c>
      <c r="AM89" s="114">
        <v>0</v>
      </c>
      <c r="AN89" s="114">
        <v>0</v>
      </c>
      <c r="AO89" s="114">
        <v>0</v>
      </c>
      <c r="AP89" s="114">
        <v>0</v>
      </c>
      <c r="AQ89" s="114">
        <v>3000000</v>
      </c>
      <c r="AR89" s="22">
        <v>227</v>
      </c>
      <c r="AS89" s="3" t="s">
        <v>39059</v>
      </c>
      <c r="AT89" s="115">
        <v>2025</v>
      </c>
      <c r="AU89" s="22">
        <f>_xlfn.XLOOKUP(_tPE26_29_Consolidada[[#This Row], [ID Financeiro]],[5]Projetos!$K:$K,[5]Projetos!$A:$A,0,0)</f>
      </c>
      <c r="AV89" s="3" t="s">
        <v>39360</v>
      </c>
      <c r="AW89" s="3" t="s">
        <v>39194</v>
      </c>
      <c r="AX89" s="8" t="s">
        <v>39359</v>
      </c>
      <c r="AY89" s="8"/>
      <c r="AZ89" s="3" t="s">
        <v>39092</v>
      </c>
      <c r="BA89" s="3"/>
      <c r="BB89" s="3"/>
      <c r="BC89" s="3"/>
      <c r="BD89" s="3"/>
      <c r="BE89" s="3"/>
      <c r="BF89" s="3"/>
      <c r="BG89" s="3"/>
      <c r="BH89" s="3"/>
      <c r="BI89" s="3"/>
      <c r="BJ89" s="3"/>
      <c r="BK89" s="3"/>
      <c r="BL89" s="3"/>
      <c r="BM89" s="3"/>
      <c r="BN89" s="3"/>
      <c r="BO89" s="3"/>
      <c r="BP89" s="116">
        <f>IFERROR(VLOOKUP(_tPE26_29_Consolidada[[#This Row], [ID Financeiro]],'[4]PE 25-29'!$B:$AF,31,FALSE),0)</f>
      </c>
      <c r="BQ89" s="116">
        <f>_tPE26_29_Consolidada[[#This Row], [2026]]*1000</f>
      </c>
      <c r="BR89" s="117">
        <f>_tPE26_29_Consolidada[[#This Row], [Orçado 2026 (PE25-29)]]-_tPE26_29_Consolidada[[#This Row], [Orçado 2026 (PE26-30)]]</f>
      </c>
      <c r="BS89" s="117">
        <f>IFERROR(VLOOKUP(_tPE26_29_Consolidada[[#This Row], [ID Financeiro]],'[4]PE 25-29'!$B:$AT,45,FALSE),0)</f>
      </c>
      <c r="BT89" s="117">
        <f>_tPE26_29_Consolidada[[#This Row], [2026-2030]]*1000</f>
      </c>
      <c r="BU89" s="117">
        <f>-_tPE26_29_Consolidada[[#This Row], [Orçado 26/30 (PE25-29)]]+_tPE26_29_Consolidada[[#This Row], [Orçado 26/30 (PE26-30)]]</f>
      </c>
      <c r="BV89" s="119">
        <f>IFERROR(_tPE26_29_Consolidada[[#This Row], [Dif2]]/_tPE26_29_Consolidada[[#This Row], [Orçado 26/30 (PE25-29)]],0)</f>
      </c>
      <c r="BW89" s="1"/>
      <c r="BX89" s="1"/>
      <c r="BY89" s="1"/>
      <c r="BZ89" s="1"/>
      <c r="CA89" s="1"/>
      <c r="CB89" s="1"/>
      <c r="CC89" s="1"/>
      <c r="CD89" s="1"/>
      <c r="CE89" s="1"/>
      <c r="CF89" s="1"/>
      <c r="CG89" s="1"/>
      <c r="CH89" s="1"/>
      <c r="CI89" s="1"/>
      <c r="CJ89" s="1"/>
      <c r="CK89" s="1"/>
      <c r="CL89" s="1"/>
      <c r="CM89" s="1"/>
      <c r="CN89" s="1"/>
      <c r="CO89" s="1"/>
      <c r="CP89" s="1"/>
      <c r="CQ89" s="111"/>
      <c r="CR89" s="111"/>
      <c r="CS89" s="111"/>
      <c r="CT89" s="111"/>
      <c r="CU89" s="111"/>
      <c r="CV89" s="111"/>
      <c r="CW89" s="111"/>
      <c r="CX89" s="111"/>
      <c r="CY89" s="111"/>
      <c r="CZ89" s="111"/>
      <c r="DA89" s="111"/>
      <c r="DB89" s="111"/>
      <c r="DC89" s="111"/>
      <c r="DD89" s="111"/>
      <c r="DE89" s="111"/>
      <c r="DF89" s="111"/>
      <c r="DG89" s="111"/>
      <c r="DH89" s="111"/>
      <c r="DI89" s="111"/>
      <c r="DJ89" s="111"/>
      <c r="DK89" s="111"/>
      <c r="DL89" s="111"/>
      <c r="DM89" s="111"/>
      <c r="DN89" s="111"/>
      <c r="DO89" s="111"/>
      <c r="DP89" s="111"/>
      <c r="DQ89" s="111"/>
      <c r="DR89" s="111"/>
      <c r="DS89" s="111"/>
      <c r="DT89" s="111"/>
      <c r="DU89" s="111"/>
      <c r="DV89" s="111"/>
      <c r="DW89" s="111"/>
      <c r="DX89" s="111"/>
      <c r="DY89" s="111"/>
      <c r="DZ89" s="111"/>
      <c r="EA89" s="111"/>
      <c r="EB89" s="111"/>
      <c r="EC89" s="111"/>
      <c r="ED89" s="111"/>
      <c r="EE89" s="111"/>
      <c r="EF89" s="111"/>
      <c r="EG89" s="111"/>
      <c r="EH89" s="111"/>
      <c r="EI89" s="111"/>
      <c r="EJ89" s="111"/>
      <c r="EK89" s="111"/>
      <c r="EL89" s="111"/>
      <c r="EM89" s="111"/>
      <c r="EN89" s="111"/>
      <c r="EO89" s="111"/>
      <c r="EP89" s="111"/>
      <c r="EQ89" s="111"/>
      <c r="ER89" s="111"/>
      <c r="ES89" s="111"/>
      <c r="ET89" s="111"/>
      <c r="EU89" s="111"/>
      <c r="EV89" s="111"/>
      <c r="EW89" s="111"/>
      <c r="EX89" s="111"/>
      <c r="EY89" s="111"/>
      <c r="EZ89" s="111"/>
      <c r="FA89" s="2"/>
      <c r="FB89" s="2"/>
      <c r="FC89" s="2"/>
      <c r="FD89" s="2"/>
      <c r="FE89" s="2"/>
      <c r="FF89" s="2"/>
    </row>
    <row x14ac:dyDescent="0.25" r="90" customHeight="1" ht="18.75">
      <c r="A90" s="3"/>
      <c r="B90" s="118" t="s">
        <v>39052</v>
      </c>
      <c r="C90" s="3" t="s">
        <v>39053</v>
      </c>
      <c r="D90" s="3" t="s">
        <v>8</v>
      </c>
      <c r="E90" s="3" t="s">
        <v>38983</v>
      </c>
      <c r="F90" s="3"/>
      <c r="G90" s="3" t="s">
        <v>39361</v>
      </c>
      <c r="H90" s="3" t="s">
        <v>10</v>
      </c>
      <c r="I90" s="3" t="s">
        <v>86</v>
      </c>
      <c r="J90" s="3" t="s">
        <v>5</v>
      </c>
      <c r="K90" s="113" t="s">
        <v>16</v>
      </c>
      <c r="L90" s="3" t="s">
        <v>67</v>
      </c>
      <c r="M90" s="3" t="s">
        <v>39055</v>
      </c>
      <c r="N90" s="3"/>
      <c r="O90" s="3"/>
      <c r="P90" s="3"/>
      <c r="Q90" s="3" t="s">
        <v>39362</v>
      </c>
      <c r="R90" s="3" t="s">
        <v>39057</v>
      </c>
      <c r="S90" s="3" t="s">
        <v>39114</v>
      </c>
      <c r="T90" s="114">
        <v>0</v>
      </c>
      <c r="U90" s="114">
        <v>20000</v>
      </c>
      <c r="V90" s="114">
        <v>20000</v>
      </c>
      <c r="W90" s="114">
        <v>0</v>
      </c>
      <c r="X90" s="114">
        <v>0</v>
      </c>
      <c r="Y90" s="114">
        <v>0</v>
      </c>
      <c r="Z90" s="114">
        <v>0</v>
      </c>
      <c r="AA90" s="114">
        <v>0</v>
      </c>
      <c r="AB90" s="114">
        <v>0</v>
      </c>
      <c r="AC90" s="114">
        <v>0</v>
      </c>
      <c r="AD90" s="114">
        <v>0</v>
      </c>
      <c r="AE90" s="114">
        <v>0</v>
      </c>
      <c r="AF90" s="114">
        <v>40000</v>
      </c>
      <c r="AG90" s="114">
        <v>0</v>
      </c>
      <c r="AH90" s="114">
        <v>0</v>
      </c>
      <c r="AI90" s="114">
        <v>0</v>
      </c>
      <c r="AJ90" s="114">
        <v>0</v>
      </c>
      <c r="AK90" s="114">
        <v>40000</v>
      </c>
      <c r="AL90" s="114">
        <v>0</v>
      </c>
      <c r="AM90" s="114">
        <v>0</v>
      </c>
      <c r="AN90" s="114">
        <v>0</v>
      </c>
      <c r="AO90" s="114">
        <v>0</v>
      </c>
      <c r="AP90" s="114">
        <v>0</v>
      </c>
      <c r="AQ90" s="114">
        <v>40000</v>
      </c>
      <c r="AR90" s="22">
        <v>228</v>
      </c>
      <c r="AS90" s="3" t="s">
        <v>39059</v>
      </c>
      <c r="AT90" s="115">
        <v>2025</v>
      </c>
      <c r="AU90" s="22">
        <f>_xlfn.XLOOKUP(_tPE26_29_Consolidada[[#This Row], [ID Financeiro]],[5]Projetos!$K:$K,[5]Projetos!$A:$A,0,0)</f>
      </c>
      <c r="AV90" s="3" t="s">
        <v>39363</v>
      </c>
      <c r="AW90" s="3" t="s">
        <v>39116</v>
      </c>
      <c r="AX90" s="8" t="s">
        <v>39362</v>
      </c>
      <c r="AY90" s="8"/>
      <c r="AZ90" s="3" t="s">
        <v>39277</v>
      </c>
      <c r="BA90" s="3"/>
      <c r="BB90" s="3"/>
      <c r="BC90" s="3"/>
      <c r="BD90" s="3"/>
      <c r="BE90" s="3"/>
      <c r="BF90" s="3"/>
      <c r="BG90" s="3"/>
      <c r="BH90" s="3"/>
      <c r="BI90" s="3"/>
      <c r="BJ90" s="3"/>
      <c r="BK90" s="3"/>
      <c r="BL90" s="3"/>
      <c r="BM90" s="3"/>
      <c r="BN90" s="3"/>
      <c r="BO90" s="3"/>
      <c r="BP90" s="116">
        <f>IFERROR(VLOOKUP(_tPE26_29_Consolidada[[#This Row], [ID Financeiro]],'[4]PE 25-29'!$B:$AF,31,FALSE),0)</f>
      </c>
      <c r="BQ90" s="116">
        <f>_tPE26_29_Consolidada[[#This Row], [2026]]*1000</f>
      </c>
      <c r="BR90" s="117">
        <f>_tPE26_29_Consolidada[[#This Row], [Orçado 2026 (PE25-29)]]-_tPE26_29_Consolidada[[#This Row], [Orçado 2026 (PE26-30)]]</f>
      </c>
      <c r="BS90" s="117">
        <f>IFERROR(VLOOKUP(_tPE26_29_Consolidada[[#This Row], [ID Financeiro]],'[4]PE 25-29'!$B:$AT,45,FALSE),0)</f>
      </c>
      <c r="BT90" s="117">
        <f>_tPE26_29_Consolidada[[#This Row], [2026-2030]]*1000</f>
      </c>
      <c r="BU90" s="117">
        <f>-_tPE26_29_Consolidada[[#This Row], [Orçado 26/30 (PE25-29)]]+_tPE26_29_Consolidada[[#This Row], [Orçado 26/30 (PE26-30)]]</f>
      </c>
      <c r="BV90" s="119">
        <f>IFERROR(_tPE26_29_Consolidada[[#This Row], [Dif2]]/_tPE26_29_Consolidada[[#This Row], [Orçado 26/30 (PE25-29)]],0)</f>
      </c>
      <c r="BW90" s="1"/>
      <c r="BX90" s="1"/>
      <c r="BY90" s="1"/>
      <c r="BZ90" s="1"/>
      <c r="CA90" s="1"/>
      <c r="CB90" s="1"/>
      <c r="CC90" s="1"/>
      <c r="CD90" s="1"/>
      <c r="CE90" s="1"/>
      <c r="CF90" s="1"/>
      <c r="CG90" s="1"/>
      <c r="CH90" s="1"/>
      <c r="CI90" s="1"/>
      <c r="CJ90" s="1"/>
      <c r="CK90" s="1"/>
      <c r="CL90" s="1"/>
      <c r="CM90" s="1"/>
      <c r="CN90" s="1"/>
      <c r="CO90" s="1"/>
      <c r="CP90" s="1"/>
      <c r="CQ90" s="111"/>
      <c r="CR90" s="111"/>
      <c r="CS90" s="111"/>
      <c r="CT90" s="111"/>
      <c r="CU90" s="111"/>
      <c r="CV90" s="111"/>
      <c r="CW90" s="111"/>
      <c r="CX90" s="111"/>
      <c r="CY90" s="111"/>
      <c r="CZ90" s="111"/>
      <c r="DA90" s="111"/>
      <c r="DB90" s="111"/>
      <c r="DC90" s="111"/>
      <c r="DD90" s="111"/>
      <c r="DE90" s="111"/>
      <c r="DF90" s="111"/>
      <c r="DG90" s="111"/>
      <c r="DH90" s="111"/>
      <c r="DI90" s="111"/>
      <c r="DJ90" s="111"/>
      <c r="DK90" s="111"/>
      <c r="DL90" s="111"/>
      <c r="DM90" s="111"/>
      <c r="DN90" s="111"/>
      <c r="DO90" s="111"/>
      <c r="DP90" s="111"/>
      <c r="DQ90" s="111"/>
      <c r="DR90" s="111"/>
      <c r="DS90" s="111"/>
      <c r="DT90" s="111"/>
      <c r="DU90" s="111"/>
      <c r="DV90" s="111"/>
      <c r="DW90" s="111"/>
      <c r="DX90" s="111"/>
      <c r="DY90" s="111"/>
      <c r="DZ90" s="111"/>
      <c r="EA90" s="111"/>
      <c r="EB90" s="111"/>
      <c r="EC90" s="111"/>
      <c r="ED90" s="111"/>
      <c r="EE90" s="111"/>
      <c r="EF90" s="111"/>
      <c r="EG90" s="111"/>
      <c r="EH90" s="111"/>
      <c r="EI90" s="111"/>
      <c r="EJ90" s="111"/>
      <c r="EK90" s="111"/>
      <c r="EL90" s="111"/>
      <c r="EM90" s="111"/>
      <c r="EN90" s="111"/>
      <c r="EO90" s="111"/>
      <c r="EP90" s="111"/>
      <c r="EQ90" s="111"/>
      <c r="ER90" s="111"/>
      <c r="ES90" s="111"/>
      <c r="ET90" s="111"/>
      <c r="EU90" s="111"/>
      <c r="EV90" s="111"/>
      <c r="EW90" s="111"/>
      <c r="EX90" s="111"/>
      <c r="EY90" s="111"/>
      <c r="EZ90" s="111"/>
      <c r="FA90" s="2"/>
      <c r="FB90" s="2"/>
      <c r="FC90" s="2"/>
      <c r="FD90" s="2"/>
      <c r="FE90" s="2"/>
      <c r="FF90" s="2"/>
    </row>
    <row x14ac:dyDescent="0.25" r="91" customHeight="1" ht="18.75">
      <c r="A91" s="3"/>
      <c r="B91" s="118" t="s">
        <v>39052</v>
      </c>
      <c r="C91" s="3" t="s">
        <v>39053</v>
      </c>
      <c r="D91" s="3" t="s">
        <v>8</v>
      </c>
      <c r="E91" s="3" t="s">
        <v>38983</v>
      </c>
      <c r="F91" s="3"/>
      <c r="G91" s="3" t="s">
        <v>39364</v>
      </c>
      <c r="H91" s="3" t="s">
        <v>10</v>
      </c>
      <c r="I91" s="3" t="s">
        <v>86</v>
      </c>
      <c r="J91" s="3" t="s">
        <v>5</v>
      </c>
      <c r="K91" s="113" t="s">
        <v>16</v>
      </c>
      <c r="L91" s="3" t="s">
        <v>67</v>
      </c>
      <c r="M91" s="3" t="s">
        <v>39055</v>
      </c>
      <c r="N91" s="3"/>
      <c r="O91" s="3"/>
      <c r="P91" s="3"/>
      <c r="Q91" s="3" t="s">
        <v>39365</v>
      </c>
      <c r="R91" s="3" t="s">
        <v>39057</v>
      </c>
      <c r="S91" s="3" t="s">
        <v>39083</v>
      </c>
      <c r="T91" s="114">
        <v>0</v>
      </c>
      <c r="U91" s="114">
        <v>150000</v>
      </c>
      <c r="V91" s="114">
        <v>0</v>
      </c>
      <c r="W91" s="114">
        <v>30000</v>
      </c>
      <c r="X91" s="114">
        <v>20000</v>
      </c>
      <c r="Y91" s="114">
        <v>30000</v>
      </c>
      <c r="Z91" s="114">
        <v>0</v>
      </c>
      <c r="AA91" s="114">
        <v>0</v>
      </c>
      <c r="AB91" s="114">
        <v>0</v>
      </c>
      <c r="AC91" s="114">
        <v>0</v>
      </c>
      <c r="AD91" s="114">
        <v>0</v>
      </c>
      <c r="AE91" s="114">
        <v>0</v>
      </c>
      <c r="AF91" s="114">
        <v>230000</v>
      </c>
      <c r="AG91" s="114">
        <v>0</v>
      </c>
      <c r="AH91" s="114">
        <v>0</v>
      </c>
      <c r="AI91" s="114">
        <v>0</v>
      </c>
      <c r="AJ91" s="114">
        <v>0</v>
      </c>
      <c r="AK91" s="114">
        <v>230000</v>
      </c>
      <c r="AL91" s="114">
        <v>0</v>
      </c>
      <c r="AM91" s="114">
        <v>0</v>
      </c>
      <c r="AN91" s="114">
        <v>0</v>
      </c>
      <c r="AO91" s="114">
        <v>0</v>
      </c>
      <c r="AP91" s="114">
        <v>0</v>
      </c>
      <c r="AQ91" s="114">
        <v>230000</v>
      </c>
      <c r="AR91" s="22">
        <v>229</v>
      </c>
      <c r="AS91" s="3" t="s">
        <v>39059</v>
      </c>
      <c r="AT91" s="115">
        <v>2025</v>
      </c>
      <c r="AU91" s="22">
        <f>_xlfn.XLOOKUP(_tPE26_29_Consolidada[[#This Row], [ID Financeiro]],[5]Projetos!$K:$K,[5]Projetos!$A:$A,0,0)</f>
      </c>
      <c r="AV91" s="3" t="s">
        <v>39366</v>
      </c>
      <c r="AW91" s="3" t="s">
        <v>39116</v>
      </c>
      <c r="AX91" s="8" t="s">
        <v>39365</v>
      </c>
      <c r="AY91" s="8"/>
      <c r="AZ91" s="3" t="s">
        <v>39085</v>
      </c>
      <c r="BA91" s="3"/>
      <c r="BB91" s="3"/>
      <c r="BC91" s="3"/>
      <c r="BD91" s="3"/>
      <c r="BE91" s="3"/>
      <c r="BF91" s="3"/>
      <c r="BG91" s="3"/>
      <c r="BH91" s="3"/>
      <c r="BI91" s="3"/>
      <c r="BJ91" s="3"/>
      <c r="BK91" s="3"/>
      <c r="BL91" s="3"/>
      <c r="BM91" s="3"/>
      <c r="BN91" s="3"/>
      <c r="BO91" s="3"/>
      <c r="BP91" s="116">
        <f>IFERROR(VLOOKUP(_tPE26_29_Consolidada[[#This Row], [ID Financeiro]],'[4]PE 25-29'!$B:$AF,31,FALSE),0)</f>
      </c>
      <c r="BQ91" s="116">
        <f>_tPE26_29_Consolidada[[#This Row], [2026]]*1000</f>
      </c>
      <c r="BR91" s="117">
        <f>_tPE26_29_Consolidada[[#This Row], [Orçado 2026 (PE25-29)]]-_tPE26_29_Consolidada[[#This Row], [Orçado 2026 (PE26-30)]]</f>
      </c>
      <c r="BS91" s="117">
        <f>IFERROR(VLOOKUP(_tPE26_29_Consolidada[[#This Row], [ID Financeiro]],'[4]PE 25-29'!$B:$AT,45,FALSE),0)</f>
      </c>
      <c r="BT91" s="117">
        <f>_tPE26_29_Consolidada[[#This Row], [2026-2030]]*1000</f>
      </c>
      <c r="BU91" s="117">
        <f>-_tPE26_29_Consolidada[[#This Row], [Orçado 26/30 (PE25-29)]]+_tPE26_29_Consolidada[[#This Row], [Orçado 26/30 (PE26-30)]]</f>
      </c>
      <c r="BV91" s="119">
        <f>IFERROR(_tPE26_29_Consolidada[[#This Row], [Dif2]]/_tPE26_29_Consolidada[[#This Row], [Orçado 26/30 (PE25-29)]],0)</f>
      </c>
      <c r="BW91" s="1"/>
      <c r="BX91" s="1"/>
      <c r="BY91" s="1"/>
      <c r="BZ91" s="1"/>
      <c r="CA91" s="1"/>
      <c r="CB91" s="1"/>
      <c r="CC91" s="1"/>
      <c r="CD91" s="1"/>
      <c r="CE91" s="1"/>
      <c r="CF91" s="1"/>
      <c r="CG91" s="1"/>
      <c r="CH91" s="1"/>
      <c r="CI91" s="1"/>
      <c r="CJ91" s="1"/>
      <c r="CK91" s="1"/>
      <c r="CL91" s="1"/>
      <c r="CM91" s="1"/>
      <c r="CN91" s="1"/>
      <c r="CO91" s="1"/>
      <c r="CP91" s="1"/>
      <c r="CQ91" s="111"/>
      <c r="CR91" s="111"/>
      <c r="CS91" s="111"/>
      <c r="CT91" s="111"/>
      <c r="CU91" s="111"/>
      <c r="CV91" s="111"/>
      <c r="CW91" s="111"/>
      <c r="CX91" s="111"/>
      <c r="CY91" s="111"/>
      <c r="CZ91" s="111"/>
      <c r="DA91" s="111"/>
      <c r="DB91" s="111"/>
      <c r="DC91" s="111"/>
      <c r="DD91" s="111"/>
      <c r="DE91" s="111"/>
      <c r="DF91" s="111"/>
      <c r="DG91" s="111"/>
      <c r="DH91" s="111"/>
      <c r="DI91" s="111"/>
      <c r="DJ91" s="111"/>
      <c r="DK91" s="111"/>
      <c r="DL91" s="111"/>
      <c r="DM91" s="111"/>
      <c r="DN91" s="111"/>
      <c r="DO91" s="111"/>
      <c r="DP91" s="111"/>
      <c r="DQ91" s="111"/>
      <c r="DR91" s="111"/>
      <c r="DS91" s="111"/>
      <c r="DT91" s="111"/>
      <c r="DU91" s="111"/>
      <c r="DV91" s="111"/>
      <c r="DW91" s="111"/>
      <c r="DX91" s="111"/>
      <c r="DY91" s="111"/>
      <c r="DZ91" s="111"/>
      <c r="EA91" s="111"/>
      <c r="EB91" s="111"/>
      <c r="EC91" s="111"/>
      <c r="ED91" s="111"/>
      <c r="EE91" s="111"/>
      <c r="EF91" s="111"/>
      <c r="EG91" s="111"/>
      <c r="EH91" s="111"/>
      <c r="EI91" s="111"/>
      <c r="EJ91" s="111"/>
      <c r="EK91" s="111"/>
      <c r="EL91" s="111"/>
      <c r="EM91" s="111"/>
      <c r="EN91" s="111"/>
      <c r="EO91" s="111"/>
      <c r="EP91" s="111"/>
      <c r="EQ91" s="111"/>
      <c r="ER91" s="111"/>
      <c r="ES91" s="111"/>
      <c r="ET91" s="111"/>
      <c r="EU91" s="111"/>
      <c r="EV91" s="111"/>
      <c r="EW91" s="111"/>
      <c r="EX91" s="111"/>
      <c r="EY91" s="111"/>
      <c r="EZ91" s="111"/>
      <c r="FA91" s="2"/>
      <c r="FB91" s="2"/>
      <c r="FC91" s="2"/>
      <c r="FD91" s="2"/>
      <c r="FE91" s="2"/>
      <c r="FF91" s="2"/>
    </row>
    <row x14ac:dyDescent="0.25" r="92" customHeight="1" ht="18.75">
      <c r="A92" s="3"/>
      <c r="B92" s="118" t="s">
        <v>39052</v>
      </c>
      <c r="C92" s="3" t="s">
        <v>39053</v>
      </c>
      <c r="D92" s="3" t="s">
        <v>8</v>
      </c>
      <c r="E92" s="3" t="s">
        <v>38983</v>
      </c>
      <c r="F92" s="3"/>
      <c r="G92" s="3" t="s">
        <v>39367</v>
      </c>
      <c r="H92" s="3" t="s">
        <v>10</v>
      </c>
      <c r="I92" s="3" t="s">
        <v>86</v>
      </c>
      <c r="J92" s="3" t="s">
        <v>5</v>
      </c>
      <c r="K92" s="113" t="s">
        <v>16</v>
      </c>
      <c r="L92" s="3" t="s">
        <v>67</v>
      </c>
      <c r="M92" s="3" t="s">
        <v>39055</v>
      </c>
      <c r="N92" s="3"/>
      <c r="O92" s="3"/>
      <c r="P92" s="3"/>
      <c r="Q92" s="3" t="s">
        <v>39368</v>
      </c>
      <c r="R92" s="3" t="s">
        <v>39057</v>
      </c>
      <c r="S92" s="3" t="s">
        <v>39128</v>
      </c>
      <c r="T92" s="114">
        <v>5000</v>
      </c>
      <c r="U92" s="114">
        <v>5000</v>
      </c>
      <c r="V92" s="114">
        <v>5000</v>
      </c>
      <c r="W92" s="114">
        <v>100000</v>
      </c>
      <c r="X92" s="114">
        <v>100000</v>
      </c>
      <c r="Y92" s="114">
        <v>5000</v>
      </c>
      <c r="Z92" s="114">
        <v>5000</v>
      </c>
      <c r="AA92" s="114">
        <v>5000</v>
      </c>
      <c r="AB92" s="114">
        <v>1000</v>
      </c>
      <c r="AC92" s="114">
        <v>1000</v>
      </c>
      <c r="AD92" s="114">
        <v>1000</v>
      </c>
      <c r="AE92" s="114">
        <v>1000</v>
      </c>
      <c r="AF92" s="114">
        <v>234000</v>
      </c>
      <c r="AG92" s="114">
        <v>6000</v>
      </c>
      <c r="AH92" s="114">
        <v>0</v>
      </c>
      <c r="AI92" s="114">
        <v>0</v>
      </c>
      <c r="AJ92" s="114">
        <v>0</v>
      </c>
      <c r="AK92" s="114">
        <v>240000</v>
      </c>
      <c r="AL92" s="114">
        <v>0</v>
      </c>
      <c r="AM92" s="114">
        <v>0</v>
      </c>
      <c r="AN92" s="114">
        <v>0</v>
      </c>
      <c r="AO92" s="114">
        <v>0</v>
      </c>
      <c r="AP92" s="114">
        <v>0</v>
      </c>
      <c r="AQ92" s="114">
        <v>240000</v>
      </c>
      <c r="AR92" s="22">
        <v>230</v>
      </c>
      <c r="AS92" s="3" t="s">
        <v>39059</v>
      </c>
      <c r="AT92" s="115">
        <v>2025</v>
      </c>
      <c r="AU92" s="22">
        <f>_xlfn.XLOOKUP(_tPE26_29_Consolidada[[#This Row], [ID Financeiro]],[5]Projetos!$K:$K,[5]Projetos!$A:$A,0,0)</f>
      </c>
      <c r="AV92" s="3" t="s">
        <v>39369</v>
      </c>
      <c r="AW92" s="3" t="s">
        <v>39194</v>
      </c>
      <c r="AX92" s="8" t="s">
        <v>39368</v>
      </c>
      <c r="AY92" s="8"/>
      <c r="AZ92" s="3" t="s">
        <v>39130</v>
      </c>
      <c r="BA92" s="3"/>
      <c r="BB92" s="3"/>
      <c r="BC92" s="3"/>
      <c r="BD92" s="3"/>
      <c r="BE92" s="3"/>
      <c r="BF92" s="3"/>
      <c r="BG92" s="3"/>
      <c r="BH92" s="3"/>
      <c r="BI92" s="3"/>
      <c r="BJ92" s="3"/>
      <c r="BK92" s="3"/>
      <c r="BL92" s="3"/>
      <c r="BM92" s="3"/>
      <c r="BN92" s="3"/>
      <c r="BO92" s="3"/>
      <c r="BP92" s="116">
        <f>IFERROR(VLOOKUP(_tPE26_29_Consolidada[[#This Row], [ID Financeiro]],'[4]PE 25-29'!$B:$AF,31,FALSE),0)</f>
      </c>
      <c r="BQ92" s="116">
        <f>_tPE26_29_Consolidada[[#This Row], [2026]]*1000</f>
      </c>
      <c r="BR92" s="117">
        <f>_tPE26_29_Consolidada[[#This Row], [Orçado 2026 (PE25-29)]]-_tPE26_29_Consolidada[[#This Row], [Orçado 2026 (PE26-30)]]</f>
      </c>
      <c r="BS92" s="117">
        <f>IFERROR(VLOOKUP(_tPE26_29_Consolidada[[#This Row], [ID Financeiro]],'[4]PE 25-29'!$B:$AT,45,FALSE),0)</f>
      </c>
      <c r="BT92" s="117">
        <f>_tPE26_29_Consolidada[[#This Row], [2026-2030]]*1000</f>
      </c>
      <c r="BU92" s="117">
        <f>-_tPE26_29_Consolidada[[#This Row], [Orçado 26/30 (PE25-29)]]+_tPE26_29_Consolidada[[#This Row], [Orçado 26/30 (PE26-30)]]</f>
      </c>
      <c r="BV92" s="119">
        <f>IFERROR(_tPE26_29_Consolidada[[#This Row], [Dif2]]/_tPE26_29_Consolidada[[#This Row], [Orçado 26/30 (PE25-29)]],0)</f>
      </c>
      <c r="BW92" s="1"/>
      <c r="BX92" s="1"/>
      <c r="BY92" s="1"/>
      <c r="BZ92" s="1"/>
      <c r="CA92" s="1"/>
      <c r="CB92" s="1"/>
      <c r="CC92" s="1"/>
      <c r="CD92" s="1"/>
      <c r="CE92" s="1"/>
      <c r="CF92" s="1"/>
      <c r="CG92" s="1"/>
      <c r="CH92" s="1"/>
      <c r="CI92" s="1"/>
      <c r="CJ92" s="1"/>
      <c r="CK92" s="1"/>
      <c r="CL92" s="1"/>
      <c r="CM92" s="1"/>
      <c r="CN92" s="1"/>
      <c r="CO92" s="1"/>
      <c r="CP92" s="1"/>
      <c r="CQ92" s="111"/>
      <c r="CR92" s="111"/>
      <c r="CS92" s="111"/>
      <c r="CT92" s="111"/>
      <c r="CU92" s="111"/>
      <c r="CV92" s="111"/>
      <c r="CW92" s="111"/>
      <c r="CX92" s="111"/>
      <c r="CY92" s="111"/>
      <c r="CZ92" s="111"/>
      <c r="DA92" s="111"/>
      <c r="DB92" s="111"/>
      <c r="DC92" s="111"/>
      <c r="DD92" s="111"/>
      <c r="DE92" s="111"/>
      <c r="DF92" s="111"/>
      <c r="DG92" s="111"/>
      <c r="DH92" s="111"/>
      <c r="DI92" s="111"/>
      <c r="DJ92" s="111"/>
      <c r="DK92" s="111"/>
      <c r="DL92" s="111"/>
      <c r="DM92" s="111"/>
      <c r="DN92" s="111"/>
      <c r="DO92" s="111"/>
      <c r="DP92" s="111"/>
      <c r="DQ92" s="111"/>
      <c r="DR92" s="111"/>
      <c r="DS92" s="111"/>
      <c r="DT92" s="111"/>
      <c r="DU92" s="111"/>
      <c r="DV92" s="111"/>
      <c r="DW92" s="111"/>
      <c r="DX92" s="111"/>
      <c r="DY92" s="111"/>
      <c r="DZ92" s="111"/>
      <c r="EA92" s="111"/>
      <c r="EB92" s="111"/>
      <c r="EC92" s="111"/>
      <c r="ED92" s="111"/>
      <c r="EE92" s="111"/>
      <c r="EF92" s="111"/>
      <c r="EG92" s="111"/>
      <c r="EH92" s="111"/>
      <c r="EI92" s="111"/>
      <c r="EJ92" s="111"/>
      <c r="EK92" s="111"/>
      <c r="EL92" s="111"/>
      <c r="EM92" s="111"/>
      <c r="EN92" s="111"/>
      <c r="EO92" s="111"/>
      <c r="EP92" s="111"/>
      <c r="EQ92" s="111"/>
      <c r="ER92" s="111"/>
      <c r="ES92" s="111"/>
      <c r="ET92" s="111"/>
      <c r="EU92" s="111"/>
      <c r="EV92" s="111"/>
      <c r="EW92" s="111"/>
      <c r="EX92" s="111"/>
      <c r="EY92" s="111"/>
      <c r="EZ92" s="111"/>
      <c r="FA92" s="2"/>
      <c r="FB92" s="2"/>
      <c r="FC92" s="2"/>
      <c r="FD92" s="2"/>
      <c r="FE92" s="2"/>
      <c r="FF92" s="2"/>
    </row>
    <row x14ac:dyDescent="0.25" r="93" customHeight="1" ht="18.75">
      <c r="A93" s="3"/>
      <c r="B93" s="118" t="s">
        <v>39052</v>
      </c>
      <c r="C93" s="3" t="s">
        <v>39053</v>
      </c>
      <c r="D93" s="3" t="s">
        <v>8</v>
      </c>
      <c r="E93" s="3" t="s">
        <v>38983</v>
      </c>
      <c r="F93" s="3"/>
      <c r="G93" s="3" t="s">
        <v>39370</v>
      </c>
      <c r="H93" s="3" t="s">
        <v>10</v>
      </c>
      <c r="I93" s="3" t="s">
        <v>86</v>
      </c>
      <c r="J93" s="3" t="s">
        <v>5</v>
      </c>
      <c r="K93" s="113" t="s">
        <v>16</v>
      </c>
      <c r="L93" s="3" t="s">
        <v>67</v>
      </c>
      <c r="M93" s="3" t="s">
        <v>39055</v>
      </c>
      <c r="N93" s="3"/>
      <c r="O93" s="3"/>
      <c r="P93" s="3"/>
      <c r="Q93" s="3" t="s">
        <v>39371</v>
      </c>
      <c r="R93" s="3" t="s">
        <v>39057</v>
      </c>
      <c r="S93" s="3" t="s">
        <v>39197</v>
      </c>
      <c r="T93" s="114">
        <v>60000</v>
      </c>
      <c r="U93" s="114">
        <v>2000</v>
      </c>
      <c r="V93" s="114">
        <v>2000</v>
      </c>
      <c r="W93" s="114">
        <v>30000</v>
      </c>
      <c r="X93" s="114">
        <v>25000</v>
      </c>
      <c r="Y93" s="114">
        <v>2000</v>
      </c>
      <c r="Z93" s="114">
        <v>2000</v>
      </c>
      <c r="AA93" s="114">
        <v>2000</v>
      </c>
      <c r="AB93" s="114">
        <v>2000</v>
      </c>
      <c r="AC93" s="114">
        <v>1000</v>
      </c>
      <c r="AD93" s="114">
        <v>1000</v>
      </c>
      <c r="AE93" s="114">
        <v>1000</v>
      </c>
      <c r="AF93" s="114">
        <v>130000</v>
      </c>
      <c r="AG93" s="114">
        <v>0</v>
      </c>
      <c r="AH93" s="114">
        <v>0</v>
      </c>
      <c r="AI93" s="114">
        <v>0</v>
      </c>
      <c r="AJ93" s="114">
        <v>0</v>
      </c>
      <c r="AK93" s="114">
        <v>130000</v>
      </c>
      <c r="AL93" s="114">
        <v>0</v>
      </c>
      <c r="AM93" s="114">
        <v>0</v>
      </c>
      <c r="AN93" s="114">
        <v>0</v>
      </c>
      <c r="AO93" s="114">
        <v>0</v>
      </c>
      <c r="AP93" s="114">
        <v>0</v>
      </c>
      <c r="AQ93" s="114">
        <v>130000</v>
      </c>
      <c r="AR93" s="22">
        <v>231</v>
      </c>
      <c r="AS93" s="3" t="s">
        <v>39059</v>
      </c>
      <c r="AT93" s="115">
        <v>2025</v>
      </c>
      <c r="AU93" s="22">
        <f>_xlfn.XLOOKUP(_tPE26_29_Consolidada[[#This Row], [ID Financeiro]],[5]Projetos!$K:$K,[5]Projetos!$A:$A,0,0)</f>
      </c>
      <c r="AV93" s="3" t="s">
        <v>39372</v>
      </c>
      <c r="AW93" s="3" t="s">
        <v>39116</v>
      </c>
      <c r="AX93" s="8" t="s">
        <v>39371</v>
      </c>
      <c r="AY93" s="8"/>
      <c r="AZ93" s="3" t="s">
        <v>39130</v>
      </c>
      <c r="BA93" s="3"/>
      <c r="BB93" s="3"/>
      <c r="BC93" s="3"/>
      <c r="BD93" s="3"/>
      <c r="BE93" s="3"/>
      <c r="BF93" s="3"/>
      <c r="BG93" s="3"/>
      <c r="BH93" s="3"/>
      <c r="BI93" s="3"/>
      <c r="BJ93" s="3"/>
      <c r="BK93" s="3"/>
      <c r="BL93" s="3"/>
      <c r="BM93" s="3"/>
      <c r="BN93" s="3"/>
      <c r="BO93" s="3"/>
      <c r="BP93" s="116">
        <f>IFERROR(VLOOKUP(_tPE26_29_Consolidada[[#This Row], [ID Financeiro]],'[4]PE 25-29'!$B:$AF,31,FALSE),0)</f>
      </c>
      <c r="BQ93" s="116">
        <f>_tPE26_29_Consolidada[[#This Row], [2026]]*1000</f>
      </c>
      <c r="BR93" s="117">
        <f>_tPE26_29_Consolidada[[#This Row], [Orçado 2026 (PE25-29)]]-_tPE26_29_Consolidada[[#This Row], [Orçado 2026 (PE26-30)]]</f>
      </c>
      <c r="BS93" s="117">
        <f>IFERROR(VLOOKUP(_tPE26_29_Consolidada[[#This Row], [ID Financeiro]],'[4]PE 25-29'!$B:$AT,45,FALSE),0)</f>
      </c>
      <c r="BT93" s="117">
        <f>_tPE26_29_Consolidada[[#This Row], [2026-2030]]*1000</f>
      </c>
      <c r="BU93" s="117">
        <f>-_tPE26_29_Consolidada[[#This Row], [Orçado 26/30 (PE25-29)]]+_tPE26_29_Consolidada[[#This Row], [Orçado 26/30 (PE26-30)]]</f>
      </c>
      <c r="BV93" s="119">
        <f>IFERROR(_tPE26_29_Consolidada[[#This Row], [Dif2]]/_tPE26_29_Consolidada[[#This Row], [Orçado 26/30 (PE25-29)]],0)</f>
      </c>
      <c r="BW93" s="1"/>
      <c r="BX93" s="1"/>
      <c r="BY93" s="1"/>
      <c r="BZ93" s="1"/>
      <c r="CA93" s="1"/>
      <c r="CB93" s="1"/>
      <c r="CC93" s="1"/>
      <c r="CD93" s="1"/>
      <c r="CE93" s="1"/>
      <c r="CF93" s="1"/>
      <c r="CG93" s="1"/>
      <c r="CH93" s="1"/>
      <c r="CI93" s="1"/>
      <c r="CJ93" s="1"/>
      <c r="CK93" s="1"/>
      <c r="CL93" s="1"/>
      <c r="CM93" s="1"/>
      <c r="CN93" s="1"/>
      <c r="CO93" s="1"/>
      <c r="CP93" s="1"/>
      <c r="CQ93" s="111"/>
      <c r="CR93" s="111"/>
      <c r="CS93" s="111"/>
      <c r="CT93" s="111"/>
      <c r="CU93" s="111"/>
      <c r="CV93" s="111"/>
      <c r="CW93" s="111"/>
      <c r="CX93" s="111"/>
      <c r="CY93" s="111"/>
      <c r="CZ93" s="111"/>
      <c r="DA93" s="111"/>
      <c r="DB93" s="111"/>
      <c r="DC93" s="111"/>
      <c r="DD93" s="111"/>
      <c r="DE93" s="111"/>
      <c r="DF93" s="111"/>
      <c r="DG93" s="111"/>
      <c r="DH93" s="111"/>
      <c r="DI93" s="111"/>
      <c r="DJ93" s="111"/>
      <c r="DK93" s="111"/>
      <c r="DL93" s="111"/>
      <c r="DM93" s="111"/>
      <c r="DN93" s="111"/>
      <c r="DO93" s="111"/>
      <c r="DP93" s="111"/>
      <c r="DQ93" s="111"/>
      <c r="DR93" s="111"/>
      <c r="DS93" s="111"/>
      <c r="DT93" s="111"/>
      <c r="DU93" s="111"/>
      <c r="DV93" s="111"/>
      <c r="DW93" s="111"/>
      <c r="DX93" s="111"/>
      <c r="DY93" s="111"/>
      <c r="DZ93" s="111"/>
      <c r="EA93" s="111"/>
      <c r="EB93" s="111"/>
      <c r="EC93" s="111"/>
      <c r="ED93" s="111"/>
      <c r="EE93" s="111"/>
      <c r="EF93" s="111"/>
      <c r="EG93" s="111"/>
      <c r="EH93" s="111"/>
      <c r="EI93" s="111"/>
      <c r="EJ93" s="111"/>
      <c r="EK93" s="111"/>
      <c r="EL93" s="111"/>
      <c r="EM93" s="111"/>
      <c r="EN93" s="111"/>
      <c r="EO93" s="111"/>
      <c r="EP93" s="111"/>
      <c r="EQ93" s="111"/>
      <c r="ER93" s="111"/>
      <c r="ES93" s="111"/>
      <c r="ET93" s="111"/>
      <c r="EU93" s="111"/>
      <c r="EV93" s="111"/>
      <c r="EW93" s="111"/>
      <c r="EX93" s="111"/>
      <c r="EY93" s="111"/>
      <c r="EZ93" s="111"/>
      <c r="FA93" s="2"/>
      <c r="FB93" s="2"/>
      <c r="FC93" s="2"/>
      <c r="FD93" s="2"/>
      <c r="FE93" s="2"/>
      <c r="FF93" s="2"/>
    </row>
    <row x14ac:dyDescent="0.25" r="94" customHeight="1" ht="18.75">
      <c r="A94" s="3"/>
      <c r="B94" s="118" t="s">
        <v>39052</v>
      </c>
      <c r="C94" s="3" t="s">
        <v>39053</v>
      </c>
      <c r="D94" s="3" t="s">
        <v>8</v>
      </c>
      <c r="E94" s="3" t="s">
        <v>38983</v>
      </c>
      <c r="F94" s="3"/>
      <c r="G94" s="3" t="s">
        <v>39373</v>
      </c>
      <c r="H94" s="3" t="s">
        <v>10</v>
      </c>
      <c r="I94" s="3" t="s">
        <v>86</v>
      </c>
      <c r="J94" s="3" t="s">
        <v>5</v>
      </c>
      <c r="K94" s="113" t="s">
        <v>16</v>
      </c>
      <c r="L94" s="3" t="s">
        <v>67</v>
      </c>
      <c r="M94" s="3" t="s">
        <v>39055</v>
      </c>
      <c r="N94" s="3"/>
      <c r="O94" s="3"/>
      <c r="P94" s="3"/>
      <c r="Q94" s="3" t="s">
        <v>39374</v>
      </c>
      <c r="R94" s="3" t="s">
        <v>39057</v>
      </c>
      <c r="S94" s="3" t="s">
        <v>39197</v>
      </c>
      <c r="T94" s="114">
        <v>5000</v>
      </c>
      <c r="U94" s="114">
        <v>5000</v>
      </c>
      <c r="V94" s="114">
        <v>5000</v>
      </c>
      <c r="W94" s="114">
        <v>5000</v>
      </c>
      <c r="X94" s="114">
        <v>5000</v>
      </c>
      <c r="Y94" s="114">
        <v>60000</v>
      </c>
      <c r="Z94" s="114">
        <v>70000</v>
      </c>
      <c r="AA94" s="114">
        <v>5000</v>
      </c>
      <c r="AB94" s="114">
        <v>5000</v>
      </c>
      <c r="AC94" s="114">
        <v>5000</v>
      </c>
      <c r="AD94" s="114">
        <v>55000</v>
      </c>
      <c r="AE94" s="114">
        <v>5000</v>
      </c>
      <c r="AF94" s="114">
        <v>230000</v>
      </c>
      <c r="AG94" s="114">
        <v>15000</v>
      </c>
      <c r="AH94" s="114">
        <v>0</v>
      </c>
      <c r="AI94" s="114">
        <v>0</v>
      </c>
      <c r="AJ94" s="114">
        <v>0</v>
      </c>
      <c r="AK94" s="114">
        <v>245000</v>
      </c>
      <c r="AL94" s="114">
        <v>0</v>
      </c>
      <c r="AM94" s="114">
        <v>0</v>
      </c>
      <c r="AN94" s="114">
        <v>0</v>
      </c>
      <c r="AO94" s="114">
        <v>0</v>
      </c>
      <c r="AP94" s="114">
        <v>0</v>
      </c>
      <c r="AQ94" s="114">
        <v>245000</v>
      </c>
      <c r="AR94" s="22">
        <v>232</v>
      </c>
      <c r="AS94" s="3" t="s">
        <v>39059</v>
      </c>
      <c r="AT94" s="115">
        <v>2025</v>
      </c>
      <c r="AU94" s="22">
        <f>_xlfn.XLOOKUP(_tPE26_29_Consolidada[[#This Row], [ID Financeiro]],[5]Projetos!$K:$K,[5]Projetos!$A:$A,0,0)</f>
      </c>
      <c r="AV94" s="3" t="s">
        <v>39375</v>
      </c>
      <c r="AW94" s="3" t="s">
        <v>39194</v>
      </c>
      <c r="AX94" s="8" t="s">
        <v>39374</v>
      </c>
      <c r="AY94" s="8"/>
      <c r="AZ94" s="3" t="s">
        <v>39130</v>
      </c>
      <c r="BA94" s="3"/>
      <c r="BB94" s="3"/>
      <c r="BC94" s="3"/>
      <c r="BD94" s="3"/>
      <c r="BE94" s="3"/>
      <c r="BF94" s="3"/>
      <c r="BG94" s="3"/>
      <c r="BH94" s="3"/>
      <c r="BI94" s="3"/>
      <c r="BJ94" s="3"/>
      <c r="BK94" s="3"/>
      <c r="BL94" s="3"/>
      <c r="BM94" s="3"/>
      <c r="BN94" s="3"/>
      <c r="BO94" s="3"/>
      <c r="BP94" s="116">
        <f>IFERROR(VLOOKUP(_tPE26_29_Consolidada[[#This Row], [ID Financeiro]],'[4]PE 25-29'!$B:$AF,31,FALSE),0)</f>
      </c>
      <c r="BQ94" s="116">
        <f>_tPE26_29_Consolidada[[#This Row], [2026]]*1000</f>
      </c>
      <c r="BR94" s="117">
        <f>_tPE26_29_Consolidada[[#This Row], [Orçado 2026 (PE25-29)]]-_tPE26_29_Consolidada[[#This Row], [Orçado 2026 (PE26-30)]]</f>
      </c>
      <c r="BS94" s="117">
        <f>IFERROR(VLOOKUP(_tPE26_29_Consolidada[[#This Row], [ID Financeiro]],'[4]PE 25-29'!$B:$AT,45,FALSE),0)</f>
      </c>
      <c r="BT94" s="117">
        <f>_tPE26_29_Consolidada[[#This Row], [2026-2030]]*1000</f>
      </c>
      <c r="BU94" s="117">
        <f>-_tPE26_29_Consolidada[[#This Row], [Orçado 26/30 (PE25-29)]]+_tPE26_29_Consolidada[[#This Row], [Orçado 26/30 (PE26-30)]]</f>
      </c>
      <c r="BV94" s="119">
        <f>IFERROR(_tPE26_29_Consolidada[[#This Row], [Dif2]]/_tPE26_29_Consolidada[[#This Row], [Orçado 26/30 (PE25-29)]],0)</f>
      </c>
      <c r="BW94" s="1"/>
      <c r="BX94" s="1"/>
      <c r="BY94" s="1"/>
      <c r="BZ94" s="1"/>
      <c r="CA94" s="1"/>
      <c r="CB94" s="1"/>
      <c r="CC94" s="1"/>
      <c r="CD94" s="1"/>
      <c r="CE94" s="1"/>
      <c r="CF94" s="1"/>
      <c r="CG94" s="1"/>
      <c r="CH94" s="1"/>
      <c r="CI94" s="1"/>
      <c r="CJ94" s="1"/>
      <c r="CK94" s="1"/>
      <c r="CL94" s="1"/>
      <c r="CM94" s="1"/>
      <c r="CN94" s="1"/>
      <c r="CO94" s="1"/>
      <c r="CP94" s="1"/>
      <c r="CQ94" s="111"/>
      <c r="CR94" s="111"/>
      <c r="CS94" s="111"/>
      <c r="CT94" s="111"/>
      <c r="CU94" s="111"/>
      <c r="CV94" s="111"/>
      <c r="CW94" s="111"/>
      <c r="CX94" s="111"/>
      <c r="CY94" s="111"/>
      <c r="CZ94" s="111"/>
      <c r="DA94" s="111"/>
      <c r="DB94" s="111"/>
      <c r="DC94" s="111"/>
      <c r="DD94" s="111"/>
      <c r="DE94" s="111"/>
      <c r="DF94" s="111"/>
      <c r="DG94" s="111"/>
      <c r="DH94" s="111"/>
      <c r="DI94" s="111"/>
      <c r="DJ94" s="111"/>
      <c r="DK94" s="111"/>
      <c r="DL94" s="111"/>
      <c r="DM94" s="111"/>
      <c r="DN94" s="111"/>
      <c r="DO94" s="111"/>
      <c r="DP94" s="111"/>
      <c r="DQ94" s="111"/>
      <c r="DR94" s="111"/>
      <c r="DS94" s="111"/>
      <c r="DT94" s="111"/>
      <c r="DU94" s="111"/>
      <c r="DV94" s="111"/>
      <c r="DW94" s="111"/>
      <c r="DX94" s="111"/>
      <c r="DY94" s="111"/>
      <c r="DZ94" s="111"/>
      <c r="EA94" s="111"/>
      <c r="EB94" s="111"/>
      <c r="EC94" s="111"/>
      <c r="ED94" s="111"/>
      <c r="EE94" s="111"/>
      <c r="EF94" s="111"/>
      <c r="EG94" s="111"/>
      <c r="EH94" s="111"/>
      <c r="EI94" s="111"/>
      <c r="EJ94" s="111"/>
      <c r="EK94" s="111"/>
      <c r="EL94" s="111"/>
      <c r="EM94" s="111"/>
      <c r="EN94" s="111"/>
      <c r="EO94" s="111"/>
      <c r="EP94" s="111"/>
      <c r="EQ94" s="111"/>
      <c r="ER94" s="111"/>
      <c r="ES94" s="111"/>
      <c r="ET94" s="111"/>
      <c r="EU94" s="111"/>
      <c r="EV94" s="111"/>
      <c r="EW94" s="111"/>
      <c r="EX94" s="111"/>
      <c r="EY94" s="111"/>
      <c r="EZ94" s="111"/>
      <c r="FA94" s="2"/>
      <c r="FB94" s="2"/>
      <c r="FC94" s="2"/>
      <c r="FD94" s="2"/>
      <c r="FE94" s="2"/>
      <c r="FF94" s="2"/>
    </row>
    <row x14ac:dyDescent="0.25" r="95" customHeight="1" ht="18.75">
      <c r="A95" s="3"/>
      <c r="B95" s="118" t="s">
        <v>39052</v>
      </c>
      <c r="C95" s="3" t="s">
        <v>39053</v>
      </c>
      <c r="D95" s="3" t="s">
        <v>8</v>
      </c>
      <c r="E95" s="3" t="s">
        <v>38983</v>
      </c>
      <c r="F95" s="3"/>
      <c r="G95" s="3" t="s">
        <v>39376</v>
      </c>
      <c r="H95" s="3" t="s">
        <v>10</v>
      </c>
      <c r="I95" s="3" t="s">
        <v>86</v>
      </c>
      <c r="J95" s="3" t="s">
        <v>5</v>
      </c>
      <c r="K95" s="113" t="s">
        <v>16</v>
      </c>
      <c r="L95" s="3" t="s">
        <v>67</v>
      </c>
      <c r="M95" s="3" t="s">
        <v>39055</v>
      </c>
      <c r="N95" s="3"/>
      <c r="O95" s="3"/>
      <c r="P95" s="3"/>
      <c r="Q95" s="3" t="s">
        <v>39377</v>
      </c>
      <c r="R95" s="3" t="s">
        <v>39057</v>
      </c>
      <c r="S95" s="3" t="s">
        <v>39114</v>
      </c>
      <c r="T95" s="114">
        <v>10000</v>
      </c>
      <c r="U95" s="114">
        <v>100000</v>
      </c>
      <c r="V95" s="114">
        <v>0</v>
      </c>
      <c r="W95" s="114">
        <v>100000</v>
      </c>
      <c r="X95" s="114">
        <v>40000</v>
      </c>
      <c r="Y95" s="114">
        <v>0</v>
      </c>
      <c r="Z95" s="114">
        <v>0</v>
      </c>
      <c r="AA95" s="114">
        <v>0</v>
      </c>
      <c r="AB95" s="114">
        <v>0</v>
      </c>
      <c r="AC95" s="114">
        <v>0</v>
      </c>
      <c r="AD95" s="114">
        <v>0</v>
      </c>
      <c r="AE95" s="114">
        <v>0</v>
      </c>
      <c r="AF95" s="114">
        <v>250000</v>
      </c>
      <c r="AG95" s="114">
        <v>15000000</v>
      </c>
      <c r="AH95" s="114">
        <v>15000000</v>
      </c>
      <c r="AI95" s="114">
        <v>15000000</v>
      </c>
      <c r="AJ95" s="114">
        <v>15750000</v>
      </c>
      <c r="AK95" s="114">
        <v>61000000</v>
      </c>
      <c r="AL95" s="114">
        <v>0</v>
      </c>
      <c r="AM95" s="114">
        <v>0</v>
      </c>
      <c r="AN95" s="114">
        <v>0</v>
      </c>
      <c r="AO95" s="114">
        <v>0</v>
      </c>
      <c r="AP95" s="114">
        <v>0</v>
      </c>
      <c r="AQ95" s="114">
        <v>61000000</v>
      </c>
      <c r="AR95" s="22">
        <v>233</v>
      </c>
      <c r="AS95" s="3" t="s">
        <v>39059</v>
      </c>
      <c r="AT95" s="115">
        <v>2025</v>
      </c>
      <c r="AU95" s="22">
        <f>_xlfn.XLOOKUP(_tPE26_29_Consolidada[[#This Row], [ID Financeiro]],[5]Projetos!$K:$K,[5]Projetos!$A:$A,0,0)</f>
      </c>
      <c r="AV95" s="3" t="s">
        <v>39378</v>
      </c>
      <c r="AW95" s="3" t="s">
        <v>39194</v>
      </c>
      <c r="AX95" s="8" t="s">
        <v>39377</v>
      </c>
      <c r="AY95" s="8"/>
      <c r="AZ95" s="3" t="s">
        <v>39064</v>
      </c>
      <c r="BA95" s="3"/>
      <c r="BB95" s="3"/>
      <c r="BC95" s="3"/>
      <c r="BD95" s="3"/>
      <c r="BE95" s="3"/>
      <c r="BF95" s="3"/>
      <c r="BG95" s="3"/>
      <c r="BH95" s="3"/>
      <c r="BI95" s="3"/>
      <c r="BJ95" s="3"/>
      <c r="BK95" s="3"/>
      <c r="BL95" s="3"/>
      <c r="BM95" s="3"/>
      <c r="BN95" s="3"/>
      <c r="BO95" s="3"/>
      <c r="BP95" s="116">
        <f>IFERROR(VLOOKUP(_tPE26_29_Consolidada[[#This Row], [ID Financeiro]],'[4]PE 25-29'!$B:$AF,31,FALSE),0)</f>
      </c>
      <c r="BQ95" s="116">
        <f>_tPE26_29_Consolidada[[#This Row], [2026]]*1000</f>
      </c>
      <c r="BR95" s="117">
        <f>_tPE26_29_Consolidada[[#This Row], [Orçado 2026 (PE25-29)]]-_tPE26_29_Consolidada[[#This Row], [Orçado 2026 (PE26-30)]]</f>
      </c>
      <c r="BS95" s="117">
        <f>IFERROR(VLOOKUP(_tPE26_29_Consolidada[[#This Row], [ID Financeiro]],'[4]PE 25-29'!$B:$AT,45,FALSE),0)</f>
      </c>
      <c r="BT95" s="117">
        <f>_tPE26_29_Consolidada[[#This Row], [2026-2030]]*1000</f>
      </c>
      <c r="BU95" s="117">
        <f>-_tPE26_29_Consolidada[[#This Row], [Orçado 26/30 (PE25-29)]]+_tPE26_29_Consolidada[[#This Row], [Orçado 26/30 (PE26-30)]]</f>
      </c>
      <c r="BV95" s="119">
        <f>IFERROR(_tPE26_29_Consolidada[[#This Row], [Dif2]]/_tPE26_29_Consolidada[[#This Row], [Orçado 26/30 (PE25-29)]],0)</f>
      </c>
      <c r="BW95" s="1"/>
      <c r="BX95" s="1"/>
      <c r="BY95" s="1"/>
      <c r="BZ95" s="1"/>
      <c r="CA95" s="1"/>
      <c r="CB95" s="1"/>
      <c r="CC95" s="1"/>
      <c r="CD95" s="1"/>
      <c r="CE95" s="1"/>
      <c r="CF95" s="1"/>
      <c r="CG95" s="1"/>
      <c r="CH95" s="1"/>
      <c r="CI95" s="1"/>
      <c r="CJ95" s="1"/>
      <c r="CK95" s="1"/>
      <c r="CL95" s="1"/>
      <c r="CM95" s="1"/>
      <c r="CN95" s="1"/>
      <c r="CO95" s="1"/>
      <c r="CP95" s="1"/>
      <c r="CQ95" s="111"/>
      <c r="CR95" s="111"/>
      <c r="CS95" s="111"/>
      <c r="CT95" s="111"/>
      <c r="CU95" s="111"/>
      <c r="CV95" s="111"/>
      <c r="CW95" s="111"/>
      <c r="CX95" s="111"/>
      <c r="CY95" s="111"/>
      <c r="CZ95" s="111"/>
      <c r="DA95" s="111"/>
      <c r="DB95" s="111"/>
      <c r="DC95" s="111"/>
      <c r="DD95" s="111"/>
      <c r="DE95" s="111"/>
      <c r="DF95" s="111"/>
      <c r="DG95" s="111"/>
      <c r="DH95" s="111"/>
      <c r="DI95" s="111"/>
      <c r="DJ95" s="111"/>
      <c r="DK95" s="111"/>
      <c r="DL95" s="111"/>
      <c r="DM95" s="111"/>
      <c r="DN95" s="111"/>
      <c r="DO95" s="111"/>
      <c r="DP95" s="111"/>
      <c r="DQ95" s="111"/>
      <c r="DR95" s="111"/>
      <c r="DS95" s="111"/>
      <c r="DT95" s="111"/>
      <c r="DU95" s="111"/>
      <c r="DV95" s="111"/>
      <c r="DW95" s="111"/>
      <c r="DX95" s="111"/>
      <c r="DY95" s="111"/>
      <c r="DZ95" s="111"/>
      <c r="EA95" s="111"/>
      <c r="EB95" s="111"/>
      <c r="EC95" s="111"/>
      <c r="ED95" s="111"/>
      <c r="EE95" s="111"/>
      <c r="EF95" s="111"/>
      <c r="EG95" s="111"/>
      <c r="EH95" s="111"/>
      <c r="EI95" s="111"/>
      <c r="EJ95" s="111"/>
      <c r="EK95" s="111"/>
      <c r="EL95" s="111"/>
      <c r="EM95" s="111"/>
      <c r="EN95" s="111"/>
      <c r="EO95" s="111"/>
      <c r="EP95" s="111"/>
      <c r="EQ95" s="111"/>
      <c r="ER95" s="111"/>
      <c r="ES95" s="111"/>
      <c r="ET95" s="111"/>
      <c r="EU95" s="111"/>
      <c r="EV95" s="111"/>
      <c r="EW95" s="111"/>
      <c r="EX95" s="111"/>
      <c r="EY95" s="111"/>
      <c r="EZ95" s="111"/>
      <c r="FA95" s="2"/>
      <c r="FB95" s="2"/>
      <c r="FC95" s="2"/>
      <c r="FD95" s="2"/>
      <c r="FE95" s="2"/>
      <c r="FF95" s="2"/>
    </row>
    <row x14ac:dyDescent="0.25" r="96" customHeight="1" ht="18.75">
      <c r="A96" s="3"/>
      <c r="B96" s="118" t="s">
        <v>39052</v>
      </c>
      <c r="C96" s="3" t="s">
        <v>39053</v>
      </c>
      <c r="D96" s="3" t="s">
        <v>8</v>
      </c>
      <c r="E96" s="3" t="s">
        <v>38983</v>
      </c>
      <c r="F96" s="3"/>
      <c r="G96" s="3" t="s">
        <v>39379</v>
      </c>
      <c r="H96" s="3" t="s">
        <v>10</v>
      </c>
      <c r="I96" s="3" t="s">
        <v>86</v>
      </c>
      <c r="J96" s="3" t="s">
        <v>5</v>
      </c>
      <c r="K96" s="113" t="s">
        <v>16</v>
      </c>
      <c r="L96" s="3" t="s">
        <v>67</v>
      </c>
      <c r="M96" s="3" t="s">
        <v>39055</v>
      </c>
      <c r="N96" s="3"/>
      <c r="O96" s="3"/>
      <c r="P96" s="3"/>
      <c r="Q96" s="3" t="s">
        <v>39380</v>
      </c>
      <c r="R96" s="3" t="s">
        <v>39057</v>
      </c>
      <c r="S96" s="3" t="s">
        <v>39133</v>
      </c>
      <c r="T96" s="114">
        <v>0</v>
      </c>
      <c r="U96" s="114">
        <v>850000</v>
      </c>
      <c r="V96" s="114">
        <v>0</v>
      </c>
      <c r="W96" s="114">
        <v>5000</v>
      </c>
      <c r="X96" s="114">
        <v>0</v>
      </c>
      <c r="Y96" s="114">
        <v>850000</v>
      </c>
      <c r="Z96" s="114">
        <v>0</v>
      </c>
      <c r="AA96" s="114">
        <v>5000</v>
      </c>
      <c r="AB96" s="114">
        <v>0</v>
      </c>
      <c r="AC96" s="114">
        <v>0</v>
      </c>
      <c r="AD96" s="114">
        <v>0</v>
      </c>
      <c r="AE96" s="114">
        <v>0</v>
      </c>
      <c r="AF96" s="114">
        <v>1710000</v>
      </c>
      <c r="AG96" s="114">
        <v>0</v>
      </c>
      <c r="AH96" s="114">
        <v>0</v>
      </c>
      <c r="AI96" s="114">
        <v>0</v>
      </c>
      <c r="AJ96" s="114">
        <v>0</v>
      </c>
      <c r="AK96" s="114">
        <v>1710000</v>
      </c>
      <c r="AL96" s="114">
        <v>0</v>
      </c>
      <c r="AM96" s="114">
        <v>0</v>
      </c>
      <c r="AN96" s="114">
        <v>0</v>
      </c>
      <c r="AO96" s="114">
        <v>0</v>
      </c>
      <c r="AP96" s="114">
        <v>0</v>
      </c>
      <c r="AQ96" s="114">
        <v>1710000</v>
      </c>
      <c r="AR96" s="22">
        <v>234</v>
      </c>
      <c r="AS96" s="3" t="s">
        <v>39059</v>
      </c>
      <c r="AT96" s="115">
        <v>2025</v>
      </c>
      <c r="AU96" s="22">
        <f>_xlfn.XLOOKUP(_tPE26_29_Consolidada[[#This Row], [ID Financeiro]],[5]Projetos!$K:$K,[5]Projetos!$A:$A,0,0)</f>
      </c>
      <c r="AV96" s="3" t="s">
        <v>39381</v>
      </c>
      <c r="AW96" s="3" t="s">
        <v>39194</v>
      </c>
      <c r="AX96" s="8" t="s">
        <v>39380</v>
      </c>
      <c r="AY96" s="8"/>
      <c r="AZ96" s="3" t="s">
        <v>39092</v>
      </c>
      <c r="BA96" s="3"/>
      <c r="BB96" s="3"/>
      <c r="BC96" s="3"/>
      <c r="BD96" s="3"/>
      <c r="BE96" s="3"/>
      <c r="BF96" s="3"/>
      <c r="BG96" s="3"/>
      <c r="BH96" s="3"/>
      <c r="BI96" s="3"/>
      <c r="BJ96" s="3"/>
      <c r="BK96" s="3"/>
      <c r="BL96" s="3"/>
      <c r="BM96" s="3"/>
      <c r="BN96" s="3"/>
      <c r="BO96" s="3"/>
      <c r="BP96" s="116">
        <f>IFERROR(VLOOKUP(_tPE26_29_Consolidada[[#This Row], [ID Financeiro]],'[4]PE 25-29'!$B:$AF,31,FALSE),0)</f>
      </c>
      <c r="BQ96" s="116">
        <f>_tPE26_29_Consolidada[[#This Row], [2026]]*1000</f>
      </c>
      <c r="BR96" s="117">
        <f>_tPE26_29_Consolidada[[#This Row], [Orçado 2026 (PE25-29)]]-_tPE26_29_Consolidada[[#This Row], [Orçado 2026 (PE26-30)]]</f>
      </c>
      <c r="BS96" s="117">
        <f>IFERROR(VLOOKUP(_tPE26_29_Consolidada[[#This Row], [ID Financeiro]],'[4]PE 25-29'!$B:$AT,45,FALSE),0)</f>
      </c>
      <c r="BT96" s="117">
        <f>_tPE26_29_Consolidada[[#This Row], [2026-2030]]*1000</f>
      </c>
      <c r="BU96" s="117">
        <f>-_tPE26_29_Consolidada[[#This Row], [Orçado 26/30 (PE25-29)]]+_tPE26_29_Consolidada[[#This Row], [Orçado 26/30 (PE26-30)]]</f>
      </c>
      <c r="BV96" s="119">
        <f>IFERROR(_tPE26_29_Consolidada[[#This Row], [Dif2]]/_tPE26_29_Consolidada[[#This Row], [Orçado 26/30 (PE25-29)]],0)</f>
      </c>
      <c r="BW96" s="1"/>
      <c r="BX96" s="1"/>
      <c r="BY96" s="1"/>
      <c r="BZ96" s="1"/>
      <c r="CA96" s="1"/>
      <c r="CB96" s="1"/>
      <c r="CC96" s="1"/>
      <c r="CD96" s="1"/>
      <c r="CE96" s="1"/>
      <c r="CF96" s="1"/>
      <c r="CG96" s="1"/>
      <c r="CH96" s="1"/>
      <c r="CI96" s="1"/>
      <c r="CJ96" s="1"/>
      <c r="CK96" s="1"/>
      <c r="CL96" s="1"/>
      <c r="CM96" s="1"/>
      <c r="CN96" s="1"/>
      <c r="CO96" s="1"/>
      <c r="CP96" s="1"/>
      <c r="CQ96" s="111"/>
      <c r="CR96" s="111"/>
      <c r="CS96" s="111"/>
      <c r="CT96" s="111"/>
      <c r="CU96" s="111"/>
      <c r="CV96" s="111"/>
      <c r="CW96" s="111"/>
      <c r="CX96" s="111"/>
      <c r="CY96" s="111"/>
      <c r="CZ96" s="111"/>
      <c r="DA96" s="111"/>
      <c r="DB96" s="111"/>
      <c r="DC96" s="111"/>
      <c r="DD96" s="111"/>
      <c r="DE96" s="111"/>
      <c r="DF96" s="111"/>
      <c r="DG96" s="111"/>
      <c r="DH96" s="111"/>
      <c r="DI96" s="111"/>
      <c r="DJ96" s="111"/>
      <c r="DK96" s="111"/>
      <c r="DL96" s="111"/>
      <c r="DM96" s="111"/>
      <c r="DN96" s="111"/>
      <c r="DO96" s="111"/>
      <c r="DP96" s="111"/>
      <c r="DQ96" s="111"/>
      <c r="DR96" s="111"/>
      <c r="DS96" s="111"/>
      <c r="DT96" s="111"/>
      <c r="DU96" s="111"/>
      <c r="DV96" s="111"/>
      <c r="DW96" s="111"/>
      <c r="DX96" s="111"/>
      <c r="DY96" s="111"/>
      <c r="DZ96" s="111"/>
      <c r="EA96" s="111"/>
      <c r="EB96" s="111"/>
      <c r="EC96" s="111"/>
      <c r="ED96" s="111"/>
      <c r="EE96" s="111"/>
      <c r="EF96" s="111"/>
      <c r="EG96" s="111"/>
      <c r="EH96" s="111"/>
      <c r="EI96" s="111"/>
      <c r="EJ96" s="111"/>
      <c r="EK96" s="111"/>
      <c r="EL96" s="111"/>
      <c r="EM96" s="111"/>
      <c r="EN96" s="111"/>
      <c r="EO96" s="111"/>
      <c r="EP96" s="111"/>
      <c r="EQ96" s="111"/>
      <c r="ER96" s="111"/>
      <c r="ES96" s="111"/>
      <c r="ET96" s="111"/>
      <c r="EU96" s="111"/>
      <c r="EV96" s="111"/>
      <c r="EW96" s="111"/>
      <c r="EX96" s="111"/>
      <c r="EY96" s="111"/>
      <c r="EZ96" s="111"/>
      <c r="FA96" s="2"/>
      <c r="FB96" s="2"/>
      <c r="FC96" s="2"/>
      <c r="FD96" s="2"/>
      <c r="FE96" s="2"/>
      <c r="FF96" s="2"/>
    </row>
    <row x14ac:dyDescent="0.25" r="97" customHeight="1" ht="18.75">
      <c r="A97" s="3"/>
      <c r="B97" s="118" t="s">
        <v>39052</v>
      </c>
      <c r="C97" s="3" t="s">
        <v>39053</v>
      </c>
      <c r="D97" s="3" t="s">
        <v>8</v>
      </c>
      <c r="E97" s="3" t="s">
        <v>38983</v>
      </c>
      <c r="F97" s="3"/>
      <c r="G97" s="3" t="s">
        <v>39382</v>
      </c>
      <c r="H97" s="3" t="s">
        <v>10</v>
      </c>
      <c r="I97" s="3" t="s">
        <v>86</v>
      </c>
      <c r="J97" s="3" t="s">
        <v>5</v>
      </c>
      <c r="K97" s="113" t="s">
        <v>16</v>
      </c>
      <c r="L97" s="3" t="s">
        <v>67</v>
      </c>
      <c r="M97" s="3" t="s">
        <v>39055</v>
      </c>
      <c r="N97" s="3"/>
      <c r="O97" s="3"/>
      <c r="P97" s="3"/>
      <c r="Q97" s="3" t="s">
        <v>39383</v>
      </c>
      <c r="R97" s="3" t="s">
        <v>39057</v>
      </c>
      <c r="S97" s="3" t="s">
        <v>39123</v>
      </c>
      <c r="T97" s="114">
        <v>0</v>
      </c>
      <c r="U97" s="114">
        <v>0</v>
      </c>
      <c r="V97" s="114">
        <v>0</v>
      </c>
      <c r="W97" s="114">
        <v>0</v>
      </c>
      <c r="X97" s="114">
        <v>0</v>
      </c>
      <c r="Y97" s="114">
        <v>0</v>
      </c>
      <c r="Z97" s="114">
        <v>0</v>
      </c>
      <c r="AA97" s="114">
        <v>0</v>
      </c>
      <c r="AB97" s="114">
        <v>250000</v>
      </c>
      <c r="AC97" s="114">
        <v>250000</v>
      </c>
      <c r="AD97" s="114">
        <v>250000</v>
      </c>
      <c r="AE97" s="114">
        <v>250000</v>
      </c>
      <c r="AF97" s="114">
        <v>1000000</v>
      </c>
      <c r="AG97" s="114">
        <v>3500000</v>
      </c>
      <c r="AH97" s="114">
        <v>500000</v>
      </c>
      <c r="AI97" s="114">
        <v>0</v>
      </c>
      <c r="AJ97" s="114">
        <v>0</v>
      </c>
      <c r="AK97" s="114">
        <v>5000000</v>
      </c>
      <c r="AL97" s="114">
        <v>0</v>
      </c>
      <c r="AM97" s="114">
        <v>0</v>
      </c>
      <c r="AN97" s="114">
        <v>0</v>
      </c>
      <c r="AO97" s="114">
        <v>0</v>
      </c>
      <c r="AP97" s="114">
        <v>0</v>
      </c>
      <c r="AQ97" s="114">
        <v>5000000</v>
      </c>
      <c r="AR97" s="22">
        <v>235</v>
      </c>
      <c r="AS97" s="3" t="s">
        <v>39059</v>
      </c>
      <c r="AT97" s="115">
        <v>2025</v>
      </c>
      <c r="AU97" s="22">
        <f>_xlfn.XLOOKUP(_tPE26_29_Consolidada[[#This Row], [ID Financeiro]],[5]Projetos!$K:$K,[5]Projetos!$A:$A,0,0)</f>
      </c>
      <c r="AV97" s="3" t="s">
        <v>39384</v>
      </c>
      <c r="AW97" s="3" t="s">
        <v>39116</v>
      </c>
      <c r="AX97" s="8" t="s">
        <v>39383</v>
      </c>
      <c r="AY97" s="8"/>
      <c r="AZ97" s="3" t="s">
        <v>39064</v>
      </c>
      <c r="BA97" s="3"/>
      <c r="BB97" s="3"/>
      <c r="BC97" s="3"/>
      <c r="BD97" s="3"/>
      <c r="BE97" s="3"/>
      <c r="BF97" s="3"/>
      <c r="BG97" s="3"/>
      <c r="BH97" s="3"/>
      <c r="BI97" s="3"/>
      <c r="BJ97" s="3"/>
      <c r="BK97" s="3"/>
      <c r="BL97" s="3"/>
      <c r="BM97" s="3"/>
      <c r="BN97" s="3"/>
      <c r="BO97" s="3"/>
      <c r="BP97" s="116">
        <f>IFERROR(VLOOKUP(_tPE26_29_Consolidada[[#This Row], [ID Financeiro]],'[4]PE 25-29'!$B:$AF,31,FALSE),0)</f>
      </c>
      <c r="BQ97" s="116">
        <f>_tPE26_29_Consolidada[[#This Row], [2026]]*1000</f>
      </c>
      <c r="BR97" s="117">
        <f>_tPE26_29_Consolidada[[#This Row], [Orçado 2026 (PE25-29)]]-_tPE26_29_Consolidada[[#This Row], [Orçado 2026 (PE26-30)]]</f>
      </c>
      <c r="BS97" s="117">
        <f>IFERROR(VLOOKUP(_tPE26_29_Consolidada[[#This Row], [ID Financeiro]],'[4]PE 25-29'!$B:$AT,45,FALSE),0)</f>
      </c>
      <c r="BT97" s="117">
        <f>_tPE26_29_Consolidada[[#This Row], [2026-2030]]*1000</f>
      </c>
      <c r="BU97" s="117">
        <f>-_tPE26_29_Consolidada[[#This Row], [Orçado 26/30 (PE25-29)]]+_tPE26_29_Consolidada[[#This Row], [Orçado 26/30 (PE26-30)]]</f>
      </c>
      <c r="BV97" s="119">
        <f>IFERROR(_tPE26_29_Consolidada[[#This Row], [Dif2]]/_tPE26_29_Consolidada[[#This Row], [Orçado 26/30 (PE25-29)]],0)</f>
      </c>
      <c r="BW97" s="1"/>
      <c r="BX97" s="1"/>
      <c r="BY97" s="1"/>
      <c r="BZ97" s="1"/>
      <c r="CA97" s="1"/>
      <c r="CB97" s="1"/>
      <c r="CC97" s="1"/>
      <c r="CD97" s="1"/>
      <c r="CE97" s="1"/>
      <c r="CF97" s="1"/>
      <c r="CG97" s="1"/>
      <c r="CH97" s="1"/>
      <c r="CI97" s="1"/>
      <c r="CJ97" s="1"/>
      <c r="CK97" s="1"/>
      <c r="CL97" s="1"/>
      <c r="CM97" s="1"/>
      <c r="CN97" s="1"/>
      <c r="CO97" s="1"/>
      <c r="CP97" s="1"/>
      <c r="CQ97" s="111"/>
      <c r="CR97" s="111"/>
      <c r="CS97" s="111"/>
      <c r="CT97" s="111"/>
      <c r="CU97" s="111"/>
      <c r="CV97" s="111"/>
      <c r="CW97" s="111"/>
      <c r="CX97" s="111"/>
      <c r="CY97" s="111"/>
      <c r="CZ97" s="111"/>
      <c r="DA97" s="111"/>
      <c r="DB97" s="111"/>
      <c r="DC97" s="111"/>
      <c r="DD97" s="111"/>
      <c r="DE97" s="111"/>
      <c r="DF97" s="111"/>
      <c r="DG97" s="111"/>
      <c r="DH97" s="111"/>
      <c r="DI97" s="111"/>
      <c r="DJ97" s="111"/>
      <c r="DK97" s="111"/>
      <c r="DL97" s="111"/>
      <c r="DM97" s="111"/>
      <c r="DN97" s="111"/>
      <c r="DO97" s="111"/>
      <c r="DP97" s="111"/>
      <c r="DQ97" s="111"/>
      <c r="DR97" s="111"/>
      <c r="DS97" s="111"/>
      <c r="DT97" s="111"/>
      <c r="DU97" s="111"/>
      <c r="DV97" s="111"/>
      <c r="DW97" s="111"/>
      <c r="DX97" s="111"/>
      <c r="DY97" s="111"/>
      <c r="DZ97" s="111"/>
      <c r="EA97" s="111"/>
      <c r="EB97" s="111"/>
      <c r="EC97" s="111"/>
      <c r="ED97" s="111"/>
      <c r="EE97" s="111"/>
      <c r="EF97" s="111"/>
      <c r="EG97" s="111"/>
      <c r="EH97" s="111"/>
      <c r="EI97" s="111"/>
      <c r="EJ97" s="111"/>
      <c r="EK97" s="111"/>
      <c r="EL97" s="111"/>
      <c r="EM97" s="111"/>
      <c r="EN97" s="111"/>
      <c r="EO97" s="111"/>
      <c r="EP97" s="111"/>
      <c r="EQ97" s="111"/>
      <c r="ER97" s="111"/>
      <c r="ES97" s="111"/>
      <c r="ET97" s="111"/>
      <c r="EU97" s="111"/>
      <c r="EV97" s="111"/>
      <c r="EW97" s="111"/>
      <c r="EX97" s="111"/>
      <c r="EY97" s="111"/>
      <c r="EZ97" s="111"/>
      <c r="FA97" s="2"/>
      <c r="FB97" s="2"/>
      <c r="FC97" s="2"/>
      <c r="FD97" s="2"/>
      <c r="FE97" s="2"/>
      <c r="FF97" s="2"/>
    </row>
    <row x14ac:dyDescent="0.25" r="98" customHeight="1" ht="18.75">
      <c r="A98" s="3"/>
      <c r="B98" s="118" t="s">
        <v>39052</v>
      </c>
      <c r="C98" s="3" t="s">
        <v>39053</v>
      </c>
      <c r="D98" s="3" t="s">
        <v>8</v>
      </c>
      <c r="E98" s="3" t="s">
        <v>38983</v>
      </c>
      <c r="F98" s="3"/>
      <c r="G98" s="3" t="s">
        <v>39385</v>
      </c>
      <c r="H98" s="3" t="s">
        <v>10</v>
      </c>
      <c r="I98" s="3" t="s">
        <v>86</v>
      </c>
      <c r="J98" s="3" t="s">
        <v>5</v>
      </c>
      <c r="K98" s="113" t="s">
        <v>16</v>
      </c>
      <c r="L98" s="3" t="s">
        <v>67</v>
      </c>
      <c r="M98" s="3" t="s">
        <v>39055</v>
      </c>
      <c r="N98" s="3"/>
      <c r="O98" s="3"/>
      <c r="P98" s="3"/>
      <c r="Q98" s="3" t="s">
        <v>39386</v>
      </c>
      <c r="R98" s="3" t="s">
        <v>39057</v>
      </c>
      <c r="S98" s="3" t="s">
        <v>39083</v>
      </c>
      <c r="T98" s="114">
        <v>0</v>
      </c>
      <c r="U98" s="114">
        <v>0</v>
      </c>
      <c r="V98" s="114">
        <v>0</v>
      </c>
      <c r="W98" s="114">
        <v>0</v>
      </c>
      <c r="X98" s="114">
        <v>0</v>
      </c>
      <c r="Y98" s="114">
        <v>0</v>
      </c>
      <c r="Z98" s="114">
        <v>0</v>
      </c>
      <c r="AA98" s="114">
        <v>10000</v>
      </c>
      <c r="AB98" s="114">
        <v>5000</v>
      </c>
      <c r="AC98" s="114">
        <v>2000000</v>
      </c>
      <c r="AD98" s="114">
        <v>50000</v>
      </c>
      <c r="AE98" s="114">
        <v>40000</v>
      </c>
      <c r="AF98" s="114">
        <v>2105000</v>
      </c>
      <c r="AG98" s="114">
        <v>0</v>
      </c>
      <c r="AH98" s="114">
        <v>0</v>
      </c>
      <c r="AI98" s="114">
        <v>0</v>
      </c>
      <c r="AJ98" s="114">
        <v>0</v>
      </c>
      <c r="AK98" s="114">
        <v>2105000</v>
      </c>
      <c r="AL98" s="114">
        <v>0</v>
      </c>
      <c r="AM98" s="114">
        <v>0</v>
      </c>
      <c r="AN98" s="114">
        <v>0</v>
      </c>
      <c r="AO98" s="114">
        <v>0</v>
      </c>
      <c r="AP98" s="114">
        <v>0</v>
      </c>
      <c r="AQ98" s="114">
        <v>2105000</v>
      </c>
      <c r="AR98" s="22">
        <v>236</v>
      </c>
      <c r="AS98" s="3" t="s">
        <v>39059</v>
      </c>
      <c r="AT98" s="115">
        <v>2025</v>
      </c>
      <c r="AU98" s="22">
        <f>_xlfn.XLOOKUP(_tPE26_29_Consolidada[[#This Row], [ID Financeiro]],[5]Projetos!$K:$K,[5]Projetos!$A:$A,0,0)</f>
      </c>
      <c r="AV98" s="3" t="s">
        <v>39387</v>
      </c>
      <c r="AW98" s="3" t="s">
        <v>39194</v>
      </c>
      <c r="AX98" s="8" t="s">
        <v>39386</v>
      </c>
      <c r="AY98" s="8"/>
      <c r="AZ98" s="3" t="s">
        <v>39085</v>
      </c>
      <c r="BA98" s="3"/>
      <c r="BB98" s="3"/>
      <c r="BC98" s="3"/>
      <c r="BD98" s="3"/>
      <c r="BE98" s="3"/>
      <c r="BF98" s="3"/>
      <c r="BG98" s="3"/>
      <c r="BH98" s="3"/>
      <c r="BI98" s="3"/>
      <c r="BJ98" s="3"/>
      <c r="BK98" s="3"/>
      <c r="BL98" s="3"/>
      <c r="BM98" s="3"/>
      <c r="BN98" s="3"/>
      <c r="BO98" s="3"/>
      <c r="BP98" s="116">
        <f>IFERROR(VLOOKUP(_tPE26_29_Consolidada[[#This Row], [ID Financeiro]],'[4]PE 25-29'!$B:$AF,31,FALSE),0)</f>
      </c>
      <c r="BQ98" s="116">
        <f>_tPE26_29_Consolidada[[#This Row], [2026]]*1000</f>
      </c>
      <c r="BR98" s="117">
        <f>_tPE26_29_Consolidada[[#This Row], [Orçado 2026 (PE25-29)]]-_tPE26_29_Consolidada[[#This Row], [Orçado 2026 (PE26-30)]]</f>
      </c>
      <c r="BS98" s="117">
        <f>IFERROR(VLOOKUP(_tPE26_29_Consolidada[[#This Row], [ID Financeiro]],'[4]PE 25-29'!$B:$AT,45,FALSE),0)</f>
      </c>
      <c r="BT98" s="117">
        <f>_tPE26_29_Consolidada[[#This Row], [2026-2030]]*1000</f>
      </c>
      <c r="BU98" s="117">
        <f>-_tPE26_29_Consolidada[[#This Row], [Orçado 26/30 (PE25-29)]]+_tPE26_29_Consolidada[[#This Row], [Orçado 26/30 (PE26-30)]]</f>
      </c>
      <c r="BV98" s="119">
        <f>IFERROR(_tPE26_29_Consolidada[[#This Row], [Dif2]]/_tPE26_29_Consolidada[[#This Row], [Orçado 26/30 (PE25-29)]],0)</f>
      </c>
      <c r="BW98" s="1"/>
      <c r="BX98" s="1"/>
      <c r="BY98" s="1"/>
      <c r="BZ98" s="1"/>
      <c r="CA98" s="1"/>
      <c r="CB98" s="1"/>
      <c r="CC98" s="1"/>
      <c r="CD98" s="1"/>
      <c r="CE98" s="1"/>
      <c r="CF98" s="1"/>
      <c r="CG98" s="1"/>
      <c r="CH98" s="1"/>
      <c r="CI98" s="1"/>
      <c r="CJ98" s="1"/>
      <c r="CK98" s="1"/>
      <c r="CL98" s="1"/>
      <c r="CM98" s="1"/>
      <c r="CN98" s="1"/>
      <c r="CO98" s="1"/>
      <c r="CP98" s="1"/>
      <c r="CQ98" s="111"/>
      <c r="CR98" s="111"/>
      <c r="CS98" s="111"/>
      <c r="CT98" s="111"/>
      <c r="CU98" s="111"/>
      <c r="CV98" s="111"/>
      <c r="CW98" s="111"/>
      <c r="CX98" s="111"/>
      <c r="CY98" s="111"/>
      <c r="CZ98" s="111"/>
      <c r="DA98" s="111"/>
      <c r="DB98" s="111"/>
      <c r="DC98" s="111"/>
      <c r="DD98" s="111"/>
      <c r="DE98" s="111"/>
      <c r="DF98" s="111"/>
      <c r="DG98" s="111"/>
      <c r="DH98" s="111"/>
      <c r="DI98" s="111"/>
      <c r="DJ98" s="111"/>
      <c r="DK98" s="111"/>
      <c r="DL98" s="111"/>
      <c r="DM98" s="111"/>
      <c r="DN98" s="111"/>
      <c r="DO98" s="111"/>
      <c r="DP98" s="111"/>
      <c r="DQ98" s="111"/>
      <c r="DR98" s="111"/>
      <c r="DS98" s="111"/>
      <c r="DT98" s="111"/>
      <c r="DU98" s="111"/>
      <c r="DV98" s="111"/>
      <c r="DW98" s="111"/>
      <c r="DX98" s="111"/>
      <c r="DY98" s="111"/>
      <c r="DZ98" s="111"/>
      <c r="EA98" s="111"/>
      <c r="EB98" s="111"/>
      <c r="EC98" s="111"/>
      <c r="ED98" s="111"/>
      <c r="EE98" s="111"/>
      <c r="EF98" s="111"/>
      <c r="EG98" s="111"/>
      <c r="EH98" s="111"/>
      <c r="EI98" s="111"/>
      <c r="EJ98" s="111"/>
      <c r="EK98" s="111"/>
      <c r="EL98" s="111"/>
      <c r="EM98" s="111"/>
      <c r="EN98" s="111"/>
      <c r="EO98" s="111"/>
      <c r="EP98" s="111"/>
      <c r="EQ98" s="111"/>
      <c r="ER98" s="111"/>
      <c r="ES98" s="111"/>
      <c r="ET98" s="111"/>
      <c r="EU98" s="111"/>
      <c r="EV98" s="111"/>
      <c r="EW98" s="111"/>
      <c r="EX98" s="111"/>
      <c r="EY98" s="111"/>
      <c r="EZ98" s="111"/>
      <c r="FA98" s="2"/>
      <c r="FB98" s="2"/>
      <c r="FC98" s="2"/>
      <c r="FD98" s="2"/>
      <c r="FE98" s="2"/>
      <c r="FF98" s="2"/>
    </row>
    <row x14ac:dyDescent="0.25" r="99" customHeight="1" ht="18.75">
      <c r="A99" s="3"/>
      <c r="B99" s="118" t="s">
        <v>39052</v>
      </c>
      <c r="C99" s="3" t="s">
        <v>39053</v>
      </c>
      <c r="D99" s="3" t="s">
        <v>8</v>
      </c>
      <c r="E99" s="3" t="s">
        <v>38983</v>
      </c>
      <c r="F99" s="3"/>
      <c r="G99" s="3" t="s">
        <v>39388</v>
      </c>
      <c r="H99" s="3" t="s">
        <v>10</v>
      </c>
      <c r="I99" s="3" t="s">
        <v>86</v>
      </c>
      <c r="J99" s="3" t="s">
        <v>5</v>
      </c>
      <c r="K99" s="113" t="s">
        <v>16</v>
      </c>
      <c r="L99" s="3" t="s">
        <v>67</v>
      </c>
      <c r="M99" s="3" t="s">
        <v>39055</v>
      </c>
      <c r="N99" s="3"/>
      <c r="O99" s="3"/>
      <c r="P99" s="3"/>
      <c r="Q99" s="3" t="s">
        <v>39389</v>
      </c>
      <c r="R99" s="3" t="s">
        <v>39057</v>
      </c>
      <c r="S99" s="3" t="s">
        <v>39098</v>
      </c>
      <c r="T99" s="114">
        <v>0</v>
      </c>
      <c r="U99" s="114">
        <v>0</v>
      </c>
      <c r="V99" s="114">
        <v>0</v>
      </c>
      <c r="W99" s="114">
        <v>0</v>
      </c>
      <c r="X99" s="114">
        <v>0</v>
      </c>
      <c r="Y99" s="114">
        <v>0</v>
      </c>
      <c r="Z99" s="114">
        <v>0</v>
      </c>
      <c r="AA99" s="114">
        <v>175000</v>
      </c>
      <c r="AB99" s="114">
        <v>0</v>
      </c>
      <c r="AC99" s="114">
        <v>0</v>
      </c>
      <c r="AD99" s="114">
        <v>0</v>
      </c>
      <c r="AE99" s="114">
        <v>175000</v>
      </c>
      <c r="AF99" s="114">
        <v>350000</v>
      </c>
      <c r="AG99" s="114">
        <v>0</v>
      </c>
      <c r="AH99" s="114">
        <v>0</v>
      </c>
      <c r="AI99" s="114">
        <v>0</v>
      </c>
      <c r="AJ99" s="114">
        <v>0</v>
      </c>
      <c r="AK99" s="114">
        <v>350000</v>
      </c>
      <c r="AL99" s="114">
        <v>0</v>
      </c>
      <c r="AM99" s="114">
        <v>0</v>
      </c>
      <c r="AN99" s="114">
        <v>0</v>
      </c>
      <c r="AO99" s="114">
        <v>0</v>
      </c>
      <c r="AP99" s="114">
        <v>0</v>
      </c>
      <c r="AQ99" s="114">
        <v>350000</v>
      </c>
      <c r="AR99" s="22">
        <v>237</v>
      </c>
      <c r="AS99" s="3" t="s">
        <v>39059</v>
      </c>
      <c r="AT99" s="115">
        <v>2025</v>
      </c>
      <c r="AU99" s="22">
        <f>_xlfn.XLOOKUP(_tPE26_29_Consolidada[[#This Row], [ID Financeiro]],[5]Projetos!$K:$K,[5]Projetos!$A:$A,0,0)</f>
      </c>
      <c r="AV99" s="3" t="s">
        <v>39390</v>
      </c>
      <c r="AW99" s="3" t="s">
        <v>39194</v>
      </c>
      <c r="AX99" s="8" t="s">
        <v>39389</v>
      </c>
      <c r="AY99" s="8"/>
      <c r="AZ99" s="3" t="s">
        <v>39187</v>
      </c>
      <c r="BA99" s="3"/>
      <c r="BB99" s="3"/>
      <c r="BC99" s="3"/>
      <c r="BD99" s="3"/>
      <c r="BE99" s="3"/>
      <c r="BF99" s="3"/>
      <c r="BG99" s="3"/>
      <c r="BH99" s="3"/>
      <c r="BI99" s="3"/>
      <c r="BJ99" s="3"/>
      <c r="BK99" s="3"/>
      <c r="BL99" s="3"/>
      <c r="BM99" s="3"/>
      <c r="BN99" s="3"/>
      <c r="BO99" s="3"/>
      <c r="BP99" s="116">
        <f>IFERROR(VLOOKUP(_tPE26_29_Consolidada[[#This Row], [ID Financeiro]],'[4]PE 25-29'!$B:$AF,31,FALSE),0)</f>
      </c>
      <c r="BQ99" s="116">
        <f>_tPE26_29_Consolidada[[#This Row], [2026]]*1000</f>
      </c>
      <c r="BR99" s="117">
        <f>_tPE26_29_Consolidada[[#This Row], [Orçado 2026 (PE25-29)]]-_tPE26_29_Consolidada[[#This Row], [Orçado 2026 (PE26-30)]]</f>
      </c>
      <c r="BS99" s="117">
        <f>IFERROR(VLOOKUP(_tPE26_29_Consolidada[[#This Row], [ID Financeiro]],'[4]PE 25-29'!$B:$AT,45,FALSE),0)</f>
      </c>
      <c r="BT99" s="117">
        <f>_tPE26_29_Consolidada[[#This Row], [2026-2030]]*1000</f>
      </c>
      <c r="BU99" s="117">
        <f>-_tPE26_29_Consolidada[[#This Row], [Orçado 26/30 (PE25-29)]]+_tPE26_29_Consolidada[[#This Row], [Orçado 26/30 (PE26-30)]]</f>
      </c>
      <c r="BV99" s="119">
        <f>IFERROR(_tPE26_29_Consolidada[[#This Row], [Dif2]]/_tPE26_29_Consolidada[[#This Row], [Orçado 26/30 (PE25-29)]],0)</f>
      </c>
      <c r="BW99" s="1"/>
      <c r="BX99" s="1"/>
      <c r="BY99" s="1"/>
      <c r="BZ99" s="1"/>
      <c r="CA99" s="1"/>
      <c r="CB99" s="1"/>
      <c r="CC99" s="1"/>
      <c r="CD99" s="1"/>
      <c r="CE99" s="1"/>
      <c r="CF99" s="1"/>
      <c r="CG99" s="1"/>
      <c r="CH99" s="1"/>
      <c r="CI99" s="1"/>
      <c r="CJ99" s="1"/>
      <c r="CK99" s="1"/>
      <c r="CL99" s="1"/>
      <c r="CM99" s="1"/>
      <c r="CN99" s="1"/>
      <c r="CO99" s="1"/>
      <c r="CP99" s="1"/>
      <c r="CQ99" s="111"/>
      <c r="CR99" s="111"/>
      <c r="CS99" s="111"/>
      <c r="CT99" s="111"/>
      <c r="CU99" s="111"/>
      <c r="CV99" s="111"/>
      <c r="CW99" s="111"/>
      <c r="CX99" s="111"/>
      <c r="CY99" s="111"/>
      <c r="CZ99" s="111"/>
      <c r="DA99" s="111"/>
      <c r="DB99" s="111"/>
      <c r="DC99" s="111"/>
      <c r="DD99" s="111"/>
      <c r="DE99" s="111"/>
      <c r="DF99" s="111"/>
      <c r="DG99" s="111"/>
      <c r="DH99" s="111"/>
      <c r="DI99" s="111"/>
      <c r="DJ99" s="111"/>
      <c r="DK99" s="111"/>
      <c r="DL99" s="111"/>
      <c r="DM99" s="111"/>
      <c r="DN99" s="111"/>
      <c r="DO99" s="111"/>
      <c r="DP99" s="111"/>
      <c r="DQ99" s="111"/>
      <c r="DR99" s="111"/>
      <c r="DS99" s="111"/>
      <c r="DT99" s="111"/>
      <c r="DU99" s="111"/>
      <c r="DV99" s="111"/>
      <c r="DW99" s="111"/>
      <c r="DX99" s="111"/>
      <c r="DY99" s="111"/>
      <c r="DZ99" s="111"/>
      <c r="EA99" s="111"/>
      <c r="EB99" s="111"/>
      <c r="EC99" s="111"/>
      <c r="ED99" s="111"/>
      <c r="EE99" s="111"/>
      <c r="EF99" s="111"/>
      <c r="EG99" s="111"/>
      <c r="EH99" s="111"/>
      <c r="EI99" s="111"/>
      <c r="EJ99" s="111"/>
      <c r="EK99" s="111"/>
      <c r="EL99" s="111"/>
      <c r="EM99" s="111"/>
      <c r="EN99" s="111"/>
      <c r="EO99" s="111"/>
      <c r="EP99" s="111"/>
      <c r="EQ99" s="111"/>
      <c r="ER99" s="111"/>
      <c r="ES99" s="111"/>
      <c r="ET99" s="111"/>
      <c r="EU99" s="111"/>
      <c r="EV99" s="111"/>
      <c r="EW99" s="111"/>
      <c r="EX99" s="111"/>
      <c r="EY99" s="111"/>
      <c r="EZ99" s="111"/>
      <c r="FA99" s="2"/>
      <c r="FB99" s="2"/>
      <c r="FC99" s="2"/>
      <c r="FD99" s="2"/>
      <c r="FE99" s="2"/>
      <c r="FF99" s="2"/>
    </row>
    <row x14ac:dyDescent="0.25" r="100" customHeight="1" ht="18.75">
      <c r="A100" s="3"/>
      <c r="B100" s="118" t="s">
        <v>39052</v>
      </c>
      <c r="C100" s="3" t="s">
        <v>39053</v>
      </c>
      <c r="D100" s="3" t="s">
        <v>8</v>
      </c>
      <c r="E100" s="3" t="s">
        <v>38983</v>
      </c>
      <c r="F100" s="3"/>
      <c r="G100" s="3" t="s">
        <v>39391</v>
      </c>
      <c r="H100" s="3" t="s">
        <v>10</v>
      </c>
      <c r="I100" s="3" t="s">
        <v>86</v>
      </c>
      <c r="J100" s="3" t="s">
        <v>5</v>
      </c>
      <c r="K100" s="113" t="s">
        <v>16</v>
      </c>
      <c r="L100" s="3" t="s">
        <v>67</v>
      </c>
      <c r="M100" s="3" t="s">
        <v>39055</v>
      </c>
      <c r="N100" s="3"/>
      <c r="O100" s="3"/>
      <c r="P100" s="3"/>
      <c r="Q100" s="3" t="s">
        <v>39392</v>
      </c>
      <c r="R100" s="3" t="s">
        <v>39155</v>
      </c>
      <c r="S100" s="3" t="s">
        <v>39058</v>
      </c>
      <c r="T100" s="114">
        <v>5000</v>
      </c>
      <c r="U100" s="114">
        <v>5000</v>
      </c>
      <c r="V100" s="114">
        <v>5000</v>
      </c>
      <c r="W100" s="114">
        <v>200000</v>
      </c>
      <c r="X100" s="114">
        <v>200000</v>
      </c>
      <c r="Y100" s="114">
        <v>200000</v>
      </c>
      <c r="Z100" s="114">
        <v>265000</v>
      </c>
      <c r="AA100" s="114">
        <v>0</v>
      </c>
      <c r="AB100" s="114">
        <v>0</v>
      </c>
      <c r="AC100" s="114">
        <v>0</v>
      </c>
      <c r="AD100" s="114">
        <v>0</v>
      </c>
      <c r="AE100" s="114">
        <v>0</v>
      </c>
      <c r="AF100" s="114">
        <v>880000</v>
      </c>
      <c r="AG100" s="114">
        <v>0</v>
      </c>
      <c r="AH100" s="114">
        <v>0</v>
      </c>
      <c r="AI100" s="114">
        <v>0</v>
      </c>
      <c r="AJ100" s="114">
        <v>0</v>
      </c>
      <c r="AK100" s="114">
        <v>880000</v>
      </c>
      <c r="AL100" s="114">
        <v>0</v>
      </c>
      <c r="AM100" s="114">
        <v>0</v>
      </c>
      <c r="AN100" s="114">
        <v>0</v>
      </c>
      <c r="AO100" s="114">
        <v>0</v>
      </c>
      <c r="AP100" s="114">
        <v>0</v>
      </c>
      <c r="AQ100" s="114">
        <v>880000</v>
      </c>
      <c r="AR100" s="22">
        <v>238</v>
      </c>
      <c r="AS100" s="3" t="s">
        <v>39156</v>
      </c>
      <c r="AT100" s="115">
        <v>2025</v>
      </c>
      <c r="AU100" s="22">
        <f>_xlfn.XLOOKUP(_tPE26_29_Consolidada[[#This Row], [ID Financeiro]],[5]Projetos!$K:$K,[5]Projetos!$A:$A,0,0)</f>
      </c>
      <c r="AV100" s="3" t="s">
        <v>39393</v>
      </c>
      <c r="AW100" s="3" t="s">
        <v>39194</v>
      </c>
      <c r="AX100" s="8" t="s">
        <v>39392</v>
      </c>
      <c r="AY100" s="8"/>
      <c r="AZ100" s="3" t="s">
        <v>39158</v>
      </c>
      <c r="BA100" s="3"/>
      <c r="BB100" s="3"/>
      <c r="BC100" s="3"/>
      <c r="BD100" s="3"/>
      <c r="BE100" s="3"/>
      <c r="BF100" s="3"/>
      <c r="BG100" s="3"/>
      <c r="BH100" s="3"/>
      <c r="BI100" s="3"/>
      <c r="BJ100" s="3"/>
      <c r="BK100" s="3"/>
      <c r="BL100" s="3"/>
      <c r="BM100" s="3"/>
      <c r="BN100" s="3"/>
      <c r="BO100" s="3"/>
      <c r="BP100" s="116">
        <f>IFERROR(VLOOKUP(_tPE26_29_Consolidada[[#This Row], [ID Financeiro]],'[4]PE 25-29'!$B:$AF,31,FALSE),0)</f>
      </c>
      <c r="BQ100" s="116">
        <f>_tPE26_29_Consolidada[[#This Row], [2026]]*1000</f>
      </c>
      <c r="BR100" s="117">
        <f>_tPE26_29_Consolidada[[#This Row], [Orçado 2026 (PE25-29)]]-_tPE26_29_Consolidada[[#This Row], [Orçado 2026 (PE26-30)]]</f>
      </c>
      <c r="BS100" s="117">
        <f>IFERROR(VLOOKUP(_tPE26_29_Consolidada[[#This Row], [ID Financeiro]],'[4]PE 25-29'!$B:$AT,45,FALSE),0)</f>
      </c>
      <c r="BT100" s="117">
        <f>_tPE26_29_Consolidada[[#This Row], [2026-2030]]*1000</f>
      </c>
      <c r="BU100" s="117">
        <f>-_tPE26_29_Consolidada[[#This Row], [Orçado 26/30 (PE25-29)]]+_tPE26_29_Consolidada[[#This Row], [Orçado 26/30 (PE26-30)]]</f>
      </c>
      <c r="BV100" s="119">
        <f>IFERROR(_tPE26_29_Consolidada[[#This Row], [Dif2]]/_tPE26_29_Consolidada[[#This Row], [Orçado 26/30 (PE25-29)]],0)</f>
      </c>
      <c r="BW100" s="1"/>
      <c r="BX100" s="1"/>
      <c r="BY100" s="1"/>
      <c r="BZ100" s="1"/>
      <c r="CA100" s="1"/>
      <c r="CB100" s="1"/>
      <c r="CC100" s="1"/>
      <c r="CD100" s="1"/>
      <c r="CE100" s="1"/>
      <c r="CF100" s="1"/>
      <c r="CG100" s="1"/>
      <c r="CH100" s="1"/>
      <c r="CI100" s="1"/>
      <c r="CJ100" s="1"/>
      <c r="CK100" s="1"/>
      <c r="CL100" s="1"/>
      <c r="CM100" s="1"/>
      <c r="CN100" s="1"/>
      <c r="CO100" s="1"/>
      <c r="CP100" s="1"/>
      <c r="CQ100" s="111"/>
      <c r="CR100" s="111"/>
      <c r="CS100" s="111"/>
      <c r="CT100" s="111"/>
      <c r="CU100" s="111"/>
      <c r="CV100" s="111"/>
      <c r="CW100" s="111"/>
      <c r="CX100" s="111"/>
      <c r="CY100" s="111"/>
      <c r="CZ100" s="111"/>
      <c r="DA100" s="111"/>
      <c r="DB100" s="111"/>
      <c r="DC100" s="111"/>
      <c r="DD100" s="111"/>
      <c r="DE100" s="111"/>
      <c r="DF100" s="111"/>
      <c r="DG100" s="111"/>
      <c r="DH100" s="111"/>
      <c r="DI100" s="111"/>
      <c r="DJ100" s="111"/>
      <c r="DK100" s="111"/>
      <c r="DL100" s="111"/>
      <c r="DM100" s="111"/>
      <c r="DN100" s="111"/>
      <c r="DO100" s="111"/>
      <c r="DP100" s="111"/>
      <c r="DQ100" s="111"/>
      <c r="DR100" s="111"/>
      <c r="DS100" s="111"/>
      <c r="DT100" s="111"/>
      <c r="DU100" s="111"/>
      <c r="DV100" s="111"/>
      <c r="DW100" s="111"/>
      <c r="DX100" s="111"/>
      <c r="DY100" s="111"/>
      <c r="DZ100" s="111"/>
      <c r="EA100" s="111"/>
      <c r="EB100" s="111"/>
      <c r="EC100" s="111"/>
      <c r="ED100" s="111"/>
      <c r="EE100" s="111"/>
      <c r="EF100" s="111"/>
      <c r="EG100" s="111"/>
      <c r="EH100" s="111"/>
      <c r="EI100" s="111"/>
      <c r="EJ100" s="111"/>
      <c r="EK100" s="111"/>
      <c r="EL100" s="111"/>
      <c r="EM100" s="111"/>
      <c r="EN100" s="111"/>
      <c r="EO100" s="111"/>
      <c r="EP100" s="111"/>
      <c r="EQ100" s="111"/>
      <c r="ER100" s="111"/>
      <c r="ES100" s="111"/>
      <c r="ET100" s="111"/>
      <c r="EU100" s="111"/>
      <c r="EV100" s="111"/>
      <c r="EW100" s="111"/>
      <c r="EX100" s="111"/>
      <c r="EY100" s="111"/>
      <c r="EZ100" s="111"/>
      <c r="FA100" s="2"/>
      <c r="FB100" s="2"/>
      <c r="FC100" s="2"/>
      <c r="FD100" s="2"/>
      <c r="FE100" s="2"/>
      <c r="FF100" s="2"/>
    </row>
    <row x14ac:dyDescent="0.25" r="101" customHeight="1" ht="18.75">
      <c r="A101" s="3"/>
      <c r="B101" s="118" t="s">
        <v>39052</v>
      </c>
      <c r="C101" s="3" t="s">
        <v>39053</v>
      </c>
      <c r="D101" s="3" t="s">
        <v>8</v>
      </c>
      <c r="E101" s="3" t="s">
        <v>38983</v>
      </c>
      <c r="F101" s="3"/>
      <c r="G101" s="3" t="s">
        <v>39394</v>
      </c>
      <c r="H101" s="3" t="s">
        <v>10</v>
      </c>
      <c r="I101" s="3" t="s">
        <v>86</v>
      </c>
      <c r="J101" s="3" t="s">
        <v>5</v>
      </c>
      <c r="K101" s="113" t="s">
        <v>16</v>
      </c>
      <c r="L101" s="3" t="s">
        <v>67</v>
      </c>
      <c r="M101" s="3" t="s">
        <v>39055</v>
      </c>
      <c r="N101" s="3"/>
      <c r="O101" s="3"/>
      <c r="P101" s="3"/>
      <c r="Q101" s="3" t="s">
        <v>39395</v>
      </c>
      <c r="R101" s="3" t="s">
        <v>39057</v>
      </c>
      <c r="S101" s="3" t="s">
        <v>39083</v>
      </c>
      <c r="T101" s="114">
        <v>20000</v>
      </c>
      <c r="U101" s="114">
        <v>20000</v>
      </c>
      <c r="V101" s="114">
        <v>0</v>
      </c>
      <c r="W101" s="114">
        <v>0</v>
      </c>
      <c r="X101" s="114">
        <v>0</v>
      </c>
      <c r="Y101" s="114">
        <v>0</v>
      </c>
      <c r="Z101" s="114">
        <v>0</v>
      </c>
      <c r="AA101" s="114">
        <v>0</v>
      </c>
      <c r="AB101" s="114">
        <v>0</v>
      </c>
      <c r="AC101" s="114">
        <v>0</v>
      </c>
      <c r="AD101" s="114">
        <v>0</v>
      </c>
      <c r="AE101" s="114">
        <v>0</v>
      </c>
      <c r="AF101" s="114">
        <v>40000</v>
      </c>
      <c r="AG101" s="114">
        <v>0</v>
      </c>
      <c r="AH101" s="114">
        <v>0</v>
      </c>
      <c r="AI101" s="114">
        <v>0</v>
      </c>
      <c r="AJ101" s="114">
        <v>0</v>
      </c>
      <c r="AK101" s="114">
        <v>40000</v>
      </c>
      <c r="AL101" s="114">
        <v>0</v>
      </c>
      <c r="AM101" s="114">
        <v>0</v>
      </c>
      <c r="AN101" s="114">
        <v>0</v>
      </c>
      <c r="AO101" s="114">
        <v>0</v>
      </c>
      <c r="AP101" s="114">
        <v>0</v>
      </c>
      <c r="AQ101" s="114">
        <v>40000</v>
      </c>
      <c r="AR101" s="22">
        <v>239</v>
      </c>
      <c r="AS101" s="3" t="s">
        <v>39059</v>
      </c>
      <c r="AT101" s="115">
        <v>2025</v>
      </c>
      <c r="AU101" s="22">
        <f>_xlfn.XLOOKUP(_tPE26_29_Consolidada[[#This Row], [ID Financeiro]],[5]Projetos!$K:$K,[5]Projetos!$A:$A,0,0)</f>
      </c>
      <c r="AV101" s="3" t="s">
        <v>39396</v>
      </c>
      <c r="AW101" s="3" t="s">
        <v>46</v>
      </c>
      <c r="AX101" s="8" t="s">
        <v>39395</v>
      </c>
      <c r="AY101" s="8"/>
      <c r="AZ101" s="3" t="s">
        <v>39068</v>
      </c>
      <c r="BA101" s="3"/>
      <c r="BB101" s="3"/>
      <c r="BC101" s="3"/>
      <c r="BD101" s="3"/>
      <c r="BE101" s="3"/>
      <c r="BF101" s="3"/>
      <c r="BG101" s="3"/>
      <c r="BH101" s="3"/>
      <c r="BI101" s="3"/>
      <c r="BJ101" s="3"/>
      <c r="BK101" s="3"/>
      <c r="BL101" s="3"/>
      <c r="BM101" s="3"/>
      <c r="BN101" s="3"/>
      <c r="BO101" s="3"/>
      <c r="BP101" s="116">
        <f>IFERROR(VLOOKUP(_tPE26_29_Consolidada[[#This Row], [ID Financeiro]],'[4]PE 25-29'!$B:$AF,31,FALSE),0)</f>
      </c>
      <c r="BQ101" s="116">
        <f>_tPE26_29_Consolidada[[#This Row], [2026]]*1000</f>
      </c>
      <c r="BR101" s="117">
        <f>_tPE26_29_Consolidada[[#This Row], [Orçado 2026 (PE25-29)]]-_tPE26_29_Consolidada[[#This Row], [Orçado 2026 (PE26-30)]]</f>
      </c>
      <c r="BS101" s="117">
        <f>IFERROR(VLOOKUP(_tPE26_29_Consolidada[[#This Row], [ID Financeiro]],'[4]PE 25-29'!$B:$AT,45,FALSE),0)</f>
      </c>
      <c r="BT101" s="117">
        <f>_tPE26_29_Consolidada[[#This Row], [2026-2030]]*1000</f>
      </c>
      <c r="BU101" s="117">
        <f>-_tPE26_29_Consolidada[[#This Row], [Orçado 26/30 (PE25-29)]]+_tPE26_29_Consolidada[[#This Row], [Orçado 26/30 (PE26-30)]]</f>
      </c>
      <c r="BV101" s="119">
        <f>IFERROR(_tPE26_29_Consolidada[[#This Row], [Dif2]]/_tPE26_29_Consolidada[[#This Row], [Orçado 26/30 (PE25-29)]],0)</f>
      </c>
      <c r="BW101" s="1"/>
      <c r="BX101" s="1"/>
      <c r="BY101" s="1"/>
      <c r="BZ101" s="1"/>
      <c r="CA101" s="1"/>
      <c r="CB101" s="1"/>
      <c r="CC101" s="1"/>
      <c r="CD101" s="1"/>
      <c r="CE101" s="1"/>
      <c r="CF101" s="1"/>
      <c r="CG101" s="1"/>
      <c r="CH101" s="1"/>
      <c r="CI101" s="1"/>
      <c r="CJ101" s="1"/>
      <c r="CK101" s="1"/>
      <c r="CL101" s="1"/>
      <c r="CM101" s="1"/>
      <c r="CN101" s="1"/>
      <c r="CO101" s="1"/>
      <c r="CP101" s="1"/>
      <c r="CQ101" s="111"/>
      <c r="CR101" s="111"/>
      <c r="CS101" s="111"/>
      <c r="CT101" s="111"/>
      <c r="CU101" s="111"/>
      <c r="CV101" s="111"/>
      <c r="CW101" s="111"/>
      <c r="CX101" s="111"/>
      <c r="CY101" s="111"/>
      <c r="CZ101" s="111"/>
      <c r="DA101" s="111"/>
      <c r="DB101" s="111"/>
      <c r="DC101" s="111"/>
      <c r="DD101" s="111"/>
      <c r="DE101" s="111"/>
      <c r="DF101" s="111"/>
      <c r="DG101" s="111"/>
      <c r="DH101" s="111"/>
      <c r="DI101" s="111"/>
      <c r="DJ101" s="111"/>
      <c r="DK101" s="111"/>
      <c r="DL101" s="111"/>
      <c r="DM101" s="111"/>
      <c r="DN101" s="111"/>
      <c r="DO101" s="111"/>
      <c r="DP101" s="111"/>
      <c r="DQ101" s="111"/>
      <c r="DR101" s="111"/>
      <c r="DS101" s="111"/>
      <c r="DT101" s="111"/>
      <c r="DU101" s="111"/>
      <c r="DV101" s="111"/>
      <c r="DW101" s="111"/>
      <c r="DX101" s="111"/>
      <c r="DY101" s="111"/>
      <c r="DZ101" s="111"/>
      <c r="EA101" s="111"/>
      <c r="EB101" s="111"/>
      <c r="EC101" s="111"/>
      <c r="ED101" s="111"/>
      <c r="EE101" s="111"/>
      <c r="EF101" s="111"/>
      <c r="EG101" s="111"/>
      <c r="EH101" s="111"/>
      <c r="EI101" s="111"/>
      <c r="EJ101" s="111"/>
      <c r="EK101" s="111"/>
      <c r="EL101" s="111"/>
      <c r="EM101" s="111"/>
      <c r="EN101" s="111"/>
      <c r="EO101" s="111"/>
      <c r="EP101" s="111"/>
      <c r="EQ101" s="111"/>
      <c r="ER101" s="111"/>
      <c r="ES101" s="111"/>
      <c r="ET101" s="111"/>
      <c r="EU101" s="111"/>
      <c r="EV101" s="111"/>
      <c r="EW101" s="111"/>
      <c r="EX101" s="111"/>
      <c r="EY101" s="111"/>
      <c r="EZ101" s="111"/>
      <c r="FA101" s="2"/>
      <c r="FB101" s="2"/>
      <c r="FC101" s="2"/>
      <c r="FD101" s="2"/>
      <c r="FE101" s="2"/>
      <c r="FF101" s="2"/>
    </row>
    <row x14ac:dyDescent="0.25" r="102" customHeight="1" ht="18.75">
      <c r="A102" s="3"/>
      <c r="B102" s="118" t="s">
        <v>39052</v>
      </c>
      <c r="C102" s="3" t="s">
        <v>39053</v>
      </c>
      <c r="D102" s="3" t="s">
        <v>8</v>
      </c>
      <c r="E102" s="3" t="s">
        <v>38983</v>
      </c>
      <c r="F102" s="3"/>
      <c r="G102" s="3" t="s">
        <v>39397</v>
      </c>
      <c r="H102" s="3" t="s">
        <v>10</v>
      </c>
      <c r="I102" s="3" t="s">
        <v>86</v>
      </c>
      <c r="J102" s="3" t="s">
        <v>5</v>
      </c>
      <c r="K102" s="113" t="s">
        <v>16</v>
      </c>
      <c r="L102" s="3" t="s">
        <v>67</v>
      </c>
      <c r="M102" s="3" t="s">
        <v>39055</v>
      </c>
      <c r="N102" s="3"/>
      <c r="O102" s="3"/>
      <c r="P102" s="3"/>
      <c r="Q102" s="3" t="s">
        <v>39398</v>
      </c>
      <c r="R102" s="3" t="s">
        <v>39057</v>
      </c>
      <c r="S102" s="3" t="s">
        <v>39114</v>
      </c>
      <c r="T102" s="114">
        <v>0</v>
      </c>
      <c r="U102" s="114">
        <v>0</v>
      </c>
      <c r="V102" s="114">
        <v>0</v>
      </c>
      <c r="W102" s="114">
        <v>0</v>
      </c>
      <c r="X102" s="114">
        <v>0</v>
      </c>
      <c r="Y102" s="114">
        <v>0</v>
      </c>
      <c r="Z102" s="114">
        <v>0</v>
      </c>
      <c r="AA102" s="114">
        <v>0</v>
      </c>
      <c r="AB102" s="114">
        <v>0</v>
      </c>
      <c r="AC102" s="114">
        <v>0</v>
      </c>
      <c r="AD102" s="114">
        <v>0</v>
      </c>
      <c r="AE102" s="114">
        <v>0</v>
      </c>
      <c r="AF102" s="114">
        <v>0</v>
      </c>
      <c r="AG102" s="114">
        <v>0</v>
      </c>
      <c r="AH102" s="114">
        <v>1800000</v>
      </c>
      <c r="AI102" s="114">
        <v>2000000</v>
      </c>
      <c r="AJ102" s="114">
        <v>0</v>
      </c>
      <c r="AK102" s="114">
        <v>3800000</v>
      </c>
      <c r="AL102" s="114">
        <v>0</v>
      </c>
      <c r="AM102" s="114">
        <v>0</v>
      </c>
      <c r="AN102" s="114">
        <v>0</v>
      </c>
      <c r="AO102" s="114">
        <v>0</v>
      </c>
      <c r="AP102" s="114">
        <v>0</v>
      </c>
      <c r="AQ102" s="114">
        <v>3800000</v>
      </c>
      <c r="AR102" s="22">
        <v>243</v>
      </c>
      <c r="AS102" s="3" t="s">
        <v>39059</v>
      </c>
      <c r="AT102" s="115">
        <v>2025</v>
      </c>
      <c r="AU102" s="22">
        <f>_xlfn.XLOOKUP(_tPE26_29_Consolidada[[#This Row], [ID Financeiro]],[5]Projetos!$K:$K,[5]Projetos!$A:$A,0,0)</f>
      </c>
      <c r="AV102" s="3" t="s">
        <v>39399</v>
      </c>
      <c r="AW102" s="3" t="s">
        <v>39062</v>
      </c>
      <c r="AX102" s="8" t="s">
        <v>39398</v>
      </c>
      <c r="AY102" s="8"/>
      <c r="AZ102" s="3" t="s">
        <v>39107</v>
      </c>
      <c r="BA102" s="3"/>
      <c r="BB102" s="3"/>
      <c r="BC102" s="3"/>
      <c r="BD102" s="3"/>
      <c r="BE102" s="3"/>
      <c r="BF102" s="3"/>
      <c r="BG102" s="3"/>
      <c r="BH102" s="3"/>
      <c r="BI102" s="3"/>
      <c r="BJ102" s="3"/>
      <c r="BK102" s="3"/>
      <c r="BL102" s="3"/>
      <c r="BM102" s="3"/>
      <c r="BN102" s="3"/>
      <c r="BO102" s="3"/>
      <c r="BP102" s="116">
        <f>IFERROR(VLOOKUP(_tPE26_29_Consolidada[[#This Row], [ID Financeiro]],'[4]PE 25-29'!$B:$AF,31,FALSE),0)</f>
      </c>
      <c r="BQ102" s="116">
        <f>_tPE26_29_Consolidada[[#This Row], [2026]]*1000</f>
      </c>
      <c r="BR102" s="117">
        <f>_tPE26_29_Consolidada[[#This Row], [Orçado 2026 (PE25-29)]]-_tPE26_29_Consolidada[[#This Row], [Orçado 2026 (PE26-30)]]</f>
      </c>
      <c r="BS102" s="117">
        <f>IFERROR(VLOOKUP(_tPE26_29_Consolidada[[#This Row], [ID Financeiro]],'[4]PE 25-29'!$B:$AT,45,FALSE),0)</f>
      </c>
      <c r="BT102" s="117">
        <f>_tPE26_29_Consolidada[[#This Row], [2026-2030]]*1000</f>
      </c>
      <c r="BU102" s="117">
        <f>-_tPE26_29_Consolidada[[#This Row], [Orçado 26/30 (PE25-29)]]+_tPE26_29_Consolidada[[#This Row], [Orçado 26/30 (PE26-30)]]</f>
      </c>
      <c r="BV102" s="119">
        <f>IFERROR(_tPE26_29_Consolidada[[#This Row], [Dif2]]/_tPE26_29_Consolidada[[#This Row], [Orçado 26/30 (PE25-29)]],0)</f>
      </c>
      <c r="BW102" s="1"/>
      <c r="BX102" s="1"/>
      <c r="BY102" s="1"/>
      <c r="BZ102" s="1"/>
      <c r="CA102" s="1"/>
      <c r="CB102" s="1"/>
      <c r="CC102" s="1"/>
      <c r="CD102" s="1"/>
      <c r="CE102" s="1"/>
      <c r="CF102" s="1"/>
      <c r="CG102" s="1"/>
      <c r="CH102" s="1"/>
      <c r="CI102" s="1"/>
      <c r="CJ102" s="1"/>
      <c r="CK102" s="1"/>
      <c r="CL102" s="1"/>
      <c r="CM102" s="1"/>
      <c r="CN102" s="1"/>
      <c r="CO102" s="1"/>
      <c r="CP102" s="1"/>
      <c r="CQ102" s="111"/>
      <c r="CR102" s="111"/>
      <c r="CS102" s="111"/>
      <c r="CT102" s="111"/>
      <c r="CU102" s="111"/>
      <c r="CV102" s="111"/>
      <c r="CW102" s="111"/>
      <c r="CX102" s="111"/>
      <c r="CY102" s="111"/>
      <c r="CZ102" s="111"/>
      <c r="DA102" s="111"/>
      <c r="DB102" s="111"/>
      <c r="DC102" s="111"/>
      <c r="DD102" s="111"/>
      <c r="DE102" s="111"/>
      <c r="DF102" s="111"/>
      <c r="DG102" s="111"/>
      <c r="DH102" s="111"/>
      <c r="DI102" s="111"/>
      <c r="DJ102" s="111"/>
      <c r="DK102" s="111"/>
      <c r="DL102" s="111"/>
      <c r="DM102" s="111"/>
      <c r="DN102" s="111"/>
      <c r="DO102" s="111"/>
      <c r="DP102" s="111"/>
      <c r="DQ102" s="111"/>
      <c r="DR102" s="111"/>
      <c r="DS102" s="111"/>
      <c r="DT102" s="111"/>
      <c r="DU102" s="111"/>
      <c r="DV102" s="111"/>
      <c r="DW102" s="111"/>
      <c r="DX102" s="111"/>
      <c r="DY102" s="111"/>
      <c r="DZ102" s="111"/>
      <c r="EA102" s="111"/>
      <c r="EB102" s="111"/>
      <c r="EC102" s="111"/>
      <c r="ED102" s="111"/>
      <c r="EE102" s="111"/>
      <c r="EF102" s="111"/>
      <c r="EG102" s="111"/>
      <c r="EH102" s="111"/>
      <c r="EI102" s="111"/>
      <c r="EJ102" s="111"/>
      <c r="EK102" s="111"/>
      <c r="EL102" s="111"/>
      <c r="EM102" s="111"/>
      <c r="EN102" s="111"/>
      <c r="EO102" s="111"/>
      <c r="EP102" s="111"/>
      <c r="EQ102" s="111"/>
      <c r="ER102" s="111"/>
      <c r="ES102" s="111"/>
      <c r="ET102" s="111"/>
      <c r="EU102" s="111"/>
      <c r="EV102" s="111"/>
      <c r="EW102" s="111"/>
      <c r="EX102" s="111"/>
      <c r="EY102" s="111"/>
      <c r="EZ102" s="111"/>
      <c r="FA102" s="2"/>
      <c r="FB102" s="2"/>
      <c r="FC102" s="2"/>
      <c r="FD102" s="2"/>
      <c r="FE102" s="2"/>
      <c r="FF102" s="2"/>
    </row>
    <row x14ac:dyDescent="0.25" r="103" customHeight="1" ht="18.75">
      <c r="A103" s="3"/>
      <c r="B103" s="118" t="s">
        <v>39052</v>
      </c>
      <c r="C103" s="3" t="s">
        <v>39053</v>
      </c>
      <c r="D103" s="3" t="s">
        <v>8</v>
      </c>
      <c r="E103" s="3" t="s">
        <v>38983</v>
      </c>
      <c r="F103" s="3"/>
      <c r="G103" s="3" t="s">
        <v>39400</v>
      </c>
      <c r="H103" s="3" t="s">
        <v>10</v>
      </c>
      <c r="I103" s="3" t="s">
        <v>86</v>
      </c>
      <c r="J103" s="3" t="s">
        <v>5</v>
      </c>
      <c r="K103" s="113" t="s">
        <v>26</v>
      </c>
      <c r="L103" s="3" t="s">
        <v>26</v>
      </c>
      <c r="M103" s="3" t="s">
        <v>39401</v>
      </c>
      <c r="N103" s="3"/>
      <c r="O103" s="3"/>
      <c r="P103" s="3"/>
      <c r="Q103" s="3" t="s">
        <v>39402</v>
      </c>
      <c r="R103" s="3" t="s">
        <v>39403</v>
      </c>
      <c r="S103" s="3" t="s">
        <v>39404</v>
      </c>
      <c r="T103" s="114">
        <v>0</v>
      </c>
      <c r="U103" s="114">
        <v>0</v>
      </c>
      <c r="V103" s="114">
        <v>0</v>
      </c>
      <c r="W103" s="114">
        <v>0</v>
      </c>
      <c r="X103" s="114">
        <v>0</v>
      </c>
      <c r="Y103" s="114">
        <v>0</v>
      </c>
      <c r="Z103" s="114">
        <v>0</v>
      </c>
      <c r="AA103" s="114">
        <v>0</v>
      </c>
      <c r="AB103" s="114">
        <v>0</v>
      </c>
      <c r="AC103" s="114">
        <v>0</v>
      </c>
      <c r="AD103" s="114">
        <v>5000</v>
      </c>
      <c r="AE103" s="114">
        <v>5000</v>
      </c>
      <c r="AF103" s="114">
        <v>10000</v>
      </c>
      <c r="AG103" s="114">
        <v>1990000</v>
      </c>
      <c r="AH103" s="114">
        <v>3000000</v>
      </c>
      <c r="AI103" s="114">
        <v>0</v>
      </c>
      <c r="AJ103" s="114">
        <v>0</v>
      </c>
      <c r="AK103" s="114">
        <v>5000000</v>
      </c>
      <c r="AL103" s="114">
        <v>0</v>
      </c>
      <c r="AM103" s="114">
        <v>0</v>
      </c>
      <c r="AN103" s="114">
        <v>0</v>
      </c>
      <c r="AO103" s="114">
        <v>0</v>
      </c>
      <c r="AP103" s="114">
        <v>0</v>
      </c>
      <c r="AQ103" s="114">
        <v>5000000</v>
      </c>
      <c r="AR103" s="22">
        <v>177</v>
      </c>
      <c r="AS103" s="3" t="s">
        <v>39156</v>
      </c>
      <c r="AT103" s="115">
        <v>2025</v>
      </c>
      <c r="AU103" s="113"/>
      <c r="AV103" s="3" t="s">
        <v>39405</v>
      </c>
      <c r="AW103" s="3" t="s">
        <v>39062</v>
      </c>
      <c r="AX103" s="8" t="s">
        <v>39402</v>
      </c>
      <c r="AY103" s="8"/>
      <c r="AZ103" s="3" t="s">
        <v>39158</v>
      </c>
      <c r="BA103" s="3"/>
      <c r="BB103" s="3"/>
      <c r="BC103" s="3"/>
      <c r="BD103" s="3"/>
      <c r="BE103" s="3"/>
      <c r="BF103" s="3"/>
      <c r="BG103" s="3"/>
      <c r="BH103" s="3"/>
      <c r="BI103" s="3"/>
      <c r="BJ103" s="3"/>
      <c r="BK103" s="3"/>
      <c r="BL103" s="3"/>
      <c r="BM103" s="3"/>
      <c r="BN103" s="3"/>
      <c r="BO103" s="3"/>
      <c r="BP103" s="22">
        <f>IFERROR(VLOOKUP(_tPE26_29_Consolidada[[#This Row], [ID Financeiro]],'[4]PE 25-29'!$B:$AF,31,FALSE),0)</f>
      </c>
      <c r="BQ103" s="22">
        <f>_tPE26_29_Consolidada[[#This Row], [2026]]*1000</f>
      </c>
      <c r="BR103" s="117">
        <f>_tPE26_29_Consolidada[[#This Row], [Orçado 2026 (PE25-29)]]-_tPE26_29_Consolidada[[#This Row], [Orçado 2026 (PE26-30)]]</f>
      </c>
      <c r="BS103" s="22">
        <f>IFERROR(VLOOKUP(_tPE26_29_Consolidada[[#This Row], [ID Financeiro]],'[4]PE 25-29'!$B:$AT,45,FALSE),0)</f>
      </c>
      <c r="BT103" s="22">
        <f>_tPE26_29_Consolidada[[#This Row], [2026-2030]]*1000</f>
      </c>
      <c r="BU103" s="22">
        <f>-_tPE26_29_Consolidada[[#This Row], [Orçado 26/30 (PE25-29)]]+_tPE26_29_Consolidada[[#This Row], [Orçado 26/30 (PE26-30)]]</f>
      </c>
      <c r="BV103" s="22">
        <f>IFERROR(_tPE26_29_Consolidada[[#This Row], [Dif2]]/_tPE26_29_Consolidada[[#This Row], [Orçado 26/30 (PE25-29)]],0)</f>
      </c>
      <c r="BW103" s="1"/>
      <c r="BX103" s="1"/>
      <c r="BY103" s="1"/>
      <c r="BZ103" s="1"/>
      <c r="CA103" s="1"/>
      <c r="CB103" s="1"/>
      <c r="CC103" s="1"/>
      <c r="CD103" s="1"/>
      <c r="CE103" s="1"/>
      <c r="CF103" s="1"/>
      <c r="CG103" s="1"/>
      <c r="CH103" s="1"/>
      <c r="CI103" s="1"/>
      <c r="CJ103" s="1"/>
      <c r="CK103" s="1"/>
      <c r="CL103" s="1"/>
      <c r="CM103" s="1"/>
      <c r="CN103" s="1"/>
      <c r="CO103" s="1"/>
      <c r="CP103" s="1"/>
      <c r="CQ103" s="111"/>
      <c r="CR103" s="111"/>
      <c r="CS103" s="111"/>
      <c r="CT103" s="111"/>
      <c r="CU103" s="111"/>
      <c r="CV103" s="111"/>
      <c r="CW103" s="111"/>
      <c r="CX103" s="111"/>
      <c r="CY103" s="111"/>
      <c r="CZ103" s="111"/>
      <c r="DA103" s="111"/>
      <c r="DB103" s="111"/>
      <c r="DC103" s="111"/>
      <c r="DD103" s="111"/>
      <c r="DE103" s="111"/>
      <c r="DF103" s="111"/>
      <c r="DG103" s="111"/>
      <c r="DH103" s="111"/>
      <c r="DI103" s="111"/>
      <c r="DJ103" s="111"/>
      <c r="DK103" s="111"/>
      <c r="DL103" s="111"/>
      <c r="DM103" s="111"/>
      <c r="DN103" s="111"/>
      <c r="DO103" s="111"/>
      <c r="DP103" s="111"/>
      <c r="DQ103" s="111"/>
      <c r="DR103" s="111"/>
      <c r="DS103" s="111"/>
      <c r="DT103" s="111"/>
      <c r="DU103" s="111"/>
      <c r="DV103" s="111"/>
      <c r="DW103" s="111"/>
      <c r="DX103" s="111"/>
      <c r="DY103" s="111"/>
      <c r="DZ103" s="111"/>
      <c r="EA103" s="111"/>
      <c r="EB103" s="111"/>
      <c r="EC103" s="111"/>
      <c r="ED103" s="111"/>
      <c r="EE103" s="111"/>
      <c r="EF103" s="111"/>
      <c r="EG103" s="111"/>
      <c r="EH103" s="111"/>
      <c r="EI103" s="111"/>
      <c r="EJ103" s="111"/>
      <c r="EK103" s="111"/>
      <c r="EL103" s="111"/>
      <c r="EM103" s="111"/>
      <c r="EN103" s="111"/>
      <c r="EO103" s="111"/>
      <c r="EP103" s="111"/>
      <c r="EQ103" s="111"/>
      <c r="ER103" s="111"/>
      <c r="ES103" s="111"/>
      <c r="ET103" s="111"/>
      <c r="EU103" s="111"/>
      <c r="EV103" s="111"/>
      <c r="EW103" s="111"/>
      <c r="EX103" s="111"/>
      <c r="EY103" s="111"/>
      <c r="EZ103" s="111"/>
      <c r="FA103" s="2"/>
      <c r="FB103" s="2"/>
      <c r="FC103" s="2"/>
      <c r="FD103" s="2"/>
      <c r="FE103" s="2"/>
      <c r="FF103" s="2"/>
    </row>
    <row x14ac:dyDescent="0.25" r="104" customHeight="1" ht="18.75">
      <c r="A104" s="3"/>
      <c r="B104" s="118" t="s">
        <v>39052</v>
      </c>
      <c r="C104" s="3" t="s">
        <v>39053</v>
      </c>
      <c r="D104" s="3" t="s">
        <v>8</v>
      </c>
      <c r="E104" s="3" t="s">
        <v>38983</v>
      </c>
      <c r="F104" s="3"/>
      <c r="G104" s="3" t="s">
        <v>39406</v>
      </c>
      <c r="H104" s="3" t="s">
        <v>10</v>
      </c>
      <c r="I104" s="3" t="s">
        <v>86</v>
      </c>
      <c r="J104" s="3" t="s">
        <v>5</v>
      </c>
      <c r="K104" s="113" t="s">
        <v>26</v>
      </c>
      <c r="L104" s="3" t="s">
        <v>26</v>
      </c>
      <c r="M104" s="3" t="s">
        <v>39401</v>
      </c>
      <c r="N104" s="3"/>
      <c r="O104" s="3"/>
      <c r="P104" s="3"/>
      <c r="Q104" s="3" t="s">
        <v>39407</v>
      </c>
      <c r="R104" s="3" t="s">
        <v>39403</v>
      </c>
      <c r="S104" s="3" t="s">
        <v>39098</v>
      </c>
      <c r="T104" s="114">
        <v>0</v>
      </c>
      <c r="U104" s="114">
        <v>0</v>
      </c>
      <c r="V104" s="114">
        <v>5000</v>
      </c>
      <c r="W104" s="114">
        <v>5000</v>
      </c>
      <c r="X104" s="114">
        <v>5000</v>
      </c>
      <c r="Y104" s="114">
        <v>5000</v>
      </c>
      <c r="Z104" s="114">
        <v>5000</v>
      </c>
      <c r="AA104" s="114">
        <v>5000</v>
      </c>
      <c r="AB104" s="114">
        <v>5000</v>
      </c>
      <c r="AC104" s="114">
        <v>5000</v>
      </c>
      <c r="AD104" s="114">
        <v>5000</v>
      </c>
      <c r="AE104" s="114">
        <v>5000</v>
      </c>
      <c r="AF104" s="114">
        <v>50000</v>
      </c>
      <c r="AG104" s="114">
        <v>2000000</v>
      </c>
      <c r="AH104" s="114">
        <v>2950000</v>
      </c>
      <c r="AI104" s="114">
        <v>0</v>
      </c>
      <c r="AJ104" s="114">
        <v>0</v>
      </c>
      <c r="AK104" s="114">
        <v>5000000</v>
      </c>
      <c r="AL104" s="114">
        <v>0</v>
      </c>
      <c r="AM104" s="114">
        <v>0</v>
      </c>
      <c r="AN104" s="114">
        <v>0</v>
      </c>
      <c r="AO104" s="114">
        <v>0</v>
      </c>
      <c r="AP104" s="114">
        <v>0</v>
      </c>
      <c r="AQ104" s="114">
        <v>5000000</v>
      </c>
      <c r="AR104" s="22">
        <v>240</v>
      </c>
      <c r="AS104" s="3" t="s">
        <v>39156</v>
      </c>
      <c r="AT104" s="115">
        <v>2025</v>
      </c>
      <c r="AU104" s="113"/>
      <c r="AV104" s="3" t="s">
        <v>39408</v>
      </c>
      <c r="AW104" s="3" t="s">
        <v>39194</v>
      </c>
      <c r="AX104" s="8" t="s">
        <v>39407</v>
      </c>
      <c r="AY104" s="8"/>
      <c r="AZ104" s="3" t="s">
        <v>39158</v>
      </c>
      <c r="BA104" s="3"/>
      <c r="BB104" s="3"/>
      <c r="BC104" s="3"/>
      <c r="BD104" s="3"/>
      <c r="BE104" s="3"/>
      <c r="BF104" s="3"/>
      <c r="BG104" s="3"/>
      <c r="BH104" s="3"/>
      <c r="BI104" s="3"/>
      <c r="BJ104" s="3"/>
      <c r="BK104" s="3"/>
      <c r="BL104" s="3"/>
      <c r="BM104" s="3"/>
      <c r="BN104" s="3"/>
      <c r="BO104" s="3"/>
      <c r="BP104" s="22">
        <f>IFERROR(VLOOKUP(_tPE26_29_Consolidada[[#This Row], [ID Financeiro]],'[4]PE 25-29'!$B:$AF,31,FALSE),0)</f>
      </c>
      <c r="BQ104" s="22">
        <f>_tPE26_29_Consolidada[[#This Row], [2026]]*1000</f>
      </c>
      <c r="BR104" s="117">
        <f>_tPE26_29_Consolidada[[#This Row], [Orçado 2026 (PE25-29)]]-_tPE26_29_Consolidada[[#This Row], [Orçado 2026 (PE26-30)]]</f>
      </c>
      <c r="BS104" s="22">
        <f>IFERROR(VLOOKUP(_tPE26_29_Consolidada[[#This Row], [ID Financeiro]],'[4]PE 25-29'!$B:$AT,45,FALSE),0)</f>
      </c>
      <c r="BT104" s="22">
        <f>_tPE26_29_Consolidada[[#This Row], [2026-2030]]*1000</f>
      </c>
      <c r="BU104" s="22">
        <f>-_tPE26_29_Consolidada[[#This Row], [Orçado 26/30 (PE25-29)]]+_tPE26_29_Consolidada[[#This Row], [Orçado 26/30 (PE26-30)]]</f>
      </c>
      <c r="BV104" s="22">
        <f>IFERROR(_tPE26_29_Consolidada[[#This Row], [Dif2]]/_tPE26_29_Consolidada[[#This Row], [Orçado 26/30 (PE25-29)]],0)</f>
      </c>
      <c r="BW104" s="1"/>
      <c r="BX104" s="1"/>
      <c r="BY104" s="1"/>
      <c r="BZ104" s="1"/>
      <c r="CA104" s="1"/>
      <c r="CB104" s="1"/>
      <c r="CC104" s="1"/>
      <c r="CD104" s="1"/>
      <c r="CE104" s="1"/>
      <c r="CF104" s="1"/>
      <c r="CG104" s="1"/>
      <c r="CH104" s="1"/>
      <c r="CI104" s="1"/>
      <c r="CJ104" s="1"/>
      <c r="CK104" s="1"/>
      <c r="CL104" s="1"/>
      <c r="CM104" s="1"/>
      <c r="CN104" s="1"/>
      <c r="CO104" s="1"/>
      <c r="CP104" s="1"/>
      <c r="CQ104" s="111"/>
      <c r="CR104" s="111"/>
      <c r="CS104" s="111"/>
      <c r="CT104" s="111"/>
      <c r="CU104" s="111"/>
      <c r="CV104" s="111"/>
      <c r="CW104" s="111"/>
      <c r="CX104" s="111"/>
      <c r="CY104" s="111"/>
      <c r="CZ104" s="111"/>
      <c r="DA104" s="111"/>
      <c r="DB104" s="111"/>
      <c r="DC104" s="111"/>
      <c r="DD104" s="111"/>
      <c r="DE104" s="111"/>
      <c r="DF104" s="111"/>
      <c r="DG104" s="111"/>
      <c r="DH104" s="111"/>
      <c r="DI104" s="111"/>
      <c r="DJ104" s="111"/>
      <c r="DK104" s="111"/>
      <c r="DL104" s="111"/>
      <c r="DM104" s="111"/>
      <c r="DN104" s="111"/>
      <c r="DO104" s="111"/>
      <c r="DP104" s="111"/>
      <c r="DQ104" s="111"/>
      <c r="DR104" s="111"/>
      <c r="DS104" s="111"/>
      <c r="DT104" s="111"/>
      <c r="DU104" s="111"/>
      <c r="DV104" s="111"/>
      <c r="DW104" s="111"/>
      <c r="DX104" s="111"/>
      <c r="DY104" s="111"/>
      <c r="DZ104" s="111"/>
      <c r="EA104" s="111"/>
      <c r="EB104" s="111"/>
      <c r="EC104" s="111"/>
      <c r="ED104" s="111"/>
      <c r="EE104" s="111"/>
      <c r="EF104" s="111"/>
      <c r="EG104" s="111"/>
      <c r="EH104" s="111"/>
      <c r="EI104" s="111"/>
      <c r="EJ104" s="111"/>
      <c r="EK104" s="111"/>
      <c r="EL104" s="111"/>
      <c r="EM104" s="111"/>
      <c r="EN104" s="111"/>
      <c r="EO104" s="111"/>
      <c r="EP104" s="111"/>
      <c r="EQ104" s="111"/>
      <c r="ER104" s="111"/>
      <c r="ES104" s="111"/>
      <c r="ET104" s="111"/>
      <c r="EU104" s="111"/>
      <c r="EV104" s="111"/>
      <c r="EW104" s="111"/>
      <c r="EX104" s="111"/>
      <c r="EY104" s="111"/>
      <c r="EZ104" s="111"/>
      <c r="FA104" s="2"/>
      <c r="FB104" s="2"/>
      <c r="FC104" s="2"/>
      <c r="FD104" s="2"/>
      <c r="FE104" s="2"/>
      <c r="FF104" s="2"/>
    </row>
    <row x14ac:dyDescent="0.25" r="105" customHeight="1" ht="18.75">
      <c r="A105" s="3"/>
      <c r="B105" s="118" t="s">
        <v>39052</v>
      </c>
      <c r="C105" s="3" t="s">
        <v>39053</v>
      </c>
      <c r="D105" s="3" t="s">
        <v>8</v>
      </c>
      <c r="E105" s="3" t="s">
        <v>38983</v>
      </c>
      <c r="F105" s="3"/>
      <c r="G105" s="3" t="s">
        <v>39409</v>
      </c>
      <c r="H105" s="3" t="s">
        <v>10</v>
      </c>
      <c r="I105" s="3" t="s">
        <v>86</v>
      </c>
      <c r="J105" s="3" t="s">
        <v>5</v>
      </c>
      <c r="K105" s="113" t="s">
        <v>26</v>
      </c>
      <c r="L105" s="3" t="s">
        <v>26</v>
      </c>
      <c r="M105" s="3" t="s">
        <v>39401</v>
      </c>
      <c r="N105" s="3"/>
      <c r="O105" s="3"/>
      <c r="P105" s="3"/>
      <c r="Q105" s="3" t="s">
        <v>39410</v>
      </c>
      <c r="R105" s="3" t="s">
        <v>39403</v>
      </c>
      <c r="S105" s="3" t="s">
        <v>39098</v>
      </c>
      <c r="T105" s="114">
        <v>5000</v>
      </c>
      <c r="U105" s="114">
        <v>5000</v>
      </c>
      <c r="V105" s="114">
        <v>5000</v>
      </c>
      <c r="W105" s="114">
        <v>5000</v>
      </c>
      <c r="X105" s="114">
        <v>5000</v>
      </c>
      <c r="Y105" s="114">
        <v>5000</v>
      </c>
      <c r="Z105" s="114">
        <v>50000</v>
      </c>
      <c r="AA105" s="114">
        <v>50000</v>
      </c>
      <c r="AB105" s="114">
        <v>100000</v>
      </c>
      <c r="AC105" s="114">
        <v>100000</v>
      </c>
      <c r="AD105" s="114">
        <v>100000</v>
      </c>
      <c r="AE105" s="114">
        <v>100000</v>
      </c>
      <c r="AF105" s="114">
        <v>530000</v>
      </c>
      <c r="AG105" s="114">
        <v>10000</v>
      </c>
      <c r="AH105" s="114">
        <v>0</v>
      </c>
      <c r="AI105" s="114">
        <v>0</v>
      </c>
      <c r="AJ105" s="114">
        <v>0</v>
      </c>
      <c r="AK105" s="114">
        <v>540000</v>
      </c>
      <c r="AL105" s="114">
        <v>0</v>
      </c>
      <c r="AM105" s="114">
        <v>0</v>
      </c>
      <c r="AN105" s="114">
        <v>0</v>
      </c>
      <c r="AO105" s="114">
        <v>0</v>
      </c>
      <c r="AP105" s="114">
        <v>0</v>
      </c>
      <c r="AQ105" s="114">
        <v>540000</v>
      </c>
      <c r="AR105" s="22">
        <v>241</v>
      </c>
      <c r="AS105" s="3" t="s">
        <v>39156</v>
      </c>
      <c r="AT105" s="115">
        <v>2025</v>
      </c>
      <c r="AU105" s="113"/>
      <c r="AV105" s="3" t="s">
        <v>39411</v>
      </c>
      <c r="AW105" s="3" t="s">
        <v>39194</v>
      </c>
      <c r="AX105" s="8" t="s">
        <v>39410</v>
      </c>
      <c r="AY105" s="8"/>
      <c r="AZ105" s="3" t="s">
        <v>39158</v>
      </c>
      <c r="BA105" s="3"/>
      <c r="BB105" s="3"/>
      <c r="BC105" s="3"/>
      <c r="BD105" s="3"/>
      <c r="BE105" s="3"/>
      <c r="BF105" s="3"/>
      <c r="BG105" s="3"/>
      <c r="BH105" s="3"/>
      <c r="BI105" s="3"/>
      <c r="BJ105" s="3"/>
      <c r="BK105" s="3"/>
      <c r="BL105" s="3"/>
      <c r="BM105" s="3"/>
      <c r="BN105" s="3"/>
      <c r="BO105" s="3"/>
      <c r="BP105" s="22">
        <f>IFERROR(VLOOKUP(_tPE26_29_Consolidada[[#This Row], [ID Financeiro]],'[4]PE 25-29'!$B:$AF,31,FALSE),0)</f>
      </c>
      <c r="BQ105" s="22">
        <f>_tPE26_29_Consolidada[[#This Row], [2026]]*1000</f>
      </c>
      <c r="BR105" s="117">
        <f>_tPE26_29_Consolidada[[#This Row], [Orçado 2026 (PE25-29)]]-_tPE26_29_Consolidada[[#This Row], [Orçado 2026 (PE26-30)]]</f>
      </c>
      <c r="BS105" s="22">
        <f>IFERROR(VLOOKUP(_tPE26_29_Consolidada[[#This Row], [ID Financeiro]],'[4]PE 25-29'!$B:$AT,45,FALSE),0)</f>
      </c>
      <c r="BT105" s="22">
        <f>_tPE26_29_Consolidada[[#This Row], [2026-2030]]*1000</f>
      </c>
      <c r="BU105" s="22">
        <f>-_tPE26_29_Consolidada[[#This Row], [Orçado 26/30 (PE25-29)]]+_tPE26_29_Consolidada[[#This Row], [Orçado 26/30 (PE26-30)]]</f>
      </c>
      <c r="BV105" s="22">
        <f>IFERROR(_tPE26_29_Consolidada[[#This Row], [Dif2]]/_tPE26_29_Consolidada[[#This Row], [Orçado 26/30 (PE25-29)]],0)</f>
      </c>
      <c r="BW105" s="1"/>
      <c r="BX105" s="1"/>
      <c r="BY105" s="1"/>
      <c r="BZ105" s="1"/>
      <c r="CA105" s="1"/>
      <c r="CB105" s="1"/>
      <c r="CC105" s="1"/>
      <c r="CD105" s="1"/>
      <c r="CE105" s="1"/>
      <c r="CF105" s="1"/>
      <c r="CG105" s="1"/>
      <c r="CH105" s="1"/>
      <c r="CI105" s="1"/>
      <c r="CJ105" s="1"/>
      <c r="CK105" s="1"/>
      <c r="CL105" s="1"/>
      <c r="CM105" s="1"/>
      <c r="CN105" s="1"/>
      <c r="CO105" s="1"/>
      <c r="CP105" s="1"/>
      <c r="CQ105" s="111"/>
      <c r="CR105" s="111"/>
      <c r="CS105" s="111"/>
      <c r="CT105" s="111"/>
      <c r="CU105" s="111"/>
      <c r="CV105" s="111"/>
      <c r="CW105" s="111"/>
      <c r="CX105" s="111"/>
      <c r="CY105" s="111"/>
      <c r="CZ105" s="111"/>
      <c r="DA105" s="111"/>
      <c r="DB105" s="111"/>
      <c r="DC105" s="111"/>
      <c r="DD105" s="111"/>
      <c r="DE105" s="111"/>
      <c r="DF105" s="111"/>
      <c r="DG105" s="111"/>
      <c r="DH105" s="111"/>
      <c r="DI105" s="111"/>
      <c r="DJ105" s="111"/>
      <c r="DK105" s="111"/>
      <c r="DL105" s="111"/>
      <c r="DM105" s="111"/>
      <c r="DN105" s="111"/>
      <c r="DO105" s="111"/>
      <c r="DP105" s="111"/>
      <c r="DQ105" s="111"/>
      <c r="DR105" s="111"/>
      <c r="DS105" s="111"/>
      <c r="DT105" s="111"/>
      <c r="DU105" s="111"/>
      <c r="DV105" s="111"/>
      <c r="DW105" s="111"/>
      <c r="DX105" s="111"/>
      <c r="DY105" s="111"/>
      <c r="DZ105" s="111"/>
      <c r="EA105" s="111"/>
      <c r="EB105" s="111"/>
      <c r="EC105" s="111"/>
      <c r="ED105" s="111"/>
      <c r="EE105" s="111"/>
      <c r="EF105" s="111"/>
      <c r="EG105" s="111"/>
      <c r="EH105" s="111"/>
      <c r="EI105" s="111"/>
      <c r="EJ105" s="111"/>
      <c r="EK105" s="111"/>
      <c r="EL105" s="111"/>
      <c r="EM105" s="111"/>
      <c r="EN105" s="111"/>
      <c r="EO105" s="111"/>
      <c r="EP105" s="111"/>
      <c r="EQ105" s="111"/>
      <c r="ER105" s="111"/>
      <c r="ES105" s="111"/>
      <c r="ET105" s="111"/>
      <c r="EU105" s="111"/>
      <c r="EV105" s="111"/>
      <c r="EW105" s="111"/>
      <c r="EX105" s="111"/>
      <c r="EY105" s="111"/>
      <c r="EZ105" s="111"/>
      <c r="FA105" s="2"/>
      <c r="FB105" s="2"/>
      <c r="FC105" s="2"/>
      <c r="FD105" s="2"/>
      <c r="FE105" s="2"/>
      <c r="FF105" s="2"/>
    </row>
    <row x14ac:dyDescent="0.25" r="106" customHeight="1" ht="18.75">
      <c r="A106" s="3"/>
      <c r="B106" s="118" t="s">
        <v>39052</v>
      </c>
      <c r="C106" s="3" t="s">
        <v>39053</v>
      </c>
      <c r="D106" s="3" t="s">
        <v>8</v>
      </c>
      <c r="E106" s="3" t="s">
        <v>38983</v>
      </c>
      <c r="F106" s="3"/>
      <c r="G106" s="3" t="s">
        <v>39412</v>
      </c>
      <c r="H106" s="3" t="s">
        <v>10</v>
      </c>
      <c r="I106" s="3" t="s">
        <v>86</v>
      </c>
      <c r="J106" s="3" t="s">
        <v>5</v>
      </c>
      <c r="K106" s="113" t="s">
        <v>26</v>
      </c>
      <c r="L106" s="3" t="s">
        <v>26</v>
      </c>
      <c r="M106" s="3" t="s">
        <v>39401</v>
      </c>
      <c r="N106" s="3"/>
      <c r="O106" s="3"/>
      <c r="P106" s="3"/>
      <c r="Q106" s="3" t="s">
        <v>39413</v>
      </c>
      <c r="R106" s="3" t="s">
        <v>39403</v>
      </c>
      <c r="S106" s="3" t="s">
        <v>39058</v>
      </c>
      <c r="T106" s="114">
        <v>200000</v>
      </c>
      <c r="U106" s="114">
        <v>150000</v>
      </c>
      <c r="V106" s="114">
        <v>150000</v>
      </c>
      <c r="W106" s="114">
        <v>100000</v>
      </c>
      <c r="X106" s="114">
        <v>50000</v>
      </c>
      <c r="Y106" s="114">
        <v>50000</v>
      </c>
      <c r="Z106" s="114">
        <v>50000</v>
      </c>
      <c r="AA106" s="114">
        <v>50000</v>
      </c>
      <c r="AB106" s="114">
        <v>50000</v>
      </c>
      <c r="AC106" s="114">
        <v>50000</v>
      </c>
      <c r="AD106" s="114">
        <v>50000</v>
      </c>
      <c r="AE106" s="114">
        <v>50000</v>
      </c>
      <c r="AF106" s="114">
        <v>1000000</v>
      </c>
      <c r="AG106" s="114">
        <v>1000000</v>
      </c>
      <c r="AH106" s="114">
        <v>1000000</v>
      </c>
      <c r="AI106" s="114">
        <v>1000000</v>
      </c>
      <c r="AJ106" s="114">
        <v>1000000</v>
      </c>
      <c r="AK106" s="114">
        <v>5000000</v>
      </c>
      <c r="AL106" s="114">
        <v>0</v>
      </c>
      <c r="AM106" s="114">
        <v>0</v>
      </c>
      <c r="AN106" s="114">
        <v>0</v>
      </c>
      <c r="AO106" s="114">
        <v>0</v>
      </c>
      <c r="AP106" s="114">
        <v>0</v>
      </c>
      <c r="AQ106" s="114">
        <v>5000000</v>
      </c>
      <c r="AR106" s="22">
        <v>242</v>
      </c>
      <c r="AS106" s="3" t="s">
        <v>39156</v>
      </c>
      <c r="AT106" s="115">
        <v>2025</v>
      </c>
      <c r="AU106" s="113"/>
      <c r="AV106" s="3" t="s">
        <v>39414</v>
      </c>
      <c r="AW106" s="3" t="s">
        <v>46</v>
      </c>
      <c r="AX106" s="8" t="s">
        <v>39413</v>
      </c>
      <c r="AY106" s="8" t="s">
        <v>39415</v>
      </c>
      <c r="AZ106" s="3" t="s">
        <v>39158</v>
      </c>
      <c r="BA106" s="3"/>
      <c r="BB106" s="3"/>
      <c r="BC106" s="3"/>
      <c r="BD106" s="3"/>
      <c r="BE106" s="3"/>
      <c r="BF106" s="3"/>
      <c r="BG106" s="3"/>
      <c r="BH106" s="3"/>
      <c r="BI106" s="3"/>
      <c r="BJ106" s="3"/>
      <c r="BK106" s="3"/>
      <c r="BL106" s="3"/>
      <c r="BM106" s="3"/>
      <c r="BN106" s="3"/>
      <c r="BO106" s="3"/>
      <c r="BP106" s="22">
        <f>IFERROR(VLOOKUP(_tPE26_29_Consolidada[[#This Row], [ID Financeiro]],'[4]PE 25-29'!$B:$AF,31,FALSE),0)</f>
      </c>
      <c r="BQ106" s="22">
        <f>_tPE26_29_Consolidada[[#This Row], [2026]]*1000</f>
      </c>
      <c r="BR106" s="117">
        <f>_tPE26_29_Consolidada[[#This Row], [Orçado 2026 (PE25-29)]]-_tPE26_29_Consolidada[[#This Row], [Orçado 2026 (PE26-30)]]</f>
      </c>
      <c r="BS106" s="22">
        <f>IFERROR(VLOOKUP(_tPE26_29_Consolidada[[#This Row], [ID Financeiro]],'[4]PE 25-29'!$B:$AT,45,FALSE),0)</f>
      </c>
      <c r="BT106" s="22">
        <f>_tPE26_29_Consolidada[[#This Row], [2026-2030]]*1000</f>
      </c>
      <c r="BU106" s="22">
        <f>-_tPE26_29_Consolidada[[#This Row], [Orçado 26/30 (PE25-29)]]+_tPE26_29_Consolidada[[#This Row], [Orçado 26/30 (PE26-30)]]</f>
      </c>
      <c r="BV106" s="22">
        <f>IFERROR(_tPE26_29_Consolidada[[#This Row], [Dif2]]/_tPE26_29_Consolidada[[#This Row], [Orçado 26/30 (PE25-29)]],0)</f>
      </c>
      <c r="BW106" s="1"/>
      <c r="BX106" s="1"/>
      <c r="BY106" s="1"/>
      <c r="BZ106" s="1"/>
      <c r="CA106" s="1"/>
      <c r="CB106" s="1"/>
      <c r="CC106" s="1"/>
      <c r="CD106" s="1"/>
      <c r="CE106" s="1"/>
      <c r="CF106" s="1"/>
      <c r="CG106" s="1"/>
      <c r="CH106" s="1"/>
      <c r="CI106" s="1"/>
      <c r="CJ106" s="1"/>
      <c r="CK106" s="1"/>
      <c r="CL106" s="1"/>
      <c r="CM106" s="1"/>
      <c r="CN106" s="1"/>
      <c r="CO106" s="1"/>
      <c r="CP106" s="1"/>
      <c r="CQ106" s="111"/>
      <c r="CR106" s="111"/>
      <c r="CS106" s="111"/>
      <c r="CT106" s="111"/>
      <c r="CU106" s="111"/>
      <c r="CV106" s="111"/>
      <c r="CW106" s="111"/>
      <c r="CX106" s="111"/>
      <c r="CY106" s="111"/>
      <c r="CZ106" s="111"/>
      <c r="DA106" s="111"/>
      <c r="DB106" s="111"/>
      <c r="DC106" s="111"/>
      <c r="DD106" s="111"/>
      <c r="DE106" s="111"/>
      <c r="DF106" s="111"/>
      <c r="DG106" s="111"/>
      <c r="DH106" s="111"/>
      <c r="DI106" s="111"/>
      <c r="DJ106" s="111"/>
      <c r="DK106" s="111"/>
      <c r="DL106" s="111"/>
      <c r="DM106" s="111"/>
      <c r="DN106" s="111"/>
      <c r="DO106" s="111"/>
      <c r="DP106" s="111"/>
      <c r="DQ106" s="111"/>
      <c r="DR106" s="111"/>
      <c r="DS106" s="111"/>
      <c r="DT106" s="111"/>
      <c r="DU106" s="111"/>
      <c r="DV106" s="111"/>
      <c r="DW106" s="111"/>
      <c r="DX106" s="111"/>
      <c r="DY106" s="111"/>
      <c r="DZ106" s="111"/>
      <c r="EA106" s="111"/>
      <c r="EB106" s="111"/>
      <c r="EC106" s="111"/>
      <c r="ED106" s="111"/>
      <c r="EE106" s="111"/>
      <c r="EF106" s="111"/>
      <c r="EG106" s="111"/>
      <c r="EH106" s="111"/>
      <c r="EI106" s="111"/>
      <c r="EJ106" s="111"/>
      <c r="EK106" s="111"/>
      <c r="EL106" s="111"/>
      <c r="EM106" s="111"/>
      <c r="EN106" s="111"/>
      <c r="EO106" s="111"/>
      <c r="EP106" s="111"/>
      <c r="EQ106" s="111"/>
      <c r="ER106" s="111"/>
      <c r="ES106" s="111"/>
      <c r="ET106" s="111"/>
      <c r="EU106" s="111"/>
      <c r="EV106" s="111"/>
      <c r="EW106" s="111"/>
      <c r="EX106" s="111"/>
      <c r="EY106" s="111"/>
      <c r="EZ106" s="111"/>
      <c r="FA106" s="2"/>
      <c r="FB106" s="2"/>
      <c r="FC106" s="2"/>
      <c r="FD106" s="2"/>
      <c r="FE106" s="2"/>
      <c r="FF106" s="2"/>
    </row>
    <row x14ac:dyDescent="0.25" r="107" customHeight="1" ht="18.75">
      <c r="A107" s="3"/>
      <c r="B107" s="118" t="s">
        <v>39052</v>
      </c>
      <c r="C107" s="3" t="s">
        <v>39053</v>
      </c>
      <c r="D107" s="3" t="s">
        <v>8</v>
      </c>
      <c r="E107" s="3" t="s">
        <v>38983</v>
      </c>
      <c r="F107" s="3"/>
      <c r="G107" s="3" t="s">
        <v>39416</v>
      </c>
      <c r="H107" s="3" t="s">
        <v>10</v>
      </c>
      <c r="I107" s="3" t="s">
        <v>86</v>
      </c>
      <c r="J107" s="3" t="s">
        <v>5</v>
      </c>
      <c r="K107" s="113" t="s">
        <v>26</v>
      </c>
      <c r="L107" s="3" t="s">
        <v>26</v>
      </c>
      <c r="M107" s="3" t="s">
        <v>39401</v>
      </c>
      <c r="N107" s="3"/>
      <c r="O107" s="3"/>
      <c r="P107" s="3"/>
      <c r="Q107" s="3" t="s">
        <v>39417</v>
      </c>
      <c r="R107" s="3" t="s">
        <v>39403</v>
      </c>
      <c r="S107" s="3" t="s">
        <v>39133</v>
      </c>
      <c r="T107" s="114">
        <v>1650000</v>
      </c>
      <c r="U107" s="114">
        <v>1650000</v>
      </c>
      <c r="V107" s="114">
        <v>1700000</v>
      </c>
      <c r="W107" s="114">
        <v>0</v>
      </c>
      <c r="X107" s="114">
        <v>0</v>
      </c>
      <c r="Y107" s="114">
        <v>0</v>
      </c>
      <c r="Z107" s="114">
        <v>0</v>
      </c>
      <c r="AA107" s="114">
        <v>0</v>
      </c>
      <c r="AB107" s="114">
        <v>0</v>
      </c>
      <c r="AC107" s="114">
        <v>0</v>
      </c>
      <c r="AD107" s="114">
        <v>0</v>
      </c>
      <c r="AE107" s="114">
        <v>0</v>
      </c>
      <c r="AF107" s="114">
        <v>5000000</v>
      </c>
      <c r="AG107" s="114">
        <v>0</v>
      </c>
      <c r="AH107" s="114">
        <v>0</v>
      </c>
      <c r="AI107" s="114">
        <v>0</v>
      </c>
      <c r="AJ107" s="114">
        <v>0</v>
      </c>
      <c r="AK107" s="114">
        <v>5000000</v>
      </c>
      <c r="AL107" s="114">
        <v>0</v>
      </c>
      <c r="AM107" s="114">
        <v>0</v>
      </c>
      <c r="AN107" s="114">
        <v>0</v>
      </c>
      <c r="AO107" s="114">
        <v>0</v>
      </c>
      <c r="AP107" s="114">
        <v>0</v>
      </c>
      <c r="AQ107" s="114">
        <v>5000000</v>
      </c>
      <c r="AR107" s="22">
        <v>244</v>
      </c>
      <c r="AS107" s="3" t="s">
        <v>39156</v>
      </c>
      <c r="AT107" s="115">
        <v>2025</v>
      </c>
      <c r="AU107" s="113"/>
      <c r="AV107" s="3" t="s">
        <v>39418</v>
      </c>
      <c r="AW107" s="3" t="s">
        <v>46</v>
      </c>
      <c r="AX107" s="8" t="s">
        <v>39417</v>
      </c>
      <c r="AY107" s="8"/>
      <c r="AZ107" s="3" t="s">
        <v>39158</v>
      </c>
      <c r="BA107" s="3"/>
      <c r="BB107" s="3"/>
      <c r="BC107" s="3"/>
      <c r="BD107" s="3"/>
      <c r="BE107" s="3"/>
      <c r="BF107" s="3"/>
      <c r="BG107" s="3"/>
      <c r="BH107" s="3"/>
      <c r="BI107" s="3"/>
      <c r="BJ107" s="3"/>
      <c r="BK107" s="3"/>
      <c r="BL107" s="3"/>
      <c r="BM107" s="3"/>
      <c r="BN107" s="3"/>
      <c r="BO107" s="3"/>
      <c r="BP107" s="22">
        <f>IFERROR(VLOOKUP(_tPE26_29_Consolidada[[#This Row], [ID Financeiro]],'[4]PE 25-29'!$B:$AF,31,FALSE),0)</f>
      </c>
      <c r="BQ107" s="22">
        <f>_tPE26_29_Consolidada[[#This Row], [2026]]*1000</f>
      </c>
      <c r="BR107" s="117">
        <f>_tPE26_29_Consolidada[[#This Row], [Orçado 2026 (PE25-29)]]-_tPE26_29_Consolidada[[#This Row], [Orçado 2026 (PE26-30)]]</f>
      </c>
      <c r="BS107" s="22">
        <f>IFERROR(VLOOKUP(_tPE26_29_Consolidada[[#This Row], [ID Financeiro]],'[4]PE 25-29'!$B:$AT,45,FALSE),0)</f>
      </c>
      <c r="BT107" s="22">
        <f>_tPE26_29_Consolidada[[#This Row], [2026-2030]]*1000</f>
      </c>
      <c r="BU107" s="22">
        <f>-_tPE26_29_Consolidada[[#This Row], [Orçado 26/30 (PE25-29)]]+_tPE26_29_Consolidada[[#This Row], [Orçado 26/30 (PE26-30)]]</f>
      </c>
      <c r="BV107" s="22">
        <f>IFERROR(_tPE26_29_Consolidada[[#This Row], [Dif2]]/_tPE26_29_Consolidada[[#This Row], [Orçado 26/30 (PE25-29)]],0)</f>
      </c>
      <c r="BW107" s="1"/>
      <c r="BX107" s="1"/>
      <c r="BY107" s="1"/>
      <c r="BZ107" s="1"/>
      <c r="CA107" s="1"/>
      <c r="CB107" s="1"/>
      <c r="CC107" s="1"/>
      <c r="CD107" s="1"/>
      <c r="CE107" s="1"/>
      <c r="CF107" s="1"/>
      <c r="CG107" s="1"/>
      <c r="CH107" s="1"/>
      <c r="CI107" s="1"/>
      <c r="CJ107" s="1"/>
      <c r="CK107" s="1"/>
      <c r="CL107" s="1"/>
      <c r="CM107" s="1"/>
      <c r="CN107" s="1"/>
      <c r="CO107" s="1"/>
      <c r="CP107" s="1"/>
      <c r="CQ107" s="111"/>
      <c r="CR107" s="111"/>
      <c r="CS107" s="111"/>
      <c r="CT107" s="111"/>
      <c r="CU107" s="111"/>
      <c r="CV107" s="111"/>
      <c r="CW107" s="111"/>
      <c r="CX107" s="111"/>
      <c r="CY107" s="111"/>
      <c r="CZ107" s="111"/>
      <c r="DA107" s="111"/>
      <c r="DB107" s="111"/>
      <c r="DC107" s="111"/>
      <c r="DD107" s="111"/>
      <c r="DE107" s="111"/>
      <c r="DF107" s="111"/>
      <c r="DG107" s="111"/>
      <c r="DH107" s="111"/>
      <c r="DI107" s="111"/>
      <c r="DJ107" s="111"/>
      <c r="DK107" s="111"/>
      <c r="DL107" s="111"/>
      <c r="DM107" s="111"/>
      <c r="DN107" s="111"/>
      <c r="DO107" s="111"/>
      <c r="DP107" s="111"/>
      <c r="DQ107" s="111"/>
      <c r="DR107" s="111"/>
      <c r="DS107" s="111"/>
      <c r="DT107" s="111"/>
      <c r="DU107" s="111"/>
      <c r="DV107" s="111"/>
      <c r="DW107" s="111"/>
      <c r="DX107" s="111"/>
      <c r="DY107" s="111"/>
      <c r="DZ107" s="111"/>
      <c r="EA107" s="111"/>
      <c r="EB107" s="111"/>
      <c r="EC107" s="111"/>
      <c r="ED107" s="111"/>
      <c r="EE107" s="111"/>
      <c r="EF107" s="111"/>
      <c r="EG107" s="111"/>
      <c r="EH107" s="111"/>
      <c r="EI107" s="111"/>
      <c r="EJ107" s="111"/>
      <c r="EK107" s="111"/>
      <c r="EL107" s="111"/>
      <c r="EM107" s="111"/>
      <c r="EN107" s="111"/>
      <c r="EO107" s="111"/>
      <c r="EP107" s="111"/>
      <c r="EQ107" s="111"/>
      <c r="ER107" s="111"/>
      <c r="ES107" s="111"/>
      <c r="ET107" s="111"/>
      <c r="EU107" s="111"/>
      <c r="EV107" s="111"/>
      <c r="EW107" s="111"/>
      <c r="EX107" s="111"/>
      <c r="EY107" s="111"/>
      <c r="EZ107" s="111"/>
      <c r="FA107" s="2"/>
      <c r="FB107" s="2"/>
      <c r="FC107" s="2"/>
      <c r="FD107" s="2"/>
      <c r="FE107" s="2"/>
      <c r="FF107" s="2"/>
    </row>
    <row x14ac:dyDescent="0.25" r="108" customHeight="1" ht="18.75">
      <c r="A108" s="3"/>
      <c r="B108" s="118" t="s">
        <v>39052</v>
      </c>
      <c r="C108" s="3" t="s">
        <v>39053</v>
      </c>
      <c r="D108" s="3" t="s">
        <v>8</v>
      </c>
      <c r="E108" s="3" t="s">
        <v>38983</v>
      </c>
      <c r="F108" s="3"/>
      <c r="G108" s="3" t="s">
        <v>39419</v>
      </c>
      <c r="H108" s="3" t="s">
        <v>10</v>
      </c>
      <c r="I108" s="3" t="s">
        <v>86</v>
      </c>
      <c r="J108" s="3" t="s">
        <v>5</v>
      </c>
      <c r="K108" s="113" t="s">
        <v>26</v>
      </c>
      <c r="L108" s="3" t="s">
        <v>26</v>
      </c>
      <c r="M108" s="3" t="s">
        <v>39401</v>
      </c>
      <c r="N108" s="3"/>
      <c r="O108" s="3"/>
      <c r="P108" s="3"/>
      <c r="Q108" s="3" t="s">
        <v>39420</v>
      </c>
      <c r="R108" s="3" t="s">
        <v>39403</v>
      </c>
      <c r="S108" s="3" t="s">
        <v>39058</v>
      </c>
      <c r="T108" s="114">
        <v>0</v>
      </c>
      <c r="U108" s="114">
        <v>0</v>
      </c>
      <c r="V108" s="114">
        <v>500000</v>
      </c>
      <c r="W108" s="114">
        <v>500000</v>
      </c>
      <c r="X108" s="114">
        <v>500000</v>
      </c>
      <c r="Y108" s="114">
        <v>500000</v>
      </c>
      <c r="Z108" s="114">
        <v>500000</v>
      </c>
      <c r="AA108" s="114">
        <v>500000</v>
      </c>
      <c r="AB108" s="114">
        <v>500000</v>
      </c>
      <c r="AC108" s="114">
        <v>500000</v>
      </c>
      <c r="AD108" s="114">
        <v>500000</v>
      </c>
      <c r="AE108" s="114">
        <v>500000</v>
      </c>
      <c r="AF108" s="114">
        <v>5000000</v>
      </c>
      <c r="AG108" s="114">
        <v>0</v>
      </c>
      <c r="AH108" s="114">
        <v>0</v>
      </c>
      <c r="AI108" s="114">
        <v>0</v>
      </c>
      <c r="AJ108" s="114">
        <v>0</v>
      </c>
      <c r="AK108" s="114">
        <v>5000000</v>
      </c>
      <c r="AL108" s="114">
        <v>0</v>
      </c>
      <c r="AM108" s="114">
        <v>0</v>
      </c>
      <c r="AN108" s="114">
        <v>0</v>
      </c>
      <c r="AO108" s="114">
        <v>0</v>
      </c>
      <c r="AP108" s="114">
        <v>0</v>
      </c>
      <c r="AQ108" s="114">
        <v>5000000</v>
      </c>
      <c r="AR108" s="22">
        <v>245</v>
      </c>
      <c r="AS108" s="3" t="s">
        <v>39156</v>
      </c>
      <c r="AT108" s="115">
        <v>2025</v>
      </c>
      <c r="AU108" s="113"/>
      <c r="AV108" s="3" t="s">
        <v>39421</v>
      </c>
      <c r="AW108" s="3" t="s">
        <v>39194</v>
      </c>
      <c r="AX108" s="8" t="s">
        <v>39420</v>
      </c>
      <c r="AY108" s="8"/>
      <c r="AZ108" s="3" t="s">
        <v>39158</v>
      </c>
      <c r="BA108" s="3"/>
      <c r="BB108" s="3"/>
      <c r="BC108" s="3"/>
      <c r="BD108" s="3"/>
      <c r="BE108" s="3"/>
      <c r="BF108" s="3"/>
      <c r="BG108" s="3"/>
      <c r="BH108" s="3"/>
      <c r="BI108" s="3"/>
      <c r="BJ108" s="3"/>
      <c r="BK108" s="3"/>
      <c r="BL108" s="3"/>
      <c r="BM108" s="3"/>
      <c r="BN108" s="3"/>
      <c r="BO108" s="3"/>
      <c r="BP108" s="22">
        <f>IFERROR(VLOOKUP(_tPE26_29_Consolidada[[#This Row], [ID Financeiro]],'[4]PE 25-29'!$B:$AF,31,FALSE),0)</f>
      </c>
      <c r="BQ108" s="22">
        <f>_tPE26_29_Consolidada[[#This Row], [2026]]*1000</f>
      </c>
      <c r="BR108" s="117">
        <f>_tPE26_29_Consolidada[[#This Row], [Orçado 2026 (PE25-29)]]-_tPE26_29_Consolidada[[#This Row], [Orçado 2026 (PE26-30)]]</f>
      </c>
      <c r="BS108" s="22">
        <f>IFERROR(VLOOKUP(_tPE26_29_Consolidada[[#This Row], [ID Financeiro]],'[4]PE 25-29'!$B:$AT,45,FALSE),0)</f>
      </c>
      <c r="BT108" s="22">
        <f>_tPE26_29_Consolidada[[#This Row], [2026-2030]]*1000</f>
      </c>
      <c r="BU108" s="22">
        <f>-_tPE26_29_Consolidada[[#This Row], [Orçado 26/30 (PE25-29)]]+_tPE26_29_Consolidada[[#This Row], [Orçado 26/30 (PE26-30)]]</f>
      </c>
      <c r="BV108" s="22">
        <f>IFERROR(_tPE26_29_Consolidada[[#This Row], [Dif2]]/_tPE26_29_Consolidada[[#This Row], [Orçado 26/30 (PE25-29)]],0)</f>
      </c>
      <c r="BW108" s="1"/>
      <c r="BX108" s="1"/>
      <c r="BY108" s="1"/>
      <c r="BZ108" s="1"/>
      <c r="CA108" s="1"/>
      <c r="CB108" s="1"/>
      <c r="CC108" s="1"/>
      <c r="CD108" s="1"/>
      <c r="CE108" s="1"/>
      <c r="CF108" s="1"/>
      <c r="CG108" s="1"/>
      <c r="CH108" s="1"/>
      <c r="CI108" s="1"/>
      <c r="CJ108" s="1"/>
      <c r="CK108" s="1"/>
      <c r="CL108" s="1"/>
      <c r="CM108" s="1"/>
      <c r="CN108" s="1"/>
      <c r="CO108" s="1"/>
      <c r="CP108" s="1"/>
      <c r="CQ108" s="111"/>
      <c r="CR108" s="111"/>
      <c r="CS108" s="111"/>
      <c r="CT108" s="111"/>
      <c r="CU108" s="111"/>
      <c r="CV108" s="111"/>
      <c r="CW108" s="111"/>
      <c r="CX108" s="111"/>
      <c r="CY108" s="111"/>
      <c r="CZ108" s="111"/>
      <c r="DA108" s="111"/>
      <c r="DB108" s="111"/>
      <c r="DC108" s="111"/>
      <c r="DD108" s="111"/>
      <c r="DE108" s="111"/>
      <c r="DF108" s="111"/>
      <c r="DG108" s="111"/>
      <c r="DH108" s="111"/>
      <c r="DI108" s="111"/>
      <c r="DJ108" s="111"/>
      <c r="DK108" s="111"/>
      <c r="DL108" s="111"/>
      <c r="DM108" s="111"/>
      <c r="DN108" s="111"/>
      <c r="DO108" s="111"/>
      <c r="DP108" s="111"/>
      <c r="DQ108" s="111"/>
      <c r="DR108" s="111"/>
      <c r="DS108" s="111"/>
      <c r="DT108" s="111"/>
      <c r="DU108" s="111"/>
      <c r="DV108" s="111"/>
      <c r="DW108" s="111"/>
      <c r="DX108" s="111"/>
      <c r="DY108" s="111"/>
      <c r="DZ108" s="111"/>
      <c r="EA108" s="111"/>
      <c r="EB108" s="111"/>
      <c r="EC108" s="111"/>
      <c r="ED108" s="111"/>
      <c r="EE108" s="111"/>
      <c r="EF108" s="111"/>
      <c r="EG108" s="111"/>
      <c r="EH108" s="111"/>
      <c r="EI108" s="111"/>
      <c r="EJ108" s="111"/>
      <c r="EK108" s="111"/>
      <c r="EL108" s="111"/>
      <c r="EM108" s="111"/>
      <c r="EN108" s="111"/>
      <c r="EO108" s="111"/>
      <c r="EP108" s="111"/>
      <c r="EQ108" s="111"/>
      <c r="ER108" s="111"/>
      <c r="ES108" s="111"/>
      <c r="ET108" s="111"/>
      <c r="EU108" s="111"/>
      <c r="EV108" s="111"/>
      <c r="EW108" s="111"/>
      <c r="EX108" s="111"/>
      <c r="EY108" s="111"/>
      <c r="EZ108" s="111"/>
      <c r="FA108" s="2"/>
      <c r="FB108" s="2"/>
      <c r="FC108" s="2"/>
      <c r="FD108" s="2"/>
      <c r="FE108" s="2"/>
      <c r="FF108" s="2"/>
    </row>
    <row x14ac:dyDescent="0.25" r="109" customHeight="1" ht="18.75">
      <c r="A109" s="3"/>
      <c r="B109" s="118" t="s">
        <v>39052</v>
      </c>
      <c r="C109" s="3" t="s">
        <v>39053</v>
      </c>
      <c r="D109" s="3" t="s">
        <v>8</v>
      </c>
      <c r="E109" s="3" t="s">
        <v>38983</v>
      </c>
      <c r="F109" s="3"/>
      <c r="G109" s="3" t="s">
        <v>39422</v>
      </c>
      <c r="H109" s="3" t="s">
        <v>10</v>
      </c>
      <c r="I109" s="3" t="s">
        <v>86</v>
      </c>
      <c r="J109" s="3" t="s">
        <v>5</v>
      </c>
      <c r="K109" s="113" t="s">
        <v>26</v>
      </c>
      <c r="L109" s="3" t="s">
        <v>26</v>
      </c>
      <c r="M109" s="3" t="s">
        <v>39401</v>
      </c>
      <c r="N109" s="3"/>
      <c r="O109" s="3"/>
      <c r="P109" s="3"/>
      <c r="Q109" s="3" t="s">
        <v>39423</v>
      </c>
      <c r="R109" s="3" t="s">
        <v>39403</v>
      </c>
      <c r="S109" s="3" t="s">
        <v>39058</v>
      </c>
      <c r="T109" s="114">
        <v>300000</v>
      </c>
      <c r="U109" s="114">
        <v>300000</v>
      </c>
      <c r="V109" s="114">
        <v>500000</v>
      </c>
      <c r="W109" s="114">
        <v>300000</v>
      </c>
      <c r="X109" s="114">
        <v>300000</v>
      </c>
      <c r="Y109" s="114">
        <v>500000</v>
      </c>
      <c r="Z109" s="114">
        <v>600000</v>
      </c>
      <c r="AA109" s="114">
        <v>300000</v>
      </c>
      <c r="AB109" s="114">
        <v>500000</v>
      </c>
      <c r="AC109" s="114">
        <v>500000</v>
      </c>
      <c r="AD109" s="114">
        <v>500000</v>
      </c>
      <c r="AE109" s="114">
        <v>500000</v>
      </c>
      <c r="AF109" s="114">
        <v>5100000</v>
      </c>
      <c r="AG109" s="114">
        <v>0</v>
      </c>
      <c r="AH109" s="114">
        <v>0</v>
      </c>
      <c r="AI109" s="114">
        <v>0</v>
      </c>
      <c r="AJ109" s="114">
        <v>0</v>
      </c>
      <c r="AK109" s="114">
        <v>5100000</v>
      </c>
      <c r="AL109" s="114">
        <v>0</v>
      </c>
      <c r="AM109" s="114">
        <v>0</v>
      </c>
      <c r="AN109" s="114">
        <v>0</v>
      </c>
      <c r="AO109" s="114">
        <v>0</v>
      </c>
      <c r="AP109" s="114">
        <v>0</v>
      </c>
      <c r="AQ109" s="114">
        <v>5100000</v>
      </c>
      <c r="AR109" s="22">
        <v>246</v>
      </c>
      <c r="AS109" s="3" t="s">
        <v>39156</v>
      </c>
      <c r="AT109" s="115">
        <v>2025</v>
      </c>
      <c r="AU109" s="113"/>
      <c r="AV109" s="3" t="s">
        <v>39424</v>
      </c>
      <c r="AW109" s="3" t="s">
        <v>39194</v>
      </c>
      <c r="AX109" s="8" t="s">
        <v>39423</v>
      </c>
      <c r="AY109" s="8"/>
      <c r="AZ109" s="3" t="s">
        <v>39158</v>
      </c>
      <c r="BA109" s="3"/>
      <c r="BB109" s="3"/>
      <c r="BC109" s="3"/>
      <c r="BD109" s="3"/>
      <c r="BE109" s="3"/>
      <c r="BF109" s="3"/>
      <c r="BG109" s="3"/>
      <c r="BH109" s="3"/>
      <c r="BI109" s="3"/>
      <c r="BJ109" s="3"/>
      <c r="BK109" s="3"/>
      <c r="BL109" s="3"/>
      <c r="BM109" s="3"/>
      <c r="BN109" s="3"/>
      <c r="BO109" s="3"/>
      <c r="BP109" s="22">
        <f>IFERROR(VLOOKUP(_tPE26_29_Consolidada[[#This Row], [ID Financeiro]],'[4]PE 25-29'!$B:$AF,31,FALSE),0)</f>
      </c>
      <c r="BQ109" s="22">
        <f>_tPE26_29_Consolidada[[#This Row], [2026]]*1000</f>
      </c>
      <c r="BR109" s="117">
        <f>_tPE26_29_Consolidada[[#This Row], [Orçado 2026 (PE25-29)]]-_tPE26_29_Consolidada[[#This Row], [Orçado 2026 (PE26-30)]]</f>
      </c>
      <c r="BS109" s="22">
        <f>IFERROR(VLOOKUP(_tPE26_29_Consolidada[[#This Row], [ID Financeiro]],'[4]PE 25-29'!$B:$AT,45,FALSE),0)</f>
      </c>
      <c r="BT109" s="22">
        <f>_tPE26_29_Consolidada[[#This Row], [2026-2030]]*1000</f>
      </c>
      <c r="BU109" s="22">
        <f>-_tPE26_29_Consolidada[[#This Row], [Orçado 26/30 (PE25-29)]]+_tPE26_29_Consolidada[[#This Row], [Orçado 26/30 (PE26-30)]]</f>
      </c>
      <c r="BV109" s="22">
        <f>IFERROR(_tPE26_29_Consolidada[[#This Row], [Dif2]]/_tPE26_29_Consolidada[[#This Row], [Orçado 26/30 (PE25-29)]],0)</f>
      </c>
      <c r="BW109" s="1"/>
      <c r="BX109" s="1"/>
      <c r="BY109" s="1"/>
      <c r="BZ109" s="1"/>
      <c r="CA109" s="1"/>
      <c r="CB109" s="1"/>
      <c r="CC109" s="1"/>
      <c r="CD109" s="1"/>
      <c r="CE109" s="1"/>
      <c r="CF109" s="1"/>
      <c r="CG109" s="1"/>
      <c r="CH109" s="1"/>
      <c r="CI109" s="1"/>
      <c r="CJ109" s="1"/>
      <c r="CK109" s="1"/>
      <c r="CL109" s="1"/>
      <c r="CM109" s="1"/>
      <c r="CN109" s="1"/>
      <c r="CO109" s="1"/>
      <c r="CP109" s="1"/>
      <c r="CQ109" s="111"/>
      <c r="CR109" s="111"/>
      <c r="CS109" s="111"/>
      <c r="CT109" s="111"/>
      <c r="CU109" s="111"/>
      <c r="CV109" s="111"/>
      <c r="CW109" s="111"/>
      <c r="CX109" s="111"/>
      <c r="CY109" s="111"/>
      <c r="CZ109" s="111"/>
      <c r="DA109" s="111"/>
      <c r="DB109" s="111"/>
      <c r="DC109" s="111"/>
      <c r="DD109" s="111"/>
      <c r="DE109" s="111"/>
      <c r="DF109" s="111"/>
      <c r="DG109" s="111"/>
      <c r="DH109" s="111"/>
      <c r="DI109" s="111"/>
      <c r="DJ109" s="111"/>
      <c r="DK109" s="111"/>
      <c r="DL109" s="111"/>
      <c r="DM109" s="111"/>
      <c r="DN109" s="111"/>
      <c r="DO109" s="111"/>
      <c r="DP109" s="111"/>
      <c r="DQ109" s="111"/>
      <c r="DR109" s="111"/>
      <c r="DS109" s="111"/>
      <c r="DT109" s="111"/>
      <c r="DU109" s="111"/>
      <c r="DV109" s="111"/>
      <c r="DW109" s="111"/>
      <c r="DX109" s="111"/>
      <c r="DY109" s="111"/>
      <c r="DZ109" s="111"/>
      <c r="EA109" s="111"/>
      <c r="EB109" s="111"/>
      <c r="EC109" s="111"/>
      <c r="ED109" s="111"/>
      <c r="EE109" s="111"/>
      <c r="EF109" s="111"/>
      <c r="EG109" s="111"/>
      <c r="EH109" s="111"/>
      <c r="EI109" s="111"/>
      <c r="EJ109" s="111"/>
      <c r="EK109" s="111"/>
      <c r="EL109" s="111"/>
      <c r="EM109" s="111"/>
      <c r="EN109" s="111"/>
      <c r="EO109" s="111"/>
      <c r="EP109" s="111"/>
      <c r="EQ109" s="111"/>
      <c r="ER109" s="111"/>
      <c r="ES109" s="111"/>
      <c r="ET109" s="111"/>
      <c r="EU109" s="111"/>
      <c r="EV109" s="111"/>
      <c r="EW109" s="111"/>
      <c r="EX109" s="111"/>
      <c r="EY109" s="111"/>
      <c r="EZ109" s="111"/>
      <c r="FA109" s="2"/>
      <c r="FB109" s="2"/>
      <c r="FC109" s="2"/>
      <c r="FD109" s="2"/>
      <c r="FE109" s="2"/>
      <c r="FF109" s="2"/>
    </row>
    <row x14ac:dyDescent="0.25" r="110" customHeight="1" ht="18.75">
      <c r="A110" s="3"/>
      <c r="B110" s="118" t="s">
        <v>39052</v>
      </c>
      <c r="C110" s="3" t="s">
        <v>39053</v>
      </c>
      <c r="D110" s="3" t="s">
        <v>8</v>
      </c>
      <c r="E110" s="3" t="s">
        <v>38983</v>
      </c>
      <c r="F110" s="3"/>
      <c r="G110" s="3" t="s">
        <v>39425</v>
      </c>
      <c r="H110" s="3" t="s">
        <v>10</v>
      </c>
      <c r="I110" s="3" t="s">
        <v>86</v>
      </c>
      <c r="J110" s="3" t="s">
        <v>5</v>
      </c>
      <c r="K110" s="113" t="s">
        <v>26</v>
      </c>
      <c r="L110" s="3" t="s">
        <v>26</v>
      </c>
      <c r="M110" s="3" t="s">
        <v>39426</v>
      </c>
      <c r="N110" s="3"/>
      <c r="O110" s="3"/>
      <c r="P110" s="3"/>
      <c r="Q110" s="3" t="s">
        <v>39427</v>
      </c>
      <c r="R110" s="3" t="s">
        <v>39403</v>
      </c>
      <c r="S110" s="3" t="s">
        <v>39058</v>
      </c>
      <c r="T110" s="114">
        <v>450000</v>
      </c>
      <c r="U110" s="114">
        <v>450000</v>
      </c>
      <c r="V110" s="114">
        <v>450000</v>
      </c>
      <c r="W110" s="114">
        <v>450000</v>
      </c>
      <c r="X110" s="114">
        <v>120000</v>
      </c>
      <c r="Y110" s="114">
        <v>0</v>
      </c>
      <c r="Z110" s="114">
        <v>0</v>
      </c>
      <c r="AA110" s="114">
        <v>0</v>
      </c>
      <c r="AB110" s="114">
        <v>0</v>
      </c>
      <c r="AC110" s="114">
        <v>0</v>
      </c>
      <c r="AD110" s="114">
        <v>0</v>
      </c>
      <c r="AE110" s="114">
        <v>0</v>
      </c>
      <c r="AF110" s="114">
        <v>1920000</v>
      </c>
      <c r="AG110" s="114">
        <v>0</v>
      </c>
      <c r="AH110" s="114">
        <v>0</v>
      </c>
      <c r="AI110" s="114">
        <v>0</v>
      </c>
      <c r="AJ110" s="114">
        <v>0</v>
      </c>
      <c r="AK110" s="114">
        <v>1920000</v>
      </c>
      <c r="AL110" s="114">
        <v>0</v>
      </c>
      <c r="AM110" s="114">
        <v>0</v>
      </c>
      <c r="AN110" s="114">
        <v>0</v>
      </c>
      <c r="AO110" s="114">
        <v>0</v>
      </c>
      <c r="AP110" s="114">
        <v>0</v>
      </c>
      <c r="AQ110" s="114">
        <v>1920000</v>
      </c>
      <c r="AR110" s="22">
        <v>247</v>
      </c>
      <c r="AS110" s="3" t="s">
        <v>39156</v>
      </c>
      <c r="AT110" s="115" t="s">
        <v>39060</v>
      </c>
      <c r="AU110" s="113"/>
      <c r="AV110" s="3" t="s">
        <v>39428</v>
      </c>
      <c r="AW110" s="3" t="s">
        <v>39194</v>
      </c>
      <c r="AX110" s="8" t="s">
        <v>39427</v>
      </c>
      <c r="AY110" s="8"/>
      <c r="AZ110" s="3" t="s">
        <v>39158</v>
      </c>
      <c r="BA110" s="3"/>
      <c r="BB110" s="3"/>
      <c r="BC110" s="3"/>
      <c r="BD110" s="3"/>
      <c r="BE110" s="3"/>
      <c r="BF110" s="3"/>
      <c r="BG110" s="3"/>
      <c r="BH110" s="3"/>
      <c r="BI110" s="3"/>
      <c r="BJ110" s="3"/>
      <c r="BK110" s="3"/>
      <c r="BL110" s="3"/>
      <c r="BM110" s="3"/>
      <c r="BN110" s="3"/>
      <c r="BO110" s="3"/>
      <c r="BP110" s="22">
        <f>IFERROR(VLOOKUP(_tPE26_29_Consolidada[[#This Row], [ID Financeiro]],'[4]PE 25-29'!$B:$AF,31,FALSE),0)</f>
      </c>
      <c r="BQ110" s="22">
        <f>_tPE26_29_Consolidada[[#This Row], [2026]]*1000</f>
      </c>
      <c r="BR110" s="117">
        <f>_tPE26_29_Consolidada[[#This Row], [Orçado 2026 (PE25-29)]]-_tPE26_29_Consolidada[[#This Row], [Orçado 2026 (PE26-30)]]</f>
      </c>
      <c r="BS110" s="22">
        <f>IFERROR(VLOOKUP(_tPE26_29_Consolidada[[#This Row], [ID Financeiro]],'[4]PE 25-29'!$B:$AT,45,FALSE),0)</f>
      </c>
      <c r="BT110" s="22">
        <f>_tPE26_29_Consolidada[[#This Row], [2026-2030]]*1000</f>
      </c>
      <c r="BU110" s="22">
        <f>-_tPE26_29_Consolidada[[#This Row], [Orçado 26/30 (PE25-29)]]+_tPE26_29_Consolidada[[#This Row], [Orçado 26/30 (PE26-30)]]</f>
      </c>
      <c r="BV110" s="22">
        <f>IFERROR(_tPE26_29_Consolidada[[#This Row], [Dif2]]/_tPE26_29_Consolidada[[#This Row], [Orçado 26/30 (PE25-29)]],0)</f>
      </c>
      <c r="BW110" s="1"/>
      <c r="BX110" s="1"/>
      <c r="BY110" s="1"/>
      <c r="BZ110" s="1"/>
      <c r="CA110" s="1"/>
      <c r="CB110" s="1"/>
      <c r="CC110" s="1"/>
      <c r="CD110" s="1"/>
      <c r="CE110" s="1"/>
      <c r="CF110" s="1"/>
      <c r="CG110" s="1"/>
      <c r="CH110" s="1"/>
      <c r="CI110" s="1"/>
      <c r="CJ110" s="1"/>
      <c r="CK110" s="1"/>
      <c r="CL110" s="1"/>
      <c r="CM110" s="1"/>
      <c r="CN110" s="1"/>
      <c r="CO110" s="1"/>
      <c r="CP110" s="1"/>
      <c r="CQ110" s="111"/>
      <c r="CR110" s="111"/>
      <c r="CS110" s="111"/>
      <c r="CT110" s="111"/>
      <c r="CU110" s="111"/>
      <c r="CV110" s="111"/>
      <c r="CW110" s="111"/>
      <c r="CX110" s="111"/>
      <c r="CY110" s="111"/>
      <c r="CZ110" s="111"/>
      <c r="DA110" s="111"/>
      <c r="DB110" s="111"/>
      <c r="DC110" s="111"/>
      <c r="DD110" s="111"/>
      <c r="DE110" s="111"/>
      <c r="DF110" s="111"/>
      <c r="DG110" s="111"/>
      <c r="DH110" s="111"/>
      <c r="DI110" s="111"/>
      <c r="DJ110" s="111"/>
      <c r="DK110" s="111"/>
      <c r="DL110" s="111"/>
      <c r="DM110" s="111"/>
      <c r="DN110" s="111"/>
      <c r="DO110" s="111"/>
      <c r="DP110" s="111"/>
      <c r="DQ110" s="111"/>
      <c r="DR110" s="111"/>
      <c r="DS110" s="111"/>
      <c r="DT110" s="111"/>
      <c r="DU110" s="111"/>
      <c r="DV110" s="111"/>
      <c r="DW110" s="111"/>
      <c r="DX110" s="111"/>
      <c r="DY110" s="111"/>
      <c r="DZ110" s="111"/>
      <c r="EA110" s="111"/>
      <c r="EB110" s="111"/>
      <c r="EC110" s="111"/>
      <c r="ED110" s="111"/>
      <c r="EE110" s="111"/>
      <c r="EF110" s="111"/>
      <c r="EG110" s="111"/>
      <c r="EH110" s="111"/>
      <c r="EI110" s="111"/>
      <c r="EJ110" s="111"/>
      <c r="EK110" s="111"/>
      <c r="EL110" s="111"/>
      <c r="EM110" s="111"/>
      <c r="EN110" s="111"/>
      <c r="EO110" s="111"/>
      <c r="EP110" s="111"/>
      <c r="EQ110" s="111"/>
      <c r="ER110" s="111"/>
      <c r="ES110" s="111"/>
      <c r="ET110" s="111"/>
      <c r="EU110" s="111"/>
      <c r="EV110" s="111"/>
      <c r="EW110" s="111"/>
      <c r="EX110" s="111"/>
      <c r="EY110" s="111"/>
      <c r="EZ110" s="111"/>
      <c r="FA110" s="2"/>
      <c r="FB110" s="2"/>
      <c r="FC110" s="2"/>
      <c r="FD110" s="2"/>
      <c r="FE110" s="2"/>
      <c r="FF110" s="2"/>
    </row>
    <row x14ac:dyDescent="0.25" r="111" customHeight="1" ht="18.75">
      <c r="A111" s="3"/>
      <c r="B111" s="118" t="s">
        <v>39052</v>
      </c>
      <c r="C111" s="3" t="s">
        <v>39053</v>
      </c>
      <c r="D111" s="3" t="s">
        <v>8</v>
      </c>
      <c r="E111" s="3" t="s">
        <v>38983</v>
      </c>
      <c r="F111" s="3"/>
      <c r="G111" s="3" t="s">
        <v>39429</v>
      </c>
      <c r="H111" s="3" t="s">
        <v>10</v>
      </c>
      <c r="I111" s="3" t="s">
        <v>86</v>
      </c>
      <c r="J111" s="3" t="s">
        <v>5</v>
      </c>
      <c r="K111" s="113" t="s">
        <v>16</v>
      </c>
      <c r="L111" s="3" t="s">
        <v>74</v>
      </c>
      <c r="M111" s="3" t="s">
        <v>39430</v>
      </c>
      <c r="N111" s="3"/>
      <c r="O111" s="3"/>
      <c r="P111" s="3"/>
      <c r="Q111" s="3" t="s">
        <v>39431</v>
      </c>
      <c r="R111" s="3" t="s">
        <v>74</v>
      </c>
      <c r="S111" s="3" t="s">
        <v>39058</v>
      </c>
      <c r="T111" s="114">
        <v>180000</v>
      </c>
      <c r="U111" s="114">
        <v>180000</v>
      </c>
      <c r="V111" s="114">
        <v>180000</v>
      </c>
      <c r="W111" s="114">
        <v>180000</v>
      </c>
      <c r="X111" s="114">
        <v>180000</v>
      </c>
      <c r="Y111" s="114">
        <v>180000</v>
      </c>
      <c r="Z111" s="114">
        <v>180000</v>
      </c>
      <c r="AA111" s="114">
        <v>180000</v>
      </c>
      <c r="AB111" s="114">
        <v>180000</v>
      </c>
      <c r="AC111" s="114">
        <v>180000</v>
      </c>
      <c r="AD111" s="114">
        <v>180000</v>
      </c>
      <c r="AE111" s="114">
        <v>180000</v>
      </c>
      <c r="AF111" s="114">
        <v>2160000</v>
      </c>
      <c r="AG111" s="114">
        <v>1500000</v>
      </c>
      <c r="AH111" s="114">
        <v>1000000</v>
      </c>
      <c r="AI111" s="114">
        <v>0</v>
      </c>
      <c r="AJ111" s="114">
        <v>0</v>
      </c>
      <c r="AK111" s="114">
        <v>4660000</v>
      </c>
      <c r="AL111" s="114">
        <v>0</v>
      </c>
      <c r="AM111" s="114">
        <v>0</v>
      </c>
      <c r="AN111" s="114">
        <v>0</v>
      </c>
      <c r="AO111" s="114">
        <v>0</v>
      </c>
      <c r="AP111" s="114">
        <v>0</v>
      </c>
      <c r="AQ111" s="114">
        <v>4660000</v>
      </c>
      <c r="AR111" s="22">
        <v>344</v>
      </c>
      <c r="AS111" s="3" t="s">
        <v>39432</v>
      </c>
      <c r="AT111" s="22">
        <v>2024</v>
      </c>
      <c r="AU111" s="113"/>
      <c r="AV111" s="3" t="s">
        <v>39433</v>
      </c>
      <c r="AW111" s="3" t="s">
        <v>46</v>
      </c>
      <c r="AX111" s="8" t="s">
        <v>39434</v>
      </c>
      <c r="AY111" s="8"/>
      <c r="AZ111" s="3"/>
      <c r="BA111" s="3"/>
      <c r="BB111" s="3"/>
      <c r="BC111" s="3"/>
      <c r="BD111" s="3"/>
      <c r="BE111" s="3"/>
      <c r="BF111" s="3"/>
      <c r="BG111" s="3"/>
      <c r="BH111" s="3"/>
      <c r="BI111" s="3"/>
      <c r="BJ111" s="3"/>
      <c r="BK111" s="3"/>
      <c r="BL111" s="3"/>
      <c r="BM111" s="3"/>
      <c r="BN111" s="3"/>
      <c r="BO111" s="3"/>
      <c r="BP111" s="22">
        <f>IFERROR(VLOOKUP(_tPE26_29_Consolidada[[#This Row], [ID Financeiro]],'[4]PE 25-29'!$B:$AF,31,FALSE),0)</f>
      </c>
      <c r="BQ111" s="22">
        <f>_tPE26_29_Consolidada[[#This Row], [2026]]*1000</f>
      </c>
      <c r="BR111" s="117">
        <f>_tPE26_29_Consolidada[[#This Row], [Orçado 2026 (PE25-29)]]-_tPE26_29_Consolidada[[#This Row], [Orçado 2026 (PE26-30)]]</f>
      </c>
      <c r="BS111" s="22">
        <f>IFERROR(VLOOKUP(_tPE26_29_Consolidada[[#This Row], [ID Financeiro]],'[4]PE 25-29'!$B:$AT,45,FALSE),0)</f>
      </c>
      <c r="BT111" s="22">
        <f>_tPE26_29_Consolidada[[#This Row], [2026-2030]]*1000</f>
      </c>
      <c r="BU111" s="22">
        <f>-_tPE26_29_Consolidada[[#This Row], [Orçado 26/30 (PE25-29)]]+_tPE26_29_Consolidada[[#This Row], [Orçado 26/30 (PE26-30)]]</f>
      </c>
      <c r="BV111" s="22">
        <f>IFERROR(_tPE26_29_Consolidada[[#This Row], [Dif2]]/_tPE26_29_Consolidada[[#This Row], [Orçado 26/30 (PE25-29)]],0)</f>
      </c>
      <c r="BW111" s="1"/>
      <c r="BX111" s="1"/>
      <c r="BY111" s="1"/>
      <c r="BZ111" s="1"/>
      <c r="CA111" s="1"/>
      <c r="CB111" s="1"/>
      <c r="CC111" s="1"/>
      <c r="CD111" s="1"/>
      <c r="CE111" s="1"/>
      <c r="CF111" s="1"/>
      <c r="CG111" s="1"/>
      <c r="CH111" s="1"/>
      <c r="CI111" s="1"/>
      <c r="CJ111" s="1"/>
      <c r="CK111" s="1"/>
      <c r="CL111" s="1"/>
      <c r="CM111" s="1"/>
      <c r="CN111" s="1"/>
      <c r="CO111" s="1"/>
      <c r="CP111" s="1"/>
      <c r="CQ111" s="111"/>
      <c r="CR111" s="111"/>
      <c r="CS111" s="111"/>
      <c r="CT111" s="111"/>
      <c r="CU111" s="111"/>
      <c r="CV111" s="111"/>
      <c r="CW111" s="111"/>
      <c r="CX111" s="111"/>
      <c r="CY111" s="111"/>
      <c r="CZ111" s="111"/>
      <c r="DA111" s="111"/>
      <c r="DB111" s="111"/>
      <c r="DC111" s="111"/>
      <c r="DD111" s="111"/>
      <c r="DE111" s="111"/>
      <c r="DF111" s="111"/>
      <c r="DG111" s="111"/>
      <c r="DH111" s="111"/>
      <c r="DI111" s="111"/>
      <c r="DJ111" s="111"/>
      <c r="DK111" s="111"/>
      <c r="DL111" s="111"/>
      <c r="DM111" s="111"/>
      <c r="DN111" s="111"/>
      <c r="DO111" s="111"/>
      <c r="DP111" s="111"/>
      <c r="DQ111" s="111"/>
      <c r="DR111" s="111"/>
      <c r="DS111" s="111"/>
      <c r="DT111" s="111"/>
      <c r="DU111" s="111"/>
      <c r="DV111" s="111"/>
      <c r="DW111" s="111"/>
      <c r="DX111" s="111"/>
      <c r="DY111" s="111"/>
      <c r="DZ111" s="111"/>
      <c r="EA111" s="111"/>
      <c r="EB111" s="111"/>
      <c r="EC111" s="111"/>
      <c r="ED111" s="111"/>
      <c r="EE111" s="111"/>
      <c r="EF111" s="111"/>
      <c r="EG111" s="111"/>
      <c r="EH111" s="111"/>
      <c r="EI111" s="111"/>
      <c r="EJ111" s="111"/>
      <c r="EK111" s="111"/>
      <c r="EL111" s="111"/>
      <c r="EM111" s="111"/>
      <c r="EN111" s="111"/>
      <c r="EO111" s="111"/>
      <c r="EP111" s="111"/>
      <c r="EQ111" s="111"/>
      <c r="ER111" s="111"/>
      <c r="ES111" s="111"/>
      <c r="ET111" s="111"/>
      <c r="EU111" s="111"/>
      <c r="EV111" s="111"/>
      <c r="EW111" s="111"/>
      <c r="EX111" s="111"/>
      <c r="EY111" s="111"/>
      <c r="EZ111" s="111"/>
      <c r="FA111" s="2"/>
      <c r="FB111" s="2"/>
      <c r="FC111" s="2"/>
      <c r="FD111" s="2"/>
      <c r="FE111" s="2"/>
      <c r="FF111" s="2"/>
    </row>
    <row x14ac:dyDescent="0.25" r="112" customHeight="1" ht="18.75">
      <c r="A112" s="3"/>
      <c r="B112" s="118" t="s">
        <v>39052</v>
      </c>
      <c r="C112" s="3" t="s">
        <v>39053</v>
      </c>
      <c r="D112" s="3" t="s">
        <v>8</v>
      </c>
      <c r="E112" s="3" t="s">
        <v>38983</v>
      </c>
      <c r="F112" s="3"/>
      <c r="G112" s="3" t="s">
        <v>39435</v>
      </c>
      <c r="H112" s="3" t="s">
        <v>10</v>
      </c>
      <c r="I112" s="3" t="s">
        <v>86</v>
      </c>
      <c r="J112" s="3" t="s">
        <v>5</v>
      </c>
      <c r="K112" s="113" t="s">
        <v>21</v>
      </c>
      <c r="L112" s="3" t="s">
        <v>74</v>
      </c>
      <c r="M112" s="3" t="s">
        <v>39436</v>
      </c>
      <c r="N112" s="3"/>
      <c r="O112" s="3"/>
      <c r="P112" s="3"/>
      <c r="Q112" s="3" t="s">
        <v>39437</v>
      </c>
      <c r="R112" s="3" t="s">
        <v>74</v>
      </c>
      <c r="S112" s="3" t="s">
        <v>39058</v>
      </c>
      <c r="T112" s="114">
        <v>0</v>
      </c>
      <c r="U112" s="114">
        <v>133000</v>
      </c>
      <c r="V112" s="114">
        <v>13000</v>
      </c>
      <c r="W112" s="114">
        <v>5000</v>
      </c>
      <c r="X112" s="114">
        <v>5000</v>
      </c>
      <c r="Y112" s="114">
        <v>125000</v>
      </c>
      <c r="Z112" s="114">
        <v>0</v>
      </c>
      <c r="AA112" s="114">
        <v>0</v>
      </c>
      <c r="AB112" s="114">
        <v>0</v>
      </c>
      <c r="AC112" s="114">
        <v>100000</v>
      </c>
      <c r="AD112" s="114">
        <v>94000</v>
      </c>
      <c r="AE112" s="114">
        <v>0</v>
      </c>
      <c r="AF112" s="114">
        <v>475000</v>
      </c>
      <c r="AG112" s="114">
        <v>53000</v>
      </c>
      <c r="AH112" s="114">
        <v>0</v>
      </c>
      <c r="AI112" s="114">
        <v>0</v>
      </c>
      <c r="AJ112" s="114">
        <v>0</v>
      </c>
      <c r="AK112" s="114">
        <v>528000</v>
      </c>
      <c r="AL112" s="114">
        <v>0</v>
      </c>
      <c r="AM112" s="114">
        <v>0</v>
      </c>
      <c r="AN112" s="114">
        <v>0</v>
      </c>
      <c r="AO112" s="114">
        <v>0</v>
      </c>
      <c r="AP112" s="114">
        <v>0</v>
      </c>
      <c r="AQ112" s="114">
        <v>528000</v>
      </c>
      <c r="AR112" s="22">
        <v>347</v>
      </c>
      <c r="AS112" s="3" t="s">
        <v>39432</v>
      </c>
      <c r="AT112" s="22">
        <v>2025</v>
      </c>
      <c r="AU112" s="113"/>
      <c r="AV112" s="3" t="s">
        <v>39438</v>
      </c>
      <c r="AW112" s="3" t="s">
        <v>39194</v>
      </c>
      <c r="AX112" s="8" t="s">
        <v>39439</v>
      </c>
      <c r="AY112" s="8"/>
      <c r="AZ112" s="3"/>
      <c r="BA112" s="3"/>
      <c r="BB112" s="3"/>
      <c r="BC112" s="3"/>
      <c r="BD112" s="3"/>
      <c r="BE112" s="3"/>
      <c r="BF112" s="3"/>
      <c r="BG112" s="3"/>
      <c r="BH112" s="3"/>
      <c r="BI112" s="3"/>
      <c r="BJ112" s="3"/>
      <c r="BK112" s="3"/>
      <c r="BL112" s="3"/>
      <c r="BM112" s="3"/>
      <c r="BN112" s="3"/>
      <c r="BO112" s="3"/>
      <c r="BP112" s="22">
        <f>IFERROR(VLOOKUP(_tPE26_29_Consolidada[[#This Row], [ID Financeiro]],'[4]PE 25-29'!$B:$AF,31,FALSE),0)</f>
      </c>
      <c r="BQ112" s="22">
        <f>_tPE26_29_Consolidada[[#This Row], [2026]]*1000</f>
      </c>
      <c r="BR112" s="117">
        <f>_tPE26_29_Consolidada[[#This Row], [Orçado 2026 (PE25-29)]]-_tPE26_29_Consolidada[[#This Row], [Orçado 2026 (PE26-30)]]</f>
      </c>
      <c r="BS112" s="22">
        <f>IFERROR(VLOOKUP(_tPE26_29_Consolidada[[#This Row], [ID Financeiro]],'[4]PE 25-29'!$B:$AT,45,FALSE),0)</f>
      </c>
      <c r="BT112" s="22">
        <f>_tPE26_29_Consolidada[[#This Row], [2026-2030]]*1000</f>
      </c>
      <c r="BU112" s="22">
        <f>-_tPE26_29_Consolidada[[#This Row], [Orçado 26/30 (PE25-29)]]+_tPE26_29_Consolidada[[#This Row], [Orçado 26/30 (PE26-30)]]</f>
      </c>
      <c r="BV112" s="22">
        <f>IFERROR(_tPE26_29_Consolidada[[#This Row], [Dif2]]/_tPE26_29_Consolidada[[#This Row], [Orçado 26/30 (PE25-29)]],0)</f>
      </c>
      <c r="BW112" s="1"/>
      <c r="BX112" s="1"/>
      <c r="BY112" s="1"/>
      <c r="BZ112" s="1"/>
      <c r="CA112" s="1"/>
      <c r="CB112" s="1"/>
      <c r="CC112" s="1"/>
      <c r="CD112" s="1"/>
      <c r="CE112" s="1"/>
      <c r="CF112" s="1"/>
      <c r="CG112" s="1"/>
      <c r="CH112" s="1"/>
      <c r="CI112" s="1"/>
      <c r="CJ112" s="1"/>
      <c r="CK112" s="1"/>
      <c r="CL112" s="1"/>
      <c r="CM112" s="1"/>
      <c r="CN112" s="1"/>
      <c r="CO112" s="1"/>
      <c r="CP112" s="1"/>
      <c r="CQ112" s="111"/>
      <c r="CR112" s="111"/>
      <c r="CS112" s="111"/>
      <c r="CT112" s="111"/>
      <c r="CU112" s="111"/>
      <c r="CV112" s="111"/>
      <c r="CW112" s="111"/>
      <c r="CX112" s="111"/>
      <c r="CY112" s="111"/>
      <c r="CZ112" s="111"/>
      <c r="DA112" s="111"/>
      <c r="DB112" s="111"/>
      <c r="DC112" s="111"/>
      <c r="DD112" s="111"/>
      <c r="DE112" s="111"/>
      <c r="DF112" s="111"/>
      <c r="DG112" s="111"/>
      <c r="DH112" s="111"/>
      <c r="DI112" s="111"/>
      <c r="DJ112" s="111"/>
      <c r="DK112" s="111"/>
      <c r="DL112" s="111"/>
      <c r="DM112" s="111"/>
      <c r="DN112" s="111"/>
      <c r="DO112" s="111"/>
      <c r="DP112" s="111"/>
      <c r="DQ112" s="111"/>
      <c r="DR112" s="111"/>
      <c r="DS112" s="111"/>
      <c r="DT112" s="111"/>
      <c r="DU112" s="111"/>
      <c r="DV112" s="111"/>
      <c r="DW112" s="111"/>
      <c r="DX112" s="111"/>
      <c r="DY112" s="111"/>
      <c r="DZ112" s="111"/>
      <c r="EA112" s="111"/>
      <c r="EB112" s="111"/>
      <c r="EC112" s="111"/>
      <c r="ED112" s="111"/>
      <c r="EE112" s="111"/>
      <c r="EF112" s="111"/>
      <c r="EG112" s="111"/>
      <c r="EH112" s="111"/>
      <c r="EI112" s="111"/>
      <c r="EJ112" s="111"/>
      <c r="EK112" s="111"/>
      <c r="EL112" s="111"/>
      <c r="EM112" s="111"/>
      <c r="EN112" s="111"/>
      <c r="EO112" s="111"/>
      <c r="EP112" s="111"/>
      <c r="EQ112" s="111"/>
      <c r="ER112" s="111"/>
      <c r="ES112" s="111"/>
      <c r="ET112" s="111"/>
      <c r="EU112" s="111"/>
      <c r="EV112" s="111"/>
      <c r="EW112" s="111"/>
      <c r="EX112" s="111"/>
      <c r="EY112" s="111"/>
      <c r="EZ112" s="111"/>
      <c r="FA112" s="2"/>
      <c r="FB112" s="2"/>
      <c r="FC112" s="2"/>
      <c r="FD112" s="2"/>
      <c r="FE112" s="2"/>
      <c r="FF112" s="2"/>
    </row>
    <row x14ac:dyDescent="0.25" r="113" customHeight="1" ht="18.75">
      <c r="A113" s="3"/>
      <c r="B113" s="118" t="s">
        <v>39052</v>
      </c>
      <c r="C113" s="3" t="s">
        <v>39053</v>
      </c>
      <c r="D113" s="3" t="s">
        <v>8</v>
      </c>
      <c r="E113" s="3" t="s">
        <v>38983</v>
      </c>
      <c r="F113" s="3"/>
      <c r="G113" s="3" t="s">
        <v>39440</v>
      </c>
      <c r="H113" s="3" t="s">
        <v>10</v>
      </c>
      <c r="I113" s="3" t="s">
        <v>86</v>
      </c>
      <c r="J113" s="3" t="s">
        <v>5</v>
      </c>
      <c r="K113" s="113" t="s">
        <v>16</v>
      </c>
      <c r="L113" s="3" t="s">
        <v>67</v>
      </c>
      <c r="M113" s="3" t="s">
        <v>39055</v>
      </c>
      <c r="N113" s="3"/>
      <c r="O113" s="3"/>
      <c r="P113" s="3"/>
      <c r="Q113" s="3" t="s">
        <v>39441</v>
      </c>
      <c r="R113" s="3" t="s">
        <v>39057</v>
      </c>
      <c r="S113" s="3" t="s">
        <v>39058</v>
      </c>
      <c r="T113" s="114">
        <v>0</v>
      </c>
      <c r="U113" s="114">
        <v>0</v>
      </c>
      <c r="V113" s="114">
        <v>0</v>
      </c>
      <c r="W113" s="114">
        <v>0</v>
      </c>
      <c r="X113" s="114">
        <v>0</v>
      </c>
      <c r="Y113" s="114">
        <v>5000</v>
      </c>
      <c r="Z113" s="114">
        <v>5000</v>
      </c>
      <c r="AA113" s="114">
        <v>5000</v>
      </c>
      <c r="AB113" s="114">
        <v>5000</v>
      </c>
      <c r="AC113" s="114">
        <v>0</v>
      </c>
      <c r="AD113" s="114">
        <v>0</v>
      </c>
      <c r="AE113" s="114">
        <v>0</v>
      </c>
      <c r="AF113" s="114">
        <v>20000</v>
      </c>
      <c r="AG113" s="114">
        <v>980000</v>
      </c>
      <c r="AH113" s="114">
        <v>0</v>
      </c>
      <c r="AI113" s="114">
        <v>0</v>
      </c>
      <c r="AJ113" s="114">
        <v>0</v>
      </c>
      <c r="AK113" s="114">
        <v>1000000</v>
      </c>
      <c r="AL113" s="114">
        <v>0</v>
      </c>
      <c r="AM113" s="114">
        <v>0</v>
      </c>
      <c r="AN113" s="114">
        <v>0</v>
      </c>
      <c r="AO113" s="114">
        <v>0</v>
      </c>
      <c r="AP113" s="114">
        <v>0</v>
      </c>
      <c r="AQ113" s="114">
        <v>1000000</v>
      </c>
      <c r="AR113" s="22">
        <v>348</v>
      </c>
      <c r="AS113" s="3" t="s">
        <v>39442</v>
      </c>
      <c r="AT113" s="115" t="s">
        <v>39060</v>
      </c>
      <c r="AU113" s="113">
        <f>_xlfn.XLOOKUP(_tPE26_29_Consolidada[[#This Row], [ID Financeiro]],[5]Projetos!$K:$K,[5]Projetos!$A:$A,0,0)</f>
      </c>
      <c r="AV113" s="3"/>
      <c r="AW113" s="3" t="s">
        <v>39062</v>
      </c>
      <c r="AX113" s="8" t="s">
        <v>39443</v>
      </c>
      <c r="AY113" s="8"/>
      <c r="AZ113" s="3" t="s">
        <v>39187</v>
      </c>
      <c r="BA113" s="3"/>
      <c r="BB113" s="3"/>
      <c r="BC113" s="3"/>
      <c r="BD113" s="3"/>
      <c r="BE113" s="3"/>
      <c r="BF113" s="3"/>
      <c r="BG113" s="3"/>
      <c r="BH113" s="3"/>
      <c r="BI113" s="3"/>
      <c r="BJ113" s="3"/>
      <c r="BK113" s="3"/>
      <c r="BL113" s="3"/>
      <c r="BM113" s="3"/>
      <c r="BN113" s="3"/>
      <c r="BO113" s="3"/>
      <c r="BP113" s="22">
        <f>IFERROR(VLOOKUP(_tPE26_29_Consolidada[[#This Row], [ID Financeiro]],'[4]PE 25-29'!$B:$AF,31,FALSE),0)</f>
      </c>
      <c r="BQ113" s="22">
        <f>_tPE26_29_Consolidada[[#This Row], [2026]]*1000</f>
      </c>
      <c r="BR113" s="117">
        <f>_tPE26_29_Consolidada[[#This Row], [Orçado 2026 (PE25-29)]]-_tPE26_29_Consolidada[[#This Row], [Orçado 2026 (PE26-30)]]</f>
      </c>
      <c r="BS113" s="22">
        <f>IFERROR(VLOOKUP(_tPE26_29_Consolidada[[#This Row], [ID Financeiro]],'[4]PE 25-29'!$B:$AT,45,FALSE),0)</f>
      </c>
      <c r="BT113" s="22">
        <f>_tPE26_29_Consolidada[[#This Row], [2026-2030]]*1000</f>
      </c>
      <c r="BU113" s="117">
        <f>-_tPE26_29_Consolidada[[#This Row], [Orçado 26/30 (PE25-29)]]+_tPE26_29_Consolidada[[#This Row], [Orçado 26/30 (PE26-30)]]</f>
      </c>
      <c r="BV113" s="22">
        <f>IFERROR(_tPE26_29_Consolidada[[#This Row], [Dif2]]/_tPE26_29_Consolidada[[#This Row], [Orçado 26/30 (PE25-29)]],0)</f>
      </c>
      <c r="BW113" s="1"/>
      <c r="BX113" s="1"/>
      <c r="BY113" s="1"/>
      <c r="BZ113" s="1"/>
      <c r="CA113" s="1"/>
      <c r="CB113" s="1"/>
      <c r="CC113" s="1"/>
      <c r="CD113" s="1"/>
      <c r="CE113" s="1"/>
      <c r="CF113" s="1"/>
      <c r="CG113" s="1"/>
      <c r="CH113" s="1"/>
      <c r="CI113" s="1"/>
      <c r="CJ113" s="1"/>
      <c r="CK113" s="1"/>
      <c r="CL113" s="1"/>
      <c r="CM113" s="1"/>
      <c r="CN113" s="1"/>
      <c r="CO113" s="1"/>
      <c r="CP113" s="1"/>
      <c r="CQ113" s="111"/>
      <c r="CR113" s="111"/>
      <c r="CS113" s="111"/>
      <c r="CT113" s="111"/>
      <c r="CU113" s="111"/>
      <c r="CV113" s="111"/>
      <c r="CW113" s="111"/>
      <c r="CX113" s="111"/>
      <c r="CY113" s="111"/>
      <c r="CZ113" s="111"/>
      <c r="DA113" s="111"/>
      <c r="DB113" s="111"/>
      <c r="DC113" s="111"/>
      <c r="DD113" s="111"/>
      <c r="DE113" s="111"/>
      <c r="DF113" s="111"/>
      <c r="DG113" s="111"/>
      <c r="DH113" s="111"/>
      <c r="DI113" s="111"/>
      <c r="DJ113" s="111"/>
      <c r="DK113" s="111"/>
      <c r="DL113" s="111"/>
      <c r="DM113" s="111"/>
      <c r="DN113" s="111"/>
      <c r="DO113" s="111"/>
      <c r="DP113" s="111"/>
      <c r="DQ113" s="111"/>
      <c r="DR113" s="111"/>
      <c r="DS113" s="111"/>
      <c r="DT113" s="111"/>
      <c r="DU113" s="111"/>
      <c r="DV113" s="111"/>
      <c r="DW113" s="111"/>
      <c r="DX113" s="111"/>
      <c r="DY113" s="111"/>
      <c r="DZ113" s="111"/>
      <c r="EA113" s="111"/>
      <c r="EB113" s="111"/>
      <c r="EC113" s="111"/>
      <c r="ED113" s="111"/>
      <c r="EE113" s="111"/>
      <c r="EF113" s="111"/>
      <c r="EG113" s="111"/>
      <c r="EH113" s="111"/>
      <c r="EI113" s="111"/>
      <c r="EJ113" s="111"/>
      <c r="EK113" s="111"/>
      <c r="EL113" s="111"/>
      <c r="EM113" s="111"/>
      <c r="EN113" s="111"/>
      <c r="EO113" s="111"/>
      <c r="EP113" s="111"/>
      <c r="EQ113" s="111"/>
      <c r="ER113" s="111"/>
      <c r="ES113" s="111"/>
      <c r="ET113" s="111"/>
      <c r="EU113" s="111"/>
      <c r="EV113" s="111"/>
      <c r="EW113" s="111"/>
      <c r="EX113" s="111"/>
      <c r="EY113" s="111"/>
      <c r="EZ113" s="111"/>
      <c r="FA113" s="2"/>
      <c r="FB113" s="2"/>
      <c r="FC113" s="2"/>
      <c r="FD113" s="2"/>
      <c r="FE113" s="2"/>
      <c r="FF113" s="2"/>
    </row>
    <row x14ac:dyDescent="0.25" r="114" customHeight="1" ht="18.75">
      <c r="A114" s="3" t="s">
        <v>39444</v>
      </c>
      <c r="B114" s="120"/>
      <c r="C114" s="3"/>
      <c r="D114" s="3"/>
      <c r="E114" s="3"/>
      <c r="F114" s="3"/>
      <c r="G114" s="3"/>
      <c r="H114" s="3"/>
      <c r="I114" s="3"/>
      <c r="J114" s="3"/>
      <c r="K114" s="113"/>
      <c r="L114" s="3"/>
      <c r="M114" s="3"/>
      <c r="N114" s="3"/>
      <c r="O114" s="3"/>
      <c r="P114" s="3"/>
      <c r="Q114" s="3"/>
      <c r="R114" s="3"/>
      <c r="S114" s="3"/>
      <c r="T114" s="121"/>
      <c r="U114" s="121"/>
      <c r="V114" s="121"/>
      <c r="W114" s="121"/>
      <c r="X114" s="121"/>
      <c r="Y114" s="121"/>
      <c r="Z114" s="121"/>
      <c r="AA114" s="121"/>
      <c r="AB114" s="121"/>
      <c r="AC114" s="121"/>
      <c r="AD114" s="121"/>
      <c r="AE114" s="121"/>
      <c r="AF114" s="122">
        <f>subtotal(109,[2026])</f>
      </c>
      <c r="AG114" s="122">
        <f>subtotal(109,[2027])</f>
      </c>
      <c r="AH114" s="122">
        <f>subtotal(109,[2028])</f>
      </c>
      <c r="AI114" s="122">
        <f>subtotal(109,[2029])</f>
      </c>
      <c r="AJ114" s="122">
        <f>subtotal(109,[2030])</f>
      </c>
      <c r="AK114" s="121"/>
      <c r="AL114" s="121"/>
      <c r="AM114" s="121"/>
      <c r="AN114" s="121"/>
      <c r="AO114" s="121"/>
      <c r="AP114" s="121"/>
      <c r="AQ114" s="121"/>
      <c r="AR114" s="113"/>
      <c r="AS114" s="3"/>
      <c r="AT114" s="113"/>
      <c r="AU114" s="113"/>
      <c r="AV114" s="3"/>
      <c r="AW114" s="3"/>
      <c r="AX114" s="8"/>
      <c r="AY114" s="8"/>
      <c r="AZ114" s="3"/>
      <c r="BA114" s="3"/>
      <c r="BB114" s="3"/>
      <c r="BC114" s="3"/>
      <c r="BD114" s="3"/>
      <c r="BE114" s="3"/>
      <c r="BF114" s="3"/>
      <c r="BG114" s="3"/>
      <c r="BH114" s="3"/>
      <c r="BI114" s="3"/>
      <c r="BJ114" s="3"/>
      <c r="BK114" s="3"/>
      <c r="BL114" s="3"/>
      <c r="BM114" s="3"/>
      <c r="BN114" s="3"/>
      <c r="BO114" s="3"/>
      <c r="BP114" s="113"/>
      <c r="BQ114" s="113"/>
      <c r="BR114" s="123"/>
      <c r="BS114" s="113"/>
      <c r="BT114" s="113"/>
      <c r="BU114" s="123"/>
      <c r="BV114" s="117">
        <f>subtotal(109,[Dif2 %])</f>
      </c>
      <c r="BW114" s="1"/>
      <c r="BX114" s="1"/>
      <c r="BY114" s="1"/>
      <c r="BZ114" s="1"/>
      <c r="CA114" s="1"/>
      <c r="CB114" s="1"/>
      <c r="CC114" s="1"/>
      <c r="CD114" s="1"/>
      <c r="CE114" s="1"/>
      <c r="CF114" s="1"/>
      <c r="CG114" s="1"/>
      <c r="CH114" s="1"/>
      <c r="CI114" s="1"/>
      <c r="CJ114" s="1"/>
      <c r="CK114" s="1"/>
      <c r="CL114" s="1"/>
      <c r="CM114" s="1"/>
      <c r="CN114" s="1"/>
      <c r="CO114" s="1"/>
      <c r="CP114" s="1"/>
      <c r="CQ114" s="2"/>
      <c r="CR114" s="2"/>
      <c r="CS114" s="111"/>
      <c r="CT114" s="111"/>
      <c r="CU114" s="111"/>
      <c r="CV114" s="111"/>
      <c r="CW114" s="111"/>
      <c r="CX114" s="111"/>
      <c r="CY114" s="111"/>
      <c r="CZ114" s="111"/>
      <c r="DA114" s="111"/>
      <c r="DB114" s="111"/>
      <c r="DC114" s="111"/>
      <c r="DD114" s="111"/>
      <c r="DE114" s="111"/>
      <c r="DF114" s="111"/>
      <c r="DG114" s="111"/>
      <c r="DH114" s="111"/>
      <c r="DI114" s="111"/>
      <c r="DJ114" s="111"/>
      <c r="DK114" s="111"/>
      <c r="DL114" s="111"/>
      <c r="DM114" s="111"/>
      <c r="DN114" s="111"/>
      <c r="DO114" s="111"/>
      <c r="DP114" s="111"/>
      <c r="DQ114" s="111"/>
      <c r="DR114" s="111"/>
      <c r="DS114" s="111"/>
      <c r="DT114" s="111"/>
      <c r="DU114" s="111"/>
      <c r="DV114" s="111"/>
      <c r="DW114" s="111"/>
      <c r="DX114" s="111"/>
      <c r="DY114" s="111"/>
      <c r="DZ114" s="111"/>
      <c r="EA114" s="111"/>
      <c r="EB114" s="111"/>
      <c r="EC114" s="111"/>
      <c r="ED114" s="111"/>
      <c r="EE114" s="111"/>
      <c r="EF114" s="111"/>
      <c r="EG114" s="111"/>
      <c r="EH114" s="111"/>
      <c r="EI114" s="111"/>
      <c r="EJ114" s="111"/>
      <c r="EK114" s="111"/>
      <c r="EL114" s="111"/>
      <c r="EM114" s="111"/>
      <c r="EN114" s="111"/>
      <c r="EO114" s="111"/>
      <c r="EP114" s="111"/>
      <c r="EQ114" s="111"/>
      <c r="ER114" s="111"/>
      <c r="ES114" s="111"/>
      <c r="ET114" s="111"/>
      <c r="EU114" s="111"/>
      <c r="EV114" s="111"/>
      <c r="EW114" s="111"/>
      <c r="EX114" s="111"/>
      <c r="EY114" s="111"/>
      <c r="EZ114" s="111"/>
      <c r="FA114" s="111"/>
      <c r="FB114" s="111"/>
      <c r="FC114" s="111"/>
      <c r="FD114" s="111"/>
      <c r="FE114" s="111"/>
      <c r="FF114" s="111"/>
    </row>
    <row x14ac:dyDescent="0.25" r="115" customHeight="1" ht="18.75" customFormat="1" s="18">
      <c r="A115" s="2"/>
      <c r="B115" s="2"/>
      <c r="C115" s="2"/>
      <c r="D115" s="2"/>
      <c r="E115" s="2"/>
      <c r="F115" s="2"/>
      <c r="G115" s="2"/>
      <c r="H115" s="2"/>
      <c r="I115" s="2"/>
      <c r="J115" s="2"/>
      <c r="K115" s="20"/>
      <c r="L115" s="2"/>
      <c r="M115" s="2"/>
      <c r="N115" s="2"/>
      <c r="O115" s="2"/>
      <c r="P115" s="2"/>
      <c r="Q115" s="2"/>
      <c r="R115" s="2"/>
      <c r="S115" s="2"/>
      <c r="T115" s="124"/>
      <c r="U115" s="124"/>
      <c r="V115" s="124"/>
      <c r="W115" s="124"/>
      <c r="X115" s="124"/>
      <c r="Y115" s="124"/>
      <c r="Z115" s="124"/>
      <c r="AA115" s="124"/>
      <c r="AB115" s="124"/>
      <c r="AC115" s="124"/>
      <c r="AD115" s="124"/>
      <c r="AE115" s="124"/>
      <c r="AF115" s="124"/>
      <c r="AG115" s="124"/>
      <c r="AH115" s="124"/>
      <c r="AI115" s="124"/>
      <c r="AJ115" s="124"/>
      <c r="AK115" s="124"/>
      <c r="AL115" s="124"/>
      <c r="AM115" s="124"/>
      <c r="AN115" s="124"/>
      <c r="AO115" s="124"/>
      <c r="AP115" s="124"/>
      <c r="AQ115" s="124"/>
      <c r="AR115" s="20"/>
      <c r="AS115" s="2"/>
      <c r="AT115" s="20"/>
      <c r="AU115" s="20"/>
      <c r="AV115" s="2"/>
      <c r="AW115" s="2"/>
      <c r="AX115" s="2"/>
      <c r="AY115" s="2"/>
      <c r="AZ115" s="2"/>
      <c r="BA115" s="2"/>
      <c r="BB115" s="2"/>
      <c r="BC115" s="2"/>
      <c r="BD115" s="2"/>
      <c r="BE115" s="2"/>
      <c r="BF115" s="2"/>
      <c r="BG115" s="2"/>
      <c r="BH115" s="2"/>
      <c r="BI115" s="2"/>
      <c r="BJ115" s="2"/>
      <c r="BK115" s="2"/>
      <c r="BL115" s="2"/>
      <c r="BM115" s="2"/>
      <c r="BN115" s="2"/>
      <c r="BO115" s="2"/>
      <c r="BP115" s="20"/>
      <c r="BQ115" s="20"/>
      <c r="BR115" s="125"/>
      <c r="BS115" s="20"/>
      <c r="BT115" s="20"/>
      <c r="BU115" s="125"/>
      <c r="BV115" s="125"/>
      <c r="BW115" s="2"/>
      <c r="BX115" s="2"/>
      <c r="BY115" s="2"/>
      <c r="BZ115" s="2"/>
      <c r="CA115" s="2"/>
      <c r="CB115" s="2"/>
      <c r="CC115" s="2"/>
      <c r="CD115" s="2"/>
      <c r="CE115" s="2"/>
      <c r="CF115" s="2"/>
      <c r="CG115" s="2"/>
      <c r="CH115" s="2"/>
      <c r="CI115" s="2"/>
      <c r="CJ115" s="2"/>
      <c r="CK115" s="2"/>
      <c r="CL115" s="2"/>
      <c r="CM115" s="2"/>
      <c r="CN115" s="2"/>
      <c r="CO115" s="2"/>
      <c r="CP115" s="2"/>
      <c r="CQ115" s="2"/>
      <c r="CR115" s="2"/>
      <c r="CS115" s="111"/>
      <c r="CT115" s="111"/>
      <c r="CU115" s="111"/>
      <c r="CV115" s="111"/>
      <c r="CW115" s="111"/>
      <c r="CX115" s="111"/>
      <c r="CY115" s="111"/>
      <c r="CZ115" s="111"/>
      <c r="DA115" s="111"/>
      <c r="DB115" s="111"/>
      <c r="DC115" s="111"/>
      <c r="DD115" s="111"/>
      <c r="DE115" s="111"/>
      <c r="DF115" s="111"/>
      <c r="DG115" s="111"/>
      <c r="DH115" s="111"/>
      <c r="DI115" s="111"/>
      <c r="DJ115" s="111"/>
      <c r="DK115" s="111"/>
      <c r="DL115" s="111"/>
      <c r="DM115" s="111"/>
      <c r="DN115" s="111"/>
      <c r="DO115" s="111"/>
      <c r="DP115" s="111"/>
      <c r="DQ115" s="111"/>
      <c r="DR115" s="111"/>
      <c r="DS115" s="111"/>
      <c r="DT115" s="111"/>
      <c r="DU115" s="111"/>
      <c r="DV115" s="111"/>
      <c r="DW115" s="111"/>
      <c r="DX115" s="111"/>
      <c r="DY115" s="111"/>
      <c r="DZ115" s="111"/>
      <c r="EA115" s="111"/>
      <c r="EB115" s="111"/>
      <c r="EC115" s="111"/>
      <c r="ED115" s="111"/>
      <c r="EE115" s="111"/>
      <c r="EF115" s="111"/>
      <c r="EG115" s="111"/>
      <c r="EH115" s="111"/>
      <c r="EI115" s="111"/>
      <c r="EJ115" s="111"/>
      <c r="EK115" s="111"/>
      <c r="EL115" s="111"/>
      <c r="EM115" s="111"/>
      <c r="EN115" s="111"/>
      <c r="EO115" s="111"/>
      <c r="EP115" s="111"/>
      <c r="EQ115" s="111"/>
      <c r="ER115" s="111"/>
      <c r="ES115" s="111"/>
      <c r="ET115" s="111"/>
      <c r="EU115" s="111"/>
      <c r="EV115" s="111"/>
      <c r="EW115" s="111"/>
      <c r="EX115" s="111"/>
      <c r="EY115" s="111"/>
      <c r="EZ115" s="111"/>
      <c r="FA115" s="111"/>
      <c r="FB115" s="111"/>
      <c r="FC115" s="111"/>
      <c r="FD115" s="111"/>
      <c r="FE115" s="111"/>
      <c r="FF115" s="111"/>
    </row>
    <row x14ac:dyDescent="0.25" r="116" customHeight="1" ht="18.75" customFormat="1" s="18">
      <c r="A116" s="2"/>
      <c r="B116" s="2"/>
      <c r="C116" s="2"/>
      <c r="D116" s="2"/>
      <c r="E116" s="2"/>
      <c r="F116" s="2"/>
      <c r="G116" s="2"/>
      <c r="H116" s="2"/>
      <c r="I116" s="2"/>
      <c r="J116" s="2"/>
      <c r="K116" s="20"/>
      <c r="L116" s="2"/>
      <c r="M116" s="2"/>
      <c r="N116" s="2"/>
      <c r="O116" s="2"/>
      <c r="P116" s="2"/>
      <c r="Q116" s="2"/>
      <c r="R116" s="2"/>
      <c r="S116" s="2"/>
      <c r="T116" s="124"/>
      <c r="U116" s="124"/>
      <c r="V116" s="124"/>
      <c r="W116" s="124"/>
      <c r="X116" s="124"/>
      <c r="Y116" s="124"/>
      <c r="Z116" s="124"/>
      <c r="AA116" s="124"/>
      <c r="AB116" s="124"/>
      <c r="AC116" s="124"/>
      <c r="AD116" s="124"/>
      <c r="AE116" s="124"/>
      <c r="AF116" s="124"/>
      <c r="AG116" s="124"/>
      <c r="AH116" s="124"/>
      <c r="AI116" s="124"/>
      <c r="AJ116" s="124"/>
      <c r="AK116" s="124"/>
      <c r="AL116" s="124"/>
      <c r="AM116" s="124"/>
      <c r="AN116" s="124"/>
      <c r="AO116" s="124"/>
      <c r="AP116" s="124"/>
      <c r="AQ116" s="124"/>
      <c r="AR116" s="20"/>
      <c r="AS116" s="2"/>
      <c r="AT116" s="20"/>
      <c r="AU116" s="20"/>
      <c r="AV116" s="2"/>
      <c r="AW116" s="2"/>
      <c r="AX116" s="2"/>
      <c r="AY116" s="2"/>
      <c r="AZ116" s="2"/>
      <c r="BA116" s="2"/>
      <c r="BB116" s="2"/>
      <c r="BC116" s="2"/>
      <c r="BD116" s="2"/>
      <c r="BE116" s="2"/>
      <c r="BF116" s="2"/>
      <c r="BG116" s="2"/>
      <c r="BH116" s="2"/>
      <c r="BI116" s="2"/>
      <c r="BJ116" s="2"/>
      <c r="BK116" s="2"/>
      <c r="BL116" s="2"/>
      <c r="BM116" s="2"/>
      <c r="BN116" s="2"/>
      <c r="BO116" s="2"/>
      <c r="BP116" s="20"/>
      <c r="BQ116" s="20"/>
      <c r="BR116" s="125"/>
      <c r="BS116" s="20"/>
      <c r="BT116" s="20"/>
      <c r="BU116" s="125"/>
      <c r="BV116" s="125"/>
      <c r="BW116" s="2"/>
      <c r="BX116" s="2"/>
      <c r="BY116" s="2"/>
      <c r="BZ116" s="2"/>
      <c r="CA116" s="2"/>
      <c r="CB116" s="2"/>
      <c r="CC116" s="2"/>
      <c r="CD116" s="2"/>
      <c r="CE116" s="2"/>
      <c r="CF116" s="2"/>
      <c r="CG116" s="2"/>
      <c r="CH116" s="2"/>
      <c r="CI116" s="2"/>
      <c r="CJ116" s="2"/>
      <c r="CK116" s="2"/>
      <c r="CL116" s="2"/>
      <c r="CM116" s="2"/>
      <c r="CN116" s="2"/>
      <c r="CO116" s="2"/>
      <c r="CP116" s="2"/>
      <c r="CQ116" s="2"/>
      <c r="CR116" s="2"/>
      <c r="CS116" s="111"/>
      <c r="CT116" s="111"/>
      <c r="CU116" s="111"/>
      <c r="CV116" s="111"/>
      <c r="CW116" s="111"/>
      <c r="CX116" s="111"/>
      <c r="CY116" s="111"/>
      <c r="CZ116" s="111"/>
      <c r="DA116" s="111"/>
      <c r="DB116" s="111"/>
      <c r="DC116" s="111"/>
      <c r="DD116" s="111"/>
      <c r="DE116" s="111"/>
      <c r="DF116" s="111"/>
      <c r="DG116" s="111"/>
      <c r="DH116" s="111"/>
      <c r="DI116" s="111"/>
      <c r="DJ116" s="111"/>
      <c r="DK116" s="111"/>
      <c r="DL116" s="111"/>
      <c r="DM116" s="111"/>
      <c r="DN116" s="111"/>
      <c r="DO116" s="111"/>
      <c r="DP116" s="111"/>
      <c r="DQ116" s="111"/>
      <c r="DR116" s="111"/>
      <c r="DS116" s="111"/>
      <c r="DT116" s="111"/>
      <c r="DU116" s="111"/>
      <c r="DV116" s="111"/>
      <c r="DW116" s="111"/>
      <c r="DX116" s="111"/>
      <c r="DY116" s="111"/>
      <c r="DZ116" s="111"/>
      <c r="EA116" s="111"/>
      <c r="EB116" s="111"/>
      <c r="EC116" s="111"/>
      <c r="ED116" s="111"/>
      <c r="EE116" s="111"/>
      <c r="EF116" s="111"/>
      <c r="EG116" s="111"/>
      <c r="EH116" s="111"/>
      <c r="EI116" s="111"/>
      <c r="EJ116" s="111"/>
      <c r="EK116" s="111"/>
      <c r="EL116" s="111"/>
      <c r="EM116" s="111"/>
      <c r="EN116" s="111"/>
      <c r="EO116" s="111"/>
      <c r="EP116" s="111"/>
      <c r="EQ116" s="111"/>
      <c r="ER116" s="111"/>
      <c r="ES116" s="111"/>
      <c r="ET116" s="111"/>
      <c r="EU116" s="111"/>
      <c r="EV116" s="111"/>
      <c r="EW116" s="111"/>
      <c r="EX116" s="111"/>
      <c r="EY116" s="111"/>
      <c r="EZ116" s="111"/>
      <c r="FA116" s="111"/>
      <c r="FB116" s="111"/>
      <c r="FC116" s="111"/>
      <c r="FD116" s="111"/>
      <c r="FE116" s="111"/>
      <c r="FF116" s="111"/>
    </row>
    <row x14ac:dyDescent="0.25" r="117" customHeight="1" ht="18.75" customFormat="1" s="18">
      <c r="A117" s="2"/>
      <c r="B117" s="2"/>
      <c r="C117" s="2"/>
      <c r="D117" s="2"/>
      <c r="E117" s="2"/>
      <c r="F117" s="2"/>
      <c r="G117" s="2"/>
      <c r="H117" s="2"/>
      <c r="I117" s="2"/>
      <c r="J117" s="2"/>
      <c r="K117" s="20"/>
      <c r="L117" s="2"/>
      <c r="M117" s="2"/>
      <c r="N117" s="2"/>
      <c r="O117" s="2"/>
      <c r="P117" s="2"/>
      <c r="Q117" s="2"/>
      <c r="R117" s="2"/>
      <c r="S117" s="2"/>
      <c r="T117" s="124"/>
      <c r="U117" s="124"/>
      <c r="V117" s="124"/>
      <c r="W117" s="124"/>
      <c r="X117" s="124"/>
      <c r="Y117" s="124"/>
      <c r="Z117" s="124"/>
      <c r="AA117" s="124"/>
      <c r="AB117" s="124"/>
      <c r="AC117" s="124"/>
      <c r="AD117" s="124"/>
      <c r="AE117" s="124"/>
      <c r="AF117" s="124"/>
      <c r="AG117" s="124"/>
      <c r="AH117" s="124"/>
      <c r="AI117" s="124"/>
      <c r="AJ117" s="124"/>
      <c r="AK117" s="124"/>
      <c r="AL117" s="124"/>
      <c r="AM117" s="124"/>
      <c r="AN117" s="124"/>
      <c r="AO117" s="124"/>
      <c r="AP117" s="124"/>
      <c r="AQ117" s="124"/>
      <c r="AR117" s="20"/>
      <c r="AS117" s="2"/>
      <c r="AT117" s="20"/>
      <c r="AU117" s="20"/>
      <c r="AV117" s="2"/>
      <c r="AW117" s="2"/>
      <c r="AX117" s="2"/>
      <c r="AY117" s="2"/>
      <c r="AZ117" s="2"/>
      <c r="BA117" s="2"/>
      <c r="BB117" s="2"/>
      <c r="BC117" s="2"/>
      <c r="BD117" s="2"/>
      <c r="BE117" s="2"/>
      <c r="BF117" s="2"/>
      <c r="BG117" s="2"/>
      <c r="BH117" s="2"/>
      <c r="BI117" s="2"/>
      <c r="BJ117" s="2"/>
      <c r="BK117" s="2"/>
      <c r="BL117" s="2"/>
      <c r="BM117" s="2"/>
      <c r="BN117" s="2"/>
      <c r="BO117" s="2"/>
      <c r="BP117" s="20"/>
      <c r="BQ117" s="20"/>
      <c r="BR117" s="125"/>
      <c r="BS117" s="20"/>
      <c r="BT117" s="20"/>
      <c r="BU117" s="125"/>
      <c r="BV117" s="125"/>
      <c r="BW117" s="2"/>
      <c r="BX117" s="2"/>
      <c r="BY117" s="2"/>
      <c r="BZ117" s="2"/>
      <c r="CA117" s="2"/>
      <c r="CB117" s="2"/>
      <c r="CC117" s="2"/>
      <c r="CD117" s="2"/>
      <c r="CE117" s="2"/>
      <c r="CF117" s="2"/>
      <c r="CG117" s="2"/>
      <c r="CH117" s="2"/>
      <c r="CI117" s="2"/>
      <c r="CJ117" s="2"/>
      <c r="CK117" s="2"/>
      <c r="CL117" s="2"/>
      <c r="CM117" s="2"/>
      <c r="CN117" s="2"/>
      <c r="CO117" s="2"/>
      <c r="CP117" s="2"/>
      <c r="CQ117" s="2"/>
      <c r="CR117" s="2"/>
      <c r="CS117" s="111"/>
      <c r="CT117" s="111"/>
      <c r="CU117" s="111"/>
      <c r="CV117" s="111"/>
      <c r="CW117" s="111"/>
      <c r="CX117" s="111"/>
      <c r="CY117" s="111"/>
      <c r="CZ117" s="111"/>
      <c r="DA117" s="111"/>
      <c r="DB117" s="111"/>
      <c r="DC117" s="111"/>
      <c r="DD117" s="111"/>
      <c r="DE117" s="111"/>
      <c r="DF117" s="111"/>
      <c r="DG117" s="111"/>
      <c r="DH117" s="111"/>
      <c r="DI117" s="111"/>
      <c r="DJ117" s="111"/>
      <c r="DK117" s="111"/>
      <c r="DL117" s="111"/>
      <c r="DM117" s="111"/>
      <c r="DN117" s="111"/>
      <c r="DO117" s="111"/>
      <c r="DP117" s="111"/>
      <c r="DQ117" s="111"/>
      <c r="DR117" s="111"/>
      <c r="DS117" s="111"/>
      <c r="DT117" s="111"/>
      <c r="DU117" s="111"/>
      <c r="DV117" s="111"/>
      <c r="DW117" s="111"/>
      <c r="DX117" s="111"/>
      <c r="DY117" s="111"/>
      <c r="DZ117" s="111"/>
      <c r="EA117" s="111"/>
      <c r="EB117" s="111"/>
      <c r="EC117" s="111"/>
      <c r="ED117" s="111"/>
      <c r="EE117" s="111"/>
      <c r="EF117" s="111"/>
      <c r="EG117" s="111"/>
      <c r="EH117" s="111"/>
      <c r="EI117" s="111"/>
      <c r="EJ117" s="111"/>
      <c r="EK117" s="111"/>
      <c r="EL117" s="111"/>
      <c r="EM117" s="111"/>
      <c r="EN117" s="111"/>
      <c r="EO117" s="111"/>
      <c r="EP117" s="111"/>
      <c r="EQ117" s="111"/>
      <c r="ER117" s="111"/>
      <c r="ES117" s="111"/>
      <c r="ET117" s="111"/>
      <c r="EU117" s="111"/>
      <c r="EV117" s="111"/>
      <c r="EW117" s="111"/>
      <c r="EX117" s="111"/>
      <c r="EY117" s="111"/>
      <c r="EZ117" s="111"/>
      <c r="FA117" s="111"/>
      <c r="FB117" s="111"/>
      <c r="FC117" s="111"/>
      <c r="FD117" s="111"/>
      <c r="FE117" s="111"/>
      <c r="FF117" s="111"/>
    </row>
    <row x14ac:dyDescent="0.25" r="118" customHeight="1" ht="18.75" customFormat="1" s="18">
      <c r="A118" s="2"/>
      <c r="B118" s="2"/>
      <c r="C118" s="2"/>
      <c r="D118" s="2"/>
      <c r="E118" s="2"/>
      <c r="F118" s="2"/>
      <c r="G118" s="2"/>
      <c r="H118" s="2"/>
      <c r="I118" s="2"/>
      <c r="J118" s="2"/>
      <c r="K118" s="20"/>
      <c r="L118" s="2"/>
      <c r="M118" s="2"/>
      <c r="N118" s="2"/>
      <c r="O118" s="2"/>
      <c r="P118" s="2"/>
      <c r="Q118" s="2"/>
      <c r="R118" s="2"/>
      <c r="S118" s="2"/>
      <c r="T118" s="124"/>
      <c r="U118" s="124"/>
      <c r="V118" s="124"/>
      <c r="W118" s="124"/>
      <c r="X118" s="124"/>
      <c r="Y118" s="124"/>
      <c r="Z118" s="124"/>
      <c r="AA118" s="124"/>
      <c r="AB118" s="124"/>
      <c r="AC118" s="124"/>
      <c r="AD118" s="124"/>
      <c r="AE118" s="124"/>
      <c r="AF118" s="124"/>
      <c r="AG118" s="124"/>
      <c r="AH118" s="124"/>
      <c r="AI118" s="124"/>
      <c r="AJ118" s="124"/>
      <c r="AK118" s="124"/>
      <c r="AL118" s="124"/>
      <c r="AM118" s="124"/>
      <c r="AN118" s="124"/>
      <c r="AO118" s="124"/>
      <c r="AP118" s="124"/>
      <c r="AQ118" s="124"/>
      <c r="AR118" s="20"/>
      <c r="AS118" s="2"/>
      <c r="AT118" s="20"/>
      <c r="AU118" s="20"/>
      <c r="AV118" s="2"/>
      <c r="AW118" s="2"/>
      <c r="AX118" s="2"/>
      <c r="AY118" s="2"/>
      <c r="AZ118" s="2"/>
      <c r="BA118" s="2"/>
      <c r="BB118" s="2"/>
      <c r="BC118" s="2"/>
      <c r="BD118" s="2"/>
      <c r="BE118" s="2"/>
      <c r="BF118" s="2"/>
      <c r="BG118" s="2"/>
      <c r="BH118" s="2"/>
      <c r="BI118" s="2"/>
      <c r="BJ118" s="2"/>
      <c r="BK118" s="2"/>
      <c r="BL118" s="2"/>
      <c r="BM118" s="2"/>
      <c r="BN118" s="2"/>
      <c r="BO118" s="2"/>
      <c r="BP118" s="20"/>
      <c r="BQ118" s="20"/>
      <c r="BR118" s="125"/>
      <c r="BS118" s="20"/>
      <c r="BT118" s="20"/>
      <c r="BU118" s="125"/>
      <c r="BV118" s="125"/>
      <c r="BW118" s="2"/>
      <c r="BX118" s="2"/>
      <c r="BY118" s="2"/>
      <c r="BZ118" s="2"/>
      <c r="CA118" s="2"/>
      <c r="CB118" s="2"/>
      <c r="CC118" s="2"/>
      <c r="CD118" s="2"/>
      <c r="CE118" s="2"/>
      <c r="CF118" s="2"/>
      <c r="CG118" s="2"/>
      <c r="CH118" s="2"/>
      <c r="CI118" s="2"/>
      <c r="CJ118" s="2"/>
      <c r="CK118" s="2"/>
      <c r="CL118" s="2"/>
      <c r="CM118" s="2"/>
      <c r="CN118" s="2"/>
      <c r="CO118" s="2"/>
      <c r="CP118" s="2"/>
      <c r="CQ118" s="2"/>
      <c r="CR118" s="2"/>
      <c r="CS118" s="111"/>
      <c r="CT118" s="111"/>
      <c r="CU118" s="111"/>
      <c r="CV118" s="111"/>
      <c r="CW118" s="111"/>
      <c r="CX118" s="111"/>
      <c r="CY118" s="111"/>
      <c r="CZ118" s="111"/>
      <c r="DA118" s="111"/>
      <c r="DB118" s="111"/>
      <c r="DC118" s="111"/>
      <c r="DD118" s="111"/>
      <c r="DE118" s="111"/>
      <c r="DF118" s="111"/>
      <c r="DG118" s="111"/>
      <c r="DH118" s="111"/>
      <c r="DI118" s="111"/>
      <c r="DJ118" s="111"/>
      <c r="DK118" s="111"/>
      <c r="DL118" s="111"/>
      <c r="DM118" s="111"/>
      <c r="DN118" s="111"/>
      <c r="DO118" s="111"/>
      <c r="DP118" s="111"/>
      <c r="DQ118" s="111"/>
      <c r="DR118" s="111"/>
      <c r="DS118" s="111"/>
      <c r="DT118" s="111"/>
      <c r="DU118" s="111"/>
      <c r="DV118" s="111"/>
      <c r="DW118" s="111"/>
      <c r="DX118" s="111"/>
      <c r="DY118" s="111"/>
      <c r="DZ118" s="111"/>
      <c r="EA118" s="111"/>
      <c r="EB118" s="111"/>
      <c r="EC118" s="111"/>
      <c r="ED118" s="111"/>
      <c r="EE118" s="111"/>
      <c r="EF118" s="111"/>
      <c r="EG118" s="111"/>
      <c r="EH118" s="111"/>
      <c r="EI118" s="111"/>
      <c r="EJ118" s="111"/>
      <c r="EK118" s="111"/>
      <c r="EL118" s="111"/>
      <c r="EM118" s="111"/>
      <c r="EN118" s="111"/>
      <c r="EO118" s="111"/>
      <c r="EP118" s="111"/>
      <c r="EQ118" s="111"/>
      <c r="ER118" s="111"/>
      <c r="ES118" s="111"/>
      <c r="ET118" s="111"/>
      <c r="EU118" s="111"/>
      <c r="EV118" s="111"/>
      <c r="EW118" s="111"/>
      <c r="EX118" s="111"/>
      <c r="EY118" s="111"/>
      <c r="EZ118" s="111"/>
      <c r="FA118" s="111"/>
      <c r="FB118" s="111"/>
      <c r="FC118" s="111"/>
      <c r="FD118" s="111"/>
      <c r="FE118" s="111"/>
      <c r="FF118" s="111"/>
    </row>
    <row x14ac:dyDescent="0.25" r="119" customHeight="1" ht="18.75" customFormat="1" s="18">
      <c r="A119" s="2"/>
      <c r="B119" s="2"/>
      <c r="C119" s="2"/>
      <c r="D119" s="2"/>
      <c r="E119" s="2"/>
      <c r="F119" s="2"/>
      <c r="G119" s="2"/>
      <c r="H119" s="2"/>
      <c r="I119" s="2"/>
      <c r="J119" s="2"/>
      <c r="K119" s="20"/>
      <c r="L119" s="2"/>
      <c r="M119" s="2"/>
      <c r="N119" s="2"/>
      <c r="O119" s="2"/>
      <c r="P119" s="2"/>
      <c r="Q119" s="2"/>
      <c r="R119" s="2"/>
      <c r="S119" s="2"/>
      <c r="T119" s="124"/>
      <c r="U119" s="124"/>
      <c r="V119" s="124"/>
      <c r="W119" s="124"/>
      <c r="X119" s="124"/>
      <c r="Y119" s="124"/>
      <c r="Z119" s="124"/>
      <c r="AA119" s="124"/>
      <c r="AB119" s="124"/>
      <c r="AC119" s="124"/>
      <c r="AD119" s="124"/>
      <c r="AE119" s="124"/>
      <c r="AF119" s="124"/>
      <c r="AG119" s="124"/>
      <c r="AH119" s="124"/>
      <c r="AI119" s="124"/>
      <c r="AJ119" s="124"/>
      <c r="AK119" s="124"/>
      <c r="AL119" s="124"/>
      <c r="AM119" s="124"/>
      <c r="AN119" s="124"/>
      <c r="AO119" s="124"/>
      <c r="AP119" s="124"/>
      <c r="AQ119" s="124"/>
      <c r="AR119" s="20"/>
      <c r="AS119" s="2"/>
      <c r="AT119" s="20"/>
      <c r="AU119" s="20"/>
      <c r="AV119" s="2"/>
      <c r="AW119" s="2"/>
      <c r="AX119" s="2"/>
      <c r="AY119" s="2"/>
      <c r="AZ119" s="2"/>
      <c r="BA119" s="2"/>
      <c r="BB119" s="2"/>
      <c r="BC119" s="2"/>
      <c r="BD119" s="2"/>
      <c r="BE119" s="2"/>
      <c r="BF119" s="2"/>
      <c r="BG119" s="2"/>
      <c r="BH119" s="2"/>
      <c r="BI119" s="2"/>
      <c r="BJ119" s="2"/>
      <c r="BK119" s="2"/>
      <c r="BL119" s="2"/>
      <c r="BM119" s="2"/>
      <c r="BN119" s="2"/>
      <c r="BO119" s="2"/>
      <c r="BP119" s="20"/>
      <c r="BQ119" s="20"/>
      <c r="BR119" s="125"/>
      <c r="BS119" s="20"/>
      <c r="BT119" s="20"/>
      <c r="BU119" s="125"/>
      <c r="BV119" s="125"/>
      <c r="BW119" s="2"/>
      <c r="BX119" s="2"/>
      <c r="BY119" s="2"/>
      <c r="BZ119" s="2"/>
      <c r="CA119" s="2"/>
      <c r="CB119" s="2"/>
      <c r="CC119" s="2"/>
      <c r="CD119" s="2"/>
      <c r="CE119" s="2"/>
      <c r="CF119" s="2"/>
      <c r="CG119" s="2"/>
      <c r="CH119" s="2"/>
      <c r="CI119" s="2"/>
      <c r="CJ119" s="2"/>
      <c r="CK119" s="2"/>
      <c r="CL119" s="2"/>
      <c r="CM119" s="2"/>
      <c r="CN119" s="2"/>
      <c r="CO119" s="2"/>
      <c r="CP119" s="2"/>
      <c r="CQ119" s="2"/>
      <c r="CR119" s="2"/>
      <c r="CS119" s="111"/>
      <c r="CT119" s="111"/>
      <c r="CU119" s="111"/>
      <c r="CV119" s="111"/>
      <c r="CW119" s="111"/>
      <c r="CX119" s="111"/>
      <c r="CY119" s="111"/>
      <c r="CZ119" s="111"/>
      <c r="DA119" s="111"/>
      <c r="DB119" s="111"/>
      <c r="DC119" s="111"/>
      <c r="DD119" s="111"/>
      <c r="DE119" s="111"/>
      <c r="DF119" s="111"/>
      <c r="DG119" s="111"/>
      <c r="DH119" s="111"/>
      <c r="DI119" s="111"/>
      <c r="DJ119" s="111"/>
      <c r="DK119" s="111"/>
      <c r="DL119" s="111"/>
      <c r="DM119" s="111"/>
      <c r="DN119" s="111"/>
      <c r="DO119" s="111"/>
      <c r="DP119" s="111"/>
      <c r="DQ119" s="111"/>
      <c r="DR119" s="111"/>
      <c r="DS119" s="111"/>
      <c r="DT119" s="111"/>
      <c r="DU119" s="111"/>
      <c r="DV119" s="111"/>
      <c r="DW119" s="111"/>
      <c r="DX119" s="111"/>
      <c r="DY119" s="111"/>
      <c r="DZ119" s="111"/>
      <c r="EA119" s="111"/>
      <c r="EB119" s="111"/>
      <c r="EC119" s="111"/>
      <c r="ED119" s="111"/>
      <c r="EE119" s="111"/>
      <c r="EF119" s="111"/>
      <c r="EG119" s="111"/>
      <c r="EH119" s="111"/>
      <c r="EI119" s="111"/>
      <c r="EJ119" s="111"/>
      <c r="EK119" s="111"/>
      <c r="EL119" s="111"/>
      <c r="EM119" s="111"/>
      <c r="EN119" s="111"/>
      <c r="EO119" s="111"/>
      <c r="EP119" s="111"/>
      <c r="EQ119" s="111"/>
      <c r="ER119" s="111"/>
      <c r="ES119" s="111"/>
      <c r="ET119" s="111"/>
      <c r="EU119" s="111"/>
      <c r="EV119" s="111"/>
      <c r="EW119" s="111"/>
      <c r="EX119" s="111"/>
      <c r="EY119" s="111"/>
      <c r="EZ119" s="111"/>
      <c r="FA119" s="111"/>
      <c r="FB119" s="111"/>
      <c r="FC119" s="111"/>
      <c r="FD119" s="111"/>
      <c r="FE119" s="111"/>
      <c r="FF119" s="111"/>
    </row>
    <row x14ac:dyDescent="0.25" r="120" customHeight="1" ht="18.75" customFormat="1" s="18">
      <c r="A120" s="2"/>
      <c r="B120" s="2"/>
      <c r="C120" s="2"/>
      <c r="D120" s="2"/>
      <c r="E120" s="2"/>
      <c r="F120" s="2"/>
      <c r="G120" s="2"/>
      <c r="H120" s="2"/>
      <c r="I120" s="2"/>
      <c r="J120" s="2"/>
      <c r="K120" s="20"/>
      <c r="L120" s="2"/>
      <c r="M120" s="2"/>
      <c r="N120" s="2"/>
      <c r="O120" s="2"/>
      <c r="P120" s="2"/>
      <c r="Q120" s="2"/>
      <c r="R120" s="2"/>
      <c r="S120" s="2"/>
      <c r="T120" s="124"/>
      <c r="U120" s="124"/>
      <c r="V120" s="124"/>
      <c r="W120" s="124"/>
      <c r="X120" s="124"/>
      <c r="Y120" s="124"/>
      <c r="Z120" s="124"/>
      <c r="AA120" s="124"/>
      <c r="AB120" s="124"/>
      <c r="AC120" s="124"/>
      <c r="AD120" s="124"/>
      <c r="AE120" s="124"/>
      <c r="AF120" s="124"/>
      <c r="AG120" s="124"/>
      <c r="AH120" s="124"/>
      <c r="AI120" s="124"/>
      <c r="AJ120" s="124"/>
      <c r="AK120" s="124"/>
      <c r="AL120" s="124"/>
      <c r="AM120" s="124"/>
      <c r="AN120" s="124"/>
      <c r="AO120" s="124"/>
      <c r="AP120" s="124"/>
      <c r="AQ120" s="124"/>
      <c r="AR120" s="20"/>
      <c r="AS120" s="2"/>
      <c r="AT120" s="20"/>
      <c r="AU120" s="20"/>
      <c r="AV120" s="2"/>
      <c r="AW120" s="2"/>
      <c r="AX120" s="2"/>
      <c r="AY120" s="2"/>
      <c r="AZ120" s="2"/>
      <c r="BA120" s="2"/>
      <c r="BB120" s="2"/>
      <c r="BC120" s="2"/>
      <c r="BD120" s="2"/>
      <c r="BE120" s="2"/>
      <c r="BF120" s="2"/>
      <c r="BG120" s="2"/>
      <c r="BH120" s="2"/>
      <c r="BI120" s="2"/>
      <c r="BJ120" s="2"/>
      <c r="BK120" s="2"/>
      <c r="BL120" s="2"/>
      <c r="BM120" s="2"/>
      <c r="BN120" s="2"/>
      <c r="BO120" s="2"/>
      <c r="BP120" s="20"/>
      <c r="BQ120" s="20"/>
      <c r="BR120" s="125"/>
      <c r="BS120" s="20"/>
      <c r="BT120" s="20"/>
      <c r="BU120" s="125"/>
      <c r="BV120" s="125"/>
      <c r="BW120" s="2"/>
      <c r="BX120" s="2"/>
      <c r="BY120" s="2"/>
      <c r="BZ120" s="2"/>
      <c r="CA120" s="2"/>
      <c r="CB120" s="2"/>
      <c r="CC120" s="2"/>
      <c r="CD120" s="2"/>
      <c r="CE120" s="2"/>
      <c r="CF120" s="2"/>
      <c r="CG120" s="2"/>
      <c r="CH120" s="2"/>
      <c r="CI120" s="2"/>
      <c r="CJ120" s="2"/>
      <c r="CK120" s="2"/>
      <c r="CL120" s="2"/>
      <c r="CM120" s="2"/>
      <c r="CN120" s="2"/>
      <c r="CO120" s="2"/>
      <c r="CP120" s="2"/>
      <c r="CQ120" s="2"/>
      <c r="CR120" s="2"/>
      <c r="CS120" s="111"/>
      <c r="CT120" s="111"/>
      <c r="CU120" s="111"/>
      <c r="CV120" s="111"/>
      <c r="CW120" s="111"/>
      <c r="CX120" s="111"/>
      <c r="CY120" s="111"/>
      <c r="CZ120" s="111"/>
      <c r="DA120" s="111"/>
      <c r="DB120" s="111"/>
      <c r="DC120" s="111"/>
      <c r="DD120" s="111"/>
      <c r="DE120" s="111"/>
      <c r="DF120" s="111"/>
      <c r="DG120" s="111"/>
      <c r="DH120" s="111"/>
      <c r="DI120" s="111"/>
      <c r="DJ120" s="111"/>
      <c r="DK120" s="111"/>
      <c r="DL120" s="111"/>
      <c r="DM120" s="111"/>
      <c r="DN120" s="111"/>
      <c r="DO120" s="111"/>
      <c r="DP120" s="111"/>
      <c r="DQ120" s="111"/>
      <c r="DR120" s="111"/>
      <c r="DS120" s="111"/>
      <c r="DT120" s="111"/>
      <c r="DU120" s="111"/>
      <c r="DV120" s="111"/>
      <c r="DW120" s="111"/>
      <c r="DX120" s="111"/>
      <c r="DY120" s="111"/>
      <c r="DZ120" s="111"/>
      <c r="EA120" s="111"/>
      <c r="EB120" s="111"/>
      <c r="EC120" s="111"/>
      <c r="ED120" s="111"/>
      <c r="EE120" s="111"/>
      <c r="EF120" s="111"/>
      <c r="EG120" s="111"/>
      <c r="EH120" s="111"/>
      <c r="EI120" s="111"/>
      <c r="EJ120" s="111"/>
      <c r="EK120" s="111"/>
      <c r="EL120" s="111"/>
      <c r="EM120" s="111"/>
      <c r="EN120" s="111"/>
      <c r="EO120" s="111"/>
      <c r="EP120" s="111"/>
      <c r="EQ120" s="111"/>
      <c r="ER120" s="111"/>
      <c r="ES120" s="111"/>
      <c r="ET120" s="111"/>
      <c r="EU120" s="111"/>
      <c r="EV120" s="111"/>
      <c r="EW120" s="111"/>
      <c r="EX120" s="111"/>
      <c r="EY120" s="111"/>
      <c r="EZ120" s="111"/>
      <c r="FA120" s="111"/>
      <c r="FB120" s="111"/>
      <c r="FC120" s="111"/>
      <c r="FD120" s="111"/>
      <c r="FE120" s="111"/>
      <c r="FF120" s="111"/>
    </row>
    <row x14ac:dyDescent="0.25" r="121" customHeight="1" ht="18.75" customFormat="1" s="18">
      <c r="A121" s="2"/>
      <c r="B121" s="2"/>
      <c r="C121" s="2"/>
      <c r="D121" s="2"/>
      <c r="E121" s="2"/>
      <c r="F121" s="2"/>
      <c r="G121" s="2"/>
      <c r="H121" s="2"/>
      <c r="I121" s="2"/>
      <c r="J121" s="2"/>
      <c r="K121" s="20"/>
      <c r="L121" s="2"/>
      <c r="M121" s="2"/>
      <c r="N121" s="2"/>
      <c r="O121" s="2"/>
      <c r="P121" s="2"/>
      <c r="Q121" s="2"/>
      <c r="R121" s="2"/>
      <c r="S121" s="2"/>
      <c r="T121" s="124"/>
      <c r="U121" s="124"/>
      <c r="V121" s="124"/>
      <c r="W121" s="124"/>
      <c r="X121" s="124"/>
      <c r="Y121" s="124"/>
      <c r="Z121" s="124"/>
      <c r="AA121" s="124"/>
      <c r="AB121" s="124"/>
      <c r="AC121" s="124"/>
      <c r="AD121" s="124"/>
      <c r="AE121" s="124"/>
      <c r="AF121" s="124"/>
      <c r="AG121" s="124"/>
      <c r="AH121" s="124"/>
      <c r="AI121" s="124"/>
      <c r="AJ121" s="124"/>
      <c r="AK121" s="124"/>
      <c r="AL121" s="124"/>
      <c r="AM121" s="124"/>
      <c r="AN121" s="124"/>
      <c r="AO121" s="124"/>
      <c r="AP121" s="124"/>
      <c r="AQ121" s="124"/>
      <c r="AR121" s="20"/>
      <c r="AS121" s="2"/>
      <c r="AT121" s="20"/>
      <c r="AU121" s="20"/>
      <c r="AV121" s="2"/>
      <c r="AW121" s="2"/>
      <c r="AX121" s="2"/>
      <c r="AY121" s="2"/>
      <c r="AZ121" s="2"/>
      <c r="BA121" s="2"/>
      <c r="BB121" s="2"/>
      <c r="BC121" s="2"/>
      <c r="BD121" s="2"/>
      <c r="BE121" s="2"/>
      <c r="BF121" s="2"/>
      <c r="BG121" s="2"/>
      <c r="BH121" s="2"/>
      <c r="BI121" s="2"/>
      <c r="BJ121" s="2"/>
      <c r="BK121" s="2"/>
      <c r="BL121" s="2"/>
      <c r="BM121" s="2"/>
      <c r="BN121" s="2"/>
      <c r="BO121" s="2"/>
      <c r="BP121" s="20"/>
      <c r="BQ121" s="20"/>
      <c r="BR121" s="125"/>
      <c r="BS121" s="20"/>
      <c r="BT121" s="20"/>
      <c r="BU121" s="125"/>
      <c r="BV121" s="125"/>
      <c r="BW121" s="2"/>
      <c r="BX121" s="2"/>
      <c r="BY121" s="2"/>
      <c r="BZ121" s="2"/>
      <c r="CA121" s="2"/>
      <c r="CB121" s="2"/>
      <c r="CC121" s="2"/>
      <c r="CD121" s="2"/>
      <c r="CE121" s="2"/>
      <c r="CF121" s="2"/>
      <c r="CG121" s="2"/>
      <c r="CH121" s="2"/>
      <c r="CI121" s="2"/>
      <c r="CJ121" s="2"/>
      <c r="CK121" s="2"/>
      <c r="CL121" s="2"/>
      <c r="CM121" s="2"/>
      <c r="CN121" s="2"/>
      <c r="CO121" s="2"/>
      <c r="CP121" s="2"/>
      <c r="CQ121" s="2"/>
      <c r="CR121" s="2"/>
      <c r="CS121" s="111"/>
      <c r="CT121" s="111"/>
      <c r="CU121" s="111"/>
      <c r="CV121" s="111"/>
      <c r="CW121" s="111"/>
      <c r="CX121" s="111"/>
      <c r="CY121" s="111"/>
      <c r="CZ121" s="111"/>
      <c r="DA121" s="111"/>
      <c r="DB121" s="111"/>
      <c r="DC121" s="111"/>
      <c r="DD121" s="111"/>
      <c r="DE121" s="111"/>
      <c r="DF121" s="111"/>
      <c r="DG121" s="111"/>
      <c r="DH121" s="111"/>
      <c r="DI121" s="111"/>
      <c r="DJ121" s="111"/>
      <c r="DK121" s="111"/>
      <c r="DL121" s="111"/>
      <c r="DM121" s="111"/>
      <c r="DN121" s="111"/>
      <c r="DO121" s="111"/>
      <c r="DP121" s="111"/>
      <c r="DQ121" s="111"/>
      <c r="DR121" s="111"/>
      <c r="DS121" s="111"/>
      <c r="DT121" s="111"/>
      <c r="DU121" s="111"/>
      <c r="DV121" s="111"/>
      <c r="DW121" s="111"/>
      <c r="DX121" s="111"/>
      <c r="DY121" s="111"/>
      <c r="DZ121" s="111"/>
      <c r="EA121" s="111"/>
      <c r="EB121" s="111"/>
      <c r="EC121" s="111"/>
      <c r="ED121" s="111"/>
      <c r="EE121" s="111"/>
      <c r="EF121" s="111"/>
      <c r="EG121" s="111"/>
      <c r="EH121" s="111"/>
      <c r="EI121" s="111"/>
      <c r="EJ121" s="111"/>
      <c r="EK121" s="111"/>
      <c r="EL121" s="111"/>
      <c r="EM121" s="111"/>
      <c r="EN121" s="111"/>
      <c r="EO121" s="111"/>
      <c r="EP121" s="111"/>
      <c r="EQ121" s="111"/>
      <c r="ER121" s="111"/>
      <c r="ES121" s="111"/>
      <c r="ET121" s="111"/>
      <c r="EU121" s="111"/>
      <c r="EV121" s="111"/>
      <c r="EW121" s="111"/>
      <c r="EX121" s="111"/>
      <c r="EY121" s="111"/>
      <c r="EZ121" s="111"/>
      <c r="FA121" s="111"/>
      <c r="FB121" s="111"/>
      <c r="FC121" s="111"/>
      <c r="FD121" s="111"/>
      <c r="FE121" s="111"/>
      <c r="FF121" s="111"/>
    </row>
    <row x14ac:dyDescent="0.25" r="122" customHeight="1" ht="18.75" customFormat="1" s="18">
      <c r="A122" s="2"/>
      <c r="B122" s="2"/>
      <c r="C122" s="2"/>
      <c r="D122" s="2"/>
      <c r="E122" s="2"/>
      <c r="F122" s="2"/>
      <c r="G122" s="2"/>
      <c r="H122" s="2"/>
      <c r="I122" s="2"/>
      <c r="J122" s="2"/>
      <c r="K122" s="20"/>
      <c r="L122" s="2"/>
      <c r="M122" s="2"/>
      <c r="N122" s="2"/>
      <c r="O122" s="2"/>
      <c r="P122" s="2"/>
      <c r="Q122" s="2"/>
      <c r="R122" s="2"/>
      <c r="S122" s="2"/>
      <c r="T122" s="124"/>
      <c r="U122" s="124"/>
      <c r="V122" s="124"/>
      <c r="W122" s="124"/>
      <c r="X122" s="124"/>
      <c r="Y122" s="124"/>
      <c r="Z122" s="124"/>
      <c r="AA122" s="124"/>
      <c r="AB122" s="124"/>
      <c r="AC122" s="124"/>
      <c r="AD122" s="124"/>
      <c r="AE122" s="124"/>
      <c r="AF122" s="124"/>
      <c r="AG122" s="124"/>
      <c r="AH122" s="124"/>
      <c r="AI122" s="124"/>
      <c r="AJ122" s="124"/>
      <c r="AK122" s="124"/>
      <c r="AL122" s="124"/>
      <c r="AM122" s="124"/>
      <c r="AN122" s="124"/>
      <c r="AO122" s="124"/>
      <c r="AP122" s="124"/>
      <c r="AQ122" s="124"/>
      <c r="AR122" s="20"/>
      <c r="AS122" s="2"/>
      <c r="AT122" s="20"/>
      <c r="AU122" s="20"/>
      <c r="AV122" s="2"/>
      <c r="AW122" s="2"/>
      <c r="AX122" s="2"/>
      <c r="AY122" s="2"/>
      <c r="AZ122" s="2"/>
      <c r="BA122" s="2"/>
      <c r="BB122" s="2"/>
      <c r="BC122" s="2"/>
      <c r="BD122" s="2"/>
      <c r="BE122" s="2"/>
      <c r="BF122" s="2"/>
      <c r="BG122" s="2"/>
      <c r="BH122" s="2"/>
      <c r="BI122" s="2"/>
      <c r="BJ122" s="2"/>
      <c r="BK122" s="2"/>
      <c r="BL122" s="2"/>
      <c r="BM122" s="2"/>
      <c r="BN122" s="2"/>
      <c r="BO122" s="2"/>
      <c r="BP122" s="20"/>
      <c r="BQ122" s="20"/>
      <c r="BR122" s="125"/>
      <c r="BS122" s="20"/>
      <c r="BT122" s="20"/>
      <c r="BU122" s="125"/>
      <c r="BV122" s="125"/>
      <c r="BW122" s="2"/>
      <c r="BX122" s="2"/>
      <c r="BY122" s="2"/>
      <c r="BZ122" s="2"/>
      <c r="CA122" s="2"/>
      <c r="CB122" s="2"/>
      <c r="CC122" s="2"/>
      <c r="CD122" s="2"/>
      <c r="CE122" s="2"/>
      <c r="CF122" s="2"/>
      <c r="CG122" s="2"/>
      <c r="CH122" s="2"/>
      <c r="CI122" s="2"/>
      <c r="CJ122" s="2"/>
      <c r="CK122" s="2"/>
      <c r="CL122" s="2"/>
      <c r="CM122" s="2"/>
      <c r="CN122" s="2"/>
      <c r="CO122" s="2"/>
      <c r="CP122" s="2"/>
      <c r="CQ122" s="2"/>
      <c r="CR122" s="2"/>
      <c r="CS122" s="111"/>
      <c r="CT122" s="111"/>
      <c r="CU122" s="111"/>
      <c r="CV122" s="111"/>
      <c r="CW122" s="111"/>
      <c r="CX122" s="111"/>
      <c r="CY122" s="111"/>
      <c r="CZ122" s="111"/>
      <c r="DA122" s="111"/>
      <c r="DB122" s="111"/>
      <c r="DC122" s="111"/>
      <c r="DD122" s="111"/>
      <c r="DE122" s="111"/>
      <c r="DF122" s="111"/>
      <c r="DG122" s="111"/>
      <c r="DH122" s="111"/>
      <c r="DI122" s="111"/>
      <c r="DJ122" s="111"/>
      <c r="DK122" s="111"/>
      <c r="DL122" s="111"/>
      <c r="DM122" s="111"/>
      <c r="DN122" s="111"/>
      <c r="DO122" s="111"/>
      <c r="DP122" s="111"/>
      <c r="DQ122" s="111"/>
      <c r="DR122" s="111"/>
      <c r="DS122" s="111"/>
      <c r="DT122" s="111"/>
      <c r="DU122" s="111"/>
      <c r="DV122" s="111"/>
      <c r="DW122" s="111"/>
      <c r="DX122" s="111"/>
      <c r="DY122" s="111"/>
      <c r="DZ122" s="111"/>
      <c r="EA122" s="111"/>
      <c r="EB122" s="111"/>
      <c r="EC122" s="111"/>
      <c r="ED122" s="111"/>
      <c r="EE122" s="111"/>
      <c r="EF122" s="111"/>
      <c r="EG122" s="111"/>
      <c r="EH122" s="111"/>
      <c r="EI122" s="111"/>
      <c r="EJ122" s="111"/>
      <c r="EK122" s="111"/>
      <c r="EL122" s="111"/>
      <c r="EM122" s="111"/>
      <c r="EN122" s="111"/>
      <c r="EO122" s="111"/>
      <c r="EP122" s="111"/>
      <c r="EQ122" s="111"/>
      <c r="ER122" s="111"/>
      <c r="ES122" s="111"/>
      <c r="ET122" s="111"/>
      <c r="EU122" s="111"/>
      <c r="EV122" s="111"/>
      <c r="EW122" s="111"/>
      <c r="EX122" s="111"/>
      <c r="EY122" s="111"/>
      <c r="EZ122" s="111"/>
      <c r="FA122" s="111"/>
      <c r="FB122" s="111"/>
      <c r="FC122" s="111"/>
      <c r="FD122" s="111"/>
      <c r="FE122" s="111"/>
      <c r="FF122" s="111"/>
    </row>
    <row x14ac:dyDescent="0.25" r="123" customHeight="1" ht="18.75" customFormat="1" s="18">
      <c r="A123" s="2"/>
      <c r="B123" s="2"/>
      <c r="C123" s="2"/>
      <c r="D123" s="2"/>
      <c r="E123" s="2"/>
      <c r="F123" s="2"/>
      <c r="G123" s="2"/>
      <c r="H123" s="2"/>
      <c r="I123" s="2"/>
      <c r="J123" s="2"/>
      <c r="K123" s="20"/>
      <c r="L123" s="2"/>
      <c r="M123" s="2"/>
      <c r="N123" s="2"/>
      <c r="O123" s="2"/>
      <c r="P123" s="2"/>
      <c r="Q123" s="2"/>
      <c r="R123" s="2"/>
      <c r="S123" s="2"/>
      <c r="T123" s="124"/>
      <c r="U123" s="124"/>
      <c r="V123" s="124"/>
      <c r="W123" s="124"/>
      <c r="X123" s="124"/>
      <c r="Y123" s="124"/>
      <c r="Z123" s="124"/>
      <c r="AA123" s="124"/>
      <c r="AB123" s="124"/>
      <c r="AC123" s="124"/>
      <c r="AD123" s="124"/>
      <c r="AE123" s="124"/>
      <c r="AF123" s="124"/>
      <c r="AG123" s="124"/>
      <c r="AH123" s="124"/>
      <c r="AI123" s="124"/>
      <c r="AJ123" s="124"/>
      <c r="AK123" s="124"/>
      <c r="AL123" s="124"/>
      <c r="AM123" s="124"/>
      <c r="AN123" s="124"/>
      <c r="AO123" s="124"/>
      <c r="AP123" s="124"/>
      <c r="AQ123" s="124"/>
      <c r="AR123" s="20"/>
      <c r="AS123" s="2"/>
      <c r="AT123" s="20"/>
      <c r="AU123" s="20"/>
      <c r="AV123" s="2"/>
      <c r="AW123" s="2"/>
      <c r="AX123" s="2"/>
      <c r="AY123" s="2"/>
      <c r="AZ123" s="2"/>
      <c r="BA123" s="2"/>
      <c r="BB123" s="2"/>
      <c r="BC123" s="2"/>
      <c r="BD123" s="2"/>
      <c r="BE123" s="2"/>
      <c r="BF123" s="2"/>
      <c r="BG123" s="2"/>
      <c r="BH123" s="2"/>
      <c r="BI123" s="2"/>
      <c r="BJ123" s="2"/>
      <c r="BK123" s="2"/>
      <c r="BL123" s="2"/>
      <c r="BM123" s="2"/>
      <c r="BN123" s="2"/>
      <c r="BO123" s="2"/>
      <c r="BP123" s="20"/>
      <c r="BQ123" s="20"/>
      <c r="BR123" s="125"/>
      <c r="BS123" s="20"/>
      <c r="BT123" s="20"/>
      <c r="BU123" s="125"/>
      <c r="BV123" s="125"/>
      <c r="BW123" s="2"/>
      <c r="BX123" s="2"/>
      <c r="BY123" s="2"/>
      <c r="BZ123" s="2"/>
      <c r="CA123" s="2"/>
      <c r="CB123" s="2"/>
      <c r="CC123" s="2"/>
      <c r="CD123" s="2"/>
      <c r="CE123" s="2"/>
      <c r="CF123" s="2"/>
      <c r="CG123" s="2"/>
      <c r="CH123" s="2"/>
      <c r="CI123" s="2"/>
      <c r="CJ123" s="2"/>
      <c r="CK123" s="2"/>
      <c r="CL123" s="2"/>
      <c r="CM123" s="2"/>
      <c r="CN123" s="2"/>
      <c r="CO123" s="2"/>
      <c r="CP123" s="2"/>
      <c r="CQ123" s="2"/>
      <c r="CR123" s="2"/>
      <c r="CS123" s="111"/>
      <c r="CT123" s="111"/>
      <c r="CU123" s="111"/>
      <c r="CV123" s="111"/>
      <c r="CW123" s="111"/>
      <c r="CX123" s="111"/>
      <c r="CY123" s="111"/>
      <c r="CZ123" s="111"/>
      <c r="DA123" s="111"/>
      <c r="DB123" s="111"/>
      <c r="DC123" s="111"/>
      <c r="DD123" s="111"/>
      <c r="DE123" s="111"/>
      <c r="DF123" s="111"/>
      <c r="DG123" s="111"/>
      <c r="DH123" s="111"/>
      <c r="DI123" s="111"/>
      <c r="DJ123" s="111"/>
      <c r="DK123" s="111"/>
      <c r="DL123" s="111"/>
      <c r="DM123" s="111"/>
      <c r="DN123" s="111"/>
      <c r="DO123" s="111"/>
      <c r="DP123" s="111"/>
      <c r="DQ123" s="111"/>
      <c r="DR123" s="111"/>
      <c r="DS123" s="111"/>
      <c r="DT123" s="111"/>
      <c r="DU123" s="111"/>
      <c r="DV123" s="111"/>
      <c r="DW123" s="111"/>
      <c r="DX123" s="111"/>
      <c r="DY123" s="111"/>
      <c r="DZ123" s="111"/>
      <c r="EA123" s="111"/>
      <c r="EB123" s="111"/>
      <c r="EC123" s="111"/>
      <c r="ED123" s="111"/>
      <c r="EE123" s="111"/>
      <c r="EF123" s="111"/>
      <c r="EG123" s="111"/>
      <c r="EH123" s="111"/>
      <c r="EI123" s="111"/>
      <c r="EJ123" s="111"/>
      <c r="EK123" s="111"/>
      <c r="EL123" s="111"/>
      <c r="EM123" s="111"/>
      <c r="EN123" s="111"/>
      <c r="EO123" s="111"/>
      <c r="EP123" s="111"/>
      <c r="EQ123" s="111"/>
      <c r="ER123" s="111"/>
      <c r="ES123" s="111"/>
      <c r="ET123" s="111"/>
      <c r="EU123" s="111"/>
      <c r="EV123" s="111"/>
      <c r="EW123" s="111"/>
      <c r="EX123" s="111"/>
      <c r="EY123" s="111"/>
      <c r="EZ123" s="111"/>
      <c r="FA123" s="111"/>
      <c r="FB123" s="111"/>
      <c r="FC123" s="111"/>
      <c r="FD123" s="111"/>
      <c r="FE123" s="111"/>
      <c r="FF123" s="111"/>
    </row>
    <row x14ac:dyDescent="0.25" r="124" customHeight="1" ht="18.75" customFormat="1" s="18">
      <c r="A124" s="2"/>
      <c r="B124" s="2"/>
      <c r="C124" s="2"/>
      <c r="D124" s="2"/>
      <c r="E124" s="2"/>
      <c r="F124" s="2"/>
      <c r="G124" s="2"/>
      <c r="H124" s="2"/>
      <c r="I124" s="2"/>
      <c r="J124" s="2"/>
      <c r="K124" s="20"/>
      <c r="L124" s="2"/>
      <c r="M124" s="2"/>
      <c r="N124" s="2"/>
      <c r="O124" s="2"/>
      <c r="P124" s="2"/>
      <c r="Q124" s="2"/>
      <c r="R124" s="2"/>
      <c r="S124" s="2"/>
      <c r="T124" s="124"/>
      <c r="U124" s="124"/>
      <c r="V124" s="124"/>
      <c r="W124" s="124"/>
      <c r="X124" s="124"/>
      <c r="Y124" s="124"/>
      <c r="Z124" s="124"/>
      <c r="AA124" s="124"/>
      <c r="AB124" s="124"/>
      <c r="AC124" s="124"/>
      <c r="AD124" s="124"/>
      <c r="AE124" s="124"/>
      <c r="AF124" s="124"/>
      <c r="AG124" s="124"/>
      <c r="AH124" s="124"/>
      <c r="AI124" s="124"/>
      <c r="AJ124" s="124"/>
      <c r="AK124" s="124"/>
      <c r="AL124" s="124"/>
      <c r="AM124" s="124"/>
      <c r="AN124" s="124"/>
      <c r="AO124" s="124"/>
      <c r="AP124" s="124"/>
      <c r="AQ124" s="124"/>
      <c r="AR124" s="20"/>
      <c r="AS124" s="2"/>
      <c r="AT124" s="20"/>
      <c r="AU124" s="20"/>
      <c r="AV124" s="2"/>
      <c r="AW124" s="2"/>
      <c r="AX124" s="2"/>
      <c r="AY124" s="2"/>
      <c r="AZ124" s="2"/>
      <c r="BA124" s="2"/>
      <c r="BB124" s="2"/>
      <c r="BC124" s="2"/>
      <c r="BD124" s="2"/>
      <c r="BE124" s="2"/>
      <c r="BF124" s="2"/>
      <c r="BG124" s="2"/>
      <c r="BH124" s="2"/>
      <c r="BI124" s="2"/>
      <c r="BJ124" s="2"/>
      <c r="BK124" s="2"/>
      <c r="BL124" s="2"/>
      <c r="BM124" s="2"/>
      <c r="BN124" s="2"/>
      <c r="BO124" s="2"/>
      <c r="BP124" s="20"/>
      <c r="BQ124" s="20"/>
      <c r="BR124" s="125"/>
      <c r="BS124" s="20"/>
      <c r="BT124" s="20"/>
      <c r="BU124" s="125"/>
      <c r="BV124" s="125"/>
      <c r="BW124" s="2"/>
      <c r="BX124" s="2"/>
      <c r="BY124" s="2"/>
      <c r="BZ124" s="2"/>
      <c r="CA124" s="2"/>
      <c r="CB124" s="2"/>
      <c r="CC124" s="2"/>
      <c r="CD124" s="2"/>
      <c r="CE124" s="2"/>
      <c r="CF124" s="2"/>
      <c r="CG124" s="2"/>
      <c r="CH124" s="2"/>
      <c r="CI124" s="2"/>
      <c r="CJ124" s="2"/>
      <c r="CK124" s="2"/>
      <c r="CL124" s="2"/>
      <c r="CM124" s="2"/>
      <c r="CN124" s="2"/>
      <c r="CO124" s="2"/>
      <c r="CP124" s="2"/>
      <c r="CQ124" s="2"/>
      <c r="CR124" s="2"/>
      <c r="CS124" s="111"/>
      <c r="CT124" s="111"/>
      <c r="CU124" s="111"/>
      <c r="CV124" s="111"/>
      <c r="CW124" s="111"/>
      <c r="CX124" s="111"/>
      <c r="CY124" s="111"/>
      <c r="CZ124" s="111"/>
      <c r="DA124" s="111"/>
      <c r="DB124" s="111"/>
      <c r="DC124" s="111"/>
      <c r="DD124" s="111"/>
      <c r="DE124" s="111"/>
      <c r="DF124" s="111"/>
      <c r="DG124" s="111"/>
      <c r="DH124" s="111"/>
      <c r="DI124" s="111"/>
      <c r="DJ124" s="111"/>
      <c r="DK124" s="111"/>
      <c r="DL124" s="111"/>
      <c r="DM124" s="111"/>
      <c r="DN124" s="111"/>
      <c r="DO124" s="111"/>
      <c r="DP124" s="111"/>
      <c r="DQ124" s="111"/>
      <c r="DR124" s="111"/>
      <c r="DS124" s="111"/>
      <c r="DT124" s="111"/>
      <c r="DU124" s="111"/>
      <c r="DV124" s="111"/>
      <c r="DW124" s="111"/>
      <c r="DX124" s="111"/>
      <c r="DY124" s="111"/>
      <c r="DZ124" s="111"/>
      <c r="EA124" s="111"/>
      <c r="EB124" s="111"/>
      <c r="EC124" s="111"/>
      <c r="ED124" s="111"/>
      <c r="EE124" s="111"/>
      <c r="EF124" s="111"/>
      <c r="EG124" s="111"/>
      <c r="EH124" s="111"/>
      <c r="EI124" s="111"/>
      <c r="EJ124" s="111"/>
      <c r="EK124" s="111"/>
      <c r="EL124" s="111"/>
      <c r="EM124" s="111"/>
      <c r="EN124" s="111"/>
      <c r="EO124" s="111"/>
      <c r="EP124" s="111"/>
      <c r="EQ124" s="111"/>
      <c r="ER124" s="111"/>
      <c r="ES124" s="111"/>
      <c r="ET124" s="111"/>
      <c r="EU124" s="111"/>
      <c r="EV124" s="111"/>
      <c r="EW124" s="111"/>
      <c r="EX124" s="111"/>
      <c r="EY124" s="111"/>
      <c r="EZ124" s="111"/>
      <c r="FA124" s="111"/>
      <c r="FB124" s="111"/>
      <c r="FC124" s="111"/>
      <c r="FD124" s="111"/>
      <c r="FE124" s="111"/>
      <c r="FF124" s="111"/>
    </row>
    <row x14ac:dyDescent="0.25" r="125" customHeight="1" ht="18.75" customFormat="1" s="18">
      <c r="A125" s="2"/>
      <c r="B125" s="2"/>
      <c r="C125" s="2"/>
      <c r="D125" s="2"/>
      <c r="E125" s="2"/>
      <c r="F125" s="2"/>
      <c r="G125" s="2"/>
      <c r="H125" s="2"/>
      <c r="I125" s="2"/>
      <c r="J125" s="2"/>
      <c r="K125" s="20"/>
      <c r="L125" s="2"/>
      <c r="M125" s="2"/>
      <c r="N125" s="2"/>
      <c r="O125" s="2"/>
      <c r="P125" s="2"/>
      <c r="Q125" s="2"/>
      <c r="R125" s="2"/>
      <c r="S125" s="2"/>
      <c r="T125" s="124"/>
      <c r="U125" s="124"/>
      <c r="V125" s="124"/>
      <c r="W125" s="124"/>
      <c r="X125" s="124"/>
      <c r="Y125" s="124"/>
      <c r="Z125" s="124"/>
      <c r="AA125" s="124"/>
      <c r="AB125" s="124"/>
      <c r="AC125" s="124"/>
      <c r="AD125" s="124"/>
      <c r="AE125" s="124"/>
      <c r="AF125" s="124"/>
      <c r="AG125" s="124"/>
      <c r="AH125" s="124"/>
      <c r="AI125" s="124"/>
      <c r="AJ125" s="124"/>
      <c r="AK125" s="124"/>
      <c r="AL125" s="124"/>
      <c r="AM125" s="124"/>
      <c r="AN125" s="124"/>
      <c r="AO125" s="124"/>
      <c r="AP125" s="124"/>
      <c r="AQ125" s="124"/>
      <c r="AR125" s="20"/>
      <c r="AS125" s="2"/>
      <c r="AT125" s="20"/>
      <c r="AU125" s="20"/>
      <c r="AV125" s="2"/>
      <c r="AW125" s="2"/>
      <c r="AX125" s="2"/>
      <c r="AY125" s="2"/>
      <c r="AZ125" s="2"/>
      <c r="BA125" s="2"/>
      <c r="BB125" s="2"/>
      <c r="BC125" s="2"/>
      <c r="BD125" s="2"/>
      <c r="BE125" s="2"/>
      <c r="BF125" s="2"/>
      <c r="BG125" s="2"/>
      <c r="BH125" s="2"/>
      <c r="BI125" s="2"/>
      <c r="BJ125" s="2"/>
      <c r="BK125" s="2"/>
      <c r="BL125" s="2"/>
      <c r="BM125" s="2"/>
      <c r="BN125" s="2"/>
      <c r="BO125" s="2"/>
      <c r="BP125" s="20"/>
      <c r="BQ125" s="20"/>
      <c r="BR125" s="125"/>
      <c r="BS125" s="20"/>
      <c r="BT125" s="20"/>
      <c r="BU125" s="125"/>
      <c r="BV125" s="125"/>
      <c r="BW125" s="2"/>
      <c r="BX125" s="2"/>
      <c r="BY125" s="2"/>
      <c r="BZ125" s="2"/>
      <c r="CA125" s="2"/>
      <c r="CB125" s="2"/>
      <c r="CC125" s="2"/>
      <c r="CD125" s="2"/>
      <c r="CE125" s="2"/>
      <c r="CF125" s="2"/>
      <c r="CG125" s="2"/>
      <c r="CH125" s="2"/>
      <c r="CI125" s="2"/>
      <c r="CJ125" s="2"/>
      <c r="CK125" s="2"/>
      <c r="CL125" s="2"/>
      <c r="CM125" s="2"/>
      <c r="CN125" s="2"/>
      <c r="CO125" s="2"/>
      <c r="CP125" s="2"/>
      <c r="CQ125" s="2"/>
      <c r="CR125" s="2"/>
      <c r="CS125" s="111"/>
      <c r="CT125" s="111"/>
      <c r="CU125" s="111"/>
      <c r="CV125" s="111"/>
      <c r="CW125" s="111"/>
      <c r="CX125" s="111"/>
      <c r="CY125" s="111"/>
      <c r="CZ125" s="111"/>
      <c r="DA125" s="111"/>
      <c r="DB125" s="111"/>
      <c r="DC125" s="111"/>
      <c r="DD125" s="111"/>
      <c r="DE125" s="111"/>
      <c r="DF125" s="111"/>
      <c r="DG125" s="111"/>
      <c r="DH125" s="111"/>
      <c r="DI125" s="111"/>
      <c r="DJ125" s="111"/>
      <c r="DK125" s="111"/>
      <c r="DL125" s="111"/>
      <c r="DM125" s="111"/>
      <c r="DN125" s="111"/>
      <c r="DO125" s="111"/>
      <c r="DP125" s="111"/>
      <c r="DQ125" s="111"/>
      <c r="DR125" s="111"/>
      <c r="DS125" s="111"/>
      <c r="DT125" s="111"/>
      <c r="DU125" s="111"/>
      <c r="DV125" s="111"/>
      <c r="DW125" s="111"/>
      <c r="DX125" s="111"/>
      <c r="DY125" s="111"/>
      <c r="DZ125" s="111"/>
      <c r="EA125" s="111"/>
      <c r="EB125" s="111"/>
      <c r="EC125" s="111"/>
      <c r="ED125" s="111"/>
      <c r="EE125" s="111"/>
      <c r="EF125" s="111"/>
      <c r="EG125" s="111"/>
      <c r="EH125" s="111"/>
      <c r="EI125" s="111"/>
      <c r="EJ125" s="111"/>
      <c r="EK125" s="111"/>
      <c r="EL125" s="111"/>
      <c r="EM125" s="111"/>
      <c r="EN125" s="111"/>
      <c r="EO125" s="111"/>
      <c r="EP125" s="111"/>
      <c r="EQ125" s="111"/>
      <c r="ER125" s="111"/>
      <c r="ES125" s="111"/>
      <c r="ET125" s="111"/>
      <c r="EU125" s="111"/>
      <c r="EV125" s="111"/>
      <c r="EW125" s="111"/>
      <c r="EX125" s="111"/>
      <c r="EY125" s="111"/>
      <c r="EZ125" s="111"/>
      <c r="FA125" s="111"/>
      <c r="FB125" s="111"/>
      <c r="FC125" s="111"/>
      <c r="FD125" s="111"/>
      <c r="FE125" s="111"/>
      <c r="FF125" s="111"/>
    </row>
    <row x14ac:dyDescent="0.25" r="126" customHeight="1" ht="18.75" customFormat="1" s="18">
      <c r="A126" s="2"/>
      <c r="B126" s="2"/>
      <c r="C126" s="2"/>
      <c r="D126" s="2"/>
      <c r="E126" s="2"/>
      <c r="F126" s="2"/>
      <c r="G126" s="2"/>
      <c r="H126" s="2"/>
      <c r="I126" s="2"/>
      <c r="J126" s="2"/>
      <c r="K126" s="20"/>
      <c r="L126" s="2"/>
      <c r="M126" s="2"/>
      <c r="N126" s="2"/>
      <c r="O126" s="2"/>
      <c r="P126" s="2"/>
      <c r="Q126" s="2"/>
      <c r="R126" s="2"/>
      <c r="S126" s="2"/>
      <c r="T126" s="124"/>
      <c r="U126" s="124"/>
      <c r="V126" s="124"/>
      <c r="W126" s="124"/>
      <c r="X126" s="124"/>
      <c r="Y126" s="124"/>
      <c r="Z126" s="124"/>
      <c r="AA126" s="124"/>
      <c r="AB126" s="124"/>
      <c r="AC126" s="124"/>
      <c r="AD126" s="124"/>
      <c r="AE126" s="124"/>
      <c r="AF126" s="124"/>
      <c r="AG126" s="124"/>
      <c r="AH126" s="124"/>
      <c r="AI126" s="124"/>
      <c r="AJ126" s="124"/>
      <c r="AK126" s="124"/>
      <c r="AL126" s="124"/>
      <c r="AM126" s="124"/>
      <c r="AN126" s="124"/>
      <c r="AO126" s="124"/>
      <c r="AP126" s="124"/>
      <c r="AQ126" s="124"/>
      <c r="AR126" s="20"/>
      <c r="AS126" s="2"/>
      <c r="AT126" s="20"/>
      <c r="AU126" s="20"/>
      <c r="AV126" s="2"/>
      <c r="AW126" s="2"/>
      <c r="AX126" s="2"/>
      <c r="AY126" s="2"/>
      <c r="AZ126" s="2"/>
      <c r="BA126" s="2"/>
      <c r="BB126" s="2"/>
      <c r="BC126" s="2"/>
      <c r="BD126" s="2"/>
      <c r="BE126" s="2"/>
      <c r="BF126" s="2"/>
      <c r="BG126" s="2"/>
      <c r="BH126" s="2"/>
      <c r="BI126" s="2"/>
      <c r="BJ126" s="2"/>
      <c r="BK126" s="2"/>
      <c r="BL126" s="2"/>
      <c r="BM126" s="2"/>
      <c r="BN126" s="2"/>
      <c r="BO126" s="2"/>
      <c r="BP126" s="20"/>
      <c r="BQ126" s="20"/>
      <c r="BR126" s="125"/>
      <c r="BS126" s="20"/>
      <c r="BT126" s="20"/>
      <c r="BU126" s="125"/>
      <c r="BV126" s="125"/>
      <c r="BW126" s="2"/>
      <c r="BX126" s="2"/>
      <c r="BY126" s="2"/>
      <c r="BZ126" s="2"/>
      <c r="CA126" s="2"/>
      <c r="CB126" s="2"/>
      <c r="CC126" s="2"/>
      <c r="CD126" s="2"/>
      <c r="CE126" s="2"/>
      <c r="CF126" s="2"/>
      <c r="CG126" s="2"/>
      <c r="CH126" s="2"/>
      <c r="CI126" s="2"/>
      <c r="CJ126" s="2"/>
      <c r="CK126" s="2"/>
      <c r="CL126" s="2"/>
      <c r="CM126" s="2"/>
      <c r="CN126" s="2"/>
      <c r="CO126" s="2"/>
      <c r="CP126" s="2"/>
      <c r="CQ126" s="2"/>
      <c r="CR126" s="2"/>
      <c r="CS126" s="111"/>
      <c r="CT126" s="111"/>
      <c r="CU126" s="111"/>
      <c r="CV126" s="111"/>
      <c r="CW126" s="111"/>
      <c r="CX126" s="111"/>
      <c r="CY126" s="111"/>
      <c r="CZ126" s="111"/>
      <c r="DA126" s="111"/>
      <c r="DB126" s="111"/>
      <c r="DC126" s="111"/>
      <c r="DD126" s="111"/>
      <c r="DE126" s="111"/>
      <c r="DF126" s="111"/>
      <c r="DG126" s="111"/>
      <c r="DH126" s="111"/>
      <c r="DI126" s="111"/>
      <c r="DJ126" s="111"/>
      <c r="DK126" s="111"/>
      <c r="DL126" s="111"/>
      <c r="DM126" s="111"/>
      <c r="DN126" s="111"/>
      <c r="DO126" s="111"/>
      <c r="DP126" s="111"/>
      <c r="DQ126" s="111"/>
      <c r="DR126" s="111"/>
      <c r="DS126" s="111"/>
      <c r="DT126" s="111"/>
      <c r="DU126" s="111"/>
      <c r="DV126" s="111"/>
      <c r="DW126" s="111"/>
      <c r="DX126" s="111"/>
      <c r="DY126" s="111"/>
      <c r="DZ126" s="111"/>
      <c r="EA126" s="111"/>
      <c r="EB126" s="111"/>
      <c r="EC126" s="111"/>
      <c r="ED126" s="111"/>
      <c r="EE126" s="111"/>
      <c r="EF126" s="111"/>
      <c r="EG126" s="111"/>
      <c r="EH126" s="111"/>
      <c r="EI126" s="111"/>
      <c r="EJ126" s="111"/>
      <c r="EK126" s="111"/>
      <c r="EL126" s="111"/>
      <c r="EM126" s="111"/>
      <c r="EN126" s="111"/>
      <c r="EO126" s="111"/>
      <c r="EP126" s="111"/>
      <c r="EQ126" s="111"/>
      <c r="ER126" s="111"/>
      <c r="ES126" s="111"/>
      <c r="ET126" s="111"/>
      <c r="EU126" s="111"/>
      <c r="EV126" s="111"/>
      <c r="EW126" s="111"/>
      <c r="EX126" s="111"/>
      <c r="EY126" s="111"/>
      <c r="EZ126" s="111"/>
      <c r="FA126" s="111"/>
      <c r="FB126" s="111"/>
      <c r="FC126" s="111"/>
      <c r="FD126" s="111"/>
      <c r="FE126" s="111"/>
      <c r="FF126" s="111"/>
    </row>
    <row x14ac:dyDescent="0.25" r="127" customHeight="1" ht="18.75" customFormat="1" s="18">
      <c r="A127" s="2"/>
      <c r="B127" s="2"/>
      <c r="C127" s="2"/>
      <c r="D127" s="2"/>
      <c r="E127" s="2"/>
      <c r="F127" s="2"/>
      <c r="G127" s="2"/>
      <c r="H127" s="2"/>
      <c r="I127" s="2"/>
      <c r="J127" s="2"/>
      <c r="K127" s="20"/>
      <c r="L127" s="2"/>
      <c r="M127" s="2"/>
      <c r="N127" s="2"/>
      <c r="O127" s="2"/>
      <c r="P127" s="2"/>
      <c r="Q127" s="2"/>
      <c r="R127" s="2"/>
      <c r="S127" s="2"/>
      <c r="T127" s="124"/>
      <c r="U127" s="124"/>
      <c r="V127" s="124"/>
      <c r="W127" s="124"/>
      <c r="X127" s="124"/>
      <c r="Y127" s="124"/>
      <c r="Z127" s="124"/>
      <c r="AA127" s="124"/>
      <c r="AB127" s="124"/>
      <c r="AC127" s="124"/>
      <c r="AD127" s="124"/>
      <c r="AE127" s="124"/>
      <c r="AF127" s="124"/>
      <c r="AG127" s="124"/>
      <c r="AH127" s="124"/>
      <c r="AI127" s="124"/>
      <c r="AJ127" s="124"/>
      <c r="AK127" s="124"/>
      <c r="AL127" s="124"/>
      <c r="AM127" s="124"/>
      <c r="AN127" s="124"/>
      <c r="AO127" s="124"/>
      <c r="AP127" s="124"/>
      <c r="AQ127" s="124"/>
      <c r="AR127" s="20"/>
      <c r="AS127" s="2"/>
      <c r="AT127" s="20"/>
      <c r="AU127" s="20"/>
      <c r="AV127" s="2"/>
      <c r="AW127" s="2"/>
      <c r="AX127" s="2"/>
      <c r="AY127" s="2"/>
      <c r="AZ127" s="2"/>
      <c r="BA127" s="2"/>
      <c r="BB127" s="2"/>
      <c r="BC127" s="2"/>
      <c r="BD127" s="2"/>
      <c r="BE127" s="2"/>
      <c r="BF127" s="2"/>
      <c r="BG127" s="2"/>
      <c r="BH127" s="2"/>
      <c r="BI127" s="2"/>
      <c r="BJ127" s="2"/>
      <c r="BK127" s="2"/>
      <c r="BL127" s="2"/>
      <c r="BM127" s="2"/>
      <c r="BN127" s="2"/>
      <c r="BO127" s="2"/>
      <c r="BP127" s="20"/>
      <c r="BQ127" s="20"/>
      <c r="BR127" s="125"/>
      <c r="BS127" s="20"/>
      <c r="BT127" s="20"/>
      <c r="BU127" s="125"/>
      <c r="BV127" s="125"/>
      <c r="BW127" s="2"/>
      <c r="BX127" s="2"/>
      <c r="BY127" s="2"/>
      <c r="BZ127" s="2"/>
      <c r="CA127" s="2"/>
      <c r="CB127" s="2"/>
      <c r="CC127" s="2"/>
      <c r="CD127" s="2"/>
      <c r="CE127" s="2"/>
      <c r="CF127" s="2"/>
      <c r="CG127" s="2"/>
      <c r="CH127" s="2"/>
      <c r="CI127" s="2"/>
      <c r="CJ127" s="2"/>
      <c r="CK127" s="2"/>
      <c r="CL127" s="2"/>
      <c r="CM127" s="2"/>
      <c r="CN127" s="2"/>
      <c r="CO127" s="2"/>
      <c r="CP127" s="2"/>
      <c r="CQ127" s="2"/>
      <c r="CR127" s="2"/>
      <c r="CS127" s="111"/>
      <c r="CT127" s="111"/>
      <c r="CU127" s="111"/>
      <c r="CV127" s="111"/>
      <c r="CW127" s="111"/>
      <c r="CX127" s="111"/>
      <c r="CY127" s="111"/>
      <c r="CZ127" s="111"/>
      <c r="DA127" s="111"/>
      <c r="DB127" s="111"/>
      <c r="DC127" s="111"/>
      <c r="DD127" s="111"/>
      <c r="DE127" s="111"/>
      <c r="DF127" s="111"/>
      <c r="DG127" s="111"/>
      <c r="DH127" s="111"/>
      <c r="DI127" s="111"/>
      <c r="DJ127" s="111"/>
      <c r="DK127" s="111"/>
      <c r="DL127" s="111"/>
      <c r="DM127" s="111"/>
      <c r="DN127" s="111"/>
      <c r="DO127" s="111"/>
      <c r="DP127" s="111"/>
      <c r="DQ127" s="111"/>
      <c r="DR127" s="111"/>
      <c r="DS127" s="111"/>
      <c r="DT127" s="111"/>
      <c r="DU127" s="111"/>
      <c r="DV127" s="111"/>
      <c r="DW127" s="111"/>
      <c r="DX127" s="111"/>
      <c r="DY127" s="111"/>
      <c r="DZ127" s="111"/>
      <c r="EA127" s="111"/>
      <c r="EB127" s="111"/>
      <c r="EC127" s="111"/>
      <c r="ED127" s="111"/>
      <c r="EE127" s="111"/>
      <c r="EF127" s="111"/>
      <c r="EG127" s="111"/>
      <c r="EH127" s="111"/>
      <c r="EI127" s="111"/>
      <c r="EJ127" s="111"/>
      <c r="EK127" s="111"/>
      <c r="EL127" s="111"/>
      <c r="EM127" s="111"/>
      <c r="EN127" s="111"/>
      <c r="EO127" s="111"/>
      <c r="EP127" s="111"/>
      <c r="EQ127" s="111"/>
      <c r="ER127" s="111"/>
      <c r="ES127" s="111"/>
      <c r="ET127" s="111"/>
      <c r="EU127" s="111"/>
      <c r="EV127" s="111"/>
      <c r="EW127" s="111"/>
      <c r="EX127" s="111"/>
      <c r="EY127" s="111"/>
      <c r="EZ127" s="111"/>
      <c r="FA127" s="111"/>
      <c r="FB127" s="111"/>
      <c r="FC127" s="111"/>
      <c r="FD127" s="111"/>
      <c r="FE127" s="111"/>
      <c r="FF127" s="111"/>
    </row>
    <row x14ac:dyDescent="0.25" r="128" customHeight="1" ht="18.75" customFormat="1" s="18">
      <c r="A128" s="2"/>
      <c r="B128" s="2"/>
      <c r="C128" s="2"/>
      <c r="D128" s="2"/>
      <c r="E128" s="2"/>
      <c r="F128" s="2"/>
      <c r="G128" s="2"/>
      <c r="H128" s="2"/>
      <c r="I128" s="2"/>
      <c r="J128" s="2"/>
      <c r="K128" s="20"/>
      <c r="L128" s="2"/>
      <c r="M128" s="2"/>
      <c r="N128" s="2"/>
      <c r="O128" s="2"/>
      <c r="P128" s="2"/>
      <c r="Q128" s="2"/>
      <c r="R128" s="2"/>
      <c r="S128" s="2"/>
      <c r="T128" s="124"/>
      <c r="U128" s="124"/>
      <c r="V128" s="124"/>
      <c r="W128" s="124"/>
      <c r="X128" s="124"/>
      <c r="Y128" s="124"/>
      <c r="Z128" s="124"/>
      <c r="AA128" s="124"/>
      <c r="AB128" s="124"/>
      <c r="AC128" s="124"/>
      <c r="AD128" s="124"/>
      <c r="AE128" s="124"/>
      <c r="AF128" s="124"/>
      <c r="AG128" s="124"/>
      <c r="AH128" s="124"/>
      <c r="AI128" s="124"/>
      <c r="AJ128" s="124"/>
      <c r="AK128" s="124"/>
      <c r="AL128" s="124"/>
      <c r="AM128" s="124"/>
      <c r="AN128" s="124"/>
      <c r="AO128" s="124"/>
      <c r="AP128" s="124"/>
      <c r="AQ128" s="124"/>
      <c r="AR128" s="20"/>
      <c r="AS128" s="2"/>
      <c r="AT128" s="20"/>
      <c r="AU128" s="20"/>
      <c r="AV128" s="2"/>
      <c r="AW128" s="2"/>
      <c r="AX128" s="2"/>
      <c r="AY128" s="2"/>
      <c r="AZ128" s="2"/>
      <c r="BA128" s="2"/>
      <c r="BB128" s="2"/>
      <c r="BC128" s="2"/>
      <c r="BD128" s="2"/>
      <c r="BE128" s="2"/>
      <c r="BF128" s="2"/>
      <c r="BG128" s="2"/>
      <c r="BH128" s="2"/>
      <c r="BI128" s="2"/>
      <c r="BJ128" s="2"/>
      <c r="BK128" s="2"/>
      <c r="BL128" s="2"/>
      <c r="BM128" s="2"/>
      <c r="BN128" s="2"/>
      <c r="BO128" s="2"/>
      <c r="BP128" s="20"/>
      <c r="BQ128" s="20"/>
      <c r="BR128" s="125"/>
      <c r="BS128" s="20"/>
      <c r="BT128" s="20"/>
      <c r="BU128" s="125"/>
      <c r="BV128" s="125"/>
      <c r="BW128" s="2"/>
      <c r="BX128" s="2"/>
      <c r="BY128" s="2"/>
      <c r="BZ128" s="2"/>
      <c r="CA128" s="2"/>
      <c r="CB128" s="2"/>
      <c r="CC128" s="2"/>
      <c r="CD128" s="2"/>
      <c r="CE128" s="2"/>
      <c r="CF128" s="2"/>
      <c r="CG128" s="2"/>
      <c r="CH128" s="2"/>
      <c r="CI128" s="2"/>
      <c r="CJ128" s="2"/>
      <c r="CK128" s="2"/>
      <c r="CL128" s="2"/>
      <c r="CM128" s="2"/>
      <c r="CN128" s="2"/>
      <c r="CO128" s="2"/>
      <c r="CP128" s="2"/>
      <c r="CQ128" s="2"/>
      <c r="CR128" s="2"/>
      <c r="CS128" s="111"/>
      <c r="CT128" s="111"/>
      <c r="CU128" s="111"/>
      <c r="CV128" s="111"/>
      <c r="CW128" s="111"/>
      <c r="CX128" s="111"/>
      <c r="CY128" s="111"/>
      <c r="CZ128" s="111"/>
      <c r="DA128" s="111"/>
      <c r="DB128" s="111"/>
      <c r="DC128" s="111"/>
      <c r="DD128" s="111"/>
      <c r="DE128" s="111"/>
      <c r="DF128" s="111"/>
      <c r="DG128" s="111"/>
      <c r="DH128" s="111"/>
      <c r="DI128" s="111"/>
      <c r="DJ128" s="111"/>
      <c r="DK128" s="111"/>
      <c r="DL128" s="111"/>
      <c r="DM128" s="111"/>
      <c r="DN128" s="111"/>
      <c r="DO128" s="111"/>
      <c r="DP128" s="111"/>
      <c r="DQ128" s="111"/>
      <c r="DR128" s="111"/>
      <c r="DS128" s="111"/>
      <c r="DT128" s="111"/>
      <c r="DU128" s="111"/>
      <c r="DV128" s="111"/>
      <c r="DW128" s="111"/>
      <c r="DX128" s="111"/>
      <c r="DY128" s="111"/>
      <c r="DZ128" s="111"/>
      <c r="EA128" s="111"/>
      <c r="EB128" s="111"/>
      <c r="EC128" s="111"/>
      <c r="ED128" s="111"/>
      <c r="EE128" s="111"/>
      <c r="EF128" s="111"/>
      <c r="EG128" s="111"/>
      <c r="EH128" s="111"/>
      <c r="EI128" s="111"/>
      <c r="EJ128" s="111"/>
      <c r="EK128" s="111"/>
      <c r="EL128" s="111"/>
      <c r="EM128" s="111"/>
      <c r="EN128" s="111"/>
      <c r="EO128" s="111"/>
      <c r="EP128" s="111"/>
      <c r="EQ128" s="111"/>
      <c r="ER128" s="111"/>
      <c r="ES128" s="111"/>
      <c r="ET128" s="111"/>
      <c r="EU128" s="111"/>
      <c r="EV128" s="111"/>
      <c r="EW128" s="111"/>
      <c r="EX128" s="111"/>
      <c r="EY128" s="111"/>
      <c r="EZ128" s="111"/>
      <c r="FA128" s="111"/>
      <c r="FB128" s="111"/>
      <c r="FC128" s="111"/>
      <c r="FD128" s="111"/>
      <c r="FE128" s="111"/>
      <c r="FF128" s="111"/>
    </row>
    <row x14ac:dyDescent="0.25" r="129" customHeight="1" ht="18.75" customFormat="1" s="18">
      <c r="A129" s="2"/>
      <c r="B129" s="2"/>
      <c r="C129" s="2"/>
      <c r="D129" s="2"/>
      <c r="E129" s="2"/>
      <c r="F129" s="2"/>
      <c r="G129" s="2"/>
      <c r="H129" s="2"/>
      <c r="I129" s="2"/>
      <c r="J129" s="2"/>
      <c r="K129" s="20"/>
      <c r="L129" s="2"/>
      <c r="M129" s="2"/>
      <c r="N129" s="2"/>
      <c r="O129" s="2"/>
      <c r="P129" s="2"/>
      <c r="Q129" s="2"/>
      <c r="R129" s="2"/>
      <c r="S129" s="2"/>
      <c r="T129" s="124"/>
      <c r="U129" s="124"/>
      <c r="V129" s="124"/>
      <c r="W129" s="124"/>
      <c r="X129" s="124"/>
      <c r="Y129" s="124"/>
      <c r="Z129" s="124"/>
      <c r="AA129" s="124"/>
      <c r="AB129" s="124"/>
      <c r="AC129" s="124"/>
      <c r="AD129" s="124"/>
      <c r="AE129" s="124"/>
      <c r="AF129" s="124"/>
      <c r="AG129" s="124"/>
      <c r="AH129" s="124"/>
      <c r="AI129" s="124"/>
      <c r="AJ129" s="124"/>
      <c r="AK129" s="124"/>
      <c r="AL129" s="124"/>
      <c r="AM129" s="124"/>
      <c r="AN129" s="124"/>
      <c r="AO129" s="124"/>
      <c r="AP129" s="124"/>
      <c r="AQ129" s="124"/>
      <c r="AR129" s="20"/>
      <c r="AS129" s="2"/>
      <c r="AT129" s="20"/>
      <c r="AU129" s="20"/>
      <c r="AV129" s="2"/>
      <c r="AW129" s="2"/>
      <c r="AX129" s="2"/>
      <c r="AY129" s="2"/>
      <c r="AZ129" s="2"/>
      <c r="BA129" s="2"/>
      <c r="BB129" s="2"/>
      <c r="BC129" s="2"/>
      <c r="BD129" s="2"/>
      <c r="BE129" s="2"/>
      <c r="BF129" s="2"/>
      <c r="BG129" s="2"/>
      <c r="BH129" s="2"/>
      <c r="BI129" s="2"/>
      <c r="BJ129" s="2"/>
      <c r="BK129" s="2"/>
      <c r="BL129" s="2"/>
      <c r="BM129" s="2"/>
      <c r="BN129" s="2"/>
      <c r="BO129" s="2"/>
      <c r="BP129" s="20"/>
      <c r="BQ129" s="20"/>
      <c r="BR129" s="125"/>
      <c r="BS129" s="20"/>
      <c r="BT129" s="20"/>
      <c r="BU129" s="125"/>
      <c r="BV129" s="125"/>
      <c r="BW129" s="2"/>
      <c r="BX129" s="2"/>
      <c r="BY129" s="2"/>
      <c r="BZ129" s="2"/>
      <c r="CA129" s="2"/>
      <c r="CB129" s="2"/>
      <c r="CC129" s="2"/>
      <c r="CD129" s="2"/>
      <c r="CE129" s="2"/>
      <c r="CF129" s="2"/>
      <c r="CG129" s="2"/>
      <c r="CH129" s="2"/>
      <c r="CI129" s="2"/>
      <c r="CJ129" s="2"/>
      <c r="CK129" s="2"/>
      <c r="CL129" s="2"/>
      <c r="CM129" s="2"/>
      <c r="CN129" s="2"/>
      <c r="CO129" s="2"/>
      <c r="CP129" s="2"/>
      <c r="CQ129" s="2"/>
      <c r="CR129" s="2"/>
      <c r="CS129" s="111"/>
      <c r="CT129" s="111"/>
      <c r="CU129" s="111"/>
      <c r="CV129" s="111"/>
      <c r="CW129" s="111"/>
      <c r="CX129" s="111"/>
      <c r="CY129" s="111"/>
      <c r="CZ129" s="111"/>
      <c r="DA129" s="111"/>
      <c r="DB129" s="111"/>
      <c r="DC129" s="111"/>
      <c r="DD129" s="111"/>
      <c r="DE129" s="111"/>
      <c r="DF129" s="111"/>
      <c r="DG129" s="111"/>
      <c r="DH129" s="111"/>
      <c r="DI129" s="111"/>
      <c r="DJ129" s="111"/>
      <c r="DK129" s="111"/>
      <c r="DL129" s="111"/>
      <c r="DM129" s="111"/>
      <c r="DN129" s="111"/>
      <c r="DO129" s="111"/>
      <c r="DP129" s="111"/>
      <c r="DQ129" s="111"/>
      <c r="DR129" s="111"/>
      <c r="DS129" s="111"/>
      <c r="DT129" s="111"/>
      <c r="DU129" s="111"/>
      <c r="DV129" s="111"/>
      <c r="DW129" s="111"/>
      <c r="DX129" s="111"/>
      <c r="DY129" s="111"/>
      <c r="DZ129" s="111"/>
      <c r="EA129" s="111"/>
      <c r="EB129" s="111"/>
      <c r="EC129" s="111"/>
      <c r="ED129" s="111"/>
      <c r="EE129" s="111"/>
      <c r="EF129" s="111"/>
      <c r="EG129" s="111"/>
      <c r="EH129" s="111"/>
      <c r="EI129" s="111"/>
      <c r="EJ129" s="111"/>
      <c r="EK129" s="111"/>
      <c r="EL129" s="111"/>
      <c r="EM129" s="111"/>
      <c r="EN129" s="111"/>
      <c r="EO129" s="111"/>
      <c r="EP129" s="111"/>
      <c r="EQ129" s="111"/>
      <c r="ER129" s="111"/>
      <c r="ES129" s="111"/>
      <c r="ET129" s="111"/>
      <c r="EU129" s="111"/>
      <c r="EV129" s="111"/>
      <c r="EW129" s="111"/>
      <c r="EX129" s="111"/>
      <c r="EY129" s="111"/>
      <c r="EZ129" s="111"/>
      <c r="FA129" s="111"/>
      <c r="FB129" s="111"/>
      <c r="FC129" s="111"/>
      <c r="FD129" s="111"/>
      <c r="FE129" s="111"/>
      <c r="FF129" s="111"/>
    </row>
    <row x14ac:dyDescent="0.25" r="130" customHeight="1" ht="18.75" customFormat="1" s="18">
      <c r="A130" s="2"/>
      <c r="B130" s="2"/>
      <c r="C130" s="2"/>
      <c r="D130" s="2"/>
      <c r="E130" s="2"/>
      <c r="F130" s="2"/>
      <c r="G130" s="2"/>
      <c r="H130" s="2"/>
      <c r="I130" s="2"/>
      <c r="J130" s="2"/>
      <c r="K130" s="20"/>
      <c r="L130" s="2"/>
      <c r="M130" s="2"/>
      <c r="N130" s="2"/>
      <c r="O130" s="2"/>
      <c r="P130" s="2"/>
      <c r="Q130" s="2"/>
      <c r="R130" s="2"/>
      <c r="S130" s="2"/>
      <c r="T130" s="124"/>
      <c r="U130" s="124"/>
      <c r="V130" s="124"/>
      <c r="W130" s="124"/>
      <c r="X130" s="124"/>
      <c r="Y130" s="124"/>
      <c r="Z130" s="124"/>
      <c r="AA130" s="124"/>
      <c r="AB130" s="124"/>
      <c r="AC130" s="124"/>
      <c r="AD130" s="124"/>
      <c r="AE130" s="124"/>
      <c r="AF130" s="124"/>
      <c r="AG130" s="124"/>
      <c r="AH130" s="124"/>
      <c r="AI130" s="124"/>
      <c r="AJ130" s="124"/>
      <c r="AK130" s="124"/>
      <c r="AL130" s="124"/>
      <c r="AM130" s="124"/>
      <c r="AN130" s="124"/>
      <c r="AO130" s="124"/>
      <c r="AP130" s="124"/>
      <c r="AQ130" s="124"/>
      <c r="AR130" s="20"/>
      <c r="AS130" s="2"/>
      <c r="AT130" s="20"/>
      <c r="AU130" s="20"/>
      <c r="AV130" s="2"/>
      <c r="AW130" s="2"/>
      <c r="AX130" s="2"/>
      <c r="AY130" s="2"/>
      <c r="AZ130" s="2"/>
      <c r="BA130" s="2"/>
      <c r="BB130" s="2"/>
      <c r="BC130" s="2"/>
      <c r="BD130" s="2"/>
      <c r="BE130" s="2"/>
      <c r="BF130" s="2"/>
      <c r="BG130" s="2"/>
      <c r="BH130" s="2"/>
      <c r="BI130" s="2"/>
      <c r="BJ130" s="2"/>
      <c r="BK130" s="2"/>
      <c r="BL130" s="2"/>
      <c r="BM130" s="2"/>
      <c r="BN130" s="2"/>
      <c r="BO130" s="2"/>
      <c r="BP130" s="20"/>
      <c r="BQ130" s="20"/>
      <c r="BR130" s="125"/>
      <c r="BS130" s="20"/>
      <c r="BT130" s="20"/>
      <c r="BU130" s="125"/>
      <c r="BV130" s="125"/>
      <c r="BW130" s="2"/>
      <c r="BX130" s="2"/>
      <c r="BY130" s="2"/>
      <c r="BZ130" s="2"/>
      <c r="CA130" s="2"/>
      <c r="CB130" s="2"/>
      <c r="CC130" s="2"/>
      <c r="CD130" s="2"/>
      <c r="CE130" s="2"/>
      <c r="CF130" s="2"/>
      <c r="CG130" s="2"/>
      <c r="CH130" s="2"/>
      <c r="CI130" s="2"/>
      <c r="CJ130" s="2"/>
      <c r="CK130" s="2"/>
      <c r="CL130" s="2"/>
      <c r="CM130" s="2"/>
      <c r="CN130" s="2"/>
      <c r="CO130" s="2"/>
      <c r="CP130" s="2"/>
      <c r="CQ130" s="2"/>
      <c r="CR130" s="2"/>
      <c r="CS130" s="111"/>
      <c r="CT130" s="111"/>
      <c r="CU130" s="111"/>
      <c r="CV130" s="111"/>
      <c r="CW130" s="111"/>
      <c r="CX130" s="111"/>
      <c r="CY130" s="111"/>
      <c r="CZ130" s="111"/>
      <c r="DA130" s="111"/>
      <c r="DB130" s="111"/>
      <c r="DC130" s="111"/>
      <c r="DD130" s="111"/>
      <c r="DE130" s="111"/>
      <c r="DF130" s="111"/>
      <c r="DG130" s="111"/>
      <c r="DH130" s="111"/>
      <c r="DI130" s="111"/>
      <c r="DJ130" s="111"/>
      <c r="DK130" s="111"/>
      <c r="DL130" s="111"/>
      <c r="DM130" s="111"/>
      <c r="DN130" s="111"/>
      <c r="DO130" s="111"/>
      <c r="DP130" s="111"/>
      <c r="DQ130" s="111"/>
      <c r="DR130" s="111"/>
      <c r="DS130" s="111"/>
      <c r="DT130" s="111"/>
      <c r="DU130" s="111"/>
      <c r="DV130" s="111"/>
      <c r="DW130" s="111"/>
      <c r="DX130" s="111"/>
      <c r="DY130" s="111"/>
      <c r="DZ130" s="111"/>
      <c r="EA130" s="111"/>
      <c r="EB130" s="111"/>
      <c r="EC130" s="111"/>
      <c r="ED130" s="111"/>
      <c r="EE130" s="111"/>
      <c r="EF130" s="111"/>
      <c r="EG130" s="111"/>
      <c r="EH130" s="111"/>
      <c r="EI130" s="111"/>
      <c r="EJ130" s="111"/>
      <c r="EK130" s="111"/>
      <c r="EL130" s="111"/>
      <c r="EM130" s="111"/>
      <c r="EN130" s="111"/>
      <c r="EO130" s="111"/>
      <c r="EP130" s="111"/>
      <c r="EQ130" s="111"/>
      <c r="ER130" s="111"/>
      <c r="ES130" s="111"/>
      <c r="ET130" s="111"/>
      <c r="EU130" s="111"/>
      <c r="EV130" s="111"/>
      <c r="EW130" s="111"/>
      <c r="EX130" s="111"/>
      <c r="EY130" s="111"/>
      <c r="EZ130" s="111"/>
      <c r="FA130" s="111"/>
      <c r="FB130" s="111"/>
      <c r="FC130" s="111"/>
      <c r="FD130" s="111"/>
      <c r="FE130" s="111"/>
      <c r="FF130" s="111"/>
    </row>
    <row x14ac:dyDescent="0.25" r="131" customHeight="1" ht="18.75" customFormat="1" s="18">
      <c r="A131" s="2"/>
      <c r="B131" s="2"/>
      <c r="C131" s="2"/>
      <c r="D131" s="2"/>
      <c r="E131" s="2"/>
      <c r="F131" s="2"/>
      <c r="G131" s="2"/>
      <c r="H131" s="2"/>
      <c r="I131" s="2"/>
      <c r="J131" s="2"/>
      <c r="K131" s="20"/>
      <c r="L131" s="2"/>
      <c r="M131" s="2"/>
      <c r="N131" s="2"/>
      <c r="O131" s="2"/>
      <c r="P131" s="2"/>
      <c r="Q131" s="2"/>
      <c r="R131" s="2"/>
      <c r="S131" s="2"/>
      <c r="T131" s="124"/>
      <c r="U131" s="124"/>
      <c r="V131" s="124"/>
      <c r="W131" s="124"/>
      <c r="X131" s="124"/>
      <c r="Y131" s="124"/>
      <c r="Z131" s="124"/>
      <c r="AA131" s="124"/>
      <c r="AB131" s="124"/>
      <c r="AC131" s="124"/>
      <c r="AD131" s="124"/>
      <c r="AE131" s="124"/>
      <c r="AF131" s="124"/>
      <c r="AG131" s="124"/>
      <c r="AH131" s="124"/>
      <c r="AI131" s="124"/>
      <c r="AJ131" s="124"/>
      <c r="AK131" s="124"/>
      <c r="AL131" s="124"/>
      <c r="AM131" s="124"/>
      <c r="AN131" s="124"/>
      <c r="AO131" s="124"/>
      <c r="AP131" s="124"/>
      <c r="AQ131" s="124"/>
      <c r="AR131" s="20"/>
      <c r="AS131" s="2"/>
      <c r="AT131" s="20"/>
      <c r="AU131" s="20"/>
      <c r="AV131" s="2"/>
      <c r="AW131" s="2"/>
      <c r="AX131" s="2"/>
      <c r="AY131" s="2"/>
      <c r="AZ131" s="2"/>
      <c r="BA131" s="2"/>
      <c r="BB131" s="2"/>
      <c r="BC131" s="2"/>
      <c r="BD131" s="2"/>
      <c r="BE131" s="2"/>
      <c r="BF131" s="2"/>
      <c r="BG131" s="2"/>
      <c r="BH131" s="2"/>
      <c r="BI131" s="2"/>
      <c r="BJ131" s="2"/>
      <c r="BK131" s="2"/>
      <c r="BL131" s="2"/>
      <c r="BM131" s="2"/>
      <c r="BN131" s="2"/>
      <c r="BO131" s="2"/>
      <c r="BP131" s="20"/>
      <c r="BQ131" s="20"/>
      <c r="BR131" s="125"/>
      <c r="BS131" s="20"/>
      <c r="BT131" s="20"/>
      <c r="BU131" s="125"/>
      <c r="BV131" s="125"/>
      <c r="BW131" s="2"/>
      <c r="BX131" s="2"/>
      <c r="BY131" s="2"/>
      <c r="BZ131" s="2"/>
      <c r="CA131" s="2"/>
      <c r="CB131" s="2"/>
      <c r="CC131" s="2"/>
      <c r="CD131" s="2"/>
      <c r="CE131" s="2"/>
      <c r="CF131" s="2"/>
      <c r="CG131" s="2"/>
      <c r="CH131" s="2"/>
      <c r="CI131" s="2"/>
      <c r="CJ131" s="2"/>
      <c r="CK131" s="2"/>
      <c r="CL131" s="2"/>
      <c r="CM131" s="2"/>
      <c r="CN131" s="2"/>
      <c r="CO131" s="2"/>
      <c r="CP131" s="2"/>
      <c r="CQ131" s="2"/>
      <c r="CR131" s="2"/>
      <c r="CS131" s="111"/>
      <c r="CT131" s="111"/>
      <c r="CU131" s="111"/>
      <c r="CV131" s="111"/>
      <c r="CW131" s="111"/>
      <c r="CX131" s="111"/>
      <c r="CY131" s="111"/>
      <c r="CZ131" s="111"/>
      <c r="DA131" s="111"/>
      <c r="DB131" s="111"/>
      <c r="DC131" s="111"/>
      <c r="DD131" s="111"/>
      <c r="DE131" s="111"/>
      <c r="DF131" s="111"/>
      <c r="DG131" s="111"/>
      <c r="DH131" s="111"/>
      <c r="DI131" s="111"/>
      <c r="DJ131" s="111"/>
      <c r="DK131" s="111"/>
      <c r="DL131" s="111"/>
      <c r="DM131" s="111"/>
      <c r="DN131" s="111"/>
      <c r="DO131" s="111"/>
      <c r="DP131" s="111"/>
      <c r="DQ131" s="111"/>
      <c r="DR131" s="111"/>
      <c r="DS131" s="111"/>
      <c r="DT131" s="111"/>
      <c r="DU131" s="111"/>
      <c r="DV131" s="111"/>
      <c r="DW131" s="111"/>
      <c r="DX131" s="111"/>
      <c r="DY131" s="111"/>
      <c r="DZ131" s="111"/>
      <c r="EA131" s="111"/>
      <c r="EB131" s="111"/>
      <c r="EC131" s="111"/>
      <c r="ED131" s="111"/>
      <c r="EE131" s="111"/>
      <c r="EF131" s="111"/>
      <c r="EG131" s="111"/>
      <c r="EH131" s="111"/>
      <c r="EI131" s="111"/>
      <c r="EJ131" s="111"/>
      <c r="EK131" s="111"/>
      <c r="EL131" s="111"/>
      <c r="EM131" s="111"/>
      <c r="EN131" s="111"/>
      <c r="EO131" s="111"/>
      <c r="EP131" s="111"/>
      <c r="EQ131" s="111"/>
      <c r="ER131" s="111"/>
      <c r="ES131" s="111"/>
      <c r="ET131" s="111"/>
      <c r="EU131" s="111"/>
      <c r="EV131" s="111"/>
      <c r="EW131" s="111"/>
      <c r="EX131" s="111"/>
      <c r="EY131" s="111"/>
      <c r="EZ131" s="111"/>
      <c r="FA131" s="111"/>
      <c r="FB131" s="111"/>
      <c r="FC131" s="111"/>
      <c r="FD131" s="111"/>
      <c r="FE131" s="111"/>
      <c r="FF131" s="111"/>
    </row>
    <row x14ac:dyDescent="0.25" r="132" customHeight="1" ht="18.75" customFormat="1" s="18">
      <c r="A132" s="2"/>
      <c r="B132" s="2"/>
      <c r="C132" s="2"/>
      <c r="D132" s="2"/>
      <c r="E132" s="2"/>
      <c r="F132" s="2"/>
      <c r="G132" s="2"/>
      <c r="H132" s="2"/>
      <c r="I132" s="2"/>
      <c r="J132" s="2"/>
      <c r="K132" s="20"/>
      <c r="L132" s="2"/>
      <c r="M132" s="2"/>
      <c r="N132" s="2"/>
      <c r="O132" s="2"/>
      <c r="P132" s="2"/>
      <c r="Q132" s="2"/>
      <c r="R132" s="2"/>
      <c r="S132" s="2"/>
      <c r="T132" s="124"/>
      <c r="U132" s="124"/>
      <c r="V132" s="124"/>
      <c r="W132" s="124"/>
      <c r="X132" s="124"/>
      <c r="Y132" s="124"/>
      <c r="Z132" s="124"/>
      <c r="AA132" s="124"/>
      <c r="AB132" s="124"/>
      <c r="AC132" s="124"/>
      <c r="AD132" s="124"/>
      <c r="AE132" s="124"/>
      <c r="AF132" s="124"/>
      <c r="AG132" s="124"/>
      <c r="AH132" s="124"/>
      <c r="AI132" s="124"/>
      <c r="AJ132" s="124"/>
      <c r="AK132" s="124"/>
      <c r="AL132" s="124"/>
      <c r="AM132" s="124"/>
      <c r="AN132" s="124"/>
      <c r="AO132" s="124"/>
      <c r="AP132" s="124"/>
      <c r="AQ132" s="124"/>
      <c r="AR132" s="20"/>
      <c r="AS132" s="2"/>
      <c r="AT132" s="20"/>
      <c r="AU132" s="20"/>
      <c r="AV132" s="2"/>
      <c r="AW132" s="2"/>
      <c r="AX132" s="2"/>
      <c r="AY132" s="2"/>
      <c r="AZ132" s="2"/>
      <c r="BA132" s="2"/>
      <c r="BB132" s="2"/>
      <c r="BC132" s="2"/>
      <c r="BD132" s="2"/>
      <c r="BE132" s="2"/>
      <c r="BF132" s="2"/>
      <c r="BG132" s="2"/>
      <c r="BH132" s="2"/>
      <c r="BI132" s="2"/>
      <c r="BJ132" s="2"/>
      <c r="BK132" s="2"/>
      <c r="BL132" s="2"/>
      <c r="BM132" s="2"/>
      <c r="BN132" s="2"/>
      <c r="BO132" s="2"/>
      <c r="BP132" s="20"/>
      <c r="BQ132" s="20"/>
      <c r="BR132" s="125"/>
      <c r="BS132" s="20"/>
      <c r="BT132" s="20"/>
      <c r="BU132" s="125"/>
      <c r="BV132" s="125"/>
      <c r="BW132" s="2"/>
      <c r="BX132" s="2"/>
      <c r="BY132" s="2"/>
      <c r="BZ132" s="2"/>
      <c r="CA132" s="2"/>
      <c r="CB132" s="2"/>
      <c r="CC132" s="2"/>
      <c r="CD132" s="2"/>
      <c r="CE132" s="2"/>
      <c r="CF132" s="2"/>
      <c r="CG132" s="2"/>
      <c r="CH132" s="2"/>
      <c r="CI132" s="2"/>
      <c r="CJ132" s="2"/>
      <c r="CK132" s="2"/>
      <c r="CL132" s="2"/>
      <c r="CM132" s="2"/>
      <c r="CN132" s="2"/>
      <c r="CO132" s="2"/>
      <c r="CP132" s="2"/>
      <c r="CQ132" s="2"/>
      <c r="CR132" s="2"/>
      <c r="CS132" s="111"/>
      <c r="CT132" s="111"/>
      <c r="CU132" s="111"/>
      <c r="CV132" s="111"/>
      <c r="CW132" s="111"/>
      <c r="CX132" s="111"/>
      <c r="CY132" s="111"/>
      <c r="CZ132" s="111"/>
      <c r="DA132" s="111"/>
      <c r="DB132" s="111"/>
      <c r="DC132" s="111"/>
      <c r="DD132" s="111"/>
      <c r="DE132" s="111"/>
      <c r="DF132" s="111"/>
      <c r="DG132" s="111"/>
      <c r="DH132" s="111"/>
      <c r="DI132" s="111"/>
      <c r="DJ132" s="111"/>
      <c r="DK132" s="111"/>
      <c r="DL132" s="111"/>
      <c r="DM132" s="111"/>
      <c r="DN132" s="111"/>
      <c r="DO132" s="111"/>
      <c r="DP132" s="111"/>
      <c r="DQ132" s="111"/>
      <c r="DR132" s="111"/>
      <c r="DS132" s="111"/>
      <c r="DT132" s="111"/>
      <c r="DU132" s="111"/>
      <c r="DV132" s="111"/>
      <c r="DW132" s="111"/>
      <c r="DX132" s="111"/>
      <c r="DY132" s="111"/>
      <c r="DZ132" s="111"/>
      <c r="EA132" s="111"/>
      <c r="EB132" s="111"/>
      <c r="EC132" s="111"/>
      <c r="ED132" s="111"/>
      <c r="EE132" s="111"/>
      <c r="EF132" s="111"/>
      <c r="EG132" s="111"/>
      <c r="EH132" s="111"/>
      <c r="EI132" s="111"/>
      <c r="EJ132" s="111"/>
      <c r="EK132" s="111"/>
      <c r="EL132" s="111"/>
      <c r="EM132" s="111"/>
      <c r="EN132" s="111"/>
      <c r="EO132" s="111"/>
      <c r="EP132" s="111"/>
      <c r="EQ132" s="111"/>
      <c r="ER132" s="111"/>
      <c r="ES132" s="111"/>
      <c r="ET132" s="111"/>
      <c r="EU132" s="111"/>
      <c r="EV132" s="111"/>
      <c r="EW132" s="111"/>
      <c r="EX132" s="111"/>
      <c r="EY132" s="111"/>
      <c r="EZ132" s="111"/>
      <c r="FA132" s="111"/>
      <c r="FB132" s="111"/>
      <c r="FC132" s="111"/>
      <c r="FD132" s="111"/>
      <c r="FE132" s="111"/>
      <c r="FF132" s="111"/>
    </row>
    <row x14ac:dyDescent="0.25" r="133" customHeight="1" ht="18.75" customFormat="1" s="18">
      <c r="A133" s="2"/>
      <c r="B133" s="2"/>
      <c r="C133" s="2"/>
      <c r="D133" s="2"/>
      <c r="E133" s="2"/>
      <c r="F133" s="2"/>
      <c r="G133" s="2"/>
      <c r="H133" s="2"/>
      <c r="I133" s="2"/>
      <c r="J133" s="2"/>
      <c r="K133" s="20"/>
      <c r="L133" s="2"/>
      <c r="M133" s="2"/>
      <c r="N133" s="2"/>
      <c r="O133" s="2"/>
      <c r="P133" s="2"/>
      <c r="Q133" s="2"/>
      <c r="R133" s="2"/>
      <c r="S133" s="2"/>
      <c r="T133" s="124"/>
      <c r="U133" s="124"/>
      <c r="V133" s="124"/>
      <c r="W133" s="124"/>
      <c r="X133" s="124"/>
      <c r="Y133" s="124"/>
      <c r="Z133" s="124"/>
      <c r="AA133" s="124"/>
      <c r="AB133" s="124"/>
      <c r="AC133" s="124"/>
      <c r="AD133" s="124"/>
      <c r="AE133" s="124"/>
      <c r="AF133" s="124"/>
      <c r="AG133" s="124"/>
      <c r="AH133" s="124"/>
      <c r="AI133" s="124"/>
      <c r="AJ133" s="124"/>
      <c r="AK133" s="124"/>
      <c r="AL133" s="124"/>
      <c r="AM133" s="124"/>
      <c r="AN133" s="124"/>
      <c r="AO133" s="124"/>
      <c r="AP133" s="124"/>
      <c r="AQ133" s="124"/>
      <c r="AR133" s="20"/>
      <c r="AS133" s="2"/>
      <c r="AT133" s="20"/>
      <c r="AU133" s="20"/>
      <c r="AV133" s="2"/>
      <c r="AW133" s="2"/>
      <c r="AX133" s="2"/>
      <c r="AY133" s="2"/>
      <c r="AZ133" s="2"/>
      <c r="BA133" s="2"/>
      <c r="BB133" s="2"/>
      <c r="BC133" s="2"/>
      <c r="BD133" s="2"/>
      <c r="BE133" s="2"/>
      <c r="BF133" s="2"/>
      <c r="BG133" s="2"/>
      <c r="BH133" s="2"/>
      <c r="BI133" s="2"/>
      <c r="BJ133" s="2"/>
      <c r="BK133" s="2"/>
      <c r="BL133" s="2"/>
      <c r="BM133" s="2"/>
      <c r="BN133" s="2"/>
      <c r="BO133" s="2"/>
      <c r="BP133" s="20"/>
      <c r="BQ133" s="20"/>
      <c r="BR133" s="125"/>
      <c r="BS133" s="20"/>
      <c r="BT133" s="20"/>
      <c r="BU133" s="125"/>
      <c r="BV133" s="125"/>
      <c r="BW133" s="2"/>
      <c r="BX133" s="2"/>
      <c r="BY133" s="2"/>
      <c r="BZ133" s="2"/>
      <c r="CA133" s="2"/>
      <c r="CB133" s="2"/>
      <c r="CC133" s="2"/>
      <c r="CD133" s="2"/>
      <c r="CE133" s="2"/>
      <c r="CF133" s="2"/>
      <c r="CG133" s="2"/>
      <c r="CH133" s="2"/>
      <c r="CI133" s="2"/>
      <c r="CJ133" s="2"/>
      <c r="CK133" s="2"/>
      <c r="CL133" s="2"/>
      <c r="CM133" s="2"/>
      <c r="CN133" s="2"/>
      <c r="CO133" s="2"/>
      <c r="CP133" s="2"/>
      <c r="CQ133" s="2"/>
      <c r="CR133" s="2"/>
      <c r="CS133" s="111"/>
      <c r="CT133" s="111"/>
      <c r="CU133" s="111"/>
      <c r="CV133" s="111"/>
      <c r="CW133" s="111"/>
      <c r="CX133" s="111"/>
      <c r="CY133" s="111"/>
      <c r="CZ133" s="111"/>
      <c r="DA133" s="111"/>
      <c r="DB133" s="111"/>
      <c r="DC133" s="111"/>
      <c r="DD133" s="111"/>
      <c r="DE133" s="111"/>
      <c r="DF133" s="111"/>
      <c r="DG133" s="111"/>
      <c r="DH133" s="111"/>
      <c r="DI133" s="111"/>
      <c r="DJ133" s="111"/>
      <c r="DK133" s="111"/>
      <c r="DL133" s="111"/>
      <c r="DM133" s="111"/>
      <c r="DN133" s="111"/>
      <c r="DO133" s="111"/>
      <c r="DP133" s="111"/>
      <c r="DQ133" s="111"/>
      <c r="DR133" s="111"/>
      <c r="DS133" s="111"/>
      <c r="DT133" s="111"/>
      <c r="DU133" s="111"/>
      <c r="DV133" s="111"/>
      <c r="DW133" s="111"/>
      <c r="DX133" s="111"/>
      <c r="DY133" s="111"/>
      <c r="DZ133" s="111"/>
      <c r="EA133" s="111"/>
      <c r="EB133" s="111"/>
      <c r="EC133" s="111"/>
      <c r="ED133" s="111"/>
      <c r="EE133" s="111"/>
      <c r="EF133" s="111"/>
      <c r="EG133" s="111"/>
      <c r="EH133" s="111"/>
      <c r="EI133" s="111"/>
      <c r="EJ133" s="111"/>
      <c r="EK133" s="111"/>
      <c r="EL133" s="111"/>
      <c r="EM133" s="111"/>
      <c r="EN133" s="111"/>
      <c r="EO133" s="111"/>
      <c r="EP133" s="111"/>
      <c r="EQ133" s="111"/>
      <c r="ER133" s="111"/>
      <c r="ES133" s="111"/>
      <c r="ET133" s="111"/>
      <c r="EU133" s="111"/>
      <c r="EV133" s="111"/>
      <c r="EW133" s="111"/>
      <c r="EX133" s="111"/>
      <c r="EY133" s="111"/>
      <c r="EZ133" s="111"/>
      <c r="FA133" s="111"/>
      <c r="FB133" s="111"/>
      <c r="FC133" s="111"/>
      <c r="FD133" s="111"/>
      <c r="FE133" s="111"/>
      <c r="FF133" s="111"/>
    </row>
    <row x14ac:dyDescent="0.25" r="134" customHeight="1" ht="18.75" customFormat="1" s="18">
      <c r="A134" s="2"/>
      <c r="B134" s="2"/>
      <c r="C134" s="2"/>
      <c r="D134" s="2"/>
      <c r="E134" s="2"/>
      <c r="F134" s="2"/>
      <c r="G134" s="2"/>
      <c r="H134" s="2"/>
      <c r="I134" s="2"/>
      <c r="J134" s="2"/>
      <c r="K134" s="20"/>
      <c r="L134" s="2"/>
      <c r="M134" s="2"/>
      <c r="N134" s="2"/>
      <c r="O134" s="2"/>
      <c r="P134" s="2"/>
      <c r="Q134" s="2"/>
      <c r="R134" s="2"/>
      <c r="S134" s="2"/>
      <c r="T134" s="124"/>
      <c r="U134" s="124"/>
      <c r="V134" s="124"/>
      <c r="W134" s="124"/>
      <c r="X134" s="124"/>
      <c r="Y134" s="124"/>
      <c r="Z134" s="124"/>
      <c r="AA134" s="124"/>
      <c r="AB134" s="124"/>
      <c r="AC134" s="124"/>
      <c r="AD134" s="124"/>
      <c r="AE134" s="124"/>
      <c r="AF134" s="124"/>
      <c r="AG134" s="124"/>
      <c r="AH134" s="124"/>
      <c r="AI134" s="124"/>
      <c r="AJ134" s="124"/>
      <c r="AK134" s="124"/>
      <c r="AL134" s="124"/>
      <c r="AM134" s="124"/>
      <c r="AN134" s="124"/>
      <c r="AO134" s="124"/>
      <c r="AP134" s="124"/>
      <c r="AQ134" s="124"/>
      <c r="AR134" s="20"/>
      <c r="AS134" s="2"/>
      <c r="AT134" s="20"/>
      <c r="AU134" s="20"/>
      <c r="AV134" s="2"/>
      <c r="AW134" s="2"/>
      <c r="AX134" s="2"/>
      <c r="AY134" s="2"/>
      <c r="AZ134" s="2"/>
      <c r="BA134" s="2"/>
      <c r="BB134" s="2"/>
      <c r="BC134" s="2"/>
      <c r="BD134" s="2"/>
      <c r="BE134" s="2"/>
      <c r="BF134" s="2"/>
      <c r="BG134" s="2"/>
      <c r="BH134" s="2"/>
      <c r="BI134" s="2"/>
      <c r="BJ134" s="2"/>
      <c r="BK134" s="2"/>
      <c r="BL134" s="2"/>
      <c r="BM134" s="2"/>
      <c r="BN134" s="2"/>
      <c r="BO134" s="2"/>
      <c r="BP134" s="20"/>
      <c r="BQ134" s="20"/>
      <c r="BR134" s="125"/>
      <c r="BS134" s="20"/>
      <c r="BT134" s="20"/>
      <c r="BU134" s="125"/>
      <c r="BV134" s="125"/>
      <c r="BW134" s="2"/>
      <c r="BX134" s="2"/>
      <c r="BY134" s="2"/>
      <c r="BZ134" s="2"/>
      <c r="CA134" s="2"/>
      <c r="CB134" s="2"/>
      <c r="CC134" s="2"/>
      <c r="CD134" s="2"/>
      <c r="CE134" s="2"/>
      <c r="CF134" s="2"/>
      <c r="CG134" s="2"/>
      <c r="CH134" s="2"/>
      <c r="CI134" s="2"/>
      <c r="CJ134" s="2"/>
      <c r="CK134" s="2"/>
      <c r="CL134" s="2"/>
      <c r="CM134" s="2"/>
      <c r="CN134" s="2"/>
      <c r="CO134" s="2"/>
      <c r="CP134" s="2"/>
      <c r="CQ134" s="2"/>
      <c r="CR134" s="2"/>
      <c r="CS134" s="111"/>
      <c r="CT134" s="111"/>
      <c r="CU134" s="111"/>
      <c r="CV134" s="111"/>
      <c r="CW134" s="111"/>
      <c r="CX134" s="111"/>
      <c r="CY134" s="111"/>
      <c r="CZ134" s="111"/>
      <c r="DA134" s="111"/>
      <c r="DB134" s="111"/>
      <c r="DC134" s="111"/>
      <c r="DD134" s="111"/>
      <c r="DE134" s="111"/>
      <c r="DF134" s="111"/>
      <c r="DG134" s="111"/>
      <c r="DH134" s="111"/>
      <c r="DI134" s="111"/>
      <c r="DJ134" s="111"/>
      <c r="DK134" s="111"/>
      <c r="DL134" s="111"/>
      <c r="DM134" s="111"/>
      <c r="DN134" s="111"/>
      <c r="DO134" s="111"/>
      <c r="DP134" s="111"/>
      <c r="DQ134" s="111"/>
      <c r="DR134" s="111"/>
      <c r="DS134" s="111"/>
      <c r="DT134" s="111"/>
      <c r="DU134" s="111"/>
      <c r="DV134" s="111"/>
      <c r="DW134" s="111"/>
      <c r="DX134" s="111"/>
      <c r="DY134" s="111"/>
      <c r="DZ134" s="111"/>
      <c r="EA134" s="111"/>
      <c r="EB134" s="111"/>
      <c r="EC134" s="111"/>
      <c r="ED134" s="111"/>
      <c r="EE134" s="111"/>
      <c r="EF134" s="111"/>
      <c r="EG134" s="111"/>
      <c r="EH134" s="111"/>
      <c r="EI134" s="111"/>
      <c r="EJ134" s="111"/>
      <c r="EK134" s="111"/>
      <c r="EL134" s="111"/>
      <c r="EM134" s="111"/>
      <c r="EN134" s="111"/>
      <c r="EO134" s="111"/>
      <c r="EP134" s="111"/>
      <c r="EQ134" s="111"/>
      <c r="ER134" s="111"/>
      <c r="ES134" s="111"/>
      <c r="ET134" s="111"/>
      <c r="EU134" s="111"/>
      <c r="EV134" s="111"/>
      <c r="EW134" s="111"/>
      <c r="EX134" s="111"/>
      <c r="EY134" s="111"/>
      <c r="EZ134" s="111"/>
      <c r="FA134" s="111"/>
      <c r="FB134" s="111"/>
      <c r="FC134" s="111"/>
      <c r="FD134" s="111"/>
      <c r="FE134" s="111"/>
      <c r="FF134" s="111"/>
    </row>
    <row x14ac:dyDescent="0.25" r="135" customHeight="1" ht="18.75" customFormat="1" s="18">
      <c r="A135" s="2"/>
      <c r="B135" s="2"/>
      <c r="C135" s="2"/>
      <c r="D135" s="2"/>
      <c r="E135" s="2"/>
      <c r="F135" s="2"/>
      <c r="G135" s="2"/>
      <c r="H135" s="2"/>
      <c r="I135" s="2"/>
      <c r="J135" s="2"/>
      <c r="K135" s="20"/>
      <c r="L135" s="2"/>
      <c r="M135" s="2"/>
      <c r="N135" s="2"/>
      <c r="O135" s="2"/>
      <c r="P135" s="2"/>
      <c r="Q135" s="2"/>
      <c r="R135" s="2"/>
      <c r="S135" s="2"/>
      <c r="T135" s="124"/>
      <c r="U135" s="124"/>
      <c r="V135" s="124"/>
      <c r="W135" s="124"/>
      <c r="X135" s="124"/>
      <c r="Y135" s="124"/>
      <c r="Z135" s="124"/>
      <c r="AA135" s="124"/>
      <c r="AB135" s="124"/>
      <c r="AC135" s="124"/>
      <c r="AD135" s="124"/>
      <c r="AE135" s="124"/>
      <c r="AF135" s="124"/>
      <c r="AG135" s="124"/>
      <c r="AH135" s="124"/>
      <c r="AI135" s="124"/>
      <c r="AJ135" s="124"/>
      <c r="AK135" s="124"/>
      <c r="AL135" s="124"/>
      <c r="AM135" s="124"/>
      <c r="AN135" s="124"/>
      <c r="AO135" s="124"/>
      <c r="AP135" s="124"/>
      <c r="AQ135" s="124"/>
      <c r="AR135" s="20"/>
      <c r="AS135" s="2"/>
      <c r="AT135" s="20"/>
      <c r="AU135" s="20"/>
      <c r="AV135" s="2"/>
      <c r="AW135" s="2"/>
      <c r="AX135" s="2"/>
      <c r="AY135" s="2"/>
      <c r="AZ135" s="2"/>
      <c r="BA135" s="2"/>
      <c r="BB135" s="2"/>
      <c r="BC135" s="2"/>
      <c r="BD135" s="2"/>
      <c r="BE135" s="2"/>
      <c r="BF135" s="2"/>
      <c r="BG135" s="2"/>
      <c r="BH135" s="2"/>
      <c r="BI135" s="2"/>
      <c r="BJ135" s="2"/>
      <c r="BK135" s="2"/>
      <c r="BL135" s="2"/>
      <c r="BM135" s="2"/>
      <c r="BN135" s="2"/>
      <c r="BO135" s="2"/>
      <c r="BP135" s="20"/>
      <c r="BQ135" s="20"/>
      <c r="BR135" s="125"/>
      <c r="BS135" s="20"/>
      <c r="BT135" s="20"/>
      <c r="BU135" s="125"/>
      <c r="BV135" s="125"/>
      <c r="BW135" s="2"/>
      <c r="BX135" s="2"/>
      <c r="BY135" s="2"/>
      <c r="BZ135" s="2"/>
      <c r="CA135" s="2"/>
      <c r="CB135" s="2"/>
      <c r="CC135" s="2"/>
      <c r="CD135" s="2"/>
      <c r="CE135" s="2"/>
      <c r="CF135" s="2"/>
      <c r="CG135" s="2"/>
      <c r="CH135" s="2"/>
      <c r="CI135" s="2"/>
      <c r="CJ135" s="2"/>
      <c r="CK135" s="2"/>
      <c r="CL135" s="2"/>
      <c r="CM135" s="2"/>
      <c r="CN135" s="2"/>
      <c r="CO135" s="2"/>
      <c r="CP135" s="2"/>
      <c r="CQ135" s="2"/>
      <c r="CR135" s="2"/>
      <c r="CS135" s="111"/>
      <c r="CT135" s="111"/>
      <c r="CU135" s="111"/>
      <c r="CV135" s="111"/>
      <c r="CW135" s="111"/>
      <c r="CX135" s="111"/>
      <c r="CY135" s="111"/>
      <c r="CZ135" s="111"/>
      <c r="DA135" s="111"/>
      <c r="DB135" s="111"/>
      <c r="DC135" s="111"/>
      <c r="DD135" s="111"/>
      <c r="DE135" s="111"/>
      <c r="DF135" s="111"/>
      <c r="DG135" s="111"/>
      <c r="DH135" s="111"/>
      <c r="DI135" s="111"/>
      <c r="DJ135" s="111"/>
      <c r="DK135" s="111"/>
      <c r="DL135" s="111"/>
      <c r="DM135" s="111"/>
      <c r="DN135" s="111"/>
      <c r="DO135" s="111"/>
      <c r="DP135" s="111"/>
      <c r="DQ135" s="111"/>
      <c r="DR135" s="111"/>
      <c r="DS135" s="111"/>
      <c r="DT135" s="111"/>
      <c r="DU135" s="111"/>
      <c r="DV135" s="111"/>
      <c r="DW135" s="111"/>
      <c r="DX135" s="111"/>
      <c r="DY135" s="111"/>
      <c r="DZ135" s="111"/>
      <c r="EA135" s="111"/>
      <c r="EB135" s="111"/>
      <c r="EC135" s="111"/>
      <c r="ED135" s="111"/>
      <c r="EE135" s="111"/>
      <c r="EF135" s="111"/>
      <c r="EG135" s="111"/>
      <c r="EH135" s="111"/>
      <c r="EI135" s="111"/>
      <c r="EJ135" s="111"/>
      <c r="EK135" s="111"/>
      <c r="EL135" s="111"/>
      <c r="EM135" s="111"/>
      <c r="EN135" s="111"/>
      <c r="EO135" s="111"/>
      <c r="EP135" s="111"/>
      <c r="EQ135" s="111"/>
      <c r="ER135" s="111"/>
      <c r="ES135" s="111"/>
      <c r="ET135" s="111"/>
      <c r="EU135" s="111"/>
      <c r="EV135" s="111"/>
      <c r="EW135" s="111"/>
      <c r="EX135" s="111"/>
      <c r="EY135" s="111"/>
      <c r="EZ135" s="111"/>
      <c r="FA135" s="111"/>
      <c r="FB135" s="111"/>
      <c r="FC135" s="111"/>
      <c r="FD135" s="111"/>
      <c r="FE135" s="111"/>
      <c r="FF135" s="111"/>
    </row>
    <row x14ac:dyDescent="0.25" r="136" customHeight="1" ht="18.75" customFormat="1" s="18">
      <c r="A136" s="2"/>
      <c r="B136" s="2"/>
      <c r="C136" s="2"/>
      <c r="D136" s="2"/>
      <c r="E136" s="2"/>
      <c r="F136" s="2"/>
      <c r="G136" s="2"/>
      <c r="H136" s="2"/>
      <c r="I136" s="2"/>
      <c r="J136" s="2"/>
      <c r="K136" s="20"/>
      <c r="L136" s="2"/>
      <c r="M136" s="2"/>
      <c r="N136" s="2"/>
      <c r="O136" s="2"/>
      <c r="P136" s="2"/>
      <c r="Q136" s="2"/>
      <c r="R136" s="2"/>
      <c r="S136" s="2"/>
      <c r="T136" s="124"/>
      <c r="U136" s="124"/>
      <c r="V136" s="124"/>
      <c r="W136" s="124"/>
      <c r="X136" s="124"/>
      <c r="Y136" s="124"/>
      <c r="Z136" s="124"/>
      <c r="AA136" s="124"/>
      <c r="AB136" s="124"/>
      <c r="AC136" s="124"/>
      <c r="AD136" s="124"/>
      <c r="AE136" s="124"/>
      <c r="AF136" s="124"/>
      <c r="AG136" s="124"/>
      <c r="AH136" s="124"/>
      <c r="AI136" s="124"/>
      <c r="AJ136" s="124"/>
      <c r="AK136" s="124"/>
      <c r="AL136" s="124"/>
      <c r="AM136" s="124"/>
      <c r="AN136" s="124"/>
      <c r="AO136" s="124"/>
      <c r="AP136" s="124"/>
      <c r="AQ136" s="124"/>
      <c r="AR136" s="20"/>
      <c r="AS136" s="2"/>
      <c r="AT136" s="20"/>
      <c r="AU136" s="20"/>
      <c r="AV136" s="2"/>
      <c r="AW136" s="2"/>
      <c r="AX136" s="2"/>
      <c r="AY136" s="2"/>
      <c r="AZ136" s="2"/>
      <c r="BA136" s="2"/>
      <c r="BB136" s="2"/>
      <c r="BC136" s="2"/>
      <c r="BD136" s="2"/>
      <c r="BE136" s="2"/>
      <c r="BF136" s="2"/>
      <c r="BG136" s="2"/>
      <c r="BH136" s="2"/>
      <c r="BI136" s="2"/>
      <c r="BJ136" s="2"/>
      <c r="BK136" s="2"/>
      <c r="BL136" s="2"/>
      <c r="BM136" s="2"/>
      <c r="BN136" s="2"/>
      <c r="BO136" s="2"/>
      <c r="BP136" s="20"/>
      <c r="BQ136" s="20"/>
      <c r="BR136" s="125"/>
      <c r="BS136" s="20"/>
      <c r="BT136" s="20"/>
      <c r="BU136" s="125"/>
      <c r="BV136" s="125"/>
      <c r="BW136" s="2"/>
      <c r="BX136" s="2"/>
      <c r="BY136" s="2"/>
      <c r="BZ136" s="2"/>
      <c r="CA136" s="2"/>
      <c r="CB136" s="2"/>
      <c r="CC136" s="2"/>
      <c r="CD136" s="2"/>
      <c r="CE136" s="2"/>
      <c r="CF136" s="2"/>
      <c r="CG136" s="2"/>
      <c r="CH136" s="2"/>
      <c r="CI136" s="2"/>
      <c r="CJ136" s="2"/>
      <c r="CK136" s="2"/>
      <c r="CL136" s="2"/>
      <c r="CM136" s="2"/>
      <c r="CN136" s="2"/>
      <c r="CO136" s="2"/>
      <c r="CP136" s="2"/>
      <c r="CQ136" s="2"/>
      <c r="CR136" s="2"/>
      <c r="CS136" s="111"/>
      <c r="CT136" s="111"/>
      <c r="CU136" s="111"/>
      <c r="CV136" s="111"/>
      <c r="CW136" s="111"/>
      <c r="CX136" s="111"/>
      <c r="CY136" s="111"/>
      <c r="CZ136" s="111"/>
      <c r="DA136" s="111"/>
      <c r="DB136" s="111"/>
      <c r="DC136" s="111"/>
      <c r="DD136" s="111"/>
      <c r="DE136" s="111"/>
      <c r="DF136" s="111"/>
      <c r="DG136" s="111"/>
      <c r="DH136" s="111"/>
      <c r="DI136" s="111"/>
      <c r="DJ136" s="111"/>
      <c r="DK136" s="111"/>
      <c r="DL136" s="111"/>
      <c r="DM136" s="111"/>
      <c r="DN136" s="111"/>
      <c r="DO136" s="111"/>
      <c r="DP136" s="111"/>
      <c r="DQ136" s="111"/>
      <c r="DR136" s="111"/>
      <c r="DS136" s="111"/>
      <c r="DT136" s="111"/>
      <c r="DU136" s="111"/>
      <c r="DV136" s="111"/>
      <c r="DW136" s="111"/>
      <c r="DX136" s="111"/>
      <c r="DY136" s="111"/>
      <c r="DZ136" s="111"/>
      <c r="EA136" s="111"/>
      <c r="EB136" s="111"/>
      <c r="EC136" s="111"/>
      <c r="ED136" s="111"/>
      <c r="EE136" s="111"/>
      <c r="EF136" s="111"/>
      <c r="EG136" s="111"/>
      <c r="EH136" s="111"/>
      <c r="EI136" s="111"/>
      <c r="EJ136" s="111"/>
      <c r="EK136" s="111"/>
      <c r="EL136" s="111"/>
      <c r="EM136" s="111"/>
      <c r="EN136" s="111"/>
      <c r="EO136" s="111"/>
      <c r="EP136" s="111"/>
      <c r="EQ136" s="111"/>
      <c r="ER136" s="111"/>
      <c r="ES136" s="111"/>
      <c r="ET136" s="111"/>
      <c r="EU136" s="111"/>
      <c r="EV136" s="111"/>
      <c r="EW136" s="111"/>
      <c r="EX136" s="111"/>
      <c r="EY136" s="111"/>
      <c r="EZ136" s="111"/>
      <c r="FA136" s="111"/>
      <c r="FB136" s="111"/>
      <c r="FC136" s="111"/>
      <c r="FD136" s="111"/>
      <c r="FE136" s="111"/>
      <c r="FF136" s="111"/>
    </row>
    <row x14ac:dyDescent="0.25" r="137" customHeight="1" ht="18.75" customFormat="1" s="18">
      <c r="A137" s="2"/>
      <c r="B137" s="2"/>
      <c r="C137" s="2"/>
      <c r="D137" s="2"/>
      <c r="E137" s="2"/>
      <c r="F137" s="2"/>
      <c r="G137" s="2"/>
      <c r="H137" s="2"/>
      <c r="I137" s="2"/>
      <c r="J137" s="2"/>
      <c r="K137" s="20"/>
      <c r="L137" s="2"/>
      <c r="M137" s="2"/>
      <c r="N137" s="2"/>
      <c r="O137" s="2"/>
      <c r="P137" s="2"/>
      <c r="Q137" s="2"/>
      <c r="R137" s="2"/>
      <c r="S137" s="2"/>
      <c r="T137" s="124"/>
      <c r="U137" s="124"/>
      <c r="V137" s="124"/>
      <c r="W137" s="124"/>
      <c r="X137" s="124"/>
      <c r="Y137" s="124"/>
      <c r="Z137" s="124"/>
      <c r="AA137" s="124"/>
      <c r="AB137" s="124"/>
      <c r="AC137" s="124"/>
      <c r="AD137" s="124"/>
      <c r="AE137" s="124"/>
      <c r="AF137" s="124"/>
      <c r="AG137" s="124"/>
      <c r="AH137" s="124"/>
      <c r="AI137" s="124"/>
      <c r="AJ137" s="124"/>
      <c r="AK137" s="124"/>
      <c r="AL137" s="124"/>
      <c r="AM137" s="124"/>
      <c r="AN137" s="124"/>
      <c r="AO137" s="124"/>
      <c r="AP137" s="124"/>
      <c r="AQ137" s="124"/>
      <c r="AR137" s="20"/>
      <c r="AS137" s="2"/>
      <c r="AT137" s="20"/>
      <c r="AU137" s="20"/>
      <c r="AV137" s="2"/>
      <c r="AW137" s="2"/>
      <c r="AX137" s="2"/>
      <c r="AY137" s="2"/>
      <c r="AZ137" s="2"/>
      <c r="BA137" s="2"/>
      <c r="BB137" s="2"/>
      <c r="BC137" s="2"/>
      <c r="BD137" s="2"/>
      <c r="BE137" s="2"/>
      <c r="BF137" s="2"/>
      <c r="BG137" s="2"/>
      <c r="BH137" s="2"/>
      <c r="BI137" s="2"/>
      <c r="BJ137" s="2"/>
      <c r="BK137" s="2"/>
      <c r="BL137" s="2"/>
      <c r="BM137" s="2"/>
      <c r="BN137" s="2"/>
      <c r="BO137" s="2"/>
      <c r="BP137" s="20"/>
      <c r="BQ137" s="20"/>
      <c r="BR137" s="125"/>
      <c r="BS137" s="20"/>
      <c r="BT137" s="20"/>
      <c r="BU137" s="125"/>
      <c r="BV137" s="125"/>
      <c r="BW137" s="2"/>
      <c r="BX137" s="2"/>
      <c r="BY137" s="2"/>
      <c r="BZ137" s="2"/>
      <c r="CA137" s="2"/>
      <c r="CB137" s="2"/>
      <c r="CC137" s="2"/>
      <c r="CD137" s="2"/>
      <c r="CE137" s="2"/>
      <c r="CF137" s="2"/>
      <c r="CG137" s="2"/>
      <c r="CH137" s="2"/>
      <c r="CI137" s="2"/>
      <c r="CJ137" s="2"/>
      <c r="CK137" s="2"/>
      <c r="CL137" s="2"/>
      <c r="CM137" s="2"/>
      <c r="CN137" s="2"/>
      <c r="CO137" s="2"/>
      <c r="CP137" s="2"/>
      <c r="CQ137" s="2"/>
      <c r="CR137" s="2"/>
      <c r="CS137" s="111"/>
      <c r="CT137" s="111"/>
      <c r="CU137" s="111"/>
      <c r="CV137" s="111"/>
      <c r="CW137" s="111"/>
      <c r="CX137" s="111"/>
      <c r="CY137" s="111"/>
      <c r="CZ137" s="111"/>
      <c r="DA137" s="111"/>
      <c r="DB137" s="111"/>
      <c r="DC137" s="111"/>
      <c r="DD137" s="111"/>
      <c r="DE137" s="111"/>
      <c r="DF137" s="111"/>
      <c r="DG137" s="111"/>
      <c r="DH137" s="111"/>
      <c r="DI137" s="111"/>
      <c r="DJ137" s="111"/>
      <c r="DK137" s="111"/>
      <c r="DL137" s="111"/>
      <c r="DM137" s="111"/>
      <c r="DN137" s="111"/>
      <c r="DO137" s="111"/>
      <c r="DP137" s="111"/>
      <c r="DQ137" s="111"/>
      <c r="DR137" s="111"/>
      <c r="DS137" s="111"/>
      <c r="DT137" s="111"/>
      <c r="DU137" s="111"/>
      <c r="DV137" s="111"/>
      <c r="DW137" s="111"/>
      <c r="DX137" s="111"/>
      <c r="DY137" s="111"/>
      <c r="DZ137" s="111"/>
      <c r="EA137" s="111"/>
      <c r="EB137" s="111"/>
      <c r="EC137" s="111"/>
      <c r="ED137" s="111"/>
      <c r="EE137" s="111"/>
      <c r="EF137" s="111"/>
      <c r="EG137" s="111"/>
      <c r="EH137" s="111"/>
      <c r="EI137" s="111"/>
      <c r="EJ137" s="111"/>
      <c r="EK137" s="111"/>
      <c r="EL137" s="111"/>
      <c r="EM137" s="111"/>
      <c r="EN137" s="111"/>
      <c r="EO137" s="111"/>
      <c r="EP137" s="111"/>
      <c r="EQ137" s="111"/>
      <c r="ER137" s="111"/>
      <c r="ES137" s="111"/>
      <c r="ET137" s="111"/>
      <c r="EU137" s="111"/>
      <c r="EV137" s="111"/>
      <c r="EW137" s="111"/>
      <c r="EX137" s="111"/>
      <c r="EY137" s="111"/>
      <c r="EZ137" s="111"/>
      <c r="FA137" s="111"/>
      <c r="FB137" s="111"/>
      <c r="FC137" s="111"/>
      <c r="FD137" s="111"/>
      <c r="FE137" s="111"/>
      <c r="FF137" s="111"/>
    </row>
    <row x14ac:dyDescent="0.25" r="138" customHeight="1" ht="18.75" customFormat="1" s="18">
      <c r="A138" s="2"/>
      <c r="B138" s="2"/>
      <c r="C138" s="2"/>
      <c r="D138" s="2"/>
      <c r="E138" s="2"/>
      <c r="F138" s="2"/>
      <c r="G138" s="2"/>
      <c r="H138" s="2"/>
      <c r="I138" s="2"/>
      <c r="J138" s="2"/>
      <c r="K138" s="20"/>
      <c r="L138" s="2"/>
      <c r="M138" s="2"/>
      <c r="N138" s="2"/>
      <c r="O138" s="2"/>
      <c r="P138" s="2"/>
      <c r="Q138" s="2"/>
      <c r="R138" s="2"/>
      <c r="S138" s="2"/>
      <c r="T138" s="124"/>
      <c r="U138" s="124"/>
      <c r="V138" s="124"/>
      <c r="W138" s="124"/>
      <c r="X138" s="124"/>
      <c r="Y138" s="124"/>
      <c r="Z138" s="124"/>
      <c r="AA138" s="124"/>
      <c r="AB138" s="124"/>
      <c r="AC138" s="124"/>
      <c r="AD138" s="124"/>
      <c r="AE138" s="124"/>
      <c r="AF138" s="124"/>
      <c r="AG138" s="124"/>
      <c r="AH138" s="124"/>
      <c r="AI138" s="124"/>
      <c r="AJ138" s="124"/>
      <c r="AK138" s="124"/>
      <c r="AL138" s="124"/>
      <c r="AM138" s="124"/>
      <c r="AN138" s="124"/>
      <c r="AO138" s="124"/>
      <c r="AP138" s="124"/>
      <c r="AQ138" s="124"/>
      <c r="AR138" s="20"/>
      <c r="AS138" s="2"/>
      <c r="AT138" s="20"/>
      <c r="AU138" s="20"/>
      <c r="AV138" s="2"/>
      <c r="AW138" s="2"/>
      <c r="AX138" s="2"/>
      <c r="AY138" s="2"/>
      <c r="AZ138" s="2"/>
      <c r="BA138" s="2"/>
      <c r="BB138" s="2"/>
      <c r="BC138" s="2"/>
      <c r="BD138" s="2"/>
      <c r="BE138" s="2"/>
      <c r="BF138" s="2"/>
      <c r="BG138" s="2"/>
      <c r="BH138" s="2"/>
      <c r="BI138" s="2"/>
      <c r="BJ138" s="2"/>
      <c r="BK138" s="2"/>
      <c r="BL138" s="2"/>
      <c r="BM138" s="2"/>
      <c r="BN138" s="2"/>
      <c r="BO138" s="2"/>
      <c r="BP138" s="20"/>
      <c r="BQ138" s="20"/>
      <c r="BR138" s="125"/>
      <c r="BS138" s="20"/>
      <c r="BT138" s="20"/>
      <c r="BU138" s="125"/>
      <c r="BV138" s="125"/>
      <c r="BW138" s="2"/>
      <c r="BX138" s="2"/>
      <c r="BY138" s="2"/>
      <c r="BZ138" s="2"/>
      <c r="CA138" s="2"/>
      <c r="CB138" s="2"/>
      <c r="CC138" s="2"/>
      <c r="CD138" s="2"/>
      <c r="CE138" s="2"/>
      <c r="CF138" s="2"/>
      <c r="CG138" s="2"/>
      <c r="CH138" s="2"/>
      <c r="CI138" s="2"/>
      <c r="CJ138" s="2"/>
      <c r="CK138" s="2"/>
      <c r="CL138" s="2"/>
      <c r="CM138" s="2"/>
      <c r="CN138" s="2"/>
      <c r="CO138" s="2"/>
      <c r="CP138" s="2"/>
      <c r="CQ138" s="2"/>
      <c r="CR138" s="2"/>
      <c r="CS138" s="111"/>
      <c r="CT138" s="111"/>
      <c r="CU138" s="111"/>
      <c r="CV138" s="111"/>
      <c r="CW138" s="111"/>
      <c r="CX138" s="111"/>
      <c r="CY138" s="111"/>
      <c r="CZ138" s="111"/>
      <c r="DA138" s="111"/>
      <c r="DB138" s="111"/>
      <c r="DC138" s="111"/>
      <c r="DD138" s="111"/>
      <c r="DE138" s="111"/>
      <c r="DF138" s="111"/>
      <c r="DG138" s="111"/>
      <c r="DH138" s="111"/>
      <c r="DI138" s="111"/>
      <c r="DJ138" s="111"/>
      <c r="DK138" s="111"/>
      <c r="DL138" s="111"/>
      <c r="DM138" s="111"/>
      <c r="DN138" s="111"/>
      <c r="DO138" s="111"/>
      <c r="DP138" s="111"/>
      <c r="DQ138" s="111"/>
      <c r="DR138" s="111"/>
      <c r="DS138" s="111"/>
      <c r="DT138" s="111"/>
      <c r="DU138" s="111"/>
      <c r="DV138" s="111"/>
      <c r="DW138" s="111"/>
      <c r="DX138" s="111"/>
      <c r="DY138" s="111"/>
      <c r="DZ138" s="111"/>
      <c r="EA138" s="111"/>
      <c r="EB138" s="111"/>
      <c r="EC138" s="111"/>
      <c r="ED138" s="111"/>
      <c r="EE138" s="111"/>
      <c r="EF138" s="111"/>
      <c r="EG138" s="111"/>
      <c r="EH138" s="111"/>
      <c r="EI138" s="111"/>
      <c r="EJ138" s="111"/>
      <c r="EK138" s="111"/>
      <c r="EL138" s="111"/>
      <c r="EM138" s="111"/>
      <c r="EN138" s="111"/>
      <c r="EO138" s="111"/>
      <c r="EP138" s="111"/>
      <c r="EQ138" s="111"/>
      <c r="ER138" s="111"/>
      <c r="ES138" s="111"/>
      <c r="ET138" s="111"/>
      <c r="EU138" s="111"/>
      <c r="EV138" s="111"/>
      <c r="EW138" s="111"/>
      <c r="EX138" s="111"/>
      <c r="EY138" s="111"/>
      <c r="EZ138" s="111"/>
      <c r="FA138" s="111"/>
      <c r="FB138" s="111"/>
      <c r="FC138" s="111"/>
      <c r="FD138" s="111"/>
      <c r="FE138" s="111"/>
      <c r="FF138" s="111"/>
    </row>
    <row x14ac:dyDescent="0.25" r="139" customHeight="1" ht="18.75" customFormat="1" s="18">
      <c r="A139" s="2"/>
      <c r="B139" s="2"/>
      <c r="C139" s="2"/>
      <c r="D139" s="2"/>
      <c r="E139" s="2"/>
      <c r="F139" s="2"/>
      <c r="G139" s="2"/>
      <c r="H139" s="2"/>
      <c r="I139" s="2"/>
      <c r="J139" s="2"/>
      <c r="K139" s="20"/>
      <c r="L139" s="2"/>
      <c r="M139" s="2"/>
      <c r="N139" s="2"/>
      <c r="O139" s="2"/>
      <c r="P139" s="2"/>
      <c r="Q139" s="2"/>
      <c r="R139" s="2"/>
      <c r="S139" s="2"/>
      <c r="T139" s="124"/>
      <c r="U139" s="124"/>
      <c r="V139" s="124"/>
      <c r="W139" s="124"/>
      <c r="X139" s="124"/>
      <c r="Y139" s="124"/>
      <c r="Z139" s="124"/>
      <c r="AA139" s="124"/>
      <c r="AB139" s="124"/>
      <c r="AC139" s="124"/>
      <c r="AD139" s="124"/>
      <c r="AE139" s="124"/>
      <c r="AF139" s="124"/>
      <c r="AG139" s="124"/>
      <c r="AH139" s="124"/>
      <c r="AI139" s="124"/>
      <c r="AJ139" s="124"/>
      <c r="AK139" s="124"/>
      <c r="AL139" s="124"/>
      <c r="AM139" s="124"/>
      <c r="AN139" s="124"/>
      <c r="AO139" s="124"/>
      <c r="AP139" s="124"/>
      <c r="AQ139" s="124"/>
      <c r="AR139" s="20"/>
      <c r="AS139" s="2"/>
      <c r="AT139" s="20"/>
      <c r="AU139" s="20"/>
      <c r="AV139" s="2"/>
      <c r="AW139" s="2"/>
      <c r="AX139" s="2"/>
      <c r="AY139" s="2"/>
      <c r="AZ139" s="2"/>
      <c r="BA139" s="2"/>
      <c r="BB139" s="2"/>
      <c r="BC139" s="2"/>
      <c r="BD139" s="2"/>
      <c r="BE139" s="2"/>
      <c r="BF139" s="2"/>
      <c r="BG139" s="2"/>
      <c r="BH139" s="2"/>
      <c r="BI139" s="2"/>
      <c r="BJ139" s="2"/>
      <c r="BK139" s="2"/>
      <c r="BL139" s="2"/>
      <c r="BM139" s="2"/>
      <c r="BN139" s="2"/>
      <c r="BO139" s="2"/>
      <c r="BP139" s="20"/>
      <c r="BQ139" s="20"/>
      <c r="BR139" s="125"/>
      <c r="BS139" s="20"/>
      <c r="BT139" s="20"/>
      <c r="BU139" s="125"/>
      <c r="BV139" s="125"/>
      <c r="BW139" s="2"/>
      <c r="BX139" s="2"/>
      <c r="BY139" s="2"/>
      <c r="BZ139" s="2"/>
      <c r="CA139" s="2"/>
      <c r="CB139" s="2"/>
      <c r="CC139" s="2"/>
      <c r="CD139" s="2"/>
      <c r="CE139" s="2"/>
      <c r="CF139" s="2"/>
      <c r="CG139" s="2"/>
      <c r="CH139" s="2"/>
      <c r="CI139" s="2"/>
      <c r="CJ139" s="2"/>
      <c r="CK139" s="2"/>
      <c r="CL139" s="2"/>
      <c r="CM139" s="2"/>
      <c r="CN139" s="2"/>
      <c r="CO139" s="2"/>
      <c r="CP139" s="2"/>
      <c r="CQ139" s="2"/>
      <c r="CR139" s="2"/>
      <c r="CS139" s="111"/>
      <c r="CT139" s="111"/>
      <c r="CU139" s="111"/>
      <c r="CV139" s="111"/>
      <c r="CW139" s="111"/>
      <c r="CX139" s="111"/>
      <c r="CY139" s="111"/>
      <c r="CZ139" s="111"/>
      <c r="DA139" s="111"/>
      <c r="DB139" s="111"/>
      <c r="DC139" s="111"/>
      <c r="DD139" s="111"/>
      <c r="DE139" s="111"/>
      <c r="DF139" s="111"/>
      <c r="DG139" s="111"/>
      <c r="DH139" s="111"/>
      <c r="DI139" s="111"/>
      <c r="DJ139" s="111"/>
      <c r="DK139" s="111"/>
      <c r="DL139" s="111"/>
      <c r="DM139" s="111"/>
      <c r="DN139" s="111"/>
      <c r="DO139" s="111"/>
      <c r="DP139" s="111"/>
      <c r="DQ139" s="111"/>
      <c r="DR139" s="111"/>
      <c r="DS139" s="111"/>
      <c r="DT139" s="111"/>
      <c r="DU139" s="111"/>
      <c r="DV139" s="111"/>
      <c r="DW139" s="111"/>
      <c r="DX139" s="111"/>
      <c r="DY139" s="111"/>
      <c r="DZ139" s="111"/>
      <c r="EA139" s="111"/>
      <c r="EB139" s="111"/>
      <c r="EC139" s="111"/>
      <c r="ED139" s="111"/>
      <c r="EE139" s="111"/>
      <c r="EF139" s="111"/>
      <c r="EG139" s="111"/>
      <c r="EH139" s="111"/>
      <c r="EI139" s="111"/>
      <c r="EJ139" s="111"/>
      <c r="EK139" s="111"/>
      <c r="EL139" s="111"/>
      <c r="EM139" s="111"/>
      <c r="EN139" s="111"/>
      <c r="EO139" s="111"/>
      <c r="EP139" s="111"/>
      <c r="EQ139" s="111"/>
      <c r="ER139" s="111"/>
      <c r="ES139" s="111"/>
      <c r="ET139" s="111"/>
      <c r="EU139" s="111"/>
      <c r="EV139" s="111"/>
      <c r="EW139" s="111"/>
      <c r="EX139" s="111"/>
      <c r="EY139" s="111"/>
      <c r="EZ139" s="111"/>
      <c r="FA139" s="111"/>
      <c r="FB139" s="111"/>
      <c r="FC139" s="111"/>
      <c r="FD139" s="111"/>
      <c r="FE139" s="111"/>
      <c r="FF139" s="111"/>
    </row>
    <row x14ac:dyDescent="0.25" r="140" customHeight="1" ht="18.75" customFormat="1" s="18">
      <c r="A140" s="2"/>
      <c r="B140" s="2"/>
      <c r="C140" s="2"/>
      <c r="D140" s="2"/>
      <c r="E140" s="2"/>
      <c r="F140" s="2"/>
      <c r="G140" s="2"/>
      <c r="H140" s="2"/>
      <c r="I140" s="2"/>
      <c r="J140" s="2"/>
      <c r="K140" s="20"/>
      <c r="L140" s="2"/>
      <c r="M140" s="2"/>
      <c r="N140" s="2"/>
      <c r="O140" s="2"/>
      <c r="P140" s="2"/>
      <c r="Q140" s="2"/>
      <c r="R140" s="2"/>
      <c r="S140" s="2"/>
      <c r="T140" s="124"/>
      <c r="U140" s="124"/>
      <c r="V140" s="124"/>
      <c r="W140" s="124"/>
      <c r="X140" s="124"/>
      <c r="Y140" s="124"/>
      <c r="Z140" s="124"/>
      <c r="AA140" s="124"/>
      <c r="AB140" s="124"/>
      <c r="AC140" s="124"/>
      <c r="AD140" s="124"/>
      <c r="AE140" s="124"/>
      <c r="AF140" s="124"/>
      <c r="AG140" s="124"/>
      <c r="AH140" s="124"/>
      <c r="AI140" s="124"/>
      <c r="AJ140" s="124"/>
      <c r="AK140" s="124"/>
      <c r="AL140" s="124"/>
      <c r="AM140" s="124"/>
      <c r="AN140" s="124"/>
      <c r="AO140" s="124"/>
      <c r="AP140" s="124"/>
      <c r="AQ140" s="124"/>
      <c r="AR140" s="20"/>
      <c r="AS140" s="2"/>
      <c r="AT140" s="20"/>
      <c r="AU140" s="20"/>
      <c r="AV140" s="2"/>
      <c r="AW140" s="2"/>
      <c r="AX140" s="2"/>
      <c r="AY140" s="2"/>
      <c r="AZ140" s="2"/>
      <c r="BA140" s="2"/>
      <c r="BB140" s="2"/>
      <c r="BC140" s="2"/>
      <c r="BD140" s="2"/>
      <c r="BE140" s="2"/>
      <c r="BF140" s="2"/>
      <c r="BG140" s="2"/>
      <c r="BH140" s="2"/>
      <c r="BI140" s="2"/>
      <c r="BJ140" s="2"/>
      <c r="BK140" s="2"/>
      <c r="BL140" s="2"/>
      <c r="BM140" s="2"/>
      <c r="BN140" s="2"/>
      <c r="BO140" s="2"/>
      <c r="BP140" s="20"/>
      <c r="BQ140" s="20"/>
      <c r="BR140" s="125"/>
      <c r="BS140" s="20"/>
      <c r="BT140" s="20"/>
      <c r="BU140" s="125"/>
      <c r="BV140" s="125"/>
      <c r="BW140" s="2"/>
      <c r="BX140" s="2"/>
      <c r="BY140" s="2"/>
      <c r="BZ140" s="2"/>
      <c r="CA140" s="2"/>
      <c r="CB140" s="2"/>
      <c r="CC140" s="2"/>
      <c r="CD140" s="2"/>
      <c r="CE140" s="2"/>
      <c r="CF140" s="2"/>
      <c r="CG140" s="2"/>
      <c r="CH140" s="2"/>
      <c r="CI140" s="2"/>
      <c r="CJ140" s="2"/>
      <c r="CK140" s="2"/>
      <c r="CL140" s="2"/>
      <c r="CM140" s="2"/>
      <c r="CN140" s="2"/>
      <c r="CO140" s="2"/>
      <c r="CP140" s="2"/>
      <c r="CQ140" s="2"/>
      <c r="CR140" s="2"/>
      <c r="CS140" s="111"/>
      <c r="CT140" s="111"/>
      <c r="CU140" s="111"/>
      <c r="CV140" s="111"/>
      <c r="CW140" s="111"/>
      <c r="CX140" s="111"/>
      <c r="CY140" s="111"/>
      <c r="CZ140" s="111"/>
      <c r="DA140" s="111"/>
      <c r="DB140" s="111"/>
      <c r="DC140" s="111"/>
      <c r="DD140" s="111"/>
      <c r="DE140" s="111"/>
      <c r="DF140" s="111"/>
      <c r="DG140" s="111"/>
      <c r="DH140" s="111"/>
      <c r="DI140" s="111"/>
      <c r="DJ140" s="111"/>
      <c r="DK140" s="111"/>
      <c r="DL140" s="111"/>
      <c r="DM140" s="111"/>
      <c r="DN140" s="111"/>
      <c r="DO140" s="111"/>
      <c r="DP140" s="111"/>
      <c r="DQ140" s="111"/>
      <c r="DR140" s="111"/>
      <c r="DS140" s="111"/>
      <c r="DT140" s="111"/>
      <c r="DU140" s="111"/>
      <c r="DV140" s="111"/>
      <c r="DW140" s="111"/>
      <c r="DX140" s="111"/>
      <c r="DY140" s="111"/>
      <c r="DZ140" s="111"/>
      <c r="EA140" s="111"/>
      <c r="EB140" s="111"/>
      <c r="EC140" s="111"/>
      <c r="ED140" s="111"/>
      <c r="EE140" s="111"/>
      <c r="EF140" s="111"/>
      <c r="EG140" s="111"/>
      <c r="EH140" s="111"/>
      <c r="EI140" s="111"/>
      <c r="EJ140" s="111"/>
      <c r="EK140" s="111"/>
      <c r="EL140" s="111"/>
      <c r="EM140" s="111"/>
      <c r="EN140" s="111"/>
      <c r="EO140" s="111"/>
      <c r="EP140" s="111"/>
      <c r="EQ140" s="111"/>
      <c r="ER140" s="111"/>
      <c r="ES140" s="111"/>
      <c r="ET140" s="111"/>
      <c r="EU140" s="111"/>
      <c r="EV140" s="111"/>
      <c r="EW140" s="111"/>
      <c r="EX140" s="111"/>
      <c r="EY140" s="111"/>
      <c r="EZ140" s="111"/>
      <c r="FA140" s="111"/>
      <c r="FB140" s="111"/>
      <c r="FC140" s="111"/>
      <c r="FD140" s="111"/>
      <c r="FE140" s="111"/>
      <c r="FF140" s="111"/>
    </row>
    <row x14ac:dyDescent="0.25" r="141" customHeight="1" ht="18.75" customFormat="1" s="18">
      <c r="A141" s="2"/>
      <c r="B141" s="2"/>
      <c r="C141" s="2"/>
      <c r="D141" s="2"/>
      <c r="E141" s="2"/>
      <c r="F141" s="2"/>
      <c r="G141" s="2"/>
      <c r="H141" s="2"/>
      <c r="I141" s="2"/>
      <c r="J141" s="2"/>
      <c r="K141" s="20"/>
      <c r="L141" s="2"/>
      <c r="M141" s="2"/>
      <c r="N141" s="2"/>
      <c r="O141" s="2"/>
      <c r="P141" s="2"/>
      <c r="Q141" s="2"/>
      <c r="R141" s="2"/>
      <c r="S141" s="2"/>
      <c r="T141" s="124"/>
      <c r="U141" s="124"/>
      <c r="V141" s="124"/>
      <c r="W141" s="124"/>
      <c r="X141" s="124"/>
      <c r="Y141" s="124"/>
      <c r="Z141" s="124"/>
      <c r="AA141" s="124"/>
      <c r="AB141" s="124"/>
      <c r="AC141" s="124"/>
      <c r="AD141" s="124"/>
      <c r="AE141" s="124"/>
      <c r="AF141" s="124"/>
      <c r="AG141" s="124"/>
      <c r="AH141" s="124"/>
      <c r="AI141" s="124"/>
      <c r="AJ141" s="124"/>
      <c r="AK141" s="124"/>
      <c r="AL141" s="124"/>
      <c r="AM141" s="124"/>
      <c r="AN141" s="124"/>
      <c r="AO141" s="124"/>
      <c r="AP141" s="124"/>
      <c r="AQ141" s="124"/>
      <c r="AR141" s="20"/>
      <c r="AS141" s="2"/>
      <c r="AT141" s="20"/>
      <c r="AU141" s="20"/>
      <c r="AV141" s="2"/>
      <c r="AW141" s="2"/>
      <c r="AX141" s="2"/>
      <c r="AY141" s="2"/>
      <c r="AZ141" s="2"/>
      <c r="BA141" s="2"/>
      <c r="BB141" s="2"/>
      <c r="BC141" s="2"/>
      <c r="BD141" s="2"/>
      <c r="BE141" s="2"/>
      <c r="BF141" s="2"/>
      <c r="BG141" s="2"/>
      <c r="BH141" s="2"/>
      <c r="BI141" s="2"/>
      <c r="BJ141" s="2"/>
      <c r="BK141" s="2"/>
      <c r="BL141" s="2"/>
      <c r="BM141" s="2"/>
      <c r="BN141" s="2"/>
      <c r="BO141" s="2"/>
      <c r="BP141" s="20"/>
      <c r="BQ141" s="20"/>
      <c r="BR141" s="125"/>
      <c r="BS141" s="20"/>
      <c r="BT141" s="20"/>
      <c r="BU141" s="125"/>
      <c r="BV141" s="125"/>
      <c r="BW141" s="2"/>
      <c r="BX141" s="2"/>
      <c r="BY141" s="2"/>
      <c r="BZ141" s="2"/>
      <c r="CA141" s="2"/>
      <c r="CB141" s="2"/>
      <c r="CC141" s="2"/>
      <c r="CD141" s="2"/>
      <c r="CE141" s="2"/>
      <c r="CF141" s="2"/>
      <c r="CG141" s="2"/>
      <c r="CH141" s="2"/>
      <c r="CI141" s="2"/>
      <c r="CJ141" s="2"/>
      <c r="CK141" s="2"/>
      <c r="CL141" s="2"/>
      <c r="CM141" s="2"/>
      <c r="CN141" s="2"/>
      <c r="CO141" s="2"/>
      <c r="CP141" s="2"/>
      <c r="CQ141" s="2"/>
      <c r="CR141" s="2"/>
      <c r="CS141" s="111"/>
      <c r="CT141" s="111"/>
      <c r="CU141" s="111"/>
      <c r="CV141" s="111"/>
      <c r="CW141" s="111"/>
      <c r="CX141" s="111"/>
      <c r="CY141" s="111"/>
      <c r="CZ141" s="111"/>
      <c r="DA141" s="111"/>
      <c r="DB141" s="111"/>
      <c r="DC141" s="111"/>
      <c r="DD141" s="111"/>
      <c r="DE141" s="111"/>
      <c r="DF141" s="111"/>
      <c r="DG141" s="111"/>
      <c r="DH141" s="111"/>
      <c r="DI141" s="111"/>
      <c r="DJ141" s="111"/>
      <c r="DK141" s="111"/>
      <c r="DL141" s="111"/>
      <c r="DM141" s="111"/>
      <c r="DN141" s="111"/>
      <c r="DO141" s="111"/>
      <c r="DP141" s="111"/>
      <c r="DQ141" s="111"/>
      <c r="DR141" s="111"/>
      <c r="DS141" s="111"/>
      <c r="DT141" s="111"/>
      <c r="DU141" s="111"/>
      <c r="DV141" s="111"/>
      <c r="DW141" s="111"/>
      <c r="DX141" s="111"/>
      <c r="DY141" s="111"/>
      <c r="DZ141" s="111"/>
      <c r="EA141" s="111"/>
      <c r="EB141" s="111"/>
      <c r="EC141" s="111"/>
      <c r="ED141" s="111"/>
      <c r="EE141" s="111"/>
      <c r="EF141" s="111"/>
      <c r="EG141" s="111"/>
      <c r="EH141" s="111"/>
      <c r="EI141" s="111"/>
      <c r="EJ141" s="111"/>
      <c r="EK141" s="111"/>
      <c r="EL141" s="111"/>
      <c r="EM141" s="111"/>
      <c r="EN141" s="111"/>
      <c r="EO141" s="111"/>
      <c r="EP141" s="111"/>
      <c r="EQ141" s="111"/>
      <c r="ER141" s="111"/>
      <c r="ES141" s="111"/>
      <c r="ET141" s="111"/>
      <c r="EU141" s="111"/>
      <c r="EV141" s="111"/>
      <c r="EW141" s="111"/>
      <c r="EX141" s="111"/>
      <c r="EY141" s="111"/>
      <c r="EZ141" s="111"/>
      <c r="FA141" s="111"/>
      <c r="FB141" s="111"/>
      <c r="FC141" s="111"/>
      <c r="FD141" s="111"/>
      <c r="FE141" s="111"/>
      <c r="FF141" s="111"/>
    </row>
    <row x14ac:dyDescent="0.25" r="142" customHeight="1" ht="18.75" customFormat="1" s="18">
      <c r="A142" s="2"/>
      <c r="B142" s="2"/>
      <c r="C142" s="2"/>
      <c r="D142" s="2"/>
      <c r="E142" s="2"/>
      <c r="F142" s="2"/>
      <c r="G142" s="2"/>
      <c r="H142" s="2"/>
      <c r="I142" s="2"/>
      <c r="J142" s="2"/>
      <c r="K142" s="20"/>
      <c r="L142" s="2"/>
      <c r="M142" s="2"/>
      <c r="N142" s="2"/>
      <c r="O142" s="2"/>
      <c r="P142" s="2"/>
      <c r="Q142" s="2"/>
      <c r="R142" s="2"/>
      <c r="S142" s="2"/>
      <c r="T142" s="124"/>
      <c r="U142" s="124"/>
      <c r="V142" s="124"/>
      <c r="W142" s="124"/>
      <c r="X142" s="124"/>
      <c r="Y142" s="124"/>
      <c r="Z142" s="124"/>
      <c r="AA142" s="124"/>
      <c r="AB142" s="124"/>
      <c r="AC142" s="124"/>
      <c r="AD142" s="124"/>
      <c r="AE142" s="124"/>
      <c r="AF142" s="124"/>
      <c r="AG142" s="124"/>
      <c r="AH142" s="124"/>
      <c r="AI142" s="124"/>
      <c r="AJ142" s="124"/>
      <c r="AK142" s="124"/>
      <c r="AL142" s="124"/>
      <c r="AM142" s="124"/>
      <c r="AN142" s="124"/>
      <c r="AO142" s="124"/>
      <c r="AP142" s="124"/>
      <c r="AQ142" s="124"/>
      <c r="AR142" s="20"/>
      <c r="AS142" s="2"/>
      <c r="AT142" s="20"/>
      <c r="AU142" s="20"/>
      <c r="AV142" s="2"/>
      <c r="AW142" s="2"/>
      <c r="AX142" s="2"/>
      <c r="AY142" s="2"/>
      <c r="AZ142" s="2"/>
      <c r="BA142" s="2"/>
      <c r="BB142" s="2"/>
      <c r="BC142" s="2"/>
      <c r="BD142" s="2"/>
      <c r="BE142" s="2"/>
      <c r="BF142" s="2"/>
      <c r="BG142" s="2"/>
      <c r="BH142" s="2"/>
      <c r="BI142" s="2"/>
      <c r="BJ142" s="2"/>
      <c r="BK142" s="2"/>
      <c r="BL142" s="2"/>
      <c r="BM142" s="2"/>
      <c r="BN142" s="2"/>
      <c r="BO142" s="2"/>
      <c r="BP142" s="20"/>
      <c r="BQ142" s="20"/>
      <c r="BR142" s="125"/>
      <c r="BS142" s="20"/>
      <c r="BT142" s="20"/>
      <c r="BU142" s="125"/>
      <c r="BV142" s="125"/>
      <c r="BW142" s="2"/>
      <c r="BX142" s="2"/>
      <c r="BY142" s="2"/>
      <c r="BZ142" s="2"/>
      <c r="CA142" s="2"/>
      <c r="CB142" s="2"/>
      <c r="CC142" s="2"/>
      <c r="CD142" s="2"/>
      <c r="CE142" s="2"/>
      <c r="CF142" s="2"/>
      <c r="CG142" s="2"/>
      <c r="CH142" s="2"/>
      <c r="CI142" s="2"/>
      <c r="CJ142" s="2"/>
      <c r="CK142" s="2"/>
      <c r="CL142" s="2"/>
      <c r="CM142" s="2"/>
      <c r="CN142" s="2"/>
      <c r="CO142" s="2"/>
      <c r="CP142" s="2"/>
      <c r="CQ142" s="2"/>
      <c r="CR142" s="2"/>
      <c r="CS142" s="111"/>
      <c r="CT142" s="111"/>
      <c r="CU142" s="111"/>
      <c r="CV142" s="111"/>
      <c r="CW142" s="111"/>
      <c r="CX142" s="111"/>
      <c r="CY142" s="111"/>
      <c r="CZ142" s="111"/>
      <c r="DA142" s="111"/>
      <c r="DB142" s="111"/>
      <c r="DC142" s="111"/>
      <c r="DD142" s="111"/>
      <c r="DE142" s="111"/>
      <c r="DF142" s="111"/>
      <c r="DG142" s="111"/>
      <c r="DH142" s="111"/>
      <c r="DI142" s="111"/>
      <c r="DJ142" s="111"/>
      <c r="DK142" s="111"/>
      <c r="DL142" s="111"/>
      <c r="DM142" s="111"/>
      <c r="DN142" s="111"/>
      <c r="DO142" s="111"/>
      <c r="DP142" s="111"/>
      <c r="DQ142" s="111"/>
      <c r="DR142" s="111"/>
      <c r="DS142" s="111"/>
      <c r="DT142" s="111"/>
      <c r="DU142" s="111"/>
      <c r="DV142" s="111"/>
      <c r="DW142" s="111"/>
      <c r="DX142" s="111"/>
      <c r="DY142" s="111"/>
      <c r="DZ142" s="111"/>
      <c r="EA142" s="111"/>
      <c r="EB142" s="111"/>
      <c r="EC142" s="111"/>
      <c r="ED142" s="111"/>
      <c r="EE142" s="111"/>
      <c r="EF142" s="111"/>
      <c r="EG142" s="111"/>
      <c r="EH142" s="111"/>
      <c r="EI142" s="111"/>
      <c r="EJ142" s="111"/>
      <c r="EK142" s="111"/>
      <c r="EL142" s="111"/>
      <c r="EM142" s="111"/>
      <c r="EN142" s="111"/>
      <c r="EO142" s="111"/>
      <c r="EP142" s="111"/>
      <c r="EQ142" s="111"/>
      <c r="ER142" s="111"/>
      <c r="ES142" s="111"/>
      <c r="ET142" s="111"/>
      <c r="EU142" s="111"/>
      <c r="EV142" s="111"/>
      <c r="EW142" s="111"/>
      <c r="EX142" s="111"/>
      <c r="EY142" s="111"/>
      <c r="EZ142" s="111"/>
      <c r="FA142" s="111"/>
      <c r="FB142" s="111"/>
      <c r="FC142" s="111"/>
      <c r="FD142" s="111"/>
      <c r="FE142" s="111"/>
      <c r="FF142" s="111"/>
    </row>
    <row x14ac:dyDescent="0.25" r="143" customHeight="1" ht="18.75" customFormat="1" s="18">
      <c r="A143" s="2"/>
      <c r="B143" s="2"/>
      <c r="C143" s="2"/>
      <c r="D143" s="2"/>
      <c r="E143" s="2"/>
      <c r="F143" s="2"/>
      <c r="G143" s="2"/>
      <c r="H143" s="2"/>
      <c r="I143" s="2"/>
      <c r="J143" s="2"/>
      <c r="K143" s="20"/>
      <c r="L143" s="2"/>
      <c r="M143" s="2"/>
      <c r="N143" s="2"/>
      <c r="O143" s="2"/>
      <c r="P143" s="2"/>
      <c r="Q143" s="2"/>
      <c r="R143" s="2"/>
      <c r="S143" s="2"/>
      <c r="T143" s="124"/>
      <c r="U143" s="124"/>
      <c r="V143" s="124"/>
      <c r="W143" s="124"/>
      <c r="X143" s="124"/>
      <c r="Y143" s="124"/>
      <c r="Z143" s="124"/>
      <c r="AA143" s="124"/>
      <c r="AB143" s="124"/>
      <c r="AC143" s="124"/>
      <c r="AD143" s="124"/>
      <c r="AE143" s="124"/>
      <c r="AF143" s="124"/>
      <c r="AG143" s="124"/>
      <c r="AH143" s="124"/>
      <c r="AI143" s="124"/>
      <c r="AJ143" s="124"/>
      <c r="AK143" s="124"/>
      <c r="AL143" s="124"/>
      <c r="AM143" s="124"/>
      <c r="AN143" s="124"/>
      <c r="AO143" s="124"/>
      <c r="AP143" s="124"/>
      <c r="AQ143" s="124"/>
      <c r="AR143" s="20"/>
      <c r="AS143" s="2"/>
      <c r="AT143" s="20"/>
      <c r="AU143" s="20"/>
      <c r="AV143" s="2"/>
      <c r="AW143" s="2"/>
      <c r="AX143" s="2"/>
      <c r="AY143" s="2"/>
      <c r="AZ143" s="2"/>
      <c r="BA143" s="2"/>
      <c r="BB143" s="2"/>
      <c r="BC143" s="2"/>
      <c r="BD143" s="2"/>
      <c r="BE143" s="2"/>
      <c r="BF143" s="2"/>
      <c r="BG143" s="2"/>
      <c r="BH143" s="2"/>
      <c r="BI143" s="2"/>
      <c r="BJ143" s="2"/>
      <c r="BK143" s="2"/>
      <c r="BL143" s="2"/>
      <c r="BM143" s="2"/>
      <c r="BN143" s="2"/>
      <c r="BO143" s="2"/>
      <c r="BP143" s="20"/>
      <c r="BQ143" s="20"/>
      <c r="BR143" s="125"/>
      <c r="BS143" s="20"/>
      <c r="BT143" s="20"/>
      <c r="BU143" s="125"/>
      <c r="BV143" s="125"/>
      <c r="BW143" s="2"/>
      <c r="BX143" s="2"/>
      <c r="BY143" s="2"/>
      <c r="BZ143" s="2"/>
      <c r="CA143" s="2"/>
      <c r="CB143" s="2"/>
      <c r="CC143" s="2"/>
      <c r="CD143" s="2"/>
      <c r="CE143" s="2"/>
      <c r="CF143" s="2"/>
      <c r="CG143" s="2"/>
      <c r="CH143" s="2"/>
      <c r="CI143" s="2"/>
      <c r="CJ143" s="2"/>
      <c r="CK143" s="2"/>
      <c r="CL143" s="2"/>
      <c r="CM143" s="2"/>
      <c r="CN143" s="2"/>
      <c r="CO143" s="2"/>
      <c r="CP143" s="2"/>
      <c r="CQ143" s="2"/>
      <c r="CR143" s="2"/>
      <c r="CS143" s="111"/>
      <c r="CT143" s="111"/>
      <c r="CU143" s="111"/>
      <c r="CV143" s="111"/>
      <c r="CW143" s="111"/>
      <c r="CX143" s="111"/>
      <c r="CY143" s="111"/>
      <c r="CZ143" s="111"/>
      <c r="DA143" s="111"/>
      <c r="DB143" s="111"/>
      <c r="DC143" s="111"/>
      <c r="DD143" s="111"/>
      <c r="DE143" s="111"/>
      <c r="DF143" s="111"/>
      <c r="DG143" s="111"/>
      <c r="DH143" s="111"/>
      <c r="DI143" s="111"/>
      <c r="DJ143" s="111"/>
      <c r="DK143" s="111"/>
      <c r="DL143" s="111"/>
      <c r="DM143" s="111"/>
      <c r="DN143" s="111"/>
      <c r="DO143" s="111"/>
      <c r="DP143" s="111"/>
      <c r="DQ143" s="111"/>
      <c r="DR143" s="111"/>
      <c r="DS143" s="111"/>
      <c r="DT143" s="111"/>
      <c r="DU143" s="111"/>
      <c r="DV143" s="111"/>
      <c r="DW143" s="111"/>
      <c r="DX143" s="111"/>
      <c r="DY143" s="111"/>
      <c r="DZ143" s="111"/>
      <c r="EA143" s="111"/>
      <c r="EB143" s="111"/>
      <c r="EC143" s="111"/>
      <c r="ED143" s="111"/>
      <c r="EE143" s="111"/>
      <c r="EF143" s="111"/>
      <c r="EG143" s="111"/>
      <c r="EH143" s="111"/>
      <c r="EI143" s="111"/>
      <c r="EJ143" s="111"/>
      <c r="EK143" s="111"/>
      <c r="EL143" s="111"/>
      <c r="EM143" s="111"/>
      <c r="EN143" s="111"/>
      <c r="EO143" s="111"/>
      <c r="EP143" s="111"/>
      <c r="EQ143" s="111"/>
      <c r="ER143" s="111"/>
      <c r="ES143" s="111"/>
      <c r="ET143" s="111"/>
      <c r="EU143" s="111"/>
      <c r="EV143" s="111"/>
      <c r="EW143" s="111"/>
      <c r="EX143" s="111"/>
      <c r="EY143" s="111"/>
      <c r="EZ143" s="111"/>
      <c r="FA143" s="111"/>
      <c r="FB143" s="111"/>
      <c r="FC143" s="111"/>
      <c r="FD143" s="111"/>
      <c r="FE143" s="111"/>
      <c r="FF143" s="111"/>
    </row>
    <row x14ac:dyDescent="0.25" r="144" customHeight="1" ht="18.75" customFormat="1" s="18">
      <c r="A144" s="2"/>
      <c r="B144" s="2"/>
      <c r="C144" s="2"/>
      <c r="D144" s="2"/>
      <c r="E144" s="2"/>
      <c r="F144" s="2"/>
      <c r="G144" s="2"/>
      <c r="H144" s="2"/>
      <c r="I144" s="2"/>
      <c r="J144" s="2"/>
      <c r="K144" s="20"/>
      <c r="L144" s="2"/>
      <c r="M144" s="2"/>
      <c r="N144" s="2"/>
      <c r="O144" s="2"/>
      <c r="P144" s="2"/>
      <c r="Q144" s="2"/>
      <c r="R144" s="2"/>
      <c r="S144" s="2"/>
      <c r="T144" s="124"/>
      <c r="U144" s="124"/>
      <c r="V144" s="124"/>
      <c r="W144" s="124"/>
      <c r="X144" s="124"/>
      <c r="Y144" s="124"/>
      <c r="Z144" s="124"/>
      <c r="AA144" s="124"/>
      <c r="AB144" s="124"/>
      <c r="AC144" s="124"/>
      <c r="AD144" s="124"/>
      <c r="AE144" s="124"/>
      <c r="AF144" s="124"/>
      <c r="AG144" s="124"/>
      <c r="AH144" s="124"/>
      <c r="AI144" s="124"/>
      <c r="AJ144" s="124"/>
      <c r="AK144" s="124"/>
      <c r="AL144" s="124"/>
      <c r="AM144" s="124"/>
      <c r="AN144" s="124"/>
      <c r="AO144" s="124"/>
      <c r="AP144" s="124"/>
      <c r="AQ144" s="124"/>
      <c r="AR144" s="20"/>
      <c r="AS144" s="2"/>
      <c r="AT144" s="20"/>
      <c r="AU144" s="20"/>
      <c r="AV144" s="2"/>
      <c r="AW144" s="2"/>
      <c r="AX144" s="2"/>
      <c r="AY144" s="2"/>
      <c r="AZ144" s="2"/>
      <c r="BA144" s="2"/>
      <c r="BB144" s="2"/>
      <c r="BC144" s="2"/>
      <c r="BD144" s="2"/>
      <c r="BE144" s="2"/>
      <c r="BF144" s="2"/>
      <c r="BG144" s="2"/>
      <c r="BH144" s="2"/>
      <c r="BI144" s="2"/>
      <c r="BJ144" s="2"/>
      <c r="BK144" s="2"/>
      <c r="BL144" s="2"/>
      <c r="BM144" s="2"/>
      <c r="BN144" s="2"/>
      <c r="BO144" s="2"/>
      <c r="BP144" s="20"/>
      <c r="BQ144" s="20"/>
      <c r="BR144" s="125"/>
      <c r="BS144" s="20"/>
      <c r="BT144" s="20"/>
      <c r="BU144" s="125"/>
      <c r="BV144" s="125"/>
      <c r="BW144" s="2"/>
      <c r="BX144" s="2"/>
      <c r="BY144" s="2"/>
      <c r="BZ144" s="2"/>
      <c r="CA144" s="2"/>
      <c r="CB144" s="2"/>
      <c r="CC144" s="2"/>
      <c r="CD144" s="2"/>
      <c r="CE144" s="2"/>
      <c r="CF144" s="2"/>
      <c r="CG144" s="2"/>
      <c r="CH144" s="2"/>
      <c r="CI144" s="2"/>
      <c r="CJ144" s="2"/>
      <c r="CK144" s="2"/>
      <c r="CL144" s="2"/>
      <c r="CM144" s="2"/>
      <c r="CN144" s="2"/>
      <c r="CO144" s="2"/>
      <c r="CP144" s="2"/>
      <c r="CQ144" s="2"/>
      <c r="CR144" s="2"/>
      <c r="CS144" s="111"/>
      <c r="CT144" s="111"/>
      <c r="CU144" s="111"/>
      <c r="CV144" s="111"/>
      <c r="CW144" s="111"/>
      <c r="CX144" s="111"/>
      <c r="CY144" s="111"/>
      <c r="CZ144" s="111"/>
      <c r="DA144" s="111"/>
      <c r="DB144" s="111"/>
      <c r="DC144" s="111"/>
      <c r="DD144" s="111"/>
      <c r="DE144" s="111"/>
      <c r="DF144" s="111"/>
      <c r="DG144" s="111"/>
      <c r="DH144" s="111"/>
      <c r="DI144" s="111"/>
      <c r="DJ144" s="111"/>
      <c r="DK144" s="111"/>
      <c r="DL144" s="111"/>
      <c r="DM144" s="111"/>
      <c r="DN144" s="111"/>
      <c r="DO144" s="111"/>
      <c r="DP144" s="111"/>
      <c r="DQ144" s="111"/>
      <c r="DR144" s="111"/>
      <c r="DS144" s="111"/>
      <c r="DT144" s="111"/>
      <c r="DU144" s="111"/>
      <c r="DV144" s="111"/>
      <c r="DW144" s="111"/>
      <c r="DX144" s="111"/>
      <c r="DY144" s="111"/>
      <c r="DZ144" s="111"/>
      <c r="EA144" s="111"/>
      <c r="EB144" s="111"/>
      <c r="EC144" s="111"/>
      <c r="ED144" s="111"/>
      <c r="EE144" s="111"/>
      <c r="EF144" s="111"/>
      <c r="EG144" s="111"/>
      <c r="EH144" s="111"/>
      <c r="EI144" s="111"/>
      <c r="EJ144" s="111"/>
      <c r="EK144" s="111"/>
      <c r="EL144" s="111"/>
      <c r="EM144" s="111"/>
      <c r="EN144" s="111"/>
      <c r="EO144" s="111"/>
      <c r="EP144" s="111"/>
      <c r="EQ144" s="111"/>
      <c r="ER144" s="111"/>
      <c r="ES144" s="111"/>
      <c r="ET144" s="111"/>
      <c r="EU144" s="111"/>
      <c r="EV144" s="111"/>
      <c r="EW144" s="111"/>
      <c r="EX144" s="111"/>
      <c r="EY144" s="111"/>
      <c r="EZ144" s="111"/>
      <c r="FA144" s="111"/>
      <c r="FB144" s="111"/>
      <c r="FC144" s="111"/>
      <c r="FD144" s="111"/>
      <c r="FE144" s="111"/>
      <c r="FF144" s="111"/>
    </row>
    <row x14ac:dyDescent="0.25" r="145" customHeight="1" ht="18.75" customFormat="1" s="18">
      <c r="A145" s="2"/>
      <c r="B145" s="2"/>
      <c r="C145" s="2"/>
      <c r="D145" s="2"/>
      <c r="E145" s="2"/>
      <c r="F145" s="2"/>
      <c r="G145" s="2"/>
      <c r="H145" s="2"/>
      <c r="I145" s="2"/>
      <c r="J145" s="2"/>
      <c r="K145" s="20"/>
      <c r="L145" s="2"/>
      <c r="M145" s="2"/>
      <c r="N145" s="2"/>
      <c r="O145" s="2"/>
      <c r="P145" s="2"/>
      <c r="Q145" s="2"/>
      <c r="R145" s="2"/>
      <c r="S145" s="2"/>
      <c r="T145" s="124"/>
      <c r="U145" s="124"/>
      <c r="V145" s="124"/>
      <c r="W145" s="124"/>
      <c r="X145" s="124"/>
      <c r="Y145" s="124"/>
      <c r="Z145" s="124"/>
      <c r="AA145" s="124"/>
      <c r="AB145" s="124"/>
      <c r="AC145" s="124"/>
      <c r="AD145" s="124"/>
      <c r="AE145" s="124"/>
      <c r="AF145" s="124"/>
      <c r="AG145" s="124"/>
      <c r="AH145" s="124"/>
      <c r="AI145" s="124"/>
      <c r="AJ145" s="124"/>
      <c r="AK145" s="124"/>
      <c r="AL145" s="124"/>
      <c r="AM145" s="124"/>
      <c r="AN145" s="124"/>
      <c r="AO145" s="124"/>
      <c r="AP145" s="124"/>
      <c r="AQ145" s="124"/>
      <c r="AR145" s="20"/>
      <c r="AS145" s="2"/>
      <c r="AT145" s="20"/>
      <c r="AU145" s="20"/>
      <c r="AV145" s="2"/>
      <c r="AW145" s="2"/>
      <c r="AX145" s="2"/>
      <c r="AY145" s="2"/>
      <c r="AZ145" s="2"/>
      <c r="BA145" s="2"/>
      <c r="BB145" s="2"/>
      <c r="BC145" s="2"/>
      <c r="BD145" s="2"/>
      <c r="BE145" s="2"/>
      <c r="BF145" s="2"/>
      <c r="BG145" s="2"/>
      <c r="BH145" s="2"/>
      <c r="BI145" s="2"/>
      <c r="BJ145" s="2"/>
      <c r="BK145" s="2"/>
      <c r="BL145" s="2"/>
      <c r="BM145" s="2"/>
      <c r="BN145" s="2"/>
      <c r="BO145" s="2"/>
      <c r="BP145" s="20"/>
      <c r="BQ145" s="20"/>
      <c r="BR145" s="125"/>
      <c r="BS145" s="20"/>
      <c r="BT145" s="20"/>
      <c r="BU145" s="125"/>
      <c r="BV145" s="125"/>
      <c r="BW145" s="2"/>
      <c r="BX145" s="2"/>
      <c r="BY145" s="2"/>
      <c r="BZ145" s="2"/>
      <c r="CA145" s="2"/>
      <c r="CB145" s="2"/>
      <c r="CC145" s="2"/>
      <c r="CD145" s="2"/>
      <c r="CE145" s="2"/>
      <c r="CF145" s="2"/>
      <c r="CG145" s="2"/>
      <c r="CH145" s="2"/>
      <c r="CI145" s="2"/>
      <c r="CJ145" s="2"/>
      <c r="CK145" s="2"/>
      <c r="CL145" s="2"/>
      <c r="CM145" s="2"/>
      <c r="CN145" s="2"/>
      <c r="CO145" s="2"/>
      <c r="CP145" s="2"/>
      <c r="CQ145" s="2"/>
      <c r="CR145" s="2"/>
      <c r="CS145" s="111"/>
      <c r="CT145" s="111"/>
      <c r="CU145" s="111"/>
      <c r="CV145" s="111"/>
      <c r="CW145" s="111"/>
      <c r="CX145" s="111"/>
      <c r="CY145" s="111"/>
      <c r="CZ145" s="111"/>
      <c r="DA145" s="111"/>
      <c r="DB145" s="111"/>
      <c r="DC145" s="111"/>
      <c r="DD145" s="111"/>
      <c r="DE145" s="111"/>
      <c r="DF145" s="111"/>
      <c r="DG145" s="111"/>
      <c r="DH145" s="111"/>
      <c r="DI145" s="111"/>
      <c r="DJ145" s="111"/>
      <c r="DK145" s="111"/>
      <c r="DL145" s="111"/>
      <c r="DM145" s="111"/>
      <c r="DN145" s="111"/>
      <c r="DO145" s="111"/>
      <c r="DP145" s="111"/>
      <c r="DQ145" s="111"/>
      <c r="DR145" s="111"/>
      <c r="DS145" s="111"/>
      <c r="DT145" s="111"/>
      <c r="DU145" s="111"/>
      <c r="DV145" s="111"/>
      <c r="DW145" s="111"/>
      <c r="DX145" s="111"/>
      <c r="DY145" s="111"/>
      <c r="DZ145" s="111"/>
      <c r="EA145" s="111"/>
      <c r="EB145" s="111"/>
      <c r="EC145" s="111"/>
      <c r="ED145" s="111"/>
      <c r="EE145" s="111"/>
      <c r="EF145" s="111"/>
      <c r="EG145" s="111"/>
      <c r="EH145" s="111"/>
      <c r="EI145" s="111"/>
      <c r="EJ145" s="111"/>
      <c r="EK145" s="111"/>
      <c r="EL145" s="111"/>
      <c r="EM145" s="111"/>
      <c r="EN145" s="111"/>
      <c r="EO145" s="111"/>
      <c r="EP145" s="111"/>
      <c r="EQ145" s="111"/>
      <c r="ER145" s="111"/>
      <c r="ES145" s="111"/>
      <c r="ET145" s="111"/>
      <c r="EU145" s="111"/>
      <c r="EV145" s="111"/>
      <c r="EW145" s="111"/>
      <c r="EX145" s="111"/>
      <c r="EY145" s="111"/>
      <c r="EZ145" s="111"/>
      <c r="FA145" s="111"/>
      <c r="FB145" s="111"/>
      <c r="FC145" s="111"/>
      <c r="FD145" s="111"/>
      <c r="FE145" s="111"/>
      <c r="FF145" s="111"/>
    </row>
    <row x14ac:dyDescent="0.25" r="146" customHeight="1" ht="18.75" customFormat="1" s="18">
      <c r="A146" s="2"/>
      <c r="B146" s="2"/>
      <c r="C146" s="2"/>
      <c r="D146" s="2"/>
      <c r="E146" s="2"/>
      <c r="F146" s="2"/>
      <c r="G146" s="2"/>
      <c r="H146" s="2"/>
      <c r="I146" s="2"/>
      <c r="J146" s="2"/>
      <c r="K146" s="20"/>
      <c r="L146" s="2"/>
      <c r="M146" s="2"/>
      <c r="N146" s="2"/>
      <c r="O146" s="2"/>
      <c r="P146" s="2"/>
      <c r="Q146" s="2"/>
      <c r="R146" s="2"/>
      <c r="S146" s="2"/>
      <c r="T146" s="124"/>
      <c r="U146" s="124"/>
      <c r="V146" s="124"/>
      <c r="W146" s="124"/>
      <c r="X146" s="124"/>
      <c r="Y146" s="124"/>
      <c r="Z146" s="124"/>
      <c r="AA146" s="124"/>
      <c r="AB146" s="124"/>
      <c r="AC146" s="124"/>
      <c r="AD146" s="124"/>
      <c r="AE146" s="124"/>
      <c r="AF146" s="124"/>
      <c r="AG146" s="124"/>
      <c r="AH146" s="124"/>
      <c r="AI146" s="124"/>
      <c r="AJ146" s="124"/>
      <c r="AK146" s="124"/>
      <c r="AL146" s="124"/>
      <c r="AM146" s="124"/>
      <c r="AN146" s="124"/>
      <c r="AO146" s="124"/>
      <c r="AP146" s="124"/>
      <c r="AQ146" s="124"/>
      <c r="AR146" s="20"/>
      <c r="AS146" s="2"/>
      <c r="AT146" s="20"/>
      <c r="AU146" s="20"/>
      <c r="AV146" s="2"/>
      <c r="AW146" s="2"/>
      <c r="AX146" s="2"/>
      <c r="AY146" s="2"/>
      <c r="AZ146" s="2"/>
      <c r="BA146" s="2"/>
      <c r="BB146" s="2"/>
      <c r="BC146" s="2"/>
      <c r="BD146" s="2"/>
      <c r="BE146" s="2"/>
      <c r="BF146" s="2"/>
      <c r="BG146" s="2"/>
      <c r="BH146" s="2"/>
      <c r="BI146" s="2"/>
      <c r="BJ146" s="2"/>
      <c r="BK146" s="2"/>
      <c r="BL146" s="2"/>
      <c r="BM146" s="2"/>
      <c r="BN146" s="2"/>
      <c r="BO146" s="2"/>
      <c r="BP146" s="20"/>
      <c r="BQ146" s="20"/>
      <c r="BR146" s="125"/>
      <c r="BS146" s="20"/>
      <c r="BT146" s="20"/>
      <c r="BU146" s="125"/>
      <c r="BV146" s="125"/>
      <c r="BW146" s="2"/>
      <c r="BX146" s="2"/>
      <c r="BY146" s="2"/>
      <c r="BZ146" s="2"/>
      <c r="CA146" s="2"/>
      <c r="CB146" s="2"/>
      <c r="CC146" s="2"/>
      <c r="CD146" s="2"/>
      <c r="CE146" s="2"/>
      <c r="CF146" s="2"/>
      <c r="CG146" s="2"/>
      <c r="CH146" s="2"/>
      <c r="CI146" s="2"/>
      <c r="CJ146" s="2"/>
      <c r="CK146" s="2"/>
      <c r="CL146" s="2"/>
      <c r="CM146" s="2"/>
      <c r="CN146" s="2"/>
      <c r="CO146" s="2"/>
      <c r="CP146" s="2"/>
      <c r="CQ146" s="2"/>
      <c r="CR146" s="2"/>
      <c r="CS146" s="111"/>
      <c r="CT146" s="111"/>
      <c r="CU146" s="111"/>
      <c r="CV146" s="111"/>
      <c r="CW146" s="111"/>
      <c r="CX146" s="111"/>
      <c r="CY146" s="111"/>
      <c r="CZ146" s="111"/>
      <c r="DA146" s="111"/>
      <c r="DB146" s="111"/>
      <c r="DC146" s="111"/>
      <c r="DD146" s="111"/>
      <c r="DE146" s="111"/>
      <c r="DF146" s="111"/>
      <c r="DG146" s="111"/>
      <c r="DH146" s="111"/>
      <c r="DI146" s="111"/>
      <c r="DJ146" s="111"/>
      <c r="DK146" s="111"/>
      <c r="DL146" s="111"/>
      <c r="DM146" s="111"/>
      <c r="DN146" s="111"/>
      <c r="DO146" s="111"/>
      <c r="DP146" s="111"/>
      <c r="DQ146" s="111"/>
      <c r="DR146" s="111"/>
      <c r="DS146" s="111"/>
      <c r="DT146" s="111"/>
      <c r="DU146" s="111"/>
      <c r="DV146" s="111"/>
      <c r="DW146" s="111"/>
      <c r="DX146" s="111"/>
      <c r="DY146" s="111"/>
      <c r="DZ146" s="111"/>
      <c r="EA146" s="111"/>
      <c r="EB146" s="111"/>
      <c r="EC146" s="111"/>
      <c r="ED146" s="111"/>
      <c r="EE146" s="111"/>
      <c r="EF146" s="111"/>
      <c r="EG146" s="111"/>
      <c r="EH146" s="111"/>
      <c r="EI146" s="111"/>
      <c r="EJ146" s="111"/>
      <c r="EK146" s="111"/>
      <c r="EL146" s="111"/>
      <c r="EM146" s="111"/>
      <c r="EN146" s="111"/>
      <c r="EO146" s="111"/>
      <c r="EP146" s="111"/>
      <c r="EQ146" s="111"/>
      <c r="ER146" s="111"/>
      <c r="ES146" s="111"/>
      <c r="ET146" s="111"/>
      <c r="EU146" s="111"/>
      <c r="EV146" s="111"/>
      <c r="EW146" s="111"/>
      <c r="EX146" s="111"/>
      <c r="EY146" s="111"/>
      <c r="EZ146" s="111"/>
      <c r="FA146" s="111"/>
      <c r="FB146" s="111"/>
      <c r="FC146" s="111"/>
      <c r="FD146" s="111"/>
      <c r="FE146" s="111"/>
      <c r="FF146" s="111"/>
    </row>
    <row x14ac:dyDescent="0.25" r="147" customHeight="1" ht="18.75" customFormat="1" s="18">
      <c r="A147" s="2"/>
      <c r="B147" s="2"/>
      <c r="C147" s="2"/>
      <c r="D147" s="2"/>
      <c r="E147" s="2"/>
      <c r="F147" s="2"/>
      <c r="G147" s="2"/>
      <c r="H147" s="2"/>
      <c r="I147" s="2"/>
      <c r="J147" s="2"/>
      <c r="K147" s="20"/>
      <c r="L147" s="2"/>
      <c r="M147" s="2"/>
      <c r="N147" s="2"/>
      <c r="O147" s="2"/>
      <c r="P147" s="2"/>
      <c r="Q147" s="2"/>
      <c r="R147" s="2"/>
      <c r="S147" s="2"/>
      <c r="T147" s="124"/>
      <c r="U147" s="124"/>
      <c r="V147" s="124"/>
      <c r="W147" s="124"/>
      <c r="X147" s="124"/>
      <c r="Y147" s="124"/>
      <c r="Z147" s="124"/>
      <c r="AA147" s="124"/>
      <c r="AB147" s="124"/>
      <c r="AC147" s="124"/>
      <c r="AD147" s="124"/>
      <c r="AE147" s="124"/>
      <c r="AF147" s="124"/>
      <c r="AG147" s="124"/>
      <c r="AH147" s="124"/>
      <c r="AI147" s="124"/>
      <c r="AJ147" s="124"/>
      <c r="AK147" s="124"/>
      <c r="AL147" s="124"/>
      <c r="AM147" s="124"/>
      <c r="AN147" s="124"/>
      <c r="AO147" s="124"/>
      <c r="AP147" s="124"/>
      <c r="AQ147" s="124"/>
      <c r="AR147" s="20"/>
      <c r="AS147" s="2"/>
      <c r="AT147" s="20"/>
      <c r="AU147" s="20"/>
      <c r="AV147" s="2"/>
      <c r="AW147" s="2"/>
      <c r="AX147" s="2"/>
      <c r="AY147" s="2"/>
      <c r="AZ147" s="2"/>
      <c r="BA147" s="2"/>
      <c r="BB147" s="2"/>
      <c r="BC147" s="2"/>
      <c r="BD147" s="2"/>
      <c r="BE147" s="2"/>
      <c r="BF147" s="2"/>
      <c r="BG147" s="2"/>
      <c r="BH147" s="2"/>
      <c r="BI147" s="2"/>
      <c r="BJ147" s="2"/>
      <c r="BK147" s="2"/>
      <c r="BL147" s="2"/>
      <c r="BM147" s="2"/>
      <c r="BN147" s="2"/>
      <c r="BO147" s="2"/>
      <c r="BP147" s="20"/>
      <c r="BQ147" s="20"/>
      <c r="BR147" s="125"/>
      <c r="BS147" s="20"/>
      <c r="BT147" s="20"/>
      <c r="BU147" s="125"/>
      <c r="BV147" s="125"/>
      <c r="BW147" s="2"/>
      <c r="BX147" s="2"/>
      <c r="BY147" s="2"/>
      <c r="BZ147" s="2"/>
      <c r="CA147" s="2"/>
      <c r="CB147" s="2"/>
      <c r="CC147" s="2"/>
      <c r="CD147" s="2"/>
      <c r="CE147" s="2"/>
      <c r="CF147" s="2"/>
      <c r="CG147" s="2"/>
      <c r="CH147" s="2"/>
      <c r="CI147" s="2"/>
      <c r="CJ147" s="2"/>
      <c r="CK147" s="2"/>
      <c r="CL147" s="2"/>
      <c r="CM147" s="2"/>
      <c r="CN147" s="2"/>
      <c r="CO147" s="2"/>
      <c r="CP147" s="2"/>
      <c r="CQ147" s="2"/>
      <c r="CR147" s="2"/>
      <c r="CS147" s="111"/>
      <c r="CT147" s="111"/>
      <c r="CU147" s="111"/>
      <c r="CV147" s="111"/>
      <c r="CW147" s="111"/>
      <c r="CX147" s="111"/>
      <c r="CY147" s="111"/>
      <c r="CZ147" s="111"/>
      <c r="DA147" s="111"/>
      <c r="DB147" s="111"/>
      <c r="DC147" s="111"/>
      <c r="DD147" s="111"/>
      <c r="DE147" s="111"/>
      <c r="DF147" s="111"/>
      <c r="DG147" s="111"/>
      <c r="DH147" s="111"/>
      <c r="DI147" s="111"/>
      <c r="DJ147" s="111"/>
      <c r="DK147" s="111"/>
      <c r="DL147" s="111"/>
      <c r="DM147" s="111"/>
      <c r="DN147" s="111"/>
      <c r="DO147" s="111"/>
      <c r="DP147" s="111"/>
      <c r="DQ147" s="111"/>
      <c r="DR147" s="111"/>
      <c r="DS147" s="111"/>
      <c r="DT147" s="111"/>
      <c r="DU147" s="111"/>
      <c r="DV147" s="111"/>
      <c r="DW147" s="111"/>
      <c r="DX147" s="111"/>
      <c r="DY147" s="111"/>
      <c r="DZ147" s="111"/>
      <c r="EA147" s="111"/>
      <c r="EB147" s="111"/>
      <c r="EC147" s="111"/>
      <c r="ED147" s="111"/>
      <c r="EE147" s="111"/>
      <c r="EF147" s="111"/>
      <c r="EG147" s="111"/>
      <c r="EH147" s="111"/>
      <c r="EI147" s="111"/>
      <c r="EJ147" s="111"/>
      <c r="EK147" s="111"/>
      <c r="EL147" s="111"/>
      <c r="EM147" s="111"/>
      <c r="EN147" s="111"/>
      <c r="EO147" s="111"/>
      <c r="EP147" s="111"/>
      <c r="EQ147" s="111"/>
      <c r="ER147" s="111"/>
      <c r="ES147" s="111"/>
      <c r="ET147" s="111"/>
      <c r="EU147" s="111"/>
      <c r="EV147" s="111"/>
      <c r="EW147" s="111"/>
      <c r="EX147" s="111"/>
      <c r="EY147" s="111"/>
      <c r="EZ147" s="111"/>
      <c r="FA147" s="111"/>
      <c r="FB147" s="111"/>
      <c r="FC147" s="111"/>
      <c r="FD147" s="111"/>
      <c r="FE147" s="111"/>
      <c r="FF147" s="111"/>
    </row>
    <row x14ac:dyDescent="0.25" r="148" customHeight="1" ht="18.75" customFormat="1" s="18">
      <c r="A148" s="2"/>
      <c r="B148" s="2"/>
      <c r="C148" s="2"/>
      <c r="D148" s="2"/>
      <c r="E148" s="2"/>
      <c r="F148" s="2"/>
      <c r="G148" s="2"/>
      <c r="H148" s="2"/>
      <c r="I148" s="2"/>
      <c r="J148" s="2"/>
      <c r="K148" s="20"/>
      <c r="L148" s="2"/>
      <c r="M148" s="2"/>
      <c r="N148" s="2"/>
      <c r="O148" s="2"/>
      <c r="P148" s="2"/>
      <c r="Q148" s="2"/>
      <c r="R148" s="2"/>
      <c r="S148" s="2"/>
      <c r="T148" s="124"/>
      <c r="U148" s="124"/>
      <c r="V148" s="124"/>
      <c r="W148" s="124"/>
      <c r="X148" s="124"/>
      <c r="Y148" s="124"/>
      <c r="Z148" s="124"/>
      <c r="AA148" s="124"/>
      <c r="AB148" s="124"/>
      <c r="AC148" s="124"/>
      <c r="AD148" s="124"/>
      <c r="AE148" s="124"/>
      <c r="AF148" s="124"/>
      <c r="AG148" s="124"/>
      <c r="AH148" s="124"/>
      <c r="AI148" s="124"/>
      <c r="AJ148" s="124"/>
      <c r="AK148" s="124"/>
      <c r="AL148" s="124"/>
      <c r="AM148" s="124"/>
      <c r="AN148" s="124"/>
      <c r="AO148" s="124"/>
      <c r="AP148" s="124"/>
      <c r="AQ148" s="124"/>
      <c r="AR148" s="20"/>
      <c r="AS148" s="2"/>
      <c r="AT148" s="20"/>
      <c r="AU148" s="20"/>
      <c r="AV148" s="2"/>
      <c r="AW148" s="2"/>
      <c r="AX148" s="2"/>
      <c r="AY148" s="2"/>
      <c r="AZ148" s="2"/>
      <c r="BA148" s="2"/>
      <c r="BB148" s="2"/>
      <c r="BC148" s="2"/>
      <c r="BD148" s="2"/>
      <c r="BE148" s="2"/>
      <c r="BF148" s="2"/>
      <c r="BG148" s="2"/>
      <c r="BH148" s="2"/>
      <c r="BI148" s="2"/>
      <c r="BJ148" s="2"/>
      <c r="BK148" s="2"/>
      <c r="BL148" s="2"/>
      <c r="BM148" s="2"/>
      <c r="BN148" s="2"/>
      <c r="BO148" s="2"/>
      <c r="BP148" s="20"/>
      <c r="BQ148" s="20"/>
      <c r="BR148" s="125"/>
      <c r="BS148" s="20"/>
      <c r="BT148" s="20"/>
      <c r="BU148" s="125"/>
      <c r="BV148" s="125"/>
      <c r="BW148" s="2"/>
      <c r="BX148" s="2"/>
      <c r="BY148" s="2"/>
      <c r="BZ148" s="2"/>
      <c r="CA148" s="2"/>
      <c r="CB148" s="2"/>
      <c r="CC148" s="2"/>
      <c r="CD148" s="2"/>
      <c r="CE148" s="2"/>
      <c r="CF148" s="2"/>
      <c r="CG148" s="2"/>
      <c r="CH148" s="2"/>
      <c r="CI148" s="2"/>
      <c r="CJ148" s="2"/>
      <c r="CK148" s="2"/>
      <c r="CL148" s="2"/>
      <c r="CM148" s="2"/>
      <c r="CN148" s="2"/>
      <c r="CO148" s="2"/>
      <c r="CP148" s="2"/>
      <c r="CQ148" s="2"/>
      <c r="CR148" s="2"/>
      <c r="CS148" s="111"/>
      <c r="CT148" s="111"/>
      <c r="CU148" s="111"/>
      <c r="CV148" s="111"/>
      <c r="CW148" s="111"/>
      <c r="CX148" s="111"/>
      <c r="CY148" s="111"/>
      <c r="CZ148" s="111"/>
      <c r="DA148" s="111"/>
      <c r="DB148" s="111"/>
      <c r="DC148" s="111"/>
      <c r="DD148" s="111"/>
      <c r="DE148" s="111"/>
      <c r="DF148" s="111"/>
      <c r="DG148" s="111"/>
      <c r="DH148" s="111"/>
      <c r="DI148" s="111"/>
      <c r="DJ148" s="111"/>
      <c r="DK148" s="111"/>
      <c r="DL148" s="111"/>
      <c r="DM148" s="111"/>
      <c r="DN148" s="111"/>
      <c r="DO148" s="111"/>
      <c r="DP148" s="111"/>
      <c r="DQ148" s="111"/>
      <c r="DR148" s="111"/>
      <c r="DS148" s="111"/>
      <c r="DT148" s="111"/>
      <c r="DU148" s="111"/>
      <c r="DV148" s="111"/>
      <c r="DW148" s="111"/>
      <c r="DX148" s="111"/>
      <c r="DY148" s="111"/>
      <c r="DZ148" s="111"/>
      <c r="EA148" s="111"/>
      <c r="EB148" s="111"/>
      <c r="EC148" s="111"/>
      <c r="ED148" s="111"/>
      <c r="EE148" s="111"/>
      <c r="EF148" s="111"/>
      <c r="EG148" s="111"/>
      <c r="EH148" s="111"/>
      <c r="EI148" s="111"/>
      <c r="EJ148" s="111"/>
      <c r="EK148" s="111"/>
      <c r="EL148" s="111"/>
      <c r="EM148" s="111"/>
      <c r="EN148" s="111"/>
      <c r="EO148" s="111"/>
      <c r="EP148" s="111"/>
      <c r="EQ148" s="111"/>
      <c r="ER148" s="111"/>
      <c r="ES148" s="111"/>
      <c r="ET148" s="111"/>
      <c r="EU148" s="111"/>
      <c r="EV148" s="111"/>
      <c r="EW148" s="111"/>
      <c r="EX148" s="111"/>
      <c r="EY148" s="111"/>
      <c r="EZ148" s="111"/>
      <c r="FA148" s="111"/>
      <c r="FB148" s="111"/>
      <c r="FC148" s="111"/>
      <c r="FD148" s="111"/>
      <c r="FE148" s="111"/>
      <c r="FF148" s="111"/>
    </row>
    <row x14ac:dyDescent="0.25" r="149" customHeight="1" ht="18.75" customFormat="1" s="18">
      <c r="A149" s="2"/>
      <c r="B149" s="2"/>
      <c r="C149" s="2"/>
      <c r="D149" s="2"/>
      <c r="E149" s="2"/>
      <c r="F149" s="2"/>
      <c r="G149" s="2"/>
      <c r="H149" s="2"/>
      <c r="I149" s="2"/>
      <c r="J149" s="2"/>
      <c r="K149" s="20"/>
      <c r="L149" s="2"/>
      <c r="M149" s="2"/>
      <c r="N149" s="2"/>
      <c r="O149" s="2"/>
      <c r="P149" s="2"/>
      <c r="Q149" s="2"/>
      <c r="R149" s="2"/>
      <c r="S149" s="2"/>
      <c r="T149" s="124"/>
      <c r="U149" s="124"/>
      <c r="V149" s="124"/>
      <c r="W149" s="124"/>
      <c r="X149" s="124"/>
      <c r="Y149" s="124"/>
      <c r="Z149" s="124"/>
      <c r="AA149" s="124"/>
      <c r="AB149" s="124"/>
      <c r="AC149" s="124"/>
      <c r="AD149" s="124"/>
      <c r="AE149" s="124"/>
      <c r="AF149" s="124"/>
      <c r="AG149" s="124"/>
      <c r="AH149" s="124"/>
      <c r="AI149" s="124"/>
      <c r="AJ149" s="124"/>
      <c r="AK149" s="124"/>
      <c r="AL149" s="124"/>
      <c r="AM149" s="124"/>
      <c r="AN149" s="124"/>
      <c r="AO149" s="124"/>
      <c r="AP149" s="124"/>
      <c r="AQ149" s="124"/>
      <c r="AR149" s="20"/>
      <c r="AS149" s="2"/>
      <c r="AT149" s="20"/>
      <c r="AU149" s="20"/>
      <c r="AV149" s="2"/>
      <c r="AW149" s="2"/>
      <c r="AX149" s="2"/>
      <c r="AY149" s="2"/>
      <c r="AZ149" s="2"/>
      <c r="BA149" s="2"/>
      <c r="BB149" s="2"/>
      <c r="BC149" s="2"/>
      <c r="BD149" s="2"/>
      <c r="BE149" s="2"/>
      <c r="BF149" s="2"/>
      <c r="BG149" s="2"/>
      <c r="BH149" s="2"/>
      <c r="BI149" s="2"/>
      <c r="BJ149" s="2"/>
      <c r="BK149" s="2"/>
      <c r="BL149" s="2"/>
      <c r="BM149" s="2"/>
      <c r="BN149" s="2"/>
      <c r="BO149" s="2"/>
      <c r="BP149" s="20"/>
      <c r="BQ149" s="20"/>
      <c r="BR149" s="125"/>
      <c r="BS149" s="20"/>
      <c r="BT149" s="20"/>
      <c r="BU149" s="125"/>
      <c r="BV149" s="125"/>
      <c r="BW149" s="2"/>
      <c r="BX149" s="2"/>
      <c r="BY149" s="2"/>
      <c r="BZ149" s="2"/>
      <c r="CA149" s="2"/>
      <c r="CB149" s="2"/>
      <c r="CC149" s="2"/>
      <c r="CD149" s="2"/>
      <c r="CE149" s="2"/>
      <c r="CF149" s="2"/>
      <c r="CG149" s="2"/>
      <c r="CH149" s="2"/>
      <c r="CI149" s="2"/>
      <c r="CJ149" s="2"/>
      <c r="CK149" s="2"/>
      <c r="CL149" s="2"/>
      <c r="CM149" s="2"/>
      <c r="CN149" s="2"/>
      <c r="CO149" s="2"/>
      <c r="CP149" s="2"/>
      <c r="CQ149" s="2"/>
      <c r="CR149" s="2"/>
      <c r="CS149" s="111"/>
      <c r="CT149" s="111"/>
      <c r="CU149" s="111"/>
      <c r="CV149" s="111"/>
      <c r="CW149" s="111"/>
      <c r="CX149" s="111"/>
      <c r="CY149" s="111"/>
      <c r="CZ149" s="111"/>
      <c r="DA149" s="111"/>
      <c r="DB149" s="111"/>
      <c r="DC149" s="111"/>
      <c r="DD149" s="111"/>
      <c r="DE149" s="111"/>
      <c r="DF149" s="111"/>
      <c r="DG149" s="111"/>
      <c r="DH149" s="111"/>
      <c r="DI149" s="111"/>
      <c r="DJ149" s="111"/>
      <c r="DK149" s="111"/>
      <c r="DL149" s="111"/>
      <c r="DM149" s="111"/>
      <c r="DN149" s="111"/>
      <c r="DO149" s="111"/>
      <c r="DP149" s="111"/>
      <c r="DQ149" s="111"/>
      <c r="DR149" s="111"/>
      <c r="DS149" s="111"/>
      <c r="DT149" s="111"/>
      <c r="DU149" s="111"/>
      <c r="DV149" s="111"/>
      <c r="DW149" s="111"/>
      <c r="DX149" s="111"/>
      <c r="DY149" s="111"/>
      <c r="DZ149" s="111"/>
      <c r="EA149" s="111"/>
      <c r="EB149" s="111"/>
      <c r="EC149" s="111"/>
      <c r="ED149" s="111"/>
      <c r="EE149" s="111"/>
      <c r="EF149" s="111"/>
      <c r="EG149" s="111"/>
      <c r="EH149" s="111"/>
      <c r="EI149" s="111"/>
      <c r="EJ149" s="111"/>
      <c r="EK149" s="111"/>
      <c r="EL149" s="111"/>
      <c r="EM149" s="111"/>
      <c r="EN149" s="111"/>
      <c r="EO149" s="111"/>
      <c r="EP149" s="111"/>
      <c r="EQ149" s="111"/>
      <c r="ER149" s="111"/>
      <c r="ES149" s="111"/>
      <c r="ET149" s="111"/>
      <c r="EU149" s="111"/>
      <c r="EV149" s="111"/>
      <c r="EW149" s="111"/>
      <c r="EX149" s="111"/>
      <c r="EY149" s="111"/>
      <c r="EZ149" s="111"/>
      <c r="FA149" s="111"/>
      <c r="FB149" s="111"/>
      <c r="FC149" s="111"/>
      <c r="FD149" s="111"/>
      <c r="FE149" s="111"/>
      <c r="FF149" s="111"/>
    </row>
    <row x14ac:dyDescent="0.25" r="150" customHeight="1" ht="18.75" customFormat="1" s="18">
      <c r="A150" s="2"/>
      <c r="B150" s="2"/>
      <c r="C150" s="2"/>
      <c r="D150" s="2"/>
      <c r="E150" s="2"/>
      <c r="F150" s="2"/>
      <c r="G150" s="2"/>
      <c r="H150" s="2"/>
      <c r="I150" s="2"/>
      <c r="J150" s="2"/>
      <c r="K150" s="20"/>
      <c r="L150" s="2"/>
      <c r="M150" s="2"/>
      <c r="N150" s="2"/>
      <c r="O150" s="2"/>
      <c r="P150" s="2"/>
      <c r="Q150" s="2"/>
      <c r="R150" s="2"/>
      <c r="S150" s="2"/>
      <c r="T150" s="124"/>
      <c r="U150" s="124"/>
      <c r="V150" s="124"/>
      <c r="W150" s="124"/>
      <c r="X150" s="124"/>
      <c r="Y150" s="124"/>
      <c r="Z150" s="124"/>
      <c r="AA150" s="124"/>
      <c r="AB150" s="124"/>
      <c r="AC150" s="124"/>
      <c r="AD150" s="124"/>
      <c r="AE150" s="124"/>
      <c r="AF150" s="124"/>
      <c r="AG150" s="124"/>
      <c r="AH150" s="124"/>
      <c r="AI150" s="124"/>
      <c r="AJ150" s="124"/>
      <c r="AK150" s="124"/>
      <c r="AL150" s="124"/>
      <c r="AM150" s="124"/>
      <c r="AN150" s="124"/>
      <c r="AO150" s="124"/>
      <c r="AP150" s="124"/>
      <c r="AQ150" s="124"/>
      <c r="AR150" s="20"/>
      <c r="AS150" s="2"/>
      <c r="AT150" s="20"/>
      <c r="AU150" s="20"/>
      <c r="AV150" s="2"/>
      <c r="AW150" s="2"/>
      <c r="AX150" s="2"/>
      <c r="AY150" s="2"/>
      <c r="AZ150" s="2"/>
      <c r="BA150" s="2"/>
      <c r="BB150" s="2"/>
      <c r="BC150" s="2"/>
      <c r="BD150" s="2"/>
      <c r="BE150" s="2"/>
      <c r="BF150" s="2"/>
      <c r="BG150" s="2"/>
      <c r="BH150" s="2"/>
      <c r="BI150" s="2"/>
      <c r="BJ150" s="2"/>
      <c r="BK150" s="2"/>
      <c r="BL150" s="2"/>
      <c r="BM150" s="2"/>
      <c r="BN150" s="2"/>
      <c r="BO150" s="2"/>
      <c r="BP150" s="20"/>
      <c r="BQ150" s="20"/>
      <c r="BR150" s="125"/>
      <c r="BS150" s="20"/>
      <c r="BT150" s="20"/>
      <c r="BU150" s="125"/>
      <c r="BV150" s="125"/>
      <c r="BW150" s="2"/>
      <c r="BX150" s="2"/>
      <c r="BY150" s="2"/>
      <c r="BZ150" s="2"/>
      <c r="CA150" s="2"/>
      <c r="CB150" s="2"/>
      <c r="CC150" s="2"/>
      <c r="CD150" s="2"/>
      <c r="CE150" s="2"/>
      <c r="CF150" s="2"/>
      <c r="CG150" s="2"/>
      <c r="CH150" s="2"/>
      <c r="CI150" s="2"/>
      <c r="CJ150" s="2"/>
      <c r="CK150" s="2"/>
      <c r="CL150" s="2"/>
      <c r="CM150" s="2"/>
      <c r="CN150" s="2"/>
      <c r="CO150" s="2"/>
      <c r="CP150" s="2"/>
      <c r="CQ150" s="2"/>
      <c r="CR150" s="2"/>
      <c r="CS150" s="111"/>
      <c r="CT150" s="111"/>
      <c r="CU150" s="111"/>
      <c r="CV150" s="111"/>
      <c r="CW150" s="111"/>
      <c r="CX150" s="111"/>
      <c r="CY150" s="111"/>
      <c r="CZ150" s="111"/>
      <c r="DA150" s="111"/>
      <c r="DB150" s="111"/>
      <c r="DC150" s="111"/>
      <c r="DD150" s="111"/>
      <c r="DE150" s="111"/>
      <c r="DF150" s="111"/>
      <c r="DG150" s="111"/>
      <c r="DH150" s="111"/>
      <c r="DI150" s="111"/>
      <c r="DJ150" s="111"/>
      <c r="DK150" s="111"/>
      <c r="DL150" s="111"/>
      <c r="DM150" s="111"/>
      <c r="DN150" s="111"/>
      <c r="DO150" s="111"/>
      <c r="DP150" s="111"/>
      <c r="DQ150" s="111"/>
      <c r="DR150" s="111"/>
      <c r="DS150" s="111"/>
      <c r="DT150" s="111"/>
      <c r="DU150" s="111"/>
      <c r="DV150" s="111"/>
      <c r="DW150" s="111"/>
      <c r="DX150" s="111"/>
      <c r="DY150" s="111"/>
      <c r="DZ150" s="111"/>
      <c r="EA150" s="111"/>
      <c r="EB150" s="111"/>
      <c r="EC150" s="111"/>
      <c r="ED150" s="111"/>
      <c r="EE150" s="111"/>
      <c r="EF150" s="111"/>
      <c r="EG150" s="111"/>
      <c r="EH150" s="111"/>
      <c r="EI150" s="111"/>
      <c r="EJ150" s="111"/>
      <c r="EK150" s="111"/>
      <c r="EL150" s="111"/>
      <c r="EM150" s="111"/>
      <c r="EN150" s="111"/>
      <c r="EO150" s="111"/>
      <c r="EP150" s="111"/>
      <c r="EQ150" s="111"/>
      <c r="ER150" s="111"/>
      <c r="ES150" s="111"/>
      <c r="ET150" s="111"/>
      <c r="EU150" s="111"/>
      <c r="EV150" s="111"/>
      <c r="EW150" s="111"/>
      <c r="EX150" s="111"/>
      <c r="EY150" s="111"/>
      <c r="EZ150" s="111"/>
      <c r="FA150" s="111"/>
      <c r="FB150" s="111"/>
      <c r="FC150" s="111"/>
      <c r="FD150" s="111"/>
      <c r="FE150" s="111"/>
      <c r="FF150" s="111"/>
    </row>
    <row x14ac:dyDescent="0.25" r="151" customHeight="1" ht="18.75" customFormat="1" s="18">
      <c r="A151" s="2"/>
      <c r="B151" s="2"/>
      <c r="C151" s="2"/>
      <c r="D151" s="2"/>
      <c r="E151" s="2"/>
      <c r="F151" s="2"/>
      <c r="G151" s="2"/>
      <c r="H151" s="2"/>
      <c r="I151" s="2"/>
      <c r="J151" s="2"/>
      <c r="K151" s="20"/>
      <c r="L151" s="2"/>
      <c r="M151" s="2"/>
      <c r="N151" s="2"/>
      <c r="O151" s="2"/>
      <c r="P151" s="2"/>
      <c r="Q151" s="2"/>
      <c r="R151" s="2"/>
      <c r="S151" s="2"/>
      <c r="T151" s="124"/>
      <c r="U151" s="124"/>
      <c r="V151" s="124"/>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c r="AR151" s="20"/>
      <c r="AS151" s="2"/>
      <c r="AT151" s="20"/>
      <c r="AU151" s="20"/>
      <c r="AV151" s="2"/>
      <c r="AW151" s="2"/>
      <c r="AX151" s="2"/>
      <c r="AY151" s="2"/>
      <c r="AZ151" s="2"/>
      <c r="BA151" s="2"/>
      <c r="BB151" s="2"/>
      <c r="BC151" s="2"/>
      <c r="BD151" s="2"/>
      <c r="BE151" s="2"/>
      <c r="BF151" s="2"/>
      <c r="BG151" s="2"/>
      <c r="BH151" s="2"/>
      <c r="BI151" s="2"/>
      <c r="BJ151" s="2"/>
      <c r="BK151" s="2"/>
      <c r="BL151" s="2"/>
      <c r="BM151" s="2"/>
      <c r="BN151" s="2"/>
      <c r="BO151" s="2"/>
      <c r="BP151" s="20"/>
      <c r="BQ151" s="20"/>
      <c r="BR151" s="125"/>
      <c r="BS151" s="20"/>
      <c r="BT151" s="20"/>
      <c r="BU151" s="125"/>
      <c r="BV151" s="125"/>
      <c r="BW151" s="2"/>
      <c r="BX151" s="2"/>
      <c r="BY151" s="2"/>
      <c r="BZ151" s="2"/>
      <c r="CA151" s="2"/>
      <c r="CB151" s="2"/>
      <c r="CC151" s="2"/>
      <c r="CD151" s="2"/>
      <c r="CE151" s="2"/>
      <c r="CF151" s="2"/>
      <c r="CG151" s="2"/>
      <c r="CH151" s="2"/>
      <c r="CI151" s="2"/>
      <c r="CJ151" s="2"/>
      <c r="CK151" s="2"/>
      <c r="CL151" s="2"/>
      <c r="CM151" s="2"/>
      <c r="CN151" s="2"/>
      <c r="CO151" s="2"/>
      <c r="CP151" s="2"/>
      <c r="CQ151" s="2"/>
      <c r="CR151" s="2"/>
      <c r="CS151" s="111"/>
      <c r="CT151" s="111"/>
      <c r="CU151" s="111"/>
      <c r="CV151" s="111"/>
      <c r="CW151" s="111"/>
      <c r="CX151" s="111"/>
      <c r="CY151" s="111"/>
      <c r="CZ151" s="111"/>
      <c r="DA151" s="111"/>
      <c r="DB151" s="111"/>
      <c r="DC151" s="111"/>
      <c r="DD151" s="111"/>
      <c r="DE151" s="111"/>
      <c r="DF151" s="111"/>
      <c r="DG151" s="111"/>
      <c r="DH151" s="111"/>
      <c r="DI151" s="111"/>
      <c r="DJ151" s="111"/>
      <c r="DK151" s="111"/>
      <c r="DL151" s="111"/>
      <c r="DM151" s="111"/>
      <c r="DN151" s="111"/>
      <c r="DO151" s="111"/>
      <c r="DP151" s="111"/>
      <c r="DQ151" s="111"/>
      <c r="DR151" s="111"/>
      <c r="DS151" s="111"/>
      <c r="DT151" s="111"/>
      <c r="DU151" s="111"/>
      <c r="DV151" s="111"/>
      <c r="DW151" s="111"/>
      <c r="DX151" s="111"/>
      <c r="DY151" s="111"/>
      <c r="DZ151" s="111"/>
      <c r="EA151" s="111"/>
      <c r="EB151" s="111"/>
      <c r="EC151" s="111"/>
      <c r="ED151" s="111"/>
      <c r="EE151" s="111"/>
      <c r="EF151" s="111"/>
      <c r="EG151" s="111"/>
      <c r="EH151" s="111"/>
      <c r="EI151" s="111"/>
      <c r="EJ151" s="111"/>
      <c r="EK151" s="111"/>
      <c r="EL151" s="111"/>
      <c r="EM151" s="111"/>
      <c r="EN151" s="111"/>
      <c r="EO151" s="111"/>
      <c r="EP151" s="111"/>
      <c r="EQ151" s="111"/>
      <c r="ER151" s="111"/>
      <c r="ES151" s="111"/>
      <c r="ET151" s="111"/>
      <c r="EU151" s="111"/>
      <c r="EV151" s="111"/>
      <c r="EW151" s="111"/>
      <c r="EX151" s="111"/>
      <c r="EY151" s="111"/>
      <c r="EZ151" s="111"/>
      <c r="FA151" s="111"/>
      <c r="FB151" s="111"/>
      <c r="FC151" s="111"/>
      <c r="FD151" s="111"/>
      <c r="FE151" s="111"/>
      <c r="FF151" s="111"/>
    </row>
    <row x14ac:dyDescent="0.25" r="152" customHeight="1" ht="18.75" customFormat="1" s="18">
      <c r="A152" s="2"/>
      <c r="B152" s="2"/>
      <c r="C152" s="2"/>
      <c r="D152" s="2"/>
      <c r="E152" s="2"/>
      <c r="F152" s="2"/>
      <c r="G152" s="2"/>
      <c r="H152" s="2"/>
      <c r="I152" s="2"/>
      <c r="J152" s="2"/>
      <c r="K152" s="20"/>
      <c r="L152" s="2"/>
      <c r="M152" s="2"/>
      <c r="N152" s="2"/>
      <c r="O152" s="2"/>
      <c r="P152" s="2"/>
      <c r="Q152" s="2"/>
      <c r="R152" s="2"/>
      <c r="S152" s="2"/>
      <c r="T152" s="124"/>
      <c r="U152" s="124"/>
      <c r="V152" s="124"/>
      <c r="W152" s="124"/>
      <c r="X152" s="124"/>
      <c r="Y152" s="124"/>
      <c r="Z152" s="124"/>
      <c r="AA152" s="124"/>
      <c r="AB152" s="124"/>
      <c r="AC152" s="124"/>
      <c r="AD152" s="124"/>
      <c r="AE152" s="124"/>
      <c r="AF152" s="124"/>
      <c r="AG152" s="124"/>
      <c r="AH152" s="124"/>
      <c r="AI152" s="124"/>
      <c r="AJ152" s="124"/>
      <c r="AK152" s="124"/>
      <c r="AL152" s="124"/>
      <c r="AM152" s="124"/>
      <c r="AN152" s="124"/>
      <c r="AO152" s="124"/>
      <c r="AP152" s="124"/>
      <c r="AQ152" s="124"/>
      <c r="AR152" s="20"/>
      <c r="AS152" s="2"/>
      <c r="AT152" s="20"/>
      <c r="AU152" s="20"/>
      <c r="AV152" s="2"/>
      <c r="AW152" s="2"/>
      <c r="AX152" s="2"/>
      <c r="AY152" s="2"/>
      <c r="AZ152" s="2"/>
      <c r="BA152" s="2"/>
      <c r="BB152" s="2"/>
      <c r="BC152" s="2"/>
      <c r="BD152" s="2"/>
      <c r="BE152" s="2"/>
      <c r="BF152" s="2"/>
      <c r="BG152" s="2"/>
      <c r="BH152" s="2"/>
      <c r="BI152" s="2"/>
      <c r="BJ152" s="2"/>
      <c r="BK152" s="2"/>
      <c r="BL152" s="2"/>
      <c r="BM152" s="2"/>
      <c r="BN152" s="2"/>
      <c r="BO152" s="2"/>
      <c r="BP152" s="20"/>
      <c r="BQ152" s="20"/>
      <c r="BR152" s="125"/>
      <c r="BS152" s="20"/>
      <c r="BT152" s="20"/>
      <c r="BU152" s="125"/>
      <c r="BV152" s="125"/>
      <c r="BW152" s="2"/>
      <c r="BX152" s="2"/>
      <c r="BY152" s="2"/>
      <c r="BZ152" s="2"/>
      <c r="CA152" s="2"/>
      <c r="CB152" s="2"/>
      <c r="CC152" s="2"/>
      <c r="CD152" s="2"/>
      <c r="CE152" s="2"/>
      <c r="CF152" s="2"/>
      <c r="CG152" s="2"/>
      <c r="CH152" s="2"/>
      <c r="CI152" s="2"/>
      <c r="CJ152" s="2"/>
      <c r="CK152" s="2"/>
      <c r="CL152" s="2"/>
      <c r="CM152" s="2"/>
      <c r="CN152" s="2"/>
      <c r="CO152" s="2"/>
      <c r="CP152" s="2"/>
      <c r="CQ152" s="2"/>
      <c r="CR152" s="2"/>
      <c r="CS152" s="111"/>
      <c r="CT152" s="111"/>
      <c r="CU152" s="111"/>
      <c r="CV152" s="111"/>
      <c r="CW152" s="111"/>
      <c r="CX152" s="111"/>
      <c r="CY152" s="111"/>
      <c r="CZ152" s="111"/>
      <c r="DA152" s="111"/>
      <c r="DB152" s="111"/>
      <c r="DC152" s="111"/>
      <c r="DD152" s="111"/>
      <c r="DE152" s="111"/>
      <c r="DF152" s="111"/>
      <c r="DG152" s="111"/>
      <c r="DH152" s="111"/>
      <c r="DI152" s="111"/>
      <c r="DJ152" s="111"/>
      <c r="DK152" s="111"/>
      <c r="DL152" s="111"/>
      <c r="DM152" s="111"/>
      <c r="DN152" s="111"/>
      <c r="DO152" s="111"/>
      <c r="DP152" s="111"/>
      <c r="DQ152" s="111"/>
      <c r="DR152" s="111"/>
      <c r="DS152" s="111"/>
      <c r="DT152" s="111"/>
      <c r="DU152" s="111"/>
      <c r="DV152" s="111"/>
      <c r="DW152" s="111"/>
      <c r="DX152" s="111"/>
      <c r="DY152" s="111"/>
      <c r="DZ152" s="111"/>
      <c r="EA152" s="111"/>
      <c r="EB152" s="111"/>
      <c r="EC152" s="111"/>
      <c r="ED152" s="111"/>
      <c r="EE152" s="111"/>
      <c r="EF152" s="111"/>
      <c r="EG152" s="111"/>
      <c r="EH152" s="111"/>
      <c r="EI152" s="111"/>
      <c r="EJ152" s="111"/>
      <c r="EK152" s="111"/>
      <c r="EL152" s="111"/>
      <c r="EM152" s="111"/>
      <c r="EN152" s="111"/>
      <c r="EO152" s="111"/>
      <c r="EP152" s="111"/>
      <c r="EQ152" s="111"/>
      <c r="ER152" s="111"/>
      <c r="ES152" s="111"/>
      <c r="ET152" s="111"/>
      <c r="EU152" s="111"/>
      <c r="EV152" s="111"/>
      <c r="EW152" s="111"/>
      <c r="EX152" s="111"/>
      <c r="EY152" s="111"/>
      <c r="EZ152" s="111"/>
      <c r="FA152" s="111"/>
      <c r="FB152" s="111"/>
      <c r="FC152" s="111"/>
      <c r="FD152" s="111"/>
      <c r="FE152" s="111"/>
      <c r="FF152" s="111"/>
    </row>
    <row x14ac:dyDescent="0.25" r="153" customHeight="1" ht="18.75" customFormat="1" s="18">
      <c r="A153" s="2"/>
      <c r="B153" s="2"/>
      <c r="C153" s="2"/>
      <c r="D153" s="2"/>
      <c r="E153" s="2"/>
      <c r="F153" s="2"/>
      <c r="G153" s="2"/>
      <c r="H153" s="2"/>
      <c r="I153" s="2"/>
      <c r="J153" s="2"/>
      <c r="K153" s="20"/>
      <c r="L153" s="2"/>
      <c r="M153" s="2"/>
      <c r="N153" s="2"/>
      <c r="O153" s="2"/>
      <c r="P153" s="2"/>
      <c r="Q153" s="2"/>
      <c r="R153" s="2"/>
      <c r="S153" s="2"/>
      <c r="T153" s="124"/>
      <c r="U153" s="124"/>
      <c r="V153" s="124"/>
      <c r="W153" s="124"/>
      <c r="X153" s="124"/>
      <c r="Y153" s="124"/>
      <c r="Z153" s="124"/>
      <c r="AA153" s="124"/>
      <c r="AB153" s="124"/>
      <c r="AC153" s="124"/>
      <c r="AD153" s="124"/>
      <c r="AE153" s="124"/>
      <c r="AF153" s="124"/>
      <c r="AG153" s="124"/>
      <c r="AH153" s="124"/>
      <c r="AI153" s="124"/>
      <c r="AJ153" s="124"/>
      <c r="AK153" s="124"/>
      <c r="AL153" s="124"/>
      <c r="AM153" s="124"/>
      <c r="AN153" s="124"/>
      <c r="AO153" s="124"/>
      <c r="AP153" s="124"/>
      <c r="AQ153" s="124"/>
      <c r="AR153" s="20"/>
      <c r="AS153" s="2"/>
      <c r="AT153" s="20"/>
      <c r="AU153" s="20"/>
      <c r="AV153" s="2"/>
      <c r="AW153" s="2"/>
      <c r="AX153" s="2"/>
      <c r="AY153" s="2"/>
      <c r="AZ153" s="2"/>
      <c r="BA153" s="2"/>
      <c r="BB153" s="2"/>
      <c r="BC153" s="2"/>
      <c r="BD153" s="2"/>
      <c r="BE153" s="2"/>
      <c r="BF153" s="2"/>
      <c r="BG153" s="2"/>
      <c r="BH153" s="2"/>
      <c r="BI153" s="2"/>
      <c r="BJ153" s="2"/>
      <c r="BK153" s="2"/>
      <c r="BL153" s="2"/>
      <c r="BM153" s="2"/>
      <c r="BN153" s="2"/>
      <c r="BO153" s="2"/>
      <c r="BP153" s="20"/>
      <c r="BQ153" s="20"/>
      <c r="BR153" s="125"/>
      <c r="BS153" s="20"/>
      <c r="BT153" s="20"/>
      <c r="BU153" s="125"/>
      <c r="BV153" s="125"/>
      <c r="BW153" s="2"/>
      <c r="BX153" s="2"/>
      <c r="BY153" s="2"/>
      <c r="BZ153" s="2"/>
      <c r="CA153" s="2"/>
      <c r="CB153" s="2"/>
      <c r="CC153" s="2"/>
      <c r="CD153" s="2"/>
      <c r="CE153" s="2"/>
      <c r="CF153" s="2"/>
      <c r="CG153" s="2"/>
      <c r="CH153" s="2"/>
      <c r="CI153" s="2"/>
      <c r="CJ153" s="2"/>
      <c r="CK153" s="2"/>
      <c r="CL153" s="2"/>
      <c r="CM153" s="2"/>
      <c r="CN153" s="2"/>
      <c r="CO153" s="2"/>
      <c r="CP153" s="2"/>
      <c r="CQ153" s="2"/>
      <c r="CR153" s="2"/>
      <c r="CS153" s="111"/>
      <c r="CT153" s="111"/>
      <c r="CU153" s="111"/>
      <c r="CV153" s="111"/>
      <c r="CW153" s="111"/>
      <c r="CX153" s="111"/>
      <c r="CY153" s="111"/>
      <c r="CZ153" s="111"/>
      <c r="DA153" s="111"/>
      <c r="DB153" s="111"/>
      <c r="DC153" s="111"/>
      <c r="DD153" s="111"/>
      <c r="DE153" s="111"/>
      <c r="DF153" s="111"/>
      <c r="DG153" s="111"/>
      <c r="DH153" s="111"/>
      <c r="DI153" s="111"/>
      <c r="DJ153" s="111"/>
      <c r="DK153" s="111"/>
      <c r="DL153" s="111"/>
      <c r="DM153" s="111"/>
      <c r="DN153" s="111"/>
      <c r="DO153" s="111"/>
      <c r="DP153" s="111"/>
      <c r="DQ153" s="111"/>
      <c r="DR153" s="111"/>
      <c r="DS153" s="111"/>
      <c r="DT153" s="111"/>
      <c r="DU153" s="111"/>
      <c r="DV153" s="111"/>
      <c r="DW153" s="111"/>
      <c r="DX153" s="111"/>
      <c r="DY153" s="111"/>
      <c r="DZ153" s="111"/>
      <c r="EA153" s="111"/>
      <c r="EB153" s="111"/>
      <c r="EC153" s="111"/>
      <c r="ED153" s="111"/>
      <c r="EE153" s="111"/>
      <c r="EF153" s="111"/>
      <c r="EG153" s="111"/>
      <c r="EH153" s="111"/>
      <c r="EI153" s="111"/>
      <c r="EJ153" s="111"/>
      <c r="EK153" s="111"/>
      <c r="EL153" s="111"/>
      <c r="EM153" s="111"/>
      <c r="EN153" s="111"/>
      <c r="EO153" s="111"/>
      <c r="EP153" s="111"/>
      <c r="EQ153" s="111"/>
      <c r="ER153" s="111"/>
      <c r="ES153" s="111"/>
      <c r="ET153" s="111"/>
      <c r="EU153" s="111"/>
      <c r="EV153" s="111"/>
      <c r="EW153" s="111"/>
      <c r="EX153" s="111"/>
      <c r="EY153" s="111"/>
      <c r="EZ153" s="111"/>
      <c r="FA153" s="111"/>
      <c r="FB153" s="111"/>
      <c r="FC153" s="111"/>
      <c r="FD153" s="111"/>
      <c r="FE153" s="111"/>
      <c r="FF153" s="111"/>
    </row>
    <row x14ac:dyDescent="0.25" r="154" customHeight="1" ht="18.75" customFormat="1" s="18">
      <c r="A154" s="2"/>
      <c r="B154" s="2"/>
      <c r="C154" s="2"/>
      <c r="D154" s="2"/>
      <c r="E154" s="2"/>
      <c r="F154" s="2"/>
      <c r="G154" s="2"/>
      <c r="H154" s="2"/>
      <c r="I154" s="2"/>
      <c r="J154" s="2"/>
      <c r="K154" s="20"/>
      <c r="L154" s="2"/>
      <c r="M154" s="2"/>
      <c r="N154" s="2"/>
      <c r="O154" s="2"/>
      <c r="P154" s="2"/>
      <c r="Q154" s="2"/>
      <c r="R154" s="2"/>
      <c r="S154" s="2"/>
      <c r="T154" s="124"/>
      <c r="U154" s="124"/>
      <c r="V154" s="124"/>
      <c r="W154" s="124"/>
      <c r="X154" s="124"/>
      <c r="Y154" s="124"/>
      <c r="Z154" s="124"/>
      <c r="AA154" s="124"/>
      <c r="AB154" s="124"/>
      <c r="AC154" s="124"/>
      <c r="AD154" s="124"/>
      <c r="AE154" s="124"/>
      <c r="AF154" s="124"/>
      <c r="AG154" s="124"/>
      <c r="AH154" s="124"/>
      <c r="AI154" s="124"/>
      <c r="AJ154" s="124"/>
      <c r="AK154" s="124"/>
      <c r="AL154" s="124"/>
      <c r="AM154" s="124"/>
      <c r="AN154" s="124"/>
      <c r="AO154" s="124"/>
      <c r="AP154" s="124"/>
      <c r="AQ154" s="124"/>
      <c r="AR154" s="20"/>
      <c r="AS154" s="2"/>
      <c r="AT154" s="20"/>
      <c r="AU154" s="20"/>
      <c r="AV154" s="2"/>
      <c r="AW154" s="2"/>
      <c r="AX154" s="2"/>
      <c r="AY154" s="2"/>
      <c r="AZ154" s="2"/>
      <c r="BA154" s="2"/>
      <c r="BB154" s="2"/>
      <c r="BC154" s="2"/>
      <c r="BD154" s="2"/>
      <c r="BE154" s="2"/>
      <c r="BF154" s="2"/>
      <c r="BG154" s="2"/>
      <c r="BH154" s="2"/>
      <c r="BI154" s="2"/>
      <c r="BJ154" s="2"/>
      <c r="BK154" s="2"/>
      <c r="BL154" s="2"/>
      <c r="BM154" s="2"/>
      <c r="BN154" s="2"/>
      <c r="BO154" s="2"/>
      <c r="BP154" s="20"/>
      <c r="BQ154" s="20"/>
      <c r="BR154" s="125"/>
      <c r="BS154" s="20"/>
      <c r="BT154" s="20"/>
      <c r="BU154" s="125"/>
      <c r="BV154" s="125"/>
      <c r="BW154" s="2"/>
      <c r="BX154" s="2"/>
      <c r="BY154" s="2"/>
      <c r="BZ154" s="2"/>
      <c r="CA154" s="2"/>
      <c r="CB154" s="2"/>
      <c r="CC154" s="2"/>
      <c r="CD154" s="2"/>
      <c r="CE154" s="2"/>
      <c r="CF154" s="2"/>
      <c r="CG154" s="2"/>
      <c r="CH154" s="2"/>
      <c r="CI154" s="2"/>
      <c r="CJ154" s="2"/>
      <c r="CK154" s="2"/>
      <c r="CL154" s="2"/>
      <c r="CM154" s="2"/>
      <c r="CN154" s="2"/>
      <c r="CO154" s="2"/>
      <c r="CP154" s="2"/>
      <c r="CQ154" s="2"/>
      <c r="CR154" s="2"/>
      <c r="CS154" s="111"/>
      <c r="CT154" s="111"/>
      <c r="CU154" s="111"/>
      <c r="CV154" s="111"/>
      <c r="CW154" s="111"/>
      <c r="CX154" s="111"/>
      <c r="CY154" s="111"/>
      <c r="CZ154" s="111"/>
      <c r="DA154" s="111"/>
      <c r="DB154" s="111"/>
      <c r="DC154" s="111"/>
      <c r="DD154" s="111"/>
      <c r="DE154" s="111"/>
      <c r="DF154" s="111"/>
      <c r="DG154" s="111"/>
      <c r="DH154" s="111"/>
      <c r="DI154" s="111"/>
      <c r="DJ154" s="111"/>
      <c r="DK154" s="111"/>
      <c r="DL154" s="111"/>
      <c r="DM154" s="111"/>
      <c r="DN154" s="111"/>
      <c r="DO154" s="111"/>
      <c r="DP154" s="111"/>
      <c r="DQ154" s="111"/>
      <c r="DR154" s="111"/>
      <c r="DS154" s="111"/>
      <c r="DT154" s="111"/>
      <c r="DU154" s="111"/>
      <c r="DV154" s="111"/>
      <c r="DW154" s="111"/>
      <c r="DX154" s="111"/>
      <c r="DY154" s="111"/>
      <c r="DZ154" s="111"/>
      <c r="EA154" s="111"/>
      <c r="EB154" s="111"/>
      <c r="EC154" s="111"/>
      <c r="ED154" s="111"/>
      <c r="EE154" s="111"/>
      <c r="EF154" s="111"/>
      <c r="EG154" s="111"/>
      <c r="EH154" s="111"/>
      <c r="EI154" s="111"/>
      <c r="EJ154" s="111"/>
      <c r="EK154" s="111"/>
      <c r="EL154" s="111"/>
      <c r="EM154" s="111"/>
      <c r="EN154" s="111"/>
      <c r="EO154" s="111"/>
      <c r="EP154" s="111"/>
      <c r="EQ154" s="111"/>
      <c r="ER154" s="111"/>
      <c r="ES154" s="111"/>
      <c r="ET154" s="111"/>
      <c r="EU154" s="111"/>
      <c r="EV154" s="111"/>
      <c r="EW154" s="111"/>
      <c r="EX154" s="111"/>
      <c r="EY154" s="111"/>
      <c r="EZ154" s="111"/>
      <c r="FA154" s="111"/>
      <c r="FB154" s="111"/>
      <c r="FC154" s="111"/>
      <c r="FD154" s="111"/>
      <c r="FE154" s="111"/>
      <c r="FF154" s="111"/>
    </row>
    <row x14ac:dyDescent="0.25" r="155" customHeight="1" ht="18.75" customFormat="1" s="18">
      <c r="A155" s="2"/>
      <c r="B155" s="2"/>
      <c r="C155" s="2"/>
      <c r="D155" s="2"/>
      <c r="E155" s="2"/>
      <c r="F155" s="2"/>
      <c r="G155" s="2"/>
      <c r="H155" s="2"/>
      <c r="I155" s="2"/>
      <c r="J155" s="2"/>
      <c r="K155" s="20"/>
      <c r="L155" s="2"/>
      <c r="M155" s="2"/>
      <c r="N155" s="2"/>
      <c r="O155" s="2"/>
      <c r="P155" s="2"/>
      <c r="Q155" s="2"/>
      <c r="R155" s="2"/>
      <c r="S155" s="2"/>
      <c r="T155" s="124"/>
      <c r="U155" s="124"/>
      <c r="V155" s="124"/>
      <c r="W155" s="124"/>
      <c r="X155" s="124"/>
      <c r="Y155" s="124"/>
      <c r="Z155" s="124"/>
      <c r="AA155" s="124"/>
      <c r="AB155" s="124"/>
      <c r="AC155" s="124"/>
      <c r="AD155" s="124"/>
      <c r="AE155" s="124"/>
      <c r="AF155" s="124"/>
      <c r="AG155" s="124"/>
      <c r="AH155" s="124"/>
      <c r="AI155" s="124"/>
      <c r="AJ155" s="124"/>
      <c r="AK155" s="124"/>
      <c r="AL155" s="124"/>
      <c r="AM155" s="124"/>
      <c r="AN155" s="124"/>
      <c r="AO155" s="124"/>
      <c r="AP155" s="124"/>
      <c r="AQ155" s="124"/>
      <c r="AR155" s="20"/>
      <c r="AS155" s="2"/>
      <c r="AT155" s="20"/>
      <c r="AU155" s="20"/>
      <c r="AV155" s="2"/>
      <c r="AW155" s="2"/>
      <c r="AX155" s="2"/>
      <c r="AY155" s="2"/>
      <c r="AZ155" s="2"/>
      <c r="BA155" s="2"/>
      <c r="BB155" s="2"/>
      <c r="BC155" s="2"/>
      <c r="BD155" s="2"/>
      <c r="BE155" s="2"/>
      <c r="BF155" s="2"/>
      <c r="BG155" s="2"/>
      <c r="BH155" s="2"/>
      <c r="BI155" s="2"/>
      <c r="BJ155" s="2"/>
      <c r="BK155" s="2"/>
      <c r="BL155" s="2"/>
      <c r="BM155" s="2"/>
      <c r="BN155" s="2"/>
      <c r="BO155" s="2"/>
      <c r="BP155" s="20"/>
      <c r="BQ155" s="20"/>
      <c r="BR155" s="125"/>
      <c r="BS155" s="20"/>
      <c r="BT155" s="20"/>
      <c r="BU155" s="125"/>
      <c r="BV155" s="125"/>
      <c r="BW155" s="2"/>
      <c r="BX155" s="2"/>
      <c r="BY155" s="2"/>
      <c r="BZ155" s="2"/>
      <c r="CA155" s="2"/>
      <c r="CB155" s="2"/>
      <c r="CC155" s="2"/>
      <c r="CD155" s="2"/>
      <c r="CE155" s="2"/>
      <c r="CF155" s="2"/>
      <c r="CG155" s="2"/>
      <c r="CH155" s="2"/>
      <c r="CI155" s="2"/>
      <c r="CJ155" s="2"/>
      <c r="CK155" s="2"/>
      <c r="CL155" s="2"/>
      <c r="CM155" s="2"/>
      <c r="CN155" s="2"/>
      <c r="CO155" s="2"/>
      <c r="CP155" s="2"/>
      <c r="CQ155" s="2"/>
      <c r="CR155" s="2"/>
      <c r="CS155" s="111"/>
      <c r="CT155" s="111"/>
      <c r="CU155" s="111"/>
      <c r="CV155" s="111"/>
      <c r="CW155" s="111"/>
      <c r="CX155" s="111"/>
      <c r="CY155" s="111"/>
      <c r="CZ155" s="111"/>
      <c r="DA155" s="111"/>
      <c r="DB155" s="111"/>
      <c r="DC155" s="111"/>
      <c r="DD155" s="111"/>
      <c r="DE155" s="111"/>
      <c r="DF155" s="111"/>
      <c r="DG155" s="111"/>
      <c r="DH155" s="111"/>
      <c r="DI155" s="111"/>
      <c r="DJ155" s="111"/>
      <c r="DK155" s="111"/>
      <c r="DL155" s="111"/>
      <c r="DM155" s="111"/>
      <c r="DN155" s="111"/>
      <c r="DO155" s="111"/>
      <c r="DP155" s="111"/>
      <c r="DQ155" s="111"/>
      <c r="DR155" s="111"/>
      <c r="DS155" s="111"/>
      <c r="DT155" s="111"/>
      <c r="DU155" s="111"/>
      <c r="DV155" s="111"/>
      <c r="DW155" s="111"/>
      <c r="DX155" s="111"/>
      <c r="DY155" s="111"/>
      <c r="DZ155" s="111"/>
      <c r="EA155" s="111"/>
      <c r="EB155" s="111"/>
      <c r="EC155" s="111"/>
      <c r="ED155" s="111"/>
      <c r="EE155" s="111"/>
      <c r="EF155" s="111"/>
      <c r="EG155" s="111"/>
      <c r="EH155" s="111"/>
      <c r="EI155" s="111"/>
      <c r="EJ155" s="111"/>
      <c r="EK155" s="111"/>
      <c r="EL155" s="111"/>
      <c r="EM155" s="111"/>
      <c r="EN155" s="111"/>
      <c r="EO155" s="111"/>
      <c r="EP155" s="111"/>
      <c r="EQ155" s="111"/>
      <c r="ER155" s="111"/>
      <c r="ES155" s="111"/>
      <c r="ET155" s="111"/>
      <c r="EU155" s="111"/>
      <c r="EV155" s="111"/>
      <c r="EW155" s="111"/>
      <c r="EX155" s="111"/>
      <c r="EY155" s="111"/>
      <c r="EZ155" s="111"/>
      <c r="FA155" s="111"/>
      <c r="FB155" s="111"/>
      <c r="FC155" s="111"/>
      <c r="FD155" s="111"/>
      <c r="FE155" s="111"/>
      <c r="FF155" s="111"/>
    </row>
    <row x14ac:dyDescent="0.25" r="156" customHeight="1" ht="18.75" customFormat="1" s="18">
      <c r="A156" s="2"/>
      <c r="B156" s="2"/>
      <c r="C156" s="2"/>
      <c r="D156" s="2"/>
      <c r="E156" s="2"/>
      <c r="F156" s="2"/>
      <c r="G156" s="2"/>
      <c r="H156" s="2"/>
      <c r="I156" s="2"/>
      <c r="J156" s="2"/>
      <c r="K156" s="20"/>
      <c r="L156" s="2"/>
      <c r="M156" s="2"/>
      <c r="N156" s="2"/>
      <c r="O156" s="2"/>
      <c r="P156" s="2"/>
      <c r="Q156" s="2"/>
      <c r="R156" s="2"/>
      <c r="S156" s="2"/>
      <c r="T156" s="124"/>
      <c r="U156" s="124"/>
      <c r="V156" s="124"/>
      <c r="W156" s="124"/>
      <c r="X156" s="124"/>
      <c r="Y156" s="124"/>
      <c r="Z156" s="124"/>
      <c r="AA156" s="124"/>
      <c r="AB156" s="124"/>
      <c r="AC156" s="124"/>
      <c r="AD156" s="124"/>
      <c r="AE156" s="124"/>
      <c r="AF156" s="124"/>
      <c r="AG156" s="124"/>
      <c r="AH156" s="124"/>
      <c r="AI156" s="124"/>
      <c r="AJ156" s="124"/>
      <c r="AK156" s="124"/>
      <c r="AL156" s="124"/>
      <c r="AM156" s="124"/>
      <c r="AN156" s="124"/>
      <c r="AO156" s="124"/>
      <c r="AP156" s="124"/>
      <c r="AQ156" s="124"/>
      <c r="AR156" s="20"/>
      <c r="AS156" s="2"/>
      <c r="AT156" s="20"/>
      <c r="AU156" s="20"/>
      <c r="AV156" s="2"/>
      <c r="AW156" s="2"/>
      <c r="AX156" s="2"/>
      <c r="AY156" s="2"/>
      <c r="AZ156" s="2"/>
      <c r="BA156" s="2"/>
      <c r="BB156" s="2"/>
      <c r="BC156" s="2"/>
      <c r="BD156" s="2"/>
      <c r="BE156" s="2"/>
      <c r="BF156" s="2"/>
      <c r="BG156" s="2"/>
      <c r="BH156" s="2"/>
      <c r="BI156" s="2"/>
      <c r="BJ156" s="2"/>
      <c r="BK156" s="2"/>
      <c r="BL156" s="2"/>
      <c r="BM156" s="2"/>
      <c r="BN156" s="2"/>
      <c r="BO156" s="2"/>
      <c r="BP156" s="20"/>
      <c r="BQ156" s="20"/>
      <c r="BR156" s="125"/>
      <c r="BS156" s="20"/>
      <c r="BT156" s="20"/>
      <c r="BU156" s="125"/>
      <c r="BV156" s="125"/>
      <c r="BW156" s="2"/>
      <c r="BX156" s="2"/>
      <c r="BY156" s="2"/>
      <c r="BZ156" s="2"/>
      <c r="CA156" s="2"/>
      <c r="CB156" s="2"/>
      <c r="CC156" s="2"/>
      <c r="CD156" s="2"/>
      <c r="CE156" s="2"/>
      <c r="CF156" s="2"/>
      <c r="CG156" s="2"/>
      <c r="CH156" s="2"/>
      <c r="CI156" s="2"/>
      <c r="CJ156" s="2"/>
      <c r="CK156" s="2"/>
      <c r="CL156" s="2"/>
      <c r="CM156" s="2"/>
      <c r="CN156" s="2"/>
      <c r="CO156" s="2"/>
      <c r="CP156" s="2"/>
      <c r="CQ156" s="2"/>
      <c r="CR156" s="2"/>
      <c r="CS156" s="111"/>
      <c r="CT156" s="111"/>
      <c r="CU156" s="111"/>
      <c r="CV156" s="111"/>
      <c r="CW156" s="111"/>
      <c r="CX156" s="111"/>
      <c r="CY156" s="111"/>
      <c r="CZ156" s="111"/>
      <c r="DA156" s="111"/>
      <c r="DB156" s="111"/>
      <c r="DC156" s="111"/>
      <c r="DD156" s="111"/>
      <c r="DE156" s="111"/>
      <c r="DF156" s="111"/>
      <c r="DG156" s="111"/>
      <c r="DH156" s="111"/>
      <c r="DI156" s="111"/>
      <c r="DJ156" s="111"/>
      <c r="DK156" s="111"/>
      <c r="DL156" s="111"/>
      <c r="DM156" s="111"/>
      <c r="DN156" s="111"/>
      <c r="DO156" s="111"/>
      <c r="DP156" s="111"/>
      <c r="DQ156" s="111"/>
      <c r="DR156" s="111"/>
      <c r="DS156" s="111"/>
      <c r="DT156" s="111"/>
      <c r="DU156" s="111"/>
      <c r="DV156" s="111"/>
      <c r="DW156" s="111"/>
      <c r="DX156" s="111"/>
      <c r="DY156" s="111"/>
      <c r="DZ156" s="111"/>
      <c r="EA156" s="111"/>
      <c r="EB156" s="111"/>
      <c r="EC156" s="111"/>
      <c r="ED156" s="111"/>
      <c r="EE156" s="111"/>
      <c r="EF156" s="111"/>
      <c r="EG156" s="111"/>
      <c r="EH156" s="111"/>
      <c r="EI156" s="111"/>
      <c r="EJ156" s="111"/>
      <c r="EK156" s="111"/>
      <c r="EL156" s="111"/>
      <c r="EM156" s="111"/>
      <c r="EN156" s="111"/>
      <c r="EO156" s="111"/>
      <c r="EP156" s="111"/>
      <c r="EQ156" s="111"/>
      <c r="ER156" s="111"/>
      <c r="ES156" s="111"/>
      <c r="ET156" s="111"/>
      <c r="EU156" s="111"/>
      <c r="EV156" s="111"/>
      <c r="EW156" s="111"/>
      <c r="EX156" s="111"/>
      <c r="EY156" s="111"/>
      <c r="EZ156" s="111"/>
      <c r="FA156" s="111"/>
      <c r="FB156" s="111"/>
      <c r="FC156" s="111"/>
      <c r="FD156" s="111"/>
      <c r="FE156" s="111"/>
      <c r="FF156" s="111"/>
    </row>
    <row x14ac:dyDescent="0.25" r="157" customHeight="1" ht="18.75" customFormat="1" s="18">
      <c r="A157" s="2"/>
      <c r="B157" s="2"/>
      <c r="C157" s="2"/>
      <c r="D157" s="2"/>
      <c r="E157" s="2"/>
      <c r="F157" s="2"/>
      <c r="G157" s="2"/>
      <c r="H157" s="2"/>
      <c r="I157" s="2"/>
      <c r="J157" s="2"/>
      <c r="K157" s="20"/>
      <c r="L157" s="2"/>
      <c r="M157" s="2"/>
      <c r="N157" s="2"/>
      <c r="O157" s="2"/>
      <c r="P157" s="2"/>
      <c r="Q157" s="2"/>
      <c r="R157" s="2"/>
      <c r="S157" s="2"/>
      <c r="T157" s="124"/>
      <c r="U157" s="124"/>
      <c r="V157" s="124"/>
      <c r="W157" s="124"/>
      <c r="X157" s="124"/>
      <c r="Y157" s="124"/>
      <c r="Z157" s="124"/>
      <c r="AA157" s="124"/>
      <c r="AB157" s="124"/>
      <c r="AC157" s="124"/>
      <c r="AD157" s="124"/>
      <c r="AE157" s="124"/>
      <c r="AF157" s="124"/>
      <c r="AG157" s="124"/>
      <c r="AH157" s="124"/>
      <c r="AI157" s="124"/>
      <c r="AJ157" s="124"/>
      <c r="AK157" s="124"/>
      <c r="AL157" s="124"/>
      <c r="AM157" s="124"/>
      <c r="AN157" s="124"/>
      <c r="AO157" s="124"/>
      <c r="AP157" s="124"/>
      <c r="AQ157" s="124"/>
      <c r="AR157" s="20"/>
      <c r="AS157" s="2"/>
      <c r="AT157" s="20"/>
      <c r="AU157" s="20"/>
      <c r="AV157" s="2"/>
      <c r="AW157" s="2"/>
      <c r="AX157" s="2"/>
      <c r="AY157" s="2"/>
      <c r="AZ157" s="2"/>
      <c r="BA157" s="2"/>
      <c r="BB157" s="2"/>
      <c r="BC157" s="2"/>
      <c r="BD157" s="2"/>
      <c r="BE157" s="2"/>
      <c r="BF157" s="2"/>
      <c r="BG157" s="2"/>
      <c r="BH157" s="2"/>
      <c r="BI157" s="2"/>
      <c r="BJ157" s="2"/>
      <c r="BK157" s="2"/>
      <c r="BL157" s="2"/>
      <c r="BM157" s="2"/>
      <c r="BN157" s="2"/>
      <c r="BO157" s="2"/>
      <c r="BP157" s="20"/>
      <c r="BQ157" s="20"/>
      <c r="BR157" s="125"/>
      <c r="BS157" s="20"/>
      <c r="BT157" s="20"/>
      <c r="BU157" s="125"/>
      <c r="BV157" s="125"/>
      <c r="BW157" s="2"/>
      <c r="BX157" s="2"/>
      <c r="BY157" s="2"/>
      <c r="BZ157" s="2"/>
      <c r="CA157" s="2"/>
      <c r="CB157" s="2"/>
      <c r="CC157" s="2"/>
      <c r="CD157" s="2"/>
      <c r="CE157" s="2"/>
      <c r="CF157" s="2"/>
      <c r="CG157" s="2"/>
      <c r="CH157" s="2"/>
      <c r="CI157" s="2"/>
      <c r="CJ157" s="2"/>
      <c r="CK157" s="2"/>
      <c r="CL157" s="2"/>
      <c r="CM157" s="2"/>
      <c r="CN157" s="2"/>
      <c r="CO157" s="2"/>
      <c r="CP157" s="2"/>
      <c r="CQ157" s="2"/>
      <c r="CR157" s="2"/>
      <c r="CS157" s="111"/>
      <c r="CT157" s="111"/>
      <c r="CU157" s="111"/>
      <c r="CV157" s="111"/>
      <c r="CW157" s="111"/>
      <c r="CX157" s="111"/>
      <c r="CY157" s="111"/>
      <c r="CZ157" s="111"/>
      <c r="DA157" s="111"/>
      <c r="DB157" s="111"/>
      <c r="DC157" s="111"/>
      <c r="DD157" s="111"/>
      <c r="DE157" s="111"/>
      <c r="DF157" s="111"/>
      <c r="DG157" s="111"/>
      <c r="DH157" s="111"/>
      <c r="DI157" s="111"/>
      <c r="DJ157" s="111"/>
      <c r="DK157" s="111"/>
      <c r="DL157" s="111"/>
      <c r="DM157" s="111"/>
      <c r="DN157" s="111"/>
      <c r="DO157" s="111"/>
      <c r="DP157" s="111"/>
      <c r="DQ157" s="111"/>
      <c r="DR157" s="111"/>
      <c r="DS157" s="111"/>
      <c r="DT157" s="111"/>
      <c r="DU157" s="111"/>
      <c r="DV157" s="111"/>
      <c r="DW157" s="111"/>
      <c r="DX157" s="111"/>
      <c r="DY157" s="111"/>
      <c r="DZ157" s="111"/>
      <c r="EA157" s="111"/>
      <c r="EB157" s="111"/>
      <c r="EC157" s="111"/>
      <c r="ED157" s="111"/>
      <c r="EE157" s="111"/>
      <c r="EF157" s="111"/>
      <c r="EG157" s="111"/>
      <c r="EH157" s="111"/>
      <c r="EI157" s="111"/>
      <c r="EJ157" s="111"/>
      <c r="EK157" s="111"/>
      <c r="EL157" s="111"/>
      <c r="EM157" s="111"/>
      <c r="EN157" s="111"/>
      <c r="EO157" s="111"/>
      <c r="EP157" s="111"/>
      <c r="EQ157" s="111"/>
      <c r="ER157" s="111"/>
      <c r="ES157" s="111"/>
      <c r="ET157" s="111"/>
      <c r="EU157" s="111"/>
      <c r="EV157" s="111"/>
      <c r="EW157" s="111"/>
      <c r="EX157" s="111"/>
      <c r="EY157" s="111"/>
      <c r="EZ157" s="111"/>
      <c r="FA157" s="111"/>
      <c r="FB157" s="111"/>
      <c r="FC157" s="111"/>
      <c r="FD157" s="111"/>
      <c r="FE157" s="111"/>
      <c r="FF157" s="111"/>
    </row>
    <row x14ac:dyDescent="0.25" r="158" customHeight="1" ht="18.75" customFormat="1" s="18">
      <c r="A158" s="2"/>
      <c r="B158" s="2"/>
      <c r="C158" s="2"/>
      <c r="D158" s="2"/>
      <c r="E158" s="2"/>
      <c r="F158" s="2"/>
      <c r="G158" s="2"/>
      <c r="H158" s="2"/>
      <c r="I158" s="2"/>
      <c r="J158" s="2"/>
      <c r="K158" s="20"/>
      <c r="L158" s="2"/>
      <c r="M158" s="2"/>
      <c r="N158" s="2"/>
      <c r="O158" s="2"/>
      <c r="P158" s="2"/>
      <c r="Q158" s="2"/>
      <c r="R158" s="2"/>
      <c r="S158" s="2"/>
      <c r="T158" s="124"/>
      <c r="U158" s="124"/>
      <c r="V158" s="124"/>
      <c r="W158" s="124"/>
      <c r="X158" s="124"/>
      <c r="Y158" s="124"/>
      <c r="Z158" s="124"/>
      <c r="AA158" s="124"/>
      <c r="AB158" s="124"/>
      <c r="AC158" s="124"/>
      <c r="AD158" s="124"/>
      <c r="AE158" s="124"/>
      <c r="AF158" s="124"/>
      <c r="AG158" s="124"/>
      <c r="AH158" s="124"/>
      <c r="AI158" s="124"/>
      <c r="AJ158" s="124"/>
      <c r="AK158" s="124"/>
      <c r="AL158" s="124"/>
      <c r="AM158" s="124"/>
      <c r="AN158" s="124"/>
      <c r="AO158" s="124"/>
      <c r="AP158" s="124"/>
      <c r="AQ158" s="124"/>
      <c r="AR158" s="20"/>
      <c r="AS158" s="2"/>
      <c r="AT158" s="20"/>
      <c r="AU158" s="20"/>
      <c r="AV158" s="2"/>
      <c r="AW158" s="2"/>
      <c r="AX158" s="2"/>
      <c r="AY158" s="2"/>
      <c r="AZ158" s="2"/>
      <c r="BA158" s="2"/>
      <c r="BB158" s="2"/>
      <c r="BC158" s="2"/>
      <c r="BD158" s="2"/>
      <c r="BE158" s="2"/>
      <c r="BF158" s="2"/>
      <c r="BG158" s="2"/>
      <c r="BH158" s="2"/>
      <c r="BI158" s="2"/>
      <c r="BJ158" s="2"/>
      <c r="BK158" s="2"/>
      <c r="BL158" s="2"/>
      <c r="BM158" s="2"/>
      <c r="BN158" s="2"/>
      <c r="BO158" s="2"/>
      <c r="BP158" s="20"/>
      <c r="BQ158" s="20"/>
      <c r="BR158" s="125"/>
      <c r="BS158" s="20"/>
      <c r="BT158" s="20"/>
      <c r="BU158" s="125"/>
      <c r="BV158" s="125"/>
      <c r="BW158" s="2"/>
      <c r="BX158" s="2"/>
      <c r="BY158" s="2"/>
      <c r="BZ158" s="2"/>
      <c r="CA158" s="2"/>
      <c r="CB158" s="2"/>
      <c r="CC158" s="2"/>
      <c r="CD158" s="2"/>
      <c r="CE158" s="2"/>
      <c r="CF158" s="2"/>
      <c r="CG158" s="2"/>
      <c r="CH158" s="2"/>
      <c r="CI158" s="2"/>
      <c r="CJ158" s="2"/>
      <c r="CK158" s="2"/>
      <c r="CL158" s="2"/>
      <c r="CM158" s="2"/>
      <c r="CN158" s="2"/>
      <c r="CO158" s="2"/>
      <c r="CP158" s="2"/>
      <c r="CQ158" s="2"/>
      <c r="CR158" s="2"/>
      <c r="CS158" s="111"/>
      <c r="CT158" s="111"/>
      <c r="CU158" s="111"/>
      <c r="CV158" s="111"/>
      <c r="CW158" s="111"/>
      <c r="CX158" s="111"/>
      <c r="CY158" s="111"/>
      <c r="CZ158" s="111"/>
      <c r="DA158" s="111"/>
      <c r="DB158" s="111"/>
      <c r="DC158" s="111"/>
      <c r="DD158" s="111"/>
      <c r="DE158" s="111"/>
      <c r="DF158" s="111"/>
      <c r="DG158" s="111"/>
      <c r="DH158" s="111"/>
      <c r="DI158" s="111"/>
      <c r="DJ158" s="111"/>
      <c r="DK158" s="111"/>
      <c r="DL158" s="111"/>
      <c r="DM158" s="111"/>
      <c r="DN158" s="111"/>
      <c r="DO158" s="111"/>
      <c r="DP158" s="111"/>
      <c r="DQ158" s="111"/>
      <c r="DR158" s="111"/>
      <c r="DS158" s="111"/>
      <c r="DT158" s="111"/>
      <c r="DU158" s="111"/>
      <c r="DV158" s="111"/>
      <c r="DW158" s="111"/>
      <c r="DX158" s="111"/>
      <c r="DY158" s="111"/>
      <c r="DZ158" s="111"/>
      <c r="EA158" s="111"/>
      <c r="EB158" s="111"/>
      <c r="EC158" s="111"/>
      <c r="ED158" s="111"/>
      <c r="EE158" s="111"/>
      <c r="EF158" s="111"/>
      <c r="EG158" s="111"/>
      <c r="EH158" s="111"/>
      <c r="EI158" s="111"/>
      <c r="EJ158" s="111"/>
      <c r="EK158" s="111"/>
      <c r="EL158" s="111"/>
      <c r="EM158" s="111"/>
      <c r="EN158" s="111"/>
      <c r="EO158" s="111"/>
      <c r="EP158" s="111"/>
      <c r="EQ158" s="111"/>
      <c r="ER158" s="111"/>
      <c r="ES158" s="111"/>
      <c r="ET158" s="111"/>
      <c r="EU158" s="111"/>
      <c r="EV158" s="111"/>
      <c r="EW158" s="111"/>
      <c r="EX158" s="111"/>
      <c r="EY158" s="111"/>
      <c r="EZ158" s="111"/>
      <c r="FA158" s="111"/>
      <c r="FB158" s="111"/>
      <c r="FC158" s="111"/>
      <c r="FD158" s="111"/>
      <c r="FE158" s="111"/>
      <c r="FF158" s="111"/>
    </row>
    <row x14ac:dyDescent="0.25" r="159" customHeight="1" ht="18.75" customFormat="1" s="18">
      <c r="A159" s="2"/>
      <c r="B159" s="2"/>
      <c r="C159" s="2"/>
      <c r="D159" s="2"/>
      <c r="E159" s="2"/>
      <c r="F159" s="2"/>
      <c r="G159" s="2"/>
      <c r="H159" s="2"/>
      <c r="I159" s="2"/>
      <c r="J159" s="2"/>
      <c r="K159" s="20"/>
      <c r="L159" s="2"/>
      <c r="M159" s="2"/>
      <c r="N159" s="2"/>
      <c r="O159" s="2"/>
      <c r="P159" s="2"/>
      <c r="Q159" s="2"/>
      <c r="R159" s="2"/>
      <c r="S159" s="2"/>
      <c r="T159" s="124"/>
      <c r="U159" s="124"/>
      <c r="V159" s="124"/>
      <c r="W159" s="124"/>
      <c r="X159" s="124"/>
      <c r="Y159" s="124"/>
      <c r="Z159" s="124"/>
      <c r="AA159" s="124"/>
      <c r="AB159" s="124"/>
      <c r="AC159" s="124"/>
      <c r="AD159" s="124"/>
      <c r="AE159" s="124"/>
      <c r="AF159" s="124"/>
      <c r="AG159" s="124"/>
      <c r="AH159" s="124"/>
      <c r="AI159" s="124"/>
      <c r="AJ159" s="124"/>
      <c r="AK159" s="124"/>
      <c r="AL159" s="124"/>
      <c r="AM159" s="124"/>
      <c r="AN159" s="124"/>
      <c r="AO159" s="124"/>
      <c r="AP159" s="124"/>
      <c r="AQ159" s="124"/>
      <c r="AR159" s="20"/>
      <c r="AS159" s="2"/>
      <c r="AT159" s="20"/>
      <c r="AU159" s="20"/>
      <c r="AV159" s="2"/>
      <c r="AW159" s="2"/>
      <c r="AX159" s="2"/>
      <c r="AY159" s="2"/>
      <c r="AZ159" s="2"/>
      <c r="BA159" s="2"/>
      <c r="BB159" s="2"/>
      <c r="BC159" s="2"/>
      <c r="BD159" s="2"/>
      <c r="BE159" s="2"/>
      <c r="BF159" s="2"/>
      <c r="BG159" s="2"/>
      <c r="BH159" s="2"/>
      <c r="BI159" s="2"/>
      <c r="BJ159" s="2"/>
      <c r="BK159" s="2"/>
      <c r="BL159" s="2"/>
      <c r="BM159" s="2"/>
      <c r="BN159" s="2"/>
      <c r="BO159" s="2"/>
      <c r="BP159" s="20"/>
      <c r="BQ159" s="20"/>
      <c r="BR159" s="125"/>
      <c r="BS159" s="20"/>
      <c r="BT159" s="20"/>
      <c r="BU159" s="125"/>
      <c r="BV159" s="125"/>
      <c r="BW159" s="2"/>
      <c r="BX159" s="2"/>
      <c r="BY159" s="2"/>
      <c r="BZ159" s="2"/>
      <c r="CA159" s="2"/>
      <c r="CB159" s="2"/>
      <c r="CC159" s="2"/>
      <c r="CD159" s="2"/>
      <c r="CE159" s="2"/>
      <c r="CF159" s="2"/>
      <c r="CG159" s="2"/>
      <c r="CH159" s="2"/>
      <c r="CI159" s="2"/>
      <c r="CJ159" s="2"/>
      <c r="CK159" s="2"/>
      <c r="CL159" s="2"/>
      <c r="CM159" s="2"/>
      <c r="CN159" s="2"/>
      <c r="CO159" s="2"/>
      <c r="CP159" s="2"/>
      <c r="CQ159" s="2"/>
      <c r="CR159" s="2"/>
      <c r="CS159" s="111"/>
      <c r="CT159" s="111"/>
      <c r="CU159" s="111"/>
      <c r="CV159" s="111"/>
      <c r="CW159" s="111"/>
      <c r="CX159" s="111"/>
      <c r="CY159" s="111"/>
      <c r="CZ159" s="111"/>
      <c r="DA159" s="111"/>
      <c r="DB159" s="111"/>
      <c r="DC159" s="111"/>
      <c r="DD159" s="111"/>
      <c r="DE159" s="111"/>
      <c r="DF159" s="111"/>
      <c r="DG159" s="111"/>
      <c r="DH159" s="111"/>
      <c r="DI159" s="111"/>
      <c r="DJ159" s="111"/>
      <c r="DK159" s="111"/>
      <c r="DL159" s="111"/>
      <c r="DM159" s="111"/>
      <c r="DN159" s="111"/>
      <c r="DO159" s="111"/>
      <c r="DP159" s="111"/>
      <c r="DQ159" s="111"/>
      <c r="DR159" s="111"/>
      <c r="DS159" s="111"/>
      <c r="DT159" s="111"/>
      <c r="DU159" s="111"/>
      <c r="DV159" s="111"/>
      <c r="DW159" s="111"/>
      <c r="DX159" s="111"/>
      <c r="DY159" s="111"/>
      <c r="DZ159" s="111"/>
      <c r="EA159" s="111"/>
      <c r="EB159" s="111"/>
      <c r="EC159" s="111"/>
      <c r="ED159" s="111"/>
      <c r="EE159" s="111"/>
      <c r="EF159" s="111"/>
      <c r="EG159" s="111"/>
      <c r="EH159" s="111"/>
      <c r="EI159" s="111"/>
      <c r="EJ159" s="111"/>
      <c r="EK159" s="111"/>
      <c r="EL159" s="111"/>
      <c r="EM159" s="111"/>
      <c r="EN159" s="111"/>
      <c r="EO159" s="111"/>
      <c r="EP159" s="111"/>
      <c r="EQ159" s="111"/>
      <c r="ER159" s="111"/>
      <c r="ES159" s="111"/>
      <c r="ET159" s="111"/>
      <c r="EU159" s="111"/>
      <c r="EV159" s="111"/>
      <c r="EW159" s="111"/>
      <c r="EX159" s="111"/>
      <c r="EY159" s="111"/>
      <c r="EZ159" s="111"/>
      <c r="FA159" s="111"/>
      <c r="FB159" s="111"/>
      <c r="FC159" s="111"/>
      <c r="FD159" s="111"/>
      <c r="FE159" s="111"/>
      <c r="FF159" s="111"/>
    </row>
    <row x14ac:dyDescent="0.25" r="160" customHeight="1" ht="18.75" customFormat="1" s="18">
      <c r="A160" s="2"/>
      <c r="B160" s="2"/>
      <c r="C160" s="2"/>
      <c r="D160" s="2"/>
      <c r="E160" s="2"/>
      <c r="F160" s="2"/>
      <c r="G160" s="2"/>
      <c r="H160" s="2"/>
      <c r="I160" s="2"/>
      <c r="J160" s="2"/>
      <c r="K160" s="20"/>
      <c r="L160" s="2"/>
      <c r="M160" s="2"/>
      <c r="N160" s="2"/>
      <c r="O160" s="2"/>
      <c r="P160" s="2"/>
      <c r="Q160" s="2"/>
      <c r="R160" s="2"/>
      <c r="S160" s="2"/>
      <c r="T160" s="124"/>
      <c r="U160" s="124"/>
      <c r="V160" s="124"/>
      <c r="W160" s="124"/>
      <c r="X160" s="124"/>
      <c r="Y160" s="124"/>
      <c r="Z160" s="124"/>
      <c r="AA160" s="124"/>
      <c r="AB160" s="124"/>
      <c r="AC160" s="124"/>
      <c r="AD160" s="124"/>
      <c r="AE160" s="124"/>
      <c r="AF160" s="124"/>
      <c r="AG160" s="124"/>
      <c r="AH160" s="124"/>
      <c r="AI160" s="124"/>
      <c r="AJ160" s="124"/>
      <c r="AK160" s="124"/>
      <c r="AL160" s="124"/>
      <c r="AM160" s="124"/>
      <c r="AN160" s="124"/>
      <c r="AO160" s="124"/>
      <c r="AP160" s="124"/>
      <c r="AQ160" s="124"/>
      <c r="AR160" s="20"/>
      <c r="AS160" s="2"/>
      <c r="AT160" s="20"/>
      <c r="AU160" s="20"/>
      <c r="AV160" s="2"/>
      <c r="AW160" s="2"/>
      <c r="AX160" s="2"/>
      <c r="AY160" s="2"/>
      <c r="AZ160" s="2"/>
      <c r="BA160" s="2"/>
      <c r="BB160" s="2"/>
      <c r="BC160" s="2"/>
      <c r="BD160" s="2"/>
      <c r="BE160" s="2"/>
      <c r="BF160" s="2"/>
      <c r="BG160" s="2"/>
      <c r="BH160" s="2"/>
      <c r="BI160" s="2"/>
      <c r="BJ160" s="2"/>
      <c r="BK160" s="2"/>
      <c r="BL160" s="2"/>
      <c r="BM160" s="2"/>
      <c r="BN160" s="2"/>
      <c r="BO160" s="2"/>
      <c r="BP160" s="20"/>
      <c r="BQ160" s="20"/>
      <c r="BR160" s="125"/>
      <c r="BS160" s="20"/>
      <c r="BT160" s="20"/>
      <c r="BU160" s="125"/>
      <c r="BV160" s="125"/>
      <c r="BW160" s="2"/>
      <c r="BX160" s="2"/>
      <c r="BY160" s="2"/>
      <c r="BZ160" s="2"/>
      <c r="CA160" s="2"/>
      <c r="CB160" s="2"/>
      <c r="CC160" s="2"/>
      <c r="CD160" s="2"/>
      <c r="CE160" s="2"/>
      <c r="CF160" s="2"/>
      <c r="CG160" s="2"/>
      <c r="CH160" s="2"/>
      <c r="CI160" s="2"/>
      <c r="CJ160" s="2"/>
      <c r="CK160" s="2"/>
      <c r="CL160" s="2"/>
      <c r="CM160" s="2"/>
      <c r="CN160" s="2"/>
      <c r="CO160" s="2"/>
      <c r="CP160" s="2"/>
      <c r="CQ160" s="2"/>
      <c r="CR160" s="2"/>
      <c r="CS160" s="111"/>
      <c r="CT160" s="111"/>
      <c r="CU160" s="111"/>
      <c r="CV160" s="111"/>
      <c r="CW160" s="111"/>
      <c r="CX160" s="111"/>
      <c r="CY160" s="111"/>
      <c r="CZ160" s="111"/>
      <c r="DA160" s="111"/>
      <c r="DB160" s="111"/>
      <c r="DC160" s="111"/>
      <c r="DD160" s="111"/>
      <c r="DE160" s="111"/>
      <c r="DF160" s="111"/>
      <c r="DG160" s="111"/>
      <c r="DH160" s="111"/>
      <c r="DI160" s="111"/>
      <c r="DJ160" s="111"/>
      <c r="DK160" s="111"/>
      <c r="DL160" s="111"/>
      <c r="DM160" s="111"/>
      <c r="DN160" s="111"/>
      <c r="DO160" s="111"/>
      <c r="DP160" s="111"/>
      <c r="DQ160" s="111"/>
      <c r="DR160" s="111"/>
      <c r="DS160" s="111"/>
      <c r="DT160" s="111"/>
      <c r="DU160" s="111"/>
      <c r="DV160" s="111"/>
      <c r="DW160" s="111"/>
      <c r="DX160" s="111"/>
      <c r="DY160" s="111"/>
      <c r="DZ160" s="111"/>
      <c r="EA160" s="111"/>
      <c r="EB160" s="111"/>
      <c r="EC160" s="111"/>
      <c r="ED160" s="111"/>
      <c r="EE160" s="111"/>
      <c r="EF160" s="111"/>
      <c r="EG160" s="111"/>
      <c r="EH160" s="111"/>
      <c r="EI160" s="111"/>
      <c r="EJ160" s="111"/>
      <c r="EK160" s="111"/>
      <c r="EL160" s="111"/>
      <c r="EM160" s="111"/>
      <c r="EN160" s="111"/>
      <c r="EO160" s="111"/>
      <c r="EP160" s="111"/>
      <c r="EQ160" s="111"/>
      <c r="ER160" s="111"/>
      <c r="ES160" s="111"/>
      <c r="ET160" s="111"/>
      <c r="EU160" s="111"/>
      <c r="EV160" s="111"/>
      <c r="EW160" s="111"/>
      <c r="EX160" s="111"/>
      <c r="EY160" s="111"/>
      <c r="EZ160" s="111"/>
      <c r="FA160" s="111"/>
      <c r="FB160" s="111"/>
      <c r="FC160" s="111"/>
      <c r="FD160" s="111"/>
      <c r="FE160" s="111"/>
      <c r="FF160" s="111"/>
    </row>
    <row x14ac:dyDescent="0.25" r="161" customHeight="1" ht="18.75" customFormat="1" s="18">
      <c r="A161" s="2"/>
      <c r="B161" s="2"/>
      <c r="C161" s="2"/>
      <c r="D161" s="2"/>
      <c r="E161" s="2"/>
      <c r="F161" s="2"/>
      <c r="G161" s="2"/>
      <c r="H161" s="2"/>
      <c r="I161" s="2"/>
      <c r="J161" s="2"/>
      <c r="K161" s="20"/>
      <c r="L161" s="2"/>
      <c r="M161" s="2"/>
      <c r="N161" s="2"/>
      <c r="O161" s="2"/>
      <c r="P161" s="2"/>
      <c r="Q161" s="2"/>
      <c r="R161" s="2"/>
      <c r="S161" s="2"/>
      <c r="T161" s="124"/>
      <c r="U161" s="124"/>
      <c r="V161" s="124"/>
      <c r="W161" s="124"/>
      <c r="X161" s="124"/>
      <c r="Y161" s="124"/>
      <c r="Z161" s="124"/>
      <c r="AA161" s="124"/>
      <c r="AB161" s="124"/>
      <c r="AC161" s="124"/>
      <c r="AD161" s="124"/>
      <c r="AE161" s="124"/>
      <c r="AF161" s="124"/>
      <c r="AG161" s="124"/>
      <c r="AH161" s="124"/>
      <c r="AI161" s="124"/>
      <c r="AJ161" s="124"/>
      <c r="AK161" s="124"/>
      <c r="AL161" s="124"/>
      <c r="AM161" s="124"/>
      <c r="AN161" s="124"/>
      <c r="AO161" s="124"/>
      <c r="AP161" s="124"/>
      <c r="AQ161" s="124"/>
      <c r="AR161" s="20"/>
      <c r="AS161" s="2"/>
      <c r="AT161" s="20"/>
      <c r="AU161" s="20"/>
      <c r="AV161" s="2"/>
      <c r="AW161" s="2"/>
      <c r="AX161" s="2"/>
      <c r="AY161" s="2"/>
      <c r="AZ161" s="2"/>
      <c r="BA161" s="2"/>
      <c r="BB161" s="2"/>
      <c r="BC161" s="2"/>
      <c r="BD161" s="2"/>
      <c r="BE161" s="2"/>
      <c r="BF161" s="2"/>
      <c r="BG161" s="2"/>
      <c r="BH161" s="2"/>
      <c r="BI161" s="2"/>
      <c r="BJ161" s="2"/>
      <c r="BK161" s="2"/>
      <c r="BL161" s="2"/>
      <c r="BM161" s="2"/>
      <c r="BN161" s="2"/>
      <c r="BO161" s="2"/>
      <c r="BP161" s="20"/>
      <c r="BQ161" s="20"/>
      <c r="BR161" s="125"/>
      <c r="BS161" s="20"/>
      <c r="BT161" s="20"/>
      <c r="BU161" s="125"/>
      <c r="BV161" s="125"/>
      <c r="BW161" s="2"/>
      <c r="BX161" s="2"/>
      <c r="BY161" s="2"/>
      <c r="BZ161" s="2"/>
      <c r="CA161" s="2"/>
      <c r="CB161" s="2"/>
      <c r="CC161" s="2"/>
      <c r="CD161" s="2"/>
      <c r="CE161" s="2"/>
      <c r="CF161" s="2"/>
      <c r="CG161" s="2"/>
      <c r="CH161" s="2"/>
      <c r="CI161" s="2"/>
      <c r="CJ161" s="2"/>
      <c r="CK161" s="2"/>
      <c r="CL161" s="2"/>
      <c r="CM161" s="2"/>
      <c r="CN161" s="2"/>
      <c r="CO161" s="2"/>
      <c r="CP161" s="2"/>
      <c r="CQ161" s="2"/>
      <c r="CR161" s="2"/>
      <c r="CS161" s="111"/>
      <c r="CT161" s="111"/>
      <c r="CU161" s="111"/>
      <c r="CV161" s="111"/>
      <c r="CW161" s="111"/>
      <c r="CX161" s="111"/>
      <c r="CY161" s="111"/>
      <c r="CZ161" s="111"/>
      <c r="DA161" s="111"/>
      <c r="DB161" s="111"/>
      <c r="DC161" s="111"/>
      <c r="DD161" s="111"/>
      <c r="DE161" s="111"/>
      <c r="DF161" s="111"/>
      <c r="DG161" s="111"/>
      <c r="DH161" s="111"/>
      <c r="DI161" s="111"/>
      <c r="DJ161" s="111"/>
      <c r="DK161" s="111"/>
      <c r="DL161" s="111"/>
      <c r="DM161" s="111"/>
      <c r="DN161" s="111"/>
      <c r="DO161" s="111"/>
      <c r="DP161" s="111"/>
      <c r="DQ161" s="111"/>
      <c r="DR161" s="111"/>
      <c r="DS161" s="111"/>
      <c r="DT161" s="111"/>
      <c r="DU161" s="111"/>
      <c r="DV161" s="111"/>
      <c r="DW161" s="111"/>
      <c r="DX161" s="111"/>
      <c r="DY161" s="111"/>
      <c r="DZ161" s="111"/>
      <c r="EA161" s="111"/>
      <c r="EB161" s="111"/>
      <c r="EC161" s="111"/>
      <c r="ED161" s="111"/>
      <c r="EE161" s="111"/>
      <c r="EF161" s="111"/>
      <c r="EG161" s="111"/>
      <c r="EH161" s="111"/>
      <c r="EI161" s="111"/>
      <c r="EJ161" s="111"/>
      <c r="EK161" s="111"/>
      <c r="EL161" s="111"/>
      <c r="EM161" s="111"/>
      <c r="EN161" s="111"/>
      <c r="EO161" s="111"/>
      <c r="EP161" s="111"/>
      <c r="EQ161" s="111"/>
      <c r="ER161" s="111"/>
      <c r="ES161" s="111"/>
      <c r="ET161" s="111"/>
      <c r="EU161" s="111"/>
      <c r="EV161" s="111"/>
      <c r="EW161" s="111"/>
      <c r="EX161" s="111"/>
      <c r="EY161" s="111"/>
      <c r="EZ161" s="111"/>
      <c r="FA161" s="111"/>
      <c r="FB161" s="111"/>
      <c r="FC161" s="111"/>
      <c r="FD161" s="111"/>
      <c r="FE161" s="111"/>
      <c r="FF161" s="111"/>
    </row>
    <row x14ac:dyDescent="0.25" r="162" customHeight="1" ht="18.75" customFormat="1" s="18">
      <c r="A162" s="2"/>
      <c r="B162" s="2"/>
      <c r="C162" s="2"/>
      <c r="D162" s="2"/>
      <c r="E162" s="2"/>
      <c r="F162" s="2"/>
      <c r="G162" s="2"/>
      <c r="H162" s="2"/>
      <c r="I162" s="2"/>
      <c r="J162" s="2"/>
      <c r="K162" s="20"/>
      <c r="L162" s="2"/>
      <c r="M162" s="2"/>
      <c r="N162" s="2"/>
      <c r="O162" s="2"/>
      <c r="P162" s="2"/>
      <c r="Q162" s="2"/>
      <c r="R162" s="2"/>
      <c r="S162" s="2"/>
      <c r="T162" s="124"/>
      <c r="U162" s="124"/>
      <c r="V162" s="124"/>
      <c r="W162" s="124"/>
      <c r="X162" s="124"/>
      <c r="Y162" s="124"/>
      <c r="Z162" s="124"/>
      <c r="AA162" s="124"/>
      <c r="AB162" s="124"/>
      <c r="AC162" s="124"/>
      <c r="AD162" s="124"/>
      <c r="AE162" s="124"/>
      <c r="AF162" s="124"/>
      <c r="AG162" s="124"/>
      <c r="AH162" s="124"/>
      <c r="AI162" s="124"/>
      <c r="AJ162" s="124"/>
      <c r="AK162" s="124"/>
      <c r="AL162" s="124"/>
      <c r="AM162" s="124"/>
      <c r="AN162" s="124"/>
      <c r="AO162" s="124"/>
      <c r="AP162" s="124"/>
      <c r="AQ162" s="124"/>
      <c r="AR162" s="20"/>
      <c r="AS162" s="2"/>
      <c r="AT162" s="20"/>
      <c r="AU162" s="20"/>
      <c r="AV162" s="2"/>
      <c r="AW162" s="2"/>
      <c r="AX162" s="2"/>
      <c r="AY162" s="2"/>
      <c r="AZ162" s="2"/>
      <c r="BA162" s="2"/>
      <c r="BB162" s="2"/>
      <c r="BC162" s="2"/>
      <c r="BD162" s="2"/>
      <c r="BE162" s="2"/>
      <c r="BF162" s="2"/>
      <c r="BG162" s="2"/>
      <c r="BH162" s="2"/>
      <c r="BI162" s="2"/>
      <c r="BJ162" s="2"/>
      <c r="BK162" s="2"/>
      <c r="BL162" s="2"/>
      <c r="BM162" s="2"/>
      <c r="BN162" s="2"/>
      <c r="BO162" s="2"/>
      <c r="BP162" s="20"/>
      <c r="BQ162" s="20"/>
      <c r="BR162" s="125"/>
      <c r="BS162" s="20"/>
      <c r="BT162" s="20"/>
      <c r="BU162" s="125"/>
      <c r="BV162" s="125"/>
      <c r="BW162" s="2"/>
      <c r="BX162" s="2"/>
      <c r="BY162" s="2"/>
      <c r="BZ162" s="2"/>
      <c r="CA162" s="2"/>
      <c r="CB162" s="2"/>
      <c r="CC162" s="2"/>
      <c r="CD162" s="2"/>
      <c r="CE162" s="2"/>
      <c r="CF162" s="2"/>
      <c r="CG162" s="2"/>
      <c r="CH162" s="2"/>
      <c r="CI162" s="2"/>
      <c r="CJ162" s="2"/>
      <c r="CK162" s="2"/>
      <c r="CL162" s="2"/>
      <c r="CM162" s="2"/>
      <c r="CN162" s="2"/>
      <c r="CO162" s="2"/>
      <c r="CP162" s="2"/>
      <c r="CQ162" s="2"/>
      <c r="CR162" s="2"/>
      <c r="CS162" s="111"/>
      <c r="CT162" s="111"/>
      <c r="CU162" s="111"/>
      <c r="CV162" s="111"/>
      <c r="CW162" s="111"/>
      <c r="CX162" s="111"/>
      <c r="CY162" s="111"/>
      <c r="CZ162" s="111"/>
      <c r="DA162" s="111"/>
      <c r="DB162" s="111"/>
      <c r="DC162" s="111"/>
      <c r="DD162" s="111"/>
      <c r="DE162" s="111"/>
      <c r="DF162" s="111"/>
      <c r="DG162" s="111"/>
      <c r="DH162" s="111"/>
      <c r="DI162" s="111"/>
      <c r="DJ162" s="111"/>
      <c r="DK162" s="111"/>
      <c r="DL162" s="111"/>
      <c r="DM162" s="111"/>
      <c r="DN162" s="111"/>
      <c r="DO162" s="111"/>
      <c r="DP162" s="111"/>
      <c r="DQ162" s="111"/>
      <c r="DR162" s="111"/>
      <c r="DS162" s="111"/>
      <c r="DT162" s="111"/>
      <c r="DU162" s="111"/>
      <c r="DV162" s="111"/>
      <c r="DW162" s="111"/>
      <c r="DX162" s="111"/>
      <c r="DY162" s="111"/>
      <c r="DZ162" s="111"/>
      <c r="EA162" s="111"/>
      <c r="EB162" s="111"/>
      <c r="EC162" s="111"/>
      <c r="ED162" s="111"/>
      <c r="EE162" s="111"/>
      <c r="EF162" s="111"/>
      <c r="EG162" s="111"/>
      <c r="EH162" s="111"/>
      <c r="EI162" s="111"/>
      <c r="EJ162" s="111"/>
      <c r="EK162" s="111"/>
      <c r="EL162" s="111"/>
      <c r="EM162" s="111"/>
      <c r="EN162" s="111"/>
      <c r="EO162" s="111"/>
      <c r="EP162" s="111"/>
      <c r="EQ162" s="111"/>
      <c r="ER162" s="111"/>
      <c r="ES162" s="111"/>
      <c r="ET162" s="111"/>
      <c r="EU162" s="111"/>
      <c r="EV162" s="111"/>
      <c r="EW162" s="111"/>
      <c r="EX162" s="111"/>
      <c r="EY162" s="111"/>
      <c r="EZ162" s="111"/>
      <c r="FA162" s="111"/>
      <c r="FB162" s="111"/>
      <c r="FC162" s="111"/>
      <c r="FD162" s="111"/>
      <c r="FE162" s="111"/>
      <c r="FF162" s="111"/>
    </row>
    <row x14ac:dyDescent="0.25" r="163" customHeight="1" ht="18.75" customFormat="1" s="18">
      <c r="A163" s="2"/>
      <c r="B163" s="2"/>
      <c r="C163" s="2"/>
      <c r="D163" s="2"/>
      <c r="E163" s="2"/>
      <c r="F163" s="2"/>
      <c r="G163" s="2"/>
      <c r="H163" s="2"/>
      <c r="I163" s="2"/>
      <c r="J163" s="2"/>
      <c r="K163" s="20"/>
      <c r="L163" s="2"/>
      <c r="M163" s="2"/>
      <c r="N163" s="2"/>
      <c r="O163" s="2"/>
      <c r="P163" s="2"/>
      <c r="Q163" s="2"/>
      <c r="R163" s="2"/>
      <c r="S163" s="2"/>
      <c r="T163" s="124"/>
      <c r="U163" s="124"/>
      <c r="V163" s="124"/>
      <c r="W163" s="124"/>
      <c r="X163" s="124"/>
      <c r="Y163" s="124"/>
      <c r="Z163" s="124"/>
      <c r="AA163" s="124"/>
      <c r="AB163" s="124"/>
      <c r="AC163" s="124"/>
      <c r="AD163" s="124"/>
      <c r="AE163" s="124"/>
      <c r="AF163" s="124"/>
      <c r="AG163" s="124"/>
      <c r="AH163" s="124"/>
      <c r="AI163" s="124"/>
      <c r="AJ163" s="124"/>
      <c r="AK163" s="124"/>
      <c r="AL163" s="124"/>
      <c r="AM163" s="124"/>
      <c r="AN163" s="124"/>
      <c r="AO163" s="124"/>
      <c r="AP163" s="124"/>
      <c r="AQ163" s="124"/>
      <c r="AR163" s="20"/>
      <c r="AS163" s="2"/>
      <c r="AT163" s="20"/>
      <c r="AU163" s="20"/>
      <c r="AV163" s="2"/>
      <c r="AW163" s="2"/>
      <c r="AX163" s="2"/>
      <c r="AY163" s="2"/>
      <c r="AZ163" s="2"/>
      <c r="BA163" s="2"/>
      <c r="BB163" s="2"/>
      <c r="BC163" s="2"/>
      <c r="BD163" s="2"/>
      <c r="BE163" s="2"/>
      <c r="BF163" s="2"/>
      <c r="BG163" s="2"/>
      <c r="BH163" s="2"/>
      <c r="BI163" s="2"/>
      <c r="BJ163" s="2"/>
      <c r="BK163" s="2"/>
      <c r="BL163" s="2"/>
      <c r="BM163" s="2"/>
      <c r="BN163" s="2"/>
      <c r="BO163" s="2"/>
      <c r="BP163" s="20"/>
      <c r="BQ163" s="20"/>
      <c r="BR163" s="125"/>
      <c r="BS163" s="20"/>
      <c r="BT163" s="20"/>
      <c r="BU163" s="125"/>
      <c r="BV163" s="125"/>
      <c r="BW163" s="2"/>
      <c r="BX163" s="2"/>
      <c r="BY163" s="2"/>
      <c r="BZ163" s="2"/>
      <c r="CA163" s="2"/>
      <c r="CB163" s="2"/>
      <c r="CC163" s="2"/>
      <c r="CD163" s="2"/>
      <c r="CE163" s="2"/>
      <c r="CF163" s="2"/>
      <c r="CG163" s="2"/>
      <c r="CH163" s="2"/>
      <c r="CI163" s="2"/>
      <c r="CJ163" s="2"/>
      <c r="CK163" s="2"/>
      <c r="CL163" s="2"/>
      <c r="CM163" s="2"/>
      <c r="CN163" s="2"/>
      <c r="CO163" s="2"/>
      <c r="CP163" s="2"/>
      <c r="CQ163" s="2"/>
      <c r="CR163" s="2"/>
      <c r="CS163" s="111"/>
      <c r="CT163" s="111"/>
      <c r="CU163" s="111"/>
      <c r="CV163" s="111"/>
      <c r="CW163" s="111"/>
      <c r="CX163" s="111"/>
      <c r="CY163" s="111"/>
      <c r="CZ163" s="111"/>
      <c r="DA163" s="111"/>
      <c r="DB163" s="111"/>
      <c r="DC163" s="111"/>
      <c r="DD163" s="111"/>
      <c r="DE163" s="111"/>
      <c r="DF163" s="111"/>
      <c r="DG163" s="111"/>
      <c r="DH163" s="111"/>
      <c r="DI163" s="111"/>
      <c r="DJ163" s="111"/>
      <c r="DK163" s="111"/>
      <c r="DL163" s="111"/>
      <c r="DM163" s="111"/>
      <c r="DN163" s="111"/>
      <c r="DO163" s="111"/>
      <c r="DP163" s="111"/>
      <c r="DQ163" s="111"/>
      <c r="DR163" s="111"/>
      <c r="DS163" s="111"/>
      <c r="DT163" s="111"/>
      <c r="DU163" s="111"/>
      <c r="DV163" s="111"/>
      <c r="DW163" s="111"/>
      <c r="DX163" s="111"/>
      <c r="DY163" s="111"/>
      <c r="DZ163" s="111"/>
      <c r="EA163" s="111"/>
      <c r="EB163" s="111"/>
      <c r="EC163" s="111"/>
      <c r="ED163" s="111"/>
      <c r="EE163" s="111"/>
      <c r="EF163" s="111"/>
      <c r="EG163" s="111"/>
      <c r="EH163" s="111"/>
      <c r="EI163" s="111"/>
      <c r="EJ163" s="111"/>
      <c r="EK163" s="111"/>
      <c r="EL163" s="111"/>
      <c r="EM163" s="111"/>
      <c r="EN163" s="111"/>
      <c r="EO163" s="111"/>
      <c r="EP163" s="111"/>
      <c r="EQ163" s="111"/>
      <c r="ER163" s="111"/>
      <c r="ES163" s="111"/>
      <c r="ET163" s="111"/>
      <c r="EU163" s="111"/>
      <c r="EV163" s="111"/>
      <c r="EW163" s="111"/>
      <c r="EX163" s="111"/>
      <c r="EY163" s="111"/>
      <c r="EZ163" s="111"/>
      <c r="FA163" s="111"/>
      <c r="FB163" s="111"/>
      <c r="FC163" s="111"/>
      <c r="FD163" s="111"/>
      <c r="FE163" s="111"/>
      <c r="FF163" s="111"/>
    </row>
    <row x14ac:dyDescent="0.25" r="164" customHeight="1" ht="18.75" customFormat="1" s="18">
      <c r="A164" s="2"/>
      <c r="B164" s="2"/>
      <c r="C164" s="2"/>
      <c r="D164" s="2"/>
      <c r="E164" s="2"/>
      <c r="F164" s="2"/>
      <c r="G164" s="2"/>
      <c r="H164" s="2"/>
      <c r="I164" s="2"/>
      <c r="J164" s="2"/>
      <c r="K164" s="20"/>
      <c r="L164" s="2"/>
      <c r="M164" s="2"/>
      <c r="N164" s="2"/>
      <c r="O164" s="2"/>
      <c r="P164" s="2"/>
      <c r="Q164" s="2"/>
      <c r="R164" s="2"/>
      <c r="S164" s="2"/>
      <c r="T164" s="124"/>
      <c r="U164" s="124"/>
      <c r="V164" s="124"/>
      <c r="W164" s="124"/>
      <c r="X164" s="124"/>
      <c r="Y164" s="124"/>
      <c r="Z164" s="124"/>
      <c r="AA164" s="124"/>
      <c r="AB164" s="124"/>
      <c r="AC164" s="124"/>
      <c r="AD164" s="124"/>
      <c r="AE164" s="124"/>
      <c r="AF164" s="124"/>
      <c r="AG164" s="124"/>
      <c r="AH164" s="124"/>
      <c r="AI164" s="124"/>
      <c r="AJ164" s="124"/>
      <c r="AK164" s="124"/>
      <c r="AL164" s="124"/>
      <c r="AM164" s="124"/>
      <c r="AN164" s="124"/>
      <c r="AO164" s="124"/>
      <c r="AP164" s="124"/>
      <c r="AQ164" s="124"/>
      <c r="AR164" s="20"/>
      <c r="AS164" s="2"/>
      <c r="AT164" s="20"/>
      <c r="AU164" s="20"/>
      <c r="AV164" s="2"/>
      <c r="AW164" s="2"/>
      <c r="AX164" s="2"/>
      <c r="AY164" s="2"/>
      <c r="AZ164" s="2"/>
      <c r="BA164" s="2"/>
      <c r="BB164" s="2"/>
      <c r="BC164" s="2"/>
      <c r="BD164" s="2"/>
      <c r="BE164" s="2"/>
      <c r="BF164" s="2"/>
      <c r="BG164" s="2"/>
      <c r="BH164" s="2"/>
      <c r="BI164" s="2"/>
      <c r="BJ164" s="2"/>
      <c r="BK164" s="2"/>
      <c r="BL164" s="2"/>
      <c r="BM164" s="2"/>
      <c r="BN164" s="2"/>
      <c r="BO164" s="2"/>
      <c r="BP164" s="20"/>
      <c r="BQ164" s="20"/>
      <c r="BR164" s="125"/>
      <c r="BS164" s="20"/>
      <c r="BT164" s="20"/>
      <c r="BU164" s="125"/>
      <c r="BV164" s="125"/>
      <c r="BW164" s="2"/>
      <c r="BX164" s="2"/>
      <c r="BY164" s="2"/>
      <c r="BZ164" s="2"/>
      <c r="CA164" s="2"/>
      <c r="CB164" s="2"/>
      <c r="CC164" s="2"/>
      <c r="CD164" s="2"/>
      <c r="CE164" s="2"/>
      <c r="CF164" s="2"/>
      <c r="CG164" s="2"/>
      <c r="CH164" s="2"/>
      <c r="CI164" s="2"/>
      <c r="CJ164" s="2"/>
      <c r="CK164" s="2"/>
      <c r="CL164" s="2"/>
      <c r="CM164" s="2"/>
      <c r="CN164" s="2"/>
      <c r="CO164" s="2"/>
      <c r="CP164" s="2"/>
      <c r="CQ164" s="2"/>
      <c r="CR164" s="2"/>
      <c r="CS164" s="111"/>
      <c r="CT164" s="111"/>
      <c r="CU164" s="111"/>
      <c r="CV164" s="111"/>
      <c r="CW164" s="111"/>
      <c r="CX164" s="111"/>
      <c r="CY164" s="111"/>
      <c r="CZ164" s="111"/>
      <c r="DA164" s="111"/>
      <c r="DB164" s="111"/>
      <c r="DC164" s="111"/>
      <c r="DD164" s="111"/>
      <c r="DE164" s="111"/>
      <c r="DF164" s="111"/>
      <c r="DG164" s="111"/>
      <c r="DH164" s="111"/>
      <c r="DI164" s="111"/>
      <c r="DJ164" s="111"/>
      <c r="DK164" s="111"/>
      <c r="DL164" s="111"/>
      <c r="DM164" s="111"/>
      <c r="DN164" s="111"/>
      <c r="DO164" s="111"/>
      <c r="DP164" s="111"/>
      <c r="DQ164" s="111"/>
      <c r="DR164" s="111"/>
      <c r="DS164" s="111"/>
      <c r="DT164" s="111"/>
      <c r="DU164" s="111"/>
      <c r="DV164" s="111"/>
      <c r="DW164" s="111"/>
      <c r="DX164" s="111"/>
      <c r="DY164" s="111"/>
      <c r="DZ164" s="111"/>
      <c r="EA164" s="111"/>
      <c r="EB164" s="111"/>
      <c r="EC164" s="111"/>
      <c r="ED164" s="111"/>
      <c r="EE164" s="111"/>
      <c r="EF164" s="111"/>
      <c r="EG164" s="111"/>
      <c r="EH164" s="111"/>
      <c r="EI164" s="111"/>
      <c r="EJ164" s="111"/>
      <c r="EK164" s="111"/>
      <c r="EL164" s="111"/>
      <c r="EM164" s="111"/>
      <c r="EN164" s="111"/>
      <c r="EO164" s="111"/>
      <c r="EP164" s="111"/>
      <c r="EQ164" s="111"/>
      <c r="ER164" s="111"/>
      <c r="ES164" s="111"/>
      <c r="ET164" s="111"/>
      <c r="EU164" s="111"/>
      <c r="EV164" s="111"/>
      <c r="EW164" s="111"/>
      <c r="EX164" s="111"/>
      <c r="EY164" s="111"/>
      <c r="EZ164" s="111"/>
      <c r="FA164" s="111"/>
      <c r="FB164" s="111"/>
      <c r="FC164" s="111"/>
      <c r="FD164" s="111"/>
      <c r="FE164" s="111"/>
      <c r="FF164" s="111"/>
    </row>
    <row x14ac:dyDescent="0.25" r="165" customHeight="1" ht="18.75" customFormat="1" s="18">
      <c r="A165" s="2"/>
      <c r="B165" s="2"/>
      <c r="C165" s="2"/>
      <c r="D165" s="2"/>
      <c r="E165" s="2"/>
      <c r="F165" s="2"/>
      <c r="G165" s="2"/>
      <c r="H165" s="2"/>
      <c r="I165" s="2"/>
      <c r="J165" s="2"/>
      <c r="K165" s="20"/>
      <c r="L165" s="2"/>
      <c r="M165" s="2"/>
      <c r="N165" s="2"/>
      <c r="O165" s="2"/>
      <c r="P165" s="2"/>
      <c r="Q165" s="2"/>
      <c r="R165" s="2"/>
      <c r="S165" s="2"/>
      <c r="T165" s="124"/>
      <c r="U165" s="124"/>
      <c r="V165" s="124"/>
      <c r="W165" s="124"/>
      <c r="X165" s="124"/>
      <c r="Y165" s="124"/>
      <c r="Z165" s="124"/>
      <c r="AA165" s="124"/>
      <c r="AB165" s="124"/>
      <c r="AC165" s="124"/>
      <c r="AD165" s="124"/>
      <c r="AE165" s="124"/>
      <c r="AF165" s="124"/>
      <c r="AG165" s="124"/>
      <c r="AH165" s="124"/>
      <c r="AI165" s="124"/>
      <c r="AJ165" s="124"/>
      <c r="AK165" s="124"/>
      <c r="AL165" s="124"/>
      <c r="AM165" s="124"/>
      <c r="AN165" s="124"/>
      <c r="AO165" s="124"/>
      <c r="AP165" s="124"/>
      <c r="AQ165" s="124"/>
      <c r="AR165" s="20"/>
      <c r="AS165" s="2"/>
      <c r="AT165" s="20"/>
      <c r="AU165" s="20"/>
      <c r="AV165" s="2"/>
      <c r="AW165" s="2"/>
      <c r="AX165" s="2"/>
      <c r="AY165" s="2"/>
      <c r="AZ165" s="2"/>
      <c r="BA165" s="2"/>
      <c r="BB165" s="2"/>
      <c r="BC165" s="2"/>
      <c r="BD165" s="2"/>
      <c r="BE165" s="2"/>
      <c r="BF165" s="2"/>
      <c r="BG165" s="2"/>
      <c r="BH165" s="2"/>
      <c r="BI165" s="2"/>
      <c r="BJ165" s="2"/>
      <c r="BK165" s="2"/>
      <c r="BL165" s="2"/>
      <c r="BM165" s="2"/>
      <c r="BN165" s="2"/>
      <c r="BO165" s="2"/>
      <c r="BP165" s="20"/>
      <c r="BQ165" s="20"/>
      <c r="BR165" s="125"/>
      <c r="BS165" s="20"/>
      <c r="BT165" s="20"/>
      <c r="BU165" s="125"/>
      <c r="BV165" s="125"/>
      <c r="BW165" s="2"/>
      <c r="BX165" s="2"/>
      <c r="BY165" s="2"/>
      <c r="BZ165" s="2"/>
      <c r="CA165" s="2"/>
      <c r="CB165" s="2"/>
      <c r="CC165" s="2"/>
      <c r="CD165" s="2"/>
      <c r="CE165" s="2"/>
      <c r="CF165" s="2"/>
      <c r="CG165" s="2"/>
      <c r="CH165" s="2"/>
      <c r="CI165" s="2"/>
      <c r="CJ165" s="2"/>
      <c r="CK165" s="2"/>
      <c r="CL165" s="2"/>
      <c r="CM165" s="2"/>
      <c r="CN165" s="2"/>
      <c r="CO165" s="2"/>
      <c r="CP165" s="2"/>
      <c r="CQ165" s="2"/>
      <c r="CR165" s="2"/>
      <c r="CS165" s="111"/>
      <c r="CT165" s="111"/>
      <c r="CU165" s="111"/>
      <c r="CV165" s="111"/>
      <c r="CW165" s="111"/>
      <c r="CX165" s="111"/>
      <c r="CY165" s="111"/>
      <c r="CZ165" s="111"/>
      <c r="DA165" s="111"/>
      <c r="DB165" s="111"/>
      <c r="DC165" s="111"/>
      <c r="DD165" s="111"/>
      <c r="DE165" s="111"/>
      <c r="DF165" s="111"/>
      <c r="DG165" s="111"/>
      <c r="DH165" s="111"/>
      <c r="DI165" s="111"/>
      <c r="DJ165" s="111"/>
      <c r="DK165" s="111"/>
      <c r="DL165" s="111"/>
      <c r="DM165" s="111"/>
      <c r="DN165" s="111"/>
      <c r="DO165" s="111"/>
      <c r="DP165" s="111"/>
      <c r="DQ165" s="111"/>
      <c r="DR165" s="111"/>
      <c r="DS165" s="111"/>
      <c r="DT165" s="111"/>
      <c r="DU165" s="111"/>
      <c r="DV165" s="111"/>
      <c r="DW165" s="111"/>
      <c r="DX165" s="111"/>
      <c r="DY165" s="111"/>
      <c r="DZ165" s="111"/>
      <c r="EA165" s="111"/>
      <c r="EB165" s="111"/>
      <c r="EC165" s="111"/>
      <c r="ED165" s="111"/>
      <c r="EE165" s="111"/>
      <c r="EF165" s="111"/>
      <c r="EG165" s="111"/>
      <c r="EH165" s="111"/>
      <c r="EI165" s="111"/>
      <c r="EJ165" s="111"/>
      <c r="EK165" s="111"/>
      <c r="EL165" s="111"/>
      <c r="EM165" s="111"/>
      <c r="EN165" s="111"/>
      <c r="EO165" s="111"/>
      <c r="EP165" s="111"/>
      <c r="EQ165" s="111"/>
      <c r="ER165" s="111"/>
      <c r="ES165" s="111"/>
      <c r="ET165" s="111"/>
      <c r="EU165" s="111"/>
      <c r="EV165" s="111"/>
      <c r="EW165" s="111"/>
      <c r="EX165" s="111"/>
      <c r="EY165" s="111"/>
      <c r="EZ165" s="111"/>
      <c r="FA165" s="111"/>
      <c r="FB165" s="111"/>
      <c r="FC165" s="111"/>
      <c r="FD165" s="111"/>
      <c r="FE165" s="111"/>
      <c r="FF165" s="111"/>
    </row>
    <row x14ac:dyDescent="0.25" r="166" customHeight="1" ht="18.75" customFormat="1" s="18">
      <c r="A166" s="2"/>
      <c r="B166" s="2"/>
      <c r="C166" s="2"/>
      <c r="D166" s="2"/>
      <c r="E166" s="2"/>
      <c r="F166" s="2"/>
      <c r="G166" s="2"/>
      <c r="H166" s="2"/>
      <c r="I166" s="2"/>
      <c r="J166" s="2"/>
      <c r="K166" s="20"/>
      <c r="L166" s="2"/>
      <c r="M166" s="2"/>
      <c r="N166" s="2"/>
      <c r="O166" s="2"/>
      <c r="P166" s="2"/>
      <c r="Q166" s="2"/>
      <c r="R166" s="2"/>
      <c r="S166" s="2"/>
      <c r="T166" s="124"/>
      <c r="U166" s="124"/>
      <c r="V166" s="124"/>
      <c r="W166" s="124"/>
      <c r="X166" s="124"/>
      <c r="Y166" s="124"/>
      <c r="Z166" s="124"/>
      <c r="AA166" s="124"/>
      <c r="AB166" s="124"/>
      <c r="AC166" s="124"/>
      <c r="AD166" s="124"/>
      <c r="AE166" s="124"/>
      <c r="AF166" s="124"/>
      <c r="AG166" s="124"/>
      <c r="AH166" s="124"/>
      <c r="AI166" s="124"/>
      <c r="AJ166" s="124"/>
      <c r="AK166" s="124"/>
      <c r="AL166" s="124"/>
      <c r="AM166" s="124"/>
      <c r="AN166" s="124"/>
      <c r="AO166" s="124"/>
      <c r="AP166" s="124"/>
      <c r="AQ166" s="124"/>
      <c r="AR166" s="20"/>
      <c r="AS166" s="2"/>
      <c r="AT166" s="20"/>
      <c r="AU166" s="20"/>
      <c r="AV166" s="2"/>
      <c r="AW166" s="2"/>
      <c r="AX166" s="2"/>
      <c r="AY166" s="2"/>
      <c r="AZ166" s="2"/>
      <c r="BA166" s="2"/>
      <c r="BB166" s="2"/>
      <c r="BC166" s="2"/>
      <c r="BD166" s="2"/>
      <c r="BE166" s="2"/>
      <c r="BF166" s="2"/>
      <c r="BG166" s="2"/>
      <c r="BH166" s="2"/>
      <c r="BI166" s="2"/>
      <c r="BJ166" s="2"/>
      <c r="BK166" s="2"/>
      <c r="BL166" s="2"/>
      <c r="BM166" s="2"/>
      <c r="BN166" s="2"/>
      <c r="BO166" s="2"/>
      <c r="BP166" s="20"/>
      <c r="BQ166" s="20"/>
      <c r="BR166" s="125"/>
      <c r="BS166" s="20"/>
      <c r="BT166" s="20"/>
      <c r="BU166" s="125"/>
      <c r="BV166" s="125"/>
      <c r="BW166" s="2"/>
      <c r="BX166" s="2"/>
      <c r="BY166" s="2"/>
      <c r="BZ166" s="2"/>
      <c r="CA166" s="2"/>
      <c r="CB166" s="2"/>
      <c r="CC166" s="2"/>
      <c r="CD166" s="2"/>
      <c r="CE166" s="2"/>
      <c r="CF166" s="2"/>
      <c r="CG166" s="2"/>
      <c r="CH166" s="2"/>
      <c r="CI166" s="2"/>
      <c r="CJ166" s="2"/>
      <c r="CK166" s="2"/>
      <c r="CL166" s="2"/>
      <c r="CM166" s="2"/>
      <c r="CN166" s="2"/>
      <c r="CO166" s="2"/>
      <c r="CP166" s="2"/>
      <c r="CQ166" s="2"/>
      <c r="CR166" s="2"/>
      <c r="CS166" s="111"/>
      <c r="CT166" s="111"/>
      <c r="CU166" s="111"/>
      <c r="CV166" s="111"/>
      <c r="CW166" s="111"/>
      <c r="CX166" s="111"/>
      <c r="CY166" s="111"/>
      <c r="CZ166" s="111"/>
      <c r="DA166" s="111"/>
      <c r="DB166" s="111"/>
      <c r="DC166" s="111"/>
      <c r="DD166" s="111"/>
      <c r="DE166" s="111"/>
      <c r="DF166" s="111"/>
      <c r="DG166" s="111"/>
      <c r="DH166" s="111"/>
      <c r="DI166" s="111"/>
      <c r="DJ166" s="111"/>
      <c r="DK166" s="111"/>
      <c r="DL166" s="111"/>
      <c r="DM166" s="111"/>
      <c r="DN166" s="111"/>
      <c r="DO166" s="111"/>
      <c r="DP166" s="111"/>
      <c r="DQ166" s="111"/>
      <c r="DR166" s="111"/>
      <c r="DS166" s="111"/>
      <c r="DT166" s="111"/>
      <c r="DU166" s="111"/>
      <c r="DV166" s="111"/>
      <c r="DW166" s="111"/>
      <c r="DX166" s="111"/>
      <c r="DY166" s="111"/>
      <c r="DZ166" s="111"/>
      <c r="EA166" s="111"/>
      <c r="EB166" s="111"/>
      <c r="EC166" s="111"/>
      <c r="ED166" s="111"/>
      <c r="EE166" s="111"/>
      <c r="EF166" s="111"/>
      <c r="EG166" s="111"/>
      <c r="EH166" s="111"/>
      <c r="EI166" s="111"/>
      <c r="EJ166" s="111"/>
      <c r="EK166" s="111"/>
      <c r="EL166" s="111"/>
      <c r="EM166" s="111"/>
      <c r="EN166" s="111"/>
      <c r="EO166" s="111"/>
      <c r="EP166" s="111"/>
      <c r="EQ166" s="111"/>
      <c r="ER166" s="111"/>
      <c r="ES166" s="111"/>
      <c r="ET166" s="111"/>
      <c r="EU166" s="111"/>
      <c r="EV166" s="111"/>
      <c r="EW166" s="111"/>
      <c r="EX166" s="111"/>
      <c r="EY166" s="111"/>
      <c r="EZ166" s="111"/>
      <c r="FA166" s="111"/>
      <c r="FB166" s="111"/>
      <c r="FC166" s="111"/>
      <c r="FD166" s="111"/>
      <c r="FE166" s="111"/>
      <c r="FF166" s="111"/>
    </row>
    <row x14ac:dyDescent="0.25" r="167" customHeight="1" ht="18.75" customFormat="1" s="18">
      <c r="A167" s="2"/>
      <c r="B167" s="2"/>
      <c r="C167" s="2"/>
      <c r="D167" s="2"/>
      <c r="E167" s="2"/>
      <c r="F167" s="2"/>
      <c r="G167" s="2"/>
      <c r="H167" s="2"/>
      <c r="I167" s="2"/>
      <c r="J167" s="2"/>
      <c r="K167" s="20"/>
      <c r="L167" s="2"/>
      <c r="M167" s="2"/>
      <c r="N167" s="2"/>
      <c r="O167" s="2"/>
      <c r="P167" s="2"/>
      <c r="Q167" s="2"/>
      <c r="R167" s="2"/>
      <c r="S167" s="2"/>
      <c r="T167" s="124"/>
      <c r="U167" s="124"/>
      <c r="V167" s="124"/>
      <c r="W167" s="124"/>
      <c r="X167" s="124"/>
      <c r="Y167" s="124"/>
      <c r="Z167" s="124"/>
      <c r="AA167" s="124"/>
      <c r="AB167" s="124"/>
      <c r="AC167" s="124"/>
      <c r="AD167" s="124"/>
      <c r="AE167" s="124"/>
      <c r="AF167" s="124"/>
      <c r="AG167" s="124"/>
      <c r="AH167" s="124"/>
      <c r="AI167" s="124"/>
      <c r="AJ167" s="124"/>
      <c r="AK167" s="124"/>
      <c r="AL167" s="124"/>
      <c r="AM167" s="124"/>
      <c r="AN167" s="124"/>
      <c r="AO167" s="124"/>
      <c r="AP167" s="124"/>
      <c r="AQ167" s="124"/>
      <c r="AR167" s="20"/>
      <c r="AS167" s="2"/>
      <c r="AT167" s="20"/>
      <c r="AU167" s="20"/>
      <c r="AV167" s="2"/>
      <c r="AW167" s="2"/>
      <c r="AX167" s="2"/>
      <c r="AY167" s="2"/>
      <c r="AZ167" s="2"/>
      <c r="BA167" s="2"/>
      <c r="BB167" s="2"/>
      <c r="BC167" s="2"/>
      <c r="BD167" s="2"/>
      <c r="BE167" s="2"/>
      <c r="BF167" s="2"/>
      <c r="BG167" s="2"/>
      <c r="BH167" s="2"/>
      <c r="BI167" s="2"/>
      <c r="BJ167" s="2"/>
      <c r="BK167" s="2"/>
      <c r="BL167" s="2"/>
      <c r="BM167" s="2"/>
      <c r="BN167" s="2"/>
      <c r="BO167" s="2"/>
      <c r="BP167" s="20"/>
      <c r="BQ167" s="20"/>
      <c r="BR167" s="125"/>
      <c r="BS167" s="20"/>
      <c r="BT167" s="20"/>
      <c r="BU167" s="125"/>
      <c r="BV167" s="125"/>
      <c r="BW167" s="2"/>
      <c r="BX167" s="2"/>
      <c r="BY167" s="2"/>
      <c r="BZ167" s="2"/>
      <c r="CA167" s="2"/>
      <c r="CB167" s="2"/>
      <c r="CC167" s="2"/>
      <c r="CD167" s="2"/>
      <c r="CE167" s="2"/>
      <c r="CF167" s="2"/>
      <c r="CG167" s="2"/>
      <c r="CH167" s="2"/>
      <c r="CI167" s="2"/>
      <c r="CJ167" s="2"/>
      <c r="CK167" s="2"/>
      <c r="CL167" s="2"/>
      <c r="CM167" s="2"/>
      <c r="CN167" s="2"/>
      <c r="CO167" s="2"/>
      <c r="CP167" s="2"/>
      <c r="CQ167" s="2"/>
      <c r="CR167" s="2"/>
      <c r="CS167" s="111"/>
      <c r="CT167" s="111"/>
      <c r="CU167" s="111"/>
      <c r="CV167" s="111"/>
      <c r="CW167" s="111"/>
      <c r="CX167" s="111"/>
      <c r="CY167" s="111"/>
      <c r="CZ167" s="111"/>
      <c r="DA167" s="111"/>
      <c r="DB167" s="111"/>
      <c r="DC167" s="111"/>
      <c r="DD167" s="111"/>
      <c r="DE167" s="111"/>
      <c r="DF167" s="111"/>
      <c r="DG167" s="111"/>
      <c r="DH167" s="111"/>
      <c r="DI167" s="111"/>
      <c r="DJ167" s="111"/>
      <c r="DK167" s="111"/>
      <c r="DL167" s="111"/>
      <c r="DM167" s="111"/>
      <c r="DN167" s="111"/>
      <c r="DO167" s="111"/>
      <c r="DP167" s="111"/>
      <c r="DQ167" s="111"/>
      <c r="DR167" s="111"/>
      <c r="DS167" s="111"/>
      <c r="DT167" s="111"/>
      <c r="DU167" s="111"/>
      <c r="DV167" s="111"/>
      <c r="DW167" s="111"/>
      <c r="DX167" s="111"/>
      <c r="DY167" s="111"/>
      <c r="DZ167" s="111"/>
      <c r="EA167" s="111"/>
      <c r="EB167" s="111"/>
      <c r="EC167" s="111"/>
      <c r="ED167" s="111"/>
      <c r="EE167" s="111"/>
      <c r="EF167" s="111"/>
      <c r="EG167" s="111"/>
      <c r="EH167" s="111"/>
      <c r="EI167" s="111"/>
      <c r="EJ167" s="111"/>
      <c r="EK167" s="111"/>
      <c r="EL167" s="111"/>
      <c r="EM167" s="111"/>
      <c r="EN167" s="111"/>
      <c r="EO167" s="111"/>
      <c r="EP167" s="111"/>
      <c r="EQ167" s="111"/>
      <c r="ER167" s="111"/>
      <c r="ES167" s="111"/>
      <c r="ET167" s="111"/>
      <c r="EU167" s="111"/>
      <c r="EV167" s="111"/>
      <c r="EW167" s="111"/>
      <c r="EX167" s="111"/>
      <c r="EY167" s="111"/>
      <c r="EZ167" s="111"/>
      <c r="FA167" s="111"/>
      <c r="FB167" s="111"/>
      <c r="FC167" s="111"/>
      <c r="FD167" s="111"/>
      <c r="FE167" s="111"/>
      <c r="FF167" s="111"/>
    </row>
    <row x14ac:dyDescent="0.25" r="168" customHeight="1" ht="18.75" customFormat="1" s="18">
      <c r="A168" s="2"/>
      <c r="B168" s="2"/>
      <c r="C168" s="2"/>
      <c r="D168" s="2"/>
      <c r="E168" s="2"/>
      <c r="F168" s="2"/>
      <c r="G168" s="2"/>
      <c r="H168" s="2"/>
      <c r="I168" s="2"/>
      <c r="J168" s="2"/>
      <c r="K168" s="20"/>
      <c r="L168" s="2"/>
      <c r="M168" s="2"/>
      <c r="N168" s="2"/>
      <c r="O168" s="2"/>
      <c r="P168" s="2"/>
      <c r="Q168" s="2"/>
      <c r="R168" s="2"/>
      <c r="S168" s="2"/>
      <c r="T168" s="124"/>
      <c r="U168" s="124"/>
      <c r="V168" s="124"/>
      <c r="W168" s="124"/>
      <c r="X168" s="124"/>
      <c r="Y168" s="124"/>
      <c r="Z168" s="124"/>
      <c r="AA168" s="124"/>
      <c r="AB168" s="124"/>
      <c r="AC168" s="124"/>
      <c r="AD168" s="124"/>
      <c r="AE168" s="124"/>
      <c r="AF168" s="124"/>
      <c r="AG168" s="124"/>
      <c r="AH168" s="124"/>
      <c r="AI168" s="124"/>
      <c r="AJ168" s="124"/>
      <c r="AK168" s="124"/>
      <c r="AL168" s="124"/>
      <c r="AM168" s="124"/>
      <c r="AN168" s="124"/>
      <c r="AO168" s="124"/>
      <c r="AP168" s="124"/>
      <c r="AQ168" s="124"/>
      <c r="AR168" s="20"/>
      <c r="AS168" s="2"/>
      <c r="AT168" s="20"/>
      <c r="AU168" s="20"/>
      <c r="AV168" s="2"/>
      <c r="AW168" s="2"/>
      <c r="AX168" s="2"/>
      <c r="AY168" s="2"/>
      <c r="AZ168" s="2"/>
      <c r="BA168" s="2"/>
      <c r="BB168" s="2"/>
      <c r="BC168" s="2"/>
      <c r="BD168" s="2"/>
      <c r="BE168" s="2"/>
      <c r="BF168" s="2"/>
      <c r="BG168" s="2"/>
      <c r="BH168" s="2"/>
      <c r="BI168" s="2"/>
      <c r="BJ168" s="2"/>
      <c r="BK168" s="2"/>
      <c r="BL168" s="2"/>
      <c r="BM168" s="2"/>
      <c r="BN168" s="2"/>
      <c r="BO168" s="2"/>
      <c r="BP168" s="20"/>
      <c r="BQ168" s="20"/>
      <c r="BR168" s="125"/>
      <c r="BS168" s="20"/>
      <c r="BT168" s="20"/>
      <c r="BU168" s="125"/>
      <c r="BV168" s="125"/>
      <c r="BW168" s="2"/>
      <c r="BX168" s="2"/>
      <c r="BY168" s="2"/>
      <c r="BZ168" s="2"/>
      <c r="CA168" s="2"/>
      <c r="CB168" s="2"/>
      <c r="CC168" s="2"/>
      <c r="CD168" s="2"/>
      <c r="CE168" s="2"/>
      <c r="CF168" s="2"/>
      <c r="CG168" s="2"/>
      <c r="CH168" s="2"/>
      <c r="CI168" s="2"/>
      <c r="CJ168" s="2"/>
      <c r="CK168" s="2"/>
      <c r="CL168" s="2"/>
      <c r="CM168" s="2"/>
      <c r="CN168" s="2"/>
      <c r="CO168" s="2"/>
      <c r="CP168" s="2"/>
      <c r="CQ168" s="2"/>
      <c r="CR168" s="2"/>
      <c r="CS168" s="111"/>
      <c r="CT168" s="111"/>
      <c r="CU168" s="111"/>
      <c r="CV168" s="111"/>
      <c r="CW168" s="111"/>
      <c r="CX168" s="111"/>
      <c r="CY168" s="111"/>
      <c r="CZ168" s="111"/>
      <c r="DA168" s="111"/>
      <c r="DB168" s="111"/>
      <c r="DC168" s="111"/>
      <c r="DD168" s="111"/>
      <c r="DE168" s="111"/>
      <c r="DF168" s="111"/>
      <c r="DG168" s="111"/>
      <c r="DH168" s="111"/>
      <c r="DI168" s="111"/>
      <c r="DJ168" s="111"/>
      <c r="DK168" s="111"/>
      <c r="DL168" s="111"/>
      <c r="DM168" s="111"/>
      <c r="DN168" s="111"/>
      <c r="DO168" s="111"/>
      <c r="DP168" s="111"/>
      <c r="DQ168" s="111"/>
      <c r="DR168" s="111"/>
      <c r="DS168" s="111"/>
      <c r="DT168" s="111"/>
      <c r="DU168" s="111"/>
      <c r="DV168" s="111"/>
      <c r="DW168" s="111"/>
      <c r="DX168" s="111"/>
      <c r="DY168" s="111"/>
      <c r="DZ168" s="111"/>
      <c r="EA168" s="111"/>
      <c r="EB168" s="111"/>
      <c r="EC168" s="111"/>
      <c r="ED168" s="111"/>
      <c r="EE168" s="111"/>
      <c r="EF168" s="111"/>
      <c r="EG168" s="111"/>
      <c r="EH168" s="111"/>
      <c r="EI168" s="111"/>
      <c r="EJ168" s="111"/>
      <c r="EK168" s="111"/>
      <c r="EL168" s="111"/>
      <c r="EM168" s="111"/>
      <c r="EN168" s="111"/>
      <c r="EO168" s="111"/>
      <c r="EP168" s="111"/>
      <c r="EQ168" s="111"/>
      <c r="ER168" s="111"/>
      <c r="ES168" s="111"/>
      <c r="ET168" s="111"/>
      <c r="EU168" s="111"/>
      <c r="EV168" s="111"/>
      <c r="EW168" s="111"/>
      <c r="EX168" s="111"/>
      <c r="EY168" s="111"/>
      <c r="EZ168" s="111"/>
      <c r="FA168" s="111"/>
      <c r="FB168" s="111"/>
      <c r="FC168" s="111"/>
      <c r="FD168" s="111"/>
      <c r="FE168" s="111"/>
      <c r="FF168" s="111"/>
    </row>
    <row x14ac:dyDescent="0.25" r="169" customHeight="1" ht="18.75" customFormat="1" s="18">
      <c r="A169" s="2"/>
      <c r="B169" s="2"/>
      <c r="C169" s="2"/>
      <c r="D169" s="2"/>
      <c r="E169" s="2"/>
      <c r="F169" s="2"/>
      <c r="G169" s="2"/>
      <c r="H169" s="2"/>
      <c r="I169" s="2"/>
      <c r="J169" s="2"/>
      <c r="K169" s="20"/>
      <c r="L169" s="2"/>
      <c r="M169" s="2"/>
      <c r="N169" s="2"/>
      <c r="O169" s="2"/>
      <c r="P169" s="2"/>
      <c r="Q169" s="2"/>
      <c r="R169" s="2"/>
      <c r="S169" s="2"/>
      <c r="T169" s="124"/>
      <c r="U169" s="124"/>
      <c r="V169" s="124"/>
      <c r="W169" s="124"/>
      <c r="X169" s="124"/>
      <c r="Y169" s="124"/>
      <c r="Z169" s="124"/>
      <c r="AA169" s="124"/>
      <c r="AB169" s="124"/>
      <c r="AC169" s="124"/>
      <c r="AD169" s="124"/>
      <c r="AE169" s="124"/>
      <c r="AF169" s="124"/>
      <c r="AG169" s="124"/>
      <c r="AH169" s="124"/>
      <c r="AI169" s="124"/>
      <c r="AJ169" s="124"/>
      <c r="AK169" s="124"/>
      <c r="AL169" s="124"/>
      <c r="AM169" s="124"/>
      <c r="AN169" s="124"/>
      <c r="AO169" s="124"/>
      <c r="AP169" s="124"/>
      <c r="AQ169" s="124"/>
      <c r="AR169" s="20"/>
      <c r="AS169" s="2"/>
      <c r="AT169" s="20"/>
      <c r="AU169" s="20"/>
      <c r="AV169" s="2"/>
      <c r="AW169" s="2"/>
      <c r="AX169" s="2"/>
      <c r="AY169" s="2"/>
      <c r="AZ169" s="2"/>
      <c r="BA169" s="2"/>
      <c r="BB169" s="2"/>
      <c r="BC169" s="2"/>
      <c r="BD169" s="2"/>
      <c r="BE169" s="2"/>
      <c r="BF169" s="2"/>
      <c r="BG169" s="2"/>
      <c r="BH169" s="2"/>
      <c r="BI169" s="2"/>
      <c r="BJ169" s="2"/>
      <c r="BK169" s="2"/>
      <c r="BL169" s="2"/>
      <c r="BM169" s="2"/>
      <c r="BN169" s="2"/>
      <c r="BO169" s="2"/>
      <c r="BP169" s="20"/>
      <c r="BQ169" s="20"/>
      <c r="BR169" s="125"/>
      <c r="BS169" s="20"/>
      <c r="BT169" s="20"/>
      <c r="BU169" s="125"/>
      <c r="BV169" s="125"/>
      <c r="BW169" s="2"/>
      <c r="BX169" s="2"/>
      <c r="BY169" s="2"/>
      <c r="BZ169" s="2"/>
      <c r="CA169" s="2"/>
      <c r="CB169" s="2"/>
      <c r="CC169" s="2"/>
      <c r="CD169" s="2"/>
      <c r="CE169" s="2"/>
      <c r="CF169" s="2"/>
      <c r="CG169" s="2"/>
      <c r="CH169" s="2"/>
      <c r="CI169" s="2"/>
      <c r="CJ169" s="2"/>
      <c r="CK169" s="2"/>
      <c r="CL169" s="2"/>
      <c r="CM169" s="2"/>
      <c r="CN169" s="2"/>
      <c r="CO169" s="2"/>
      <c r="CP169" s="2"/>
      <c r="CQ169" s="2"/>
      <c r="CR169" s="2"/>
      <c r="CS169" s="111"/>
      <c r="CT169" s="111"/>
      <c r="CU169" s="111"/>
      <c r="CV169" s="111"/>
      <c r="CW169" s="111"/>
      <c r="CX169" s="111"/>
      <c r="CY169" s="111"/>
      <c r="CZ169" s="111"/>
      <c r="DA169" s="111"/>
      <c r="DB169" s="111"/>
      <c r="DC169" s="111"/>
      <c r="DD169" s="111"/>
      <c r="DE169" s="111"/>
      <c r="DF169" s="111"/>
      <c r="DG169" s="111"/>
      <c r="DH169" s="111"/>
      <c r="DI169" s="111"/>
      <c r="DJ169" s="111"/>
      <c r="DK169" s="111"/>
      <c r="DL169" s="111"/>
      <c r="DM169" s="111"/>
      <c r="DN169" s="111"/>
      <c r="DO169" s="111"/>
      <c r="DP169" s="111"/>
      <c r="DQ169" s="111"/>
      <c r="DR169" s="111"/>
      <c r="DS169" s="111"/>
      <c r="DT169" s="111"/>
      <c r="DU169" s="111"/>
      <c r="DV169" s="111"/>
      <c r="DW169" s="111"/>
      <c r="DX169" s="111"/>
      <c r="DY169" s="111"/>
      <c r="DZ169" s="111"/>
      <c r="EA169" s="111"/>
      <c r="EB169" s="111"/>
      <c r="EC169" s="111"/>
      <c r="ED169" s="111"/>
      <c r="EE169" s="111"/>
      <c r="EF169" s="111"/>
      <c r="EG169" s="111"/>
      <c r="EH169" s="111"/>
      <c r="EI169" s="111"/>
      <c r="EJ169" s="111"/>
      <c r="EK169" s="111"/>
      <c r="EL169" s="111"/>
      <c r="EM169" s="111"/>
      <c r="EN169" s="111"/>
      <c r="EO169" s="111"/>
      <c r="EP169" s="111"/>
      <c r="EQ169" s="111"/>
      <c r="ER169" s="111"/>
      <c r="ES169" s="111"/>
      <c r="ET169" s="111"/>
      <c r="EU169" s="111"/>
      <c r="EV169" s="111"/>
      <c r="EW169" s="111"/>
      <c r="EX169" s="111"/>
      <c r="EY169" s="111"/>
      <c r="EZ169" s="111"/>
      <c r="FA169" s="111"/>
      <c r="FB169" s="111"/>
      <c r="FC169" s="111"/>
      <c r="FD169" s="111"/>
      <c r="FE169" s="111"/>
      <c r="FF169" s="111"/>
    </row>
    <row x14ac:dyDescent="0.25" r="170" customHeight="1" ht="18.75" customFormat="1" s="18">
      <c r="A170" s="2"/>
      <c r="B170" s="2"/>
      <c r="C170" s="2"/>
      <c r="D170" s="2"/>
      <c r="E170" s="2"/>
      <c r="F170" s="2"/>
      <c r="G170" s="2"/>
      <c r="H170" s="2"/>
      <c r="I170" s="2"/>
      <c r="J170" s="2"/>
      <c r="K170" s="20"/>
      <c r="L170" s="2"/>
      <c r="M170" s="2"/>
      <c r="N170" s="2"/>
      <c r="O170" s="2"/>
      <c r="P170" s="2"/>
      <c r="Q170" s="2"/>
      <c r="R170" s="2"/>
      <c r="S170" s="2"/>
      <c r="T170" s="124"/>
      <c r="U170" s="124"/>
      <c r="V170" s="124"/>
      <c r="W170" s="124"/>
      <c r="X170" s="124"/>
      <c r="Y170" s="124"/>
      <c r="Z170" s="124"/>
      <c r="AA170" s="124"/>
      <c r="AB170" s="124"/>
      <c r="AC170" s="124"/>
      <c r="AD170" s="124"/>
      <c r="AE170" s="124"/>
      <c r="AF170" s="124"/>
      <c r="AG170" s="124"/>
      <c r="AH170" s="124"/>
      <c r="AI170" s="124"/>
      <c r="AJ170" s="124"/>
      <c r="AK170" s="124"/>
      <c r="AL170" s="124"/>
      <c r="AM170" s="124"/>
      <c r="AN170" s="124"/>
      <c r="AO170" s="124"/>
      <c r="AP170" s="124"/>
      <c r="AQ170" s="124"/>
      <c r="AR170" s="20"/>
      <c r="AS170" s="2"/>
      <c r="AT170" s="20"/>
      <c r="AU170" s="20"/>
      <c r="AV170" s="2"/>
      <c r="AW170" s="2"/>
      <c r="AX170" s="2"/>
      <c r="AY170" s="2"/>
      <c r="AZ170" s="2"/>
      <c r="BA170" s="2"/>
      <c r="BB170" s="2"/>
      <c r="BC170" s="2"/>
      <c r="BD170" s="2"/>
      <c r="BE170" s="2"/>
      <c r="BF170" s="2"/>
      <c r="BG170" s="2"/>
      <c r="BH170" s="2"/>
      <c r="BI170" s="2"/>
      <c r="BJ170" s="2"/>
      <c r="BK170" s="2"/>
      <c r="BL170" s="2"/>
      <c r="BM170" s="2"/>
      <c r="BN170" s="2"/>
      <c r="BO170" s="2"/>
      <c r="BP170" s="20"/>
      <c r="BQ170" s="20"/>
      <c r="BR170" s="125"/>
      <c r="BS170" s="20"/>
      <c r="BT170" s="20"/>
      <c r="BU170" s="125"/>
      <c r="BV170" s="125"/>
      <c r="BW170" s="2"/>
      <c r="BX170" s="2"/>
      <c r="BY170" s="2"/>
      <c r="BZ170" s="2"/>
      <c r="CA170" s="2"/>
      <c r="CB170" s="2"/>
      <c r="CC170" s="2"/>
      <c r="CD170" s="2"/>
      <c r="CE170" s="2"/>
      <c r="CF170" s="2"/>
      <c r="CG170" s="2"/>
      <c r="CH170" s="2"/>
      <c r="CI170" s="2"/>
      <c r="CJ170" s="2"/>
      <c r="CK170" s="2"/>
      <c r="CL170" s="2"/>
      <c r="CM170" s="2"/>
      <c r="CN170" s="2"/>
      <c r="CO170" s="2"/>
      <c r="CP170" s="2"/>
      <c r="CQ170" s="2"/>
      <c r="CR170" s="2"/>
      <c r="CS170" s="111"/>
      <c r="CT170" s="111"/>
      <c r="CU170" s="111"/>
      <c r="CV170" s="111"/>
      <c r="CW170" s="111"/>
      <c r="CX170" s="111"/>
      <c r="CY170" s="111"/>
      <c r="CZ170" s="111"/>
      <c r="DA170" s="111"/>
      <c r="DB170" s="111"/>
      <c r="DC170" s="111"/>
      <c r="DD170" s="111"/>
      <c r="DE170" s="111"/>
      <c r="DF170" s="111"/>
      <c r="DG170" s="111"/>
      <c r="DH170" s="111"/>
      <c r="DI170" s="111"/>
      <c r="DJ170" s="111"/>
      <c r="DK170" s="111"/>
      <c r="DL170" s="111"/>
      <c r="DM170" s="111"/>
      <c r="DN170" s="111"/>
      <c r="DO170" s="111"/>
      <c r="DP170" s="111"/>
      <c r="DQ170" s="111"/>
      <c r="DR170" s="111"/>
      <c r="DS170" s="111"/>
      <c r="DT170" s="111"/>
      <c r="DU170" s="111"/>
      <c r="DV170" s="111"/>
      <c r="DW170" s="111"/>
      <c r="DX170" s="111"/>
      <c r="DY170" s="111"/>
      <c r="DZ170" s="111"/>
      <c r="EA170" s="111"/>
      <c r="EB170" s="111"/>
      <c r="EC170" s="111"/>
      <c r="ED170" s="111"/>
      <c r="EE170" s="111"/>
      <c r="EF170" s="111"/>
      <c r="EG170" s="111"/>
      <c r="EH170" s="111"/>
      <c r="EI170" s="111"/>
      <c r="EJ170" s="111"/>
      <c r="EK170" s="111"/>
      <c r="EL170" s="111"/>
      <c r="EM170" s="111"/>
      <c r="EN170" s="111"/>
      <c r="EO170" s="111"/>
      <c r="EP170" s="111"/>
      <c r="EQ170" s="111"/>
      <c r="ER170" s="111"/>
      <c r="ES170" s="111"/>
      <c r="ET170" s="111"/>
      <c r="EU170" s="111"/>
      <c r="EV170" s="111"/>
      <c r="EW170" s="111"/>
      <c r="EX170" s="111"/>
      <c r="EY170" s="111"/>
      <c r="EZ170" s="111"/>
      <c r="FA170" s="111"/>
      <c r="FB170" s="111"/>
      <c r="FC170" s="111"/>
      <c r="FD170" s="111"/>
      <c r="FE170" s="111"/>
      <c r="FF170" s="111"/>
    </row>
    <row x14ac:dyDescent="0.25" r="171" customHeight="1" ht="18.75" customFormat="1" s="18">
      <c r="A171" s="2"/>
      <c r="B171" s="2"/>
      <c r="C171" s="2"/>
      <c r="D171" s="2"/>
      <c r="E171" s="2"/>
      <c r="F171" s="2"/>
      <c r="G171" s="2"/>
      <c r="H171" s="2"/>
      <c r="I171" s="2"/>
      <c r="J171" s="2"/>
      <c r="K171" s="20"/>
      <c r="L171" s="2"/>
      <c r="M171" s="2"/>
      <c r="N171" s="2"/>
      <c r="O171" s="2"/>
      <c r="P171" s="2"/>
      <c r="Q171" s="2"/>
      <c r="R171" s="2"/>
      <c r="S171" s="2"/>
      <c r="T171" s="124"/>
      <c r="U171" s="124"/>
      <c r="V171" s="124"/>
      <c r="W171" s="124"/>
      <c r="X171" s="124"/>
      <c r="Y171" s="124"/>
      <c r="Z171" s="124"/>
      <c r="AA171" s="124"/>
      <c r="AB171" s="124"/>
      <c r="AC171" s="124"/>
      <c r="AD171" s="124"/>
      <c r="AE171" s="124"/>
      <c r="AF171" s="124"/>
      <c r="AG171" s="124"/>
      <c r="AH171" s="124"/>
      <c r="AI171" s="124"/>
      <c r="AJ171" s="124"/>
      <c r="AK171" s="124"/>
      <c r="AL171" s="124"/>
      <c r="AM171" s="124"/>
      <c r="AN171" s="124"/>
      <c r="AO171" s="124"/>
      <c r="AP171" s="124"/>
      <c r="AQ171" s="124"/>
      <c r="AR171" s="20"/>
      <c r="AS171" s="2"/>
      <c r="AT171" s="20"/>
      <c r="AU171" s="20"/>
      <c r="AV171" s="2"/>
      <c r="AW171" s="2"/>
      <c r="AX171" s="2"/>
      <c r="AY171" s="2"/>
      <c r="AZ171" s="2"/>
      <c r="BA171" s="2"/>
      <c r="BB171" s="2"/>
      <c r="BC171" s="2"/>
      <c r="BD171" s="2"/>
      <c r="BE171" s="2"/>
      <c r="BF171" s="2"/>
      <c r="BG171" s="2"/>
      <c r="BH171" s="2"/>
      <c r="BI171" s="2"/>
      <c r="BJ171" s="2"/>
      <c r="BK171" s="2"/>
      <c r="BL171" s="2"/>
      <c r="BM171" s="2"/>
      <c r="BN171" s="2"/>
      <c r="BO171" s="2"/>
      <c r="BP171" s="20"/>
      <c r="BQ171" s="20"/>
      <c r="BR171" s="125"/>
      <c r="BS171" s="20"/>
      <c r="BT171" s="20"/>
      <c r="BU171" s="125"/>
      <c r="BV171" s="125"/>
      <c r="BW171" s="2"/>
      <c r="BX171" s="2"/>
      <c r="BY171" s="2"/>
      <c r="BZ171" s="2"/>
      <c r="CA171" s="2"/>
      <c r="CB171" s="2"/>
      <c r="CC171" s="2"/>
      <c r="CD171" s="2"/>
      <c r="CE171" s="2"/>
      <c r="CF171" s="2"/>
      <c r="CG171" s="2"/>
      <c r="CH171" s="2"/>
      <c r="CI171" s="2"/>
      <c r="CJ171" s="2"/>
      <c r="CK171" s="2"/>
      <c r="CL171" s="2"/>
      <c r="CM171" s="2"/>
      <c r="CN171" s="2"/>
      <c r="CO171" s="2"/>
      <c r="CP171" s="2"/>
      <c r="CQ171" s="2"/>
      <c r="CR171" s="2"/>
      <c r="CS171" s="111"/>
      <c r="CT171" s="111"/>
      <c r="CU171" s="111"/>
      <c r="CV171" s="111"/>
      <c r="CW171" s="111"/>
      <c r="CX171" s="111"/>
      <c r="CY171" s="111"/>
      <c r="CZ171" s="111"/>
      <c r="DA171" s="111"/>
      <c r="DB171" s="111"/>
      <c r="DC171" s="111"/>
      <c r="DD171" s="111"/>
      <c r="DE171" s="111"/>
      <c r="DF171" s="111"/>
      <c r="DG171" s="111"/>
      <c r="DH171" s="111"/>
      <c r="DI171" s="111"/>
      <c r="DJ171" s="111"/>
      <c r="DK171" s="111"/>
      <c r="DL171" s="111"/>
      <c r="DM171" s="111"/>
      <c r="DN171" s="111"/>
      <c r="DO171" s="111"/>
      <c r="DP171" s="111"/>
      <c r="DQ171" s="111"/>
      <c r="DR171" s="111"/>
      <c r="DS171" s="111"/>
      <c r="DT171" s="111"/>
      <c r="DU171" s="111"/>
      <c r="DV171" s="111"/>
      <c r="DW171" s="111"/>
      <c r="DX171" s="111"/>
      <c r="DY171" s="111"/>
      <c r="DZ171" s="111"/>
      <c r="EA171" s="111"/>
      <c r="EB171" s="111"/>
      <c r="EC171" s="111"/>
      <c r="ED171" s="111"/>
      <c r="EE171" s="111"/>
      <c r="EF171" s="111"/>
      <c r="EG171" s="111"/>
      <c r="EH171" s="111"/>
      <c r="EI171" s="111"/>
      <c r="EJ171" s="111"/>
      <c r="EK171" s="111"/>
      <c r="EL171" s="111"/>
      <c r="EM171" s="111"/>
      <c r="EN171" s="111"/>
      <c r="EO171" s="111"/>
      <c r="EP171" s="111"/>
      <c r="EQ171" s="111"/>
      <c r="ER171" s="111"/>
      <c r="ES171" s="111"/>
      <c r="ET171" s="111"/>
      <c r="EU171" s="111"/>
      <c r="EV171" s="111"/>
      <c r="EW171" s="111"/>
      <c r="EX171" s="111"/>
      <c r="EY171" s="111"/>
      <c r="EZ171" s="111"/>
      <c r="FA171" s="111"/>
      <c r="FB171" s="111"/>
      <c r="FC171" s="111"/>
      <c r="FD171" s="111"/>
      <c r="FE171" s="111"/>
      <c r="FF171" s="111"/>
    </row>
    <row x14ac:dyDescent="0.25" r="172" customHeight="1" ht="18.75" customFormat="1" s="18">
      <c r="A172" s="2"/>
      <c r="B172" s="2"/>
      <c r="C172" s="2"/>
      <c r="D172" s="2"/>
      <c r="E172" s="2"/>
      <c r="F172" s="2"/>
      <c r="G172" s="2"/>
      <c r="H172" s="2"/>
      <c r="I172" s="2"/>
      <c r="J172" s="2"/>
      <c r="K172" s="20"/>
      <c r="L172" s="2"/>
      <c r="M172" s="2"/>
      <c r="N172" s="2"/>
      <c r="O172" s="2"/>
      <c r="P172" s="2"/>
      <c r="Q172" s="2"/>
      <c r="R172" s="2"/>
      <c r="S172" s="2"/>
      <c r="T172" s="124"/>
      <c r="U172" s="124"/>
      <c r="V172" s="124"/>
      <c r="W172" s="124"/>
      <c r="X172" s="124"/>
      <c r="Y172" s="124"/>
      <c r="Z172" s="124"/>
      <c r="AA172" s="124"/>
      <c r="AB172" s="124"/>
      <c r="AC172" s="124"/>
      <c r="AD172" s="124"/>
      <c r="AE172" s="124"/>
      <c r="AF172" s="124"/>
      <c r="AG172" s="124"/>
      <c r="AH172" s="124"/>
      <c r="AI172" s="124"/>
      <c r="AJ172" s="124"/>
      <c r="AK172" s="124"/>
      <c r="AL172" s="124"/>
      <c r="AM172" s="124"/>
      <c r="AN172" s="124"/>
      <c r="AO172" s="124"/>
      <c r="AP172" s="124"/>
      <c r="AQ172" s="124"/>
      <c r="AR172" s="20"/>
      <c r="AS172" s="2"/>
      <c r="AT172" s="20"/>
      <c r="AU172" s="20"/>
      <c r="AV172" s="2"/>
      <c r="AW172" s="2"/>
      <c r="AX172" s="2"/>
      <c r="AY172" s="2"/>
      <c r="AZ172" s="2"/>
      <c r="BA172" s="2"/>
      <c r="BB172" s="2"/>
      <c r="BC172" s="2"/>
      <c r="BD172" s="2"/>
      <c r="BE172" s="2"/>
      <c r="BF172" s="2"/>
      <c r="BG172" s="2"/>
      <c r="BH172" s="2"/>
      <c r="BI172" s="2"/>
      <c r="BJ172" s="2"/>
      <c r="BK172" s="2"/>
      <c r="BL172" s="2"/>
      <c r="BM172" s="2"/>
      <c r="BN172" s="2"/>
      <c r="BO172" s="2"/>
      <c r="BP172" s="20"/>
      <c r="BQ172" s="20"/>
      <c r="BR172" s="125"/>
      <c r="BS172" s="20"/>
      <c r="BT172" s="20"/>
      <c r="BU172" s="125"/>
      <c r="BV172" s="125"/>
      <c r="BW172" s="2"/>
      <c r="BX172" s="2"/>
      <c r="BY172" s="2"/>
      <c r="BZ172" s="2"/>
      <c r="CA172" s="2"/>
      <c r="CB172" s="2"/>
      <c r="CC172" s="2"/>
      <c r="CD172" s="2"/>
      <c r="CE172" s="2"/>
      <c r="CF172" s="2"/>
      <c r="CG172" s="2"/>
      <c r="CH172" s="2"/>
      <c r="CI172" s="2"/>
      <c r="CJ172" s="2"/>
      <c r="CK172" s="2"/>
      <c r="CL172" s="2"/>
      <c r="CM172" s="2"/>
      <c r="CN172" s="2"/>
      <c r="CO172" s="2"/>
      <c r="CP172" s="2"/>
      <c r="CQ172" s="2"/>
      <c r="CR172" s="2"/>
      <c r="CS172" s="111"/>
      <c r="CT172" s="111"/>
      <c r="CU172" s="111"/>
      <c r="CV172" s="111"/>
      <c r="CW172" s="111"/>
      <c r="CX172" s="111"/>
      <c r="CY172" s="111"/>
      <c r="CZ172" s="111"/>
      <c r="DA172" s="111"/>
      <c r="DB172" s="111"/>
      <c r="DC172" s="111"/>
      <c r="DD172" s="111"/>
      <c r="DE172" s="111"/>
      <c r="DF172" s="111"/>
      <c r="DG172" s="111"/>
      <c r="DH172" s="111"/>
      <c r="DI172" s="111"/>
      <c r="DJ172" s="111"/>
      <c r="DK172" s="111"/>
      <c r="DL172" s="111"/>
      <c r="DM172" s="111"/>
      <c r="DN172" s="111"/>
      <c r="DO172" s="111"/>
      <c r="DP172" s="111"/>
      <c r="DQ172" s="111"/>
      <c r="DR172" s="111"/>
      <c r="DS172" s="111"/>
      <c r="DT172" s="111"/>
      <c r="DU172" s="111"/>
      <c r="DV172" s="111"/>
      <c r="DW172" s="111"/>
      <c r="DX172" s="111"/>
      <c r="DY172" s="111"/>
      <c r="DZ172" s="111"/>
      <c r="EA172" s="111"/>
      <c r="EB172" s="111"/>
      <c r="EC172" s="111"/>
      <c r="ED172" s="111"/>
      <c r="EE172" s="111"/>
      <c r="EF172" s="111"/>
      <c r="EG172" s="111"/>
      <c r="EH172" s="111"/>
      <c r="EI172" s="111"/>
      <c r="EJ172" s="111"/>
      <c r="EK172" s="111"/>
      <c r="EL172" s="111"/>
      <c r="EM172" s="111"/>
      <c r="EN172" s="111"/>
      <c r="EO172" s="111"/>
      <c r="EP172" s="111"/>
      <c r="EQ172" s="111"/>
      <c r="ER172" s="111"/>
      <c r="ES172" s="111"/>
      <c r="ET172" s="111"/>
      <c r="EU172" s="111"/>
      <c r="EV172" s="111"/>
      <c r="EW172" s="111"/>
      <c r="EX172" s="111"/>
      <c r="EY172" s="111"/>
      <c r="EZ172" s="111"/>
      <c r="FA172" s="111"/>
      <c r="FB172" s="111"/>
      <c r="FC172" s="111"/>
      <c r="FD172" s="111"/>
      <c r="FE172" s="111"/>
      <c r="FF172" s="111"/>
    </row>
    <row x14ac:dyDescent="0.25" r="173" customHeight="1" ht="18.75" customFormat="1" s="18">
      <c r="A173" s="2"/>
      <c r="B173" s="2"/>
      <c r="C173" s="2"/>
      <c r="D173" s="2"/>
      <c r="E173" s="2"/>
      <c r="F173" s="2"/>
      <c r="G173" s="2"/>
      <c r="H173" s="2"/>
      <c r="I173" s="2"/>
      <c r="J173" s="2"/>
      <c r="K173" s="20"/>
      <c r="L173" s="2"/>
      <c r="M173" s="2"/>
      <c r="N173" s="2"/>
      <c r="O173" s="2"/>
      <c r="P173" s="2"/>
      <c r="Q173" s="2"/>
      <c r="R173" s="2"/>
      <c r="S173" s="2"/>
      <c r="T173" s="124"/>
      <c r="U173" s="124"/>
      <c r="V173" s="124"/>
      <c r="W173" s="124"/>
      <c r="X173" s="124"/>
      <c r="Y173" s="124"/>
      <c r="Z173" s="124"/>
      <c r="AA173" s="124"/>
      <c r="AB173" s="124"/>
      <c r="AC173" s="124"/>
      <c r="AD173" s="124"/>
      <c r="AE173" s="124"/>
      <c r="AF173" s="124"/>
      <c r="AG173" s="124"/>
      <c r="AH173" s="124"/>
      <c r="AI173" s="124"/>
      <c r="AJ173" s="124"/>
      <c r="AK173" s="124"/>
      <c r="AL173" s="124"/>
      <c r="AM173" s="124"/>
      <c r="AN173" s="124"/>
      <c r="AO173" s="124"/>
      <c r="AP173" s="124"/>
      <c r="AQ173" s="124"/>
      <c r="AR173" s="20"/>
      <c r="AS173" s="2"/>
      <c r="AT173" s="20"/>
      <c r="AU173" s="20"/>
      <c r="AV173" s="2"/>
      <c r="AW173" s="2"/>
      <c r="AX173" s="2"/>
      <c r="AY173" s="2"/>
      <c r="AZ173" s="2"/>
      <c r="BA173" s="2"/>
      <c r="BB173" s="2"/>
      <c r="BC173" s="2"/>
      <c r="BD173" s="2"/>
      <c r="BE173" s="2"/>
      <c r="BF173" s="2"/>
      <c r="BG173" s="2"/>
      <c r="BH173" s="2"/>
      <c r="BI173" s="2"/>
      <c r="BJ173" s="2"/>
      <c r="BK173" s="2"/>
      <c r="BL173" s="2"/>
      <c r="BM173" s="2"/>
      <c r="BN173" s="2"/>
      <c r="BO173" s="2"/>
      <c r="BP173" s="20"/>
      <c r="BQ173" s="20"/>
      <c r="BR173" s="125"/>
      <c r="BS173" s="20"/>
      <c r="BT173" s="20"/>
      <c r="BU173" s="125"/>
      <c r="BV173" s="125"/>
      <c r="BW173" s="2"/>
      <c r="BX173" s="2"/>
      <c r="BY173" s="2"/>
      <c r="BZ173" s="2"/>
      <c r="CA173" s="2"/>
      <c r="CB173" s="2"/>
      <c r="CC173" s="2"/>
      <c r="CD173" s="2"/>
      <c r="CE173" s="2"/>
      <c r="CF173" s="2"/>
      <c r="CG173" s="2"/>
      <c r="CH173" s="2"/>
      <c r="CI173" s="2"/>
      <c r="CJ173" s="2"/>
      <c r="CK173" s="2"/>
      <c r="CL173" s="2"/>
      <c r="CM173" s="2"/>
      <c r="CN173" s="2"/>
      <c r="CO173" s="2"/>
      <c r="CP173" s="2"/>
      <c r="CQ173" s="2"/>
      <c r="CR173" s="2"/>
      <c r="CS173" s="111"/>
      <c r="CT173" s="111"/>
      <c r="CU173" s="111"/>
      <c r="CV173" s="111"/>
      <c r="CW173" s="111"/>
      <c r="CX173" s="111"/>
      <c r="CY173" s="111"/>
      <c r="CZ173" s="111"/>
      <c r="DA173" s="111"/>
      <c r="DB173" s="111"/>
      <c r="DC173" s="111"/>
      <c r="DD173" s="111"/>
      <c r="DE173" s="111"/>
      <c r="DF173" s="111"/>
      <c r="DG173" s="111"/>
      <c r="DH173" s="111"/>
      <c r="DI173" s="111"/>
      <c r="DJ173" s="111"/>
      <c r="DK173" s="111"/>
      <c r="DL173" s="111"/>
      <c r="DM173" s="111"/>
      <c r="DN173" s="111"/>
      <c r="DO173" s="111"/>
      <c r="DP173" s="111"/>
      <c r="DQ173" s="111"/>
      <c r="DR173" s="111"/>
      <c r="DS173" s="111"/>
      <c r="DT173" s="111"/>
      <c r="DU173" s="111"/>
      <c r="DV173" s="111"/>
      <c r="DW173" s="111"/>
      <c r="DX173" s="111"/>
      <c r="DY173" s="111"/>
      <c r="DZ173" s="111"/>
      <c r="EA173" s="111"/>
      <c r="EB173" s="111"/>
      <c r="EC173" s="111"/>
      <c r="ED173" s="111"/>
      <c r="EE173" s="111"/>
      <c r="EF173" s="111"/>
      <c r="EG173" s="111"/>
      <c r="EH173" s="111"/>
      <c r="EI173" s="111"/>
      <c r="EJ173" s="111"/>
      <c r="EK173" s="111"/>
      <c r="EL173" s="111"/>
      <c r="EM173" s="111"/>
      <c r="EN173" s="111"/>
      <c r="EO173" s="111"/>
      <c r="EP173" s="111"/>
      <c r="EQ173" s="111"/>
      <c r="ER173" s="111"/>
      <c r="ES173" s="111"/>
      <c r="ET173" s="111"/>
      <c r="EU173" s="111"/>
      <c r="EV173" s="111"/>
      <c r="EW173" s="111"/>
      <c r="EX173" s="111"/>
      <c r="EY173" s="111"/>
      <c r="EZ173" s="111"/>
      <c r="FA173" s="111"/>
      <c r="FB173" s="111"/>
      <c r="FC173" s="111"/>
      <c r="FD173" s="111"/>
      <c r="FE173" s="111"/>
      <c r="FF173" s="111"/>
    </row>
    <row x14ac:dyDescent="0.25" r="174" customHeight="1" ht="18.75" customFormat="1" s="18">
      <c r="A174" s="2"/>
      <c r="B174" s="2"/>
      <c r="C174" s="2"/>
      <c r="D174" s="2"/>
      <c r="E174" s="2"/>
      <c r="F174" s="2"/>
      <c r="G174" s="2"/>
      <c r="H174" s="2"/>
      <c r="I174" s="2"/>
      <c r="J174" s="2"/>
      <c r="K174" s="20"/>
      <c r="L174" s="2"/>
      <c r="M174" s="2"/>
      <c r="N174" s="2"/>
      <c r="O174" s="2"/>
      <c r="P174" s="2"/>
      <c r="Q174" s="2"/>
      <c r="R174" s="2"/>
      <c r="S174" s="2"/>
      <c r="T174" s="124"/>
      <c r="U174" s="124"/>
      <c r="V174" s="124"/>
      <c r="W174" s="124"/>
      <c r="X174" s="124"/>
      <c r="Y174" s="124"/>
      <c r="Z174" s="124"/>
      <c r="AA174" s="124"/>
      <c r="AB174" s="124"/>
      <c r="AC174" s="124"/>
      <c r="AD174" s="124"/>
      <c r="AE174" s="124"/>
      <c r="AF174" s="124"/>
      <c r="AG174" s="124"/>
      <c r="AH174" s="124"/>
      <c r="AI174" s="124"/>
      <c r="AJ174" s="124"/>
      <c r="AK174" s="124"/>
      <c r="AL174" s="124"/>
      <c r="AM174" s="124"/>
      <c r="AN174" s="124"/>
      <c r="AO174" s="124"/>
      <c r="AP174" s="124"/>
      <c r="AQ174" s="124"/>
      <c r="AR174" s="20"/>
      <c r="AS174" s="2"/>
      <c r="AT174" s="20"/>
      <c r="AU174" s="20"/>
      <c r="AV174" s="2"/>
      <c r="AW174" s="2"/>
      <c r="AX174" s="2"/>
      <c r="AY174" s="2"/>
      <c r="AZ174" s="2"/>
      <c r="BA174" s="2"/>
      <c r="BB174" s="2"/>
      <c r="BC174" s="2"/>
      <c r="BD174" s="2"/>
      <c r="BE174" s="2"/>
      <c r="BF174" s="2"/>
      <c r="BG174" s="2"/>
      <c r="BH174" s="2"/>
      <c r="BI174" s="2"/>
      <c r="BJ174" s="2"/>
      <c r="BK174" s="2"/>
      <c r="BL174" s="2"/>
      <c r="BM174" s="2"/>
      <c r="BN174" s="2"/>
      <c r="BO174" s="2"/>
      <c r="BP174" s="20"/>
      <c r="BQ174" s="20"/>
      <c r="BR174" s="125"/>
      <c r="BS174" s="20"/>
      <c r="BT174" s="20"/>
      <c r="BU174" s="125"/>
      <c r="BV174" s="125"/>
      <c r="BW174" s="2"/>
      <c r="BX174" s="2"/>
      <c r="BY174" s="2"/>
      <c r="BZ174" s="2"/>
      <c r="CA174" s="2"/>
      <c r="CB174" s="2"/>
      <c r="CC174" s="2"/>
      <c r="CD174" s="2"/>
      <c r="CE174" s="2"/>
      <c r="CF174" s="2"/>
      <c r="CG174" s="2"/>
      <c r="CH174" s="2"/>
      <c r="CI174" s="2"/>
      <c r="CJ174" s="2"/>
      <c r="CK174" s="2"/>
      <c r="CL174" s="2"/>
      <c r="CM174" s="2"/>
      <c r="CN174" s="2"/>
      <c r="CO174" s="2"/>
      <c r="CP174" s="2"/>
      <c r="CQ174" s="2"/>
      <c r="CR174" s="2"/>
      <c r="CS174" s="111"/>
      <c r="CT174" s="111"/>
      <c r="CU174" s="111"/>
      <c r="CV174" s="111"/>
      <c r="CW174" s="111"/>
      <c r="CX174" s="111"/>
      <c r="CY174" s="111"/>
      <c r="CZ174" s="111"/>
      <c r="DA174" s="111"/>
      <c r="DB174" s="111"/>
      <c r="DC174" s="111"/>
      <c r="DD174" s="111"/>
      <c r="DE174" s="111"/>
      <c r="DF174" s="111"/>
      <c r="DG174" s="111"/>
      <c r="DH174" s="111"/>
      <c r="DI174" s="111"/>
      <c r="DJ174" s="111"/>
      <c r="DK174" s="111"/>
      <c r="DL174" s="111"/>
      <c r="DM174" s="111"/>
      <c r="DN174" s="111"/>
      <c r="DO174" s="111"/>
      <c r="DP174" s="111"/>
      <c r="DQ174" s="111"/>
      <c r="DR174" s="111"/>
      <c r="DS174" s="111"/>
      <c r="DT174" s="111"/>
      <c r="DU174" s="111"/>
      <c r="DV174" s="111"/>
      <c r="DW174" s="111"/>
      <c r="DX174" s="111"/>
      <c r="DY174" s="111"/>
      <c r="DZ174" s="111"/>
      <c r="EA174" s="111"/>
      <c r="EB174" s="111"/>
      <c r="EC174" s="111"/>
      <c r="ED174" s="111"/>
      <c r="EE174" s="111"/>
      <c r="EF174" s="111"/>
      <c r="EG174" s="111"/>
      <c r="EH174" s="111"/>
      <c r="EI174" s="111"/>
      <c r="EJ174" s="111"/>
      <c r="EK174" s="111"/>
      <c r="EL174" s="111"/>
      <c r="EM174" s="111"/>
      <c r="EN174" s="111"/>
      <c r="EO174" s="111"/>
      <c r="EP174" s="111"/>
      <c r="EQ174" s="111"/>
      <c r="ER174" s="111"/>
      <c r="ES174" s="111"/>
      <c r="ET174" s="111"/>
      <c r="EU174" s="111"/>
      <c r="EV174" s="111"/>
      <c r="EW174" s="111"/>
      <c r="EX174" s="111"/>
      <c r="EY174" s="111"/>
      <c r="EZ174" s="111"/>
      <c r="FA174" s="111"/>
      <c r="FB174" s="111"/>
      <c r="FC174" s="111"/>
      <c r="FD174" s="111"/>
      <c r="FE174" s="111"/>
      <c r="FF174" s="111"/>
    </row>
    <row x14ac:dyDescent="0.25" r="175" customHeight="1" ht="18.75" customFormat="1" s="18">
      <c r="A175" s="2"/>
      <c r="B175" s="2"/>
      <c r="C175" s="2"/>
      <c r="D175" s="2"/>
      <c r="E175" s="2"/>
      <c r="F175" s="2"/>
      <c r="G175" s="2"/>
      <c r="H175" s="2"/>
      <c r="I175" s="2"/>
      <c r="J175" s="2"/>
      <c r="K175" s="20"/>
      <c r="L175" s="2"/>
      <c r="M175" s="2"/>
      <c r="N175" s="2"/>
      <c r="O175" s="2"/>
      <c r="P175" s="2"/>
      <c r="Q175" s="2"/>
      <c r="R175" s="2"/>
      <c r="S175" s="2"/>
      <c r="T175" s="124"/>
      <c r="U175" s="124"/>
      <c r="V175" s="124"/>
      <c r="W175" s="124"/>
      <c r="X175" s="124"/>
      <c r="Y175" s="124"/>
      <c r="Z175" s="124"/>
      <c r="AA175" s="124"/>
      <c r="AB175" s="124"/>
      <c r="AC175" s="124"/>
      <c r="AD175" s="124"/>
      <c r="AE175" s="124"/>
      <c r="AF175" s="124"/>
      <c r="AG175" s="124"/>
      <c r="AH175" s="124"/>
      <c r="AI175" s="124"/>
      <c r="AJ175" s="124"/>
      <c r="AK175" s="124"/>
      <c r="AL175" s="124"/>
      <c r="AM175" s="124"/>
      <c r="AN175" s="124"/>
      <c r="AO175" s="124"/>
      <c r="AP175" s="124"/>
      <c r="AQ175" s="124"/>
      <c r="AR175" s="20"/>
      <c r="AS175" s="2"/>
      <c r="AT175" s="20"/>
      <c r="AU175" s="20"/>
      <c r="AV175" s="2"/>
      <c r="AW175" s="2"/>
      <c r="AX175" s="2"/>
      <c r="AY175" s="2"/>
      <c r="AZ175" s="2"/>
      <c r="BA175" s="2"/>
      <c r="BB175" s="2"/>
      <c r="BC175" s="2"/>
      <c r="BD175" s="2"/>
      <c r="BE175" s="2"/>
      <c r="BF175" s="2"/>
      <c r="BG175" s="2"/>
      <c r="BH175" s="2"/>
      <c r="BI175" s="2"/>
      <c r="BJ175" s="2"/>
      <c r="BK175" s="2"/>
      <c r="BL175" s="2"/>
      <c r="BM175" s="2"/>
      <c r="BN175" s="2"/>
      <c r="BO175" s="2"/>
      <c r="BP175" s="20"/>
      <c r="BQ175" s="20"/>
      <c r="BR175" s="125"/>
      <c r="BS175" s="20"/>
      <c r="BT175" s="20"/>
      <c r="BU175" s="125"/>
      <c r="BV175" s="125"/>
      <c r="BW175" s="2"/>
      <c r="BX175" s="2"/>
      <c r="BY175" s="2"/>
      <c r="BZ175" s="2"/>
      <c r="CA175" s="2"/>
      <c r="CB175" s="2"/>
      <c r="CC175" s="2"/>
      <c r="CD175" s="2"/>
      <c r="CE175" s="2"/>
      <c r="CF175" s="2"/>
      <c r="CG175" s="2"/>
      <c r="CH175" s="2"/>
      <c r="CI175" s="2"/>
      <c r="CJ175" s="2"/>
      <c r="CK175" s="2"/>
      <c r="CL175" s="2"/>
      <c r="CM175" s="2"/>
      <c r="CN175" s="2"/>
      <c r="CO175" s="2"/>
      <c r="CP175" s="2"/>
      <c r="CQ175" s="2"/>
      <c r="CR175" s="2"/>
      <c r="CS175" s="111"/>
      <c r="CT175" s="111"/>
      <c r="CU175" s="111"/>
      <c r="CV175" s="111"/>
      <c r="CW175" s="111"/>
      <c r="CX175" s="111"/>
      <c r="CY175" s="111"/>
      <c r="CZ175" s="111"/>
      <c r="DA175" s="111"/>
      <c r="DB175" s="111"/>
      <c r="DC175" s="111"/>
      <c r="DD175" s="111"/>
      <c r="DE175" s="111"/>
      <c r="DF175" s="111"/>
      <c r="DG175" s="111"/>
      <c r="DH175" s="111"/>
      <c r="DI175" s="111"/>
      <c r="DJ175" s="111"/>
      <c r="DK175" s="111"/>
      <c r="DL175" s="111"/>
      <c r="DM175" s="111"/>
      <c r="DN175" s="111"/>
      <c r="DO175" s="111"/>
      <c r="DP175" s="111"/>
      <c r="DQ175" s="111"/>
      <c r="DR175" s="111"/>
      <c r="DS175" s="111"/>
      <c r="DT175" s="111"/>
      <c r="DU175" s="111"/>
      <c r="DV175" s="111"/>
      <c r="DW175" s="111"/>
      <c r="DX175" s="111"/>
      <c r="DY175" s="111"/>
      <c r="DZ175" s="111"/>
      <c r="EA175" s="111"/>
      <c r="EB175" s="111"/>
      <c r="EC175" s="111"/>
      <c r="ED175" s="111"/>
      <c r="EE175" s="111"/>
      <c r="EF175" s="111"/>
      <c r="EG175" s="111"/>
      <c r="EH175" s="111"/>
      <c r="EI175" s="111"/>
      <c r="EJ175" s="111"/>
      <c r="EK175" s="111"/>
      <c r="EL175" s="111"/>
      <c r="EM175" s="111"/>
      <c r="EN175" s="111"/>
      <c r="EO175" s="111"/>
      <c r="EP175" s="111"/>
      <c r="EQ175" s="111"/>
      <c r="ER175" s="111"/>
      <c r="ES175" s="111"/>
      <c r="ET175" s="111"/>
      <c r="EU175" s="111"/>
      <c r="EV175" s="111"/>
      <c r="EW175" s="111"/>
      <c r="EX175" s="111"/>
      <c r="EY175" s="111"/>
      <c r="EZ175" s="111"/>
      <c r="FA175" s="111"/>
      <c r="FB175" s="111"/>
      <c r="FC175" s="111"/>
      <c r="FD175" s="111"/>
      <c r="FE175" s="111"/>
      <c r="FF175" s="111"/>
    </row>
    <row x14ac:dyDescent="0.25" r="176" customHeight="1" ht="18.75" customFormat="1" s="18">
      <c r="A176" s="2"/>
      <c r="B176" s="2"/>
      <c r="C176" s="2"/>
      <c r="D176" s="2"/>
      <c r="E176" s="2"/>
      <c r="F176" s="2"/>
      <c r="G176" s="2"/>
      <c r="H176" s="2"/>
      <c r="I176" s="2"/>
      <c r="J176" s="2"/>
      <c r="K176" s="20"/>
      <c r="L176" s="2"/>
      <c r="M176" s="2"/>
      <c r="N176" s="2"/>
      <c r="O176" s="2"/>
      <c r="P176" s="2"/>
      <c r="Q176" s="2"/>
      <c r="R176" s="2"/>
      <c r="S176" s="2"/>
      <c r="T176" s="124"/>
      <c r="U176" s="124"/>
      <c r="V176" s="124"/>
      <c r="W176" s="124"/>
      <c r="X176" s="124"/>
      <c r="Y176" s="124"/>
      <c r="Z176" s="124"/>
      <c r="AA176" s="124"/>
      <c r="AB176" s="124"/>
      <c r="AC176" s="124"/>
      <c r="AD176" s="124"/>
      <c r="AE176" s="124"/>
      <c r="AF176" s="124"/>
      <c r="AG176" s="124"/>
      <c r="AH176" s="124"/>
      <c r="AI176" s="124"/>
      <c r="AJ176" s="124"/>
      <c r="AK176" s="124"/>
      <c r="AL176" s="124"/>
      <c r="AM176" s="124"/>
      <c r="AN176" s="124"/>
      <c r="AO176" s="124"/>
      <c r="AP176" s="124"/>
      <c r="AQ176" s="124"/>
      <c r="AR176" s="20"/>
      <c r="AS176" s="2"/>
      <c r="AT176" s="20"/>
      <c r="AU176" s="20"/>
      <c r="AV176" s="2"/>
      <c r="AW176" s="2"/>
      <c r="AX176" s="2"/>
      <c r="AY176" s="2"/>
      <c r="AZ176" s="2"/>
      <c r="BA176" s="2"/>
      <c r="BB176" s="2"/>
      <c r="BC176" s="2"/>
      <c r="BD176" s="2"/>
      <c r="BE176" s="2"/>
      <c r="BF176" s="2"/>
      <c r="BG176" s="2"/>
      <c r="BH176" s="2"/>
      <c r="BI176" s="2"/>
      <c r="BJ176" s="2"/>
      <c r="BK176" s="2"/>
      <c r="BL176" s="2"/>
      <c r="BM176" s="2"/>
      <c r="BN176" s="2"/>
      <c r="BO176" s="2"/>
      <c r="BP176" s="20"/>
      <c r="BQ176" s="20"/>
      <c r="BR176" s="125"/>
      <c r="BS176" s="20"/>
      <c r="BT176" s="20"/>
      <c r="BU176" s="125"/>
      <c r="BV176" s="125"/>
      <c r="BW176" s="2"/>
      <c r="BX176" s="2"/>
      <c r="BY176" s="2"/>
      <c r="BZ176" s="2"/>
      <c r="CA176" s="2"/>
      <c r="CB176" s="2"/>
      <c r="CC176" s="2"/>
      <c r="CD176" s="2"/>
      <c r="CE176" s="2"/>
      <c r="CF176" s="2"/>
      <c r="CG176" s="2"/>
      <c r="CH176" s="2"/>
      <c r="CI176" s="2"/>
      <c r="CJ176" s="2"/>
      <c r="CK176" s="2"/>
      <c r="CL176" s="2"/>
      <c r="CM176" s="2"/>
      <c r="CN176" s="2"/>
      <c r="CO176" s="2"/>
      <c r="CP176" s="2"/>
      <c r="CQ176" s="2"/>
      <c r="CR176" s="2"/>
      <c r="CS176" s="111"/>
      <c r="CT176" s="111"/>
      <c r="CU176" s="111"/>
      <c r="CV176" s="111"/>
      <c r="CW176" s="111"/>
      <c r="CX176" s="111"/>
      <c r="CY176" s="111"/>
      <c r="CZ176" s="111"/>
      <c r="DA176" s="111"/>
      <c r="DB176" s="111"/>
      <c r="DC176" s="111"/>
      <c r="DD176" s="111"/>
      <c r="DE176" s="111"/>
      <c r="DF176" s="111"/>
      <c r="DG176" s="111"/>
      <c r="DH176" s="111"/>
      <c r="DI176" s="111"/>
      <c r="DJ176" s="111"/>
      <c r="DK176" s="111"/>
      <c r="DL176" s="111"/>
      <c r="DM176" s="111"/>
      <c r="DN176" s="111"/>
      <c r="DO176" s="111"/>
      <c r="DP176" s="111"/>
      <c r="DQ176" s="111"/>
      <c r="DR176" s="111"/>
      <c r="DS176" s="111"/>
      <c r="DT176" s="111"/>
      <c r="DU176" s="111"/>
      <c r="DV176" s="111"/>
      <c r="DW176" s="111"/>
      <c r="DX176" s="111"/>
      <c r="DY176" s="111"/>
      <c r="DZ176" s="111"/>
      <c r="EA176" s="111"/>
      <c r="EB176" s="111"/>
      <c r="EC176" s="111"/>
      <c r="ED176" s="111"/>
      <c r="EE176" s="111"/>
      <c r="EF176" s="111"/>
      <c r="EG176" s="111"/>
      <c r="EH176" s="111"/>
      <c r="EI176" s="111"/>
      <c r="EJ176" s="111"/>
      <c r="EK176" s="111"/>
      <c r="EL176" s="111"/>
      <c r="EM176" s="111"/>
      <c r="EN176" s="111"/>
      <c r="EO176" s="111"/>
      <c r="EP176" s="111"/>
      <c r="EQ176" s="111"/>
      <c r="ER176" s="111"/>
      <c r="ES176" s="111"/>
      <c r="ET176" s="111"/>
      <c r="EU176" s="111"/>
      <c r="EV176" s="111"/>
      <c r="EW176" s="111"/>
      <c r="EX176" s="111"/>
      <c r="EY176" s="111"/>
      <c r="EZ176" s="111"/>
      <c r="FA176" s="111"/>
      <c r="FB176" s="111"/>
      <c r="FC176" s="111"/>
      <c r="FD176" s="111"/>
      <c r="FE176" s="111"/>
      <c r="FF176" s="111"/>
    </row>
    <row x14ac:dyDescent="0.25" r="177" customHeight="1" ht="18.75" customFormat="1" s="18">
      <c r="A177" s="2"/>
      <c r="B177" s="2"/>
      <c r="C177" s="2"/>
      <c r="D177" s="2"/>
      <c r="E177" s="2"/>
      <c r="F177" s="2"/>
      <c r="G177" s="2"/>
      <c r="H177" s="2"/>
      <c r="I177" s="2"/>
      <c r="J177" s="2"/>
      <c r="K177" s="20"/>
      <c r="L177" s="2"/>
      <c r="M177" s="2"/>
      <c r="N177" s="2"/>
      <c r="O177" s="2"/>
      <c r="P177" s="2"/>
      <c r="Q177" s="2"/>
      <c r="R177" s="2"/>
      <c r="S177" s="2"/>
      <c r="T177" s="124"/>
      <c r="U177" s="124"/>
      <c r="V177" s="124"/>
      <c r="W177" s="124"/>
      <c r="X177" s="124"/>
      <c r="Y177" s="124"/>
      <c r="Z177" s="124"/>
      <c r="AA177" s="124"/>
      <c r="AB177" s="124"/>
      <c r="AC177" s="124"/>
      <c r="AD177" s="124"/>
      <c r="AE177" s="124"/>
      <c r="AF177" s="124"/>
      <c r="AG177" s="124"/>
      <c r="AH177" s="124"/>
      <c r="AI177" s="124"/>
      <c r="AJ177" s="124"/>
      <c r="AK177" s="124"/>
      <c r="AL177" s="124"/>
      <c r="AM177" s="124"/>
      <c r="AN177" s="124"/>
      <c r="AO177" s="124"/>
      <c r="AP177" s="124"/>
      <c r="AQ177" s="124"/>
      <c r="AR177" s="20"/>
      <c r="AS177" s="2"/>
      <c r="AT177" s="20"/>
      <c r="AU177" s="20"/>
      <c r="AV177" s="2"/>
      <c r="AW177" s="2"/>
      <c r="AX177" s="2"/>
      <c r="AY177" s="2"/>
      <c r="AZ177" s="2"/>
      <c r="BA177" s="2"/>
      <c r="BB177" s="2"/>
      <c r="BC177" s="2"/>
      <c r="BD177" s="2"/>
      <c r="BE177" s="2"/>
      <c r="BF177" s="2"/>
      <c r="BG177" s="2"/>
      <c r="BH177" s="2"/>
      <c r="BI177" s="2"/>
      <c r="BJ177" s="2"/>
      <c r="BK177" s="2"/>
      <c r="BL177" s="2"/>
      <c r="BM177" s="2"/>
      <c r="BN177" s="2"/>
      <c r="BO177" s="2"/>
      <c r="BP177" s="20"/>
      <c r="BQ177" s="20"/>
      <c r="BR177" s="125"/>
      <c r="BS177" s="20"/>
      <c r="BT177" s="20"/>
      <c r="BU177" s="125"/>
      <c r="BV177" s="125"/>
      <c r="BW177" s="2"/>
      <c r="BX177" s="2"/>
      <c r="BY177" s="2"/>
      <c r="BZ177" s="2"/>
      <c r="CA177" s="2"/>
      <c r="CB177" s="2"/>
      <c r="CC177" s="2"/>
      <c r="CD177" s="2"/>
      <c r="CE177" s="2"/>
      <c r="CF177" s="2"/>
      <c r="CG177" s="2"/>
      <c r="CH177" s="2"/>
      <c r="CI177" s="2"/>
      <c r="CJ177" s="2"/>
      <c r="CK177" s="2"/>
      <c r="CL177" s="2"/>
      <c r="CM177" s="2"/>
      <c r="CN177" s="2"/>
      <c r="CO177" s="2"/>
      <c r="CP177" s="2"/>
      <c r="CQ177" s="2"/>
      <c r="CR177" s="2"/>
      <c r="CS177" s="111"/>
      <c r="CT177" s="111"/>
      <c r="CU177" s="111"/>
      <c r="CV177" s="111"/>
      <c r="CW177" s="111"/>
      <c r="CX177" s="111"/>
      <c r="CY177" s="111"/>
      <c r="CZ177" s="111"/>
      <c r="DA177" s="111"/>
      <c r="DB177" s="111"/>
      <c r="DC177" s="111"/>
      <c r="DD177" s="111"/>
      <c r="DE177" s="111"/>
      <c r="DF177" s="111"/>
      <c r="DG177" s="111"/>
      <c r="DH177" s="111"/>
      <c r="DI177" s="111"/>
      <c r="DJ177" s="111"/>
      <c r="DK177" s="111"/>
      <c r="DL177" s="111"/>
      <c r="DM177" s="111"/>
      <c r="DN177" s="111"/>
      <c r="DO177" s="111"/>
      <c r="DP177" s="111"/>
      <c r="DQ177" s="111"/>
      <c r="DR177" s="111"/>
      <c r="DS177" s="111"/>
      <c r="DT177" s="111"/>
      <c r="DU177" s="111"/>
      <c r="DV177" s="111"/>
      <c r="DW177" s="111"/>
      <c r="DX177" s="111"/>
      <c r="DY177" s="111"/>
      <c r="DZ177" s="111"/>
      <c r="EA177" s="111"/>
      <c r="EB177" s="111"/>
      <c r="EC177" s="111"/>
      <c r="ED177" s="111"/>
      <c r="EE177" s="111"/>
      <c r="EF177" s="111"/>
      <c r="EG177" s="111"/>
      <c r="EH177" s="111"/>
      <c r="EI177" s="111"/>
      <c r="EJ177" s="111"/>
      <c r="EK177" s="111"/>
      <c r="EL177" s="111"/>
      <c r="EM177" s="111"/>
      <c r="EN177" s="111"/>
      <c r="EO177" s="111"/>
      <c r="EP177" s="111"/>
      <c r="EQ177" s="111"/>
      <c r="ER177" s="111"/>
      <c r="ES177" s="111"/>
      <c r="ET177" s="111"/>
      <c r="EU177" s="111"/>
      <c r="EV177" s="111"/>
      <c r="EW177" s="111"/>
      <c r="EX177" s="111"/>
      <c r="EY177" s="111"/>
      <c r="EZ177" s="111"/>
      <c r="FA177" s="111"/>
      <c r="FB177" s="111"/>
      <c r="FC177" s="111"/>
      <c r="FD177" s="111"/>
      <c r="FE177" s="111"/>
      <c r="FF177" s="111"/>
    </row>
    <row x14ac:dyDescent="0.25" r="178" customHeight="1" ht="18.75" customFormat="1" s="18">
      <c r="A178" s="2"/>
      <c r="B178" s="2"/>
      <c r="C178" s="2"/>
      <c r="D178" s="2"/>
      <c r="E178" s="2"/>
      <c r="F178" s="2"/>
      <c r="G178" s="2"/>
      <c r="H178" s="2"/>
      <c r="I178" s="2"/>
      <c r="J178" s="2"/>
      <c r="K178" s="20"/>
      <c r="L178" s="2"/>
      <c r="M178" s="2"/>
      <c r="N178" s="2"/>
      <c r="O178" s="2"/>
      <c r="P178" s="2"/>
      <c r="Q178" s="2"/>
      <c r="R178" s="2"/>
      <c r="S178" s="2"/>
      <c r="T178" s="124"/>
      <c r="U178" s="124"/>
      <c r="V178" s="124"/>
      <c r="W178" s="124"/>
      <c r="X178" s="124"/>
      <c r="Y178" s="124"/>
      <c r="Z178" s="124"/>
      <c r="AA178" s="124"/>
      <c r="AB178" s="124"/>
      <c r="AC178" s="124"/>
      <c r="AD178" s="124"/>
      <c r="AE178" s="124"/>
      <c r="AF178" s="124"/>
      <c r="AG178" s="124"/>
      <c r="AH178" s="124"/>
      <c r="AI178" s="124"/>
      <c r="AJ178" s="124"/>
      <c r="AK178" s="124"/>
      <c r="AL178" s="124"/>
      <c r="AM178" s="124"/>
      <c r="AN178" s="124"/>
      <c r="AO178" s="124"/>
      <c r="AP178" s="124"/>
      <c r="AQ178" s="124"/>
      <c r="AR178" s="20"/>
      <c r="AS178" s="2"/>
      <c r="AT178" s="20"/>
      <c r="AU178" s="20"/>
      <c r="AV178" s="2"/>
      <c r="AW178" s="2"/>
      <c r="AX178" s="2"/>
      <c r="AY178" s="2"/>
      <c r="AZ178" s="2"/>
      <c r="BA178" s="2"/>
      <c r="BB178" s="2"/>
      <c r="BC178" s="2"/>
      <c r="BD178" s="2"/>
      <c r="BE178" s="2"/>
      <c r="BF178" s="2"/>
      <c r="BG178" s="2"/>
      <c r="BH178" s="2"/>
      <c r="BI178" s="2"/>
      <c r="BJ178" s="2"/>
      <c r="BK178" s="2"/>
      <c r="BL178" s="2"/>
      <c r="BM178" s="2"/>
      <c r="BN178" s="2"/>
      <c r="BO178" s="2"/>
      <c r="BP178" s="20"/>
      <c r="BQ178" s="20"/>
      <c r="BR178" s="125"/>
      <c r="BS178" s="20"/>
      <c r="BT178" s="20"/>
      <c r="BU178" s="125"/>
      <c r="BV178" s="125"/>
      <c r="BW178" s="2"/>
      <c r="BX178" s="2"/>
      <c r="BY178" s="2"/>
      <c r="BZ178" s="2"/>
      <c r="CA178" s="2"/>
      <c r="CB178" s="2"/>
      <c r="CC178" s="2"/>
      <c r="CD178" s="2"/>
      <c r="CE178" s="2"/>
      <c r="CF178" s="2"/>
      <c r="CG178" s="2"/>
      <c r="CH178" s="2"/>
      <c r="CI178" s="2"/>
      <c r="CJ178" s="2"/>
      <c r="CK178" s="2"/>
      <c r="CL178" s="2"/>
      <c r="CM178" s="2"/>
      <c r="CN178" s="2"/>
      <c r="CO178" s="2"/>
      <c r="CP178" s="2"/>
      <c r="CQ178" s="2"/>
      <c r="CR178" s="2"/>
      <c r="CS178" s="111"/>
      <c r="CT178" s="111"/>
      <c r="CU178" s="111"/>
      <c r="CV178" s="111"/>
      <c r="CW178" s="111"/>
      <c r="CX178" s="111"/>
      <c r="CY178" s="111"/>
      <c r="CZ178" s="111"/>
      <c r="DA178" s="111"/>
      <c r="DB178" s="111"/>
      <c r="DC178" s="111"/>
      <c r="DD178" s="111"/>
      <c r="DE178" s="111"/>
      <c r="DF178" s="111"/>
      <c r="DG178" s="111"/>
      <c r="DH178" s="111"/>
      <c r="DI178" s="111"/>
      <c r="DJ178" s="111"/>
      <c r="DK178" s="111"/>
      <c r="DL178" s="111"/>
      <c r="DM178" s="111"/>
      <c r="DN178" s="111"/>
      <c r="DO178" s="111"/>
      <c r="DP178" s="111"/>
      <c r="DQ178" s="111"/>
      <c r="DR178" s="111"/>
      <c r="DS178" s="111"/>
      <c r="DT178" s="111"/>
      <c r="DU178" s="111"/>
      <c r="DV178" s="111"/>
      <c r="DW178" s="111"/>
      <c r="DX178" s="111"/>
      <c r="DY178" s="111"/>
      <c r="DZ178" s="111"/>
      <c r="EA178" s="111"/>
      <c r="EB178" s="111"/>
      <c r="EC178" s="111"/>
      <c r="ED178" s="111"/>
      <c r="EE178" s="111"/>
      <c r="EF178" s="111"/>
      <c r="EG178" s="111"/>
      <c r="EH178" s="111"/>
      <c r="EI178" s="111"/>
      <c r="EJ178" s="111"/>
      <c r="EK178" s="111"/>
      <c r="EL178" s="111"/>
      <c r="EM178" s="111"/>
      <c r="EN178" s="111"/>
      <c r="EO178" s="111"/>
      <c r="EP178" s="111"/>
      <c r="EQ178" s="111"/>
      <c r="ER178" s="111"/>
      <c r="ES178" s="111"/>
      <c r="ET178" s="111"/>
      <c r="EU178" s="111"/>
      <c r="EV178" s="111"/>
      <c r="EW178" s="111"/>
      <c r="EX178" s="111"/>
      <c r="EY178" s="111"/>
      <c r="EZ178" s="111"/>
      <c r="FA178" s="111"/>
      <c r="FB178" s="111"/>
      <c r="FC178" s="111"/>
      <c r="FD178" s="111"/>
      <c r="FE178" s="111"/>
      <c r="FF178" s="111"/>
    </row>
    <row x14ac:dyDescent="0.25" r="179" customHeight="1" ht="18.75" customFormat="1" s="18">
      <c r="A179" s="2"/>
      <c r="B179" s="2"/>
      <c r="C179" s="2"/>
      <c r="D179" s="2"/>
      <c r="E179" s="2"/>
      <c r="F179" s="2"/>
      <c r="G179" s="2"/>
      <c r="H179" s="2"/>
      <c r="I179" s="2"/>
      <c r="J179" s="2"/>
      <c r="K179" s="20"/>
      <c r="L179" s="2"/>
      <c r="M179" s="2"/>
      <c r="N179" s="2"/>
      <c r="O179" s="2"/>
      <c r="P179" s="2"/>
      <c r="Q179" s="2"/>
      <c r="R179" s="2"/>
      <c r="S179" s="2"/>
      <c r="T179" s="124"/>
      <c r="U179" s="124"/>
      <c r="V179" s="124"/>
      <c r="W179" s="124"/>
      <c r="X179" s="124"/>
      <c r="Y179" s="124"/>
      <c r="Z179" s="124"/>
      <c r="AA179" s="124"/>
      <c r="AB179" s="124"/>
      <c r="AC179" s="124"/>
      <c r="AD179" s="124"/>
      <c r="AE179" s="124"/>
      <c r="AF179" s="124"/>
      <c r="AG179" s="124"/>
      <c r="AH179" s="124"/>
      <c r="AI179" s="124"/>
      <c r="AJ179" s="124"/>
      <c r="AK179" s="124"/>
      <c r="AL179" s="124"/>
      <c r="AM179" s="124"/>
      <c r="AN179" s="124"/>
      <c r="AO179" s="124"/>
      <c r="AP179" s="124"/>
      <c r="AQ179" s="124"/>
      <c r="AR179" s="20"/>
      <c r="AS179" s="2"/>
      <c r="AT179" s="20"/>
      <c r="AU179" s="20"/>
      <c r="AV179" s="2"/>
      <c r="AW179" s="2"/>
      <c r="AX179" s="2"/>
      <c r="AY179" s="2"/>
      <c r="AZ179" s="2"/>
      <c r="BA179" s="2"/>
      <c r="BB179" s="2"/>
      <c r="BC179" s="2"/>
      <c r="BD179" s="2"/>
      <c r="BE179" s="2"/>
      <c r="BF179" s="2"/>
      <c r="BG179" s="2"/>
      <c r="BH179" s="2"/>
      <c r="BI179" s="2"/>
      <c r="BJ179" s="2"/>
      <c r="BK179" s="2"/>
      <c r="BL179" s="2"/>
      <c r="BM179" s="2"/>
      <c r="BN179" s="2"/>
      <c r="BO179" s="2"/>
      <c r="BP179" s="20"/>
      <c r="BQ179" s="20"/>
      <c r="BR179" s="125"/>
      <c r="BS179" s="20"/>
      <c r="BT179" s="20"/>
      <c r="BU179" s="125"/>
      <c r="BV179" s="125"/>
      <c r="BW179" s="2"/>
      <c r="BX179" s="2"/>
      <c r="BY179" s="2"/>
      <c r="BZ179" s="2"/>
      <c r="CA179" s="2"/>
      <c r="CB179" s="2"/>
      <c r="CC179" s="2"/>
      <c r="CD179" s="2"/>
      <c r="CE179" s="2"/>
      <c r="CF179" s="2"/>
      <c r="CG179" s="2"/>
      <c r="CH179" s="2"/>
      <c r="CI179" s="2"/>
      <c r="CJ179" s="2"/>
      <c r="CK179" s="2"/>
      <c r="CL179" s="2"/>
      <c r="CM179" s="2"/>
      <c r="CN179" s="2"/>
      <c r="CO179" s="2"/>
      <c r="CP179" s="2"/>
      <c r="CQ179" s="2"/>
      <c r="CR179" s="2"/>
      <c r="CS179" s="111"/>
      <c r="CT179" s="111"/>
      <c r="CU179" s="111"/>
      <c r="CV179" s="111"/>
      <c r="CW179" s="111"/>
      <c r="CX179" s="111"/>
      <c r="CY179" s="111"/>
      <c r="CZ179" s="111"/>
      <c r="DA179" s="111"/>
      <c r="DB179" s="111"/>
      <c r="DC179" s="111"/>
      <c r="DD179" s="111"/>
      <c r="DE179" s="111"/>
      <c r="DF179" s="111"/>
      <c r="DG179" s="111"/>
      <c r="DH179" s="111"/>
      <c r="DI179" s="111"/>
      <c r="DJ179" s="111"/>
      <c r="DK179" s="111"/>
      <c r="DL179" s="111"/>
      <c r="DM179" s="111"/>
      <c r="DN179" s="111"/>
      <c r="DO179" s="111"/>
      <c r="DP179" s="111"/>
      <c r="DQ179" s="111"/>
      <c r="DR179" s="111"/>
      <c r="DS179" s="111"/>
      <c r="DT179" s="111"/>
      <c r="DU179" s="111"/>
      <c r="DV179" s="111"/>
      <c r="DW179" s="111"/>
      <c r="DX179" s="111"/>
      <c r="DY179" s="111"/>
      <c r="DZ179" s="111"/>
      <c r="EA179" s="111"/>
      <c r="EB179" s="111"/>
      <c r="EC179" s="111"/>
      <c r="ED179" s="111"/>
      <c r="EE179" s="111"/>
      <c r="EF179" s="111"/>
      <c r="EG179" s="111"/>
      <c r="EH179" s="111"/>
      <c r="EI179" s="111"/>
      <c r="EJ179" s="111"/>
      <c r="EK179" s="111"/>
      <c r="EL179" s="111"/>
      <c r="EM179" s="111"/>
      <c r="EN179" s="111"/>
      <c r="EO179" s="111"/>
      <c r="EP179" s="111"/>
      <c r="EQ179" s="111"/>
      <c r="ER179" s="111"/>
      <c r="ES179" s="111"/>
      <c r="ET179" s="111"/>
      <c r="EU179" s="111"/>
      <c r="EV179" s="111"/>
      <c r="EW179" s="111"/>
      <c r="EX179" s="111"/>
      <c r="EY179" s="111"/>
      <c r="EZ179" s="111"/>
      <c r="FA179" s="111"/>
      <c r="FB179" s="111"/>
      <c r="FC179" s="111"/>
      <c r="FD179" s="111"/>
      <c r="FE179" s="111"/>
      <c r="FF179" s="111"/>
    </row>
    <row x14ac:dyDescent="0.25" r="180" customHeight="1" ht="18.75" customFormat="1" s="18">
      <c r="A180" s="2"/>
      <c r="B180" s="2"/>
      <c r="C180" s="2"/>
      <c r="D180" s="2"/>
      <c r="E180" s="2"/>
      <c r="F180" s="2"/>
      <c r="G180" s="2"/>
      <c r="H180" s="2"/>
      <c r="I180" s="2"/>
      <c r="J180" s="2"/>
      <c r="K180" s="20"/>
      <c r="L180" s="2"/>
      <c r="M180" s="2"/>
      <c r="N180" s="2"/>
      <c r="O180" s="2"/>
      <c r="P180" s="2"/>
      <c r="Q180" s="2"/>
      <c r="R180" s="2"/>
      <c r="S180" s="2"/>
      <c r="T180" s="124"/>
      <c r="U180" s="124"/>
      <c r="V180" s="124"/>
      <c r="W180" s="124"/>
      <c r="X180" s="124"/>
      <c r="Y180" s="124"/>
      <c r="Z180" s="124"/>
      <c r="AA180" s="124"/>
      <c r="AB180" s="124"/>
      <c r="AC180" s="124"/>
      <c r="AD180" s="124"/>
      <c r="AE180" s="124"/>
      <c r="AF180" s="124"/>
      <c r="AG180" s="124"/>
      <c r="AH180" s="124"/>
      <c r="AI180" s="124"/>
      <c r="AJ180" s="124"/>
      <c r="AK180" s="124"/>
      <c r="AL180" s="124"/>
      <c r="AM180" s="124"/>
      <c r="AN180" s="124"/>
      <c r="AO180" s="124"/>
      <c r="AP180" s="124"/>
      <c r="AQ180" s="124"/>
      <c r="AR180" s="20"/>
      <c r="AS180" s="2"/>
      <c r="AT180" s="20"/>
      <c r="AU180" s="20"/>
      <c r="AV180" s="2"/>
      <c r="AW180" s="2"/>
      <c r="AX180" s="2"/>
      <c r="AY180" s="2"/>
      <c r="AZ180" s="2"/>
      <c r="BA180" s="2"/>
      <c r="BB180" s="2"/>
      <c r="BC180" s="2"/>
      <c r="BD180" s="2"/>
      <c r="BE180" s="2"/>
      <c r="BF180" s="2"/>
      <c r="BG180" s="2"/>
      <c r="BH180" s="2"/>
      <c r="BI180" s="2"/>
      <c r="BJ180" s="2"/>
      <c r="BK180" s="2"/>
      <c r="BL180" s="2"/>
      <c r="BM180" s="2"/>
      <c r="BN180" s="2"/>
      <c r="BO180" s="2"/>
      <c r="BP180" s="20"/>
      <c r="BQ180" s="20"/>
      <c r="BR180" s="125"/>
      <c r="BS180" s="20"/>
      <c r="BT180" s="20"/>
      <c r="BU180" s="125"/>
      <c r="BV180" s="125"/>
      <c r="BW180" s="2"/>
      <c r="BX180" s="2"/>
      <c r="BY180" s="2"/>
      <c r="BZ180" s="2"/>
      <c r="CA180" s="2"/>
      <c r="CB180" s="2"/>
      <c r="CC180" s="2"/>
      <c r="CD180" s="2"/>
      <c r="CE180" s="2"/>
      <c r="CF180" s="2"/>
      <c r="CG180" s="2"/>
      <c r="CH180" s="2"/>
      <c r="CI180" s="2"/>
      <c r="CJ180" s="2"/>
      <c r="CK180" s="2"/>
      <c r="CL180" s="2"/>
      <c r="CM180" s="2"/>
      <c r="CN180" s="2"/>
      <c r="CO180" s="2"/>
      <c r="CP180" s="2"/>
      <c r="CQ180" s="2"/>
      <c r="CR180" s="2"/>
      <c r="CS180" s="111"/>
      <c r="CT180" s="111"/>
      <c r="CU180" s="111"/>
      <c r="CV180" s="111"/>
      <c r="CW180" s="111"/>
      <c r="CX180" s="111"/>
      <c r="CY180" s="111"/>
      <c r="CZ180" s="111"/>
      <c r="DA180" s="111"/>
      <c r="DB180" s="111"/>
      <c r="DC180" s="111"/>
      <c r="DD180" s="111"/>
      <c r="DE180" s="111"/>
      <c r="DF180" s="111"/>
      <c r="DG180" s="111"/>
      <c r="DH180" s="111"/>
      <c r="DI180" s="111"/>
      <c r="DJ180" s="111"/>
      <c r="DK180" s="111"/>
      <c r="DL180" s="111"/>
      <c r="DM180" s="111"/>
      <c r="DN180" s="111"/>
      <c r="DO180" s="111"/>
      <c r="DP180" s="111"/>
      <c r="DQ180" s="111"/>
      <c r="DR180" s="111"/>
      <c r="DS180" s="111"/>
      <c r="DT180" s="111"/>
      <c r="DU180" s="111"/>
      <c r="DV180" s="111"/>
      <c r="DW180" s="111"/>
      <c r="DX180" s="111"/>
      <c r="DY180" s="111"/>
      <c r="DZ180" s="111"/>
      <c r="EA180" s="111"/>
      <c r="EB180" s="111"/>
      <c r="EC180" s="111"/>
      <c r="ED180" s="111"/>
      <c r="EE180" s="111"/>
      <c r="EF180" s="111"/>
      <c r="EG180" s="111"/>
      <c r="EH180" s="111"/>
      <c r="EI180" s="111"/>
      <c r="EJ180" s="111"/>
      <c r="EK180" s="111"/>
      <c r="EL180" s="111"/>
      <c r="EM180" s="111"/>
      <c r="EN180" s="111"/>
      <c r="EO180" s="111"/>
      <c r="EP180" s="111"/>
      <c r="EQ180" s="111"/>
      <c r="ER180" s="111"/>
      <c r="ES180" s="111"/>
      <c r="ET180" s="111"/>
      <c r="EU180" s="111"/>
      <c r="EV180" s="111"/>
      <c r="EW180" s="111"/>
      <c r="EX180" s="111"/>
      <c r="EY180" s="111"/>
      <c r="EZ180" s="111"/>
      <c r="FA180" s="111"/>
      <c r="FB180" s="111"/>
      <c r="FC180" s="111"/>
      <c r="FD180" s="111"/>
      <c r="FE180" s="111"/>
      <c r="FF180" s="111"/>
    </row>
    <row x14ac:dyDescent="0.25" r="181" customHeight="1" ht="18.75" customFormat="1" s="18">
      <c r="A181" s="2"/>
      <c r="B181" s="2"/>
      <c r="C181" s="2"/>
      <c r="D181" s="2"/>
      <c r="E181" s="2"/>
      <c r="F181" s="2"/>
      <c r="G181" s="2"/>
      <c r="H181" s="2"/>
      <c r="I181" s="2"/>
      <c r="J181" s="2"/>
      <c r="K181" s="20"/>
      <c r="L181" s="2"/>
      <c r="M181" s="2"/>
      <c r="N181" s="2"/>
      <c r="O181" s="2"/>
      <c r="P181" s="2"/>
      <c r="Q181" s="2"/>
      <c r="R181" s="2"/>
      <c r="S181" s="2"/>
      <c r="T181" s="124"/>
      <c r="U181" s="124"/>
      <c r="V181" s="124"/>
      <c r="W181" s="124"/>
      <c r="X181" s="124"/>
      <c r="Y181" s="124"/>
      <c r="Z181" s="124"/>
      <c r="AA181" s="124"/>
      <c r="AB181" s="124"/>
      <c r="AC181" s="124"/>
      <c r="AD181" s="124"/>
      <c r="AE181" s="124"/>
      <c r="AF181" s="124"/>
      <c r="AG181" s="124"/>
      <c r="AH181" s="124"/>
      <c r="AI181" s="124"/>
      <c r="AJ181" s="124"/>
      <c r="AK181" s="124"/>
      <c r="AL181" s="124"/>
      <c r="AM181" s="124"/>
      <c r="AN181" s="124"/>
      <c r="AO181" s="124"/>
      <c r="AP181" s="124"/>
      <c r="AQ181" s="124"/>
      <c r="AR181" s="20"/>
      <c r="AS181" s="2"/>
      <c r="AT181" s="20"/>
      <c r="AU181" s="20"/>
      <c r="AV181" s="2"/>
      <c r="AW181" s="2"/>
      <c r="AX181" s="2"/>
      <c r="AY181" s="2"/>
      <c r="AZ181" s="2"/>
      <c r="BA181" s="2"/>
      <c r="BB181" s="2"/>
      <c r="BC181" s="2"/>
      <c r="BD181" s="2"/>
      <c r="BE181" s="2"/>
      <c r="BF181" s="2"/>
      <c r="BG181" s="2"/>
      <c r="BH181" s="2"/>
      <c r="BI181" s="2"/>
      <c r="BJ181" s="2"/>
      <c r="BK181" s="2"/>
      <c r="BL181" s="2"/>
      <c r="BM181" s="2"/>
      <c r="BN181" s="2"/>
      <c r="BO181" s="2"/>
      <c r="BP181" s="20"/>
      <c r="BQ181" s="20"/>
      <c r="BR181" s="125"/>
      <c r="BS181" s="20"/>
      <c r="BT181" s="20"/>
      <c r="BU181" s="125"/>
      <c r="BV181" s="125"/>
      <c r="BW181" s="2"/>
      <c r="BX181" s="2"/>
      <c r="BY181" s="2"/>
      <c r="BZ181" s="2"/>
      <c r="CA181" s="2"/>
      <c r="CB181" s="2"/>
      <c r="CC181" s="2"/>
      <c r="CD181" s="2"/>
      <c r="CE181" s="2"/>
      <c r="CF181" s="2"/>
      <c r="CG181" s="2"/>
      <c r="CH181" s="2"/>
      <c r="CI181" s="2"/>
      <c r="CJ181" s="2"/>
      <c r="CK181" s="2"/>
      <c r="CL181" s="2"/>
      <c r="CM181" s="2"/>
      <c r="CN181" s="2"/>
      <c r="CO181" s="2"/>
      <c r="CP181" s="2"/>
      <c r="CQ181" s="2"/>
      <c r="CR181" s="2"/>
      <c r="CS181" s="111"/>
      <c r="CT181" s="111"/>
      <c r="CU181" s="111"/>
      <c r="CV181" s="111"/>
      <c r="CW181" s="111"/>
      <c r="CX181" s="111"/>
      <c r="CY181" s="111"/>
      <c r="CZ181" s="111"/>
      <c r="DA181" s="111"/>
      <c r="DB181" s="111"/>
      <c r="DC181" s="111"/>
      <c r="DD181" s="111"/>
      <c r="DE181" s="111"/>
      <c r="DF181" s="111"/>
      <c r="DG181" s="111"/>
      <c r="DH181" s="111"/>
      <c r="DI181" s="111"/>
      <c r="DJ181" s="111"/>
      <c r="DK181" s="111"/>
      <c r="DL181" s="111"/>
      <c r="DM181" s="111"/>
      <c r="DN181" s="111"/>
      <c r="DO181" s="111"/>
      <c r="DP181" s="111"/>
      <c r="DQ181" s="111"/>
      <c r="DR181" s="111"/>
      <c r="DS181" s="111"/>
      <c r="DT181" s="111"/>
      <c r="DU181" s="111"/>
      <c r="DV181" s="111"/>
      <c r="DW181" s="111"/>
      <c r="DX181" s="111"/>
      <c r="DY181" s="111"/>
      <c r="DZ181" s="111"/>
      <c r="EA181" s="111"/>
      <c r="EB181" s="111"/>
      <c r="EC181" s="111"/>
      <c r="ED181" s="111"/>
      <c r="EE181" s="111"/>
      <c r="EF181" s="111"/>
      <c r="EG181" s="111"/>
      <c r="EH181" s="111"/>
      <c r="EI181" s="111"/>
      <c r="EJ181" s="111"/>
      <c r="EK181" s="111"/>
      <c r="EL181" s="111"/>
      <c r="EM181" s="111"/>
      <c r="EN181" s="111"/>
      <c r="EO181" s="111"/>
      <c r="EP181" s="111"/>
      <c r="EQ181" s="111"/>
      <c r="ER181" s="111"/>
      <c r="ES181" s="111"/>
      <c r="ET181" s="111"/>
      <c r="EU181" s="111"/>
      <c r="EV181" s="111"/>
      <c r="EW181" s="111"/>
      <c r="EX181" s="111"/>
      <c r="EY181" s="111"/>
      <c r="EZ181" s="111"/>
      <c r="FA181" s="111"/>
      <c r="FB181" s="111"/>
      <c r="FC181" s="111"/>
      <c r="FD181" s="111"/>
      <c r="FE181" s="111"/>
      <c r="FF181" s="111"/>
    </row>
    <row x14ac:dyDescent="0.25" r="182" customHeight="1" ht="18.75" customFormat="1" s="18">
      <c r="A182" s="2"/>
      <c r="B182" s="2"/>
      <c r="C182" s="2"/>
      <c r="D182" s="2"/>
      <c r="E182" s="2"/>
      <c r="F182" s="2"/>
      <c r="G182" s="2"/>
      <c r="H182" s="2"/>
      <c r="I182" s="2"/>
      <c r="J182" s="2"/>
      <c r="K182" s="20"/>
      <c r="L182" s="2"/>
      <c r="M182" s="2"/>
      <c r="N182" s="2"/>
      <c r="O182" s="2"/>
      <c r="P182" s="2"/>
      <c r="Q182" s="2"/>
      <c r="R182" s="2"/>
      <c r="S182" s="2"/>
      <c r="T182" s="124"/>
      <c r="U182" s="124"/>
      <c r="V182" s="124"/>
      <c r="W182" s="124"/>
      <c r="X182" s="124"/>
      <c r="Y182" s="124"/>
      <c r="Z182" s="124"/>
      <c r="AA182" s="124"/>
      <c r="AB182" s="124"/>
      <c r="AC182" s="124"/>
      <c r="AD182" s="124"/>
      <c r="AE182" s="124"/>
      <c r="AF182" s="124"/>
      <c r="AG182" s="124"/>
      <c r="AH182" s="124"/>
      <c r="AI182" s="124"/>
      <c r="AJ182" s="124"/>
      <c r="AK182" s="124"/>
      <c r="AL182" s="124"/>
      <c r="AM182" s="124"/>
      <c r="AN182" s="124"/>
      <c r="AO182" s="124"/>
      <c r="AP182" s="124"/>
      <c r="AQ182" s="124"/>
      <c r="AR182" s="20"/>
      <c r="AS182" s="2"/>
      <c r="AT182" s="20"/>
      <c r="AU182" s="20"/>
      <c r="AV182" s="2"/>
      <c r="AW182" s="2"/>
      <c r="AX182" s="2"/>
      <c r="AY182" s="2"/>
      <c r="AZ182" s="2"/>
      <c r="BA182" s="2"/>
      <c r="BB182" s="2"/>
      <c r="BC182" s="2"/>
      <c r="BD182" s="2"/>
      <c r="BE182" s="2"/>
      <c r="BF182" s="2"/>
      <c r="BG182" s="2"/>
      <c r="BH182" s="2"/>
      <c r="BI182" s="2"/>
      <c r="BJ182" s="2"/>
      <c r="BK182" s="2"/>
      <c r="BL182" s="2"/>
      <c r="BM182" s="2"/>
      <c r="BN182" s="2"/>
      <c r="BO182" s="2"/>
      <c r="BP182" s="20"/>
      <c r="BQ182" s="20"/>
      <c r="BR182" s="125"/>
      <c r="BS182" s="20"/>
      <c r="BT182" s="20"/>
      <c r="BU182" s="125"/>
      <c r="BV182" s="125"/>
      <c r="BW182" s="2"/>
      <c r="BX182" s="2"/>
      <c r="BY182" s="2"/>
      <c r="BZ182" s="2"/>
      <c r="CA182" s="2"/>
      <c r="CB182" s="2"/>
      <c r="CC182" s="2"/>
      <c r="CD182" s="2"/>
      <c r="CE182" s="2"/>
      <c r="CF182" s="2"/>
      <c r="CG182" s="2"/>
      <c r="CH182" s="2"/>
      <c r="CI182" s="2"/>
      <c r="CJ182" s="2"/>
      <c r="CK182" s="2"/>
      <c r="CL182" s="2"/>
      <c r="CM182" s="2"/>
      <c r="CN182" s="2"/>
      <c r="CO182" s="2"/>
      <c r="CP182" s="2"/>
      <c r="CQ182" s="2"/>
      <c r="CR182" s="2"/>
      <c r="CS182" s="111"/>
      <c r="CT182" s="111"/>
      <c r="CU182" s="111"/>
      <c r="CV182" s="111"/>
      <c r="CW182" s="111"/>
      <c r="CX182" s="111"/>
      <c r="CY182" s="111"/>
      <c r="CZ182" s="111"/>
      <c r="DA182" s="111"/>
      <c r="DB182" s="111"/>
      <c r="DC182" s="111"/>
      <c r="DD182" s="111"/>
      <c r="DE182" s="111"/>
      <c r="DF182" s="111"/>
      <c r="DG182" s="111"/>
      <c r="DH182" s="111"/>
      <c r="DI182" s="111"/>
      <c r="DJ182" s="111"/>
      <c r="DK182" s="111"/>
      <c r="DL182" s="111"/>
      <c r="DM182" s="111"/>
      <c r="DN182" s="111"/>
      <c r="DO182" s="111"/>
      <c r="DP182" s="111"/>
      <c r="DQ182" s="111"/>
      <c r="DR182" s="111"/>
      <c r="DS182" s="111"/>
      <c r="DT182" s="111"/>
      <c r="DU182" s="111"/>
      <c r="DV182" s="111"/>
      <c r="DW182" s="111"/>
      <c r="DX182" s="111"/>
      <c r="DY182" s="111"/>
      <c r="DZ182" s="111"/>
      <c r="EA182" s="111"/>
      <c r="EB182" s="111"/>
      <c r="EC182" s="111"/>
      <c r="ED182" s="111"/>
      <c r="EE182" s="111"/>
      <c r="EF182" s="111"/>
      <c r="EG182" s="111"/>
      <c r="EH182" s="111"/>
      <c r="EI182" s="111"/>
      <c r="EJ182" s="111"/>
      <c r="EK182" s="111"/>
      <c r="EL182" s="111"/>
      <c r="EM182" s="111"/>
      <c r="EN182" s="111"/>
      <c r="EO182" s="111"/>
      <c r="EP182" s="111"/>
      <c r="EQ182" s="111"/>
      <c r="ER182" s="111"/>
      <c r="ES182" s="111"/>
      <c r="ET182" s="111"/>
      <c r="EU182" s="111"/>
      <c r="EV182" s="111"/>
      <c r="EW182" s="111"/>
      <c r="EX182" s="111"/>
      <c r="EY182" s="111"/>
      <c r="EZ182" s="111"/>
      <c r="FA182" s="111"/>
      <c r="FB182" s="111"/>
      <c r="FC182" s="111"/>
      <c r="FD182" s="111"/>
      <c r="FE182" s="111"/>
      <c r="FF182" s="111"/>
    </row>
    <row x14ac:dyDescent="0.25" r="183" customHeight="1" ht="18.75" customFormat="1" s="18">
      <c r="A183" s="2"/>
      <c r="B183" s="2"/>
      <c r="C183" s="2"/>
      <c r="D183" s="2"/>
      <c r="E183" s="2"/>
      <c r="F183" s="2"/>
      <c r="G183" s="2"/>
      <c r="H183" s="2"/>
      <c r="I183" s="2"/>
      <c r="J183" s="2"/>
      <c r="K183" s="20"/>
      <c r="L183" s="2"/>
      <c r="M183" s="2"/>
      <c r="N183" s="2"/>
      <c r="O183" s="2"/>
      <c r="P183" s="2"/>
      <c r="Q183" s="2"/>
      <c r="R183" s="2"/>
      <c r="S183" s="2"/>
      <c r="T183" s="124"/>
      <c r="U183" s="124"/>
      <c r="V183" s="124"/>
      <c r="W183" s="124"/>
      <c r="X183" s="124"/>
      <c r="Y183" s="124"/>
      <c r="Z183" s="124"/>
      <c r="AA183" s="124"/>
      <c r="AB183" s="124"/>
      <c r="AC183" s="124"/>
      <c r="AD183" s="124"/>
      <c r="AE183" s="124"/>
      <c r="AF183" s="124"/>
      <c r="AG183" s="124"/>
      <c r="AH183" s="124"/>
      <c r="AI183" s="124"/>
      <c r="AJ183" s="124"/>
      <c r="AK183" s="124"/>
      <c r="AL183" s="124"/>
      <c r="AM183" s="124"/>
      <c r="AN183" s="124"/>
      <c r="AO183" s="124"/>
      <c r="AP183" s="124"/>
      <c r="AQ183" s="124"/>
      <c r="AR183" s="20"/>
      <c r="AS183" s="2"/>
      <c r="AT183" s="20"/>
      <c r="AU183" s="20"/>
      <c r="AV183" s="2"/>
      <c r="AW183" s="2"/>
      <c r="AX183" s="2"/>
      <c r="AY183" s="2"/>
      <c r="AZ183" s="2"/>
      <c r="BA183" s="2"/>
      <c r="BB183" s="2"/>
      <c r="BC183" s="2"/>
      <c r="BD183" s="2"/>
      <c r="BE183" s="2"/>
      <c r="BF183" s="2"/>
      <c r="BG183" s="2"/>
      <c r="BH183" s="2"/>
      <c r="BI183" s="2"/>
      <c r="BJ183" s="2"/>
      <c r="BK183" s="2"/>
      <c r="BL183" s="2"/>
      <c r="BM183" s="2"/>
      <c r="BN183" s="2"/>
      <c r="BO183" s="2"/>
      <c r="BP183" s="20"/>
      <c r="BQ183" s="20"/>
      <c r="BR183" s="125"/>
      <c r="BS183" s="20"/>
      <c r="BT183" s="20"/>
      <c r="BU183" s="125"/>
      <c r="BV183" s="125"/>
      <c r="BW183" s="2"/>
      <c r="BX183" s="2"/>
      <c r="BY183" s="2"/>
      <c r="BZ183" s="2"/>
      <c r="CA183" s="2"/>
      <c r="CB183" s="2"/>
      <c r="CC183" s="2"/>
      <c r="CD183" s="2"/>
      <c r="CE183" s="2"/>
      <c r="CF183" s="2"/>
      <c r="CG183" s="2"/>
      <c r="CH183" s="2"/>
      <c r="CI183" s="2"/>
      <c r="CJ183" s="2"/>
      <c r="CK183" s="2"/>
      <c r="CL183" s="2"/>
      <c r="CM183" s="2"/>
      <c r="CN183" s="2"/>
      <c r="CO183" s="2"/>
      <c r="CP183" s="2"/>
      <c r="CQ183" s="2"/>
      <c r="CR183" s="2"/>
      <c r="CS183" s="111"/>
      <c r="CT183" s="111"/>
      <c r="CU183" s="111"/>
      <c r="CV183" s="111"/>
      <c r="CW183" s="111"/>
      <c r="CX183" s="111"/>
      <c r="CY183" s="111"/>
      <c r="CZ183" s="111"/>
      <c r="DA183" s="111"/>
      <c r="DB183" s="111"/>
      <c r="DC183" s="111"/>
      <c r="DD183" s="111"/>
      <c r="DE183" s="111"/>
      <c r="DF183" s="111"/>
      <c r="DG183" s="111"/>
      <c r="DH183" s="111"/>
      <c r="DI183" s="111"/>
      <c r="DJ183" s="111"/>
      <c r="DK183" s="111"/>
      <c r="DL183" s="111"/>
      <c r="DM183" s="111"/>
      <c r="DN183" s="111"/>
      <c r="DO183" s="111"/>
      <c r="DP183" s="111"/>
      <c r="DQ183" s="111"/>
      <c r="DR183" s="111"/>
      <c r="DS183" s="111"/>
      <c r="DT183" s="111"/>
      <c r="DU183" s="111"/>
      <c r="DV183" s="111"/>
      <c r="DW183" s="111"/>
      <c r="DX183" s="111"/>
      <c r="DY183" s="111"/>
      <c r="DZ183" s="111"/>
      <c r="EA183" s="111"/>
      <c r="EB183" s="111"/>
      <c r="EC183" s="111"/>
      <c r="ED183" s="111"/>
      <c r="EE183" s="111"/>
      <c r="EF183" s="111"/>
      <c r="EG183" s="111"/>
      <c r="EH183" s="111"/>
      <c r="EI183" s="111"/>
      <c r="EJ183" s="111"/>
      <c r="EK183" s="111"/>
      <c r="EL183" s="111"/>
      <c r="EM183" s="111"/>
      <c r="EN183" s="111"/>
      <c r="EO183" s="111"/>
      <c r="EP183" s="111"/>
      <c r="EQ183" s="111"/>
      <c r="ER183" s="111"/>
      <c r="ES183" s="111"/>
      <c r="ET183" s="111"/>
      <c r="EU183" s="111"/>
      <c r="EV183" s="111"/>
      <c r="EW183" s="111"/>
      <c r="EX183" s="111"/>
      <c r="EY183" s="111"/>
      <c r="EZ183" s="111"/>
      <c r="FA183" s="111"/>
      <c r="FB183" s="111"/>
      <c r="FC183" s="111"/>
      <c r="FD183" s="111"/>
      <c r="FE183" s="111"/>
      <c r="FF183" s="111"/>
    </row>
    <row x14ac:dyDescent="0.25" r="184" customHeight="1" ht="18.75" customFormat="1" s="18">
      <c r="A184" s="2"/>
      <c r="B184" s="2"/>
      <c r="C184" s="2"/>
      <c r="D184" s="2"/>
      <c r="E184" s="2"/>
      <c r="F184" s="2"/>
      <c r="G184" s="2"/>
      <c r="H184" s="2"/>
      <c r="I184" s="2"/>
      <c r="J184" s="2"/>
      <c r="K184" s="20"/>
      <c r="L184" s="2"/>
      <c r="M184" s="2"/>
      <c r="N184" s="2"/>
      <c r="O184" s="2"/>
      <c r="P184" s="2"/>
      <c r="Q184" s="2"/>
      <c r="R184" s="2"/>
      <c r="S184" s="2"/>
      <c r="T184" s="124"/>
      <c r="U184" s="124"/>
      <c r="V184" s="124"/>
      <c r="W184" s="124"/>
      <c r="X184" s="124"/>
      <c r="Y184" s="124"/>
      <c r="Z184" s="124"/>
      <c r="AA184" s="124"/>
      <c r="AB184" s="124"/>
      <c r="AC184" s="124"/>
      <c r="AD184" s="124"/>
      <c r="AE184" s="124"/>
      <c r="AF184" s="124"/>
      <c r="AG184" s="124"/>
      <c r="AH184" s="124"/>
      <c r="AI184" s="124"/>
      <c r="AJ184" s="124"/>
      <c r="AK184" s="124"/>
      <c r="AL184" s="124"/>
      <c r="AM184" s="124"/>
      <c r="AN184" s="124"/>
      <c r="AO184" s="124"/>
      <c r="AP184" s="124"/>
      <c r="AQ184" s="124"/>
      <c r="AR184" s="20"/>
      <c r="AS184" s="2"/>
      <c r="AT184" s="20"/>
      <c r="AU184" s="20"/>
      <c r="AV184" s="2"/>
      <c r="AW184" s="2"/>
      <c r="AX184" s="2"/>
      <c r="AY184" s="2"/>
      <c r="AZ184" s="2"/>
      <c r="BA184" s="2"/>
      <c r="BB184" s="2"/>
      <c r="BC184" s="2"/>
      <c r="BD184" s="2"/>
      <c r="BE184" s="2"/>
      <c r="BF184" s="2"/>
      <c r="BG184" s="2"/>
      <c r="BH184" s="2"/>
      <c r="BI184" s="2"/>
      <c r="BJ184" s="2"/>
      <c r="BK184" s="2"/>
      <c r="BL184" s="2"/>
      <c r="BM184" s="2"/>
      <c r="BN184" s="2"/>
      <c r="BO184" s="2"/>
      <c r="BP184" s="20"/>
      <c r="BQ184" s="20"/>
      <c r="BR184" s="125"/>
      <c r="BS184" s="20"/>
      <c r="BT184" s="20"/>
      <c r="BU184" s="125"/>
      <c r="BV184" s="125"/>
      <c r="BW184" s="2"/>
      <c r="BX184" s="2"/>
      <c r="BY184" s="2"/>
      <c r="BZ184" s="2"/>
      <c r="CA184" s="2"/>
      <c r="CB184" s="2"/>
      <c r="CC184" s="2"/>
      <c r="CD184" s="2"/>
      <c r="CE184" s="2"/>
      <c r="CF184" s="2"/>
      <c r="CG184" s="2"/>
      <c r="CH184" s="2"/>
      <c r="CI184" s="2"/>
      <c r="CJ184" s="2"/>
      <c r="CK184" s="2"/>
      <c r="CL184" s="2"/>
      <c r="CM184" s="2"/>
      <c r="CN184" s="2"/>
      <c r="CO184" s="2"/>
      <c r="CP184" s="2"/>
      <c r="CQ184" s="2"/>
      <c r="CR184" s="2"/>
      <c r="CS184" s="111"/>
      <c r="CT184" s="111"/>
      <c r="CU184" s="111"/>
      <c r="CV184" s="111"/>
      <c r="CW184" s="111"/>
      <c r="CX184" s="111"/>
      <c r="CY184" s="111"/>
      <c r="CZ184" s="111"/>
      <c r="DA184" s="111"/>
      <c r="DB184" s="111"/>
      <c r="DC184" s="111"/>
      <c r="DD184" s="111"/>
      <c r="DE184" s="111"/>
      <c r="DF184" s="111"/>
      <c r="DG184" s="111"/>
      <c r="DH184" s="111"/>
      <c r="DI184" s="111"/>
      <c r="DJ184" s="111"/>
      <c r="DK184" s="111"/>
      <c r="DL184" s="111"/>
      <c r="DM184" s="111"/>
      <c r="DN184" s="111"/>
      <c r="DO184" s="111"/>
      <c r="DP184" s="111"/>
      <c r="DQ184" s="111"/>
      <c r="DR184" s="111"/>
      <c r="DS184" s="111"/>
      <c r="DT184" s="111"/>
      <c r="DU184" s="111"/>
      <c r="DV184" s="111"/>
      <c r="DW184" s="111"/>
      <c r="DX184" s="111"/>
      <c r="DY184" s="111"/>
      <c r="DZ184" s="111"/>
      <c r="EA184" s="111"/>
      <c r="EB184" s="111"/>
      <c r="EC184" s="111"/>
      <c r="ED184" s="111"/>
      <c r="EE184" s="111"/>
      <c r="EF184" s="111"/>
      <c r="EG184" s="111"/>
      <c r="EH184" s="111"/>
      <c r="EI184" s="111"/>
      <c r="EJ184" s="111"/>
      <c r="EK184" s="111"/>
      <c r="EL184" s="111"/>
      <c r="EM184" s="111"/>
      <c r="EN184" s="111"/>
      <c r="EO184" s="111"/>
      <c r="EP184" s="111"/>
      <c r="EQ184" s="111"/>
      <c r="ER184" s="111"/>
      <c r="ES184" s="111"/>
      <c r="ET184" s="111"/>
      <c r="EU184" s="111"/>
      <c r="EV184" s="111"/>
      <c r="EW184" s="111"/>
      <c r="EX184" s="111"/>
      <c r="EY184" s="111"/>
      <c r="EZ184" s="111"/>
      <c r="FA184" s="111"/>
      <c r="FB184" s="111"/>
      <c r="FC184" s="111"/>
      <c r="FD184" s="111"/>
      <c r="FE184" s="111"/>
      <c r="FF184" s="111"/>
    </row>
    <row x14ac:dyDescent="0.25" r="185" customHeight="1" ht="18.75" customFormat="1" s="18">
      <c r="A185" s="2"/>
      <c r="B185" s="2"/>
      <c r="C185" s="2"/>
      <c r="D185" s="2"/>
      <c r="E185" s="2"/>
      <c r="F185" s="2"/>
      <c r="G185" s="2"/>
      <c r="H185" s="2"/>
      <c r="I185" s="2"/>
      <c r="J185" s="2"/>
      <c r="K185" s="20"/>
      <c r="L185" s="2"/>
      <c r="M185" s="2"/>
      <c r="N185" s="2"/>
      <c r="O185" s="2"/>
      <c r="P185" s="2"/>
      <c r="Q185" s="2"/>
      <c r="R185" s="2"/>
      <c r="S185" s="2"/>
      <c r="T185" s="124"/>
      <c r="U185" s="124"/>
      <c r="V185" s="124"/>
      <c r="W185" s="124"/>
      <c r="X185" s="124"/>
      <c r="Y185" s="124"/>
      <c r="Z185" s="124"/>
      <c r="AA185" s="124"/>
      <c r="AB185" s="124"/>
      <c r="AC185" s="124"/>
      <c r="AD185" s="124"/>
      <c r="AE185" s="124"/>
      <c r="AF185" s="124"/>
      <c r="AG185" s="124"/>
      <c r="AH185" s="124"/>
      <c r="AI185" s="124"/>
      <c r="AJ185" s="124"/>
      <c r="AK185" s="124"/>
      <c r="AL185" s="124"/>
      <c r="AM185" s="124"/>
      <c r="AN185" s="124"/>
      <c r="AO185" s="124"/>
      <c r="AP185" s="124"/>
      <c r="AQ185" s="124"/>
      <c r="AR185" s="20"/>
      <c r="AS185" s="2"/>
      <c r="AT185" s="20"/>
      <c r="AU185" s="20"/>
      <c r="AV185" s="2"/>
      <c r="AW185" s="2"/>
      <c r="AX185" s="2"/>
      <c r="AY185" s="2"/>
      <c r="AZ185" s="2"/>
      <c r="BA185" s="2"/>
      <c r="BB185" s="2"/>
      <c r="BC185" s="2"/>
      <c r="BD185" s="2"/>
      <c r="BE185" s="2"/>
      <c r="BF185" s="2"/>
      <c r="BG185" s="2"/>
      <c r="BH185" s="2"/>
      <c r="BI185" s="2"/>
      <c r="BJ185" s="2"/>
      <c r="BK185" s="2"/>
      <c r="BL185" s="2"/>
      <c r="BM185" s="2"/>
      <c r="BN185" s="2"/>
      <c r="BO185" s="2"/>
      <c r="BP185" s="20"/>
      <c r="BQ185" s="20"/>
      <c r="BR185" s="125"/>
      <c r="BS185" s="20"/>
      <c r="BT185" s="20"/>
      <c r="BU185" s="125"/>
      <c r="BV185" s="125"/>
      <c r="BW185" s="2"/>
      <c r="BX185" s="2"/>
      <c r="BY185" s="2"/>
      <c r="BZ185" s="2"/>
      <c r="CA185" s="2"/>
      <c r="CB185" s="2"/>
      <c r="CC185" s="2"/>
      <c r="CD185" s="2"/>
      <c r="CE185" s="2"/>
      <c r="CF185" s="2"/>
      <c r="CG185" s="2"/>
      <c r="CH185" s="2"/>
      <c r="CI185" s="2"/>
      <c r="CJ185" s="2"/>
      <c r="CK185" s="2"/>
      <c r="CL185" s="2"/>
      <c r="CM185" s="2"/>
      <c r="CN185" s="2"/>
      <c r="CO185" s="2"/>
      <c r="CP185" s="2"/>
      <c r="CQ185" s="2"/>
      <c r="CR185" s="2"/>
      <c r="CS185" s="111"/>
      <c r="CT185" s="111"/>
      <c r="CU185" s="111"/>
      <c r="CV185" s="111"/>
      <c r="CW185" s="111"/>
      <c r="CX185" s="111"/>
      <c r="CY185" s="111"/>
      <c r="CZ185" s="111"/>
      <c r="DA185" s="111"/>
      <c r="DB185" s="111"/>
      <c r="DC185" s="111"/>
      <c r="DD185" s="111"/>
      <c r="DE185" s="111"/>
      <c r="DF185" s="111"/>
      <c r="DG185" s="111"/>
      <c r="DH185" s="111"/>
      <c r="DI185" s="111"/>
      <c r="DJ185" s="111"/>
      <c r="DK185" s="111"/>
      <c r="DL185" s="111"/>
      <c r="DM185" s="111"/>
      <c r="DN185" s="111"/>
      <c r="DO185" s="111"/>
      <c r="DP185" s="111"/>
      <c r="DQ185" s="111"/>
      <c r="DR185" s="111"/>
      <c r="DS185" s="111"/>
      <c r="DT185" s="111"/>
      <c r="DU185" s="111"/>
      <c r="DV185" s="111"/>
      <c r="DW185" s="111"/>
      <c r="DX185" s="111"/>
      <c r="DY185" s="111"/>
      <c r="DZ185" s="111"/>
      <c r="EA185" s="111"/>
      <c r="EB185" s="111"/>
      <c r="EC185" s="111"/>
      <c r="ED185" s="111"/>
      <c r="EE185" s="111"/>
      <c r="EF185" s="111"/>
      <c r="EG185" s="111"/>
      <c r="EH185" s="111"/>
      <c r="EI185" s="111"/>
      <c r="EJ185" s="111"/>
      <c r="EK185" s="111"/>
      <c r="EL185" s="111"/>
      <c r="EM185" s="111"/>
      <c r="EN185" s="111"/>
      <c r="EO185" s="111"/>
      <c r="EP185" s="111"/>
      <c r="EQ185" s="111"/>
      <c r="ER185" s="111"/>
      <c r="ES185" s="111"/>
      <c r="ET185" s="111"/>
      <c r="EU185" s="111"/>
      <c r="EV185" s="111"/>
      <c r="EW185" s="111"/>
      <c r="EX185" s="111"/>
      <c r="EY185" s="111"/>
      <c r="EZ185" s="111"/>
      <c r="FA185" s="111"/>
      <c r="FB185" s="111"/>
      <c r="FC185" s="111"/>
      <c r="FD185" s="111"/>
      <c r="FE185" s="111"/>
      <c r="FF185" s="111"/>
    </row>
    <row x14ac:dyDescent="0.25" r="186" customHeight="1" ht="18.75" customFormat="1" s="18">
      <c r="A186" s="2"/>
      <c r="B186" s="2"/>
      <c r="C186" s="2"/>
      <c r="D186" s="2"/>
      <c r="E186" s="2"/>
      <c r="F186" s="2"/>
      <c r="G186" s="2"/>
      <c r="H186" s="2"/>
      <c r="I186" s="2"/>
      <c r="J186" s="2"/>
      <c r="K186" s="20"/>
      <c r="L186" s="2"/>
      <c r="M186" s="2"/>
      <c r="N186" s="2"/>
      <c r="O186" s="2"/>
      <c r="P186" s="2"/>
      <c r="Q186" s="2"/>
      <c r="R186" s="2"/>
      <c r="S186" s="2"/>
      <c r="T186" s="124"/>
      <c r="U186" s="124"/>
      <c r="V186" s="124"/>
      <c r="W186" s="124"/>
      <c r="X186" s="124"/>
      <c r="Y186" s="124"/>
      <c r="Z186" s="124"/>
      <c r="AA186" s="124"/>
      <c r="AB186" s="124"/>
      <c r="AC186" s="124"/>
      <c r="AD186" s="124"/>
      <c r="AE186" s="124"/>
      <c r="AF186" s="124"/>
      <c r="AG186" s="124"/>
      <c r="AH186" s="124"/>
      <c r="AI186" s="124"/>
      <c r="AJ186" s="124"/>
      <c r="AK186" s="124"/>
      <c r="AL186" s="124"/>
      <c r="AM186" s="124"/>
      <c r="AN186" s="124"/>
      <c r="AO186" s="124"/>
      <c r="AP186" s="124"/>
      <c r="AQ186" s="124"/>
      <c r="AR186" s="20"/>
      <c r="AS186" s="2"/>
      <c r="AT186" s="20"/>
      <c r="AU186" s="20"/>
      <c r="AV186" s="2"/>
      <c r="AW186" s="2"/>
      <c r="AX186" s="2"/>
      <c r="AY186" s="2"/>
      <c r="AZ186" s="2"/>
      <c r="BA186" s="2"/>
      <c r="BB186" s="2"/>
      <c r="BC186" s="2"/>
      <c r="BD186" s="2"/>
      <c r="BE186" s="2"/>
      <c r="BF186" s="2"/>
      <c r="BG186" s="2"/>
      <c r="BH186" s="2"/>
      <c r="BI186" s="2"/>
      <c r="BJ186" s="2"/>
      <c r="BK186" s="2"/>
      <c r="BL186" s="2"/>
      <c r="BM186" s="2"/>
      <c r="BN186" s="2"/>
      <c r="BO186" s="2"/>
      <c r="BP186" s="20"/>
      <c r="BQ186" s="20"/>
      <c r="BR186" s="125"/>
      <c r="BS186" s="20"/>
      <c r="BT186" s="20"/>
      <c r="BU186" s="125"/>
      <c r="BV186" s="125"/>
      <c r="BW186" s="2"/>
      <c r="BX186" s="2"/>
      <c r="BY186" s="2"/>
      <c r="BZ186" s="2"/>
      <c r="CA186" s="2"/>
      <c r="CB186" s="2"/>
      <c r="CC186" s="2"/>
      <c r="CD186" s="2"/>
      <c r="CE186" s="2"/>
      <c r="CF186" s="2"/>
      <c r="CG186" s="2"/>
      <c r="CH186" s="2"/>
      <c r="CI186" s="2"/>
      <c r="CJ186" s="2"/>
      <c r="CK186" s="2"/>
      <c r="CL186" s="2"/>
      <c r="CM186" s="2"/>
      <c r="CN186" s="2"/>
      <c r="CO186" s="2"/>
      <c r="CP186" s="2"/>
      <c r="CQ186" s="2"/>
      <c r="CR186" s="2"/>
      <c r="CS186" s="111"/>
      <c r="CT186" s="111"/>
      <c r="CU186" s="111"/>
      <c r="CV186" s="111"/>
      <c r="CW186" s="111"/>
      <c r="CX186" s="111"/>
      <c r="CY186" s="111"/>
      <c r="CZ186" s="111"/>
      <c r="DA186" s="111"/>
      <c r="DB186" s="111"/>
      <c r="DC186" s="111"/>
      <c r="DD186" s="111"/>
      <c r="DE186" s="111"/>
      <c r="DF186" s="111"/>
      <c r="DG186" s="111"/>
      <c r="DH186" s="111"/>
      <c r="DI186" s="111"/>
      <c r="DJ186" s="111"/>
      <c r="DK186" s="111"/>
      <c r="DL186" s="111"/>
      <c r="DM186" s="111"/>
      <c r="DN186" s="111"/>
      <c r="DO186" s="111"/>
      <c r="DP186" s="111"/>
      <c r="DQ186" s="111"/>
      <c r="DR186" s="111"/>
      <c r="DS186" s="111"/>
      <c r="DT186" s="111"/>
      <c r="DU186" s="111"/>
      <c r="DV186" s="111"/>
      <c r="DW186" s="111"/>
      <c r="DX186" s="111"/>
      <c r="DY186" s="111"/>
      <c r="DZ186" s="111"/>
      <c r="EA186" s="111"/>
      <c r="EB186" s="111"/>
      <c r="EC186" s="111"/>
      <c r="ED186" s="111"/>
      <c r="EE186" s="111"/>
      <c r="EF186" s="111"/>
      <c r="EG186" s="111"/>
      <c r="EH186" s="111"/>
      <c r="EI186" s="111"/>
      <c r="EJ186" s="111"/>
      <c r="EK186" s="111"/>
      <c r="EL186" s="111"/>
      <c r="EM186" s="111"/>
      <c r="EN186" s="111"/>
      <c r="EO186" s="111"/>
      <c r="EP186" s="111"/>
      <c r="EQ186" s="111"/>
      <c r="ER186" s="111"/>
      <c r="ES186" s="111"/>
      <c r="ET186" s="111"/>
      <c r="EU186" s="111"/>
      <c r="EV186" s="111"/>
      <c r="EW186" s="111"/>
      <c r="EX186" s="111"/>
      <c r="EY186" s="111"/>
      <c r="EZ186" s="111"/>
      <c r="FA186" s="111"/>
      <c r="FB186" s="111"/>
      <c r="FC186" s="111"/>
      <c r="FD186" s="111"/>
      <c r="FE186" s="111"/>
      <c r="FF186" s="111"/>
    </row>
    <row x14ac:dyDescent="0.25" r="187" customHeight="1" ht="18.75" customFormat="1" s="18">
      <c r="A187" s="2"/>
      <c r="B187" s="2"/>
      <c r="C187" s="2"/>
      <c r="D187" s="2"/>
      <c r="E187" s="2"/>
      <c r="F187" s="2"/>
      <c r="G187" s="2"/>
      <c r="H187" s="2"/>
      <c r="I187" s="2"/>
      <c r="J187" s="2"/>
      <c r="K187" s="20"/>
      <c r="L187" s="2"/>
      <c r="M187" s="2"/>
      <c r="N187" s="2"/>
      <c r="O187" s="2"/>
      <c r="P187" s="2"/>
      <c r="Q187" s="2"/>
      <c r="R187" s="2"/>
      <c r="S187" s="2"/>
      <c r="T187" s="124"/>
      <c r="U187" s="124"/>
      <c r="V187" s="124"/>
      <c r="W187" s="124"/>
      <c r="X187" s="124"/>
      <c r="Y187" s="124"/>
      <c r="Z187" s="124"/>
      <c r="AA187" s="124"/>
      <c r="AB187" s="124"/>
      <c r="AC187" s="124"/>
      <c r="AD187" s="124"/>
      <c r="AE187" s="124"/>
      <c r="AF187" s="124"/>
      <c r="AG187" s="124"/>
      <c r="AH187" s="124"/>
      <c r="AI187" s="124"/>
      <c r="AJ187" s="124"/>
      <c r="AK187" s="124"/>
      <c r="AL187" s="124"/>
      <c r="AM187" s="124"/>
      <c r="AN187" s="124"/>
      <c r="AO187" s="124"/>
      <c r="AP187" s="124"/>
      <c r="AQ187" s="124"/>
      <c r="AR187" s="20"/>
      <c r="AS187" s="2"/>
      <c r="AT187" s="20"/>
      <c r="AU187" s="20"/>
      <c r="AV187" s="2"/>
      <c r="AW187" s="2"/>
      <c r="AX187" s="2"/>
      <c r="AY187" s="2"/>
      <c r="AZ187" s="2"/>
      <c r="BA187" s="2"/>
      <c r="BB187" s="2"/>
      <c r="BC187" s="2"/>
      <c r="BD187" s="2"/>
      <c r="BE187" s="2"/>
      <c r="BF187" s="2"/>
      <c r="BG187" s="2"/>
      <c r="BH187" s="2"/>
      <c r="BI187" s="2"/>
      <c r="BJ187" s="2"/>
      <c r="BK187" s="2"/>
      <c r="BL187" s="2"/>
      <c r="BM187" s="2"/>
      <c r="BN187" s="2"/>
      <c r="BO187" s="2"/>
      <c r="BP187" s="20"/>
      <c r="BQ187" s="20"/>
      <c r="BR187" s="125"/>
      <c r="BS187" s="20"/>
      <c r="BT187" s="20"/>
      <c r="BU187" s="125"/>
      <c r="BV187" s="125"/>
      <c r="BW187" s="2"/>
      <c r="BX187" s="2"/>
      <c r="BY187" s="2"/>
      <c r="BZ187" s="2"/>
      <c r="CA187" s="2"/>
      <c r="CB187" s="2"/>
      <c r="CC187" s="2"/>
      <c r="CD187" s="2"/>
      <c r="CE187" s="2"/>
      <c r="CF187" s="2"/>
      <c r="CG187" s="2"/>
      <c r="CH187" s="2"/>
      <c r="CI187" s="2"/>
      <c r="CJ187" s="2"/>
      <c r="CK187" s="2"/>
      <c r="CL187" s="2"/>
      <c r="CM187" s="2"/>
      <c r="CN187" s="2"/>
      <c r="CO187" s="2"/>
      <c r="CP187" s="2"/>
      <c r="CQ187" s="2"/>
      <c r="CR187" s="2"/>
      <c r="CS187" s="111"/>
      <c r="CT187" s="111"/>
      <c r="CU187" s="111"/>
      <c r="CV187" s="111"/>
      <c r="CW187" s="111"/>
      <c r="CX187" s="111"/>
      <c r="CY187" s="111"/>
      <c r="CZ187" s="111"/>
      <c r="DA187" s="111"/>
      <c r="DB187" s="111"/>
      <c r="DC187" s="111"/>
      <c r="DD187" s="111"/>
      <c r="DE187" s="111"/>
      <c r="DF187" s="111"/>
      <c r="DG187" s="111"/>
      <c r="DH187" s="111"/>
      <c r="DI187" s="111"/>
      <c r="DJ187" s="111"/>
      <c r="DK187" s="111"/>
      <c r="DL187" s="111"/>
      <c r="DM187" s="111"/>
      <c r="DN187" s="111"/>
      <c r="DO187" s="111"/>
      <c r="DP187" s="111"/>
      <c r="DQ187" s="111"/>
      <c r="DR187" s="111"/>
      <c r="DS187" s="111"/>
      <c r="DT187" s="111"/>
      <c r="DU187" s="111"/>
      <c r="DV187" s="111"/>
      <c r="DW187" s="111"/>
      <c r="DX187" s="111"/>
      <c r="DY187" s="111"/>
      <c r="DZ187" s="111"/>
      <c r="EA187" s="111"/>
      <c r="EB187" s="111"/>
      <c r="EC187" s="111"/>
      <c r="ED187" s="111"/>
      <c r="EE187" s="111"/>
      <c r="EF187" s="111"/>
      <c r="EG187" s="111"/>
      <c r="EH187" s="111"/>
      <c r="EI187" s="111"/>
      <c r="EJ187" s="111"/>
      <c r="EK187" s="111"/>
      <c r="EL187" s="111"/>
      <c r="EM187" s="111"/>
      <c r="EN187" s="111"/>
      <c r="EO187" s="111"/>
      <c r="EP187" s="111"/>
      <c r="EQ187" s="111"/>
      <c r="ER187" s="111"/>
      <c r="ES187" s="111"/>
      <c r="ET187" s="111"/>
      <c r="EU187" s="111"/>
      <c r="EV187" s="111"/>
      <c r="EW187" s="111"/>
      <c r="EX187" s="111"/>
      <c r="EY187" s="111"/>
      <c r="EZ187" s="111"/>
      <c r="FA187" s="111"/>
      <c r="FB187" s="111"/>
      <c r="FC187" s="111"/>
      <c r="FD187" s="111"/>
      <c r="FE187" s="111"/>
      <c r="FF187" s="111"/>
    </row>
    <row x14ac:dyDescent="0.25" r="188" customHeight="1" ht="18.75" customFormat="1" s="18">
      <c r="A188" s="2"/>
      <c r="B188" s="2"/>
      <c r="C188" s="2"/>
      <c r="D188" s="2"/>
      <c r="E188" s="2"/>
      <c r="F188" s="2"/>
      <c r="G188" s="2"/>
      <c r="H188" s="2"/>
      <c r="I188" s="2"/>
      <c r="J188" s="2"/>
      <c r="K188" s="20"/>
      <c r="L188" s="2"/>
      <c r="M188" s="2"/>
      <c r="N188" s="2"/>
      <c r="O188" s="2"/>
      <c r="P188" s="2"/>
      <c r="Q188" s="2"/>
      <c r="R188" s="2"/>
      <c r="S188" s="2"/>
      <c r="T188" s="124"/>
      <c r="U188" s="124"/>
      <c r="V188" s="124"/>
      <c r="W188" s="124"/>
      <c r="X188" s="124"/>
      <c r="Y188" s="124"/>
      <c r="Z188" s="124"/>
      <c r="AA188" s="124"/>
      <c r="AB188" s="124"/>
      <c r="AC188" s="124"/>
      <c r="AD188" s="124"/>
      <c r="AE188" s="124"/>
      <c r="AF188" s="124"/>
      <c r="AG188" s="124"/>
      <c r="AH188" s="124"/>
      <c r="AI188" s="124"/>
      <c r="AJ188" s="124"/>
      <c r="AK188" s="124"/>
      <c r="AL188" s="124"/>
      <c r="AM188" s="124"/>
      <c r="AN188" s="124"/>
      <c r="AO188" s="124"/>
      <c r="AP188" s="124"/>
      <c r="AQ188" s="124"/>
      <c r="AR188" s="20"/>
      <c r="AS188" s="2"/>
      <c r="AT188" s="20"/>
      <c r="AU188" s="20"/>
      <c r="AV188" s="2"/>
      <c r="AW188" s="2"/>
      <c r="AX188" s="2"/>
      <c r="AY188" s="2"/>
      <c r="AZ188" s="2"/>
      <c r="BA188" s="2"/>
      <c r="BB188" s="2"/>
      <c r="BC188" s="2"/>
      <c r="BD188" s="2"/>
      <c r="BE188" s="2"/>
      <c r="BF188" s="2"/>
      <c r="BG188" s="2"/>
      <c r="BH188" s="2"/>
      <c r="BI188" s="2"/>
      <c r="BJ188" s="2"/>
      <c r="BK188" s="2"/>
      <c r="BL188" s="2"/>
      <c r="BM188" s="2"/>
      <c r="BN188" s="2"/>
      <c r="BO188" s="2"/>
      <c r="BP188" s="20"/>
      <c r="BQ188" s="20"/>
      <c r="BR188" s="125"/>
      <c r="BS188" s="20"/>
      <c r="BT188" s="20"/>
      <c r="BU188" s="125"/>
      <c r="BV188" s="125"/>
      <c r="BW188" s="2"/>
      <c r="BX188" s="2"/>
      <c r="BY188" s="2"/>
      <c r="BZ188" s="2"/>
      <c r="CA188" s="2"/>
      <c r="CB188" s="2"/>
      <c r="CC188" s="2"/>
      <c r="CD188" s="2"/>
      <c r="CE188" s="2"/>
      <c r="CF188" s="2"/>
      <c r="CG188" s="2"/>
      <c r="CH188" s="2"/>
      <c r="CI188" s="2"/>
      <c r="CJ188" s="2"/>
      <c r="CK188" s="2"/>
      <c r="CL188" s="2"/>
      <c r="CM188" s="2"/>
      <c r="CN188" s="2"/>
      <c r="CO188" s="2"/>
      <c r="CP188" s="2"/>
      <c r="CQ188" s="2"/>
      <c r="CR188" s="2"/>
      <c r="CS188" s="111"/>
      <c r="CT188" s="111"/>
      <c r="CU188" s="111"/>
      <c r="CV188" s="111"/>
      <c r="CW188" s="111"/>
      <c r="CX188" s="111"/>
      <c r="CY188" s="111"/>
      <c r="CZ188" s="111"/>
      <c r="DA188" s="111"/>
      <c r="DB188" s="111"/>
      <c r="DC188" s="111"/>
      <c r="DD188" s="111"/>
      <c r="DE188" s="111"/>
      <c r="DF188" s="111"/>
      <c r="DG188" s="111"/>
      <c r="DH188" s="111"/>
      <c r="DI188" s="111"/>
      <c r="DJ188" s="111"/>
      <c r="DK188" s="111"/>
      <c r="DL188" s="111"/>
      <c r="DM188" s="111"/>
      <c r="DN188" s="111"/>
      <c r="DO188" s="111"/>
      <c r="DP188" s="111"/>
      <c r="DQ188" s="111"/>
      <c r="DR188" s="111"/>
      <c r="DS188" s="111"/>
      <c r="DT188" s="111"/>
      <c r="DU188" s="111"/>
      <c r="DV188" s="111"/>
      <c r="DW188" s="111"/>
      <c r="DX188" s="111"/>
      <c r="DY188" s="111"/>
      <c r="DZ188" s="111"/>
      <c r="EA188" s="111"/>
      <c r="EB188" s="111"/>
      <c r="EC188" s="111"/>
      <c r="ED188" s="111"/>
      <c r="EE188" s="111"/>
      <c r="EF188" s="111"/>
      <c r="EG188" s="111"/>
      <c r="EH188" s="111"/>
      <c r="EI188" s="111"/>
      <c r="EJ188" s="111"/>
      <c r="EK188" s="111"/>
      <c r="EL188" s="111"/>
      <c r="EM188" s="111"/>
      <c r="EN188" s="111"/>
      <c r="EO188" s="111"/>
      <c r="EP188" s="111"/>
      <c r="EQ188" s="111"/>
      <c r="ER188" s="111"/>
      <c r="ES188" s="111"/>
      <c r="ET188" s="111"/>
      <c r="EU188" s="111"/>
      <c r="EV188" s="111"/>
      <c r="EW188" s="111"/>
      <c r="EX188" s="111"/>
      <c r="EY188" s="111"/>
      <c r="EZ188" s="111"/>
      <c r="FA188" s="111"/>
      <c r="FB188" s="111"/>
      <c r="FC188" s="111"/>
      <c r="FD188" s="111"/>
      <c r="FE188" s="111"/>
      <c r="FF188" s="111"/>
    </row>
    <row x14ac:dyDescent="0.25" r="189" customHeight="1" ht="18.75" customFormat="1" s="18">
      <c r="A189" s="2"/>
      <c r="B189" s="2"/>
      <c r="C189" s="2"/>
      <c r="D189" s="2"/>
      <c r="E189" s="2"/>
      <c r="F189" s="2"/>
      <c r="G189" s="2"/>
      <c r="H189" s="2"/>
      <c r="I189" s="2"/>
      <c r="J189" s="2"/>
      <c r="K189" s="20"/>
      <c r="L189" s="2"/>
      <c r="M189" s="2"/>
      <c r="N189" s="2"/>
      <c r="O189" s="2"/>
      <c r="P189" s="2"/>
      <c r="Q189" s="2"/>
      <c r="R189" s="2"/>
      <c r="S189" s="2"/>
      <c r="T189" s="124"/>
      <c r="U189" s="124"/>
      <c r="V189" s="124"/>
      <c r="W189" s="124"/>
      <c r="X189" s="124"/>
      <c r="Y189" s="124"/>
      <c r="Z189" s="124"/>
      <c r="AA189" s="124"/>
      <c r="AB189" s="124"/>
      <c r="AC189" s="124"/>
      <c r="AD189" s="124"/>
      <c r="AE189" s="124"/>
      <c r="AF189" s="124"/>
      <c r="AG189" s="124"/>
      <c r="AH189" s="124"/>
      <c r="AI189" s="124"/>
      <c r="AJ189" s="124"/>
      <c r="AK189" s="124"/>
      <c r="AL189" s="124"/>
      <c r="AM189" s="124"/>
      <c r="AN189" s="124"/>
      <c r="AO189" s="124"/>
      <c r="AP189" s="124"/>
      <c r="AQ189" s="124"/>
      <c r="AR189" s="20"/>
      <c r="AS189" s="2"/>
      <c r="AT189" s="20"/>
      <c r="AU189" s="20"/>
      <c r="AV189" s="2"/>
      <c r="AW189" s="2"/>
      <c r="AX189" s="2"/>
      <c r="AY189" s="2"/>
      <c r="AZ189" s="2"/>
      <c r="BA189" s="2"/>
      <c r="BB189" s="2"/>
      <c r="BC189" s="2"/>
      <c r="BD189" s="2"/>
      <c r="BE189" s="2"/>
      <c r="BF189" s="2"/>
      <c r="BG189" s="2"/>
      <c r="BH189" s="2"/>
      <c r="BI189" s="2"/>
      <c r="BJ189" s="2"/>
      <c r="BK189" s="2"/>
      <c r="BL189" s="2"/>
      <c r="BM189" s="2"/>
      <c r="BN189" s="2"/>
      <c r="BO189" s="2"/>
      <c r="BP189" s="20"/>
      <c r="BQ189" s="20"/>
      <c r="BR189" s="125"/>
      <c r="BS189" s="20"/>
      <c r="BT189" s="20"/>
      <c r="BU189" s="125"/>
      <c r="BV189" s="125"/>
      <c r="BW189" s="2"/>
      <c r="BX189" s="2"/>
      <c r="BY189" s="2"/>
      <c r="BZ189" s="2"/>
      <c r="CA189" s="2"/>
      <c r="CB189" s="2"/>
      <c r="CC189" s="2"/>
      <c r="CD189" s="2"/>
      <c r="CE189" s="2"/>
      <c r="CF189" s="2"/>
      <c r="CG189" s="2"/>
      <c r="CH189" s="2"/>
      <c r="CI189" s="2"/>
      <c r="CJ189" s="2"/>
      <c r="CK189" s="2"/>
      <c r="CL189" s="2"/>
      <c r="CM189" s="2"/>
      <c r="CN189" s="2"/>
      <c r="CO189" s="2"/>
      <c r="CP189" s="2"/>
      <c r="CQ189" s="2"/>
      <c r="CR189" s="2"/>
      <c r="CS189" s="111"/>
      <c r="CT189" s="111"/>
      <c r="CU189" s="111"/>
      <c r="CV189" s="111"/>
      <c r="CW189" s="111"/>
      <c r="CX189" s="111"/>
      <c r="CY189" s="111"/>
      <c r="CZ189" s="111"/>
      <c r="DA189" s="111"/>
      <c r="DB189" s="111"/>
      <c r="DC189" s="111"/>
      <c r="DD189" s="111"/>
      <c r="DE189" s="111"/>
      <c r="DF189" s="111"/>
      <c r="DG189" s="111"/>
      <c r="DH189" s="111"/>
      <c r="DI189" s="111"/>
      <c r="DJ189" s="111"/>
      <c r="DK189" s="111"/>
      <c r="DL189" s="111"/>
      <c r="DM189" s="111"/>
      <c r="DN189" s="111"/>
      <c r="DO189" s="111"/>
      <c r="DP189" s="111"/>
      <c r="DQ189" s="111"/>
      <c r="DR189" s="111"/>
      <c r="DS189" s="111"/>
      <c r="DT189" s="111"/>
      <c r="DU189" s="111"/>
      <c r="DV189" s="111"/>
      <c r="DW189" s="111"/>
      <c r="DX189" s="111"/>
      <c r="DY189" s="111"/>
      <c r="DZ189" s="111"/>
      <c r="EA189" s="111"/>
      <c r="EB189" s="111"/>
      <c r="EC189" s="111"/>
      <c r="ED189" s="111"/>
      <c r="EE189" s="111"/>
      <c r="EF189" s="111"/>
      <c r="EG189" s="111"/>
      <c r="EH189" s="111"/>
      <c r="EI189" s="111"/>
      <c r="EJ189" s="111"/>
      <c r="EK189" s="111"/>
      <c r="EL189" s="111"/>
      <c r="EM189" s="111"/>
      <c r="EN189" s="111"/>
      <c r="EO189" s="111"/>
      <c r="EP189" s="111"/>
      <c r="EQ189" s="111"/>
      <c r="ER189" s="111"/>
      <c r="ES189" s="111"/>
      <c r="ET189" s="111"/>
      <c r="EU189" s="111"/>
      <c r="EV189" s="111"/>
      <c r="EW189" s="111"/>
      <c r="EX189" s="111"/>
      <c r="EY189" s="111"/>
      <c r="EZ189" s="111"/>
      <c r="FA189" s="111"/>
      <c r="FB189" s="111"/>
      <c r="FC189" s="111"/>
      <c r="FD189" s="111"/>
      <c r="FE189" s="111"/>
      <c r="FF189" s="111"/>
    </row>
    <row x14ac:dyDescent="0.25" r="190" customHeight="1" ht="18.75" customFormat="1" s="18">
      <c r="A190" s="2"/>
      <c r="B190" s="2"/>
      <c r="C190" s="2"/>
      <c r="D190" s="2"/>
      <c r="E190" s="2"/>
      <c r="F190" s="2"/>
      <c r="G190" s="2"/>
      <c r="H190" s="2"/>
      <c r="I190" s="2"/>
      <c r="J190" s="2"/>
      <c r="K190" s="20"/>
      <c r="L190" s="2"/>
      <c r="M190" s="2"/>
      <c r="N190" s="2"/>
      <c r="O190" s="2"/>
      <c r="P190" s="2"/>
      <c r="Q190" s="2"/>
      <c r="R190" s="2"/>
      <c r="S190" s="2"/>
      <c r="T190" s="124"/>
      <c r="U190" s="124"/>
      <c r="V190" s="124"/>
      <c r="W190" s="124"/>
      <c r="X190" s="124"/>
      <c r="Y190" s="124"/>
      <c r="Z190" s="124"/>
      <c r="AA190" s="124"/>
      <c r="AB190" s="124"/>
      <c r="AC190" s="124"/>
      <c r="AD190" s="124"/>
      <c r="AE190" s="124"/>
      <c r="AF190" s="124"/>
      <c r="AG190" s="124"/>
      <c r="AH190" s="124"/>
      <c r="AI190" s="124"/>
      <c r="AJ190" s="124"/>
      <c r="AK190" s="124"/>
      <c r="AL190" s="124"/>
      <c r="AM190" s="124"/>
      <c r="AN190" s="124"/>
      <c r="AO190" s="124"/>
      <c r="AP190" s="124"/>
      <c r="AQ190" s="124"/>
      <c r="AR190" s="20"/>
      <c r="AS190" s="2"/>
      <c r="AT190" s="20"/>
      <c r="AU190" s="20"/>
      <c r="AV190" s="2"/>
      <c r="AW190" s="2"/>
      <c r="AX190" s="2"/>
      <c r="AY190" s="2"/>
      <c r="AZ190" s="2"/>
      <c r="BA190" s="2"/>
      <c r="BB190" s="2"/>
      <c r="BC190" s="2"/>
      <c r="BD190" s="2"/>
      <c r="BE190" s="2"/>
      <c r="BF190" s="2"/>
      <c r="BG190" s="2"/>
      <c r="BH190" s="2"/>
      <c r="BI190" s="2"/>
      <c r="BJ190" s="2"/>
      <c r="BK190" s="2"/>
      <c r="BL190" s="2"/>
      <c r="BM190" s="2"/>
      <c r="BN190" s="2"/>
      <c r="BO190" s="2"/>
      <c r="BP190" s="20"/>
      <c r="BQ190" s="20"/>
      <c r="BR190" s="125"/>
      <c r="BS190" s="20"/>
      <c r="BT190" s="20"/>
      <c r="BU190" s="125"/>
      <c r="BV190" s="125"/>
      <c r="BW190" s="2"/>
      <c r="BX190" s="2"/>
      <c r="BY190" s="2"/>
      <c r="BZ190" s="2"/>
      <c r="CA190" s="2"/>
      <c r="CB190" s="2"/>
      <c r="CC190" s="2"/>
      <c r="CD190" s="2"/>
      <c r="CE190" s="2"/>
      <c r="CF190" s="2"/>
      <c r="CG190" s="2"/>
      <c r="CH190" s="2"/>
      <c r="CI190" s="2"/>
      <c r="CJ190" s="2"/>
      <c r="CK190" s="2"/>
      <c r="CL190" s="2"/>
      <c r="CM190" s="2"/>
      <c r="CN190" s="2"/>
      <c r="CO190" s="2"/>
      <c r="CP190" s="2"/>
      <c r="CQ190" s="2"/>
      <c r="CR190" s="2"/>
      <c r="CS190" s="111"/>
      <c r="CT190" s="111"/>
      <c r="CU190" s="111"/>
      <c r="CV190" s="111"/>
      <c r="CW190" s="111"/>
      <c r="CX190" s="111"/>
      <c r="CY190" s="111"/>
      <c r="CZ190" s="111"/>
      <c r="DA190" s="111"/>
      <c r="DB190" s="111"/>
      <c r="DC190" s="111"/>
      <c r="DD190" s="111"/>
      <c r="DE190" s="111"/>
      <c r="DF190" s="111"/>
      <c r="DG190" s="111"/>
      <c r="DH190" s="111"/>
      <c r="DI190" s="111"/>
      <c r="DJ190" s="111"/>
      <c r="DK190" s="111"/>
      <c r="DL190" s="111"/>
      <c r="DM190" s="111"/>
      <c r="DN190" s="111"/>
      <c r="DO190" s="111"/>
      <c r="DP190" s="111"/>
      <c r="DQ190" s="111"/>
      <c r="DR190" s="111"/>
      <c r="DS190" s="111"/>
      <c r="DT190" s="111"/>
      <c r="DU190" s="111"/>
      <c r="DV190" s="111"/>
      <c r="DW190" s="111"/>
      <c r="DX190" s="111"/>
      <c r="DY190" s="111"/>
      <c r="DZ190" s="111"/>
      <c r="EA190" s="111"/>
      <c r="EB190" s="111"/>
      <c r="EC190" s="111"/>
      <c r="ED190" s="111"/>
      <c r="EE190" s="111"/>
      <c r="EF190" s="111"/>
      <c r="EG190" s="111"/>
      <c r="EH190" s="111"/>
      <c r="EI190" s="111"/>
      <c r="EJ190" s="111"/>
      <c r="EK190" s="111"/>
      <c r="EL190" s="111"/>
      <c r="EM190" s="111"/>
      <c r="EN190" s="111"/>
      <c r="EO190" s="111"/>
      <c r="EP190" s="111"/>
      <c r="EQ190" s="111"/>
      <c r="ER190" s="111"/>
      <c r="ES190" s="111"/>
      <c r="ET190" s="111"/>
      <c r="EU190" s="111"/>
      <c r="EV190" s="111"/>
      <c r="EW190" s="111"/>
      <c r="EX190" s="111"/>
      <c r="EY190" s="111"/>
      <c r="EZ190" s="111"/>
      <c r="FA190" s="111"/>
      <c r="FB190" s="111"/>
      <c r="FC190" s="111"/>
      <c r="FD190" s="111"/>
      <c r="FE190" s="111"/>
      <c r="FF190" s="111"/>
    </row>
    <row x14ac:dyDescent="0.25" r="191" customHeight="1" ht="18.75" customFormat="1" s="18">
      <c r="A191" s="2"/>
      <c r="B191" s="2"/>
      <c r="C191" s="2"/>
      <c r="D191" s="2"/>
      <c r="E191" s="2"/>
      <c r="F191" s="2"/>
      <c r="G191" s="2"/>
      <c r="H191" s="2"/>
      <c r="I191" s="2"/>
      <c r="J191" s="2"/>
      <c r="K191" s="20"/>
      <c r="L191" s="2"/>
      <c r="M191" s="2"/>
      <c r="N191" s="2"/>
      <c r="O191" s="2"/>
      <c r="P191" s="2"/>
      <c r="Q191" s="2"/>
      <c r="R191" s="2"/>
      <c r="S191" s="2"/>
      <c r="T191" s="124"/>
      <c r="U191" s="124"/>
      <c r="V191" s="124"/>
      <c r="W191" s="124"/>
      <c r="X191" s="124"/>
      <c r="Y191" s="124"/>
      <c r="Z191" s="124"/>
      <c r="AA191" s="124"/>
      <c r="AB191" s="124"/>
      <c r="AC191" s="124"/>
      <c r="AD191" s="124"/>
      <c r="AE191" s="124"/>
      <c r="AF191" s="124"/>
      <c r="AG191" s="124"/>
      <c r="AH191" s="124"/>
      <c r="AI191" s="124"/>
      <c r="AJ191" s="124"/>
      <c r="AK191" s="124"/>
      <c r="AL191" s="124"/>
      <c r="AM191" s="124"/>
      <c r="AN191" s="124"/>
      <c r="AO191" s="124"/>
      <c r="AP191" s="124"/>
      <c r="AQ191" s="124"/>
      <c r="AR191" s="20"/>
      <c r="AS191" s="2"/>
      <c r="AT191" s="20"/>
      <c r="AU191" s="20"/>
      <c r="AV191" s="2"/>
      <c r="AW191" s="2"/>
      <c r="AX191" s="2"/>
      <c r="AY191" s="2"/>
      <c r="AZ191" s="2"/>
      <c r="BA191" s="2"/>
      <c r="BB191" s="2"/>
      <c r="BC191" s="2"/>
      <c r="BD191" s="2"/>
      <c r="BE191" s="2"/>
      <c r="BF191" s="2"/>
      <c r="BG191" s="2"/>
      <c r="BH191" s="2"/>
      <c r="BI191" s="2"/>
      <c r="BJ191" s="2"/>
      <c r="BK191" s="2"/>
      <c r="BL191" s="2"/>
      <c r="BM191" s="2"/>
      <c r="BN191" s="2"/>
      <c r="BO191" s="2"/>
      <c r="BP191" s="20"/>
      <c r="BQ191" s="20"/>
      <c r="BR191" s="125"/>
      <c r="BS191" s="20"/>
      <c r="BT191" s="20"/>
      <c r="BU191" s="125"/>
      <c r="BV191" s="125"/>
      <c r="BW191" s="2"/>
      <c r="BX191" s="2"/>
      <c r="BY191" s="2"/>
      <c r="BZ191" s="2"/>
      <c r="CA191" s="2"/>
      <c r="CB191" s="2"/>
      <c r="CC191" s="2"/>
      <c r="CD191" s="2"/>
      <c r="CE191" s="2"/>
      <c r="CF191" s="2"/>
      <c r="CG191" s="2"/>
      <c r="CH191" s="2"/>
      <c r="CI191" s="2"/>
      <c r="CJ191" s="2"/>
      <c r="CK191" s="2"/>
      <c r="CL191" s="2"/>
      <c r="CM191" s="2"/>
      <c r="CN191" s="2"/>
      <c r="CO191" s="2"/>
      <c r="CP191" s="2"/>
      <c r="CQ191" s="2"/>
      <c r="CR191" s="2"/>
      <c r="CS191" s="111"/>
      <c r="CT191" s="111"/>
      <c r="CU191" s="111"/>
      <c r="CV191" s="111"/>
      <c r="CW191" s="111"/>
      <c r="CX191" s="111"/>
      <c r="CY191" s="111"/>
      <c r="CZ191" s="111"/>
      <c r="DA191" s="111"/>
      <c r="DB191" s="111"/>
      <c r="DC191" s="111"/>
      <c r="DD191" s="111"/>
      <c r="DE191" s="111"/>
      <c r="DF191" s="111"/>
      <c r="DG191" s="111"/>
      <c r="DH191" s="111"/>
      <c r="DI191" s="111"/>
      <c r="DJ191" s="111"/>
      <c r="DK191" s="111"/>
      <c r="DL191" s="111"/>
      <c r="DM191" s="111"/>
      <c r="DN191" s="111"/>
      <c r="DO191" s="111"/>
      <c r="DP191" s="111"/>
      <c r="DQ191" s="111"/>
      <c r="DR191" s="111"/>
      <c r="DS191" s="111"/>
      <c r="DT191" s="111"/>
      <c r="DU191" s="111"/>
      <c r="DV191" s="111"/>
      <c r="DW191" s="111"/>
      <c r="DX191" s="111"/>
      <c r="DY191" s="111"/>
      <c r="DZ191" s="111"/>
      <c r="EA191" s="111"/>
      <c r="EB191" s="111"/>
      <c r="EC191" s="111"/>
      <c r="ED191" s="111"/>
      <c r="EE191" s="111"/>
      <c r="EF191" s="111"/>
      <c r="EG191" s="111"/>
      <c r="EH191" s="111"/>
      <c r="EI191" s="111"/>
      <c r="EJ191" s="111"/>
      <c r="EK191" s="111"/>
      <c r="EL191" s="111"/>
      <c r="EM191" s="111"/>
      <c r="EN191" s="111"/>
      <c r="EO191" s="111"/>
      <c r="EP191" s="111"/>
      <c r="EQ191" s="111"/>
      <c r="ER191" s="111"/>
      <c r="ES191" s="111"/>
      <c r="ET191" s="111"/>
      <c r="EU191" s="111"/>
      <c r="EV191" s="111"/>
      <c r="EW191" s="111"/>
      <c r="EX191" s="111"/>
      <c r="EY191" s="111"/>
      <c r="EZ191" s="111"/>
      <c r="FA191" s="111"/>
      <c r="FB191" s="111"/>
      <c r="FC191" s="111"/>
      <c r="FD191" s="111"/>
      <c r="FE191" s="111"/>
      <c r="FF191" s="111"/>
    </row>
    <row x14ac:dyDescent="0.25" r="192" customHeight="1" ht="18.75" customFormat="1" s="18">
      <c r="A192" s="2"/>
      <c r="B192" s="2"/>
      <c r="C192" s="2"/>
      <c r="D192" s="2"/>
      <c r="E192" s="2"/>
      <c r="F192" s="2"/>
      <c r="G192" s="2"/>
      <c r="H192" s="2"/>
      <c r="I192" s="2"/>
      <c r="J192" s="2"/>
      <c r="K192" s="20"/>
      <c r="L192" s="2"/>
      <c r="M192" s="2"/>
      <c r="N192" s="2"/>
      <c r="O192" s="2"/>
      <c r="P192" s="2"/>
      <c r="Q192" s="2"/>
      <c r="R192" s="2"/>
      <c r="S192" s="2"/>
      <c r="T192" s="124"/>
      <c r="U192" s="124"/>
      <c r="V192" s="124"/>
      <c r="W192" s="124"/>
      <c r="X192" s="124"/>
      <c r="Y192" s="124"/>
      <c r="Z192" s="124"/>
      <c r="AA192" s="124"/>
      <c r="AB192" s="124"/>
      <c r="AC192" s="124"/>
      <c r="AD192" s="124"/>
      <c r="AE192" s="124"/>
      <c r="AF192" s="124"/>
      <c r="AG192" s="124"/>
      <c r="AH192" s="124"/>
      <c r="AI192" s="124"/>
      <c r="AJ192" s="124"/>
      <c r="AK192" s="124"/>
      <c r="AL192" s="124"/>
      <c r="AM192" s="124"/>
      <c r="AN192" s="124"/>
      <c r="AO192" s="124"/>
      <c r="AP192" s="124"/>
      <c r="AQ192" s="124"/>
      <c r="AR192" s="20"/>
      <c r="AS192" s="2"/>
      <c r="AT192" s="20"/>
      <c r="AU192" s="20"/>
      <c r="AV192" s="2"/>
      <c r="AW192" s="2"/>
      <c r="AX192" s="2"/>
      <c r="AY192" s="2"/>
      <c r="AZ192" s="2"/>
      <c r="BA192" s="2"/>
      <c r="BB192" s="2"/>
      <c r="BC192" s="2"/>
      <c r="BD192" s="2"/>
      <c r="BE192" s="2"/>
      <c r="BF192" s="2"/>
      <c r="BG192" s="2"/>
      <c r="BH192" s="2"/>
      <c r="BI192" s="2"/>
      <c r="BJ192" s="2"/>
      <c r="BK192" s="2"/>
      <c r="BL192" s="2"/>
      <c r="BM192" s="2"/>
      <c r="BN192" s="2"/>
      <c r="BO192" s="2"/>
      <c r="BP192" s="20"/>
      <c r="BQ192" s="20"/>
      <c r="BR192" s="125"/>
      <c r="BS192" s="20"/>
      <c r="BT192" s="20"/>
      <c r="BU192" s="125"/>
      <c r="BV192" s="125"/>
      <c r="BW192" s="2"/>
      <c r="BX192" s="2"/>
      <c r="BY192" s="2"/>
      <c r="BZ192" s="2"/>
      <c r="CA192" s="2"/>
      <c r="CB192" s="2"/>
      <c r="CC192" s="2"/>
      <c r="CD192" s="2"/>
      <c r="CE192" s="2"/>
      <c r="CF192" s="2"/>
      <c r="CG192" s="2"/>
      <c r="CH192" s="2"/>
      <c r="CI192" s="2"/>
      <c r="CJ192" s="2"/>
      <c r="CK192" s="2"/>
      <c r="CL192" s="2"/>
      <c r="CM192" s="2"/>
      <c r="CN192" s="2"/>
      <c r="CO192" s="2"/>
      <c r="CP192" s="2"/>
      <c r="CQ192" s="2"/>
      <c r="CR192" s="2"/>
      <c r="CS192" s="111"/>
      <c r="CT192" s="111"/>
      <c r="CU192" s="111"/>
      <c r="CV192" s="111"/>
      <c r="CW192" s="111"/>
      <c r="CX192" s="111"/>
      <c r="CY192" s="111"/>
      <c r="CZ192" s="111"/>
      <c r="DA192" s="111"/>
      <c r="DB192" s="111"/>
      <c r="DC192" s="111"/>
      <c r="DD192" s="111"/>
      <c r="DE192" s="111"/>
      <c r="DF192" s="111"/>
      <c r="DG192" s="111"/>
      <c r="DH192" s="111"/>
      <c r="DI192" s="111"/>
      <c r="DJ192" s="111"/>
      <c r="DK192" s="111"/>
      <c r="DL192" s="111"/>
      <c r="DM192" s="111"/>
      <c r="DN192" s="111"/>
      <c r="DO192" s="111"/>
      <c r="DP192" s="111"/>
      <c r="DQ192" s="111"/>
      <c r="DR192" s="111"/>
      <c r="DS192" s="111"/>
      <c r="DT192" s="111"/>
      <c r="DU192" s="111"/>
      <c r="DV192" s="111"/>
      <c r="DW192" s="111"/>
      <c r="DX192" s="111"/>
      <c r="DY192" s="111"/>
      <c r="DZ192" s="111"/>
      <c r="EA192" s="111"/>
      <c r="EB192" s="111"/>
      <c r="EC192" s="111"/>
      <c r="ED192" s="111"/>
      <c r="EE192" s="111"/>
      <c r="EF192" s="111"/>
      <c r="EG192" s="111"/>
      <c r="EH192" s="111"/>
      <c r="EI192" s="111"/>
      <c r="EJ192" s="111"/>
      <c r="EK192" s="111"/>
      <c r="EL192" s="111"/>
      <c r="EM192" s="111"/>
      <c r="EN192" s="111"/>
      <c r="EO192" s="111"/>
      <c r="EP192" s="111"/>
      <c r="EQ192" s="111"/>
      <c r="ER192" s="111"/>
      <c r="ES192" s="111"/>
      <c r="ET192" s="111"/>
      <c r="EU192" s="111"/>
      <c r="EV192" s="111"/>
      <c r="EW192" s="111"/>
      <c r="EX192" s="111"/>
      <c r="EY192" s="111"/>
      <c r="EZ192" s="111"/>
      <c r="FA192" s="111"/>
      <c r="FB192" s="111"/>
      <c r="FC192" s="111"/>
      <c r="FD192" s="111"/>
      <c r="FE192" s="111"/>
      <c r="FF192" s="111"/>
    </row>
    <row x14ac:dyDescent="0.25" r="193" customHeight="1" ht="18.75" customFormat="1" s="18">
      <c r="A193" s="2"/>
      <c r="B193" s="2"/>
      <c r="C193" s="2"/>
      <c r="D193" s="2"/>
      <c r="E193" s="2"/>
      <c r="F193" s="2"/>
      <c r="G193" s="2"/>
      <c r="H193" s="2"/>
      <c r="I193" s="2"/>
      <c r="J193" s="2"/>
      <c r="K193" s="20"/>
      <c r="L193" s="2"/>
      <c r="M193" s="2"/>
      <c r="N193" s="2"/>
      <c r="O193" s="2"/>
      <c r="P193" s="2"/>
      <c r="Q193" s="2"/>
      <c r="R193" s="2"/>
      <c r="S193" s="2"/>
      <c r="T193" s="124"/>
      <c r="U193" s="124"/>
      <c r="V193" s="124"/>
      <c r="W193" s="124"/>
      <c r="X193" s="124"/>
      <c r="Y193" s="124"/>
      <c r="Z193" s="124"/>
      <c r="AA193" s="124"/>
      <c r="AB193" s="124"/>
      <c r="AC193" s="124"/>
      <c r="AD193" s="124"/>
      <c r="AE193" s="124"/>
      <c r="AF193" s="124"/>
      <c r="AG193" s="124"/>
      <c r="AH193" s="124"/>
      <c r="AI193" s="124"/>
      <c r="AJ193" s="124"/>
      <c r="AK193" s="124"/>
      <c r="AL193" s="124"/>
      <c r="AM193" s="124"/>
      <c r="AN193" s="124"/>
      <c r="AO193" s="124"/>
      <c r="AP193" s="124"/>
      <c r="AQ193" s="124"/>
      <c r="AR193" s="20"/>
      <c r="AS193" s="2"/>
      <c r="AT193" s="20"/>
      <c r="AU193" s="20"/>
      <c r="AV193" s="2"/>
      <c r="AW193" s="2"/>
      <c r="AX193" s="2"/>
      <c r="AY193" s="2"/>
      <c r="AZ193" s="2"/>
      <c r="BA193" s="2"/>
      <c r="BB193" s="2"/>
      <c r="BC193" s="2"/>
      <c r="BD193" s="2"/>
      <c r="BE193" s="2"/>
      <c r="BF193" s="2"/>
      <c r="BG193" s="2"/>
      <c r="BH193" s="2"/>
      <c r="BI193" s="2"/>
      <c r="BJ193" s="2"/>
      <c r="BK193" s="2"/>
      <c r="BL193" s="2"/>
      <c r="BM193" s="2"/>
      <c r="BN193" s="2"/>
      <c r="BO193" s="2"/>
      <c r="BP193" s="20"/>
      <c r="BQ193" s="20"/>
      <c r="BR193" s="125"/>
      <c r="BS193" s="20"/>
      <c r="BT193" s="20"/>
      <c r="BU193" s="125"/>
      <c r="BV193" s="125"/>
      <c r="BW193" s="2"/>
      <c r="BX193" s="2"/>
      <c r="BY193" s="2"/>
      <c r="BZ193" s="2"/>
      <c r="CA193" s="2"/>
      <c r="CB193" s="2"/>
      <c r="CC193" s="2"/>
      <c r="CD193" s="2"/>
      <c r="CE193" s="2"/>
      <c r="CF193" s="2"/>
      <c r="CG193" s="2"/>
      <c r="CH193" s="2"/>
      <c r="CI193" s="2"/>
      <c r="CJ193" s="2"/>
      <c r="CK193" s="2"/>
      <c r="CL193" s="2"/>
      <c r="CM193" s="2"/>
      <c r="CN193" s="2"/>
      <c r="CO193" s="2"/>
      <c r="CP193" s="2"/>
      <c r="CQ193" s="2"/>
      <c r="CR193" s="2"/>
      <c r="CS193" s="111"/>
      <c r="CT193" s="111"/>
      <c r="CU193" s="111"/>
      <c r="CV193" s="111"/>
      <c r="CW193" s="111"/>
      <c r="CX193" s="111"/>
      <c r="CY193" s="111"/>
      <c r="CZ193" s="111"/>
      <c r="DA193" s="111"/>
      <c r="DB193" s="111"/>
      <c r="DC193" s="111"/>
      <c r="DD193" s="111"/>
      <c r="DE193" s="111"/>
      <c r="DF193" s="111"/>
      <c r="DG193" s="111"/>
      <c r="DH193" s="111"/>
      <c r="DI193" s="111"/>
      <c r="DJ193" s="111"/>
      <c r="DK193" s="111"/>
      <c r="DL193" s="111"/>
      <c r="DM193" s="111"/>
      <c r="DN193" s="111"/>
      <c r="DO193" s="111"/>
      <c r="DP193" s="111"/>
      <c r="DQ193" s="111"/>
      <c r="DR193" s="111"/>
      <c r="DS193" s="111"/>
      <c r="DT193" s="111"/>
      <c r="DU193" s="111"/>
      <c r="DV193" s="111"/>
      <c r="DW193" s="111"/>
      <c r="DX193" s="111"/>
      <c r="DY193" s="111"/>
      <c r="DZ193" s="111"/>
      <c r="EA193" s="111"/>
      <c r="EB193" s="111"/>
      <c r="EC193" s="111"/>
      <c r="ED193" s="111"/>
      <c r="EE193" s="111"/>
      <c r="EF193" s="111"/>
      <c r="EG193" s="111"/>
      <c r="EH193" s="111"/>
      <c r="EI193" s="111"/>
      <c r="EJ193" s="111"/>
      <c r="EK193" s="111"/>
      <c r="EL193" s="111"/>
      <c r="EM193" s="111"/>
      <c r="EN193" s="111"/>
      <c r="EO193" s="111"/>
      <c r="EP193" s="111"/>
      <c r="EQ193" s="111"/>
      <c r="ER193" s="111"/>
      <c r="ES193" s="111"/>
      <c r="ET193" s="111"/>
      <c r="EU193" s="111"/>
      <c r="EV193" s="111"/>
      <c r="EW193" s="111"/>
      <c r="EX193" s="111"/>
      <c r="EY193" s="111"/>
      <c r="EZ193" s="111"/>
      <c r="FA193" s="111"/>
      <c r="FB193" s="111"/>
      <c r="FC193" s="111"/>
      <c r="FD193" s="111"/>
      <c r="FE193" s="111"/>
      <c r="FF193" s="111"/>
    </row>
    <row x14ac:dyDescent="0.25" r="194" customHeight="1" ht="18.75" customFormat="1" s="18">
      <c r="A194" s="2"/>
      <c r="B194" s="2"/>
      <c r="C194" s="2"/>
      <c r="D194" s="2"/>
      <c r="E194" s="2"/>
      <c r="F194" s="2"/>
      <c r="G194" s="2"/>
      <c r="H194" s="2"/>
      <c r="I194" s="2"/>
      <c r="J194" s="2"/>
      <c r="K194" s="20"/>
      <c r="L194" s="2"/>
      <c r="M194" s="2"/>
      <c r="N194" s="2"/>
      <c r="O194" s="2"/>
      <c r="P194" s="2"/>
      <c r="Q194" s="2"/>
      <c r="R194" s="2"/>
      <c r="S194" s="2"/>
      <c r="T194" s="124"/>
      <c r="U194" s="124"/>
      <c r="V194" s="124"/>
      <c r="W194" s="124"/>
      <c r="X194" s="124"/>
      <c r="Y194" s="124"/>
      <c r="Z194" s="124"/>
      <c r="AA194" s="124"/>
      <c r="AB194" s="124"/>
      <c r="AC194" s="124"/>
      <c r="AD194" s="124"/>
      <c r="AE194" s="124"/>
      <c r="AF194" s="124"/>
      <c r="AG194" s="124"/>
      <c r="AH194" s="124"/>
      <c r="AI194" s="124"/>
      <c r="AJ194" s="124"/>
      <c r="AK194" s="124"/>
      <c r="AL194" s="124"/>
      <c r="AM194" s="124"/>
      <c r="AN194" s="124"/>
      <c r="AO194" s="124"/>
      <c r="AP194" s="124"/>
      <c r="AQ194" s="124"/>
      <c r="AR194" s="20"/>
      <c r="AS194" s="2"/>
      <c r="AT194" s="20"/>
      <c r="AU194" s="20"/>
      <c r="AV194" s="2"/>
      <c r="AW194" s="2"/>
      <c r="AX194" s="2"/>
      <c r="AY194" s="2"/>
      <c r="AZ194" s="2"/>
      <c r="BA194" s="2"/>
      <c r="BB194" s="2"/>
      <c r="BC194" s="2"/>
      <c r="BD194" s="2"/>
      <c r="BE194" s="2"/>
      <c r="BF194" s="2"/>
      <c r="BG194" s="2"/>
      <c r="BH194" s="2"/>
      <c r="BI194" s="2"/>
      <c r="BJ194" s="2"/>
      <c r="BK194" s="2"/>
      <c r="BL194" s="2"/>
      <c r="BM194" s="2"/>
      <c r="BN194" s="2"/>
      <c r="BO194" s="2"/>
      <c r="BP194" s="20"/>
      <c r="BQ194" s="20"/>
      <c r="BR194" s="125"/>
      <c r="BS194" s="20"/>
      <c r="BT194" s="20"/>
      <c r="BU194" s="125"/>
      <c r="BV194" s="125"/>
      <c r="BW194" s="2"/>
      <c r="BX194" s="2"/>
      <c r="BY194" s="2"/>
      <c r="BZ194" s="2"/>
      <c r="CA194" s="2"/>
      <c r="CB194" s="2"/>
      <c r="CC194" s="2"/>
      <c r="CD194" s="2"/>
      <c r="CE194" s="2"/>
      <c r="CF194" s="2"/>
      <c r="CG194" s="2"/>
      <c r="CH194" s="2"/>
      <c r="CI194" s="2"/>
      <c r="CJ194" s="2"/>
      <c r="CK194" s="2"/>
      <c r="CL194" s="2"/>
      <c r="CM194" s="2"/>
      <c r="CN194" s="2"/>
      <c r="CO194" s="2"/>
      <c r="CP194" s="2"/>
      <c r="CQ194" s="2"/>
      <c r="CR194" s="2"/>
      <c r="CS194" s="111"/>
      <c r="CT194" s="111"/>
      <c r="CU194" s="111"/>
      <c r="CV194" s="111"/>
      <c r="CW194" s="111"/>
      <c r="CX194" s="111"/>
      <c r="CY194" s="111"/>
      <c r="CZ194" s="111"/>
      <c r="DA194" s="111"/>
      <c r="DB194" s="111"/>
      <c r="DC194" s="111"/>
      <c r="DD194" s="111"/>
      <c r="DE194" s="111"/>
      <c r="DF194" s="111"/>
      <c r="DG194" s="111"/>
      <c r="DH194" s="111"/>
      <c r="DI194" s="111"/>
      <c r="DJ194" s="111"/>
      <c r="DK194" s="111"/>
      <c r="DL194" s="111"/>
      <c r="DM194" s="111"/>
      <c r="DN194" s="111"/>
      <c r="DO194" s="111"/>
      <c r="DP194" s="111"/>
      <c r="DQ194" s="111"/>
      <c r="DR194" s="111"/>
      <c r="DS194" s="111"/>
      <c r="DT194" s="111"/>
      <c r="DU194" s="111"/>
      <c r="DV194" s="111"/>
      <c r="DW194" s="111"/>
      <c r="DX194" s="111"/>
      <c r="DY194" s="111"/>
      <c r="DZ194" s="111"/>
      <c r="EA194" s="111"/>
      <c r="EB194" s="111"/>
      <c r="EC194" s="111"/>
      <c r="ED194" s="111"/>
      <c r="EE194" s="111"/>
      <c r="EF194" s="111"/>
      <c r="EG194" s="111"/>
      <c r="EH194" s="111"/>
      <c r="EI194" s="111"/>
      <c r="EJ194" s="111"/>
      <c r="EK194" s="111"/>
      <c r="EL194" s="111"/>
      <c r="EM194" s="111"/>
      <c r="EN194" s="111"/>
      <c r="EO194" s="111"/>
      <c r="EP194" s="111"/>
      <c r="EQ194" s="111"/>
      <c r="ER194" s="111"/>
      <c r="ES194" s="111"/>
      <c r="ET194" s="111"/>
      <c r="EU194" s="111"/>
      <c r="EV194" s="111"/>
      <c r="EW194" s="111"/>
      <c r="EX194" s="111"/>
      <c r="EY194" s="111"/>
      <c r="EZ194" s="111"/>
      <c r="FA194" s="111"/>
      <c r="FB194" s="111"/>
      <c r="FC194" s="111"/>
      <c r="FD194" s="111"/>
      <c r="FE194" s="111"/>
      <c r="FF194" s="111"/>
    </row>
    <row x14ac:dyDescent="0.25" r="195" customHeight="1" ht="18.75" customFormat="1" s="18">
      <c r="A195" s="2"/>
      <c r="B195" s="2"/>
      <c r="C195" s="2"/>
      <c r="D195" s="2"/>
      <c r="E195" s="2"/>
      <c r="F195" s="2"/>
      <c r="G195" s="2"/>
      <c r="H195" s="2"/>
      <c r="I195" s="2"/>
      <c r="J195" s="2"/>
      <c r="K195" s="20"/>
      <c r="L195" s="2"/>
      <c r="M195" s="2"/>
      <c r="N195" s="2"/>
      <c r="O195" s="2"/>
      <c r="P195" s="2"/>
      <c r="Q195" s="2"/>
      <c r="R195" s="2"/>
      <c r="S195" s="2"/>
      <c r="T195" s="124"/>
      <c r="U195" s="124"/>
      <c r="V195" s="124"/>
      <c r="W195" s="124"/>
      <c r="X195" s="124"/>
      <c r="Y195" s="124"/>
      <c r="Z195" s="124"/>
      <c r="AA195" s="124"/>
      <c r="AB195" s="124"/>
      <c r="AC195" s="124"/>
      <c r="AD195" s="124"/>
      <c r="AE195" s="124"/>
      <c r="AF195" s="124"/>
      <c r="AG195" s="124"/>
      <c r="AH195" s="124"/>
      <c r="AI195" s="124"/>
      <c r="AJ195" s="124"/>
      <c r="AK195" s="124"/>
      <c r="AL195" s="124"/>
      <c r="AM195" s="124"/>
      <c r="AN195" s="124"/>
      <c r="AO195" s="124"/>
      <c r="AP195" s="124"/>
      <c r="AQ195" s="124"/>
      <c r="AR195" s="20"/>
      <c r="AS195" s="2"/>
      <c r="AT195" s="20"/>
      <c r="AU195" s="20"/>
      <c r="AV195" s="2"/>
      <c r="AW195" s="2"/>
      <c r="AX195" s="2"/>
      <c r="AY195" s="2"/>
      <c r="AZ195" s="2"/>
      <c r="BA195" s="2"/>
      <c r="BB195" s="2"/>
      <c r="BC195" s="2"/>
      <c r="BD195" s="2"/>
      <c r="BE195" s="2"/>
      <c r="BF195" s="2"/>
      <c r="BG195" s="2"/>
      <c r="BH195" s="2"/>
      <c r="BI195" s="2"/>
      <c r="BJ195" s="2"/>
      <c r="BK195" s="2"/>
      <c r="BL195" s="2"/>
      <c r="BM195" s="2"/>
      <c r="BN195" s="2"/>
      <c r="BO195" s="2"/>
      <c r="BP195" s="20"/>
      <c r="BQ195" s="20"/>
      <c r="BR195" s="125"/>
      <c r="BS195" s="20"/>
      <c r="BT195" s="20"/>
      <c r="BU195" s="125"/>
      <c r="BV195" s="125"/>
      <c r="BW195" s="2"/>
      <c r="BX195" s="2"/>
      <c r="BY195" s="2"/>
      <c r="BZ195" s="2"/>
      <c r="CA195" s="2"/>
      <c r="CB195" s="2"/>
      <c r="CC195" s="2"/>
      <c r="CD195" s="2"/>
      <c r="CE195" s="2"/>
      <c r="CF195" s="2"/>
      <c r="CG195" s="2"/>
      <c r="CH195" s="2"/>
      <c r="CI195" s="2"/>
      <c r="CJ195" s="2"/>
      <c r="CK195" s="2"/>
      <c r="CL195" s="2"/>
      <c r="CM195" s="2"/>
      <c r="CN195" s="2"/>
      <c r="CO195" s="2"/>
      <c r="CP195" s="2"/>
      <c r="CQ195" s="2"/>
      <c r="CR195" s="2"/>
      <c r="CS195" s="111"/>
      <c r="CT195" s="111"/>
      <c r="CU195" s="111"/>
      <c r="CV195" s="111"/>
      <c r="CW195" s="111"/>
      <c r="CX195" s="111"/>
      <c r="CY195" s="111"/>
      <c r="CZ195" s="111"/>
      <c r="DA195" s="111"/>
      <c r="DB195" s="111"/>
      <c r="DC195" s="111"/>
      <c r="DD195" s="111"/>
      <c r="DE195" s="111"/>
      <c r="DF195" s="111"/>
      <c r="DG195" s="111"/>
      <c r="DH195" s="111"/>
      <c r="DI195" s="111"/>
      <c r="DJ195" s="111"/>
      <c r="DK195" s="111"/>
      <c r="DL195" s="111"/>
      <c r="DM195" s="111"/>
      <c r="DN195" s="111"/>
      <c r="DO195" s="111"/>
      <c r="DP195" s="111"/>
      <c r="DQ195" s="111"/>
      <c r="DR195" s="111"/>
      <c r="DS195" s="111"/>
      <c r="DT195" s="111"/>
      <c r="DU195" s="111"/>
      <c r="DV195" s="111"/>
      <c r="DW195" s="111"/>
      <c r="DX195" s="111"/>
      <c r="DY195" s="111"/>
      <c r="DZ195" s="111"/>
      <c r="EA195" s="111"/>
      <c r="EB195" s="111"/>
      <c r="EC195" s="111"/>
      <c r="ED195" s="111"/>
      <c r="EE195" s="111"/>
      <c r="EF195" s="111"/>
      <c r="EG195" s="111"/>
      <c r="EH195" s="111"/>
      <c r="EI195" s="111"/>
      <c r="EJ195" s="111"/>
      <c r="EK195" s="111"/>
      <c r="EL195" s="111"/>
      <c r="EM195" s="111"/>
      <c r="EN195" s="111"/>
      <c r="EO195" s="111"/>
      <c r="EP195" s="111"/>
      <c r="EQ195" s="111"/>
      <c r="ER195" s="111"/>
      <c r="ES195" s="111"/>
      <c r="ET195" s="111"/>
      <c r="EU195" s="111"/>
      <c r="EV195" s="111"/>
      <c r="EW195" s="111"/>
      <c r="EX195" s="111"/>
      <c r="EY195" s="111"/>
      <c r="EZ195" s="111"/>
      <c r="FA195" s="111"/>
      <c r="FB195" s="111"/>
      <c r="FC195" s="111"/>
      <c r="FD195" s="111"/>
      <c r="FE195" s="111"/>
      <c r="FF195" s="111"/>
    </row>
    <row x14ac:dyDescent="0.25" r="196" customHeight="1" ht="18.75" customFormat="1" s="18">
      <c r="A196" s="2"/>
      <c r="B196" s="2"/>
      <c r="C196" s="2"/>
      <c r="D196" s="2"/>
      <c r="E196" s="2"/>
      <c r="F196" s="2"/>
      <c r="G196" s="2"/>
      <c r="H196" s="2"/>
      <c r="I196" s="2"/>
      <c r="J196" s="2"/>
      <c r="K196" s="20"/>
      <c r="L196" s="2"/>
      <c r="M196" s="2"/>
      <c r="N196" s="2"/>
      <c r="O196" s="2"/>
      <c r="P196" s="2"/>
      <c r="Q196" s="2"/>
      <c r="R196" s="2"/>
      <c r="S196" s="2"/>
      <c r="T196" s="124"/>
      <c r="U196" s="124"/>
      <c r="V196" s="124"/>
      <c r="W196" s="124"/>
      <c r="X196" s="124"/>
      <c r="Y196" s="124"/>
      <c r="Z196" s="124"/>
      <c r="AA196" s="124"/>
      <c r="AB196" s="124"/>
      <c r="AC196" s="124"/>
      <c r="AD196" s="124"/>
      <c r="AE196" s="124"/>
      <c r="AF196" s="124"/>
      <c r="AG196" s="124"/>
      <c r="AH196" s="124"/>
      <c r="AI196" s="124"/>
      <c r="AJ196" s="124"/>
      <c r="AK196" s="124"/>
      <c r="AL196" s="124"/>
      <c r="AM196" s="124"/>
      <c r="AN196" s="124"/>
      <c r="AO196" s="124"/>
      <c r="AP196" s="124"/>
      <c r="AQ196" s="124"/>
      <c r="AR196" s="20"/>
      <c r="AS196" s="2"/>
      <c r="AT196" s="20"/>
      <c r="AU196" s="20"/>
      <c r="AV196" s="2"/>
      <c r="AW196" s="2"/>
      <c r="AX196" s="2"/>
      <c r="AY196" s="2"/>
      <c r="AZ196" s="2"/>
      <c r="BA196" s="2"/>
      <c r="BB196" s="2"/>
      <c r="BC196" s="2"/>
      <c r="BD196" s="2"/>
      <c r="BE196" s="2"/>
      <c r="BF196" s="2"/>
      <c r="BG196" s="2"/>
      <c r="BH196" s="2"/>
      <c r="BI196" s="2"/>
      <c r="BJ196" s="2"/>
      <c r="BK196" s="2"/>
      <c r="BL196" s="2"/>
      <c r="BM196" s="2"/>
      <c r="BN196" s="2"/>
      <c r="BO196" s="2"/>
      <c r="BP196" s="20"/>
      <c r="BQ196" s="20"/>
      <c r="BR196" s="125"/>
      <c r="BS196" s="20"/>
      <c r="BT196" s="20"/>
      <c r="BU196" s="125"/>
      <c r="BV196" s="125"/>
      <c r="BW196" s="2"/>
      <c r="BX196" s="2"/>
      <c r="BY196" s="2"/>
      <c r="BZ196" s="2"/>
      <c r="CA196" s="2"/>
      <c r="CB196" s="2"/>
      <c r="CC196" s="2"/>
      <c r="CD196" s="2"/>
      <c r="CE196" s="2"/>
      <c r="CF196" s="2"/>
      <c r="CG196" s="2"/>
      <c r="CH196" s="2"/>
      <c r="CI196" s="2"/>
      <c r="CJ196" s="2"/>
      <c r="CK196" s="2"/>
      <c r="CL196" s="2"/>
      <c r="CM196" s="2"/>
      <c r="CN196" s="2"/>
      <c r="CO196" s="2"/>
      <c r="CP196" s="2"/>
      <c r="CQ196" s="2"/>
      <c r="CR196" s="2"/>
      <c r="CS196" s="111"/>
      <c r="CT196" s="111"/>
      <c r="CU196" s="111"/>
      <c r="CV196" s="111"/>
      <c r="CW196" s="111"/>
      <c r="CX196" s="111"/>
      <c r="CY196" s="111"/>
      <c r="CZ196" s="111"/>
      <c r="DA196" s="111"/>
      <c r="DB196" s="111"/>
      <c r="DC196" s="111"/>
      <c r="DD196" s="111"/>
      <c r="DE196" s="111"/>
      <c r="DF196" s="111"/>
      <c r="DG196" s="111"/>
      <c r="DH196" s="111"/>
      <c r="DI196" s="111"/>
      <c r="DJ196" s="111"/>
      <c r="DK196" s="111"/>
      <c r="DL196" s="111"/>
      <c r="DM196" s="111"/>
      <c r="DN196" s="111"/>
      <c r="DO196" s="111"/>
      <c r="DP196" s="111"/>
      <c r="DQ196" s="111"/>
      <c r="DR196" s="111"/>
      <c r="DS196" s="111"/>
      <c r="DT196" s="111"/>
      <c r="DU196" s="111"/>
      <c r="DV196" s="111"/>
      <c r="DW196" s="111"/>
      <c r="DX196" s="111"/>
      <c r="DY196" s="111"/>
      <c r="DZ196" s="111"/>
      <c r="EA196" s="111"/>
      <c r="EB196" s="111"/>
      <c r="EC196" s="111"/>
      <c r="ED196" s="111"/>
      <c r="EE196" s="111"/>
      <c r="EF196" s="111"/>
      <c r="EG196" s="111"/>
      <c r="EH196" s="111"/>
      <c r="EI196" s="111"/>
      <c r="EJ196" s="111"/>
      <c r="EK196" s="111"/>
      <c r="EL196" s="111"/>
      <c r="EM196" s="111"/>
      <c r="EN196" s="111"/>
      <c r="EO196" s="111"/>
      <c r="EP196" s="111"/>
      <c r="EQ196" s="111"/>
      <c r="ER196" s="111"/>
      <c r="ES196" s="111"/>
      <c r="ET196" s="111"/>
      <c r="EU196" s="111"/>
      <c r="EV196" s="111"/>
      <c r="EW196" s="111"/>
      <c r="EX196" s="111"/>
      <c r="EY196" s="111"/>
      <c r="EZ196" s="111"/>
      <c r="FA196" s="111"/>
      <c r="FB196" s="111"/>
      <c r="FC196" s="111"/>
      <c r="FD196" s="111"/>
      <c r="FE196" s="111"/>
      <c r="FF196" s="111"/>
    </row>
    <row x14ac:dyDescent="0.25" r="197" customHeight="1" ht="18.75" customFormat="1" s="18">
      <c r="A197" s="2"/>
      <c r="B197" s="2"/>
      <c r="C197" s="2"/>
      <c r="D197" s="2"/>
      <c r="E197" s="2"/>
      <c r="F197" s="2"/>
      <c r="G197" s="2"/>
      <c r="H197" s="2"/>
      <c r="I197" s="2"/>
      <c r="J197" s="2"/>
      <c r="K197" s="20"/>
      <c r="L197" s="2"/>
      <c r="M197" s="2"/>
      <c r="N197" s="2"/>
      <c r="O197" s="2"/>
      <c r="P197" s="2"/>
      <c r="Q197" s="2"/>
      <c r="R197" s="2"/>
      <c r="S197" s="2"/>
      <c r="T197" s="124"/>
      <c r="U197" s="124"/>
      <c r="V197" s="124"/>
      <c r="W197" s="124"/>
      <c r="X197" s="124"/>
      <c r="Y197" s="124"/>
      <c r="Z197" s="124"/>
      <c r="AA197" s="124"/>
      <c r="AB197" s="124"/>
      <c r="AC197" s="124"/>
      <c r="AD197" s="124"/>
      <c r="AE197" s="124"/>
      <c r="AF197" s="124"/>
      <c r="AG197" s="124"/>
      <c r="AH197" s="124"/>
      <c r="AI197" s="124"/>
      <c r="AJ197" s="124"/>
      <c r="AK197" s="124"/>
      <c r="AL197" s="124"/>
      <c r="AM197" s="124"/>
      <c r="AN197" s="124"/>
      <c r="AO197" s="124"/>
      <c r="AP197" s="124"/>
      <c r="AQ197" s="124"/>
      <c r="AR197" s="20"/>
      <c r="AS197" s="2"/>
      <c r="AT197" s="20"/>
      <c r="AU197" s="20"/>
      <c r="AV197" s="2"/>
      <c r="AW197" s="2"/>
      <c r="AX197" s="2"/>
      <c r="AY197" s="2"/>
      <c r="AZ197" s="2"/>
      <c r="BA197" s="2"/>
      <c r="BB197" s="2"/>
      <c r="BC197" s="2"/>
      <c r="BD197" s="2"/>
      <c r="BE197" s="2"/>
      <c r="BF197" s="2"/>
      <c r="BG197" s="2"/>
      <c r="BH197" s="2"/>
      <c r="BI197" s="2"/>
      <c r="BJ197" s="2"/>
      <c r="BK197" s="2"/>
      <c r="BL197" s="2"/>
      <c r="BM197" s="2"/>
      <c r="BN197" s="2"/>
      <c r="BO197" s="2"/>
      <c r="BP197" s="20"/>
      <c r="BQ197" s="20"/>
      <c r="BR197" s="125"/>
      <c r="BS197" s="20"/>
      <c r="BT197" s="20"/>
      <c r="BU197" s="125"/>
      <c r="BV197" s="125"/>
      <c r="BW197" s="2"/>
      <c r="BX197" s="2"/>
      <c r="BY197" s="2"/>
      <c r="BZ197" s="2"/>
      <c r="CA197" s="2"/>
      <c r="CB197" s="2"/>
      <c r="CC197" s="2"/>
      <c r="CD197" s="2"/>
      <c r="CE197" s="2"/>
      <c r="CF197" s="2"/>
      <c r="CG197" s="2"/>
      <c r="CH197" s="2"/>
      <c r="CI197" s="2"/>
      <c r="CJ197" s="2"/>
      <c r="CK197" s="2"/>
      <c r="CL197" s="2"/>
      <c r="CM197" s="2"/>
      <c r="CN197" s="2"/>
      <c r="CO197" s="2"/>
      <c r="CP197" s="2"/>
      <c r="CQ197" s="2"/>
      <c r="CR197" s="2"/>
      <c r="CS197" s="111"/>
      <c r="CT197" s="111"/>
      <c r="CU197" s="111"/>
      <c r="CV197" s="111"/>
      <c r="CW197" s="111"/>
      <c r="CX197" s="111"/>
      <c r="CY197" s="111"/>
      <c r="CZ197" s="111"/>
      <c r="DA197" s="111"/>
      <c r="DB197" s="111"/>
      <c r="DC197" s="111"/>
      <c r="DD197" s="111"/>
      <c r="DE197" s="111"/>
      <c r="DF197" s="111"/>
      <c r="DG197" s="111"/>
      <c r="DH197" s="111"/>
      <c r="DI197" s="111"/>
      <c r="DJ197" s="111"/>
      <c r="DK197" s="111"/>
      <c r="DL197" s="111"/>
      <c r="DM197" s="111"/>
      <c r="DN197" s="111"/>
      <c r="DO197" s="111"/>
      <c r="DP197" s="111"/>
      <c r="DQ197" s="111"/>
      <c r="DR197" s="111"/>
      <c r="DS197" s="111"/>
      <c r="DT197" s="111"/>
      <c r="DU197" s="111"/>
      <c r="DV197" s="111"/>
      <c r="DW197" s="111"/>
      <c r="DX197" s="111"/>
      <c r="DY197" s="111"/>
      <c r="DZ197" s="111"/>
      <c r="EA197" s="111"/>
      <c r="EB197" s="111"/>
      <c r="EC197" s="111"/>
      <c r="ED197" s="111"/>
      <c r="EE197" s="111"/>
      <c r="EF197" s="111"/>
      <c r="EG197" s="111"/>
      <c r="EH197" s="111"/>
      <c r="EI197" s="111"/>
      <c r="EJ197" s="111"/>
      <c r="EK197" s="111"/>
      <c r="EL197" s="111"/>
      <c r="EM197" s="111"/>
      <c r="EN197" s="111"/>
      <c r="EO197" s="111"/>
      <c r="EP197" s="111"/>
      <c r="EQ197" s="111"/>
      <c r="ER197" s="111"/>
      <c r="ES197" s="111"/>
      <c r="ET197" s="111"/>
      <c r="EU197" s="111"/>
      <c r="EV197" s="111"/>
      <c r="EW197" s="111"/>
      <c r="EX197" s="111"/>
      <c r="EY197" s="111"/>
      <c r="EZ197" s="111"/>
      <c r="FA197" s="111"/>
      <c r="FB197" s="111"/>
      <c r="FC197" s="111"/>
      <c r="FD197" s="111"/>
      <c r="FE197" s="111"/>
      <c r="FF197" s="111"/>
    </row>
    <row x14ac:dyDescent="0.25" r="198" customHeight="1" ht="18.75" customFormat="1" s="18">
      <c r="A198" s="2"/>
      <c r="B198" s="2"/>
      <c r="C198" s="2"/>
      <c r="D198" s="2"/>
      <c r="E198" s="2"/>
      <c r="F198" s="2"/>
      <c r="G198" s="2"/>
      <c r="H198" s="2"/>
      <c r="I198" s="2"/>
      <c r="J198" s="2"/>
      <c r="K198" s="20"/>
      <c r="L198" s="2"/>
      <c r="M198" s="2"/>
      <c r="N198" s="2"/>
      <c r="O198" s="2"/>
      <c r="P198" s="2"/>
      <c r="Q198" s="2"/>
      <c r="R198" s="2"/>
      <c r="S198" s="2"/>
      <c r="T198" s="124"/>
      <c r="U198" s="124"/>
      <c r="V198" s="124"/>
      <c r="W198" s="124"/>
      <c r="X198" s="124"/>
      <c r="Y198" s="124"/>
      <c r="Z198" s="124"/>
      <c r="AA198" s="124"/>
      <c r="AB198" s="124"/>
      <c r="AC198" s="124"/>
      <c r="AD198" s="124"/>
      <c r="AE198" s="124"/>
      <c r="AF198" s="124"/>
      <c r="AG198" s="124"/>
      <c r="AH198" s="124"/>
      <c r="AI198" s="124"/>
      <c r="AJ198" s="124"/>
      <c r="AK198" s="124"/>
      <c r="AL198" s="124"/>
      <c r="AM198" s="124"/>
      <c r="AN198" s="124"/>
      <c r="AO198" s="124"/>
      <c r="AP198" s="124"/>
      <c r="AQ198" s="124"/>
      <c r="AR198" s="20"/>
      <c r="AS198" s="2"/>
      <c r="AT198" s="20"/>
      <c r="AU198" s="20"/>
      <c r="AV198" s="2"/>
      <c r="AW198" s="2"/>
      <c r="AX198" s="2"/>
      <c r="AY198" s="2"/>
      <c r="AZ198" s="2"/>
      <c r="BA198" s="2"/>
      <c r="BB198" s="2"/>
      <c r="BC198" s="2"/>
      <c r="BD198" s="2"/>
      <c r="BE198" s="2"/>
      <c r="BF198" s="2"/>
      <c r="BG198" s="2"/>
      <c r="BH198" s="2"/>
      <c r="BI198" s="2"/>
      <c r="BJ198" s="2"/>
      <c r="BK198" s="2"/>
      <c r="BL198" s="2"/>
      <c r="BM198" s="2"/>
      <c r="BN198" s="2"/>
      <c r="BO198" s="2"/>
      <c r="BP198" s="20"/>
      <c r="BQ198" s="20"/>
      <c r="BR198" s="125"/>
      <c r="BS198" s="20"/>
      <c r="BT198" s="20"/>
      <c r="BU198" s="125"/>
      <c r="BV198" s="125"/>
      <c r="BW198" s="2"/>
      <c r="BX198" s="2"/>
      <c r="BY198" s="2"/>
      <c r="BZ198" s="2"/>
      <c r="CA198" s="2"/>
      <c r="CB198" s="2"/>
      <c r="CC198" s="2"/>
      <c r="CD198" s="2"/>
      <c r="CE198" s="2"/>
      <c r="CF198" s="2"/>
      <c r="CG198" s="2"/>
      <c r="CH198" s="2"/>
      <c r="CI198" s="2"/>
      <c r="CJ198" s="2"/>
      <c r="CK198" s="2"/>
      <c r="CL198" s="2"/>
      <c r="CM198" s="2"/>
      <c r="CN198" s="2"/>
      <c r="CO198" s="2"/>
      <c r="CP198" s="2"/>
      <c r="CQ198" s="2"/>
      <c r="CR198" s="2"/>
      <c r="CS198" s="111"/>
      <c r="CT198" s="111"/>
      <c r="CU198" s="111"/>
      <c r="CV198" s="111"/>
      <c r="CW198" s="111"/>
      <c r="CX198" s="111"/>
      <c r="CY198" s="111"/>
      <c r="CZ198" s="111"/>
      <c r="DA198" s="111"/>
      <c r="DB198" s="111"/>
      <c r="DC198" s="111"/>
      <c r="DD198" s="111"/>
      <c r="DE198" s="111"/>
      <c r="DF198" s="111"/>
      <c r="DG198" s="111"/>
      <c r="DH198" s="111"/>
      <c r="DI198" s="111"/>
      <c r="DJ198" s="111"/>
      <c r="DK198" s="111"/>
      <c r="DL198" s="111"/>
      <c r="DM198" s="111"/>
      <c r="DN198" s="111"/>
      <c r="DO198" s="111"/>
      <c r="DP198" s="111"/>
      <c r="DQ198" s="111"/>
      <c r="DR198" s="111"/>
      <c r="DS198" s="111"/>
      <c r="DT198" s="111"/>
      <c r="DU198" s="111"/>
      <c r="DV198" s="111"/>
      <c r="DW198" s="111"/>
      <c r="DX198" s="111"/>
      <c r="DY198" s="111"/>
      <c r="DZ198" s="111"/>
      <c r="EA198" s="111"/>
      <c r="EB198" s="111"/>
      <c r="EC198" s="111"/>
      <c r="ED198" s="111"/>
      <c r="EE198" s="111"/>
      <c r="EF198" s="111"/>
      <c r="EG198" s="111"/>
      <c r="EH198" s="111"/>
      <c r="EI198" s="111"/>
      <c r="EJ198" s="111"/>
      <c r="EK198" s="111"/>
      <c r="EL198" s="111"/>
      <c r="EM198" s="111"/>
      <c r="EN198" s="111"/>
      <c r="EO198" s="111"/>
      <c r="EP198" s="111"/>
      <c r="EQ198" s="111"/>
      <c r="ER198" s="111"/>
      <c r="ES198" s="111"/>
      <c r="ET198" s="111"/>
      <c r="EU198" s="111"/>
      <c r="EV198" s="111"/>
      <c r="EW198" s="111"/>
      <c r="EX198" s="111"/>
      <c r="EY198" s="111"/>
      <c r="EZ198" s="111"/>
      <c r="FA198" s="111"/>
      <c r="FB198" s="111"/>
      <c r="FC198" s="111"/>
      <c r="FD198" s="111"/>
      <c r="FE198" s="111"/>
      <c r="FF198" s="111"/>
    </row>
    <row x14ac:dyDescent="0.25" r="199" customHeight="1" ht="18.75" customFormat="1" s="18">
      <c r="A199" s="2"/>
      <c r="B199" s="2"/>
      <c r="C199" s="2"/>
      <c r="D199" s="2"/>
      <c r="E199" s="2"/>
      <c r="F199" s="2"/>
      <c r="G199" s="2"/>
      <c r="H199" s="2"/>
      <c r="I199" s="2"/>
      <c r="J199" s="2"/>
      <c r="K199" s="20"/>
      <c r="L199" s="2"/>
      <c r="M199" s="2"/>
      <c r="N199" s="2"/>
      <c r="O199" s="2"/>
      <c r="P199" s="2"/>
      <c r="Q199" s="2"/>
      <c r="R199" s="2"/>
      <c r="S199" s="2"/>
      <c r="T199" s="124"/>
      <c r="U199" s="124"/>
      <c r="V199" s="124"/>
      <c r="W199" s="124"/>
      <c r="X199" s="124"/>
      <c r="Y199" s="124"/>
      <c r="Z199" s="124"/>
      <c r="AA199" s="124"/>
      <c r="AB199" s="124"/>
      <c r="AC199" s="124"/>
      <c r="AD199" s="124"/>
      <c r="AE199" s="124"/>
      <c r="AF199" s="124"/>
      <c r="AG199" s="124"/>
      <c r="AH199" s="124"/>
      <c r="AI199" s="124"/>
      <c r="AJ199" s="124"/>
      <c r="AK199" s="124"/>
      <c r="AL199" s="124"/>
      <c r="AM199" s="124"/>
      <c r="AN199" s="124"/>
      <c r="AO199" s="124"/>
      <c r="AP199" s="124"/>
      <c r="AQ199" s="124"/>
      <c r="AR199" s="20"/>
      <c r="AS199" s="2"/>
      <c r="AT199" s="20"/>
      <c r="AU199" s="20"/>
      <c r="AV199" s="2"/>
      <c r="AW199" s="2"/>
      <c r="AX199" s="2"/>
      <c r="AY199" s="2"/>
      <c r="AZ199" s="2"/>
      <c r="BA199" s="2"/>
      <c r="BB199" s="2"/>
      <c r="BC199" s="2"/>
      <c r="BD199" s="2"/>
      <c r="BE199" s="2"/>
      <c r="BF199" s="2"/>
      <c r="BG199" s="2"/>
      <c r="BH199" s="2"/>
      <c r="BI199" s="2"/>
      <c r="BJ199" s="2"/>
      <c r="BK199" s="2"/>
      <c r="BL199" s="2"/>
      <c r="BM199" s="2"/>
      <c r="BN199" s="2"/>
      <c r="BO199" s="2"/>
      <c r="BP199" s="20"/>
      <c r="BQ199" s="20"/>
      <c r="BR199" s="125"/>
      <c r="BS199" s="20"/>
      <c r="BT199" s="20"/>
      <c r="BU199" s="125"/>
      <c r="BV199" s="125"/>
      <c r="BW199" s="2"/>
      <c r="BX199" s="2"/>
      <c r="BY199" s="2"/>
      <c r="BZ199" s="2"/>
      <c r="CA199" s="2"/>
      <c r="CB199" s="2"/>
      <c r="CC199" s="2"/>
      <c r="CD199" s="2"/>
      <c r="CE199" s="2"/>
      <c r="CF199" s="2"/>
      <c r="CG199" s="2"/>
      <c r="CH199" s="2"/>
      <c r="CI199" s="2"/>
      <c r="CJ199" s="2"/>
      <c r="CK199" s="2"/>
      <c r="CL199" s="2"/>
      <c r="CM199" s="2"/>
      <c r="CN199" s="2"/>
      <c r="CO199" s="2"/>
      <c r="CP199" s="2"/>
      <c r="CQ199" s="2"/>
      <c r="CR199" s="2"/>
      <c r="CS199" s="111"/>
      <c r="CT199" s="111"/>
      <c r="CU199" s="111"/>
      <c r="CV199" s="111"/>
      <c r="CW199" s="111"/>
      <c r="CX199" s="111"/>
      <c r="CY199" s="111"/>
      <c r="CZ199" s="111"/>
      <c r="DA199" s="111"/>
      <c r="DB199" s="111"/>
      <c r="DC199" s="111"/>
      <c r="DD199" s="111"/>
      <c r="DE199" s="111"/>
      <c r="DF199" s="111"/>
      <c r="DG199" s="111"/>
      <c r="DH199" s="111"/>
      <c r="DI199" s="111"/>
      <c r="DJ199" s="111"/>
      <c r="DK199" s="111"/>
      <c r="DL199" s="111"/>
      <c r="DM199" s="111"/>
      <c r="DN199" s="111"/>
      <c r="DO199" s="111"/>
      <c r="DP199" s="111"/>
      <c r="DQ199" s="111"/>
      <c r="DR199" s="111"/>
      <c r="DS199" s="111"/>
      <c r="DT199" s="111"/>
      <c r="DU199" s="111"/>
      <c r="DV199" s="111"/>
      <c r="DW199" s="111"/>
      <c r="DX199" s="111"/>
      <c r="DY199" s="111"/>
      <c r="DZ199" s="111"/>
      <c r="EA199" s="111"/>
      <c r="EB199" s="111"/>
      <c r="EC199" s="111"/>
      <c r="ED199" s="111"/>
      <c r="EE199" s="111"/>
      <c r="EF199" s="111"/>
      <c r="EG199" s="111"/>
      <c r="EH199" s="111"/>
      <c r="EI199" s="111"/>
      <c r="EJ199" s="111"/>
      <c r="EK199" s="111"/>
      <c r="EL199" s="111"/>
      <c r="EM199" s="111"/>
      <c r="EN199" s="111"/>
      <c r="EO199" s="111"/>
      <c r="EP199" s="111"/>
      <c r="EQ199" s="111"/>
      <c r="ER199" s="111"/>
      <c r="ES199" s="111"/>
      <c r="ET199" s="111"/>
      <c r="EU199" s="111"/>
      <c r="EV199" s="111"/>
      <c r="EW199" s="111"/>
      <c r="EX199" s="111"/>
      <c r="EY199" s="111"/>
      <c r="EZ199" s="111"/>
      <c r="FA199" s="111"/>
      <c r="FB199" s="111"/>
      <c r="FC199" s="111"/>
      <c r="FD199" s="111"/>
      <c r="FE199" s="111"/>
      <c r="FF199" s="111"/>
    </row>
    <row x14ac:dyDescent="0.25" r="200" customHeight="1" ht="18.75" customFormat="1" s="18">
      <c r="A200" s="2"/>
      <c r="B200" s="2"/>
      <c r="C200" s="2"/>
      <c r="D200" s="2"/>
      <c r="E200" s="2"/>
      <c r="F200" s="2"/>
      <c r="G200" s="2"/>
      <c r="H200" s="2"/>
      <c r="I200" s="2"/>
      <c r="J200" s="2"/>
      <c r="K200" s="20"/>
      <c r="L200" s="2"/>
      <c r="M200" s="2"/>
      <c r="N200" s="2"/>
      <c r="O200" s="2"/>
      <c r="P200" s="2"/>
      <c r="Q200" s="2"/>
      <c r="R200" s="2"/>
      <c r="S200" s="2"/>
      <c r="T200" s="124"/>
      <c r="U200" s="124"/>
      <c r="V200" s="124"/>
      <c r="W200" s="124"/>
      <c r="X200" s="124"/>
      <c r="Y200" s="124"/>
      <c r="Z200" s="124"/>
      <c r="AA200" s="124"/>
      <c r="AB200" s="124"/>
      <c r="AC200" s="124"/>
      <c r="AD200" s="124"/>
      <c r="AE200" s="124"/>
      <c r="AF200" s="124"/>
      <c r="AG200" s="124"/>
      <c r="AH200" s="124"/>
      <c r="AI200" s="124"/>
      <c r="AJ200" s="124"/>
      <c r="AK200" s="124"/>
      <c r="AL200" s="124"/>
      <c r="AM200" s="124"/>
      <c r="AN200" s="124"/>
      <c r="AO200" s="124"/>
      <c r="AP200" s="124"/>
      <c r="AQ200" s="124"/>
      <c r="AR200" s="20"/>
      <c r="AS200" s="2"/>
      <c r="AT200" s="20"/>
      <c r="AU200" s="20"/>
      <c r="AV200" s="2"/>
      <c r="AW200" s="2"/>
      <c r="AX200" s="2"/>
      <c r="AY200" s="2"/>
      <c r="AZ200" s="2"/>
      <c r="BA200" s="2"/>
      <c r="BB200" s="2"/>
      <c r="BC200" s="2"/>
      <c r="BD200" s="2"/>
      <c r="BE200" s="2"/>
      <c r="BF200" s="2"/>
      <c r="BG200" s="2"/>
      <c r="BH200" s="2"/>
      <c r="BI200" s="2"/>
      <c r="BJ200" s="2"/>
      <c r="BK200" s="2"/>
      <c r="BL200" s="2"/>
      <c r="BM200" s="2"/>
      <c r="BN200" s="2"/>
      <c r="BO200" s="2"/>
      <c r="BP200" s="20"/>
      <c r="BQ200" s="20"/>
      <c r="BR200" s="125"/>
      <c r="BS200" s="20"/>
      <c r="BT200" s="20"/>
      <c r="BU200" s="125"/>
      <c r="BV200" s="125"/>
      <c r="BW200" s="2"/>
      <c r="BX200" s="2"/>
      <c r="BY200" s="2"/>
      <c r="BZ200" s="2"/>
      <c r="CA200" s="2"/>
      <c r="CB200" s="2"/>
      <c r="CC200" s="2"/>
      <c r="CD200" s="2"/>
      <c r="CE200" s="2"/>
      <c r="CF200" s="2"/>
      <c r="CG200" s="2"/>
      <c r="CH200" s="2"/>
      <c r="CI200" s="2"/>
      <c r="CJ200" s="2"/>
      <c r="CK200" s="2"/>
      <c r="CL200" s="2"/>
      <c r="CM200" s="2"/>
      <c r="CN200" s="2"/>
      <c r="CO200" s="2"/>
      <c r="CP200" s="2"/>
      <c r="CQ200" s="2"/>
      <c r="CR200" s="2"/>
      <c r="CS200" s="111"/>
      <c r="CT200" s="111"/>
      <c r="CU200" s="111"/>
      <c r="CV200" s="111"/>
      <c r="CW200" s="111"/>
      <c r="CX200" s="111"/>
      <c r="CY200" s="111"/>
      <c r="CZ200" s="111"/>
      <c r="DA200" s="111"/>
      <c r="DB200" s="111"/>
      <c r="DC200" s="111"/>
      <c r="DD200" s="111"/>
      <c r="DE200" s="111"/>
      <c r="DF200" s="111"/>
      <c r="DG200" s="111"/>
      <c r="DH200" s="111"/>
      <c r="DI200" s="111"/>
      <c r="DJ200" s="111"/>
      <c r="DK200" s="111"/>
      <c r="DL200" s="111"/>
      <c r="DM200" s="111"/>
      <c r="DN200" s="111"/>
      <c r="DO200" s="111"/>
      <c r="DP200" s="111"/>
      <c r="DQ200" s="111"/>
      <c r="DR200" s="111"/>
      <c r="DS200" s="111"/>
      <c r="DT200" s="111"/>
      <c r="DU200" s="111"/>
      <c r="DV200" s="111"/>
      <c r="DW200" s="111"/>
      <c r="DX200" s="111"/>
      <c r="DY200" s="111"/>
      <c r="DZ200" s="111"/>
      <c r="EA200" s="111"/>
      <c r="EB200" s="111"/>
      <c r="EC200" s="111"/>
      <c r="ED200" s="111"/>
      <c r="EE200" s="111"/>
      <c r="EF200" s="111"/>
      <c r="EG200" s="111"/>
      <c r="EH200" s="111"/>
      <c r="EI200" s="111"/>
      <c r="EJ200" s="111"/>
      <c r="EK200" s="111"/>
      <c r="EL200" s="111"/>
      <c r="EM200" s="111"/>
      <c r="EN200" s="111"/>
      <c r="EO200" s="111"/>
      <c r="EP200" s="111"/>
      <c r="EQ200" s="111"/>
      <c r="ER200" s="111"/>
      <c r="ES200" s="111"/>
      <c r="ET200" s="111"/>
      <c r="EU200" s="111"/>
      <c r="EV200" s="111"/>
      <c r="EW200" s="111"/>
      <c r="EX200" s="111"/>
      <c r="EY200" s="111"/>
      <c r="EZ200" s="111"/>
      <c r="FA200" s="111"/>
      <c r="FB200" s="111"/>
      <c r="FC200" s="111"/>
      <c r="FD200" s="111"/>
      <c r="FE200" s="111"/>
      <c r="FF200" s="111"/>
    </row>
    <row x14ac:dyDescent="0.25" r="201" customHeight="1" ht="18.75" customFormat="1" s="18">
      <c r="A201" s="2"/>
      <c r="B201" s="2"/>
      <c r="C201" s="2"/>
      <c r="D201" s="2"/>
      <c r="E201" s="2"/>
      <c r="F201" s="2"/>
      <c r="G201" s="2"/>
      <c r="H201" s="2"/>
      <c r="I201" s="2"/>
      <c r="J201" s="2"/>
      <c r="K201" s="20"/>
      <c r="L201" s="2"/>
      <c r="M201" s="2"/>
      <c r="N201" s="2"/>
      <c r="O201" s="2"/>
      <c r="P201" s="2"/>
      <c r="Q201" s="2"/>
      <c r="R201" s="2"/>
      <c r="S201" s="2"/>
      <c r="T201" s="124"/>
      <c r="U201" s="124"/>
      <c r="V201" s="124"/>
      <c r="W201" s="124"/>
      <c r="X201" s="124"/>
      <c r="Y201" s="124"/>
      <c r="Z201" s="124"/>
      <c r="AA201" s="124"/>
      <c r="AB201" s="124"/>
      <c r="AC201" s="124"/>
      <c r="AD201" s="124"/>
      <c r="AE201" s="124"/>
      <c r="AF201" s="124"/>
      <c r="AG201" s="124"/>
      <c r="AH201" s="124"/>
      <c r="AI201" s="124"/>
      <c r="AJ201" s="124"/>
      <c r="AK201" s="124"/>
      <c r="AL201" s="124"/>
      <c r="AM201" s="124"/>
      <c r="AN201" s="124"/>
      <c r="AO201" s="124"/>
      <c r="AP201" s="124"/>
      <c r="AQ201" s="124"/>
      <c r="AR201" s="20"/>
      <c r="AS201" s="2"/>
      <c r="AT201" s="20"/>
      <c r="AU201" s="20"/>
      <c r="AV201" s="2"/>
      <c r="AW201" s="2"/>
      <c r="AX201" s="2"/>
      <c r="AY201" s="2"/>
      <c r="AZ201" s="2"/>
      <c r="BA201" s="2"/>
      <c r="BB201" s="2"/>
      <c r="BC201" s="2"/>
      <c r="BD201" s="2"/>
      <c r="BE201" s="2"/>
      <c r="BF201" s="2"/>
      <c r="BG201" s="2"/>
      <c r="BH201" s="2"/>
      <c r="BI201" s="2"/>
      <c r="BJ201" s="2"/>
      <c r="BK201" s="2"/>
      <c r="BL201" s="2"/>
      <c r="BM201" s="2"/>
      <c r="BN201" s="2"/>
      <c r="BO201" s="2"/>
      <c r="BP201" s="20"/>
      <c r="BQ201" s="20"/>
      <c r="BR201" s="125"/>
      <c r="BS201" s="20"/>
      <c r="BT201" s="20"/>
      <c r="BU201" s="125"/>
      <c r="BV201" s="125"/>
      <c r="BW201" s="2"/>
      <c r="BX201" s="2"/>
      <c r="BY201" s="2"/>
      <c r="BZ201" s="2"/>
      <c r="CA201" s="2"/>
      <c r="CB201" s="2"/>
      <c r="CC201" s="2"/>
      <c r="CD201" s="2"/>
      <c r="CE201" s="2"/>
      <c r="CF201" s="2"/>
      <c r="CG201" s="2"/>
      <c r="CH201" s="2"/>
      <c r="CI201" s="2"/>
      <c r="CJ201" s="2"/>
      <c r="CK201" s="2"/>
      <c r="CL201" s="2"/>
      <c r="CM201" s="2"/>
      <c r="CN201" s="2"/>
      <c r="CO201" s="2"/>
      <c r="CP201" s="2"/>
      <c r="CQ201" s="2"/>
      <c r="CR201" s="2"/>
      <c r="CS201" s="111"/>
      <c r="CT201" s="111"/>
      <c r="CU201" s="111"/>
      <c r="CV201" s="111"/>
      <c r="CW201" s="111"/>
      <c r="CX201" s="111"/>
      <c r="CY201" s="111"/>
      <c r="CZ201" s="111"/>
      <c r="DA201" s="111"/>
      <c r="DB201" s="111"/>
      <c r="DC201" s="111"/>
      <c r="DD201" s="111"/>
      <c r="DE201" s="111"/>
      <c r="DF201" s="111"/>
      <c r="DG201" s="111"/>
      <c r="DH201" s="111"/>
      <c r="DI201" s="111"/>
      <c r="DJ201" s="111"/>
      <c r="DK201" s="111"/>
      <c r="DL201" s="111"/>
      <c r="DM201" s="111"/>
      <c r="DN201" s="111"/>
      <c r="DO201" s="111"/>
      <c r="DP201" s="111"/>
      <c r="DQ201" s="111"/>
      <c r="DR201" s="111"/>
      <c r="DS201" s="111"/>
      <c r="DT201" s="111"/>
      <c r="DU201" s="111"/>
      <c r="DV201" s="111"/>
      <c r="DW201" s="111"/>
      <c r="DX201" s="111"/>
      <c r="DY201" s="111"/>
      <c r="DZ201" s="111"/>
      <c r="EA201" s="111"/>
      <c r="EB201" s="111"/>
      <c r="EC201" s="111"/>
      <c r="ED201" s="111"/>
      <c r="EE201" s="111"/>
      <c r="EF201" s="111"/>
      <c r="EG201" s="111"/>
      <c r="EH201" s="111"/>
      <c r="EI201" s="111"/>
      <c r="EJ201" s="111"/>
      <c r="EK201" s="111"/>
      <c r="EL201" s="111"/>
      <c r="EM201" s="111"/>
      <c r="EN201" s="111"/>
      <c r="EO201" s="111"/>
      <c r="EP201" s="111"/>
      <c r="EQ201" s="111"/>
      <c r="ER201" s="111"/>
      <c r="ES201" s="111"/>
      <c r="ET201" s="111"/>
      <c r="EU201" s="111"/>
      <c r="EV201" s="111"/>
      <c r="EW201" s="111"/>
      <c r="EX201" s="111"/>
      <c r="EY201" s="111"/>
      <c r="EZ201" s="111"/>
      <c r="FA201" s="111"/>
      <c r="FB201" s="111"/>
      <c r="FC201" s="111"/>
      <c r="FD201" s="111"/>
      <c r="FE201" s="111"/>
      <c r="FF201" s="111"/>
    </row>
    <row x14ac:dyDescent="0.25" r="202" customHeight="1" ht="18.75" customFormat="1" s="18">
      <c r="A202" s="2"/>
      <c r="B202" s="2"/>
      <c r="C202" s="2"/>
      <c r="D202" s="2"/>
      <c r="E202" s="2"/>
      <c r="F202" s="2"/>
      <c r="G202" s="2"/>
      <c r="H202" s="2"/>
      <c r="I202" s="2"/>
      <c r="J202" s="2"/>
      <c r="K202" s="20"/>
      <c r="L202" s="2"/>
      <c r="M202" s="2"/>
      <c r="N202" s="2"/>
      <c r="O202" s="2"/>
      <c r="P202" s="2"/>
      <c r="Q202" s="2"/>
      <c r="R202" s="2"/>
      <c r="S202" s="2"/>
      <c r="T202" s="124"/>
      <c r="U202" s="124"/>
      <c r="V202" s="124"/>
      <c r="W202" s="124"/>
      <c r="X202" s="124"/>
      <c r="Y202" s="124"/>
      <c r="Z202" s="124"/>
      <c r="AA202" s="124"/>
      <c r="AB202" s="124"/>
      <c r="AC202" s="124"/>
      <c r="AD202" s="124"/>
      <c r="AE202" s="124"/>
      <c r="AF202" s="124"/>
      <c r="AG202" s="124"/>
      <c r="AH202" s="124"/>
      <c r="AI202" s="124"/>
      <c r="AJ202" s="124"/>
      <c r="AK202" s="124"/>
      <c r="AL202" s="124"/>
      <c r="AM202" s="124"/>
      <c r="AN202" s="124"/>
      <c r="AO202" s="124"/>
      <c r="AP202" s="124"/>
      <c r="AQ202" s="124"/>
      <c r="AR202" s="20"/>
      <c r="AS202" s="2"/>
      <c r="AT202" s="20"/>
      <c r="AU202" s="20"/>
      <c r="AV202" s="2"/>
      <c r="AW202" s="2"/>
      <c r="AX202" s="2"/>
      <c r="AY202" s="2"/>
      <c r="AZ202" s="2"/>
      <c r="BA202" s="2"/>
      <c r="BB202" s="2"/>
      <c r="BC202" s="2"/>
      <c r="BD202" s="2"/>
      <c r="BE202" s="2"/>
      <c r="BF202" s="2"/>
      <c r="BG202" s="2"/>
      <c r="BH202" s="2"/>
      <c r="BI202" s="2"/>
      <c r="BJ202" s="2"/>
      <c r="BK202" s="2"/>
      <c r="BL202" s="2"/>
      <c r="BM202" s="2"/>
      <c r="BN202" s="2"/>
      <c r="BO202" s="2"/>
      <c r="BP202" s="20"/>
      <c r="BQ202" s="20"/>
      <c r="BR202" s="125"/>
      <c r="BS202" s="20"/>
      <c r="BT202" s="20"/>
      <c r="BU202" s="125"/>
      <c r="BV202" s="125"/>
      <c r="BW202" s="2"/>
      <c r="BX202" s="2"/>
      <c r="BY202" s="2"/>
      <c r="BZ202" s="2"/>
      <c r="CA202" s="2"/>
      <c r="CB202" s="2"/>
      <c r="CC202" s="2"/>
      <c r="CD202" s="2"/>
      <c r="CE202" s="2"/>
      <c r="CF202" s="2"/>
      <c r="CG202" s="2"/>
      <c r="CH202" s="2"/>
      <c r="CI202" s="2"/>
      <c r="CJ202" s="2"/>
      <c r="CK202" s="2"/>
      <c r="CL202" s="2"/>
      <c r="CM202" s="2"/>
      <c r="CN202" s="2"/>
      <c r="CO202" s="2"/>
      <c r="CP202" s="2"/>
      <c r="CQ202" s="2"/>
      <c r="CR202" s="2"/>
      <c r="CS202" s="111"/>
      <c r="CT202" s="111"/>
      <c r="CU202" s="111"/>
      <c r="CV202" s="111"/>
      <c r="CW202" s="111"/>
      <c r="CX202" s="111"/>
      <c r="CY202" s="111"/>
      <c r="CZ202" s="111"/>
      <c r="DA202" s="111"/>
      <c r="DB202" s="111"/>
      <c r="DC202" s="111"/>
      <c r="DD202" s="111"/>
      <c r="DE202" s="111"/>
      <c r="DF202" s="111"/>
      <c r="DG202" s="111"/>
      <c r="DH202" s="111"/>
      <c r="DI202" s="111"/>
      <c r="DJ202" s="111"/>
      <c r="DK202" s="111"/>
      <c r="DL202" s="111"/>
      <c r="DM202" s="111"/>
      <c r="DN202" s="111"/>
      <c r="DO202" s="111"/>
      <c r="DP202" s="111"/>
      <c r="DQ202" s="111"/>
      <c r="DR202" s="111"/>
      <c r="DS202" s="111"/>
      <c r="DT202" s="111"/>
      <c r="DU202" s="111"/>
      <c r="DV202" s="111"/>
      <c r="DW202" s="111"/>
      <c r="DX202" s="111"/>
      <c r="DY202" s="111"/>
      <c r="DZ202" s="111"/>
      <c r="EA202" s="111"/>
      <c r="EB202" s="111"/>
      <c r="EC202" s="111"/>
      <c r="ED202" s="111"/>
      <c r="EE202" s="111"/>
      <c r="EF202" s="111"/>
      <c r="EG202" s="111"/>
      <c r="EH202" s="111"/>
      <c r="EI202" s="111"/>
      <c r="EJ202" s="111"/>
      <c r="EK202" s="111"/>
      <c r="EL202" s="111"/>
      <c r="EM202" s="111"/>
      <c r="EN202" s="111"/>
      <c r="EO202" s="111"/>
      <c r="EP202" s="111"/>
      <c r="EQ202" s="111"/>
      <c r="ER202" s="111"/>
      <c r="ES202" s="111"/>
      <c r="ET202" s="111"/>
      <c r="EU202" s="111"/>
      <c r="EV202" s="111"/>
      <c r="EW202" s="111"/>
      <c r="EX202" s="111"/>
      <c r="EY202" s="111"/>
      <c r="EZ202" s="111"/>
      <c r="FA202" s="111"/>
      <c r="FB202" s="111"/>
      <c r="FC202" s="111"/>
      <c r="FD202" s="111"/>
      <c r="FE202" s="111"/>
      <c r="FF202" s="111"/>
    </row>
    <row x14ac:dyDescent="0.25" r="203" customHeight="1" ht="18.75" customFormat="1" s="18">
      <c r="A203" s="2"/>
      <c r="B203" s="2"/>
      <c r="C203" s="2"/>
      <c r="D203" s="2"/>
      <c r="E203" s="2"/>
      <c r="F203" s="2"/>
      <c r="G203" s="2"/>
      <c r="H203" s="2"/>
      <c r="I203" s="2"/>
      <c r="J203" s="2"/>
      <c r="K203" s="20"/>
      <c r="L203" s="2"/>
      <c r="M203" s="2"/>
      <c r="N203" s="2"/>
      <c r="O203" s="2"/>
      <c r="P203" s="2"/>
      <c r="Q203" s="2"/>
      <c r="R203" s="2"/>
      <c r="S203" s="2"/>
      <c r="T203" s="124"/>
      <c r="U203" s="124"/>
      <c r="V203" s="124"/>
      <c r="W203" s="124"/>
      <c r="X203" s="124"/>
      <c r="Y203" s="124"/>
      <c r="Z203" s="124"/>
      <c r="AA203" s="124"/>
      <c r="AB203" s="124"/>
      <c r="AC203" s="124"/>
      <c r="AD203" s="124"/>
      <c r="AE203" s="124"/>
      <c r="AF203" s="124"/>
      <c r="AG203" s="124"/>
      <c r="AH203" s="124"/>
      <c r="AI203" s="124"/>
      <c r="AJ203" s="124"/>
      <c r="AK203" s="124"/>
      <c r="AL203" s="124"/>
      <c r="AM203" s="124"/>
      <c r="AN203" s="124"/>
      <c r="AO203" s="124"/>
      <c r="AP203" s="124"/>
      <c r="AQ203" s="124"/>
      <c r="AR203" s="20"/>
      <c r="AS203" s="2"/>
      <c r="AT203" s="20"/>
      <c r="AU203" s="20"/>
      <c r="AV203" s="2"/>
      <c r="AW203" s="2"/>
      <c r="AX203" s="2"/>
      <c r="AY203" s="2"/>
      <c r="AZ203" s="2"/>
      <c r="BA203" s="2"/>
      <c r="BB203" s="2"/>
      <c r="BC203" s="2"/>
      <c r="BD203" s="2"/>
      <c r="BE203" s="2"/>
      <c r="BF203" s="2"/>
      <c r="BG203" s="2"/>
      <c r="BH203" s="2"/>
      <c r="BI203" s="2"/>
      <c r="BJ203" s="2"/>
      <c r="BK203" s="2"/>
      <c r="BL203" s="2"/>
      <c r="BM203" s="2"/>
      <c r="BN203" s="2"/>
      <c r="BO203" s="2"/>
      <c r="BP203" s="20"/>
      <c r="BQ203" s="20"/>
      <c r="BR203" s="125"/>
      <c r="BS203" s="20"/>
      <c r="BT203" s="20"/>
      <c r="BU203" s="125"/>
      <c r="BV203" s="125"/>
      <c r="BW203" s="2"/>
      <c r="BX203" s="2"/>
      <c r="BY203" s="2"/>
      <c r="BZ203" s="2"/>
      <c r="CA203" s="2"/>
      <c r="CB203" s="2"/>
      <c r="CC203" s="2"/>
      <c r="CD203" s="2"/>
      <c r="CE203" s="2"/>
      <c r="CF203" s="2"/>
      <c r="CG203" s="2"/>
      <c r="CH203" s="2"/>
      <c r="CI203" s="2"/>
      <c r="CJ203" s="2"/>
      <c r="CK203" s="2"/>
      <c r="CL203" s="2"/>
      <c r="CM203" s="2"/>
      <c r="CN203" s="2"/>
      <c r="CO203" s="2"/>
      <c r="CP203" s="2"/>
      <c r="CQ203" s="2"/>
      <c r="CR203" s="2"/>
      <c r="CS203" s="111"/>
      <c r="CT203" s="111"/>
      <c r="CU203" s="111"/>
      <c r="CV203" s="111"/>
      <c r="CW203" s="111"/>
      <c r="CX203" s="111"/>
      <c r="CY203" s="111"/>
      <c r="CZ203" s="111"/>
      <c r="DA203" s="111"/>
      <c r="DB203" s="111"/>
      <c r="DC203" s="111"/>
      <c r="DD203" s="111"/>
      <c r="DE203" s="111"/>
      <c r="DF203" s="111"/>
      <c r="DG203" s="111"/>
      <c r="DH203" s="111"/>
      <c r="DI203" s="111"/>
      <c r="DJ203" s="111"/>
      <c r="DK203" s="111"/>
      <c r="DL203" s="111"/>
      <c r="DM203" s="111"/>
      <c r="DN203" s="111"/>
      <c r="DO203" s="111"/>
      <c r="DP203" s="111"/>
      <c r="DQ203" s="111"/>
      <c r="DR203" s="111"/>
      <c r="DS203" s="111"/>
      <c r="DT203" s="111"/>
      <c r="DU203" s="111"/>
      <c r="DV203" s="111"/>
      <c r="DW203" s="111"/>
      <c r="DX203" s="111"/>
      <c r="DY203" s="111"/>
      <c r="DZ203" s="111"/>
      <c r="EA203" s="111"/>
      <c r="EB203" s="111"/>
      <c r="EC203" s="111"/>
      <c r="ED203" s="111"/>
      <c r="EE203" s="111"/>
      <c r="EF203" s="111"/>
      <c r="EG203" s="111"/>
      <c r="EH203" s="111"/>
      <c r="EI203" s="111"/>
      <c r="EJ203" s="111"/>
      <c r="EK203" s="111"/>
      <c r="EL203" s="111"/>
      <c r="EM203" s="111"/>
      <c r="EN203" s="111"/>
      <c r="EO203" s="111"/>
      <c r="EP203" s="111"/>
      <c r="EQ203" s="111"/>
      <c r="ER203" s="111"/>
      <c r="ES203" s="111"/>
      <c r="ET203" s="111"/>
      <c r="EU203" s="111"/>
      <c r="EV203" s="111"/>
      <c r="EW203" s="111"/>
      <c r="EX203" s="111"/>
      <c r="EY203" s="111"/>
      <c r="EZ203" s="111"/>
      <c r="FA203" s="111"/>
      <c r="FB203" s="111"/>
      <c r="FC203" s="111"/>
      <c r="FD203" s="111"/>
      <c r="FE203" s="111"/>
      <c r="FF203" s="111"/>
    </row>
    <row x14ac:dyDescent="0.25" r="204" customHeight="1" ht="18.75" customFormat="1" s="18">
      <c r="A204" s="2"/>
      <c r="B204" s="2"/>
      <c r="C204" s="2"/>
      <c r="D204" s="2"/>
      <c r="E204" s="2"/>
      <c r="F204" s="2"/>
      <c r="G204" s="2"/>
      <c r="H204" s="2"/>
      <c r="I204" s="2"/>
      <c r="J204" s="2"/>
      <c r="K204" s="20"/>
      <c r="L204" s="2"/>
      <c r="M204" s="2"/>
      <c r="N204" s="2"/>
      <c r="O204" s="2"/>
      <c r="P204" s="2"/>
      <c r="Q204" s="2"/>
      <c r="R204" s="2"/>
      <c r="S204" s="2"/>
      <c r="T204" s="124"/>
      <c r="U204" s="124"/>
      <c r="V204" s="124"/>
      <c r="W204" s="124"/>
      <c r="X204" s="124"/>
      <c r="Y204" s="124"/>
      <c r="Z204" s="124"/>
      <c r="AA204" s="124"/>
      <c r="AB204" s="124"/>
      <c r="AC204" s="124"/>
      <c r="AD204" s="124"/>
      <c r="AE204" s="124"/>
      <c r="AF204" s="124"/>
      <c r="AG204" s="124"/>
      <c r="AH204" s="124"/>
      <c r="AI204" s="124"/>
      <c r="AJ204" s="124"/>
      <c r="AK204" s="124"/>
      <c r="AL204" s="124"/>
      <c r="AM204" s="124"/>
      <c r="AN204" s="124"/>
      <c r="AO204" s="124"/>
      <c r="AP204" s="124"/>
      <c r="AQ204" s="124"/>
      <c r="AR204" s="20"/>
      <c r="AS204" s="2"/>
      <c r="AT204" s="20"/>
      <c r="AU204" s="20"/>
      <c r="AV204" s="2"/>
      <c r="AW204" s="2"/>
      <c r="AX204" s="2"/>
      <c r="AY204" s="2"/>
      <c r="AZ204" s="2"/>
      <c r="BA204" s="2"/>
      <c r="BB204" s="2"/>
      <c r="BC204" s="2"/>
      <c r="BD204" s="2"/>
      <c r="BE204" s="2"/>
      <c r="BF204" s="2"/>
      <c r="BG204" s="2"/>
      <c r="BH204" s="2"/>
      <c r="BI204" s="2"/>
      <c r="BJ204" s="2"/>
      <c r="BK204" s="2"/>
      <c r="BL204" s="2"/>
      <c r="BM204" s="2"/>
      <c r="BN204" s="2"/>
      <c r="BO204" s="2"/>
      <c r="BP204" s="20"/>
      <c r="BQ204" s="20"/>
      <c r="BR204" s="125"/>
      <c r="BS204" s="20"/>
      <c r="BT204" s="20"/>
      <c r="BU204" s="125"/>
      <c r="BV204" s="125"/>
      <c r="BW204" s="2"/>
      <c r="BX204" s="2"/>
      <c r="BY204" s="2"/>
      <c r="BZ204" s="2"/>
      <c r="CA204" s="2"/>
      <c r="CB204" s="2"/>
      <c r="CC204" s="2"/>
      <c r="CD204" s="2"/>
      <c r="CE204" s="2"/>
      <c r="CF204" s="2"/>
      <c r="CG204" s="2"/>
      <c r="CH204" s="2"/>
      <c r="CI204" s="2"/>
      <c r="CJ204" s="2"/>
      <c r="CK204" s="2"/>
      <c r="CL204" s="2"/>
      <c r="CM204" s="2"/>
      <c r="CN204" s="2"/>
      <c r="CO204" s="2"/>
      <c r="CP204" s="2"/>
      <c r="CQ204" s="2"/>
      <c r="CR204" s="2"/>
      <c r="CS204" s="111"/>
      <c r="CT204" s="111"/>
      <c r="CU204" s="111"/>
      <c r="CV204" s="111"/>
      <c r="CW204" s="111"/>
      <c r="CX204" s="111"/>
      <c r="CY204" s="111"/>
      <c r="CZ204" s="111"/>
      <c r="DA204" s="111"/>
      <c r="DB204" s="111"/>
      <c r="DC204" s="111"/>
      <c r="DD204" s="111"/>
      <c r="DE204" s="111"/>
      <c r="DF204" s="111"/>
      <c r="DG204" s="111"/>
      <c r="DH204" s="111"/>
      <c r="DI204" s="111"/>
      <c r="DJ204" s="111"/>
      <c r="DK204" s="111"/>
      <c r="DL204" s="111"/>
      <c r="DM204" s="111"/>
      <c r="DN204" s="111"/>
      <c r="DO204" s="111"/>
      <c r="DP204" s="111"/>
      <c r="DQ204" s="111"/>
      <c r="DR204" s="111"/>
      <c r="DS204" s="111"/>
      <c r="DT204" s="111"/>
      <c r="DU204" s="111"/>
      <c r="DV204" s="111"/>
      <c r="DW204" s="111"/>
      <c r="DX204" s="111"/>
      <c r="DY204" s="111"/>
      <c r="DZ204" s="111"/>
      <c r="EA204" s="111"/>
      <c r="EB204" s="111"/>
      <c r="EC204" s="111"/>
      <c r="ED204" s="111"/>
      <c r="EE204" s="111"/>
      <c r="EF204" s="111"/>
      <c r="EG204" s="111"/>
      <c r="EH204" s="111"/>
      <c r="EI204" s="111"/>
      <c r="EJ204" s="111"/>
      <c r="EK204" s="111"/>
      <c r="EL204" s="111"/>
      <c r="EM204" s="111"/>
      <c r="EN204" s="111"/>
      <c r="EO204" s="111"/>
      <c r="EP204" s="111"/>
      <c r="EQ204" s="111"/>
      <c r="ER204" s="111"/>
      <c r="ES204" s="111"/>
      <c r="ET204" s="111"/>
      <c r="EU204" s="111"/>
      <c r="EV204" s="111"/>
      <c r="EW204" s="111"/>
      <c r="EX204" s="111"/>
      <c r="EY204" s="111"/>
      <c r="EZ204" s="111"/>
      <c r="FA204" s="111"/>
      <c r="FB204" s="111"/>
      <c r="FC204" s="111"/>
      <c r="FD204" s="111"/>
      <c r="FE204" s="111"/>
      <c r="FF204" s="111"/>
    </row>
    <row x14ac:dyDescent="0.25" r="205" customHeight="1" ht="18.75" customFormat="1" s="18">
      <c r="A205" s="2"/>
      <c r="B205" s="2"/>
      <c r="C205" s="2"/>
      <c r="D205" s="2"/>
      <c r="E205" s="2"/>
      <c r="F205" s="2"/>
      <c r="G205" s="2"/>
      <c r="H205" s="2"/>
      <c r="I205" s="2"/>
      <c r="J205" s="2"/>
      <c r="K205" s="20"/>
      <c r="L205" s="2"/>
      <c r="M205" s="2"/>
      <c r="N205" s="2"/>
      <c r="O205" s="2"/>
      <c r="P205" s="2"/>
      <c r="Q205" s="2"/>
      <c r="R205" s="2"/>
      <c r="S205" s="2"/>
      <c r="T205" s="124"/>
      <c r="U205" s="124"/>
      <c r="V205" s="124"/>
      <c r="W205" s="124"/>
      <c r="X205" s="124"/>
      <c r="Y205" s="124"/>
      <c r="Z205" s="124"/>
      <c r="AA205" s="124"/>
      <c r="AB205" s="124"/>
      <c r="AC205" s="124"/>
      <c r="AD205" s="124"/>
      <c r="AE205" s="124"/>
      <c r="AF205" s="124"/>
      <c r="AG205" s="124"/>
      <c r="AH205" s="124"/>
      <c r="AI205" s="124"/>
      <c r="AJ205" s="124"/>
      <c r="AK205" s="124"/>
      <c r="AL205" s="124"/>
      <c r="AM205" s="124"/>
      <c r="AN205" s="124"/>
      <c r="AO205" s="124"/>
      <c r="AP205" s="124"/>
      <c r="AQ205" s="124"/>
      <c r="AR205" s="20"/>
      <c r="AS205" s="2"/>
      <c r="AT205" s="20"/>
      <c r="AU205" s="20"/>
      <c r="AV205" s="2"/>
      <c r="AW205" s="2"/>
      <c r="AX205" s="2"/>
      <c r="AY205" s="2"/>
      <c r="AZ205" s="2"/>
      <c r="BA205" s="2"/>
      <c r="BB205" s="2"/>
      <c r="BC205" s="2"/>
      <c r="BD205" s="2"/>
      <c r="BE205" s="2"/>
      <c r="BF205" s="2"/>
      <c r="BG205" s="2"/>
      <c r="BH205" s="2"/>
      <c r="BI205" s="2"/>
      <c r="BJ205" s="2"/>
      <c r="BK205" s="2"/>
      <c r="BL205" s="2"/>
      <c r="BM205" s="2"/>
      <c r="BN205" s="2"/>
      <c r="BO205" s="2"/>
      <c r="BP205" s="20"/>
      <c r="BQ205" s="20"/>
      <c r="BR205" s="125"/>
      <c r="BS205" s="20"/>
      <c r="BT205" s="20"/>
      <c r="BU205" s="125"/>
      <c r="BV205" s="125"/>
      <c r="BW205" s="2"/>
      <c r="BX205" s="2"/>
      <c r="BY205" s="2"/>
      <c r="BZ205" s="2"/>
      <c r="CA205" s="2"/>
      <c r="CB205" s="2"/>
      <c r="CC205" s="2"/>
      <c r="CD205" s="2"/>
      <c r="CE205" s="2"/>
      <c r="CF205" s="2"/>
      <c r="CG205" s="2"/>
      <c r="CH205" s="2"/>
      <c r="CI205" s="2"/>
      <c r="CJ205" s="2"/>
      <c r="CK205" s="2"/>
      <c r="CL205" s="2"/>
      <c r="CM205" s="2"/>
      <c r="CN205" s="2"/>
      <c r="CO205" s="2"/>
      <c r="CP205" s="2"/>
      <c r="CQ205" s="2"/>
      <c r="CR205" s="2"/>
      <c r="CS205" s="111"/>
      <c r="CT205" s="111"/>
      <c r="CU205" s="111"/>
      <c r="CV205" s="111"/>
      <c r="CW205" s="111"/>
      <c r="CX205" s="111"/>
      <c r="CY205" s="111"/>
      <c r="CZ205" s="111"/>
      <c r="DA205" s="111"/>
      <c r="DB205" s="111"/>
      <c r="DC205" s="111"/>
      <c r="DD205" s="111"/>
      <c r="DE205" s="111"/>
      <c r="DF205" s="111"/>
      <c r="DG205" s="111"/>
      <c r="DH205" s="111"/>
      <c r="DI205" s="111"/>
      <c r="DJ205" s="111"/>
      <c r="DK205" s="111"/>
      <c r="DL205" s="111"/>
      <c r="DM205" s="111"/>
      <c r="DN205" s="111"/>
      <c r="DO205" s="111"/>
      <c r="DP205" s="111"/>
      <c r="DQ205" s="111"/>
      <c r="DR205" s="111"/>
      <c r="DS205" s="111"/>
      <c r="DT205" s="111"/>
      <c r="DU205" s="111"/>
      <c r="DV205" s="111"/>
      <c r="DW205" s="111"/>
      <c r="DX205" s="111"/>
      <c r="DY205" s="111"/>
      <c r="DZ205" s="111"/>
      <c r="EA205" s="111"/>
      <c r="EB205" s="111"/>
      <c r="EC205" s="111"/>
      <c r="ED205" s="111"/>
      <c r="EE205" s="111"/>
      <c r="EF205" s="111"/>
      <c r="EG205" s="111"/>
      <c r="EH205" s="111"/>
      <c r="EI205" s="111"/>
      <c r="EJ205" s="111"/>
      <c r="EK205" s="111"/>
      <c r="EL205" s="111"/>
      <c r="EM205" s="111"/>
      <c r="EN205" s="111"/>
      <c r="EO205" s="111"/>
      <c r="EP205" s="111"/>
      <c r="EQ205" s="111"/>
      <c r="ER205" s="111"/>
      <c r="ES205" s="111"/>
      <c r="ET205" s="111"/>
      <c r="EU205" s="111"/>
      <c r="EV205" s="111"/>
      <c r="EW205" s="111"/>
      <c r="EX205" s="111"/>
      <c r="EY205" s="111"/>
      <c r="EZ205" s="111"/>
      <c r="FA205" s="111"/>
      <c r="FB205" s="111"/>
      <c r="FC205" s="111"/>
      <c r="FD205" s="111"/>
      <c r="FE205" s="111"/>
      <c r="FF205" s="111"/>
    </row>
    <row x14ac:dyDescent="0.25" r="206" customHeight="1" ht="18.75" customFormat="1" s="18">
      <c r="A206" s="2"/>
      <c r="B206" s="2"/>
      <c r="C206" s="2"/>
      <c r="D206" s="2"/>
      <c r="E206" s="2"/>
      <c r="F206" s="2"/>
      <c r="G206" s="2"/>
      <c r="H206" s="2"/>
      <c r="I206" s="2"/>
      <c r="J206" s="2"/>
      <c r="K206" s="20"/>
      <c r="L206" s="2"/>
      <c r="M206" s="2"/>
      <c r="N206" s="2"/>
      <c r="O206" s="2"/>
      <c r="P206" s="2"/>
      <c r="Q206" s="2"/>
      <c r="R206" s="2"/>
      <c r="S206" s="2"/>
      <c r="T206" s="124"/>
      <c r="U206" s="124"/>
      <c r="V206" s="124"/>
      <c r="W206" s="124"/>
      <c r="X206" s="124"/>
      <c r="Y206" s="124"/>
      <c r="Z206" s="124"/>
      <c r="AA206" s="124"/>
      <c r="AB206" s="124"/>
      <c r="AC206" s="124"/>
      <c r="AD206" s="124"/>
      <c r="AE206" s="124"/>
      <c r="AF206" s="124"/>
      <c r="AG206" s="124"/>
      <c r="AH206" s="124"/>
      <c r="AI206" s="124"/>
      <c r="AJ206" s="124"/>
      <c r="AK206" s="124"/>
      <c r="AL206" s="124"/>
      <c r="AM206" s="124"/>
      <c r="AN206" s="124"/>
      <c r="AO206" s="124"/>
      <c r="AP206" s="124"/>
      <c r="AQ206" s="124"/>
      <c r="AR206" s="20"/>
      <c r="AS206" s="2"/>
      <c r="AT206" s="20"/>
      <c r="AU206" s="20"/>
      <c r="AV206" s="2"/>
      <c r="AW206" s="2"/>
      <c r="AX206" s="2"/>
      <c r="AY206" s="2"/>
      <c r="AZ206" s="2"/>
      <c r="BA206" s="2"/>
      <c r="BB206" s="2"/>
      <c r="BC206" s="2"/>
      <c r="BD206" s="2"/>
      <c r="BE206" s="2"/>
      <c r="BF206" s="2"/>
      <c r="BG206" s="2"/>
      <c r="BH206" s="2"/>
      <c r="BI206" s="2"/>
      <c r="BJ206" s="2"/>
      <c r="BK206" s="2"/>
      <c r="BL206" s="2"/>
      <c r="BM206" s="2"/>
      <c r="BN206" s="2"/>
      <c r="BO206" s="2"/>
      <c r="BP206" s="20"/>
      <c r="BQ206" s="20"/>
      <c r="BR206" s="125"/>
      <c r="BS206" s="20"/>
      <c r="BT206" s="20"/>
      <c r="BU206" s="125"/>
      <c r="BV206" s="125"/>
      <c r="BW206" s="2"/>
      <c r="BX206" s="2"/>
      <c r="BY206" s="2"/>
      <c r="BZ206" s="2"/>
      <c r="CA206" s="2"/>
      <c r="CB206" s="2"/>
      <c r="CC206" s="2"/>
      <c r="CD206" s="2"/>
      <c r="CE206" s="2"/>
      <c r="CF206" s="2"/>
      <c r="CG206" s="2"/>
      <c r="CH206" s="2"/>
      <c r="CI206" s="2"/>
      <c r="CJ206" s="2"/>
      <c r="CK206" s="2"/>
      <c r="CL206" s="2"/>
      <c r="CM206" s="2"/>
      <c r="CN206" s="2"/>
      <c r="CO206" s="2"/>
      <c r="CP206" s="2"/>
      <c r="CQ206" s="2"/>
      <c r="CR206" s="2"/>
      <c r="CS206" s="111"/>
      <c r="CT206" s="111"/>
      <c r="CU206" s="111"/>
      <c r="CV206" s="111"/>
      <c r="CW206" s="111"/>
      <c r="CX206" s="111"/>
      <c r="CY206" s="111"/>
      <c r="CZ206" s="111"/>
      <c r="DA206" s="111"/>
      <c r="DB206" s="111"/>
      <c r="DC206" s="111"/>
      <c r="DD206" s="111"/>
      <c r="DE206" s="111"/>
      <c r="DF206" s="111"/>
      <c r="DG206" s="111"/>
      <c r="DH206" s="111"/>
      <c r="DI206" s="111"/>
      <c r="DJ206" s="111"/>
      <c r="DK206" s="111"/>
      <c r="DL206" s="111"/>
      <c r="DM206" s="111"/>
      <c r="DN206" s="111"/>
      <c r="DO206" s="111"/>
      <c r="DP206" s="111"/>
      <c r="DQ206" s="111"/>
      <c r="DR206" s="111"/>
      <c r="DS206" s="111"/>
      <c r="DT206" s="111"/>
      <c r="DU206" s="111"/>
      <c r="DV206" s="111"/>
      <c r="DW206" s="111"/>
      <c r="DX206" s="111"/>
      <c r="DY206" s="111"/>
      <c r="DZ206" s="111"/>
      <c r="EA206" s="111"/>
      <c r="EB206" s="111"/>
      <c r="EC206" s="111"/>
      <c r="ED206" s="111"/>
      <c r="EE206" s="111"/>
      <c r="EF206" s="111"/>
      <c r="EG206" s="111"/>
      <c r="EH206" s="111"/>
      <c r="EI206" s="111"/>
      <c r="EJ206" s="111"/>
      <c r="EK206" s="111"/>
      <c r="EL206" s="111"/>
      <c r="EM206" s="111"/>
      <c r="EN206" s="111"/>
      <c r="EO206" s="111"/>
      <c r="EP206" s="111"/>
      <c r="EQ206" s="111"/>
      <c r="ER206" s="111"/>
      <c r="ES206" s="111"/>
      <c r="ET206" s="111"/>
      <c r="EU206" s="111"/>
      <c r="EV206" s="111"/>
      <c r="EW206" s="111"/>
      <c r="EX206" s="111"/>
      <c r="EY206" s="111"/>
      <c r="EZ206" s="111"/>
      <c r="FA206" s="111"/>
      <c r="FB206" s="111"/>
      <c r="FC206" s="111"/>
      <c r="FD206" s="111"/>
      <c r="FE206" s="111"/>
      <c r="FF206" s="111"/>
    </row>
    <row x14ac:dyDescent="0.25" r="207" customHeight="1" ht="18.75" customFormat="1" s="18">
      <c r="A207" s="2"/>
      <c r="B207" s="2"/>
      <c r="C207" s="2"/>
      <c r="D207" s="2"/>
      <c r="E207" s="2"/>
      <c r="F207" s="2"/>
      <c r="G207" s="2"/>
      <c r="H207" s="2"/>
      <c r="I207" s="2"/>
      <c r="J207" s="2"/>
      <c r="K207" s="20"/>
      <c r="L207" s="2"/>
      <c r="M207" s="2"/>
      <c r="N207" s="2"/>
      <c r="O207" s="2"/>
      <c r="P207" s="2"/>
      <c r="Q207" s="2"/>
      <c r="R207" s="2"/>
      <c r="S207" s="2"/>
      <c r="T207" s="124"/>
      <c r="U207" s="124"/>
      <c r="V207" s="124"/>
      <c r="W207" s="124"/>
      <c r="X207" s="124"/>
      <c r="Y207" s="124"/>
      <c r="Z207" s="124"/>
      <c r="AA207" s="124"/>
      <c r="AB207" s="124"/>
      <c r="AC207" s="124"/>
      <c r="AD207" s="124"/>
      <c r="AE207" s="124"/>
      <c r="AF207" s="124"/>
      <c r="AG207" s="124"/>
      <c r="AH207" s="124"/>
      <c r="AI207" s="124"/>
      <c r="AJ207" s="124"/>
      <c r="AK207" s="124"/>
      <c r="AL207" s="124"/>
      <c r="AM207" s="124"/>
      <c r="AN207" s="124"/>
      <c r="AO207" s="124"/>
      <c r="AP207" s="124"/>
      <c r="AQ207" s="124"/>
      <c r="AR207" s="20"/>
      <c r="AS207" s="2"/>
      <c r="AT207" s="20"/>
      <c r="AU207" s="20"/>
      <c r="AV207" s="2"/>
      <c r="AW207" s="2"/>
      <c r="AX207" s="2"/>
      <c r="AY207" s="2"/>
      <c r="AZ207" s="2"/>
      <c r="BA207" s="2"/>
      <c r="BB207" s="2"/>
      <c r="BC207" s="2"/>
      <c r="BD207" s="2"/>
      <c r="BE207" s="2"/>
      <c r="BF207" s="2"/>
      <c r="BG207" s="2"/>
      <c r="BH207" s="2"/>
      <c r="BI207" s="2"/>
      <c r="BJ207" s="2"/>
      <c r="BK207" s="2"/>
      <c r="BL207" s="2"/>
      <c r="BM207" s="2"/>
      <c r="BN207" s="2"/>
      <c r="BO207" s="2"/>
      <c r="BP207" s="20"/>
      <c r="BQ207" s="20"/>
      <c r="BR207" s="125"/>
      <c r="BS207" s="20"/>
      <c r="BT207" s="20"/>
      <c r="BU207" s="125"/>
      <c r="BV207" s="125"/>
      <c r="BW207" s="2"/>
      <c r="BX207" s="2"/>
      <c r="BY207" s="2"/>
      <c r="BZ207" s="2"/>
      <c r="CA207" s="2"/>
      <c r="CB207" s="2"/>
      <c r="CC207" s="2"/>
      <c r="CD207" s="2"/>
      <c r="CE207" s="2"/>
      <c r="CF207" s="2"/>
      <c r="CG207" s="2"/>
      <c r="CH207" s="2"/>
      <c r="CI207" s="2"/>
      <c r="CJ207" s="2"/>
      <c r="CK207" s="2"/>
      <c r="CL207" s="2"/>
      <c r="CM207" s="2"/>
      <c r="CN207" s="2"/>
      <c r="CO207" s="2"/>
      <c r="CP207" s="2"/>
      <c r="CQ207" s="2"/>
      <c r="CR207" s="2"/>
      <c r="CS207" s="111"/>
      <c r="CT207" s="111"/>
      <c r="CU207" s="111"/>
      <c r="CV207" s="111"/>
      <c r="CW207" s="111"/>
      <c r="CX207" s="111"/>
      <c r="CY207" s="111"/>
      <c r="CZ207" s="111"/>
      <c r="DA207" s="111"/>
      <c r="DB207" s="111"/>
      <c r="DC207" s="111"/>
      <c r="DD207" s="111"/>
      <c r="DE207" s="111"/>
      <c r="DF207" s="111"/>
      <c r="DG207" s="111"/>
      <c r="DH207" s="111"/>
      <c r="DI207" s="111"/>
      <c r="DJ207" s="111"/>
      <c r="DK207" s="111"/>
      <c r="DL207" s="111"/>
      <c r="DM207" s="111"/>
      <c r="DN207" s="111"/>
      <c r="DO207" s="111"/>
      <c r="DP207" s="111"/>
      <c r="DQ207" s="111"/>
      <c r="DR207" s="111"/>
      <c r="DS207" s="111"/>
      <c r="DT207" s="111"/>
      <c r="DU207" s="111"/>
      <c r="DV207" s="111"/>
      <c r="DW207" s="111"/>
      <c r="DX207" s="111"/>
      <c r="DY207" s="111"/>
      <c r="DZ207" s="111"/>
      <c r="EA207" s="111"/>
      <c r="EB207" s="111"/>
      <c r="EC207" s="111"/>
      <c r="ED207" s="111"/>
      <c r="EE207" s="111"/>
      <c r="EF207" s="111"/>
      <c r="EG207" s="111"/>
      <c r="EH207" s="111"/>
      <c r="EI207" s="111"/>
      <c r="EJ207" s="111"/>
      <c r="EK207" s="111"/>
      <c r="EL207" s="111"/>
      <c r="EM207" s="111"/>
      <c r="EN207" s="111"/>
      <c r="EO207" s="111"/>
      <c r="EP207" s="111"/>
      <c r="EQ207" s="111"/>
      <c r="ER207" s="111"/>
      <c r="ES207" s="111"/>
      <c r="ET207" s="111"/>
      <c r="EU207" s="111"/>
      <c r="EV207" s="111"/>
      <c r="EW207" s="111"/>
      <c r="EX207" s="111"/>
      <c r="EY207" s="111"/>
      <c r="EZ207" s="111"/>
      <c r="FA207" s="111"/>
      <c r="FB207" s="111"/>
      <c r="FC207" s="111"/>
      <c r="FD207" s="111"/>
      <c r="FE207" s="111"/>
      <c r="FF207" s="111"/>
    </row>
    <row x14ac:dyDescent="0.25" r="208" customHeight="1" ht="18.75" customFormat="1" s="18">
      <c r="A208" s="2"/>
      <c r="B208" s="2"/>
      <c r="C208" s="2"/>
      <c r="D208" s="2"/>
      <c r="E208" s="2"/>
      <c r="F208" s="2"/>
      <c r="G208" s="2"/>
      <c r="H208" s="2"/>
      <c r="I208" s="2"/>
      <c r="J208" s="2"/>
      <c r="K208" s="20"/>
      <c r="L208" s="2"/>
      <c r="M208" s="2"/>
      <c r="N208" s="2"/>
      <c r="O208" s="2"/>
      <c r="P208" s="2"/>
      <c r="Q208" s="2"/>
      <c r="R208" s="2"/>
      <c r="S208" s="2"/>
      <c r="T208" s="124"/>
      <c r="U208" s="124"/>
      <c r="V208" s="124"/>
      <c r="W208" s="124"/>
      <c r="X208" s="124"/>
      <c r="Y208" s="124"/>
      <c r="Z208" s="124"/>
      <c r="AA208" s="124"/>
      <c r="AB208" s="124"/>
      <c r="AC208" s="124"/>
      <c r="AD208" s="124"/>
      <c r="AE208" s="124"/>
      <c r="AF208" s="124"/>
      <c r="AG208" s="124"/>
      <c r="AH208" s="124"/>
      <c r="AI208" s="124"/>
      <c r="AJ208" s="124"/>
      <c r="AK208" s="124"/>
      <c r="AL208" s="124"/>
      <c r="AM208" s="124"/>
      <c r="AN208" s="124"/>
      <c r="AO208" s="124"/>
      <c r="AP208" s="124"/>
      <c r="AQ208" s="124"/>
      <c r="AR208" s="20"/>
      <c r="AS208" s="2"/>
      <c r="AT208" s="20"/>
      <c r="AU208" s="20"/>
      <c r="AV208" s="2"/>
      <c r="AW208" s="2"/>
      <c r="AX208" s="2"/>
      <c r="AY208" s="2"/>
      <c r="AZ208" s="2"/>
      <c r="BA208" s="2"/>
      <c r="BB208" s="2"/>
      <c r="BC208" s="2"/>
      <c r="BD208" s="2"/>
      <c r="BE208" s="2"/>
      <c r="BF208" s="2"/>
      <c r="BG208" s="2"/>
      <c r="BH208" s="2"/>
      <c r="BI208" s="2"/>
      <c r="BJ208" s="2"/>
      <c r="BK208" s="2"/>
      <c r="BL208" s="2"/>
      <c r="BM208" s="2"/>
      <c r="BN208" s="2"/>
      <c r="BO208" s="2"/>
      <c r="BP208" s="20"/>
      <c r="BQ208" s="20"/>
      <c r="BR208" s="125"/>
      <c r="BS208" s="20"/>
      <c r="BT208" s="20"/>
      <c r="BU208" s="125"/>
      <c r="BV208" s="125"/>
      <c r="BW208" s="2"/>
      <c r="BX208" s="2"/>
      <c r="BY208" s="2"/>
      <c r="BZ208" s="2"/>
      <c r="CA208" s="2"/>
      <c r="CB208" s="2"/>
      <c r="CC208" s="2"/>
      <c r="CD208" s="2"/>
      <c r="CE208" s="2"/>
      <c r="CF208" s="2"/>
      <c r="CG208" s="2"/>
      <c r="CH208" s="2"/>
      <c r="CI208" s="2"/>
      <c r="CJ208" s="2"/>
      <c r="CK208" s="2"/>
      <c r="CL208" s="2"/>
      <c r="CM208" s="2"/>
      <c r="CN208" s="2"/>
      <c r="CO208" s="2"/>
      <c r="CP208" s="2"/>
      <c r="CQ208" s="2"/>
      <c r="CR208" s="2"/>
      <c r="CS208" s="111"/>
      <c r="CT208" s="111"/>
      <c r="CU208" s="111"/>
      <c r="CV208" s="111"/>
      <c r="CW208" s="111"/>
      <c r="CX208" s="111"/>
      <c r="CY208" s="111"/>
      <c r="CZ208" s="111"/>
      <c r="DA208" s="111"/>
      <c r="DB208" s="111"/>
      <c r="DC208" s="111"/>
      <c r="DD208" s="111"/>
      <c r="DE208" s="111"/>
      <c r="DF208" s="111"/>
      <c r="DG208" s="111"/>
      <c r="DH208" s="111"/>
      <c r="DI208" s="111"/>
      <c r="DJ208" s="111"/>
      <c r="DK208" s="111"/>
      <c r="DL208" s="111"/>
      <c r="DM208" s="111"/>
      <c r="DN208" s="111"/>
      <c r="DO208" s="111"/>
      <c r="DP208" s="111"/>
      <c r="DQ208" s="111"/>
      <c r="DR208" s="111"/>
      <c r="DS208" s="111"/>
      <c r="DT208" s="111"/>
      <c r="DU208" s="111"/>
      <c r="DV208" s="111"/>
      <c r="DW208" s="111"/>
      <c r="DX208" s="111"/>
      <c r="DY208" s="111"/>
      <c r="DZ208" s="111"/>
      <c r="EA208" s="111"/>
      <c r="EB208" s="111"/>
      <c r="EC208" s="111"/>
      <c r="ED208" s="111"/>
      <c r="EE208" s="111"/>
      <c r="EF208" s="111"/>
      <c r="EG208" s="111"/>
      <c r="EH208" s="111"/>
      <c r="EI208" s="111"/>
      <c r="EJ208" s="111"/>
      <c r="EK208" s="111"/>
      <c r="EL208" s="111"/>
      <c r="EM208" s="111"/>
      <c r="EN208" s="111"/>
      <c r="EO208" s="111"/>
      <c r="EP208" s="111"/>
      <c r="EQ208" s="111"/>
      <c r="ER208" s="111"/>
      <c r="ES208" s="111"/>
      <c r="ET208" s="111"/>
      <c r="EU208" s="111"/>
      <c r="EV208" s="111"/>
      <c r="EW208" s="111"/>
      <c r="EX208" s="111"/>
      <c r="EY208" s="111"/>
      <c r="EZ208" s="111"/>
      <c r="FA208" s="111"/>
      <c r="FB208" s="111"/>
      <c r="FC208" s="111"/>
      <c r="FD208" s="111"/>
      <c r="FE208" s="111"/>
      <c r="FF208" s="111"/>
    </row>
    <row x14ac:dyDescent="0.25" r="209" customHeight="1" ht="18.75" customFormat="1" s="18">
      <c r="A209" s="2"/>
      <c r="B209" s="2"/>
      <c r="C209" s="2"/>
      <c r="D209" s="2"/>
      <c r="E209" s="2"/>
      <c r="F209" s="2"/>
      <c r="G209" s="2"/>
      <c r="H209" s="2"/>
      <c r="I209" s="2"/>
      <c r="J209" s="2"/>
      <c r="K209" s="20"/>
      <c r="L209" s="2"/>
      <c r="M209" s="2"/>
      <c r="N209" s="2"/>
      <c r="O209" s="2"/>
      <c r="P209" s="2"/>
      <c r="Q209" s="2"/>
      <c r="R209" s="2"/>
      <c r="S209" s="2"/>
      <c r="T209" s="124"/>
      <c r="U209" s="124"/>
      <c r="V209" s="124"/>
      <c r="W209" s="124"/>
      <c r="X209" s="124"/>
      <c r="Y209" s="124"/>
      <c r="Z209" s="124"/>
      <c r="AA209" s="124"/>
      <c r="AB209" s="124"/>
      <c r="AC209" s="124"/>
      <c r="AD209" s="124"/>
      <c r="AE209" s="124"/>
      <c r="AF209" s="124"/>
      <c r="AG209" s="124"/>
      <c r="AH209" s="124"/>
      <c r="AI209" s="124"/>
      <c r="AJ209" s="124"/>
      <c r="AK209" s="124"/>
      <c r="AL209" s="124"/>
      <c r="AM209" s="124"/>
      <c r="AN209" s="124"/>
      <c r="AO209" s="124"/>
      <c r="AP209" s="124"/>
      <c r="AQ209" s="124"/>
      <c r="AR209" s="20"/>
      <c r="AS209" s="2"/>
      <c r="AT209" s="20"/>
      <c r="AU209" s="20"/>
      <c r="AV209" s="2"/>
      <c r="AW209" s="2"/>
      <c r="AX209" s="2"/>
      <c r="AY209" s="2"/>
      <c r="AZ209" s="2"/>
      <c r="BA209" s="2"/>
      <c r="BB209" s="2"/>
      <c r="BC209" s="2"/>
      <c r="BD209" s="2"/>
      <c r="BE209" s="2"/>
      <c r="BF209" s="2"/>
      <c r="BG209" s="2"/>
      <c r="BH209" s="2"/>
      <c r="BI209" s="2"/>
      <c r="BJ209" s="2"/>
      <c r="BK209" s="2"/>
      <c r="BL209" s="2"/>
      <c r="BM209" s="2"/>
      <c r="BN209" s="2"/>
      <c r="BO209" s="2"/>
      <c r="BP209" s="20"/>
      <c r="BQ209" s="20"/>
      <c r="BR209" s="125"/>
      <c r="BS209" s="20"/>
      <c r="BT209" s="20"/>
      <c r="BU209" s="125"/>
      <c r="BV209" s="125"/>
      <c r="BW209" s="2"/>
      <c r="BX209" s="2"/>
      <c r="BY209" s="2"/>
      <c r="BZ209" s="2"/>
      <c r="CA209" s="2"/>
      <c r="CB209" s="2"/>
      <c r="CC209" s="2"/>
      <c r="CD209" s="2"/>
      <c r="CE209" s="2"/>
      <c r="CF209" s="2"/>
      <c r="CG209" s="2"/>
      <c r="CH209" s="2"/>
      <c r="CI209" s="2"/>
      <c r="CJ209" s="2"/>
      <c r="CK209" s="2"/>
      <c r="CL209" s="2"/>
      <c r="CM209" s="2"/>
      <c r="CN209" s="2"/>
      <c r="CO209" s="2"/>
      <c r="CP209" s="2"/>
      <c r="CQ209" s="2"/>
      <c r="CR209" s="2"/>
      <c r="CS209" s="111"/>
      <c r="CT209" s="111"/>
      <c r="CU209" s="111"/>
      <c r="CV209" s="111"/>
      <c r="CW209" s="111"/>
      <c r="CX209" s="111"/>
      <c r="CY209" s="111"/>
      <c r="CZ209" s="111"/>
      <c r="DA209" s="111"/>
      <c r="DB209" s="111"/>
      <c r="DC209" s="111"/>
      <c r="DD209" s="111"/>
      <c r="DE209" s="111"/>
      <c r="DF209" s="111"/>
      <c r="DG209" s="111"/>
      <c r="DH209" s="111"/>
      <c r="DI209" s="111"/>
      <c r="DJ209" s="111"/>
      <c r="DK209" s="111"/>
      <c r="DL209" s="111"/>
      <c r="DM209" s="111"/>
      <c r="DN209" s="111"/>
      <c r="DO209" s="111"/>
      <c r="DP209" s="111"/>
      <c r="DQ209" s="111"/>
      <c r="DR209" s="111"/>
      <c r="DS209" s="111"/>
      <c r="DT209" s="111"/>
      <c r="DU209" s="111"/>
      <c r="DV209" s="111"/>
      <c r="DW209" s="111"/>
      <c r="DX209" s="111"/>
      <c r="DY209" s="111"/>
      <c r="DZ209" s="111"/>
      <c r="EA209" s="111"/>
      <c r="EB209" s="111"/>
      <c r="EC209" s="111"/>
      <c r="ED209" s="111"/>
      <c r="EE209" s="111"/>
      <c r="EF209" s="111"/>
      <c r="EG209" s="111"/>
      <c r="EH209" s="111"/>
      <c r="EI209" s="111"/>
      <c r="EJ209" s="111"/>
      <c r="EK209" s="111"/>
      <c r="EL209" s="111"/>
      <c r="EM209" s="111"/>
      <c r="EN209" s="111"/>
      <c r="EO209" s="111"/>
      <c r="EP209" s="111"/>
      <c r="EQ209" s="111"/>
      <c r="ER209" s="111"/>
      <c r="ES209" s="111"/>
      <c r="ET209" s="111"/>
      <c r="EU209" s="111"/>
      <c r="EV209" s="111"/>
      <c r="EW209" s="111"/>
      <c r="EX209" s="111"/>
      <c r="EY209" s="111"/>
      <c r="EZ209" s="111"/>
      <c r="FA209" s="111"/>
      <c r="FB209" s="111"/>
      <c r="FC209" s="111"/>
      <c r="FD209" s="111"/>
      <c r="FE209" s="111"/>
      <c r="FF209" s="111"/>
    </row>
    <row x14ac:dyDescent="0.25" r="210" customHeight="1" ht="18.75" customFormat="1" s="18">
      <c r="A210" s="2"/>
      <c r="B210" s="2"/>
      <c r="C210" s="2"/>
      <c r="D210" s="2"/>
      <c r="E210" s="2"/>
      <c r="F210" s="2"/>
      <c r="G210" s="2"/>
      <c r="H210" s="2"/>
      <c r="I210" s="2"/>
      <c r="J210" s="2"/>
      <c r="K210" s="20"/>
      <c r="L210" s="2"/>
      <c r="M210" s="2"/>
      <c r="N210" s="2"/>
      <c r="O210" s="2"/>
      <c r="P210" s="2"/>
      <c r="Q210" s="2"/>
      <c r="R210" s="2"/>
      <c r="S210" s="2"/>
      <c r="T210" s="124"/>
      <c r="U210" s="124"/>
      <c r="V210" s="124"/>
      <c r="W210" s="124"/>
      <c r="X210" s="124"/>
      <c r="Y210" s="124"/>
      <c r="Z210" s="124"/>
      <c r="AA210" s="124"/>
      <c r="AB210" s="124"/>
      <c r="AC210" s="124"/>
      <c r="AD210" s="124"/>
      <c r="AE210" s="124"/>
      <c r="AF210" s="124"/>
      <c r="AG210" s="124"/>
      <c r="AH210" s="124"/>
      <c r="AI210" s="124"/>
      <c r="AJ210" s="124"/>
      <c r="AK210" s="124"/>
      <c r="AL210" s="124"/>
      <c r="AM210" s="124"/>
      <c r="AN210" s="124"/>
      <c r="AO210" s="124"/>
      <c r="AP210" s="124"/>
      <c r="AQ210" s="124"/>
      <c r="AR210" s="20"/>
      <c r="AS210" s="2"/>
      <c r="AT210" s="20"/>
      <c r="AU210" s="20"/>
      <c r="AV210" s="2"/>
      <c r="AW210" s="2"/>
      <c r="AX210" s="2"/>
      <c r="AY210" s="2"/>
      <c r="AZ210" s="2"/>
      <c r="BA210" s="2"/>
      <c r="BB210" s="2"/>
      <c r="BC210" s="2"/>
      <c r="BD210" s="2"/>
      <c r="BE210" s="2"/>
      <c r="BF210" s="2"/>
      <c r="BG210" s="2"/>
      <c r="BH210" s="2"/>
      <c r="BI210" s="2"/>
      <c r="BJ210" s="2"/>
      <c r="BK210" s="2"/>
      <c r="BL210" s="2"/>
      <c r="BM210" s="2"/>
      <c r="BN210" s="2"/>
      <c r="BO210" s="2"/>
      <c r="BP210" s="20"/>
      <c r="BQ210" s="20"/>
      <c r="BR210" s="125"/>
      <c r="BS210" s="20"/>
      <c r="BT210" s="20"/>
      <c r="BU210" s="125"/>
      <c r="BV210" s="125"/>
      <c r="BW210" s="2"/>
      <c r="BX210" s="2"/>
      <c r="BY210" s="2"/>
      <c r="BZ210" s="2"/>
      <c r="CA210" s="2"/>
      <c r="CB210" s="2"/>
      <c r="CC210" s="2"/>
      <c r="CD210" s="2"/>
      <c r="CE210" s="2"/>
      <c r="CF210" s="2"/>
      <c r="CG210" s="2"/>
      <c r="CH210" s="2"/>
      <c r="CI210" s="2"/>
      <c r="CJ210" s="2"/>
      <c r="CK210" s="2"/>
      <c r="CL210" s="2"/>
      <c r="CM210" s="2"/>
      <c r="CN210" s="2"/>
      <c r="CO210" s="2"/>
      <c r="CP210" s="2"/>
      <c r="CQ210" s="2"/>
      <c r="CR210" s="2"/>
      <c r="CS210" s="111"/>
      <c r="CT210" s="111"/>
      <c r="CU210" s="111"/>
      <c r="CV210" s="111"/>
      <c r="CW210" s="111"/>
      <c r="CX210" s="111"/>
      <c r="CY210" s="111"/>
      <c r="CZ210" s="111"/>
      <c r="DA210" s="111"/>
      <c r="DB210" s="111"/>
      <c r="DC210" s="111"/>
      <c r="DD210" s="111"/>
      <c r="DE210" s="111"/>
      <c r="DF210" s="111"/>
      <c r="DG210" s="111"/>
      <c r="DH210" s="111"/>
      <c r="DI210" s="111"/>
      <c r="DJ210" s="111"/>
      <c r="DK210" s="111"/>
      <c r="DL210" s="111"/>
      <c r="DM210" s="111"/>
      <c r="DN210" s="111"/>
      <c r="DO210" s="111"/>
      <c r="DP210" s="111"/>
      <c r="DQ210" s="111"/>
      <c r="DR210" s="111"/>
      <c r="DS210" s="111"/>
      <c r="DT210" s="111"/>
      <c r="DU210" s="111"/>
      <c r="DV210" s="111"/>
      <c r="DW210" s="111"/>
      <c r="DX210" s="111"/>
      <c r="DY210" s="111"/>
      <c r="DZ210" s="111"/>
      <c r="EA210" s="111"/>
      <c r="EB210" s="111"/>
      <c r="EC210" s="111"/>
      <c r="ED210" s="111"/>
      <c r="EE210" s="111"/>
      <c r="EF210" s="111"/>
      <c r="EG210" s="111"/>
      <c r="EH210" s="111"/>
      <c r="EI210" s="111"/>
      <c r="EJ210" s="111"/>
      <c r="EK210" s="111"/>
      <c r="EL210" s="111"/>
      <c r="EM210" s="111"/>
      <c r="EN210" s="111"/>
      <c r="EO210" s="111"/>
      <c r="EP210" s="111"/>
      <c r="EQ210" s="111"/>
      <c r="ER210" s="111"/>
      <c r="ES210" s="111"/>
      <c r="ET210" s="111"/>
      <c r="EU210" s="111"/>
      <c r="EV210" s="111"/>
      <c r="EW210" s="111"/>
      <c r="EX210" s="111"/>
      <c r="EY210" s="111"/>
      <c r="EZ210" s="111"/>
      <c r="FA210" s="111"/>
      <c r="FB210" s="111"/>
      <c r="FC210" s="111"/>
      <c r="FD210" s="111"/>
      <c r="FE210" s="111"/>
      <c r="FF210" s="111"/>
    </row>
    <row x14ac:dyDescent="0.25" r="211" customHeight="1" ht="18.75" customFormat="1" s="18">
      <c r="A211" s="2"/>
      <c r="B211" s="2"/>
      <c r="C211" s="2"/>
      <c r="D211" s="2"/>
      <c r="E211" s="2"/>
      <c r="F211" s="2"/>
      <c r="G211" s="2"/>
      <c r="H211" s="2"/>
      <c r="I211" s="2"/>
      <c r="J211" s="2"/>
      <c r="K211" s="20"/>
      <c r="L211" s="2"/>
      <c r="M211" s="2"/>
      <c r="N211" s="2"/>
      <c r="O211" s="2"/>
      <c r="P211" s="2"/>
      <c r="Q211" s="2"/>
      <c r="R211" s="2"/>
      <c r="S211" s="2"/>
      <c r="T211" s="124"/>
      <c r="U211" s="124"/>
      <c r="V211" s="124"/>
      <c r="W211" s="124"/>
      <c r="X211" s="124"/>
      <c r="Y211" s="124"/>
      <c r="Z211" s="124"/>
      <c r="AA211" s="124"/>
      <c r="AB211" s="124"/>
      <c r="AC211" s="124"/>
      <c r="AD211" s="124"/>
      <c r="AE211" s="124"/>
      <c r="AF211" s="124"/>
      <c r="AG211" s="124"/>
      <c r="AH211" s="124"/>
      <c r="AI211" s="124"/>
      <c r="AJ211" s="124"/>
      <c r="AK211" s="124"/>
      <c r="AL211" s="124"/>
      <c r="AM211" s="124"/>
      <c r="AN211" s="124"/>
      <c r="AO211" s="124"/>
      <c r="AP211" s="124"/>
      <c r="AQ211" s="124"/>
      <c r="AR211" s="20"/>
      <c r="AS211" s="2"/>
      <c r="AT211" s="20"/>
      <c r="AU211" s="20"/>
      <c r="AV211" s="2"/>
      <c r="AW211" s="2"/>
      <c r="AX211" s="2"/>
      <c r="AY211" s="2"/>
      <c r="AZ211" s="2"/>
      <c r="BA211" s="2"/>
      <c r="BB211" s="2"/>
      <c r="BC211" s="2"/>
      <c r="BD211" s="2"/>
      <c r="BE211" s="2"/>
      <c r="BF211" s="2"/>
      <c r="BG211" s="2"/>
      <c r="BH211" s="2"/>
      <c r="BI211" s="2"/>
      <c r="BJ211" s="2"/>
      <c r="BK211" s="2"/>
      <c r="BL211" s="2"/>
      <c r="BM211" s="2"/>
      <c r="BN211" s="2"/>
      <c r="BO211" s="2"/>
      <c r="BP211" s="20"/>
      <c r="BQ211" s="20"/>
      <c r="BR211" s="125"/>
      <c r="BS211" s="20"/>
      <c r="BT211" s="20"/>
      <c r="BU211" s="125"/>
      <c r="BV211" s="125"/>
      <c r="BW211" s="2"/>
      <c r="BX211" s="2"/>
      <c r="BY211" s="2"/>
      <c r="BZ211" s="2"/>
      <c r="CA211" s="2"/>
      <c r="CB211" s="2"/>
      <c r="CC211" s="2"/>
      <c r="CD211" s="2"/>
      <c r="CE211" s="2"/>
      <c r="CF211" s="2"/>
      <c r="CG211" s="2"/>
      <c r="CH211" s="2"/>
      <c r="CI211" s="2"/>
      <c r="CJ211" s="2"/>
      <c r="CK211" s="2"/>
      <c r="CL211" s="2"/>
      <c r="CM211" s="2"/>
      <c r="CN211" s="2"/>
      <c r="CO211" s="2"/>
      <c r="CP211" s="2"/>
      <c r="CQ211" s="2"/>
      <c r="CR211" s="2"/>
      <c r="CS211" s="111"/>
      <c r="CT211" s="111"/>
      <c r="CU211" s="111"/>
      <c r="CV211" s="111"/>
      <c r="CW211" s="111"/>
      <c r="CX211" s="111"/>
      <c r="CY211" s="111"/>
      <c r="CZ211" s="111"/>
      <c r="DA211" s="111"/>
      <c r="DB211" s="111"/>
      <c r="DC211" s="111"/>
      <c r="DD211" s="111"/>
      <c r="DE211" s="111"/>
      <c r="DF211" s="111"/>
      <c r="DG211" s="111"/>
      <c r="DH211" s="111"/>
      <c r="DI211" s="111"/>
      <c r="DJ211" s="111"/>
      <c r="DK211" s="111"/>
      <c r="DL211" s="111"/>
      <c r="DM211" s="111"/>
      <c r="DN211" s="111"/>
      <c r="DO211" s="111"/>
      <c r="DP211" s="111"/>
      <c r="DQ211" s="111"/>
      <c r="DR211" s="111"/>
      <c r="DS211" s="111"/>
      <c r="DT211" s="111"/>
      <c r="DU211" s="111"/>
      <c r="DV211" s="111"/>
      <c r="DW211" s="111"/>
      <c r="DX211" s="111"/>
      <c r="DY211" s="111"/>
      <c r="DZ211" s="111"/>
      <c r="EA211" s="111"/>
      <c r="EB211" s="111"/>
      <c r="EC211" s="111"/>
      <c r="ED211" s="111"/>
      <c r="EE211" s="111"/>
      <c r="EF211" s="111"/>
      <c r="EG211" s="111"/>
      <c r="EH211" s="111"/>
      <c r="EI211" s="111"/>
      <c r="EJ211" s="111"/>
      <c r="EK211" s="111"/>
      <c r="EL211" s="111"/>
      <c r="EM211" s="111"/>
      <c r="EN211" s="111"/>
      <c r="EO211" s="111"/>
      <c r="EP211" s="111"/>
      <c r="EQ211" s="111"/>
      <c r="ER211" s="111"/>
      <c r="ES211" s="111"/>
      <c r="ET211" s="111"/>
      <c r="EU211" s="111"/>
      <c r="EV211" s="111"/>
      <c r="EW211" s="111"/>
      <c r="EX211" s="111"/>
      <c r="EY211" s="111"/>
      <c r="EZ211" s="111"/>
      <c r="FA211" s="111"/>
      <c r="FB211" s="111"/>
      <c r="FC211" s="111"/>
      <c r="FD211" s="111"/>
      <c r="FE211" s="111"/>
      <c r="FF211" s="111"/>
    </row>
    <row x14ac:dyDescent="0.25" r="212" customHeight="1" ht="18.75" customFormat="1" s="18">
      <c r="A212" s="2"/>
      <c r="B212" s="2"/>
      <c r="C212" s="2"/>
      <c r="D212" s="2"/>
      <c r="E212" s="2"/>
      <c r="F212" s="2"/>
      <c r="G212" s="2"/>
      <c r="H212" s="2"/>
      <c r="I212" s="2"/>
      <c r="J212" s="2"/>
      <c r="K212" s="20"/>
      <c r="L212" s="2"/>
      <c r="M212" s="2"/>
      <c r="N212" s="2"/>
      <c r="O212" s="2"/>
      <c r="P212" s="2"/>
      <c r="Q212" s="2"/>
      <c r="R212" s="2"/>
      <c r="S212" s="2"/>
      <c r="T212" s="124"/>
      <c r="U212" s="124"/>
      <c r="V212" s="124"/>
      <c r="W212" s="124"/>
      <c r="X212" s="124"/>
      <c r="Y212" s="124"/>
      <c r="Z212" s="124"/>
      <c r="AA212" s="124"/>
      <c r="AB212" s="124"/>
      <c r="AC212" s="124"/>
      <c r="AD212" s="124"/>
      <c r="AE212" s="124"/>
      <c r="AF212" s="124"/>
      <c r="AG212" s="124"/>
      <c r="AH212" s="124"/>
      <c r="AI212" s="124"/>
      <c r="AJ212" s="124"/>
      <c r="AK212" s="124"/>
      <c r="AL212" s="124"/>
      <c r="AM212" s="124"/>
      <c r="AN212" s="124"/>
      <c r="AO212" s="124"/>
      <c r="AP212" s="124"/>
      <c r="AQ212" s="124"/>
      <c r="AR212" s="20"/>
      <c r="AS212" s="2"/>
      <c r="AT212" s="20"/>
      <c r="AU212" s="20"/>
      <c r="AV212" s="2"/>
      <c r="AW212" s="2"/>
      <c r="AX212" s="2"/>
      <c r="AY212" s="2"/>
      <c r="AZ212" s="2"/>
      <c r="BA212" s="2"/>
      <c r="BB212" s="2"/>
      <c r="BC212" s="2"/>
      <c r="BD212" s="2"/>
      <c r="BE212" s="2"/>
      <c r="BF212" s="2"/>
      <c r="BG212" s="2"/>
      <c r="BH212" s="2"/>
      <c r="BI212" s="2"/>
      <c r="BJ212" s="2"/>
      <c r="BK212" s="2"/>
      <c r="BL212" s="2"/>
      <c r="BM212" s="2"/>
      <c r="BN212" s="2"/>
      <c r="BO212" s="2"/>
      <c r="BP212" s="20"/>
      <c r="BQ212" s="20"/>
      <c r="BR212" s="125"/>
      <c r="BS212" s="20"/>
      <c r="BT212" s="20"/>
      <c r="BU212" s="125"/>
      <c r="BV212" s="125"/>
      <c r="BW212" s="2"/>
      <c r="BX212" s="2"/>
      <c r="BY212" s="2"/>
      <c r="BZ212" s="2"/>
      <c r="CA212" s="2"/>
      <c r="CB212" s="2"/>
      <c r="CC212" s="2"/>
      <c r="CD212" s="2"/>
      <c r="CE212" s="2"/>
      <c r="CF212" s="2"/>
      <c r="CG212" s="2"/>
      <c r="CH212" s="2"/>
      <c r="CI212" s="2"/>
      <c r="CJ212" s="2"/>
      <c r="CK212" s="2"/>
      <c r="CL212" s="2"/>
      <c r="CM212" s="2"/>
      <c r="CN212" s="2"/>
      <c r="CO212" s="2"/>
      <c r="CP212" s="2"/>
      <c r="CQ212" s="2"/>
      <c r="CR212" s="2"/>
      <c r="CS212" s="111"/>
      <c r="CT212" s="111"/>
      <c r="CU212" s="111"/>
      <c r="CV212" s="111"/>
      <c r="CW212" s="111"/>
      <c r="CX212" s="111"/>
      <c r="CY212" s="111"/>
      <c r="CZ212" s="111"/>
      <c r="DA212" s="111"/>
      <c r="DB212" s="111"/>
      <c r="DC212" s="111"/>
      <c r="DD212" s="111"/>
      <c r="DE212" s="111"/>
      <c r="DF212" s="111"/>
      <c r="DG212" s="111"/>
      <c r="DH212" s="111"/>
      <c r="DI212" s="111"/>
      <c r="DJ212" s="111"/>
      <c r="DK212" s="111"/>
      <c r="DL212" s="111"/>
      <c r="DM212" s="111"/>
      <c r="DN212" s="111"/>
      <c r="DO212" s="111"/>
      <c r="DP212" s="111"/>
      <c r="DQ212" s="111"/>
      <c r="DR212" s="111"/>
      <c r="DS212" s="111"/>
      <c r="DT212" s="111"/>
      <c r="DU212" s="111"/>
      <c r="DV212" s="111"/>
      <c r="DW212" s="111"/>
      <c r="DX212" s="111"/>
      <c r="DY212" s="111"/>
      <c r="DZ212" s="111"/>
      <c r="EA212" s="111"/>
      <c r="EB212" s="111"/>
      <c r="EC212" s="111"/>
      <c r="ED212" s="111"/>
      <c r="EE212" s="111"/>
      <c r="EF212" s="111"/>
      <c r="EG212" s="111"/>
      <c r="EH212" s="111"/>
      <c r="EI212" s="111"/>
      <c r="EJ212" s="111"/>
      <c r="EK212" s="111"/>
      <c r="EL212" s="111"/>
      <c r="EM212" s="111"/>
      <c r="EN212" s="111"/>
      <c r="EO212" s="111"/>
      <c r="EP212" s="111"/>
      <c r="EQ212" s="111"/>
      <c r="ER212" s="111"/>
      <c r="ES212" s="111"/>
      <c r="ET212" s="111"/>
      <c r="EU212" s="111"/>
      <c r="EV212" s="111"/>
      <c r="EW212" s="111"/>
      <c r="EX212" s="111"/>
      <c r="EY212" s="111"/>
      <c r="EZ212" s="111"/>
      <c r="FA212" s="111"/>
      <c r="FB212" s="111"/>
      <c r="FC212" s="111"/>
      <c r="FD212" s="111"/>
      <c r="FE212" s="111"/>
      <c r="FF212" s="111"/>
    </row>
    <row x14ac:dyDescent="0.25" r="213" customHeight="1" ht="18.75" customFormat="1" s="18">
      <c r="A213" s="2"/>
      <c r="B213" s="2"/>
      <c r="C213" s="2"/>
      <c r="D213" s="2"/>
      <c r="E213" s="2"/>
      <c r="F213" s="2"/>
      <c r="G213" s="2"/>
      <c r="H213" s="2"/>
      <c r="I213" s="2"/>
      <c r="J213" s="2"/>
      <c r="K213" s="20"/>
      <c r="L213" s="2"/>
      <c r="M213" s="2"/>
      <c r="N213" s="2"/>
      <c r="O213" s="2"/>
      <c r="P213" s="2"/>
      <c r="Q213" s="2"/>
      <c r="R213" s="2"/>
      <c r="S213" s="2"/>
      <c r="T213" s="124"/>
      <c r="U213" s="124"/>
      <c r="V213" s="124"/>
      <c r="W213" s="124"/>
      <c r="X213" s="124"/>
      <c r="Y213" s="124"/>
      <c r="Z213" s="124"/>
      <c r="AA213" s="124"/>
      <c r="AB213" s="124"/>
      <c r="AC213" s="124"/>
      <c r="AD213" s="124"/>
      <c r="AE213" s="124"/>
      <c r="AF213" s="124"/>
      <c r="AG213" s="124"/>
      <c r="AH213" s="124"/>
      <c r="AI213" s="124"/>
      <c r="AJ213" s="124"/>
      <c r="AK213" s="124"/>
      <c r="AL213" s="124"/>
      <c r="AM213" s="124"/>
      <c r="AN213" s="124"/>
      <c r="AO213" s="124"/>
      <c r="AP213" s="124"/>
      <c r="AQ213" s="124"/>
      <c r="AR213" s="20"/>
      <c r="AS213" s="2"/>
      <c r="AT213" s="20"/>
      <c r="AU213" s="20"/>
      <c r="AV213" s="2"/>
      <c r="AW213" s="2"/>
      <c r="AX213" s="2"/>
      <c r="AY213" s="2"/>
      <c r="AZ213" s="2"/>
      <c r="BA213" s="2"/>
      <c r="BB213" s="2"/>
      <c r="BC213" s="2"/>
      <c r="BD213" s="2"/>
      <c r="BE213" s="2"/>
      <c r="BF213" s="2"/>
      <c r="BG213" s="2"/>
      <c r="BH213" s="2"/>
      <c r="BI213" s="2"/>
      <c r="BJ213" s="2"/>
      <c r="BK213" s="2"/>
      <c r="BL213" s="2"/>
      <c r="BM213" s="2"/>
      <c r="BN213" s="2"/>
      <c r="BO213" s="2"/>
      <c r="BP213" s="20"/>
      <c r="BQ213" s="20"/>
      <c r="BR213" s="125"/>
      <c r="BS213" s="20"/>
      <c r="BT213" s="20"/>
      <c r="BU213" s="125"/>
      <c r="BV213" s="125"/>
      <c r="BW213" s="2"/>
      <c r="BX213" s="2"/>
      <c r="BY213" s="2"/>
      <c r="BZ213" s="2"/>
      <c r="CA213" s="2"/>
      <c r="CB213" s="2"/>
      <c r="CC213" s="2"/>
      <c r="CD213" s="2"/>
      <c r="CE213" s="2"/>
      <c r="CF213" s="2"/>
      <c r="CG213" s="2"/>
      <c r="CH213" s="2"/>
      <c r="CI213" s="2"/>
      <c r="CJ213" s="2"/>
      <c r="CK213" s="2"/>
      <c r="CL213" s="2"/>
      <c r="CM213" s="2"/>
      <c r="CN213" s="2"/>
      <c r="CO213" s="2"/>
      <c r="CP213" s="2"/>
      <c r="CQ213" s="2"/>
      <c r="CR213" s="2"/>
      <c r="CS213" s="111"/>
      <c r="CT213" s="111"/>
      <c r="CU213" s="111"/>
      <c r="CV213" s="111"/>
      <c r="CW213" s="111"/>
      <c r="CX213" s="111"/>
      <c r="CY213" s="111"/>
      <c r="CZ213" s="111"/>
      <c r="DA213" s="111"/>
      <c r="DB213" s="111"/>
      <c r="DC213" s="111"/>
      <c r="DD213" s="111"/>
      <c r="DE213" s="111"/>
      <c r="DF213" s="111"/>
      <c r="DG213" s="111"/>
      <c r="DH213" s="111"/>
      <c r="DI213" s="111"/>
      <c r="DJ213" s="111"/>
      <c r="DK213" s="111"/>
      <c r="DL213" s="111"/>
      <c r="DM213" s="111"/>
      <c r="DN213" s="111"/>
      <c r="DO213" s="111"/>
      <c r="DP213" s="111"/>
      <c r="DQ213" s="111"/>
      <c r="DR213" s="111"/>
      <c r="DS213" s="111"/>
      <c r="DT213" s="111"/>
      <c r="DU213" s="111"/>
      <c r="DV213" s="111"/>
      <c r="DW213" s="111"/>
      <c r="DX213" s="111"/>
      <c r="DY213" s="111"/>
      <c r="DZ213" s="111"/>
      <c r="EA213" s="111"/>
      <c r="EB213" s="111"/>
      <c r="EC213" s="111"/>
      <c r="ED213" s="111"/>
      <c r="EE213" s="111"/>
      <c r="EF213" s="111"/>
      <c r="EG213" s="111"/>
      <c r="EH213" s="111"/>
      <c r="EI213" s="111"/>
      <c r="EJ213" s="111"/>
      <c r="EK213" s="111"/>
      <c r="EL213" s="111"/>
      <c r="EM213" s="111"/>
      <c r="EN213" s="111"/>
      <c r="EO213" s="111"/>
      <c r="EP213" s="111"/>
      <c r="EQ213" s="111"/>
      <c r="ER213" s="111"/>
      <c r="ES213" s="111"/>
      <c r="ET213" s="111"/>
      <c r="EU213" s="111"/>
      <c r="EV213" s="111"/>
      <c r="EW213" s="111"/>
      <c r="EX213" s="111"/>
      <c r="EY213" s="111"/>
      <c r="EZ213" s="111"/>
      <c r="FA213" s="111"/>
      <c r="FB213" s="111"/>
      <c r="FC213" s="111"/>
      <c r="FD213" s="111"/>
      <c r="FE213" s="111"/>
      <c r="FF213" s="111"/>
    </row>
    <row x14ac:dyDescent="0.25" r="214" customHeight="1" ht="18.75" customFormat="1" s="18">
      <c r="A214" s="2"/>
      <c r="B214" s="2"/>
      <c r="C214" s="2"/>
      <c r="D214" s="2"/>
      <c r="E214" s="2"/>
      <c r="F214" s="2"/>
      <c r="G214" s="2"/>
      <c r="H214" s="2"/>
      <c r="I214" s="2"/>
      <c r="J214" s="2"/>
      <c r="K214" s="20"/>
      <c r="L214" s="2"/>
      <c r="M214" s="2"/>
      <c r="N214" s="2"/>
      <c r="O214" s="2"/>
      <c r="P214" s="2"/>
      <c r="Q214" s="2"/>
      <c r="R214" s="2"/>
      <c r="S214" s="2"/>
      <c r="T214" s="124"/>
      <c r="U214" s="124"/>
      <c r="V214" s="124"/>
      <c r="W214" s="124"/>
      <c r="X214" s="124"/>
      <c r="Y214" s="124"/>
      <c r="Z214" s="124"/>
      <c r="AA214" s="124"/>
      <c r="AB214" s="124"/>
      <c r="AC214" s="124"/>
      <c r="AD214" s="124"/>
      <c r="AE214" s="124"/>
      <c r="AF214" s="124"/>
      <c r="AG214" s="124"/>
      <c r="AH214" s="124"/>
      <c r="AI214" s="124"/>
      <c r="AJ214" s="124"/>
      <c r="AK214" s="124"/>
      <c r="AL214" s="124"/>
      <c r="AM214" s="124"/>
      <c r="AN214" s="124"/>
      <c r="AO214" s="124"/>
      <c r="AP214" s="124"/>
      <c r="AQ214" s="124"/>
      <c r="AR214" s="20"/>
      <c r="AS214" s="2"/>
      <c r="AT214" s="20"/>
      <c r="AU214" s="20"/>
      <c r="AV214" s="2"/>
      <c r="AW214" s="2"/>
      <c r="AX214" s="2"/>
      <c r="AY214" s="2"/>
      <c r="AZ214" s="2"/>
      <c r="BA214" s="2"/>
      <c r="BB214" s="2"/>
      <c r="BC214" s="2"/>
      <c r="BD214" s="2"/>
      <c r="BE214" s="2"/>
      <c r="BF214" s="2"/>
      <c r="BG214" s="2"/>
      <c r="BH214" s="2"/>
      <c r="BI214" s="2"/>
      <c r="BJ214" s="2"/>
      <c r="BK214" s="2"/>
      <c r="BL214" s="2"/>
      <c r="BM214" s="2"/>
      <c r="BN214" s="2"/>
      <c r="BO214" s="2"/>
      <c r="BP214" s="20"/>
      <c r="BQ214" s="20"/>
      <c r="BR214" s="125"/>
      <c r="BS214" s="20"/>
      <c r="BT214" s="20"/>
      <c r="BU214" s="125"/>
      <c r="BV214" s="125"/>
      <c r="BW214" s="2"/>
      <c r="BX214" s="2"/>
      <c r="BY214" s="2"/>
      <c r="BZ214" s="2"/>
      <c r="CA214" s="2"/>
      <c r="CB214" s="2"/>
      <c r="CC214" s="2"/>
      <c r="CD214" s="2"/>
      <c r="CE214" s="2"/>
      <c r="CF214" s="2"/>
      <c r="CG214" s="2"/>
      <c r="CH214" s="2"/>
      <c r="CI214" s="2"/>
      <c r="CJ214" s="2"/>
      <c r="CK214" s="2"/>
      <c r="CL214" s="2"/>
      <c r="CM214" s="2"/>
      <c r="CN214" s="2"/>
      <c r="CO214" s="2"/>
      <c r="CP214" s="2"/>
      <c r="CQ214" s="2"/>
      <c r="CR214" s="2"/>
      <c r="CS214" s="111"/>
      <c r="CT214" s="111"/>
      <c r="CU214" s="111"/>
      <c r="CV214" s="111"/>
      <c r="CW214" s="111"/>
      <c r="CX214" s="111"/>
      <c r="CY214" s="111"/>
      <c r="CZ214" s="111"/>
      <c r="DA214" s="111"/>
      <c r="DB214" s="111"/>
      <c r="DC214" s="111"/>
      <c r="DD214" s="111"/>
      <c r="DE214" s="111"/>
      <c r="DF214" s="111"/>
      <c r="DG214" s="111"/>
      <c r="DH214" s="111"/>
      <c r="DI214" s="111"/>
      <c r="DJ214" s="111"/>
      <c r="DK214" s="111"/>
      <c r="DL214" s="111"/>
      <c r="DM214" s="111"/>
      <c r="DN214" s="111"/>
      <c r="DO214" s="111"/>
      <c r="DP214" s="111"/>
      <c r="DQ214" s="111"/>
      <c r="DR214" s="111"/>
      <c r="DS214" s="111"/>
      <c r="DT214" s="111"/>
      <c r="DU214" s="111"/>
      <c r="DV214" s="111"/>
      <c r="DW214" s="111"/>
      <c r="DX214" s="111"/>
      <c r="DY214" s="111"/>
      <c r="DZ214" s="111"/>
      <c r="EA214" s="111"/>
      <c r="EB214" s="111"/>
      <c r="EC214" s="111"/>
      <c r="ED214" s="111"/>
      <c r="EE214" s="111"/>
      <c r="EF214" s="111"/>
      <c r="EG214" s="111"/>
      <c r="EH214" s="111"/>
      <c r="EI214" s="111"/>
      <c r="EJ214" s="111"/>
      <c r="EK214" s="111"/>
      <c r="EL214" s="111"/>
      <c r="EM214" s="111"/>
      <c r="EN214" s="111"/>
      <c r="EO214" s="111"/>
      <c r="EP214" s="111"/>
      <c r="EQ214" s="111"/>
      <c r="ER214" s="111"/>
      <c r="ES214" s="111"/>
      <c r="ET214" s="111"/>
      <c r="EU214" s="111"/>
      <c r="EV214" s="111"/>
      <c r="EW214" s="111"/>
      <c r="EX214" s="111"/>
      <c r="EY214" s="111"/>
      <c r="EZ214" s="111"/>
      <c r="FA214" s="111"/>
      <c r="FB214" s="111"/>
      <c r="FC214" s="111"/>
      <c r="FD214" s="111"/>
      <c r="FE214" s="111"/>
      <c r="FF214" s="111"/>
    </row>
    <row x14ac:dyDescent="0.25" r="215" customHeight="1" ht="18.75" customFormat="1" s="18">
      <c r="A215" s="2"/>
      <c r="B215" s="2"/>
      <c r="C215" s="2"/>
      <c r="D215" s="2"/>
      <c r="E215" s="2"/>
      <c r="F215" s="2"/>
      <c r="G215" s="2"/>
      <c r="H215" s="2"/>
      <c r="I215" s="2"/>
      <c r="J215" s="2"/>
      <c r="K215" s="20"/>
      <c r="L215" s="2"/>
      <c r="M215" s="2"/>
      <c r="N215" s="2"/>
      <c r="O215" s="2"/>
      <c r="P215" s="2"/>
      <c r="Q215" s="2"/>
      <c r="R215" s="2"/>
      <c r="S215" s="2"/>
      <c r="T215" s="124"/>
      <c r="U215" s="124"/>
      <c r="V215" s="124"/>
      <c r="W215" s="124"/>
      <c r="X215" s="124"/>
      <c r="Y215" s="124"/>
      <c r="Z215" s="124"/>
      <c r="AA215" s="124"/>
      <c r="AB215" s="124"/>
      <c r="AC215" s="124"/>
      <c r="AD215" s="124"/>
      <c r="AE215" s="124"/>
      <c r="AF215" s="124"/>
      <c r="AG215" s="124"/>
      <c r="AH215" s="124"/>
      <c r="AI215" s="124"/>
      <c r="AJ215" s="124"/>
      <c r="AK215" s="124"/>
      <c r="AL215" s="124"/>
      <c r="AM215" s="124"/>
      <c r="AN215" s="124"/>
      <c r="AO215" s="124"/>
      <c r="AP215" s="124"/>
      <c r="AQ215" s="124"/>
      <c r="AR215" s="20"/>
      <c r="AS215" s="2"/>
      <c r="AT215" s="20"/>
      <c r="AU215" s="20"/>
      <c r="AV215" s="2"/>
      <c r="AW215" s="2"/>
      <c r="AX215" s="2"/>
      <c r="AY215" s="2"/>
      <c r="AZ215" s="2"/>
      <c r="BA215" s="2"/>
      <c r="BB215" s="2"/>
      <c r="BC215" s="2"/>
      <c r="BD215" s="2"/>
      <c r="BE215" s="2"/>
      <c r="BF215" s="2"/>
      <c r="BG215" s="2"/>
      <c r="BH215" s="2"/>
      <c r="BI215" s="2"/>
      <c r="BJ215" s="2"/>
      <c r="BK215" s="2"/>
      <c r="BL215" s="2"/>
      <c r="BM215" s="2"/>
      <c r="BN215" s="2"/>
      <c r="BO215" s="2"/>
      <c r="BP215" s="20"/>
      <c r="BQ215" s="20"/>
      <c r="BR215" s="125"/>
      <c r="BS215" s="20"/>
      <c r="BT215" s="20"/>
      <c r="BU215" s="125"/>
      <c r="BV215" s="125"/>
      <c r="BW215" s="2"/>
      <c r="BX215" s="2"/>
      <c r="BY215" s="2"/>
      <c r="BZ215" s="2"/>
      <c r="CA215" s="2"/>
      <c r="CB215" s="2"/>
      <c r="CC215" s="2"/>
      <c r="CD215" s="2"/>
      <c r="CE215" s="2"/>
      <c r="CF215" s="2"/>
      <c r="CG215" s="2"/>
      <c r="CH215" s="2"/>
      <c r="CI215" s="2"/>
      <c r="CJ215" s="2"/>
      <c r="CK215" s="2"/>
      <c r="CL215" s="2"/>
      <c r="CM215" s="2"/>
      <c r="CN215" s="2"/>
      <c r="CO215" s="2"/>
      <c r="CP215" s="2"/>
      <c r="CQ215" s="2"/>
      <c r="CR215" s="2"/>
      <c r="CS215" s="111"/>
      <c r="CT215" s="111"/>
      <c r="CU215" s="111"/>
      <c r="CV215" s="111"/>
      <c r="CW215" s="111"/>
      <c r="CX215" s="111"/>
      <c r="CY215" s="111"/>
      <c r="CZ215" s="111"/>
      <c r="DA215" s="111"/>
      <c r="DB215" s="111"/>
      <c r="DC215" s="111"/>
      <c r="DD215" s="111"/>
      <c r="DE215" s="111"/>
      <c r="DF215" s="111"/>
      <c r="DG215" s="111"/>
      <c r="DH215" s="111"/>
      <c r="DI215" s="111"/>
      <c r="DJ215" s="111"/>
      <c r="DK215" s="111"/>
      <c r="DL215" s="111"/>
      <c r="DM215" s="111"/>
      <c r="DN215" s="111"/>
      <c r="DO215" s="111"/>
      <c r="DP215" s="111"/>
      <c r="DQ215" s="111"/>
      <c r="DR215" s="111"/>
      <c r="DS215" s="111"/>
      <c r="DT215" s="111"/>
      <c r="DU215" s="111"/>
      <c r="DV215" s="111"/>
      <c r="DW215" s="111"/>
      <c r="DX215" s="111"/>
      <c r="DY215" s="111"/>
      <c r="DZ215" s="111"/>
      <c r="EA215" s="111"/>
      <c r="EB215" s="111"/>
      <c r="EC215" s="111"/>
      <c r="ED215" s="111"/>
      <c r="EE215" s="111"/>
      <c r="EF215" s="111"/>
      <c r="EG215" s="111"/>
      <c r="EH215" s="111"/>
      <c r="EI215" s="111"/>
      <c r="EJ215" s="111"/>
      <c r="EK215" s="111"/>
      <c r="EL215" s="111"/>
      <c r="EM215" s="111"/>
      <c r="EN215" s="111"/>
      <c r="EO215" s="111"/>
      <c r="EP215" s="111"/>
      <c r="EQ215" s="111"/>
      <c r="ER215" s="111"/>
      <c r="ES215" s="111"/>
      <c r="ET215" s="111"/>
      <c r="EU215" s="111"/>
      <c r="EV215" s="111"/>
      <c r="EW215" s="111"/>
      <c r="EX215" s="111"/>
      <c r="EY215" s="111"/>
      <c r="EZ215" s="111"/>
      <c r="FA215" s="111"/>
      <c r="FB215" s="111"/>
      <c r="FC215" s="111"/>
      <c r="FD215" s="111"/>
      <c r="FE215" s="111"/>
      <c r="FF215" s="111"/>
    </row>
    <row x14ac:dyDescent="0.25" r="216" customHeight="1" ht="18.75" customFormat="1" s="18">
      <c r="A216" s="2"/>
      <c r="B216" s="2"/>
      <c r="C216" s="2"/>
      <c r="D216" s="2"/>
      <c r="E216" s="2"/>
      <c r="F216" s="2"/>
      <c r="G216" s="2"/>
      <c r="H216" s="2"/>
      <c r="I216" s="2"/>
      <c r="J216" s="2"/>
      <c r="K216" s="20"/>
      <c r="L216" s="2"/>
      <c r="M216" s="2"/>
      <c r="N216" s="2"/>
      <c r="O216" s="2"/>
      <c r="P216" s="2"/>
      <c r="Q216" s="2"/>
      <c r="R216" s="2"/>
      <c r="S216" s="2"/>
      <c r="T216" s="124"/>
      <c r="U216" s="124"/>
      <c r="V216" s="124"/>
      <c r="W216" s="124"/>
      <c r="X216" s="124"/>
      <c r="Y216" s="124"/>
      <c r="Z216" s="124"/>
      <c r="AA216" s="124"/>
      <c r="AB216" s="124"/>
      <c r="AC216" s="124"/>
      <c r="AD216" s="124"/>
      <c r="AE216" s="124"/>
      <c r="AF216" s="124"/>
      <c r="AG216" s="124"/>
      <c r="AH216" s="124"/>
      <c r="AI216" s="124"/>
      <c r="AJ216" s="124"/>
      <c r="AK216" s="124"/>
      <c r="AL216" s="124"/>
      <c r="AM216" s="124"/>
      <c r="AN216" s="124"/>
      <c r="AO216" s="124"/>
      <c r="AP216" s="124"/>
      <c r="AQ216" s="124"/>
      <c r="AR216" s="20"/>
      <c r="AS216" s="2"/>
      <c r="AT216" s="20"/>
      <c r="AU216" s="20"/>
      <c r="AV216" s="2"/>
      <c r="AW216" s="2"/>
      <c r="AX216" s="2"/>
      <c r="AY216" s="2"/>
      <c r="AZ216" s="2"/>
      <c r="BA216" s="2"/>
      <c r="BB216" s="2"/>
      <c r="BC216" s="2"/>
      <c r="BD216" s="2"/>
      <c r="BE216" s="2"/>
      <c r="BF216" s="2"/>
      <c r="BG216" s="2"/>
      <c r="BH216" s="2"/>
      <c r="BI216" s="2"/>
      <c r="BJ216" s="2"/>
      <c r="BK216" s="2"/>
      <c r="BL216" s="2"/>
      <c r="BM216" s="2"/>
      <c r="BN216" s="2"/>
      <c r="BO216" s="2"/>
      <c r="BP216" s="20"/>
      <c r="BQ216" s="20"/>
      <c r="BR216" s="125"/>
      <c r="BS216" s="20"/>
      <c r="BT216" s="20"/>
      <c r="BU216" s="125"/>
      <c r="BV216" s="125"/>
      <c r="BW216" s="2"/>
      <c r="BX216" s="2"/>
      <c r="BY216" s="2"/>
      <c r="BZ216" s="2"/>
      <c r="CA216" s="2"/>
      <c r="CB216" s="2"/>
      <c r="CC216" s="2"/>
      <c r="CD216" s="2"/>
      <c r="CE216" s="2"/>
      <c r="CF216" s="2"/>
      <c r="CG216" s="2"/>
      <c r="CH216" s="2"/>
      <c r="CI216" s="2"/>
      <c r="CJ216" s="2"/>
      <c r="CK216" s="2"/>
      <c r="CL216" s="2"/>
      <c r="CM216" s="2"/>
      <c r="CN216" s="2"/>
      <c r="CO216" s="2"/>
      <c r="CP216" s="2"/>
      <c r="CQ216" s="2"/>
      <c r="CR216" s="2"/>
      <c r="CS216" s="111"/>
      <c r="CT216" s="111"/>
      <c r="CU216" s="111"/>
      <c r="CV216" s="111"/>
      <c r="CW216" s="111"/>
      <c r="CX216" s="111"/>
      <c r="CY216" s="111"/>
      <c r="CZ216" s="111"/>
      <c r="DA216" s="111"/>
      <c r="DB216" s="111"/>
      <c r="DC216" s="111"/>
      <c r="DD216" s="111"/>
      <c r="DE216" s="111"/>
      <c r="DF216" s="111"/>
      <c r="DG216" s="111"/>
      <c r="DH216" s="111"/>
      <c r="DI216" s="111"/>
      <c r="DJ216" s="111"/>
      <c r="DK216" s="111"/>
      <c r="DL216" s="111"/>
      <c r="DM216" s="111"/>
      <c r="DN216" s="111"/>
      <c r="DO216" s="111"/>
      <c r="DP216" s="111"/>
      <c r="DQ216" s="111"/>
      <c r="DR216" s="111"/>
      <c r="DS216" s="111"/>
      <c r="DT216" s="111"/>
      <c r="DU216" s="111"/>
      <c r="DV216" s="111"/>
      <c r="DW216" s="111"/>
      <c r="DX216" s="111"/>
      <c r="DY216" s="111"/>
      <c r="DZ216" s="111"/>
      <c r="EA216" s="111"/>
      <c r="EB216" s="111"/>
      <c r="EC216" s="111"/>
      <c r="ED216" s="111"/>
      <c r="EE216" s="111"/>
      <c r="EF216" s="111"/>
      <c r="EG216" s="111"/>
      <c r="EH216" s="111"/>
      <c r="EI216" s="111"/>
      <c r="EJ216" s="111"/>
      <c r="EK216" s="111"/>
      <c r="EL216" s="111"/>
      <c r="EM216" s="111"/>
      <c r="EN216" s="111"/>
      <c r="EO216" s="111"/>
      <c r="EP216" s="111"/>
      <c r="EQ216" s="111"/>
      <c r="ER216" s="111"/>
      <c r="ES216" s="111"/>
      <c r="ET216" s="111"/>
      <c r="EU216" s="111"/>
      <c r="EV216" s="111"/>
      <c r="EW216" s="111"/>
      <c r="EX216" s="111"/>
      <c r="EY216" s="111"/>
      <c r="EZ216" s="111"/>
      <c r="FA216" s="111"/>
      <c r="FB216" s="111"/>
      <c r="FC216" s="111"/>
      <c r="FD216" s="111"/>
      <c r="FE216" s="111"/>
      <c r="FF216" s="111"/>
    </row>
    <row x14ac:dyDescent="0.25" r="217" customHeight="1" ht="18.75" customFormat="1" s="18">
      <c r="A217" s="2"/>
      <c r="B217" s="2"/>
      <c r="C217" s="2"/>
      <c r="D217" s="2"/>
      <c r="E217" s="2"/>
      <c r="F217" s="2"/>
      <c r="G217" s="2"/>
      <c r="H217" s="2"/>
      <c r="I217" s="2"/>
      <c r="J217" s="2"/>
      <c r="K217" s="20"/>
      <c r="L217" s="2"/>
      <c r="M217" s="2"/>
      <c r="N217" s="2"/>
      <c r="O217" s="2"/>
      <c r="P217" s="2"/>
      <c r="Q217" s="2"/>
      <c r="R217" s="2"/>
      <c r="S217" s="2"/>
      <c r="T217" s="124"/>
      <c r="U217" s="124"/>
      <c r="V217" s="124"/>
      <c r="W217" s="124"/>
      <c r="X217" s="124"/>
      <c r="Y217" s="124"/>
      <c r="Z217" s="124"/>
      <c r="AA217" s="124"/>
      <c r="AB217" s="124"/>
      <c r="AC217" s="124"/>
      <c r="AD217" s="124"/>
      <c r="AE217" s="124"/>
      <c r="AF217" s="124"/>
      <c r="AG217" s="124"/>
      <c r="AH217" s="124"/>
      <c r="AI217" s="124"/>
      <c r="AJ217" s="124"/>
      <c r="AK217" s="124"/>
      <c r="AL217" s="124"/>
      <c r="AM217" s="124"/>
      <c r="AN217" s="124"/>
      <c r="AO217" s="124"/>
      <c r="AP217" s="124"/>
      <c r="AQ217" s="124"/>
      <c r="AR217" s="20"/>
      <c r="AS217" s="2"/>
      <c r="AT217" s="20"/>
      <c r="AU217" s="20"/>
      <c r="AV217" s="2"/>
      <c r="AW217" s="2"/>
      <c r="AX217" s="2"/>
      <c r="AY217" s="2"/>
      <c r="AZ217" s="2"/>
      <c r="BA217" s="2"/>
      <c r="BB217" s="2"/>
      <c r="BC217" s="2"/>
      <c r="BD217" s="2"/>
      <c r="BE217" s="2"/>
      <c r="BF217" s="2"/>
      <c r="BG217" s="2"/>
      <c r="BH217" s="2"/>
      <c r="BI217" s="2"/>
      <c r="BJ217" s="2"/>
      <c r="BK217" s="2"/>
      <c r="BL217" s="2"/>
      <c r="BM217" s="2"/>
      <c r="BN217" s="2"/>
      <c r="BO217" s="2"/>
      <c r="BP217" s="20"/>
      <c r="BQ217" s="20"/>
      <c r="BR217" s="125"/>
      <c r="BS217" s="20"/>
      <c r="BT217" s="20"/>
      <c r="BU217" s="125"/>
      <c r="BV217" s="125"/>
      <c r="BW217" s="2"/>
      <c r="BX217" s="2"/>
      <c r="BY217" s="2"/>
      <c r="BZ217" s="2"/>
      <c r="CA217" s="2"/>
      <c r="CB217" s="2"/>
      <c r="CC217" s="2"/>
      <c r="CD217" s="2"/>
      <c r="CE217" s="2"/>
      <c r="CF217" s="2"/>
      <c r="CG217" s="2"/>
      <c r="CH217" s="2"/>
      <c r="CI217" s="2"/>
      <c r="CJ217" s="2"/>
      <c r="CK217" s="2"/>
      <c r="CL217" s="2"/>
      <c r="CM217" s="2"/>
      <c r="CN217" s="2"/>
      <c r="CO217" s="2"/>
      <c r="CP217" s="2"/>
      <c r="CQ217" s="2"/>
      <c r="CR217" s="2"/>
      <c r="CS217" s="111"/>
      <c r="CT217" s="111"/>
      <c r="CU217" s="111"/>
      <c r="CV217" s="111"/>
      <c r="CW217" s="111"/>
      <c r="CX217" s="111"/>
      <c r="CY217" s="111"/>
      <c r="CZ217" s="111"/>
      <c r="DA217" s="111"/>
      <c r="DB217" s="111"/>
      <c r="DC217" s="111"/>
      <c r="DD217" s="111"/>
      <c r="DE217" s="111"/>
      <c r="DF217" s="111"/>
      <c r="DG217" s="111"/>
      <c r="DH217" s="111"/>
      <c r="DI217" s="111"/>
      <c r="DJ217" s="111"/>
      <c r="DK217" s="111"/>
      <c r="DL217" s="111"/>
      <c r="DM217" s="111"/>
      <c r="DN217" s="111"/>
      <c r="DO217" s="111"/>
      <c r="DP217" s="111"/>
      <c r="DQ217" s="111"/>
      <c r="DR217" s="111"/>
      <c r="DS217" s="111"/>
      <c r="DT217" s="111"/>
      <c r="DU217" s="111"/>
      <c r="DV217" s="111"/>
      <c r="DW217" s="111"/>
      <c r="DX217" s="111"/>
      <c r="DY217" s="111"/>
      <c r="DZ217" s="111"/>
      <c r="EA217" s="111"/>
      <c r="EB217" s="111"/>
      <c r="EC217" s="111"/>
      <c r="ED217" s="111"/>
      <c r="EE217" s="111"/>
      <c r="EF217" s="111"/>
      <c r="EG217" s="111"/>
      <c r="EH217" s="111"/>
      <c r="EI217" s="111"/>
      <c r="EJ217" s="111"/>
      <c r="EK217" s="111"/>
      <c r="EL217" s="111"/>
      <c r="EM217" s="111"/>
      <c r="EN217" s="111"/>
      <c r="EO217" s="111"/>
      <c r="EP217" s="111"/>
      <c r="EQ217" s="111"/>
      <c r="ER217" s="111"/>
      <c r="ES217" s="111"/>
      <c r="ET217" s="111"/>
      <c r="EU217" s="111"/>
      <c r="EV217" s="111"/>
      <c r="EW217" s="111"/>
      <c r="EX217" s="111"/>
      <c r="EY217" s="111"/>
      <c r="EZ217" s="111"/>
      <c r="FA217" s="111"/>
      <c r="FB217" s="111"/>
      <c r="FC217" s="111"/>
      <c r="FD217" s="111"/>
      <c r="FE217" s="111"/>
      <c r="FF217" s="111"/>
    </row>
    <row x14ac:dyDescent="0.25" r="218" customHeight="1" ht="18.75" customFormat="1" s="18">
      <c r="A218" s="2"/>
      <c r="B218" s="2"/>
      <c r="C218" s="2"/>
      <c r="D218" s="2"/>
      <c r="E218" s="2"/>
      <c r="F218" s="2"/>
      <c r="G218" s="2"/>
      <c r="H218" s="2"/>
      <c r="I218" s="2"/>
      <c r="J218" s="2"/>
      <c r="K218" s="20"/>
      <c r="L218" s="2"/>
      <c r="M218" s="2"/>
      <c r="N218" s="2"/>
      <c r="O218" s="2"/>
      <c r="P218" s="2"/>
      <c r="Q218" s="2"/>
      <c r="R218" s="2"/>
      <c r="S218" s="2"/>
      <c r="T218" s="124"/>
      <c r="U218" s="124"/>
      <c r="V218" s="124"/>
      <c r="W218" s="124"/>
      <c r="X218" s="124"/>
      <c r="Y218" s="124"/>
      <c r="Z218" s="124"/>
      <c r="AA218" s="124"/>
      <c r="AB218" s="124"/>
      <c r="AC218" s="124"/>
      <c r="AD218" s="124"/>
      <c r="AE218" s="124"/>
      <c r="AF218" s="124"/>
      <c r="AG218" s="124"/>
      <c r="AH218" s="124"/>
      <c r="AI218" s="124"/>
      <c r="AJ218" s="124"/>
      <c r="AK218" s="124"/>
      <c r="AL218" s="124"/>
      <c r="AM218" s="124"/>
      <c r="AN218" s="124"/>
      <c r="AO218" s="124"/>
      <c r="AP218" s="124"/>
      <c r="AQ218" s="124"/>
      <c r="AR218" s="20"/>
      <c r="AS218" s="2"/>
      <c r="AT218" s="20"/>
      <c r="AU218" s="20"/>
      <c r="AV218" s="2"/>
      <c r="AW218" s="2"/>
      <c r="AX218" s="2"/>
      <c r="AY218" s="2"/>
      <c r="AZ218" s="2"/>
      <c r="BA218" s="2"/>
      <c r="BB218" s="2"/>
      <c r="BC218" s="2"/>
      <c r="BD218" s="2"/>
      <c r="BE218" s="2"/>
      <c r="BF218" s="2"/>
      <c r="BG218" s="2"/>
      <c r="BH218" s="2"/>
      <c r="BI218" s="2"/>
      <c r="BJ218" s="2"/>
      <c r="BK218" s="2"/>
      <c r="BL218" s="2"/>
      <c r="BM218" s="2"/>
      <c r="BN218" s="2"/>
      <c r="BO218" s="2"/>
      <c r="BP218" s="20"/>
      <c r="BQ218" s="20"/>
      <c r="BR218" s="125"/>
      <c r="BS218" s="20"/>
      <c r="BT218" s="20"/>
      <c r="BU218" s="125"/>
      <c r="BV218" s="125"/>
      <c r="BW218" s="2"/>
      <c r="BX218" s="2"/>
      <c r="BY218" s="2"/>
      <c r="BZ218" s="2"/>
      <c r="CA218" s="2"/>
      <c r="CB218" s="2"/>
      <c r="CC218" s="2"/>
      <c r="CD218" s="2"/>
      <c r="CE218" s="2"/>
      <c r="CF218" s="2"/>
      <c r="CG218" s="2"/>
      <c r="CH218" s="2"/>
      <c r="CI218" s="2"/>
      <c r="CJ218" s="2"/>
      <c r="CK218" s="2"/>
      <c r="CL218" s="2"/>
      <c r="CM218" s="2"/>
      <c r="CN218" s="2"/>
      <c r="CO218" s="2"/>
      <c r="CP218" s="2"/>
      <c r="CQ218" s="2"/>
      <c r="CR218" s="2"/>
      <c r="CS218" s="111"/>
      <c r="CT218" s="111"/>
      <c r="CU218" s="111"/>
      <c r="CV218" s="111"/>
      <c r="CW218" s="111"/>
      <c r="CX218" s="111"/>
      <c r="CY218" s="111"/>
      <c r="CZ218" s="111"/>
      <c r="DA218" s="111"/>
      <c r="DB218" s="111"/>
      <c r="DC218" s="111"/>
      <c r="DD218" s="111"/>
      <c r="DE218" s="111"/>
      <c r="DF218" s="111"/>
      <c r="DG218" s="111"/>
      <c r="DH218" s="111"/>
      <c r="DI218" s="111"/>
      <c r="DJ218" s="111"/>
      <c r="DK218" s="111"/>
      <c r="DL218" s="111"/>
      <c r="DM218" s="111"/>
      <c r="DN218" s="111"/>
      <c r="DO218" s="111"/>
      <c r="DP218" s="111"/>
      <c r="DQ218" s="111"/>
      <c r="DR218" s="111"/>
      <c r="DS218" s="111"/>
      <c r="DT218" s="111"/>
      <c r="DU218" s="111"/>
      <c r="DV218" s="111"/>
      <c r="DW218" s="111"/>
      <c r="DX218" s="111"/>
      <c r="DY218" s="111"/>
      <c r="DZ218" s="111"/>
      <c r="EA218" s="111"/>
      <c r="EB218" s="111"/>
      <c r="EC218" s="111"/>
      <c r="ED218" s="111"/>
      <c r="EE218" s="111"/>
      <c r="EF218" s="111"/>
      <c r="EG218" s="111"/>
      <c r="EH218" s="111"/>
      <c r="EI218" s="111"/>
      <c r="EJ218" s="111"/>
      <c r="EK218" s="111"/>
      <c r="EL218" s="111"/>
      <c r="EM218" s="111"/>
      <c r="EN218" s="111"/>
      <c r="EO218" s="111"/>
      <c r="EP218" s="111"/>
      <c r="EQ218" s="111"/>
      <c r="ER218" s="111"/>
      <c r="ES218" s="111"/>
      <c r="ET218" s="111"/>
      <c r="EU218" s="111"/>
      <c r="EV218" s="111"/>
      <c r="EW218" s="111"/>
      <c r="EX218" s="111"/>
      <c r="EY218" s="111"/>
      <c r="EZ218" s="111"/>
      <c r="FA218" s="111"/>
      <c r="FB218" s="111"/>
      <c r="FC218" s="111"/>
      <c r="FD218" s="111"/>
      <c r="FE218" s="111"/>
      <c r="FF218" s="111"/>
    </row>
    <row x14ac:dyDescent="0.25" r="219" customHeight="1" ht="18.75" customFormat="1" s="18">
      <c r="A219" s="2"/>
      <c r="B219" s="2"/>
      <c r="C219" s="2"/>
      <c r="D219" s="2"/>
      <c r="E219" s="2"/>
      <c r="F219" s="2"/>
      <c r="G219" s="2"/>
      <c r="H219" s="2"/>
      <c r="I219" s="2"/>
      <c r="J219" s="2"/>
      <c r="K219" s="20"/>
      <c r="L219" s="2"/>
      <c r="M219" s="2"/>
      <c r="N219" s="2"/>
      <c r="O219" s="2"/>
      <c r="P219" s="2"/>
      <c r="Q219" s="2"/>
      <c r="R219" s="2"/>
      <c r="S219" s="2"/>
      <c r="T219" s="124"/>
      <c r="U219" s="124"/>
      <c r="V219" s="124"/>
      <c r="W219" s="124"/>
      <c r="X219" s="124"/>
      <c r="Y219" s="124"/>
      <c r="Z219" s="124"/>
      <c r="AA219" s="124"/>
      <c r="AB219" s="124"/>
      <c r="AC219" s="124"/>
      <c r="AD219" s="124"/>
      <c r="AE219" s="124"/>
      <c r="AF219" s="124"/>
      <c r="AG219" s="124"/>
      <c r="AH219" s="124"/>
      <c r="AI219" s="124"/>
      <c r="AJ219" s="124"/>
      <c r="AK219" s="124"/>
      <c r="AL219" s="124"/>
      <c r="AM219" s="124"/>
      <c r="AN219" s="124"/>
      <c r="AO219" s="124"/>
      <c r="AP219" s="124"/>
      <c r="AQ219" s="124"/>
      <c r="AR219" s="20"/>
      <c r="AS219" s="2"/>
      <c r="AT219" s="20"/>
      <c r="AU219" s="20"/>
      <c r="AV219" s="2"/>
      <c r="AW219" s="2"/>
      <c r="AX219" s="2"/>
      <c r="AY219" s="2"/>
      <c r="AZ219" s="2"/>
      <c r="BA219" s="2"/>
      <c r="BB219" s="2"/>
      <c r="BC219" s="2"/>
      <c r="BD219" s="2"/>
      <c r="BE219" s="2"/>
      <c r="BF219" s="2"/>
      <c r="BG219" s="2"/>
      <c r="BH219" s="2"/>
      <c r="BI219" s="2"/>
      <c r="BJ219" s="2"/>
      <c r="BK219" s="2"/>
      <c r="BL219" s="2"/>
      <c r="BM219" s="2"/>
      <c r="BN219" s="2"/>
      <c r="BO219" s="2"/>
      <c r="BP219" s="20"/>
      <c r="BQ219" s="20"/>
      <c r="BR219" s="125"/>
      <c r="BS219" s="20"/>
      <c r="BT219" s="20"/>
      <c r="BU219" s="125"/>
      <c r="BV219" s="125"/>
      <c r="BW219" s="2"/>
      <c r="BX219" s="2"/>
      <c r="BY219" s="2"/>
      <c r="BZ219" s="2"/>
      <c r="CA219" s="2"/>
      <c r="CB219" s="2"/>
      <c r="CC219" s="2"/>
      <c r="CD219" s="2"/>
      <c r="CE219" s="2"/>
      <c r="CF219" s="2"/>
      <c r="CG219" s="2"/>
      <c r="CH219" s="2"/>
      <c r="CI219" s="2"/>
      <c r="CJ219" s="2"/>
      <c r="CK219" s="2"/>
      <c r="CL219" s="2"/>
      <c r="CM219" s="2"/>
      <c r="CN219" s="2"/>
      <c r="CO219" s="2"/>
      <c r="CP219" s="2"/>
      <c r="CQ219" s="2"/>
      <c r="CR219" s="2"/>
      <c r="CS219" s="111"/>
      <c r="CT219" s="111"/>
      <c r="CU219" s="111"/>
      <c r="CV219" s="111"/>
      <c r="CW219" s="111"/>
      <c r="CX219" s="111"/>
      <c r="CY219" s="111"/>
      <c r="CZ219" s="111"/>
      <c r="DA219" s="111"/>
      <c r="DB219" s="111"/>
      <c r="DC219" s="111"/>
      <c r="DD219" s="111"/>
      <c r="DE219" s="111"/>
      <c r="DF219" s="111"/>
      <c r="DG219" s="111"/>
      <c r="DH219" s="111"/>
      <c r="DI219" s="111"/>
      <c r="DJ219" s="111"/>
      <c r="DK219" s="111"/>
      <c r="DL219" s="111"/>
      <c r="DM219" s="111"/>
      <c r="DN219" s="111"/>
      <c r="DO219" s="111"/>
      <c r="DP219" s="111"/>
      <c r="DQ219" s="111"/>
      <c r="DR219" s="111"/>
      <c r="DS219" s="111"/>
      <c r="DT219" s="111"/>
      <c r="DU219" s="111"/>
      <c r="DV219" s="111"/>
      <c r="DW219" s="111"/>
      <c r="DX219" s="111"/>
      <c r="DY219" s="111"/>
      <c r="DZ219" s="111"/>
      <c r="EA219" s="111"/>
      <c r="EB219" s="111"/>
      <c r="EC219" s="111"/>
      <c r="ED219" s="111"/>
      <c r="EE219" s="111"/>
      <c r="EF219" s="111"/>
      <c r="EG219" s="111"/>
      <c r="EH219" s="111"/>
      <c r="EI219" s="111"/>
      <c r="EJ219" s="111"/>
      <c r="EK219" s="111"/>
      <c r="EL219" s="111"/>
      <c r="EM219" s="111"/>
      <c r="EN219" s="111"/>
      <c r="EO219" s="111"/>
      <c r="EP219" s="111"/>
      <c r="EQ219" s="111"/>
      <c r="ER219" s="111"/>
      <c r="ES219" s="111"/>
      <c r="ET219" s="111"/>
      <c r="EU219" s="111"/>
      <c r="EV219" s="111"/>
      <c r="EW219" s="111"/>
      <c r="EX219" s="111"/>
      <c r="EY219" s="111"/>
      <c r="EZ219" s="111"/>
      <c r="FA219" s="111"/>
      <c r="FB219" s="111"/>
      <c r="FC219" s="111"/>
      <c r="FD219" s="111"/>
      <c r="FE219" s="111"/>
      <c r="FF219" s="111"/>
    </row>
    <row x14ac:dyDescent="0.25" r="220" customHeight="1" ht="18.75" customFormat="1" s="18">
      <c r="A220" s="2"/>
      <c r="B220" s="2"/>
      <c r="C220" s="2"/>
      <c r="D220" s="2"/>
      <c r="E220" s="2"/>
      <c r="F220" s="2"/>
      <c r="G220" s="2"/>
      <c r="H220" s="2"/>
      <c r="I220" s="2"/>
      <c r="J220" s="2"/>
      <c r="K220" s="20"/>
      <c r="L220" s="2"/>
      <c r="M220" s="2"/>
      <c r="N220" s="2"/>
      <c r="O220" s="2"/>
      <c r="P220" s="2"/>
      <c r="Q220" s="2"/>
      <c r="R220" s="2"/>
      <c r="S220" s="2"/>
      <c r="T220" s="124"/>
      <c r="U220" s="124"/>
      <c r="V220" s="124"/>
      <c r="W220" s="124"/>
      <c r="X220" s="124"/>
      <c r="Y220" s="124"/>
      <c r="Z220" s="124"/>
      <c r="AA220" s="124"/>
      <c r="AB220" s="124"/>
      <c r="AC220" s="124"/>
      <c r="AD220" s="124"/>
      <c r="AE220" s="124"/>
      <c r="AF220" s="124"/>
      <c r="AG220" s="124"/>
      <c r="AH220" s="124"/>
      <c r="AI220" s="124"/>
      <c r="AJ220" s="124"/>
      <c r="AK220" s="124"/>
      <c r="AL220" s="124"/>
      <c r="AM220" s="124"/>
      <c r="AN220" s="124"/>
      <c r="AO220" s="124"/>
      <c r="AP220" s="124"/>
      <c r="AQ220" s="124"/>
      <c r="AR220" s="20"/>
      <c r="AS220" s="2"/>
      <c r="AT220" s="20"/>
      <c r="AU220" s="20"/>
      <c r="AV220" s="2"/>
      <c r="AW220" s="2"/>
      <c r="AX220" s="2"/>
      <c r="AY220" s="2"/>
      <c r="AZ220" s="2"/>
      <c r="BA220" s="2"/>
      <c r="BB220" s="2"/>
      <c r="BC220" s="2"/>
      <c r="BD220" s="2"/>
      <c r="BE220" s="2"/>
      <c r="BF220" s="2"/>
      <c r="BG220" s="2"/>
      <c r="BH220" s="2"/>
      <c r="BI220" s="2"/>
      <c r="BJ220" s="2"/>
      <c r="BK220" s="2"/>
      <c r="BL220" s="2"/>
      <c r="BM220" s="2"/>
      <c r="BN220" s="2"/>
      <c r="BO220" s="2"/>
      <c r="BP220" s="20"/>
      <c r="BQ220" s="20"/>
      <c r="BR220" s="125"/>
      <c r="BS220" s="20"/>
      <c r="BT220" s="20"/>
      <c r="BU220" s="125"/>
      <c r="BV220" s="125"/>
      <c r="BW220" s="2"/>
      <c r="BX220" s="2"/>
      <c r="BY220" s="2"/>
      <c r="BZ220" s="2"/>
      <c r="CA220" s="2"/>
      <c r="CB220" s="2"/>
      <c r="CC220" s="2"/>
      <c r="CD220" s="2"/>
      <c r="CE220" s="2"/>
      <c r="CF220" s="2"/>
      <c r="CG220" s="2"/>
      <c r="CH220" s="2"/>
      <c r="CI220" s="2"/>
      <c r="CJ220" s="2"/>
      <c r="CK220" s="2"/>
      <c r="CL220" s="2"/>
      <c r="CM220" s="2"/>
      <c r="CN220" s="2"/>
      <c r="CO220" s="2"/>
      <c r="CP220" s="2"/>
      <c r="CQ220" s="2"/>
      <c r="CR220" s="2"/>
      <c r="CS220" s="111"/>
      <c r="CT220" s="111"/>
      <c r="CU220" s="111"/>
      <c r="CV220" s="111"/>
      <c r="CW220" s="111"/>
      <c r="CX220" s="111"/>
      <c r="CY220" s="111"/>
      <c r="CZ220" s="111"/>
      <c r="DA220" s="111"/>
      <c r="DB220" s="111"/>
      <c r="DC220" s="111"/>
      <c r="DD220" s="111"/>
      <c r="DE220" s="111"/>
      <c r="DF220" s="111"/>
      <c r="DG220" s="111"/>
      <c r="DH220" s="111"/>
      <c r="DI220" s="111"/>
      <c r="DJ220" s="111"/>
      <c r="DK220" s="111"/>
      <c r="DL220" s="111"/>
      <c r="DM220" s="111"/>
      <c r="DN220" s="111"/>
      <c r="DO220" s="111"/>
      <c r="DP220" s="111"/>
      <c r="DQ220" s="111"/>
      <c r="DR220" s="111"/>
      <c r="DS220" s="111"/>
      <c r="DT220" s="111"/>
      <c r="DU220" s="111"/>
      <c r="DV220" s="111"/>
      <c r="DW220" s="111"/>
      <c r="DX220" s="111"/>
      <c r="DY220" s="111"/>
      <c r="DZ220" s="111"/>
      <c r="EA220" s="111"/>
      <c r="EB220" s="111"/>
      <c r="EC220" s="111"/>
      <c r="ED220" s="111"/>
      <c r="EE220" s="111"/>
      <c r="EF220" s="111"/>
      <c r="EG220" s="111"/>
      <c r="EH220" s="111"/>
      <c r="EI220" s="111"/>
      <c r="EJ220" s="111"/>
      <c r="EK220" s="111"/>
      <c r="EL220" s="111"/>
      <c r="EM220" s="111"/>
      <c r="EN220" s="111"/>
      <c r="EO220" s="111"/>
      <c r="EP220" s="111"/>
      <c r="EQ220" s="111"/>
      <c r="ER220" s="111"/>
      <c r="ES220" s="111"/>
      <c r="ET220" s="111"/>
      <c r="EU220" s="111"/>
      <c r="EV220" s="111"/>
      <c r="EW220" s="111"/>
      <c r="EX220" s="111"/>
      <c r="EY220" s="111"/>
      <c r="EZ220" s="111"/>
      <c r="FA220" s="111"/>
      <c r="FB220" s="111"/>
      <c r="FC220" s="111"/>
      <c r="FD220" s="111"/>
      <c r="FE220" s="111"/>
      <c r="FF220" s="111"/>
    </row>
    <row x14ac:dyDescent="0.25" r="221" customHeight="1" ht="18.75" customFormat="1" s="18">
      <c r="A221" s="2"/>
      <c r="B221" s="2"/>
      <c r="C221" s="2"/>
      <c r="D221" s="2"/>
      <c r="E221" s="2"/>
      <c r="F221" s="2"/>
      <c r="G221" s="2"/>
      <c r="H221" s="2"/>
      <c r="I221" s="2"/>
      <c r="J221" s="2"/>
      <c r="K221" s="20"/>
      <c r="L221" s="2"/>
      <c r="M221" s="2"/>
      <c r="N221" s="2"/>
      <c r="O221" s="2"/>
      <c r="P221" s="2"/>
      <c r="Q221" s="2"/>
      <c r="R221" s="2"/>
      <c r="S221" s="2"/>
      <c r="T221" s="124"/>
      <c r="U221" s="124"/>
      <c r="V221" s="124"/>
      <c r="W221" s="124"/>
      <c r="X221" s="124"/>
      <c r="Y221" s="124"/>
      <c r="Z221" s="124"/>
      <c r="AA221" s="124"/>
      <c r="AB221" s="124"/>
      <c r="AC221" s="124"/>
      <c r="AD221" s="124"/>
      <c r="AE221" s="124"/>
      <c r="AF221" s="124"/>
      <c r="AG221" s="124"/>
      <c r="AH221" s="124"/>
      <c r="AI221" s="124"/>
      <c r="AJ221" s="124"/>
      <c r="AK221" s="124"/>
      <c r="AL221" s="124"/>
      <c r="AM221" s="124"/>
      <c r="AN221" s="124"/>
      <c r="AO221" s="124"/>
      <c r="AP221" s="124"/>
      <c r="AQ221" s="124"/>
      <c r="AR221" s="20"/>
      <c r="AS221" s="2"/>
      <c r="AT221" s="20"/>
      <c r="AU221" s="20"/>
      <c r="AV221" s="2"/>
      <c r="AW221" s="2"/>
      <c r="AX221" s="2"/>
      <c r="AY221" s="2"/>
      <c r="AZ221" s="2"/>
      <c r="BA221" s="2"/>
      <c r="BB221" s="2"/>
      <c r="BC221" s="2"/>
      <c r="BD221" s="2"/>
      <c r="BE221" s="2"/>
      <c r="BF221" s="2"/>
      <c r="BG221" s="2"/>
      <c r="BH221" s="2"/>
      <c r="BI221" s="2"/>
      <c r="BJ221" s="2"/>
      <c r="BK221" s="2"/>
      <c r="BL221" s="2"/>
      <c r="BM221" s="2"/>
      <c r="BN221" s="2"/>
      <c r="BO221" s="2"/>
      <c r="BP221" s="20"/>
      <c r="BQ221" s="20"/>
      <c r="BR221" s="125"/>
      <c r="BS221" s="20"/>
      <c r="BT221" s="20"/>
      <c r="BU221" s="125"/>
      <c r="BV221" s="125"/>
      <c r="BW221" s="2"/>
      <c r="BX221" s="2"/>
      <c r="BY221" s="2"/>
      <c r="BZ221" s="2"/>
      <c r="CA221" s="2"/>
      <c r="CB221" s="2"/>
      <c r="CC221" s="2"/>
      <c r="CD221" s="2"/>
      <c r="CE221" s="2"/>
      <c r="CF221" s="2"/>
      <c r="CG221" s="2"/>
      <c r="CH221" s="2"/>
      <c r="CI221" s="2"/>
      <c r="CJ221" s="2"/>
      <c r="CK221" s="2"/>
      <c r="CL221" s="2"/>
      <c r="CM221" s="2"/>
      <c r="CN221" s="2"/>
      <c r="CO221" s="2"/>
      <c r="CP221" s="2"/>
      <c r="CQ221" s="2"/>
      <c r="CR221" s="2"/>
      <c r="CS221" s="111"/>
      <c r="CT221" s="111"/>
      <c r="CU221" s="111"/>
      <c r="CV221" s="111"/>
      <c r="CW221" s="111"/>
      <c r="CX221" s="111"/>
      <c r="CY221" s="111"/>
      <c r="CZ221" s="111"/>
      <c r="DA221" s="111"/>
      <c r="DB221" s="111"/>
      <c r="DC221" s="111"/>
      <c r="DD221" s="111"/>
      <c r="DE221" s="111"/>
      <c r="DF221" s="111"/>
      <c r="DG221" s="111"/>
      <c r="DH221" s="111"/>
      <c r="DI221" s="111"/>
      <c r="DJ221" s="111"/>
      <c r="DK221" s="111"/>
      <c r="DL221" s="111"/>
      <c r="DM221" s="111"/>
      <c r="DN221" s="111"/>
      <c r="DO221" s="111"/>
      <c r="DP221" s="111"/>
      <c r="DQ221" s="111"/>
      <c r="DR221" s="111"/>
      <c r="DS221" s="111"/>
      <c r="DT221" s="111"/>
      <c r="DU221" s="111"/>
      <c r="DV221" s="111"/>
      <c r="DW221" s="111"/>
      <c r="DX221" s="111"/>
      <c r="DY221" s="111"/>
      <c r="DZ221" s="111"/>
      <c r="EA221" s="111"/>
      <c r="EB221" s="111"/>
      <c r="EC221" s="111"/>
      <c r="ED221" s="111"/>
      <c r="EE221" s="111"/>
      <c r="EF221" s="111"/>
      <c r="EG221" s="111"/>
      <c r="EH221" s="111"/>
      <c r="EI221" s="111"/>
      <c r="EJ221" s="111"/>
      <c r="EK221" s="111"/>
      <c r="EL221" s="111"/>
      <c r="EM221" s="111"/>
      <c r="EN221" s="111"/>
      <c r="EO221" s="111"/>
      <c r="EP221" s="111"/>
      <c r="EQ221" s="111"/>
      <c r="ER221" s="111"/>
      <c r="ES221" s="111"/>
      <c r="ET221" s="111"/>
      <c r="EU221" s="111"/>
      <c r="EV221" s="111"/>
      <c r="EW221" s="111"/>
      <c r="EX221" s="111"/>
      <c r="EY221" s="111"/>
      <c r="EZ221" s="111"/>
      <c r="FA221" s="111"/>
      <c r="FB221" s="111"/>
      <c r="FC221" s="111"/>
      <c r="FD221" s="111"/>
      <c r="FE221" s="111"/>
      <c r="FF221" s="111"/>
    </row>
    <row x14ac:dyDescent="0.25" r="222" customHeight="1" ht="18.75" customFormat="1" s="18">
      <c r="A222" s="2"/>
      <c r="B222" s="2"/>
      <c r="C222" s="2"/>
      <c r="D222" s="2"/>
      <c r="E222" s="2"/>
      <c r="F222" s="2"/>
      <c r="G222" s="2"/>
      <c r="H222" s="2"/>
      <c r="I222" s="2"/>
      <c r="J222" s="2"/>
      <c r="K222" s="20"/>
      <c r="L222" s="2"/>
      <c r="M222" s="2"/>
      <c r="N222" s="2"/>
      <c r="O222" s="2"/>
      <c r="P222" s="2"/>
      <c r="Q222" s="2"/>
      <c r="R222" s="2"/>
      <c r="S222" s="2"/>
      <c r="T222" s="124"/>
      <c r="U222" s="124"/>
      <c r="V222" s="124"/>
      <c r="W222" s="124"/>
      <c r="X222" s="124"/>
      <c r="Y222" s="124"/>
      <c r="Z222" s="124"/>
      <c r="AA222" s="124"/>
      <c r="AB222" s="124"/>
      <c r="AC222" s="124"/>
      <c r="AD222" s="124"/>
      <c r="AE222" s="124"/>
      <c r="AF222" s="124"/>
      <c r="AG222" s="124"/>
      <c r="AH222" s="124"/>
      <c r="AI222" s="124"/>
      <c r="AJ222" s="124"/>
      <c r="AK222" s="124"/>
      <c r="AL222" s="124"/>
      <c r="AM222" s="124"/>
      <c r="AN222" s="124"/>
      <c r="AO222" s="124"/>
      <c r="AP222" s="124"/>
      <c r="AQ222" s="124"/>
      <c r="AR222" s="20"/>
      <c r="AS222" s="2"/>
      <c r="AT222" s="20"/>
      <c r="AU222" s="20"/>
      <c r="AV222" s="2"/>
      <c r="AW222" s="2"/>
      <c r="AX222" s="2"/>
      <c r="AY222" s="2"/>
      <c r="AZ222" s="2"/>
      <c r="BA222" s="2"/>
      <c r="BB222" s="2"/>
      <c r="BC222" s="2"/>
      <c r="BD222" s="2"/>
      <c r="BE222" s="2"/>
      <c r="BF222" s="2"/>
      <c r="BG222" s="2"/>
      <c r="BH222" s="2"/>
      <c r="BI222" s="2"/>
      <c r="BJ222" s="2"/>
      <c r="BK222" s="2"/>
      <c r="BL222" s="2"/>
      <c r="BM222" s="2"/>
      <c r="BN222" s="2"/>
      <c r="BO222" s="2"/>
      <c r="BP222" s="20"/>
      <c r="BQ222" s="20"/>
      <c r="BR222" s="125"/>
      <c r="BS222" s="20"/>
      <c r="BT222" s="20"/>
      <c r="BU222" s="125"/>
      <c r="BV222" s="125"/>
      <c r="BW222" s="2"/>
      <c r="BX222" s="2"/>
      <c r="BY222" s="2"/>
      <c r="BZ222" s="2"/>
      <c r="CA222" s="2"/>
      <c r="CB222" s="2"/>
      <c r="CC222" s="2"/>
      <c r="CD222" s="2"/>
      <c r="CE222" s="2"/>
      <c r="CF222" s="2"/>
      <c r="CG222" s="2"/>
      <c r="CH222" s="2"/>
      <c r="CI222" s="2"/>
      <c r="CJ222" s="2"/>
      <c r="CK222" s="2"/>
      <c r="CL222" s="2"/>
      <c r="CM222" s="2"/>
      <c r="CN222" s="2"/>
      <c r="CO222" s="2"/>
      <c r="CP222" s="2"/>
      <c r="CQ222" s="2"/>
      <c r="CR222" s="2"/>
      <c r="CS222" s="111"/>
      <c r="CT222" s="111"/>
      <c r="CU222" s="111"/>
      <c r="CV222" s="111"/>
      <c r="CW222" s="111"/>
      <c r="CX222" s="111"/>
      <c r="CY222" s="111"/>
      <c r="CZ222" s="111"/>
      <c r="DA222" s="111"/>
      <c r="DB222" s="111"/>
      <c r="DC222" s="111"/>
      <c r="DD222" s="111"/>
      <c r="DE222" s="111"/>
      <c r="DF222" s="111"/>
      <c r="DG222" s="111"/>
      <c r="DH222" s="111"/>
      <c r="DI222" s="111"/>
      <c r="DJ222" s="111"/>
      <c r="DK222" s="111"/>
      <c r="DL222" s="111"/>
      <c r="DM222" s="111"/>
      <c r="DN222" s="111"/>
      <c r="DO222" s="111"/>
      <c r="DP222" s="111"/>
      <c r="DQ222" s="111"/>
      <c r="DR222" s="111"/>
      <c r="DS222" s="111"/>
      <c r="DT222" s="111"/>
      <c r="DU222" s="111"/>
      <c r="DV222" s="111"/>
      <c r="DW222" s="111"/>
      <c r="DX222" s="111"/>
      <c r="DY222" s="111"/>
      <c r="DZ222" s="111"/>
      <c r="EA222" s="111"/>
      <c r="EB222" s="111"/>
      <c r="EC222" s="111"/>
      <c r="ED222" s="111"/>
      <c r="EE222" s="111"/>
      <c r="EF222" s="111"/>
      <c r="EG222" s="111"/>
      <c r="EH222" s="111"/>
      <c r="EI222" s="111"/>
      <c r="EJ222" s="111"/>
      <c r="EK222" s="111"/>
      <c r="EL222" s="111"/>
      <c r="EM222" s="111"/>
      <c r="EN222" s="111"/>
      <c r="EO222" s="111"/>
      <c r="EP222" s="111"/>
      <c r="EQ222" s="111"/>
      <c r="ER222" s="111"/>
      <c r="ES222" s="111"/>
      <c r="ET222" s="111"/>
      <c r="EU222" s="111"/>
      <c r="EV222" s="111"/>
      <c r="EW222" s="111"/>
      <c r="EX222" s="111"/>
      <c r="EY222" s="111"/>
      <c r="EZ222" s="111"/>
      <c r="FA222" s="111"/>
      <c r="FB222" s="111"/>
      <c r="FC222" s="111"/>
      <c r="FD222" s="111"/>
      <c r="FE222" s="111"/>
      <c r="FF222" s="111"/>
    </row>
    <row x14ac:dyDescent="0.25" r="223" customHeight="1" ht="18.75" customFormat="1" s="18">
      <c r="A223" s="2"/>
      <c r="B223" s="2"/>
      <c r="C223" s="2"/>
      <c r="D223" s="2"/>
      <c r="E223" s="2"/>
      <c r="F223" s="2"/>
      <c r="G223" s="2"/>
      <c r="H223" s="2"/>
      <c r="I223" s="2"/>
      <c r="J223" s="2"/>
      <c r="K223" s="20"/>
      <c r="L223" s="2"/>
      <c r="M223" s="2"/>
      <c r="N223" s="2"/>
      <c r="O223" s="2"/>
      <c r="P223" s="2"/>
      <c r="Q223" s="2"/>
      <c r="R223" s="2"/>
      <c r="S223" s="2"/>
      <c r="T223" s="124"/>
      <c r="U223" s="124"/>
      <c r="V223" s="124"/>
      <c r="W223" s="124"/>
      <c r="X223" s="124"/>
      <c r="Y223" s="124"/>
      <c r="Z223" s="124"/>
      <c r="AA223" s="124"/>
      <c r="AB223" s="124"/>
      <c r="AC223" s="124"/>
      <c r="AD223" s="124"/>
      <c r="AE223" s="124"/>
      <c r="AF223" s="124"/>
      <c r="AG223" s="124"/>
      <c r="AH223" s="124"/>
      <c r="AI223" s="124"/>
      <c r="AJ223" s="124"/>
      <c r="AK223" s="124"/>
      <c r="AL223" s="124"/>
      <c r="AM223" s="124"/>
      <c r="AN223" s="124"/>
      <c r="AO223" s="124"/>
      <c r="AP223" s="124"/>
      <c r="AQ223" s="124"/>
      <c r="AR223" s="20"/>
      <c r="AS223" s="2"/>
      <c r="AT223" s="20"/>
      <c r="AU223" s="20"/>
      <c r="AV223" s="2"/>
      <c r="AW223" s="2"/>
      <c r="AX223" s="2"/>
      <c r="AY223" s="2"/>
      <c r="AZ223" s="2"/>
      <c r="BA223" s="2"/>
      <c r="BB223" s="2"/>
      <c r="BC223" s="2"/>
      <c r="BD223" s="2"/>
      <c r="BE223" s="2"/>
      <c r="BF223" s="2"/>
      <c r="BG223" s="2"/>
      <c r="BH223" s="2"/>
      <c r="BI223" s="2"/>
      <c r="BJ223" s="2"/>
      <c r="BK223" s="2"/>
      <c r="BL223" s="2"/>
      <c r="BM223" s="2"/>
      <c r="BN223" s="2"/>
      <c r="BO223" s="2"/>
      <c r="BP223" s="20"/>
      <c r="BQ223" s="20"/>
      <c r="BR223" s="125"/>
      <c r="BS223" s="20"/>
      <c r="BT223" s="20"/>
      <c r="BU223" s="125"/>
      <c r="BV223" s="125"/>
      <c r="BW223" s="2"/>
      <c r="BX223" s="2"/>
      <c r="BY223" s="2"/>
      <c r="BZ223" s="2"/>
      <c r="CA223" s="2"/>
      <c r="CB223" s="2"/>
      <c r="CC223" s="2"/>
      <c r="CD223" s="2"/>
      <c r="CE223" s="2"/>
      <c r="CF223" s="2"/>
      <c r="CG223" s="2"/>
      <c r="CH223" s="2"/>
      <c r="CI223" s="2"/>
      <c r="CJ223" s="2"/>
      <c r="CK223" s="2"/>
      <c r="CL223" s="2"/>
      <c r="CM223" s="2"/>
      <c r="CN223" s="2"/>
      <c r="CO223" s="2"/>
      <c r="CP223" s="2"/>
      <c r="CQ223" s="2"/>
      <c r="CR223" s="2"/>
      <c r="CS223" s="111"/>
      <c r="CT223" s="111"/>
      <c r="CU223" s="111"/>
      <c r="CV223" s="111"/>
      <c r="CW223" s="111"/>
      <c r="CX223" s="111"/>
      <c r="CY223" s="111"/>
      <c r="CZ223" s="111"/>
      <c r="DA223" s="111"/>
      <c r="DB223" s="111"/>
      <c r="DC223" s="111"/>
      <c r="DD223" s="111"/>
      <c r="DE223" s="111"/>
      <c r="DF223" s="111"/>
      <c r="DG223" s="111"/>
      <c r="DH223" s="111"/>
      <c r="DI223" s="111"/>
      <c r="DJ223" s="111"/>
      <c r="DK223" s="111"/>
      <c r="DL223" s="111"/>
      <c r="DM223" s="111"/>
      <c r="DN223" s="111"/>
      <c r="DO223" s="111"/>
      <c r="DP223" s="111"/>
      <c r="DQ223" s="111"/>
      <c r="DR223" s="111"/>
      <c r="DS223" s="111"/>
      <c r="DT223" s="111"/>
      <c r="DU223" s="111"/>
      <c r="DV223" s="111"/>
      <c r="DW223" s="111"/>
      <c r="DX223" s="111"/>
      <c r="DY223" s="111"/>
      <c r="DZ223" s="111"/>
      <c r="EA223" s="111"/>
      <c r="EB223" s="111"/>
      <c r="EC223" s="111"/>
      <c r="ED223" s="111"/>
      <c r="EE223" s="111"/>
      <c r="EF223" s="111"/>
      <c r="EG223" s="111"/>
      <c r="EH223" s="111"/>
      <c r="EI223" s="111"/>
      <c r="EJ223" s="111"/>
      <c r="EK223" s="111"/>
      <c r="EL223" s="111"/>
      <c r="EM223" s="111"/>
      <c r="EN223" s="111"/>
      <c r="EO223" s="111"/>
      <c r="EP223" s="111"/>
      <c r="EQ223" s="111"/>
      <c r="ER223" s="111"/>
      <c r="ES223" s="111"/>
      <c r="ET223" s="111"/>
      <c r="EU223" s="111"/>
      <c r="EV223" s="111"/>
      <c r="EW223" s="111"/>
      <c r="EX223" s="111"/>
      <c r="EY223" s="111"/>
      <c r="EZ223" s="111"/>
      <c r="FA223" s="111"/>
      <c r="FB223" s="111"/>
      <c r="FC223" s="111"/>
      <c r="FD223" s="111"/>
      <c r="FE223" s="111"/>
      <c r="FF223" s="111"/>
    </row>
    <row x14ac:dyDescent="0.25" r="224" customHeight="1" ht="18.75" customFormat="1" s="18">
      <c r="A224" s="2"/>
      <c r="B224" s="2"/>
      <c r="C224" s="2"/>
      <c r="D224" s="2"/>
      <c r="E224" s="2"/>
      <c r="F224" s="2"/>
      <c r="G224" s="2"/>
      <c r="H224" s="2"/>
      <c r="I224" s="2"/>
      <c r="J224" s="2"/>
      <c r="K224" s="20"/>
      <c r="L224" s="2"/>
      <c r="M224" s="2"/>
      <c r="N224" s="2"/>
      <c r="O224" s="2"/>
      <c r="P224" s="2"/>
      <c r="Q224" s="2"/>
      <c r="R224" s="2"/>
      <c r="S224" s="2"/>
      <c r="T224" s="124"/>
      <c r="U224" s="124"/>
      <c r="V224" s="124"/>
      <c r="W224" s="124"/>
      <c r="X224" s="124"/>
      <c r="Y224" s="124"/>
      <c r="Z224" s="124"/>
      <c r="AA224" s="124"/>
      <c r="AB224" s="124"/>
      <c r="AC224" s="124"/>
      <c r="AD224" s="124"/>
      <c r="AE224" s="124"/>
      <c r="AF224" s="124"/>
      <c r="AG224" s="124"/>
      <c r="AH224" s="124"/>
      <c r="AI224" s="124"/>
      <c r="AJ224" s="124"/>
      <c r="AK224" s="124"/>
      <c r="AL224" s="124"/>
      <c r="AM224" s="124"/>
      <c r="AN224" s="124"/>
      <c r="AO224" s="124"/>
      <c r="AP224" s="124"/>
      <c r="AQ224" s="124"/>
      <c r="AR224" s="20"/>
      <c r="AS224" s="2"/>
      <c r="AT224" s="20"/>
      <c r="AU224" s="20"/>
      <c r="AV224" s="2"/>
      <c r="AW224" s="2"/>
      <c r="AX224" s="2"/>
      <c r="AY224" s="2"/>
      <c r="AZ224" s="2"/>
      <c r="BA224" s="2"/>
      <c r="BB224" s="2"/>
      <c r="BC224" s="2"/>
      <c r="BD224" s="2"/>
      <c r="BE224" s="2"/>
      <c r="BF224" s="2"/>
      <c r="BG224" s="2"/>
      <c r="BH224" s="2"/>
      <c r="BI224" s="2"/>
      <c r="BJ224" s="2"/>
      <c r="BK224" s="2"/>
      <c r="BL224" s="2"/>
      <c r="BM224" s="2"/>
      <c r="BN224" s="2"/>
      <c r="BO224" s="2"/>
      <c r="BP224" s="20"/>
      <c r="BQ224" s="20"/>
      <c r="BR224" s="125"/>
      <c r="BS224" s="20"/>
      <c r="BT224" s="20"/>
      <c r="BU224" s="125"/>
      <c r="BV224" s="125"/>
      <c r="BW224" s="2"/>
      <c r="BX224" s="2"/>
      <c r="BY224" s="2"/>
      <c r="BZ224" s="2"/>
      <c r="CA224" s="2"/>
      <c r="CB224" s="2"/>
      <c r="CC224" s="2"/>
      <c r="CD224" s="2"/>
      <c r="CE224" s="2"/>
      <c r="CF224" s="2"/>
      <c r="CG224" s="2"/>
      <c r="CH224" s="2"/>
      <c r="CI224" s="2"/>
      <c r="CJ224" s="2"/>
      <c r="CK224" s="2"/>
      <c r="CL224" s="2"/>
      <c r="CM224" s="2"/>
      <c r="CN224" s="2"/>
      <c r="CO224" s="2"/>
      <c r="CP224" s="2"/>
      <c r="CQ224" s="2"/>
      <c r="CR224" s="2"/>
      <c r="CS224" s="111"/>
      <c r="CT224" s="111"/>
      <c r="CU224" s="111"/>
      <c r="CV224" s="111"/>
      <c r="CW224" s="111"/>
      <c r="CX224" s="111"/>
      <c r="CY224" s="111"/>
      <c r="CZ224" s="111"/>
      <c r="DA224" s="111"/>
      <c r="DB224" s="111"/>
      <c r="DC224" s="111"/>
      <c r="DD224" s="111"/>
      <c r="DE224" s="111"/>
      <c r="DF224" s="111"/>
      <c r="DG224" s="111"/>
      <c r="DH224" s="111"/>
      <c r="DI224" s="111"/>
      <c r="DJ224" s="111"/>
      <c r="DK224" s="111"/>
      <c r="DL224" s="111"/>
      <c r="DM224" s="111"/>
      <c r="DN224" s="111"/>
      <c r="DO224" s="111"/>
      <c r="DP224" s="111"/>
      <c r="DQ224" s="111"/>
      <c r="DR224" s="111"/>
      <c r="DS224" s="111"/>
      <c r="DT224" s="111"/>
      <c r="DU224" s="111"/>
      <c r="DV224" s="111"/>
      <c r="DW224" s="111"/>
      <c r="DX224" s="111"/>
      <c r="DY224" s="111"/>
      <c r="DZ224" s="111"/>
      <c r="EA224" s="111"/>
      <c r="EB224" s="111"/>
      <c r="EC224" s="111"/>
      <c r="ED224" s="111"/>
      <c r="EE224" s="111"/>
      <c r="EF224" s="111"/>
      <c r="EG224" s="111"/>
      <c r="EH224" s="111"/>
      <c r="EI224" s="111"/>
      <c r="EJ224" s="111"/>
      <c r="EK224" s="111"/>
      <c r="EL224" s="111"/>
      <c r="EM224" s="111"/>
      <c r="EN224" s="111"/>
      <c r="EO224" s="111"/>
      <c r="EP224" s="111"/>
      <c r="EQ224" s="111"/>
      <c r="ER224" s="111"/>
      <c r="ES224" s="111"/>
      <c r="ET224" s="111"/>
      <c r="EU224" s="111"/>
      <c r="EV224" s="111"/>
      <c r="EW224" s="111"/>
      <c r="EX224" s="111"/>
      <c r="EY224" s="111"/>
      <c r="EZ224" s="111"/>
      <c r="FA224" s="111"/>
      <c r="FB224" s="111"/>
      <c r="FC224" s="111"/>
      <c r="FD224" s="111"/>
      <c r="FE224" s="111"/>
      <c r="FF224" s="111"/>
    </row>
    <row x14ac:dyDescent="0.25" r="225" customHeight="1" ht="18.75" customFormat="1" s="18">
      <c r="A225" s="2"/>
      <c r="B225" s="2"/>
      <c r="C225" s="2"/>
      <c r="D225" s="2"/>
      <c r="E225" s="2"/>
      <c r="F225" s="2"/>
      <c r="G225" s="2"/>
      <c r="H225" s="2"/>
      <c r="I225" s="2"/>
      <c r="J225" s="2"/>
      <c r="K225" s="20"/>
      <c r="L225" s="2"/>
      <c r="M225" s="2"/>
      <c r="N225" s="2"/>
      <c r="O225" s="2"/>
      <c r="P225" s="2"/>
      <c r="Q225" s="2"/>
      <c r="R225" s="2"/>
      <c r="S225" s="2"/>
      <c r="T225" s="124"/>
      <c r="U225" s="124"/>
      <c r="V225" s="124"/>
      <c r="W225" s="124"/>
      <c r="X225" s="124"/>
      <c r="Y225" s="124"/>
      <c r="Z225" s="124"/>
      <c r="AA225" s="124"/>
      <c r="AB225" s="124"/>
      <c r="AC225" s="124"/>
      <c r="AD225" s="124"/>
      <c r="AE225" s="124"/>
      <c r="AF225" s="124"/>
      <c r="AG225" s="124"/>
      <c r="AH225" s="124"/>
      <c r="AI225" s="124"/>
      <c r="AJ225" s="124"/>
      <c r="AK225" s="124"/>
      <c r="AL225" s="124"/>
      <c r="AM225" s="124"/>
      <c r="AN225" s="124"/>
      <c r="AO225" s="124"/>
      <c r="AP225" s="124"/>
      <c r="AQ225" s="124"/>
      <c r="AR225" s="20"/>
      <c r="AS225" s="2"/>
      <c r="AT225" s="20"/>
      <c r="AU225" s="20"/>
      <c r="AV225" s="2"/>
      <c r="AW225" s="2"/>
      <c r="AX225" s="2"/>
      <c r="AY225" s="2"/>
      <c r="AZ225" s="2"/>
      <c r="BA225" s="2"/>
      <c r="BB225" s="2"/>
      <c r="BC225" s="2"/>
      <c r="BD225" s="2"/>
      <c r="BE225" s="2"/>
      <c r="BF225" s="2"/>
      <c r="BG225" s="2"/>
      <c r="BH225" s="2"/>
      <c r="BI225" s="2"/>
      <c r="BJ225" s="2"/>
      <c r="BK225" s="2"/>
      <c r="BL225" s="2"/>
      <c r="BM225" s="2"/>
      <c r="BN225" s="2"/>
      <c r="BO225" s="2"/>
      <c r="BP225" s="20"/>
      <c r="BQ225" s="20"/>
      <c r="BR225" s="125"/>
      <c r="BS225" s="20"/>
      <c r="BT225" s="20"/>
      <c r="BU225" s="125"/>
      <c r="BV225" s="125"/>
      <c r="BW225" s="2"/>
      <c r="BX225" s="2"/>
      <c r="BY225" s="2"/>
      <c r="BZ225" s="2"/>
      <c r="CA225" s="2"/>
      <c r="CB225" s="2"/>
      <c r="CC225" s="2"/>
      <c r="CD225" s="2"/>
      <c r="CE225" s="2"/>
      <c r="CF225" s="2"/>
      <c r="CG225" s="2"/>
      <c r="CH225" s="2"/>
      <c r="CI225" s="2"/>
      <c r="CJ225" s="2"/>
      <c r="CK225" s="2"/>
      <c r="CL225" s="2"/>
      <c r="CM225" s="2"/>
      <c r="CN225" s="2"/>
      <c r="CO225" s="2"/>
      <c r="CP225" s="2"/>
      <c r="CQ225" s="2"/>
      <c r="CR225" s="2"/>
      <c r="CS225" s="111"/>
      <c r="CT225" s="111"/>
      <c r="CU225" s="111"/>
      <c r="CV225" s="111"/>
      <c r="CW225" s="111"/>
      <c r="CX225" s="111"/>
      <c r="CY225" s="111"/>
      <c r="CZ225" s="111"/>
      <c r="DA225" s="111"/>
      <c r="DB225" s="111"/>
      <c r="DC225" s="111"/>
      <c r="DD225" s="111"/>
      <c r="DE225" s="111"/>
      <c r="DF225" s="111"/>
      <c r="DG225" s="111"/>
      <c r="DH225" s="111"/>
      <c r="DI225" s="111"/>
      <c r="DJ225" s="111"/>
      <c r="DK225" s="111"/>
      <c r="DL225" s="111"/>
      <c r="DM225" s="111"/>
      <c r="DN225" s="111"/>
      <c r="DO225" s="111"/>
      <c r="DP225" s="111"/>
      <c r="DQ225" s="111"/>
      <c r="DR225" s="111"/>
      <c r="DS225" s="111"/>
      <c r="DT225" s="111"/>
      <c r="DU225" s="111"/>
      <c r="DV225" s="111"/>
      <c r="DW225" s="111"/>
      <c r="DX225" s="111"/>
      <c r="DY225" s="111"/>
      <c r="DZ225" s="111"/>
      <c r="EA225" s="111"/>
      <c r="EB225" s="111"/>
      <c r="EC225" s="111"/>
      <c r="ED225" s="111"/>
      <c r="EE225" s="111"/>
      <c r="EF225" s="111"/>
      <c r="EG225" s="111"/>
      <c r="EH225" s="111"/>
      <c r="EI225" s="111"/>
      <c r="EJ225" s="111"/>
      <c r="EK225" s="111"/>
      <c r="EL225" s="111"/>
      <c r="EM225" s="111"/>
      <c r="EN225" s="111"/>
      <c r="EO225" s="111"/>
      <c r="EP225" s="111"/>
      <c r="EQ225" s="111"/>
      <c r="ER225" s="111"/>
      <c r="ES225" s="111"/>
      <c r="ET225" s="111"/>
      <c r="EU225" s="111"/>
      <c r="EV225" s="111"/>
      <c r="EW225" s="111"/>
      <c r="EX225" s="111"/>
      <c r="EY225" s="111"/>
      <c r="EZ225" s="111"/>
      <c r="FA225" s="111"/>
      <c r="FB225" s="111"/>
      <c r="FC225" s="111"/>
      <c r="FD225" s="111"/>
      <c r="FE225" s="111"/>
      <c r="FF225" s="111"/>
    </row>
    <row x14ac:dyDescent="0.25" r="226" customHeight="1" ht="18.75" customFormat="1" s="18">
      <c r="A226" s="2"/>
      <c r="B226" s="2"/>
      <c r="C226" s="2"/>
      <c r="D226" s="2"/>
      <c r="E226" s="2"/>
      <c r="F226" s="2"/>
      <c r="G226" s="2"/>
      <c r="H226" s="2"/>
      <c r="I226" s="2"/>
      <c r="J226" s="2"/>
      <c r="K226" s="20"/>
      <c r="L226" s="2"/>
      <c r="M226" s="2"/>
      <c r="N226" s="2"/>
      <c r="O226" s="2"/>
      <c r="P226" s="2"/>
      <c r="Q226" s="2"/>
      <c r="R226" s="2"/>
      <c r="S226" s="2"/>
      <c r="T226" s="124"/>
      <c r="U226" s="124"/>
      <c r="V226" s="124"/>
      <c r="W226" s="124"/>
      <c r="X226" s="124"/>
      <c r="Y226" s="124"/>
      <c r="Z226" s="124"/>
      <c r="AA226" s="124"/>
      <c r="AB226" s="124"/>
      <c r="AC226" s="124"/>
      <c r="AD226" s="124"/>
      <c r="AE226" s="124"/>
      <c r="AF226" s="124"/>
      <c r="AG226" s="124"/>
      <c r="AH226" s="124"/>
      <c r="AI226" s="124"/>
      <c r="AJ226" s="124"/>
      <c r="AK226" s="124"/>
      <c r="AL226" s="124"/>
      <c r="AM226" s="124"/>
      <c r="AN226" s="124"/>
      <c r="AO226" s="124"/>
      <c r="AP226" s="124"/>
      <c r="AQ226" s="124"/>
      <c r="AR226" s="20"/>
      <c r="AS226" s="2"/>
      <c r="AT226" s="20"/>
      <c r="AU226" s="20"/>
      <c r="AV226" s="2"/>
      <c r="AW226" s="2"/>
      <c r="AX226" s="2"/>
      <c r="AY226" s="2"/>
      <c r="AZ226" s="2"/>
      <c r="BA226" s="2"/>
      <c r="BB226" s="2"/>
      <c r="BC226" s="2"/>
      <c r="BD226" s="2"/>
      <c r="BE226" s="2"/>
      <c r="BF226" s="2"/>
      <c r="BG226" s="2"/>
      <c r="BH226" s="2"/>
      <c r="BI226" s="2"/>
      <c r="BJ226" s="2"/>
      <c r="BK226" s="2"/>
      <c r="BL226" s="2"/>
      <c r="BM226" s="2"/>
      <c r="BN226" s="2"/>
      <c r="BO226" s="2"/>
      <c r="BP226" s="20"/>
      <c r="BQ226" s="20"/>
      <c r="BR226" s="125"/>
      <c r="BS226" s="20"/>
      <c r="BT226" s="20"/>
      <c r="BU226" s="125"/>
      <c r="BV226" s="125"/>
      <c r="BW226" s="2"/>
      <c r="BX226" s="2"/>
      <c r="BY226" s="2"/>
      <c r="BZ226" s="2"/>
      <c r="CA226" s="2"/>
      <c r="CB226" s="2"/>
      <c r="CC226" s="2"/>
      <c r="CD226" s="2"/>
      <c r="CE226" s="2"/>
      <c r="CF226" s="2"/>
      <c r="CG226" s="2"/>
      <c r="CH226" s="2"/>
      <c r="CI226" s="2"/>
      <c r="CJ226" s="2"/>
      <c r="CK226" s="2"/>
      <c r="CL226" s="2"/>
      <c r="CM226" s="2"/>
      <c r="CN226" s="2"/>
      <c r="CO226" s="2"/>
      <c r="CP226" s="2"/>
      <c r="CQ226" s="2"/>
      <c r="CR226" s="2"/>
      <c r="CS226" s="111"/>
      <c r="CT226" s="111"/>
      <c r="CU226" s="111"/>
      <c r="CV226" s="111"/>
      <c r="CW226" s="111"/>
      <c r="CX226" s="111"/>
      <c r="CY226" s="111"/>
      <c r="CZ226" s="111"/>
      <c r="DA226" s="111"/>
      <c r="DB226" s="111"/>
      <c r="DC226" s="111"/>
      <c r="DD226" s="111"/>
      <c r="DE226" s="111"/>
      <c r="DF226" s="111"/>
      <c r="DG226" s="111"/>
      <c r="DH226" s="111"/>
      <c r="DI226" s="111"/>
      <c r="DJ226" s="111"/>
      <c r="DK226" s="111"/>
      <c r="DL226" s="111"/>
      <c r="DM226" s="111"/>
      <c r="DN226" s="111"/>
      <c r="DO226" s="111"/>
      <c r="DP226" s="111"/>
      <c r="DQ226" s="111"/>
      <c r="DR226" s="111"/>
      <c r="DS226" s="111"/>
      <c r="DT226" s="111"/>
      <c r="DU226" s="111"/>
      <c r="DV226" s="111"/>
      <c r="DW226" s="111"/>
      <c r="DX226" s="111"/>
      <c r="DY226" s="111"/>
      <c r="DZ226" s="111"/>
      <c r="EA226" s="111"/>
      <c r="EB226" s="111"/>
      <c r="EC226" s="111"/>
      <c r="ED226" s="111"/>
      <c r="EE226" s="111"/>
      <c r="EF226" s="111"/>
      <c r="EG226" s="111"/>
      <c r="EH226" s="111"/>
      <c r="EI226" s="111"/>
      <c r="EJ226" s="111"/>
      <c r="EK226" s="111"/>
      <c r="EL226" s="111"/>
      <c r="EM226" s="111"/>
      <c r="EN226" s="111"/>
      <c r="EO226" s="111"/>
      <c r="EP226" s="111"/>
      <c r="EQ226" s="111"/>
      <c r="ER226" s="111"/>
      <c r="ES226" s="111"/>
      <c r="ET226" s="111"/>
      <c r="EU226" s="111"/>
      <c r="EV226" s="111"/>
      <c r="EW226" s="111"/>
      <c r="EX226" s="111"/>
      <c r="EY226" s="111"/>
      <c r="EZ226" s="111"/>
      <c r="FA226" s="111"/>
      <c r="FB226" s="111"/>
      <c r="FC226" s="111"/>
      <c r="FD226" s="111"/>
      <c r="FE226" s="111"/>
      <c r="FF226" s="111"/>
    </row>
    <row x14ac:dyDescent="0.25" r="227" customHeight="1" ht="18.75" customFormat="1" s="18">
      <c r="A227" s="2"/>
      <c r="B227" s="2"/>
      <c r="C227" s="2"/>
      <c r="D227" s="2"/>
      <c r="E227" s="2"/>
      <c r="F227" s="2"/>
      <c r="G227" s="2"/>
      <c r="H227" s="2"/>
      <c r="I227" s="2"/>
      <c r="J227" s="2"/>
      <c r="K227" s="20"/>
      <c r="L227" s="2"/>
      <c r="M227" s="2"/>
      <c r="N227" s="2"/>
      <c r="O227" s="2"/>
      <c r="P227" s="2"/>
      <c r="Q227" s="2"/>
      <c r="R227" s="2"/>
      <c r="S227" s="2"/>
      <c r="T227" s="124"/>
      <c r="U227" s="124"/>
      <c r="V227" s="124"/>
      <c r="W227" s="124"/>
      <c r="X227" s="124"/>
      <c r="Y227" s="124"/>
      <c r="Z227" s="124"/>
      <c r="AA227" s="124"/>
      <c r="AB227" s="124"/>
      <c r="AC227" s="124"/>
      <c r="AD227" s="124"/>
      <c r="AE227" s="124"/>
      <c r="AF227" s="124"/>
      <c r="AG227" s="124"/>
      <c r="AH227" s="124"/>
      <c r="AI227" s="124"/>
      <c r="AJ227" s="124"/>
      <c r="AK227" s="124"/>
      <c r="AL227" s="124"/>
      <c r="AM227" s="124"/>
      <c r="AN227" s="124"/>
      <c r="AO227" s="124"/>
      <c r="AP227" s="124"/>
      <c r="AQ227" s="124"/>
      <c r="AR227" s="20"/>
      <c r="AS227" s="2"/>
      <c r="AT227" s="20"/>
      <c r="AU227" s="20"/>
      <c r="AV227" s="2"/>
      <c r="AW227" s="2"/>
      <c r="AX227" s="2"/>
      <c r="AY227" s="2"/>
      <c r="AZ227" s="2"/>
      <c r="BA227" s="2"/>
      <c r="BB227" s="2"/>
      <c r="BC227" s="2"/>
      <c r="BD227" s="2"/>
      <c r="BE227" s="2"/>
      <c r="BF227" s="2"/>
      <c r="BG227" s="2"/>
      <c r="BH227" s="2"/>
      <c r="BI227" s="2"/>
      <c r="BJ227" s="2"/>
      <c r="BK227" s="2"/>
      <c r="BL227" s="2"/>
      <c r="BM227" s="2"/>
      <c r="BN227" s="2"/>
      <c r="BO227" s="2"/>
      <c r="BP227" s="20"/>
      <c r="BQ227" s="20"/>
      <c r="BR227" s="125"/>
      <c r="BS227" s="20"/>
      <c r="BT227" s="20"/>
      <c r="BU227" s="125"/>
      <c r="BV227" s="125"/>
      <c r="BW227" s="2"/>
      <c r="BX227" s="2"/>
      <c r="BY227" s="2"/>
      <c r="BZ227" s="2"/>
      <c r="CA227" s="2"/>
      <c r="CB227" s="2"/>
      <c r="CC227" s="2"/>
      <c r="CD227" s="2"/>
      <c r="CE227" s="2"/>
      <c r="CF227" s="2"/>
      <c r="CG227" s="2"/>
      <c r="CH227" s="2"/>
      <c r="CI227" s="2"/>
      <c r="CJ227" s="2"/>
      <c r="CK227" s="2"/>
      <c r="CL227" s="2"/>
      <c r="CM227" s="2"/>
      <c r="CN227" s="2"/>
      <c r="CO227" s="2"/>
      <c r="CP227" s="2"/>
      <c r="CQ227" s="2"/>
      <c r="CR227" s="2"/>
      <c r="CS227" s="111"/>
      <c r="CT227" s="111"/>
      <c r="CU227" s="111"/>
      <c r="CV227" s="111"/>
      <c r="CW227" s="111"/>
      <c r="CX227" s="111"/>
      <c r="CY227" s="111"/>
      <c r="CZ227" s="111"/>
      <c r="DA227" s="111"/>
      <c r="DB227" s="111"/>
      <c r="DC227" s="111"/>
      <c r="DD227" s="111"/>
      <c r="DE227" s="111"/>
      <c r="DF227" s="111"/>
      <c r="DG227" s="111"/>
      <c r="DH227" s="111"/>
      <c r="DI227" s="111"/>
      <c r="DJ227" s="111"/>
      <c r="DK227" s="111"/>
      <c r="DL227" s="111"/>
      <c r="DM227" s="111"/>
      <c r="DN227" s="111"/>
      <c r="DO227" s="111"/>
      <c r="DP227" s="111"/>
      <c r="DQ227" s="111"/>
      <c r="DR227" s="111"/>
      <c r="DS227" s="111"/>
      <c r="DT227" s="111"/>
      <c r="DU227" s="111"/>
      <c r="DV227" s="111"/>
      <c r="DW227" s="111"/>
      <c r="DX227" s="111"/>
      <c r="DY227" s="111"/>
      <c r="DZ227" s="111"/>
      <c r="EA227" s="111"/>
      <c r="EB227" s="111"/>
      <c r="EC227" s="111"/>
      <c r="ED227" s="111"/>
      <c r="EE227" s="111"/>
      <c r="EF227" s="111"/>
      <c r="EG227" s="111"/>
      <c r="EH227" s="111"/>
      <c r="EI227" s="111"/>
      <c r="EJ227" s="111"/>
      <c r="EK227" s="111"/>
      <c r="EL227" s="111"/>
      <c r="EM227" s="111"/>
      <c r="EN227" s="111"/>
      <c r="EO227" s="111"/>
      <c r="EP227" s="111"/>
      <c r="EQ227" s="111"/>
      <c r="ER227" s="111"/>
      <c r="ES227" s="111"/>
      <c r="ET227" s="111"/>
      <c r="EU227" s="111"/>
      <c r="EV227" s="111"/>
      <c r="EW227" s="111"/>
      <c r="EX227" s="111"/>
      <c r="EY227" s="111"/>
      <c r="EZ227" s="111"/>
      <c r="FA227" s="111"/>
      <c r="FB227" s="111"/>
      <c r="FC227" s="111"/>
      <c r="FD227" s="111"/>
      <c r="FE227" s="111"/>
      <c r="FF227" s="111"/>
    </row>
    <row x14ac:dyDescent="0.25" r="228" customHeight="1" ht="18.75" customFormat="1" s="18">
      <c r="A228" s="2"/>
      <c r="B228" s="2"/>
      <c r="C228" s="2"/>
      <c r="D228" s="2"/>
      <c r="E228" s="2"/>
      <c r="F228" s="2"/>
      <c r="G228" s="2"/>
      <c r="H228" s="2"/>
      <c r="I228" s="2"/>
      <c r="J228" s="2"/>
      <c r="K228" s="20"/>
      <c r="L228" s="2"/>
      <c r="M228" s="2"/>
      <c r="N228" s="2"/>
      <c r="O228" s="2"/>
      <c r="P228" s="2"/>
      <c r="Q228" s="2"/>
      <c r="R228" s="2"/>
      <c r="S228" s="2"/>
      <c r="T228" s="124"/>
      <c r="U228" s="124"/>
      <c r="V228" s="124"/>
      <c r="W228" s="124"/>
      <c r="X228" s="124"/>
      <c r="Y228" s="124"/>
      <c r="Z228" s="124"/>
      <c r="AA228" s="124"/>
      <c r="AB228" s="124"/>
      <c r="AC228" s="124"/>
      <c r="AD228" s="124"/>
      <c r="AE228" s="124"/>
      <c r="AF228" s="124"/>
      <c r="AG228" s="124"/>
      <c r="AH228" s="124"/>
      <c r="AI228" s="124"/>
      <c r="AJ228" s="124"/>
      <c r="AK228" s="124"/>
      <c r="AL228" s="124"/>
      <c r="AM228" s="124"/>
      <c r="AN228" s="124"/>
      <c r="AO228" s="124"/>
      <c r="AP228" s="124"/>
      <c r="AQ228" s="124"/>
      <c r="AR228" s="20"/>
      <c r="AS228" s="2"/>
      <c r="AT228" s="20"/>
      <c r="AU228" s="20"/>
      <c r="AV228" s="2"/>
      <c r="AW228" s="2"/>
      <c r="AX228" s="2"/>
      <c r="AY228" s="2"/>
      <c r="AZ228" s="2"/>
      <c r="BA228" s="2"/>
      <c r="BB228" s="2"/>
      <c r="BC228" s="2"/>
      <c r="BD228" s="2"/>
      <c r="BE228" s="2"/>
      <c r="BF228" s="2"/>
      <c r="BG228" s="2"/>
      <c r="BH228" s="2"/>
      <c r="BI228" s="2"/>
      <c r="BJ228" s="2"/>
      <c r="BK228" s="2"/>
      <c r="BL228" s="2"/>
      <c r="BM228" s="2"/>
      <c r="BN228" s="2"/>
      <c r="BO228" s="2"/>
      <c r="BP228" s="20"/>
      <c r="BQ228" s="20"/>
      <c r="BR228" s="125"/>
      <c r="BS228" s="20"/>
      <c r="BT228" s="20"/>
      <c r="BU228" s="125"/>
      <c r="BV228" s="125"/>
      <c r="BW228" s="2"/>
      <c r="BX228" s="2"/>
      <c r="BY228" s="2"/>
      <c r="BZ228" s="2"/>
      <c r="CA228" s="2"/>
      <c r="CB228" s="2"/>
      <c r="CC228" s="2"/>
      <c r="CD228" s="2"/>
      <c r="CE228" s="2"/>
      <c r="CF228" s="2"/>
      <c r="CG228" s="2"/>
      <c r="CH228" s="2"/>
      <c r="CI228" s="2"/>
      <c r="CJ228" s="2"/>
      <c r="CK228" s="2"/>
      <c r="CL228" s="2"/>
      <c r="CM228" s="2"/>
      <c r="CN228" s="2"/>
      <c r="CO228" s="2"/>
      <c r="CP228" s="2"/>
      <c r="CQ228" s="2"/>
      <c r="CR228" s="2"/>
      <c r="CS228" s="111"/>
      <c r="CT228" s="111"/>
      <c r="CU228" s="111"/>
      <c r="CV228" s="111"/>
      <c r="CW228" s="111"/>
      <c r="CX228" s="111"/>
      <c r="CY228" s="111"/>
      <c r="CZ228" s="111"/>
      <c r="DA228" s="111"/>
      <c r="DB228" s="111"/>
      <c r="DC228" s="111"/>
      <c r="DD228" s="111"/>
      <c r="DE228" s="111"/>
      <c r="DF228" s="111"/>
      <c r="DG228" s="111"/>
      <c r="DH228" s="111"/>
      <c r="DI228" s="111"/>
      <c r="DJ228" s="111"/>
      <c r="DK228" s="111"/>
      <c r="DL228" s="111"/>
      <c r="DM228" s="111"/>
      <c r="DN228" s="111"/>
      <c r="DO228" s="111"/>
      <c r="DP228" s="111"/>
      <c r="DQ228" s="111"/>
      <c r="DR228" s="111"/>
      <c r="DS228" s="111"/>
      <c r="DT228" s="111"/>
      <c r="DU228" s="111"/>
      <c r="DV228" s="111"/>
      <c r="DW228" s="111"/>
      <c r="DX228" s="111"/>
      <c r="DY228" s="111"/>
      <c r="DZ228" s="111"/>
      <c r="EA228" s="111"/>
      <c r="EB228" s="111"/>
      <c r="EC228" s="111"/>
      <c r="ED228" s="111"/>
      <c r="EE228" s="111"/>
      <c r="EF228" s="111"/>
      <c r="EG228" s="111"/>
      <c r="EH228" s="111"/>
      <c r="EI228" s="111"/>
      <c r="EJ228" s="111"/>
      <c r="EK228" s="111"/>
      <c r="EL228" s="111"/>
      <c r="EM228" s="111"/>
      <c r="EN228" s="111"/>
      <c r="EO228" s="111"/>
      <c r="EP228" s="111"/>
      <c r="EQ228" s="111"/>
      <c r="ER228" s="111"/>
      <c r="ES228" s="111"/>
      <c r="ET228" s="111"/>
      <c r="EU228" s="111"/>
      <c r="EV228" s="111"/>
      <c r="EW228" s="111"/>
      <c r="EX228" s="111"/>
      <c r="EY228" s="111"/>
      <c r="EZ228" s="111"/>
      <c r="FA228" s="111"/>
      <c r="FB228" s="111"/>
      <c r="FC228" s="111"/>
      <c r="FD228" s="111"/>
      <c r="FE228" s="111"/>
      <c r="FF228" s="111"/>
    </row>
    <row x14ac:dyDescent="0.25" r="229" customHeight="1" ht="18.75" customFormat="1" s="18">
      <c r="A229" s="2"/>
      <c r="B229" s="2"/>
      <c r="C229" s="2"/>
      <c r="D229" s="2"/>
      <c r="E229" s="2"/>
      <c r="F229" s="2"/>
      <c r="G229" s="2"/>
      <c r="H229" s="2"/>
      <c r="I229" s="2"/>
      <c r="J229" s="2"/>
      <c r="K229" s="20"/>
      <c r="L229" s="2"/>
      <c r="M229" s="2"/>
      <c r="N229" s="2"/>
      <c r="O229" s="2"/>
      <c r="P229" s="2"/>
      <c r="Q229" s="2"/>
      <c r="R229" s="2"/>
      <c r="S229" s="2"/>
      <c r="T229" s="124"/>
      <c r="U229" s="124"/>
      <c r="V229" s="124"/>
      <c r="W229" s="124"/>
      <c r="X229" s="124"/>
      <c r="Y229" s="124"/>
      <c r="Z229" s="124"/>
      <c r="AA229" s="124"/>
      <c r="AB229" s="124"/>
      <c r="AC229" s="124"/>
      <c r="AD229" s="124"/>
      <c r="AE229" s="124"/>
      <c r="AF229" s="124"/>
      <c r="AG229" s="124"/>
      <c r="AH229" s="124"/>
      <c r="AI229" s="124"/>
      <c r="AJ229" s="124"/>
      <c r="AK229" s="124"/>
      <c r="AL229" s="124"/>
      <c r="AM229" s="124"/>
      <c r="AN229" s="124"/>
      <c r="AO229" s="124"/>
      <c r="AP229" s="124"/>
      <c r="AQ229" s="124"/>
      <c r="AR229" s="20"/>
      <c r="AS229" s="2"/>
      <c r="AT229" s="20"/>
      <c r="AU229" s="20"/>
      <c r="AV229" s="2"/>
      <c r="AW229" s="2"/>
      <c r="AX229" s="2"/>
      <c r="AY229" s="2"/>
      <c r="AZ229" s="2"/>
      <c r="BA229" s="2"/>
      <c r="BB229" s="2"/>
      <c r="BC229" s="2"/>
      <c r="BD229" s="2"/>
      <c r="BE229" s="2"/>
      <c r="BF229" s="2"/>
      <c r="BG229" s="2"/>
      <c r="BH229" s="2"/>
      <c r="BI229" s="2"/>
      <c r="BJ229" s="2"/>
      <c r="BK229" s="2"/>
      <c r="BL229" s="2"/>
      <c r="BM229" s="2"/>
      <c r="BN229" s="2"/>
      <c r="BO229" s="2"/>
      <c r="BP229" s="20"/>
      <c r="BQ229" s="20"/>
      <c r="BR229" s="125"/>
      <c r="BS229" s="20"/>
      <c r="BT229" s="20"/>
      <c r="BU229" s="125"/>
      <c r="BV229" s="125"/>
      <c r="BW229" s="2"/>
      <c r="BX229" s="2"/>
      <c r="BY229" s="2"/>
      <c r="BZ229" s="2"/>
      <c r="CA229" s="2"/>
      <c r="CB229" s="2"/>
      <c r="CC229" s="2"/>
      <c r="CD229" s="2"/>
      <c r="CE229" s="2"/>
      <c r="CF229" s="2"/>
      <c r="CG229" s="2"/>
      <c r="CH229" s="2"/>
      <c r="CI229" s="2"/>
      <c r="CJ229" s="2"/>
      <c r="CK229" s="2"/>
      <c r="CL229" s="2"/>
      <c r="CM229" s="2"/>
      <c r="CN229" s="2"/>
      <c r="CO229" s="2"/>
      <c r="CP229" s="2"/>
      <c r="CQ229" s="2"/>
      <c r="CR229" s="2"/>
      <c r="CS229" s="111"/>
      <c r="CT229" s="111"/>
      <c r="CU229" s="111"/>
      <c r="CV229" s="111"/>
      <c r="CW229" s="111"/>
      <c r="CX229" s="111"/>
      <c r="CY229" s="111"/>
      <c r="CZ229" s="111"/>
      <c r="DA229" s="111"/>
      <c r="DB229" s="111"/>
      <c r="DC229" s="111"/>
      <c r="DD229" s="111"/>
      <c r="DE229" s="111"/>
      <c r="DF229" s="111"/>
      <c r="DG229" s="111"/>
      <c r="DH229" s="111"/>
      <c r="DI229" s="111"/>
      <c r="DJ229" s="111"/>
      <c r="DK229" s="111"/>
      <c r="DL229" s="111"/>
      <c r="DM229" s="111"/>
      <c r="DN229" s="111"/>
      <c r="DO229" s="111"/>
      <c r="DP229" s="111"/>
      <c r="DQ229" s="111"/>
      <c r="DR229" s="111"/>
      <c r="DS229" s="111"/>
      <c r="DT229" s="111"/>
      <c r="DU229" s="111"/>
      <c r="DV229" s="111"/>
      <c r="DW229" s="111"/>
      <c r="DX229" s="111"/>
      <c r="DY229" s="111"/>
      <c r="DZ229" s="111"/>
      <c r="EA229" s="111"/>
      <c r="EB229" s="111"/>
      <c r="EC229" s="111"/>
      <c r="ED229" s="111"/>
      <c r="EE229" s="111"/>
      <c r="EF229" s="111"/>
      <c r="EG229" s="111"/>
      <c r="EH229" s="111"/>
      <c r="EI229" s="111"/>
      <c r="EJ229" s="111"/>
      <c r="EK229" s="111"/>
      <c r="EL229" s="111"/>
      <c r="EM229" s="111"/>
      <c r="EN229" s="111"/>
      <c r="EO229" s="111"/>
      <c r="EP229" s="111"/>
      <c r="EQ229" s="111"/>
      <c r="ER229" s="111"/>
      <c r="ES229" s="111"/>
      <c r="ET229" s="111"/>
      <c r="EU229" s="111"/>
      <c r="EV229" s="111"/>
      <c r="EW229" s="111"/>
      <c r="EX229" s="111"/>
      <c r="EY229" s="111"/>
      <c r="EZ229" s="111"/>
      <c r="FA229" s="111"/>
      <c r="FB229" s="111"/>
      <c r="FC229" s="111"/>
      <c r="FD229" s="111"/>
      <c r="FE229" s="111"/>
      <c r="FF229" s="111"/>
    </row>
    <row x14ac:dyDescent="0.25" r="230" customHeight="1" ht="18.75" customFormat="1" s="18">
      <c r="A230" s="2"/>
      <c r="B230" s="2"/>
      <c r="C230" s="2"/>
      <c r="D230" s="2"/>
      <c r="E230" s="2"/>
      <c r="F230" s="2"/>
      <c r="G230" s="2"/>
      <c r="H230" s="2"/>
      <c r="I230" s="2"/>
      <c r="J230" s="2"/>
      <c r="K230" s="20"/>
      <c r="L230" s="2"/>
      <c r="M230" s="2"/>
      <c r="N230" s="2"/>
      <c r="O230" s="2"/>
      <c r="P230" s="2"/>
      <c r="Q230" s="2"/>
      <c r="R230" s="2"/>
      <c r="S230" s="2"/>
      <c r="T230" s="124"/>
      <c r="U230" s="124"/>
      <c r="V230" s="124"/>
      <c r="W230" s="124"/>
      <c r="X230" s="124"/>
      <c r="Y230" s="124"/>
      <c r="Z230" s="124"/>
      <c r="AA230" s="124"/>
      <c r="AB230" s="124"/>
      <c r="AC230" s="124"/>
      <c r="AD230" s="124"/>
      <c r="AE230" s="124"/>
      <c r="AF230" s="124"/>
      <c r="AG230" s="124"/>
      <c r="AH230" s="124"/>
      <c r="AI230" s="124"/>
      <c r="AJ230" s="124"/>
      <c r="AK230" s="124"/>
      <c r="AL230" s="124"/>
      <c r="AM230" s="124"/>
      <c r="AN230" s="124"/>
      <c r="AO230" s="124"/>
      <c r="AP230" s="124"/>
      <c r="AQ230" s="124"/>
      <c r="AR230" s="20"/>
      <c r="AS230" s="2"/>
      <c r="AT230" s="20"/>
      <c r="AU230" s="20"/>
      <c r="AV230" s="2"/>
      <c r="AW230" s="2"/>
      <c r="AX230" s="2"/>
      <c r="AY230" s="2"/>
      <c r="AZ230" s="2"/>
      <c r="BA230" s="2"/>
      <c r="BB230" s="2"/>
      <c r="BC230" s="2"/>
      <c r="BD230" s="2"/>
      <c r="BE230" s="2"/>
      <c r="BF230" s="2"/>
      <c r="BG230" s="2"/>
      <c r="BH230" s="2"/>
      <c r="BI230" s="2"/>
      <c r="BJ230" s="2"/>
      <c r="BK230" s="2"/>
      <c r="BL230" s="2"/>
      <c r="BM230" s="2"/>
      <c r="BN230" s="2"/>
      <c r="BO230" s="2"/>
      <c r="BP230" s="20"/>
      <c r="BQ230" s="20"/>
      <c r="BR230" s="125"/>
      <c r="BS230" s="20"/>
      <c r="BT230" s="20"/>
      <c r="BU230" s="125"/>
      <c r="BV230" s="125"/>
      <c r="BW230" s="2"/>
      <c r="BX230" s="2"/>
      <c r="BY230" s="2"/>
      <c r="BZ230" s="2"/>
      <c r="CA230" s="2"/>
      <c r="CB230" s="2"/>
      <c r="CC230" s="2"/>
      <c r="CD230" s="2"/>
      <c r="CE230" s="2"/>
      <c r="CF230" s="2"/>
      <c r="CG230" s="2"/>
      <c r="CH230" s="2"/>
      <c r="CI230" s="2"/>
      <c r="CJ230" s="2"/>
      <c r="CK230" s="2"/>
      <c r="CL230" s="2"/>
      <c r="CM230" s="2"/>
      <c r="CN230" s="2"/>
      <c r="CO230" s="2"/>
      <c r="CP230" s="2"/>
      <c r="CQ230" s="2"/>
      <c r="CR230" s="2"/>
      <c r="CS230" s="111"/>
      <c r="CT230" s="111"/>
      <c r="CU230" s="111"/>
      <c r="CV230" s="111"/>
      <c r="CW230" s="111"/>
      <c r="CX230" s="111"/>
      <c r="CY230" s="111"/>
      <c r="CZ230" s="111"/>
      <c r="DA230" s="111"/>
      <c r="DB230" s="111"/>
      <c r="DC230" s="111"/>
      <c r="DD230" s="111"/>
      <c r="DE230" s="111"/>
      <c r="DF230" s="111"/>
      <c r="DG230" s="111"/>
      <c r="DH230" s="111"/>
      <c r="DI230" s="111"/>
      <c r="DJ230" s="111"/>
      <c r="DK230" s="111"/>
      <c r="DL230" s="111"/>
      <c r="DM230" s="111"/>
      <c r="DN230" s="111"/>
      <c r="DO230" s="111"/>
      <c r="DP230" s="111"/>
      <c r="DQ230" s="111"/>
      <c r="DR230" s="111"/>
      <c r="DS230" s="111"/>
      <c r="DT230" s="111"/>
      <c r="DU230" s="111"/>
      <c r="DV230" s="111"/>
      <c r="DW230" s="111"/>
      <c r="DX230" s="111"/>
      <c r="DY230" s="111"/>
      <c r="DZ230" s="111"/>
      <c r="EA230" s="111"/>
      <c r="EB230" s="111"/>
      <c r="EC230" s="111"/>
      <c r="ED230" s="111"/>
      <c r="EE230" s="111"/>
      <c r="EF230" s="111"/>
      <c r="EG230" s="111"/>
      <c r="EH230" s="111"/>
      <c r="EI230" s="111"/>
      <c r="EJ230" s="111"/>
      <c r="EK230" s="111"/>
      <c r="EL230" s="111"/>
      <c r="EM230" s="111"/>
      <c r="EN230" s="111"/>
      <c r="EO230" s="111"/>
      <c r="EP230" s="111"/>
      <c r="EQ230" s="111"/>
      <c r="ER230" s="111"/>
      <c r="ES230" s="111"/>
      <c r="ET230" s="111"/>
      <c r="EU230" s="111"/>
      <c r="EV230" s="111"/>
      <c r="EW230" s="111"/>
      <c r="EX230" s="111"/>
      <c r="EY230" s="111"/>
      <c r="EZ230" s="111"/>
      <c r="FA230" s="111"/>
      <c r="FB230" s="111"/>
      <c r="FC230" s="111"/>
      <c r="FD230" s="111"/>
      <c r="FE230" s="111"/>
      <c r="FF230" s="111"/>
    </row>
    <row x14ac:dyDescent="0.25" r="231" customHeight="1" ht="18.75" customFormat="1" s="18">
      <c r="A231" s="2"/>
      <c r="B231" s="2"/>
      <c r="C231" s="2"/>
      <c r="D231" s="2"/>
      <c r="E231" s="2"/>
      <c r="F231" s="2"/>
      <c r="G231" s="2"/>
      <c r="H231" s="2"/>
      <c r="I231" s="2"/>
      <c r="J231" s="2"/>
      <c r="K231" s="20"/>
      <c r="L231" s="2"/>
      <c r="M231" s="2"/>
      <c r="N231" s="2"/>
      <c r="O231" s="2"/>
      <c r="P231" s="2"/>
      <c r="Q231" s="2"/>
      <c r="R231" s="2"/>
      <c r="S231" s="2"/>
      <c r="T231" s="124"/>
      <c r="U231" s="124"/>
      <c r="V231" s="124"/>
      <c r="W231" s="124"/>
      <c r="X231" s="124"/>
      <c r="Y231" s="124"/>
      <c r="Z231" s="124"/>
      <c r="AA231" s="124"/>
      <c r="AB231" s="124"/>
      <c r="AC231" s="124"/>
      <c r="AD231" s="124"/>
      <c r="AE231" s="124"/>
      <c r="AF231" s="124"/>
      <c r="AG231" s="124"/>
      <c r="AH231" s="124"/>
      <c r="AI231" s="124"/>
      <c r="AJ231" s="124"/>
      <c r="AK231" s="124"/>
      <c r="AL231" s="124"/>
      <c r="AM231" s="124"/>
      <c r="AN231" s="124"/>
      <c r="AO231" s="124"/>
      <c r="AP231" s="124"/>
      <c r="AQ231" s="124"/>
      <c r="AR231" s="20"/>
      <c r="AS231" s="2"/>
      <c r="AT231" s="20"/>
      <c r="AU231" s="20"/>
      <c r="AV231" s="2"/>
      <c r="AW231" s="2"/>
      <c r="AX231" s="2"/>
      <c r="AY231" s="2"/>
      <c r="AZ231" s="2"/>
      <c r="BA231" s="2"/>
      <c r="BB231" s="2"/>
      <c r="BC231" s="2"/>
      <c r="BD231" s="2"/>
      <c r="BE231" s="2"/>
      <c r="BF231" s="2"/>
      <c r="BG231" s="2"/>
      <c r="BH231" s="2"/>
      <c r="BI231" s="2"/>
      <c r="BJ231" s="2"/>
      <c r="BK231" s="2"/>
      <c r="BL231" s="2"/>
      <c r="BM231" s="2"/>
      <c r="BN231" s="2"/>
      <c r="BO231" s="2"/>
      <c r="BP231" s="20"/>
      <c r="BQ231" s="20"/>
      <c r="BR231" s="125"/>
      <c r="BS231" s="20"/>
      <c r="BT231" s="20"/>
      <c r="BU231" s="125"/>
      <c r="BV231" s="125"/>
      <c r="BW231" s="2"/>
      <c r="BX231" s="2"/>
      <c r="BY231" s="2"/>
      <c r="BZ231" s="2"/>
      <c r="CA231" s="2"/>
      <c r="CB231" s="2"/>
      <c r="CC231" s="2"/>
      <c r="CD231" s="2"/>
      <c r="CE231" s="2"/>
      <c r="CF231" s="2"/>
      <c r="CG231" s="2"/>
      <c r="CH231" s="2"/>
      <c r="CI231" s="2"/>
      <c r="CJ231" s="2"/>
      <c r="CK231" s="2"/>
      <c r="CL231" s="2"/>
      <c r="CM231" s="2"/>
      <c r="CN231" s="2"/>
      <c r="CO231" s="2"/>
      <c r="CP231" s="2"/>
      <c r="CQ231" s="2"/>
      <c r="CR231" s="2"/>
      <c r="CS231" s="111"/>
      <c r="CT231" s="111"/>
      <c r="CU231" s="111"/>
      <c r="CV231" s="111"/>
      <c r="CW231" s="111"/>
      <c r="CX231" s="111"/>
      <c r="CY231" s="111"/>
      <c r="CZ231" s="111"/>
      <c r="DA231" s="111"/>
      <c r="DB231" s="111"/>
      <c r="DC231" s="111"/>
      <c r="DD231" s="111"/>
      <c r="DE231" s="111"/>
      <c r="DF231" s="111"/>
      <c r="DG231" s="111"/>
      <c r="DH231" s="111"/>
      <c r="DI231" s="111"/>
      <c r="DJ231" s="111"/>
      <c r="DK231" s="111"/>
      <c r="DL231" s="111"/>
      <c r="DM231" s="111"/>
      <c r="DN231" s="111"/>
      <c r="DO231" s="111"/>
      <c r="DP231" s="111"/>
      <c r="DQ231" s="111"/>
      <c r="DR231" s="111"/>
      <c r="DS231" s="111"/>
      <c r="DT231" s="111"/>
      <c r="DU231" s="111"/>
      <c r="DV231" s="111"/>
      <c r="DW231" s="111"/>
      <c r="DX231" s="111"/>
      <c r="DY231" s="111"/>
      <c r="DZ231" s="111"/>
      <c r="EA231" s="111"/>
      <c r="EB231" s="111"/>
      <c r="EC231" s="111"/>
      <c r="ED231" s="111"/>
      <c r="EE231" s="111"/>
      <c r="EF231" s="111"/>
      <c r="EG231" s="111"/>
      <c r="EH231" s="111"/>
      <c r="EI231" s="111"/>
      <c r="EJ231" s="111"/>
      <c r="EK231" s="111"/>
      <c r="EL231" s="111"/>
      <c r="EM231" s="111"/>
      <c r="EN231" s="111"/>
      <c r="EO231" s="111"/>
      <c r="EP231" s="111"/>
      <c r="EQ231" s="111"/>
      <c r="ER231" s="111"/>
      <c r="ES231" s="111"/>
      <c r="ET231" s="111"/>
      <c r="EU231" s="111"/>
      <c r="EV231" s="111"/>
      <c r="EW231" s="111"/>
      <c r="EX231" s="111"/>
      <c r="EY231" s="111"/>
      <c r="EZ231" s="111"/>
      <c r="FA231" s="111"/>
      <c r="FB231" s="111"/>
      <c r="FC231" s="111"/>
      <c r="FD231" s="111"/>
      <c r="FE231" s="111"/>
      <c r="FF231" s="111"/>
    </row>
    <row x14ac:dyDescent="0.25" r="232" customHeight="1" ht="18.75" customFormat="1" s="18">
      <c r="A232" s="2"/>
      <c r="B232" s="2"/>
      <c r="C232" s="2"/>
      <c r="D232" s="2"/>
      <c r="E232" s="2"/>
      <c r="F232" s="2"/>
      <c r="G232" s="2"/>
      <c r="H232" s="2"/>
      <c r="I232" s="2"/>
      <c r="J232" s="2"/>
      <c r="K232" s="20"/>
      <c r="L232" s="2"/>
      <c r="M232" s="2"/>
      <c r="N232" s="2"/>
      <c r="O232" s="2"/>
      <c r="P232" s="2"/>
      <c r="Q232" s="2"/>
      <c r="R232" s="2"/>
      <c r="S232" s="2"/>
      <c r="T232" s="124"/>
      <c r="U232" s="124"/>
      <c r="V232" s="124"/>
      <c r="W232" s="124"/>
      <c r="X232" s="124"/>
      <c r="Y232" s="124"/>
      <c r="Z232" s="124"/>
      <c r="AA232" s="124"/>
      <c r="AB232" s="124"/>
      <c r="AC232" s="124"/>
      <c r="AD232" s="124"/>
      <c r="AE232" s="124"/>
      <c r="AF232" s="124"/>
      <c r="AG232" s="124"/>
      <c r="AH232" s="124"/>
      <c r="AI232" s="124"/>
      <c r="AJ232" s="124"/>
      <c r="AK232" s="124"/>
      <c r="AL232" s="124"/>
      <c r="AM232" s="124"/>
      <c r="AN232" s="124"/>
      <c r="AO232" s="124"/>
      <c r="AP232" s="124"/>
      <c r="AQ232" s="124"/>
      <c r="AR232" s="20"/>
      <c r="AS232" s="2"/>
      <c r="AT232" s="20"/>
      <c r="AU232" s="20"/>
      <c r="AV232" s="2"/>
      <c r="AW232" s="2"/>
      <c r="AX232" s="2"/>
      <c r="AY232" s="2"/>
      <c r="AZ232" s="2"/>
      <c r="BA232" s="2"/>
      <c r="BB232" s="2"/>
      <c r="BC232" s="2"/>
      <c r="BD232" s="2"/>
      <c r="BE232" s="2"/>
      <c r="BF232" s="2"/>
      <c r="BG232" s="2"/>
      <c r="BH232" s="2"/>
      <c r="BI232" s="2"/>
      <c r="BJ232" s="2"/>
      <c r="BK232" s="2"/>
      <c r="BL232" s="2"/>
      <c r="BM232" s="2"/>
      <c r="BN232" s="2"/>
      <c r="BO232" s="2"/>
      <c r="BP232" s="20"/>
      <c r="BQ232" s="20"/>
      <c r="BR232" s="125"/>
      <c r="BS232" s="20"/>
      <c r="BT232" s="20"/>
      <c r="BU232" s="125"/>
      <c r="BV232" s="125"/>
      <c r="BW232" s="2"/>
      <c r="BX232" s="2"/>
      <c r="BY232" s="2"/>
      <c r="BZ232" s="2"/>
      <c r="CA232" s="2"/>
      <c r="CB232" s="2"/>
      <c r="CC232" s="2"/>
      <c r="CD232" s="2"/>
      <c r="CE232" s="2"/>
      <c r="CF232" s="2"/>
      <c r="CG232" s="2"/>
      <c r="CH232" s="2"/>
      <c r="CI232" s="2"/>
      <c r="CJ232" s="2"/>
      <c r="CK232" s="2"/>
      <c r="CL232" s="2"/>
      <c r="CM232" s="2"/>
      <c r="CN232" s="2"/>
      <c r="CO232" s="2"/>
      <c r="CP232" s="2"/>
      <c r="CQ232" s="2"/>
      <c r="CR232" s="2"/>
      <c r="CS232" s="111"/>
      <c r="CT232" s="111"/>
      <c r="CU232" s="111"/>
      <c r="CV232" s="111"/>
      <c r="CW232" s="111"/>
      <c r="CX232" s="111"/>
      <c r="CY232" s="111"/>
      <c r="CZ232" s="111"/>
      <c r="DA232" s="111"/>
      <c r="DB232" s="111"/>
      <c r="DC232" s="111"/>
      <c r="DD232" s="111"/>
      <c r="DE232" s="111"/>
      <c r="DF232" s="111"/>
      <c r="DG232" s="111"/>
      <c r="DH232" s="111"/>
      <c r="DI232" s="111"/>
      <c r="DJ232" s="111"/>
      <c r="DK232" s="111"/>
      <c r="DL232" s="111"/>
      <c r="DM232" s="111"/>
      <c r="DN232" s="111"/>
      <c r="DO232" s="111"/>
      <c r="DP232" s="111"/>
      <c r="DQ232" s="111"/>
      <c r="DR232" s="111"/>
      <c r="DS232" s="111"/>
      <c r="DT232" s="111"/>
      <c r="DU232" s="111"/>
      <c r="DV232" s="111"/>
      <c r="DW232" s="111"/>
      <c r="DX232" s="111"/>
      <c r="DY232" s="111"/>
      <c r="DZ232" s="111"/>
      <c r="EA232" s="111"/>
      <c r="EB232" s="111"/>
      <c r="EC232" s="111"/>
      <c r="ED232" s="111"/>
      <c r="EE232" s="111"/>
      <c r="EF232" s="111"/>
      <c r="EG232" s="111"/>
      <c r="EH232" s="111"/>
      <c r="EI232" s="111"/>
      <c r="EJ232" s="111"/>
      <c r="EK232" s="111"/>
      <c r="EL232" s="111"/>
      <c r="EM232" s="111"/>
      <c r="EN232" s="111"/>
      <c r="EO232" s="111"/>
      <c r="EP232" s="111"/>
      <c r="EQ232" s="111"/>
      <c r="ER232" s="111"/>
      <c r="ES232" s="111"/>
      <c r="ET232" s="111"/>
      <c r="EU232" s="111"/>
      <c r="EV232" s="111"/>
      <c r="EW232" s="111"/>
      <c r="EX232" s="111"/>
      <c r="EY232" s="111"/>
      <c r="EZ232" s="111"/>
      <c r="FA232" s="111"/>
      <c r="FB232" s="111"/>
      <c r="FC232" s="111"/>
      <c r="FD232" s="111"/>
      <c r="FE232" s="111"/>
      <c r="FF232" s="111"/>
    </row>
    <row x14ac:dyDescent="0.25" r="233" customHeight="1" ht="18.75" customFormat="1" s="18">
      <c r="A233" s="2"/>
      <c r="B233" s="2"/>
      <c r="C233" s="2"/>
      <c r="D233" s="2"/>
      <c r="E233" s="2"/>
      <c r="F233" s="2"/>
      <c r="G233" s="2"/>
      <c r="H233" s="2"/>
      <c r="I233" s="2"/>
      <c r="J233" s="2"/>
      <c r="K233" s="20"/>
      <c r="L233" s="2"/>
      <c r="M233" s="2"/>
      <c r="N233" s="2"/>
      <c r="O233" s="2"/>
      <c r="P233" s="2"/>
      <c r="Q233" s="2"/>
      <c r="R233" s="2"/>
      <c r="S233" s="2"/>
      <c r="T233" s="124"/>
      <c r="U233" s="124"/>
      <c r="V233" s="124"/>
      <c r="W233" s="124"/>
      <c r="X233" s="124"/>
      <c r="Y233" s="124"/>
      <c r="Z233" s="124"/>
      <c r="AA233" s="124"/>
      <c r="AB233" s="124"/>
      <c r="AC233" s="124"/>
      <c r="AD233" s="124"/>
      <c r="AE233" s="124"/>
      <c r="AF233" s="124"/>
      <c r="AG233" s="124"/>
      <c r="AH233" s="124"/>
      <c r="AI233" s="124"/>
      <c r="AJ233" s="124"/>
      <c r="AK233" s="124"/>
      <c r="AL233" s="124"/>
      <c r="AM233" s="124"/>
      <c r="AN233" s="124"/>
      <c r="AO233" s="124"/>
      <c r="AP233" s="124"/>
      <c r="AQ233" s="124"/>
      <c r="AR233" s="20"/>
      <c r="AS233" s="2"/>
      <c r="AT233" s="20"/>
      <c r="AU233" s="20"/>
      <c r="AV233" s="2"/>
      <c r="AW233" s="2"/>
      <c r="AX233" s="2"/>
      <c r="AY233" s="2"/>
      <c r="AZ233" s="2"/>
      <c r="BA233" s="2"/>
      <c r="BB233" s="2"/>
      <c r="BC233" s="2"/>
      <c r="BD233" s="2"/>
      <c r="BE233" s="2"/>
      <c r="BF233" s="2"/>
      <c r="BG233" s="2"/>
      <c r="BH233" s="2"/>
      <c r="BI233" s="2"/>
      <c r="BJ233" s="2"/>
      <c r="BK233" s="2"/>
      <c r="BL233" s="2"/>
      <c r="BM233" s="2"/>
      <c r="BN233" s="2"/>
      <c r="BO233" s="2"/>
      <c r="BP233" s="20"/>
      <c r="BQ233" s="20"/>
      <c r="BR233" s="125"/>
      <c r="BS233" s="20"/>
      <c r="BT233" s="20"/>
      <c r="BU233" s="125"/>
      <c r="BV233" s="125"/>
      <c r="BW233" s="2"/>
      <c r="BX233" s="2"/>
      <c r="BY233" s="2"/>
      <c r="BZ233" s="2"/>
      <c r="CA233" s="2"/>
      <c r="CB233" s="2"/>
      <c r="CC233" s="2"/>
      <c r="CD233" s="2"/>
      <c r="CE233" s="2"/>
      <c r="CF233" s="2"/>
      <c r="CG233" s="2"/>
      <c r="CH233" s="2"/>
      <c r="CI233" s="2"/>
      <c r="CJ233" s="2"/>
      <c r="CK233" s="2"/>
      <c r="CL233" s="2"/>
      <c r="CM233" s="2"/>
      <c r="CN233" s="2"/>
      <c r="CO233" s="2"/>
      <c r="CP233" s="2"/>
      <c r="CQ233" s="2"/>
      <c r="CR233" s="2"/>
      <c r="CS233" s="111"/>
      <c r="CT233" s="111"/>
      <c r="CU233" s="111"/>
      <c r="CV233" s="111"/>
      <c r="CW233" s="111"/>
      <c r="CX233" s="111"/>
      <c r="CY233" s="111"/>
      <c r="CZ233" s="111"/>
      <c r="DA233" s="111"/>
      <c r="DB233" s="111"/>
      <c r="DC233" s="111"/>
      <c r="DD233" s="111"/>
      <c r="DE233" s="111"/>
      <c r="DF233" s="111"/>
      <c r="DG233" s="111"/>
      <c r="DH233" s="111"/>
      <c r="DI233" s="111"/>
      <c r="DJ233" s="111"/>
      <c r="DK233" s="111"/>
      <c r="DL233" s="111"/>
      <c r="DM233" s="111"/>
      <c r="DN233" s="111"/>
      <c r="DO233" s="111"/>
      <c r="DP233" s="111"/>
      <c r="DQ233" s="111"/>
      <c r="DR233" s="111"/>
      <c r="DS233" s="111"/>
      <c r="DT233" s="111"/>
      <c r="DU233" s="111"/>
      <c r="DV233" s="111"/>
      <c r="DW233" s="111"/>
      <c r="DX233" s="111"/>
      <c r="DY233" s="111"/>
      <c r="DZ233" s="111"/>
      <c r="EA233" s="111"/>
      <c r="EB233" s="111"/>
      <c r="EC233" s="111"/>
      <c r="ED233" s="111"/>
      <c r="EE233" s="111"/>
      <c r="EF233" s="111"/>
      <c r="EG233" s="111"/>
      <c r="EH233" s="111"/>
      <c r="EI233" s="111"/>
      <c r="EJ233" s="111"/>
      <c r="EK233" s="111"/>
      <c r="EL233" s="111"/>
      <c r="EM233" s="111"/>
      <c r="EN233" s="111"/>
      <c r="EO233" s="111"/>
      <c r="EP233" s="111"/>
      <c r="EQ233" s="111"/>
      <c r="ER233" s="111"/>
      <c r="ES233" s="111"/>
      <c r="ET233" s="111"/>
      <c r="EU233" s="111"/>
      <c r="EV233" s="111"/>
      <c r="EW233" s="111"/>
      <c r="EX233" s="111"/>
      <c r="EY233" s="111"/>
      <c r="EZ233" s="111"/>
      <c r="FA233" s="111"/>
      <c r="FB233" s="111"/>
      <c r="FC233" s="111"/>
      <c r="FD233" s="111"/>
      <c r="FE233" s="111"/>
      <c r="FF233" s="111"/>
    </row>
  </sheetData>
  <mergeCells count="3">
    <mergeCell ref="L2:L6"/>
    <mergeCell ref="M2:O6"/>
    <mergeCell ref="BC7:BH7"/>
  </mergeCells>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355"/>
  <sheetViews>
    <sheetView workbookViewId="0"/>
  </sheetViews>
  <sheetFormatPr defaultRowHeight="15" x14ac:dyDescent="0.25"/>
  <cols>
    <col min="1" max="1" style="15" width="13.576428571428572" customWidth="1" bestFit="1"/>
    <col min="2" max="2" style="15" width="13.576428571428572" customWidth="1" bestFit="1"/>
    <col min="3" max="3" style="15" width="13.576428571428572" customWidth="1" bestFit="1"/>
    <col min="4" max="4" style="23" width="41.43357142857143" customWidth="1" bestFit="1"/>
    <col min="5" max="5" style="33" width="14.862142857142858" customWidth="1" bestFit="1"/>
    <col min="6" max="6" style="33" width="15.290714285714287" customWidth="1" bestFit="1"/>
    <col min="7" max="7" style="15" width="13.576428571428572" customWidth="1" bestFit="1"/>
    <col min="8" max="8" style="15" width="13.576428571428572" customWidth="1" bestFit="1"/>
  </cols>
  <sheetData>
    <row x14ac:dyDescent="0.25" r="1" customHeight="1" ht="18.75">
      <c r="A1" s="1"/>
      <c r="B1" s="1"/>
      <c r="C1" s="1"/>
      <c r="D1" s="17"/>
      <c r="E1" s="24"/>
      <c r="F1" s="24"/>
      <c r="G1" s="1"/>
      <c r="H1" s="1"/>
    </row>
    <row x14ac:dyDescent="0.25" r="2" customHeight="1" ht="18.75">
      <c r="A2" s="1"/>
      <c r="B2" s="1"/>
      <c r="C2" s="1"/>
      <c r="D2" s="17"/>
      <c r="E2" s="24"/>
      <c r="F2" s="24"/>
      <c r="G2" s="1"/>
      <c r="H2" s="1"/>
    </row>
    <row x14ac:dyDescent="0.25" r="3" customHeight="1" ht="18.75">
      <c r="A3" s="1"/>
      <c r="B3" s="25" t="s">
        <v>38276</v>
      </c>
      <c r="C3" s="25" t="s">
        <v>36364</v>
      </c>
      <c r="D3" s="26" t="s">
        <v>38277</v>
      </c>
      <c r="E3" s="27" t="s">
        <v>38278</v>
      </c>
      <c r="F3" s="27" t="s">
        <v>38279</v>
      </c>
      <c r="G3" s="25" t="s">
        <v>38280</v>
      </c>
      <c r="H3" s="25" t="s">
        <v>38281</v>
      </c>
    </row>
    <row x14ac:dyDescent="0.25" r="4" customHeight="1" ht="18.75">
      <c r="A4" s="1"/>
      <c r="B4" s="28" t="s">
        <v>5</v>
      </c>
      <c r="C4" s="28" t="s">
        <v>87</v>
      </c>
      <c r="D4" s="29" t="s">
        <v>38282</v>
      </c>
      <c r="E4" s="30">
        <v>45123</v>
      </c>
      <c r="F4" s="30">
        <v>46584</v>
      </c>
      <c r="G4" s="28" t="s">
        <v>38283</v>
      </c>
      <c r="H4" s="28" t="s">
        <v>38284</v>
      </c>
    </row>
    <row x14ac:dyDescent="0.25" r="5" customHeight="1" ht="18.75">
      <c r="A5" s="1"/>
      <c r="B5" s="28" t="s">
        <v>5</v>
      </c>
      <c r="C5" s="28" t="s">
        <v>87</v>
      </c>
      <c r="D5" s="29" t="s">
        <v>38285</v>
      </c>
      <c r="E5" s="30">
        <v>45370</v>
      </c>
      <c r="F5" s="30">
        <v>47561</v>
      </c>
      <c r="G5" s="28" t="s">
        <v>38283</v>
      </c>
      <c r="H5" s="28" t="s">
        <v>38286</v>
      </c>
    </row>
    <row x14ac:dyDescent="0.25" r="6" customHeight="1" ht="18.75">
      <c r="A6" s="1"/>
      <c r="B6" s="28" t="s">
        <v>5</v>
      </c>
      <c r="C6" s="28" t="s">
        <v>87</v>
      </c>
      <c r="D6" s="29" t="s">
        <v>38287</v>
      </c>
      <c r="E6" s="30">
        <v>42465</v>
      </c>
      <c r="F6" s="30">
        <v>46117</v>
      </c>
      <c r="G6" s="28" t="s">
        <v>38283</v>
      </c>
      <c r="H6" s="28" t="s">
        <v>38288</v>
      </c>
    </row>
    <row x14ac:dyDescent="0.25" r="7" customHeight="1" ht="18.75">
      <c r="A7" s="1"/>
      <c r="B7" s="28" t="s">
        <v>5</v>
      </c>
      <c r="C7" s="28" t="s">
        <v>87</v>
      </c>
      <c r="D7" s="29" t="s">
        <v>38289</v>
      </c>
      <c r="E7" s="30">
        <v>43809</v>
      </c>
      <c r="F7" s="30">
        <v>46731</v>
      </c>
      <c r="G7" s="28" t="s">
        <v>38283</v>
      </c>
      <c r="H7" s="28" t="s">
        <v>38290</v>
      </c>
    </row>
    <row x14ac:dyDescent="0.25" r="8" customHeight="1" ht="18.75">
      <c r="A8" s="1"/>
      <c r="B8" s="28" t="s">
        <v>5</v>
      </c>
      <c r="C8" s="28" t="s">
        <v>87</v>
      </c>
      <c r="D8" s="29" t="s">
        <v>38291</v>
      </c>
      <c r="E8" s="30">
        <v>45370</v>
      </c>
      <c r="F8" s="30">
        <v>49022</v>
      </c>
      <c r="G8" s="28" t="s">
        <v>38283</v>
      </c>
      <c r="H8" s="28" t="s">
        <v>38292</v>
      </c>
    </row>
    <row x14ac:dyDescent="0.25" r="9" customHeight="1" ht="18.75">
      <c r="A9" s="1"/>
      <c r="B9" s="28" t="s">
        <v>5</v>
      </c>
      <c r="C9" s="28" t="s">
        <v>87</v>
      </c>
      <c r="D9" s="29" t="s">
        <v>38293</v>
      </c>
      <c r="E9" s="30">
        <v>45030</v>
      </c>
      <c r="F9" s="30">
        <v>46491</v>
      </c>
      <c r="G9" s="28" t="s">
        <v>38283</v>
      </c>
      <c r="H9" s="28" t="s">
        <v>38294</v>
      </c>
    </row>
    <row x14ac:dyDescent="0.25" r="10" customHeight="1" ht="18.75">
      <c r="A10" s="1"/>
      <c r="B10" s="28" t="s">
        <v>5</v>
      </c>
      <c r="C10" s="28" t="s">
        <v>87</v>
      </c>
      <c r="D10" s="29" t="s">
        <v>38295</v>
      </c>
      <c r="E10" s="30">
        <v>45154</v>
      </c>
      <c r="F10" s="30">
        <v>46377</v>
      </c>
      <c r="G10" s="28" t="s">
        <v>38283</v>
      </c>
      <c r="H10" s="28" t="s">
        <v>38296</v>
      </c>
    </row>
    <row x14ac:dyDescent="0.25" r="11" customHeight="1" ht="18.75">
      <c r="A11" s="1"/>
      <c r="B11" s="28" t="s">
        <v>5</v>
      </c>
      <c r="C11" s="28" t="s">
        <v>87</v>
      </c>
      <c r="D11" s="29" t="s">
        <v>38297</v>
      </c>
      <c r="E11" s="30">
        <v>45135</v>
      </c>
      <c r="F11" s="30">
        <v>46964</v>
      </c>
      <c r="G11" s="28" t="s">
        <v>38283</v>
      </c>
      <c r="H11" s="28" t="s">
        <v>38298</v>
      </c>
    </row>
    <row x14ac:dyDescent="0.25" r="12" customHeight="1" ht="18.75">
      <c r="A12" s="1"/>
      <c r="B12" s="28" t="s">
        <v>5</v>
      </c>
      <c r="C12" s="28" t="s">
        <v>86</v>
      </c>
      <c r="D12" s="29" t="s">
        <v>38299</v>
      </c>
      <c r="E12" s="30">
        <v>45728</v>
      </c>
      <c r="F12" s="30">
        <v>46093</v>
      </c>
      <c r="G12" s="28" t="s">
        <v>38283</v>
      </c>
      <c r="H12" s="28" t="s">
        <v>38300</v>
      </c>
    </row>
    <row x14ac:dyDescent="0.25" r="13" customHeight="1" ht="18.75">
      <c r="A13" s="1"/>
      <c r="B13" s="28" t="s">
        <v>5</v>
      </c>
      <c r="C13" s="28" t="s">
        <v>86</v>
      </c>
      <c r="D13" s="29" t="s">
        <v>38301</v>
      </c>
      <c r="E13" s="30">
        <v>45715</v>
      </c>
      <c r="F13" s="30">
        <v>49367</v>
      </c>
      <c r="G13" s="28" t="s">
        <v>38283</v>
      </c>
      <c r="H13" s="28" t="s">
        <v>38302</v>
      </c>
    </row>
    <row x14ac:dyDescent="0.25" r="14" customHeight="1" ht="18.75">
      <c r="A14" s="1"/>
      <c r="B14" s="28" t="s">
        <v>5</v>
      </c>
      <c r="C14" s="28" t="s">
        <v>86</v>
      </c>
      <c r="D14" s="29" t="s">
        <v>38303</v>
      </c>
      <c r="E14" s="30">
        <v>45145</v>
      </c>
      <c r="F14" s="30">
        <v>46970</v>
      </c>
      <c r="G14" s="28" t="s">
        <v>38283</v>
      </c>
      <c r="H14" s="28" t="s">
        <v>38304</v>
      </c>
    </row>
    <row x14ac:dyDescent="0.25" r="15" customHeight="1" ht="18.75">
      <c r="A15" s="1"/>
      <c r="B15" s="28" t="s">
        <v>5</v>
      </c>
      <c r="C15" s="28" t="s">
        <v>86</v>
      </c>
      <c r="D15" s="29" t="s">
        <v>38305</v>
      </c>
      <c r="E15" s="30">
        <v>45667</v>
      </c>
      <c r="F15" s="30">
        <v>49319</v>
      </c>
      <c r="G15" s="28" t="s">
        <v>38283</v>
      </c>
      <c r="H15" s="28" t="s">
        <v>38306</v>
      </c>
    </row>
    <row x14ac:dyDescent="0.25" r="16" customHeight="1" ht="18.75">
      <c r="A16" s="1"/>
      <c r="B16" s="28" t="s">
        <v>5</v>
      </c>
      <c r="C16" s="28" t="s">
        <v>86</v>
      </c>
      <c r="D16" s="29" t="s">
        <v>38307</v>
      </c>
      <c r="E16" s="30">
        <v>44189</v>
      </c>
      <c r="F16" s="30">
        <v>47841</v>
      </c>
      <c r="G16" s="28" t="s">
        <v>38283</v>
      </c>
      <c r="H16" s="28" t="s">
        <v>38308</v>
      </c>
    </row>
    <row x14ac:dyDescent="0.25" r="17" customHeight="1" ht="18.75">
      <c r="A17" s="1"/>
      <c r="B17" s="28" t="s">
        <v>5</v>
      </c>
      <c r="C17" s="28" t="s">
        <v>86</v>
      </c>
      <c r="D17" s="29" t="s">
        <v>38309</v>
      </c>
      <c r="E17" s="30">
        <v>44884</v>
      </c>
      <c r="F17" s="30">
        <v>46345</v>
      </c>
      <c r="G17" s="28" t="s">
        <v>38283</v>
      </c>
      <c r="H17" s="28" t="s">
        <v>38310</v>
      </c>
    </row>
    <row x14ac:dyDescent="0.25" r="18" customHeight="1" ht="18.75">
      <c r="A18" s="1"/>
      <c r="B18" s="28" t="s">
        <v>5</v>
      </c>
      <c r="C18" s="28" t="s">
        <v>86</v>
      </c>
      <c r="D18" s="29" t="s">
        <v>38311</v>
      </c>
      <c r="E18" s="30">
        <v>42502</v>
      </c>
      <c r="F18" s="30">
        <v>46154</v>
      </c>
      <c r="G18" s="28" t="s">
        <v>38283</v>
      </c>
      <c r="H18" s="28" t="s">
        <v>38312</v>
      </c>
    </row>
    <row x14ac:dyDescent="0.25" r="19" customHeight="1" ht="18.75">
      <c r="A19" s="1"/>
      <c r="B19" s="28" t="s">
        <v>5</v>
      </c>
      <c r="C19" s="28" t="s">
        <v>86</v>
      </c>
      <c r="D19" s="29" t="s">
        <v>38313</v>
      </c>
      <c r="E19" s="30">
        <v>43686</v>
      </c>
      <c r="F19" s="30">
        <v>45513</v>
      </c>
      <c r="G19" s="28" t="s">
        <v>38314</v>
      </c>
      <c r="H19" s="28" t="s">
        <v>38315</v>
      </c>
    </row>
    <row x14ac:dyDescent="0.25" r="20" customHeight="1" ht="18.75">
      <c r="A20" s="1"/>
      <c r="B20" s="28" t="s">
        <v>5</v>
      </c>
      <c r="C20" s="28" t="s">
        <v>86</v>
      </c>
      <c r="D20" s="29" t="s">
        <v>38316</v>
      </c>
      <c r="E20" s="30">
        <v>43551</v>
      </c>
      <c r="F20" s="30">
        <v>45378</v>
      </c>
      <c r="G20" s="28" t="s">
        <v>38314</v>
      </c>
      <c r="H20" s="28" t="s">
        <v>38317</v>
      </c>
    </row>
    <row x14ac:dyDescent="0.25" r="21" customHeight="1" ht="18.75">
      <c r="A21" s="1"/>
      <c r="B21" s="28" t="s">
        <v>5</v>
      </c>
      <c r="C21" s="28" t="s">
        <v>86</v>
      </c>
      <c r="D21" s="29" t="s">
        <v>38318</v>
      </c>
      <c r="E21" s="30">
        <v>43063</v>
      </c>
      <c r="F21" s="30">
        <v>44889</v>
      </c>
      <c r="G21" s="28" t="s">
        <v>38314</v>
      </c>
      <c r="H21" s="28" t="s">
        <v>38319</v>
      </c>
    </row>
    <row x14ac:dyDescent="0.25" r="22" customHeight="1" ht="18.75">
      <c r="A22" s="1"/>
      <c r="B22" s="28" t="s">
        <v>5</v>
      </c>
      <c r="C22" s="28" t="s">
        <v>86</v>
      </c>
      <c r="D22" s="29" t="s">
        <v>38320</v>
      </c>
      <c r="E22" s="30">
        <v>44147</v>
      </c>
      <c r="F22" s="30">
        <v>45973</v>
      </c>
      <c r="G22" s="28" t="s">
        <v>38314</v>
      </c>
      <c r="H22" s="28" t="s">
        <v>38321</v>
      </c>
    </row>
    <row x14ac:dyDescent="0.25" r="23" customHeight="1" ht="18.75">
      <c r="A23" s="1"/>
      <c r="B23" s="28" t="s">
        <v>5</v>
      </c>
      <c r="C23" s="28" t="s">
        <v>86</v>
      </c>
      <c r="D23" s="29" t="s">
        <v>38322</v>
      </c>
      <c r="E23" s="30">
        <v>43495</v>
      </c>
      <c r="F23" s="30">
        <v>45321</v>
      </c>
      <c r="G23" s="28" t="s">
        <v>38314</v>
      </c>
      <c r="H23" s="28" t="s">
        <v>38323</v>
      </c>
    </row>
    <row x14ac:dyDescent="0.25" r="24" customHeight="1" ht="18.75">
      <c r="A24" s="1"/>
      <c r="B24" s="28" t="s">
        <v>5</v>
      </c>
      <c r="C24" s="28" t="s">
        <v>86</v>
      </c>
      <c r="D24" s="29" t="s">
        <v>38324</v>
      </c>
      <c r="E24" s="30">
        <v>43635</v>
      </c>
      <c r="F24" s="30">
        <v>45462</v>
      </c>
      <c r="G24" s="28" t="s">
        <v>38314</v>
      </c>
      <c r="H24" s="28" t="s">
        <v>38325</v>
      </c>
    </row>
    <row x14ac:dyDescent="0.25" r="25" customHeight="1" ht="18.75">
      <c r="A25" s="1"/>
      <c r="B25" s="28" t="s">
        <v>5</v>
      </c>
      <c r="C25" s="28" t="s">
        <v>86</v>
      </c>
      <c r="D25" s="29" t="s">
        <v>38326</v>
      </c>
      <c r="E25" s="30">
        <v>44051</v>
      </c>
      <c r="F25" s="30">
        <v>45878</v>
      </c>
      <c r="G25" s="28" t="s">
        <v>38314</v>
      </c>
      <c r="H25" s="28" t="s">
        <v>38327</v>
      </c>
    </row>
    <row x14ac:dyDescent="0.25" r="26" customHeight="1" ht="18.75">
      <c r="A26" s="1"/>
      <c r="B26" s="28" t="s">
        <v>5</v>
      </c>
      <c r="C26" s="28" t="s">
        <v>86</v>
      </c>
      <c r="D26" s="29" t="s">
        <v>38328</v>
      </c>
      <c r="E26" s="30">
        <v>43783</v>
      </c>
      <c r="F26" s="30">
        <v>45611</v>
      </c>
      <c r="G26" s="28" t="s">
        <v>38314</v>
      </c>
      <c r="H26" s="28" t="s">
        <v>38329</v>
      </c>
    </row>
    <row x14ac:dyDescent="0.25" r="27" customHeight="1" ht="18.75">
      <c r="A27" s="1"/>
      <c r="B27" s="28" t="s">
        <v>5</v>
      </c>
      <c r="C27" s="28" t="s">
        <v>86</v>
      </c>
      <c r="D27" s="29" t="s">
        <v>38330</v>
      </c>
      <c r="E27" s="30">
        <v>43783</v>
      </c>
      <c r="F27" s="30">
        <v>45611</v>
      </c>
      <c r="G27" s="28" t="s">
        <v>38314</v>
      </c>
      <c r="H27" s="28" t="s">
        <v>38331</v>
      </c>
    </row>
    <row x14ac:dyDescent="0.25" r="28" customHeight="1" ht="18.75">
      <c r="A28" s="1"/>
      <c r="B28" s="28" t="s">
        <v>5</v>
      </c>
      <c r="C28" s="28" t="s">
        <v>86</v>
      </c>
      <c r="D28" s="29" t="s">
        <v>38332</v>
      </c>
      <c r="E28" s="30">
        <v>43839</v>
      </c>
      <c r="F28" s="30">
        <v>45667</v>
      </c>
      <c r="G28" s="28" t="s">
        <v>38314</v>
      </c>
      <c r="H28" s="28" t="s">
        <v>38333</v>
      </c>
    </row>
    <row x14ac:dyDescent="0.25" r="29" customHeight="1" ht="18.75">
      <c r="A29" s="1"/>
      <c r="B29" s="28" t="s">
        <v>5</v>
      </c>
      <c r="C29" s="28" t="s">
        <v>86</v>
      </c>
      <c r="D29" s="29" t="s">
        <v>38334</v>
      </c>
      <c r="E29" s="30">
        <v>44665</v>
      </c>
      <c r="F29" s="30">
        <v>45973</v>
      </c>
      <c r="G29" s="28" t="s">
        <v>38314</v>
      </c>
      <c r="H29" s="28" t="s">
        <v>38335</v>
      </c>
    </row>
    <row x14ac:dyDescent="0.25" r="30" customHeight="1" ht="18.75">
      <c r="A30" s="1"/>
      <c r="B30" s="28" t="s">
        <v>5</v>
      </c>
      <c r="C30" s="28" t="s">
        <v>86</v>
      </c>
      <c r="D30" s="29" t="s">
        <v>38336</v>
      </c>
      <c r="E30" s="30">
        <v>43063</v>
      </c>
      <c r="F30" s="30">
        <v>44889</v>
      </c>
      <c r="G30" s="28" t="s">
        <v>38314</v>
      </c>
      <c r="H30" s="28" t="s">
        <v>38337</v>
      </c>
    </row>
    <row x14ac:dyDescent="0.25" r="31" customHeight="1" ht="18.75">
      <c r="A31" s="1"/>
      <c r="B31" s="28" t="s">
        <v>5</v>
      </c>
      <c r="C31" s="28" t="s">
        <v>86</v>
      </c>
      <c r="D31" s="29" t="s">
        <v>38338</v>
      </c>
      <c r="E31" s="30">
        <v>37259</v>
      </c>
      <c r="F31" s="30">
        <v>39081</v>
      </c>
      <c r="G31" s="28" t="s">
        <v>38314</v>
      </c>
      <c r="H31" s="28" t="s">
        <v>3778</v>
      </c>
    </row>
    <row x14ac:dyDescent="0.25" r="32" customHeight="1" ht="18.75">
      <c r="A32" s="1"/>
      <c r="B32" s="28" t="s">
        <v>5</v>
      </c>
      <c r="C32" s="28" t="s">
        <v>86</v>
      </c>
      <c r="D32" s="29" t="s">
        <v>38339</v>
      </c>
      <c r="E32" s="30">
        <v>43868</v>
      </c>
      <c r="F32" s="30">
        <v>45696</v>
      </c>
      <c r="G32" s="28" t="s">
        <v>38314</v>
      </c>
      <c r="H32" s="28" t="s">
        <v>38340</v>
      </c>
    </row>
    <row x14ac:dyDescent="0.25" r="33" customHeight="1" ht="18.75">
      <c r="A33" s="1"/>
      <c r="B33" s="28" t="s">
        <v>5</v>
      </c>
      <c r="C33" s="28" t="s">
        <v>86</v>
      </c>
      <c r="D33" s="29" t="s">
        <v>38341</v>
      </c>
      <c r="E33" s="30">
        <v>43872</v>
      </c>
      <c r="F33" s="30">
        <v>45700</v>
      </c>
      <c r="G33" s="28" t="s">
        <v>38314</v>
      </c>
      <c r="H33" s="28" t="s">
        <v>38342</v>
      </c>
    </row>
    <row x14ac:dyDescent="0.25" r="34" customHeight="1" ht="18.75">
      <c r="A34" s="1"/>
      <c r="B34" s="28" t="s">
        <v>5</v>
      </c>
      <c r="C34" s="28" t="s">
        <v>86</v>
      </c>
      <c r="D34" s="29" t="s">
        <v>38343</v>
      </c>
      <c r="E34" s="30">
        <v>43843</v>
      </c>
      <c r="F34" s="30">
        <v>45671</v>
      </c>
      <c r="G34" s="28" t="s">
        <v>38314</v>
      </c>
      <c r="H34" s="28" t="s">
        <v>38344</v>
      </c>
    </row>
    <row x14ac:dyDescent="0.25" r="35" customHeight="1" ht="18.75">
      <c r="A35" s="1"/>
      <c r="B35" s="28" t="s">
        <v>5</v>
      </c>
      <c r="C35" s="28" t="s">
        <v>86</v>
      </c>
      <c r="D35" s="29" t="s">
        <v>38345</v>
      </c>
      <c r="E35" s="30">
        <v>41459</v>
      </c>
      <c r="F35" s="30">
        <v>45111</v>
      </c>
      <c r="G35" s="28" t="s">
        <v>38314</v>
      </c>
      <c r="H35" s="28" t="s">
        <v>38346</v>
      </c>
    </row>
    <row x14ac:dyDescent="0.25" r="36" customHeight="1" ht="18.75">
      <c r="A36" s="1"/>
      <c r="B36" s="28" t="s">
        <v>5</v>
      </c>
      <c r="C36" s="28" t="s">
        <v>88</v>
      </c>
      <c r="D36" s="29" t="s">
        <v>38347</v>
      </c>
      <c r="E36" s="30">
        <v>45345</v>
      </c>
      <c r="F36" s="30">
        <v>46076</v>
      </c>
      <c r="G36" s="28" t="s">
        <v>38283</v>
      </c>
      <c r="H36" s="28" t="s">
        <v>38348</v>
      </c>
    </row>
    <row x14ac:dyDescent="0.25" r="37" customHeight="1" ht="18.75">
      <c r="A37" s="1"/>
      <c r="B37" s="28" t="s">
        <v>5</v>
      </c>
      <c r="C37" s="28" t="s">
        <v>88</v>
      </c>
      <c r="D37" s="29" t="s">
        <v>38349</v>
      </c>
      <c r="E37" s="30">
        <v>44869</v>
      </c>
      <c r="F37" s="30">
        <v>46694</v>
      </c>
      <c r="G37" s="28" t="s">
        <v>38283</v>
      </c>
      <c r="H37" s="28" t="s">
        <v>38350</v>
      </c>
    </row>
    <row x14ac:dyDescent="0.25" r="38" customHeight="1" ht="18.75">
      <c r="A38" s="1"/>
      <c r="B38" s="28" t="s">
        <v>5</v>
      </c>
      <c r="C38" s="28" t="s">
        <v>88</v>
      </c>
      <c r="D38" s="29" t="s">
        <v>38351</v>
      </c>
      <c r="E38" s="30">
        <v>45502</v>
      </c>
      <c r="F38" s="30">
        <v>46232</v>
      </c>
      <c r="G38" s="28" t="s">
        <v>38283</v>
      </c>
      <c r="H38" s="28" t="s">
        <v>38352</v>
      </c>
    </row>
    <row x14ac:dyDescent="0.25" r="39" customHeight="1" ht="18.75">
      <c r="A39" s="1"/>
      <c r="B39" s="28" t="s">
        <v>5</v>
      </c>
      <c r="C39" s="28" t="s">
        <v>88</v>
      </c>
      <c r="D39" s="29" t="s">
        <v>38353</v>
      </c>
      <c r="E39" s="30">
        <v>45545</v>
      </c>
      <c r="F39" s="30">
        <v>46275</v>
      </c>
      <c r="G39" s="28" t="s">
        <v>38283</v>
      </c>
      <c r="H39" s="28" t="s">
        <v>38354</v>
      </c>
    </row>
    <row x14ac:dyDescent="0.25" r="40" customHeight="1" ht="18.75">
      <c r="A40" s="1"/>
      <c r="B40" s="28" t="s">
        <v>5</v>
      </c>
      <c r="C40" s="28" t="s">
        <v>88</v>
      </c>
      <c r="D40" s="29" t="s">
        <v>38355</v>
      </c>
      <c r="E40" s="30">
        <v>45722</v>
      </c>
      <c r="F40" s="30">
        <v>46452</v>
      </c>
      <c r="G40" s="28" t="s">
        <v>38283</v>
      </c>
      <c r="H40" s="28" t="s">
        <v>38356</v>
      </c>
    </row>
    <row x14ac:dyDescent="0.25" r="41" customHeight="1" ht="18.75">
      <c r="A41" s="1"/>
      <c r="B41" s="28" t="s">
        <v>5</v>
      </c>
      <c r="C41" s="28" t="s">
        <v>88</v>
      </c>
      <c r="D41" s="31">
        <v>157189</v>
      </c>
      <c r="E41" s="30">
        <v>45075</v>
      </c>
      <c r="F41" s="30">
        <v>46536</v>
      </c>
      <c r="G41" s="28" t="s">
        <v>38283</v>
      </c>
      <c r="H41" s="28" t="s">
        <v>38357</v>
      </c>
    </row>
    <row x14ac:dyDescent="0.25" r="42" customHeight="1" ht="18.75">
      <c r="A42" s="1"/>
      <c r="B42" s="28" t="s">
        <v>5</v>
      </c>
      <c r="C42" s="28" t="s">
        <v>88</v>
      </c>
      <c r="D42" s="29" t="s">
        <v>38358</v>
      </c>
      <c r="E42" s="30">
        <v>44762</v>
      </c>
      <c r="F42" s="30">
        <v>46431</v>
      </c>
      <c r="G42" s="28" t="s">
        <v>38283</v>
      </c>
      <c r="H42" s="28" t="s">
        <v>38359</v>
      </c>
    </row>
    <row x14ac:dyDescent="0.25" r="43" customHeight="1" ht="18.75">
      <c r="A43" s="1"/>
      <c r="B43" s="28" t="s">
        <v>5</v>
      </c>
      <c r="C43" s="28" t="s">
        <v>88</v>
      </c>
      <c r="D43" s="29" t="s">
        <v>38360</v>
      </c>
      <c r="E43" s="30">
        <v>45351</v>
      </c>
      <c r="F43" s="30">
        <v>46812</v>
      </c>
      <c r="G43" s="28" t="s">
        <v>38283</v>
      </c>
      <c r="H43" s="28" t="s">
        <v>38361</v>
      </c>
    </row>
    <row x14ac:dyDescent="0.25" r="44" customHeight="1" ht="18.75">
      <c r="A44" s="1"/>
      <c r="B44" s="28" t="s">
        <v>5</v>
      </c>
      <c r="C44" s="28" t="s">
        <v>88</v>
      </c>
      <c r="D44" s="29" t="s">
        <v>38362</v>
      </c>
      <c r="E44" s="30">
        <v>44959</v>
      </c>
      <c r="F44" s="30">
        <v>45690</v>
      </c>
      <c r="G44" s="28" t="s">
        <v>38314</v>
      </c>
      <c r="H44" s="28" t="s">
        <v>38363</v>
      </c>
    </row>
    <row x14ac:dyDescent="0.25" r="45" customHeight="1" ht="18.75">
      <c r="A45" s="1"/>
      <c r="B45" s="28" t="s">
        <v>5</v>
      </c>
      <c r="C45" s="28" t="s">
        <v>88</v>
      </c>
      <c r="D45" s="29" t="s">
        <v>38364</v>
      </c>
      <c r="E45" s="30">
        <v>45049</v>
      </c>
      <c r="F45" s="30">
        <v>45780</v>
      </c>
      <c r="G45" s="28" t="s">
        <v>38314</v>
      </c>
      <c r="H45" s="28" t="s">
        <v>38365</v>
      </c>
    </row>
    <row x14ac:dyDescent="0.25" r="46" customHeight="1" ht="18.75">
      <c r="A46" s="1"/>
      <c r="B46" s="28" t="s">
        <v>5</v>
      </c>
      <c r="C46" s="28" t="s">
        <v>88</v>
      </c>
      <c r="D46" s="29" t="s">
        <v>38366</v>
      </c>
      <c r="E46" s="30">
        <v>42732</v>
      </c>
      <c r="F46" s="30">
        <v>44923</v>
      </c>
      <c r="G46" s="28" t="s">
        <v>38314</v>
      </c>
      <c r="H46" s="28" t="s">
        <v>38367</v>
      </c>
    </row>
    <row x14ac:dyDescent="0.25" r="47" customHeight="1" ht="18.75">
      <c r="A47" s="1"/>
      <c r="B47" s="28" t="s">
        <v>5</v>
      </c>
      <c r="C47" s="28" t="s">
        <v>88</v>
      </c>
      <c r="D47" s="29" t="s">
        <v>38368</v>
      </c>
      <c r="E47" s="30">
        <v>45114</v>
      </c>
      <c r="F47" s="30">
        <v>45480</v>
      </c>
      <c r="G47" s="28" t="s">
        <v>38314</v>
      </c>
      <c r="H47" s="28" t="s">
        <v>38369</v>
      </c>
    </row>
    <row x14ac:dyDescent="0.25" r="48" customHeight="1" ht="18.75">
      <c r="A48" s="1"/>
      <c r="B48" s="28" t="s">
        <v>5</v>
      </c>
      <c r="C48" s="28" t="s">
        <v>38370</v>
      </c>
      <c r="D48" s="29" t="s">
        <v>38371</v>
      </c>
      <c r="E48" s="30">
        <v>45821</v>
      </c>
      <c r="F48" s="30">
        <v>49473</v>
      </c>
      <c r="G48" s="28" t="s">
        <v>38283</v>
      </c>
      <c r="H48" s="28" t="s">
        <v>38372</v>
      </c>
    </row>
    <row x14ac:dyDescent="0.25" r="49" customHeight="1" ht="18.75">
      <c r="A49" s="1"/>
      <c r="B49" s="28" t="s">
        <v>5</v>
      </c>
      <c r="C49" s="28" t="s">
        <v>38370</v>
      </c>
      <c r="D49" s="29" t="s">
        <v>38373</v>
      </c>
      <c r="E49" s="30">
        <v>42905</v>
      </c>
      <c r="F49" s="30">
        <v>46557</v>
      </c>
      <c r="G49" s="28" t="s">
        <v>38283</v>
      </c>
      <c r="H49" s="28" t="s">
        <v>38374</v>
      </c>
    </row>
    <row x14ac:dyDescent="0.25" r="50" customHeight="1" ht="18.75">
      <c r="A50" s="1"/>
      <c r="B50" s="28" t="s">
        <v>5</v>
      </c>
      <c r="C50" s="28" t="s">
        <v>38370</v>
      </c>
      <c r="D50" s="29" t="s">
        <v>38375</v>
      </c>
      <c r="E50" s="30">
        <v>45124</v>
      </c>
      <c r="F50" s="30">
        <v>48777</v>
      </c>
      <c r="G50" s="28" t="s">
        <v>38283</v>
      </c>
      <c r="H50" s="28" t="s">
        <v>38376</v>
      </c>
    </row>
    <row x14ac:dyDescent="0.25" r="51" customHeight="1" ht="18.75">
      <c r="A51" s="1"/>
      <c r="B51" s="28" t="s">
        <v>5</v>
      </c>
      <c r="C51" s="28" t="s">
        <v>38370</v>
      </c>
      <c r="D51" s="29" t="s">
        <v>38377</v>
      </c>
      <c r="E51" s="30">
        <v>42797</v>
      </c>
      <c r="F51" s="30">
        <v>46449</v>
      </c>
      <c r="G51" s="28" t="s">
        <v>38283</v>
      </c>
      <c r="H51" s="28" t="s">
        <v>38378</v>
      </c>
    </row>
    <row x14ac:dyDescent="0.25" r="52" customHeight="1" ht="18.75">
      <c r="A52" s="1"/>
      <c r="B52" s="28" t="s">
        <v>5</v>
      </c>
      <c r="C52" s="28" t="s">
        <v>38370</v>
      </c>
      <c r="D52" s="29" t="s">
        <v>38379</v>
      </c>
      <c r="E52" s="30">
        <v>43223</v>
      </c>
      <c r="F52" s="30">
        <v>46876</v>
      </c>
      <c r="G52" s="28" t="s">
        <v>38283</v>
      </c>
      <c r="H52" s="28" t="s">
        <v>38380</v>
      </c>
    </row>
    <row x14ac:dyDescent="0.25" r="53" customHeight="1" ht="18.75">
      <c r="A53" s="1"/>
      <c r="B53" s="28" t="s">
        <v>5</v>
      </c>
      <c r="C53" s="28" t="s">
        <v>38370</v>
      </c>
      <c r="D53" s="29" t="s">
        <v>38381</v>
      </c>
      <c r="E53" s="30">
        <v>45105</v>
      </c>
      <c r="F53" s="30">
        <v>47297</v>
      </c>
      <c r="G53" s="28" t="s">
        <v>38283</v>
      </c>
      <c r="H53" s="28" t="s">
        <v>38382</v>
      </c>
    </row>
    <row x14ac:dyDescent="0.25" r="54" customHeight="1" ht="18.75">
      <c r="A54" s="1"/>
      <c r="B54" s="28" t="s">
        <v>5</v>
      </c>
      <c r="C54" s="28" t="s">
        <v>38370</v>
      </c>
      <c r="D54" s="29" t="s">
        <v>38383</v>
      </c>
      <c r="E54" s="30">
        <v>45383</v>
      </c>
      <c r="F54" s="30">
        <v>49035</v>
      </c>
      <c r="G54" s="28" t="s">
        <v>38283</v>
      </c>
      <c r="H54" s="28" t="s">
        <v>38384</v>
      </c>
    </row>
    <row x14ac:dyDescent="0.25" r="55" customHeight="1" ht="18.75">
      <c r="A55" s="1"/>
      <c r="B55" s="28" t="s">
        <v>5</v>
      </c>
      <c r="C55" s="28" t="s">
        <v>38370</v>
      </c>
      <c r="D55" s="29" t="s">
        <v>38385</v>
      </c>
      <c r="E55" s="30">
        <v>37610</v>
      </c>
      <c r="F55" s="30">
        <v>39436</v>
      </c>
      <c r="G55" s="28" t="s">
        <v>38314</v>
      </c>
      <c r="H55" s="28" t="s">
        <v>38386</v>
      </c>
    </row>
    <row x14ac:dyDescent="0.25" r="56" customHeight="1" ht="18.75">
      <c r="A56" s="1"/>
      <c r="B56" s="28" t="s">
        <v>5</v>
      </c>
      <c r="C56" s="28" t="s">
        <v>38370</v>
      </c>
      <c r="D56" s="29" t="s">
        <v>38387</v>
      </c>
      <c r="E56" s="30">
        <v>44138</v>
      </c>
      <c r="F56" s="30">
        <v>45599</v>
      </c>
      <c r="G56" s="28" t="s">
        <v>38314</v>
      </c>
      <c r="H56" s="28" t="s">
        <v>38388</v>
      </c>
    </row>
    <row x14ac:dyDescent="0.25" r="57" customHeight="1" ht="18.75">
      <c r="A57" s="1"/>
      <c r="B57" s="28" t="s">
        <v>5</v>
      </c>
      <c r="C57" s="28" t="s">
        <v>38370</v>
      </c>
      <c r="D57" s="29" t="s">
        <v>38389</v>
      </c>
      <c r="E57" s="30">
        <v>40711</v>
      </c>
      <c r="F57" s="30">
        <v>44364</v>
      </c>
      <c r="G57" s="28" t="s">
        <v>38314</v>
      </c>
      <c r="H57" s="28" t="s">
        <v>38390</v>
      </c>
    </row>
    <row x14ac:dyDescent="0.25" r="58" customHeight="1" ht="18.75">
      <c r="A58" s="1"/>
      <c r="B58" s="28" t="s">
        <v>5</v>
      </c>
      <c r="C58" s="28" t="s">
        <v>38370</v>
      </c>
      <c r="D58" s="29" t="s">
        <v>38391</v>
      </c>
      <c r="E58" s="30">
        <v>42536</v>
      </c>
      <c r="F58" s="30">
        <v>43772</v>
      </c>
      <c r="G58" s="28" t="s">
        <v>38314</v>
      </c>
      <c r="H58" s="28" t="s">
        <v>38392</v>
      </c>
    </row>
    <row x14ac:dyDescent="0.25" r="59" customHeight="1" ht="18.75">
      <c r="A59" s="1"/>
      <c r="B59" s="28" t="s">
        <v>5</v>
      </c>
      <c r="C59" s="28" t="s">
        <v>38370</v>
      </c>
      <c r="D59" s="29" t="s">
        <v>38393</v>
      </c>
      <c r="E59" s="30">
        <v>43489</v>
      </c>
      <c r="F59" s="30">
        <v>45314</v>
      </c>
      <c r="G59" s="28" t="s">
        <v>38314</v>
      </c>
      <c r="H59" s="28" t="s">
        <v>38394</v>
      </c>
    </row>
    <row x14ac:dyDescent="0.25" r="60" customHeight="1" ht="18.75">
      <c r="A60" s="1"/>
      <c r="B60" s="28" t="s">
        <v>5</v>
      </c>
      <c r="C60" s="28" t="s">
        <v>15</v>
      </c>
      <c r="D60" s="29" t="s">
        <v>38395</v>
      </c>
      <c r="E60" s="30">
        <v>42507</v>
      </c>
      <c r="F60" s="30">
        <v>46159</v>
      </c>
      <c r="G60" s="28" t="s">
        <v>38283</v>
      </c>
      <c r="H60" s="28" t="s">
        <v>38396</v>
      </c>
    </row>
    <row x14ac:dyDescent="0.25" r="61" customHeight="1" ht="18.75">
      <c r="A61" s="1"/>
      <c r="B61" s="28" t="s">
        <v>5</v>
      </c>
      <c r="C61" s="28" t="s">
        <v>15</v>
      </c>
      <c r="D61" s="29" t="s">
        <v>38397</v>
      </c>
      <c r="E61" s="30">
        <v>45772</v>
      </c>
      <c r="F61" s="30">
        <v>49424</v>
      </c>
      <c r="G61" s="28" t="s">
        <v>38283</v>
      </c>
      <c r="H61" s="28" t="s">
        <v>38398</v>
      </c>
    </row>
    <row x14ac:dyDescent="0.25" r="62" customHeight="1" ht="18.75">
      <c r="A62" s="1"/>
      <c r="B62" s="28" t="s">
        <v>5</v>
      </c>
      <c r="C62" s="28" t="s">
        <v>15</v>
      </c>
      <c r="D62" s="29" t="s">
        <v>38399</v>
      </c>
      <c r="E62" s="30">
        <v>40231</v>
      </c>
      <c r="F62" s="30">
        <v>41692</v>
      </c>
      <c r="G62" s="28" t="s">
        <v>38314</v>
      </c>
      <c r="H62" s="28" t="s">
        <v>38400</v>
      </c>
    </row>
    <row x14ac:dyDescent="0.25" r="63" customHeight="1" ht="18.75">
      <c r="A63" s="1"/>
      <c r="B63" s="28" t="s">
        <v>7</v>
      </c>
      <c r="C63" s="28" t="s">
        <v>86</v>
      </c>
      <c r="D63" s="29" t="s">
        <v>38401</v>
      </c>
      <c r="E63" s="30">
        <v>43238</v>
      </c>
      <c r="F63" s="30">
        <v>45430</v>
      </c>
      <c r="G63" s="28" t="s">
        <v>38314</v>
      </c>
      <c r="H63" s="28"/>
    </row>
    <row x14ac:dyDescent="0.25" r="64" customHeight="1" ht="18.75">
      <c r="A64" s="1"/>
      <c r="B64" s="28" t="s">
        <v>7</v>
      </c>
      <c r="C64" s="28" t="s">
        <v>87</v>
      </c>
      <c r="D64" s="29" t="s">
        <v>38402</v>
      </c>
      <c r="E64" s="30">
        <v>44998</v>
      </c>
      <c r="F64" s="30">
        <v>46825</v>
      </c>
      <c r="G64" s="28" t="s">
        <v>38283</v>
      </c>
      <c r="H64" s="28" t="s">
        <v>38403</v>
      </c>
    </row>
    <row x14ac:dyDescent="0.25" r="65" customHeight="1" ht="18.75">
      <c r="A65" s="1"/>
      <c r="B65" s="28" t="s">
        <v>7</v>
      </c>
      <c r="C65" s="28" t="s">
        <v>87</v>
      </c>
      <c r="D65" s="29" t="s">
        <v>38404</v>
      </c>
      <c r="E65" s="30">
        <v>44901</v>
      </c>
      <c r="F65" s="30">
        <v>46362</v>
      </c>
      <c r="G65" s="28" t="s">
        <v>38283</v>
      </c>
      <c r="H65" s="28" t="s">
        <v>38405</v>
      </c>
    </row>
    <row x14ac:dyDescent="0.25" r="66" customHeight="1" ht="18.75">
      <c r="A66" s="1"/>
      <c r="B66" s="28" t="s">
        <v>7</v>
      </c>
      <c r="C66" s="28" t="s">
        <v>87</v>
      </c>
      <c r="D66" s="29" t="s">
        <v>38406</v>
      </c>
      <c r="E66" s="30">
        <v>44873</v>
      </c>
      <c r="F66" s="30">
        <v>46334</v>
      </c>
      <c r="G66" s="28" t="s">
        <v>38283</v>
      </c>
      <c r="H66" s="28" t="s">
        <v>38407</v>
      </c>
    </row>
    <row x14ac:dyDescent="0.25" r="67" customHeight="1" ht="18.75">
      <c r="A67" s="1"/>
      <c r="B67" s="28" t="s">
        <v>7</v>
      </c>
      <c r="C67" s="28" t="s">
        <v>87</v>
      </c>
      <c r="D67" s="29" t="s">
        <v>38408</v>
      </c>
      <c r="E67" s="30">
        <v>44571</v>
      </c>
      <c r="F67" s="30">
        <v>46032</v>
      </c>
      <c r="G67" s="28" t="s">
        <v>38283</v>
      </c>
      <c r="H67" s="28" t="s">
        <v>38409</v>
      </c>
    </row>
    <row x14ac:dyDescent="0.25" r="68" customHeight="1" ht="18.75">
      <c r="A68" s="1"/>
      <c r="B68" s="28" t="s">
        <v>7</v>
      </c>
      <c r="C68" s="28" t="s">
        <v>87</v>
      </c>
      <c r="D68" s="29" t="s">
        <v>38410</v>
      </c>
      <c r="E68" s="30">
        <v>44749</v>
      </c>
      <c r="F68" s="30">
        <v>46941</v>
      </c>
      <c r="G68" s="28" t="s">
        <v>38283</v>
      </c>
      <c r="H68" s="28" t="s">
        <v>38411</v>
      </c>
    </row>
    <row x14ac:dyDescent="0.25" r="69" customHeight="1" ht="18.75">
      <c r="A69" s="1"/>
      <c r="B69" s="28" t="s">
        <v>7</v>
      </c>
      <c r="C69" s="28" t="s">
        <v>87</v>
      </c>
      <c r="D69" s="29" t="s">
        <v>38412</v>
      </c>
      <c r="E69" s="30">
        <v>45392</v>
      </c>
      <c r="F69" s="30">
        <v>46852</v>
      </c>
      <c r="G69" s="28" t="s">
        <v>38283</v>
      </c>
      <c r="H69" s="28" t="s">
        <v>38413</v>
      </c>
    </row>
    <row x14ac:dyDescent="0.25" r="70" customHeight="1" ht="18.75">
      <c r="A70" s="1"/>
      <c r="B70" s="28" t="s">
        <v>7</v>
      </c>
      <c r="C70" s="28" t="s">
        <v>87</v>
      </c>
      <c r="D70" s="29" t="s">
        <v>38414</v>
      </c>
      <c r="E70" s="30">
        <v>43525</v>
      </c>
      <c r="F70" s="30">
        <v>47178</v>
      </c>
      <c r="G70" s="28" t="s">
        <v>38283</v>
      </c>
      <c r="H70" s="28" t="s">
        <v>38415</v>
      </c>
    </row>
    <row x14ac:dyDescent="0.25" r="71" customHeight="1" ht="18.75">
      <c r="A71" s="1"/>
      <c r="B71" s="28" t="s">
        <v>7</v>
      </c>
      <c r="C71" s="28" t="s">
        <v>87</v>
      </c>
      <c r="D71" s="29" t="s">
        <v>38416</v>
      </c>
      <c r="E71" s="30">
        <v>44005</v>
      </c>
      <c r="F71" s="30">
        <v>47657</v>
      </c>
      <c r="G71" s="28" t="s">
        <v>38283</v>
      </c>
      <c r="H71" s="28" t="s">
        <v>38417</v>
      </c>
    </row>
    <row x14ac:dyDescent="0.25" r="72" customHeight="1" ht="18.75">
      <c r="A72" s="1"/>
      <c r="B72" s="28" t="s">
        <v>7</v>
      </c>
      <c r="C72" s="28" t="s">
        <v>87</v>
      </c>
      <c r="D72" s="29" t="s">
        <v>38418</v>
      </c>
      <c r="E72" s="30">
        <v>44078</v>
      </c>
      <c r="F72" s="30">
        <v>47730</v>
      </c>
      <c r="G72" s="28" t="s">
        <v>38283</v>
      </c>
      <c r="H72" s="28" t="s">
        <v>38419</v>
      </c>
    </row>
    <row x14ac:dyDescent="0.25" r="73" customHeight="1" ht="18.75">
      <c r="A73" s="1"/>
      <c r="B73" s="28" t="s">
        <v>7</v>
      </c>
      <c r="C73" s="28" t="s">
        <v>87</v>
      </c>
      <c r="D73" s="29" t="s">
        <v>38420</v>
      </c>
      <c r="E73" s="30">
        <v>45537</v>
      </c>
      <c r="F73" s="30">
        <v>49189</v>
      </c>
      <c r="G73" s="28" t="s">
        <v>38283</v>
      </c>
      <c r="H73" s="28" t="s">
        <v>38421</v>
      </c>
    </row>
    <row x14ac:dyDescent="0.25" r="74" customHeight="1" ht="18.75">
      <c r="A74" s="1"/>
      <c r="B74" s="28" t="s">
        <v>7</v>
      </c>
      <c r="C74" s="28" t="s">
        <v>87</v>
      </c>
      <c r="D74" s="29" t="s">
        <v>38422</v>
      </c>
      <c r="E74" s="30">
        <v>44922</v>
      </c>
      <c r="F74" s="30">
        <v>48575</v>
      </c>
      <c r="G74" s="28" t="s">
        <v>38283</v>
      </c>
      <c r="H74" s="28" t="s">
        <v>38423</v>
      </c>
    </row>
    <row x14ac:dyDescent="0.25" r="75" customHeight="1" ht="18.75">
      <c r="A75" s="1"/>
      <c r="B75" s="28" t="s">
        <v>7</v>
      </c>
      <c r="C75" s="28" t="s">
        <v>87</v>
      </c>
      <c r="D75" s="29" t="s">
        <v>38424</v>
      </c>
      <c r="E75" s="30">
        <v>44929</v>
      </c>
      <c r="F75" s="30">
        <v>48582</v>
      </c>
      <c r="G75" s="28" t="s">
        <v>38283</v>
      </c>
      <c r="H75" s="28" t="s">
        <v>38425</v>
      </c>
    </row>
    <row x14ac:dyDescent="0.25" r="76" customHeight="1" ht="18.75">
      <c r="A76" s="1"/>
      <c r="B76" s="28" t="s">
        <v>7</v>
      </c>
      <c r="C76" s="28" t="s">
        <v>87</v>
      </c>
      <c r="D76" s="29" t="s">
        <v>38426</v>
      </c>
      <c r="E76" s="30">
        <v>45097</v>
      </c>
      <c r="F76" s="30">
        <v>46193</v>
      </c>
      <c r="G76" s="28" t="s">
        <v>38283</v>
      </c>
      <c r="H76" s="28" t="s">
        <v>38427</v>
      </c>
    </row>
    <row x14ac:dyDescent="0.25" r="77" customHeight="1" ht="18.75">
      <c r="A77" s="1"/>
      <c r="B77" s="28" t="s">
        <v>7</v>
      </c>
      <c r="C77" s="28" t="s">
        <v>87</v>
      </c>
      <c r="D77" s="29" t="s">
        <v>38428</v>
      </c>
      <c r="E77" s="30">
        <v>43294</v>
      </c>
      <c r="F77" s="30">
        <v>46947</v>
      </c>
      <c r="G77" s="28" t="s">
        <v>38283</v>
      </c>
      <c r="H77" s="28" t="s">
        <v>38429</v>
      </c>
    </row>
    <row x14ac:dyDescent="0.25" r="78" customHeight="1" ht="18.75">
      <c r="A78" s="1"/>
      <c r="B78" s="28" t="s">
        <v>7</v>
      </c>
      <c r="C78" s="28" t="s">
        <v>87</v>
      </c>
      <c r="D78" s="29" t="s">
        <v>38430</v>
      </c>
      <c r="E78" s="30">
        <v>45363</v>
      </c>
      <c r="F78" s="30">
        <v>49015</v>
      </c>
      <c r="G78" s="28" t="s">
        <v>38283</v>
      </c>
      <c r="H78" s="28" t="s">
        <v>38431</v>
      </c>
    </row>
    <row x14ac:dyDescent="0.25" r="79" customHeight="1" ht="18.75">
      <c r="A79" s="1"/>
      <c r="B79" s="28" t="s">
        <v>7</v>
      </c>
      <c r="C79" s="28" t="s">
        <v>87</v>
      </c>
      <c r="D79" s="29" t="s">
        <v>38432</v>
      </c>
      <c r="E79" s="30">
        <v>45551</v>
      </c>
      <c r="F79" s="30">
        <v>48473</v>
      </c>
      <c r="G79" s="28" t="s">
        <v>38283</v>
      </c>
      <c r="H79" s="28" t="s">
        <v>38433</v>
      </c>
    </row>
    <row x14ac:dyDescent="0.25" r="80" customHeight="1" ht="18.75">
      <c r="A80" s="1"/>
      <c r="B80" s="28" t="s">
        <v>7</v>
      </c>
      <c r="C80" s="28" t="s">
        <v>87</v>
      </c>
      <c r="D80" s="29" t="s">
        <v>38434</v>
      </c>
      <c r="E80" s="30">
        <v>45159</v>
      </c>
      <c r="F80" s="30">
        <v>46986</v>
      </c>
      <c r="G80" s="28" t="s">
        <v>38283</v>
      </c>
      <c r="H80" s="28" t="s">
        <v>38435</v>
      </c>
    </row>
    <row x14ac:dyDescent="0.25" r="81" customHeight="1" ht="18.75">
      <c r="A81" s="1"/>
      <c r="B81" s="28" t="s">
        <v>7</v>
      </c>
      <c r="C81" s="28" t="s">
        <v>87</v>
      </c>
      <c r="D81" s="29" t="s">
        <v>38436</v>
      </c>
      <c r="E81" s="30">
        <v>45287</v>
      </c>
      <c r="F81" s="30">
        <v>48940</v>
      </c>
      <c r="G81" s="28" t="s">
        <v>38283</v>
      </c>
      <c r="H81" s="28" t="s">
        <v>38437</v>
      </c>
    </row>
    <row x14ac:dyDescent="0.25" r="82" customHeight="1" ht="18.75">
      <c r="A82" s="1"/>
      <c r="B82" s="28" t="s">
        <v>7</v>
      </c>
      <c r="C82" s="28" t="s">
        <v>87</v>
      </c>
      <c r="D82" s="29" t="s">
        <v>38438</v>
      </c>
      <c r="E82" s="30">
        <v>45365</v>
      </c>
      <c r="F82" s="30">
        <v>47192</v>
      </c>
      <c r="G82" s="28" t="s">
        <v>38283</v>
      </c>
      <c r="H82" s="28" t="s">
        <v>38439</v>
      </c>
    </row>
    <row x14ac:dyDescent="0.25" r="83" customHeight="1" ht="18.75">
      <c r="A83" s="1"/>
      <c r="B83" s="28" t="s">
        <v>7</v>
      </c>
      <c r="C83" s="28" t="s">
        <v>87</v>
      </c>
      <c r="D83" s="29" t="s">
        <v>38440</v>
      </c>
      <c r="E83" s="30">
        <v>44377</v>
      </c>
      <c r="F83" s="30">
        <v>47817</v>
      </c>
      <c r="G83" s="28" t="s">
        <v>38283</v>
      </c>
      <c r="H83" s="28" t="s">
        <v>38441</v>
      </c>
    </row>
    <row x14ac:dyDescent="0.25" r="84" customHeight="1" ht="18.75">
      <c r="A84" s="1"/>
      <c r="B84" s="28" t="s">
        <v>7</v>
      </c>
      <c r="C84" s="28" t="s">
        <v>87</v>
      </c>
      <c r="D84" s="29" t="s">
        <v>38442</v>
      </c>
      <c r="E84" s="30">
        <v>45523</v>
      </c>
      <c r="F84" s="30">
        <v>47349</v>
      </c>
      <c r="G84" s="28" t="s">
        <v>38283</v>
      </c>
      <c r="H84" s="28" t="s">
        <v>38443</v>
      </c>
    </row>
    <row x14ac:dyDescent="0.25" r="85" customHeight="1" ht="18.75">
      <c r="A85" s="1"/>
      <c r="B85" s="28" t="s">
        <v>7</v>
      </c>
      <c r="C85" s="28" t="s">
        <v>87</v>
      </c>
      <c r="D85" s="29" t="s">
        <v>38444</v>
      </c>
      <c r="E85" s="30">
        <v>44858</v>
      </c>
      <c r="F85" s="30">
        <v>48511</v>
      </c>
      <c r="G85" s="28" t="s">
        <v>38283</v>
      </c>
      <c r="H85" s="28" t="s">
        <v>38445</v>
      </c>
    </row>
    <row x14ac:dyDescent="0.25" r="86" customHeight="1" ht="18.75">
      <c r="A86" s="1"/>
      <c r="B86" s="28" t="s">
        <v>7</v>
      </c>
      <c r="C86" s="28" t="s">
        <v>87</v>
      </c>
      <c r="D86" s="29" t="s">
        <v>38446</v>
      </c>
      <c r="E86" s="30">
        <v>44475</v>
      </c>
      <c r="F86" s="30">
        <v>48127</v>
      </c>
      <c r="G86" s="28" t="s">
        <v>38283</v>
      </c>
      <c r="H86" s="28" t="s">
        <v>38447</v>
      </c>
    </row>
    <row x14ac:dyDescent="0.25" r="87" customHeight="1" ht="18.75">
      <c r="A87" s="1"/>
      <c r="B87" s="28" t="s">
        <v>7</v>
      </c>
      <c r="C87" s="28" t="s">
        <v>87</v>
      </c>
      <c r="D87" s="29" t="s">
        <v>38448</v>
      </c>
      <c r="E87" s="30">
        <v>43530</v>
      </c>
      <c r="F87" s="30">
        <v>46811</v>
      </c>
      <c r="G87" s="28" t="s">
        <v>38283</v>
      </c>
      <c r="H87" s="28" t="s">
        <v>38449</v>
      </c>
    </row>
    <row x14ac:dyDescent="0.25" r="88" customHeight="1" ht="18.75">
      <c r="A88" s="1"/>
      <c r="B88" s="28" t="s">
        <v>7</v>
      </c>
      <c r="C88" s="28" t="s">
        <v>87</v>
      </c>
      <c r="D88" s="29" t="s">
        <v>38450</v>
      </c>
      <c r="E88" s="30">
        <v>42632</v>
      </c>
      <c r="F88" s="30">
        <v>46284</v>
      </c>
      <c r="G88" s="28" t="s">
        <v>38283</v>
      </c>
      <c r="H88" s="28" t="s">
        <v>38451</v>
      </c>
    </row>
    <row x14ac:dyDescent="0.25" r="89" customHeight="1" ht="18.75">
      <c r="A89" s="1"/>
      <c r="B89" s="28" t="s">
        <v>7</v>
      </c>
      <c r="C89" s="28" t="s">
        <v>87</v>
      </c>
      <c r="D89" s="29" t="s">
        <v>38452</v>
      </c>
      <c r="E89" s="30">
        <v>44327</v>
      </c>
      <c r="F89" s="30">
        <v>47980</v>
      </c>
      <c r="G89" s="28" t="s">
        <v>38283</v>
      </c>
      <c r="H89" s="28" t="s">
        <v>38453</v>
      </c>
    </row>
    <row x14ac:dyDescent="0.25" r="90" customHeight="1" ht="18.75">
      <c r="A90" s="1"/>
      <c r="B90" s="28" t="s">
        <v>7</v>
      </c>
      <c r="C90" s="28" t="s">
        <v>87</v>
      </c>
      <c r="D90" s="29" t="s">
        <v>38454</v>
      </c>
      <c r="E90" s="30">
        <v>45350</v>
      </c>
      <c r="F90" s="30">
        <v>47177</v>
      </c>
      <c r="G90" s="28" t="s">
        <v>38283</v>
      </c>
      <c r="H90" s="28" t="s">
        <v>38455</v>
      </c>
    </row>
    <row x14ac:dyDescent="0.25" r="91" customHeight="1" ht="18.75">
      <c r="A91" s="1"/>
      <c r="B91" s="28" t="s">
        <v>7</v>
      </c>
      <c r="C91" s="28" t="s">
        <v>87</v>
      </c>
      <c r="D91" s="29" t="s">
        <v>38456</v>
      </c>
      <c r="E91" s="30">
        <v>45092</v>
      </c>
      <c r="F91" s="30">
        <v>46553</v>
      </c>
      <c r="G91" s="28" t="s">
        <v>38283</v>
      </c>
      <c r="H91" s="28" t="s">
        <v>38457</v>
      </c>
    </row>
    <row x14ac:dyDescent="0.25" r="92" customHeight="1" ht="18.75">
      <c r="A92" s="1"/>
      <c r="B92" s="28" t="s">
        <v>7</v>
      </c>
      <c r="C92" s="28" t="s">
        <v>87</v>
      </c>
      <c r="D92" s="29" t="s">
        <v>38458</v>
      </c>
      <c r="E92" s="30">
        <v>44998</v>
      </c>
      <c r="F92" s="30">
        <v>48651</v>
      </c>
      <c r="G92" s="28" t="s">
        <v>38283</v>
      </c>
      <c r="H92" s="28" t="s">
        <v>38459</v>
      </c>
    </row>
    <row x14ac:dyDescent="0.25" r="93" customHeight="1" ht="18.75">
      <c r="A93" s="1"/>
      <c r="B93" s="28" t="s">
        <v>7</v>
      </c>
      <c r="C93" s="28" t="s">
        <v>87</v>
      </c>
      <c r="D93" s="29" t="s">
        <v>38460</v>
      </c>
      <c r="E93" s="30">
        <v>45470</v>
      </c>
      <c r="F93" s="30">
        <v>47297</v>
      </c>
      <c r="G93" s="28" t="s">
        <v>38283</v>
      </c>
      <c r="H93" s="28" t="s">
        <v>38461</v>
      </c>
    </row>
    <row x14ac:dyDescent="0.25" r="94" customHeight="1" ht="18.75">
      <c r="A94" s="1"/>
      <c r="B94" s="28" t="s">
        <v>7</v>
      </c>
      <c r="C94" s="28" t="s">
        <v>87</v>
      </c>
      <c r="D94" s="29" t="s">
        <v>38462</v>
      </c>
      <c r="E94" s="30">
        <v>44337</v>
      </c>
      <c r="F94" s="30">
        <v>47989</v>
      </c>
      <c r="G94" s="28" t="s">
        <v>38283</v>
      </c>
      <c r="H94" s="28" t="s">
        <v>38463</v>
      </c>
    </row>
    <row x14ac:dyDescent="0.25" r="95" customHeight="1" ht="18.75">
      <c r="A95" s="1"/>
      <c r="B95" s="28" t="s">
        <v>7</v>
      </c>
      <c r="C95" s="28" t="s">
        <v>87</v>
      </c>
      <c r="D95" s="29" t="s">
        <v>38464</v>
      </c>
      <c r="E95" s="30">
        <v>42632</v>
      </c>
      <c r="F95" s="30">
        <v>46283</v>
      </c>
      <c r="G95" s="28" t="s">
        <v>38283</v>
      </c>
      <c r="H95" s="28" t="s">
        <v>38465</v>
      </c>
    </row>
    <row x14ac:dyDescent="0.25" r="96" customHeight="1" ht="18.75">
      <c r="A96" s="1"/>
      <c r="B96" s="28" t="s">
        <v>7</v>
      </c>
      <c r="C96" s="28" t="s">
        <v>87</v>
      </c>
      <c r="D96" s="29" t="s">
        <v>38466</v>
      </c>
      <c r="E96" s="30">
        <v>42577</v>
      </c>
      <c r="F96" s="30">
        <v>44403</v>
      </c>
      <c r="G96" s="28" t="s">
        <v>38314</v>
      </c>
      <c r="H96" s="28" t="s">
        <v>38467</v>
      </c>
    </row>
    <row x14ac:dyDescent="0.25" r="97" customHeight="1" ht="18.75">
      <c r="A97" s="1"/>
      <c r="B97" s="28" t="s">
        <v>7</v>
      </c>
      <c r="C97" s="28" t="s">
        <v>87</v>
      </c>
      <c r="D97" s="29" t="s">
        <v>38468</v>
      </c>
      <c r="E97" s="30">
        <v>43765</v>
      </c>
      <c r="F97" s="30">
        <v>45957</v>
      </c>
      <c r="G97" s="28" t="s">
        <v>38314</v>
      </c>
      <c r="H97" s="28" t="s">
        <v>38469</v>
      </c>
    </row>
    <row x14ac:dyDescent="0.25" r="98" customHeight="1" ht="18.75">
      <c r="A98" s="1"/>
      <c r="B98" s="28" t="s">
        <v>7</v>
      </c>
      <c r="C98" s="28" t="s">
        <v>87</v>
      </c>
      <c r="D98" s="29" t="s">
        <v>38470</v>
      </c>
      <c r="E98" s="30">
        <v>43797</v>
      </c>
      <c r="F98" s="30">
        <v>45258</v>
      </c>
      <c r="G98" s="28" t="s">
        <v>38314</v>
      </c>
      <c r="H98" s="28" t="s">
        <v>38471</v>
      </c>
    </row>
    <row x14ac:dyDescent="0.25" r="99" customHeight="1" ht="18.75">
      <c r="A99" s="1"/>
      <c r="B99" s="28" t="s">
        <v>7</v>
      </c>
      <c r="C99" s="28" t="s">
        <v>87</v>
      </c>
      <c r="D99" s="29" t="s">
        <v>38472</v>
      </c>
      <c r="E99" s="30">
        <v>41914</v>
      </c>
      <c r="F99" s="30">
        <v>44106</v>
      </c>
      <c r="G99" s="28" t="s">
        <v>38314</v>
      </c>
      <c r="H99" s="28" t="s">
        <v>38473</v>
      </c>
    </row>
    <row x14ac:dyDescent="0.25" r="100" customHeight="1" ht="18.75">
      <c r="A100" s="1"/>
      <c r="B100" s="28" t="s">
        <v>7</v>
      </c>
      <c r="C100" s="28" t="s">
        <v>87</v>
      </c>
      <c r="D100" s="29" t="s">
        <v>38474</v>
      </c>
      <c r="E100" s="30">
        <v>41914</v>
      </c>
      <c r="F100" s="30">
        <v>45567</v>
      </c>
      <c r="G100" s="28" t="s">
        <v>38314</v>
      </c>
      <c r="H100" s="28" t="s">
        <v>38475</v>
      </c>
    </row>
    <row x14ac:dyDescent="0.25" r="101" customHeight="1" ht="18.75">
      <c r="A101" s="1"/>
      <c r="B101" s="28" t="s">
        <v>7</v>
      </c>
      <c r="C101" s="28" t="s">
        <v>87</v>
      </c>
      <c r="D101" s="29" t="s">
        <v>38476</v>
      </c>
      <c r="E101" s="30">
        <v>45726</v>
      </c>
      <c r="F101" s="30">
        <v>47552</v>
      </c>
      <c r="G101" s="28" t="s">
        <v>38314</v>
      </c>
      <c r="H101" s="28" t="s">
        <v>38477</v>
      </c>
    </row>
    <row x14ac:dyDescent="0.25" r="102" customHeight="1" ht="18.75">
      <c r="A102" s="1"/>
      <c r="B102" s="28" t="s">
        <v>7</v>
      </c>
      <c r="C102" s="28" t="s">
        <v>87</v>
      </c>
      <c r="D102" s="29" t="s">
        <v>38478</v>
      </c>
      <c r="E102" s="30">
        <v>44530</v>
      </c>
      <c r="F102" s="30">
        <v>45991</v>
      </c>
      <c r="G102" s="28" t="s">
        <v>38314</v>
      </c>
      <c r="H102" s="28" t="s">
        <v>38479</v>
      </c>
    </row>
    <row x14ac:dyDescent="0.25" r="103" customHeight="1" ht="18.75">
      <c r="A103" s="1"/>
      <c r="B103" s="28" t="s">
        <v>7</v>
      </c>
      <c r="C103" s="28" t="s">
        <v>86</v>
      </c>
      <c r="D103" s="29" t="s">
        <v>38480</v>
      </c>
      <c r="E103" s="30">
        <v>45414</v>
      </c>
      <c r="F103" s="30">
        <v>46144</v>
      </c>
      <c r="G103" s="28" t="s">
        <v>38283</v>
      </c>
      <c r="H103" s="28" t="s">
        <v>38481</v>
      </c>
    </row>
    <row x14ac:dyDescent="0.25" r="104" customHeight="1" ht="18.75">
      <c r="A104" s="1"/>
      <c r="B104" s="28" t="s">
        <v>7</v>
      </c>
      <c r="C104" s="28" t="s">
        <v>86</v>
      </c>
      <c r="D104" s="29" t="s">
        <v>38482</v>
      </c>
      <c r="E104" s="30">
        <v>44291</v>
      </c>
      <c r="F104" s="30">
        <v>46116</v>
      </c>
      <c r="G104" s="28" t="s">
        <v>38283</v>
      </c>
      <c r="H104" s="28" t="s">
        <v>38483</v>
      </c>
    </row>
    <row x14ac:dyDescent="0.25" r="105" customHeight="1" ht="18.75">
      <c r="A105" s="1"/>
      <c r="B105" s="28" t="s">
        <v>7</v>
      </c>
      <c r="C105" s="28" t="s">
        <v>86</v>
      </c>
      <c r="D105" s="29" t="s">
        <v>38484</v>
      </c>
      <c r="E105" s="30">
        <v>45173</v>
      </c>
      <c r="F105" s="30">
        <v>46269</v>
      </c>
      <c r="G105" s="28" t="s">
        <v>38283</v>
      </c>
      <c r="H105" s="28" t="s">
        <v>38485</v>
      </c>
    </row>
    <row x14ac:dyDescent="0.25" r="106" customHeight="1" ht="18.75">
      <c r="A106" s="1"/>
      <c r="B106" s="28" t="s">
        <v>7</v>
      </c>
      <c r="C106" s="28" t="s">
        <v>86</v>
      </c>
      <c r="D106" s="29" t="s">
        <v>38486</v>
      </c>
      <c r="E106" s="30">
        <v>45541</v>
      </c>
      <c r="F106" s="30">
        <v>46271</v>
      </c>
      <c r="G106" s="28" t="s">
        <v>38283</v>
      </c>
      <c r="H106" s="28" t="s">
        <v>38487</v>
      </c>
    </row>
    <row x14ac:dyDescent="0.25" r="107" customHeight="1" ht="18.75">
      <c r="A107" s="1"/>
      <c r="B107" s="28" t="s">
        <v>7</v>
      </c>
      <c r="C107" s="28" t="s">
        <v>86</v>
      </c>
      <c r="D107" s="29" t="s">
        <v>38488</v>
      </c>
      <c r="E107" s="30">
        <v>44263</v>
      </c>
      <c r="F107" s="30">
        <v>46088</v>
      </c>
      <c r="G107" s="28" t="s">
        <v>38283</v>
      </c>
      <c r="H107" s="28" t="s">
        <v>38489</v>
      </c>
    </row>
    <row x14ac:dyDescent="0.25" r="108" customHeight="1" ht="18.75">
      <c r="A108" s="1"/>
      <c r="B108" s="28" t="s">
        <v>7</v>
      </c>
      <c r="C108" s="28" t="s">
        <v>86</v>
      </c>
      <c r="D108" s="29" t="s">
        <v>38490</v>
      </c>
      <c r="E108" s="30">
        <v>44263</v>
      </c>
      <c r="F108" s="30">
        <v>46088</v>
      </c>
      <c r="G108" s="28" t="s">
        <v>38283</v>
      </c>
      <c r="H108" s="28" t="s">
        <v>38491</v>
      </c>
    </row>
    <row x14ac:dyDescent="0.25" r="109" customHeight="1" ht="18.75">
      <c r="A109" s="1"/>
      <c r="B109" s="28" t="s">
        <v>7</v>
      </c>
      <c r="C109" s="28" t="s">
        <v>86</v>
      </c>
      <c r="D109" s="29" t="s">
        <v>38492</v>
      </c>
      <c r="E109" s="30">
        <v>44263</v>
      </c>
      <c r="F109" s="30">
        <v>46088</v>
      </c>
      <c r="G109" s="28" t="s">
        <v>38283</v>
      </c>
      <c r="H109" s="28" t="s">
        <v>38493</v>
      </c>
    </row>
    <row x14ac:dyDescent="0.25" r="110" customHeight="1" ht="18.75">
      <c r="A110" s="1"/>
      <c r="B110" s="28" t="s">
        <v>7</v>
      </c>
      <c r="C110" s="28" t="s">
        <v>86</v>
      </c>
      <c r="D110" s="29" t="s">
        <v>38494</v>
      </c>
      <c r="E110" s="30">
        <v>45090</v>
      </c>
      <c r="F110" s="30">
        <v>46185</v>
      </c>
      <c r="G110" s="28" t="s">
        <v>38283</v>
      </c>
      <c r="H110" s="28" t="s">
        <v>38495</v>
      </c>
    </row>
    <row x14ac:dyDescent="0.25" r="111" customHeight="1" ht="18.75">
      <c r="A111" s="1"/>
      <c r="B111" s="28" t="s">
        <v>7</v>
      </c>
      <c r="C111" s="28" t="s">
        <v>86</v>
      </c>
      <c r="D111" s="29" t="s">
        <v>38496</v>
      </c>
      <c r="E111" s="30">
        <v>45457</v>
      </c>
      <c r="F111" s="30">
        <v>49109</v>
      </c>
      <c r="G111" s="28" t="s">
        <v>38283</v>
      </c>
      <c r="H111" s="28" t="s">
        <v>38497</v>
      </c>
    </row>
    <row x14ac:dyDescent="0.25" r="112" customHeight="1" ht="18.75">
      <c r="A112" s="1"/>
      <c r="B112" s="28" t="s">
        <v>7</v>
      </c>
      <c r="C112" s="28" t="s">
        <v>86</v>
      </c>
      <c r="D112" s="29" t="s">
        <v>38498</v>
      </c>
      <c r="E112" s="30">
        <v>44760</v>
      </c>
      <c r="F112" s="30">
        <v>46952</v>
      </c>
      <c r="G112" s="28" t="s">
        <v>38283</v>
      </c>
      <c r="H112" s="28" t="s">
        <v>38499</v>
      </c>
    </row>
    <row x14ac:dyDescent="0.25" r="113" customHeight="1" ht="18.75">
      <c r="A113" s="1"/>
      <c r="B113" s="28" t="s">
        <v>7</v>
      </c>
      <c r="C113" s="28" t="s">
        <v>86</v>
      </c>
      <c r="D113" s="29" t="s">
        <v>38500</v>
      </c>
      <c r="E113" s="30">
        <v>43958</v>
      </c>
      <c r="F113" s="30">
        <v>46149</v>
      </c>
      <c r="G113" s="28" t="s">
        <v>38283</v>
      </c>
      <c r="H113" s="28" t="s">
        <v>38501</v>
      </c>
    </row>
    <row x14ac:dyDescent="0.25" r="114" customHeight="1" ht="18.75">
      <c r="A114" s="1"/>
      <c r="B114" s="28" t="s">
        <v>7</v>
      </c>
      <c r="C114" s="28" t="s">
        <v>86</v>
      </c>
      <c r="D114" s="29" t="s">
        <v>38502</v>
      </c>
      <c r="E114" s="30">
        <v>44267</v>
      </c>
      <c r="F114" s="30">
        <v>46092</v>
      </c>
      <c r="G114" s="28" t="s">
        <v>38283</v>
      </c>
      <c r="H114" s="28" t="s">
        <v>38503</v>
      </c>
    </row>
    <row x14ac:dyDescent="0.25" r="115" customHeight="1" ht="18.75">
      <c r="A115" s="1"/>
      <c r="B115" s="28" t="s">
        <v>7</v>
      </c>
      <c r="C115" s="28" t="s">
        <v>86</v>
      </c>
      <c r="D115" s="29" t="s">
        <v>38504</v>
      </c>
      <c r="E115" s="30">
        <v>44755</v>
      </c>
      <c r="F115" s="30">
        <v>46215</v>
      </c>
      <c r="G115" s="28" t="s">
        <v>38283</v>
      </c>
      <c r="H115" s="28" t="s">
        <v>38505</v>
      </c>
    </row>
    <row x14ac:dyDescent="0.25" r="116" customHeight="1" ht="18.75">
      <c r="A116" s="1"/>
      <c r="B116" s="28" t="s">
        <v>7</v>
      </c>
      <c r="C116" s="28" t="s">
        <v>86</v>
      </c>
      <c r="D116" s="29" t="s">
        <v>38506</v>
      </c>
      <c r="E116" s="30">
        <v>45321</v>
      </c>
      <c r="F116" s="30">
        <v>46782</v>
      </c>
      <c r="G116" s="28" t="s">
        <v>38283</v>
      </c>
      <c r="H116" s="28" t="s">
        <v>38507</v>
      </c>
    </row>
    <row x14ac:dyDescent="0.25" r="117" customHeight="1" ht="18.75">
      <c r="A117" s="1"/>
      <c r="B117" s="28" t="s">
        <v>7</v>
      </c>
      <c r="C117" s="28" t="s">
        <v>86</v>
      </c>
      <c r="D117" s="29" t="s">
        <v>38508</v>
      </c>
      <c r="E117" s="30">
        <v>45227</v>
      </c>
      <c r="F117" s="30">
        <v>47419</v>
      </c>
      <c r="G117" s="28" t="s">
        <v>38283</v>
      </c>
      <c r="H117" s="28" t="s">
        <v>38509</v>
      </c>
    </row>
    <row x14ac:dyDescent="0.25" r="118" customHeight="1" ht="18.75">
      <c r="A118" s="1"/>
      <c r="B118" s="28" t="s">
        <v>7</v>
      </c>
      <c r="C118" s="28" t="s">
        <v>86</v>
      </c>
      <c r="D118" s="29" t="s">
        <v>38510</v>
      </c>
      <c r="E118" s="30">
        <v>44264</v>
      </c>
      <c r="F118" s="30">
        <v>46089</v>
      </c>
      <c r="G118" s="28" t="s">
        <v>38283</v>
      </c>
      <c r="H118" s="28" t="s">
        <v>38511</v>
      </c>
    </row>
    <row x14ac:dyDescent="0.25" r="119" customHeight="1" ht="18.75">
      <c r="A119" s="1"/>
      <c r="B119" s="28" t="s">
        <v>7</v>
      </c>
      <c r="C119" s="28" t="s">
        <v>86</v>
      </c>
      <c r="D119" s="29" t="s">
        <v>38512</v>
      </c>
      <c r="E119" s="30">
        <v>43901</v>
      </c>
      <c r="F119" s="30">
        <v>46091</v>
      </c>
      <c r="G119" s="28" t="s">
        <v>38283</v>
      </c>
      <c r="H119" s="28" t="s">
        <v>38513</v>
      </c>
    </row>
    <row x14ac:dyDescent="0.25" r="120" customHeight="1" ht="18.75">
      <c r="A120" s="1"/>
      <c r="B120" s="28" t="s">
        <v>7</v>
      </c>
      <c r="C120" s="28" t="s">
        <v>86</v>
      </c>
      <c r="D120" s="29" t="s">
        <v>38514</v>
      </c>
      <c r="E120" s="30">
        <v>43963</v>
      </c>
      <c r="F120" s="30">
        <v>46153</v>
      </c>
      <c r="G120" s="28" t="s">
        <v>38283</v>
      </c>
      <c r="H120" s="28" t="s">
        <v>38515</v>
      </c>
    </row>
    <row x14ac:dyDescent="0.25" r="121" customHeight="1" ht="18.75">
      <c r="A121" s="1"/>
      <c r="B121" s="28" t="s">
        <v>7</v>
      </c>
      <c r="C121" s="28" t="s">
        <v>86</v>
      </c>
      <c r="D121" s="29" t="s">
        <v>38516</v>
      </c>
      <c r="E121" s="30">
        <v>45517</v>
      </c>
      <c r="F121" s="30">
        <v>47708</v>
      </c>
      <c r="G121" s="28" t="s">
        <v>38283</v>
      </c>
      <c r="H121" s="28" t="s">
        <v>38517</v>
      </c>
    </row>
    <row x14ac:dyDescent="0.25" r="122" customHeight="1" ht="18.75">
      <c r="A122" s="1"/>
      <c r="B122" s="28" t="s">
        <v>7</v>
      </c>
      <c r="C122" s="28" t="s">
        <v>86</v>
      </c>
      <c r="D122" s="29" t="s">
        <v>38518</v>
      </c>
      <c r="E122" s="30">
        <v>44778</v>
      </c>
      <c r="F122" s="30">
        <v>46603</v>
      </c>
      <c r="G122" s="28" t="s">
        <v>38283</v>
      </c>
      <c r="H122" s="28" t="s">
        <v>38519</v>
      </c>
    </row>
    <row x14ac:dyDescent="0.25" r="123" customHeight="1" ht="18.75">
      <c r="A123" s="1"/>
      <c r="B123" s="28" t="s">
        <v>7</v>
      </c>
      <c r="C123" s="28" t="s">
        <v>86</v>
      </c>
      <c r="D123" s="29" t="s">
        <v>38520</v>
      </c>
      <c r="E123" s="30">
        <v>45238</v>
      </c>
      <c r="F123" s="30">
        <v>46699</v>
      </c>
      <c r="G123" s="28" t="s">
        <v>38283</v>
      </c>
      <c r="H123" s="28" t="s">
        <v>38521</v>
      </c>
    </row>
    <row x14ac:dyDescent="0.25" r="124" customHeight="1" ht="18.75">
      <c r="A124" s="1"/>
      <c r="B124" s="28" t="s">
        <v>7</v>
      </c>
      <c r="C124" s="28" t="s">
        <v>86</v>
      </c>
      <c r="D124" s="29" t="s">
        <v>38522</v>
      </c>
      <c r="E124" s="30">
        <v>44314</v>
      </c>
      <c r="F124" s="30">
        <v>46517</v>
      </c>
      <c r="G124" s="28" t="s">
        <v>38283</v>
      </c>
      <c r="H124" s="28" t="s">
        <v>38523</v>
      </c>
    </row>
    <row x14ac:dyDescent="0.25" r="125" customHeight="1" ht="18.75">
      <c r="A125" s="1"/>
      <c r="B125" s="28" t="s">
        <v>7</v>
      </c>
      <c r="C125" s="28" t="s">
        <v>86</v>
      </c>
      <c r="D125" s="29" t="s">
        <v>38524</v>
      </c>
      <c r="E125" s="30">
        <v>45323</v>
      </c>
      <c r="F125" s="30">
        <v>46784</v>
      </c>
      <c r="G125" s="28" t="s">
        <v>38283</v>
      </c>
      <c r="H125" s="28" t="s">
        <v>38525</v>
      </c>
    </row>
    <row x14ac:dyDescent="0.25" r="126" customHeight="1" ht="18.75">
      <c r="A126" s="1"/>
      <c r="B126" s="28" t="s">
        <v>7</v>
      </c>
      <c r="C126" s="28" t="s">
        <v>86</v>
      </c>
      <c r="D126" s="29" t="s">
        <v>38526</v>
      </c>
      <c r="E126" s="30">
        <v>44125</v>
      </c>
      <c r="F126" s="30">
        <v>46316</v>
      </c>
      <c r="G126" s="28" t="s">
        <v>38283</v>
      </c>
      <c r="H126" s="28" t="s">
        <v>38527</v>
      </c>
    </row>
    <row x14ac:dyDescent="0.25" r="127" customHeight="1" ht="18.75">
      <c r="A127" s="1"/>
      <c r="B127" s="28" t="s">
        <v>7</v>
      </c>
      <c r="C127" s="28" t="s">
        <v>86</v>
      </c>
      <c r="D127" s="29" t="s">
        <v>38528</v>
      </c>
      <c r="E127" s="30">
        <v>44309</v>
      </c>
      <c r="F127" s="30">
        <v>46500</v>
      </c>
      <c r="G127" s="28" t="s">
        <v>38283</v>
      </c>
      <c r="H127" s="28" t="s">
        <v>38529</v>
      </c>
    </row>
    <row x14ac:dyDescent="0.25" r="128" customHeight="1" ht="18.75">
      <c r="A128" s="1"/>
      <c r="B128" s="28" t="s">
        <v>7</v>
      </c>
      <c r="C128" s="28" t="s">
        <v>86</v>
      </c>
      <c r="D128" s="29" t="s">
        <v>38530</v>
      </c>
      <c r="E128" s="30">
        <v>45801</v>
      </c>
      <c r="F128" s="30">
        <v>46897</v>
      </c>
      <c r="G128" s="28" t="s">
        <v>38283</v>
      </c>
      <c r="H128" s="28" t="s">
        <v>38531</v>
      </c>
    </row>
    <row x14ac:dyDescent="0.25" r="129" customHeight="1" ht="18.75">
      <c r="A129" s="1"/>
      <c r="B129" s="28" t="s">
        <v>7</v>
      </c>
      <c r="C129" s="28" t="s">
        <v>86</v>
      </c>
      <c r="D129" s="29" t="s">
        <v>38532</v>
      </c>
      <c r="E129" s="30">
        <v>45600</v>
      </c>
      <c r="F129" s="30">
        <v>46695</v>
      </c>
      <c r="G129" s="28" t="s">
        <v>38283</v>
      </c>
      <c r="H129" s="28" t="s">
        <v>38533</v>
      </c>
    </row>
    <row x14ac:dyDescent="0.25" r="130" customHeight="1" ht="18.75">
      <c r="A130" s="1"/>
      <c r="B130" s="28" t="s">
        <v>7</v>
      </c>
      <c r="C130" s="28" t="s">
        <v>86</v>
      </c>
      <c r="D130" s="29" t="s">
        <v>38534</v>
      </c>
      <c r="E130" s="30">
        <v>45636</v>
      </c>
      <c r="F130" s="30">
        <v>46573</v>
      </c>
      <c r="G130" s="28" t="s">
        <v>38283</v>
      </c>
      <c r="H130" s="28" t="s">
        <v>38535</v>
      </c>
    </row>
    <row x14ac:dyDescent="0.25" r="131" customHeight="1" ht="18.75">
      <c r="A131" s="1"/>
      <c r="B131" s="28" t="s">
        <v>7</v>
      </c>
      <c r="C131" s="28" t="s">
        <v>86</v>
      </c>
      <c r="D131" s="29" t="s">
        <v>38536</v>
      </c>
      <c r="E131" s="30">
        <v>45299</v>
      </c>
      <c r="F131" s="30">
        <v>46394</v>
      </c>
      <c r="G131" s="28" t="s">
        <v>38283</v>
      </c>
      <c r="H131" s="28" t="s">
        <v>38537</v>
      </c>
    </row>
    <row x14ac:dyDescent="0.25" r="132" customHeight="1" ht="18.75">
      <c r="A132" s="1"/>
      <c r="B132" s="28" t="s">
        <v>7</v>
      </c>
      <c r="C132" s="28" t="s">
        <v>86</v>
      </c>
      <c r="D132" s="29" t="s">
        <v>38538</v>
      </c>
      <c r="E132" s="30">
        <v>44782</v>
      </c>
      <c r="F132" s="30">
        <v>46607</v>
      </c>
      <c r="G132" s="28" t="s">
        <v>38283</v>
      </c>
      <c r="H132" s="28" t="s">
        <v>38539</v>
      </c>
    </row>
    <row x14ac:dyDescent="0.25" r="133" customHeight="1" ht="18.75">
      <c r="A133" s="1"/>
      <c r="B133" s="28" t="s">
        <v>7</v>
      </c>
      <c r="C133" s="28" t="s">
        <v>86</v>
      </c>
      <c r="D133" s="29" t="s">
        <v>38540</v>
      </c>
      <c r="E133" s="30">
        <v>45604</v>
      </c>
      <c r="F133" s="30">
        <v>46699</v>
      </c>
      <c r="G133" s="28" t="s">
        <v>38283</v>
      </c>
      <c r="H133" s="28" t="s">
        <v>38541</v>
      </c>
    </row>
    <row x14ac:dyDescent="0.25" r="134" customHeight="1" ht="18.75">
      <c r="A134" s="1"/>
      <c r="B134" s="28" t="s">
        <v>7</v>
      </c>
      <c r="C134" s="28" t="s">
        <v>86</v>
      </c>
      <c r="D134" s="29" t="s">
        <v>38542</v>
      </c>
      <c r="E134" s="30">
        <v>44782</v>
      </c>
      <c r="F134" s="30">
        <v>46608</v>
      </c>
      <c r="G134" s="28" t="s">
        <v>38283</v>
      </c>
      <c r="H134" s="28" t="s">
        <v>38543</v>
      </c>
    </row>
    <row x14ac:dyDescent="0.25" r="135" customHeight="1" ht="18.75">
      <c r="A135" s="1"/>
      <c r="B135" s="28" t="s">
        <v>7</v>
      </c>
      <c r="C135" s="28" t="s">
        <v>86</v>
      </c>
      <c r="D135" s="29" t="s">
        <v>38544</v>
      </c>
      <c r="E135" s="30">
        <v>45327</v>
      </c>
      <c r="F135" s="30">
        <v>46788</v>
      </c>
      <c r="G135" s="28" t="s">
        <v>38283</v>
      </c>
      <c r="H135" s="28" t="s">
        <v>38545</v>
      </c>
    </row>
    <row x14ac:dyDescent="0.25" r="136" customHeight="1" ht="18.75">
      <c r="A136" s="1"/>
      <c r="B136" s="28" t="s">
        <v>7</v>
      </c>
      <c r="C136" s="28" t="s">
        <v>86</v>
      </c>
      <c r="D136" s="29" t="s">
        <v>38546</v>
      </c>
      <c r="E136" s="30">
        <v>42929</v>
      </c>
      <c r="F136" s="30">
        <v>46581</v>
      </c>
      <c r="G136" s="28" t="s">
        <v>38283</v>
      </c>
      <c r="H136" s="28" t="s">
        <v>38547</v>
      </c>
    </row>
    <row x14ac:dyDescent="0.25" r="137" customHeight="1" ht="18.75">
      <c r="A137" s="1"/>
      <c r="B137" s="28" t="s">
        <v>7</v>
      </c>
      <c r="C137" s="28" t="s">
        <v>86</v>
      </c>
      <c r="D137" s="29" t="s">
        <v>38548</v>
      </c>
      <c r="E137" s="30">
        <v>45258</v>
      </c>
      <c r="F137" s="30">
        <v>46704</v>
      </c>
      <c r="G137" s="28" t="s">
        <v>38283</v>
      </c>
      <c r="H137" s="28" t="s">
        <v>38549</v>
      </c>
    </row>
    <row x14ac:dyDescent="0.25" r="138" customHeight="1" ht="18.75">
      <c r="A138" s="1"/>
      <c r="B138" s="28" t="s">
        <v>7</v>
      </c>
      <c r="C138" s="28" t="s">
        <v>86</v>
      </c>
      <c r="D138" s="29" t="s">
        <v>38550</v>
      </c>
      <c r="E138" s="30">
        <v>45567</v>
      </c>
      <c r="F138" s="30">
        <v>46048</v>
      </c>
      <c r="G138" s="28" t="s">
        <v>38283</v>
      </c>
      <c r="H138" s="28" t="s">
        <v>38551</v>
      </c>
    </row>
    <row x14ac:dyDescent="0.25" r="139" customHeight="1" ht="18.75">
      <c r="A139" s="1"/>
      <c r="B139" s="28" t="s">
        <v>7</v>
      </c>
      <c r="C139" s="28" t="s">
        <v>86</v>
      </c>
      <c r="D139" s="29" t="s">
        <v>38552</v>
      </c>
      <c r="E139" s="30">
        <v>45292</v>
      </c>
      <c r="F139" s="30">
        <v>47114</v>
      </c>
      <c r="G139" s="28" t="s">
        <v>38283</v>
      </c>
      <c r="H139" s="28" t="s">
        <v>38553</v>
      </c>
    </row>
    <row x14ac:dyDescent="0.25" r="140" customHeight="1" ht="18.75">
      <c r="A140" s="1"/>
      <c r="B140" s="28" t="s">
        <v>7</v>
      </c>
      <c r="C140" s="28" t="s">
        <v>86</v>
      </c>
      <c r="D140" s="29" t="s">
        <v>38554</v>
      </c>
      <c r="E140" s="30">
        <v>45300</v>
      </c>
      <c r="F140" s="30">
        <v>47034</v>
      </c>
      <c r="G140" s="28" t="s">
        <v>38283</v>
      </c>
      <c r="H140" s="28" t="s">
        <v>38555</v>
      </c>
    </row>
    <row x14ac:dyDescent="0.25" r="141" customHeight="1" ht="18.75">
      <c r="A141" s="1"/>
      <c r="B141" s="28" t="s">
        <v>7</v>
      </c>
      <c r="C141" s="28" t="s">
        <v>86</v>
      </c>
      <c r="D141" s="29" t="s">
        <v>38556</v>
      </c>
      <c r="E141" s="30">
        <v>44637</v>
      </c>
      <c r="F141" s="30">
        <v>46462</v>
      </c>
      <c r="G141" s="28" t="s">
        <v>38283</v>
      </c>
      <c r="H141" s="28" t="s">
        <v>38557</v>
      </c>
    </row>
    <row x14ac:dyDescent="0.25" r="142" customHeight="1" ht="18.75">
      <c r="A142" s="1"/>
      <c r="B142" s="28" t="s">
        <v>7</v>
      </c>
      <c r="C142" s="28" t="s">
        <v>86</v>
      </c>
      <c r="D142" s="29" t="s">
        <v>38558</v>
      </c>
      <c r="E142" s="30">
        <v>45315</v>
      </c>
      <c r="F142" s="30">
        <v>46441</v>
      </c>
      <c r="G142" s="28" t="s">
        <v>38283</v>
      </c>
      <c r="H142" s="28" t="s">
        <v>38559</v>
      </c>
    </row>
    <row x14ac:dyDescent="0.25" r="143" customHeight="1" ht="18.75">
      <c r="A143" s="1"/>
      <c r="B143" s="28" t="s">
        <v>7</v>
      </c>
      <c r="C143" s="28" t="s">
        <v>86</v>
      </c>
      <c r="D143" s="29" t="s">
        <v>38560</v>
      </c>
      <c r="E143" s="30">
        <v>45715</v>
      </c>
      <c r="F143" s="30">
        <v>46791</v>
      </c>
      <c r="G143" s="28" t="s">
        <v>38283</v>
      </c>
      <c r="H143" s="28" t="s">
        <v>38561</v>
      </c>
    </row>
    <row x14ac:dyDescent="0.25" r="144" customHeight="1" ht="18.75">
      <c r="A144" s="1"/>
      <c r="B144" s="28" t="s">
        <v>7</v>
      </c>
      <c r="C144" s="28" t="s">
        <v>86</v>
      </c>
      <c r="D144" s="29" t="s">
        <v>38562</v>
      </c>
      <c r="E144" s="30">
        <v>45772</v>
      </c>
      <c r="F144" s="30">
        <v>47232</v>
      </c>
      <c r="G144" s="28" t="s">
        <v>38283</v>
      </c>
      <c r="H144" s="28" t="s">
        <v>38563</v>
      </c>
    </row>
    <row x14ac:dyDescent="0.25" r="145" customHeight="1" ht="18.75">
      <c r="A145" s="1"/>
      <c r="B145" s="28" t="s">
        <v>7</v>
      </c>
      <c r="C145" s="28" t="s">
        <v>86</v>
      </c>
      <c r="D145" s="29" t="s">
        <v>38564</v>
      </c>
      <c r="E145" s="30">
        <v>45776</v>
      </c>
      <c r="F145" s="30">
        <v>49426</v>
      </c>
      <c r="G145" s="28" t="s">
        <v>38283</v>
      </c>
      <c r="H145" s="28" t="s">
        <v>38565</v>
      </c>
    </row>
    <row x14ac:dyDescent="0.25" r="146" customHeight="1" ht="18.75">
      <c r="A146" s="1"/>
      <c r="B146" s="28" t="s">
        <v>7</v>
      </c>
      <c r="C146" s="28" t="s">
        <v>86</v>
      </c>
      <c r="D146" s="29" t="s">
        <v>38566</v>
      </c>
      <c r="E146" s="30">
        <v>45772</v>
      </c>
      <c r="F146" s="30">
        <v>49422</v>
      </c>
      <c r="G146" s="28" t="s">
        <v>38283</v>
      </c>
      <c r="H146" s="28" t="s">
        <v>38567</v>
      </c>
    </row>
    <row x14ac:dyDescent="0.25" r="147" customHeight="1" ht="18.75">
      <c r="A147" s="1"/>
      <c r="B147" s="28" t="s">
        <v>7</v>
      </c>
      <c r="C147" s="28" t="s">
        <v>86</v>
      </c>
      <c r="D147" s="29" t="s">
        <v>38568</v>
      </c>
      <c r="E147" s="30">
        <v>45776</v>
      </c>
      <c r="F147" s="30">
        <v>49426</v>
      </c>
      <c r="G147" s="28" t="s">
        <v>38283</v>
      </c>
      <c r="H147" s="28" t="s">
        <v>38569</v>
      </c>
    </row>
    <row x14ac:dyDescent="0.25" r="148" customHeight="1" ht="18.75">
      <c r="A148" s="1"/>
      <c r="B148" s="28" t="s">
        <v>7</v>
      </c>
      <c r="C148" s="28" t="s">
        <v>86</v>
      </c>
      <c r="D148" s="29" t="s">
        <v>38570</v>
      </c>
      <c r="E148" s="30">
        <v>45782</v>
      </c>
      <c r="F148" s="30">
        <v>47238</v>
      </c>
      <c r="G148" s="28" t="s">
        <v>38283</v>
      </c>
      <c r="H148" s="28" t="s">
        <v>38571</v>
      </c>
    </row>
    <row x14ac:dyDescent="0.25" r="149" customHeight="1" ht="18.75">
      <c r="A149" s="1"/>
      <c r="B149" s="28" t="s">
        <v>7</v>
      </c>
      <c r="C149" s="28" t="s">
        <v>86</v>
      </c>
      <c r="D149" s="29" t="s">
        <v>38572</v>
      </c>
      <c r="E149" s="30">
        <v>45797</v>
      </c>
      <c r="F149" s="30">
        <v>46527</v>
      </c>
      <c r="G149" s="28" t="s">
        <v>38283</v>
      </c>
      <c r="H149" s="28" t="s">
        <v>38573</v>
      </c>
    </row>
    <row x14ac:dyDescent="0.25" r="150" customHeight="1" ht="18.75">
      <c r="A150" s="1"/>
      <c r="B150" s="28" t="s">
        <v>7</v>
      </c>
      <c r="C150" s="28" t="s">
        <v>86</v>
      </c>
      <c r="D150" s="29" t="s">
        <v>38574</v>
      </c>
      <c r="E150" s="30">
        <v>45798</v>
      </c>
      <c r="F150" s="30">
        <v>46528</v>
      </c>
      <c r="G150" s="28" t="s">
        <v>38283</v>
      </c>
      <c r="H150" s="28" t="s">
        <v>38575</v>
      </c>
    </row>
    <row x14ac:dyDescent="0.25" r="151" customHeight="1" ht="18.75">
      <c r="A151" s="1"/>
      <c r="B151" s="28" t="s">
        <v>7</v>
      </c>
      <c r="C151" s="28" t="s">
        <v>86</v>
      </c>
      <c r="D151" s="29" t="s">
        <v>38576</v>
      </c>
      <c r="E151" s="30">
        <v>45800</v>
      </c>
      <c r="F151" s="30">
        <v>47569</v>
      </c>
      <c r="G151" s="28" t="s">
        <v>38283</v>
      </c>
      <c r="H151" s="28" t="s">
        <v>38577</v>
      </c>
    </row>
    <row x14ac:dyDescent="0.25" r="152" customHeight="1" ht="18.75">
      <c r="A152" s="1"/>
      <c r="B152" s="28" t="s">
        <v>7</v>
      </c>
      <c r="C152" s="28" t="s">
        <v>86</v>
      </c>
      <c r="D152" s="29" t="s">
        <v>38578</v>
      </c>
      <c r="E152" s="30">
        <v>42406</v>
      </c>
      <c r="F152" s="30">
        <v>47423</v>
      </c>
      <c r="G152" s="28" t="s">
        <v>38283</v>
      </c>
      <c r="H152" s="28" t="s">
        <v>38579</v>
      </c>
    </row>
    <row x14ac:dyDescent="0.25" r="153" customHeight="1" ht="18.75">
      <c r="A153" s="1"/>
      <c r="B153" s="28" t="s">
        <v>7</v>
      </c>
      <c r="C153" s="28" t="s">
        <v>86</v>
      </c>
      <c r="D153" s="29" t="s">
        <v>38580</v>
      </c>
      <c r="E153" s="30">
        <v>44201</v>
      </c>
      <c r="F153" s="30">
        <v>47853</v>
      </c>
      <c r="G153" s="28" t="s">
        <v>38283</v>
      </c>
      <c r="H153" s="28" t="s">
        <v>38581</v>
      </c>
    </row>
    <row x14ac:dyDescent="0.25" r="154" customHeight="1" ht="18.75">
      <c r="A154" s="1"/>
      <c r="B154" s="28" t="s">
        <v>7</v>
      </c>
      <c r="C154" s="28" t="s">
        <v>86</v>
      </c>
      <c r="D154" s="29" t="s">
        <v>38582</v>
      </c>
      <c r="E154" s="30">
        <v>45188</v>
      </c>
      <c r="F154" s="30">
        <v>46616</v>
      </c>
      <c r="G154" s="28" t="s">
        <v>38283</v>
      </c>
      <c r="H154" s="28" t="s">
        <v>38583</v>
      </c>
    </row>
    <row x14ac:dyDescent="0.25" r="155" customHeight="1" ht="18.75">
      <c r="A155" s="1"/>
      <c r="B155" s="28" t="s">
        <v>7</v>
      </c>
      <c r="C155" s="28" t="s">
        <v>86</v>
      </c>
      <c r="D155" s="29" t="s">
        <v>38584</v>
      </c>
      <c r="E155" s="30">
        <v>40128</v>
      </c>
      <c r="F155" s="30">
        <v>47433</v>
      </c>
      <c r="G155" s="28" t="s">
        <v>38283</v>
      </c>
      <c r="H155" s="28" t="s">
        <v>38585</v>
      </c>
    </row>
    <row x14ac:dyDescent="0.25" r="156" customHeight="1" ht="18.75">
      <c r="A156" s="1"/>
      <c r="B156" s="28" t="s">
        <v>7</v>
      </c>
      <c r="C156" s="28" t="s">
        <v>86</v>
      </c>
      <c r="D156" s="29" t="s">
        <v>38586</v>
      </c>
      <c r="E156" s="30">
        <v>45499</v>
      </c>
      <c r="F156" s="30">
        <v>46960</v>
      </c>
      <c r="G156" s="28" t="s">
        <v>38283</v>
      </c>
      <c r="H156" s="28" t="s">
        <v>38587</v>
      </c>
    </row>
    <row x14ac:dyDescent="0.25" r="157" customHeight="1" ht="18.75">
      <c r="A157" s="1"/>
      <c r="B157" s="28" t="s">
        <v>7</v>
      </c>
      <c r="C157" s="28" t="s">
        <v>86</v>
      </c>
      <c r="D157" s="31">
        <v>3675453</v>
      </c>
      <c r="E157" s="30">
        <v>45499</v>
      </c>
      <c r="F157" s="30">
        <v>46960</v>
      </c>
      <c r="G157" s="28" t="s">
        <v>38283</v>
      </c>
      <c r="H157" s="28" t="s">
        <v>38588</v>
      </c>
    </row>
    <row x14ac:dyDescent="0.25" r="158" customHeight="1" ht="18.75">
      <c r="A158" s="1"/>
      <c r="B158" s="28" t="s">
        <v>7</v>
      </c>
      <c r="C158" s="28" t="s">
        <v>86</v>
      </c>
      <c r="D158" s="29" t="s">
        <v>38589</v>
      </c>
      <c r="E158" s="30">
        <v>44708</v>
      </c>
      <c r="F158" s="30">
        <v>46169</v>
      </c>
      <c r="G158" s="28" t="s">
        <v>38283</v>
      </c>
      <c r="H158" s="28" t="s">
        <v>38590</v>
      </c>
    </row>
    <row x14ac:dyDescent="0.25" r="159" customHeight="1" ht="18.75">
      <c r="A159" s="1"/>
      <c r="B159" s="28" t="s">
        <v>7</v>
      </c>
      <c r="C159" s="28" t="s">
        <v>86</v>
      </c>
      <c r="D159" s="29" t="s">
        <v>38591</v>
      </c>
      <c r="E159" s="30">
        <v>45643</v>
      </c>
      <c r="F159" s="30">
        <v>46373</v>
      </c>
      <c r="G159" s="28" t="s">
        <v>38283</v>
      </c>
      <c r="H159" s="28" t="s">
        <v>38592</v>
      </c>
    </row>
    <row x14ac:dyDescent="0.25" r="160" customHeight="1" ht="18.75">
      <c r="A160" s="1"/>
      <c r="B160" s="28" t="s">
        <v>7</v>
      </c>
      <c r="C160" s="28" t="s">
        <v>86</v>
      </c>
      <c r="D160" s="29" t="s">
        <v>38593</v>
      </c>
      <c r="E160" s="30">
        <v>45684</v>
      </c>
      <c r="F160" s="30">
        <v>47145</v>
      </c>
      <c r="G160" s="28" t="s">
        <v>38283</v>
      </c>
      <c r="H160" s="28" t="s">
        <v>38594</v>
      </c>
    </row>
    <row x14ac:dyDescent="0.25" r="161" customHeight="1" ht="18.75">
      <c r="A161" s="1"/>
      <c r="B161" s="28" t="s">
        <v>7</v>
      </c>
      <c r="C161" s="28" t="s">
        <v>86</v>
      </c>
      <c r="D161" s="29" t="s">
        <v>38595</v>
      </c>
      <c r="E161" s="30">
        <v>45726</v>
      </c>
      <c r="F161" s="30">
        <v>46822</v>
      </c>
      <c r="G161" s="28" t="s">
        <v>38283</v>
      </c>
      <c r="H161" s="28" t="s">
        <v>38596</v>
      </c>
    </row>
    <row x14ac:dyDescent="0.25" r="162" customHeight="1" ht="18.75">
      <c r="A162" s="1"/>
      <c r="B162" s="28" t="s">
        <v>7</v>
      </c>
      <c r="C162" s="28" t="s">
        <v>86</v>
      </c>
      <c r="D162" s="29" t="s">
        <v>38597</v>
      </c>
      <c r="E162" s="30">
        <v>45030</v>
      </c>
      <c r="F162" s="30">
        <v>46855</v>
      </c>
      <c r="G162" s="28" t="s">
        <v>38283</v>
      </c>
      <c r="H162" s="28" t="s">
        <v>38598</v>
      </c>
    </row>
    <row x14ac:dyDescent="0.25" r="163" customHeight="1" ht="18.75">
      <c r="A163" s="1"/>
      <c r="B163" s="28" t="s">
        <v>7</v>
      </c>
      <c r="C163" s="28" t="s">
        <v>86</v>
      </c>
      <c r="D163" s="29" t="s">
        <v>38599</v>
      </c>
      <c r="E163" s="30">
        <v>45734</v>
      </c>
      <c r="F163" s="30">
        <v>47184</v>
      </c>
      <c r="G163" s="28" t="s">
        <v>38283</v>
      </c>
      <c r="H163" s="28" t="s">
        <v>38600</v>
      </c>
    </row>
    <row x14ac:dyDescent="0.25" r="164" customHeight="1" ht="18.75">
      <c r="A164" s="1"/>
      <c r="B164" s="28" t="s">
        <v>7</v>
      </c>
      <c r="C164" s="28" t="s">
        <v>86</v>
      </c>
      <c r="D164" s="29" t="s">
        <v>38601</v>
      </c>
      <c r="E164" s="30">
        <v>45691</v>
      </c>
      <c r="F164" s="30">
        <v>47882</v>
      </c>
      <c r="G164" s="28" t="s">
        <v>38283</v>
      </c>
      <c r="H164" s="28" t="s">
        <v>38602</v>
      </c>
    </row>
    <row x14ac:dyDescent="0.25" r="165" customHeight="1" ht="18.75">
      <c r="A165" s="1"/>
      <c r="B165" s="28" t="s">
        <v>7</v>
      </c>
      <c r="C165" s="28" t="s">
        <v>86</v>
      </c>
      <c r="D165" s="29" t="s">
        <v>38603</v>
      </c>
      <c r="E165" s="30">
        <v>45691</v>
      </c>
      <c r="F165" s="30">
        <v>47882</v>
      </c>
      <c r="G165" s="28" t="s">
        <v>38283</v>
      </c>
      <c r="H165" s="28" t="s">
        <v>38604</v>
      </c>
    </row>
    <row x14ac:dyDescent="0.25" r="166" customHeight="1" ht="18.75">
      <c r="A166" s="1"/>
      <c r="B166" s="28" t="s">
        <v>7</v>
      </c>
      <c r="C166" s="28" t="s">
        <v>86</v>
      </c>
      <c r="D166" s="29" t="s">
        <v>38605</v>
      </c>
      <c r="E166" s="30">
        <v>45723</v>
      </c>
      <c r="F166" s="30">
        <v>47914</v>
      </c>
      <c r="G166" s="28" t="s">
        <v>38283</v>
      </c>
      <c r="H166" s="28" t="s">
        <v>38606</v>
      </c>
    </row>
    <row x14ac:dyDescent="0.25" r="167" customHeight="1" ht="18.75">
      <c r="A167" s="1"/>
      <c r="B167" s="28" t="s">
        <v>7</v>
      </c>
      <c r="C167" s="28" t="s">
        <v>86</v>
      </c>
      <c r="D167" s="29" t="s">
        <v>38607</v>
      </c>
      <c r="E167" s="30">
        <v>44028</v>
      </c>
      <c r="F167" s="30">
        <v>46218</v>
      </c>
      <c r="G167" s="28" t="s">
        <v>38283</v>
      </c>
      <c r="H167" s="28" t="s">
        <v>38608</v>
      </c>
    </row>
    <row x14ac:dyDescent="0.25" r="168" customHeight="1" ht="18.75">
      <c r="A168" s="1"/>
      <c r="B168" s="28" t="s">
        <v>7</v>
      </c>
      <c r="C168" s="28" t="s">
        <v>86</v>
      </c>
      <c r="D168" s="29" t="s">
        <v>38609</v>
      </c>
      <c r="E168" s="30">
        <v>42069</v>
      </c>
      <c r="F168" s="30">
        <v>47376</v>
      </c>
      <c r="G168" s="28" t="s">
        <v>38283</v>
      </c>
      <c r="H168" s="28" t="s">
        <v>38610</v>
      </c>
    </row>
    <row x14ac:dyDescent="0.25" r="169" customHeight="1" ht="18.75">
      <c r="A169" s="1"/>
      <c r="B169" s="28" t="s">
        <v>7</v>
      </c>
      <c r="C169" s="28" t="s">
        <v>86</v>
      </c>
      <c r="D169" s="29" t="s">
        <v>38611</v>
      </c>
      <c r="E169" s="30">
        <v>43937</v>
      </c>
      <c r="F169" s="30">
        <v>46127</v>
      </c>
      <c r="G169" s="28" t="s">
        <v>38283</v>
      </c>
      <c r="H169" s="28" t="s">
        <v>38612</v>
      </c>
    </row>
    <row x14ac:dyDescent="0.25" r="170" customHeight="1" ht="18.75">
      <c r="A170" s="1"/>
      <c r="B170" s="28" t="s">
        <v>7</v>
      </c>
      <c r="C170" s="28" t="s">
        <v>86</v>
      </c>
      <c r="D170" s="29" t="s">
        <v>38613</v>
      </c>
      <c r="E170" s="30">
        <v>44118</v>
      </c>
      <c r="F170" s="30">
        <v>46308</v>
      </c>
      <c r="G170" s="28" t="s">
        <v>38283</v>
      </c>
      <c r="H170" s="28" t="s">
        <v>38614</v>
      </c>
    </row>
    <row x14ac:dyDescent="0.25" r="171" customHeight="1" ht="18.75">
      <c r="A171" s="1"/>
      <c r="B171" s="28" t="s">
        <v>7</v>
      </c>
      <c r="C171" s="28" t="s">
        <v>86</v>
      </c>
      <c r="D171" s="29" t="s">
        <v>38615</v>
      </c>
      <c r="E171" s="30">
        <v>45705</v>
      </c>
      <c r="F171" s="30">
        <v>46800</v>
      </c>
      <c r="G171" s="28" t="s">
        <v>38283</v>
      </c>
      <c r="H171" s="28" t="s">
        <v>38616</v>
      </c>
    </row>
    <row x14ac:dyDescent="0.25" r="172" customHeight="1" ht="18.75">
      <c r="A172" s="1"/>
      <c r="B172" s="28" t="s">
        <v>7</v>
      </c>
      <c r="C172" s="28" t="s">
        <v>86</v>
      </c>
      <c r="D172" s="29" t="s">
        <v>38617</v>
      </c>
      <c r="E172" s="30">
        <v>43323</v>
      </c>
      <c r="F172" s="30">
        <v>47037</v>
      </c>
      <c r="G172" s="28" t="s">
        <v>38283</v>
      </c>
      <c r="H172" s="28" t="s">
        <v>38618</v>
      </c>
    </row>
    <row x14ac:dyDescent="0.25" r="173" customHeight="1" ht="18.75">
      <c r="A173" s="1"/>
      <c r="B173" s="28" t="s">
        <v>7</v>
      </c>
      <c r="C173" s="28" t="s">
        <v>86</v>
      </c>
      <c r="D173" s="29" t="s">
        <v>38619</v>
      </c>
      <c r="E173" s="30">
        <v>45736</v>
      </c>
      <c r="F173" s="30">
        <v>46832</v>
      </c>
      <c r="G173" s="28" t="s">
        <v>38283</v>
      </c>
      <c r="H173" s="28" t="s">
        <v>38620</v>
      </c>
    </row>
    <row x14ac:dyDescent="0.25" r="174" customHeight="1" ht="18.75">
      <c r="A174" s="1"/>
      <c r="B174" s="28" t="s">
        <v>7</v>
      </c>
      <c r="C174" s="28" t="s">
        <v>86</v>
      </c>
      <c r="D174" s="29" t="s">
        <v>38621</v>
      </c>
      <c r="E174" s="30">
        <v>45154</v>
      </c>
      <c r="F174" s="30">
        <v>46615</v>
      </c>
      <c r="G174" s="28" t="s">
        <v>38283</v>
      </c>
      <c r="H174" s="28" t="s">
        <v>38622</v>
      </c>
    </row>
    <row x14ac:dyDescent="0.25" r="175" customHeight="1" ht="18.75">
      <c r="A175" s="1"/>
      <c r="B175" s="28" t="s">
        <v>7</v>
      </c>
      <c r="C175" s="28" t="s">
        <v>86</v>
      </c>
      <c r="D175" s="29" t="s">
        <v>38623</v>
      </c>
      <c r="E175" s="30">
        <v>43501</v>
      </c>
      <c r="F175" s="30">
        <v>47154</v>
      </c>
      <c r="G175" s="28" t="s">
        <v>38283</v>
      </c>
      <c r="H175" s="28" t="s">
        <v>38624</v>
      </c>
    </row>
    <row x14ac:dyDescent="0.25" r="176" customHeight="1" ht="18.75">
      <c r="A176" s="1"/>
      <c r="B176" s="28" t="s">
        <v>7</v>
      </c>
      <c r="C176" s="28" t="s">
        <v>86</v>
      </c>
      <c r="D176" s="29" t="s">
        <v>38625</v>
      </c>
      <c r="E176" s="30">
        <v>44505</v>
      </c>
      <c r="F176" s="30">
        <v>46293</v>
      </c>
      <c r="G176" s="28" t="s">
        <v>38283</v>
      </c>
      <c r="H176" s="28" t="s">
        <v>38626</v>
      </c>
    </row>
    <row x14ac:dyDescent="0.25" r="177" customHeight="1" ht="18.75">
      <c r="A177" s="1"/>
      <c r="B177" s="28" t="s">
        <v>7</v>
      </c>
      <c r="C177" s="28" t="s">
        <v>86</v>
      </c>
      <c r="D177" s="29" t="s">
        <v>38627</v>
      </c>
      <c r="E177" s="30">
        <v>42452</v>
      </c>
      <c r="F177" s="30">
        <v>46104</v>
      </c>
      <c r="G177" s="28" t="s">
        <v>38283</v>
      </c>
      <c r="H177" s="28" t="s">
        <v>38628</v>
      </c>
    </row>
    <row x14ac:dyDescent="0.25" r="178" customHeight="1" ht="18.75">
      <c r="A178" s="1"/>
      <c r="B178" s="28" t="s">
        <v>7</v>
      </c>
      <c r="C178" s="28" t="s">
        <v>86</v>
      </c>
      <c r="D178" s="29" t="s">
        <v>38629</v>
      </c>
      <c r="E178" s="30">
        <v>45847</v>
      </c>
      <c r="F178" s="30">
        <v>48038</v>
      </c>
      <c r="G178" s="28" t="s">
        <v>38283</v>
      </c>
      <c r="H178" s="28" t="s">
        <v>38630</v>
      </c>
    </row>
    <row x14ac:dyDescent="0.25" r="179" customHeight="1" ht="18.75">
      <c r="A179" s="1"/>
      <c r="B179" s="28" t="s">
        <v>7</v>
      </c>
      <c r="C179" s="28" t="s">
        <v>86</v>
      </c>
      <c r="D179" s="29" t="s">
        <v>38631</v>
      </c>
      <c r="E179" s="30">
        <v>44888</v>
      </c>
      <c r="F179" s="30">
        <v>48541</v>
      </c>
      <c r="G179" s="28" t="s">
        <v>38283</v>
      </c>
      <c r="H179" s="28" t="s">
        <v>38632</v>
      </c>
    </row>
    <row x14ac:dyDescent="0.25" r="180" customHeight="1" ht="18.75">
      <c r="A180" s="1"/>
      <c r="B180" s="28" t="s">
        <v>7</v>
      </c>
      <c r="C180" s="28" t="s">
        <v>86</v>
      </c>
      <c r="D180" s="32">
        <v>45809</v>
      </c>
      <c r="E180" s="30">
        <v>45681</v>
      </c>
      <c r="F180" s="30">
        <v>47141</v>
      </c>
      <c r="G180" s="28" t="s">
        <v>38283</v>
      </c>
      <c r="H180" s="28" t="s">
        <v>38633</v>
      </c>
    </row>
    <row x14ac:dyDescent="0.25" r="181" customHeight="1" ht="18.75">
      <c r="A181" s="1"/>
      <c r="B181" s="28" t="s">
        <v>7</v>
      </c>
      <c r="C181" s="28" t="s">
        <v>86</v>
      </c>
      <c r="D181" s="29" t="s">
        <v>38634</v>
      </c>
      <c r="E181" s="30">
        <v>45609</v>
      </c>
      <c r="F181" s="30">
        <v>46704</v>
      </c>
      <c r="G181" s="28" t="s">
        <v>38283</v>
      </c>
      <c r="H181" s="28" t="s">
        <v>38635</v>
      </c>
    </row>
    <row x14ac:dyDescent="0.25" r="182" customHeight="1" ht="18.75">
      <c r="A182" s="1"/>
      <c r="B182" s="28" t="s">
        <v>7</v>
      </c>
      <c r="C182" s="28" t="s">
        <v>86</v>
      </c>
      <c r="D182" s="29" t="s">
        <v>38636</v>
      </c>
      <c r="E182" s="30">
        <v>45337</v>
      </c>
      <c r="F182" s="30">
        <v>48987</v>
      </c>
      <c r="G182" s="28" t="s">
        <v>38283</v>
      </c>
      <c r="H182" s="28" t="s">
        <v>38637</v>
      </c>
    </row>
    <row x14ac:dyDescent="0.25" r="183" customHeight="1" ht="18.75">
      <c r="A183" s="1"/>
      <c r="B183" s="28" t="s">
        <v>7</v>
      </c>
      <c r="C183" s="28" t="s">
        <v>86</v>
      </c>
      <c r="D183" s="29" t="s">
        <v>38638</v>
      </c>
      <c r="E183" s="30">
        <v>45198</v>
      </c>
      <c r="F183" s="30">
        <v>48851</v>
      </c>
      <c r="G183" s="28" t="s">
        <v>38283</v>
      </c>
      <c r="H183" s="28" t="s">
        <v>38639</v>
      </c>
    </row>
    <row x14ac:dyDescent="0.25" r="184" customHeight="1" ht="18.75">
      <c r="A184" s="1"/>
      <c r="B184" s="28" t="s">
        <v>7</v>
      </c>
      <c r="C184" s="28" t="s">
        <v>86</v>
      </c>
      <c r="D184" s="29" t="s">
        <v>38640</v>
      </c>
      <c r="E184" s="30">
        <v>45566</v>
      </c>
      <c r="F184" s="30">
        <v>49216</v>
      </c>
      <c r="G184" s="28" t="s">
        <v>38283</v>
      </c>
      <c r="H184" s="28" t="s">
        <v>38641</v>
      </c>
    </row>
    <row x14ac:dyDescent="0.25" r="185" customHeight="1" ht="18.75">
      <c r="A185" s="1"/>
      <c r="B185" s="28" t="s">
        <v>7</v>
      </c>
      <c r="C185" s="28" t="s">
        <v>86</v>
      </c>
      <c r="D185" s="29" t="s">
        <v>38642</v>
      </c>
      <c r="E185" s="30">
        <v>45184</v>
      </c>
      <c r="F185" s="30">
        <v>47009</v>
      </c>
      <c r="G185" s="28" t="s">
        <v>38283</v>
      </c>
      <c r="H185" s="28" t="s">
        <v>38643</v>
      </c>
    </row>
    <row x14ac:dyDescent="0.25" r="186" customHeight="1" ht="18.75">
      <c r="A186" s="1"/>
      <c r="B186" s="28" t="s">
        <v>7</v>
      </c>
      <c r="C186" s="28" t="s">
        <v>86</v>
      </c>
      <c r="D186" s="29" t="s">
        <v>38644</v>
      </c>
      <c r="E186" s="30">
        <v>44224</v>
      </c>
      <c r="F186" s="30">
        <v>46049</v>
      </c>
      <c r="G186" s="28" t="s">
        <v>38283</v>
      </c>
      <c r="H186" s="28" t="s">
        <v>38645</v>
      </c>
    </row>
    <row x14ac:dyDescent="0.25" r="187" customHeight="1" ht="18.75">
      <c r="A187" s="1"/>
      <c r="B187" s="28" t="s">
        <v>7</v>
      </c>
      <c r="C187" s="28" t="s">
        <v>86</v>
      </c>
      <c r="D187" s="29" t="s">
        <v>38646</v>
      </c>
      <c r="E187" s="30">
        <v>44739</v>
      </c>
      <c r="F187" s="30">
        <v>48389</v>
      </c>
      <c r="G187" s="28" t="s">
        <v>38283</v>
      </c>
      <c r="H187" s="28" t="s">
        <v>38647</v>
      </c>
    </row>
    <row x14ac:dyDescent="0.25" r="188" customHeight="1" ht="18.75">
      <c r="A188" s="1"/>
      <c r="B188" s="28" t="s">
        <v>7</v>
      </c>
      <c r="C188" s="28" t="s">
        <v>86</v>
      </c>
      <c r="D188" s="29" t="s">
        <v>38648</v>
      </c>
      <c r="E188" s="30">
        <v>45148</v>
      </c>
      <c r="F188" s="30">
        <v>48801</v>
      </c>
      <c r="G188" s="28" t="s">
        <v>38283</v>
      </c>
      <c r="H188" s="28" t="s">
        <v>38649</v>
      </c>
    </row>
    <row x14ac:dyDescent="0.25" r="189" customHeight="1" ht="18.75">
      <c r="A189" s="1"/>
      <c r="B189" s="28" t="s">
        <v>7</v>
      </c>
      <c r="C189" s="28" t="s">
        <v>86</v>
      </c>
      <c r="D189" s="29" t="s">
        <v>38650</v>
      </c>
      <c r="E189" s="30">
        <v>45224</v>
      </c>
      <c r="F189" s="30">
        <v>48874</v>
      </c>
      <c r="G189" s="28" t="s">
        <v>38283</v>
      </c>
      <c r="H189" s="28" t="s">
        <v>38651</v>
      </c>
    </row>
    <row x14ac:dyDescent="0.25" r="190" customHeight="1" ht="18.75">
      <c r="A190" s="1"/>
      <c r="B190" s="28" t="s">
        <v>7</v>
      </c>
      <c r="C190" s="28" t="s">
        <v>86</v>
      </c>
      <c r="D190" s="29" t="s">
        <v>38652</v>
      </c>
      <c r="E190" s="30">
        <v>45210</v>
      </c>
      <c r="F190" s="30">
        <v>48860</v>
      </c>
      <c r="G190" s="28" t="s">
        <v>38283</v>
      </c>
      <c r="H190" s="28" t="s">
        <v>38653</v>
      </c>
    </row>
    <row x14ac:dyDescent="0.25" r="191" customHeight="1" ht="18.75">
      <c r="A191" s="1"/>
      <c r="B191" s="28" t="s">
        <v>7</v>
      </c>
      <c r="C191" s="28" t="s">
        <v>86</v>
      </c>
      <c r="D191" s="29" t="s">
        <v>38654</v>
      </c>
      <c r="E191" s="30">
        <v>45553</v>
      </c>
      <c r="F191" s="30">
        <v>47378</v>
      </c>
      <c r="G191" s="28" t="s">
        <v>38283</v>
      </c>
      <c r="H191" s="28" t="s">
        <v>38655</v>
      </c>
    </row>
    <row x14ac:dyDescent="0.25" r="192" customHeight="1" ht="18.75">
      <c r="A192" s="1"/>
      <c r="B192" s="28" t="s">
        <v>7</v>
      </c>
      <c r="C192" s="28" t="s">
        <v>86</v>
      </c>
      <c r="D192" s="29" t="s">
        <v>38656</v>
      </c>
      <c r="E192" s="30">
        <v>42452</v>
      </c>
      <c r="F192" s="30">
        <v>46141</v>
      </c>
      <c r="G192" s="28" t="s">
        <v>38283</v>
      </c>
      <c r="H192" s="28" t="s">
        <v>38657</v>
      </c>
    </row>
    <row x14ac:dyDescent="0.25" r="193" customHeight="1" ht="18.75">
      <c r="A193" s="1"/>
      <c r="B193" s="28" t="s">
        <v>7</v>
      </c>
      <c r="C193" s="28" t="s">
        <v>86</v>
      </c>
      <c r="D193" s="29" t="s">
        <v>38658</v>
      </c>
      <c r="E193" s="30">
        <v>45554</v>
      </c>
      <c r="F193" s="30">
        <v>47745</v>
      </c>
      <c r="G193" s="28" t="s">
        <v>38283</v>
      </c>
      <c r="H193" s="28" t="s">
        <v>38659</v>
      </c>
    </row>
    <row x14ac:dyDescent="0.25" r="194" customHeight="1" ht="18.75">
      <c r="A194" s="1"/>
      <c r="B194" s="28" t="s">
        <v>7</v>
      </c>
      <c r="C194" s="28" t="s">
        <v>86</v>
      </c>
      <c r="D194" s="29" t="s">
        <v>38660</v>
      </c>
      <c r="E194" s="30">
        <v>42998</v>
      </c>
      <c r="F194" s="30">
        <v>46650</v>
      </c>
      <c r="G194" s="28" t="s">
        <v>38283</v>
      </c>
      <c r="H194" s="28" t="s">
        <v>38661</v>
      </c>
    </row>
    <row x14ac:dyDescent="0.25" r="195" customHeight="1" ht="18.75">
      <c r="A195" s="1"/>
      <c r="B195" s="28" t="s">
        <v>7</v>
      </c>
      <c r="C195" s="28" t="s">
        <v>86</v>
      </c>
      <c r="D195" s="29" t="s">
        <v>38662</v>
      </c>
      <c r="E195" s="30">
        <v>45678</v>
      </c>
      <c r="F195" s="30">
        <v>47138</v>
      </c>
      <c r="G195" s="28" t="s">
        <v>38283</v>
      </c>
      <c r="H195" s="28" t="s">
        <v>38663</v>
      </c>
    </row>
    <row x14ac:dyDescent="0.25" r="196" customHeight="1" ht="18.75">
      <c r="A196" s="1"/>
      <c r="B196" s="28" t="s">
        <v>7</v>
      </c>
      <c r="C196" s="28" t="s">
        <v>86</v>
      </c>
      <c r="D196" s="29" t="s">
        <v>38664</v>
      </c>
      <c r="E196" s="30">
        <v>44516</v>
      </c>
      <c r="F196" s="30">
        <v>46341</v>
      </c>
      <c r="G196" s="28" t="s">
        <v>38283</v>
      </c>
      <c r="H196" s="28" t="s">
        <v>38665</v>
      </c>
    </row>
    <row x14ac:dyDescent="0.25" r="197" customHeight="1" ht="18.75">
      <c r="A197" s="1"/>
      <c r="B197" s="28" t="s">
        <v>7</v>
      </c>
      <c r="C197" s="28" t="s">
        <v>86</v>
      </c>
      <c r="D197" s="29" t="s">
        <v>38666</v>
      </c>
      <c r="E197" s="30">
        <v>45328</v>
      </c>
      <c r="F197" s="30">
        <v>48978</v>
      </c>
      <c r="G197" s="28" t="s">
        <v>38283</v>
      </c>
      <c r="H197" s="28" t="s">
        <v>38667</v>
      </c>
    </row>
    <row x14ac:dyDescent="0.25" r="198" customHeight="1" ht="18.75">
      <c r="A198" s="1"/>
      <c r="B198" s="28" t="s">
        <v>7</v>
      </c>
      <c r="C198" s="28" t="s">
        <v>86</v>
      </c>
      <c r="D198" s="29" t="s">
        <v>38668</v>
      </c>
      <c r="E198" s="30">
        <v>45078</v>
      </c>
      <c r="F198" s="30">
        <v>46903</v>
      </c>
      <c r="G198" s="28" t="s">
        <v>38283</v>
      </c>
      <c r="H198" s="28" t="s">
        <v>38669</v>
      </c>
    </row>
    <row x14ac:dyDescent="0.25" r="199" customHeight="1" ht="18.75">
      <c r="A199" s="1"/>
      <c r="B199" s="28" t="s">
        <v>7</v>
      </c>
      <c r="C199" s="28" t="s">
        <v>86</v>
      </c>
      <c r="D199" s="29" t="s">
        <v>38670</v>
      </c>
      <c r="E199" s="30">
        <v>45709</v>
      </c>
      <c r="F199" s="30">
        <v>46804</v>
      </c>
      <c r="G199" s="28" t="s">
        <v>38283</v>
      </c>
      <c r="H199" s="28" t="s">
        <v>38671</v>
      </c>
    </row>
    <row x14ac:dyDescent="0.25" r="200" customHeight="1" ht="18.75">
      <c r="A200" s="1"/>
      <c r="B200" s="28" t="s">
        <v>7</v>
      </c>
      <c r="C200" s="28" t="s">
        <v>86</v>
      </c>
      <c r="D200" s="29" t="s">
        <v>38672</v>
      </c>
      <c r="E200" s="30">
        <v>45565</v>
      </c>
      <c r="F200" s="30">
        <v>46660</v>
      </c>
      <c r="G200" s="28" t="s">
        <v>38283</v>
      </c>
      <c r="H200" s="28" t="s">
        <v>38673</v>
      </c>
    </row>
    <row x14ac:dyDescent="0.25" r="201" customHeight="1" ht="18.75">
      <c r="A201" s="1"/>
      <c r="B201" s="28" t="s">
        <v>7</v>
      </c>
      <c r="C201" s="28" t="s">
        <v>86</v>
      </c>
      <c r="D201" s="29" t="s">
        <v>38674</v>
      </c>
      <c r="E201" s="30">
        <v>44400</v>
      </c>
      <c r="F201" s="30">
        <v>46225</v>
      </c>
      <c r="G201" s="28" t="s">
        <v>38283</v>
      </c>
      <c r="H201" s="28" t="s">
        <v>38675</v>
      </c>
    </row>
    <row x14ac:dyDescent="0.25" r="202" customHeight="1" ht="18.75">
      <c r="A202" s="1"/>
      <c r="B202" s="28" t="s">
        <v>7</v>
      </c>
      <c r="C202" s="28" t="s">
        <v>86</v>
      </c>
      <c r="D202" s="29" t="s">
        <v>38676</v>
      </c>
      <c r="E202" s="30">
        <v>45609</v>
      </c>
      <c r="F202" s="30">
        <v>46704</v>
      </c>
      <c r="G202" s="28" t="s">
        <v>38283</v>
      </c>
      <c r="H202" s="28" t="s">
        <v>38677</v>
      </c>
    </row>
    <row x14ac:dyDescent="0.25" r="203" customHeight="1" ht="18.75">
      <c r="A203" s="1"/>
      <c r="B203" s="28" t="s">
        <v>7</v>
      </c>
      <c r="C203" s="28" t="s">
        <v>86</v>
      </c>
      <c r="D203" s="29" t="s">
        <v>38678</v>
      </c>
      <c r="E203" s="30">
        <v>44316</v>
      </c>
      <c r="F203" s="30">
        <v>46141</v>
      </c>
      <c r="G203" s="28" t="s">
        <v>38283</v>
      </c>
      <c r="H203" s="28" t="s">
        <v>38679</v>
      </c>
    </row>
    <row x14ac:dyDescent="0.25" r="204" customHeight="1" ht="18.75">
      <c r="A204" s="1"/>
      <c r="B204" s="28" t="s">
        <v>7</v>
      </c>
      <c r="C204" s="28" t="s">
        <v>86</v>
      </c>
      <c r="D204" s="29" t="s">
        <v>38680</v>
      </c>
      <c r="E204" s="30">
        <v>45519</v>
      </c>
      <c r="F204" s="30">
        <v>46614</v>
      </c>
      <c r="G204" s="28" t="s">
        <v>38283</v>
      </c>
      <c r="H204" s="28" t="s">
        <v>38681</v>
      </c>
    </row>
    <row x14ac:dyDescent="0.25" r="205" customHeight="1" ht="18.75">
      <c r="A205" s="1"/>
      <c r="B205" s="28" t="s">
        <v>7</v>
      </c>
      <c r="C205" s="28" t="s">
        <v>86</v>
      </c>
      <c r="D205" s="29" t="s">
        <v>38682</v>
      </c>
      <c r="E205" s="30">
        <v>44271</v>
      </c>
      <c r="F205" s="30">
        <v>45945</v>
      </c>
      <c r="G205" s="28" t="s">
        <v>38314</v>
      </c>
      <c r="H205" s="28" t="s">
        <v>38683</v>
      </c>
    </row>
    <row x14ac:dyDescent="0.25" r="206" customHeight="1" ht="18.75">
      <c r="A206" s="1"/>
      <c r="B206" s="28" t="s">
        <v>7</v>
      </c>
      <c r="C206" s="28" t="s">
        <v>86</v>
      </c>
      <c r="D206" s="29" t="s">
        <v>38684</v>
      </c>
      <c r="E206" s="30">
        <v>43395</v>
      </c>
      <c r="F206" s="30">
        <v>44060</v>
      </c>
      <c r="G206" s="28" t="s">
        <v>38314</v>
      </c>
      <c r="H206" s="28" t="s">
        <v>38685</v>
      </c>
    </row>
    <row x14ac:dyDescent="0.25" r="207" customHeight="1" ht="18.75">
      <c r="A207" s="1"/>
      <c r="B207" s="28" t="s">
        <v>7</v>
      </c>
      <c r="C207" s="28" t="s">
        <v>86</v>
      </c>
      <c r="D207" s="29" t="s">
        <v>38686</v>
      </c>
      <c r="E207" s="30">
        <v>43517</v>
      </c>
      <c r="F207" s="30">
        <v>45709</v>
      </c>
      <c r="G207" s="28" t="s">
        <v>38314</v>
      </c>
      <c r="H207" s="28" t="s">
        <v>38687</v>
      </c>
    </row>
    <row x14ac:dyDescent="0.25" r="208" customHeight="1" ht="18.75">
      <c r="A208" s="1"/>
      <c r="B208" s="28" t="s">
        <v>7</v>
      </c>
      <c r="C208" s="28" t="s">
        <v>86</v>
      </c>
      <c r="D208" s="29" t="s">
        <v>38688</v>
      </c>
      <c r="E208" s="30">
        <v>41960</v>
      </c>
      <c r="F208" s="30">
        <v>43428</v>
      </c>
      <c r="G208" s="28" t="s">
        <v>38314</v>
      </c>
      <c r="H208" s="28" t="s">
        <v>38689</v>
      </c>
    </row>
    <row x14ac:dyDescent="0.25" r="209" customHeight="1" ht="18.75">
      <c r="A209" s="1"/>
      <c r="B209" s="28" t="s">
        <v>7</v>
      </c>
      <c r="C209" s="28" t="s">
        <v>86</v>
      </c>
      <c r="D209" s="29" t="s">
        <v>38690</v>
      </c>
      <c r="E209" s="30">
        <v>44557</v>
      </c>
      <c r="F209" s="30">
        <v>45630</v>
      </c>
      <c r="G209" s="28" t="s">
        <v>38314</v>
      </c>
      <c r="H209" s="28" t="s">
        <v>38691</v>
      </c>
    </row>
    <row x14ac:dyDescent="0.25" r="210" customHeight="1" ht="18.75">
      <c r="A210" s="1"/>
      <c r="B210" s="28" t="s">
        <v>7</v>
      </c>
      <c r="C210" s="28" t="s">
        <v>86</v>
      </c>
      <c r="D210" s="29" t="s">
        <v>38692</v>
      </c>
      <c r="E210" s="30">
        <v>42927</v>
      </c>
      <c r="F210" s="30">
        <v>44242</v>
      </c>
      <c r="G210" s="28" t="s">
        <v>38314</v>
      </c>
      <c r="H210" s="28" t="s">
        <v>38693</v>
      </c>
    </row>
    <row x14ac:dyDescent="0.25" r="211" customHeight="1" ht="18.75">
      <c r="A211" s="1"/>
      <c r="B211" s="28" t="s">
        <v>7</v>
      </c>
      <c r="C211" s="28" t="s">
        <v>86</v>
      </c>
      <c r="D211" s="29" t="s">
        <v>38694</v>
      </c>
      <c r="E211" s="30">
        <v>43154</v>
      </c>
      <c r="F211" s="30">
        <v>44615</v>
      </c>
      <c r="G211" s="28" t="s">
        <v>38314</v>
      </c>
      <c r="H211" s="28" t="s">
        <v>38525</v>
      </c>
    </row>
    <row x14ac:dyDescent="0.25" r="212" customHeight="1" ht="18.75">
      <c r="A212" s="1"/>
      <c r="B212" s="28" t="s">
        <v>7</v>
      </c>
      <c r="C212" s="28" t="s">
        <v>86</v>
      </c>
      <c r="D212" s="29" t="s">
        <v>38695</v>
      </c>
      <c r="E212" s="30">
        <v>45184</v>
      </c>
      <c r="F212" s="30">
        <v>45915</v>
      </c>
      <c r="G212" s="28" t="s">
        <v>38314</v>
      </c>
      <c r="H212" s="28" t="s">
        <v>38696</v>
      </c>
    </row>
    <row x14ac:dyDescent="0.25" r="213" customHeight="1" ht="18.75">
      <c r="A213" s="1"/>
      <c r="B213" s="28" t="s">
        <v>7</v>
      </c>
      <c r="C213" s="28" t="s">
        <v>86</v>
      </c>
      <c r="D213" s="29" t="s">
        <v>38697</v>
      </c>
      <c r="E213" s="30">
        <v>45174</v>
      </c>
      <c r="F213" s="30">
        <v>45905</v>
      </c>
      <c r="G213" s="28" t="s">
        <v>38314</v>
      </c>
      <c r="H213" s="28" t="s">
        <v>38698</v>
      </c>
    </row>
    <row x14ac:dyDescent="0.25" r="214" customHeight="1" ht="18.75">
      <c r="A214" s="1"/>
      <c r="B214" s="28" t="s">
        <v>7</v>
      </c>
      <c r="C214" s="28" t="s">
        <v>86</v>
      </c>
      <c r="D214" s="29" t="s">
        <v>38699</v>
      </c>
      <c r="E214" s="30">
        <v>43796</v>
      </c>
      <c r="F214" s="30">
        <v>45988</v>
      </c>
      <c r="G214" s="28" t="s">
        <v>38314</v>
      </c>
      <c r="H214" s="28" t="s">
        <v>38700</v>
      </c>
    </row>
    <row x14ac:dyDescent="0.25" r="215" customHeight="1" ht="18.75">
      <c r="A215" s="1"/>
      <c r="B215" s="28" t="s">
        <v>7</v>
      </c>
      <c r="C215" s="28" t="s">
        <v>86</v>
      </c>
      <c r="D215" s="29" t="s">
        <v>38701</v>
      </c>
      <c r="E215" s="30">
        <v>45184</v>
      </c>
      <c r="F215" s="30">
        <v>45915</v>
      </c>
      <c r="G215" s="28" t="s">
        <v>38314</v>
      </c>
      <c r="H215" s="28" t="s">
        <v>38702</v>
      </c>
    </row>
    <row x14ac:dyDescent="0.25" r="216" customHeight="1" ht="18.75">
      <c r="A216" s="1"/>
      <c r="B216" s="28" t="s">
        <v>7</v>
      </c>
      <c r="C216" s="28" t="s">
        <v>86</v>
      </c>
      <c r="D216" s="29" t="s">
        <v>38703</v>
      </c>
      <c r="E216" s="30">
        <v>45174</v>
      </c>
      <c r="F216" s="30">
        <v>45905</v>
      </c>
      <c r="G216" s="28" t="s">
        <v>38314</v>
      </c>
      <c r="H216" s="28" t="s">
        <v>38704</v>
      </c>
    </row>
    <row x14ac:dyDescent="0.25" r="217" customHeight="1" ht="18.75">
      <c r="A217" s="1"/>
      <c r="B217" s="28" t="s">
        <v>7</v>
      </c>
      <c r="C217" s="28" t="s">
        <v>86</v>
      </c>
      <c r="D217" s="29" t="s">
        <v>38705</v>
      </c>
      <c r="E217" s="30">
        <v>45194</v>
      </c>
      <c r="F217" s="30">
        <v>45925</v>
      </c>
      <c r="G217" s="28" t="s">
        <v>38314</v>
      </c>
      <c r="H217" s="28" t="s">
        <v>38706</v>
      </c>
    </row>
    <row x14ac:dyDescent="0.25" r="218" customHeight="1" ht="18.75">
      <c r="A218" s="1"/>
      <c r="B218" s="28" t="s">
        <v>7</v>
      </c>
      <c r="C218" s="28" t="s">
        <v>86</v>
      </c>
      <c r="D218" s="29" t="s">
        <v>38707</v>
      </c>
      <c r="E218" s="30">
        <v>41781</v>
      </c>
      <c r="F218" s="30">
        <v>45497</v>
      </c>
      <c r="G218" s="28" t="s">
        <v>38314</v>
      </c>
      <c r="H218" s="28" t="s">
        <v>38708</v>
      </c>
    </row>
    <row x14ac:dyDescent="0.25" r="219" customHeight="1" ht="18.75">
      <c r="A219" s="1"/>
      <c r="B219" s="28" t="s">
        <v>7</v>
      </c>
      <c r="C219" s="28" t="s">
        <v>86</v>
      </c>
      <c r="D219" s="29" t="s">
        <v>38709</v>
      </c>
      <c r="E219" s="30">
        <v>45440</v>
      </c>
      <c r="F219" s="30">
        <v>46080</v>
      </c>
      <c r="G219" s="28" t="s">
        <v>38314</v>
      </c>
      <c r="H219" s="28" t="s">
        <v>38710</v>
      </c>
    </row>
    <row x14ac:dyDescent="0.25" r="220" customHeight="1" ht="18.75">
      <c r="A220" s="1"/>
      <c r="B220" s="28" t="s">
        <v>7</v>
      </c>
      <c r="C220" s="28" t="s">
        <v>86</v>
      </c>
      <c r="D220" s="29" t="s">
        <v>38711</v>
      </c>
      <c r="E220" s="30">
        <v>44988</v>
      </c>
      <c r="F220" s="30">
        <v>45954</v>
      </c>
      <c r="G220" s="28" t="s">
        <v>38314</v>
      </c>
      <c r="H220" s="28" t="s">
        <v>38712</v>
      </c>
    </row>
    <row x14ac:dyDescent="0.25" r="221" customHeight="1" ht="18.75">
      <c r="A221" s="1"/>
      <c r="B221" s="28" t="s">
        <v>7</v>
      </c>
      <c r="C221" s="28" t="s">
        <v>86</v>
      </c>
      <c r="D221" s="29" t="s">
        <v>38713</v>
      </c>
      <c r="E221" s="30">
        <v>42514</v>
      </c>
      <c r="F221" s="30">
        <v>44340</v>
      </c>
      <c r="G221" s="28" t="s">
        <v>38314</v>
      </c>
      <c r="H221" s="28" t="s">
        <v>38714</v>
      </c>
    </row>
    <row x14ac:dyDescent="0.25" r="222" customHeight="1" ht="18.75">
      <c r="A222" s="1"/>
      <c r="B222" s="28" t="s">
        <v>7</v>
      </c>
      <c r="C222" s="28" t="s">
        <v>86</v>
      </c>
      <c r="D222" s="29" t="s">
        <v>38715</v>
      </c>
      <c r="E222" s="30">
        <v>44138</v>
      </c>
      <c r="F222" s="30">
        <v>45233</v>
      </c>
      <c r="G222" s="28" t="s">
        <v>38314</v>
      </c>
      <c r="H222" s="28" t="s">
        <v>38716</v>
      </c>
    </row>
    <row x14ac:dyDescent="0.25" r="223" customHeight="1" ht="18.75">
      <c r="A223" s="1"/>
      <c r="B223" s="28" t="s">
        <v>7</v>
      </c>
      <c r="C223" s="28" t="s">
        <v>86</v>
      </c>
      <c r="D223" s="29" t="s">
        <v>38717</v>
      </c>
      <c r="E223" s="30">
        <v>44442</v>
      </c>
      <c r="F223" s="30">
        <v>45902</v>
      </c>
      <c r="G223" s="28" t="s">
        <v>38314</v>
      </c>
      <c r="H223" s="28" t="s">
        <v>38718</v>
      </c>
    </row>
    <row x14ac:dyDescent="0.25" r="224" customHeight="1" ht="18.75">
      <c r="A224" s="1"/>
      <c r="B224" s="28" t="s">
        <v>7</v>
      </c>
      <c r="C224" s="28" t="s">
        <v>86</v>
      </c>
      <c r="D224" s="29" t="s">
        <v>38719</v>
      </c>
      <c r="E224" s="30">
        <v>44490</v>
      </c>
      <c r="F224" s="30">
        <v>45951</v>
      </c>
      <c r="G224" s="28" t="s">
        <v>38314</v>
      </c>
      <c r="H224" s="28" t="s">
        <v>38720</v>
      </c>
    </row>
    <row x14ac:dyDescent="0.25" r="225" customHeight="1" ht="18.75">
      <c r="A225" s="1"/>
      <c r="B225" s="28" t="s">
        <v>7</v>
      </c>
      <c r="C225" s="28" t="s">
        <v>86</v>
      </c>
      <c r="D225" s="29" t="s">
        <v>38721</v>
      </c>
      <c r="E225" s="30">
        <v>44523</v>
      </c>
      <c r="F225" s="30">
        <v>45862</v>
      </c>
      <c r="G225" s="28" t="s">
        <v>38314</v>
      </c>
      <c r="H225" s="28" t="s">
        <v>38722</v>
      </c>
    </row>
    <row x14ac:dyDescent="0.25" r="226" customHeight="1" ht="18.75">
      <c r="A226" s="1"/>
      <c r="B226" s="28" t="s">
        <v>7</v>
      </c>
      <c r="C226" s="28" t="s">
        <v>86</v>
      </c>
      <c r="D226" s="29" t="s">
        <v>38723</v>
      </c>
      <c r="E226" s="30">
        <v>44242</v>
      </c>
      <c r="F226" s="30">
        <v>45702</v>
      </c>
      <c r="G226" s="28" t="s">
        <v>38314</v>
      </c>
      <c r="H226" s="28" t="s">
        <v>38724</v>
      </c>
    </row>
    <row x14ac:dyDescent="0.25" r="227" customHeight="1" ht="18.75">
      <c r="A227" s="1"/>
      <c r="B227" s="28" t="s">
        <v>7</v>
      </c>
      <c r="C227" s="28" t="s">
        <v>86</v>
      </c>
      <c r="D227" s="29" t="s">
        <v>38725</v>
      </c>
      <c r="E227" s="30">
        <v>43360</v>
      </c>
      <c r="F227" s="30">
        <v>43920</v>
      </c>
      <c r="G227" s="28" t="s">
        <v>38314</v>
      </c>
      <c r="H227" s="28" t="s">
        <v>38726</v>
      </c>
    </row>
    <row x14ac:dyDescent="0.25" r="228" customHeight="1" ht="18.75">
      <c r="A228" s="1"/>
      <c r="B228" s="28" t="s">
        <v>7</v>
      </c>
      <c r="C228" s="28" t="s">
        <v>86</v>
      </c>
      <c r="D228" s="29" t="s">
        <v>38727</v>
      </c>
      <c r="E228" s="30">
        <v>44008</v>
      </c>
      <c r="F228" s="30">
        <v>45833</v>
      </c>
      <c r="G228" s="28" t="s">
        <v>38314</v>
      </c>
      <c r="H228" s="28" t="s">
        <v>38728</v>
      </c>
    </row>
    <row x14ac:dyDescent="0.25" r="229" customHeight="1" ht="18.75">
      <c r="A229" s="1"/>
      <c r="B229" s="28" t="s">
        <v>7</v>
      </c>
      <c r="C229" s="28" t="s">
        <v>86</v>
      </c>
      <c r="D229" s="29" t="s">
        <v>38729</v>
      </c>
      <c r="E229" s="30">
        <v>44049</v>
      </c>
      <c r="F229" s="30">
        <v>45874</v>
      </c>
      <c r="G229" s="28" t="s">
        <v>38314</v>
      </c>
      <c r="H229" s="28" t="s">
        <v>38730</v>
      </c>
    </row>
    <row x14ac:dyDescent="0.25" r="230" customHeight="1" ht="18.75">
      <c r="A230" s="1"/>
      <c r="B230" s="28" t="s">
        <v>7</v>
      </c>
      <c r="C230" s="28" t="s">
        <v>86</v>
      </c>
      <c r="D230" s="29" t="s">
        <v>38731</v>
      </c>
      <c r="E230" s="30">
        <v>45188</v>
      </c>
      <c r="F230" s="30">
        <v>45919</v>
      </c>
      <c r="G230" s="28" t="s">
        <v>38314</v>
      </c>
      <c r="H230" s="28" t="s">
        <v>38732</v>
      </c>
    </row>
    <row x14ac:dyDescent="0.25" r="231" customHeight="1" ht="18.75">
      <c r="A231" s="1"/>
      <c r="B231" s="28" t="s">
        <v>7</v>
      </c>
      <c r="C231" s="28" t="s">
        <v>86</v>
      </c>
      <c r="D231" s="29" t="s">
        <v>38733</v>
      </c>
      <c r="E231" s="30">
        <v>41669</v>
      </c>
      <c r="F231" s="30">
        <v>42731</v>
      </c>
      <c r="G231" s="28" t="s">
        <v>38314</v>
      </c>
      <c r="H231" s="28" t="s">
        <v>38734</v>
      </c>
    </row>
    <row x14ac:dyDescent="0.25" r="232" customHeight="1" ht="18.75">
      <c r="A232" s="1"/>
      <c r="B232" s="28" t="s">
        <v>7</v>
      </c>
      <c r="C232" s="28" t="s">
        <v>86</v>
      </c>
      <c r="D232" s="29" t="s">
        <v>38735</v>
      </c>
      <c r="E232" s="30">
        <v>45000</v>
      </c>
      <c r="F232" s="30">
        <v>45981</v>
      </c>
      <c r="G232" s="28" t="s">
        <v>38314</v>
      </c>
      <c r="H232" s="28" t="s">
        <v>38736</v>
      </c>
    </row>
    <row x14ac:dyDescent="0.25" r="233" customHeight="1" ht="18.75">
      <c r="A233" s="1"/>
      <c r="B233" s="28" t="s">
        <v>7</v>
      </c>
      <c r="C233" s="28" t="s">
        <v>86</v>
      </c>
      <c r="D233" s="29" t="s">
        <v>38737</v>
      </c>
      <c r="E233" s="30">
        <v>42789</v>
      </c>
      <c r="F233" s="30">
        <v>43884</v>
      </c>
      <c r="G233" s="28" t="s">
        <v>38314</v>
      </c>
      <c r="H233" s="28" t="s">
        <v>38561</v>
      </c>
    </row>
    <row x14ac:dyDescent="0.25" r="234" customHeight="1" ht="18.75">
      <c r="A234" s="1"/>
      <c r="B234" s="28" t="s">
        <v>7</v>
      </c>
      <c r="C234" s="28" t="s">
        <v>86</v>
      </c>
      <c r="D234" s="29" t="s">
        <v>38738</v>
      </c>
      <c r="E234" s="30">
        <v>43448</v>
      </c>
      <c r="F234" s="30">
        <v>45640</v>
      </c>
      <c r="G234" s="28" t="s">
        <v>38314</v>
      </c>
      <c r="H234" s="28" t="s">
        <v>38739</v>
      </c>
    </row>
    <row x14ac:dyDescent="0.25" r="235" customHeight="1" ht="18.75">
      <c r="A235" s="1"/>
      <c r="B235" s="28" t="s">
        <v>7</v>
      </c>
      <c r="C235" s="28" t="s">
        <v>86</v>
      </c>
      <c r="D235" s="29" t="s">
        <v>38740</v>
      </c>
      <c r="E235" s="30">
        <v>43165</v>
      </c>
      <c r="F235" s="30">
        <v>44991</v>
      </c>
      <c r="G235" s="28" t="s">
        <v>38741</v>
      </c>
      <c r="H235" s="28" t="s">
        <v>38742</v>
      </c>
    </row>
    <row x14ac:dyDescent="0.25" r="236" customHeight="1" ht="18.75">
      <c r="A236" s="1"/>
      <c r="B236" s="28" t="s">
        <v>7</v>
      </c>
      <c r="C236" s="28" t="s">
        <v>86</v>
      </c>
      <c r="D236" s="29" t="s">
        <v>38743</v>
      </c>
      <c r="E236" s="30">
        <v>39657</v>
      </c>
      <c r="F236" s="30">
        <v>40775</v>
      </c>
      <c r="G236" s="28" t="s">
        <v>38741</v>
      </c>
      <c r="H236" s="28" t="s">
        <v>38744</v>
      </c>
    </row>
    <row x14ac:dyDescent="0.25" r="237" customHeight="1" ht="18.75">
      <c r="A237" s="1"/>
      <c r="B237" s="28" t="s">
        <v>7</v>
      </c>
      <c r="C237" s="28" t="s">
        <v>88</v>
      </c>
      <c r="D237" s="29" t="s">
        <v>38745</v>
      </c>
      <c r="E237" s="30">
        <v>45324</v>
      </c>
      <c r="F237" s="30">
        <v>46785</v>
      </c>
      <c r="G237" s="28" t="s">
        <v>38283</v>
      </c>
      <c r="H237" s="28" t="s">
        <v>38746</v>
      </c>
    </row>
    <row x14ac:dyDescent="0.25" r="238" customHeight="1" ht="18.75">
      <c r="A238" s="1"/>
      <c r="B238" s="28" t="s">
        <v>7</v>
      </c>
      <c r="C238" s="28" t="s">
        <v>88</v>
      </c>
      <c r="D238" s="29" t="s">
        <v>38747</v>
      </c>
      <c r="E238" s="30">
        <v>45089</v>
      </c>
      <c r="F238" s="30">
        <v>46914</v>
      </c>
      <c r="G238" s="28" t="s">
        <v>38283</v>
      </c>
      <c r="H238" s="28" t="s">
        <v>38748</v>
      </c>
    </row>
    <row x14ac:dyDescent="0.25" r="239" customHeight="1" ht="18.75">
      <c r="A239" s="1"/>
      <c r="B239" s="28" t="s">
        <v>7</v>
      </c>
      <c r="C239" s="28" t="s">
        <v>88</v>
      </c>
      <c r="D239" s="29" t="s">
        <v>38749</v>
      </c>
      <c r="E239" s="30">
        <v>44644</v>
      </c>
      <c r="F239" s="30">
        <v>46105</v>
      </c>
      <c r="G239" s="28" t="s">
        <v>38283</v>
      </c>
      <c r="H239" s="28" t="s">
        <v>38750</v>
      </c>
    </row>
    <row x14ac:dyDescent="0.25" r="240" customHeight="1" ht="18.75">
      <c r="A240" s="1"/>
      <c r="B240" s="28" t="s">
        <v>7</v>
      </c>
      <c r="C240" s="28" t="s">
        <v>88</v>
      </c>
      <c r="D240" s="29" t="s">
        <v>38751</v>
      </c>
      <c r="E240" s="30">
        <v>45105</v>
      </c>
      <c r="F240" s="30">
        <v>46566</v>
      </c>
      <c r="G240" s="28" t="s">
        <v>38283</v>
      </c>
      <c r="H240" s="28" t="s">
        <v>38752</v>
      </c>
    </row>
    <row x14ac:dyDescent="0.25" r="241" customHeight="1" ht="18.75">
      <c r="A241" s="1"/>
      <c r="B241" s="28" t="s">
        <v>7</v>
      </c>
      <c r="C241" s="28" t="s">
        <v>88</v>
      </c>
      <c r="D241" s="29" t="s">
        <v>38753</v>
      </c>
      <c r="E241" s="30">
        <v>45317</v>
      </c>
      <c r="F241" s="30">
        <v>46778</v>
      </c>
      <c r="G241" s="28" t="s">
        <v>38283</v>
      </c>
      <c r="H241" s="28" t="s">
        <v>38754</v>
      </c>
    </row>
    <row x14ac:dyDescent="0.25" r="242" customHeight="1" ht="18.75">
      <c r="A242" s="1"/>
      <c r="B242" s="28" t="s">
        <v>7</v>
      </c>
      <c r="C242" s="28" t="s">
        <v>88</v>
      </c>
      <c r="D242" s="29" t="s">
        <v>38755</v>
      </c>
      <c r="E242" s="30">
        <v>44236</v>
      </c>
      <c r="F242" s="30">
        <v>46061</v>
      </c>
      <c r="G242" s="28" t="s">
        <v>38283</v>
      </c>
      <c r="H242" s="28" t="s">
        <v>38756</v>
      </c>
    </row>
    <row x14ac:dyDescent="0.25" r="243" customHeight="1" ht="18.75">
      <c r="A243" s="1"/>
      <c r="B243" s="28" t="s">
        <v>7</v>
      </c>
      <c r="C243" s="28" t="s">
        <v>88</v>
      </c>
      <c r="D243" s="29" t="s">
        <v>38757</v>
      </c>
      <c r="E243" s="30">
        <v>45202</v>
      </c>
      <c r="F243" s="30">
        <v>46663</v>
      </c>
      <c r="G243" s="28" t="s">
        <v>38283</v>
      </c>
      <c r="H243" s="28" t="s">
        <v>38758</v>
      </c>
    </row>
    <row x14ac:dyDescent="0.25" r="244" customHeight="1" ht="18.75">
      <c r="A244" s="1"/>
      <c r="B244" s="28" t="s">
        <v>7</v>
      </c>
      <c r="C244" s="28" t="s">
        <v>88</v>
      </c>
      <c r="D244" s="29" t="s">
        <v>38759</v>
      </c>
      <c r="E244" s="30">
        <v>45369</v>
      </c>
      <c r="F244" s="30">
        <v>46813</v>
      </c>
      <c r="G244" s="28" t="s">
        <v>38283</v>
      </c>
      <c r="H244" s="28" t="s">
        <v>38760</v>
      </c>
    </row>
    <row x14ac:dyDescent="0.25" r="245" customHeight="1" ht="18.75">
      <c r="A245" s="1"/>
      <c r="B245" s="28" t="s">
        <v>7</v>
      </c>
      <c r="C245" s="28" t="s">
        <v>88</v>
      </c>
      <c r="D245" s="29" t="s">
        <v>38761</v>
      </c>
      <c r="E245" s="30">
        <v>45371</v>
      </c>
      <c r="F245" s="30">
        <v>46813</v>
      </c>
      <c r="G245" s="28" t="s">
        <v>38283</v>
      </c>
      <c r="H245" s="28" t="s">
        <v>38762</v>
      </c>
    </row>
    <row x14ac:dyDescent="0.25" r="246" customHeight="1" ht="18.75">
      <c r="A246" s="1"/>
      <c r="B246" s="28" t="s">
        <v>7</v>
      </c>
      <c r="C246" s="28" t="s">
        <v>88</v>
      </c>
      <c r="D246" s="29" t="s">
        <v>38763</v>
      </c>
      <c r="E246" s="30">
        <v>45324</v>
      </c>
      <c r="F246" s="30">
        <v>46785</v>
      </c>
      <c r="G246" s="28" t="s">
        <v>38283</v>
      </c>
      <c r="H246" s="28" t="s">
        <v>38764</v>
      </c>
    </row>
    <row x14ac:dyDescent="0.25" r="247" customHeight="1" ht="18.75">
      <c r="A247" s="1"/>
      <c r="B247" s="28" t="s">
        <v>7</v>
      </c>
      <c r="C247" s="28" t="s">
        <v>88</v>
      </c>
      <c r="D247" s="29" t="s">
        <v>38765</v>
      </c>
      <c r="E247" s="30">
        <v>45236</v>
      </c>
      <c r="F247" s="30">
        <v>47061</v>
      </c>
      <c r="G247" s="28" t="s">
        <v>38283</v>
      </c>
      <c r="H247" s="28" t="s">
        <v>38766</v>
      </c>
    </row>
    <row x14ac:dyDescent="0.25" r="248" customHeight="1" ht="18.75">
      <c r="A248" s="1"/>
      <c r="B248" s="28" t="s">
        <v>7</v>
      </c>
      <c r="C248" s="28" t="s">
        <v>88</v>
      </c>
      <c r="D248" s="29" t="s">
        <v>38767</v>
      </c>
      <c r="E248" s="30">
        <v>45404</v>
      </c>
      <c r="F248" s="30">
        <v>49056</v>
      </c>
      <c r="G248" s="28" t="s">
        <v>38283</v>
      </c>
      <c r="H248" s="28" t="s">
        <v>38768</v>
      </c>
    </row>
    <row x14ac:dyDescent="0.25" r="249" customHeight="1" ht="18.75">
      <c r="A249" s="1"/>
      <c r="B249" s="28" t="s">
        <v>7</v>
      </c>
      <c r="C249" s="28" t="s">
        <v>88</v>
      </c>
      <c r="D249" s="29" t="s">
        <v>38769</v>
      </c>
      <c r="E249" s="30">
        <v>45324</v>
      </c>
      <c r="F249" s="30">
        <v>46785</v>
      </c>
      <c r="G249" s="28" t="s">
        <v>38283</v>
      </c>
      <c r="H249" s="28" t="s">
        <v>38770</v>
      </c>
    </row>
    <row x14ac:dyDescent="0.25" r="250" customHeight="1" ht="18.75">
      <c r="A250" s="1"/>
      <c r="B250" s="28" t="s">
        <v>7</v>
      </c>
      <c r="C250" s="28" t="s">
        <v>88</v>
      </c>
      <c r="D250" s="29" t="s">
        <v>38771</v>
      </c>
      <c r="E250" s="30">
        <v>45608</v>
      </c>
      <c r="F250" s="30">
        <v>47069</v>
      </c>
      <c r="G250" s="28" t="s">
        <v>38283</v>
      </c>
      <c r="H250" s="28" t="s">
        <v>38772</v>
      </c>
    </row>
    <row x14ac:dyDescent="0.25" r="251" customHeight="1" ht="18.75">
      <c r="A251" s="1"/>
      <c r="B251" s="28" t="s">
        <v>7</v>
      </c>
      <c r="C251" s="28" t="s">
        <v>88</v>
      </c>
      <c r="D251" s="29" t="s">
        <v>38773</v>
      </c>
      <c r="E251" s="30">
        <v>44936</v>
      </c>
      <c r="F251" s="30">
        <v>47126</v>
      </c>
      <c r="G251" s="28" t="s">
        <v>38283</v>
      </c>
      <c r="H251" s="28" t="s">
        <v>38774</v>
      </c>
    </row>
    <row x14ac:dyDescent="0.25" r="252" customHeight="1" ht="18.75">
      <c r="A252" s="1"/>
      <c r="B252" s="28" t="s">
        <v>7</v>
      </c>
      <c r="C252" s="28" t="s">
        <v>88</v>
      </c>
      <c r="D252" s="29" t="s">
        <v>38775</v>
      </c>
      <c r="E252" s="30">
        <v>44071</v>
      </c>
      <c r="F252" s="30">
        <v>47723</v>
      </c>
      <c r="G252" s="28" t="s">
        <v>38283</v>
      </c>
      <c r="H252" s="28" t="s">
        <v>38776</v>
      </c>
    </row>
    <row x14ac:dyDescent="0.25" r="253" customHeight="1" ht="18.75">
      <c r="A253" s="1"/>
      <c r="B253" s="28" t="s">
        <v>7</v>
      </c>
      <c r="C253" s="28" t="s">
        <v>88</v>
      </c>
      <c r="D253" s="29" t="s">
        <v>38777</v>
      </c>
      <c r="E253" s="30">
        <v>45533</v>
      </c>
      <c r="F253" s="30">
        <v>47724</v>
      </c>
      <c r="G253" s="28" t="s">
        <v>38283</v>
      </c>
      <c r="H253" s="28" t="s">
        <v>38778</v>
      </c>
    </row>
    <row x14ac:dyDescent="0.25" r="254" customHeight="1" ht="18.75">
      <c r="A254" s="1"/>
      <c r="B254" s="28" t="s">
        <v>7</v>
      </c>
      <c r="C254" s="28" t="s">
        <v>88</v>
      </c>
      <c r="D254" s="29" t="s">
        <v>38779</v>
      </c>
      <c r="E254" s="30">
        <v>45548</v>
      </c>
      <c r="F254" s="30">
        <v>47738</v>
      </c>
      <c r="G254" s="28" t="s">
        <v>38283</v>
      </c>
      <c r="H254" s="28" t="s">
        <v>38780</v>
      </c>
    </row>
    <row x14ac:dyDescent="0.25" r="255" customHeight="1" ht="18.75">
      <c r="A255" s="1"/>
      <c r="B255" s="28" t="s">
        <v>7</v>
      </c>
      <c r="C255" s="28" t="s">
        <v>88</v>
      </c>
      <c r="D255" s="29" t="s">
        <v>38781</v>
      </c>
      <c r="E255" s="30">
        <v>45512</v>
      </c>
      <c r="F255" s="30">
        <v>49164</v>
      </c>
      <c r="G255" s="28" t="s">
        <v>38283</v>
      </c>
      <c r="H255" s="28" t="s">
        <v>38782</v>
      </c>
    </row>
    <row x14ac:dyDescent="0.25" r="256" customHeight="1" ht="18.75">
      <c r="A256" s="1"/>
      <c r="B256" s="28" t="s">
        <v>7</v>
      </c>
      <c r="C256" s="28" t="s">
        <v>88</v>
      </c>
      <c r="D256" s="29" t="s">
        <v>38783</v>
      </c>
      <c r="E256" s="30">
        <v>45009</v>
      </c>
      <c r="F256" s="30">
        <v>47206</v>
      </c>
      <c r="G256" s="28" t="s">
        <v>38283</v>
      </c>
      <c r="H256" s="28" t="s">
        <v>38784</v>
      </c>
    </row>
    <row x14ac:dyDescent="0.25" r="257" customHeight="1" ht="18.75">
      <c r="A257" s="1"/>
      <c r="B257" s="28" t="s">
        <v>7</v>
      </c>
      <c r="C257" s="28" t="s">
        <v>88</v>
      </c>
      <c r="D257" s="29" t="s">
        <v>38785</v>
      </c>
      <c r="E257" s="30">
        <v>45533</v>
      </c>
      <c r="F257" s="30">
        <v>47723</v>
      </c>
      <c r="G257" s="28" t="s">
        <v>38283</v>
      </c>
      <c r="H257" s="28" t="s">
        <v>38786</v>
      </c>
    </row>
    <row x14ac:dyDescent="0.25" r="258" customHeight="1" ht="18.75">
      <c r="A258" s="1"/>
      <c r="B258" s="28" t="s">
        <v>7</v>
      </c>
      <c r="C258" s="28" t="s">
        <v>88</v>
      </c>
      <c r="D258" s="29" t="s">
        <v>38787</v>
      </c>
      <c r="E258" s="30">
        <v>44943</v>
      </c>
      <c r="F258" s="30">
        <v>46765</v>
      </c>
      <c r="G258" s="28" t="s">
        <v>38283</v>
      </c>
      <c r="H258" s="28" t="s">
        <v>38788</v>
      </c>
    </row>
    <row x14ac:dyDescent="0.25" r="259" customHeight="1" ht="18.75">
      <c r="A259" s="1"/>
      <c r="B259" s="28" t="s">
        <v>7</v>
      </c>
      <c r="C259" s="28" t="s">
        <v>88</v>
      </c>
      <c r="D259" s="29" t="s">
        <v>38789</v>
      </c>
      <c r="E259" s="30">
        <v>44028</v>
      </c>
      <c r="F259" s="30">
        <v>45853</v>
      </c>
      <c r="G259" s="28" t="s">
        <v>38314</v>
      </c>
      <c r="H259" s="28" t="s">
        <v>38790</v>
      </c>
    </row>
    <row x14ac:dyDescent="0.25" r="260" customHeight="1" ht="18.75">
      <c r="A260" s="1"/>
      <c r="B260" s="28" t="s">
        <v>7</v>
      </c>
      <c r="C260" s="28" t="s">
        <v>88</v>
      </c>
      <c r="D260" s="29" t="s">
        <v>38791</v>
      </c>
      <c r="E260" s="30">
        <v>42634</v>
      </c>
      <c r="F260" s="30">
        <v>43349</v>
      </c>
      <c r="G260" s="28" t="s">
        <v>38314</v>
      </c>
      <c r="H260" s="28" t="s">
        <v>38792</v>
      </c>
    </row>
    <row x14ac:dyDescent="0.25" r="261" customHeight="1" ht="18.75">
      <c r="A261" s="1"/>
      <c r="B261" s="28" t="s">
        <v>7</v>
      </c>
      <c r="C261" s="28" t="s">
        <v>88</v>
      </c>
      <c r="D261" s="29" t="s">
        <v>38793</v>
      </c>
      <c r="E261" s="30">
        <v>41430</v>
      </c>
      <c r="F261" s="30">
        <v>44260</v>
      </c>
      <c r="G261" s="28" t="s">
        <v>38314</v>
      </c>
      <c r="H261" s="28" t="s">
        <v>38794</v>
      </c>
    </row>
    <row x14ac:dyDescent="0.25" r="262" customHeight="1" ht="18.75">
      <c r="A262" s="1"/>
      <c r="B262" s="28" t="s">
        <v>7</v>
      </c>
      <c r="C262" s="28" t="s">
        <v>88</v>
      </c>
      <c r="D262" s="29" t="s">
        <v>38795</v>
      </c>
      <c r="E262" s="30">
        <v>41430</v>
      </c>
      <c r="F262" s="30">
        <v>44260</v>
      </c>
      <c r="G262" s="28" t="s">
        <v>38314</v>
      </c>
      <c r="H262" s="28" t="s">
        <v>38796</v>
      </c>
    </row>
    <row x14ac:dyDescent="0.25" r="263" customHeight="1" ht="18.75">
      <c r="A263" s="1"/>
      <c r="B263" s="28" t="s">
        <v>7</v>
      </c>
      <c r="C263" s="28" t="s">
        <v>88</v>
      </c>
      <c r="D263" s="29" t="s">
        <v>38797</v>
      </c>
      <c r="E263" s="30">
        <v>44083</v>
      </c>
      <c r="F263" s="30">
        <v>45908</v>
      </c>
      <c r="G263" s="28" t="s">
        <v>38314</v>
      </c>
      <c r="H263" s="28" t="s">
        <v>38798</v>
      </c>
    </row>
    <row x14ac:dyDescent="0.25" r="264" customHeight="1" ht="18.75">
      <c r="A264" s="1"/>
      <c r="B264" s="28" t="s">
        <v>7</v>
      </c>
      <c r="C264" s="28" t="s">
        <v>88</v>
      </c>
      <c r="D264" s="29" t="s">
        <v>38799</v>
      </c>
      <c r="E264" s="30">
        <v>37519</v>
      </c>
      <c r="F264" s="30">
        <v>38980</v>
      </c>
      <c r="G264" s="28" t="s">
        <v>38314</v>
      </c>
      <c r="H264" s="28" t="s">
        <v>38800</v>
      </c>
    </row>
    <row x14ac:dyDescent="0.25" r="265" customHeight="1" ht="18.75">
      <c r="A265" s="1"/>
      <c r="B265" s="28" t="s">
        <v>7</v>
      </c>
      <c r="C265" s="28" t="s">
        <v>88</v>
      </c>
      <c r="D265" s="29" t="s">
        <v>38801</v>
      </c>
      <c r="E265" s="30">
        <v>41331</v>
      </c>
      <c r="F265" s="30">
        <v>44253</v>
      </c>
      <c r="G265" s="28" t="s">
        <v>38314</v>
      </c>
      <c r="H265" s="28" t="s">
        <v>38802</v>
      </c>
    </row>
    <row x14ac:dyDescent="0.25" r="266" customHeight="1" ht="18.75">
      <c r="A266" s="1"/>
      <c r="B266" s="28" t="s">
        <v>7</v>
      </c>
      <c r="C266" s="28" t="s">
        <v>88</v>
      </c>
      <c r="D266" s="29" t="s">
        <v>38803</v>
      </c>
      <c r="E266" s="30">
        <v>42509</v>
      </c>
      <c r="F266" s="30">
        <v>44335</v>
      </c>
      <c r="G266" s="28" t="s">
        <v>38314</v>
      </c>
      <c r="H266" s="28" t="s">
        <v>38804</v>
      </c>
    </row>
    <row x14ac:dyDescent="0.25" r="267" customHeight="1" ht="18.75">
      <c r="A267" s="1"/>
      <c r="B267" s="28" t="s">
        <v>7</v>
      </c>
      <c r="C267" s="28" t="s">
        <v>88</v>
      </c>
      <c r="D267" s="29" t="s">
        <v>38805</v>
      </c>
      <c r="E267" s="30">
        <v>41333</v>
      </c>
      <c r="F267" s="30">
        <v>44255</v>
      </c>
      <c r="G267" s="28" t="s">
        <v>38314</v>
      </c>
      <c r="H267" s="28" t="s">
        <v>38806</v>
      </c>
    </row>
    <row x14ac:dyDescent="0.25" r="268" customHeight="1" ht="18.75">
      <c r="A268" s="1"/>
      <c r="B268" s="28" t="s">
        <v>7</v>
      </c>
      <c r="C268" s="28" t="s">
        <v>88</v>
      </c>
      <c r="D268" s="29" t="s">
        <v>38807</v>
      </c>
      <c r="E268" s="30">
        <v>44438</v>
      </c>
      <c r="F268" s="30">
        <v>45899</v>
      </c>
      <c r="G268" s="28" t="s">
        <v>38314</v>
      </c>
      <c r="H268" s="28" t="s">
        <v>38808</v>
      </c>
    </row>
    <row x14ac:dyDescent="0.25" r="269" customHeight="1" ht="18.75">
      <c r="A269" s="1"/>
      <c r="B269" s="28" t="s">
        <v>7</v>
      </c>
      <c r="C269" s="28" t="s">
        <v>88</v>
      </c>
      <c r="D269" s="29" t="s">
        <v>38809</v>
      </c>
      <c r="E269" s="30">
        <v>42177</v>
      </c>
      <c r="F269" s="30">
        <v>43637</v>
      </c>
      <c r="G269" s="28" t="s">
        <v>38314</v>
      </c>
      <c r="H269" s="28" t="s">
        <v>38810</v>
      </c>
    </row>
    <row x14ac:dyDescent="0.25" r="270" customHeight="1" ht="18.75">
      <c r="A270" s="1"/>
      <c r="B270" s="28" t="s">
        <v>7</v>
      </c>
      <c r="C270" s="28" t="s">
        <v>88</v>
      </c>
      <c r="D270" s="29" t="s">
        <v>38811</v>
      </c>
      <c r="E270" s="30">
        <v>43978</v>
      </c>
      <c r="F270" s="30">
        <v>45439</v>
      </c>
      <c r="G270" s="28" t="s">
        <v>38314</v>
      </c>
      <c r="H270" s="28" t="s">
        <v>38812</v>
      </c>
    </row>
    <row x14ac:dyDescent="0.25" r="271" customHeight="1" ht="18.75">
      <c r="A271" s="1"/>
      <c r="B271" s="28" t="s">
        <v>7</v>
      </c>
      <c r="C271" s="28" t="s">
        <v>88</v>
      </c>
      <c r="D271" s="29" t="s">
        <v>38813</v>
      </c>
      <c r="E271" s="30">
        <v>45457</v>
      </c>
      <c r="F271" s="30">
        <v>45922</v>
      </c>
      <c r="G271" s="28" t="s">
        <v>38314</v>
      </c>
      <c r="H271" s="28" t="s">
        <v>38814</v>
      </c>
    </row>
    <row x14ac:dyDescent="0.25" r="272" customHeight="1" ht="18.75">
      <c r="A272" s="1"/>
      <c r="B272" s="28" t="s">
        <v>7</v>
      </c>
      <c r="C272" s="28" t="s">
        <v>88</v>
      </c>
      <c r="D272" s="29" t="s">
        <v>38815</v>
      </c>
      <c r="E272" s="30">
        <v>41884</v>
      </c>
      <c r="F272" s="30">
        <v>44959</v>
      </c>
      <c r="G272" s="28" t="s">
        <v>38314</v>
      </c>
      <c r="H272" s="28" t="s">
        <v>38816</v>
      </c>
    </row>
    <row x14ac:dyDescent="0.25" r="273" customHeight="1" ht="18.75">
      <c r="A273" s="1"/>
      <c r="B273" s="28" t="s">
        <v>7</v>
      </c>
      <c r="C273" s="28" t="s">
        <v>88</v>
      </c>
      <c r="D273" s="29" t="s">
        <v>38817</v>
      </c>
      <c r="E273" s="30">
        <v>40805</v>
      </c>
      <c r="F273" s="30">
        <v>44458</v>
      </c>
      <c r="G273" s="28" t="s">
        <v>38314</v>
      </c>
      <c r="H273" s="28" t="s">
        <v>38818</v>
      </c>
    </row>
    <row x14ac:dyDescent="0.25" r="274" customHeight="1" ht="18.75">
      <c r="A274" s="1"/>
      <c r="B274" s="28" t="s">
        <v>7</v>
      </c>
      <c r="C274" s="28" t="s">
        <v>88</v>
      </c>
      <c r="D274" s="29" t="s">
        <v>38819</v>
      </c>
      <c r="E274" s="30">
        <v>42587</v>
      </c>
      <c r="F274" s="30">
        <v>44412</v>
      </c>
      <c r="G274" s="28" t="s">
        <v>38314</v>
      </c>
      <c r="H274" s="28" t="s">
        <v>38820</v>
      </c>
    </row>
    <row x14ac:dyDescent="0.25" r="275" customHeight="1" ht="18.75">
      <c r="A275" s="1"/>
      <c r="B275" s="28" t="s">
        <v>7</v>
      </c>
      <c r="C275" s="28" t="s">
        <v>88</v>
      </c>
      <c r="D275" s="29" t="s">
        <v>38821</v>
      </c>
      <c r="E275" s="30">
        <v>43256</v>
      </c>
      <c r="F275" s="30">
        <v>44716</v>
      </c>
      <c r="G275" s="28" t="s">
        <v>38314</v>
      </c>
      <c r="H275" s="28" t="s">
        <v>38822</v>
      </c>
    </row>
    <row x14ac:dyDescent="0.25" r="276" customHeight="1" ht="18.75">
      <c r="A276" s="1"/>
      <c r="B276" s="28" t="s">
        <v>7</v>
      </c>
      <c r="C276" s="28" t="s">
        <v>88</v>
      </c>
      <c r="D276" s="29" t="s">
        <v>38823</v>
      </c>
      <c r="E276" s="30">
        <v>41723</v>
      </c>
      <c r="F276" s="30">
        <v>44099</v>
      </c>
      <c r="G276" s="28" t="s">
        <v>38314</v>
      </c>
      <c r="H276" s="28" t="s">
        <v>38824</v>
      </c>
    </row>
    <row x14ac:dyDescent="0.25" r="277" customHeight="1" ht="18.75">
      <c r="A277" s="1"/>
      <c r="B277" s="28" t="s">
        <v>7</v>
      </c>
      <c r="C277" s="28" t="s">
        <v>88</v>
      </c>
      <c r="D277" s="29" t="s">
        <v>38825</v>
      </c>
      <c r="E277" s="30">
        <v>44368</v>
      </c>
      <c r="F277" s="30">
        <v>45824</v>
      </c>
      <c r="G277" s="28" t="s">
        <v>38314</v>
      </c>
      <c r="H277" s="28" t="s">
        <v>38826</v>
      </c>
    </row>
    <row x14ac:dyDescent="0.25" r="278" customHeight="1" ht="18.75">
      <c r="A278" s="1"/>
      <c r="B278" s="28" t="s">
        <v>7</v>
      </c>
      <c r="C278" s="28" t="s">
        <v>88</v>
      </c>
      <c r="D278" s="29" t="s">
        <v>38827</v>
      </c>
      <c r="E278" s="30">
        <v>44438</v>
      </c>
      <c r="F278" s="30">
        <v>45899</v>
      </c>
      <c r="G278" s="28" t="s">
        <v>38314</v>
      </c>
      <c r="H278" s="28" t="s">
        <v>38828</v>
      </c>
    </row>
    <row x14ac:dyDescent="0.25" r="279" customHeight="1" ht="18.75">
      <c r="A279" s="1"/>
      <c r="B279" s="28" t="s">
        <v>7</v>
      </c>
      <c r="C279" s="28" t="s">
        <v>38370</v>
      </c>
      <c r="D279" s="29" t="s">
        <v>38829</v>
      </c>
      <c r="E279" s="30">
        <v>44760</v>
      </c>
      <c r="F279" s="30">
        <v>46220</v>
      </c>
      <c r="G279" s="28" t="s">
        <v>38283</v>
      </c>
      <c r="H279" s="28" t="s">
        <v>38830</v>
      </c>
    </row>
    <row x14ac:dyDescent="0.25" r="280" customHeight="1" ht="18.75">
      <c r="A280" s="1"/>
      <c r="B280" s="28" t="s">
        <v>7</v>
      </c>
      <c r="C280" s="28" t="s">
        <v>38370</v>
      </c>
      <c r="D280" s="29" t="s">
        <v>38831</v>
      </c>
      <c r="E280" s="30">
        <v>45622</v>
      </c>
      <c r="F280" s="30">
        <v>47813</v>
      </c>
      <c r="G280" s="28" t="s">
        <v>38283</v>
      </c>
      <c r="H280" s="28" t="s">
        <v>38832</v>
      </c>
    </row>
    <row x14ac:dyDescent="0.25" r="281" customHeight="1" ht="18.75">
      <c r="A281" s="1"/>
      <c r="B281" s="28" t="s">
        <v>7</v>
      </c>
      <c r="C281" s="28" t="s">
        <v>38370</v>
      </c>
      <c r="D281" s="29" t="s">
        <v>38833</v>
      </c>
      <c r="E281" s="30">
        <v>44616</v>
      </c>
      <c r="F281" s="30">
        <v>46442</v>
      </c>
      <c r="G281" s="28" t="s">
        <v>38283</v>
      </c>
      <c r="H281" s="28" t="s">
        <v>38834</v>
      </c>
    </row>
    <row x14ac:dyDescent="0.25" r="282" customHeight="1" ht="18.75">
      <c r="A282" s="1"/>
      <c r="B282" s="28" t="s">
        <v>7</v>
      </c>
      <c r="C282" s="28" t="s">
        <v>38370</v>
      </c>
      <c r="D282" s="29" t="s">
        <v>38835</v>
      </c>
      <c r="E282" s="30">
        <v>43977</v>
      </c>
      <c r="F282" s="30">
        <v>47629</v>
      </c>
      <c r="G282" s="28" t="s">
        <v>38283</v>
      </c>
      <c r="H282" s="28" t="s">
        <v>38836</v>
      </c>
    </row>
    <row x14ac:dyDescent="0.25" r="283" customHeight="1" ht="18.75">
      <c r="A283" s="1"/>
      <c r="B283" s="28" t="s">
        <v>7</v>
      </c>
      <c r="C283" s="28" t="s">
        <v>38370</v>
      </c>
      <c r="D283" s="29" t="s">
        <v>38837</v>
      </c>
      <c r="E283" s="30">
        <v>45131</v>
      </c>
      <c r="F283" s="30">
        <v>46591</v>
      </c>
      <c r="G283" s="28" t="s">
        <v>38283</v>
      </c>
      <c r="H283" s="28" t="s">
        <v>38838</v>
      </c>
    </row>
    <row x14ac:dyDescent="0.25" r="284" customHeight="1" ht="18.75">
      <c r="A284" s="1"/>
      <c r="B284" s="28" t="s">
        <v>7</v>
      </c>
      <c r="C284" s="28" t="s">
        <v>38370</v>
      </c>
      <c r="D284" s="29" t="s">
        <v>38839</v>
      </c>
      <c r="E284" s="30">
        <v>44532</v>
      </c>
      <c r="F284" s="30">
        <v>46358</v>
      </c>
      <c r="G284" s="28" t="s">
        <v>38283</v>
      </c>
      <c r="H284" s="28" t="s">
        <v>38840</v>
      </c>
    </row>
    <row x14ac:dyDescent="0.25" r="285" customHeight="1" ht="18.75">
      <c r="A285" s="1"/>
      <c r="B285" s="28" t="s">
        <v>7</v>
      </c>
      <c r="C285" s="28" t="s">
        <v>38370</v>
      </c>
      <c r="D285" s="31">
        <v>1405</v>
      </c>
      <c r="E285" s="30">
        <v>45595</v>
      </c>
      <c r="F285" s="30">
        <v>49247</v>
      </c>
      <c r="G285" s="28" t="s">
        <v>38283</v>
      </c>
      <c r="H285" s="28" t="s">
        <v>38841</v>
      </c>
    </row>
    <row x14ac:dyDescent="0.25" r="286" customHeight="1" ht="18.75">
      <c r="A286" s="1"/>
      <c r="B286" s="28" t="s">
        <v>7</v>
      </c>
      <c r="C286" s="28" t="s">
        <v>38370</v>
      </c>
      <c r="D286" s="31">
        <v>1702</v>
      </c>
      <c r="E286" s="30">
        <v>45595</v>
      </c>
      <c r="F286" s="30">
        <v>49247</v>
      </c>
      <c r="G286" s="28" t="s">
        <v>38283</v>
      </c>
      <c r="H286" s="28" t="s">
        <v>38842</v>
      </c>
    </row>
    <row x14ac:dyDescent="0.25" r="287" customHeight="1" ht="18.75">
      <c r="A287" s="1"/>
      <c r="B287" s="28" t="s">
        <v>7</v>
      </c>
      <c r="C287" s="28" t="s">
        <v>38370</v>
      </c>
      <c r="D287" s="31">
        <v>1406</v>
      </c>
      <c r="E287" s="30">
        <v>45595</v>
      </c>
      <c r="F287" s="30">
        <v>49247</v>
      </c>
      <c r="G287" s="28" t="s">
        <v>38283</v>
      </c>
      <c r="H287" s="28" t="s">
        <v>38843</v>
      </c>
    </row>
    <row x14ac:dyDescent="0.25" r="288" customHeight="1" ht="18.75">
      <c r="A288" s="1"/>
      <c r="B288" s="28" t="s">
        <v>7</v>
      </c>
      <c r="C288" s="28" t="s">
        <v>38370</v>
      </c>
      <c r="D288" s="29" t="s">
        <v>38844</v>
      </c>
      <c r="E288" s="30">
        <v>41536</v>
      </c>
      <c r="F288" s="30">
        <v>2557064</v>
      </c>
      <c r="G288" s="28" t="s">
        <v>38283</v>
      </c>
      <c r="H288" s="28" t="s">
        <v>38845</v>
      </c>
    </row>
    <row x14ac:dyDescent="0.25" r="289" customHeight="1" ht="18.75">
      <c r="A289" s="1"/>
      <c r="B289" s="28" t="s">
        <v>7</v>
      </c>
      <c r="C289" s="28" t="s">
        <v>38370</v>
      </c>
      <c r="D289" s="29" t="s">
        <v>38846</v>
      </c>
      <c r="E289" s="30">
        <v>44662</v>
      </c>
      <c r="F289" s="30">
        <v>46488</v>
      </c>
      <c r="G289" s="28" t="s">
        <v>38283</v>
      </c>
      <c r="H289" s="28" t="s">
        <v>38847</v>
      </c>
    </row>
    <row x14ac:dyDescent="0.25" r="290" customHeight="1" ht="18.75">
      <c r="A290" s="1"/>
      <c r="B290" s="28" t="s">
        <v>7</v>
      </c>
      <c r="C290" s="28" t="s">
        <v>38370</v>
      </c>
      <c r="D290" s="29" t="s">
        <v>38848</v>
      </c>
      <c r="E290" s="30">
        <v>44250</v>
      </c>
      <c r="F290" s="30">
        <v>47902</v>
      </c>
      <c r="G290" s="28" t="s">
        <v>38283</v>
      </c>
      <c r="H290" s="28" t="s">
        <v>38849</v>
      </c>
    </row>
    <row x14ac:dyDescent="0.25" r="291" customHeight="1" ht="18.75">
      <c r="A291" s="1"/>
      <c r="B291" s="28" t="s">
        <v>7</v>
      </c>
      <c r="C291" s="28" t="s">
        <v>38370</v>
      </c>
      <c r="D291" s="29" t="s">
        <v>38850</v>
      </c>
      <c r="E291" s="30">
        <v>45128</v>
      </c>
      <c r="F291" s="30">
        <v>46148</v>
      </c>
      <c r="G291" s="28" t="s">
        <v>38283</v>
      </c>
      <c r="H291" s="28" t="s">
        <v>38851</v>
      </c>
    </row>
    <row x14ac:dyDescent="0.25" r="292" customHeight="1" ht="18.75">
      <c r="A292" s="1"/>
      <c r="B292" s="28" t="s">
        <v>7</v>
      </c>
      <c r="C292" s="28" t="s">
        <v>38370</v>
      </c>
      <c r="D292" s="29" t="s">
        <v>38852</v>
      </c>
      <c r="E292" s="30">
        <v>41191</v>
      </c>
      <c r="F292" s="30">
        <v>2557064</v>
      </c>
      <c r="G292" s="28" t="s">
        <v>38283</v>
      </c>
      <c r="H292" s="28" t="s">
        <v>38853</v>
      </c>
    </row>
    <row x14ac:dyDescent="0.25" r="293" customHeight="1" ht="18.75">
      <c r="A293" s="1"/>
      <c r="B293" s="28" t="s">
        <v>7</v>
      </c>
      <c r="C293" s="28" t="s">
        <v>38370</v>
      </c>
      <c r="D293" s="29" t="s">
        <v>38854</v>
      </c>
      <c r="E293" s="30">
        <v>40473</v>
      </c>
      <c r="F293" s="30">
        <v>2557064</v>
      </c>
      <c r="G293" s="28" t="s">
        <v>38283</v>
      </c>
      <c r="H293" s="28" t="s">
        <v>38855</v>
      </c>
    </row>
    <row x14ac:dyDescent="0.25" r="294" customHeight="1" ht="18.75">
      <c r="A294" s="1"/>
      <c r="B294" s="28" t="s">
        <v>7</v>
      </c>
      <c r="C294" s="28" t="s">
        <v>38370</v>
      </c>
      <c r="D294" s="29" t="s">
        <v>38856</v>
      </c>
      <c r="E294" s="30">
        <v>40473</v>
      </c>
      <c r="F294" s="30">
        <v>2557064</v>
      </c>
      <c r="G294" s="28" t="s">
        <v>38283</v>
      </c>
      <c r="H294" s="28" t="s">
        <v>38857</v>
      </c>
    </row>
    <row x14ac:dyDescent="0.25" r="295" customHeight="1" ht="18.75">
      <c r="A295" s="1"/>
      <c r="B295" s="28" t="s">
        <v>7</v>
      </c>
      <c r="C295" s="28" t="s">
        <v>38370</v>
      </c>
      <c r="D295" s="29" t="s">
        <v>38858</v>
      </c>
      <c r="E295" s="30">
        <v>40473</v>
      </c>
      <c r="F295" s="30">
        <v>2557064</v>
      </c>
      <c r="G295" s="28" t="s">
        <v>38283</v>
      </c>
      <c r="H295" s="28" t="s">
        <v>38859</v>
      </c>
    </row>
    <row x14ac:dyDescent="0.25" r="296" customHeight="1" ht="18.75">
      <c r="A296" s="1"/>
      <c r="B296" s="28" t="s">
        <v>7</v>
      </c>
      <c r="C296" s="28" t="s">
        <v>38370</v>
      </c>
      <c r="D296" s="29" t="s">
        <v>38860</v>
      </c>
      <c r="E296" s="30">
        <v>40473</v>
      </c>
      <c r="F296" s="30">
        <v>2557064</v>
      </c>
      <c r="G296" s="28" t="s">
        <v>38283</v>
      </c>
      <c r="H296" s="28" t="s">
        <v>38861</v>
      </c>
    </row>
    <row x14ac:dyDescent="0.25" r="297" customHeight="1" ht="18.75">
      <c r="A297" s="1"/>
      <c r="B297" s="28" t="s">
        <v>7</v>
      </c>
      <c r="C297" s="28" t="s">
        <v>38370</v>
      </c>
      <c r="D297" s="29" t="s">
        <v>38862</v>
      </c>
      <c r="E297" s="30">
        <v>40473</v>
      </c>
      <c r="F297" s="30">
        <v>2557064</v>
      </c>
      <c r="G297" s="28" t="s">
        <v>38283</v>
      </c>
      <c r="H297" s="28" t="s">
        <v>38863</v>
      </c>
    </row>
    <row x14ac:dyDescent="0.25" r="298" customHeight="1" ht="18.75">
      <c r="A298" s="1"/>
      <c r="B298" s="28" t="s">
        <v>7</v>
      </c>
      <c r="C298" s="28" t="s">
        <v>38370</v>
      </c>
      <c r="D298" s="29" t="s">
        <v>38864</v>
      </c>
      <c r="E298" s="30">
        <v>40473</v>
      </c>
      <c r="F298" s="30">
        <v>2557064</v>
      </c>
      <c r="G298" s="28" t="s">
        <v>38283</v>
      </c>
      <c r="H298" s="28" t="s">
        <v>38865</v>
      </c>
    </row>
    <row x14ac:dyDescent="0.25" r="299" customHeight="1" ht="18.75">
      <c r="A299" s="1"/>
      <c r="B299" s="28" t="s">
        <v>7</v>
      </c>
      <c r="C299" s="28" t="s">
        <v>38370</v>
      </c>
      <c r="D299" s="29" t="s">
        <v>38866</v>
      </c>
      <c r="E299" s="30">
        <v>40473</v>
      </c>
      <c r="F299" s="30">
        <v>2557064</v>
      </c>
      <c r="G299" s="28" t="s">
        <v>38283</v>
      </c>
      <c r="H299" s="28" t="s">
        <v>38867</v>
      </c>
    </row>
    <row x14ac:dyDescent="0.25" r="300" customHeight="1" ht="18.75">
      <c r="A300" s="1"/>
      <c r="B300" s="28" t="s">
        <v>7</v>
      </c>
      <c r="C300" s="28" t="s">
        <v>38370</v>
      </c>
      <c r="D300" s="29" t="s">
        <v>38868</v>
      </c>
      <c r="E300" s="30">
        <v>41186</v>
      </c>
      <c r="F300" s="30">
        <v>2557064</v>
      </c>
      <c r="G300" s="28" t="s">
        <v>38283</v>
      </c>
      <c r="H300" s="28" t="s">
        <v>38869</v>
      </c>
    </row>
    <row x14ac:dyDescent="0.25" r="301" customHeight="1" ht="18.75">
      <c r="A301" s="1"/>
      <c r="B301" s="28" t="s">
        <v>7</v>
      </c>
      <c r="C301" s="28" t="s">
        <v>38370</v>
      </c>
      <c r="D301" s="29" t="s">
        <v>38870</v>
      </c>
      <c r="E301" s="30">
        <v>41186</v>
      </c>
      <c r="F301" s="30">
        <v>2557064</v>
      </c>
      <c r="G301" s="28" t="s">
        <v>38283</v>
      </c>
      <c r="H301" s="28" t="s">
        <v>38871</v>
      </c>
    </row>
    <row x14ac:dyDescent="0.25" r="302" customHeight="1" ht="18.75">
      <c r="A302" s="1"/>
      <c r="B302" s="28" t="s">
        <v>7</v>
      </c>
      <c r="C302" s="28" t="s">
        <v>38370</v>
      </c>
      <c r="D302" s="29" t="s">
        <v>38872</v>
      </c>
      <c r="E302" s="30">
        <v>44825</v>
      </c>
      <c r="F302" s="30">
        <v>48478</v>
      </c>
      <c r="G302" s="28" t="s">
        <v>38283</v>
      </c>
      <c r="H302" s="28" t="s">
        <v>38873</v>
      </c>
    </row>
    <row x14ac:dyDescent="0.25" r="303" customHeight="1" ht="18.75">
      <c r="A303" s="1"/>
      <c r="B303" s="28" t="s">
        <v>7</v>
      </c>
      <c r="C303" s="28" t="s">
        <v>38370</v>
      </c>
      <c r="D303" s="29" t="s">
        <v>38874</v>
      </c>
      <c r="E303" s="30">
        <v>40514</v>
      </c>
      <c r="F303" s="30">
        <v>2557064</v>
      </c>
      <c r="G303" s="28" t="s">
        <v>38283</v>
      </c>
      <c r="H303" s="28" t="s">
        <v>38875</v>
      </c>
    </row>
    <row x14ac:dyDescent="0.25" r="304" customHeight="1" ht="18.75">
      <c r="A304" s="1"/>
      <c r="B304" s="28" t="s">
        <v>7</v>
      </c>
      <c r="C304" s="28" t="s">
        <v>38370</v>
      </c>
      <c r="D304" s="31">
        <v>310905</v>
      </c>
      <c r="E304" s="30">
        <v>45265</v>
      </c>
      <c r="F304" s="30">
        <v>47092</v>
      </c>
      <c r="G304" s="28" t="s">
        <v>38283</v>
      </c>
      <c r="H304" s="28" t="s">
        <v>38876</v>
      </c>
    </row>
    <row x14ac:dyDescent="0.25" r="305" customHeight="1" ht="18.75">
      <c r="A305" s="1"/>
      <c r="B305" s="28" t="s">
        <v>7</v>
      </c>
      <c r="C305" s="28" t="s">
        <v>38370</v>
      </c>
      <c r="D305" s="29" t="s">
        <v>38877</v>
      </c>
      <c r="E305" s="30">
        <v>45015</v>
      </c>
      <c r="F305" s="30">
        <v>48668</v>
      </c>
      <c r="G305" s="28" t="s">
        <v>38283</v>
      </c>
      <c r="H305" s="28" t="s">
        <v>38878</v>
      </c>
    </row>
    <row x14ac:dyDescent="0.25" r="306" customHeight="1" ht="18.75">
      <c r="A306" s="1"/>
      <c r="B306" s="28" t="s">
        <v>7</v>
      </c>
      <c r="C306" s="28" t="s">
        <v>38370</v>
      </c>
      <c r="D306" s="29" t="s">
        <v>38879</v>
      </c>
      <c r="E306" s="30">
        <v>45188</v>
      </c>
      <c r="F306" s="30">
        <v>48841</v>
      </c>
      <c r="G306" s="28" t="s">
        <v>38283</v>
      </c>
      <c r="H306" s="28" t="s">
        <v>38880</v>
      </c>
    </row>
    <row x14ac:dyDescent="0.25" r="307" customHeight="1" ht="18.75">
      <c r="A307" s="1"/>
      <c r="B307" s="28" t="s">
        <v>7</v>
      </c>
      <c r="C307" s="28" t="s">
        <v>38370</v>
      </c>
      <c r="D307" s="29" t="s">
        <v>38881</v>
      </c>
      <c r="E307" s="30">
        <v>45061</v>
      </c>
      <c r="F307" s="30">
        <v>47983</v>
      </c>
      <c r="G307" s="28" t="s">
        <v>38283</v>
      </c>
      <c r="H307" s="28" t="s">
        <v>38882</v>
      </c>
    </row>
    <row x14ac:dyDescent="0.25" r="308" customHeight="1" ht="18.75">
      <c r="A308" s="1"/>
      <c r="B308" s="28" t="s">
        <v>7</v>
      </c>
      <c r="C308" s="28" t="s">
        <v>38370</v>
      </c>
      <c r="D308" s="29" t="s">
        <v>38883</v>
      </c>
      <c r="E308" s="30">
        <v>43416</v>
      </c>
      <c r="F308" s="30">
        <v>47069</v>
      </c>
      <c r="G308" s="28" t="s">
        <v>38283</v>
      </c>
      <c r="H308" s="28" t="s">
        <v>38884</v>
      </c>
    </row>
    <row x14ac:dyDescent="0.25" r="309" customHeight="1" ht="18.75">
      <c r="A309" s="1"/>
      <c r="B309" s="28" t="s">
        <v>7</v>
      </c>
      <c r="C309" s="28" t="s">
        <v>38370</v>
      </c>
      <c r="D309" s="32">
        <v>43556</v>
      </c>
      <c r="E309" s="30">
        <v>43587</v>
      </c>
      <c r="F309" s="30">
        <v>47240</v>
      </c>
      <c r="G309" s="28" t="s">
        <v>38283</v>
      </c>
      <c r="H309" s="28" t="s">
        <v>38885</v>
      </c>
    </row>
    <row x14ac:dyDescent="0.25" r="310" customHeight="1" ht="18.75">
      <c r="A310" s="1"/>
      <c r="B310" s="28" t="s">
        <v>7</v>
      </c>
      <c r="C310" s="28" t="s">
        <v>38370</v>
      </c>
      <c r="D310" s="29" t="s">
        <v>38886</v>
      </c>
      <c r="E310" s="30">
        <v>44470</v>
      </c>
      <c r="F310" s="30">
        <v>47220</v>
      </c>
      <c r="G310" s="28" t="s">
        <v>38283</v>
      </c>
      <c r="H310" s="28" t="s">
        <v>38887</v>
      </c>
    </row>
    <row x14ac:dyDescent="0.25" r="311" customHeight="1" ht="18.75">
      <c r="A311" s="1"/>
      <c r="B311" s="28" t="s">
        <v>7</v>
      </c>
      <c r="C311" s="28" t="s">
        <v>38370</v>
      </c>
      <c r="D311" s="29" t="s">
        <v>38888</v>
      </c>
      <c r="E311" s="30">
        <v>45638</v>
      </c>
      <c r="F311" s="30">
        <v>49290</v>
      </c>
      <c r="G311" s="28" t="s">
        <v>38283</v>
      </c>
      <c r="H311" s="28" t="s">
        <v>38889</v>
      </c>
    </row>
    <row x14ac:dyDescent="0.25" r="312" customHeight="1" ht="18.75">
      <c r="A312" s="1"/>
      <c r="B312" s="28" t="s">
        <v>7</v>
      </c>
      <c r="C312" s="28" t="s">
        <v>38370</v>
      </c>
      <c r="D312" s="29" t="s">
        <v>38890</v>
      </c>
      <c r="E312" s="30">
        <v>45687</v>
      </c>
      <c r="F312" s="30">
        <v>49339</v>
      </c>
      <c r="G312" s="28" t="s">
        <v>38283</v>
      </c>
      <c r="H312" s="28" t="s">
        <v>38891</v>
      </c>
    </row>
    <row x14ac:dyDescent="0.25" r="313" customHeight="1" ht="18.75">
      <c r="A313" s="1"/>
      <c r="B313" s="28" t="s">
        <v>7</v>
      </c>
      <c r="C313" s="28" t="s">
        <v>38370</v>
      </c>
      <c r="D313" s="29" t="s">
        <v>38892</v>
      </c>
      <c r="E313" s="30">
        <v>43580</v>
      </c>
      <c r="F313" s="30">
        <v>47233</v>
      </c>
      <c r="G313" s="28" t="s">
        <v>38283</v>
      </c>
      <c r="H313" s="28" t="s">
        <v>38893</v>
      </c>
    </row>
    <row x14ac:dyDescent="0.25" r="314" customHeight="1" ht="18.75">
      <c r="A314" s="1"/>
      <c r="B314" s="28" t="s">
        <v>7</v>
      </c>
      <c r="C314" s="28" t="s">
        <v>38370</v>
      </c>
      <c r="D314" s="29" t="s">
        <v>38894</v>
      </c>
      <c r="E314" s="30">
        <v>45653</v>
      </c>
      <c r="F314" s="30">
        <v>47479</v>
      </c>
      <c r="G314" s="28" t="s">
        <v>38283</v>
      </c>
      <c r="H314" s="28" t="s">
        <v>38895</v>
      </c>
    </row>
    <row x14ac:dyDescent="0.25" r="315" customHeight="1" ht="18.75">
      <c r="A315" s="1"/>
      <c r="B315" s="28" t="s">
        <v>7</v>
      </c>
      <c r="C315" s="28" t="s">
        <v>38370</v>
      </c>
      <c r="D315" s="29" t="s">
        <v>38896</v>
      </c>
      <c r="E315" s="30">
        <v>45586</v>
      </c>
      <c r="F315" s="30">
        <v>49238</v>
      </c>
      <c r="G315" s="28" t="s">
        <v>38283</v>
      </c>
      <c r="H315" s="28" t="s">
        <v>38897</v>
      </c>
    </row>
    <row x14ac:dyDescent="0.25" r="316" customHeight="1" ht="18.75">
      <c r="A316" s="1"/>
      <c r="B316" s="28" t="s">
        <v>7</v>
      </c>
      <c r="C316" s="28" t="s">
        <v>38370</v>
      </c>
      <c r="D316" s="29" t="s">
        <v>38898</v>
      </c>
      <c r="E316" s="30">
        <v>42612</v>
      </c>
      <c r="F316" s="30">
        <v>46264</v>
      </c>
      <c r="G316" s="28" t="s">
        <v>38283</v>
      </c>
      <c r="H316" s="28" t="s">
        <v>38899</v>
      </c>
    </row>
    <row x14ac:dyDescent="0.25" r="317" customHeight="1" ht="18.75">
      <c r="A317" s="1"/>
      <c r="B317" s="28" t="s">
        <v>7</v>
      </c>
      <c r="C317" s="28" t="s">
        <v>38370</v>
      </c>
      <c r="D317" s="29" t="s">
        <v>38900</v>
      </c>
      <c r="E317" s="30">
        <v>40514</v>
      </c>
      <c r="F317" s="30">
        <v>2557064</v>
      </c>
      <c r="G317" s="28" t="s">
        <v>38283</v>
      </c>
      <c r="H317" s="28" t="s">
        <v>38901</v>
      </c>
    </row>
    <row x14ac:dyDescent="0.25" r="318" customHeight="1" ht="18.75">
      <c r="A318" s="1"/>
      <c r="B318" s="28" t="s">
        <v>7</v>
      </c>
      <c r="C318" s="28" t="s">
        <v>38370</v>
      </c>
      <c r="D318" s="29" t="s">
        <v>38902</v>
      </c>
      <c r="E318" s="30">
        <v>40473</v>
      </c>
      <c r="F318" s="30">
        <v>2557064</v>
      </c>
      <c r="G318" s="28" t="s">
        <v>38283</v>
      </c>
      <c r="H318" s="28" t="s">
        <v>38903</v>
      </c>
    </row>
    <row x14ac:dyDescent="0.25" r="319" customHeight="1" ht="18.75">
      <c r="A319" s="1"/>
      <c r="B319" s="28" t="s">
        <v>7</v>
      </c>
      <c r="C319" s="28" t="s">
        <v>38370</v>
      </c>
      <c r="D319" s="29" t="s">
        <v>38904</v>
      </c>
      <c r="E319" s="30">
        <v>40514</v>
      </c>
      <c r="F319" s="30">
        <v>2557064</v>
      </c>
      <c r="G319" s="28" t="s">
        <v>38283</v>
      </c>
      <c r="H319" s="28" t="s">
        <v>38905</v>
      </c>
    </row>
    <row x14ac:dyDescent="0.25" r="320" customHeight="1" ht="18.75">
      <c r="A320" s="1"/>
      <c r="B320" s="28" t="s">
        <v>7</v>
      </c>
      <c r="C320" s="28" t="s">
        <v>38370</v>
      </c>
      <c r="D320" s="29" t="s">
        <v>38906</v>
      </c>
      <c r="E320" s="30">
        <v>45301</v>
      </c>
      <c r="F320" s="30">
        <v>46009</v>
      </c>
      <c r="G320" s="28" t="s">
        <v>38283</v>
      </c>
      <c r="H320" s="28" t="s">
        <v>38907</v>
      </c>
    </row>
    <row x14ac:dyDescent="0.25" r="321" customHeight="1" ht="18.75">
      <c r="A321" s="1"/>
      <c r="B321" s="28" t="s">
        <v>7</v>
      </c>
      <c r="C321" s="28" t="s">
        <v>38370</v>
      </c>
      <c r="D321" s="29" t="s">
        <v>38908</v>
      </c>
      <c r="E321" s="30">
        <v>44109</v>
      </c>
      <c r="F321" s="30">
        <v>46300</v>
      </c>
      <c r="G321" s="28" t="s">
        <v>38283</v>
      </c>
      <c r="H321" s="28" t="s">
        <v>38909</v>
      </c>
    </row>
    <row x14ac:dyDescent="0.25" r="322" customHeight="1" ht="18.75">
      <c r="A322" s="1"/>
      <c r="B322" s="28" t="s">
        <v>7</v>
      </c>
      <c r="C322" s="28" t="s">
        <v>38370</v>
      </c>
      <c r="D322" s="29" t="s">
        <v>38910</v>
      </c>
      <c r="E322" s="30">
        <v>44476</v>
      </c>
      <c r="F322" s="30">
        <v>46301</v>
      </c>
      <c r="G322" s="28" t="s">
        <v>38283</v>
      </c>
      <c r="H322" s="28" t="s">
        <v>38911</v>
      </c>
    </row>
    <row x14ac:dyDescent="0.25" r="323" customHeight="1" ht="18.75">
      <c r="A323" s="1"/>
      <c r="B323" s="28" t="s">
        <v>7</v>
      </c>
      <c r="C323" s="28" t="s">
        <v>38370</v>
      </c>
      <c r="D323" s="29" t="s">
        <v>38912</v>
      </c>
      <c r="E323" s="30">
        <v>40647</v>
      </c>
      <c r="F323" s="30">
        <v>2557064</v>
      </c>
      <c r="G323" s="28" t="s">
        <v>38283</v>
      </c>
      <c r="H323" s="28" t="s">
        <v>38913</v>
      </c>
    </row>
    <row x14ac:dyDescent="0.25" r="324" customHeight="1" ht="18.75">
      <c r="A324" s="1"/>
      <c r="B324" s="28" t="s">
        <v>7</v>
      </c>
      <c r="C324" s="28" t="s">
        <v>38370</v>
      </c>
      <c r="D324" s="29" t="s">
        <v>38914</v>
      </c>
      <c r="E324" s="30">
        <v>40514</v>
      </c>
      <c r="F324" s="30">
        <v>2557064</v>
      </c>
      <c r="G324" s="28" t="s">
        <v>38283</v>
      </c>
      <c r="H324" s="28" t="s">
        <v>38915</v>
      </c>
    </row>
    <row x14ac:dyDescent="0.25" r="325" customHeight="1" ht="18.75">
      <c r="A325" s="1"/>
      <c r="B325" s="28" t="s">
        <v>7</v>
      </c>
      <c r="C325" s="28" t="s">
        <v>38370</v>
      </c>
      <c r="D325" s="29" t="s">
        <v>38916</v>
      </c>
      <c r="E325" s="30">
        <v>40514</v>
      </c>
      <c r="F325" s="30">
        <v>2557064</v>
      </c>
      <c r="G325" s="28" t="s">
        <v>38283</v>
      </c>
      <c r="H325" s="28" t="s">
        <v>38917</v>
      </c>
    </row>
    <row x14ac:dyDescent="0.25" r="326" customHeight="1" ht="18.75">
      <c r="A326" s="1"/>
      <c r="B326" s="28" t="s">
        <v>7</v>
      </c>
      <c r="C326" s="28" t="s">
        <v>38370</v>
      </c>
      <c r="D326" s="29" t="s">
        <v>38918</v>
      </c>
      <c r="E326" s="30">
        <v>40504</v>
      </c>
      <c r="F326" s="30">
        <v>2557064</v>
      </c>
      <c r="G326" s="28" t="s">
        <v>38283</v>
      </c>
      <c r="H326" s="28" t="s">
        <v>38919</v>
      </c>
    </row>
    <row x14ac:dyDescent="0.25" r="327" customHeight="1" ht="18.75">
      <c r="A327" s="1"/>
      <c r="B327" s="28" t="s">
        <v>7</v>
      </c>
      <c r="C327" s="28" t="s">
        <v>38370</v>
      </c>
      <c r="D327" s="29" t="s">
        <v>38920</v>
      </c>
      <c r="E327" s="30">
        <v>40514</v>
      </c>
      <c r="F327" s="30">
        <v>2557064</v>
      </c>
      <c r="G327" s="28" t="s">
        <v>38283</v>
      </c>
      <c r="H327" s="28" t="s">
        <v>38921</v>
      </c>
    </row>
    <row x14ac:dyDescent="0.25" r="328" customHeight="1" ht="18.75">
      <c r="A328" s="1"/>
      <c r="B328" s="28" t="s">
        <v>7</v>
      </c>
      <c r="C328" s="28" t="s">
        <v>38370</v>
      </c>
      <c r="D328" s="29" t="s">
        <v>38922</v>
      </c>
      <c r="E328" s="30">
        <v>42975</v>
      </c>
      <c r="F328" s="30">
        <v>46627</v>
      </c>
      <c r="G328" s="28" t="s">
        <v>38283</v>
      </c>
      <c r="H328" s="28" t="s">
        <v>38923</v>
      </c>
    </row>
    <row x14ac:dyDescent="0.25" r="329" customHeight="1" ht="18.75">
      <c r="A329" s="1"/>
      <c r="B329" s="28" t="s">
        <v>7</v>
      </c>
      <c r="C329" s="28" t="s">
        <v>38370</v>
      </c>
      <c r="D329" s="29" t="s">
        <v>38924</v>
      </c>
      <c r="E329" s="30">
        <v>41186</v>
      </c>
      <c r="F329" s="30">
        <v>2557064</v>
      </c>
      <c r="G329" s="28" t="s">
        <v>38283</v>
      </c>
      <c r="H329" s="28" t="s">
        <v>38925</v>
      </c>
    </row>
    <row x14ac:dyDescent="0.25" r="330" customHeight="1" ht="18.75">
      <c r="A330" s="1"/>
      <c r="B330" s="28" t="s">
        <v>7</v>
      </c>
      <c r="C330" s="28" t="s">
        <v>38370</v>
      </c>
      <c r="D330" s="29" t="s">
        <v>38926</v>
      </c>
      <c r="E330" s="30">
        <v>43803</v>
      </c>
      <c r="F330" s="30">
        <v>47456</v>
      </c>
      <c r="G330" s="28" t="s">
        <v>38283</v>
      </c>
      <c r="H330" s="28" t="s">
        <v>38927</v>
      </c>
    </row>
    <row x14ac:dyDescent="0.25" r="331" customHeight="1" ht="18.75">
      <c r="A331" s="1"/>
      <c r="B331" s="28" t="s">
        <v>7</v>
      </c>
      <c r="C331" s="28" t="s">
        <v>38370</v>
      </c>
      <c r="D331" s="29" t="s">
        <v>38928</v>
      </c>
      <c r="E331" s="30">
        <v>43481</v>
      </c>
      <c r="F331" s="30">
        <v>47134</v>
      </c>
      <c r="G331" s="28" t="s">
        <v>38283</v>
      </c>
      <c r="H331" s="28" t="s">
        <v>38929</v>
      </c>
    </row>
    <row x14ac:dyDescent="0.25" r="332" customHeight="1" ht="18.75">
      <c r="A332" s="1"/>
      <c r="B332" s="28" t="s">
        <v>7</v>
      </c>
      <c r="C332" s="28" t="s">
        <v>38370</v>
      </c>
      <c r="D332" s="29" t="s">
        <v>38930</v>
      </c>
      <c r="E332" s="30">
        <v>40533</v>
      </c>
      <c r="F332" s="30">
        <v>2557064</v>
      </c>
      <c r="G332" s="28" t="s">
        <v>38283</v>
      </c>
      <c r="H332" s="28" t="s">
        <v>38931</v>
      </c>
    </row>
    <row x14ac:dyDescent="0.25" r="333" customHeight="1" ht="18.75">
      <c r="A333" s="1"/>
      <c r="B333" s="28" t="s">
        <v>7</v>
      </c>
      <c r="C333" s="28" t="s">
        <v>38370</v>
      </c>
      <c r="D333" s="29" t="s">
        <v>38932</v>
      </c>
      <c r="E333" s="30">
        <v>43781</v>
      </c>
      <c r="F333" s="30">
        <v>47431</v>
      </c>
      <c r="G333" s="28" t="s">
        <v>38283</v>
      </c>
      <c r="H333" s="28" t="s">
        <v>38933</v>
      </c>
    </row>
    <row x14ac:dyDescent="0.25" r="334" customHeight="1" ht="18.75">
      <c r="A334" s="1"/>
      <c r="B334" s="28" t="s">
        <v>7</v>
      </c>
      <c r="C334" s="28" t="s">
        <v>38370</v>
      </c>
      <c r="D334" s="29" t="s">
        <v>38934</v>
      </c>
      <c r="E334" s="30">
        <v>41186</v>
      </c>
      <c r="F334" s="30">
        <v>401680</v>
      </c>
      <c r="G334" s="28" t="s">
        <v>38283</v>
      </c>
      <c r="H334" s="28" t="s">
        <v>38935</v>
      </c>
    </row>
    <row x14ac:dyDescent="0.25" r="335" customHeight="1" ht="18.75">
      <c r="A335" s="1"/>
      <c r="B335" s="28" t="s">
        <v>7</v>
      </c>
      <c r="C335" s="28" t="s">
        <v>38370</v>
      </c>
      <c r="D335" s="29" t="s">
        <v>38936</v>
      </c>
      <c r="E335" s="30">
        <v>40647</v>
      </c>
      <c r="F335" s="30">
        <v>2557064</v>
      </c>
      <c r="G335" s="28" t="s">
        <v>38283</v>
      </c>
      <c r="H335" s="28" t="s">
        <v>38937</v>
      </c>
    </row>
    <row x14ac:dyDescent="0.25" r="336" customHeight="1" ht="18.75">
      <c r="A336" s="1"/>
      <c r="B336" s="28" t="s">
        <v>7</v>
      </c>
      <c r="C336" s="28" t="s">
        <v>38370</v>
      </c>
      <c r="D336" s="29" t="s">
        <v>38938</v>
      </c>
      <c r="E336" s="30">
        <v>44869</v>
      </c>
      <c r="F336" s="30">
        <v>47791</v>
      </c>
      <c r="G336" s="28" t="s">
        <v>38283</v>
      </c>
      <c r="H336" s="28" t="s">
        <v>38939</v>
      </c>
    </row>
    <row x14ac:dyDescent="0.25" r="337" customHeight="1" ht="18.75">
      <c r="A337" s="1"/>
      <c r="B337" s="28" t="s">
        <v>7</v>
      </c>
      <c r="C337" s="28" t="s">
        <v>38370</v>
      </c>
      <c r="D337" s="29" t="s">
        <v>38940</v>
      </c>
      <c r="E337" s="30">
        <v>44684</v>
      </c>
      <c r="F337" s="30">
        <v>49067</v>
      </c>
      <c r="G337" s="28" t="s">
        <v>38283</v>
      </c>
      <c r="H337" s="28" t="s">
        <v>38941</v>
      </c>
    </row>
    <row x14ac:dyDescent="0.25" r="338" customHeight="1" ht="18.75">
      <c r="A338" s="1"/>
      <c r="B338" s="28" t="s">
        <v>7</v>
      </c>
      <c r="C338" s="28" t="s">
        <v>38370</v>
      </c>
      <c r="D338" s="29" t="s">
        <v>38942</v>
      </c>
      <c r="E338" s="30">
        <v>40647</v>
      </c>
      <c r="F338" s="30">
        <v>2557064</v>
      </c>
      <c r="G338" s="28" t="s">
        <v>38283</v>
      </c>
      <c r="H338" s="28" t="s">
        <v>38943</v>
      </c>
    </row>
    <row x14ac:dyDescent="0.25" r="339" customHeight="1" ht="18.75">
      <c r="A339" s="1"/>
      <c r="B339" s="28" t="s">
        <v>7</v>
      </c>
      <c r="C339" s="28" t="s">
        <v>38370</v>
      </c>
      <c r="D339" s="29" t="s">
        <v>38944</v>
      </c>
      <c r="E339" s="30">
        <v>41186</v>
      </c>
      <c r="F339" s="30">
        <v>2557064</v>
      </c>
      <c r="G339" s="28" t="s">
        <v>38283</v>
      </c>
      <c r="H339" s="28" t="s">
        <v>38945</v>
      </c>
    </row>
    <row x14ac:dyDescent="0.25" r="340" customHeight="1" ht="18.75">
      <c r="A340" s="1"/>
      <c r="B340" s="28" t="s">
        <v>7</v>
      </c>
      <c r="C340" s="28" t="s">
        <v>38370</v>
      </c>
      <c r="D340" s="29" t="s">
        <v>38946</v>
      </c>
      <c r="E340" s="30">
        <v>41087</v>
      </c>
      <c r="F340" s="30">
        <v>2557064</v>
      </c>
      <c r="G340" s="28" t="s">
        <v>38283</v>
      </c>
      <c r="H340" s="28" t="s">
        <v>38947</v>
      </c>
    </row>
    <row x14ac:dyDescent="0.25" r="341" customHeight="1" ht="18.75">
      <c r="A341" s="1"/>
      <c r="B341" s="28" t="s">
        <v>7</v>
      </c>
      <c r="C341" s="28" t="s">
        <v>38370</v>
      </c>
      <c r="D341" s="29" t="s">
        <v>38948</v>
      </c>
      <c r="E341" s="30">
        <v>43783</v>
      </c>
      <c r="F341" s="30">
        <v>47433</v>
      </c>
      <c r="G341" s="28" t="s">
        <v>38283</v>
      </c>
      <c r="H341" s="28" t="s">
        <v>38949</v>
      </c>
    </row>
    <row x14ac:dyDescent="0.25" r="342" customHeight="1" ht="18.75">
      <c r="A342" s="1"/>
      <c r="B342" s="28" t="s">
        <v>7</v>
      </c>
      <c r="C342" s="28" t="s">
        <v>38370</v>
      </c>
      <c r="D342" s="31">
        <v>2262</v>
      </c>
      <c r="E342" s="30">
        <v>42003</v>
      </c>
      <c r="F342" s="30">
        <v>45656</v>
      </c>
      <c r="G342" s="28" t="s">
        <v>38314</v>
      </c>
      <c r="H342" s="28" t="s">
        <v>38950</v>
      </c>
    </row>
    <row x14ac:dyDescent="0.25" r="343" customHeight="1" ht="18.75">
      <c r="A343" s="1"/>
      <c r="B343" s="28" t="s">
        <v>7</v>
      </c>
      <c r="C343" s="28" t="s">
        <v>38370</v>
      </c>
      <c r="D343" s="29" t="s">
        <v>38951</v>
      </c>
      <c r="E343" s="30">
        <v>41660</v>
      </c>
      <c r="F343" s="30">
        <v>44582</v>
      </c>
      <c r="G343" s="28" t="s">
        <v>38314</v>
      </c>
      <c r="H343" s="28" t="s">
        <v>38952</v>
      </c>
    </row>
    <row x14ac:dyDescent="0.25" r="344" customHeight="1" ht="18.75">
      <c r="A344" s="1"/>
      <c r="B344" s="28" t="s">
        <v>7</v>
      </c>
      <c r="C344" s="28" t="s">
        <v>38370</v>
      </c>
      <c r="D344" s="29" t="s">
        <v>38953</v>
      </c>
      <c r="E344" s="30">
        <v>43994</v>
      </c>
      <c r="F344" s="30">
        <v>45820</v>
      </c>
      <c r="G344" s="28" t="s">
        <v>38314</v>
      </c>
      <c r="H344" s="28" t="s">
        <v>38954</v>
      </c>
    </row>
    <row x14ac:dyDescent="0.25" r="345" customHeight="1" ht="18.75">
      <c r="A345" s="1"/>
      <c r="B345" s="28" t="s">
        <v>7</v>
      </c>
      <c r="C345" s="28" t="s">
        <v>38370</v>
      </c>
      <c r="D345" s="29" t="s">
        <v>38955</v>
      </c>
      <c r="E345" s="30">
        <v>44104</v>
      </c>
      <c r="F345" s="30">
        <v>45581</v>
      </c>
      <c r="G345" s="28" t="s">
        <v>38314</v>
      </c>
      <c r="H345" s="28" t="s">
        <v>38956</v>
      </c>
    </row>
    <row x14ac:dyDescent="0.25" r="346" customHeight="1" ht="18.75">
      <c r="A346" s="1"/>
      <c r="B346" s="28" t="s">
        <v>7</v>
      </c>
      <c r="C346" s="28" t="s">
        <v>38370</v>
      </c>
      <c r="D346" s="29" t="s">
        <v>38957</v>
      </c>
      <c r="E346" s="30">
        <v>37256</v>
      </c>
      <c r="F346" s="30">
        <v>38717</v>
      </c>
      <c r="G346" s="28" t="s">
        <v>38314</v>
      </c>
      <c r="H346" s="28" t="s">
        <v>38958</v>
      </c>
    </row>
    <row x14ac:dyDescent="0.25" r="347" customHeight="1" ht="18.75">
      <c r="A347" s="1"/>
      <c r="B347" s="28" t="s">
        <v>7</v>
      </c>
      <c r="C347" s="28" t="s">
        <v>38370</v>
      </c>
      <c r="D347" s="29" t="s">
        <v>38959</v>
      </c>
      <c r="E347" s="30">
        <v>37907</v>
      </c>
      <c r="F347" s="30">
        <v>39368</v>
      </c>
      <c r="G347" s="28" t="s">
        <v>38314</v>
      </c>
      <c r="H347" s="28" t="s">
        <v>38960</v>
      </c>
    </row>
    <row x14ac:dyDescent="0.25" r="348" customHeight="1" ht="18.75">
      <c r="A348" s="1"/>
      <c r="B348" s="28" t="s">
        <v>7</v>
      </c>
      <c r="C348" s="28" t="s">
        <v>38370</v>
      </c>
      <c r="D348" s="29" t="s">
        <v>38961</v>
      </c>
      <c r="E348" s="30">
        <v>42304</v>
      </c>
      <c r="F348" s="30">
        <v>44131</v>
      </c>
      <c r="G348" s="28" t="s">
        <v>38314</v>
      </c>
      <c r="H348" s="28" t="s">
        <v>38962</v>
      </c>
    </row>
    <row x14ac:dyDescent="0.25" r="349" customHeight="1" ht="18.75">
      <c r="A349" s="1"/>
      <c r="B349" s="28" t="s">
        <v>7</v>
      </c>
      <c r="C349" s="28" t="s">
        <v>38370</v>
      </c>
      <c r="D349" s="29" t="s">
        <v>38963</v>
      </c>
      <c r="E349" s="30">
        <v>41768</v>
      </c>
      <c r="F349" s="30">
        <v>45421</v>
      </c>
      <c r="G349" s="28" t="s">
        <v>38314</v>
      </c>
      <c r="H349" s="28" t="s">
        <v>38964</v>
      </c>
    </row>
    <row x14ac:dyDescent="0.25" r="350" customHeight="1" ht="18.75">
      <c r="A350" s="1"/>
      <c r="B350" s="28" t="s">
        <v>7</v>
      </c>
      <c r="C350" s="28" t="s">
        <v>38370</v>
      </c>
      <c r="D350" s="29" t="s">
        <v>38965</v>
      </c>
      <c r="E350" s="30">
        <v>43263</v>
      </c>
      <c r="F350" s="30">
        <v>45453</v>
      </c>
      <c r="G350" s="28" t="s">
        <v>38314</v>
      </c>
      <c r="H350" s="28" t="s">
        <v>38966</v>
      </c>
    </row>
    <row x14ac:dyDescent="0.25" r="351" customHeight="1" ht="18.75">
      <c r="A351" s="1"/>
      <c r="B351" s="28" t="s">
        <v>7</v>
      </c>
      <c r="C351" s="28" t="s">
        <v>38370</v>
      </c>
      <c r="D351" s="31">
        <v>2091</v>
      </c>
      <c r="E351" s="30">
        <v>41165</v>
      </c>
      <c r="F351" s="30">
        <v>44817</v>
      </c>
      <c r="G351" s="28" t="s">
        <v>38314</v>
      </c>
      <c r="H351" s="28" t="s">
        <v>38967</v>
      </c>
    </row>
    <row x14ac:dyDescent="0.25" r="352" customHeight="1" ht="18.75">
      <c r="A352" s="1"/>
      <c r="B352" s="28" t="s">
        <v>7</v>
      </c>
      <c r="C352" s="28" t="s">
        <v>38370</v>
      </c>
      <c r="D352" s="31">
        <v>26005833</v>
      </c>
      <c r="E352" s="30">
        <v>43602</v>
      </c>
      <c r="F352" s="30">
        <v>45063</v>
      </c>
      <c r="G352" s="28" t="s">
        <v>38314</v>
      </c>
      <c r="H352" s="28" t="s">
        <v>38968</v>
      </c>
    </row>
    <row x14ac:dyDescent="0.25" r="353" customHeight="1" ht="18.75">
      <c r="A353" s="1"/>
      <c r="B353" s="28" t="s">
        <v>7</v>
      </c>
      <c r="C353" s="28" t="s">
        <v>38370</v>
      </c>
      <c r="D353" s="29" t="s">
        <v>38969</v>
      </c>
      <c r="E353" s="30">
        <v>38126</v>
      </c>
      <c r="F353" s="30">
        <v>39587</v>
      </c>
      <c r="G353" s="28" t="s">
        <v>38314</v>
      </c>
      <c r="H353" s="28" t="s">
        <v>38970</v>
      </c>
    </row>
    <row x14ac:dyDescent="0.25" r="354" customHeight="1" ht="18.75">
      <c r="A354" s="1"/>
      <c r="B354" s="28" t="s">
        <v>7</v>
      </c>
      <c r="C354" s="28" t="s">
        <v>38370</v>
      </c>
      <c r="D354" s="29" t="s">
        <v>38971</v>
      </c>
      <c r="E354" s="30">
        <v>44138</v>
      </c>
      <c r="F354" s="30">
        <v>45599</v>
      </c>
      <c r="G354" s="28" t="s">
        <v>38314</v>
      </c>
      <c r="H354" s="28" t="s">
        <v>38972</v>
      </c>
    </row>
    <row x14ac:dyDescent="0.25" r="355" customHeight="1" ht="18.75">
      <c r="A355" s="1"/>
      <c r="B355" s="28" t="s">
        <v>7</v>
      </c>
      <c r="C355" s="28" t="s">
        <v>38370</v>
      </c>
      <c r="D355" s="29" t="s">
        <v>38973</v>
      </c>
      <c r="E355" s="30">
        <v>41695</v>
      </c>
      <c r="F355" s="30">
        <v>43886</v>
      </c>
      <c r="G355" s="28" t="s">
        <v>38741</v>
      </c>
      <c r="H355" s="28" t="s">
        <v>38974</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Q1473"/>
  <sheetViews>
    <sheetView workbookViewId="0">
      <pane state="frozen" activePane="bottomLeft" topLeftCell="A2" ySplit="1" xSplit="0"/>
    </sheetView>
  </sheetViews>
  <sheetFormatPr defaultRowHeight="15" x14ac:dyDescent="0.25"/>
  <cols>
    <col min="1" max="1" style="15" width="13.576428571428572" customWidth="1" bestFit="1"/>
    <col min="2" max="2" style="15" width="22.14785714285714" customWidth="1" bestFit="1"/>
    <col min="3" max="3" style="15" width="25.576428571428572" customWidth="1" bestFit="1"/>
    <col min="4" max="4" style="15" width="24.290714285714284" customWidth="1" bestFit="1"/>
    <col min="5" max="5" style="15" width="25.576428571428572" customWidth="1" bestFit="1"/>
    <col min="6" max="6" style="15" width="14.147857142857141" customWidth="1" bestFit="1"/>
    <col min="7" max="7" style="15" width="79.29071428571429" customWidth="1" bestFit="1"/>
    <col min="8" max="8" style="15" width="34.43357142857143" customWidth="1" bestFit="1"/>
    <col min="9" max="9" style="15" width="13.576428571428572" customWidth="1" bestFit="1"/>
    <col min="10" max="10" style="15" width="13.576428571428572" customWidth="1" bestFit="1"/>
    <col min="11" max="11" style="15" width="13.576428571428572" customWidth="1" bestFit="1"/>
    <col min="12" max="12" style="15" width="13.576428571428572" customWidth="1" bestFit="1"/>
    <col min="13" max="13" style="15" width="13.576428571428572" customWidth="1" bestFit="1"/>
    <col min="14" max="14" style="15" width="13.576428571428572" customWidth="1" bestFit="1"/>
    <col min="15" max="15" style="15" width="13.576428571428572" customWidth="1" bestFit="1"/>
    <col min="16" max="16" style="15" width="13.576428571428572" customWidth="1" bestFit="1"/>
    <col min="17" max="17" style="23" width="13.576428571428572" customWidth="1" bestFit="1"/>
  </cols>
  <sheetData>
    <row x14ac:dyDescent="0.25" r="1" customHeight="1" ht="18.75">
      <c r="A1" s="1"/>
      <c r="B1" s="1"/>
      <c r="C1" s="1"/>
      <c r="D1" s="1"/>
      <c r="E1" s="1"/>
      <c r="F1" s="1"/>
      <c r="G1" s="1"/>
      <c r="H1" s="1"/>
      <c r="I1" s="1"/>
      <c r="J1" s="1"/>
      <c r="K1" s="1"/>
      <c r="L1" s="1"/>
      <c r="M1" s="1"/>
      <c r="N1" s="1"/>
      <c r="O1" s="1"/>
      <c r="P1" s="1"/>
      <c r="Q1" s="17"/>
    </row>
    <row x14ac:dyDescent="0.25" r="2" customHeight="1" ht="18.75">
      <c r="A2" s="1"/>
      <c r="B2" s="1"/>
      <c r="C2" s="1"/>
      <c r="D2" s="1"/>
      <c r="E2" s="1"/>
      <c r="F2" s="1"/>
      <c r="G2" s="1"/>
      <c r="H2" s="1"/>
      <c r="I2" s="1"/>
      <c r="J2" s="1"/>
      <c r="K2" s="1"/>
      <c r="L2" s="1"/>
      <c r="M2" s="1"/>
      <c r="N2" s="1"/>
      <c r="O2" s="1"/>
      <c r="P2" s="1"/>
      <c r="Q2" s="17"/>
    </row>
    <row x14ac:dyDescent="0.25" r="3" customHeight="1" ht="18.75" customFormat="1" s="18">
      <c r="A3" s="2"/>
      <c r="B3" s="19" t="s">
        <v>36361</v>
      </c>
      <c r="C3" s="19" t="s">
        <v>3</v>
      </c>
      <c r="D3" s="19" t="s">
        <v>36362</v>
      </c>
      <c r="E3" s="19" t="s">
        <v>36363</v>
      </c>
      <c r="F3" s="19" t="s">
        <v>36364</v>
      </c>
      <c r="G3" s="19" t="s">
        <v>36365</v>
      </c>
      <c r="H3" s="19" t="s">
        <v>36366</v>
      </c>
      <c r="I3" s="2"/>
      <c r="J3" s="2"/>
      <c r="K3" s="2"/>
      <c r="L3" s="2"/>
      <c r="M3" s="2"/>
      <c r="N3" s="2"/>
      <c r="O3" s="2"/>
      <c r="P3" s="2"/>
      <c r="Q3" s="20"/>
    </row>
    <row x14ac:dyDescent="0.25" r="4" customHeight="1" ht="18.75">
      <c r="A4" s="1"/>
      <c r="B4" s="1" t="s">
        <v>36367</v>
      </c>
      <c r="C4" s="1" t="s">
        <v>7</v>
      </c>
      <c r="D4" s="1" t="s">
        <v>10</v>
      </c>
      <c r="E4" s="1" t="s">
        <v>36368</v>
      </c>
      <c r="F4" s="1" t="s">
        <v>7833</v>
      </c>
      <c r="G4" s="1" t="s">
        <v>36369</v>
      </c>
      <c r="H4" s="1"/>
      <c r="I4" s="1"/>
      <c r="J4" s="1"/>
      <c r="K4" s="1"/>
      <c r="L4" s="1"/>
      <c r="M4" s="1"/>
      <c r="N4" s="1"/>
      <c r="O4" s="1"/>
      <c r="P4" s="1"/>
      <c r="Q4" s="17"/>
    </row>
    <row x14ac:dyDescent="0.25" r="5" customHeight="1" ht="18.75">
      <c r="A5" s="1"/>
      <c r="B5" s="1" t="s">
        <v>36370</v>
      </c>
      <c r="C5" s="1" t="s">
        <v>7</v>
      </c>
      <c r="D5" s="1" t="s">
        <v>10</v>
      </c>
      <c r="E5" s="1" t="s">
        <v>36368</v>
      </c>
      <c r="F5" s="1" t="s">
        <v>3693</v>
      </c>
      <c r="G5" s="1" t="s">
        <v>36371</v>
      </c>
      <c r="H5" s="1"/>
      <c r="I5" s="1"/>
      <c r="J5" s="1"/>
      <c r="K5" s="1"/>
      <c r="L5" s="1"/>
      <c r="M5" s="1"/>
      <c r="N5" s="1"/>
      <c r="O5" s="1"/>
      <c r="P5" s="1"/>
      <c r="Q5" s="17"/>
    </row>
    <row x14ac:dyDescent="0.25" r="6" customHeight="1" ht="18.75">
      <c r="A6" s="1"/>
      <c r="B6" s="1" t="s">
        <v>36372</v>
      </c>
      <c r="C6" s="1" t="s">
        <v>7</v>
      </c>
      <c r="D6" s="1" t="s">
        <v>10</v>
      </c>
      <c r="E6" s="1" t="s">
        <v>36368</v>
      </c>
      <c r="F6" s="1" t="s">
        <v>7833</v>
      </c>
      <c r="G6" s="1" t="s">
        <v>36373</v>
      </c>
      <c r="H6" s="1"/>
      <c r="I6" s="1"/>
      <c r="J6" s="1"/>
      <c r="K6" s="1"/>
      <c r="L6" s="1"/>
      <c r="M6" s="1"/>
      <c r="N6" s="1"/>
      <c r="O6" s="1"/>
      <c r="P6" s="1"/>
      <c r="Q6" s="17"/>
    </row>
    <row x14ac:dyDescent="0.25" r="7" customHeight="1" ht="18.75">
      <c r="A7" s="1"/>
      <c r="B7" s="1" t="s">
        <v>36374</v>
      </c>
      <c r="C7" s="1" t="s">
        <v>7</v>
      </c>
      <c r="D7" s="1" t="s">
        <v>10</v>
      </c>
      <c r="E7" s="1" t="s">
        <v>36368</v>
      </c>
      <c r="F7" s="1" t="s">
        <v>3598</v>
      </c>
      <c r="G7" s="1" t="s">
        <v>36375</v>
      </c>
      <c r="H7" s="1"/>
      <c r="I7" s="1"/>
      <c r="J7" s="1"/>
      <c r="K7" s="1"/>
      <c r="L7" s="1"/>
      <c r="M7" s="1"/>
      <c r="N7" s="1"/>
      <c r="O7" s="1"/>
      <c r="P7" s="1"/>
      <c r="Q7" s="17"/>
    </row>
    <row x14ac:dyDescent="0.25" r="8" customHeight="1" ht="18.75">
      <c r="A8" s="1"/>
      <c r="B8" s="1" t="s">
        <v>36376</v>
      </c>
      <c r="C8" s="1" t="s">
        <v>7</v>
      </c>
      <c r="D8" s="1" t="s">
        <v>10</v>
      </c>
      <c r="E8" s="1" t="s">
        <v>36368</v>
      </c>
      <c r="F8" s="1" t="s">
        <v>3598</v>
      </c>
      <c r="G8" s="1" t="s">
        <v>36377</v>
      </c>
      <c r="H8" s="1"/>
      <c r="I8" s="1"/>
      <c r="J8" s="1"/>
      <c r="K8" s="1"/>
      <c r="L8" s="1"/>
      <c r="M8" s="1"/>
      <c r="N8" s="1"/>
      <c r="O8" s="1"/>
      <c r="P8" s="1"/>
      <c r="Q8" s="17"/>
    </row>
    <row x14ac:dyDescent="0.25" r="9" customHeight="1" ht="18.75">
      <c r="A9" s="1"/>
      <c r="B9" s="1" t="s">
        <v>36378</v>
      </c>
      <c r="C9" s="1" t="s">
        <v>7</v>
      </c>
      <c r="D9" s="1" t="s">
        <v>10</v>
      </c>
      <c r="E9" s="1" t="s">
        <v>36368</v>
      </c>
      <c r="F9" s="1" t="s">
        <v>3598</v>
      </c>
      <c r="G9" s="1" t="s">
        <v>36379</v>
      </c>
      <c r="H9" s="1"/>
      <c r="I9" s="1"/>
      <c r="J9" s="1"/>
      <c r="K9" s="1"/>
      <c r="L9" s="1"/>
      <c r="M9" s="1"/>
      <c r="N9" s="1"/>
      <c r="O9" s="1"/>
      <c r="P9" s="1"/>
      <c r="Q9" s="17"/>
    </row>
    <row x14ac:dyDescent="0.25" r="10" customHeight="1" ht="18.75">
      <c r="A10" s="1"/>
      <c r="B10" s="1" t="s">
        <v>36380</v>
      </c>
      <c r="C10" s="1" t="s">
        <v>7</v>
      </c>
      <c r="D10" s="1" t="s">
        <v>10</v>
      </c>
      <c r="E10" s="1" t="s">
        <v>36368</v>
      </c>
      <c r="F10" s="1" t="s">
        <v>3598</v>
      </c>
      <c r="G10" s="1" t="s">
        <v>36381</v>
      </c>
      <c r="H10" s="1"/>
      <c r="I10" s="1"/>
      <c r="J10" s="1"/>
      <c r="K10" s="1"/>
      <c r="L10" s="1"/>
      <c r="M10" s="1"/>
      <c r="N10" s="1"/>
      <c r="O10" s="1"/>
      <c r="P10" s="1"/>
      <c r="Q10" s="17"/>
    </row>
    <row x14ac:dyDescent="0.25" r="11" customHeight="1" ht="18.75">
      <c r="A11" s="1"/>
      <c r="B11" s="1" t="s">
        <v>36382</v>
      </c>
      <c r="C11" s="1" t="s">
        <v>7</v>
      </c>
      <c r="D11" s="1" t="s">
        <v>10</v>
      </c>
      <c r="E11" s="1" t="s">
        <v>36368</v>
      </c>
      <c r="F11" s="1" t="s">
        <v>3617</v>
      </c>
      <c r="G11" s="1" t="s">
        <v>36383</v>
      </c>
      <c r="H11" s="1"/>
      <c r="I11" s="1"/>
      <c r="J11" s="1"/>
      <c r="K11" s="21">
        <f>_xlfn._xlws.FILTER(RMGDE[],RMGDE[Categoria do Investimento]="RGP","")</f>
      </c>
      <c r="L11" s="1" t="s">
        <v>7</v>
      </c>
      <c r="M11" s="1" t="s">
        <v>10</v>
      </c>
      <c r="N11" s="1" t="s">
        <v>36368</v>
      </c>
      <c r="O11" s="1" t="s">
        <v>7833</v>
      </c>
      <c r="P11" s="1" t="s">
        <v>36369</v>
      </c>
      <c r="Q11" s="22">
        <v>0</v>
      </c>
    </row>
    <row x14ac:dyDescent="0.25" r="12" customHeight="1" ht="18.75">
      <c r="A12" s="1"/>
      <c r="B12" s="1" t="s">
        <v>36384</v>
      </c>
      <c r="C12" s="1" t="s">
        <v>7</v>
      </c>
      <c r="D12" s="1" t="s">
        <v>10</v>
      </c>
      <c r="E12" s="1" t="s">
        <v>36368</v>
      </c>
      <c r="F12" s="1" t="s">
        <v>3617</v>
      </c>
      <c r="G12" s="1" t="s">
        <v>36385</v>
      </c>
      <c r="H12" s="1"/>
      <c r="I12" s="1"/>
      <c r="J12" s="1"/>
      <c r="K12" s="1" t="s">
        <v>36370</v>
      </c>
      <c r="L12" s="1" t="s">
        <v>7</v>
      </c>
      <c r="M12" s="1" t="s">
        <v>10</v>
      </c>
      <c r="N12" s="1" t="s">
        <v>36368</v>
      </c>
      <c r="O12" s="1" t="s">
        <v>3693</v>
      </c>
      <c r="P12" s="1" t="s">
        <v>36371</v>
      </c>
      <c r="Q12" s="22">
        <v>0</v>
      </c>
    </row>
    <row x14ac:dyDescent="0.25" r="13" customHeight="1" ht="18.75">
      <c r="A13" s="1"/>
      <c r="B13" s="1" t="s">
        <v>36386</v>
      </c>
      <c r="C13" s="1" t="s">
        <v>7</v>
      </c>
      <c r="D13" s="1" t="s">
        <v>10</v>
      </c>
      <c r="E13" s="1" t="s">
        <v>36368</v>
      </c>
      <c r="F13" s="1" t="s">
        <v>7833</v>
      </c>
      <c r="G13" s="1" t="s">
        <v>36387</v>
      </c>
      <c r="H13" s="1"/>
      <c r="I13" s="1"/>
      <c r="J13" s="1"/>
      <c r="K13" s="1" t="s">
        <v>36372</v>
      </c>
      <c r="L13" s="1" t="s">
        <v>7</v>
      </c>
      <c r="M13" s="1" t="s">
        <v>10</v>
      </c>
      <c r="N13" s="1" t="s">
        <v>36368</v>
      </c>
      <c r="O13" s="1" t="s">
        <v>7833</v>
      </c>
      <c r="P13" s="1" t="s">
        <v>36373</v>
      </c>
      <c r="Q13" s="22">
        <v>0</v>
      </c>
    </row>
    <row x14ac:dyDescent="0.25" r="14" customHeight="1" ht="18.75">
      <c r="A14" s="1"/>
      <c r="B14" s="1" t="s">
        <v>36388</v>
      </c>
      <c r="C14" s="1" t="s">
        <v>7</v>
      </c>
      <c r="D14" s="1" t="s">
        <v>10</v>
      </c>
      <c r="E14" s="1" t="s">
        <v>36368</v>
      </c>
      <c r="F14" s="1" t="s">
        <v>3693</v>
      </c>
      <c r="G14" s="1" t="s">
        <v>36389</v>
      </c>
      <c r="H14" s="1"/>
      <c r="I14" s="1"/>
      <c r="J14" s="1"/>
      <c r="K14" s="1" t="s">
        <v>36374</v>
      </c>
      <c r="L14" s="1" t="s">
        <v>7</v>
      </c>
      <c r="M14" s="1" t="s">
        <v>10</v>
      </c>
      <c r="N14" s="1" t="s">
        <v>36368</v>
      </c>
      <c r="O14" s="1" t="s">
        <v>3598</v>
      </c>
      <c r="P14" s="1" t="s">
        <v>36375</v>
      </c>
      <c r="Q14" s="22">
        <v>0</v>
      </c>
    </row>
    <row x14ac:dyDescent="0.25" r="15" customHeight="1" ht="18.75">
      <c r="A15" s="1"/>
      <c r="B15" s="1" t="s">
        <v>36390</v>
      </c>
      <c r="C15" s="1" t="s">
        <v>7</v>
      </c>
      <c r="D15" s="1" t="s">
        <v>10</v>
      </c>
      <c r="E15" s="1" t="s">
        <v>36368</v>
      </c>
      <c r="F15" s="1" t="s">
        <v>3693</v>
      </c>
      <c r="G15" s="1" t="s">
        <v>36391</v>
      </c>
      <c r="H15" s="1"/>
      <c r="I15" s="1"/>
      <c r="J15" s="1"/>
      <c r="K15" s="1" t="s">
        <v>36376</v>
      </c>
      <c r="L15" s="1" t="s">
        <v>7</v>
      </c>
      <c r="M15" s="1" t="s">
        <v>10</v>
      </c>
      <c r="N15" s="1" t="s">
        <v>36368</v>
      </c>
      <c r="O15" s="1" t="s">
        <v>3598</v>
      </c>
      <c r="P15" s="1" t="s">
        <v>36377</v>
      </c>
      <c r="Q15" s="22">
        <v>0</v>
      </c>
    </row>
    <row x14ac:dyDescent="0.25" r="16" customHeight="1" ht="18.75">
      <c r="A16" s="1"/>
      <c r="B16" s="1" t="s">
        <v>36392</v>
      </c>
      <c r="C16" s="1" t="s">
        <v>7</v>
      </c>
      <c r="D16" s="1" t="s">
        <v>10</v>
      </c>
      <c r="E16" s="1" t="s">
        <v>36368</v>
      </c>
      <c r="F16" s="1" t="s">
        <v>3598</v>
      </c>
      <c r="G16" s="1" t="s">
        <v>36393</v>
      </c>
      <c r="H16" s="1"/>
      <c r="I16" s="1"/>
      <c r="J16" s="1"/>
      <c r="K16" s="1" t="s">
        <v>36378</v>
      </c>
      <c r="L16" s="1" t="s">
        <v>7</v>
      </c>
      <c r="M16" s="1" t="s">
        <v>10</v>
      </c>
      <c r="N16" s="1" t="s">
        <v>36368</v>
      </c>
      <c r="O16" s="1" t="s">
        <v>3598</v>
      </c>
      <c r="P16" s="1" t="s">
        <v>36379</v>
      </c>
      <c r="Q16" s="22">
        <v>0</v>
      </c>
    </row>
    <row x14ac:dyDescent="0.25" r="17" customHeight="1" ht="18.75">
      <c r="A17" s="1"/>
      <c r="B17" s="1" t="s">
        <v>36394</v>
      </c>
      <c r="C17" s="1" t="s">
        <v>7</v>
      </c>
      <c r="D17" s="1" t="s">
        <v>10</v>
      </c>
      <c r="E17" s="1" t="s">
        <v>36395</v>
      </c>
      <c r="F17" s="1" t="s">
        <v>7833</v>
      </c>
      <c r="G17" s="1" t="s">
        <v>36396</v>
      </c>
      <c r="H17" s="1"/>
      <c r="I17" s="1"/>
      <c r="J17" s="1"/>
      <c r="K17" s="1" t="s">
        <v>36380</v>
      </c>
      <c r="L17" s="1" t="s">
        <v>7</v>
      </c>
      <c r="M17" s="1" t="s">
        <v>10</v>
      </c>
      <c r="N17" s="1" t="s">
        <v>36368</v>
      </c>
      <c r="O17" s="1" t="s">
        <v>3598</v>
      </c>
      <c r="P17" s="1" t="s">
        <v>36381</v>
      </c>
      <c r="Q17" s="22">
        <v>0</v>
      </c>
    </row>
    <row x14ac:dyDescent="0.25" r="18" customHeight="1" ht="18.75">
      <c r="A18" s="1"/>
      <c r="B18" s="1" t="s">
        <v>36397</v>
      </c>
      <c r="C18" s="1" t="s">
        <v>7</v>
      </c>
      <c r="D18" s="1" t="s">
        <v>10</v>
      </c>
      <c r="E18" s="1" t="s">
        <v>36395</v>
      </c>
      <c r="F18" s="1" t="s">
        <v>7833</v>
      </c>
      <c r="G18" s="1" t="s">
        <v>36398</v>
      </c>
      <c r="H18" s="1"/>
      <c r="I18" s="1"/>
      <c r="J18" s="1"/>
      <c r="K18" s="1" t="s">
        <v>36382</v>
      </c>
      <c r="L18" s="1" t="s">
        <v>7</v>
      </c>
      <c r="M18" s="1" t="s">
        <v>10</v>
      </c>
      <c r="N18" s="1" t="s">
        <v>36368</v>
      </c>
      <c r="O18" s="1" t="s">
        <v>3617</v>
      </c>
      <c r="P18" s="1" t="s">
        <v>36383</v>
      </c>
      <c r="Q18" s="22">
        <v>0</v>
      </c>
    </row>
    <row x14ac:dyDescent="0.25" r="19" customHeight="1" ht="18.75">
      <c r="A19" s="1"/>
      <c r="B19" s="1" t="s">
        <v>36399</v>
      </c>
      <c r="C19" s="1" t="s">
        <v>7</v>
      </c>
      <c r="D19" s="1" t="s">
        <v>10</v>
      </c>
      <c r="E19" s="1" t="s">
        <v>36395</v>
      </c>
      <c r="F19" s="1" t="s">
        <v>7833</v>
      </c>
      <c r="G19" s="1" t="s">
        <v>36400</v>
      </c>
      <c r="H19" s="1"/>
      <c r="I19" s="1"/>
      <c r="J19" s="1"/>
      <c r="K19" s="1" t="s">
        <v>36384</v>
      </c>
      <c r="L19" s="1" t="s">
        <v>7</v>
      </c>
      <c r="M19" s="1" t="s">
        <v>10</v>
      </c>
      <c r="N19" s="1" t="s">
        <v>36368</v>
      </c>
      <c r="O19" s="1" t="s">
        <v>3617</v>
      </c>
      <c r="P19" s="1" t="s">
        <v>36385</v>
      </c>
      <c r="Q19" s="22">
        <v>0</v>
      </c>
    </row>
    <row x14ac:dyDescent="0.25" r="20" customHeight="1" ht="18.75">
      <c r="A20" s="1"/>
      <c r="B20" s="1" t="s">
        <v>36401</v>
      </c>
      <c r="C20" s="1" t="s">
        <v>7</v>
      </c>
      <c r="D20" s="1" t="s">
        <v>10</v>
      </c>
      <c r="E20" s="1" t="s">
        <v>36395</v>
      </c>
      <c r="F20" s="1" t="s">
        <v>7833</v>
      </c>
      <c r="G20" s="1" t="s">
        <v>36402</v>
      </c>
      <c r="H20" s="1"/>
      <c r="I20" s="1"/>
      <c r="J20" s="1"/>
      <c r="K20" s="1" t="s">
        <v>36386</v>
      </c>
      <c r="L20" s="1" t="s">
        <v>7</v>
      </c>
      <c r="M20" s="1" t="s">
        <v>10</v>
      </c>
      <c r="N20" s="1" t="s">
        <v>36368</v>
      </c>
      <c r="O20" s="1" t="s">
        <v>7833</v>
      </c>
      <c r="P20" s="1" t="s">
        <v>36387</v>
      </c>
      <c r="Q20" s="22">
        <v>0</v>
      </c>
    </row>
    <row x14ac:dyDescent="0.25" r="21" customHeight="1" ht="18.75">
      <c r="A21" s="1"/>
      <c r="B21" s="1" t="s">
        <v>36403</v>
      </c>
      <c r="C21" s="1" t="s">
        <v>7</v>
      </c>
      <c r="D21" s="1" t="s">
        <v>10</v>
      </c>
      <c r="E21" s="1" t="s">
        <v>36395</v>
      </c>
      <c r="F21" s="1" t="s">
        <v>7833</v>
      </c>
      <c r="G21" s="1" t="s">
        <v>36404</v>
      </c>
      <c r="H21" s="1"/>
      <c r="I21" s="1"/>
      <c r="J21" s="1"/>
      <c r="K21" s="1" t="s">
        <v>36388</v>
      </c>
      <c r="L21" s="1" t="s">
        <v>7</v>
      </c>
      <c r="M21" s="1" t="s">
        <v>10</v>
      </c>
      <c r="N21" s="1" t="s">
        <v>36368</v>
      </c>
      <c r="O21" s="1" t="s">
        <v>3693</v>
      </c>
      <c r="P21" s="1" t="s">
        <v>36389</v>
      </c>
      <c r="Q21" s="22">
        <v>0</v>
      </c>
    </row>
    <row x14ac:dyDescent="0.25" r="22" customHeight="1" ht="18.75">
      <c r="A22" s="1"/>
      <c r="B22" s="1" t="s">
        <v>36405</v>
      </c>
      <c r="C22" s="1" t="s">
        <v>7</v>
      </c>
      <c r="D22" s="1" t="s">
        <v>10</v>
      </c>
      <c r="E22" s="1" t="s">
        <v>36395</v>
      </c>
      <c r="F22" s="1" t="s">
        <v>7833</v>
      </c>
      <c r="G22" s="1" t="s">
        <v>36406</v>
      </c>
      <c r="H22" s="1"/>
      <c r="I22" s="1"/>
      <c r="J22" s="1"/>
      <c r="K22" s="1" t="s">
        <v>36390</v>
      </c>
      <c r="L22" s="1" t="s">
        <v>7</v>
      </c>
      <c r="M22" s="1" t="s">
        <v>10</v>
      </c>
      <c r="N22" s="1" t="s">
        <v>36368</v>
      </c>
      <c r="O22" s="1" t="s">
        <v>3693</v>
      </c>
      <c r="P22" s="1" t="s">
        <v>36391</v>
      </c>
      <c r="Q22" s="22">
        <v>0</v>
      </c>
    </row>
    <row x14ac:dyDescent="0.25" r="23" customHeight="1" ht="18.75">
      <c r="A23" s="1"/>
      <c r="B23" s="1" t="s">
        <v>36407</v>
      </c>
      <c r="C23" s="1" t="s">
        <v>7</v>
      </c>
      <c r="D23" s="1" t="s">
        <v>10</v>
      </c>
      <c r="E23" s="1" t="s">
        <v>36395</v>
      </c>
      <c r="F23" s="1" t="s">
        <v>7833</v>
      </c>
      <c r="G23" s="1" t="s">
        <v>36408</v>
      </c>
      <c r="H23" s="1"/>
      <c r="I23" s="1"/>
      <c r="J23" s="1"/>
      <c r="K23" s="1" t="s">
        <v>36392</v>
      </c>
      <c r="L23" s="1" t="s">
        <v>7</v>
      </c>
      <c r="M23" s="1" t="s">
        <v>10</v>
      </c>
      <c r="N23" s="1" t="s">
        <v>36368</v>
      </c>
      <c r="O23" s="1" t="s">
        <v>3598</v>
      </c>
      <c r="P23" s="1" t="s">
        <v>36393</v>
      </c>
      <c r="Q23" s="22">
        <v>0</v>
      </c>
    </row>
    <row x14ac:dyDescent="0.25" r="24" customHeight="1" ht="18.75">
      <c r="A24" s="1"/>
      <c r="B24" s="1" t="s">
        <v>36409</v>
      </c>
      <c r="C24" s="1" t="s">
        <v>7</v>
      </c>
      <c r="D24" s="1" t="s">
        <v>10</v>
      </c>
      <c r="E24" s="1" t="s">
        <v>36395</v>
      </c>
      <c r="F24" s="1" t="s">
        <v>7833</v>
      </c>
      <c r="G24" s="1" t="s">
        <v>36410</v>
      </c>
      <c r="H24" s="1"/>
      <c r="I24" s="1"/>
      <c r="J24" s="1"/>
      <c r="K24" s="1" t="s">
        <v>36411</v>
      </c>
      <c r="L24" s="1" t="s">
        <v>7</v>
      </c>
      <c r="M24" s="1" t="s">
        <v>10</v>
      </c>
      <c r="N24" s="1" t="s">
        <v>36368</v>
      </c>
      <c r="O24" s="1" t="s">
        <v>3693</v>
      </c>
      <c r="P24" s="1" t="s">
        <v>36412</v>
      </c>
      <c r="Q24" s="22">
        <v>0</v>
      </c>
    </row>
    <row x14ac:dyDescent="0.25" r="25" customHeight="1" ht="18.75">
      <c r="A25" s="1"/>
      <c r="B25" s="1" t="s">
        <v>36413</v>
      </c>
      <c r="C25" s="1" t="s">
        <v>7</v>
      </c>
      <c r="D25" s="1" t="s">
        <v>10</v>
      </c>
      <c r="E25" s="1" t="s">
        <v>36395</v>
      </c>
      <c r="F25" s="1" t="s">
        <v>7833</v>
      </c>
      <c r="G25" s="1" t="s">
        <v>36414</v>
      </c>
      <c r="H25" s="1"/>
      <c r="I25" s="1"/>
      <c r="J25" s="1"/>
      <c r="K25" s="1" t="s">
        <v>36415</v>
      </c>
      <c r="L25" s="1" t="s">
        <v>7</v>
      </c>
      <c r="M25" s="1" t="s">
        <v>10</v>
      </c>
      <c r="N25" s="1" t="s">
        <v>36368</v>
      </c>
      <c r="O25" s="1" t="s">
        <v>3598</v>
      </c>
      <c r="P25" s="1" t="s">
        <v>36416</v>
      </c>
      <c r="Q25" s="22">
        <v>0</v>
      </c>
    </row>
    <row x14ac:dyDescent="0.25" r="26" customHeight="1" ht="18.75">
      <c r="A26" s="1"/>
      <c r="B26" s="1" t="s">
        <v>36417</v>
      </c>
      <c r="C26" s="1" t="s">
        <v>7</v>
      </c>
      <c r="D26" s="1" t="s">
        <v>10</v>
      </c>
      <c r="E26" s="1" t="s">
        <v>36395</v>
      </c>
      <c r="F26" s="1" t="s">
        <v>7833</v>
      </c>
      <c r="G26" s="1" t="s">
        <v>36418</v>
      </c>
      <c r="H26" s="1"/>
      <c r="I26" s="1"/>
      <c r="J26" s="1"/>
      <c r="K26" s="1" t="s">
        <v>36419</v>
      </c>
      <c r="L26" s="1" t="s">
        <v>7</v>
      </c>
      <c r="M26" s="1" t="s">
        <v>10</v>
      </c>
      <c r="N26" s="1" t="s">
        <v>36368</v>
      </c>
      <c r="O26" s="1" t="s">
        <v>7833</v>
      </c>
      <c r="P26" s="1" t="s">
        <v>36420</v>
      </c>
      <c r="Q26" s="22">
        <v>0</v>
      </c>
    </row>
    <row x14ac:dyDescent="0.25" r="27" customHeight="1" ht="18.75">
      <c r="A27" s="1"/>
      <c r="B27" s="1" t="s">
        <v>36421</v>
      </c>
      <c r="C27" s="1" t="s">
        <v>7</v>
      </c>
      <c r="D27" s="1" t="s">
        <v>10</v>
      </c>
      <c r="E27" s="1" t="s">
        <v>36395</v>
      </c>
      <c r="F27" s="1" t="s">
        <v>7833</v>
      </c>
      <c r="G27" s="1" t="s">
        <v>36422</v>
      </c>
      <c r="H27" s="1"/>
      <c r="I27" s="1"/>
      <c r="J27" s="1"/>
      <c r="K27" s="1" t="s">
        <v>36423</v>
      </c>
      <c r="L27" s="1" t="s">
        <v>7</v>
      </c>
      <c r="M27" s="1" t="s">
        <v>10</v>
      </c>
      <c r="N27" s="1" t="s">
        <v>36368</v>
      </c>
      <c r="O27" s="1" t="s">
        <v>7833</v>
      </c>
      <c r="P27" s="1" t="s">
        <v>36424</v>
      </c>
      <c r="Q27" s="22">
        <v>0</v>
      </c>
    </row>
    <row x14ac:dyDescent="0.25" r="28" customHeight="1" ht="18.75">
      <c r="A28" s="1"/>
      <c r="B28" s="1" t="s">
        <v>36425</v>
      </c>
      <c r="C28" s="1" t="s">
        <v>7</v>
      </c>
      <c r="D28" s="1" t="s">
        <v>10</v>
      </c>
      <c r="E28" s="1" t="s">
        <v>36395</v>
      </c>
      <c r="F28" s="1" t="s">
        <v>7833</v>
      </c>
      <c r="G28" s="1" t="s">
        <v>36426</v>
      </c>
      <c r="H28" s="1"/>
      <c r="I28" s="1"/>
      <c r="J28" s="1"/>
      <c r="K28" s="1" t="s">
        <v>36427</v>
      </c>
      <c r="L28" s="1" t="s">
        <v>7</v>
      </c>
      <c r="M28" s="1" t="s">
        <v>10</v>
      </c>
      <c r="N28" s="1" t="s">
        <v>36368</v>
      </c>
      <c r="O28" s="1" t="s">
        <v>3617</v>
      </c>
      <c r="P28" s="1" t="s">
        <v>36428</v>
      </c>
      <c r="Q28" s="22">
        <v>0</v>
      </c>
    </row>
    <row x14ac:dyDescent="0.25" r="29" customHeight="1" ht="18.75">
      <c r="A29" s="1"/>
      <c r="B29" s="1" t="s">
        <v>36429</v>
      </c>
      <c r="C29" s="1" t="s">
        <v>7</v>
      </c>
      <c r="D29" s="1" t="s">
        <v>10</v>
      </c>
      <c r="E29" s="1" t="s">
        <v>36395</v>
      </c>
      <c r="F29" s="1" t="s">
        <v>7833</v>
      </c>
      <c r="G29" s="1" t="s">
        <v>36430</v>
      </c>
      <c r="H29" s="1"/>
      <c r="I29" s="1"/>
      <c r="J29" s="1"/>
      <c r="K29" s="1" t="s">
        <v>36431</v>
      </c>
      <c r="L29" s="1" t="s">
        <v>7</v>
      </c>
      <c r="M29" s="1" t="s">
        <v>10</v>
      </c>
      <c r="N29" s="1" t="s">
        <v>36368</v>
      </c>
      <c r="O29" s="1" t="s">
        <v>3617</v>
      </c>
      <c r="P29" s="1" t="s">
        <v>36432</v>
      </c>
      <c r="Q29" s="22">
        <v>0</v>
      </c>
    </row>
    <row x14ac:dyDescent="0.25" r="30" customHeight="1" ht="18.75">
      <c r="A30" s="1"/>
      <c r="B30" s="1" t="s">
        <v>36433</v>
      </c>
      <c r="C30" s="1" t="s">
        <v>7</v>
      </c>
      <c r="D30" s="1" t="s">
        <v>10</v>
      </c>
      <c r="E30" s="1" t="s">
        <v>36395</v>
      </c>
      <c r="F30" s="1" t="s">
        <v>7833</v>
      </c>
      <c r="G30" s="1" t="s">
        <v>36434</v>
      </c>
      <c r="H30" s="1"/>
      <c r="I30" s="1"/>
      <c r="J30" s="1"/>
      <c r="K30" s="1" t="s">
        <v>36435</v>
      </c>
      <c r="L30" s="1" t="s">
        <v>7</v>
      </c>
      <c r="M30" s="1" t="s">
        <v>10</v>
      </c>
      <c r="N30" s="1" t="s">
        <v>36368</v>
      </c>
      <c r="O30" s="1" t="s">
        <v>3617</v>
      </c>
      <c r="P30" s="1" t="s">
        <v>36436</v>
      </c>
      <c r="Q30" s="22">
        <v>0</v>
      </c>
    </row>
    <row x14ac:dyDescent="0.25" r="31" customHeight="1" ht="18.75">
      <c r="A31" s="1"/>
      <c r="B31" s="1" t="s">
        <v>36437</v>
      </c>
      <c r="C31" s="1" t="s">
        <v>7</v>
      </c>
      <c r="D31" s="1" t="s">
        <v>10</v>
      </c>
      <c r="E31" s="1" t="s">
        <v>36395</v>
      </c>
      <c r="F31" s="1" t="s">
        <v>7833</v>
      </c>
      <c r="G31" s="1" t="s">
        <v>36438</v>
      </c>
      <c r="H31" s="1"/>
      <c r="I31" s="1"/>
      <c r="J31" s="1"/>
      <c r="K31" s="1" t="s">
        <v>36439</v>
      </c>
      <c r="L31" s="1" t="s">
        <v>7</v>
      </c>
      <c r="M31" s="1" t="s">
        <v>10</v>
      </c>
      <c r="N31" s="1" t="s">
        <v>36368</v>
      </c>
      <c r="O31" s="1" t="s">
        <v>3617</v>
      </c>
      <c r="P31" s="1" t="s">
        <v>36440</v>
      </c>
      <c r="Q31" s="22">
        <v>0</v>
      </c>
    </row>
    <row x14ac:dyDescent="0.25" r="32" customHeight="1" ht="18.75">
      <c r="A32" s="1"/>
      <c r="B32" s="1" t="s">
        <v>36441</v>
      </c>
      <c r="C32" s="1" t="s">
        <v>7</v>
      </c>
      <c r="D32" s="1" t="s">
        <v>10</v>
      </c>
      <c r="E32" s="1" t="s">
        <v>36395</v>
      </c>
      <c r="F32" s="1" t="s">
        <v>3693</v>
      </c>
      <c r="G32" s="1" t="s">
        <v>36442</v>
      </c>
      <c r="H32" s="1"/>
      <c r="I32" s="1"/>
      <c r="J32" s="1"/>
      <c r="K32" s="1" t="s">
        <v>36443</v>
      </c>
      <c r="L32" s="1" t="s">
        <v>7</v>
      </c>
      <c r="M32" s="1" t="s">
        <v>10</v>
      </c>
      <c r="N32" s="1" t="s">
        <v>36368</v>
      </c>
      <c r="O32" s="1" t="s">
        <v>3617</v>
      </c>
      <c r="P32" s="1" t="s">
        <v>36444</v>
      </c>
      <c r="Q32" s="22">
        <v>0</v>
      </c>
    </row>
    <row x14ac:dyDescent="0.25" r="33" customHeight="1" ht="18.75">
      <c r="A33" s="1"/>
      <c r="B33" s="1" t="s">
        <v>36445</v>
      </c>
      <c r="C33" s="1" t="s">
        <v>7</v>
      </c>
      <c r="D33" s="1" t="s">
        <v>10</v>
      </c>
      <c r="E33" s="1" t="s">
        <v>36395</v>
      </c>
      <c r="F33" s="1" t="s">
        <v>3693</v>
      </c>
      <c r="G33" s="1" t="s">
        <v>36446</v>
      </c>
      <c r="H33" s="1"/>
      <c r="I33" s="1"/>
      <c r="J33" s="1"/>
      <c r="K33" s="1" t="s">
        <v>36447</v>
      </c>
      <c r="L33" s="1" t="s">
        <v>7</v>
      </c>
      <c r="M33" s="1" t="s">
        <v>10</v>
      </c>
      <c r="N33" s="1" t="s">
        <v>36368</v>
      </c>
      <c r="O33" s="1" t="s">
        <v>3617</v>
      </c>
      <c r="P33" s="1" t="s">
        <v>36448</v>
      </c>
      <c r="Q33" s="22">
        <v>0</v>
      </c>
    </row>
    <row x14ac:dyDescent="0.25" r="34" customHeight="1" ht="18.75">
      <c r="A34" s="1"/>
      <c r="B34" s="1" t="s">
        <v>36411</v>
      </c>
      <c r="C34" s="1" t="s">
        <v>7</v>
      </c>
      <c r="D34" s="1" t="s">
        <v>10</v>
      </c>
      <c r="E34" s="1" t="s">
        <v>36368</v>
      </c>
      <c r="F34" s="1" t="s">
        <v>3693</v>
      </c>
      <c r="G34" s="1" t="s">
        <v>36412</v>
      </c>
      <c r="H34" s="1"/>
      <c r="I34" s="1"/>
      <c r="J34" s="1"/>
      <c r="K34" s="1" t="s">
        <v>36449</v>
      </c>
      <c r="L34" s="1" t="s">
        <v>7</v>
      </c>
      <c r="M34" s="1" t="s">
        <v>10</v>
      </c>
      <c r="N34" s="1" t="s">
        <v>36368</v>
      </c>
      <c r="O34" s="1" t="s">
        <v>3617</v>
      </c>
      <c r="P34" s="1" t="s">
        <v>36450</v>
      </c>
      <c r="Q34" s="22">
        <v>0</v>
      </c>
    </row>
    <row x14ac:dyDescent="0.25" r="35" customHeight="1" ht="18.75">
      <c r="A35" s="1"/>
      <c r="B35" s="1" t="s">
        <v>36451</v>
      </c>
      <c r="C35" s="1" t="s">
        <v>7</v>
      </c>
      <c r="D35" s="1" t="s">
        <v>10</v>
      </c>
      <c r="E35" s="1" t="s">
        <v>36395</v>
      </c>
      <c r="F35" s="1" t="s">
        <v>3617</v>
      </c>
      <c r="G35" s="1" t="s">
        <v>36452</v>
      </c>
      <c r="H35" s="1"/>
      <c r="I35" s="1"/>
      <c r="J35" s="1"/>
      <c r="K35" s="1" t="s">
        <v>36453</v>
      </c>
      <c r="L35" s="1" t="s">
        <v>7</v>
      </c>
      <c r="M35" s="1" t="s">
        <v>10</v>
      </c>
      <c r="N35" s="1" t="s">
        <v>36368</v>
      </c>
      <c r="O35" s="1" t="s">
        <v>3617</v>
      </c>
      <c r="P35" s="1" t="s">
        <v>36454</v>
      </c>
      <c r="Q35" s="22">
        <v>0</v>
      </c>
    </row>
    <row x14ac:dyDescent="0.25" r="36" customHeight="1" ht="18.75">
      <c r="A36" s="1"/>
      <c r="B36" s="1" t="s">
        <v>36415</v>
      </c>
      <c r="C36" s="1" t="s">
        <v>7</v>
      </c>
      <c r="D36" s="1" t="s">
        <v>10</v>
      </c>
      <c r="E36" s="1" t="s">
        <v>36368</v>
      </c>
      <c r="F36" s="1" t="s">
        <v>3598</v>
      </c>
      <c r="G36" s="1" t="s">
        <v>36416</v>
      </c>
      <c r="H36" s="1"/>
      <c r="I36" s="1"/>
      <c r="J36" s="1"/>
      <c r="K36" s="1" t="s">
        <v>36455</v>
      </c>
      <c r="L36" s="1" t="s">
        <v>7</v>
      </c>
      <c r="M36" s="1" t="s">
        <v>10</v>
      </c>
      <c r="N36" s="1" t="s">
        <v>36368</v>
      </c>
      <c r="O36" s="1" t="s">
        <v>3617</v>
      </c>
      <c r="P36" s="1" t="s">
        <v>36456</v>
      </c>
      <c r="Q36" s="22">
        <v>0</v>
      </c>
    </row>
    <row x14ac:dyDescent="0.25" r="37" customHeight="1" ht="18.75">
      <c r="A37" s="1"/>
      <c r="B37" s="1" t="s">
        <v>36457</v>
      </c>
      <c r="C37" s="1" t="s">
        <v>7</v>
      </c>
      <c r="D37" s="1" t="s">
        <v>10</v>
      </c>
      <c r="E37" s="1" t="s">
        <v>36395</v>
      </c>
      <c r="F37" s="1" t="s">
        <v>3693</v>
      </c>
      <c r="G37" s="1" t="s">
        <v>36458</v>
      </c>
      <c r="H37" s="1"/>
      <c r="I37" s="1"/>
      <c r="J37" s="1"/>
      <c r="K37" s="1" t="s">
        <v>36459</v>
      </c>
      <c r="L37" s="1" t="s">
        <v>7</v>
      </c>
      <c r="M37" s="1" t="s">
        <v>10</v>
      </c>
      <c r="N37" s="1" t="s">
        <v>36368</v>
      </c>
      <c r="O37" s="1" t="s">
        <v>3617</v>
      </c>
      <c r="P37" s="1" t="s">
        <v>36460</v>
      </c>
      <c r="Q37" s="22">
        <v>0</v>
      </c>
    </row>
    <row x14ac:dyDescent="0.25" r="38" customHeight="1" ht="18.75">
      <c r="A38" s="1"/>
      <c r="B38" s="1" t="s">
        <v>36461</v>
      </c>
      <c r="C38" s="1" t="s">
        <v>7</v>
      </c>
      <c r="D38" s="1" t="s">
        <v>10</v>
      </c>
      <c r="E38" s="1" t="s">
        <v>36395</v>
      </c>
      <c r="F38" s="1" t="s">
        <v>3693</v>
      </c>
      <c r="G38" s="1" t="s">
        <v>36462</v>
      </c>
      <c r="H38" s="1"/>
      <c r="I38" s="1"/>
      <c r="J38" s="1"/>
      <c r="K38" s="1" t="s">
        <v>36463</v>
      </c>
      <c r="L38" s="1" t="s">
        <v>7</v>
      </c>
      <c r="M38" s="1" t="s">
        <v>10</v>
      </c>
      <c r="N38" s="1" t="s">
        <v>36368</v>
      </c>
      <c r="O38" s="1" t="s">
        <v>3617</v>
      </c>
      <c r="P38" s="1" t="s">
        <v>36464</v>
      </c>
      <c r="Q38" s="22">
        <v>0</v>
      </c>
    </row>
    <row x14ac:dyDescent="0.25" r="39" customHeight="1" ht="18.75">
      <c r="A39" s="1"/>
      <c r="B39" s="1" t="s">
        <v>36465</v>
      </c>
      <c r="C39" s="1" t="s">
        <v>7</v>
      </c>
      <c r="D39" s="1" t="s">
        <v>10</v>
      </c>
      <c r="E39" s="1" t="s">
        <v>36395</v>
      </c>
      <c r="F39" s="1" t="s">
        <v>3693</v>
      </c>
      <c r="G39" s="1" t="s">
        <v>36466</v>
      </c>
      <c r="H39" s="1"/>
      <c r="I39" s="1"/>
      <c r="J39" s="1"/>
      <c r="K39" s="1" t="s">
        <v>36467</v>
      </c>
      <c r="L39" s="1" t="s">
        <v>7</v>
      </c>
      <c r="M39" s="1" t="s">
        <v>10</v>
      </c>
      <c r="N39" s="1" t="s">
        <v>36368</v>
      </c>
      <c r="O39" s="1" t="s">
        <v>3617</v>
      </c>
      <c r="P39" s="1" t="s">
        <v>36468</v>
      </c>
      <c r="Q39" s="22">
        <v>0</v>
      </c>
    </row>
    <row x14ac:dyDescent="0.25" r="40" customHeight="1" ht="18.75">
      <c r="A40" s="1"/>
      <c r="B40" s="1" t="s">
        <v>36469</v>
      </c>
      <c r="C40" s="1" t="s">
        <v>7</v>
      </c>
      <c r="D40" s="1" t="s">
        <v>10</v>
      </c>
      <c r="E40" s="1" t="s">
        <v>36395</v>
      </c>
      <c r="F40" s="1" t="s">
        <v>3617</v>
      </c>
      <c r="G40" s="1" t="s">
        <v>36470</v>
      </c>
      <c r="H40" s="1"/>
      <c r="I40" s="1"/>
      <c r="J40" s="1"/>
      <c r="K40" s="1" t="s">
        <v>36471</v>
      </c>
      <c r="L40" s="1" t="s">
        <v>7</v>
      </c>
      <c r="M40" s="1" t="s">
        <v>10</v>
      </c>
      <c r="N40" s="1" t="s">
        <v>36368</v>
      </c>
      <c r="O40" s="1" t="s">
        <v>3617</v>
      </c>
      <c r="P40" s="1" t="s">
        <v>36472</v>
      </c>
      <c r="Q40" s="22">
        <v>0</v>
      </c>
    </row>
    <row x14ac:dyDescent="0.25" r="41" customHeight="1" ht="18.75">
      <c r="A41" s="1"/>
      <c r="B41" s="1" t="s">
        <v>36473</v>
      </c>
      <c r="C41" s="1" t="s">
        <v>7</v>
      </c>
      <c r="D41" s="1" t="s">
        <v>10</v>
      </c>
      <c r="E41" s="1" t="s">
        <v>36395</v>
      </c>
      <c r="F41" s="1" t="s">
        <v>3617</v>
      </c>
      <c r="G41" s="1" t="s">
        <v>36474</v>
      </c>
      <c r="H41" s="1"/>
      <c r="I41" s="1"/>
      <c r="J41" s="1"/>
      <c r="K41" s="1" t="s">
        <v>36475</v>
      </c>
      <c r="L41" s="1" t="s">
        <v>7</v>
      </c>
      <c r="M41" s="1" t="s">
        <v>10</v>
      </c>
      <c r="N41" s="1" t="s">
        <v>36368</v>
      </c>
      <c r="O41" s="1" t="s">
        <v>3617</v>
      </c>
      <c r="P41" s="1" t="s">
        <v>36476</v>
      </c>
      <c r="Q41" s="22">
        <v>0</v>
      </c>
    </row>
    <row x14ac:dyDescent="0.25" r="42" customHeight="1" ht="18.75">
      <c r="A42" s="1"/>
      <c r="B42" s="1" t="s">
        <v>36477</v>
      </c>
      <c r="C42" s="1" t="s">
        <v>7</v>
      </c>
      <c r="D42" s="1" t="s">
        <v>10</v>
      </c>
      <c r="E42" s="1" t="s">
        <v>36395</v>
      </c>
      <c r="F42" s="1" t="s">
        <v>3617</v>
      </c>
      <c r="G42" s="1" t="s">
        <v>36478</v>
      </c>
      <c r="H42" s="1"/>
      <c r="I42" s="1"/>
      <c r="J42" s="1"/>
      <c r="K42" s="1" t="s">
        <v>36479</v>
      </c>
      <c r="L42" s="1" t="s">
        <v>7</v>
      </c>
      <c r="M42" s="1" t="s">
        <v>10</v>
      </c>
      <c r="N42" s="1" t="s">
        <v>36368</v>
      </c>
      <c r="O42" s="1" t="s">
        <v>3598</v>
      </c>
      <c r="P42" s="1" t="s">
        <v>36480</v>
      </c>
      <c r="Q42" s="22">
        <v>0</v>
      </c>
    </row>
    <row x14ac:dyDescent="0.25" r="43" customHeight="1" ht="18.75">
      <c r="A43" s="1"/>
      <c r="B43" s="1" t="s">
        <v>36481</v>
      </c>
      <c r="C43" s="1" t="s">
        <v>7</v>
      </c>
      <c r="D43" s="1" t="s">
        <v>10</v>
      </c>
      <c r="E43" s="1" t="s">
        <v>36395</v>
      </c>
      <c r="F43" s="1" t="s">
        <v>3617</v>
      </c>
      <c r="G43" s="1" t="s">
        <v>36482</v>
      </c>
      <c r="H43" s="1"/>
      <c r="I43" s="1"/>
      <c r="J43" s="1"/>
      <c r="K43" s="1" t="s">
        <v>36483</v>
      </c>
      <c r="L43" s="1" t="s">
        <v>7</v>
      </c>
      <c r="M43" s="1" t="s">
        <v>10</v>
      </c>
      <c r="N43" s="1" t="s">
        <v>36368</v>
      </c>
      <c r="O43" s="1" t="s">
        <v>3598</v>
      </c>
      <c r="P43" s="1" t="s">
        <v>36484</v>
      </c>
      <c r="Q43" s="22">
        <v>0</v>
      </c>
    </row>
    <row x14ac:dyDescent="0.25" r="44" customHeight="1" ht="18.75">
      <c r="A44" s="1"/>
      <c r="B44" s="1" t="s">
        <v>36485</v>
      </c>
      <c r="C44" s="1" t="s">
        <v>7</v>
      </c>
      <c r="D44" s="1" t="s">
        <v>10</v>
      </c>
      <c r="E44" s="1" t="s">
        <v>36395</v>
      </c>
      <c r="F44" s="1" t="s">
        <v>3693</v>
      </c>
      <c r="G44" s="1" t="s">
        <v>36486</v>
      </c>
      <c r="H44" s="1"/>
      <c r="I44" s="1"/>
      <c r="J44" s="1"/>
      <c r="K44" s="1" t="s">
        <v>36487</v>
      </c>
      <c r="L44" s="1" t="s">
        <v>7</v>
      </c>
      <c r="M44" s="1" t="s">
        <v>10</v>
      </c>
      <c r="N44" s="1" t="s">
        <v>36368</v>
      </c>
      <c r="O44" s="1" t="s">
        <v>3598</v>
      </c>
      <c r="P44" s="1" t="s">
        <v>36488</v>
      </c>
      <c r="Q44" s="22">
        <v>0</v>
      </c>
    </row>
    <row x14ac:dyDescent="0.25" r="45" customHeight="1" ht="18.75">
      <c r="A45" s="1"/>
      <c r="B45" s="1" t="s">
        <v>36489</v>
      </c>
      <c r="C45" s="1" t="s">
        <v>7</v>
      </c>
      <c r="D45" s="1" t="s">
        <v>10</v>
      </c>
      <c r="E45" s="1" t="s">
        <v>36395</v>
      </c>
      <c r="F45" s="1" t="s">
        <v>3693</v>
      </c>
      <c r="G45" s="1" t="s">
        <v>36490</v>
      </c>
      <c r="H45" s="1"/>
      <c r="I45" s="1"/>
      <c r="J45" s="1"/>
      <c r="K45" s="1" t="s">
        <v>36491</v>
      </c>
      <c r="L45" s="1" t="s">
        <v>7</v>
      </c>
      <c r="M45" s="1" t="s">
        <v>10</v>
      </c>
      <c r="N45" s="1" t="s">
        <v>36368</v>
      </c>
      <c r="O45" s="1" t="s">
        <v>3598</v>
      </c>
      <c r="P45" s="1" t="s">
        <v>36492</v>
      </c>
      <c r="Q45" s="22">
        <v>0</v>
      </c>
    </row>
    <row x14ac:dyDescent="0.25" r="46" customHeight="1" ht="18.75">
      <c r="A46" s="1"/>
      <c r="B46" s="1" t="s">
        <v>36493</v>
      </c>
      <c r="C46" s="1" t="s">
        <v>7</v>
      </c>
      <c r="D46" s="1" t="s">
        <v>10</v>
      </c>
      <c r="E46" s="1" t="s">
        <v>36395</v>
      </c>
      <c r="F46" s="1" t="s">
        <v>3693</v>
      </c>
      <c r="G46" s="1" t="s">
        <v>36494</v>
      </c>
      <c r="H46" s="1"/>
      <c r="I46" s="1"/>
      <c r="J46" s="1"/>
      <c r="K46" s="1" t="s">
        <v>36495</v>
      </c>
      <c r="L46" s="1" t="s">
        <v>7</v>
      </c>
      <c r="M46" s="1" t="s">
        <v>10</v>
      </c>
      <c r="N46" s="1" t="s">
        <v>36368</v>
      </c>
      <c r="O46" s="1" t="s">
        <v>3598</v>
      </c>
      <c r="P46" s="1" t="s">
        <v>36496</v>
      </c>
      <c r="Q46" s="22">
        <v>0</v>
      </c>
    </row>
    <row x14ac:dyDescent="0.25" r="47" customHeight="1" ht="18.75">
      <c r="A47" s="1"/>
      <c r="B47" s="1" t="s">
        <v>36497</v>
      </c>
      <c r="C47" s="1" t="s">
        <v>7</v>
      </c>
      <c r="D47" s="1" t="s">
        <v>10</v>
      </c>
      <c r="E47" s="1" t="s">
        <v>36395</v>
      </c>
      <c r="F47" s="1" t="s">
        <v>3693</v>
      </c>
      <c r="G47" s="1" t="s">
        <v>36498</v>
      </c>
      <c r="H47" s="1"/>
      <c r="I47" s="1"/>
      <c r="J47" s="1"/>
      <c r="K47" s="1" t="s">
        <v>36499</v>
      </c>
      <c r="L47" s="1" t="s">
        <v>7</v>
      </c>
      <c r="M47" s="1" t="s">
        <v>10</v>
      </c>
      <c r="N47" s="1" t="s">
        <v>36368</v>
      </c>
      <c r="O47" s="1" t="s">
        <v>3693</v>
      </c>
      <c r="P47" s="1" t="s">
        <v>36500</v>
      </c>
      <c r="Q47" s="22">
        <v>0</v>
      </c>
    </row>
    <row x14ac:dyDescent="0.25" r="48" customHeight="1" ht="18.75">
      <c r="A48" s="1"/>
      <c r="B48" s="1" t="s">
        <v>36501</v>
      </c>
      <c r="C48" s="1" t="s">
        <v>7</v>
      </c>
      <c r="D48" s="1" t="s">
        <v>10</v>
      </c>
      <c r="E48" s="1" t="s">
        <v>36395</v>
      </c>
      <c r="F48" s="1" t="s">
        <v>3693</v>
      </c>
      <c r="G48" s="1" t="s">
        <v>36502</v>
      </c>
      <c r="H48" s="1"/>
      <c r="I48" s="1"/>
      <c r="J48" s="1"/>
      <c r="K48" s="1" t="s">
        <v>36503</v>
      </c>
      <c r="L48" s="1" t="s">
        <v>7</v>
      </c>
      <c r="M48" s="1" t="s">
        <v>10</v>
      </c>
      <c r="N48" s="1" t="s">
        <v>36368</v>
      </c>
      <c r="O48" s="1" t="s">
        <v>3598</v>
      </c>
      <c r="P48" s="1" t="s">
        <v>36504</v>
      </c>
      <c r="Q48" s="22">
        <v>0</v>
      </c>
    </row>
    <row x14ac:dyDescent="0.25" r="49" customHeight="1" ht="18.75">
      <c r="A49" s="1"/>
      <c r="B49" s="1" t="s">
        <v>36505</v>
      </c>
      <c r="C49" s="1" t="s">
        <v>7</v>
      </c>
      <c r="D49" s="1" t="s">
        <v>10</v>
      </c>
      <c r="E49" s="1" t="s">
        <v>36395</v>
      </c>
      <c r="F49" s="1" t="s">
        <v>3617</v>
      </c>
      <c r="G49" s="1" t="s">
        <v>36506</v>
      </c>
      <c r="H49" s="1"/>
      <c r="I49" s="1"/>
      <c r="J49" s="1"/>
      <c r="K49" s="1" t="s">
        <v>36507</v>
      </c>
      <c r="L49" s="1" t="s">
        <v>7</v>
      </c>
      <c r="M49" s="1" t="s">
        <v>10</v>
      </c>
      <c r="N49" s="1" t="s">
        <v>36368</v>
      </c>
      <c r="O49" s="1" t="s">
        <v>3598</v>
      </c>
      <c r="P49" s="1" t="s">
        <v>36508</v>
      </c>
      <c r="Q49" s="22">
        <v>0</v>
      </c>
    </row>
    <row x14ac:dyDescent="0.25" r="50" customHeight="1" ht="18.75">
      <c r="A50" s="1"/>
      <c r="B50" s="1" t="s">
        <v>36509</v>
      </c>
      <c r="C50" s="1" t="s">
        <v>7</v>
      </c>
      <c r="D50" s="1" t="s">
        <v>10</v>
      </c>
      <c r="E50" s="1" t="s">
        <v>36395</v>
      </c>
      <c r="F50" s="1" t="s">
        <v>7833</v>
      </c>
      <c r="G50" s="1" t="s">
        <v>36510</v>
      </c>
      <c r="H50" s="1"/>
      <c r="I50" s="1"/>
      <c r="J50" s="1"/>
      <c r="K50" s="1" t="s">
        <v>36511</v>
      </c>
      <c r="L50" s="1" t="s">
        <v>7</v>
      </c>
      <c r="M50" s="1" t="s">
        <v>10</v>
      </c>
      <c r="N50" s="1" t="s">
        <v>36368</v>
      </c>
      <c r="O50" s="1" t="s">
        <v>3598</v>
      </c>
      <c r="P50" s="1" t="s">
        <v>36512</v>
      </c>
      <c r="Q50" s="22">
        <v>0</v>
      </c>
    </row>
    <row x14ac:dyDescent="0.25" r="51" customHeight="1" ht="18.75">
      <c r="A51" s="1"/>
      <c r="B51" s="1" t="s">
        <v>36513</v>
      </c>
      <c r="C51" s="1" t="s">
        <v>7</v>
      </c>
      <c r="D51" s="1" t="s">
        <v>10</v>
      </c>
      <c r="E51" s="1" t="s">
        <v>36395</v>
      </c>
      <c r="F51" s="1" t="s">
        <v>7833</v>
      </c>
      <c r="G51" s="1" t="s">
        <v>36514</v>
      </c>
      <c r="H51" s="1"/>
      <c r="I51" s="1"/>
      <c r="J51" s="1"/>
      <c r="K51" s="1" t="s">
        <v>36515</v>
      </c>
      <c r="L51" s="1" t="s">
        <v>7</v>
      </c>
      <c r="M51" s="1" t="s">
        <v>10</v>
      </c>
      <c r="N51" s="1" t="s">
        <v>36368</v>
      </c>
      <c r="O51" s="1" t="s">
        <v>3598</v>
      </c>
      <c r="P51" s="1" t="s">
        <v>36516</v>
      </c>
      <c r="Q51" s="22">
        <v>0</v>
      </c>
    </row>
    <row x14ac:dyDescent="0.25" r="52" customHeight="1" ht="18.75">
      <c r="A52" s="1"/>
      <c r="B52" s="1" t="s">
        <v>36517</v>
      </c>
      <c r="C52" s="1" t="s">
        <v>7</v>
      </c>
      <c r="D52" s="1" t="s">
        <v>10</v>
      </c>
      <c r="E52" s="1" t="s">
        <v>36395</v>
      </c>
      <c r="F52" s="1" t="s">
        <v>7833</v>
      </c>
      <c r="G52" s="1" t="s">
        <v>36518</v>
      </c>
      <c r="H52" s="1"/>
      <c r="I52" s="1"/>
      <c r="J52" s="1"/>
      <c r="K52" s="1" t="s">
        <v>36519</v>
      </c>
      <c r="L52" s="1" t="s">
        <v>7</v>
      </c>
      <c r="M52" s="1" t="s">
        <v>10</v>
      </c>
      <c r="N52" s="1" t="s">
        <v>36368</v>
      </c>
      <c r="O52" s="1" t="s">
        <v>3617</v>
      </c>
      <c r="P52" s="1" t="s">
        <v>36520</v>
      </c>
      <c r="Q52" s="22">
        <v>0</v>
      </c>
    </row>
    <row x14ac:dyDescent="0.25" r="53" customHeight="1" ht="18.75">
      <c r="A53" s="1"/>
      <c r="B53" s="1" t="s">
        <v>36521</v>
      </c>
      <c r="C53" s="1" t="s">
        <v>7</v>
      </c>
      <c r="D53" s="1" t="s">
        <v>10</v>
      </c>
      <c r="E53" s="1" t="s">
        <v>36395</v>
      </c>
      <c r="F53" s="1" t="s">
        <v>7833</v>
      </c>
      <c r="G53" s="1" t="s">
        <v>36522</v>
      </c>
      <c r="H53" s="1"/>
      <c r="I53" s="1"/>
      <c r="J53" s="1"/>
      <c r="K53" s="1" t="s">
        <v>36523</v>
      </c>
      <c r="L53" s="1" t="s">
        <v>7</v>
      </c>
      <c r="M53" s="1" t="s">
        <v>10</v>
      </c>
      <c r="N53" s="1" t="s">
        <v>36368</v>
      </c>
      <c r="O53" s="1" t="s">
        <v>7833</v>
      </c>
      <c r="P53" s="1" t="s">
        <v>36524</v>
      </c>
      <c r="Q53" s="22">
        <v>0</v>
      </c>
    </row>
    <row x14ac:dyDescent="0.25" r="54" customHeight="1" ht="18.75">
      <c r="A54" s="1"/>
      <c r="B54" s="1" t="s">
        <v>36525</v>
      </c>
      <c r="C54" s="1" t="s">
        <v>7</v>
      </c>
      <c r="D54" s="1" t="s">
        <v>10</v>
      </c>
      <c r="E54" s="1" t="s">
        <v>36395</v>
      </c>
      <c r="F54" s="1" t="s">
        <v>7833</v>
      </c>
      <c r="G54" s="1" t="s">
        <v>36526</v>
      </c>
      <c r="H54" s="1"/>
      <c r="I54" s="1"/>
      <c r="J54" s="1"/>
      <c r="K54" s="1" t="s">
        <v>36527</v>
      </c>
      <c r="L54" s="1" t="s">
        <v>7</v>
      </c>
      <c r="M54" s="1" t="s">
        <v>10</v>
      </c>
      <c r="N54" s="1" t="s">
        <v>36368</v>
      </c>
      <c r="O54" s="1" t="s">
        <v>3598</v>
      </c>
      <c r="P54" s="1" t="s">
        <v>36528</v>
      </c>
      <c r="Q54" s="22">
        <v>0</v>
      </c>
    </row>
    <row x14ac:dyDescent="0.25" r="55" customHeight="1" ht="18.75">
      <c r="A55" s="1"/>
      <c r="B55" s="1" t="s">
        <v>36529</v>
      </c>
      <c r="C55" s="1" t="s">
        <v>7</v>
      </c>
      <c r="D55" s="1" t="s">
        <v>10</v>
      </c>
      <c r="E55" s="1" t="s">
        <v>36395</v>
      </c>
      <c r="F55" s="1" t="s">
        <v>7833</v>
      </c>
      <c r="G55" s="1" t="s">
        <v>36530</v>
      </c>
      <c r="H55" s="1"/>
      <c r="I55" s="1"/>
      <c r="J55" s="1"/>
      <c r="K55" s="1" t="s">
        <v>36531</v>
      </c>
      <c r="L55" s="1" t="s">
        <v>7</v>
      </c>
      <c r="M55" s="1" t="s">
        <v>10</v>
      </c>
      <c r="N55" s="1" t="s">
        <v>36368</v>
      </c>
      <c r="O55" s="1" t="s">
        <v>3598</v>
      </c>
      <c r="P55" s="1" t="s">
        <v>36532</v>
      </c>
      <c r="Q55" s="22">
        <v>0</v>
      </c>
    </row>
    <row x14ac:dyDescent="0.25" r="56" customHeight="1" ht="18.75">
      <c r="A56" s="1"/>
      <c r="B56" s="1" t="s">
        <v>36533</v>
      </c>
      <c r="C56" s="1" t="s">
        <v>7</v>
      </c>
      <c r="D56" s="1" t="s">
        <v>10</v>
      </c>
      <c r="E56" s="1" t="s">
        <v>36395</v>
      </c>
      <c r="F56" s="1" t="s">
        <v>7833</v>
      </c>
      <c r="G56" s="1" t="s">
        <v>36534</v>
      </c>
      <c r="H56" s="1"/>
      <c r="I56" s="1"/>
      <c r="J56" s="1"/>
      <c r="K56" s="1" t="s">
        <v>36535</v>
      </c>
      <c r="L56" s="1" t="s">
        <v>7</v>
      </c>
      <c r="M56" s="1" t="s">
        <v>10</v>
      </c>
      <c r="N56" s="1" t="s">
        <v>36368</v>
      </c>
      <c r="O56" s="1" t="s">
        <v>3617</v>
      </c>
      <c r="P56" s="1" t="s">
        <v>36536</v>
      </c>
      <c r="Q56" s="22">
        <v>0</v>
      </c>
    </row>
    <row x14ac:dyDescent="0.25" r="57" customHeight="1" ht="18.75">
      <c r="A57" s="1"/>
      <c r="B57" s="1" t="s">
        <v>36419</v>
      </c>
      <c r="C57" s="1" t="s">
        <v>7</v>
      </c>
      <c r="D57" s="1" t="s">
        <v>10</v>
      </c>
      <c r="E57" s="1" t="s">
        <v>36368</v>
      </c>
      <c r="F57" s="1" t="s">
        <v>7833</v>
      </c>
      <c r="G57" s="1" t="s">
        <v>36420</v>
      </c>
      <c r="H57" s="1"/>
      <c r="I57" s="1"/>
      <c r="J57" s="1"/>
      <c r="K57" s="1" t="s">
        <v>36537</v>
      </c>
      <c r="L57" s="1" t="s">
        <v>7</v>
      </c>
      <c r="M57" s="1" t="s">
        <v>10</v>
      </c>
      <c r="N57" s="1" t="s">
        <v>36368</v>
      </c>
      <c r="O57" s="1" t="s">
        <v>3693</v>
      </c>
      <c r="P57" s="1" t="s">
        <v>36538</v>
      </c>
      <c r="Q57" s="22">
        <v>0</v>
      </c>
    </row>
    <row x14ac:dyDescent="0.25" r="58" customHeight="1" ht="18.75">
      <c r="A58" s="1"/>
      <c r="B58" s="1" t="s">
        <v>36539</v>
      </c>
      <c r="C58" s="1" t="s">
        <v>7</v>
      </c>
      <c r="D58" s="1" t="s">
        <v>10</v>
      </c>
      <c r="E58" s="1" t="s">
        <v>36395</v>
      </c>
      <c r="F58" s="1" t="s">
        <v>7833</v>
      </c>
      <c r="G58" s="1" t="s">
        <v>36540</v>
      </c>
      <c r="H58" s="1"/>
      <c r="I58" s="1"/>
      <c r="J58" s="1"/>
      <c r="K58" s="1" t="s">
        <v>36541</v>
      </c>
      <c r="L58" s="1" t="s">
        <v>7</v>
      </c>
      <c r="M58" s="1" t="s">
        <v>10</v>
      </c>
      <c r="N58" s="1" t="s">
        <v>36368</v>
      </c>
      <c r="O58" s="1" t="s">
        <v>3693</v>
      </c>
      <c r="P58" s="1" t="s">
        <v>36542</v>
      </c>
      <c r="Q58" s="22">
        <v>0</v>
      </c>
    </row>
    <row x14ac:dyDescent="0.25" r="59" customHeight="1" ht="18.75">
      <c r="A59" s="1"/>
      <c r="B59" s="1" t="s">
        <v>36423</v>
      </c>
      <c r="C59" s="1" t="s">
        <v>7</v>
      </c>
      <c r="D59" s="1" t="s">
        <v>10</v>
      </c>
      <c r="E59" s="1" t="s">
        <v>36368</v>
      </c>
      <c r="F59" s="1" t="s">
        <v>7833</v>
      </c>
      <c r="G59" s="1" t="s">
        <v>36424</v>
      </c>
      <c r="H59" s="1"/>
      <c r="I59" s="1"/>
      <c r="J59" s="1"/>
      <c r="K59" s="1" t="s">
        <v>36543</v>
      </c>
      <c r="L59" s="1" t="s">
        <v>7</v>
      </c>
      <c r="M59" s="1" t="s">
        <v>10</v>
      </c>
      <c r="N59" s="1" t="s">
        <v>36368</v>
      </c>
      <c r="O59" s="1" t="s">
        <v>7833</v>
      </c>
      <c r="P59" s="1" t="s">
        <v>36544</v>
      </c>
      <c r="Q59" s="22">
        <v>0</v>
      </c>
    </row>
    <row x14ac:dyDescent="0.25" r="60" customHeight="1" ht="18.75">
      <c r="A60" s="1"/>
      <c r="B60" s="1" t="s">
        <v>36427</v>
      </c>
      <c r="C60" s="1" t="s">
        <v>7</v>
      </c>
      <c r="D60" s="1" t="s">
        <v>10</v>
      </c>
      <c r="E60" s="1" t="s">
        <v>36368</v>
      </c>
      <c r="F60" s="1" t="s">
        <v>3617</v>
      </c>
      <c r="G60" s="1" t="s">
        <v>36428</v>
      </c>
      <c r="H60" s="1"/>
      <c r="I60" s="1"/>
      <c r="J60" s="1"/>
      <c r="K60" s="1" t="s">
        <v>36545</v>
      </c>
      <c r="L60" s="1" t="s">
        <v>7</v>
      </c>
      <c r="M60" s="1" t="s">
        <v>10</v>
      </c>
      <c r="N60" s="1" t="s">
        <v>36368</v>
      </c>
      <c r="O60" s="1" t="s">
        <v>7833</v>
      </c>
      <c r="P60" s="1" t="s">
        <v>36546</v>
      </c>
      <c r="Q60" s="22">
        <v>0</v>
      </c>
    </row>
    <row x14ac:dyDescent="0.25" r="61" customHeight="1" ht="18.75">
      <c r="A61" s="1"/>
      <c r="B61" s="1" t="s">
        <v>36431</v>
      </c>
      <c r="C61" s="1" t="s">
        <v>7</v>
      </c>
      <c r="D61" s="1" t="s">
        <v>10</v>
      </c>
      <c r="E61" s="1" t="s">
        <v>36368</v>
      </c>
      <c r="F61" s="1" t="s">
        <v>3617</v>
      </c>
      <c r="G61" s="1" t="s">
        <v>36432</v>
      </c>
      <c r="H61" s="1"/>
      <c r="I61" s="1"/>
      <c r="J61" s="1"/>
      <c r="K61" s="1" t="s">
        <v>36547</v>
      </c>
      <c r="L61" s="1" t="s">
        <v>7</v>
      </c>
      <c r="M61" s="1" t="s">
        <v>10</v>
      </c>
      <c r="N61" s="1" t="s">
        <v>36368</v>
      </c>
      <c r="O61" s="1" t="s">
        <v>7833</v>
      </c>
      <c r="P61" s="1" t="s">
        <v>36548</v>
      </c>
      <c r="Q61" s="22">
        <v>0</v>
      </c>
    </row>
    <row x14ac:dyDescent="0.25" r="62" customHeight="1" ht="18.75">
      <c r="A62" s="1"/>
      <c r="B62" s="1" t="s">
        <v>36435</v>
      </c>
      <c r="C62" s="1" t="s">
        <v>7</v>
      </c>
      <c r="D62" s="1" t="s">
        <v>10</v>
      </c>
      <c r="E62" s="1" t="s">
        <v>36368</v>
      </c>
      <c r="F62" s="1" t="s">
        <v>3617</v>
      </c>
      <c r="G62" s="1" t="s">
        <v>36436</v>
      </c>
      <c r="H62" s="1"/>
      <c r="I62" s="1"/>
      <c r="J62" s="1"/>
      <c r="K62" s="1" t="s">
        <v>36549</v>
      </c>
      <c r="L62" s="1" t="s">
        <v>7</v>
      </c>
      <c r="M62" s="1" t="s">
        <v>10</v>
      </c>
      <c r="N62" s="1" t="s">
        <v>36368</v>
      </c>
      <c r="O62" s="1" t="s">
        <v>3617</v>
      </c>
      <c r="P62" s="1" t="s">
        <v>36550</v>
      </c>
      <c r="Q62" s="22">
        <v>0</v>
      </c>
    </row>
    <row x14ac:dyDescent="0.25" r="63" customHeight="1" ht="18.75">
      <c r="A63" s="1"/>
      <c r="B63" s="1" t="s">
        <v>36439</v>
      </c>
      <c r="C63" s="1" t="s">
        <v>7</v>
      </c>
      <c r="D63" s="1" t="s">
        <v>10</v>
      </c>
      <c r="E63" s="1" t="s">
        <v>36368</v>
      </c>
      <c r="F63" s="1" t="s">
        <v>3617</v>
      </c>
      <c r="G63" s="1" t="s">
        <v>36440</v>
      </c>
      <c r="H63" s="1"/>
      <c r="I63" s="1"/>
      <c r="J63" s="1"/>
      <c r="K63" s="1" t="s">
        <v>36551</v>
      </c>
      <c r="L63" s="1" t="s">
        <v>7</v>
      </c>
      <c r="M63" s="1" t="s">
        <v>10</v>
      </c>
      <c r="N63" s="1" t="s">
        <v>36368</v>
      </c>
      <c r="O63" s="1" t="s">
        <v>3617</v>
      </c>
      <c r="P63" s="1" t="s">
        <v>36552</v>
      </c>
      <c r="Q63" s="22">
        <v>0</v>
      </c>
    </row>
    <row x14ac:dyDescent="0.25" r="64" customHeight="1" ht="18.75">
      <c r="A64" s="1"/>
      <c r="B64" s="1" t="s">
        <v>36443</v>
      </c>
      <c r="C64" s="1" t="s">
        <v>7</v>
      </c>
      <c r="D64" s="1" t="s">
        <v>10</v>
      </c>
      <c r="E64" s="1" t="s">
        <v>36368</v>
      </c>
      <c r="F64" s="1" t="s">
        <v>3617</v>
      </c>
      <c r="G64" s="1" t="s">
        <v>36444</v>
      </c>
      <c r="H64" s="1"/>
      <c r="I64" s="1"/>
      <c r="J64" s="1"/>
      <c r="K64" s="1" t="s">
        <v>36553</v>
      </c>
      <c r="L64" s="1" t="s">
        <v>7</v>
      </c>
      <c r="M64" s="1" t="s">
        <v>10</v>
      </c>
      <c r="N64" s="1" t="s">
        <v>36368</v>
      </c>
      <c r="O64" s="1" t="s">
        <v>3617</v>
      </c>
      <c r="P64" s="1" t="s">
        <v>36554</v>
      </c>
      <c r="Q64" s="22">
        <v>0</v>
      </c>
    </row>
    <row x14ac:dyDescent="0.25" r="65" customHeight="1" ht="18.75">
      <c r="A65" s="1"/>
      <c r="B65" s="1" t="s">
        <v>36447</v>
      </c>
      <c r="C65" s="1" t="s">
        <v>7</v>
      </c>
      <c r="D65" s="1" t="s">
        <v>10</v>
      </c>
      <c r="E65" s="1" t="s">
        <v>36368</v>
      </c>
      <c r="F65" s="1" t="s">
        <v>3617</v>
      </c>
      <c r="G65" s="1" t="s">
        <v>36448</v>
      </c>
      <c r="H65" s="1"/>
      <c r="I65" s="1"/>
      <c r="J65" s="1"/>
      <c r="K65" s="1" t="s">
        <v>36555</v>
      </c>
      <c r="L65" s="1" t="s">
        <v>7</v>
      </c>
      <c r="M65" s="1" t="s">
        <v>10</v>
      </c>
      <c r="N65" s="1" t="s">
        <v>36368</v>
      </c>
      <c r="O65" s="1" t="s">
        <v>3617</v>
      </c>
      <c r="P65" s="1" t="s">
        <v>36556</v>
      </c>
      <c r="Q65" s="22">
        <v>0</v>
      </c>
    </row>
    <row x14ac:dyDescent="0.25" r="66" customHeight="1" ht="18.75">
      <c r="A66" s="1"/>
      <c r="B66" s="1" t="s">
        <v>36449</v>
      </c>
      <c r="C66" s="1" t="s">
        <v>7</v>
      </c>
      <c r="D66" s="1" t="s">
        <v>10</v>
      </c>
      <c r="E66" s="1" t="s">
        <v>36368</v>
      </c>
      <c r="F66" s="1" t="s">
        <v>3617</v>
      </c>
      <c r="G66" s="1" t="s">
        <v>36450</v>
      </c>
      <c r="H66" s="1"/>
      <c r="I66" s="1"/>
      <c r="J66" s="1"/>
      <c r="K66" s="1" t="s">
        <v>36557</v>
      </c>
      <c r="L66" s="1" t="s">
        <v>7</v>
      </c>
      <c r="M66" s="1" t="s">
        <v>10</v>
      </c>
      <c r="N66" s="1" t="s">
        <v>36368</v>
      </c>
      <c r="O66" s="1" t="s">
        <v>3598</v>
      </c>
      <c r="P66" s="1" t="s">
        <v>36558</v>
      </c>
      <c r="Q66" s="22">
        <v>0</v>
      </c>
    </row>
    <row x14ac:dyDescent="0.25" r="67" customHeight="1" ht="18.75">
      <c r="A67" s="1"/>
      <c r="B67" s="1" t="s">
        <v>36453</v>
      </c>
      <c r="C67" s="1" t="s">
        <v>7</v>
      </c>
      <c r="D67" s="1" t="s">
        <v>10</v>
      </c>
      <c r="E67" s="1" t="s">
        <v>36368</v>
      </c>
      <c r="F67" s="1" t="s">
        <v>3617</v>
      </c>
      <c r="G67" s="1" t="s">
        <v>36454</v>
      </c>
      <c r="H67" s="1"/>
      <c r="I67" s="1"/>
      <c r="J67" s="1"/>
      <c r="K67" s="1" t="s">
        <v>36559</v>
      </c>
      <c r="L67" s="1" t="s">
        <v>7</v>
      </c>
      <c r="M67" s="1" t="s">
        <v>10</v>
      </c>
      <c r="N67" s="1" t="s">
        <v>36368</v>
      </c>
      <c r="O67" s="1" t="s">
        <v>3598</v>
      </c>
      <c r="P67" s="1" t="s">
        <v>36560</v>
      </c>
      <c r="Q67" s="22">
        <v>0</v>
      </c>
    </row>
    <row x14ac:dyDescent="0.25" r="68" customHeight="1" ht="18.75">
      <c r="A68" s="1"/>
      <c r="B68" s="1" t="s">
        <v>36455</v>
      </c>
      <c r="C68" s="1" t="s">
        <v>7</v>
      </c>
      <c r="D68" s="1" t="s">
        <v>10</v>
      </c>
      <c r="E68" s="1" t="s">
        <v>36368</v>
      </c>
      <c r="F68" s="1" t="s">
        <v>3617</v>
      </c>
      <c r="G68" s="1" t="s">
        <v>36456</v>
      </c>
      <c r="H68" s="1"/>
      <c r="I68" s="1"/>
      <c r="J68" s="1"/>
      <c r="K68" s="1" t="s">
        <v>36561</v>
      </c>
      <c r="L68" s="1" t="s">
        <v>7</v>
      </c>
      <c r="M68" s="1" t="s">
        <v>10</v>
      </c>
      <c r="N68" s="1" t="s">
        <v>36368</v>
      </c>
      <c r="O68" s="1" t="s">
        <v>3598</v>
      </c>
      <c r="P68" s="1" t="s">
        <v>36562</v>
      </c>
      <c r="Q68" s="22">
        <v>0</v>
      </c>
    </row>
    <row x14ac:dyDescent="0.25" r="69" customHeight="1" ht="18.75">
      <c r="A69" s="1"/>
      <c r="B69" s="1" t="s">
        <v>36459</v>
      </c>
      <c r="C69" s="1" t="s">
        <v>7</v>
      </c>
      <c r="D69" s="1" t="s">
        <v>10</v>
      </c>
      <c r="E69" s="1" t="s">
        <v>36368</v>
      </c>
      <c r="F69" s="1" t="s">
        <v>3617</v>
      </c>
      <c r="G69" s="1" t="s">
        <v>36460</v>
      </c>
      <c r="H69" s="1"/>
      <c r="I69" s="1"/>
      <c r="J69" s="1"/>
      <c r="K69" s="1" t="s">
        <v>36563</v>
      </c>
      <c r="L69" s="1" t="s">
        <v>7</v>
      </c>
      <c r="M69" s="1" t="s">
        <v>10</v>
      </c>
      <c r="N69" s="1" t="s">
        <v>36368</v>
      </c>
      <c r="O69" s="1" t="s">
        <v>3693</v>
      </c>
      <c r="P69" s="1" t="s">
        <v>36564</v>
      </c>
      <c r="Q69" s="22">
        <v>0</v>
      </c>
    </row>
    <row x14ac:dyDescent="0.25" r="70" customHeight="1" ht="18.75">
      <c r="A70" s="1"/>
      <c r="B70" s="1" t="s">
        <v>36463</v>
      </c>
      <c r="C70" s="1" t="s">
        <v>7</v>
      </c>
      <c r="D70" s="1" t="s">
        <v>10</v>
      </c>
      <c r="E70" s="1" t="s">
        <v>36368</v>
      </c>
      <c r="F70" s="1" t="s">
        <v>3617</v>
      </c>
      <c r="G70" s="1" t="s">
        <v>36464</v>
      </c>
      <c r="H70" s="1"/>
      <c r="I70" s="1"/>
      <c r="J70" s="1"/>
      <c r="K70" s="1" t="s">
        <v>36565</v>
      </c>
      <c r="L70" s="1" t="s">
        <v>7</v>
      </c>
      <c r="M70" s="1" t="s">
        <v>10</v>
      </c>
      <c r="N70" s="1" t="s">
        <v>36368</v>
      </c>
      <c r="O70" s="1" t="s">
        <v>3693</v>
      </c>
      <c r="P70" s="1" t="s">
        <v>36566</v>
      </c>
      <c r="Q70" s="22">
        <v>0</v>
      </c>
    </row>
    <row x14ac:dyDescent="0.25" r="71" customHeight="1" ht="18.75">
      <c r="A71" s="1"/>
      <c r="B71" s="1" t="s">
        <v>36467</v>
      </c>
      <c r="C71" s="1" t="s">
        <v>7</v>
      </c>
      <c r="D71" s="1" t="s">
        <v>10</v>
      </c>
      <c r="E71" s="1" t="s">
        <v>36368</v>
      </c>
      <c r="F71" s="1" t="s">
        <v>3617</v>
      </c>
      <c r="G71" s="1" t="s">
        <v>36468</v>
      </c>
      <c r="H71" s="1"/>
      <c r="I71" s="1"/>
      <c r="J71" s="1"/>
      <c r="K71" s="1" t="s">
        <v>36567</v>
      </c>
      <c r="L71" s="1" t="s">
        <v>7</v>
      </c>
      <c r="M71" s="1" t="s">
        <v>10</v>
      </c>
      <c r="N71" s="1" t="s">
        <v>36368</v>
      </c>
      <c r="O71" s="1" t="s">
        <v>3617</v>
      </c>
      <c r="P71" s="1" t="s">
        <v>36568</v>
      </c>
      <c r="Q71" s="22">
        <v>0</v>
      </c>
    </row>
    <row x14ac:dyDescent="0.25" r="72" customHeight="1" ht="18.75">
      <c r="A72" s="1"/>
      <c r="B72" s="1" t="s">
        <v>36471</v>
      </c>
      <c r="C72" s="1" t="s">
        <v>7</v>
      </c>
      <c r="D72" s="1" t="s">
        <v>10</v>
      </c>
      <c r="E72" s="1" t="s">
        <v>36368</v>
      </c>
      <c r="F72" s="1" t="s">
        <v>3617</v>
      </c>
      <c r="G72" s="1" t="s">
        <v>36472</v>
      </c>
      <c r="H72" s="1"/>
      <c r="I72" s="1"/>
      <c r="J72" s="1"/>
      <c r="K72" s="1" t="s">
        <v>36569</v>
      </c>
      <c r="L72" s="1" t="s">
        <v>7</v>
      </c>
      <c r="M72" s="1" t="s">
        <v>10</v>
      </c>
      <c r="N72" s="1" t="s">
        <v>36368</v>
      </c>
      <c r="O72" s="1" t="s">
        <v>3617</v>
      </c>
      <c r="P72" s="1" t="s">
        <v>36570</v>
      </c>
      <c r="Q72" s="22">
        <v>0</v>
      </c>
    </row>
    <row x14ac:dyDescent="0.25" r="73" customHeight="1" ht="18.75">
      <c r="A73" s="1"/>
      <c r="B73" s="1" t="s">
        <v>36475</v>
      </c>
      <c r="C73" s="1" t="s">
        <v>7</v>
      </c>
      <c r="D73" s="1" t="s">
        <v>10</v>
      </c>
      <c r="E73" s="1" t="s">
        <v>36368</v>
      </c>
      <c r="F73" s="1" t="s">
        <v>3617</v>
      </c>
      <c r="G73" s="1" t="s">
        <v>36476</v>
      </c>
      <c r="H73" s="1"/>
      <c r="I73" s="1"/>
      <c r="J73" s="1"/>
      <c r="K73" s="1" t="s">
        <v>36571</v>
      </c>
      <c r="L73" s="1" t="s">
        <v>7</v>
      </c>
      <c r="M73" s="1" t="s">
        <v>10</v>
      </c>
      <c r="N73" s="1" t="s">
        <v>36368</v>
      </c>
      <c r="O73" s="1" t="s">
        <v>3617</v>
      </c>
      <c r="P73" s="1" t="s">
        <v>36572</v>
      </c>
      <c r="Q73" s="22">
        <v>0</v>
      </c>
    </row>
    <row x14ac:dyDescent="0.25" r="74" customHeight="1" ht="18.75">
      <c r="A74" s="1"/>
      <c r="B74" s="1" t="s">
        <v>36573</v>
      </c>
      <c r="C74" s="1" t="s">
        <v>7</v>
      </c>
      <c r="D74" s="1" t="s">
        <v>10</v>
      </c>
      <c r="E74" s="1" t="s">
        <v>36395</v>
      </c>
      <c r="F74" s="1" t="s">
        <v>3617</v>
      </c>
      <c r="G74" s="1" t="s">
        <v>36574</v>
      </c>
      <c r="H74" s="1"/>
      <c r="I74" s="1"/>
      <c r="J74" s="1"/>
      <c r="K74" s="1" t="s">
        <v>36575</v>
      </c>
      <c r="L74" s="1" t="s">
        <v>7</v>
      </c>
      <c r="M74" s="1" t="s">
        <v>10</v>
      </c>
      <c r="N74" s="1" t="s">
        <v>36368</v>
      </c>
      <c r="O74" s="1" t="s">
        <v>3598</v>
      </c>
      <c r="P74" s="1" t="s">
        <v>36576</v>
      </c>
      <c r="Q74" s="22">
        <v>0</v>
      </c>
    </row>
    <row x14ac:dyDescent="0.25" r="75" customHeight="1" ht="18.75">
      <c r="A75" s="1"/>
      <c r="B75" s="1" t="s">
        <v>36577</v>
      </c>
      <c r="C75" s="1" t="s">
        <v>7</v>
      </c>
      <c r="D75" s="1" t="s">
        <v>10</v>
      </c>
      <c r="E75" s="1" t="s">
        <v>36395</v>
      </c>
      <c r="F75" s="1" t="s">
        <v>3617</v>
      </c>
      <c r="G75" s="1" t="s">
        <v>36578</v>
      </c>
      <c r="H75" s="1"/>
      <c r="I75" s="1"/>
      <c r="J75" s="1"/>
      <c r="K75" s="1" t="s">
        <v>36579</v>
      </c>
      <c r="L75" s="1" t="s">
        <v>7</v>
      </c>
      <c r="M75" s="1" t="s">
        <v>10</v>
      </c>
      <c r="N75" s="1" t="s">
        <v>36368</v>
      </c>
      <c r="O75" s="1" t="s">
        <v>3598</v>
      </c>
      <c r="P75" s="1" t="s">
        <v>36580</v>
      </c>
      <c r="Q75" s="22">
        <v>0</v>
      </c>
    </row>
    <row x14ac:dyDescent="0.25" r="76" customHeight="1" ht="18.75">
      <c r="A76" s="1"/>
      <c r="B76" s="1" t="s">
        <v>36581</v>
      </c>
      <c r="C76" s="1" t="s">
        <v>7</v>
      </c>
      <c r="D76" s="1" t="s">
        <v>10</v>
      </c>
      <c r="E76" s="1" t="s">
        <v>36395</v>
      </c>
      <c r="F76" s="1" t="s">
        <v>3617</v>
      </c>
      <c r="G76" s="1" t="s">
        <v>36582</v>
      </c>
      <c r="H76" s="1"/>
      <c r="I76" s="1"/>
      <c r="J76" s="1"/>
      <c r="K76" s="1" t="s">
        <v>36583</v>
      </c>
      <c r="L76" s="1" t="s">
        <v>7</v>
      </c>
      <c r="M76" s="1" t="s">
        <v>10</v>
      </c>
      <c r="N76" s="1" t="s">
        <v>36368</v>
      </c>
      <c r="O76" s="1" t="s">
        <v>3617</v>
      </c>
      <c r="P76" s="1" t="s">
        <v>36584</v>
      </c>
      <c r="Q76" s="22">
        <v>0</v>
      </c>
    </row>
    <row x14ac:dyDescent="0.25" r="77" customHeight="1" ht="18.75">
      <c r="A77" s="1"/>
      <c r="B77" s="1" t="s">
        <v>36585</v>
      </c>
      <c r="C77" s="1" t="s">
        <v>7</v>
      </c>
      <c r="D77" s="1" t="s">
        <v>10</v>
      </c>
      <c r="E77" s="1" t="s">
        <v>36395</v>
      </c>
      <c r="F77" s="1" t="s">
        <v>3617</v>
      </c>
      <c r="G77" s="1" t="s">
        <v>36586</v>
      </c>
      <c r="H77" s="1"/>
      <c r="I77" s="1"/>
      <c r="J77" s="1"/>
      <c r="K77" s="1" t="s">
        <v>36587</v>
      </c>
      <c r="L77" s="1" t="s">
        <v>7</v>
      </c>
      <c r="M77" s="1" t="s">
        <v>10</v>
      </c>
      <c r="N77" s="1" t="s">
        <v>36368</v>
      </c>
      <c r="O77" s="1" t="s">
        <v>3598</v>
      </c>
      <c r="P77" s="1" t="s">
        <v>36588</v>
      </c>
      <c r="Q77" s="22">
        <v>0</v>
      </c>
    </row>
    <row x14ac:dyDescent="0.25" r="78" customHeight="1" ht="18.75">
      <c r="A78" s="1"/>
      <c r="B78" s="1" t="s">
        <v>36479</v>
      </c>
      <c r="C78" s="1" t="s">
        <v>7</v>
      </c>
      <c r="D78" s="1" t="s">
        <v>10</v>
      </c>
      <c r="E78" s="1" t="s">
        <v>36368</v>
      </c>
      <c r="F78" s="1" t="s">
        <v>3598</v>
      </c>
      <c r="G78" s="1" t="s">
        <v>36480</v>
      </c>
      <c r="H78" s="1"/>
      <c r="I78" s="1"/>
      <c r="J78" s="1"/>
      <c r="K78" s="1" t="s">
        <v>36589</v>
      </c>
      <c r="L78" s="1" t="s">
        <v>7</v>
      </c>
      <c r="M78" s="1" t="s">
        <v>10</v>
      </c>
      <c r="N78" s="1" t="s">
        <v>36368</v>
      </c>
      <c r="O78" s="1" t="s">
        <v>3598</v>
      </c>
      <c r="P78" s="1" t="s">
        <v>36590</v>
      </c>
      <c r="Q78" s="22">
        <v>0</v>
      </c>
    </row>
    <row x14ac:dyDescent="0.25" r="79" customHeight="1" ht="18.75">
      <c r="A79" s="1"/>
      <c r="B79" s="1" t="s">
        <v>36591</v>
      </c>
      <c r="C79" s="1" t="s">
        <v>7</v>
      </c>
      <c r="D79" s="1" t="s">
        <v>10</v>
      </c>
      <c r="E79" s="1" t="s">
        <v>36395</v>
      </c>
      <c r="F79" s="1" t="s">
        <v>3693</v>
      </c>
      <c r="G79" s="1" t="s">
        <v>36592</v>
      </c>
      <c r="H79" s="1"/>
      <c r="I79" s="1"/>
      <c r="J79" s="1"/>
      <c r="K79" s="1" t="s">
        <v>36593</v>
      </c>
      <c r="L79" s="1" t="s">
        <v>7</v>
      </c>
      <c r="M79" s="1" t="s">
        <v>10</v>
      </c>
      <c r="N79" s="1" t="s">
        <v>36368</v>
      </c>
      <c r="O79" s="1" t="s">
        <v>3693</v>
      </c>
      <c r="P79" s="1" t="s">
        <v>36594</v>
      </c>
      <c r="Q79" s="22">
        <v>0</v>
      </c>
    </row>
    <row x14ac:dyDescent="0.25" r="80" customHeight="1" ht="18.75">
      <c r="A80" s="1"/>
      <c r="B80" s="1" t="s">
        <v>36595</v>
      </c>
      <c r="C80" s="1" t="s">
        <v>7</v>
      </c>
      <c r="D80" s="1" t="s">
        <v>10</v>
      </c>
      <c r="E80" s="1" t="s">
        <v>36395</v>
      </c>
      <c r="F80" s="1" t="s">
        <v>3693</v>
      </c>
      <c r="G80" s="1" t="s">
        <v>36596</v>
      </c>
      <c r="H80" s="1"/>
      <c r="I80" s="1"/>
      <c r="J80" s="1"/>
      <c r="K80" s="1" t="s">
        <v>36597</v>
      </c>
      <c r="L80" s="1" t="s">
        <v>7</v>
      </c>
      <c r="M80" s="1" t="s">
        <v>10</v>
      </c>
      <c r="N80" s="1" t="s">
        <v>36368</v>
      </c>
      <c r="O80" s="1" t="s">
        <v>3693</v>
      </c>
      <c r="P80" s="1" t="s">
        <v>36598</v>
      </c>
      <c r="Q80" s="22">
        <v>0</v>
      </c>
    </row>
    <row x14ac:dyDescent="0.25" r="81" customHeight="1" ht="18.75">
      <c r="A81" s="1"/>
      <c r="B81" s="1" t="s">
        <v>36599</v>
      </c>
      <c r="C81" s="1" t="s">
        <v>7</v>
      </c>
      <c r="D81" s="1" t="s">
        <v>10</v>
      </c>
      <c r="E81" s="1" t="s">
        <v>36395</v>
      </c>
      <c r="F81" s="1" t="s">
        <v>3693</v>
      </c>
      <c r="G81" s="1" t="s">
        <v>36600</v>
      </c>
      <c r="H81" s="1"/>
      <c r="I81" s="1"/>
      <c r="J81" s="1"/>
      <c r="K81" s="1" t="s">
        <v>36601</v>
      </c>
      <c r="L81" s="1" t="s">
        <v>7</v>
      </c>
      <c r="M81" s="1" t="s">
        <v>10</v>
      </c>
      <c r="N81" s="1" t="s">
        <v>36368</v>
      </c>
      <c r="O81" s="1" t="s">
        <v>3617</v>
      </c>
      <c r="P81" s="1" t="s">
        <v>36602</v>
      </c>
      <c r="Q81" s="22">
        <v>0</v>
      </c>
    </row>
    <row x14ac:dyDescent="0.25" r="82" customHeight="1" ht="18.75">
      <c r="A82" s="1"/>
      <c r="B82" s="1" t="s">
        <v>36603</v>
      </c>
      <c r="C82" s="1" t="s">
        <v>7</v>
      </c>
      <c r="D82" s="1" t="s">
        <v>10</v>
      </c>
      <c r="E82" s="1" t="s">
        <v>36395</v>
      </c>
      <c r="F82" s="1" t="s">
        <v>3693</v>
      </c>
      <c r="G82" s="1" t="s">
        <v>36604</v>
      </c>
      <c r="H82" s="1"/>
      <c r="I82" s="1"/>
      <c r="J82" s="1"/>
      <c r="K82" s="1" t="s">
        <v>36605</v>
      </c>
      <c r="L82" s="1" t="s">
        <v>7</v>
      </c>
      <c r="M82" s="1" t="s">
        <v>10</v>
      </c>
      <c r="N82" s="1" t="s">
        <v>36368</v>
      </c>
      <c r="O82" s="1" t="s">
        <v>3617</v>
      </c>
      <c r="P82" s="1" t="s">
        <v>36606</v>
      </c>
      <c r="Q82" s="22">
        <v>0</v>
      </c>
    </row>
    <row x14ac:dyDescent="0.25" r="83" customHeight="1" ht="18.75">
      <c r="A83" s="1"/>
      <c r="B83" s="1" t="s">
        <v>36607</v>
      </c>
      <c r="C83" s="1" t="s">
        <v>7</v>
      </c>
      <c r="D83" s="1" t="s">
        <v>10</v>
      </c>
      <c r="E83" s="1" t="s">
        <v>36395</v>
      </c>
      <c r="F83" s="1" t="s">
        <v>3693</v>
      </c>
      <c r="G83" s="1" t="s">
        <v>36608</v>
      </c>
      <c r="H83" s="1"/>
      <c r="I83" s="1"/>
      <c r="J83" s="1"/>
      <c r="K83" s="1" t="s">
        <v>36609</v>
      </c>
      <c r="L83" s="1" t="s">
        <v>7</v>
      </c>
      <c r="M83" s="1" t="s">
        <v>10</v>
      </c>
      <c r="N83" s="1" t="s">
        <v>36368</v>
      </c>
      <c r="O83" s="1" t="s">
        <v>3617</v>
      </c>
      <c r="P83" s="1" t="s">
        <v>36610</v>
      </c>
      <c r="Q83" s="22">
        <v>0</v>
      </c>
    </row>
    <row x14ac:dyDescent="0.25" r="84" customHeight="1" ht="18.75">
      <c r="A84" s="1"/>
      <c r="B84" s="1" t="s">
        <v>36611</v>
      </c>
      <c r="C84" s="1" t="s">
        <v>7</v>
      </c>
      <c r="D84" s="1" t="s">
        <v>10</v>
      </c>
      <c r="E84" s="1" t="s">
        <v>36395</v>
      </c>
      <c r="F84" s="1" t="s">
        <v>3598</v>
      </c>
      <c r="G84" s="1" t="s">
        <v>36612</v>
      </c>
      <c r="H84" s="1"/>
      <c r="I84" s="1"/>
      <c r="J84" s="1"/>
      <c r="K84" s="1" t="s">
        <v>36613</v>
      </c>
      <c r="L84" s="1" t="s">
        <v>7</v>
      </c>
      <c r="M84" s="1" t="s">
        <v>10</v>
      </c>
      <c r="N84" s="1" t="s">
        <v>36368</v>
      </c>
      <c r="O84" s="1" t="s">
        <v>3598</v>
      </c>
      <c r="P84" s="1" t="s">
        <v>36614</v>
      </c>
      <c r="Q84" s="22">
        <v>0</v>
      </c>
    </row>
    <row x14ac:dyDescent="0.25" r="85" customHeight="1" ht="18.75">
      <c r="A85" s="1"/>
      <c r="B85" s="1" t="s">
        <v>36483</v>
      </c>
      <c r="C85" s="1" t="s">
        <v>7</v>
      </c>
      <c r="D85" s="1" t="s">
        <v>10</v>
      </c>
      <c r="E85" s="1" t="s">
        <v>36368</v>
      </c>
      <c r="F85" s="1" t="s">
        <v>3598</v>
      </c>
      <c r="G85" s="1" t="s">
        <v>36484</v>
      </c>
      <c r="H85" s="1"/>
      <c r="I85" s="1"/>
      <c r="J85" s="1"/>
      <c r="K85" s="1" t="s">
        <v>36615</v>
      </c>
      <c r="L85" s="1" t="s">
        <v>7</v>
      </c>
      <c r="M85" s="1" t="s">
        <v>10</v>
      </c>
      <c r="N85" s="1" t="s">
        <v>36368</v>
      </c>
      <c r="O85" s="1" t="s">
        <v>3598</v>
      </c>
      <c r="P85" s="1" t="s">
        <v>36616</v>
      </c>
      <c r="Q85" s="22">
        <v>0</v>
      </c>
    </row>
    <row x14ac:dyDescent="0.25" r="86" customHeight="1" ht="18.75">
      <c r="A86" s="1"/>
      <c r="B86" s="1" t="s">
        <v>36487</v>
      </c>
      <c r="C86" s="1" t="s">
        <v>7</v>
      </c>
      <c r="D86" s="1" t="s">
        <v>10</v>
      </c>
      <c r="E86" s="1" t="s">
        <v>36368</v>
      </c>
      <c r="F86" s="1" t="s">
        <v>3598</v>
      </c>
      <c r="G86" s="1" t="s">
        <v>36488</v>
      </c>
      <c r="H86" s="1"/>
      <c r="I86" s="1"/>
      <c r="J86" s="1"/>
      <c r="K86" s="1" t="s">
        <v>36617</v>
      </c>
      <c r="L86" s="1" t="s">
        <v>7</v>
      </c>
      <c r="M86" s="1" t="s">
        <v>10</v>
      </c>
      <c r="N86" s="1" t="s">
        <v>36368</v>
      </c>
      <c r="O86" s="1" t="s">
        <v>3598</v>
      </c>
      <c r="P86" s="1" t="s">
        <v>36618</v>
      </c>
      <c r="Q86" s="22">
        <v>0</v>
      </c>
    </row>
    <row x14ac:dyDescent="0.25" r="87" customHeight="1" ht="18.75">
      <c r="A87" s="1"/>
      <c r="B87" s="1" t="s">
        <v>36491</v>
      </c>
      <c r="C87" s="1" t="s">
        <v>7</v>
      </c>
      <c r="D87" s="1" t="s">
        <v>10</v>
      </c>
      <c r="E87" s="1" t="s">
        <v>36368</v>
      </c>
      <c r="F87" s="1" t="s">
        <v>3598</v>
      </c>
      <c r="G87" s="1" t="s">
        <v>36492</v>
      </c>
      <c r="H87" s="1"/>
      <c r="I87" s="1"/>
      <c r="J87" s="1"/>
      <c r="K87" s="1" t="s">
        <v>36619</v>
      </c>
      <c r="L87" s="1" t="s">
        <v>7</v>
      </c>
      <c r="M87" s="1" t="s">
        <v>10</v>
      </c>
      <c r="N87" s="1" t="s">
        <v>36368</v>
      </c>
      <c r="O87" s="1" t="s">
        <v>3598</v>
      </c>
      <c r="P87" s="1" t="s">
        <v>36620</v>
      </c>
      <c r="Q87" s="22">
        <v>0</v>
      </c>
    </row>
    <row x14ac:dyDescent="0.25" r="88" customHeight="1" ht="18.75">
      <c r="A88" s="1"/>
      <c r="B88" s="1" t="s">
        <v>36495</v>
      </c>
      <c r="C88" s="1" t="s">
        <v>7</v>
      </c>
      <c r="D88" s="1" t="s">
        <v>10</v>
      </c>
      <c r="E88" s="1" t="s">
        <v>36368</v>
      </c>
      <c r="F88" s="1" t="s">
        <v>3598</v>
      </c>
      <c r="G88" s="1" t="s">
        <v>36496</v>
      </c>
      <c r="H88" s="1"/>
      <c r="I88" s="1"/>
      <c r="J88" s="1"/>
      <c r="K88" s="1" t="s">
        <v>36621</v>
      </c>
      <c r="L88" s="1" t="s">
        <v>7</v>
      </c>
      <c r="M88" s="1" t="s">
        <v>10</v>
      </c>
      <c r="N88" s="1" t="s">
        <v>36368</v>
      </c>
      <c r="O88" s="1" t="s">
        <v>3617</v>
      </c>
      <c r="P88" s="1" t="s">
        <v>36622</v>
      </c>
      <c r="Q88" s="22">
        <v>0</v>
      </c>
    </row>
    <row x14ac:dyDescent="0.25" r="89" customHeight="1" ht="18.75">
      <c r="A89" s="1"/>
      <c r="B89" s="1" t="s">
        <v>36499</v>
      </c>
      <c r="C89" s="1" t="s">
        <v>7</v>
      </c>
      <c r="D89" s="1" t="s">
        <v>10</v>
      </c>
      <c r="E89" s="1" t="s">
        <v>36368</v>
      </c>
      <c r="F89" s="1" t="s">
        <v>3693</v>
      </c>
      <c r="G89" s="1" t="s">
        <v>36500</v>
      </c>
      <c r="H89" s="1"/>
      <c r="I89" s="1"/>
      <c r="J89" s="1"/>
      <c r="K89" s="1" t="s">
        <v>36623</v>
      </c>
      <c r="L89" s="1" t="s">
        <v>7</v>
      </c>
      <c r="M89" s="1" t="s">
        <v>10</v>
      </c>
      <c r="N89" s="1" t="s">
        <v>36368</v>
      </c>
      <c r="O89" s="1" t="s">
        <v>3617</v>
      </c>
      <c r="P89" s="1" t="s">
        <v>36624</v>
      </c>
      <c r="Q89" s="22">
        <v>0</v>
      </c>
    </row>
    <row x14ac:dyDescent="0.25" r="90" customHeight="1" ht="18.75">
      <c r="A90" s="1"/>
      <c r="B90" s="1" t="s">
        <v>36503</v>
      </c>
      <c r="C90" s="1" t="s">
        <v>7</v>
      </c>
      <c r="D90" s="1" t="s">
        <v>10</v>
      </c>
      <c r="E90" s="1" t="s">
        <v>36368</v>
      </c>
      <c r="F90" s="1" t="s">
        <v>3598</v>
      </c>
      <c r="G90" s="1" t="s">
        <v>36504</v>
      </c>
      <c r="H90" s="1"/>
      <c r="I90" s="1"/>
      <c r="J90" s="1"/>
      <c r="K90" s="1" t="s">
        <v>36625</v>
      </c>
      <c r="L90" s="1" t="s">
        <v>7</v>
      </c>
      <c r="M90" s="1" t="s">
        <v>10</v>
      </c>
      <c r="N90" s="1" t="s">
        <v>36368</v>
      </c>
      <c r="O90" s="1" t="s">
        <v>3617</v>
      </c>
      <c r="P90" s="1" t="s">
        <v>36626</v>
      </c>
      <c r="Q90" s="22">
        <v>0</v>
      </c>
    </row>
    <row x14ac:dyDescent="0.25" r="91" customHeight="1" ht="18.75">
      <c r="A91" s="1"/>
      <c r="B91" s="1" t="s">
        <v>36627</v>
      </c>
      <c r="C91" s="1" t="s">
        <v>7</v>
      </c>
      <c r="D91" s="1" t="s">
        <v>10</v>
      </c>
      <c r="E91" s="1" t="s">
        <v>36395</v>
      </c>
      <c r="F91" s="1" t="s">
        <v>3598</v>
      </c>
      <c r="G91" s="1" t="s">
        <v>36628</v>
      </c>
      <c r="H91" s="1"/>
      <c r="I91" s="1"/>
      <c r="J91" s="1"/>
      <c r="K91" s="1" t="s">
        <v>36629</v>
      </c>
      <c r="L91" s="1" t="s">
        <v>7</v>
      </c>
      <c r="M91" s="1" t="s">
        <v>10</v>
      </c>
      <c r="N91" s="1" t="s">
        <v>36368</v>
      </c>
      <c r="O91" s="1" t="s">
        <v>3617</v>
      </c>
      <c r="P91" s="1" t="s">
        <v>36630</v>
      </c>
      <c r="Q91" s="22">
        <v>0</v>
      </c>
    </row>
    <row x14ac:dyDescent="0.25" r="92" customHeight="1" ht="18.75">
      <c r="A92" s="1"/>
      <c r="B92" s="1" t="s">
        <v>36631</v>
      </c>
      <c r="C92" s="1" t="s">
        <v>7</v>
      </c>
      <c r="D92" s="1" t="s">
        <v>10</v>
      </c>
      <c r="E92" s="1" t="s">
        <v>36395</v>
      </c>
      <c r="F92" s="1" t="s">
        <v>3598</v>
      </c>
      <c r="G92" s="1" t="s">
        <v>36632</v>
      </c>
      <c r="H92" s="1"/>
      <c r="I92" s="1"/>
      <c r="J92" s="1"/>
      <c r="K92" s="1" t="s">
        <v>36633</v>
      </c>
      <c r="L92" s="1" t="s">
        <v>7</v>
      </c>
      <c r="M92" s="1" t="s">
        <v>10</v>
      </c>
      <c r="N92" s="1" t="s">
        <v>36368</v>
      </c>
      <c r="O92" s="1" t="s">
        <v>3598</v>
      </c>
      <c r="P92" s="1" t="s">
        <v>36634</v>
      </c>
      <c r="Q92" s="22">
        <v>0</v>
      </c>
    </row>
    <row x14ac:dyDescent="0.25" r="93" customHeight="1" ht="18.75">
      <c r="A93" s="1"/>
      <c r="B93" s="1" t="s">
        <v>36507</v>
      </c>
      <c r="C93" s="1" t="s">
        <v>7</v>
      </c>
      <c r="D93" s="1" t="s">
        <v>10</v>
      </c>
      <c r="E93" s="1" t="s">
        <v>36368</v>
      </c>
      <c r="F93" s="1" t="s">
        <v>3598</v>
      </c>
      <c r="G93" s="1" t="s">
        <v>36508</v>
      </c>
      <c r="H93" s="1"/>
      <c r="I93" s="1"/>
      <c r="J93" s="1"/>
      <c r="K93" s="1" t="s">
        <v>36635</v>
      </c>
      <c r="L93" s="1" t="s">
        <v>7</v>
      </c>
      <c r="M93" s="1" t="s">
        <v>10</v>
      </c>
      <c r="N93" s="1" t="s">
        <v>36368</v>
      </c>
      <c r="O93" s="1" t="s">
        <v>3617</v>
      </c>
      <c r="P93" s="1" t="s">
        <v>36636</v>
      </c>
      <c r="Q93" s="22">
        <v>0</v>
      </c>
    </row>
    <row x14ac:dyDescent="0.25" r="94" customHeight="1" ht="18.75">
      <c r="A94" s="1"/>
      <c r="B94" s="1" t="s">
        <v>36511</v>
      </c>
      <c r="C94" s="1" t="s">
        <v>7</v>
      </c>
      <c r="D94" s="1" t="s">
        <v>10</v>
      </c>
      <c r="E94" s="1" t="s">
        <v>36368</v>
      </c>
      <c r="F94" s="1" t="s">
        <v>3598</v>
      </c>
      <c r="G94" s="1" t="s">
        <v>36512</v>
      </c>
      <c r="H94" s="1"/>
      <c r="I94" s="1"/>
      <c r="J94" s="1"/>
      <c r="K94" s="1" t="s">
        <v>36637</v>
      </c>
      <c r="L94" s="1" t="s">
        <v>7</v>
      </c>
      <c r="M94" s="1" t="s">
        <v>10</v>
      </c>
      <c r="N94" s="1" t="s">
        <v>36368</v>
      </c>
      <c r="O94" s="1" t="s">
        <v>3598</v>
      </c>
      <c r="P94" s="1" t="s">
        <v>36638</v>
      </c>
      <c r="Q94" s="22">
        <v>0</v>
      </c>
    </row>
    <row x14ac:dyDescent="0.25" r="95" customHeight="1" ht="18.75">
      <c r="A95" s="1"/>
      <c r="B95" s="1" t="s">
        <v>36515</v>
      </c>
      <c r="C95" s="1" t="s">
        <v>7</v>
      </c>
      <c r="D95" s="1" t="s">
        <v>10</v>
      </c>
      <c r="E95" s="1" t="s">
        <v>36368</v>
      </c>
      <c r="F95" s="1" t="s">
        <v>3598</v>
      </c>
      <c r="G95" s="1" t="s">
        <v>36516</v>
      </c>
      <c r="H95" s="1"/>
      <c r="I95" s="1"/>
      <c r="J95" s="1"/>
      <c r="K95" s="1" t="s">
        <v>36639</v>
      </c>
      <c r="L95" s="1" t="s">
        <v>7</v>
      </c>
      <c r="M95" s="1" t="s">
        <v>10</v>
      </c>
      <c r="N95" s="1" t="s">
        <v>36368</v>
      </c>
      <c r="O95" s="1" t="s">
        <v>3598</v>
      </c>
      <c r="P95" s="1" t="s">
        <v>36640</v>
      </c>
      <c r="Q95" s="22">
        <v>0</v>
      </c>
    </row>
    <row x14ac:dyDescent="0.25" r="96" customHeight="1" ht="18.75">
      <c r="A96" s="1"/>
      <c r="B96" s="1" t="s">
        <v>36641</v>
      </c>
      <c r="C96" s="1" t="s">
        <v>7</v>
      </c>
      <c r="D96" s="1" t="s">
        <v>10</v>
      </c>
      <c r="E96" s="1" t="s">
        <v>36395</v>
      </c>
      <c r="F96" s="1" t="s">
        <v>7833</v>
      </c>
      <c r="G96" s="1" t="s">
        <v>36642</v>
      </c>
      <c r="H96" s="1"/>
      <c r="I96" s="1"/>
      <c r="J96" s="1"/>
      <c r="K96" s="1" t="s">
        <v>36643</v>
      </c>
      <c r="L96" s="1" t="s">
        <v>7</v>
      </c>
      <c r="M96" s="1" t="s">
        <v>10</v>
      </c>
      <c r="N96" s="1" t="s">
        <v>36368</v>
      </c>
      <c r="O96" s="1" t="s">
        <v>3598</v>
      </c>
      <c r="P96" s="1" t="s">
        <v>36644</v>
      </c>
      <c r="Q96" s="22">
        <v>0</v>
      </c>
    </row>
    <row x14ac:dyDescent="0.25" r="97" customHeight="1" ht="18.75">
      <c r="A97" s="1"/>
      <c r="B97" s="1" t="s">
        <v>36519</v>
      </c>
      <c r="C97" s="1" t="s">
        <v>7</v>
      </c>
      <c r="D97" s="1" t="s">
        <v>10</v>
      </c>
      <c r="E97" s="1" t="s">
        <v>36368</v>
      </c>
      <c r="F97" s="1" t="s">
        <v>3617</v>
      </c>
      <c r="G97" s="1" t="s">
        <v>36520</v>
      </c>
      <c r="H97" s="1"/>
      <c r="I97" s="1"/>
      <c r="J97" s="1"/>
      <c r="K97" s="1" t="s">
        <v>36645</v>
      </c>
      <c r="L97" s="1" t="s">
        <v>7</v>
      </c>
      <c r="M97" s="1" t="s">
        <v>10</v>
      </c>
      <c r="N97" s="1" t="s">
        <v>36368</v>
      </c>
      <c r="O97" s="1" t="s">
        <v>3598</v>
      </c>
      <c r="P97" s="1" t="s">
        <v>36646</v>
      </c>
      <c r="Q97" s="22">
        <v>0</v>
      </c>
    </row>
    <row x14ac:dyDescent="0.25" r="98" customHeight="1" ht="18.75">
      <c r="A98" s="1"/>
      <c r="B98" s="1" t="s">
        <v>36523</v>
      </c>
      <c r="C98" s="1" t="s">
        <v>7</v>
      </c>
      <c r="D98" s="1" t="s">
        <v>10</v>
      </c>
      <c r="E98" s="1" t="s">
        <v>36368</v>
      </c>
      <c r="F98" s="1" t="s">
        <v>7833</v>
      </c>
      <c r="G98" s="1" t="s">
        <v>36524</v>
      </c>
      <c r="H98" s="1"/>
      <c r="I98" s="1"/>
      <c r="J98" s="1"/>
      <c r="K98" s="1" t="s">
        <v>36647</v>
      </c>
      <c r="L98" s="1" t="s">
        <v>7</v>
      </c>
      <c r="M98" s="1" t="s">
        <v>10</v>
      </c>
      <c r="N98" s="1" t="s">
        <v>36368</v>
      </c>
      <c r="O98" s="1" t="s">
        <v>3598</v>
      </c>
      <c r="P98" s="1" t="s">
        <v>36648</v>
      </c>
      <c r="Q98" s="22">
        <v>0</v>
      </c>
    </row>
    <row x14ac:dyDescent="0.25" r="99" customHeight="1" ht="18.75">
      <c r="A99" s="1"/>
      <c r="B99" s="1" t="s">
        <v>36649</v>
      </c>
      <c r="C99" s="1" t="s">
        <v>7</v>
      </c>
      <c r="D99" s="1" t="s">
        <v>10</v>
      </c>
      <c r="E99" s="1" t="s">
        <v>36395</v>
      </c>
      <c r="F99" s="1" t="s">
        <v>3617</v>
      </c>
      <c r="G99" s="1" t="s">
        <v>36650</v>
      </c>
      <c r="H99" s="1"/>
      <c r="I99" s="1"/>
      <c r="J99" s="1"/>
      <c r="K99" s="1" t="s">
        <v>36651</v>
      </c>
      <c r="L99" s="1" t="s">
        <v>7</v>
      </c>
      <c r="M99" s="1" t="s">
        <v>10</v>
      </c>
      <c r="N99" s="1" t="s">
        <v>36368</v>
      </c>
      <c r="O99" s="1" t="s">
        <v>3598</v>
      </c>
      <c r="P99" s="1" t="s">
        <v>36652</v>
      </c>
      <c r="Q99" s="22">
        <v>0</v>
      </c>
    </row>
    <row x14ac:dyDescent="0.25" r="100" customHeight="1" ht="18.75">
      <c r="A100" s="1"/>
      <c r="B100" s="1" t="s">
        <v>36527</v>
      </c>
      <c r="C100" s="1" t="s">
        <v>7</v>
      </c>
      <c r="D100" s="1" t="s">
        <v>10</v>
      </c>
      <c r="E100" s="1" t="s">
        <v>36368</v>
      </c>
      <c r="F100" s="1" t="s">
        <v>3598</v>
      </c>
      <c r="G100" s="1" t="s">
        <v>36528</v>
      </c>
      <c r="H100" s="1"/>
      <c r="I100" s="1"/>
      <c r="J100" s="1"/>
      <c r="K100" s="1" t="s">
        <v>36653</v>
      </c>
      <c r="L100" s="1" t="s">
        <v>7</v>
      </c>
      <c r="M100" s="1" t="s">
        <v>10</v>
      </c>
      <c r="N100" s="1" t="s">
        <v>36368</v>
      </c>
      <c r="O100" s="1" t="s">
        <v>3693</v>
      </c>
      <c r="P100" s="1" t="s">
        <v>36654</v>
      </c>
      <c r="Q100" s="22">
        <v>0</v>
      </c>
    </row>
    <row x14ac:dyDescent="0.25" r="101" customHeight="1" ht="18.75">
      <c r="A101" s="1"/>
      <c r="B101" s="1" t="s">
        <v>36531</v>
      </c>
      <c r="C101" s="1" t="s">
        <v>7</v>
      </c>
      <c r="D101" s="1" t="s">
        <v>10</v>
      </c>
      <c r="E101" s="1" t="s">
        <v>36368</v>
      </c>
      <c r="F101" s="1" t="s">
        <v>3598</v>
      </c>
      <c r="G101" s="1" t="s">
        <v>36532</v>
      </c>
      <c r="H101" s="1"/>
      <c r="I101" s="1"/>
      <c r="J101" s="1"/>
      <c r="K101" s="1" t="s">
        <v>36655</v>
      </c>
      <c r="L101" s="1" t="s">
        <v>7</v>
      </c>
      <c r="M101" s="1" t="s">
        <v>10</v>
      </c>
      <c r="N101" s="1" t="s">
        <v>36368</v>
      </c>
      <c r="O101" s="1" t="s">
        <v>3598</v>
      </c>
      <c r="P101" s="1" t="s">
        <v>36656</v>
      </c>
      <c r="Q101" s="22">
        <v>0</v>
      </c>
    </row>
    <row x14ac:dyDescent="0.25" r="102" customHeight="1" ht="18.75">
      <c r="A102" s="1"/>
      <c r="B102" s="1" t="s">
        <v>36535</v>
      </c>
      <c r="C102" s="1" t="s">
        <v>7</v>
      </c>
      <c r="D102" s="1" t="s">
        <v>10</v>
      </c>
      <c r="E102" s="1" t="s">
        <v>36368</v>
      </c>
      <c r="F102" s="1" t="s">
        <v>3617</v>
      </c>
      <c r="G102" s="1" t="s">
        <v>36536</v>
      </c>
      <c r="H102" s="1"/>
      <c r="I102" s="1"/>
      <c r="J102" s="1"/>
      <c r="K102" s="1" t="s">
        <v>36657</v>
      </c>
      <c r="L102" s="1" t="s">
        <v>7</v>
      </c>
      <c r="M102" s="1" t="s">
        <v>10</v>
      </c>
      <c r="N102" s="1" t="s">
        <v>36368</v>
      </c>
      <c r="O102" s="1" t="s">
        <v>3598</v>
      </c>
      <c r="P102" s="1" t="s">
        <v>36658</v>
      </c>
      <c r="Q102" s="22">
        <v>0</v>
      </c>
    </row>
    <row x14ac:dyDescent="0.25" r="103" customHeight="1" ht="18.75">
      <c r="A103" s="1"/>
      <c r="B103" s="1" t="s">
        <v>36537</v>
      </c>
      <c r="C103" s="1" t="s">
        <v>7</v>
      </c>
      <c r="D103" s="1" t="s">
        <v>10</v>
      </c>
      <c r="E103" s="1" t="s">
        <v>36368</v>
      </c>
      <c r="F103" s="1" t="s">
        <v>3693</v>
      </c>
      <c r="G103" s="1" t="s">
        <v>36538</v>
      </c>
      <c r="H103" s="1"/>
      <c r="I103" s="1"/>
      <c r="J103" s="1"/>
      <c r="K103" s="1" t="s">
        <v>36659</v>
      </c>
      <c r="L103" s="1" t="s">
        <v>7</v>
      </c>
      <c r="M103" s="1" t="s">
        <v>10</v>
      </c>
      <c r="N103" s="1" t="s">
        <v>36368</v>
      </c>
      <c r="O103" s="1" t="s">
        <v>3598</v>
      </c>
      <c r="P103" s="1" t="s">
        <v>36660</v>
      </c>
      <c r="Q103" s="22">
        <v>0</v>
      </c>
    </row>
    <row x14ac:dyDescent="0.25" r="104" customHeight="1" ht="18.75">
      <c r="A104" s="1"/>
      <c r="B104" s="1" t="s">
        <v>36541</v>
      </c>
      <c r="C104" s="1" t="s">
        <v>7</v>
      </c>
      <c r="D104" s="1" t="s">
        <v>10</v>
      </c>
      <c r="E104" s="1" t="s">
        <v>36368</v>
      </c>
      <c r="F104" s="1" t="s">
        <v>3693</v>
      </c>
      <c r="G104" s="1" t="s">
        <v>36542</v>
      </c>
      <c r="H104" s="1"/>
      <c r="I104" s="1"/>
      <c r="J104" s="1"/>
      <c r="K104" s="1" t="s">
        <v>36661</v>
      </c>
      <c r="L104" s="1" t="s">
        <v>7</v>
      </c>
      <c r="M104" s="1" t="s">
        <v>10</v>
      </c>
      <c r="N104" s="1" t="s">
        <v>36368</v>
      </c>
      <c r="O104" s="1" t="s">
        <v>3598</v>
      </c>
      <c r="P104" s="1" t="s">
        <v>36662</v>
      </c>
      <c r="Q104" s="22">
        <v>0</v>
      </c>
    </row>
    <row x14ac:dyDescent="0.25" r="105" customHeight="1" ht="18.75">
      <c r="A105" s="1"/>
      <c r="B105" s="1" t="s">
        <v>36663</v>
      </c>
      <c r="C105" s="1" t="s">
        <v>7</v>
      </c>
      <c r="D105" s="1" t="s">
        <v>10</v>
      </c>
      <c r="E105" s="1" t="s">
        <v>36395</v>
      </c>
      <c r="F105" s="1" t="s">
        <v>7833</v>
      </c>
      <c r="G105" s="1" t="s">
        <v>36664</v>
      </c>
      <c r="H105" s="1"/>
      <c r="I105" s="1"/>
      <c r="J105" s="1"/>
      <c r="K105" s="1" t="s">
        <v>36665</v>
      </c>
      <c r="L105" s="1" t="s">
        <v>7</v>
      </c>
      <c r="M105" s="1" t="s">
        <v>10</v>
      </c>
      <c r="N105" s="1" t="s">
        <v>36368</v>
      </c>
      <c r="O105" s="1" t="s">
        <v>3598</v>
      </c>
      <c r="P105" s="1" t="s">
        <v>36666</v>
      </c>
      <c r="Q105" s="22">
        <v>0</v>
      </c>
    </row>
    <row x14ac:dyDescent="0.25" r="106" customHeight="1" ht="18.75">
      <c r="A106" s="1"/>
      <c r="B106" s="1" t="s">
        <v>36667</v>
      </c>
      <c r="C106" s="1" t="s">
        <v>7</v>
      </c>
      <c r="D106" s="1" t="s">
        <v>10</v>
      </c>
      <c r="E106" s="1" t="s">
        <v>36395</v>
      </c>
      <c r="F106" s="1" t="s">
        <v>7833</v>
      </c>
      <c r="G106" s="1" t="s">
        <v>36668</v>
      </c>
      <c r="H106" s="1"/>
      <c r="I106" s="1"/>
      <c r="J106" s="1"/>
      <c r="K106" s="1" t="s">
        <v>36669</v>
      </c>
      <c r="L106" s="1" t="s">
        <v>7</v>
      </c>
      <c r="M106" s="1" t="s">
        <v>10</v>
      </c>
      <c r="N106" s="1" t="s">
        <v>36368</v>
      </c>
      <c r="O106" s="1" t="s">
        <v>3598</v>
      </c>
      <c r="P106" s="1" t="s">
        <v>36670</v>
      </c>
      <c r="Q106" s="22">
        <v>0</v>
      </c>
    </row>
    <row x14ac:dyDescent="0.25" r="107" customHeight="1" ht="18.75">
      <c r="A107" s="1"/>
      <c r="B107" s="1" t="s">
        <v>36671</v>
      </c>
      <c r="C107" s="1" t="s">
        <v>7</v>
      </c>
      <c r="D107" s="1" t="s">
        <v>10</v>
      </c>
      <c r="E107" s="1" t="s">
        <v>36395</v>
      </c>
      <c r="F107" s="1" t="s">
        <v>7833</v>
      </c>
      <c r="G107" s="1" t="s">
        <v>36672</v>
      </c>
      <c r="H107" s="1"/>
      <c r="I107" s="1"/>
      <c r="J107" s="1"/>
      <c r="K107" s="1" t="s">
        <v>36673</v>
      </c>
      <c r="L107" s="1" t="s">
        <v>7</v>
      </c>
      <c r="M107" s="1" t="s">
        <v>10</v>
      </c>
      <c r="N107" s="1" t="s">
        <v>36368</v>
      </c>
      <c r="O107" s="1" t="s">
        <v>3598</v>
      </c>
      <c r="P107" s="1" t="s">
        <v>36674</v>
      </c>
      <c r="Q107" s="22">
        <v>0</v>
      </c>
    </row>
    <row x14ac:dyDescent="0.25" r="108" customHeight="1" ht="18.75">
      <c r="A108" s="1"/>
      <c r="B108" s="1" t="s">
        <v>36543</v>
      </c>
      <c r="C108" s="1" t="s">
        <v>7</v>
      </c>
      <c r="D108" s="1" t="s">
        <v>10</v>
      </c>
      <c r="E108" s="1" t="s">
        <v>36368</v>
      </c>
      <c r="F108" s="1" t="s">
        <v>7833</v>
      </c>
      <c r="G108" s="1" t="s">
        <v>36544</v>
      </c>
      <c r="H108" s="1"/>
      <c r="I108" s="1"/>
      <c r="J108" s="1"/>
      <c r="K108" s="1" t="s">
        <v>36675</v>
      </c>
      <c r="L108" s="1" t="s">
        <v>7</v>
      </c>
      <c r="M108" s="1" t="s">
        <v>10</v>
      </c>
      <c r="N108" s="1" t="s">
        <v>36368</v>
      </c>
      <c r="O108" s="1" t="s">
        <v>3598</v>
      </c>
      <c r="P108" s="1" t="s">
        <v>36676</v>
      </c>
      <c r="Q108" s="22">
        <v>0</v>
      </c>
    </row>
    <row x14ac:dyDescent="0.25" r="109" customHeight="1" ht="18.75">
      <c r="A109" s="1"/>
      <c r="B109" s="1" t="s">
        <v>36545</v>
      </c>
      <c r="C109" s="1" t="s">
        <v>7</v>
      </c>
      <c r="D109" s="1" t="s">
        <v>10</v>
      </c>
      <c r="E109" s="1" t="s">
        <v>36368</v>
      </c>
      <c r="F109" s="1" t="s">
        <v>7833</v>
      </c>
      <c r="G109" s="1" t="s">
        <v>36546</v>
      </c>
      <c r="H109" s="1"/>
      <c r="I109" s="1"/>
      <c r="J109" s="1"/>
      <c r="K109" s="1" t="s">
        <v>36677</v>
      </c>
      <c r="L109" s="1" t="s">
        <v>7</v>
      </c>
      <c r="M109" s="1" t="s">
        <v>10</v>
      </c>
      <c r="N109" s="1" t="s">
        <v>36368</v>
      </c>
      <c r="O109" s="1" t="s">
        <v>7833</v>
      </c>
      <c r="P109" s="1" t="s">
        <v>36678</v>
      </c>
      <c r="Q109" s="22">
        <v>0</v>
      </c>
    </row>
    <row x14ac:dyDescent="0.25" r="110" customHeight="1" ht="18.75">
      <c r="A110" s="1"/>
      <c r="B110" s="1" t="s">
        <v>36547</v>
      </c>
      <c r="C110" s="1" t="s">
        <v>7</v>
      </c>
      <c r="D110" s="1" t="s">
        <v>10</v>
      </c>
      <c r="E110" s="1" t="s">
        <v>36368</v>
      </c>
      <c r="F110" s="1" t="s">
        <v>7833</v>
      </c>
      <c r="G110" s="1" t="s">
        <v>36548</v>
      </c>
      <c r="H110" s="1"/>
      <c r="I110" s="1"/>
      <c r="J110" s="1"/>
      <c r="K110" s="1" t="s">
        <v>36679</v>
      </c>
      <c r="L110" s="1" t="s">
        <v>7</v>
      </c>
      <c r="M110" s="1" t="s">
        <v>10</v>
      </c>
      <c r="N110" s="1" t="s">
        <v>36368</v>
      </c>
      <c r="O110" s="1" t="s">
        <v>7833</v>
      </c>
      <c r="P110" s="1" t="s">
        <v>36680</v>
      </c>
      <c r="Q110" s="22">
        <v>0</v>
      </c>
    </row>
    <row x14ac:dyDescent="0.25" r="111" customHeight="1" ht="18.75">
      <c r="A111" s="1"/>
      <c r="B111" s="1" t="s">
        <v>36681</v>
      </c>
      <c r="C111" s="1" t="s">
        <v>7</v>
      </c>
      <c r="D111" s="1" t="s">
        <v>10</v>
      </c>
      <c r="E111" s="1" t="s">
        <v>36395</v>
      </c>
      <c r="F111" s="1" t="s">
        <v>3617</v>
      </c>
      <c r="G111" s="1" t="s">
        <v>36682</v>
      </c>
      <c r="H111" s="1"/>
      <c r="I111" s="1"/>
      <c r="J111" s="1"/>
      <c r="K111" s="1" t="s">
        <v>36683</v>
      </c>
      <c r="L111" s="1" t="s">
        <v>7</v>
      </c>
      <c r="M111" s="1" t="s">
        <v>10</v>
      </c>
      <c r="N111" s="1" t="s">
        <v>36368</v>
      </c>
      <c r="O111" s="1" t="s">
        <v>3617</v>
      </c>
      <c r="P111" s="1" t="s">
        <v>36684</v>
      </c>
      <c r="Q111" s="22">
        <v>0</v>
      </c>
    </row>
    <row x14ac:dyDescent="0.25" r="112" customHeight="1" ht="18.75">
      <c r="A112" s="1"/>
      <c r="B112" s="1" t="s">
        <v>36549</v>
      </c>
      <c r="C112" s="1" t="s">
        <v>7</v>
      </c>
      <c r="D112" s="1" t="s">
        <v>10</v>
      </c>
      <c r="E112" s="1" t="s">
        <v>36368</v>
      </c>
      <c r="F112" s="1" t="s">
        <v>3617</v>
      </c>
      <c r="G112" s="1" t="s">
        <v>36550</v>
      </c>
      <c r="H112" s="1"/>
      <c r="I112" s="1"/>
      <c r="J112" s="1"/>
      <c r="K112" s="1" t="s">
        <v>36685</v>
      </c>
      <c r="L112" s="1" t="s">
        <v>7</v>
      </c>
      <c r="M112" s="1" t="s">
        <v>10</v>
      </c>
      <c r="N112" s="1" t="s">
        <v>36368</v>
      </c>
      <c r="O112" s="1" t="s">
        <v>3617</v>
      </c>
      <c r="P112" s="1" t="s">
        <v>36686</v>
      </c>
      <c r="Q112" s="22">
        <v>0</v>
      </c>
    </row>
    <row x14ac:dyDescent="0.25" r="113" customHeight="1" ht="18.75">
      <c r="A113" s="1"/>
      <c r="B113" s="1" t="s">
        <v>36551</v>
      </c>
      <c r="C113" s="1" t="s">
        <v>7</v>
      </c>
      <c r="D113" s="1" t="s">
        <v>10</v>
      </c>
      <c r="E113" s="1" t="s">
        <v>36368</v>
      </c>
      <c r="F113" s="1" t="s">
        <v>3617</v>
      </c>
      <c r="G113" s="1" t="s">
        <v>36552</v>
      </c>
      <c r="H113" s="1"/>
      <c r="I113" s="1"/>
      <c r="J113" s="1"/>
      <c r="K113" s="1" t="s">
        <v>36687</v>
      </c>
      <c r="L113" s="1" t="s">
        <v>7</v>
      </c>
      <c r="M113" s="1" t="s">
        <v>10</v>
      </c>
      <c r="N113" s="1" t="s">
        <v>36368</v>
      </c>
      <c r="O113" s="1" t="s">
        <v>3617</v>
      </c>
      <c r="P113" s="1" t="s">
        <v>36688</v>
      </c>
      <c r="Q113" s="22">
        <v>0</v>
      </c>
    </row>
    <row x14ac:dyDescent="0.25" r="114" customHeight="1" ht="18.75">
      <c r="A114" s="1"/>
      <c r="B114" s="1" t="s">
        <v>36553</v>
      </c>
      <c r="C114" s="1" t="s">
        <v>7</v>
      </c>
      <c r="D114" s="1" t="s">
        <v>10</v>
      </c>
      <c r="E114" s="1" t="s">
        <v>36368</v>
      </c>
      <c r="F114" s="1" t="s">
        <v>3617</v>
      </c>
      <c r="G114" s="1" t="s">
        <v>36554</v>
      </c>
      <c r="H114" s="1"/>
      <c r="I114" s="1"/>
      <c r="J114" s="1"/>
      <c r="K114" s="1" t="s">
        <v>36689</v>
      </c>
      <c r="L114" s="1" t="s">
        <v>7</v>
      </c>
      <c r="M114" s="1" t="s">
        <v>10</v>
      </c>
      <c r="N114" s="1" t="s">
        <v>36368</v>
      </c>
      <c r="O114" s="1" t="s">
        <v>3598</v>
      </c>
      <c r="P114" s="1" t="s">
        <v>36690</v>
      </c>
      <c r="Q114" s="22">
        <v>0</v>
      </c>
    </row>
    <row x14ac:dyDescent="0.25" r="115" customHeight="1" ht="18.75">
      <c r="A115" s="1"/>
      <c r="B115" s="1" t="s">
        <v>36555</v>
      </c>
      <c r="C115" s="1" t="s">
        <v>7</v>
      </c>
      <c r="D115" s="1" t="s">
        <v>10</v>
      </c>
      <c r="E115" s="1" t="s">
        <v>36368</v>
      </c>
      <c r="F115" s="1" t="s">
        <v>3617</v>
      </c>
      <c r="G115" s="1" t="s">
        <v>36556</v>
      </c>
      <c r="H115" s="1"/>
      <c r="I115" s="1"/>
      <c r="J115" s="1"/>
      <c r="K115" s="1" t="s">
        <v>36691</v>
      </c>
      <c r="L115" s="1" t="s">
        <v>7</v>
      </c>
      <c r="M115" s="1" t="s">
        <v>10</v>
      </c>
      <c r="N115" s="1" t="s">
        <v>36368</v>
      </c>
      <c r="O115" s="1" t="s">
        <v>3617</v>
      </c>
      <c r="P115" s="1" t="s">
        <v>36692</v>
      </c>
      <c r="Q115" s="22">
        <v>0</v>
      </c>
    </row>
    <row x14ac:dyDescent="0.25" r="116" customHeight="1" ht="18.75">
      <c r="A116" s="1"/>
      <c r="B116" s="1" t="s">
        <v>36557</v>
      </c>
      <c r="C116" s="1" t="s">
        <v>7</v>
      </c>
      <c r="D116" s="1" t="s">
        <v>10</v>
      </c>
      <c r="E116" s="1" t="s">
        <v>36368</v>
      </c>
      <c r="F116" s="1" t="s">
        <v>3598</v>
      </c>
      <c r="G116" s="1" t="s">
        <v>36558</v>
      </c>
      <c r="H116" s="1"/>
      <c r="I116" s="1"/>
      <c r="J116" s="1"/>
      <c r="K116" s="1" t="s">
        <v>36693</v>
      </c>
      <c r="L116" s="1" t="s">
        <v>7</v>
      </c>
      <c r="M116" s="1" t="s">
        <v>10</v>
      </c>
      <c r="N116" s="1" t="s">
        <v>36368</v>
      </c>
      <c r="O116" s="1" t="s">
        <v>7833</v>
      </c>
      <c r="P116" s="1" t="s">
        <v>36694</v>
      </c>
      <c r="Q116" s="22">
        <v>0</v>
      </c>
    </row>
    <row x14ac:dyDescent="0.25" r="117" customHeight="1" ht="18.75">
      <c r="A117" s="1"/>
      <c r="B117" s="1" t="s">
        <v>36695</v>
      </c>
      <c r="C117" s="1" t="s">
        <v>7</v>
      </c>
      <c r="D117" s="1" t="s">
        <v>10</v>
      </c>
      <c r="E117" s="1" t="s">
        <v>36395</v>
      </c>
      <c r="F117" s="1" t="s">
        <v>3617</v>
      </c>
      <c r="G117" s="1" t="s">
        <v>36696</v>
      </c>
      <c r="H117" s="1"/>
      <c r="I117" s="1"/>
      <c r="J117" s="1"/>
      <c r="K117" s="1" t="s">
        <v>36697</v>
      </c>
      <c r="L117" s="1" t="s">
        <v>7</v>
      </c>
      <c r="M117" s="1" t="s">
        <v>10</v>
      </c>
      <c r="N117" s="1" t="s">
        <v>36368</v>
      </c>
      <c r="O117" s="1" t="s">
        <v>7833</v>
      </c>
      <c r="P117" s="1" t="s">
        <v>36698</v>
      </c>
      <c r="Q117" s="22">
        <v>0</v>
      </c>
    </row>
    <row x14ac:dyDescent="0.25" r="118" customHeight="1" ht="18.75">
      <c r="A118" s="1"/>
      <c r="B118" s="1" t="s">
        <v>36699</v>
      </c>
      <c r="C118" s="1" t="s">
        <v>7</v>
      </c>
      <c r="D118" s="1" t="s">
        <v>10</v>
      </c>
      <c r="E118" s="1" t="s">
        <v>36395</v>
      </c>
      <c r="F118" s="1" t="s">
        <v>3617</v>
      </c>
      <c r="G118" s="1" t="s">
        <v>36700</v>
      </c>
      <c r="H118" s="1"/>
      <c r="I118" s="1"/>
      <c r="J118" s="1"/>
      <c r="K118" s="1" t="s">
        <v>36701</v>
      </c>
      <c r="L118" s="1" t="s">
        <v>7</v>
      </c>
      <c r="M118" s="1" t="s">
        <v>10</v>
      </c>
      <c r="N118" s="1" t="s">
        <v>36368</v>
      </c>
      <c r="O118" s="1" t="s">
        <v>3693</v>
      </c>
      <c r="P118" s="1" t="s">
        <v>36702</v>
      </c>
      <c r="Q118" s="22">
        <v>0</v>
      </c>
    </row>
    <row x14ac:dyDescent="0.25" r="119" customHeight="1" ht="18.75">
      <c r="A119" s="1"/>
      <c r="B119" s="1" t="s">
        <v>36559</v>
      </c>
      <c r="C119" s="1" t="s">
        <v>7</v>
      </c>
      <c r="D119" s="1" t="s">
        <v>10</v>
      </c>
      <c r="E119" s="1" t="s">
        <v>36368</v>
      </c>
      <c r="F119" s="1" t="s">
        <v>3598</v>
      </c>
      <c r="G119" s="1" t="s">
        <v>36560</v>
      </c>
      <c r="H119" s="1"/>
      <c r="I119" s="1"/>
      <c r="J119" s="1"/>
      <c r="K119" s="1" t="s">
        <v>36703</v>
      </c>
      <c r="L119" s="1" t="s">
        <v>7</v>
      </c>
      <c r="M119" s="1" t="s">
        <v>10</v>
      </c>
      <c r="N119" s="1" t="s">
        <v>36368</v>
      </c>
      <c r="O119" s="1" t="s">
        <v>3693</v>
      </c>
      <c r="P119" s="1" t="s">
        <v>36704</v>
      </c>
      <c r="Q119" s="22">
        <v>0</v>
      </c>
    </row>
    <row x14ac:dyDescent="0.25" r="120" customHeight="1" ht="18.75">
      <c r="A120" s="1"/>
      <c r="B120" s="1" t="s">
        <v>36705</v>
      </c>
      <c r="C120" s="1" t="s">
        <v>7</v>
      </c>
      <c r="D120" s="1" t="s">
        <v>10</v>
      </c>
      <c r="E120" s="1" t="s">
        <v>36395</v>
      </c>
      <c r="F120" s="1" t="s">
        <v>3598</v>
      </c>
      <c r="G120" s="1" t="s">
        <v>36706</v>
      </c>
      <c r="H120" s="1"/>
      <c r="I120" s="1"/>
      <c r="J120" s="1"/>
      <c r="K120" s="1" t="s">
        <v>36707</v>
      </c>
      <c r="L120" s="1" t="s">
        <v>7</v>
      </c>
      <c r="M120" s="1" t="s">
        <v>10</v>
      </c>
      <c r="N120" s="1" t="s">
        <v>36368</v>
      </c>
      <c r="O120" s="1" t="s">
        <v>3693</v>
      </c>
      <c r="P120" s="1" t="s">
        <v>36708</v>
      </c>
      <c r="Q120" s="22">
        <v>0</v>
      </c>
    </row>
    <row x14ac:dyDescent="0.25" r="121" customHeight="1" ht="18.75">
      <c r="A121" s="1"/>
      <c r="B121" s="1" t="s">
        <v>36561</v>
      </c>
      <c r="C121" s="1" t="s">
        <v>7</v>
      </c>
      <c r="D121" s="1" t="s">
        <v>10</v>
      </c>
      <c r="E121" s="1" t="s">
        <v>36368</v>
      </c>
      <c r="F121" s="1" t="s">
        <v>3598</v>
      </c>
      <c r="G121" s="1" t="s">
        <v>36562</v>
      </c>
      <c r="H121" s="1"/>
      <c r="I121" s="1"/>
      <c r="J121" s="1"/>
      <c r="K121" s="1" t="s">
        <v>36709</v>
      </c>
      <c r="L121" s="1" t="s">
        <v>7</v>
      </c>
      <c r="M121" s="1" t="s">
        <v>10</v>
      </c>
      <c r="N121" s="1" t="s">
        <v>36368</v>
      </c>
      <c r="O121" s="1" t="s">
        <v>3617</v>
      </c>
      <c r="P121" s="1" t="s">
        <v>36710</v>
      </c>
      <c r="Q121" s="22">
        <v>0</v>
      </c>
    </row>
    <row x14ac:dyDescent="0.25" r="122" customHeight="1" ht="18.75">
      <c r="A122" s="1"/>
      <c r="B122" s="1" t="s">
        <v>36711</v>
      </c>
      <c r="C122" s="1" t="s">
        <v>7</v>
      </c>
      <c r="D122" s="1" t="s">
        <v>10</v>
      </c>
      <c r="E122" s="1" t="s">
        <v>36395</v>
      </c>
      <c r="F122" s="1" t="s">
        <v>3617</v>
      </c>
      <c r="G122" s="1" t="s">
        <v>36712</v>
      </c>
      <c r="H122" s="1"/>
      <c r="I122" s="1"/>
      <c r="J122" s="1"/>
      <c r="K122" s="1" t="s">
        <v>36713</v>
      </c>
      <c r="L122" s="1" t="s">
        <v>7</v>
      </c>
      <c r="M122" s="1" t="s">
        <v>10</v>
      </c>
      <c r="N122" s="1" t="s">
        <v>36368</v>
      </c>
      <c r="O122" s="1" t="s">
        <v>7833</v>
      </c>
      <c r="P122" s="1" t="s">
        <v>36714</v>
      </c>
      <c r="Q122" s="22">
        <v>0</v>
      </c>
    </row>
    <row x14ac:dyDescent="0.25" r="123" customHeight="1" ht="18.75">
      <c r="A123" s="1"/>
      <c r="B123" s="1" t="s">
        <v>36715</v>
      </c>
      <c r="C123" s="1" t="s">
        <v>7</v>
      </c>
      <c r="D123" s="1" t="s">
        <v>10</v>
      </c>
      <c r="E123" s="1" t="s">
        <v>36395</v>
      </c>
      <c r="F123" s="1" t="s">
        <v>3598</v>
      </c>
      <c r="G123" s="1" t="s">
        <v>36716</v>
      </c>
      <c r="H123" s="1"/>
      <c r="I123" s="1"/>
      <c r="J123" s="1"/>
      <c r="K123" s="1" t="s">
        <v>36717</v>
      </c>
      <c r="L123" s="1" t="s">
        <v>7</v>
      </c>
      <c r="M123" s="1" t="s">
        <v>10</v>
      </c>
      <c r="N123" s="1" t="s">
        <v>36368</v>
      </c>
      <c r="O123" s="1" t="s">
        <v>3693</v>
      </c>
      <c r="P123" s="1" t="s">
        <v>36718</v>
      </c>
      <c r="Q123" s="22">
        <v>0</v>
      </c>
    </row>
    <row x14ac:dyDescent="0.25" r="124" customHeight="1" ht="18.75">
      <c r="A124" s="1"/>
      <c r="B124" s="1" t="s">
        <v>36719</v>
      </c>
      <c r="C124" s="1" t="s">
        <v>7</v>
      </c>
      <c r="D124" s="1" t="s">
        <v>10</v>
      </c>
      <c r="E124" s="1" t="s">
        <v>36395</v>
      </c>
      <c r="F124" s="1" t="s">
        <v>3598</v>
      </c>
      <c r="G124" s="1" t="s">
        <v>36720</v>
      </c>
      <c r="H124" s="1"/>
      <c r="I124" s="1"/>
      <c r="J124" s="1"/>
      <c r="K124" s="1" t="s">
        <v>36721</v>
      </c>
      <c r="L124" s="1" t="s">
        <v>7</v>
      </c>
      <c r="M124" s="1" t="s">
        <v>10</v>
      </c>
      <c r="N124" s="1" t="s">
        <v>36368</v>
      </c>
      <c r="O124" s="1" t="s">
        <v>3617</v>
      </c>
      <c r="P124" s="1" t="s">
        <v>36722</v>
      </c>
      <c r="Q124" s="22">
        <v>0</v>
      </c>
    </row>
    <row x14ac:dyDescent="0.25" r="125" customHeight="1" ht="18.75">
      <c r="A125" s="1"/>
      <c r="B125" s="1" t="s">
        <v>36723</v>
      </c>
      <c r="C125" s="1" t="s">
        <v>7</v>
      </c>
      <c r="D125" s="1" t="s">
        <v>10</v>
      </c>
      <c r="E125" s="1" t="s">
        <v>36395</v>
      </c>
      <c r="F125" s="1" t="s">
        <v>3598</v>
      </c>
      <c r="G125" s="1" t="s">
        <v>36724</v>
      </c>
      <c r="H125" s="1"/>
      <c r="I125" s="1"/>
      <c r="J125" s="1"/>
      <c r="K125" s="1" t="s">
        <v>36725</v>
      </c>
      <c r="L125" s="1" t="s">
        <v>7</v>
      </c>
      <c r="M125" s="1" t="s">
        <v>10</v>
      </c>
      <c r="N125" s="1" t="s">
        <v>36368</v>
      </c>
      <c r="O125" s="1" t="s">
        <v>3598</v>
      </c>
      <c r="P125" s="1" t="s">
        <v>36726</v>
      </c>
      <c r="Q125" s="22">
        <v>0</v>
      </c>
    </row>
    <row x14ac:dyDescent="0.25" r="126" customHeight="1" ht="18.75">
      <c r="A126" s="1"/>
      <c r="B126" s="1" t="s">
        <v>36727</v>
      </c>
      <c r="C126" s="1" t="s">
        <v>7</v>
      </c>
      <c r="D126" s="1" t="s">
        <v>10</v>
      </c>
      <c r="E126" s="1" t="s">
        <v>36395</v>
      </c>
      <c r="F126" s="1" t="s">
        <v>3598</v>
      </c>
      <c r="G126" s="1" t="s">
        <v>36728</v>
      </c>
      <c r="H126" s="1"/>
      <c r="I126" s="1"/>
      <c r="J126" s="1"/>
      <c r="K126" s="1" t="s">
        <v>36729</v>
      </c>
      <c r="L126" s="1" t="s">
        <v>7</v>
      </c>
      <c r="M126" s="1" t="s">
        <v>10</v>
      </c>
      <c r="N126" s="1" t="s">
        <v>36368</v>
      </c>
      <c r="O126" s="1" t="s">
        <v>3598</v>
      </c>
      <c r="P126" s="1" t="s">
        <v>36730</v>
      </c>
      <c r="Q126" s="22">
        <v>0</v>
      </c>
    </row>
    <row x14ac:dyDescent="0.25" r="127" customHeight="1" ht="18.75">
      <c r="A127" s="1"/>
      <c r="B127" s="1" t="s">
        <v>36731</v>
      </c>
      <c r="C127" s="1" t="s">
        <v>7</v>
      </c>
      <c r="D127" s="1" t="s">
        <v>10</v>
      </c>
      <c r="E127" s="1" t="s">
        <v>36395</v>
      </c>
      <c r="F127" s="1" t="s">
        <v>3617</v>
      </c>
      <c r="G127" s="1" t="s">
        <v>36732</v>
      </c>
      <c r="H127" s="1"/>
      <c r="I127" s="1"/>
      <c r="J127" s="1"/>
      <c r="K127" s="1" t="s">
        <v>36733</v>
      </c>
      <c r="L127" s="1" t="s">
        <v>7</v>
      </c>
      <c r="M127" s="1" t="s">
        <v>10</v>
      </c>
      <c r="N127" s="1" t="s">
        <v>36368</v>
      </c>
      <c r="O127" s="1" t="s">
        <v>3693</v>
      </c>
      <c r="P127" s="1" t="s">
        <v>36734</v>
      </c>
      <c r="Q127" s="22">
        <v>0</v>
      </c>
    </row>
    <row x14ac:dyDescent="0.25" r="128" customHeight="1" ht="18.75">
      <c r="A128" s="1"/>
      <c r="B128" s="1" t="s">
        <v>36735</v>
      </c>
      <c r="C128" s="1" t="s">
        <v>7</v>
      </c>
      <c r="D128" s="1" t="s">
        <v>10</v>
      </c>
      <c r="E128" s="1" t="s">
        <v>36395</v>
      </c>
      <c r="F128" s="1" t="s">
        <v>3617</v>
      </c>
      <c r="G128" s="1" t="s">
        <v>36736</v>
      </c>
      <c r="H128" s="1"/>
      <c r="I128" s="1"/>
      <c r="J128" s="1"/>
      <c r="K128" s="1" t="s">
        <v>36737</v>
      </c>
      <c r="L128" s="1" t="s">
        <v>7</v>
      </c>
      <c r="M128" s="1" t="s">
        <v>10</v>
      </c>
      <c r="N128" s="1" t="s">
        <v>36368</v>
      </c>
      <c r="O128" s="1" t="s">
        <v>3693</v>
      </c>
      <c r="P128" s="1" t="s">
        <v>36738</v>
      </c>
      <c r="Q128" s="22">
        <v>0</v>
      </c>
    </row>
    <row x14ac:dyDescent="0.25" r="129" customHeight="1" ht="18.75">
      <c r="A129" s="1"/>
      <c r="B129" s="1" t="s">
        <v>36739</v>
      </c>
      <c r="C129" s="1" t="s">
        <v>7</v>
      </c>
      <c r="D129" s="1" t="s">
        <v>10</v>
      </c>
      <c r="E129" s="1" t="s">
        <v>36395</v>
      </c>
      <c r="F129" s="1" t="s">
        <v>3617</v>
      </c>
      <c r="G129" s="1" t="s">
        <v>36740</v>
      </c>
      <c r="H129" s="1"/>
      <c r="I129" s="1"/>
      <c r="J129" s="1"/>
      <c r="K129" s="1" t="s">
        <v>36741</v>
      </c>
      <c r="L129" s="1" t="s">
        <v>7</v>
      </c>
      <c r="M129" s="1" t="s">
        <v>10</v>
      </c>
      <c r="N129" s="1" t="s">
        <v>36368</v>
      </c>
      <c r="O129" s="1" t="s">
        <v>3693</v>
      </c>
      <c r="P129" s="1" t="s">
        <v>36742</v>
      </c>
      <c r="Q129" s="22">
        <v>0</v>
      </c>
    </row>
    <row x14ac:dyDescent="0.25" r="130" customHeight="1" ht="18.75">
      <c r="A130" s="1"/>
      <c r="B130" s="1" t="s">
        <v>36743</v>
      </c>
      <c r="C130" s="1" t="s">
        <v>7</v>
      </c>
      <c r="D130" s="1" t="s">
        <v>10</v>
      </c>
      <c r="E130" s="1" t="s">
        <v>36395</v>
      </c>
      <c r="F130" s="1" t="s">
        <v>3617</v>
      </c>
      <c r="G130" s="1" t="s">
        <v>36744</v>
      </c>
      <c r="H130" s="1"/>
      <c r="I130" s="1"/>
      <c r="J130" s="1"/>
      <c r="K130" s="1" t="s">
        <v>36745</v>
      </c>
      <c r="L130" s="1" t="s">
        <v>7</v>
      </c>
      <c r="M130" s="1" t="s">
        <v>10</v>
      </c>
      <c r="N130" s="1" t="s">
        <v>36368</v>
      </c>
      <c r="O130" s="1" t="s">
        <v>3693</v>
      </c>
      <c r="P130" s="1" t="s">
        <v>36746</v>
      </c>
      <c r="Q130" s="22">
        <v>0</v>
      </c>
    </row>
    <row x14ac:dyDescent="0.25" r="131" customHeight="1" ht="18.75">
      <c r="A131" s="1"/>
      <c r="B131" s="1" t="s">
        <v>36747</v>
      </c>
      <c r="C131" s="1" t="s">
        <v>7</v>
      </c>
      <c r="D131" s="1" t="s">
        <v>10</v>
      </c>
      <c r="E131" s="1" t="s">
        <v>36395</v>
      </c>
      <c r="F131" s="1" t="s">
        <v>3617</v>
      </c>
      <c r="G131" s="1" t="s">
        <v>36748</v>
      </c>
      <c r="H131" s="1"/>
      <c r="I131" s="1"/>
      <c r="J131" s="1"/>
      <c r="K131" s="1" t="s">
        <v>36749</v>
      </c>
      <c r="L131" s="1" t="s">
        <v>7</v>
      </c>
      <c r="M131" s="1" t="s">
        <v>10</v>
      </c>
      <c r="N131" s="1" t="s">
        <v>36368</v>
      </c>
      <c r="O131" s="1" t="s">
        <v>3693</v>
      </c>
      <c r="P131" s="1" t="s">
        <v>36750</v>
      </c>
      <c r="Q131" s="22">
        <v>0</v>
      </c>
    </row>
    <row x14ac:dyDescent="0.25" r="132" customHeight="1" ht="18.75">
      <c r="A132" s="1"/>
      <c r="B132" s="1" t="s">
        <v>36751</v>
      </c>
      <c r="C132" s="1" t="s">
        <v>7</v>
      </c>
      <c r="D132" s="1" t="s">
        <v>10</v>
      </c>
      <c r="E132" s="1" t="s">
        <v>36395</v>
      </c>
      <c r="F132" s="1" t="s">
        <v>3617</v>
      </c>
      <c r="G132" s="1" t="s">
        <v>36752</v>
      </c>
      <c r="H132" s="1"/>
      <c r="I132" s="1"/>
      <c r="J132" s="1"/>
      <c r="K132" s="1" t="s">
        <v>36753</v>
      </c>
      <c r="L132" s="1" t="s">
        <v>7</v>
      </c>
      <c r="M132" s="1" t="s">
        <v>10</v>
      </c>
      <c r="N132" s="1" t="s">
        <v>36368</v>
      </c>
      <c r="O132" s="1" t="s">
        <v>3693</v>
      </c>
      <c r="P132" s="1" t="s">
        <v>36754</v>
      </c>
      <c r="Q132" s="22">
        <v>0</v>
      </c>
    </row>
    <row x14ac:dyDescent="0.25" r="133" customHeight="1" ht="18.75">
      <c r="A133" s="1"/>
      <c r="B133" s="1" t="s">
        <v>36755</v>
      </c>
      <c r="C133" s="1" t="s">
        <v>7</v>
      </c>
      <c r="D133" s="1" t="s">
        <v>10</v>
      </c>
      <c r="E133" s="1" t="s">
        <v>36395</v>
      </c>
      <c r="F133" s="1" t="s">
        <v>3617</v>
      </c>
      <c r="G133" s="1" t="s">
        <v>36756</v>
      </c>
      <c r="H133" s="1"/>
      <c r="I133" s="1"/>
      <c r="J133" s="1"/>
      <c r="K133" s="1" t="s">
        <v>36757</v>
      </c>
      <c r="L133" s="1" t="s">
        <v>7</v>
      </c>
      <c r="M133" s="1" t="s">
        <v>10</v>
      </c>
      <c r="N133" s="1" t="s">
        <v>36368</v>
      </c>
      <c r="O133" s="1" t="s">
        <v>3693</v>
      </c>
      <c r="P133" s="1" t="s">
        <v>36758</v>
      </c>
      <c r="Q133" s="22">
        <v>0</v>
      </c>
    </row>
    <row x14ac:dyDescent="0.25" r="134" customHeight="1" ht="18.75">
      <c r="A134" s="1"/>
      <c r="B134" s="1" t="s">
        <v>36759</v>
      </c>
      <c r="C134" s="1" t="s">
        <v>7</v>
      </c>
      <c r="D134" s="1" t="s">
        <v>10</v>
      </c>
      <c r="E134" s="1" t="s">
        <v>36395</v>
      </c>
      <c r="F134" s="1" t="s">
        <v>3617</v>
      </c>
      <c r="G134" s="1" t="s">
        <v>36760</v>
      </c>
      <c r="H134" s="1"/>
      <c r="I134" s="1"/>
      <c r="J134" s="1"/>
      <c r="K134" s="1" t="s">
        <v>36761</v>
      </c>
      <c r="L134" s="1" t="s">
        <v>7</v>
      </c>
      <c r="M134" s="1" t="s">
        <v>10</v>
      </c>
      <c r="N134" s="1" t="s">
        <v>36368</v>
      </c>
      <c r="O134" s="1" t="s">
        <v>3693</v>
      </c>
      <c r="P134" s="1" t="s">
        <v>36762</v>
      </c>
      <c r="Q134" s="22">
        <v>0</v>
      </c>
    </row>
    <row x14ac:dyDescent="0.25" r="135" customHeight="1" ht="18.75">
      <c r="A135" s="1"/>
      <c r="B135" s="1" t="s">
        <v>36763</v>
      </c>
      <c r="C135" s="1" t="s">
        <v>7</v>
      </c>
      <c r="D135" s="1" t="s">
        <v>10</v>
      </c>
      <c r="E135" s="1" t="s">
        <v>36395</v>
      </c>
      <c r="F135" s="1" t="s">
        <v>3617</v>
      </c>
      <c r="G135" s="1" t="s">
        <v>36764</v>
      </c>
      <c r="H135" s="1"/>
      <c r="I135" s="1"/>
      <c r="J135" s="1"/>
      <c r="K135" s="1" t="s">
        <v>36765</v>
      </c>
      <c r="L135" s="1" t="s">
        <v>7</v>
      </c>
      <c r="M135" s="1" t="s">
        <v>10</v>
      </c>
      <c r="N135" s="1" t="s">
        <v>36368</v>
      </c>
      <c r="O135" s="1" t="s">
        <v>3693</v>
      </c>
      <c r="P135" s="1" t="s">
        <v>36766</v>
      </c>
      <c r="Q135" s="22">
        <v>0</v>
      </c>
    </row>
    <row x14ac:dyDescent="0.25" r="136" customHeight="1" ht="18.75">
      <c r="A136" s="1"/>
      <c r="B136" s="1" t="s">
        <v>36767</v>
      </c>
      <c r="C136" s="1" t="s">
        <v>7</v>
      </c>
      <c r="D136" s="1" t="s">
        <v>10</v>
      </c>
      <c r="E136" s="1" t="s">
        <v>36395</v>
      </c>
      <c r="F136" s="1" t="s">
        <v>3617</v>
      </c>
      <c r="G136" s="1" t="s">
        <v>36768</v>
      </c>
      <c r="H136" s="1"/>
      <c r="I136" s="1"/>
      <c r="J136" s="1"/>
      <c r="K136" s="1" t="s">
        <v>36769</v>
      </c>
      <c r="L136" s="1" t="s">
        <v>7</v>
      </c>
      <c r="M136" s="1" t="s">
        <v>10</v>
      </c>
      <c r="N136" s="1" t="s">
        <v>36368</v>
      </c>
      <c r="O136" s="1" t="s">
        <v>3598</v>
      </c>
      <c r="P136" s="1" t="s">
        <v>36770</v>
      </c>
      <c r="Q136" s="22">
        <v>0</v>
      </c>
    </row>
    <row x14ac:dyDescent="0.25" r="137" customHeight="1" ht="18.75">
      <c r="A137" s="1"/>
      <c r="B137" s="1" t="s">
        <v>36771</v>
      </c>
      <c r="C137" s="1" t="s">
        <v>7</v>
      </c>
      <c r="D137" s="1" t="s">
        <v>10</v>
      </c>
      <c r="E137" s="1" t="s">
        <v>36395</v>
      </c>
      <c r="F137" s="1" t="s">
        <v>3617</v>
      </c>
      <c r="G137" s="1" t="s">
        <v>36772</v>
      </c>
      <c r="H137" s="1"/>
      <c r="I137" s="1"/>
      <c r="J137" s="1"/>
      <c r="K137" s="1" t="s">
        <v>36773</v>
      </c>
      <c r="L137" s="1" t="s">
        <v>7</v>
      </c>
      <c r="M137" s="1" t="s">
        <v>10</v>
      </c>
      <c r="N137" s="1" t="s">
        <v>36368</v>
      </c>
      <c r="O137" s="1" t="s">
        <v>3598</v>
      </c>
      <c r="P137" s="1" t="s">
        <v>36774</v>
      </c>
      <c r="Q137" s="22">
        <v>0</v>
      </c>
    </row>
    <row x14ac:dyDescent="0.25" r="138" customHeight="1" ht="18.75">
      <c r="A138" s="1"/>
      <c r="B138" s="1" t="s">
        <v>36775</v>
      </c>
      <c r="C138" s="1" t="s">
        <v>7</v>
      </c>
      <c r="D138" s="1" t="s">
        <v>10</v>
      </c>
      <c r="E138" s="1" t="s">
        <v>36395</v>
      </c>
      <c r="F138" s="1" t="s">
        <v>3693</v>
      </c>
      <c r="G138" s="1" t="s">
        <v>36776</v>
      </c>
      <c r="H138" s="1"/>
      <c r="I138" s="1"/>
      <c r="J138" s="1"/>
      <c r="K138" s="1" t="s">
        <v>36777</v>
      </c>
      <c r="L138" s="1" t="s">
        <v>7</v>
      </c>
      <c r="M138" s="1" t="s">
        <v>10</v>
      </c>
      <c r="N138" s="1" t="s">
        <v>36368</v>
      </c>
      <c r="O138" s="1" t="s">
        <v>3598</v>
      </c>
      <c r="P138" s="1" t="s">
        <v>36778</v>
      </c>
      <c r="Q138" s="22">
        <v>0</v>
      </c>
    </row>
    <row x14ac:dyDescent="0.25" r="139" customHeight="1" ht="18.75">
      <c r="A139" s="1"/>
      <c r="B139" s="1" t="s">
        <v>36779</v>
      </c>
      <c r="C139" s="1" t="s">
        <v>7</v>
      </c>
      <c r="D139" s="1" t="s">
        <v>10</v>
      </c>
      <c r="E139" s="1" t="s">
        <v>36395</v>
      </c>
      <c r="F139" s="1" t="s">
        <v>3617</v>
      </c>
      <c r="G139" s="1" t="s">
        <v>36780</v>
      </c>
      <c r="H139" s="1"/>
      <c r="I139" s="1"/>
      <c r="J139" s="1"/>
      <c r="K139" s="1" t="s">
        <v>36781</v>
      </c>
      <c r="L139" s="1" t="s">
        <v>7</v>
      </c>
      <c r="M139" s="1" t="s">
        <v>10</v>
      </c>
      <c r="N139" s="1" t="s">
        <v>36368</v>
      </c>
      <c r="O139" s="1" t="s">
        <v>85</v>
      </c>
      <c r="P139" s="1" t="s">
        <v>36782</v>
      </c>
      <c r="Q139" s="22">
        <v>0</v>
      </c>
    </row>
    <row x14ac:dyDescent="0.25" r="140" customHeight="1" ht="18.75">
      <c r="A140" s="1"/>
      <c r="B140" s="1" t="s">
        <v>36783</v>
      </c>
      <c r="C140" s="1" t="s">
        <v>7</v>
      </c>
      <c r="D140" s="1" t="s">
        <v>10</v>
      </c>
      <c r="E140" s="1" t="s">
        <v>36395</v>
      </c>
      <c r="F140" s="1" t="s">
        <v>3617</v>
      </c>
      <c r="G140" s="1" t="s">
        <v>36784</v>
      </c>
      <c r="H140" s="1"/>
      <c r="I140" s="1"/>
      <c r="J140" s="1"/>
      <c r="K140" s="1" t="s">
        <v>36785</v>
      </c>
      <c r="L140" s="1" t="s">
        <v>7</v>
      </c>
      <c r="M140" s="1" t="s">
        <v>10</v>
      </c>
      <c r="N140" s="1" t="s">
        <v>36368</v>
      </c>
      <c r="O140" s="1" t="s">
        <v>85</v>
      </c>
      <c r="P140" s="1" t="s">
        <v>36786</v>
      </c>
      <c r="Q140" s="22">
        <v>0</v>
      </c>
    </row>
    <row x14ac:dyDescent="0.25" r="141" customHeight="1" ht="18.75">
      <c r="A141" s="1"/>
      <c r="B141" s="1" t="s">
        <v>36787</v>
      </c>
      <c r="C141" s="1" t="s">
        <v>7</v>
      </c>
      <c r="D141" s="1" t="s">
        <v>10</v>
      </c>
      <c r="E141" s="1" t="s">
        <v>36395</v>
      </c>
      <c r="F141" s="1" t="s">
        <v>3617</v>
      </c>
      <c r="G141" s="1" t="s">
        <v>36788</v>
      </c>
      <c r="H141" s="1"/>
      <c r="I141" s="1"/>
      <c r="J141" s="1"/>
      <c r="K141" s="1" t="s">
        <v>36789</v>
      </c>
      <c r="L141" s="1" t="s">
        <v>7</v>
      </c>
      <c r="M141" s="1" t="s">
        <v>10</v>
      </c>
      <c r="N141" s="1" t="s">
        <v>36368</v>
      </c>
      <c r="O141" s="1" t="s">
        <v>85</v>
      </c>
      <c r="P141" s="1" t="s">
        <v>36790</v>
      </c>
      <c r="Q141" s="22">
        <v>0</v>
      </c>
    </row>
    <row x14ac:dyDescent="0.25" r="142" customHeight="1" ht="18.75">
      <c r="A142" s="1"/>
      <c r="B142" s="1" t="s">
        <v>36791</v>
      </c>
      <c r="C142" s="1" t="s">
        <v>7</v>
      </c>
      <c r="D142" s="1" t="s">
        <v>10</v>
      </c>
      <c r="E142" s="1" t="s">
        <v>36395</v>
      </c>
      <c r="F142" s="1" t="s">
        <v>3617</v>
      </c>
      <c r="G142" s="1" t="s">
        <v>36792</v>
      </c>
      <c r="H142" s="1"/>
      <c r="I142" s="1"/>
      <c r="J142" s="1"/>
      <c r="K142" s="1" t="s">
        <v>36793</v>
      </c>
      <c r="L142" s="1" t="s">
        <v>7</v>
      </c>
      <c r="M142" s="1" t="s">
        <v>10</v>
      </c>
      <c r="N142" s="1" t="s">
        <v>36368</v>
      </c>
      <c r="O142" s="1" t="s">
        <v>3598</v>
      </c>
      <c r="P142" s="1" t="s">
        <v>36794</v>
      </c>
      <c r="Q142" s="22">
        <v>0</v>
      </c>
    </row>
    <row x14ac:dyDescent="0.25" r="143" customHeight="1" ht="18.75">
      <c r="A143" s="1"/>
      <c r="B143" s="1" t="s">
        <v>36795</v>
      </c>
      <c r="C143" s="1" t="s">
        <v>7</v>
      </c>
      <c r="D143" s="1" t="s">
        <v>10</v>
      </c>
      <c r="E143" s="1" t="s">
        <v>36395</v>
      </c>
      <c r="F143" s="1" t="s">
        <v>3617</v>
      </c>
      <c r="G143" s="1" t="s">
        <v>36796</v>
      </c>
      <c r="H143" s="1"/>
      <c r="I143" s="1"/>
      <c r="J143" s="1"/>
      <c r="K143" s="1" t="s">
        <v>36797</v>
      </c>
      <c r="L143" s="1" t="s">
        <v>7</v>
      </c>
      <c r="M143" s="1" t="s">
        <v>10</v>
      </c>
      <c r="N143" s="1" t="s">
        <v>36368</v>
      </c>
      <c r="O143" s="1" t="s">
        <v>3598</v>
      </c>
      <c r="P143" s="1" t="s">
        <v>36798</v>
      </c>
      <c r="Q143" s="22">
        <v>0</v>
      </c>
    </row>
    <row x14ac:dyDescent="0.25" r="144" customHeight="1" ht="18.75">
      <c r="A144" s="1"/>
      <c r="B144" s="1" t="s">
        <v>36799</v>
      </c>
      <c r="C144" s="1" t="s">
        <v>7</v>
      </c>
      <c r="D144" s="1" t="s">
        <v>10</v>
      </c>
      <c r="E144" s="1" t="s">
        <v>36395</v>
      </c>
      <c r="F144" s="1" t="s">
        <v>3617</v>
      </c>
      <c r="G144" s="1" t="s">
        <v>36800</v>
      </c>
      <c r="H144" s="1"/>
      <c r="I144" s="1"/>
      <c r="J144" s="1"/>
      <c r="K144" s="1" t="s">
        <v>36801</v>
      </c>
      <c r="L144" s="1" t="s">
        <v>7</v>
      </c>
      <c r="M144" s="1" t="s">
        <v>10</v>
      </c>
      <c r="N144" s="1" t="s">
        <v>36368</v>
      </c>
      <c r="O144" s="1" t="s">
        <v>3693</v>
      </c>
      <c r="P144" s="1" t="s">
        <v>36802</v>
      </c>
      <c r="Q144" s="22">
        <v>0</v>
      </c>
    </row>
    <row x14ac:dyDescent="0.25" r="145" customHeight="1" ht="18.75">
      <c r="A145" s="1"/>
      <c r="B145" s="1" t="s">
        <v>36803</v>
      </c>
      <c r="C145" s="1" t="s">
        <v>7</v>
      </c>
      <c r="D145" s="1" t="s">
        <v>10</v>
      </c>
      <c r="E145" s="1" t="s">
        <v>36395</v>
      </c>
      <c r="F145" s="1" t="s">
        <v>3693</v>
      </c>
      <c r="G145" s="1" t="s">
        <v>36804</v>
      </c>
      <c r="H145" s="1"/>
      <c r="I145" s="1"/>
      <c r="J145" s="1"/>
      <c r="K145" s="1" t="s">
        <v>36805</v>
      </c>
      <c r="L145" s="1" t="s">
        <v>7</v>
      </c>
      <c r="M145" s="1" t="s">
        <v>10</v>
      </c>
      <c r="N145" s="1" t="s">
        <v>36368</v>
      </c>
      <c r="O145" s="1" t="s">
        <v>3693</v>
      </c>
      <c r="P145" s="1" t="s">
        <v>36806</v>
      </c>
      <c r="Q145" s="22">
        <v>0</v>
      </c>
    </row>
    <row x14ac:dyDescent="0.25" r="146" customHeight="1" ht="18.75">
      <c r="A146" s="1"/>
      <c r="B146" s="1" t="s">
        <v>36807</v>
      </c>
      <c r="C146" s="1" t="s">
        <v>7</v>
      </c>
      <c r="D146" s="1" t="s">
        <v>10</v>
      </c>
      <c r="E146" s="1" t="s">
        <v>36395</v>
      </c>
      <c r="F146" s="1" t="s">
        <v>3693</v>
      </c>
      <c r="G146" s="1" t="s">
        <v>36808</v>
      </c>
      <c r="H146" s="1"/>
      <c r="I146" s="1"/>
      <c r="J146" s="1"/>
      <c r="K146" s="1" t="s">
        <v>36809</v>
      </c>
      <c r="L146" s="1" t="s">
        <v>7</v>
      </c>
      <c r="M146" s="1" t="s">
        <v>10</v>
      </c>
      <c r="N146" s="1" t="s">
        <v>36368</v>
      </c>
      <c r="O146" s="1" t="s">
        <v>3693</v>
      </c>
      <c r="P146" s="1" t="s">
        <v>36810</v>
      </c>
      <c r="Q146" s="22">
        <v>0</v>
      </c>
    </row>
    <row x14ac:dyDescent="0.25" r="147" customHeight="1" ht="18.75">
      <c r="A147" s="1"/>
      <c r="B147" s="1" t="s">
        <v>36811</v>
      </c>
      <c r="C147" s="1" t="s">
        <v>7</v>
      </c>
      <c r="D147" s="1" t="s">
        <v>10</v>
      </c>
      <c r="E147" s="1" t="s">
        <v>36395</v>
      </c>
      <c r="F147" s="1" t="s">
        <v>3693</v>
      </c>
      <c r="G147" s="1" t="s">
        <v>36812</v>
      </c>
      <c r="H147" s="1"/>
      <c r="I147" s="1"/>
      <c r="J147" s="1"/>
      <c r="K147" s="1" t="s">
        <v>36813</v>
      </c>
      <c r="L147" s="1" t="s">
        <v>7</v>
      </c>
      <c r="M147" s="1" t="s">
        <v>10</v>
      </c>
      <c r="N147" s="1" t="s">
        <v>36368</v>
      </c>
      <c r="O147" s="1" t="s">
        <v>3693</v>
      </c>
      <c r="P147" s="1" t="s">
        <v>36814</v>
      </c>
      <c r="Q147" s="22">
        <v>0</v>
      </c>
    </row>
    <row x14ac:dyDescent="0.25" r="148" customHeight="1" ht="18.75">
      <c r="A148" s="1"/>
      <c r="B148" s="1" t="s">
        <v>36815</v>
      </c>
      <c r="C148" s="1" t="s">
        <v>7</v>
      </c>
      <c r="D148" s="1" t="s">
        <v>10</v>
      </c>
      <c r="E148" s="1" t="s">
        <v>36395</v>
      </c>
      <c r="F148" s="1" t="s">
        <v>3693</v>
      </c>
      <c r="G148" s="1" t="s">
        <v>36816</v>
      </c>
      <c r="H148" s="1"/>
      <c r="I148" s="1"/>
      <c r="J148" s="1"/>
      <c r="K148" s="1" t="s">
        <v>36817</v>
      </c>
      <c r="L148" s="1" t="s">
        <v>7</v>
      </c>
      <c r="M148" s="1" t="s">
        <v>10</v>
      </c>
      <c r="N148" s="1" t="s">
        <v>36368</v>
      </c>
      <c r="O148" s="1" t="s">
        <v>3598</v>
      </c>
      <c r="P148" s="1" t="s">
        <v>36818</v>
      </c>
      <c r="Q148" s="22">
        <v>0</v>
      </c>
    </row>
    <row x14ac:dyDescent="0.25" r="149" customHeight="1" ht="18.75">
      <c r="A149" s="1"/>
      <c r="B149" s="1" t="s">
        <v>36819</v>
      </c>
      <c r="C149" s="1" t="s">
        <v>7</v>
      </c>
      <c r="D149" s="1" t="s">
        <v>10</v>
      </c>
      <c r="E149" s="1" t="s">
        <v>36395</v>
      </c>
      <c r="F149" s="1" t="s">
        <v>3693</v>
      </c>
      <c r="G149" s="1" t="s">
        <v>36820</v>
      </c>
      <c r="H149" s="1"/>
      <c r="I149" s="1"/>
      <c r="J149" s="1"/>
      <c r="K149" s="1" t="s">
        <v>36821</v>
      </c>
      <c r="L149" s="1" t="s">
        <v>7</v>
      </c>
      <c r="M149" s="1" t="s">
        <v>10</v>
      </c>
      <c r="N149" s="1" t="s">
        <v>36368</v>
      </c>
      <c r="O149" s="1" t="s">
        <v>3598</v>
      </c>
      <c r="P149" s="1" t="s">
        <v>36822</v>
      </c>
      <c r="Q149" s="22">
        <v>0</v>
      </c>
    </row>
    <row x14ac:dyDescent="0.25" r="150" customHeight="1" ht="18.75">
      <c r="A150" s="1"/>
      <c r="B150" s="1" t="s">
        <v>36563</v>
      </c>
      <c r="C150" s="1" t="s">
        <v>7</v>
      </c>
      <c r="D150" s="1" t="s">
        <v>10</v>
      </c>
      <c r="E150" s="1" t="s">
        <v>36368</v>
      </c>
      <c r="F150" s="1" t="s">
        <v>3693</v>
      </c>
      <c r="G150" s="1" t="s">
        <v>36564</v>
      </c>
      <c r="H150" s="1"/>
      <c r="I150" s="1"/>
      <c r="J150" s="1"/>
      <c r="K150" s="1" t="s">
        <v>36823</v>
      </c>
      <c r="L150" s="1" t="s">
        <v>7</v>
      </c>
      <c r="M150" s="1" t="s">
        <v>10</v>
      </c>
      <c r="N150" s="1" t="s">
        <v>36368</v>
      </c>
      <c r="O150" s="1" t="s">
        <v>5496</v>
      </c>
      <c r="P150" s="1" t="s">
        <v>36824</v>
      </c>
      <c r="Q150" s="22">
        <v>0</v>
      </c>
    </row>
    <row x14ac:dyDescent="0.25" r="151" customHeight="1" ht="18.75">
      <c r="A151" s="1"/>
      <c r="B151" s="1" t="s">
        <v>36565</v>
      </c>
      <c r="C151" s="1" t="s">
        <v>7</v>
      </c>
      <c r="D151" s="1" t="s">
        <v>10</v>
      </c>
      <c r="E151" s="1" t="s">
        <v>36368</v>
      </c>
      <c r="F151" s="1" t="s">
        <v>3693</v>
      </c>
      <c r="G151" s="1" t="s">
        <v>36566</v>
      </c>
      <c r="H151" s="1"/>
      <c r="I151" s="1"/>
      <c r="J151" s="1"/>
      <c r="K151" s="1" t="s">
        <v>36825</v>
      </c>
      <c r="L151" s="1" t="s">
        <v>7</v>
      </c>
      <c r="M151" s="1" t="s">
        <v>10</v>
      </c>
      <c r="N151" s="1" t="s">
        <v>36368</v>
      </c>
      <c r="O151" s="1" t="s">
        <v>3598</v>
      </c>
      <c r="P151" s="1" t="s">
        <v>36826</v>
      </c>
      <c r="Q151" s="22">
        <v>0</v>
      </c>
    </row>
    <row x14ac:dyDescent="0.25" r="152" customHeight="1" ht="18.75">
      <c r="A152" s="1"/>
      <c r="B152" s="1" t="s">
        <v>36827</v>
      </c>
      <c r="C152" s="1" t="s">
        <v>7</v>
      </c>
      <c r="D152" s="1" t="s">
        <v>10</v>
      </c>
      <c r="E152" s="1" t="s">
        <v>36395</v>
      </c>
      <c r="F152" s="1" t="s">
        <v>3617</v>
      </c>
      <c r="G152" s="1" t="s">
        <v>36828</v>
      </c>
      <c r="H152" s="1"/>
      <c r="I152" s="1"/>
      <c r="J152" s="1"/>
      <c r="K152" s="1" t="s">
        <v>36829</v>
      </c>
      <c r="L152" s="1" t="s">
        <v>7</v>
      </c>
      <c r="M152" s="1" t="s">
        <v>10</v>
      </c>
      <c r="N152" s="1" t="s">
        <v>36368</v>
      </c>
      <c r="O152" s="1" t="s">
        <v>3598</v>
      </c>
      <c r="P152" s="1" t="s">
        <v>36830</v>
      </c>
      <c r="Q152" s="22">
        <v>0</v>
      </c>
    </row>
    <row x14ac:dyDescent="0.25" r="153" customHeight="1" ht="18.75">
      <c r="A153" s="1"/>
      <c r="B153" s="1" t="s">
        <v>36567</v>
      </c>
      <c r="C153" s="1" t="s">
        <v>7</v>
      </c>
      <c r="D153" s="1" t="s">
        <v>10</v>
      </c>
      <c r="E153" s="1" t="s">
        <v>36368</v>
      </c>
      <c r="F153" s="1" t="s">
        <v>3617</v>
      </c>
      <c r="G153" s="1" t="s">
        <v>36568</v>
      </c>
      <c r="H153" s="1"/>
      <c r="I153" s="1"/>
      <c r="J153" s="1"/>
      <c r="K153" s="1" t="s">
        <v>36831</v>
      </c>
      <c r="L153" s="1" t="s">
        <v>7</v>
      </c>
      <c r="M153" s="1" t="s">
        <v>10</v>
      </c>
      <c r="N153" s="1" t="s">
        <v>36368</v>
      </c>
      <c r="O153" s="1" t="s">
        <v>3693</v>
      </c>
      <c r="P153" s="1" t="s">
        <v>36832</v>
      </c>
      <c r="Q153" s="22">
        <v>0</v>
      </c>
    </row>
    <row x14ac:dyDescent="0.25" r="154" customHeight="1" ht="18.75">
      <c r="A154" s="1"/>
      <c r="B154" s="1" t="s">
        <v>36833</v>
      </c>
      <c r="C154" s="1" t="s">
        <v>7</v>
      </c>
      <c r="D154" s="1" t="s">
        <v>10</v>
      </c>
      <c r="E154" s="1" t="s">
        <v>36395</v>
      </c>
      <c r="F154" s="1" t="s">
        <v>3617</v>
      </c>
      <c r="G154" s="1" t="s">
        <v>36834</v>
      </c>
      <c r="H154" s="1"/>
      <c r="I154" s="1"/>
      <c r="J154" s="1"/>
      <c r="K154" s="1" t="s">
        <v>36835</v>
      </c>
      <c r="L154" s="1" t="s">
        <v>7</v>
      </c>
      <c r="M154" s="1" t="s">
        <v>10</v>
      </c>
      <c r="N154" s="1" t="s">
        <v>36368</v>
      </c>
      <c r="O154" s="1" t="s">
        <v>3693</v>
      </c>
      <c r="P154" s="1" t="s">
        <v>36836</v>
      </c>
      <c r="Q154" s="22">
        <v>0</v>
      </c>
    </row>
    <row x14ac:dyDescent="0.25" r="155" customHeight="1" ht="18.75">
      <c r="A155" s="1"/>
      <c r="B155" s="1" t="s">
        <v>36837</v>
      </c>
      <c r="C155" s="1" t="s">
        <v>7</v>
      </c>
      <c r="D155" s="1" t="s">
        <v>10</v>
      </c>
      <c r="E155" s="1" t="s">
        <v>36395</v>
      </c>
      <c r="F155" s="1" t="s">
        <v>7833</v>
      </c>
      <c r="G155" s="1" t="s">
        <v>36838</v>
      </c>
      <c r="H155" s="1"/>
      <c r="I155" s="1"/>
      <c r="J155" s="1"/>
      <c r="K155" s="1" t="s">
        <v>36839</v>
      </c>
      <c r="L155" s="1" t="s">
        <v>7</v>
      </c>
      <c r="M155" s="1" t="s">
        <v>10</v>
      </c>
      <c r="N155" s="1" t="s">
        <v>36368</v>
      </c>
      <c r="O155" s="1" t="s">
        <v>5496</v>
      </c>
      <c r="P155" s="1" t="s">
        <v>36840</v>
      </c>
      <c r="Q155" s="22">
        <v>0</v>
      </c>
    </row>
    <row x14ac:dyDescent="0.25" r="156" customHeight="1" ht="18.75">
      <c r="A156" s="1"/>
      <c r="B156" s="1" t="s">
        <v>36569</v>
      </c>
      <c r="C156" s="1" t="s">
        <v>7</v>
      </c>
      <c r="D156" s="1" t="s">
        <v>10</v>
      </c>
      <c r="E156" s="1" t="s">
        <v>36368</v>
      </c>
      <c r="F156" s="1" t="s">
        <v>3617</v>
      </c>
      <c r="G156" s="1" t="s">
        <v>36570</v>
      </c>
      <c r="H156" s="1"/>
      <c r="I156" s="1"/>
      <c r="J156" s="1"/>
      <c r="K156" s="1" t="s">
        <v>36841</v>
      </c>
      <c r="L156" s="1" t="s">
        <v>7</v>
      </c>
      <c r="M156" s="1" t="s">
        <v>10</v>
      </c>
      <c r="N156" s="1" t="s">
        <v>36368</v>
      </c>
      <c r="O156" s="1" t="s">
        <v>3598</v>
      </c>
      <c r="P156" s="1" t="s">
        <v>36842</v>
      </c>
      <c r="Q156" s="22">
        <v>0</v>
      </c>
    </row>
    <row x14ac:dyDescent="0.25" r="157" customHeight="1" ht="18.75">
      <c r="A157" s="1"/>
      <c r="B157" s="1" t="s">
        <v>36571</v>
      </c>
      <c r="C157" s="1" t="s">
        <v>7</v>
      </c>
      <c r="D157" s="1" t="s">
        <v>10</v>
      </c>
      <c r="E157" s="1" t="s">
        <v>36368</v>
      </c>
      <c r="F157" s="1" t="s">
        <v>3617</v>
      </c>
      <c r="G157" s="1" t="s">
        <v>36572</v>
      </c>
      <c r="H157" s="1"/>
      <c r="I157" s="1"/>
      <c r="J157" s="1"/>
      <c r="K157" s="1" t="s">
        <v>36843</v>
      </c>
      <c r="L157" s="1" t="s">
        <v>7</v>
      </c>
      <c r="M157" s="1" t="s">
        <v>10</v>
      </c>
      <c r="N157" s="1" t="s">
        <v>36368</v>
      </c>
      <c r="O157" s="1" t="s">
        <v>3693</v>
      </c>
      <c r="P157" s="1" t="s">
        <v>36844</v>
      </c>
      <c r="Q157" s="22">
        <v>0</v>
      </c>
    </row>
    <row x14ac:dyDescent="0.25" r="158" customHeight="1" ht="18.75">
      <c r="A158" s="1"/>
      <c r="B158" s="1" t="s">
        <v>36575</v>
      </c>
      <c r="C158" s="1" t="s">
        <v>7</v>
      </c>
      <c r="D158" s="1" t="s">
        <v>10</v>
      </c>
      <c r="E158" s="1" t="s">
        <v>36368</v>
      </c>
      <c r="F158" s="1" t="s">
        <v>3598</v>
      </c>
      <c r="G158" s="1" t="s">
        <v>36576</v>
      </c>
      <c r="H158" s="1"/>
      <c r="I158" s="1"/>
      <c r="J158" s="1"/>
      <c r="K158" s="1" t="s">
        <v>36845</v>
      </c>
      <c r="L158" s="1" t="s">
        <v>7</v>
      </c>
      <c r="M158" s="1" t="s">
        <v>10</v>
      </c>
      <c r="N158" s="1" t="s">
        <v>36368</v>
      </c>
      <c r="O158" s="1" t="s">
        <v>7833</v>
      </c>
      <c r="P158" s="1" t="s">
        <v>36846</v>
      </c>
      <c r="Q158" s="22">
        <v>0</v>
      </c>
    </row>
    <row x14ac:dyDescent="0.25" r="159" customHeight="1" ht="18.75">
      <c r="A159" s="1"/>
      <c r="B159" s="1" t="s">
        <v>36579</v>
      </c>
      <c r="C159" s="1" t="s">
        <v>7</v>
      </c>
      <c r="D159" s="1" t="s">
        <v>10</v>
      </c>
      <c r="E159" s="1" t="s">
        <v>36368</v>
      </c>
      <c r="F159" s="1" t="s">
        <v>3598</v>
      </c>
      <c r="G159" s="1" t="s">
        <v>36580</v>
      </c>
      <c r="H159" s="1"/>
      <c r="I159" s="1"/>
      <c r="J159" s="1"/>
      <c r="K159" s="1"/>
      <c r="L159" s="1"/>
      <c r="M159" s="1"/>
      <c r="N159" s="1"/>
      <c r="O159" s="1"/>
      <c r="P159" s="1"/>
      <c r="Q159" s="17"/>
    </row>
    <row x14ac:dyDescent="0.25" r="160" customHeight="1" ht="18.75">
      <c r="A160" s="1"/>
      <c r="B160" s="1" t="s">
        <v>36847</v>
      </c>
      <c r="C160" s="1" t="s">
        <v>7</v>
      </c>
      <c r="D160" s="1" t="s">
        <v>10</v>
      </c>
      <c r="E160" s="1" t="s">
        <v>36395</v>
      </c>
      <c r="F160" s="1" t="s">
        <v>3617</v>
      </c>
      <c r="G160" s="1" t="s">
        <v>36848</v>
      </c>
      <c r="H160" s="1"/>
      <c r="I160" s="1"/>
      <c r="J160" s="1"/>
      <c r="K160" s="1"/>
      <c r="L160" s="1"/>
      <c r="M160" s="1"/>
      <c r="N160" s="1"/>
      <c r="O160" s="1"/>
      <c r="P160" s="1"/>
      <c r="Q160" s="17"/>
    </row>
    <row x14ac:dyDescent="0.25" r="161" customHeight="1" ht="18.75">
      <c r="A161" s="1"/>
      <c r="B161" s="1" t="s">
        <v>36583</v>
      </c>
      <c r="C161" s="1" t="s">
        <v>7</v>
      </c>
      <c r="D161" s="1" t="s">
        <v>10</v>
      </c>
      <c r="E161" s="1" t="s">
        <v>36368</v>
      </c>
      <c r="F161" s="1" t="s">
        <v>3617</v>
      </c>
      <c r="G161" s="1" t="s">
        <v>36584</v>
      </c>
      <c r="H161" s="1"/>
      <c r="I161" s="1"/>
      <c r="J161" s="1"/>
      <c r="K161" s="1"/>
      <c r="L161" s="1"/>
      <c r="M161" s="1"/>
      <c r="N161" s="1"/>
      <c r="O161" s="1"/>
      <c r="P161" s="1"/>
      <c r="Q161" s="17"/>
    </row>
    <row x14ac:dyDescent="0.25" r="162" customHeight="1" ht="18.75">
      <c r="A162" s="1"/>
      <c r="B162" s="1" t="s">
        <v>36587</v>
      </c>
      <c r="C162" s="1" t="s">
        <v>7</v>
      </c>
      <c r="D162" s="1" t="s">
        <v>10</v>
      </c>
      <c r="E162" s="1" t="s">
        <v>36368</v>
      </c>
      <c r="F162" s="1" t="s">
        <v>3598</v>
      </c>
      <c r="G162" s="1" t="s">
        <v>36588</v>
      </c>
      <c r="H162" s="1"/>
      <c r="I162" s="1"/>
      <c r="J162" s="1"/>
      <c r="K162" s="1"/>
      <c r="L162" s="1"/>
      <c r="M162" s="1"/>
      <c r="N162" s="1"/>
      <c r="O162" s="1"/>
      <c r="P162" s="1"/>
      <c r="Q162" s="17"/>
    </row>
    <row x14ac:dyDescent="0.25" r="163" customHeight="1" ht="18.75">
      <c r="A163" s="1"/>
      <c r="B163" s="1" t="s">
        <v>36589</v>
      </c>
      <c r="C163" s="1" t="s">
        <v>7</v>
      </c>
      <c r="D163" s="1" t="s">
        <v>10</v>
      </c>
      <c r="E163" s="1" t="s">
        <v>36368</v>
      </c>
      <c r="F163" s="1" t="s">
        <v>3598</v>
      </c>
      <c r="G163" s="1" t="s">
        <v>36590</v>
      </c>
      <c r="H163" s="1"/>
      <c r="I163" s="1"/>
      <c r="J163" s="1"/>
      <c r="K163" s="1"/>
      <c r="L163" s="1"/>
      <c r="M163" s="1"/>
      <c r="N163" s="1"/>
      <c r="O163" s="1"/>
      <c r="P163" s="1"/>
      <c r="Q163" s="17"/>
    </row>
    <row x14ac:dyDescent="0.25" r="164" customHeight="1" ht="18.75">
      <c r="A164" s="1"/>
      <c r="B164" s="1" t="s">
        <v>36593</v>
      </c>
      <c r="C164" s="1" t="s">
        <v>7</v>
      </c>
      <c r="D164" s="1" t="s">
        <v>10</v>
      </c>
      <c r="E164" s="1" t="s">
        <v>36368</v>
      </c>
      <c r="F164" s="1" t="s">
        <v>3693</v>
      </c>
      <c r="G164" s="1" t="s">
        <v>36594</v>
      </c>
      <c r="H164" s="1"/>
      <c r="I164" s="1"/>
      <c r="J164" s="1"/>
      <c r="K164" s="1"/>
      <c r="L164" s="1"/>
      <c r="M164" s="1"/>
      <c r="N164" s="1"/>
      <c r="O164" s="1"/>
      <c r="P164" s="1"/>
      <c r="Q164" s="17"/>
    </row>
    <row x14ac:dyDescent="0.25" r="165" customHeight="1" ht="18.75">
      <c r="A165" s="1"/>
      <c r="B165" s="1" t="s">
        <v>36849</v>
      </c>
      <c r="C165" s="1" t="s">
        <v>7</v>
      </c>
      <c r="D165" s="1" t="s">
        <v>10</v>
      </c>
      <c r="E165" s="1" t="s">
        <v>36395</v>
      </c>
      <c r="F165" s="1" t="s">
        <v>3617</v>
      </c>
      <c r="G165" s="1" t="s">
        <v>36850</v>
      </c>
      <c r="H165" s="1"/>
      <c r="I165" s="1"/>
      <c r="J165" s="1"/>
      <c r="K165" s="1"/>
      <c r="L165" s="1"/>
      <c r="M165" s="1"/>
      <c r="N165" s="1"/>
      <c r="O165" s="1"/>
      <c r="P165" s="1"/>
      <c r="Q165" s="17"/>
    </row>
    <row x14ac:dyDescent="0.25" r="166" customHeight="1" ht="18.75">
      <c r="A166" s="1"/>
      <c r="B166" s="1" t="s">
        <v>36851</v>
      </c>
      <c r="C166" s="1" t="s">
        <v>7</v>
      </c>
      <c r="D166" s="1" t="s">
        <v>10</v>
      </c>
      <c r="E166" s="1" t="s">
        <v>36395</v>
      </c>
      <c r="F166" s="1" t="s">
        <v>3617</v>
      </c>
      <c r="G166" s="1" t="s">
        <v>36852</v>
      </c>
      <c r="H166" s="1"/>
      <c r="I166" s="1"/>
      <c r="J166" s="1"/>
      <c r="K166" s="1"/>
      <c r="L166" s="1"/>
      <c r="M166" s="1"/>
      <c r="N166" s="1"/>
      <c r="O166" s="1"/>
      <c r="P166" s="1"/>
      <c r="Q166" s="17"/>
    </row>
    <row x14ac:dyDescent="0.25" r="167" customHeight="1" ht="18.75">
      <c r="A167" s="1"/>
      <c r="B167" s="1" t="s">
        <v>36853</v>
      </c>
      <c r="C167" s="1" t="s">
        <v>7</v>
      </c>
      <c r="D167" s="1" t="s">
        <v>10</v>
      </c>
      <c r="E167" s="1" t="s">
        <v>36395</v>
      </c>
      <c r="F167" s="1" t="s">
        <v>3617</v>
      </c>
      <c r="G167" s="1" t="s">
        <v>36854</v>
      </c>
      <c r="H167" s="1"/>
      <c r="I167" s="1"/>
      <c r="J167" s="1"/>
      <c r="K167" s="1"/>
      <c r="L167" s="1"/>
      <c r="M167" s="1"/>
      <c r="N167" s="1"/>
      <c r="O167" s="1"/>
      <c r="P167" s="1"/>
      <c r="Q167" s="17"/>
    </row>
    <row x14ac:dyDescent="0.25" r="168" customHeight="1" ht="18.75">
      <c r="A168" s="1"/>
      <c r="B168" s="1" t="s">
        <v>36855</v>
      </c>
      <c r="C168" s="1" t="s">
        <v>7</v>
      </c>
      <c r="D168" s="1" t="s">
        <v>10</v>
      </c>
      <c r="E168" s="1" t="s">
        <v>36395</v>
      </c>
      <c r="F168" s="1" t="s">
        <v>3617</v>
      </c>
      <c r="G168" s="1" t="s">
        <v>36856</v>
      </c>
      <c r="H168" s="1"/>
      <c r="I168" s="1"/>
      <c r="J168" s="1"/>
      <c r="K168" s="1"/>
      <c r="L168" s="1"/>
      <c r="M168" s="1"/>
      <c r="N168" s="1"/>
      <c r="O168" s="1"/>
      <c r="P168" s="1"/>
      <c r="Q168" s="17"/>
    </row>
    <row x14ac:dyDescent="0.25" r="169" customHeight="1" ht="18.75">
      <c r="A169" s="1"/>
      <c r="B169" s="1" t="s">
        <v>36597</v>
      </c>
      <c r="C169" s="1" t="s">
        <v>7</v>
      </c>
      <c r="D169" s="1" t="s">
        <v>10</v>
      </c>
      <c r="E169" s="1" t="s">
        <v>36368</v>
      </c>
      <c r="F169" s="1" t="s">
        <v>3693</v>
      </c>
      <c r="G169" s="1" t="s">
        <v>36598</v>
      </c>
      <c r="H169" s="1"/>
      <c r="I169" s="1"/>
      <c r="J169" s="1"/>
      <c r="K169" s="1"/>
      <c r="L169" s="1"/>
      <c r="M169" s="1"/>
      <c r="N169" s="1"/>
      <c r="O169" s="1"/>
      <c r="P169" s="1"/>
      <c r="Q169" s="17"/>
    </row>
    <row x14ac:dyDescent="0.25" r="170" customHeight="1" ht="18.75">
      <c r="A170" s="1"/>
      <c r="B170" s="1" t="s">
        <v>36601</v>
      </c>
      <c r="C170" s="1" t="s">
        <v>7</v>
      </c>
      <c r="D170" s="1" t="s">
        <v>10</v>
      </c>
      <c r="E170" s="1" t="s">
        <v>36368</v>
      </c>
      <c r="F170" s="1" t="s">
        <v>3617</v>
      </c>
      <c r="G170" s="1" t="s">
        <v>36602</v>
      </c>
      <c r="H170" s="1"/>
      <c r="I170" s="1"/>
      <c r="J170" s="1"/>
      <c r="K170" s="1"/>
      <c r="L170" s="1"/>
      <c r="M170" s="1"/>
      <c r="N170" s="1"/>
      <c r="O170" s="1"/>
      <c r="P170" s="1"/>
      <c r="Q170" s="17"/>
    </row>
    <row x14ac:dyDescent="0.25" r="171" customHeight="1" ht="18.75">
      <c r="A171" s="1"/>
      <c r="B171" s="1" t="s">
        <v>36857</v>
      </c>
      <c r="C171" s="1" t="s">
        <v>7</v>
      </c>
      <c r="D171" s="1" t="s">
        <v>10</v>
      </c>
      <c r="E171" s="1" t="s">
        <v>36395</v>
      </c>
      <c r="F171" s="1" t="s">
        <v>3598</v>
      </c>
      <c r="G171" s="1" t="s">
        <v>36858</v>
      </c>
      <c r="H171" s="1"/>
      <c r="I171" s="1"/>
      <c r="J171" s="1"/>
      <c r="K171" s="1"/>
      <c r="L171" s="1"/>
      <c r="M171" s="1"/>
      <c r="N171" s="1"/>
      <c r="O171" s="1"/>
      <c r="P171" s="1"/>
      <c r="Q171" s="17"/>
    </row>
    <row x14ac:dyDescent="0.25" r="172" customHeight="1" ht="18.75">
      <c r="A172" s="1"/>
      <c r="B172" s="1" t="s">
        <v>36605</v>
      </c>
      <c r="C172" s="1" t="s">
        <v>7</v>
      </c>
      <c r="D172" s="1" t="s">
        <v>10</v>
      </c>
      <c r="E172" s="1" t="s">
        <v>36368</v>
      </c>
      <c r="F172" s="1" t="s">
        <v>3617</v>
      </c>
      <c r="G172" s="1" t="s">
        <v>36606</v>
      </c>
      <c r="H172" s="1"/>
      <c r="I172" s="1"/>
      <c r="J172" s="1"/>
      <c r="K172" s="1"/>
      <c r="L172" s="1"/>
      <c r="M172" s="1"/>
      <c r="N172" s="1"/>
      <c r="O172" s="1"/>
      <c r="P172" s="1"/>
      <c r="Q172" s="17"/>
    </row>
    <row x14ac:dyDescent="0.25" r="173" customHeight="1" ht="18.75">
      <c r="A173" s="1"/>
      <c r="B173" s="1" t="s">
        <v>36859</v>
      </c>
      <c r="C173" s="1" t="s">
        <v>7</v>
      </c>
      <c r="D173" s="1" t="s">
        <v>10</v>
      </c>
      <c r="E173" s="1" t="s">
        <v>36395</v>
      </c>
      <c r="F173" s="1" t="s">
        <v>3617</v>
      </c>
      <c r="G173" s="1" t="s">
        <v>36860</v>
      </c>
      <c r="H173" s="1"/>
      <c r="I173" s="1"/>
      <c r="J173" s="1"/>
      <c r="K173" s="1"/>
      <c r="L173" s="1"/>
      <c r="M173" s="1"/>
      <c r="N173" s="1"/>
      <c r="O173" s="1"/>
      <c r="P173" s="1"/>
      <c r="Q173" s="17"/>
    </row>
    <row x14ac:dyDescent="0.25" r="174" customHeight="1" ht="18.75">
      <c r="A174" s="1"/>
      <c r="B174" s="1" t="s">
        <v>36609</v>
      </c>
      <c r="C174" s="1" t="s">
        <v>7</v>
      </c>
      <c r="D174" s="1" t="s">
        <v>10</v>
      </c>
      <c r="E174" s="1" t="s">
        <v>36368</v>
      </c>
      <c r="F174" s="1" t="s">
        <v>3617</v>
      </c>
      <c r="G174" s="1" t="s">
        <v>36610</v>
      </c>
      <c r="H174" s="1"/>
      <c r="I174" s="1"/>
      <c r="J174" s="1"/>
      <c r="K174" s="1"/>
      <c r="L174" s="1"/>
      <c r="M174" s="1"/>
      <c r="N174" s="1"/>
      <c r="O174" s="1"/>
      <c r="P174" s="1"/>
      <c r="Q174" s="17"/>
    </row>
    <row x14ac:dyDescent="0.25" r="175" customHeight="1" ht="18.75">
      <c r="A175" s="1"/>
      <c r="B175" s="1" t="s">
        <v>36861</v>
      </c>
      <c r="C175" s="1" t="s">
        <v>7</v>
      </c>
      <c r="D175" s="1" t="s">
        <v>10</v>
      </c>
      <c r="E175" s="1" t="s">
        <v>36395</v>
      </c>
      <c r="F175" s="1" t="s">
        <v>3617</v>
      </c>
      <c r="G175" s="1" t="s">
        <v>36862</v>
      </c>
      <c r="H175" s="1"/>
      <c r="I175" s="1"/>
      <c r="J175" s="1"/>
      <c r="K175" s="1"/>
      <c r="L175" s="1"/>
      <c r="M175" s="1"/>
      <c r="N175" s="1"/>
      <c r="O175" s="1"/>
      <c r="P175" s="1"/>
      <c r="Q175" s="17"/>
    </row>
    <row x14ac:dyDescent="0.25" r="176" customHeight="1" ht="18.75">
      <c r="A176" s="1"/>
      <c r="B176" s="1" t="s">
        <v>36863</v>
      </c>
      <c r="C176" s="1" t="s">
        <v>7</v>
      </c>
      <c r="D176" s="1" t="s">
        <v>10</v>
      </c>
      <c r="E176" s="1" t="s">
        <v>36395</v>
      </c>
      <c r="F176" s="1" t="s">
        <v>3693</v>
      </c>
      <c r="G176" s="1" t="s">
        <v>36864</v>
      </c>
      <c r="H176" s="1"/>
      <c r="I176" s="1"/>
      <c r="J176" s="1"/>
      <c r="K176" s="1"/>
      <c r="L176" s="1"/>
      <c r="M176" s="1"/>
      <c r="N176" s="1"/>
      <c r="O176" s="1"/>
      <c r="P176" s="1"/>
      <c r="Q176" s="17"/>
    </row>
    <row x14ac:dyDescent="0.25" r="177" customHeight="1" ht="18.75">
      <c r="A177" s="1"/>
      <c r="B177" s="1" t="s">
        <v>36865</v>
      </c>
      <c r="C177" s="1" t="s">
        <v>7</v>
      </c>
      <c r="D177" s="1" t="s">
        <v>10</v>
      </c>
      <c r="E177" s="1" t="s">
        <v>36395</v>
      </c>
      <c r="F177" s="1" t="s">
        <v>7833</v>
      </c>
      <c r="G177" s="1" t="s">
        <v>36866</v>
      </c>
      <c r="H177" s="1"/>
      <c r="I177" s="1"/>
      <c r="J177" s="1"/>
      <c r="K177" s="1"/>
      <c r="L177" s="1"/>
      <c r="M177" s="1"/>
      <c r="N177" s="1"/>
      <c r="O177" s="1"/>
      <c r="P177" s="1"/>
      <c r="Q177" s="17"/>
    </row>
    <row x14ac:dyDescent="0.25" r="178" customHeight="1" ht="18.75">
      <c r="A178" s="1"/>
      <c r="B178" s="1" t="s">
        <v>36867</v>
      </c>
      <c r="C178" s="1" t="s">
        <v>7</v>
      </c>
      <c r="D178" s="1" t="s">
        <v>10</v>
      </c>
      <c r="E178" s="1" t="s">
        <v>36395</v>
      </c>
      <c r="F178" s="1" t="s">
        <v>3617</v>
      </c>
      <c r="G178" s="1" t="s">
        <v>36868</v>
      </c>
      <c r="H178" s="1"/>
      <c r="I178" s="1"/>
      <c r="J178" s="1"/>
      <c r="K178" s="1"/>
      <c r="L178" s="1"/>
      <c r="M178" s="1"/>
      <c r="N178" s="1"/>
      <c r="O178" s="1"/>
      <c r="P178" s="1"/>
      <c r="Q178" s="17"/>
    </row>
    <row x14ac:dyDescent="0.25" r="179" customHeight="1" ht="18.75">
      <c r="A179" s="1"/>
      <c r="B179" s="1" t="s">
        <v>36869</v>
      </c>
      <c r="C179" s="1" t="s">
        <v>7</v>
      </c>
      <c r="D179" s="1" t="s">
        <v>10</v>
      </c>
      <c r="E179" s="1" t="s">
        <v>36395</v>
      </c>
      <c r="F179" s="1" t="s">
        <v>7833</v>
      </c>
      <c r="G179" s="1" t="s">
        <v>36870</v>
      </c>
      <c r="H179" s="1"/>
      <c r="I179" s="1"/>
      <c r="J179" s="1"/>
      <c r="K179" s="1"/>
      <c r="L179" s="1"/>
      <c r="M179" s="1"/>
      <c r="N179" s="1"/>
      <c r="O179" s="1"/>
      <c r="P179" s="1"/>
      <c r="Q179" s="17"/>
    </row>
    <row x14ac:dyDescent="0.25" r="180" customHeight="1" ht="18.75">
      <c r="A180" s="1"/>
      <c r="B180" s="1" t="s">
        <v>36871</v>
      </c>
      <c r="C180" s="1" t="s">
        <v>7</v>
      </c>
      <c r="D180" s="1" t="s">
        <v>10</v>
      </c>
      <c r="E180" s="1" t="s">
        <v>36395</v>
      </c>
      <c r="F180" s="1" t="s">
        <v>3693</v>
      </c>
      <c r="G180" s="1" t="s">
        <v>36872</v>
      </c>
      <c r="H180" s="1"/>
      <c r="I180" s="1"/>
      <c r="J180" s="1"/>
      <c r="K180" s="1"/>
      <c r="L180" s="1"/>
      <c r="M180" s="1"/>
      <c r="N180" s="1"/>
      <c r="O180" s="1"/>
      <c r="P180" s="1"/>
      <c r="Q180" s="17"/>
    </row>
    <row x14ac:dyDescent="0.25" r="181" customHeight="1" ht="18.75">
      <c r="A181" s="1"/>
      <c r="B181" s="1" t="s">
        <v>36873</v>
      </c>
      <c r="C181" s="1" t="s">
        <v>7</v>
      </c>
      <c r="D181" s="1" t="s">
        <v>10</v>
      </c>
      <c r="E181" s="1" t="s">
        <v>36395</v>
      </c>
      <c r="F181" s="1" t="s">
        <v>3617</v>
      </c>
      <c r="G181" s="1" t="s">
        <v>36874</v>
      </c>
      <c r="H181" s="1"/>
      <c r="I181" s="1"/>
      <c r="J181" s="1"/>
      <c r="K181" s="1"/>
      <c r="L181" s="1"/>
      <c r="M181" s="1"/>
      <c r="N181" s="1"/>
      <c r="O181" s="1"/>
      <c r="P181" s="1"/>
      <c r="Q181" s="17"/>
    </row>
    <row x14ac:dyDescent="0.25" r="182" customHeight="1" ht="18.75">
      <c r="A182" s="1"/>
      <c r="B182" s="1" t="s">
        <v>36875</v>
      </c>
      <c r="C182" s="1" t="s">
        <v>7</v>
      </c>
      <c r="D182" s="1" t="s">
        <v>10</v>
      </c>
      <c r="E182" s="1" t="s">
        <v>36395</v>
      </c>
      <c r="F182" s="1" t="s">
        <v>3617</v>
      </c>
      <c r="G182" s="1" t="s">
        <v>36876</v>
      </c>
      <c r="H182" s="1"/>
      <c r="I182" s="1"/>
      <c r="J182" s="1"/>
      <c r="K182" s="1"/>
      <c r="L182" s="1"/>
      <c r="M182" s="1"/>
      <c r="N182" s="1"/>
      <c r="O182" s="1"/>
      <c r="P182" s="1"/>
      <c r="Q182" s="17"/>
    </row>
    <row x14ac:dyDescent="0.25" r="183" customHeight="1" ht="18.75">
      <c r="A183" s="1"/>
      <c r="B183" s="1" t="s">
        <v>36877</v>
      </c>
      <c r="C183" s="1" t="s">
        <v>7</v>
      </c>
      <c r="D183" s="1" t="s">
        <v>10</v>
      </c>
      <c r="E183" s="1" t="s">
        <v>36395</v>
      </c>
      <c r="F183" s="1" t="s">
        <v>3617</v>
      </c>
      <c r="G183" s="1" t="s">
        <v>36878</v>
      </c>
      <c r="H183" s="1"/>
      <c r="I183" s="1"/>
      <c r="J183" s="1"/>
      <c r="K183" s="1"/>
      <c r="L183" s="1"/>
      <c r="M183" s="1"/>
      <c r="N183" s="1"/>
      <c r="O183" s="1"/>
      <c r="P183" s="1"/>
      <c r="Q183" s="17"/>
    </row>
    <row x14ac:dyDescent="0.25" r="184" customHeight="1" ht="18.75">
      <c r="A184" s="1"/>
      <c r="B184" s="1" t="s">
        <v>36879</v>
      </c>
      <c r="C184" s="1" t="s">
        <v>7</v>
      </c>
      <c r="D184" s="1" t="s">
        <v>10</v>
      </c>
      <c r="E184" s="1" t="s">
        <v>36395</v>
      </c>
      <c r="F184" s="1" t="s">
        <v>7833</v>
      </c>
      <c r="G184" s="1" t="s">
        <v>36880</v>
      </c>
      <c r="H184" s="1"/>
      <c r="I184" s="1"/>
      <c r="J184" s="1"/>
      <c r="K184" s="1"/>
      <c r="L184" s="1"/>
      <c r="M184" s="1"/>
      <c r="N184" s="1"/>
      <c r="O184" s="1"/>
      <c r="P184" s="1"/>
      <c r="Q184" s="17"/>
    </row>
    <row x14ac:dyDescent="0.25" r="185" customHeight="1" ht="18.75">
      <c r="A185" s="1"/>
      <c r="B185" s="1" t="s">
        <v>36881</v>
      </c>
      <c r="C185" s="1" t="s">
        <v>7</v>
      </c>
      <c r="D185" s="1" t="s">
        <v>10</v>
      </c>
      <c r="E185" s="1" t="s">
        <v>36395</v>
      </c>
      <c r="F185" s="1" t="s">
        <v>3617</v>
      </c>
      <c r="G185" s="1" t="s">
        <v>36882</v>
      </c>
      <c r="H185" s="1"/>
      <c r="I185" s="1"/>
      <c r="J185" s="1"/>
      <c r="K185" s="1"/>
      <c r="L185" s="1"/>
      <c r="M185" s="1"/>
      <c r="N185" s="1"/>
      <c r="O185" s="1"/>
      <c r="P185" s="1"/>
      <c r="Q185" s="17"/>
    </row>
    <row x14ac:dyDescent="0.25" r="186" customHeight="1" ht="18.75">
      <c r="A186" s="1"/>
      <c r="B186" s="1" t="s">
        <v>36613</v>
      </c>
      <c r="C186" s="1" t="s">
        <v>7</v>
      </c>
      <c r="D186" s="1" t="s">
        <v>10</v>
      </c>
      <c r="E186" s="1" t="s">
        <v>36368</v>
      </c>
      <c r="F186" s="1" t="s">
        <v>3598</v>
      </c>
      <c r="G186" s="1" t="s">
        <v>36614</v>
      </c>
      <c r="H186" s="1"/>
      <c r="I186" s="1"/>
      <c r="J186" s="1"/>
      <c r="K186" s="1"/>
      <c r="L186" s="1"/>
      <c r="M186" s="1"/>
      <c r="N186" s="1"/>
      <c r="O186" s="1"/>
      <c r="P186" s="1"/>
      <c r="Q186" s="17"/>
    </row>
    <row x14ac:dyDescent="0.25" r="187" customHeight="1" ht="18.75">
      <c r="A187" s="1"/>
      <c r="B187" s="1" t="s">
        <v>36615</v>
      </c>
      <c r="C187" s="1" t="s">
        <v>7</v>
      </c>
      <c r="D187" s="1" t="s">
        <v>10</v>
      </c>
      <c r="E187" s="1" t="s">
        <v>36368</v>
      </c>
      <c r="F187" s="1" t="s">
        <v>3598</v>
      </c>
      <c r="G187" s="1" t="s">
        <v>36616</v>
      </c>
      <c r="H187" s="1"/>
      <c r="I187" s="1"/>
      <c r="J187" s="1"/>
      <c r="K187" s="1"/>
      <c r="L187" s="1"/>
      <c r="M187" s="1"/>
      <c r="N187" s="1"/>
      <c r="O187" s="1"/>
      <c r="P187" s="1"/>
      <c r="Q187" s="17"/>
    </row>
    <row x14ac:dyDescent="0.25" r="188" customHeight="1" ht="18.75">
      <c r="A188" s="1"/>
      <c r="B188" s="1" t="s">
        <v>36883</v>
      </c>
      <c r="C188" s="1" t="s">
        <v>7</v>
      </c>
      <c r="D188" s="1" t="s">
        <v>10</v>
      </c>
      <c r="E188" s="1" t="s">
        <v>36395</v>
      </c>
      <c r="F188" s="1" t="s">
        <v>7833</v>
      </c>
      <c r="G188" s="1" t="s">
        <v>36884</v>
      </c>
      <c r="H188" s="1"/>
      <c r="I188" s="1"/>
      <c r="J188" s="1"/>
      <c r="K188" s="1"/>
      <c r="L188" s="1"/>
      <c r="M188" s="1"/>
      <c r="N188" s="1"/>
      <c r="O188" s="1"/>
      <c r="P188" s="1"/>
      <c r="Q188" s="17"/>
    </row>
    <row x14ac:dyDescent="0.25" r="189" customHeight="1" ht="18.75">
      <c r="A189" s="1"/>
      <c r="B189" s="1" t="s">
        <v>36885</v>
      </c>
      <c r="C189" s="1" t="s">
        <v>7</v>
      </c>
      <c r="D189" s="1" t="s">
        <v>10</v>
      </c>
      <c r="E189" s="1" t="s">
        <v>36395</v>
      </c>
      <c r="F189" s="1" t="s">
        <v>3617</v>
      </c>
      <c r="G189" s="1" t="s">
        <v>36886</v>
      </c>
      <c r="H189" s="1"/>
      <c r="I189" s="1"/>
      <c r="J189" s="1"/>
      <c r="K189" s="1"/>
      <c r="L189" s="1"/>
      <c r="M189" s="1"/>
      <c r="N189" s="1"/>
      <c r="O189" s="1"/>
      <c r="P189" s="1"/>
      <c r="Q189" s="17"/>
    </row>
    <row x14ac:dyDescent="0.25" r="190" customHeight="1" ht="18.75">
      <c r="A190" s="1"/>
      <c r="B190" s="1" t="s">
        <v>36887</v>
      </c>
      <c r="C190" s="1" t="s">
        <v>7</v>
      </c>
      <c r="D190" s="1" t="s">
        <v>10</v>
      </c>
      <c r="E190" s="1" t="s">
        <v>36395</v>
      </c>
      <c r="F190" s="1" t="s">
        <v>3617</v>
      </c>
      <c r="G190" s="1" t="s">
        <v>36888</v>
      </c>
      <c r="H190" s="1"/>
      <c r="I190" s="1"/>
      <c r="J190" s="1"/>
      <c r="K190" s="1"/>
      <c r="L190" s="1"/>
      <c r="M190" s="1"/>
      <c r="N190" s="1"/>
      <c r="O190" s="1"/>
      <c r="P190" s="1"/>
      <c r="Q190" s="17"/>
    </row>
    <row x14ac:dyDescent="0.25" r="191" customHeight="1" ht="18.75">
      <c r="A191" s="1"/>
      <c r="B191" s="1" t="s">
        <v>36889</v>
      </c>
      <c r="C191" s="1" t="s">
        <v>7</v>
      </c>
      <c r="D191" s="1" t="s">
        <v>10</v>
      </c>
      <c r="E191" s="1" t="s">
        <v>36395</v>
      </c>
      <c r="F191" s="1" t="s">
        <v>3617</v>
      </c>
      <c r="G191" s="1" t="s">
        <v>36890</v>
      </c>
      <c r="H191" s="1"/>
      <c r="I191" s="1"/>
      <c r="J191" s="1"/>
      <c r="K191" s="1"/>
      <c r="L191" s="1"/>
      <c r="M191" s="1"/>
      <c r="N191" s="1"/>
      <c r="O191" s="1"/>
      <c r="P191" s="1"/>
      <c r="Q191" s="17"/>
    </row>
    <row x14ac:dyDescent="0.25" r="192" customHeight="1" ht="18.75">
      <c r="A192" s="1"/>
      <c r="B192" s="1" t="s">
        <v>36891</v>
      </c>
      <c r="C192" s="1" t="s">
        <v>7</v>
      </c>
      <c r="D192" s="1" t="s">
        <v>10</v>
      </c>
      <c r="E192" s="1" t="s">
        <v>36395</v>
      </c>
      <c r="F192" s="1" t="s">
        <v>3617</v>
      </c>
      <c r="G192" s="1" t="s">
        <v>36892</v>
      </c>
      <c r="H192" s="1"/>
      <c r="I192" s="1"/>
      <c r="J192" s="1"/>
      <c r="K192" s="1"/>
      <c r="L192" s="1"/>
      <c r="M192" s="1"/>
      <c r="N192" s="1"/>
      <c r="O192" s="1"/>
      <c r="P192" s="1"/>
      <c r="Q192" s="17"/>
    </row>
    <row x14ac:dyDescent="0.25" r="193" customHeight="1" ht="18.75">
      <c r="A193" s="1"/>
      <c r="B193" s="1" t="s">
        <v>36617</v>
      </c>
      <c r="C193" s="1" t="s">
        <v>7</v>
      </c>
      <c r="D193" s="1" t="s">
        <v>10</v>
      </c>
      <c r="E193" s="1" t="s">
        <v>36368</v>
      </c>
      <c r="F193" s="1" t="s">
        <v>3598</v>
      </c>
      <c r="G193" s="1" t="s">
        <v>36618</v>
      </c>
      <c r="H193" s="1"/>
      <c r="I193" s="1"/>
      <c r="J193" s="1"/>
      <c r="K193" s="1"/>
      <c r="L193" s="1"/>
      <c r="M193" s="1"/>
      <c r="N193" s="1"/>
      <c r="O193" s="1"/>
      <c r="P193" s="1"/>
      <c r="Q193" s="17"/>
    </row>
    <row x14ac:dyDescent="0.25" r="194" customHeight="1" ht="18.75">
      <c r="A194" s="1"/>
      <c r="B194" s="1" t="s">
        <v>36619</v>
      </c>
      <c r="C194" s="1" t="s">
        <v>7</v>
      </c>
      <c r="D194" s="1" t="s">
        <v>10</v>
      </c>
      <c r="E194" s="1" t="s">
        <v>36368</v>
      </c>
      <c r="F194" s="1" t="s">
        <v>3598</v>
      </c>
      <c r="G194" s="1" t="s">
        <v>36620</v>
      </c>
      <c r="H194" s="1"/>
      <c r="I194" s="1"/>
      <c r="J194" s="1"/>
      <c r="K194" s="1"/>
      <c r="L194" s="1"/>
      <c r="M194" s="1"/>
      <c r="N194" s="1"/>
      <c r="O194" s="1"/>
      <c r="P194" s="1"/>
      <c r="Q194" s="17"/>
    </row>
    <row x14ac:dyDescent="0.25" r="195" customHeight="1" ht="18.75">
      <c r="A195" s="1"/>
      <c r="B195" s="1" t="s">
        <v>36893</v>
      </c>
      <c r="C195" s="1" t="s">
        <v>7</v>
      </c>
      <c r="D195" s="1" t="s">
        <v>10</v>
      </c>
      <c r="E195" s="1" t="s">
        <v>36395</v>
      </c>
      <c r="F195" s="1" t="s">
        <v>3617</v>
      </c>
      <c r="G195" s="1" t="s">
        <v>36894</v>
      </c>
      <c r="H195" s="1"/>
      <c r="I195" s="1"/>
      <c r="J195" s="1"/>
      <c r="K195" s="1"/>
      <c r="L195" s="1"/>
      <c r="M195" s="1"/>
      <c r="N195" s="1"/>
      <c r="O195" s="1"/>
      <c r="P195" s="1"/>
      <c r="Q195" s="17"/>
    </row>
    <row x14ac:dyDescent="0.25" r="196" customHeight="1" ht="18.75">
      <c r="A196" s="1"/>
      <c r="B196" s="1" t="s">
        <v>36621</v>
      </c>
      <c r="C196" s="1" t="s">
        <v>7</v>
      </c>
      <c r="D196" s="1" t="s">
        <v>10</v>
      </c>
      <c r="E196" s="1" t="s">
        <v>36368</v>
      </c>
      <c r="F196" s="1" t="s">
        <v>3617</v>
      </c>
      <c r="G196" s="1" t="s">
        <v>36622</v>
      </c>
      <c r="H196" s="1"/>
      <c r="I196" s="1"/>
      <c r="J196" s="1"/>
      <c r="K196" s="1"/>
      <c r="L196" s="1"/>
      <c r="M196" s="1"/>
      <c r="N196" s="1"/>
      <c r="O196" s="1"/>
      <c r="P196" s="1"/>
      <c r="Q196" s="17"/>
    </row>
    <row x14ac:dyDescent="0.25" r="197" customHeight="1" ht="18.75">
      <c r="A197" s="1"/>
      <c r="B197" s="1" t="s">
        <v>36895</v>
      </c>
      <c r="C197" s="1" t="s">
        <v>7</v>
      </c>
      <c r="D197" s="1" t="s">
        <v>10</v>
      </c>
      <c r="E197" s="1" t="s">
        <v>36395</v>
      </c>
      <c r="F197" s="1" t="s">
        <v>3617</v>
      </c>
      <c r="G197" s="1" t="s">
        <v>36896</v>
      </c>
      <c r="H197" s="1"/>
      <c r="I197" s="1"/>
      <c r="J197" s="1"/>
      <c r="K197" s="1"/>
      <c r="L197" s="1"/>
      <c r="M197" s="1"/>
      <c r="N197" s="1"/>
      <c r="O197" s="1"/>
      <c r="P197" s="1"/>
      <c r="Q197" s="17"/>
    </row>
    <row x14ac:dyDescent="0.25" r="198" customHeight="1" ht="18.75">
      <c r="A198" s="1"/>
      <c r="B198" s="1" t="s">
        <v>36897</v>
      </c>
      <c r="C198" s="1" t="s">
        <v>7</v>
      </c>
      <c r="D198" s="1" t="s">
        <v>10</v>
      </c>
      <c r="E198" s="1" t="s">
        <v>36395</v>
      </c>
      <c r="F198" s="1" t="s">
        <v>3617</v>
      </c>
      <c r="G198" s="1" t="s">
        <v>36898</v>
      </c>
      <c r="H198" s="1"/>
      <c r="I198" s="1"/>
      <c r="J198" s="1"/>
      <c r="K198" s="1"/>
      <c r="L198" s="1"/>
      <c r="M198" s="1"/>
      <c r="N198" s="1"/>
      <c r="O198" s="1"/>
      <c r="P198" s="1"/>
      <c r="Q198" s="17"/>
    </row>
    <row x14ac:dyDescent="0.25" r="199" customHeight="1" ht="18.75">
      <c r="A199" s="1"/>
      <c r="B199" s="1" t="s">
        <v>36623</v>
      </c>
      <c r="C199" s="1" t="s">
        <v>7</v>
      </c>
      <c r="D199" s="1" t="s">
        <v>10</v>
      </c>
      <c r="E199" s="1" t="s">
        <v>36368</v>
      </c>
      <c r="F199" s="1" t="s">
        <v>3617</v>
      </c>
      <c r="G199" s="1" t="s">
        <v>36624</v>
      </c>
      <c r="H199" s="1"/>
      <c r="I199" s="1"/>
      <c r="J199" s="1"/>
      <c r="K199" s="1"/>
      <c r="L199" s="1"/>
      <c r="M199" s="1"/>
      <c r="N199" s="1"/>
      <c r="O199" s="1"/>
      <c r="P199" s="1"/>
      <c r="Q199" s="17"/>
    </row>
    <row x14ac:dyDescent="0.25" r="200" customHeight="1" ht="18.75">
      <c r="A200" s="1"/>
      <c r="B200" s="1" t="s">
        <v>36899</v>
      </c>
      <c r="C200" s="1" t="s">
        <v>7</v>
      </c>
      <c r="D200" s="1" t="s">
        <v>10</v>
      </c>
      <c r="E200" s="1" t="s">
        <v>36395</v>
      </c>
      <c r="F200" s="1" t="s">
        <v>3693</v>
      </c>
      <c r="G200" s="1" t="s">
        <v>36900</v>
      </c>
      <c r="H200" s="1"/>
      <c r="I200" s="1"/>
      <c r="J200" s="1"/>
      <c r="K200" s="1"/>
      <c r="L200" s="1"/>
      <c r="M200" s="1"/>
      <c r="N200" s="1"/>
      <c r="O200" s="1"/>
      <c r="P200" s="1"/>
      <c r="Q200" s="17"/>
    </row>
    <row x14ac:dyDescent="0.25" r="201" customHeight="1" ht="18.75">
      <c r="A201" s="1"/>
      <c r="B201" s="1" t="s">
        <v>36625</v>
      </c>
      <c r="C201" s="1" t="s">
        <v>7</v>
      </c>
      <c r="D201" s="1" t="s">
        <v>10</v>
      </c>
      <c r="E201" s="1" t="s">
        <v>36368</v>
      </c>
      <c r="F201" s="1" t="s">
        <v>3617</v>
      </c>
      <c r="G201" s="1" t="s">
        <v>36626</v>
      </c>
      <c r="H201" s="1"/>
      <c r="I201" s="1"/>
      <c r="J201" s="1"/>
      <c r="K201" s="1"/>
      <c r="L201" s="1"/>
      <c r="M201" s="1"/>
      <c r="N201" s="1"/>
      <c r="O201" s="1"/>
      <c r="P201" s="1"/>
      <c r="Q201" s="17"/>
    </row>
    <row x14ac:dyDescent="0.25" r="202" customHeight="1" ht="18.75">
      <c r="A202" s="1"/>
      <c r="B202" s="1" t="s">
        <v>36901</v>
      </c>
      <c r="C202" s="1" t="s">
        <v>7</v>
      </c>
      <c r="D202" s="1" t="s">
        <v>10</v>
      </c>
      <c r="E202" s="1" t="s">
        <v>36395</v>
      </c>
      <c r="F202" s="1" t="s">
        <v>3617</v>
      </c>
      <c r="G202" s="1" t="s">
        <v>36902</v>
      </c>
      <c r="H202" s="1"/>
      <c r="I202" s="1"/>
      <c r="J202" s="1"/>
      <c r="K202" s="1"/>
      <c r="L202" s="1"/>
      <c r="M202" s="1"/>
      <c r="N202" s="1"/>
      <c r="O202" s="1"/>
      <c r="P202" s="1"/>
      <c r="Q202" s="17"/>
    </row>
    <row x14ac:dyDescent="0.25" r="203" customHeight="1" ht="18.75">
      <c r="A203" s="1"/>
      <c r="B203" s="1" t="s">
        <v>36903</v>
      </c>
      <c r="C203" s="1" t="s">
        <v>7</v>
      </c>
      <c r="D203" s="1" t="s">
        <v>10</v>
      </c>
      <c r="E203" s="1" t="s">
        <v>36395</v>
      </c>
      <c r="F203" s="1" t="s">
        <v>3617</v>
      </c>
      <c r="G203" s="1" t="s">
        <v>36904</v>
      </c>
      <c r="H203" s="1"/>
      <c r="I203" s="1"/>
      <c r="J203" s="1"/>
      <c r="K203" s="1"/>
      <c r="L203" s="1"/>
      <c r="M203" s="1"/>
      <c r="N203" s="1"/>
      <c r="O203" s="1"/>
      <c r="P203" s="1"/>
      <c r="Q203" s="17"/>
    </row>
    <row x14ac:dyDescent="0.25" r="204" customHeight="1" ht="18.75">
      <c r="A204" s="1"/>
      <c r="B204" s="1" t="s">
        <v>36905</v>
      </c>
      <c r="C204" s="1" t="s">
        <v>7</v>
      </c>
      <c r="D204" s="1" t="s">
        <v>10</v>
      </c>
      <c r="E204" s="1" t="s">
        <v>36395</v>
      </c>
      <c r="F204" s="1" t="s">
        <v>7833</v>
      </c>
      <c r="G204" s="1" t="s">
        <v>36906</v>
      </c>
      <c r="H204" s="1"/>
      <c r="I204" s="1"/>
      <c r="J204" s="1"/>
      <c r="K204" s="1"/>
      <c r="L204" s="1"/>
      <c r="M204" s="1"/>
      <c r="N204" s="1"/>
      <c r="O204" s="1"/>
      <c r="P204" s="1"/>
      <c r="Q204" s="17"/>
    </row>
    <row x14ac:dyDescent="0.25" r="205" customHeight="1" ht="18.75">
      <c r="A205" s="1"/>
      <c r="B205" s="1" t="s">
        <v>36907</v>
      </c>
      <c r="C205" s="1" t="s">
        <v>7</v>
      </c>
      <c r="D205" s="1" t="s">
        <v>10</v>
      </c>
      <c r="E205" s="1" t="s">
        <v>36395</v>
      </c>
      <c r="F205" s="1" t="s">
        <v>7833</v>
      </c>
      <c r="G205" s="1" t="s">
        <v>36908</v>
      </c>
      <c r="H205" s="1"/>
      <c r="I205" s="1"/>
      <c r="J205" s="1"/>
      <c r="K205" s="1"/>
      <c r="L205" s="1"/>
      <c r="M205" s="1"/>
      <c r="N205" s="1"/>
      <c r="O205" s="1"/>
      <c r="P205" s="1"/>
      <c r="Q205" s="17"/>
    </row>
    <row x14ac:dyDescent="0.25" r="206" customHeight="1" ht="18.75">
      <c r="A206" s="1"/>
      <c r="B206" s="1" t="s">
        <v>36629</v>
      </c>
      <c r="C206" s="1" t="s">
        <v>7</v>
      </c>
      <c r="D206" s="1" t="s">
        <v>10</v>
      </c>
      <c r="E206" s="1" t="s">
        <v>36368</v>
      </c>
      <c r="F206" s="1" t="s">
        <v>3617</v>
      </c>
      <c r="G206" s="1" t="s">
        <v>36630</v>
      </c>
      <c r="H206" s="1"/>
      <c r="I206" s="1"/>
      <c r="J206" s="1"/>
      <c r="K206" s="1"/>
      <c r="L206" s="1"/>
      <c r="M206" s="1"/>
      <c r="N206" s="1"/>
      <c r="O206" s="1"/>
      <c r="P206" s="1"/>
      <c r="Q206" s="17"/>
    </row>
    <row x14ac:dyDescent="0.25" r="207" customHeight="1" ht="18.75">
      <c r="A207" s="1"/>
      <c r="B207" s="1" t="s">
        <v>36909</v>
      </c>
      <c r="C207" s="1" t="s">
        <v>7</v>
      </c>
      <c r="D207" s="1" t="s">
        <v>10</v>
      </c>
      <c r="E207" s="1" t="s">
        <v>36395</v>
      </c>
      <c r="F207" s="1" t="s">
        <v>7833</v>
      </c>
      <c r="G207" s="1" t="s">
        <v>36910</v>
      </c>
      <c r="H207" s="1"/>
      <c r="I207" s="1"/>
      <c r="J207" s="1"/>
      <c r="K207" s="1"/>
      <c r="L207" s="1"/>
      <c r="M207" s="1"/>
      <c r="N207" s="1"/>
      <c r="O207" s="1"/>
      <c r="P207" s="1"/>
      <c r="Q207" s="17"/>
    </row>
    <row x14ac:dyDescent="0.25" r="208" customHeight="1" ht="18.75">
      <c r="A208" s="1"/>
      <c r="B208" s="1" t="s">
        <v>36911</v>
      </c>
      <c r="C208" s="1" t="s">
        <v>7</v>
      </c>
      <c r="D208" s="1" t="s">
        <v>10</v>
      </c>
      <c r="E208" s="1" t="s">
        <v>36395</v>
      </c>
      <c r="F208" s="1" t="s">
        <v>3693</v>
      </c>
      <c r="G208" s="1" t="s">
        <v>36912</v>
      </c>
      <c r="H208" s="1"/>
      <c r="I208" s="1"/>
      <c r="J208" s="1"/>
      <c r="K208" s="1"/>
      <c r="L208" s="1"/>
      <c r="M208" s="1"/>
      <c r="N208" s="1"/>
      <c r="O208" s="1"/>
      <c r="P208" s="1"/>
      <c r="Q208" s="17"/>
    </row>
    <row x14ac:dyDescent="0.25" r="209" customHeight="1" ht="18.75">
      <c r="A209" s="1"/>
      <c r="B209" s="1" t="s">
        <v>36913</v>
      </c>
      <c r="C209" s="1" t="s">
        <v>7</v>
      </c>
      <c r="D209" s="1" t="s">
        <v>10</v>
      </c>
      <c r="E209" s="1" t="s">
        <v>36395</v>
      </c>
      <c r="F209" s="1" t="s">
        <v>3693</v>
      </c>
      <c r="G209" s="1" t="s">
        <v>36914</v>
      </c>
      <c r="H209" s="1"/>
      <c r="I209" s="1"/>
      <c r="J209" s="1"/>
      <c r="K209" s="1"/>
      <c r="L209" s="1"/>
      <c r="M209" s="1"/>
      <c r="N209" s="1"/>
      <c r="O209" s="1"/>
      <c r="P209" s="1"/>
      <c r="Q209" s="17"/>
    </row>
    <row x14ac:dyDescent="0.25" r="210" customHeight="1" ht="18.75">
      <c r="A210" s="1"/>
      <c r="B210" s="1" t="s">
        <v>36915</v>
      </c>
      <c r="C210" s="1" t="s">
        <v>7</v>
      </c>
      <c r="D210" s="1" t="s">
        <v>10</v>
      </c>
      <c r="E210" s="1" t="s">
        <v>36395</v>
      </c>
      <c r="F210" s="1" t="s">
        <v>3693</v>
      </c>
      <c r="G210" s="1" t="s">
        <v>36916</v>
      </c>
      <c r="H210" s="1"/>
      <c r="I210" s="1"/>
      <c r="J210" s="1"/>
      <c r="K210" s="1"/>
      <c r="L210" s="1"/>
      <c r="M210" s="1"/>
      <c r="N210" s="1"/>
      <c r="O210" s="1"/>
      <c r="P210" s="1"/>
      <c r="Q210" s="17"/>
    </row>
    <row x14ac:dyDescent="0.25" r="211" customHeight="1" ht="18.75">
      <c r="A211" s="1"/>
      <c r="B211" s="1" t="s">
        <v>36917</v>
      </c>
      <c r="C211" s="1" t="s">
        <v>7</v>
      </c>
      <c r="D211" s="1" t="s">
        <v>10</v>
      </c>
      <c r="E211" s="1" t="s">
        <v>36395</v>
      </c>
      <c r="F211" s="1" t="s">
        <v>3693</v>
      </c>
      <c r="G211" s="1" t="s">
        <v>36918</v>
      </c>
      <c r="H211" s="1"/>
      <c r="I211" s="1"/>
      <c r="J211" s="1"/>
      <c r="K211" s="1"/>
      <c r="L211" s="1"/>
      <c r="M211" s="1"/>
      <c r="N211" s="1"/>
      <c r="O211" s="1"/>
      <c r="P211" s="1"/>
      <c r="Q211" s="17"/>
    </row>
    <row x14ac:dyDescent="0.25" r="212" customHeight="1" ht="18.75">
      <c r="A212" s="1"/>
      <c r="B212" s="1" t="s">
        <v>36919</v>
      </c>
      <c r="C212" s="1" t="s">
        <v>7</v>
      </c>
      <c r="D212" s="1" t="s">
        <v>10</v>
      </c>
      <c r="E212" s="1" t="s">
        <v>36395</v>
      </c>
      <c r="F212" s="1" t="s">
        <v>3617</v>
      </c>
      <c r="G212" s="1" t="s">
        <v>36920</v>
      </c>
      <c r="H212" s="1"/>
      <c r="I212" s="1"/>
      <c r="J212" s="1"/>
      <c r="K212" s="1"/>
      <c r="L212" s="1"/>
      <c r="M212" s="1"/>
      <c r="N212" s="1"/>
      <c r="O212" s="1"/>
      <c r="P212" s="1"/>
      <c r="Q212" s="17"/>
    </row>
    <row x14ac:dyDescent="0.25" r="213" customHeight="1" ht="18.75">
      <c r="A213" s="1"/>
      <c r="B213" s="1" t="s">
        <v>36921</v>
      </c>
      <c r="C213" s="1" t="s">
        <v>7</v>
      </c>
      <c r="D213" s="1" t="s">
        <v>10</v>
      </c>
      <c r="E213" s="1" t="s">
        <v>36395</v>
      </c>
      <c r="F213" s="1" t="s">
        <v>3598</v>
      </c>
      <c r="G213" s="1" t="s">
        <v>36922</v>
      </c>
      <c r="H213" s="1"/>
      <c r="I213" s="1"/>
      <c r="J213" s="1"/>
      <c r="K213" s="1"/>
      <c r="L213" s="1"/>
      <c r="M213" s="1"/>
      <c r="N213" s="1"/>
      <c r="O213" s="1"/>
      <c r="P213" s="1"/>
      <c r="Q213" s="17"/>
    </row>
    <row x14ac:dyDescent="0.25" r="214" customHeight="1" ht="18.75">
      <c r="A214" s="1"/>
      <c r="B214" s="1" t="s">
        <v>36633</v>
      </c>
      <c r="C214" s="1" t="s">
        <v>7</v>
      </c>
      <c r="D214" s="1" t="s">
        <v>10</v>
      </c>
      <c r="E214" s="1" t="s">
        <v>36368</v>
      </c>
      <c r="F214" s="1" t="s">
        <v>3598</v>
      </c>
      <c r="G214" s="1" t="s">
        <v>36634</v>
      </c>
      <c r="H214" s="1"/>
      <c r="I214" s="1"/>
      <c r="J214" s="1"/>
      <c r="K214" s="1"/>
      <c r="L214" s="1"/>
      <c r="M214" s="1"/>
      <c r="N214" s="1"/>
      <c r="O214" s="1"/>
      <c r="P214" s="1"/>
      <c r="Q214" s="17"/>
    </row>
    <row x14ac:dyDescent="0.25" r="215" customHeight="1" ht="18.75">
      <c r="A215" s="1"/>
      <c r="B215" s="1" t="s">
        <v>36635</v>
      </c>
      <c r="C215" s="1" t="s">
        <v>7</v>
      </c>
      <c r="D215" s="1" t="s">
        <v>10</v>
      </c>
      <c r="E215" s="1" t="s">
        <v>36368</v>
      </c>
      <c r="F215" s="1" t="s">
        <v>3617</v>
      </c>
      <c r="G215" s="1" t="s">
        <v>36636</v>
      </c>
      <c r="H215" s="1"/>
      <c r="I215" s="1"/>
      <c r="J215" s="1"/>
      <c r="K215" s="1"/>
      <c r="L215" s="1"/>
      <c r="M215" s="1"/>
      <c r="N215" s="1"/>
      <c r="O215" s="1"/>
      <c r="P215" s="1"/>
      <c r="Q215" s="17"/>
    </row>
    <row x14ac:dyDescent="0.25" r="216" customHeight="1" ht="18.75">
      <c r="A216" s="1"/>
      <c r="B216" s="1" t="s">
        <v>36923</v>
      </c>
      <c r="C216" s="1" t="s">
        <v>7</v>
      </c>
      <c r="D216" s="1" t="s">
        <v>10</v>
      </c>
      <c r="E216" s="1" t="s">
        <v>36395</v>
      </c>
      <c r="F216" s="1" t="s">
        <v>3598</v>
      </c>
      <c r="G216" s="1" t="s">
        <v>36924</v>
      </c>
      <c r="H216" s="1"/>
      <c r="I216" s="1"/>
      <c r="J216" s="1"/>
      <c r="K216" s="1"/>
      <c r="L216" s="1"/>
      <c r="M216" s="1"/>
      <c r="N216" s="1"/>
      <c r="O216" s="1"/>
      <c r="P216" s="1"/>
      <c r="Q216" s="17"/>
    </row>
    <row x14ac:dyDescent="0.25" r="217" customHeight="1" ht="18.75">
      <c r="A217" s="1"/>
      <c r="B217" s="1" t="s">
        <v>36925</v>
      </c>
      <c r="C217" s="1" t="s">
        <v>7</v>
      </c>
      <c r="D217" s="1" t="s">
        <v>10</v>
      </c>
      <c r="E217" s="1" t="s">
        <v>36395</v>
      </c>
      <c r="F217" s="1" t="s">
        <v>3598</v>
      </c>
      <c r="G217" s="1" t="s">
        <v>36926</v>
      </c>
      <c r="H217" s="1"/>
      <c r="I217" s="1"/>
      <c r="J217" s="1"/>
      <c r="K217" s="1"/>
      <c r="L217" s="1"/>
      <c r="M217" s="1"/>
      <c r="N217" s="1"/>
      <c r="O217" s="1"/>
      <c r="P217" s="1"/>
      <c r="Q217" s="17"/>
    </row>
    <row x14ac:dyDescent="0.25" r="218" customHeight="1" ht="18.75">
      <c r="A218" s="1"/>
      <c r="B218" s="1" t="s">
        <v>36927</v>
      </c>
      <c r="C218" s="1" t="s">
        <v>7</v>
      </c>
      <c r="D218" s="1" t="s">
        <v>10</v>
      </c>
      <c r="E218" s="1" t="s">
        <v>36395</v>
      </c>
      <c r="F218" s="1" t="s">
        <v>3598</v>
      </c>
      <c r="G218" s="1" t="s">
        <v>36928</v>
      </c>
      <c r="H218" s="1"/>
      <c r="I218" s="1"/>
      <c r="J218" s="1"/>
      <c r="K218" s="1"/>
      <c r="L218" s="1"/>
      <c r="M218" s="1"/>
      <c r="N218" s="1"/>
      <c r="O218" s="1"/>
      <c r="P218" s="1"/>
      <c r="Q218" s="17"/>
    </row>
    <row x14ac:dyDescent="0.25" r="219" customHeight="1" ht="18.75">
      <c r="A219" s="1"/>
      <c r="B219" s="1" t="s">
        <v>36929</v>
      </c>
      <c r="C219" s="1" t="s">
        <v>7</v>
      </c>
      <c r="D219" s="1" t="s">
        <v>10</v>
      </c>
      <c r="E219" s="1" t="s">
        <v>36395</v>
      </c>
      <c r="F219" s="1" t="s">
        <v>3598</v>
      </c>
      <c r="G219" s="1" t="s">
        <v>36930</v>
      </c>
      <c r="H219" s="1"/>
      <c r="I219" s="1"/>
      <c r="J219" s="1"/>
      <c r="K219" s="1"/>
      <c r="L219" s="1"/>
      <c r="M219" s="1"/>
      <c r="N219" s="1"/>
      <c r="O219" s="1"/>
      <c r="P219" s="1"/>
      <c r="Q219" s="17"/>
    </row>
    <row x14ac:dyDescent="0.25" r="220" customHeight="1" ht="18.75">
      <c r="A220" s="1"/>
      <c r="B220" s="1" t="s">
        <v>36931</v>
      </c>
      <c r="C220" s="1" t="s">
        <v>7</v>
      </c>
      <c r="D220" s="1" t="s">
        <v>10</v>
      </c>
      <c r="E220" s="1" t="s">
        <v>36395</v>
      </c>
      <c r="F220" s="1" t="s">
        <v>3693</v>
      </c>
      <c r="G220" s="1" t="s">
        <v>36932</v>
      </c>
      <c r="H220" s="1"/>
      <c r="I220" s="1"/>
      <c r="J220" s="1"/>
      <c r="K220" s="1"/>
      <c r="L220" s="1"/>
      <c r="M220" s="1"/>
      <c r="N220" s="1"/>
      <c r="O220" s="1"/>
      <c r="P220" s="1"/>
      <c r="Q220" s="17"/>
    </row>
    <row x14ac:dyDescent="0.25" r="221" customHeight="1" ht="18.75">
      <c r="A221" s="1"/>
      <c r="B221" s="1" t="s">
        <v>36637</v>
      </c>
      <c r="C221" s="1" t="s">
        <v>7</v>
      </c>
      <c r="D221" s="1" t="s">
        <v>10</v>
      </c>
      <c r="E221" s="1" t="s">
        <v>36368</v>
      </c>
      <c r="F221" s="1" t="s">
        <v>3598</v>
      </c>
      <c r="G221" s="1" t="s">
        <v>36638</v>
      </c>
      <c r="H221" s="1"/>
      <c r="I221" s="1"/>
      <c r="J221" s="1"/>
      <c r="K221" s="1"/>
      <c r="L221" s="1"/>
      <c r="M221" s="1"/>
      <c r="N221" s="1"/>
      <c r="O221" s="1"/>
      <c r="P221" s="1"/>
      <c r="Q221" s="17"/>
    </row>
    <row x14ac:dyDescent="0.25" r="222" customHeight="1" ht="18.75">
      <c r="A222" s="1"/>
      <c r="B222" s="1" t="s">
        <v>36639</v>
      </c>
      <c r="C222" s="1" t="s">
        <v>7</v>
      </c>
      <c r="D222" s="1" t="s">
        <v>10</v>
      </c>
      <c r="E222" s="1" t="s">
        <v>36368</v>
      </c>
      <c r="F222" s="1" t="s">
        <v>3598</v>
      </c>
      <c r="G222" s="1" t="s">
        <v>36640</v>
      </c>
      <c r="H222" s="1"/>
      <c r="I222" s="1"/>
      <c r="J222" s="1"/>
      <c r="K222" s="1"/>
      <c r="L222" s="1"/>
      <c r="M222" s="1"/>
      <c r="N222" s="1"/>
      <c r="O222" s="1"/>
      <c r="P222" s="1"/>
      <c r="Q222" s="17"/>
    </row>
    <row x14ac:dyDescent="0.25" r="223" customHeight="1" ht="18.75">
      <c r="A223" s="1"/>
      <c r="B223" s="1" t="s">
        <v>36643</v>
      </c>
      <c r="C223" s="1" t="s">
        <v>7</v>
      </c>
      <c r="D223" s="1" t="s">
        <v>10</v>
      </c>
      <c r="E223" s="1" t="s">
        <v>36368</v>
      </c>
      <c r="F223" s="1" t="s">
        <v>3598</v>
      </c>
      <c r="G223" s="1" t="s">
        <v>36644</v>
      </c>
      <c r="H223" s="1"/>
      <c r="I223" s="1"/>
      <c r="J223" s="1"/>
      <c r="K223" s="1"/>
      <c r="L223" s="1"/>
      <c r="M223" s="1"/>
      <c r="N223" s="1"/>
      <c r="O223" s="1"/>
      <c r="P223" s="1"/>
      <c r="Q223" s="17"/>
    </row>
    <row x14ac:dyDescent="0.25" r="224" customHeight="1" ht="18.75">
      <c r="A224" s="1"/>
      <c r="B224" s="1" t="s">
        <v>36645</v>
      </c>
      <c r="C224" s="1" t="s">
        <v>7</v>
      </c>
      <c r="D224" s="1" t="s">
        <v>10</v>
      </c>
      <c r="E224" s="1" t="s">
        <v>36368</v>
      </c>
      <c r="F224" s="1" t="s">
        <v>3598</v>
      </c>
      <c r="G224" s="1" t="s">
        <v>36646</v>
      </c>
      <c r="H224" s="1"/>
      <c r="I224" s="1"/>
      <c r="J224" s="1"/>
      <c r="K224" s="1"/>
      <c r="L224" s="1"/>
      <c r="M224" s="1"/>
      <c r="N224" s="1"/>
      <c r="O224" s="1"/>
      <c r="P224" s="1"/>
      <c r="Q224" s="17"/>
    </row>
    <row x14ac:dyDescent="0.25" r="225" customHeight="1" ht="18.75">
      <c r="A225" s="1"/>
      <c r="B225" s="1" t="s">
        <v>36647</v>
      </c>
      <c r="C225" s="1" t="s">
        <v>7</v>
      </c>
      <c r="D225" s="1" t="s">
        <v>10</v>
      </c>
      <c r="E225" s="1" t="s">
        <v>36368</v>
      </c>
      <c r="F225" s="1" t="s">
        <v>3598</v>
      </c>
      <c r="G225" s="1" t="s">
        <v>36648</v>
      </c>
      <c r="H225" s="1"/>
      <c r="I225" s="1"/>
      <c r="J225" s="1"/>
      <c r="K225" s="1"/>
      <c r="L225" s="1"/>
      <c r="M225" s="1"/>
      <c r="N225" s="1"/>
      <c r="O225" s="1"/>
      <c r="P225" s="1"/>
      <c r="Q225" s="17"/>
    </row>
    <row x14ac:dyDescent="0.25" r="226" customHeight="1" ht="18.75">
      <c r="A226" s="1"/>
      <c r="B226" s="1" t="s">
        <v>36933</v>
      </c>
      <c r="C226" s="1" t="s">
        <v>7</v>
      </c>
      <c r="D226" s="1" t="s">
        <v>10</v>
      </c>
      <c r="E226" s="1" t="s">
        <v>36395</v>
      </c>
      <c r="F226" s="1" t="s">
        <v>3693</v>
      </c>
      <c r="G226" s="1" t="s">
        <v>36934</v>
      </c>
      <c r="H226" s="1"/>
      <c r="I226" s="1"/>
      <c r="J226" s="1"/>
      <c r="K226" s="1"/>
      <c r="L226" s="1"/>
      <c r="M226" s="1"/>
      <c r="N226" s="1"/>
      <c r="O226" s="1"/>
      <c r="P226" s="1"/>
      <c r="Q226" s="17"/>
    </row>
    <row x14ac:dyDescent="0.25" r="227" customHeight="1" ht="18.75">
      <c r="A227" s="1"/>
      <c r="B227" s="1" t="s">
        <v>36651</v>
      </c>
      <c r="C227" s="1" t="s">
        <v>7</v>
      </c>
      <c r="D227" s="1" t="s">
        <v>10</v>
      </c>
      <c r="E227" s="1" t="s">
        <v>36368</v>
      </c>
      <c r="F227" s="1" t="s">
        <v>3598</v>
      </c>
      <c r="G227" s="1" t="s">
        <v>36652</v>
      </c>
      <c r="H227" s="1"/>
      <c r="I227" s="1"/>
      <c r="J227" s="1"/>
      <c r="K227" s="1"/>
      <c r="L227" s="1"/>
      <c r="M227" s="1"/>
      <c r="N227" s="1"/>
      <c r="O227" s="1"/>
      <c r="P227" s="1"/>
      <c r="Q227" s="17"/>
    </row>
    <row x14ac:dyDescent="0.25" r="228" customHeight="1" ht="18.75">
      <c r="A228" s="1"/>
      <c r="B228" s="1" t="s">
        <v>36935</v>
      </c>
      <c r="C228" s="1" t="s">
        <v>7</v>
      </c>
      <c r="D228" s="1" t="s">
        <v>10</v>
      </c>
      <c r="E228" s="1" t="s">
        <v>36395</v>
      </c>
      <c r="F228" s="1" t="s">
        <v>3598</v>
      </c>
      <c r="G228" s="1" t="s">
        <v>36936</v>
      </c>
      <c r="H228" s="1"/>
      <c r="I228" s="1"/>
      <c r="J228" s="1"/>
      <c r="K228" s="1"/>
      <c r="L228" s="1"/>
      <c r="M228" s="1"/>
      <c r="N228" s="1"/>
      <c r="O228" s="1"/>
      <c r="P228" s="1"/>
      <c r="Q228" s="17"/>
    </row>
    <row x14ac:dyDescent="0.25" r="229" customHeight="1" ht="18.75">
      <c r="A229" s="1"/>
      <c r="B229" s="1" t="s">
        <v>36937</v>
      </c>
      <c r="C229" s="1" t="s">
        <v>7</v>
      </c>
      <c r="D229" s="1" t="s">
        <v>10</v>
      </c>
      <c r="E229" s="1" t="s">
        <v>36395</v>
      </c>
      <c r="F229" s="1" t="s">
        <v>3598</v>
      </c>
      <c r="G229" s="1" t="s">
        <v>36938</v>
      </c>
      <c r="H229" s="1"/>
      <c r="I229" s="1"/>
      <c r="J229" s="1"/>
      <c r="K229" s="1"/>
      <c r="L229" s="1"/>
      <c r="M229" s="1"/>
      <c r="N229" s="1"/>
      <c r="O229" s="1"/>
      <c r="P229" s="1"/>
      <c r="Q229" s="17"/>
    </row>
    <row x14ac:dyDescent="0.25" r="230" customHeight="1" ht="18.75">
      <c r="A230" s="1"/>
      <c r="B230" s="1" t="s">
        <v>36939</v>
      </c>
      <c r="C230" s="1" t="s">
        <v>7</v>
      </c>
      <c r="D230" s="1" t="s">
        <v>10</v>
      </c>
      <c r="E230" s="1" t="s">
        <v>36395</v>
      </c>
      <c r="F230" s="1" t="s">
        <v>3598</v>
      </c>
      <c r="G230" s="1" t="s">
        <v>36940</v>
      </c>
      <c r="H230" s="1"/>
      <c r="I230" s="1"/>
      <c r="J230" s="1"/>
      <c r="K230" s="1"/>
      <c r="L230" s="1"/>
      <c r="M230" s="1"/>
      <c r="N230" s="1"/>
      <c r="O230" s="1"/>
      <c r="P230" s="1"/>
      <c r="Q230" s="17"/>
    </row>
    <row x14ac:dyDescent="0.25" r="231" customHeight="1" ht="18.75">
      <c r="A231" s="1"/>
      <c r="B231" s="1" t="s">
        <v>36941</v>
      </c>
      <c r="C231" s="1" t="s">
        <v>7</v>
      </c>
      <c r="D231" s="1" t="s">
        <v>10</v>
      </c>
      <c r="E231" s="1" t="s">
        <v>36395</v>
      </c>
      <c r="F231" s="1" t="s">
        <v>7833</v>
      </c>
      <c r="G231" s="1" t="s">
        <v>36942</v>
      </c>
      <c r="H231" s="1"/>
      <c r="I231" s="1"/>
      <c r="J231" s="1"/>
      <c r="K231" s="1"/>
      <c r="L231" s="1"/>
      <c r="M231" s="1"/>
      <c r="N231" s="1"/>
      <c r="O231" s="1"/>
      <c r="P231" s="1"/>
      <c r="Q231" s="17"/>
    </row>
    <row x14ac:dyDescent="0.25" r="232" customHeight="1" ht="18.75">
      <c r="A232" s="1"/>
      <c r="B232" s="1" t="s">
        <v>36943</v>
      </c>
      <c r="C232" s="1" t="s">
        <v>7</v>
      </c>
      <c r="D232" s="1" t="s">
        <v>10</v>
      </c>
      <c r="E232" s="1" t="s">
        <v>36395</v>
      </c>
      <c r="F232" s="1" t="s">
        <v>3693</v>
      </c>
      <c r="G232" s="1" t="s">
        <v>36944</v>
      </c>
      <c r="H232" s="1"/>
      <c r="I232" s="1"/>
      <c r="J232" s="1"/>
      <c r="K232" s="1"/>
      <c r="L232" s="1"/>
      <c r="M232" s="1"/>
      <c r="N232" s="1"/>
      <c r="O232" s="1"/>
      <c r="P232" s="1"/>
      <c r="Q232" s="17"/>
    </row>
    <row x14ac:dyDescent="0.25" r="233" customHeight="1" ht="18.75">
      <c r="A233" s="1"/>
      <c r="B233" s="1" t="s">
        <v>36945</v>
      </c>
      <c r="C233" s="1" t="s">
        <v>7</v>
      </c>
      <c r="D233" s="1" t="s">
        <v>10</v>
      </c>
      <c r="E233" s="1" t="s">
        <v>36395</v>
      </c>
      <c r="F233" s="1" t="s">
        <v>7833</v>
      </c>
      <c r="G233" s="1" t="s">
        <v>36946</v>
      </c>
      <c r="H233" s="1"/>
      <c r="I233" s="1"/>
      <c r="J233" s="1"/>
      <c r="K233" s="1"/>
      <c r="L233" s="1"/>
      <c r="M233" s="1"/>
      <c r="N233" s="1"/>
      <c r="O233" s="1"/>
      <c r="P233" s="1"/>
      <c r="Q233" s="17"/>
    </row>
    <row x14ac:dyDescent="0.25" r="234" customHeight="1" ht="18.75">
      <c r="A234" s="1"/>
      <c r="B234" s="1" t="s">
        <v>36947</v>
      </c>
      <c r="C234" s="1" t="s">
        <v>7</v>
      </c>
      <c r="D234" s="1" t="s">
        <v>10</v>
      </c>
      <c r="E234" s="1" t="s">
        <v>36395</v>
      </c>
      <c r="F234" s="1" t="s">
        <v>7833</v>
      </c>
      <c r="G234" s="1" t="s">
        <v>36948</v>
      </c>
      <c r="H234" s="1"/>
      <c r="I234" s="1"/>
      <c r="J234" s="1"/>
      <c r="K234" s="1"/>
      <c r="L234" s="1"/>
      <c r="M234" s="1"/>
      <c r="N234" s="1"/>
      <c r="O234" s="1"/>
      <c r="P234" s="1"/>
      <c r="Q234" s="17"/>
    </row>
    <row x14ac:dyDescent="0.25" r="235" customHeight="1" ht="18.75">
      <c r="A235" s="1"/>
      <c r="B235" s="1" t="s">
        <v>36949</v>
      </c>
      <c r="C235" s="1" t="s">
        <v>7</v>
      </c>
      <c r="D235" s="1" t="s">
        <v>10</v>
      </c>
      <c r="E235" s="1" t="s">
        <v>36395</v>
      </c>
      <c r="F235" s="1" t="s">
        <v>7833</v>
      </c>
      <c r="G235" s="1" t="s">
        <v>36950</v>
      </c>
      <c r="H235" s="1"/>
      <c r="I235" s="1"/>
      <c r="J235" s="1"/>
      <c r="K235" s="1"/>
      <c r="L235" s="1"/>
      <c r="M235" s="1"/>
      <c r="N235" s="1"/>
      <c r="O235" s="1"/>
      <c r="P235" s="1"/>
      <c r="Q235" s="17"/>
    </row>
    <row x14ac:dyDescent="0.25" r="236" customHeight="1" ht="18.75">
      <c r="A236" s="1"/>
      <c r="B236" s="1" t="s">
        <v>36951</v>
      </c>
      <c r="C236" s="1" t="s">
        <v>7</v>
      </c>
      <c r="D236" s="1" t="s">
        <v>10</v>
      </c>
      <c r="E236" s="1" t="s">
        <v>36395</v>
      </c>
      <c r="F236" s="1" t="s">
        <v>3598</v>
      </c>
      <c r="G236" s="1" t="s">
        <v>36952</v>
      </c>
      <c r="H236" s="1"/>
      <c r="I236" s="1"/>
      <c r="J236" s="1"/>
      <c r="K236" s="1"/>
      <c r="L236" s="1"/>
      <c r="M236" s="1"/>
      <c r="N236" s="1"/>
      <c r="O236" s="1"/>
      <c r="P236" s="1"/>
      <c r="Q236" s="17"/>
    </row>
    <row x14ac:dyDescent="0.25" r="237" customHeight="1" ht="18.75">
      <c r="A237" s="1"/>
      <c r="B237" s="1" t="s">
        <v>36953</v>
      </c>
      <c r="C237" s="1" t="s">
        <v>7</v>
      </c>
      <c r="D237" s="1" t="s">
        <v>10</v>
      </c>
      <c r="E237" s="1" t="s">
        <v>36395</v>
      </c>
      <c r="F237" s="1" t="s">
        <v>3598</v>
      </c>
      <c r="G237" s="1" t="s">
        <v>36954</v>
      </c>
      <c r="H237" s="1"/>
      <c r="I237" s="1"/>
      <c r="J237" s="1"/>
      <c r="K237" s="1"/>
      <c r="L237" s="1"/>
      <c r="M237" s="1"/>
      <c r="N237" s="1"/>
      <c r="O237" s="1"/>
      <c r="P237" s="1"/>
      <c r="Q237" s="17"/>
    </row>
    <row x14ac:dyDescent="0.25" r="238" customHeight="1" ht="18.75">
      <c r="A238" s="1"/>
      <c r="B238" s="1" t="s">
        <v>36653</v>
      </c>
      <c r="C238" s="1" t="s">
        <v>7</v>
      </c>
      <c r="D238" s="1" t="s">
        <v>10</v>
      </c>
      <c r="E238" s="1" t="s">
        <v>36368</v>
      </c>
      <c r="F238" s="1" t="s">
        <v>3693</v>
      </c>
      <c r="G238" s="1" t="s">
        <v>36654</v>
      </c>
      <c r="H238" s="1"/>
      <c r="I238" s="1"/>
      <c r="J238" s="1"/>
      <c r="K238" s="1"/>
      <c r="L238" s="1"/>
      <c r="M238" s="1"/>
      <c r="N238" s="1"/>
      <c r="O238" s="1"/>
      <c r="P238" s="1"/>
      <c r="Q238" s="17"/>
    </row>
    <row x14ac:dyDescent="0.25" r="239" customHeight="1" ht="18.75">
      <c r="A239" s="1"/>
      <c r="B239" s="1" t="s">
        <v>36955</v>
      </c>
      <c r="C239" s="1" t="s">
        <v>7</v>
      </c>
      <c r="D239" s="1" t="s">
        <v>10</v>
      </c>
      <c r="E239" s="1" t="s">
        <v>36395</v>
      </c>
      <c r="F239" s="1" t="s">
        <v>3598</v>
      </c>
      <c r="G239" s="1" t="s">
        <v>36956</v>
      </c>
      <c r="H239" s="1"/>
      <c r="I239" s="1"/>
      <c r="J239" s="1"/>
      <c r="K239" s="1"/>
      <c r="L239" s="1"/>
      <c r="M239" s="1"/>
      <c r="N239" s="1"/>
      <c r="O239" s="1"/>
      <c r="P239" s="1"/>
      <c r="Q239" s="17"/>
    </row>
    <row x14ac:dyDescent="0.25" r="240" customHeight="1" ht="18.75">
      <c r="A240" s="1"/>
      <c r="B240" s="1" t="s">
        <v>36957</v>
      </c>
      <c r="C240" s="1" t="s">
        <v>7</v>
      </c>
      <c r="D240" s="1" t="s">
        <v>10</v>
      </c>
      <c r="E240" s="1" t="s">
        <v>36395</v>
      </c>
      <c r="F240" s="1" t="s">
        <v>3598</v>
      </c>
      <c r="G240" s="1" t="s">
        <v>36958</v>
      </c>
      <c r="H240" s="1"/>
      <c r="I240" s="1"/>
      <c r="J240" s="1"/>
      <c r="K240" s="1"/>
      <c r="L240" s="1"/>
      <c r="M240" s="1"/>
      <c r="N240" s="1"/>
      <c r="O240" s="1"/>
      <c r="P240" s="1"/>
      <c r="Q240" s="17"/>
    </row>
    <row x14ac:dyDescent="0.25" r="241" customHeight="1" ht="18.75">
      <c r="A241" s="1"/>
      <c r="B241" s="1" t="s">
        <v>36959</v>
      </c>
      <c r="C241" s="1" t="s">
        <v>7</v>
      </c>
      <c r="D241" s="1" t="s">
        <v>10</v>
      </c>
      <c r="E241" s="1" t="s">
        <v>36395</v>
      </c>
      <c r="F241" s="1" t="s">
        <v>3598</v>
      </c>
      <c r="G241" s="1" t="s">
        <v>36960</v>
      </c>
      <c r="H241" s="1"/>
      <c r="I241" s="1"/>
      <c r="J241" s="1"/>
      <c r="K241" s="1"/>
      <c r="L241" s="1"/>
      <c r="M241" s="1"/>
      <c r="N241" s="1"/>
      <c r="O241" s="1"/>
      <c r="P241" s="1"/>
      <c r="Q241" s="17"/>
    </row>
    <row x14ac:dyDescent="0.25" r="242" customHeight="1" ht="18.75">
      <c r="A242" s="1"/>
      <c r="B242" s="1" t="s">
        <v>36655</v>
      </c>
      <c r="C242" s="1" t="s">
        <v>7</v>
      </c>
      <c r="D242" s="1" t="s">
        <v>10</v>
      </c>
      <c r="E242" s="1" t="s">
        <v>36368</v>
      </c>
      <c r="F242" s="1" t="s">
        <v>3598</v>
      </c>
      <c r="G242" s="1" t="s">
        <v>36656</v>
      </c>
      <c r="H242" s="1"/>
      <c r="I242" s="1"/>
      <c r="J242" s="1"/>
      <c r="K242" s="1"/>
      <c r="L242" s="1"/>
      <c r="M242" s="1"/>
      <c r="N242" s="1"/>
      <c r="O242" s="1"/>
      <c r="P242" s="1"/>
      <c r="Q242" s="17"/>
    </row>
    <row x14ac:dyDescent="0.25" r="243" customHeight="1" ht="18.75">
      <c r="A243" s="1"/>
      <c r="B243" s="1" t="s">
        <v>36961</v>
      </c>
      <c r="C243" s="1" t="s">
        <v>7</v>
      </c>
      <c r="D243" s="1" t="s">
        <v>10</v>
      </c>
      <c r="E243" s="1" t="s">
        <v>36395</v>
      </c>
      <c r="F243" s="1" t="s">
        <v>3598</v>
      </c>
      <c r="G243" s="1" t="s">
        <v>36962</v>
      </c>
      <c r="H243" s="1"/>
      <c r="I243" s="1"/>
      <c r="J243" s="1"/>
      <c r="K243" s="1"/>
      <c r="L243" s="1"/>
      <c r="M243" s="1"/>
      <c r="N243" s="1"/>
      <c r="O243" s="1"/>
      <c r="P243" s="1"/>
      <c r="Q243" s="17"/>
    </row>
    <row x14ac:dyDescent="0.25" r="244" customHeight="1" ht="18.75">
      <c r="A244" s="1"/>
      <c r="B244" s="1" t="s">
        <v>36657</v>
      </c>
      <c r="C244" s="1" t="s">
        <v>7</v>
      </c>
      <c r="D244" s="1" t="s">
        <v>10</v>
      </c>
      <c r="E244" s="1" t="s">
        <v>36368</v>
      </c>
      <c r="F244" s="1" t="s">
        <v>3598</v>
      </c>
      <c r="G244" s="1" t="s">
        <v>36658</v>
      </c>
      <c r="H244" s="1"/>
      <c r="I244" s="1"/>
      <c r="J244" s="1"/>
      <c r="K244" s="1"/>
      <c r="L244" s="1"/>
      <c r="M244" s="1"/>
      <c r="N244" s="1"/>
      <c r="O244" s="1"/>
      <c r="P244" s="1"/>
      <c r="Q244" s="17"/>
    </row>
    <row x14ac:dyDescent="0.25" r="245" customHeight="1" ht="18.75">
      <c r="A245" s="1"/>
      <c r="B245" s="1" t="s">
        <v>36659</v>
      </c>
      <c r="C245" s="1" t="s">
        <v>7</v>
      </c>
      <c r="D245" s="1" t="s">
        <v>10</v>
      </c>
      <c r="E245" s="1" t="s">
        <v>36368</v>
      </c>
      <c r="F245" s="1" t="s">
        <v>3598</v>
      </c>
      <c r="G245" s="1" t="s">
        <v>36660</v>
      </c>
      <c r="H245" s="1"/>
      <c r="I245" s="1"/>
      <c r="J245" s="1"/>
      <c r="K245" s="1"/>
      <c r="L245" s="1"/>
      <c r="M245" s="1"/>
      <c r="N245" s="1"/>
      <c r="O245" s="1"/>
      <c r="P245" s="1"/>
      <c r="Q245" s="17"/>
    </row>
    <row x14ac:dyDescent="0.25" r="246" customHeight="1" ht="18.75">
      <c r="A246" s="1"/>
      <c r="B246" s="1" t="s">
        <v>36661</v>
      </c>
      <c r="C246" s="1" t="s">
        <v>7</v>
      </c>
      <c r="D246" s="1" t="s">
        <v>10</v>
      </c>
      <c r="E246" s="1" t="s">
        <v>36368</v>
      </c>
      <c r="F246" s="1" t="s">
        <v>3598</v>
      </c>
      <c r="G246" s="1" t="s">
        <v>36662</v>
      </c>
      <c r="H246" s="1"/>
      <c r="I246" s="1"/>
      <c r="J246" s="1"/>
      <c r="K246" s="1"/>
      <c r="L246" s="1"/>
      <c r="M246" s="1"/>
      <c r="N246" s="1"/>
      <c r="O246" s="1"/>
      <c r="P246" s="1"/>
      <c r="Q246" s="17"/>
    </row>
    <row x14ac:dyDescent="0.25" r="247" customHeight="1" ht="18.75">
      <c r="A247" s="1"/>
      <c r="B247" s="1" t="s">
        <v>36665</v>
      </c>
      <c r="C247" s="1" t="s">
        <v>7</v>
      </c>
      <c r="D247" s="1" t="s">
        <v>10</v>
      </c>
      <c r="E247" s="1" t="s">
        <v>36368</v>
      </c>
      <c r="F247" s="1" t="s">
        <v>3598</v>
      </c>
      <c r="G247" s="1" t="s">
        <v>36666</v>
      </c>
      <c r="H247" s="1"/>
      <c r="I247" s="1"/>
      <c r="J247" s="1"/>
      <c r="K247" s="1"/>
      <c r="L247" s="1"/>
      <c r="M247" s="1"/>
      <c r="N247" s="1"/>
      <c r="O247" s="1"/>
      <c r="P247" s="1"/>
      <c r="Q247" s="17"/>
    </row>
    <row x14ac:dyDescent="0.25" r="248" customHeight="1" ht="18.75">
      <c r="A248" s="1"/>
      <c r="B248" s="1" t="s">
        <v>36669</v>
      </c>
      <c r="C248" s="1" t="s">
        <v>7</v>
      </c>
      <c r="D248" s="1" t="s">
        <v>10</v>
      </c>
      <c r="E248" s="1" t="s">
        <v>36368</v>
      </c>
      <c r="F248" s="1" t="s">
        <v>3598</v>
      </c>
      <c r="G248" s="1" t="s">
        <v>36670</v>
      </c>
      <c r="H248" s="1"/>
      <c r="I248" s="1"/>
      <c r="J248" s="1"/>
      <c r="K248" s="1"/>
      <c r="L248" s="1"/>
      <c r="M248" s="1"/>
      <c r="N248" s="1"/>
      <c r="O248" s="1"/>
      <c r="P248" s="1"/>
      <c r="Q248" s="17"/>
    </row>
    <row x14ac:dyDescent="0.25" r="249" customHeight="1" ht="18.75">
      <c r="A249" s="1"/>
      <c r="B249" s="1" t="s">
        <v>36673</v>
      </c>
      <c r="C249" s="1" t="s">
        <v>7</v>
      </c>
      <c r="D249" s="1" t="s">
        <v>10</v>
      </c>
      <c r="E249" s="1" t="s">
        <v>36368</v>
      </c>
      <c r="F249" s="1" t="s">
        <v>3598</v>
      </c>
      <c r="G249" s="1" t="s">
        <v>36674</v>
      </c>
      <c r="H249" s="1"/>
      <c r="I249" s="1"/>
      <c r="J249" s="1"/>
      <c r="K249" s="1"/>
      <c r="L249" s="1"/>
      <c r="M249" s="1"/>
      <c r="N249" s="1"/>
      <c r="O249" s="1"/>
      <c r="P249" s="1"/>
      <c r="Q249" s="17"/>
    </row>
    <row x14ac:dyDescent="0.25" r="250" customHeight="1" ht="18.75">
      <c r="A250" s="1"/>
      <c r="B250" s="1" t="s">
        <v>36675</v>
      </c>
      <c r="C250" s="1" t="s">
        <v>7</v>
      </c>
      <c r="D250" s="1" t="s">
        <v>10</v>
      </c>
      <c r="E250" s="1" t="s">
        <v>36368</v>
      </c>
      <c r="F250" s="1" t="s">
        <v>3598</v>
      </c>
      <c r="G250" s="1" t="s">
        <v>36676</v>
      </c>
      <c r="H250" s="1"/>
      <c r="I250" s="1"/>
      <c r="J250" s="1"/>
      <c r="K250" s="1"/>
      <c r="L250" s="1"/>
      <c r="M250" s="1"/>
      <c r="N250" s="1"/>
      <c r="O250" s="1"/>
      <c r="P250" s="1"/>
      <c r="Q250" s="17"/>
    </row>
    <row x14ac:dyDescent="0.25" r="251" customHeight="1" ht="18.75">
      <c r="A251" s="1"/>
      <c r="B251" s="1" t="s">
        <v>36677</v>
      </c>
      <c r="C251" s="1" t="s">
        <v>7</v>
      </c>
      <c r="D251" s="1" t="s">
        <v>10</v>
      </c>
      <c r="E251" s="1" t="s">
        <v>36368</v>
      </c>
      <c r="F251" s="1" t="s">
        <v>7833</v>
      </c>
      <c r="G251" s="1" t="s">
        <v>36678</v>
      </c>
      <c r="H251" s="1"/>
      <c r="I251" s="1"/>
      <c r="J251" s="1"/>
      <c r="K251" s="1"/>
      <c r="L251" s="1"/>
      <c r="M251" s="1"/>
      <c r="N251" s="1"/>
      <c r="O251" s="1"/>
      <c r="P251" s="1"/>
      <c r="Q251" s="17"/>
    </row>
    <row x14ac:dyDescent="0.25" r="252" customHeight="1" ht="18.75">
      <c r="A252" s="1"/>
      <c r="B252" s="1" t="s">
        <v>36679</v>
      </c>
      <c r="C252" s="1" t="s">
        <v>7</v>
      </c>
      <c r="D252" s="1" t="s">
        <v>10</v>
      </c>
      <c r="E252" s="1" t="s">
        <v>36368</v>
      </c>
      <c r="F252" s="1" t="s">
        <v>7833</v>
      </c>
      <c r="G252" s="1" t="s">
        <v>36680</v>
      </c>
      <c r="H252" s="1"/>
      <c r="I252" s="1"/>
      <c r="J252" s="1"/>
      <c r="K252" s="1"/>
      <c r="L252" s="1"/>
      <c r="M252" s="1"/>
      <c r="N252" s="1"/>
      <c r="O252" s="1"/>
      <c r="P252" s="1"/>
      <c r="Q252" s="17"/>
    </row>
    <row x14ac:dyDescent="0.25" r="253" customHeight="1" ht="18.75">
      <c r="A253" s="1"/>
      <c r="B253" s="1" t="s">
        <v>36683</v>
      </c>
      <c r="C253" s="1" t="s">
        <v>7</v>
      </c>
      <c r="D253" s="1" t="s">
        <v>10</v>
      </c>
      <c r="E253" s="1" t="s">
        <v>36368</v>
      </c>
      <c r="F253" s="1" t="s">
        <v>3617</v>
      </c>
      <c r="G253" s="1" t="s">
        <v>36684</v>
      </c>
      <c r="H253" s="1"/>
      <c r="I253" s="1"/>
      <c r="J253" s="1"/>
      <c r="K253" s="1"/>
      <c r="L253" s="1"/>
      <c r="M253" s="1"/>
      <c r="N253" s="1"/>
      <c r="O253" s="1"/>
      <c r="P253" s="1"/>
      <c r="Q253" s="17"/>
    </row>
    <row x14ac:dyDescent="0.25" r="254" customHeight="1" ht="18.75">
      <c r="A254" s="1"/>
      <c r="B254" s="1" t="s">
        <v>36685</v>
      </c>
      <c r="C254" s="1" t="s">
        <v>7</v>
      </c>
      <c r="D254" s="1" t="s">
        <v>10</v>
      </c>
      <c r="E254" s="1" t="s">
        <v>36368</v>
      </c>
      <c r="F254" s="1" t="s">
        <v>3617</v>
      </c>
      <c r="G254" s="1" t="s">
        <v>36686</v>
      </c>
      <c r="H254" s="1"/>
      <c r="I254" s="1"/>
      <c r="J254" s="1"/>
      <c r="K254" s="1"/>
      <c r="L254" s="1"/>
      <c r="M254" s="1"/>
      <c r="N254" s="1"/>
      <c r="O254" s="1"/>
      <c r="P254" s="1"/>
      <c r="Q254" s="17"/>
    </row>
    <row x14ac:dyDescent="0.25" r="255" customHeight="1" ht="18.75">
      <c r="A255" s="1"/>
      <c r="B255" s="1" t="s">
        <v>36963</v>
      </c>
      <c r="C255" s="1" t="s">
        <v>7</v>
      </c>
      <c r="D255" s="1" t="s">
        <v>10</v>
      </c>
      <c r="E255" s="1" t="s">
        <v>36395</v>
      </c>
      <c r="F255" s="1" t="s">
        <v>3617</v>
      </c>
      <c r="G255" s="1" t="s">
        <v>36964</v>
      </c>
      <c r="H255" s="1"/>
      <c r="I255" s="1"/>
      <c r="J255" s="1"/>
      <c r="K255" s="1"/>
      <c r="L255" s="1"/>
      <c r="M255" s="1"/>
      <c r="N255" s="1"/>
      <c r="O255" s="1"/>
      <c r="P255" s="1"/>
      <c r="Q255" s="17"/>
    </row>
    <row x14ac:dyDescent="0.25" r="256" customHeight="1" ht="18.75">
      <c r="A256" s="1"/>
      <c r="B256" s="1" t="s">
        <v>36687</v>
      </c>
      <c r="C256" s="1" t="s">
        <v>7</v>
      </c>
      <c r="D256" s="1" t="s">
        <v>10</v>
      </c>
      <c r="E256" s="1" t="s">
        <v>36368</v>
      </c>
      <c r="F256" s="1" t="s">
        <v>3617</v>
      </c>
      <c r="G256" s="1" t="s">
        <v>36688</v>
      </c>
      <c r="H256" s="1"/>
      <c r="I256" s="1"/>
      <c r="J256" s="1"/>
      <c r="K256" s="1"/>
      <c r="L256" s="1"/>
      <c r="M256" s="1"/>
      <c r="N256" s="1"/>
      <c r="O256" s="1"/>
      <c r="P256" s="1"/>
      <c r="Q256" s="17"/>
    </row>
    <row x14ac:dyDescent="0.25" r="257" customHeight="1" ht="18.75">
      <c r="A257" s="1"/>
      <c r="B257" s="1" t="s">
        <v>36689</v>
      </c>
      <c r="C257" s="1" t="s">
        <v>7</v>
      </c>
      <c r="D257" s="1" t="s">
        <v>10</v>
      </c>
      <c r="E257" s="1" t="s">
        <v>36368</v>
      </c>
      <c r="F257" s="1" t="s">
        <v>3598</v>
      </c>
      <c r="G257" s="1" t="s">
        <v>36690</v>
      </c>
      <c r="H257" s="1"/>
      <c r="I257" s="1"/>
      <c r="J257" s="1"/>
      <c r="K257" s="1"/>
      <c r="L257" s="1"/>
      <c r="M257" s="1"/>
      <c r="N257" s="1"/>
      <c r="O257" s="1"/>
      <c r="P257" s="1"/>
      <c r="Q257" s="17"/>
    </row>
    <row x14ac:dyDescent="0.25" r="258" customHeight="1" ht="18.75">
      <c r="A258" s="1"/>
      <c r="B258" s="1" t="s">
        <v>36691</v>
      </c>
      <c r="C258" s="1" t="s">
        <v>7</v>
      </c>
      <c r="D258" s="1" t="s">
        <v>10</v>
      </c>
      <c r="E258" s="1" t="s">
        <v>36368</v>
      </c>
      <c r="F258" s="1" t="s">
        <v>3617</v>
      </c>
      <c r="G258" s="1" t="s">
        <v>36692</v>
      </c>
      <c r="H258" s="1"/>
      <c r="I258" s="1"/>
      <c r="J258" s="1"/>
      <c r="K258" s="1"/>
      <c r="L258" s="1"/>
      <c r="M258" s="1"/>
      <c r="N258" s="1"/>
      <c r="O258" s="1"/>
      <c r="P258" s="1"/>
      <c r="Q258" s="17"/>
    </row>
    <row x14ac:dyDescent="0.25" r="259" customHeight="1" ht="18.75">
      <c r="A259" s="1"/>
      <c r="B259" s="1" t="s">
        <v>36693</v>
      </c>
      <c r="C259" s="1" t="s">
        <v>7</v>
      </c>
      <c r="D259" s="1" t="s">
        <v>10</v>
      </c>
      <c r="E259" s="1" t="s">
        <v>36368</v>
      </c>
      <c r="F259" s="1" t="s">
        <v>7833</v>
      </c>
      <c r="G259" s="1" t="s">
        <v>36694</v>
      </c>
      <c r="H259" s="1"/>
      <c r="I259" s="1"/>
      <c r="J259" s="1"/>
      <c r="K259" s="1"/>
      <c r="L259" s="1"/>
      <c r="M259" s="1"/>
      <c r="N259" s="1"/>
      <c r="O259" s="1"/>
      <c r="P259" s="1"/>
      <c r="Q259" s="17"/>
    </row>
    <row x14ac:dyDescent="0.25" r="260" customHeight="1" ht="18.75">
      <c r="A260" s="1"/>
      <c r="B260" s="1" t="s">
        <v>36697</v>
      </c>
      <c r="C260" s="1" t="s">
        <v>7</v>
      </c>
      <c r="D260" s="1" t="s">
        <v>10</v>
      </c>
      <c r="E260" s="1" t="s">
        <v>36368</v>
      </c>
      <c r="F260" s="1" t="s">
        <v>7833</v>
      </c>
      <c r="G260" s="1" t="s">
        <v>36698</v>
      </c>
      <c r="H260" s="1"/>
      <c r="I260" s="1"/>
      <c r="J260" s="1"/>
      <c r="K260" s="1"/>
      <c r="L260" s="1"/>
      <c r="M260" s="1"/>
      <c r="N260" s="1"/>
      <c r="O260" s="1"/>
      <c r="P260" s="1"/>
      <c r="Q260" s="17"/>
    </row>
    <row x14ac:dyDescent="0.25" r="261" customHeight="1" ht="18.75">
      <c r="A261" s="1"/>
      <c r="B261" s="1" t="s">
        <v>36965</v>
      </c>
      <c r="C261" s="1" t="s">
        <v>7</v>
      </c>
      <c r="D261" s="1" t="s">
        <v>10</v>
      </c>
      <c r="E261" s="1" t="s">
        <v>36395</v>
      </c>
      <c r="F261" s="1" t="s">
        <v>3598</v>
      </c>
      <c r="G261" s="1" t="s">
        <v>36966</v>
      </c>
      <c r="H261" s="1"/>
      <c r="I261" s="1"/>
      <c r="J261" s="1"/>
      <c r="K261" s="1"/>
      <c r="L261" s="1"/>
      <c r="M261" s="1"/>
      <c r="N261" s="1"/>
      <c r="O261" s="1"/>
      <c r="P261" s="1"/>
      <c r="Q261" s="17"/>
    </row>
    <row x14ac:dyDescent="0.25" r="262" customHeight="1" ht="18.75">
      <c r="A262" s="1"/>
      <c r="B262" s="1" t="s">
        <v>36967</v>
      </c>
      <c r="C262" s="1" t="s">
        <v>7</v>
      </c>
      <c r="D262" s="1" t="s">
        <v>10</v>
      </c>
      <c r="E262" s="1" t="s">
        <v>36395</v>
      </c>
      <c r="F262" s="1" t="s">
        <v>3598</v>
      </c>
      <c r="G262" s="1" t="s">
        <v>36968</v>
      </c>
      <c r="H262" s="1"/>
      <c r="I262" s="1"/>
      <c r="J262" s="1"/>
      <c r="K262" s="1"/>
      <c r="L262" s="1"/>
      <c r="M262" s="1"/>
      <c r="N262" s="1"/>
      <c r="O262" s="1"/>
      <c r="P262" s="1"/>
      <c r="Q262" s="17"/>
    </row>
    <row x14ac:dyDescent="0.25" r="263" customHeight="1" ht="18.75">
      <c r="A263" s="1"/>
      <c r="B263" s="1" t="s">
        <v>36969</v>
      </c>
      <c r="C263" s="1" t="s">
        <v>7</v>
      </c>
      <c r="D263" s="1" t="s">
        <v>10</v>
      </c>
      <c r="E263" s="1" t="s">
        <v>36395</v>
      </c>
      <c r="F263" s="1" t="s">
        <v>3693</v>
      </c>
      <c r="G263" s="1" t="s">
        <v>36970</v>
      </c>
      <c r="H263" s="1"/>
      <c r="I263" s="1"/>
      <c r="J263" s="1"/>
      <c r="K263" s="1"/>
      <c r="L263" s="1"/>
      <c r="M263" s="1"/>
      <c r="N263" s="1"/>
      <c r="O263" s="1"/>
      <c r="P263" s="1"/>
      <c r="Q263" s="17"/>
    </row>
    <row x14ac:dyDescent="0.25" r="264" customHeight="1" ht="18.75">
      <c r="A264" s="1"/>
      <c r="B264" s="1" t="s">
        <v>36971</v>
      </c>
      <c r="C264" s="1" t="s">
        <v>7</v>
      </c>
      <c r="D264" s="1" t="s">
        <v>10</v>
      </c>
      <c r="E264" s="1" t="s">
        <v>36395</v>
      </c>
      <c r="F264" s="1" t="s">
        <v>3693</v>
      </c>
      <c r="G264" s="1" t="s">
        <v>36972</v>
      </c>
      <c r="H264" s="1"/>
      <c r="I264" s="1"/>
      <c r="J264" s="1"/>
      <c r="K264" s="1"/>
      <c r="L264" s="1"/>
      <c r="M264" s="1"/>
      <c r="N264" s="1"/>
      <c r="O264" s="1"/>
      <c r="P264" s="1"/>
      <c r="Q264" s="17"/>
    </row>
    <row x14ac:dyDescent="0.25" r="265" customHeight="1" ht="18.75">
      <c r="A265" s="1"/>
      <c r="B265" s="1" t="s">
        <v>36973</v>
      </c>
      <c r="C265" s="1" t="s">
        <v>7</v>
      </c>
      <c r="D265" s="1" t="s">
        <v>10</v>
      </c>
      <c r="E265" s="1" t="s">
        <v>36395</v>
      </c>
      <c r="F265" s="1" t="s">
        <v>3693</v>
      </c>
      <c r="G265" s="1" t="s">
        <v>36974</v>
      </c>
      <c r="H265" s="1"/>
      <c r="I265" s="1"/>
      <c r="J265" s="1"/>
      <c r="K265" s="1"/>
      <c r="L265" s="1"/>
      <c r="M265" s="1"/>
      <c r="N265" s="1"/>
      <c r="O265" s="1"/>
      <c r="P265" s="1"/>
      <c r="Q265" s="17"/>
    </row>
    <row x14ac:dyDescent="0.25" r="266" customHeight="1" ht="18.75">
      <c r="A266" s="1"/>
      <c r="B266" s="1" t="s">
        <v>36975</v>
      </c>
      <c r="C266" s="1" t="s">
        <v>7</v>
      </c>
      <c r="D266" s="1" t="s">
        <v>10</v>
      </c>
      <c r="E266" s="1" t="s">
        <v>36395</v>
      </c>
      <c r="F266" s="1" t="s">
        <v>3693</v>
      </c>
      <c r="G266" s="1" t="s">
        <v>36976</v>
      </c>
      <c r="H266" s="1"/>
      <c r="I266" s="1"/>
      <c r="J266" s="1"/>
      <c r="K266" s="1"/>
      <c r="L266" s="1"/>
      <c r="M266" s="1"/>
      <c r="N266" s="1"/>
      <c r="O266" s="1"/>
      <c r="P266" s="1"/>
      <c r="Q266" s="17"/>
    </row>
    <row x14ac:dyDescent="0.25" r="267" customHeight="1" ht="18.75">
      <c r="A267" s="1"/>
      <c r="B267" s="1" t="s">
        <v>36977</v>
      </c>
      <c r="C267" s="1" t="s">
        <v>7</v>
      </c>
      <c r="D267" s="1" t="s">
        <v>10</v>
      </c>
      <c r="E267" s="1" t="s">
        <v>36395</v>
      </c>
      <c r="F267" s="1" t="s">
        <v>3693</v>
      </c>
      <c r="G267" s="1" t="s">
        <v>36978</v>
      </c>
      <c r="H267" s="1"/>
      <c r="I267" s="1"/>
      <c r="J267" s="1"/>
      <c r="K267" s="1"/>
      <c r="L267" s="1"/>
      <c r="M267" s="1"/>
      <c r="N267" s="1"/>
      <c r="O267" s="1"/>
      <c r="P267" s="1"/>
      <c r="Q267" s="17"/>
    </row>
    <row x14ac:dyDescent="0.25" r="268" customHeight="1" ht="18.75">
      <c r="A268" s="1"/>
      <c r="B268" s="1" t="s">
        <v>36979</v>
      </c>
      <c r="C268" s="1" t="s">
        <v>7</v>
      </c>
      <c r="D268" s="1" t="s">
        <v>10</v>
      </c>
      <c r="E268" s="1" t="s">
        <v>36395</v>
      </c>
      <c r="F268" s="1" t="s">
        <v>3693</v>
      </c>
      <c r="G268" s="1" t="s">
        <v>36980</v>
      </c>
      <c r="H268" s="1"/>
      <c r="I268" s="1"/>
      <c r="J268" s="1"/>
      <c r="K268" s="1"/>
      <c r="L268" s="1"/>
      <c r="M268" s="1"/>
      <c r="N268" s="1"/>
      <c r="O268" s="1"/>
      <c r="P268" s="1"/>
      <c r="Q268" s="17"/>
    </row>
    <row x14ac:dyDescent="0.25" r="269" customHeight="1" ht="18.75">
      <c r="A269" s="1"/>
      <c r="B269" s="1" t="s">
        <v>36981</v>
      </c>
      <c r="C269" s="1" t="s">
        <v>7</v>
      </c>
      <c r="D269" s="1" t="s">
        <v>10</v>
      </c>
      <c r="E269" s="1" t="s">
        <v>36395</v>
      </c>
      <c r="F269" s="1" t="s">
        <v>3693</v>
      </c>
      <c r="G269" s="1" t="s">
        <v>36982</v>
      </c>
      <c r="H269" s="1"/>
      <c r="I269" s="1"/>
      <c r="J269" s="1"/>
      <c r="K269" s="1"/>
      <c r="L269" s="1"/>
      <c r="M269" s="1"/>
      <c r="N269" s="1"/>
      <c r="O269" s="1"/>
      <c r="P269" s="1"/>
      <c r="Q269" s="17"/>
    </row>
    <row x14ac:dyDescent="0.25" r="270" customHeight="1" ht="18.75">
      <c r="A270" s="1"/>
      <c r="B270" s="1" t="s">
        <v>36983</v>
      </c>
      <c r="C270" s="1" t="s">
        <v>7</v>
      </c>
      <c r="D270" s="1" t="s">
        <v>10</v>
      </c>
      <c r="E270" s="1" t="s">
        <v>36395</v>
      </c>
      <c r="F270" s="1" t="s">
        <v>3693</v>
      </c>
      <c r="G270" s="1" t="s">
        <v>36984</v>
      </c>
      <c r="H270" s="1"/>
      <c r="I270" s="1"/>
      <c r="J270" s="1"/>
      <c r="K270" s="1"/>
      <c r="L270" s="1"/>
      <c r="M270" s="1"/>
      <c r="N270" s="1"/>
      <c r="O270" s="1"/>
      <c r="P270" s="1"/>
      <c r="Q270" s="17"/>
    </row>
    <row x14ac:dyDescent="0.25" r="271" customHeight="1" ht="18.75">
      <c r="A271" s="1"/>
      <c r="B271" s="1" t="s">
        <v>36985</v>
      </c>
      <c r="C271" s="1" t="s">
        <v>7</v>
      </c>
      <c r="D271" s="1" t="s">
        <v>10</v>
      </c>
      <c r="E271" s="1" t="s">
        <v>36395</v>
      </c>
      <c r="F271" s="1" t="s">
        <v>3693</v>
      </c>
      <c r="G271" s="1" t="s">
        <v>36986</v>
      </c>
      <c r="H271" s="1"/>
      <c r="I271" s="1"/>
      <c r="J271" s="1"/>
      <c r="K271" s="1"/>
      <c r="L271" s="1"/>
      <c r="M271" s="1"/>
      <c r="N271" s="1"/>
      <c r="O271" s="1"/>
      <c r="P271" s="1"/>
      <c r="Q271" s="17"/>
    </row>
    <row x14ac:dyDescent="0.25" r="272" customHeight="1" ht="18.75">
      <c r="A272" s="1"/>
      <c r="B272" s="1" t="s">
        <v>36987</v>
      </c>
      <c r="C272" s="1" t="s">
        <v>7</v>
      </c>
      <c r="D272" s="1" t="s">
        <v>10</v>
      </c>
      <c r="E272" s="1" t="s">
        <v>36395</v>
      </c>
      <c r="F272" s="1" t="s">
        <v>3693</v>
      </c>
      <c r="G272" s="1" t="s">
        <v>36988</v>
      </c>
      <c r="H272" s="1"/>
      <c r="I272" s="1"/>
      <c r="J272" s="1"/>
      <c r="K272" s="1"/>
      <c r="L272" s="1"/>
      <c r="M272" s="1"/>
      <c r="N272" s="1"/>
      <c r="O272" s="1"/>
      <c r="P272" s="1"/>
      <c r="Q272" s="17"/>
    </row>
    <row x14ac:dyDescent="0.25" r="273" customHeight="1" ht="18.75">
      <c r="A273" s="1"/>
      <c r="B273" s="1" t="s">
        <v>36989</v>
      </c>
      <c r="C273" s="1" t="s">
        <v>7</v>
      </c>
      <c r="D273" s="1" t="s">
        <v>10</v>
      </c>
      <c r="E273" s="1" t="s">
        <v>36395</v>
      </c>
      <c r="F273" s="1" t="s">
        <v>3693</v>
      </c>
      <c r="G273" s="1" t="s">
        <v>36990</v>
      </c>
      <c r="H273" s="1"/>
      <c r="I273" s="1"/>
      <c r="J273" s="1"/>
      <c r="K273" s="1"/>
      <c r="L273" s="1"/>
      <c r="M273" s="1"/>
      <c r="N273" s="1"/>
      <c r="O273" s="1"/>
      <c r="P273" s="1"/>
      <c r="Q273" s="17"/>
    </row>
    <row x14ac:dyDescent="0.25" r="274" customHeight="1" ht="18.75">
      <c r="A274" s="1"/>
      <c r="B274" s="1" t="s">
        <v>36991</v>
      </c>
      <c r="C274" s="1" t="s">
        <v>7</v>
      </c>
      <c r="D274" s="1" t="s">
        <v>10</v>
      </c>
      <c r="E274" s="1" t="s">
        <v>36395</v>
      </c>
      <c r="F274" s="1" t="s">
        <v>3693</v>
      </c>
      <c r="G274" s="1" t="s">
        <v>36992</v>
      </c>
      <c r="H274" s="1"/>
      <c r="I274" s="1"/>
      <c r="J274" s="1"/>
      <c r="K274" s="1"/>
      <c r="L274" s="1"/>
      <c r="M274" s="1"/>
      <c r="N274" s="1"/>
      <c r="O274" s="1"/>
      <c r="P274" s="1"/>
      <c r="Q274" s="17"/>
    </row>
    <row x14ac:dyDescent="0.25" r="275" customHeight="1" ht="18.75">
      <c r="A275" s="1"/>
      <c r="B275" s="1" t="s">
        <v>36993</v>
      </c>
      <c r="C275" s="1" t="s">
        <v>7</v>
      </c>
      <c r="D275" s="1" t="s">
        <v>10</v>
      </c>
      <c r="E275" s="1" t="s">
        <v>36395</v>
      </c>
      <c r="F275" s="1" t="s">
        <v>3693</v>
      </c>
      <c r="G275" s="1" t="s">
        <v>36994</v>
      </c>
      <c r="H275" s="1"/>
      <c r="I275" s="1"/>
      <c r="J275" s="1"/>
      <c r="K275" s="1"/>
      <c r="L275" s="1"/>
      <c r="M275" s="1"/>
      <c r="N275" s="1"/>
      <c r="O275" s="1"/>
      <c r="P275" s="1"/>
      <c r="Q275" s="17"/>
    </row>
    <row x14ac:dyDescent="0.25" r="276" customHeight="1" ht="18.75">
      <c r="A276" s="1"/>
      <c r="B276" s="1" t="s">
        <v>36995</v>
      </c>
      <c r="C276" s="1" t="s">
        <v>7</v>
      </c>
      <c r="D276" s="1" t="s">
        <v>10</v>
      </c>
      <c r="E276" s="1" t="s">
        <v>36395</v>
      </c>
      <c r="F276" s="1" t="s">
        <v>3693</v>
      </c>
      <c r="G276" s="1" t="s">
        <v>36996</v>
      </c>
      <c r="H276" s="1"/>
      <c r="I276" s="1"/>
      <c r="J276" s="1"/>
      <c r="K276" s="1"/>
      <c r="L276" s="1"/>
      <c r="M276" s="1"/>
      <c r="N276" s="1"/>
      <c r="O276" s="1"/>
      <c r="P276" s="1"/>
      <c r="Q276" s="17"/>
    </row>
    <row x14ac:dyDescent="0.25" r="277" customHeight="1" ht="18.75">
      <c r="A277" s="1"/>
      <c r="B277" s="1" t="s">
        <v>36997</v>
      </c>
      <c r="C277" s="1" t="s">
        <v>7</v>
      </c>
      <c r="D277" s="1" t="s">
        <v>10</v>
      </c>
      <c r="E277" s="1" t="s">
        <v>36395</v>
      </c>
      <c r="F277" s="1" t="s">
        <v>3693</v>
      </c>
      <c r="G277" s="1" t="s">
        <v>36998</v>
      </c>
      <c r="H277" s="1"/>
      <c r="I277" s="1"/>
      <c r="J277" s="1"/>
      <c r="K277" s="1"/>
      <c r="L277" s="1"/>
      <c r="M277" s="1"/>
      <c r="N277" s="1"/>
      <c r="O277" s="1"/>
      <c r="P277" s="1"/>
      <c r="Q277" s="17"/>
    </row>
    <row x14ac:dyDescent="0.25" r="278" customHeight="1" ht="18.75">
      <c r="A278" s="1"/>
      <c r="B278" s="1" t="s">
        <v>36701</v>
      </c>
      <c r="C278" s="1" t="s">
        <v>7</v>
      </c>
      <c r="D278" s="1" t="s">
        <v>10</v>
      </c>
      <c r="E278" s="1" t="s">
        <v>36368</v>
      </c>
      <c r="F278" s="1" t="s">
        <v>3693</v>
      </c>
      <c r="G278" s="1" t="s">
        <v>36702</v>
      </c>
      <c r="H278" s="1"/>
      <c r="I278" s="1"/>
      <c r="J278" s="1"/>
      <c r="K278" s="1"/>
      <c r="L278" s="1"/>
      <c r="M278" s="1"/>
      <c r="N278" s="1"/>
      <c r="O278" s="1"/>
      <c r="P278" s="1"/>
      <c r="Q278" s="17"/>
    </row>
    <row x14ac:dyDescent="0.25" r="279" customHeight="1" ht="18.75">
      <c r="A279" s="1"/>
      <c r="B279" s="1" t="s">
        <v>36703</v>
      </c>
      <c r="C279" s="1" t="s">
        <v>7</v>
      </c>
      <c r="D279" s="1" t="s">
        <v>10</v>
      </c>
      <c r="E279" s="1" t="s">
        <v>36368</v>
      </c>
      <c r="F279" s="1" t="s">
        <v>3693</v>
      </c>
      <c r="G279" s="1" t="s">
        <v>36704</v>
      </c>
      <c r="H279" s="1"/>
      <c r="I279" s="1"/>
      <c r="J279" s="1"/>
      <c r="K279" s="1"/>
      <c r="L279" s="1"/>
      <c r="M279" s="1"/>
      <c r="N279" s="1"/>
      <c r="O279" s="1"/>
      <c r="P279" s="1"/>
      <c r="Q279" s="17"/>
    </row>
    <row x14ac:dyDescent="0.25" r="280" customHeight="1" ht="18.75">
      <c r="A280" s="1"/>
      <c r="B280" s="1" t="s">
        <v>36707</v>
      </c>
      <c r="C280" s="1" t="s">
        <v>7</v>
      </c>
      <c r="D280" s="1" t="s">
        <v>10</v>
      </c>
      <c r="E280" s="1" t="s">
        <v>36368</v>
      </c>
      <c r="F280" s="1" t="s">
        <v>3693</v>
      </c>
      <c r="G280" s="1" t="s">
        <v>36708</v>
      </c>
      <c r="H280" s="1"/>
      <c r="I280" s="1"/>
      <c r="J280" s="1"/>
      <c r="K280" s="1"/>
      <c r="L280" s="1"/>
      <c r="M280" s="1"/>
      <c r="N280" s="1"/>
      <c r="O280" s="1"/>
      <c r="P280" s="1"/>
      <c r="Q280" s="17"/>
    </row>
    <row x14ac:dyDescent="0.25" r="281" customHeight="1" ht="18.75">
      <c r="A281" s="1"/>
      <c r="B281" s="1" t="s">
        <v>36999</v>
      </c>
      <c r="C281" s="1" t="s">
        <v>7</v>
      </c>
      <c r="D281" s="1" t="s">
        <v>10</v>
      </c>
      <c r="E281" s="1" t="s">
        <v>36395</v>
      </c>
      <c r="F281" s="1" t="s">
        <v>3617</v>
      </c>
      <c r="G281" s="1" t="s">
        <v>37000</v>
      </c>
      <c r="H281" s="1"/>
      <c r="I281" s="1"/>
      <c r="J281" s="1"/>
      <c r="K281" s="1"/>
      <c r="L281" s="1"/>
      <c r="M281" s="1"/>
      <c r="N281" s="1"/>
      <c r="O281" s="1"/>
      <c r="P281" s="1"/>
      <c r="Q281" s="17"/>
    </row>
    <row x14ac:dyDescent="0.25" r="282" customHeight="1" ht="18.75">
      <c r="A282" s="1"/>
      <c r="B282" s="1" t="s">
        <v>36709</v>
      </c>
      <c r="C282" s="1" t="s">
        <v>7</v>
      </c>
      <c r="D282" s="1" t="s">
        <v>10</v>
      </c>
      <c r="E282" s="1" t="s">
        <v>36368</v>
      </c>
      <c r="F282" s="1" t="s">
        <v>3617</v>
      </c>
      <c r="G282" s="1" t="s">
        <v>36710</v>
      </c>
      <c r="H282" s="1"/>
      <c r="I282" s="1"/>
      <c r="J282" s="1"/>
      <c r="K282" s="1"/>
      <c r="L282" s="1"/>
      <c r="M282" s="1"/>
      <c r="N282" s="1"/>
      <c r="O282" s="1"/>
      <c r="P282" s="1"/>
      <c r="Q282" s="17"/>
    </row>
    <row x14ac:dyDescent="0.25" r="283" customHeight="1" ht="18.75">
      <c r="A283" s="1"/>
      <c r="B283" s="1" t="s">
        <v>36713</v>
      </c>
      <c r="C283" s="1" t="s">
        <v>7</v>
      </c>
      <c r="D283" s="1" t="s">
        <v>10</v>
      </c>
      <c r="E283" s="1" t="s">
        <v>36368</v>
      </c>
      <c r="F283" s="1" t="s">
        <v>7833</v>
      </c>
      <c r="G283" s="1" t="s">
        <v>36714</v>
      </c>
      <c r="H283" s="1"/>
      <c r="I283" s="1"/>
      <c r="J283" s="1"/>
      <c r="K283" s="1"/>
      <c r="L283" s="1"/>
      <c r="M283" s="1"/>
      <c r="N283" s="1"/>
      <c r="O283" s="1"/>
      <c r="P283" s="1"/>
      <c r="Q283" s="17"/>
    </row>
    <row x14ac:dyDescent="0.25" r="284" customHeight="1" ht="18.75">
      <c r="A284" s="1"/>
      <c r="B284" s="1" t="s">
        <v>37001</v>
      </c>
      <c r="C284" s="1" t="s">
        <v>7</v>
      </c>
      <c r="D284" s="1" t="s">
        <v>10</v>
      </c>
      <c r="E284" s="1" t="s">
        <v>36395</v>
      </c>
      <c r="F284" s="1" t="s">
        <v>7833</v>
      </c>
      <c r="G284" s="1" t="s">
        <v>37002</v>
      </c>
      <c r="H284" s="1"/>
      <c r="I284" s="1"/>
      <c r="J284" s="1"/>
      <c r="K284" s="1"/>
      <c r="L284" s="1"/>
      <c r="M284" s="1"/>
      <c r="N284" s="1"/>
      <c r="O284" s="1"/>
      <c r="P284" s="1"/>
      <c r="Q284" s="17"/>
    </row>
    <row x14ac:dyDescent="0.25" r="285" customHeight="1" ht="18.75">
      <c r="A285" s="1"/>
      <c r="B285" s="1" t="s">
        <v>37003</v>
      </c>
      <c r="C285" s="1" t="s">
        <v>7</v>
      </c>
      <c r="D285" s="1" t="s">
        <v>10</v>
      </c>
      <c r="E285" s="1" t="s">
        <v>36395</v>
      </c>
      <c r="F285" s="1" t="s">
        <v>7833</v>
      </c>
      <c r="G285" s="1" t="s">
        <v>37004</v>
      </c>
      <c r="H285" s="1"/>
      <c r="I285" s="1"/>
      <c r="J285" s="1"/>
      <c r="K285" s="1"/>
      <c r="L285" s="1"/>
      <c r="M285" s="1"/>
      <c r="N285" s="1"/>
      <c r="O285" s="1"/>
      <c r="P285" s="1"/>
      <c r="Q285" s="17"/>
    </row>
    <row x14ac:dyDescent="0.25" r="286" customHeight="1" ht="18.75">
      <c r="A286" s="1"/>
      <c r="B286" s="1" t="s">
        <v>36717</v>
      </c>
      <c r="C286" s="1" t="s">
        <v>7</v>
      </c>
      <c r="D286" s="1" t="s">
        <v>10</v>
      </c>
      <c r="E286" s="1" t="s">
        <v>36368</v>
      </c>
      <c r="F286" s="1" t="s">
        <v>3693</v>
      </c>
      <c r="G286" s="1" t="s">
        <v>36718</v>
      </c>
      <c r="H286" s="1"/>
      <c r="I286" s="1"/>
      <c r="J286" s="1"/>
      <c r="K286" s="1"/>
      <c r="L286" s="1"/>
      <c r="M286" s="1"/>
      <c r="N286" s="1"/>
      <c r="O286" s="1"/>
      <c r="P286" s="1"/>
      <c r="Q286" s="17"/>
    </row>
    <row x14ac:dyDescent="0.25" r="287" customHeight="1" ht="18.75">
      <c r="A287" s="1"/>
      <c r="B287" s="1" t="s">
        <v>37005</v>
      </c>
      <c r="C287" s="1" t="s">
        <v>7</v>
      </c>
      <c r="D287" s="1" t="s">
        <v>10</v>
      </c>
      <c r="E287" s="1" t="s">
        <v>36395</v>
      </c>
      <c r="F287" s="1" t="s">
        <v>3617</v>
      </c>
      <c r="G287" s="1" t="s">
        <v>37006</v>
      </c>
      <c r="H287" s="1"/>
      <c r="I287" s="1"/>
      <c r="J287" s="1"/>
      <c r="K287" s="1"/>
      <c r="L287" s="1"/>
      <c r="M287" s="1"/>
      <c r="N287" s="1"/>
      <c r="O287" s="1"/>
      <c r="P287" s="1"/>
      <c r="Q287" s="17"/>
    </row>
    <row x14ac:dyDescent="0.25" r="288" customHeight="1" ht="18.75">
      <c r="A288" s="1"/>
      <c r="B288" s="1" t="s">
        <v>37007</v>
      </c>
      <c r="C288" s="1" t="s">
        <v>7</v>
      </c>
      <c r="D288" s="1" t="s">
        <v>10</v>
      </c>
      <c r="E288" s="1" t="s">
        <v>36395</v>
      </c>
      <c r="F288" s="1" t="s">
        <v>3617</v>
      </c>
      <c r="G288" s="1" t="s">
        <v>37008</v>
      </c>
      <c r="H288" s="1"/>
      <c r="I288" s="1"/>
      <c r="J288" s="1"/>
      <c r="K288" s="1"/>
      <c r="L288" s="1"/>
      <c r="M288" s="1"/>
      <c r="N288" s="1"/>
      <c r="O288" s="1"/>
      <c r="P288" s="1"/>
      <c r="Q288" s="17"/>
    </row>
    <row x14ac:dyDescent="0.25" r="289" customHeight="1" ht="18.75">
      <c r="A289" s="1"/>
      <c r="B289" s="1" t="s">
        <v>37009</v>
      </c>
      <c r="C289" s="1" t="s">
        <v>7</v>
      </c>
      <c r="D289" s="1" t="s">
        <v>10</v>
      </c>
      <c r="E289" s="1" t="s">
        <v>36395</v>
      </c>
      <c r="F289" s="1" t="s">
        <v>3693</v>
      </c>
      <c r="G289" s="1" t="s">
        <v>37010</v>
      </c>
      <c r="H289" s="1"/>
      <c r="I289" s="1"/>
      <c r="J289" s="1"/>
      <c r="K289" s="1"/>
      <c r="L289" s="1"/>
      <c r="M289" s="1"/>
      <c r="N289" s="1"/>
      <c r="O289" s="1"/>
      <c r="P289" s="1"/>
      <c r="Q289" s="17"/>
    </row>
    <row x14ac:dyDescent="0.25" r="290" customHeight="1" ht="18.75">
      <c r="A290" s="1"/>
      <c r="B290" s="1" t="s">
        <v>36721</v>
      </c>
      <c r="C290" s="1" t="s">
        <v>7</v>
      </c>
      <c r="D290" s="1" t="s">
        <v>10</v>
      </c>
      <c r="E290" s="1" t="s">
        <v>36368</v>
      </c>
      <c r="F290" s="1" t="s">
        <v>3617</v>
      </c>
      <c r="G290" s="1" t="s">
        <v>36722</v>
      </c>
      <c r="H290" s="1"/>
      <c r="I290" s="1"/>
      <c r="J290" s="1"/>
      <c r="K290" s="1"/>
      <c r="L290" s="1"/>
      <c r="M290" s="1"/>
      <c r="N290" s="1"/>
      <c r="O290" s="1"/>
      <c r="P290" s="1"/>
      <c r="Q290" s="17"/>
    </row>
    <row x14ac:dyDescent="0.25" r="291" customHeight="1" ht="18.75">
      <c r="A291" s="1"/>
      <c r="B291" s="1" t="s">
        <v>37011</v>
      </c>
      <c r="C291" s="1" t="s">
        <v>7</v>
      </c>
      <c r="D291" s="1" t="s">
        <v>10</v>
      </c>
      <c r="E291" s="1" t="s">
        <v>36395</v>
      </c>
      <c r="F291" s="1" t="s">
        <v>3693</v>
      </c>
      <c r="G291" s="1" t="s">
        <v>37012</v>
      </c>
      <c r="H291" s="1"/>
      <c r="I291" s="1"/>
      <c r="J291" s="1"/>
      <c r="K291" s="1"/>
      <c r="L291" s="1"/>
      <c r="M291" s="1"/>
      <c r="N291" s="1"/>
      <c r="O291" s="1"/>
      <c r="P291" s="1"/>
      <c r="Q291" s="17"/>
    </row>
    <row x14ac:dyDescent="0.25" r="292" customHeight="1" ht="18.75">
      <c r="A292" s="1"/>
      <c r="B292" s="1" t="s">
        <v>36725</v>
      </c>
      <c r="C292" s="1" t="s">
        <v>7</v>
      </c>
      <c r="D292" s="1" t="s">
        <v>10</v>
      </c>
      <c r="E292" s="1" t="s">
        <v>36368</v>
      </c>
      <c r="F292" s="1" t="s">
        <v>3598</v>
      </c>
      <c r="G292" s="1" t="s">
        <v>36726</v>
      </c>
      <c r="H292" s="1"/>
      <c r="I292" s="1"/>
      <c r="J292" s="1"/>
      <c r="K292" s="1"/>
      <c r="L292" s="1"/>
      <c r="M292" s="1"/>
      <c r="N292" s="1"/>
      <c r="O292" s="1"/>
      <c r="P292" s="1"/>
      <c r="Q292" s="17"/>
    </row>
    <row x14ac:dyDescent="0.25" r="293" customHeight="1" ht="18.75">
      <c r="A293" s="1"/>
      <c r="B293" s="1" t="s">
        <v>36729</v>
      </c>
      <c r="C293" s="1" t="s">
        <v>7</v>
      </c>
      <c r="D293" s="1" t="s">
        <v>10</v>
      </c>
      <c r="E293" s="1" t="s">
        <v>36368</v>
      </c>
      <c r="F293" s="1" t="s">
        <v>3598</v>
      </c>
      <c r="G293" s="1" t="s">
        <v>36730</v>
      </c>
      <c r="H293" s="1"/>
      <c r="I293" s="1"/>
      <c r="J293" s="1"/>
      <c r="K293" s="1"/>
      <c r="L293" s="1"/>
      <c r="M293" s="1"/>
      <c r="N293" s="1"/>
      <c r="O293" s="1"/>
      <c r="P293" s="1"/>
      <c r="Q293" s="17"/>
    </row>
    <row x14ac:dyDescent="0.25" r="294" customHeight="1" ht="18.75">
      <c r="A294" s="1"/>
      <c r="B294" s="1" t="s">
        <v>37013</v>
      </c>
      <c r="C294" s="1" t="s">
        <v>7</v>
      </c>
      <c r="D294" s="1" t="s">
        <v>10</v>
      </c>
      <c r="E294" s="1" t="s">
        <v>36395</v>
      </c>
      <c r="F294" s="1" t="s">
        <v>85</v>
      </c>
      <c r="G294" s="1" t="s">
        <v>37014</v>
      </c>
      <c r="H294" s="1"/>
      <c r="I294" s="1"/>
      <c r="J294" s="1"/>
      <c r="K294" s="1"/>
      <c r="L294" s="1"/>
      <c r="M294" s="1"/>
      <c r="N294" s="1"/>
      <c r="O294" s="1"/>
      <c r="P294" s="1"/>
      <c r="Q294" s="17"/>
    </row>
    <row x14ac:dyDescent="0.25" r="295" customHeight="1" ht="18.75">
      <c r="A295" s="1"/>
      <c r="B295" s="1" t="s">
        <v>36733</v>
      </c>
      <c r="C295" s="1" t="s">
        <v>7</v>
      </c>
      <c r="D295" s="1" t="s">
        <v>10</v>
      </c>
      <c r="E295" s="1" t="s">
        <v>36368</v>
      </c>
      <c r="F295" s="1" t="s">
        <v>3693</v>
      </c>
      <c r="G295" s="1" t="s">
        <v>36734</v>
      </c>
      <c r="H295" s="1"/>
      <c r="I295" s="1"/>
      <c r="J295" s="1"/>
      <c r="K295" s="1"/>
      <c r="L295" s="1"/>
      <c r="M295" s="1"/>
      <c r="N295" s="1"/>
      <c r="O295" s="1"/>
      <c r="P295" s="1"/>
      <c r="Q295" s="17"/>
    </row>
    <row x14ac:dyDescent="0.25" r="296" customHeight="1" ht="18.75">
      <c r="A296" s="1"/>
      <c r="B296" s="1" t="s">
        <v>36737</v>
      </c>
      <c r="C296" s="1" t="s">
        <v>7</v>
      </c>
      <c r="D296" s="1" t="s">
        <v>10</v>
      </c>
      <c r="E296" s="1" t="s">
        <v>36368</v>
      </c>
      <c r="F296" s="1" t="s">
        <v>3693</v>
      </c>
      <c r="G296" s="1" t="s">
        <v>36738</v>
      </c>
      <c r="H296" s="1"/>
      <c r="I296" s="1"/>
      <c r="J296" s="1"/>
      <c r="K296" s="1"/>
      <c r="L296" s="1"/>
      <c r="M296" s="1"/>
      <c r="N296" s="1"/>
      <c r="O296" s="1"/>
      <c r="P296" s="1"/>
      <c r="Q296" s="17"/>
    </row>
    <row x14ac:dyDescent="0.25" r="297" customHeight="1" ht="18.75">
      <c r="A297" s="1"/>
      <c r="B297" s="1" t="s">
        <v>36741</v>
      </c>
      <c r="C297" s="1" t="s">
        <v>7</v>
      </c>
      <c r="D297" s="1" t="s">
        <v>10</v>
      </c>
      <c r="E297" s="1" t="s">
        <v>36368</v>
      </c>
      <c r="F297" s="1" t="s">
        <v>3693</v>
      </c>
      <c r="G297" s="1" t="s">
        <v>36742</v>
      </c>
      <c r="H297" s="1"/>
      <c r="I297" s="1"/>
      <c r="J297" s="1"/>
      <c r="K297" s="1"/>
      <c r="L297" s="1"/>
      <c r="M297" s="1"/>
      <c r="N297" s="1"/>
      <c r="O297" s="1"/>
      <c r="P297" s="1"/>
      <c r="Q297" s="17"/>
    </row>
    <row x14ac:dyDescent="0.25" r="298" customHeight="1" ht="18.75">
      <c r="A298" s="1"/>
      <c r="B298" s="1" t="s">
        <v>36745</v>
      </c>
      <c r="C298" s="1" t="s">
        <v>7</v>
      </c>
      <c r="D298" s="1" t="s">
        <v>10</v>
      </c>
      <c r="E298" s="1" t="s">
        <v>36368</v>
      </c>
      <c r="F298" s="1" t="s">
        <v>3693</v>
      </c>
      <c r="G298" s="1" t="s">
        <v>36746</v>
      </c>
      <c r="H298" s="1"/>
      <c r="I298" s="1"/>
      <c r="J298" s="1"/>
      <c r="K298" s="1"/>
      <c r="L298" s="1"/>
      <c r="M298" s="1"/>
      <c r="N298" s="1"/>
      <c r="O298" s="1"/>
      <c r="P298" s="1"/>
      <c r="Q298" s="17"/>
    </row>
    <row x14ac:dyDescent="0.25" r="299" customHeight="1" ht="18.75">
      <c r="A299" s="1"/>
      <c r="B299" s="1" t="s">
        <v>36749</v>
      </c>
      <c r="C299" s="1" t="s">
        <v>7</v>
      </c>
      <c r="D299" s="1" t="s">
        <v>10</v>
      </c>
      <c r="E299" s="1" t="s">
        <v>36368</v>
      </c>
      <c r="F299" s="1" t="s">
        <v>3693</v>
      </c>
      <c r="G299" s="1" t="s">
        <v>36750</v>
      </c>
      <c r="H299" s="1"/>
      <c r="I299" s="1"/>
      <c r="J299" s="1"/>
      <c r="K299" s="1"/>
      <c r="L299" s="1"/>
      <c r="M299" s="1"/>
      <c r="N299" s="1"/>
      <c r="O299" s="1"/>
      <c r="P299" s="1"/>
      <c r="Q299" s="17"/>
    </row>
    <row x14ac:dyDescent="0.25" r="300" customHeight="1" ht="18.75">
      <c r="A300" s="1"/>
      <c r="B300" s="1" t="s">
        <v>36753</v>
      </c>
      <c r="C300" s="1" t="s">
        <v>7</v>
      </c>
      <c r="D300" s="1" t="s">
        <v>10</v>
      </c>
      <c r="E300" s="1" t="s">
        <v>36368</v>
      </c>
      <c r="F300" s="1" t="s">
        <v>3693</v>
      </c>
      <c r="G300" s="1" t="s">
        <v>36754</v>
      </c>
      <c r="H300" s="1"/>
      <c r="I300" s="1"/>
      <c r="J300" s="1"/>
      <c r="K300" s="1"/>
      <c r="L300" s="1"/>
      <c r="M300" s="1"/>
      <c r="N300" s="1"/>
      <c r="O300" s="1"/>
      <c r="P300" s="1"/>
      <c r="Q300" s="17"/>
    </row>
    <row x14ac:dyDescent="0.25" r="301" customHeight="1" ht="18.75">
      <c r="A301" s="1"/>
      <c r="B301" s="1" t="s">
        <v>36757</v>
      </c>
      <c r="C301" s="1" t="s">
        <v>7</v>
      </c>
      <c r="D301" s="1" t="s">
        <v>10</v>
      </c>
      <c r="E301" s="1" t="s">
        <v>36368</v>
      </c>
      <c r="F301" s="1" t="s">
        <v>3693</v>
      </c>
      <c r="G301" s="1" t="s">
        <v>36758</v>
      </c>
      <c r="H301" s="1"/>
      <c r="I301" s="1"/>
      <c r="J301" s="1"/>
      <c r="K301" s="1"/>
      <c r="L301" s="1"/>
      <c r="M301" s="1"/>
      <c r="N301" s="1"/>
      <c r="O301" s="1"/>
      <c r="P301" s="1"/>
      <c r="Q301" s="17"/>
    </row>
    <row x14ac:dyDescent="0.25" r="302" customHeight="1" ht="18.75">
      <c r="A302" s="1"/>
      <c r="B302" s="1" t="s">
        <v>36761</v>
      </c>
      <c r="C302" s="1" t="s">
        <v>7</v>
      </c>
      <c r="D302" s="1" t="s">
        <v>10</v>
      </c>
      <c r="E302" s="1" t="s">
        <v>36368</v>
      </c>
      <c r="F302" s="1" t="s">
        <v>3693</v>
      </c>
      <c r="G302" s="1" t="s">
        <v>36762</v>
      </c>
      <c r="H302" s="1"/>
      <c r="I302" s="1"/>
      <c r="J302" s="1"/>
      <c r="K302" s="1"/>
      <c r="L302" s="1"/>
      <c r="M302" s="1"/>
      <c r="N302" s="1"/>
      <c r="O302" s="1"/>
      <c r="P302" s="1"/>
      <c r="Q302" s="17"/>
    </row>
    <row x14ac:dyDescent="0.25" r="303" customHeight="1" ht="18.75">
      <c r="A303" s="1"/>
      <c r="B303" s="1" t="s">
        <v>36765</v>
      </c>
      <c r="C303" s="1" t="s">
        <v>7</v>
      </c>
      <c r="D303" s="1" t="s">
        <v>10</v>
      </c>
      <c r="E303" s="1" t="s">
        <v>36368</v>
      </c>
      <c r="F303" s="1" t="s">
        <v>3693</v>
      </c>
      <c r="G303" s="1" t="s">
        <v>36766</v>
      </c>
      <c r="H303" s="1"/>
      <c r="I303" s="1"/>
      <c r="J303" s="1"/>
      <c r="K303" s="1"/>
      <c r="L303" s="1"/>
      <c r="M303" s="1"/>
      <c r="N303" s="1"/>
      <c r="O303" s="1"/>
      <c r="P303" s="1"/>
      <c r="Q303" s="17"/>
    </row>
    <row x14ac:dyDescent="0.25" r="304" customHeight="1" ht="18.75">
      <c r="A304" s="1"/>
      <c r="B304" s="1" t="s">
        <v>36769</v>
      </c>
      <c r="C304" s="1" t="s">
        <v>7</v>
      </c>
      <c r="D304" s="1" t="s">
        <v>10</v>
      </c>
      <c r="E304" s="1" t="s">
        <v>36368</v>
      </c>
      <c r="F304" s="1" t="s">
        <v>3598</v>
      </c>
      <c r="G304" s="1" t="s">
        <v>36770</v>
      </c>
      <c r="H304" s="1"/>
      <c r="I304" s="1"/>
      <c r="J304" s="1"/>
      <c r="K304" s="1"/>
      <c r="L304" s="1"/>
      <c r="M304" s="1"/>
      <c r="N304" s="1"/>
      <c r="O304" s="1"/>
      <c r="P304" s="1"/>
      <c r="Q304" s="17"/>
    </row>
    <row x14ac:dyDescent="0.25" r="305" customHeight="1" ht="18.75">
      <c r="A305" s="1"/>
      <c r="B305" s="1" t="s">
        <v>36773</v>
      </c>
      <c r="C305" s="1" t="s">
        <v>7</v>
      </c>
      <c r="D305" s="1" t="s">
        <v>10</v>
      </c>
      <c r="E305" s="1" t="s">
        <v>36368</v>
      </c>
      <c r="F305" s="1" t="s">
        <v>3598</v>
      </c>
      <c r="G305" s="1" t="s">
        <v>36774</v>
      </c>
      <c r="H305" s="1"/>
      <c r="I305" s="1"/>
      <c r="J305" s="1"/>
      <c r="K305" s="1"/>
      <c r="L305" s="1"/>
      <c r="M305" s="1"/>
      <c r="N305" s="1"/>
      <c r="O305" s="1"/>
      <c r="P305" s="1"/>
      <c r="Q305" s="17"/>
    </row>
    <row x14ac:dyDescent="0.25" r="306" customHeight="1" ht="18.75">
      <c r="A306" s="1"/>
      <c r="B306" s="1" t="s">
        <v>36777</v>
      </c>
      <c r="C306" s="1" t="s">
        <v>7</v>
      </c>
      <c r="D306" s="1" t="s">
        <v>10</v>
      </c>
      <c r="E306" s="1" t="s">
        <v>36368</v>
      </c>
      <c r="F306" s="1" t="s">
        <v>3598</v>
      </c>
      <c r="G306" s="1" t="s">
        <v>36778</v>
      </c>
      <c r="H306" s="1"/>
      <c r="I306" s="1"/>
      <c r="J306" s="1"/>
      <c r="K306" s="1"/>
      <c r="L306" s="1"/>
      <c r="M306" s="1"/>
      <c r="N306" s="1"/>
      <c r="O306" s="1"/>
      <c r="P306" s="1"/>
      <c r="Q306" s="17"/>
    </row>
    <row x14ac:dyDescent="0.25" r="307" customHeight="1" ht="18.75">
      <c r="A307" s="1"/>
      <c r="B307" s="1" t="s">
        <v>36781</v>
      </c>
      <c r="C307" s="1" t="s">
        <v>7</v>
      </c>
      <c r="D307" s="1" t="s">
        <v>10</v>
      </c>
      <c r="E307" s="1" t="s">
        <v>36368</v>
      </c>
      <c r="F307" s="1" t="s">
        <v>85</v>
      </c>
      <c r="G307" s="1" t="s">
        <v>36782</v>
      </c>
      <c r="H307" s="1"/>
      <c r="I307" s="1"/>
      <c r="J307" s="1"/>
      <c r="K307" s="1"/>
      <c r="L307" s="1"/>
      <c r="M307" s="1"/>
      <c r="N307" s="1"/>
      <c r="O307" s="1"/>
      <c r="P307" s="1"/>
      <c r="Q307" s="17"/>
    </row>
    <row x14ac:dyDescent="0.25" r="308" customHeight="1" ht="18.75">
      <c r="A308" s="1"/>
      <c r="B308" s="1" t="s">
        <v>36785</v>
      </c>
      <c r="C308" s="1" t="s">
        <v>7</v>
      </c>
      <c r="D308" s="1" t="s">
        <v>10</v>
      </c>
      <c r="E308" s="1" t="s">
        <v>36368</v>
      </c>
      <c r="F308" s="1" t="s">
        <v>85</v>
      </c>
      <c r="G308" s="1" t="s">
        <v>36786</v>
      </c>
      <c r="H308" s="1"/>
      <c r="I308" s="1"/>
      <c r="J308" s="1"/>
      <c r="K308" s="1"/>
      <c r="L308" s="1"/>
      <c r="M308" s="1"/>
      <c r="N308" s="1"/>
      <c r="O308" s="1"/>
      <c r="P308" s="1"/>
      <c r="Q308" s="17"/>
    </row>
    <row x14ac:dyDescent="0.25" r="309" customHeight="1" ht="18.75">
      <c r="A309" s="1"/>
      <c r="B309" s="1" t="s">
        <v>36789</v>
      </c>
      <c r="C309" s="1" t="s">
        <v>7</v>
      </c>
      <c r="D309" s="1" t="s">
        <v>10</v>
      </c>
      <c r="E309" s="1" t="s">
        <v>36368</v>
      </c>
      <c r="F309" s="1" t="s">
        <v>85</v>
      </c>
      <c r="G309" s="1" t="s">
        <v>36790</v>
      </c>
      <c r="H309" s="1"/>
      <c r="I309" s="1"/>
      <c r="J309" s="1"/>
      <c r="K309" s="1"/>
      <c r="L309" s="1"/>
      <c r="M309" s="1"/>
      <c r="N309" s="1"/>
      <c r="O309" s="1"/>
      <c r="P309" s="1"/>
      <c r="Q309" s="17"/>
    </row>
    <row x14ac:dyDescent="0.25" r="310" customHeight="1" ht="18.75">
      <c r="A310" s="1"/>
      <c r="B310" s="1" t="s">
        <v>36793</v>
      </c>
      <c r="C310" s="1" t="s">
        <v>7</v>
      </c>
      <c r="D310" s="1" t="s">
        <v>10</v>
      </c>
      <c r="E310" s="1" t="s">
        <v>36368</v>
      </c>
      <c r="F310" s="1" t="s">
        <v>3598</v>
      </c>
      <c r="G310" s="1" t="s">
        <v>36794</v>
      </c>
      <c r="H310" s="1"/>
      <c r="I310" s="1"/>
      <c r="J310" s="1"/>
      <c r="K310" s="1"/>
      <c r="L310" s="1"/>
      <c r="M310" s="1"/>
      <c r="N310" s="1"/>
      <c r="O310" s="1"/>
      <c r="P310" s="1"/>
      <c r="Q310" s="17"/>
    </row>
    <row x14ac:dyDescent="0.25" r="311" customHeight="1" ht="18.75">
      <c r="A311" s="1"/>
      <c r="B311" s="1" t="s">
        <v>36797</v>
      </c>
      <c r="C311" s="1" t="s">
        <v>7</v>
      </c>
      <c r="D311" s="1" t="s">
        <v>10</v>
      </c>
      <c r="E311" s="1" t="s">
        <v>36368</v>
      </c>
      <c r="F311" s="1" t="s">
        <v>3598</v>
      </c>
      <c r="G311" s="1" t="s">
        <v>36798</v>
      </c>
      <c r="H311" s="1"/>
      <c r="I311" s="1"/>
      <c r="J311" s="1"/>
      <c r="K311" s="1"/>
      <c r="L311" s="1"/>
      <c r="M311" s="1"/>
      <c r="N311" s="1"/>
      <c r="O311" s="1"/>
      <c r="P311" s="1"/>
      <c r="Q311" s="17"/>
    </row>
    <row x14ac:dyDescent="0.25" r="312" customHeight="1" ht="18.75">
      <c r="A312" s="1"/>
      <c r="B312" s="1" t="s">
        <v>36801</v>
      </c>
      <c r="C312" s="1" t="s">
        <v>7</v>
      </c>
      <c r="D312" s="1" t="s">
        <v>10</v>
      </c>
      <c r="E312" s="1" t="s">
        <v>36368</v>
      </c>
      <c r="F312" s="1" t="s">
        <v>3693</v>
      </c>
      <c r="G312" s="1" t="s">
        <v>36802</v>
      </c>
      <c r="H312" s="1"/>
      <c r="I312" s="1"/>
      <c r="J312" s="1"/>
      <c r="K312" s="1"/>
      <c r="L312" s="1"/>
      <c r="M312" s="1"/>
      <c r="N312" s="1"/>
      <c r="O312" s="1"/>
      <c r="P312" s="1"/>
      <c r="Q312" s="17"/>
    </row>
    <row x14ac:dyDescent="0.25" r="313" customHeight="1" ht="18.75">
      <c r="A313" s="1"/>
      <c r="B313" s="1" t="s">
        <v>36805</v>
      </c>
      <c r="C313" s="1" t="s">
        <v>7</v>
      </c>
      <c r="D313" s="1" t="s">
        <v>10</v>
      </c>
      <c r="E313" s="1" t="s">
        <v>36368</v>
      </c>
      <c r="F313" s="1" t="s">
        <v>3693</v>
      </c>
      <c r="G313" s="1" t="s">
        <v>36806</v>
      </c>
      <c r="H313" s="1"/>
      <c r="I313" s="1"/>
      <c r="J313" s="1"/>
      <c r="K313" s="1"/>
      <c r="L313" s="1"/>
      <c r="M313" s="1"/>
      <c r="N313" s="1"/>
      <c r="O313" s="1"/>
      <c r="P313" s="1"/>
      <c r="Q313" s="17"/>
    </row>
    <row x14ac:dyDescent="0.25" r="314" customHeight="1" ht="18.75">
      <c r="A314" s="1"/>
      <c r="B314" s="1" t="s">
        <v>36809</v>
      </c>
      <c r="C314" s="1" t="s">
        <v>7</v>
      </c>
      <c r="D314" s="1" t="s">
        <v>10</v>
      </c>
      <c r="E314" s="1" t="s">
        <v>36368</v>
      </c>
      <c r="F314" s="1" t="s">
        <v>3693</v>
      </c>
      <c r="G314" s="1" t="s">
        <v>36810</v>
      </c>
      <c r="H314" s="1"/>
      <c r="I314" s="1"/>
      <c r="J314" s="1"/>
      <c r="K314" s="1"/>
      <c r="L314" s="1"/>
      <c r="M314" s="1"/>
      <c r="N314" s="1"/>
      <c r="O314" s="1"/>
      <c r="P314" s="1"/>
      <c r="Q314" s="17"/>
    </row>
    <row x14ac:dyDescent="0.25" r="315" customHeight="1" ht="18.75">
      <c r="A315" s="1"/>
      <c r="B315" s="1" t="s">
        <v>36813</v>
      </c>
      <c r="C315" s="1" t="s">
        <v>7</v>
      </c>
      <c r="D315" s="1" t="s">
        <v>10</v>
      </c>
      <c r="E315" s="1" t="s">
        <v>36368</v>
      </c>
      <c r="F315" s="1" t="s">
        <v>3693</v>
      </c>
      <c r="G315" s="1" t="s">
        <v>36814</v>
      </c>
      <c r="H315" s="1"/>
      <c r="I315" s="1"/>
      <c r="J315" s="1"/>
      <c r="K315" s="1"/>
      <c r="L315" s="1"/>
      <c r="M315" s="1"/>
      <c r="N315" s="1"/>
      <c r="O315" s="1"/>
      <c r="P315" s="1"/>
      <c r="Q315" s="17"/>
    </row>
    <row x14ac:dyDescent="0.25" r="316" customHeight="1" ht="18.75">
      <c r="A316" s="1"/>
      <c r="B316" s="1" t="s">
        <v>36817</v>
      </c>
      <c r="C316" s="1" t="s">
        <v>7</v>
      </c>
      <c r="D316" s="1" t="s">
        <v>10</v>
      </c>
      <c r="E316" s="1" t="s">
        <v>36368</v>
      </c>
      <c r="F316" s="1" t="s">
        <v>3598</v>
      </c>
      <c r="G316" s="1" t="s">
        <v>36818</v>
      </c>
      <c r="H316" s="1"/>
      <c r="I316" s="1"/>
      <c r="J316" s="1"/>
      <c r="K316" s="1"/>
      <c r="L316" s="1"/>
      <c r="M316" s="1"/>
      <c r="N316" s="1"/>
      <c r="O316" s="1"/>
      <c r="P316" s="1"/>
      <c r="Q316" s="17"/>
    </row>
    <row x14ac:dyDescent="0.25" r="317" customHeight="1" ht="18.75">
      <c r="A317" s="1"/>
      <c r="B317" s="1" t="s">
        <v>36821</v>
      </c>
      <c r="C317" s="1" t="s">
        <v>7</v>
      </c>
      <c r="D317" s="1" t="s">
        <v>10</v>
      </c>
      <c r="E317" s="1" t="s">
        <v>36368</v>
      </c>
      <c r="F317" s="1" t="s">
        <v>3598</v>
      </c>
      <c r="G317" s="1" t="s">
        <v>36822</v>
      </c>
      <c r="H317" s="1"/>
      <c r="I317" s="1"/>
      <c r="J317" s="1"/>
      <c r="K317" s="1"/>
      <c r="L317" s="1"/>
      <c r="M317" s="1"/>
      <c r="N317" s="1"/>
      <c r="O317" s="1"/>
      <c r="P317" s="1"/>
      <c r="Q317" s="17"/>
    </row>
    <row x14ac:dyDescent="0.25" r="318" customHeight="1" ht="18.75">
      <c r="A318" s="1"/>
      <c r="B318" s="1" t="s">
        <v>37015</v>
      </c>
      <c r="C318" s="1" t="s">
        <v>7</v>
      </c>
      <c r="D318" s="1" t="s">
        <v>10</v>
      </c>
      <c r="E318" s="1" t="s">
        <v>36395</v>
      </c>
      <c r="F318" s="1" t="s">
        <v>5496</v>
      </c>
      <c r="G318" s="1" t="s">
        <v>37016</v>
      </c>
      <c r="H318" s="1"/>
      <c r="I318" s="1"/>
      <c r="J318" s="1"/>
      <c r="K318" s="1"/>
      <c r="L318" s="1"/>
      <c r="M318" s="1"/>
      <c r="N318" s="1"/>
      <c r="O318" s="1"/>
      <c r="P318" s="1"/>
      <c r="Q318" s="17"/>
    </row>
    <row x14ac:dyDescent="0.25" r="319" customHeight="1" ht="18.75">
      <c r="A319" s="1"/>
      <c r="B319" s="1" t="s">
        <v>37017</v>
      </c>
      <c r="C319" s="1" t="s">
        <v>7</v>
      </c>
      <c r="D319" s="1" t="s">
        <v>10</v>
      </c>
      <c r="E319" s="1" t="s">
        <v>36395</v>
      </c>
      <c r="F319" s="1" t="s">
        <v>5496</v>
      </c>
      <c r="G319" s="1" t="s">
        <v>37018</v>
      </c>
      <c r="H319" s="1"/>
      <c r="I319" s="1"/>
      <c r="J319" s="1"/>
      <c r="K319" s="1"/>
      <c r="L319" s="1"/>
      <c r="M319" s="1"/>
      <c r="N319" s="1"/>
      <c r="O319" s="1"/>
      <c r="P319" s="1"/>
      <c r="Q319" s="17"/>
    </row>
    <row x14ac:dyDescent="0.25" r="320" customHeight="1" ht="18.75">
      <c r="A320" s="1"/>
      <c r="B320" s="1" t="s">
        <v>37019</v>
      </c>
      <c r="C320" s="1" t="s">
        <v>7</v>
      </c>
      <c r="D320" s="1" t="s">
        <v>10</v>
      </c>
      <c r="E320" s="1" t="s">
        <v>36395</v>
      </c>
      <c r="F320" s="1" t="s">
        <v>5496</v>
      </c>
      <c r="G320" s="1" t="s">
        <v>37020</v>
      </c>
      <c r="H320" s="1"/>
      <c r="I320" s="1"/>
      <c r="J320" s="1"/>
      <c r="K320" s="1"/>
      <c r="L320" s="1"/>
      <c r="M320" s="1"/>
      <c r="N320" s="1"/>
      <c r="O320" s="1"/>
      <c r="P320" s="1"/>
      <c r="Q320" s="17"/>
    </row>
    <row x14ac:dyDescent="0.25" r="321" customHeight="1" ht="18.75">
      <c r="A321" s="1"/>
      <c r="B321" s="1" t="s">
        <v>37021</v>
      </c>
      <c r="C321" s="1" t="s">
        <v>7</v>
      </c>
      <c r="D321" s="1" t="s">
        <v>10</v>
      </c>
      <c r="E321" s="1" t="s">
        <v>36395</v>
      </c>
      <c r="F321" s="1" t="s">
        <v>5496</v>
      </c>
      <c r="G321" s="1" t="s">
        <v>37022</v>
      </c>
      <c r="H321" s="1"/>
      <c r="I321" s="1"/>
      <c r="J321" s="1"/>
      <c r="K321" s="1"/>
      <c r="L321" s="1"/>
      <c r="M321" s="1"/>
      <c r="N321" s="1"/>
      <c r="O321" s="1"/>
      <c r="P321" s="1"/>
      <c r="Q321" s="17"/>
    </row>
    <row x14ac:dyDescent="0.25" r="322" customHeight="1" ht="18.75">
      <c r="A322" s="1"/>
      <c r="B322" s="1" t="s">
        <v>37023</v>
      </c>
      <c r="C322" s="1" t="s">
        <v>7</v>
      </c>
      <c r="D322" s="1" t="s">
        <v>10</v>
      </c>
      <c r="E322" s="1" t="s">
        <v>36395</v>
      </c>
      <c r="F322" s="1" t="s">
        <v>5496</v>
      </c>
      <c r="G322" s="1" t="s">
        <v>37024</v>
      </c>
      <c r="H322" s="1"/>
      <c r="I322" s="1"/>
      <c r="J322" s="1"/>
      <c r="K322" s="1"/>
      <c r="L322" s="1"/>
      <c r="M322" s="1"/>
      <c r="N322" s="1"/>
      <c r="O322" s="1"/>
      <c r="P322" s="1"/>
      <c r="Q322" s="17"/>
    </row>
    <row x14ac:dyDescent="0.25" r="323" customHeight="1" ht="18.75">
      <c r="A323" s="1"/>
      <c r="B323" s="1" t="s">
        <v>37025</v>
      </c>
      <c r="C323" s="1" t="s">
        <v>7</v>
      </c>
      <c r="D323" s="1" t="s">
        <v>10</v>
      </c>
      <c r="E323" s="1" t="s">
        <v>36395</v>
      </c>
      <c r="F323" s="1" t="s">
        <v>5496</v>
      </c>
      <c r="G323" s="1" t="s">
        <v>37026</v>
      </c>
      <c r="H323" s="1"/>
      <c r="I323" s="1"/>
      <c r="J323" s="1"/>
      <c r="K323" s="1"/>
      <c r="L323" s="1"/>
      <c r="M323" s="1"/>
      <c r="N323" s="1"/>
      <c r="O323" s="1"/>
      <c r="P323" s="1"/>
      <c r="Q323" s="17"/>
    </row>
    <row x14ac:dyDescent="0.25" r="324" customHeight="1" ht="18.75">
      <c r="A324" s="1"/>
      <c r="B324" s="1" t="s">
        <v>37027</v>
      </c>
      <c r="C324" s="1" t="s">
        <v>7</v>
      </c>
      <c r="D324" s="1" t="s">
        <v>10</v>
      </c>
      <c r="E324" s="1" t="s">
        <v>36395</v>
      </c>
      <c r="F324" s="1" t="s">
        <v>5496</v>
      </c>
      <c r="G324" s="1" t="s">
        <v>37028</v>
      </c>
      <c r="H324" s="1"/>
      <c r="I324" s="1"/>
      <c r="J324" s="1"/>
      <c r="K324" s="1"/>
      <c r="L324" s="1"/>
      <c r="M324" s="1"/>
      <c r="N324" s="1"/>
      <c r="O324" s="1"/>
      <c r="P324" s="1"/>
      <c r="Q324" s="17"/>
    </row>
    <row x14ac:dyDescent="0.25" r="325" customHeight="1" ht="18.75">
      <c r="A325" s="1"/>
      <c r="B325" s="1" t="s">
        <v>37029</v>
      </c>
      <c r="C325" s="1" t="s">
        <v>7</v>
      </c>
      <c r="D325" s="1" t="s">
        <v>10</v>
      </c>
      <c r="E325" s="1" t="s">
        <v>36395</v>
      </c>
      <c r="F325" s="1" t="s">
        <v>5496</v>
      </c>
      <c r="G325" s="1" t="s">
        <v>37030</v>
      </c>
      <c r="H325" s="1"/>
      <c r="I325" s="1"/>
      <c r="J325" s="1"/>
      <c r="K325" s="1"/>
      <c r="L325" s="1"/>
      <c r="M325" s="1"/>
      <c r="N325" s="1"/>
      <c r="O325" s="1"/>
      <c r="P325" s="1"/>
      <c r="Q325" s="17"/>
    </row>
    <row x14ac:dyDescent="0.25" r="326" customHeight="1" ht="18.75">
      <c r="A326" s="1"/>
      <c r="B326" s="1" t="s">
        <v>36823</v>
      </c>
      <c r="C326" s="1" t="s">
        <v>7</v>
      </c>
      <c r="D326" s="1" t="s">
        <v>10</v>
      </c>
      <c r="E326" s="1" t="s">
        <v>36368</v>
      </c>
      <c r="F326" s="1" t="s">
        <v>5496</v>
      </c>
      <c r="G326" s="1" t="s">
        <v>36824</v>
      </c>
      <c r="H326" s="1"/>
      <c r="I326" s="1"/>
      <c r="J326" s="1"/>
      <c r="K326" s="1"/>
      <c r="L326" s="1"/>
      <c r="M326" s="1"/>
      <c r="N326" s="1"/>
      <c r="O326" s="1"/>
      <c r="P326" s="1"/>
      <c r="Q326" s="17"/>
    </row>
    <row x14ac:dyDescent="0.25" r="327" customHeight="1" ht="18.75">
      <c r="A327" s="1"/>
      <c r="B327" s="1" t="s">
        <v>36825</v>
      </c>
      <c r="C327" s="1" t="s">
        <v>7</v>
      </c>
      <c r="D327" s="1" t="s">
        <v>10</v>
      </c>
      <c r="E327" s="1" t="s">
        <v>36368</v>
      </c>
      <c r="F327" s="1" t="s">
        <v>3598</v>
      </c>
      <c r="G327" s="1" t="s">
        <v>36826</v>
      </c>
      <c r="H327" s="1"/>
      <c r="I327" s="1"/>
      <c r="J327" s="1"/>
      <c r="K327" s="1"/>
      <c r="L327" s="1"/>
      <c r="M327" s="1"/>
      <c r="N327" s="1"/>
      <c r="O327" s="1"/>
      <c r="P327" s="1"/>
      <c r="Q327" s="17"/>
    </row>
    <row x14ac:dyDescent="0.25" r="328" customHeight="1" ht="18.75">
      <c r="A328" s="1"/>
      <c r="B328" s="1" t="s">
        <v>36829</v>
      </c>
      <c r="C328" s="1" t="s">
        <v>7</v>
      </c>
      <c r="D328" s="1" t="s">
        <v>10</v>
      </c>
      <c r="E328" s="1" t="s">
        <v>36368</v>
      </c>
      <c r="F328" s="1" t="s">
        <v>3598</v>
      </c>
      <c r="G328" s="1" t="s">
        <v>36830</v>
      </c>
      <c r="H328" s="1"/>
      <c r="I328" s="1"/>
      <c r="J328" s="1"/>
      <c r="K328" s="1"/>
      <c r="L328" s="1"/>
      <c r="M328" s="1"/>
      <c r="N328" s="1"/>
      <c r="O328" s="1"/>
      <c r="P328" s="1"/>
      <c r="Q328" s="17"/>
    </row>
    <row x14ac:dyDescent="0.25" r="329" customHeight="1" ht="18.75">
      <c r="A329" s="1"/>
      <c r="B329" s="1" t="s">
        <v>36831</v>
      </c>
      <c r="C329" s="1" t="s">
        <v>7</v>
      </c>
      <c r="D329" s="1" t="s">
        <v>10</v>
      </c>
      <c r="E329" s="1" t="s">
        <v>36368</v>
      </c>
      <c r="F329" s="1" t="s">
        <v>3693</v>
      </c>
      <c r="G329" s="1" t="s">
        <v>36832</v>
      </c>
      <c r="H329" s="1"/>
      <c r="I329" s="1"/>
      <c r="J329" s="1"/>
      <c r="K329" s="1"/>
      <c r="L329" s="1"/>
      <c r="M329" s="1"/>
      <c r="N329" s="1"/>
      <c r="O329" s="1"/>
      <c r="P329" s="1"/>
      <c r="Q329" s="17"/>
    </row>
    <row x14ac:dyDescent="0.25" r="330" customHeight="1" ht="18.75">
      <c r="A330" s="1"/>
      <c r="B330" s="1" t="s">
        <v>36835</v>
      </c>
      <c r="C330" s="1" t="s">
        <v>7</v>
      </c>
      <c r="D330" s="1" t="s">
        <v>10</v>
      </c>
      <c r="E330" s="1" t="s">
        <v>36368</v>
      </c>
      <c r="F330" s="1" t="s">
        <v>3693</v>
      </c>
      <c r="G330" s="1" t="s">
        <v>36836</v>
      </c>
      <c r="H330" s="1"/>
      <c r="I330" s="1"/>
      <c r="J330" s="1"/>
      <c r="K330" s="1"/>
      <c r="L330" s="1"/>
      <c r="M330" s="1"/>
      <c r="N330" s="1"/>
      <c r="O330" s="1"/>
      <c r="P330" s="1"/>
      <c r="Q330" s="17"/>
    </row>
    <row x14ac:dyDescent="0.25" r="331" customHeight="1" ht="18.75">
      <c r="A331" s="1"/>
      <c r="B331" s="1" t="s">
        <v>36839</v>
      </c>
      <c r="C331" s="1" t="s">
        <v>7</v>
      </c>
      <c r="D331" s="1" t="s">
        <v>10</v>
      </c>
      <c r="E331" s="1" t="s">
        <v>36368</v>
      </c>
      <c r="F331" s="1" t="s">
        <v>5496</v>
      </c>
      <c r="G331" s="1" t="s">
        <v>36840</v>
      </c>
      <c r="H331" s="1"/>
      <c r="I331" s="1"/>
      <c r="J331" s="1"/>
      <c r="K331" s="1"/>
      <c r="L331" s="1"/>
      <c r="M331" s="1"/>
      <c r="N331" s="1"/>
      <c r="O331" s="1"/>
      <c r="P331" s="1"/>
      <c r="Q331" s="17"/>
    </row>
    <row x14ac:dyDescent="0.25" r="332" customHeight="1" ht="18.75">
      <c r="A332" s="1"/>
      <c r="B332" s="1" t="s">
        <v>36841</v>
      </c>
      <c r="C332" s="1" t="s">
        <v>7</v>
      </c>
      <c r="D332" s="1" t="s">
        <v>10</v>
      </c>
      <c r="E332" s="1" t="s">
        <v>36368</v>
      </c>
      <c r="F332" s="1" t="s">
        <v>3598</v>
      </c>
      <c r="G332" s="1" t="s">
        <v>36842</v>
      </c>
      <c r="H332" s="1"/>
      <c r="I332" s="1"/>
      <c r="J332" s="1"/>
      <c r="K332" s="1"/>
      <c r="L332" s="1"/>
      <c r="M332" s="1"/>
      <c r="N332" s="1"/>
      <c r="O332" s="1"/>
      <c r="P332" s="1"/>
      <c r="Q332" s="17"/>
    </row>
    <row x14ac:dyDescent="0.25" r="333" customHeight="1" ht="18.75">
      <c r="A333" s="1"/>
      <c r="B333" s="1" t="s">
        <v>36843</v>
      </c>
      <c r="C333" s="1" t="s">
        <v>7</v>
      </c>
      <c r="D333" s="1" t="s">
        <v>10</v>
      </c>
      <c r="E333" s="1" t="s">
        <v>36368</v>
      </c>
      <c r="F333" s="1" t="s">
        <v>3693</v>
      </c>
      <c r="G333" s="1" t="s">
        <v>36844</v>
      </c>
      <c r="H333" s="1"/>
      <c r="I333" s="1"/>
      <c r="J333" s="1"/>
      <c r="K333" s="1"/>
      <c r="L333" s="1"/>
      <c r="M333" s="1"/>
      <c r="N333" s="1"/>
      <c r="O333" s="1"/>
      <c r="P333" s="1"/>
      <c r="Q333" s="17"/>
    </row>
    <row x14ac:dyDescent="0.25" r="334" customHeight="1" ht="18.75">
      <c r="A334" s="1"/>
      <c r="B334" s="1" t="s">
        <v>36845</v>
      </c>
      <c r="C334" s="1" t="s">
        <v>7</v>
      </c>
      <c r="D334" s="1" t="s">
        <v>10</v>
      </c>
      <c r="E334" s="1" t="s">
        <v>36368</v>
      </c>
      <c r="F334" s="1" t="s">
        <v>7833</v>
      </c>
      <c r="G334" s="1" t="s">
        <v>36846</v>
      </c>
      <c r="H334" s="1"/>
      <c r="I334" s="1"/>
      <c r="J334" s="1"/>
      <c r="K334" s="1"/>
      <c r="L334" s="1"/>
      <c r="M334" s="1"/>
      <c r="N334" s="1"/>
      <c r="O334" s="1"/>
      <c r="P334" s="1"/>
      <c r="Q334" s="17"/>
    </row>
    <row x14ac:dyDescent="0.25" r="335" customHeight="1" ht="18.75">
      <c r="A335" s="1"/>
      <c r="B335" s="1" t="s">
        <v>37031</v>
      </c>
      <c r="C335" s="1" t="s">
        <v>7</v>
      </c>
      <c r="D335" s="1" t="s">
        <v>10</v>
      </c>
      <c r="E335" s="1" t="s">
        <v>36395</v>
      </c>
      <c r="F335" s="1" t="s">
        <v>3617</v>
      </c>
      <c r="G335" s="1" t="s">
        <v>37032</v>
      </c>
      <c r="H335" s="1"/>
      <c r="I335" s="1"/>
      <c r="J335" s="1"/>
      <c r="K335" s="1"/>
      <c r="L335" s="1"/>
      <c r="M335" s="1"/>
      <c r="N335" s="1"/>
      <c r="O335" s="1"/>
      <c r="P335" s="1"/>
      <c r="Q335" s="17"/>
    </row>
    <row x14ac:dyDescent="0.25" r="336" customHeight="1" ht="18.75">
      <c r="A336" s="1"/>
      <c r="B336" s="1" t="s">
        <v>37033</v>
      </c>
      <c r="C336" s="1" t="s">
        <v>7</v>
      </c>
      <c r="D336" s="1" t="s">
        <v>10</v>
      </c>
      <c r="E336" s="1" t="s">
        <v>37034</v>
      </c>
      <c r="F336" s="1" t="s">
        <v>3598</v>
      </c>
      <c r="G336" s="1" t="s">
        <v>37035</v>
      </c>
      <c r="H336" s="1" t="s">
        <v>533</v>
      </c>
      <c r="I336" s="1"/>
      <c r="J336" s="1"/>
      <c r="K336" s="1"/>
      <c r="L336" s="1"/>
      <c r="M336" s="1"/>
      <c r="N336" s="1"/>
      <c r="O336" s="1"/>
      <c r="P336" s="1"/>
      <c r="Q336" s="17"/>
    </row>
    <row x14ac:dyDescent="0.25" r="337" customHeight="1" ht="18.75">
      <c r="A337" s="1"/>
      <c r="B337" s="1" t="s">
        <v>37033</v>
      </c>
      <c r="C337" s="1" t="s">
        <v>7</v>
      </c>
      <c r="D337" s="1" t="s">
        <v>10</v>
      </c>
      <c r="E337" s="1" t="s">
        <v>37034</v>
      </c>
      <c r="F337" s="1" t="s">
        <v>3598</v>
      </c>
      <c r="G337" s="1" t="s">
        <v>37036</v>
      </c>
      <c r="H337" s="1" t="s">
        <v>37037</v>
      </c>
      <c r="I337" s="1"/>
      <c r="J337" s="1"/>
      <c r="K337" s="1"/>
      <c r="L337" s="1"/>
      <c r="M337" s="1"/>
      <c r="N337" s="1"/>
      <c r="O337" s="1"/>
      <c r="P337" s="1"/>
      <c r="Q337" s="17"/>
    </row>
    <row x14ac:dyDescent="0.25" r="338" customHeight="1" ht="18.75">
      <c r="A338" s="1"/>
      <c r="B338" s="1" t="s">
        <v>37033</v>
      </c>
      <c r="C338" s="1" t="s">
        <v>7</v>
      </c>
      <c r="D338" s="1" t="s">
        <v>10</v>
      </c>
      <c r="E338" s="1" t="s">
        <v>37034</v>
      </c>
      <c r="F338" s="1" t="s">
        <v>3598</v>
      </c>
      <c r="G338" s="1" t="s">
        <v>37038</v>
      </c>
      <c r="H338" s="1" t="s">
        <v>3695</v>
      </c>
      <c r="I338" s="1"/>
      <c r="J338" s="1"/>
      <c r="K338" s="1"/>
      <c r="L338" s="1"/>
      <c r="M338" s="1"/>
      <c r="N338" s="1"/>
      <c r="O338" s="1"/>
      <c r="P338" s="1"/>
      <c r="Q338" s="17"/>
    </row>
    <row x14ac:dyDescent="0.25" r="339" customHeight="1" ht="18.75">
      <c r="A339" s="1"/>
      <c r="B339" s="1" t="s">
        <v>37033</v>
      </c>
      <c r="C339" s="1" t="s">
        <v>7</v>
      </c>
      <c r="D339" s="1" t="s">
        <v>10</v>
      </c>
      <c r="E339" s="1" t="s">
        <v>37034</v>
      </c>
      <c r="F339" s="1" t="s">
        <v>3598</v>
      </c>
      <c r="G339" s="1" t="s">
        <v>37039</v>
      </c>
      <c r="H339" s="1" t="s">
        <v>3610</v>
      </c>
      <c r="I339" s="1"/>
      <c r="J339" s="1"/>
      <c r="K339" s="1"/>
      <c r="L339" s="1"/>
      <c r="M339" s="1"/>
      <c r="N339" s="1"/>
      <c r="O339" s="1"/>
      <c r="P339" s="1"/>
      <c r="Q339" s="17"/>
    </row>
    <row x14ac:dyDescent="0.25" r="340" customHeight="1" ht="18.75">
      <c r="A340" s="1"/>
      <c r="B340" s="1" t="s">
        <v>37033</v>
      </c>
      <c r="C340" s="1" t="s">
        <v>7</v>
      </c>
      <c r="D340" s="1" t="s">
        <v>10</v>
      </c>
      <c r="E340" s="1" t="s">
        <v>37034</v>
      </c>
      <c r="F340" s="1" t="s">
        <v>3598</v>
      </c>
      <c r="G340" s="1" t="s">
        <v>37040</v>
      </c>
      <c r="H340" s="1" t="s">
        <v>3695</v>
      </c>
      <c r="I340" s="1"/>
      <c r="J340" s="1"/>
      <c r="K340" s="1"/>
      <c r="L340" s="1"/>
      <c r="M340" s="1"/>
      <c r="N340" s="1"/>
      <c r="O340" s="1"/>
      <c r="P340" s="1"/>
      <c r="Q340" s="17"/>
    </row>
    <row x14ac:dyDescent="0.25" r="341" customHeight="1" ht="18.75">
      <c r="A341" s="1"/>
      <c r="B341" s="1" t="s">
        <v>37033</v>
      </c>
      <c r="C341" s="1" t="s">
        <v>7</v>
      </c>
      <c r="D341" s="1" t="s">
        <v>10</v>
      </c>
      <c r="E341" s="1" t="s">
        <v>37034</v>
      </c>
      <c r="F341" s="1" t="s">
        <v>3598</v>
      </c>
      <c r="G341" s="1" t="s">
        <v>37041</v>
      </c>
      <c r="H341" s="1" t="s">
        <v>3610</v>
      </c>
      <c r="I341" s="1"/>
      <c r="J341" s="1"/>
      <c r="K341" s="1"/>
      <c r="L341" s="1"/>
      <c r="M341" s="1"/>
      <c r="N341" s="1"/>
      <c r="O341" s="1"/>
      <c r="P341" s="1"/>
      <c r="Q341" s="17"/>
    </row>
    <row x14ac:dyDescent="0.25" r="342" customHeight="1" ht="18.75">
      <c r="A342" s="1"/>
      <c r="B342" s="1" t="s">
        <v>37033</v>
      </c>
      <c r="C342" s="1" t="s">
        <v>7</v>
      </c>
      <c r="D342" s="1" t="s">
        <v>10</v>
      </c>
      <c r="E342" s="1" t="s">
        <v>37034</v>
      </c>
      <c r="F342" s="1" t="s">
        <v>3598</v>
      </c>
      <c r="G342" s="1" t="s">
        <v>37042</v>
      </c>
      <c r="H342" s="1" t="s">
        <v>3695</v>
      </c>
      <c r="I342" s="1"/>
      <c r="J342" s="1"/>
      <c r="K342" s="1"/>
      <c r="L342" s="1"/>
      <c r="M342" s="1"/>
      <c r="N342" s="1"/>
      <c r="O342" s="1"/>
      <c r="P342" s="1"/>
      <c r="Q342" s="17"/>
    </row>
    <row x14ac:dyDescent="0.25" r="343" customHeight="1" ht="18.75">
      <c r="A343" s="1"/>
      <c r="B343" s="1" t="s">
        <v>37033</v>
      </c>
      <c r="C343" s="1" t="s">
        <v>7</v>
      </c>
      <c r="D343" s="1" t="s">
        <v>10</v>
      </c>
      <c r="E343" s="1" t="s">
        <v>37034</v>
      </c>
      <c r="F343" s="1" t="s">
        <v>3598</v>
      </c>
      <c r="G343" s="1" t="s">
        <v>37043</v>
      </c>
      <c r="H343" s="1" t="s">
        <v>37037</v>
      </c>
      <c r="I343" s="1"/>
      <c r="J343" s="1"/>
      <c r="K343" s="1"/>
      <c r="L343" s="1"/>
      <c r="M343" s="1"/>
      <c r="N343" s="1"/>
      <c r="O343" s="1"/>
      <c r="P343" s="1"/>
      <c r="Q343" s="17"/>
    </row>
    <row x14ac:dyDescent="0.25" r="344" customHeight="1" ht="18.75">
      <c r="A344" s="1"/>
      <c r="B344" s="1" t="s">
        <v>37033</v>
      </c>
      <c r="C344" s="1" t="s">
        <v>7</v>
      </c>
      <c r="D344" s="1" t="s">
        <v>10</v>
      </c>
      <c r="E344" s="1" t="s">
        <v>37034</v>
      </c>
      <c r="F344" s="1" t="s">
        <v>3598</v>
      </c>
      <c r="G344" s="1" t="s">
        <v>37044</v>
      </c>
      <c r="H344" s="1" t="s">
        <v>37037</v>
      </c>
      <c r="I344" s="1"/>
      <c r="J344" s="1"/>
      <c r="K344" s="1"/>
      <c r="L344" s="1"/>
      <c r="M344" s="1"/>
      <c r="N344" s="1"/>
      <c r="O344" s="1"/>
      <c r="P344" s="1"/>
      <c r="Q344" s="17"/>
    </row>
    <row x14ac:dyDescent="0.25" r="345" customHeight="1" ht="18.75">
      <c r="A345" s="1"/>
      <c r="B345" s="1" t="s">
        <v>37045</v>
      </c>
      <c r="C345" s="1" t="s">
        <v>7</v>
      </c>
      <c r="D345" s="1" t="s">
        <v>10</v>
      </c>
      <c r="E345" s="1" t="s">
        <v>37034</v>
      </c>
      <c r="F345" s="1" t="s">
        <v>3598</v>
      </c>
      <c r="G345" s="1" t="s">
        <v>37046</v>
      </c>
      <c r="H345" s="1" t="s">
        <v>533</v>
      </c>
      <c r="I345" s="1"/>
      <c r="J345" s="1"/>
      <c r="K345" s="1"/>
      <c r="L345" s="1"/>
      <c r="M345" s="1"/>
      <c r="N345" s="1"/>
      <c r="O345" s="1"/>
      <c r="P345" s="1"/>
      <c r="Q345" s="17"/>
    </row>
    <row x14ac:dyDescent="0.25" r="346" customHeight="1" ht="18.75">
      <c r="A346" s="1"/>
      <c r="B346" s="1" t="s">
        <v>37045</v>
      </c>
      <c r="C346" s="1" t="s">
        <v>7</v>
      </c>
      <c r="D346" s="1" t="s">
        <v>10</v>
      </c>
      <c r="E346" s="1" t="s">
        <v>37034</v>
      </c>
      <c r="F346" s="1" t="s">
        <v>3598</v>
      </c>
      <c r="G346" s="1" t="s">
        <v>37047</v>
      </c>
      <c r="H346" s="1" t="s">
        <v>3610</v>
      </c>
      <c r="I346" s="1"/>
      <c r="J346" s="1"/>
      <c r="K346" s="1"/>
      <c r="L346" s="1"/>
      <c r="M346" s="1"/>
      <c r="N346" s="1"/>
      <c r="O346" s="1"/>
      <c r="P346" s="1"/>
      <c r="Q346" s="17"/>
    </row>
    <row x14ac:dyDescent="0.25" r="347" customHeight="1" ht="18.75">
      <c r="A347" s="1"/>
      <c r="B347" s="1" t="s">
        <v>37045</v>
      </c>
      <c r="C347" s="1" t="s">
        <v>7</v>
      </c>
      <c r="D347" s="1" t="s">
        <v>10</v>
      </c>
      <c r="E347" s="1" t="s">
        <v>37034</v>
      </c>
      <c r="F347" s="1" t="s">
        <v>3598</v>
      </c>
      <c r="G347" s="1" t="s">
        <v>37048</v>
      </c>
      <c r="H347" s="1" t="s">
        <v>533</v>
      </c>
      <c r="I347" s="1"/>
      <c r="J347" s="1"/>
      <c r="K347" s="1"/>
      <c r="L347" s="1"/>
      <c r="M347" s="1"/>
      <c r="N347" s="1"/>
      <c r="O347" s="1"/>
      <c r="P347" s="1"/>
      <c r="Q347" s="17"/>
    </row>
    <row x14ac:dyDescent="0.25" r="348" customHeight="1" ht="18.75">
      <c r="A348" s="1"/>
      <c r="B348" s="1" t="s">
        <v>37045</v>
      </c>
      <c r="C348" s="1" t="s">
        <v>7</v>
      </c>
      <c r="D348" s="1" t="s">
        <v>10</v>
      </c>
      <c r="E348" s="1" t="s">
        <v>37034</v>
      </c>
      <c r="F348" s="1" t="s">
        <v>3598</v>
      </c>
      <c r="G348" s="1" t="s">
        <v>37049</v>
      </c>
      <c r="H348" s="1" t="s">
        <v>37037</v>
      </c>
      <c r="I348" s="1"/>
      <c r="J348" s="1"/>
      <c r="K348" s="1"/>
      <c r="L348" s="1"/>
      <c r="M348" s="1"/>
      <c r="N348" s="1"/>
      <c r="O348" s="1"/>
      <c r="P348" s="1"/>
      <c r="Q348" s="17"/>
    </row>
    <row x14ac:dyDescent="0.25" r="349" customHeight="1" ht="18.75">
      <c r="A349" s="1"/>
      <c r="B349" s="1" t="s">
        <v>37045</v>
      </c>
      <c r="C349" s="1" t="s">
        <v>7</v>
      </c>
      <c r="D349" s="1" t="s">
        <v>10</v>
      </c>
      <c r="E349" s="1" t="s">
        <v>37034</v>
      </c>
      <c r="F349" s="1" t="s">
        <v>3598</v>
      </c>
      <c r="G349" s="1" t="s">
        <v>37050</v>
      </c>
      <c r="H349" s="1" t="s">
        <v>37037</v>
      </c>
      <c r="I349" s="1"/>
      <c r="J349" s="1"/>
      <c r="K349" s="1"/>
      <c r="L349" s="1"/>
      <c r="M349" s="1"/>
      <c r="N349" s="1"/>
      <c r="O349" s="1"/>
      <c r="P349" s="1"/>
      <c r="Q349" s="17"/>
    </row>
    <row x14ac:dyDescent="0.25" r="350" customHeight="1" ht="18.75">
      <c r="A350" s="1"/>
      <c r="B350" s="1" t="s">
        <v>37045</v>
      </c>
      <c r="C350" s="1" t="s">
        <v>7</v>
      </c>
      <c r="D350" s="1" t="s">
        <v>10</v>
      </c>
      <c r="E350" s="1" t="s">
        <v>37034</v>
      </c>
      <c r="F350" s="1" t="s">
        <v>3598</v>
      </c>
      <c r="G350" s="1" t="s">
        <v>37051</v>
      </c>
      <c r="H350" s="1" t="s">
        <v>3610</v>
      </c>
      <c r="I350" s="1"/>
      <c r="J350" s="1"/>
      <c r="K350" s="1"/>
      <c r="L350" s="1"/>
      <c r="M350" s="1"/>
      <c r="N350" s="1"/>
      <c r="O350" s="1"/>
      <c r="P350" s="1"/>
      <c r="Q350" s="17"/>
    </row>
    <row x14ac:dyDescent="0.25" r="351" customHeight="1" ht="18.75">
      <c r="A351" s="1"/>
      <c r="B351" s="1" t="s">
        <v>37045</v>
      </c>
      <c r="C351" s="1" t="s">
        <v>7</v>
      </c>
      <c r="D351" s="1" t="s">
        <v>10</v>
      </c>
      <c r="E351" s="1" t="s">
        <v>37034</v>
      </c>
      <c r="F351" s="1" t="s">
        <v>3598</v>
      </c>
      <c r="G351" s="1" t="s">
        <v>37052</v>
      </c>
      <c r="H351" s="1" t="s">
        <v>3695</v>
      </c>
      <c r="I351" s="1"/>
      <c r="J351" s="1"/>
      <c r="K351" s="1"/>
      <c r="L351" s="1"/>
      <c r="M351" s="1"/>
      <c r="N351" s="1"/>
      <c r="O351" s="1"/>
      <c r="P351" s="1"/>
      <c r="Q351" s="17"/>
    </row>
    <row x14ac:dyDescent="0.25" r="352" customHeight="1" ht="18.75">
      <c r="A352" s="1"/>
      <c r="B352" s="1" t="s">
        <v>37045</v>
      </c>
      <c r="C352" s="1" t="s">
        <v>7</v>
      </c>
      <c r="D352" s="1" t="s">
        <v>10</v>
      </c>
      <c r="E352" s="1" t="s">
        <v>37034</v>
      </c>
      <c r="F352" s="1" t="s">
        <v>3598</v>
      </c>
      <c r="G352" s="1" t="s">
        <v>37053</v>
      </c>
      <c r="H352" s="1" t="s">
        <v>3695</v>
      </c>
      <c r="I352" s="1"/>
      <c r="J352" s="1"/>
      <c r="K352" s="1"/>
      <c r="L352" s="1"/>
      <c r="M352" s="1"/>
      <c r="N352" s="1"/>
      <c r="O352" s="1"/>
      <c r="P352" s="1"/>
      <c r="Q352" s="17"/>
    </row>
    <row x14ac:dyDescent="0.25" r="353" customHeight="1" ht="18.75">
      <c r="A353" s="1"/>
      <c r="B353" s="1" t="s">
        <v>37045</v>
      </c>
      <c r="C353" s="1" t="s">
        <v>7</v>
      </c>
      <c r="D353" s="1" t="s">
        <v>10</v>
      </c>
      <c r="E353" s="1" t="s">
        <v>37034</v>
      </c>
      <c r="F353" s="1" t="s">
        <v>3598</v>
      </c>
      <c r="G353" s="1" t="s">
        <v>37054</v>
      </c>
      <c r="H353" s="1" t="s">
        <v>3695</v>
      </c>
      <c r="I353" s="1"/>
      <c r="J353" s="1"/>
      <c r="K353" s="1"/>
      <c r="L353" s="1"/>
      <c r="M353" s="1"/>
      <c r="N353" s="1"/>
      <c r="O353" s="1"/>
      <c r="P353" s="1"/>
      <c r="Q353" s="17"/>
    </row>
    <row x14ac:dyDescent="0.25" r="354" customHeight="1" ht="18.75">
      <c r="A354" s="1"/>
      <c r="B354" s="1" t="s">
        <v>37045</v>
      </c>
      <c r="C354" s="1" t="s">
        <v>7</v>
      </c>
      <c r="D354" s="1" t="s">
        <v>10</v>
      </c>
      <c r="E354" s="1" t="s">
        <v>37034</v>
      </c>
      <c r="F354" s="1" t="s">
        <v>3598</v>
      </c>
      <c r="G354" s="1" t="s">
        <v>37055</v>
      </c>
      <c r="H354" s="1" t="s">
        <v>37037</v>
      </c>
      <c r="I354" s="1"/>
      <c r="J354" s="1"/>
      <c r="K354" s="1"/>
      <c r="L354" s="1"/>
      <c r="M354" s="1"/>
      <c r="N354" s="1"/>
      <c r="O354" s="1"/>
      <c r="P354" s="1"/>
      <c r="Q354" s="17"/>
    </row>
    <row x14ac:dyDescent="0.25" r="355" customHeight="1" ht="18.75">
      <c r="A355" s="1"/>
      <c r="B355" s="1" t="s">
        <v>37045</v>
      </c>
      <c r="C355" s="1" t="s">
        <v>7</v>
      </c>
      <c r="D355" s="1" t="s">
        <v>10</v>
      </c>
      <c r="E355" s="1" t="s">
        <v>37034</v>
      </c>
      <c r="F355" s="1" t="s">
        <v>3598</v>
      </c>
      <c r="G355" s="1" t="s">
        <v>37056</v>
      </c>
      <c r="H355" s="1" t="s">
        <v>37057</v>
      </c>
      <c r="I355" s="1"/>
      <c r="J355" s="1"/>
      <c r="K355" s="1"/>
      <c r="L355" s="1"/>
      <c r="M355" s="1"/>
      <c r="N355" s="1"/>
      <c r="O355" s="1"/>
      <c r="P355" s="1"/>
      <c r="Q355" s="17"/>
    </row>
    <row x14ac:dyDescent="0.25" r="356" customHeight="1" ht="18.75">
      <c r="A356" s="1"/>
      <c r="B356" s="1" t="s">
        <v>37033</v>
      </c>
      <c r="C356" s="1" t="s">
        <v>7</v>
      </c>
      <c r="D356" s="1" t="s">
        <v>10</v>
      </c>
      <c r="E356" s="1" t="s">
        <v>37034</v>
      </c>
      <c r="F356" s="1" t="s">
        <v>3598</v>
      </c>
      <c r="G356" s="1" t="s">
        <v>37058</v>
      </c>
      <c r="H356" s="1" t="s">
        <v>37057</v>
      </c>
      <c r="I356" s="1"/>
      <c r="J356" s="1"/>
      <c r="K356" s="1"/>
      <c r="L356" s="1"/>
      <c r="M356" s="1"/>
      <c r="N356" s="1"/>
      <c r="O356" s="1"/>
      <c r="P356" s="1"/>
      <c r="Q356" s="17"/>
    </row>
    <row x14ac:dyDescent="0.25" r="357" customHeight="1" ht="18.75">
      <c r="A357" s="1"/>
      <c r="B357" s="1" t="s">
        <v>37045</v>
      </c>
      <c r="C357" s="1" t="s">
        <v>7</v>
      </c>
      <c r="D357" s="1" t="s">
        <v>10</v>
      </c>
      <c r="E357" s="1" t="s">
        <v>37034</v>
      </c>
      <c r="F357" s="1" t="s">
        <v>3598</v>
      </c>
      <c r="G357" s="1" t="s">
        <v>37059</v>
      </c>
      <c r="H357" s="1" t="s">
        <v>37057</v>
      </c>
      <c r="I357" s="1"/>
      <c r="J357" s="1"/>
      <c r="K357" s="1"/>
      <c r="L357" s="1"/>
      <c r="M357" s="1"/>
      <c r="N357" s="1"/>
      <c r="O357" s="1"/>
      <c r="P357" s="1"/>
      <c r="Q357" s="17"/>
    </row>
    <row x14ac:dyDescent="0.25" r="358" customHeight="1" ht="18.75">
      <c r="A358" s="1"/>
      <c r="B358" s="1" t="s">
        <v>37033</v>
      </c>
      <c r="C358" s="1" t="s">
        <v>7</v>
      </c>
      <c r="D358" s="1" t="s">
        <v>10</v>
      </c>
      <c r="E358" s="1" t="s">
        <v>37034</v>
      </c>
      <c r="F358" s="1" t="s">
        <v>3598</v>
      </c>
      <c r="G358" s="1" t="s">
        <v>37060</v>
      </c>
      <c r="H358" s="1" t="s">
        <v>37057</v>
      </c>
      <c r="I358" s="1"/>
      <c r="J358" s="1"/>
      <c r="K358" s="1"/>
      <c r="L358" s="1"/>
      <c r="M358" s="1"/>
      <c r="N358" s="1"/>
      <c r="O358" s="1"/>
      <c r="P358" s="1"/>
      <c r="Q358" s="17"/>
    </row>
    <row x14ac:dyDescent="0.25" r="359" customHeight="1" ht="18.75">
      <c r="A359" s="1"/>
      <c r="B359" s="1" t="s">
        <v>37033</v>
      </c>
      <c r="C359" s="1" t="s">
        <v>7</v>
      </c>
      <c r="D359" s="1" t="s">
        <v>10</v>
      </c>
      <c r="E359" s="1" t="s">
        <v>36395</v>
      </c>
      <c r="F359" s="1" t="s">
        <v>3598</v>
      </c>
      <c r="G359" s="1" t="s">
        <v>37061</v>
      </c>
      <c r="H359" s="1" t="s">
        <v>7847</v>
      </c>
      <c r="I359" s="1"/>
      <c r="J359" s="1"/>
      <c r="K359" s="1"/>
      <c r="L359" s="1"/>
      <c r="M359" s="1"/>
      <c r="N359" s="1"/>
      <c r="O359" s="1"/>
      <c r="P359" s="1"/>
      <c r="Q359" s="17"/>
    </row>
    <row x14ac:dyDescent="0.25" r="360" customHeight="1" ht="18.75">
      <c r="A360" s="1"/>
      <c r="B360" s="1" t="s">
        <v>37062</v>
      </c>
      <c r="C360" s="1" t="s">
        <v>7</v>
      </c>
      <c r="D360" s="1" t="s">
        <v>10</v>
      </c>
      <c r="E360" s="1" t="s">
        <v>36395</v>
      </c>
      <c r="F360" s="1" t="s">
        <v>3693</v>
      </c>
      <c r="G360" s="1" t="s">
        <v>35406</v>
      </c>
      <c r="H360" s="1" t="s">
        <v>37063</v>
      </c>
      <c r="I360" s="1"/>
      <c r="J360" s="1"/>
      <c r="K360" s="1"/>
      <c r="L360" s="1"/>
      <c r="M360" s="1"/>
      <c r="N360" s="1"/>
      <c r="O360" s="1"/>
      <c r="P360" s="1"/>
      <c r="Q360" s="17"/>
    </row>
    <row x14ac:dyDescent="0.25" r="361" customHeight="1" ht="18.75">
      <c r="A361" s="1"/>
      <c r="B361" s="1" t="s">
        <v>37062</v>
      </c>
      <c r="C361" s="1" t="s">
        <v>7</v>
      </c>
      <c r="D361" s="1" t="s">
        <v>10</v>
      </c>
      <c r="E361" s="1" t="s">
        <v>37034</v>
      </c>
      <c r="F361" s="1" t="s">
        <v>3693</v>
      </c>
      <c r="G361" s="1" t="s">
        <v>37064</v>
      </c>
      <c r="H361" s="1" t="s">
        <v>37057</v>
      </c>
      <c r="I361" s="1"/>
      <c r="J361" s="1"/>
      <c r="K361" s="1"/>
      <c r="L361" s="1"/>
      <c r="M361" s="1"/>
      <c r="N361" s="1"/>
      <c r="O361" s="1"/>
      <c r="P361" s="1"/>
      <c r="Q361" s="17"/>
    </row>
    <row x14ac:dyDescent="0.25" r="362" customHeight="1" ht="18.75">
      <c r="A362" s="1"/>
      <c r="B362" s="1" t="s">
        <v>37065</v>
      </c>
      <c r="C362" s="1" t="s">
        <v>7</v>
      </c>
      <c r="D362" s="1" t="s">
        <v>10</v>
      </c>
      <c r="E362" s="1" t="s">
        <v>36395</v>
      </c>
      <c r="F362" s="1" t="s">
        <v>3693</v>
      </c>
      <c r="G362" s="1" t="s">
        <v>35333</v>
      </c>
      <c r="H362" s="1" t="s">
        <v>7847</v>
      </c>
      <c r="I362" s="1"/>
      <c r="J362" s="1"/>
      <c r="K362" s="1"/>
      <c r="L362" s="1"/>
      <c r="M362" s="1"/>
      <c r="N362" s="1"/>
      <c r="O362" s="1"/>
      <c r="P362" s="1"/>
      <c r="Q362" s="17"/>
    </row>
    <row x14ac:dyDescent="0.25" r="363" customHeight="1" ht="18.75">
      <c r="A363" s="1"/>
      <c r="B363" s="1" t="s">
        <v>37065</v>
      </c>
      <c r="C363" s="1" t="s">
        <v>7</v>
      </c>
      <c r="D363" s="1" t="s">
        <v>10</v>
      </c>
      <c r="E363" s="1" t="s">
        <v>37034</v>
      </c>
      <c r="F363" s="1" t="s">
        <v>3693</v>
      </c>
      <c r="G363" s="1" t="s">
        <v>37066</v>
      </c>
      <c r="H363" s="1" t="s">
        <v>37057</v>
      </c>
      <c r="I363" s="1"/>
      <c r="J363" s="1"/>
      <c r="K363" s="1"/>
      <c r="L363" s="1"/>
      <c r="M363" s="1"/>
      <c r="N363" s="1"/>
      <c r="O363" s="1"/>
      <c r="P363" s="1"/>
      <c r="Q363" s="17"/>
    </row>
    <row x14ac:dyDescent="0.25" r="364" customHeight="1" ht="18.75">
      <c r="A364" s="1"/>
      <c r="B364" s="1" t="s">
        <v>37065</v>
      </c>
      <c r="C364" s="1" t="s">
        <v>7</v>
      </c>
      <c r="D364" s="1" t="s">
        <v>10</v>
      </c>
      <c r="E364" s="1" t="s">
        <v>37034</v>
      </c>
      <c r="F364" s="1" t="s">
        <v>3693</v>
      </c>
      <c r="G364" s="1" t="s">
        <v>37067</v>
      </c>
      <c r="H364" s="1" t="s">
        <v>37057</v>
      </c>
      <c r="I364" s="1"/>
      <c r="J364" s="1"/>
      <c r="K364" s="1"/>
      <c r="L364" s="1"/>
      <c r="M364" s="1"/>
      <c r="N364" s="1"/>
      <c r="O364" s="1"/>
      <c r="P364" s="1"/>
      <c r="Q364" s="17"/>
    </row>
    <row x14ac:dyDescent="0.25" r="365" customHeight="1" ht="18.75">
      <c r="A365" s="1"/>
      <c r="B365" s="1" t="s">
        <v>37065</v>
      </c>
      <c r="C365" s="1" t="s">
        <v>7</v>
      </c>
      <c r="D365" s="1" t="s">
        <v>10</v>
      </c>
      <c r="E365" s="1" t="s">
        <v>37034</v>
      </c>
      <c r="F365" s="1" t="s">
        <v>3693</v>
      </c>
      <c r="G365" s="1" t="s">
        <v>37068</v>
      </c>
      <c r="H365" s="1" t="s">
        <v>37057</v>
      </c>
      <c r="I365" s="1"/>
      <c r="J365" s="1"/>
      <c r="K365" s="1"/>
      <c r="L365" s="1"/>
      <c r="M365" s="1"/>
      <c r="N365" s="1"/>
      <c r="O365" s="1"/>
      <c r="P365" s="1"/>
      <c r="Q365" s="17"/>
    </row>
    <row x14ac:dyDescent="0.25" r="366" customHeight="1" ht="18.75">
      <c r="A366" s="1"/>
      <c r="B366" s="1" t="s">
        <v>37065</v>
      </c>
      <c r="C366" s="1" t="s">
        <v>7</v>
      </c>
      <c r="D366" s="1" t="s">
        <v>10</v>
      </c>
      <c r="E366" s="1" t="s">
        <v>37034</v>
      </c>
      <c r="F366" s="1" t="s">
        <v>3693</v>
      </c>
      <c r="G366" s="1" t="s">
        <v>37069</v>
      </c>
      <c r="H366" s="1" t="s">
        <v>37037</v>
      </c>
      <c r="I366" s="1"/>
      <c r="J366" s="1"/>
      <c r="K366" s="1"/>
      <c r="L366" s="1"/>
      <c r="M366" s="1"/>
      <c r="N366" s="1"/>
      <c r="O366" s="1"/>
      <c r="P366" s="1"/>
      <c r="Q366" s="17"/>
    </row>
    <row x14ac:dyDescent="0.25" r="367" customHeight="1" ht="18.75">
      <c r="A367" s="1"/>
      <c r="B367" s="1" t="s">
        <v>37065</v>
      </c>
      <c r="C367" s="1" t="s">
        <v>7</v>
      </c>
      <c r="D367" s="1" t="s">
        <v>10</v>
      </c>
      <c r="E367" s="1" t="s">
        <v>37034</v>
      </c>
      <c r="F367" s="1" t="s">
        <v>3693</v>
      </c>
      <c r="G367" s="1" t="s">
        <v>37070</v>
      </c>
      <c r="H367" s="1" t="s">
        <v>37037</v>
      </c>
      <c r="I367" s="1"/>
      <c r="J367" s="1"/>
      <c r="K367" s="1"/>
      <c r="L367" s="1"/>
      <c r="M367" s="1"/>
      <c r="N367" s="1"/>
      <c r="O367" s="1"/>
      <c r="P367" s="1"/>
      <c r="Q367" s="17"/>
    </row>
    <row x14ac:dyDescent="0.25" r="368" customHeight="1" ht="18.75">
      <c r="A368" s="1"/>
      <c r="B368" s="1" t="s">
        <v>37065</v>
      </c>
      <c r="C368" s="1" t="s">
        <v>7</v>
      </c>
      <c r="D368" s="1" t="s">
        <v>10</v>
      </c>
      <c r="E368" s="1" t="s">
        <v>37034</v>
      </c>
      <c r="F368" s="1" t="s">
        <v>3693</v>
      </c>
      <c r="G368" s="1" t="s">
        <v>37071</v>
      </c>
      <c r="H368" s="1" t="s">
        <v>37037</v>
      </c>
      <c r="I368" s="1"/>
      <c r="J368" s="1"/>
      <c r="K368" s="1"/>
      <c r="L368" s="1"/>
      <c r="M368" s="1"/>
      <c r="N368" s="1"/>
      <c r="O368" s="1"/>
      <c r="P368" s="1"/>
      <c r="Q368" s="17"/>
    </row>
    <row x14ac:dyDescent="0.25" r="369" customHeight="1" ht="18.75">
      <c r="A369" s="1"/>
      <c r="B369" s="1" t="s">
        <v>37065</v>
      </c>
      <c r="C369" s="1" t="s">
        <v>7</v>
      </c>
      <c r="D369" s="1" t="s">
        <v>10</v>
      </c>
      <c r="E369" s="1" t="s">
        <v>37034</v>
      </c>
      <c r="F369" s="1" t="s">
        <v>3693</v>
      </c>
      <c r="G369" s="1" t="s">
        <v>37072</v>
      </c>
      <c r="H369" s="1" t="s">
        <v>37037</v>
      </c>
      <c r="I369" s="1"/>
      <c r="J369" s="1"/>
      <c r="K369" s="1"/>
      <c r="L369" s="1"/>
      <c r="M369" s="1"/>
      <c r="N369" s="1"/>
      <c r="O369" s="1"/>
      <c r="P369" s="1"/>
      <c r="Q369" s="17"/>
    </row>
    <row x14ac:dyDescent="0.25" r="370" customHeight="1" ht="18.75">
      <c r="A370" s="1"/>
      <c r="B370" s="1" t="s">
        <v>37065</v>
      </c>
      <c r="C370" s="1" t="s">
        <v>7</v>
      </c>
      <c r="D370" s="1" t="s">
        <v>10</v>
      </c>
      <c r="E370" s="1" t="s">
        <v>37034</v>
      </c>
      <c r="F370" s="1" t="s">
        <v>3693</v>
      </c>
      <c r="G370" s="1" t="s">
        <v>37073</v>
      </c>
      <c r="H370" s="1" t="s">
        <v>37037</v>
      </c>
      <c r="I370" s="1"/>
      <c r="J370" s="1"/>
      <c r="K370" s="1"/>
      <c r="L370" s="1"/>
      <c r="M370" s="1"/>
      <c r="N370" s="1"/>
      <c r="O370" s="1"/>
      <c r="P370" s="1"/>
      <c r="Q370" s="17"/>
    </row>
    <row x14ac:dyDescent="0.25" r="371" customHeight="1" ht="18.75">
      <c r="A371" s="1"/>
      <c r="B371" s="1" t="s">
        <v>37065</v>
      </c>
      <c r="C371" s="1" t="s">
        <v>7</v>
      </c>
      <c r="D371" s="1" t="s">
        <v>10</v>
      </c>
      <c r="E371" s="1" t="s">
        <v>37034</v>
      </c>
      <c r="F371" s="1" t="s">
        <v>3693</v>
      </c>
      <c r="G371" s="1" t="s">
        <v>37074</v>
      </c>
      <c r="H371" s="1" t="s">
        <v>37037</v>
      </c>
      <c r="I371" s="1"/>
      <c r="J371" s="1"/>
      <c r="K371" s="1"/>
      <c r="L371" s="1"/>
      <c r="M371" s="1"/>
      <c r="N371" s="1"/>
      <c r="O371" s="1"/>
      <c r="P371" s="1"/>
      <c r="Q371" s="17"/>
    </row>
    <row x14ac:dyDescent="0.25" r="372" customHeight="1" ht="18.75">
      <c r="A372" s="1"/>
      <c r="B372" s="1" t="s">
        <v>37075</v>
      </c>
      <c r="C372" s="1" t="s">
        <v>7</v>
      </c>
      <c r="D372" s="1" t="s">
        <v>10</v>
      </c>
      <c r="E372" s="1" t="s">
        <v>36395</v>
      </c>
      <c r="F372" s="1" t="s">
        <v>3693</v>
      </c>
      <c r="G372" s="1" t="s">
        <v>35336</v>
      </c>
      <c r="H372" s="1" t="s">
        <v>7847</v>
      </c>
      <c r="I372" s="1"/>
      <c r="J372" s="1"/>
      <c r="K372" s="1"/>
      <c r="L372" s="1"/>
      <c r="M372" s="1"/>
      <c r="N372" s="1"/>
      <c r="O372" s="1"/>
      <c r="P372" s="1"/>
      <c r="Q372" s="17"/>
    </row>
    <row x14ac:dyDescent="0.25" r="373" customHeight="1" ht="18.75">
      <c r="A373" s="1"/>
      <c r="B373" s="1" t="s">
        <v>37075</v>
      </c>
      <c r="C373" s="1" t="s">
        <v>7</v>
      </c>
      <c r="D373" s="1" t="s">
        <v>10</v>
      </c>
      <c r="E373" s="1" t="s">
        <v>37034</v>
      </c>
      <c r="F373" s="1" t="s">
        <v>3693</v>
      </c>
      <c r="G373" s="1" t="s">
        <v>37076</v>
      </c>
      <c r="H373" s="1" t="s">
        <v>37057</v>
      </c>
      <c r="I373" s="1"/>
      <c r="J373" s="1"/>
      <c r="K373" s="1"/>
      <c r="L373" s="1"/>
      <c r="M373" s="1"/>
      <c r="N373" s="1"/>
      <c r="O373" s="1"/>
      <c r="P373" s="1"/>
      <c r="Q373" s="17"/>
    </row>
    <row x14ac:dyDescent="0.25" r="374" customHeight="1" ht="18.75">
      <c r="A374" s="1"/>
      <c r="B374" s="1" t="s">
        <v>37075</v>
      </c>
      <c r="C374" s="1" t="s">
        <v>7</v>
      </c>
      <c r="D374" s="1" t="s">
        <v>10</v>
      </c>
      <c r="E374" s="1" t="s">
        <v>37034</v>
      </c>
      <c r="F374" s="1" t="s">
        <v>3693</v>
      </c>
      <c r="G374" s="1" t="s">
        <v>37077</v>
      </c>
      <c r="H374" s="1" t="s">
        <v>37057</v>
      </c>
      <c r="I374" s="1"/>
      <c r="J374" s="1"/>
      <c r="K374" s="1"/>
      <c r="L374" s="1"/>
      <c r="M374" s="1"/>
      <c r="N374" s="1"/>
      <c r="O374" s="1"/>
      <c r="P374" s="1"/>
      <c r="Q374" s="17"/>
    </row>
    <row x14ac:dyDescent="0.25" r="375" customHeight="1" ht="18.75">
      <c r="A375" s="1"/>
      <c r="B375" s="1" t="s">
        <v>37075</v>
      </c>
      <c r="C375" s="1" t="s">
        <v>7</v>
      </c>
      <c r="D375" s="1" t="s">
        <v>10</v>
      </c>
      <c r="E375" s="1" t="s">
        <v>37034</v>
      </c>
      <c r="F375" s="1" t="s">
        <v>3693</v>
      </c>
      <c r="G375" s="1" t="s">
        <v>37078</v>
      </c>
      <c r="H375" s="1" t="s">
        <v>37057</v>
      </c>
      <c r="I375" s="1"/>
      <c r="J375" s="1"/>
      <c r="K375" s="1"/>
      <c r="L375" s="1"/>
      <c r="M375" s="1"/>
      <c r="N375" s="1"/>
      <c r="O375" s="1"/>
      <c r="P375" s="1"/>
      <c r="Q375" s="17"/>
    </row>
    <row x14ac:dyDescent="0.25" r="376" customHeight="1" ht="18.75">
      <c r="A376" s="1"/>
      <c r="B376" s="1" t="s">
        <v>37075</v>
      </c>
      <c r="C376" s="1" t="s">
        <v>7</v>
      </c>
      <c r="D376" s="1" t="s">
        <v>10</v>
      </c>
      <c r="E376" s="1" t="s">
        <v>37034</v>
      </c>
      <c r="F376" s="1" t="s">
        <v>3693</v>
      </c>
      <c r="G376" s="1" t="s">
        <v>37079</v>
      </c>
      <c r="H376" s="1" t="s">
        <v>37037</v>
      </c>
      <c r="I376" s="1"/>
      <c r="J376" s="1"/>
      <c r="K376" s="1"/>
      <c r="L376" s="1"/>
      <c r="M376" s="1"/>
      <c r="N376" s="1"/>
      <c r="O376" s="1"/>
      <c r="P376" s="1"/>
      <c r="Q376" s="17"/>
    </row>
    <row x14ac:dyDescent="0.25" r="377" customHeight="1" ht="18.75">
      <c r="A377" s="1"/>
      <c r="B377" s="1" t="s">
        <v>37075</v>
      </c>
      <c r="C377" s="1" t="s">
        <v>7</v>
      </c>
      <c r="D377" s="1" t="s">
        <v>10</v>
      </c>
      <c r="E377" s="1" t="s">
        <v>37034</v>
      </c>
      <c r="F377" s="1" t="s">
        <v>3693</v>
      </c>
      <c r="G377" s="1" t="s">
        <v>37080</v>
      </c>
      <c r="H377" s="1" t="s">
        <v>37037</v>
      </c>
      <c r="I377" s="1"/>
      <c r="J377" s="1"/>
      <c r="K377" s="1"/>
      <c r="L377" s="1"/>
      <c r="M377" s="1"/>
      <c r="N377" s="1"/>
      <c r="O377" s="1"/>
      <c r="P377" s="1"/>
      <c r="Q377" s="17"/>
    </row>
    <row x14ac:dyDescent="0.25" r="378" customHeight="1" ht="18.75">
      <c r="A378" s="1"/>
      <c r="B378" s="1" t="s">
        <v>37075</v>
      </c>
      <c r="C378" s="1" t="s">
        <v>7</v>
      </c>
      <c r="D378" s="1" t="s">
        <v>10</v>
      </c>
      <c r="E378" s="1" t="s">
        <v>37034</v>
      </c>
      <c r="F378" s="1" t="s">
        <v>3693</v>
      </c>
      <c r="G378" s="1" t="s">
        <v>37081</v>
      </c>
      <c r="H378" s="1" t="s">
        <v>37037</v>
      </c>
      <c r="I378" s="1"/>
      <c r="J378" s="1"/>
      <c r="K378" s="1"/>
      <c r="L378" s="1"/>
      <c r="M378" s="1"/>
      <c r="N378" s="1"/>
      <c r="O378" s="1"/>
      <c r="P378" s="1"/>
      <c r="Q378" s="17"/>
    </row>
    <row x14ac:dyDescent="0.25" r="379" customHeight="1" ht="18.75">
      <c r="A379" s="1"/>
      <c r="B379" s="1" t="s">
        <v>37075</v>
      </c>
      <c r="C379" s="1" t="s">
        <v>7</v>
      </c>
      <c r="D379" s="1" t="s">
        <v>10</v>
      </c>
      <c r="E379" s="1" t="s">
        <v>37034</v>
      </c>
      <c r="F379" s="1" t="s">
        <v>3693</v>
      </c>
      <c r="G379" s="1" t="s">
        <v>37082</v>
      </c>
      <c r="H379" s="1" t="s">
        <v>37037</v>
      </c>
      <c r="I379" s="1"/>
      <c r="J379" s="1"/>
      <c r="K379" s="1"/>
      <c r="L379" s="1"/>
      <c r="M379" s="1"/>
      <c r="N379" s="1"/>
      <c r="O379" s="1"/>
      <c r="P379" s="1"/>
      <c r="Q379" s="17"/>
    </row>
    <row x14ac:dyDescent="0.25" r="380" customHeight="1" ht="18.75">
      <c r="A380" s="1"/>
      <c r="B380" s="1" t="s">
        <v>37075</v>
      </c>
      <c r="C380" s="1" t="s">
        <v>7</v>
      </c>
      <c r="D380" s="1" t="s">
        <v>10</v>
      </c>
      <c r="E380" s="1" t="s">
        <v>37034</v>
      </c>
      <c r="F380" s="1" t="s">
        <v>3693</v>
      </c>
      <c r="G380" s="1" t="s">
        <v>37083</v>
      </c>
      <c r="H380" s="1" t="s">
        <v>37037</v>
      </c>
      <c r="I380" s="1"/>
      <c r="J380" s="1"/>
      <c r="K380" s="1"/>
      <c r="L380" s="1"/>
      <c r="M380" s="1"/>
      <c r="N380" s="1"/>
      <c r="O380" s="1"/>
      <c r="P380" s="1"/>
      <c r="Q380" s="17"/>
    </row>
    <row x14ac:dyDescent="0.25" r="381" customHeight="1" ht="18.75">
      <c r="A381" s="1"/>
      <c r="B381" s="1" t="s">
        <v>37075</v>
      </c>
      <c r="C381" s="1" t="s">
        <v>7</v>
      </c>
      <c r="D381" s="1" t="s">
        <v>10</v>
      </c>
      <c r="E381" s="1" t="s">
        <v>37034</v>
      </c>
      <c r="F381" s="1" t="s">
        <v>3693</v>
      </c>
      <c r="G381" s="1" t="s">
        <v>37084</v>
      </c>
      <c r="H381" s="1" t="s">
        <v>37037</v>
      </c>
      <c r="I381" s="1"/>
      <c r="J381" s="1"/>
      <c r="K381" s="1"/>
      <c r="L381" s="1"/>
      <c r="M381" s="1"/>
      <c r="N381" s="1"/>
      <c r="O381" s="1"/>
      <c r="P381" s="1"/>
      <c r="Q381" s="17"/>
    </row>
    <row x14ac:dyDescent="0.25" r="382" customHeight="1" ht="18.75">
      <c r="A382" s="1"/>
      <c r="B382" s="1" t="s">
        <v>37075</v>
      </c>
      <c r="C382" s="1" t="s">
        <v>7</v>
      </c>
      <c r="D382" s="1" t="s">
        <v>10</v>
      </c>
      <c r="E382" s="1" t="s">
        <v>37034</v>
      </c>
      <c r="F382" s="1" t="s">
        <v>3693</v>
      </c>
      <c r="G382" s="1" t="s">
        <v>37085</v>
      </c>
      <c r="H382" s="1" t="s">
        <v>3610</v>
      </c>
      <c r="I382" s="1"/>
      <c r="J382" s="1"/>
      <c r="K382" s="1"/>
      <c r="L382" s="1"/>
      <c r="M382" s="1"/>
      <c r="N382" s="1"/>
      <c r="O382" s="1"/>
      <c r="P382" s="1"/>
      <c r="Q382" s="17"/>
    </row>
    <row x14ac:dyDescent="0.25" r="383" customHeight="1" ht="18.75">
      <c r="A383" s="1"/>
      <c r="B383" s="1" t="s">
        <v>37075</v>
      </c>
      <c r="C383" s="1" t="s">
        <v>7</v>
      </c>
      <c r="D383" s="1" t="s">
        <v>10</v>
      </c>
      <c r="E383" s="1" t="s">
        <v>37034</v>
      </c>
      <c r="F383" s="1" t="s">
        <v>3693</v>
      </c>
      <c r="G383" s="1" t="s">
        <v>37086</v>
      </c>
      <c r="H383" s="1" t="s">
        <v>3610</v>
      </c>
      <c r="I383" s="1"/>
      <c r="J383" s="1"/>
      <c r="K383" s="1"/>
      <c r="L383" s="1"/>
      <c r="M383" s="1"/>
      <c r="N383" s="1"/>
      <c r="O383" s="1"/>
      <c r="P383" s="1"/>
      <c r="Q383" s="17"/>
    </row>
    <row x14ac:dyDescent="0.25" r="384" customHeight="1" ht="18.75">
      <c r="A384" s="1"/>
      <c r="B384" s="1" t="s">
        <v>37075</v>
      </c>
      <c r="C384" s="1" t="s">
        <v>7</v>
      </c>
      <c r="D384" s="1" t="s">
        <v>10</v>
      </c>
      <c r="E384" s="1" t="s">
        <v>37034</v>
      </c>
      <c r="F384" s="1" t="s">
        <v>3693</v>
      </c>
      <c r="G384" s="1" t="s">
        <v>37087</v>
      </c>
      <c r="H384" s="1" t="s">
        <v>3610</v>
      </c>
      <c r="I384" s="1"/>
      <c r="J384" s="1"/>
      <c r="K384" s="1"/>
      <c r="L384" s="1"/>
      <c r="M384" s="1"/>
      <c r="N384" s="1"/>
      <c r="O384" s="1"/>
      <c r="P384" s="1"/>
      <c r="Q384" s="17"/>
    </row>
    <row x14ac:dyDescent="0.25" r="385" customHeight="1" ht="18.75">
      <c r="A385" s="1"/>
      <c r="B385" s="1" t="s">
        <v>37075</v>
      </c>
      <c r="C385" s="1" t="s">
        <v>7</v>
      </c>
      <c r="D385" s="1" t="s">
        <v>10</v>
      </c>
      <c r="E385" s="1" t="s">
        <v>37034</v>
      </c>
      <c r="F385" s="1" t="s">
        <v>3693</v>
      </c>
      <c r="G385" s="1" t="s">
        <v>37088</v>
      </c>
      <c r="H385" s="1" t="s">
        <v>3610</v>
      </c>
      <c r="I385" s="1"/>
      <c r="J385" s="1"/>
      <c r="K385" s="1"/>
      <c r="L385" s="1"/>
      <c r="M385" s="1"/>
      <c r="N385" s="1"/>
      <c r="O385" s="1"/>
      <c r="P385" s="1"/>
      <c r="Q385" s="17"/>
    </row>
    <row x14ac:dyDescent="0.25" r="386" customHeight="1" ht="18.75">
      <c r="A386" s="1"/>
      <c r="B386" s="1" t="s">
        <v>37075</v>
      </c>
      <c r="C386" s="1" t="s">
        <v>7</v>
      </c>
      <c r="D386" s="1" t="s">
        <v>10</v>
      </c>
      <c r="E386" s="1" t="s">
        <v>37034</v>
      </c>
      <c r="F386" s="1" t="s">
        <v>3693</v>
      </c>
      <c r="G386" s="1" t="s">
        <v>37089</v>
      </c>
      <c r="H386" s="1" t="s">
        <v>3610</v>
      </c>
      <c r="I386" s="1"/>
      <c r="J386" s="1"/>
      <c r="K386" s="1"/>
      <c r="L386" s="1"/>
      <c r="M386" s="1"/>
      <c r="N386" s="1"/>
      <c r="O386" s="1"/>
      <c r="P386" s="1"/>
      <c r="Q386" s="17"/>
    </row>
    <row x14ac:dyDescent="0.25" r="387" customHeight="1" ht="18.75">
      <c r="A387" s="1"/>
      <c r="B387" s="1" t="s">
        <v>37075</v>
      </c>
      <c r="C387" s="1" t="s">
        <v>7</v>
      </c>
      <c r="D387" s="1" t="s">
        <v>10</v>
      </c>
      <c r="E387" s="1" t="s">
        <v>37034</v>
      </c>
      <c r="F387" s="1" t="s">
        <v>3693</v>
      </c>
      <c r="G387" s="1" t="s">
        <v>37090</v>
      </c>
      <c r="H387" s="1" t="s">
        <v>3695</v>
      </c>
      <c r="I387" s="1"/>
      <c r="J387" s="1"/>
      <c r="K387" s="1"/>
      <c r="L387" s="1"/>
      <c r="M387" s="1"/>
      <c r="N387" s="1"/>
      <c r="O387" s="1"/>
      <c r="P387" s="1"/>
      <c r="Q387" s="17"/>
    </row>
    <row x14ac:dyDescent="0.25" r="388" customHeight="1" ht="18.75">
      <c r="A388" s="1"/>
      <c r="B388" s="1" t="s">
        <v>37075</v>
      </c>
      <c r="C388" s="1" t="s">
        <v>7</v>
      </c>
      <c r="D388" s="1" t="s">
        <v>10</v>
      </c>
      <c r="E388" s="1" t="s">
        <v>37034</v>
      </c>
      <c r="F388" s="1" t="s">
        <v>3693</v>
      </c>
      <c r="G388" s="1" t="s">
        <v>37091</v>
      </c>
      <c r="H388" s="1" t="s">
        <v>3695</v>
      </c>
      <c r="I388" s="1"/>
      <c r="J388" s="1"/>
      <c r="K388" s="1"/>
      <c r="L388" s="1"/>
      <c r="M388" s="1"/>
      <c r="N388" s="1"/>
      <c r="O388" s="1"/>
      <c r="P388" s="1"/>
      <c r="Q388" s="17"/>
    </row>
    <row x14ac:dyDescent="0.25" r="389" customHeight="1" ht="18.75">
      <c r="A389" s="1"/>
      <c r="B389" s="1" t="s">
        <v>37075</v>
      </c>
      <c r="C389" s="1" t="s">
        <v>7</v>
      </c>
      <c r="D389" s="1" t="s">
        <v>10</v>
      </c>
      <c r="E389" s="1" t="s">
        <v>37034</v>
      </c>
      <c r="F389" s="1" t="s">
        <v>3693</v>
      </c>
      <c r="G389" s="1" t="s">
        <v>37092</v>
      </c>
      <c r="H389" s="1" t="s">
        <v>3695</v>
      </c>
      <c r="I389" s="1"/>
      <c r="J389" s="1"/>
      <c r="K389" s="1"/>
      <c r="L389" s="1"/>
      <c r="M389" s="1"/>
      <c r="N389" s="1"/>
      <c r="O389" s="1"/>
      <c r="P389" s="1"/>
      <c r="Q389" s="17"/>
    </row>
    <row x14ac:dyDescent="0.25" r="390" customHeight="1" ht="18.75">
      <c r="A390" s="1"/>
      <c r="B390" s="1" t="s">
        <v>37093</v>
      </c>
      <c r="C390" s="1" t="s">
        <v>7</v>
      </c>
      <c r="D390" s="1" t="s">
        <v>10</v>
      </c>
      <c r="E390" s="1" t="s">
        <v>36395</v>
      </c>
      <c r="F390" s="1" t="s">
        <v>3598</v>
      </c>
      <c r="G390" s="1" t="s">
        <v>37094</v>
      </c>
      <c r="H390" s="1" t="s">
        <v>37063</v>
      </c>
      <c r="I390" s="1"/>
      <c r="J390" s="1"/>
      <c r="K390" s="1"/>
      <c r="L390" s="1"/>
      <c r="M390" s="1"/>
      <c r="N390" s="1"/>
      <c r="O390" s="1"/>
      <c r="P390" s="1"/>
      <c r="Q390" s="17"/>
    </row>
    <row x14ac:dyDescent="0.25" r="391" customHeight="1" ht="18.75">
      <c r="A391" s="1"/>
      <c r="B391" s="1" t="s">
        <v>37093</v>
      </c>
      <c r="C391" s="1" t="s">
        <v>7</v>
      </c>
      <c r="D391" s="1" t="s">
        <v>10</v>
      </c>
      <c r="E391" s="1" t="s">
        <v>37034</v>
      </c>
      <c r="F391" s="1" t="s">
        <v>3598</v>
      </c>
      <c r="G391" s="1" t="s">
        <v>37095</v>
      </c>
      <c r="H391" s="1" t="s">
        <v>3601</v>
      </c>
      <c r="I391" s="1"/>
      <c r="J391" s="1"/>
      <c r="K391" s="1"/>
      <c r="L391" s="1"/>
      <c r="M391" s="1"/>
      <c r="N391" s="1"/>
      <c r="O391" s="1"/>
      <c r="P391" s="1"/>
      <c r="Q391" s="17"/>
    </row>
    <row x14ac:dyDescent="0.25" r="392" customHeight="1" ht="18.75">
      <c r="A392" s="1"/>
      <c r="B392" s="1" t="s">
        <v>37096</v>
      </c>
      <c r="C392" s="1" t="s">
        <v>7</v>
      </c>
      <c r="D392" s="1" t="s">
        <v>10</v>
      </c>
      <c r="E392" s="1" t="s">
        <v>37034</v>
      </c>
      <c r="F392" s="1" t="s">
        <v>3598</v>
      </c>
      <c r="G392" s="1" t="s">
        <v>37097</v>
      </c>
      <c r="H392" s="1" t="s">
        <v>3610</v>
      </c>
      <c r="I392" s="1"/>
      <c r="J392" s="1"/>
      <c r="K392" s="1"/>
      <c r="L392" s="1"/>
      <c r="M392" s="1"/>
      <c r="N392" s="1"/>
      <c r="O392" s="1"/>
      <c r="P392" s="1"/>
      <c r="Q392" s="17"/>
    </row>
    <row x14ac:dyDescent="0.25" r="393" customHeight="1" ht="18.75">
      <c r="A393" s="1"/>
      <c r="B393" s="1" t="s">
        <v>37096</v>
      </c>
      <c r="C393" s="1" t="s">
        <v>7</v>
      </c>
      <c r="D393" s="1" t="s">
        <v>10</v>
      </c>
      <c r="E393" s="1" t="s">
        <v>37034</v>
      </c>
      <c r="F393" s="1" t="s">
        <v>3598</v>
      </c>
      <c r="G393" s="1" t="s">
        <v>37098</v>
      </c>
      <c r="H393" s="1" t="s">
        <v>37037</v>
      </c>
      <c r="I393" s="1"/>
      <c r="J393" s="1"/>
      <c r="K393" s="1"/>
      <c r="L393" s="1"/>
      <c r="M393" s="1"/>
      <c r="N393" s="1"/>
      <c r="O393" s="1"/>
      <c r="P393" s="1"/>
      <c r="Q393" s="17"/>
    </row>
    <row x14ac:dyDescent="0.25" r="394" customHeight="1" ht="18.75">
      <c r="A394" s="1"/>
      <c r="B394" s="1" t="s">
        <v>37096</v>
      </c>
      <c r="C394" s="1" t="s">
        <v>7</v>
      </c>
      <c r="D394" s="1" t="s">
        <v>10</v>
      </c>
      <c r="E394" s="1" t="s">
        <v>37034</v>
      </c>
      <c r="F394" s="1" t="s">
        <v>3598</v>
      </c>
      <c r="G394" s="1" t="s">
        <v>37099</v>
      </c>
      <c r="H394" s="1" t="s">
        <v>533</v>
      </c>
      <c r="I394" s="1"/>
      <c r="J394" s="1"/>
      <c r="K394" s="1"/>
      <c r="L394" s="1"/>
      <c r="M394" s="1"/>
      <c r="N394" s="1"/>
      <c r="O394" s="1"/>
      <c r="P394" s="1"/>
      <c r="Q394" s="17"/>
    </row>
    <row x14ac:dyDescent="0.25" r="395" customHeight="1" ht="18.75">
      <c r="A395" s="1"/>
      <c r="B395" s="1" t="s">
        <v>37100</v>
      </c>
      <c r="C395" s="1" t="s">
        <v>7</v>
      </c>
      <c r="D395" s="1" t="s">
        <v>10</v>
      </c>
      <c r="E395" s="1" t="s">
        <v>37034</v>
      </c>
      <c r="F395" s="1" t="s">
        <v>3598</v>
      </c>
      <c r="G395" s="1" t="s">
        <v>37101</v>
      </c>
      <c r="H395" s="1" t="s">
        <v>37102</v>
      </c>
      <c r="I395" s="1"/>
      <c r="J395" s="1"/>
      <c r="K395" s="1"/>
      <c r="L395" s="1"/>
      <c r="M395" s="1"/>
      <c r="N395" s="1"/>
      <c r="O395" s="1"/>
      <c r="P395" s="1"/>
      <c r="Q395" s="17"/>
    </row>
    <row x14ac:dyDescent="0.25" r="396" customHeight="1" ht="18.75">
      <c r="A396" s="1"/>
      <c r="B396" s="1" t="s">
        <v>37100</v>
      </c>
      <c r="C396" s="1" t="s">
        <v>7</v>
      </c>
      <c r="D396" s="1" t="s">
        <v>10</v>
      </c>
      <c r="E396" s="1" t="s">
        <v>37034</v>
      </c>
      <c r="F396" s="1" t="s">
        <v>3598</v>
      </c>
      <c r="G396" s="1" t="s">
        <v>37103</v>
      </c>
      <c r="H396" s="1" t="s">
        <v>37102</v>
      </c>
      <c r="I396" s="1"/>
      <c r="J396" s="1"/>
      <c r="K396" s="1"/>
      <c r="L396" s="1"/>
      <c r="M396" s="1"/>
      <c r="N396" s="1"/>
      <c r="O396" s="1"/>
      <c r="P396" s="1"/>
      <c r="Q396" s="17"/>
    </row>
    <row x14ac:dyDescent="0.25" r="397" customHeight="1" ht="18.75">
      <c r="A397" s="1"/>
      <c r="B397" s="1" t="s">
        <v>37096</v>
      </c>
      <c r="C397" s="1" t="s">
        <v>7</v>
      </c>
      <c r="D397" s="1" t="s">
        <v>10</v>
      </c>
      <c r="E397" s="1" t="s">
        <v>37034</v>
      </c>
      <c r="F397" s="1" t="s">
        <v>3598</v>
      </c>
      <c r="G397" s="1" t="s">
        <v>37104</v>
      </c>
      <c r="H397" s="1" t="s">
        <v>37037</v>
      </c>
      <c r="I397" s="1"/>
      <c r="J397" s="1"/>
      <c r="K397" s="1"/>
      <c r="L397" s="1"/>
      <c r="M397" s="1"/>
      <c r="N397" s="1"/>
      <c r="O397" s="1"/>
      <c r="P397" s="1"/>
      <c r="Q397" s="17"/>
    </row>
    <row x14ac:dyDescent="0.25" r="398" customHeight="1" ht="18.75">
      <c r="A398" s="1"/>
      <c r="B398" s="1" t="s">
        <v>37096</v>
      </c>
      <c r="C398" s="1" t="s">
        <v>7</v>
      </c>
      <c r="D398" s="1" t="s">
        <v>10</v>
      </c>
      <c r="E398" s="1" t="s">
        <v>37034</v>
      </c>
      <c r="F398" s="1" t="s">
        <v>3598</v>
      </c>
      <c r="G398" s="1" t="s">
        <v>37105</v>
      </c>
      <c r="H398" s="1" t="s">
        <v>3610</v>
      </c>
      <c r="I398" s="1"/>
      <c r="J398" s="1"/>
      <c r="K398" s="1"/>
      <c r="L398" s="1"/>
      <c r="M398" s="1"/>
      <c r="N398" s="1"/>
      <c r="O398" s="1"/>
      <c r="P398" s="1"/>
      <c r="Q398" s="17"/>
    </row>
    <row x14ac:dyDescent="0.25" r="399" customHeight="1" ht="18.75">
      <c r="A399" s="1"/>
      <c r="B399" s="1" t="s">
        <v>37100</v>
      </c>
      <c r="C399" s="1" t="s">
        <v>7</v>
      </c>
      <c r="D399" s="1" t="s">
        <v>10</v>
      </c>
      <c r="E399" s="1" t="s">
        <v>37034</v>
      </c>
      <c r="F399" s="1" t="s">
        <v>3598</v>
      </c>
      <c r="G399" s="1" t="s">
        <v>37106</v>
      </c>
      <c r="H399" s="1" t="s">
        <v>37107</v>
      </c>
      <c r="I399" s="1"/>
      <c r="J399" s="1"/>
      <c r="K399" s="1"/>
      <c r="L399" s="1"/>
      <c r="M399" s="1"/>
      <c r="N399" s="1"/>
      <c r="O399" s="1"/>
      <c r="P399" s="1"/>
      <c r="Q399" s="17"/>
    </row>
    <row x14ac:dyDescent="0.25" r="400" customHeight="1" ht="18.75">
      <c r="A400" s="1"/>
      <c r="B400" s="1" t="s">
        <v>37096</v>
      </c>
      <c r="C400" s="1" t="s">
        <v>7</v>
      </c>
      <c r="D400" s="1" t="s">
        <v>10</v>
      </c>
      <c r="E400" s="1" t="s">
        <v>37034</v>
      </c>
      <c r="F400" s="1" t="s">
        <v>3598</v>
      </c>
      <c r="G400" s="1" t="s">
        <v>37108</v>
      </c>
      <c r="H400" s="1" t="s">
        <v>37037</v>
      </c>
      <c r="I400" s="1"/>
      <c r="J400" s="1"/>
      <c r="K400" s="1"/>
      <c r="L400" s="1"/>
      <c r="M400" s="1"/>
      <c r="N400" s="1"/>
      <c r="O400" s="1"/>
      <c r="P400" s="1"/>
      <c r="Q400" s="17"/>
    </row>
    <row x14ac:dyDescent="0.25" r="401" customHeight="1" ht="18.75">
      <c r="A401" s="1"/>
      <c r="B401" s="1" t="s">
        <v>37096</v>
      </c>
      <c r="C401" s="1" t="s">
        <v>7</v>
      </c>
      <c r="D401" s="1" t="s">
        <v>10</v>
      </c>
      <c r="E401" s="1" t="s">
        <v>37034</v>
      </c>
      <c r="F401" s="1" t="s">
        <v>3598</v>
      </c>
      <c r="G401" s="1" t="s">
        <v>37109</v>
      </c>
      <c r="H401" s="1" t="s">
        <v>3610</v>
      </c>
      <c r="I401" s="1"/>
      <c r="J401" s="1"/>
      <c r="K401" s="1"/>
      <c r="L401" s="1"/>
      <c r="M401" s="1"/>
      <c r="N401" s="1"/>
      <c r="O401" s="1"/>
      <c r="P401" s="1"/>
      <c r="Q401" s="17"/>
    </row>
    <row x14ac:dyDescent="0.25" r="402" customHeight="1" ht="18.75">
      <c r="A402" s="1"/>
      <c r="B402" s="1" t="s">
        <v>37096</v>
      </c>
      <c r="C402" s="1" t="s">
        <v>7</v>
      </c>
      <c r="D402" s="1" t="s">
        <v>10</v>
      </c>
      <c r="E402" s="1" t="s">
        <v>37034</v>
      </c>
      <c r="F402" s="1" t="s">
        <v>3598</v>
      </c>
      <c r="G402" s="1" t="s">
        <v>37110</v>
      </c>
      <c r="H402" s="1" t="s">
        <v>3610</v>
      </c>
      <c r="I402" s="1"/>
      <c r="J402" s="1"/>
      <c r="K402" s="1"/>
      <c r="L402" s="1"/>
      <c r="M402" s="1"/>
      <c r="N402" s="1"/>
      <c r="O402" s="1"/>
      <c r="P402" s="1"/>
      <c r="Q402" s="17"/>
    </row>
    <row x14ac:dyDescent="0.25" r="403" customHeight="1" ht="18.75">
      <c r="A403" s="1"/>
      <c r="B403" s="1" t="s">
        <v>37096</v>
      </c>
      <c r="C403" s="1" t="s">
        <v>7</v>
      </c>
      <c r="D403" s="1" t="s">
        <v>10</v>
      </c>
      <c r="E403" s="1" t="s">
        <v>37034</v>
      </c>
      <c r="F403" s="1" t="s">
        <v>3598</v>
      </c>
      <c r="G403" s="1" t="s">
        <v>37111</v>
      </c>
      <c r="H403" s="1" t="s">
        <v>3610</v>
      </c>
      <c r="I403" s="1"/>
      <c r="J403" s="1"/>
      <c r="K403" s="1"/>
      <c r="L403" s="1"/>
      <c r="M403" s="1"/>
      <c r="N403" s="1"/>
      <c r="O403" s="1"/>
      <c r="P403" s="1"/>
      <c r="Q403" s="17"/>
    </row>
    <row x14ac:dyDescent="0.25" r="404" customHeight="1" ht="18.75">
      <c r="A404" s="1"/>
      <c r="B404" s="1" t="s">
        <v>37096</v>
      </c>
      <c r="C404" s="1" t="s">
        <v>7</v>
      </c>
      <c r="D404" s="1" t="s">
        <v>10</v>
      </c>
      <c r="E404" s="1" t="s">
        <v>37034</v>
      </c>
      <c r="F404" s="1" t="s">
        <v>3598</v>
      </c>
      <c r="G404" s="1" t="s">
        <v>37112</v>
      </c>
      <c r="H404" s="1" t="s">
        <v>533</v>
      </c>
      <c r="I404" s="1"/>
      <c r="J404" s="1"/>
      <c r="K404" s="1"/>
      <c r="L404" s="1"/>
      <c r="M404" s="1"/>
      <c r="N404" s="1"/>
      <c r="O404" s="1"/>
      <c r="P404" s="1"/>
      <c r="Q404" s="17"/>
    </row>
    <row x14ac:dyDescent="0.25" r="405" customHeight="1" ht="18.75">
      <c r="A405" s="1"/>
      <c r="B405" s="1" t="s">
        <v>37100</v>
      </c>
      <c r="C405" s="1" t="s">
        <v>7</v>
      </c>
      <c r="D405" s="1" t="s">
        <v>10</v>
      </c>
      <c r="E405" s="1" t="s">
        <v>36395</v>
      </c>
      <c r="F405" s="1" t="s">
        <v>3598</v>
      </c>
      <c r="G405" s="1" t="s">
        <v>37113</v>
      </c>
      <c r="H405" s="1" t="s">
        <v>37063</v>
      </c>
      <c r="I405" s="1"/>
      <c r="J405" s="1"/>
      <c r="K405" s="1"/>
      <c r="L405" s="1"/>
      <c r="M405" s="1"/>
      <c r="N405" s="1"/>
      <c r="O405" s="1"/>
      <c r="P405" s="1"/>
      <c r="Q405" s="17"/>
    </row>
    <row x14ac:dyDescent="0.25" r="406" customHeight="1" ht="18.75">
      <c r="A406" s="1"/>
      <c r="B406" s="1" t="s">
        <v>37114</v>
      </c>
      <c r="C406" s="1" t="s">
        <v>7</v>
      </c>
      <c r="D406" s="1" t="s">
        <v>10</v>
      </c>
      <c r="E406" s="1" t="s">
        <v>36395</v>
      </c>
      <c r="F406" s="1" t="s">
        <v>3598</v>
      </c>
      <c r="G406" s="1" t="s">
        <v>37115</v>
      </c>
      <c r="H406" s="1" t="s">
        <v>37107</v>
      </c>
      <c r="I406" s="1"/>
      <c r="J406" s="1"/>
      <c r="K406" s="1"/>
      <c r="L406" s="1"/>
      <c r="M406" s="1"/>
      <c r="N406" s="1"/>
      <c r="O406" s="1"/>
      <c r="P406" s="1"/>
      <c r="Q406" s="17"/>
    </row>
    <row x14ac:dyDescent="0.25" r="407" customHeight="1" ht="18.75">
      <c r="A407" s="1"/>
      <c r="B407" s="1" t="s">
        <v>37114</v>
      </c>
      <c r="C407" s="1" t="s">
        <v>7</v>
      </c>
      <c r="D407" s="1" t="s">
        <v>10</v>
      </c>
      <c r="E407" s="1" t="s">
        <v>37034</v>
      </c>
      <c r="F407" s="1" t="s">
        <v>3598</v>
      </c>
      <c r="G407" s="1" t="s">
        <v>37116</v>
      </c>
      <c r="H407" s="1" t="s">
        <v>37057</v>
      </c>
      <c r="I407" s="1"/>
      <c r="J407" s="1"/>
      <c r="K407" s="1"/>
      <c r="L407" s="1"/>
      <c r="M407" s="1"/>
      <c r="N407" s="1"/>
      <c r="O407" s="1"/>
      <c r="P407" s="1"/>
      <c r="Q407" s="17"/>
    </row>
    <row x14ac:dyDescent="0.25" r="408" customHeight="1" ht="18.75">
      <c r="A408" s="1"/>
      <c r="B408" s="1" t="s">
        <v>37117</v>
      </c>
      <c r="C408" s="1" t="s">
        <v>7</v>
      </c>
      <c r="D408" s="1" t="s">
        <v>10</v>
      </c>
      <c r="E408" s="1" t="s">
        <v>36395</v>
      </c>
      <c r="F408" s="1" t="s">
        <v>3598</v>
      </c>
      <c r="G408" s="1" t="s">
        <v>37118</v>
      </c>
      <c r="H408" s="1" t="s">
        <v>7847</v>
      </c>
      <c r="I408" s="1"/>
      <c r="J408" s="1"/>
      <c r="K408" s="1"/>
      <c r="L408" s="1"/>
      <c r="M408" s="1"/>
      <c r="N408" s="1"/>
      <c r="O408" s="1"/>
      <c r="P408" s="1"/>
      <c r="Q408" s="17"/>
    </row>
    <row x14ac:dyDescent="0.25" r="409" customHeight="1" ht="18.75">
      <c r="A409" s="1"/>
      <c r="B409" s="1" t="s">
        <v>37117</v>
      </c>
      <c r="C409" s="1" t="s">
        <v>7</v>
      </c>
      <c r="D409" s="1" t="s">
        <v>10</v>
      </c>
      <c r="E409" s="1" t="s">
        <v>36395</v>
      </c>
      <c r="F409" s="1" t="s">
        <v>3598</v>
      </c>
      <c r="G409" s="1" t="s">
        <v>37119</v>
      </c>
      <c r="H409" s="1" t="s">
        <v>7847</v>
      </c>
      <c r="I409" s="1"/>
      <c r="J409" s="1"/>
      <c r="K409" s="1"/>
      <c r="L409" s="1"/>
      <c r="M409" s="1"/>
      <c r="N409" s="1"/>
      <c r="O409" s="1"/>
      <c r="P409" s="1"/>
      <c r="Q409" s="17"/>
    </row>
    <row x14ac:dyDescent="0.25" r="410" customHeight="1" ht="18.75">
      <c r="A410" s="1"/>
      <c r="B410" s="1" t="s">
        <v>37120</v>
      </c>
      <c r="C410" s="1" t="s">
        <v>7</v>
      </c>
      <c r="D410" s="1" t="s">
        <v>10</v>
      </c>
      <c r="E410" s="1" t="s">
        <v>36395</v>
      </c>
      <c r="F410" s="1" t="s">
        <v>3598</v>
      </c>
      <c r="G410" s="1" t="s">
        <v>37121</v>
      </c>
      <c r="H410" s="1" t="s">
        <v>37063</v>
      </c>
      <c r="I410" s="1"/>
      <c r="J410" s="1"/>
      <c r="K410" s="1"/>
      <c r="L410" s="1"/>
      <c r="M410" s="1"/>
      <c r="N410" s="1"/>
      <c r="O410" s="1"/>
      <c r="P410" s="1"/>
      <c r="Q410" s="17"/>
    </row>
    <row x14ac:dyDescent="0.25" r="411" customHeight="1" ht="18.75">
      <c r="A411" s="1"/>
      <c r="B411" s="1" t="s">
        <v>37122</v>
      </c>
      <c r="C411" s="1" t="s">
        <v>7</v>
      </c>
      <c r="D411" s="1" t="s">
        <v>10</v>
      </c>
      <c r="E411" s="1" t="s">
        <v>36395</v>
      </c>
      <c r="F411" s="1" t="s">
        <v>3598</v>
      </c>
      <c r="G411" s="1" t="s">
        <v>37123</v>
      </c>
      <c r="H411" s="1" t="s">
        <v>37107</v>
      </c>
      <c r="I411" s="1"/>
      <c r="J411" s="1"/>
      <c r="K411" s="1"/>
      <c r="L411" s="1"/>
      <c r="M411" s="1"/>
      <c r="N411" s="1"/>
      <c r="O411" s="1"/>
      <c r="P411" s="1"/>
      <c r="Q411" s="17"/>
    </row>
    <row x14ac:dyDescent="0.25" r="412" customHeight="1" ht="18.75">
      <c r="A412" s="1"/>
      <c r="B412" s="1" t="s">
        <v>37117</v>
      </c>
      <c r="C412" s="1" t="s">
        <v>7</v>
      </c>
      <c r="D412" s="1" t="s">
        <v>10</v>
      </c>
      <c r="E412" s="1" t="s">
        <v>37034</v>
      </c>
      <c r="F412" s="1" t="s">
        <v>3598</v>
      </c>
      <c r="G412" s="1" t="s">
        <v>37124</v>
      </c>
      <c r="H412" s="1" t="s">
        <v>37057</v>
      </c>
      <c r="I412" s="1"/>
      <c r="J412" s="1"/>
      <c r="K412" s="1"/>
      <c r="L412" s="1"/>
      <c r="M412" s="1"/>
      <c r="N412" s="1"/>
      <c r="O412" s="1"/>
      <c r="P412" s="1"/>
      <c r="Q412" s="17"/>
    </row>
    <row x14ac:dyDescent="0.25" r="413" customHeight="1" ht="18.75">
      <c r="A413" s="1"/>
      <c r="B413" s="1" t="s">
        <v>37117</v>
      </c>
      <c r="C413" s="1" t="s">
        <v>7</v>
      </c>
      <c r="D413" s="1" t="s">
        <v>10</v>
      </c>
      <c r="E413" s="1" t="s">
        <v>37034</v>
      </c>
      <c r="F413" s="1" t="s">
        <v>3598</v>
      </c>
      <c r="G413" s="1" t="s">
        <v>37125</v>
      </c>
      <c r="H413" s="1" t="s">
        <v>37057</v>
      </c>
      <c r="I413" s="1"/>
      <c r="J413" s="1"/>
      <c r="K413" s="1"/>
      <c r="L413" s="1"/>
      <c r="M413" s="1"/>
      <c r="N413" s="1"/>
      <c r="O413" s="1"/>
      <c r="P413" s="1"/>
      <c r="Q413" s="17"/>
    </row>
    <row x14ac:dyDescent="0.25" r="414" customHeight="1" ht="18.75">
      <c r="A414" s="1"/>
      <c r="B414" s="1" t="s">
        <v>37126</v>
      </c>
      <c r="C414" s="1" t="s">
        <v>7</v>
      </c>
      <c r="D414" s="1" t="s">
        <v>10</v>
      </c>
      <c r="E414" s="1" t="s">
        <v>36395</v>
      </c>
      <c r="F414" s="1" t="s">
        <v>3617</v>
      </c>
      <c r="G414" s="1" t="s">
        <v>35598</v>
      </c>
      <c r="H414" s="1" t="s">
        <v>7847</v>
      </c>
      <c r="I414" s="1"/>
      <c r="J414" s="1"/>
      <c r="K414" s="1"/>
      <c r="L414" s="1"/>
      <c r="M414" s="1"/>
      <c r="N414" s="1"/>
      <c r="O414" s="1"/>
      <c r="P414" s="1"/>
      <c r="Q414" s="17"/>
    </row>
    <row x14ac:dyDescent="0.25" r="415" customHeight="1" ht="18.75">
      <c r="A415" s="1"/>
      <c r="B415" s="1" t="s">
        <v>37126</v>
      </c>
      <c r="C415" s="1" t="s">
        <v>7</v>
      </c>
      <c r="D415" s="1" t="s">
        <v>10</v>
      </c>
      <c r="E415" s="1" t="s">
        <v>36395</v>
      </c>
      <c r="F415" s="1" t="s">
        <v>3617</v>
      </c>
      <c r="G415" s="1" t="s">
        <v>35601</v>
      </c>
      <c r="H415" s="1" t="s">
        <v>7847</v>
      </c>
      <c r="I415" s="1"/>
      <c r="J415" s="1"/>
      <c r="K415" s="1"/>
      <c r="L415" s="1"/>
      <c r="M415" s="1"/>
      <c r="N415" s="1"/>
      <c r="O415" s="1"/>
      <c r="P415" s="1"/>
      <c r="Q415" s="17"/>
    </row>
    <row x14ac:dyDescent="0.25" r="416" customHeight="1" ht="18.75">
      <c r="A416" s="1"/>
      <c r="B416" s="1" t="s">
        <v>37126</v>
      </c>
      <c r="C416" s="1" t="s">
        <v>7</v>
      </c>
      <c r="D416" s="1" t="s">
        <v>10</v>
      </c>
      <c r="E416" s="1" t="s">
        <v>36395</v>
      </c>
      <c r="F416" s="1" t="s">
        <v>3617</v>
      </c>
      <c r="G416" s="1" t="s">
        <v>35604</v>
      </c>
      <c r="H416" s="1" t="s">
        <v>7847</v>
      </c>
      <c r="I416" s="1"/>
      <c r="J416" s="1"/>
      <c r="K416" s="1"/>
      <c r="L416" s="1"/>
      <c r="M416" s="1"/>
      <c r="N416" s="1"/>
      <c r="O416" s="1"/>
      <c r="P416" s="1"/>
      <c r="Q416" s="17"/>
    </row>
    <row x14ac:dyDescent="0.25" r="417" customHeight="1" ht="18.75">
      <c r="A417" s="1"/>
      <c r="B417" s="1" t="s">
        <v>37126</v>
      </c>
      <c r="C417" s="1" t="s">
        <v>7</v>
      </c>
      <c r="D417" s="1" t="s">
        <v>10</v>
      </c>
      <c r="E417" s="1" t="s">
        <v>37034</v>
      </c>
      <c r="F417" s="1" t="s">
        <v>3617</v>
      </c>
      <c r="G417" s="1" t="s">
        <v>37127</v>
      </c>
      <c r="H417" s="1" t="s">
        <v>533</v>
      </c>
      <c r="I417" s="1"/>
      <c r="J417" s="1"/>
      <c r="K417" s="1"/>
      <c r="L417" s="1"/>
      <c r="M417" s="1"/>
      <c r="N417" s="1"/>
      <c r="O417" s="1"/>
      <c r="P417" s="1"/>
      <c r="Q417" s="17"/>
    </row>
    <row x14ac:dyDescent="0.25" r="418" customHeight="1" ht="18.75">
      <c r="A418" s="1"/>
      <c r="B418" s="1" t="s">
        <v>37126</v>
      </c>
      <c r="C418" s="1" t="s">
        <v>7</v>
      </c>
      <c r="D418" s="1" t="s">
        <v>10</v>
      </c>
      <c r="E418" s="1" t="s">
        <v>37034</v>
      </c>
      <c r="F418" s="1" t="s">
        <v>3617</v>
      </c>
      <c r="G418" s="1" t="s">
        <v>37128</v>
      </c>
      <c r="H418" s="1" t="s">
        <v>3610</v>
      </c>
      <c r="I418" s="1"/>
      <c r="J418" s="1"/>
      <c r="K418" s="1"/>
      <c r="L418" s="1"/>
      <c r="M418" s="1"/>
      <c r="N418" s="1"/>
      <c r="O418" s="1"/>
      <c r="P418" s="1"/>
      <c r="Q418" s="17"/>
    </row>
    <row x14ac:dyDescent="0.25" r="419" customHeight="1" ht="18.75">
      <c r="A419" s="1"/>
      <c r="B419" s="1" t="s">
        <v>37126</v>
      </c>
      <c r="C419" s="1" t="s">
        <v>7</v>
      </c>
      <c r="D419" s="1" t="s">
        <v>10</v>
      </c>
      <c r="E419" s="1" t="s">
        <v>37034</v>
      </c>
      <c r="F419" s="1" t="s">
        <v>3617</v>
      </c>
      <c r="G419" s="1" t="s">
        <v>37129</v>
      </c>
      <c r="H419" s="1" t="s">
        <v>3610</v>
      </c>
      <c r="I419" s="1"/>
      <c r="J419" s="1"/>
      <c r="K419" s="1"/>
      <c r="L419" s="1"/>
      <c r="M419" s="1"/>
      <c r="N419" s="1"/>
      <c r="O419" s="1"/>
      <c r="P419" s="1"/>
      <c r="Q419" s="17"/>
    </row>
    <row x14ac:dyDescent="0.25" r="420" customHeight="1" ht="18.75">
      <c r="A420" s="1"/>
      <c r="B420" s="1" t="s">
        <v>37126</v>
      </c>
      <c r="C420" s="1" t="s">
        <v>7</v>
      </c>
      <c r="D420" s="1" t="s">
        <v>10</v>
      </c>
      <c r="E420" s="1" t="s">
        <v>37034</v>
      </c>
      <c r="F420" s="1" t="s">
        <v>3617</v>
      </c>
      <c r="G420" s="1" t="s">
        <v>37130</v>
      </c>
      <c r="H420" s="1" t="s">
        <v>3610</v>
      </c>
      <c r="I420" s="1"/>
      <c r="J420" s="1"/>
      <c r="K420" s="1"/>
      <c r="L420" s="1"/>
      <c r="M420" s="1"/>
      <c r="N420" s="1"/>
      <c r="O420" s="1"/>
      <c r="P420" s="1"/>
      <c r="Q420" s="17"/>
    </row>
    <row x14ac:dyDescent="0.25" r="421" customHeight="1" ht="18.75">
      <c r="A421" s="1"/>
      <c r="B421" s="1" t="s">
        <v>37126</v>
      </c>
      <c r="C421" s="1" t="s">
        <v>7</v>
      </c>
      <c r="D421" s="1" t="s">
        <v>10</v>
      </c>
      <c r="E421" s="1" t="s">
        <v>37034</v>
      </c>
      <c r="F421" s="1" t="s">
        <v>3617</v>
      </c>
      <c r="G421" s="1" t="s">
        <v>37131</v>
      </c>
      <c r="H421" s="1" t="s">
        <v>3610</v>
      </c>
      <c r="I421" s="1"/>
      <c r="J421" s="1"/>
      <c r="K421" s="1"/>
      <c r="L421" s="1"/>
      <c r="M421" s="1"/>
      <c r="N421" s="1"/>
      <c r="O421" s="1"/>
      <c r="P421" s="1"/>
      <c r="Q421" s="17"/>
    </row>
    <row x14ac:dyDescent="0.25" r="422" customHeight="1" ht="18.75">
      <c r="A422" s="1"/>
      <c r="B422" s="1" t="s">
        <v>37126</v>
      </c>
      <c r="C422" s="1" t="s">
        <v>7</v>
      </c>
      <c r="D422" s="1" t="s">
        <v>10</v>
      </c>
      <c r="E422" s="1" t="s">
        <v>37034</v>
      </c>
      <c r="F422" s="1" t="s">
        <v>3617</v>
      </c>
      <c r="G422" s="1" t="s">
        <v>37132</v>
      </c>
      <c r="H422" s="1" t="s">
        <v>3610</v>
      </c>
      <c r="I422" s="1"/>
      <c r="J422" s="1"/>
      <c r="K422" s="1"/>
      <c r="L422" s="1"/>
      <c r="M422" s="1"/>
      <c r="N422" s="1"/>
      <c r="O422" s="1"/>
      <c r="P422" s="1"/>
      <c r="Q422" s="17"/>
    </row>
    <row x14ac:dyDescent="0.25" r="423" customHeight="1" ht="18.75">
      <c r="A423" s="1"/>
      <c r="B423" s="1" t="s">
        <v>37133</v>
      </c>
      <c r="C423" s="1" t="s">
        <v>7</v>
      </c>
      <c r="D423" s="1" t="s">
        <v>10</v>
      </c>
      <c r="E423" s="1" t="s">
        <v>36395</v>
      </c>
      <c r="F423" s="1" t="s">
        <v>3617</v>
      </c>
      <c r="G423" s="1" t="s">
        <v>35607</v>
      </c>
      <c r="H423" s="1" t="s">
        <v>37063</v>
      </c>
      <c r="I423" s="1"/>
      <c r="J423" s="1"/>
      <c r="K423" s="1"/>
      <c r="L423" s="1"/>
      <c r="M423" s="1"/>
      <c r="N423" s="1"/>
      <c r="O423" s="1"/>
      <c r="P423" s="1"/>
      <c r="Q423" s="17"/>
    </row>
    <row x14ac:dyDescent="0.25" r="424" customHeight="1" ht="18.75">
      <c r="A424" s="1"/>
      <c r="B424" s="1" t="s">
        <v>37134</v>
      </c>
      <c r="C424" s="1" t="s">
        <v>7</v>
      </c>
      <c r="D424" s="1" t="s">
        <v>10</v>
      </c>
      <c r="E424" s="1" t="s">
        <v>37034</v>
      </c>
      <c r="F424" s="1" t="s">
        <v>3617</v>
      </c>
      <c r="G424" s="1" t="s">
        <v>37135</v>
      </c>
      <c r="H424" s="1" t="s">
        <v>37037</v>
      </c>
      <c r="I424" s="1"/>
      <c r="J424" s="1"/>
      <c r="K424" s="1"/>
      <c r="L424" s="1"/>
      <c r="M424" s="1"/>
      <c r="N424" s="1"/>
      <c r="O424" s="1"/>
      <c r="P424" s="1"/>
      <c r="Q424" s="17"/>
    </row>
    <row x14ac:dyDescent="0.25" r="425" customHeight="1" ht="18.75">
      <c r="A425" s="1"/>
      <c r="B425" s="1" t="s">
        <v>37134</v>
      </c>
      <c r="C425" s="1" t="s">
        <v>7</v>
      </c>
      <c r="D425" s="1" t="s">
        <v>10</v>
      </c>
      <c r="E425" s="1" t="s">
        <v>37034</v>
      </c>
      <c r="F425" s="1" t="s">
        <v>3617</v>
      </c>
      <c r="G425" s="1" t="s">
        <v>37136</v>
      </c>
      <c r="H425" s="1" t="s">
        <v>37037</v>
      </c>
      <c r="I425" s="1"/>
      <c r="J425" s="1"/>
      <c r="K425" s="1"/>
      <c r="L425" s="1"/>
      <c r="M425" s="1"/>
      <c r="N425" s="1"/>
      <c r="O425" s="1"/>
      <c r="P425" s="1"/>
      <c r="Q425" s="17"/>
    </row>
    <row x14ac:dyDescent="0.25" r="426" customHeight="1" ht="18.75">
      <c r="A426" s="1"/>
      <c r="B426" s="1" t="s">
        <v>37134</v>
      </c>
      <c r="C426" s="1" t="s">
        <v>7</v>
      </c>
      <c r="D426" s="1" t="s">
        <v>10</v>
      </c>
      <c r="E426" s="1" t="s">
        <v>37034</v>
      </c>
      <c r="F426" s="1" t="s">
        <v>3617</v>
      </c>
      <c r="G426" s="1" t="s">
        <v>37137</v>
      </c>
      <c r="H426" s="1" t="s">
        <v>37037</v>
      </c>
      <c r="I426" s="1"/>
      <c r="J426" s="1"/>
      <c r="K426" s="1"/>
      <c r="L426" s="1"/>
      <c r="M426" s="1"/>
      <c r="N426" s="1"/>
      <c r="O426" s="1"/>
      <c r="P426" s="1"/>
      <c r="Q426" s="17"/>
    </row>
    <row x14ac:dyDescent="0.25" r="427" customHeight="1" ht="18.75">
      <c r="A427" s="1"/>
      <c r="B427" s="1" t="s">
        <v>37134</v>
      </c>
      <c r="C427" s="1" t="s">
        <v>7</v>
      </c>
      <c r="D427" s="1" t="s">
        <v>10</v>
      </c>
      <c r="E427" s="1" t="s">
        <v>37034</v>
      </c>
      <c r="F427" s="1" t="s">
        <v>3617</v>
      </c>
      <c r="G427" s="1" t="s">
        <v>37138</v>
      </c>
      <c r="H427" s="1" t="s">
        <v>3610</v>
      </c>
      <c r="I427" s="1"/>
      <c r="J427" s="1"/>
      <c r="K427" s="1"/>
      <c r="L427" s="1"/>
      <c r="M427" s="1"/>
      <c r="N427" s="1"/>
      <c r="O427" s="1"/>
      <c r="P427" s="1"/>
      <c r="Q427" s="17"/>
    </row>
    <row x14ac:dyDescent="0.25" r="428" customHeight="1" ht="18.75">
      <c r="A428" s="1"/>
      <c r="B428" s="1" t="s">
        <v>37134</v>
      </c>
      <c r="C428" s="1" t="s">
        <v>7</v>
      </c>
      <c r="D428" s="1" t="s">
        <v>10</v>
      </c>
      <c r="E428" s="1" t="s">
        <v>37034</v>
      </c>
      <c r="F428" s="1" t="s">
        <v>3617</v>
      </c>
      <c r="G428" s="1" t="s">
        <v>37139</v>
      </c>
      <c r="H428" s="1" t="s">
        <v>3610</v>
      </c>
      <c r="I428" s="1"/>
      <c r="J428" s="1"/>
      <c r="K428" s="1"/>
      <c r="L428" s="1"/>
      <c r="M428" s="1"/>
      <c r="N428" s="1"/>
      <c r="O428" s="1"/>
      <c r="P428" s="1"/>
      <c r="Q428" s="17"/>
    </row>
    <row x14ac:dyDescent="0.25" r="429" customHeight="1" ht="18.75">
      <c r="A429" s="1"/>
      <c r="B429" s="1" t="s">
        <v>37134</v>
      </c>
      <c r="C429" s="1" t="s">
        <v>7</v>
      </c>
      <c r="D429" s="1" t="s">
        <v>10</v>
      </c>
      <c r="E429" s="1" t="s">
        <v>37034</v>
      </c>
      <c r="F429" s="1" t="s">
        <v>3617</v>
      </c>
      <c r="G429" s="1" t="s">
        <v>37140</v>
      </c>
      <c r="H429" s="1" t="s">
        <v>3610</v>
      </c>
      <c r="I429" s="1"/>
      <c r="J429" s="1"/>
      <c r="K429" s="1"/>
      <c r="L429" s="1"/>
      <c r="M429" s="1"/>
      <c r="N429" s="1"/>
      <c r="O429" s="1"/>
      <c r="P429" s="1"/>
      <c r="Q429" s="17"/>
    </row>
    <row x14ac:dyDescent="0.25" r="430" customHeight="1" ht="18.75">
      <c r="A430" s="1"/>
      <c r="B430" s="1" t="s">
        <v>37134</v>
      </c>
      <c r="C430" s="1" t="s">
        <v>7</v>
      </c>
      <c r="D430" s="1" t="s">
        <v>10</v>
      </c>
      <c r="E430" s="1" t="s">
        <v>37034</v>
      </c>
      <c r="F430" s="1" t="s">
        <v>3617</v>
      </c>
      <c r="G430" s="1" t="s">
        <v>37141</v>
      </c>
      <c r="H430" s="1" t="s">
        <v>3610</v>
      </c>
      <c r="I430" s="1"/>
      <c r="J430" s="1"/>
      <c r="K430" s="1"/>
      <c r="L430" s="1"/>
      <c r="M430" s="1"/>
      <c r="N430" s="1"/>
      <c r="O430" s="1"/>
      <c r="P430" s="1"/>
      <c r="Q430" s="17"/>
    </row>
    <row x14ac:dyDescent="0.25" r="431" customHeight="1" ht="18.75">
      <c r="A431" s="1"/>
      <c r="B431" s="1" t="s">
        <v>37126</v>
      </c>
      <c r="C431" s="1" t="s">
        <v>7</v>
      </c>
      <c r="D431" s="1" t="s">
        <v>10</v>
      </c>
      <c r="E431" s="1" t="s">
        <v>37034</v>
      </c>
      <c r="F431" s="1" t="s">
        <v>3617</v>
      </c>
      <c r="G431" s="1" t="s">
        <v>37142</v>
      </c>
      <c r="H431" s="1" t="s">
        <v>37057</v>
      </c>
      <c r="I431" s="1"/>
      <c r="J431" s="1"/>
      <c r="K431" s="1"/>
      <c r="L431" s="1"/>
      <c r="M431" s="1"/>
      <c r="N431" s="1"/>
      <c r="O431" s="1"/>
      <c r="P431" s="1"/>
      <c r="Q431" s="17"/>
    </row>
    <row x14ac:dyDescent="0.25" r="432" customHeight="1" ht="18.75">
      <c r="A432" s="1"/>
      <c r="B432" s="1" t="s">
        <v>37143</v>
      </c>
      <c r="C432" s="1" t="s">
        <v>7</v>
      </c>
      <c r="D432" s="1" t="s">
        <v>10</v>
      </c>
      <c r="E432" s="1" t="s">
        <v>36395</v>
      </c>
      <c r="F432" s="1" t="s">
        <v>3693</v>
      </c>
      <c r="G432" s="1" t="s">
        <v>35317</v>
      </c>
      <c r="H432" s="1" t="s">
        <v>7847</v>
      </c>
      <c r="I432" s="1"/>
      <c r="J432" s="1"/>
      <c r="K432" s="1"/>
      <c r="L432" s="1"/>
      <c r="M432" s="1"/>
      <c r="N432" s="1"/>
      <c r="O432" s="1"/>
      <c r="P432" s="1"/>
      <c r="Q432" s="17"/>
    </row>
    <row x14ac:dyDescent="0.25" r="433" customHeight="1" ht="18.75">
      <c r="A433" s="1"/>
      <c r="B433" s="1" t="s">
        <v>37143</v>
      </c>
      <c r="C433" s="1" t="s">
        <v>7</v>
      </c>
      <c r="D433" s="1" t="s">
        <v>10</v>
      </c>
      <c r="E433" s="1" t="s">
        <v>36395</v>
      </c>
      <c r="F433" s="1" t="s">
        <v>3693</v>
      </c>
      <c r="G433" s="1" t="s">
        <v>35321</v>
      </c>
      <c r="H433" s="1" t="s">
        <v>7847</v>
      </c>
      <c r="I433" s="1"/>
      <c r="J433" s="1"/>
      <c r="K433" s="1"/>
      <c r="L433" s="1"/>
      <c r="M433" s="1"/>
      <c r="N433" s="1"/>
      <c r="O433" s="1"/>
      <c r="P433" s="1"/>
      <c r="Q433" s="17"/>
    </row>
    <row x14ac:dyDescent="0.25" r="434" customHeight="1" ht="18.75">
      <c r="A434" s="1"/>
      <c r="B434" s="1" t="s">
        <v>37143</v>
      </c>
      <c r="C434" s="1" t="s">
        <v>7</v>
      </c>
      <c r="D434" s="1" t="s">
        <v>10</v>
      </c>
      <c r="E434" s="1" t="s">
        <v>37034</v>
      </c>
      <c r="F434" s="1" t="s">
        <v>3693</v>
      </c>
      <c r="G434" s="1" t="s">
        <v>37144</v>
      </c>
      <c r="H434" s="1" t="s">
        <v>3721</v>
      </c>
      <c r="I434" s="1"/>
      <c r="J434" s="1"/>
      <c r="K434" s="1"/>
      <c r="L434" s="1"/>
      <c r="M434" s="1"/>
      <c r="N434" s="1"/>
      <c r="O434" s="1"/>
      <c r="P434" s="1"/>
      <c r="Q434" s="17"/>
    </row>
    <row x14ac:dyDescent="0.25" r="435" customHeight="1" ht="18.75">
      <c r="A435" s="1"/>
      <c r="B435" s="1" t="s">
        <v>37143</v>
      </c>
      <c r="C435" s="1" t="s">
        <v>7</v>
      </c>
      <c r="D435" s="1" t="s">
        <v>10</v>
      </c>
      <c r="E435" s="1" t="s">
        <v>37034</v>
      </c>
      <c r="F435" s="1" t="s">
        <v>3693</v>
      </c>
      <c r="G435" s="1" t="s">
        <v>37145</v>
      </c>
      <c r="H435" s="1" t="s">
        <v>31555</v>
      </c>
      <c r="I435" s="1"/>
      <c r="J435" s="1"/>
      <c r="K435" s="1"/>
      <c r="L435" s="1"/>
      <c r="M435" s="1"/>
      <c r="N435" s="1"/>
      <c r="O435" s="1"/>
      <c r="P435" s="1"/>
      <c r="Q435" s="17"/>
    </row>
    <row x14ac:dyDescent="0.25" r="436" customHeight="1" ht="18.75">
      <c r="A436" s="1"/>
      <c r="B436" s="1" t="s">
        <v>37143</v>
      </c>
      <c r="C436" s="1" t="s">
        <v>7</v>
      </c>
      <c r="D436" s="1" t="s">
        <v>10</v>
      </c>
      <c r="E436" s="1" t="s">
        <v>37034</v>
      </c>
      <c r="F436" s="1" t="s">
        <v>3693</v>
      </c>
      <c r="G436" s="1" t="s">
        <v>37146</v>
      </c>
      <c r="H436" s="1" t="s">
        <v>533</v>
      </c>
      <c r="I436" s="1"/>
      <c r="J436" s="1"/>
      <c r="K436" s="1"/>
      <c r="L436" s="1"/>
      <c r="M436" s="1"/>
      <c r="N436" s="1"/>
      <c r="O436" s="1"/>
      <c r="P436" s="1"/>
      <c r="Q436" s="17"/>
    </row>
    <row x14ac:dyDescent="0.25" r="437" customHeight="1" ht="18.75">
      <c r="A437" s="1"/>
      <c r="B437" s="1" t="s">
        <v>37143</v>
      </c>
      <c r="C437" s="1" t="s">
        <v>7</v>
      </c>
      <c r="D437" s="1" t="s">
        <v>10</v>
      </c>
      <c r="E437" s="1" t="s">
        <v>37034</v>
      </c>
      <c r="F437" s="1" t="s">
        <v>3693</v>
      </c>
      <c r="G437" s="1" t="s">
        <v>37147</v>
      </c>
      <c r="H437" s="1" t="s">
        <v>37037</v>
      </c>
      <c r="I437" s="1"/>
      <c r="J437" s="1"/>
      <c r="K437" s="1"/>
      <c r="L437" s="1"/>
      <c r="M437" s="1"/>
      <c r="N437" s="1"/>
      <c r="O437" s="1"/>
      <c r="P437" s="1"/>
      <c r="Q437" s="17"/>
    </row>
    <row x14ac:dyDescent="0.25" r="438" customHeight="1" ht="18.75">
      <c r="A438" s="1"/>
      <c r="B438" s="1" t="s">
        <v>37143</v>
      </c>
      <c r="C438" s="1" t="s">
        <v>7</v>
      </c>
      <c r="D438" s="1" t="s">
        <v>10</v>
      </c>
      <c r="E438" s="1" t="s">
        <v>37034</v>
      </c>
      <c r="F438" s="1" t="s">
        <v>3693</v>
      </c>
      <c r="G438" s="1" t="s">
        <v>37148</v>
      </c>
      <c r="H438" s="1" t="s">
        <v>37037</v>
      </c>
      <c r="I438" s="1"/>
      <c r="J438" s="1"/>
      <c r="K438" s="1"/>
      <c r="L438" s="1"/>
      <c r="M438" s="1"/>
      <c r="N438" s="1"/>
      <c r="O438" s="1"/>
      <c r="P438" s="1"/>
      <c r="Q438" s="17"/>
    </row>
    <row x14ac:dyDescent="0.25" r="439" customHeight="1" ht="18.75">
      <c r="A439" s="1"/>
      <c r="B439" s="1" t="s">
        <v>37149</v>
      </c>
      <c r="C439" s="1" t="s">
        <v>7</v>
      </c>
      <c r="D439" s="1" t="s">
        <v>10</v>
      </c>
      <c r="E439" s="1" t="s">
        <v>36395</v>
      </c>
      <c r="F439" s="1" t="s">
        <v>3693</v>
      </c>
      <c r="G439" s="1" t="s">
        <v>35310</v>
      </c>
      <c r="H439" s="1" t="s">
        <v>7847</v>
      </c>
      <c r="I439" s="1"/>
      <c r="J439" s="1"/>
      <c r="K439" s="1"/>
      <c r="L439" s="1"/>
      <c r="M439" s="1"/>
      <c r="N439" s="1"/>
      <c r="O439" s="1"/>
      <c r="P439" s="1"/>
      <c r="Q439" s="17"/>
    </row>
    <row x14ac:dyDescent="0.25" r="440" customHeight="1" ht="18.75">
      <c r="A440" s="1"/>
      <c r="B440" s="1" t="s">
        <v>37149</v>
      </c>
      <c r="C440" s="1" t="s">
        <v>7</v>
      </c>
      <c r="D440" s="1" t="s">
        <v>10</v>
      </c>
      <c r="E440" s="1" t="s">
        <v>37034</v>
      </c>
      <c r="F440" s="1" t="s">
        <v>3693</v>
      </c>
      <c r="G440" s="1" t="s">
        <v>37150</v>
      </c>
      <c r="H440" s="1" t="s">
        <v>37037</v>
      </c>
      <c r="I440" s="1"/>
      <c r="J440" s="1"/>
      <c r="K440" s="1"/>
      <c r="L440" s="1"/>
      <c r="M440" s="1"/>
      <c r="N440" s="1"/>
      <c r="O440" s="1"/>
      <c r="P440" s="1"/>
      <c r="Q440" s="17"/>
    </row>
    <row x14ac:dyDescent="0.25" r="441" customHeight="1" ht="18.75">
      <c r="A441" s="1"/>
      <c r="B441" s="1" t="s">
        <v>37149</v>
      </c>
      <c r="C441" s="1" t="s">
        <v>7</v>
      </c>
      <c r="D441" s="1" t="s">
        <v>10</v>
      </c>
      <c r="E441" s="1" t="s">
        <v>37034</v>
      </c>
      <c r="F441" s="1" t="s">
        <v>3693</v>
      </c>
      <c r="G441" s="1" t="s">
        <v>37151</v>
      </c>
      <c r="H441" s="1" t="s">
        <v>37037</v>
      </c>
      <c r="I441" s="1"/>
      <c r="J441" s="1"/>
      <c r="K441" s="1"/>
      <c r="L441" s="1"/>
      <c r="M441" s="1"/>
      <c r="N441" s="1"/>
      <c r="O441" s="1"/>
      <c r="P441" s="1"/>
      <c r="Q441" s="17"/>
    </row>
    <row x14ac:dyDescent="0.25" r="442" customHeight="1" ht="18.75">
      <c r="A442" s="1"/>
      <c r="B442" s="1" t="s">
        <v>37149</v>
      </c>
      <c r="C442" s="1" t="s">
        <v>7</v>
      </c>
      <c r="D442" s="1" t="s">
        <v>10</v>
      </c>
      <c r="E442" s="1" t="s">
        <v>37034</v>
      </c>
      <c r="F442" s="1" t="s">
        <v>3693</v>
      </c>
      <c r="G442" s="1" t="s">
        <v>37152</v>
      </c>
      <c r="H442" s="1" t="s">
        <v>37037</v>
      </c>
      <c r="I442" s="1"/>
      <c r="J442" s="1"/>
      <c r="K442" s="1"/>
      <c r="L442" s="1"/>
      <c r="M442" s="1"/>
      <c r="N442" s="1"/>
      <c r="O442" s="1"/>
      <c r="P442" s="1"/>
      <c r="Q442" s="17"/>
    </row>
    <row x14ac:dyDescent="0.25" r="443" customHeight="1" ht="18.75">
      <c r="A443" s="1"/>
      <c r="B443" s="1" t="s">
        <v>37153</v>
      </c>
      <c r="C443" s="1" t="s">
        <v>7</v>
      </c>
      <c r="D443" s="1" t="s">
        <v>10</v>
      </c>
      <c r="E443" s="1" t="s">
        <v>36395</v>
      </c>
      <c r="F443" s="1" t="s">
        <v>3693</v>
      </c>
      <c r="G443" s="1" t="s">
        <v>35314</v>
      </c>
      <c r="H443" s="1" t="s">
        <v>37063</v>
      </c>
      <c r="I443" s="1"/>
      <c r="J443" s="1"/>
      <c r="K443" s="1"/>
      <c r="L443" s="1"/>
      <c r="M443" s="1"/>
      <c r="N443" s="1"/>
      <c r="O443" s="1"/>
      <c r="P443" s="1"/>
      <c r="Q443" s="17"/>
    </row>
    <row x14ac:dyDescent="0.25" r="444" customHeight="1" ht="18.75">
      <c r="A444" s="1"/>
      <c r="B444" s="1" t="s">
        <v>37149</v>
      </c>
      <c r="C444" s="1" t="s">
        <v>7</v>
      </c>
      <c r="D444" s="1" t="s">
        <v>10</v>
      </c>
      <c r="E444" s="1" t="s">
        <v>36395</v>
      </c>
      <c r="F444" s="1" t="s">
        <v>3693</v>
      </c>
      <c r="G444" s="1" t="s">
        <v>37154</v>
      </c>
      <c r="H444" s="1" t="s">
        <v>7847</v>
      </c>
      <c r="I444" s="1"/>
      <c r="J444" s="1"/>
      <c r="K444" s="1"/>
      <c r="L444" s="1"/>
      <c r="M444" s="1"/>
      <c r="N444" s="1"/>
      <c r="O444" s="1"/>
      <c r="P444" s="1"/>
      <c r="Q444" s="17"/>
    </row>
    <row x14ac:dyDescent="0.25" r="445" customHeight="1" ht="18.75">
      <c r="A445" s="1"/>
      <c r="B445" s="1" t="s">
        <v>37149</v>
      </c>
      <c r="C445" s="1" t="s">
        <v>7</v>
      </c>
      <c r="D445" s="1" t="s">
        <v>10</v>
      </c>
      <c r="E445" s="1" t="s">
        <v>37034</v>
      </c>
      <c r="F445" s="1" t="s">
        <v>3693</v>
      </c>
      <c r="G445" s="1" t="s">
        <v>37155</v>
      </c>
      <c r="H445" s="1" t="s">
        <v>37057</v>
      </c>
      <c r="I445" s="1"/>
      <c r="J445" s="1"/>
      <c r="K445" s="1"/>
      <c r="L445" s="1"/>
      <c r="M445" s="1"/>
      <c r="N445" s="1"/>
      <c r="O445" s="1"/>
      <c r="P445" s="1"/>
      <c r="Q445" s="17"/>
    </row>
    <row x14ac:dyDescent="0.25" r="446" customHeight="1" ht="18.75">
      <c r="A446" s="1"/>
      <c r="B446" s="1" t="s">
        <v>37153</v>
      </c>
      <c r="C446" s="1" t="s">
        <v>7</v>
      </c>
      <c r="D446" s="1" t="s">
        <v>10</v>
      </c>
      <c r="E446" s="1" t="s">
        <v>37034</v>
      </c>
      <c r="F446" s="1" t="s">
        <v>3693</v>
      </c>
      <c r="G446" s="1" t="s">
        <v>37156</v>
      </c>
      <c r="H446" s="1" t="s">
        <v>37057</v>
      </c>
      <c r="I446" s="1"/>
      <c r="J446" s="1"/>
      <c r="K446" s="1"/>
      <c r="L446" s="1"/>
      <c r="M446" s="1"/>
      <c r="N446" s="1"/>
      <c r="O446" s="1"/>
      <c r="P446" s="1"/>
      <c r="Q446" s="17"/>
    </row>
    <row x14ac:dyDescent="0.25" r="447" customHeight="1" ht="18.75">
      <c r="A447" s="1"/>
      <c r="B447" s="1" t="s">
        <v>37153</v>
      </c>
      <c r="C447" s="1" t="s">
        <v>7</v>
      </c>
      <c r="D447" s="1" t="s">
        <v>10</v>
      </c>
      <c r="E447" s="1" t="s">
        <v>37034</v>
      </c>
      <c r="F447" s="1" t="s">
        <v>3693</v>
      </c>
      <c r="G447" s="1" t="s">
        <v>37157</v>
      </c>
      <c r="H447" s="1" t="s">
        <v>37057</v>
      </c>
      <c r="I447" s="1"/>
      <c r="J447" s="1"/>
      <c r="K447" s="1"/>
      <c r="L447" s="1"/>
      <c r="M447" s="1"/>
      <c r="N447" s="1"/>
      <c r="O447" s="1"/>
      <c r="P447" s="1"/>
      <c r="Q447" s="17"/>
    </row>
    <row x14ac:dyDescent="0.25" r="448" customHeight="1" ht="18.75">
      <c r="A448" s="1"/>
      <c r="B448" s="1" t="s">
        <v>37153</v>
      </c>
      <c r="C448" s="1" t="s">
        <v>7</v>
      </c>
      <c r="D448" s="1" t="s">
        <v>10</v>
      </c>
      <c r="E448" s="1" t="s">
        <v>37034</v>
      </c>
      <c r="F448" s="1" t="s">
        <v>3693</v>
      </c>
      <c r="G448" s="1" t="s">
        <v>37158</v>
      </c>
      <c r="H448" s="1" t="s">
        <v>37057</v>
      </c>
      <c r="I448" s="1"/>
      <c r="J448" s="1"/>
      <c r="K448" s="1"/>
      <c r="L448" s="1"/>
      <c r="M448" s="1"/>
      <c r="N448" s="1"/>
      <c r="O448" s="1"/>
      <c r="P448" s="1"/>
      <c r="Q448" s="17"/>
    </row>
    <row x14ac:dyDescent="0.25" r="449" customHeight="1" ht="18.75">
      <c r="A449" s="1"/>
      <c r="B449" s="1" t="s">
        <v>37143</v>
      </c>
      <c r="C449" s="1" t="s">
        <v>7</v>
      </c>
      <c r="D449" s="1" t="s">
        <v>10</v>
      </c>
      <c r="E449" s="1" t="s">
        <v>37034</v>
      </c>
      <c r="F449" s="1" t="s">
        <v>3693</v>
      </c>
      <c r="G449" s="1" t="s">
        <v>37159</v>
      </c>
      <c r="H449" s="1" t="s">
        <v>37037</v>
      </c>
      <c r="I449" s="1"/>
      <c r="J449" s="1"/>
      <c r="K449" s="1"/>
      <c r="L449" s="1"/>
      <c r="M449" s="1"/>
      <c r="N449" s="1"/>
      <c r="O449" s="1"/>
      <c r="P449" s="1"/>
      <c r="Q449" s="17"/>
    </row>
    <row x14ac:dyDescent="0.25" r="450" customHeight="1" ht="18.75">
      <c r="A450" s="1"/>
      <c r="B450" s="1" t="s">
        <v>37143</v>
      </c>
      <c r="C450" s="1" t="s">
        <v>7</v>
      </c>
      <c r="D450" s="1" t="s">
        <v>10</v>
      </c>
      <c r="E450" s="1" t="s">
        <v>37034</v>
      </c>
      <c r="F450" s="1" t="s">
        <v>3693</v>
      </c>
      <c r="G450" s="1" t="s">
        <v>37160</v>
      </c>
      <c r="H450" s="1" t="s">
        <v>37057</v>
      </c>
      <c r="I450" s="1"/>
      <c r="J450" s="1"/>
      <c r="K450" s="1"/>
      <c r="L450" s="1"/>
      <c r="M450" s="1"/>
      <c r="N450" s="1"/>
      <c r="O450" s="1"/>
      <c r="P450" s="1"/>
      <c r="Q450" s="17"/>
    </row>
    <row x14ac:dyDescent="0.25" r="451" customHeight="1" ht="18.75">
      <c r="A451" s="1"/>
      <c r="B451" s="1" t="s">
        <v>37143</v>
      </c>
      <c r="C451" s="1" t="s">
        <v>7</v>
      </c>
      <c r="D451" s="1" t="s">
        <v>10</v>
      </c>
      <c r="E451" s="1" t="s">
        <v>37034</v>
      </c>
      <c r="F451" s="1" t="s">
        <v>3693</v>
      </c>
      <c r="G451" s="1" t="s">
        <v>37161</v>
      </c>
      <c r="H451" s="1" t="s">
        <v>37057</v>
      </c>
      <c r="I451" s="1"/>
      <c r="J451" s="1"/>
      <c r="K451" s="1"/>
      <c r="L451" s="1"/>
      <c r="M451" s="1"/>
      <c r="N451" s="1"/>
      <c r="O451" s="1"/>
      <c r="P451" s="1"/>
      <c r="Q451" s="17"/>
    </row>
    <row x14ac:dyDescent="0.25" r="452" customHeight="1" ht="18.75">
      <c r="A452" s="1"/>
      <c r="B452" s="1" t="s">
        <v>37143</v>
      </c>
      <c r="C452" s="1" t="s">
        <v>7</v>
      </c>
      <c r="D452" s="1" t="s">
        <v>10</v>
      </c>
      <c r="E452" s="1" t="s">
        <v>37034</v>
      </c>
      <c r="F452" s="1" t="s">
        <v>3693</v>
      </c>
      <c r="G452" s="1" t="s">
        <v>37162</v>
      </c>
      <c r="H452" s="1" t="s">
        <v>3695</v>
      </c>
      <c r="I452" s="1"/>
      <c r="J452" s="1"/>
      <c r="K452" s="1"/>
      <c r="L452" s="1"/>
      <c r="M452" s="1"/>
      <c r="N452" s="1"/>
      <c r="O452" s="1"/>
      <c r="P452" s="1"/>
      <c r="Q452" s="17"/>
    </row>
    <row x14ac:dyDescent="0.25" r="453" customHeight="1" ht="18.75">
      <c r="A453" s="1"/>
      <c r="B453" s="1" t="s">
        <v>37143</v>
      </c>
      <c r="C453" s="1" t="s">
        <v>7</v>
      </c>
      <c r="D453" s="1" t="s">
        <v>10</v>
      </c>
      <c r="E453" s="1" t="s">
        <v>37034</v>
      </c>
      <c r="F453" s="1" t="s">
        <v>3693</v>
      </c>
      <c r="G453" s="1" t="s">
        <v>37163</v>
      </c>
      <c r="H453" s="1" t="s">
        <v>3695</v>
      </c>
      <c r="I453" s="1"/>
      <c r="J453" s="1"/>
      <c r="K453" s="1"/>
      <c r="L453" s="1"/>
      <c r="M453" s="1"/>
      <c r="N453" s="1"/>
      <c r="O453" s="1"/>
      <c r="P453" s="1"/>
      <c r="Q453" s="17"/>
    </row>
    <row x14ac:dyDescent="0.25" r="454" customHeight="1" ht="18.75">
      <c r="A454" s="1"/>
      <c r="B454" s="1" t="s">
        <v>37143</v>
      </c>
      <c r="C454" s="1" t="s">
        <v>7</v>
      </c>
      <c r="D454" s="1" t="s">
        <v>10</v>
      </c>
      <c r="E454" s="1" t="s">
        <v>37034</v>
      </c>
      <c r="F454" s="1" t="s">
        <v>3693</v>
      </c>
      <c r="G454" s="1" t="s">
        <v>37164</v>
      </c>
      <c r="H454" s="1" t="s">
        <v>3695</v>
      </c>
      <c r="I454" s="1"/>
      <c r="J454" s="1"/>
      <c r="K454" s="1"/>
      <c r="L454" s="1"/>
      <c r="M454" s="1"/>
      <c r="N454" s="1"/>
      <c r="O454" s="1"/>
      <c r="P454" s="1"/>
      <c r="Q454" s="17"/>
    </row>
    <row x14ac:dyDescent="0.25" r="455" customHeight="1" ht="18.75">
      <c r="A455" s="1"/>
      <c r="B455" s="1" t="s">
        <v>37143</v>
      </c>
      <c r="C455" s="1" t="s">
        <v>7</v>
      </c>
      <c r="D455" s="1" t="s">
        <v>10</v>
      </c>
      <c r="E455" s="1" t="s">
        <v>37034</v>
      </c>
      <c r="F455" s="1" t="s">
        <v>3693</v>
      </c>
      <c r="G455" s="1" t="s">
        <v>37165</v>
      </c>
      <c r="H455" s="1" t="s">
        <v>7891</v>
      </c>
      <c r="I455" s="1"/>
      <c r="J455" s="1"/>
      <c r="K455" s="1"/>
      <c r="L455" s="1"/>
      <c r="M455" s="1"/>
      <c r="N455" s="1"/>
      <c r="O455" s="1"/>
      <c r="P455" s="1"/>
      <c r="Q455" s="17"/>
    </row>
    <row x14ac:dyDescent="0.25" r="456" customHeight="1" ht="18.75">
      <c r="A456" s="1"/>
      <c r="B456" s="1" t="s">
        <v>37143</v>
      </c>
      <c r="C456" s="1" t="s">
        <v>7</v>
      </c>
      <c r="D456" s="1" t="s">
        <v>10</v>
      </c>
      <c r="E456" s="1" t="s">
        <v>37034</v>
      </c>
      <c r="F456" s="1" t="s">
        <v>3693</v>
      </c>
      <c r="G456" s="1" t="s">
        <v>37166</v>
      </c>
      <c r="H456" s="1" t="s">
        <v>7891</v>
      </c>
      <c r="I456" s="1"/>
      <c r="J456" s="1"/>
      <c r="K456" s="1"/>
      <c r="L456" s="1"/>
      <c r="M456" s="1"/>
      <c r="N456" s="1"/>
      <c r="O456" s="1"/>
      <c r="P456" s="1"/>
      <c r="Q456" s="17"/>
    </row>
    <row x14ac:dyDescent="0.25" r="457" customHeight="1" ht="18.75">
      <c r="A457" s="1"/>
      <c r="B457" s="1" t="s">
        <v>37143</v>
      </c>
      <c r="C457" s="1" t="s">
        <v>7</v>
      </c>
      <c r="D457" s="1" t="s">
        <v>10</v>
      </c>
      <c r="E457" s="1" t="s">
        <v>37034</v>
      </c>
      <c r="F457" s="1" t="s">
        <v>3693</v>
      </c>
      <c r="G457" s="1" t="s">
        <v>37167</v>
      </c>
      <c r="H457" s="1" t="s">
        <v>7891</v>
      </c>
      <c r="I457" s="1"/>
      <c r="J457" s="1"/>
      <c r="K457" s="1"/>
      <c r="L457" s="1"/>
      <c r="M457" s="1"/>
      <c r="N457" s="1"/>
      <c r="O457" s="1"/>
      <c r="P457" s="1"/>
      <c r="Q457" s="17"/>
    </row>
    <row x14ac:dyDescent="0.25" r="458" customHeight="1" ht="18.75">
      <c r="A458" s="1"/>
      <c r="B458" s="1" t="s">
        <v>37143</v>
      </c>
      <c r="C458" s="1" t="s">
        <v>7</v>
      </c>
      <c r="D458" s="1" t="s">
        <v>10</v>
      </c>
      <c r="E458" s="1" t="s">
        <v>37034</v>
      </c>
      <c r="F458" s="1" t="s">
        <v>3693</v>
      </c>
      <c r="G458" s="1" t="s">
        <v>37168</v>
      </c>
      <c r="H458" s="1" t="s">
        <v>37057</v>
      </c>
      <c r="I458" s="1"/>
      <c r="J458" s="1"/>
      <c r="K458" s="1"/>
      <c r="L458" s="1"/>
      <c r="M458" s="1"/>
      <c r="N458" s="1"/>
      <c r="O458" s="1"/>
      <c r="P458" s="1"/>
      <c r="Q458" s="17"/>
    </row>
    <row x14ac:dyDescent="0.25" r="459" customHeight="1" ht="18.75">
      <c r="A459" s="1"/>
      <c r="B459" s="1" t="s">
        <v>37143</v>
      </c>
      <c r="C459" s="1" t="s">
        <v>7</v>
      </c>
      <c r="D459" s="1" t="s">
        <v>10</v>
      </c>
      <c r="E459" s="1" t="s">
        <v>37034</v>
      </c>
      <c r="F459" s="1" t="s">
        <v>3693</v>
      </c>
      <c r="G459" s="1" t="s">
        <v>37169</v>
      </c>
      <c r="H459" s="1" t="s">
        <v>37057</v>
      </c>
      <c r="I459" s="1"/>
      <c r="J459" s="1"/>
      <c r="K459" s="1"/>
      <c r="L459" s="1"/>
      <c r="M459" s="1"/>
      <c r="N459" s="1"/>
      <c r="O459" s="1"/>
      <c r="P459" s="1"/>
      <c r="Q459" s="17"/>
    </row>
    <row x14ac:dyDescent="0.25" r="460" customHeight="1" ht="18.75">
      <c r="A460" s="1"/>
      <c r="B460" s="1" t="s">
        <v>37170</v>
      </c>
      <c r="C460" s="1" t="s">
        <v>7</v>
      </c>
      <c r="D460" s="1" t="s">
        <v>10</v>
      </c>
      <c r="E460" s="1" t="s">
        <v>37034</v>
      </c>
      <c r="F460" s="1" t="s">
        <v>3617</v>
      </c>
      <c r="G460" s="1" t="s">
        <v>37171</v>
      </c>
      <c r="H460" s="1" t="s">
        <v>37057</v>
      </c>
      <c r="I460" s="1"/>
      <c r="J460" s="1"/>
      <c r="K460" s="1"/>
      <c r="L460" s="1"/>
      <c r="M460" s="1"/>
      <c r="N460" s="1"/>
      <c r="O460" s="1"/>
      <c r="P460" s="1"/>
      <c r="Q460" s="17"/>
    </row>
    <row x14ac:dyDescent="0.25" r="461" customHeight="1" ht="18.75">
      <c r="A461" s="1"/>
      <c r="B461" s="1" t="s">
        <v>37170</v>
      </c>
      <c r="C461" s="1" t="s">
        <v>7</v>
      </c>
      <c r="D461" s="1" t="s">
        <v>10</v>
      </c>
      <c r="E461" s="1" t="s">
        <v>37034</v>
      </c>
      <c r="F461" s="1" t="s">
        <v>3617</v>
      </c>
      <c r="G461" s="1" t="s">
        <v>37172</v>
      </c>
      <c r="H461" s="1" t="s">
        <v>37057</v>
      </c>
      <c r="I461" s="1"/>
      <c r="J461" s="1"/>
      <c r="K461" s="1"/>
      <c r="L461" s="1"/>
      <c r="M461" s="1"/>
      <c r="N461" s="1"/>
      <c r="O461" s="1"/>
      <c r="P461" s="1"/>
      <c r="Q461" s="17"/>
    </row>
    <row x14ac:dyDescent="0.25" r="462" customHeight="1" ht="18.75">
      <c r="A462" s="1"/>
      <c r="B462" s="1" t="s">
        <v>37170</v>
      </c>
      <c r="C462" s="1" t="s">
        <v>7</v>
      </c>
      <c r="D462" s="1" t="s">
        <v>10</v>
      </c>
      <c r="E462" s="1" t="s">
        <v>37034</v>
      </c>
      <c r="F462" s="1" t="s">
        <v>3617</v>
      </c>
      <c r="G462" s="1" t="s">
        <v>37173</v>
      </c>
      <c r="H462" s="1" t="s">
        <v>37057</v>
      </c>
      <c r="I462" s="1"/>
      <c r="J462" s="1"/>
      <c r="K462" s="1"/>
      <c r="L462" s="1"/>
      <c r="M462" s="1"/>
      <c r="N462" s="1"/>
      <c r="O462" s="1"/>
      <c r="P462" s="1"/>
      <c r="Q462" s="17"/>
    </row>
    <row x14ac:dyDescent="0.25" r="463" customHeight="1" ht="18.75">
      <c r="A463" s="1"/>
      <c r="B463" s="1" t="s">
        <v>37170</v>
      </c>
      <c r="C463" s="1" t="s">
        <v>7</v>
      </c>
      <c r="D463" s="1" t="s">
        <v>10</v>
      </c>
      <c r="E463" s="1" t="s">
        <v>37034</v>
      </c>
      <c r="F463" s="1" t="s">
        <v>3617</v>
      </c>
      <c r="G463" s="1" t="s">
        <v>37174</v>
      </c>
      <c r="H463" s="1" t="s">
        <v>37057</v>
      </c>
      <c r="I463" s="1"/>
      <c r="J463" s="1"/>
      <c r="K463" s="1"/>
      <c r="L463" s="1"/>
      <c r="M463" s="1"/>
      <c r="N463" s="1"/>
      <c r="O463" s="1"/>
      <c r="P463" s="1"/>
      <c r="Q463" s="17"/>
    </row>
    <row x14ac:dyDescent="0.25" r="464" customHeight="1" ht="18.75">
      <c r="A464" s="1"/>
      <c r="B464" s="1" t="s">
        <v>37170</v>
      </c>
      <c r="C464" s="1" t="s">
        <v>7</v>
      </c>
      <c r="D464" s="1" t="s">
        <v>10</v>
      </c>
      <c r="E464" s="1" t="s">
        <v>37034</v>
      </c>
      <c r="F464" s="1" t="s">
        <v>3617</v>
      </c>
      <c r="G464" s="1" t="s">
        <v>37175</v>
      </c>
      <c r="H464" s="1" t="s">
        <v>37057</v>
      </c>
      <c r="I464" s="1"/>
      <c r="J464" s="1"/>
      <c r="K464" s="1"/>
      <c r="L464" s="1"/>
      <c r="M464" s="1"/>
      <c r="N464" s="1"/>
      <c r="O464" s="1"/>
      <c r="P464" s="1"/>
      <c r="Q464" s="17"/>
    </row>
    <row x14ac:dyDescent="0.25" r="465" customHeight="1" ht="18.75">
      <c r="A465" s="1"/>
      <c r="B465" s="1" t="s">
        <v>37170</v>
      </c>
      <c r="C465" s="1" t="s">
        <v>7</v>
      </c>
      <c r="D465" s="1" t="s">
        <v>10</v>
      </c>
      <c r="E465" s="1" t="s">
        <v>37034</v>
      </c>
      <c r="F465" s="1" t="s">
        <v>3617</v>
      </c>
      <c r="G465" s="1" t="s">
        <v>37176</v>
      </c>
      <c r="H465" s="1" t="s">
        <v>37057</v>
      </c>
      <c r="I465" s="1"/>
      <c r="J465" s="1"/>
      <c r="K465" s="1"/>
      <c r="L465" s="1"/>
      <c r="M465" s="1"/>
      <c r="N465" s="1"/>
      <c r="O465" s="1"/>
      <c r="P465" s="1"/>
      <c r="Q465" s="17"/>
    </row>
    <row x14ac:dyDescent="0.25" r="466" customHeight="1" ht="18.75">
      <c r="A466" s="1"/>
      <c r="B466" s="1" t="s">
        <v>37170</v>
      </c>
      <c r="C466" s="1" t="s">
        <v>7</v>
      </c>
      <c r="D466" s="1" t="s">
        <v>10</v>
      </c>
      <c r="E466" s="1" t="s">
        <v>37034</v>
      </c>
      <c r="F466" s="1" t="s">
        <v>3617</v>
      </c>
      <c r="G466" s="1" t="s">
        <v>37177</v>
      </c>
      <c r="H466" s="1" t="s">
        <v>37057</v>
      </c>
      <c r="I466" s="1"/>
      <c r="J466" s="1"/>
      <c r="K466" s="1"/>
      <c r="L466" s="1"/>
      <c r="M466" s="1"/>
      <c r="N466" s="1"/>
      <c r="O466" s="1"/>
      <c r="P466" s="1"/>
      <c r="Q466" s="17"/>
    </row>
    <row x14ac:dyDescent="0.25" r="467" customHeight="1" ht="18.75">
      <c r="A467" s="1"/>
      <c r="B467" s="1" t="s">
        <v>37170</v>
      </c>
      <c r="C467" s="1" t="s">
        <v>7</v>
      </c>
      <c r="D467" s="1" t="s">
        <v>10</v>
      </c>
      <c r="E467" s="1" t="s">
        <v>37034</v>
      </c>
      <c r="F467" s="1" t="s">
        <v>3617</v>
      </c>
      <c r="G467" s="1" t="s">
        <v>37178</v>
      </c>
      <c r="H467" s="1" t="s">
        <v>37057</v>
      </c>
      <c r="I467" s="1"/>
      <c r="J467" s="1"/>
      <c r="K467" s="1"/>
      <c r="L467" s="1"/>
      <c r="M467" s="1"/>
      <c r="N467" s="1"/>
      <c r="O467" s="1"/>
      <c r="P467" s="1"/>
      <c r="Q467" s="17"/>
    </row>
    <row x14ac:dyDescent="0.25" r="468" customHeight="1" ht="18.75">
      <c r="A468" s="1"/>
      <c r="B468" s="1" t="s">
        <v>37170</v>
      </c>
      <c r="C468" s="1" t="s">
        <v>7</v>
      </c>
      <c r="D468" s="1" t="s">
        <v>10</v>
      </c>
      <c r="E468" s="1" t="s">
        <v>37034</v>
      </c>
      <c r="F468" s="1" t="s">
        <v>3617</v>
      </c>
      <c r="G468" s="1" t="s">
        <v>37179</v>
      </c>
      <c r="H468" s="1" t="s">
        <v>37057</v>
      </c>
      <c r="I468" s="1"/>
      <c r="J468" s="1"/>
      <c r="K468" s="1"/>
      <c r="L468" s="1"/>
      <c r="M468" s="1"/>
      <c r="N468" s="1"/>
      <c r="O468" s="1"/>
      <c r="P468" s="1"/>
      <c r="Q468" s="17"/>
    </row>
    <row x14ac:dyDescent="0.25" r="469" customHeight="1" ht="18.75">
      <c r="A469" s="1"/>
      <c r="B469" s="1" t="s">
        <v>37170</v>
      </c>
      <c r="C469" s="1" t="s">
        <v>7</v>
      </c>
      <c r="D469" s="1" t="s">
        <v>10</v>
      </c>
      <c r="E469" s="1" t="s">
        <v>37034</v>
      </c>
      <c r="F469" s="1" t="s">
        <v>3617</v>
      </c>
      <c r="G469" s="1" t="s">
        <v>37180</v>
      </c>
      <c r="H469" s="1" t="s">
        <v>37057</v>
      </c>
      <c r="I469" s="1"/>
      <c r="J469" s="1"/>
      <c r="K469" s="1"/>
      <c r="L469" s="1"/>
      <c r="M469" s="1"/>
      <c r="N469" s="1"/>
      <c r="O469" s="1"/>
      <c r="P469" s="1"/>
      <c r="Q469" s="17"/>
    </row>
    <row x14ac:dyDescent="0.25" r="470" customHeight="1" ht="18.75">
      <c r="A470" s="1"/>
      <c r="B470" s="1" t="s">
        <v>37170</v>
      </c>
      <c r="C470" s="1" t="s">
        <v>7</v>
      </c>
      <c r="D470" s="1" t="s">
        <v>10</v>
      </c>
      <c r="E470" s="1" t="s">
        <v>37034</v>
      </c>
      <c r="F470" s="1" t="s">
        <v>3617</v>
      </c>
      <c r="G470" s="1" t="s">
        <v>37181</v>
      </c>
      <c r="H470" s="1" t="s">
        <v>37057</v>
      </c>
      <c r="I470" s="1"/>
      <c r="J470" s="1"/>
      <c r="K470" s="1"/>
      <c r="L470" s="1"/>
      <c r="M470" s="1"/>
      <c r="N470" s="1"/>
      <c r="O470" s="1"/>
      <c r="P470" s="1"/>
      <c r="Q470" s="17"/>
    </row>
    <row x14ac:dyDescent="0.25" r="471" customHeight="1" ht="18.75">
      <c r="A471" s="1"/>
      <c r="B471" s="1" t="s">
        <v>37170</v>
      </c>
      <c r="C471" s="1" t="s">
        <v>7</v>
      </c>
      <c r="D471" s="1" t="s">
        <v>10</v>
      </c>
      <c r="E471" s="1" t="s">
        <v>37034</v>
      </c>
      <c r="F471" s="1" t="s">
        <v>3617</v>
      </c>
      <c r="G471" s="1" t="s">
        <v>37182</v>
      </c>
      <c r="H471" s="1" t="s">
        <v>37057</v>
      </c>
      <c r="I471" s="1"/>
      <c r="J471" s="1"/>
      <c r="K471" s="1"/>
      <c r="L471" s="1"/>
      <c r="M471" s="1"/>
      <c r="N471" s="1"/>
      <c r="O471" s="1"/>
      <c r="P471" s="1"/>
      <c r="Q471" s="17"/>
    </row>
    <row x14ac:dyDescent="0.25" r="472" customHeight="1" ht="18.75">
      <c r="A472" s="1"/>
      <c r="B472" s="1" t="s">
        <v>37170</v>
      </c>
      <c r="C472" s="1" t="s">
        <v>7</v>
      </c>
      <c r="D472" s="1" t="s">
        <v>10</v>
      </c>
      <c r="E472" s="1" t="s">
        <v>37034</v>
      </c>
      <c r="F472" s="1" t="s">
        <v>3617</v>
      </c>
      <c r="G472" s="1" t="s">
        <v>37183</v>
      </c>
      <c r="H472" s="1" t="s">
        <v>37057</v>
      </c>
      <c r="I472" s="1"/>
      <c r="J472" s="1"/>
      <c r="K472" s="1"/>
      <c r="L472" s="1"/>
      <c r="M472" s="1"/>
      <c r="N472" s="1"/>
      <c r="O472" s="1"/>
      <c r="P472" s="1"/>
      <c r="Q472" s="17"/>
    </row>
    <row x14ac:dyDescent="0.25" r="473" customHeight="1" ht="18.75">
      <c r="A473" s="1"/>
      <c r="B473" s="1" t="s">
        <v>37184</v>
      </c>
      <c r="C473" s="1" t="s">
        <v>7</v>
      </c>
      <c r="D473" s="1" t="s">
        <v>10</v>
      </c>
      <c r="E473" s="1" t="s">
        <v>36395</v>
      </c>
      <c r="F473" s="1" t="s">
        <v>7833</v>
      </c>
      <c r="G473" s="1" t="s">
        <v>35206</v>
      </c>
      <c r="H473" s="1" t="s">
        <v>37107</v>
      </c>
      <c r="I473" s="1"/>
      <c r="J473" s="1"/>
      <c r="K473" s="1"/>
      <c r="L473" s="1"/>
      <c r="M473" s="1"/>
      <c r="N473" s="1"/>
      <c r="O473" s="1"/>
      <c r="P473" s="1"/>
      <c r="Q473" s="17"/>
    </row>
    <row x14ac:dyDescent="0.25" r="474" customHeight="1" ht="18.75">
      <c r="A474" s="1"/>
      <c r="B474" s="1" t="s">
        <v>37184</v>
      </c>
      <c r="C474" s="1" t="s">
        <v>7</v>
      </c>
      <c r="D474" s="1" t="s">
        <v>10</v>
      </c>
      <c r="E474" s="1" t="s">
        <v>36395</v>
      </c>
      <c r="F474" s="1" t="s">
        <v>7833</v>
      </c>
      <c r="G474" s="1" t="s">
        <v>35210</v>
      </c>
      <c r="H474" s="1" t="s">
        <v>37107</v>
      </c>
      <c r="I474" s="1"/>
      <c r="J474" s="1"/>
      <c r="K474" s="1"/>
      <c r="L474" s="1"/>
      <c r="M474" s="1"/>
      <c r="N474" s="1"/>
      <c r="O474" s="1"/>
      <c r="P474" s="1"/>
      <c r="Q474" s="17"/>
    </row>
    <row x14ac:dyDescent="0.25" r="475" customHeight="1" ht="18.75">
      <c r="A475" s="1"/>
      <c r="B475" s="1" t="s">
        <v>37184</v>
      </c>
      <c r="C475" s="1" t="s">
        <v>7</v>
      </c>
      <c r="D475" s="1" t="s">
        <v>10</v>
      </c>
      <c r="E475" s="1" t="s">
        <v>36395</v>
      </c>
      <c r="F475" s="1" t="s">
        <v>7833</v>
      </c>
      <c r="G475" s="1" t="s">
        <v>35213</v>
      </c>
      <c r="H475" s="1" t="s">
        <v>37107</v>
      </c>
      <c r="I475" s="1"/>
      <c r="J475" s="1"/>
      <c r="K475" s="1"/>
      <c r="L475" s="1"/>
      <c r="M475" s="1"/>
      <c r="N475" s="1"/>
      <c r="O475" s="1"/>
      <c r="P475" s="1"/>
      <c r="Q475" s="17"/>
    </row>
    <row x14ac:dyDescent="0.25" r="476" customHeight="1" ht="18.75">
      <c r="A476" s="1"/>
      <c r="B476" s="1" t="s">
        <v>37184</v>
      </c>
      <c r="C476" s="1" t="s">
        <v>7</v>
      </c>
      <c r="D476" s="1" t="s">
        <v>10</v>
      </c>
      <c r="E476" s="1" t="s">
        <v>36395</v>
      </c>
      <c r="F476" s="1" t="s">
        <v>7833</v>
      </c>
      <c r="G476" s="1" t="s">
        <v>35216</v>
      </c>
      <c r="H476" s="1" t="s">
        <v>37107</v>
      </c>
      <c r="I476" s="1"/>
      <c r="J476" s="1"/>
      <c r="K476" s="1"/>
      <c r="L476" s="1"/>
      <c r="M476" s="1"/>
      <c r="N476" s="1"/>
      <c r="O476" s="1"/>
      <c r="P476" s="1"/>
      <c r="Q476" s="17"/>
    </row>
    <row x14ac:dyDescent="0.25" r="477" customHeight="1" ht="18.75">
      <c r="A477" s="1"/>
      <c r="B477" s="1" t="s">
        <v>37185</v>
      </c>
      <c r="C477" s="1" t="s">
        <v>7</v>
      </c>
      <c r="D477" s="1" t="s">
        <v>10</v>
      </c>
      <c r="E477" s="1" t="s">
        <v>36395</v>
      </c>
      <c r="F477" s="1" t="s">
        <v>7833</v>
      </c>
      <c r="G477" s="1" t="s">
        <v>35199</v>
      </c>
      <c r="H477" s="1" t="s">
        <v>7847</v>
      </c>
      <c r="I477" s="1"/>
      <c r="J477" s="1"/>
      <c r="K477" s="1"/>
      <c r="L477" s="1"/>
      <c r="M477" s="1"/>
      <c r="N477" s="1"/>
      <c r="O477" s="1"/>
      <c r="P477" s="1"/>
      <c r="Q477" s="17"/>
    </row>
    <row x14ac:dyDescent="0.25" r="478" customHeight="1" ht="18.75">
      <c r="A478" s="1"/>
      <c r="B478" s="1" t="s">
        <v>37185</v>
      </c>
      <c r="C478" s="1" t="s">
        <v>7</v>
      </c>
      <c r="D478" s="1" t="s">
        <v>10</v>
      </c>
      <c r="E478" s="1" t="s">
        <v>36395</v>
      </c>
      <c r="F478" s="1" t="s">
        <v>7833</v>
      </c>
      <c r="G478" s="1" t="s">
        <v>35203</v>
      </c>
      <c r="H478" s="1" t="s">
        <v>7847</v>
      </c>
      <c r="I478" s="1"/>
      <c r="J478" s="1"/>
      <c r="K478" s="1"/>
      <c r="L478" s="1"/>
      <c r="M478" s="1"/>
      <c r="N478" s="1"/>
      <c r="O478" s="1"/>
      <c r="P478" s="1"/>
      <c r="Q478" s="17"/>
    </row>
    <row x14ac:dyDescent="0.25" r="479" customHeight="1" ht="18.75">
      <c r="A479" s="1"/>
      <c r="B479" s="1" t="s">
        <v>37185</v>
      </c>
      <c r="C479" s="1" t="s">
        <v>7</v>
      </c>
      <c r="D479" s="1" t="s">
        <v>10</v>
      </c>
      <c r="E479" s="1" t="s">
        <v>37034</v>
      </c>
      <c r="F479" s="1" t="s">
        <v>7833</v>
      </c>
      <c r="G479" s="1" t="s">
        <v>37186</v>
      </c>
      <c r="H479" s="1" t="s">
        <v>3695</v>
      </c>
      <c r="I479" s="1"/>
      <c r="J479" s="1"/>
      <c r="K479" s="1"/>
      <c r="L479" s="1"/>
      <c r="M479" s="1"/>
      <c r="N479" s="1"/>
      <c r="O479" s="1"/>
      <c r="P479" s="1"/>
      <c r="Q479" s="17"/>
    </row>
    <row x14ac:dyDescent="0.25" r="480" customHeight="1" ht="18.75">
      <c r="A480" s="1"/>
      <c r="B480" s="1" t="s">
        <v>37185</v>
      </c>
      <c r="C480" s="1" t="s">
        <v>7</v>
      </c>
      <c r="D480" s="1" t="s">
        <v>10</v>
      </c>
      <c r="E480" s="1" t="s">
        <v>37034</v>
      </c>
      <c r="F480" s="1" t="s">
        <v>7833</v>
      </c>
      <c r="G480" s="1" t="s">
        <v>37187</v>
      </c>
      <c r="H480" s="1" t="s">
        <v>3695</v>
      </c>
      <c r="I480" s="1"/>
      <c r="J480" s="1"/>
      <c r="K480" s="1"/>
      <c r="L480" s="1"/>
      <c r="M480" s="1"/>
      <c r="N480" s="1"/>
      <c r="O480" s="1"/>
      <c r="P480" s="1"/>
      <c r="Q480" s="17"/>
    </row>
    <row x14ac:dyDescent="0.25" r="481" customHeight="1" ht="18.75">
      <c r="A481" s="1"/>
      <c r="B481" s="1" t="s">
        <v>37184</v>
      </c>
      <c r="C481" s="1" t="s">
        <v>7</v>
      </c>
      <c r="D481" s="1" t="s">
        <v>10</v>
      </c>
      <c r="E481" s="1" t="s">
        <v>37034</v>
      </c>
      <c r="F481" s="1" t="s">
        <v>7833</v>
      </c>
      <c r="G481" s="1" t="s">
        <v>37188</v>
      </c>
      <c r="H481" s="1" t="s">
        <v>37037</v>
      </c>
      <c r="I481" s="1"/>
      <c r="J481" s="1"/>
      <c r="K481" s="1"/>
      <c r="L481" s="1"/>
      <c r="M481" s="1"/>
      <c r="N481" s="1"/>
      <c r="O481" s="1"/>
      <c r="P481" s="1"/>
      <c r="Q481" s="17"/>
    </row>
    <row x14ac:dyDescent="0.25" r="482" customHeight="1" ht="18.75">
      <c r="A482" s="1"/>
      <c r="B482" s="1" t="s">
        <v>37189</v>
      </c>
      <c r="C482" s="1" t="s">
        <v>7</v>
      </c>
      <c r="D482" s="1" t="s">
        <v>10</v>
      </c>
      <c r="E482" s="1" t="s">
        <v>36395</v>
      </c>
      <c r="F482" s="1" t="s">
        <v>3693</v>
      </c>
      <c r="G482" s="1" t="s">
        <v>35346</v>
      </c>
      <c r="H482" s="1" t="s">
        <v>37190</v>
      </c>
      <c r="I482" s="1"/>
      <c r="J482" s="1"/>
      <c r="K482" s="1"/>
      <c r="L482" s="1"/>
      <c r="M482" s="1"/>
      <c r="N482" s="1"/>
      <c r="O482" s="1"/>
      <c r="P482" s="1"/>
      <c r="Q482" s="17"/>
    </row>
    <row x14ac:dyDescent="0.25" r="483" customHeight="1" ht="18.75">
      <c r="A483" s="1"/>
      <c r="B483" s="1" t="s">
        <v>37189</v>
      </c>
      <c r="C483" s="1" t="s">
        <v>7</v>
      </c>
      <c r="D483" s="1" t="s">
        <v>10</v>
      </c>
      <c r="E483" s="1" t="s">
        <v>37034</v>
      </c>
      <c r="F483" s="1" t="s">
        <v>3693</v>
      </c>
      <c r="G483" s="1" t="s">
        <v>37191</v>
      </c>
      <c r="H483" s="1" t="s">
        <v>3695</v>
      </c>
      <c r="I483" s="1"/>
      <c r="J483" s="1"/>
      <c r="K483" s="1"/>
      <c r="L483" s="1"/>
      <c r="M483" s="1"/>
      <c r="N483" s="1"/>
      <c r="O483" s="1"/>
      <c r="P483" s="1"/>
      <c r="Q483" s="17"/>
    </row>
    <row x14ac:dyDescent="0.25" r="484" customHeight="1" ht="18.75">
      <c r="A484" s="1"/>
      <c r="B484" s="1" t="s">
        <v>37189</v>
      </c>
      <c r="C484" s="1" t="s">
        <v>7</v>
      </c>
      <c r="D484" s="1" t="s">
        <v>10</v>
      </c>
      <c r="E484" s="1" t="s">
        <v>37034</v>
      </c>
      <c r="F484" s="1" t="s">
        <v>3693</v>
      </c>
      <c r="G484" s="1" t="s">
        <v>37192</v>
      </c>
      <c r="H484" s="1" t="s">
        <v>3695</v>
      </c>
      <c r="I484" s="1"/>
      <c r="J484" s="1"/>
      <c r="K484" s="1"/>
      <c r="L484" s="1"/>
      <c r="M484" s="1"/>
      <c r="N484" s="1"/>
      <c r="O484" s="1"/>
      <c r="P484" s="1"/>
      <c r="Q484" s="17"/>
    </row>
    <row x14ac:dyDescent="0.25" r="485" customHeight="1" ht="18.75">
      <c r="A485" s="1"/>
      <c r="B485" s="1" t="s">
        <v>37189</v>
      </c>
      <c r="C485" s="1" t="s">
        <v>7</v>
      </c>
      <c r="D485" s="1" t="s">
        <v>10</v>
      </c>
      <c r="E485" s="1" t="s">
        <v>37034</v>
      </c>
      <c r="F485" s="1" t="s">
        <v>3693</v>
      </c>
      <c r="G485" s="1" t="s">
        <v>37193</v>
      </c>
      <c r="H485" s="1" t="s">
        <v>3695</v>
      </c>
      <c r="I485" s="1"/>
      <c r="J485" s="1"/>
      <c r="K485" s="1"/>
      <c r="L485" s="1"/>
      <c r="M485" s="1"/>
      <c r="N485" s="1"/>
      <c r="O485" s="1"/>
      <c r="P485" s="1"/>
      <c r="Q485" s="17"/>
    </row>
    <row x14ac:dyDescent="0.25" r="486" customHeight="1" ht="18.75">
      <c r="A486" s="1"/>
      <c r="B486" s="1" t="s">
        <v>37189</v>
      </c>
      <c r="C486" s="1" t="s">
        <v>7</v>
      </c>
      <c r="D486" s="1" t="s">
        <v>10</v>
      </c>
      <c r="E486" s="1" t="s">
        <v>37034</v>
      </c>
      <c r="F486" s="1" t="s">
        <v>3693</v>
      </c>
      <c r="G486" s="1" t="s">
        <v>37194</v>
      </c>
      <c r="H486" s="1" t="s">
        <v>3695</v>
      </c>
      <c r="I486" s="1"/>
      <c r="J486" s="1"/>
      <c r="K486" s="1"/>
      <c r="L486" s="1"/>
      <c r="M486" s="1"/>
      <c r="N486" s="1"/>
      <c r="O486" s="1"/>
      <c r="P486" s="1"/>
      <c r="Q486" s="17"/>
    </row>
    <row x14ac:dyDescent="0.25" r="487" customHeight="1" ht="18.75">
      <c r="A487" s="1"/>
      <c r="B487" s="1" t="s">
        <v>37189</v>
      </c>
      <c r="C487" s="1" t="s">
        <v>7</v>
      </c>
      <c r="D487" s="1" t="s">
        <v>10</v>
      </c>
      <c r="E487" s="1" t="s">
        <v>37034</v>
      </c>
      <c r="F487" s="1" t="s">
        <v>3693</v>
      </c>
      <c r="G487" s="1" t="s">
        <v>37195</v>
      </c>
      <c r="H487" s="1" t="s">
        <v>37057</v>
      </c>
      <c r="I487" s="1"/>
      <c r="J487" s="1"/>
      <c r="K487" s="1"/>
      <c r="L487" s="1"/>
      <c r="M487" s="1"/>
      <c r="N487" s="1"/>
      <c r="O487" s="1"/>
      <c r="P487" s="1"/>
      <c r="Q487" s="17"/>
    </row>
    <row x14ac:dyDescent="0.25" r="488" customHeight="1" ht="18.75">
      <c r="A488" s="1"/>
      <c r="B488" s="1" t="s">
        <v>37196</v>
      </c>
      <c r="C488" s="1" t="s">
        <v>7</v>
      </c>
      <c r="D488" s="1" t="s">
        <v>10</v>
      </c>
      <c r="E488" s="1" t="s">
        <v>36395</v>
      </c>
      <c r="F488" s="1" t="s">
        <v>3693</v>
      </c>
      <c r="G488" s="1" t="s">
        <v>35350</v>
      </c>
      <c r="H488" s="1" t="s">
        <v>37190</v>
      </c>
      <c r="I488" s="1"/>
      <c r="J488" s="1"/>
      <c r="K488" s="1"/>
      <c r="L488" s="1"/>
      <c r="M488" s="1"/>
      <c r="N488" s="1"/>
      <c r="O488" s="1"/>
      <c r="P488" s="1"/>
      <c r="Q488" s="17"/>
    </row>
    <row x14ac:dyDescent="0.25" r="489" customHeight="1" ht="18.75">
      <c r="A489" s="1"/>
      <c r="B489" s="1" t="s">
        <v>37196</v>
      </c>
      <c r="C489" s="1" t="s">
        <v>7</v>
      </c>
      <c r="D489" s="1" t="s">
        <v>10</v>
      </c>
      <c r="E489" s="1" t="s">
        <v>37034</v>
      </c>
      <c r="F489" s="1" t="s">
        <v>3693</v>
      </c>
      <c r="G489" s="1" t="s">
        <v>37197</v>
      </c>
      <c r="H489" s="1" t="s">
        <v>3695</v>
      </c>
      <c r="I489" s="1"/>
      <c r="J489" s="1"/>
      <c r="K489" s="1"/>
      <c r="L489" s="1"/>
      <c r="M489" s="1"/>
      <c r="N489" s="1"/>
      <c r="O489" s="1"/>
      <c r="P489" s="1"/>
      <c r="Q489" s="17"/>
    </row>
    <row x14ac:dyDescent="0.25" r="490" customHeight="1" ht="18.75">
      <c r="A490" s="1"/>
      <c r="B490" s="1" t="s">
        <v>37198</v>
      </c>
      <c r="C490" s="1" t="s">
        <v>7</v>
      </c>
      <c r="D490" s="1" t="s">
        <v>10</v>
      </c>
      <c r="E490" s="1" t="s">
        <v>36395</v>
      </c>
      <c r="F490" s="1" t="s">
        <v>3693</v>
      </c>
      <c r="G490" s="1" t="s">
        <v>35354</v>
      </c>
      <c r="H490" s="1" t="s">
        <v>37190</v>
      </c>
      <c r="I490" s="1"/>
      <c r="J490" s="1"/>
      <c r="K490" s="1"/>
      <c r="L490" s="1"/>
      <c r="M490" s="1"/>
      <c r="N490" s="1"/>
      <c r="O490" s="1"/>
      <c r="P490" s="1"/>
      <c r="Q490" s="17"/>
    </row>
    <row x14ac:dyDescent="0.25" r="491" customHeight="1" ht="18.75">
      <c r="A491" s="1"/>
      <c r="B491" s="1" t="s">
        <v>37198</v>
      </c>
      <c r="C491" s="1" t="s">
        <v>7</v>
      </c>
      <c r="D491" s="1" t="s">
        <v>10</v>
      </c>
      <c r="E491" s="1" t="s">
        <v>37034</v>
      </c>
      <c r="F491" s="1" t="s">
        <v>3693</v>
      </c>
      <c r="G491" s="1" t="s">
        <v>37199</v>
      </c>
      <c r="H491" s="1" t="s">
        <v>3695</v>
      </c>
      <c r="I491" s="1"/>
      <c r="J491" s="1"/>
      <c r="K491" s="1"/>
      <c r="L491" s="1"/>
      <c r="M491" s="1"/>
      <c r="N491" s="1"/>
      <c r="O491" s="1"/>
      <c r="P491" s="1"/>
      <c r="Q491" s="17"/>
    </row>
    <row x14ac:dyDescent="0.25" r="492" customHeight="1" ht="18.75">
      <c r="A492" s="1"/>
      <c r="B492" s="1" t="s">
        <v>37200</v>
      </c>
      <c r="C492" s="1" t="s">
        <v>7</v>
      </c>
      <c r="D492" s="1" t="s">
        <v>10</v>
      </c>
      <c r="E492" s="1" t="s">
        <v>36395</v>
      </c>
      <c r="F492" s="1" t="s">
        <v>3693</v>
      </c>
      <c r="G492" s="1" t="s">
        <v>35358</v>
      </c>
      <c r="H492" s="1" t="s">
        <v>37190</v>
      </c>
      <c r="I492" s="1"/>
      <c r="J492" s="1"/>
      <c r="K492" s="1"/>
      <c r="L492" s="1"/>
      <c r="M492" s="1"/>
      <c r="N492" s="1"/>
      <c r="O492" s="1"/>
      <c r="P492" s="1"/>
      <c r="Q492" s="17"/>
    </row>
    <row x14ac:dyDescent="0.25" r="493" customHeight="1" ht="18.75">
      <c r="A493" s="1"/>
      <c r="B493" s="1" t="s">
        <v>37200</v>
      </c>
      <c r="C493" s="1" t="s">
        <v>7</v>
      </c>
      <c r="D493" s="1" t="s">
        <v>10</v>
      </c>
      <c r="E493" s="1" t="s">
        <v>37034</v>
      </c>
      <c r="F493" s="1" t="s">
        <v>3693</v>
      </c>
      <c r="G493" s="1" t="s">
        <v>37201</v>
      </c>
      <c r="H493" s="1" t="s">
        <v>3695</v>
      </c>
      <c r="I493" s="1"/>
      <c r="J493" s="1"/>
      <c r="K493" s="1"/>
      <c r="L493" s="1"/>
      <c r="M493" s="1"/>
      <c r="N493" s="1"/>
      <c r="O493" s="1"/>
      <c r="P493" s="1"/>
      <c r="Q493" s="17"/>
    </row>
    <row x14ac:dyDescent="0.25" r="494" customHeight="1" ht="18.75">
      <c r="A494" s="1"/>
      <c r="B494" s="1" t="s">
        <v>37200</v>
      </c>
      <c r="C494" s="1" t="s">
        <v>7</v>
      </c>
      <c r="D494" s="1" t="s">
        <v>10</v>
      </c>
      <c r="E494" s="1" t="s">
        <v>37034</v>
      </c>
      <c r="F494" s="1" t="s">
        <v>3693</v>
      </c>
      <c r="G494" s="1" t="s">
        <v>37202</v>
      </c>
      <c r="H494" s="1" t="s">
        <v>3695</v>
      </c>
      <c r="I494" s="1"/>
      <c r="J494" s="1"/>
      <c r="K494" s="1"/>
      <c r="L494" s="1"/>
      <c r="M494" s="1"/>
      <c r="N494" s="1"/>
      <c r="O494" s="1"/>
      <c r="P494" s="1"/>
      <c r="Q494" s="17"/>
    </row>
    <row x14ac:dyDescent="0.25" r="495" customHeight="1" ht="18.75">
      <c r="A495" s="1"/>
      <c r="B495" s="1" t="s">
        <v>37200</v>
      </c>
      <c r="C495" s="1" t="s">
        <v>7</v>
      </c>
      <c r="D495" s="1" t="s">
        <v>10</v>
      </c>
      <c r="E495" s="1" t="s">
        <v>37034</v>
      </c>
      <c r="F495" s="1" t="s">
        <v>3693</v>
      </c>
      <c r="G495" s="1" t="s">
        <v>37203</v>
      </c>
      <c r="H495" s="1" t="s">
        <v>3695</v>
      </c>
      <c r="I495" s="1"/>
      <c r="J495" s="1"/>
      <c r="K495" s="1"/>
      <c r="L495" s="1"/>
      <c r="M495" s="1"/>
      <c r="N495" s="1"/>
      <c r="O495" s="1"/>
      <c r="P495" s="1"/>
      <c r="Q495" s="17"/>
    </row>
    <row x14ac:dyDescent="0.25" r="496" customHeight="1" ht="18.75">
      <c r="A496" s="1"/>
      <c r="B496" s="1" t="s">
        <v>37200</v>
      </c>
      <c r="C496" s="1" t="s">
        <v>7</v>
      </c>
      <c r="D496" s="1" t="s">
        <v>10</v>
      </c>
      <c r="E496" s="1" t="s">
        <v>37034</v>
      </c>
      <c r="F496" s="1" t="s">
        <v>3693</v>
      </c>
      <c r="G496" s="1" t="s">
        <v>37204</v>
      </c>
      <c r="H496" s="1" t="s">
        <v>3695</v>
      </c>
      <c r="I496" s="1"/>
      <c r="J496" s="1"/>
      <c r="K496" s="1"/>
      <c r="L496" s="1"/>
      <c r="M496" s="1"/>
      <c r="N496" s="1"/>
      <c r="O496" s="1"/>
      <c r="P496" s="1"/>
      <c r="Q496" s="17"/>
    </row>
    <row x14ac:dyDescent="0.25" r="497" customHeight="1" ht="18.75">
      <c r="A497" s="1"/>
      <c r="B497" s="1" t="s">
        <v>37200</v>
      </c>
      <c r="C497" s="1" t="s">
        <v>7</v>
      </c>
      <c r="D497" s="1" t="s">
        <v>10</v>
      </c>
      <c r="E497" s="1" t="s">
        <v>37034</v>
      </c>
      <c r="F497" s="1" t="s">
        <v>3693</v>
      </c>
      <c r="G497" s="1" t="s">
        <v>37205</v>
      </c>
      <c r="H497" s="1" t="s">
        <v>37057</v>
      </c>
      <c r="I497" s="1"/>
      <c r="J497" s="1"/>
      <c r="K497" s="1"/>
      <c r="L497" s="1"/>
      <c r="M497" s="1"/>
      <c r="N497" s="1"/>
      <c r="O497" s="1"/>
      <c r="P497" s="1"/>
      <c r="Q497" s="17"/>
    </row>
    <row x14ac:dyDescent="0.25" r="498" customHeight="1" ht="18.75">
      <c r="A498" s="1"/>
      <c r="B498" s="1" t="s">
        <v>37206</v>
      </c>
      <c r="C498" s="1" t="s">
        <v>7</v>
      </c>
      <c r="D498" s="1" t="s">
        <v>10</v>
      </c>
      <c r="E498" s="1" t="s">
        <v>36395</v>
      </c>
      <c r="F498" s="1" t="s">
        <v>3693</v>
      </c>
      <c r="G498" s="1" t="s">
        <v>35362</v>
      </c>
      <c r="H498" s="1" t="s">
        <v>37190</v>
      </c>
      <c r="I498" s="1"/>
      <c r="J498" s="1"/>
      <c r="K498" s="1"/>
      <c r="L498" s="1"/>
      <c r="M498" s="1"/>
      <c r="N498" s="1"/>
      <c r="O498" s="1"/>
      <c r="P498" s="1"/>
      <c r="Q498" s="17"/>
    </row>
    <row x14ac:dyDescent="0.25" r="499" customHeight="1" ht="18.75">
      <c r="A499" s="1"/>
      <c r="B499" s="1" t="s">
        <v>37206</v>
      </c>
      <c r="C499" s="1" t="s">
        <v>7</v>
      </c>
      <c r="D499" s="1" t="s">
        <v>10</v>
      </c>
      <c r="E499" s="1" t="s">
        <v>37034</v>
      </c>
      <c r="F499" s="1" t="s">
        <v>3693</v>
      </c>
      <c r="G499" s="1" t="s">
        <v>37207</v>
      </c>
      <c r="H499" s="1" t="s">
        <v>3695</v>
      </c>
      <c r="I499" s="1"/>
      <c r="J499" s="1"/>
      <c r="K499" s="1"/>
      <c r="L499" s="1"/>
      <c r="M499" s="1"/>
      <c r="N499" s="1"/>
      <c r="O499" s="1"/>
      <c r="P499" s="1"/>
      <c r="Q499" s="17"/>
    </row>
    <row x14ac:dyDescent="0.25" r="500" customHeight="1" ht="18.75">
      <c r="A500" s="1"/>
      <c r="B500" s="1" t="s">
        <v>37208</v>
      </c>
      <c r="C500" s="1" t="s">
        <v>7</v>
      </c>
      <c r="D500" s="1" t="s">
        <v>10</v>
      </c>
      <c r="E500" s="1" t="s">
        <v>36395</v>
      </c>
      <c r="F500" s="1" t="s">
        <v>3693</v>
      </c>
      <c r="G500" s="1" t="s">
        <v>35366</v>
      </c>
      <c r="H500" s="1" t="s">
        <v>37190</v>
      </c>
      <c r="I500" s="1"/>
      <c r="J500" s="1"/>
      <c r="K500" s="1"/>
      <c r="L500" s="1"/>
      <c r="M500" s="1"/>
      <c r="N500" s="1"/>
      <c r="O500" s="1"/>
      <c r="P500" s="1"/>
      <c r="Q500" s="17"/>
    </row>
    <row x14ac:dyDescent="0.25" r="501" customHeight="1" ht="18.75">
      <c r="A501" s="1"/>
      <c r="B501" s="1" t="s">
        <v>37208</v>
      </c>
      <c r="C501" s="1" t="s">
        <v>7</v>
      </c>
      <c r="D501" s="1" t="s">
        <v>10</v>
      </c>
      <c r="E501" s="1" t="s">
        <v>37034</v>
      </c>
      <c r="F501" s="1" t="s">
        <v>3693</v>
      </c>
      <c r="G501" s="1" t="s">
        <v>37209</v>
      </c>
      <c r="H501" s="1" t="s">
        <v>3695</v>
      </c>
      <c r="I501" s="1"/>
      <c r="J501" s="1"/>
      <c r="K501" s="1"/>
      <c r="L501" s="1"/>
      <c r="M501" s="1"/>
      <c r="N501" s="1"/>
      <c r="O501" s="1"/>
      <c r="P501" s="1"/>
      <c r="Q501" s="17"/>
    </row>
    <row x14ac:dyDescent="0.25" r="502" customHeight="1" ht="18.75">
      <c r="A502" s="1"/>
      <c r="B502" s="1" t="s">
        <v>37208</v>
      </c>
      <c r="C502" s="1" t="s">
        <v>7</v>
      </c>
      <c r="D502" s="1" t="s">
        <v>10</v>
      </c>
      <c r="E502" s="1" t="s">
        <v>37034</v>
      </c>
      <c r="F502" s="1" t="s">
        <v>3693</v>
      </c>
      <c r="G502" s="1" t="s">
        <v>37210</v>
      </c>
      <c r="H502" s="1" t="s">
        <v>3695</v>
      </c>
      <c r="I502" s="1"/>
      <c r="J502" s="1"/>
      <c r="K502" s="1"/>
      <c r="L502" s="1"/>
      <c r="M502" s="1"/>
      <c r="N502" s="1"/>
      <c r="O502" s="1"/>
      <c r="P502" s="1"/>
      <c r="Q502" s="17"/>
    </row>
    <row x14ac:dyDescent="0.25" r="503" customHeight="1" ht="18.75">
      <c r="A503" s="1"/>
      <c r="B503" s="1" t="s">
        <v>37208</v>
      </c>
      <c r="C503" s="1" t="s">
        <v>7</v>
      </c>
      <c r="D503" s="1" t="s">
        <v>10</v>
      </c>
      <c r="E503" s="1" t="s">
        <v>37034</v>
      </c>
      <c r="F503" s="1" t="s">
        <v>3693</v>
      </c>
      <c r="G503" s="1" t="s">
        <v>37211</v>
      </c>
      <c r="H503" s="1" t="s">
        <v>3695</v>
      </c>
      <c r="I503" s="1"/>
      <c r="J503" s="1"/>
      <c r="K503" s="1"/>
      <c r="L503" s="1"/>
      <c r="M503" s="1"/>
      <c r="N503" s="1"/>
      <c r="O503" s="1"/>
      <c r="P503" s="1"/>
      <c r="Q503" s="17"/>
    </row>
    <row x14ac:dyDescent="0.25" r="504" customHeight="1" ht="18.75">
      <c r="A504" s="1"/>
      <c r="B504" s="1" t="s">
        <v>37208</v>
      </c>
      <c r="C504" s="1" t="s">
        <v>7</v>
      </c>
      <c r="D504" s="1" t="s">
        <v>10</v>
      </c>
      <c r="E504" s="1" t="s">
        <v>37034</v>
      </c>
      <c r="F504" s="1" t="s">
        <v>3693</v>
      </c>
      <c r="G504" s="1" t="s">
        <v>37212</v>
      </c>
      <c r="H504" s="1" t="s">
        <v>3695</v>
      </c>
      <c r="I504" s="1"/>
      <c r="J504" s="1"/>
      <c r="K504" s="1"/>
      <c r="L504" s="1"/>
      <c r="M504" s="1"/>
      <c r="N504" s="1"/>
      <c r="O504" s="1"/>
      <c r="P504" s="1"/>
      <c r="Q504" s="17"/>
    </row>
    <row x14ac:dyDescent="0.25" r="505" customHeight="1" ht="18.75">
      <c r="A505" s="1"/>
      <c r="B505" s="1" t="s">
        <v>37208</v>
      </c>
      <c r="C505" s="1" t="s">
        <v>7</v>
      </c>
      <c r="D505" s="1" t="s">
        <v>10</v>
      </c>
      <c r="E505" s="1" t="s">
        <v>37034</v>
      </c>
      <c r="F505" s="1" t="s">
        <v>3693</v>
      </c>
      <c r="G505" s="1" t="s">
        <v>37213</v>
      </c>
      <c r="H505" s="1" t="s">
        <v>37057</v>
      </c>
      <c r="I505" s="1"/>
      <c r="J505" s="1"/>
      <c r="K505" s="1"/>
      <c r="L505" s="1"/>
      <c r="M505" s="1"/>
      <c r="N505" s="1"/>
      <c r="O505" s="1"/>
      <c r="P505" s="1"/>
      <c r="Q505" s="17"/>
    </row>
    <row x14ac:dyDescent="0.25" r="506" customHeight="1" ht="18.75">
      <c r="A506" s="1"/>
      <c r="B506" s="1" t="s">
        <v>37214</v>
      </c>
      <c r="C506" s="1" t="s">
        <v>7</v>
      </c>
      <c r="D506" s="1" t="s">
        <v>10</v>
      </c>
      <c r="E506" s="1" t="s">
        <v>36395</v>
      </c>
      <c r="F506" s="1" t="s">
        <v>3693</v>
      </c>
      <c r="G506" s="1" t="s">
        <v>35370</v>
      </c>
      <c r="H506" s="1" t="s">
        <v>37190</v>
      </c>
      <c r="I506" s="1"/>
      <c r="J506" s="1"/>
      <c r="K506" s="1"/>
      <c r="L506" s="1"/>
      <c r="M506" s="1"/>
      <c r="N506" s="1"/>
      <c r="O506" s="1"/>
      <c r="P506" s="1"/>
      <c r="Q506" s="17"/>
    </row>
    <row x14ac:dyDescent="0.25" r="507" customHeight="1" ht="18.75">
      <c r="A507" s="1"/>
      <c r="B507" s="1" t="s">
        <v>37214</v>
      </c>
      <c r="C507" s="1" t="s">
        <v>7</v>
      </c>
      <c r="D507" s="1" t="s">
        <v>10</v>
      </c>
      <c r="E507" s="1" t="s">
        <v>37034</v>
      </c>
      <c r="F507" s="1" t="s">
        <v>3693</v>
      </c>
      <c r="G507" s="1" t="s">
        <v>37215</v>
      </c>
      <c r="H507" s="1" t="s">
        <v>3695</v>
      </c>
      <c r="I507" s="1"/>
      <c r="J507" s="1"/>
      <c r="K507" s="1"/>
      <c r="L507" s="1"/>
      <c r="M507" s="1"/>
      <c r="N507" s="1"/>
      <c r="O507" s="1"/>
      <c r="P507" s="1"/>
      <c r="Q507" s="17"/>
    </row>
    <row x14ac:dyDescent="0.25" r="508" customHeight="1" ht="18.75">
      <c r="A508" s="1"/>
      <c r="B508" s="1" t="s">
        <v>37216</v>
      </c>
      <c r="C508" s="1" t="s">
        <v>7</v>
      </c>
      <c r="D508" s="1" t="s">
        <v>10</v>
      </c>
      <c r="E508" s="1" t="s">
        <v>36395</v>
      </c>
      <c r="F508" s="1" t="s">
        <v>3693</v>
      </c>
      <c r="G508" s="1" t="s">
        <v>35374</v>
      </c>
      <c r="H508" s="1" t="s">
        <v>37190</v>
      </c>
      <c r="I508" s="1"/>
      <c r="J508" s="1"/>
      <c r="K508" s="1"/>
      <c r="L508" s="1"/>
      <c r="M508" s="1"/>
      <c r="N508" s="1"/>
      <c r="O508" s="1"/>
      <c r="P508" s="1"/>
      <c r="Q508" s="17"/>
    </row>
    <row x14ac:dyDescent="0.25" r="509" customHeight="1" ht="18.75">
      <c r="A509" s="1"/>
      <c r="B509" s="1" t="s">
        <v>37216</v>
      </c>
      <c r="C509" s="1" t="s">
        <v>7</v>
      </c>
      <c r="D509" s="1" t="s">
        <v>10</v>
      </c>
      <c r="E509" s="1" t="s">
        <v>37034</v>
      </c>
      <c r="F509" s="1" t="s">
        <v>3693</v>
      </c>
      <c r="G509" s="1" t="s">
        <v>37217</v>
      </c>
      <c r="H509" s="1" t="s">
        <v>3695</v>
      </c>
      <c r="I509" s="1"/>
      <c r="J509" s="1"/>
      <c r="K509" s="1"/>
      <c r="L509" s="1"/>
      <c r="M509" s="1"/>
      <c r="N509" s="1"/>
      <c r="O509" s="1"/>
      <c r="P509" s="1"/>
      <c r="Q509" s="17"/>
    </row>
    <row x14ac:dyDescent="0.25" r="510" customHeight="1" ht="18.75">
      <c r="A510" s="1"/>
      <c r="B510" s="1" t="s">
        <v>37218</v>
      </c>
      <c r="C510" s="1" t="s">
        <v>7</v>
      </c>
      <c r="D510" s="1" t="s">
        <v>10</v>
      </c>
      <c r="E510" s="1" t="s">
        <v>36395</v>
      </c>
      <c r="F510" s="1" t="s">
        <v>3693</v>
      </c>
      <c r="G510" s="1" t="s">
        <v>35378</v>
      </c>
      <c r="H510" s="1" t="s">
        <v>37190</v>
      </c>
      <c r="I510" s="1"/>
      <c r="J510" s="1"/>
      <c r="K510" s="1"/>
      <c r="L510" s="1"/>
      <c r="M510" s="1"/>
      <c r="N510" s="1"/>
      <c r="O510" s="1"/>
      <c r="P510" s="1"/>
      <c r="Q510" s="17"/>
    </row>
    <row x14ac:dyDescent="0.25" r="511" customHeight="1" ht="18.75">
      <c r="A511" s="1"/>
      <c r="B511" s="1" t="s">
        <v>37218</v>
      </c>
      <c r="C511" s="1" t="s">
        <v>7</v>
      </c>
      <c r="D511" s="1" t="s">
        <v>10</v>
      </c>
      <c r="E511" s="1" t="s">
        <v>37034</v>
      </c>
      <c r="F511" s="1" t="s">
        <v>3693</v>
      </c>
      <c r="G511" s="1" t="s">
        <v>37219</v>
      </c>
      <c r="H511" s="1" t="s">
        <v>3695</v>
      </c>
      <c r="I511" s="1"/>
      <c r="J511" s="1"/>
      <c r="K511" s="1"/>
      <c r="L511" s="1"/>
      <c r="M511" s="1"/>
      <c r="N511" s="1"/>
      <c r="O511" s="1"/>
      <c r="P511" s="1"/>
      <c r="Q511" s="17"/>
    </row>
    <row x14ac:dyDescent="0.25" r="512" customHeight="1" ht="18.75">
      <c r="A512" s="1"/>
      <c r="B512" s="1" t="s">
        <v>37218</v>
      </c>
      <c r="C512" s="1" t="s">
        <v>7</v>
      </c>
      <c r="D512" s="1" t="s">
        <v>10</v>
      </c>
      <c r="E512" s="1" t="s">
        <v>37034</v>
      </c>
      <c r="F512" s="1" t="s">
        <v>3693</v>
      </c>
      <c r="G512" s="1" t="s">
        <v>37220</v>
      </c>
      <c r="H512" s="1" t="s">
        <v>3695</v>
      </c>
      <c r="I512" s="1"/>
      <c r="J512" s="1"/>
      <c r="K512" s="1"/>
      <c r="L512" s="1"/>
      <c r="M512" s="1"/>
      <c r="N512" s="1"/>
      <c r="O512" s="1"/>
      <c r="P512" s="1"/>
      <c r="Q512" s="17"/>
    </row>
    <row x14ac:dyDescent="0.25" r="513" customHeight="1" ht="18.75">
      <c r="A513" s="1"/>
      <c r="B513" s="1" t="s">
        <v>37218</v>
      </c>
      <c r="C513" s="1" t="s">
        <v>7</v>
      </c>
      <c r="D513" s="1" t="s">
        <v>10</v>
      </c>
      <c r="E513" s="1" t="s">
        <v>37034</v>
      </c>
      <c r="F513" s="1" t="s">
        <v>3693</v>
      </c>
      <c r="G513" s="1" t="s">
        <v>37221</v>
      </c>
      <c r="H513" s="1" t="s">
        <v>3695</v>
      </c>
      <c r="I513" s="1"/>
      <c r="J513" s="1"/>
      <c r="K513" s="1"/>
      <c r="L513" s="1"/>
      <c r="M513" s="1"/>
      <c r="N513" s="1"/>
      <c r="O513" s="1"/>
      <c r="P513" s="1"/>
      <c r="Q513" s="17"/>
    </row>
    <row x14ac:dyDescent="0.25" r="514" customHeight="1" ht="18.75">
      <c r="A514" s="1"/>
      <c r="B514" s="1" t="s">
        <v>37218</v>
      </c>
      <c r="C514" s="1" t="s">
        <v>7</v>
      </c>
      <c r="D514" s="1" t="s">
        <v>10</v>
      </c>
      <c r="E514" s="1" t="s">
        <v>37034</v>
      </c>
      <c r="F514" s="1" t="s">
        <v>3693</v>
      </c>
      <c r="G514" s="1" t="s">
        <v>37222</v>
      </c>
      <c r="H514" s="1" t="s">
        <v>3695</v>
      </c>
      <c r="I514" s="1"/>
      <c r="J514" s="1"/>
      <c r="K514" s="1"/>
      <c r="L514" s="1"/>
      <c r="M514" s="1"/>
      <c r="N514" s="1"/>
      <c r="O514" s="1"/>
      <c r="P514" s="1"/>
      <c r="Q514" s="17"/>
    </row>
    <row x14ac:dyDescent="0.25" r="515" customHeight="1" ht="18.75">
      <c r="A515" s="1"/>
      <c r="B515" s="1" t="s">
        <v>37218</v>
      </c>
      <c r="C515" s="1" t="s">
        <v>7</v>
      </c>
      <c r="D515" s="1" t="s">
        <v>10</v>
      </c>
      <c r="E515" s="1" t="s">
        <v>37034</v>
      </c>
      <c r="F515" s="1" t="s">
        <v>3693</v>
      </c>
      <c r="G515" s="1" t="s">
        <v>37223</v>
      </c>
      <c r="H515" s="1" t="s">
        <v>37057</v>
      </c>
      <c r="I515" s="1"/>
      <c r="J515" s="1"/>
      <c r="K515" s="1"/>
      <c r="L515" s="1"/>
      <c r="M515" s="1"/>
      <c r="N515" s="1"/>
      <c r="O515" s="1"/>
      <c r="P515" s="1"/>
      <c r="Q515" s="17"/>
    </row>
    <row x14ac:dyDescent="0.25" r="516" customHeight="1" ht="18.75">
      <c r="A516" s="1"/>
      <c r="B516" s="1" t="s">
        <v>37224</v>
      </c>
      <c r="C516" s="1" t="s">
        <v>7</v>
      </c>
      <c r="D516" s="1" t="s">
        <v>10</v>
      </c>
      <c r="E516" s="1" t="s">
        <v>36395</v>
      </c>
      <c r="F516" s="1" t="s">
        <v>3693</v>
      </c>
      <c r="G516" s="1" t="s">
        <v>35382</v>
      </c>
      <c r="H516" s="1" t="s">
        <v>37190</v>
      </c>
      <c r="I516" s="1"/>
      <c r="J516" s="1"/>
      <c r="K516" s="1"/>
      <c r="L516" s="1"/>
      <c r="M516" s="1"/>
      <c r="N516" s="1"/>
      <c r="O516" s="1"/>
      <c r="P516" s="1"/>
      <c r="Q516" s="17"/>
    </row>
    <row x14ac:dyDescent="0.25" r="517" customHeight="1" ht="18.75">
      <c r="A517" s="1"/>
      <c r="B517" s="1" t="s">
        <v>37224</v>
      </c>
      <c r="C517" s="1" t="s">
        <v>7</v>
      </c>
      <c r="D517" s="1" t="s">
        <v>10</v>
      </c>
      <c r="E517" s="1" t="s">
        <v>37034</v>
      </c>
      <c r="F517" s="1" t="s">
        <v>3693</v>
      </c>
      <c r="G517" s="1" t="s">
        <v>37225</v>
      </c>
      <c r="H517" s="1" t="s">
        <v>3695</v>
      </c>
      <c r="I517" s="1"/>
      <c r="J517" s="1"/>
      <c r="K517" s="1"/>
      <c r="L517" s="1"/>
      <c r="M517" s="1"/>
      <c r="N517" s="1"/>
      <c r="O517" s="1"/>
      <c r="P517" s="1"/>
      <c r="Q517" s="17"/>
    </row>
    <row x14ac:dyDescent="0.25" r="518" customHeight="1" ht="18.75">
      <c r="A518" s="1"/>
      <c r="B518" s="1" t="s">
        <v>37226</v>
      </c>
      <c r="C518" s="1" t="s">
        <v>7</v>
      </c>
      <c r="D518" s="1" t="s">
        <v>10</v>
      </c>
      <c r="E518" s="1" t="s">
        <v>36395</v>
      </c>
      <c r="F518" s="1" t="s">
        <v>3598</v>
      </c>
      <c r="G518" s="1" t="s">
        <v>37227</v>
      </c>
      <c r="H518" s="1" t="s">
        <v>7847</v>
      </c>
      <c r="I518" s="1"/>
      <c r="J518" s="1"/>
      <c r="K518" s="1"/>
      <c r="L518" s="1"/>
      <c r="M518" s="1"/>
      <c r="N518" s="1"/>
      <c r="O518" s="1"/>
      <c r="P518" s="1"/>
      <c r="Q518" s="17"/>
    </row>
    <row x14ac:dyDescent="0.25" r="519" customHeight="1" ht="18.75">
      <c r="A519" s="1"/>
      <c r="B519" s="1" t="s">
        <v>37226</v>
      </c>
      <c r="C519" s="1" t="s">
        <v>7</v>
      </c>
      <c r="D519" s="1" t="s">
        <v>10</v>
      </c>
      <c r="E519" s="1" t="s">
        <v>37034</v>
      </c>
      <c r="F519" s="1" t="s">
        <v>3598</v>
      </c>
      <c r="G519" s="1" t="s">
        <v>37228</v>
      </c>
      <c r="H519" s="1" t="s">
        <v>37037</v>
      </c>
      <c r="I519" s="1"/>
      <c r="J519" s="1"/>
      <c r="K519" s="1"/>
      <c r="L519" s="1"/>
      <c r="M519" s="1"/>
      <c r="N519" s="1"/>
      <c r="O519" s="1"/>
      <c r="P519" s="1"/>
      <c r="Q519" s="17"/>
    </row>
    <row x14ac:dyDescent="0.25" r="520" customHeight="1" ht="18.75">
      <c r="A520" s="1"/>
      <c r="B520" s="1" t="s">
        <v>37226</v>
      </c>
      <c r="C520" s="1" t="s">
        <v>7</v>
      </c>
      <c r="D520" s="1" t="s">
        <v>10</v>
      </c>
      <c r="E520" s="1" t="s">
        <v>37034</v>
      </c>
      <c r="F520" s="1" t="s">
        <v>3598</v>
      </c>
      <c r="G520" s="1" t="s">
        <v>37229</v>
      </c>
      <c r="H520" s="1" t="s">
        <v>3610</v>
      </c>
      <c r="I520" s="1"/>
      <c r="J520" s="1"/>
      <c r="K520" s="1"/>
      <c r="L520" s="1"/>
      <c r="M520" s="1"/>
      <c r="N520" s="1"/>
      <c r="O520" s="1"/>
      <c r="P520" s="1"/>
      <c r="Q520" s="17"/>
    </row>
    <row x14ac:dyDescent="0.25" r="521" customHeight="1" ht="18.75">
      <c r="A521" s="1"/>
      <c r="B521" s="1" t="s">
        <v>37226</v>
      </c>
      <c r="C521" s="1" t="s">
        <v>7</v>
      </c>
      <c r="D521" s="1" t="s">
        <v>10</v>
      </c>
      <c r="E521" s="1" t="s">
        <v>37034</v>
      </c>
      <c r="F521" s="1" t="s">
        <v>3598</v>
      </c>
      <c r="G521" s="1" t="s">
        <v>37230</v>
      </c>
      <c r="H521" s="1" t="s">
        <v>37037</v>
      </c>
      <c r="I521" s="1"/>
      <c r="J521" s="1"/>
      <c r="K521" s="1"/>
      <c r="L521" s="1"/>
      <c r="M521" s="1"/>
      <c r="N521" s="1"/>
      <c r="O521" s="1"/>
      <c r="P521" s="1"/>
      <c r="Q521" s="17"/>
    </row>
    <row x14ac:dyDescent="0.25" r="522" customHeight="1" ht="18.75">
      <c r="A522" s="1"/>
      <c r="B522" s="1" t="s">
        <v>37226</v>
      </c>
      <c r="C522" s="1" t="s">
        <v>7</v>
      </c>
      <c r="D522" s="1" t="s">
        <v>10</v>
      </c>
      <c r="E522" s="1" t="s">
        <v>37034</v>
      </c>
      <c r="F522" s="1" t="s">
        <v>3598</v>
      </c>
      <c r="G522" s="1" t="s">
        <v>37231</v>
      </c>
      <c r="H522" s="1" t="s">
        <v>533</v>
      </c>
      <c r="I522" s="1"/>
      <c r="J522" s="1"/>
      <c r="K522" s="1"/>
      <c r="L522" s="1"/>
      <c r="M522" s="1"/>
      <c r="N522" s="1"/>
      <c r="O522" s="1"/>
      <c r="P522" s="1"/>
      <c r="Q522" s="17"/>
    </row>
    <row x14ac:dyDescent="0.25" r="523" customHeight="1" ht="18.75">
      <c r="A523" s="1"/>
      <c r="B523" s="1" t="s">
        <v>37226</v>
      </c>
      <c r="C523" s="1" t="s">
        <v>7</v>
      </c>
      <c r="D523" s="1" t="s">
        <v>10</v>
      </c>
      <c r="E523" s="1" t="s">
        <v>37034</v>
      </c>
      <c r="F523" s="1" t="s">
        <v>3598</v>
      </c>
      <c r="G523" s="1" t="s">
        <v>37232</v>
      </c>
      <c r="H523" s="1" t="s">
        <v>3695</v>
      </c>
      <c r="I523" s="1"/>
      <c r="J523" s="1"/>
      <c r="K523" s="1"/>
      <c r="L523" s="1"/>
      <c r="M523" s="1"/>
      <c r="N523" s="1"/>
      <c r="O523" s="1"/>
      <c r="P523" s="1"/>
      <c r="Q523" s="17"/>
    </row>
    <row x14ac:dyDescent="0.25" r="524" customHeight="1" ht="18.75">
      <c r="A524" s="1"/>
      <c r="B524" s="1" t="s">
        <v>37226</v>
      </c>
      <c r="C524" s="1" t="s">
        <v>7</v>
      </c>
      <c r="D524" s="1" t="s">
        <v>10</v>
      </c>
      <c r="E524" s="1" t="s">
        <v>37034</v>
      </c>
      <c r="F524" s="1" t="s">
        <v>3598</v>
      </c>
      <c r="G524" s="1" t="s">
        <v>37233</v>
      </c>
      <c r="H524" s="1" t="s">
        <v>37037</v>
      </c>
      <c r="I524" s="1"/>
      <c r="J524" s="1"/>
      <c r="K524" s="1"/>
      <c r="L524" s="1"/>
      <c r="M524" s="1"/>
      <c r="N524" s="1"/>
      <c r="O524" s="1"/>
      <c r="P524" s="1"/>
      <c r="Q524" s="17"/>
    </row>
    <row x14ac:dyDescent="0.25" r="525" customHeight="1" ht="18.75">
      <c r="A525" s="1"/>
      <c r="B525" s="1" t="s">
        <v>37226</v>
      </c>
      <c r="C525" s="1" t="s">
        <v>7</v>
      </c>
      <c r="D525" s="1" t="s">
        <v>10</v>
      </c>
      <c r="E525" s="1" t="s">
        <v>37034</v>
      </c>
      <c r="F525" s="1" t="s">
        <v>3598</v>
      </c>
      <c r="G525" s="1" t="s">
        <v>37234</v>
      </c>
      <c r="H525" s="1" t="s">
        <v>533</v>
      </c>
      <c r="I525" s="1"/>
      <c r="J525" s="1"/>
      <c r="K525" s="1"/>
      <c r="L525" s="1"/>
      <c r="M525" s="1"/>
      <c r="N525" s="1"/>
      <c r="O525" s="1"/>
      <c r="P525" s="1"/>
      <c r="Q525" s="17"/>
    </row>
    <row x14ac:dyDescent="0.25" r="526" customHeight="1" ht="18.75">
      <c r="A526" s="1"/>
      <c r="B526" s="1" t="s">
        <v>37226</v>
      </c>
      <c r="C526" s="1" t="s">
        <v>7</v>
      </c>
      <c r="D526" s="1" t="s">
        <v>10</v>
      </c>
      <c r="E526" s="1" t="s">
        <v>37034</v>
      </c>
      <c r="F526" s="1" t="s">
        <v>3598</v>
      </c>
      <c r="G526" s="1" t="s">
        <v>37235</v>
      </c>
      <c r="H526" s="1" t="s">
        <v>3610</v>
      </c>
      <c r="I526" s="1"/>
      <c r="J526" s="1"/>
      <c r="K526" s="1"/>
      <c r="L526" s="1"/>
      <c r="M526" s="1"/>
      <c r="N526" s="1"/>
      <c r="O526" s="1"/>
      <c r="P526" s="1"/>
      <c r="Q526" s="17"/>
    </row>
    <row x14ac:dyDescent="0.25" r="527" customHeight="1" ht="18.75">
      <c r="A527" s="1"/>
      <c r="B527" s="1" t="s">
        <v>37226</v>
      </c>
      <c r="C527" s="1" t="s">
        <v>7</v>
      </c>
      <c r="D527" s="1" t="s">
        <v>10</v>
      </c>
      <c r="E527" s="1" t="s">
        <v>37034</v>
      </c>
      <c r="F527" s="1" t="s">
        <v>3598</v>
      </c>
      <c r="G527" s="1" t="s">
        <v>37236</v>
      </c>
      <c r="H527" s="1" t="s">
        <v>3610</v>
      </c>
      <c r="I527" s="1"/>
      <c r="J527" s="1"/>
      <c r="K527" s="1"/>
      <c r="L527" s="1"/>
      <c r="M527" s="1"/>
      <c r="N527" s="1"/>
      <c r="O527" s="1"/>
      <c r="P527" s="1"/>
      <c r="Q527" s="17"/>
    </row>
    <row x14ac:dyDescent="0.25" r="528" customHeight="1" ht="18.75">
      <c r="A528" s="1"/>
      <c r="B528" s="1" t="s">
        <v>37226</v>
      </c>
      <c r="C528" s="1" t="s">
        <v>7</v>
      </c>
      <c r="D528" s="1" t="s">
        <v>10</v>
      </c>
      <c r="E528" s="1" t="s">
        <v>37034</v>
      </c>
      <c r="F528" s="1" t="s">
        <v>3598</v>
      </c>
      <c r="G528" s="1" t="s">
        <v>37237</v>
      </c>
      <c r="H528" s="1" t="s">
        <v>3610</v>
      </c>
      <c r="I528" s="1"/>
      <c r="J528" s="1"/>
      <c r="K528" s="1"/>
      <c r="L528" s="1"/>
      <c r="M528" s="1"/>
      <c r="N528" s="1"/>
      <c r="O528" s="1"/>
      <c r="P528" s="1"/>
      <c r="Q528" s="17"/>
    </row>
    <row x14ac:dyDescent="0.25" r="529" customHeight="1" ht="18.75">
      <c r="A529" s="1"/>
      <c r="B529" s="1" t="s">
        <v>37226</v>
      </c>
      <c r="C529" s="1" t="s">
        <v>7</v>
      </c>
      <c r="D529" s="1" t="s">
        <v>10</v>
      </c>
      <c r="E529" s="1" t="s">
        <v>37034</v>
      </c>
      <c r="F529" s="1" t="s">
        <v>3598</v>
      </c>
      <c r="G529" s="1" t="s">
        <v>37238</v>
      </c>
      <c r="H529" s="1" t="s">
        <v>3695</v>
      </c>
      <c r="I529" s="1"/>
      <c r="J529" s="1"/>
      <c r="K529" s="1"/>
      <c r="L529" s="1"/>
      <c r="M529" s="1"/>
      <c r="N529" s="1"/>
      <c r="O529" s="1"/>
      <c r="P529" s="1"/>
      <c r="Q529" s="17"/>
    </row>
    <row x14ac:dyDescent="0.25" r="530" customHeight="1" ht="18.75">
      <c r="A530" s="1"/>
      <c r="B530" s="1" t="s">
        <v>37226</v>
      </c>
      <c r="C530" s="1" t="s">
        <v>7</v>
      </c>
      <c r="D530" s="1" t="s">
        <v>10</v>
      </c>
      <c r="E530" s="1" t="s">
        <v>37034</v>
      </c>
      <c r="F530" s="1" t="s">
        <v>3598</v>
      </c>
      <c r="G530" s="1" t="s">
        <v>37239</v>
      </c>
      <c r="H530" s="1" t="s">
        <v>37037</v>
      </c>
      <c r="I530" s="1"/>
      <c r="J530" s="1"/>
      <c r="K530" s="1"/>
      <c r="L530" s="1"/>
      <c r="M530" s="1"/>
      <c r="N530" s="1"/>
      <c r="O530" s="1"/>
      <c r="P530" s="1"/>
      <c r="Q530" s="17"/>
    </row>
    <row x14ac:dyDescent="0.25" r="531" customHeight="1" ht="18.75">
      <c r="A531" s="1"/>
      <c r="B531" s="1" t="s">
        <v>37226</v>
      </c>
      <c r="C531" s="1" t="s">
        <v>7</v>
      </c>
      <c r="D531" s="1" t="s">
        <v>10</v>
      </c>
      <c r="E531" s="1" t="s">
        <v>37034</v>
      </c>
      <c r="F531" s="1" t="s">
        <v>3598</v>
      </c>
      <c r="G531" s="1" t="s">
        <v>37240</v>
      </c>
      <c r="H531" s="1" t="s">
        <v>37037</v>
      </c>
      <c r="I531" s="1"/>
      <c r="J531" s="1"/>
      <c r="K531" s="1"/>
      <c r="L531" s="1"/>
      <c r="M531" s="1"/>
      <c r="N531" s="1"/>
      <c r="O531" s="1"/>
      <c r="P531" s="1"/>
      <c r="Q531" s="17"/>
    </row>
    <row x14ac:dyDescent="0.25" r="532" customHeight="1" ht="18.75">
      <c r="A532" s="1"/>
      <c r="B532" s="1" t="s">
        <v>37226</v>
      </c>
      <c r="C532" s="1" t="s">
        <v>7</v>
      </c>
      <c r="D532" s="1" t="s">
        <v>10</v>
      </c>
      <c r="E532" s="1" t="s">
        <v>37034</v>
      </c>
      <c r="F532" s="1" t="s">
        <v>3598</v>
      </c>
      <c r="G532" s="1" t="s">
        <v>37241</v>
      </c>
      <c r="H532" s="1" t="s">
        <v>37037</v>
      </c>
      <c r="I532" s="1"/>
      <c r="J532" s="1"/>
      <c r="K532" s="1"/>
      <c r="L532" s="1"/>
      <c r="M532" s="1"/>
      <c r="N532" s="1"/>
      <c r="O532" s="1"/>
      <c r="P532" s="1"/>
      <c r="Q532" s="17"/>
    </row>
    <row x14ac:dyDescent="0.25" r="533" customHeight="1" ht="18.75">
      <c r="A533" s="1"/>
      <c r="B533" s="1" t="s">
        <v>37226</v>
      </c>
      <c r="C533" s="1" t="s">
        <v>7</v>
      </c>
      <c r="D533" s="1" t="s">
        <v>10</v>
      </c>
      <c r="E533" s="1" t="s">
        <v>37034</v>
      </c>
      <c r="F533" s="1" t="s">
        <v>3598</v>
      </c>
      <c r="G533" s="1" t="s">
        <v>37242</v>
      </c>
      <c r="H533" s="1" t="s">
        <v>3695</v>
      </c>
      <c r="I533" s="1"/>
      <c r="J533" s="1"/>
      <c r="K533" s="1"/>
      <c r="L533" s="1"/>
      <c r="M533" s="1"/>
      <c r="N533" s="1"/>
      <c r="O533" s="1"/>
      <c r="P533" s="1"/>
      <c r="Q533" s="17"/>
    </row>
    <row x14ac:dyDescent="0.25" r="534" customHeight="1" ht="18.75">
      <c r="A534" s="1"/>
      <c r="B534" s="1" t="s">
        <v>37243</v>
      </c>
      <c r="C534" s="1" t="s">
        <v>7</v>
      </c>
      <c r="D534" s="1" t="s">
        <v>10</v>
      </c>
      <c r="E534" s="1" t="s">
        <v>36395</v>
      </c>
      <c r="F534" s="1" t="s">
        <v>3598</v>
      </c>
      <c r="G534" s="1" t="s">
        <v>37244</v>
      </c>
      <c r="H534" s="1" t="s">
        <v>7847</v>
      </c>
      <c r="I534" s="1"/>
      <c r="J534" s="1"/>
      <c r="K534" s="1"/>
      <c r="L534" s="1"/>
      <c r="M534" s="1"/>
      <c r="N534" s="1"/>
      <c r="O534" s="1"/>
      <c r="P534" s="1"/>
      <c r="Q534" s="17"/>
    </row>
    <row x14ac:dyDescent="0.25" r="535" customHeight="1" ht="18.75">
      <c r="A535" s="1"/>
      <c r="B535" s="1" t="s">
        <v>37243</v>
      </c>
      <c r="C535" s="1" t="s">
        <v>7</v>
      </c>
      <c r="D535" s="1" t="s">
        <v>10</v>
      </c>
      <c r="E535" s="1" t="s">
        <v>37034</v>
      </c>
      <c r="F535" s="1" t="s">
        <v>3598</v>
      </c>
      <c r="G535" s="1" t="s">
        <v>37245</v>
      </c>
      <c r="H535" s="1" t="s">
        <v>3610</v>
      </c>
      <c r="I535" s="1"/>
      <c r="J535" s="1"/>
      <c r="K535" s="1"/>
      <c r="L535" s="1"/>
      <c r="M535" s="1"/>
      <c r="N535" s="1"/>
      <c r="O535" s="1"/>
      <c r="P535" s="1"/>
      <c r="Q535" s="17"/>
    </row>
    <row x14ac:dyDescent="0.25" r="536" customHeight="1" ht="18.75">
      <c r="A536" s="1"/>
      <c r="B536" s="1" t="s">
        <v>37243</v>
      </c>
      <c r="C536" s="1" t="s">
        <v>7</v>
      </c>
      <c r="D536" s="1" t="s">
        <v>10</v>
      </c>
      <c r="E536" s="1" t="s">
        <v>37034</v>
      </c>
      <c r="F536" s="1" t="s">
        <v>3598</v>
      </c>
      <c r="G536" s="1" t="s">
        <v>37246</v>
      </c>
      <c r="H536" s="1" t="s">
        <v>37037</v>
      </c>
      <c r="I536" s="1"/>
      <c r="J536" s="1"/>
      <c r="K536" s="1"/>
      <c r="L536" s="1"/>
      <c r="M536" s="1"/>
      <c r="N536" s="1"/>
      <c r="O536" s="1"/>
      <c r="P536" s="1"/>
      <c r="Q536" s="17"/>
    </row>
    <row x14ac:dyDescent="0.25" r="537" customHeight="1" ht="18.75">
      <c r="A537" s="1"/>
      <c r="B537" s="1" t="s">
        <v>37243</v>
      </c>
      <c r="C537" s="1" t="s">
        <v>7</v>
      </c>
      <c r="D537" s="1" t="s">
        <v>10</v>
      </c>
      <c r="E537" s="1" t="s">
        <v>37034</v>
      </c>
      <c r="F537" s="1" t="s">
        <v>3598</v>
      </c>
      <c r="G537" s="1" t="s">
        <v>37247</v>
      </c>
      <c r="H537" s="1" t="s">
        <v>3610</v>
      </c>
      <c r="I537" s="1"/>
      <c r="J537" s="1"/>
      <c r="K537" s="1"/>
      <c r="L537" s="1"/>
      <c r="M537" s="1"/>
      <c r="N537" s="1"/>
      <c r="O537" s="1"/>
      <c r="P537" s="1"/>
      <c r="Q537" s="17"/>
    </row>
    <row x14ac:dyDescent="0.25" r="538" customHeight="1" ht="18.75">
      <c r="A538" s="1"/>
      <c r="B538" s="1" t="s">
        <v>37243</v>
      </c>
      <c r="C538" s="1" t="s">
        <v>7</v>
      </c>
      <c r="D538" s="1" t="s">
        <v>10</v>
      </c>
      <c r="E538" s="1" t="s">
        <v>37034</v>
      </c>
      <c r="F538" s="1" t="s">
        <v>3598</v>
      </c>
      <c r="G538" s="1" t="s">
        <v>37248</v>
      </c>
      <c r="H538" s="1" t="s">
        <v>3695</v>
      </c>
      <c r="I538" s="1"/>
      <c r="J538" s="1"/>
      <c r="K538" s="1"/>
      <c r="L538" s="1"/>
      <c r="M538" s="1"/>
      <c r="N538" s="1"/>
      <c r="O538" s="1"/>
      <c r="P538" s="1"/>
      <c r="Q538" s="17"/>
    </row>
    <row x14ac:dyDescent="0.25" r="539" customHeight="1" ht="18.75">
      <c r="A539" s="1"/>
      <c r="B539" s="1" t="s">
        <v>37243</v>
      </c>
      <c r="C539" s="1" t="s">
        <v>7</v>
      </c>
      <c r="D539" s="1" t="s">
        <v>10</v>
      </c>
      <c r="E539" s="1" t="s">
        <v>37034</v>
      </c>
      <c r="F539" s="1" t="s">
        <v>3598</v>
      </c>
      <c r="G539" s="1" t="s">
        <v>37249</v>
      </c>
      <c r="H539" s="1" t="s">
        <v>3695</v>
      </c>
      <c r="I539" s="1"/>
      <c r="J539" s="1"/>
      <c r="K539" s="1"/>
      <c r="L539" s="1"/>
      <c r="M539" s="1"/>
      <c r="N539" s="1"/>
      <c r="O539" s="1"/>
      <c r="P539" s="1"/>
      <c r="Q539" s="17"/>
    </row>
    <row x14ac:dyDescent="0.25" r="540" customHeight="1" ht="18.75">
      <c r="A540" s="1"/>
      <c r="B540" s="1" t="s">
        <v>37243</v>
      </c>
      <c r="C540" s="1" t="s">
        <v>7</v>
      </c>
      <c r="D540" s="1" t="s">
        <v>10</v>
      </c>
      <c r="E540" s="1" t="s">
        <v>37034</v>
      </c>
      <c r="F540" s="1" t="s">
        <v>3598</v>
      </c>
      <c r="G540" s="1" t="s">
        <v>37250</v>
      </c>
      <c r="H540" s="1" t="s">
        <v>37037</v>
      </c>
      <c r="I540" s="1"/>
      <c r="J540" s="1"/>
      <c r="K540" s="1"/>
      <c r="L540" s="1"/>
      <c r="M540" s="1"/>
      <c r="N540" s="1"/>
      <c r="O540" s="1"/>
      <c r="P540" s="1"/>
      <c r="Q540" s="17"/>
    </row>
    <row x14ac:dyDescent="0.25" r="541" customHeight="1" ht="18.75">
      <c r="A541" s="1"/>
      <c r="B541" s="1" t="s">
        <v>37243</v>
      </c>
      <c r="C541" s="1" t="s">
        <v>7</v>
      </c>
      <c r="D541" s="1" t="s">
        <v>10</v>
      </c>
      <c r="E541" s="1" t="s">
        <v>37034</v>
      </c>
      <c r="F541" s="1" t="s">
        <v>3598</v>
      </c>
      <c r="G541" s="1" t="s">
        <v>37251</v>
      </c>
      <c r="H541" s="1" t="s">
        <v>37037</v>
      </c>
      <c r="I541" s="1"/>
      <c r="J541" s="1"/>
      <c r="K541" s="1"/>
      <c r="L541" s="1"/>
      <c r="M541" s="1"/>
      <c r="N541" s="1"/>
      <c r="O541" s="1"/>
      <c r="P541" s="1"/>
      <c r="Q541" s="17"/>
    </row>
    <row x14ac:dyDescent="0.25" r="542" customHeight="1" ht="18.75">
      <c r="A542" s="1"/>
      <c r="B542" s="1" t="s">
        <v>37243</v>
      </c>
      <c r="C542" s="1" t="s">
        <v>7</v>
      </c>
      <c r="D542" s="1" t="s">
        <v>10</v>
      </c>
      <c r="E542" s="1" t="s">
        <v>37034</v>
      </c>
      <c r="F542" s="1" t="s">
        <v>3598</v>
      </c>
      <c r="G542" s="1" t="s">
        <v>37252</v>
      </c>
      <c r="H542" s="1" t="s">
        <v>533</v>
      </c>
      <c r="I542" s="1"/>
      <c r="J542" s="1"/>
      <c r="K542" s="1"/>
      <c r="L542" s="1"/>
      <c r="M542" s="1"/>
      <c r="N542" s="1"/>
      <c r="O542" s="1"/>
      <c r="P542" s="1"/>
      <c r="Q542" s="17"/>
    </row>
    <row x14ac:dyDescent="0.25" r="543" customHeight="1" ht="18.75">
      <c r="A543" s="1"/>
      <c r="B543" s="1" t="s">
        <v>37243</v>
      </c>
      <c r="C543" s="1" t="s">
        <v>7</v>
      </c>
      <c r="D543" s="1" t="s">
        <v>10</v>
      </c>
      <c r="E543" s="1" t="s">
        <v>37034</v>
      </c>
      <c r="F543" s="1" t="s">
        <v>3598</v>
      </c>
      <c r="G543" s="1" t="s">
        <v>37253</v>
      </c>
      <c r="H543" s="1" t="s">
        <v>37037</v>
      </c>
      <c r="I543" s="1"/>
      <c r="J543" s="1"/>
      <c r="K543" s="1"/>
      <c r="L543" s="1"/>
      <c r="M543" s="1"/>
      <c r="N543" s="1"/>
      <c r="O543" s="1"/>
      <c r="P543" s="1"/>
      <c r="Q543" s="17"/>
    </row>
    <row x14ac:dyDescent="0.25" r="544" customHeight="1" ht="18.75">
      <c r="A544" s="1"/>
      <c r="B544" s="1" t="s">
        <v>37243</v>
      </c>
      <c r="C544" s="1" t="s">
        <v>7</v>
      </c>
      <c r="D544" s="1" t="s">
        <v>10</v>
      </c>
      <c r="E544" s="1" t="s">
        <v>37034</v>
      </c>
      <c r="F544" s="1" t="s">
        <v>3598</v>
      </c>
      <c r="G544" s="1" t="s">
        <v>37254</v>
      </c>
      <c r="H544" s="1" t="s">
        <v>3610</v>
      </c>
      <c r="I544" s="1"/>
      <c r="J544" s="1"/>
      <c r="K544" s="1"/>
      <c r="L544" s="1"/>
      <c r="M544" s="1"/>
      <c r="N544" s="1"/>
      <c r="O544" s="1"/>
      <c r="P544" s="1"/>
      <c r="Q544" s="17"/>
    </row>
    <row x14ac:dyDescent="0.25" r="545" customHeight="1" ht="18.75">
      <c r="A545" s="1"/>
      <c r="B545" s="1" t="s">
        <v>37243</v>
      </c>
      <c r="C545" s="1" t="s">
        <v>7</v>
      </c>
      <c r="D545" s="1" t="s">
        <v>10</v>
      </c>
      <c r="E545" s="1" t="s">
        <v>37034</v>
      </c>
      <c r="F545" s="1" t="s">
        <v>3598</v>
      </c>
      <c r="G545" s="1" t="s">
        <v>37255</v>
      </c>
      <c r="H545" s="1" t="s">
        <v>37102</v>
      </c>
      <c r="I545" s="1"/>
      <c r="J545" s="1"/>
      <c r="K545" s="1"/>
      <c r="L545" s="1"/>
      <c r="M545" s="1"/>
      <c r="N545" s="1"/>
      <c r="O545" s="1"/>
      <c r="P545" s="1"/>
      <c r="Q545" s="17"/>
    </row>
    <row x14ac:dyDescent="0.25" r="546" customHeight="1" ht="18.75">
      <c r="A546" s="1"/>
      <c r="B546" s="1" t="s">
        <v>37243</v>
      </c>
      <c r="C546" s="1" t="s">
        <v>7</v>
      </c>
      <c r="D546" s="1" t="s">
        <v>10</v>
      </c>
      <c r="E546" s="1" t="s">
        <v>37034</v>
      </c>
      <c r="F546" s="1" t="s">
        <v>3598</v>
      </c>
      <c r="G546" s="1" t="s">
        <v>37256</v>
      </c>
      <c r="H546" s="1" t="s">
        <v>3695</v>
      </c>
      <c r="I546" s="1"/>
      <c r="J546" s="1"/>
      <c r="K546" s="1"/>
      <c r="L546" s="1"/>
      <c r="M546" s="1"/>
      <c r="N546" s="1"/>
      <c r="O546" s="1"/>
      <c r="P546" s="1"/>
      <c r="Q546" s="17"/>
    </row>
    <row x14ac:dyDescent="0.25" r="547" customHeight="1" ht="18.75">
      <c r="A547" s="1"/>
      <c r="B547" s="1" t="s">
        <v>37243</v>
      </c>
      <c r="C547" s="1" t="s">
        <v>7</v>
      </c>
      <c r="D547" s="1" t="s">
        <v>10</v>
      </c>
      <c r="E547" s="1" t="s">
        <v>37034</v>
      </c>
      <c r="F547" s="1" t="s">
        <v>3598</v>
      </c>
      <c r="G547" s="1" t="s">
        <v>37257</v>
      </c>
      <c r="H547" s="1" t="s">
        <v>3610</v>
      </c>
      <c r="I547" s="1"/>
      <c r="J547" s="1"/>
      <c r="K547" s="1"/>
      <c r="L547" s="1"/>
      <c r="M547" s="1"/>
      <c r="N547" s="1"/>
      <c r="O547" s="1"/>
      <c r="P547" s="1"/>
      <c r="Q547" s="17"/>
    </row>
    <row x14ac:dyDescent="0.25" r="548" customHeight="1" ht="18.75">
      <c r="A548" s="1"/>
      <c r="B548" s="1" t="s">
        <v>37243</v>
      </c>
      <c r="C548" s="1" t="s">
        <v>7</v>
      </c>
      <c r="D548" s="1" t="s">
        <v>10</v>
      </c>
      <c r="E548" s="1" t="s">
        <v>37034</v>
      </c>
      <c r="F548" s="1" t="s">
        <v>3598</v>
      </c>
      <c r="G548" s="1" t="s">
        <v>37258</v>
      </c>
      <c r="H548" s="1" t="s">
        <v>37037</v>
      </c>
      <c r="I548" s="1"/>
      <c r="J548" s="1"/>
      <c r="K548" s="1"/>
      <c r="L548" s="1"/>
      <c r="M548" s="1"/>
      <c r="N548" s="1"/>
      <c r="O548" s="1"/>
      <c r="P548" s="1"/>
      <c r="Q548" s="17"/>
    </row>
    <row x14ac:dyDescent="0.25" r="549" customHeight="1" ht="18.75">
      <c r="A549" s="1"/>
      <c r="B549" s="1" t="s">
        <v>37243</v>
      </c>
      <c r="C549" s="1" t="s">
        <v>7</v>
      </c>
      <c r="D549" s="1" t="s">
        <v>10</v>
      </c>
      <c r="E549" s="1" t="s">
        <v>37034</v>
      </c>
      <c r="F549" s="1" t="s">
        <v>3598</v>
      </c>
      <c r="G549" s="1" t="s">
        <v>37259</v>
      </c>
      <c r="H549" s="1" t="s">
        <v>37102</v>
      </c>
      <c r="I549" s="1"/>
      <c r="J549" s="1"/>
      <c r="K549" s="1"/>
      <c r="L549" s="1"/>
      <c r="M549" s="1"/>
      <c r="N549" s="1"/>
      <c r="O549" s="1"/>
      <c r="P549" s="1"/>
      <c r="Q549" s="17"/>
    </row>
    <row x14ac:dyDescent="0.25" r="550" customHeight="1" ht="18.75">
      <c r="A550" s="1"/>
      <c r="B550" s="1" t="s">
        <v>37243</v>
      </c>
      <c r="C550" s="1" t="s">
        <v>7</v>
      </c>
      <c r="D550" s="1" t="s">
        <v>10</v>
      </c>
      <c r="E550" s="1" t="s">
        <v>37034</v>
      </c>
      <c r="F550" s="1" t="s">
        <v>3598</v>
      </c>
      <c r="G550" s="1" t="s">
        <v>37260</v>
      </c>
      <c r="H550" s="1" t="s">
        <v>37037</v>
      </c>
      <c r="I550" s="1"/>
      <c r="J550" s="1"/>
      <c r="K550" s="1"/>
      <c r="L550" s="1"/>
      <c r="M550" s="1"/>
      <c r="N550" s="1"/>
      <c r="O550" s="1"/>
      <c r="P550" s="1"/>
      <c r="Q550" s="17"/>
    </row>
    <row x14ac:dyDescent="0.25" r="551" customHeight="1" ht="18.75">
      <c r="A551" s="1"/>
      <c r="B551" s="1" t="s">
        <v>37243</v>
      </c>
      <c r="C551" s="1" t="s">
        <v>7</v>
      </c>
      <c r="D551" s="1" t="s">
        <v>10</v>
      </c>
      <c r="E551" s="1" t="s">
        <v>37034</v>
      </c>
      <c r="F551" s="1" t="s">
        <v>3598</v>
      </c>
      <c r="G551" s="1" t="s">
        <v>37261</v>
      </c>
      <c r="H551" s="1" t="s">
        <v>533</v>
      </c>
      <c r="I551" s="1"/>
      <c r="J551" s="1"/>
      <c r="K551" s="1"/>
      <c r="L551" s="1"/>
      <c r="M551" s="1"/>
      <c r="N551" s="1"/>
      <c r="O551" s="1"/>
      <c r="P551" s="1"/>
      <c r="Q551" s="17"/>
    </row>
    <row x14ac:dyDescent="0.25" r="552" customHeight="1" ht="18.75">
      <c r="A552" s="1"/>
      <c r="B552" s="1" t="s">
        <v>37243</v>
      </c>
      <c r="C552" s="1" t="s">
        <v>7</v>
      </c>
      <c r="D552" s="1" t="s">
        <v>10</v>
      </c>
      <c r="E552" s="1" t="s">
        <v>37034</v>
      </c>
      <c r="F552" s="1" t="s">
        <v>3598</v>
      </c>
      <c r="G552" s="1" t="s">
        <v>37262</v>
      </c>
      <c r="H552" s="1" t="s">
        <v>37102</v>
      </c>
      <c r="I552" s="1"/>
      <c r="J552" s="1"/>
      <c r="K552" s="1"/>
      <c r="L552" s="1"/>
      <c r="M552" s="1"/>
      <c r="N552" s="1"/>
      <c r="O552" s="1"/>
      <c r="P552" s="1"/>
      <c r="Q552" s="17"/>
    </row>
    <row x14ac:dyDescent="0.25" r="553" customHeight="1" ht="18.75">
      <c r="A553" s="1"/>
      <c r="B553" s="1" t="s">
        <v>37243</v>
      </c>
      <c r="C553" s="1" t="s">
        <v>7</v>
      </c>
      <c r="D553" s="1" t="s">
        <v>10</v>
      </c>
      <c r="E553" s="1" t="s">
        <v>37034</v>
      </c>
      <c r="F553" s="1" t="s">
        <v>3598</v>
      </c>
      <c r="G553" s="1" t="s">
        <v>37263</v>
      </c>
      <c r="H553" s="1" t="s">
        <v>37057</v>
      </c>
      <c r="I553" s="1"/>
      <c r="J553" s="1"/>
      <c r="K553" s="1"/>
      <c r="L553" s="1"/>
      <c r="M553" s="1"/>
      <c r="N553" s="1"/>
      <c r="O553" s="1"/>
      <c r="P553" s="1"/>
      <c r="Q553" s="17"/>
    </row>
    <row x14ac:dyDescent="0.25" r="554" customHeight="1" ht="18.75">
      <c r="A554" s="1"/>
      <c r="B554" s="1" t="s">
        <v>37226</v>
      </c>
      <c r="C554" s="1" t="s">
        <v>7</v>
      </c>
      <c r="D554" s="1" t="s">
        <v>10</v>
      </c>
      <c r="E554" s="1" t="s">
        <v>37034</v>
      </c>
      <c r="F554" s="1" t="s">
        <v>3598</v>
      </c>
      <c r="G554" s="1" t="s">
        <v>37264</v>
      </c>
      <c r="H554" s="1" t="s">
        <v>37057</v>
      </c>
      <c r="I554" s="1"/>
      <c r="J554" s="1"/>
      <c r="K554" s="1"/>
      <c r="L554" s="1"/>
      <c r="M554" s="1"/>
      <c r="N554" s="1"/>
      <c r="O554" s="1"/>
      <c r="P554" s="1"/>
      <c r="Q554" s="17"/>
    </row>
    <row x14ac:dyDescent="0.25" r="555" customHeight="1" ht="18.75">
      <c r="A555" s="1"/>
      <c r="B555" s="1" t="s">
        <v>37243</v>
      </c>
      <c r="C555" s="1" t="s">
        <v>7</v>
      </c>
      <c r="D555" s="1" t="s">
        <v>10</v>
      </c>
      <c r="E555" s="1" t="s">
        <v>37034</v>
      </c>
      <c r="F555" s="1" t="s">
        <v>3598</v>
      </c>
      <c r="G555" s="1" t="s">
        <v>37265</v>
      </c>
      <c r="H555" s="1" t="s">
        <v>37057</v>
      </c>
      <c r="I555" s="1"/>
      <c r="J555" s="1"/>
      <c r="K555" s="1"/>
      <c r="L555" s="1"/>
      <c r="M555" s="1"/>
      <c r="N555" s="1"/>
      <c r="O555" s="1"/>
      <c r="P555" s="1"/>
      <c r="Q555" s="17"/>
    </row>
    <row x14ac:dyDescent="0.25" r="556" customHeight="1" ht="18.75">
      <c r="A556" s="1"/>
      <c r="B556" s="1" t="s">
        <v>37226</v>
      </c>
      <c r="C556" s="1" t="s">
        <v>7</v>
      </c>
      <c r="D556" s="1" t="s">
        <v>10</v>
      </c>
      <c r="E556" s="1" t="s">
        <v>37034</v>
      </c>
      <c r="F556" s="1" t="s">
        <v>3598</v>
      </c>
      <c r="G556" s="1" t="s">
        <v>37266</v>
      </c>
      <c r="H556" s="1" t="s">
        <v>37057</v>
      </c>
      <c r="I556" s="1"/>
      <c r="J556" s="1"/>
      <c r="K556" s="1"/>
      <c r="L556" s="1"/>
      <c r="M556" s="1"/>
      <c r="N556" s="1"/>
      <c r="O556" s="1"/>
      <c r="P556" s="1"/>
      <c r="Q556" s="17"/>
    </row>
    <row x14ac:dyDescent="0.25" r="557" customHeight="1" ht="18.75">
      <c r="A557" s="1"/>
      <c r="B557" s="1" t="s">
        <v>37267</v>
      </c>
      <c r="C557" s="1" t="s">
        <v>7</v>
      </c>
      <c r="D557" s="1" t="s">
        <v>10</v>
      </c>
      <c r="E557" s="1" t="s">
        <v>36395</v>
      </c>
      <c r="F557" s="1" t="s">
        <v>3617</v>
      </c>
      <c r="G557" s="1" t="s">
        <v>35635</v>
      </c>
      <c r="H557" s="1" t="s">
        <v>7847</v>
      </c>
      <c r="I557" s="1"/>
      <c r="J557" s="1"/>
      <c r="K557" s="1"/>
      <c r="L557" s="1"/>
      <c r="M557" s="1"/>
      <c r="N557" s="1"/>
      <c r="O557" s="1"/>
      <c r="P557" s="1"/>
      <c r="Q557" s="17"/>
    </row>
    <row x14ac:dyDescent="0.25" r="558" customHeight="1" ht="18.75">
      <c r="A558" s="1"/>
      <c r="B558" s="1" t="s">
        <v>37267</v>
      </c>
      <c r="C558" s="1" t="s">
        <v>7</v>
      </c>
      <c r="D558" s="1" t="s">
        <v>10</v>
      </c>
      <c r="E558" s="1" t="s">
        <v>37034</v>
      </c>
      <c r="F558" s="1" t="s">
        <v>3617</v>
      </c>
      <c r="G558" s="1" t="s">
        <v>37268</v>
      </c>
      <c r="H558" s="1" t="s">
        <v>37037</v>
      </c>
      <c r="I558" s="1"/>
      <c r="J558" s="1"/>
      <c r="K558" s="1"/>
      <c r="L558" s="1"/>
      <c r="M558" s="1"/>
      <c r="N558" s="1"/>
      <c r="O558" s="1"/>
      <c r="P558" s="1"/>
      <c r="Q558" s="17"/>
    </row>
    <row x14ac:dyDescent="0.25" r="559" customHeight="1" ht="18.75">
      <c r="A559" s="1"/>
      <c r="B559" s="1" t="s">
        <v>37267</v>
      </c>
      <c r="C559" s="1" t="s">
        <v>7</v>
      </c>
      <c r="D559" s="1" t="s">
        <v>10</v>
      </c>
      <c r="E559" s="1" t="s">
        <v>37034</v>
      </c>
      <c r="F559" s="1" t="s">
        <v>3617</v>
      </c>
      <c r="G559" s="1" t="s">
        <v>37269</v>
      </c>
      <c r="H559" s="1" t="s">
        <v>37037</v>
      </c>
      <c r="I559" s="1"/>
      <c r="J559" s="1"/>
      <c r="K559" s="1"/>
      <c r="L559" s="1"/>
      <c r="M559" s="1"/>
      <c r="N559" s="1"/>
      <c r="O559" s="1"/>
      <c r="P559" s="1"/>
      <c r="Q559" s="17"/>
    </row>
    <row x14ac:dyDescent="0.25" r="560" customHeight="1" ht="18.75">
      <c r="A560" s="1"/>
      <c r="B560" s="1" t="s">
        <v>37267</v>
      </c>
      <c r="C560" s="1" t="s">
        <v>7</v>
      </c>
      <c r="D560" s="1" t="s">
        <v>10</v>
      </c>
      <c r="E560" s="1" t="s">
        <v>37034</v>
      </c>
      <c r="F560" s="1" t="s">
        <v>3617</v>
      </c>
      <c r="G560" s="1" t="s">
        <v>37270</v>
      </c>
      <c r="H560" s="1" t="s">
        <v>37037</v>
      </c>
      <c r="I560" s="1"/>
      <c r="J560" s="1"/>
      <c r="K560" s="1"/>
      <c r="L560" s="1"/>
      <c r="M560" s="1"/>
      <c r="N560" s="1"/>
      <c r="O560" s="1"/>
      <c r="P560" s="1"/>
      <c r="Q560" s="17"/>
    </row>
    <row x14ac:dyDescent="0.25" r="561" customHeight="1" ht="18.75">
      <c r="A561" s="1"/>
      <c r="B561" s="1" t="s">
        <v>37267</v>
      </c>
      <c r="C561" s="1" t="s">
        <v>7</v>
      </c>
      <c r="D561" s="1" t="s">
        <v>10</v>
      </c>
      <c r="E561" s="1" t="s">
        <v>37034</v>
      </c>
      <c r="F561" s="1" t="s">
        <v>3617</v>
      </c>
      <c r="G561" s="1" t="s">
        <v>37271</v>
      </c>
      <c r="H561" s="1" t="s">
        <v>3610</v>
      </c>
      <c r="I561" s="1"/>
      <c r="J561" s="1"/>
      <c r="K561" s="1"/>
      <c r="L561" s="1"/>
      <c r="M561" s="1"/>
      <c r="N561" s="1"/>
      <c r="O561" s="1"/>
      <c r="P561" s="1"/>
      <c r="Q561" s="17"/>
    </row>
    <row x14ac:dyDescent="0.25" r="562" customHeight="1" ht="18.75">
      <c r="A562" s="1"/>
      <c r="B562" s="1" t="s">
        <v>37267</v>
      </c>
      <c r="C562" s="1" t="s">
        <v>7</v>
      </c>
      <c r="D562" s="1" t="s">
        <v>10</v>
      </c>
      <c r="E562" s="1" t="s">
        <v>37034</v>
      </c>
      <c r="F562" s="1" t="s">
        <v>3617</v>
      </c>
      <c r="G562" s="1" t="s">
        <v>37272</v>
      </c>
      <c r="H562" s="1" t="s">
        <v>3610</v>
      </c>
      <c r="I562" s="1"/>
      <c r="J562" s="1"/>
      <c r="K562" s="1"/>
      <c r="L562" s="1"/>
      <c r="M562" s="1"/>
      <c r="N562" s="1"/>
      <c r="O562" s="1"/>
      <c r="P562" s="1"/>
      <c r="Q562" s="17"/>
    </row>
    <row x14ac:dyDescent="0.25" r="563" customHeight="1" ht="18.75">
      <c r="A563" s="1"/>
      <c r="B563" s="1" t="s">
        <v>37267</v>
      </c>
      <c r="C563" s="1" t="s">
        <v>7</v>
      </c>
      <c r="D563" s="1" t="s">
        <v>10</v>
      </c>
      <c r="E563" s="1" t="s">
        <v>37034</v>
      </c>
      <c r="F563" s="1" t="s">
        <v>3617</v>
      </c>
      <c r="G563" s="1" t="s">
        <v>37273</v>
      </c>
      <c r="H563" s="1" t="s">
        <v>3610</v>
      </c>
      <c r="I563" s="1"/>
      <c r="J563" s="1"/>
      <c r="K563" s="1"/>
      <c r="L563" s="1"/>
      <c r="M563" s="1"/>
      <c r="N563" s="1"/>
      <c r="O563" s="1"/>
      <c r="P563" s="1"/>
      <c r="Q563" s="17"/>
    </row>
    <row x14ac:dyDescent="0.25" r="564" customHeight="1" ht="18.75">
      <c r="A564" s="1"/>
      <c r="B564" s="1" t="s">
        <v>37267</v>
      </c>
      <c r="C564" s="1" t="s">
        <v>7</v>
      </c>
      <c r="D564" s="1" t="s">
        <v>10</v>
      </c>
      <c r="E564" s="1" t="s">
        <v>37034</v>
      </c>
      <c r="F564" s="1" t="s">
        <v>3617</v>
      </c>
      <c r="G564" s="1" t="s">
        <v>37274</v>
      </c>
      <c r="H564" s="1" t="s">
        <v>3610</v>
      </c>
      <c r="I564" s="1"/>
      <c r="J564" s="1"/>
      <c r="K564" s="1"/>
      <c r="L564" s="1"/>
      <c r="M564" s="1"/>
      <c r="N564" s="1"/>
      <c r="O564" s="1"/>
      <c r="P564" s="1"/>
      <c r="Q564" s="17"/>
    </row>
    <row x14ac:dyDescent="0.25" r="565" customHeight="1" ht="18.75">
      <c r="A565" s="1"/>
      <c r="B565" s="1" t="s">
        <v>37267</v>
      </c>
      <c r="C565" s="1" t="s">
        <v>7</v>
      </c>
      <c r="D565" s="1" t="s">
        <v>10</v>
      </c>
      <c r="E565" s="1" t="s">
        <v>37034</v>
      </c>
      <c r="F565" s="1" t="s">
        <v>3617</v>
      </c>
      <c r="G565" s="1" t="s">
        <v>37275</v>
      </c>
      <c r="H565" s="1" t="s">
        <v>3610</v>
      </c>
      <c r="I565" s="1"/>
      <c r="J565" s="1"/>
      <c r="K565" s="1"/>
      <c r="L565" s="1"/>
      <c r="M565" s="1"/>
      <c r="N565" s="1"/>
      <c r="O565" s="1"/>
      <c r="P565" s="1"/>
      <c r="Q565" s="17"/>
    </row>
    <row x14ac:dyDescent="0.25" r="566" customHeight="1" ht="18.75">
      <c r="A566" s="1"/>
      <c r="B566" s="1" t="s">
        <v>37267</v>
      </c>
      <c r="C566" s="1" t="s">
        <v>7</v>
      </c>
      <c r="D566" s="1" t="s">
        <v>10</v>
      </c>
      <c r="E566" s="1" t="s">
        <v>37034</v>
      </c>
      <c r="F566" s="1" t="s">
        <v>3617</v>
      </c>
      <c r="G566" s="1" t="s">
        <v>37276</v>
      </c>
      <c r="H566" s="1" t="s">
        <v>3695</v>
      </c>
      <c r="I566" s="1"/>
      <c r="J566" s="1"/>
      <c r="K566" s="1"/>
      <c r="L566" s="1"/>
      <c r="M566" s="1"/>
      <c r="N566" s="1"/>
      <c r="O566" s="1"/>
      <c r="P566" s="1"/>
      <c r="Q566" s="17"/>
    </row>
    <row x14ac:dyDescent="0.25" r="567" customHeight="1" ht="18.75">
      <c r="A567" s="1"/>
      <c r="B567" s="1" t="s">
        <v>37267</v>
      </c>
      <c r="C567" s="1" t="s">
        <v>7</v>
      </c>
      <c r="D567" s="1" t="s">
        <v>10</v>
      </c>
      <c r="E567" s="1" t="s">
        <v>37034</v>
      </c>
      <c r="F567" s="1" t="s">
        <v>3617</v>
      </c>
      <c r="G567" s="1" t="s">
        <v>37277</v>
      </c>
      <c r="H567" s="1" t="s">
        <v>3695</v>
      </c>
      <c r="I567" s="1"/>
      <c r="J567" s="1"/>
      <c r="K567" s="1"/>
      <c r="L567" s="1"/>
      <c r="M567" s="1"/>
      <c r="N567" s="1"/>
      <c r="O567" s="1"/>
      <c r="P567" s="1"/>
      <c r="Q567" s="17"/>
    </row>
    <row x14ac:dyDescent="0.25" r="568" customHeight="1" ht="18.75">
      <c r="A568" s="1"/>
      <c r="B568" s="1" t="s">
        <v>37267</v>
      </c>
      <c r="C568" s="1" t="s">
        <v>7</v>
      </c>
      <c r="D568" s="1" t="s">
        <v>10</v>
      </c>
      <c r="E568" s="1" t="s">
        <v>37034</v>
      </c>
      <c r="F568" s="1" t="s">
        <v>3617</v>
      </c>
      <c r="G568" s="1" t="s">
        <v>37278</v>
      </c>
      <c r="H568" s="1" t="s">
        <v>3695</v>
      </c>
      <c r="I568" s="1"/>
      <c r="J568" s="1"/>
      <c r="K568" s="1"/>
      <c r="L568" s="1"/>
      <c r="M568" s="1"/>
      <c r="N568" s="1"/>
      <c r="O568" s="1"/>
      <c r="P568" s="1"/>
      <c r="Q568" s="17"/>
    </row>
    <row x14ac:dyDescent="0.25" r="569" customHeight="1" ht="18.75">
      <c r="A569" s="1"/>
      <c r="B569" s="1" t="s">
        <v>37267</v>
      </c>
      <c r="C569" s="1" t="s">
        <v>7</v>
      </c>
      <c r="D569" s="1" t="s">
        <v>10</v>
      </c>
      <c r="E569" s="1" t="s">
        <v>37034</v>
      </c>
      <c r="F569" s="1" t="s">
        <v>3617</v>
      </c>
      <c r="G569" s="1" t="s">
        <v>37279</v>
      </c>
      <c r="H569" s="1" t="s">
        <v>37037</v>
      </c>
      <c r="I569" s="1"/>
      <c r="J569" s="1"/>
      <c r="K569" s="1"/>
      <c r="L569" s="1"/>
      <c r="M569" s="1"/>
      <c r="N569" s="1"/>
      <c r="O569" s="1"/>
      <c r="P569" s="1"/>
      <c r="Q569" s="17"/>
    </row>
    <row x14ac:dyDescent="0.25" r="570" customHeight="1" ht="18.75">
      <c r="A570" s="1"/>
      <c r="B570" s="1" t="s">
        <v>37267</v>
      </c>
      <c r="C570" s="1" t="s">
        <v>7</v>
      </c>
      <c r="D570" s="1" t="s">
        <v>10</v>
      </c>
      <c r="E570" s="1" t="s">
        <v>37034</v>
      </c>
      <c r="F570" s="1" t="s">
        <v>3617</v>
      </c>
      <c r="G570" s="1" t="s">
        <v>37280</v>
      </c>
      <c r="H570" s="1" t="s">
        <v>37037</v>
      </c>
      <c r="I570" s="1"/>
      <c r="J570" s="1"/>
      <c r="K570" s="1"/>
      <c r="L570" s="1"/>
      <c r="M570" s="1"/>
      <c r="N570" s="1"/>
      <c r="O570" s="1"/>
      <c r="P570" s="1"/>
      <c r="Q570" s="17"/>
    </row>
    <row x14ac:dyDescent="0.25" r="571" customHeight="1" ht="18.75">
      <c r="A571" s="1"/>
      <c r="B571" s="1" t="s">
        <v>37267</v>
      </c>
      <c r="C571" s="1" t="s">
        <v>7</v>
      </c>
      <c r="D571" s="1" t="s">
        <v>10</v>
      </c>
      <c r="E571" s="1" t="s">
        <v>37034</v>
      </c>
      <c r="F571" s="1" t="s">
        <v>3617</v>
      </c>
      <c r="G571" s="1" t="s">
        <v>37281</v>
      </c>
      <c r="H571" s="1" t="s">
        <v>37037</v>
      </c>
      <c r="I571" s="1"/>
      <c r="J571" s="1"/>
      <c r="K571" s="1"/>
      <c r="L571" s="1"/>
      <c r="M571" s="1"/>
      <c r="N571" s="1"/>
      <c r="O571" s="1"/>
      <c r="P571" s="1"/>
      <c r="Q571" s="17"/>
    </row>
    <row x14ac:dyDescent="0.25" r="572" customHeight="1" ht="18.75">
      <c r="A572" s="1"/>
      <c r="B572" s="1" t="s">
        <v>37267</v>
      </c>
      <c r="C572" s="1" t="s">
        <v>7</v>
      </c>
      <c r="D572" s="1" t="s">
        <v>10</v>
      </c>
      <c r="E572" s="1" t="s">
        <v>37034</v>
      </c>
      <c r="F572" s="1" t="s">
        <v>3617</v>
      </c>
      <c r="G572" s="1" t="s">
        <v>37282</v>
      </c>
      <c r="H572" s="1" t="s">
        <v>3610</v>
      </c>
      <c r="I572" s="1"/>
      <c r="J572" s="1"/>
      <c r="K572" s="1"/>
      <c r="L572" s="1"/>
      <c r="M572" s="1"/>
      <c r="N572" s="1"/>
      <c r="O572" s="1"/>
      <c r="P572" s="1"/>
      <c r="Q572" s="17"/>
    </row>
    <row x14ac:dyDescent="0.25" r="573" customHeight="1" ht="18.75">
      <c r="A573" s="1"/>
      <c r="B573" s="1" t="s">
        <v>37267</v>
      </c>
      <c r="C573" s="1" t="s">
        <v>7</v>
      </c>
      <c r="D573" s="1" t="s">
        <v>10</v>
      </c>
      <c r="E573" s="1" t="s">
        <v>37034</v>
      </c>
      <c r="F573" s="1" t="s">
        <v>3617</v>
      </c>
      <c r="G573" s="1" t="s">
        <v>37283</v>
      </c>
      <c r="H573" s="1" t="s">
        <v>3610</v>
      </c>
      <c r="I573" s="1"/>
      <c r="J573" s="1"/>
      <c r="K573" s="1"/>
      <c r="L573" s="1"/>
      <c r="M573" s="1"/>
      <c r="N573" s="1"/>
      <c r="O573" s="1"/>
      <c r="P573" s="1"/>
      <c r="Q573" s="17"/>
    </row>
    <row x14ac:dyDescent="0.25" r="574" customHeight="1" ht="18.75">
      <c r="A574" s="1"/>
      <c r="B574" s="1" t="s">
        <v>37267</v>
      </c>
      <c r="C574" s="1" t="s">
        <v>7</v>
      </c>
      <c r="D574" s="1" t="s">
        <v>10</v>
      </c>
      <c r="E574" s="1" t="s">
        <v>37034</v>
      </c>
      <c r="F574" s="1" t="s">
        <v>3617</v>
      </c>
      <c r="G574" s="1" t="s">
        <v>37284</v>
      </c>
      <c r="H574" s="1" t="s">
        <v>3610</v>
      </c>
      <c r="I574" s="1"/>
      <c r="J574" s="1"/>
      <c r="K574" s="1"/>
      <c r="L574" s="1"/>
      <c r="M574" s="1"/>
      <c r="N574" s="1"/>
      <c r="O574" s="1"/>
      <c r="P574" s="1"/>
      <c r="Q574" s="17"/>
    </row>
    <row x14ac:dyDescent="0.25" r="575" customHeight="1" ht="18.75">
      <c r="A575" s="1"/>
      <c r="B575" s="1" t="s">
        <v>37267</v>
      </c>
      <c r="C575" s="1" t="s">
        <v>7</v>
      </c>
      <c r="D575" s="1" t="s">
        <v>10</v>
      </c>
      <c r="E575" s="1" t="s">
        <v>37034</v>
      </c>
      <c r="F575" s="1" t="s">
        <v>3617</v>
      </c>
      <c r="G575" s="1" t="s">
        <v>37285</v>
      </c>
      <c r="H575" s="1" t="s">
        <v>3695</v>
      </c>
      <c r="I575" s="1"/>
      <c r="J575" s="1"/>
      <c r="K575" s="1"/>
      <c r="L575" s="1"/>
      <c r="M575" s="1"/>
      <c r="N575" s="1"/>
      <c r="O575" s="1"/>
      <c r="P575" s="1"/>
      <c r="Q575" s="17"/>
    </row>
    <row x14ac:dyDescent="0.25" r="576" customHeight="1" ht="18.75">
      <c r="A576" s="1"/>
      <c r="B576" s="1" t="s">
        <v>37267</v>
      </c>
      <c r="C576" s="1" t="s">
        <v>7</v>
      </c>
      <c r="D576" s="1" t="s">
        <v>10</v>
      </c>
      <c r="E576" s="1" t="s">
        <v>37034</v>
      </c>
      <c r="F576" s="1" t="s">
        <v>3617</v>
      </c>
      <c r="G576" s="1" t="s">
        <v>37286</v>
      </c>
      <c r="H576" s="1" t="s">
        <v>3695</v>
      </c>
      <c r="I576" s="1"/>
      <c r="J576" s="1"/>
      <c r="K576" s="1"/>
      <c r="L576" s="1"/>
      <c r="M576" s="1"/>
      <c r="N576" s="1"/>
      <c r="O576" s="1"/>
      <c r="P576" s="1"/>
      <c r="Q576" s="17"/>
    </row>
    <row x14ac:dyDescent="0.25" r="577" customHeight="1" ht="18.75">
      <c r="A577" s="1"/>
      <c r="B577" s="1" t="s">
        <v>37267</v>
      </c>
      <c r="C577" s="1" t="s">
        <v>7</v>
      </c>
      <c r="D577" s="1" t="s">
        <v>10</v>
      </c>
      <c r="E577" s="1" t="s">
        <v>37034</v>
      </c>
      <c r="F577" s="1" t="s">
        <v>3617</v>
      </c>
      <c r="G577" s="1" t="s">
        <v>37287</v>
      </c>
      <c r="H577" s="1" t="s">
        <v>3695</v>
      </c>
      <c r="I577" s="1"/>
      <c r="J577" s="1"/>
      <c r="K577" s="1"/>
      <c r="L577" s="1"/>
      <c r="M577" s="1"/>
      <c r="N577" s="1"/>
      <c r="O577" s="1"/>
      <c r="P577" s="1"/>
      <c r="Q577" s="17"/>
    </row>
    <row x14ac:dyDescent="0.25" r="578" customHeight="1" ht="18.75">
      <c r="A578" s="1"/>
      <c r="B578" s="1" t="s">
        <v>37267</v>
      </c>
      <c r="C578" s="1" t="s">
        <v>7</v>
      </c>
      <c r="D578" s="1" t="s">
        <v>10</v>
      </c>
      <c r="E578" s="1" t="s">
        <v>36395</v>
      </c>
      <c r="F578" s="1" t="s">
        <v>3617</v>
      </c>
      <c r="G578" s="1" t="s">
        <v>35625</v>
      </c>
      <c r="H578" s="1" t="s">
        <v>7847</v>
      </c>
      <c r="I578" s="1"/>
      <c r="J578" s="1"/>
      <c r="K578" s="1"/>
      <c r="L578" s="1"/>
      <c r="M578" s="1"/>
      <c r="N578" s="1"/>
      <c r="O578" s="1"/>
      <c r="P578" s="1"/>
      <c r="Q578" s="17"/>
    </row>
    <row x14ac:dyDescent="0.25" r="579" customHeight="1" ht="18.75">
      <c r="A579" s="1"/>
      <c r="B579" s="1" t="s">
        <v>37267</v>
      </c>
      <c r="C579" s="1" t="s">
        <v>7</v>
      </c>
      <c r="D579" s="1" t="s">
        <v>10</v>
      </c>
      <c r="E579" s="1" t="s">
        <v>36395</v>
      </c>
      <c r="F579" s="1" t="s">
        <v>3617</v>
      </c>
      <c r="G579" s="1" t="s">
        <v>35629</v>
      </c>
      <c r="H579" s="1" t="s">
        <v>7847</v>
      </c>
      <c r="I579" s="1"/>
      <c r="J579" s="1"/>
      <c r="K579" s="1"/>
      <c r="L579" s="1"/>
      <c r="M579" s="1"/>
      <c r="N579" s="1"/>
      <c r="O579" s="1"/>
      <c r="P579" s="1"/>
      <c r="Q579" s="17"/>
    </row>
    <row x14ac:dyDescent="0.25" r="580" customHeight="1" ht="18.75">
      <c r="A580" s="1"/>
      <c r="B580" s="1" t="s">
        <v>37267</v>
      </c>
      <c r="C580" s="1" t="s">
        <v>7</v>
      </c>
      <c r="D580" s="1" t="s">
        <v>10</v>
      </c>
      <c r="E580" s="1" t="s">
        <v>36395</v>
      </c>
      <c r="F580" s="1" t="s">
        <v>3617</v>
      </c>
      <c r="G580" s="1" t="s">
        <v>35632</v>
      </c>
      <c r="H580" s="1" t="s">
        <v>7847</v>
      </c>
      <c r="I580" s="1"/>
      <c r="J580" s="1"/>
      <c r="K580" s="1"/>
      <c r="L580" s="1"/>
      <c r="M580" s="1"/>
      <c r="N580" s="1"/>
      <c r="O580" s="1"/>
      <c r="P580" s="1"/>
      <c r="Q580" s="17"/>
    </row>
    <row x14ac:dyDescent="0.25" r="581" customHeight="1" ht="18.75">
      <c r="A581" s="1"/>
      <c r="B581" s="1" t="s">
        <v>37267</v>
      </c>
      <c r="C581" s="1" t="s">
        <v>7</v>
      </c>
      <c r="D581" s="1" t="s">
        <v>10</v>
      </c>
      <c r="E581" s="1" t="s">
        <v>37034</v>
      </c>
      <c r="F581" s="1" t="s">
        <v>3617</v>
      </c>
      <c r="G581" s="1" t="s">
        <v>37288</v>
      </c>
      <c r="H581" s="1" t="s">
        <v>37037</v>
      </c>
      <c r="I581" s="1"/>
      <c r="J581" s="1"/>
      <c r="K581" s="1"/>
      <c r="L581" s="1"/>
      <c r="M581" s="1"/>
      <c r="N581" s="1"/>
      <c r="O581" s="1"/>
      <c r="P581" s="1"/>
      <c r="Q581" s="17"/>
    </row>
    <row x14ac:dyDescent="0.25" r="582" customHeight="1" ht="18.75">
      <c r="A582" s="1"/>
      <c r="B582" s="1" t="s">
        <v>37267</v>
      </c>
      <c r="C582" s="1" t="s">
        <v>7</v>
      </c>
      <c r="D582" s="1" t="s">
        <v>10</v>
      </c>
      <c r="E582" s="1" t="s">
        <v>37034</v>
      </c>
      <c r="F582" s="1" t="s">
        <v>3617</v>
      </c>
      <c r="G582" s="1" t="s">
        <v>37289</v>
      </c>
      <c r="H582" s="1" t="s">
        <v>37037</v>
      </c>
      <c r="I582" s="1"/>
      <c r="J582" s="1"/>
      <c r="K582" s="1"/>
      <c r="L582" s="1"/>
      <c r="M582" s="1"/>
      <c r="N582" s="1"/>
      <c r="O582" s="1"/>
      <c r="P582" s="1"/>
      <c r="Q582" s="17"/>
    </row>
    <row x14ac:dyDescent="0.25" r="583" customHeight="1" ht="18.75">
      <c r="A583" s="1"/>
      <c r="B583" s="1" t="s">
        <v>37267</v>
      </c>
      <c r="C583" s="1" t="s">
        <v>7</v>
      </c>
      <c r="D583" s="1" t="s">
        <v>10</v>
      </c>
      <c r="E583" s="1" t="s">
        <v>37034</v>
      </c>
      <c r="F583" s="1" t="s">
        <v>3617</v>
      </c>
      <c r="G583" s="1" t="s">
        <v>37290</v>
      </c>
      <c r="H583" s="1" t="s">
        <v>37037</v>
      </c>
      <c r="I583" s="1"/>
      <c r="J583" s="1"/>
      <c r="K583" s="1"/>
      <c r="L583" s="1"/>
      <c r="M583" s="1"/>
      <c r="N583" s="1"/>
      <c r="O583" s="1"/>
      <c r="P583" s="1"/>
      <c r="Q583" s="17"/>
    </row>
    <row x14ac:dyDescent="0.25" r="584" customHeight="1" ht="18.75">
      <c r="A584" s="1"/>
      <c r="B584" s="1" t="s">
        <v>37267</v>
      </c>
      <c r="C584" s="1" t="s">
        <v>7</v>
      </c>
      <c r="D584" s="1" t="s">
        <v>10</v>
      </c>
      <c r="E584" s="1" t="s">
        <v>37034</v>
      </c>
      <c r="F584" s="1" t="s">
        <v>3617</v>
      </c>
      <c r="G584" s="1" t="s">
        <v>37291</v>
      </c>
      <c r="H584" s="1" t="s">
        <v>10630</v>
      </c>
      <c r="I584" s="1"/>
      <c r="J584" s="1"/>
      <c r="K584" s="1"/>
      <c r="L584" s="1"/>
      <c r="M584" s="1"/>
      <c r="N584" s="1"/>
      <c r="O584" s="1"/>
      <c r="P584" s="1"/>
      <c r="Q584" s="17"/>
    </row>
    <row x14ac:dyDescent="0.25" r="585" customHeight="1" ht="18.75">
      <c r="A585" s="1"/>
      <c r="B585" s="1" t="s">
        <v>37267</v>
      </c>
      <c r="C585" s="1" t="s">
        <v>7</v>
      </c>
      <c r="D585" s="1" t="s">
        <v>10</v>
      </c>
      <c r="E585" s="1" t="s">
        <v>37034</v>
      </c>
      <c r="F585" s="1" t="s">
        <v>3617</v>
      </c>
      <c r="G585" s="1" t="s">
        <v>37292</v>
      </c>
      <c r="H585" s="1" t="s">
        <v>10630</v>
      </c>
      <c r="I585" s="1"/>
      <c r="J585" s="1"/>
      <c r="K585" s="1"/>
      <c r="L585" s="1"/>
      <c r="M585" s="1"/>
      <c r="N585" s="1"/>
      <c r="O585" s="1"/>
      <c r="P585" s="1"/>
      <c r="Q585" s="17"/>
    </row>
    <row x14ac:dyDescent="0.25" r="586" customHeight="1" ht="18.75">
      <c r="A586" s="1"/>
      <c r="B586" s="1" t="s">
        <v>37267</v>
      </c>
      <c r="C586" s="1" t="s">
        <v>7</v>
      </c>
      <c r="D586" s="1" t="s">
        <v>10</v>
      </c>
      <c r="E586" s="1" t="s">
        <v>37034</v>
      </c>
      <c r="F586" s="1" t="s">
        <v>3617</v>
      </c>
      <c r="G586" s="1" t="s">
        <v>37293</v>
      </c>
      <c r="H586" s="1" t="s">
        <v>10630</v>
      </c>
      <c r="I586" s="1"/>
      <c r="J586" s="1"/>
      <c r="K586" s="1"/>
      <c r="L586" s="1"/>
      <c r="M586" s="1"/>
      <c r="N586" s="1"/>
      <c r="O586" s="1"/>
      <c r="P586" s="1"/>
      <c r="Q586" s="17"/>
    </row>
    <row x14ac:dyDescent="0.25" r="587" customHeight="1" ht="18.75">
      <c r="A587" s="1"/>
      <c r="B587" s="1" t="s">
        <v>37267</v>
      </c>
      <c r="C587" s="1" t="s">
        <v>7</v>
      </c>
      <c r="D587" s="1" t="s">
        <v>10</v>
      </c>
      <c r="E587" s="1" t="s">
        <v>37034</v>
      </c>
      <c r="F587" s="1" t="s">
        <v>3617</v>
      </c>
      <c r="G587" s="1" t="s">
        <v>37294</v>
      </c>
      <c r="H587" s="1" t="s">
        <v>37057</v>
      </c>
      <c r="I587" s="1"/>
      <c r="J587" s="1"/>
      <c r="K587" s="1"/>
      <c r="L587" s="1"/>
      <c r="M587" s="1"/>
      <c r="N587" s="1"/>
      <c r="O587" s="1"/>
      <c r="P587" s="1"/>
      <c r="Q587" s="17"/>
    </row>
    <row x14ac:dyDescent="0.25" r="588" customHeight="1" ht="18.75">
      <c r="A588" s="1"/>
      <c r="B588" s="1" t="s">
        <v>37267</v>
      </c>
      <c r="C588" s="1" t="s">
        <v>7</v>
      </c>
      <c r="D588" s="1" t="s">
        <v>10</v>
      </c>
      <c r="E588" s="1" t="s">
        <v>37034</v>
      </c>
      <c r="F588" s="1" t="s">
        <v>3617</v>
      </c>
      <c r="G588" s="1" t="s">
        <v>37295</v>
      </c>
      <c r="H588" s="1" t="s">
        <v>37057</v>
      </c>
      <c r="I588" s="1"/>
      <c r="J588" s="1"/>
      <c r="K588" s="1"/>
      <c r="L588" s="1"/>
      <c r="M588" s="1"/>
      <c r="N588" s="1"/>
      <c r="O588" s="1"/>
      <c r="P588" s="1"/>
      <c r="Q588" s="17"/>
    </row>
    <row x14ac:dyDescent="0.25" r="589" customHeight="1" ht="18.75">
      <c r="A589" s="1"/>
      <c r="B589" s="1" t="s">
        <v>37267</v>
      </c>
      <c r="C589" s="1" t="s">
        <v>7</v>
      </c>
      <c r="D589" s="1" t="s">
        <v>10</v>
      </c>
      <c r="E589" s="1" t="s">
        <v>37034</v>
      </c>
      <c r="F589" s="1" t="s">
        <v>3617</v>
      </c>
      <c r="G589" s="1" t="s">
        <v>37296</v>
      </c>
      <c r="H589" s="1" t="s">
        <v>37057</v>
      </c>
      <c r="I589" s="1"/>
      <c r="J589" s="1"/>
      <c r="K589" s="1"/>
      <c r="L589" s="1"/>
      <c r="M589" s="1"/>
      <c r="N589" s="1"/>
      <c r="O589" s="1"/>
      <c r="P589" s="1"/>
      <c r="Q589" s="17"/>
    </row>
    <row x14ac:dyDescent="0.25" r="590" customHeight="1" ht="18.75">
      <c r="A590" s="1"/>
      <c r="B590" s="1" t="s">
        <v>37267</v>
      </c>
      <c r="C590" s="1" t="s">
        <v>7</v>
      </c>
      <c r="D590" s="1" t="s">
        <v>10</v>
      </c>
      <c r="E590" s="1" t="s">
        <v>37034</v>
      </c>
      <c r="F590" s="1" t="s">
        <v>3617</v>
      </c>
      <c r="G590" s="1" t="s">
        <v>37297</v>
      </c>
      <c r="H590" s="1" t="s">
        <v>37057</v>
      </c>
      <c r="I590" s="1"/>
      <c r="J590" s="1"/>
      <c r="K590" s="1"/>
      <c r="L590" s="1"/>
      <c r="M590" s="1"/>
      <c r="N590" s="1"/>
      <c r="O590" s="1"/>
      <c r="P590" s="1"/>
      <c r="Q590" s="17"/>
    </row>
    <row x14ac:dyDescent="0.25" r="591" customHeight="1" ht="18.75">
      <c r="A591" s="1"/>
      <c r="B591" s="1" t="s">
        <v>37298</v>
      </c>
      <c r="C591" s="1" t="s">
        <v>7</v>
      </c>
      <c r="D591" s="1" t="s">
        <v>10</v>
      </c>
      <c r="E591" s="1" t="s">
        <v>36395</v>
      </c>
      <c r="F591" s="1" t="s">
        <v>3598</v>
      </c>
      <c r="G591" s="1" t="s">
        <v>37299</v>
      </c>
      <c r="H591" s="1" t="s">
        <v>37107</v>
      </c>
      <c r="I591" s="1"/>
      <c r="J591" s="1"/>
      <c r="K591" s="1"/>
      <c r="L591" s="1"/>
      <c r="M591" s="1"/>
      <c r="N591" s="1"/>
      <c r="O591" s="1"/>
      <c r="P591" s="1"/>
      <c r="Q591" s="17"/>
    </row>
    <row x14ac:dyDescent="0.25" r="592" customHeight="1" ht="18.75">
      <c r="A592" s="1"/>
      <c r="B592" s="1" t="s">
        <v>37300</v>
      </c>
      <c r="C592" s="1" t="s">
        <v>7</v>
      </c>
      <c r="D592" s="1" t="s">
        <v>10</v>
      </c>
      <c r="E592" s="1" t="s">
        <v>36395</v>
      </c>
      <c r="F592" s="1" t="s">
        <v>3598</v>
      </c>
      <c r="G592" s="1" t="s">
        <v>35424</v>
      </c>
      <c r="H592" s="1" t="s">
        <v>37107</v>
      </c>
      <c r="I592" s="1"/>
      <c r="J592" s="1"/>
      <c r="K592" s="1"/>
      <c r="L592" s="1"/>
      <c r="M592" s="1"/>
      <c r="N592" s="1"/>
      <c r="O592" s="1"/>
      <c r="P592" s="1"/>
      <c r="Q592" s="17"/>
    </row>
    <row x14ac:dyDescent="0.25" r="593" customHeight="1" ht="18.75">
      <c r="A593" s="1"/>
      <c r="B593" s="1" t="s">
        <v>37301</v>
      </c>
      <c r="C593" s="1" t="s">
        <v>7</v>
      </c>
      <c r="D593" s="1" t="s">
        <v>10</v>
      </c>
      <c r="E593" s="1" t="s">
        <v>36395</v>
      </c>
      <c r="F593" s="1" t="s">
        <v>3598</v>
      </c>
      <c r="G593" s="1" t="s">
        <v>37302</v>
      </c>
      <c r="H593" s="1" t="s">
        <v>7847</v>
      </c>
      <c r="I593" s="1"/>
      <c r="J593" s="1"/>
      <c r="K593" s="1"/>
      <c r="L593" s="1"/>
      <c r="M593" s="1"/>
      <c r="N593" s="1"/>
      <c r="O593" s="1"/>
      <c r="P593" s="1"/>
      <c r="Q593" s="17"/>
    </row>
    <row x14ac:dyDescent="0.25" r="594" customHeight="1" ht="18.75">
      <c r="A594" s="1"/>
      <c r="B594" s="1" t="s">
        <v>37301</v>
      </c>
      <c r="C594" s="1" t="s">
        <v>7</v>
      </c>
      <c r="D594" s="1" t="s">
        <v>10</v>
      </c>
      <c r="E594" s="1" t="s">
        <v>36395</v>
      </c>
      <c r="F594" s="1" t="s">
        <v>3598</v>
      </c>
      <c r="G594" s="1" t="s">
        <v>37303</v>
      </c>
      <c r="H594" s="1" t="s">
        <v>7847</v>
      </c>
      <c r="I594" s="1"/>
      <c r="J594" s="1"/>
      <c r="K594" s="1"/>
      <c r="L594" s="1"/>
      <c r="M594" s="1"/>
      <c r="N594" s="1"/>
      <c r="O594" s="1"/>
      <c r="P594" s="1"/>
      <c r="Q594" s="17"/>
    </row>
    <row x14ac:dyDescent="0.25" r="595" customHeight="1" ht="18.75">
      <c r="A595" s="1"/>
      <c r="B595" s="1" t="s">
        <v>37301</v>
      </c>
      <c r="C595" s="1" t="s">
        <v>7</v>
      </c>
      <c r="D595" s="1" t="s">
        <v>10</v>
      </c>
      <c r="E595" s="1" t="s">
        <v>36395</v>
      </c>
      <c r="F595" s="1" t="s">
        <v>3598</v>
      </c>
      <c r="G595" s="1" t="s">
        <v>37304</v>
      </c>
      <c r="H595" s="1" t="s">
        <v>7847</v>
      </c>
      <c r="I595" s="1"/>
      <c r="J595" s="1"/>
      <c r="K595" s="1"/>
      <c r="L595" s="1"/>
      <c r="M595" s="1"/>
      <c r="N595" s="1"/>
      <c r="O595" s="1"/>
      <c r="P595" s="1"/>
      <c r="Q595" s="17"/>
    </row>
    <row x14ac:dyDescent="0.25" r="596" customHeight="1" ht="18.75">
      <c r="A596" s="1"/>
      <c r="B596" s="1" t="s">
        <v>37301</v>
      </c>
      <c r="C596" s="1" t="s">
        <v>7</v>
      </c>
      <c r="D596" s="1" t="s">
        <v>10</v>
      </c>
      <c r="E596" s="1" t="s">
        <v>37034</v>
      </c>
      <c r="F596" s="1" t="s">
        <v>3598</v>
      </c>
      <c r="G596" s="1" t="s">
        <v>37305</v>
      </c>
      <c r="H596" s="1" t="s">
        <v>3610</v>
      </c>
      <c r="I596" s="1"/>
      <c r="J596" s="1"/>
      <c r="K596" s="1"/>
      <c r="L596" s="1"/>
      <c r="M596" s="1"/>
      <c r="N596" s="1"/>
      <c r="O596" s="1"/>
      <c r="P596" s="1"/>
      <c r="Q596" s="17"/>
    </row>
    <row x14ac:dyDescent="0.25" r="597" customHeight="1" ht="18.75">
      <c r="A597" s="1"/>
      <c r="B597" s="1" t="s">
        <v>37306</v>
      </c>
      <c r="C597" s="1" t="s">
        <v>7</v>
      </c>
      <c r="D597" s="1" t="s">
        <v>10</v>
      </c>
      <c r="E597" s="1" t="s">
        <v>36395</v>
      </c>
      <c r="F597" s="1" t="s">
        <v>3598</v>
      </c>
      <c r="G597" s="1" t="s">
        <v>37307</v>
      </c>
      <c r="H597" s="1" t="s">
        <v>7847</v>
      </c>
      <c r="I597" s="1"/>
      <c r="J597" s="1"/>
      <c r="K597" s="1"/>
      <c r="L597" s="1"/>
      <c r="M597" s="1"/>
      <c r="N597" s="1"/>
      <c r="O597" s="1"/>
      <c r="P597" s="1"/>
      <c r="Q597" s="17"/>
    </row>
    <row x14ac:dyDescent="0.25" r="598" customHeight="1" ht="18.75">
      <c r="A598" s="1"/>
      <c r="B598" s="1" t="s">
        <v>37308</v>
      </c>
      <c r="C598" s="1" t="s">
        <v>7</v>
      </c>
      <c r="D598" s="1" t="s">
        <v>10</v>
      </c>
      <c r="E598" s="1" t="s">
        <v>36395</v>
      </c>
      <c r="F598" s="1" t="s">
        <v>3598</v>
      </c>
      <c r="G598" s="1" t="s">
        <v>37309</v>
      </c>
      <c r="H598" s="1" t="s">
        <v>7847</v>
      </c>
      <c r="I598" s="1"/>
      <c r="J598" s="1"/>
      <c r="K598" s="1"/>
      <c r="L598" s="1"/>
      <c r="M598" s="1"/>
      <c r="N598" s="1"/>
      <c r="O598" s="1"/>
      <c r="P598" s="1"/>
      <c r="Q598" s="17"/>
    </row>
    <row x14ac:dyDescent="0.25" r="599" customHeight="1" ht="18.75">
      <c r="A599" s="1"/>
      <c r="B599" s="1" t="s">
        <v>37308</v>
      </c>
      <c r="C599" s="1" t="s">
        <v>7</v>
      </c>
      <c r="D599" s="1" t="s">
        <v>10</v>
      </c>
      <c r="E599" s="1" t="s">
        <v>36395</v>
      </c>
      <c r="F599" s="1" t="s">
        <v>3598</v>
      </c>
      <c r="G599" s="1" t="s">
        <v>37310</v>
      </c>
      <c r="H599" s="1" t="s">
        <v>7847</v>
      </c>
      <c r="I599" s="1"/>
      <c r="J599" s="1"/>
      <c r="K599" s="1"/>
      <c r="L599" s="1"/>
      <c r="M599" s="1"/>
      <c r="N599" s="1"/>
      <c r="O599" s="1"/>
      <c r="P599" s="1"/>
      <c r="Q599" s="17"/>
    </row>
    <row x14ac:dyDescent="0.25" r="600" customHeight="1" ht="18.75">
      <c r="A600" s="1"/>
      <c r="B600" s="1" t="s">
        <v>37308</v>
      </c>
      <c r="C600" s="1" t="s">
        <v>7</v>
      </c>
      <c r="D600" s="1" t="s">
        <v>10</v>
      </c>
      <c r="E600" s="1" t="s">
        <v>36395</v>
      </c>
      <c r="F600" s="1" t="s">
        <v>3598</v>
      </c>
      <c r="G600" s="1" t="s">
        <v>37311</v>
      </c>
      <c r="H600" s="1" t="s">
        <v>7847</v>
      </c>
      <c r="I600" s="1"/>
      <c r="J600" s="1"/>
      <c r="K600" s="1"/>
      <c r="L600" s="1"/>
      <c r="M600" s="1"/>
      <c r="N600" s="1"/>
      <c r="O600" s="1"/>
      <c r="P600" s="1"/>
      <c r="Q600" s="17"/>
    </row>
    <row x14ac:dyDescent="0.25" r="601" customHeight="1" ht="18.75">
      <c r="A601" s="1"/>
      <c r="B601" s="1" t="s">
        <v>37301</v>
      </c>
      <c r="C601" s="1" t="s">
        <v>7</v>
      </c>
      <c r="D601" s="1" t="s">
        <v>10</v>
      </c>
      <c r="E601" s="1" t="s">
        <v>37034</v>
      </c>
      <c r="F601" s="1" t="s">
        <v>3598</v>
      </c>
      <c r="G601" s="1" t="s">
        <v>37312</v>
      </c>
      <c r="H601" s="1" t="s">
        <v>37057</v>
      </c>
      <c r="I601" s="1"/>
      <c r="J601" s="1"/>
      <c r="K601" s="1"/>
      <c r="L601" s="1"/>
      <c r="M601" s="1"/>
      <c r="N601" s="1"/>
      <c r="O601" s="1"/>
      <c r="P601" s="1"/>
      <c r="Q601" s="17"/>
    </row>
    <row x14ac:dyDescent="0.25" r="602" customHeight="1" ht="18.75">
      <c r="A602" s="1"/>
      <c r="B602" s="1" t="s">
        <v>37301</v>
      </c>
      <c r="C602" s="1" t="s">
        <v>7</v>
      </c>
      <c r="D602" s="1" t="s">
        <v>10</v>
      </c>
      <c r="E602" s="1" t="s">
        <v>37034</v>
      </c>
      <c r="F602" s="1" t="s">
        <v>3598</v>
      </c>
      <c r="G602" s="1" t="s">
        <v>37313</v>
      </c>
      <c r="H602" s="1" t="s">
        <v>37057</v>
      </c>
      <c r="I602" s="1"/>
      <c r="J602" s="1"/>
      <c r="K602" s="1"/>
      <c r="L602" s="1"/>
      <c r="M602" s="1"/>
      <c r="N602" s="1"/>
      <c r="O602" s="1"/>
      <c r="P602" s="1"/>
      <c r="Q602" s="17"/>
    </row>
    <row x14ac:dyDescent="0.25" r="603" customHeight="1" ht="18.75">
      <c r="A603" s="1"/>
      <c r="B603" s="1" t="s">
        <v>37314</v>
      </c>
      <c r="C603" s="1" t="s">
        <v>7</v>
      </c>
      <c r="D603" s="1" t="s">
        <v>10</v>
      </c>
      <c r="E603" s="1" t="s">
        <v>37034</v>
      </c>
      <c r="F603" s="1" t="s">
        <v>3617</v>
      </c>
      <c r="G603" s="1" t="s">
        <v>37315</v>
      </c>
      <c r="H603" s="1" t="s">
        <v>3610</v>
      </c>
      <c r="I603" s="1"/>
      <c r="J603" s="1"/>
      <c r="K603" s="1"/>
      <c r="L603" s="1"/>
      <c r="M603" s="1"/>
      <c r="N603" s="1"/>
      <c r="O603" s="1"/>
      <c r="P603" s="1"/>
      <c r="Q603" s="17"/>
    </row>
    <row x14ac:dyDescent="0.25" r="604" customHeight="1" ht="18.75">
      <c r="A604" s="1"/>
      <c r="B604" s="1" t="s">
        <v>37314</v>
      </c>
      <c r="C604" s="1" t="s">
        <v>7</v>
      </c>
      <c r="D604" s="1" t="s">
        <v>10</v>
      </c>
      <c r="E604" s="1" t="s">
        <v>37034</v>
      </c>
      <c r="F604" s="1" t="s">
        <v>3617</v>
      </c>
      <c r="G604" s="1" t="s">
        <v>37316</v>
      </c>
      <c r="H604" s="1" t="s">
        <v>3610</v>
      </c>
      <c r="I604" s="1"/>
      <c r="J604" s="1"/>
      <c r="K604" s="1"/>
      <c r="L604" s="1"/>
      <c r="M604" s="1"/>
      <c r="N604" s="1"/>
      <c r="O604" s="1"/>
      <c r="P604" s="1"/>
      <c r="Q604" s="17"/>
    </row>
    <row x14ac:dyDescent="0.25" r="605" customHeight="1" ht="18.75">
      <c r="A605" s="1"/>
      <c r="B605" s="1" t="s">
        <v>37314</v>
      </c>
      <c r="C605" s="1" t="s">
        <v>7</v>
      </c>
      <c r="D605" s="1" t="s">
        <v>10</v>
      </c>
      <c r="E605" s="1" t="s">
        <v>37034</v>
      </c>
      <c r="F605" s="1" t="s">
        <v>3617</v>
      </c>
      <c r="G605" s="1" t="s">
        <v>37317</v>
      </c>
      <c r="H605" s="1" t="s">
        <v>3610</v>
      </c>
      <c r="I605" s="1"/>
      <c r="J605" s="1"/>
      <c r="K605" s="1"/>
      <c r="L605" s="1"/>
      <c r="M605" s="1"/>
      <c r="N605" s="1"/>
      <c r="O605" s="1"/>
      <c r="P605" s="1"/>
      <c r="Q605" s="17"/>
    </row>
    <row x14ac:dyDescent="0.25" r="606" customHeight="1" ht="18.75">
      <c r="A606" s="1"/>
      <c r="B606" s="1" t="s">
        <v>37314</v>
      </c>
      <c r="C606" s="1" t="s">
        <v>7</v>
      </c>
      <c r="D606" s="1" t="s">
        <v>10</v>
      </c>
      <c r="E606" s="1" t="s">
        <v>37034</v>
      </c>
      <c r="F606" s="1" t="s">
        <v>3617</v>
      </c>
      <c r="G606" s="1" t="s">
        <v>37318</v>
      </c>
      <c r="H606" s="1" t="s">
        <v>3610</v>
      </c>
      <c r="I606" s="1"/>
      <c r="J606" s="1"/>
      <c r="K606" s="1"/>
      <c r="L606" s="1"/>
      <c r="M606" s="1"/>
      <c r="N606" s="1"/>
      <c r="O606" s="1"/>
      <c r="P606" s="1"/>
      <c r="Q606" s="17"/>
    </row>
    <row x14ac:dyDescent="0.25" r="607" customHeight="1" ht="18.75">
      <c r="A607" s="1"/>
      <c r="B607" s="1" t="s">
        <v>37314</v>
      </c>
      <c r="C607" s="1" t="s">
        <v>7</v>
      </c>
      <c r="D607" s="1" t="s">
        <v>10</v>
      </c>
      <c r="E607" s="1" t="s">
        <v>37034</v>
      </c>
      <c r="F607" s="1" t="s">
        <v>3617</v>
      </c>
      <c r="G607" s="1" t="s">
        <v>37319</v>
      </c>
      <c r="H607" s="1" t="s">
        <v>3610</v>
      </c>
      <c r="I607" s="1"/>
      <c r="J607" s="1"/>
      <c r="K607" s="1"/>
      <c r="L607" s="1"/>
      <c r="M607" s="1"/>
      <c r="N607" s="1"/>
      <c r="O607" s="1"/>
      <c r="P607" s="1"/>
      <c r="Q607" s="17"/>
    </row>
    <row x14ac:dyDescent="0.25" r="608" customHeight="1" ht="18.75">
      <c r="A608" s="1"/>
      <c r="B608" s="1" t="s">
        <v>37314</v>
      </c>
      <c r="C608" s="1" t="s">
        <v>7</v>
      </c>
      <c r="D608" s="1" t="s">
        <v>10</v>
      </c>
      <c r="E608" s="1" t="s">
        <v>37034</v>
      </c>
      <c r="F608" s="1" t="s">
        <v>3617</v>
      </c>
      <c r="G608" s="1" t="s">
        <v>37320</v>
      </c>
      <c r="H608" s="1" t="s">
        <v>3610</v>
      </c>
      <c r="I608" s="1"/>
      <c r="J608" s="1"/>
      <c r="K608" s="1"/>
      <c r="L608" s="1"/>
      <c r="M608" s="1"/>
      <c r="N608" s="1"/>
      <c r="O608" s="1"/>
      <c r="P608" s="1"/>
      <c r="Q608" s="17"/>
    </row>
    <row x14ac:dyDescent="0.25" r="609" customHeight="1" ht="18.75">
      <c r="A609" s="1"/>
      <c r="B609" s="1" t="s">
        <v>37314</v>
      </c>
      <c r="C609" s="1" t="s">
        <v>7</v>
      </c>
      <c r="D609" s="1" t="s">
        <v>10</v>
      </c>
      <c r="E609" s="1" t="s">
        <v>37034</v>
      </c>
      <c r="F609" s="1" t="s">
        <v>3617</v>
      </c>
      <c r="G609" s="1" t="s">
        <v>37321</v>
      </c>
      <c r="H609" s="1" t="s">
        <v>533</v>
      </c>
      <c r="I609" s="1"/>
      <c r="J609" s="1"/>
      <c r="K609" s="1"/>
      <c r="L609" s="1"/>
      <c r="M609" s="1"/>
      <c r="N609" s="1"/>
      <c r="O609" s="1"/>
      <c r="P609" s="1"/>
      <c r="Q609" s="17"/>
    </row>
    <row x14ac:dyDescent="0.25" r="610" customHeight="1" ht="18.75">
      <c r="A610" s="1"/>
      <c r="B610" s="1" t="s">
        <v>37314</v>
      </c>
      <c r="C610" s="1" t="s">
        <v>7</v>
      </c>
      <c r="D610" s="1" t="s">
        <v>10</v>
      </c>
      <c r="E610" s="1" t="s">
        <v>37034</v>
      </c>
      <c r="F610" s="1" t="s">
        <v>3617</v>
      </c>
      <c r="G610" s="1" t="s">
        <v>37322</v>
      </c>
      <c r="H610" s="1" t="s">
        <v>533</v>
      </c>
      <c r="I610" s="1"/>
      <c r="J610" s="1"/>
      <c r="K610" s="1"/>
      <c r="L610" s="1"/>
      <c r="M610" s="1"/>
      <c r="N610" s="1"/>
      <c r="O610" s="1"/>
      <c r="P610" s="1"/>
      <c r="Q610" s="17"/>
    </row>
    <row x14ac:dyDescent="0.25" r="611" customHeight="1" ht="18.75">
      <c r="A611" s="1"/>
      <c r="B611" s="1" t="s">
        <v>37314</v>
      </c>
      <c r="C611" s="1" t="s">
        <v>7</v>
      </c>
      <c r="D611" s="1" t="s">
        <v>10</v>
      </c>
      <c r="E611" s="1" t="s">
        <v>37034</v>
      </c>
      <c r="F611" s="1" t="s">
        <v>3617</v>
      </c>
      <c r="G611" s="1" t="s">
        <v>37323</v>
      </c>
      <c r="H611" s="1" t="s">
        <v>3695</v>
      </c>
      <c r="I611" s="1"/>
      <c r="J611" s="1"/>
      <c r="K611" s="1"/>
      <c r="L611" s="1"/>
      <c r="M611" s="1"/>
      <c r="N611" s="1"/>
      <c r="O611" s="1"/>
      <c r="P611" s="1"/>
      <c r="Q611" s="17"/>
    </row>
    <row x14ac:dyDescent="0.25" r="612" customHeight="1" ht="18.75">
      <c r="A612" s="1"/>
      <c r="B612" s="1" t="s">
        <v>37314</v>
      </c>
      <c r="C612" s="1" t="s">
        <v>7</v>
      </c>
      <c r="D612" s="1" t="s">
        <v>10</v>
      </c>
      <c r="E612" s="1" t="s">
        <v>37034</v>
      </c>
      <c r="F612" s="1" t="s">
        <v>3617</v>
      </c>
      <c r="G612" s="1" t="s">
        <v>37324</v>
      </c>
      <c r="H612" s="1" t="s">
        <v>3695</v>
      </c>
      <c r="I612" s="1"/>
      <c r="J612" s="1"/>
      <c r="K612" s="1"/>
      <c r="L612" s="1"/>
      <c r="M612" s="1"/>
      <c r="N612" s="1"/>
      <c r="O612" s="1"/>
      <c r="P612" s="1"/>
      <c r="Q612" s="17"/>
    </row>
    <row x14ac:dyDescent="0.25" r="613" customHeight="1" ht="18.75">
      <c r="A613" s="1"/>
      <c r="B613" s="1" t="s">
        <v>37314</v>
      </c>
      <c r="C613" s="1" t="s">
        <v>7</v>
      </c>
      <c r="D613" s="1" t="s">
        <v>10</v>
      </c>
      <c r="E613" s="1" t="s">
        <v>37034</v>
      </c>
      <c r="F613" s="1" t="s">
        <v>3617</v>
      </c>
      <c r="G613" s="1" t="s">
        <v>37325</v>
      </c>
      <c r="H613" s="1" t="s">
        <v>3695</v>
      </c>
      <c r="I613" s="1"/>
      <c r="J613" s="1"/>
      <c r="K613" s="1"/>
      <c r="L613" s="1"/>
      <c r="M613" s="1"/>
      <c r="N613" s="1"/>
      <c r="O613" s="1"/>
      <c r="P613" s="1"/>
      <c r="Q613" s="17"/>
    </row>
    <row x14ac:dyDescent="0.25" r="614" customHeight="1" ht="18.75">
      <c r="A614" s="1"/>
      <c r="B614" s="1" t="s">
        <v>37314</v>
      </c>
      <c r="C614" s="1" t="s">
        <v>7</v>
      </c>
      <c r="D614" s="1" t="s">
        <v>10</v>
      </c>
      <c r="E614" s="1" t="s">
        <v>37034</v>
      </c>
      <c r="F614" s="1" t="s">
        <v>3617</v>
      </c>
      <c r="G614" s="1" t="s">
        <v>37326</v>
      </c>
      <c r="H614" s="1" t="s">
        <v>3695</v>
      </c>
      <c r="I614" s="1"/>
      <c r="J614" s="1"/>
      <c r="K614" s="1"/>
      <c r="L614" s="1"/>
      <c r="M614" s="1"/>
      <c r="N614" s="1"/>
      <c r="O614" s="1"/>
      <c r="P614" s="1"/>
      <c r="Q614" s="17"/>
    </row>
    <row x14ac:dyDescent="0.25" r="615" customHeight="1" ht="18.75">
      <c r="A615" s="1"/>
      <c r="B615" s="1" t="s">
        <v>37314</v>
      </c>
      <c r="C615" s="1" t="s">
        <v>7</v>
      </c>
      <c r="D615" s="1" t="s">
        <v>10</v>
      </c>
      <c r="E615" s="1" t="s">
        <v>37034</v>
      </c>
      <c r="F615" s="1" t="s">
        <v>3617</v>
      </c>
      <c r="G615" s="1" t="s">
        <v>37327</v>
      </c>
      <c r="H615" s="1" t="s">
        <v>3695</v>
      </c>
      <c r="I615" s="1"/>
      <c r="J615" s="1"/>
      <c r="K615" s="1"/>
      <c r="L615" s="1"/>
      <c r="M615" s="1"/>
      <c r="N615" s="1"/>
      <c r="O615" s="1"/>
      <c r="P615" s="1"/>
      <c r="Q615" s="17"/>
    </row>
    <row x14ac:dyDescent="0.25" r="616" customHeight="1" ht="18.75">
      <c r="A616" s="1"/>
      <c r="B616" s="1" t="s">
        <v>37314</v>
      </c>
      <c r="C616" s="1" t="s">
        <v>7</v>
      </c>
      <c r="D616" s="1" t="s">
        <v>10</v>
      </c>
      <c r="E616" s="1" t="s">
        <v>37034</v>
      </c>
      <c r="F616" s="1" t="s">
        <v>3617</v>
      </c>
      <c r="G616" s="1" t="s">
        <v>37328</v>
      </c>
      <c r="H616" s="1" t="s">
        <v>3695</v>
      </c>
      <c r="I616" s="1"/>
      <c r="J616" s="1"/>
      <c r="K616" s="1"/>
      <c r="L616" s="1"/>
      <c r="M616" s="1"/>
      <c r="N616" s="1"/>
      <c r="O616" s="1"/>
      <c r="P616" s="1"/>
      <c r="Q616" s="17"/>
    </row>
    <row x14ac:dyDescent="0.25" r="617" customHeight="1" ht="18.75">
      <c r="A617" s="1"/>
      <c r="B617" s="1" t="s">
        <v>37314</v>
      </c>
      <c r="C617" s="1" t="s">
        <v>7</v>
      </c>
      <c r="D617" s="1" t="s">
        <v>10</v>
      </c>
      <c r="E617" s="1" t="s">
        <v>37034</v>
      </c>
      <c r="F617" s="1" t="s">
        <v>3617</v>
      </c>
      <c r="G617" s="1" t="s">
        <v>37329</v>
      </c>
      <c r="H617" s="1" t="s">
        <v>37057</v>
      </c>
      <c r="I617" s="1"/>
      <c r="J617" s="1"/>
      <c r="K617" s="1"/>
      <c r="L617" s="1"/>
      <c r="M617" s="1"/>
      <c r="N617" s="1"/>
      <c r="O617" s="1"/>
      <c r="P617" s="1"/>
      <c r="Q617" s="17"/>
    </row>
    <row x14ac:dyDescent="0.25" r="618" customHeight="1" ht="18.75">
      <c r="A618" s="1"/>
      <c r="B618" s="1" t="s">
        <v>37314</v>
      </c>
      <c r="C618" s="1" t="s">
        <v>7</v>
      </c>
      <c r="D618" s="1" t="s">
        <v>10</v>
      </c>
      <c r="E618" s="1" t="s">
        <v>37034</v>
      </c>
      <c r="F618" s="1" t="s">
        <v>3617</v>
      </c>
      <c r="G618" s="1" t="s">
        <v>37330</v>
      </c>
      <c r="H618" s="1" t="s">
        <v>37057</v>
      </c>
      <c r="I618" s="1"/>
      <c r="J618" s="1"/>
      <c r="K618" s="1"/>
      <c r="L618" s="1"/>
      <c r="M618" s="1"/>
      <c r="N618" s="1"/>
      <c r="O618" s="1"/>
      <c r="P618" s="1"/>
      <c r="Q618" s="17"/>
    </row>
    <row x14ac:dyDescent="0.25" r="619" customHeight="1" ht="18.75">
      <c r="A619" s="1"/>
      <c r="B619" s="1" t="s">
        <v>37314</v>
      </c>
      <c r="C619" s="1" t="s">
        <v>7</v>
      </c>
      <c r="D619" s="1" t="s">
        <v>10</v>
      </c>
      <c r="E619" s="1" t="s">
        <v>37034</v>
      </c>
      <c r="F619" s="1" t="s">
        <v>3617</v>
      </c>
      <c r="G619" s="1" t="s">
        <v>37331</v>
      </c>
      <c r="H619" s="1" t="s">
        <v>37057</v>
      </c>
      <c r="I619" s="1"/>
      <c r="J619" s="1"/>
      <c r="K619" s="1"/>
      <c r="L619" s="1"/>
      <c r="M619" s="1"/>
      <c r="N619" s="1"/>
      <c r="O619" s="1"/>
      <c r="P619" s="1"/>
      <c r="Q619" s="17"/>
    </row>
    <row x14ac:dyDescent="0.25" r="620" customHeight="1" ht="18.75">
      <c r="A620" s="1"/>
      <c r="B620" s="1" t="s">
        <v>37314</v>
      </c>
      <c r="C620" s="1" t="s">
        <v>7</v>
      </c>
      <c r="D620" s="1" t="s">
        <v>10</v>
      </c>
      <c r="E620" s="1" t="s">
        <v>37034</v>
      </c>
      <c r="F620" s="1" t="s">
        <v>3617</v>
      </c>
      <c r="G620" s="1" t="s">
        <v>37332</v>
      </c>
      <c r="H620" s="1" t="s">
        <v>37057</v>
      </c>
      <c r="I620" s="1"/>
      <c r="J620" s="1"/>
      <c r="K620" s="1"/>
      <c r="L620" s="1"/>
      <c r="M620" s="1"/>
      <c r="N620" s="1"/>
      <c r="O620" s="1"/>
      <c r="P620" s="1"/>
      <c r="Q620" s="17"/>
    </row>
    <row x14ac:dyDescent="0.25" r="621" customHeight="1" ht="18.75">
      <c r="A621" s="1"/>
      <c r="B621" s="1" t="s">
        <v>37314</v>
      </c>
      <c r="C621" s="1" t="s">
        <v>7</v>
      </c>
      <c r="D621" s="1" t="s">
        <v>10</v>
      </c>
      <c r="E621" s="1" t="s">
        <v>37034</v>
      </c>
      <c r="F621" s="1" t="s">
        <v>3617</v>
      </c>
      <c r="G621" s="1" t="s">
        <v>37333</v>
      </c>
      <c r="H621" s="1" t="s">
        <v>37057</v>
      </c>
      <c r="I621" s="1"/>
      <c r="J621" s="1"/>
      <c r="K621" s="1"/>
      <c r="L621" s="1"/>
      <c r="M621" s="1"/>
      <c r="N621" s="1"/>
      <c r="O621" s="1"/>
      <c r="P621" s="1"/>
      <c r="Q621" s="17"/>
    </row>
    <row x14ac:dyDescent="0.25" r="622" customHeight="1" ht="18.75">
      <c r="A622" s="1"/>
      <c r="B622" s="1" t="s">
        <v>37334</v>
      </c>
      <c r="C622" s="1" t="s">
        <v>7</v>
      </c>
      <c r="D622" s="1" t="s">
        <v>10</v>
      </c>
      <c r="E622" s="1" t="s">
        <v>36395</v>
      </c>
      <c r="F622" s="1" t="s">
        <v>3617</v>
      </c>
      <c r="G622" s="1" t="s">
        <v>35611</v>
      </c>
      <c r="H622" s="1" t="s">
        <v>37063</v>
      </c>
      <c r="I622" s="1"/>
      <c r="J622" s="1"/>
      <c r="K622" s="1"/>
      <c r="L622" s="1"/>
      <c r="M622" s="1"/>
      <c r="N622" s="1"/>
      <c r="O622" s="1"/>
      <c r="P622" s="1"/>
      <c r="Q622" s="17"/>
    </row>
    <row x14ac:dyDescent="0.25" r="623" customHeight="1" ht="18.75">
      <c r="A623" s="1"/>
      <c r="B623" s="1" t="s">
        <v>37334</v>
      </c>
      <c r="C623" s="1" t="s">
        <v>7</v>
      </c>
      <c r="D623" s="1" t="s">
        <v>10</v>
      </c>
      <c r="E623" s="1" t="s">
        <v>36395</v>
      </c>
      <c r="F623" s="1" t="s">
        <v>3617</v>
      </c>
      <c r="G623" s="1" t="s">
        <v>35615</v>
      </c>
      <c r="H623" s="1" t="s">
        <v>37063</v>
      </c>
      <c r="I623" s="1"/>
      <c r="J623" s="1"/>
      <c r="K623" s="1"/>
      <c r="L623" s="1"/>
      <c r="M623" s="1"/>
      <c r="N623" s="1"/>
      <c r="O623" s="1"/>
      <c r="P623" s="1"/>
      <c r="Q623" s="17"/>
    </row>
    <row x14ac:dyDescent="0.25" r="624" customHeight="1" ht="18.75">
      <c r="A624" s="1"/>
      <c r="B624" s="1" t="s">
        <v>37334</v>
      </c>
      <c r="C624" s="1" t="s">
        <v>7</v>
      </c>
      <c r="D624" s="1" t="s">
        <v>10</v>
      </c>
      <c r="E624" s="1" t="s">
        <v>36395</v>
      </c>
      <c r="F624" s="1" t="s">
        <v>3617</v>
      </c>
      <c r="G624" s="1" t="s">
        <v>35618</v>
      </c>
      <c r="H624" s="1" t="s">
        <v>37063</v>
      </c>
      <c r="I624" s="1"/>
      <c r="J624" s="1"/>
      <c r="K624" s="1"/>
      <c r="L624" s="1"/>
      <c r="M624" s="1"/>
      <c r="N624" s="1"/>
      <c r="O624" s="1"/>
      <c r="P624" s="1"/>
      <c r="Q624" s="17"/>
    </row>
    <row x14ac:dyDescent="0.25" r="625" customHeight="1" ht="18.75">
      <c r="A625" s="1"/>
      <c r="B625" s="1" t="s">
        <v>37334</v>
      </c>
      <c r="C625" s="1" t="s">
        <v>7</v>
      </c>
      <c r="D625" s="1" t="s">
        <v>10</v>
      </c>
      <c r="E625" s="1" t="s">
        <v>36395</v>
      </c>
      <c r="F625" s="1" t="s">
        <v>3617</v>
      </c>
      <c r="G625" s="1" t="s">
        <v>35621</v>
      </c>
      <c r="H625" s="1" t="s">
        <v>37063</v>
      </c>
      <c r="I625" s="1"/>
      <c r="J625" s="1"/>
      <c r="K625" s="1"/>
      <c r="L625" s="1"/>
      <c r="M625" s="1"/>
      <c r="N625" s="1"/>
      <c r="O625" s="1"/>
      <c r="P625" s="1"/>
      <c r="Q625" s="17"/>
    </row>
    <row x14ac:dyDescent="0.25" r="626" customHeight="1" ht="18.75">
      <c r="A626" s="1"/>
      <c r="B626" s="1" t="s">
        <v>37334</v>
      </c>
      <c r="C626" s="1" t="s">
        <v>7</v>
      </c>
      <c r="D626" s="1" t="s">
        <v>10</v>
      </c>
      <c r="E626" s="1" t="s">
        <v>37034</v>
      </c>
      <c r="F626" s="1" t="s">
        <v>3617</v>
      </c>
      <c r="G626" s="1" t="s">
        <v>37335</v>
      </c>
      <c r="H626" s="1" t="s">
        <v>533</v>
      </c>
      <c r="I626" s="1"/>
      <c r="J626" s="1"/>
      <c r="K626" s="1"/>
      <c r="L626" s="1"/>
      <c r="M626" s="1"/>
      <c r="N626" s="1"/>
      <c r="O626" s="1"/>
      <c r="P626" s="1"/>
      <c r="Q626" s="17"/>
    </row>
    <row x14ac:dyDescent="0.25" r="627" customHeight="1" ht="18.75">
      <c r="A627" s="1"/>
      <c r="B627" s="1" t="s">
        <v>37334</v>
      </c>
      <c r="C627" s="1" t="s">
        <v>7</v>
      </c>
      <c r="D627" s="1" t="s">
        <v>10</v>
      </c>
      <c r="E627" s="1" t="s">
        <v>37034</v>
      </c>
      <c r="F627" s="1" t="s">
        <v>3617</v>
      </c>
      <c r="G627" s="1" t="s">
        <v>37336</v>
      </c>
      <c r="H627" s="1" t="s">
        <v>3610</v>
      </c>
      <c r="I627" s="1"/>
      <c r="J627" s="1"/>
      <c r="K627" s="1"/>
      <c r="L627" s="1"/>
      <c r="M627" s="1"/>
      <c r="N627" s="1"/>
      <c r="O627" s="1"/>
      <c r="P627" s="1"/>
      <c r="Q627" s="17"/>
    </row>
    <row x14ac:dyDescent="0.25" r="628" customHeight="1" ht="18.75">
      <c r="A628" s="1"/>
      <c r="B628" s="1" t="s">
        <v>37334</v>
      </c>
      <c r="C628" s="1" t="s">
        <v>7</v>
      </c>
      <c r="D628" s="1" t="s">
        <v>10</v>
      </c>
      <c r="E628" s="1" t="s">
        <v>37034</v>
      </c>
      <c r="F628" s="1" t="s">
        <v>3617</v>
      </c>
      <c r="G628" s="1" t="s">
        <v>37337</v>
      </c>
      <c r="H628" s="1" t="s">
        <v>3610</v>
      </c>
      <c r="I628" s="1"/>
      <c r="J628" s="1"/>
      <c r="K628" s="1"/>
      <c r="L628" s="1"/>
      <c r="M628" s="1"/>
      <c r="N628" s="1"/>
      <c r="O628" s="1"/>
      <c r="P628" s="1"/>
      <c r="Q628" s="17"/>
    </row>
    <row x14ac:dyDescent="0.25" r="629" customHeight="1" ht="18.75">
      <c r="A629" s="1"/>
      <c r="B629" s="1" t="s">
        <v>37334</v>
      </c>
      <c r="C629" s="1" t="s">
        <v>7</v>
      </c>
      <c r="D629" s="1" t="s">
        <v>10</v>
      </c>
      <c r="E629" s="1" t="s">
        <v>37034</v>
      </c>
      <c r="F629" s="1" t="s">
        <v>3617</v>
      </c>
      <c r="G629" s="1" t="s">
        <v>37338</v>
      </c>
      <c r="H629" s="1" t="s">
        <v>3695</v>
      </c>
      <c r="I629" s="1"/>
      <c r="J629" s="1"/>
      <c r="K629" s="1"/>
      <c r="L629" s="1"/>
      <c r="M629" s="1"/>
      <c r="N629" s="1"/>
      <c r="O629" s="1"/>
      <c r="P629" s="1"/>
      <c r="Q629" s="17"/>
    </row>
    <row x14ac:dyDescent="0.25" r="630" customHeight="1" ht="18.75">
      <c r="A630" s="1"/>
      <c r="B630" s="1" t="s">
        <v>37334</v>
      </c>
      <c r="C630" s="1" t="s">
        <v>7</v>
      </c>
      <c r="D630" s="1" t="s">
        <v>10</v>
      </c>
      <c r="E630" s="1" t="s">
        <v>37034</v>
      </c>
      <c r="F630" s="1" t="s">
        <v>3617</v>
      </c>
      <c r="G630" s="1" t="s">
        <v>37339</v>
      </c>
      <c r="H630" s="1" t="s">
        <v>3610</v>
      </c>
      <c r="I630" s="1"/>
      <c r="J630" s="1"/>
      <c r="K630" s="1"/>
      <c r="L630" s="1"/>
      <c r="M630" s="1"/>
      <c r="N630" s="1"/>
      <c r="O630" s="1"/>
      <c r="P630" s="1"/>
      <c r="Q630" s="17"/>
    </row>
    <row x14ac:dyDescent="0.25" r="631" customHeight="1" ht="18.75">
      <c r="A631" s="1"/>
      <c r="B631" s="1" t="s">
        <v>37334</v>
      </c>
      <c r="C631" s="1" t="s">
        <v>7</v>
      </c>
      <c r="D631" s="1" t="s">
        <v>10</v>
      </c>
      <c r="E631" s="1" t="s">
        <v>37034</v>
      </c>
      <c r="F631" s="1" t="s">
        <v>3617</v>
      </c>
      <c r="G631" s="1" t="s">
        <v>37340</v>
      </c>
      <c r="H631" s="1" t="s">
        <v>3610</v>
      </c>
      <c r="I631" s="1"/>
      <c r="J631" s="1"/>
      <c r="K631" s="1"/>
      <c r="L631" s="1"/>
      <c r="M631" s="1"/>
      <c r="N631" s="1"/>
      <c r="O631" s="1"/>
      <c r="P631" s="1"/>
      <c r="Q631" s="17"/>
    </row>
    <row x14ac:dyDescent="0.25" r="632" customHeight="1" ht="18.75">
      <c r="A632" s="1"/>
      <c r="B632" s="1" t="s">
        <v>37334</v>
      </c>
      <c r="C632" s="1" t="s">
        <v>7</v>
      </c>
      <c r="D632" s="1" t="s">
        <v>10</v>
      </c>
      <c r="E632" s="1" t="s">
        <v>37034</v>
      </c>
      <c r="F632" s="1" t="s">
        <v>3617</v>
      </c>
      <c r="G632" s="1" t="s">
        <v>37341</v>
      </c>
      <c r="H632" s="1" t="s">
        <v>3610</v>
      </c>
      <c r="I632" s="1"/>
      <c r="J632" s="1"/>
      <c r="K632" s="1"/>
      <c r="L632" s="1"/>
      <c r="M632" s="1"/>
      <c r="N632" s="1"/>
      <c r="O632" s="1"/>
      <c r="P632" s="1"/>
      <c r="Q632" s="17"/>
    </row>
    <row x14ac:dyDescent="0.25" r="633" customHeight="1" ht="18.75">
      <c r="A633" s="1"/>
      <c r="B633" s="1" t="s">
        <v>37334</v>
      </c>
      <c r="C633" s="1" t="s">
        <v>7</v>
      </c>
      <c r="D633" s="1" t="s">
        <v>10</v>
      </c>
      <c r="E633" s="1" t="s">
        <v>37034</v>
      </c>
      <c r="F633" s="1" t="s">
        <v>3617</v>
      </c>
      <c r="G633" s="1" t="s">
        <v>37342</v>
      </c>
      <c r="H633" s="1" t="s">
        <v>3695</v>
      </c>
      <c r="I633" s="1"/>
      <c r="J633" s="1"/>
      <c r="K633" s="1"/>
      <c r="L633" s="1"/>
      <c r="M633" s="1"/>
      <c r="N633" s="1"/>
      <c r="O633" s="1"/>
      <c r="P633" s="1"/>
      <c r="Q633" s="17"/>
    </row>
    <row x14ac:dyDescent="0.25" r="634" customHeight="1" ht="18.75">
      <c r="A634" s="1"/>
      <c r="B634" s="1" t="s">
        <v>37334</v>
      </c>
      <c r="C634" s="1" t="s">
        <v>7</v>
      </c>
      <c r="D634" s="1" t="s">
        <v>10</v>
      </c>
      <c r="E634" s="1" t="s">
        <v>37034</v>
      </c>
      <c r="F634" s="1" t="s">
        <v>3617</v>
      </c>
      <c r="G634" s="1" t="s">
        <v>37343</v>
      </c>
      <c r="H634" s="1" t="s">
        <v>3695</v>
      </c>
      <c r="I634" s="1"/>
      <c r="J634" s="1"/>
      <c r="K634" s="1"/>
      <c r="L634" s="1"/>
      <c r="M634" s="1"/>
      <c r="N634" s="1"/>
      <c r="O634" s="1"/>
      <c r="P634" s="1"/>
      <c r="Q634" s="17"/>
    </row>
    <row x14ac:dyDescent="0.25" r="635" customHeight="1" ht="18.75">
      <c r="A635" s="1"/>
      <c r="B635" s="1" t="s">
        <v>37334</v>
      </c>
      <c r="C635" s="1" t="s">
        <v>7</v>
      </c>
      <c r="D635" s="1" t="s">
        <v>10</v>
      </c>
      <c r="E635" s="1" t="s">
        <v>37034</v>
      </c>
      <c r="F635" s="1" t="s">
        <v>3617</v>
      </c>
      <c r="G635" s="1" t="s">
        <v>37344</v>
      </c>
      <c r="H635" s="1" t="s">
        <v>3695</v>
      </c>
      <c r="I635" s="1"/>
      <c r="J635" s="1"/>
      <c r="K635" s="1"/>
      <c r="L635" s="1"/>
      <c r="M635" s="1"/>
      <c r="N635" s="1"/>
      <c r="O635" s="1"/>
      <c r="P635" s="1"/>
      <c r="Q635" s="17"/>
    </row>
    <row x14ac:dyDescent="0.25" r="636" customHeight="1" ht="18.75">
      <c r="A636" s="1"/>
      <c r="B636" s="1" t="s">
        <v>37334</v>
      </c>
      <c r="C636" s="1" t="s">
        <v>7</v>
      </c>
      <c r="D636" s="1" t="s">
        <v>10</v>
      </c>
      <c r="E636" s="1" t="s">
        <v>37034</v>
      </c>
      <c r="F636" s="1" t="s">
        <v>3617</v>
      </c>
      <c r="G636" s="1" t="s">
        <v>37345</v>
      </c>
      <c r="H636" s="1" t="s">
        <v>37057</v>
      </c>
      <c r="I636" s="1"/>
      <c r="J636" s="1"/>
      <c r="K636" s="1"/>
      <c r="L636" s="1"/>
      <c r="M636" s="1"/>
      <c r="N636" s="1"/>
      <c r="O636" s="1"/>
      <c r="P636" s="1"/>
      <c r="Q636" s="17"/>
    </row>
    <row x14ac:dyDescent="0.25" r="637" customHeight="1" ht="18.75">
      <c r="A637" s="1"/>
      <c r="B637" s="1" t="s">
        <v>37334</v>
      </c>
      <c r="C637" s="1" t="s">
        <v>7</v>
      </c>
      <c r="D637" s="1" t="s">
        <v>10</v>
      </c>
      <c r="E637" s="1" t="s">
        <v>37034</v>
      </c>
      <c r="F637" s="1" t="s">
        <v>3617</v>
      </c>
      <c r="G637" s="1" t="s">
        <v>37346</v>
      </c>
      <c r="H637" s="1" t="s">
        <v>37057</v>
      </c>
      <c r="I637" s="1"/>
      <c r="J637" s="1"/>
      <c r="K637" s="1"/>
      <c r="L637" s="1"/>
      <c r="M637" s="1"/>
      <c r="N637" s="1"/>
      <c r="O637" s="1"/>
      <c r="P637" s="1"/>
      <c r="Q637" s="17"/>
    </row>
    <row x14ac:dyDescent="0.25" r="638" customHeight="1" ht="18.75">
      <c r="A638" s="1"/>
      <c r="B638" s="1" t="s">
        <v>37347</v>
      </c>
      <c r="C638" s="1" t="s">
        <v>7</v>
      </c>
      <c r="D638" s="1" t="s">
        <v>10</v>
      </c>
      <c r="E638" s="1" t="s">
        <v>36395</v>
      </c>
      <c r="F638" s="1" t="s">
        <v>3693</v>
      </c>
      <c r="G638" s="1" t="s">
        <v>35266</v>
      </c>
      <c r="H638" s="1" t="s">
        <v>37190</v>
      </c>
      <c r="I638" s="1"/>
      <c r="J638" s="1"/>
      <c r="K638" s="1"/>
      <c r="L638" s="1"/>
      <c r="M638" s="1"/>
      <c r="N638" s="1"/>
      <c r="O638" s="1"/>
      <c r="P638" s="1"/>
      <c r="Q638" s="17"/>
    </row>
    <row x14ac:dyDescent="0.25" r="639" customHeight="1" ht="18.75">
      <c r="A639" s="1"/>
      <c r="B639" s="1" t="s">
        <v>37347</v>
      </c>
      <c r="C639" s="1" t="s">
        <v>7</v>
      </c>
      <c r="D639" s="1" t="s">
        <v>10</v>
      </c>
      <c r="E639" s="1" t="s">
        <v>37034</v>
      </c>
      <c r="F639" s="1" t="s">
        <v>3693</v>
      </c>
      <c r="G639" s="1" t="s">
        <v>37348</v>
      </c>
      <c r="H639" s="1" t="s">
        <v>37057</v>
      </c>
      <c r="I639" s="1"/>
      <c r="J639" s="1"/>
      <c r="K639" s="1"/>
      <c r="L639" s="1"/>
      <c r="M639" s="1"/>
      <c r="N639" s="1"/>
      <c r="O639" s="1"/>
      <c r="P639" s="1"/>
      <c r="Q639" s="17"/>
    </row>
    <row x14ac:dyDescent="0.25" r="640" customHeight="1" ht="18.75">
      <c r="A640" s="1"/>
      <c r="B640" s="1" t="s">
        <v>37347</v>
      </c>
      <c r="C640" s="1" t="s">
        <v>7</v>
      </c>
      <c r="D640" s="1" t="s">
        <v>10</v>
      </c>
      <c r="E640" s="1" t="s">
        <v>37034</v>
      </c>
      <c r="F640" s="1" t="s">
        <v>3693</v>
      </c>
      <c r="G640" s="1" t="s">
        <v>37349</v>
      </c>
      <c r="H640" s="1" t="s">
        <v>37037</v>
      </c>
      <c r="I640" s="1"/>
      <c r="J640" s="1"/>
      <c r="K640" s="1"/>
      <c r="L640" s="1"/>
      <c r="M640" s="1"/>
      <c r="N640" s="1"/>
      <c r="O640" s="1"/>
      <c r="P640" s="1"/>
      <c r="Q640" s="17"/>
    </row>
    <row x14ac:dyDescent="0.25" r="641" customHeight="1" ht="18.75">
      <c r="A641" s="1"/>
      <c r="B641" s="1" t="s">
        <v>37350</v>
      </c>
      <c r="C641" s="1" t="s">
        <v>7</v>
      </c>
      <c r="D641" s="1" t="s">
        <v>10</v>
      </c>
      <c r="E641" s="1" t="s">
        <v>36395</v>
      </c>
      <c r="F641" s="1" t="s">
        <v>3693</v>
      </c>
      <c r="G641" s="1" t="s">
        <v>35327</v>
      </c>
      <c r="H641" s="1" t="s">
        <v>37063</v>
      </c>
      <c r="I641" s="1"/>
      <c r="J641" s="1"/>
      <c r="K641" s="1"/>
      <c r="L641" s="1"/>
      <c r="M641" s="1"/>
      <c r="N641" s="1"/>
      <c r="O641" s="1"/>
      <c r="P641" s="1"/>
      <c r="Q641" s="17"/>
    </row>
    <row x14ac:dyDescent="0.25" r="642" customHeight="1" ht="18.75">
      <c r="A642" s="1"/>
      <c r="B642" s="1" t="s">
        <v>37350</v>
      </c>
      <c r="C642" s="1" t="s">
        <v>7</v>
      </c>
      <c r="D642" s="1" t="s">
        <v>10</v>
      </c>
      <c r="E642" s="1" t="s">
        <v>37034</v>
      </c>
      <c r="F642" s="1" t="s">
        <v>3693</v>
      </c>
      <c r="G642" s="1" t="s">
        <v>37351</v>
      </c>
      <c r="H642" s="1" t="s">
        <v>3610</v>
      </c>
      <c r="I642" s="1"/>
      <c r="J642" s="1"/>
      <c r="K642" s="1"/>
      <c r="L642" s="1"/>
      <c r="M642" s="1"/>
      <c r="N642" s="1"/>
      <c r="O642" s="1"/>
      <c r="P642" s="1"/>
      <c r="Q642" s="17"/>
    </row>
    <row x14ac:dyDescent="0.25" r="643" customHeight="1" ht="18.75">
      <c r="A643" s="1"/>
      <c r="B643" s="1" t="s">
        <v>37352</v>
      </c>
      <c r="C643" s="1" t="s">
        <v>7</v>
      </c>
      <c r="D643" s="1" t="s">
        <v>10</v>
      </c>
      <c r="E643" s="1" t="s">
        <v>36395</v>
      </c>
      <c r="F643" s="1" t="s">
        <v>3598</v>
      </c>
      <c r="G643" s="1" t="s">
        <v>37353</v>
      </c>
      <c r="H643" s="1" t="s">
        <v>7847</v>
      </c>
      <c r="I643" s="1"/>
      <c r="J643" s="1"/>
      <c r="K643" s="1"/>
      <c r="L643" s="1"/>
      <c r="M643" s="1"/>
      <c r="N643" s="1"/>
      <c r="O643" s="1"/>
      <c r="P643" s="1"/>
      <c r="Q643" s="17"/>
    </row>
    <row x14ac:dyDescent="0.25" r="644" customHeight="1" ht="18.75">
      <c r="A644" s="1"/>
      <c r="B644" s="1" t="s">
        <v>37354</v>
      </c>
      <c r="C644" s="1" t="s">
        <v>7</v>
      </c>
      <c r="D644" s="1" t="s">
        <v>10</v>
      </c>
      <c r="E644" s="1" t="s">
        <v>36395</v>
      </c>
      <c r="F644" s="1" t="s">
        <v>3693</v>
      </c>
      <c r="G644" s="1" t="s">
        <v>35400</v>
      </c>
      <c r="H644" s="1" t="s">
        <v>37063</v>
      </c>
      <c r="I644" s="1"/>
      <c r="J644" s="1"/>
      <c r="K644" s="1"/>
      <c r="L644" s="1"/>
      <c r="M644" s="1"/>
      <c r="N644" s="1"/>
      <c r="O644" s="1"/>
      <c r="P644" s="1"/>
      <c r="Q644" s="17"/>
    </row>
    <row x14ac:dyDescent="0.25" r="645" customHeight="1" ht="18.75">
      <c r="A645" s="1"/>
      <c r="B645" s="1" t="s">
        <v>37354</v>
      </c>
      <c r="C645" s="1" t="s">
        <v>7</v>
      </c>
      <c r="D645" s="1" t="s">
        <v>10</v>
      </c>
      <c r="E645" s="1" t="s">
        <v>37034</v>
      </c>
      <c r="F645" s="1" t="s">
        <v>3693</v>
      </c>
      <c r="G645" s="1" t="s">
        <v>37355</v>
      </c>
      <c r="H645" s="1" t="s">
        <v>37037</v>
      </c>
      <c r="I645" s="1"/>
      <c r="J645" s="1"/>
      <c r="K645" s="1"/>
      <c r="L645" s="1"/>
      <c r="M645" s="1"/>
      <c r="N645" s="1"/>
      <c r="O645" s="1"/>
      <c r="P645" s="1"/>
      <c r="Q645" s="17"/>
    </row>
    <row x14ac:dyDescent="0.25" r="646" customHeight="1" ht="18.75">
      <c r="A646" s="1"/>
      <c r="B646" s="1" t="s">
        <v>37354</v>
      </c>
      <c r="C646" s="1" t="s">
        <v>7</v>
      </c>
      <c r="D646" s="1" t="s">
        <v>10</v>
      </c>
      <c r="E646" s="1" t="s">
        <v>37034</v>
      </c>
      <c r="F646" s="1" t="s">
        <v>3693</v>
      </c>
      <c r="G646" s="1" t="s">
        <v>37356</v>
      </c>
      <c r="H646" s="1" t="s">
        <v>37037</v>
      </c>
      <c r="I646" s="1"/>
      <c r="J646" s="1"/>
      <c r="K646" s="1"/>
      <c r="L646" s="1"/>
      <c r="M646" s="1"/>
      <c r="N646" s="1"/>
      <c r="O646" s="1"/>
      <c r="P646" s="1"/>
      <c r="Q646" s="17"/>
    </row>
    <row x14ac:dyDescent="0.25" r="647" customHeight="1" ht="18.75">
      <c r="A647" s="1"/>
      <c r="B647" s="1" t="s">
        <v>37354</v>
      </c>
      <c r="C647" s="1" t="s">
        <v>7</v>
      </c>
      <c r="D647" s="1" t="s">
        <v>10</v>
      </c>
      <c r="E647" s="1" t="s">
        <v>37034</v>
      </c>
      <c r="F647" s="1" t="s">
        <v>3693</v>
      </c>
      <c r="G647" s="1" t="s">
        <v>37357</v>
      </c>
      <c r="H647" s="1" t="s">
        <v>37037</v>
      </c>
      <c r="I647" s="1"/>
      <c r="J647" s="1"/>
      <c r="K647" s="1"/>
      <c r="L647" s="1"/>
      <c r="M647" s="1"/>
      <c r="N647" s="1"/>
      <c r="O647" s="1"/>
      <c r="P647" s="1"/>
      <c r="Q647" s="17"/>
    </row>
    <row x14ac:dyDescent="0.25" r="648" customHeight="1" ht="18.75">
      <c r="A648" s="1"/>
      <c r="B648" s="1" t="s">
        <v>37354</v>
      </c>
      <c r="C648" s="1" t="s">
        <v>7</v>
      </c>
      <c r="D648" s="1" t="s">
        <v>10</v>
      </c>
      <c r="E648" s="1" t="s">
        <v>37034</v>
      </c>
      <c r="F648" s="1" t="s">
        <v>3693</v>
      </c>
      <c r="G648" s="1" t="s">
        <v>37358</v>
      </c>
      <c r="H648" s="1" t="s">
        <v>3610</v>
      </c>
      <c r="I648" s="1"/>
      <c r="J648" s="1"/>
      <c r="K648" s="1"/>
      <c r="L648" s="1"/>
      <c r="M648" s="1"/>
      <c r="N648" s="1"/>
      <c r="O648" s="1"/>
      <c r="P648" s="1"/>
      <c r="Q648" s="17"/>
    </row>
    <row x14ac:dyDescent="0.25" r="649" customHeight="1" ht="18.75">
      <c r="A649" s="1"/>
      <c r="B649" s="1" t="s">
        <v>37354</v>
      </c>
      <c r="C649" s="1" t="s">
        <v>7</v>
      </c>
      <c r="D649" s="1" t="s">
        <v>10</v>
      </c>
      <c r="E649" s="1" t="s">
        <v>37034</v>
      </c>
      <c r="F649" s="1" t="s">
        <v>3693</v>
      </c>
      <c r="G649" s="1" t="s">
        <v>37359</v>
      </c>
      <c r="H649" s="1" t="s">
        <v>3695</v>
      </c>
      <c r="I649" s="1"/>
      <c r="J649" s="1"/>
      <c r="K649" s="1"/>
      <c r="L649" s="1"/>
      <c r="M649" s="1"/>
      <c r="N649" s="1"/>
      <c r="O649" s="1"/>
      <c r="P649" s="1"/>
      <c r="Q649" s="17"/>
    </row>
    <row x14ac:dyDescent="0.25" r="650" customHeight="1" ht="18.75">
      <c r="A650" s="1"/>
      <c r="B650" s="1" t="s">
        <v>37354</v>
      </c>
      <c r="C650" s="1" t="s">
        <v>7</v>
      </c>
      <c r="D650" s="1" t="s">
        <v>10</v>
      </c>
      <c r="E650" s="1" t="s">
        <v>37034</v>
      </c>
      <c r="F650" s="1" t="s">
        <v>3693</v>
      </c>
      <c r="G650" s="1" t="s">
        <v>37360</v>
      </c>
      <c r="H650" s="1" t="s">
        <v>3695</v>
      </c>
      <c r="I650" s="1"/>
      <c r="J650" s="1"/>
      <c r="K650" s="1"/>
      <c r="L650" s="1"/>
      <c r="M650" s="1"/>
      <c r="N650" s="1"/>
      <c r="O650" s="1"/>
      <c r="P650" s="1"/>
      <c r="Q650" s="17"/>
    </row>
    <row x14ac:dyDescent="0.25" r="651" customHeight="1" ht="18.75">
      <c r="A651" s="1"/>
      <c r="B651" s="1" t="s">
        <v>37354</v>
      </c>
      <c r="C651" s="1" t="s">
        <v>7</v>
      </c>
      <c r="D651" s="1" t="s">
        <v>10</v>
      </c>
      <c r="E651" s="1" t="s">
        <v>37034</v>
      </c>
      <c r="F651" s="1" t="s">
        <v>3693</v>
      </c>
      <c r="G651" s="1" t="s">
        <v>37361</v>
      </c>
      <c r="H651" s="1" t="s">
        <v>3695</v>
      </c>
      <c r="I651" s="1"/>
      <c r="J651" s="1"/>
      <c r="K651" s="1"/>
      <c r="L651" s="1"/>
      <c r="M651" s="1"/>
      <c r="N651" s="1"/>
      <c r="O651" s="1"/>
      <c r="P651" s="1"/>
      <c r="Q651" s="17"/>
    </row>
    <row x14ac:dyDescent="0.25" r="652" customHeight="1" ht="18.75">
      <c r="A652" s="1"/>
      <c r="B652" s="1" t="s">
        <v>37362</v>
      </c>
      <c r="C652" s="1" t="s">
        <v>7</v>
      </c>
      <c r="D652" s="1" t="s">
        <v>10</v>
      </c>
      <c r="E652" s="1" t="s">
        <v>36395</v>
      </c>
      <c r="F652" s="1" t="s">
        <v>7833</v>
      </c>
      <c r="G652" s="1" t="s">
        <v>35227</v>
      </c>
      <c r="H652" s="1" t="s">
        <v>37107</v>
      </c>
      <c r="I652" s="1"/>
      <c r="J652" s="1"/>
      <c r="K652" s="1"/>
      <c r="L652" s="1"/>
      <c r="M652" s="1"/>
      <c r="N652" s="1"/>
      <c r="O652" s="1"/>
      <c r="P652" s="1"/>
      <c r="Q652" s="17"/>
    </row>
    <row x14ac:dyDescent="0.25" r="653" customHeight="1" ht="18.75">
      <c r="A653" s="1"/>
      <c r="B653" s="1" t="s">
        <v>37362</v>
      </c>
      <c r="C653" s="1" t="s">
        <v>7</v>
      </c>
      <c r="D653" s="1" t="s">
        <v>10</v>
      </c>
      <c r="E653" s="1" t="s">
        <v>36395</v>
      </c>
      <c r="F653" s="1" t="s">
        <v>7833</v>
      </c>
      <c r="G653" s="1" t="s">
        <v>35230</v>
      </c>
      <c r="H653" s="1" t="s">
        <v>37107</v>
      </c>
      <c r="I653" s="1"/>
      <c r="J653" s="1"/>
      <c r="K653" s="1"/>
      <c r="L653" s="1"/>
      <c r="M653" s="1"/>
      <c r="N653" s="1"/>
      <c r="O653" s="1"/>
      <c r="P653" s="1"/>
      <c r="Q653" s="17"/>
    </row>
    <row x14ac:dyDescent="0.25" r="654" customHeight="1" ht="18.75">
      <c r="A654" s="1"/>
      <c r="B654" s="1" t="s">
        <v>37362</v>
      </c>
      <c r="C654" s="1" t="s">
        <v>7</v>
      </c>
      <c r="D654" s="1" t="s">
        <v>10</v>
      </c>
      <c r="E654" s="1" t="s">
        <v>37034</v>
      </c>
      <c r="F654" s="1" t="s">
        <v>7833</v>
      </c>
      <c r="G654" s="1" t="s">
        <v>37363</v>
      </c>
      <c r="H654" s="1" t="s">
        <v>37037</v>
      </c>
      <c r="I654" s="1"/>
      <c r="J654" s="1"/>
      <c r="K654" s="1"/>
      <c r="L654" s="1"/>
      <c r="M654" s="1"/>
      <c r="N654" s="1"/>
      <c r="O654" s="1"/>
      <c r="P654" s="1"/>
      <c r="Q654" s="17"/>
    </row>
    <row x14ac:dyDescent="0.25" r="655" customHeight="1" ht="18.75">
      <c r="A655" s="1"/>
      <c r="B655" s="1" t="s">
        <v>37364</v>
      </c>
      <c r="C655" s="1" t="s">
        <v>7</v>
      </c>
      <c r="D655" s="1" t="s">
        <v>10</v>
      </c>
      <c r="E655" s="1" t="s">
        <v>37034</v>
      </c>
      <c r="F655" s="1" t="s">
        <v>3598</v>
      </c>
      <c r="G655" s="1" t="s">
        <v>37365</v>
      </c>
      <c r="H655" s="1" t="s">
        <v>3695</v>
      </c>
      <c r="I655" s="1"/>
      <c r="J655" s="1"/>
      <c r="K655" s="1"/>
      <c r="L655" s="1"/>
      <c r="M655" s="1"/>
      <c r="N655" s="1"/>
      <c r="O655" s="1"/>
      <c r="P655" s="1"/>
      <c r="Q655" s="17"/>
    </row>
    <row x14ac:dyDescent="0.25" r="656" customHeight="1" ht="18.75">
      <c r="A656" s="1"/>
      <c r="B656" s="1" t="s">
        <v>37364</v>
      </c>
      <c r="C656" s="1" t="s">
        <v>7</v>
      </c>
      <c r="D656" s="1" t="s">
        <v>10</v>
      </c>
      <c r="E656" s="1" t="s">
        <v>37034</v>
      </c>
      <c r="F656" s="1" t="s">
        <v>3598</v>
      </c>
      <c r="G656" s="1" t="s">
        <v>37366</v>
      </c>
      <c r="H656" s="1" t="s">
        <v>3695</v>
      </c>
      <c r="I656" s="1"/>
      <c r="J656" s="1"/>
      <c r="K656" s="1"/>
      <c r="L656" s="1"/>
      <c r="M656" s="1"/>
      <c r="N656" s="1"/>
      <c r="O656" s="1"/>
      <c r="P656" s="1"/>
      <c r="Q656" s="17"/>
    </row>
    <row x14ac:dyDescent="0.25" r="657" customHeight="1" ht="18.75">
      <c r="A657" s="1"/>
      <c r="B657" s="1" t="s">
        <v>37364</v>
      </c>
      <c r="C657" s="1" t="s">
        <v>7</v>
      </c>
      <c r="D657" s="1" t="s">
        <v>10</v>
      </c>
      <c r="E657" s="1" t="s">
        <v>37034</v>
      </c>
      <c r="F657" s="1" t="s">
        <v>3598</v>
      </c>
      <c r="G657" s="1" t="s">
        <v>37367</v>
      </c>
      <c r="H657" s="1" t="s">
        <v>3695</v>
      </c>
      <c r="I657" s="1"/>
      <c r="J657" s="1"/>
      <c r="K657" s="1"/>
      <c r="L657" s="1"/>
      <c r="M657" s="1"/>
      <c r="N657" s="1"/>
      <c r="O657" s="1"/>
      <c r="P657" s="1"/>
      <c r="Q657" s="17"/>
    </row>
    <row x14ac:dyDescent="0.25" r="658" customHeight="1" ht="18.75">
      <c r="A658" s="1"/>
      <c r="B658" s="1" t="s">
        <v>37368</v>
      </c>
      <c r="C658" s="1" t="s">
        <v>7</v>
      </c>
      <c r="D658" s="1" t="s">
        <v>10</v>
      </c>
      <c r="E658" s="1" t="s">
        <v>37034</v>
      </c>
      <c r="F658" s="1" t="s">
        <v>7833</v>
      </c>
      <c r="G658" s="1" t="s">
        <v>37369</v>
      </c>
      <c r="H658" s="1" t="s">
        <v>37057</v>
      </c>
      <c r="I658" s="1"/>
      <c r="J658" s="1"/>
      <c r="K658" s="1"/>
      <c r="L658" s="1"/>
      <c r="M658" s="1"/>
      <c r="N658" s="1"/>
      <c r="O658" s="1"/>
      <c r="P658" s="1"/>
      <c r="Q658" s="17"/>
    </row>
    <row x14ac:dyDescent="0.25" r="659" customHeight="1" ht="18.75">
      <c r="A659" s="1"/>
      <c r="B659" s="1" t="s">
        <v>37370</v>
      </c>
      <c r="C659" s="1" t="s">
        <v>7</v>
      </c>
      <c r="D659" s="1" t="s">
        <v>10</v>
      </c>
      <c r="E659" s="1" t="s">
        <v>37034</v>
      </c>
      <c r="F659" s="1" t="s">
        <v>7833</v>
      </c>
      <c r="G659" s="1" t="s">
        <v>37371</v>
      </c>
      <c r="H659" s="1" t="s">
        <v>37057</v>
      </c>
      <c r="I659" s="1"/>
      <c r="J659" s="1"/>
      <c r="K659" s="1"/>
      <c r="L659" s="1"/>
      <c r="M659" s="1"/>
      <c r="N659" s="1"/>
      <c r="O659" s="1"/>
      <c r="P659" s="1"/>
      <c r="Q659" s="17"/>
    </row>
    <row x14ac:dyDescent="0.25" r="660" customHeight="1" ht="18.75">
      <c r="A660" s="1"/>
      <c r="B660" s="1" t="s">
        <v>37370</v>
      </c>
      <c r="C660" s="1" t="s">
        <v>7</v>
      </c>
      <c r="D660" s="1" t="s">
        <v>10</v>
      </c>
      <c r="E660" s="1" t="s">
        <v>37034</v>
      </c>
      <c r="F660" s="1" t="s">
        <v>7833</v>
      </c>
      <c r="G660" s="1" t="s">
        <v>37372</v>
      </c>
      <c r="H660" s="1" t="s">
        <v>37057</v>
      </c>
      <c r="I660" s="1"/>
      <c r="J660" s="1"/>
      <c r="K660" s="1"/>
      <c r="L660" s="1"/>
      <c r="M660" s="1"/>
      <c r="N660" s="1"/>
      <c r="O660" s="1"/>
      <c r="P660" s="1"/>
      <c r="Q660" s="17"/>
    </row>
    <row x14ac:dyDescent="0.25" r="661" customHeight="1" ht="18.75">
      <c r="A661" s="1"/>
      <c r="B661" s="1" t="s">
        <v>37373</v>
      </c>
      <c r="C661" s="1" t="s">
        <v>7</v>
      </c>
      <c r="D661" s="1" t="s">
        <v>10</v>
      </c>
      <c r="E661" s="1" t="s">
        <v>37034</v>
      </c>
      <c r="F661" s="1" t="s">
        <v>3617</v>
      </c>
      <c r="G661" s="1" t="s">
        <v>37374</v>
      </c>
      <c r="H661" s="1" t="s">
        <v>3610</v>
      </c>
      <c r="I661" s="1"/>
      <c r="J661" s="1"/>
      <c r="K661" s="1"/>
      <c r="L661" s="1"/>
      <c r="M661" s="1"/>
      <c r="N661" s="1"/>
      <c r="O661" s="1"/>
      <c r="P661" s="1"/>
      <c r="Q661" s="17"/>
    </row>
    <row x14ac:dyDescent="0.25" r="662" customHeight="1" ht="18.75">
      <c r="A662" s="1"/>
      <c r="B662" s="1" t="s">
        <v>37373</v>
      </c>
      <c r="C662" s="1" t="s">
        <v>7</v>
      </c>
      <c r="D662" s="1" t="s">
        <v>10</v>
      </c>
      <c r="E662" s="1" t="s">
        <v>37034</v>
      </c>
      <c r="F662" s="1" t="s">
        <v>3617</v>
      </c>
      <c r="G662" s="1" t="s">
        <v>37375</v>
      </c>
      <c r="H662" s="1" t="s">
        <v>3610</v>
      </c>
      <c r="I662" s="1"/>
      <c r="J662" s="1"/>
      <c r="K662" s="1"/>
      <c r="L662" s="1"/>
      <c r="M662" s="1"/>
      <c r="N662" s="1"/>
      <c r="O662" s="1"/>
      <c r="P662" s="1"/>
      <c r="Q662" s="17"/>
    </row>
    <row x14ac:dyDescent="0.25" r="663" customHeight="1" ht="18.75">
      <c r="A663" s="1"/>
      <c r="B663" s="1" t="s">
        <v>37373</v>
      </c>
      <c r="C663" s="1" t="s">
        <v>7</v>
      </c>
      <c r="D663" s="1" t="s">
        <v>10</v>
      </c>
      <c r="E663" s="1" t="s">
        <v>37034</v>
      </c>
      <c r="F663" s="1" t="s">
        <v>3617</v>
      </c>
      <c r="G663" s="1" t="s">
        <v>37376</v>
      </c>
      <c r="H663" s="1" t="s">
        <v>3695</v>
      </c>
      <c r="I663" s="1"/>
      <c r="J663" s="1"/>
      <c r="K663" s="1"/>
      <c r="L663" s="1"/>
      <c r="M663" s="1"/>
      <c r="N663" s="1"/>
      <c r="O663" s="1"/>
      <c r="P663" s="1"/>
      <c r="Q663" s="17"/>
    </row>
    <row x14ac:dyDescent="0.25" r="664" customHeight="1" ht="18.75">
      <c r="A664" s="1"/>
      <c r="B664" s="1" t="s">
        <v>37373</v>
      </c>
      <c r="C664" s="1" t="s">
        <v>7</v>
      </c>
      <c r="D664" s="1" t="s">
        <v>10</v>
      </c>
      <c r="E664" s="1" t="s">
        <v>37034</v>
      </c>
      <c r="F664" s="1" t="s">
        <v>3617</v>
      </c>
      <c r="G664" s="1" t="s">
        <v>37377</v>
      </c>
      <c r="H664" s="1" t="s">
        <v>3695</v>
      </c>
      <c r="I664" s="1"/>
      <c r="J664" s="1"/>
      <c r="K664" s="1"/>
      <c r="L664" s="1"/>
      <c r="M664" s="1"/>
      <c r="N664" s="1"/>
      <c r="O664" s="1"/>
      <c r="P664" s="1"/>
      <c r="Q664" s="17"/>
    </row>
    <row x14ac:dyDescent="0.25" r="665" customHeight="1" ht="18.75">
      <c r="A665" s="1"/>
      <c r="B665" s="1" t="s">
        <v>37373</v>
      </c>
      <c r="C665" s="1" t="s">
        <v>7</v>
      </c>
      <c r="D665" s="1" t="s">
        <v>10</v>
      </c>
      <c r="E665" s="1" t="s">
        <v>37034</v>
      </c>
      <c r="F665" s="1" t="s">
        <v>3617</v>
      </c>
      <c r="G665" s="1" t="s">
        <v>37378</v>
      </c>
      <c r="H665" s="1" t="s">
        <v>3695</v>
      </c>
      <c r="I665" s="1"/>
      <c r="J665" s="1"/>
      <c r="K665" s="1"/>
      <c r="L665" s="1"/>
      <c r="M665" s="1"/>
      <c r="N665" s="1"/>
      <c r="O665" s="1"/>
      <c r="P665" s="1"/>
      <c r="Q665" s="17"/>
    </row>
    <row x14ac:dyDescent="0.25" r="666" customHeight="1" ht="18.75">
      <c r="A666" s="1"/>
      <c r="B666" s="1" t="s">
        <v>37373</v>
      </c>
      <c r="C666" s="1" t="s">
        <v>7</v>
      </c>
      <c r="D666" s="1" t="s">
        <v>10</v>
      </c>
      <c r="E666" s="1" t="s">
        <v>37034</v>
      </c>
      <c r="F666" s="1" t="s">
        <v>3617</v>
      </c>
      <c r="G666" s="1" t="s">
        <v>37379</v>
      </c>
      <c r="H666" s="1" t="s">
        <v>3610</v>
      </c>
      <c r="I666" s="1"/>
      <c r="J666" s="1"/>
      <c r="K666" s="1"/>
      <c r="L666" s="1"/>
      <c r="M666" s="1"/>
      <c r="N666" s="1"/>
      <c r="O666" s="1"/>
      <c r="P666" s="1"/>
      <c r="Q666" s="17"/>
    </row>
    <row x14ac:dyDescent="0.25" r="667" customHeight="1" ht="18.75">
      <c r="A667" s="1"/>
      <c r="B667" s="1" t="s">
        <v>37373</v>
      </c>
      <c r="C667" s="1" t="s">
        <v>7</v>
      </c>
      <c r="D667" s="1" t="s">
        <v>10</v>
      </c>
      <c r="E667" s="1" t="s">
        <v>37034</v>
      </c>
      <c r="F667" s="1" t="s">
        <v>3617</v>
      </c>
      <c r="G667" s="1" t="s">
        <v>37380</v>
      </c>
      <c r="H667" s="1" t="s">
        <v>7847</v>
      </c>
      <c r="I667" s="1"/>
      <c r="J667" s="1"/>
      <c r="K667" s="1"/>
      <c r="L667" s="1"/>
      <c r="M667" s="1"/>
      <c r="N667" s="1"/>
      <c r="O667" s="1"/>
      <c r="P667" s="1"/>
      <c r="Q667" s="17"/>
    </row>
    <row x14ac:dyDescent="0.25" r="668" customHeight="1" ht="18.75">
      <c r="A668" s="1"/>
      <c r="B668" s="1" t="s">
        <v>37373</v>
      </c>
      <c r="C668" s="1" t="s">
        <v>7</v>
      </c>
      <c r="D668" s="1" t="s">
        <v>10</v>
      </c>
      <c r="E668" s="1" t="s">
        <v>37034</v>
      </c>
      <c r="F668" s="1" t="s">
        <v>3617</v>
      </c>
      <c r="G668" s="1" t="s">
        <v>37381</v>
      </c>
      <c r="H668" s="1" t="s">
        <v>7891</v>
      </c>
      <c r="I668" s="1"/>
      <c r="J668" s="1"/>
      <c r="K668" s="1"/>
      <c r="L668" s="1"/>
      <c r="M668" s="1"/>
      <c r="N668" s="1"/>
      <c r="O668" s="1"/>
      <c r="P668" s="1"/>
      <c r="Q668" s="17"/>
    </row>
    <row x14ac:dyDescent="0.25" r="669" customHeight="1" ht="18.75">
      <c r="A669" s="1"/>
      <c r="B669" s="1" t="s">
        <v>37373</v>
      </c>
      <c r="C669" s="1" t="s">
        <v>7</v>
      </c>
      <c r="D669" s="1" t="s">
        <v>10</v>
      </c>
      <c r="E669" s="1" t="s">
        <v>37034</v>
      </c>
      <c r="F669" s="1" t="s">
        <v>3617</v>
      </c>
      <c r="G669" s="1" t="s">
        <v>37382</v>
      </c>
      <c r="H669" s="1" t="s">
        <v>7891</v>
      </c>
      <c r="I669" s="1"/>
      <c r="J669" s="1"/>
      <c r="K669" s="1"/>
      <c r="L669" s="1"/>
      <c r="M669" s="1"/>
      <c r="N669" s="1"/>
      <c r="O669" s="1"/>
      <c r="P669" s="1"/>
      <c r="Q669" s="17"/>
    </row>
    <row x14ac:dyDescent="0.25" r="670" customHeight="1" ht="18.75">
      <c r="A670" s="1"/>
      <c r="B670" s="1" t="s">
        <v>37373</v>
      </c>
      <c r="C670" s="1" t="s">
        <v>7</v>
      </c>
      <c r="D670" s="1" t="s">
        <v>10</v>
      </c>
      <c r="E670" s="1" t="s">
        <v>37034</v>
      </c>
      <c r="F670" s="1" t="s">
        <v>3617</v>
      </c>
      <c r="G670" s="1" t="s">
        <v>37383</v>
      </c>
      <c r="H670" s="1" t="s">
        <v>7891</v>
      </c>
      <c r="I670" s="1"/>
      <c r="J670" s="1"/>
      <c r="K670" s="1"/>
      <c r="L670" s="1"/>
      <c r="M670" s="1"/>
      <c r="N670" s="1"/>
      <c r="O670" s="1"/>
      <c r="P670" s="1"/>
      <c r="Q670" s="17"/>
    </row>
    <row x14ac:dyDescent="0.25" r="671" customHeight="1" ht="18.75">
      <c r="A671" s="1"/>
      <c r="B671" s="1" t="s">
        <v>37373</v>
      </c>
      <c r="C671" s="1" t="s">
        <v>7</v>
      </c>
      <c r="D671" s="1" t="s">
        <v>10</v>
      </c>
      <c r="E671" s="1" t="s">
        <v>37034</v>
      </c>
      <c r="F671" s="1" t="s">
        <v>3617</v>
      </c>
      <c r="G671" s="1" t="s">
        <v>37384</v>
      </c>
      <c r="H671" s="1" t="s">
        <v>533</v>
      </c>
      <c r="I671" s="1"/>
      <c r="J671" s="1"/>
      <c r="K671" s="1"/>
      <c r="L671" s="1"/>
      <c r="M671" s="1"/>
      <c r="N671" s="1"/>
      <c r="O671" s="1"/>
      <c r="P671" s="1"/>
      <c r="Q671" s="17"/>
    </row>
    <row x14ac:dyDescent="0.25" r="672" customHeight="1" ht="18.75">
      <c r="A672" s="1"/>
      <c r="B672" s="1" t="s">
        <v>37373</v>
      </c>
      <c r="C672" s="1" t="s">
        <v>7</v>
      </c>
      <c r="D672" s="1" t="s">
        <v>10</v>
      </c>
      <c r="E672" s="1" t="s">
        <v>37034</v>
      </c>
      <c r="F672" s="1" t="s">
        <v>3617</v>
      </c>
      <c r="G672" s="1" t="s">
        <v>37385</v>
      </c>
      <c r="H672" s="1" t="s">
        <v>3610</v>
      </c>
      <c r="I672" s="1"/>
      <c r="J672" s="1"/>
      <c r="K672" s="1"/>
      <c r="L672" s="1"/>
      <c r="M672" s="1"/>
      <c r="N672" s="1"/>
      <c r="O672" s="1"/>
      <c r="P672" s="1"/>
      <c r="Q672" s="17"/>
    </row>
    <row x14ac:dyDescent="0.25" r="673" customHeight="1" ht="18.75">
      <c r="A673" s="1"/>
      <c r="B673" s="1" t="s">
        <v>37373</v>
      </c>
      <c r="C673" s="1" t="s">
        <v>7</v>
      </c>
      <c r="D673" s="1" t="s">
        <v>10</v>
      </c>
      <c r="E673" s="1" t="s">
        <v>37034</v>
      </c>
      <c r="F673" s="1" t="s">
        <v>3617</v>
      </c>
      <c r="G673" s="1" t="s">
        <v>37386</v>
      </c>
      <c r="H673" s="1" t="s">
        <v>3610</v>
      </c>
      <c r="I673" s="1"/>
      <c r="J673" s="1"/>
      <c r="K673" s="1"/>
      <c r="L673" s="1"/>
      <c r="M673" s="1"/>
      <c r="N673" s="1"/>
      <c r="O673" s="1"/>
      <c r="P673" s="1"/>
      <c r="Q673" s="17"/>
    </row>
    <row x14ac:dyDescent="0.25" r="674" customHeight="1" ht="18.75">
      <c r="A674" s="1"/>
      <c r="B674" s="1" t="s">
        <v>37373</v>
      </c>
      <c r="C674" s="1" t="s">
        <v>7</v>
      </c>
      <c r="D674" s="1" t="s">
        <v>10</v>
      </c>
      <c r="E674" s="1" t="s">
        <v>37034</v>
      </c>
      <c r="F674" s="1" t="s">
        <v>3617</v>
      </c>
      <c r="G674" s="1" t="s">
        <v>37387</v>
      </c>
      <c r="H674" s="1" t="s">
        <v>3610</v>
      </c>
      <c r="I674" s="1"/>
      <c r="J674" s="1"/>
      <c r="K674" s="1"/>
      <c r="L674" s="1"/>
      <c r="M674" s="1"/>
      <c r="N674" s="1"/>
      <c r="O674" s="1"/>
      <c r="P674" s="1"/>
      <c r="Q674" s="17"/>
    </row>
    <row x14ac:dyDescent="0.25" r="675" customHeight="1" ht="18.75">
      <c r="A675" s="1"/>
      <c r="B675" s="1" t="s">
        <v>37373</v>
      </c>
      <c r="C675" s="1" t="s">
        <v>7</v>
      </c>
      <c r="D675" s="1" t="s">
        <v>10</v>
      </c>
      <c r="E675" s="1" t="s">
        <v>37034</v>
      </c>
      <c r="F675" s="1" t="s">
        <v>3617</v>
      </c>
      <c r="G675" s="1" t="s">
        <v>37388</v>
      </c>
      <c r="H675" s="1" t="s">
        <v>3695</v>
      </c>
      <c r="I675" s="1"/>
      <c r="J675" s="1"/>
      <c r="K675" s="1"/>
      <c r="L675" s="1"/>
      <c r="M675" s="1"/>
      <c r="N675" s="1"/>
      <c r="O675" s="1"/>
      <c r="P675" s="1"/>
      <c r="Q675" s="17"/>
    </row>
    <row x14ac:dyDescent="0.25" r="676" customHeight="1" ht="18.75">
      <c r="A676" s="1"/>
      <c r="B676" s="1" t="s">
        <v>37373</v>
      </c>
      <c r="C676" s="1" t="s">
        <v>7</v>
      </c>
      <c r="D676" s="1" t="s">
        <v>10</v>
      </c>
      <c r="E676" s="1" t="s">
        <v>37034</v>
      </c>
      <c r="F676" s="1" t="s">
        <v>3617</v>
      </c>
      <c r="G676" s="1" t="s">
        <v>37389</v>
      </c>
      <c r="H676" s="1" t="s">
        <v>3695</v>
      </c>
      <c r="I676" s="1"/>
      <c r="J676" s="1"/>
      <c r="K676" s="1"/>
      <c r="L676" s="1"/>
      <c r="M676" s="1"/>
      <c r="N676" s="1"/>
      <c r="O676" s="1"/>
      <c r="P676" s="1"/>
      <c r="Q676" s="17"/>
    </row>
    <row x14ac:dyDescent="0.25" r="677" customHeight="1" ht="18.75">
      <c r="A677" s="1"/>
      <c r="B677" s="1" t="s">
        <v>37373</v>
      </c>
      <c r="C677" s="1" t="s">
        <v>7</v>
      </c>
      <c r="D677" s="1" t="s">
        <v>10</v>
      </c>
      <c r="E677" s="1" t="s">
        <v>37034</v>
      </c>
      <c r="F677" s="1" t="s">
        <v>3617</v>
      </c>
      <c r="G677" s="1" t="s">
        <v>37390</v>
      </c>
      <c r="H677" s="1" t="s">
        <v>3695</v>
      </c>
      <c r="I677" s="1"/>
      <c r="J677" s="1"/>
      <c r="K677" s="1"/>
      <c r="L677" s="1"/>
      <c r="M677" s="1"/>
      <c r="N677" s="1"/>
      <c r="O677" s="1"/>
      <c r="P677" s="1"/>
      <c r="Q677" s="17"/>
    </row>
    <row x14ac:dyDescent="0.25" r="678" customHeight="1" ht="18.75">
      <c r="A678" s="1"/>
      <c r="B678" s="1" t="s">
        <v>37373</v>
      </c>
      <c r="C678" s="1" t="s">
        <v>7</v>
      </c>
      <c r="D678" s="1" t="s">
        <v>10</v>
      </c>
      <c r="E678" s="1" t="s">
        <v>36395</v>
      </c>
      <c r="F678" s="1" t="s">
        <v>3617</v>
      </c>
      <c r="G678" s="1" t="s">
        <v>35192</v>
      </c>
      <c r="H678" s="1" t="s">
        <v>7847</v>
      </c>
      <c r="I678" s="1"/>
      <c r="J678" s="1"/>
      <c r="K678" s="1"/>
      <c r="L678" s="1"/>
      <c r="M678" s="1"/>
      <c r="N678" s="1"/>
      <c r="O678" s="1"/>
      <c r="P678" s="1"/>
      <c r="Q678" s="17"/>
    </row>
    <row x14ac:dyDescent="0.25" r="679" customHeight="1" ht="18.75">
      <c r="A679" s="1"/>
      <c r="B679" s="1" t="s">
        <v>37373</v>
      </c>
      <c r="C679" s="1" t="s">
        <v>7</v>
      </c>
      <c r="D679" s="1" t="s">
        <v>10</v>
      </c>
      <c r="E679" s="1" t="s">
        <v>36395</v>
      </c>
      <c r="F679" s="1" t="s">
        <v>3617</v>
      </c>
      <c r="G679" s="1" t="s">
        <v>35753</v>
      </c>
      <c r="H679" s="1" t="s">
        <v>7847</v>
      </c>
      <c r="I679" s="1"/>
      <c r="J679" s="1"/>
      <c r="K679" s="1"/>
      <c r="L679" s="1"/>
      <c r="M679" s="1"/>
      <c r="N679" s="1"/>
      <c r="O679" s="1"/>
      <c r="P679" s="1"/>
      <c r="Q679" s="17"/>
    </row>
    <row x14ac:dyDescent="0.25" r="680" customHeight="1" ht="18.75">
      <c r="A680" s="1"/>
      <c r="B680" s="1" t="s">
        <v>37373</v>
      </c>
      <c r="C680" s="1" t="s">
        <v>7</v>
      </c>
      <c r="D680" s="1" t="s">
        <v>10</v>
      </c>
      <c r="E680" s="1" t="s">
        <v>36395</v>
      </c>
      <c r="F680" s="1" t="s">
        <v>3617</v>
      </c>
      <c r="G680" s="1" t="s">
        <v>35755</v>
      </c>
      <c r="H680" s="1" t="s">
        <v>7847</v>
      </c>
      <c r="I680" s="1"/>
      <c r="J680" s="1"/>
      <c r="K680" s="1"/>
      <c r="L680" s="1"/>
      <c r="M680" s="1"/>
      <c r="N680" s="1"/>
      <c r="O680" s="1"/>
      <c r="P680" s="1"/>
      <c r="Q680" s="17"/>
    </row>
    <row x14ac:dyDescent="0.25" r="681" customHeight="1" ht="18.75">
      <c r="A681" s="1"/>
      <c r="B681" s="1" t="s">
        <v>37373</v>
      </c>
      <c r="C681" s="1" t="s">
        <v>7</v>
      </c>
      <c r="D681" s="1" t="s">
        <v>10</v>
      </c>
      <c r="E681" s="1" t="s">
        <v>36395</v>
      </c>
      <c r="F681" s="1" t="s">
        <v>3617</v>
      </c>
      <c r="G681" s="1" t="s">
        <v>35757</v>
      </c>
      <c r="H681" s="1" t="s">
        <v>7847</v>
      </c>
      <c r="I681" s="1"/>
      <c r="J681" s="1"/>
      <c r="K681" s="1"/>
      <c r="L681" s="1"/>
      <c r="M681" s="1"/>
      <c r="N681" s="1"/>
      <c r="O681" s="1"/>
      <c r="P681" s="1"/>
      <c r="Q681" s="17"/>
    </row>
    <row x14ac:dyDescent="0.25" r="682" customHeight="1" ht="18.75">
      <c r="A682" s="1"/>
      <c r="B682" s="1" t="s">
        <v>37373</v>
      </c>
      <c r="C682" s="1" t="s">
        <v>7</v>
      </c>
      <c r="D682" s="1" t="s">
        <v>10</v>
      </c>
      <c r="E682" s="1" t="s">
        <v>37034</v>
      </c>
      <c r="F682" s="1" t="s">
        <v>3617</v>
      </c>
      <c r="G682" s="1" t="s">
        <v>37391</v>
      </c>
      <c r="H682" s="1" t="s">
        <v>37037</v>
      </c>
      <c r="I682" s="1"/>
      <c r="J682" s="1"/>
      <c r="K682" s="1"/>
      <c r="L682" s="1"/>
      <c r="M682" s="1"/>
      <c r="N682" s="1"/>
      <c r="O682" s="1"/>
      <c r="P682" s="1"/>
      <c r="Q682" s="17"/>
    </row>
    <row x14ac:dyDescent="0.25" r="683" customHeight="1" ht="18.75">
      <c r="A683" s="1"/>
      <c r="B683" s="1" t="s">
        <v>37373</v>
      </c>
      <c r="C683" s="1" t="s">
        <v>7</v>
      </c>
      <c r="D683" s="1" t="s">
        <v>10</v>
      </c>
      <c r="E683" s="1" t="s">
        <v>37034</v>
      </c>
      <c r="F683" s="1" t="s">
        <v>3617</v>
      </c>
      <c r="G683" s="1" t="s">
        <v>37392</v>
      </c>
      <c r="H683" s="1" t="s">
        <v>37057</v>
      </c>
      <c r="I683" s="1"/>
      <c r="J683" s="1"/>
      <c r="K683" s="1"/>
      <c r="L683" s="1"/>
      <c r="M683" s="1"/>
      <c r="N683" s="1"/>
      <c r="O683" s="1"/>
      <c r="P683" s="1"/>
      <c r="Q683" s="17"/>
    </row>
    <row x14ac:dyDescent="0.25" r="684" customHeight="1" ht="18.75">
      <c r="A684" s="1"/>
      <c r="B684" s="1" t="s">
        <v>37373</v>
      </c>
      <c r="C684" s="1" t="s">
        <v>7</v>
      </c>
      <c r="D684" s="1" t="s">
        <v>10</v>
      </c>
      <c r="E684" s="1" t="s">
        <v>37034</v>
      </c>
      <c r="F684" s="1" t="s">
        <v>3617</v>
      </c>
      <c r="G684" s="1" t="s">
        <v>37393</v>
      </c>
      <c r="H684" s="1" t="s">
        <v>37057</v>
      </c>
      <c r="I684" s="1"/>
      <c r="J684" s="1"/>
      <c r="K684" s="1"/>
      <c r="L684" s="1"/>
      <c r="M684" s="1"/>
      <c r="N684" s="1"/>
      <c r="O684" s="1"/>
      <c r="P684" s="1"/>
      <c r="Q684" s="17"/>
    </row>
    <row x14ac:dyDescent="0.25" r="685" customHeight="1" ht="18.75">
      <c r="A685" s="1"/>
      <c r="B685" s="1" t="s">
        <v>37394</v>
      </c>
      <c r="C685" s="1" t="s">
        <v>7</v>
      </c>
      <c r="D685" s="1" t="s">
        <v>10</v>
      </c>
      <c r="E685" s="1" t="s">
        <v>36395</v>
      </c>
      <c r="F685" s="1" t="s">
        <v>3598</v>
      </c>
      <c r="G685" s="1" t="s">
        <v>37395</v>
      </c>
      <c r="H685" s="1" t="s">
        <v>37063</v>
      </c>
      <c r="I685" s="1"/>
      <c r="J685" s="1"/>
      <c r="K685" s="1"/>
      <c r="L685" s="1"/>
      <c r="M685" s="1"/>
      <c r="N685" s="1"/>
      <c r="O685" s="1"/>
      <c r="P685" s="1"/>
      <c r="Q685" s="17"/>
    </row>
    <row x14ac:dyDescent="0.25" r="686" customHeight="1" ht="18.75">
      <c r="A686" s="1"/>
      <c r="B686" s="1" t="s">
        <v>37394</v>
      </c>
      <c r="C686" s="1" t="s">
        <v>7</v>
      </c>
      <c r="D686" s="1" t="s">
        <v>10</v>
      </c>
      <c r="E686" s="1" t="s">
        <v>36395</v>
      </c>
      <c r="F686" s="1" t="s">
        <v>3598</v>
      </c>
      <c r="G686" s="1" t="s">
        <v>37396</v>
      </c>
      <c r="H686" s="1" t="s">
        <v>37063</v>
      </c>
      <c r="I686" s="1"/>
      <c r="J686" s="1"/>
      <c r="K686" s="1"/>
      <c r="L686" s="1"/>
      <c r="M686" s="1"/>
      <c r="N686" s="1"/>
      <c r="O686" s="1"/>
      <c r="P686" s="1"/>
      <c r="Q686" s="17"/>
    </row>
    <row x14ac:dyDescent="0.25" r="687" customHeight="1" ht="18.75">
      <c r="A687" s="1"/>
      <c r="B687" s="1" t="s">
        <v>37394</v>
      </c>
      <c r="C687" s="1" t="s">
        <v>7</v>
      </c>
      <c r="D687" s="1" t="s">
        <v>10</v>
      </c>
      <c r="E687" s="1" t="s">
        <v>36395</v>
      </c>
      <c r="F687" s="1" t="s">
        <v>3598</v>
      </c>
      <c r="G687" s="1" t="s">
        <v>37397</v>
      </c>
      <c r="H687" s="1" t="s">
        <v>37063</v>
      </c>
      <c r="I687" s="1"/>
      <c r="J687" s="1"/>
      <c r="K687" s="1"/>
      <c r="L687" s="1"/>
      <c r="M687" s="1"/>
      <c r="N687" s="1"/>
      <c r="O687" s="1"/>
      <c r="P687" s="1"/>
      <c r="Q687" s="17"/>
    </row>
    <row x14ac:dyDescent="0.25" r="688" customHeight="1" ht="18.75">
      <c r="A688" s="1"/>
      <c r="B688" s="1" t="s">
        <v>37394</v>
      </c>
      <c r="C688" s="1" t="s">
        <v>7</v>
      </c>
      <c r="D688" s="1" t="s">
        <v>10</v>
      </c>
      <c r="E688" s="1" t="s">
        <v>36395</v>
      </c>
      <c r="F688" s="1" t="s">
        <v>3598</v>
      </c>
      <c r="G688" s="1" t="s">
        <v>37398</v>
      </c>
      <c r="H688" s="1" t="s">
        <v>37063</v>
      </c>
      <c r="I688" s="1"/>
      <c r="J688" s="1"/>
      <c r="K688" s="1"/>
      <c r="L688" s="1"/>
      <c r="M688" s="1"/>
      <c r="N688" s="1"/>
      <c r="O688" s="1"/>
      <c r="P688" s="1"/>
      <c r="Q688" s="17"/>
    </row>
    <row x14ac:dyDescent="0.25" r="689" customHeight="1" ht="18.75">
      <c r="A689" s="1"/>
      <c r="B689" s="1" t="s">
        <v>37394</v>
      </c>
      <c r="C689" s="1" t="s">
        <v>7</v>
      </c>
      <c r="D689" s="1" t="s">
        <v>10</v>
      </c>
      <c r="E689" s="1" t="s">
        <v>36395</v>
      </c>
      <c r="F689" s="1" t="s">
        <v>3598</v>
      </c>
      <c r="G689" s="1" t="s">
        <v>37399</v>
      </c>
      <c r="H689" s="1" t="s">
        <v>37063</v>
      </c>
      <c r="I689" s="1"/>
      <c r="J689" s="1"/>
      <c r="K689" s="1"/>
      <c r="L689" s="1"/>
      <c r="M689" s="1"/>
      <c r="N689" s="1"/>
      <c r="O689" s="1"/>
      <c r="P689" s="1"/>
      <c r="Q689" s="17"/>
    </row>
    <row x14ac:dyDescent="0.25" r="690" customHeight="1" ht="18.75">
      <c r="A690" s="1"/>
      <c r="B690" s="1" t="s">
        <v>37394</v>
      </c>
      <c r="C690" s="1" t="s">
        <v>7</v>
      </c>
      <c r="D690" s="1" t="s">
        <v>10</v>
      </c>
      <c r="E690" s="1" t="s">
        <v>36395</v>
      </c>
      <c r="F690" s="1" t="s">
        <v>3598</v>
      </c>
      <c r="G690" s="1" t="s">
        <v>37400</v>
      </c>
      <c r="H690" s="1" t="s">
        <v>37063</v>
      </c>
      <c r="I690" s="1"/>
      <c r="J690" s="1"/>
      <c r="K690" s="1"/>
      <c r="L690" s="1"/>
      <c r="M690" s="1"/>
      <c r="N690" s="1"/>
      <c r="O690" s="1"/>
      <c r="P690" s="1"/>
      <c r="Q690" s="17"/>
    </row>
    <row x14ac:dyDescent="0.25" r="691" customHeight="1" ht="18.75">
      <c r="A691" s="1"/>
      <c r="B691" s="1" t="s">
        <v>37394</v>
      </c>
      <c r="C691" s="1" t="s">
        <v>7</v>
      </c>
      <c r="D691" s="1" t="s">
        <v>10</v>
      </c>
      <c r="E691" s="1" t="s">
        <v>37034</v>
      </c>
      <c r="F691" s="1" t="s">
        <v>3598</v>
      </c>
      <c r="G691" s="1" t="s">
        <v>37401</v>
      </c>
      <c r="H691" s="1" t="s">
        <v>3610</v>
      </c>
      <c r="I691" s="1"/>
      <c r="J691" s="1"/>
      <c r="K691" s="1"/>
      <c r="L691" s="1"/>
      <c r="M691" s="1"/>
      <c r="N691" s="1"/>
      <c r="O691" s="1"/>
      <c r="P691" s="1"/>
      <c r="Q691" s="17"/>
    </row>
    <row x14ac:dyDescent="0.25" r="692" customHeight="1" ht="18.75">
      <c r="A692" s="1"/>
      <c r="B692" s="1" t="s">
        <v>37402</v>
      </c>
      <c r="C692" s="1" t="s">
        <v>7</v>
      </c>
      <c r="D692" s="1" t="s">
        <v>10</v>
      </c>
      <c r="E692" s="1" t="s">
        <v>36395</v>
      </c>
      <c r="F692" s="1" t="s">
        <v>3598</v>
      </c>
      <c r="G692" s="1" t="s">
        <v>37403</v>
      </c>
      <c r="H692" s="1" t="s">
        <v>37063</v>
      </c>
      <c r="I692" s="1"/>
      <c r="J692" s="1"/>
      <c r="K692" s="1"/>
      <c r="L692" s="1"/>
      <c r="M692" s="1"/>
      <c r="N692" s="1"/>
      <c r="O692" s="1"/>
      <c r="P692" s="1"/>
      <c r="Q692" s="17"/>
    </row>
    <row x14ac:dyDescent="0.25" r="693" customHeight="1" ht="18.75">
      <c r="A693" s="1"/>
      <c r="B693" s="1" t="s">
        <v>37402</v>
      </c>
      <c r="C693" s="1" t="s">
        <v>7</v>
      </c>
      <c r="D693" s="1" t="s">
        <v>10</v>
      </c>
      <c r="E693" s="1" t="s">
        <v>37034</v>
      </c>
      <c r="F693" s="1" t="s">
        <v>3598</v>
      </c>
      <c r="G693" s="1" t="s">
        <v>37404</v>
      </c>
      <c r="H693" s="1" t="s">
        <v>3610</v>
      </c>
      <c r="I693" s="1"/>
      <c r="J693" s="1"/>
      <c r="K693" s="1"/>
      <c r="L693" s="1"/>
      <c r="M693" s="1"/>
      <c r="N693" s="1"/>
      <c r="O693" s="1"/>
      <c r="P693" s="1"/>
      <c r="Q693" s="17"/>
    </row>
    <row x14ac:dyDescent="0.25" r="694" customHeight="1" ht="18.75">
      <c r="A694" s="1"/>
      <c r="B694" s="1" t="s">
        <v>37402</v>
      </c>
      <c r="C694" s="1" t="s">
        <v>7</v>
      </c>
      <c r="D694" s="1" t="s">
        <v>10</v>
      </c>
      <c r="E694" s="1" t="s">
        <v>36395</v>
      </c>
      <c r="F694" s="1" t="s">
        <v>3598</v>
      </c>
      <c r="G694" s="1" t="s">
        <v>37405</v>
      </c>
      <c r="H694" s="1" t="s">
        <v>37063</v>
      </c>
      <c r="I694" s="1"/>
      <c r="J694" s="1"/>
      <c r="K694" s="1"/>
      <c r="L694" s="1"/>
      <c r="M694" s="1"/>
      <c r="N694" s="1"/>
      <c r="O694" s="1"/>
      <c r="P694" s="1"/>
      <c r="Q694" s="17"/>
    </row>
    <row x14ac:dyDescent="0.25" r="695" customHeight="1" ht="18.75">
      <c r="A695" s="1"/>
      <c r="B695" s="1" t="s">
        <v>37402</v>
      </c>
      <c r="C695" s="1" t="s">
        <v>7</v>
      </c>
      <c r="D695" s="1" t="s">
        <v>10</v>
      </c>
      <c r="E695" s="1" t="s">
        <v>36395</v>
      </c>
      <c r="F695" s="1" t="s">
        <v>3598</v>
      </c>
      <c r="G695" s="1" t="s">
        <v>37406</v>
      </c>
      <c r="H695" s="1" t="s">
        <v>37063</v>
      </c>
      <c r="I695" s="1"/>
      <c r="J695" s="1"/>
      <c r="K695" s="1"/>
      <c r="L695" s="1"/>
      <c r="M695" s="1"/>
      <c r="N695" s="1"/>
      <c r="O695" s="1"/>
      <c r="P695" s="1"/>
      <c r="Q695" s="17"/>
    </row>
    <row x14ac:dyDescent="0.25" r="696" customHeight="1" ht="18.75">
      <c r="A696" s="1"/>
      <c r="B696" s="1" t="s">
        <v>37407</v>
      </c>
      <c r="C696" s="1" t="s">
        <v>7</v>
      </c>
      <c r="D696" s="1" t="s">
        <v>10</v>
      </c>
      <c r="E696" s="1" t="s">
        <v>36395</v>
      </c>
      <c r="F696" s="1" t="s">
        <v>3598</v>
      </c>
      <c r="G696" s="1" t="s">
        <v>37408</v>
      </c>
      <c r="H696" s="1" t="s">
        <v>37107</v>
      </c>
      <c r="I696" s="1"/>
      <c r="J696" s="1"/>
      <c r="K696" s="1"/>
      <c r="L696" s="1"/>
      <c r="M696" s="1"/>
      <c r="N696" s="1"/>
      <c r="O696" s="1"/>
      <c r="P696" s="1"/>
      <c r="Q696" s="17"/>
    </row>
    <row x14ac:dyDescent="0.25" r="697" customHeight="1" ht="18.75">
      <c r="A697" s="1"/>
      <c r="B697" s="1" t="s">
        <v>37409</v>
      </c>
      <c r="C697" s="1" t="s">
        <v>7</v>
      </c>
      <c r="D697" s="1" t="s">
        <v>10</v>
      </c>
      <c r="E697" s="1" t="s">
        <v>37034</v>
      </c>
      <c r="F697" s="1" t="s">
        <v>3598</v>
      </c>
      <c r="G697" s="1" t="s">
        <v>37410</v>
      </c>
      <c r="H697" s="1" t="s">
        <v>3695</v>
      </c>
      <c r="I697" s="1"/>
      <c r="J697" s="1"/>
      <c r="K697" s="1"/>
      <c r="L697" s="1"/>
      <c r="M697" s="1"/>
      <c r="N697" s="1"/>
      <c r="O697" s="1"/>
      <c r="P697" s="1"/>
      <c r="Q697" s="17"/>
    </row>
    <row x14ac:dyDescent="0.25" r="698" customHeight="1" ht="18.75">
      <c r="A698" s="1"/>
      <c r="B698" s="1" t="s">
        <v>37409</v>
      </c>
      <c r="C698" s="1" t="s">
        <v>7</v>
      </c>
      <c r="D698" s="1" t="s">
        <v>10</v>
      </c>
      <c r="E698" s="1" t="s">
        <v>37034</v>
      </c>
      <c r="F698" s="1" t="s">
        <v>3598</v>
      </c>
      <c r="G698" s="1" t="s">
        <v>37411</v>
      </c>
      <c r="H698" s="1" t="s">
        <v>3695</v>
      </c>
      <c r="I698" s="1"/>
      <c r="J698" s="1"/>
      <c r="K698" s="1"/>
      <c r="L698" s="1"/>
      <c r="M698" s="1"/>
      <c r="N698" s="1"/>
      <c r="O698" s="1"/>
      <c r="P698" s="1"/>
      <c r="Q698" s="17"/>
    </row>
    <row x14ac:dyDescent="0.25" r="699" customHeight="1" ht="18.75">
      <c r="A699" s="1"/>
      <c r="B699" s="1" t="s">
        <v>37409</v>
      </c>
      <c r="C699" s="1" t="s">
        <v>7</v>
      </c>
      <c r="D699" s="1" t="s">
        <v>10</v>
      </c>
      <c r="E699" s="1" t="s">
        <v>37034</v>
      </c>
      <c r="F699" s="1" t="s">
        <v>3598</v>
      </c>
      <c r="G699" s="1" t="s">
        <v>37412</v>
      </c>
      <c r="H699" s="1" t="s">
        <v>3695</v>
      </c>
      <c r="I699" s="1"/>
      <c r="J699" s="1"/>
      <c r="K699" s="1"/>
      <c r="L699" s="1"/>
      <c r="M699" s="1"/>
      <c r="N699" s="1"/>
      <c r="O699" s="1"/>
      <c r="P699" s="1"/>
      <c r="Q699" s="17"/>
    </row>
    <row x14ac:dyDescent="0.25" r="700" customHeight="1" ht="18.75">
      <c r="A700" s="1"/>
      <c r="B700" s="1" t="s">
        <v>37170</v>
      </c>
      <c r="C700" s="1" t="s">
        <v>7</v>
      </c>
      <c r="D700" s="1" t="s">
        <v>10</v>
      </c>
      <c r="E700" s="1" t="s">
        <v>36395</v>
      </c>
      <c r="F700" s="1" t="s">
        <v>3617</v>
      </c>
      <c r="G700" s="1" t="s">
        <v>37413</v>
      </c>
      <c r="H700" s="1" t="s">
        <v>37190</v>
      </c>
      <c r="I700" s="1"/>
      <c r="J700" s="1"/>
      <c r="K700" s="1"/>
      <c r="L700" s="1"/>
      <c r="M700" s="1"/>
      <c r="N700" s="1"/>
      <c r="O700" s="1"/>
      <c r="P700" s="1"/>
      <c r="Q700" s="17"/>
    </row>
    <row x14ac:dyDescent="0.25" r="701" customHeight="1" ht="18.75">
      <c r="A701" s="1"/>
      <c r="B701" s="1" t="s">
        <v>37170</v>
      </c>
      <c r="C701" s="1" t="s">
        <v>7</v>
      </c>
      <c r="D701" s="1" t="s">
        <v>10</v>
      </c>
      <c r="E701" s="1" t="s">
        <v>37034</v>
      </c>
      <c r="F701" s="1" t="s">
        <v>3617</v>
      </c>
      <c r="G701" s="1" t="s">
        <v>37414</v>
      </c>
      <c r="H701" s="1" t="s">
        <v>37037</v>
      </c>
      <c r="I701" s="1"/>
      <c r="J701" s="1"/>
      <c r="K701" s="1"/>
      <c r="L701" s="1"/>
      <c r="M701" s="1"/>
      <c r="N701" s="1"/>
      <c r="O701" s="1"/>
      <c r="P701" s="1"/>
      <c r="Q701" s="17"/>
    </row>
    <row x14ac:dyDescent="0.25" r="702" customHeight="1" ht="18.75">
      <c r="A702" s="1"/>
      <c r="B702" s="1" t="s">
        <v>37170</v>
      </c>
      <c r="C702" s="1" t="s">
        <v>7</v>
      </c>
      <c r="D702" s="1" t="s">
        <v>10</v>
      </c>
      <c r="E702" s="1" t="s">
        <v>37034</v>
      </c>
      <c r="F702" s="1" t="s">
        <v>3617</v>
      </c>
      <c r="G702" s="1" t="s">
        <v>37415</v>
      </c>
      <c r="H702" s="1" t="s">
        <v>37037</v>
      </c>
      <c r="I702" s="1"/>
      <c r="J702" s="1"/>
      <c r="K702" s="1"/>
      <c r="L702" s="1"/>
      <c r="M702" s="1"/>
      <c r="N702" s="1"/>
      <c r="O702" s="1"/>
      <c r="P702" s="1"/>
      <c r="Q702" s="17"/>
    </row>
    <row x14ac:dyDescent="0.25" r="703" customHeight="1" ht="18.75">
      <c r="A703" s="1"/>
      <c r="B703" s="1" t="s">
        <v>37170</v>
      </c>
      <c r="C703" s="1" t="s">
        <v>7</v>
      </c>
      <c r="D703" s="1" t="s">
        <v>10</v>
      </c>
      <c r="E703" s="1" t="s">
        <v>37034</v>
      </c>
      <c r="F703" s="1" t="s">
        <v>3617</v>
      </c>
      <c r="G703" s="1" t="s">
        <v>37416</v>
      </c>
      <c r="H703" s="1" t="s">
        <v>37037</v>
      </c>
      <c r="I703" s="1"/>
      <c r="J703" s="1"/>
      <c r="K703" s="1"/>
      <c r="L703" s="1"/>
      <c r="M703" s="1"/>
      <c r="N703" s="1"/>
      <c r="O703" s="1"/>
      <c r="P703" s="1"/>
      <c r="Q703" s="17"/>
    </row>
    <row x14ac:dyDescent="0.25" r="704" customHeight="1" ht="18.75">
      <c r="A704" s="1"/>
      <c r="B704" s="1" t="s">
        <v>37170</v>
      </c>
      <c r="C704" s="1" t="s">
        <v>7</v>
      </c>
      <c r="D704" s="1" t="s">
        <v>10</v>
      </c>
      <c r="E704" s="1" t="s">
        <v>37034</v>
      </c>
      <c r="F704" s="1" t="s">
        <v>3617</v>
      </c>
      <c r="G704" s="1" t="s">
        <v>37417</v>
      </c>
      <c r="H704" s="1" t="s">
        <v>3610</v>
      </c>
      <c r="I704" s="1"/>
      <c r="J704" s="1"/>
      <c r="K704" s="1"/>
      <c r="L704" s="1"/>
      <c r="M704" s="1"/>
      <c r="N704" s="1"/>
      <c r="O704" s="1"/>
      <c r="P704" s="1"/>
      <c r="Q704" s="17"/>
    </row>
    <row x14ac:dyDescent="0.25" r="705" customHeight="1" ht="18.75">
      <c r="A705" s="1"/>
      <c r="B705" s="1" t="s">
        <v>37170</v>
      </c>
      <c r="C705" s="1" t="s">
        <v>7</v>
      </c>
      <c r="D705" s="1" t="s">
        <v>10</v>
      </c>
      <c r="E705" s="1" t="s">
        <v>37034</v>
      </c>
      <c r="F705" s="1" t="s">
        <v>3617</v>
      </c>
      <c r="G705" s="1" t="s">
        <v>37418</v>
      </c>
      <c r="H705" s="1" t="s">
        <v>3610</v>
      </c>
      <c r="I705" s="1"/>
      <c r="J705" s="1"/>
      <c r="K705" s="1"/>
      <c r="L705" s="1"/>
      <c r="M705" s="1"/>
      <c r="N705" s="1"/>
      <c r="O705" s="1"/>
      <c r="P705" s="1"/>
      <c r="Q705" s="17"/>
    </row>
    <row x14ac:dyDescent="0.25" r="706" customHeight="1" ht="18.75">
      <c r="A706" s="1"/>
      <c r="B706" s="1" t="s">
        <v>37170</v>
      </c>
      <c r="C706" s="1" t="s">
        <v>7</v>
      </c>
      <c r="D706" s="1" t="s">
        <v>10</v>
      </c>
      <c r="E706" s="1" t="s">
        <v>37034</v>
      </c>
      <c r="F706" s="1" t="s">
        <v>3617</v>
      </c>
      <c r="G706" s="1" t="s">
        <v>37419</v>
      </c>
      <c r="H706" s="1" t="s">
        <v>3610</v>
      </c>
      <c r="I706" s="1"/>
      <c r="J706" s="1"/>
      <c r="K706" s="1"/>
      <c r="L706" s="1"/>
      <c r="M706" s="1"/>
      <c r="N706" s="1"/>
      <c r="O706" s="1"/>
      <c r="P706" s="1"/>
      <c r="Q706" s="17"/>
    </row>
    <row x14ac:dyDescent="0.25" r="707" customHeight="1" ht="18.75">
      <c r="A707" s="1"/>
      <c r="B707" s="1" t="s">
        <v>37170</v>
      </c>
      <c r="C707" s="1" t="s">
        <v>7</v>
      </c>
      <c r="D707" s="1" t="s">
        <v>10</v>
      </c>
      <c r="E707" s="1" t="s">
        <v>36395</v>
      </c>
      <c r="F707" s="1" t="s">
        <v>3617</v>
      </c>
      <c r="G707" s="1" t="s">
        <v>37420</v>
      </c>
      <c r="H707" s="1" t="s">
        <v>37190</v>
      </c>
      <c r="I707" s="1"/>
      <c r="J707" s="1"/>
      <c r="K707" s="1"/>
      <c r="L707" s="1"/>
      <c r="M707" s="1"/>
      <c r="N707" s="1"/>
      <c r="O707" s="1"/>
      <c r="P707" s="1"/>
      <c r="Q707" s="17"/>
    </row>
    <row x14ac:dyDescent="0.25" r="708" customHeight="1" ht="18.75">
      <c r="A708" s="1"/>
      <c r="B708" s="1" t="s">
        <v>37170</v>
      </c>
      <c r="C708" s="1" t="s">
        <v>7</v>
      </c>
      <c r="D708" s="1" t="s">
        <v>10</v>
      </c>
      <c r="E708" s="1" t="s">
        <v>37034</v>
      </c>
      <c r="F708" s="1" t="s">
        <v>3617</v>
      </c>
      <c r="G708" s="1" t="s">
        <v>37421</v>
      </c>
      <c r="H708" s="1" t="s">
        <v>37037</v>
      </c>
      <c r="I708" s="1"/>
      <c r="J708" s="1"/>
      <c r="K708" s="1"/>
      <c r="L708" s="1"/>
      <c r="M708" s="1"/>
      <c r="N708" s="1"/>
      <c r="O708" s="1"/>
      <c r="P708" s="1"/>
      <c r="Q708" s="17"/>
    </row>
    <row x14ac:dyDescent="0.25" r="709" customHeight="1" ht="18.75">
      <c r="A709" s="1"/>
      <c r="B709" s="1" t="s">
        <v>37170</v>
      </c>
      <c r="C709" s="1" t="s">
        <v>7</v>
      </c>
      <c r="D709" s="1" t="s">
        <v>10</v>
      </c>
      <c r="E709" s="1" t="s">
        <v>37034</v>
      </c>
      <c r="F709" s="1" t="s">
        <v>3617</v>
      </c>
      <c r="G709" s="1" t="s">
        <v>37422</v>
      </c>
      <c r="H709" s="1" t="s">
        <v>37037</v>
      </c>
      <c r="I709" s="1"/>
      <c r="J709" s="1"/>
      <c r="K709" s="1"/>
      <c r="L709" s="1"/>
      <c r="M709" s="1"/>
      <c r="N709" s="1"/>
      <c r="O709" s="1"/>
      <c r="P709" s="1"/>
      <c r="Q709" s="17"/>
    </row>
    <row x14ac:dyDescent="0.25" r="710" customHeight="1" ht="18.75">
      <c r="A710" s="1"/>
      <c r="B710" s="1" t="s">
        <v>37170</v>
      </c>
      <c r="C710" s="1" t="s">
        <v>7</v>
      </c>
      <c r="D710" s="1" t="s">
        <v>10</v>
      </c>
      <c r="E710" s="1" t="s">
        <v>37034</v>
      </c>
      <c r="F710" s="1" t="s">
        <v>3617</v>
      </c>
      <c r="G710" s="1" t="s">
        <v>37423</v>
      </c>
      <c r="H710" s="1" t="s">
        <v>37037</v>
      </c>
      <c r="I710" s="1"/>
      <c r="J710" s="1"/>
      <c r="K710" s="1"/>
      <c r="L710" s="1"/>
      <c r="M710" s="1"/>
      <c r="N710" s="1"/>
      <c r="O710" s="1"/>
      <c r="P710" s="1"/>
      <c r="Q710" s="17"/>
    </row>
    <row x14ac:dyDescent="0.25" r="711" customHeight="1" ht="18.75">
      <c r="A711" s="1"/>
      <c r="B711" s="1" t="s">
        <v>37170</v>
      </c>
      <c r="C711" s="1" t="s">
        <v>7</v>
      </c>
      <c r="D711" s="1" t="s">
        <v>10</v>
      </c>
      <c r="E711" s="1" t="s">
        <v>37034</v>
      </c>
      <c r="F711" s="1" t="s">
        <v>3617</v>
      </c>
      <c r="G711" s="1" t="s">
        <v>37424</v>
      </c>
      <c r="H711" s="1" t="s">
        <v>3610</v>
      </c>
      <c r="I711" s="1"/>
      <c r="J711" s="1"/>
      <c r="K711" s="1"/>
      <c r="L711" s="1"/>
      <c r="M711" s="1"/>
      <c r="N711" s="1"/>
      <c r="O711" s="1"/>
      <c r="P711" s="1"/>
      <c r="Q711" s="17"/>
    </row>
    <row x14ac:dyDescent="0.25" r="712" customHeight="1" ht="18.75">
      <c r="A712" s="1"/>
      <c r="B712" s="1" t="s">
        <v>37170</v>
      </c>
      <c r="C712" s="1" t="s">
        <v>7</v>
      </c>
      <c r="D712" s="1" t="s">
        <v>10</v>
      </c>
      <c r="E712" s="1" t="s">
        <v>37034</v>
      </c>
      <c r="F712" s="1" t="s">
        <v>3617</v>
      </c>
      <c r="G712" s="1" t="s">
        <v>37425</v>
      </c>
      <c r="H712" s="1" t="s">
        <v>3610</v>
      </c>
      <c r="I712" s="1"/>
      <c r="J712" s="1"/>
      <c r="K712" s="1"/>
      <c r="L712" s="1"/>
      <c r="M712" s="1"/>
      <c r="N712" s="1"/>
      <c r="O712" s="1"/>
      <c r="P712" s="1"/>
      <c r="Q712" s="17"/>
    </row>
    <row x14ac:dyDescent="0.25" r="713" customHeight="1" ht="18.75">
      <c r="A713" s="1"/>
      <c r="B713" s="1" t="s">
        <v>37170</v>
      </c>
      <c r="C713" s="1" t="s">
        <v>7</v>
      </c>
      <c r="D713" s="1" t="s">
        <v>10</v>
      </c>
      <c r="E713" s="1" t="s">
        <v>37034</v>
      </c>
      <c r="F713" s="1" t="s">
        <v>3617</v>
      </c>
      <c r="G713" s="1" t="s">
        <v>37426</v>
      </c>
      <c r="H713" s="1" t="s">
        <v>3610</v>
      </c>
      <c r="I713" s="1"/>
      <c r="J713" s="1"/>
      <c r="K713" s="1"/>
      <c r="L713" s="1"/>
      <c r="M713" s="1"/>
      <c r="N713" s="1"/>
      <c r="O713" s="1"/>
      <c r="P713" s="1"/>
      <c r="Q713" s="17"/>
    </row>
    <row x14ac:dyDescent="0.25" r="714" customHeight="1" ht="18.75">
      <c r="A714" s="1"/>
      <c r="B714" s="1" t="s">
        <v>37170</v>
      </c>
      <c r="C714" s="1" t="s">
        <v>7</v>
      </c>
      <c r="D714" s="1" t="s">
        <v>10</v>
      </c>
      <c r="E714" s="1" t="s">
        <v>37034</v>
      </c>
      <c r="F714" s="1" t="s">
        <v>3617</v>
      </c>
      <c r="G714" s="1" t="s">
        <v>37427</v>
      </c>
      <c r="H714" s="1" t="s">
        <v>37057</v>
      </c>
      <c r="I714" s="1"/>
      <c r="J714" s="1"/>
      <c r="K714" s="1"/>
      <c r="L714" s="1"/>
      <c r="M714" s="1"/>
      <c r="N714" s="1"/>
      <c r="O714" s="1"/>
      <c r="P714" s="1"/>
      <c r="Q714" s="17"/>
    </row>
    <row x14ac:dyDescent="0.25" r="715" customHeight="1" ht="18.75">
      <c r="A715" s="1"/>
      <c r="B715" s="1" t="s">
        <v>37170</v>
      </c>
      <c r="C715" s="1" t="s">
        <v>7</v>
      </c>
      <c r="D715" s="1" t="s">
        <v>10</v>
      </c>
      <c r="E715" s="1" t="s">
        <v>37034</v>
      </c>
      <c r="F715" s="1" t="s">
        <v>3617</v>
      </c>
      <c r="G715" s="1" t="s">
        <v>37428</v>
      </c>
      <c r="H715" s="1" t="s">
        <v>37057</v>
      </c>
      <c r="I715" s="1"/>
      <c r="J715" s="1"/>
      <c r="K715" s="1"/>
      <c r="L715" s="1"/>
      <c r="M715" s="1"/>
      <c r="N715" s="1"/>
      <c r="O715" s="1"/>
      <c r="P715" s="1"/>
      <c r="Q715" s="17"/>
    </row>
    <row x14ac:dyDescent="0.25" r="716" customHeight="1" ht="18.75">
      <c r="A716" s="1"/>
      <c r="B716" s="1" t="s">
        <v>37170</v>
      </c>
      <c r="C716" s="1" t="s">
        <v>7</v>
      </c>
      <c r="D716" s="1" t="s">
        <v>10</v>
      </c>
      <c r="E716" s="1" t="s">
        <v>37034</v>
      </c>
      <c r="F716" s="1" t="s">
        <v>3617</v>
      </c>
      <c r="G716" s="1" t="s">
        <v>37429</v>
      </c>
      <c r="H716" s="1" t="s">
        <v>37057</v>
      </c>
      <c r="I716" s="1"/>
      <c r="J716" s="1"/>
      <c r="K716" s="1"/>
      <c r="L716" s="1"/>
      <c r="M716" s="1"/>
      <c r="N716" s="1"/>
      <c r="O716" s="1"/>
      <c r="P716" s="1"/>
      <c r="Q716" s="17"/>
    </row>
    <row x14ac:dyDescent="0.25" r="717" customHeight="1" ht="18.75">
      <c r="A717" s="1"/>
      <c r="B717" s="1" t="s">
        <v>37170</v>
      </c>
      <c r="C717" s="1" t="s">
        <v>7</v>
      </c>
      <c r="D717" s="1" t="s">
        <v>10</v>
      </c>
      <c r="E717" s="1" t="s">
        <v>37034</v>
      </c>
      <c r="F717" s="1" t="s">
        <v>3617</v>
      </c>
      <c r="G717" s="1" t="s">
        <v>37430</v>
      </c>
      <c r="H717" s="1" t="s">
        <v>37057</v>
      </c>
      <c r="I717" s="1"/>
      <c r="J717" s="1"/>
      <c r="K717" s="1"/>
      <c r="L717" s="1"/>
      <c r="M717" s="1"/>
      <c r="N717" s="1"/>
      <c r="O717" s="1"/>
      <c r="P717" s="1"/>
      <c r="Q717" s="17"/>
    </row>
    <row x14ac:dyDescent="0.25" r="718" customHeight="1" ht="18.75">
      <c r="A718" s="1"/>
      <c r="B718" s="1" t="s">
        <v>37170</v>
      </c>
      <c r="C718" s="1" t="s">
        <v>7</v>
      </c>
      <c r="D718" s="1" t="s">
        <v>10</v>
      </c>
      <c r="E718" s="1" t="s">
        <v>37034</v>
      </c>
      <c r="F718" s="1" t="s">
        <v>3617</v>
      </c>
      <c r="G718" s="1" t="s">
        <v>37431</v>
      </c>
      <c r="H718" s="1" t="s">
        <v>37057</v>
      </c>
      <c r="I718" s="1"/>
      <c r="J718" s="1"/>
      <c r="K718" s="1"/>
      <c r="L718" s="1"/>
      <c r="M718" s="1"/>
      <c r="N718" s="1"/>
      <c r="O718" s="1"/>
      <c r="P718" s="1"/>
      <c r="Q718" s="17"/>
    </row>
    <row x14ac:dyDescent="0.25" r="719" customHeight="1" ht="18.75">
      <c r="A719" s="1"/>
      <c r="B719" s="1" t="s">
        <v>37170</v>
      </c>
      <c r="C719" s="1" t="s">
        <v>7</v>
      </c>
      <c r="D719" s="1" t="s">
        <v>10</v>
      </c>
      <c r="E719" s="1" t="s">
        <v>37034</v>
      </c>
      <c r="F719" s="1" t="s">
        <v>3617</v>
      </c>
      <c r="G719" s="1" t="s">
        <v>37432</v>
      </c>
      <c r="H719" s="1" t="s">
        <v>37057</v>
      </c>
      <c r="I719" s="1"/>
      <c r="J719" s="1"/>
      <c r="K719" s="1"/>
      <c r="L719" s="1"/>
      <c r="M719" s="1"/>
      <c r="N719" s="1"/>
      <c r="O719" s="1"/>
      <c r="P719" s="1"/>
      <c r="Q719" s="17"/>
    </row>
    <row x14ac:dyDescent="0.25" r="720" customHeight="1" ht="18.75">
      <c r="A720" s="1"/>
      <c r="B720" s="1" t="s">
        <v>37170</v>
      </c>
      <c r="C720" s="1" t="s">
        <v>7</v>
      </c>
      <c r="D720" s="1" t="s">
        <v>10</v>
      </c>
      <c r="E720" s="1" t="s">
        <v>37034</v>
      </c>
      <c r="F720" s="1" t="s">
        <v>3617</v>
      </c>
      <c r="G720" s="1" t="s">
        <v>37433</v>
      </c>
      <c r="H720" s="1" t="s">
        <v>37057</v>
      </c>
      <c r="I720" s="1"/>
      <c r="J720" s="1"/>
      <c r="K720" s="1"/>
      <c r="L720" s="1"/>
      <c r="M720" s="1"/>
      <c r="N720" s="1"/>
      <c r="O720" s="1"/>
      <c r="P720" s="1"/>
      <c r="Q720" s="17"/>
    </row>
    <row x14ac:dyDescent="0.25" r="721" customHeight="1" ht="18.75">
      <c r="A721" s="1"/>
      <c r="B721" s="1" t="s">
        <v>37170</v>
      </c>
      <c r="C721" s="1" t="s">
        <v>7</v>
      </c>
      <c r="D721" s="1" t="s">
        <v>10</v>
      </c>
      <c r="E721" s="1" t="s">
        <v>37034</v>
      </c>
      <c r="F721" s="1" t="s">
        <v>3617</v>
      </c>
      <c r="G721" s="1" t="s">
        <v>37434</v>
      </c>
      <c r="H721" s="1" t="s">
        <v>37057</v>
      </c>
      <c r="I721" s="1"/>
      <c r="J721" s="1"/>
      <c r="K721" s="1"/>
      <c r="L721" s="1"/>
      <c r="M721" s="1"/>
      <c r="N721" s="1"/>
      <c r="O721" s="1"/>
      <c r="P721" s="1"/>
      <c r="Q721" s="17"/>
    </row>
    <row x14ac:dyDescent="0.25" r="722" customHeight="1" ht="18.75">
      <c r="A722" s="1"/>
      <c r="B722" s="1" t="s">
        <v>37170</v>
      </c>
      <c r="C722" s="1" t="s">
        <v>7</v>
      </c>
      <c r="D722" s="1" t="s">
        <v>10</v>
      </c>
      <c r="E722" s="1" t="s">
        <v>37034</v>
      </c>
      <c r="F722" s="1" t="s">
        <v>3617</v>
      </c>
      <c r="G722" s="1" t="s">
        <v>37435</v>
      </c>
      <c r="H722" s="1" t="s">
        <v>37057</v>
      </c>
      <c r="I722" s="1"/>
      <c r="J722" s="1"/>
      <c r="K722" s="1"/>
      <c r="L722" s="1"/>
      <c r="M722" s="1"/>
      <c r="N722" s="1"/>
      <c r="O722" s="1"/>
      <c r="P722" s="1"/>
      <c r="Q722" s="17"/>
    </row>
    <row x14ac:dyDescent="0.25" r="723" customHeight="1" ht="18.75">
      <c r="A723" s="1"/>
      <c r="B723" s="1" t="s">
        <v>37170</v>
      </c>
      <c r="C723" s="1" t="s">
        <v>7</v>
      </c>
      <c r="D723" s="1" t="s">
        <v>10</v>
      </c>
      <c r="E723" s="1" t="s">
        <v>37034</v>
      </c>
      <c r="F723" s="1" t="s">
        <v>3617</v>
      </c>
      <c r="G723" s="1" t="s">
        <v>37436</v>
      </c>
      <c r="H723" s="1" t="s">
        <v>37057</v>
      </c>
      <c r="I723" s="1"/>
      <c r="J723" s="1"/>
      <c r="K723" s="1"/>
      <c r="L723" s="1"/>
      <c r="M723" s="1"/>
      <c r="N723" s="1"/>
      <c r="O723" s="1"/>
      <c r="P723" s="1"/>
      <c r="Q723" s="17"/>
    </row>
    <row x14ac:dyDescent="0.25" r="724" customHeight="1" ht="18.75">
      <c r="A724" s="1"/>
      <c r="B724" s="1" t="s">
        <v>37170</v>
      </c>
      <c r="C724" s="1" t="s">
        <v>7</v>
      </c>
      <c r="D724" s="1" t="s">
        <v>10</v>
      </c>
      <c r="E724" s="1" t="s">
        <v>37034</v>
      </c>
      <c r="F724" s="1" t="s">
        <v>3617</v>
      </c>
      <c r="G724" s="1" t="s">
        <v>37437</v>
      </c>
      <c r="H724" s="1" t="s">
        <v>37057</v>
      </c>
      <c r="I724" s="1"/>
      <c r="J724" s="1"/>
      <c r="K724" s="1"/>
      <c r="L724" s="1"/>
      <c r="M724" s="1"/>
      <c r="N724" s="1"/>
      <c r="O724" s="1"/>
      <c r="P724" s="1"/>
      <c r="Q724" s="17"/>
    </row>
    <row x14ac:dyDescent="0.25" r="725" customHeight="1" ht="18.75">
      <c r="A725" s="1"/>
      <c r="B725" s="1" t="s">
        <v>37170</v>
      </c>
      <c r="C725" s="1" t="s">
        <v>7</v>
      </c>
      <c r="D725" s="1" t="s">
        <v>10</v>
      </c>
      <c r="E725" s="1" t="s">
        <v>37034</v>
      </c>
      <c r="F725" s="1" t="s">
        <v>3617</v>
      </c>
      <c r="G725" s="1" t="s">
        <v>37438</v>
      </c>
      <c r="H725" s="1" t="s">
        <v>37057</v>
      </c>
      <c r="I725" s="1"/>
      <c r="J725" s="1"/>
      <c r="K725" s="1"/>
      <c r="L725" s="1"/>
      <c r="M725" s="1"/>
      <c r="N725" s="1"/>
      <c r="O725" s="1"/>
      <c r="P725" s="1"/>
      <c r="Q725" s="17"/>
    </row>
    <row x14ac:dyDescent="0.25" r="726" customHeight="1" ht="18.75">
      <c r="A726" s="1"/>
      <c r="B726" s="1" t="s">
        <v>37170</v>
      </c>
      <c r="C726" s="1" t="s">
        <v>7</v>
      </c>
      <c r="D726" s="1" t="s">
        <v>10</v>
      </c>
      <c r="E726" s="1" t="s">
        <v>37034</v>
      </c>
      <c r="F726" s="1" t="s">
        <v>3617</v>
      </c>
      <c r="G726" s="1" t="s">
        <v>37439</v>
      </c>
      <c r="H726" s="1" t="s">
        <v>37057</v>
      </c>
      <c r="I726" s="1"/>
      <c r="J726" s="1"/>
      <c r="K726" s="1"/>
      <c r="L726" s="1"/>
      <c r="M726" s="1"/>
      <c r="N726" s="1"/>
      <c r="O726" s="1"/>
      <c r="P726" s="1"/>
      <c r="Q726" s="17"/>
    </row>
    <row x14ac:dyDescent="0.25" r="727" customHeight="1" ht="18.75">
      <c r="A727" s="1"/>
      <c r="B727" s="1" t="s">
        <v>37170</v>
      </c>
      <c r="C727" s="1" t="s">
        <v>7</v>
      </c>
      <c r="D727" s="1" t="s">
        <v>10</v>
      </c>
      <c r="E727" s="1" t="s">
        <v>37034</v>
      </c>
      <c r="F727" s="1" t="s">
        <v>3617</v>
      </c>
      <c r="G727" s="1" t="s">
        <v>37440</v>
      </c>
      <c r="H727" s="1" t="s">
        <v>37057</v>
      </c>
      <c r="I727" s="1"/>
      <c r="J727" s="1"/>
      <c r="K727" s="1"/>
      <c r="L727" s="1"/>
      <c r="M727" s="1"/>
      <c r="N727" s="1"/>
      <c r="O727" s="1"/>
      <c r="P727" s="1"/>
      <c r="Q727" s="17"/>
    </row>
    <row x14ac:dyDescent="0.25" r="728" customHeight="1" ht="18.75">
      <c r="A728" s="1"/>
      <c r="B728" s="1" t="s">
        <v>37170</v>
      </c>
      <c r="C728" s="1" t="s">
        <v>7</v>
      </c>
      <c r="D728" s="1" t="s">
        <v>10</v>
      </c>
      <c r="E728" s="1" t="s">
        <v>37034</v>
      </c>
      <c r="F728" s="1" t="s">
        <v>3617</v>
      </c>
      <c r="G728" s="1" t="s">
        <v>37441</v>
      </c>
      <c r="H728" s="1" t="s">
        <v>37057</v>
      </c>
      <c r="I728" s="1"/>
      <c r="J728" s="1"/>
      <c r="K728" s="1"/>
      <c r="L728" s="1"/>
      <c r="M728" s="1"/>
      <c r="N728" s="1"/>
      <c r="O728" s="1"/>
      <c r="P728" s="1"/>
      <c r="Q728" s="17"/>
    </row>
    <row x14ac:dyDescent="0.25" r="729" customHeight="1" ht="18.75">
      <c r="A729" s="1"/>
      <c r="B729" s="1" t="s">
        <v>37170</v>
      </c>
      <c r="C729" s="1" t="s">
        <v>7</v>
      </c>
      <c r="D729" s="1" t="s">
        <v>10</v>
      </c>
      <c r="E729" s="1" t="s">
        <v>37034</v>
      </c>
      <c r="F729" s="1" t="s">
        <v>3617</v>
      </c>
      <c r="G729" s="1" t="s">
        <v>37442</v>
      </c>
      <c r="H729" s="1" t="s">
        <v>37057</v>
      </c>
      <c r="I729" s="1"/>
      <c r="J729" s="1"/>
      <c r="K729" s="1"/>
      <c r="L729" s="1"/>
      <c r="M729" s="1"/>
      <c r="N729" s="1"/>
      <c r="O729" s="1"/>
      <c r="P729" s="1"/>
      <c r="Q729" s="17"/>
    </row>
    <row x14ac:dyDescent="0.25" r="730" customHeight="1" ht="18.75">
      <c r="A730" s="1"/>
      <c r="B730" s="1" t="s">
        <v>37170</v>
      </c>
      <c r="C730" s="1" t="s">
        <v>7</v>
      </c>
      <c r="D730" s="1" t="s">
        <v>10</v>
      </c>
      <c r="E730" s="1" t="s">
        <v>37034</v>
      </c>
      <c r="F730" s="1" t="s">
        <v>3617</v>
      </c>
      <c r="G730" s="1" t="s">
        <v>37443</v>
      </c>
      <c r="H730" s="1" t="s">
        <v>37057</v>
      </c>
      <c r="I730" s="1"/>
      <c r="J730" s="1"/>
      <c r="K730" s="1"/>
      <c r="L730" s="1"/>
      <c r="M730" s="1"/>
      <c r="N730" s="1"/>
      <c r="O730" s="1"/>
      <c r="P730" s="1"/>
      <c r="Q730" s="17"/>
    </row>
    <row x14ac:dyDescent="0.25" r="731" customHeight="1" ht="18.75">
      <c r="A731" s="1"/>
      <c r="B731" s="1" t="s">
        <v>37170</v>
      </c>
      <c r="C731" s="1" t="s">
        <v>7</v>
      </c>
      <c r="D731" s="1" t="s">
        <v>10</v>
      </c>
      <c r="E731" s="1" t="s">
        <v>37034</v>
      </c>
      <c r="F731" s="1" t="s">
        <v>3617</v>
      </c>
      <c r="G731" s="1" t="s">
        <v>37444</v>
      </c>
      <c r="H731" s="1" t="s">
        <v>37057</v>
      </c>
      <c r="I731" s="1"/>
      <c r="J731" s="1"/>
      <c r="K731" s="1"/>
      <c r="L731" s="1"/>
      <c r="M731" s="1"/>
      <c r="N731" s="1"/>
      <c r="O731" s="1"/>
      <c r="P731" s="1"/>
      <c r="Q731" s="17"/>
    </row>
    <row x14ac:dyDescent="0.25" r="732" customHeight="1" ht="18.75">
      <c r="A732" s="1"/>
      <c r="B732" s="1" t="s">
        <v>37170</v>
      </c>
      <c r="C732" s="1" t="s">
        <v>7</v>
      </c>
      <c r="D732" s="1" t="s">
        <v>10</v>
      </c>
      <c r="E732" s="1" t="s">
        <v>37034</v>
      </c>
      <c r="F732" s="1" t="s">
        <v>3617</v>
      </c>
      <c r="G732" s="1" t="s">
        <v>37445</v>
      </c>
      <c r="H732" s="1" t="s">
        <v>37057</v>
      </c>
      <c r="I732" s="1"/>
      <c r="J732" s="1"/>
      <c r="K732" s="1"/>
      <c r="L732" s="1"/>
      <c r="M732" s="1"/>
      <c r="N732" s="1"/>
      <c r="O732" s="1"/>
      <c r="P732" s="1"/>
      <c r="Q732" s="17"/>
    </row>
    <row x14ac:dyDescent="0.25" r="733" customHeight="1" ht="18.75">
      <c r="A733" s="1"/>
      <c r="B733" s="1" t="s">
        <v>37170</v>
      </c>
      <c r="C733" s="1" t="s">
        <v>7</v>
      </c>
      <c r="D733" s="1" t="s">
        <v>10</v>
      </c>
      <c r="E733" s="1" t="s">
        <v>37034</v>
      </c>
      <c r="F733" s="1" t="s">
        <v>3617</v>
      </c>
      <c r="G733" s="1" t="s">
        <v>37446</v>
      </c>
      <c r="H733" s="1" t="s">
        <v>37057</v>
      </c>
      <c r="I733" s="1"/>
      <c r="J733" s="1"/>
      <c r="K733" s="1"/>
      <c r="L733" s="1"/>
      <c r="M733" s="1"/>
      <c r="N733" s="1"/>
      <c r="O733" s="1"/>
      <c r="P733" s="1"/>
      <c r="Q733" s="17"/>
    </row>
    <row x14ac:dyDescent="0.25" r="734" customHeight="1" ht="18.75">
      <c r="A734" s="1"/>
      <c r="B734" s="1" t="s">
        <v>37170</v>
      </c>
      <c r="C734" s="1" t="s">
        <v>7</v>
      </c>
      <c r="D734" s="1" t="s">
        <v>10</v>
      </c>
      <c r="E734" s="1" t="s">
        <v>37034</v>
      </c>
      <c r="F734" s="1" t="s">
        <v>3617</v>
      </c>
      <c r="G734" s="1" t="s">
        <v>37447</v>
      </c>
      <c r="H734" s="1" t="s">
        <v>37057</v>
      </c>
      <c r="I734" s="1"/>
      <c r="J734" s="1"/>
      <c r="K734" s="1"/>
      <c r="L734" s="1"/>
      <c r="M734" s="1"/>
      <c r="N734" s="1"/>
      <c r="O734" s="1"/>
      <c r="P734" s="1"/>
      <c r="Q734" s="17"/>
    </row>
    <row x14ac:dyDescent="0.25" r="735" customHeight="1" ht="18.75">
      <c r="A735" s="1"/>
      <c r="B735" s="1" t="s">
        <v>37170</v>
      </c>
      <c r="C735" s="1" t="s">
        <v>7</v>
      </c>
      <c r="D735" s="1" t="s">
        <v>10</v>
      </c>
      <c r="E735" s="1" t="s">
        <v>37034</v>
      </c>
      <c r="F735" s="1" t="s">
        <v>3617</v>
      </c>
      <c r="G735" s="1" t="s">
        <v>37448</v>
      </c>
      <c r="H735" s="1" t="s">
        <v>37057</v>
      </c>
      <c r="I735" s="1"/>
      <c r="J735" s="1"/>
      <c r="K735" s="1"/>
      <c r="L735" s="1"/>
      <c r="M735" s="1"/>
      <c r="N735" s="1"/>
      <c r="O735" s="1"/>
      <c r="P735" s="1"/>
      <c r="Q735" s="17"/>
    </row>
    <row x14ac:dyDescent="0.25" r="736" customHeight="1" ht="18.75">
      <c r="A736" s="1"/>
      <c r="B736" s="1" t="s">
        <v>37170</v>
      </c>
      <c r="C736" s="1" t="s">
        <v>7</v>
      </c>
      <c r="D736" s="1" t="s">
        <v>10</v>
      </c>
      <c r="E736" s="1" t="s">
        <v>36395</v>
      </c>
      <c r="F736" s="1" t="s">
        <v>3617</v>
      </c>
      <c r="G736" s="1" t="s">
        <v>37449</v>
      </c>
      <c r="H736" s="1" t="s">
        <v>37190</v>
      </c>
      <c r="I736" s="1"/>
      <c r="J736" s="1"/>
      <c r="K736" s="1"/>
      <c r="L736" s="1"/>
      <c r="M736" s="1"/>
      <c r="N736" s="1"/>
      <c r="O736" s="1"/>
      <c r="P736" s="1"/>
      <c r="Q736" s="17"/>
    </row>
    <row x14ac:dyDescent="0.25" r="737" customHeight="1" ht="18.75">
      <c r="A737" s="1"/>
      <c r="B737" s="1" t="s">
        <v>37170</v>
      </c>
      <c r="C737" s="1" t="s">
        <v>7</v>
      </c>
      <c r="D737" s="1" t="s">
        <v>10</v>
      </c>
      <c r="E737" s="1" t="s">
        <v>36395</v>
      </c>
      <c r="F737" s="1" t="s">
        <v>3617</v>
      </c>
      <c r="G737" s="1" t="s">
        <v>37450</v>
      </c>
      <c r="H737" s="1" t="s">
        <v>37190</v>
      </c>
      <c r="I737" s="1"/>
      <c r="J737" s="1"/>
      <c r="K737" s="1"/>
      <c r="L737" s="1"/>
      <c r="M737" s="1"/>
      <c r="N737" s="1"/>
      <c r="O737" s="1"/>
      <c r="P737" s="1"/>
      <c r="Q737" s="17"/>
    </row>
    <row x14ac:dyDescent="0.25" r="738" customHeight="1" ht="18.75">
      <c r="A738" s="1"/>
      <c r="B738" s="1" t="s">
        <v>37170</v>
      </c>
      <c r="C738" s="1" t="s">
        <v>7</v>
      </c>
      <c r="D738" s="1" t="s">
        <v>10</v>
      </c>
      <c r="E738" s="1" t="s">
        <v>36395</v>
      </c>
      <c r="F738" s="1" t="s">
        <v>3617</v>
      </c>
      <c r="G738" s="1" t="s">
        <v>37451</v>
      </c>
      <c r="H738" s="1" t="s">
        <v>37190</v>
      </c>
      <c r="I738" s="1"/>
      <c r="J738" s="1"/>
      <c r="K738" s="1"/>
      <c r="L738" s="1"/>
      <c r="M738" s="1"/>
      <c r="N738" s="1"/>
      <c r="O738" s="1"/>
      <c r="P738" s="1"/>
      <c r="Q738" s="17"/>
    </row>
    <row x14ac:dyDescent="0.25" r="739" customHeight="1" ht="18.75">
      <c r="A739" s="1"/>
      <c r="B739" s="1" t="s">
        <v>37170</v>
      </c>
      <c r="C739" s="1" t="s">
        <v>7</v>
      </c>
      <c r="D739" s="1" t="s">
        <v>10</v>
      </c>
      <c r="E739" s="1" t="s">
        <v>36395</v>
      </c>
      <c r="F739" s="1" t="s">
        <v>3617</v>
      </c>
      <c r="G739" s="1" t="s">
        <v>37452</v>
      </c>
      <c r="H739" s="1" t="s">
        <v>37190</v>
      </c>
      <c r="I739" s="1"/>
      <c r="J739" s="1"/>
      <c r="K739" s="1"/>
      <c r="L739" s="1"/>
      <c r="M739" s="1"/>
      <c r="N739" s="1"/>
      <c r="O739" s="1"/>
      <c r="P739" s="1"/>
      <c r="Q739" s="17"/>
    </row>
    <row x14ac:dyDescent="0.25" r="740" customHeight="1" ht="18.75">
      <c r="A740" s="1"/>
      <c r="B740" s="1" t="s">
        <v>37453</v>
      </c>
      <c r="C740" s="1" t="s">
        <v>7</v>
      </c>
      <c r="D740" s="1" t="s">
        <v>10</v>
      </c>
      <c r="E740" s="1" t="s">
        <v>36395</v>
      </c>
      <c r="F740" s="1" t="s">
        <v>3693</v>
      </c>
      <c r="G740" s="1" t="s">
        <v>35274</v>
      </c>
      <c r="H740" s="1" t="s">
        <v>37063</v>
      </c>
      <c r="I740" s="1"/>
      <c r="J740" s="1"/>
      <c r="K740" s="1"/>
      <c r="L740" s="1"/>
      <c r="M740" s="1"/>
      <c r="N740" s="1"/>
      <c r="O740" s="1"/>
      <c r="P740" s="1"/>
      <c r="Q740" s="17"/>
    </row>
    <row x14ac:dyDescent="0.25" r="741" customHeight="1" ht="18.75">
      <c r="A741" s="1"/>
      <c r="B741" s="1" t="s">
        <v>37453</v>
      </c>
      <c r="C741" s="1" t="s">
        <v>7</v>
      </c>
      <c r="D741" s="1" t="s">
        <v>10</v>
      </c>
      <c r="E741" s="1" t="s">
        <v>36395</v>
      </c>
      <c r="F741" s="1" t="s">
        <v>3693</v>
      </c>
      <c r="G741" s="1" t="s">
        <v>35277</v>
      </c>
      <c r="H741" s="1" t="s">
        <v>37063</v>
      </c>
      <c r="I741" s="1"/>
      <c r="J741" s="1"/>
      <c r="K741" s="1"/>
      <c r="L741" s="1"/>
      <c r="M741" s="1"/>
      <c r="N741" s="1"/>
      <c r="O741" s="1"/>
      <c r="P741" s="1"/>
      <c r="Q741" s="17"/>
    </row>
    <row x14ac:dyDescent="0.25" r="742" customHeight="1" ht="18.75">
      <c r="A742" s="1"/>
      <c r="B742" s="1" t="s">
        <v>37453</v>
      </c>
      <c r="C742" s="1" t="s">
        <v>7</v>
      </c>
      <c r="D742" s="1" t="s">
        <v>10</v>
      </c>
      <c r="E742" s="1" t="s">
        <v>36395</v>
      </c>
      <c r="F742" s="1" t="s">
        <v>3693</v>
      </c>
      <c r="G742" s="1" t="s">
        <v>35279</v>
      </c>
      <c r="H742" s="1" t="s">
        <v>37063</v>
      </c>
      <c r="I742" s="1"/>
      <c r="J742" s="1"/>
      <c r="K742" s="1"/>
      <c r="L742" s="1"/>
      <c r="M742" s="1"/>
      <c r="N742" s="1"/>
      <c r="O742" s="1"/>
      <c r="P742" s="1"/>
      <c r="Q742" s="17"/>
    </row>
    <row x14ac:dyDescent="0.25" r="743" customHeight="1" ht="18.75">
      <c r="A743" s="1"/>
      <c r="B743" s="1" t="s">
        <v>37453</v>
      </c>
      <c r="C743" s="1" t="s">
        <v>7</v>
      </c>
      <c r="D743" s="1" t="s">
        <v>10</v>
      </c>
      <c r="E743" s="1" t="s">
        <v>37034</v>
      </c>
      <c r="F743" s="1" t="s">
        <v>3693</v>
      </c>
      <c r="G743" s="1" t="s">
        <v>37454</v>
      </c>
      <c r="H743" s="1" t="s">
        <v>37037</v>
      </c>
      <c r="I743" s="1"/>
      <c r="J743" s="1"/>
      <c r="K743" s="1"/>
      <c r="L743" s="1"/>
      <c r="M743" s="1"/>
      <c r="N743" s="1"/>
      <c r="O743" s="1"/>
      <c r="P743" s="1"/>
      <c r="Q743" s="17"/>
    </row>
    <row x14ac:dyDescent="0.25" r="744" customHeight="1" ht="18.75">
      <c r="A744" s="1"/>
      <c r="B744" s="1" t="s">
        <v>37453</v>
      </c>
      <c r="C744" s="1" t="s">
        <v>7</v>
      </c>
      <c r="D744" s="1" t="s">
        <v>10</v>
      </c>
      <c r="E744" s="1" t="s">
        <v>37034</v>
      </c>
      <c r="F744" s="1" t="s">
        <v>3693</v>
      </c>
      <c r="G744" s="1" t="s">
        <v>37455</v>
      </c>
      <c r="H744" s="1" t="s">
        <v>37037</v>
      </c>
      <c r="I744" s="1"/>
      <c r="J744" s="1"/>
      <c r="K744" s="1"/>
      <c r="L744" s="1"/>
      <c r="M744" s="1"/>
      <c r="N744" s="1"/>
      <c r="O744" s="1"/>
      <c r="P744" s="1"/>
      <c r="Q744" s="17"/>
    </row>
    <row x14ac:dyDescent="0.25" r="745" customHeight="1" ht="18.75">
      <c r="A745" s="1"/>
      <c r="B745" s="1" t="s">
        <v>37453</v>
      </c>
      <c r="C745" s="1" t="s">
        <v>7</v>
      </c>
      <c r="D745" s="1" t="s">
        <v>10</v>
      </c>
      <c r="E745" s="1" t="s">
        <v>37034</v>
      </c>
      <c r="F745" s="1" t="s">
        <v>3693</v>
      </c>
      <c r="G745" s="1" t="s">
        <v>37456</v>
      </c>
      <c r="H745" s="1" t="s">
        <v>37037</v>
      </c>
      <c r="I745" s="1"/>
      <c r="J745" s="1"/>
      <c r="K745" s="1"/>
      <c r="L745" s="1"/>
      <c r="M745" s="1"/>
      <c r="N745" s="1"/>
      <c r="O745" s="1"/>
      <c r="P745" s="1"/>
      <c r="Q745" s="17"/>
    </row>
    <row x14ac:dyDescent="0.25" r="746" customHeight="1" ht="18.75">
      <c r="A746" s="1"/>
      <c r="B746" s="1" t="s">
        <v>37453</v>
      </c>
      <c r="C746" s="1" t="s">
        <v>7</v>
      </c>
      <c r="D746" s="1" t="s">
        <v>10</v>
      </c>
      <c r="E746" s="1" t="s">
        <v>37034</v>
      </c>
      <c r="F746" s="1" t="s">
        <v>3693</v>
      </c>
      <c r="G746" s="1" t="s">
        <v>37457</v>
      </c>
      <c r="H746" s="1" t="s">
        <v>3610</v>
      </c>
      <c r="I746" s="1"/>
      <c r="J746" s="1"/>
      <c r="K746" s="1"/>
      <c r="L746" s="1"/>
      <c r="M746" s="1"/>
      <c r="N746" s="1"/>
      <c r="O746" s="1"/>
      <c r="P746" s="1"/>
      <c r="Q746" s="17"/>
    </row>
    <row x14ac:dyDescent="0.25" r="747" customHeight="1" ht="18.75">
      <c r="A747" s="1"/>
      <c r="B747" s="1" t="s">
        <v>37458</v>
      </c>
      <c r="C747" s="1" t="s">
        <v>7</v>
      </c>
      <c r="D747" s="1" t="s">
        <v>10</v>
      </c>
      <c r="E747" s="1" t="s">
        <v>36395</v>
      </c>
      <c r="F747" s="1" t="s">
        <v>3693</v>
      </c>
      <c r="G747" s="1" t="s">
        <v>35281</v>
      </c>
      <c r="H747" s="1" t="s">
        <v>37107</v>
      </c>
      <c r="I747" s="1"/>
      <c r="J747" s="1"/>
      <c r="K747" s="1"/>
      <c r="L747" s="1"/>
      <c r="M747" s="1"/>
      <c r="N747" s="1"/>
      <c r="O747" s="1"/>
      <c r="P747" s="1"/>
      <c r="Q747" s="17"/>
    </row>
    <row x14ac:dyDescent="0.25" r="748" customHeight="1" ht="18.75">
      <c r="A748" s="1"/>
      <c r="B748" s="1" t="s">
        <v>37458</v>
      </c>
      <c r="C748" s="1" t="s">
        <v>7</v>
      </c>
      <c r="D748" s="1" t="s">
        <v>10</v>
      </c>
      <c r="E748" s="1" t="s">
        <v>36395</v>
      </c>
      <c r="F748" s="1" t="s">
        <v>3693</v>
      </c>
      <c r="G748" s="1" t="s">
        <v>35284</v>
      </c>
      <c r="H748" s="1" t="s">
        <v>37107</v>
      </c>
      <c r="I748" s="1"/>
      <c r="J748" s="1"/>
      <c r="K748" s="1"/>
      <c r="L748" s="1"/>
      <c r="M748" s="1"/>
      <c r="N748" s="1"/>
      <c r="O748" s="1"/>
      <c r="P748" s="1"/>
      <c r="Q748" s="17"/>
    </row>
    <row x14ac:dyDescent="0.25" r="749" customHeight="1" ht="18.75">
      <c r="A749" s="1"/>
      <c r="B749" s="1" t="s">
        <v>37458</v>
      </c>
      <c r="C749" s="1" t="s">
        <v>7</v>
      </c>
      <c r="D749" s="1" t="s">
        <v>10</v>
      </c>
      <c r="E749" s="1" t="s">
        <v>36395</v>
      </c>
      <c r="F749" s="1" t="s">
        <v>3693</v>
      </c>
      <c r="G749" s="1" t="s">
        <v>35287</v>
      </c>
      <c r="H749" s="1" t="s">
        <v>37107</v>
      </c>
      <c r="I749" s="1"/>
      <c r="J749" s="1"/>
      <c r="K749" s="1"/>
      <c r="L749" s="1"/>
      <c r="M749" s="1"/>
      <c r="N749" s="1"/>
      <c r="O749" s="1"/>
      <c r="P749" s="1"/>
      <c r="Q749" s="17"/>
    </row>
    <row x14ac:dyDescent="0.25" r="750" customHeight="1" ht="18.75">
      <c r="A750" s="1"/>
      <c r="B750" s="1" t="s">
        <v>37458</v>
      </c>
      <c r="C750" s="1" t="s">
        <v>7</v>
      </c>
      <c r="D750" s="1" t="s">
        <v>10</v>
      </c>
      <c r="E750" s="1" t="s">
        <v>36395</v>
      </c>
      <c r="F750" s="1" t="s">
        <v>3693</v>
      </c>
      <c r="G750" s="1" t="s">
        <v>35289</v>
      </c>
      <c r="H750" s="1" t="s">
        <v>37107</v>
      </c>
      <c r="I750" s="1"/>
      <c r="J750" s="1"/>
      <c r="K750" s="1"/>
      <c r="L750" s="1"/>
      <c r="M750" s="1"/>
      <c r="N750" s="1"/>
      <c r="O750" s="1"/>
      <c r="P750" s="1"/>
      <c r="Q750" s="17"/>
    </row>
    <row x14ac:dyDescent="0.25" r="751" customHeight="1" ht="18.75">
      <c r="A751" s="1"/>
      <c r="B751" s="1" t="s">
        <v>37458</v>
      </c>
      <c r="C751" s="1" t="s">
        <v>7</v>
      </c>
      <c r="D751" s="1" t="s">
        <v>10</v>
      </c>
      <c r="E751" s="1" t="s">
        <v>37034</v>
      </c>
      <c r="F751" s="1" t="s">
        <v>3693</v>
      </c>
      <c r="G751" s="1" t="s">
        <v>37459</v>
      </c>
      <c r="H751" s="1" t="s">
        <v>37037</v>
      </c>
      <c r="I751" s="1"/>
      <c r="J751" s="1"/>
      <c r="K751" s="1"/>
      <c r="L751" s="1"/>
      <c r="M751" s="1"/>
      <c r="N751" s="1"/>
      <c r="O751" s="1"/>
      <c r="P751" s="1"/>
      <c r="Q751" s="17"/>
    </row>
    <row x14ac:dyDescent="0.25" r="752" customHeight="1" ht="18.75">
      <c r="A752" s="1"/>
      <c r="B752" s="1" t="s">
        <v>37458</v>
      </c>
      <c r="C752" s="1" t="s">
        <v>7</v>
      </c>
      <c r="D752" s="1" t="s">
        <v>10</v>
      </c>
      <c r="E752" s="1" t="s">
        <v>37034</v>
      </c>
      <c r="F752" s="1" t="s">
        <v>3693</v>
      </c>
      <c r="G752" s="1" t="s">
        <v>37460</v>
      </c>
      <c r="H752" s="1" t="s">
        <v>37037</v>
      </c>
      <c r="I752" s="1"/>
      <c r="J752" s="1"/>
      <c r="K752" s="1"/>
      <c r="L752" s="1"/>
      <c r="M752" s="1"/>
      <c r="N752" s="1"/>
      <c r="O752" s="1"/>
      <c r="P752" s="1"/>
      <c r="Q752" s="17"/>
    </row>
    <row x14ac:dyDescent="0.25" r="753" customHeight="1" ht="18.75">
      <c r="A753" s="1"/>
      <c r="B753" s="1" t="s">
        <v>37458</v>
      </c>
      <c r="C753" s="1" t="s">
        <v>7</v>
      </c>
      <c r="D753" s="1" t="s">
        <v>10</v>
      </c>
      <c r="E753" s="1" t="s">
        <v>37034</v>
      </c>
      <c r="F753" s="1" t="s">
        <v>3693</v>
      </c>
      <c r="G753" s="1" t="s">
        <v>37461</v>
      </c>
      <c r="H753" s="1" t="s">
        <v>37037</v>
      </c>
      <c r="I753" s="1"/>
      <c r="J753" s="1"/>
      <c r="K753" s="1"/>
      <c r="L753" s="1"/>
      <c r="M753" s="1"/>
      <c r="N753" s="1"/>
      <c r="O753" s="1"/>
      <c r="P753" s="1"/>
      <c r="Q753" s="17"/>
    </row>
    <row x14ac:dyDescent="0.25" r="754" customHeight="1" ht="18.75">
      <c r="A754" s="1"/>
      <c r="B754" s="1" t="s">
        <v>37458</v>
      </c>
      <c r="C754" s="1" t="s">
        <v>7</v>
      </c>
      <c r="D754" s="1" t="s">
        <v>10</v>
      </c>
      <c r="E754" s="1" t="s">
        <v>37034</v>
      </c>
      <c r="F754" s="1" t="s">
        <v>3693</v>
      </c>
      <c r="G754" s="1" t="s">
        <v>37462</v>
      </c>
      <c r="H754" s="1" t="s">
        <v>3610</v>
      </c>
      <c r="I754" s="1"/>
      <c r="J754" s="1"/>
      <c r="K754" s="1"/>
      <c r="L754" s="1"/>
      <c r="M754" s="1"/>
      <c r="N754" s="1"/>
      <c r="O754" s="1"/>
      <c r="P754" s="1"/>
      <c r="Q754" s="17"/>
    </row>
    <row x14ac:dyDescent="0.25" r="755" customHeight="1" ht="18.75">
      <c r="A755" s="1"/>
      <c r="B755" s="1" t="s">
        <v>37458</v>
      </c>
      <c r="C755" s="1" t="s">
        <v>7</v>
      </c>
      <c r="D755" s="1" t="s">
        <v>10</v>
      </c>
      <c r="E755" s="1" t="s">
        <v>37034</v>
      </c>
      <c r="F755" s="1" t="s">
        <v>3693</v>
      </c>
      <c r="G755" s="1" t="s">
        <v>37463</v>
      </c>
      <c r="H755" s="1" t="s">
        <v>37057</v>
      </c>
      <c r="I755" s="1"/>
      <c r="J755" s="1"/>
      <c r="K755" s="1"/>
      <c r="L755" s="1"/>
      <c r="M755" s="1"/>
      <c r="N755" s="1"/>
      <c r="O755" s="1"/>
      <c r="P755" s="1"/>
      <c r="Q755" s="17"/>
    </row>
    <row x14ac:dyDescent="0.25" r="756" customHeight="1" ht="18.75">
      <c r="A756" s="1"/>
      <c r="B756" s="1" t="s">
        <v>37458</v>
      </c>
      <c r="C756" s="1" t="s">
        <v>7</v>
      </c>
      <c r="D756" s="1" t="s">
        <v>10</v>
      </c>
      <c r="E756" s="1" t="s">
        <v>37034</v>
      </c>
      <c r="F756" s="1" t="s">
        <v>3693</v>
      </c>
      <c r="G756" s="1" t="s">
        <v>37464</v>
      </c>
      <c r="H756" s="1" t="s">
        <v>37057</v>
      </c>
      <c r="I756" s="1"/>
      <c r="J756" s="1"/>
      <c r="K756" s="1"/>
      <c r="L756" s="1"/>
      <c r="M756" s="1"/>
      <c r="N756" s="1"/>
      <c r="O756" s="1"/>
      <c r="P756" s="1"/>
      <c r="Q756" s="17"/>
    </row>
    <row x14ac:dyDescent="0.25" r="757" customHeight="1" ht="18.75">
      <c r="A757" s="1"/>
      <c r="B757" s="1" t="s">
        <v>37465</v>
      </c>
      <c r="C757" s="1" t="s">
        <v>7</v>
      </c>
      <c r="D757" s="1" t="s">
        <v>10</v>
      </c>
      <c r="E757" s="1" t="s">
        <v>36395</v>
      </c>
      <c r="F757" s="1" t="s">
        <v>3693</v>
      </c>
      <c r="G757" s="1" t="s">
        <v>35292</v>
      </c>
      <c r="H757" s="1" t="s">
        <v>37107</v>
      </c>
      <c r="I757" s="1"/>
      <c r="J757" s="1"/>
      <c r="K757" s="1"/>
      <c r="L757" s="1"/>
      <c r="M757" s="1"/>
      <c r="N757" s="1"/>
      <c r="O757" s="1"/>
      <c r="P757" s="1"/>
      <c r="Q757" s="17"/>
    </row>
    <row x14ac:dyDescent="0.25" r="758" customHeight="1" ht="18.75">
      <c r="A758" s="1"/>
      <c r="B758" s="1" t="s">
        <v>37465</v>
      </c>
      <c r="C758" s="1" t="s">
        <v>7</v>
      </c>
      <c r="D758" s="1" t="s">
        <v>10</v>
      </c>
      <c r="E758" s="1" t="s">
        <v>36395</v>
      </c>
      <c r="F758" s="1" t="s">
        <v>3693</v>
      </c>
      <c r="G758" s="1" t="s">
        <v>35295</v>
      </c>
      <c r="H758" s="1" t="s">
        <v>37107</v>
      </c>
      <c r="I758" s="1"/>
      <c r="J758" s="1"/>
      <c r="K758" s="1"/>
      <c r="L758" s="1"/>
      <c r="M758" s="1"/>
      <c r="N758" s="1"/>
      <c r="O758" s="1"/>
      <c r="P758" s="1"/>
      <c r="Q758" s="17"/>
    </row>
    <row x14ac:dyDescent="0.25" r="759" customHeight="1" ht="18.75">
      <c r="A759" s="1"/>
      <c r="B759" s="1" t="s">
        <v>37465</v>
      </c>
      <c r="C759" s="1" t="s">
        <v>7</v>
      </c>
      <c r="D759" s="1" t="s">
        <v>10</v>
      </c>
      <c r="E759" s="1" t="s">
        <v>36395</v>
      </c>
      <c r="F759" s="1" t="s">
        <v>3693</v>
      </c>
      <c r="G759" s="1" t="s">
        <v>35297</v>
      </c>
      <c r="H759" s="1" t="s">
        <v>37107</v>
      </c>
      <c r="I759" s="1"/>
      <c r="J759" s="1"/>
      <c r="K759" s="1"/>
      <c r="L759" s="1"/>
      <c r="M759" s="1"/>
      <c r="N759" s="1"/>
      <c r="O759" s="1"/>
      <c r="P759" s="1"/>
      <c r="Q759" s="17"/>
    </row>
    <row x14ac:dyDescent="0.25" r="760" customHeight="1" ht="18.75">
      <c r="A760" s="1"/>
      <c r="B760" s="1" t="s">
        <v>37465</v>
      </c>
      <c r="C760" s="1" t="s">
        <v>7</v>
      </c>
      <c r="D760" s="1" t="s">
        <v>10</v>
      </c>
      <c r="E760" s="1" t="s">
        <v>37034</v>
      </c>
      <c r="F760" s="1" t="s">
        <v>3693</v>
      </c>
      <c r="G760" s="1" t="s">
        <v>37466</v>
      </c>
      <c r="H760" s="1" t="s">
        <v>37057</v>
      </c>
      <c r="I760" s="1"/>
      <c r="J760" s="1"/>
      <c r="K760" s="1"/>
      <c r="L760" s="1"/>
      <c r="M760" s="1"/>
      <c r="N760" s="1"/>
      <c r="O760" s="1"/>
      <c r="P760" s="1"/>
      <c r="Q760" s="17"/>
    </row>
    <row x14ac:dyDescent="0.25" r="761" customHeight="1" ht="18.75">
      <c r="A761" s="1"/>
      <c r="B761" s="1" t="s">
        <v>37465</v>
      </c>
      <c r="C761" s="1" t="s">
        <v>7</v>
      </c>
      <c r="D761" s="1" t="s">
        <v>10</v>
      </c>
      <c r="E761" s="1" t="s">
        <v>37034</v>
      </c>
      <c r="F761" s="1" t="s">
        <v>3693</v>
      </c>
      <c r="G761" s="1" t="s">
        <v>37467</v>
      </c>
      <c r="H761" s="1" t="s">
        <v>37037</v>
      </c>
      <c r="I761" s="1"/>
      <c r="J761" s="1"/>
      <c r="K761" s="1"/>
      <c r="L761" s="1"/>
      <c r="M761" s="1"/>
      <c r="N761" s="1"/>
      <c r="O761" s="1"/>
      <c r="P761" s="1"/>
      <c r="Q761" s="17"/>
    </row>
    <row x14ac:dyDescent="0.25" r="762" customHeight="1" ht="18.75">
      <c r="A762" s="1"/>
      <c r="B762" s="1" t="s">
        <v>37465</v>
      </c>
      <c r="C762" s="1" t="s">
        <v>7</v>
      </c>
      <c r="D762" s="1" t="s">
        <v>10</v>
      </c>
      <c r="E762" s="1" t="s">
        <v>37034</v>
      </c>
      <c r="F762" s="1" t="s">
        <v>3693</v>
      </c>
      <c r="G762" s="1" t="s">
        <v>37468</v>
      </c>
      <c r="H762" s="1" t="s">
        <v>3610</v>
      </c>
      <c r="I762" s="1"/>
      <c r="J762" s="1"/>
      <c r="K762" s="1"/>
      <c r="L762" s="1"/>
      <c r="M762" s="1"/>
      <c r="N762" s="1"/>
      <c r="O762" s="1"/>
      <c r="P762" s="1"/>
      <c r="Q762" s="17"/>
    </row>
    <row x14ac:dyDescent="0.25" r="763" customHeight="1" ht="18.75">
      <c r="A763" s="1"/>
      <c r="B763" s="1" t="s">
        <v>37465</v>
      </c>
      <c r="C763" s="1" t="s">
        <v>7</v>
      </c>
      <c r="D763" s="1" t="s">
        <v>10</v>
      </c>
      <c r="E763" s="1" t="s">
        <v>37034</v>
      </c>
      <c r="F763" s="1" t="s">
        <v>3693</v>
      </c>
      <c r="G763" s="1" t="s">
        <v>37469</v>
      </c>
      <c r="H763" s="1" t="s">
        <v>37057</v>
      </c>
      <c r="I763" s="1"/>
      <c r="J763" s="1"/>
      <c r="K763" s="1"/>
      <c r="L763" s="1"/>
      <c r="M763" s="1"/>
      <c r="N763" s="1"/>
      <c r="O763" s="1"/>
      <c r="P763" s="1"/>
      <c r="Q763" s="17"/>
    </row>
    <row x14ac:dyDescent="0.25" r="764" customHeight="1" ht="18.75">
      <c r="A764" s="1"/>
      <c r="B764" s="1" t="s">
        <v>37470</v>
      </c>
      <c r="C764" s="1" t="s">
        <v>7</v>
      </c>
      <c r="D764" s="1" t="s">
        <v>10</v>
      </c>
      <c r="E764" s="1" t="s">
        <v>37034</v>
      </c>
      <c r="F764" s="1" t="s">
        <v>3693</v>
      </c>
      <c r="G764" s="1" t="s">
        <v>37471</v>
      </c>
      <c r="H764" s="1" t="s">
        <v>37057</v>
      </c>
      <c r="I764" s="1"/>
      <c r="J764" s="1"/>
      <c r="K764" s="1"/>
      <c r="L764" s="1"/>
      <c r="M764" s="1"/>
      <c r="N764" s="1"/>
      <c r="O764" s="1"/>
      <c r="P764" s="1"/>
      <c r="Q764" s="17"/>
    </row>
    <row x14ac:dyDescent="0.25" r="765" customHeight="1" ht="18.75">
      <c r="A765" s="1"/>
      <c r="B765" s="1" t="s">
        <v>37470</v>
      </c>
      <c r="C765" s="1" t="s">
        <v>7</v>
      </c>
      <c r="D765" s="1" t="s">
        <v>10</v>
      </c>
      <c r="E765" s="1" t="s">
        <v>37034</v>
      </c>
      <c r="F765" s="1" t="s">
        <v>3693</v>
      </c>
      <c r="G765" s="1" t="s">
        <v>37472</v>
      </c>
      <c r="H765" s="1" t="s">
        <v>37037</v>
      </c>
      <c r="I765" s="1"/>
      <c r="J765" s="1"/>
      <c r="K765" s="1"/>
      <c r="L765" s="1"/>
      <c r="M765" s="1"/>
      <c r="N765" s="1"/>
      <c r="O765" s="1"/>
      <c r="P765" s="1"/>
      <c r="Q765" s="17"/>
    </row>
    <row x14ac:dyDescent="0.25" r="766" customHeight="1" ht="18.75">
      <c r="A766" s="1"/>
      <c r="B766" s="1" t="s">
        <v>37470</v>
      </c>
      <c r="C766" s="1" t="s">
        <v>7</v>
      </c>
      <c r="D766" s="1" t="s">
        <v>10</v>
      </c>
      <c r="E766" s="1" t="s">
        <v>37034</v>
      </c>
      <c r="F766" s="1" t="s">
        <v>3693</v>
      </c>
      <c r="G766" s="1" t="s">
        <v>37473</v>
      </c>
      <c r="H766" s="1" t="s">
        <v>37037</v>
      </c>
      <c r="I766" s="1"/>
      <c r="J766" s="1"/>
      <c r="K766" s="1"/>
      <c r="L766" s="1"/>
      <c r="M766" s="1"/>
      <c r="N766" s="1"/>
      <c r="O766" s="1"/>
      <c r="P766" s="1"/>
      <c r="Q766" s="17"/>
    </row>
    <row x14ac:dyDescent="0.25" r="767" customHeight="1" ht="18.75">
      <c r="A767" s="1"/>
      <c r="B767" s="1" t="s">
        <v>37470</v>
      </c>
      <c r="C767" s="1" t="s">
        <v>7</v>
      </c>
      <c r="D767" s="1" t="s">
        <v>10</v>
      </c>
      <c r="E767" s="1" t="s">
        <v>37034</v>
      </c>
      <c r="F767" s="1" t="s">
        <v>3693</v>
      </c>
      <c r="G767" s="1" t="s">
        <v>37474</v>
      </c>
      <c r="H767" s="1" t="s">
        <v>3610</v>
      </c>
      <c r="I767" s="1"/>
      <c r="J767" s="1"/>
      <c r="K767" s="1"/>
      <c r="L767" s="1"/>
      <c r="M767" s="1"/>
      <c r="N767" s="1"/>
      <c r="O767" s="1"/>
      <c r="P767" s="1"/>
      <c r="Q767" s="17"/>
    </row>
    <row x14ac:dyDescent="0.25" r="768" customHeight="1" ht="18.75">
      <c r="A768" s="1"/>
      <c r="B768" s="1" t="s">
        <v>37475</v>
      </c>
      <c r="C768" s="1" t="s">
        <v>7</v>
      </c>
      <c r="D768" s="1" t="s">
        <v>10</v>
      </c>
      <c r="E768" s="1" t="s">
        <v>37034</v>
      </c>
      <c r="F768" s="1" t="s">
        <v>3693</v>
      </c>
      <c r="G768" s="1" t="s">
        <v>37476</v>
      </c>
      <c r="H768" s="1" t="s">
        <v>3610</v>
      </c>
      <c r="I768" s="1"/>
      <c r="J768" s="1"/>
      <c r="K768" s="1"/>
      <c r="L768" s="1"/>
      <c r="M768" s="1"/>
      <c r="N768" s="1"/>
      <c r="O768" s="1"/>
      <c r="P768" s="1"/>
      <c r="Q768" s="17"/>
    </row>
    <row x14ac:dyDescent="0.25" r="769" customHeight="1" ht="18.75">
      <c r="A769" s="1"/>
      <c r="B769" s="1" t="s">
        <v>37477</v>
      </c>
      <c r="C769" s="1" t="s">
        <v>7</v>
      </c>
      <c r="D769" s="1" t="s">
        <v>10</v>
      </c>
      <c r="E769" s="1" t="s">
        <v>37034</v>
      </c>
      <c r="F769" s="1" t="s">
        <v>3598</v>
      </c>
      <c r="G769" s="1" t="s">
        <v>37478</v>
      </c>
      <c r="H769" s="1" t="s">
        <v>533</v>
      </c>
      <c r="I769" s="1"/>
      <c r="J769" s="1"/>
      <c r="K769" s="1"/>
      <c r="L769" s="1"/>
      <c r="M769" s="1"/>
      <c r="N769" s="1"/>
      <c r="O769" s="1"/>
      <c r="P769" s="1"/>
      <c r="Q769" s="17"/>
    </row>
    <row x14ac:dyDescent="0.25" r="770" customHeight="1" ht="18.75">
      <c r="A770" s="1"/>
      <c r="B770" s="1" t="s">
        <v>37477</v>
      </c>
      <c r="C770" s="1" t="s">
        <v>7</v>
      </c>
      <c r="D770" s="1" t="s">
        <v>10</v>
      </c>
      <c r="E770" s="1" t="s">
        <v>37034</v>
      </c>
      <c r="F770" s="1" t="s">
        <v>3598</v>
      </c>
      <c r="G770" s="1" t="s">
        <v>37479</v>
      </c>
      <c r="H770" s="1" t="s">
        <v>37102</v>
      </c>
      <c r="I770" s="1"/>
      <c r="J770" s="1"/>
      <c r="K770" s="1"/>
      <c r="L770" s="1"/>
      <c r="M770" s="1"/>
      <c r="N770" s="1"/>
      <c r="O770" s="1"/>
      <c r="P770" s="1"/>
      <c r="Q770" s="17"/>
    </row>
    <row x14ac:dyDescent="0.25" r="771" customHeight="1" ht="18.75">
      <c r="A771" s="1"/>
      <c r="B771" s="1" t="s">
        <v>37477</v>
      </c>
      <c r="C771" s="1" t="s">
        <v>7</v>
      </c>
      <c r="D771" s="1" t="s">
        <v>10</v>
      </c>
      <c r="E771" s="1" t="s">
        <v>37034</v>
      </c>
      <c r="F771" s="1" t="s">
        <v>3598</v>
      </c>
      <c r="G771" s="1" t="s">
        <v>37480</v>
      </c>
      <c r="H771" s="1" t="s">
        <v>37102</v>
      </c>
      <c r="I771" s="1"/>
      <c r="J771" s="1"/>
      <c r="K771" s="1"/>
      <c r="L771" s="1"/>
      <c r="M771" s="1"/>
      <c r="N771" s="1"/>
      <c r="O771" s="1"/>
      <c r="P771" s="1"/>
      <c r="Q771" s="17"/>
    </row>
    <row x14ac:dyDescent="0.25" r="772" customHeight="1" ht="18.75">
      <c r="A772" s="1"/>
      <c r="B772" s="1" t="s">
        <v>37477</v>
      </c>
      <c r="C772" s="1" t="s">
        <v>7</v>
      </c>
      <c r="D772" s="1" t="s">
        <v>10</v>
      </c>
      <c r="E772" s="1" t="s">
        <v>37034</v>
      </c>
      <c r="F772" s="1" t="s">
        <v>3598</v>
      </c>
      <c r="G772" s="1" t="s">
        <v>37481</v>
      </c>
      <c r="H772" s="1" t="s">
        <v>37037</v>
      </c>
      <c r="I772" s="1"/>
      <c r="J772" s="1"/>
      <c r="K772" s="1"/>
      <c r="L772" s="1"/>
      <c r="M772" s="1"/>
      <c r="N772" s="1"/>
      <c r="O772" s="1"/>
      <c r="P772" s="1"/>
      <c r="Q772" s="17"/>
    </row>
    <row x14ac:dyDescent="0.25" r="773" customHeight="1" ht="18.75">
      <c r="A773" s="1"/>
      <c r="B773" s="1" t="s">
        <v>37477</v>
      </c>
      <c r="C773" s="1" t="s">
        <v>7</v>
      </c>
      <c r="D773" s="1" t="s">
        <v>10</v>
      </c>
      <c r="E773" s="1" t="s">
        <v>37034</v>
      </c>
      <c r="F773" s="1" t="s">
        <v>3598</v>
      </c>
      <c r="G773" s="1" t="s">
        <v>37482</v>
      </c>
      <c r="H773" s="1" t="s">
        <v>37102</v>
      </c>
      <c r="I773" s="1"/>
      <c r="J773" s="1"/>
      <c r="K773" s="1"/>
      <c r="L773" s="1"/>
      <c r="M773" s="1"/>
      <c r="N773" s="1"/>
      <c r="O773" s="1"/>
      <c r="P773" s="1"/>
      <c r="Q773" s="17"/>
    </row>
    <row x14ac:dyDescent="0.25" r="774" customHeight="1" ht="18.75">
      <c r="A774" s="1"/>
      <c r="B774" s="1" t="s">
        <v>37477</v>
      </c>
      <c r="C774" s="1" t="s">
        <v>7</v>
      </c>
      <c r="D774" s="1" t="s">
        <v>10</v>
      </c>
      <c r="E774" s="1" t="s">
        <v>37034</v>
      </c>
      <c r="F774" s="1" t="s">
        <v>3598</v>
      </c>
      <c r="G774" s="1" t="s">
        <v>37483</v>
      </c>
      <c r="H774" s="1" t="s">
        <v>37037</v>
      </c>
      <c r="I774" s="1"/>
      <c r="J774" s="1"/>
      <c r="K774" s="1"/>
      <c r="L774" s="1"/>
      <c r="M774" s="1"/>
      <c r="N774" s="1"/>
      <c r="O774" s="1"/>
      <c r="P774" s="1"/>
      <c r="Q774" s="17"/>
    </row>
    <row x14ac:dyDescent="0.25" r="775" customHeight="1" ht="18.75">
      <c r="A775" s="1"/>
      <c r="B775" s="1" t="s">
        <v>37477</v>
      </c>
      <c r="C775" s="1" t="s">
        <v>7</v>
      </c>
      <c r="D775" s="1" t="s">
        <v>10</v>
      </c>
      <c r="E775" s="1" t="s">
        <v>37034</v>
      </c>
      <c r="F775" s="1" t="s">
        <v>3598</v>
      </c>
      <c r="G775" s="1" t="s">
        <v>37484</v>
      </c>
      <c r="H775" s="1" t="s">
        <v>37037</v>
      </c>
      <c r="I775" s="1"/>
      <c r="J775" s="1"/>
      <c r="K775" s="1"/>
      <c r="L775" s="1"/>
      <c r="M775" s="1"/>
      <c r="N775" s="1"/>
      <c r="O775" s="1"/>
      <c r="P775" s="1"/>
      <c r="Q775" s="17"/>
    </row>
    <row x14ac:dyDescent="0.25" r="776" customHeight="1" ht="18.75">
      <c r="A776" s="1"/>
      <c r="B776" s="1" t="s">
        <v>37485</v>
      </c>
      <c r="C776" s="1" t="s">
        <v>7</v>
      </c>
      <c r="D776" s="1" t="s">
        <v>10</v>
      </c>
      <c r="E776" s="1" t="s">
        <v>36395</v>
      </c>
      <c r="F776" s="1" t="s">
        <v>3598</v>
      </c>
      <c r="G776" s="1" t="s">
        <v>37486</v>
      </c>
      <c r="H776" s="1" t="s">
        <v>37063</v>
      </c>
      <c r="I776" s="1"/>
      <c r="J776" s="1"/>
      <c r="K776" s="1"/>
      <c r="L776" s="1"/>
      <c r="M776" s="1"/>
      <c r="N776" s="1"/>
      <c r="O776" s="1"/>
      <c r="P776" s="1"/>
      <c r="Q776" s="17"/>
    </row>
    <row x14ac:dyDescent="0.25" r="777" customHeight="1" ht="18.75">
      <c r="A777" s="1"/>
      <c r="B777" s="1" t="s">
        <v>37487</v>
      </c>
      <c r="C777" s="1" t="s">
        <v>7</v>
      </c>
      <c r="D777" s="1" t="s">
        <v>10</v>
      </c>
      <c r="E777" s="1" t="s">
        <v>37034</v>
      </c>
      <c r="F777" s="1" t="s">
        <v>3598</v>
      </c>
      <c r="G777" s="1" t="s">
        <v>37488</v>
      </c>
      <c r="H777" s="1" t="s">
        <v>37037</v>
      </c>
      <c r="I777" s="1"/>
      <c r="J777" s="1"/>
      <c r="K777" s="1"/>
      <c r="L777" s="1"/>
      <c r="M777" s="1"/>
      <c r="N777" s="1"/>
      <c r="O777" s="1"/>
      <c r="P777" s="1"/>
      <c r="Q777" s="17"/>
    </row>
    <row x14ac:dyDescent="0.25" r="778" customHeight="1" ht="18.75">
      <c r="A778" s="1"/>
      <c r="B778" s="1" t="s">
        <v>37487</v>
      </c>
      <c r="C778" s="1" t="s">
        <v>7</v>
      </c>
      <c r="D778" s="1" t="s">
        <v>10</v>
      </c>
      <c r="E778" s="1" t="s">
        <v>37034</v>
      </c>
      <c r="F778" s="1" t="s">
        <v>3598</v>
      </c>
      <c r="G778" s="1" t="s">
        <v>37489</v>
      </c>
      <c r="H778" s="1" t="s">
        <v>37037</v>
      </c>
      <c r="I778" s="1"/>
      <c r="J778" s="1"/>
      <c r="K778" s="1"/>
      <c r="L778" s="1"/>
      <c r="M778" s="1"/>
      <c r="N778" s="1"/>
      <c r="O778" s="1"/>
      <c r="P778" s="1"/>
      <c r="Q778" s="17"/>
    </row>
    <row x14ac:dyDescent="0.25" r="779" customHeight="1" ht="18.75">
      <c r="A779" s="1"/>
      <c r="B779" s="1" t="s">
        <v>37487</v>
      </c>
      <c r="C779" s="1" t="s">
        <v>7</v>
      </c>
      <c r="D779" s="1" t="s">
        <v>10</v>
      </c>
      <c r="E779" s="1" t="s">
        <v>37034</v>
      </c>
      <c r="F779" s="1" t="s">
        <v>3598</v>
      </c>
      <c r="G779" s="1" t="s">
        <v>37490</v>
      </c>
      <c r="H779" s="1" t="s">
        <v>3610</v>
      </c>
      <c r="I779" s="1"/>
      <c r="J779" s="1"/>
      <c r="K779" s="1"/>
      <c r="L779" s="1"/>
      <c r="M779" s="1"/>
      <c r="N779" s="1"/>
      <c r="O779" s="1"/>
      <c r="P779" s="1"/>
      <c r="Q779" s="17"/>
    </row>
    <row x14ac:dyDescent="0.25" r="780" customHeight="1" ht="18.75">
      <c r="A780" s="1"/>
      <c r="B780" s="1" t="s">
        <v>37487</v>
      </c>
      <c r="C780" s="1" t="s">
        <v>7</v>
      </c>
      <c r="D780" s="1" t="s">
        <v>10</v>
      </c>
      <c r="E780" s="1" t="s">
        <v>37034</v>
      </c>
      <c r="F780" s="1" t="s">
        <v>3598</v>
      </c>
      <c r="G780" s="1" t="s">
        <v>37491</v>
      </c>
      <c r="H780" s="1" t="s">
        <v>37037</v>
      </c>
      <c r="I780" s="1"/>
      <c r="J780" s="1"/>
      <c r="K780" s="1"/>
      <c r="L780" s="1"/>
      <c r="M780" s="1"/>
      <c r="N780" s="1"/>
      <c r="O780" s="1"/>
      <c r="P780" s="1"/>
      <c r="Q780" s="17"/>
    </row>
    <row x14ac:dyDescent="0.25" r="781" customHeight="1" ht="18.75">
      <c r="A781" s="1"/>
      <c r="B781" s="1" t="s">
        <v>37487</v>
      </c>
      <c r="C781" s="1" t="s">
        <v>7</v>
      </c>
      <c r="D781" s="1" t="s">
        <v>10</v>
      </c>
      <c r="E781" s="1" t="s">
        <v>37034</v>
      </c>
      <c r="F781" s="1" t="s">
        <v>3598</v>
      </c>
      <c r="G781" s="1" t="s">
        <v>37492</v>
      </c>
      <c r="H781" s="1" t="s">
        <v>37037</v>
      </c>
      <c r="I781" s="1"/>
      <c r="J781" s="1"/>
      <c r="K781" s="1"/>
      <c r="L781" s="1"/>
      <c r="M781" s="1"/>
      <c r="N781" s="1"/>
      <c r="O781" s="1"/>
      <c r="P781" s="1"/>
      <c r="Q781" s="17"/>
    </row>
    <row x14ac:dyDescent="0.25" r="782" customHeight="1" ht="18.75">
      <c r="A782" s="1"/>
      <c r="B782" s="1" t="s">
        <v>37487</v>
      </c>
      <c r="C782" s="1" t="s">
        <v>7</v>
      </c>
      <c r="D782" s="1" t="s">
        <v>10</v>
      </c>
      <c r="E782" s="1" t="s">
        <v>37034</v>
      </c>
      <c r="F782" s="1" t="s">
        <v>3598</v>
      </c>
      <c r="G782" s="1" t="s">
        <v>37493</v>
      </c>
      <c r="H782" s="1" t="s">
        <v>37037</v>
      </c>
      <c r="I782" s="1"/>
      <c r="J782" s="1"/>
      <c r="K782" s="1"/>
      <c r="L782" s="1"/>
      <c r="M782" s="1"/>
      <c r="N782" s="1"/>
      <c r="O782" s="1"/>
      <c r="P782" s="1"/>
      <c r="Q782" s="17"/>
    </row>
    <row x14ac:dyDescent="0.25" r="783" customHeight="1" ht="18.75">
      <c r="A783" s="1"/>
      <c r="B783" s="1" t="s">
        <v>37487</v>
      </c>
      <c r="C783" s="1" t="s">
        <v>7</v>
      </c>
      <c r="D783" s="1" t="s">
        <v>10</v>
      </c>
      <c r="E783" s="1" t="s">
        <v>37034</v>
      </c>
      <c r="F783" s="1" t="s">
        <v>3598</v>
      </c>
      <c r="G783" s="1" t="s">
        <v>37494</v>
      </c>
      <c r="H783" s="1" t="s">
        <v>37037</v>
      </c>
      <c r="I783" s="1"/>
      <c r="J783" s="1"/>
      <c r="K783" s="1"/>
      <c r="L783" s="1"/>
      <c r="M783" s="1"/>
      <c r="N783" s="1"/>
      <c r="O783" s="1"/>
      <c r="P783" s="1"/>
      <c r="Q783" s="17"/>
    </row>
    <row x14ac:dyDescent="0.25" r="784" customHeight="1" ht="18.75">
      <c r="A784" s="1"/>
      <c r="B784" s="1" t="s">
        <v>37487</v>
      </c>
      <c r="C784" s="1" t="s">
        <v>7</v>
      </c>
      <c r="D784" s="1" t="s">
        <v>10</v>
      </c>
      <c r="E784" s="1" t="s">
        <v>37034</v>
      </c>
      <c r="F784" s="1" t="s">
        <v>3598</v>
      </c>
      <c r="G784" s="1" t="s">
        <v>37495</v>
      </c>
      <c r="H784" s="1" t="s">
        <v>37037</v>
      </c>
      <c r="I784" s="1"/>
      <c r="J784" s="1"/>
      <c r="K784" s="1"/>
      <c r="L784" s="1"/>
      <c r="M784" s="1"/>
      <c r="N784" s="1"/>
      <c r="O784" s="1"/>
      <c r="P784" s="1"/>
      <c r="Q784" s="17"/>
    </row>
    <row x14ac:dyDescent="0.25" r="785" customHeight="1" ht="18.75">
      <c r="A785" s="1"/>
      <c r="B785" s="1" t="s">
        <v>37487</v>
      </c>
      <c r="C785" s="1" t="s">
        <v>7</v>
      </c>
      <c r="D785" s="1" t="s">
        <v>10</v>
      </c>
      <c r="E785" s="1" t="s">
        <v>37034</v>
      </c>
      <c r="F785" s="1" t="s">
        <v>3598</v>
      </c>
      <c r="G785" s="1" t="s">
        <v>37496</v>
      </c>
      <c r="H785" s="1" t="s">
        <v>37037</v>
      </c>
      <c r="I785" s="1"/>
      <c r="J785" s="1"/>
      <c r="K785" s="1"/>
      <c r="L785" s="1"/>
      <c r="M785" s="1"/>
      <c r="N785" s="1"/>
      <c r="O785" s="1"/>
      <c r="P785" s="1"/>
      <c r="Q785" s="17"/>
    </row>
    <row x14ac:dyDescent="0.25" r="786" customHeight="1" ht="18.75">
      <c r="A786" s="1"/>
      <c r="B786" s="1" t="s">
        <v>37487</v>
      </c>
      <c r="C786" s="1" t="s">
        <v>7</v>
      </c>
      <c r="D786" s="1" t="s">
        <v>10</v>
      </c>
      <c r="E786" s="1" t="s">
        <v>37034</v>
      </c>
      <c r="F786" s="1" t="s">
        <v>3598</v>
      </c>
      <c r="G786" s="1" t="s">
        <v>37497</v>
      </c>
      <c r="H786" s="1" t="s">
        <v>37037</v>
      </c>
      <c r="I786" s="1"/>
      <c r="J786" s="1"/>
      <c r="K786" s="1"/>
      <c r="L786" s="1"/>
      <c r="M786" s="1"/>
      <c r="N786" s="1"/>
      <c r="O786" s="1"/>
      <c r="P786" s="1"/>
      <c r="Q786" s="17"/>
    </row>
    <row x14ac:dyDescent="0.25" r="787" customHeight="1" ht="18.75">
      <c r="A787" s="1"/>
      <c r="B787" s="1" t="s">
        <v>37498</v>
      </c>
      <c r="C787" s="1" t="s">
        <v>7</v>
      </c>
      <c r="D787" s="1" t="s">
        <v>10</v>
      </c>
      <c r="E787" s="1" t="s">
        <v>36395</v>
      </c>
      <c r="F787" s="1" t="s">
        <v>3598</v>
      </c>
      <c r="G787" s="1" t="s">
        <v>37499</v>
      </c>
      <c r="H787" s="1" t="s">
        <v>37500</v>
      </c>
      <c r="I787" s="1"/>
      <c r="J787" s="1"/>
      <c r="K787" s="1"/>
      <c r="L787" s="1"/>
      <c r="M787" s="1"/>
      <c r="N787" s="1"/>
      <c r="O787" s="1"/>
      <c r="P787" s="1"/>
      <c r="Q787" s="17"/>
    </row>
    <row x14ac:dyDescent="0.25" r="788" customHeight="1" ht="18.75">
      <c r="A788" s="1"/>
      <c r="B788" s="1" t="s">
        <v>37487</v>
      </c>
      <c r="C788" s="1" t="s">
        <v>7</v>
      </c>
      <c r="D788" s="1" t="s">
        <v>10</v>
      </c>
      <c r="E788" s="1" t="s">
        <v>36395</v>
      </c>
      <c r="F788" s="1" t="s">
        <v>3598</v>
      </c>
      <c r="G788" s="1" t="s">
        <v>37501</v>
      </c>
      <c r="H788" s="1" t="s">
        <v>7847</v>
      </c>
      <c r="I788" s="1"/>
      <c r="J788" s="1"/>
      <c r="K788" s="1"/>
      <c r="L788" s="1"/>
      <c r="M788" s="1"/>
      <c r="N788" s="1"/>
      <c r="O788" s="1"/>
      <c r="P788" s="1"/>
      <c r="Q788" s="17"/>
    </row>
    <row x14ac:dyDescent="0.25" r="789" customHeight="1" ht="18.75">
      <c r="A789" s="1"/>
      <c r="B789" s="1" t="s">
        <v>37502</v>
      </c>
      <c r="C789" s="1" t="s">
        <v>7</v>
      </c>
      <c r="D789" s="1" t="s">
        <v>10</v>
      </c>
      <c r="E789" s="1" t="s">
        <v>37034</v>
      </c>
      <c r="F789" s="1" t="s">
        <v>7833</v>
      </c>
      <c r="G789" s="1" t="s">
        <v>37503</v>
      </c>
      <c r="H789" s="1" t="s">
        <v>37057</v>
      </c>
      <c r="I789" s="1"/>
      <c r="J789" s="1"/>
      <c r="K789" s="1"/>
      <c r="L789" s="1"/>
      <c r="M789" s="1"/>
      <c r="N789" s="1"/>
      <c r="O789" s="1"/>
      <c r="P789" s="1"/>
      <c r="Q789" s="17"/>
    </row>
    <row x14ac:dyDescent="0.25" r="790" customHeight="1" ht="18.75">
      <c r="A790" s="1"/>
      <c r="B790" s="1" t="s">
        <v>37502</v>
      </c>
      <c r="C790" s="1" t="s">
        <v>7</v>
      </c>
      <c r="D790" s="1" t="s">
        <v>10</v>
      </c>
      <c r="E790" s="1" t="s">
        <v>37034</v>
      </c>
      <c r="F790" s="1" t="s">
        <v>7833</v>
      </c>
      <c r="G790" s="1" t="s">
        <v>37504</v>
      </c>
      <c r="H790" s="1" t="s">
        <v>37057</v>
      </c>
      <c r="I790" s="1"/>
      <c r="J790" s="1"/>
      <c r="K790" s="1"/>
      <c r="L790" s="1"/>
      <c r="M790" s="1"/>
      <c r="N790" s="1"/>
      <c r="O790" s="1"/>
      <c r="P790" s="1"/>
      <c r="Q790" s="17"/>
    </row>
    <row x14ac:dyDescent="0.25" r="791" customHeight="1" ht="18.75">
      <c r="A791" s="1"/>
      <c r="B791" s="1" t="s">
        <v>37502</v>
      </c>
      <c r="C791" s="1" t="s">
        <v>7</v>
      </c>
      <c r="D791" s="1" t="s">
        <v>10</v>
      </c>
      <c r="E791" s="1" t="s">
        <v>37034</v>
      </c>
      <c r="F791" s="1" t="s">
        <v>7833</v>
      </c>
      <c r="G791" s="1" t="s">
        <v>37505</v>
      </c>
      <c r="H791" s="1" t="s">
        <v>37057</v>
      </c>
      <c r="I791" s="1"/>
      <c r="J791" s="1"/>
      <c r="K791" s="1"/>
      <c r="L791" s="1"/>
      <c r="M791" s="1"/>
      <c r="N791" s="1"/>
      <c r="O791" s="1"/>
      <c r="P791" s="1"/>
      <c r="Q791" s="17"/>
    </row>
    <row x14ac:dyDescent="0.25" r="792" customHeight="1" ht="18.75">
      <c r="A792" s="1"/>
      <c r="B792" s="1" t="s">
        <v>37506</v>
      </c>
      <c r="C792" s="1" t="s">
        <v>7</v>
      </c>
      <c r="D792" s="1" t="s">
        <v>10</v>
      </c>
      <c r="E792" s="1" t="s">
        <v>37034</v>
      </c>
      <c r="F792" s="1" t="s">
        <v>3598</v>
      </c>
      <c r="G792" s="1" t="s">
        <v>37507</v>
      </c>
      <c r="H792" s="1" t="s">
        <v>3695</v>
      </c>
      <c r="I792" s="1"/>
      <c r="J792" s="1"/>
      <c r="K792" s="1"/>
      <c r="L792" s="1"/>
      <c r="M792" s="1"/>
      <c r="N792" s="1"/>
      <c r="O792" s="1"/>
      <c r="P792" s="1"/>
      <c r="Q792" s="17"/>
    </row>
    <row x14ac:dyDescent="0.25" r="793" customHeight="1" ht="18.75">
      <c r="A793" s="1"/>
      <c r="B793" s="1" t="s">
        <v>37506</v>
      </c>
      <c r="C793" s="1" t="s">
        <v>7</v>
      </c>
      <c r="D793" s="1" t="s">
        <v>10</v>
      </c>
      <c r="E793" s="1" t="s">
        <v>37034</v>
      </c>
      <c r="F793" s="1" t="s">
        <v>3598</v>
      </c>
      <c r="G793" s="1" t="s">
        <v>37508</v>
      </c>
      <c r="H793" s="1" t="s">
        <v>3695</v>
      </c>
      <c r="I793" s="1"/>
      <c r="J793" s="1"/>
      <c r="K793" s="1"/>
      <c r="L793" s="1"/>
      <c r="M793" s="1"/>
      <c r="N793" s="1"/>
      <c r="O793" s="1"/>
      <c r="P793" s="1"/>
      <c r="Q793" s="17"/>
    </row>
    <row x14ac:dyDescent="0.25" r="794" customHeight="1" ht="18.75">
      <c r="A794" s="1"/>
      <c r="B794" s="1" t="s">
        <v>37506</v>
      </c>
      <c r="C794" s="1" t="s">
        <v>7</v>
      </c>
      <c r="D794" s="1" t="s">
        <v>10</v>
      </c>
      <c r="E794" s="1" t="s">
        <v>37034</v>
      </c>
      <c r="F794" s="1" t="s">
        <v>3598</v>
      </c>
      <c r="G794" s="1" t="s">
        <v>37509</v>
      </c>
      <c r="H794" s="1" t="s">
        <v>37057</v>
      </c>
      <c r="I794" s="1"/>
      <c r="J794" s="1"/>
      <c r="K794" s="1"/>
      <c r="L794" s="1"/>
      <c r="M794" s="1"/>
      <c r="N794" s="1"/>
      <c r="O794" s="1"/>
      <c r="P794" s="1"/>
      <c r="Q794" s="17"/>
    </row>
    <row x14ac:dyDescent="0.25" r="795" customHeight="1" ht="18.75">
      <c r="A795" s="1"/>
      <c r="B795" s="1" t="s">
        <v>37506</v>
      </c>
      <c r="C795" s="1" t="s">
        <v>7</v>
      </c>
      <c r="D795" s="1" t="s">
        <v>10</v>
      </c>
      <c r="E795" s="1" t="s">
        <v>37034</v>
      </c>
      <c r="F795" s="1" t="s">
        <v>3598</v>
      </c>
      <c r="G795" s="1" t="s">
        <v>37510</v>
      </c>
      <c r="H795" s="1" t="s">
        <v>37057</v>
      </c>
      <c r="I795" s="1"/>
      <c r="J795" s="1"/>
      <c r="K795" s="1"/>
      <c r="L795" s="1"/>
      <c r="M795" s="1"/>
      <c r="N795" s="1"/>
      <c r="O795" s="1"/>
      <c r="P795" s="1"/>
      <c r="Q795" s="17"/>
    </row>
    <row x14ac:dyDescent="0.25" r="796" customHeight="1" ht="18.75">
      <c r="A796" s="1"/>
      <c r="B796" s="1" t="s">
        <v>37506</v>
      </c>
      <c r="C796" s="1" t="s">
        <v>7</v>
      </c>
      <c r="D796" s="1" t="s">
        <v>10</v>
      </c>
      <c r="E796" s="1" t="s">
        <v>36395</v>
      </c>
      <c r="F796" s="1" t="s">
        <v>3598</v>
      </c>
      <c r="G796" s="1" t="s">
        <v>37511</v>
      </c>
      <c r="H796" s="1" t="s">
        <v>7847</v>
      </c>
      <c r="I796" s="1"/>
      <c r="J796" s="1"/>
      <c r="K796" s="1"/>
      <c r="L796" s="1"/>
      <c r="M796" s="1"/>
      <c r="N796" s="1"/>
      <c r="O796" s="1"/>
      <c r="P796" s="1"/>
      <c r="Q796" s="17"/>
    </row>
    <row x14ac:dyDescent="0.25" r="797" customHeight="1" ht="18.75">
      <c r="A797" s="1"/>
      <c r="B797" s="1" t="s">
        <v>37512</v>
      </c>
      <c r="C797" s="1" t="s">
        <v>7</v>
      </c>
      <c r="D797" s="1" t="s">
        <v>10</v>
      </c>
      <c r="E797" s="1" t="s">
        <v>36395</v>
      </c>
      <c r="F797" s="1" t="s">
        <v>3617</v>
      </c>
      <c r="G797" s="1" t="s">
        <v>35708</v>
      </c>
      <c r="H797" s="1" t="s">
        <v>37063</v>
      </c>
      <c r="I797" s="1"/>
      <c r="J797" s="1"/>
      <c r="K797" s="1"/>
      <c r="L797" s="1"/>
      <c r="M797" s="1"/>
      <c r="N797" s="1"/>
      <c r="O797" s="1"/>
      <c r="P797" s="1"/>
      <c r="Q797" s="17"/>
    </row>
    <row x14ac:dyDescent="0.25" r="798" customHeight="1" ht="18.75">
      <c r="A798" s="1"/>
      <c r="B798" s="1" t="s">
        <v>37512</v>
      </c>
      <c r="C798" s="1" t="s">
        <v>7</v>
      </c>
      <c r="D798" s="1" t="s">
        <v>10</v>
      </c>
      <c r="E798" s="1" t="s">
        <v>36395</v>
      </c>
      <c r="F798" s="1" t="s">
        <v>3617</v>
      </c>
      <c r="G798" s="1" t="s">
        <v>35711</v>
      </c>
      <c r="H798" s="1" t="s">
        <v>37063</v>
      </c>
      <c r="I798" s="1"/>
      <c r="J798" s="1"/>
      <c r="K798" s="1"/>
      <c r="L798" s="1"/>
      <c r="M798" s="1"/>
      <c r="N798" s="1"/>
      <c r="O798" s="1"/>
      <c r="P798" s="1"/>
      <c r="Q798" s="17"/>
    </row>
    <row x14ac:dyDescent="0.25" r="799" customHeight="1" ht="18.75">
      <c r="A799" s="1"/>
      <c r="B799" s="1" t="s">
        <v>37513</v>
      </c>
      <c r="C799" s="1" t="s">
        <v>7</v>
      </c>
      <c r="D799" s="1" t="s">
        <v>10</v>
      </c>
      <c r="E799" s="1" t="s">
        <v>36395</v>
      </c>
      <c r="F799" s="1" t="s">
        <v>3617</v>
      </c>
      <c r="G799" s="1" t="s">
        <v>35714</v>
      </c>
      <c r="H799" s="1" t="s">
        <v>7847</v>
      </c>
      <c r="I799" s="1"/>
      <c r="J799" s="1"/>
      <c r="K799" s="1"/>
      <c r="L799" s="1"/>
      <c r="M799" s="1"/>
      <c r="N799" s="1"/>
      <c r="O799" s="1"/>
      <c r="P799" s="1"/>
      <c r="Q799" s="17"/>
    </row>
    <row x14ac:dyDescent="0.25" r="800" customHeight="1" ht="18.75">
      <c r="A800" s="1"/>
      <c r="B800" s="1" t="s">
        <v>37513</v>
      </c>
      <c r="C800" s="1" t="s">
        <v>7</v>
      </c>
      <c r="D800" s="1" t="s">
        <v>10</v>
      </c>
      <c r="E800" s="1" t="s">
        <v>36395</v>
      </c>
      <c r="F800" s="1" t="s">
        <v>3617</v>
      </c>
      <c r="G800" s="1" t="s">
        <v>35717</v>
      </c>
      <c r="H800" s="1" t="s">
        <v>7847</v>
      </c>
      <c r="I800" s="1"/>
      <c r="J800" s="1"/>
      <c r="K800" s="1"/>
      <c r="L800" s="1"/>
      <c r="M800" s="1"/>
      <c r="N800" s="1"/>
      <c r="O800" s="1"/>
      <c r="P800" s="1"/>
      <c r="Q800" s="17"/>
    </row>
    <row x14ac:dyDescent="0.25" r="801" customHeight="1" ht="18.75">
      <c r="A801" s="1"/>
      <c r="B801" s="1" t="s">
        <v>37513</v>
      </c>
      <c r="C801" s="1" t="s">
        <v>7</v>
      </c>
      <c r="D801" s="1" t="s">
        <v>10</v>
      </c>
      <c r="E801" s="1" t="s">
        <v>36395</v>
      </c>
      <c r="F801" s="1" t="s">
        <v>3617</v>
      </c>
      <c r="G801" s="1" t="s">
        <v>35720</v>
      </c>
      <c r="H801" s="1" t="s">
        <v>7847</v>
      </c>
      <c r="I801" s="1"/>
      <c r="J801" s="1"/>
      <c r="K801" s="1"/>
      <c r="L801" s="1"/>
      <c r="M801" s="1"/>
      <c r="N801" s="1"/>
      <c r="O801" s="1"/>
      <c r="P801" s="1"/>
      <c r="Q801" s="17"/>
    </row>
    <row x14ac:dyDescent="0.25" r="802" customHeight="1" ht="18.75">
      <c r="A802" s="1"/>
      <c r="B802" s="1" t="s">
        <v>37513</v>
      </c>
      <c r="C802" s="1" t="s">
        <v>7</v>
      </c>
      <c r="D802" s="1" t="s">
        <v>10</v>
      </c>
      <c r="E802" s="1" t="s">
        <v>37034</v>
      </c>
      <c r="F802" s="1" t="s">
        <v>3617</v>
      </c>
      <c r="G802" s="1" t="s">
        <v>37514</v>
      </c>
      <c r="H802" s="1" t="s">
        <v>3610</v>
      </c>
      <c r="I802" s="1"/>
      <c r="J802" s="1"/>
      <c r="K802" s="1"/>
      <c r="L802" s="1"/>
      <c r="M802" s="1"/>
      <c r="N802" s="1"/>
      <c r="O802" s="1"/>
      <c r="P802" s="1"/>
      <c r="Q802" s="17"/>
    </row>
    <row x14ac:dyDescent="0.25" r="803" customHeight="1" ht="18.75">
      <c r="A803" s="1"/>
      <c r="B803" s="1" t="s">
        <v>37513</v>
      </c>
      <c r="C803" s="1" t="s">
        <v>7</v>
      </c>
      <c r="D803" s="1" t="s">
        <v>10</v>
      </c>
      <c r="E803" s="1" t="s">
        <v>37034</v>
      </c>
      <c r="F803" s="1" t="s">
        <v>3617</v>
      </c>
      <c r="G803" s="1" t="s">
        <v>37515</v>
      </c>
      <c r="H803" s="1" t="s">
        <v>3610</v>
      </c>
      <c r="I803" s="1"/>
      <c r="J803" s="1"/>
      <c r="K803" s="1"/>
      <c r="L803" s="1"/>
      <c r="M803" s="1"/>
      <c r="N803" s="1"/>
      <c r="O803" s="1"/>
      <c r="P803" s="1"/>
      <c r="Q803" s="17"/>
    </row>
    <row x14ac:dyDescent="0.25" r="804" customHeight="1" ht="18.75">
      <c r="A804" s="1"/>
      <c r="B804" s="1" t="s">
        <v>37513</v>
      </c>
      <c r="C804" s="1" t="s">
        <v>7</v>
      </c>
      <c r="D804" s="1" t="s">
        <v>10</v>
      </c>
      <c r="E804" s="1" t="s">
        <v>37034</v>
      </c>
      <c r="F804" s="1" t="s">
        <v>3617</v>
      </c>
      <c r="G804" s="1" t="s">
        <v>37516</v>
      </c>
      <c r="H804" s="1" t="s">
        <v>3610</v>
      </c>
      <c r="I804" s="1"/>
      <c r="J804" s="1"/>
      <c r="K804" s="1"/>
      <c r="L804" s="1"/>
      <c r="M804" s="1"/>
      <c r="N804" s="1"/>
      <c r="O804" s="1"/>
      <c r="P804" s="1"/>
      <c r="Q804" s="17"/>
    </row>
    <row x14ac:dyDescent="0.25" r="805" customHeight="1" ht="18.75">
      <c r="A805" s="1"/>
      <c r="B805" s="1" t="s">
        <v>37513</v>
      </c>
      <c r="C805" s="1" t="s">
        <v>7</v>
      </c>
      <c r="D805" s="1" t="s">
        <v>10</v>
      </c>
      <c r="E805" s="1" t="s">
        <v>37034</v>
      </c>
      <c r="F805" s="1" t="s">
        <v>3617</v>
      </c>
      <c r="G805" s="1" t="s">
        <v>37517</v>
      </c>
      <c r="H805" s="1" t="s">
        <v>3610</v>
      </c>
      <c r="I805" s="1"/>
      <c r="J805" s="1"/>
      <c r="K805" s="1"/>
      <c r="L805" s="1"/>
      <c r="M805" s="1"/>
      <c r="N805" s="1"/>
      <c r="O805" s="1"/>
      <c r="P805" s="1"/>
      <c r="Q805" s="17"/>
    </row>
    <row x14ac:dyDescent="0.25" r="806" customHeight="1" ht="18.75">
      <c r="A806" s="1"/>
      <c r="B806" s="1" t="s">
        <v>37513</v>
      </c>
      <c r="C806" s="1" t="s">
        <v>7</v>
      </c>
      <c r="D806" s="1" t="s">
        <v>10</v>
      </c>
      <c r="E806" s="1" t="s">
        <v>37034</v>
      </c>
      <c r="F806" s="1" t="s">
        <v>3617</v>
      </c>
      <c r="G806" s="1" t="s">
        <v>37518</v>
      </c>
      <c r="H806" s="1" t="s">
        <v>3610</v>
      </c>
      <c r="I806" s="1"/>
      <c r="J806" s="1"/>
      <c r="K806" s="1"/>
      <c r="L806" s="1"/>
      <c r="M806" s="1"/>
      <c r="N806" s="1"/>
      <c r="O806" s="1"/>
      <c r="P806" s="1"/>
      <c r="Q806" s="17"/>
    </row>
    <row x14ac:dyDescent="0.25" r="807" customHeight="1" ht="18.75">
      <c r="A807" s="1"/>
      <c r="B807" s="1" t="s">
        <v>37519</v>
      </c>
      <c r="C807" s="1" t="s">
        <v>7</v>
      </c>
      <c r="D807" s="1" t="s">
        <v>10</v>
      </c>
      <c r="E807" s="1" t="s">
        <v>37034</v>
      </c>
      <c r="F807" s="1" t="s">
        <v>3617</v>
      </c>
      <c r="G807" s="1" t="s">
        <v>37520</v>
      </c>
      <c r="H807" s="1" t="s">
        <v>3610</v>
      </c>
      <c r="I807" s="1"/>
      <c r="J807" s="1"/>
      <c r="K807" s="1"/>
      <c r="L807" s="1"/>
      <c r="M807" s="1"/>
      <c r="N807" s="1"/>
      <c r="O807" s="1"/>
      <c r="P807" s="1"/>
      <c r="Q807" s="17"/>
    </row>
    <row x14ac:dyDescent="0.25" r="808" customHeight="1" ht="18.75">
      <c r="A808" s="1"/>
      <c r="B808" s="1" t="s">
        <v>37519</v>
      </c>
      <c r="C808" s="1" t="s">
        <v>7</v>
      </c>
      <c r="D808" s="1" t="s">
        <v>10</v>
      </c>
      <c r="E808" s="1" t="s">
        <v>37034</v>
      </c>
      <c r="F808" s="1" t="s">
        <v>3617</v>
      </c>
      <c r="G808" s="1" t="s">
        <v>37521</v>
      </c>
      <c r="H808" s="1" t="s">
        <v>3610</v>
      </c>
      <c r="I808" s="1"/>
      <c r="J808" s="1"/>
      <c r="K808" s="1"/>
      <c r="L808" s="1"/>
      <c r="M808" s="1"/>
      <c r="N808" s="1"/>
      <c r="O808" s="1"/>
      <c r="P808" s="1"/>
      <c r="Q808" s="17"/>
    </row>
    <row x14ac:dyDescent="0.25" r="809" customHeight="1" ht="18.75">
      <c r="A809" s="1"/>
      <c r="B809" s="1" t="s">
        <v>37519</v>
      </c>
      <c r="C809" s="1" t="s">
        <v>7</v>
      </c>
      <c r="D809" s="1" t="s">
        <v>10</v>
      </c>
      <c r="E809" s="1" t="s">
        <v>37034</v>
      </c>
      <c r="F809" s="1" t="s">
        <v>3617</v>
      </c>
      <c r="G809" s="1" t="s">
        <v>37522</v>
      </c>
      <c r="H809" s="1" t="s">
        <v>3610</v>
      </c>
      <c r="I809" s="1"/>
      <c r="J809" s="1"/>
      <c r="K809" s="1"/>
      <c r="L809" s="1"/>
      <c r="M809" s="1"/>
      <c r="N809" s="1"/>
      <c r="O809" s="1"/>
      <c r="P809" s="1"/>
      <c r="Q809" s="17"/>
    </row>
    <row x14ac:dyDescent="0.25" r="810" customHeight="1" ht="18.75">
      <c r="A810" s="1"/>
      <c r="B810" s="1" t="s">
        <v>37519</v>
      </c>
      <c r="C810" s="1" t="s">
        <v>7</v>
      </c>
      <c r="D810" s="1" t="s">
        <v>10</v>
      </c>
      <c r="E810" s="1" t="s">
        <v>37034</v>
      </c>
      <c r="F810" s="1" t="s">
        <v>3617</v>
      </c>
      <c r="G810" s="1" t="s">
        <v>37523</v>
      </c>
      <c r="H810" s="1" t="s">
        <v>3610</v>
      </c>
      <c r="I810" s="1"/>
      <c r="J810" s="1"/>
      <c r="K810" s="1"/>
      <c r="L810" s="1"/>
      <c r="M810" s="1"/>
      <c r="N810" s="1"/>
      <c r="O810" s="1"/>
      <c r="P810" s="1"/>
      <c r="Q810" s="17"/>
    </row>
    <row x14ac:dyDescent="0.25" r="811" customHeight="1" ht="18.75">
      <c r="A811" s="1"/>
      <c r="B811" s="1" t="s">
        <v>37519</v>
      </c>
      <c r="C811" s="1" t="s">
        <v>7</v>
      </c>
      <c r="D811" s="1" t="s">
        <v>10</v>
      </c>
      <c r="E811" s="1" t="s">
        <v>37034</v>
      </c>
      <c r="F811" s="1" t="s">
        <v>3617</v>
      </c>
      <c r="G811" s="1" t="s">
        <v>37524</v>
      </c>
      <c r="H811" s="1" t="s">
        <v>3610</v>
      </c>
      <c r="I811" s="1"/>
      <c r="J811" s="1"/>
      <c r="K811" s="1"/>
      <c r="L811" s="1"/>
      <c r="M811" s="1"/>
      <c r="N811" s="1"/>
      <c r="O811" s="1"/>
      <c r="P811" s="1"/>
      <c r="Q811" s="17"/>
    </row>
    <row x14ac:dyDescent="0.25" r="812" customHeight="1" ht="18.75">
      <c r="A812" s="1"/>
      <c r="B812" s="1" t="s">
        <v>37519</v>
      </c>
      <c r="C812" s="1" t="s">
        <v>7</v>
      </c>
      <c r="D812" s="1" t="s">
        <v>10</v>
      </c>
      <c r="E812" s="1" t="s">
        <v>37034</v>
      </c>
      <c r="F812" s="1" t="s">
        <v>3617</v>
      </c>
      <c r="G812" s="1" t="s">
        <v>37525</v>
      </c>
      <c r="H812" s="1" t="s">
        <v>3695</v>
      </c>
      <c r="I812" s="1"/>
      <c r="J812" s="1"/>
      <c r="K812" s="1"/>
      <c r="L812" s="1"/>
      <c r="M812" s="1"/>
      <c r="N812" s="1"/>
      <c r="O812" s="1"/>
      <c r="P812" s="1"/>
      <c r="Q812" s="17"/>
    </row>
    <row x14ac:dyDescent="0.25" r="813" customHeight="1" ht="18.75">
      <c r="A813" s="1"/>
      <c r="B813" s="1" t="s">
        <v>37519</v>
      </c>
      <c r="C813" s="1" t="s">
        <v>7</v>
      </c>
      <c r="D813" s="1" t="s">
        <v>10</v>
      </c>
      <c r="E813" s="1" t="s">
        <v>37034</v>
      </c>
      <c r="F813" s="1" t="s">
        <v>3617</v>
      </c>
      <c r="G813" s="1" t="s">
        <v>37526</v>
      </c>
      <c r="H813" s="1" t="s">
        <v>3695</v>
      </c>
      <c r="I813" s="1"/>
      <c r="J813" s="1"/>
      <c r="K813" s="1"/>
      <c r="L813" s="1"/>
      <c r="M813" s="1"/>
      <c r="N813" s="1"/>
      <c r="O813" s="1"/>
      <c r="P813" s="1"/>
      <c r="Q813" s="17"/>
    </row>
    <row x14ac:dyDescent="0.25" r="814" customHeight="1" ht="18.75">
      <c r="A814" s="1"/>
      <c r="B814" s="1" t="s">
        <v>37519</v>
      </c>
      <c r="C814" s="1" t="s">
        <v>7</v>
      </c>
      <c r="D814" s="1" t="s">
        <v>10</v>
      </c>
      <c r="E814" s="1" t="s">
        <v>37034</v>
      </c>
      <c r="F814" s="1" t="s">
        <v>3617</v>
      </c>
      <c r="G814" s="1" t="s">
        <v>37527</v>
      </c>
      <c r="H814" s="1" t="s">
        <v>3695</v>
      </c>
      <c r="I814" s="1"/>
      <c r="J814" s="1"/>
      <c r="K814" s="1"/>
      <c r="L814" s="1"/>
      <c r="M814" s="1"/>
      <c r="N814" s="1"/>
      <c r="O814" s="1"/>
      <c r="P814" s="1"/>
      <c r="Q814" s="17"/>
    </row>
    <row x14ac:dyDescent="0.25" r="815" customHeight="1" ht="18.75">
      <c r="A815" s="1"/>
      <c r="B815" s="1" t="s">
        <v>37528</v>
      </c>
      <c r="C815" s="1" t="s">
        <v>7</v>
      </c>
      <c r="D815" s="1" t="s">
        <v>10</v>
      </c>
      <c r="E815" s="1" t="s">
        <v>36395</v>
      </c>
      <c r="F815" s="1" t="s">
        <v>3617</v>
      </c>
      <c r="G815" s="1" t="s">
        <v>35734</v>
      </c>
      <c r="H815" s="1" t="s">
        <v>37190</v>
      </c>
      <c r="I815" s="1"/>
      <c r="J815" s="1"/>
      <c r="K815" s="1"/>
      <c r="L815" s="1"/>
      <c r="M815" s="1"/>
      <c r="N815" s="1"/>
      <c r="O815" s="1"/>
      <c r="P815" s="1"/>
      <c r="Q815" s="17"/>
    </row>
    <row x14ac:dyDescent="0.25" r="816" customHeight="1" ht="18.75">
      <c r="A816" s="1"/>
      <c r="B816" s="1" t="s">
        <v>37528</v>
      </c>
      <c r="C816" s="1" t="s">
        <v>7</v>
      </c>
      <c r="D816" s="1" t="s">
        <v>10</v>
      </c>
      <c r="E816" s="1" t="s">
        <v>37034</v>
      </c>
      <c r="F816" s="1" t="s">
        <v>3617</v>
      </c>
      <c r="G816" s="1" t="s">
        <v>37529</v>
      </c>
      <c r="H816" s="1" t="s">
        <v>3610</v>
      </c>
      <c r="I816" s="1"/>
      <c r="J816" s="1"/>
      <c r="K816" s="1"/>
      <c r="L816" s="1"/>
      <c r="M816" s="1"/>
      <c r="N816" s="1"/>
      <c r="O816" s="1"/>
      <c r="P816" s="1"/>
      <c r="Q816" s="17"/>
    </row>
    <row x14ac:dyDescent="0.25" r="817" customHeight="1" ht="18.75">
      <c r="A817" s="1"/>
      <c r="B817" s="1" t="s">
        <v>37528</v>
      </c>
      <c r="C817" s="1" t="s">
        <v>7</v>
      </c>
      <c r="D817" s="1" t="s">
        <v>10</v>
      </c>
      <c r="E817" s="1" t="s">
        <v>37034</v>
      </c>
      <c r="F817" s="1" t="s">
        <v>3617</v>
      </c>
      <c r="G817" s="1" t="s">
        <v>37530</v>
      </c>
      <c r="H817" s="1" t="s">
        <v>3610</v>
      </c>
      <c r="I817" s="1"/>
      <c r="J817" s="1"/>
      <c r="K817" s="1"/>
      <c r="L817" s="1"/>
      <c r="M817" s="1"/>
      <c r="N817" s="1"/>
      <c r="O817" s="1"/>
      <c r="P817" s="1"/>
      <c r="Q817" s="17"/>
    </row>
    <row x14ac:dyDescent="0.25" r="818" customHeight="1" ht="18.75">
      <c r="A818" s="1"/>
      <c r="B818" s="1" t="s">
        <v>37528</v>
      </c>
      <c r="C818" s="1" t="s">
        <v>7</v>
      </c>
      <c r="D818" s="1" t="s">
        <v>10</v>
      </c>
      <c r="E818" s="1" t="s">
        <v>37034</v>
      </c>
      <c r="F818" s="1" t="s">
        <v>3617</v>
      </c>
      <c r="G818" s="1" t="s">
        <v>37531</v>
      </c>
      <c r="H818" s="1" t="s">
        <v>3610</v>
      </c>
      <c r="I818" s="1"/>
      <c r="J818" s="1"/>
      <c r="K818" s="1"/>
      <c r="L818" s="1"/>
      <c r="M818" s="1"/>
      <c r="N818" s="1"/>
      <c r="O818" s="1"/>
      <c r="P818" s="1"/>
      <c r="Q818" s="17"/>
    </row>
    <row x14ac:dyDescent="0.25" r="819" customHeight="1" ht="18.75">
      <c r="A819" s="1"/>
      <c r="B819" s="1" t="s">
        <v>37528</v>
      </c>
      <c r="C819" s="1" t="s">
        <v>7</v>
      </c>
      <c r="D819" s="1" t="s">
        <v>10</v>
      </c>
      <c r="E819" s="1" t="s">
        <v>37034</v>
      </c>
      <c r="F819" s="1" t="s">
        <v>3617</v>
      </c>
      <c r="G819" s="1" t="s">
        <v>37532</v>
      </c>
      <c r="H819" s="1" t="s">
        <v>3610</v>
      </c>
      <c r="I819" s="1"/>
      <c r="J819" s="1"/>
      <c r="K819" s="1"/>
      <c r="L819" s="1"/>
      <c r="M819" s="1"/>
      <c r="N819" s="1"/>
      <c r="O819" s="1"/>
      <c r="P819" s="1"/>
      <c r="Q819" s="17"/>
    </row>
    <row x14ac:dyDescent="0.25" r="820" customHeight="1" ht="18.75">
      <c r="A820" s="1"/>
      <c r="B820" s="1" t="s">
        <v>37528</v>
      </c>
      <c r="C820" s="1" t="s">
        <v>7</v>
      </c>
      <c r="D820" s="1" t="s">
        <v>10</v>
      </c>
      <c r="E820" s="1" t="s">
        <v>37034</v>
      </c>
      <c r="F820" s="1" t="s">
        <v>3617</v>
      </c>
      <c r="G820" s="1" t="s">
        <v>37533</v>
      </c>
      <c r="H820" s="1" t="s">
        <v>3610</v>
      </c>
      <c r="I820" s="1"/>
      <c r="J820" s="1"/>
      <c r="K820" s="1"/>
      <c r="L820" s="1"/>
      <c r="M820" s="1"/>
      <c r="N820" s="1"/>
      <c r="O820" s="1"/>
      <c r="P820" s="1"/>
      <c r="Q820" s="17"/>
    </row>
    <row x14ac:dyDescent="0.25" r="821" customHeight="1" ht="18.75">
      <c r="A821" s="1"/>
      <c r="B821" s="1" t="s">
        <v>37528</v>
      </c>
      <c r="C821" s="1" t="s">
        <v>7</v>
      </c>
      <c r="D821" s="1" t="s">
        <v>10</v>
      </c>
      <c r="E821" s="1" t="s">
        <v>37034</v>
      </c>
      <c r="F821" s="1" t="s">
        <v>3617</v>
      </c>
      <c r="G821" s="1" t="s">
        <v>37534</v>
      </c>
      <c r="H821" s="1" t="s">
        <v>3695</v>
      </c>
      <c r="I821" s="1"/>
      <c r="J821" s="1"/>
      <c r="K821" s="1"/>
      <c r="L821" s="1"/>
      <c r="M821" s="1"/>
      <c r="N821" s="1"/>
      <c r="O821" s="1"/>
      <c r="P821" s="1"/>
      <c r="Q821" s="17"/>
    </row>
    <row x14ac:dyDescent="0.25" r="822" customHeight="1" ht="18.75">
      <c r="A822" s="1"/>
      <c r="B822" s="1" t="s">
        <v>37528</v>
      </c>
      <c r="C822" s="1" t="s">
        <v>7</v>
      </c>
      <c r="D822" s="1" t="s">
        <v>10</v>
      </c>
      <c r="E822" s="1" t="s">
        <v>37034</v>
      </c>
      <c r="F822" s="1" t="s">
        <v>3617</v>
      </c>
      <c r="G822" s="1" t="s">
        <v>37535</v>
      </c>
      <c r="H822" s="1" t="s">
        <v>3695</v>
      </c>
      <c r="I822" s="1"/>
      <c r="J822" s="1"/>
      <c r="K822" s="1"/>
      <c r="L822" s="1"/>
      <c r="M822" s="1"/>
      <c r="N822" s="1"/>
      <c r="O822" s="1"/>
      <c r="P822" s="1"/>
      <c r="Q822" s="17"/>
    </row>
    <row x14ac:dyDescent="0.25" r="823" customHeight="1" ht="18.75">
      <c r="A823" s="1"/>
      <c r="B823" s="1" t="s">
        <v>37528</v>
      </c>
      <c r="C823" s="1" t="s">
        <v>7</v>
      </c>
      <c r="D823" s="1" t="s">
        <v>10</v>
      </c>
      <c r="E823" s="1" t="s">
        <v>37034</v>
      </c>
      <c r="F823" s="1" t="s">
        <v>3617</v>
      </c>
      <c r="G823" s="1" t="s">
        <v>37536</v>
      </c>
      <c r="H823" s="1" t="s">
        <v>7891</v>
      </c>
      <c r="I823" s="1"/>
      <c r="J823" s="1"/>
      <c r="K823" s="1"/>
      <c r="L823" s="1"/>
      <c r="M823" s="1"/>
      <c r="N823" s="1"/>
      <c r="O823" s="1"/>
      <c r="P823" s="1"/>
      <c r="Q823" s="17"/>
    </row>
    <row x14ac:dyDescent="0.25" r="824" customHeight="1" ht="18.75">
      <c r="A824" s="1"/>
      <c r="B824" s="1" t="s">
        <v>37528</v>
      </c>
      <c r="C824" s="1" t="s">
        <v>7</v>
      </c>
      <c r="D824" s="1" t="s">
        <v>10</v>
      </c>
      <c r="E824" s="1" t="s">
        <v>37034</v>
      </c>
      <c r="F824" s="1" t="s">
        <v>3617</v>
      </c>
      <c r="G824" s="1" t="s">
        <v>37537</v>
      </c>
      <c r="H824" s="1" t="s">
        <v>7891</v>
      </c>
      <c r="I824" s="1"/>
      <c r="J824" s="1"/>
      <c r="K824" s="1"/>
      <c r="L824" s="1"/>
      <c r="M824" s="1"/>
      <c r="N824" s="1"/>
      <c r="O824" s="1"/>
      <c r="P824" s="1"/>
      <c r="Q824" s="17"/>
    </row>
    <row x14ac:dyDescent="0.25" r="825" customHeight="1" ht="18.75">
      <c r="A825" s="1"/>
      <c r="B825" s="1" t="s">
        <v>37519</v>
      </c>
      <c r="C825" s="1" t="s">
        <v>7</v>
      </c>
      <c r="D825" s="1" t="s">
        <v>10</v>
      </c>
      <c r="E825" s="1" t="s">
        <v>36395</v>
      </c>
      <c r="F825" s="1" t="s">
        <v>3617</v>
      </c>
      <c r="G825" s="1" t="s">
        <v>35737</v>
      </c>
      <c r="H825" s="1" t="s">
        <v>37190</v>
      </c>
      <c r="I825" s="1"/>
      <c r="J825" s="1"/>
      <c r="K825" s="1"/>
      <c r="L825" s="1"/>
      <c r="M825" s="1"/>
      <c r="N825" s="1"/>
      <c r="O825" s="1"/>
      <c r="P825" s="1"/>
      <c r="Q825" s="17"/>
    </row>
    <row x14ac:dyDescent="0.25" r="826" customHeight="1" ht="18.75">
      <c r="A826" s="1"/>
      <c r="B826" s="1" t="s">
        <v>37519</v>
      </c>
      <c r="C826" s="1" t="s">
        <v>7</v>
      </c>
      <c r="D826" s="1" t="s">
        <v>10</v>
      </c>
      <c r="E826" s="1" t="s">
        <v>37034</v>
      </c>
      <c r="F826" s="1" t="s">
        <v>3617</v>
      </c>
      <c r="G826" s="1" t="s">
        <v>37538</v>
      </c>
      <c r="H826" s="1" t="s">
        <v>37037</v>
      </c>
      <c r="I826" s="1"/>
      <c r="J826" s="1"/>
      <c r="K826" s="1"/>
      <c r="L826" s="1"/>
      <c r="M826" s="1"/>
      <c r="N826" s="1"/>
      <c r="O826" s="1"/>
      <c r="P826" s="1"/>
      <c r="Q826" s="17"/>
    </row>
    <row x14ac:dyDescent="0.25" r="827" customHeight="1" ht="18.75">
      <c r="A827" s="1"/>
      <c r="B827" s="1" t="s">
        <v>37519</v>
      </c>
      <c r="C827" s="1" t="s">
        <v>7</v>
      </c>
      <c r="D827" s="1" t="s">
        <v>10</v>
      </c>
      <c r="E827" s="1" t="s">
        <v>37034</v>
      </c>
      <c r="F827" s="1" t="s">
        <v>3617</v>
      </c>
      <c r="G827" s="1" t="s">
        <v>37539</v>
      </c>
      <c r="H827" s="1" t="s">
        <v>37037</v>
      </c>
      <c r="I827" s="1"/>
      <c r="J827" s="1"/>
      <c r="K827" s="1"/>
      <c r="L827" s="1"/>
      <c r="M827" s="1"/>
      <c r="N827" s="1"/>
      <c r="O827" s="1"/>
      <c r="P827" s="1"/>
      <c r="Q827" s="17"/>
    </row>
    <row x14ac:dyDescent="0.25" r="828" customHeight="1" ht="18.75">
      <c r="A828" s="1"/>
      <c r="B828" s="1" t="s">
        <v>37519</v>
      </c>
      <c r="C828" s="1" t="s">
        <v>7</v>
      </c>
      <c r="D828" s="1" t="s">
        <v>10</v>
      </c>
      <c r="E828" s="1" t="s">
        <v>37034</v>
      </c>
      <c r="F828" s="1" t="s">
        <v>3617</v>
      </c>
      <c r="G828" s="1" t="s">
        <v>37540</v>
      </c>
      <c r="H828" s="1" t="s">
        <v>37037</v>
      </c>
      <c r="I828" s="1"/>
      <c r="J828" s="1"/>
      <c r="K828" s="1"/>
      <c r="L828" s="1"/>
      <c r="M828" s="1"/>
      <c r="N828" s="1"/>
      <c r="O828" s="1"/>
      <c r="P828" s="1"/>
      <c r="Q828" s="17"/>
    </row>
    <row x14ac:dyDescent="0.25" r="829" customHeight="1" ht="18.75">
      <c r="A829" s="1"/>
      <c r="B829" s="1" t="s">
        <v>37541</v>
      </c>
      <c r="C829" s="1" t="s">
        <v>7</v>
      </c>
      <c r="D829" s="1" t="s">
        <v>10</v>
      </c>
      <c r="E829" s="1" t="s">
        <v>37034</v>
      </c>
      <c r="F829" s="1" t="s">
        <v>3617</v>
      </c>
      <c r="G829" s="1" t="s">
        <v>37542</v>
      </c>
      <c r="H829" s="1" t="s">
        <v>7891</v>
      </c>
      <c r="I829" s="1"/>
      <c r="J829" s="1"/>
      <c r="K829" s="1"/>
      <c r="L829" s="1"/>
      <c r="M829" s="1"/>
      <c r="N829" s="1"/>
      <c r="O829" s="1"/>
      <c r="P829" s="1"/>
      <c r="Q829" s="17"/>
    </row>
    <row x14ac:dyDescent="0.25" r="830" customHeight="1" ht="18.75">
      <c r="A830" s="1"/>
      <c r="B830" s="1" t="s">
        <v>37541</v>
      </c>
      <c r="C830" s="1" t="s">
        <v>7</v>
      </c>
      <c r="D830" s="1" t="s">
        <v>10</v>
      </c>
      <c r="E830" s="1" t="s">
        <v>37034</v>
      </c>
      <c r="F830" s="1" t="s">
        <v>3617</v>
      </c>
      <c r="G830" s="1" t="s">
        <v>37543</v>
      </c>
      <c r="H830" s="1" t="s">
        <v>7891</v>
      </c>
      <c r="I830" s="1"/>
      <c r="J830" s="1"/>
      <c r="K830" s="1"/>
      <c r="L830" s="1"/>
      <c r="M830" s="1"/>
      <c r="N830" s="1"/>
      <c r="O830" s="1"/>
      <c r="P830" s="1"/>
      <c r="Q830" s="17"/>
    </row>
    <row x14ac:dyDescent="0.25" r="831" customHeight="1" ht="18.75">
      <c r="A831" s="1"/>
      <c r="B831" s="1" t="s">
        <v>37541</v>
      </c>
      <c r="C831" s="1" t="s">
        <v>7</v>
      </c>
      <c r="D831" s="1" t="s">
        <v>10</v>
      </c>
      <c r="E831" s="1" t="s">
        <v>37034</v>
      </c>
      <c r="F831" s="1" t="s">
        <v>3617</v>
      </c>
      <c r="G831" s="1" t="s">
        <v>37544</v>
      </c>
      <c r="H831" s="1" t="s">
        <v>7891</v>
      </c>
      <c r="I831" s="1"/>
      <c r="J831" s="1"/>
      <c r="K831" s="1"/>
      <c r="L831" s="1"/>
      <c r="M831" s="1"/>
      <c r="N831" s="1"/>
      <c r="O831" s="1"/>
      <c r="P831" s="1"/>
      <c r="Q831" s="17"/>
    </row>
    <row x14ac:dyDescent="0.25" r="832" customHeight="1" ht="18.75">
      <c r="A832" s="1"/>
      <c r="B832" s="1" t="s">
        <v>37528</v>
      </c>
      <c r="C832" s="1" t="s">
        <v>7</v>
      </c>
      <c r="D832" s="1" t="s">
        <v>10</v>
      </c>
      <c r="E832" s="1" t="s">
        <v>37034</v>
      </c>
      <c r="F832" s="1" t="s">
        <v>3617</v>
      </c>
      <c r="G832" s="1" t="s">
        <v>37545</v>
      </c>
      <c r="H832" s="1" t="s">
        <v>37057</v>
      </c>
      <c r="I832" s="1"/>
      <c r="J832" s="1"/>
      <c r="K832" s="1"/>
      <c r="L832" s="1"/>
      <c r="M832" s="1"/>
      <c r="N832" s="1"/>
      <c r="O832" s="1"/>
      <c r="P832" s="1"/>
      <c r="Q832" s="17"/>
    </row>
    <row x14ac:dyDescent="0.25" r="833" customHeight="1" ht="18.75">
      <c r="A833" s="1"/>
      <c r="B833" s="1" t="s">
        <v>37528</v>
      </c>
      <c r="C833" s="1" t="s">
        <v>7</v>
      </c>
      <c r="D833" s="1" t="s">
        <v>10</v>
      </c>
      <c r="E833" s="1" t="s">
        <v>37034</v>
      </c>
      <c r="F833" s="1" t="s">
        <v>3617</v>
      </c>
      <c r="G833" s="1" t="s">
        <v>37546</v>
      </c>
      <c r="H833" s="1" t="s">
        <v>37057</v>
      </c>
      <c r="I833" s="1"/>
      <c r="J833" s="1"/>
      <c r="K833" s="1"/>
      <c r="L833" s="1"/>
      <c r="M833" s="1"/>
      <c r="N833" s="1"/>
      <c r="O833" s="1"/>
      <c r="P833" s="1"/>
      <c r="Q833" s="17"/>
    </row>
    <row x14ac:dyDescent="0.25" r="834" customHeight="1" ht="18.75">
      <c r="A834" s="1"/>
      <c r="B834" s="1" t="s">
        <v>37519</v>
      </c>
      <c r="C834" s="1" t="s">
        <v>7</v>
      </c>
      <c r="D834" s="1" t="s">
        <v>10</v>
      </c>
      <c r="E834" s="1" t="s">
        <v>37034</v>
      </c>
      <c r="F834" s="1" t="s">
        <v>3617</v>
      </c>
      <c r="G834" s="1" t="s">
        <v>37547</v>
      </c>
      <c r="H834" s="1" t="s">
        <v>37057</v>
      </c>
      <c r="I834" s="1"/>
      <c r="J834" s="1"/>
      <c r="K834" s="1"/>
      <c r="L834" s="1"/>
      <c r="M834" s="1"/>
      <c r="N834" s="1"/>
      <c r="O834" s="1"/>
      <c r="P834" s="1"/>
      <c r="Q834" s="17"/>
    </row>
    <row x14ac:dyDescent="0.25" r="835" customHeight="1" ht="18.75">
      <c r="A835" s="1"/>
      <c r="B835" s="1" t="s">
        <v>37519</v>
      </c>
      <c r="C835" s="1" t="s">
        <v>7</v>
      </c>
      <c r="D835" s="1" t="s">
        <v>10</v>
      </c>
      <c r="E835" s="1" t="s">
        <v>37034</v>
      </c>
      <c r="F835" s="1" t="s">
        <v>3617</v>
      </c>
      <c r="G835" s="1" t="s">
        <v>37548</v>
      </c>
      <c r="H835" s="1" t="s">
        <v>37057</v>
      </c>
      <c r="I835" s="1"/>
      <c r="J835" s="1"/>
      <c r="K835" s="1"/>
      <c r="L835" s="1"/>
      <c r="M835" s="1"/>
      <c r="N835" s="1"/>
      <c r="O835" s="1"/>
      <c r="P835" s="1"/>
      <c r="Q835" s="17"/>
    </row>
    <row x14ac:dyDescent="0.25" r="836" customHeight="1" ht="18.75">
      <c r="A836" s="1"/>
      <c r="B836" s="1" t="s">
        <v>37513</v>
      </c>
      <c r="C836" s="1" t="s">
        <v>7</v>
      </c>
      <c r="D836" s="1" t="s">
        <v>10</v>
      </c>
      <c r="E836" s="1" t="s">
        <v>37034</v>
      </c>
      <c r="F836" s="1" t="s">
        <v>3617</v>
      </c>
      <c r="G836" s="1" t="s">
        <v>37549</v>
      </c>
      <c r="H836" s="1" t="s">
        <v>37057</v>
      </c>
      <c r="I836" s="1"/>
      <c r="J836" s="1"/>
      <c r="K836" s="1"/>
      <c r="L836" s="1"/>
      <c r="M836" s="1"/>
      <c r="N836" s="1"/>
      <c r="O836" s="1"/>
      <c r="P836" s="1"/>
      <c r="Q836" s="17"/>
    </row>
    <row x14ac:dyDescent="0.25" r="837" customHeight="1" ht="18.75">
      <c r="A837" s="1"/>
      <c r="B837" s="1" t="s">
        <v>37513</v>
      </c>
      <c r="C837" s="1" t="s">
        <v>7</v>
      </c>
      <c r="D837" s="1" t="s">
        <v>10</v>
      </c>
      <c r="E837" s="1" t="s">
        <v>37034</v>
      </c>
      <c r="F837" s="1" t="s">
        <v>3617</v>
      </c>
      <c r="G837" s="1" t="s">
        <v>37550</v>
      </c>
      <c r="H837" s="1" t="s">
        <v>37057</v>
      </c>
      <c r="I837" s="1"/>
      <c r="J837" s="1"/>
      <c r="K837" s="1"/>
      <c r="L837" s="1"/>
      <c r="M837" s="1"/>
      <c r="N837" s="1"/>
      <c r="O837" s="1"/>
      <c r="P837" s="1"/>
      <c r="Q837" s="17"/>
    </row>
    <row x14ac:dyDescent="0.25" r="838" customHeight="1" ht="18.75">
      <c r="A838" s="1"/>
      <c r="B838" s="1" t="s">
        <v>37528</v>
      </c>
      <c r="C838" s="1" t="s">
        <v>7</v>
      </c>
      <c r="D838" s="1" t="s">
        <v>10</v>
      </c>
      <c r="E838" s="1" t="s">
        <v>37034</v>
      </c>
      <c r="F838" s="1" t="s">
        <v>3617</v>
      </c>
      <c r="G838" s="1" t="s">
        <v>37551</v>
      </c>
      <c r="H838" s="1" t="s">
        <v>37057</v>
      </c>
      <c r="I838" s="1"/>
      <c r="J838" s="1"/>
      <c r="K838" s="1"/>
      <c r="L838" s="1"/>
      <c r="M838" s="1"/>
      <c r="N838" s="1"/>
      <c r="O838" s="1"/>
      <c r="P838" s="1"/>
      <c r="Q838" s="17"/>
    </row>
    <row x14ac:dyDescent="0.25" r="839" customHeight="1" ht="18.75">
      <c r="A839" s="1"/>
      <c r="B839" s="1" t="s">
        <v>37519</v>
      </c>
      <c r="C839" s="1" t="s">
        <v>7</v>
      </c>
      <c r="D839" s="1" t="s">
        <v>10</v>
      </c>
      <c r="E839" s="1" t="s">
        <v>37034</v>
      </c>
      <c r="F839" s="1" t="s">
        <v>3617</v>
      </c>
      <c r="G839" s="1" t="s">
        <v>37552</v>
      </c>
      <c r="H839" s="1" t="s">
        <v>37057</v>
      </c>
      <c r="I839" s="1"/>
      <c r="J839" s="1"/>
      <c r="K839" s="1"/>
      <c r="L839" s="1"/>
      <c r="M839" s="1"/>
      <c r="N839" s="1"/>
      <c r="O839" s="1"/>
      <c r="P839" s="1"/>
      <c r="Q839" s="17"/>
    </row>
    <row x14ac:dyDescent="0.25" r="840" customHeight="1" ht="18.75">
      <c r="A840" s="1"/>
      <c r="B840" s="1" t="s">
        <v>37528</v>
      </c>
      <c r="C840" s="1" t="s">
        <v>7</v>
      </c>
      <c r="D840" s="1" t="s">
        <v>10</v>
      </c>
      <c r="E840" s="1" t="s">
        <v>36395</v>
      </c>
      <c r="F840" s="1" t="s">
        <v>3617</v>
      </c>
      <c r="G840" s="1" t="s">
        <v>35770</v>
      </c>
      <c r="H840" s="1" t="s">
        <v>37190</v>
      </c>
      <c r="I840" s="1"/>
      <c r="J840" s="1"/>
      <c r="K840" s="1"/>
      <c r="L840" s="1"/>
      <c r="M840" s="1"/>
      <c r="N840" s="1"/>
      <c r="O840" s="1"/>
      <c r="P840" s="1"/>
      <c r="Q840" s="17"/>
    </row>
    <row x14ac:dyDescent="0.25" r="841" customHeight="1" ht="18.75">
      <c r="A841" s="1"/>
      <c r="B841" s="1" t="s">
        <v>37528</v>
      </c>
      <c r="C841" s="1" t="s">
        <v>7</v>
      </c>
      <c r="D841" s="1" t="s">
        <v>10</v>
      </c>
      <c r="E841" s="1" t="s">
        <v>36395</v>
      </c>
      <c r="F841" s="1" t="s">
        <v>3617</v>
      </c>
      <c r="G841" s="1" t="s">
        <v>35723</v>
      </c>
      <c r="H841" s="1" t="s">
        <v>37190</v>
      </c>
      <c r="I841" s="1"/>
      <c r="J841" s="1"/>
      <c r="K841" s="1"/>
      <c r="L841" s="1"/>
      <c r="M841" s="1"/>
      <c r="N841" s="1"/>
      <c r="O841" s="1"/>
      <c r="P841" s="1"/>
      <c r="Q841" s="17"/>
    </row>
    <row x14ac:dyDescent="0.25" r="842" customHeight="1" ht="18.75">
      <c r="A842" s="1"/>
      <c r="B842" s="1" t="s">
        <v>37519</v>
      </c>
      <c r="C842" s="1" t="s">
        <v>7</v>
      </c>
      <c r="D842" s="1" t="s">
        <v>10</v>
      </c>
      <c r="E842" s="1" t="s">
        <v>36395</v>
      </c>
      <c r="F842" s="1" t="s">
        <v>3617</v>
      </c>
      <c r="G842" s="1" t="s">
        <v>35727</v>
      </c>
      <c r="H842" s="1" t="s">
        <v>37190</v>
      </c>
      <c r="I842" s="1"/>
      <c r="J842" s="1"/>
      <c r="K842" s="1"/>
      <c r="L842" s="1"/>
      <c r="M842" s="1"/>
      <c r="N842" s="1"/>
      <c r="O842" s="1"/>
      <c r="P842" s="1"/>
      <c r="Q842" s="17"/>
    </row>
    <row x14ac:dyDescent="0.25" r="843" customHeight="1" ht="18.75">
      <c r="A843" s="1"/>
      <c r="B843" s="1" t="s">
        <v>37519</v>
      </c>
      <c r="C843" s="1" t="s">
        <v>7</v>
      </c>
      <c r="D843" s="1" t="s">
        <v>10</v>
      </c>
      <c r="E843" s="1" t="s">
        <v>36395</v>
      </c>
      <c r="F843" s="1" t="s">
        <v>3617</v>
      </c>
      <c r="G843" s="1" t="s">
        <v>35731</v>
      </c>
      <c r="H843" s="1" t="s">
        <v>37190</v>
      </c>
      <c r="I843" s="1"/>
      <c r="J843" s="1"/>
      <c r="K843" s="1"/>
      <c r="L843" s="1"/>
      <c r="M843" s="1"/>
      <c r="N843" s="1"/>
      <c r="O843" s="1"/>
      <c r="P843" s="1"/>
      <c r="Q843" s="17"/>
    </row>
    <row x14ac:dyDescent="0.25" r="844" customHeight="1" ht="18.75">
      <c r="A844" s="1"/>
      <c r="B844" s="1" t="s">
        <v>37512</v>
      </c>
      <c r="C844" s="1" t="s">
        <v>7</v>
      </c>
      <c r="D844" s="1" t="s">
        <v>10</v>
      </c>
      <c r="E844" s="1" t="s">
        <v>36395</v>
      </c>
      <c r="F844" s="1" t="s">
        <v>3617</v>
      </c>
      <c r="G844" s="1" t="s">
        <v>35704</v>
      </c>
      <c r="H844" s="1" t="s">
        <v>37063</v>
      </c>
      <c r="I844" s="1"/>
      <c r="J844" s="1"/>
      <c r="K844" s="1"/>
      <c r="L844" s="1"/>
      <c r="M844" s="1"/>
      <c r="N844" s="1"/>
      <c r="O844" s="1"/>
      <c r="P844" s="1"/>
      <c r="Q844" s="17"/>
    </row>
    <row x14ac:dyDescent="0.25" r="845" customHeight="1" ht="18.75">
      <c r="A845" s="1"/>
      <c r="B845" s="1" t="s">
        <v>37553</v>
      </c>
      <c r="C845" s="1" t="s">
        <v>7</v>
      </c>
      <c r="D845" s="1" t="s">
        <v>10</v>
      </c>
      <c r="E845" s="1" t="s">
        <v>36395</v>
      </c>
      <c r="F845" s="1" t="s">
        <v>7833</v>
      </c>
      <c r="G845" s="1" t="s">
        <v>35235</v>
      </c>
      <c r="H845" s="1" t="s">
        <v>7847</v>
      </c>
      <c r="I845" s="1"/>
      <c r="J845" s="1"/>
      <c r="K845" s="1"/>
      <c r="L845" s="1"/>
      <c r="M845" s="1"/>
      <c r="N845" s="1"/>
      <c r="O845" s="1"/>
      <c r="P845" s="1"/>
      <c r="Q845" s="17"/>
    </row>
    <row x14ac:dyDescent="0.25" r="846" customHeight="1" ht="18.75">
      <c r="A846" s="1"/>
      <c r="B846" s="1" t="s">
        <v>37554</v>
      </c>
      <c r="C846" s="1" t="s">
        <v>7</v>
      </c>
      <c r="D846" s="1" t="s">
        <v>10</v>
      </c>
      <c r="E846" s="1" t="s">
        <v>36395</v>
      </c>
      <c r="F846" s="1" t="s">
        <v>3617</v>
      </c>
      <c r="G846" s="1" t="s">
        <v>35659</v>
      </c>
      <c r="H846" s="1" t="s">
        <v>7847</v>
      </c>
      <c r="I846" s="1"/>
      <c r="J846" s="1"/>
      <c r="K846" s="1"/>
      <c r="L846" s="1"/>
      <c r="M846" s="1"/>
      <c r="N846" s="1"/>
      <c r="O846" s="1"/>
      <c r="P846" s="1"/>
      <c r="Q846" s="17"/>
    </row>
    <row x14ac:dyDescent="0.25" r="847" customHeight="1" ht="18.75">
      <c r="A847" s="1"/>
      <c r="B847" s="1" t="s">
        <v>37554</v>
      </c>
      <c r="C847" s="1" t="s">
        <v>7</v>
      </c>
      <c r="D847" s="1" t="s">
        <v>10</v>
      </c>
      <c r="E847" s="1" t="s">
        <v>36395</v>
      </c>
      <c r="F847" s="1" t="s">
        <v>3617</v>
      </c>
      <c r="G847" s="1" t="s">
        <v>35663</v>
      </c>
      <c r="H847" s="1" t="s">
        <v>7847</v>
      </c>
      <c r="I847" s="1"/>
      <c r="J847" s="1"/>
      <c r="K847" s="1"/>
      <c r="L847" s="1"/>
      <c r="M847" s="1"/>
      <c r="N847" s="1"/>
      <c r="O847" s="1"/>
      <c r="P847" s="1"/>
      <c r="Q847" s="17"/>
    </row>
    <row x14ac:dyDescent="0.25" r="848" customHeight="1" ht="18.75">
      <c r="A848" s="1"/>
      <c r="B848" s="1" t="s">
        <v>37555</v>
      </c>
      <c r="C848" s="1" t="s">
        <v>7</v>
      </c>
      <c r="D848" s="1" t="s">
        <v>10</v>
      </c>
      <c r="E848" s="1" t="s">
        <v>37034</v>
      </c>
      <c r="F848" s="1" t="s">
        <v>3693</v>
      </c>
      <c r="G848" s="1" t="s">
        <v>37556</v>
      </c>
      <c r="H848" s="1" t="s">
        <v>37057</v>
      </c>
      <c r="I848" s="1"/>
      <c r="J848" s="1"/>
      <c r="K848" s="1"/>
      <c r="L848" s="1"/>
      <c r="M848" s="1"/>
      <c r="N848" s="1"/>
      <c r="O848" s="1"/>
      <c r="P848" s="1"/>
      <c r="Q848" s="17"/>
    </row>
    <row x14ac:dyDescent="0.25" r="849" customHeight="1" ht="18.75">
      <c r="A849" s="1"/>
      <c r="B849" s="1" t="s">
        <v>37557</v>
      </c>
      <c r="C849" s="1" t="s">
        <v>7</v>
      </c>
      <c r="D849" s="1" t="s">
        <v>10</v>
      </c>
      <c r="E849" s="1" t="s">
        <v>36395</v>
      </c>
      <c r="F849" s="1" t="s">
        <v>3693</v>
      </c>
      <c r="G849" s="1" t="s">
        <v>37558</v>
      </c>
      <c r="H849" s="1" t="s">
        <v>37190</v>
      </c>
      <c r="I849" s="1"/>
      <c r="J849" s="1"/>
      <c r="K849" s="1"/>
      <c r="L849" s="1"/>
      <c r="M849" s="1"/>
      <c r="N849" s="1"/>
      <c r="O849" s="1"/>
      <c r="P849" s="1"/>
      <c r="Q849" s="17"/>
    </row>
    <row x14ac:dyDescent="0.25" r="850" customHeight="1" ht="18.75">
      <c r="A850" s="1"/>
      <c r="B850" s="1" t="s">
        <v>37559</v>
      </c>
      <c r="C850" s="1" t="s">
        <v>7</v>
      </c>
      <c r="D850" s="1" t="s">
        <v>10</v>
      </c>
      <c r="E850" s="1" t="s">
        <v>36395</v>
      </c>
      <c r="F850" s="1" t="s">
        <v>3693</v>
      </c>
      <c r="G850" s="1" t="s">
        <v>37560</v>
      </c>
      <c r="H850" s="1" t="s">
        <v>37190</v>
      </c>
      <c r="I850" s="1"/>
      <c r="J850" s="1"/>
      <c r="K850" s="1"/>
      <c r="L850" s="1"/>
      <c r="M850" s="1"/>
      <c r="N850" s="1"/>
      <c r="O850" s="1"/>
      <c r="P850" s="1"/>
      <c r="Q850" s="17"/>
    </row>
    <row x14ac:dyDescent="0.25" r="851" customHeight="1" ht="18.75">
      <c r="A851" s="1"/>
      <c r="B851" s="1" t="s">
        <v>37559</v>
      </c>
      <c r="C851" s="1" t="s">
        <v>7</v>
      </c>
      <c r="D851" s="1" t="s">
        <v>10</v>
      </c>
      <c r="E851" s="1" t="s">
        <v>37034</v>
      </c>
      <c r="F851" s="1" t="s">
        <v>3693</v>
      </c>
      <c r="G851" s="1" t="s">
        <v>37561</v>
      </c>
      <c r="H851" s="1" t="s">
        <v>7891</v>
      </c>
      <c r="I851" s="1"/>
      <c r="J851" s="1"/>
      <c r="K851" s="1"/>
      <c r="L851" s="1"/>
      <c r="M851" s="1"/>
      <c r="N851" s="1"/>
      <c r="O851" s="1"/>
      <c r="P851" s="1"/>
      <c r="Q851" s="17"/>
    </row>
    <row x14ac:dyDescent="0.25" r="852" customHeight="1" ht="18.75">
      <c r="A852" s="1"/>
      <c r="B852" s="1" t="s">
        <v>37559</v>
      </c>
      <c r="C852" s="1" t="s">
        <v>7</v>
      </c>
      <c r="D852" s="1" t="s">
        <v>10</v>
      </c>
      <c r="E852" s="1" t="s">
        <v>37034</v>
      </c>
      <c r="F852" s="1" t="s">
        <v>3693</v>
      </c>
      <c r="G852" s="1" t="s">
        <v>37562</v>
      </c>
      <c r="H852" s="1" t="s">
        <v>7891</v>
      </c>
      <c r="I852" s="1"/>
      <c r="J852" s="1"/>
      <c r="K852" s="1"/>
      <c r="L852" s="1"/>
      <c r="M852" s="1"/>
      <c r="N852" s="1"/>
      <c r="O852" s="1"/>
      <c r="P852" s="1"/>
      <c r="Q852" s="17"/>
    </row>
    <row x14ac:dyDescent="0.25" r="853" customHeight="1" ht="18.75">
      <c r="A853" s="1"/>
      <c r="B853" s="1" t="s">
        <v>37559</v>
      </c>
      <c r="C853" s="1" t="s">
        <v>7</v>
      </c>
      <c r="D853" s="1" t="s">
        <v>10</v>
      </c>
      <c r="E853" s="1" t="s">
        <v>37034</v>
      </c>
      <c r="F853" s="1" t="s">
        <v>3693</v>
      </c>
      <c r="G853" s="1" t="s">
        <v>37563</v>
      </c>
      <c r="H853" s="1" t="s">
        <v>7891</v>
      </c>
      <c r="I853" s="1"/>
      <c r="J853" s="1"/>
      <c r="K853" s="1"/>
      <c r="L853" s="1"/>
      <c r="M853" s="1"/>
      <c r="N853" s="1"/>
      <c r="O853" s="1"/>
      <c r="P853" s="1"/>
      <c r="Q853" s="17"/>
    </row>
    <row x14ac:dyDescent="0.25" r="854" customHeight="1" ht="18.75">
      <c r="A854" s="1"/>
      <c r="B854" s="1" t="s">
        <v>37555</v>
      </c>
      <c r="C854" s="1" t="s">
        <v>7</v>
      </c>
      <c r="D854" s="1" t="s">
        <v>10</v>
      </c>
      <c r="E854" s="1" t="s">
        <v>36395</v>
      </c>
      <c r="F854" s="1" t="s">
        <v>3693</v>
      </c>
      <c r="G854" s="1" t="s">
        <v>35306</v>
      </c>
      <c r="H854" s="1" t="s">
        <v>37063</v>
      </c>
      <c r="I854" s="1"/>
      <c r="J854" s="1"/>
      <c r="K854" s="1"/>
      <c r="L854" s="1"/>
      <c r="M854" s="1"/>
      <c r="N854" s="1"/>
      <c r="O854" s="1"/>
      <c r="P854" s="1"/>
      <c r="Q854" s="17"/>
    </row>
    <row x14ac:dyDescent="0.25" r="855" customHeight="1" ht="18.75">
      <c r="A855" s="1"/>
      <c r="B855" s="1" t="s">
        <v>37555</v>
      </c>
      <c r="C855" s="1" t="s">
        <v>7</v>
      </c>
      <c r="D855" s="1" t="s">
        <v>10</v>
      </c>
      <c r="E855" s="1" t="s">
        <v>37034</v>
      </c>
      <c r="F855" s="1" t="s">
        <v>3693</v>
      </c>
      <c r="G855" s="1" t="s">
        <v>37564</v>
      </c>
      <c r="H855" s="1" t="s">
        <v>37037</v>
      </c>
      <c r="I855" s="1"/>
      <c r="J855" s="1"/>
      <c r="K855" s="1"/>
      <c r="L855" s="1"/>
      <c r="M855" s="1"/>
      <c r="N855" s="1"/>
      <c r="O855" s="1"/>
      <c r="P855" s="1"/>
      <c r="Q855" s="17"/>
    </row>
    <row x14ac:dyDescent="0.25" r="856" customHeight="1" ht="18.75">
      <c r="A856" s="1"/>
      <c r="B856" s="1" t="s">
        <v>37555</v>
      </c>
      <c r="C856" s="1" t="s">
        <v>7</v>
      </c>
      <c r="D856" s="1" t="s">
        <v>10</v>
      </c>
      <c r="E856" s="1" t="s">
        <v>37034</v>
      </c>
      <c r="F856" s="1" t="s">
        <v>3693</v>
      </c>
      <c r="G856" s="1" t="s">
        <v>37565</v>
      </c>
      <c r="H856" s="1" t="s">
        <v>37037</v>
      </c>
      <c r="I856" s="1"/>
      <c r="J856" s="1"/>
      <c r="K856" s="1"/>
      <c r="L856" s="1"/>
      <c r="M856" s="1"/>
      <c r="N856" s="1"/>
      <c r="O856" s="1"/>
      <c r="P856" s="1"/>
      <c r="Q856" s="17"/>
    </row>
    <row x14ac:dyDescent="0.25" r="857" customHeight="1" ht="18.75">
      <c r="A857" s="1"/>
      <c r="B857" s="1" t="s">
        <v>37555</v>
      </c>
      <c r="C857" s="1" t="s">
        <v>7</v>
      </c>
      <c r="D857" s="1" t="s">
        <v>10</v>
      </c>
      <c r="E857" s="1" t="s">
        <v>37034</v>
      </c>
      <c r="F857" s="1" t="s">
        <v>3693</v>
      </c>
      <c r="G857" s="1" t="s">
        <v>37566</v>
      </c>
      <c r="H857" s="1" t="s">
        <v>37037</v>
      </c>
      <c r="I857" s="1"/>
      <c r="J857" s="1"/>
      <c r="K857" s="1"/>
      <c r="L857" s="1"/>
      <c r="M857" s="1"/>
      <c r="N857" s="1"/>
      <c r="O857" s="1"/>
      <c r="P857" s="1"/>
      <c r="Q857" s="17"/>
    </row>
    <row x14ac:dyDescent="0.25" r="858" customHeight="1" ht="18.75">
      <c r="A858" s="1"/>
      <c r="B858" s="1" t="s">
        <v>37555</v>
      </c>
      <c r="C858" s="1" t="s">
        <v>7</v>
      </c>
      <c r="D858" s="1" t="s">
        <v>10</v>
      </c>
      <c r="E858" s="1" t="s">
        <v>37034</v>
      </c>
      <c r="F858" s="1" t="s">
        <v>3693</v>
      </c>
      <c r="G858" s="1" t="s">
        <v>37567</v>
      </c>
      <c r="H858" s="1" t="s">
        <v>3610</v>
      </c>
      <c r="I858" s="1"/>
      <c r="J858" s="1"/>
      <c r="K858" s="1"/>
      <c r="L858" s="1"/>
      <c r="M858" s="1"/>
      <c r="N858" s="1"/>
      <c r="O858" s="1"/>
      <c r="P858" s="1"/>
      <c r="Q858" s="17"/>
    </row>
    <row x14ac:dyDescent="0.25" r="859" customHeight="1" ht="18.75">
      <c r="A859" s="1"/>
      <c r="B859" s="1" t="s">
        <v>37568</v>
      </c>
      <c r="C859" s="1" t="s">
        <v>7</v>
      </c>
      <c r="D859" s="1" t="s">
        <v>10</v>
      </c>
      <c r="E859" s="1" t="s">
        <v>37034</v>
      </c>
      <c r="F859" s="1" t="s">
        <v>7833</v>
      </c>
      <c r="G859" s="1" t="s">
        <v>37569</v>
      </c>
      <c r="H859" s="1" t="s">
        <v>37057</v>
      </c>
      <c r="I859" s="1"/>
      <c r="J859" s="1"/>
      <c r="K859" s="1"/>
      <c r="L859" s="1"/>
      <c r="M859" s="1"/>
      <c r="N859" s="1"/>
      <c r="O859" s="1"/>
      <c r="P859" s="1"/>
      <c r="Q859" s="17"/>
    </row>
    <row x14ac:dyDescent="0.25" r="860" customHeight="1" ht="18.75">
      <c r="A860" s="1"/>
      <c r="B860" s="1" t="s">
        <v>37568</v>
      </c>
      <c r="C860" s="1" t="s">
        <v>7</v>
      </c>
      <c r="D860" s="1" t="s">
        <v>10</v>
      </c>
      <c r="E860" s="1" t="s">
        <v>37034</v>
      </c>
      <c r="F860" s="1" t="s">
        <v>7833</v>
      </c>
      <c r="G860" s="1" t="s">
        <v>37570</v>
      </c>
      <c r="H860" s="1" t="s">
        <v>37057</v>
      </c>
      <c r="I860" s="1"/>
      <c r="J860" s="1"/>
      <c r="K860" s="1"/>
      <c r="L860" s="1"/>
      <c r="M860" s="1"/>
      <c r="N860" s="1"/>
      <c r="O860" s="1"/>
      <c r="P860" s="1"/>
      <c r="Q860" s="17"/>
    </row>
    <row x14ac:dyDescent="0.25" r="861" customHeight="1" ht="18.75">
      <c r="A861" s="1"/>
      <c r="B861" s="1" t="s">
        <v>37571</v>
      </c>
      <c r="C861" s="1" t="s">
        <v>7</v>
      </c>
      <c r="D861" s="1" t="s">
        <v>10</v>
      </c>
      <c r="E861" s="1" t="s">
        <v>36395</v>
      </c>
      <c r="F861" s="1" t="s">
        <v>7833</v>
      </c>
      <c r="G861" s="1" t="s">
        <v>35232</v>
      </c>
      <c r="H861" s="1" t="s">
        <v>7847</v>
      </c>
      <c r="I861" s="1"/>
      <c r="J861" s="1"/>
      <c r="K861" s="1"/>
      <c r="L861" s="1"/>
      <c r="M861" s="1"/>
      <c r="N861" s="1"/>
      <c r="O861" s="1"/>
      <c r="P861" s="1"/>
      <c r="Q861" s="17"/>
    </row>
    <row x14ac:dyDescent="0.25" r="862" customHeight="1" ht="18.75">
      <c r="A862" s="1"/>
      <c r="B862" s="1" t="s">
        <v>37572</v>
      </c>
      <c r="C862" s="1" t="s">
        <v>7</v>
      </c>
      <c r="D862" s="1" t="s">
        <v>10</v>
      </c>
      <c r="E862" s="1" t="s">
        <v>37034</v>
      </c>
      <c r="F862" s="1" t="s">
        <v>7833</v>
      </c>
      <c r="G862" s="1" t="s">
        <v>37573</v>
      </c>
      <c r="H862" s="1" t="s">
        <v>37057</v>
      </c>
      <c r="I862" s="1"/>
      <c r="J862" s="1"/>
      <c r="K862" s="1"/>
      <c r="L862" s="1"/>
      <c r="M862" s="1"/>
      <c r="N862" s="1"/>
      <c r="O862" s="1"/>
      <c r="P862" s="1"/>
      <c r="Q862" s="17"/>
    </row>
    <row x14ac:dyDescent="0.25" r="863" customHeight="1" ht="18.75">
      <c r="A863" s="1"/>
      <c r="B863" s="1" t="s">
        <v>37572</v>
      </c>
      <c r="C863" s="1" t="s">
        <v>7</v>
      </c>
      <c r="D863" s="1" t="s">
        <v>10</v>
      </c>
      <c r="E863" s="1" t="s">
        <v>37034</v>
      </c>
      <c r="F863" s="1" t="s">
        <v>7833</v>
      </c>
      <c r="G863" s="1" t="s">
        <v>37574</v>
      </c>
      <c r="H863" s="1" t="s">
        <v>37057</v>
      </c>
      <c r="I863" s="1"/>
      <c r="J863" s="1"/>
      <c r="K863" s="1"/>
      <c r="L863" s="1"/>
      <c r="M863" s="1"/>
      <c r="N863" s="1"/>
      <c r="O863" s="1"/>
      <c r="P863" s="1"/>
      <c r="Q863" s="17"/>
    </row>
    <row x14ac:dyDescent="0.25" r="864" customHeight="1" ht="18.75">
      <c r="A864" s="1"/>
      <c r="B864" s="1" t="s">
        <v>37572</v>
      </c>
      <c r="C864" s="1" t="s">
        <v>7</v>
      </c>
      <c r="D864" s="1" t="s">
        <v>10</v>
      </c>
      <c r="E864" s="1" t="s">
        <v>37034</v>
      </c>
      <c r="F864" s="1" t="s">
        <v>7833</v>
      </c>
      <c r="G864" s="1" t="s">
        <v>37575</v>
      </c>
      <c r="H864" s="1" t="s">
        <v>37057</v>
      </c>
      <c r="I864" s="1"/>
      <c r="J864" s="1"/>
      <c r="K864" s="1"/>
      <c r="L864" s="1"/>
      <c r="M864" s="1"/>
      <c r="N864" s="1"/>
      <c r="O864" s="1"/>
      <c r="P864" s="1"/>
      <c r="Q864" s="17"/>
    </row>
    <row x14ac:dyDescent="0.25" r="865" customHeight="1" ht="18.75">
      <c r="A865" s="1"/>
      <c r="B865" s="1" t="s">
        <v>37572</v>
      </c>
      <c r="C865" s="1" t="s">
        <v>7</v>
      </c>
      <c r="D865" s="1" t="s">
        <v>10</v>
      </c>
      <c r="E865" s="1" t="s">
        <v>37034</v>
      </c>
      <c r="F865" s="1" t="s">
        <v>7833</v>
      </c>
      <c r="G865" s="1" t="s">
        <v>37576</v>
      </c>
      <c r="H865" s="1" t="s">
        <v>37577</v>
      </c>
      <c r="I865" s="1"/>
      <c r="J865" s="1"/>
      <c r="K865" s="1"/>
      <c r="L865" s="1"/>
      <c r="M865" s="1"/>
      <c r="N865" s="1"/>
      <c r="O865" s="1"/>
      <c r="P865" s="1"/>
      <c r="Q865" s="17"/>
    </row>
    <row x14ac:dyDescent="0.25" r="866" customHeight="1" ht="18.75">
      <c r="A866" s="1"/>
      <c r="B866" s="1" t="s">
        <v>37572</v>
      </c>
      <c r="C866" s="1" t="s">
        <v>7</v>
      </c>
      <c r="D866" s="1" t="s">
        <v>10</v>
      </c>
      <c r="E866" s="1" t="s">
        <v>37034</v>
      </c>
      <c r="F866" s="1" t="s">
        <v>7833</v>
      </c>
      <c r="G866" s="1" t="s">
        <v>37578</v>
      </c>
      <c r="H866" s="1" t="s">
        <v>37577</v>
      </c>
      <c r="I866" s="1"/>
      <c r="J866" s="1"/>
      <c r="K866" s="1"/>
      <c r="L866" s="1"/>
      <c r="M866" s="1"/>
      <c r="N866" s="1"/>
      <c r="O866" s="1"/>
      <c r="P866" s="1"/>
      <c r="Q866" s="17"/>
    </row>
    <row x14ac:dyDescent="0.25" r="867" customHeight="1" ht="18.75">
      <c r="A867" s="1"/>
      <c r="B867" s="1" t="s">
        <v>37572</v>
      </c>
      <c r="C867" s="1" t="s">
        <v>7</v>
      </c>
      <c r="D867" s="1" t="s">
        <v>10</v>
      </c>
      <c r="E867" s="1" t="s">
        <v>37034</v>
      </c>
      <c r="F867" s="1" t="s">
        <v>7833</v>
      </c>
      <c r="G867" s="1" t="s">
        <v>37579</v>
      </c>
      <c r="H867" s="1" t="s">
        <v>37057</v>
      </c>
      <c r="I867" s="1"/>
      <c r="J867" s="1"/>
      <c r="K867" s="1"/>
      <c r="L867" s="1"/>
      <c r="M867" s="1"/>
      <c r="N867" s="1"/>
      <c r="O867" s="1"/>
      <c r="P867" s="1"/>
      <c r="Q867" s="17"/>
    </row>
    <row x14ac:dyDescent="0.25" r="868" customHeight="1" ht="18.75">
      <c r="A868" s="1"/>
      <c r="B868" s="1" t="s">
        <v>37572</v>
      </c>
      <c r="C868" s="1" t="s">
        <v>7</v>
      </c>
      <c r="D868" s="1" t="s">
        <v>10</v>
      </c>
      <c r="E868" s="1" t="s">
        <v>37034</v>
      </c>
      <c r="F868" s="1" t="s">
        <v>7833</v>
      </c>
      <c r="G868" s="1" t="s">
        <v>37580</v>
      </c>
      <c r="H868" s="1" t="s">
        <v>37057</v>
      </c>
      <c r="I868" s="1"/>
      <c r="J868" s="1"/>
      <c r="K868" s="1"/>
      <c r="L868" s="1"/>
      <c r="M868" s="1"/>
      <c r="N868" s="1"/>
      <c r="O868" s="1"/>
      <c r="P868" s="1"/>
      <c r="Q868" s="17"/>
    </row>
    <row x14ac:dyDescent="0.25" r="869" customHeight="1" ht="18.75">
      <c r="A869" s="1"/>
      <c r="B869" s="1" t="s">
        <v>37572</v>
      </c>
      <c r="C869" s="1" t="s">
        <v>7</v>
      </c>
      <c r="D869" s="1" t="s">
        <v>10</v>
      </c>
      <c r="E869" s="1" t="s">
        <v>37034</v>
      </c>
      <c r="F869" s="1" t="s">
        <v>7833</v>
      </c>
      <c r="G869" s="1" t="s">
        <v>37581</v>
      </c>
      <c r="H869" s="1" t="s">
        <v>37057</v>
      </c>
      <c r="I869" s="1"/>
      <c r="J869" s="1"/>
      <c r="K869" s="1"/>
      <c r="L869" s="1"/>
      <c r="M869" s="1"/>
      <c r="N869" s="1"/>
      <c r="O869" s="1"/>
      <c r="P869" s="1"/>
      <c r="Q869" s="17"/>
    </row>
    <row x14ac:dyDescent="0.25" r="870" customHeight="1" ht="18.75">
      <c r="A870" s="1"/>
      <c r="B870" s="1" t="s">
        <v>37582</v>
      </c>
      <c r="C870" s="1" t="s">
        <v>7</v>
      </c>
      <c r="D870" s="1" t="s">
        <v>10</v>
      </c>
      <c r="E870" s="1" t="s">
        <v>37034</v>
      </c>
      <c r="F870" s="1" t="s">
        <v>3693</v>
      </c>
      <c r="G870" s="1" t="s">
        <v>37583</v>
      </c>
      <c r="H870" s="1" t="s">
        <v>3610</v>
      </c>
      <c r="I870" s="1"/>
      <c r="J870" s="1"/>
      <c r="K870" s="1"/>
      <c r="L870" s="1"/>
      <c r="M870" s="1"/>
      <c r="N870" s="1"/>
      <c r="O870" s="1"/>
      <c r="P870" s="1"/>
      <c r="Q870" s="17"/>
    </row>
    <row x14ac:dyDescent="0.25" r="871" customHeight="1" ht="18.75">
      <c r="A871" s="1"/>
      <c r="B871" s="1" t="s">
        <v>37584</v>
      </c>
      <c r="C871" s="1" t="s">
        <v>7</v>
      </c>
      <c r="D871" s="1" t="s">
        <v>10</v>
      </c>
      <c r="E871" s="1" t="s">
        <v>37034</v>
      </c>
      <c r="F871" s="1" t="s">
        <v>3693</v>
      </c>
      <c r="G871" s="1" t="s">
        <v>37585</v>
      </c>
      <c r="H871" s="1" t="s">
        <v>7847</v>
      </c>
      <c r="I871" s="1"/>
      <c r="J871" s="1"/>
      <c r="K871" s="1"/>
      <c r="L871" s="1"/>
      <c r="M871" s="1"/>
      <c r="N871" s="1"/>
      <c r="O871" s="1"/>
      <c r="P871" s="1"/>
      <c r="Q871" s="17"/>
    </row>
    <row x14ac:dyDescent="0.25" r="872" customHeight="1" ht="18.75">
      <c r="A872" s="1"/>
      <c r="B872" s="1" t="s">
        <v>37584</v>
      </c>
      <c r="C872" s="1" t="s">
        <v>7</v>
      </c>
      <c r="D872" s="1" t="s">
        <v>10</v>
      </c>
      <c r="E872" s="1" t="s">
        <v>37034</v>
      </c>
      <c r="F872" s="1" t="s">
        <v>3693</v>
      </c>
      <c r="G872" s="1" t="s">
        <v>37586</v>
      </c>
      <c r="H872" s="1" t="s">
        <v>3695</v>
      </c>
      <c r="I872" s="1"/>
      <c r="J872" s="1"/>
      <c r="K872" s="1"/>
      <c r="L872" s="1"/>
      <c r="M872" s="1"/>
      <c r="N872" s="1"/>
      <c r="O872" s="1"/>
      <c r="P872" s="1"/>
      <c r="Q872" s="17"/>
    </row>
    <row x14ac:dyDescent="0.25" r="873" customHeight="1" ht="18.75">
      <c r="A873" s="1"/>
      <c r="B873" s="1" t="s">
        <v>37584</v>
      </c>
      <c r="C873" s="1" t="s">
        <v>7</v>
      </c>
      <c r="D873" s="1" t="s">
        <v>10</v>
      </c>
      <c r="E873" s="1" t="s">
        <v>37034</v>
      </c>
      <c r="F873" s="1" t="s">
        <v>3693</v>
      </c>
      <c r="G873" s="1" t="s">
        <v>37587</v>
      </c>
      <c r="H873" s="1" t="s">
        <v>3695</v>
      </c>
      <c r="I873" s="1"/>
      <c r="J873" s="1"/>
      <c r="K873" s="1"/>
      <c r="L873" s="1"/>
      <c r="M873" s="1"/>
      <c r="N873" s="1"/>
      <c r="O873" s="1"/>
      <c r="P873" s="1"/>
      <c r="Q873" s="17"/>
    </row>
    <row x14ac:dyDescent="0.25" r="874" customHeight="1" ht="18.75">
      <c r="A874" s="1"/>
      <c r="B874" s="1" t="s">
        <v>37584</v>
      </c>
      <c r="C874" s="1" t="s">
        <v>7</v>
      </c>
      <c r="D874" s="1" t="s">
        <v>10</v>
      </c>
      <c r="E874" s="1" t="s">
        <v>37034</v>
      </c>
      <c r="F874" s="1" t="s">
        <v>3693</v>
      </c>
      <c r="G874" s="1" t="s">
        <v>37588</v>
      </c>
      <c r="H874" s="1" t="s">
        <v>3695</v>
      </c>
      <c r="I874" s="1"/>
      <c r="J874" s="1"/>
      <c r="K874" s="1"/>
      <c r="L874" s="1"/>
      <c r="M874" s="1"/>
      <c r="N874" s="1"/>
      <c r="O874" s="1"/>
      <c r="P874" s="1"/>
      <c r="Q874" s="17"/>
    </row>
    <row x14ac:dyDescent="0.25" r="875" customHeight="1" ht="18.75">
      <c r="A875" s="1"/>
      <c r="B875" s="1" t="s">
        <v>37584</v>
      </c>
      <c r="C875" s="1" t="s">
        <v>7</v>
      </c>
      <c r="D875" s="1" t="s">
        <v>10</v>
      </c>
      <c r="E875" s="1" t="s">
        <v>37034</v>
      </c>
      <c r="F875" s="1" t="s">
        <v>3693</v>
      </c>
      <c r="G875" s="1" t="s">
        <v>37589</v>
      </c>
      <c r="H875" s="1" t="s">
        <v>3695</v>
      </c>
      <c r="I875" s="1"/>
      <c r="J875" s="1"/>
      <c r="K875" s="1"/>
      <c r="L875" s="1"/>
      <c r="M875" s="1"/>
      <c r="N875" s="1"/>
      <c r="O875" s="1"/>
      <c r="P875" s="1"/>
      <c r="Q875" s="17"/>
    </row>
    <row x14ac:dyDescent="0.25" r="876" customHeight="1" ht="18.75">
      <c r="A876" s="1"/>
      <c r="B876" s="1" t="s">
        <v>37584</v>
      </c>
      <c r="C876" s="1" t="s">
        <v>7</v>
      </c>
      <c r="D876" s="1" t="s">
        <v>10</v>
      </c>
      <c r="E876" s="1" t="s">
        <v>37034</v>
      </c>
      <c r="F876" s="1" t="s">
        <v>3693</v>
      </c>
      <c r="G876" s="1" t="s">
        <v>37590</v>
      </c>
      <c r="H876" s="1" t="s">
        <v>3695</v>
      </c>
      <c r="I876" s="1"/>
      <c r="J876" s="1"/>
      <c r="K876" s="1"/>
      <c r="L876" s="1"/>
      <c r="M876" s="1"/>
      <c r="N876" s="1"/>
      <c r="O876" s="1"/>
      <c r="P876" s="1"/>
      <c r="Q876" s="17"/>
    </row>
    <row x14ac:dyDescent="0.25" r="877" customHeight="1" ht="18.75">
      <c r="A877" s="1"/>
      <c r="B877" s="1" t="s">
        <v>37584</v>
      </c>
      <c r="C877" s="1" t="s">
        <v>7</v>
      </c>
      <c r="D877" s="1" t="s">
        <v>10</v>
      </c>
      <c r="E877" s="1" t="s">
        <v>37034</v>
      </c>
      <c r="F877" s="1" t="s">
        <v>3693</v>
      </c>
      <c r="G877" s="1" t="s">
        <v>37591</v>
      </c>
      <c r="H877" s="1" t="s">
        <v>3695</v>
      </c>
      <c r="I877" s="1"/>
      <c r="J877" s="1"/>
      <c r="K877" s="1"/>
      <c r="L877" s="1"/>
      <c r="M877" s="1"/>
      <c r="N877" s="1"/>
      <c r="O877" s="1"/>
      <c r="P877" s="1"/>
      <c r="Q877" s="17"/>
    </row>
    <row x14ac:dyDescent="0.25" r="878" customHeight="1" ht="18.75">
      <c r="A878" s="1"/>
      <c r="B878" s="1" t="s">
        <v>37584</v>
      </c>
      <c r="C878" s="1" t="s">
        <v>7</v>
      </c>
      <c r="D878" s="1" t="s">
        <v>10</v>
      </c>
      <c r="E878" s="1" t="s">
        <v>37034</v>
      </c>
      <c r="F878" s="1" t="s">
        <v>3693</v>
      </c>
      <c r="G878" s="1" t="s">
        <v>37592</v>
      </c>
      <c r="H878" s="1" t="s">
        <v>3695</v>
      </c>
      <c r="I878" s="1"/>
      <c r="J878" s="1"/>
      <c r="K878" s="1"/>
      <c r="L878" s="1"/>
      <c r="M878" s="1"/>
      <c r="N878" s="1"/>
      <c r="O878" s="1"/>
      <c r="P878" s="1"/>
      <c r="Q878" s="17"/>
    </row>
    <row x14ac:dyDescent="0.25" r="879" customHeight="1" ht="18.75">
      <c r="A879" s="1"/>
      <c r="B879" s="1" t="s">
        <v>37584</v>
      </c>
      <c r="C879" s="1" t="s">
        <v>7</v>
      </c>
      <c r="D879" s="1" t="s">
        <v>10</v>
      </c>
      <c r="E879" s="1" t="s">
        <v>37034</v>
      </c>
      <c r="F879" s="1" t="s">
        <v>3693</v>
      </c>
      <c r="G879" s="1" t="s">
        <v>37593</v>
      </c>
      <c r="H879" s="1" t="s">
        <v>3695</v>
      </c>
      <c r="I879" s="1"/>
      <c r="J879" s="1"/>
      <c r="K879" s="1"/>
      <c r="L879" s="1"/>
      <c r="M879" s="1"/>
      <c r="N879" s="1"/>
      <c r="O879" s="1"/>
      <c r="P879" s="1"/>
      <c r="Q879" s="17"/>
    </row>
    <row x14ac:dyDescent="0.25" r="880" customHeight="1" ht="18.75">
      <c r="A880" s="1"/>
      <c r="B880" s="1" t="s">
        <v>37584</v>
      </c>
      <c r="C880" s="1" t="s">
        <v>7</v>
      </c>
      <c r="D880" s="1" t="s">
        <v>10</v>
      </c>
      <c r="E880" s="1" t="s">
        <v>37034</v>
      </c>
      <c r="F880" s="1" t="s">
        <v>3693</v>
      </c>
      <c r="G880" s="1" t="s">
        <v>37594</v>
      </c>
      <c r="H880" s="1" t="s">
        <v>3695</v>
      </c>
      <c r="I880" s="1"/>
      <c r="J880" s="1"/>
      <c r="K880" s="1"/>
      <c r="L880" s="1"/>
      <c r="M880" s="1"/>
      <c r="N880" s="1"/>
      <c r="O880" s="1"/>
      <c r="P880" s="1"/>
      <c r="Q880" s="17"/>
    </row>
    <row x14ac:dyDescent="0.25" r="881" customHeight="1" ht="18.75">
      <c r="A881" s="1"/>
      <c r="B881" s="1" t="s">
        <v>37595</v>
      </c>
      <c r="C881" s="1" t="s">
        <v>7</v>
      </c>
      <c r="D881" s="1" t="s">
        <v>10</v>
      </c>
      <c r="E881" s="1" t="s">
        <v>37034</v>
      </c>
      <c r="F881" s="1" t="s">
        <v>3693</v>
      </c>
      <c r="G881" s="1" t="s">
        <v>37596</v>
      </c>
      <c r="H881" s="1" t="s">
        <v>7847</v>
      </c>
      <c r="I881" s="1"/>
      <c r="J881" s="1"/>
      <c r="K881" s="1"/>
      <c r="L881" s="1"/>
      <c r="M881" s="1"/>
      <c r="N881" s="1"/>
      <c r="O881" s="1"/>
      <c r="P881" s="1"/>
      <c r="Q881" s="17"/>
    </row>
    <row x14ac:dyDescent="0.25" r="882" customHeight="1" ht="18.75">
      <c r="A882" s="1"/>
      <c r="B882" s="1" t="s">
        <v>37595</v>
      </c>
      <c r="C882" s="1" t="s">
        <v>7</v>
      </c>
      <c r="D882" s="1" t="s">
        <v>10</v>
      </c>
      <c r="E882" s="1" t="s">
        <v>37034</v>
      </c>
      <c r="F882" s="1" t="s">
        <v>3693</v>
      </c>
      <c r="G882" s="1" t="s">
        <v>37597</v>
      </c>
      <c r="H882" s="1" t="s">
        <v>7847</v>
      </c>
      <c r="I882" s="1"/>
      <c r="J882" s="1"/>
      <c r="K882" s="1"/>
      <c r="L882" s="1"/>
      <c r="M882" s="1"/>
      <c r="N882" s="1"/>
      <c r="O882" s="1"/>
      <c r="P882" s="1"/>
      <c r="Q882" s="17"/>
    </row>
    <row x14ac:dyDescent="0.25" r="883" customHeight="1" ht="18.75">
      <c r="A883" s="1"/>
      <c r="B883" s="1" t="s">
        <v>37595</v>
      </c>
      <c r="C883" s="1" t="s">
        <v>7</v>
      </c>
      <c r="D883" s="1" t="s">
        <v>10</v>
      </c>
      <c r="E883" s="1" t="s">
        <v>37034</v>
      </c>
      <c r="F883" s="1" t="s">
        <v>3693</v>
      </c>
      <c r="G883" s="1" t="s">
        <v>37598</v>
      </c>
      <c r="H883" s="1" t="s">
        <v>7847</v>
      </c>
      <c r="I883" s="1"/>
      <c r="J883" s="1"/>
      <c r="K883" s="1"/>
      <c r="L883" s="1"/>
      <c r="M883" s="1"/>
      <c r="N883" s="1"/>
      <c r="O883" s="1"/>
      <c r="P883" s="1"/>
      <c r="Q883" s="17"/>
    </row>
    <row x14ac:dyDescent="0.25" r="884" customHeight="1" ht="18.75">
      <c r="A884" s="1"/>
      <c r="B884" s="1" t="s">
        <v>37595</v>
      </c>
      <c r="C884" s="1" t="s">
        <v>7</v>
      </c>
      <c r="D884" s="1" t="s">
        <v>10</v>
      </c>
      <c r="E884" s="1" t="s">
        <v>37034</v>
      </c>
      <c r="F884" s="1" t="s">
        <v>3693</v>
      </c>
      <c r="G884" s="1" t="s">
        <v>37599</v>
      </c>
      <c r="H884" s="1" t="s">
        <v>37102</v>
      </c>
      <c r="I884" s="1"/>
      <c r="J884" s="1"/>
      <c r="K884" s="1"/>
      <c r="L884" s="1"/>
      <c r="M884" s="1"/>
      <c r="N884" s="1"/>
      <c r="O884" s="1"/>
      <c r="P884" s="1"/>
      <c r="Q884" s="17"/>
    </row>
    <row x14ac:dyDescent="0.25" r="885" customHeight="1" ht="18.75">
      <c r="A885" s="1"/>
      <c r="B885" s="1" t="s">
        <v>37595</v>
      </c>
      <c r="C885" s="1" t="s">
        <v>7</v>
      </c>
      <c r="D885" s="1" t="s">
        <v>10</v>
      </c>
      <c r="E885" s="1" t="s">
        <v>37034</v>
      </c>
      <c r="F885" s="1" t="s">
        <v>3693</v>
      </c>
      <c r="G885" s="1" t="s">
        <v>37600</v>
      </c>
      <c r="H885" s="1" t="s">
        <v>37102</v>
      </c>
      <c r="I885" s="1"/>
      <c r="J885" s="1"/>
      <c r="K885" s="1"/>
      <c r="L885" s="1"/>
      <c r="M885" s="1"/>
      <c r="N885" s="1"/>
      <c r="O885" s="1"/>
      <c r="P885" s="1"/>
      <c r="Q885" s="17"/>
    </row>
    <row x14ac:dyDescent="0.25" r="886" customHeight="1" ht="18.75">
      <c r="A886" s="1"/>
      <c r="B886" s="1" t="s">
        <v>37595</v>
      </c>
      <c r="C886" s="1" t="s">
        <v>7</v>
      </c>
      <c r="D886" s="1" t="s">
        <v>10</v>
      </c>
      <c r="E886" s="1" t="s">
        <v>37034</v>
      </c>
      <c r="F886" s="1" t="s">
        <v>3693</v>
      </c>
      <c r="G886" s="1" t="s">
        <v>37601</v>
      </c>
      <c r="H886" s="1" t="s">
        <v>37102</v>
      </c>
      <c r="I886" s="1"/>
      <c r="J886" s="1"/>
      <c r="K886" s="1"/>
      <c r="L886" s="1"/>
      <c r="M886" s="1"/>
      <c r="N886" s="1"/>
      <c r="O886" s="1"/>
      <c r="P886" s="1"/>
      <c r="Q886" s="17"/>
    </row>
    <row x14ac:dyDescent="0.25" r="887" customHeight="1" ht="18.75">
      <c r="A887" s="1"/>
      <c r="B887" s="1" t="s">
        <v>37595</v>
      </c>
      <c r="C887" s="1" t="s">
        <v>7</v>
      </c>
      <c r="D887" s="1" t="s">
        <v>10</v>
      </c>
      <c r="E887" s="1" t="s">
        <v>37034</v>
      </c>
      <c r="F887" s="1" t="s">
        <v>3693</v>
      </c>
      <c r="G887" s="1" t="s">
        <v>37602</v>
      </c>
      <c r="H887" s="1" t="s">
        <v>3695</v>
      </c>
      <c r="I887" s="1"/>
      <c r="J887" s="1"/>
      <c r="K887" s="1"/>
      <c r="L887" s="1"/>
      <c r="M887" s="1"/>
      <c r="N887" s="1"/>
      <c r="O887" s="1"/>
      <c r="P887" s="1"/>
      <c r="Q887" s="17"/>
    </row>
    <row x14ac:dyDescent="0.25" r="888" customHeight="1" ht="18.75">
      <c r="A888" s="1"/>
      <c r="B888" s="1" t="s">
        <v>37595</v>
      </c>
      <c r="C888" s="1" t="s">
        <v>7</v>
      </c>
      <c r="D888" s="1" t="s">
        <v>10</v>
      </c>
      <c r="E888" s="1" t="s">
        <v>37034</v>
      </c>
      <c r="F888" s="1" t="s">
        <v>3693</v>
      </c>
      <c r="G888" s="1" t="s">
        <v>37603</v>
      </c>
      <c r="H888" s="1" t="s">
        <v>3695</v>
      </c>
      <c r="I888" s="1"/>
      <c r="J888" s="1"/>
      <c r="K888" s="1"/>
      <c r="L888" s="1"/>
      <c r="M888" s="1"/>
      <c r="N888" s="1"/>
      <c r="O888" s="1"/>
      <c r="P888" s="1"/>
      <c r="Q888" s="17"/>
    </row>
    <row x14ac:dyDescent="0.25" r="889" customHeight="1" ht="18.75">
      <c r="A889" s="1"/>
      <c r="B889" s="1" t="s">
        <v>37595</v>
      </c>
      <c r="C889" s="1" t="s">
        <v>7</v>
      </c>
      <c r="D889" s="1" t="s">
        <v>10</v>
      </c>
      <c r="E889" s="1" t="s">
        <v>37034</v>
      </c>
      <c r="F889" s="1" t="s">
        <v>3693</v>
      </c>
      <c r="G889" s="1" t="s">
        <v>37604</v>
      </c>
      <c r="H889" s="1" t="s">
        <v>3695</v>
      </c>
      <c r="I889" s="1"/>
      <c r="J889" s="1"/>
      <c r="K889" s="1"/>
      <c r="L889" s="1"/>
      <c r="M889" s="1"/>
      <c r="N889" s="1"/>
      <c r="O889" s="1"/>
      <c r="P889" s="1"/>
      <c r="Q889" s="17"/>
    </row>
    <row x14ac:dyDescent="0.25" r="890" customHeight="1" ht="18.75">
      <c r="A890" s="1"/>
      <c r="B890" s="1" t="s">
        <v>37595</v>
      </c>
      <c r="C890" s="1" t="s">
        <v>7</v>
      </c>
      <c r="D890" s="1" t="s">
        <v>10</v>
      </c>
      <c r="E890" s="1" t="s">
        <v>37034</v>
      </c>
      <c r="F890" s="1" t="s">
        <v>3693</v>
      </c>
      <c r="G890" s="1" t="s">
        <v>37605</v>
      </c>
      <c r="H890" s="1" t="s">
        <v>3695</v>
      </c>
      <c r="I890" s="1"/>
      <c r="J890" s="1"/>
      <c r="K890" s="1"/>
      <c r="L890" s="1"/>
      <c r="M890" s="1"/>
      <c r="N890" s="1"/>
      <c r="O890" s="1"/>
      <c r="P890" s="1"/>
      <c r="Q890" s="17"/>
    </row>
    <row x14ac:dyDescent="0.25" r="891" customHeight="1" ht="18.75">
      <c r="A891" s="1"/>
      <c r="B891" s="1" t="s">
        <v>37595</v>
      </c>
      <c r="C891" s="1" t="s">
        <v>7</v>
      </c>
      <c r="D891" s="1" t="s">
        <v>10</v>
      </c>
      <c r="E891" s="1" t="s">
        <v>37034</v>
      </c>
      <c r="F891" s="1" t="s">
        <v>3693</v>
      </c>
      <c r="G891" s="1" t="s">
        <v>37606</v>
      </c>
      <c r="H891" s="1" t="s">
        <v>3695</v>
      </c>
      <c r="I891" s="1"/>
      <c r="J891" s="1"/>
      <c r="K891" s="1"/>
      <c r="L891" s="1"/>
      <c r="M891" s="1"/>
      <c r="N891" s="1"/>
      <c r="O891" s="1"/>
      <c r="P891" s="1"/>
      <c r="Q891" s="17"/>
    </row>
    <row x14ac:dyDescent="0.25" r="892" customHeight="1" ht="18.75">
      <c r="A892" s="1"/>
      <c r="B892" s="1" t="s">
        <v>37595</v>
      </c>
      <c r="C892" s="1" t="s">
        <v>7</v>
      </c>
      <c r="D892" s="1" t="s">
        <v>10</v>
      </c>
      <c r="E892" s="1" t="s">
        <v>37034</v>
      </c>
      <c r="F892" s="1" t="s">
        <v>3693</v>
      </c>
      <c r="G892" s="1" t="s">
        <v>37607</v>
      </c>
      <c r="H892" s="1" t="s">
        <v>3695</v>
      </c>
      <c r="I892" s="1"/>
      <c r="J892" s="1"/>
      <c r="K892" s="1"/>
      <c r="L892" s="1"/>
      <c r="M892" s="1"/>
      <c r="N892" s="1"/>
      <c r="O892" s="1"/>
      <c r="P892" s="1"/>
      <c r="Q892" s="17"/>
    </row>
    <row x14ac:dyDescent="0.25" r="893" customHeight="1" ht="18.75">
      <c r="A893" s="1"/>
      <c r="B893" s="1" t="s">
        <v>37608</v>
      </c>
      <c r="C893" s="1" t="s">
        <v>7</v>
      </c>
      <c r="D893" s="1" t="s">
        <v>10</v>
      </c>
      <c r="E893" s="1" t="s">
        <v>37034</v>
      </c>
      <c r="F893" s="1" t="s">
        <v>3693</v>
      </c>
      <c r="G893" s="1" t="s">
        <v>37609</v>
      </c>
      <c r="H893" s="1" t="s">
        <v>7891</v>
      </c>
      <c r="I893" s="1"/>
      <c r="J893" s="1"/>
      <c r="K893" s="1"/>
      <c r="L893" s="1"/>
      <c r="M893" s="1"/>
      <c r="N893" s="1"/>
      <c r="O893" s="1"/>
      <c r="P893" s="1"/>
      <c r="Q893" s="17"/>
    </row>
    <row x14ac:dyDescent="0.25" r="894" customHeight="1" ht="18.75">
      <c r="A894" s="1"/>
      <c r="B894" s="1" t="s">
        <v>37608</v>
      </c>
      <c r="C894" s="1" t="s">
        <v>7</v>
      </c>
      <c r="D894" s="1" t="s">
        <v>10</v>
      </c>
      <c r="E894" s="1" t="s">
        <v>37034</v>
      </c>
      <c r="F894" s="1" t="s">
        <v>3693</v>
      </c>
      <c r="G894" s="1" t="s">
        <v>37610</v>
      </c>
      <c r="H894" s="1" t="s">
        <v>7891</v>
      </c>
      <c r="I894" s="1"/>
      <c r="J894" s="1"/>
      <c r="K894" s="1"/>
      <c r="L894" s="1"/>
      <c r="M894" s="1"/>
      <c r="N894" s="1"/>
      <c r="O894" s="1"/>
      <c r="P894" s="1"/>
      <c r="Q894" s="17"/>
    </row>
    <row x14ac:dyDescent="0.25" r="895" customHeight="1" ht="18.75">
      <c r="A895" s="1"/>
      <c r="B895" s="1" t="s">
        <v>37608</v>
      </c>
      <c r="C895" s="1" t="s">
        <v>7</v>
      </c>
      <c r="D895" s="1" t="s">
        <v>10</v>
      </c>
      <c r="E895" s="1" t="s">
        <v>37034</v>
      </c>
      <c r="F895" s="1" t="s">
        <v>3693</v>
      </c>
      <c r="G895" s="1" t="s">
        <v>37611</v>
      </c>
      <c r="H895" s="1" t="s">
        <v>7891</v>
      </c>
      <c r="I895" s="1"/>
      <c r="J895" s="1"/>
      <c r="K895" s="1"/>
      <c r="L895" s="1"/>
      <c r="M895" s="1"/>
      <c r="N895" s="1"/>
      <c r="O895" s="1"/>
      <c r="P895" s="1"/>
      <c r="Q895" s="17"/>
    </row>
    <row x14ac:dyDescent="0.25" r="896" customHeight="1" ht="18.75">
      <c r="A896" s="1"/>
      <c r="B896" s="1" t="s">
        <v>37608</v>
      </c>
      <c r="C896" s="1" t="s">
        <v>7</v>
      </c>
      <c r="D896" s="1" t="s">
        <v>10</v>
      </c>
      <c r="E896" s="1" t="s">
        <v>37034</v>
      </c>
      <c r="F896" s="1" t="s">
        <v>3693</v>
      </c>
      <c r="G896" s="1" t="s">
        <v>37612</v>
      </c>
      <c r="H896" s="1" t="s">
        <v>3610</v>
      </c>
      <c r="I896" s="1"/>
      <c r="J896" s="1"/>
      <c r="K896" s="1"/>
      <c r="L896" s="1"/>
      <c r="M896" s="1"/>
      <c r="N896" s="1"/>
      <c r="O896" s="1"/>
      <c r="P896" s="1"/>
      <c r="Q896" s="17"/>
    </row>
    <row x14ac:dyDescent="0.25" r="897" customHeight="1" ht="18.75">
      <c r="A897" s="1"/>
      <c r="B897" s="1" t="s">
        <v>37608</v>
      </c>
      <c r="C897" s="1" t="s">
        <v>7</v>
      </c>
      <c r="D897" s="1" t="s">
        <v>10</v>
      </c>
      <c r="E897" s="1" t="s">
        <v>37034</v>
      </c>
      <c r="F897" s="1" t="s">
        <v>3693</v>
      </c>
      <c r="G897" s="1" t="s">
        <v>37613</v>
      </c>
      <c r="H897" s="1" t="s">
        <v>3610</v>
      </c>
      <c r="I897" s="1"/>
      <c r="J897" s="1"/>
      <c r="K897" s="1"/>
      <c r="L897" s="1"/>
      <c r="M897" s="1"/>
      <c r="N897" s="1"/>
      <c r="O897" s="1"/>
      <c r="P897" s="1"/>
      <c r="Q897" s="17"/>
    </row>
    <row x14ac:dyDescent="0.25" r="898" customHeight="1" ht="18.75">
      <c r="A898" s="1"/>
      <c r="B898" s="1" t="s">
        <v>37608</v>
      </c>
      <c r="C898" s="1" t="s">
        <v>7</v>
      </c>
      <c r="D898" s="1" t="s">
        <v>10</v>
      </c>
      <c r="E898" s="1" t="s">
        <v>37034</v>
      </c>
      <c r="F898" s="1" t="s">
        <v>3693</v>
      </c>
      <c r="G898" s="1" t="s">
        <v>37614</v>
      </c>
      <c r="H898" s="1" t="s">
        <v>3610</v>
      </c>
      <c r="I898" s="1"/>
      <c r="J898" s="1"/>
      <c r="K898" s="1"/>
      <c r="L898" s="1"/>
      <c r="M898" s="1"/>
      <c r="N898" s="1"/>
      <c r="O898" s="1"/>
      <c r="P898" s="1"/>
      <c r="Q898" s="17"/>
    </row>
    <row x14ac:dyDescent="0.25" r="899" customHeight="1" ht="18.75">
      <c r="A899" s="1"/>
      <c r="B899" s="1" t="s">
        <v>37608</v>
      </c>
      <c r="C899" s="1" t="s">
        <v>7</v>
      </c>
      <c r="D899" s="1" t="s">
        <v>10</v>
      </c>
      <c r="E899" s="1" t="s">
        <v>37034</v>
      </c>
      <c r="F899" s="1" t="s">
        <v>3693</v>
      </c>
      <c r="G899" s="1" t="s">
        <v>37615</v>
      </c>
      <c r="H899" s="1" t="s">
        <v>3610</v>
      </c>
      <c r="I899" s="1"/>
      <c r="J899" s="1"/>
      <c r="K899" s="1"/>
      <c r="L899" s="1"/>
      <c r="M899" s="1"/>
      <c r="N899" s="1"/>
      <c r="O899" s="1"/>
      <c r="P899" s="1"/>
      <c r="Q899" s="17"/>
    </row>
    <row x14ac:dyDescent="0.25" r="900" customHeight="1" ht="18.75">
      <c r="A900" s="1"/>
      <c r="B900" s="1" t="s">
        <v>37608</v>
      </c>
      <c r="C900" s="1" t="s">
        <v>7</v>
      </c>
      <c r="D900" s="1" t="s">
        <v>10</v>
      </c>
      <c r="E900" s="1" t="s">
        <v>37034</v>
      </c>
      <c r="F900" s="1" t="s">
        <v>3693</v>
      </c>
      <c r="G900" s="1" t="s">
        <v>37616</v>
      </c>
      <c r="H900" s="1" t="s">
        <v>3610</v>
      </c>
      <c r="I900" s="1"/>
      <c r="J900" s="1"/>
      <c r="K900" s="1"/>
      <c r="L900" s="1"/>
      <c r="M900" s="1"/>
      <c r="N900" s="1"/>
      <c r="O900" s="1"/>
      <c r="P900" s="1"/>
      <c r="Q900" s="17"/>
    </row>
    <row x14ac:dyDescent="0.25" r="901" customHeight="1" ht="18.75">
      <c r="A901" s="1"/>
      <c r="B901" s="1" t="s">
        <v>37608</v>
      </c>
      <c r="C901" s="1" t="s">
        <v>7</v>
      </c>
      <c r="D901" s="1" t="s">
        <v>10</v>
      </c>
      <c r="E901" s="1" t="s">
        <v>37034</v>
      </c>
      <c r="F901" s="1" t="s">
        <v>3693</v>
      </c>
      <c r="G901" s="1" t="s">
        <v>37617</v>
      </c>
      <c r="H901" s="1" t="s">
        <v>37057</v>
      </c>
      <c r="I901" s="1"/>
      <c r="J901" s="1"/>
      <c r="K901" s="1"/>
      <c r="L901" s="1"/>
      <c r="M901" s="1"/>
      <c r="N901" s="1"/>
      <c r="O901" s="1"/>
      <c r="P901" s="1"/>
      <c r="Q901" s="17"/>
    </row>
    <row x14ac:dyDescent="0.25" r="902" customHeight="1" ht="18.75">
      <c r="A902" s="1"/>
      <c r="B902" s="1" t="s">
        <v>37608</v>
      </c>
      <c r="C902" s="1" t="s">
        <v>7</v>
      </c>
      <c r="D902" s="1" t="s">
        <v>10</v>
      </c>
      <c r="E902" s="1" t="s">
        <v>37034</v>
      </c>
      <c r="F902" s="1" t="s">
        <v>3693</v>
      </c>
      <c r="G902" s="1" t="s">
        <v>37618</v>
      </c>
      <c r="H902" s="1" t="s">
        <v>3695</v>
      </c>
      <c r="I902" s="1"/>
      <c r="J902" s="1"/>
      <c r="K902" s="1"/>
      <c r="L902" s="1"/>
      <c r="M902" s="1"/>
      <c r="N902" s="1"/>
      <c r="O902" s="1"/>
      <c r="P902" s="1"/>
      <c r="Q902" s="17"/>
    </row>
    <row x14ac:dyDescent="0.25" r="903" customHeight="1" ht="18.75">
      <c r="A903" s="1"/>
      <c r="B903" s="1" t="s">
        <v>37608</v>
      </c>
      <c r="C903" s="1" t="s">
        <v>7</v>
      </c>
      <c r="D903" s="1" t="s">
        <v>10</v>
      </c>
      <c r="E903" s="1" t="s">
        <v>37034</v>
      </c>
      <c r="F903" s="1" t="s">
        <v>3693</v>
      </c>
      <c r="G903" s="1" t="s">
        <v>37619</v>
      </c>
      <c r="H903" s="1" t="s">
        <v>3695</v>
      </c>
      <c r="I903" s="1"/>
      <c r="J903" s="1"/>
      <c r="K903" s="1"/>
      <c r="L903" s="1"/>
      <c r="M903" s="1"/>
      <c r="N903" s="1"/>
      <c r="O903" s="1"/>
      <c r="P903" s="1"/>
      <c r="Q903" s="17"/>
    </row>
    <row x14ac:dyDescent="0.25" r="904" customHeight="1" ht="18.75">
      <c r="A904" s="1"/>
      <c r="B904" s="1" t="s">
        <v>37608</v>
      </c>
      <c r="C904" s="1" t="s">
        <v>7</v>
      </c>
      <c r="D904" s="1" t="s">
        <v>10</v>
      </c>
      <c r="E904" s="1" t="s">
        <v>37034</v>
      </c>
      <c r="F904" s="1" t="s">
        <v>3693</v>
      </c>
      <c r="G904" s="1" t="s">
        <v>37620</v>
      </c>
      <c r="H904" s="1" t="s">
        <v>3695</v>
      </c>
      <c r="I904" s="1"/>
      <c r="J904" s="1"/>
      <c r="K904" s="1"/>
      <c r="L904" s="1"/>
      <c r="M904" s="1"/>
      <c r="N904" s="1"/>
      <c r="O904" s="1"/>
      <c r="P904" s="1"/>
      <c r="Q904" s="17"/>
    </row>
    <row x14ac:dyDescent="0.25" r="905" customHeight="1" ht="18.75">
      <c r="A905" s="1"/>
      <c r="B905" s="1" t="s">
        <v>37582</v>
      </c>
      <c r="C905" s="1" t="s">
        <v>7</v>
      </c>
      <c r="D905" s="1" t="s">
        <v>10</v>
      </c>
      <c r="E905" s="1" t="s">
        <v>37034</v>
      </c>
      <c r="F905" s="1" t="s">
        <v>3693</v>
      </c>
      <c r="G905" s="1" t="s">
        <v>37621</v>
      </c>
      <c r="H905" s="1" t="s">
        <v>3610</v>
      </c>
      <c r="I905" s="1"/>
      <c r="J905" s="1"/>
      <c r="K905" s="1"/>
      <c r="L905" s="1"/>
      <c r="M905" s="1"/>
      <c r="N905" s="1"/>
      <c r="O905" s="1"/>
      <c r="P905" s="1"/>
      <c r="Q905" s="17"/>
    </row>
    <row x14ac:dyDescent="0.25" r="906" customHeight="1" ht="18.75">
      <c r="A906" s="1"/>
      <c r="B906" s="1" t="s">
        <v>37582</v>
      </c>
      <c r="C906" s="1" t="s">
        <v>7</v>
      </c>
      <c r="D906" s="1" t="s">
        <v>10</v>
      </c>
      <c r="E906" s="1" t="s">
        <v>37034</v>
      </c>
      <c r="F906" s="1" t="s">
        <v>3693</v>
      </c>
      <c r="G906" s="1" t="s">
        <v>37622</v>
      </c>
      <c r="H906" s="1" t="s">
        <v>3610</v>
      </c>
      <c r="I906" s="1"/>
      <c r="J906" s="1"/>
      <c r="K906" s="1"/>
      <c r="L906" s="1"/>
      <c r="M906" s="1"/>
      <c r="N906" s="1"/>
      <c r="O906" s="1"/>
      <c r="P906" s="1"/>
      <c r="Q906" s="17"/>
    </row>
    <row x14ac:dyDescent="0.25" r="907" customHeight="1" ht="18.75">
      <c r="A907" s="1"/>
      <c r="B907" s="1" t="s">
        <v>37582</v>
      </c>
      <c r="C907" s="1" t="s">
        <v>7</v>
      </c>
      <c r="D907" s="1" t="s">
        <v>10</v>
      </c>
      <c r="E907" s="1" t="s">
        <v>37034</v>
      </c>
      <c r="F907" s="1" t="s">
        <v>3693</v>
      </c>
      <c r="G907" s="1" t="s">
        <v>37623</v>
      </c>
      <c r="H907" s="1" t="s">
        <v>3610</v>
      </c>
      <c r="I907" s="1"/>
      <c r="J907" s="1"/>
      <c r="K907" s="1"/>
      <c r="L907" s="1"/>
      <c r="M907" s="1"/>
      <c r="N907" s="1"/>
      <c r="O907" s="1"/>
      <c r="P907" s="1"/>
      <c r="Q907" s="17"/>
    </row>
    <row x14ac:dyDescent="0.25" r="908" customHeight="1" ht="18.75">
      <c r="A908" s="1"/>
      <c r="B908" s="1" t="s">
        <v>37582</v>
      </c>
      <c r="C908" s="1" t="s">
        <v>7</v>
      </c>
      <c r="D908" s="1" t="s">
        <v>10</v>
      </c>
      <c r="E908" s="1" t="s">
        <v>37034</v>
      </c>
      <c r="F908" s="1" t="s">
        <v>3693</v>
      </c>
      <c r="G908" s="1" t="s">
        <v>37624</v>
      </c>
      <c r="H908" s="1" t="s">
        <v>3610</v>
      </c>
      <c r="I908" s="1"/>
      <c r="J908" s="1"/>
      <c r="K908" s="1"/>
      <c r="L908" s="1"/>
      <c r="M908" s="1"/>
      <c r="N908" s="1"/>
      <c r="O908" s="1"/>
      <c r="P908" s="1"/>
      <c r="Q908" s="17"/>
    </row>
    <row x14ac:dyDescent="0.25" r="909" customHeight="1" ht="18.75">
      <c r="A909" s="1"/>
      <c r="B909" s="1" t="s">
        <v>37625</v>
      </c>
      <c r="C909" s="1" t="s">
        <v>7</v>
      </c>
      <c r="D909" s="1" t="s">
        <v>10</v>
      </c>
      <c r="E909" s="1" t="s">
        <v>37034</v>
      </c>
      <c r="F909" s="1" t="s">
        <v>3693</v>
      </c>
      <c r="G909" s="1" t="s">
        <v>37626</v>
      </c>
      <c r="H909" s="1" t="s">
        <v>37037</v>
      </c>
      <c r="I909" s="1"/>
      <c r="J909" s="1"/>
      <c r="K909" s="1"/>
      <c r="L909" s="1"/>
      <c r="M909" s="1"/>
      <c r="N909" s="1"/>
      <c r="O909" s="1"/>
      <c r="P909" s="1"/>
      <c r="Q909" s="17"/>
    </row>
    <row x14ac:dyDescent="0.25" r="910" customHeight="1" ht="18.75">
      <c r="A910" s="1"/>
      <c r="B910" s="1" t="s">
        <v>37625</v>
      </c>
      <c r="C910" s="1" t="s">
        <v>7</v>
      </c>
      <c r="D910" s="1" t="s">
        <v>10</v>
      </c>
      <c r="E910" s="1" t="s">
        <v>37034</v>
      </c>
      <c r="F910" s="1" t="s">
        <v>3693</v>
      </c>
      <c r="G910" s="1" t="s">
        <v>37627</v>
      </c>
      <c r="H910" s="1" t="s">
        <v>37037</v>
      </c>
      <c r="I910" s="1"/>
      <c r="J910" s="1"/>
      <c r="K910" s="1"/>
      <c r="L910" s="1"/>
      <c r="M910" s="1"/>
      <c r="N910" s="1"/>
      <c r="O910" s="1"/>
      <c r="P910" s="1"/>
      <c r="Q910" s="17"/>
    </row>
    <row x14ac:dyDescent="0.25" r="911" customHeight="1" ht="18.75">
      <c r="A911" s="1"/>
      <c r="B911" s="1" t="s">
        <v>37625</v>
      </c>
      <c r="C911" s="1" t="s">
        <v>7</v>
      </c>
      <c r="D911" s="1" t="s">
        <v>10</v>
      </c>
      <c r="E911" s="1" t="s">
        <v>37034</v>
      </c>
      <c r="F911" s="1" t="s">
        <v>3693</v>
      </c>
      <c r="G911" s="1" t="s">
        <v>37628</v>
      </c>
      <c r="H911" s="1" t="s">
        <v>37037</v>
      </c>
      <c r="I911" s="1"/>
      <c r="J911" s="1"/>
      <c r="K911" s="1"/>
      <c r="L911" s="1"/>
      <c r="M911" s="1"/>
      <c r="N911" s="1"/>
      <c r="O911" s="1"/>
      <c r="P911" s="1"/>
      <c r="Q911" s="17"/>
    </row>
    <row x14ac:dyDescent="0.25" r="912" customHeight="1" ht="18.75">
      <c r="A912" s="1"/>
      <c r="B912" s="1" t="s">
        <v>37625</v>
      </c>
      <c r="C912" s="1" t="s">
        <v>7</v>
      </c>
      <c r="D912" s="1" t="s">
        <v>10</v>
      </c>
      <c r="E912" s="1" t="s">
        <v>37034</v>
      </c>
      <c r="F912" s="1" t="s">
        <v>3693</v>
      </c>
      <c r="G912" s="1" t="s">
        <v>37629</v>
      </c>
      <c r="H912" s="1" t="s">
        <v>7891</v>
      </c>
      <c r="I912" s="1"/>
      <c r="J912" s="1"/>
      <c r="K912" s="1"/>
      <c r="L912" s="1"/>
      <c r="M912" s="1"/>
      <c r="N912" s="1"/>
      <c r="O912" s="1"/>
      <c r="P912" s="1"/>
      <c r="Q912" s="17"/>
    </row>
    <row x14ac:dyDescent="0.25" r="913" customHeight="1" ht="18.75">
      <c r="A913" s="1"/>
      <c r="B913" s="1" t="s">
        <v>37625</v>
      </c>
      <c r="C913" s="1" t="s">
        <v>7</v>
      </c>
      <c r="D913" s="1" t="s">
        <v>10</v>
      </c>
      <c r="E913" s="1" t="s">
        <v>37034</v>
      </c>
      <c r="F913" s="1" t="s">
        <v>3693</v>
      </c>
      <c r="G913" s="1" t="s">
        <v>37630</v>
      </c>
      <c r="H913" s="1" t="s">
        <v>7891</v>
      </c>
      <c r="I913" s="1"/>
      <c r="J913" s="1"/>
      <c r="K913" s="1"/>
      <c r="L913" s="1"/>
      <c r="M913" s="1"/>
      <c r="N913" s="1"/>
      <c r="O913" s="1"/>
      <c r="P913" s="1"/>
      <c r="Q913" s="17"/>
    </row>
    <row x14ac:dyDescent="0.25" r="914" customHeight="1" ht="18.75">
      <c r="A914" s="1"/>
      <c r="B914" s="1" t="s">
        <v>37625</v>
      </c>
      <c r="C914" s="1" t="s">
        <v>7</v>
      </c>
      <c r="D914" s="1" t="s">
        <v>10</v>
      </c>
      <c r="E914" s="1" t="s">
        <v>37034</v>
      </c>
      <c r="F914" s="1" t="s">
        <v>3693</v>
      </c>
      <c r="G914" s="1" t="s">
        <v>37631</v>
      </c>
      <c r="H914" s="1" t="s">
        <v>7891</v>
      </c>
      <c r="I914" s="1"/>
      <c r="J914" s="1"/>
      <c r="K914" s="1"/>
      <c r="L914" s="1"/>
      <c r="M914" s="1"/>
      <c r="N914" s="1"/>
      <c r="O914" s="1"/>
      <c r="P914" s="1"/>
      <c r="Q914" s="17"/>
    </row>
    <row x14ac:dyDescent="0.25" r="915" customHeight="1" ht="18.75">
      <c r="A915" s="1"/>
      <c r="B915" s="1" t="s">
        <v>37582</v>
      </c>
      <c r="C915" s="1" t="s">
        <v>7</v>
      </c>
      <c r="D915" s="1" t="s">
        <v>10</v>
      </c>
      <c r="E915" s="1" t="s">
        <v>37034</v>
      </c>
      <c r="F915" s="1" t="s">
        <v>3693</v>
      </c>
      <c r="G915" s="1" t="s">
        <v>37632</v>
      </c>
      <c r="H915" s="1" t="s">
        <v>533</v>
      </c>
      <c r="I915" s="1"/>
      <c r="J915" s="1"/>
      <c r="K915" s="1"/>
      <c r="L915" s="1"/>
      <c r="M915" s="1"/>
      <c r="N915" s="1"/>
      <c r="O915" s="1"/>
      <c r="P915" s="1"/>
      <c r="Q915" s="17"/>
    </row>
    <row x14ac:dyDescent="0.25" r="916" customHeight="1" ht="18.75">
      <c r="A916" s="1"/>
      <c r="B916" s="1" t="s">
        <v>37582</v>
      </c>
      <c r="C916" s="1" t="s">
        <v>7</v>
      </c>
      <c r="D916" s="1" t="s">
        <v>10</v>
      </c>
      <c r="E916" s="1" t="s">
        <v>37034</v>
      </c>
      <c r="F916" s="1" t="s">
        <v>3693</v>
      </c>
      <c r="G916" s="1" t="s">
        <v>37633</v>
      </c>
      <c r="H916" s="1" t="s">
        <v>3695</v>
      </c>
      <c r="I916" s="1"/>
      <c r="J916" s="1"/>
      <c r="K916" s="1"/>
      <c r="L916" s="1"/>
      <c r="M916" s="1"/>
      <c r="N916" s="1"/>
      <c r="O916" s="1"/>
      <c r="P916" s="1"/>
      <c r="Q916" s="17"/>
    </row>
    <row x14ac:dyDescent="0.25" r="917" customHeight="1" ht="18.75">
      <c r="A917" s="1"/>
      <c r="B917" s="1" t="s">
        <v>37582</v>
      </c>
      <c r="C917" s="1" t="s">
        <v>7</v>
      </c>
      <c r="D917" s="1" t="s">
        <v>10</v>
      </c>
      <c r="E917" s="1" t="s">
        <v>37034</v>
      </c>
      <c r="F917" s="1" t="s">
        <v>3693</v>
      </c>
      <c r="G917" s="1" t="s">
        <v>37634</v>
      </c>
      <c r="H917" s="1" t="s">
        <v>3695</v>
      </c>
      <c r="I917" s="1"/>
      <c r="J917" s="1"/>
      <c r="K917" s="1"/>
      <c r="L917" s="1"/>
      <c r="M917" s="1"/>
      <c r="N917" s="1"/>
      <c r="O917" s="1"/>
      <c r="P917" s="1"/>
      <c r="Q917" s="17"/>
    </row>
    <row x14ac:dyDescent="0.25" r="918" customHeight="1" ht="18.75">
      <c r="A918" s="1"/>
      <c r="B918" s="1" t="s">
        <v>37582</v>
      </c>
      <c r="C918" s="1" t="s">
        <v>7</v>
      </c>
      <c r="D918" s="1" t="s">
        <v>10</v>
      </c>
      <c r="E918" s="1" t="s">
        <v>37034</v>
      </c>
      <c r="F918" s="1" t="s">
        <v>3693</v>
      </c>
      <c r="G918" s="1" t="s">
        <v>37635</v>
      </c>
      <c r="H918" s="1" t="s">
        <v>3695</v>
      </c>
      <c r="I918" s="1"/>
      <c r="J918" s="1"/>
      <c r="K918" s="1"/>
      <c r="L918" s="1"/>
      <c r="M918" s="1"/>
      <c r="N918" s="1"/>
      <c r="O918" s="1"/>
      <c r="P918" s="1"/>
      <c r="Q918" s="17"/>
    </row>
    <row x14ac:dyDescent="0.25" r="919" customHeight="1" ht="18.75">
      <c r="A919" s="1"/>
      <c r="B919" s="1" t="s">
        <v>37582</v>
      </c>
      <c r="C919" s="1" t="s">
        <v>7</v>
      </c>
      <c r="D919" s="1" t="s">
        <v>10</v>
      </c>
      <c r="E919" s="1" t="s">
        <v>37034</v>
      </c>
      <c r="F919" s="1" t="s">
        <v>3693</v>
      </c>
      <c r="G919" s="1" t="s">
        <v>37636</v>
      </c>
      <c r="H919" s="1" t="s">
        <v>37037</v>
      </c>
      <c r="I919" s="1"/>
      <c r="J919" s="1"/>
      <c r="K919" s="1"/>
      <c r="L919" s="1"/>
      <c r="M919" s="1"/>
      <c r="N919" s="1"/>
      <c r="O919" s="1"/>
      <c r="P919" s="1"/>
      <c r="Q919" s="17"/>
    </row>
    <row x14ac:dyDescent="0.25" r="920" customHeight="1" ht="18.75">
      <c r="A920" s="1"/>
      <c r="B920" s="1" t="s">
        <v>37582</v>
      </c>
      <c r="C920" s="1" t="s">
        <v>7</v>
      </c>
      <c r="D920" s="1" t="s">
        <v>10</v>
      </c>
      <c r="E920" s="1" t="s">
        <v>37034</v>
      </c>
      <c r="F920" s="1" t="s">
        <v>3693</v>
      </c>
      <c r="G920" s="1" t="s">
        <v>37637</v>
      </c>
      <c r="H920" s="1" t="s">
        <v>37037</v>
      </c>
      <c r="I920" s="1"/>
      <c r="J920" s="1"/>
      <c r="K920" s="1"/>
      <c r="L920" s="1"/>
      <c r="M920" s="1"/>
      <c r="N920" s="1"/>
      <c r="O920" s="1"/>
      <c r="P920" s="1"/>
      <c r="Q920" s="17"/>
    </row>
    <row x14ac:dyDescent="0.25" r="921" customHeight="1" ht="18.75">
      <c r="A921" s="1"/>
      <c r="B921" s="1" t="s">
        <v>37582</v>
      </c>
      <c r="C921" s="1" t="s">
        <v>7</v>
      </c>
      <c r="D921" s="1" t="s">
        <v>10</v>
      </c>
      <c r="E921" s="1" t="s">
        <v>37034</v>
      </c>
      <c r="F921" s="1" t="s">
        <v>3693</v>
      </c>
      <c r="G921" s="1" t="s">
        <v>37638</v>
      </c>
      <c r="H921" s="1" t="s">
        <v>37037</v>
      </c>
      <c r="I921" s="1"/>
      <c r="J921" s="1"/>
      <c r="K921" s="1"/>
      <c r="L921" s="1"/>
      <c r="M921" s="1"/>
      <c r="N921" s="1"/>
      <c r="O921" s="1"/>
      <c r="P921" s="1"/>
      <c r="Q921" s="17"/>
    </row>
    <row x14ac:dyDescent="0.25" r="922" customHeight="1" ht="18.75">
      <c r="A922" s="1"/>
      <c r="B922" s="1" t="s">
        <v>37582</v>
      </c>
      <c r="C922" s="1" t="s">
        <v>7</v>
      </c>
      <c r="D922" s="1" t="s">
        <v>10</v>
      </c>
      <c r="E922" s="1" t="s">
        <v>37034</v>
      </c>
      <c r="F922" s="1" t="s">
        <v>3693</v>
      </c>
      <c r="G922" s="1" t="s">
        <v>37639</v>
      </c>
      <c r="H922" s="1" t="s">
        <v>37057</v>
      </c>
      <c r="I922" s="1"/>
      <c r="J922" s="1"/>
      <c r="K922" s="1"/>
      <c r="L922" s="1"/>
      <c r="M922" s="1"/>
      <c r="N922" s="1"/>
      <c r="O922" s="1"/>
      <c r="P922" s="1"/>
      <c r="Q922" s="17"/>
    </row>
    <row x14ac:dyDescent="0.25" r="923" customHeight="1" ht="18.75">
      <c r="A923" s="1"/>
      <c r="B923" s="1" t="s">
        <v>37582</v>
      </c>
      <c r="C923" s="1" t="s">
        <v>7</v>
      </c>
      <c r="D923" s="1" t="s">
        <v>10</v>
      </c>
      <c r="E923" s="1" t="s">
        <v>37034</v>
      </c>
      <c r="F923" s="1" t="s">
        <v>3693</v>
      </c>
      <c r="G923" s="1" t="s">
        <v>37640</v>
      </c>
      <c r="H923" s="1" t="s">
        <v>3610</v>
      </c>
      <c r="I923" s="1"/>
      <c r="J923" s="1"/>
      <c r="K923" s="1"/>
      <c r="L923" s="1"/>
      <c r="M923" s="1"/>
      <c r="N923" s="1"/>
      <c r="O923" s="1"/>
      <c r="P923" s="1"/>
      <c r="Q923" s="17"/>
    </row>
    <row x14ac:dyDescent="0.25" r="924" customHeight="1" ht="18.75">
      <c r="A924" s="1"/>
      <c r="B924" s="1" t="s">
        <v>37582</v>
      </c>
      <c r="C924" s="1" t="s">
        <v>7</v>
      </c>
      <c r="D924" s="1" t="s">
        <v>10</v>
      </c>
      <c r="E924" s="1" t="s">
        <v>37034</v>
      </c>
      <c r="F924" s="1" t="s">
        <v>3693</v>
      </c>
      <c r="G924" s="1" t="s">
        <v>37641</v>
      </c>
      <c r="H924" s="1" t="s">
        <v>3610</v>
      </c>
      <c r="I924" s="1"/>
      <c r="J924" s="1"/>
      <c r="K924" s="1"/>
      <c r="L924" s="1"/>
      <c r="M924" s="1"/>
      <c r="N924" s="1"/>
      <c r="O924" s="1"/>
      <c r="P924" s="1"/>
      <c r="Q924" s="17"/>
    </row>
    <row x14ac:dyDescent="0.25" r="925" customHeight="1" ht="18.75">
      <c r="A925" s="1"/>
      <c r="B925" s="1" t="s">
        <v>37582</v>
      </c>
      <c r="C925" s="1" t="s">
        <v>7</v>
      </c>
      <c r="D925" s="1" t="s">
        <v>10</v>
      </c>
      <c r="E925" s="1" t="s">
        <v>37034</v>
      </c>
      <c r="F925" s="1" t="s">
        <v>3693</v>
      </c>
      <c r="G925" s="1" t="s">
        <v>37642</v>
      </c>
      <c r="H925" s="1" t="s">
        <v>3610</v>
      </c>
      <c r="I925" s="1"/>
      <c r="J925" s="1"/>
      <c r="K925" s="1"/>
      <c r="L925" s="1"/>
      <c r="M925" s="1"/>
      <c r="N925" s="1"/>
      <c r="O925" s="1"/>
      <c r="P925" s="1"/>
      <c r="Q925" s="17"/>
    </row>
    <row x14ac:dyDescent="0.25" r="926" customHeight="1" ht="18.75">
      <c r="A926" s="1"/>
      <c r="B926" s="1" t="s">
        <v>37582</v>
      </c>
      <c r="C926" s="1" t="s">
        <v>7</v>
      </c>
      <c r="D926" s="1" t="s">
        <v>10</v>
      </c>
      <c r="E926" s="1" t="s">
        <v>37034</v>
      </c>
      <c r="F926" s="1" t="s">
        <v>3693</v>
      </c>
      <c r="G926" s="1" t="s">
        <v>37643</v>
      </c>
      <c r="H926" s="1" t="s">
        <v>3695</v>
      </c>
      <c r="I926" s="1"/>
      <c r="J926" s="1"/>
      <c r="K926" s="1"/>
      <c r="L926" s="1"/>
      <c r="M926" s="1"/>
      <c r="N926" s="1"/>
      <c r="O926" s="1"/>
      <c r="P926" s="1"/>
      <c r="Q926" s="17"/>
    </row>
    <row x14ac:dyDescent="0.25" r="927" customHeight="1" ht="18.75">
      <c r="A927" s="1"/>
      <c r="B927" s="1" t="s">
        <v>37582</v>
      </c>
      <c r="C927" s="1" t="s">
        <v>7</v>
      </c>
      <c r="D927" s="1" t="s">
        <v>10</v>
      </c>
      <c r="E927" s="1" t="s">
        <v>37034</v>
      </c>
      <c r="F927" s="1" t="s">
        <v>3693</v>
      </c>
      <c r="G927" s="1" t="s">
        <v>37644</v>
      </c>
      <c r="H927" s="1" t="s">
        <v>3695</v>
      </c>
      <c r="I927" s="1"/>
      <c r="J927" s="1"/>
      <c r="K927" s="1"/>
      <c r="L927" s="1"/>
      <c r="M927" s="1"/>
      <c r="N927" s="1"/>
      <c r="O927" s="1"/>
      <c r="P927" s="1"/>
      <c r="Q927" s="17"/>
    </row>
    <row x14ac:dyDescent="0.25" r="928" customHeight="1" ht="18.75">
      <c r="A928" s="1"/>
      <c r="B928" s="1" t="s">
        <v>37582</v>
      </c>
      <c r="C928" s="1" t="s">
        <v>7</v>
      </c>
      <c r="D928" s="1" t="s">
        <v>10</v>
      </c>
      <c r="E928" s="1" t="s">
        <v>37034</v>
      </c>
      <c r="F928" s="1" t="s">
        <v>3693</v>
      </c>
      <c r="G928" s="1" t="s">
        <v>37645</v>
      </c>
      <c r="H928" s="1" t="s">
        <v>3695</v>
      </c>
      <c r="I928" s="1"/>
      <c r="J928" s="1"/>
      <c r="K928" s="1"/>
      <c r="L928" s="1"/>
      <c r="M928" s="1"/>
      <c r="N928" s="1"/>
      <c r="O928" s="1"/>
      <c r="P928" s="1"/>
      <c r="Q928" s="17"/>
    </row>
    <row x14ac:dyDescent="0.25" r="929" customHeight="1" ht="18.75">
      <c r="A929" s="1"/>
      <c r="B929" s="1" t="s">
        <v>37582</v>
      </c>
      <c r="C929" s="1" t="s">
        <v>7</v>
      </c>
      <c r="D929" s="1" t="s">
        <v>10</v>
      </c>
      <c r="E929" s="1" t="s">
        <v>37034</v>
      </c>
      <c r="F929" s="1" t="s">
        <v>3693</v>
      </c>
      <c r="G929" s="1" t="s">
        <v>37646</v>
      </c>
      <c r="H929" s="1" t="s">
        <v>37037</v>
      </c>
      <c r="I929" s="1"/>
      <c r="J929" s="1"/>
      <c r="K929" s="1"/>
      <c r="L929" s="1"/>
      <c r="M929" s="1"/>
      <c r="N929" s="1"/>
      <c r="O929" s="1"/>
      <c r="P929" s="1"/>
      <c r="Q929" s="17"/>
    </row>
    <row x14ac:dyDescent="0.25" r="930" customHeight="1" ht="18.75">
      <c r="A930" s="1"/>
      <c r="B930" s="1" t="s">
        <v>37582</v>
      </c>
      <c r="C930" s="1" t="s">
        <v>7</v>
      </c>
      <c r="D930" s="1" t="s">
        <v>10</v>
      </c>
      <c r="E930" s="1" t="s">
        <v>37034</v>
      </c>
      <c r="F930" s="1" t="s">
        <v>3693</v>
      </c>
      <c r="G930" s="1" t="s">
        <v>37647</v>
      </c>
      <c r="H930" s="1" t="s">
        <v>37037</v>
      </c>
      <c r="I930" s="1"/>
      <c r="J930" s="1"/>
      <c r="K930" s="1"/>
      <c r="L930" s="1"/>
      <c r="M930" s="1"/>
      <c r="N930" s="1"/>
      <c r="O930" s="1"/>
      <c r="P930" s="1"/>
      <c r="Q930" s="17"/>
    </row>
    <row x14ac:dyDescent="0.25" r="931" customHeight="1" ht="18.75">
      <c r="A931" s="1"/>
      <c r="B931" s="1" t="s">
        <v>37582</v>
      </c>
      <c r="C931" s="1" t="s">
        <v>7</v>
      </c>
      <c r="D931" s="1" t="s">
        <v>10</v>
      </c>
      <c r="E931" s="1" t="s">
        <v>37034</v>
      </c>
      <c r="F931" s="1" t="s">
        <v>3693</v>
      </c>
      <c r="G931" s="1" t="s">
        <v>37648</v>
      </c>
      <c r="H931" s="1" t="s">
        <v>37037</v>
      </c>
      <c r="I931" s="1"/>
      <c r="J931" s="1"/>
      <c r="K931" s="1"/>
      <c r="L931" s="1"/>
      <c r="M931" s="1"/>
      <c r="N931" s="1"/>
      <c r="O931" s="1"/>
      <c r="P931" s="1"/>
      <c r="Q931" s="17"/>
    </row>
    <row x14ac:dyDescent="0.25" r="932" customHeight="1" ht="18.75">
      <c r="A932" s="1"/>
      <c r="B932" s="1" t="s">
        <v>37582</v>
      </c>
      <c r="C932" s="1" t="s">
        <v>7</v>
      </c>
      <c r="D932" s="1" t="s">
        <v>10</v>
      </c>
      <c r="E932" s="1" t="s">
        <v>37034</v>
      </c>
      <c r="F932" s="1" t="s">
        <v>3693</v>
      </c>
      <c r="G932" s="1" t="s">
        <v>37649</v>
      </c>
      <c r="H932" s="1" t="s">
        <v>37057</v>
      </c>
      <c r="I932" s="1"/>
      <c r="J932" s="1"/>
      <c r="K932" s="1"/>
      <c r="L932" s="1"/>
      <c r="M932" s="1"/>
      <c r="N932" s="1"/>
      <c r="O932" s="1"/>
      <c r="P932" s="1"/>
      <c r="Q932" s="17"/>
    </row>
    <row x14ac:dyDescent="0.25" r="933" customHeight="1" ht="18.75">
      <c r="A933" s="1"/>
      <c r="B933" s="1" t="s">
        <v>37650</v>
      </c>
      <c r="C933" s="1" t="s">
        <v>7</v>
      </c>
      <c r="D933" s="1" t="s">
        <v>10</v>
      </c>
      <c r="E933" s="1" t="s">
        <v>36395</v>
      </c>
      <c r="F933" s="1" t="s">
        <v>3598</v>
      </c>
      <c r="G933" s="1" t="s">
        <v>37651</v>
      </c>
      <c r="H933" s="1" t="s">
        <v>7847</v>
      </c>
      <c r="I933" s="1"/>
      <c r="J933" s="1"/>
      <c r="K933" s="1"/>
      <c r="L933" s="1"/>
      <c r="M933" s="1"/>
      <c r="N933" s="1"/>
      <c r="O933" s="1"/>
      <c r="P933" s="1"/>
      <c r="Q933" s="17"/>
    </row>
    <row x14ac:dyDescent="0.25" r="934" customHeight="1" ht="18.75">
      <c r="A934" s="1"/>
      <c r="B934" s="1" t="s">
        <v>37652</v>
      </c>
      <c r="C934" s="1" t="s">
        <v>7</v>
      </c>
      <c r="D934" s="1" t="s">
        <v>10</v>
      </c>
      <c r="E934" s="1" t="s">
        <v>36395</v>
      </c>
      <c r="F934" s="1" t="s">
        <v>3693</v>
      </c>
      <c r="G934" s="1" t="s">
        <v>35582</v>
      </c>
      <c r="H934" s="1" t="s">
        <v>7847</v>
      </c>
      <c r="I934" s="1"/>
      <c r="J934" s="1"/>
      <c r="K934" s="1"/>
      <c r="L934" s="1"/>
      <c r="M934" s="1"/>
      <c r="N934" s="1"/>
      <c r="O934" s="1"/>
      <c r="P934" s="1"/>
      <c r="Q934" s="17"/>
    </row>
    <row x14ac:dyDescent="0.25" r="935" customHeight="1" ht="18.75">
      <c r="A935" s="1"/>
      <c r="B935" s="1" t="s">
        <v>37652</v>
      </c>
      <c r="C935" s="1" t="s">
        <v>7</v>
      </c>
      <c r="D935" s="1" t="s">
        <v>10</v>
      </c>
      <c r="E935" s="1" t="s">
        <v>37034</v>
      </c>
      <c r="F935" s="1" t="s">
        <v>3693</v>
      </c>
      <c r="G935" s="1" t="s">
        <v>37653</v>
      </c>
      <c r="H935" s="1" t="s">
        <v>3695</v>
      </c>
      <c r="I935" s="1"/>
      <c r="J935" s="1"/>
      <c r="K935" s="1"/>
      <c r="L935" s="1"/>
      <c r="M935" s="1"/>
      <c r="N935" s="1"/>
      <c r="O935" s="1"/>
      <c r="P935" s="1"/>
      <c r="Q935" s="17"/>
    </row>
    <row x14ac:dyDescent="0.25" r="936" customHeight="1" ht="18.75">
      <c r="A936" s="1"/>
      <c r="B936" s="1" t="s">
        <v>37652</v>
      </c>
      <c r="C936" s="1" t="s">
        <v>7</v>
      </c>
      <c r="D936" s="1" t="s">
        <v>10</v>
      </c>
      <c r="E936" s="1" t="s">
        <v>37034</v>
      </c>
      <c r="F936" s="1" t="s">
        <v>3693</v>
      </c>
      <c r="G936" s="1" t="s">
        <v>37654</v>
      </c>
      <c r="H936" s="1" t="s">
        <v>3695</v>
      </c>
      <c r="I936" s="1"/>
      <c r="J936" s="1"/>
      <c r="K936" s="1"/>
      <c r="L936" s="1"/>
      <c r="M936" s="1"/>
      <c r="N936" s="1"/>
      <c r="O936" s="1"/>
      <c r="P936" s="1"/>
      <c r="Q936" s="17"/>
    </row>
    <row x14ac:dyDescent="0.25" r="937" customHeight="1" ht="18.75">
      <c r="A937" s="1"/>
      <c r="B937" s="1" t="s">
        <v>37652</v>
      </c>
      <c r="C937" s="1" t="s">
        <v>7</v>
      </c>
      <c r="D937" s="1" t="s">
        <v>10</v>
      </c>
      <c r="E937" s="1" t="s">
        <v>37034</v>
      </c>
      <c r="F937" s="1" t="s">
        <v>3693</v>
      </c>
      <c r="G937" s="1" t="s">
        <v>37655</v>
      </c>
      <c r="H937" s="1" t="s">
        <v>3695</v>
      </c>
      <c r="I937" s="1"/>
      <c r="J937" s="1"/>
      <c r="K937" s="1"/>
      <c r="L937" s="1"/>
      <c r="M937" s="1"/>
      <c r="N937" s="1"/>
      <c r="O937" s="1"/>
      <c r="P937" s="1"/>
      <c r="Q937" s="17"/>
    </row>
    <row x14ac:dyDescent="0.25" r="938" customHeight="1" ht="18.75">
      <c r="A938" s="1"/>
      <c r="B938" s="1" t="s">
        <v>37656</v>
      </c>
      <c r="C938" s="1" t="s">
        <v>7</v>
      </c>
      <c r="D938" s="1" t="s">
        <v>10</v>
      </c>
      <c r="E938" s="1" t="s">
        <v>36395</v>
      </c>
      <c r="F938" s="1" t="s">
        <v>3693</v>
      </c>
      <c r="G938" s="1" t="s">
        <v>35250</v>
      </c>
      <c r="H938" s="1" t="s">
        <v>37107</v>
      </c>
      <c r="I938" s="1"/>
      <c r="J938" s="1"/>
      <c r="K938" s="1"/>
      <c r="L938" s="1"/>
      <c r="M938" s="1"/>
      <c r="N938" s="1"/>
      <c r="O938" s="1"/>
      <c r="P938" s="1"/>
      <c r="Q938" s="17"/>
    </row>
    <row x14ac:dyDescent="0.25" r="939" customHeight="1" ht="18.75">
      <c r="A939" s="1"/>
      <c r="B939" s="1" t="s">
        <v>37656</v>
      </c>
      <c r="C939" s="1" t="s">
        <v>7</v>
      </c>
      <c r="D939" s="1" t="s">
        <v>10</v>
      </c>
      <c r="E939" s="1" t="s">
        <v>37034</v>
      </c>
      <c r="F939" s="1" t="s">
        <v>3693</v>
      </c>
      <c r="G939" s="1" t="s">
        <v>37657</v>
      </c>
      <c r="H939" s="1" t="s">
        <v>37057</v>
      </c>
      <c r="I939" s="1"/>
      <c r="J939" s="1"/>
      <c r="K939" s="1"/>
      <c r="L939" s="1"/>
      <c r="M939" s="1"/>
      <c r="N939" s="1"/>
      <c r="O939" s="1"/>
      <c r="P939" s="1"/>
      <c r="Q939" s="17"/>
    </row>
    <row x14ac:dyDescent="0.25" r="940" customHeight="1" ht="18.75">
      <c r="A940" s="1"/>
      <c r="B940" s="1" t="s">
        <v>37656</v>
      </c>
      <c r="C940" s="1" t="s">
        <v>7</v>
      </c>
      <c r="D940" s="1" t="s">
        <v>10</v>
      </c>
      <c r="E940" s="1" t="s">
        <v>37034</v>
      </c>
      <c r="F940" s="1" t="s">
        <v>3693</v>
      </c>
      <c r="G940" s="1" t="s">
        <v>37658</v>
      </c>
      <c r="H940" s="1" t="s">
        <v>37037</v>
      </c>
      <c r="I940" s="1"/>
      <c r="J940" s="1"/>
      <c r="K940" s="1"/>
      <c r="L940" s="1"/>
      <c r="M940" s="1"/>
      <c r="N940" s="1"/>
      <c r="O940" s="1"/>
      <c r="P940" s="1"/>
      <c r="Q940" s="17"/>
    </row>
    <row x14ac:dyDescent="0.25" r="941" customHeight="1" ht="18.75">
      <c r="A941" s="1"/>
      <c r="B941" s="1" t="s">
        <v>37656</v>
      </c>
      <c r="C941" s="1" t="s">
        <v>7</v>
      </c>
      <c r="D941" s="1" t="s">
        <v>10</v>
      </c>
      <c r="E941" s="1" t="s">
        <v>37034</v>
      </c>
      <c r="F941" s="1" t="s">
        <v>3693</v>
      </c>
      <c r="G941" s="1" t="s">
        <v>37659</v>
      </c>
      <c r="H941" s="1" t="s">
        <v>37037</v>
      </c>
      <c r="I941" s="1"/>
      <c r="J941" s="1"/>
      <c r="K941" s="1"/>
      <c r="L941" s="1"/>
      <c r="M941" s="1"/>
      <c r="N941" s="1"/>
      <c r="O941" s="1"/>
      <c r="P941" s="1"/>
      <c r="Q941" s="17"/>
    </row>
    <row x14ac:dyDescent="0.25" r="942" customHeight="1" ht="18.75">
      <c r="A942" s="1"/>
      <c r="B942" s="1" t="s">
        <v>37656</v>
      </c>
      <c r="C942" s="1" t="s">
        <v>7</v>
      </c>
      <c r="D942" s="1" t="s">
        <v>10</v>
      </c>
      <c r="E942" s="1" t="s">
        <v>37034</v>
      </c>
      <c r="F942" s="1" t="s">
        <v>3693</v>
      </c>
      <c r="G942" s="1" t="s">
        <v>37660</v>
      </c>
      <c r="H942" s="1" t="s">
        <v>37037</v>
      </c>
      <c r="I942" s="1"/>
      <c r="J942" s="1"/>
      <c r="K942" s="1"/>
      <c r="L942" s="1"/>
      <c r="M942" s="1"/>
      <c r="N942" s="1"/>
      <c r="O942" s="1"/>
      <c r="P942" s="1"/>
      <c r="Q942" s="17"/>
    </row>
    <row x14ac:dyDescent="0.25" r="943" customHeight="1" ht="18.75">
      <c r="A943" s="1"/>
      <c r="B943" s="1" t="s">
        <v>37656</v>
      </c>
      <c r="C943" s="1" t="s">
        <v>7</v>
      </c>
      <c r="D943" s="1" t="s">
        <v>10</v>
      </c>
      <c r="E943" s="1" t="s">
        <v>37034</v>
      </c>
      <c r="F943" s="1" t="s">
        <v>3693</v>
      </c>
      <c r="G943" s="1" t="s">
        <v>37661</v>
      </c>
      <c r="H943" s="1" t="s">
        <v>37057</v>
      </c>
      <c r="I943" s="1"/>
      <c r="J943" s="1"/>
      <c r="K943" s="1"/>
      <c r="L943" s="1"/>
      <c r="M943" s="1"/>
      <c r="N943" s="1"/>
      <c r="O943" s="1"/>
      <c r="P943" s="1"/>
      <c r="Q943" s="17"/>
    </row>
    <row x14ac:dyDescent="0.25" r="944" customHeight="1" ht="18.75">
      <c r="A944" s="1"/>
      <c r="B944" s="1" t="s">
        <v>37662</v>
      </c>
      <c r="C944" s="1" t="s">
        <v>7</v>
      </c>
      <c r="D944" s="1" t="s">
        <v>10</v>
      </c>
      <c r="E944" s="1" t="s">
        <v>36395</v>
      </c>
      <c r="F944" s="1" t="s">
        <v>3693</v>
      </c>
      <c r="G944" s="1" t="s">
        <v>35254</v>
      </c>
      <c r="H944" s="1" t="s">
        <v>37107</v>
      </c>
      <c r="I944" s="1"/>
      <c r="J944" s="1"/>
      <c r="K944" s="1"/>
      <c r="L944" s="1"/>
      <c r="M944" s="1"/>
      <c r="N944" s="1"/>
      <c r="O944" s="1"/>
      <c r="P944" s="1"/>
      <c r="Q944" s="17"/>
    </row>
    <row x14ac:dyDescent="0.25" r="945" customHeight="1" ht="18.75">
      <c r="A945" s="1"/>
      <c r="B945" s="1" t="s">
        <v>37662</v>
      </c>
      <c r="C945" s="1" t="s">
        <v>7</v>
      </c>
      <c r="D945" s="1" t="s">
        <v>10</v>
      </c>
      <c r="E945" s="1" t="s">
        <v>37034</v>
      </c>
      <c r="F945" s="1" t="s">
        <v>3693</v>
      </c>
      <c r="G945" s="1" t="s">
        <v>37663</v>
      </c>
      <c r="H945" s="1" t="s">
        <v>37057</v>
      </c>
      <c r="I945" s="1"/>
      <c r="J945" s="1"/>
      <c r="K945" s="1"/>
      <c r="L945" s="1"/>
      <c r="M945" s="1"/>
      <c r="N945" s="1"/>
      <c r="O945" s="1"/>
      <c r="P945" s="1"/>
      <c r="Q945" s="17"/>
    </row>
    <row x14ac:dyDescent="0.25" r="946" customHeight="1" ht="18.75">
      <c r="A946" s="1"/>
      <c r="B946" s="1" t="s">
        <v>37662</v>
      </c>
      <c r="C946" s="1" t="s">
        <v>7</v>
      </c>
      <c r="D946" s="1" t="s">
        <v>10</v>
      </c>
      <c r="E946" s="1" t="s">
        <v>37034</v>
      </c>
      <c r="F946" s="1" t="s">
        <v>3693</v>
      </c>
      <c r="G946" s="1" t="s">
        <v>37664</v>
      </c>
      <c r="H946" s="1" t="s">
        <v>37057</v>
      </c>
      <c r="I946" s="1"/>
      <c r="J946" s="1"/>
      <c r="K946" s="1"/>
      <c r="L946" s="1"/>
      <c r="M946" s="1"/>
      <c r="N946" s="1"/>
      <c r="O946" s="1"/>
      <c r="P946" s="1"/>
      <c r="Q946" s="17"/>
    </row>
    <row x14ac:dyDescent="0.25" r="947" customHeight="1" ht="18.75">
      <c r="A947" s="1"/>
      <c r="B947" s="1" t="s">
        <v>37665</v>
      </c>
      <c r="C947" s="1" t="s">
        <v>7</v>
      </c>
      <c r="D947" s="1" t="s">
        <v>10</v>
      </c>
      <c r="E947" s="1" t="s">
        <v>36395</v>
      </c>
      <c r="F947" s="1" t="s">
        <v>3598</v>
      </c>
      <c r="G947" s="1" t="s">
        <v>37666</v>
      </c>
      <c r="H947" s="1" t="s">
        <v>7847</v>
      </c>
      <c r="I947" s="1"/>
      <c r="J947" s="1"/>
      <c r="K947" s="1"/>
      <c r="L947" s="1"/>
      <c r="M947" s="1"/>
      <c r="N947" s="1"/>
      <c r="O947" s="1"/>
      <c r="P947" s="1"/>
      <c r="Q947" s="17"/>
    </row>
    <row x14ac:dyDescent="0.25" r="948" customHeight="1" ht="18.75">
      <c r="A948" s="1"/>
      <c r="B948" s="1" t="s">
        <v>37667</v>
      </c>
      <c r="C948" s="1" t="s">
        <v>7</v>
      </c>
      <c r="D948" s="1" t="s">
        <v>10</v>
      </c>
      <c r="E948" s="1" t="s">
        <v>36395</v>
      </c>
      <c r="F948" s="1" t="s">
        <v>3598</v>
      </c>
      <c r="G948" s="1" t="s">
        <v>37668</v>
      </c>
      <c r="H948" s="1" t="s">
        <v>7847</v>
      </c>
      <c r="I948" s="1"/>
      <c r="J948" s="1"/>
      <c r="K948" s="1"/>
      <c r="L948" s="1"/>
      <c r="M948" s="1"/>
      <c r="N948" s="1"/>
      <c r="O948" s="1"/>
      <c r="P948" s="1"/>
      <c r="Q948" s="17"/>
    </row>
    <row x14ac:dyDescent="0.25" r="949" customHeight="1" ht="18.75">
      <c r="A949" s="1"/>
      <c r="B949" s="1" t="s">
        <v>37669</v>
      </c>
      <c r="C949" s="1" t="s">
        <v>7</v>
      </c>
      <c r="D949" s="1" t="s">
        <v>10</v>
      </c>
      <c r="E949" s="1" t="s">
        <v>36395</v>
      </c>
      <c r="F949" s="1" t="s">
        <v>3598</v>
      </c>
      <c r="G949" s="1" t="s">
        <v>37670</v>
      </c>
      <c r="H949" s="1" t="s">
        <v>37063</v>
      </c>
      <c r="I949" s="1"/>
      <c r="J949" s="1"/>
      <c r="K949" s="1"/>
      <c r="L949" s="1"/>
      <c r="M949" s="1"/>
      <c r="N949" s="1"/>
      <c r="O949" s="1"/>
      <c r="P949" s="1"/>
      <c r="Q949" s="17"/>
    </row>
    <row x14ac:dyDescent="0.25" r="950" customHeight="1" ht="18.75">
      <c r="A950" s="1"/>
      <c r="B950" s="1" t="s">
        <v>37669</v>
      </c>
      <c r="C950" s="1" t="s">
        <v>7</v>
      </c>
      <c r="D950" s="1" t="s">
        <v>10</v>
      </c>
      <c r="E950" s="1" t="s">
        <v>36395</v>
      </c>
      <c r="F950" s="1" t="s">
        <v>3598</v>
      </c>
      <c r="G950" s="1" t="s">
        <v>37671</v>
      </c>
      <c r="H950" s="1" t="s">
        <v>37063</v>
      </c>
      <c r="I950" s="1"/>
      <c r="J950" s="1"/>
      <c r="K950" s="1"/>
      <c r="L950" s="1"/>
      <c r="M950" s="1"/>
      <c r="N950" s="1"/>
      <c r="O950" s="1"/>
      <c r="P950" s="1"/>
      <c r="Q950" s="17"/>
    </row>
    <row x14ac:dyDescent="0.25" r="951" customHeight="1" ht="18.75">
      <c r="A951" s="1"/>
      <c r="B951" s="1" t="s">
        <v>37669</v>
      </c>
      <c r="C951" s="1" t="s">
        <v>7</v>
      </c>
      <c r="D951" s="1" t="s">
        <v>10</v>
      </c>
      <c r="E951" s="1" t="s">
        <v>36395</v>
      </c>
      <c r="F951" s="1" t="s">
        <v>3598</v>
      </c>
      <c r="G951" s="1" t="s">
        <v>37672</v>
      </c>
      <c r="H951" s="1" t="s">
        <v>37063</v>
      </c>
      <c r="I951" s="1"/>
      <c r="J951" s="1"/>
      <c r="K951" s="1"/>
      <c r="L951" s="1"/>
      <c r="M951" s="1"/>
      <c r="N951" s="1"/>
      <c r="O951" s="1"/>
      <c r="P951" s="1"/>
      <c r="Q951" s="17"/>
    </row>
    <row x14ac:dyDescent="0.25" r="952" customHeight="1" ht="18.75">
      <c r="A952" s="1"/>
      <c r="B952" s="1" t="s">
        <v>37669</v>
      </c>
      <c r="C952" s="1" t="s">
        <v>7</v>
      </c>
      <c r="D952" s="1" t="s">
        <v>10</v>
      </c>
      <c r="E952" s="1" t="s">
        <v>37034</v>
      </c>
      <c r="F952" s="1" t="s">
        <v>3598</v>
      </c>
      <c r="G952" s="1" t="s">
        <v>37673</v>
      </c>
      <c r="H952" s="1" t="s">
        <v>37057</v>
      </c>
      <c r="I952" s="1"/>
      <c r="J952" s="1"/>
      <c r="K952" s="1"/>
      <c r="L952" s="1"/>
      <c r="M952" s="1"/>
      <c r="N952" s="1"/>
      <c r="O952" s="1"/>
      <c r="P952" s="1"/>
      <c r="Q952" s="17"/>
    </row>
    <row x14ac:dyDescent="0.25" r="953" customHeight="1" ht="18.75">
      <c r="A953" s="1"/>
      <c r="B953" s="1" t="s">
        <v>37674</v>
      </c>
      <c r="C953" s="1" t="s">
        <v>7</v>
      </c>
      <c r="D953" s="1" t="s">
        <v>10</v>
      </c>
      <c r="E953" s="1" t="s">
        <v>37034</v>
      </c>
      <c r="F953" s="1" t="s">
        <v>3598</v>
      </c>
      <c r="G953" s="1" t="s">
        <v>37675</v>
      </c>
      <c r="H953" s="1" t="s">
        <v>3695</v>
      </c>
      <c r="I953" s="1"/>
      <c r="J953" s="1"/>
      <c r="K953" s="1"/>
      <c r="L953" s="1"/>
      <c r="M953" s="1"/>
      <c r="N953" s="1"/>
      <c r="O953" s="1"/>
      <c r="P953" s="1"/>
      <c r="Q953" s="17"/>
    </row>
    <row x14ac:dyDescent="0.25" r="954" customHeight="1" ht="18.75">
      <c r="A954" s="1"/>
      <c r="B954" s="1" t="s">
        <v>37674</v>
      </c>
      <c r="C954" s="1" t="s">
        <v>7</v>
      </c>
      <c r="D954" s="1" t="s">
        <v>10</v>
      </c>
      <c r="E954" s="1" t="s">
        <v>37034</v>
      </c>
      <c r="F954" s="1" t="s">
        <v>3598</v>
      </c>
      <c r="G954" s="1" t="s">
        <v>37676</v>
      </c>
      <c r="H954" s="1" t="s">
        <v>3695</v>
      </c>
      <c r="I954" s="1"/>
      <c r="J954" s="1"/>
      <c r="K954" s="1"/>
      <c r="L954" s="1"/>
      <c r="M954" s="1"/>
      <c r="N954" s="1"/>
      <c r="O954" s="1"/>
      <c r="P954" s="1"/>
      <c r="Q954" s="17"/>
    </row>
    <row x14ac:dyDescent="0.25" r="955" customHeight="1" ht="18.75">
      <c r="A955" s="1"/>
      <c r="B955" s="1" t="s">
        <v>37674</v>
      </c>
      <c r="C955" s="1" t="s">
        <v>7</v>
      </c>
      <c r="D955" s="1" t="s">
        <v>10</v>
      </c>
      <c r="E955" s="1" t="s">
        <v>37034</v>
      </c>
      <c r="F955" s="1" t="s">
        <v>3598</v>
      </c>
      <c r="G955" s="1" t="s">
        <v>37677</v>
      </c>
      <c r="H955" s="1" t="s">
        <v>3695</v>
      </c>
      <c r="I955" s="1"/>
      <c r="J955" s="1"/>
      <c r="K955" s="1"/>
      <c r="L955" s="1"/>
      <c r="M955" s="1"/>
      <c r="N955" s="1"/>
      <c r="O955" s="1"/>
      <c r="P955" s="1"/>
      <c r="Q955" s="17"/>
    </row>
    <row x14ac:dyDescent="0.25" r="956" customHeight="1" ht="18.75">
      <c r="A956" s="1"/>
      <c r="B956" s="1" t="s">
        <v>37678</v>
      </c>
      <c r="C956" s="1" t="s">
        <v>7</v>
      </c>
      <c r="D956" s="1" t="s">
        <v>10</v>
      </c>
      <c r="E956" s="1" t="s">
        <v>36395</v>
      </c>
      <c r="F956" s="1" t="s">
        <v>3598</v>
      </c>
      <c r="G956" s="1" t="s">
        <v>37679</v>
      </c>
      <c r="H956" s="1" t="s">
        <v>7847</v>
      </c>
      <c r="I956" s="1"/>
      <c r="J956" s="1"/>
      <c r="K956" s="1"/>
      <c r="L956" s="1"/>
      <c r="M956" s="1"/>
      <c r="N956" s="1"/>
      <c r="O956" s="1"/>
      <c r="P956" s="1"/>
      <c r="Q956" s="17"/>
    </row>
    <row x14ac:dyDescent="0.25" r="957" customHeight="1" ht="18.75">
      <c r="A957" s="1"/>
      <c r="B957" s="1" t="s">
        <v>37678</v>
      </c>
      <c r="C957" s="1" t="s">
        <v>7</v>
      </c>
      <c r="D957" s="1" t="s">
        <v>10</v>
      </c>
      <c r="E957" s="1" t="s">
        <v>37034</v>
      </c>
      <c r="F957" s="1" t="s">
        <v>3598</v>
      </c>
      <c r="G957" s="1" t="s">
        <v>37680</v>
      </c>
      <c r="H957" s="1" t="s">
        <v>533</v>
      </c>
      <c r="I957" s="1"/>
      <c r="J957" s="1"/>
      <c r="K957" s="1"/>
      <c r="L957" s="1"/>
      <c r="M957" s="1"/>
      <c r="N957" s="1"/>
      <c r="O957" s="1"/>
      <c r="P957" s="1"/>
      <c r="Q957" s="17"/>
    </row>
    <row x14ac:dyDescent="0.25" r="958" customHeight="1" ht="18.75">
      <c r="A958" s="1"/>
      <c r="B958" s="1" t="s">
        <v>37678</v>
      </c>
      <c r="C958" s="1" t="s">
        <v>7</v>
      </c>
      <c r="D958" s="1" t="s">
        <v>10</v>
      </c>
      <c r="E958" s="1" t="s">
        <v>37034</v>
      </c>
      <c r="F958" s="1" t="s">
        <v>3598</v>
      </c>
      <c r="G958" s="1" t="s">
        <v>37681</v>
      </c>
      <c r="H958" s="1" t="s">
        <v>3695</v>
      </c>
      <c r="I958" s="1"/>
      <c r="J958" s="1"/>
      <c r="K958" s="1"/>
      <c r="L958" s="1"/>
      <c r="M958" s="1"/>
      <c r="N958" s="1"/>
      <c r="O958" s="1"/>
      <c r="P958" s="1"/>
      <c r="Q958" s="17"/>
    </row>
    <row x14ac:dyDescent="0.25" r="959" customHeight="1" ht="18.75">
      <c r="A959" s="1"/>
      <c r="B959" s="1" t="s">
        <v>37678</v>
      </c>
      <c r="C959" s="1" t="s">
        <v>7</v>
      </c>
      <c r="D959" s="1" t="s">
        <v>10</v>
      </c>
      <c r="E959" s="1" t="s">
        <v>37034</v>
      </c>
      <c r="F959" s="1" t="s">
        <v>3598</v>
      </c>
      <c r="G959" s="1" t="s">
        <v>37682</v>
      </c>
      <c r="H959" s="1" t="s">
        <v>37037</v>
      </c>
      <c r="I959" s="1"/>
      <c r="J959" s="1"/>
      <c r="K959" s="1"/>
      <c r="L959" s="1"/>
      <c r="M959" s="1"/>
      <c r="N959" s="1"/>
      <c r="O959" s="1"/>
      <c r="P959" s="1"/>
      <c r="Q959" s="17"/>
    </row>
    <row x14ac:dyDescent="0.25" r="960" customHeight="1" ht="18.75">
      <c r="A960" s="1"/>
      <c r="B960" s="1" t="s">
        <v>37678</v>
      </c>
      <c r="C960" s="1" t="s">
        <v>7</v>
      </c>
      <c r="D960" s="1" t="s">
        <v>10</v>
      </c>
      <c r="E960" s="1" t="s">
        <v>37034</v>
      </c>
      <c r="F960" s="1" t="s">
        <v>3598</v>
      </c>
      <c r="G960" s="1" t="s">
        <v>37683</v>
      </c>
      <c r="H960" s="1" t="s">
        <v>37037</v>
      </c>
      <c r="I960" s="1"/>
      <c r="J960" s="1"/>
      <c r="K960" s="1"/>
      <c r="L960" s="1"/>
      <c r="M960" s="1"/>
      <c r="N960" s="1"/>
      <c r="O960" s="1"/>
      <c r="P960" s="1"/>
      <c r="Q960" s="17"/>
    </row>
    <row x14ac:dyDescent="0.25" r="961" customHeight="1" ht="18.75">
      <c r="A961" s="1"/>
      <c r="B961" s="1" t="s">
        <v>37678</v>
      </c>
      <c r="C961" s="1" t="s">
        <v>7</v>
      </c>
      <c r="D961" s="1" t="s">
        <v>10</v>
      </c>
      <c r="E961" s="1" t="s">
        <v>37034</v>
      </c>
      <c r="F961" s="1" t="s">
        <v>3598</v>
      </c>
      <c r="G961" s="1" t="s">
        <v>37684</v>
      </c>
      <c r="H961" s="1" t="s">
        <v>37037</v>
      </c>
      <c r="I961" s="1"/>
      <c r="J961" s="1"/>
      <c r="K961" s="1"/>
      <c r="L961" s="1"/>
      <c r="M961" s="1"/>
      <c r="N961" s="1"/>
      <c r="O961" s="1"/>
      <c r="P961" s="1"/>
      <c r="Q961" s="17"/>
    </row>
    <row x14ac:dyDescent="0.25" r="962" customHeight="1" ht="18.75">
      <c r="A962" s="1"/>
      <c r="B962" s="1" t="s">
        <v>37678</v>
      </c>
      <c r="C962" s="1" t="s">
        <v>7</v>
      </c>
      <c r="D962" s="1" t="s">
        <v>10</v>
      </c>
      <c r="E962" s="1" t="s">
        <v>37034</v>
      </c>
      <c r="F962" s="1" t="s">
        <v>3598</v>
      </c>
      <c r="G962" s="1" t="s">
        <v>37685</v>
      </c>
      <c r="H962" s="1" t="s">
        <v>3695</v>
      </c>
      <c r="I962" s="1"/>
      <c r="J962" s="1"/>
      <c r="K962" s="1"/>
      <c r="L962" s="1"/>
      <c r="M962" s="1"/>
      <c r="N962" s="1"/>
      <c r="O962" s="1"/>
      <c r="P962" s="1"/>
      <c r="Q962" s="17"/>
    </row>
    <row x14ac:dyDescent="0.25" r="963" customHeight="1" ht="18.75">
      <c r="A963" s="1"/>
      <c r="B963" s="1" t="s">
        <v>37678</v>
      </c>
      <c r="C963" s="1" t="s">
        <v>7</v>
      </c>
      <c r="D963" s="1" t="s">
        <v>10</v>
      </c>
      <c r="E963" s="1" t="s">
        <v>37034</v>
      </c>
      <c r="F963" s="1" t="s">
        <v>3598</v>
      </c>
      <c r="G963" s="1" t="s">
        <v>37686</v>
      </c>
      <c r="H963" s="1" t="s">
        <v>37057</v>
      </c>
      <c r="I963" s="1"/>
      <c r="J963" s="1"/>
      <c r="K963" s="1"/>
      <c r="L963" s="1"/>
      <c r="M963" s="1"/>
      <c r="N963" s="1"/>
      <c r="O963" s="1"/>
      <c r="P963" s="1"/>
      <c r="Q963" s="17"/>
    </row>
    <row x14ac:dyDescent="0.25" r="964" customHeight="1" ht="18.75">
      <c r="A964" s="1"/>
      <c r="B964" s="1" t="s">
        <v>37678</v>
      </c>
      <c r="C964" s="1" t="s">
        <v>7</v>
      </c>
      <c r="D964" s="1" t="s">
        <v>10</v>
      </c>
      <c r="E964" s="1" t="s">
        <v>37034</v>
      </c>
      <c r="F964" s="1" t="s">
        <v>3598</v>
      </c>
      <c r="G964" s="1" t="s">
        <v>37687</v>
      </c>
      <c r="H964" s="1" t="s">
        <v>37057</v>
      </c>
      <c r="I964" s="1"/>
      <c r="J964" s="1"/>
      <c r="K964" s="1"/>
      <c r="L964" s="1"/>
      <c r="M964" s="1"/>
      <c r="N964" s="1"/>
      <c r="O964" s="1"/>
      <c r="P964" s="1"/>
      <c r="Q964" s="17"/>
    </row>
    <row x14ac:dyDescent="0.25" r="965" customHeight="1" ht="18.75">
      <c r="A965" s="1"/>
      <c r="B965" s="1" t="s">
        <v>37688</v>
      </c>
      <c r="C965" s="1" t="s">
        <v>7</v>
      </c>
      <c r="D965" s="1" t="s">
        <v>10</v>
      </c>
      <c r="E965" s="1" t="s">
        <v>36395</v>
      </c>
      <c r="F965" s="1" t="s">
        <v>3598</v>
      </c>
      <c r="G965" s="1" t="s">
        <v>37689</v>
      </c>
      <c r="H965" s="1" t="s">
        <v>7847</v>
      </c>
      <c r="I965" s="1"/>
      <c r="J965" s="1"/>
      <c r="K965" s="1"/>
      <c r="L965" s="1"/>
      <c r="M965" s="1"/>
      <c r="N965" s="1"/>
      <c r="O965" s="1"/>
      <c r="P965" s="1"/>
      <c r="Q965" s="17"/>
    </row>
    <row x14ac:dyDescent="0.25" r="966" customHeight="1" ht="18.75">
      <c r="A966" s="1"/>
      <c r="B966" s="1" t="s">
        <v>37688</v>
      </c>
      <c r="C966" s="1" t="s">
        <v>7</v>
      </c>
      <c r="D966" s="1" t="s">
        <v>10</v>
      </c>
      <c r="E966" s="1" t="s">
        <v>36395</v>
      </c>
      <c r="F966" s="1" t="s">
        <v>3598</v>
      </c>
      <c r="G966" s="1" t="s">
        <v>37690</v>
      </c>
      <c r="H966" s="1" t="s">
        <v>7847</v>
      </c>
      <c r="I966" s="1"/>
      <c r="J966" s="1"/>
      <c r="K966" s="1"/>
      <c r="L966" s="1"/>
      <c r="M966" s="1"/>
      <c r="N966" s="1"/>
      <c r="O966" s="1"/>
      <c r="P966" s="1"/>
      <c r="Q966" s="17"/>
    </row>
    <row x14ac:dyDescent="0.25" r="967" customHeight="1" ht="18.75">
      <c r="A967" s="1"/>
      <c r="B967" s="1" t="s">
        <v>37688</v>
      </c>
      <c r="C967" s="1" t="s">
        <v>7</v>
      </c>
      <c r="D967" s="1" t="s">
        <v>10</v>
      </c>
      <c r="E967" s="1" t="s">
        <v>36395</v>
      </c>
      <c r="F967" s="1" t="s">
        <v>3598</v>
      </c>
      <c r="G967" s="1" t="s">
        <v>37691</v>
      </c>
      <c r="H967" s="1" t="s">
        <v>7847</v>
      </c>
      <c r="I967" s="1"/>
      <c r="J967" s="1"/>
      <c r="K967" s="1"/>
      <c r="L967" s="1"/>
      <c r="M967" s="1"/>
      <c r="N967" s="1"/>
      <c r="O967" s="1"/>
      <c r="P967" s="1"/>
      <c r="Q967" s="17"/>
    </row>
    <row x14ac:dyDescent="0.25" r="968" customHeight="1" ht="18.75">
      <c r="A968" s="1"/>
      <c r="B968" s="1" t="s">
        <v>37688</v>
      </c>
      <c r="C968" s="1" t="s">
        <v>7</v>
      </c>
      <c r="D968" s="1" t="s">
        <v>10</v>
      </c>
      <c r="E968" s="1" t="s">
        <v>36395</v>
      </c>
      <c r="F968" s="1" t="s">
        <v>3598</v>
      </c>
      <c r="G968" s="1" t="s">
        <v>37692</v>
      </c>
      <c r="H968" s="1" t="s">
        <v>7847</v>
      </c>
      <c r="I968" s="1"/>
      <c r="J968" s="1"/>
      <c r="K968" s="1"/>
      <c r="L968" s="1"/>
      <c r="M968" s="1"/>
      <c r="N968" s="1"/>
      <c r="O968" s="1"/>
      <c r="P968" s="1"/>
      <c r="Q968" s="17"/>
    </row>
    <row x14ac:dyDescent="0.25" r="969" customHeight="1" ht="18.75">
      <c r="A969" s="1"/>
      <c r="B969" s="1" t="s">
        <v>37688</v>
      </c>
      <c r="C969" s="1" t="s">
        <v>7</v>
      </c>
      <c r="D969" s="1" t="s">
        <v>10</v>
      </c>
      <c r="E969" s="1" t="s">
        <v>37034</v>
      </c>
      <c r="F969" s="1" t="s">
        <v>3598</v>
      </c>
      <c r="G969" s="1" t="s">
        <v>37693</v>
      </c>
      <c r="H969" s="1" t="s">
        <v>3610</v>
      </c>
      <c r="I969" s="1"/>
      <c r="J969" s="1"/>
      <c r="K969" s="1"/>
      <c r="L969" s="1"/>
      <c r="M969" s="1"/>
      <c r="N969" s="1"/>
      <c r="O969" s="1"/>
      <c r="P969" s="1"/>
      <c r="Q969" s="17"/>
    </row>
    <row x14ac:dyDescent="0.25" r="970" customHeight="1" ht="18.75">
      <c r="A970" s="1"/>
      <c r="B970" s="1" t="s">
        <v>37688</v>
      </c>
      <c r="C970" s="1" t="s">
        <v>7</v>
      </c>
      <c r="D970" s="1" t="s">
        <v>10</v>
      </c>
      <c r="E970" s="1" t="s">
        <v>37034</v>
      </c>
      <c r="F970" s="1" t="s">
        <v>3598</v>
      </c>
      <c r="G970" s="1" t="s">
        <v>37694</v>
      </c>
      <c r="H970" s="1" t="s">
        <v>3610</v>
      </c>
      <c r="I970" s="1"/>
      <c r="J970" s="1"/>
      <c r="K970" s="1"/>
      <c r="L970" s="1"/>
      <c r="M970" s="1"/>
      <c r="N970" s="1"/>
      <c r="O970" s="1"/>
      <c r="P970" s="1"/>
      <c r="Q970" s="17"/>
    </row>
    <row x14ac:dyDescent="0.25" r="971" customHeight="1" ht="18.75">
      <c r="A971" s="1"/>
      <c r="B971" s="1" t="s">
        <v>37688</v>
      </c>
      <c r="C971" s="1" t="s">
        <v>7</v>
      </c>
      <c r="D971" s="1" t="s">
        <v>10</v>
      </c>
      <c r="E971" s="1" t="s">
        <v>37034</v>
      </c>
      <c r="F971" s="1" t="s">
        <v>3598</v>
      </c>
      <c r="G971" s="1" t="s">
        <v>37695</v>
      </c>
      <c r="H971" s="1" t="s">
        <v>37057</v>
      </c>
      <c r="I971" s="1"/>
      <c r="J971" s="1"/>
      <c r="K971" s="1"/>
      <c r="L971" s="1"/>
      <c r="M971" s="1"/>
      <c r="N971" s="1"/>
      <c r="O971" s="1"/>
      <c r="P971" s="1"/>
      <c r="Q971" s="17"/>
    </row>
    <row x14ac:dyDescent="0.25" r="972" customHeight="1" ht="18.75">
      <c r="A972" s="1"/>
      <c r="B972" s="1" t="s">
        <v>37688</v>
      </c>
      <c r="C972" s="1" t="s">
        <v>7</v>
      </c>
      <c r="D972" s="1" t="s">
        <v>10</v>
      </c>
      <c r="E972" s="1" t="s">
        <v>37034</v>
      </c>
      <c r="F972" s="1" t="s">
        <v>3598</v>
      </c>
      <c r="G972" s="1" t="s">
        <v>37696</v>
      </c>
      <c r="H972" s="1" t="s">
        <v>37057</v>
      </c>
      <c r="I972" s="1"/>
      <c r="J972" s="1"/>
      <c r="K972" s="1"/>
      <c r="L972" s="1"/>
      <c r="M972" s="1"/>
      <c r="N972" s="1"/>
      <c r="O972" s="1"/>
      <c r="P972" s="1"/>
      <c r="Q972" s="17"/>
    </row>
    <row x14ac:dyDescent="0.25" r="973" customHeight="1" ht="18.75">
      <c r="A973" s="1"/>
      <c r="B973" s="1" t="s">
        <v>37697</v>
      </c>
      <c r="C973" s="1" t="s">
        <v>7</v>
      </c>
      <c r="D973" s="1" t="s">
        <v>10</v>
      </c>
      <c r="E973" s="1" t="s">
        <v>36395</v>
      </c>
      <c r="F973" s="1" t="s">
        <v>3693</v>
      </c>
      <c r="G973" s="1" t="s">
        <v>35404</v>
      </c>
      <c r="H973" s="1" t="s">
        <v>37063</v>
      </c>
      <c r="I973" s="1"/>
      <c r="J973" s="1"/>
      <c r="K973" s="1"/>
      <c r="L973" s="1"/>
      <c r="M973" s="1"/>
      <c r="N973" s="1"/>
      <c r="O973" s="1"/>
      <c r="P973" s="1"/>
      <c r="Q973" s="17"/>
    </row>
    <row x14ac:dyDescent="0.25" r="974" customHeight="1" ht="18.75">
      <c r="A974" s="1"/>
      <c r="B974" s="1" t="s">
        <v>37697</v>
      </c>
      <c r="C974" s="1" t="s">
        <v>7</v>
      </c>
      <c r="D974" s="1" t="s">
        <v>10</v>
      </c>
      <c r="E974" s="1" t="s">
        <v>36395</v>
      </c>
      <c r="F974" s="1" t="s">
        <v>3693</v>
      </c>
      <c r="G974" s="1" t="s">
        <v>35237</v>
      </c>
      <c r="H974" s="1" t="s">
        <v>37063</v>
      </c>
      <c r="I974" s="1"/>
      <c r="J974" s="1"/>
      <c r="K974" s="1"/>
      <c r="L974" s="1"/>
      <c r="M974" s="1"/>
      <c r="N974" s="1"/>
      <c r="O974" s="1"/>
      <c r="P974" s="1"/>
      <c r="Q974" s="17"/>
    </row>
    <row x14ac:dyDescent="0.25" r="975" customHeight="1" ht="18.75">
      <c r="A975" s="1"/>
      <c r="B975" s="1" t="s">
        <v>37697</v>
      </c>
      <c r="C975" s="1" t="s">
        <v>7</v>
      </c>
      <c r="D975" s="1" t="s">
        <v>10</v>
      </c>
      <c r="E975" s="1" t="s">
        <v>36395</v>
      </c>
      <c r="F975" s="1" t="s">
        <v>3693</v>
      </c>
      <c r="G975" s="1" t="s">
        <v>35240</v>
      </c>
      <c r="H975" s="1" t="s">
        <v>37063</v>
      </c>
      <c r="I975" s="1"/>
      <c r="J975" s="1"/>
      <c r="K975" s="1"/>
      <c r="L975" s="1"/>
      <c r="M975" s="1"/>
      <c r="N975" s="1"/>
      <c r="O975" s="1"/>
      <c r="P975" s="1"/>
      <c r="Q975" s="17"/>
    </row>
    <row x14ac:dyDescent="0.25" r="976" customHeight="1" ht="18.75">
      <c r="A976" s="1"/>
      <c r="B976" s="1" t="s">
        <v>37697</v>
      </c>
      <c r="C976" s="1" t="s">
        <v>7</v>
      </c>
      <c r="D976" s="1" t="s">
        <v>10</v>
      </c>
      <c r="E976" s="1" t="s">
        <v>36395</v>
      </c>
      <c r="F976" s="1" t="s">
        <v>3693</v>
      </c>
      <c r="G976" s="1" t="s">
        <v>35242</v>
      </c>
      <c r="H976" s="1" t="s">
        <v>37063</v>
      </c>
      <c r="I976" s="1"/>
      <c r="J976" s="1"/>
      <c r="K976" s="1"/>
      <c r="L976" s="1"/>
      <c r="M976" s="1"/>
      <c r="N976" s="1"/>
      <c r="O976" s="1"/>
      <c r="P976" s="1"/>
      <c r="Q976" s="17"/>
    </row>
    <row x14ac:dyDescent="0.25" r="977" customHeight="1" ht="18.75">
      <c r="A977" s="1"/>
      <c r="B977" s="1" t="s">
        <v>37697</v>
      </c>
      <c r="C977" s="1" t="s">
        <v>7</v>
      </c>
      <c r="D977" s="1" t="s">
        <v>10</v>
      </c>
      <c r="E977" s="1" t="s">
        <v>37034</v>
      </c>
      <c r="F977" s="1" t="s">
        <v>3693</v>
      </c>
      <c r="G977" s="1" t="s">
        <v>37698</v>
      </c>
      <c r="H977" s="1" t="s">
        <v>3610</v>
      </c>
      <c r="I977" s="1"/>
      <c r="J977" s="1"/>
      <c r="K977" s="1"/>
      <c r="L977" s="1"/>
      <c r="M977" s="1"/>
      <c r="N977" s="1"/>
      <c r="O977" s="1"/>
      <c r="P977" s="1"/>
      <c r="Q977" s="17"/>
    </row>
    <row x14ac:dyDescent="0.25" r="978" customHeight="1" ht="18.75">
      <c r="A978" s="1"/>
      <c r="B978" s="1" t="s">
        <v>37697</v>
      </c>
      <c r="C978" s="1" t="s">
        <v>7</v>
      </c>
      <c r="D978" s="1" t="s">
        <v>10</v>
      </c>
      <c r="E978" s="1" t="s">
        <v>37034</v>
      </c>
      <c r="F978" s="1" t="s">
        <v>3693</v>
      </c>
      <c r="G978" s="1" t="s">
        <v>37699</v>
      </c>
      <c r="H978" s="1" t="s">
        <v>3610</v>
      </c>
      <c r="I978" s="1"/>
      <c r="J978" s="1"/>
      <c r="K978" s="1"/>
      <c r="L978" s="1"/>
      <c r="M978" s="1"/>
      <c r="N978" s="1"/>
      <c r="O978" s="1"/>
      <c r="P978" s="1"/>
      <c r="Q978" s="17"/>
    </row>
    <row x14ac:dyDescent="0.25" r="979" customHeight="1" ht="18.75">
      <c r="A979" s="1"/>
      <c r="B979" s="1" t="s">
        <v>37697</v>
      </c>
      <c r="C979" s="1" t="s">
        <v>7</v>
      </c>
      <c r="D979" s="1" t="s">
        <v>10</v>
      </c>
      <c r="E979" s="1" t="s">
        <v>37034</v>
      </c>
      <c r="F979" s="1" t="s">
        <v>3693</v>
      </c>
      <c r="G979" s="1" t="s">
        <v>37700</v>
      </c>
      <c r="H979" s="1" t="s">
        <v>3610</v>
      </c>
      <c r="I979" s="1"/>
      <c r="J979" s="1"/>
      <c r="K979" s="1"/>
      <c r="L979" s="1"/>
      <c r="M979" s="1"/>
      <c r="N979" s="1"/>
      <c r="O979" s="1"/>
      <c r="P979" s="1"/>
      <c r="Q979" s="17"/>
    </row>
    <row x14ac:dyDescent="0.25" r="980" customHeight="1" ht="18.75">
      <c r="A980" s="1"/>
      <c r="B980" s="1" t="s">
        <v>37697</v>
      </c>
      <c r="C980" s="1" t="s">
        <v>7</v>
      </c>
      <c r="D980" s="1" t="s">
        <v>10</v>
      </c>
      <c r="E980" s="1" t="s">
        <v>37034</v>
      </c>
      <c r="F980" s="1" t="s">
        <v>3693</v>
      </c>
      <c r="G980" s="1" t="s">
        <v>37701</v>
      </c>
      <c r="H980" s="1" t="s">
        <v>3610</v>
      </c>
      <c r="I980" s="1"/>
      <c r="J980" s="1"/>
      <c r="K980" s="1"/>
      <c r="L980" s="1"/>
      <c r="M980" s="1"/>
      <c r="N980" s="1"/>
      <c r="O980" s="1"/>
      <c r="P980" s="1"/>
      <c r="Q980" s="17"/>
    </row>
    <row x14ac:dyDescent="0.25" r="981" customHeight="1" ht="18.75">
      <c r="A981" s="1"/>
      <c r="B981" s="1" t="s">
        <v>37702</v>
      </c>
      <c r="C981" s="1" t="s">
        <v>7</v>
      </c>
      <c r="D981" s="1" t="s">
        <v>10</v>
      </c>
      <c r="E981" s="1" t="s">
        <v>36395</v>
      </c>
      <c r="F981" s="1" t="s">
        <v>3693</v>
      </c>
      <c r="G981" s="1" t="s">
        <v>35246</v>
      </c>
      <c r="H981" s="1" t="s">
        <v>37107</v>
      </c>
      <c r="I981" s="1"/>
      <c r="J981" s="1"/>
      <c r="K981" s="1"/>
      <c r="L981" s="1"/>
      <c r="M981" s="1"/>
      <c r="N981" s="1"/>
      <c r="O981" s="1"/>
      <c r="P981" s="1"/>
      <c r="Q981" s="17"/>
    </row>
    <row x14ac:dyDescent="0.25" r="982" customHeight="1" ht="18.75">
      <c r="A982" s="1"/>
      <c r="B982" s="1" t="s">
        <v>37702</v>
      </c>
      <c r="C982" s="1" t="s">
        <v>7</v>
      </c>
      <c r="D982" s="1" t="s">
        <v>10</v>
      </c>
      <c r="E982" s="1" t="s">
        <v>36395</v>
      </c>
      <c r="F982" s="1" t="s">
        <v>3693</v>
      </c>
      <c r="G982" s="1" t="s">
        <v>35248</v>
      </c>
      <c r="H982" s="1" t="s">
        <v>37107</v>
      </c>
      <c r="I982" s="1"/>
      <c r="J982" s="1"/>
      <c r="K982" s="1"/>
      <c r="L982" s="1"/>
      <c r="M982" s="1"/>
      <c r="N982" s="1"/>
      <c r="O982" s="1"/>
      <c r="P982" s="1"/>
      <c r="Q982" s="17"/>
    </row>
    <row x14ac:dyDescent="0.25" r="983" customHeight="1" ht="18.75">
      <c r="A983" s="1"/>
      <c r="B983" s="1" t="s">
        <v>37702</v>
      </c>
      <c r="C983" s="1" t="s">
        <v>7</v>
      </c>
      <c r="D983" s="1" t="s">
        <v>10</v>
      </c>
      <c r="E983" s="1" t="s">
        <v>37034</v>
      </c>
      <c r="F983" s="1" t="s">
        <v>3693</v>
      </c>
      <c r="G983" s="1" t="s">
        <v>37703</v>
      </c>
      <c r="H983" s="1" t="s">
        <v>37037</v>
      </c>
      <c r="I983" s="1"/>
      <c r="J983" s="1"/>
      <c r="K983" s="1"/>
      <c r="L983" s="1"/>
      <c r="M983" s="1"/>
      <c r="N983" s="1"/>
      <c r="O983" s="1"/>
      <c r="P983" s="1"/>
      <c r="Q983" s="17"/>
    </row>
    <row x14ac:dyDescent="0.25" r="984" customHeight="1" ht="18.75">
      <c r="A984" s="1"/>
      <c r="B984" s="1" t="s">
        <v>37702</v>
      </c>
      <c r="C984" s="1" t="s">
        <v>7</v>
      </c>
      <c r="D984" s="1" t="s">
        <v>10</v>
      </c>
      <c r="E984" s="1" t="s">
        <v>37034</v>
      </c>
      <c r="F984" s="1" t="s">
        <v>3693</v>
      </c>
      <c r="G984" s="1" t="s">
        <v>37704</v>
      </c>
      <c r="H984" s="1" t="s">
        <v>37037</v>
      </c>
      <c r="I984" s="1"/>
      <c r="J984" s="1"/>
      <c r="K984" s="1"/>
      <c r="L984" s="1"/>
      <c r="M984" s="1"/>
      <c r="N984" s="1"/>
      <c r="O984" s="1"/>
      <c r="P984" s="1"/>
      <c r="Q984" s="17"/>
    </row>
    <row x14ac:dyDescent="0.25" r="985" customHeight="1" ht="18.75">
      <c r="A985" s="1"/>
      <c r="B985" s="1" t="s">
        <v>37702</v>
      </c>
      <c r="C985" s="1" t="s">
        <v>7</v>
      </c>
      <c r="D985" s="1" t="s">
        <v>10</v>
      </c>
      <c r="E985" s="1" t="s">
        <v>37034</v>
      </c>
      <c r="F985" s="1" t="s">
        <v>3693</v>
      </c>
      <c r="G985" s="1" t="s">
        <v>37705</v>
      </c>
      <c r="H985" s="1" t="s">
        <v>37037</v>
      </c>
      <c r="I985" s="1"/>
      <c r="J985" s="1"/>
      <c r="K985" s="1"/>
      <c r="L985" s="1"/>
      <c r="M985" s="1"/>
      <c r="N985" s="1"/>
      <c r="O985" s="1"/>
      <c r="P985" s="1"/>
      <c r="Q985" s="17"/>
    </row>
    <row x14ac:dyDescent="0.25" r="986" customHeight="1" ht="18.75">
      <c r="A986" s="1"/>
      <c r="B986" s="1" t="s">
        <v>37702</v>
      </c>
      <c r="C986" s="1" t="s">
        <v>7</v>
      </c>
      <c r="D986" s="1" t="s">
        <v>10</v>
      </c>
      <c r="E986" s="1" t="s">
        <v>37034</v>
      </c>
      <c r="F986" s="1" t="s">
        <v>3693</v>
      </c>
      <c r="G986" s="1" t="s">
        <v>37706</v>
      </c>
      <c r="H986" s="1" t="s">
        <v>533</v>
      </c>
      <c r="I986" s="1"/>
      <c r="J986" s="1"/>
      <c r="K986" s="1"/>
      <c r="L986" s="1"/>
      <c r="M986" s="1"/>
      <c r="N986" s="1"/>
      <c r="O986" s="1"/>
      <c r="P986" s="1"/>
      <c r="Q986" s="17"/>
    </row>
    <row x14ac:dyDescent="0.25" r="987" customHeight="1" ht="18.75">
      <c r="A987" s="1"/>
      <c r="B987" s="1" t="s">
        <v>37702</v>
      </c>
      <c r="C987" s="1" t="s">
        <v>7</v>
      </c>
      <c r="D987" s="1" t="s">
        <v>10</v>
      </c>
      <c r="E987" s="1" t="s">
        <v>37034</v>
      </c>
      <c r="F987" s="1" t="s">
        <v>3693</v>
      </c>
      <c r="G987" s="1" t="s">
        <v>37707</v>
      </c>
      <c r="H987" s="1" t="s">
        <v>3610</v>
      </c>
      <c r="I987" s="1"/>
      <c r="J987" s="1"/>
      <c r="K987" s="1"/>
      <c r="L987" s="1"/>
      <c r="M987" s="1"/>
      <c r="N987" s="1"/>
      <c r="O987" s="1"/>
      <c r="P987" s="1"/>
      <c r="Q987" s="17"/>
    </row>
    <row x14ac:dyDescent="0.25" r="988" customHeight="1" ht="18.75">
      <c r="A988" s="1"/>
      <c r="B988" s="1" t="s">
        <v>37702</v>
      </c>
      <c r="C988" s="1" t="s">
        <v>7</v>
      </c>
      <c r="D988" s="1" t="s">
        <v>10</v>
      </c>
      <c r="E988" s="1" t="s">
        <v>36395</v>
      </c>
      <c r="F988" s="1" t="s">
        <v>3693</v>
      </c>
      <c r="G988" s="1" t="s">
        <v>37708</v>
      </c>
      <c r="H988" s="1" t="s">
        <v>37107</v>
      </c>
      <c r="I988" s="1"/>
      <c r="J988" s="1"/>
      <c r="K988" s="1"/>
      <c r="L988" s="1"/>
      <c r="M988" s="1"/>
      <c r="N988" s="1"/>
      <c r="O988" s="1"/>
      <c r="P988" s="1"/>
      <c r="Q988" s="17"/>
    </row>
    <row x14ac:dyDescent="0.25" r="989" customHeight="1" ht="18.75">
      <c r="A989" s="1"/>
      <c r="B989" s="1" t="s">
        <v>37702</v>
      </c>
      <c r="C989" s="1" t="s">
        <v>7</v>
      </c>
      <c r="D989" s="1" t="s">
        <v>10</v>
      </c>
      <c r="E989" s="1" t="s">
        <v>36395</v>
      </c>
      <c r="F989" s="1" t="s">
        <v>3693</v>
      </c>
      <c r="G989" s="1" t="s">
        <v>37709</v>
      </c>
      <c r="H989" s="1" t="s">
        <v>37107</v>
      </c>
      <c r="I989" s="1"/>
      <c r="J989" s="1"/>
      <c r="K989" s="1"/>
      <c r="L989" s="1"/>
      <c r="M989" s="1"/>
      <c r="N989" s="1"/>
      <c r="O989" s="1"/>
      <c r="P989" s="1"/>
      <c r="Q989" s="17"/>
    </row>
    <row x14ac:dyDescent="0.25" r="990" customHeight="1" ht="18.75">
      <c r="A990" s="1"/>
      <c r="B990" s="1" t="s">
        <v>37710</v>
      </c>
      <c r="C990" s="1" t="s">
        <v>7</v>
      </c>
      <c r="D990" s="1" t="s">
        <v>10</v>
      </c>
      <c r="E990" s="1" t="s">
        <v>36395</v>
      </c>
      <c r="F990" s="1" t="s">
        <v>3693</v>
      </c>
      <c r="G990" s="1" t="s">
        <v>35196</v>
      </c>
      <c r="H990" s="1" t="s">
        <v>7847</v>
      </c>
      <c r="I990" s="1"/>
      <c r="J990" s="1"/>
      <c r="K990" s="1"/>
      <c r="L990" s="1"/>
      <c r="M990" s="1"/>
      <c r="N990" s="1"/>
      <c r="O990" s="1"/>
      <c r="P990" s="1"/>
      <c r="Q990" s="17"/>
    </row>
    <row x14ac:dyDescent="0.25" r="991" customHeight="1" ht="18.75">
      <c r="A991" s="1"/>
      <c r="B991" s="1" t="s">
        <v>37710</v>
      </c>
      <c r="C991" s="1" t="s">
        <v>7</v>
      </c>
      <c r="D991" s="1" t="s">
        <v>10</v>
      </c>
      <c r="E991" s="1" t="s">
        <v>37034</v>
      </c>
      <c r="F991" s="1" t="s">
        <v>3693</v>
      </c>
      <c r="G991" s="1" t="s">
        <v>37711</v>
      </c>
      <c r="H991" s="1" t="s">
        <v>37037</v>
      </c>
      <c r="I991" s="1"/>
      <c r="J991" s="1"/>
      <c r="K991" s="1"/>
      <c r="L991" s="1"/>
      <c r="M991" s="1"/>
      <c r="N991" s="1"/>
      <c r="O991" s="1"/>
      <c r="P991" s="1"/>
      <c r="Q991" s="17"/>
    </row>
    <row x14ac:dyDescent="0.25" r="992" customHeight="1" ht="18.75">
      <c r="A992" s="1"/>
      <c r="B992" s="1" t="s">
        <v>37710</v>
      </c>
      <c r="C992" s="1" t="s">
        <v>7</v>
      </c>
      <c r="D992" s="1" t="s">
        <v>10</v>
      </c>
      <c r="E992" s="1" t="s">
        <v>37034</v>
      </c>
      <c r="F992" s="1" t="s">
        <v>3693</v>
      </c>
      <c r="G992" s="1" t="s">
        <v>37712</v>
      </c>
      <c r="H992" s="1" t="s">
        <v>37037</v>
      </c>
      <c r="I992" s="1"/>
      <c r="J992" s="1"/>
      <c r="K992" s="1"/>
      <c r="L992" s="1"/>
      <c r="M992" s="1"/>
      <c r="N992" s="1"/>
      <c r="O992" s="1"/>
      <c r="P992" s="1"/>
      <c r="Q992" s="17"/>
    </row>
    <row x14ac:dyDescent="0.25" r="993" customHeight="1" ht="18.75">
      <c r="A993" s="1"/>
      <c r="B993" s="1" t="s">
        <v>37710</v>
      </c>
      <c r="C993" s="1" t="s">
        <v>7</v>
      </c>
      <c r="D993" s="1" t="s">
        <v>10</v>
      </c>
      <c r="E993" s="1" t="s">
        <v>37034</v>
      </c>
      <c r="F993" s="1" t="s">
        <v>3693</v>
      </c>
      <c r="G993" s="1" t="s">
        <v>37713</v>
      </c>
      <c r="H993" s="1" t="s">
        <v>37037</v>
      </c>
      <c r="I993" s="1"/>
      <c r="J993" s="1"/>
      <c r="K993" s="1"/>
      <c r="L993" s="1"/>
      <c r="M993" s="1"/>
      <c r="N993" s="1"/>
      <c r="O993" s="1"/>
      <c r="P993" s="1"/>
      <c r="Q993" s="17"/>
    </row>
    <row x14ac:dyDescent="0.25" r="994" customHeight="1" ht="18.75">
      <c r="A994" s="1"/>
      <c r="B994" s="1" t="s">
        <v>37710</v>
      </c>
      <c r="C994" s="1" t="s">
        <v>7</v>
      </c>
      <c r="D994" s="1" t="s">
        <v>10</v>
      </c>
      <c r="E994" s="1" t="s">
        <v>37034</v>
      </c>
      <c r="F994" s="1" t="s">
        <v>3693</v>
      </c>
      <c r="G994" s="1" t="s">
        <v>37714</v>
      </c>
      <c r="H994" s="1" t="s">
        <v>3610</v>
      </c>
      <c r="I994" s="1"/>
      <c r="J994" s="1"/>
      <c r="K994" s="1"/>
      <c r="L994" s="1"/>
      <c r="M994" s="1"/>
      <c r="N994" s="1"/>
      <c r="O994" s="1"/>
      <c r="P994" s="1"/>
      <c r="Q994" s="17"/>
    </row>
    <row x14ac:dyDescent="0.25" r="995" customHeight="1" ht="18.75">
      <c r="A995" s="1"/>
      <c r="B995" s="1" t="s">
        <v>37710</v>
      </c>
      <c r="C995" s="1" t="s">
        <v>7</v>
      </c>
      <c r="D995" s="1" t="s">
        <v>10</v>
      </c>
      <c r="E995" s="1" t="s">
        <v>37034</v>
      </c>
      <c r="F995" s="1" t="s">
        <v>3693</v>
      </c>
      <c r="G995" s="1" t="s">
        <v>37715</v>
      </c>
      <c r="H995" s="1" t="s">
        <v>3610</v>
      </c>
      <c r="I995" s="1"/>
      <c r="J995" s="1"/>
      <c r="K995" s="1"/>
      <c r="L995" s="1"/>
      <c r="M995" s="1"/>
      <c r="N995" s="1"/>
      <c r="O995" s="1"/>
      <c r="P995" s="1"/>
      <c r="Q995" s="17"/>
    </row>
    <row x14ac:dyDescent="0.25" r="996" customHeight="1" ht="18.75">
      <c r="A996" s="1"/>
      <c r="B996" s="1" t="s">
        <v>37710</v>
      </c>
      <c r="C996" s="1" t="s">
        <v>7</v>
      </c>
      <c r="D996" s="1" t="s">
        <v>10</v>
      </c>
      <c r="E996" s="1" t="s">
        <v>37034</v>
      </c>
      <c r="F996" s="1" t="s">
        <v>3693</v>
      </c>
      <c r="G996" s="1" t="s">
        <v>37716</v>
      </c>
      <c r="H996" s="1" t="s">
        <v>37057</v>
      </c>
      <c r="I996" s="1"/>
      <c r="J996" s="1"/>
      <c r="K996" s="1"/>
      <c r="L996" s="1"/>
      <c r="M996" s="1"/>
      <c r="N996" s="1"/>
      <c r="O996" s="1"/>
      <c r="P996" s="1"/>
      <c r="Q996" s="17"/>
    </row>
    <row x14ac:dyDescent="0.25" r="997" customHeight="1" ht="18.75">
      <c r="A997" s="1"/>
      <c r="B997" s="1" t="s">
        <v>37710</v>
      </c>
      <c r="C997" s="1" t="s">
        <v>7</v>
      </c>
      <c r="D997" s="1" t="s">
        <v>10</v>
      </c>
      <c r="E997" s="1" t="s">
        <v>37034</v>
      </c>
      <c r="F997" s="1" t="s">
        <v>3693</v>
      </c>
      <c r="G997" s="1" t="s">
        <v>37717</v>
      </c>
      <c r="H997" s="1" t="s">
        <v>3610</v>
      </c>
      <c r="I997" s="1"/>
      <c r="J997" s="1"/>
      <c r="K997" s="1"/>
      <c r="L997" s="1"/>
      <c r="M997" s="1"/>
      <c r="N997" s="1"/>
      <c r="O997" s="1"/>
      <c r="P997" s="1"/>
      <c r="Q997" s="17"/>
    </row>
    <row x14ac:dyDescent="0.25" r="998" customHeight="1" ht="18.75">
      <c r="A998" s="1"/>
      <c r="B998" s="1" t="s">
        <v>37710</v>
      </c>
      <c r="C998" s="1" t="s">
        <v>7</v>
      </c>
      <c r="D998" s="1" t="s">
        <v>10</v>
      </c>
      <c r="E998" s="1" t="s">
        <v>37034</v>
      </c>
      <c r="F998" s="1" t="s">
        <v>3693</v>
      </c>
      <c r="G998" s="1" t="s">
        <v>37718</v>
      </c>
      <c r="H998" s="1" t="s">
        <v>3695</v>
      </c>
      <c r="I998" s="1"/>
      <c r="J998" s="1"/>
      <c r="K998" s="1"/>
      <c r="L998" s="1"/>
      <c r="M998" s="1"/>
      <c r="N998" s="1"/>
      <c r="O998" s="1"/>
      <c r="P998" s="1"/>
      <c r="Q998" s="17"/>
    </row>
    <row x14ac:dyDescent="0.25" r="999" customHeight="1" ht="18.75">
      <c r="A999" s="1"/>
      <c r="B999" s="1" t="s">
        <v>37710</v>
      </c>
      <c r="C999" s="1" t="s">
        <v>7</v>
      </c>
      <c r="D999" s="1" t="s">
        <v>10</v>
      </c>
      <c r="E999" s="1" t="s">
        <v>37034</v>
      </c>
      <c r="F999" s="1" t="s">
        <v>3693</v>
      </c>
      <c r="G999" s="1" t="s">
        <v>37719</v>
      </c>
      <c r="H999" s="1" t="s">
        <v>3695</v>
      </c>
      <c r="I999" s="1"/>
      <c r="J999" s="1"/>
      <c r="K999" s="1"/>
      <c r="L999" s="1"/>
      <c r="M999" s="1"/>
      <c r="N999" s="1"/>
      <c r="O999" s="1"/>
      <c r="P999" s="1"/>
      <c r="Q999" s="17"/>
    </row>
    <row x14ac:dyDescent="0.25" r="1000" customHeight="1" ht="18.75">
      <c r="A1000" s="1"/>
      <c r="B1000" s="1" t="s">
        <v>37710</v>
      </c>
      <c r="C1000" s="1" t="s">
        <v>7</v>
      </c>
      <c r="D1000" s="1" t="s">
        <v>10</v>
      </c>
      <c r="E1000" s="1" t="s">
        <v>37034</v>
      </c>
      <c r="F1000" s="1" t="s">
        <v>3693</v>
      </c>
      <c r="G1000" s="1" t="s">
        <v>37720</v>
      </c>
      <c r="H1000" s="1" t="s">
        <v>3695</v>
      </c>
      <c r="I1000" s="1"/>
      <c r="J1000" s="1"/>
      <c r="K1000" s="1"/>
      <c r="L1000" s="1"/>
      <c r="M1000" s="1"/>
      <c r="N1000" s="1"/>
      <c r="O1000" s="1"/>
      <c r="P1000" s="1"/>
      <c r="Q1000" s="17"/>
    </row>
    <row x14ac:dyDescent="0.25" r="1001" customHeight="1" ht="18.75">
      <c r="A1001" s="1"/>
      <c r="B1001" s="1" t="s">
        <v>37710</v>
      </c>
      <c r="C1001" s="1" t="s">
        <v>7</v>
      </c>
      <c r="D1001" s="1" t="s">
        <v>10</v>
      </c>
      <c r="E1001" s="1" t="s">
        <v>37034</v>
      </c>
      <c r="F1001" s="1" t="s">
        <v>3693</v>
      </c>
      <c r="G1001" s="1" t="s">
        <v>37721</v>
      </c>
      <c r="H1001" s="1" t="s">
        <v>37037</v>
      </c>
      <c r="I1001" s="1"/>
      <c r="J1001" s="1"/>
      <c r="K1001" s="1"/>
      <c r="L1001" s="1"/>
      <c r="M1001" s="1"/>
      <c r="N1001" s="1"/>
      <c r="O1001" s="1"/>
      <c r="P1001" s="1"/>
      <c r="Q1001" s="17"/>
    </row>
    <row x14ac:dyDescent="0.25" r="1002" customHeight="1" ht="18.75">
      <c r="A1002" s="1"/>
      <c r="B1002" s="1" t="s">
        <v>37710</v>
      </c>
      <c r="C1002" s="1" t="s">
        <v>7</v>
      </c>
      <c r="D1002" s="1" t="s">
        <v>10</v>
      </c>
      <c r="E1002" s="1" t="s">
        <v>37034</v>
      </c>
      <c r="F1002" s="1" t="s">
        <v>3693</v>
      </c>
      <c r="G1002" s="1" t="s">
        <v>37722</v>
      </c>
      <c r="H1002" s="1" t="s">
        <v>37037</v>
      </c>
      <c r="I1002" s="1"/>
      <c r="J1002" s="1"/>
      <c r="K1002" s="1"/>
      <c r="L1002" s="1"/>
      <c r="M1002" s="1"/>
      <c r="N1002" s="1"/>
      <c r="O1002" s="1"/>
      <c r="P1002" s="1"/>
      <c r="Q1002" s="17"/>
    </row>
    <row x14ac:dyDescent="0.25" r="1003" customHeight="1" ht="18.75">
      <c r="A1003" s="1"/>
      <c r="B1003" s="1" t="s">
        <v>37710</v>
      </c>
      <c r="C1003" s="1" t="s">
        <v>7</v>
      </c>
      <c r="D1003" s="1" t="s">
        <v>10</v>
      </c>
      <c r="E1003" s="1" t="s">
        <v>37034</v>
      </c>
      <c r="F1003" s="1" t="s">
        <v>3693</v>
      </c>
      <c r="G1003" s="1" t="s">
        <v>37723</v>
      </c>
      <c r="H1003" s="1" t="s">
        <v>37037</v>
      </c>
      <c r="I1003" s="1"/>
      <c r="J1003" s="1"/>
      <c r="K1003" s="1"/>
      <c r="L1003" s="1"/>
      <c r="M1003" s="1"/>
      <c r="N1003" s="1"/>
      <c r="O1003" s="1"/>
      <c r="P1003" s="1"/>
      <c r="Q1003" s="17"/>
    </row>
    <row x14ac:dyDescent="0.25" r="1004" customHeight="1" ht="18.75">
      <c r="A1004" s="1"/>
      <c r="B1004" s="1" t="s">
        <v>37710</v>
      </c>
      <c r="C1004" s="1" t="s">
        <v>7</v>
      </c>
      <c r="D1004" s="1" t="s">
        <v>10</v>
      </c>
      <c r="E1004" s="1" t="s">
        <v>37034</v>
      </c>
      <c r="F1004" s="1" t="s">
        <v>3693</v>
      </c>
      <c r="G1004" s="1" t="s">
        <v>37724</v>
      </c>
      <c r="H1004" s="1" t="s">
        <v>3610</v>
      </c>
      <c r="I1004" s="1"/>
      <c r="J1004" s="1"/>
      <c r="K1004" s="1"/>
      <c r="L1004" s="1"/>
      <c r="M1004" s="1"/>
      <c r="N1004" s="1"/>
      <c r="O1004" s="1"/>
      <c r="P1004" s="1"/>
      <c r="Q1004" s="17"/>
    </row>
    <row x14ac:dyDescent="0.25" r="1005" customHeight="1" ht="18.75">
      <c r="A1005" s="1"/>
      <c r="B1005" s="1" t="s">
        <v>37710</v>
      </c>
      <c r="C1005" s="1" t="s">
        <v>7</v>
      </c>
      <c r="D1005" s="1" t="s">
        <v>10</v>
      </c>
      <c r="E1005" s="1" t="s">
        <v>37034</v>
      </c>
      <c r="F1005" s="1" t="s">
        <v>3693</v>
      </c>
      <c r="G1005" s="1" t="s">
        <v>37725</v>
      </c>
      <c r="H1005" s="1" t="s">
        <v>3610</v>
      </c>
      <c r="I1005" s="1"/>
      <c r="J1005" s="1"/>
      <c r="K1005" s="1"/>
      <c r="L1005" s="1"/>
      <c r="M1005" s="1"/>
      <c r="N1005" s="1"/>
      <c r="O1005" s="1"/>
      <c r="P1005" s="1"/>
      <c r="Q1005" s="17"/>
    </row>
    <row x14ac:dyDescent="0.25" r="1006" customHeight="1" ht="18.75">
      <c r="A1006" s="1"/>
      <c r="B1006" s="1" t="s">
        <v>37710</v>
      </c>
      <c r="C1006" s="1" t="s">
        <v>7</v>
      </c>
      <c r="D1006" s="1" t="s">
        <v>10</v>
      </c>
      <c r="E1006" s="1" t="s">
        <v>37034</v>
      </c>
      <c r="F1006" s="1" t="s">
        <v>3693</v>
      </c>
      <c r="G1006" s="1" t="s">
        <v>37726</v>
      </c>
      <c r="H1006" s="1" t="s">
        <v>3610</v>
      </c>
      <c r="I1006" s="1"/>
      <c r="J1006" s="1"/>
      <c r="K1006" s="1"/>
      <c r="L1006" s="1"/>
      <c r="M1006" s="1"/>
      <c r="N1006" s="1"/>
      <c r="O1006" s="1"/>
      <c r="P1006" s="1"/>
      <c r="Q1006" s="17"/>
    </row>
    <row x14ac:dyDescent="0.25" r="1007" customHeight="1" ht="18.75">
      <c r="A1007" s="1"/>
      <c r="B1007" s="1" t="s">
        <v>37710</v>
      </c>
      <c r="C1007" s="1" t="s">
        <v>7</v>
      </c>
      <c r="D1007" s="1" t="s">
        <v>10</v>
      </c>
      <c r="E1007" s="1" t="s">
        <v>37034</v>
      </c>
      <c r="F1007" s="1" t="s">
        <v>3693</v>
      </c>
      <c r="G1007" s="1" t="s">
        <v>37727</v>
      </c>
      <c r="H1007" s="1" t="s">
        <v>3610</v>
      </c>
      <c r="I1007" s="1"/>
      <c r="J1007" s="1"/>
      <c r="K1007" s="1"/>
      <c r="L1007" s="1"/>
      <c r="M1007" s="1"/>
      <c r="N1007" s="1"/>
      <c r="O1007" s="1"/>
      <c r="P1007" s="1"/>
      <c r="Q1007" s="17"/>
    </row>
    <row x14ac:dyDescent="0.25" r="1008" customHeight="1" ht="18.75">
      <c r="A1008" s="1"/>
      <c r="B1008" s="1" t="s">
        <v>37710</v>
      </c>
      <c r="C1008" s="1" t="s">
        <v>7</v>
      </c>
      <c r="D1008" s="1" t="s">
        <v>10</v>
      </c>
      <c r="E1008" s="1" t="s">
        <v>37034</v>
      </c>
      <c r="F1008" s="1" t="s">
        <v>3693</v>
      </c>
      <c r="G1008" s="1" t="s">
        <v>37728</v>
      </c>
      <c r="H1008" s="1" t="s">
        <v>3610</v>
      </c>
      <c r="I1008" s="1"/>
      <c r="J1008" s="1"/>
      <c r="K1008" s="1"/>
      <c r="L1008" s="1"/>
      <c r="M1008" s="1"/>
      <c r="N1008" s="1"/>
      <c r="O1008" s="1"/>
      <c r="P1008" s="1"/>
      <c r="Q1008" s="17"/>
    </row>
    <row x14ac:dyDescent="0.25" r="1009" customHeight="1" ht="18.75">
      <c r="A1009" s="1"/>
      <c r="B1009" s="1" t="s">
        <v>37710</v>
      </c>
      <c r="C1009" s="1" t="s">
        <v>7</v>
      </c>
      <c r="D1009" s="1" t="s">
        <v>10</v>
      </c>
      <c r="E1009" s="1" t="s">
        <v>37034</v>
      </c>
      <c r="F1009" s="1" t="s">
        <v>3693</v>
      </c>
      <c r="G1009" s="1" t="s">
        <v>37729</v>
      </c>
      <c r="H1009" s="1" t="s">
        <v>3610</v>
      </c>
      <c r="I1009" s="1"/>
      <c r="J1009" s="1"/>
      <c r="K1009" s="1"/>
      <c r="L1009" s="1"/>
      <c r="M1009" s="1"/>
      <c r="N1009" s="1"/>
      <c r="O1009" s="1"/>
      <c r="P1009" s="1"/>
      <c r="Q1009" s="17"/>
    </row>
    <row x14ac:dyDescent="0.25" r="1010" customHeight="1" ht="18.75">
      <c r="A1010" s="1"/>
      <c r="B1010" s="1" t="s">
        <v>37710</v>
      </c>
      <c r="C1010" s="1" t="s">
        <v>7</v>
      </c>
      <c r="D1010" s="1" t="s">
        <v>10</v>
      </c>
      <c r="E1010" s="1" t="s">
        <v>37034</v>
      </c>
      <c r="F1010" s="1" t="s">
        <v>3693</v>
      </c>
      <c r="G1010" s="1" t="s">
        <v>37730</v>
      </c>
      <c r="H1010" s="1" t="s">
        <v>3610</v>
      </c>
      <c r="I1010" s="1"/>
      <c r="J1010" s="1"/>
      <c r="K1010" s="1"/>
      <c r="L1010" s="1"/>
      <c r="M1010" s="1"/>
      <c r="N1010" s="1"/>
      <c r="O1010" s="1"/>
      <c r="P1010" s="1"/>
      <c r="Q1010" s="17"/>
    </row>
    <row x14ac:dyDescent="0.25" r="1011" customHeight="1" ht="18.75">
      <c r="A1011" s="1"/>
      <c r="B1011" s="1" t="s">
        <v>37710</v>
      </c>
      <c r="C1011" s="1" t="s">
        <v>7</v>
      </c>
      <c r="D1011" s="1" t="s">
        <v>10</v>
      </c>
      <c r="E1011" s="1" t="s">
        <v>37034</v>
      </c>
      <c r="F1011" s="1" t="s">
        <v>3693</v>
      </c>
      <c r="G1011" s="1" t="s">
        <v>37731</v>
      </c>
      <c r="H1011" s="1" t="s">
        <v>3610</v>
      </c>
      <c r="I1011" s="1"/>
      <c r="J1011" s="1"/>
      <c r="K1011" s="1"/>
      <c r="L1011" s="1"/>
      <c r="M1011" s="1"/>
      <c r="N1011" s="1"/>
      <c r="O1011" s="1"/>
      <c r="P1011" s="1"/>
      <c r="Q1011" s="17"/>
    </row>
    <row x14ac:dyDescent="0.25" r="1012" customHeight="1" ht="18.75">
      <c r="A1012" s="1"/>
      <c r="B1012" s="1" t="s">
        <v>37710</v>
      </c>
      <c r="C1012" s="1" t="s">
        <v>7</v>
      </c>
      <c r="D1012" s="1" t="s">
        <v>10</v>
      </c>
      <c r="E1012" s="1" t="s">
        <v>37034</v>
      </c>
      <c r="F1012" s="1" t="s">
        <v>3693</v>
      </c>
      <c r="G1012" s="1" t="s">
        <v>37732</v>
      </c>
      <c r="H1012" s="1" t="s">
        <v>3695</v>
      </c>
      <c r="I1012" s="1"/>
      <c r="J1012" s="1"/>
      <c r="K1012" s="1"/>
      <c r="L1012" s="1"/>
      <c r="M1012" s="1"/>
      <c r="N1012" s="1"/>
      <c r="O1012" s="1"/>
      <c r="P1012" s="1"/>
      <c r="Q1012" s="17"/>
    </row>
    <row x14ac:dyDescent="0.25" r="1013" customHeight="1" ht="18.75">
      <c r="A1013" s="1"/>
      <c r="B1013" s="1" t="s">
        <v>37710</v>
      </c>
      <c r="C1013" s="1" t="s">
        <v>7</v>
      </c>
      <c r="D1013" s="1" t="s">
        <v>10</v>
      </c>
      <c r="E1013" s="1" t="s">
        <v>37034</v>
      </c>
      <c r="F1013" s="1" t="s">
        <v>3693</v>
      </c>
      <c r="G1013" s="1" t="s">
        <v>37733</v>
      </c>
      <c r="H1013" s="1" t="s">
        <v>3695</v>
      </c>
      <c r="I1013" s="1"/>
      <c r="J1013" s="1"/>
      <c r="K1013" s="1"/>
      <c r="L1013" s="1"/>
      <c r="M1013" s="1"/>
      <c r="N1013" s="1"/>
      <c r="O1013" s="1"/>
      <c r="P1013" s="1"/>
      <c r="Q1013" s="17"/>
    </row>
    <row x14ac:dyDescent="0.25" r="1014" customHeight="1" ht="18.75">
      <c r="A1014" s="1"/>
      <c r="B1014" s="1" t="s">
        <v>37734</v>
      </c>
      <c r="C1014" s="1" t="s">
        <v>7</v>
      </c>
      <c r="D1014" s="1" t="s">
        <v>10</v>
      </c>
      <c r="E1014" s="1" t="s">
        <v>37034</v>
      </c>
      <c r="F1014" s="1" t="s">
        <v>3598</v>
      </c>
      <c r="G1014" s="1" t="s">
        <v>37735</v>
      </c>
      <c r="H1014" s="1" t="s">
        <v>37057</v>
      </c>
      <c r="I1014" s="1"/>
      <c r="J1014" s="1"/>
      <c r="K1014" s="1"/>
      <c r="L1014" s="1"/>
      <c r="M1014" s="1"/>
      <c r="N1014" s="1"/>
      <c r="O1014" s="1"/>
      <c r="P1014" s="1"/>
      <c r="Q1014" s="17"/>
    </row>
    <row x14ac:dyDescent="0.25" r="1015" customHeight="1" ht="18.75">
      <c r="A1015" s="1"/>
      <c r="B1015" s="1" t="s">
        <v>37734</v>
      </c>
      <c r="C1015" s="1" t="s">
        <v>7</v>
      </c>
      <c r="D1015" s="1" t="s">
        <v>10</v>
      </c>
      <c r="E1015" s="1" t="s">
        <v>37034</v>
      </c>
      <c r="F1015" s="1" t="s">
        <v>3598</v>
      </c>
      <c r="G1015" s="1" t="s">
        <v>37736</v>
      </c>
      <c r="H1015" s="1" t="s">
        <v>37057</v>
      </c>
      <c r="I1015" s="1"/>
      <c r="J1015" s="1"/>
      <c r="K1015" s="1"/>
      <c r="L1015" s="1"/>
      <c r="M1015" s="1"/>
      <c r="N1015" s="1"/>
      <c r="O1015" s="1"/>
      <c r="P1015" s="1"/>
      <c r="Q1015" s="17"/>
    </row>
    <row x14ac:dyDescent="0.25" r="1016" customHeight="1" ht="18.75">
      <c r="A1016" s="1"/>
      <c r="B1016" s="1" t="s">
        <v>37734</v>
      </c>
      <c r="C1016" s="1" t="s">
        <v>7</v>
      </c>
      <c r="D1016" s="1" t="s">
        <v>10</v>
      </c>
      <c r="E1016" s="1" t="s">
        <v>36395</v>
      </c>
      <c r="F1016" s="1" t="s">
        <v>3598</v>
      </c>
      <c r="G1016" s="1" t="s">
        <v>37737</v>
      </c>
      <c r="H1016" s="1" t="s">
        <v>7847</v>
      </c>
      <c r="I1016" s="1"/>
      <c r="J1016" s="1"/>
      <c r="K1016" s="1"/>
      <c r="L1016" s="1"/>
      <c r="M1016" s="1"/>
      <c r="N1016" s="1"/>
      <c r="O1016" s="1"/>
      <c r="P1016" s="1"/>
      <c r="Q1016" s="17"/>
    </row>
    <row x14ac:dyDescent="0.25" r="1017" customHeight="1" ht="18.75">
      <c r="A1017" s="1"/>
      <c r="B1017" s="1" t="s">
        <v>37738</v>
      </c>
      <c r="C1017" s="1" t="s">
        <v>7</v>
      </c>
      <c r="D1017" s="1" t="s">
        <v>10</v>
      </c>
      <c r="E1017" s="1" t="s">
        <v>36395</v>
      </c>
      <c r="F1017" s="1" t="s">
        <v>3598</v>
      </c>
      <c r="G1017" s="1" t="s">
        <v>37739</v>
      </c>
      <c r="H1017" s="1" t="s">
        <v>37107</v>
      </c>
      <c r="I1017" s="1"/>
      <c r="J1017" s="1"/>
      <c r="K1017" s="1"/>
      <c r="L1017" s="1"/>
      <c r="M1017" s="1"/>
      <c r="N1017" s="1"/>
      <c r="O1017" s="1"/>
      <c r="P1017" s="1"/>
      <c r="Q1017" s="17"/>
    </row>
    <row x14ac:dyDescent="0.25" r="1018" customHeight="1" ht="18.75">
      <c r="A1018" s="1"/>
      <c r="B1018" s="1" t="s">
        <v>37740</v>
      </c>
      <c r="C1018" s="1" t="s">
        <v>7</v>
      </c>
      <c r="D1018" s="1" t="s">
        <v>10</v>
      </c>
      <c r="E1018" s="1" t="s">
        <v>37034</v>
      </c>
      <c r="F1018" s="1" t="s">
        <v>3598</v>
      </c>
      <c r="G1018" s="1" t="s">
        <v>37741</v>
      </c>
      <c r="H1018" s="1" t="s">
        <v>37102</v>
      </c>
      <c r="I1018" s="1"/>
      <c r="J1018" s="1"/>
      <c r="K1018" s="1"/>
      <c r="L1018" s="1"/>
      <c r="M1018" s="1"/>
      <c r="N1018" s="1"/>
      <c r="O1018" s="1"/>
      <c r="P1018" s="1"/>
      <c r="Q1018" s="17"/>
    </row>
    <row x14ac:dyDescent="0.25" r="1019" customHeight="1" ht="18.75">
      <c r="A1019" s="1"/>
      <c r="B1019" s="1" t="s">
        <v>37740</v>
      </c>
      <c r="C1019" s="1" t="s">
        <v>7</v>
      </c>
      <c r="D1019" s="1" t="s">
        <v>10</v>
      </c>
      <c r="E1019" s="1" t="s">
        <v>37034</v>
      </c>
      <c r="F1019" s="1" t="s">
        <v>3598</v>
      </c>
      <c r="G1019" s="1" t="s">
        <v>37742</v>
      </c>
      <c r="H1019" s="1" t="s">
        <v>37102</v>
      </c>
      <c r="I1019" s="1"/>
      <c r="J1019" s="1"/>
      <c r="K1019" s="1"/>
      <c r="L1019" s="1"/>
      <c r="M1019" s="1"/>
      <c r="N1019" s="1"/>
      <c r="O1019" s="1"/>
      <c r="P1019" s="1"/>
      <c r="Q1019" s="17"/>
    </row>
    <row x14ac:dyDescent="0.25" r="1020" customHeight="1" ht="18.75">
      <c r="A1020" s="1"/>
      <c r="B1020" s="1" t="s">
        <v>37740</v>
      </c>
      <c r="C1020" s="1" t="s">
        <v>7</v>
      </c>
      <c r="D1020" s="1" t="s">
        <v>10</v>
      </c>
      <c r="E1020" s="1" t="s">
        <v>37034</v>
      </c>
      <c r="F1020" s="1" t="s">
        <v>3598</v>
      </c>
      <c r="G1020" s="1" t="s">
        <v>37743</v>
      </c>
      <c r="H1020" s="1" t="s">
        <v>37102</v>
      </c>
      <c r="I1020" s="1"/>
      <c r="J1020" s="1"/>
      <c r="K1020" s="1"/>
      <c r="L1020" s="1"/>
      <c r="M1020" s="1"/>
      <c r="N1020" s="1"/>
      <c r="O1020" s="1"/>
      <c r="P1020" s="1"/>
      <c r="Q1020" s="17"/>
    </row>
    <row x14ac:dyDescent="0.25" r="1021" customHeight="1" ht="18.75">
      <c r="A1021" s="1"/>
      <c r="B1021" s="1" t="s">
        <v>37738</v>
      </c>
      <c r="C1021" s="1" t="s">
        <v>7</v>
      </c>
      <c r="D1021" s="1" t="s">
        <v>10</v>
      </c>
      <c r="E1021" s="1" t="s">
        <v>37034</v>
      </c>
      <c r="F1021" s="1" t="s">
        <v>3598</v>
      </c>
      <c r="G1021" s="1" t="s">
        <v>37744</v>
      </c>
      <c r="H1021" s="1" t="s">
        <v>3610</v>
      </c>
      <c r="I1021" s="1"/>
      <c r="J1021" s="1"/>
      <c r="K1021" s="1"/>
      <c r="L1021" s="1"/>
      <c r="M1021" s="1"/>
      <c r="N1021" s="1"/>
      <c r="O1021" s="1"/>
      <c r="P1021" s="1"/>
      <c r="Q1021" s="17"/>
    </row>
    <row x14ac:dyDescent="0.25" r="1022" customHeight="1" ht="18.75">
      <c r="A1022" s="1"/>
      <c r="B1022" s="1" t="s">
        <v>37738</v>
      </c>
      <c r="C1022" s="1" t="s">
        <v>7</v>
      </c>
      <c r="D1022" s="1" t="s">
        <v>10</v>
      </c>
      <c r="E1022" s="1" t="s">
        <v>37034</v>
      </c>
      <c r="F1022" s="1" t="s">
        <v>3598</v>
      </c>
      <c r="G1022" s="1" t="s">
        <v>37745</v>
      </c>
      <c r="H1022" s="1" t="s">
        <v>3695</v>
      </c>
      <c r="I1022" s="1"/>
      <c r="J1022" s="1"/>
      <c r="K1022" s="1"/>
      <c r="L1022" s="1"/>
      <c r="M1022" s="1"/>
      <c r="N1022" s="1"/>
      <c r="O1022" s="1"/>
      <c r="P1022" s="1"/>
      <c r="Q1022" s="17"/>
    </row>
    <row x14ac:dyDescent="0.25" r="1023" customHeight="1" ht="18.75">
      <c r="A1023" s="1"/>
      <c r="B1023" s="1" t="s">
        <v>37738</v>
      </c>
      <c r="C1023" s="1" t="s">
        <v>7</v>
      </c>
      <c r="D1023" s="1" t="s">
        <v>10</v>
      </c>
      <c r="E1023" s="1" t="s">
        <v>37034</v>
      </c>
      <c r="F1023" s="1" t="s">
        <v>3598</v>
      </c>
      <c r="G1023" s="1" t="s">
        <v>37746</v>
      </c>
      <c r="H1023" s="1" t="s">
        <v>3695</v>
      </c>
      <c r="I1023" s="1"/>
      <c r="J1023" s="1"/>
      <c r="K1023" s="1"/>
      <c r="L1023" s="1"/>
      <c r="M1023" s="1"/>
      <c r="N1023" s="1"/>
      <c r="O1023" s="1"/>
      <c r="P1023" s="1"/>
      <c r="Q1023" s="17"/>
    </row>
    <row x14ac:dyDescent="0.25" r="1024" customHeight="1" ht="18.75">
      <c r="A1024" s="1"/>
      <c r="B1024" s="1" t="s">
        <v>37738</v>
      </c>
      <c r="C1024" s="1" t="s">
        <v>7</v>
      </c>
      <c r="D1024" s="1" t="s">
        <v>10</v>
      </c>
      <c r="E1024" s="1" t="s">
        <v>37034</v>
      </c>
      <c r="F1024" s="1" t="s">
        <v>3598</v>
      </c>
      <c r="G1024" s="1" t="s">
        <v>37747</v>
      </c>
      <c r="H1024" s="1" t="s">
        <v>3695</v>
      </c>
      <c r="I1024" s="1"/>
      <c r="J1024" s="1"/>
      <c r="K1024" s="1"/>
      <c r="L1024" s="1"/>
      <c r="M1024" s="1"/>
      <c r="N1024" s="1"/>
      <c r="O1024" s="1"/>
      <c r="P1024" s="1"/>
      <c r="Q1024" s="17"/>
    </row>
    <row x14ac:dyDescent="0.25" r="1025" customHeight="1" ht="18.75">
      <c r="A1025" s="1"/>
      <c r="B1025" s="1" t="s">
        <v>37748</v>
      </c>
      <c r="C1025" s="1" t="s">
        <v>7</v>
      </c>
      <c r="D1025" s="1" t="s">
        <v>10</v>
      </c>
      <c r="E1025" s="1" t="s">
        <v>36395</v>
      </c>
      <c r="F1025" s="1" t="s">
        <v>3693</v>
      </c>
      <c r="G1025" s="1" t="s">
        <v>35323</v>
      </c>
      <c r="H1025" s="1" t="s">
        <v>7847</v>
      </c>
      <c r="I1025" s="1"/>
      <c r="J1025" s="1"/>
      <c r="K1025" s="1"/>
      <c r="L1025" s="1"/>
      <c r="M1025" s="1"/>
      <c r="N1025" s="1"/>
      <c r="O1025" s="1"/>
      <c r="P1025" s="1"/>
      <c r="Q1025" s="17"/>
    </row>
    <row x14ac:dyDescent="0.25" r="1026" customHeight="1" ht="18.75">
      <c r="A1026" s="1"/>
      <c r="B1026" s="1" t="s">
        <v>37748</v>
      </c>
      <c r="C1026" s="1" t="s">
        <v>7</v>
      </c>
      <c r="D1026" s="1" t="s">
        <v>10</v>
      </c>
      <c r="E1026" s="1" t="s">
        <v>37034</v>
      </c>
      <c r="F1026" s="1" t="s">
        <v>3693</v>
      </c>
      <c r="G1026" s="1" t="s">
        <v>37749</v>
      </c>
      <c r="H1026" s="1" t="s">
        <v>37057</v>
      </c>
      <c r="I1026" s="1"/>
      <c r="J1026" s="1"/>
      <c r="K1026" s="1"/>
      <c r="L1026" s="1"/>
      <c r="M1026" s="1"/>
      <c r="N1026" s="1"/>
      <c r="O1026" s="1"/>
      <c r="P1026" s="1"/>
      <c r="Q1026" s="17"/>
    </row>
    <row x14ac:dyDescent="0.25" r="1027" customHeight="1" ht="18.75">
      <c r="A1027" s="1"/>
      <c r="B1027" s="1" t="s">
        <v>37748</v>
      </c>
      <c r="C1027" s="1" t="s">
        <v>7</v>
      </c>
      <c r="D1027" s="1" t="s">
        <v>10</v>
      </c>
      <c r="E1027" s="1" t="s">
        <v>37034</v>
      </c>
      <c r="F1027" s="1" t="s">
        <v>3693</v>
      </c>
      <c r="G1027" s="1" t="s">
        <v>37750</v>
      </c>
      <c r="H1027" s="1" t="s">
        <v>37057</v>
      </c>
      <c r="I1027" s="1"/>
      <c r="J1027" s="1"/>
      <c r="K1027" s="1"/>
      <c r="L1027" s="1"/>
      <c r="M1027" s="1"/>
      <c r="N1027" s="1"/>
      <c r="O1027" s="1"/>
      <c r="P1027" s="1"/>
      <c r="Q1027" s="17"/>
    </row>
    <row x14ac:dyDescent="0.25" r="1028" customHeight="1" ht="18.75">
      <c r="A1028" s="1"/>
      <c r="B1028" s="1" t="s">
        <v>37751</v>
      </c>
      <c r="C1028" s="1" t="s">
        <v>7</v>
      </c>
      <c r="D1028" s="1" t="s">
        <v>10</v>
      </c>
      <c r="E1028" s="1" t="s">
        <v>36395</v>
      </c>
      <c r="F1028" s="1" t="s">
        <v>3693</v>
      </c>
      <c r="G1028" s="1" t="s">
        <v>35325</v>
      </c>
      <c r="H1028" s="1" t="s">
        <v>7847</v>
      </c>
      <c r="I1028" s="1"/>
      <c r="J1028" s="1"/>
      <c r="K1028" s="1"/>
      <c r="L1028" s="1"/>
      <c r="M1028" s="1"/>
      <c r="N1028" s="1"/>
      <c r="O1028" s="1"/>
      <c r="P1028" s="1"/>
      <c r="Q1028" s="17"/>
    </row>
    <row x14ac:dyDescent="0.25" r="1029" customHeight="1" ht="18.75">
      <c r="A1029" s="1"/>
      <c r="B1029" s="1" t="s">
        <v>37751</v>
      </c>
      <c r="C1029" s="1" t="s">
        <v>7</v>
      </c>
      <c r="D1029" s="1" t="s">
        <v>10</v>
      </c>
      <c r="E1029" s="1" t="s">
        <v>37034</v>
      </c>
      <c r="F1029" s="1" t="s">
        <v>3693</v>
      </c>
      <c r="G1029" s="1" t="s">
        <v>37752</v>
      </c>
      <c r="H1029" s="1" t="s">
        <v>37057</v>
      </c>
      <c r="I1029" s="1"/>
      <c r="J1029" s="1"/>
      <c r="K1029" s="1"/>
      <c r="L1029" s="1"/>
      <c r="M1029" s="1"/>
      <c r="N1029" s="1"/>
      <c r="O1029" s="1"/>
      <c r="P1029" s="1"/>
      <c r="Q1029" s="17"/>
    </row>
    <row x14ac:dyDescent="0.25" r="1030" customHeight="1" ht="18.75">
      <c r="A1030" s="1"/>
      <c r="B1030" s="1" t="s">
        <v>37753</v>
      </c>
      <c r="C1030" s="1" t="s">
        <v>7</v>
      </c>
      <c r="D1030" s="1" t="s">
        <v>10</v>
      </c>
      <c r="E1030" s="1" t="s">
        <v>36395</v>
      </c>
      <c r="F1030" s="1" t="s">
        <v>3598</v>
      </c>
      <c r="G1030" s="1" t="s">
        <v>37754</v>
      </c>
      <c r="H1030" s="1" t="s">
        <v>7847</v>
      </c>
      <c r="I1030" s="1"/>
      <c r="J1030" s="1"/>
      <c r="K1030" s="1"/>
      <c r="L1030" s="1"/>
      <c r="M1030" s="1"/>
      <c r="N1030" s="1"/>
      <c r="O1030" s="1"/>
      <c r="P1030" s="1"/>
      <c r="Q1030" s="17"/>
    </row>
    <row x14ac:dyDescent="0.25" r="1031" customHeight="1" ht="18.75">
      <c r="A1031" s="1"/>
      <c r="B1031" s="1" t="s">
        <v>37753</v>
      </c>
      <c r="C1031" s="1" t="s">
        <v>7</v>
      </c>
      <c r="D1031" s="1" t="s">
        <v>10</v>
      </c>
      <c r="E1031" s="1" t="s">
        <v>36395</v>
      </c>
      <c r="F1031" s="1" t="s">
        <v>3598</v>
      </c>
      <c r="G1031" s="1" t="s">
        <v>37755</v>
      </c>
      <c r="H1031" s="1" t="s">
        <v>7847</v>
      </c>
      <c r="I1031" s="1"/>
      <c r="J1031" s="1"/>
      <c r="K1031" s="1"/>
      <c r="L1031" s="1"/>
      <c r="M1031" s="1"/>
      <c r="N1031" s="1"/>
      <c r="O1031" s="1"/>
      <c r="P1031" s="1"/>
      <c r="Q1031" s="17"/>
    </row>
    <row x14ac:dyDescent="0.25" r="1032" customHeight="1" ht="18.75">
      <c r="A1032" s="1"/>
      <c r="B1032" s="1" t="s">
        <v>37753</v>
      </c>
      <c r="C1032" s="1" t="s">
        <v>7</v>
      </c>
      <c r="D1032" s="1" t="s">
        <v>10</v>
      </c>
      <c r="E1032" s="1" t="s">
        <v>36395</v>
      </c>
      <c r="F1032" s="1" t="s">
        <v>3598</v>
      </c>
      <c r="G1032" s="1" t="s">
        <v>37756</v>
      </c>
      <c r="H1032" s="1" t="s">
        <v>7847</v>
      </c>
      <c r="I1032" s="1"/>
      <c r="J1032" s="1"/>
      <c r="K1032" s="1"/>
      <c r="L1032" s="1"/>
      <c r="M1032" s="1"/>
      <c r="N1032" s="1"/>
      <c r="O1032" s="1"/>
      <c r="P1032" s="1"/>
      <c r="Q1032" s="17"/>
    </row>
    <row x14ac:dyDescent="0.25" r="1033" customHeight="1" ht="18.75">
      <c r="A1033" s="1"/>
      <c r="B1033" s="1" t="s">
        <v>37753</v>
      </c>
      <c r="C1033" s="1" t="s">
        <v>7</v>
      </c>
      <c r="D1033" s="1" t="s">
        <v>10</v>
      </c>
      <c r="E1033" s="1" t="s">
        <v>37034</v>
      </c>
      <c r="F1033" s="1" t="s">
        <v>3598</v>
      </c>
      <c r="G1033" s="1" t="s">
        <v>37757</v>
      </c>
      <c r="H1033" s="1" t="s">
        <v>3610</v>
      </c>
      <c r="I1033" s="1"/>
      <c r="J1033" s="1"/>
      <c r="K1033" s="1"/>
      <c r="L1033" s="1"/>
      <c r="M1033" s="1"/>
      <c r="N1033" s="1"/>
      <c r="O1033" s="1"/>
      <c r="P1033" s="1"/>
      <c r="Q1033" s="17"/>
    </row>
    <row x14ac:dyDescent="0.25" r="1034" customHeight="1" ht="18.75">
      <c r="A1034" s="1"/>
      <c r="B1034" s="1" t="s">
        <v>37758</v>
      </c>
      <c r="C1034" s="1" t="s">
        <v>7</v>
      </c>
      <c r="D1034" s="1" t="s">
        <v>10</v>
      </c>
      <c r="E1034" s="1" t="s">
        <v>36395</v>
      </c>
      <c r="F1034" s="1" t="s">
        <v>3617</v>
      </c>
      <c r="G1034" s="1" t="s">
        <v>35740</v>
      </c>
      <c r="H1034" s="1" t="s">
        <v>37190</v>
      </c>
      <c r="I1034" s="1"/>
      <c r="J1034" s="1"/>
      <c r="K1034" s="1"/>
      <c r="L1034" s="1"/>
      <c r="M1034" s="1"/>
      <c r="N1034" s="1"/>
      <c r="O1034" s="1"/>
      <c r="P1034" s="1"/>
      <c r="Q1034" s="17"/>
    </row>
    <row x14ac:dyDescent="0.25" r="1035" customHeight="1" ht="18.75">
      <c r="A1035" s="1"/>
      <c r="B1035" s="1" t="s">
        <v>37759</v>
      </c>
      <c r="C1035" s="1" t="s">
        <v>7</v>
      </c>
      <c r="D1035" s="1" t="s">
        <v>10</v>
      </c>
      <c r="E1035" s="1" t="s">
        <v>36395</v>
      </c>
      <c r="F1035" s="1" t="s">
        <v>3617</v>
      </c>
      <c r="G1035" s="1" t="s">
        <v>35747</v>
      </c>
      <c r="H1035" s="1" t="s">
        <v>37190</v>
      </c>
      <c r="I1035" s="1"/>
      <c r="J1035" s="1"/>
      <c r="K1035" s="1"/>
      <c r="L1035" s="1"/>
      <c r="M1035" s="1"/>
      <c r="N1035" s="1"/>
      <c r="O1035" s="1"/>
      <c r="P1035" s="1"/>
      <c r="Q1035" s="17"/>
    </row>
    <row x14ac:dyDescent="0.25" r="1036" customHeight="1" ht="18.75">
      <c r="A1036" s="1"/>
      <c r="B1036" s="1" t="s">
        <v>37759</v>
      </c>
      <c r="C1036" s="1" t="s">
        <v>7</v>
      </c>
      <c r="D1036" s="1" t="s">
        <v>10</v>
      </c>
      <c r="E1036" s="1" t="s">
        <v>37034</v>
      </c>
      <c r="F1036" s="1" t="s">
        <v>3617</v>
      </c>
      <c r="G1036" s="1" t="s">
        <v>37760</v>
      </c>
      <c r="H1036" s="1" t="s">
        <v>3610</v>
      </c>
      <c r="I1036" s="1"/>
      <c r="J1036" s="1"/>
      <c r="K1036" s="1"/>
      <c r="L1036" s="1"/>
      <c r="M1036" s="1"/>
      <c r="N1036" s="1"/>
      <c r="O1036" s="1"/>
      <c r="P1036" s="1"/>
      <c r="Q1036" s="17"/>
    </row>
    <row x14ac:dyDescent="0.25" r="1037" customHeight="1" ht="18.75">
      <c r="A1037" s="1"/>
      <c r="B1037" s="1" t="s">
        <v>37759</v>
      </c>
      <c r="C1037" s="1" t="s">
        <v>7</v>
      </c>
      <c r="D1037" s="1" t="s">
        <v>10</v>
      </c>
      <c r="E1037" s="1" t="s">
        <v>37034</v>
      </c>
      <c r="F1037" s="1" t="s">
        <v>3617</v>
      </c>
      <c r="G1037" s="1" t="s">
        <v>37761</v>
      </c>
      <c r="H1037" s="1" t="s">
        <v>3610</v>
      </c>
      <c r="I1037" s="1"/>
      <c r="J1037" s="1"/>
      <c r="K1037" s="1"/>
      <c r="L1037" s="1"/>
      <c r="M1037" s="1"/>
      <c r="N1037" s="1"/>
      <c r="O1037" s="1"/>
      <c r="P1037" s="1"/>
      <c r="Q1037" s="17"/>
    </row>
    <row x14ac:dyDescent="0.25" r="1038" customHeight="1" ht="18.75">
      <c r="A1038" s="1"/>
      <c r="B1038" s="1" t="s">
        <v>37759</v>
      </c>
      <c r="C1038" s="1" t="s">
        <v>7</v>
      </c>
      <c r="D1038" s="1" t="s">
        <v>10</v>
      </c>
      <c r="E1038" s="1" t="s">
        <v>37034</v>
      </c>
      <c r="F1038" s="1" t="s">
        <v>3617</v>
      </c>
      <c r="G1038" s="1" t="s">
        <v>37762</v>
      </c>
      <c r="H1038" s="1" t="s">
        <v>3610</v>
      </c>
      <c r="I1038" s="1"/>
      <c r="J1038" s="1"/>
      <c r="K1038" s="1"/>
      <c r="L1038" s="1"/>
      <c r="M1038" s="1"/>
      <c r="N1038" s="1"/>
      <c r="O1038" s="1"/>
      <c r="P1038" s="1"/>
      <c r="Q1038" s="17"/>
    </row>
    <row x14ac:dyDescent="0.25" r="1039" customHeight="1" ht="18.75">
      <c r="A1039" s="1"/>
      <c r="B1039" s="1" t="s">
        <v>37759</v>
      </c>
      <c r="C1039" s="1" t="s">
        <v>7</v>
      </c>
      <c r="D1039" s="1" t="s">
        <v>10</v>
      </c>
      <c r="E1039" s="1" t="s">
        <v>37034</v>
      </c>
      <c r="F1039" s="1" t="s">
        <v>3617</v>
      </c>
      <c r="G1039" s="1" t="s">
        <v>37763</v>
      </c>
      <c r="H1039" s="1" t="s">
        <v>3610</v>
      </c>
      <c r="I1039" s="1"/>
      <c r="J1039" s="1"/>
      <c r="K1039" s="1"/>
      <c r="L1039" s="1"/>
      <c r="M1039" s="1"/>
      <c r="N1039" s="1"/>
      <c r="O1039" s="1"/>
      <c r="P1039" s="1"/>
      <c r="Q1039" s="17"/>
    </row>
    <row x14ac:dyDescent="0.25" r="1040" customHeight="1" ht="18.75">
      <c r="A1040" s="1"/>
      <c r="B1040" s="1" t="s">
        <v>37759</v>
      </c>
      <c r="C1040" s="1" t="s">
        <v>7</v>
      </c>
      <c r="D1040" s="1" t="s">
        <v>10</v>
      </c>
      <c r="E1040" s="1" t="s">
        <v>37034</v>
      </c>
      <c r="F1040" s="1" t="s">
        <v>3617</v>
      </c>
      <c r="G1040" s="1" t="s">
        <v>37764</v>
      </c>
      <c r="H1040" s="1" t="s">
        <v>3610</v>
      </c>
      <c r="I1040" s="1"/>
      <c r="J1040" s="1"/>
      <c r="K1040" s="1"/>
      <c r="L1040" s="1"/>
      <c r="M1040" s="1"/>
      <c r="N1040" s="1"/>
      <c r="O1040" s="1"/>
      <c r="P1040" s="1"/>
      <c r="Q1040" s="17"/>
    </row>
    <row x14ac:dyDescent="0.25" r="1041" customHeight="1" ht="18.75">
      <c r="A1041" s="1"/>
      <c r="B1041" s="1" t="s">
        <v>37759</v>
      </c>
      <c r="C1041" s="1" t="s">
        <v>7</v>
      </c>
      <c r="D1041" s="1" t="s">
        <v>10</v>
      </c>
      <c r="E1041" s="1" t="s">
        <v>37034</v>
      </c>
      <c r="F1041" s="1" t="s">
        <v>3617</v>
      </c>
      <c r="G1041" s="1" t="s">
        <v>37765</v>
      </c>
      <c r="H1041" s="1" t="s">
        <v>3695</v>
      </c>
      <c r="I1041" s="1"/>
      <c r="J1041" s="1"/>
      <c r="K1041" s="1"/>
      <c r="L1041" s="1"/>
      <c r="M1041" s="1"/>
      <c r="N1041" s="1"/>
      <c r="O1041" s="1"/>
      <c r="P1041" s="1"/>
      <c r="Q1041" s="17"/>
    </row>
    <row x14ac:dyDescent="0.25" r="1042" customHeight="1" ht="18.75">
      <c r="A1042" s="1"/>
      <c r="B1042" s="1" t="s">
        <v>37759</v>
      </c>
      <c r="C1042" s="1" t="s">
        <v>7</v>
      </c>
      <c r="D1042" s="1" t="s">
        <v>10</v>
      </c>
      <c r="E1042" s="1" t="s">
        <v>37034</v>
      </c>
      <c r="F1042" s="1" t="s">
        <v>3617</v>
      </c>
      <c r="G1042" s="1" t="s">
        <v>37766</v>
      </c>
      <c r="H1042" s="1" t="s">
        <v>3695</v>
      </c>
      <c r="I1042" s="1"/>
      <c r="J1042" s="1"/>
      <c r="K1042" s="1"/>
      <c r="L1042" s="1"/>
      <c r="M1042" s="1"/>
      <c r="N1042" s="1"/>
      <c r="O1042" s="1"/>
      <c r="P1042" s="1"/>
      <c r="Q1042" s="17"/>
    </row>
    <row x14ac:dyDescent="0.25" r="1043" customHeight="1" ht="18.75">
      <c r="A1043" s="1"/>
      <c r="B1043" s="1" t="s">
        <v>37759</v>
      </c>
      <c r="C1043" s="1" t="s">
        <v>7</v>
      </c>
      <c r="D1043" s="1" t="s">
        <v>10</v>
      </c>
      <c r="E1043" s="1" t="s">
        <v>37034</v>
      </c>
      <c r="F1043" s="1" t="s">
        <v>3617</v>
      </c>
      <c r="G1043" s="1" t="s">
        <v>37767</v>
      </c>
      <c r="H1043" s="1" t="s">
        <v>3695</v>
      </c>
      <c r="I1043" s="1"/>
      <c r="J1043" s="1"/>
      <c r="K1043" s="1"/>
      <c r="L1043" s="1"/>
      <c r="M1043" s="1"/>
      <c r="N1043" s="1"/>
      <c r="O1043" s="1"/>
      <c r="P1043" s="1"/>
      <c r="Q1043" s="17"/>
    </row>
    <row x14ac:dyDescent="0.25" r="1044" customHeight="1" ht="18.75">
      <c r="A1044" s="1"/>
      <c r="B1044" s="1" t="s">
        <v>37758</v>
      </c>
      <c r="C1044" s="1" t="s">
        <v>7</v>
      </c>
      <c r="D1044" s="1" t="s">
        <v>10</v>
      </c>
      <c r="E1044" s="1" t="s">
        <v>37034</v>
      </c>
      <c r="F1044" s="1" t="s">
        <v>3617</v>
      </c>
      <c r="G1044" s="1" t="s">
        <v>37768</v>
      </c>
      <c r="H1044" s="1" t="s">
        <v>3610</v>
      </c>
      <c r="I1044" s="1"/>
      <c r="J1044" s="1"/>
      <c r="K1044" s="1"/>
      <c r="L1044" s="1"/>
      <c r="M1044" s="1"/>
      <c r="N1044" s="1"/>
      <c r="O1044" s="1"/>
      <c r="P1044" s="1"/>
      <c r="Q1044" s="17"/>
    </row>
    <row x14ac:dyDescent="0.25" r="1045" customHeight="1" ht="18.75">
      <c r="A1045" s="1"/>
      <c r="B1045" s="1" t="s">
        <v>37758</v>
      </c>
      <c r="C1045" s="1" t="s">
        <v>7</v>
      </c>
      <c r="D1045" s="1" t="s">
        <v>10</v>
      </c>
      <c r="E1045" s="1" t="s">
        <v>37034</v>
      </c>
      <c r="F1045" s="1" t="s">
        <v>3617</v>
      </c>
      <c r="G1045" s="1" t="s">
        <v>37769</v>
      </c>
      <c r="H1045" s="1" t="s">
        <v>37037</v>
      </c>
      <c r="I1045" s="1"/>
      <c r="J1045" s="1"/>
      <c r="K1045" s="1"/>
      <c r="L1045" s="1"/>
      <c r="M1045" s="1"/>
      <c r="N1045" s="1"/>
      <c r="O1045" s="1"/>
      <c r="P1045" s="1"/>
      <c r="Q1045" s="17"/>
    </row>
    <row x14ac:dyDescent="0.25" r="1046" customHeight="1" ht="18.75">
      <c r="A1046" s="1"/>
      <c r="B1046" s="1" t="s">
        <v>37758</v>
      </c>
      <c r="C1046" s="1" t="s">
        <v>7</v>
      </c>
      <c r="D1046" s="1" t="s">
        <v>10</v>
      </c>
      <c r="E1046" s="1" t="s">
        <v>37034</v>
      </c>
      <c r="F1046" s="1" t="s">
        <v>3617</v>
      </c>
      <c r="G1046" s="1" t="s">
        <v>37770</v>
      </c>
      <c r="H1046" s="1" t="s">
        <v>37037</v>
      </c>
      <c r="I1046" s="1"/>
      <c r="J1046" s="1"/>
      <c r="K1046" s="1"/>
      <c r="L1046" s="1"/>
      <c r="M1046" s="1"/>
      <c r="N1046" s="1"/>
      <c r="O1046" s="1"/>
      <c r="P1046" s="1"/>
      <c r="Q1046" s="17"/>
    </row>
    <row x14ac:dyDescent="0.25" r="1047" customHeight="1" ht="18.75">
      <c r="A1047" s="1"/>
      <c r="B1047" s="1" t="s">
        <v>37758</v>
      </c>
      <c r="C1047" s="1" t="s">
        <v>7</v>
      </c>
      <c r="D1047" s="1" t="s">
        <v>10</v>
      </c>
      <c r="E1047" s="1" t="s">
        <v>37034</v>
      </c>
      <c r="F1047" s="1" t="s">
        <v>3617</v>
      </c>
      <c r="G1047" s="1" t="s">
        <v>37771</v>
      </c>
      <c r="H1047" s="1" t="s">
        <v>37037</v>
      </c>
      <c r="I1047" s="1"/>
      <c r="J1047" s="1"/>
      <c r="K1047" s="1"/>
      <c r="L1047" s="1"/>
      <c r="M1047" s="1"/>
      <c r="N1047" s="1"/>
      <c r="O1047" s="1"/>
      <c r="P1047" s="1"/>
      <c r="Q1047" s="17"/>
    </row>
    <row x14ac:dyDescent="0.25" r="1048" customHeight="1" ht="18.75">
      <c r="A1048" s="1"/>
      <c r="B1048" s="1" t="s">
        <v>37758</v>
      </c>
      <c r="C1048" s="1" t="s">
        <v>7</v>
      </c>
      <c r="D1048" s="1" t="s">
        <v>10</v>
      </c>
      <c r="E1048" s="1" t="s">
        <v>37034</v>
      </c>
      <c r="F1048" s="1" t="s">
        <v>3617</v>
      </c>
      <c r="G1048" s="1" t="s">
        <v>37772</v>
      </c>
      <c r="H1048" s="1" t="s">
        <v>3610</v>
      </c>
      <c r="I1048" s="1"/>
      <c r="J1048" s="1"/>
      <c r="K1048" s="1"/>
      <c r="L1048" s="1"/>
      <c r="M1048" s="1"/>
      <c r="N1048" s="1"/>
      <c r="O1048" s="1"/>
      <c r="P1048" s="1"/>
      <c r="Q1048" s="17"/>
    </row>
    <row x14ac:dyDescent="0.25" r="1049" customHeight="1" ht="18.75">
      <c r="A1049" s="1"/>
      <c r="B1049" s="1" t="s">
        <v>37758</v>
      </c>
      <c r="C1049" s="1" t="s">
        <v>7</v>
      </c>
      <c r="D1049" s="1" t="s">
        <v>10</v>
      </c>
      <c r="E1049" s="1" t="s">
        <v>37034</v>
      </c>
      <c r="F1049" s="1" t="s">
        <v>3617</v>
      </c>
      <c r="G1049" s="1" t="s">
        <v>37773</v>
      </c>
      <c r="H1049" s="1" t="s">
        <v>3610</v>
      </c>
      <c r="I1049" s="1"/>
      <c r="J1049" s="1"/>
      <c r="K1049" s="1"/>
      <c r="L1049" s="1"/>
      <c r="M1049" s="1"/>
      <c r="N1049" s="1"/>
      <c r="O1049" s="1"/>
      <c r="P1049" s="1"/>
      <c r="Q1049" s="17"/>
    </row>
    <row x14ac:dyDescent="0.25" r="1050" customHeight="1" ht="18.75">
      <c r="A1050" s="1"/>
      <c r="B1050" s="1" t="s">
        <v>37758</v>
      </c>
      <c r="C1050" s="1" t="s">
        <v>7</v>
      </c>
      <c r="D1050" s="1" t="s">
        <v>10</v>
      </c>
      <c r="E1050" s="1" t="s">
        <v>37034</v>
      </c>
      <c r="F1050" s="1" t="s">
        <v>3617</v>
      </c>
      <c r="G1050" s="1" t="s">
        <v>37774</v>
      </c>
      <c r="H1050" s="1" t="s">
        <v>3610</v>
      </c>
      <c r="I1050" s="1"/>
      <c r="J1050" s="1"/>
      <c r="K1050" s="1"/>
      <c r="L1050" s="1"/>
      <c r="M1050" s="1"/>
      <c r="N1050" s="1"/>
      <c r="O1050" s="1"/>
      <c r="P1050" s="1"/>
      <c r="Q1050" s="17"/>
    </row>
    <row x14ac:dyDescent="0.25" r="1051" customHeight="1" ht="18.75">
      <c r="A1051" s="1"/>
      <c r="B1051" s="1" t="s">
        <v>37758</v>
      </c>
      <c r="C1051" s="1" t="s">
        <v>7</v>
      </c>
      <c r="D1051" s="1" t="s">
        <v>10</v>
      </c>
      <c r="E1051" s="1" t="s">
        <v>37034</v>
      </c>
      <c r="F1051" s="1" t="s">
        <v>3617</v>
      </c>
      <c r="G1051" s="1" t="s">
        <v>37775</v>
      </c>
      <c r="H1051" s="1" t="s">
        <v>3610</v>
      </c>
      <c r="I1051" s="1"/>
      <c r="J1051" s="1"/>
      <c r="K1051" s="1"/>
      <c r="L1051" s="1"/>
      <c r="M1051" s="1"/>
      <c r="N1051" s="1"/>
      <c r="O1051" s="1"/>
      <c r="P1051" s="1"/>
      <c r="Q1051" s="17"/>
    </row>
    <row x14ac:dyDescent="0.25" r="1052" customHeight="1" ht="18.75">
      <c r="A1052" s="1"/>
      <c r="B1052" s="1" t="s">
        <v>37758</v>
      </c>
      <c r="C1052" s="1" t="s">
        <v>7</v>
      </c>
      <c r="D1052" s="1" t="s">
        <v>10</v>
      </c>
      <c r="E1052" s="1" t="s">
        <v>37034</v>
      </c>
      <c r="F1052" s="1" t="s">
        <v>3617</v>
      </c>
      <c r="G1052" s="1" t="s">
        <v>37776</v>
      </c>
      <c r="H1052" s="1" t="s">
        <v>3610</v>
      </c>
      <c r="I1052" s="1"/>
      <c r="J1052" s="1"/>
      <c r="K1052" s="1"/>
      <c r="L1052" s="1"/>
      <c r="M1052" s="1"/>
      <c r="N1052" s="1"/>
      <c r="O1052" s="1"/>
      <c r="P1052" s="1"/>
      <c r="Q1052" s="17"/>
    </row>
    <row x14ac:dyDescent="0.25" r="1053" customHeight="1" ht="18.75">
      <c r="A1053" s="1"/>
      <c r="B1053" s="1" t="s">
        <v>37758</v>
      </c>
      <c r="C1053" s="1" t="s">
        <v>7</v>
      </c>
      <c r="D1053" s="1" t="s">
        <v>10</v>
      </c>
      <c r="E1053" s="1" t="s">
        <v>37034</v>
      </c>
      <c r="F1053" s="1" t="s">
        <v>3617</v>
      </c>
      <c r="G1053" s="1" t="s">
        <v>37777</v>
      </c>
      <c r="H1053" s="1" t="s">
        <v>3695</v>
      </c>
      <c r="I1053" s="1"/>
      <c r="J1053" s="1"/>
      <c r="K1053" s="1"/>
      <c r="L1053" s="1"/>
      <c r="M1053" s="1"/>
      <c r="N1053" s="1"/>
      <c r="O1053" s="1"/>
      <c r="P1053" s="1"/>
      <c r="Q1053" s="17"/>
    </row>
    <row x14ac:dyDescent="0.25" r="1054" customHeight="1" ht="18.75">
      <c r="A1054" s="1"/>
      <c r="B1054" s="1" t="s">
        <v>37758</v>
      </c>
      <c r="C1054" s="1" t="s">
        <v>7</v>
      </c>
      <c r="D1054" s="1" t="s">
        <v>10</v>
      </c>
      <c r="E1054" s="1" t="s">
        <v>37034</v>
      </c>
      <c r="F1054" s="1" t="s">
        <v>3617</v>
      </c>
      <c r="G1054" s="1" t="s">
        <v>37778</v>
      </c>
      <c r="H1054" s="1" t="s">
        <v>3695</v>
      </c>
      <c r="I1054" s="1"/>
      <c r="J1054" s="1"/>
      <c r="K1054" s="1"/>
      <c r="L1054" s="1"/>
      <c r="M1054" s="1"/>
      <c r="N1054" s="1"/>
      <c r="O1054" s="1"/>
      <c r="P1054" s="1"/>
      <c r="Q1054" s="17"/>
    </row>
    <row x14ac:dyDescent="0.25" r="1055" customHeight="1" ht="18.75">
      <c r="A1055" s="1"/>
      <c r="B1055" s="1" t="s">
        <v>37758</v>
      </c>
      <c r="C1055" s="1" t="s">
        <v>7</v>
      </c>
      <c r="D1055" s="1" t="s">
        <v>10</v>
      </c>
      <c r="E1055" s="1" t="s">
        <v>37034</v>
      </c>
      <c r="F1055" s="1" t="s">
        <v>3617</v>
      </c>
      <c r="G1055" s="1" t="s">
        <v>37779</v>
      </c>
      <c r="H1055" s="1" t="s">
        <v>3695</v>
      </c>
      <c r="I1055" s="1"/>
      <c r="J1055" s="1"/>
      <c r="K1055" s="1"/>
      <c r="L1055" s="1"/>
      <c r="M1055" s="1"/>
      <c r="N1055" s="1"/>
      <c r="O1055" s="1"/>
      <c r="P1055" s="1"/>
      <c r="Q1055" s="17"/>
    </row>
    <row x14ac:dyDescent="0.25" r="1056" customHeight="1" ht="18.75">
      <c r="A1056" s="1"/>
      <c r="B1056" s="1" t="s">
        <v>37758</v>
      </c>
      <c r="C1056" s="1" t="s">
        <v>7</v>
      </c>
      <c r="D1056" s="1" t="s">
        <v>10</v>
      </c>
      <c r="E1056" s="1" t="s">
        <v>37034</v>
      </c>
      <c r="F1056" s="1" t="s">
        <v>3617</v>
      </c>
      <c r="G1056" s="1" t="s">
        <v>37780</v>
      </c>
      <c r="H1056" s="1" t="s">
        <v>7891</v>
      </c>
      <c r="I1056" s="1"/>
      <c r="J1056" s="1"/>
      <c r="K1056" s="1"/>
      <c r="L1056" s="1"/>
      <c r="M1056" s="1"/>
      <c r="N1056" s="1"/>
      <c r="O1056" s="1"/>
      <c r="P1056" s="1"/>
      <c r="Q1056" s="17"/>
    </row>
    <row x14ac:dyDescent="0.25" r="1057" customHeight="1" ht="18.75">
      <c r="A1057" s="1"/>
      <c r="B1057" s="1" t="s">
        <v>37758</v>
      </c>
      <c r="C1057" s="1" t="s">
        <v>7</v>
      </c>
      <c r="D1057" s="1" t="s">
        <v>10</v>
      </c>
      <c r="E1057" s="1" t="s">
        <v>37034</v>
      </c>
      <c r="F1057" s="1" t="s">
        <v>3617</v>
      </c>
      <c r="G1057" s="1" t="s">
        <v>37781</v>
      </c>
      <c r="H1057" s="1" t="s">
        <v>7891</v>
      </c>
      <c r="I1057" s="1"/>
      <c r="J1057" s="1"/>
      <c r="K1057" s="1"/>
      <c r="L1057" s="1"/>
      <c r="M1057" s="1"/>
      <c r="N1057" s="1"/>
      <c r="O1057" s="1"/>
      <c r="P1057" s="1"/>
      <c r="Q1057" s="17"/>
    </row>
    <row x14ac:dyDescent="0.25" r="1058" customHeight="1" ht="18.75">
      <c r="A1058" s="1"/>
      <c r="B1058" s="1" t="s">
        <v>37782</v>
      </c>
      <c r="C1058" s="1" t="s">
        <v>7</v>
      </c>
      <c r="D1058" s="1" t="s">
        <v>10</v>
      </c>
      <c r="E1058" s="1" t="s">
        <v>36395</v>
      </c>
      <c r="F1058" s="1" t="s">
        <v>3617</v>
      </c>
      <c r="G1058" s="1" t="s">
        <v>35744</v>
      </c>
      <c r="H1058" s="1" t="s">
        <v>37107</v>
      </c>
      <c r="I1058" s="1"/>
      <c r="J1058" s="1"/>
      <c r="K1058" s="1"/>
      <c r="L1058" s="1"/>
      <c r="M1058" s="1"/>
      <c r="N1058" s="1"/>
      <c r="O1058" s="1"/>
      <c r="P1058" s="1"/>
      <c r="Q1058" s="17"/>
    </row>
    <row x14ac:dyDescent="0.25" r="1059" customHeight="1" ht="18.75">
      <c r="A1059" s="1"/>
      <c r="B1059" s="1" t="s">
        <v>37782</v>
      </c>
      <c r="C1059" s="1" t="s">
        <v>7</v>
      </c>
      <c r="D1059" s="1" t="s">
        <v>10</v>
      </c>
      <c r="E1059" s="1" t="s">
        <v>37034</v>
      </c>
      <c r="F1059" s="1" t="s">
        <v>3617</v>
      </c>
      <c r="G1059" s="1" t="s">
        <v>37783</v>
      </c>
      <c r="H1059" s="1" t="s">
        <v>3695</v>
      </c>
      <c r="I1059" s="1"/>
      <c r="J1059" s="1"/>
      <c r="K1059" s="1"/>
      <c r="L1059" s="1"/>
      <c r="M1059" s="1"/>
      <c r="N1059" s="1"/>
      <c r="O1059" s="1"/>
      <c r="P1059" s="1"/>
      <c r="Q1059" s="17"/>
    </row>
    <row x14ac:dyDescent="0.25" r="1060" customHeight="1" ht="18.75">
      <c r="A1060" s="1"/>
      <c r="B1060" s="1" t="s">
        <v>37782</v>
      </c>
      <c r="C1060" s="1" t="s">
        <v>7</v>
      </c>
      <c r="D1060" s="1" t="s">
        <v>10</v>
      </c>
      <c r="E1060" s="1" t="s">
        <v>37034</v>
      </c>
      <c r="F1060" s="1" t="s">
        <v>3617</v>
      </c>
      <c r="G1060" s="1" t="s">
        <v>37784</v>
      </c>
      <c r="H1060" s="1" t="s">
        <v>3695</v>
      </c>
      <c r="I1060" s="1"/>
      <c r="J1060" s="1"/>
      <c r="K1060" s="1"/>
      <c r="L1060" s="1"/>
      <c r="M1060" s="1"/>
      <c r="N1060" s="1"/>
      <c r="O1060" s="1"/>
      <c r="P1060" s="1"/>
      <c r="Q1060" s="17"/>
    </row>
    <row x14ac:dyDescent="0.25" r="1061" customHeight="1" ht="18.75">
      <c r="A1061" s="1"/>
      <c r="B1061" s="1" t="s">
        <v>37782</v>
      </c>
      <c r="C1061" s="1" t="s">
        <v>7</v>
      </c>
      <c r="D1061" s="1" t="s">
        <v>10</v>
      </c>
      <c r="E1061" s="1" t="s">
        <v>37034</v>
      </c>
      <c r="F1061" s="1" t="s">
        <v>3617</v>
      </c>
      <c r="G1061" s="1" t="s">
        <v>37785</v>
      </c>
      <c r="H1061" s="1" t="s">
        <v>3695</v>
      </c>
      <c r="I1061" s="1"/>
      <c r="J1061" s="1"/>
      <c r="K1061" s="1"/>
      <c r="L1061" s="1"/>
      <c r="M1061" s="1"/>
      <c r="N1061" s="1"/>
      <c r="O1061" s="1"/>
      <c r="P1061" s="1"/>
      <c r="Q1061" s="17"/>
    </row>
    <row x14ac:dyDescent="0.25" r="1062" customHeight="1" ht="18.75">
      <c r="A1062" s="1"/>
      <c r="B1062" s="1" t="s">
        <v>37759</v>
      </c>
      <c r="C1062" s="1" t="s">
        <v>7</v>
      </c>
      <c r="D1062" s="1" t="s">
        <v>10</v>
      </c>
      <c r="E1062" s="1" t="s">
        <v>37034</v>
      </c>
      <c r="F1062" s="1" t="s">
        <v>3617</v>
      </c>
      <c r="G1062" s="1" t="s">
        <v>37786</v>
      </c>
      <c r="H1062" s="1" t="s">
        <v>37057</v>
      </c>
      <c r="I1062" s="1"/>
      <c r="J1062" s="1"/>
      <c r="K1062" s="1"/>
      <c r="L1062" s="1"/>
      <c r="M1062" s="1"/>
      <c r="N1062" s="1"/>
      <c r="O1062" s="1"/>
      <c r="P1062" s="1"/>
      <c r="Q1062" s="17"/>
    </row>
    <row x14ac:dyDescent="0.25" r="1063" customHeight="1" ht="18.75">
      <c r="A1063" s="1"/>
      <c r="B1063" s="1" t="s">
        <v>37759</v>
      </c>
      <c r="C1063" s="1" t="s">
        <v>7</v>
      </c>
      <c r="D1063" s="1" t="s">
        <v>10</v>
      </c>
      <c r="E1063" s="1" t="s">
        <v>37034</v>
      </c>
      <c r="F1063" s="1" t="s">
        <v>3617</v>
      </c>
      <c r="G1063" s="1" t="s">
        <v>37787</v>
      </c>
      <c r="H1063" s="1" t="s">
        <v>37057</v>
      </c>
      <c r="I1063" s="1"/>
      <c r="J1063" s="1"/>
      <c r="K1063" s="1"/>
      <c r="L1063" s="1"/>
      <c r="M1063" s="1"/>
      <c r="N1063" s="1"/>
      <c r="O1063" s="1"/>
      <c r="P1063" s="1"/>
      <c r="Q1063" s="17"/>
    </row>
    <row x14ac:dyDescent="0.25" r="1064" customHeight="1" ht="18.75">
      <c r="A1064" s="1"/>
      <c r="B1064" s="1" t="s">
        <v>37758</v>
      </c>
      <c r="C1064" s="1" t="s">
        <v>7</v>
      </c>
      <c r="D1064" s="1" t="s">
        <v>10</v>
      </c>
      <c r="E1064" s="1" t="s">
        <v>37034</v>
      </c>
      <c r="F1064" s="1" t="s">
        <v>3617</v>
      </c>
      <c r="G1064" s="1" t="s">
        <v>37788</v>
      </c>
      <c r="H1064" s="1" t="s">
        <v>37057</v>
      </c>
      <c r="I1064" s="1"/>
      <c r="J1064" s="1"/>
      <c r="K1064" s="1"/>
      <c r="L1064" s="1"/>
      <c r="M1064" s="1"/>
      <c r="N1064" s="1"/>
      <c r="O1064" s="1"/>
      <c r="P1064" s="1"/>
      <c r="Q1064" s="17"/>
    </row>
    <row x14ac:dyDescent="0.25" r="1065" customHeight="1" ht="18.75">
      <c r="A1065" s="1"/>
      <c r="B1065" s="1" t="s">
        <v>37758</v>
      </c>
      <c r="C1065" s="1" t="s">
        <v>7</v>
      </c>
      <c r="D1065" s="1" t="s">
        <v>10</v>
      </c>
      <c r="E1065" s="1" t="s">
        <v>37034</v>
      </c>
      <c r="F1065" s="1" t="s">
        <v>3617</v>
      </c>
      <c r="G1065" s="1" t="s">
        <v>37789</v>
      </c>
      <c r="H1065" s="1" t="s">
        <v>37057</v>
      </c>
      <c r="I1065" s="1"/>
      <c r="J1065" s="1"/>
      <c r="K1065" s="1"/>
      <c r="L1065" s="1"/>
      <c r="M1065" s="1"/>
      <c r="N1065" s="1"/>
      <c r="O1065" s="1"/>
      <c r="P1065" s="1"/>
      <c r="Q1065" s="17"/>
    </row>
    <row x14ac:dyDescent="0.25" r="1066" customHeight="1" ht="18.75">
      <c r="A1066" s="1"/>
      <c r="B1066" s="1" t="s">
        <v>37759</v>
      </c>
      <c r="C1066" s="1" t="s">
        <v>7</v>
      </c>
      <c r="D1066" s="1" t="s">
        <v>10</v>
      </c>
      <c r="E1066" s="1" t="s">
        <v>37034</v>
      </c>
      <c r="F1066" s="1" t="s">
        <v>3617</v>
      </c>
      <c r="G1066" s="1" t="s">
        <v>37790</v>
      </c>
      <c r="H1066" s="1" t="s">
        <v>37057</v>
      </c>
      <c r="I1066" s="1"/>
      <c r="J1066" s="1"/>
      <c r="K1066" s="1"/>
      <c r="L1066" s="1"/>
      <c r="M1066" s="1"/>
      <c r="N1066" s="1"/>
      <c r="O1066" s="1"/>
      <c r="P1066" s="1"/>
      <c r="Q1066" s="17"/>
    </row>
    <row x14ac:dyDescent="0.25" r="1067" customHeight="1" ht="18.75">
      <c r="A1067" s="1"/>
      <c r="B1067" s="1" t="s">
        <v>37791</v>
      </c>
      <c r="C1067" s="1" t="s">
        <v>7</v>
      </c>
      <c r="D1067" s="1" t="s">
        <v>10</v>
      </c>
      <c r="E1067" s="1" t="s">
        <v>36395</v>
      </c>
      <c r="F1067" s="1" t="s">
        <v>3693</v>
      </c>
      <c r="G1067" s="1" t="s">
        <v>35389</v>
      </c>
      <c r="H1067" s="1" t="s">
        <v>37063</v>
      </c>
      <c r="I1067" s="1"/>
      <c r="J1067" s="1"/>
      <c r="K1067" s="1"/>
      <c r="L1067" s="1"/>
      <c r="M1067" s="1"/>
      <c r="N1067" s="1"/>
      <c r="O1067" s="1"/>
      <c r="P1067" s="1"/>
      <c r="Q1067" s="17"/>
    </row>
    <row x14ac:dyDescent="0.25" r="1068" customHeight="1" ht="18.75">
      <c r="A1068" s="1"/>
      <c r="B1068" s="1" t="s">
        <v>37791</v>
      </c>
      <c r="C1068" s="1" t="s">
        <v>7</v>
      </c>
      <c r="D1068" s="1" t="s">
        <v>10</v>
      </c>
      <c r="E1068" s="1" t="s">
        <v>37034</v>
      </c>
      <c r="F1068" s="1" t="s">
        <v>3693</v>
      </c>
      <c r="G1068" s="1" t="s">
        <v>37792</v>
      </c>
      <c r="H1068" s="1" t="s">
        <v>3610</v>
      </c>
      <c r="I1068" s="1"/>
      <c r="J1068" s="1"/>
      <c r="K1068" s="1"/>
      <c r="L1068" s="1"/>
      <c r="M1068" s="1"/>
      <c r="N1068" s="1"/>
      <c r="O1068" s="1"/>
      <c r="P1068" s="1"/>
      <c r="Q1068" s="17"/>
    </row>
    <row x14ac:dyDescent="0.25" r="1069" customHeight="1" ht="18.75">
      <c r="A1069" s="1"/>
      <c r="B1069" s="1" t="s">
        <v>37791</v>
      </c>
      <c r="C1069" s="1" t="s">
        <v>7</v>
      </c>
      <c r="D1069" s="1" t="s">
        <v>10</v>
      </c>
      <c r="E1069" s="1" t="s">
        <v>37034</v>
      </c>
      <c r="F1069" s="1" t="s">
        <v>3693</v>
      </c>
      <c r="G1069" s="1" t="s">
        <v>37793</v>
      </c>
      <c r="H1069" s="1" t="s">
        <v>3695</v>
      </c>
      <c r="I1069" s="1"/>
      <c r="J1069" s="1"/>
      <c r="K1069" s="1"/>
      <c r="L1069" s="1"/>
      <c r="M1069" s="1"/>
      <c r="N1069" s="1"/>
      <c r="O1069" s="1"/>
      <c r="P1069" s="1"/>
      <c r="Q1069" s="17"/>
    </row>
    <row x14ac:dyDescent="0.25" r="1070" customHeight="1" ht="18.75">
      <c r="A1070" s="1"/>
      <c r="B1070" s="1" t="s">
        <v>37791</v>
      </c>
      <c r="C1070" s="1" t="s">
        <v>7</v>
      </c>
      <c r="D1070" s="1" t="s">
        <v>10</v>
      </c>
      <c r="E1070" s="1" t="s">
        <v>37034</v>
      </c>
      <c r="F1070" s="1" t="s">
        <v>3693</v>
      </c>
      <c r="G1070" s="1" t="s">
        <v>37794</v>
      </c>
      <c r="H1070" s="1" t="s">
        <v>3695</v>
      </c>
      <c r="I1070" s="1"/>
      <c r="J1070" s="1"/>
      <c r="K1070" s="1"/>
      <c r="L1070" s="1"/>
      <c r="M1070" s="1"/>
      <c r="N1070" s="1"/>
      <c r="O1070" s="1"/>
      <c r="P1070" s="1"/>
      <c r="Q1070" s="17"/>
    </row>
    <row x14ac:dyDescent="0.25" r="1071" customHeight="1" ht="18.75">
      <c r="A1071" s="1"/>
      <c r="B1071" s="1" t="s">
        <v>37791</v>
      </c>
      <c r="C1071" s="1" t="s">
        <v>7</v>
      </c>
      <c r="D1071" s="1" t="s">
        <v>10</v>
      </c>
      <c r="E1071" s="1" t="s">
        <v>37034</v>
      </c>
      <c r="F1071" s="1" t="s">
        <v>3693</v>
      </c>
      <c r="G1071" s="1" t="s">
        <v>37795</v>
      </c>
      <c r="H1071" s="1" t="s">
        <v>3695</v>
      </c>
      <c r="I1071" s="1"/>
      <c r="J1071" s="1"/>
      <c r="K1071" s="1"/>
      <c r="L1071" s="1"/>
      <c r="M1071" s="1"/>
      <c r="N1071" s="1"/>
      <c r="O1071" s="1"/>
      <c r="P1071" s="1"/>
      <c r="Q1071" s="17"/>
    </row>
    <row x14ac:dyDescent="0.25" r="1072" customHeight="1" ht="18.75">
      <c r="A1072" s="1"/>
      <c r="B1072" s="1" t="s">
        <v>37791</v>
      </c>
      <c r="C1072" s="1" t="s">
        <v>7</v>
      </c>
      <c r="D1072" s="1" t="s">
        <v>10</v>
      </c>
      <c r="E1072" s="1" t="s">
        <v>37034</v>
      </c>
      <c r="F1072" s="1" t="s">
        <v>3693</v>
      </c>
      <c r="G1072" s="1" t="s">
        <v>37796</v>
      </c>
      <c r="H1072" s="1" t="s">
        <v>37057</v>
      </c>
      <c r="I1072" s="1"/>
      <c r="J1072" s="1"/>
      <c r="K1072" s="1"/>
      <c r="L1072" s="1"/>
      <c r="M1072" s="1"/>
      <c r="N1072" s="1"/>
      <c r="O1072" s="1"/>
      <c r="P1072" s="1"/>
      <c r="Q1072" s="17"/>
    </row>
    <row x14ac:dyDescent="0.25" r="1073" customHeight="1" ht="18.75">
      <c r="A1073" s="1"/>
      <c r="B1073" s="1" t="s">
        <v>37797</v>
      </c>
      <c r="C1073" s="1" t="s">
        <v>7</v>
      </c>
      <c r="D1073" s="1" t="s">
        <v>10</v>
      </c>
      <c r="E1073" s="1" t="s">
        <v>36395</v>
      </c>
      <c r="F1073" s="1" t="s">
        <v>3693</v>
      </c>
      <c r="G1073" s="1" t="s">
        <v>35392</v>
      </c>
      <c r="H1073" s="1" t="s">
        <v>37107</v>
      </c>
      <c r="I1073" s="1"/>
      <c r="J1073" s="1"/>
      <c r="K1073" s="1"/>
      <c r="L1073" s="1"/>
      <c r="M1073" s="1"/>
      <c r="N1073" s="1"/>
      <c r="O1073" s="1"/>
      <c r="P1073" s="1"/>
      <c r="Q1073" s="17"/>
    </row>
    <row x14ac:dyDescent="0.25" r="1074" customHeight="1" ht="18.75">
      <c r="A1074" s="1"/>
      <c r="B1074" s="1" t="s">
        <v>37797</v>
      </c>
      <c r="C1074" s="1" t="s">
        <v>7</v>
      </c>
      <c r="D1074" s="1" t="s">
        <v>10</v>
      </c>
      <c r="E1074" s="1" t="s">
        <v>37034</v>
      </c>
      <c r="F1074" s="1" t="s">
        <v>3693</v>
      </c>
      <c r="G1074" s="1" t="s">
        <v>37798</v>
      </c>
      <c r="H1074" s="1" t="s">
        <v>37057</v>
      </c>
      <c r="I1074" s="1"/>
      <c r="J1074" s="1"/>
      <c r="K1074" s="1"/>
      <c r="L1074" s="1"/>
      <c r="M1074" s="1"/>
      <c r="N1074" s="1"/>
      <c r="O1074" s="1"/>
      <c r="P1074" s="1"/>
      <c r="Q1074" s="17"/>
    </row>
    <row x14ac:dyDescent="0.25" r="1075" customHeight="1" ht="18.75">
      <c r="A1075" s="1"/>
      <c r="B1075" s="1" t="s">
        <v>37799</v>
      </c>
      <c r="C1075" s="1" t="s">
        <v>7</v>
      </c>
      <c r="D1075" s="1" t="s">
        <v>10</v>
      </c>
      <c r="E1075" s="1" t="s">
        <v>36395</v>
      </c>
      <c r="F1075" s="1" t="s">
        <v>3693</v>
      </c>
      <c r="G1075" s="1" t="s">
        <v>35386</v>
      </c>
      <c r="H1075" s="1" t="s">
        <v>37063</v>
      </c>
      <c r="I1075" s="1"/>
      <c r="J1075" s="1"/>
      <c r="K1075" s="1"/>
      <c r="L1075" s="1"/>
      <c r="M1075" s="1"/>
      <c r="N1075" s="1"/>
      <c r="O1075" s="1"/>
      <c r="P1075" s="1"/>
      <c r="Q1075" s="17"/>
    </row>
    <row x14ac:dyDescent="0.25" r="1076" customHeight="1" ht="18.75">
      <c r="A1076" s="1"/>
      <c r="B1076" s="1" t="s">
        <v>37799</v>
      </c>
      <c r="C1076" s="1" t="s">
        <v>7</v>
      </c>
      <c r="D1076" s="1" t="s">
        <v>10</v>
      </c>
      <c r="E1076" s="1" t="s">
        <v>37034</v>
      </c>
      <c r="F1076" s="1" t="s">
        <v>3693</v>
      </c>
      <c r="G1076" s="1" t="s">
        <v>37800</v>
      </c>
      <c r="H1076" s="1" t="s">
        <v>3610</v>
      </c>
      <c r="I1076" s="1"/>
      <c r="J1076" s="1"/>
      <c r="K1076" s="1"/>
      <c r="L1076" s="1"/>
      <c r="M1076" s="1"/>
      <c r="N1076" s="1"/>
      <c r="O1076" s="1"/>
      <c r="P1076" s="1"/>
      <c r="Q1076" s="17"/>
    </row>
    <row x14ac:dyDescent="0.25" r="1077" customHeight="1" ht="18.75">
      <c r="A1077" s="1"/>
      <c r="B1077" s="1" t="s">
        <v>37799</v>
      </c>
      <c r="C1077" s="1" t="s">
        <v>7</v>
      </c>
      <c r="D1077" s="1" t="s">
        <v>10</v>
      </c>
      <c r="E1077" s="1" t="s">
        <v>37034</v>
      </c>
      <c r="F1077" s="1" t="s">
        <v>3693</v>
      </c>
      <c r="G1077" s="1" t="s">
        <v>37801</v>
      </c>
      <c r="H1077" s="1" t="s">
        <v>37057</v>
      </c>
      <c r="I1077" s="1"/>
      <c r="J1077" s="1"/>
      <c r="K1077" s="1"/>
      <c r="L1077" s="1"/>
      <c r="M1077" s="1"/>
      <c r="N1077" s="1"/>
      <c r="O1077" s="1"/>
      <c r="P1077" s="1"/>
      <c r="Q1077" s="17"/>
    </row>
    <row x14ac:dyDescent="0.25" r="1078" customHeight="1" ht="18.75">
      <c r="A1078" s="1"/>
      <c r="B1078" s="1" t="s">
        <v>37802</v>
      </c>
      <c r="C1078" s="1" t="s">
        <v>7</v>
      </c>
      <c r="D1078" s="1" t="s">
        <v>10</v>
      </c>
      <c r="E1078" s="1" t="s">
        <v>36395</v>
      </c>
      <c r="F1078" s="1" t="s">
        <v>7833</v>
      </c>
      <c r="G1078" s="1" t="s">
        <v>35223</v>
      </c>
      <c r="H1078" s="1" t="s">
        <v>7847</v>
      </c>
      <c r="I1078" s="1"/>
      <c r="J1078" s="1"/>
      <c r="K1078" s="1"/>
      <c r="L1078" s="1"/>
      <c r="M1078" s="1"/>
      <c r="N1078" s="1"/>
      <c r="O1078" s="1"/>
      <c r="P1078" s="1"/>
      <c r="Q1078" s="17"/>
    </row>
    <row x14ac:dyDescent="0.25" r="1079" customHeight="1" ht="18.75">
      <c r="A1079" s="1"/>
      <c r="B1079" s="1" t="s">
        <v>37802</v>
      </c>
      <c r="C1079" s="1" t="s">
        <v>7</v>
      </c>
      <c r="D1079" s="1" t="s">
        <v>10</v>
      </c>
      <c r="E1079" s="1" t="s">
        <v>37034</v>
      </c>
      <c r="F1079" s="1" t="s">
        <v>7833</v>
      </c>
      <c r="G1079" s="1" t="s">
        <v>37803</v>
      </c>
      <c r="H1079" s="1" t="s">
        <v>3610</v>
      </c>
      <c r="I1079" s="1"/>
      <c r="J1079" s="1"/>
      <c r="K1079" s="1"/>
      <c r="L1079" s="1"/>
      <c r="M1079" s="1"/>
      <c r="N1079" s="1"/>
      <c r="O1079" s="1"/>
      <c r="P1079" s="1"/>
      <c r="Q1079" s="17"/>
    </row>
    <row x14ac:dyDescent="0.25" r="1080" customHeight="1" ht="18.75">
      <c r="A1080" s="1"/>
      <c r="B1080" s="1" t="s">
        <v>37802</v>
      </c>
      <c r="C1080" s="1" t="s">
        <v>7</v>
      </c>
      <c r="D1080" s="1" t="s">
        <v>10</v>
      </c>
      <c r="E1080" s="1" t="s">
        <v>37034</v>
      </c>
      <c r="F1080" s="1" t="s">
        <v>7833</v>
      </c>
      <c r="G1080" s="1" t="s">
        <v>37804</v>
      </c>
      <c r="H1080" s="1" t="s">
        <v>3610</v>
      </c>
      <c r="I1080" s="1"/>
      <c r="J1080" s="1"/>
      <c r="K1080" s="1"/>
      <c r="L1080" s="1"/>
      <c r="M1080" s="1"/>
      <c r="N1080" s="1"/>
      <c r="O1080" s="1"/>
      <c r="P1080" s="1"/>
      <c r="Q1080" s="17"/>
    </row>
    <row x14ac:dyDescent="0.25" r="1081" customHeight="1" ht="18.75">
      <c r="A1081" s="1"/>
      <c r="B1081" s="1" t="s">
        <v>37802</v>
      </c>
      <c r="C1081" s="1" t="s">
        <v>7</v>
      </c>
      <c r="D1081" s="1" t="s">
        <v>10</v>
      </c>
      <c r="E1081" s="1" t="s">
        <v>37034</v>
      </c>
      <c r="F1081" s="1" t="s">
        <v>7833</v>
      </c>
      <c r="G1081" s="1" t="s">
        <v>37805</v>
      </c>
      <c r="H1081" s="1" t="s">
        <v>3610</v>
      </c>
      <c r="I1081" s="1"/>
      <c r="J1081" s="1"/>
      <c r="K1081" s="1"/>
      <c r="L1081" s="1"/>
      <c r="M1081" s="1"/>
      <c r="N1081" s="1"/>
      <c r="O1081" s="1"/>
      <c r="P1081" s="1"/>
      <c r="Q1081" s="17"/>
    </row>
    <row x14ac:dyDescent="0.25" r="1082" customHeight="1" ht="18.75">
      <c r="A1082" s="1"/>
      <c r="B1082" s="1" t="s">
        <v>37802</v>
      </c>
      <c r="C1082" s="1" t="s">
        <v>7</v>
      </c>
      <c r="D1082" s="1" t="s">
        <v>10</v>
      </c>
      <c r="E1082" s="1" t="s">
        <v>37034</v>
      </c>
      <c r="F1082" s="1" t="s">
        <v>7833</v>
      </c>
      <c r="G1082" s="1" t="s">
        <v>37806</v>
      </c>
      <c r="H1082" s="1" t="s">
        <v>3610</v>
      </c>
      <c r="I1082" s="1"/>
      <c r="J1082" s="1"/>
      <c r="K1082" s="1"/>
      <c r="L1082" s="1"/>
      <c r="M1082" s="1"/>
      <c r="N1082" s="1"/>
      <c r="O1082" s="1"/>
      <c r="P1082" s="1"/>
      <c r="Q1082" s="17"/>
    </row>
    <row x14ac:dyDescent="0.25" r="1083" customHeight="1" ht="18.75">
      <c r="A1083" s="1"/>
      <c r="B1083" s="1" t="s">
        <v>37802</v>
      </c>
      <c r="C1083" s="1" t="s">
        <v>7</v>
      </c>
      <c r="D1083" s="1" t="s">
        <v>10</v>
      </c>
      <c r="E1083" s="1" t="s">
        <v>37034</v>
      </c>
      <c r="F1083" s="1" t="s">
        <v>7833</v>
      </c>
      <c r="G1083" s="1" t="s">
        <v>37807</v>
      </c>
      <c r="H1083" s="1" t="s">
        <v>3610</v>
      </c>
      <c r="I1083" s="1"/>
      <c r="J1083" s="1"/>
      <c r="K1083" s="1"/>
      <c r="L1083" s="1"/>
      <c r="M1083" s="1"/>
      <c r="N1083" s="1"/>
      <c r="O1083" s="1"/>
      <c r="P1083" s="1"/>
      <c r="Q1083" s="17"/>
    </row>
    <row x14ac:dyDescent="0.25" r="1084" customHeight="1" ht="18.75">
      <c r="A1084" s="1"/>
      <c r="B1084" s="1" t="s">
        <v>37802</v>
      </c>
      <c r="C1084" s="1" t="s">
        <v>7</v>
      </c>
      <c r="D1084" s="1" t="s">
        <v>10</v>
      </c>
      <c r="E1084" s="1" t="s">
        <v>37034</v>
      </c>
      <c r="F1084" s="1" t="s">
        <v>7833</v>
      </c>
      <c r="G1084" s="1" t="s">
        <v>37808</v>
      </c>
      <c r="H1084" s="1" t="s">
        <v>3610</v>
      </c>
      <c r="I1084" s="1"/>
      <c r="J1084" s="1"/>
      <c r="K1084" s="1"/>
      <c r="L1084" s="1"/>
      <c r="M1084" s="1"/>
      <c r="N1084" s="1"/>
      <c r="O1084" s="1"/>
      <c r="P1084" s="1"/>
      <c r="Q1084" s="17"/>
    </row>
    <row x14ac:dyDescent="0.25" r="1085" customHeight="1" ht="18.75">
      <c r="A1085" s="1"/>
      <c r="B1085" s="1" t="s">
        <v>37802</v>
      </c>
      <c r="C1085" s="1" t="s">
        <v>7</v>
      </c>
      <c r="D1085" s="1" t="s">
        <v>10</v>
      </c>
      <c r="E1085" s="1" t="s">
        <v>37034</v>
      </c>
      <c r="F1085" s="1" t="s">
        <v>7833</v>
      </c>
      <c r="G1085" s="1" t="s">
        <v>37809</v>
      </c>
      <c r="H1085" s="1" t="s">
        <v>533</v>
      </c>
      <c r="I1085" s="1"/>
      <c r="J1085" s="1"/>
      <c r="K1085" s="1"/>
      <c r="L1085" s="1"/>
      <c r="M1085" s="1"/>
      <c r="N1085" s="1"/>
      <c r="O1085" s="1"/>
      <c r="P1085" s="1"/>
      <c r="Q1085" s="17"/>
    </row>
    <row x14ac:dyDescent="0.25" r="1086" customHeight="1" ht="18.75">
      <c r="A1086" s="1"/>
      <c r="B1086" s="1" t="s">
        <v>37810</v>
      </c>
      <c r="C1086" s="1" t="s">
        <v>7</v>
      </c>
      <c r="D1086" s="1" t="s">
        <v>10</v>
      </c>
      <c r="E1086" s="1" t="s">
        <v>36395</v>
      </c>
      <c r="F1086" s="1" t="s">
        <v>3598</v>
      </c>
      <c r="G1086" s="1" t="s">
        <v>37811</v>
      </c>
      <c r="H1086" s="1" t="s">
        <v>37063</v>
      </c>
      <c r="I1086" s="1"/>
      <c r="J1086" s="1"/>
      <c r="K1086" s="1"/>
      <c r="L1086" s="1"/>
      <c r="M1086" s="1"/>
      <c r="N1086" s="1"/>
      <c r="O1086" s="1"/>
      <c r="P1086" s="1"/>
      <c r="Q1086" s="17"/>
    </row>
    <row x14ac:dyDescent="0.25" r="1087" customHeight="1" ht="18.75">
      <c r="A1087" s="1"/>
      <c r="B1087" s="1" t="s">
        <v>37810</v>
      </c>
      <c r="C1087" s="1" t="s">
        <v>7</v>
      </c>
      <c r="D1087" s="1" t="s">
        <v>10</v>
      </c>
      <c r="E1087" s="1" t="s">
        <v>36395</v>
      </c>
      <c r="F1087" s="1" t="s">
        <v>3598</v>
      </c>
      <c r="G1087" s="1" t="s">
        <v>37812</v>
      </c>
      <c r="H1087" s="1" t="s">
        <v>37063</v>
      </c>
      <c r="I1087" s="1"/>
      <c r="J1087" s="1"/>
      <c r="K1087" s="1"/>
      <c r="L1087" s="1"/>
      <c r="M1087" s="1"/>
      <c r="N1087" s="1"/>
      <c r="O1087" s="1"/>
      <c r="P1087" s="1"/>
      <c r="Q1087" s="17"/>
    </row>
    <row x14ac:dyDescent="0.25" r="1088" customHeight="1" ht="18.75">
      <c r="A1088" s="1"/>
      <c r="B1088" s="1" t="s">
        <v>37810</v>
      </c>
      <c r="C1088" s="1" t="s">
        <v>7</v>
      </c>
      <c r="D1088" s="1" t="s">
        <v>10</v>
      </c>
      <c r="E1088" s="1" t="s">
        <v>36395</v>
      </c>
      <c r="F1088" s="1" t="s">
        <v>3598</v>
      </c>
      <c r="G1088" s="1" t="s">
        <v>37813</v>
      </c>
      <c r="H1088" s="1" t="s">
        <v>37063</v>
      </c>
      <c r="I1088" s="1"/>
      <c r="J1088" s="1"/>
      <c r="K1088" s="1"/>
      <c r="L1088" s="1"/>
      <c r="M1088" s="1"/>
      <c r="N1088" s="1"/>
      <c r="O1088" s="1"/>
      <c r="P1088" s="1"/>
      <c r="Q1088" s="17"/>
    </row>
    <row x14ac:dyDescent="0.25" r="1089" customHeight="1" ht="18.75">
      <c r="A1089" s="1"/>
      <c r="B1089" s="1" t="s">
        <v>37810</v>
      </c>
      <c r="C1089" s="1" t="s">
        <v>7</v>
      </c>
      <c r="D1089" s="1" t="s">
        <v>10</v>
      </c>
      <c r="E1089" s="1" t="s">
        <v>37034</v>
      </c>
      <c r="F1089" s="1" t="s">
        <v>3598</v>
      </c>
      <c r="G1089" s="1" t="s">
        <v>37814</v>
      </c>
      <c r="H1089" s="1" t="s">
        <v>10630</v>
      </c>
      <c r="I1089" s="1"/>
      <c r="J1089" s="1"/>
      <c r="K1089" s="1"/>
      <c r="L1089" s="1"/>
      <c r="M1089" s="1"/>
      <c r="N1089" s="1"/>
      <c r="O1089" s="1"/>
      <c r="P1089" s="1"/>
      <c r="Q1089" s="17"/>
    </row>
    <row x14ac:dyDescent="0.25" r="1090" customHeight="1" ht="18.75">
      <c r="A1090" s="1"/>
      <c r="B1090" s="1" t="s">
        <v>37815</v>
      </c>
      <c r="C1090" s="1" t="s">
        <v>7</v>
      </c>
      <c r="D1090" s="1" t="s">
        <v>10</v>
      </c>
      <c r="E1090" s="1" t="s">
        <v>37034</v>
      </c>
      <c r="F1090" s="1" t="s">
        <v>3598</v>
      </c>
      <c r="G1090" s="1" t="s">
        <v>37816</v>
      </c>
      <c r="H1090" s="1" t="s">
        <v>37057</v>
      </c>
      <c r="I1090" s="1"/>
      <c r="J1090" s="1"/>
      <c r="K1090" s="1"/>
      <c r="L1090" s="1"/>
      <c r="M1090" s="1"/>
      <c r="N1090" s="1"/>
      <c r="O1090" s="1"/>
      <c r="P1090" s="1"/>
      <c r="Q1090" s="17"/>
    </row>
    <row x14ac:dyDescent="0.25" r="1091" customHeight="1" ht="18.75">
      <c r="A1091" s="1"/>
      <c r="B1091" s="1" t="s">
        <v>37817</v>
      </c>
      <c r="C1091" s="1" t="s">
        <v>7</v>
      </c>
      <c r="D1091" s="1" t="s">
        <v>10</v>
      </c>
      <c r="E1091" s="1" t="s">
        <v>37034</v>
      </c>
      <c r="F1091" s="1" t="s">
        <v>3598</v>
      </c>
      <c r="G1091" s="1" t="s">
        <v>37818</v>
      </c>
      <c r="H1091" s="1" t="s">
        <v>37057</v>
      </c>
      <c r="I1091" s="1"/>
      <c r="J1091" s="1"/>
      <c r="K1091" s="1"/>
      <c r="L1091" s="1"/>
      <c r="M1091" s="1"/>
      <c r="N1091" s="1"/>
      <c r="O1091" s="1"/>
      <c r="P1091" s="1"/>
      <c r="Q1091" s="17"/>
    </row>
    <row x14ac:dyDescent="0.25" r="1092" customHeight="1" ht="18.75">
      <c r="A1092" s="1"/>
      <c r="B1092" s="1" t="s">
        <v>37810</v>
      </c>
      <c r="C1092" s="1" t="s">
        <v>7</v>
      </c>
      <c r="D1092" s="1" t="s">
        <v>10</v>
      </c>
      <c r="E1092" s="1" t="s">
        <v>37034</v>
      </c>
      <c r="F1092" s="1" t="s">
        <v>3598</v>
      </c>
      <c r="G1092" s="1" t="s">
        <v>37819</v>
      </c>
      <c r="H1092" s="1" t="s">
        <v>37057</v>
      </c>
      <c r="I1092" s="1"/>
      <c r="J1092" s="1"/>
      <c r="K1092" s="1"/>
      <c r="L1092" s="1"/>
      <c r="M1092" s="1"/>
      <c r="N1092" s="1"/>
      <c r="O1092" s="1"/>
      <c r="P1092" s="1"/>
      <c r="Q1092" s="17"/>
    </row>
    <row x14ac:dyDescent="0.25" r="1093" customHeight="1" ht="18.75">
      <c r="A1093" s="1"/>
      <c r="B1093" s="1" t="s">
        <v>37820</v>
      </c>
      <c r="C1093" s="1" t="s">
        <v>7</v>
      </c>
      <c r="D1093" s="1" t="s">
        <v>10</v>
      </c>
      <c r="E1093" s="1" t="s">
        <v>37034</v>
      </c>
      <c r="F1093" s="1" t="s">
        <v>3598</v>
      </c>
      <c r="G1093" s="1" t="s">
        <v>37821</v>
      </c>
      <c r="H1093" s="1" t="s">
        <v>37822</v>
      </c>
      <c r="I1093" s="1"/>
      <c r="J1093" s="1"/>
      <c r="K1093" s="1"/>
      <c r="L1093" s="1"/>
      <c r="M1093" s="1"/>
      <c r="N1093" s="1"/>
      <c r="O1093" s="1"/>
      <c r="P1093" s="1"/>
      <c r="Q1093" s="17"/>
    </row>
    <row x14ac:dyDescent="0.25" r="1094" customHeight="1" ht="18.75">
      <c r="A1094" s="1"/>
      <c r="B1094" s="1" t="s">
        <v>37815</v>
      </c>
      <c r="C1094" s="1" t="s">
        <v>7</v>
      </c>
      <c r="D1094" s="1" t="s">
        <v>10</v>
      </c>
      <c r="E1094" s="1" t="s">
        <v>37034</v>
      </c>
      <c r="F1094" s="1" t="s">
        <v>3598</v>
      </c>
      <c r="G1094" s="1" t="s">
        <v>37823</v>
      </c>
      <c r="H1094" s="1" t="s">
        <v>37057</v>
      </c>
      <c r="I1094" s="1"/>
      <c r="J1094" s="1"/>
      <c r="K1094" s="1"/>
      <c r="L1094" s="1"/>
      <c r="M1094" s="1"/>
      <c r="N1094" s="1"/>
      <c r="O1094" s="1"/>
      <c r="P1094" s="1"/>
      <c r="Q1094" s="17"/>
    </row>
    <row x14ac:dyDescent="0.25" r="1095" customHeight="1" ht="18.75">
      <c r="A1095" s="1"/>
      <c r="B1095" s="1" t="s">
        <v>37817</v>
      </c>
      <c r="C1095" s="1" t="s">
        <v>7</v>
      </c>
      <c r="D1095" s="1" t="s">
        <v>10</v>
      </c>
      <c r="E1095" s="1" t="s">
        <v>37034</v>
      </c>
      <c r="F1095" s="1" t="s">
        <v>3598</v>
      </c>
      <c r="G1095" s="1" t="s">
        <v>37824</v>
      </c>
      <c r="H1095" s="1" t="s">
        <v>37057</v>
      </c>
      <c r="I1095" s="1"/>
      <c r="J1095" s="1"/>
      <c r="K1095" s="1"/>
      <c r="L1095" s="1"/>
      <c r="M1095" s="1"/>
      <c r="N1095" s="1"/>
      <c r="O1095" s="1"/>
      <c r="P1095" s="1"/>
      <c r="Q1095" s="17"/>
    </row>
    <row x14ac:dyDescent="0.25" r="1096" customHeight="1" ht="18.75">
      <c r="A1096" s="1"/>
      <c r="B1096" s="1" t="s">
        <v>37825</v>
      </c>
      <c r="C1096" s="1" t="s">
        <v>7</v>
      </c>
      <c r="D1096" s="1" t="s">
        <v>10</v>
      </c>
      <c r="E1096" s="1" t="s">
        <v>36395</v>
      </c>
      <c r="F1096" s="1" t="s">
        <v>3598</v>
      </c>
      <c r="G1096" s="1" t="s">
        <v>37826</v>
      </c>
      <c r="H1096" s="1" t="s">
        <v>7847</v>
      </c>
      <c r="I1096" s="1"/>
      <c r="J1096" s="1"/>
      <c r="K1096" s="1"/>
      <c r="L1096" s="1"/>
      <c r="M1096" s="1"/>
      <c r="N1096" s="1"/>
      <c r="O1096" s="1"/>
      <c r="P1096" s="1"/>
      <c r="Q1096" s="17"/>
    </row>
    <row x14ac:dyDescent="0.25" r="1097" customHeight="1" ht="18.75">
      <c r="A1097" s="1"/>
      <c r="B1097" s="1" t="s">
        <v>37827</v>
      </c>
      <c r="C1097" s="1" t="s">
        <v>7</v>
      </c>
      <c r="D1097" s="1" t="s">
        <v>10</v>
      </c>
      <c r="E1097" s="1" t="s">
        <v>36395</v>
      </c>
      <c r="F1097" s="1" t="s">
        <v>7833</v>
      </c>
      <c r="G1097" s="1" t="s">
        <v>35595</v>
      </c>
      <c r="H1097" s="1" t="s">
        <v>7847</v>
      </c>
      <c r="I1097" s="1"/>
      <c r="J1097" s="1"/>
      <c r="K1097" s="1"/>
      <c r="L1097" s="1"/>
      <c r="M1097" s="1"/>
      <c r="N1097" s="1"/>
      <c r="O1097" s="1"/>
      <c r="P1097" s="1"/>
      <c r="Q1097" s="17"/>
    </row>
    <row x14ac:dyDescent="0.25" r="1098" customHeight="1" ht="18.75">
      <c r="A1098" s="1"/>
      <c r="B1098" s="1" t="s">
        <v>37828</v>
      </c>
      <c r="C1098" s="1" t="s">
        <v>7</v>
      </c>
      <c r="D1098" s="1" t="s">
        <v>10</v>
      </c>
      <c r="E1098" s="1" t="s">
        <v>36395</v>
      </c>
      <c r="F1098" s="1" t="s">
        <v>3617</v>
      </c>
      <c r="G1098" s="1" t="s">
        <v>35639</v>
      </c>
      <c r="H1098" s="1" t="s">
        <v>7847</v>
      </c>
      <c r="I1098" s="1"/>
      <c r="J1098" s="1"/>
      <c r="K1098" s="1"/>
      <c r="L1098" s="1"/>
      <c r="M1098" s="1"/>
      <c r="N1098" s="1"/>
      <c r="O1098" s="1"/>
      <c r="P1098" s="1"/>
      <c r="Q1098" s="17"/>
    </row>
    <row x14ac:dyDescent="0.25" r="1099" customHeight="1" ht="18.75">
      <c r="A1099" s="1"/>
      <c r="B1099" s="1" t="s">
        <v>37828</v>
      </c>
      <c r="C1099" s="1" t="s">
        <v>7</v>
      </c>
      <c r="D1099" s="1" t="s">
        <v>10</v>
      </c>
      <c r="E1099" s="1" t="s">
        <v>36395</v>
      </c>
      <c r="F1099" s="1" t="s">
        <v>3617</v>
      </c>
      <c r="G1099" s="1" t="s">
        <v>35642</v>
      </c>
      <c r="H1099" s="1" t="s">
        <v>7847</v>
      </c>
      <c r="I1099" s="1"/>
      <c r="J1099" s="1"/>
      <c r="K1099" s="1"/>
      <c r="L1099" s="1"/>
      <c r="M1099" s="1"/>
      <c r="N1099" s="1"/>
      <c r="O1099" s="1"/>
      <c r="P1099" s="1"/>
      <c r="Q1099" s="17"/>
    </row>
    <row x14ac:dyDescent="0.25" r="1100" customHeight="1" ht="18.75">
      <c r="A1100" s="1"/>
      <c r="B1100" s="1" t="s">
        <v>37829</v>
      </c>
      <c r="C1100" s="1" t="s">
        <v>7</v>
      </c>
      <c r="D1100" s="1" t="s">
        <v>10</v>
      </c>
      <c r="E1100" s="1" t="s">
        <v>36395</v>
      </c>
      <c r="F1100" s="1" t="s">
        <v>3617</v>
      </c>
      <c r="G1100" s="1" t="s">
        <v>35646</v>
      </c>
      <c r="H1100" s="1" t="s">
        <v>7847</v>
      </c>
      <c r="I1100" s="1"/>
      <c r="J1100" s="1"/>
      <c r="K1100" s="1"/>
      <c r="L1100" s="1"/>
      <c r="M1100" s="1"/>
      <c r="N1100" s="1"/>
      <c r="O1100" s="1"/>
      <c r="P1100" s="1"/>
      <c r="Q1100" s="17"/>
    </row>
    <row x14ac:dyDescent="0.25" r="1101" customHeight="1" ht="18.75">
      <c r="A1101" s="1"/>
      <c r="B1101" s="1" t="s">
        <v>37830</v>
      </c>
      <c r="C1101" s="1" t="s">
        <v>7</v>
      </c>
      <c r="D1101" s="1" t="s">
        <v>10</v>
      </c>
      <c r="E1101" s="1" t="s">
        <v>37034</v>
      </c>
      <c r="F1101" s="1" t="s">
        <v>3617</v>
      </c>
      <c r="G1101" s="1" t="s">
        <v>37831</v>
      </c>
      <c r="H1101" s="1" t="s">
        <v>533</v>
      </c>
      <c r="I1101" s="1"/>
      <c r="J1101" s="1"/>
      <c r="K1101" s="1"/>
      <c r="L1101" s="1"/>
      <c r="M1101" s="1"/>
      <c r="N1101" s="1"/>
      <c r="O1101" s="1"/>
      <c r="P1101" s="1"/>
      <c r="Q1101" s="17"/>
    </row>
    <row x14ac:dyDescent="0.25" r="1102" customHeight="1" ht="18.75">
      <c r="A1102" s="1"/>
      <c r="B1102" s="1" t="s">
        <v>37830</v>
      </c>
      <c r="C1102" s="1" t="s">
        <v>7</v>
      </c>
      <c r="D1102" s="1" t="s">
        <v>10</v>
      </c>
      <c r="E1102" s="1" t="s">
        <v>37034</v>
      </c>
      <c r="F1102" s="1" t="s">
        <v>3617</v>
      </c>
      <c r="G1102" s="1" t="s">
        <v>37832</v>
      </c>
      <c r="H1102" s="1" t="s">
        <v>37037</v>
      </c>
      <c r="I1102" s="1"/>
      <c r="J1102" s="1"/>
      <c r="K1102" s="1"/>
      <c r="L1102" s="1"/>
      <c r="M1102" s="1"/>
      <c r="N1102" s="1"/>
      <c r="O1102" s="1"/>
      <c r="P1102" s="1"/>
      <c r="Q1102" s="17"/>
    </row>
    <row x14ac:dyDescent="0.25" r="1103" customHeight="1" ht="18.75">
      <c r="A1103" s="1"/>
      <c r="B1103" s="1" t="s">
        <v>37830</v>
      </c>
      <c r="C1103" s="1" t="s">
        <v>7</v>
      </c>
      <c r="D1103" s="1" t="s">
        <v>10</v>
      </c>
      <c r="E1103" s="1" t="s">
        <v>37034</v>
      </c>
      <c r="F1103" s="1" t="s">
        <v>3617</v>
      </c>
      <c r="G1103" s="1" t="s">
        <v>37833</v>
      </c>
      <c r="H1103" s="1" t="s">
        <v>37037</v>
      </c>
      <c r="I1103" s="1"/>
      <c r="J1103" s="1"/>
      <c r="K1103" s="1"/>
      <c r="L1103" s="1"/>
      <c r="M1103" s="1"/>
      <c r="N1103" s="1"/>
      <c r="O1103" s="1"/>
      <c r="P1103" s="1"/>
      <c r="Q1103" s="17"/>
    </row>
    <row x14ac:dyDescent="0.25" r="1104" customHeight="1" ht="18.75">
      <c r="A1104" s="1"/>
      <c r="B1104" s="1" t="s">
        <v>37830</v>
      </c>
      <c r="C1104" s="1" t="s">
        <v>7</v>
      </c>
      <c r="D1104" s="1" t="s">
        <v>10</v>
      </c>
      <c r="E1104" s="1" t="s">
        <v>37034</v>
      </c>
      <c r="F1104" s="1" t="s">
        <v>3617</v>
      </c>
      <c r="G1104" s="1" t="s">
        <v>37834</v>
      </c>
      <c r="H1104" s="1" t="s">
        <v>37037</v>
      </c>
      <c r="I1104" s="1"/>
      <c r="J1104" s="1"/>
      <c r="K1104" s="1"/>
      <c r="L1104" s="1"/>
      <c r="M1104" s="1"/>
      <c r="N1104" s="1"/>
      <c r="O1104" s="1"/>
      <c r="P1104" s="1"/>
      <c r="Q1104" s="17"/>
    </row>
    <row x14ac:dyDescent="0.25" r="1105" customHeight="1" ht="18.75">
      <c r="A1105" s="1"/>
      <c r="B1105" s="1" t="s">
        <v>37830</v>
      </c>
      <c r="C1105" s="1" t="s">
        <v>7</v>
      </c>
      <c r="D1105" s="1" t="s">
        <v>10</v>
      </c>
      <c r="E1105" s="1" t="s">
        <v>37034</v>
      </c>
      <c r="F1105" s="1" t="s">
        <v>3617</v>
      </c>
      <c r="G1105" s="1" t="s">
        <v>37835</v>
      </c>
      <c r="H1105" s="1" t="s">
        <v>3610</v>
      </c>
      <c r="I1105" s="1"/>
      <c r="J1105" s="1"/>
      <c r="K1105" s="1"/>
      <c r="L1105" s="1"/>
      <c r="M1105" s="1"/>
      <c r="N1105" s="1"/>
      <c r="O1105" s="1"/>
      <c r="P1105" s="1"/>
      <c r="Q1105" s="17"/>
    </row>
    <row x14ac:dyDescent="0.25" r="1106" customHeight="1" ht="18.75">
      <c r="A1106" s="1"/>
      <c r="B1106" s="1" t="s">
        <v>37830</v>
      </c>
      <c r="C1106" s="1" t="s">
        <v>7</v>
      </c>
      <c r="D1106" s="1" t="s">
        <v>10</v>
      </c>
      <c r="E1106" s="1" t="s">
        <v>37034</v>
      </c>
      <c r="F1106" s="1" t="s">
        <v>3617</v>
      </c>
      <c r="G1106" s="1" t="s">
        <v>37836</v>
      </c>
      <c r="H1106" s="1" t="s">
        <v>3610</v>
      </c>
      <c r="I1106" s="1"/>
      <c r="J1106" s="1"/>
      <c r="K1106" s="1"/>
      <c r="L1106" s="1"/>
      <c r="M1106" s="1"/>
      <c r="N1106" s="1"/>
      <c r="O1106" s="1"/>
      <c r="P1106" s="1"/>
      <c r="Q1106" s="17"/>
    </row>
    <row x14ac:dyDescent="0.25" r="1107" customHeight="1" ht="18.75">
      <c r="A1107" s="1"/>
      <c r="B1107" s="1" t="s">
        <v>37830</v>
      </c>
      <c r="C1107" s="1" t="s">
        <v>7</v>
      </c>
      <c r="D1107" s="1" t="s">
        <v>10</v>
      </c>
      <c r="E1107" s="1" t="s">
        <v>37034</v>
      </c>
      <c r="F1107" s="1" t="s">
        <v>3617</v>
      </c>
      <c r="G1107" s="1" t="s">
        <v>37837</v>
      </c>
      <c r="H1107" s="1" t="s">
        <v>3610</v>
      </c>
      <c r="I1107" s="1"/>
      <c r="J1107" s="1"/>
      <c r="K1107" s="1"/>
      <c r="L1107" s="1"/>
      <c r="M1107" s="1"/>
      <c r="N1107" s="1"/>
      <c r="O1107" s="1"/>
      <c r="P1107" s="1"/>
      <c r="Q1107" s="17"/>
    </row>
    <row x14ac:dyDescent="0.25" r="1108" customHeight="1" ht="18.75">
      <c r="A1108" s="1"/>
      <c r="B1108" s="1" t="s">
        <v>37830</v>
      </c>
      <c r="C1108" s="1" t="s">
        <v>7</v>
      </c>
      <c r="D1108" s="1" t="s">
        <v>10</v>
      </c>
      <c r="E1108" s="1" t="s">
        <v>37034</v>
      </c>
      <c r="F1108" s="1" t="s">
        <v>3617</v>
      </c>
      <c r="G1108" s="1" t="s">
        <v>37838</v>
      </c>
      <c r="H1108" s="1" t="s">
        <v>3610</v>
      </c>
      <c r="I1108" s="1"/>
      <c r="J1108" s="1"/>
      <c r="K1108" s="1"/>
      <c r="L1108" s="1"/>
      <c r="M1108" s="1"/>
      <c r="N1108" s="1"/>
      <c r="O1108" s="1"/>
      <c r="P1108" s="1"/>
      <c r="Q1108" s="17"/>
    </row>
    <row x14ac:dyDescent="0.25" r="1109" customHeight="1" ht="18.75">
      <c r="A1109" s="1"/>
      <c r="B1109" s="1" t="s">
        <v>37830</v>
      </c>
      <c r="C1109" s="1" t="s">
        <v>7</v>
      </c>
      <c r="D1109" s="1" t="s">
        <v>10</v>
      </c>
      <c r="E1109" s="1" t="s">
        <v>37034</v>
      </c>
      <c r="F1109" s="1" t="s">
        <v>3617</v>
      </c>
      <c r="G1109" s="1" t="s">
        <v>37839</v>
      </c>
      <c r="H1109" s="1" t="s">
        <v>3610</v>
      </c>
      <c r="I1109" s="1"/>
      <c r="J1109" s="1"/>
      <c r="K1109" s="1"/>
      <c r="L1109" s="1"/>
      <c r="M1109" s="1"/>
      <c r="N1109" s="1"/>
      <c r="O1109" s="1"/>
      <c r="P1109" s="1"/>
      <c r="Q1109" s="17"/>
    </row>
    <row x14ac:dyDescent="0.25" r="1110" customHeight="1" ht="18.75">
      <c r="A1110" s="1"/>
      <c r="B1110" s="1" t="s">
        <v>37830</v>
      </c>
      <c r="C1110" s="1" t="s">
        <v>7</v>
      </c>
      <c r="D1110" s="1" t="s">
        <v>10</v>
      </c>
      <c r="E1110" s="1" t="s">
        <v>37034</v>
      </c>
      <c r="F1110" s="1" t="s">
        <v>3617</v>
      </c>
      <c r="G1110" s="1" t="s">
        <v>37840</v>
      </c>
      <c r="H1110" s="1" t="s">
        <v>3695</v>
      </c>
      <c r="I1110" s="1"/>
      <c r="J1110" s="1"/>
      <c r="K1110" s="1"/>
      <c r="L1110" s="1"/>
      <c r="M1110" s="1"/>
      <c r="N1110" s="1"/>
      <c r="O1110" s="1"/>
      <c r="P1110" s="1"/>
      <c r="Q1110" s="17"/>
    </row>
    <row x14ac:dyDescent="0.25" r="1111" customHeight="1" ht="18.75">
      <c r="A1111" s="1"/>
      <c r="B1111" s="1" t="s">
        <v>37830</v>
      </c>
      <c r="C1111" s="1" t="s">
        <v>7</v>
      </c>
      <c r="D1111" s="1" t="s">
        <v>10</v>
      </c>
      <c r="E1111" s="1" t="s">
        <v>37034</v>
      </c>
      <c r="F1111" s="1" t="s">
        <v>3617</v>
      </c>
      <c r="G1111" s="1" t="s">
        <v>37841</v>
      </c>
      <c r="H1111" s="1" t="s">
        <v>3695</v>
      </c>
      <c r="I1111" s="1"/>
      <c r="J1111" s="1"/>
      <c r="K1111" s="1"/>
      <c r="L1111" s="1"/>
      <c r="M1111" s="1"/>
      <c r="N1111" s="1"/>
      <c r="O1111" s="1"/>
      <c r="P1111" s="1"/>
      <c r="Q1111" s="17"/>
    </row>
    <row x14ac:dyDescent="0.25" r="1112" customHeight="1" ht="18.75">
      <c r="A1112" s="1"/>
      <c r="B1112" s="1" t="s">
        <v>37830</v>
      </c>
      <c r="C1112" s="1" t="s">
        <v>7</v>
      </c>
      <c r="D1112" s="1" t="s">
        <v>10</v>
      </c>
      <c r="E1112" s="1" t="s">
        <v>37034</v>
      </c>
      <c r="F1112" s="1" t="s">
        <v>3617</v>
      </c>
      <c r="G1112" s="1" t="s">
        <v>37842</v>
      </c>
      <c r="H1112" s="1" t="s">
        <v>3695</v>
      </c>
      <c r="I1112" s="1"/>
      <c r="J1112" s="1"/>
      <c r="K1112" s="1"/>
      <c r="L1112" s="1"/>
      <c r="M1112" s="1"/>
      <c r="N1112" s="1"/>
      <c r="O1112" s="1"/>
      <c r="P1112" s="1"/>
      <c r="Q1112" s="17"/>
    </row>
    <row x14ac:dyDescent="0.25" r="1113" customHeight="1" ht="18.75">
      <c r="A1113" s="1"/>
      <c r="B1113" s="1" t="s">
        <v>37830</v>
      </c>
      <c r="C1113" s="1" t="s">
        <v>7</v>
      </c>
      <c r="D1113" s="1" t="s">
        <v>10</v>
      </c>
      <c r="E1113" s="1" t="s">
        <v>36395</v>
      </c>
      <c r="F1113" s="1" t="s">
        <v>3617</v>
      </c>
      <c r="G1113" s="1" t="s">
        <v>35762</v>
      </c>
      <c r="H1113" s="1" t="s">
        <v>7847</v>
      </c>
      <c r="I1113" s="1"/>
      <c r="J1113" s="1"/>
      <c r="K1113" s="1"/>
      <c r="L1113" s="1"/>
      <c r="M1113" s="1"/>
      <c r="N1113" s="1"/>
      <c r="O1113" s="1"/>
      <c r="P1113" s="1"/>
      <c r="Q1113" s="17"/>
    </row>
    <row x14ac:dyDescent="0.25" r="1114" customHeight="1" ht="18.75">
      <c r="A1114" s="1"/>
      <c r="B1114" s="1" t="s">
        <v>37843</v>
      </c>
      <c r="C1114" s="1" t="s">
        <v>7</v>
      </c>
      <c r="D1114" s="1" t="s">
        <v>10</v>
      </c>
      <c r="E1114" s="1" t="s">
        <v>37034</v>
      </c>
      <c r="F1114" s="1" t="s">
        <v>3617</v>
      </c>
      <c r="G1114" s="1" t="s">
        <v>37844</v>
      </c>
      <c r="H1114" s="1" t="s">
        <v>533</v>
      </c>
      <c r="I1114" s="1"/>
      <c r="J1114" s="1"/>
      <c r="K1114" s="1"/>
      <c r="L1114" s="1"/>
      <c r="M1114" s="1"/>
      <c r="N1114" s="1"/>
      <c r="O1114" s="1"/>
      <c r="P1114" s="1"/>
      <c r="Q1114" s="17"/>
    </row>
    <row x14ac:dyDescent="0.25" r="1115" customHeight="1" ht="18.75">
      <c r="A1115" s="1"/>
      <c r="B1115" s="1" t="s">
        <v>37843</v>
      </c>
      <c r="C1115" s="1" t="s">
        <v>7</v>
      </c>
      <c r="D1115" s="1" t="s">
        <v>10</v>
      </c>
      <c r="E1115" s="1" t="s">
        <v>37034</v>
      </c>
      <c r="F1115" s="1" t="s">
        <v>3617</v>
      </c>
      <c r="G1115" s="1" t="s">
        <v>37845</v>
      </c>
      <c r="H1115" s="1" t="s">
        <v>37037</v>
      </c>
      <c r="I1115" s="1"/>
      <c r="J1115" s="1"/>
      <c r="K1115" s="1"/>
      <c r="L1115" s="1"/>
      <c r="M1115" s="1"/>
      <c r="N1115" s="1"/>
      <c r="O1115" s="1"/>
      <c r="P1115" s="1"/>
      <c r="Q1115" s="17"/>
    </row>
    <row x14ac:dyDescent="0.25" r="1116" customHeight="1" ht="18.75">
      <c r="A1116" s="1"/>
      <c r="B1116" s="1" t="s">
        <v>37843</v>
      </c>
      <c r="C1116" s="1" t="s">
        <v>7</v>
      </c>
      <c r="D1116" s="1" t="s">
        <v>10</v>
      </c>
      <c r="E1116" s="1" t="s">
        <v>37034</v>
      </c>
      <c r="F1116" s="1" t="s">
        <v>3617</v>
      </c>
      <c r="G1116" s="1" t="s">
        <v>37846</v>
      </c>
      <c r="H1116" s="1" t="s">
        <v>37037</v>
      </c>
      <c r="I1116" s="1"/>
      <c r="J1116" s="1"/>
      <c r="K1116" s="1"/>
      <c r="L1116" s="1"/>
      <c r="M1116" s="1"/>
      <c r="N1116" s="1"/>
      <c r="O1116" s="1"/>
      <c r="P1116" s="1"/>
      <c r="Q1116" s="17"/>
    </row>
    <row x14ac:dyDescent="0.25" r="1117" customHeight="1" ht="18.75">
      <c r="A1117" s="1"/>
      <c r="B1117" s="1" t="s">
        <v>37843</v>
      </c>
      <c r="C1117" s="1" t="s">
        <v>7</v>
      </c>
      <c r="D1117" s="1" t="s">
        <v>10</v>
      </c>
      <c r="E1117" s="1" t="s">
        <v>37034</v>
      </c>
      <c r="F1117" s="1" t="s">
        <v>3617</v>
      </c>
      <c r="G1117" s="1" t="s">
        <v>37847</v>
      </c>
      <c r="H1117" s="1" t="s">
        <v>37037</v>
      </c>
      <c r="I1117" s="1"/>
      <c r="J1117" s="1"/>
      <c r="K1117" s="1"/>
      <c r="L1117" s="1"/>
      <c r="M1117" s="1"/>
      <c r="N1117" s="1"/>
      <c r="O1117" s="1"/>
      <c r="P1117" s="1"/>
      <c r="Q1117" s="17"/>
    </row>
    <row x14ac:dyDescent="0.25" r="1118" customHeight="1" ht="18.75">
      <c r="A1118" s="1"/>
      <c r="B1118" s="1" t="s">
        <v>37843</v>
      </c>
      <c r="C1118" s="1" t="s">
        <v>7</v>
      </c>
      <c r="D1118" s="1" t="s">
        <v>10</v>
      </c>
      <c r="E1118" s="1" t="s">
        <v>37034</v>
      </c>
      <c r="F1118" s="1" t="s">
        <v>3617</v>
      </c>
      <c r="G1118" s="1" t="s">
        <v>37848</v>
      </c>
      <c r="H1118" s="1" t="s">
        <v>3610</v>
      </c>
      <c r="I1118" s="1"/>
      <c r="J1118" s="1"/>
      <c r="K1118" s="1"/>
      <c r="L1118" s="1"/>
      <c r="M1118" s="1"/>
      <c r="N1118" s="1"/>
      <c r="O1118" s="1"/>
      <c r="P1118" s="1"/>
      <c r="Q1118" s="17"/>
    </row>
    <row x14ac:dyDescent="0.25" r="1119" customHeight="1" ht="18.75">
      <c r="A1119" s="1"/>
      <c r="B1119" s="1" t="s">
        <v>37843</v>
      </c>
      <c r="C1119" s="1" t="s">
        <v>7</v>
      </c>
      <c r="D1119" s="1" t="s">
        <v>10</v>
      </c>
      <c r="E1119" s="1" t="s">
        <v>37034</v>
      </c>
      <c r="F1119" s="1" t="s">
        <v>3617</v>
      </c>
      <c r="G1119" s="1" t="s">
        <v>37849</v>
      </c>
      <c r="H1119" s="1" t="s">
        <v>3610</v>
      </c>
      <c r="I1119" s="1"/>
      <c r="J1119" s="1"/>
      <c r="K1119" s="1"/>
      <c r="L1119" s="1"/>
      <c r="M1119" s="1"/>
      <c r="N1119" s="1"/>
      <c r="O1119" s="1"/>
      <c r="P1119" s="1"/>
      <c r="Q1119" s="17"/>
    </row>
    <row x14ac:dyDescent="0.25" r="1120" customHeight="1" ht="18.75">
      <c r="A1120" s="1"/>
      <c r="B1120" s="1" t="s">
        <v>37843</v>
      </c>
      <c r="C1120" s="1" t="s">
        <v>7</v>
      </c>
      <c r="D1120" s="1" t="s">
        <v>10</v>
      </c>
      <c r="E1120" s="1" t="s">
        <v>37034</v>
      </c>
      <c r="F1120" s="1" t="s">
        <v>3617</v>
      </c>
      <c r="G1120" s="1" t="s">
        <v>37850</v>
      </c>
      <c r="H1120" s="1" t="s">
        <v>3610</v>
      </c>
      <c r="I1120" s="1"/>
      <c r="J1120" s="1"/>
      <c r="K1120" s="1"/>
      <c r="L1120" s="1"/>
      <c r="M1120" s="1"/>
      <c r="N1120" s="1"/>
      <c r="O1120" s="1"/>
      <c r="P1120" s="1"/>
      <c r="Q1120" s="17"/>
    </row>
    <row x14ac:dyDescent="0.25" r="1121" customHeight="1" ht="18.75">
      <c r="A1121" s="1"/>
      <c r="B1121" s="1" t="s">
        <v>37843</v>
      </c>
      <c r="C1121" s="1" t="s">
        <v>7</v>
      </c>
      <c r="D1121" s="1" t="s">
        <v>10</v>
      </c>
      <c r="E1121" s="1" t="s">
        <v>37034</v>
      </c>
      <c r="F1121" s="1" t="s">
        <v>3617</v>
      </c>
      <c r="G1121" s="1" t="s">
        <v>37851</v>
      </c>
      <c r="H1121" s="1" t="s">
        <v>3610</v>
      </c>
      <c r="I1121" s="1"/>
      <c r="J1121" s="1"/>
      <c r="K1121" s="1"/>
      <c r="L1121" s="1"/>
      <c r="M1121" s="1"/>
      <c r="N1121" s="1"/>
      <c r="O1121" s="1"/>
      <c r="P1121" s="1"/>
      <c r="Q1121" s="17"/>
    </row>
    <row x14ac:dyDescent="0.25" r="1122" customHeight="1" ht="18.75">
      <c r="A1122" s="1"/>
      <c r="B1122" s="1" t="s">
        <v>37843</v>
      </c>
      <c r="C1122" s="1" t="s">
        <v>7</v>
      </c>
      <c r="D1122" s="1" t="s">
        <v>10</v>
      </c>
      <c r="E1122" s="1" t="s">
        <v>37034</v>
      </c>
      <c r="F1122" s="1" t="s">
        <v>3617</v>
      </c>
      <c r="G1122" s="1" t="s">
        <v>37852</v>
      </c>
      <c r="H1122" s="1" t="s">
        <v>3610</v>
      </c>
      <c r="I1122" s="1"/>
      <c r="J1122" s="1"/>
      <c r="K1122" s="1"/>
      <c r="L1122" s="1"/>
      <c r="M1122" s="1"/>
      <c r="N1122" s="1"/>
      <c r="O1122" s="1"/>
      <c r="P1122" s="1"/>
      <c r="Q1122" s="17"/>
    </row>
    <row x14ac:dyDescent="0.25" r="1123" customHeight="1" ht="18.75">
      <c r="A1123" s="1"/>
      <c r="B1123" s="1" t="s">
        <v>37843</v>
      </c>
      <c r="C1123" s="1" t="s">
        <v>7</v>
      </c>
      <c r="D1123" s="1" t="s">
        <v>10</v>
      </c>
      <c r="E1123" s="1" t="s">
        <v>37034</v>
      </c>
      <c r="F1123" s="1" t="s">
        <v>3617</v>
      </c>
      <c r="G1123" s="1" t="s">
        <v>37853</v>
      </c>
      <c r="H1123" s="1" t="s">
        <v>3695</v>
      </c>
      <c r="I1123" s="1"/>
      <c r="J1123" s="1"/>
      <c r="K1123" s="1"/>
      <c r="L1123" s="1"/>
      <c r="M1123" s="1"/>
      <c r="N1123" s="1"/>
      <c r="O1123" s="1"/>
      <c r="P1123" s="1"/>
      <c r="Q1123" s="17"/>
    </row>
    <row x14ac:dyDescent="0.25" r="1124" customHeight="1" ht="18.75">
      <c r="A1124" s="1"/>
      <c r="B1124" s="1" t="s">
        <v>37843</v>
      </c>
      <c r="C1124" s="1" t="s">
        <v>7</v>
      </c>
      <c r="D1124" s="1" t="s">
        <v>10</v>
      </c>
      <c r="E1124" s="1" t="s">
        <v>37034</v>
      </c>
      <c r="F1124" s="1" t="s">
        <v>3617</v>
      </c>
      <c r="G1124" s="1" t="s">
        <v>37854</v>
      </c>
      <c r="H1124" s="1" t="s">
        <v>3695</v>
      </c>
      <c r="I1124" s="1"/>
      <c r="J1124" s="1"/>
      <c r="K1124" s="1"/>
      <c r="L1124" s="1"/>
      <c r="M1124" s="1"/>
      <c r="N1124" s="1"/>
      <c r="O1124" s="1"/>
      <c r="P1124" s="1"/>
      <c r="Q1124" s="17"/>
    </row>
    <row x14ac:dyDescent="0.25" r="1125" customHeight="1" ht="18.75">
      <c r="A1125" s="1"/>
      <c r="B1125" s="1" t="s">
        <v>37843</v>
      </c>
      <c r="C1125" s="1" t="s">
        <v>7</v>
      </c>
      <c r="D1125" s="1" t="s">
        <v>10</v>
      </c>
      <c r="E1125" s="1" t="s">
        <v>37034</v>
      </c>
      <c r="F1125" s="1" t="s">
        <v>3617</v>
      </c>
      <c r="G1125" s="1" t="s">
        <v>37855</v>
      </c>
      <c r="H1125" s="1" t="s">
        <v>3695</v>
      </c>
      <c r="I1125" s="1"/>
      <c r="J1125" s="1"/>
      <c r="K1125" s="1"/>
      <c r="L1125" s="1"/>
      <c r="M1125" s="1"/>
      <c r="N1125" s="1"/>
      <c r="O1125" s="1"/>
      <c r="P1125" s="1"/>
      <c r="Q1125" s="17"/>
    </row>
    <row x14ac:dyDescent="0.25" r="1126" customHeight="1" ht="18.75">
      <c r="A1126" s="1"/>
      <c r="B1126" s="1" t="s">
        <v>37843</v>
      </c>
      <c r="C1126" s="1" t="s">
        <v>7</v>
      </c>
      <c r="D1126" s="1" t="s">
        <v>10</v>
      </c>
      <c r="E1126" s="1" t="s">
        <v>36395</v>
      </c>
      <c r="F1126" s="1" t="s">
        <v>3617</v>
      </c>
      <c r="G1126" s="1" t="s">
        <v>35766</v>
      </c>
      <c r="H1126" s="1" t="s">
        <v>7847</v>
      </c>
      <c r="I1126" s="1"/>
      <c r="J1126" s="1"/>
      <c r="K1126" s="1"/>
      <c r="L1126" s="1"/>
      <c r="M1126" s="1"/>
      <c r="N1126" s="1"/>
      <c r="O1126" s="1"/>
      <c r="P1126" s="1"/>
      <c r="Q1126" s="17"/>
    </row>
    <row x14ac:dyDescent="0.25" r="1127" customHeight="1" ht="18.75">
      <c r="A1127" s="1"/>
      <c r="B1127" s="1" t="s">
        <v>37856</v>
      </c>
      <c r="C1127" s="1" t="s">
        <v>7</v>
      </c>
      <c r="D1127" s="1" t="s">
        <v>10</v>
      </c>
      <c r="E1127" s="1" t="s">
        <v>36395</v>
      </c>
      <c r="F1127" s="1" t="s">
        <v>3617</v>
      </c>
      <c r="G1127" s="1" t="s">
        <v>35667</v>
      </c>
      <c r="H1127" s="1" t="s">
        <v>37190</v>
      </c>
      <c r="I1127" s="1"/>
      <c r="J1127" s="1"/>
      <c r="K1127" s="1"/>
      <c r="L1127" s="1"/>
      <c r="M1127" s="1"/>
      <c r="N1127" s="1"/>
      <c r="O1127" s="1"/>
      <c r="P1127" s="1"/>
      <c r="Q1127" s="17"/>
    </row>
    <row x14ac:dyDescent="0.25" r="1128" customHeight="1" ht="18.75">
      <c r="A1128" s="1"/>
      <c r="B1128" s="1" t="s">
        <v>37857</v>
      </c>
      <c r="C1128" s="1" t="s">
        <v>7</v>
      </c>
      <c r="D1128" s="1" t="s">
        <v>10</v>
      </c>
      <c r="E1128" s="1" t="s">
        <v>37034</v>
      </c>
      <c r="F1128" s="1" t="s">
        <v>3617</v>
      </c>
      <c r="G1128" s="1" t="s">
        <v>37858</v>
      </c>
      <c r="H1128" s="1" t="s">
        <v>3610</v>
      </c>
      <c r="I1128" s="1"/>
      <c r="J1128" s="1"/>
      <c r="K1128" s="1"/>
      <c r="L1128" s="1"/>
      <c r="M1128" s="1"/>
      <c r="N1128" s="1"/>
      <c r="O1128" s="1"/>
      <c r="P1128" s="1"/>
      <c r="Q1128" s="17"/>
    </row>
    <row x14ac:dyDescent="0.25" r="1129" customHeight="1" ht="18.75">
      <c r="A1129" s="1"/>
      <c r="B1129" s="1" t="s">
        <v>37857</v>
      </c>
      <c r="C1129" s="1" t="s">
        <v>7</v>
      </c>
      <c r="D1129" s="1" t="s">
        <v>10</v>
      </c>
      <c r="E1129" s="1" t="s">
        <v>36395</v>
      </c>
      <c r="F1129" s="1" t="s">
        <v>3617</v>
      </c>
      <c r="G1129" s="1" t="s">
        <v>35671</v>
      </c>
      <c r="H1129" s="1" t="s">
        <v>37190</v>
      </c>
      <c r="I1129" s="1"/>
      <c r="J1129" s="1"/>
      <c r="K1129" s="1"/>
      <c r="L1129" s="1"/>
      <c r="M1129" s="1"/>
      <c r="N1129" s="1"/>
      <c r="O1129" s="1"/>
      <c r="P1129" s="1"/>
      <c r="Q1129" s="17"/>
    </row>
    <row x14ac:dyDescent="0.25" r="1130" customHeight="1" ht="18.75">
      <c r="A1130" s="1"/>
      <c r="B1130" s="1" t="s">
        <v>37857</v>
      </c>
      <c r="C1130" s="1" t="s">
        <v>7</v>
      </c>
      <c r="D1130" s="1" t="s">
        <v>10</v>
      </c>
      <c r="E1130" s="1" t="s">
        <v>37034</v>
      </c>
      <c r="F1130" s="1" t="s">
        <v>3617</v>
      </c>
      <c r="G1130" s="1" t="s">
        <v>37859</v>
      </c>
      <c r="H1130" s="1" t="s">
        <v>3610</v>
      </c>
      <c r="I1130" s="1"/>
      <c r="J1130" s="1"/>
      <c r="K1130" s="1"/>
      <c r="L1130" s="1"/>
      <c r="M1130" s="1"/>
      <c r="N1130" s="1"/>
      <c r="O1130" s="1"/>
      <c r="P1130" s="1"/>
      <c r="Q1130" s="17"/>
    </row>
    <row x14ac:dyDescent="0.25" r="1131" customHeight="1" ht="18.75">
      <c r="A1131" s="1"/>
      <c r="B1131" s="1" t="s">
        <v>37857</v>
      </c>
      <c r="C1131" s="1" t="s">
        <v>7</v>
      </c>
      <c r="D1131" s="1" t="s">
        <v>10</v>
      </c>
      <c r="E1131" s="1" t="s">
        <v>37034</v>
      </c>
      <c r="F1131" s="1" t="s">
        <v>3617</v>
      </c>
      <c r="G1131" s="1" t="s">
        <v>37860</v>
      </c>
      <c r="H1131" s="1" t="s">
        <v>533</v>
      </c>
      <c r="I1131" s="1"/>
      <c r="J1131" s="1"/>
      <c r="K1131" s="1"/>
      <c r="L1131" s="1"/>
      <c r="M1131" s="1"/>
      <c r="N1131" s="1"/>
      <c r="O1131" s="1"/>
      <c r="P1131" s="1"/>
      <c r="Q1131" s="17"/>
    </row>
    <row x14ac:dyDescent="0.25" r="1132" customHeight="1" ht="18.75">
      <c r="A1132" s="1"/>
      <c r="B1132" s="1" t="s">
        <v>37857</v>
      </c>
      <c r="C1132" s="1" t="s">
        <v>7</v>
      </c>
      <c r="D1132" s="1" t="s">
        <v>10</v>
      </c>
      <c r="E1132" s="1" t="s">
        <v>37034</v>
      </c>
      <c r="F1132" s="1" t="s">
        <v>3617</v>
      </c>
      <c r="G1132" s="1" t="s">
        <v>37861</v>
      </c>
      <c r="H1132" s="1" t="s">
        <v>37037</v>
      </c>
      <c r="I1132" s="1"/>
      <c r="J1132" s="1"/>
      <c r="K1132" s="1"/>
      <c r="L1132" s="1"/>
      <c r="M1132" s="1"/>
      <c r="N1132" s="1"/>
      <c r="O1132" s="1"/>
      <c r="P1132" s="1"/>
      <c r="Q1132" s="17"/>
    </row>
    <row x14ac:dyDescent="0.25" r="1133" customHeight="1" ht="18.75">
      <c r="A1133" s="1"/>
      <c r="B1133" s="1" t="s">
        <v>37857</v>
      </c>
      <c r="C1133" s="1" t="s">
        <v>7</v>
      </c>
      <c r="D1133" s="1" t="s">
        <v>10</v>
      </c>
      <c r="E1133" s="1" t="s">
        <v>37034</v>
      </c>
      <c r="F1133" s="1" t="s">
        <v>3617</v>
      </c>
      <c r="G1133" s="1" t="s">
        <v>37862</v>
      </c>
      <c r="H1133" s="1" t="s">
        <v>37037</v>
      </c>
      <c r="I1133" s="1"/>
      <c r="J1133" s="1"/>
      <c r="K1133" s="1"/>
      <c r="L1133" s="1"/>
      <c r="M1133" s="1"/>
      <c r="N1133" s="1"/>
      <c r="O1133" s="1"/>
      <c r="P1133" s="1"/>
      <c r="Q1133" s="17"/>
    </row>
    <row x14ac:dyDescent="0.25" r="1134" customHeight="1" ht="18.75">
      <c r="A1134" s="1"/>
      <c r="B1134" s="1" t="s">
        <v>37857</v>
      </c>
      <c r="C1134" s="1" t="s">
        <v>7</v>
      </c>
      <c r="D1134" s="1" t="s">
        <v>10</v>
      </c>
      <c r="E1134" s="1" t="s">
        <v>37034</v>
      </c>
      <c r="F1134" s="1" t="s">
        <v>3617</v>
      </c>
      <c r="G1134" s="1" t="s">
        <v>37863</v>
      </c>
      <c r="H1134" s="1" t="s">
        <v>37037</v>
      </c>
      <c r="I1134" s="1"/>
      <c r="J1134" s="1"/>
      <c r="K1134" s="1"/>
      <c r="L1134" s="1"/>
      <c r="M1134" s="1"/>
      <c r="N1134" s="1"/>
      <c r="O1134" s="1"/>
      <c r="P1134" s="1"/>
      <c r="Q1134" s="17"/>
    </row>
    <row x14ac:dyDescent="0.25" r="1135" customHeight="1" ht="18.75">
      <c r="A1135" s="1"/>
      <c r="B1135" s="1" t="s">
        <v>37857</v>
      </c>
      <c r="C1135" s="1" t="s">
        <v>7</v>
      </c>
      <c r="D1135" s="1" t="s">
        <v>10</v>
      </c>
      <c r="E1135" s="1" t="s">
        <v>37034</v>
      </c>
      <c r="F1135" s="1" t="s">
        <v>3617</v>
      </c>
      <c r="G1135" s="1" t="s">
        <v>37864</v>
      </c>
      <c r="H1135" s="1" t="s">
        <v>37037</v>
      </c>
      <c r="I1135" s="1"/>
      <c r="J1135" s="1"/>
      <c r="K1135" s="1"/>
      <c r="L1135" s="1"/>
      <c r="M1135" s="1"/>
      <c r="N1135" s="1"/>
      <c r="O1135" s="1"/>
      <c r="P1135" s="1"/>
      <c r="Q1135" s="17"/>
    </row>
    <row x14ac:dyDescent="0.25" r="1136" customHeight="1" ht="18.75">
      <c r="A1136" s="1"/>
      <c r="B1136" s="1" t="s">
        <v>37857</v>
      </c>
      <c r="C1136" s="1" t="s">
        <v>7</v>
      </c>
      <c r="D1136" s="1" t="s">
        <v>10</v>
      </c>
      <c r="E1136" s="1" t="s">
        <v>37034</v>
      </c>
      <c r="F1136" s="1" t="s">
        <v>3617</v>
      </c>
      <c r="G1136" s="1" t="s">
        <v>37865</v>
      </c>
      <c r="H1136" s="1" t="s">
        <v>37037</v>
      </c>
      <c r="I1136" s="1"/>
      <c r="J1136" s="1"/>
      <c r="K1136" s="1"/>
      <c r="L1136" s="1"/>
      <c r="M1136" s="1"/>
      <c r="N1136" s="1"/>
      <c r="O1136" s="1"/>
      <c r="P1136" s="1"/>
      <c r="Q1136" s="17"/>
    </row>
    <row x14ac:dyDescent="0.25" r="1137" customHeight="1" ht="18.75">
      <c r="A1137" s="1"/>
      <c r="B1137" s="1" t="s">
        <v>37857</v>
      </c>
      <c r="C1137" s="1" t="s">
        <v>7</v>
      </c>
      <c r="D1137" s="1" t="s">
        <v>10</v>
      </c>
      <c r="E1137" s="1" t="s">
        <v>37034</v>
      </c>
      <c r="F1137" s="1" t="s">
        <v>3617</v>
      </c>
      <c r="G1137" s="1" t="s">
        <v>37866</v>
      </c>
      <c r="H1137" s="1" t="s">
        <v>37037</v>
      </c>
      <c r="I1137" s="1"/>
      <c r="J1137" s="1"/>
      <c r="K1137" s="1"/>
      <c r="L1137" s="1"/>
      <c r="M1137" s="1"/>
      <c r="N1137" s="1"/>
      <c r="O1137" s="1"/>
      <c r="P1137" s="1"/>
      <c r="Q1137" s="17"/>
    </row>
    <row x14ac:dyDescent="0.25" r="1138" customHeight="1" ht="18.75">
      <c r="A1138" s="1"/>
      <c r="B1138" s="1" t="s">
        <v>37857</v>
      </c>
      <c r="C1138" s="1" t="s">
        <v>7</v>
      </c>
      <c r="D1138" s="1" t="s">
        <v>10</v>
      </c>
      <c r="E1138" s="1" t="s">
        <v>37034</v>
      </c>
      <c r="F1138" s="1" t="s">
        <v>3617</v>
      </c>
      <c r="G1138" s="1" t="s">
        <v>37867</v>
      </c>
      <c r="H1138" s="1" t="s">
        <v>3610</v>
      </c>
      <c r="I1138" s="1"/>
      <c r="J1138" s="1"/>
      <c r="K1138" s="1"/>
      <c r="L1138" s="1"/>
      <c r="M1138" s="1"/>
      <c r="N1138" s="1"/>
      <c r="O1138" s="1"/>
      <c r="P1138" s="1"/>
      <c r="Q1138" s="17"/>
    </row>
    <row x14ac:dyDescent="0.25" r="1139" customHeight="1" ht="18.75">
      <c r="A1139" s="1"/>
      <c r="B1139" s="1" t="s">
        <v>37857</v>
      </c>
      <c r="C1139" s="1" t="s">
        <v>7</v>
      </c>
      <c r="D1139" s="1" t="s">
        <v>10</v>
      </c>
      <c r="E1139" s="1" t="s">
        <v>37034</v>
      </c>
      <c r="F1139" s="1" t="s">
        <v>3617</v>
      </c>
      <c r="G1139" s="1" t="s">
        <v>37868</v>
      </c>
      <c r="H1139" s="1" t="s">
        <v>3610</v>
      </c>
      <c r="I1139" s="1"/>
      <c r="J1139" s="1"/>
      <c r="K1139" s="1"/>
      <c r="L1139" s="1"/>
      <c r="M1139" s="1"/>
      <c r="N1139" s="1"/>
      <c r="O1139" s="1"/>
      <c r="P1139" s="1"/>
      <c r="Q1139" s="17"/>
    </row>
    <row x14ac:dyDescent="0.25" r="1140" customHeight="1" ht="18.75">
      <c r="A1140" s="1"/>
      <c r="B1140" s="1" t="s">
        <v>37857</v>
      </c>
      <c r="C1140" s="1" t="s">
        <v>7</v>
      </c>
      <c r="D1140" s="1" t="s">
        <v>10</v>
      </c>
      <c r="E1140" s="1" t="s">
        <v>37034</v>
      </c>
      <c r="F1140" s="1" t="s">
        <v>3617</v>
      </c>
      <c r="G1140" s="1" t="s">
        <v>37869</v>
      </c>
      <c r="H1140" s="1" t="s">
        <v>3610</v>
      </c>
      <c r="I1140" s="1"/>
      <c r="J1140" s="1"/>
      <c r="K1140" s="1"/>
      <c r="L1140" s="1"/>
      <c r="M1140" s="1"/>
      <c r="N1140" s="1"/>
      <c r="O1140" s="1"/>
      <c r="P1140" s="1"/>
      <c r="Q1140" s="17"/>
    </row>
    <row x14ac:dyDescent="0.25" r="1141" customHeight="1" ht="18.75">
      <c r="A1141" s="1"/>
      <c r="B1141" s="1" t="s">
        <v>37857</v>
      </c>
      <c r="C1141" s="1" t="s">
        <v>7</v>
      </c>
      <c r="D1141" s="1" t="s">
        <v>10</v>
      </c>
      <c r="E1141" s="1" t="s">
        <v>37034</v>
      </c>
      <c r="F1141" s="1" t="s">
        <v>3617</v>
      </c>
      <c r="G1141" s="1" t="s">
        <v>37870</v>
      </c>
      <c r="H1141" s="1" t="s">
        <v>7891</v>
      </c>
      <c r="I1141" s="1"/>
      <c r="J1141" s="1"/>
      <c r="K1141" s="1"/>
      <c r="L1141" s="1"/>
      <c r="M1141" s="1"/>
      <c r="N1141" s="1"/>
      <c r="O1141" s="1"/>
      <c r="P1141" s="1"/>
      <c r="Q1141" s="17"/>
    </row>
    <row x14ac:dyDescent="0.25" r="1142" customHeight="1" ht="18.75">
      <c r="A1142" s="1"/>
      <c r="B1142" s="1" t="s">
        <v>37857</v>
      </c>
      <c r="C1142" s="1" t="s">
        <v>7</v>
      </c>
      <c r="D1142" s="1" t="s">
        <v>10</v>
      </c>
      <c r="E1142" s="1" t="s">
        <v>37034</v>
      </c>
      <c r="F1142" s="1" t="s">
        <v>3617</v>
      </c>
      <c r="G1142" s="1" t="s">
        <v>37871</v>
      </c>
      <c r="H1142" s="1" t="s">
        <v>7891</v>
      </c>
      <c r="I1142" s="1"/>
      <c r="J1142" s="1"/>
      <c r="K1142" s="1"/>
      <c r="L1142" s="1"/>
      <c r="M1142" s="1"/>
      <c r="N1142" s="1"/>
      <c r="O1142" s="1"/>
      <c r="P1142" s="1"/>
      <c r="Q1142" s="17"/>
    </row>
    <row x14ac:dyDescent="0.25" r="1143" customHeight="1" ht="18.75">
      <c r="A1143" s="1"/>
      <c r="B1143" s="1" t="s">
        <v>37857</v>
      </c>
      <c r="C1143" s="1" t="s">
        <v>7</v>
      </c>
      <c r="D1143" s="1" t="s">
        <v>10</v>
      </c>
      <c r="E1143" s="1" t="s">
        <v>37034</v>
      </c>
      <c r="F1143" s="1" t="s">
        <v>3617</v>
      </c>
      <c r="G1143" s="1" t="s">
        <v>37872</v>
      </c>
      <c r="H1143" s="1" t="s">
        <v>7891</v>
      </c>
      <c r="I1143" s="1"/>
      <c r="J1143" s="1"/>
      <c r="K1143" s="1"/>
      <c r="L1143" s="1"/>
      <c r="M1143" s="1"/>
      <c r="N1143" s="1"/>
      <c r="O1143" s="1"/>
      <c r="P1143" s="1"/>
      <c r="Q1143" s="17"/>
    </row>
    <row x14ac:dyDescent="0.25" r="1144" customHeight="1" ht="18.75">
      <c r="A1144" s="1"/>
      <c r="B1144" s="1" t="s">
        <v>37857</v>
      </c>
      <c r="C1144" s="1" t="s">
        <v>7</v>
      </c>
      <c r="D1144" s="1" t="s">
        <v>10</v>
      </c>
      <c r="E1144" s="1" t="s">
        <v>37034</v>
      </c>
      <c r="F1144" s="1" t="s">
        <v>3617</v>
      </c>
      <c r="G1144" s="1" t="s">
        <v>37873</v>
      </c>
      <c r="H1144" s="1" t="s">
        <v>7891</v>
      </c>
      <c r="I1144" s="1"/>
      <c r="J1144" s="1"/>
      <c r="K1144" s="1"/>
      <c r="L1144" s="1"/>
      <c r="M1144" s="1"/>
      <c r="N1144" s="1"/>
      <c r="O1144" s="1"/>
      <c r="P1144" s="1"/>
      <c r="Q1144" s="17"/>
    </row>
    <row x14ac:dyDescent="0.25" r="1145" customHeight="1" ht="18.75">
      <c r="A1145" s="1"/>
      <c r="B1145" s="1" t="s">
        <v>37857</v>
      </c>
      <c r="C1145" s="1" t="s">
        <v>7</v>
      </c>
      <c r="D1145" s="1" t="s">
        <v>10</v>
      </c>
      <c r="E1145" s="1" t="s">
        <v>37034</v>
      </c>
      <c r="F1145" s="1" t="s">
        <v>3617</v>
      </c>
      <c r="G1145" s="1" t="s">
        <v>37874</v>
      </c>
      <c r="H1145" s="1" t="s">
        <v>7891</v>
      </c>
      <c r="I1145" s="1"/>
      <c r="J1145" s="1"/>
      <c r="K1145" s="1"/>
      <c r="L1145" s="1"/>
      <c r="M1145" s="1"/>
      <c r="N1145" s="1"/>
      <c r="O1145" s="1"/>
      <c r="P1145" s="1"/>
      <c r="Q1145" s="17"/>
    </row>
    <row x14ac:dyDescent="0.25" r="1146" customHeight="1" ht="18.75">
      <c r="A1146" s="1"/>
      <c r="B1146" s="1" t="s">
        <v>37857</v>
      </c>
      <c r="C1146" s="1" t="s">
        <v>7</v>
      </c>
      <c r="D1146" s="1" t="s">
        <v>10</v>
      </c>
      <c r="E1146" s="1" t="s">
        <v>37034</v>
      </c>
      <c r="F1146" s="1" t="s">
        <v>3617</v>
      </c>
      <c r="G1146" s="1" t="s">
        <v>37875</v>
      </c>
      <c r="H1146" s="1" t="s">
        <v>7891</v>
      </c>
      <c r="I1146" s="1"/>
      <c r="J1146" s="1"/>
      <c r="K1146" s="1"/>
      <c r="L1146" s="1"/>
      <c r="M1146" s="1"/>
      <c r="N1146" s="1"/>
      <c r="O1146" s="1"/>
      <c r="P1146" s="1"/>
      <c r="Q1146" s="17"/>
    </row>
    <row x14ac:dyDescent="0.25" r="1147" customHeight="1" ht="18.75">
      <c r="A1147" s="1"/>
      <c r="B1147" s="1" t="s">
        <v>37876</v>
      </c>
      <c r="C1147" s="1" t="s">
        <v>7</v>
      </c>
      <c r="D1147" s="1" t="s">
        <v>10</v>
      </c>
      <c r="E1147" s="1" t="s">
        <v>36395</v>
      </c>
      <c r="F1147" s="1" t="s">
        <v>3617</v>
      </c>
      <c r="G1147" s="1" t="s">
        <v>35675</v>
      </c>
      <c r="H1147" s="1" t="s">
        <v>37190</v>
      </c>
      <c r="I1147" s="1"/>
      <c r="J1147" s="1"/>
      <c r="K1147" s="1"/>
      <c r="L1147" s="1"/>
      <c r="M1147" s="1"/>
      <c r="N1147" s="1"/>
      <c r="O1147" s="1"/>
      <c r="P1147" s="1"/>
      <c r="Q1147" s="17"/>
    </row>
    <row x14ac:dyDescent="0.25" r="1148" customHeight="1" ht="18.75">
      <c r="A1148" s="1"/>
      <c r="B1148" s="1" t="s">
        <v>37876</v>
      </c>
      <c r="C1148" s="1" t="s">
        <v>7</v>
      </c>
      <c r="D1148" s="1" t="s">
        <v>10</v>
      </c>
      <c r="E1148" s="1" t="s">
        <v>37034</v>
      </c>
      <c r="F1148" s="1" t="s">
        <v>3617</v>
      </c>
      <c r="G1148" s="1" t="s">
        <v>37877</v>
      </c>
      <c r="H1148" s="1" t="s">
        <v>3610</v>
      </c>
      <c r="I1148" s="1"/>
      <c r="J1148" s="1"/>
      <c r="K1148" s="1"/>
      <c r="L1148" s="1"/>
      <c r="M1148" s="1"/>
      <c r="N1148" s="1"/>
      <c r="O1148" s="1"/>
      <c r="P1148" s="1"/>
      <c r="Q1148" s="17"/>
    </row>
    <row x14ac:dyDescent="0.25" r="1149" customHeight="1" ht="18.75">
      <c r="A1149" s="1"/>
      <c r="B1149" s="1" t="s">
        <v>37876</v>
      </c>
      <c r="C1149" s="1" t="s">
        <v>7</v>
      </c>
      <c r="D1149" s="1" t="s">
        <v>10</v>
      </c>
      <c r="E1149" s="1" t="s">
        <v>37034</v>
      </c>
      <c r="F1149" s="1" t="s">
        <v>3617</v>
      </c>
      <c r="G1149" s="1" t="s">
        <v>37878</v>
      </c>
      <c r="H1149" s="1" t="s">
        <v>533</v>
      </c>
      <c r="I1149" s="1"/>
      <c r="J1149" s="1"/>
      <c r="K1149" s="1"/>
      <c r="L1149" s="1"/>
      <c r="M1149" s="1"/>
      <c r="N1149" s="1"/>
      <c r="O1149" s="1"/>
      <c r="P1149" s="1"/>
      <c r="Q1149" s="17"/>
    </row>
    <row x14ac:dyDescent="0.25" r="1150" customHeight="1" ht="18.75">
      <c r="A1150" s="1"/>
      <c r="B1150" s="1" t="s">
        <v>37876</v>
      </c>
      <c r="C1150" s="1" t="s">
        <v>7</v>
      </c>
      <c r="D1150" s="1" t="s">
        <v>10</v>
      </c>
      <c r="E1150" s="1" t="s">
        <v>37034</v>
      </c>
      <c r="F1150" s="1" t="s">
        <v>3617</v>
      </c>
      <c r="G1150" s="1" t="s">
        <v>37879</v>
      </c>
      <c r="H1150" s="1" t="s">
        <v>37037</v>
      </c>
      <c r="I1150" s="1"/>
      <c r="J1150" s="1"/>
      <c r="K1150" s="1"/>
      <c r="L1150" s="1"/>
      <c r="M1150" s="1"/>
      <c r="N1150" s="1"/>
      <c r="O1150" s="1"/>
      <c r="P1150" s="1"/>
      <c r="Q1150" s="17"/>
    </row>
    <row x14ac:dyDescent="0.25" r="1151" customHeight="1" ht="18.75">
      <c r="A1151" s="1"/>
      <c r="B1151" s="1" t="s">
        <v>37876</v>
      </c>
      <c r="C1151" s="1" t="s">
        <v>7</v>
      </c>
      <c r="D1151" s="1" t="s">
        <v>10</v>
      </c>
      <c r="E1151" s="1" t="s">
        <v>37034</v>
      </c>
      <c r="F1151" s="1" t="s">
        <v>3617</v>
      </c>
      <c r="G1151" s="1" t="s">
        <v>37880</v>
      </c>
      <c r="H1151" s="1" t="s">
        <v>37037</v>
      </c>
      <c r="I1151" s="1"/>
      <c r="J1151" s="1"/>
      <c r="K1151" s="1"/>
      <c r="L1151" s="1"/>
      <c r="M1151" s="1"/>
      <c r="N1151" s="1"/>
      <c r="O1151" s="1"/>
      <c r="P1151" s="1"/>
      <c r="Q1151" s="17"/>
    </row>
    <row x14ac:dyDescent="0.25" r="1152" customHeight="1" ht="18.75">
      <c r="A1152" s="1"/>
      <c r="B1152" s="1" t="s">
        <v>37876</v>
      </c>
      <c r="C1152" s="1" t="s">
        <v>7</v>
      </c>
      <c r="D1152" s="1" t="s">
        <v>10</v>
      </c>
      <c r="E1152" s="1" t="s">
        <v>37034</v>
      </c>
      <c r="F1152" s="1" t="s">
        <v>3617</v>
      </c>
      <c r="G1152" s="1" t="s">
        <v>37881</v>
      </c>
      <c r="H1152" s="1" t="s">
        <v>37037</v>
      </c>
      <c r="I1152" s="1"/>
      <c r="J1152" s="1"/>
      <c r="K1152" s="1"/>
      <c r="L1152" s="1"/>
      <c r="M1152" s="1"/>
      <c r="N1152" s="1"/>
      <c r="O1152" s="1"/>
      <c r="P1152" s="1"/>
      <c r="Q1152" s="17"/>
    </row>
    <row x14ac:dyDescent="0.25" r="1153" customHeight="1" ht="18.75">
      <c r="A1153" s="1"/>
      <c r="B1153" s="1" t="s">
        <v>37876</v>
      </c>
      <c r="C1153" s="1" t="s">
        <v>7</v>
      </c>
      <c r="D1153" s="1" t="s">
        <v>10</v>
      </c>
      <c r="E1153" s="1" t="s">
        <v>37034</v>
      </c>
      <c r="F1153" s="1" t="s">
        <v>3617</v>
      </c>
      <c r="G1153" s="1" t="s">
        <v>37882</v>
      </c>
      <c r="H1153" s="1" t="s">
        <v>37037</v>
      </c>
      <c r="I1153" s="1"/>
      <c r="J1153" s="1"/>
      <c r="K1153" s="1"/>
      <c r="L1153" s="1"/>
      <c r="M1153" s="1"/>
      <c r="N1153" s="1"/>
      <c r="O1153" s="1"/>
      <c r="P1153" s="1"/>
      <c r="Q1153" s="17"/>
    </row>
    <row x14ac:dyDescent="0.25" r="1154" customHeight="1" ht="18.75">
      <c r="A1154" s="1"/>
      <c r="B1154" s="1" t="s">
        <v>37876</v>
      </c>
      <c r="C1154" s="1" t="s">
        <v>7</v>
      </c>
      <c r="D1154" s="1" t="s">
        <v>10</v>
      </c>
      <c r="E1154" s="1" t="s">
        <v>37034</v>
      </c>
      <c r="F1154" s="1" t="s">
        <v>3617</v>
      </c>
      <c r="G1154" s="1" t="s">
        <v>37883</v>
      </c>
      <c r="H1154" s="1" t="s">
        <v>37037</v>
      </c>
      <c r="I1154" s="1"/>
      <c r="J1154" s="1"/>
      <c r="K1154" s="1"/>
      <c r="L1154" s="1"/>
      <c r="M1154" s="1"/>
      <c r="N1154" s="1"/>
      <c r="O1154" s="1"/>
      <c r="P1154" s="1"/>
      <c r="Q1154" s="17"/>
    </row>
    <row x14ac:dyDescent="0.25" r="1155" customHeight="1" ht="18.75">
      <c r="A1155" s="1"/>
      <c r="B1155" s="1" t="s">
        <v>37876</v>
      </c>
      <c r="C1155" s="1" t="s">
        <v>7</v>
      </c>
      <c r="D1155" s="1" t="s">
        <v>10</v>
      </c>
      <c r="E1155" s="1" t="s">
        <v>37034</v>
      </c>
      <c r="F1155" s="1" t="s">
        <v>3617</v>
      </c>
      <c r="G1155" s="1" t="s">
        <v>37884</v>
      </c>
      <c r="H1155" s="1" t="s">
        <v>37037</v>
      </c>
      <c r="I1155" s="1"/>
      <c r="J1155" s="1"/>
      <c r="K1155" s="1"/>
      <c r="L1155" s="1"/>
      <c r="M1155" s="1"/>
      <c r="N1155" s="1"/>
      <c r="O1155" s="1"/>
      <c r="P1155" s="1"/>
      <c r="Q1155" s="17"/>
    </row>
    <row x14ac:dyDescent="0.25" r="1156" customHeight="1" ht="18.75">
      <c r="A1156" s="1"/>
      <c r="B1156" s="1" t="s">
        <v>37876</v>
      </c>
      <c r="C1156" s="1" t="s">
        <v>7</v>
      </c>
      <c r="D1156" s="1" t="s">
        <v>10</v>
      </c>
      <c r="E1156" s="1" t="s">
        <v>37034</v>
      </c>
      <c r="F1156" s="1" t="s">
        <v>3617</v>
      </c>
      <c r="G1156" s="1" t="s">
        <v>37885</v>
      </c>
      <c r="H1156" s="1" t="s">
        <v>3610</v>
      </c>
      <c r="I1156" s="1"/>
      <c r="J1156" s="1"/>
      <c r="K1156" s="1"/>
      <c r="L1156" s="1"/>
      <c r="M1156" s="1"/>
      <c r="N1156" s="1"/>
      <c r="O1156" s="1"/>
      <c r="P1156" s="1"/>
      <c r="Q1156" s="17"/>
    </row>
    <row x14ac:dyDescent="0.25" r="1157" customHeight="1" ht="18.75">
      <c r="A1157" s="1"/>
      <c r="B1157" s="1" t="s">
        <v>37876</v>
      </c>
      <c r="C1157" s="1" t="s">
        <v>7</v>
      </c>
      <c r="D1157" s="1" t="s">
        <v>10</v>
      </c>
      <c r="E1157" s="1" t="s">
        <v>37034</v>
      </c>
      <c r="F1157" s="1" t="s">
        <v>3617</v>
      </c>
      <c r="G1157" s="1" t="s">
        <v>37886</v>
      </c>
      <c r="H1157" s="1" t="s">
        <v>3610</v>
      </c>
      <c r="I1157" s="1"/>
      <c r="J1157" s="1"/>
      <c r="K1157" s="1"/>
      <c r="L1157" s="1"/>
      <c r="M1157" s="1"/>
      <c r="N1157" s="1"/>
      <c r="O1157" s="1"/>
      <c r="P1157" s="1"/>
      <c r="Q1157" s="17"/>
    </row>
    <row x14ac:dyDescent="0.25" r="1158" customHeight="1" ht="18.75">
      <c r="A1158" s="1"/>
      <c r="B1158" s="1" t="s">
        <v>37876</v>
      </c>
      <c r="C1158" s="1" t="s">
        <v>7</v>
      </c>
      <c r="D1158" s="1" t="s">
        <v>10</v>
      </c>
      <c r="E1158" s="1" t="s">
        <v>37034</v>
      </c>
      <c r="F1158" s="1" t="s">
        <v>3617</v>
      </c>
      <c r="G1158" s="1" t="s">
        <v>37887</v>
      </c>
      <c r="H1158" s="1" t="s">
        <v>3610</v>
      </c>
      <c r="I1158" s="1"/>
      <c r="J1158" s="1"/>
      <c r="K1158" s="1"/>
      <c r="L1158" s="1"/>
      <c r="M1158" s="1"/>
      <c r="N1158" s="1"/>
      <c r="O1158" s="1"/>
      <c r="P1158" s="1"/>
      <c r="Q1158" s="17"/>
    </row>
    <row x14ac:dyDescent="0.25" r="1159" customHeight="1" ht="18.75">
      <c r="A1159" s="1"/>
      <c r="B1159" s="1" t="s">
        <v>37888</v>
      </c>
      <c r="C1159" s="1" t="s">
        <v>7</v>
      </c>
      <c r="D1159" s="1" t="s">
        <v>10</v>
      </c>
      <c r="E1159" s="1" t="s">
        <v>36395</v>
      </c>
      <c r="F1159" s="1" t="s">
        <v>3617</v>
      </c>
      <c r="G1159" s="1" t="s">
        <v>35679</v>
      </c>
      <c r="H1159" s="1" t="s">
        <v>37190</v>
      </c>
      <c r="I1159" s="1"/>
      <c r="J1159" s="1"/>
      <c r="K1159" s="1"/>
      <c r="L1159" s="1"/>
      <c r="M1159" s="1"/>
      <c r="N1159" s="1"/>
      <c r="O1159" s="1"/>
      <c r="P1159" s="1"/>
      <c r="Q1159" s="17"/>
    </row>
    <row x14ac:dyDescent="0.25" r="1160" customHeight="1" ht="18.75">
      <c r="A1160" s="1"/>
      <c r="B1160" s="1" t="s">
        <v>37876</v>
      </c>
      <c r="C1160" s="1" t="s">
        <v>7</v>
      </c>
      <c r="D1160" s="1" t="s">
        <v>10</v>
      </c>
      <c r="E1160" s="1" t="s">
        <v>37034</v>
      </c>
      <c r="F1160" s="1" t="s">
        <v>3617</v>
      </c>
      <c r="G1160" s="1" t="s">
        <v>37889</v>
      </c>
      <c r="H1160" s="1" t="s">
        <v>3610</v>
      </c>
      <c r="I1160" s="1"/>
      <c r="J1160" s="1"/>
      <c r="K1160" s="1"/>
      <c r="L1160" s="1"/>
      <c r="M1160" s="1"/>
      <c r="N1160" s="1"/>
      <c r="O1160" s="1"/>
      <c r="P1160" s="1"/>
      <c r="Q1160" s="17"/>
    </row>
    <row x14ac:dyDescent="0.25" r="1161" customHeight="1" ht="18.75">
      <c r="A1161" s="1"/>
      <c r="B1161" s="1" t="s">
        <v>37857</v>
      </c>
      <c r="C1161" s="1" t="s">
        <v>7</v>
      </c>
      <c r="D1161" s="1" t="s">
        <v>10</v>
      </c>
      <c r="E1161" s="1" t="s">
        <v>37034</v>
      </c>
      <c r="F1161" s="1" t="s">
        <v>3617</v>
      </c>
      <c r="G1161" s="1" t="s">
        <v>37890</v>
      </c>
      <c r="H1161" s="1" t="s">
        <v>37057</v>
      </c>
      <c r="I1161" s="1"/>
      <c r="J1161" s="1"/>
      <c r="K1161" s="1"/>
      <c r="L1161" s="1"/>
      <c r="M1161" s="1"/>
      <c r="N1161" s="1"/>
      <c r="O1161" s="1"/>
      <c r="P1161" s="1"/>
      <c r="Q1161" s="17"/>
    </row>
    <row x14ac:dyDescent="0.25" r="1162" customHeight="1" ht="18.75">
      <c r="A1162" s="1"/>
      <c r="B1162" s="1" t="s">
        <v>37857</v>
      </c>
      <c r="C1162" s="1" t="s">
        <v>7</v>
      </c>
      <c r="D1162" s="1" t="s">
        <v>10</v>
      </c>
      <c r="E1162" s="1" t="s">
        <v>37034</v>
      </c>
      <c r="F1162" s="1" t="s">
        <v>3617</v>
      </c>
      <c r="G1162" s="1" t="s">
        <v>37891</v>
      </c>
      <c r="H1162" s="1" t="s">
        <v>37057</v>
      </c>
      <c r="I1162" s="1"/>
      <c r="J1162" s="1"/>
      <c r="K1162" s="1"/>
      <c r="L1162" s="1"/>
      <c r="M1162" s="1"/>
      <c r="N1162" s="1"/>
      <c r="O1162" s="1"/>
      <c r="P1162" s="1"/>
      <c r="Q1162" s="17"/>
    </row>
    <row x14ac:dyDescent="0.25" r="1163" customHeight="1" ht="18.75">
      <c r="A1163" s="1"/>
      <c r="B1163" s="1" t="s">
        <v>37857</v>
      </c>
      <c r="C1163" s="1" t="s">
        <v>7</v>
      </c>
      <c r="D1163" s="1" t="s">
        <v>10</v>
      </c>
      <c r="E1163" s="1" t="s">
        <v>37034</v>
      </c>
      <c r="F1163" s="1" t="s">
        <v>3617</v>
      </c>
      <c r="G1163" s="1" t="s">
        <v>37892</v>
      </c>
      <c r="H1163" s="1" t="s">
        <v>37057</v>
      </c>
      <c r="I1163" s="1"/>
      <c r="J1163" s="1"/>
      <c r="K1163" s="1"/>
      <c r="L1163" s="1"/>
      <c r="M1163" s="1"/>
      <c r="N1163" s="1"/>
      <c r="O1163" s="1"/>
      <c r="P1163" s="1"/>
      <c r="Q1163" s="17"/>
    </row>
    <row x14ac:dyDescent="0.25" r="1164" customHeight="1" ht="18.75">
      <c r="A1164" s="1"/>
      <c r="B1164" s="1" t="s">
        <v>37857</v>
      </c>
      <c r="C1164" s="1" t="s">
        <v>7</v>
      </c>
      <c r="D1164" s="1" t="s">
        <v>10</v>
      </c>
      <c r="E1164" s="1" t="s">
        <v>37034</v>
      </c>
      <c r="F1164" s="1" t="s">
        <v>3617</v>
      </c>
      <c r="G1164" s="1" t="s">
        <v>37893</v>
      </c>
      <c r="H1164" s="1" t="s">
        <v>37057</v>
      </c>
      <c r="I1164" s="1"/>
      <c r="J1164" s="1"/>
      <c r="K1164" s="1"/>
      <c r="L1164" s="1"/>
      <c r="M1164" s="1"/>
      <c r="N1164" s="1"/>
      <c r="O1164" s="1"/>
      <c r="P1164" s="1"/>
      <c r="Q1164" s="17"/>
    </row>
    <row x14ac:dyDescent="0.25" r="1165" customHeight="1" ht="18.75">
      <c r="A1165" s="1"/>
      <c r="B1165" s="1" t="s">
        <v>37876</v>
      </c>
      <c r="C1165" s="1" t="s">
        <v>7</v>
      </c>
      <c r="D1165" s="1" t="s">
        <v>10</v>
      </c>
      <c r="E1165" s="1" t="s">
        <v>37034</v>
      </c>
      <c r="F1165" s="1" t="s">
        <v>3617</v>
      </c>
      <c r="G1165" s="1" t="s">
        <v>37894</v>
      </c>
      <c r="H1165" s="1" t="s">
        <v>37057</v>
      </c>
      <c r="I1165" s="1"/>
      <c r="J1165" s="1"/>
      <c r="K1165" s="1"/>
      <c r="L1165" s="1"/>
      <c r="M1165" s="1"/>
      <c r="N1165" s="1"/>
      <c r="O1165" s="1"/>
      <c r="P1165" s="1"/>
      <c r="Q1165" s="17"/>
    </row>
    <row x14ac:dyDescent="0.25" r="1166" customHeight="1" ht="18.75">
      <c r="A1166" s="1"/>
      <c r="B1166" s="1" t="s">
        <v>37876</v>
      </c>
      <c r="C1166" s="1" t="s">
        <v>7</v>
      </c>
      <c r="D1166" s="1" t="s">
        <v>10</v>
      </c>
      <c r="E1166" s="1" t="s">
        <v>37034</v>
      </c>
      <c r="F1166" s="1" t="s">
        <v>3617</v>
      </c>
      <c r="G1166" s="1" t="s">
        <v>37895</v>
      </c>
      <c r="H1166" s="1" t="s">
        <v>37057</v>
      </c>
      <c r="I1166" s="1"/>
      <c r="J1166" s="1"/>
      <c r="K1166" s="1"/>
      <c r="L1166" s="1"/>
      <c r="M1166" s="1"/>
      <c r="N1166" s="1"/>
      <c r="O1166" s="1"/>
      <c r="P1166" s="1"/>
      <c r="Q1166" s="17"/>
    </row>
    <row x14ac:dyDescent="0.25" r="1167" customHeight="1" ht="18.75">
      <c r="A1167" s="1"/>
      <c r="B1167" s="1" t="s">
        <v>37876</v>
      </c>
      <c r="C1167" s="1" t="s">
        <v>7</v>
      </c>
      <c r="D1167" s="1" t="s">
        <v>10</v>
      </c>
      <c r="E1167" s="1" t="s">
        <v>37034</v>
      </c>
      <c r="F1167" s="1" t="s">
        <v>3617</v>
      </c>
      <c r="G1167" s="1" t="s">
        <v>37896</v>
      </c>
      <c r="H1167" s="1" t="s">
        <v>37057</v>
      </c>
      <c r="I1167" s="1"/>
      <c r="J1167" s="1"/>
      <c r="K1167" s="1"/>
      <c r="L1167" s="1"/>
      <c r="M1167" s="1"/>
      <c r="N1167" s="1"/>
      <c r="O1167" s="1"/>
      <c r="P1167" s="1"/>
      <c r="Q1167" s="17"/>
    </row>
    <row x14ac:dyDescent="0.25" r="1168" customHeight="1" ht="18.75">
      <c r="A1168" s="1"/>
      <c r="B1168" s="1" t="s">
        <v>37876</v>
      </c>
      <c r="C1168" s="1" t="s">
        <v>7</v>
      </c>
      <c r="D1168" s="1" t="s">
        <v>10</v>
      </c>
      <c r="E1168" s="1" t="s">
        <v>37034</v>
      </c>
      <c r="F1168" s="1" t="s">
        <v>3617</v>
      </c>
      <c r="G1168" s="1" t="s">
        <v>37897</v>
      </c>
      <c r="H1168" s="1" t="s">
        <v>37057</v>
      </c>
      <c r="I1168" s="1"/>
      <c r="J1168" s="1"/>
      <c r="K1168" s="1"/>
      <c r="L1168" s="1"/>
      <c r="M1168" s="1"/>
      <c r="N1168" s="1"/>
      <c r="O1168" s="1"/>
      <c r="P1168" s="1"/>
      <c r="Q1168" s="17"/>
    </row>
    <row x14ac:dyDescent="0.25" r="1169" customHeight="1" ht="18.75">
      <c r="A1169" s="1"/>
      <c r="B1169" s="1" t="s">
        <v>37857</v>
      </c>
      <c r="C1169" s="1" t="s">
        <v>7</v>
      </c>
      <c r="D1169" s="1" t="s">
        <v>10</v>
      </c>
      <c r="E1169" s="1" t="s">
        <v>37034</v>
      </c>
      <c r="F1169" s="1" t="s">
        <v>3617</v>
      </c>
      <c r="G1169" s="1" t="s">
        <v>37898</v>
      </c>
      <c r="H1169" s="1" t="s">
        <v>37057</v>
      </c>
      <c r="I1169" s="1"/>
      <c r="J1169" s="1"/>
      <c r="K1169" s="1"/>
      <c r="L1169" s="1"/>
      <c r="M1169" s="1"/>
      <c r="N1169" s="1"/>
      <c r="O1169" s="1"/>
      <c r="P1169" s="1"/>
      <c r="Q1169" s="17"/>
    </row>
    <row x14ac:dyDescent="0.25" r="1170" customHeight="1" ht="18.75">
      <c r="A1170" s="1"/>
      <c r="B1170" s="1" t="s">
        <v>37876</v>
      </c>
      <c r="C1170" s="1" t="s">
        <v>7</v>
      </c>
      <c r="D1170" s="1" t="s">
        <v>10</v>
      </c>
      <c r="E1170" s="1" t="s">
        <v>37034</v>
      </c>
      <c r="F1170" s="1" t="s">
        <v>3617</v>
      </c>
      <c r="G1170" s="1" t="s">
        <v>37899</v>
      </c>
      <c r="H1170" s="1" t="s">
        <v>37057</v>
      </c>
      <c r="I1170" s="1"/>
      <c r="J1170" s="1"/>
      <c r="K1170" s="1"/>
      <c r="L1170" s="1"/>
      <c r="M1170" s="1"/>
      <c r="N1170" s="1"/>
      <c r="O1170" s="1"/>
      <c r="P1170" s="1"/>
      <c r="Q1170" s="17"/>
    </row>
    <row x14ac:dyDescent="0.25" r="1171" customHeight="1" ht="18.75">
      <c r="A1171" s="1"/>
      <c r="B1171" s="1" t="s">
        <v>37900</v>
      </c>
      <c r="C1171" s="1" t="s">
        <v>7</v>
      </c>
      <c r="D1171" s="1" t="s">
        <v>10</v>
      </c>
      <c r="E1171" s="1" t="s">
        <v>36395</v>
      </c>
      <c r="F1171" s="1" t="s">
        <v>3693</v>
      </c>
      <c r="G1171" s="1" t="s">
        <v>35330</v>
      </c>
      <c r="H1171" s="1" t="s">
        <v>7847</v>
      </c>
      <c r="I1171" s="1"/>
      <c r="J1171" s="1"/>
      <c r="K1171" s="1"/>
      <c r="L1171" s="1"/>
      <c r="M1171" s="1"/>
      <c r="N1171" s="1"/>
      <c r="O1171" s="1"/>
      <c r="P1171" s="1"/>
      <c r="Q1171" s="17"/>
    </row>
    <row x14ac:dyDescent="0.25" r="1172" customHeight="1" ht="18.75">
      <c r="A1172" s="1"/>
      <c r="B1172" s="1" t="s">
        <v>37900</v>
      </c>
      <c r="C1172" s="1" t="s">
        <v>7</v>
      </c>
      <c r="D1172" s="1" t="s">
        <v>10</v>
      </c>
      <c r="E1172" s="1" t="s">
        <v>37034</v>
      </c>
      <c r="F1172" s="1" t="s">
        <v>3693</v>
      </c>
      <c r="G1172" s="1" t="s">
        <v>37901</v>
      </c>
      <c r="H1172" s="1" t="s">
        <v>37057</v>
      </c>
      <c r="I1172" s="1"/>
      <c r="J1172" s="1"/>
      <c r="K1172" s="1"/>
      <c r="L1172" s="1"/>
      <c r="M1172" s="1"/>
      <c r="N1172" s="1"/>
      <c r="O1172" s="1"/>
      <c r="P1172" s="1"/>
      <c r="Q1172" s="17"/>
    </row>
    <row x14ac:dyDescent="0.25" r="1173" customHeight="1" ht="18.75">
      <c r="A1173" s="1"/>
      <c r="B1173" s="1" t="s">
        <v>37900</v>
      </c>
      <c r="C1173" s="1" t="s">
        <v>7</v>
      </c>
      <c r="D1173" s="1" t="s">
        <v>10</v>
      </c>
      <c r="E1173" s="1" t="s">
        <v>37034</v>
      </c>
      <c r="F1173" s="1" t="s">
        <v>3693</v>
      </c>
      <c r="G1173" s="1" t="s">
        <v>37902</v>
      </c>
      <c r="H1173" s="1" t="s">
        <v>37057</v>
      </c>
      <c r="I1173" s="1"/>
      <c r="J1173" s="1"/>
      <c r="K1173" s="1"/>
      <c r="L1173" s="1"/>
      <c r="M1173" s="1"/>
      <c r="N1173" s="1"/>
      <c r="O1173" s="1"/>
      <c r="P1173" s="1"/>
      <c r="Q1173" s="17"/>
    </row>
    <row x14ac:dyDescent="0.25" r="1174" customHeight="1" ht="18.75">
      <c r="A1174" s="1"/>
      <c r="B1174" s="1" t="s">
        <v>37903</v>
      </c>
      <c r="C1174" s="1" t="s">
        <v>7</v>
      </c>
      <c r="D1174" s="1" t="s">
        <v>10</v>
      </c>
      <c r="E1174" s="1" t="s">
        <v>36395</v>
      </c>
      <c r="F1174" s="1" t="s">
        <v>3693</v>
      </c>
      <c r="G1174" s="1" t="s">
        <v>35396</v>
      </c>
      <c r="H1174" s="1" t="s">
        <v>37063</v>
      </c>
      <c r="I1174" s="1"/>
      <c r="J1174" s="1"/>
      <c r="K1174" s="1"/>
      <c r="L1174" s="1"/>
      <c r="M1174" s="1"/>
      <c r="N1174" s="1"/>
      <c r="O1174" s="1"/>
      <c r="P1174" s="1"/>
      <c r="Q1174" s="17"/>
    </row>
    <row x14ac:dyDescent="0.25" r="1175" customHeight="1" ht="18.75">
      <c r="A1175" s="1"/>
      <c r="B1175" s="1" t="s">
        <v>37903</v>
      </c>
      <c r="C1175" s="1" t="s">
        <v>7</v>
      </c>
      <c r="D1175" s="1" t="s">
        <v>10</v>
      </c>
      <c r="E1175" s="1" t="s">
        <v>37034</v>
      </c>
      <c r="F1175" s="1" t="s">
        <v>3693</v>
      </c>
      <c r="G1175" s="1" t="s">
        <v>37904</v>
      </c>
      <c r="H1175" s="1" t="s">
        <v>3610</v>
      </c>
      <c r="I1175" s="1"/>
      <c r="J1175" s="1"/>
      <c r="K1175" s="1"/>
      <c r="L1175" s="1"/>
      <c r="M1175" s="1"/>
      <c r="N1175" s="1"/>
      <c r="O1175" s="1"/>
      <c r="P1175" s="1"/>
      <c r="Q1175" s="17"/>
    </row>
    <row x14ac:dyDescent="0.25" r="1176" customHeight="1" ht="18.75">
      <c r="A1176" s="1"/>
      <c r="B1176" s="1" t="s">
        <v>37903</v>
      </c>
      <c r="C1176" s="1" t="s">
        <v>7</v>
      </c>
      <c r="D1176" s="1" t="s">
        <v>10</v>
      </c>
      <c r="E1176" s="1" t="s">
        <v>37034</v>
      </c>
      <c r="F1176" s="1" t="s">
        <v>3693</v>
      </c>
      <c r="G1176" s="1" t="s">
        <v>37905</v>
      </c>
      <c r="H1176" s="1" t="s">
        <v>37057</v>
      </c>
      <c r="I1176" s="1"/>
      <c r="J1176" s="1"/>
      <c r="K1176" s="1"/>
      <c r="L1176" s="1"/>
      <c r="M1176" s="1"/>
      <c r="N1176" s="1"/>
      <c r="O1176" s="1"/>
      <c r="P1176" s="1"/>
      <c r="Q1176" s="17"/>
    </row>
    <row x14ac:dyDescent="0.25" r="1177" customHeight="1" ht="18.75">
      <c r="A1177" s="1"/>
      <c r="B1177" s="1" t="s">
        <v>37906</v>
      </c>
      <c r="C1177" s="1" t="s">
        <v>7</v>
      </c>
      <c r="D1177" s="1" t="s">
        <v>10</v>
      </c>
      <c r="E1177" s="1" t="s">
        <v>36395</v>
      </c>
      <c r="F1177" s="1" t="s">
        <v>3598</v>
      </c>
      <c r="G1177" s="1" t="s">
        <v>37907</v>
      </c>
      <c r="H1177" s="1" t="s">
        <v>37063</v>
      </c>
      <c r="I1177" s="1"/>
      <c r="J1177" s="1"/>
      <c r="K1177" s="1"/>
      <c r="L1177" s="1"/>
      <c r="M1177" s="1"/>
      <c r="N1177" s="1"/>
      <c r="O1177" s="1"/>
      <c r="P1177" s="1"/>
      <c r="Q1177" s="17"/>
    </row>
    <row x14ac:dyDescent="0.25" r="1178" customHeight="1" ht="18.75">
      <c r="A1178" s="1"/>
      <c r="B1178" s="1" t="s">
        <v>37906</v>
      </c>
      <c r="C1178" s="1" t="s">
        <v>7</v>
      </c>
      <c r="D1178" s="1" t="s">
        <v>10</v>
      </c>
      <c r="E1178" s="1" t="s">
        <v>36395</v>
      </c>
      <c r="F1178" s="1" t="s">
        <v>3598</v>
      </c>
      <c r="G1178" s="1" t="s">
        <v>37908</v>
      </c>
      <c r="H1178" s="1" t="s">
        <v>37063</v>
      </c>
      <c r="I1178" s="1"/>
      <c r="J1178" s="1"/>
      <c r="K1178" s="1"/>
      <c r="L1178" s="1"/>
      <c r="M1178" s="1"/>
      <c r="N1178" s="1"/>
      <c r="O1178" s="1"/>
      <c r="P1178" s="1"/>
      <c r="Q1178" s="17"/>
    </row>
    <row x14ac:dyDescent="0.25" r="1179" customHeight="1" ht="18.75">
      <c r="A1179" s="1"/>
      <c r="B1179" s="1" t="s">
        <v>37909</v>
      </c>
      <c r="C1179" s="1" t="s">
        <v>7</v>
      </c>
      <c r="D1179" s="1" t="s">
        <v>10</v>
      </c>
      <c r="E1179" s="1" t="s">
        <v>36395</v>
      </c>
      <c r="F1179" s="1" t="s">
        <v>3598</v>
      </c>
      <c r="G1179" s="1" t="s">
        <v>37910</v>
      </c>
      <c r="H1179" s="1" t="s">
        <v>37063</v>
      </c>
      <c r="I1179" s="1"/>
      <c r="J1179" s="1"/>
      <c r="K1179" s="1"/>
      <c r="L1179" s="1"/>
      <c r="M1179" s="1"/>
      <c r="N1179" s="1"/>
      <c r="O1179" s="1"/>
      <c r="P1179" s="1"/>
      <c r="Q1179" s="17"/>
    </row>
    <row x14ac:dyDescent="0.25" r="1180" customHeight="1" ht="18.75">
      <c r="A1180" s="1"/>
      <c r="B1180" s="1" t="s">
        <v>37909</v>
      </c>
      <c r="C1180" s="1" t="s">
        <v>7</v>
      </c>
      <c r="D1180" s="1" t="s">
        <v>10</v>
      </c>
      <c r="E1180" s="1" t="s">
        <v>36395</v>
      </c>
      <c r="F1180" s="1" t="s">
        <v>3598</v>
      </c>
      <c r="G1180" s="1" t="s">
        <v>37911</v>
      </c>
      <c r="H1180" s="1" t="s">
        <v>37063</v>
      </c>
      <c r="I1180" s="1"/>
      <c r="J1180" s="1"/>
      <c r="K1180" s="1"/>
      <c r="L1180" s="1"/>
      <c r="M1180" s="1"/>
      <c r="N1180" s="1"/>
      <c r="O1180" s="1"/>
      <c r="P1180" s="1"/>
      <c r="Q1180" s="17"/>
    </row>
    <row x14ac:dyDescent="0.25" r="1181" customHeight="1" ht="18.75">
      <c r="A1181" s="1"/>
      <c r="B1181" s="1" t="s">
        <v>37906</v>
      </c>
      <c r="C1181" s="1" t="s">
        <v>7</v>
      </c>
      <c r="D1181" s="1" t="s">
        <v>10</v>
      </c>
      <c r="E1181" s="1" t="s">
        <v>36395</v>
      </c>
      <c r="F1181" s="1" t="s">
        <v>3598</v>
      </c>
      <c r="G1181" s="1" t="s">
        <v>37912</v>
      </c>
      <c r="H1181" s="1" t="s">
        <v>37063</v>
      </c>
      <c r="I1181" s="1"/>
      <c r="J1181" s="1"/>
      <c r="K1181" s="1"/>
      <c r="L1181" s="1"/>
      <c r="M1181" s="1"/>
      <c r="N1181" s="1"/>
      <c r="O1181" s="1"/>
      <c r="P1181" s="1"/>
      <c r="Q1181" s="17"/>
    </row>
    <row x14ac:dyDescent="0.25" r="1182" customHeight="1" ht="18.75">
      <c r="A1182" s="1"/>
      <c r="B1182" s="1" t="s">
        <v>37909</v>
      </c>
      <c r="C1182" s="1" t="s">
        <v>7</v>
      </c>
      <c r="D1182" s="1" t="s">
        <v>10</v>
      </c>
      <c r="E1182" s="1" t="s">
        <v>36395</v>
      </c>
      <c r="F1182" s="1" t="s">
        <v>3598</v>
      </c>
      <c r="G1182" s="1" t="s">
        <v>37913</v>
      </c>
      <c r="H1182" s="1" t="s">
        <v>37063</v>
      </c>
      <c r="I1182" s="1"/>
      <c r="J1182" s="1"/>
      <c r="K1182" s="1"/>
      <c r="L1182" s="1"/>
      <c r="M1182" s="1"/>
      <c r="N1182" s="1"/>
      <c r="O1182" s="1"/>
      <c r="P1182" s="1"/>
      <c r="Q1182" s="17"/>
    </row>
    <row x14ac:dyDescent="0.25" r="1183" customHeight="1" ht="18.75">
      <c r="A1183" s="1"/>
      <c r="B1183" s="1" t="s">
        <v>37914</v>
      </c>
      <c r="C1183" s="1" t="s">
        <v>7</v>
      </c>
      <c r="D1183" s="1" t="s">
        <v>10</v>
      </c>
      <c r="E1183" s="1" t="s">
        <v>36395</v>
      </c>
      <c r="F1183" s="1" t="s">
        <v>3693</v>
      </c>
      <c r="G1183" s="1" t="s">
        <v>35258</v>
      </c>
      <c r="H1183" s="1" t="s">
        <v>37190</v>
      </c>
      <c r="I1183" s="1"/>
      <c r="J1183" s="1"/>
      <c r="K1183" s="1"/>
      <c r="L1183" s="1"/>
      <c r="M1183" s="1"/>
      <c r="N1183" s="1"/>
      <c r="O1183" s="1"/>
      <c r="P1183" s="1"/>
      <c r="Q1183" s="17"/>
    </row>
    <row x14ac:dyDescent="0.25" r="1184" customHeight="1" ht="18.75">
      <c r="A1184" s="1"/>
      <c r="B1184" s="1" t="s">
        <v>37914</v>
      </c>
      <c r="C1184" s="1" t="s">
        <v>7</v>
      </c>
      <c r="D1184" s="1" t="s">
        <v>10</v>
      </c>
      <c r="E1184" s="1" t="s">
        <v>37034</v>
      </c>
      <c r="F1184" s="1" t="s">
        <v>3693</v>
      </c>
      <c r="G1184" s="1" t="s">
        <v>37915</v>
      </c>
      <c r="H1184" s="1" t="s">
        <v>37037</v>
      </c>
      <c r="I1184" s="1"/>
      <c r="J1184" s="1"/>
      <c r="K1184" s="1"/>
      <c r="L1184" s="1"/>
      <c r="M1184" s="1"/>
      <c r="N1184" s="1"/>
      <c r="O1184" s="1"/>
      <c r="P1184" s="1"/>
      <c r="Q1184" s="17"/>
    </row>
    <row x14ac:dyDescent="0.25" r="1185" customHeight="1" ht="18.75">
      <c r="A1185" s="1"/>
      <c r="B1185" s="1" t="s">
        <v>37914</v>
      </c>
      <c r="C1185" s="1" t="s">
        <v>7</v>
      </c>
      <c r="D1185" s="1" t="s">
        <v>10</v>
      </c>
      <c r="E1185" s="1" t="s">
        <v>37034</v>
      </c>
      <c r="F1185" s="1" t="s">
        <v>3693</v>
      </c>
      <c r="G1185" s="1" t="s">
        <v>37916</v>
      </c>
      <c r="H1185" s="1" t="s">
        <v>37037</v>
      </c>
      <c r="I1185" s="1"/>
      <c r="J1185" s="1"/>
      <c r="K1185" s="1"/>
      <c r="L1185" s="1"/>
      <c r="M1185" s="1"/>
      <c r="N1185" s="1"/>
      <c r="O1185" s="1"/>
      <c r="P1185" s="1"/>
      <c r="Q1185" s="17"/>
    </row>
    <row x14ac:dyDescent="0.25" r="1186" customHeight="1" ht="18.75">
      <c r="A1186" s="1"/>
      <c r="B1186" s="1" t="s">
        <v>37914</v>
      </c>
      <c r="C1186" s="1" t="s">
        <v>7</v>
      </c>
      <c r="D1186" s="1" t="s">
        <v>10</v>
      </c>
      <c r="E1186" s="1" t="s">
        <v>37034</v>
      </c>
      <c r="F1186" s="1" t="s">
        <v>3693</v>
      </c>
      <c r="G1186" s="1" t="s">
        <v>37917</v>
      </c>
      <c r="H1186" s="1" t="s">
        <v>37037</v>
      </c>
      <c r="I1186" s="1"/>
      <c r="J1186" s="1"/>
      <c r="K1186" s="1"/>
      <c r="L1186" s="1"/>
      <c r="M1186" s="1"/>
      <c r="N1186" s="1"/>
      <c r="O1186" s="1"/>
      <c r="P1186" s="1"/>
      <c r="Q1186" s="17"/>
    </row>
    <row x14ac:dyDescent="0.25" r="1187" customHeight="1" ht="18.75">
      <c r="A1187" s="1"/>
      <c r="B1187" s="1" t="s">
        <v>37914</v>
      </c>
      <c r="C1187" s="1" t="s">
        <v>7</v>
      </c>
      <c r="D1187" s="1" t="s">
        <v>10</v>
      </c>
      <c r="E1187" s="1" t="s">
        <v>37034</v>
      </c>
      <c r="F1187" s="1" t="s">
        <v>3693</v>
      </c>
      <c r="G1187" s="1" t="s">
        <v>37918</v>
      </c>
      <c r="H1187" s="1" t="s">
        <v>3610</v>
      </c>
      <c r="I1187" s="1"/>
      <c r="J1187" s="1"/>
      <c r="K1187" s="1"/>
      <c r="L1187" s="1"/>
      <c r="M1187" s="1"/>
      <c r="N1187" s="1"/>
      <c r="O1187" s="1"/>
      <c r="P1187" s="1"/>
      <c r="Q1187" s="17"/>
    </row>
    <row x14ac:dyDescent="0.25" r="1188" customHeight="1" ht="18.75">
      <c r="A1188" s="1"/>
      <c r="B1188" s="1" t="s">
        <v>37914</v>
      </c>
      <c r="C1188" s="1" t="s">
        <v>7</v>
      </c>
      <c r="D1188" s="1" t="s">
        <v>10</v>
      </c>
      <c r="E1188" s="1" t="s">
        <v>37034</v>
      </c>
      <c r="F1188" s="1" t="s">
        <v>3693</v>
      </c>
      <c r="G1188" s="1" t="s">
        <v>37919</v>
      </c>
      <c r="H1188" s="1" t="s">
        <v>3610</v>
      </c>
      <c r="I1188" s="1"/>
      <c r="J1188" s="1"/>
      <c r="K1188" s="1"/>
      <c r="L1188" s="1"/>
      <c r="M1188" s="1"/>
      <c r="N1188" s="1"/>
      <c r="O1188" s="1"/>
      <c r="P1188" s="1"/>
      <c r="Q1188" s="17"/>
    </row>
    <row x14ac:dyDescent="0.25" r="1189" customHeight="1" ht="18.75">
      <c r="A1189" s="1"/>
      <c r="B1189" s="1" t="s">
        <v>37914</v>
      </c>
      <c r="C1189" s="1" t="s">
        <v>7</v>
      </c>
      <c r="D1189" s="1" t="s">
        <v>10</v>
      </c>
      <c r="E1189" s="1" t="s">
        <v>37034</v>
      </c>
      <c r="F1189" s="1" t="s">
        <v>3693</v>
      </c>
      <c r="G1189" s="1" t="s">
        <v>37920</v>
      </c>
      <c r="H1189" s="1" t="s">
        <v>3610</v>
      </c>
      <c r="I1189" s="1"/>
      <c r="J1189" s="1"/>
      <c r="K1189" s="1"/>
      <c r="L1189" s="1"/>
      <c r="M1189" s="1"/>
      <c r="N1189" s="1"/>
      <c r="O1189" s="1"/>
      <c r="P1189" s="1"/>
      <c r="Q1189" s="17"/>
    </row>
    <row x14ac:dyDescent="0.25" r="1190" customHeight="1" ht="18.75">
      <c r="A1190" s="1"/>
      <c r="B1190" s="1" t="s">
        <v>37914</v>
      </c>
      <c r="C1190" s="1" t="s">
        <v>7</v>
      </c>
      <c r="D1190" s="1" t="s">
        <v>10</v>
      </c>
      <c r="E1190" s="1" t="s">
        <v>37034</v>
      </c>
      <c r="F1190" s="1" t="s">
        <v>3693</v>
      </c>
      <c r="G1190" s="1" t="s">
        <v>37921</v>
      </c>
      <c r="H1190" s="1" t="s">
        <v>3695</v>
      </c>
      <c r="I1190" s="1"/>
      <c r="J1190" s="1"/>
      <c r="K1190" s="1"/>
      <c r="L1190" s="1"/>
      <c r="M1190" s="1"/>
      <c r="N1190" s="1"/>
      <c r="O1190" s="1"/>
      <c r="P1190" s="1"/>
      <c r="Q1190" s="17"/>
    </row>
    <row x14ac:dyDescent="0.25" r="1191" customHeight="1" ht="18.75">
      <c r="A1191" s="1"/>
      <c r="B1191" s="1" t="s">
        <v>37914</v>
      </c>
      <c r="C1191" s="1" t="s">
        <v>7</v>
      </c>
      <c r="D1191" s="1" t="s">
        <v>10</v>
      </c>
      <c r="E1191" s="1" t="s">
        <v>37034</v>
      </c>
      <c r="F1191" s="1" t="s">
        <v>3693</v>
      </c>
      <c r="G1191" s="1" t="s">
        <v>37922</v>
      </c>
      <c r="H1191" s="1" t="s">
        <v>3695</v>
      </c>
      <c r="I1191" s="1"/>
      <c r="J1191" s="1"/>
      <c r="K1191" s="1"/>
      <c r="L1191" s="1"/>
      <c r="M1191" s="1"/>
      <c r="N1191" s="1"/>
      <c r="O1191" s="1"/>
      <c r="P1191" s="1"/>
      <c r="Q1191" s="17"/>
    </row>
    <row x14ac:dyDescent="0.25" r="1192" customHeight="1" ht="18.75">
      <c r="A1192" s="1"/>
      <c r="B1192" s="1" t="s">
        <v>37914</v>
      </c>
      <c r="C1192" s="1" t="s">
        <v>7</v>
      </c>
      <c r="D1192" s="1" t="s">
        <v>10</v>
      </c>
      <c r="E1192" s="1" t="s">
        <v>37034</v>
      </c>
      <c r="F1192" s="1" t="s">
        <v>3693</v>
      </c>
      <c r="G1192" s="1" t="s">
        <v>37923</v>
      </c>
      <c r="H1192" s="1" t="s">
        <v>3695</v>
      </c>
      <c r="I1192" s="1"/>
      <c r="J1192" s="1"/>
      <c r="K1192" s="1"/>
      <c r="L1192" s="1"/>
      <c r="M1192" s="1"/>
      <c r="N1192" s="1"/>
      <c r="O1192" s="1"/>
      <c r="P1192" s="1"/>
      <c r="Q1192" s="17"/>
    </row>
    <row x14ac:dyDescent="0.25" r="1193" customHeight="1" ht="18.75">
      <c r="A1193" s="1"/>
      <c r="B1193" s="1" t="s">
        <v>37924</v>
      </c>
      <c r="C1193" s="1" t="s">
        <v>7</v>
      </c>
      <c r="D1193" s="1" t="s">
        <v>10</v>
      </c>
      <c r="E1193" s="1" t="s">
        <v>36395</v>
      </c>
      <c r="F1193" s="1" t="s">
        <v>3693</v>
      </c>
      <c r="G1193" s="1" t="s">
        <v>35262</v>
      </c>
      <c r="H1193" s="1" t="s">
        <v>37190</v>
      </c>
      <c r="I1193" s="1"/>
      <c r="J1193" s="1"/>
      <c r="K1193" s="1"/>
      <c r="L1193" s="1"/>
      <c r="M1193" s="1"/>
      <c r="N1193" s="1"/>
      <c r="O1193" s="1"/>
      <c r="P1193" s="1"/>
      <c r="Q1193" s="17"/>
    </row>
    <row x14ac:dyDescent="0.25" r="1194" customHeight="1" ht="18.75">
      <c r="A1194" s="1"/>
      <c r="B1194" s="1" t="s">
        <v>37924</v>
      </c>
      <c r="C1194" s="1" t="s">
        <v>7</v>
      </c>
      <c r="D1194" s="1" t="s">
        <v>10</v>
      </c>
      <c r="E1194" s="1" t="s">
        <v>37034</v>
      </c>
      <c r="F1194" s="1" t="s">
        <v>3693</v>
      </c>
      <c r="G1194" s="1" t="s">
        <v>37925</v>
      </c>
      <c r="H1194" s="1" t="s">
        <v>37037</v>
      </c>
      <c r="I1194" s="1"/>
      <c r="J1194" s="1"/>
      <c r="K1194" s="1"/>
      <c r="L1194" s="1"/>
      <c r="M1194" s="1"/>
      <c r="N1194" s="1"/>
      <c r="O1194" s="1"/>
      <c r="P1194" s="1"/>
      <c r="Q1194" s="17"/>
    </row>
    <row x14ac:dyDescent="0.25" r="1195" customHeight="1" ht="18.75">
      <c r="A1195" s="1"/>
      <c r="B1195" s="1" t="s">
        <v>37924</v>
      </c>
      <c r="C1195" s="1" t="s">
        <v>7</v>
      </c>
      <c r="D1195" s="1" t="s">
        <v>10</v>
      </c>
      <c r="E1195" s="1" t="s">
        <v>37034</v>
      </c>
      <c r="F1195" s="1" t="s">
        <v>3693</v>
      </c>
      <c r="G1195" s="1" t="s">
        <v>37926</v>
      </c>
      <c r="H1195" s="1" t="s">
        <v>37037</v>
      </c>
      <c r="I1195" s="1"/>
      <c r="J1195" s="1"/>
      <c r="K1195" s="1"/>
      <c r="L1195" s="1"/>
      <c r="M1195" s="1"/>
      <c r="N1195" s="1"/>
      <c r="O1195" s="1"/>
      <c r="P1195" s="1"/>
      <c r="Q1195" s="17"/>
    </row>
    <row x14ac:dyDescent="0.25" r="1196" customHeight="1" ht="18.75">
      <c r="A1196" s="1"/>
      <c r="B1196" s="1" t="s">
        <v>37924</v>
      </c>
      <c r="C1196" s="1" t="s">
        <v>7</v>
      </c>
      <c r="D1196" s="1" t="s">
        <v>10</v>
      </c>
      <c r="E1196" s="1" t="s">
        <v>37034</v>
      </c>
      <c r="F1196" s="1" t="s">
        <v>3693</v>
      </c>
      <c r="G1196" s="1" t="s">
        <v>37927</v>
      </c>
      <c r="H1196" s="1" t="s">
        <v>37037</v>
      </c>
      <c r="I1196" s="1"/>
      <c r="J1196" s="1"/>
      <c r="K1196" s="1"/>
      <c r="L1196" s="1"/>
      <c r="M1196" s="1"/>
      <c r="N1196" s="1"/>
      <c r="O1196" s="1"/>
      <c r="P1196" s="1"/>
      <c r="Q1196" s="17"/>
    </row>
    <row x14ac:dyDescent="0.25" r="1197" customHeight="1" ht="18.75">
      <c r="A1197" s="1"/>
      <c r="B1197" s="1" t="s">
        <v>37924</v>
      </c>
      <c r="C1197" s="1" t="s">
        <v>7</v>
      </c>
      <c r="D1197" s="1" t="s">
        <v>10</v>
      </c>
      <c r="E1197" s="1" t="s">
        <v>37034</v>
      </c>
      <c r="F1197" s="1" t="s">
        <v>3693</v>
      </c>
      <c r="G1197" s="1" t="s">
        <v>37928</v>
      </c>
      <c r="H1197" s="1" t="s">
        <v>3610</v>
      </c>
      <c r="I1197" s="1"/>
      <c r="J1197" s="1"/>
      <c r="K1197" s="1"/>
      <c r="L1197" s="1"/>
      <c r="M1197" s="1"/>
      <c r="N1197" s="1"/>
      <c r="O1197" s="1"/>
      <c r="P1197" s="1"/>
      <c r="Q1197" s="17"/>
    </row>
    <row x14ac:dyDescent="0.25" r="1198" customHeight="1" ht="18.75">
      <c r="A1198" s="1"/>
      <c r="B1198" s="1" t="s">
        <v>37924</v>
      </c>
      <c r="C1198" s="1" t="s">
        <v>7</v>
      </c>
      <c r="D1198" s="1" t="s">
        <v>10</v>
      </c>
      <c r="E1198" s="1" t="s">
        <v>37034</v>
      </c>
      <c r="F1198" s="1" t="s">
        <v>3693</v>
      </c>
      <c r="G1198" s="1" t="s">
        <v>37929</v>
      </c>
      <c r="H1198" s="1" t="s">
        <v>3610</v>
      </c>
      <c r="I1198" s="1"/>
      <c r="J1198" s="1"/>
      <c r="K1198" s="1"/>
      <c r="L1198" s="1"/>
      <c r="M1198" s="1"/>
      <c r="N1198" s="1"/>
      <c r="O1198" s="1"/>
      <c r="P1198" s="1"/>
      <c r="Q1198" s="17"/>
    </row>
    <row x14ac:dyDescent="0.25" r="1199" customHeight="1" ht="18.75">
      <c r="A1199" s="1"/>
      <c r="B1199" s="1" t="s">
        <v>37924</v>
      </c>
      <c r="C1199" s="1" t="s">
        <v>7</v>
      </c>
      <c r="D1199" s="1" t="s">
        <v>10</v>
      </c>
      <c r="E1199" s="1" t="s">
        <v>37034</v>
      </c>
      <c r="F1199" s="1" t="s">
        <v>3693</v>
      </c>
      <c r="G1199" s="1" t="s">
        <v>37930</v>
      </c>
      <c r="H1199" s="1" t="s">
        <v>3610</v>
      </c>
      <c r="I1199" s="1"/>
      <c r="J1199" s="1"/>
      <c r="K1199" s="1"/>
      <c r="L1199" s="1"/>
      <c r="M1199" s="1"/>
      <c r="N1199" s="1"/>
      <c r="O1199" s="1"/>
      <c r="P1199" s="1"/>
      <c r="Q1199" s="17"/>
    </row>
    <row x14ac:dyDescent="0.25" r="1200" customHeight="1" ht="18.75">
      <c r="A1200" s="1"/>
      <c r="B1200" s="1" t="s">
        <v>37914</v>
      </c>
      <c r="C1200" s="1" t="s">
        <v>7</v>
      </c>
      <c r="D1200" s="1" t="s">
        <v>10</v>
      </c>
      <c r="E1200" s="1" t="s">
        <v>37034</v>
      </c>
      <c r="F1200" s="1" t="s">
        <v>3693</v>
      </c>
      <c r="G1200" s="1" t="s">
        <v>37931</v>
      </c>
      <c r="H1200" s="1" t="s">
        <v>37057</v>
      </c>
      <c r="I1200" s="1"/>
      <c r="J1200" s="1"/>
      <c r="K1200" s="1"/>
      <c r="L1200" s="1"/>
      <c r="M1200" s="1"/>
      <c r="N1200" s="1"/>
      <c r="O1200" s="1"/>
      <c r="P1200" s="1"/>
      <c r="Q1200" s="17"/>
    </row>
    <row x14ac:dyDescent="0.25" r="1201" customHeight="1" ht="18.75">
      <c r="A1201" s="1"/>
      <c r="B1201" s="1" t="s">
        <v>37932</v>
      </c>
      <c r="C1201" s="1" t="s">
        <v>7</v>
      </c>
      <c r="D1201" s="1" t="s">
        <v>10</v>
      </c>
      <c r="E1201" s="1" t="s">
        <v>36395</v>
      </c>
      <c r="F1201" s="1" t="s">
        <v>3693</v>
      </c>
      <c r="G1201" s="1" t="s">
        <v>37933</v>
      </c>
      <c r="H1201" s="1" t="s">
        <v>7847</v>
      </c>
      <c r="I1201" s="1"/>
      <c r="J1201" s="1"/>
      <c r="K1201" s="1"/>
      <c r="L1201" s="1"/>
      <c r="M1201" s="1"/>
      <c r="N1201" s="1"/>
      <c r="O1201" s="1"/>
      <c r="P1201" s="1"/>
      <c r="Q1201" s="17"/>
    </row>
    <row x14ac:dyDescent="0.25" r="1202" customHeight="1" ht="18.75">
      <c r="A1202" s="1"/>
      <c r="B1202" s="1" t="s">
        <v>37932</v>
      </c>
      <c r="C1202" s="1" t="s">
        <v>7</v>
      </c>
      <c r="D1202" s="1" t="s">
        <v>10</v>
      </c>
      <c r="E1202" s="1" t="s">
        <v>37034</v>
      </c>
      <c r="F1202" s="1" t="s">
        <v>3693</v>
      </c>
      <c r="G1202" s="1" t="s">
        <v>37934</v>
      </c>
      <c r="H1202" s="1" t="s">
        <v>37057</v>
      </c>
      <c r="I1202" s="1"/>
      <c r="J1202" s="1"/>
      <c r="K1202" s="1"/>
      <c r="L1202" s="1"/>
      <c r="M1202" s="1"/>
      <c r="N1202" s="1"/>
      <c r="O1202" s="1"/>
      <c r="P1202" s="1"/>
      <c r="Q1202" s="17"/>
    </row>
    <row x14ac:dyDescent="0.25" r="1203" customHeight="1" ht="18.75">
      <c r="A1203" s="1"/>
      <c r="B1203" s="1" t="s">
        <v>37935</v>
      </c>
      <c r="C1203" s="1" t="s">
        <v>7</v>
      </c>
      <c r="D1203" s="1" t="s">
        <v>10</v>
      </c>
      <c r="E1203" s="1" t="s">
        <v>36395</v>
      </c>
      <c r="F1203" s="1" t="s">
        <v>3598</v>
      </c>
      <c r="G1203" s="1" t="s">
        <v>37936</v>
      </c>
      <c r="H1203" s="1" t="s">
        <v>37063</v>
      </c>
      <c r="I1203" s="1"/>
      <c r="J1203" s="1"/>
      <c r="K1203" s="1"/>
      <c r="L1203" s="1"/>
      <c r="M1203" s="1"/>
      <c r="N1203" s="1"/>
      <c r="O1203" s="1"/>
      <c r="P1203" s="1"/>
      <c r="Q1203" s="17"/>
    </row>
    <row x14ac:dyDescent="0.25" r="1204" customHeight="1" ht="18.75">
      <c r="A1204" s="1"/>
      <c r="B1204" s="1" t="s">
        <v>37937</v>
      </c>
      <c r="C1204" s="1" t="s">
        <v>7</v>
      </c>
      <c r="D1204" s="1" t="s">
        <v>10</v>
      </c>
      <c r="E1204" s="1" t="s">
        <v>36395</v>
      </c>
      <c r="F1204" s="1" t="s">
        <v>3598</v>
      </c>
      <c r="G1204" s="1" t="s">
        <v>37938</v>
      </c>
      <c r="H1204" s="1" t="s">
        <v>37063</v>
      </c>
      <c r="I1204" s="1"/>
      <c r="J1204" s="1"/>
      <c r="K1204" s="1"/>
      <c r="L1204" s="1"/>
      <c r="M1204" s="1"/>
      <c r="N1204" s="1"/>
      <c r="O1204" s="1"/>
      <c r="P1204" s="1"/>
      <c r="Q1204" s="17"/>
    </row>
    <row x14ac:dyDescent="0.25" r="1205" customHeight="1" ht="18.75">
      <c r="A1205" s="1"/>
      <c r="B1205" s="1" t="s">
        <v>37935</v>
      </c>
      <c r="C1205" s="1" t="s">
        <v>7</v>
      </c>
      <c r="D1205" s="1" t="s">
        <v>10</v>
      </c>
      <c r="E1205" s="1" t="s">
        <v>36395</v>
      </c>
      <c r="F1205" s="1" t="s">
        <v>3598</v>
      </c>
      <c r="G1205" s="1" t="s">
        <v>37939</v>
      </c>
      <c r="H1205" s="1" t="s">
        <v>37063</v>
      </c>
      <c r="I1205" s="1"/>
      <c r="J1205" s="1"/>
      <c r="K1205" s="1"/>
      <c r="L1205" s="1"/>
      <c r="M1205" s="1"/>
      <c r="N1205" s="1"/>
      <c r="O1205" s="1"/>
      <c r="P1205" s="1"/>
      <c r="Q1205" s="17"/>
    </row>
    <row x14ac:dyDescent="0.25" r="1206" customHeight="1" ht="18.75">
      <c r="A1206" s="1"/>
      <c r="B1206" s="1" t="s">
        <v>37937</v>
      </c>
      <c r="C1206" s="1" t="s">
        <v>7</v>
      </c>
      <c r="D1206" s="1" t="s">
        <v>10</v>
      </c>
      <c r="E1206" s="1" t="s">
        <v>36395</v>
      </c>
      <c r="F1206" s="1" t="s">
        <v>3598</v>
      </c>
      <c r="G1206" s="1" t="s">
        <v>37940</v>
      </c>
      <c r="H1206" s="1" t="s">
        <v>37063</v>
      </c>
      <c r="I1206" s="1"/>
      <c r="J1206" s="1"/>
      <c r="K1206" s="1"/>
      <c r="L1206" s="1"/>
      <c r="M1206" s="1"/>
      <c r="N1206" s="1"/>
      <c r="O1206" s="1"/>
      <c r="P1206" s="1"/>
      <c r="Q1206" s="17"/>
    </row>
    <row x14ac:dyDescent="0.25" r="1207" customHeight="1" ht="18.75">
      <c r="A1207" s="1"/>
      <c r="B1207" s="1" t="s">
        <v>37935</v>
      </c>
      <c r="C1207" s="1" t="s">
        <v>7</v>
      </c>
      <c r="D1207" s="1" t="s">
        <v>10</v>
      </c>
      <c r="E1207" s="1" t="s">
        <v>36395</v>
      </c>
      <c r="F1207" s="1" t="s">
        <v>3598</v>
      </c>
      <c r="G1207" s="1" t="s">
        <v>37941</v>
      </c>
      <c r="H1207" s="1" t="s">
        <v>37063</v>
      </c>
      <c r="I1207" s="1"/>
      <c r="J1207" s="1"/>
      <c r="K1207" s="1"/>
      <c r="L1207" s="1"/>
      <c r="M1207" s="1"/>
      <c r="N1207" s="1"/>
      <c r="O1207" s="1"/>
      <c r="P1207" s="1"/>
      <c r="Q1207" s="17"/>
    </row>
    <row x14ac:dyDescent="0.25" r="1208" customHeight="1" ht="18.75">
      <c r="A1208" s="1"/>
      <c r="B1208" s="1" t="s">
        <v>37935</v>
      </c>
      <c r="C1208" s="1" t="s">
        <v>7</v>
      </c>
      <c r="D1208" s="1" t="s">
        <v>10</v>
      </c>
      <c r="E1208" s="1" t="s">
        <v>36395</v>
      </c>
      <c r="F1208" s="1" t="s">
        <v>3598</v>
      </c>
      <c r="G1208" s="1" t="s">
        <v>37942</v>
      </c>
      <c r="H1208" s="1" t="s">
        <v>37063</v>
      </c>
      <c r="I1208" s="1"/>
      <c r="J1208" s="1"/>
      <c r="K1208" s="1"/>
      <c r="L1208" s="1"/>
      <c r="M1208" s="1"/>
      <c r="N1208" s="1"/>
      <c r="O1208" s="1"/>
      <c r="P1208" s="1"/>
      <c r="Q1208" s="17"/>
    </row>
    <row x14ac:dyDescent="0.25" r="1209" customHeight="1" ht="18.75">
      <c r="A1209" s="1"/>
      <c r="B1209" s="1" t="s">
        <v>37943</v>
      </c>
      <c r="C1209" s="1" t="s">
        <v>7</v>
      </c>
      <c r="D1209" s="1" t="s">
        <v>10</v>
      </c>
      <c r="E1209" s="1" t="s">
        <v>36395</v>
      </c>
      <c r="F1209" s="1" t="s">
        <v>3598</v>
      </c>
      <c r="G1209" s="1" t="s">
        <v>37944</v>
      </c>
      <c r="H1209" s="1" t="s">
        <v>7847</v>
      </c>
      <c r="I1209" s="1"/>
      <c r="J1209" s="1"/>
      <c r="K1209" s="1"/>
      <c r="L1209" s="1"/>
      <c r="M1209" s="1"/>
      <c r="N1209" s="1"/>
      <c r="O1209" s="1"/>
      <c r="P1209" s="1"/>
      <c r="Q1209" s="17"/>
    </row>
    <row x14ac:dyDescent="0.25" r="1210" customHeight="1" ht="18.75">
      <c r="A1210" s="1"/>
      <c r="B1210" s="1" t="s">
        <v>37943</v>
      </c>
      <c r="C1210" s="1" t="s">
        <v>7</v>
      </c>
      <c r="D1210" s="1" t="s">
        <v>10</v>
      </c>
      <c r="E1210" s="1" t="s">
        <v>37034</v>
      </c>
      <c r="F1210" s="1" t="s">
        <v>3598</v>
      </c>
      <c r="G1210" s="1" t="s">
        <v>37945</v>
      </c>
      <c r="H1210" s="1" t="s">
        <v>3610</v>
      </c>
      <c r="I1210" s="1"/>
      <c r="J1210" s="1"/>
      <c r="K1210" s="1"/>
      <c r="L1210" s="1"/>
      <c r="M1210" s="1"/>
      <c r="N1210" s="1"/>
      <c r="O1210" s="1"/>
      <c r="P1210" s="1"/>
      <c r="Q1210" s="17"/>
    </row>
    <row x14ac:dyDescent="0.25" r="1211" customHeight="1" ht="18.75">
      <c r="A1211" s="1"/>
      <c r="B1211" s="1" t="s">
        <v>37943</v>
      </c>
      <c r="C1211" s="1" t="s">
        <v>7</v>
      </c>
      <c r="D1211" s="1" t="s">
        <v>10</v>
      </c>
      <c r="E1211" s="1" t="s">
        <v>37034</v>
      </c>
      <c r="F1211" s="1" t="s">
        <v>3598</v>
      </c>
      <c r="G1211" s="1" t="s">
        <v>37946</v>
      </c>
      <c r="H1211" s="1" t="s">
        <v>3610</v>
      </c>
      <c r="I1211" s="1"/>
      <c r="J1211" s="1"/>
      <c r="K1211" s="1"/>
      <c r="L1211" s="1"/>
      <c r="M1211" s="1"/>
      <c r="N1211" s="1"/>
      <c r="O1211" s="1"/>
      <c r="P1211" s="1"/>
      <c r="Q1211" s="17"/>
    </row>
    <row x14ac:dyDescent="0.25" r="1212" customHeight="1" ht="18.75">
      <c r="A1212" s="1"/>
      <c r="B1212" s="1" t="s">
        <v>37947</v>
      </c>
      <c r="C1212" s="1" t="s">
        <v>7</v>
      </c>
      <c r="D1212" s="1" t="s">
        <v>10</v>
      </c>
      <c r="E1212" s="1" t="s">
        <v>37034</v>
      </c>
      <c r="F1212" s="1" t="s">
        <v>3617</v>
      </c>
      <c r="G1212" s="1" t="s">
        <v>37948</v>
      </c>
      <c r="H1212" s="1" t="s">
        <v>3695</v>
      </c>
      <c r="I1212" s="1"/>
      <c r="J1212" s="1"/>
      <c r="K1212" s="1"/>
      <c r="L1212" s="1"/>
      <c r="M1212" s="1"/>
      <c r="N1212" s="1"/>
      <c r="O1212" s="1"/>
      <c r="P1212" s="1"/>
      <c r="Q1212" s="17"/>
    </row>
    <row x14ac:dyDescent="0.25" r="1213" customHeight="1" ht="18.75">
      <c r="A1213" s="1"/>
      <c r="B1213" s="1" t="s">
        <v>37947</v>
      </c>
      <c r="C1213" s="1" t="s">
        <v>7</v>
      </c>
      <c r="D1213" s="1" t="s">
        <v>10</v>
      </c>
      <c r="E1213" s="1" t="s">
        <v>37034</v>
      </c>
      <c r="F1213" s="1" t="s">
        <v>3617</v>
      </c>
      <c r="G1213" s="1" t="s">
        <v>37949</v>
      </c>
      <c r="H1213" s="1" t="s">
        <v>3695</v>
      </c>
      <c r="I1213" s="1"/>
      <c r="J1213" s="1"/>
      <c r="K1213" s="1"/>
      <c r="L1213" s="1"/>
      <c r="M1213" s="1"/>
      <c r="N1213" s="1"/>
      <c r="O1213" s="1"/>
      <c r="P1213" s="1"/>
      <c r="Q1213" s="17"/>
    </row>
    <row x14ac:dyDescent="0.25" r="1214" customHeight="1" ht="18.75">
      <c r="A1214" s="1"/>
      <c r="B1214" s="1" t="s">
        <v>37947</v>
      </c>
      <c r="C1214" s="1" t="s">
        <v>7</v>
      </c>
      <c r="D1214" s="1" t="s">
        <v>10</v>
      </c>
      <c r="E1214" s="1" t="s">
        <v>37034</v>
      </c>
      <c r="F1214" s="1" t="s">
        <v>3617</v>
      </c>
      <c r="G1214" s="1" t="s">
        <v>37950</v>
      </c>
      <c r="H1214" s="1" t="s">
        <v>533</v>
      </c>
      <c r="I1214" s="1"/>
      <c r="J1214" s="1"/>
      <c r="K1214" s="1"/>
      <c r="L1214" s="1"/>
      <c r="M1214" s="1"/>
      <c r="N1214" s="1"/>
      <c r="O1214" s="1"/>
      <c r="P1214" s="1"/>
      <c r="Q1214" s="17"/>
    </row>
    <row x14ac:dyDescent="0.25" r="1215" customHeight="1" ht="18.75">
      <c r="A1215" s="1"/>
      <c r="B1215" s="1" t="s">
        <v>37947</v>
      </c>
      <c r="C1215" s="1" t="s">
        <v>7</v>
      </c>
      <c r="D1215" s="1" t="s">
        <v>10</v>
      </c>
      <c r="E1215" s="1" t="s">
        <v>37034</v>
      </c>
      <c r="F1215" s="1" t="s">
        <v>3617</v>
      </c>
      <c r="G1215" s="1" t="s">
        <v>37951</v>
      </c>
      <c r="H1215" s="1" t="s">
        <v>3610</v>
      </c>
      <c r="I1215" s="1"/>
      <c r="J1215" s="1"/>
      <c r="K1215" s="1"/>
      <c r="L1215" s="1"/>
      <c r="M1215" s="1"/>
      <c r="N1215" s="1"/>
      <c r="O1215" s="1"/>
      <c r="P1215" s="1"/>
      <c r="Q1215" s="17"/>
    </row>
    <row x14ac:dyDescent="0.25" r="1216" customHeight="1" ht="18.75">
      <c r="A1216" s="1"/>
      <c r="B1216" s="1" t="s">
        <v>37947</v>
      </c>
      <c r="C1216" s="1" t="s">
        <v>7</v>
      </c>
      <c r="D1216" s="1" t="s">
        <v>10</v>
      </c>
      <c r="E1216" s="1" t="s">
        <v>37034</v>
      </c>
      <c r="F1216" s="1" t="s">
        <v>3617</v>
      </c>
      <c r="G1216" s="1" t="s">
        <v>37952</v>
      </c>
      <c r="H1216" s="1" t="s">
        <v>3610</v>
      </c>
      <c r="I1216" s="1"/>
      <c r="J1216" s="1"/>
      <c r="K1216" s="1"/>
      <c r="L1216" s="1"/>
      <c r="M1216" s="1"/>
      <c r="N1216" s="1"/>
      <c r="O1216" s="1"/>
      <c r="P1216" s="1"/>
      <c r="Q1216" s="17"/>
    </row>
    <row x14ac:dyDescent="0.25" r="1217" customHeight="1" ht="18.75">
      <c r="A1217" s="1"/>
      <c r="B1217" s="1" t="s">
        <v>37947</v>
      </c>
      <c r="C1217" s="1" t="s">
        <v>7</v>
      </c>
      <c r="D1217" s="1" t="s">
        <v>10</v>
      </c>
      <c r="E1217" s="1" t="s">
        <v>37034</v>
      </c>
      <c r="F1217" s="1" t="s">
        <v>3617</v>
      </c>
      <c r="G1217" s="1" t="s">
        <v>37953</v>
      </c>
      <c r="H1217" s="1" t="s">
        <v>3610</v>
      </c>
      <c r="I1217" s="1"/>
      <c r="J1217" s="1"/>
      <c r="K1217" s="1"/>
      <c r="L1217" s="1"/>
      <c r="M1217" s="1"/>
      <c r="N1217" s="1"/>
      <c r="O1217" s="1"/>
      <c r="P1217" s="1"/>
      <c r="Q1217" s="17"/>
    </row>
    <row x14ac:dyDescent="0.25" r="1218" customHeight="1" ht="18.75">
      <c r="A1218" s="1"/>
      <c r="B1218" s="1" t="s">
        <v>37947</v>
      </c>
      <c r="C1218" s="1" t="s">
        <v>7</v>
      </c>
      <c r="D1218" s="1" t="s">
        <v>10</v>
      </c>
      <c r="E1218" s="1" t="s">
        <v>37034</v>
      </c>
      <c r="F1218" s="1" t="s">
        <v>3617</v>
      </c>
      <c r="G1218" s="1" t="s">
        <v>37954</v>
      </c>
      <c r="H1218" s="1" t="s">
        <v>3610</v>
      </c>
      <c r="I1218" s="1"/>
      <c r="J1218" s="1"/>
      <c r="K1218" s="1"/>
      <c r="L1218" s="1"/>
      <c r="M1218" s="1"/>
      <c r="N1218" s="1"/>
      <c r="O1218" s="1"/>
      <c r="P1218" s="1"/>
      <c r="Q1218" s="17"/>
    </row>
    <row x14ac:dyDescent="0.25" r="1219" customHeight="1" ht="18.75">
      <c r="A1219" s="1"/>
      <c r="B1219" s="1" t="s">
        <v>37947</v>
      </c>
      <c r="C1219" s="1" t="s">
        <v>7</v>
      </c>
      <c r="D1219" s="1" t="s">
        <v>10</v>
      </c>
      <c r="E1219" s="1" t="s">
        <v>37034</v>
      </c>
      <c r="F1219" s="1" t="s">
        <v>3617</v>
      </c>
      <c r="G1219" s="1" t="s">
        <v>37955</v>
      </c>
      <c r="H1219" s="1" t="s">
        <v>3610</v>
      </c>
      <c r="I1219" s="1"/>
      <c r="J1219" s="1"/>
      <c r="K1219" s="1"/>
      <c r="L1219" s="1"/>
      <c r="M1219" s="1"/>
      <c r="N1219" s="1"/>
      <c r="O1219" s="1"/>
      <c r="P1219" s="1"/>
      <c r="Q1219" s="17"/>
    </row>
    <row x14ac:dyDescent="0.25" r="1220" customHeight="1" ht="18.75">
      <c r="A1220" s="1"/>
      <c r="B1220" s="1" t="s">
        <v>37956</v>
      </c>
      <c r="C1220" s="1" t="s">
        <v>7</v>
      </c>
      <c r="D1220" s="1" t="s">
        <v>10</v>
      </c>
      <c r="E1220" s="1" t="s">
        <v>36395</v>
      </c>
      <c r="F1220" s="1" t="s">
        <v>3617</v>
      </c>
      <c r="G1220" s="1" t="s">
        <v>35683</v>
      </c>
      <c r="H1220" s="1" t="s">
        <v>37190</v>
      </c>
      <c r="I1220" s="1"/>
      <c r="J1220" s="1"/>
      <c r="K1220" s="1"/>
      <c r="L1220" s="1"/>
      <c r="M1220" s="1"/>
      <c r="N1220" s="1"/>
      <c r="O1220" s="1"/>
      <c r="P1220" s="1"/>
      <c r="Q1220" s="17"/>
    </row>
    <row x14ac:dyDescent="0.25" r="1221" customHeight="1" ht="18.75">
      <c r="A1221" s="1"/>
      <c r="B1221" s="1" t="s">
        <v>37956</v>
      </c>
      <c r="C1221" s="1" t="s">
        <v>7</v>
      </c>
      <c r="D1221" s="1" t="s">
        <v>10</v>
      </c>
      <c r="E1221" s="1" t="s">
        <v>37034</v>
      </c>
      <c r="F1221" s="1" t="s">
        <v>3617</v>
      </c>
      <c r="G1221" s="1" t="s">
        <v>37957</v>
      </c>
      <c r="H1221" s="1" t="s">
        <v>3610</v>
      </c>
      <c r="I1221" s="1"/>
      <c r="J1221" s="1"/>
      <c r="K1221" s="1"/>
      <c r="L1221" s="1"/>
      <c r="M1221" s="1"/>
      <c r="N1221" s="1"/>
      <c r="O1221" s="1"/>
      <c r="P1221" s="1"/>
      <c r="Q1221" s="17"/>
    </row>
    <row x14ac:dyDescent="0.25" r="1222" customHeight="1" ht="18.75">
      <c r="A1222" s="1"/>
      <c r="B1222" s="1" t="s">
        <v>37956</v>
      </c>
      <c r="C1222" s="1" t="s">
        <v>7</v>
      </c>
      <c r="D1222" s="1" t="s">
        <v>10</v>
      </c>
      <c r="E1222" s="1" t="s">
        <v>37034</v>
      </c>
      <c r="F1222" s="1" t="s">
        <v>3617</v>
      </c>
      <c r="G1222" s="1" t="s">
        <v>37958</v>
      </c>
      <c r="H1222" s="1" t="s">
        <v>3695</v>
      </c>
      <c r="I1222" s="1"/>
      <c r="J1222" s="1"/>
      <c r="K1222" s="1"/>
      <c r="L1222" s="1"/>
      <c r="M1222" s="1"/>
      <c r="N1222" s="1"/>
      <c r="O1222" s="1"/>
      <c r="P1222" s="1"/>
      <c r="Q1222" s="17"/>
    </row>
    <row x14ac:dyDescent="0.25" r="1223" customHeight="1" ht="18.75">
      <c r="A1223" s="1"/>
      <c r="B1223" s="1" t="s">
        <v>37956</v>
      </c>
      <c r="C1223" s="1" t="s">
        <v>7</v>
      </c>
      <c r="D1223" s="1" t="s">
        <v>10</v>
      </c>
      <c r="E1223" s="1" t="s">
        <v>37034</v>
      </c>
      <c r="F1223" s="1" t="s">
        <v>3617</v>
      </c>
      <c r="G1223" s="1" t="s">
        <v>37959</v>
      </c>
      <c r="H1223" s="1" t="s">
        <v>3695</v>
      </c>
      <c r="I1223" s="1"/>
      <c r="J1223" s="1"/>
      <c r="K1223" s="1"/>
      <c r="L1223" s="1"/>
      <c r="M1223" s="1"/>
      <c r="N1223" s="1"/>
      <c r="O1223" s="1"/>
      <c r="P1223" s="1"/>
      <c r="Q1223" s="17"/>
    </row>
    <row x14ac:dyDescent="0.25" r="1224" customHeight="1" ht="18.75">
      <c r="A1224" s="1"/>
      <c r="B1224" s="1" t="s">
        <v>37956</v>
      </c>
      <c r="C1224" s="1" t="s">
        <v>7</v>
      </c>
      <c r="D1224" s="1" t="s">
        <v>10</v>
      </c>
      <c r="E1224" s="1" t="s">
        <v>37034</v>
      </c>
      <c r="F1224" s="1" t="s">
        <v>3617</v>
      </c>
      <c r="G1224" s="1" t="s">
        <v>37960</v>
      </c>
      <c r="H1224" s="1" t="s">
        <v>3695</v>
      </c>
      <c r="I1224" s="1"/>
      <c r="J1224" s="1"/>
      <c r="K1224" s="1"/>
      <c r="L1224" s="1"/>
      <c r="M1224" s="1"/>
      <c r="N1224" s="1"/>
      <c r="O1224" s="1"/>
      <c r="P1224" s="1"/>
      <c r="Q1224" s="17"/>
    </row>
    <row x14ac:dyDescent="0.25" r="1225" customHeight="1" ht="18.75">
      <c r="A1225" s="1"/>
      <c r="B1225" s="1" t="s">
        <v>37961</v>
      </c>
      <c r="C1225" s="1" t="s">
        <v>7</v>
      </c>
      <c r="D1225" s="1" t="s">
        <v>10</v>
      </c>
      <c r="E1225" s="1" t="s">
        <v>36395</v>
      </c>
      <c r="F1225" s="1" t="s">
        <v>3617</v>
      </c>
      <c r="G1225" s="1" t="s">
        <v>35687</v>
      </c>
      <c r="H1225" s="1" t="s">
        <v>37190</v>
      </c>
      <c r="I1225" s="1"/>
      <c r="J1225" s="1"/>
      <c r="K1225" s="1"/>
      <c r="L1225" s="1"/>
      <c r="M1225" s="1"/>
      <c r="N1225" s="1"/>
      <c r="O1225" s="1"/>
      <c r="P1225" s="1"/>
      <c r="Q1225" s="17"/>
    </row>
    <row x14ac:dyDescent="0.25" r="1226" customHeight="1" ht="18.75">
      <c r="A1226" s="1"/>
      <c r="B1226" s="1" t="s">
        <v>37962</v>
      </c>
      <c r="C1226" s="1" t="s">
        <v>7</v>
      </c>
      <c r="D1226" s="1" t="s">
        <v>10</v>
      </c>
      <c r="E1226" s="1" t="s">
        <v>36395</v>
      </c>
      <c r="F1226" s="1" t="s">
        <v>3617</v>
      </c>
      <c r="G1226" s="1" t="s">
        <v>35690</v>
      </c>
      <c r="H1226" s="1" t="s">
        <v>37190</v>
      </c>
      <c r="I1226" s="1"/>
      <c r="J1226" s="1"/>
      <c r="K1226" s="1"/>
      <c r="L1226" s="1"/>
      <c r="M1226" s="1"/>
      <c r="N1226" s="1"/>
      <c r="O1226" s="1"/>
      <c r="P1226" s="1"/>
      <c r="Q1226" s="17"/>
    </row>
    <row x14ac:dyDescent="0.25" r="1227" customHeight="1" ht="18.75">
      <c r="A1227" s="1"/>
      <c r="B1227" s="1" t="s">
        <v>37962</v>
      </c>
      <c r="C1227" s="1" t="s">
        <v>7</v>
      </c>
      <c r="D1227" s="1" t="s">
        <v>10</v>
      </c>
      <c r="E1227" s="1" t="s">
        <v>37034</v>
      </c>
      <c r="F1227" s="1" t="s">
        <v>3617</v>
      </c>
      <c r="G1227" s="1" t="s">
        <v>37963</v>
      </c>
      <c r="H1227" s="1" t="s">
        <v>3610</v>
      </c>
      <c r="I1227" s="1"/>
      <c r="J1227" s="1"/>
      <c r="K1227" s="1"/>
      <c r="L1227" s="1"/>
      <c r="M1227" s="1"/>
      <c r="N1227" s="1"/>
      <c r="O1227" s="1"/>
      <c r="P1227" s="1"/>
      <c r="Q1227" s="17"/>
    </row>
    <row x14ac:dyDescent="0.25" r="1228" customHeight="1" ht="18.75">
      <c r="A1228" s="1"/>
      <c r="B1228" s="1" t="s">
        <v>37964</v>
      </c>
      <c r="C1228" s="1" t="s">
        <v>7</v>
      </c>
      <c r="D1228" s="1" t="s">
        <v>10</v>
      </c>
      <c r="E1228" s="1" t="s">
        <v>36395</v>
      </c>
      <c r="F1228" s="1" t="s">
        <v>3617</v>
      </c>
      <c r="G1228" s="1" t="s">
        <v>35694</v>
      </c>
      <c r="H1228" s="1" t="s">
        <v>37190</v>
      </c>
      <c r="I1228" s="1"/>
      <c r="J1228" s="1"/>
      <c r="K1228" s="1"/>
      <c r="L1228" s="1"/>
      <c r="M1228" s="1"/>
      <c r="N1228" s="1"/>
      <c r="O1228" s="1"/>
      <c r="P1228" s="1"/>
      <c r="Q1228" s="17"/>
    </row>
    <row x14ac:dyDescent="0.25" r="1229" customHeight="1" ht="18.75">
      <c r="A1229" s="1"/>
      <c r="B1229" s="1" t="s">
        <v>37947</v>
      </c>
      <c r="C1229" s="1" t="s">
        <v>7</v>
      </c>
      <c r="D1229" s="1" t="s">
        <v>10</v>
      </c>
      <c r="E1229" s="1" t="s">
        <v>36395</v>
      </c>
      <c r="F1229" s="1" t="s">
        <v>3617</v>
      </c>
      <c r="G1229" s="1" t="s">
        <v>35698</v>
      </c>
      <c r="H1229" s="1" t="s">
        <v>37190</v>
      </c>
      <c r="I1229" s="1"/>
      <c r="J1229" s="1"/>
      <c r="K1229" s="1"/>
      <c r="L1229" s="1"/>
      <c r="M1229" s="1"/>
      <c r="N1229" s="1"/>
      <c r="O1229" s="1"/>
      <c r="P1229" s="1"/>
      <c r="Q1229" s="17"/>
    </row>
    <row x14ac:dyDescent="0.25" r="1230" customHeight="1" ht="18.75">
      <c r="A1230" s="1"/>
      <c r="B1230" s="1" t="s">
        <v>37964</v>
      </c>
      <c r="C1230" s="1" t="s">
        <v>7</v>
      </c>
      <c r="D1230" s="1" t="s">
        <v>10</v>
      </c>
      <c r="E1230" s="1" t="s">
        <v>37034</v>
      </c>
      <c r="F1230" s="1" t="s">
        <v>3617</v>
      </c>
      <c r="G1230" s="1" t="s">
        <v>37965</v>
      </c>
      <c r="H1230" s="1" t="s">
        <v>3610</v>
      </c>
      <c r="I1230" s="1"/>
      <c r="J1230" s="1"/>
      <c r="K1230" s="1"/>
      <c r="L1230" s="1"/>
      <c r="M1230" s="1"/>
      <c r="N1230" s="1"/>
      <c r="O1230" s="1"/>
      <c r="P1230" s="1"/>
      <c r="Q1230" s="17"/>
    </row>
    <row x14ac:dyDescent="0.25" r="1231" customHeight="1" ht="18.75">
      <c r="A1231" s="1"/>
      <c r="B1231" s="1" t="s">
        <v>37966</v>
      </c>
      <c r="C1231" s="1" t="s">
        <v>7</v>
      </c>
      <c r="D1231" s="1" t="s">
        <v>10</v>
      </c>
      <c r="E1231" s="1" t="s">
        <v>36395</v>
      </c>
      <c r="F1231" s="1" t="s">
        <v>3617</v>
      </c>
      <c r="G1231" s="1" t="s">
        <v>35702</v>
      </c>
      <c r="H1231" s="1" t="s">
        <v>37190</v>
      </c>
      <c r="I1231" s="1"/>
      <c r="J1231" s="1"/>
      <c r="K1231" s="1"/>
      <c r="L1231" s="1"/>
      <c r="M1231" s="1"/>
      <c r="N1231" s="1"/>
      <c r="O1231" s="1"/>
      <c r="P1231" s="1"/>
      <c r="Q1231" s="17"/>
    </row>
    <row x14ac:dyDescent="0.25" r="1232" customHeight="1" ht="18.75">
      <c r="A1232" s="1"/>
      <c r="B1232" s="1" t="s">
        <v>37966</v>
      </c>
      <c r="C1232" s="1" t="s">
        <v>7</v>
      </c>
      <c r="D1232" s="1" t="s">
        <v>10</v>
      </c>
      <c r="E1232" s="1" t="s">
        <v>37034</v>
      </c>
      <c r="F1232" s="1" t="s">
        <v>3617</v>
      </c>
      <c r="G1232" s="1" t="s">
        <v>37967</v>
      </c>
      <c r="H1232" s="1" t="s">
        <v>3610</v>
      </c>
      <c r="I1232" s="1"/>
      <c r="J1232" s="1"/>
      <c r="K1232" s="1"/>
      <c r="L1232" s="1"/>
      <c r="M1232" s="1"/>
      <c r="N1232" s="1"/>
      <c r="O1232" s="1"/>
      <c r="P1232" s="1"/>
      <c r="Q1232" s="17"/>
    </row>
    <row x14ac:dyDescent="0.25" r="1233" customHeight="1" ht="18.75">
      <c r="A1233" s="1"/>
      <c r="B1233" s="1" t="s">
        <v>37966</v>
      </c>
      <c r="C1233" s="1" t="s">
        <v>7</v>
      </c>
      <c r="D1233" s="1" t="s">
        <v>10</v>
      </c>
      <c r="E1233" s="1" t="s">
        <v>37034</v>
      </c>
      <c r="F1233" s="1" t="s">
        <v>3617</v>
      </c>
      <c r="G1233" s="1" t="s">
        <v>37968</v>
      </c>
      <c r="H1233" s="1" t="s">
        <v>3695</v>
      </c>
      <c r="I1233" s="1"/>
      <c r="J1233" s="1"/>
      <c r="K1233" s="1"/>
      <c r="L1233" s="1"/>
      <c r="M1233" s="1"/>
      <c r="N1233" s="1"/>
      <c r="O1233" s="1"/>
      <c r="P1233" s="1"/>
      <c r="Q1233" s="17"/>
    </row>
    <row x14ac:dyDescent="0.25" r="1234" customHeight="1" ht="18.75">
      <c r="A1234" s="1"/>
      <c r="B1234" s="1" t="s">
        <v>37966</v>
      </c>
      <c r="C1234" s="1" t="s">
        <v>7</v>
      </c>
      <c r="D1234" s="1" t="s">
        <v>10</v>
      </c>
      <c r="E1234" s="1" t="s">
        <v>37034</v>
      </c>
      <c r="F1234" s="1" t="s">
        <v>3617</v>
      </c>
      <c r="G1234" s="1" t="s">
        <v>37969</v>
      </c>
      <c r="H1234" s="1" t="s">
        <v>3695</v>
      </c>
      <c r="I1234" s="1"/>
      <c r="J1234" s="1"/>
      <c r="K1234" s="1"/>
      <c r="L1234" s="1"/>
      <c r="M1234" s="1"/>
      <c r="N1234" s="1"/>
      <c r="O1234" s="1"/>
      <c r="P1234" s="1"/>
      <c r="Q1234" s="17"/>
    </row>
    <row x14ac:dyDescent="0.25" r="1235" customHeight="1" ht="18.75">
      <c r="A1235" s="1"/>
      <c r="B1235" s="1" t="s">
        <v>37966</v>
      </c>
      <c r="C1235" s="1" t="s">
        <v>7</v>
      </c>
      <c r="D1235" s="1" t="s">
        <v>10</v>
      </c>
      <c r="E1235" s="1" t="s">
        <v>37034</v>
      </c>
      <c r="F1235" s="1" t="s">
        <v>3617</v>
      </c>
      <c r="G1235" s="1" t="s">
        <v>37970</v>
      </c>
      <c r="H1235" s="1" t="s">
        <v>3695</v>
      </c>
      <c r="I1235" s="1"/>
      <c r="J1235" s="1"/>
      <c r="K1235" s="1"/>
      <c r="L1235" s="1"/>
      <c r="M1235" s="1"/>
      <c r="N1235" s="1"/>
      <c r="O1235" s="1"/>
      <c r="P1235" s="1"/>
      <c r="Q1235" s="17"/>
    </row>
    <row x14ac:dyDescent="0.25" r="1236" customHeight="1" ht="18.75">
      <c r="A1236" s="1"/>
      <c r="B1236" s="1" t="s">
        <v>37947</v>
      </c>
      <c r="C1236" s="1" t="s">
        <v>7</v>
      </c>
      <c r="D1236" s="1" t="s">
        <v>10</v>
      </c>
      <c r="E1236" s="1" t="s">
        <v>37034</v>
      </c>
      <c r="F1236" s="1" t="s">
        <v>3617</v>
      </c>
      <c r="G1236" s="1" t="s">
        <v>37971</v>
      </c>
      <c r="H1236" s="1" t="s">
        <v>3610</v>
      </c>
      <c r="I1236" s="1"/>
      <c r="J1236" s="1"/>
      <c r="K1236" s="1"/>
      <c r="L1236" s="1"/>
      <c r="M1236" s="1"/>
      <c r="N1236" s="1"/>
      <c r="O1236" s="1"/>
      <c r="P1236" s="1"/>
      <c r="Q1236" s="17"/>
    </row>
    <row x14ac:dyDescent="0.25" r="1237" customHeight="1" ht="18.75">
      <c r="A1237" s="1"/>
      <c r="B1237" s="1" t="s">
        <v>37947</v>
      </c>
      <c r="C1237" s="1" t="s">
        <v>7</v>
      </c>
      <c r="D1237" s="1" t="s">
        <v>10</v>
      </c>
      <c r="E1237" s="1" t="s">
        <v>37034</v>
      </c>
      <c r="F1237" s="1" t="s">
        <v>3617</v>
      </c>
      <c r="G1237" s="1" t="s">
        <v>37972</v>
      </c>
      <c r="H1237" s="1" t="s">
        <v>3695</v>
      </c>
      <c r="I1237" s="1"/>
      <c r="J1237" s="1"/>
      <c r="K1237" s="1"/>
      <c r="L1237" s="1"/>
      <c r="M1237" s="1"/>
      <c r="N1237" s="1"/>
      <c r="O1237" s="1"/>
      <c r="P1237" s="1"/>
      <c r="Q1237" s="17"/>
    </row>
    <row x14ac:dyDescent="0.25" r="1238" customHeight="1" ht="18.75">
      <c r="A1238" s="1"/>
      <c r="B1238" s="1" t="s">
        <v>37961</v>
      </c>
      <c r="C1238" s="1" t="s">
        <v>7</v>
      </c>
      <c r="D1238" s="1" t="s">
        <v>10</v>
      </c>
      <c r="E1238" s="1" t="s">
        <v>37034</v>
      </c>
      <c r="F1238" s="1" t="s">
        <v>3617</v>
      </c>
      <c r="G1238" s="1" t="s">
        <v>37973</v>
      </c>
      <c r="H1238" s="1" t="s">
        <v>37057</v>
      </c>
      <c r="I1238" s="1"/>
      <c r="J1238" s="1"/>
      <c r="K1238" s="1"/>
      <c r="L1238" s="1"/>
      <c r="M1238" s="1"/>
      <c r="N1238" s="1"/>
      <c r="O1238" s="1"/>
      <c r="P1238" s="1"/>
      <c r="Q1238" s="17"/>
    </row>
    <row x14ac:dyDescent="0.25" r="1239" customHeight="1" ht="18.75">
      <c r="A1239" s="1"/>
      <c r="B1239" s="1" t="s">
        <v>37961</v>
      </c>
      <c r="C1239" s="1" t="s">
        <v>7</v>
      </c>
      <c r="D1239" s="1" t="s">
        <v>10</v>
      </c>
      <c r="E1239" s="1" t="s">
        <v>37034</v>
      </c>
      <c r="F1239" s="1" t="s">
        <v>3617</v>
      </c>
      <c r="G1239" s="1" t="s">
        <v>37974</v>
      </c>
      <c r="H1239" s="1" t="s">
        <v>37057</v>
      </c>
      <c r="I1239" s="1"/>
      <c r="J1239" s="1"/>
      <c r="K1239" s="1"/>
      <c r="L1239" s="1"/>
      <c r="M1239" s="1"/>
      <c r="N1239" s="1"/>
      <c r="O1239" s="1"/>
      <c r="P1239" s="1"/>
      <c r="Q1239" s="17"/>
    </row>
    <row x14ac:dyDescent="0.25" r="1240" customHeight="1" ht="18.75">
      <c r="A1240" s="1"/>
      <c r="B1240" s="1" t="s">
        <v>37947</v>
      </c>
      <c r="C1240" s="1" t="s">
        <v>7</v>
      </c>
      <c r="D1240" s="1" t="s">
        <v>10</v>
      </c>
      <c r="E1240" s="1" t="s">
        <v>37034</v>
      </c>
      <c r="F1240" s="1" t="s">
        <v>3617</v>
      </c>
      <c r="G1240" s="1" t="s">
        <v>37975</v>
      </c>
      <c r="H1240" s="1" t="s">
        <v>37057</v>
      </c>
      <c r="I1240" s="1"/>
      <c r="J1240" s="1"/>
      <c r="K1240" s="1"/>
      <c r="L1240" s="1"/>
      <c r="M1240" s="1"/>
      <c r="N1240" s="1"/>
      <c r="O1240" s="1"/>
      <c r="P1240" s="1"/>
      <c r="Q1240" s="17"/>
    </row>
    <row x14ac:dyDescent="0.25" r="1241" customHeight="1" ht="18.75">
      <c r="A1241" s="1"/>
      <c r="B1241" s="1" t="s">
        <v>37947</v>
      </c>
      <c r="C1241" s="1" t="s">
        <v>7</v>
      </c>
      <c r="D1241" s="1" t="s">
        <v>10</v>
      </c>
      <c r="E1241" s="1" t="s">
        <v>37034</v>
      </c>
      <c r="F1241" s="1" t="s">
        <v>3617</v>
      </c>
      <c r="G1241" s="1" t="s">
        <v>37976</v>
      </c>
      <c r="H1241" s="1" t="s">
        <v>37057</v>
      </c>
      <c r="I1241" s="1"/>
      <c r="J1241" s="1"/>
      <c r="K1241" s="1"/>
      <c r="L1241" s="1"/>
      <c r="M1241" s="1"/>
      <c r="N1241" s="1"/>
      <c r="O1241" s="1"/>
      <c r="P1241" s="1"/>
      <c r="Q1241" s="17"/>
    </row>
    <row x14ac:dyDescent="0.25" r="1242" customHeight="1" ht="18.75">
      <c r="A1242" s="1"/>
      <c r="B1242" s="1" t="s">
        <v>37956</v>
      </c>
      <c r="C1242" s="1" t="s">
        <v>7</v>
      </c>
      <c r="D1242" s="1" t="s">
        <v>10</v>
      </c>
      <c r="E1242" s="1" t="s">
        <v>37034</v>
      </c>
      <c r="F1242" s="1" t="s">
        <v>3617</v>
      </c>
      <c r="G1242" s="1" t="s">
        <v>37977</v>
      </c>
      <c r="H1242" s="1" t="s">
        <v>37057</v>
      </c>
      <c r="I1242" s="1"/>
      <c r="J1242" s="1"/>
      <c r="K1242" s="1"/>
      <c r="L1242" s="1"/>
      <c r="M1242" s="1"/>
      <c r="N1242" s="1"/>
      <c r="O1242" s="1"/>
      <c r="P1242" s="1"/>
      <c r="Q1242" s="17"/>
    </row>
    <row x14ac:dyDescent="0.25" r="1243" customHeight="1" ht="18.75">
      <c r="A1243" s="1"/>
      <c r="B1243" s="1" t="s">
        <v>37956</v>
      </c>
      <c r="C1243" s="1" t="s">
        <v>7</v>
      </c>
      <c r="D1243" s="1" t="s">
        <v>10</v>
      </c>
      <c r="E1243" s="1" t="s">
        <v>37034</v>
      </c>
      <c r="F1243" s="1" t="s">
        <v>3617</v>
      </c>
      <c r="G1243" s="1" t="s">
        <v>37978</v>
      </c>
      <c r="H1243" s="1" t="s">
        <v>37057</v>
      </c>
      <c r="I1243" s="1"/>
      <c r="J1243" s="1"/>
      <c r="K1243" s="1"/>
      <c r="L1243" s="1"/>
      <c r="M1243" s="1"/>
      <c r="N1243" s="1"/>
      <c r="O1243" s="1"/>
      <c r="P1243" s="1"/>
      <c r="Q1243" s="17"/>
    </row>
    <row x14ac:dyDescent="0.25" r="1244" customHeight="1" ht="18.75">
      <c r="A1244" s="1"/>
      <c r="B1244" s="1" t="s">
        <v>37962</v>
      </c>
      <c r="C1244" s="1" t="s">
        <v>7</v>
      </c>
      <c r="D1244" s="1" t="s">
        <v>10</v>
      </c>
      <c r="E1244" s="1" t="s">
        <v>37034</v>
      </c>
      <c r="F1244" s="1" t="s">
        <v>3617</v>
      </c>
      <c r="G1244" s="1" t="s">
        <v>37979</v>
      </c>
      <c r="H1244" s="1" t="s">
        <v>37057</v>
      </c>
      <c r="I1244" s="1"/>
      <c r="J1244" s="1"/>
      <c r="K1244" s="1"/>
      <c r="L1244" s="1"/>
      <c r="M1244" s="1"/>
      <c r="N1244" s="1"/>
      <c r="O1244" s="1"/>
      <c r="P1244" s="1"/>
      <c r="Q1244" s="17"/>
    </row>
    <row x14ac:dyDescent="0.25" r="1245" customHeight="1" ht="18.75">
      <c r="A1245" s="1"/>
      <c r="B1245" s="1" t="s">
        <v>37962</v>
      </c>
      <c r="C1245" s="1" t="s">
        <v>7</v>
      </c>
      <c r="D1245" s="1" t="s">
        <v>10</v>
      </c>
      <c r="E1245" s="1" t="s">
        <v>37034</v>
      </c>
      <c r="F1245" s="1" t="s">
        <v>3617</v>
      </c>
      <c r="G1245" s="1" t="s">
        <v>37980</v>
      </c>
      <c r="H1245" s="1" t="s">
        <v>37057</v>
      </c>
      <c r="I1245" s="1"/>
      <c r="J1245" s="1"/>
      <c r="K1245" s="1"/>
      <c r="L1245" s="1"/>
      <c r="M1245" s="1"/>
      <c r="N1245" s="1"/>
      <c r="O1245" s="1"/>
      <c r="P1245" s="1"/>
      <c r="Q1245" s="17"/>
    </row>
    <row x14ac:dyDescent="0.25" r="1246" customHeight="1" ht="18.75">
      <c r="A1246" s="1"/>
      <c r="B1246" s="1" t="s">
        <v>37964</v>
      </c>
      <c r="C1246" s="1" t="s">
        <v>7</v>
      </c>
      <c r="D1246" s="1" t="s">
        <v>10</v>
      </c>
      <c r="E1246" s="1" t="s">
        <v>37034</v>
      </c>
      <c r="F1246" s="1" t="s">
        <v>3617</v>
      </c>
      <c r="G1246" s="1" t="s">
        <v>37981</v>
      </c>
      <c r="H1246" s="1" t="s">
        <v>37057</v>
      </c>
      <c r="I1246" s="1"/>
      <c r="J1246" s="1"/>
      <c r="K1246" s="1"/>
      <c r="L1246" s="1"/>
      <c r="M1246" s="1"/>
      <c r="N1246" s="1"/>
      <c r="O1246" s="1"/>
      <c r="P1246" s="1"/>
      <c r="Q1246" s="17"/>
    </row>
    <row x14ac:dyDescent="0.25" r="1247" customHeight="1" ht="18.75">
      <c r="A1247" s="1"/>
      <c r="B1247" s="1" t="s">
        <v>37964</v>
      </c>
      <c r="C1247" s="1" t="s">
        <v>7</v>
      </c>
      <c r="D1247" s="1" t="s">
        <v>10</v>
      </c>
      <c r="E1247" s="1" t="s">
        <v>37034</v>
      </c>
      <c r="F1247" s="1" t="s">
        <v>3617</v>
      </c>
      <c r="G1247" s="1" t="s">
        <v>37982</v>
      </c>
      <c r="H1247" s="1" t="s">
        <v>37057</v>
      </c>
      <c r="I1247" s="1"/>
      <c r="J1247" s="1"/>
      <c r="K1247" s="1"/>
      <c r="L1247" s="1"/>
      <c r="M1247" s="1"/>
      <c r="N1247" s="1"/>
      <c r="O1247" s="1"/>
      <c r="P1247" s="1"/>
      <c r="Q1247" s="17"/>
    </row>
    <row x14ac:dyDescent="0.25" r="1248" customHeight="1" ht="18.75">
      <c r="A1248" s="1"/>
      <c r="B1248" s="1" t="s">
        <v>37966</v>
      </c>
      <c r="C1248" s="1" t="s">
        <v>7</v>
      </c>
      <c r="D1248" s="1" t="s">
        <v>10</v>
      </c>
      <c r="E1248" s="1" t="s">
        <v>37034</v>
      </c>
      <c r="F1248" s="1" t="s">
        <v>3617</v>
      </c>
      <c r="G1248" s="1" t="s">
        <v>37983</v>
      </c>
      <c r="H1248" s="1" t="s">
        <v>37057</v>
      </c>
      <c r="I1248" s="1"/>
      <c r="J1248" s="1"/>
      <c r="K1248" s="1"/>
      <c r="L1248" s="1"/>
      <c r="M1248" s="1"/>
      <c r="N1248" s="1"/>
      <c r="O1248" s="1"/>
      <c r="P1248" s="1"/>
      <c r="Q1248" s="17"/>
    </row>
    <row x14ac:dyDescent="0.25" r="1249" customHeight="1" ht="18.75">
      <c r="A1249" s="1"/>
      <c r="B1249" s="1" t="s">
        <v>37966</v>
      </c>
      <c r="C1249" s="1" t="s">
        <v>7</v>
      </c>
      <c r="D1249" s="1" t="s">
        <v>10</v>
      </c>
      <c r="E1249" s="1" t="s">
        <v>37034</v>
      </c>
      <c r="F1249" s="1" t="s">
        <v>3617</v>
      </c>
      <c r="G1249" s="1" t="s">
        <v>37984</v>
      </c>
      <c r="H1249" s="1" t="s">
        <v>37057</v>
      </c>
      <c r="I1249" s="1"/>
      <c r="J1249" s="1"/>
      <c r="K1249" s="1"/>
      <c r="L1249" s="1"/>
      <c r="M1249" s="1"/>
      <c r="N1249" s="1"/>
      <c r="O1249" s="1"/>
      <c r="P1249" s="1"/>
      <c r="Q1249" s="17"/>
    </row>
    <row x14ac:dyDescent="0.25" r="1250" customHeight="1" ht="18.75">
      <c r="A1250" s="1"/>
      <c r="B1250" s="1" t="s">
        <v>37961</v>
      </c>
      <c r="C1250" s="1" t="s">
        <v>7</v>
      </c>
      <c r="D1250" s="1" t="s">
        <v>10</v>
      </c>
      <c r="E1250" s="1" t="s">
        <v>37034</v>
      </c>
      <c r="F1250" s="1" t="s">
        <v>3617</v>
      </c>
      <c r="G1250" s="1" t="s">
        <v>37985</v>
      </c>
      <c r="H1250" s="1" t="s">
        <v>37057</v>
      </c>
      <c r="I1250" s="1"/>
      <c r="J1250" s="1"/>
      <c r="K1250" s="1"/>
      <c r="L1250" s="1"/>
      <c r="M1250" s="1"/>
      <c r="N1250" s="1"/>
      <c r="O1250" s="1"/>
      <c r="P1250" s="1"/>
      <c r="Q1250" s="17"/>
    </row>
    <row x14ac:dyDescent="0.25" r="1251" customHeight="1" ht="18.75">
      <c r="A1251" s="1"/>
      <c r="B1251" s="1" t="s">
        <v>37961</v>
      </c>
      <c r="C1251" s="1" t="s">
        <v>7</v>
      </c>
      <c r="D1251" s="1" t="s">
        <v>10</v>
      </c>
      <c r="E1251" s="1" t="s">
        <v>37034</v>
      </c>
      <c r="F1251" s="1" t="s">
        <v>3617</v>
      </c>
      <c r="G1251" s="1" t="s">
        <v>37986</v>
      </c>
      <c r="H1251" s="1" t="s">
        <v>37057</v>
      </c>
      <c r="I1251" s="1"/>
      <c r="J1251" s="1"/>
      <c r="K1251" s="1"/>
      <c r="L1251" s="1"/>
      <c r="M1251" s="1"/>
      <c r="N1251" s="1"/>
      <c r="O1251" s="1"/>
      <c r="P1251" s="1"/>
      <c r="Q1251" s="17"/>
    </row>
    <row x14ac:dyDescent="0.25" r="1252" customHeight="1" ht="18.75">
      <c r="A1252" s="1"/>
      <c r="B1252" s="1" t="s">
        <v>37961</v>
      </c>
      <c r="C1252" s="1" t="s">
        <v>7</v>
      </c>
      <c r="D1252" s="1" t="s">
        <v>10</v>
      </c>
      <c r="E1252" s="1" t="s">
        <v>37034</v>
      </c>
      <c r="F1252" s="1" t="s">
        <v>3617</v>
      </c>
      <c r="G1252" s="1" t="s">
        <v>37987</v>
      </c>
      <c r="H1252" s="1" t="s">
        <v>37057</v>
      </c>
      <c r="I1252" s="1"/>
      <c r="J1252" s="1"/>
      <c r="K1252" s="1"/>
      <c r="L1252" s="1"/>
      <c r="M1252" s="1"/>
      <c r="N1252" s="1"/>
      <c r="O1252" s="1"/>
      <c r="P1252" s="1"/>
      <c r="Q1252" s="17"/>
    </row>
    <row x14ac:dyDescent="0.25" r="1253" customHeight="1" ht="18.75">
      <c r="A1253" s="1"/>
      <c r="B1253" s="1" t="s">
        <v>37947</v>
      </c>
      <c r="C1253" s="1" t="s">
        <v>7</v>
      </c>
      <c r="D1253" s="1" t="s">
        <v>10</v>
      </c>
      <c r="E1253" s="1" t="s">
        <v>37034</v>
      </c>
      <c r="F1253" s="1" t="s">
        <v>3617</v>
      </c>
      <c r="G1253" s="1" t="s">
        <v>37988</v>
      </c>
      <c r="H1253" s="1" t="s">
        <v>37057</v>
      </c>
      <c r="I1253" s="1"/>
      <c r="J1253" s="1"/>
      <c r="K1253" s="1"/>
      <c r="L1253" s="1"/>
      <c r="M1253" s="1"/>
      <c r="N1253" s="1"/>
      <c r="O1253" s="1"/>
      <c r="P1253" s="1"/>
      <c r="Q1253" s="17"/>
    </row>
    <row x14ac:dyDescent="0.25" r="1254" customHeight="1" ht="18.75">
      <c r="A1254" s="1"/>
      <c r="B1254" s="1" t="s">
        <v>37947</v>
      </c>
      <c r="C1254" s="1" t="s">
        <v>7</v>
      </c>
      <c r="D1254" s="1" t="s">
        <v>10</v>
      </c>
      <c r="E1254" s="1" t="s">
        <v>37034</v>
      </c>
      <c r="F1254" s="1" t="s">
        <v>3617</v>
      </c>
      <c r="G1254" s="1" t="s">
        <v>37989</v>
      </c>
      <c r="H1254" s="1" t="s">
        <v>37057</v>
      </c>
      <c r="I1254" s="1"/>
      <c r="J1254" s="1"/>
      <c r="K1254" s="1"/>
      <c r="L1254" s="1"/>
      <c r="M1254" s="1"/>
      <c r="N1254" s="1"/>
      <c r="O1254" s="1"/>
      <c r="P1254" s="1"/>
      <c r="Q1254" s="17"/>
    </row>
    <row x14ac:dyDescent="0.25" r="1255" customHeight="1" ht="18.75">
      <c r="A1255" s="1"/>
      <c r="B1255" s="1" t="s">
        <v>37962</v>
      </c>
      <c r="C1255" s="1" t="s">
        <v>7</v>
      </c>
      <c r="D1255" s="1" t="s">
        <v>10</v>
      </c>
      <c r="E1255" s="1" t="s">
        <v>37034</v>
      </c>
      <c r="F1255" s="1" t="s">
        <v>3617</v>
      </c>
      <c r="G1255" s="1" t="s">
        <v>37990</v>
      </c>
      <c r="H1255" s="1" t="s">
        <v>37057</v>
      </c>
      <c r="I1255" s="1"/>
      <c r="J1255" s="1"/>
      <c r="K1255" s="1"/>
      <c r="L1255" s="1"/>
      <c r="M1255" s="1"/>
      <c r="N1255" s="1"/>
      <c r="O1255" s="1"/>
      <c r="P1255" s="1"/>
      <c r="Q1255" s="17"/>
    </row>
    <row x14ac:dyDescent="0.25" r="1256" customHeight="1" ht="18.75">
      <c r="A1256" s="1"/>
      <c r="B1256" s="1" t="s">
        <v>37962</v>
      </c>
      <c r="C1256" s="1" t="s">
        <v>7</v>
      </c>
      <c r="D1256" s="1" t="s">
        <v>10</v>
      </c>
      <c r="E1256" s="1" t="s">
        <v>37034</v>
      </c>
      <c r="F1256" s="1" t="s">
        <v>3617</v>
      </c>
      <c r="G1256" s="1" t="s">
        <v>37991</v>
      </c>
      <c r="H1256" s="1" t="s">
        <v>37057</v>
      </c>
      <c r="I1256" s="1"/>
      <c r="J1256" s="1"/>
      <c r="K1256" s="1"/>
      <c r="L1256" s="1"/>
      <c r="M1256" s="1"/>
      <c r="N1256" s="1"/>
      <c r="O1256" s="1"/>
      <c r="P1256" s="1"/>
      <c r="Q1256" s="17"/>
    </row>
    <row x14ac:dyDescent="0.25" r="1257" customHeight="1" ht="18.75">
      <c r="A1257" s="1"/>
      <c r="B1257" s="1" t="s">
        <v>37966</v>
      </c>
      <c r="C1257" s="1" t="s">
        <v>7</v>
      </c>
      <c r="D1257" s="1" t="s">
        <v>10</v>
      </c>
      <c r="E1257" s="1" t="s">
        <v>37034</v>
      </c>
      <c r="F1257" s="1" t="s">
        <v>3617</v>
      </c>
      <c r="G1257" s="1" t="s">
        <v>37992</v>
      </c>
      <c r="H1257" s="1" t="s">
        <v>37057</v>
      </c>
      <c r="I1257" s="1"/>
      <c r="J1257" s="1"/>
      <c r="K1257" s="1"/>
      <c r="L1257" s="1"/>
      <c r="M1257" s="1"/>
      <c r="N1257" s="1"/>
      <c r="O1257" s="1"/>
      <c r="P1257" s="1"/>
      <c r="Q1257" s="17"/>
    </row>
    <row x14ac:dyDescent="0.25" r="1258" customHeight="1" ht="18.75">
      <c r="A1258" s="1"/>
      <c r="B1258" s="1" t="s">
        <v>37966</v>
      </c>
      <c r="C1258" s="1" t="s">
        <v>7</v>
      </c>
      <c r="D1258" s="1" t="s">
        <v>10</v>
      </c>
      <c r="E1258" s="1" t="s">
        <v>37034</v>
      </c>
      <c r="F1258" s="1" t="s">
        <v>3617</v>
      </c>
      <c r="G1258" s="1" t="s">
        <v>37993</v>
      </c>
      <c r="H1258" s="1" t="s">
        <v>37057</v>
      </c>
      <c r="I1258" s="1"/>
      <c r="J1258" s="1"/>
      <c r="K1258" s="1"/>
      <c r="L1258" s="1"/>
      <c r="M1258" s="1"/>
      <c r="N1258" s="1"/>
      <c r="O1258" s="1"/>
      <c r="P1258" s="1"/>
      <c r="Q1258" s="17"/>
    </row>
    <row x14ac:dyDescent="0.25" r="1259" customHeight="1" ht="18.75">
      <c r="A1259" s="1"/>
      <c r="B1259" s="1" t="s">
        <v>37994</v>
      </c>
      <c r="C1259" s="1" t="s">
        <v>7</v>
      </c>
      <c r="D1259" s="1" t="s">
        <v>10</v>
      </c>
      <c r="E1259" s="1" t="s">
        <v>36395</v>
      </c>
      <c r="F1259" s="1" t="s">
        <v>3693</v>
      </c>
      <c r="G1259" s="1" t="s">
        <v>35339</v>
      </c>
      <c r="H1259" s="1" t="s">
        <v>7847</v>
      </c>
      <c r="I1259" s="1"/>
      <c r="J1259" s="1"/>
      <c r="K1259" s="1"/>
      <c r="L1259" s="1"/>
      <c r="M1259" s="1"/>
      <c r="N1259" s="1"/>
      <c r="O1259" s="1"/>
      <c r="P1259" s="1"/>
      <c r="Q1259" s="17"/>
    </row>
    <row x14ac:dyDescent="0.25" r="1260" customHeight="1" ht="18.75">
      <c r="A1260" s="1"/>
      <c r="B1260" s="1" t="s">
        <v>37994</v>
      </c>
      <c r="C1260" s="1" t="s">
        <v>7</v>
      </c>
      <c r="D1260" s="1" t="s">
        <v>10</v>
      </c>
      <c r="E1260" s="1" t="s">
        <v>37034</v>
      </c>
      <c r="F1260" s="1" t="s">
        <v>3693</v>
      </c>
      <c r="G1260" s="1" t="s">
        <v>37995</v>
      </c>
      <c r="H1260" s="1" t="s">
        <v>37057</v>
      </c>
      <c r="I1260" s="1"/>
      <c r="J1260" s="1"/>
      <c r="K1260" s="1"/>
      <c r="L1260" s="1"/>
      <c r="M1260" s="1"/>
      <c r="N1260" s="1"/>
      <c r="O1260" s="1"/>
      <c r="P1260" s="1"/>
      <c r="Q1260" s="17"/>
    </row>
    <row x14ac:dyDescent="0.25" r="1261" customHeight="1" ht="18.75">
      <c r="A1261" s="1"/>
      <c r="B1261" s="1" t="s">
        <v>37994</v>
      </c>
      <c r="C1261" s="1" t="s">
        <v>7</v>
      </c>
      <c r="D1261" s="1" t="s">
        <v>10</v>
      </c>
      <c r="E1261" s="1" t="s">
        <v>37034</v>
      </c>
      <c r="F1261" s="1" t="s">
        <v>3693</v>
      </c>
      <c r="G1261" s="1" t="s">
        <v>37996</v>
      </c>
      <c r="H1261" s="1" t="s">
        <v>37037</v>
      </c>
      <c r="I1261" s="1"/>
      <c r="J1261" s="1"/>
      <c r="K1261" s="1"/>
      <c r="L1261" s="1"/>
      <c r="M1261" s="1"/>
      <c r="N1261" s="1"/>
      <c r="O1261" s="1"/>
      <c r="P1261" s="1"/>
      <c r="Q1261" s="17"/>
    </row>
    <row x14ac:dyDescent="0.25" r="1262" customHeight="1" ht="18.75">
      <c r="A1262" s="1"/>
      <c r="B1262" s="1" t="s">
        <v>37994</v>
      </c>
      <c r="C1262" s="1" t="s">
        <v>7</v>
      </c>
      <c r="D1262" s="1" t="s">
        <v>10</v>
      </c>
      <c r="E1262" s="1" t="s">
        <v>37034</v>
      </c>
      <c r="F1262" s="1" t="s">
        <v>3693</v>
      </c>
      <c r="G1262" s="1" t="s">
        <v>37997</v>
      </c>
      <c r="H1262" s="1" t="s">
        <v>37037</v>
      </c>
      <c r="I1262" s="1"/>
      <c r="J1262" s="1"/>
      <c r="K1262" s="1"/>
      <c r="L1262" s="1"/>
      <c r="M1262" s="1"/>
      <c r="N1262" s="1"/>
      <c r="O1262" s="1"/>
      <c r="P1262" s="1"/>
      <c r="Q1262" s="17"/>
    </row>
    <row x14ac:dyDescent="0.25" r="1263" customHeight="1" ht="18.75">
      <c r="A1263" s="1"/>
      <c r="B1263" s="1" t="s">
        <v>37994</v>
      </c>
      <c r="C1263" s="1" t="s">
        <v>7</v>
      </c>
      <c r="D1263" s="1" t="s">
        <v>10</v>
      </c>
      <c r="E1263" s="1" t="s">
        <v>37034</v>
      </c>
      <c r="F1263" s="1" t="s">
        <v>3693</v>
      </c>
      <c r="G1263" s="1" t="s">
        <v>37998</v>
      </c>
      <c r="H1263" s="1" t="s">
        <v>37037</v>
      </c>
      <c r="I1263" s="1"/>
      <c r="J1263" s="1"/>
      <c r="K1263" s="1"/>
      <c r="L1263" s="1"/>
      <c r="M1263" s="1"/>
      <c r="N1263" s="1"/>
      <c r="O1263" s="1"/>
      <c r="P1263" s="1"/>
      <c r="Q1263" s="17"/>
    </row>
    <row x14ac:dyDescent="0.25" r="1264" customHeight="1" ht="18.75">
      <c r="A1264" s="1"/>
      <c r="B1264" s="1" t="s">
        <v>37994</v>
      </c>
      <c r="C1264" s="1" t="s">
        <v>7</v>
      </c>
      <c r="D1264" s="1" t="s">
        <v>10</v>
      </c>
      <c r="E1264" s="1" t="s">
        <v>37034</v>
      </c>
      <c r="F1264" s="1" t="s">
        <v>3693</v>
      </c>
      <c r="G1264" s="1" t="s">
        <v>37999</v>
      </c>
      <c r="H1264" s="1" t="s">
        <v>3610</v>
      </c>
      <c r="I1264" s="1"/>
      <c r="J1264" s="1"/>
      <c r="K1264" s="1"/>
      <c r="L1264" s="1"/>
      <c r="M1264" s="1"/>
      <c r="N1264" s="1"/>
      <c r="O1264" s="1"/>
      <c r="P1264" s="1"/>
      <c r="Q1264" s="17"/>
    </row>
    <row x14ac:dyDescent="0.25" r="1265" customHeight="1" ht="18.75">
      <c r="A1265" s="1"/>
      <c r="B1265" s="1" t="s">
        <v>38000</v>
      </c>
      <c r="C1265" s="1" t="s">
        <v>7</v>
      </c>
      <c r="D1265" s="1" t="s">
        <v>10</v>
      </c>
      <c r="E1265" s="1" t="s">
        <v>36395</v>
      </c>
      <c r="F1265" s="1" t="s">
        <v>3693</v>
      </c>
      <c r="G1265" s="1" t="s">
        <v>35342</v>
      </c>
      <c r="H1265" s="1" t="s">
        <v>37190</v>
      </c>
      <c r="I1265" s="1"/>
      <c r="J1265" s="1"/>
      <c r="K1265" s="1"/>
      <c r="L1265" s="1"/>
      <c r="M1265" s="1"/>
      <c r="N1265" s="1"/>
      <c r="O1265" s="1"/>
      <c r="P1265" s="1"/>
      <c r="Q1265" s="17"/>
    </row>
    <row x14ac:dyDescent="0.25" r="1266" customHeight="1" ht="18.75">
      <c r="A1266" s="1"/>
      <c r="B1266" s="1" t="s">
        <v>38000</v>
      </c>
      <c r="C1266" s="1" t="s">
        <v>7</v>
      </c>
      <c r="D1266" s="1" t="s">
        <v>10</v>
      </c>
      <c r="E1266" s="1" t="s">
        <v>37034</v>
      </c>
      <c r="F1266" s="1" t="s">
        <v>3693</v>
      </c>
      <c r="G1266" s="1" t="s">
        <v>38001</v>
      </c>
      <c r="H1266" s="1" t="s">
        <v>3610</v>
      </c>
      <c r="I1266" s="1"/>
      <c r="J1266" s="1"/>
      <c r="K1266" s="1"/>
      <c r="L1266" s="1"/>
      <c r="M1266" s="1"/>
      <c r="N1266" s="1"/>
      <c r="O1266" s="1"/>
      <c r="P1266" s="1"/>
      <c r="Q1266" s="17"/>
    </row>
    <row x14ac:dyDescent="0.25" r="1267" customHeight="1" ht="18.75">
      <c r="A1267" s="1"/>
      <c r="B1267" s="1" t="s">
        <v>38000</v>
      </c>
      <c r="C1267" s="1" t="s">
        <v>7</v>
      </c>
      <c r="D1267" s="1" t="s">
        <v>10</v>
      </c>
      <c r="E1267" s="1" t="s">
        <v>37034</v>
      </c>
      <c r="F1267" s="1" t="s">
        <v>3693</v>
      </c>
      <c r="G1267" s="1" t="s">
        <v>38002</v>
      </c>
      <c r="H1267" s="1" t="s">
        <v>3610</v>
      </c>
      <c r="I1267" s="1"/>
      <c r="J1267" s="1"/>
      <c r="K1267" s="1"/>
      <c r="L1267" s="1"/>
      <c r="M1267" s="1"/>
      <c r="N1267" s="1"/>
      <c r="O1267" s="1"/>
      <c r="P1267" s="1"/>
      <c r="Q1267" s="17"/>
    </row>
    <row x14ac:dyDescent="0.25" r="1268" customHeight="1" ht="18.75">
      <c r="A1268" s="1"/>
      <c r="B1268" s="1" t="s">
        <v>38000</v>
      </c>
      <c r="C1268" s="1" t="s">
        <v>7</v>
      </c>
      <c r="D1268" s="1" t="s">
        <v>10</v>
      </c>
      <c r="E1268" s="1" t="s">
        <v>37034</v>
      </c>
      <c r="F1268" s="1" t="s">
        <v>3693</v>
      </c>
      <c r="G1268" s="1" t="s">
        <v>38003</v>
      </c>
      <c r="H1268" s="1" t="s">
        <v>3610</v>
      </c>
      <c r="I1268" s="1"/>
      <c r="J1268" s="1"/>
      <c r="K1268" s="1"/>
      <c r="L1268" s="1"/>
      <c r="M1268" s="1"/>
      <c r="N1268" s="1"/>
      <c r="O1268" s="1"/>
      <c r="P1268" s="1"/>
      <c r="Q1268" s="17"/>
    </row>
    <row x14ac:dyDescent="0.25" r="1269" customHeight="1" ht="18.75">
      <c r="A1269" s="1"/>
      <c r="B1269" s="1" t="s">
        <v>38000</v>
      </c>
      <c r="C1269" s="1" t="s">
        <v>7</v>
      </c>
      <c r="D1269" s="1" t="s">
        <v>10</v>
      </c>
      <c r="E1269" s="1" t="s">
        <v>37034</v>
      </c>
      <c r="F1269" s="1" t="s">
        <v>3693</v>
      </c>
      <c r="G1269" s="1" t="s">
        <v>38004</v>
      </c>
      <c r="H1269" s="1" t="s">
        <v>3695</v>
      </c>
      <c r="I1269" s="1"/>
      <c r="J1269" s="1"/>
      <c r="K1269" s="1"/>
      <c r="L1269" s="1"/>
      <c r="M1269" s="1"/>
      <c r="N1269" s="1"/>
      <c r="O1269" s="1"/>
      <c r="P1269" s="1"/>
      <c r="Q1269" s="17"/>
    </row>
    <row x14ac:dyDescent="0.25" r="1270" customHeight="1" ht="18.75">
      <c r="A1270" s="1"/>
      <c r="B1270" s="1" t="s">
        <v>38000</v>
      </c>
      <c r="C1270" s="1" t="s">
        <v>7</v>
      </c>
      <c r="D1270" s="1" t="s">
        <v>10</v>
      </c>
      <c r="E1270" s="1" t="s">
        <v>37034</v>
      </c>
      <c r="F1270" s="1" t="s">
        <v>3693</v>
      </c>
      <c r="G1270" s="1" t="s">
        <v>38005</v>
      </c>
      <c r="H1270" s="1" t="s">
        <v>37057</v>
      </c>
      <c r="I1270" s="1"/>
      <c r="J1270" s="1"/>
      <c r="K1270" s="1"/>
      <c r="L1270" s="1"/>
      <c r="M1270" s="1"/>
      <c r="N1270" s="1"/>
      <c r="O1270" s="1"/>
      <c r="P1270" s="1"/>
      <c r="Q1270" s="17"/>
    </row>
    <row x14ac:dyDescent="0.25" r="1271" customHeight="1" ht="18.75">
      <c r="A1271" s="1"/>
      <c r="B1271" s="1" t="s">
        <v>38006</v>
      </c>
      <c r="C1271" s="1" t="s">
        <v>7</v>
      </c>
      <c r="D1271" s="1" t="s">
        <v>10</v>
      </c>
      <c r="E1271" s="1" t="s">
        <v>36395</v>
      </c>
      <c r="F1271" s="1" t="s">
        <v>3598</v>
      </c>
      <c r="G1271" s="1" t="s">
        <v>38007</v>
      </c>
      <c r="H1271" s="1" t="s">
        <v>7847</v>
      </c>
      <c r="I1271" s="1"/>
      <c r="J1271" s="1"/>
      <c r="K1271" s="1"/>
      <c r="L1271" s="1"/>
      <c r="M1271" s="1"/>
      <c r="N1271" s="1"/>
      <c r="O1271" s="1"/>
      <c r="P1271" s="1"/>
      <c r="Q1271" s="17"/>
    </row>
    <row x14ac:dyDescent="0.25" r="1272" customHeight="1" ht="18.75">
      <c r="A1272" s="1"/>
      <c r="B1272" s="1" t="s">
        <v>38006</v>
      </c>
      <c r="C1272" s="1" t="s">
        <v>7</v>
      </c>
      <c r="D1272" s="1" t="s">
        <v>10</v>
      </c>
      <c r="E1272" s="1" t="s">
        <v>36395</v>
      </c>
      <c r="F1272" s="1" t="s">
        <v>3598</v>
      </c>
      <c r="G1272" s="1" t="s">
        <v>38008</v>
      </c>
      <c r="H1272" s="1" t="s">
        <v>7847</v>
      </c>
      <c r="I1272" s="1"/>
      <c r="J1272" s="1"/>
      <c r="K1272" s="1"/>
      <c r="L1272" s="1"/>
      <c r="M1272" s="1"/>
      <c r="N1272" s="1"/>
      <c r="O1272" s="1"/>
      <c r="P1272" s="1"/>
      <c r="Q1272" s="17"/>
    </row>
    <row x14ac:dyDescent="0.25" r="1273" customHeight="1" ht="18.75">
      <c r="A1273" s="1"/>
      <c r="B1273" s="1" t="s">
        <v>38006</v>
      </c>
      <c r="C1273" s="1" t="s">
        <v>7</v>
      </c>
      <c r="D1273" s="1" t="s">
        <v>10</v>
      </c>
      <c r="E1273" s="1" t="s">
        <v>36395</v>
      </c>
      <c r="F1273" s="1" t="s">
        <v>3598</v>
      </c>
      <c r="G1273" s="1" t="s">
        <v>38009</v>
      </c>
      <c r="H1273" s="1" t="s">
        <v>7847</v>
      </c>
      <c r="I1273" s="1"/>
      <c r="J1273" s="1"/>
      <c r="K1273" s="1"/>
      <c r="L1273" s="1"/>
      <c r="M1273" s="1"/>
      <c r="N1273" s="1"/>
      <c r="O1273" s="1"/>
      <c r="P1273" s="1"/>
      <c r="Q1273" s="17"/>
    </row>
    <row x14ac:dyDescent="0.25" r="1274" customHeight="1" ht="18.75">
      <c r="A1274" s="1"/>
      <c r="B1274" s="1" t="s">
        <v>38006</v>
      </c>
      <c r="C1274" s="1" t="s">
        <v>7</v>
      </c>
      <c r="D1274" s="1" t="s">
        <v>10</v>
      </c>
      <c r="E1274" s="1" t="s">
        <v>36395</v>
      </c>
      <c r="F1274" s="1" t="s">
        <v>3598</v>
      </c>
      <c r="G1274" s="1" t="s">
        <v>38010</v>
      </c>
      <c r="H1274" s="1" t="s">
        <v>7847</v>
      </c>
      <c r="I1274" s="1"/>
      <c r="J1274" s="1"/>
      <c r="K1274" s="1"/>
      <c r="L1274" s="1"/>
      <c r="M1274" s="1"/>
      <c r="N1274" s="1"/>
      <c r="O1274" s="1"/>
      <c r="P1274" s="1"/>
      <c r="Q1274" s="17"/>
    </row>
    <row x14ac:dyDescent="0.25" r="1275" customHeight="1" ht="18.75">
      <c r="A1275" s="1"/>
      <c r="B1275" s="1" t="s">
        <v>38006</v>
      </c>
      <c r="C1275" s="1" t="s">
        <v>7</v>
      </c>
      <c r="D1275" s="1" t="s">
        <v>10</v>
      </c>
      <c r="E1275" s="1" t="s">
        <v>37034</v>
      </c>
      <c r="F1275" s="1" t="s">
        <v>3598</v>
      </c>
      <c r="G1275" s="1" t="s">
        <v>38011</v>
      </c>
      <c r="H1275" s="1" t="s">
        <v>3610</v>
      </c>
      <c r="I1275" s="1"/>
      <c r="J1275" s="1"/>
      <c r="K1275" s="1"/>
      <c r="L1275" s="1"/>
      <c r="M1275" s="1"/>
      <c r="N1275" s="1"/>
      <c r="O1275" s="1"/>
      <c r="P1275" s="1"/>
      <c r="Q1275" s="17"/>
    </row>
    <row x14ac:dyDescent="0.25" r="1276" customHeight="1" ht="18.75">
      <c r="A1276" s="1"/>
      <c r="B1276" s="1" t="s">
        <v>38006</v>
      </c>
      <c r="C1276" s="1" t="s">
        <v>7</v>
      </c>
      <c r="D1276" s="1" t="s">
        <v>10</v>
      </c>
      <c r="E1276" s="1" t="s">
        <v>37034</v>
      </c>
      <c r="F1276" s="1" t="s">
        <v>3598</v>
      </c>
      <c r="G1276" s="1" t="s">
        <v>38012</v>
      </c>
      <c r="H1276" s="1" t="s">
        <v>3610</v>
      </c>
      <c r="I1276" s="1"/>
      <c r="J1276" s="1"/>
      <c r="K1276" s="1"/>
      <c r="L1276" s="1"/>
      <c r="M1276" s="1"/>
      <c r="N1276" s="1"/>
      <c r="O1276" s="1"/>
      <c r="P1276" s="1"/>
      <c r="Q1276" s="17"/>
    </row>
    <row x14ac:dyDescent="0.25" r="1277" customHeight="1" ht="18.75">
      <c r="A1277" s="1"/>
      <c r="B1277" s="1" t="s">
        <v>38006</v>
      </c>
      <c r="C1277" s="1" t="s">
        <v>7</v>
      </c>
      <c r="D1277" s="1" t="s">
        <v>10</v>
      </c>
      <c r="E1277" s="1" t="s">
        <v>37034</v>
      </c>
      <c r="F1277" s="1" t="s">
        <v>3598</v>
      </c>
      <c r="G1277" s="1" t="s">
        <v>38013</v>
      </c>
      <c r="H1277" s="1" t="s">
        <v>533</v>
      </c>
      <c r="I1277" s="1"/>
      <c r="J1277" s="1"/>
      <c r="K1277" s="1"/>
      <c r="L1277" s="1"/>
      <c r="M1277" s="1"/>
      <c r="N1277" s="1"/>
      <c r="O1277" s="1"/>
      <c r="P1277" s="1"/>
      <c r="Q1277" s="17"/>
    </row>
    <row x14ac:dyDescent="0.25" r="1278" customHeight="1" ht="18.75">
      <c r="A1278" s="1"/>
      <c r="B1278" s="1" t="s">
        <v>38006</v>
      </c>
      <c r="C1278" s="1" t="s">
        <v>7</v>
      </c>
      <c r="D1278" s="1" t="s">
        <v>10</v>
      </c>
      <c r="E1278" s="1" t="s">
        <v>37034</v>
      </c>
      <c r="F1278" s="1" t="s">
        <v>3598</v>
      </c>
      <c r="G1278" s="1" t="s">
        <v>38014</v>
      </c>
      <c r="H1278" s="1" t="s">
        <v>3610</v>
      </c>
      <c r="I1278" s="1"/>
      <c r="J1278" s="1"/>
      <c r="K1278" s="1"/>
      <c r="L1278" s="1"/>
      <c r="M1278" s="1"/>
      <c r="N1278" s="1"/>
      <c r="O1278" s="1"/>
      <c r="P1278" s="1"/>
      <c r="Q1278" s="17"/>
    </row>
    <row x14ac:dyDescent="0.25" r="1279" customHeight="1" ht="18.75">
      <c r="A1279" s="1"/>
      <c r="B1279" s="1" t="s">
        <v>38006</v>
      </c>
      <c r="C1279" s="1" t="s">
        <v>7</v>
      </c>
      <c r="D1279" s="1" t="s">
        <v>10</v>
      </c>
      <c r="E1279" s="1" t="s">
        <v>37034</v>
      </c>
      <c r="F1279" s="1" t="s">
        <v>3598</v>
      </c>
      <c r="G1279" s="1" t="s">
        <v>38015</v>
      </c>
      <c r="H1279" s="1" t="s">
        <v>3610</v>
      </c>
      <c r="I1279" s="1"/>
      <c r="J1279" s="1"/>
      <c r="K1279" s="1"/>
      <c r="L1279" s="1"/>
      <c r="M1279" s="1"/>
      <c r="N1279" s="1"/>
      <c r="O1279" s="1"/>
      <c r="P1279" s="1"/>
      <c r="Q1279" s="17"/>
    </row>
    <row x14ac:dyDescent="0.25" r="1280" customHeight="1" ht="18.75">
      <c r="A1280" s="1"/>
      <c r="B1280" s="1" t="s">
        <v>38006</v>
      </c>
      <c r="C1280" s="1" t="s">
        <v>7</v>
      </c>
      <c r="D1280" s="1" t="s">
        <v>10</v>
      </c>
      <c r="E1280" s="1" t="s">
        <v>37034</v>
      </c>
      <c r="F1280" s="1" t="s">
        <v>3598</v>
      </c>
      <c r="G1280" s="1" t="s">
        <v>38016</v>
      </c>
      <c r="H1280" s="1" t="s">
        <v>533</v>
      </c>
      <c r="I1280" s="1"/>
      <c r="J1280" s="1"/>
      <c r="K1280" s="1"/>
      <c r="L1280" s="1"/>
      <c r="M1280" s="1"/>
      <c r="N1280" s="1"/>
      <c r="O1280" s="1"/>
      <c r="P1280" s="1"/>
      <c r="Q1280" s="17"/>
    </row>
    <row x14ac:dyDescent="0.25" r="1281" customHeight="1" ht="18.75">
      <c r="A1281" s="1"/>
      <c r="B1281" s="1" t="s">
        <v>38006</v>
      </c>
      <c r="C1281" s="1" t="s">
        <v>7</v>
      </c>
      <c r="D1281" s="1" t="s">
        <v>10</v>
      </c>
      <c r="E1281" s="1" t="s">
        <v>37034</v>
      </c>
      <c r="F1281" s="1" t="s">
        <v>3598</v>
      </c>
      <c r="G1281" s="1" t="s">
        <v>38017</v>
      </c>
      <c r="H1281" s="1" t="s">
        <v>533</v>
      </c>
      <c r="I1281" s="1"/>
      <c r="J1281" s="1"/>
      <c r="K1281" s="1"/>
      <c r="L1281" s="1"/>
      <c r="M1281" s="1"/>
      <c r="N1281" s="1"/>
      <c r="O1281" s="1"/>
      <c r="P1281" s="1"/>
      <c r="Q1281" s="17"/>
    </row>
    <row x14ac:dyDescent="0.25" r="1282" customHeight="1" ht="18.75">
      <c r="A1282" s="1"/>
      <c r="B1282" s="1" t="s">
        <v>38006</v>
      </c>
      <c r="C1282" s="1" t="s">
        <v>7</v>
      </c>
      <c r="D1282" s="1" t="s">
        <v>10</v>
      </c>
      <c r="E1282" s="1" t="s">
        <v>37034</v>
      </c>
      <c r="F1282" s="1" t="s">
        <v>3598</v>
      </c>
      <c r="G1282" s="1" t="s">
        <v>38018</v>
      </c>
      <c r="H1282" s="1" t="s">
        <v>3610</v>
      </c>
      <c r="I1282" s="1"/>
      <c r="J1282" s="1"/>
      <c r="K1282" s="1"/>
      <c r="L1282" s="1"/>
      <c r="M1282" s="1"/>
      <c r="N1282" s="1"/>
      <c r="O1282" s="1"/>
      <c r="P1282" s="1"/>
      <c r="Q1282" s="17"/>
    </row>
    <row x14ac:dyDescent="0.25" r="1283" customHeight="1" ht="18.75">
      <c r="A1283" s="1"/>
      <c r="B1283" s="1" t="s">
        <v>38006</v>
      </c>
      <c r="C1283" s="1" t="s">
        <v>7</v>
      </c>
      <c r="D1283" s="1" t="s">
        <v>10</v>
      </c>
      <c r="E1283" s="1" t="s">
        <v>37034</v>
      </c>
      <c r="F1283" s="1" t="s">
        <v>3598</v>
      </c>
      <c r="G1283" s="1" t="s">
        <v>38019</v>
      </c>
      <c r="H1283" s="1" t="s">
        <v>3610</v>
      </c>
      <c r="I1283" s="1"/>
      <c r="J1283" s="1"/>
      <c r="K1283" s="1"/>
      <c r="L1283" s="1"/>
      <c r="M1283" s="1"/>
      <c r="N1283" s="1"/>
      <c r="O1283" s="1"/>
      <c r="P1283" s="1"/>
      <c r="Q1283" s="17"/>
    </row>
    <row x14ac:dyDescent="0.25" r="1284" customHeight="1" ht="18.75">
      <c r="A1284" s="1"/>
      <c r="B1284" s="1" t="s">
        <v>38006</v>
      </c>
      <c r="C1284" s="1" t="s">
        <v>7</v>
      </c>
      <c r="D1284" s="1" t="s">
        <v>10</v>
      </c>
      <c r="E1284" s="1" t="s">
        <v>37034</v>
      </c>
      <c r="F1284" s="1" t="s">
        <v>3598</v>
      </c>
      <c r="G1284" s="1" t="s">
        <v>38020</v>
      </c>
      <c r="H1284" s="1" t="s">
        <v>3610</v>
      </c>
      <c r="I1284" s="1"/>
      <c r="J1284" s="1"/>
      <c r="K1284" s="1"/>
      <c r="L1284" s="1"/>
      <c r="M1284" s="1"/>
      <c r="N1284" s="1"/>
      <c r="O1284" s="1"/>
      <c r="P1284" s="1"/>
      <c r="Q1284" s="17"/>
    </row>
    <row x14ac:dyDescent="0.25" r="1285" customHeight="1" ht="18.75">
      <c r="A1285" s="1"/>
      <c r="B1285" s="1" t="s">
        <v>38006</v>
      </c>
      <c r="C1285" s="1" t="s">
        <v>7</v>
      </c>
      <c r="D1285" s="1" t="s">
        <v>10</v>
      </c>
      <c r="E1285" s="1" t="s">
        <v>37034</v>
      </c>
      <c r="F1285" s="1" t="s">
        <v>3598</v>
      </c>
      <c r="G1285" s="1" t="s">
        <v>38021</v>
      </c>
      <c r="H1285" s="1" t="s">
        <v>3610</v>
      </c>
      <c r="I1285" s="1"/>
      <c r="J1285" s="1"/>
      <c r="K1285" s="1"/>
      <c r="L1285" s="1"/>
      <c r="M1285" s="1"/>
      <c r="N1285" s="1"/>
      <c r="O1285" s="1"/>
      <c r="P1285" s="1"/>
      <c r="Q1285" s="17"/>
    </row>
    <row x14ac:dyDescent="0.25" r="1286" customHeight="1" ht="18.75">
      <c r="A1286" s="1"/>
      <c r="B1286" s="1" t="s">
        <v>38006</v>
      </c>
      <c r="C1286" s="1" t="s">
        <v>7</v>
      </c>
      <c r="D1286" s="1" t="s">
        <v>10</v>
      </c>
      <c r="E1286" s="1" t="s">
        <v>37034</v>
      </c>
      <c r="F1286" s="1" t="s">
        <v>3598</v>
      </c>
      <c r="G1286" s="1" t="s">
        <v>38022</v>
      </c>
      <c r="H1286" s="1" t="s">
        <v>3610</v>
      </c>
      <c r="I1286" s="1"/>
      <c r="J1286" s="1"/>
      <c r="K1286" s="1"/>
      <c r="L1286" s="1"/>
      <c r="M1286" s="1"/>
      <c r="N1286" s="1"/>
      <c r="O1286" s="1"/>
      <c r="P1286" s="1"/>
      <c r="Q1286" s="17"/>
    </row>
    <row x14ac:dyDescent="0.25" r="1287" customHeight="1" ht="18.75">
      <c r="A1287" s="1"/>
      <c r="B1287" s="1" t="s">
        <v>38023</v>
      </c>
      <c r="C1287" s="1" t="s">
        <v>7</v>
      </c>
      <c r="D1287" s="1" t="s">
        <v>10</v>
      </c>
      <c r="E1287" s="1" t="s">
        <v>36395</v>
      </c>
      <c r="F1287" s="1" t="s">
        <v>3598</v>
      </c>
      <c r="G1287" s="1" t="s">
        <v>38024</v>
      </c>
      <c r="H1287" s="1" t="s">
        <v>37063</v>
      </c>
      <c r="I1287" s="1"/>
      <c r="J1287" s="1"/>
      <c r="K1287" s="1"/>
      <c r="L1287" s="1"/>
      <c r="M1287" s="1"/>
      <c r="N1287" s="1"/>
      <c r="O1287" s="1"/>
      <c r="P1287" s="1"/>
      <c r="Q1287" s="17"/>
    </row>
    <row x14ac:dyDescent="0.25" r="1288" customHeight="1" ht="18.75">
      <c r="A1288" s="1"/>
      <c r="B1288" s="1" t="s">
        <v>38023</v>
      </c>
      <c r="C1288" s="1" t="s">
        <v>7</v>
      </c>
      <c r="D1288" s="1" t="s">
        <v>10</v>
      </c>
      <c r="E1288" s="1" t="s">
        <v>36395</v>
      </c>
      <c r="F1288" s="1" t="s">
        <v>3598</v>
      </c>
      <c r="G1288" s="1" t="s">
        <v>38025</v>
      </c>
      <c r="H1288" s="1" t="s">
        <v>37063</v>
      </c>
      <c r="I1288" s="1"/>
      <c r="J1288" s="1"/>
      <c r="K1288" s="1"/>
      <c r="L1288" s="1"/>
      <c r="M1288" s="1"/>
      <c r="N1288" s="1"/>
      <c r="O1288" s="1"/>
      <c r="P1288" s="1"/>
      <c r="Q1288" s="17"/>
    </row>
    <row x14ac:dyDescent="0.25" r="1289" customHeight="1" ht="18.75">
      <c r="A1289" s="1"/>
      <c r="B1289" s="1" t="s">
        <v>38023</v>
      </c>
      <c r="C1289" s="1" t="s">
        <v>7</v>
      </c>
      <c r="D1289" s="1" t="s">
        <v>10</v>
      </c>
      <c r="E1289" s="1" t="s">
        <v>36395</v>
      </c>
      <c r="F1289" s="1" t="s">
        <v>3598</v>
      </c>
      <c r="G1289" s="1" t="s">
        <v>38026</v>
      </c>
      <c r="H1289" s="1" t="s">
        <v>37063</v>
      </c>
      <c r="I1289" s="1"/>
      <c r="J1289" s="1"/>
      <c r="K1289" s="1"/>
      <c r="L1289" s="1"/>
      <c r="M1289" s="1"/>
      <c r="N1289" s="1"/>
      <c r="O1289" s="1"/>
      <c r="P1289" s="1"/>
      <c r="Q1289" s="17"/>
    </row>
    <row x14ac:dyDescent="0.25" r="1290" customHeight="1" ht="18.75">
      <c r="A1290" s="1"/>
      <c r="B1290" s="1" t="s">
        <v>38023</v>
      </c>
      <c r="C1290" s="1" t="s">
        <v>7</v>
      </c>
      <c r="D1290" s="1" t="s">
        <v>10</v>
      </c>
      <c r="E1290" s="1" t="s">
        <v>37034</v>
      </c>
      <c r="F1290" s="1" t="s">
        <v>3598</v>
      </c>
      <c r="G1290" s="1" t="s">
        <v>38027</v>
      </c>
      <c r="H1290" s="1" t="s">
        <v>37822</v>
      </c>
      <c r="I1290" s="1"/>
      <c r="J1290" s="1"/>
      <c r="K1290" s="1"/>
      <c r="L1290" s="1"/>
      <c r="M1290" s="1"/>
      <c r="N1290" s="1"/>
      <c r="O1290" s="1"/>
      <c r="P1290" s="1"/>
      <c r="Q1290" s="17"/>
    </row>
    <row x14ac:dyDescent="0.25" r="1291" customHeight="1" ht="18.75">
      <c r="A1291" s="1"/>
      <c r="B1291" s="1" t="s">
        <v>38028</v>
      </c>
      <c r="C1291" s="1" t="s">
        <v>7</v>
      </c>
      <c r="D1291" s="1" t="s">
        <v>10</v>
      </c>
      <c r="E1291" s="1" t="s">
        <v>36395</v>
      </c>
      <c r="F1291" s="1" t="s">
        <v>3598</v>
      </c>
      <c r="G1291" s="1" t="s">
        <v>38029</v>
      </c>
      <c r="H1291" s="1" t="s">
        <v>37063</v>
      </c>
      <c r="I1291" s="1"/>
      <c r="J1291" s="1"/>
      <c r="K1291" s="1"/>
      <c r="L1291" s="1"/>
      <c r="M1291" s="1"/>
      <c r="N1291" s="1"/>
      <c r="O1291" s="1"/>
      <c r="P1291" s="1"/>
      <c r="Q1291" s="17"/>
    </row>
    <row x14ac:dyDescent="0.25" r="1292" customHeight="1" ht="18.75">
      <c r="A1292" s="1"/>
      <c r="B1292" s="1" t="s">
        <v>38028</v>
      </c>
      <c r="C1292" s="1" t="s">
        <v>7</v>
      </c>
      <c r="D1292" s="1" t="s">
        <v>10</v>
      </c>
      <c r="E1292" s="1" t="s">
        <v>36395</v>
      </c>
      <c r="F1292" s="1" t="s">
        <v>3598</v>
      </c>
      <c r="G1292" s="1" t="s">
        <v>38030</v>
      </c>
      <c r="H1292" s="1" t="s">
        <v>37063</v>
      </c>
      <c r="I1292" s="1"/>
      <c r="J1292" s="1"/>
      <c r="K1292" s="1"/>
      <c r="L1292" s="1"/>
      <c r="M1292" s="1"/>
      <c r="N1292" s="1"/>
      <c r="O1292" s="1"/>
      <c r="P1292" s="1"/>
      <c r="Q1292" s="17"/>
    </row>
    <row x14ac:dyDescent="0.25" r="1293" customHeight="1" ht="18.75">
      <c r="A1293" s="1"/>
      <c r="B1293" s="1" t="s">
        <v>38028</v>
      </c>
      <c r="C1293" s="1" t="s">
        <v>7</v>
      </c>
      <c r="D1293" s="1" t="s">
        <v>10</v>
      </c>
      <c r="E1293" s="1" t="s">
        <v>36395</v>
      </c>
      <c r="F1293" s="1" t="s">
        <v>3598</v>
      </c>
      <c r="G1293" s="1" t="s">
        <v>38031</v>
      </c>
      <c r="H1293" s="1" t="s">
        <v>37063</v>
      </c>
      <c r="I1293" s="1"/>
      <c r="J1293" s="1"/>
      <c r="K1293" s="1"/>
      <c r="L1293" s="1"/>
      <c r="M1293" s="1"/>
      <c r="N1293" s="1"/>
      <c r="O1293" s="1"/>
      <c r="P1293" s="1"/>
      <c r="Q1293" s="17"/>
    </row>
    <row x14ac:dyDescent="0.25" r="1294" customHeight="1" ht="18.75">
      <c r="A1294" s="1"/>
      <c r="B1294" s="1" t="s">
        <v>38028</v>
      </c>
      <c r="C1294" s="1" t="s">
        <v>7</v>
      </c>
      <c r="D1294" s="1" t="s">
        <v>10</v>
      </c>
      <c r="E1294" s="1" t="s">
        <v>37034</v>
      </c>
      <c r="F1294" s="1" t="s">
        <v>3598</v>
      </c>
      <c r="G1294" s="1" t="s">
        <v>38032</v>
      </c>
      <c r="H1294" s="1" t="s">
        <v>37822</v>
      </c>
      <c r="I1294" s="1"/>
      <c r="J1294" s="1"/>
      <c r="K1294" s="1"/>
      <c r="L1294" s="1"/>
      <c r="M1294" s="1"/>
      <c r="N1294" s="1"/>
      <c r="O1294" s="1"/>
      <c r="P1294" s="1"/>
      <c r="Q1294" s="17"/>
    </row>
    <row x14ac:dyDescent="0.25" r="1295" customHeight="1" ht="18.75">
      <c r="A1295" s="1"/>
      <c r="B1295" s="1" t="s">
        <v>38033</v>
      </c>
      <c r="C1295" s="1" t="s">
        <v>7</v>
      </c>
      <c r="D1295" s="1" t="s">
        <v>10</v>
      </c>
      <c r="E1295" s="1" t="s">
        <v>37034</v>
      </c>
      <c r="F1295" s="1" t="s">
        <v>3598</v>
      </c>
      <c r="G1295" s="1" t="s">
        <v>38034</v>
      </c>
      <c r="H1295" s="1" t="s">
        <v>37822</v>
      </c>
      <c r="I1295" s="1"/>
      <c r="J1295" s="1"/>
      <c r="K1295" s="1"/>
      <c r="L1295" s="1"/>
      <c r="M1295" s="1"/>
      <c r="N1295" s="1"/>
      <c r="O1295" s="1"/>
      <c r="P1295" s="1"/>
      <c r="Q1295" s="17"/>
    </row>
    <row x14ac:dyDescent="0.25" r="1296" customHeight="1" ht="18.75">
      <c r="A1296" s="1"/>
      <c r="B1296" s="1" t="s">
        <v>38033</v>
      </c>
      <c r="C1296" s="1" t="s">
        <v>7</v>
      </c>
      <c r="D1296" s="1" t="s">
        <v>10</v>
      </c>
      <c r="E1296" s="1" t="s">
        <v>37034</v>
      </c>
      <c r="F1296" s="1" t="s">
        <v>3598</v>
      </c>
      <c r="G1296" s="1" t="s">
        <v>38035</v>
      </c>
      <c r="H1296" s="1" t="s">
        <v>37057</v>
      </c>
      <c r="I1296" s="1"/>
      <c r="J1296" s="1"/>
      <c r="K1296" s="1"/>
      <c r="L1296" s="1"/>
      <c r="M1296" s="1"/>
      <c r="N1296" s="1"/>
      <c r="O1296" s="1"/>
      <c r="P1296" s="1"/>
      <c r="Q1296" s="17"/>
    </row>
    <row x14ac:dyDescent="0.25" r="1297" customHeight="1" ht="18.75">
      <c r="A1297" s="1"/>
      <c r="B1297" s="1" t="s">
        <v>38028</v>
      </c>
      <c r="C1297" s="1" t="s">
        <v>7</v>
      </c>
      <c r="D1297" s="1" t="s">
        <v>10</v>
      </c>
      <c r="E1297" s="1" t="s">
        <v>37034</v>
      </c>
      <c r="F1297" s="1" t="s">
        <v>3598</v>
      </c>
      <c r="G1297" s="1" t="s">
        <v>38036</v>
      </c>
      <c r="H1297" s="1" t="s">
        <v>37057</v>
      </c>
      <c r="I1297" s="1"/>
      <c r="J1297" s="1"/>
      <c r="K1297" s="1"/>
      <c r="L1297" s="1"/>
      <c r="M1297" s="1"/>
      <c r="N1297" s="1"/>
      <c r="O1297" s="1"/>
      <c r="P1297" s="1"/>
      <c r="Q1297" s="17"/>
    </row>
    <row x14ac:dyDescent="0.25" r="1298" customHeight="1" ht="18.75">
      <c r="A1298" s="1"/>
      <c r="B1298" s="1" t="s">
        <v>38023</v>
      </c>
      <c r="C1298" s="1" t="s">
        <v>7</v>
      </c>
      <c r="D1298" s="1" t="s">
        <v>10</v>
      </c>
      <c r="E1298" s="1" t="s">
        <v>37034</v>
      </c>
      <c r="F1298" s="1" t="s">
        <v>3598</v>
      </c>
      <c r="G1298" s="1" t="s">
        <v>38037</v>
      </c>
      <c r="H1298" s="1" t="s">
        <v>37057</v>
      </c>
      <c r="I1298" s="1"/>
      <c r="J1298" s="1"/>
      <c r="K1298" s="1"/>
      <c r="L1298" s="1"/>
      <c r="M1298" s="1"/>
      <c r="N1298" s="1"/>
      <c r="O1298" s="1"/>
      <c r="P1298" s="1"/>
      <c r="Q1298" s="17"/>
    </row>
    <row x14ac:dyDescent="0.25" r="1299" customHeight="1" ht="18.75">
      <c r="A1299" s="1"/>
      <c r="B1299" s="1" t="s">
        <v>38006</v>
      </c>
      <c r="C1299" s="1" t="s">
        <v>7</v>
      </c>
      <c r="D1299" s="1" t="s">
        <v>10</v>
      </c>
      <c r="E1299" s="1" t="s">
        <v>37034</v>
      </c>
      <c r="F1299" s="1" t="s">
        <v>3598</v>
      </c>
      <c r="G1299" s="1" t="s">
        <v>38038</v>
      </c>
      <c r="H1299" s="1" t="s">
        <v>37057</v>
      </c>
      <c r="I1299" s="1"/>
      <c r="J1299" s="1"/>
      <c r="K1299" s="1"/>
      <c r="L1299" s="1"/>
      <c r="M1299" s="1"/>
      <c r="N1299" s="1"/>
      <c r="O1299" s="1"/>
      <c r="P1299" s="1"/>
      <c r="Q1299" s="17"/>
    </row>
    <row x14ac:dyDescent="0.25" r="1300" customHeight="1" ht="18.75">
      <c r="A1300" s="1"/>
      <c r="B1300" s="1" t="s">
        <v>38006</v>
      </c>
      <c r="C1300" s="1" t="s">
        <v>7</v>
      </c>
      <c r="D1300" s="1" t="s">
        <v>10</v>
      </c>
      <c r="E1300" s="1" t="s">
        <v>37034</v>
      </c>
      <c r="F1300" s="1" t="s">
        <v>3598</v>
      </c>
      <c r="G1300" s="1" t="s">
        <v>38039</v>
      </c>
      <c r="H1300" s="1" t="s">
        <v>37057</v>
      </c>
      <c r="I1300" s="1"/>
      <c r="J1300" s="1"/>
      <c r="K1300" s="1"/>
      <c r="L1300" s="1"/>
      <c r="M1300" s="1"/>
      <c r="N1300" s="1"/>
      <c r="O1300" s="1"/>
      <c r="P1300" s="1"/>
      <c r="Q1300" s="17"/>
    </row>
    <row x14ac:dyDescent="0.25" r="1301" customHeight="1" ht="18.75">
      <c r="A1301" s="1"/>
      <c r="B1301" s="1" t="s">
        <v>38033</v>
      </c>
      <c r="C1301" s="1" t="s">
        <v>7</v>
      </c>
      <c r="D1301" s="1" t="s">
        <v>10</v>
      </c>
      <c r="E1301" s="1" t="s">
        <v>36395</v>
      </c>
      <c r="F1301" s="1" t="s">
        <v>3598</v>
      </c>
      <c r="G1301" s="1" t="s">
        <v>38040</v>
      </c>
      <c r="H1301" s="1" t="s">
        <v>37063</v>
      </c>
      <c r="I1301" s="1"/>
      <c r="J1301" s="1"/>
      <c r="K1301" s="1"/>
      <c r="L1301" s="1"/>
      <c r="M1301" s="1"/>
      <c r="N1301" s="1"/>
      <c r="O1301" s="1"/>
      <c r="P1301" s="1"/>
      <c r="Q1301" s="17"/>
    </row>
    <row x14ac:dyDescent="0.25" r="1302" customHeight="1" ht="18.75">
      <c r="A1302" s="1"/>
      <c r="B1302" s="1" t="s">
        <v>38033</v>
      </c>
      <c r="C1302" s="1" t="s">
        <v>7</v>
      </c>
      <c r="D1302" s="1" t="s">
        <v>10</v>
      </c>
      <c r="E1302" s="1" t="s">
        <v>36395</v>
      </c>
      <c r="F1302" s="1" t="s">
        <v>3598</v>
      </c>
      <c r="G1302" s="1" t="s">
        <v>38041</v>
      </c>
      <c r="H1302" s="1" t="s">
        <v>37063</v>
      </c>
      <c r="I1302" s="1"/>
      <c r="J1302" s="1"/>
      <c r="K1302" s="1"/>
      <c r="L1302" s="1"/>
      <c r="M1302" s="1"/>
      <c r="N1302" s="1"/>
      <c r="O1302" s="1"/>
      <c r="P1302" s="1"/>
      <c r="Q1302" s="17"/>
    </row>
    <row x14ac:dyDescent="0.25" r="1303" customHeight="1" ht="18.75">
      <c r="A1303" s="1"/>
      <c r="B1303" s="1" t="s">
        <v>38033</v>
      </c>
      <c r="C1303" s="1" t="s">
        <v>7</v>
      </c>
      <c r="D1303" s="1" t="s">
        <v>10</v>
      </c>
      <c r="E1303" s="1" t="s">
        <v>36395</v>
      </c>
      <c r="F1303" s="1" t="s">
        <v>3598</v>
      </c>
      <c r="G1303" s="1" t="s">
        <v>38042</v>
      </c>
      <c r="H1303" s="1" t="s">
        <v>37063</v>
      </c>
      <c r="I1303" s="1"/>
      <c r="J1303" s="1"/>
      <c r="K1303" s="1"/>
      <c r="L1303" s="1"/>
      <c r="M1303" s="1"/>
      <c r="N1303" s="1"/>
      <c r="O1303" s="1"/>
      <c r="P1303" s="1"/>
      <c r="Q1303" s="17"/>
    </row>
    <row x14ac:dyDescent="0.25" r="1304" customHeight="1" ht="18.75">
      <c r="A1304" s="1"/>
      <c r="B1304" s="1" t="s">
        <v>38043</v>
      </c>
      <c r="C1304" s="1" t="s">
        <v>7</v>
      </c>
      <c r="D1304" s="1" t="s">
        <v>10</v>
      </c>
      <c r="E1304" s="1" t="s">
        <v>36395</v>
      </c>
      <c r="F1304" s="1" t="s">
        <v>3598</v>
      </c>
      <c r="G1304" s="1" t="s">
        <v>38044</v>
      </c>
      <c r="H1304" s="1" t="s">
        <v>7847</v>
      </c>
      <c r="I1304" s="1"/>
      <c r="J1304" s="1"/>
      <c r="K1304" s="1"/>
      <c r="L1304" s="1"/>
      <c r="M1304" s="1"/>
      <c r="N1304" s="1"/>
      <c r="O1304" s="1"/>
      <c r="P1304" s="1"/>
      <c r="Q1304" s="17"/>
    </row>
    <row x14ac:dyDescent="0.25" r="1305" customHeight="1" ht="18.75">
      <c r="A1305" s="1"/>
      <c r="B1305" s="1" t="s">
        <v>38045</v>
      </c>
      <c r="C1305" s="1" t="s">
        <v>7</v>
      </c>
      <c r="D1305" s="1" t="s">
        <v>10</v>
      </c>
      <c r="E1305" s="1" t="s">
        <v>36395</v>
      </c>
      <c r="F1305" s="1" t="s">
        <v>3598</v>
      </c>
      <c r="G1305" s="1" t="s">
        <v>38046</v>
      </c>
      <c r="H1305" s="1" t="s">
        <v>7847</v>
      </c>
      <c r="I1305" s="1"/>
      <c r="J1305" s="1"/>
      <c r="K1305" s="1"/>
      <c r="L1305" s="1"/>
      <c r="M1305" s="1"/>
      <c r="N1305" s="1"/>
      <c r="O1305" s="1"/>
      <c r="P1305" s="1"/>
      <c r="Q1305" s="17"/>
    </row>
    <row x14ac:dyDescent="0.25" r="1306" customHeight="1" ht="18.75">
      <c r="A1306" s="1"/>
      <c r="B1306" s="1" t="s">
        <v>38045</v>
      </c>
      <c r="C1306" s="1" t="s">
        <v>7</v>
      </c>
      <c r="D1306" s="1" t="s">
        <v>10</v>
      </c>
      <c r="E1306" s="1" t="s">
        <v>37034</v>
      </c>
      <c r="F1306" s="1" t="s">
        <v>3598</v>
      </c>
      <c r="G1306" s="1" t="s">
        <v>38047</v>
      </c>
      <c r="H1306" s="1" t="s">
        <v>37037</v>
      </c>
      <c r="I1306" s="1"/>
      <c r="J1306" s="1"/>
      <c r="K1306" s="1"/>
      <c r="L1306" s="1"/>
      <c r="M1306" s="1"/>
      <c r="N1306" s="1"/>
      <c r="O1306" s="1"/>
      <c r="P1306" s="1"/>
      <c r="Q1306" s="17"/>
    </row>
    <row x14ac:dyDescent="0.25" r="1307" customHeight="1" ht="18.75">
      <c r="A1307" s="1"/>
      <c r="B1307" s="1" t="s">
        <v>38045</v>
      </c>
      <c r="C1307" s="1" t="s">
        <v>7</v>
      </c>
      <c r="D1307" s="1" t="s">
        <v>10</v>
      </c>
      <c r="E1307" s="1" t="s">
        <v>37034</v>
      </c>
      <c r="F1307" s="1" t="s">
        <v>3598</v>
      </c>
      <c r="G1307" s="1" t="s">
        <v>38048</v>
      </c>
      <c r="H1307" s="1" t="s">
        <v>37037</v>
      </c>
      <c r="I1307" s="1"/>
      <c r="J1307" s="1"/>
      <c r="K1307" s="1"/>
      <c r="L1307" s="1"/>
      <c r="M1307" s="1"/>
      <c r="N1307" s="1"/>
      <c r="O1307" s="1"/>
      <c r="P1307" s="1"/>
      <c r="Q1307" s="17"/>
    </row>
    <row x14ac:dyDescent="0.25" r="1308" customHeight="1" ht="18.75">
      <c r="A1308" s="1"/>
      <c r="B1308" s="1" t="s">
        <v>38045</v>
      </c>
      <c r="C1308" s="1" t="s">
        <v>7</v>
      </c>
      <c r="D1308" s="1" t="s">
        <v>10</v>
      </c>
      <c r="E1308" s="1" t="s">
        <v>37034</v>
      </c>
      <c r="F1308" s="1" t="s">
        <v>3598</v>
      </c>
      <c r="G1308" s="1" t="s">
        <v>38049</v>
      </c>
      <c r="H1308" s="1" t="s">
        <v>37037</v>
      </c>
      <c r="I1308" s="1"/>
      <c r="J1308" s="1"/>
      <c r="K1308" s="1"/>
      <c r="L1308" s="1"/>
      <c r="M1308" s="1"/>
      <c r="N1308" s="1"/>
      <c r="O1308" s="1"/>
      <c r="P1308" s="1"/>
      <c r="Q1308" s="17"/>
    </row>
    <row x14ac:dyDescent="0.25" r="1309" customHeight="1" ht="18.75">
      <c r="A1309" s="1"/>
      <c r="B1309" s="1" t="s">
        <v>38045</v>
      </c>
      <c r="C1309" s="1" t="s">
        <v>7</v>
      </c>
      <c r="D1309" s="1" t="s">
        <v>10</v>
      </c>
      <c r="E1309" s="1" t="s">
        <v>37034</v>
      </c>
      <c r="F1309" s="1" t="s">
        <v>3598</v>
      </c>
      <c r="G1309" s="1" t="s">
        <v>38050</v>
      </c>
      <c r="H1309" s="1" t="s">
        <v>37037</v>
      </c>
      <c r="I1309" s="1"/>
      <c r="J1309" s="1"/>
      <c r="K1309" s="1"/>
      <c r="L1309" s="1"/>
      <c r="M1309" s="1"/>
      <c r="N1309" s="1"/>
      <c r="O1309" s="1"/>
      <c r="P1309" s="1"/>
      <c r="Q1309" s="17"/>
    </row>
    <row x14ac:dyDescent="0.25" r="1310" customHeight="1" ht="18.75">
      <c r="A1310" s="1"/>
      <c r="B1310" s="1" t="s">
        <v>38051</v>
      </c>
      <c r="C1310" s="1" t="s">
        <v>7</v>
      </c>
      <c r="D1310" s="1" t="s">
        <v>10</v>
      </c>
      <c r="E1310" s="1" t="s">
        <v>37034</v>
      </c>
      <c r="F1310" s="1" t="s">
        <v>3693</v>
      </c>
      <c r="G1310" s="1" t="s">
        <v>38052</v>
      </c>
      <c r="H1310" s="1" t="s">
        <v>7847</v>
      </c>
      <c r="I1310" s="1"/>
      <c r="J1310" s="1"/>
      <c r="K1310" s="1"/>
      <c r="L1310" s="1"/>
      <c r="M1310" s="1"/>
      <c r="N1310" s="1"/>
      <c r="O1310" s="1"/>
      <c r="P1310" s="1"/>
      <c r="Q1310" s="17"/>
    </row>
    <row x14ac:dyDescent="0.25" r="1311" customHeight="1" ht="18.75">
      <c r="A1311" s="1"/>
      <c r="B1311" s="1" t="s">
        <v>38051</v>
      </c>
      <c r="C1311" s="1" t="s">
        <v>7</v>
      </c>
      <c r="D1311" s="1" t="s">
        <v>10</v>
      </c>
      <c r="E1311" s="1" t="s">
        <v>37034</v>
      </c>
      <c r="F1311" s="1" t="s">
        <v>3693</v>
      </c>
      <c r="G1311" s="1" t="s">
        <v>38053</v>
      </c>
      <c r="H1311" s="1" t="s">
        <v>533</v>
      </c>
      <c r="I1311" s="1"/>
      <c r="J1311" s="1"/>
      <c r="K1311" s="1"/>
      <c r="L1311" s="1"/>
      <c r="M1311" s="1"/>
      <c r="N1311" s="1"/>
      <c r="O1311" s="1"/>
      <c r="P1311" s="1"/>
      <c r="Q1311" s="17"/>
    </row>
    <row x14ac:dyDescent="0.25" r="1312" customHeight="1" ht="18.75">
      <c r="A1312" s="1"/>
      <c r="B1312" s="1" t="s">
        <v>38051</v>
      </c>
      <c r="C1312" s="1" t="s">
        <v>7</v>
      </c>
      <c r="D1312" s="1" t="s">
        <v>10</v>
      </c>
      <c r="E1312" s="1" t="s">
        <v>37034</v>
      </c>
      <c r="F1312" s="1" t="s">
        <v>3693</v>
      </c>
      <c r="G1312" s="1" t="s">
        <v>38054</v>
      </c>
      <c r="H1312" s="1" t="s">
        <v>533</v>
      </c>
      <c r="I1312" s="1"/>
      <c r="J1312" s="1"/>
      <c r="K1312" s="1"/>
      <c r="L1312" s="1"/>
      <c r="M1312" s="1"/>
      <c r="N1312" s="1"/>
      <c r="O1312" s="1"/>
      <c r="P1312" s="1"/>
      <c r="Q1312" s="17"/>
    </row>
    <row x14ac:dyDescent="0.25" r="1313" customHeight="1" ht="18.75">
      <c r="A1313" s="1"/>
      <c r="B1313" s="1" t="s">
        <v>38051</v>
      </c>
      <c r="C1313" s="1" t="s">
        <v>7</v>
      </c>
      <c r="D1313" s="1" t="s">
        <v>10</v>
      </c>
      <c r="E1313" s="1" t="s">
        <v>37034</v>
      </c>
      <c r="F1313" s="1" t="s">
        <v>3693</v>
      </c>
      <c r="G1313" s="1" t="s">
        <v>38055</v>
      </c>
      <c r="H1313" s="1" t="s">
        <v>3695</v>
      </c>
      <c r="I1313" s="1"/>
      <c r="J1313" s="1"/>
      <c r="K1313" s="1"/>
      <c r="L1313" s="1"/>
      <c r="M1313" s="1"/>
      <c r="N1313" s="1"/>
      <c r="O1313" s="1"/>
      <c r="P1313" s="1"/>
      <c r="Q1313" s="17"/>
    </row>
    <row x14ac:dyDescent="0.25" r="1314" customHeight="1" ht="18.75">
      <c r="A1314" s="1"/>
      <c r="B1314" s="1" t="s">
        <v>38051</v>
      </c>
      <c r="C1314" s="1" t="s">
        <v>7</v>
      </c>
      <c r="D1314" s="1" t="s">
        <v>10</v>
      </c>
      <c r="E1314" s="1" t="s">
        <v>37034</v>
      </c>
      <c r="F1314" s="1" t="s">
        <v>3693</v>
      </c>
      <c r="G1314" s="1" t="s">
        <v>38056</v>
      </c>
      <c r="H1314" s="1" t="s">
        <v>3695</v>
      </c>
      <c r="I1314" s="1"/>
      <c r="J1314" s="1"/>
      <c r="K1314" s="1"/>
      <c r="L1314" s="1"/>
      <c r="M1314" s="1"/>
      <c r="N1314" s="1"/>
      <c r="O1314" s="1"/>
      <c r="P1314" s="1"/>
      <c r="Q1314" s="17"/>
    </row>
    <row x14ac:dyDescent="0.25" r="1315" customHeight="1" ht="18.75">
      <c r="A1315" s="1"/>
      <c r="B1315" s="1" t="s">
        <v>38051</v>
      </c>
      <c r="C1315" s="1" t="s">
        <v>7</v>
      </c>
      <c r="D1315" s="1" t="s">
        <v>10</v>
      </c>
      <c r="E1315" s="1" t="s">
        <v>37034</v>
      </c>
      <c r="F1315" s="1" t="s">
        <v>3693</v>
      </c>
      <c r="G1315" s="1" t="s">
        <v>38057</v>
      </c>
      <c r="H1315" s="1" t="s">
        <v>3695</v>
      </c>
      <c r="I1315" s="1"/>
      <c r="J1315" s="1"/>
      <c r="K1315" s="1"/>
      <c r="L1315" s="1"/>
      <c r="M1315" s="1"/>
      <c r="N1315" s="1"/>
      <c r="O1315" s="1"/>
      <c r="P1315" s="1"/>
      <c r="Q1315" s="17"/>
    </row>
    <row x14ac:dyDescent="0.25" r="1316" customHeight="1" ht="18.75">
      <c r="A1316" s="1"/>
      <c r="B1316" s="1" t="s">
        <v>38051</v>
      </c>
      <c r="C1316" s="1" t="s">
        <v>7</v>
      </c>
      <c r="D1316" s="1" t="s">
        <v>10</v>
      </c>
      <c r="E1316" s="1" t="s">
        <v>37034</v>
      </c>
      <c r="F1316" s="1" t="s">
        <v>3693</v>
      </c>
      <c r="G1316" s="1" t="s">
        <v>38058</v>
      </c>
      <c r="H1316" s="1" t="s">
        <v>3695</v>
      </c>
      <c r="I1316" s="1"/>
      <c r="J1316" s="1"/>
      <c r="K1316" s="1"/>
      <c r="L1316" s="1"/>
      <c r="M1316" s="1"/>
      <c r="N1316" s="1"/>
      <c r="O1316" s="1"/>
      <c r="P1316" s="1"/>
      <c r="Q1316" s="17"/>
    </row>
    <row x14ac:dyDescent="0.25" r="1317" customHeight="1" ht="18.75">
      <c r="A1317" s="1"/>
      <c r="B1317" s="1" t="s">
        <v>38051</v>
      </c>
      <c r="C1317" s="1" t="s">
        <v>7</v>
      </c>
      <c r="D1317" s="1" t="s">
        <v>10</v>
      </c>
      <c r="E1317" s="1" t="s">
        <v>37034</v>
      </c>
      <c r="F1317" s="1" t="s">
        <v>3693</v>
      </c>
      <c r="G1317" s="1" t="s">
        <v>38059</v>
      </c>
      <c r="H1317" s="1" t="s">
        <v>3695</v>
      </c>
      <c r="I1317" s="1"/>
      <c r="J1317" s="1"/>
      <c r="K1317" s="1"/>
      <c r="L1317" s="1"/>
      <c r="M1317" s="1"/>
      <c r="N1317" s="1"/>
      <c r="O1317" s="1"/>
      <c r="P1317" s="1"/>
      <c r="Q1317" s="17"/>
    </row>
    <row x14ac:dyDescent="0.25" r="1318" customHeight="1" ht="18.75">
      <c r="A1318" s="1"/>
      <c r="B1318" s="1" t="s">
        <v>38051</v>
      </c>
      <c r="C1318" s="1" t="s">
        <v>7</v>
      </c>
      <c r="D1318" s="1" t="s">
        <v>10</v>
      </c>
      <c r="E1318" s="1" t="s">
        <v>37034</v>
      </c>
      <c r="F1318" s="1" t="s">
        <v>3693</v>
      </c>
      <c r="G1318" s="1" t="s">
        <v>38060</v>
      </c>
      <c r="H1318" s="1" t="s">
        <v>3695</v>
      </c>
      <c r="I1318" s="1"/>
      <c r="J1318" s="1"/>
      <c r="K1318" s="1"/>
      <c r="L1318" s="1"/>
      <c r="M1318" s="1"/>
      <c r="N1318" s="1"/>
      <c r="O1318" s="1"/>
      <c r="P1318" s="1"/>
      <c r="Q1318" s="17"/>
    </row>
    <row x14ac:dyDescent="0.25" r="1319" customHeight="1" ht="18.75">
      <c r="A1319" s="1"/>
      <c r="B1319" s="1" t="s">
        <v>38051</v>
      </c>
      <c r="C1319" s="1" t="s">
        <v>7</v>
      </c>
      <c r="D1319" s="1" t="s">
        <v>10</v>
      </c>
      <c r="E1319" s="1" t="s">
        <v>37034</v>
      </c>
      <c r="F1319" s="1" t="s">
        <v>3693</v>
      </c>
      <c r="G1319" s="1" t="s">
        <v>38061</v>
      </c>
      <c r="H1319" s="1" t="s">
        <v>3695</v>
      </c>
      <c r="I1319" s="1"/>
      <c r="J1319" s="1"/>
      <c r="K1319" s="1"/>
      <c r="L1319" s="1"/>
      <c r="M1319" s="1"/>
      <c r="N1319" s="1"/>
      <c r="O1319" s="1"/>
      <c r="P1319" s="1"/>
      <c r="Q1319" s="17"/>
    </row>
    <row x14ac:dyDescent="0.25" r="1320" customHeight="1" ht="18.75">
      <c r="A1320" s="1"/>
      <c r="B1320" s="1" t="s">
        <v>38051</v>
      </c>
      <c r="C1320" s="1" t="s">
        <v>7</v>
      </c>
      <c r="D1320" s="1" t="s">
        <v>10</v>
      </c>
      <c r="E1320" s="1" t="s">
        <v>37034</v>
      </c>
      <c r="F1320" s="1" t="s">
        <v>3693</v>
      </c>
      <c r="G1320" s="1" t="s">
        <v>38062</v>
      </c>
      <c r="H1320" s="1" t="s">
        <v>3695</v>
      </c>
      <c r="I1320" s="1"/>
      <c r="J1320" s="1"/>
      <c r="K1320" s="1"/>
      <c r="L1320" s="1"/>
      <c r="M1320" s="1"/>
      <c r="N1320" s="1"/>
      <c r="O1320" s="1"/>
      <c r="P1320" s="1"/>
      <c r="Q1320" s="17"/>
    </row>
    <row x14ac:dyDescent="0.25" r="1321" customHeight="1" ht="18.75">
      <c r="A1321" s="1"/>
      <c r="B1321" s="1" t="s">
        <v>38051</v>
      </c>
      <c r="C1321" s="1" t="s">
        <v>7</v>
      </c>
      <c r="D1321" s="1" t="s">
        <v>10</v>
      </c>
      <c r="E1321" s="1" t="s">
        <v>37034</v>
      </c>
      <c r="F1321" s="1" t="s">
        <v>3693</v>
      </c>
      <c r="G1321" s="1" t="s">
        <v>38063</v>
      </c>
      <c r="H1321" s="1" t="s">
        <v>3695</v>
      </c>
      <c r="I1321" s="1"/>
      <c r="J1321" s="1"/>
      <c r="K1321" s="1"/>
      <c r="L1321" s="1"/>
      <c r="M1321" s="1"/>
      <c r="N1321" s="1"/>
      <c r="O1321" s="1"/>
      <c r="P1321" s="1"/>
      <c r="Q1321" s="17"/>
    </row>
    <row x14ac:dyDescent="0.25" r="1322" customHeight="1" ht="18.75">
      <c r="A1322" s="1"/>
      <c r="B1322" s="1" t="s">
        <v>38064</v>
      </c>
      <c r="C1322" s="1" t="s">
        <v>7</v>
      </c>
      <c r="D1322" s="1" t="s">
        <v>10</v>
      </c>
      <c r="E1322" s="1" t="s">
        <v>37034</v>
      </c>
      <c r="F1322" s="1" t="s">
        <v>3693</v>
      </c>
      <c r="G1322" s="1" t="s">
        <v>38065</v>
      </c>
      <c r="H1322" s="1" t="s">
        <v>37057</v>
      </c>
      <c r="I1322" s="1"/>
      <c r="J1322" s="1"/>
      <c r="K1322" s="1"/>
      <c r="L1322" s="1"/>
      <c r="M1322" s="1"/>
      <c r="N1322" s="1"/>
      <c r="O1322" s="1"/>
      <c r="P1322" s="1"/>
      <c r="Q1322" s="17"/>
    </row>
    <row x14ac:dyDescent="0.25" r="1323" customHeight="1" ht="18.75">
      <c r="A1323" s="1"/>
      <c r="B1323" s="1" t="s">
        <v>38064</v>
      </c>
      <c r="C1323" s="1" t="s">
        <v>7</v>
      </c>
      <c r="D1323" s="1" t="s">
        <v>10</v>
      </c>
      <c r="E1323" s="1" t="s">
        <v>37034</v>
      </c>
      <c r="F1323" s="1" t="s">
        <v>3693</v>
      </c>
      <c r="G1323" s="1" t="s">
        <v>38066</v>
      </c>
      <c r="H1323" s="1" t="s">
        <v>3610</v>
      </c>
      <c r="I1323" s="1"/>
      <c r="J1323" s="1"/>
      <c r="K1323" s="1"/>
      <c r="L1323" s="1"/>
      <c r="M1323" s="1"/>
      <c r="N1323" s="1"/>
      <c r="O1323" s="1"/>
      <c r="P1323" s="1"/>
      <c r="Q1323" s="17"/>
    </row>
    <row x14ac:dyDescent="0.25" r="1324" customHeight="1" ht="18.75">
      <c r="A1324" s="1"/>
      <c r="B1324" s="1" t="s">
        <v>38064</v>
      </c>
      <c r="C1324" s="1" t="s">
        <v>7</v>
      </c>
      <c r="D1324" s="1" t="s">
        <v>10</v>
      </c>
      <c r="E1324" s="1" t="s">
        <v>37034</v>
      </c>
      <c r="F1324" s="1" t="s">
        <v>3693</v>
      </c>
      <c r="G1324" s="1" t="s">
        <v>38067</v>
      </c>
      <c r="H1324" s="1" t="s">
        <v>3610</v>
      </c>
      <c r="I1324" s="1"/>
      <c r="J1324" s="1"/>
      <c r="K1324" s="1"/>
      <c r="L1324" s="1"/>
      <c r="M1324" s="1"/>
      <c r="N1324" s="1"/>
      <c r="O1324" s="1"/>
      <c r="P1324" s="1"/>
      <c r="Q1324" s="17"/>
    </row>
    <row x14ac:dyDescent="0.25" r="1325" customHeight="1" ht="18.75">
      <c r="A1325" s="1"/>
      <c r="B1325" s="1" t="s">
        <v>38064</v>
      </c>
      <c r="C1325" s="1" t="s">
        <v>7</v>
      </c>
      <c r="D1325" s="1" t="s">
        <v>10</v>
      </c>
      <c r="E1325" s="1" t="s">
        <v>37034</v>
      </c>
      <c r="F1325" s="1" t="s">
        <v>3693</v>
      </c>
      <c r="G1325" s="1" t="s">
        <v>38068</v>
      </c>
      <c r="H1325" s="1" t="s">
        <v>533</v>
      </c>
      <c r="I1325" s="1"/>
      <c r="J1325" s="1"/>
      <c r="K1325" s="1"/>
      <c r="L1325" s="1"/>
      <c r="M1325" s="1"/>
      <c r="N1325" s="1"/>
      <c r="O1325" s="1"/>
      <c r="P1325" s="1"/>
      <c r="Q1325" s="17"/>
    </row>
    <row x14ac:dyDescent="0.25" r="1326" customHeight="1" ht="18.75">
      <c r="A1326" s="1"/>
      <c r="B1326" s="1" t="s">
        <v>38064</v>
      </c>
      <c r="C1326" s="1" t="s">
        <v>7</v>
      </c>
      <c r="D1326" s="1" t="s">
        <v>10</v>
      </c>
      <c r="E1326" s="1" t="s">
        <v>37034</v>
      </c>
      <c r="F1326" s="1" t="s">
        <v>3693</v>
      </c>
      <c r="G1326" s="1" t="s">
        <v>38069</v>
      </c>
      <c r="H1326" s="1" t="s">
        <v>3610</v>
      </c>
      <c r="I1326" s="1"/>
      <c r="J1326" s="1"/>
      <c r="K1326" s="1"/>
      <c r="L1326" s="1"/>
      <c r="M1326" s="1"/>
      <c r="N1326" s="1"/>
      <c r="O1326" s="1"/>
      <c r="P1326" s="1"/>
      <c r="Q1326" s="17"/>
    </row>
    <row x14ac:dyDescent="0.25" r="1327" customHeight="1" ht="18.75">
      <c r="A1327" s="1"/>
      <c r="B1327" s="1" t="s">
        <v>38064</v>
      </c>
      <c r="C1327" s="1" t="s">
        <v>7</v>
      </c>
      <c r="D1327" s="1" t="s">
        <v>10</v>
      </c>
      <c r="E1327" s="1" t="s">
        <v>37034</v>
      </c>
      <c r="F1327" s="1" t="s">
        <v>3693</v>
      </c>
      <c r="G1327" s="1" t="s">
        <v>38070</v>
      </c>
      <c r="H1327" s="1" t="s">
        <v>3610</v>
      </c>
      <c r="I1327" s="1"/>
      <c r="J1327" s="1"/>
      <c r="K1327" s="1"/>
      <c r="L1327" s="1"/>
      <c r="M1327" s="1"/>
      <c r="N1327" s="1"/>
      <c r="O1327" s="1"/>
      <c r="P1327" s="1"/>
      <c r="Q1327" s="17"/>
    </row>
    <row x14ac:dyDescent="0.25" r="1328" customHeight="1" ht="18.75">
      <c r="A1328" s="1"/>
      <c r="B1328" s="1" t="s">
        <v>38064</v>
      </c>
      <c r="C1328" s="1" t="s">
        <v>7</v>
      </c>
      <c r="D1328" s="1" t="s">
        <v>10</v>
      </c>
      <c r="E1328" s="1" t="s">
        <v>37034</v>
      </c>
      <c r="F1328" s="1" t="s">
        <v>3693</v>
      </c>
      <c r="G1328" s="1" t="s">
        <v>38071</v>
      </c>
      <c r="H1328" s="1" t="s">
        <v>3695</v>
      </c>
      <c r="I1328" s="1"/>
      <c r="J1328" s="1"/>
      <c r="K1328" s="1"/>
      <c r="L1328" s="1"/>
      <c r="M1328" s="1"/>
      <c r="N1328" s="1"/>
      <c r="O1328" s="1"/>
      <c r="P1328" s="1"/>
      <c r="Q1328" s="17"/>
    </row>
    <row x14ac:dyDescent="0.25" r="1329" customHeight="1" ht="18.75">
      <c r="A1329" s="1"/>
      <c r="B1329" s="1" t="s">
        <v>38064</v>
      </c>
      <c r="C1329" s="1" t="s">
        <v>7</v>
      </c>
      <c r="D1329" s="1" t="s">
        <v>10</v>
      </c>
      <c r="E1329" s="1" t="s">
        <v>37034</v>
      </c>
      <c r="F1329" s="1" t="s">
        <v>3693</v>
      </c>
      <c r="G1329" s="1" t="s">
        <v>38072</v>
      </c>
      <c r="H1329" s="1" t="s">
        <v>3695</v>
      </c>
      <c r="I1329" s="1"/>
      <c r="J1329" s="1"/>
      <c r="K1329" s="1"/>
      <c r="L1329" s="1"/>
      <c r="M1329" s="1"/>
      <c r="N1329" s="1"/>
      <c r="O1329" s="1"/>
      <c r="P1329" s="1"/>
      <c r="Q1329" s="17"/>
    </row>
    <row x14ac:dyDescent="0.25" r="1330" customHeight="1" ht="18.75">
      <c r="A1330" s="1"/>
      <c r="B1330" s="1" t="s">
        <v>38064</v>
      </c>
      <c r="C1330" s="1" t="s">
        <v>7</v>
      </c>
      <c r="D1330" s="1" t="s">
        <v>10</v>
      </c>
      <c r="E1330" s="1" t="s">
        <v>37034</v>
      </c>
      <c r="F1330" s="1" t="s">
        <v>3693</v>
      </c>
      <c r="G1330" s="1" t="s">
        <v>38073</v>
      </c>
      <c r="H1330" s="1" t="s">
        <v>3695</v>
      </c>
      <c r="I1330" s="1"/>
      <c r="J1330" s="1"/>
      <c r="K1330" s="1"/>
      <c r="L1330" s="1"/>
      <c r="M1330" s="1"/>
      <c r="N1330" s="1"/>
      <c r="O1330" s="1"/>
      <c r="P1330" s="1"/>
      <c r="Q1330" s="17"/>
    </row>
    <row x14ac:dyDescent="0.25" r="1331" customHeight="1" ht="18.75">
      <c r="A1331" s="1"/>
      <c r="B1331" s="1" t="s">
        <v>38074</v>
      </c>
      <c r="C1331" s="1" t="s">
        <v>7</v>
      </c>
      <c r="D1331" s="1" t="s">
        <v>10</v>
      </c>
      <c r="E1331" s="1" t="s">
        <v>37034</v>
      </c>
      <c r="F1331" s="1" t="s">
        <v>3693</v>
      </c>
      <c r="G1331" s="1" t="s">
        <v>38075</v>
      </c>
      <c r="H1331" s="1" t="s">
        <v>7847</v>
      </c>
      <c r="I1331" s="1"/>
      <c r="J1331" s="1"/>
      <c r="K1331" s="1"/>
      <c r="L1331" s="1"/>
      <c r="M1331" s="1"/>
      <c r="N1331" s="1"/>
      <c r="O1331" s="1"/>
      <c r="P1331" s="1"/>
      <c r="Q1331" s="17"/>
    </row>
    <row x14ac:dyDescent="0.25" r="1332" customHeight="1" ht="18.75">
      <c r="A1332" s="1"/>
      <c r="B1332" s="1" t="s">
        <v>38074</v>
      </c>
      <c r="C1332" s="1" t="s">
        <v>7</v>
      </c>
      <c r="D1332" s="1" t="s">
        <v>10</v>
      </c>
      <c r="E1332" s="1" t="s">
        <v>37034</v>
      </c>
      <c r="F1332" s="1" t="s">
        <v>3693</v>
      </c>
      <c r="G1332" s="1" t="s">
        <v>38076</v>
      </c>
      <c r="H1332" s="1" t="s">
        <v>533</v>
      </c>
      <c r="I1332" s="1"/>
      <c r="J1332" s="1"/>
      <c r="K1332" s="1"/>
      <c r="L1332" s="1"/>
      <c r="M1332" s="1"/>
      <c r="N1332" s="1"/>
      <c r="O1332" s="1"/>
      <c r="P1332" s="1"/>
      <c r="Q1332" s="17"/>
    </row>
    <row x14ac:dyDescent="0.25" r="1333" customHeight="1" ht="18.75">
      <c r="A1333" s="1"/>
      <c r="B1333" s="1" t="s">
        <v>38074</v>
      </c>
      <c r="C1333" s="1" t="s">
        <v>7</v>
      </c>
      <c r="D1333" s="1" t="s">
        <v>10</v>
      </c>
      <c r="E1333" s="1" t="s">
        <v>37034</v>
      </c>
      <c r="F1333" s="1" t="s">
        <v>3693</v>
      </c>
      <c r="G1333" s="1" t="s">
        <v>38077</v>
      </c>
      <c r="H1333" s="1" t="s">
        <v>37102</v>
      </c>
      <c r="I1333" s="1"/>
      <c r="J1333" s="1"/>
      <c r="K1333" s="1"/>
      <c r="L1333" s="1"/>
      <c r="M1333" s="1"/>
      <c r="N1333" s="1"/>
      <c r="O1333" s="1"/>
      <c r="P1333" s="1"/>
      <c r="Q1333" s="17"/>
    </row>
    <row x14ac:dyDescent="0.25" r="1334" customHeight="1" ht="18.75">
      <c r="A1334" s="1"/>
      <c r="B1334" s="1" t="s">
        <v>38074</v>
      </c>
      <c r="C1334" s="1" t="s">
        <v>7</v>
      </c>
      <c r="D1334" s="1" t="s">
        <v>10</v>
      </c>
      <c r="E1334" s="1" t="s">
        <v>37034</v>
      </c>
      <c r="F1334" s="1" t="s">
        <v>3693</v>
      </c>
      <c r="G1334" s="1" t="s">
        <v>38078</v>
      </c>
      <c r="H1334" s="1" t="s">
        <v>37102</v>
      </c>
      <c r="I1334" s="1"/>
      <c r="J1334" s="1"/>
      <c r="K1334" s="1"/>
      <c r="L1334" s="1"/>
      <c r="M1334" s="1"/>
      <c r="N1334" s="1"/>
      <c r="O1334" s="1"/>
      <c r="P1334" s="1"/>
      <c r="Q1334" s="17"/>
    </row>
    <row x14ac:dyDescent="0.25" r="1335" customHeight="1" ht="18.75">
      <c r="A1335" s="1"/>
      <c r="B1335" s="1" t="s">
        <v>38074</v>
      </c>
      <c r="C1335" s="1" t="s">
        <v>7</v>
      </c>
      <c r="D1335" s="1" t="s">
        <v>10</v>
      </c>
      <c r="E1335" s="1" t="s">
        <v>37034</v>
      </c>
      <c r="F1335" s="1" t="s">
        <v>3693</v>
      </c>
      <c r="G1335" s="1" t="s">
        <v>38079</v>
      </c>
      <c r="H1335" s="1" t="s">
        <v>37102</v>
      </c>
      <c r="I1335" s="1"/>
      <c r="J1335" s="1"/>
      <c r="K1335" s="1"/>
      <c r="L1335" s="1"/>
      <c r="M1335" s="1"/>
      <c r="N1335" s="1"/>
      <c r="O1335" s="1"/>
      <c r="P1335" s="1"/>
      <c r="Q1335" s="17"/>
    </row>
    <row x14ac:dyDescent="0.25" r="1336" customHeight="1" ht="18.75">
      <c r="A1336" s="1"/>
      <c r="B1336" s="1" t="s">
        <v>38074</v>
      </c>
      <c r="C1336" s="1" t="s">
        <v>7</v>
      </c>
      <c r="D1336" s="1" t="s">
        <v>10</v>
      </c>
      <c r="E1336" s="1" t="s">
        <v>37034</v>
      </c>
      <c r="F1336" s="1" t="s">
        <v>3693</v>
      </c>
      <c r="G1336" s="1" t="s">
        <v>38080</v>
      </c>
      <c r="H1336" s="1" t="s">
        <v>3695</v>
      </c>
      <c r="I1336" s="1"/>
      <c r="J1336" s="1"/>
      <c r="K1336" s="1"/>
      <c r="L1336" s="1"/>
      <c r="M1336" s="1"/>
      <c r="N1336" s="1"/>
      <c r="O1336" s="1"/>
      <c r="P1336" s="1"/>
      <c r="Q1336" s="17"/>
    </row>
    <row x14ac:dyDescent="0.25" r="1337" customHeight="1" ht="18.75">
      <c r="A1337" s="1"/>
      <c r="B1337" s="1" t="s">
        <v>38074</v>
      </c>
      <c r="C1337" s="1" t="s">
        <v>7</v>
      </c>
      <c r="D1337" s="1" t="s">
        <v>10</v>
      </c>
      <c r="E1337" s="1" t="s">
        <v>37034</v>
      </c>
      <c r="F1337" s="1" t="s">
        <v>3693</v>
      </c>
      <c r="G1337" s="1" t="s">
        <v>38081</v>
      </c>
      <c r="H1337" s="1" t="s">
        <v>3695</v>
      </c>
      <c r="I1337" s="1"/>
      <c r="J1337" s="1"/>
      <c r="K1337" s="1"/>
      <c r="L1337" s="1"/>
      <c r="M1337" s="1"/>
      <c r="N1337" s="1"/>
      <c r="O1337" s="1"/>
      <c r="P1337" s="1"/>
      <c r="Q1337" s="17"/>
    </row>
    <row x14ac:dyDescent="0.25" r="1338" customHeight="1" ht="18.75">
      <c r="A1338" s="1"/>
      <c r="B1338" s="1" t="s">
        <v>38074</v>
      </c>
      <c r="C1338" s="1" t="s">
        <v>7</v>
      </c>
      <c r="D1338" s="1" t="s">
        <v>10</v>
      </c>
      <c r="E1338" s="1" t="s">
        <v>37034</v>
      </c>
      <c r="F1338" s="1" t="s">
        <v>3693</v>
      </c>
      <c r="G1338" s="1" t="s">
        <v>38082</v>
      </c>
      <c r="H1338" s="1" t="s">
        <v>3695</v>
      </c>
      <c r="I1338" s="1"/>
      <c r="J1338" s="1"/>
      <c r="K1338" s="1"/>
      <c r="L1338" s="1"/>
      <c r="M1338" s="1"/>
      <c r="N1338" s="1"/>
      <c r="O1338" s="1"/>
      <c r="P1338" s="1"/>
      <c r="Q1338" s="17"/>
    </row>
    <row x14ac:dyDescent="0.25" r="1339" customHeight="1" ht="18.75">
      <c r="A1339" s="1"/>
      <c r="B1339" s="1" t="s">
        <v>38074</v>
      </c>
      <c r="C1339" s="1" t="s">
        <v>7</v>
      </c>
      <c r="D1339" s="1" t="s">
        <v>10</v>
      </c>
      <c r="E1339" s="1" t="s">
        <v>37034</v>
      </c>
      <c r="F1339" s="1" t="s">
        <v>3693</v>
      </c>
      <c r="G1339" s="1" t="s">
        <v>38083</v>
      </c>
      <c r="H1339" s="1" t="s">
        <v>3695</v>
      </c>
      <c r="I1339" s="1"/>
      <c r="J1339" s="1"/>
      <c r="K1339" s="1"/>
      <c r="L1339" s="1"/>
      <c r="M1339" s="1"/>
      <c r="N1339" s="1"/>
      <c r="O1339" s="1"/>
      <c r="P1339" s="1"/>
      <c r="Q1339" s="17"/>
    </row>
    <row x14ac:dyDescent="0.25" r="1340" customHeight="1" ht="18.75">
      <c r="A1340" s="1"/>
      <c r="B1340" s="1" t="s">
        <v>38074</v>
      </c>
      <c r="C1340" s="1" t="s">
        <v>7</v>
      </c>
      <c r="D1340" s="1" t="s">
        <v>10</v>
      </c>
      <c r="E1340" s="1" t="s">
        <v>37034</v>
      </c>
      <c r="F1340" s="1" t="s">
        <v>3693</v>
      </c>
      <c r="G1340" s="1" t="s">
        <v>38084</v>
      </c>
      <c r="H1340" s="1" t="s">
        <v>3695</v>
      </c>
      <c r="I1340" s="1"/>
      <c r="J1340" s="1"/>
      <c r="K1340" s="1"/>
      <c r="L1340" s="1"/>
      <c r="M1340" s="1"/>
      <c r="N1340" s="1"/>
      <c r="O1340" s="1"/>
      <c r="P1340" s="1"/>
      <c r="Q1340" s="17"/>
    </row>
    <row x14ac:dyDescent="0.25" r="1341" customHeight="1" ht="18.75">
      <c r="A1341" s="1"/>
      <c r="B1341" s="1" t="s">
        <v>38074</v>
      </c>
      <c r="C1341" s="1" t="s">
        <v>7</v>
      </c>
      <c r="D1341" s="1" t="s">
        <v>10</v>
      </c>
      <c r="E1341" s="1" t="s">
        <v>37034</v>
      </c>
      <c r="F1341" s="1" t="s">
        <v>3693</v>
      </c>
      <c r="G1341" s="1" t="s">
        <v>38085</v>
      </c>
      <c r="H1341" s="1" t="s">
        <v>3695</v>
      </c>
      <c r="I1341" s="1"/>
      <c r="J1341" s="1"/>
      <c r="K1341" s="1"/>
      <c r="L1341" s="1"/>
      <c r="M1341" s="1"/>
      <c r="N1341" s="1"/>
      <c r="O1341" s="1"/>
      <c r="P1341" s="1"/>
      <c r="Q1341" s="17"/>
    </row>
    <row x14ac:dyDescent="0.25" r="1342" customHeight="1" ht="18.75">
      <c r="A1342" s="1"/>
      <c r="B1342" s="1" t="s">
        <v>38086</v>
      </c>
      <c r="C1342" s="1" t="s">
        <v>7</v>
      </c>
      <c r="D1342" s="1" t="s">
        <v>10</v>
      </c>
      <c r="E1342" s="1" t="s">
        <v>37034</v>
      </c>
      <c r="F1342" s="1" t="s">
        <v>3693</v>
      </c>
      <c r="G1342" s="1" t="s">
        <v>38087</v>
      </c>
      <c r="H1342" s="1" t="s">
        <v>37057</v>
      </c>
      <c r="I1342" s="1"/>
      <c r="J1342" s="1"/>
      <c r="K1342" s="1"/>
      <c r="L1342" s="1"/>
      <c r="M1342" s="1"/>
      <c r="N1342" s="1"/>
      <c r="O1342" s="1"/>
      <c r="P1342" s="1"/>
      <c r="Q1342" s="17"/>
    </row>
    <row x14ac:dyDescent="0.25" r="1343" customHeight="1" ht="18.75">
      <c r="A1343" s="1"/>
      <c r="B1343" s="1" t="s">
        <v>38086</v>
      </c>
      <c r="C1343" s="1" t="s">
        <v>7</v>
      </c>
      <c r="D1343" s="1" t="s">
        <v>10</v>
      </c>
      <c r="E1343" s="1" t="s">
        <v>37034</v>
      </c>
      <c r="F1343" s="1" t="s">
        <v>3693</v>
      </c>
      <c r="G1343" s="1" t="s">
        <v>38088</v>
      </c>
      <c r="H1343" s="1" t="s">
        <v>533</v>
      </c>
      <c r="I1343" s="1"/>
      <c r="J1343" s="1"/>
      <c r="K1343" s="1"/>
      <c r="L1343" s="1"/>
      <c r="M1343" s="1"/>
      <c r="N1343" s="1"/>
      <c r="O1343" s="1"/>
      <c r="P1343" s="1"/>
      <c r="Q1343" s="17"/>
    </row>
    <row x14ac:dyDescent="0.25" r="1344" customHeight="1" ht="18.75">
      <c r="A1344" s="1"/>
      <c r="B1344" s="1" t="s">
        <v>38086</v>
      </c>
      <c r="C1344" s="1" t="s">
        <v>7</v>
      </c>
      <c r="D1344" s="1" t="s">
        <v>10</v>
      </c>
      <c r="E1344" s="1" t="s">
        <v>37034</v>
      </c>
      <c r="F1344" s="1" t="s">
        <v>3693</v>
      </c>
      <c r="G1344" s="1" t="s">
        <v>38089</v>
      </c>
      <c r="H1344" s="1" t="s">
        <v>3695</v>
      </c>
      <c r="I1344" s="1"/>
      <c r="J1344" s="1"/>
      <c r="K1344" s="1"/>
      <c r="L1344" s="1"/>
      <c r="M1344" s="1"/>
      <c r="N1344" s="1"/>
      <c r="O1344" s="1"/>
      <c r="P1344" s="1"/>
      <c r="Q1344" s="17"/>
    </row>
    <row x14ac:dyDescent="0.25" r="1345" customHeight="1" ht="18.75">
      <c r="A1345" s="1"/>
      <c r="B1345" s="1" t="s">
        <v>38086</v>
      </c>
      <c r="C1345" s="1" t="s">
        <v>7</v>
      </c>
      <c r="D1345" s="1" t="s">
        <v>10</v>
      </c>
      <c r="E1345" s="1" t="s">
        <v>37034</v>
      </c>
      <c r="F1345" s="1" t="s">
        <v>3693</v>
      </c>
      <c r="G1345" s="1" t="s">
        <v>38090</v>
      </c>
      <c r="H1345" s="1" t="s">
        <v>3695</v>
      </c>
      <c r="I1345" s="1"/>
      <c r="J1345" s="1"/>
      <c r="K1345" s="1"/>
      <c r="L1345" s="1"/>
      <c r="M1345" s="1"/>
      <c r="N1345" s="1"/>
      <c r="O1345" s="1"/>
      <c r="P1345" s="1"/>
      <c r="Q1345" s="17"/>
    </row>
    <row x14ac:dyDescent="0.25" r="1346" customHeight="1" ht="18.75">
      <c r="A1346" s="1"/>
      <c r="B1346" s="1" t="s">
        <v>38086</v>
      </c>
      <c r="C1346" s="1" t="s">
        <v>7</v>
      </c>
      <c r="D1346" s="1" t="s">
        <v>10</v>
      </c>
      <c r="E1346" s="1" t="s">
        <v>37034</v>
      </c>
      <c r="F1346" s="1" t="s">
        <v>3693</v>
      </c>
      <c r="G1346" s="1" t="s">
        <v>38091</v>
      </c>
      <c r="H1346" s="1" t="s">
        <v>3695</v>
      </c>
      <c r="I1346" s="1"/>
      <c r="J1346" s="1"/>
      <c r="K1346" s="1"/>
      <c r="L1346" s="1"/>
      <c r="M1346" s="1"/>
      <c r="N1346" s="1"/>
      <c r="O1346" s="1"/>
      <c r="P1346" s="1"/>
      <c r="Q1346" s="17"/>
    </row>
    <row x14ac:dyDescent="0.25" r="1347" customHeight="1" ht="18.75">
      <c r="A1347" s="1"/>
      <c r="B1347" s="1" t="s">
        <v>38092</v>
      </c>
      <c r="C1347" s="1" t="s">
        <v>7</v>
      </c>
      <c r="D1347" s="1" t="s">
        <v>10</v>
      </c>
      <c r="E1347" s="1" t="s">
        <v>37034</v>
      </c>
      <c r="F1347" s="1" t="s">
        <v>3693</v>
      </c>
      <c r="G1347" s="1" t="s">
        <v>38093</v>
      </c>
      <c r="H1347" s="1" t="s">
        <v>533</v>
      </c>
      <c r="I1347" s="1"/>
      <c r="J1347" s="1"/>
      <c r="K1347" s="1"/>
      <c r="L1347" s="1"/>
      <c r="M1347" s="1"/>
      <c r="N1347" s="1"/>
      <c r="O1347" s="1"/>
      <c r="P1347" s="1"/>
      <c r="Q1347" s="17"/>
    </row>
    <row x14ac:dyDescent="0.25" r="1348" customHeight="1" ht="18.75">
      <c r="A1348" s="1"/>
      <c r="B1348" s="1" t="s">
        <v>38092</v>
      </c>
      <c r="C1348" s="1" t="s">
        <v>7</v>
      </c>
      <c r="D1348" s="1" t="s">
        <v>10</v>
      </c>
      <c r="E1348" s="1" t="s">
        <v>37034</v>
      </c>
      <c r="F1348" s="1" t="s">
        <v>3693</v>
      </c>
      <c r="G1348" s="1" t="s">
        <v>38094</v>
      </c>
      <c r="H1348" s="1" t="s">
        <v>3610</v>
      </c>
      <c r="I1348" s="1"/>
      <c r="J1348" s="1"/>
      <c r="K1348" s="1"/>
      <c r="L1348" s="1"/>
      <c r="M1348" s="1"/>
      <c r="N1348" s="1"/>
      <c r="O1348" s="1"/>
      <c r="P1348" s="1"/>
      <c r="Q1348" s="17"/>
    </row>
    <row x14ac:dyDescent="0.25" r="1349" customHeight="1" ht="18.75">
      <c r="A1349" s="1"/>
      <c r="B1349" s="1" t="s">
        <v>38092</v>
      </c>
      <c r="C1349" s="1" t="s">
        <v>7</v>
      </c>
      <c r="D1349" s="1" t="s">
        <v>10</v>
      </c>
      <c r="E1349" s="1" t="s">
        <v>37034</v>
      </c>
      <c r="F1349" s="1" t="s">
        <v>3693</v>
      </c>
      <c r="G1349" s="1" t="s">
        <v>38095</v>
      </c>
      <c r="H1349" s="1" t="s">
        <v>7847</v>
      </c>
      <c r="I1349" s="1"/>
      <c r="J1349" s="1"/>
      <c r="K1349" s="1"/>
      <c r="L1349" s="1"/>
      <c r="M1349" s="1"/>
      <c r="N1349" s="1"/>
      <c r="O1349" s="1"/>
      <c r="P1349" s="1"/>
      <c r="Q1349" s="17"/>
    </row>
    <row x14ac:dyDescent="0.25" r="1350" customHeight="1" ht="18.75">
      <c r="A1350" s="1"/>
      <c r="B1350" s="1" t="s">
        <v>38092</v>
      </c>
      <c r="C1350" s="1" t="s">
        <v>7</v>
      </c>
      <c r="D1350" s="1" t="s">
        <v>10</v>
      </c>
      <c r="E1350" s="1" t="s">
        <v>37034</v>
      </c>
      <c r="F1350" s="1" t="s">
        <v>3693</v>
      </c>
      <c r="G1350" s="1" t="s">
        <v>38096</v>
      </c>
      <c r="H1350" s="1" t="s">
        <v>7847</v>
      </c>
      <c r="I1350" s="1"/>
      <c r="J1350" s="1"/>
      <c r="K1350" s="1"/>
      <c r="L1350" s="1"/>
      <c r="M1350" s="1"/>
      <c r="N1350" s="1"/>
      <c r="O1350" s="1"/>
      <c r="P1350" s="1"/>
      <c r="Q1350" s="17"/>
    </row>
    <row x14ac:dyDescent="0.25" r="1351" customHeight="1" ht="18.75">
      <c r="A1351" s="1"/>
      <c r="B1351" s="1" t="s">
        <v>38097</v>
      </c>
      <c r="C1351" s="1" t="s">
        <v>7</v>
      </c>
      <c r="D1351" s="1" t="s">
        <v>10</v>
      </c>
      <c r="E1351" s="1" t="s">
        <v>36395</v>
      </c>
      <c r="F1351" s="1" t="s">
        <v>3693</v>
      </c>
      <c r="G1351" s="1" t="s">
        <v>35270</v>
      </c>
      <c r="H1351" s="1" t="s">
        <v>37190</v>
      </c>
      <c r="I1351" s="1"/>
      <c r="J1351" s="1"/>
      <c r="K1351" s="1"/>
      <c r="L1351" s="1"/>
      <c r="M1351" s="1"/>
      <c r="N1351" s="1"/>
      <c r="O1351" s="1"/>
      <c r="P1351" s="1"/>
      <c r="Q1351" s="17"/>
    </row>
    <row x14ac:dyDescent="0.25" r="1352" customHeight="1" ht="18.75">
      <c r="A1352" s="1"/>
      <c r="B1352" s="1" t="s">
        <v>38097</v>
      </c>
      <c r="C1352" s="1" t="s">
        <v>7</v>
      </c>
      <c r="D1352" s="1" t="s">
        <v>10</v>
      </c>
      <c r="E1352" s="1" t="s">
        <v>37034</v>
      </c>
      <c r="F1352" s="1" t="s">
        <v>3693</v>
      </c>
      <c r="G1352" s="1" t="s">
        <v>38098</v>
      </c>
      <c r="H1352" s="1" t="s">
        <v>37057</v>
      </c>
      <c r="I1352" s="1"/>
      <c r="J1352" s="1"/>
      <c r="K1352" s="1"/>
      <c r="L1352" s="1"/>
      <c r="M1352" s="1"/>
      <c r="N1352" s="1"/>
      <c r="O1352" s="1"/>
      <c r="P1352" s="1"/>
      <c r="Q1352" s="17"/>
    </row>
    <row x14ac:dyDescent="0.25" r="1353" customHeight="1" ht="18.75">
      <c r="A1353" s="1"/>
      <c r="B1353" s="1" t="s">
        <v>38099</v>
      </c>
      <c r="C1353" s="1" t="s">
        <v>7</v>
      </c>
      <c r="D1353" s="1" t="s">
        <v>10</v>
      </c>
      <c r="E1353" s="1" t="s">
        <v>36395</v>
      </c>
      <c r="F1353" s="1" t="s">
        <v>7833</v>
      </c>
      <c r="G1353" s="1" t="s">
        <v>35220</v>
      </c>
      <c r="H1353" s="1" t="s">
        <v>37190</v>
      </c>
      <c r="I1353" s="1"/>
      <c r="J1353" s="1"/>
      <c r="K1353" s="1"/>
      <c r="L1353" s="1"/>
      <c r="M1353" s="1"/>
      <c r="N1353" s="1"/>
      <c r="O1353" s="1"/>
      <c r="P1353" s="1"/>
      <c r="Q1353" s="17"/>
    </row>
    <row x14ac:dyDescent="0.25" r="1354" customHeight="1" ht="18.75">
      <c r="A1354" s="1"/>
      <c r="B1354" s="1" t="s">
        <v>38099</v>
      </c>
      <c r="C1354" s="1" t="s">
        <v>7</v>
      </c>
      <c r="D1354" s="1" t="s">
        <v>10</v>
      </c>
      <c r="E1354" s="1" t="s">
        <v>37034</v>
      </c>
      <c r="F1354" s="1" t="s">
        <v>7833</v>
      </c>
      <c r="G1354" s="1" t="s">
        <v>38100</v>
      </c>
      <c r="H1354" s="1" t="s">
        <v>37102</v>
      </c>
      <c r="I1354" s="1"/>
      <c r="J1354" s="1"/>
      <c r="K1354" s="1"/>
      <c r="L1354" s="1"/>
      <c r="M1354" s="1"/>
      <c r="N1354" s="1"/>
      <c r="O1354" s="1"/>
      <c r="P1354" s="1"/>
      <c r="Q1354" s="17"/>
    </row>
    <row x14ac:dyDescent="0.25" r="1355" customHeight="1" ht="18.75">
      <c r="A1355" s="1"/>
      <c r="B1355" s="1" t="s">
        <v>38099</v>
      </c>
      <c r="C1355" s="1" t="s">
        <v>7</v>
      </c>
      <c r="D1355" s="1" t="s">
        <v>10</v>
      </c>
      <c r="E1355" s="1" t="s">
        <v>37034</v>
      </c>
      <c r="F1355" s="1" t="s">
        <v>7833</v>
      </c>
      <c r="G1355" s="1" t="s">
        <v>38101</v>
      </c>
      <c r="H1355" s="1" t="s">
        <v>37102</v>
      </c>
      <c r="I1355" s="1"/>
      <c r="J1355" s="1"/>
      <c r="K1355" s="1"/>
      <c r="L1355" s="1"/>
      <c r="M1355" s="1"/>
      <c r="N1355" s="1"/>
      <c r="O1355" s="1"/>
      <c r="P1355" s="1"/>
      <c r="Q1355" s="17"/>
    </row>
    <row x14ac:dyDescent="0.25" r="1356" customHeight="1" ht="18.75">
      <c r="A1356" s="1"/>
      <c r="B1356" s="1" t="s">
        <v>38099</v>
      </c>
      <c r="C1356" s="1" t="s">
        <v>7</v>
      </c>
      <c r="D1356" s="1" t="s">
        <v>10</v>
      </c>
      <c r="E1356" s="1" t="s">
        <v>37034</v>
      </c>
      <c r="F1356" s="1" t="s">
        <v>7833</v>
      </c>
      <c r="G1356" s="1" t="s">
        <v>38102</v>
      </c>
      <c r="H1356" s="1" t="s">
        <v>37102</v>
      </c>
      <c r="I1356" s="1"/>
      <c r="J1356" s="1"/>
      <c r="K1356" s="1"/>
      <c r="L1356" s="1"/>
      <c r="M1356" s="1"/>
      <c r="N1356" s="1"/>
      <c r="O1356" s="1"/>
      <c r="P1356" s="1"/>
      <c r="Q1356" s="17"/>
    </row>
    <row x14ac:dyDescent="0.25" r="1357" customHeight="1" ht="18.75">
      <c r="A1357" s="1"/>
      <c r="B1357" s="1" t="s">
        <v>38103</v>
      </c>
      <c r="C1357" s="1" t="s">
        <v>7</v>
      </c>
      <c r="D1357" s="1" t="s">
        <v>10</v>
      </c>
      <c r="E1357" s="1" t="s">
        <v>37034</v>
      </c>
      <c r="F1357" s="1" t="s">
        <v>7833</v>
      </c>
      <c r="G1357" s="1" t="s">
        <v>38104</v>
      </c>
      <c r="H1357" s="1" t="s">
        <v>37057</v>
      </c>
      <c r="I1357" s="1"/>
      <c r="J1357" s="1"/>
      <c r="K1357" s="1"/>
      <c r="L1357" s="1"/>
      <c r="M1357" s="1"/>
      <c r="N1357" s="1"/>
      <c r="O1357" s="1"/>
      <c r="P1357" s="1"/>
      <c r="Q1357" s="17"/>
    </row>
    <row x14ac:dyDescent="0.25" r="1358" customHeight="1" ht="18.75">
      <c r="A1358" s="1"/>
      <c r="B1358" s="1" t="s">
        <v>38103</v>
      </c>
      <c r="C1358" s="1" t="s">
        <v>7</v>
      </c>
      <c r="D1358" s="1" t="s">
        <v>10</v>
      </c>
      <c r="E1358" s="1" t="s">
        <v>37034</v>
      </c>
      <c r="F1358" s="1" t="s">
        <v>7833</v>
      </c>
      <c r="G1358" s="1" t="s">
        <v>38105</v>
      </c>
      <c r="H1358" s="1" t="s">
        <v>37057</v>
      </c>
      <c r="I1358" s="1"/>
      <c r="J1358" s="1"/>
      <c r="K1358" s="1"/>
      <c r="L1358" s="1"/>
      <c r="M1358" s="1"/>
      <c r="N1358" s="1"/>
      <c r="O1358" s="1"/>
      <c r="P1358" s="1"/>
      <c r="Q1358" s="17"/>
    </row>
    <row x14ac:dyDescent="0.25" r="1359" customHeight="1" ht="18.75">
      <c r="A1359" s="1"/>
      <c r="B1359" s="1" t="s">
        <v>38106</v>
      </c>
      <c r="C1359" s="1" t="s">
        <v>7</v>
      </c>
      <c r="D1359" s="1" t="s">
        <v>10</v>
      </c>
      <c r="E1359" s="1" t="s">
        <v>37034</v>
      </c>
      <c r="F1359" s="1"/>
      <c r="G1359" s="1" t="s">
        <v>9824</v>
      </c>
      <c r="H1359" s="1"/>
      <c r="I1359" s="1"/>
      <c r="J1359" s="1"/>
      <c r="K1359" s="1"/>
      <c r="L1359" s="1"/>
      <c r="M1359" s="1"/>
      <c r="N1359" s="1"/>
      <c r="O1359" s="1"/>
      <c r="P1359" s="1"/>
      <c r="Q1359" s="17"/>
    </row>
    <row x14ac:dyDescent="0.25" r="1360" customHeight="1" ht="18.75">
      <c r="A1360" s="1"/>
      <c r="B1360" s="1" t="s">
        <v>38107</v>
      </c>
      <c r="C1360" s="1" t="s">
        <v>7</v>
      </c>
      <c r="D1360" s="1" t="s">
        <v>10</v>
      </c>
      <c r="E1360" s="1" t="s">
        <v>37034</v>
      </c>
      <c r="F1360" s="1"/>
      <c r="G1360" s="1" t="s">
        <v>15339</v>
      </c>
      <c r="H1360" s="1"/>
      <c r="I1360" s="1"/>
      <c r="J1360" s="1"/>
      <c r="K1360" s="1"/>
      <c r="L1360" s="1"/>
      <c r="M1360" s="1"/>
      <c r="N1360" s="1"/>
      <c r="O1360" s="1"/>
      <c r="P1360" s="1"/>
      <c r="Q1360" s="17"/>
    </row>
    <row x14ac:dyDescent="0.25" r="1361" customHeight="1" ht="18.75">
      <c r="A1361" s="1"/>
      <c r="B1361" s="1" t="s">
        <v>38108</v>
      </c>
      <c r="C1361" s="1" t="s">
        <v>7</v>
      </c>
      <c r="D1361" s="1" t="s">
        <v>10</v>
      </c>
      <c r="E1361" s="1" t="s">
        <v>37034</v>
      </c>
      <c r="F1361" s="1"/>
      <c r="G1361" s="1" t="s">
        <v>38109</v>
      </c>
      <c r="H1361" s="1"/>
      <c r="I1361" s="1"/>
      <c r="J1361" s="1"/>
      <c r="K1361" s="1"/>
      <c r="L1361" s="1"/>
      <c r="M1361" s="1"/>
      <c r="N1361" s="1"/>
      <c r="O1361" s="1"/>
      <c r="P1361" s="1"/>
      <c r="Q1361" s="17"/>
    </row>
    <row x14ac:dyDescent="0.25" r="1362" customHeight="1" ht="18.75">
      <c r="A1362" s="1"/>
      <c r="B1362" s="1" t="s">
        <v>38110</v>
      </c>
      <c r="C1362" s="1" t="s">
        <v>7</v>
      </c>
      <c r="D1362" s="1" t="s">
        <v>10</v>
      </c>
      <c r="E1362" s="1" t="s">
        <v>37034</v>
      </c>
      <c r="F1362" s="1"/>
      <c r="G1362" s="1" t="s">
        <v>18043</v>
      </c>
      <c r="H1362" s="1"/>
      <c r="I1362" s="1"/>
      <c r="J1362" s="1"/>
      <c r="K1362" s="1"/>
      <c r="L1362" s="1"/>
      <c r="M1362" s="1"/>
      <c r="N1362" s="1"/>
      <c r="O1362" s="1"/>
      <c r="P1362" s="1"/>
      <c r="Q1362" s="17"/>
    </row>
    <row x14ac:dyDescent="0.25" r="1363" customHeight="1" ht="18.75">
      <c r="A1363" s="1"/>
      <c r="B1363" s="1" t="s">
        <v>38111</v>
      </c>
      <c r="C1363" s="1" t="s">
        <v>7</v>
      </c>
      <c r="D1363" s="1" t="s">
        <v>10</v>
      </c>
      <c r="E1363" s="1" t="s">
        <v>37034</v>
      </c>
      <c r="F1363" s="1"/>
      <c r="G1363" s="1" t="s">
        <v>5222</v>
      </c>
      <c r="H1363" s="1"/>
      <c r="I1363" s="1"/>
      <c r="J1363" s="1"/>
      <c r="K1363" s="1"/>
      <c r="L1363" s="1"/>
      <c r="M1363" s="1"/>
      <c r="N1363" s="1"/>
      <c r="O1363" s="1"/>
      <c r="P1363" s="1"/>
      <c r="Q1363" s="17"/>
    </row>
    <row x14ac:dyDescent="0.25" r="1364" customHeight="1" ht="18.75">
      <c r="A1364" s="1"/>
      <c r="B1364" s="1" t="s">
        <v>38112</v>
      </c>
      <c r="C1364" s="1" t="s">
        <v>7</v>
      </c>
      <c r="D1364" s="1" t="s">
        <v>10</v>
      </c>
      <c r="E1364" s="1" t="s">
        <v>37034</v>
      </c>
      <c r="F1364" s="1"/>
      <c r="G1364" s="1" t="s">
        <v>22973</v>
      </c>
      <c r="H1364" s="1"/>
      <c r="I1364" s="1"/>
      <c r="J1364" s="1"/>
      <c r="K1364" s="1"/>
      <c r="L1364" s="1"/>
      <c r="M1364" s="1"/>
      <c r="N1364" s="1"/>
      <c r="O1364" s="1"/>
      <c r="P1364" s="1"/>
      <c r="Q1364" s="17"/>
    </row>
    <row x14ac:dyDescent="0.25" r="1365" customHeight="1" ht="18.75">
      <c r="A1365" s="1"/>
      <c r="B1365" s="1" t="s">
        <v>38113</v>
      </c>
      <c r="C1365" s="1" t="s">
        <v>7</v>
      </c>
      <c r="D1365" s="1" t="s">
        <v>10</v>
      </c>
      <c r="E1365" s="1" t="s">
        <v>37034</v>
      </c>
      <c r="F1365" s="1"/>
      <c r="G1365" s="1" t="s">
        <v>3825</v>
      </c>
      <c r="H1365" s="1"/>
      <c r="I1365" s="1"/>
      <c r="J1365" s="1"/>
      <c r="K1365" s="1"/>
      <c r="L1365" s="1"/>
      <c r="M1365" s="1"/>
      <c r="N1365" s="1"/>
      <c r="O1365" s="1"/>
      <c r="P1365" s="1"/>
      <c r="Q1365" s="17"/>
    </row>
    <row x14ac:dyDescent="0.25" r="1366" customHeight="1" ht="18.75">
      <c r="A1366" s="1"/>
      <c r="B1366" s="1" t="s">
        <v>38114</v>
      </c>
      <c r="C1366" s="1" t="s">
        <v>7</v>
      </c>
      <c r="D1366" s="1" t="s">
        <v>10</v>
      </c>
      <c r="E1366" s="1" t="s">
        <v>37034</v>
      </c>
      <c r="F1366" s="1"/>
      <c r="G1366" s="1" t="s">
        <v>8269</v>
      </c>
      <c r="H1366" s="1"/>
      <c r="I1366" s="1"/>
      <c r="J1366" s="1"/>
      <c r="K1366" s="1"/>
      <c r="L1366" s="1"/>
      <c r="M1366" s="1"/>
      <c r="N1366" s="1"/>
      <c r="O1366" s="1"/>
      <c r="P1366" s="1"/>
      <c r="Q1366" s="17"/>
    </row>
    <row x14ac:dyDescent="0.25" r="1367" customHeight="1" ht="18.75">
      <c r="A1367" s="1"/>
      <c r="B1367" s="1" t="s">
        <v>38115</v>
      </c>
      <c r="C1367" s="1" t="s">
        <v>7</v>
      </c>
      <c r="D1367" s="1" t="s">
        <v>10</v>
      </c>
      <c r="E1367" s="1" t="s">
        <v>37034</v>
      </c>
      <c r="F1367" s="1"/>
      <c r="G1367" s="1" t="s">
        <v>9231</v>
      </c>
      <c r="H1367" s="1"/>
      <c r="I1367" s="1"/>
      <c r="J1367" s="1"/>
      <c r="K1367" s="1"/>
      <c r="L1367" s="1"/>
      <c r="M1367" s="1"/>
      <c r="N1367" s="1"/>
      <c r="O1367" s="1"/>
      <c r="P1367" s="1"/>
      <c r="Q1367" s="17"/>
    </row>
    <row x14ac:dyDescent="0.25" r="1368" customHeight="1" ht="18.75">
      <c r="A1368" s="1"/>
      <c r="B1368" s="1" t="s">
        <v>38116</v>
      </c>
      <c r="C1368" s="1" t="s">
        <v>7</v>
      </c>
      <c r="D1368" s="1" t="s">
        <v>10</v>
      </c>
      <c r="E1368" s="1" t="s">
        <v>37034</v>
      </c>
      <c r="F1368" s="1"/>
      <c r="G1368" s="1" t="s">
        <v>9231</v>
      </c>
      <c r="H1368" s="1"/>
      <c r="I1368" s="1"/>
      <c r="J1368" s="1"/>
      <c r="K1368" s="1"/>
      <c r="L1368" s="1"/>
      <c r="M1368" s="1"/>
      <c r="N1368" s="1"/>
      <c r="O1368" s="1"/>
      <c r="P1368" s="1"/>
      <c r="Q1368" s="17"/>
    </row>
    <row x14ac:dyDescent="0.25" r="1369" customHeight="1" ht="18.75">
      <c r="A1369" s="1"/>
      <c r="B1369" s="1" t="s">
        <v>38117</v>
      </c>
      <c r="C1369" s="1" t="s">
        <v>7</v>
      </c>
      <c r="D1369" s="1" t="s">
        <v>10</v>
      </c>
      <c r="E1369" s="1" t="s">
        <v>37034</v>
      </c>
      <c r="F1369" s="1"/>
      <c r="G1369" s="1" t="s">
        <v>9231</v>
      </c>
      <c r="H1369" s="1"/>
      <c r="I1369" s="1"/>
      <c r="J1369" s="1"/>
      <c r="K1369" s="1"/>
      <c r="L1369" s="1"/>
      <c r="M1369" s="1"/>
      <c r="N1369" s="1"/>
      <c r="O1369" s="1"/>
      <c r="P1369" s="1"/>
      <c r="Q1369" s="17"/>
    </row>
    <row x14ac:dyDescent="0.25" r="1370" customHeight="1" ht="18.75">
      <c r="A1370" s="1"/>
      <c r="B1370" s="1" t="s">
        <v>38118</v>
      </c>
      <c r="C1370" s="1" t="s">
        <v>7</v>
      </c>
      <c r="D1370" s="1" t="s">
        <v>10</v>
      </c>
      <c r="E1370" s="1" t="s">
        <v>37034</v>
      </c>
      <c r="F1370" s="1"/>
      <c r="G1370" s="1" t="s">
        <v>10217</v>
      </c>
      <c r="H1370" s="1"/>
      <c r="I1370" s="1"/>
      <c r="J1370" s="1"/>
      <c r="K1370" s="1"/>
      <c r="L1370" s="1"/>
      <c r="M1370" s="1"/>
      <c r="N1370" s="1"/>
      <c r="O1370" s="1"/>
      <c r="P1370" s="1"/>
      <c r="Q1370" s="17"/>
    </row>
    <row x14ac:dyDescent="0.25" r="1371" customHeight="1" ht="18.75">
      <c r="A1371" s="1"/>
      <c r="B1371" s="1" t="s">
        <v>38119</v>
      </c>
      <c r="C1371" s="1" t="s">
        <v>7</v>
      </c>
      <c r="D1371" s="1" t="s">
        <v>10</v>
      </c>
      <c r="E1371" s="1" t="s">
        <v>37034</v>
      </c>
      <c r="F1371" s="1"/>
      <c r="G1371" s="1" t="s">
        <v>5570</v>
      </c>
      <c r="H1371" s="1"/>
      <c r="I1371" s="1"/>
      <c r="J1371" s="1"/>
      <c r="K1371" s="1"/>
      <c r="L1371" s="1"/>
      <c r="M1371" s="1"/>
      <c r="N1371" s="1"/>
      <c r="O1371" s="1"/>
      <c r="P1371" s="1"/>
      <c r="Q1371" s="17"/>
    </row>
    <row x14ac:dyDescent="0.25" r="1372" customHeight="1" ht="18.75">
      <c r="A1372" s="1"/>
      <c r="B1372" s="1" t="s">
        <v>38120</v>
      </c>
      <c r="C1372" s="1" t="s">
        <v>7</v>
      </c>
      <c r="D1372" s="1" t="s">
        <v>10</v>
      </c>
      <c r="E1372" s="1" t="s">
        <v>37034</v>
      </c>
      <c r="F1372" s="1"/>
      <c r="G1372" s="1" t="s">
        <v>5570</v>
      </c>
      <c r="H1372" s="1"/>
      <c r="I1372" s="1"/>
      <c r="J1372" s="1"/>
      <c r="K1372" s="1"/>
      <c r="L1372" s="1"/>
      <c r="M1372" s="1"/>
      <c r="N1372" s="1"/>
      <c r="O1372" s="1"/>
      <c r="P1372" s="1"/>
      <c r="Q1372" s="17"/>
    </row>
    <row x14ac:dyDescent="0.25" r="1373" customHeight="1" ht="18.75">
      <c r="A1373" s="1"/>
      <c r="B1373" s="1" t="s">
        <v>38121</v>
      </c>
      <c r="C1373" s="1" t="s">
        <v>7</v>
      </c>
      <c r="D1373" s="1" t="s">
        <v>10</v>
      </c>
      <c r="E1373" s="1" t="s">
        <v>37034</v>
      </c>
      <c r="F1373" s="1"/>
      <c r="G1373" s="1" t="s">
        <v>9449</v>
      </c>
      <c r="H1373" s="1"/>
      <c r="I1373" s="1"/>
      <c r="J1373" s="1"/>
      <c r="K1373" s="1"/>
      <c r="L1373" s="1"/>
      <c r="M1373" s="1"/>
      <c r="N1373" s="1"/>
      <c r="O1373" s="1"/>
      <c r="P1373" s="1"/>
      <c r="Q1373" s="17"/>
    </row>
    <row x14ac:dyDescent="0.25" r="1374" customHeight="1" ht="18.75">
      <c r="A1374" s="1"/>
      <c r="B1374" s="1" t="s">
        <v>38122</v>
      </c>
      <c r="C1374" s="1" t="s">
        <v>7</v>
      </c>
      <c r="D1374" s="1" t="s">
        <v>10</v>
      </c>
      <c r="E1374" s="1" t="s">
        <v>37034</v>
      </c>
      <c r="F1374" s="1"/>
      <c r="G1374" s="1" t="s">
        <v>38123</v>
      </c>
      <c r="H1374" s="1"/>
      <c r="I1374" s="1"/>
      <c r="J1374" s="1"/>
      <c r="K1374" s="1"/>
      <c r="L1374" s="1"/>
      <c r="M1374" s="1"/>
      <c r="N1374" s="1"/>
      <c r="O1374" s="1"/>
      <c r="P1374" s="1"/>
      <c r="Q1374" s="17"/>
    </row>
    <row x14ac:dyDescent="0.25" r="1375" customHeight="1" ht="18.75">
      <c r="A1375" s="1"/>
      <c r="B1375" s="1" t="s">
        <v>38124</v>
      </c>
      <c r="C1375" s="1" t="s">
        <v>7</v>
      </c>
      <c r="D1375" s="1" t="s">
        <v>10</v>
      </c>
      <c r="E1375" s="1" t="s">
        <v>37034</v>
      </c>
      <c r="F1375" s="1"/>
      <c r="G1375" s="1" t="s">
        <v>7856</v>
      </c>
      <c r="H1375" s="1"/>
      <c r="I1375" s="1"/>
      <c r="J1375" s="1"/>
      <c r="K1375" s="1"/>
      <c r="L1375" s="1"/>
      <c r="M1375" s="1"/>
      <c r="N1375" s="1"/>
      <c r="O1375" s="1"/>
      <c r="P1375" s="1"/>
      <c r="Q1375" s="17"/>
    </row>
    <row x14ac:dyDescent="0.25" r="1376" customHeight="1" ht="18.75">
      <c r="A1376" s="1"/>
      <c r="B1376" s="1" t="s">
        <v>38125</v>
      </c>
      <c r="C1376" s="1" t="s">
        <v>7</v>
      </c>
      <c r="D1376" s="1" t="s">
        <v>10</v>
      </c>
      <c r="E1376" s="1" t="s">
        <v>37034</v>
      </c>
      <c r="F1376" s="1"/>
      <c r="G1376" s="1" t="s">
        <v>4152</v>
      </c>
      <c r="H1376" s="1"/>
      <c r="I1376" s="1"/>
      <c r="J1376" s="1"/>
      <c r="K1376" s="1"/>
      <c r="L1376" s="1"/>
      <c r="M1376" s="1"/>
      <c r="N1376" s="1"/>
      <c r="O1376" s="1"/>
      <c r="P1376" s="1"/>
      <c r="Q1376" s="17"/>
    </row>
    <row x14ac:dyDescent="0.25" r="1377" customHeight="1" ht="18.75">
      <c r="A1377" s="1"/>
      <c r="B1377" s="1" t="s">
        <v>38126</v>
      </c>
      <c r="C1377" s="1" t="s">
        <v>7</v>
      </c>
      <c r="D1377" s="1" t="s">
        <v>10</v>
      </c>
      <c r="E1377" s="1" t="s">
        <v>37034</v>
      </c>
      <c r="F1377" s="1"/>
      <c r="G1377" s="1" t="s">
        <v>4152</v>
      </c>
      <c r="H1377" s="1"/>
      <c r="I1377" s="1"/>
      <c r="J1377" s="1"/>
      <c r="K1377" s="1"/>
      <c r="L1377" s="1"/>
      <c r="M1377" s="1"/>
      <c r="N1377" s="1"/>
      <c r="O1377" s="1"/>
      <c r="P1377" s="1"/>
      <c r="Q1377" s="17"/>
    </row>
    <row x14ac:dyDescent="0.25" r="1378" customHeight="1" ht="18.75">
      <c r="A1378" s="1"/>
      <c r="B1378" s="1" t="s">
        <v>38127</v>
      </c>
      <c r="C1378" s="1" t="s">
        <v>7</v>
      </c>
      <c r="D1378" s="1" t="s">
        <v>10</v>
      </c>
      <c r="E1378" s="1" t="s">
        <v>37034</v>
      </c>
      <c r="F1378" s="1"/>
      <c r="G1378" s="1" t="s">
        <v>8178</v>
      </c>
      <c r="H1378" s="1"/>
      <c r="I1378" s="1"/>
      <c r="J1378" s="1"/>
      <c r="K1378" s="1"/>
      <c r="L1378" s="1"/>
      <c r="M1378" s="1"/>
      <c r="N1378" s="1"/>
      <c r="O1378" s="1"/>
      <c r="P1378" s="1"/>
      <c r="Q1378" s="17"/>
    </row>
    <row x14ac:dyDescent="0.25" r="1379" customHeight="1" ht="18.75">
      <c r="A1379" s="1"/>
      <c r="B1379" s="1" t="s">
        <v>38128</v>
      </c>
      <c r="C1379" s="1" t="s">
        <v>7</v>
      </c>
      <c r="D1379" s="1" t="s">
        <v>10</v>
      </c>
      <c r="E1379" s="1" t="s">
        <v>37034</v>
      </c>
      <c r="F1379" s="1"/>
      <c r="G1379" s="1" t="s">
        <v>8178</v>
      </c>
      <c r="H1379" s="1"/>
      <c r="I1379" s="1"/>
      <c r="J1379" s="1"/>
      <c r="K1379" s="1"/>
      <c r="L1379" s="1"/>
      <c r="M1379" s="1"/>
      <c r="N1379" s="1"/>
      <c r="O1379" s="1"/>
      <c r="P1379" s="1"/>
      <c r="Q1379" s="17"/>
    </row>
    <row x14ac:dyDescent="0.25" r="1380" customHeight="1" ht="18.75">
      <c r="A1380" s="1"/>
      <c r="B1380" s="1" t="s">
        <v>38129</v>
      </c>
      <c r="C1380" s="1" t="s">
        <v>7</v>
      </c>
      <c r="D1380" s="1" t="s">
        <v>10</v>
      </c>
      <c r="E1380" s="1" t="s">
        <v>37034</v>
      </c>
      <c r="F1380" s="1"/>
      <c r="G1380" s="1" t="s">
        <v>15780</v>
      </c>
      <c r="H1380" s="1"/>
      <c r="I1380" s="1"/>
      <c r="J1380" s="1"/>
      <c r="K1380" s="1"/>
      <c r="L1380" s="1"/>
      <c r="M1380" s="1"/>
      <c r="N1380" s="1"/>
      <c r="O1380" s="1"/>
      <c r="P1380" s="1"/>
      <c r="Q1380" s="17"/>
    </row>
    <row x14ac:dyDescent="0.25" r="1381" customHeight="1" ht="18.75">
      <c r="A1381" s="1"/>
      <c r="B1381" s="1" t="s">
        <v>38130</v>
      </c>
      <c r="C1381" s="1" t="s">
        <v>7</v>
      </c>
      <c r="D1381" s="1" t="s">
        <v>10</v>
      </c>
      <c r="E1381" s="1" t="s">
        <v>37034</v>
      </c>
      <c r="F1381" s="1"/>
      <c r="G1381" s="1" t="s">
        <v>15780</v>
      </c>
      <c r="H1381" s="1"/>
      <c r="I1381" s="1"/>
      <c r="J1381" s="1"/>
      <c r="K1381" s="1"/>
      <c r="L1381" s="1"/>
      <c r="M1381" s="1"/>
      <c r="N1381" s="1"/>
      <c r="O1381" s="1"/>
      <c r="P1381" s="1"/>
      <c r="Q1381" s="17"/>
    </row>
    <row x14ac:dyDescent="0.25" r="1382" customHeight="1" ht="18.75">
      <c r="A1382" s="1"/>
      <c r="B1382" s="1" t="s">
        <v>38131</v>
      </c>
      <c r="C1382" s="1" t="s">
        <v>7</v>
      </c>
      <c r="D1382" s="1" t="s">
        <v>10</v>
      </c>
      <c r="E1382" s="1" t="s">
        <v>37034</v>
      </c>
      <c r="F1382" s="1"/>
      <c r="G1382" s="1" t="s">
        <v>7322</v>
      </c>
      <c r="H1382" s="1"/>
      <c r="I1382" s="1"/>
      <c r="J1382" s="1"/>
      <c r="K1382" s="1"/>
      <c r="L1382" s="1"/>
      <c r="M1382" s="1"/>
      <c r="N1382" s="1"/>
      <c r="O1382" s="1"/>
      <c r="P1382" s="1"/>
      <c r="Q1382" s="17"/>
    </row>
    <row x14ac:dyDescent="0.25" r="1383" customHeight="1" ht="18.75">
      <c r="A1383" s="1"/>
      <c r="B1383" s="1" t="s">
        <v>38132</v>
      </c>
      <c r="C1383" s="1" t="s">
        <v>7</v>
      </c>
      <c r="D1383" s="1" t="s">
        <v>10</v>
      </c>
      <c r="E1383" s="1" t="s">
        <v>37034</v>
      </c>
      <c r="F1383" s="1"/>
      <c r="G1383" s="1" t="s">
        <v>7322</v>
      </c>
      <c r="H1383" s="1"/>
      <c r="I1383" s="1"/>
      <c r="J1383" s="1"/>
      <c r="K1383" s="1"/>
      <c r="L1383" s="1"/>
      <c r="M1383" s="1"/>
      <c r="N1383" s="1"/>
      <c r="O1383" s="1"/>
      <c r="P1383" s="1"/>
      <c r="Q1383" s="17"/>
    </row>
    <row x14ac:dyDescent="0.25" r="1384" customHeight="1" ht="18.75">
      <c r="A1384" s="1"/>
      <c r="B1384" s="1" t="s">
        <v>38133</v>
      </c>
      <c r="C1384" s="1" t="s">
        <v>7</v>
      </c>
      <c r="D1384" s="1" t="s">
        <v>10</v>
      </c>
      <c r="E1384" s="1" t="s">
        <v>37034</v>
      </c>
      <c r="F1384" s="1"/>
      <c r="G1384" s="1" t="s">
        <v>18096</v>
      </c>
      <c r="H1384" s="1"/>
      <c r="I1384" s="1"/>
      <c r="J1384" s="1"/>
      <c r="K1384" s="1"/>
      <c r="L1384" s="1"/>
      <c r="M1384" s="1"/>
      <c r="N1384" s="1"/>
      <c r="O1384" s="1"/>
      <c r="P1384" s="1"/>
      <c r="Q1384" s="17"/>
    </row>
    <row x14ac:dyDescent="0.25" r="1385" customHeight="1" ht="18.75">
      <c r="A1385" s="1"/>
      <c r="B1385" s="1" t="s">
        <v>38134</v>
      </c>
      <c r="C1385" s="1" t="s">
        <v>7</v>
      </c>
      <c r="D1385" s="1" t="s">
        <v>10</v>
      </c>
      <c r="E1385" s="1" t="s">
        <v>37034</v>
      </c>
      <c r="F1385" s="1"/>
      <c r="G1385" s="1" t="s">
        <v>4589</v>
      </c>
      <c r="H1385" s="1"/>
      <c r="I1385" s="1"/>
      <c r="J1385" s="1"/>
      <c r="K1385" s="1"/>
      <c r="L1385" s="1"/>
      <c r="M1385" s="1"/>
      <c r="N1385" s="1"/>
      <c r="O1385" s="1"/>
      <c r="P1385" s="1"/>
      <c r="Q1385" s="17"/>
    </row>
    <row x14ac:dyDescent="0.25" r="1386" customHeight="1" ht="18.75">
      <c r="A1386" s="1"/>
      <c r="B1386" s="1" t="s">
        <v>38135</v>
      </c>
      <c r="C1386" s="1" t="s">
        <v>7</v>
      </c>
      <c r="D1386" s="1" t="s">
        <v>10</v>
      </c>
      <c r="E1386" s="1" t="s">
        <v>37034</v>
      </c>
      <c r="F1386" s="1"/>
      <c r="G1386" s="1" t="s">
        <v>4083</v>
      </c>
      <c r="H1386" s="1"/>
      <c r="I1386" s="1"/>
      <c r="J1386" s="1"/>
      <c r="K1386" s="1"/>
      <c r="L1386" s="1"/>
      <c r="M1386" s="1"/>
      <c r="N1386" s="1"/>
      <c r="O1386" s="1"/>
      <c r="P1386" s="1"/>
      <c r="Q1386" s="17"/>
    </row>
    <row x14ac:dyDescent="0.25" r="1387" customHeight="1" ht="18.75">
      <c r="A1387" s="1"/>
      <c r="B1387" s="1" t="s">
        <v>38136</v>
      </c>
      <c r="C1387" s="1" t="s">
        <v>7</v>
      </c>
      <c r="D1387" s="1" t="s">
        <v>10</v>
      </c>
      <c r="E1387" s="1" t="s">
        <v>37034</v>
      </c>
      <c r="F1387" s="1"/>
      <c r="G1387" s="1" t="s">
        <v>8191</v>
      </c>
      <c r="H1387" s="1"/>
      <c r="I1387" s="1"/>
      <c r="J1387" s="1"/>
      <c r="K1387" s="1"/>
      <c r="L1387" s="1"/>
      <c r="M1387" s="1"/>
      <c r="N1387" s="1"/>
      <c r="O1387" s="1"/>
      <c r="P1387" s="1"/>
      <c r="Q1387" s="17"/>
    </row>
    <row x14ac:dyDescent="0.25" r="1388" customHeight="1" ht="18.75">
      <c r="A1388" s="1"/>
      <c r="B1388" s="1" t="s">
        <v>38137</v>
      </c>
      <c r="C1388" s="1" t="s">
        <v>7</v>
      </c>
      <c r="D1388" s="1" t="s">
        <v>10</v>
      </c>
      <c r="E1388" s="1" t="s">
        <v>37034</v>
      </c>
      <c r="F1388" s="1"/>
      <c r="G1388" s="1" t="s">
        <v>8191</v>
      </c>
      <c r="H1388" s="1"/>
      <c r="I1388" s="1"/>
      <c r="J1388" s="1"/>
      <c r="K1388" s="1"/>
      <c r="L1388" s="1"/>
      <c r="M1388" s="1"/>
      <c r="N1388" s="1"/>
      <c r="O1388" s="1"/>
      <c r="P1388" s="1"/>
      <c r="Q1388" s="17"/>
    </row>
    <row x14ac:dyDescent="0.25" r="1389" customHeight="1" ht="18.75">
      <c r="A1389" s="1"/>
      <c r="B1389" s="1" t="s">
        <v>38138</v>
      </c>
      <c r="C1389" s="1" t="s">
        <v>7</v>
      </c>
      <c r="D1389" s="1" t="s">
        <v>10</v>
      </c>
      <c r="E1389" s="1" t="s">
        <v>37034</v>
      </c>
      <c r="F1389" s="1"/>
      <c r="G1389" s="1" t="s">
        <v>18410</v>
      </c>
      <c r="H1389" s="1"/>
      <c r="I1389" s="1"/>
      <c r="J1389" s="1"/>
      <c r="K1389" s="1"/>
      <c r="L1389" s="1"/>
      <c r="M1389" s="1"/>
      <c r="N1389" s="1"/>
      <c r="O1389" s="1"/>
      <c r="P1389" s="1"/>
      <c r="Q1389" s="17"/>
    </row>
    <row x14ac:dyDescent="0.25" r="1390" customHeight="1" ht="18.75">
      <c r="A1390" s="1"/>
      <c r="B1390" s="1" t="s">
        <v>38139</v>
      </c>
      <c r="C1390" s="1" t="s">
        <v>7</v>
      </c>
      <c r="D1390" s="1" t="s">
        <v>10</v>
      </c>
      <c r="E1390" s="1" t="s">
        <v>37034</v>
      </c>
      <c r="F1390" s="1"/>
      <c r="G1390" s="1" t="s">
        <v>4582</v>
      </c>
      <c r="H1390" s="1"/>
      <c r="I1390" s="1"/>
      <c r="J1390" s="1"/>
      <c r="K1390" s="1"/>
      <c r="L1390" s="1"/>
      <c r="M1390" s="1"/>
      <c r="N1390" s="1"/>
      <c r="O1390" s="1"/>
      <c r="P1390" s="1"/>
      <c r="Q1390" s="17"/>
    </row>
    <row x14ac:dyDescent="0.25" r="1391" customHeight="1" ht="18.75">
      <c r="A1391" s="1"/>
      <c r="B1391" s="1" t="s">
        <v>38140</v>
      </c>
      <c r="C1391" s="1" t="s">
        <v>7</v>
      </c>
      <c r="D1391" s="1" t="s">
        <v>10</v>
      </c>
      <c r="E1391" s="1" t="s">
        <v>37034</v>
      </c>
      <c r="F1391" s="1"/>
      <c r="G1391" s="1" t="s">
        <v>4582</v>
      </c>
      <c r="H1391" s="1"/>
      <c r="I1391" s="1"/>
      <c r="J1391" s="1"/>
      <c r="K1391" s="1"/>
      <c r="L1391" s="1"/>
      <c r="M1391" s="1"/>
      <c r="N1391" s="1"/>
      <c r="O1391" s="1"/>
      <c r="P1391" s="1"/>
      <c r="Q1391" s="17"/>
    </row>
    <row x14ac:dyDescent="0.25" r="1392" customHeight="1" ht="18.75">
      <c r="A1392" s="1"/>
      <c r="B1392" s="1" t="s">
        <v>38141</v>
      </c>
      <c r="C1392" s="1" t="s">
        <v>7</v>
      </c>
      <c r="D1392" s="1" t="s">
        <v>10</v>
      </c>
      <c r="E1392" s="1" t="s">
        <v>37034</v>
      </c>
      <c r="F1392" s="1"/>
      <c r="G1392" s="1" t="s">
        <v>4181</v>
      </c>
      <c r="H1392" s="1"/>
      <c r="I1392" s="1"/>
      <c r="J1392" s="1"/>
      <c r="K1392" s="1"/>
      <c r="L1392" s="1"/>
      <c r="M1392" s="1"/>
      <c r="N1392" s="1"/>
      <c r="O1392" s="1"/>
      <c r="P1392" s="1"/>
      <c r="Q1392" s="17"/>
    </row>
    <row x14ac:dyDescent="0.25" r="1393" customHeight="1" ht="18.75">
      <c r="A1393" s="1"/>
      <c r="B1393" s="1" t="s">
        <v>38142</v>
      </c>
      <c r="C1393" s="1" t="s">
        <v>7</v>
      </c>
      <c r="D1393" s="1" t="s">
        <v>10</v>
      </c>
      <c r="E1393" s="1" t="s">
        <v>37034</v>
      </c>
      <c r="F1393" s="1"/>
      <c r="G1393" s="1" t="s">
        <v>8306</v>
      </c>
      <c r="H1393" s="1"/>
      <c r="I1393" s="1"/>
      <c r="J1393" s="1"/>
      <c r="K1393" s="1"/>
      <c r="L1393" s="1"/>
      <c r="M1393" s="1"/>
      <c r="N1393" s="1"/>
      <c r="O1393" s="1"/>
      <c r="P1393" s="1"/>
      <c r="Q1393" s="17"/>
    </row>
    <row x14ac:dyDescent="0.25" r="1394" customHeight="1" ht="18.75">
      <c r="A1394" s="1"/>
      <c r="B1394" s="1" t="s">
        <v>38143</v>
      </c>
      <c r="C1394" s="1" t="s">
        <v>7</v>
      </c>
      <c r="D1394" s="1" t="s">
        <v>10</v>
      </c>
      <c r="E1394" s="1" t="s">
        <v>37034</v>
      </c>
      <c r="F1394" s="1"/>
      <c r="G1394" s="1" t="s">
        <v>38144</v>
      </c>
      <c r="H1394" s="1"/>
      <c r="I1394" s="1"/>
      <c r="J1394" s="1"/>
      <c r="K1394" s="1"/>
      <c r="L1394" s="1"/>
      <c r="M1394" s="1"/>
      <c r="N1394" s="1"/>
      <c r="O1394" s="1"/>
      <c r="P1394" s="1"/>
      <c r="Q1394" s="17"/>
    </row>
    <row x14ac:dyDescent="0.25" r="1395" customHeight="1" ht="18.75">
      <c r="A1395" s="1"/>
      <c r="B1395" s="1" t="s">
        <v>38145</v>
      </c>
      <c r="C1395" s="1" t="s">
        <v>7</v>
      </c>
      <c r="D1395" s="1" t="s">
        <v>10</v>
      </c>
      <c r="E1395" s="1" t="s">
        <v>37034</v>
      </c>
      <c r="F1395" s="1"/>
      <c r="G1395" s="1" t="s">
        <v>9236</v>
      </c>
      <c r="H1395" s="1"/>
      <c r="I1395" s="1"/>
      <c r="J1395" s="1"/>
      <c r="K1395" s="1"/>
      <c r="L1395" s="1"/>
      <c r="M1395" s="1"/>
      <c r="N1395" s="1"/>
      <c r="O1395" s="1"/>
      <c r="P1395" s="1"/>
      <c r="Q1395" s="17"/>
    </row>
    <row x14ac:dyDescent="0.25" r="1396" customHeight="1" ht="18.75">
      <c r="A1396" s="1"/>
      <c r="B1396" s="1" t="s">
        <v>38146</v>
      </c>
      <c r="C1396" s="1" t="s">
        <v>7</v>
      </c>
      <c r="D1396" s="1" t="s">
        <v>10</v>
      </c>
      <c r="E1396" s="1" t="s">
        <v>37034</v>
      </c>
      <c r="F1396" s="1"/>
      <c r="G1396" s="1" t="s">
        <v>9236</v>
      </c>
      <c r="H1396" s="1"/>
      <c r="I1396" s="1"/>
      <c r="J1396" s="1"/>
      <c r="K1396" s="1"/>
      <c r="L1396" s="1"/>
      <c r="M1396" s="1"/>
      <c r="N1396" s="1"/>
      <c r="O1396" s="1"/>
      <c r="P1396" s="1"/>
      <c r="Q1396" s="17"/>
    </row>
    <row x14ac:dyDescent="0.25" r="1397" customHeight="1" ht="18.75">
      <c r="A1397" s="1"/>
      <c r="B1397" s="1" t="s">
        <v>38147</v>
      </c>
      <c r="C1397" s="1" t="s">
        <v>7</v>
      </c>
      <c r="D1397" s="1" t="s">
        <v>10</v>
      </c>
      <c r="E1397" s="1" t="s">
        <v>37034</v>
      </c>
      <c r="F1397" s="1"/>
      <c r="G1397" s="1" t="s">
        <v>9236</v>
      </c>
      <c r="H1397" s="1"/>
      <c r="I1397" s="1"/>
      <c r="J1397" s="1"/>
      <c r="K1397" s="1"/>
      <c r="L1397" s="1"/>
      <c r="M1397" s="1"/>
      <c r="N1397" s="1"/>
      <c r="O1397" s="1"/>
      <c r="P1397" s="1"/>
      <c r="Q1397" s="17"/>
    </row>
    <row x14ac:dyDescent="0.25" r="1398" customHeight="1" ht="18.75">
      <c r="A1398" s="1"/>
      <c r="B1398" s="1" t="s">
        <v>38148</v>
      </c>
      <c r="C1398" s="1" t="s">
        <v>7</v>
      </c>
      <c r="D1398" s="1" t="s">
        <v>10</v>
      </c>
      <c r="E1398" s="1" t="s">
        <v>37034</v>
      </c>
      <c r="F1398" s="1"/>
      <c r="G1398" s="1" t="s">
        <v>24399</v>
      </c>
      <c r="H1398" s="1"/>
      <c r="I1398" s="1"/>
      <c r="J1398" s="1"/>
      <c r="K1398" s="1"/>
      <c r="L1398" s="1"/>
      <c r="M1398" s="1"/>
      <c r="N1398" s="1"/>
      <c r="O1398" s="1"/>
      <c r="P1398" s="1"/>
      <c r="Q1398" s="17"/>
    </row>
    <row x14ac:dyDescent="0.25" r="1399" customHeight="1" ht="18.75">
      <c r="A1399" s="1"/>
      <c r="B1399" s="1" t="s">
        <v>38149</v>
      </c>
      <c r="C1399" s="1" t="s">
        <v>7</v>
      </c>
      <c r="D1399" s="1" t="s">
        <v>10</v>
      </c>
      <c r="E1399" s="1" t="s">
        <v>37034</v>
      </c>
      <c r="F1399" s="1"/>
      <c r="G1399" s="1" t="s">
        <v>9273</v>
      </c>
      <c r="H1399" s="1"/>
      <c r="I1399" s="1"/>
      <c r="J1399" s="1"/>
      <c r="K1399" s="1"/>
      <c r="L1399" s="1"/>
      <c r="M1399" s="1"/>
      <c r="N1399" s="1"/>
      <c r="O1399" s="1"/>
      <c r="P1399" s="1"/>
      <c r="Q1399" s="17"/>
    </row>
    <row x14ac:dyDescent="0.25" r="1400" customHeight="1" ht="18.75">
      <c r="A1400" s="1"/>
      <c r="B1400" s="1" t="s">
        <v>38150</v>
      </c>
      <c r="C1400" s="1" t="s">
        <v>7</v>
      </c>
      <c r="D1400" s="1" t="s">
        <v>10</v>
      </c>
      <c r="E1400" s="1" t="s">
        <v>37034</v>
      </c>
      <c r="F1400" s="1"/>
      <c r="G1400" s="1" t="s">
        <v>5108</v>
      </c>
      <c r="H1400" s="1"/>
      <c r="I1400" s="1"/>
      <c r="J1400" s="1"/>
      <c r="K1400" s="1"/>
      <c r="L1400" s="1"/>
      <c r="M1400" s="1"/>
      <c r="N1400" s="1"/>
      <c r="O1400" s="1"/>
      <c r="P1400" s="1"/>
      <c r="Q1400" s="17"/>
    </row>
    <row x14ac:dyDescent="0.25" r="1401" customHeight="1" ht="18.75">
      <c r="A1401" s="1"/>
      <c r="B1401" s="1" t="s">
        <v>38151</v>
      </c>
      <c r="C1401" s="1" t="s">
        <v>7</v>
      </c>
      <c r="D1401" s="1" t="s">
        <v>10</v>
      </c>
      <c r="E1401" s="1" t="s">
        <v>37034</v>
      </c>
      <c r="F1401" s="1"/>
      <c r="G1401" s="1" t="s">
        <v>4214</v>
      </c>
      <c r="H1401" s="1"/>
      <c r="I1401" s="1"/>
      <c r="J1401" s="1"/>
      <c r="K1401" s="1"/>
      <c r="L1401" s="1"/>
      <c r="M1401" s="1"/>
      <c r="N1401" s="1"/>
      <c r="O1401" s="1"/>
      <c r="P1401" s="1"/>
      <c r="Q1401" s="17"/>
    </row>
    <row x14ac:dyDescent="0.25" r="1402" customHeight="1" ht="18.75">
      <c r="A1402" s="1"/>
      <c r="B1402" s="1" t="s">
        <v>38152</v>
      </c>
      <c r="C1402" s="1" t="s">
        <v>7</v>
      </c>
      <c r="D1402" s="1" t="s">
        <v>10</v>
      </c>
      <c r="E1402" s="1" t="s">
        <v>37034</v>
      </c>
      <c r="F1402" s="1"/>
      <c r="G1402" s="1" t="s">
        <v>25917</v>
      </c>
      <c r="H1402" s="1"/>
      <c r="I1402" s="1"/>
      <c r="J1402" s="1"/>
      <c r="K1402" s="1"/>
      <c r="L1402" s="1"/>
      <c r="M1402" s="1"/>
      <c r="N1402" s="1"/>
      <c r="O1402" s="1"/>
      <c r="P1402" s="1"/>
      <c r="Q1402" s="17"/>
    </row>
    <row x14ac:dyDescent="0.25" r="1403" customHeight="1" ht="18.75">
      <c r="A1403" s="1"/>
      <c r="B1403" s="1" t="s">
        <v>38153</v>
      </c>
      <c r="C1403" s="1" t="s">
        <v>7</v>
      </c>
      <c r="D1403" s="1" t="s">
        <v>10</v>
      </c>
      <c r="E1403" s="1" t="s">
        <v>37034</v>
      </c>
      <c r="F1403" s="1"/>
      <c r="G1403" s="1" t="s">
        <v>4229</v>
      </c>
      <c r="H1403" s="1"/>
      <c r="I1403" s="1"/>
      <c r="J1403" s="1"/>
      <c r="K1403" s="1"/>
      <c r="L1403" s="1"/>
      <c r="M1403" s="1"/>
      <c r="N1403" s="1"/>
      <c r="O1403" s="1"/>
      <c r="P1403" s="1"/>
      <c r="Q1403" s="17"/>
    </row>
    <row x14ac:dyDescent="0.25" r="1404" customHeight="1" ht="18.75">
      <c r="A1404" s="1"/>
      <c r="B1404" s="1" t="s">
        <v>38154</v>
      </c>
      <c r="C1404" s="1" t="s">
        <v>7</v>
      </c>
      <c r="D1404" s="1" t="s">
        <v>10</v>
      </c>
      <c r="E1404" s="1" t="s">
        <v>37034</v>
      </c>
      <c r="F1404" s="1"/>
      <c r="G1404" s="1" t="s">
        <v>32849</v>
      </c>
      <c r="H1404" s="1"/>
      <c r="I1404" s="1"/>
      <c r="J1404" s="1"/>
      <c r="K1404" s="1"/>
      <c r="L1404" s="1"/>
      <c r="M1404" s="1"/>
      <c r="N1404" s="1"/>
      <c r="O1404" s="1"/>
      <c r="P1404" s="1"/>
      <c r="Q1404" s="17"/>
    </row>
    <row x14ac:dyDescent="0.25" r="1405" customHeight="1" ht="18.75">
      <c r="A1405" s="1"/>
      <c r="B1405" s="1" t="s">
        <v>38155</v>
      </c>
      <c r="C1405" s="1" t="s">
        <v>7</v>
      </c>
      <c r="D1405" s="1" t="s">
        <v>10</v>
      </c>
      <c r="E1405" s="1" t="s">
        <v>37034</v>
      </c>
      <c r="F1405" s="1"/>
      <c r="G1405" s="1" t="s">
        <v>4614</v>
      </c>
      <c r="H1405" s="1"/>
      <c r="I1405" s="1"/>
      <c r="J1405" s="1"/>
      <c r="K1405" s="1"/>
      <c r="L1405" s="1"/>
      <c r="M1405" s="1"/>
      <c r="N1405" s="1"/>
      <c r="O1405" s="1"/>
      <c r="P1405" s="1"/>
      <c r="Q1405" s="17"/>
    </row>
    <row x14ac:dyDescent="0.25" r="1406" customHeight="1" ht="18.75">
      <c r="A1406" s="1"/>
      <c r="B1406" s="1" t="s">
        <v>38156</v>
      </c>
      <c r="C1406" s="1" t="s">
        <v>7</v>
      </c>
      <c r="D1406" s="1" t="s">
        <v>10</v>
      </c>
      <c r="E1406" s="1" t="s">
        <v>37034</v>
      </c>
      <c r="F1406" s="1"/>
      <c r="G1406" s="1" t="s">
        <v>3957</v>
      </c>
      <c r="H1406" s="1"/>
      <c r="I1406" s="1"/>
      <c r="J1406" s="1"/>
      <c r="K1406" s="1"/>
      <c r="L1406" s="1"/>
      <c r="M1406" s="1"/>
      <c r="N1406" s="1"/>
      <c r="O1406" s="1"/>
      <c r="P1406" s="1"/>
      <c r="Q1406" s="17"/>
    </row>
    <row x14ac:dyDescent="0.25" r="1407" customHeight="1" ht="18.75">
      <c r="A1407" s="1"/>
      <c r="B1407" s="1" t="s">
        <v>38157</v>
      </c>
      <c r="C1407" s="1" t="s">
        <v>7</v>
      </c>
      <c r="D1407" s="1" t="s">
        <v>10</v>
      </c>
      <c r="E1407" s="1" t="s">
        <v>37034</v>
      </c>
      <c r="F1407" s="1"/>
      <c r="G1407" s="1" t="s">
        <v>4247</v>
      </c>
      <c r="H1407" s="1"/>
      <c r="I1407" s="1"/>
      <c r="J1407" s="1"/>
      <c r="K1407" s="1"/>
      <c r="L1407" s="1"/>
      <c r="M1407" s="1"/>
      <c r="N1407" s="1"/>
      <c r="O1407" s="1"/>
      <c r="P1407" s="1"/>
      <c r="Q1407" s="17"/>
    </row>
    <row x14ac:dyDescent="0.25" r="1408" customHeight="1" ht="18.75">
      <c r="A1408" s="1"/>
      <c r="B1408" s="1" t="s">
        <v>38158</v>
      </c>
      <c r="C1408" s="1" t="s">
        <v>7</v>
      </c>
      <c r="D1408" s="1" t="s">
        <v>10</v>
      </c>
      <c r="E1408" s="1" t="s">
        <v>37034</v>
      </c>
      <c r="F1408" s="1"/>
      <c r="G1408" s="1" t="s">
        <v>4247</v>
      </c>
      <c r="H1408" s="1"/>
      <c r="I1408" s="1"/>
      <c r="J1408" s="1"/>
      <c r="K1408" s="1"/>
      <c r="L1408" s="1"/>
      <c r="M1408" s="1"/>
      <c r="N1408" s="1"/>
      <c r="O1408" s="1"/>
      <c r="P1408" s="1"/>
      <c r="Q1408" s="17"/>
    </row>
    <row x14ac:dyDescent="0.25" r="1409" customHeight="1" ht="18.75">
      <c r="A1409" s="1"/>
      <c r="B1409" s="1" t="s">
        <v>38159</v>
      </c>
      <c r="C1409" s="1" t="s">
        <v>7</v>
      </c>
      <c r="D1409" s="1" t="s">
        <v>10</v>
      </c>
      <c r="E1409" s="1" t="s">
        <v>37034</v>
      </c>
      <c r="F1409" s="1"/>
      <c r="G1409" s="1" t="s">
        <v>29574</v>
      </c>
      <c r="H1409" s="1"/>
      <c r="I1409" s="1"/>
      <c r="J1409" s="1"/>
      <c r="K1409" s="1"/>
      <c r="L1409" s="1"/>
      <c r="M1409" s="1"/>
      <c r="N1409" s="1"/>
      <c r="O1409" s="1"/>
      <c r="P1409" s="1"/>
      <c r="Q1409" s="17"/>
    </row>
    <row x14ac:dyDescent="0.25" r="1410" customHeight="1" ht="18.75">
      <c r="A1410" s="1"/>
      <c r="B1410" s="1" t="s">
        <v>38160</v>
      </c>
      <c r="C1410" s="1" t="s">
        <v>7</v>
      </c>
      <c r="D1410" s="1" t="s">
        <v>10</v>
      </c>
      <c r="E1410" s="1" t="s">
        <v>37034</v>
      </c>
      <c r="F1410" s="1"/>
      <c r="G1410" s="1" t="s">
        <v>7877</v>
      </c>
      <c r="H1410" s="1"/>
      <c r="I1410" s="1"/>
      <c r="J1410" s="1"/>
      <c r="K1410" s="1"/>
      <c r="L1410" s="1"/>
      <c r="M1410" s="1"/>
      <c r="N1410" s="1"/>
      <c r="O1410" s="1"/>
      <c r="P1410" s="1"/>
      <c r="Q1410" s="17"/>
    </row>
    <row x14ac:dyDescent="0.25" r="1411" customHeight="1" ht="18.75">
      <c r="A1411" s="1"/>
      <c r="B1411" s="1" t="s">
        <v>38161</v>
      </c>
      <c r="C1411" s="1" t="s">
        <v>7</v>
      </c>
      <c r="D1411" s="1" t="s">
        <v>10</v>
      </c>
      <c r="E1411" s="1" t="s">
        <v>37034</v>
      </c>
      <c r="F1411" s="1"/>
      <c r="G1411" s="1" t="s">
        <v>4263</v>
      </c>
      <c r="H1411" s="1"/>
      <c r="I1411" s="1"/>
      <c r="J1411" s="1"/>
      <c r="K1411" s="1"/>
      <c r="L1411" s="1"/>
      <c r="M1411" s="1"/>
      <c r="N1411" s="1"/>
      <c r="O1411" s="1"/>
      <c r="P1411" s="1"/>
      <c r="Q1411" s="17"/>
    </row>
    <row x14ac:dyDescent="0.25" r="1412" customHeight="1" ht="18.75">
      <c r="A1412" s="1"/>
      <c r="B1412" s="1" t="s">
        <v>38162</v>
      </c>
      <c r="C1412" s="1" t="s">
        <v>7</v>
      </c>
      <c r="D1412" s="1" t="s">
        <v>10</v>
      </c>
      <c r="E1412" s="1" t="s">
        <v>37034</v>
      </c>
      <c r="F1412" s="1"/>
      <c r="G1412" s="1" t="s">
        <v>6717</v>
      </c>
      <c r="H1412" s="1"/>
      <c r="I1412" s="1"/>
      <c r="J1412" s="1"/>
      <c r="K1412" s="1"/>
      <c r="L1412" s="1"/>
      <c r="M1412" s="1"/>
      <c r="N1412" s="1"/>
      <c r="O1412" s="1"/>
      <c r="P1412" s="1"/>
      <c r="Q1412" s="17"/>
    </row>
    <row x14ac:dyDescent="0.25" r="1413" customHeight="1" ht="18.75">
      <c r="A1413" s="1"/>
      <c r="B1413" s="1" t="s">
        <v>38163</v>
      </c>
      <c r="C1413" s="1" t="s">
        <v>7</v>
      </c>
      <c r="D1413" s="1" t="s">
        <v>10</v>
      </c>
      <c r="E1413" s="1" t="s">
        <v>37034</v>
      </c>
      <c r="F1413" s="1"/>
      <c r="G1413" s="1" t="s">
        <v>38164</v>
      </c>
      <c r="H1413" s="1"/>
      <c r="I1413" s="1"/>
      <c r="J1413" s="1"/>
      <c r="K1413" s="1"/>
      <c r="L1413" s="1"/>
      <c r="M1413" s="1"/>
      <c r="N1413" s="1"/>
      <c r="O1413" s="1"/>
      <c r="P1413" s="1"/>
      <c r="Q1413" s="17"/>
    </row>
    <row x14ac:dyDescent="0.25" r="1414" customHeight="1" ht="18.75">
      <c r="A1414" s="1"/>
      <c r="B1414" s="1" t="s">
        <v>38165</v>
      </c>
      <c r="C1414" s="1" t="s">
        <v>7</v>
      </c>
      <c r="D1414" s="1" t="s">
        <v>10</v>
      </c>
      <c r="E1414" s="1" t="s">
        <v>37034</v>
      </c>
      <c r="F1414" s="1"/>
      <c r="G1414" s="1" t="s">
        <v>38166</v>
      </c>
      <c r="H1414" s="1"/>
      <c r="I1414" s="1"/>
      <c r="J1414" s="1"/>
      <c r="K1414" s="1"/>
      <c r="L1414" s="1"/>
      <c r="M1414" s="1"/>
      <c r="N1414" s="1"/>
      <c r="O1414" s="1"/>
      <c r="P1414" s="1"/>
      <c r="Q1414" s="17"/>
    </row>
    <row x14ac:dyDescent="0.25" r="1415" customHeight="1" ht="18.75">
      <c r="A1415" s="1"/>
      <c r="B1415" s="1" t="s">
        <v>38167</v>
      </c>
      <c r="C1415" s="1" t="s">
        <v>7</v>
      </c>
      <c r="D1415" s="1" t="s">
        <v>10</v>
      </c>
      <c r="E1415" s="1" t="s">
        <v>37034</v>
      </c>
      <c r="F1415" s="1"/>
      <c r="G1415" s="1" t="s">
        <v>4455</v>
      </c>
      <c r="H1415" s="1"/>
      <c r="I1415" s="1"/>
      <c r="J1415" s="1"/>
      <c r="K1415" s="1"/>
      <c r="L1415" s="1"/>
      <c r="M1415" s="1"/>
      <c r="N1415" s="1"/>
      <c r="O1415" s="1"/>
      <c r="P1415" s="1"/>
      <c r="Q1415" s="17"/>
    </row>
    <row x14ac:dyDescent="0.25" r="1416" customHeight="1" ht="18.75">
      <c r="A1416" s="1"/>
      <c r="B1416" s="1" t="s">
        <v>38168</v>
      </c>
      <c r="C1416" s="1" t="s">
        <v>7</v>
      </c>
      <c r="D1416" s="1" t="s">
        <v>10</v>
      </c>
      <c r="E1416" s="1" t="s">
        <v>37034</v>
      </c>
      <c r="F1416" s="1"/>
      <c r="G1416" s="1" t="s">
        <v>38169</v>
      </c>
      <c r="H1416" s="1"/>
      <c r="I1416" s="1"/>
      <c r="J1416" s="1"/>
      <c r="K1416" s="1"/>
      <c r="L1416" s="1"/>
      <c r="M1416" s="1"/>
      <c r="N1416" s="1"/>
      <c r="O1416" s="1"/>
      <c r="P1416" s="1"/>
      <c r="Q1416" s="17"/>
    </row>
    <row x14ac:dyDescent="0.25" r="1417" customHeight="1" ht="18.75">
      <c r="A1417" s="1"/>
      <c r="B1417" s="1" t="s">
        <v>38170</v>
      </c>
      <c r="C1417" s="1" t="s">
        <v>7</v>
      </c>
      <c r="D1417" s="1" t="s">
        <v>10</v>
      </c>
      <c r="E1417" s="1" t="s">
        <v>37034</v>
      </c>
      <c r="F1417" s="1"/>
      <c r="G1417" s="1" t="s">
        <v>38171</v>
      </c>
      <c r="H1417" s="1"/>
      <c r="I1417" s="1"/>
      <c r="J1417" s="1"/>
      <c r="K1417" s="1"/>
      <c r="L1417" s="1"/>
      <c r="M1417" s="1"/>
      <c r="N1417" s="1"/>
      <c r="O1417" s="1"/>
      <c r="P1417" s="1"/>
      <c r="Q1417" s="17"/>
    </row>
    <row x14ac:dyDescent="0.25" r="1418" customHeight="1" ht="18.75">
      <c r="A1418" s="1"/>
      <c r="B1418" s="1" t="s">
        <v>38172</v>
      </c>
      <c r="C1418" s="1" t="s">
        <v>7</v>
      </c>
      <c r="D1418" s="1" t="s">
        <v>10</v>
      </c>
      <c r="E1418" s="1" t="s">
        <v>37034</v>
      </c>
      <c r="F1418" s="1"/>
      <c r="G1418" s="1" t="s">
        <v>38173</v>
      </c>
      <c r="H1418" s="1"/>
      <c r="I1418" s="1"/>
      <c r="J1418" s="1"/>
      <c r="K1418" s="1"/>
      <c r="L1418" s="1"/>
      <c r="M1418" s="1"/>
      <c r="N1418" s="1"/>
      <c r="O1418" s="1"/>
      <c r="P1418" s="1"/>
      <c r="Q1418" s="17"/>
    </row>
    <row x14ac:dyDescent="0.25" r="1419" customHeight="1" ht="18.75">
      <c r="A1419" s="1"/>
      <c r="B1419" s="1" t="s">
        <v>38174</v>
      </c>
      <c r="C1419" s="1" t="s">
        <v>7</v>
      </c>
      <c r="D1419" s="1" t="s">
        <v>10</v>
      </c>
      <c r="E1419" s="1" t="s">
        <v>37034</v>
      </c>
      <c r="F1419" s="1"/>
      <c r="G1419" s="1" t="s">
        <v>38175</v>
      </c>
      <c r="H1419" s="1"/>
      <c r="I1419" s="1"/>
      <c r="J1419" s="1"/>
      <c r="K1419" s="1"/>
      <c r="L1419" s="1"/>
      <c r="M1419" s="1"/>
      <c r="N1419" s="1"/>
      <c r="O1419" s="1"/>
      <c r="P1419" s="1"/>
      <c r="Q1419" s="17"/>
    </row>
    <row x14ac:dyDescent="0.25" r="1420" customHeight="1" ht="18.75">
      <c r="A1420" s="1"/>
      <c r="B1420" s="1" t="s">
        <v>38176</v>
      </c>
      <c r="C1420" s="1" t="s">
        <v>7</v>
      </c>
      <c r="D1420" s="1" t="s">
        <v>10</v>
      </c>
      <c r="E1420" s="1" t="s">
        <v>37034</v>
      </c>
      <c r="F1420" s="1"/>
      <c r="G1420" s="1" t="s">
        <v>38177</v>
      </c>
      <c r="H1420" s="1"/>
      <c r="I1420" s="1"/>
      <c r="J1420" s="1"/>
      <c r="K1420" s="1"/>
      <c r="L1420" s="1"/>
      <c r="M1420" s="1"/>
      <c r="N1420" s="1"/>
      <c r="O1420" s="1"/>
      <c r="P1420" s="1"/>
      <c r="Q1420" s="17"/>
    </row>
    <row x14ac:dyDescent="0.25" r="1421" customHeight="1" ht="18.75">
      <c r="A1421" s="1"/>
      <c r="B1421" s="1" t="s">
        <v>38178</v>
      </c>
      <c r="C1421" s="1" t="s">
        <v>7</v>
      </c>
      <c r="D1421" s="1" t="s">
        <v>10</v>
      </c>
      <c r="E1421" s="1" t="s">
        <v>37034</v>
      </c>
      <c r="F1421" s="1"/>
      <c r="G1421" s="1" t="s">
        <v>38179</v>
      </c>
      <c r="H1421" s="1"/>
      <c r="I1421" s="1"/>
      <c r="J1421" s="1"/>
      <c r="K1421" s="1"/>
      <c r="L1421" s="1"/>
      <c r="M1421" s="1"/>
      <c r="N1421" s="1"/>
      <c r="O1421" s="1"/>
      <c r="P1421" s="1"/>
      <c r="Q1421" s="17"/>
    </row>
    <row x14ac:dyDescent="0.25" r="1422" customHeight="1" ht="18.75">
      <c r="A1422" s="1"/>
      <c r="B1422" s="1" t="s">
        <v>38180</v>
      </c>
      <c r="C1422" s="1" t="s">
        <v>7</v>
      </c>
      <c r="D1422" s="1" t="s">
        <v>10</v>
      </c>
      <c r="E1422" s="1" t="s">
        <v>37034</v>
      </c>
      <c r="F1422" s="1"/>
      <c r="G1422" s="1" t="s">
        <v>38181</v>
      </c>
      <c r="H1422" s="1"/>
      <c r="I1422" s="1"/>
      <c r="J1422" s="1"/>
      <c r="K1422" s="1"/>
      <c r="L1422" s="1"/>
      <c r="M1422" s="1"/>
      <c r="N1422" s="1"/>
      <c r="O1422" s="1"/>
      <c r="P1422" s="1"/>
      <c r="Q1422" s="17"/>
    </row>
    <row x14ac:dyDescent="0.25" r="1423" customHeight="1" ht="18.75">
      <c r="A1423" s="1"/>
      <c r="B1423" s="1" t="s">
        <v>38182</v>
      </c>
      <c r="C1423" s="1" t="s">
        <v>7</v>
      </c>
      <c r="D1423" s="1" t="s">
        <v>10</v>
      </c>
      <c r="E1423" s="1" t="s">
        <v>37034</v>
      </c>
      <c r="F1423" s="1"/>
      <c r="G1423" s="1" t="s">
        <v>38183</v>
      </c>
      <c r="H1423" s="1"/>
      <c r="I1423" s="1"/>
      <c r="J1423" s="1"/>
      <c r="K1423" s="1"/>
      <c r="L1423" s="1"/>
      <c r="M1423" s="1"/>
      <c r="N1423" s="1"/>
      <c r="O1423" s="1"/>
      <c r="P1423" s="1"/>
      <c r="Q1423" s="17"/>
    </row>
    <row x14ac:dyDescent="0.25" r="1424" customHeight="1" ht="18.75">
      <c r="A1424" s="1"/>
      <c r="B1424" s="1" t="s">
        <v>38184</v>
      </c>
      <c r="C1424" s="1" t="s">
        <v>7</v>
      </c>
      <c r="D1424" s="1" t="s">
        <v>10</v>
      </c>
      <c r="E1424" s="1" t="s">
        <v>37034</v>
      </c>
      <c r="F1424" s="1"/>
      <c r="G1424" s="1" t="s">
        <v>38185</v>
      </c>
      <c r="H1424" s="1"/>
      <c r="I1424" s="1"/>
      <c r="J1424" s="1"/>
      <c r="K1424" s="1"/>
      <c r="L1424" s="1"/>
      <c r="M1424" s="1"/>
      <c r="N1424" s="1"/>
      <c r="O1424" s="1"/>
      <c r="P1424" s="1"/>
      <c r="Q1424" s="17"/>
    </row>
    <row x14ac:dyDescent="0.25" r="1425" customHeight="1" ht="18.75">
      <c r="A1425" s="1"/>
      <c r="B1425" s="1" t="s">
        <v>38186</v>
      </c>
      <c r="C1425" s="1" t="s">
        <v>7</v>
      </c>
      <c r="D1425" s="1" t="s">
        <v>10</v>
      </c>
      <c r="E1425" s="1" t="s">
        <v>37034</v>
      </c>
      <c r="F1425" s="1"/>
      <c r="G1425" s="1" t="s">
        <v>38187</v>
      </c>
      <c r="H1425" s="1"/>
      <c r="I1425" s="1"/>
      <c r="J1425" s="1"/>
      <c r="K1425" s="1"/>
      <c r="L1425" s="1"/>
      <c r="M1425" s="1"/>
      <c r="N1425" s="1"/>
      <c r="O1425" s="1"/>
      <c r="P1425" s="1"/>
      <c r="Q1425" s="17"/>
    </row>
    <row x14ac:dyDescent="0.25" r="1426" customHeight="1" ht="18.75">
      <c r="A1426" s="1"/>
      <c r="B1426" s="1" t="s">
        <v>38188</v>
      </c>
      <c r="C1426" s="1" t="s">
        <v>7</v>
      </c>
      <c r="D1426" s="1" t="s">
        <v>10</v>
      </c>
      <c r="E1426" s="1" t="s">
        <v>37034</v>
      </c>
      <c r="F1426" s="1"/>
      <c r="G1426" s="1" t="s">
        <v>38189</v>
      </c>
      <c r="H1426" s="1"/>
      <c r="I1426" s="1"/>
      <c r="J1426" s="1"/>
      <c r="K1426" s="1"/>
      <c r="L1426" s="1"/>
      <c r="M1426" s="1"/>
      <c r="N1426" s="1"/>
      <c r="O1426" s="1"/>
      <c r="P1426" s="1"/>
      <c r="Q1426" s="17"/>
    </row>
    <row x14ac:dyDescent="0.25" r="1427" customHeight="1" ht="18.75">
      <c r="A1427" s="1"/>
      <c r="B1427" s="1" t="s">
        <v>38190</v>
      </c>
      <c r="C1427" s="1" t="s">
        <v>7</v>
      </c>
      <c r="D1427" s="1" t="s">
        <v>10</v>
      </c>
      <c r="E1427" s="1" t="s">
        <v>37034</v>
      </c>
      <c r="F1427" s="1"/>
      <c r="G1427" s="1" t="s">
        <v>38191</v>
      </c>
      <c r="H1427" s="1"/>
      <c r="I1427" s="1"/>
      <c r="J1427" s="1"/>
      <c r="K1427" s="1"/>
      <c r="L1427" s="1"/>
      <c r="M1427" s="1"/>
      <c r="N1427" s="1"/>
      <c r="O1427" s="1"/>
      <c r="P1427" s="1"/>
      <c r="Q1427" s="17"/>
    </row>
    <row x14ac:dyDescent="0.25" r="1428" customHeight="1" ht="18.75">
      <c r="A1428" s="1"/>
      <c r="B1428" s="1" t="s">
        <v>38192</v>
      </c>
      <c r="C1428" s="1" t="s">
        <v>7</v>
      </c>
      <c r="D1428" s="1" t="s">
        <v>10</v>
      </c>
      <c r="E1428" s="1" t="s">
        <v>37034</v>
      </c>
      <c r="F1428" s="1"/>
      <c r="G1428" s="1" t="s">
        <v>38193</v>
      </c>
      <c r="H1428" s="1"/>
      <c r="I1428" s="1"/>
      <c r="J1428" s="1"/>
      <c r="K1428" s="1"/>
      <c r="L1428" s="1"/>
      <c r="M1428" s="1"/>
      <c r="N1428" s="1"/>
      <c r="O1428" s="1"/>
      <c r="P1428" s="1"/>
      <c r="Q1428" s="17"/>
    </row>
    <row x14ac:dyDescent="0.25" r="1429" customHeight="1" ht="18.75">
      <c r="A1429" s="1"/>
      <c r="B1429" s="1" t="s">
        <v>38194</v>
      </c>
      <c r="C1429" s="1" t="s">
        <v>7</v>
      </c>
      <c r="D1429" s="1" t="s">
        <v>10</v>
      </c>
      <c r="E1429" s="1" t="s">
        <v>37034</v>
      </c>
      <c r="F1429" s="1"/>
      <c r="G1429" s="1" t="s">
        <v>38195</v>
      </c>
      <c r="H1429" s="1"/>
      <c r="I1429" s="1"/>
      <c r="J1429" s="1"/>
      <c r="K1429" s="1"/>
      <c r="L1429" s="1"/>
      <c r="M1429" s="1"/>
      <c r="N1429" s="1"/>
      <c r="O1429" s="1"/>
      <c r="P1429" s="1"/>
      <c r="Q1429" s="17"/>
    </row>
    <row x14ac:dyDescent="0.25" r="1430" customHeight="1" ht="18.75">
      <c r="A1430" s="1"/>
      <c r="B1430" s="1" t="s">
        <v>38196</v>
      </c>
      <c r="C1430" s="1" t="s">
        <v>7</v>
      </c>
      <c r="D1430" s="1" t="s">
        <v>10</v>
      </c>
      <c r="E1430" s="1" t="s">
        <v>37034</v>
      </c>
      <c r="F1430" s="1"/>
      <c r="G1430" s="1" t="s">
        <v>38197</v>
      </c>
      <c r="H1430" s="1"/>
      <c r="I1430" s="1"/>
      <c r="J1430" s="1"/>
      <c r="K1430" s="1"/>
      <c r="L1430" s="1"/>
      <c r="M1430" s="1"/>
      <c r="N1430" s="1"/>
      <c r="O1430" s="1"/>
      <c r="P1430" s="1"/>
      <c r="Q1430" s="17"/>
    </row>
    <row x14ac:dyDescent="0.25" r="1431" customHeight="1" ht="18.75">
      <c r="A1431" s="1"/>
      <c r="B1431" s="1" t="s">
        <v>38198</v>
      </c>
      <c r="C1431" s="1" t="s">
        <v>7</v>
      </c>
      <c r="D1431" s="1" t="s">
        <v>10</v>
      </c>
      <c r="E1431" s="1" t="s">
        <v>37034</v>
      </c>
      <c r="F1431" s="1"/>
      <c r="G1431" s="1" t="s">
        <v>38199</v>
      </c>
      <c r="H1431" s="1"/>
      <c r="I1431" s="1"/>
      <c r="J1431" s="1"/>
      <c r="K1431" s="1"/>
      <c r="L1431" s="1"/>
      <c r="M1431" s="1"/>
      <c r="N1431" s="1"/>
      <c r="O1431" s="1"/>
      <c r="P1431" s="1"/>
      <c r="Q1431" s="17"/>
    </row>
    <row x14ac:dyDescent="0.25" r="1432" customHeight="1" ht="18.75">
      <c r="A1432" s="1"/>
      <c r="B1432" s="1" t="s">
        <v>38200</v>
      </c>
      <c r="C1432" s="1" t="s">
        <v>7</v>
      </c>
      <c r="D1432" s="1" t="s">
        <v>10</v>
      </c>
      <c r="E1432" s="1" t="s">
        <v>37034</v>
      </c>
      <c r="F1432" s="1"/>
      <c r="G1432" s="1" t="s">
        <v>38201</v>
      </c>
      <c r="H1432" s="1"/>
      <c r="I1432" s="1"/>
      <c r="J1432" s="1"/>
      <c r="K1432" s="1"/>
      <c r="L1432" s="1"/>
      <c r="M1432" s="1"/>
      <c r="N1432" s="1"/>
      <c r="O1432" s="1"/>
      <c r="P1432" s="1"/>
      <c r="Q1432" s="17"/>
    </row>
    <row x14ac:dyDescent="0.25" r="1433" customHeight="1" ht="18.75">
      <c r="A1433" s="1"/>
      <c r="B1433" s="1" t="s">
        <v>38202</v>
      </c>
      <c r="C1433" s="1" t="s">
        <v>7</v>
      </c>
      <c r="D1433" s="1" t="s">
        <v>10</v>
      </c>
      <c r="E1433" s="1" t="s">
        <v>37034</v>
      </c>
      <c r="F1433" s="1"/>
      <c r="G1433" s="1" t="s">
        <v>38203</v>
      </c>
      <c r="H1433" s="1"/>
      <c r="I1433" s="1"/>
      <c r="J1433" s="1"/>
      <c r="K1433" s="1"/>
      <c r="L1433" s="1"/>
      <c r="M1433" s="1"/>
      <c r="N1433" s="1"/>
      <c r="O1433" s="1"/>
      <c r="P1433" s="1"/>
      <c r="Q1433" s="17"/>
    </row>
    <row x14ac:dyDescent="0.25" r="1434" customHeight="1" ht="18.75">
      <c r="A1434" s="1"/>
      <c r="B1434" s="1" t="s">
        <v>38204</v>
      </c>
      <c r="C1434" s="1" t="s">
        <v>7</v>
      </c>
      <c r="D1434" s="1" t="s">
        <v>10</v>
      </c>
      <c r="E1434" s="1" t="s">
        <v>37034</v>
      </c>
      <c r="F1434" s="1"/>
      <c r="G1434" s="1" t="s">
        <v>38205</v>
      </c>
      <c r="H1434" s="1"/>
      <c r="I1434" s="1"/>
      <c r="J1434" s="1"/>
      <c r="K1434" s="1"/>
      <c r="L1434" s="1"/>
      <c r="M1434" s="1"/>
      <c r="N1434" s="1"/>
      <c r="O1434" s="1"/>
      <c r="P1434" s="1"/>
      <c r="Q1434" s="17"/>
    </row>
    <row x14ac:dyDescent="0.25" r="1435" customHeight="1" ht="18.75">
      <c r="A1435" s="1"/>
      <c r="B1435" s="1" t="s">
        <v>38206</v>
      </c>
      <c r="C1435" s="1" t="s">
        <v>7</v>
      </c>
      <c r="D1435" s="1" t="s">
        <v>10</v>
      </c>
      <c r="E1435" s="1" t="s">
        <v>37034</v>
      </c>
      <c r="F1435" s="1"/>
      <c r="G1435" s="1" t="s">
        <v>38207</v>
      </c>
      <c r="H1435" s="1"/>
      <c r="I1435" s="1"/>
      <c r="J1435" s="1"/>
      <c r="K1435" s="1"/>
      <c r="L1435" s="1"/>
      <c r="M1435" s="1"/>
      <c r="N1435" s="1"/>
      <c r="O1435" s="1"/>
      <c r="P1435" s="1"/>
      <c r="Q1435" s="17"/>
    </row>
    <row x14ac:dyDescent="0.25" r="1436" customHeight="1" ht="18.75">
      <c r="A1436" s="1"/>
      <c r="B1436" s="1" t="s">
        <v>38208</v>
      </c>
      <c r="C1436" s="1" t="s">
        <v>7</v>
      </c>
      <c r="D1436" s="1" t="s">
        <v>10</v>
      </c>
      <c r="E1436" s="1" t="s">
        <v>37034</v>
      </c>
      <c r="F1436" s="1"/>
      <c r="G1436" s="1" t="s">
        <v>38209</v>
      </c>
      <c r="H1436" s="1"/>
      <c r="I1436" s="1"/>
      <c r="J1436" s="1"/>
      <c r="K1436" s="1"/>
      <c r="L1436" s="1"/>
      <c r="M1436" s="1"/>
      <c r="N1436" s="1"/>
      <c r="O1436" s="1"/>
      <c r="P1436" s="1"/>
      <c r="Q1436" s="17"/>
    </row>
    <row x14ac:dyDescent="0.25" r="1437" customHeight="1" ht="18.75">
      <c r="A1437" s="1"/>
      <c r="B1437" s="1" t="s">
        <v>38210</v>
      </c>
      <c r="C1437" s="1" t="s">
        <v>7</v>
      </c>
      <c r="D1437" s="1" t="s">
        <v>10</v>
      </c>
      <c r="E1437" s="1" t="s">
        <v>37034</v>
      </c>
      <c r="F1437" s="1"/>
      <c r="G1437" s="1" t="s">
        <v>38209</v>
      </c>
      <c r="H1437" s="1"/>
      <c r="I1437" s="1"/>
      <c r="J1437" s="1"/>
      <c r="K1437" s="1"/>
      <c r="L1437" s="1"/>
      <c r="M1437" s="1"/>
      <c r="N1437" s="1"/>
      <c r="O1437" s="1"/>
      <c r="P1437" s="1"/>
      <c r="Q1437" s="17"/>
    </row>
    <row x14ac:dyDescent="0.25" r="1438" customHeight="1" ht="18.75">
      <c r="A1438" s="1"/>
      <c r="B1438" s="1" t="s">
        <v>38211</v>
      </c>
      <c r="C1438" s="1" t="s">
        <v>7</v>
      </c>
      <c r="D1438" s="1" t="s">
        <v>10</v>
      </c>
      <c r="E1438" s="1" t="s">
        <v>37034</v>
      </c>
      <c r="F1438" s="1"/>
      <c r="G1438" s="1" t="s">
        <v>38209</v>
      </c>
      <c r="H1438" s="1"/>
      <c r="I1438" s="1"/>
      <c r="J1438" s="1"/>
      <c r="K1438" s="1"/>
      <c r="L1438" s="1"/>
      <c r="M1438" s="1"/>
      <c r="N1438" s="1"/>
      <c r="O1438" s="1"/>
      <c r="P1438" s="1"/>
      <c r="Q1438" s="17"/>
    </row>
    <row x14ac:dyDescent="0.25" r="1439" customHeight="1" ht="18.75">
      <c r="A1439" s="1"/>
      <c r="B1439" s="1" t="s">
        <v>38212</v>
      </c>
      <c r="C1439" s="1" t="s">
        <v>7</v>
      </c>
      <c r="D1439" s="1" t="s">
        <v>10</v>
      </c>
      <c r="E1439" s="1" t="s">
        <v>37034</v>
      </c>
      <c r="F1439" s="1"/>
      <c r="G1439" s="1" t="s">
        <v>38213</v>
      </c>
      <c r="H1439" s="1"/>
      <c r="I1439" s="1"/>
      <c r="J1439" s="1"/>
      <c r="K1439" s="1"/>
      <c r="L1439" s="1"/>
      <c r="M1439" s="1"/>
      <c r="N1439" s="1"/>
      <c r="O1439" s="1"/>
      <c r="P1439" s="1"/>
      <c r="Q1439" s="17"/>
    </row>
    <row x14ac:dyDescent="0.25" r="1440" customHeight="1" ht="18.75">
      <c r="A1440" s="1"/>
      <c r="B1440" s="1" t="s">
        <v>38214</v>
      </c>
      <c r="C1440" s="1" t="s">
        <v>7</v>
      </c>
      <c r="D1440" s="1" t="s">
        <v>10</v>
      </c>
      <c r="E1440" s="1" t="s">
        <v>37034</v>
      </c>
      <c r="F1440" s="1"/>
      <c r="G1440" s="1" t="s">
        <v>38215</v>
      </c>
      <c r="H1440" s="1"/>
      <c r="I1440" s="1"/>
      <c r="J1440" s="1"/>
      <c r="K1440" s="1"/>
      <c r="L1440" s="1"/>
      <c r="M1440" s="1"/>
      <c r="N1440" s="1"/>
      <c r="O1440" s="1"/>
      <c r="P1440" s="1"/>
      <c r="Q1440" s="17"/>
    </row>
    <row x14ac:dyDescent="0.25" r="1441" customHeight="1" ht="18.75">
      <c r="A1441" s="1"/>
      <c r="B1441" s="1" t="s">
        <v>38216</v>
      </c>
      <c r="C1441" s="1" t="s">
        <v>7</v>
      </c>
      <c r="D1441" s="1" t="s">
        <v>10</v>
      </c>
      <c r="E1441" s="1" t="s">
        <v>37034</v>
      </c>
      <c r="F1441" s="1"/>
      <c r="G1441" s="1" t="s">
        <v>38217</v>
      </c>
      <c r="H1441" s="1"/>
      <c r="I1441" s="1"/>
      <c r="J1441" s="1"/>
      <c r="K1441" s="1"/>
      <c r="L1441" s="1"/>
      <c r="M1441" s="1"/>
      <c r="N1441" s="1"/>
      <c r="O1441" s="1"/>
      <c r="P1441" s="1"/>
      <c r="Q1441" s="17"/>
    </row>
    <row x14ac:dyDescent="0.25" r="1442" customHeight="1" ht="18.75">
      <c r="A1442" s="1"/>
      <c r="B1442" s="1" t="s">
        <v>38218</v>
      </c>
      <c r="C1442" s="1" t="s">
        <v>7</v>
      </c>
      <c r="D1442" s="1" t="s">
        <v>10</v>
      </c>
      <c r="E1442" s="1" t="s">
        <v>37034</v>
      </c>
      <c r="F1442" s="1"/>
      <c r="G1442" s="1" t="s">
        <v>38219</v>
      </c>
      <c r="H1442" s="1"/>
      <c r="I1442" s="1"/>
      <c r="J1442" s="1"/>
      <c r="K1442" s="1"/>
      <c r="L1442" s="1"/>
      <c r="M1442" s="1"/>
      <c r="N1442" s="1"/>
      <c r="O1442" s="1"/>
      <c r="P1442" s="1"/>
      <c r="Q1442" s="17"/>
    </row>
    <row x14ac:dyDescent="0.25" r="1443" customHeight="1" ht="18.75">
      <c r="A1443" s="1"/>
      <c r="B1443" s="1" t="s">
        <v>38220</v>
      </c>
      <c r="C1443" s="1" t="s">
        <v>7</v>
      </c>
      <c r="D1443" s="1" t="s">
        <v>10</v>
      </c>
      <c r="E1443" s="1" t="s">
        <v>37034</v>
      </c>
      <c r="F1443" s="1"/>
      <c r="G1443" s="1" t="s">
        <v>38221</v>
      </c>
      <c r="H1443" s="1"/>
      <c r="I1443" s="1"/>
      <c r="J1443" s="1"/>
      <c r="K1443" s="1"/>
      <c r="L1443" s="1"/>
      <c r="M1443" s="1"/>
      <c r="N1443" s="1"/>
      <c r="O1443" s="1"/>
      <c r="P1443" s="1"/>
      <c r="Q1443" s="17"/>
    </row>
    <row x14ac:dyDescent="0.25" r="1444" customHeight="1" ht="18.75">
      <c r="A1444" s="1"/>
      <c r="B1444" s="1" t="s">
        <v>38222</v>
      </c>
      <c r="C1444" s="1" t="s">
        <v>7</v>
      </c>
      <c r="D1444" s="1" t="s">
        <v>10</v>
      </c>
      <c r="E1444" s="1" t="s">
        <v>37034</v>
      </c>
      <c r="F1444" s="1"/>
      <c r="G1444" s="1" t="s">
        <v>38223</v>
      </c>
      <c r="H1444" s="1"/>
      <c r="I1444" s="1"/>
      <c r="J1444" s="1"/>
      <c r="K1444" s="1"/>
      <c r="L1444" s="1"/>
      <c r="M1444" s="1"/>
      <c r="N1444" s="1"/>
      <c r="O1444" s="1"/>
      <c r="P1444" s="1"/>
      <c r="Q1444" s="17"/>
    </row>
    <row x14ac:dyDescent="0.25" r="1445" customHeight="1" ht="18.75">
      <c r="A1445" s="1"/>
      <c r="B1445" s="1" t="s">
        <v>38224</v>
      </c>
      <c r="C1445" s="1" t="s">
        <v>7</v>
      </c>
      <c r="D1445" s="1" t="s">
        <v>10</v>
      </c>
      <c r="E1445" s="1" t="s">
        <v>37034</v>
      </c>
      <c r="F1445" s="1"/>
      <c r="G1445" s="1" t="s">
        <v>38225</v>
      </c>
      <c r="H1445" s="1"/>
      <c r="I1445" s="1"/>
      <c r="J1445" s="1"/>
      <c r="K1445" s="1"/>
      <c r="L1445" s="1"/>
      <c r="M1445" s="1"/>
      <c r="N1445" s="1"/>
      <c r="O1445" s="1"/>
      <c r="P1445" s="1"/>
      <c r="Q1445" s="17"/>
    </row>
    <row x14ac:dyDescent="0.25" r="1446" customHeight="1" ht="18.75">
      <c r="A1446" s="1"/>
      <c r="B1446" s="1" t="s">
        <v>38226</v>
      </c>
      <c r="C1446" s="1" t="s">
        <v>7</v>
      </c>
      <c r="D1446" s="1" t="s">
        <v>10</v>
      </c>
      <c r="E1446" s="1" t="s">
        <v>37034</v>
      </c>
      <c r="F1446" s="1"/>
      <c r="G1446" s="1" t="s">
        <v>38227</v>
      </c>
      <c r="H1446" s="1"/>
      <c r="I1446" s="1"/>
      <c r="J1446" s="1"/>
      <c r="K1446" s="1"/>
      <c r="L1446" s="1"/>
      <c r="M1446" s="1"/>
      <c r="N1446" s="1"/>
      <c r="O1446" s="1"/>
      <c r="P1446" s="1"/>
      <c r="Q1446" s="17"/>
    </row>
    <row x14ac:dyDescent="0.25" r="1447" customHeight="1" ht="18.75">
      <c r="A1447" s="1"/>
      <c r="B1447" s="1" t="s">
        <v>38228</v>
      </c>
      <c r="C1447" s="1" t="s">
        <v>7</v>
      </c>
      <c r="D1447" s="1" t="s">
        <v>10</v>
      </c>
      <c r="E1447" s="1" t="s">
        <v>37034</v>
      </c>
      <c r="F1447" s="1"/>
      <c r="G1447" s="1" t="s">
        <v>38229</v>
      </c>
      <c r="H1447" s="1"/>
      <c r="I1447" s="1"/>
      <c r="J1447" s="1"/>
      <c r="K1447" s="1"/>
      <c r="L1447" s="1"/>
      <c r="M1447" s="1"/>
      <c r="N1447" s="1"/>
      <c r="O1447" s="1"/>
      <c r="P1447" s="1"/>
      <c r="Q1447" s="17"/>
    </row>
    <row x14ac:dyDescent="0.25" r="1448" customHeight="1" ht="18.75">
      <c r="A1448" s="1"/>
      <c r="B1448" s="1" t="s">
        <v>38230</v>
      </c>
      <c r="C1448" s="1" t="s">
        <v>7</v>
      </c>
      <c r="D1448" s="1" t="s">
        <v>10</v>
      </c>
      <c r="E1448" s="1" t="s">
        <v>37034</v>
      </c>
      <c r="F1448" s="1"/>
      <c r="G1448" s="1" t="s">
        <v>38231</v>
      </c>
      <c r="H1448" s="1"/>
      <c r="I1448" s="1"/>
      <c r="J1448" s="1"/>
      <c r="K1448" s="1"/>
      <c r="L1448" s="1"/>
      <c r="M1448" s="1"/>
      <c r="N1448" s="1"/>
      <c r="O1448" s="1"/>
      <c r="P1448" s="1"/>
      <c r="Q1448" s="17"/>
    </row>
    <row x14ac:dyDescent="0.25" r="1449" customHeight="1" ht="18.75">
      <c r="A1449" s="1"/>
      <c r="B1449" s="1" t="s">
        <v>38232</v>
      </c>
      <c r="C1449" s="1" t="s">
        <v>7</v>
      </c>
      <c r="D1449" s="1" t="s">
        <v>10</v>
      </c>
      <c r="E1449" s="1" t="s">
        <v>37034</v>
      </c>
      <c r="F1449" s="1"/>
      <c r="G1449" s="1" t="s">
        <v>38233</v>
      </c>
      <c r="H1449" s="1"/>
      <c r="I1449" s="1"/>
      <c r="J1449" s="1"/>
      <c r="K1449" s="1"/>
      <c r="L1449" s="1"/>
      <c r="M1449" s="1"/>
      <c r="N1449" s="1"/>
      <c r="O1449" s="1"/>
      <c r="P1449" s="1"/>
      <c r="Q1449" s="17"/>
    </row>
    <row x14ac:dyDescent="0.25" r="1450" customHeight="1" ht="18.75">
      <c r="A1450" s="1"/>
      <c r="B1450" s="1" t="s">
        <v>38234</v>
      </c>
      <c r="C1450" s="1" t="s">
        <v>7</v>
      </c>
      <c r="D1450" s="1" t="s">
        <v>10</v>
      </c>
      <c r="E1450" s="1" t="s">
        <v>37034</v>
      </c>
      <c r="F1450" s="1"/>
      <c r="G1450" s="1" t="s">
        <v>38233</v>
      </c>
      <c r="H1450" s="1"/>
      <c r="I1450" s="1"/>
      <c r="J1450" s="1"/>
      <c r="K1450" s="1"/>
      <c r="L1450" s="1"/>
      <c r="M1450" s="1"/>
      <c r="N1450" s="1"/>
      <c r="O1450" s="1"/>
      <c r="P1450" s="1"/>
      <c r="Q1450" s="17"/>
    </row>
    <row x14ac:dyDescent="0.25" r="1451" customHeight="1" ht="18.75">
      <c r="A1451" s="1"/>
      <c r="B1451" s="1" t="s">
        <v>38235</v>
      </c>
      <c r="C1451" s="1" t="s">
        <v>7</v>
      </c>
      <c r="D1451" s="1" t="s">
        <v>10</v>
      </c>
      <c r="E1451" s="1" t="s">
        <v>37034</v>
      </c>
      <c r="F1451" s="1"/>
      <c r="G1451" s="1" t="s">
        <v>38236</v>
      </c>
      <c r="H1451" s="1"/>
      <c r="I1451" s="1"/>
      <c r="J1451" s="1"/>
      <c r="K1451" s="1"/>
      <c r="L1451" s="1"/>
      <c r="M1451" s="1"/>
      <c r="N1451" s="1"/>
      <c r="O1451" s="1"/>
      <c r="P1451" s="1"/>
      <c r="Q1451" s="17"/>
    </row>
    <row x14ac:dyDescent="0.25" r="1452" customHeight="1" ht="18.75">
      <c r="A1452" s="1"/>
      <c r="B1452" s="1" t="s">
        <v>38237</v>
      </c>
      <c r="C1452" s="1" t="s">
        <v>7</v>
      </c>
      <c r="D1452" s="1" t="s">
        <v>10</v>
      </c>
      <c r="E1452" s="1" t="s">
        <v>37034</v>
      </c>
      <c r="F1452" s="1"/>
      <c r="G1452" s="1" t="s">
        <v>38229</v>
      </c>
      <c r="H1452" s="1"/>
      <c r="I1452" s="1"/>
      <c r="J1452" s="1"/>
      <c r="K1452" s="1"/>
      <c r="L1452" s="1"/>
      <c r="M1452" s="1"/>
      <c r="N1452" s="1"/>
      <c r="O1452" s="1"/>
      <c r="P1452" s="1"/>
      <c r="Q1452" s="17"/>
    </row>
    <row x14ac:dyDescent="0.25" r="1453" customHeight="1" ht="18.75">
      <c r="A1453" s="1"/>
      <c r="B1453" s="1" t="s">
        <v>38238</v>
      </c>
      <c r="C1453" s="1" t="s">
        <v>7</v>
      </c>
      <c r="D1453" s="1" t="s">
        <v>10</v>
      </c>
      <c r="E1453" s="1" t="s">
        <v>37034</v>
      </c>
      <c r="F1453" s="1"/>
      <c r="G1453" s="1" t="s">
        <v>38239</v>
      </c>
      <c r="H1453" s="1"/>
      <c r="I1453" s="1"/>
      <c r="J1453" s="1"/>
      <c r="K1453" s="1"/>
      <c r="L1453" s="1"/>
      <c r="M1453" s="1"/>
      <c r="N1453" s="1"/>
      <c r="O1453" s="1"/>
      <c r="P1453" s="1"/>
      <c r="Q1453" s="17"/>
    </row>
    <row x14ac:dyDescent="0.25" r="1454" customHeight="1" ht="18.75">
      <c r="A1454" s="1"/>
      <c r="B1454" s="1" t="s">
        <v>38240</v>
      </c>
      <c r="C1454" s="1" t="s">
        <v>7</v>
      </c>
      <c r="D1454" s="1" t="s">
        <v>10</v>
      </c>
      <c r="E1454" s="1" t="s">
        <v>37034</v>
      </c>
      <c r="F1454" s="1"/>
      <c r="G1454" s="1" t="s">
        <v>38239</v>
      </c>
      <c r="H1454" s="1"/>
      <c r="I1454" s="1"/>
      <c r="J1454" s="1"/>
      <c r="K1454" s="1"/>
      <c r="L1454" s="1"/>
      <c r="M1454" s="1"/>
      <c r="N1454" s="1"/>
      <c r="O1454" s="1"/>
      <c r="P1454" s="1"/>
      <c r="Q1454" s="17"/>
    </row>
    <row x14ac:dyDescent="0.25" r="1455" customHeight="1" ht="18.75">
      <c r="A1455" s="1"/>
      <c r="B1455" s="1" t="s">
        <v>38241</v>
      </c>
      <c r="C1455" s="1" t="s">
        <v>7</v>
      </c>
      <c r="D1455" s="1" t="s">
        <v>10</v>
      </c>
      <c r="E1455" s="1" t="s">
        <v>37034</v>
      </c>
      <c r="F1455" s="1"/>
      <c r="G1455" s="1" t="s">
        <v>38242</v>
      </c>
      <c r="H1455" s="1"/>
      <c r="I1455" s="1"/>
      <c r="J1455" s="1"/>
      <c r="K1455" s="1"/>
      <c r="L1455" s="1"/>
      <c r="M1455" s="1"/>
      <c r="N1455" s="1"/>
      <c r="O1455" s="1"/>
      <c r="P1455" s="1"/>
      <c r="Q1455" s="17"/>
    </row>
    <row x14ac:dyDescent="0.25" r="1456" customHeight="1" ht="18.75">
      <c r="A1456" s="1"/>
      <c r="B1456" s="1" t="s">
        <v>38243</v>
      </c>
      <c r="C1456" s="1" t="s">
        <v>7</v>
      </c>
      <c r="D1456" s="1" t="s">
        <v>10</v>
      </c>
      <c r="E1456" s="1" t="s">
        <v>37034</v>
      </c>
      <c r="F1456" s="1"/>
      <c r="G1456" s="1" t="s">
        <v>38242</v>
      </c>
      <c r="H1456" s="1"/>
      <c r="I1456" s="1"/>
      <c r="J1456" s="1"/>
      <c r="K1456" s="1"/>
      <c r="L1456" s="1"/>
      <c r="M1456" s="1"/>
      <c r="N1456" s="1"/>
      <c r="O1456" s="1"/>
      <c r="P1456" s="1"/>
      <c r="Q1456" s="17"/>
    </row>
    <row x14ac:dyDescent="0.25" r="1457" customHeight="1" ht="18.75">
      <c r="A1457" s="1"/>
      <c r="B1457" s="1" t="s">
        <v>38244</v>
      </c>
      <c r="C1457" s="1" t="s">
        <v>7</v>
      </c>
      <c r="D1457" s="1" t="s">
        <v>10</v>
      </c>
      <c r="E1457" s="1" t="s">
        <v>37034</v>
      </c>
      <c r="F1457" s="1"/>
      <c r="G1457" s="1" t="s">
        <v>38242</v>
      </c>
      <c r="H1457" s="1"/>
      <c r="I1457" s="1"/>
      <c r="J1457" s="1"/>
      <c r="K1457" s="1"/>
      <c r="L1457" s="1"/>
      <c r="M1457" s="1"/>
      <c r="N1457" s="1"/>
      <c r="O1457" s="1"/>
      <c r="P1457" s="1"/>
      <c r="Q1457" s="17"/>
    </row>
    <row x14ac:dyDescent="0.25" r="1458" customHeight="1" ht="18.75">
      <c r="A1458" s="1"/>
      <c r="B1458" s="1" t="s">
        <v>38245</v>
      </c>
      <c r="C1458" s="1" t="s">
        <v>7</v>
      </c>
      <c r="D1458" s="1" t="s">
        <v>10</v>
      </c>
      <c r="E1458" s="1" t="s">
        <v>37034</v>
      </c>
      <c r="F1458" s="1"/>
      <c r="G1458" s="1" t="s">
        <v>38246</v>
      </c>
      <c r="H1458" s="1"/>
      <c r="I1458" s="1"/>
      <c r="J1458" s="1"/>
      <c r="K1458" s="1"/>
      <c r="L1458" s="1"/>
      <c r="M1458" s="1"/>
      <c r="N1458" s="1"/>
      <c r="O1458" s="1"/>
      <c r="P1458" s="1"/>
      <c r="Q1458" s="17"/>
    </row>
    <row x14ac:dyDescent="0.25" r="1459" customHeight="1" ht="18.75">
      <c r="A1459" s="1"/>
      <c r="B1459" s="1" t="s">
        <v>38247</v>
      </c>
      <c r="C1459" s="1" t="s">
        <v>7</v>
      </c>
      <c r="D1459" s="1" t="s">
        <v>10</v>
      </c>
      <c r="E1459" s="1" t="s">
        <v>37034</v>
      </c>
      <c r="F1459" s="1"/>
      <c r="G1459" s="1" t="s">
        <v>38248</v>
      </c>
      <c r="H1459" s="1"/>
      <c r="I1459" s="1"/>
      <c r="J1459" s="1"/>
      <c r="K1459" s="1"/>
      <c r="L1459" s="1"/>
      <c r="M1459" s="1"/>
      <c r="N1459" s="1"/>
      <c r="O1459" s="1"/>
      <c r="P1459" s="1"/>
      <c r="Q1459" s="17"/>
    </row>
    <row x14ac:dyDescent="0.25" r="1460" customHeight="1" ht="18.75">
      <c r="A1460" s="1"/>
      <c r="B1460" s="1" t="s">
        <v>38249</v>
      </c>
      <c r="C1460" s="1" t="s">
        <v>7</v>
      </c>
      <c r="D1460" s="1" t="s">
        <v>10</v>
      </c>
      <c r="E1460" s="1" t="s">
        <v>37034</v>
      </c>
      <c r="F1460" s="1"/>
      <c r="G1460" s="1" t="s">
        <v>38250</v>
      </c>
      <c r="H1460" s="1"/>
      <c r="I1460" s="1"/>
      <c r="J1460" s="1"/>
      <c r="K1460" s="1"/>
      <c r="L1460" s="1"/>
      <c r="M1460" s="1"/>
      <c r="N1460" s="1"/>
      <c r="O1460" s="1"/>
      <c r="P1460" s="1"/>
      <c r="Q1460" s="17"/>
    </row>
    <row x14ac:dyDescent="0.25" r="1461" customHeight="1" ht="18.75">
      <c r="A1461" s="1"/>
      <c r="B1461" s="1" t="s">
        <v>38251</v>
      </c>
      <c r="C1461" s="1" t="s">
        <v>7</v>
      </c>
      <c r="D1461" s="1" t="s">
        <v>10</v>
      </c>
      <c r="E1461" s="1" t="s">
        <v>37034</v>
      </c>
      <c r="F1461" s="1"/>
      <c r="G1461" s="1" t="s">
        <v>38252</v>
      </c>
      <c r="H1461" s="1"/>
      <c r="I1461" s="1"/>
      <c r="J1461" s="1"/>
      <c r="K1461" s="1"/>
      <c r="L1461" s="1"/>
      <c r="M1461" s="1"/>
      <c r="N1461" s="1"/>
      <c r="O1461" s="1"/>
      <c r="P1461" s="1"/>
      <c r="Q1461" s="17"/>
    </row>
    <row x14ac:dyDescent="0.25" r="1462" customHeight="1" ht="18.75">
      <c r="A1462" s="1"/>
      <c r="B1462" s="1" t="s">
        <v>38253</v>
      </c>
      <c r="C1462" s="1" t="s">
        <v>7</v>
      </c>
      <c r="D1462" s="1" t="s">
        <v>10</v>
      </c>
      <c r="E1462" s="1" t="s">
        <v>37034</v>
      </c>
      <c r="F1462" s="1"/>
      <c r="G1462" s="1" t="s">
        <v>38254</v>
      </c>
      <c r="H1462" s="1"/>
      <c r="I1462" s="1"/>
      <c r="J1462" s="1"/>
      <c r="K1462" s="1"/>
      <c r="L1462" s="1"/>
      <c r="M1462" s="1"/>
      <c r="N1462" s="1"/>
      <c r="O1462" s="1"/>
      <c r="P1462" s="1"/>
      <c r="Q1462" s="17"/>
    </row>
    <row x14ac:dyDescent="0.25" r="1463" customHeight="1" ht="18.75">
      <c r="A1463" s="1"/>
      <c r="B1463" s="1" t="s">
        <v>38255</v>
      </c>
      <c r="C1463" s="1" t="s">
        <v>7</v>
      </c>
      <c r="D1463" s="1" t="s">
        <v>10</v>
      </c>
      <c r="E1463" s="1" t="s">
        <v>37034</v>
      </c>
      <c r="F1463" s="1"/>
      <c r="G1463" s="1" t="s">
        <v>38256</v>
      </c>
      <c r="H1463" s="1"/>
      <c r="I1463" s="1"/>
      <c r="J1463" s="1"/>
      <c r="K1463" s="1"/>
      <c r="L1463" s="1"/>
      <c r="M1463" s="1"/>
      <c r="N1463" s="1"/>
      <c r="O1463" s="1"/>
      <c r="P1463" s="1"/>
      <c r="Q1463" s="17"/>
    </row>
    <row x14ac:dyDescent="0.25" r="1464" customHeight="1" ht="18.75">
      <c r="A1464" s="1"/>
      <c r="B1464" s="1" t="s">
        <v>38257</v>
      </c>
      <c r="C1464" s="1" t="s">
        <v>7</v>
      </c>
      <c r="D1464" s="1" t="s">
        <v>10</v>
      </c>
      <c r="E1464" s="1" t="s">
        <v>37034</v>
      </c>
      <c r="F1464" s="1"/>
      <c r="G1464" s="1" t="s">
        <v>38258</v>
      </c>
      <c r="H1464" s="1"/>
      <c r="I1464" s="1"/>
      <c r="J1464" s="1"/>
      <c r="K1464" s="1"/>
      <c r="L1464" s="1"/>
      <c r="M1464" s="1"/>
      <c r="N1464" s="1"/>
      <c r="O1464" s="1"/>
      <c r="P1464" s="1"/>
      <c r="Q1464" s="17"/>
    </row>
    <row x14ac:dyDescent="0.25" r="1465" customHeight="1" ht="18.75">
      <c r="A1465" s="1"/>
      <c r="B1465" s="1" t="s">
        <v>38259</v>
      </c>
      <c r="C1465" s="1" t="s">
        <v>7</v>
      </c>
      <c r="D1465" s="1" t="s">
        <v>10</v>
      </c>
      <c r="E1465" s="1" t="s">
        <v>37034</v>
      </c>
      <c r="F1465" s="1"/>
      <c r="G1465" s="1" t="s">
        <v>38260</v>
      </c>
      <c r="H1465" s="1"/>
      <c r="I1465" s="1"/>
      <c r="J1465" s="1"/>
      <c r="K1465" s="1"/>
      <c r="L1465" s="1"/>
      <c r="M1465" s="1"/>
      <c r="N1465" s="1"/>
      <c r="O1465" s="1"/>
      <c r="P1465" s="1"/>
      <c r="Q1465" s="17"/>
    </row>
    <row x14ac:dyDescent="0.25" r="1466" customHeight="1" ht="18.75">
      <c r="A1466" s="1"/>
      <c r="B1466" s="1" t="s">
        <v>38261</v>
      </c>
      <c r="C1466" s="1" t="s">
        <v>7</v>
      </c>
      <c r="D1466" s="1" t="s">
        <v>10</v>
      </c>
      <c r="E1466" s="1" t="s">
        <v>37034</v>
      </c>
      <c r="F1466" s="1"/>
      <c r="G1466" s="1" t="s">
        <v>38262</v>
      </c>
      <c r="H1466" s="1"/>
      <c r="I1466" s="1"/>
      <c r="J1466" s="1"/>
      <c r="K1466" s="1"/>
      <c r="L1466" s="1"/>
      <c r="M1466" s="1"/>
      <c r="N1466" s="1"/>
      <c r="O1466" s="1"/>
      <c r="P1466" s="1"/>
      <c r="Q1466" s="17"/>
    </row>
    <row x14ac:dyDescent="0.25" r="1467" customHeight="1" ht="18.75">
      <c r="A1467" s="1"/>
      <c r="B1467" s="1" t="s">
        <v>38263</v>
      </c>
      <c r="C1467" s="1" t="s">
        <v>7</v>
      </c>
      <c r="D1467" s="1" t="s">
        <v>10</v>
      </c>
      <c r="E1467" s="1" t="s">
        <v>37034</v>
      </c>
      <c r="F1467" s="1"/>
      <c r="G1467" s="1" t="s">
        <v>38264</v>
      </c>
      <c r="H1467" s="1"/>
      <c r="I1467" s="1"/>
      <c r="J1467" s="1"/>
      <c r="K1467" s="1"/>
      <c r="L1467" s="1"/>
      <c r="M1467" s="1"/>
      <c r="N1467" s="1"/>
      <c r="O1467" s="1"/>
      <c r="P1467" s="1"/>
      <c r="Q1467" s="17"/>
    </row>
    <row x14ac:dyDescent="0.25" r="1468" customHeight="1" ht="18.75">
      <c r="A1468" s="1"/>
      <c r="B1468" s="1" t="s">
        <v>38265</v>
      </c>
      <c r="C1468" s="1" t="s">
        <v>7</v>
      </c>
      <c r="D1468" s="1" t="s">
        <v>10</v>
      </c>
      <c r="E1468" s="1" t="s">
        <v>37034</v>
      </c>
      <c r="F1468" s="1"/>
      <c r="G1468" s="1" t="s">
        <v>38266</v>
      </c>
      <c r="H1468" s="1"/>
      <c r="I1468" s="1"/>
      <c r="J1468" s="1"/>
      <c r="K1468" s="1"/>
      <c r="L1468" s="1"/>
      <c r="M1468" s="1"/>
      <c r="N1468" s="1"/>
      <c r="O1468" s="1"/>
      <c r="P1468" s="1"/>
      <c r="Q1468" s="17"/>
    </row>
    <row x14ac:dyDescent="0.25" r="1469" customHeight="1" ht="18.75">
      <c r="A1469" s="1"/>
      <c r="B1469" s="1" t="s">
        <v>38267</v>
      </c>
      <c r="C1469" s="1" t="s">
        <v>7</v>
      </c>
      <c r="D1469" s="1" t="s">
        <v>10</v>
      </c>
      <c r="E1469" s="1" t="s">
        <v>37034</v>
      </c>
      <c r="F1469" s="1"/>
      <c r="G1469" s="1" t="s">
        <v>38268</v>
      </c>
      <c r="H1469" s="1"/>
      <c r="I1469" s="1"/>
      <c r="J1469" s="1"/>
      <c r="K1469" s="1"/>
      <c r="L1469" s="1"/>
      <c r="M1469" s="1"/>
      <c r="N1469" s="1"/>
      <c r="O1469" s="1"/>
      <c r="P1469" s="1"/>
      <c r="Q1469" s="17"/>
    </row>
    <row x14ac:dyDescent="0.25" r="1470" customHeight="1" ht="18.75">
      <c r="A1470" s="1"/>
      <c r="B1470" s="1" t="s">
        <v>38269</v>
      </c>
      <c r="C1470" s="1" t="s">
        <v>7</v>
      </c>
      <c r="D1470" s="1" t="s">
        <v>10</v>
      </c>
      <c r="E1470" s="1" t="s">
        <v>37034</v>
      </c>
      <c r="F1470" s="1"/>
      <c r="G1470" s="1" t="s">
        <v>38270</v>
      </c>
      <c r="H1470" s="1"/>
      <c r="I1470" s="1"/>
      <c r="J1470" s="1"/>
      <c r="K1470" s="1"/>
      <c r="L1470" s="1"/>
      <c r="M1470" s="1"/>
      <c r="N1470" s="1"/>
      <c r="O1470" s="1"/>
      <c r="P1470" s="1"/>
      <c r="Q1470" s="17"/>
    </row>
    <row x14ac:dyDescent="0.25" r="1471" customHeight="1" ht="18.75">
      <c r="A1471" s="1"/>
      <c r="B1471" s="1" t="s">
        <v>38271</v>
      </c>
      <c r="C1471" s="1" t="s">
        <v>7</v>
      </c>
      <c r="D1471" s="1" t="s">
        <v>10</v>
      </c>
      <c r="E1471" s="1" t="s">
        <v>37034</v>
      </c>
      <c r="F1471" s="1"/>
      <c r="G1471" s="1" t="s">
        <v>38272</v>
      </c>
      <c r="H1471" s="1"/>
      <c r="I1471" s="1"/>
      <c r="J1471" s="1"/>
      <c r="K1471" s="1"/>
      <c r="L1471" s="1"/>
      <c r="M1471" s="1"/>
      <c r="N1471" s="1"/>
      <c r="O1471" s="1"/>
      <c r="P1471" s="1"/>
      <c r="Q1471" s="17"/>
    </row>
    <row x14ac:dyDescent="0.25" r="1472" customHeight="1" ht="18.75">
      <c r="A1472" s="1"/>
      <c r="B1472" s="1" t="s">
        <v>38273</v>
      </c>
      <c r="C1472" s="1" t="s">
        <v>7</v>
      </c>
      <c r="D1472" s="1" t="s">
        <v>10</v>
      </c>
      <c r="E1472" s="1" t="s">
        <v>37034</v>
      </c>
      <c r="F1472" s="1"/>
      <c r="G1472" s="1" t="s">
        <v>38274</v>
      </c>
      <c r="H1472" s="1"/>
      <c r="I1472" s="1"/>
      <c r="J1472" s="1"/>
      <c r="K1472" s="1"/>
      <c r="L1472" s="1"/>
      <c r="M1472" s="1"/>
      <c r="N1472" s="1"/>
      <c r="O1472" s="1"/>
      <c r="P1472" s="1"/>
      <c r="Q1472" s="17"/>
    </row>
    <row x14ac:dyDescent="0.25" r="1473" customHeight="1" ht="18.75">
      <c r="A1473" s="1"/>
      <c r="B1473" s="1" t="s">
        <v>38275</v>
      </c>
      <c r="C1473" s="1" t="s">
        <v>7</v>
      </c>
      <c r="D1473" s="1" t="s">
        <v>10</v>
      </c>
      <c r="E1473" s="1" t="s">
        <v>37034</v>
      </c>
      <c r="F1473" s="1"/>
      <c r="G1473" s="1" t="s">
        <v>31925</v>
      </c>
      <c r="H1473" s="1"/>
      <c r="I1473" s="1"/>
      <c r="J1473" s="1"/>
      <c r="K1473" s="1"/>
      <c r="L1473" s="1"/>
      <c r="M1473" s="1"/>
      <c r="N1473" s="1"/>
      <c r="O1473" s="1"/>
      <c r="P1473" s="1"/>
      <c r="Q1473" s="17"/>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11175"/>
  <sheetViews>
    <sheetView workbookViewId="0"/>
  </sheetViews>
  <sheetFormatPr defaultRowHeight="15" x14ac:dyDescent="0.25"/>
  <cols>
    <col min="1" max="1" style="15" width="14.147857142857141" customWidth="1" bestFit="1"/>
    <col min="2" max="2" style="15" width="54.005" customWidth="1" bestFit="1"/>
    <col min="3" max="3" style="15" width="13.576428571428572" customWidth="1" bestFit="1"/>
    <col min="4" max="4" style="15" width="13.576428571428572" customWidth="1" bestFit="1"/>
    <col min="5" max="5" style="15" width="13.576428571428572" customWidth="1" bestFit="1"/>
    <col min="6" max="6" style="15" width="13.576428571428572" customWidth="1" bestFit="1"/>
    <col min="7" max="7" style="15" width="13.576428571428572" customWidth="1" bestFit="1"/>
    <col min="8" max="8" style="15" width="17.433571428571426" customWidth="1" bestFit="1"/>
    <col min="9" max="9" style="15" width="16.862142857142857" customWidth="1" bestFit="1"/>
    <col min="10" max="10" style="15" width="14.005" customWidth="1" bestFit="1"/>
    <col min="11" max="11" style="15" width="77.43357142857143" customWidth="1" bestFit="1"/>
    <col min="12" max="12" style="15" width="36.86214285714286" customWidth="1" bestFit="1"/>
    <col min="13" max="13" style="15" width="13.576428571428572" customWidth="1" bestFit="1"/>
  </cols>
  <sheetData>
    <row x14ac:dyDescent="0.25" r="1" customHeight="1" ht="18.75">
      <c r="A1" s="1" t="s">
        <v>3585</v>
      </c>
      <c r="B1" s="1" t="s">
        <v>3586</v>
      </c>
      <c r="C1" s="1" t="s">
        <v>3587</v>
      </c>
      <c r="D1" s="1" t="s">
        <v>3588</v>
      </c>
      <c r="E1" s="1" t="s">
        <v>3589</v>
      </c>
      <c r="F1" s="1" t="s">
        <v>3590</v>
      </c>
      <c r="G1" s="1" t="s">
        <v>3591</v>
      </c>
      <c r="H1" s="1" t="s">
        <v>3592</v>
      </c>
      <c r="I1" s="1" t="s">
        <v>3593</v>
      </c>
      <c r="J1" s="1" t="s">
        <v>3594</v>
      </c>
      <c r="K1" s="1" t="s">
        <v>3595</v>
      </c>
      <c r="L1" s="1" t="s">
        <v>3596</v>
      </c>
      <c r="M1" s="1" t="s">
        <v>3597</v>
      </c>
    </row>
    <row x14ac:dyDescent="0.25" r="2" customHeight="1" ht="18.75">
      <c r="A2" s="1" t="s">
        <v>3598</v>
      </c>
      <c r="B2" s="1" t="s">
        <v>3599</v>
      </c>
      <c r="C2" s="1" t="s">
        <v>3600</v>
      </c>
      <c r="D2" s="1" t="s">
        <v>3601</v>
      </c>
      <c r="E2" s="1"/>
      <c r="F2" s="1" t="s">
        <v>3602</v>
      </c>
      <c r="G2" s="1" t="s">
        <v>3603</v>
      </c>
      <c r="H2" s="1" t="s">
        <v>3604</v>
      </c>
      <c r="I2" s="1" t="s">
        <v>3605</v>
      </c>
      <c r="J2" s="1" t="s">
        <v>3606</v>
      </c>
      <c r="K2" s="1" t="s">
        <v>3607</v>
      </c>
      <c r="L2" s="1" t="s">
        <v>3608</v>
      </c>
      <c r="M2" s="1"/>
    </row>
    <row x14ac:dyDescent="0.25" r="3" customHeight="1" ht="18.75">
      <c r="A3" s="1" t="s">
        <v>3598</v>
      </c>
      <c r="B3" s="1" t="s">
        <v>3609</v>
      </c>
      <c r="C3" s="1" t="s">
        <v>3600</v>
      </c>
      <c r="D3" s="1" t="s">
        <v>3610</v>
      </c>
      <c r="E3" s="1" t="s">
        <v>3611</v>
      </c>
      <c r="F3" s="1" t="s">
        <v>3612</v>
      </c>
      <c r="G3" s="1" t="s">
        <v>3613</v>
      </c>
      <c r="H3" s="1" t="s">
        <v>3604</v>
      </c>
      <c r="I3" s="1" t="s">
        <v>3614</v>
      </c>
      <c r="J3" s="1" t="s">
        <v>3615</v>
      </c>
      <c r="K3" s="1"/>
      <c r="L3" s="1" t="s">
        <v>3616</v>
      </c>
      <c r="M3" s="1"/>
    </row>
    <row x14ac:dyDescent="0.25" r="4" customHeight="1" ht="18.75">
      <c r="A4" s="1" t="s">
        <v>3617</v>
      </c>
      <c r="B4" s="1" t="s">
        <v>3618</v>
      </c>
      <c r="C4" s="1" t="s">
        <v>3619</v>
      </c>
      <c r="D4" s="1" t="s">
        <v>3601</v>
      </c>
      <c r="E4" s="1"/>
      <c r="F4" s="1" t="s">
        <v>3620</v>
      </c>
      <c r="G4" s="1"/>
      <c r="H4" s="1" t="s">
        <v>3604</v>
      </c>
      <c r="I4" s="1" t="s">
        <v>3621</v>
      </c>
      <c r="J4" s="1" t="s">
        <v>3606</v>
      </c>
      <c r="K4" s="1" t="s">
        <v>3622</v>
      </c>
      <c r="L4" s="1" t="s">
        <v>3608</v>
      </c>
      <c r="M4" s="1"/>
    </row>
    <row x14ac:dyDescent="0.25" r="5" customHeight="1" ht="18.75">
      <c r="A5" s="1" t="s">
        <v>3617</v>
      </c>
      <c r="B5" s="1" t="s">
        <v>3623</v>
      </c>
      <c r="C5" s="1" t="s">
        <v>3619</v>
      </c>
      <c r="D5" s="1" t="s">
        <v>3601</v>
      </c>
      <c r="E5" s="1"/>
      <c r="F5" s="1" t="s">
        <v>3624</v>
      </c>
      <c r="G5" s="1"/>
      <c r="H5" s="1" t="s">
        <v>3604</v>
      </c>
      <c r="I5" s="1" t="s">
        <v>3625</v>
      </c>
      <c r="J5" s="1" t="s">
        <v>3606</v>
      </c>
      <c r="K5" s="1" t="s">
        <v>3626</v>
      </c>
      <c r="L5" s="1" t="s">
        <v>3608</v>
      </c>
      <c r="M5" s="1"/>
    </row>
    <row x14ac:dyDescent="0.25" r="6" customHeight="1" ht="18.75">
      <c r="A6" s="1" t="s">
        <v>3617</v>
      </c>
      <c r="B6" s="1" t="s">
        <v>3627</v>
      </c>
      <c r="C6" s="1" t="s">
        <v>3619</v>
      </c>
      <c r="D6" s="1" t="s">
        <v>3601</v>
      </c>
      <c r="E6" s="1"/>
      <c r="F6" s="1" t="s">
        <v>3628</v>
      </c>
      <c r="G6" s="1"/>
      <c r="H6" s="1" t="s">
        <v>3604</v>
      </c>
      <c r="I6" s="1" t="s">
        <v>3629</v>
      </c>
      <c r="J6" s="1" t="s">
        <v>3606</v>
      </c>
      <c r="K6" s="1" t="s">
        <v>3630</v>
      </c>
      <c r="L6" s="1" t="s">
        <v>3608</v>
      </c>
      <c r="M6" s="1"/>
    </row>
    <row x14ac:dyDescent="0.25" r="7" customHeight="1" ht="18.75">
      <c r="A7" s="1" t="s">
        <v>3617</v>
      </c>
      <c r="B7" s="1" t="s">
        <v>3631</v>
      </c>
      <c r="C7" s="1" t="s">
        <v>3619</v>
      </c>
      <c r="D7" s="1" t="s">
        <v>3601</v>
      </c>
      <c r="E7" s="1"/>
      <c r="F7" s="1" t="s">
        <v>3632</v>
      </c>
      <c r="G7" s="1"/>
      <c r="H7" s="1" t="s">
        <v>3604</v>
      </c>
      <c r="I7" s="1" t="s">
        <v>3633</v>
      </c>
      <c r="J7" s="1" t="s">
        <v>3606</v>
      </c>
      <c r="K7" s="1" t="s">
        <v>3634</v>
      </c>
      <c r="L7" s="1" t="s">
        <v>3608</v>
      </c>
      <c r="M7" s="1"/>
    </row>
    <row x14ac:dyDescent="0.25" r="8" customHeight="1" ht="18.75">
      <c r="A8" s="1" t="s">
        <v>3617</v>
      </c>
      <c r="B8" s="1" t="s">
        <v>3635</v>
      </c>
      <c r="C8" s="1" t="s">
        <v>3619</v>
      </c>
      <c r="D8" s="1" t="s">
        <v>3601</v>
      </c>
      <c r="E8" s="1"/>
      <c r="F8" s="1" t="s">
        <v>3636</v>
      </c>
      <c r="G8" s="1"/>
      <c r="H8" s="1" t="s">
        <v>3604</v>
      </c>
      <c r="I8" s="1" t="s">
        <v>3637</v>
      </c>
      <c r="J8" s="1" t="s">
        <v>3606</v>
      </c>
      <c r="K8" s="1" t="s">
        <v>3638</v>
      </c>
      <c r="L8" s="1" t="s">
        <v>3608</v>
      </c>
      <c r="M8" s="1"/>
    </row>
    <row x14ac:dyDescent="0.25" r="9" customHeight="1" ht="18.75">
      <c r="A9" s="1" t="s">
        <v>3617</v>
      </c>
      <c r="B9" s="1" t="s">
        <v>3639</v>
      </c>
      <c r="C9" s="1" t="s">
        <v>3619</v>
      </c>
      <c r="D9" s="1" t="s">
        <v>3601</v>
      </c>
      <c r="E9" s="1"/>
      <c r="F9" s="1" t="s">
        <v>3640</v>
      </c>
      <c r="G9" s="1"/>
      <c r="H9" s="1" t="s">
        <v>3604</v>
      </c>
      <c r="I9" s="1" t="s">
        <v>3641</v>
      </c>
      <c r="J9" s="1" t="s">
        <v>3606</v>
      </c>
      <c r="K9" s="1" t="s">
        <v>3642</v>
      </c>
      <c r="L9" s="1" t="s">
        <v>3608</v>
      </c>
      <c r="M9" s="1"/>
    </row>
    <row x14ac:dyDescent="0.25" r="10" customHeight="1" ht="18.75">
      <c r="A10" s="1" t="s">
        <v>3617</v>
      </c>
      <c r="B10" s="1" t="s">
        <v>3639</v>
      </c>
      <c r="C10" s="1" t="s">
        <v>3619</v>
      </c>
      <c r="D10" s="1" t="s">
        <v>3601</v>
      </c>
      <c r="E10" s="1"/>
      <c r="F10" s="1" t="s">
        <v>3643</v>
      </c>
      <c r="G10" s="1"/>
      <c r="H10" s="1" t="s">
        <v>3604</v>
      </c>
      <c r="I10" s="1" t="s">
        <v>3644</v>
      </c>
      <c r="J10" s="1" t="s">
        <v>3606</v>
      </c>
      <c r="K10" s="1" t="s">
        <v>3645</v>
      </c>
      <c r="L10" s="1" t="s">
        <v>3608</v>
      </c>
      <c r="M10" s="1"/>
    </row>
    <row x14ac:dyDescent="0.25" r="11" customHeight="1" ht="18.75">
      <c r="A11" s="1" t="s">
        <v>3617</v>
      </c>
      <c r="B11" s="1" t="s">
        <v>3646</v>
      </c>
      <c r="C11" s="1" t="s">
        <v>3619</v>
      </c>
      <c r="D11" s="1" t="s">
        <v>3601</v>
      </c>
      <c r="E11" s="1"/>
      <c r="F11" s="1" t="s">
        <v>3647</v>
      </c>
      <c r="G11" s="1"/>
      <c r="H11" s="1" t="s">
        <v>3604</v>
      </c>
      <c r="I11" s="1" t="s">
        <v>3648</v>
      </c>
      <c r="J11" s="1" t="s">
        <v>3606</v>
      </c>
      <c r="K11" s="1" t="s">
        <v>3649</v>
      </c>
      <c r="L11" s="1" t="s">
        <v>3608</v>
      </c>
      <c r="M11" s="1"/>
    </row>
    <row x14ac:dyDescent="0.25" r="12" customHeight="1" ht="18.75">
      <c r="A12" s="1" t="s">
        <v>3617</v>
      </c>
      <c r="B12" s="1" t="s">
        <v>3650</v>
      </c>
      <c r="C12" s="1" t="s">
        <v>3619</v>
      </c>
      <c r="D12" s="1" t="s">
        <v>3601</v>
      </c>
      <c r="E12" s="1"/>
      <c r="F12" s="1" t="s">
        <v>3651</v>
      </c>
      <c r="G12" s="1"/>
      <c r="H12" s="1" t="s">
        <v>3604</v>
      </c>
      <c r="I12" s="1" t="s">
        <v>3652</v>
      </c>
      <c r="J12" s="1" t="s">
        <v>3606</v>
      </c>
      <c r="K12" s="1" t="s">
        <v>3653</v>
      </c>
      <c r="L12" s="1" t="s">
        <v>3608</v>
      </c>
      <c r="M12" s="1"/>
    </row>
    <row x14ac:dyDescent="0.25" r="13" customHeight="1" ht="18.75">
      <c r="A13" s="1" t="s">
        <v>3598</v>
      </c>
      <c r="B13" s="1" t="s">
        <v>3654</v>
      </c>
      <c r="C13" s="1" t="s">
        <v>3600</v>
      </c>
      <c r="D13" s="1" t="s">
        <v>3610</v>
      </c>
      <c r="E13" s="1"/>
      <c r="F13" s="1" t="s">
        <v>3655</v>
      </c>
      <c r="G13" s="1" t="s">
        <v>3613</v>
      </c>
      <c r="H13" s="1" t="s">
        <v>3604</v>
      </c>
      <c r="I13" s="1" t="s">
        <v>3656</v>
      </c>
      <c r="J13" s="1" t="s">
        <v>3606</v>
      </c>
      <c r="K13" s="1" t="s">
        <v>3657</v>
      </c>
      <c r="L13" s="1" t="s">
        <v>3616</v>
      </c>
      <c r="M13" s="1"/>
    </row>
    <row x14ac:dyDescent="0.25" r="14" customHeight="1" ht="18.75">
      <c r="A14" s="1" t="s">
        <v>3617</v>
      </c>
      <c r="B14" s="1" t="s">
        <v>3658</v>
      </c>
      <c r="C14" s="1" t="s">
        <v>3619</v>
      </c>
      <c r="D14" s="1" t="s">
        <v>3601</v>
      </c>
      <c r="E14" s="1"/>
      <c r="F14" s="1" t="s">
        <v>3659</v>
      </c>
      <c r="G14" s="1" t="s">
        <v>3660</v>
      </c>
      <c r="H14" s="1" t="s">
        <v>3604</v>
      </c>
      <c r="I14" s="1" t="s">
        <v>3661</v>
      </c>
      <c r="J14" s="1" t="s">
        <v>3606</v>
      </c>
      <c r="K14" s="1" t="s">
        <v>3662</v>
      </c>
      <c r="L14" s="1" t="s">
        <v>3608</v>
      </c>
      <c r="M14" s="1"/>
    </row>
    <row x14ac:dyDescent="0.25" r="15" customHeight="1" ht="18.75">
      <c r="A15" s="1" t="s">
        <v>3598</v>
      </c>
      <c r="B15" s="1" t="s">
        <v>3663</v>
      </c>
      <c r="C15" s="1" t="s">
        <v>3600</v>
      </c>
      <c r="D15" s="1" t="s">
        <v>533</v>
      </c>
      <c r="E15" s="1" t="s">
        <v>3664</v>
      </c>
      <c r="F15" s="1" t="s">
        <v>3665</v>
      </c>
      <c r="G15" s="1" t="s">
        <v>3666</v>
      </c>
      <c r="H15" s="1" t="s">
        <v>3604</v>
      </c>
      <c r="I15" s="1" t="s">
        <v>3667</v>
      </c>
      <c r="J15" s="1" t="s">
        <v>3615</v>
      </c>
      <c r="K15" s="1" t="s">
        <v>3668</v>
      </c>
      <c r="L15" s="1" t="s">
        <v>3608</v>
      </c>
      <c r="M15" s="1"/>
    </row>
    <row x14ac:dyDescent="0.25" r="16" customHeight="1" ht="18.75">
      <c r="A16" s="1" t="s">
        <v>3598</v>
      </c>
      <c r="B16" s="1" t="s">
        <v>3663</v>
      </c>
      <c r="C16" s="1" t="s">
        <v>3600</v>
      </c>
      <c r="D16" s="1" t="s">
        <v>533</v>
      </c>
      <c r="E16" s="1" t="s">
        <v>3664</v>
      </c>
      <c r="F16" s="1" t="s">
        <v>3669</v>
      </c>
      <c r="G16" s="1" t="s">
        <v>3670</v>
      </c>
      <c r="H16" s="1" t="s">
        <v>3604</v>
      </c>
      <c r="I16" s="1" t="s">
        <v>3671</v>
      </c>
      <c r="J16" s="1" t="s">
        <v>3615</v>
      </c>
      <c r="K16" s="1" t="s">
        <v>3672</v>
      </c>
      <c r="L16" s="1" t="s">
        <v>3608</v>
      </c>
      <c r="M16" s="1"/>
    </row>
    <row x14ac:dyDescent="0.25" r="17" customHeight="1" ht="18.75">
      <c r="A17" s="1" t="s">
        <v>3598</v>
      </c>
      <c r="B17" s="1" t="s">
        <v>3663</v>
      </c>
      <c r="C17" s="1" t="s">
        <v>3600</v>
      </c>
      <c r="D17" s="1" t="s">
        <v>533</v>
      </c>
      <c r="E17" s="1" t="s">
        <v>3664</v>
      </c>
      <c r="F17" s="1" t="s">
        <v>3673</v>
      </c>
      <c r="G17" s="1" t="s">
        <v>3674</v>
      </c>
      <c r="H17" s="1" t="s">
        <v>3604</v>
      </c>
      <c r="I17" s="1" t="s">
        <v>3675</v>
      </c>
      <c r="J17" s="1" t="s">
        <v>3615</v>
      </c>
      <c r="K17" s="1" t="s">
        <v>3676</v>
      </c>
      <c r="L17" s="1" t="s">
        <v>3608</v>
      </c>
      <c r="M17" s="1"/>
    </row>
    <row x14ac:dyDescent="0.25" r="18" customHeight="1" ht="18.75">
      <c r="A18" s="1" t="s">
        <v>3598</v>
      </c>
      <c r="B18" s="1" t="s">
        <v>3663</v>
      </c>
      <c r="C18" s="1" t="s">
        <v>3600</v>
      </c>
      <c r="D18" s="1" t="s">
        <v>533</v>
      </c>
      <c r="E18" s="1" t="s">
        <v>3664</v>
      </c>
      <c r="F18" s="1" t="s">
        <v>3677</v>
      </c>
      <c r="G18" s="1" t="s">
        <v>3678</v>
      </c>
      <c r="H18" s="1" t="s">
        <v>3604</v>
      </c>
      <c r="I18" s="1" t="s">
        <v>3679</v>
      </c>
      <c r="J18" s="1" t="s">
        <v>3615</v>
      </c>
      <c r="K18" s="1" t="s">
        <v>3680</v>
      </c>
      <c r="L18" s="1" t="s">
        <v>3608</v>
      </c>
      <c r="M18" s="1"/>
    </row>
    <row x14ac:dyDescent="0.25" r="19" customHeight="1" ht="18.75">
      <c r="A19" s="1" t="s">
        <v>3598</v>
      </c>
      <c r="B19" s="1" t="s">
        <v>3663</v>
      </c>
      <c r="C19" s="1" t="s">
        <v>3600</v>
      </c>
      <c r="D19" s="1" t="s">
        <v>533</v>
      </c>
      <c r="E19" s="1" t="s">
        <v>3664</v>
      </c>
      <c r="F19" s="1" t="s">
        <v>3681</v>
      </c>
      <c r="G19" s="1" t="s">
        <v>3682</v>
      </c>
      <c r="H19" s="1" t="s">
        <v>3604</v>
      </c>
      <c r="I19" s="1" t="s">
        <v>3683</v>
      </c>
      <c r="J19" s="1" t="s">
        <v>3615</v>
      </c>
      <c r="K19" s="1" t="s">
        <v>3684</v>
      </c>
      <c r="L19" s="1" t="s">
        <v>3608</v>
      </c>
      <c r="M19" s="1"/>
    </row>
    <row x14ac:dyDescent="0.25" r="20" customHeight="1" ht="18.75">
      <c r="A20" s="1" t="s">
        <v>3598</v>
      </c>
      <c r="B20" s="1" t="s">
        <v>3663</v>
      </c>
      <c r="C20" s="1" t="s">
        <v>3600</v>
      </c>
      <c r="D20" s="1" t="s">
        <v>533</v>
      </c>
      <c r="E20" s="1" t="s">
        <v>3664</v>
      </c>
      <c r="F20" s="1" t="s">
        <v>3685</v>
      </c>
      <c r="G20" s="1" t="s">
        <v>3686</v>
      </c>
      <c r="H20" s="1" t="s">
        <v>3604</v>
      </c>
      <c r="I20" s="1" t="s">
        <v>3687</v>
      </c>
      <c r="J20" s="1" t="s">
        <v>3615</v>
      </c>
      <c r="K20" s="1" t="s">
        <v>3688</v>
      </c>
      <c r="L20" s="1" t="s">
        <v>3608</v>
      </c>
      <c r="M20" s="1"/>
    </row>
    <row x14ac:dyDescent="0.25" r="21" customHeight="1" ht="18.75">
      <c r="A21" s="1" t="s">
        <v>3598</v>
      </c>
      <c r="B21" s="1" t="s">
        <v>3663</v>
      </c>
      <c r="C21" s="1" t="s">
        <v>3600</v>
      </c>
      <c r="D21" s="1" t="s">
        <v>533</v>
      </c>
      <c r="E21" s="1" t="s">
        <v>3664</v>
      </c>
      <c r="F21" s="1" t="s">
        <v>3689</v>
      </c>
      <c r="G21" s="1" t="s">
        <v>3690</v>
      </c>
      <c r="H21" s="1" t="s">
        <v>3604</v>
      </c>
      <c r="I21" s="1" t="s">
        <v>3691</v>
      </c>
      <c r="J21" s="1" t="s">
        <v>3615</v>
      </c>
      <c r="K21" s="1" t="s">
        <v>3692</v>
      </c>
      <c r="L21" s="1" t="s">
        <v>3608</v>
      </c>
      <c r="M21" s="1"/>
    </row>
    <row x14ac:dyDescent="0.25" r="22" customHeight="1" ht="18.75">
      <c r="A22" s="1" t="s">
        <v>3693</v>
      </c>
      <c r="B22" s="1" t="s">
        <v>3694</v>
      </c>
      <c r="C22" s="1" t="s">
        <v>3600</v>
      </c>
      <c r="D22" s="1" t="s">
        <v>3695</v>
      </c>
      <c r="E22" s="1"/>
      <c r="F22" s="1" t="s">
        <v>3696</v>
      </c>
      <c r="G22" s="1"/>
      <c r="H22" s="1" t="s">
        <v>3604</v>
      </c>
      <c r="I22" s="1" t="s">
        <v>3697</v>
      </c>
      <c r="J22" s="1" t="s">
        <v>3615</v>
      </c>
      <c r="K22" s="1"/>
      <c r="L22" s="1" t="s">
        <v>3616</v>
      </c>
      <c r="M22" s="1"/>
    </row>
    <row x14ac:dyDescent="0.25" r="23" customHeight="1" ht="18.75">
      <c r="A23" s="1" t="s">
        <v>3598</v>
      </c>
      <c r="B23" s="1" t="s">
        <v>3663</v>
      </c>
      <c r="C23" s="1" t="s">
        <v>3600</v>
      </c>
      <c r="D23" s="1" t="s">
        <v>3610</v>
      </c>
      <c r="E23" s="1" t="s">
        <v>3664</v>
      </c>
      <c r="F23" s="1" t="s">
        <v>3698</v>
      </c>
      <c r="G23" s="1" t="s">
        <v>3699</v>
      </c>
      <c r="H23" s="1" t="s">
        <v>3604</v>
      </c>
      <c r="I23" s="1" t="s">
        <v>3700</v>
      </c>
      <c r="J23" s="1" t="s">
        <v>3615</v>
      </c>
      <c r="K23" s="1" t="s">
        <v>3701</v>
      </c>
      <c r="L23" s="1" t="s">
        <v>3608</v>
      </c>
      <c r="M23" s="1"/>
    </row>
    <row x14ac:dyDescent="0.25" r="24" customHeight="1" ht="18.75">
      <c r="A24" s="1" t="s">
        <v>3598</v>
      </c>
      <c r="B24" s="1" t="s">
        <v>3663</v>
      </c>
      <c r="C24" s="1" t="s">
        <v>3600</v>
      </c>
      <c r="D24" s="1" t="s">
        <v>3610</v>
      </c>
      <c r="E24" s="1" t="s">
        <v>3664</v>
      </c>
      <c r="F24" s="1" t="s">
        <v>3702</v>
      </c>
      <c r="G24" s="1" t="s">
        <v>3670</v>
      </c>
      <c r="H24" s="1" t="s">
        <v>3604</v>
      </c>
      <c r="I24" s="1" t="s">
        <v>3703</v>
      </c>
      <c r="J24" s="1" t="s">
        <v>3615</v>
      </c>
      <c r="K24" s="1" t="s">
        <v>3704</v>
      </c>
      <c r="L24" s="1" t="s">
        <v>3608</v>
      </c>
      <c r="M24" s="1"/>
    </row>
    <row x14ac:dyDescent="0.25" r="25" customHeight="1" ht="18.75">
      <c r="A25" s="1" t="s">
        <v>3598</v>
      </c>
      <c r="B25" s="1" t="s">
        <v>3663</v>
      </c>
      <c r="C25" s="1" t="s">
        <v>3600</v>
      </c>
      <c r="D25" s="1" t="s">
        <v>3610</v>
      </c>
      <c r="E25" s="1" t="s">
        <v>3664</v>
      </c>
      <c r="F25" s="1" t="s">
        <v>3705</v>
      </c>
      <c r="G25" s="1" t="s">
        <v>3678</v>
      </c>
      <c r="H25" s="1" t="s">
        <v>3604</v>
      </c>
      <c r="I25" s="1" t="s">
        <v>3706</v>
      </c>
      <c r="J25" s="1" t="s">
        <v>3615</v>
      </c>
      <c r="K25" s="1" t="s">
        <v>3707</v>
      </c>
      <c r="L25" s="1" t="s">
        <v>3608</v>
      </c>
      <c r="M25" s="1"/>
    </row>
    <row x14ac:dyDescent="0.25" r="26" customHeight="1" ht="18.75">
      <c r="A26" s="1" t="s">
        <v>3598</v>
      </c>
      <c r="B26" s="1" t="s">
        <v>3663</v>
      </c>
      <c r="C26" s="1" t="s">
        <v>3600</v>
      </c>
      <c r="D26" s="1" t="s">
        <v>3610</v>
      </c>
      <c r="E26" s="1" t="s">
        <v>3664</v>
      </c>
      <c r="F26" s="1" t="s">
        <v>3708</v>
      </c>
      <c r="G26" s="1" t="s">
        <v>3674</v>
      </c>
      <c r="H26" s="1" t="s">
        <v>3604</v>
      </c>
      <c r="I26" s="1" t="s">
        <v>3709</v>
      </c>
      <c r="J26" s="1" t="s">
        <v>3615</v>
      </c>
      <c r="K26" s="1" t="s">
        <v>3710</v>
      </c>
      <c r="L26" s="1" t="s">
        <v>3608</v>
      </c>
      <c r="M26" s="1"/>
    </row>
    <row x14ac:dyDescent="0.25" r="27" customHeight="1" ht="18.75">
      <c r="A27" s="1" t="s">
        <v>3598</v>
      </c>
      <c r="B27" s="1" t="s">
        <v>3663</v>
      </c>
      <c r="C27" s="1" t="s">
        <v>3600</v>
      </c>
      <c r="D27" s="1" t="s">
        <v>3610</v>
      </c>
      <c r="E27" s="1" t="s">
        <v>3664</v>
      </c>
      <c r="F27" s="1" t="s">
        <v>3711</v>
      </c>
      <c r="G27" s="1" t="s">
        <v>3682</v>
      </c>
      <c r="H27" s="1" t="s">
        <v>3604</v>
      </c>
      <c r="I27" s="1" t="s">
        <v>3712</v>
      </c>
      <c r="J27" s="1" t="s">
        <v>3615</v>
      </c>
      <c r="K27" s="1" t="s">
        <v>3713</v>
      </c>
      <c r="L27" s="1" t="s">
        <v>3608</v>
      </c>
      <c r="M27" s="1"/>
    </row>
    <row x14ac:dyDescent="0.25" r="28" customHeight="1" ht="18.75">
      <c r="A28" s="1" t="s">
        <v>3598</v>
      </c>
      <c r="B28" s="1" t="s">
        <v>3663</v>
      </c>
      <c r="C28" s="1" t="s">
        <v>3600</v>
      </c>
      <c r="D28" s="1" t="s">
        <v>3610</v>
      </c>
      <c r="E28" s="1" t="s">
        <v>3664</v>
      </c>
      <c r="F28" s="1" t="s">
        <v>3714</v>
      </c>
      <c r="G28" s="1" t="s">
        <v>3686</v>
      </c>
      <c r="H28" s="1" t="s">
        <v>3604</v>
      </c>
      <c r="I28" s="1" t="s">
        <v>3715</v>
      </c>
      <c r="J28" s="1" t="s">
        <v>3615</v>
      </c>
      <c r="K28" s="1" t="s">
        <v>3716</v>
      </c>
      <c r="L28" s="1" t="s">
        <v>3608</v>
      </c>
      <c r="M28" s="1"/>
    </row>
    <row x14ac:dyDescent="0.25" r="29" customHeight="1" ht="18.75">
      <c r="A29" s="1" t="s">
        <v>3598</v>
      </c>
      <c r="B29" s="1" t="s">
        <v>3663</v>
      </c>
      <c r="C29" s="1" t="s">
        <v>3600</v>
      </c>
      <c r="D29" s="1" t="s">
        <v>3610</v>
      </c>
      <c r="E29" s="1" t="s">
        <v>3664</v>
      </c>
      <c r="F29" s="1" t="s">
        <v>3717</v>
      </c>
      <c r="G29" s="1" t="s">
        <v>3690</v>
      </c>
      <c r="H29" s="1" t="s">
        <v>3604</v>
      </c>
      <c r="I29" s="1" t="s">
        <v>3718</v>
      </c>
      <c r="J29" s="1" t="s">
        <v>3615</v>
      </c>
      <c r="K29" s="1" t="s">
        <v>3719</v>
      </c>
      <c r="L29" s="1" t="s">
        <v>3608</v>
      </c>
      <c r="M29" s="1"/>
    </row>
    <row x14ac:dyDescent="0.25" r="30" customHeight="1" ht="18.75">
      <c r="A30" s="1" t="s">
        <v>3693</v>
      </c>
      <c r="B30" s="1" t="s">
        <v>3720</v>
      </c>
      <c r="C30" s="1" t="s">
        <v>3619</v>
      </c>
      <c r="D30" s="1" t="s">
        <v>3721</v>
      </c>
      <c r="E30" s="1" t="s">
        <v>3664</v>
      </c>
      <c r="F30" s="1" t="s">
        <v>3722</v>
      </c>
      <c r="G30" s="1" t="s">
        <v>3721</v>
      </c>
      <c r="H30" s="1" t="s">
        <v>3604</v>
      </c>
      <c r="I30" s="1" t="s">
        <v>3723</v>
      </c>
      <c r="J30" s="1" t="s">
        <v>3606</v>
      </c>
      <c r="K30" s="1"/>
      <c r="L30" s="1" t="s">
        <v>3616</v>
      </c>
      <c r="M30" s="1"/>
    </row>
    <row x14ac:dyDescent="0.25" r="31" customHeight="1" ht="18.75">
      <c r="A31" s="1" t="s">
        <v>3598</v>
      </c>
      <c r="B31" s="1" t="s">
        <v>3724</v>
      </c>
      <c r="C31" s="1" t="s">
        <v>3600</v>
      </c>
      <c r="D31" s="1" t="s">
        <v>3610</v>
      </c>
      <c r="E31" s="1"/>
      <c r="F31" s="1" t="s">
        <v>3725</v>
      </c>
      <c r="G31" s="1" t="s">
        <v>3726</v>
      </c>
      <c r="H31" s="1" t="s">
        <v>3604</v>
      </c>
      <c r="I31" s="1" t="s">
        <v>3727</v>
      </c>
      <c r="J31" s="1" t="s">
        <v>3615</v>
      </c>
      <c r="K31" s="1" t="s">
        <v>3728</v>
      </c>
      <c r="L31" s="1" t="s">
        <v>3608</v>
      </c>
      <c r="M31" s="1"/>
    </row>
    <row x14ac:dyDescent="0.25" r="32" customHeight="1" ht="18.75">
      <c r="A32" s="1" t="s">
        <v>3617</v>
      </c>
      <c r="B32" s="1" t="s">
        <v>3729</v>
      </c>
      <c r="C32" s="1" t="s">
        <v>3619</v>
      </c>
      <c r="D32" s="1" t="s">
        <v>533</v>
      </c>
      <c r="E32" s="1" t="s">
        <v>3730</v>
      </c>
      <c r="F32" s="1" t="s">
        <v>3731</v>
      </c>
      <c r="G32" s="1" t="s">
        <v>3732</v>
      </c>
      <c r="H32" s="1" t="s">
        <v>3604</v>
      </c>
      <c r="I32" s="1" t="s">
        <v>3733</v>
      </c>
      <c r="J32" s="1" t="s">
        <v>3606</v>
      </c>
      <c r="K32" s="1" t="s">
        <v>3734</v>
      </c>
      <c r="L32" s="1" t="s">
        <v>3608</v>
      </c>
      <c r="M32" s="1"/>
    </row>
    <row x14ac:dyDescent="0.25" r="33" customHeight="1" ht="18.75">
      <c r="A33" s="1" t="s">
        <v>3617</v>
      </c>
      <c r="B33" s="1" t="s">
        <v>3729</v>
      </c>
      <c r="C33" s="1" t="s">
        <v>3619</v>
      </c>
      <c r="D33" s="1" t="s">
        <v>533</v>
      </c>
      <c r="E33" s="1" t="s">
        <v>3730</v>
      </c>
      <c r="F33" s="1" t="s">
        <v>3735</v>
      </c>
      <c r="G33" s="1" t="s">
        <v>3736</v>
      </c>
      <c r="H33" s="1" t="s">
        <v>3604</v>
      </c>
      <c r="I33" s="1" t="s">
        <v>3737</v>
      </c>
      <c r="J33" s="1" t="s">
        <v>3606</v>
      </c>
      <c r="K33" s="1" t="s">
        <v>3738</v>
      </c>
      <c r="L33" s="1" t="s">
        <v>3608</v>
      </c>
      <c r="M33" s="1"/>
    </row>
    <row x14ac:dyDescent="0.25" r="34" customHeight="1" ht="18.75">
      <c r="A34" s="1" t="s">
        <v>3617</v>
      </c>
      <c r="B34" s="1" t="s">
        <v>3729</v>
      </c>
      <c r="C34" s="1" t="s">
        <v>3619</v>
      </c>
      <c r="D34" s="1" t="s">
        <v>533</v>
      </c>
      <c r="E34" s="1" t="s">
        <v>3730</v>
      </c>
      <c r="F34" s="1" t="s">
        <v>3739</v>
      </c>
      <c r="G34" s="1" t="s">
        <v>3740</v>
      </c>
      <c r="H34" s="1" t="s">
        <v>3604</v>
      </c>
      <c r="I34" s="1" t="s">
        <v>3741</v>
      </c>
      <c r="J34" s="1" t="s">
        <v>3606</v>
      </c>
      <c r="K34" s="1" t="s">
        <v>3742</v>
      </c>
      <c r="L34" s="1" t="s">
        <v>3608</v>
      </c>
      <c r="M34" s="1"/>
    </row>
    <row x14ac:dyDescent="0.25" r="35" customHeight="1" ht="18.75">
      <c r="A35" s="1" t="s">
        <v>3617</v>
      </c>
      <c r="B35" s="1" t="s">
        <v>3729</v>
      </c>
      <c r="C35" s="1" t="s">
        <v>3619</v>
      </c>
      <c r="D35" s="1" t="s">
        <v>533</v>
      </c>
      <c r="E35" s="1" t="s">
        <v>3730</v>
      </c>
      <c r="F35" s="1" t="s">
        <v>3743</v>
      </c>
      <c r="G35" s="1" t="s">
        <v>3744</v>
      </c>
      <c r="H35" s="1" t="s">
        <v>3604</v>
      </c>
      <c r="I35" s="1" t="s">
        <v>3745</v>
      </c>
      <c r="J35" s="1" t="s">
        <v>3606</v>
      </c>
      <c r="K35" s="1" t="s">
        <v>3746</v>
      </c>
      <c r="L35" s="1" t="s">
        <v>3608</v>
      </c>
      <c r="M35" s="1"/>
    </row>
    <row x14ac:dyDescent="0.25" r="36" customHeight="1" ht="18.75">
      <c r="A36" s="1" t="s">
        <v>3617</v>
      </c>
      <c r="B36" s="1" t="s">
        <v>3729</v>
      </c>
      <c r="C36" s="1" t="s">
        <v>3619</v>
      </c>
      <c r="D36" s="1" t="s">
        <v>533</v>
      </c>
      <c r="E36" s="1" t="s">
        <v>3730</v>
      </c>
      <c r="F36" s="1" t="s">
        <v>3747</v>
      </c>
      <c r="G36" s="1" t="s">
        <v>3748</v>
      </c>
      <c r="H36" s="1" t="s">
        <v>3604</v>
      </c>
      <c r="I36" s="1" t="s">
        <v>3749</v>
      </c>
      <c r="J36" s="1" t="s">
        <v>3606</v>
      </c>
      <c r="K36" s="1" t="s">
        <v>3750</v>
      </c>
      <c r="L36" s="1" t="s">
        <v>3608</v>
      </c>
      <c r="M36" s="1"/>
    </row>
    <row x14ac:dyDescent="0.25" r="37" customHeight="1" ht="18.75">
      <c r="A37" s="1" t="s">
        <v>3598</v>
      </c>
      <c r="B37" s="1" t="s">
        <v>3751</v>
      </c>
      <c r="C37" s="1" t="s">
        <v>3600</v>
      </c>
      <c r="D37" s="1" t="s">
        <v>533</v>
      </c>
      <c r="E37" s="1" t="s">
        <v>3752</v>
      </c>
      <c r="F37" s="1" t="s">
        <v>3753</v>
      </c>
      <c r="G37" s="1" t="s">
        <v>3754</v>
      </c>
      <c r="H37" s="1" t="s">
        <v>3604</v>
      </c>
      <c r="I37" s="1" t="s">
        <v>3755</v>
      </c>
      <c r="J37" s="1" t="s">
        <v>3606</v>
      </c>
      <c r="K37" s="1" t="s">
        <v>3756</v>
      </c>
      <c r="L37" s="1" t="s">
        <v>3608</v>
      </c>
      <c r="M37" s="1"/>
    </row>
    <row x14ac:dyDescent="0.25" r="38" customHeight="1" ht="18.75">
      <c r="A38" s="1" t="s">
        <v>3617</v>
      </c>
      <c r="B38" s="1" t="s">
        <v>3729</v>
      </c>
      <c r="C38" s="1" t="s">
        <v>3619</v>
      </c>
      <c r="D38" s="1" t="s">
        <v>3610</v>
      </c>
      <c r="E38" s="1" t="s">
        <v>3730</v>
      </c>
      <c r="F38" s="1" t="s">
        <v>3757</v>
      </c>
      <c r="G38" s="1" t="s">
        <v>3758</v>
      </c>
      <c r="H38" s="1" t="s">
        <v>3604</v>
      </c>
      <c r="I38" s="1" t="s">
        <v>3759</v>
      </c>
      <c r="J38" s="1" t="s">
        <v>3606</v>
      </c>
      <c r="K38" s="1" t="s">
        <v>3760</v>
      </c>
      <c r="L38" s="1" t="s">
        <v>3608</v>
      </c>
      <c r="M38" s="1"/>
    </row>
    <row x14ac:dyDescent="0.25" r="39" customHeight="1" ht="18.75">
      <c r="A39" s="1" t="s">
        <v>3617</v>
      </c>
      <c r="B39" s="1" t="s">
        <v>3729</v>
      </c>
      <c r="C39" s="1" t="s">
        <v>3619</v>
      </c>
      <c r="D39" s="1" t="s">
        <v>3610</v>
      </c>
      <c r="E39" s="1" t="s">
        <v>3730</v>
      </c>
      <c r="F39" s="1" t="s">
        <v>3761</v>
      </c>
      <c r="G39" s="1" t="s">
        <v>3762</v>
      </c>
      <c r="H39" s="1" t="s">
        <v>3604</v>
      </c>
      <c r="I39" s="1" t="s">
        <v>3763</v>
      </c>
      <c r="J39" s="1" t="s">
        <v>3606</v>
      </c>
      <c r="K39" s="1" t="s">
        <v>3764</v>
      </c>
      <c r="L39" s="1" t="s">
        <v>3608</v>
      </c>
      <c r="M39" s="1"/>
    </row>
    <row x14ac:dyDescent="0.25" r="40" customHeight="1" ht="18.75">
      <c r="A40" s="1" t="s">
        <v>3617</v>
      </c>
      <c r="B40" s="1" t="s">
        <v>3729</v>
      </c>
      <c r="C40" s="1" t="s">
        <v>3619</v>
      </c>
      <c r="D40" s="1" t="s">
        <v>3610</v>
      </c>
      <c r="E40" s="1" t="s">
        <v>3730</v>
      </c>
      <c r="F40" s="1" t="s">
        <v>3765</v>
      </c>
      <c r="G40" s="1" t="s">
        <v>3766</v>
      </c>
      <c r="H40" s="1" t="s">
        <v>3604</v>
      </c>
      <c r="I40" s="1" t="s">
        <v>3767</v>
      </c>
      <c r="J40" s="1" t="s">
        <v>3606</v>
      </c>
      <c r="K40" s="1" t="s">
        <v>3768</v>
      </c>
      <c r="L40" s="1" t="s">
        <v>3608</v>
      </c>
      <c r="M40" s="1"/>
    </row>
    <row x14ac:dyDescent="0.25" r="41" customHeight="1" ht="18.75">
      <c r="A41" s="1" t="s">
        <v>3617</v>
      </c>
      <c r="B41" s="1" t="s">
        <v>3729</v>
      </c>
      <c r="C41" s="1" t="s">
        <v>3619</v>
      </c>
      <c r="D41" s="1" t="s">
        <v>3610</v>
      </c>
      <c r="E41" s="1" t="s">
        <v>3730</v>
      </c>
      <c r="F41" s="1" t="s">
        <v>3769</v>
      </c>
      <c r="G41" s="1" t="s">
        <v>3766</v>
      </c>
      <c r="H41" s="1" t="s">
        <v>3604</v>
      </c>
      <c r="I41" s="1" t="s">
        <v>3770</v>
      </c>
      <c r="J41" s="1" t="s">
        <v>3606</v>
      </c>
      <c r="K41" s="1" t="s">
        <v>3771</v>
      </c>
      <c r="L41" s="1" t="s">
        <v>3608</v>
      </c>
      <c r="M41" s="1"/>
    </row>
    <row x14ac:dyDescent="0.25" r="42" customHeight="1" ht="18.75">
      <c r="A42" s="1" t="s">
        <v>3617</v>
      </c>
      <c r="B42" s="1" t="s">
        <v>3729</v>
      </c>
      <c r="C42" s="1" t="s">
        <v>3619</v>
      </c>
      <c r="D42" s="1" t="s">
        <v>3610</v>
      </c>
      <c r="E42" s="1" t="s">
        <v>3730</v>
      </c>
      <c r="F42" s="1" t="s">
        <v>3772</v>
      </c>
      <c r="G42" s="1" t="s">
        <v>3766</v>
      </c>
      <c r="H42" s="1" t="s">
        <v>3604</v>
      </c>
      <c r="I42" s="1" t="s">
        <v>3773</v>
      </c>
      <c r="J42" s="1" t="s">
        <v>3606</v>
      </c>
      <c r="K42" s="1" t="s">
        <v>3774</v>
      </c>
      <c r="L42" s="1" t="s">
        <v>3608</v>
      </c>
      <c r="M42" s="1"/>
    </row>
    <row x14ac:dyDescent="0.25" r="43" customHeight="1" ht="18.75">
      <c r="A43" s="1" t="s">
        <v>3617</v>
      </c>
      <c r="B43" s="1" t="s">
        <v>3729</v>
      </c>
      <c r="C43" s="1" t="s">
        <v>3619</v>
      </c>
      <c r="D43" s="1" t="s">
        <v>3610</v>
      </c>
      <c r="E43" s="1" t="s">
        <v>3730</v>
      </c>
      <c r="F43" s="1" t="s">
        <v>3775</v>
      </c>
      <c r="G43" s="1" t="s">
        <v>3766</v>
      </c>
      <c r="H43" s="1" t="s">
        <v>3604</v>
      </c>
      <c r="I43" s="1" t="s">
        <v>3776</v>
      </c>
      <c r="J43" s="1" t="s">
        <v>3606</v>
      </c>
      <c r="K43" s="1" t="s">
        <v>3777</v>
      </c>
      <c r="L43" s="1" t="s">
        <v>3608</v>
      </c>
      <c r="M43" s="1"/>
    </row>
    <row x14ac:dyDescent="0.25" r="44" customHeight="1" ht="18.75">
      <c r="A44" s="1" t="s">
        <v>3598</v>
      </c>
      <c r="B44" s="1" t="s">
        <v>3778</v>
      </c>
      <c r="C44" s="1" t="s">
        <v>3600</v>
      </c>
      <c r="D44" s="1" t="s">
        <v>3610</v>
      </c>
      <c r="E44" s="1" t="s">
        <v>3779</v>
      </c>
      <c r="F44" s="1" t="s">
        <v>3780</v>
      </c>
      <c r="G44" s="1" t="s">
        <v>3781</v>
      </c>
      <c r="H44" s="1" t="s">
        <v>3604</v>
      </c>
      <c r="I44" s="1" t="s">
        <v>3782</v>
      </c>
      <c r="J44" s="1" t="s">
        <v>3615</v>
      </c>
      <c r="K44" s="1" t="s">
        <v>3783</v>
      </c>
      <c r="L44" s="1" t="s">
        <v>3608</v>
      </c>
      <c r="M44" s="1"/>
    </row>
    <row x14ac:dyDescent="0.25" r="45" customHeight="1" ht="18.75">
      <c r="A45" s="1" t="s">
        <v>3617</v>
      </c>
      <c r="B45" s="1" t="s">
        <v>3729</v>
      </c>
      <c r="C45" s="1" t="s">
        <v>3619</v>
      </c>
      <c r="D45" s="1" t="s">
        <v>3610</v>
      </c>
      <c r="E45" s="1" t="s">
        <v>3730</v>
      </c>
      <c r="F45" s="1" t="s">
        <v>3784</v>
      </c>
      <c r="G45" s="1" t="s">
        <v>3785</v>
      </c>
      <c r="H45" s="1" t="s">
        <v>3604</v>
      </c>
      <c r="I45" s="1" t="s">
        <v>3786</v>
      </c>
      <c r="J45" s="1" t="s">
        <v>3606</v>
      </c>
      <c r="K45" s="1" t="s">
        <v>3787</v>
      </c>
      <c r="L45" s="1" t="s">
        <v>3608</v>
      </c>
      <c r="M45" s="1"/>
    </row>
    <row x14ac:dyDescent="0.25" r="46" customHeight="1" ht="18.75">
      <c r="A46" s="1" t="s">
        <v>3617</v>
      </c>
      <c r="B46" s="1" t="s">
        <v>3729</v>
      </c>
      <c r="C46" s="1" t="s">
        <v>3619</v>
      </c>
      <c r="D46" s="1" t="s">
        <v>3610</v>
      </c>
      <c r="E46" s="1" t="s">
        <v>3730</v>
      </c>
      <c r="F46" s="1" t="s">
        <v>3788</v>
      </c>
      <c r="G46" s="1" t="s">
        <v>3785</v>
      </c>
      <c r="H46" s="1" t="s">
        <v>3604</v>
      </c>
      <c r="I46" s="1" t="s">
        <v>3789</v>
      </c>
      <c r="J46" s="1" t="s">
        <v>3606</v>
      </c>
      <c r="K46" s="1" t="s">
        <v>3790</v>
      </c>
      <c r="L46" s="1" t="s">
        <v>3608</v>
      </c>
      <c r="M46" s="1"/>
    </row>
    <row x14ac:dyDescent="0.25" r="47" customHeight="1" ht="18.75">
      <c r="A47" s="1" t="s">
        <v>3617</v>
      </c>
      <c r="B47" s="1" t="s">
        <v>3729</v>
      </c>
      <c r="C47" s="1" t="s">
        <v>3619</v>
      </c>
      <c r="D47" s="1" t="s">
        <v>3610</v>
      </c>
      <c r="E47" s="1" t="s">
        <v>3730</v>
      </c>
      <c r="F47" s="1" t="s">
        <v>3791</v>
      </c>
      <c r="G47" s="1" t="s">
        <v>3785</v>
      </c>
      <c r="H47" s="1" t="s">
        <v>3604</v>
      </c>
      <c r="I47" s="1" t="s">
        <v>3792</v>
      </c>
      <c r="J47" s="1" t="s">
        <v>3606</v>
      </c>
      <c r="K47" s="1" t="s">
        <v>3793</v>
      </c>
      <c r="L47" s="1" t="s">
        <v>3608</v>
      </c>
      <c r="M47" s="1"/>
    </row>
    <row x14ac:dyDescent="0.25" r="48" customHeight="1" ht="18.75">
      <c r="A48" s="1" t="s">
        <v>3617</v>
      </c>
      <c r="B48" s="1" t="s">
        <v>3729</v>
      </c>
      <c r="C48" s="1" t="s">
        <v>3619</v>
      </c>
      <c r="D48" s="1" t="s">
        <v>3610</v>
      </c>
      <c r="E48" s="1" t="s">
        <v>3730</v>
      </c>
      <c r="F48" s="1" t="s">
        <v>3794</v>
      </c>
      <c r="G48" s="1" t="s">
        <v>3795</v>
      </c>
      <c r="H48" s="1" t="s">
        <v>3604</v>
      </c>
      <c r="I48" s="1" t="s">
        <v>3796</v>
      </c>
      <c r="J48" s="1" t="s">
        <v>3606</v>
      </c>
      <c r="K48" s="1" t="s">
        <v>3797</v>
      </c>
      <c r="L48" s="1" t="s">
        <v>3608</v>
      </c>
      <c r="M48" s="1"/>
    </row>
    <row x14ac:dyDescent="0.25" r="49" customHeight="1" ht="18.75">
      <c r="A49" s="1" t="s">
        <v>3617</v>
      </c>
      <c r="B49" s="1" t="s">
        <v>3729</v>
      </c>
      <c r="C49" s="1" t="s">
        <v>3619</v>
      </c>
      <c r="D49" s="1" t="s">
        <v>3610</v>
      </c>
      <c r="E49" s="1" t="s">
        <v>3730</v>
      </c>
      <c r="F49" s="1" t="s">
        <v>3798</v>
      </c>
      <c r="G49" s="1" t="s">
        <v>3795</v>
      </c>
      <c r="H49" s="1" t="s">
        <v>3604</v>
      </c>
      <c r="I49" s="1" t="s">
        <v>3799</v>
      </c>
      <c r="J49" s="1" t="s">
        <v>3606</v>
      </c>
      <c r="K49" s="1" t="s">
        <v>3800</v>
      </c>
      <c r="L49" s="1" t="s">
        <v>3608</v>
      </c>
      <c r="M49" s="1"/>
    </row>
    <row x14ac:dyDescent="0.25" r="50" customHeight="1" ht="18.75">
      <c r="A50" s="1" t="s">
        <v>3617</v>
      </c>
      <c r="B50" s="1" t="s">
        <v>3729</v>
      </c>
      <c r="C50" s="1" t="s">
        <v>3619</v>
      </c>
      <c r="D50" s="1" t="s">
        <v>3610</v>
      </c>
      <c r="E50" s="1" t="s">
        <v>3730</v>
      </c>
      <c r="F50" s="1" t="s">
        <v>3801</v>
      </c>
      <c r="G50" s="1" t="s">
        <v>3795</v>
      </c>
      <c r="H50" s="1" t="s">
        <v>3604</v>
      </c>
      <c r="I50" s="1" t="s">
        <v>3802</v>
      </c>
      <c r="J50" s="1" t="s">
        <v>3606</v>
      </c>
      <c r="K50" s="1" t="s">
        <v>3803</v>
      </c>
      <c r="L50" s="1" t="s">
        <v>3608</v>
      </c>
      <c r="M50" s="1"/>
    </row>
    <row x14ac:dyDescent="0.25" r="51" customHeight="1" ht="18.75">
      <c r="A51" s="1" t="s">
        <v>3617</v>
      </c>
      <c r="B51" s="1" t="s">
        <v>3729</v>
      </c>
      <c r="C51" s="1" t="s">
        <v>3619</v>
      </c>
      <c r="D51" s="1" t="s">
        <v>3610</v>
      </c>
      <c r="E51" s="1" t="s">
        <v>3730</v>
      </c>
      <c r="F51" s="1" t="s">
        <v>3804</v>
      </c>
      <c r="G51" s="1" t="s">
        <v>3795</v>
      </c>
      <c r="H51" s="1" t="s">
        <v>3604</v>
      </c>
      <c r="I51" s="1" t="s">
        <v>3805</v>
      </c>
      <c r="J51" s="1" t="s">
        <v>3606</v>
      </c>
      <c r="K51" s="1" t="s">
        <v>3806</v>
      </c>
      <c r="L51" s="1" t="s">
        <v>3608</v>
      </c>
      <c r="M51" s="1"/>
    </row>
    <row x14ac:dyDescent="0.25" r="52" customHeight="1" ht="18.75">
      <c r="A52" s="1" t="s">
        <v>3617</v>
      </c>
      <c r="B52" s="1" t="s">
        <v>3729</v>
      </c>
      <c r="C52" s="1" t="s">
        <v>3619</v>
      </c>
      <c r="D52" s="1" t="s">
        <v>3610</v>
      </c>
      <c r="E52" s="1" t="s">
        <v>3730</v>
      </c>
      <c r="F52" s="1" t="s">
        <v>3807</v>
      </c>
      <c r="G52" s="1" t="s">
        <v>3795</v>
      </c>
      <c r="H52" s="1" t="s">
        <v>3604</v>
      </c>
      <c r="I52" s="1" t="s">
        <v>3808</v>
      </c>
      <c r="J52" s="1" t="s">
        <v>3606</v>
      </c>
      <c r="K52" s="1" t="s">
        <v>3809</v>
      </c>
      <c r="L52" s="1" t="s">
        <v>3608</v>
      </c>
      <c r="M52" s="1"/>
    </row>
    <row x14ac:dyDescent="0.25" r="53" customHeight="1" ht="18.75">
      <c r="A53" s="1" t="s">
        <v>3617</v>
      </c>
      <c r="B53" s="1" t="s">
        <v>3729</v>
      </c>
      <c r="C53" s="1" t="s">
        <v>3619</v>
      </c>
      <c r="D53" s="1" t="s">
        <v>3610</v>
      </c>
      <c r="E53" s="1" t="s">
        <v>3730</v>
      </c>
      <c r="F53" s="1" t="s">
        <v>3810</v>
      </c>
      <c r="G53" s="1" t="s">
        <v>3811</v>
      </c>
      <c r="H53" s="1" t="s">
        <v>3604</v>
      </c>
      <c r="I53" s="1" t="s">
        <v>3812</v>
      </c>
      <c r="J53" s="1" t="s">
        <v>3606</v>
      </c>
      <c r="K53" s="1" t="s">
        <v>3813</v>
      </c>
      <c r="L53" s="1" t="s">
        <v>3608</v>
      </c>
      <c r="M53" s="1"/>
    </row>
    <row x14ac:dyDescent="0.25" r="54" customHeight="1" ht="18.75">
      <c r="A54" s="1" t="s">
        <v>3598</v>
      </c>
      <c r="B54" s="1" t="s">
        <v>3814</v>
      </c>
      <c r="C54" s="1" t="s">
        <v>3600</v>
      </c>
      <c r="D54" s="1" t="s">
        <v>3695</v>
      </c>
      <c r="E54" s="1" t="s">
        <v>3752</v>
      </c>
      <c r="F54" s="1" t="s">
        <v>3815</v>
      </c>
      <c r="G54" s="1" t="s">
        <v>3816</v>
      </c>
      <c r="H54" s="1" t="s">
        <v>3604</v>
      </c>
      <c r="I54" s="1" t="s">
        <v>3817</v>
      </c>
      <c r="J54" s="1" t="s">
        <v>3615</v>
      </c>
      <c r="K54" s="1" t="s">
        <v>3818</v>
      </c>
      <c r="L54" s="1" t="s">
        <v>3608</v>
      </c>
      <c r="M54" s="1"/>
    </row>
    <row x14ac:dyDescent="0.25" r="55" customHeight="1" ht="18.75">
      <c r="A55" s="1" t="s">
        <v>3617</v>
      </c>
      <c r="B55" s="1" t="s">
        <v>3729</v>
      </c>
      <c r="C55" s="1" t="s">
        <v>3619</v>
      </c>
      <c r="D55" s="1" t="s">
        <v>3610</v>
      </c>
      <c r="E55" s="1" t="s">
        <v>3730</v>
      </c>
      <c r="F55" s="1" t="s">
        <v>3819</v>
      </c>
      <c r="G55" s="1" t="s">
        <v>3811</v>
      </c>
      <c r="H55" s="1" t="s">
        <v>3604</v>
      </c>
      <c r="I55" s="1" t="s">
        <v>3820</v>
      </c>
      <c r="J55" s="1" t="s">
        <v>3606</v>
      </c>
      <c r="K55" s="1" t="s">
        <v>3821</v>
      </c>
      <c r="L55" s="1" t="s">
        <v>3608</v>
      </c>
      <c r="M55" s="1"/>
    </row>
    <row x14ac:dyDescent="0.25" r="56" customHeight="1" ht="18.75">
      <c r="A56" s="1" t="s">
        <v>3617</v>
      </c>
      <c r="B56" s="1" t="s">
        <v>3729</v>
      </c>
      <c r="C56" s="1" t="s">
        <v>3619</v>
      </c>
      <c r="D56" s="1" t="s">
        <v>3610</v>
      </c>
      <c r="E56" s="1" t="s">
        <v>3730</v>
      </c>
      <c r="F56" s="1" t="s">
        <v>3822</v>
      </c>
      <c r="G56" s="1" t="s">
        <v>3736</v>
      </c>
      <c r="H56" s="1" t="s">
        <v>3604</v>
      </c>
      <c r="I56" s="1" t="s">
        <v>3823</v>
      </c>
      <c r="J56" s="1" t="s">
        <v>3606</v>
      </c>
      <c r="K56" s="1" t="s">
        <v>3824</v>
      </c>
      <c r="L56" s="1" t="s">
        <v>3608</v>
      </c>
      <c r="M56" s="1"/>
    </row>
    <row x14ac:dyDescent="0.25" r="57" customHeight="1" ht="18.75">
      <c r="A57" s="1" t="s">
        <v>3617</v>
      </c>
      <c r="B57" s="1" t="s">
        <v>3825</v>
      </c>
      <c r="C57" s="1" t="s">
        <v>3619</v>
      </c>
      <c r="D57" s="1" t="s">
        <v>3721</v>
      </c>
      <c r="E57" s="1" t="s">
        <v>3664</v>
      </c>
      <c r="F57" s="1" t="s">
        <v>3826</v>
      </c>
      <c r="G57" s="1" t="s">
        <v>3827</v>
      </c>
      <c r="H57" s="1" t="s">
        <v>3604</v>
      </c>
      <c r="I57" s="1" t="s">
        <v>3828</v>
      </c>
      <c r="J57" s="1" t="s">
        <v>3606</v>
      </c>
      <c r="K57" s="1" t="s">
        <v>3829</v>
      </c>
      <c r="L57" s="1" t="s">
        <v>3616</v>
      </c>
      <c r="M57" s="1"/>
    </row>
    <row x14ac:dyDescent="0.25" r="58" customHeight="1" ht="18.75">
      <c r="A58" s="1" t="s">
        <v>3617</v>
      </c>
      <c r="B58" s="1" t="s">
        <v>3729</v>
      </c>
      <c r="C58" s="1" t="s">
        <v>3619</v>
      </c>
      <c r="D58" s="1" t="s">
        <v>3610</v>
      </c>
      <c r="E58" s="1" t="s">
        <v>3730</v>
      </c>
      <c r="F58" s="1" t="s">
        <v>3830</v>
      </c>
      <c r="G58" s="1" t="s">
        <v>3736</v>
      </c>
      <c r="H58" s="1" t="s">
        <v>3604</v>
      </c>
      <c r="I58" s="1" t="s">
        <v>3831</v>
      </c>
      <c r="J58" s="1" t="s">
        <v>3606</v>
      </c>
      <c r="K58" s="1" t="s">
        <v>3832</v>
      </c>
      <c r="L58" s="1" t="s">
        <v>3608</v>
      </c>
      <c r="M58" s="1"/>
    </row>
    <row x14ac:dyDescent="0.25" r="59" customHeight="1" ht="18.75">
      <c r="A59" s="1" t="s">
        <v>3617</v>
      </c>
      <c r="B59" s="1" t="s">
        <v>3729</v>
      </c>
      <c r="C59" s="1" t="s">
        <v>3619</v>
      </c>
      <c r="D59" s="1" t="s">
        <v>3610</v>
      </c>
      <c r="E59" s="1" t="s">
        <v>3730</v>
      </c>
      <c r="F59" s="1" t="s">
        <v>3833</v>
      </c>
      <c r="G59" s="1" t="s">
        <v>3736</v>
      </c>
      <c r="H59" s="1" t="s">
        <v>3604</v>
      </c>
      <c r="I59" s="1" t="s">
        <v>3834</v>
      </c>
      <c r="J59" s="1" t="s">
        <v>3606</v>
      </c>
      <c r="K59" s="1" t="s">
        <v>3835</v>
      </c>
      <c r="L59" s="1" t="s">
        <v>3608</v>
      </c>
      <c r="M59" s="1"/>
    </row>
    <row x14ac:dyDescent="0.25" r="60" customHeight="1" ht="18.75">
      <c r="A60" s="1" t="s">
        <v>3617</v>
      </c>
      <c r="B60" s="1" t="s">
        <v>3729</v>
      </c>
      <c r="C60" s="1" t="s">
        <v>3619</v>
      </c>
      <c r="D60" s="1" t="s">
        <v>3610</v>
      </c>
      <c r="E60" s="1" t="s">
        <v>3730</v>
      </c>
      <c r="F60" s="1" t="s">
        <v>3836</v>
      </c>
      <c r="G60" s="1" t="s">
        <v>3740</v>
      </c>
      <c r="H60" s="1" t="s">
        <v>3604</v>
      </c>
      <c r="I60" s="1" t="s">
        <v>3837</v>
      </c>
      <c r="J60" s="1" t="s">
        <v>3606</v>
      </c>
      <c r="K60" s="1" t="s">
        <v>3838</v>
      </c>
      <c r="L60" s="1" t="s">
        <v>3608</v>
      </c>
      <c r="M60" s="1"/>
    </row>
    <row x14ac:dyDescent="0.25" r="61" customHeight="1" ht="18.75">
      <c r="A61" s="1" t="s">
        <v>3617</v>
      </c>
      <c r="B61" s="1" t="s">
        <v>3729</v>
      </c>
      <c r="C61" s="1" t="s">
        <v>3619</v>
      </c>
      <c r="D61" s="1" t="s">
        <v>3610</v>
      </c>
      <c r="E61" s="1" t="s">
        <v>3730</v>
      </c>
      <c r="F61" s="1" t="s">
        <v>3839</v>
      </c>
      <c r="G61" s="1" t="s">
        <v>3840</v>
      </c>
      <c r="H61" s="1" t="s">
        <v>3604</v>
      </c>
      <c r="I61" s="1" t="s">
        <v>3841</v>
      </c>
      <c r="J61" s="1" t="s">
        <v>3606</v>
      </c>
      <c r="K61" s="1" t="s">
        <v>3842</v>
      </c>
      <c r="L61" s="1" t="s">
        <v>3608</v>
      </c>
      <c r="M61" s="1"/>
    </row>
    <row x14ac:dyDescent="0.25" r="62" customHeight="1" ht="18.75">
      <c r="A62" s="1" t="s">
        <v>3617</v>
      </c>
      <c r="B62" s="1" t="s">
        <v>3729</v>
      </c>
      <c r="C62" s="1" t="s">
        <v>3619</v>
      </c>
      <c r="D62" s="1" t="s">
        <v>3610</v>
      </c>
      <c r="E62" s="1" t="s">
        <v>3730</v>
      </c>
      <c r="F62" s="1" t="s">
        <v>3843</v>
      </c>
      <c r="G62" s="1" t="s">
        <v>3840</v>
      </c>
      <c r="H62" s="1" t="s">
        <v>3604</v>
      </c>
      <c r="I62" s="1" t="s">
        <v>3844</v>
      </c>
      <c r="J62" s="1" t="s">
        <v>3606</v>
      </c>
      <c r="K62" s="1" t="s">
        <v>3845</v>
      </c>
      <c r="L62" s="1" t="s">
        <v>3608</v>
      </c>
      <c r="M62" s="1"/>
    </row>
    <row x14ac:dyDescent="0.25" r="63" customHeight="1" ht="18.75">
      <c r="A63" s="1" t="s">
        <v>3617</v>
      </c>
      <c r="B63" s="1" t="s">
        <v>3729</v>
      </c>
      <c r="C63" s="1" t="s">
        <v>3619</v>
      </c>
      <c r="D63" s="1" t="s">
        <v>3610</v>
      </c>
      <c r="E63" s="1" t="s">
        <v>3730</v>
      </c>
      <c r="F63" s="1" t="s">
        <v>3846</v>
      </c>
      <c r="G63" s="1" t="s">
        <v>3740</v>
      </c>
      <c r="H63" s="1" t="s">
        <v>3604</v>
      </c>
      <c r="I63" s="1" t="s">
        <v>3847</v>
      </c>
      <c r="J63" s="1" t="s">
        <v>3606</v>
      </c>
      <c r="K63" s="1" t="s">
        <v>3848</v>
      </c>
      <c r="L63" s="1" t="s">
        <v>3608</v>
      </c>
      <c r="M63" s="1"/>
    </row>
    <row x14ac:dyDescent="0.25" r="64" customHeight="1" ht="18.75">
      <c r="A64" s="1" t="s">
        <v>3617</v>
      </c>
      <c r="B64" s="1" t="s">
        <v>3729</v>
      </c>
      <c r="C64" s="1" t="s">
        <v>3619</v>
      </c>
      <c r="D64" s="1" t="s">
        <v>3610</v>
      </c>
      <c r="E64" s="1" t="s">
        <v>3730</v>
      </c>
      <c r="F64" s="1" t="s">
        <v>3849</v>
      </c>
      <c r="G64" s="1" t="s">
        <v>3740</v>
      </c>
      <c r="H64" s="1" t="s">
        <v>3604</v>
      </c>
      <c r="I64" s="1" t="s">
        <v>3850</v>
      </c>
      <c r="J64" s="1" t="s">
        <v>3606</v>
      </c>
      <c r="K64" s="1" t="s">
        <v>3851</v>
      </c>
      <c r="L64" s="1" t="s">
        <v>3608</v>
      </c>
      <c r="M64" s="1"/>
    </row>
    <row x14ac:dyDescent="0.25" r="65" customHeight="1" ht="18.75">
      <c r="A65" s="1" t="s">
        <v>3617</v>
      </c>
      <c r="B65" s="1" t="s">
        <v>3729</v>
      </c>
      <c r="C65" s="1" t="s">
        <v>3619</v>
      </c>
      <c r="D65" s="1" t="s">
        <v>3610</v>
      </c>
      <c r="E65" s="1" t="s">
        <v>3730</v>
      </c>
      <c r="F65" s="1" t="s">
        <v>3852</v>
      </c>
      <c r="G65" s="1" t="s">
        <v>3748</v>
      </c>
      <c r="H65" s="1" t="s">
        <v>3604</v>
      </c>
      <c r="I65" s="1" t="s">
        <v>3853</v>
      </c>
      <c r="J65" s="1" t="s">
        <v>3606</v>
      </c>
      <c r="K65" s="1" t="s">
        <v>3854</v>
      </c>
      <c r="L65" s="1" t="s">
        <v>3608</v>
      </c>
      <c r="M65" s="1"/>
    </row>
    <row x14ac:dyDescent="0.25" r="66" customHeight="1" ht="18.75">
      <c r="A66" s="1" t="s">
        <v>3617</v>
      </c>
      <c r="B66" s="1" t="s">
        <v>3729</v>
      </c>
      <c r="C66" s="1" t="s">
        <v>3619</v>
      </c>
      <c r="D66" s="1" t="s">
        <v>3610</v>
      </c>
      <c r="E66" s="1" t="s">
        <v>3730</v>
      </c>
      <c r="F66" s="1" t="s">
        <v>3855</v>
      </c>
      <c r="G66" s="1" t="s">
        <v>3748</v>
      </c>
      <c r="H66" s="1" t="s">
        <v>3604</v>
      </c>
      <c r="I66" s="1" t="s">
        <v>3856</v>
      </c>
      <c r="J66" s="1" t="s">
        <v>3606</v>
      </c>
      <c r="K66" s="1" t="s">
        <v>3857</v>
      </c>
      <c r="L66" s="1" t="s">
        <v>3608</v>
      </c>
      <c r="M66" s="1"/>
    </row>
    <row x14ac:dyDescent="0.25" r="67" customHeight="1" ht="18.75">
      <c r="A67" s="1" t="s">
        <v>3617</v>
      </c>
      <c r="B67" s="1" t="s">
        <v>3729</v>
      </c>
      <c r="C67" s="1" t="s">
        <v>3619</v>
      </c>
      <c r="D67" s="1" t="s">
        <v>3610</v>
      </c>
      <c r="E67" s="1" t="s">
        <v>3730</v>
      </c>
      <c r="F67" s="1" t="s">
        <v>3858</v>
      </c>
      <c r="G67" s="1" t="s">
        <v>3748</v>
      </c>
      <c r="H67" s="1" t="s">
        <v>3604</v>
      </c>
      <c r="I67" s="1" t="s">
        <v>3859</v>
      </c>
      <c r="J67" s="1" t="s">
        <v>3606</v>
      </c>
      <c r="K67" s="1" t="s">
        <v>3860</v>
      </c>
      <c r="L67" s="1" t="s">
        <v>3608</v>
      </c>
      <c r="M67" s="1"/>
    </row>
    <row x14ac:dyDescent="0.25" r="68" customHeight="1" ht="18.75">
      <c r="A68" s="1" t="s">
        <v>3617</v>
      </c>
      <c r="B68" s="1" t="s">
        <v>3729</v>
      </c>
      <c r="C68" s="1" t="s">
        <v>3619</v>
      </c>
      <c r="D68" s="1" t="s">
        <v>3695</v>
      </c>
      <c r="E68" s="1" t="s">
        <v>3730</v>
      </c>
      <c r="F68" s="1" t="s">
        <v>3861</v>
      </c>
      <c r="G68" s="1" t="s">
        <v>3732</v>
      </c>
      <c r="H68" s="1" t="s">
        <v>3604</v>
      </c>
      <c r="I68" s="1" t="s">
        <v>3862</v>
      </c>
      <c r="J68" s="1" t="s">
        <v>3606</v>
      </c>
      <c r="K68" s="1" t="s">
        <v>3863</v>
      </c>
      <c r="L68" s="1" t="s">
        <v>3608</v>
      </c>
      <c r="M68" s="1"/>
    </row>
    <row x14ac:dyDescent="0.25" r="69" customHeight="1" ht="18.75">
      <c r="A69" s="1" t="s">
        <v>3617</v>
      </c>
      <c r="B69" s="1" t="s">
        <v>3729</v>
      </c>
      <c r="C69" s="1" t="s">
        <v>3619</v>
      </c>
      <c r="D69" s="1" t="s">
        <v>3695</v>
      </c>
      <c r="E69" s="1" t="s">
        <v>3730</v>
      </c>
      <c r="F69" s="1" t="s">
        <v>3864</v>
      </c>
      <c r="G69" s="1" t="s">
        <v>3736</v>
      </c>
      <c r="H69" s="1" t="s">
        <v>3604</v>
      </c>
      <c r="I69" s="1" t="s">
        <v>3865</v>
      </c>
      <c r="J69" s="1" t="s">
        <v>3606</v>
      </c>
      <c r="K69" s="1" t="s">
        <v>3866</v>
      </c>
      <c r="L69" s="1" t="s">
        <v>3608</v>
      </c>
      <c r="M69" s="1"/>
    </row>
    <row x14ac:dyDescent="0.25" r="70" customHeight="1" ht="18.75">
      <c r="A70" s="1" t="s">
        <v>3617</v>
      </c>
      <c r="B70" s="1" t="s">
        <v>3729</v>
      </c>
      <c r="C70" s="1" t="s">
        <v>3619</v>
      </c>
      <c r="D70" s="1" t="s">
        <v>3695</v>
      </c>
      <c r="E70" s="1" t="s">
        <v>3730</v>
      </c>
      <c r="F70" s="1" t="s">
        <v>3867</v>
      </c>
      <c r="G70" s="1" t="s">
        <v>3868</v>
      </c>
      <c r="H70" s="1" t="s">
        <v>3604</v>
      </c>
      <c r="I70" s="1" t="s">
        <v>3869</v>
      </c>
      <c r="J70" s="1" t="s">
        <v>3606</v>
      </c>
      <c r="K70" s="1" t="s">
        <v>3870</v>
      </c>
      <c r="L70" s="1" t="s">
        <v>3608</v>
      </c>
      <c r="M70" s="1"/>
    </row>
    <row x14ac:dyDescent="0.25" r="71" customHeight="1" ht="18.75">
      <c r="A71" s="1" t="s">
        <v>3617</v>
      </c>
      <c r="B71" s="1" t="s">
        <v>3729</v>
      </c>
      <c r="C71" s="1" t="s">
        <v>3619</v>
      </c>
      <c r="D71" s="1" t="s">
        <v>3695</v>
      </c>
      <c r="E71" s="1" t="s">
        <v>3730</v>
      </c>
      <c r="F71" s="1" t="s">
        <v>3871</v>
      </c>
      <c r="G71" s="1" t="s">
        <v>3740</v>
      </c>
      <c r="H71" s="1" t="s">
        <v>3604</v>
      </c>
      <c r="I71" s="1" t="s">
        <v>3872</v>
      </c>
      <c r="J71" s="1" t="s">
        <v>3606</v>
      </c>
      <c r="K71" s="1" t="s">
        <v>3873</v>
      </c>
      <c r="L71" s="1" t="s">
        <v>3608</v>
      </c>
      <c r="M71" s="1"/>
    </row>
    <row x14ac:dyDescent="0.25" r="72" customHeight="1" ht="18.75">
      <c r="A72" s="1" t="s">
        <v>3617</v>
      </c>
      <c r="B72" s="1" t="s">
        <v>3729</v>
      </c>
      <c r="C72" s="1" t="s">
        <v>3619</v>
      </c>
      <c r="D72" s="1" t="s">
        <v>3695</v>
      </c>
      <c r="E72" s="1" t="s">
        <v>3730</v>
      </c>
      <c r="F72" s="1" t="s">
        <v>3874</v>
      </c>
      <c r="G72" s="1" t="s">
        <v>3748</v>
      </c>
      <c r="H72" s="1" t="s">
        <v>3604</v>
      </c>
      <c r="I72" s="1" t="s">
        <v>3875</v>
      </c>
      <c r="J72" s="1" t="s">
        <v>3606</v>
      </c>
      <c r="K72" s="1" t="s">
        <v>3876</v>
      </c>
      <c r="L72" s="1" t="s">
        <v>3608</v>
      </c>
      <c r="M72" s="1"/>
    </row>
    <row x14ac:dyDescent="0.25" r="73" customHeight="1" ht="18.75">
      <c r="A73" s="1" t="s">
        <v>3617</v>
      </c>
      <c r="B73" s="1" t="s">
        <v>3877</v>
      </c>
      <c r="C73" s="1" t="s">
        <v>3619</v>
      </c>
      <c r="D73" s="1" t="s">
        <v>533</v>
      </c>
      <c r="E73" s="1"/>
      <c r="F73" s="1" t="s">
        <v>3878</v>
      </c>
      <c r="G73" s="1" t="s">
        <v>3879</v>
      </c>
      <c r="H73" s="1" t="s">
        <v>3604</v>
      </c>
      <c r="I73" s="1" t="s">
        <v>3880</v>
      </c>
      <c r="J73" s="1" t="s">
        <v>3606</v>
      </c>
      <c r="K73" s="1" t="s">
        <v>3881</v>
      </c>
      <c r="L73" s="1" t="s">
        <v>3608</v>
      </c>
      <c r="M73" s="1"/>
    </row>
    <row x14ac:dyDescent="0.25" r="74" customHeight="1" ht="18.75">
      <c r="A74" s="1" t="s">
        <v>3617</v>
      </c>
      <c r="B74" s="1" t="s">
        <v>3877</v>
      </c>
      <c r="C74" s="1" t="s">
        <v>3619</v>
      </c>
      <c r="D74" s="1" t="s">
        <v>533</v>
      </c>
      <c r="E74" s="1"/>
      <c r="F74" s="1" t="s">
        <v>3882</v>
      </c>
      <c r="G74" s="1" t="s">
        <v>3879</v>
      </c>
      <c r="H74" s="1" t="s">
        <v>3604</v>
      </c>
      <c r="I74" s="1" t="s">
        <v>3883</v>
      </c>
      <c r="J74" s="1" t="s">
        <v>3606</v>
      </c>
      <c r="K74" s="1" t="s">
        <v>3884</v>
      </c>
      <c r="L74" s="1" t="s">
        <v>3608</v>
      </c>
      <c r="M74" s="1"/>
    </row>
    <row x14ac:dyDescent="0.25" r="75" customHeight="1" ht="18.75">
      <c r="A75" s="1" t="s">
        <v>3617</v>
      </c>
      <c r="B75" s="1" t="s">
        <v>3877</v>
      </c>
      <c r="C75" s="1" t="s">
        <v>3619</v>
      </c>
      <c r="D75" s="1" t="s">
        <v>533</v>
      </c>
      <c r="E75" s="1"/>
      <c r="F75" s="1" t="s">
        <v>3885</v>
      </c>
      <c r="G75" s="1" t="s">
        <v>3886</v>
      </c>
      <c r="H75" s="1" t="s">
        <v>3604</v>
      </c>
      <c r="I75" s="1" t="s">
        <v>3887</v>
      </c>
      <c r="J75" s="1" t="s">
        <v>3606</v>
      </c>
      <c r="K75" s="1" t="s">
        <v>3888</v>
      </c>
      <c r="L75" s="1" t="s">
        <v>3608</v>
      </c>
      <c r="M75" s="1"/>
    </row>
    <row x14ac:dyDescent="0.25" r="76" customHeight="1" ht="18.75">
      <c r="A76" s="1" t="s">
        <v>3617</v>
      </c>
      <c r="B76" s="1" t="s">
        <v>3877</v>
      </c>
      <c r="C76" s="1" t="s">
        <v>3619</v>
      </c>
      <c r="D76" s="1" t="s">
        <v>533</v>
      </c>
      <c r="E76" s="1"/>
      <c r="F76" s="1" t="s">
        <v>3889</v>
      </c>
      <c r="G76" s="1" t="s">
        <v>3886</v>
      </c>
      <c r="H76" s="1" t="s">
        <v>3604</v>
      </c>
      <c r="I76" s="1" t="s">
        <v>3890</v>
      </c>
      <c r="J76" s="1" t="s">
        <v>3606</v>
      </c>
      <c r="K76" s="1" t="s">
        <v>3891</v>
      </c>
      <c r="L76" s="1" t="s">
        <v>3608</v>
      </c>
      <c r="M76" s="1"/>
    </row>
    <row x14ac:dyDescent="0.25" r="77" customHeight="1" ht="18.75">
      <c r="A77" s="1" t="s">
        <v>3617</v>
      </c>
      <c r="B77" s="1" t="s">
        <v>3892</v>
      </c>
      <c r="C77" s="1" t="s">
        <v>3619</v>
      </c>
      <c r="D77" s="1" t="s">
        <v>3695</v>
      </c>
      <c r="E77" s="1" t="s">
        <v>3893</v>
      </c>
      <c r="F77" s="1" t="s">
        <v>3894</v>
      </c>
      <c r="G77" s="1" t="s">
        <v>3895</v>
      </c>
      <c r="H77" s="1" t="s">
        <v>3604</v>
      </c>
      <c r="I77" s="1" t="s">
        <v>3896</v>
      </c>
      <c r="J77" s="1" t="s">
        <v>3606</v>
      </c>
      <c r="K77" s="1" t="s">
        <v>3897</v>
      </c>
      <c r="L77" s="1" t="s">
        <v>3608</v>
      </c>
      <c r="M77" s="1"/>
    </row>
    <row x14ac:dyDescent="0.25" r="78" customHeight="1" ht="18.75">
      <c r="A78" s="1" t="s">
        <v>3617</v>
      </c>
      <c r="B78" s="1" t="s">
        <v>3898</v>
      </c>
      <c r="C78" s="1" t="s">
        <v>3619</v>
      </c>
      <c r="D78" s="1" t="s">
        <v>3695</v>
      </c>
      <c r="E78" s="1" t="s">
        <v>3893</v>
      </c>
      <c r="F78" s="1" t="s">
        <v>3899</v>
      </c>
      <c r="G78" s="1" t="s">
        <v>3900</v>
      </c>
      <c r="H78" s="1" t="s">
        <v>3604</v>
      </c>
      <c r="I78" s="1" t="s">
        <v>3901</v>
      </c>
      <c r="J78" s="1" t="s">
        <v>3606</v>
      </c>
      <c r="K78" s="1" t="s">
        <v>3902</v>
      </c>
      <c r="L78" s="1" t="s">
        <v>3608</v>
      </c>
      <c r="M78" s="1"/>
    </row>
    <row x14ac:dyDescent="0.25" r="79" customHeight="1" ht="18.75">
      <c r="A79" s="1" t="s">
        <v>3617</v>
      </c>
      <c r="B79" s="1" t="s">
        <v>3903</v>
      </c>
      <c r="C79" s="1" t="s">
        <v>3619</v>
      </c>
      <c r="D79" s="1" t="s">
        <v>3610</v>
      </c>
      <c r="E79" s="1"/>
      <c r="F79" s="1" t="s">
        <v>3904</v>
      </c>
      <c r="G79" s="1" t="s">
        <v>3905</v>
      </c>
      <c r="H79" s="1" t="s">
        <v>3604</v>
      </c>
      <c r="I79" s="1" t="s">
        <v>3906</v>
      </c>
      <c r="J79" s="1" t="s">
        <v>3606</v>
      </c>
      <c r="K79" s="1" t="s">
        <v>3907</v>
      </c>
      <c r="L79" s="1" t="s">
        <v>3608</v>
      </c>
      <c r="M79" s="1"/>
    </row>
    <row x14ac:dyDescent="0.25" r="80" customHeight="1" ht="18.75">
      <c r="A80" s="1" t="s">
        <v>3617</v>
      </c>
      <c r="B80" s="1" t="s">
        <v>3908</v>
      </c>
      <c r="C80" s="1" t="s">
        <v>3619</v>
      </c>
      <c r="D80" s="1" t="s">
        <v>3695</v>
      </c>
      <c r="E80" s="1"/>
      <c r="F80" s="1" t="s">
        <v>3909</v>
      </c>
      <c r="G80" s="1" t="s">
        <v>3910</v>
      </c>
      <c r="H80" s="1" t="s">
        <v>3604</v>
      </c>
      <c r="I80" s="1" t="s">
        <v>3911</v>
      </c>
      <c r="J80" s="1" t="s">
        <v>3606</v>
      </c>
      <c r="K80" s="1" t="s">
        <v>3912</v>
      </c>
      <c r="L80" s="1" t="s">
        <v>3608</v>
      </c>
      <c r="M80" s="1"/>
    </row>
    <row x14ac:dyDescent="0.25" r="81" customHeight="1" ht="18.75">
      <c r="A81" s="1" t="s">
        <v>3617</v>
      </c>
      <c r="B81" s="1" t="s">
        <v>3908</v>
      </c>
      <c r="C81" s="1" t="s">
        <v>3619</v>
      </c>
      <c r="D81" s="1" t="s">
        <v>3695</v>
      </c>
      <c r="E81" s="1"/>
      <c r="F81" s="1" t="s">
        <v>3913</v>
      </c>
      <c r="G81" s="1" t="s">
        <v>3910</v>
      </c>
      <c r="H81" s="1" t="s">
        <v>3604</v>
      </c>
      <c r="I81" s="1" t="s">
        <v>3914</v>
      </c>
      <c r="J81" s="1" t="s">
        <v>3606</v>
      </c>
      <c r="K81" s="1" t="s">
        <v>3915</v>
      </c>
      <c r="L81" s="1" t="s">
        <v>3608</v>
      </c>
      <c r="M81" s="1"/>
    </row>
    <row x14ac:dyDescent="0.25" r="82" customHeight="1" ht="18.75">
      <c r="A82" s="1" t="s">
        <v>3617</v>
      </c>
      <c r="B82" s="1" t="s">
        <v>3908</v>
      </c>
      <c r="C82" s="1" t="s">
        <v>3619</v>
      </c>
      <c r="D82" s="1" t="s">
        <v>3695</v>
      </c>
      <c r="E82" s="1"/>
      <c r="F82" s="1" t="s">
        <v>3916</v>
      </c>
      <c r="G82" s="1" t="s">
        <v>3910</v>
      </c>
      <c r="H82" s="1" t="s">
        <v>3604</v>
      </c>
      <c r="I82" s="1" t="s">
        <v>3917</v>
      </c>
      <c r="J82" s="1" t="s">
        <v>3606</v>
      </c>
      <c r="K82" s="1" t="s">
        <v>3918</v>
      </c>
      <c r="L82" s="1" t="s">
        <v>3608</v>
      </c>
      <c r="M82" s="1"/>
    </row>
    <row x14ac:dyDescent="0.25" r="83" customHeight="1" ht="18.75">
      <c r="A83" s="1" t="s">
        <v>3617</v>
      </c>
      <c r="B83" s="1" t="s">
        <v>3903</v>
      </c>
      <c r="C83" s="1" t="s">
        <v>3619</v>
      </c>
      <c r="D83" s="1" t="s">
        <v>3610</v>
      </c>
      <c r="E83" s="1"/>
      <c r="F83" s="1" t="s">
        <v>3919</v>
      </c>
      <c r="G83" s="1" t="s">
        <v>3920</v>
      </c>
      <c r="H83" s="1" t="s">
        <v>3604</v>
      </c>
      <c r="I83" s="1" t="s">
        <v>3921</v>
      </c>
      <c r="J83" s="1" t="s">
        <v>3606</v>
      </c>
      <c r="K83" s="1" t="s">
        <v>3922</v>
      </c>
      <c r="L83" s="1" t="s">
        <v>3608</v>
      </c>
      <c r="M83" s="1"/>
    </row>
    <row x14ac:dyDescent="0.25" r="84" customHeight="1" ht="18.75">
      <c r="A84" s="1" t="s">
        <v>3617</v>
      </c>
      <c r="B84" s="1" t="s">
        <v>3908</v>
      </c>
      <c r="C84" s="1" t="s">
        <v>3619</v>
      </c>
      <c r="D84" s="1" t="s">
        <v>3610</v>
      </c>
      <c r="E84" s="1"/>
      <c r="F84" s="1" t="s">
        <v>3923</v>
      </c>
      <c r="G84" s="1" t="s">
        <v>3924</v>
      </c>
      <c r="H84" s="1" t="s">
        <v>3604</v>
      </c>
      <c r="I84" s="1" t="s">
        <v>3925</v>
      </c>
      <c r="J84" s="1" t="s">
        <v>3606</v>
      </c>
      <c r="K84" s="1" t="s">
        <v>3926</v>
      </c>
      <c r="L84" s="1" t="s">
        <v>3608</v>
      </c>
      <c r="M84" s="1"/>
    </row>
    <row x14ac:dyDescent="0.25" r="85" customHeight="1" ht="18.75">
      <c r="A85" s="1" t="s">
        <v>3617</v>
      </c>
      <c r="B85" s="1" t="s">
        <v>3908</v>
      </c>
      <c r="C85" s="1" t="s">
        <v>3619</v>
      </c>
      <c r="D85" s="1" t="s">
        <v>3610</v>
      </c>
      <c r="E85" s="1"/>
      <c r="F85" s="1" t="s">
        <v>3927</v>
      </c>
      <c r="G85" s="1" t="s">
        <v>3924</v>
      </c>
      <c r="H85" s="1" t="s">
        <v>3604</v>
      </c>
      <c r="I85" s="1" t="s">
        <v>3928</v>
      </c>
      <c r="J85" s="1" t="s">
        <v>3606</v>
      </c>
      <c r="K85" s="1" t="s">
        <v>3929</v>
      </c>
      <c r="L85" s="1" t="s">
        <v>3608</v>
      </c>
      <c r="M85" s="1"/>
    </row>
    <row x14ac:dyDescent="0.25" r="86" customHeight="1" ht="18.75">
      <c r="A86" s="1" t="s">
        <v>3617</v>
      </c>
      <c r="B86" s="1" t="s">
        <v>3908</v>
      </c>
      <c r="C86" s="1" t="s">
        <v>3619</v>
      </c>
      <c r="D86" s="1" t="s">
        <v>3610</v>
      </c>
      <c r="E86" s="1"/>
      <c r="F86" s="1" t="s">
        <v>3930</v>
      </c>
      <c r="G86" s="1" t="s">
        <v>3924</v>
      </c>
      <c r="H86" s="1" t="s">
        <v>3604</v>
      </c>
      <c r="I86" s="1" t="s">
        <v>3931</v>
      </c>
      <c r="J86" s="1" t="s">
        <v>3606</v>
      </c>
      <c r="K86" s="1" t="s">
        <v>3932</v>
      </c>
      <c r="L86" s="1" t="s">
        <v>3608</v>
      </c>
      <c r="M86" s="1"/>
    </row>
    <row x14ac:dyDescent="0.25" r="87" customHeight="1" ht="18.75">
      <c r="A87" s="1" t="s">
        <v>3617</v>
      </c>
      <c r="B87" s="1" t="s">
        <v>3908</v>
      </c>
      <c r="C87" s="1" t="s">
        <v>3619</v>
      </c>
      <c r="D87" s="1" t="s">
        <v>3610</v>
      </c>
      <c r="E87" s="1"/>
      <c r="F87" s="1" t="s">
        <v>3933</v>
      </c>
      <c r="G87" s="1" t="s">
        <v>3910</v>
      </c>
      <c r="H87" s="1" t="s">
        <v>3604</v>
      </c>
      <c r="I87" s="1" t="s">
        <v>3934</v>
      </c>
      <c r="J87" s="1" t="s">
        <v>3606</v>
      </c>
      <c r="K87" s="1" t="s">
        <v>3935</v>
      </c>
      <c r="L87" s="1" t="s">
        <v>3608</v>
      </c>
      <c r="M87" s="1"/>
    </row>
    <row x14ac:dyDescent="0.25" r="88" customHeight="1" ht="18.75">
      <c r="A88" s="1" t="s">
        <v>3617</v>
      </c>
      <c r="B88" s="1" t="s">
        <v>3908</v>
      </c>
      <c r="C88" s="1" t="s">
        <v>3619</v>
      </c>
      <c r="D88" s="1" t="s">
        <v>3610</v>
      </c>
      <c r="E88" s="1"/>
      <c r="F88" s="1" t="s">
        <v>3936</v>
      </c>
      <c r="G88" s="1" t="s">
        <v>3910</v>
      </c>
      <c r="H88" s="1" t="s">
        <v>3604</v>
      </c>
      <c r="I88" s="1" t="s">
        <v>3937</v>
      </c>
      <c r="J88" s="1" t="s">
        <v>3606</v>
      </c>
      <c r="K88" s="1" t="s">
        <v>3938</v>
      </c>
      <c r="L88" s="1" t="s">
        <v>3608</v>
      </c>
      <c r="M88" s="1"/>
    </row>
    <row x14ac:dyDescent="0.25" r="89" customHeight="1" ht="18.75">
      <c r="A89" s="1" t="s">
        <v>3617</v>
      </c>
      <c r="B89" s="1" t="s">
        <v>3908</v>
      </c>
      <c r="C89" s="1" t="s">
        <v>3619</v>
      </c>
      <c r="D89" s="1" t="s">
        <v>3610</v>
      </c>
      <c r="E89" s="1"/>
      <c r="F89" s="1" t="s">
        <v>3939</v>
      </c>
      <c r="G89" s="1" t="s">
        <v>3910</v>
      </c>
      <c r="H89" s="1" t="s">
        <v>3604</v>
      </c>
      <c r="I89" s="1" t="s">
        <v>3940</v>
      </c>
      <c r="J89" s="1" t="s">
        <v>3606</v>
      </c>
      <c r="K89" s="1" t="s">
        <v>3941</v>
      </c>
      <c r="L89" s="1" t="s">
        <v>3608</v>
      </c>
      <c r="M89" s="1"/>
    </row>
    <row x14ac:dyDescent="0.25" r="90" customHeight="1" ht="18.75">
      <c r="A90" s="1" t="s">
        <v>3693</v>
      </c>
      <c r="B90" s="1" t="s">
        <v>3942</v>
      </c>
      <c r="C90" s="1" t="s">
        <v>3600</v>
      </c>
      <c r="D90" s="1" t="s">
        <v>533</v>
      </c>
      <c r="E90" s="1" t="s">
        <v>3611</v>
      </c>
      <c r="F90" s="1" t="s">
        <v>3943</v>
      </c>
      <c r="G90" s="1" t="s">
        <v>3944</v>
      </c>
      <c r="H90" s="1" t="s">
        <v>3604</v>
      </c>
      <c r="I90" s="1" t="s">
        <v>3945</v>
      </c>
      <c r="J90" s="1" t="s">
        <v>3615</v>
      </c>
      <c r="K90" s="1" t="s">
        <v>3946</v>
      </c>
      <c r="L90" s="1" t="s">
        <v>3608</v>
      </c>
      <c r="M90" s="1"/>
    </row>
    <row x14ac:dyDescent="0.25" r="91" customHeight="1" ht="18.75">
      <c r="A91" s="1" t="s">
        <v>3693</v>
      </c>
      <c r="B91" s="1" t="s">
        <v>3947</v>
      </c>
      <c r="C91" s="1" t="s">
        <v>3600</v>
      </c>
      <c r="D91" s="1" t="s">
        <v>533</v>
      </c>
      <c r="E91" s="1"/>
      <c r="F91" s="1" t="s">
        <v>3948</v>
      </c>
      <c r="G91" s="1" t="s">
        <v>3949</v>
      </c>
      <c r="H91" s="1" t="s">
        <v>3604</v>
      </c>
      <c r="I91" s="1" t="s">
        <v>3950</v>
      </c>
      <c r="J91" s="1" t="s">
        <v>3606</v>
      </c>
      <c r="K91" s="1"/>
      <c r="L91" s="1" t="s">
        <v>3608</v>
      </c>
      <c r="M91" s="1"/>
    </row>
    <row x14ac:dyDescent="0.25" r="92" customHeight="1" ht="18.75">
      <c r="A92" s="1" t="s">
        <v>3693</v>
      </c>
      <c r="B92" s="1" t="s">
        <v>3947</v>
      </c>
      <c r="C92" s="1" t="s">
        <v>3600</v>
      </c>
      <c r="D92" s="1" t="s">
        <v>3610</v>
      </c>
      <c r="E92" s="1"/>
      <c r="F92" s="1" t="s">
        <v>3951</v>
      </c>
      <c r="G92" s="1" t="s">
        <v>3949</v>
      </c>
      <c r="H92" s="1" t="s">
        <v>3604</v>
      </c>
      <c r="I92" s="1" t="s">
        <v>3952</v>
      </c>
      <c r="J92" s="1" t="s">
        <v>3606</v>
      </c>
      <c r="K92" s="1"/>
      <c r="L92" s="1" t="s">
        <v>3608</v>
      </c>
      <c r="M92" s="1"/>
    </row>
    <row x14ac:dyDescent="0.25" r="93" customHeight="1" ht="18.75">
      <c r="A93" s="1" t="s">
        <v>3693</v>
      </c>
      <c r="B93" s="1" t="s">
        <v>3942</v>
      </c>
      <c r="C93" s="1" t="s">
        <v>3600</v>
      </c>
      <c r="D93" s="1" t="s">
        <v>3695</v>
      </c>
      <c r="E93" s="1" t="s">
        <v>3611</v>
      </c>
      <c r="F93" s="1" t="s">
        <v>3953</v>
      </c>
      <c r="G93" s="1" t="s">
        <v>3954</v>
      </c>
      <c r="H93" s="1" t="s">
        <v>3604</v>
      </c>
      <c r="I93" s="1" t="s">
        <v>3955</v>
      </c>
      <c r="J93" s="1" t="s">
        <v>3615</v>
      </c>
      <c r="K93" s="1" t="s">
        <v>3956</v>
      </c>
      <c r="L93" s="1" t="s">
        <v>3608</v>
      </c>
      <c r="M93" s="1"/>
    </row>
    <row x14ac:dyDescent="0.25" r="94" customHeight="1" ht="18.75">
      <c r="A94" s="1" t="s">
        <v>3693</v>
      </c>
      <c r="B94" s="1" t="s">
        <v>3957</v>
      </c>
      <c r="C94" s="1" t="s">
        <v>3600</v>
      </c>
      <c r="D94" s="1" t="s">
        <v>3610</v>
      </c>
      <c r="E94" s="1" t="s">
        <v>3752</v>
      </c>
      <c r="F94" s="1" t="s">
        <v>3958</v>
      </c>
      <c r="G94" s="1" t="s">
        <v>3959</v>
      </c>
      <c r="H94" s="1" t="s">
        <v>3604</v>
      </c>
      <c r="I94" s="1" t="s">
        <v>3960</v>
      </c>
      <c r="J94" s="1" t="s">
        <v>3606</v>
      </c>
      <c r="K94" s="1" t="s">
        <v>3961</v>
      </c>
      <c r="L94" s="1" t="s">
        <v>3608</v>
      </c>
      <c r="M94" s="1"/>
    </row>
    <row x14ac:dyDescent="0.25" r="95" customHeight="1" ht="18.75">
      <c r="A95" s="1" t="s">
        <v>3693</v>
      </c>
      <c r="B95" s="1" t="s">
        <v>3957</v>
      </c>
      <c r="C95" s="1" t="s">
        <v>3600</v>
      </c>
      <c r="D95" s="1" t="s">
        <v>3610</v>
      </c>
      <c r="E95" s="1" t="s">
        <v>3752</v>
      </c>
      <c r="F95" s="1" t="s">
        <v>3962</v>
      </c>
      <c r="G95" s="1" t="s">
        <v>3959</v>
      </c>
      <c r="H95" s="1" t="s">
        <v>3604</v>
      </c>
      <c r="I95" s="1" t="s">
        <v>3963</v>
      </c>
      <c r="J95" s="1" t="s">
        <v>3606</v>
      </c>
      <c r="K95" s="1" t="s">
        <v>3964</v>
      </c>
      <c r="L95" s="1" t="s">
        <v>3608</v>
      </c>
      <c r="M95" s="1"/>
    </row>
    <row x14ac:dyDescent="0.25" r="96" customHeight="1" ht="18.75">
      <c r="A96" s="1" t="s">
        <v>3693</v>
      </c>
      <c r="B96" s="1" t="s">
        <v>3957</v>
      </c>
      <c r="C96" s="1" t="s">
        <v>3600</v>
      </c>
      <c r="D96" s="1" t="s">
        <v>3610</v>
      </c>
      <c r="E96" s="1" t="s">
        <v>3752</v>
      </c>
      <c r="F96" s="1" t="s">
        <v>3965</v>
      </c>
      <c r="G96" s="1" t="s">
        <v>3959</v>
      </c>
      <c r="H96" s="1" t="s">
        <v>3604</v>
      </c>
      <c r="I96" s="1" t="s">
        <v>3966</v>
      </c>
      <c r="J96" s="1" t="s">
        <v>3606</v>
      </c>
      <c r="K96" s="1" t="s">
        <v>3967</v>
      </c>
      <c r="L96" s="1" t="s">
        <v>3608</v>
      </c>
      <c r="M96" s="1"/>
    </row>
    <row x14ac:dyDescent="0.25" r="97" customHeight="1" ht="18.75">
      <c r="A97" s="1" t="s">
        <v>3693</v>
      </c>
      <c r="B97" s="1" t="s">
        <v>3957</v>
      </c>
      <c r="C97" s="1" t="s">
        <v>3600</v>
      </c>
      <c r="D97" s="1" t="s">
        <v>3610</v>
      </c>
      <c r="E97" s="1" t="s">
        <v>3752</v>
      </c>
      <c r="F97" s="1" t="s">
        <v>3968</v>
      </c>
      <c r="G97" s="1" t="s">
        <v>3959</v>
      </c>
      <c r="H97" s="1" t="s">
        <v>3604</v>
      </c>
      <c r="I97" s="1" t="s">
        <v>3969</v>
      </c>
      <c r="J97" s="1" t="s">
        <v>3606</v>
      </c>
      <c r="K97" s="1" t="s">
        <v>3970</v>
      </c>
      <c r="L97" s="1" t="s">
        <v>3608</v>
      </c>
      <c r="M97" s="1"/>
    </row>
    <row x14ac:dyDescent="0.25" r="98" customHeight="1" ht="18.75">
      <c r="A98" s="1" t="s">
        <v>3693</v>
      </c>
      <c r="B98" s="1" t="s">
        <v>3957</v>
      </c>
      <c r="C98" s="1" t="s">
        <v>3600</v>
      </c>
      <c r="D98" s="1" t="s">
        <v>3610</v>
      </c>
      <c r="E98" s="1" t="s">
        <v>3752</v>
      </c>
      <c r="F98" s="1" t="s">
        <v>3971</v>
      </c>
      <c r="G98" s="1" t="s">
        <v>3959</v>
      </c>
      <c r="H98" s="1" t="s">
        <v>3604</v>
      </c>
      <c r="I98" s="1" t="s">
        <v>3972</v>
      </c>
      <c r="J98" s="1" t="s">
        <v>3606</v>
      </c>
      <c r="K98" s="1" t="s">
        <v>3973</v>
      </c>
      <c r="L98" s="1" t="s">
        <v>3608</v>
      </c>
      <c r="M98" s="1"/>
    </row>
    <row x14ac:dyDescent="0.25" r="99" customHeight="1" ht="18.75">
      <c r="A99" s="1" t="s">
        <v>3693</v>
      </c>
      <c r="B99" s="1" t="s">
        <v>3957</v>
      </c>
      <c r="C99" s="1" t="s">
        <v>3600</v>
      </c>
      <c r="D99" s="1" t="s">
        <v>3610</v>
      </c>
      <c r="E99" s="1" t="s">
        <v>3752</v>
      </c>
      <c r="F99" s="1" t="s">
        <v>3974</v>
      </c>
      <c r="G99" s="1" t="s">
        <v>3959</v>
      </c>
      <c r="H99" s="1" t="s">
        <v>3604</v>
      </c>
      <c r="I99" s="1" t="s">
        <v>3975</v>
      </c>
      <c r="J99" s="1" t="s">
        <v>3606</v>
      </c>
      <c r="K99" s="1" t="s">
        <v>3976</v>
      </c>
      <c r="L99" s="1" t="s">
        <v>3608</v>
      </c>
      <c r="M99" s="1"/>
    </row>
    <row x14ac:dyDescent="0.25" r="100" customHeight="1" ht="18.75">
      <c r="A100" s="1" t="s">
        <v>3693</v>
      </c>
      <c r="B100" s="1" t="s">
        <v>3957</v>
      </c>
      <c r="C100" s="1" t="s">
        <v>3600</v>
      </c>
      <c r="D100" s="1" t="s">
        <v>3610</v>
      </c>
      <c r="E100" s="1" t="s">
        <v>3752</v>
      </c>
      <c r="F100" s="1" t="s">
        <v>3977</v>
      </c>
      <c r="G100" s="1" t="s">
        <v>3959</v>
      </c>
      <c r="H100" s="1" t="s">
        <v>3604</v>
      </c>
      <c r="I100" s="1" t="s">
        <v>3978</v>
      </c>
      <c r="J100" s="1" t="s">
        <v>3606</v>
      </c>
      <c r="K100" s="1" t="s">
        <v>3979</v>
      </c>
      <c r="L100" s="1" t="s">
        <v>3608</v>
      </c>
      <c r="M100" s="1"/>
    </row>
    <row x14ac:dyDescent="0.25" r="101" customHeight="1" ht="18.75">
      <c r="A101" s="1" t="s">
        <v>3617</v>
      </c>
      <c r="B101" s="1" t="s">
        <v>3980</v>
      </c>
      <c r="C101" s="1" t="s">
        <v>3619</v>
      </c>
      <c r="D101" s="1" t="s">
        <v>3695</v>
      </c>
      <c r="E101" s="1" t="s">
        <v>3981</v>
      </c>
      <c r="F101" s="1" t="s">
        <v>3982</v>
      </c>
      <c r="G101" s="1" t="s">
        <v>3983</v>
      </c>
      <c r="H101" s="1" t="s">
        <v>3604</v>
      </c>
      <c r="I101" s="1" t="s">
        <v>3984</v>
      </c>
      <c r="J101" s="1" t="s">
        <v>3606</v>
      </c>
      <c r="K101" s="1" t="s">
        <v>3985</v>
      </c>
      <c r="L101" s="1" t="s">
        <v>3616</v>
      </c>
      <c r="M101" s="1"/>
    </row>
    <row x14ac:dyDescent="0.25" r="102" customHeight="1" ht="18.75">
      <c r="A102" s="1" t="s">
        <v>3693</v>
      </c>
      <c r="B102" s="1" t="s">
        <v>3957</v>
      </c>
      <c r="C102" s="1" t="s">
        <v>3600</v>
      </c>
      <c r="D102" s="1" t="s">
        <v>3610</v>
      </c>
      <c r="E102" s="1" t="s">
        <v>3752</v>
      </c>
      <c r="F102" s="1" t="s">
        <v>3986</v>
      </c>
      <c r="G102" s="1" t="s">
        <v>3959</v>
      </c>
      <c r="H102" s="1" t="s">
        <v>3604</v>
      </c>
      <c r="I102" s="1" t="s">
        <v>3987</v>
      </c>
      <c r="J102" s="1" t="s">
        <v>3606</v>
      </c>
      <c r="K102" s="1" t="s">
        <v>3988</v>
      </c>
      <c r="L102" s="1" t="s">
        <v>3608</v>
      </c>
      <c r="M102" s="1"/>
    </row>
    <row x14ac:dyDescent="0.25" r="103" customHeight="1" ht="18.75">
      <c r="A103" s="1" t="s">
        <v>3693</v>
      </c>
      <c r="B103" s="1" t="s">
        <v>3957</v>
      </c>
      <c r="C103" s="1" t="s">
        <v>3600</v>
      </c>
      <c r="D103" s="1" t="s">
        <v>3610</v>
      </c>
      <c r="E103" s="1" t="s">
        <v>3752</v>
      </c>
      <c r="F103" s="1" t="s">
        <v>3989</v>
      </c>
      <c r="G103" s="1" t="s">
        <v>3959</v>
      </c>
      <c r="H103" s="1" t="s">
        <v>3604</v>
      </c>
      <c r="I103" s="1" t="s">
        <v>3990</v>
      </c>
      <c r="J103" s="1" t="s">
        <v>3606</v>
      </c>
      <c r="K103" s="1" t="s">
        <v>3991</v>
      </c>
      <c r="L103" s="1" t="s">
        <v>3608</v>
      </c>
      <c r="M103" s="1"/>
    </row>
    <row x14ac:dyDescent="0.25" r="104" customHeight="1" ht="18.75">
      <c r="A104" s="1" t="s">
        <v>3693</v>
      </c>
      <c r="B104" s="1" t="s">
        <v>3957</v>
      </c>
      <c r="C104" s="1" t="s">
        <v>3600</v>
      </c>
      <c r="D104" s="1" t="s">
        <v>3610</v>
      </c>
      <c r="E104" s="1" t="s">
        <v>3752</v>
      </c>
      <c r="F104" s="1" t="s">
        <v>3992</v>
      </c>
      <c r="G104" s="1" t="s">
        <v>3959</v>
      </c>
      <c r="H104" s="1" t="s">
        <v>3604</v>
      </c>
      <c r="I104" s="1" t="s">
        <v>3993</v>
      </c>
      <c r="J104" s="1" t="s">
        <v>3606</v>
      </c>
      <c r="K104" s="1" t="s">
        <v>3994</v>
      </c>
      <c r="L104" s="1" t="s">
        <v>3608</v>
      </c>
      <c r="M104" s="1"/>
    </row>
    <row x14ac:dyDescent="0.25" r="105" customHeight="1" ht="18.75">
      <c r="A105" s="1" t="s">
        <v>3693</v>
      </c>
      <c r="B105" s="1" t="s">
        <v>3957</v>
      </c>
      <c r="C105" s="1" t="s">
        <v>3600</v>
      </c>
      <c r="D105" s="1" t="s">
        <v>3610</v>
      </c>
      <c r="E105" s="1" t="s">
        <v>3752</v>
      </c>
      <c r="F105" s="1" t="s">
        <v>3995</v>
      </c>
      <c r="G105" s="1" t="s">
        <v>3959</v>
      </c>
      <c r="H105" s="1" t="s">
        <v>3604</v>
      </c>
      <c r="I105" s="1" t="s">
        <v>3996</v>
      </c>
      <c r="J105" s="1" t="s">
        <v>3606</v>
      </c>
      <c r="K105" s="1" t="s">
        <v>3997</v>
      </c>
      <c r="L105" s="1" t="s">
        <v>3608</v>
      </c>
      <c r="M105" s="1"/>
    </row>
    <row x14ac:dyDescent="0.25" r="106" customHeight="1" ht="18.75">
      <c r="A106" s="1" t="s">
        <v>3693</v>
      </c>
      <c r="B106" s="1" t="s">
        <v>3957</v>
      </c>
      <c r="C106" s="1" t="s">
        <v>3600</v>
      </c>
      <c r="D106" s="1" t="s">
        <v>3610</v>
      </c>
      <c r="E106" s="1" t="s">
        <v>3752</v>
      </c>
      <c r="F106" s="1" t="s">
        <v>3998</v>
      </c>
      <c r="G106" s="1" t="s">
        <v>3959</v>
      </c>
      <c r="H106" s="1" t="s">
        <v>3604</v>
      </c>
      <c r="I106" s="1" t="s">
        <v>3999</v>
      </c>
      <c r="J106" s="1" t="s">
        <v>3606</v>
      </c>
      <c r="K106" s="1" t="s">
        <v>4000</v>
      </c>
      <c r="L106" s="1" t="s">
        <v>3608</v>
      </c>
      <c r="M106" s="1"/>
    </row>
    <row x14ac:dyDescent="0.25" r="107" customHeight="1" ht="18.75">
      <c r="A107" s="1" t="s">
        <v>3693</v>
      </c>
      <c r="B107" s="1" t="s">
        <v>3957</v>
      </c>
      <c r="C107" s="1" t="s">
        <v>3600</v>
      </c>
      <c r="D107" s="1" t="s">
        <v>3610</v>
      </c>
      <c r="E107" s="1" t="s">
        <v>3752</v>
      </c>
      <c r="F107" s="1" t="s">
        <v>4001</v>
      </c>
      <c r="G107" s="1" t="s">
        <v>3959</v>
      </c>
      <c r="H107" s="1" t="s">
        <v>3604</v>
      </c>
      <c r="I107" s="1" t="s">
        <v>4002</v>
      </c>
      <c r="J107" s="1" t="s">
        <v>3606</v>
      </c>
      <c r="K107" s="1" t="s">
        <v>4003</v>
      </c>
      <c r="L107" s="1" t="s">
        <v>3608</v>
      </c>
      <c r="M107" s="1"/>
    </row>
    <row x14ac:dyDescent="0.25" r="108" customHeight="1" ht="18.75">
      <c r="A108" s="1" t="s">
        <v>3693</v>
      </c>
      <c r="B108" s="1" t="s">
        <v>3957</v>
      </c>
      <c r="C108" s="1" t="s">
        <v>3600</v>
      </c>
      <c r="D108" s="1" t="s">
        <v>3610</v>
      </c>
      <c r="E108" s="1" t="s">
        <v>3752</v>
      </c>
      <c r="F108" s="1" t="s">
        <v>4004</v>
      </c>
      <c r="G108" s="1" t="s">
        <v>4005</v>
      </c>
      <c r="H108" s="1" t="s">
        <v>3604</v>
      </c>
      <c r="I108" s="1" t="s">
        <v>4006</v>
      </c>
      <c r="J108" s="1" t="s">
        <v>3615</v>
      </c>
      <c r="K108" s="1" t="s">
        <v>4007</v>
      </c>
      <c r="L108" s="1" t="s">
        <v>3608</v>
      </c>
      <c r="M108" s="1"/>
    </row>
    <row x14ac:dyDescent="0.25" r="109" customHeight="1" ht="18.75">
      <c r="A109" s="1" t="s">
        <v>3693</v>
      </c>
      <c r="B109" s="1" t="s">
        <v>3957</v>
      </c>
      <c r="C109" s="1" t="s">
        <v>3600</v>
      </c>
      <c r="D109" s="1" t="s">
        <v>3610</v>
      </c>
      <c r="E109" s="1" t="s">
        <v>3752</v>
      </c>
      <c r="F109" s="1" t="s">
        <v>4008</v>
      </c>
      <c r="G109" s="1" t="s">
        <v>4009</v>
      </c>
      <c r="H109" s="1" t="s">
        <v>3604</v>
      </c>
      <c r="I109" s="1" t="s">
        <v>4010</v>
      </c>
      <c r="J109" s="1" t="s">
        <v>3606</v>
      </c>
      <c r="K109" s="1" t="s">
        <v>4011</v>
      </c>
      <c r="L109" s="1" t="s">
        <v>3608</v>
      </c>
      <c r="M109" s="1"/>
    </row>
    <row x14ac:dyDescent="0.25" r="110" customHeight="1" ht="18.75">
      <c r="A110" s="1" t="s">
        <v>3693</v>
      </c>
      <c r="B110" s="1" t="s">
        <v>3957</v>
      </c>
      <c r="C110" s="1" t="s">
        <v>3600</v>
      </c>
      <c r="D110" s="1" t="s">
        <v>3610</v>
      </c>
      <c r="E110" s="1" t="s">
        <v>3752</v>
      </c>
      <c r="F110" s="1" t="s">
        <v>4012</v>
      </c>
      <c r="G110" s="1" t="s">
        <v>4009</v>
      </c>
      <c r="H110" s="1" t="s">
        <v>3604</v>
      </c>
      <c r="I110" s="1" t="s">
        <v>4013</v>
      </c>
      <c r="J110" s="1" t="s">
        <v>3606</v>
      </c>
      <c r="K110" s="1" t="s">
        <v>4014</v>
      </c>
      <c r="L110" s="1" t="s">
        <v>3608</v>
      </c>
      <c r="M110" s="1"/>
    </row>
    <row x14ac:dyDescent="0.25" r="111" customHeight="1" ht="18.75">
      <c r="A111" s="1" t="s">
        <v>3693</v>
      </c>
      <c r="B111" s="1" t="s">
        <v>3957</v>
      </c>
      <c r="C111" s="1" t="s">
        <v>3600</v>
      </c>
      <c r="D111" s="1" t="s">
        <v>3610</v>
      </c>
      <c r="E111" s="1" t="s">
        <v>3752</v>
      </c>
      <c r="F111" s="1" t="s">
        <v>4015</v>
      </c>
      <c r="G111" s="1" t="s">
        <v>3959</v>
      </c>
      <c r="H111" s="1" t="s">
        <v>3604</v>
      </c>
      <c r="I111" s="1" t="s">
        <v>4016</v>
      </c>
      <c r="J111" s="1" t="s">
        <v>3606</v>
      </c>
      <c r="K111" s="1" t="s">
        <v>4017</v>
      </c>
      <c r="L111" s="1" t="s">
        <v>3608</v>
      </c>
      <c r="M111" s="1"/>
    </row>
    <row x14ac:dyDescent="0.25" r="112" customHeight="1" ht="18.75">
      <c r="A112" s="1" t="s">
        <v>3693</v>
      </c>
      <c r="B112" s="1" t="s">
        <v>3957</v>
      </c>
      <c r="C112" s="1" t="s">
        <v>3600</v>
      </c>
      <c r="D112" s="1" t="s">
        <v>3610</v>
      </c>
      <c r="E112" s="1" t="s">
        <v>3752</v>
      </c>
      <c r="F112" s="1" t="s">
        <v>4018</v>
      </c>
      <c r="G112" s="1" t="s">
        <v>3959</v>
      </c>
      <c r="H112" s="1" t="s">
        <v>3604</v>
      </c>
      <c r="I112" s="1" t="s">
        <v>4019</v>
      </c>
      <c r="J112" s="1" t="s">
        <v>3606</v>
      </c>
      <c r="K112" s="1" t="s">
        <v>4020</v>
      </c>
      <c r="L112" s="1" t="s">
        <v>3608</v>
      </c>
      <c r="M112" s="1"/>
    </row>
    <row x14ac:dyDescent="0.25" r="113" customHeight="1" ht="18.75">
      <c r="A113" s="1" t="s">
        <v>3693</v>
      </c>
      <c r="B113" s="1" t="s">
        <v>3957</v>
      </c>
      <c r="C113" s="1" t="s">
        <v>3600</v>
      </c>
      <c r="D113" s="1" t="s">
        <v>3610</v>
      </c>
      <c r="E113" s="1" t="s">
        <v>3752</v>
      </c>
      <c r="F113" s="1" t="s">
        <v>4021</v>
      </c>
      <c r="G113" s="1" t="s">
        <v>3959</v>
      </c>
      <c r="H113" s="1" t="s">
        <v>3604</v>
      </c>
      <c r="I113" s="1" t="s">
        <v>4022</v>
      </c>
      <c r="J113" s="1" t="s">
        <v>3606</v>
      </c>
      <c r="K113" s="1" t="s">
        <v>4023</v>
      </c>
      <c r="L113" s="1" t="s">
        <v>3608</v>
      </c>
      <c r="M113" s="1"/>
    </row>
    <row x14ac:dyDescent="0.25" r="114" customHeight="1" ht="18.75">
      <c r="A114" s="1" t="s">
        <v>3693</v>
      </c>
      <c r="B114" s="1" t="s">
        <v>3957</v>
      </c>
      <c r="C114" s="1" t="s">
        <v>3600</v>
      </c>
      <c r="D114" s="1" t="s">
        <v>3610</v>
      </c>
      <c r="E114" s="1" t="s">
        <v>3752</v>
      </c>
      <c r="F114" s="1" t="s">
        <v>4024</v>
      </c>
      <c r="G114" s="1" t="s">
        <v>3959</v>
      </c>
      <c r="H114" s="1" t="s">
        <v>3604</v>
      </c>
      <c r="I114" s="1" t="s">
        <v>4025</v>
      </c>
      <c r="J114" s="1" t="s">
        <v>3606</v>
      </c>
      <c r="K114" s="1" t="s">
        <v>4026</v>
      </c>
      <c r="L114" s="1" t="s">
        <v>3608</v>
      </c>
      <c r="M114" s="1"/>
    </row>
    <row x14ac:dyDescent="0.25" r="115" customHeight="1" ht="18.75">
      <c r="A115" s="1" t="s">
        <v>3693</v>
      </c>
      <c r="B115" s="1" t="s">
        <v>3957</v>
      </c>
      <c r="C115" s="1" t="s">
        <v>3600</v>
      </c>
      <c r="D115" s="1" t="s">
        <v>3610</v>
      </c>
      <c r="E115" s="1" t="s">
        <v>3752</v>
      </c>
      <c r="F115" s="1" t="s">
        <v>4027</v>
      </c>
      <c r="G115" s="1" t="s">
        <v>3959</v>
      </c>
      <c r="H115" s="1" t="s">
        <v>3604</v>
      </c>
      <c r="I115" s="1" t="s">
        <v>4028</v>
      </c>
      <c r="J115" s="1" t="s">
        <v>3606</v>
      </c>
      <c r="K115" s="1" t="s">
        <v>4029</v>
      </c>
      <c r="L115" s="1" t="s">
        <v>3608</v>
      </c>
      <c r="M115" s="1"/>
    </row>
    <row x14ac:dyDescent="0.25" r="116" customHeight="1" ht="18.75">
      <c r="A116" s="1" t="s">
        <v>3693</v>
      </c>
      <c r="B116" s="1" t="s">
        <v>3957</v>
      </c>
      <c r="C116" s="1" t="s">
        <v>3600</v>
      </c>
      <c r="D116" s="1" t="s">
        <v>3695</v>
      </c>
      <c r="E116" s="1" t="s">
        <v>3752</v>
      </c>
      <c r="F116" s="1" t="s">
        <v>4030</v>
      </c>
      <c r="G116" s="1" t="s">
        <v>3959</v>
      </c>
      <c r="H116" s="1" t="s">
        <v>3604</v>
      </c>
      <c r="I116" s="1" t="s">
        <v>4031</v>
      </c>
      <c r="J116" s="1" t="s">
        <v>3606</v>
      </c>
      <c r="K116" s="1" t="s">
        <v>4032</v>
      </c>
      <c r="L116" s="1" t="s">
        <v>4033</v>
      </c>
      <c r="M116" s="1"/>
    </row>
    <row x14ac:dyDescent="0.25" r="117" customHeight="1" ht="18.75">
      <c r="A117" s="1" t="s">
        <v>3693</v>
      </c>
      <c r="B117" s="1" t="s">
        <v>3957</v>
      </c>
      <c r="C117" s="1" t="s">
        <v>3600</v>
      </c>
      <c r="D117" s="1" t="s">
        <v>3695</v>
      </c>
      <c r="E117" s="1" t="s">
        <v>3752</v>
      </c>
      <c r="F117" s="1" t="s">
        <v>4034</v>
      </c>
      <c r="G117" s="1" t="s">
        <v>3959</v>
      </c>
      <c r="H117" s="1" t="s">
        <v>3604</v>
      </c>
      <c r="I117" s="1" t="s">
        <v>4035</v>
      </c>
      <c r="J117" s="1" t="s">
        <v>3606</v>
      </c>
      <c r="K117" s="1" t="s">
        <v>4036</v>
      </c>
      <c r="L117" s="1" t="s">
        <v>4033</v>
      </c>
      <c r="M117" s="1"/>
    </row>
    <row x14ac:dyDescent="0.25" r="118" customHeight="1" ht="18.75">
      <c r="A118" s="1" t="s">
        <v>3693</v>
      </c>
      <c r="B118" s="1" t="s">
        <v>3957</v>
      </c>
      <c r="C118" s="1" t="s">
        <v>3600</v>
      </c>
      <c r="D118" s="1" t="s">
        <v>3695</v>
      </c>
      <c r="E118" s="1" t="s">
        <v>3752</v>
      </c>
      <c r="F118" s="1" t="s">
        <v>4037</v>
      </c>
      <c r="G118" s="1" t="s">
        <v>3959</v>
      </c>
      <c r="H118" s="1" t="s">
        <v>3604</v>
      </c>
      <c r="I118" s="1" t="s">
        <v>4038</v>
      </c>
      <c r="J118" s="1" t="s">
        <v>3606</v>
      </c>
      <c r="K118" s="1" t="s">
        <v>4039</v>
      </c>
      <c r="L118" s="1" t="s">
        <v>3608</v>
      </c>
      <c r="M118" s="1"/>
    </row>
    <row x14ac:dyDescent="0.25" r="119" customHeight="1" ht="18.75">
      <c r="A119" s="1" t="s">
        <v>3693</v>
      </c>
      <c r="B119" s="1" t="s">
        <v>3957</v>
      </c>
      <c r="C119" s="1" t="s">
        <v>3600</v>
      </c>
      <c r="D119" s="1" t="s">
        <v>3695</v>
      </c>
      <c r="E119" s="1" t="s">
        <v>3752</v>
      </c>
      <c r="F119" s="1" t="s">
        <v>4040</v>
      </c>
      <c r="G119" s="1" t="s">
        <v>3959</v>
      </c>
      <c r="H119" s="1" t="s">
        <v>3604</v>
      </c>
      <c r="I119" s="1" t="s">
        <v>4041</v>
      </c>
      <c r="J119" s="1" t="s">
        <v>3606</v>
      </c>
      <c r="K119" s="1" t="s">
        <v>4042</v>
      </c>
      <c r="L119" s="1" t="s">
        <v>3608</v>
      </c>
      <c r="M119" s="1"/>
    </row>
    <row x14ac:dyDescent="0.25" r="120" customHeight="1" ht="18.75">
      <c r="A120" s="1" t="s">
        <v>3693</v>
      </c>
      <c r="B120" s="1" t="s">
        <v>3957</v>
      </c>
      <c r="C120" s="1" t="s">
        <v>3600</v>
      </c>
      <c r="D120" s="1" t="s">
        <v>3695</v>
      </c>
      <c r="E120" s="1" t="s">
        <v>3752</v>
      </c>
      <c r="F120" s="1" t="s">
        <v>4043</v>
      </c>
      <c r="G120" s="1" t="s">
        <v>3959</v>
      </c>
      <c r="H120" s="1" t="s">
        <v>3604</v>
      </c>
      <c r="I120" s="1" t="s">
        <v>4044</v>
      </c>
      <c r="J120" s="1" t="s">
        <v>3606</v>
      </c>
      <c r="K120" s="1" t="s">
        <v>4045</v>
      </c>
      <c r="L120" s="1" t="s">
        <v>3608</v>
      </c>
      <c r="M120" s="1"/>
    </row>
    <row x14ac:dyDescent="0.25" r="121" customHeight="1" ht="18.75">
      <c r="A121" s="1" t="s">
        <v>3693</v>
      </c>
      <c r="B121" s="1" t="s">
        <v>3957</v>
      </c>
      <c r="C121" s="1" t="s">
        <v>3600</v>
      </c>
      <c r="D121" s="1" t="s">
        <v>3695</v>
      </c>
      <c r="E121" s="1" t="s">
        <v>3752</v>
      </c>
      <c r="F121" s="1" t="s">
        <v>4046</v>
      </c>
      <c r="G121" s="1" t="s">
        <v>3959</v>
      </c>
      <c r="H121" s="1" t="s">
        <v>3604</v>
      </c>
      <c r="I121" s="1" t="s">
        <v>4047</v>
      </c>
      <c r="J121" s="1" t="s">
        <v>3606</v>
      </c>
      <c r="K121" s="1" t="s">
        <v>4048</v>
      </c>
      <c r="L121" s="1" t="s">
        <v>3608</v>
      </c>
      <c r="M121" s="1"/>
    </row>
    <row x14ac:dyDescent="0.25" r="122" customHeight="1" ht="18.75">
      <c r="A122" s="1" t="s">
        <v>3693</v>
      </c>
      <c r="B122" s="1" t="s">
        <v>3957</v>
      </c>
      <c r="C122" s="1" t="s">
        <v>3600</v>
      </c>
      <c r="D122" s="1" t="s">
        <v>3695</v>
      </c>
      <c r="E122" s="1" t="s">
        <v>3752</v>
      </c>
      <c r="F122" s="1" t="s">
        <v>4049</v>
      </c>
      <c r="G122" s="1" t="s">
        <v>3959</v>
      </c>
      <c r="H122" s="1" t="s">
        <v>3604</v>
      </c>
      <c r="I122" s="1" t="s">
        <v>4050</v>
      </c>
      <c r="J122" s="1" t="s">
        <v>3606</v>
      </c>
      <c r="K122" s="1" t="s">
        <v>4051</v>
      </c>
      <c r="L122" s="1" t="s">
        <v>3608</v>
      </c>
      <c r="M122" s="1"/>
    </row>
    <row x14ac:dyDescent="0.25" r="123" customHeight="1" ht="18.75">
      <c r="A123" s="1" t="s">
        <v>3693</v>
      </c>
      <c r="B123" s="1" t="s">
        <v>3957</v>
      </c>
      <c r="C123" s="1" t="s">
        <v>3600</v>
      </c>
      <c r="D123" s="1" t="s">
        <v>3695</v>
      </c>
      <c r="E123" s="1" t="s">
        <v>3752</v>
      </c>
      <c r="F123" s="1" t="s">
        <v>4052</v>
      </c>
      <c r="G123" s="1" t="s">
        <v>3959</v>
      </c>
      <c r="H123" s="1" t="s">
        <v>3604</v>
      </c>
      <c r="I123" s="1" t="s">
        <v>4053</v>
      </c>
      <c r="J123" s="1" t="s">
        <v>3606</v>
      </c>
      <c r="K123" s="1" t="s">
        <v>4054</v>
      </c>
      <c r="L123" s="1" t="s">
        <v>3608</v>
      </c>
      <c r="M123" s="1"/>
    </row>
    <row x14ac:dyDescent="0.25" r="124" customHeight="1" ht="18.75">
      <c r="A124" s="1" t="s">
        <v>3693</v>
      </c>
      <c r="B124" s="1" t="s">
        <v>3957</v>
      </c>
      <c r="C124" s="1" t="s">
        <v>3600</v>
      </c>
      <c r="D124" s="1" t="s">
        <v>3695</v>
      </c>
      <c r="E124" s="1" t="s">
        <v>3752</v>
      </c>
      <c r="F124" s="1" t="s">
        <v>4055</v>
      </c>
      <c r="G124" s="1" t="s">
        <v>3959</v>
      </c>
      <c r="H124" s="1" t="s">
        <v>3604</v>
      </c>
      <c r="I124" s="1" t="s">
        <v>4056</v>
      </c>
      <c r="J124" s="1" t="s">
        <v>3606</v>
      </c>
      <c r="K124" s="1" t="s">
        <v>4057</v>
      </c>
      <c r="L124" s="1" t="s">
        <v>3608</v>
      </c>
      <c r="M124" s="1"/>
    </row>
    <row x14ac:dyDescent="0.25" r="125" customHeight="1" ht="18.75">
      <c r="A125" s="1" t="s">
        <v>3693</v>
      </c>
      <c r="B125" s="1" t="s">
        <v>3957</v>
      </c>
      <c r="C125" s="1" t="s">
        <v>3600</v>
      </c>
      <c r="D125" s="1" t="s">
        <v>3695</v>
      </c>
      <c r="E125" s="1" t="s">
        <v>3752</v>
      </c>
      <c r="F125" s="1" t="s">
        <v>4058</v>
      </c>
      <c r="G125" s="1" t="s">
        <v>3959</v>
      </c>
      <c r="H125" s="1" t="s">
        <v>3604</v>
      </c>
      <c r="I125" s="1" t="s">
        <v>4059</v>
      </c>
      <c r="J125" s="1" t="s">
        <v>3615</v>
      </c>
      <c r="K125" s="1" t="s">
        <v>4060</v>
      </c>
      <c r="L125" s="1" t="s">
        <v>3608</v>
      </c>
      <c r="M125" s="1"/>
    </row>
    <row x14ac:dyDescent="0.25" r="126" customHeight="1" ht="18.75">
      <c r="A126" s="1" t="s">
        <v>3693</v>
      </c>
      <c r="B126" s="1" t="s">
        <v>3957</v>
      </c>
      <c r="C126" s="1" t="s">
        <v>3600</v>
      </c>
      <c r="D126" s="1" t="s">
        <v>3695</v>
      </c>
      <c r="E126" s="1" t="s">
        <v>3752</v>
      </c>
      <c r="F126" s="1" t="s">
        <v>4061</v>
      </c>
      <c r="G126" s="1" t="s">
        <v>3959</v>
      </c>
      <c r="H126" s="1" t="s">
        <v>3604</v>
      </c>
      <c r="I126" s="1" t="s">
        <v>4062</v>
      </c>
      <c r="J126" s="1" t="s">
        <v>3615</v>
      </c>
      <c r="K126" s="1" t="s">
        <v>4063</v>
      </c>
      <c r="L126" s="1" t="s">
        <v>3608</v>
      </c>
      <c r="M126" s="1"/>
    </row>
    <row x14ac:dyDescent="0.25" r="127" customHeight="1" ht="18.75">
      <c r="A127" s="1" t="s">
        <v>3693</v>
      </c>
      <c r="B127" s="1" t="s">
        <v>3957</v>
      </c>
      <c r="C127" s="1" t="s">
        <v>3600</v>
      </c>
      <c r="D127" s="1" t="s">
        <v>3695</v>
      </c>
      <c r="E127" s="1" t="s">
        <v>3752</v>
      </c>
      <c r="F127" s="1" t="s">
        <v>4064</v>
      </c>
      <c r="G127" s="1" t="s">
        <v>3959</v>
      </c>
      <c r="H127" s="1" t="s">
        <v>3604</v>
      </c>
      <c r="I127" s="1" t="s">
        <v>4065</v>
      </c>
      <c r="J127" s="1" t="s">
        <v>3606</v>
      </c>
      <c r="K127" s="1" t="s">
        <v>4066</v>
      </c>
      <c r="L127" s="1" t="s">
        <v>3608</v>
      </c>
      <c r="M127" s="1"/>
    </row>
    <row x14ac:dyDescent="0.25" r="128" customHeight="1" ht="18.75">
      <c r="A128" s="1" t="s">
        <v>3693</v>
      </c>
      <c r="B128" s="1" t="s">
        <v>3957</v>
      </c>
      <c r="C128" s="1" t="s">
        <v>3600</v>
      </c>
      <c r="D128" s="1" t="s">
        <v>3695</v>
      </c>
      <c r="E128" s="1" t="s">
        <v>3752</v>
      </c>
      <c r="F128" s="1" t="s">
        <v>4067</v>
      </c>
      <c r="G128" s="1" t="s">
        <v>3959</v>
      </c>
      <c r="H128" s="1" t="s">
        <v>3604</v>
      </c>
      <c r="I128" s="1" t="s">
        <v>4068</v>
      </c>
      <c r="J128" s="1" t="s">
        <v>3606</v>
      </c>
      <c r="K128" s="1" t="s">
        <v>4069</v>
      </c>
      <c r="L128" s="1" t="s">
        <v>3608</v>
      </c>
      <c r="M128" s="1"/>
    </row>
    <row x14ac:dyDescent="0.25" r="129" customHeight="1" ht="18.75">
      <c r="A129" s="1" t="s">
        <v>3617</v>
      </c>
      <c r="B129" s="1" t="s">
        <v>3729</v>
      </c>
      <c r="C129" s="1" t="s">
        <v>3619</v>
      </c>
      <c r="D129" s="1" t="s">
        <v>533</v>
      </c>
      <c r="E129" s="1" t="s">
        <v>3730</v>
      </c>
      <c r="F129" s="1" t="s">
        <v>4070</v>
      </c>
      <c r="G129" s="1" t="s">
        <v>4071</v>
      </c>
      <c r="H129" s="1" t="s">
        <v>3604</v>
      </c>
      <c r="I129" s="1" t="s">
        <v>4072</v>
      </c>
      <c r="J129" s="1" t="s">
        <v>3606</v>
      </c>
      <c r="K129" s="1" t="s">
        <v>4073</v>
      </c>
      <c r="L129" s="1" t="s">
        <v>3608</v>
      </c>
      <c r="M129" s="1"/>
    </row>
    <row x14ac:dyDescent="0.25" r="130" customHeight="1" ht="18.75">
      <c r="A130" s="1" t="s">
        <v>3617</v>
      </c>
      <c r="B130" s="1" t="s">
        <v>3729</v>
      </c>
      <c r="C130" s="1" t="s">
        <v>3619</v>
      </c>
      <c r="D130" s="1" t="s">
        <v>533</v>
      </c>
      <c r="E130" s="1" t="s">
        <v>3730</v>
      </c>
      <c r="F130" s="1" t="s">
        <v>4074</v>
      </c>
      <c r="G130" s="1" t="s">
        <v>4071</v>
      </c>
      <c r="H130" s="1" t="s">
        <v>3604</v>
      </c>
      <c r="I130" s="1" t="s">
        <v>4075</v>
      </c>
      <c r="J130" s="1" t="s">
        <v>3606</v>
      </c>
      <c r="K130" s="1" t="s">
        <v>4076</v>
      </c>
      <c r="L130" s="1" t="s">
        <v>3608</v>
      </c>
      <c r="M130" s="1"/>
    </row>
    <row x14ac:dyDescent="0.25" r="131" customHeight="1" ht="18.75">
      <c r="A131" s="1" t="s">
        <v>3598</v>
      </c>
      <c r="B131" s="1" t="s">
        <v>3654</v>
      </c>
      <c r="C131" s="1" t="s">
        <v>3600</v>
      </c>
      <c r="D131" s="1" t="s">
        <v>3601</v>
      </c>
      <c r="E131" s="1"/>
      <c r="F131" s="1" t="s">
        <v>4077</v>
      </c>
      <c r="G131" s="1" t="s">
        <v>3613</v>
      </c>
      <c r="H131" s="1" t="s">
        <v>3604</v>
      </c>
      <c r="I131" s="1" t="s">
        <v>4078</v>
      </c>
      <c r="J131" s="1" t="s">
        <v>3606</v>
      </c>
      <c r="K131" s="1"/>
      <c r="L131" s="1"/>
      <c r="M131" s="1"/>
    </row>
    <row x14ac:dyDescent="0.25" r="132" customHeight="1" ht="18.75">
      <c r="A132" s="1" t="s">
        <v>3617</v>
      </c>
      <c r="B132" s="1" t="s">
        <v>4079</v>
      </c>
      <c r="C132" s="1"/>
      <c r="D132" s="1" t="s">
        <v>3601</v>
      </c>
      <c r="E132" s="1"/>
      <c r="F132" s="1" t="s">
        <v>4080</v>
      </c>
      <c r="G132" s="1"/>
      <c r="H132" s="1" t="s">
        <v>3604</v>
      </c>
      <c r="I132" s="1" t="s">
        <v>4081</v>
      </c>
      <c r="J132" s="1" t="s">
        <v>3606</v>
      </c>
      <c r="K132" s="1"/>
      <c r="L132" s="1"/>
      <c r="M132" s="1"/>
    </row>
    <row x14ac:dyDescent="0.25" r="133" customHeight="1" ht="18.75">
      <c r="A133" s="1" t="s">
        <v>3617</v>
      </c>
      <c r="B133" s="1" t="s">
        <v>3903</v>
      </c>
      <c r="C133" s="1" t="s">
        <v>3619</v>
      </c>
      <c r="D133" s="1" t="s">
        <v>3601</v>
      </c>
      <c r="E133" s="1" t="s">
        <v>3893</v>
      </c>
      <c r="F133" s="1" t="s">
        <v>4080</v>
      </c>
      <c r="G133" s="1" t="s">
        <v>3613</v>
      </c>
      <c r="H133" s="1" t="s">
        <v>3604</v>
      </c>
      <c r="I133" s="1" t="s">
        <v>4082</v>
      </c>
      <c r="J133" s="1" t="s">
        <v>3606</v>
      </c>
      <c r="K133" s="1"/>
      <c r="L133" s="1"/>
      <c r="M133" s="1"/>
    </row>
    <row x14ac:dyDescent="0.25" r="134" customHeight="1" ht="18.75">
      <c r="A134" s="1" t="s">
        <v>3693</v>
      </c>
      <c r="B134" s="1" t="s">
        <v>4083</v>
      </c>
      <c r="C134" s="1" t="s">
        <v>3600</v>
      </c>
      <c r="D134" s="1" t="s">
        <v>3601</v>
      </c>
      <c r="E134" s="1" t="s">
        <v>3893</v>
      </c>
      <c r="F134" s="1" t="s">
        <v>4084</v>
      </c>
      <c r="G134" s="1" t="s">
        <v>4085</v>
      </c>
      <c r="H134" s="1" t="s">
        <v>3604</v>
      </c>
      <c r="I134" s="1" t="s">
        <v>4086</v>
      </c>
      <c r="J134" s="1" t="s">
        <v>3615</v>
      </c>
      <c r="K134" s="1"/>
      <c r="L134" s="1"/>
      <c r="M134" s="1"/>
    </row>
    <row x14ac:dyDescent="0.25" r="135" customHeight="1" ht="18.75">
      <c r="A135" s="1" t="s">
        <v>3693</v>
      </c>
      <c r="B135" s="1" t="s">
        <v>4083</v>
      </c>
      <c r="C135" s="1" t="s">
        <v>3600</v>
      </c>
      <c r="D135" s="1" t="s">
        <v>3601</v>
      </c>
      <c r="E135" s="1" t="s">
        <v>3893</v>
      </c>
      <c r="F135" s="1" t="s">
        <v>4087</v>
      </c>
      <c r="G135" s="1" t="s">
        <v>4085</v>
      </c>
      <c r="H135" s="1" t="s">
        <v>3604</v>
      </c>
      <c r="I135" s="1" t="s">
        <v>4088</v>
      </c>
      <c r="J135" s="1" t="s">
        <v>3615</v>
      </c>
      <c r="K135" s="1"/>
      <c r="L135" s="1"/>
      <c r="M135" s="1"/>
    </row>
    <row x14ac:dyDescent="0.25" r="136" customHeight="1" ht="18.75">
      <c r="A136" s="1" t="s">
        <v>3693</v>
      </c>
      <c r="B136" s="1" t="s">
        <v>4083</v>
      </c>
      <c r="C136" s="1" t="s">
        <v>3600</v>
      </c>
      <c r="D136" s="1" t="s">
        <v>3601</v>
      </c>
      <c r="E136" s="1" t="s">
        <v>3893</v>
      </c>
      <c r="F136" s="1" t="s">
        <v>4089</v>
      </c>
      <c r="G136" s="1" t="s">
        <v>4085</v>
      </c>
      <c r="H136" s="1" t="s">
        <v>3604</v>
      </c>
      <c r="I136" s="1" t="s">
        <v>4090</v>
      </c>
      <c r="J136" s="1" t="s">
        <v>3615</v>
      </c>
      <c r="K136" s="1"/>
      <c r="L136" s="1"/>
      <c r="M136" s="1"/>
    </row>
    <row x14ac:dyDescent="0.25" r="137" customHeight="1" ht="18.75">
      <c r="A137" s="1" t="s">
        <v>3693</v>
      </c>
      <c r="B137" s="1" t="s">
        <v>4091</v>
      </c>
      <c r="C137" s="1" t="s">
        <v>3600</v>
      </c>
      <c r="D137" s="1" t="s">
        <v>3601</v>
      </c>
      <c r="E137" s="1" t="s">
        <v>3893</v>
      </c>
      <c r="F137" s="1" t="s">
        <v>4092</v>
      </c>
      <c r="G137" s="1" t="s">
        <v>4093</v>
      </c>
      <c r="H137" s="1" t="s">
        <v>3604</v>
      </c>
      <c r="I137" s="1" t="s">
        <v>4094</v>
      </c>
      <c r="J137" s="1" t="s">
        <v>3606</v>
      </c>
      <c r="K137" s="1"/>
      <c r="L137" s="1"/>
      <c r="M137" s="1"/>
    </row>
    <row x14ac:dyDescent="0.25" r="138" customHeight="1" ht="18.75">
      <c r="A138" s="1" t="s">
        <v>3598</v>
      </c>
      <c r="B138" s="1" t="s">
        <v>4095</v>
      </c>
      <c r="C138" s="1" t="s">
        <v>3600</v>
      </c>
      <c r="D138" s="1" t="s">
        <v>3601</v>
      </c>
      <c r="E138" s="1" t="s">
        <v>3664</v>
      </c>
      <c r="F138" s="1" t="s">
        <v>4096</v>
      </c>
      <c r="G138" s="1" t="s">
        <v>3613</v>
      </c>
      <c r="H138" s="1" t="s">
        <v>3604</v>
      </c>
      <c r="I138" s="1" t="s">
        <v>4097</v>
      </c>
      <c r="J138" s="1" t="s">
        <v>3606</v>
      </c>
      <c r="K138" s="1"/>
      <c r="L138" s="1"/>
      <c r="M138" s="1"/>
    </row>
    <row x14ac:dyDescent="0.25" r="139" customHeight="1" ht="18.75">
      <c r="A139" s="1" t="s">
        <v>3693</v>
      </c>
      <c r="B139" s="1" t="s">
        <v>4091</v>
      </c>
      <c r="C139" s="1" t="s">
        <v>3600</v>
      </c>
      <c r="D139" s="1" t="s">
        <v>3601</v>
      </c>
      <c r="E139" s="1" t="s">
        <v>3664</v>
      </c>
      <c r="F139" s="1" t="s">
        <v>4098</v>
      </c>
      <c r="G139" s="1" t="s">
        <v>4099</v>
      </c>
      <c r="H139" s="1" t="s">
        <v>3604</v>
      </c>
      <c r="I139" s="1" t="s">
        <v>4100</v>
      </c>
      <c r="J139" s="1" t="s">
        <v>3606</v>
      </c>
      <c r="K139" s="1"/>
      <c r="L139" s="1"/>
      <c r="M139" s="1"/>
    </row>
    <row x14ac:dyDescent="0.25" r="140" customHeight="1" ht="18.75">
      <c r="A140" s="1" t="s">
        <v>3693</v>
      </c>
      <c r="B140" s="1" t="s">
        <v>4091</v>
      </c>
      <c r="C140" s="1" t="s">
        <v>3600</v>
      </c>
      <c r="D140" s="1" t="s">
        <v>3601</v>
      </c>
      <c r="E140" s="1" t="s">
        <v>3893</v>
      </c>
      <c r="F140" s="1" t="s">
        <v>4101</v>
      </c>
      <c r="G140" s="1" t="s">
        <v>4099</v>
      </c>
      <c r="H140" s="1" t="s">
        <v>3604</v>
      </c>
      <c r="I140" s="1" t="s">
        <v>4102</v>
      </c>
      <c r="J140" s="1" t="s">
        <v>3606</v>
      </c>
      <c r="K140" s="1"/>
      <c r="L140" s="1"/>
      <c r="M140" s="1"/>
    </row>
    <row x14ac:dyDescent="0.25" r="141" customHeight="1" ht="18.75">
      <c r="A141" s="1" t="s">
        <v>3693</v>
      </c>
      <c r="B141" s="1" t="s">
        <v>4091</v>
      </c>
      <c r="C141" s="1" t="s">
        <v>3600</v>
      </c>
      <c r="D141" s="1" t="s">
        <v>3601</v>
      </c>
      <c r="E141" s="1" t="s">
        <v>3893</v>
      </c>
      <c r="F141" s="1" t="s">
        <v>4101</v>
      </c>
      <c r="G141" s="1" t="s">
        <v>4099</v>
      </c>
      <c r="H141" s="1" t="s">
        <v>3604</v>
      </c>
      <c r="I141" s="1" t="s">
        <v>4103</v>
      </c>
      <c r="J141" s="1" t="s">
        <v>3606</v>
      </c>
      <c r="K141" s="1"/>
      <c r="L141" s="1"/>
      <c r="M141" s="1"/>
    </row>
    <row x14ac:dyDescent="0.25" r="142" customHeight="1" ht="18.75">
      <c r="A142" s="1" t="s">
        <v>3693</v>
      </c>
      <c r="B142" s="1" t="s">
        <v>4091</v>
      </c>
      <c r="C142" s="1" t="s">
        <v>3600</v>
      </c>
      <c r="D142" s="1" t="s">
        <v>3601</v>
      </c>
      <c r="E142" s="1" t="s">
        <v>3893</v>
      </c>
      <c r="F142" s="1" t="s">
        <v>4101</v>
      </c>
      <c r="G142" s="1" t="s">
        <v>4099</v>
      </c>
      <c r="H142" s="1" t="s">
        <v>3604</v>
      </c>
      <c r="I142" s="1" t="s">
        <v>4104</v>
      </c>
      <c r="J142" s="1" t="s">
        <v>3606</v>
      </c>
      <c r="K142" s="1"/>
      <c r="L142" s="1"/>
      <c r="M142" s="1"/>
    </row>
    <row x14ac:dyDescent="0.25" r="143" customHeight="1" ht="18.75">
      <c r="A143" s="1" t="s">
        <v>3693</v>
      </c>
      <c r="B143" s="1" t="s">
        <v>4091</v>
      </c>
      <c r="C143" s="1" t="s">
        <v>3600</v>
      </c>
      <c r="D143" s="1" t="s">
        <v>3601</v>
      </c>
      <c r="E143" s="1" t="s">
        <v>3893</v>
      </c>
      <c r="F143" s="1" t="s">
        <v>4101</v>
      </c>
      <c r="G143" s="1" t="s">
        <v>4099</v>
      </c>
      <c r="H143" s="1" t="s">
        <v>3604</v>
      </c>
      <c r="I143" s="1" t="s">
        <v>4105</v>
      </c>
      <c r="J143" s="1" t="s">
        <v>3606</v>
      </c>
      <c r="K143" s="1"/>
      <c r="L143" s="1"/>
      <c r="M143" s="1"/>
    </row>
    <row x14ac:dyDescent="0.25" r="144" customHeight="1" ht="18.75">
      <c r="A144" s="1" t="s">
        <v>3693</v>
      </c>
      <c r="B144" s="1" t="s">
        <v>4091</v>
      </c>
      <c r="C144" s="1" t="s">
        <v>3600</v>
      </c>
      <c r="D144" s="1" t="s">
        <v>3601</v>
      </c>
      <c r="E144" s="1" t="s">
        <v>3893</v>
      </c>
      <c r="F144" s="1" t="s">
        <v>4101</v>
      </c>
      <c r="G144" s="1" t="s">
        <v>4099</v>
      </c>
      <c r="H144" s="1" t="s">
        <v>3604</v>
      </c>
      <c r="I144" s="1" t="s">
        <v>4106</v>
      </c>
      <c r="J144" s="1" t="s">
        <v>3606</v>
      </c>
      <c r="K144" s="1"/>
      <c r="L144" s="1"/>
      <c r="M144" s="1"/>
    </row>
    <row x14ac:dyDescent="0.25" r="145" customHeight="1" ht="18.75">
      <c r="A145" s="1" t="s">
        <v>3693</v>
      </c>
      <c r="B145" s="1" t="s">
        <v>4091</v>
      </c>
      <c r="C145" s="1" t="s">
        <v>3600</v>
      </c>
      <c r="D145" s="1" t="s">
        <v>3601</v>
      </c>
      <c r="E145" s="1" t="s">
        <v>3893</v>
      </c>
      <c r="F145" s="1" t="s">
        <v>4101</v>
      </c>
      <c r="G145" s="1" t="s">
        <v>4099</v>
      </c>
      <c r="H145" s="1" t="s">
        <v>3604</v>
      </c>
      <c r="I145" s="1" t="s">
        <v>4107</v>
      </c>
      <c r="J145" s="1" t="s">
        <v>3606</v>
      </c>
      <c r="K145" s="1"/>
      <c r="L145" s="1"/>
      <c r="M145" s="1"/>
    </row>
    <row x14ac:dyDescent="0.25" r="146" customHeight="1" ht="18.75">
      <c r="A146" s="1" t="s">
        <v>3693</v>
      </c>
      <c r="B146" s="1" t="s">
        <v>4091</v>
      </c>
      <c r="C146" s="1" t="s">
        <v>3600</v>
      </c>
      <c r="D146" s="1" t="s">
        <v>3601</v>
      </c>
      <c r="E146" s="1" t="s">
        <v>3893</v>
      </c>
      <c r="F146" s="1" t="s">
        <v>4101</v>
      </c>
      <c r="G146" s="1" t="s">
        <v>4099</v>
      </c>
      <c r="H146" s="1" t="s">
        <v>3604</v>
      </c>
      <c r="I146" s="1" t="s">
        <v>4108</v>
      </c>
      <c r="J146" s="1" t="s">
        <v>3606</v>
      </c>
      <c r="K146" s="1"/>
      <c r="L146" s="1"/>
      <c r="M146" s="1"/>
    </row>
    <row x14ac:dyDescent="0.25" r="147" customHeight="1" ht="18.75">
      <c r="A147" s="1" t="s">
        <v>3693</v>
      </c>
      <c r="B147" s="1" t="s">
        <v>4091</v>
      </c>
      <c r="C147" s="1" t="s">
        <v>3600</v>
      </c>
      <c r="D147" s="1" t="s">
        <v>3601</v>
      </c>
      <c r="E147" s="1" t="s">
        <v>3893</v>
      </c>
      <c r="F147" s="1" t="s">
        <v>4101</v>
      </c>
      <c r="G147" s="1" t="s">
        <v>4099</v>
      </c>
      <c r="H147" s="1" t="s">
        <v>3604</v>
      </c>
      <c r="I147" s="1" t="s">
        <v>4109</v>
      </c>
      <c r="J147" s="1" t="s">
        <v>3606</v>
      </c>
      <c r="K147" s="1"/>
      <c r="L147" s="1"/>
      <c r="M147" s="1"/>
    </row>
    <row x14ac:dyDescent="0.25" r="148" customHeight="1" ht="18.75">
      <c r="A148" s="1" t="s">
        <v>3693</v>
      </c>
      <c r="B148" s="1" t="s">
        <v>4091</v>
      </c>
      <c r="C148" s="1" t="s">
        <v>3600</v>
      </c>
      <c r="D148" s="1" t="s">
        <v>3601</v>
      </c>
      <c r="E148" s="1" t="s">
        <v>3893</v>
      </c>
      <c r="F148" s="1" t="s">
        <v>4110</v>
      </c>
      <c r="G148" s="1" t="s">
        <v>4111</v>
      </c>
      <c r="H148" s="1" t="s">
        <v>3604</v>
      </c>
      <c r="I148" s="1" t="s">
        <v>4112</v>
      </c>
      <c r="J148" s="1" t="s">
        <v>3606</v>
      </c>
      <c r="K148" s="1"/>
      <c r="L148" s="1"/>
      <c r="M148" s="1"/>
    </row>
    <row x14ac:dyDescent="0.25" r="149" customHeight="1" ht="18.75">
      <c r="A149" s="1" t="s">
        <v>3693</v>
      </c>
      <c r="B149" s="1" t="s">
        <v>4083</v>
      </c>
      <c r="C149" s="1" t="s">
        <v>3600</v>
      </c>
      <c r="D149" s="1" t="s">
        <v>3601</v>
      </c>
      <c r="E149" s="1" t="s">
        <v>3664</v>
      </c>
      <c r="F149" s="1" t="s">
        <v>4101</v>
      </c>
      <c r="G149" s="1" t="s">
        <v>4113</v>
      </c>
      <c r="H149" s="1" t="s">
        <v>3604</v>
      </c>
      <c r="I149" s="1" t="s">
        <v>4114</v>
      </c>
      <c r="J149" s="1" t="s">
        <v>3606</v>
      </c>
      <c r="K149" s="1"/>
      <c r="L149" s="1"/>
      <c r="M149" s="1"/>
    </row>
    <row x14ac:dyDescent="0.25" r="150" customHeight="1" ht="18.75">
      <c r="A150" s="1" t="s">
        <v>3693</v>
      </c>
      <c r="B150" s="1" t="s">
        <v>4083</v>
      </c>
      <c r="C150" s="1" t="s">
        <v>3600</v>
      </c>
      <c r="D150" s="1" t="s">
        <v>3601</v>
      </c>
      <c r="E150" s="1" t="s">
        <v>3664</v>
      </c>
      <c r="F150" s="1" t="s">
        <v>4101</v>
      </c>
      <c r="G150" s="1" t="s">
        <v>4113</v>
      </c>
      <c r="H150" s="1" t="s">
        <v>3604</v>
      </c>
      <c r="I150" s="1" t="s">
        <v>4115</v>
      </c>
      <c r="J150" s="1" t="s">
        <v>3606</v>
      </c>
      <c r="K150" s="1"/>
      <c r="L150" s="1"/>
      <c r="M150" s="1"/>
    </row>
    <row x14ac:dyDescent="0.25" r="151" customHeight="1" ht="18.75">
      <c r="A151" s="1" t="s">
        <v>3693</v>
      </c>
      <c r="B151" s="1" t="s">
        <v>4083</v>
      </c>
      <c r="C151" s="1" t="s">
        <v>3600</v>
      </c>
      <c r="D151" s="1" t="s">
        <v>3601</v>
      </c>
      <c r="E151" s="1" t="s">
        <v>3893</v>
      </c>
      <c r="F151" s="1" t="s">
        <v>4101</v>
      </c>
      <c r="G151" s="1" t="s">
        <v>4116</v>
      </c>
      <c r="H151" s="1" t="s">
        <v>3604</v>
      </c>
      <c r="I151" s="1" t="s">
        <v>4117</v>
      </c>
      <c r="J151" s="1" t="s">
        <v>3615</v>
      </c>
      <c r="K151" s="1"/>
      <c r="L151" s="1"/>
      <c r="M151" s="1"/>
    </row>
    <row x14ac:dyDescent="0.25" r="152" customHeight="1" ht="18.75">
      <c r="A152" s="1" t="s">
        <v>3693</v>
      </c>
      <c r="B152" s="1" t="s">
        <v>4083</v>
      </c>
      <c r="C152" s="1" t="s">
        <v>3600</v>
      </c>
      <c r="D152" s="1" t="s">
        <v>3601</v>
      </c>
      <c r="E152" s="1" t="s">
        <v>3893</v>
      </c>
      <c r="F152" s="1" t="s">
        <v>4101</v>
      </c>
      <c r="G152" s="1" t="s">
        <v>4116</v>
      </c>
      <c r="H152" s="1" t="s">
        <v>3604</v>
      </c>
      <c r="I152" s="1" t="s">
        <v>4118</v>
      </c>
      <c r="J152" s="1" t="s">
        <v>3606</v>
      </c>
      <c r="K152" s="1"/>
      <c r="L152" s="1"/>
      <c r="M152" s="1"/>
    </row>
    <row x14ac:dyDescent="0.25" r="153" customHeight="1" ht="18.75">
      <c r="A153" s="1" t="s">
        <v>3693</v>
      </c>
      <c r="B153" s="1" t="s">
        <v>4083</v>
      </c>
      <c r="C153" s="1" t="s">
        <v>3600</v>
      </c>
      <c r="D153" s="1" t="s">
        <v>3601</v>
      </c>
      <c r="E153" s="1" t="s">
        <v>3893</v>
      </c>
      <c r="F153" s="1" t="s">
        <v>4101</v>
      </c>
      <c r="G153" s="1" t="s">
        <v>4116</v>
      </c>
      <c r="H153" s="1" t="s">
        <v>3604</v>
      </c>
      <c r="I153" s="1" t="s">
        <v>4119</v>
      </c>
      <c r="J153" s="1" t="s">
        <v>3606</v>
      </c>
      <c r="K153" s="1"/>
      <c r="L153" s="1"/>
      <c r="M153" s="1"/>
    </row>
    <row x14ac:dyDescent="0.25" r="154" customHeight="1" ht="18.75">
      <c r="A154" s="1" t="s">
        <v>3693</v>
      </c>
      <c r="B154" s="1" t="s">
        <v>4083</v>
      </c>
      <c r="C154" s="1" t="s">
        <v>3600</v>
      </c>
      <c r="D154" s="1" t="s">
        <v>3601</v>
      </c>
      <c r="E154" s="1" t="s">
        <v>3893</v>
      </c>
      <c r="F154" s="1" t="s">
        <v>4101</v>
      </c>
      <c r="G154" s="1" t="s">
        <v>4116</v>
      </c>
      <c r="H154" s="1" t="s">
        <v>3604</v>
      </c>
      <c r="I154" s="1" t="s">
        <v>4120</v>
      </c>
      <c r="J154" s="1" t="s">
        <v>3606</v>
      </c>
      <c r="K154" s="1"/>
      <c r="L154" s="1"/>
      <c r="M154" s="1"/>
    </row>
    <row x14ac:dyDescent="0.25" r="155" customHeight="1" ht="18.75">
      <c r="A155" s="1" t="s">
        <v>3693</v>
      </c>
      <c r="B155" s="1" t="s">
        <v>4083</v>
      </c>
      <c r="C155" s="1" t="s">
        <v>3600</v>
      </c>
      <c r="D155" s="1" t="s">
        <v>3601</v>
      </c>
      <c r="E155" s="1" t="s">
        <v>3893</v>
      </c>
      <c r="F155" s="1" t="s">
        <v>4101</v>
      </c>
      <c r="G155" s="1" t="s">
        <v>4116</v>
      </c>
      <c r="H155" s="1" t="s">
        <v>3604</v>
      </c>
      <c r="I155" s="1" t="s">
        <v>4121</v>
      </c>
      <c r="J155" s="1" t="s">
        <v>3606</v>
      </c>
      <c r="K155" s="1"/>
      <c r="L155" s="1"/>
      <c r="M155" s="1"/>
    </row>
    <row x14ac:dyDescent="0.25" r="156" customHeight="1" ht="18.75">
      <c r="A156" s="1" t="s">
        <v>3693</v>
      </c>
      <c r="B156" s="1" t="s">
        <v>4083</v>
      </c>
      <c r="C156" s="1" t="s">
        <v>3600</v>
      </c>
      <c r="D156" s="1" t="s">
        <v>3601</v>
      </c>
      <c r="E156" s="1" t="s">
        <v>3893</v>
      </c>
      <c r="F156" s="1" t="s">
        <v>4101</v>
      </c>
      <c r="G156" s="1" t="s">
        <v>4116</v>
      </c>
      <c r="H156" s="1" t="s">
        <v>3604</v>
      </c>
      <c r="I156" s="1" t="s">
        <v>4122</v>
      </c>
      <c r="J156" s="1" t="s">
        <v>3606</v>
      </c>
      <c r="K156" s="1"/>
      <c r="L156" s="1"/>
      <c r="M156" s="1"/>
    </row>
    <row x14ac:dyDescent="0.25" r="157" customHeight="1" ht="18.75">
      <c r="A157" s="1" t="s">
        <v>3693</v>
      </c>
      <c r="B157" s="1" t="s">
        <v>4091</v>
      </c>
      <c r="C157" s="1" t="s">
        <v>3600</v>
      </c>
      <c r="D157" s="1" t="s">
        <v>3601</v>
      </c>
      <c r="E157" s="1" t="s">
        <v>3893</v>
      </c>
      <c r="F157" s="1" t="s">
        <v>4123</v>
      </c>
      <c r="G157" s="1" t="s">
        <v>4099</v>
      </c>
      <c r="H157" s="1" t="s">
        <v>3604</v>
      </c>
      <c r="I157" s="1" t="s">
        <v>4124</v>
      </c>
      <c r="J157" s="1" t="s">
        <v>3615</v>
      </c>
      <c r="K157" s="1"/>
      <c r="L157" s="1"/>
      <c r="M157" s="1"/>
    </row>
    <row x14ac:dyDescent="0.25" r="158" customHeight="1" ht="18.75">
      <c r="A158" s="1" t="s">
        <v>3693</v>
      </c>
      <c r="B158" s="1" t="s">
        <v>4125</v>
      </c>
      <c r="C158" s="1" t="s">
        <v>3619</v>
      </c>
      <c r="D158" s="1" t="s">
        <v>3601</v>
      </c>
      <c r="E158" s="1" t="s">
        <v>3664</v>
      </c>
      <c r="F158" s="1" t="s">
        <v>4101</v>
      </c>
      <c r="G158" s="1" t="s">
        <v>4126</v>
      </c>
      <c r="H158" s="1" t="s">
        <v>3604</v>
      </c>
      <c r="I158" s="1" t="s">
        <v>4127</v>
      </c>
      <c r="J158" s="1" t="s">
        <v>3606</v>
      </c>
      <c r="K158" s="1"/>
      <c r="L158" s="1"/>
      <c r="M158" s="1"/>
    </row>
    <row x14ac:dyDescent="0.25" r="159" customHeight="1" ht="18.75">
      <c r="A159" s="1" t="s">
        <v>3617</v>
      </c>
      <c r="B159" s="1" t="s">
        <v>4128</v>
      </c>
      <c r="C159" s="1" t="s">
        <v>3619</v>
      </c>
      <c r="D159" s="1" t="s">
        <v>3601</v>
      </c>
      <c r="E159" s="1" t="s">
        <v>3893</v>
      </c>
      <c r="F159" s="1" t="s">
        <v>4129</v>
      </c>
      <c r="G159" s="1" t="s">
        <v>4130</v>
      </c>
      <c r="H159" s="1" t="s">
        <v>3604</v>
      </c>
      <c r="I159" s="1" t="s">
        <v>4131</v>
      </c>
      <c r="J159" s="1" t="s">
        <v>3606</v>
      </c>
      <c r="K159" s="1"/>
      <c r="L159" s="1"/>
      <c r="M159" s="1"/>
    </row>
    <row x14ac:dyDescent="0.25" r="160" customHeight="1" ht="18.75">
      <c r="A160" s="1" t="s">
        <v>3617</v>
      </c>
      <c r="B160" s="1" t="s">
        <v>4128</v>
      </c>
      <c r="C160" s="1" t="s">
        <v>3619</v>
      </c>
      <c r="D160" s="1" t="s">
        <v>3601</v>
      </c>
      <c r="E160" s="1" t="s">
        <v>3730</v>
      </c>
      <c r="F160" s="1" t="s">
        <v>4132</v>
      </c>
      <c r="G160" s="1" t="s">
        <v>4130</v>
      </c>
      <c r="H160" s="1" t="s">
        <v>3604</v>
      </c>
      <c r="I160" s="1" t="s">
        <v>4133</v>
      </c>
      <c r="J160" s="1" t="s">
        <v>3606</v>
      </c>
      <c r="K160" s="1"/>
      <c r="L160" s="1"/>
      <c r="M160" s="1"/>
    </row>
    <row x14ac:dyDescent="0.25" r="161" customHeight="1" ht="18.75">
      <c r="A161" s="1" t="s">
        <v>3693</v>
      </c>
      <c r="B161" s="1" t="s">
        <v>4125</v>
      </c>
      <c r="C161" s="1" t="s">
        <v>3619</v>
      </c>
      <c r="D161" s="1" t="s">
        <v>3601</v>
      </c>
      <c r="E161" s="1" t="s">
        <v>3664</v>
      </c>
      <c r="F161" s="1" t="s">
        <v>4134</v>
      </c>
      <c r="G161" s="1" t="s">
        <v>4126</v>
      </c>
      <c r="H161" s="1" t="s">
        <v>3604</v>
      </c>
      <c r="I161" s="1" t="s">
        <v>4135</v>
      </c>
      <c r="J161" s="1" t="s">
        <v>3606</v>
      </c>
      <c r="K161" s="1"/>
      <c r="L161" s="1"/>
      <c r="M161" s="1"/>
    </row>
    <row x14ac:dyDescent="0.25" r="162" customHeight="1" ht="18.75">
      <c r="A162" s="1" t="s">
        <v>3693</v>
      </c>
      <c r="B162" s="1" t="s">
        <v>4136</v>
      </c>
      <c r="C162" s="1" t="s">
        <v>3619</v>
      </c>
      <c r="D162" s="1" t="s">
        <v>3601</v>
      </c>
      <c r="E162" s="1" t="s">
        <v>3664</v>
      </c>
      <c r="F162" s="1" t="s">
        <v>4137</v>
      </c>
      <c r="G162" s="1" t="s">
        <v>4138</v>
      </c>
      <c r="H162" s="1" t="s">
        <v>3604</v>
      </c>
      <c r="I162" s="1" t="s">
        <v>4139</v>
      </c>
      <c r="J162" s="1" t="s">
        <v>3606</v>
      </c>
      <c r="K162" s="1"/>
      <c r="L162" s="1"/>
      <c r="M162" s="1"/>
    </row>
    <row x14ac:dyDescent="0.25" r="163" customHeight="1" ht="18.75">
      <c r="A163" s="1" t="s">
        <v>3693</v>
      </c>
      <c r="B163" s="1" t="s">
        <v>4136</v>
      </c>
      <c r="C163" s="1" t="s">
        <v>3619</v>
      </c>
      <c r="D163" s="1" t="s">
        <v>3601</v>
      </c>
      <c r="E163" s="1" t="s">
        <v>3664</v>
      </c>
      <c r="F163" s="1" t="s">
        <v>4140</v>
      </c>
      <c r="G163" s="1" t="s">
        <v>4138</v>
      </c>
      <c r="H163" s="1" t="s">
        <v>3604</v>
      </c>
      <c r="I163" s="1" t="s">
        <v>4141</v>
      </c>
      <c r="J163" s="1" t="s">
        <v>3606</v>
      </c>
      <c r="K163" s="1"/>
      <c r="L163" s="1"/>
      <c r="M163" s="1"/>
    </row>
    <row x14ac:dyDescent="0.25" r="164" customHeight="1" ht="18.75">
      <c r="A164" s="1" t="s">
        <v>3693</v>
      </c>
      <c r="B164" s="1" t="s">
        <v>4136</v>
      </c>
      <c r="C164" s="1" t="s">
        <v>3619</v>
      </c>
      <c r="D164" s="1" t="s">
        <v>3601</v>
      </c>
      <c r="E164" s="1" t="s">
        <v>3664</v>
      </c>
      <c r="F164" s="1" t="s">
        <v>4142</v>
      </c>
      <c r="G164" s="1" t="s">
        <v>4138</v>
      </c>
      <c r="H164" s="1" t="s">
        <v>3604</v>
      </c>
      <c r="I164" s="1" t="s">
        <v>4143</v>
      </c>
      <c r="J164" s="1" t="s">
        <v>3606</v>
      </c>
      <c r="K164" s="1"/>
      <c r="L164" s="1"/>
      <c r="M164" s="1"/>
    </row>
    <row x14ac:dyDescent="0.25" r="165" customHeight="1" ht="18.75">
      <c r="A165" s="1" t="s">
        <v>3693</v>
      </c>
      <c r="B165" s="1" t="s">
        <v>4144</v>
      </c>
      <c r="C165" s="1" t="s">
        <v>3619</v>
      </c>
      <c r="D165" s="1" t="s">
        <v>3601</v>
      </c>
      <c r="E165" s="1" t="s">
        <v>3664</v>
      </c>
      <c r="F165" s="1" t="s">
        <v>4101</v>
      </c>
      <c r="G165" s="1" t="s">
        <v>4145</v>
      </c>
      <c r="H165" s="1" t="s">
        <v>3604</v>
      </c>
      <c r="I165" s="1" t="s">
        <v>4146</v>
      </c>
      <c r="J165" s="1" t="s">
        <v>3606</v>
      </c>
      <c r="K165" s="1"/>
      <c r="L165" s="1"/>
      <c r="M165" s="1"/>
    </row>
    <row x14ac:dyDescent="0.25" r="166" customHeight="1" ht="18.75">
      <c r="A166" s="1" t="s">
        <v>3693</v>
      </c>
      <c r="B166" s="1" t="s">
        <v>4144</v>
      </c>
      <c r="C166" s="1" t="s">
        <v>3619</v>
      </c>
      <c r="D166" s="1" t="s">
        <v>3601</v>
      </c>
      <c r="E166" s="1" t="s">
        <v>3664</v>
      </c>
      <c r="F166" s="1" t="s">
        <v>4101</v>
      </c>
      <c r="G166" s="1" t="s">
        <v>4145</v>
      </c>
      <c r="H166" s="1" t="s">
        <v>3604</v>
      </c>
      <c r="I166" s="1" t="s">
        <v>4147</v>
      </c>
      <c r="J166" s="1" t="s">
        <v>3606</v>
      </c>
      <c r="K166" s="1"/>
      <c r="L166" s="1"/>
      <c r="M166" s="1"/>
    </row>
    <row x14ac:dyDescent="0.25" r="167" customHeight="1" ht="18.75">
      <c r="A167" s="1" t="s">
        <v>3693</v>
      </c>
      <c r="B167" s="1" t="s">
        <v>4148</v>
      </c>
      <c r="C167" s="1" t="s">
        <v>3600</v>
      </c>
      <c r="D167" s="1" t="s">
        <v>3601</v>
      </c>
      <c r="E167" s="1" t="s">
        <v>3664</v>
      </c>
      <c r="F167" s="1" t="s">
        <v>4149</v>
      </c>
      <c r="G167" s="1" t="s">
        <v>4150</v>
      </c>
      <c r="H167" s="1" t="s">
        <v>3604</v>
      </c>
      <c r="I167" s="1" t="s">
        <v>4151</v>
      </c>
      <c r="J167" s="1" t="s">
        <v>3606</v>
      </c>
      <c r="K167" s="1"/>
      <c r="L167" s="1"/>
      <c r="M167" s="1"/>
    </row>
    <row x14ac:dyDescent="0.25" r="168" customHeight="1" ht="18.75">
      <c r="A168" s="1" t="s">
        <v>3693</v>
      </c>
      <c r="B168" s="1" t="s">
        <v>4152</v>
      </c>
      <c r="C168" s="1" t="s">
        <v>3600</v>
      </c>
      <c r="D168" s="1" t="s">
        <v>3601</v>
      </c>
      <c r="E168" s="1" t="s">
        <v>3664</v>
      </c>
      <c r="F168" s="1" t="s">
        <v>4101</v>
      </c>
      <c r="G168" s="1" t="s">
        <v>4153</v>
      </c>
      <c r="H168" s="1" t="s">
        <v>3604</v>
      </c>
      <c r="I168" s="1" t="s">
        <v>4154</v>
      </c>
      <c r="J168" s="1" t="s">
        <v>3606</v>
      </c>
      <c r="K168" s="1"/>
      <c r="L168" s="1"/>
      <c r="M168" s="1"/>
    </row>
    <row x14ac:dyDescent="0.25" r="169" customHeight="1" ht="18.75">
      <c r="A169" s="1" t="s">
        <v>3693</v>
      </c>
      <c r="B169" s="1" t="s">
        <v>4152</v>
      </c>
      <c r="C169" s="1" t="s">
        <v>3600</v>
      </c>
      <c r="D169" s="1" t="s">
        <v>3601</v>
      </c>
      <c r="E169" s="1" t="s">
        <v>3664</v>
      </c>
      <c r="F169" s="1" t="s">
        <v>4155</v>
      </c>
      <c r="G169" s="1" t="s">
        <v>4153</v>
      </c>
      <c r="H169" s="1" t="s">
        <v>3604</v>
      </c>
      <c r="I169" s="1" t="s">
        <v>4156</v>
      </c>
      <c r="J169" s="1" t="s">
        <v>3606</v>
      </c>
      <c r="K169" s="1"/>
      <c r="L169" s="1"/>
      <c r="M169" s="1"/>
    </row>
    <row x14ac:dyDescent="0.25" r="170" customHeight="1" ht="18.75">
      <c r="A170" s="1" t="s">
        <v>3693</v>
      </c>
      <c r="B170" s="1" t="s">
        <v>4152</v>
      </c>
      <c r="C170" s="1" t="s">
        <v>3600</v>
      </c>
      <c r="D170" s="1" t="s">
        <v>3601</v>
      </c>
      <c r="E170" s="1" t="s">
        <v>3664</v>
      </c>
      <c r="F170" s="1" t="s">
        <v>4101</v>
      </c>
      <c r="G170" s="1" t="s">
        <v>4153</v>
      </c>
      <c r="H170" s="1" t="s">
        <v>3604</v>
      </c>
      <c r="I170" s="1" t="s">
        <v>4157</v>
      </c>
      <c r="J170" s="1" t="s">
        <v>3606</v>
      </c>
      <c r="K170" s="1"/>
      <c r="L170" s="1"/>
      <c r="M170" s="1"/>
    </row>
    <row x14ac:dyDescent="0.25" r="171" customHeight="1" ht="18.75">
      <c r="A171" s="1" t="s">
        <v>3693</v>
      </c>
      <c r="B171" s="1" t="s">
        <v>4158</v>
      </c>
      <c r="C171" s="1" t="s">
        <v>3600</v>
      </c>
      <c r="D171" s="1" t="s">
        <v>3601</v>
      </c>
      <c r="E171" s="1" t="s">
        <v>3893</v>
      </c>
      <c r="F171" s="1" t="s">
        <v>4159</v>
      </c>
      <c r="G171" s="1" t="s">
        <v>4160</v>
      </c>
      <c r="H171" s="1" t="s">
        <v>3604</v>
      </c>
      <c r="I171" s="1" t="s">
        <v>4161</v>
      </c>
      <c r="J171" s="1" t="s">
        <v>3606</v>
      </c>
      <c r="K171" s="1"/>
      <c r="L171" s="1"/>
      <c r="M171" s="1"/>
    </row>
    <row x14ac:dyDescent="0.25" r="172" customHeight="1" ht="18.75">
      <c r="A172" s="1" t="s">
        <v>3693</v>
      </c>
      <c r="B172" s="1" t="s">
        <v>4162</v>
      </c>
      <c r="C172" s="1" t="s">
        <v>3619</v>
      </c>
      <c r="D172" s="1" t="s">
        <v>3601</v>
      </c>
      <c r="E172" s="1" t="s">
        <v>3664</v>
      </c>
      <c r="F172" s="1" t="s">
        <v>4101</v>
      </c>
      <c r="G172" s="1" t="s">
        <v>4163</v>
      </c>
      <c r="H172" s="1" t="s">
        <v>3604</v>
      </c>
      <c r="I172" s="1" t="s">
        <v>4164</v>
      </c>
      <c r="J172" s="1" t="s">
        <v>3606</v>
      </c>
      <c r="K172" s="1"/>
      <c r="L172" s="1"/>
      <c r="M172" s="1"/>
    </row>
    <row x14ac:dyDescent="0.25" r="173" customHeight="1" ht="18.75">
      <c r="A173" s="1" t="s">
        <v>3693</v>
      </c>
      <c r="B173" s="1" t="s">
        <v>4162</v>
      </c>
      <c r="C173" s="1" t="s">
        <v>3619</v>
      </c>
      <c r="D173" s="1" t="s">
        <v>3601</v>
      </c>
      <c r="E173" s="1" t="s">
        <v>3664</v>
      </c>
      <c r="F173" s="1" t="s">
        <v>4101</v>
      </c>
      <c r="G173" s="1" t="s">
        <v>4163</v>
      </c>
      <c r="H173" s="1" t="s">
        <v>3604</v>
      </c>
      <c r="I173" s="1" t="s">
        <v>4165</v>
      </c>
      <c r="J173" s="1" t="s">
        <v>3606</v>
      </c>
      <c r="K173" s="1"/>
      <c r="L173" s="1"/>
      <c r="M173" s="1"/>
    </row>
    <row x14ac:dyDescent="0.25" r="174" customHeight="1" ht="18.75">
      <c r="A174" s="1" t="s">
        <v>3693</v>
      </c>
      <c r="B174" s="1" t="s">
        <v>4166</v>
      </c>
      <c r="C174" s="1" t="s">
        <v>3619</v>
      </c>
      <c r="D174" s="1" t="s">
        <v>3601</v>
      </c>
      <c r="E174" s="1" t="s">
        <v>3664</v>
      </c>
      <c r="F174" s="1" t="s">
        <v>4167</v>
      </c>
      <c r="G174" s="1" t="s">
        <v>4168</v>
      </c>
      <c r="H174" s="1" t="s">
        <v>3604</v>
      </c>
      <c r="I174" s="1" t="s">
        <v>4169</v>
      </c>
      <c r="J174" s="1" t="s">
        <v>3606</v>
      </c>
      <c r="K174" s="1"/>
      <c r="L174" s="1"/>
      <c r="M174" s="1"/>
    </row>
    <row x14ac:dyDescent="0.25" r="175" customHeight="1" ht="18.75">
      <c r="A175" s="1" t="s">
        <v>3693</v>
      </c>
      <c r="B175" s="1" t="s">
        <v>4170</v>
      </c>
      <c r="C175" s="1" t="s">
        <v>3619</v>
      </c>
      <c r="D175" s="1" t="s">
        <v>3601</v>
      </c>
      <c r="E175" s="1"/>
      <c r="F175" s="1" t="s">
        <v>4171</v>
      </c>
      <c r="G175" s="1" t="s">
        <v>4172</v>
      </c>
      <c r="H175" s="1" t="s">
        <v>3604</v>
      </c>
      <c r="I175" s="1" t="s">
        <v>4173</v>
      </c>
      <c r="J175" s="1" t="s">
        <v>3606</v>
      </c>
      <c r="K175" s="1"/>
      <c r="L175" s="1"/>
      <c r="M175" s="1"/>
    </row>
    <row x14ac:dyDescent="0.25" r="176" customHeight="1" ht="18.75">
      <c r="A176" s="1" t="s">
        <v>3693</v>
      </c>
      <c r="B176" s="1" t="s">
        <v>4174</v>
      </c>
      <c r="C176" s="1" t="s">
        <v>3619</v>
      </c>
      <c r="D176" s="1" t="s">
        <v>3601</v>
      </c>
      <c r="E176" s="1" t="s">
        <v>3664</v>
      </c>
      <c r="F176" s="1" t="s">
        <v>4175</v>
      </c>
      <c r="G176" s="1" t="s">
        <v>4176</v>
      </c>
      <c r="H176" s="1" t="s">
        <v>3604</v>
      </c>
      <c r="I176" s="1" t="s">
        <v>4177</v>
      </c>
      <c r="J176" s="1" t="s">
        <v>3606</v>
      </c>
      <c r="K176" s="1"/>
      <c r="L176" s="1"/>
      <c r="M176" s="1"/>
    </row>
    <row x14ac:dyDescent="0.25" r="177" customHeight="1" ht="18.75">
      <c r="A177" s="1" t="s">
        <v>3693</v>
      </c>
      <c r="B177" s="1" t="s">
        <v>4174</v>
      </c>
      <c r="C177" s="1" t="s">
        <v>3619</v>
      </c>
      <c r="D177" s="1" t="s">
        <v>3601</v>
      </c>
      <c r="E177" s="1" t="s">
        <v>3664</v>
      </c>
      <c r="F177" s="1" t="s">
        <v>4178</v>
      </c>
      <c r="G177" s="1" t="s">
        <v>4179</v>
      </c>
      <c r="H177" s="1" t="s">
        <v>3604</v>
      </c>
      <c r="I177" s="1" t="s">
        <v>4180</v>
      </c>
      <c r="J177" s="1" t="s">
        <v>3606</v>
      </c>
      <c r="K177" s="1"/>
      <c r="L177" s="1"/>
      <c r="M177" s="1"/>
    </row>
    <row x14ac:dyDescent="0.25" r="178" customHeight="1" ht="18.75">
      <c r="A178" s="1" t="s">
        <v>3693</v>
      </c>
      <c r="B178" s="1" t="s">
        <v>4181</v>
      </c>
      <c r="C178" s="1" t="s">
        <v>3619</v>
      </c>
      <c r="D178" s="1" t="s">
        <v>3601</v>
      </c>
      <c r="E178" s="1" t="s">
        <v>3664</v>
      </c>
      <c r="F178" s="1" t="s">
        <v>4101</v>
      </c>
      <c r="G178" s="1" t="s">
        <v>4182</v>
      </c>
      <c r="H178" s="1" t="s">
        <v>3604</v>
      </c>
      <c r="I178" s="1" t="s">
        <v>4183</v>
      </c>
      <c r="J178" s="1" t="s">
        <v>3606</v>
      </c>
      <c r="K178" s="1"/>
      <c r="L178" s="1"/>
      <c r="M178" s="1"/>
    </row>
    <row x14ac:dyDescent="0.25" r="179" customHeight="1" ht="18.75">
      <c r="A179" s="1" t="s">
        <v>3693</v>
      </c>
      <c r="B179" s="1" t="s">
        <v>4181</v>
      </c>
      <c r="C179" s="1" t="s">
        <v>3619</v>
      </c>
      <c r="D179" s="1" t="s">
        <v>3601</v>
      </c>
      <c r="E179" s="1" t="s">
        <v>3664</v>
      </c>
      <c r="F179" s="1" t="s">
        <v>4101</v>
      </c>
      <c r="G179" s="1" t="s">
        <v>4182</v>
      </c>
      <c r="H179" s="1" t="s">
        <v>3604</v>
      </c>
      <c r="I179" s="1" t="s">
        <v>4184</v>
      </c>
      <c r="J179" s="1" t="s">
        <v>3606</v>
      </c>
      <c r="K179" s="1"/>
      <c r="L179" s="1"/>
      <c r="M179" s="1"/>
    </row>
    <row x14ac:dyDescent="0.25" r="180" customHeight="1" ht="18.75">
      <c r="A180" s="1" t="s">
        <v>3693</v>
      </c>
      <c r="B180" s="1" t="s">
        <v>4181</v>
      </c>
      <c r="C180" s="1" t="s">
        <v>3619</v>
      </c>
      <c r="D180" s="1" t="s">
        <v>3601</v>
      </c>
      <c r="E180" s="1" t="s">
        <v>3664</v>
      </c>
      <c r="F180" s="1" t="s">
        <v>4101</v>
      </c>
      <c r="G180" s="1" t="s">
        <v>4182</v>
      </c>
      <c r="H180" s="1" t="s">
        <v>3604</v>
      </c>
      <c r="I180" s="1" t="s">
        <v>4185</v>
      </c>
      <c r="J180" s="1" t="s">
        <v>3606</v>
      </c>
      <c r="K180" s="1"/>
      <c r="L180" s="1"/>
      <c r="M180" s="1"/>
    </row>
    <row x14ac:dyDescent="0.25" r="181" customHeight="1" ht="18.75">
      <c r="A181" s="1" t="s">
        <v>3693</v>
      </c>
      <c r="B181" s="1" t="s">
        <v>4181</v>
      </c>
      <c r="C181" s="1" t="s">
        <v>3619</v>
      </c>
      <c r="D181" s="1" t="s">
        <v>3601</v>
      </c>
      <c r="E181" s="1" t="s">
        <v>3664</v>
      </c>
      <c r="F181" s="1" t="s">
        <v>4101</v>
      </c>
      <c r="G181" s="1" t="s">
        <v>4182</v>
      </c>
      <c r="H181" s="1" t="s">
        <v>3604</v>
      </c>
      <c r="I181" s="1" t="s">
        <v>4186</v>
      </c>
      <c r="J181" s="1" t="s">
        <v>3606</v>
      </c>
      <c r="K181" s="1"/>
      <c r="L181" s="1"/>
      <c r="M181" s="1"/>
    </row>
    <row x14ac:dyDescent="0.25" r="182" customHeight="1" ht="18.75">
      <c r="A182" s="1" t="s">
        <v>3693</v>
      </c>
      <c r="B182" s="1" t="s">
        <v>4187</v>
      </c>
      <c r="C182" s="1" t="s">
        <v>3619</v>
      </c>
      <c r="D182" s="1" t="s">
        <v>3601</v>
      </c>
      <c r="E182" s="1" t="s">
        <v>3664</v>
      </c>
      <c r="F182" s="1" t="s">
        <v>4188</v>
      </c>
      <c r="G182" s="1" t="s">
        <v>4189</v>
      </c>
      <c r="H182" s="1" t="s">
        <v>3604</v>
      </c>
      <c r="I182" s="1" t="s">
        <v>4190</v>
      </c>
      <c r="J182" s="1" t="s">
        <v>3606</v>
      </c>
      <c r="K182" s="1"/>
      <c r="L182" s="1"/>
      <c r="M182" s="1"/>
    </row>
    <row x14ac:dyDescent="0.25" r="183" customHeight="1" ht="18.75">
      <c r="A183" s="1" t="s">
        <v>3693</v>
      </c>
      <c r="B183" s="1" t="s">
        <v>4181</v>
      </c>
      <c r="C183" s="1" t="s">
        <v>3619</v>
      </c>
      <c r="D183" s="1" t="s">
        <v>3601</v>
      </c>
      <c r="E183" s="1" t="s">
        <v>3664</v>
      </c>
      <c r="F183" s="1" t="s">
        <v>4101</v>
      </c>
      <c r="G183" s="1" t="s">
        <v>4182</v>
      </c>
      <c r="H183" s="1" t="s">
        <v>3604</v>
      </c>
      <c r="I183" s="1" t="s">
        <v>4191</v>
      </c>
      <c r="J183" s="1" t="s">
        <v>3606</v>
      </c>
      <c r="K183" s="1"/>
      <c r="L183" s="1"/>
      <c r="M183" s="1"/>
    </row>
    <row x14ac:dyDescent="0.25" r="184" customHeight="1" ht="18.75">
      <c r="A184" s="1" t="s">
        <v>3693</v>
      </c>
      <c r="B184" s="1" t="s">
        <v>4192</v>
      </c>
      <c r="C184" s="1" t="s">
        <v>3600</v>
      </c>
      <c r="D184" s="1" t="s">
        <v>3601</v>
      </c>
      <c r="E184" s="1" t="s">
        <v>3664</v>
      </c>
      <c r="F184" s="1" t="s">
        <v>4193</v>
      </c>
      <c r="G184" s="1" t="s">
        <v>4194</v>
      </c>
      <c r="H184" s="1" t="s">
        <v>3604</v>
      </c>
      <c r="I184" s="1" t="s">
        <v>4195</v>
      </c>
      <c r="J184" s="1" t="s">
        <v>3606</v>
      </c>
      <c r="K184" s="1"/>
      <c r="L184" s="1"/>
      <c r="M184" s="1"/>
    </row>
    <row x14ac:dyDescent="0.25" r="185" customHeight="1" ht="18.75">
      <c r="A185" s="1" t="s">
        <v>3693</v>
      </c>
      <c r="B185" s="1" t="s">
        <v>4192</v>
      </c>
      <c r="C185" s="1" t="s">
        <v>3600</v>
      </c>
      <c r="D185" s="1" t="s">
        <v>3601</v>
      </c>
      <c r="E185" s="1" t="s">
        <v>3664</v>
      </c>
      <c r="F185" s="1" t="s">
        <v>4101</v>
      </c>
      <c r="G185" s="1" t="s">
        <v>4194</v>
      </c>
      <c r="H185" s="1" t="s">
        <v>3604</v>
      </c>
      <c r="I185" s="1" t="s">
        <v>4196</v>
      </c>
      <c r="J185" s="1" t="s">
        <v>3606</v>
      </c>
      <c r="K185" s="1"/>
      <c r="L185" s="1"/>
      <c r="M185" s="1"/>
    </row>
    <row x14ac:dyDescent="0.25" r="186" customHeight="1" ht="18.75">
      <c r="A186" s="1" t="s">
        <v>3693</v>
      </c>
      <c r="B186" s="1" t="s">
        <v>4192</v>
      </c>
      <c r="C186" s="1" t="s">
        <v>3600</v>
      </c>
      <c r="D186" s="1" t="s">
        <v>3601</v>
      </c>
      <c r="E186" s="1" t="s">
        <v>3664</v>
      </c>
      <c r="F186" s="1" t="s">
        <v>4101</v>
      </c>
      <c r="G186" s="1" t="s">
        <v>4194</v>
      </c>
      <c r="H186" s="1" t="s">
        <v>3604</v>
      </c>
      <c r="I186" s="1" t="s">
        <v>4197</v>
      </c>
      <c r="J186" s="1" t="s">
        <v>3606</v>
      </c>
      <c r="K186" s="1"/>
      <c r="L186" s="1"/>
      <c r="M186" s="1"/>
    </row>
    <row x14ac:dyDescent="0.25" r="187" customHeight="1" ht="18.75">
      <c r="A187" s="1" t="s">
        <v>3693</v>
      </c>
      <c r="B187" s="1" t="s">
        <v>4192</v>
      </c>
      <c r="C187" s="1" t="s">
        <v>3600</v>
      </c>
      <c r="D187" s="1" t="s">
        <v>3601</v>
      </c>
      <c r="E187" s="1" t="s">
        <v>3664</v>
      </c>
      <c r="F187" s="1" t="s">
        <v>4101</v>
      </c>
      <c r="G187" s="1" t="s">
        <v>4194</v>
      </c>
      <c r="H187" s="1" t="s">
        <v>3604</v>
      </c>
      <c r="I187" s="1" t="s">
        <v>4198</v>
      </c>
      <c r="J187" s="1" t="s">
        <v>3606</v>
      </c>
      <c r="K187" s="1"/>
      <c r="L187" s="1"/>
      <c r="M187" s="1"/>
    </row>
    <row x14ac:dyDescent="0.25" r="188" customHeight="1" ht="18.75">
      <c r="A188" s="1" t="s">
        <v>3693</v>
      </c>
      <c r="B188" s="1" t="s">
        <v>4192</v>
      </c>
      <c r="C188" s="1" t="s">
        <v>3600</v>
      </c>
      <c r="D188" s="1" t="s">
        <v>3601</v>
      </c>
      <c r="E188" s="1" t="s">
        <v>3664</v>
      </c>
      <c r="F188" s="1" t="s">
        <v>4101</v>
      </c>
      <c r="G188" s="1" t="s">
        <v>4194</v>
      </c>
      <c r="H188" s="1" t="s">
        <v>3604</v>
      </c>
      <c r="I188" s="1" t="s">
        <v>4199</v>
      </c>
      <c r="J188" s="1" t="s">
        <v>3606</v>
      </c>
      <c r="K188" s="1"/>
      <c r="L188" s="1"/>
      <c r="M188" s="1"/>
    </row>
    <row x14ac:dyDescent="0.25" r="189" customHeight="1" ht="18.75">
      <c r="A189" s="1" t="s">
        <v>3693</v>
      </c>
      <c r="B189" s="1" t="s">
        <v>4192</v>
      </c>
      <c r="C189" s="1" t="s">
        <v>3600</v>
      </c>
      <c r="D189" s="1" t="s">
        <v>3601</v>
      </c>
      <c r="E189" s="1" t="s">
        <v>3664</v>
      </c>
      <c r="F189" s="1" t="s">
        <v>4101</v>
      </c>
      <c r="G189" s="1" t="s">
        <v>4194</v>
      </c>
      <c r="H189" s="1" t="s">
        <v>3604</v>
      </c>
      <c r="I189" s="1" t="s">
        <v>4200</v>
      </c>
      <c r="J189" s="1" t="s">
        <v>3606</v>
      </c>
      <c r="K189" s="1"/>
      <c r="L189" s="1"/>
      <c r="M189" s="1"/>
    </row>
    <row x14ac:dyDescent="0.25" r="190" customHeight="1" ht="18.75">
      <c r="A190" s="1" t="s">
        <v>3693</v>
      </c>
      <c r="B190" s="1" t="s">
        <v>4192</v>
      </c>
      <c r="C190" s="1" t="s">
        <v>3600</v>
      </c>
      <c r="D190" s="1" t="s">
        <v>3601</v>
      </c>
      <c r="E190" s="1" t="s">
        <v>3664</v>
      </c>
      <c r="F190" s="1" t="s">
        <v>4101</v>
      </c>
      <c r="G190" s="1" t="s">
        <v>4194</v>
      </c>
      <c r="H190" s="1" t="s">
        <v>3604</v>
      </c>
      <c r="I190" s="1" t="s">
        <v>4201</v>
      </c>
      <c r="J190" s="1" t="s">
        <v>3606</v>
      </c>
      <c r="K190" s="1"/>
      <c r="L190" s="1"/>
      <c r="M190" s="1"/>
    </row>
    <row x14ac:dyDescent="0.25" r="191" customHeight="1" ht="18.75">
      <c r="A191" s="1" t="s">
        <v>3693</v>
      </c>
      <c r="B191" s="1" t="s">
        <v>4192</v>
      </c>
      <c r="C191" s="1" t="s">
        <v>3600</v>
      </c>
      <c r="D191" s="1" t="s">
        <v>3601</v>
      </c>
      <c r="E191" s="1" t="s">
        <v>3664</v>
      </c>
      <c r="F191" s="1" t="s">
        <v>4101</v>
      </c>
      <c r="G191" s="1" t="s">
        <v>4194</v>
      </c>
      <c r="H191" s="1" t="s">
        <v>3604</v>
      </c>
      <c r="I191" s="1" t="s">
        <v>4202</v>
      </c>
      <c r="J191" s="1" t="s">
        <v>3606</v>
      </c>
      <c r="K191" s="1"/>
      <c r="L191" s="1"/>
      <c r="M191" s="1"/>
    </row>
    <row x14ac:dyDescent="0.25" r="192" customHeight="1" ht="18.75">
      <c r="A192" s="1" t="s">
        <v>3693</v>
      </c>
      <c r="B192" s="1" t="s">
        <v>4192</v>
      </c>
      <c r="C192" s="1" t="s">
        <v>3600</v>
      </c>
      <c r="D192" s="1" t="s">
        <v>3601</v>
      </c>
      <c r="E192" s="1" t="s">
        <v>3664</v>
      </c>
      <c r="F192" s="1" t="s">
        <v>4101</v>
      </c>
      <c r="G192" s="1" t="s">
        <v>4194</v>
      </c>
      <c r="H192" s="1" t="s">
        <v>3604</v>
      </c>
      <c r="I192" s="1" t="s">
        <v>4203</v>
      </c>
      <c r="J192" s="1" t="s">
        <v>3606</v>
      </c>
      <c r="K192" s="1"/>
      <c r="L192" s="1"/>
      <c r="M192" s="1"/>
    </row>
    <row x14ac:dyDescent="0.25" r="193" customHeight="1" ht="18.75">
      <c r="A193" s="1" t="s">
        <v>3693</v>
      </c>
      <c r="B193" s="1" t="s">
        <v>4204</v>
      </c>
      <c r="C193" s="1" t="s">
        <v>3600</v>
      </c>
      <c r="D193" s="1" t="s">
        <v>3601</v>
      </c>
      <c r="E193" s="1" t="s">
        <v>3893</v>
      </c>
      <c r="F193" s="1" t="s">
        <v>4205</v>
      </c>
      <c r="G193" s="1" t="s">
        <v>4206</v>
      </c>
      <c r="H193" s="1" t="s">
        <v>3604</v>
      </c>
      <c r="I193" s="1" t="s">
        <v>4207</v>
      </c>
      <c r="J193" s="1" t="s">
        <v>3606</v>
      </c>
      <c r="K193" s="1"/>
      <c r="L193" s="1"/>
      <c r="M193" s="1"/>
    </row>
    <row x14ac:dyDescent="0.25" r="194" customHeight="1" ht="18.75">
      <c r="A194" s="1" t="s">
        <v>3693</v>
      </c>
      <c r="B194" s="1" t="s">
        <v>4208</v>
      </c>
      <c r="C194" s="1" t="s">
        <v>3619</v>
      </c>
      <c r="D194" s="1" t="s">
        <v>3601</v>
      </c>
      <c r="E194" s="1" t="s">
        <v>3664</v>
      </c>
      <c r="F194" s="1" t="s">
        <v>4101</v>
      </c>
      <c r="G194" s="1" t="s">
        <v>4209</v>
      </c>
      <c r="H194" s="1" t="s">
        <v>3604</v>
      </c>
      <c r="I194" s="1" t="s">
        <v>4210</v>
      </c>
      <c r="J194" s="1" t="s">
        <v>3606</v>
      </c>
      <c r="K194" s="1"/>
      <c r="L194" s="1"/>
      <c r="M194" s="1"/>
    </row>
    <row x14ac:dyDescent="0.25" r="195" customHeight="1" ht="18.75">
      <c r="A195" s="1" t="s">
        <v>3693</v>
      </c>
      <c r="B195" s="1" t="s">
        <v>3942</v>
      </c>
      <c r="C195" s="1" t="s">
        <v>3600</v>
      </c>
      <c r="D195" s="1" t="s">
        <v>3601</v>
      </c>
      <c r="E195" s="1" t="s">
        <v>3664</v>
      </c>
      <c r="F195" s="1" t="s">
        <v>4211</v>
      </c>
      <c r="G195" s="1" t="s">
        <v>4212</v>
      </c>
      <c r="H195" s="1" t="s">
        <v>3604</v>
      </c>
      <c r="I195" s="1" t="s">
        <v>4213</v>
      </c>
      <c r="J195" s="1" t="s">
        <v>3606</v>
      </c>
      <c r="K195" s="1"/>
      <c r="L195" s="1"/>
      <c r="M195" s="1"/>
    </row>
    <row x14ac:dyDescent="0.25" r="196" customHeight="1" ht="18.75">
      <c r="A196" s="1" t="s">
        <v>3693</v>
      </c>
      <c r="B196" s="1" t="s">
        <v>4214</v>
      </c>
      <c r="C196" s="1" t="s">
        <v>3600</v>
      </c>
      <c r="D196" s="1" t="s">
        <v>3601</v>
      </c>
      <c r="E196" s="1" t="s">
        <v>3664</v>
      </c>
      <c r="F196" s="1" t="s">
        <v>4215</v>
      </c>
      <c r="G196" s="1" t="s">
        <v>4216</v>
      </c>
      <c r="H196" s="1" t="s">
        <v>3604</v>
      </c>
      <c r="I196" s="1" t="s">
        <v>4217</v>
      </c>
      <c r="J196" s="1" t="s">
        <v>3606</v>
      </c>
      <c r="K196" s="1"/>
      <c r="L196" s="1"/>
      <c r="M196" s="1"/>
    </row>
    <row x14ac:dyDescent="0.25" r="197" customHeight="1" ht="18.75">
      <c r="A197" s="1" t="s">
        <v>3693</v>
      </c>
      <c r="B197" s="1" t="s">
        <v>3720</v>
      </c>
      <c r="C197" s="1" t="s">
        <v>3619</v>
      </c>
      <c r="D197" s="1" t="s">
        <v>3601</v>
      </c>
      <c r="E197" s="1" t="s">
        <v>3664</v>
      </c>
      <c r="F197" s="1" t="s">
        <v>4218</v>
      </c>
      <c r="G197" s="1" t="s">
        <v>4219</v>
      </c>
      <c r="H197" s="1" t="s">
        <v>3604</v>
      </c>
      <c r="I197" s="1" t="s">
        <v>4220</v>
      </c>
      <c r="J197" s="1" t="s">
        <v>3606</v>
      </c>
      <c r="K197" s="1"/>
      <c r="L197" s="1"/>
      <c r="M197" s="1"/>
    </row>
    <row x14ac:dyDescent="0.25" r="198" customHeight="1" ht="18.75">
      <c r="A198" s="1" t="s">
        <v>3693</v>
      </c>
      <c r="B198" s="1" t="s">
        <v>4214</v>
      </c>
      <c r="C198" s="1" t="s">
        <v>3600</v>
      </c>
      <c r="D198" s="1" t="s">
        <v>3601</v>
      </c>
      <c r="E198" s="1" t="s">
        <v>3664</v>
      </c>
      <c r="F198" s="1" t="s">
        <v>4221</v>
      </c>
      <c r="G198" s="1" t="s">
        <v>4216</v>
      </c>
      <c r="H198" s="1" t="s">
        <v>3604</v>
      </c>
      <c r="I198" s="1" t="s">
        <v>4222</v>
      </c>
      <c r="J198" s="1" t="s">
        <v>3606</v>
      </c>
      <c r="K198" s="1"/>
      <c r="L198" s="1"/>
      <c r="M198" s="1"/>
    </row>
    <row x14ac:dyDescent="0.25" r="199" customHeight="1" ht="18.75">
      <c r="A199" s="1" t="s">
        <v>3693</v>
      </c>
      <c r="B199" s="1" t="s">
        <v>4214</v>
      </c>
      <c r="C199" s="1" t="s">
        <v>3600</v>
      </c>
      <c r="D199" s="1" t="s">
        <v>3601</v>
      </c>
      <c r="E199" s="1" t="s">
        <v>3664</v>
      </c>
      <c r="F199" s="1" t="s">
        <v>4223</v>
      </c>
      <c r="G199" s="1" t="s">
        <v>4216</v>
      </c>
      <c r="H199" s="1" t="s">
        <v>3604</v>
      </c>
      <c r="I199" s="1" t="s">
        <v>4224</v>
      </c>
      <c r="J199" s="1" t="s">
        <v>3606</v>
      </c>
      <c r="K199" s="1"/>
      <c r="L199" s="1"/>
      <c r="M199" s="1"/>
    </row>
    <row x14ac:dyDescent="0.25" r="200" customHeight="1" ht="18.75">
      <c r="A200" s="1" t="s">
        <v>3693</v>
      </c>
      <c r="B200" s="1" t="s">
        <v>4225</v>
      </c>
      <c r="C200" s="1" t="s">
        <v>3619</v>
      </c>
      <c r="D200" s="1" t="s">
        <v>3601</v>
      </c>
      <c r="E200" s="1" t="s">
        <v>3664</v>
      </c>
      <c r="F200" s="1" t="s">
        <v>4226</v>
      </c>
      <c r="G200" s="1" t="s">
        <v>4227</v>
      </c>
      <c r="H200" s="1" t="s">
        <v>3604</v>
      </c>
      <c r="I200" s="1" t="s">
        <v>4228</v>
      </c>
      <c r="J200" s="1" t="s">
        <v>3606</v>
      </c>
      <c r="K200" s="1"/>
      <c r="L200" s="1"/>
      <c r="M200" s="1"/>
    </row>
    <row x14ac:dyDescent="0.25" r="201" customHeight="1" ht="18.75">
      <c r="A201" s="1" t="s">
        <v>3693</v>
      </c>
      <c r="B201" s="1" t="s">
        <v>4229</v>
      </c>
      <c r="C201" s="1" t="s">
        <v>3619</v>
      </c>
      <c r="D201" s="1" t="s">
        <v>3601</v>
      </c>
      <c r="E201" s="1" t="s">
        <v>3664</v>
      </c>
      <c r="F201" s="1" t="s">
        <v>4101</v>
      </c>
      <c r="G201" s="1" t="s">
        <v>4230</v>
      </c>
      <c r="H201" s="1" t="s">
        <v>3604</v>
      </c>
      <c r="I201" s="1" t="s">
        <v>4231</v>
      </c>
      <c r="J201" s="1" t="s">
        <v>3606</v>
      </c>
      <c r="K201" s="1"/>
      <c r="L201" s="1"/>
      <c r="M201" s="1"/>
    </row>
    <row x14ac:dyDescent="0.25" r="202" customHeight="1" ht="18.75">
      <c r="A202" s="1" t="s">
        <v>3693</v>
      </c>
      <c r="B202" s="1" t="s">
        <v>4229</v>
      </c>
      <c r="C202" s="1" t="s">
        <v>3619</v>
      </c>
      <c r="D202" s="1" t="s">
        <v>3601</v>
      </c>
      <c r="E202" s="1" t="s">
        <v>3664</v>
      </c>
      <c r="F202" s="1" t="s">
        <v>4101</v>
      </c>
      <c r="G202" s="1" t="s">
        <v>4230</v>
      </c>
      <c r="H202" s="1" t="s">
        <v>3604</v>
      </c>
      <c r="I202" s="1" t="s">
        <v>4232</v>
      </c>
      <c r="J202" s="1" t="s">
        <v>3606</v>
      </c>
      <c r="K202" s="1"/>
      <c r="L202" s="1"/>
      <c r="M202" s="1"/>
    </row>
    <row x14ac:dyDescent="0.25" r="203" customHeight="1" ht="18.75">
      <c r="A203" s="1" t="s">
        <v>3693</v>
      </c>
      <c r="B203" s="1" t="s">
        <v>4229</v>
      </c>
      <c r="C203" s="1" t="s">
        <v>3619</v>
      </c>
      <c r="D203" s="1" t="s">
        <v>3601</v>
      </c>
      <c r="E203" s="1" t="s">
        <v>3664</v>
      </c>
      <c r="F203" s="1" t="s">
        <v>4101</v>
      </c>
      <c r="G203" s="1" t="s">
        <v>4230</v>
      </c>
      <c r="H203" s="1" t="s">
        <v>3604</v>
      </c>
      <c r="I203" s="1" t="s">
        <v>4233</v>
      </c>
      <c r="J203" s="1" t="s">
        <v>3606</v>
      </c>
      <c r="K203" s="1"/>
      <c r="L203" s="1"/>
      <c r="M203" s="1"/>
    </row>
    <row x14ac:dyDescent="0.25" r="204" customHeight="1" ht="18.75">
      <c r="A204" s="1" t="s">
        <v>3693</v>
      </c>
      <c r="B204" s="1" t="s">
        <v>4229</v>
      </c>
      <c r="C204" s="1" t="s">
        <v>3619</v>
      </c>
      <c r="D204" s="1" t="s">
        <v>3601</v>
      </c>
      <c r="E204" s="1" t="s">
        <v>3664</v>
      </c>
      <c r="F204" s="1" t="s">
        <v>4101</v>
      </c>
      <c r="G204" s="1" t="s">
        <v>4230</v>
      </c>
      <c r="H204" s="1" t="s">
        <v>3604</v>
      </c>
      <c r="I204" s="1" t="s">
        <v>4234</v>
      </c>
      <c r="J204" s="1" t="s">
        <v>3615</v>
      </c>
      <c r="K204" s="1"/>
      <c r="L204" s="1"/>
      <c r="M204" s="1"/>
    </row>
    <row x14ac:dyDescent="0.25" r="205" customHeight="1" ht="18.75">
      <c r="A205" s="1" t="s">
        <v>3693</v>
      </c>
      <c r="B205" s="1" t="s">
        <v>4229</v>
      </c>
      <c r="C205" s="1" t="s">
        <v>3619</v>
      </c>
      <c r="D205" s="1" t="s">
        <v>3601</v>
      </c>
      <c r="E205" s="1" t="s">
        <v>3664</v>
      </c>
      <c r="F205" s="1" t="s">
        <v>4235</v>
      </c>
      <c r="G205" s="1" t="s">
        <v>4230</v>
      </c>
      <c r="H205" s="1" t="s">
        <v>3604</v>
      </c>
      <c r="I205" s="1" t="s">
        <v>4236</v>
      </c>
      <c r="J205" s="1" t="s">
        <v>3606</v>
      </c>
      <c r="K205" s="1"/>
      <c r="L205" s="1"/>
      <c r="M205" s="1"/>
    </row>
    <row x14ac:dyDescent="0.25" r="206" customHeight="1" ht="18.75">
      <c r="A206" s="1" t="s">
        <v>3693</v>
      </c>
      <c r="B206" s="1" t="s">
        <v>4237</v>
      </c>
      <c r="C206" s="1" t="s">
        <v>3600</v>
      </c>
      <c r="D206" s="1" t="s">
        <v>3601</v>
      </c>
      <c r="E206" s="1" t="s">
        <v>3664</v>
      </c>
      <c r="F206" s="1" t="s">
        <v>4101</v>
      </c>
      <c r="G206" s="1" t="s">
        <v>4238</v>
      </c>
      <c r="H206" s="1" t="s">
        <v>3604</v>
      </c>
      <c r="I206" s="1" t="s">
        <v>4239</v>
      </c>
      <c r="J206" s="1" t="s">
        <v>3606</v>
      </c>
      <c r="K206" s="1"/>
      <c r="L206" s="1"/>
      <c r="M206" s="1"/>
    </row>
    <row x14ac:dyDescent="0.25" r="207" customHeight="1" ht="18.75">
      <c r="A207" s="1" t="s">
        <v>3693</v>
      </c>
      <c r="B207" s="1" t="s">
        <v>3957</v>
      </c>
      <c r="C207" s="1" t="s">
        <v>3600</v>
      </c>
      <c r="D207" s="1" t="s">
        <v>3601</v>
      </c>
      <c r="E207" s="1" t="s">
        <v>3664</v>
      </c>
      <c r="F207" s="1" t="s">
        <v>4240</v>
      </c>
      <c r="G207" s="1" t="s">
        <v>4241</v>
      </c>
      <c r="H207" s="1" t="s">
        <v>3604</v>
      </c>
      <c r="I207" s="1" t="s">
        <v>4242</v>
      </c>
      <c r="J207" s="1" t="s">
        <v>3606</v>
      </c>
      <c r="K207" s="1"/>
      <c r="L207" s="1"/>
      <c r="M207" s="1"/>
    </row>
    <row x14ac:dyDescent="0.25" r="208" customHeight="1" ht="18.75">
      <c r="A208" s="1" t="s">
        <v>3693</v>
      </c>
      <c r="B208" s="1" t="s">
        <v>3957</v>
      </c>
      <c r="C208" s="1" t="s">
        <v>3600</v>
      </c>
      <c r="D208" s="1" t="s">
        <v>3601</v>
      </c>
      <c r="E208" s="1" t="s">
        <v>3664</v>
      </c>
      <c r="F208" s="1" t="s">
        <v>4243</v>
      </c>
      <c r="G208" s="1" t="s">
        <v>4241</v>
      </c>
      <c r="H208" s="1" t="s">
        <v>3604</v>
      </c>
      <c r="I208" s="1" t="s">
        <v>4244</v>
      </c>
      <c r="J208" s="1" t="s">
        <v>3606</v>
      </c>
      <c r="K208" s="1"/>
      <c r="L208" s="1"/>
      <c r="M208" s="1"/>
    </row>
    <row x14ac:dyDescent="0.25" r="209" customHeight="1" ht="18.75">
      <c r="A209" s="1" t="s">
        <v>3693</v>
      </c>
      <c r="B209" s="1" t="s">
        <v>3957</v>
      </c>
      <c r="C209" s="1" t="s">
        <v>3600</v>
      </c>
      <c r="D209" s="1" t="s">
        <v>3601</v>
      </c>
      <c r="E209" s="1" t="s">
        <v>3664</v>
      </c>
      <c r="F209" s="1" t="s">
        <v>4245</v>
      </c>
      <c r="G209" s="1" t="s">
        <v>4241</v>
      </c>
      <c r="H209" s="1" t="s">
        <v>3604</v>
      </c>
      <c r="I209" s="1" t="s">
        <v>4246</v>
      </c>
      <c r="J209" s="1" t="s">
        <v>3606</v>
      </c>
      <c r="K209" s="1"/>
      <c r="L209" s="1"/>
      <c r="M209" s="1"/>
    </row>
    <row x14ac:dyDescent="0.25" r="210" customHeight="1" ht="18.75">
      <c r="A210" s="1" t="s">
        <v>3693</v>
      </c>
      <c r="B210" s="1" t="s">
        <v>4247</v>
      </c>
      <c r="C210" s="1" t="s">
        <v>3600</v>
      </c>
      <c r="D210" s="1" t="s">
        <v>3601</v>
      </c>
      <c r="E210" s="1" t="s">
        <v>3893</v>
      </c>
      <c r="F210" s="1" t="s">
        <v>4248</v>
      </c>
      <c r="G210" s="1" t="s">
        <v>4249</v>
      </c>
      <c r="H210" s="1" t="s">
        <v>3604</v>
      </c>
      <c r="I210" s="1" t="s">
        <v>4250</v>
      </c>
      <c r="J210" s="1" t="s">
        <v>3606</v>
      </c>
      <c r="K210" s="1"/>
      <c r="L210" s="1"/>
      <c r="M210" s="1"/>
    </row>
    <row x14ac:dyDescent="0.25" r="211" customHeight="1" ht="18.75">
      <c r="A211" s="1" t="s">
        <v>3693</v>
      </c>
      <c r="B211" s="1" t="s">
        <v>4247</v>
      </c>
      <c r="C211" s="1" t="s">
        <v>3600</v>
      </c>
      <c r="D211" s="1" t="s">
        <v>3601</v>
      </c>
      <c r="E211" s="1" t="s">
        <v>3893</v>
      </c>
      <c r="F211" s="1" t="s">
        <v>4251</v>
      </c>
      <c r="G211" s="1" t="s">
        <v>4249</v>
      </c>
      <c r="H211" s="1" t="s">
        <v>3604</v>
      </c>
      <c r="I211" s="1" t="s">
        <v>4252</v>
      </c>
      <c r="J211" s="1" t="s">
        <v>3606</v>
      </c>
      <c r="K211" s="1"/>
      <c r="L211" s="1"/>
      <c r="M211" s="1"/>
    </row>
    <row x14ac:dyDescent="0.25" r="212" customHeight="1" ht="18.75">
      <c r="A212" s="1" t="s">
        <v>3693</v>
      </c>
      <c r="B212" s="1" t="s">
        <v>4247</v>
      </c>
      <c r="C212" s="1" t="s">
        <v>3600</v>
      </c>
      <c r="D212" s="1" t="s">
        <v>3601</v>
      </c>
      <c r="E212" s="1" t="s">
        <v>3664</v>
      </c>
      <c r="F212" s="1" t="s">
        <v>4101</v>
      </c>
      <c r="G212" s="1" t="s">
        <v>4249</v>
      </c>
      <c r="H212" s="1" t="s">
        <v>3604</v>
      </c>
      <c r="I212" s="1" t="s">
        <v>4253</v>
      </c>
      <c r="J212" s="1" t="s">
        <v>3606</v>
      </c>
      <c r="K212" s="1"/>
      <c r="L212" s="1"/>
      <c r="M212" s="1"/>
    </row>
    <row x14ac:dyDescent="0.25" r="213" customHeight="1" ht="18.75">
      <c r="A213" s="1" t="s">
        <v>3693</v>
      </c>
      <c r="B213" s="1" t="s">
        <v>4247</v>
      </c>
      <c r="C213" s="1" t="s">
        <v>3600</v>
      </c>
      <c r="D213" s="1" t="s">
        <v>3601</v>
      </c>
      <c r="E213" s="1" t="s">
        <v>3664</v>
      </c>
      <c r="F213" s="1" t="s">
        <v>4101</v>
      </c>
      <c r="G213" s="1" t="s">
        <v>4249</v>
      </c>
      <c r="H213" s="1" t="s">
        <v>3604</v>
      </c>
      <c r="I213" s="1" t="s">
        <v>4254</v>
      </c>
      <c r="J213" s="1" t="s">
        <v>3606</v>
      </c>
      <c r="K213" s="1"/>
      <c r="L213" s="1"/>
      <c r="M213" s="1"/>
    </row>
    <row x14ac:dyDescent="0.25" r="214" customHeight="1" ht="18.75">
      <c r="A214" s="1" t="s">
        <v>3693</v>
      </c>
      <c r="B214" s="1" t="s">
        <v>4247</v>
      </c>
      <c r="C214" s="1" t="s">
        <v>3600</v>
      </c>
      <c r="D214" s="1" t="s">
        <v>3601</v>
      </c>
      <c r="E214" s="1" t="s">
        <v>3664</v>
      </c>
      <c r="F214" s="1" t="s">
        <v>4101</v>
      </c>
      <c r="G214" s="1" t="s">
        <v>4249</v>
      </c>
      <c r="H214" s="1" t="s">
        <v>3604</v>
      </c>
      <c r="I214" s="1" t="s">
        <v>4255</v>
      </c>
      <c r="J214" s="1" t="s">
        <v>3606</v>
      </c>
      <c r="K214" s="1"/>
      <c r="L214" s="1"/>
      <c r="M214" s="1"/>
    </row>
    <row x14ac:dyDescent="0.25" r="215" customHeight="1" ht="18.75">
      <c r="A215" s="1" t="s">
        <v>3693</v>
      </c>
      <c r="B215" s="1" t="s">
        <v>4247</v>
      </c>
      <c r="C215" s="1" t="s">
        <v>3600</v>
      </c>
      <c r="D215" s="1" t="s">
        <v>3601</v>
      </c>
      <c r="E215" s="1" t="s">
        <v>3664</v>
      </c>
      <c r="F215" s="1" t="s">
        <v>4101</v>
      </c>
      <c r="G215" s="1" t="s">
        <v>4249</v>
      </c>
      <c r="H215" s="1" t="s">
        <v>3604</v>
      </c>
      <c r="I215" s="1" t="s">
        <v>4256</v>
      </c>
      <c r="J215" s="1" t="s">
        <v>3606</v>
      </c>
      <c r="K215" s="1"/>
      <c r="L215" s="1"/>
      <c r="M215" s="1"/>
    </row>
    <row x14ac:dyDescent="0.25" r="216" customHeight="1" ht="18.75">
      <c r="A216" s="1" t="s">
        <v>3693</v>
      </c>
      <c r="B216" s="1" t="s">
        <v>4257</v>
      </c>
      <c r="C216" s="1" t="s">
        <v>3619</v>
      </c>
      <c r="D216" s="1" t="s">
        <v>3601</v>
      </c>
      <c r="E216" s="1" t="s">
        <v>3664</v>
      </c>
      <c r="F216" s="1" t="s">
        <v>4101</v>
      </c>
      <c r="G216" s="1" t="s">
        <v>4258</v>
      </c>
      <c r="H216" s="1" t="s">
        <v>3604</v>
      </c>
      <c r="I216" s="1" t="s">
        <v>4259</v>
      </c>
      <c r="J216" s="1" t="s">
        <v>3606</v>
      </c>
      <c r="K216" s="1"/>
      <c r="L216" s="1"/>
      <c r="M216" s="1"/>
    </row>
    <row x14ac:dyDescent="0.25" r="217" customHeight="1" ht="18.75">
      <c r="A217" s="1" t="s">
        <v>3693</v>
      </c>
      <c r="B217" s="1" t="s">
        <v>4257</v>
      </c>
      <c r="C217" s="1" t="s">
        <v>3619</v>
      </c>
      <c r="D217" s="1" t="s">
        <v>3601</v>
      </c>
      <c r="E217" s="1" t="s">
        <v>3664</v>
      </c>
      <c r="F217" s="1" t="s">
        <v>4101</v>
      </c>
      <c r="G217" s="1" t="s">
        <v>4258</v>
      </c>
      <c r="H217" s="1" t="s">
        <v>3604</v>
      </c>
      <c r="I217" s="1" t="s">
        <v>4260</v>
      </c>
      <c r="J217" s="1" t="s">
        <v>3606</v>
      </c>
      <c r="K217" s="1"/>
      <c r="L217" s="1"/>
      <c r="M217" s="1"/>
    </row>
    <row x14ac:dyDescent="0.25" r="218" customHeight="1" ht="18.75">
      <c r="A218" s="1" t="s">
        <v>3693</v>
      </c>
      <c r="B218" s="1" t="s">
        <v>4257</v>
      </c>
      <c r="C218" s="1" t="s">
        <v>3619</v>
      </c>
      <c r="D218" s="1" t="s">
        <v>3601</v>
      </c>
      <c r="E218" s="1" t="s">
        <v>3664</v>
      </c>
      <c r="F218" s="1" t="s">
        <v>4101</v>
      </c>
      <c r="G218" s="1" t="s">
        <v>4258</v>
      </c>
      <c r="H218" s="1" t="s">
        <v>3604</v>
      </c>
      <c r="I218" s="1" t="s">
        <v>4261</v>
      </c>
      <c r="J218" s="1" t="s">
        <v>3606</v>
      </c>
      <c r="K218" s="1"/>
      <c r="L218" s="1"/>
      <c r="M218" s="1"/>
    </row>
    <row x14ac:dyDescent="0.25" r="219" customHeight="1" ht="18.75">
      <c r="A219" s="1" t="s">
        <v>3693</v>
      </c>
      <c r="B219" s="1" t="s">
        <v>4257</v>
      </c>
      <c r="C219" s="1" t="s">
        <v>3619</v>
      </c>
      <c r="D219" s="1" t="s">
        <v>3601</v>
      </c>
      <c r="E219" s="1" t="s">
        <v>3664</v>
      </c>
      <c r="F219" s="1" t="s">
        <v>4101</v>
      </c>
      <c r="G219" s="1" t="s">
        <v>4258</v>
      </c>
      <c r="H219" s="1" t="s">
        <v>3604</v>
      </c>
      <c r="I219" s="1" t="s">
        <v>4262</v>
      </c>
      <c r="J219" s="1" t="s">
        <v>3606</v>
      </c>
      <c r="K219" s="1"/>
      <c r="L219" s="1"/>
      <c r="M219" s="1"/>
    </row>
    <row x14ac:dyDescent="0.25" r="220" customHeight="1" ht="18.75">
      <c r="A220" s="1" t="s">
        <v>3693</v>
      </c>
      <c r="B220" s="1" t="s">
        <v>4263</v>
      </c>
      <c r="C220" s="1" t="s">
        <v>3619</v>
      </c>
      <c r="D220" s="1" t="s">
        <v>3601</v>
      </c>
      <c r="E220" s="1" t="s">
        <v>3664</v>
      </c>
      <c r="F220" s="1" t="s">
        <v>4101</v>
      </c>
      <c r="G220" s="1" t="s">
        <v>4264</v>
      </c>
      <c r="H220" s="1" t="s">
        <v>3604</v>
      </c>
      <c r="I220" s="1" t="s">
        <v>4265</v>
      </c>
      <c r="J220" s="1" t="s">
        <v>3606</v>
      </c>
      <c r="K220" s="1"/>
      <c r="L220" s="1"/>
      <c r="M220" s="1"/>
    </row>
    <row x14ac:dyDescent="0.25" r="221" customHeight="1" ht="18.75">
      <c r="A221" s="1" t="s">
        <v>3693</v>
      </c>
      <c r="B221" s="1" t="s">
        <v>4263</v>
      </c>
      <c r="C221" s="1" t="s">
        <v>3619</v>
      </c>
      <c r="D221" s="1" t="s">
        <v>3601</v>
      </c>
      <c r="E221" s="1" t="s">
        <v>3664</v>
      </c>
      <c r="F221" s="1" t="s">
        <v>4101</v>
      </c>
      <c r="G221" s="1" t="s">
        <v>4264</v>
      </c>
      <c r="H221" s="1" t="s">
        <v>3604</v>
      </c>
      <c r="I221" s="1" t="s">
        <v>4266</v>
      </c>
      <c r="J221" s="1" t="s">
        <v>3606</v>
      </c>
      <c r="K221" s="1"/>
      <c r="L221" s="1"/>
      <c r="M221" s="1"/>
    </row>
    <row x14ac:dyDescent="0.25" r="222" customHeight="1" ht="18.75">
      <c r="A222" s="1" t="s">
        <v>3693</v>
      </c>
      <c r="B222" s="1" t="s">
        <v>4267</v>
      </c>
      <c r="C222" s="1" t="s">
        <v>3600</v>
      </c>
      <c r="D222" s="1" t="s">
        <v>3601</v>
      </c>
      <c r="E222" s="1" t="s">
        <v>3664</v>
      </c>
      <c r="F222" s="1" t="s">
        <v>4101</v>
      </c>
      <c r="G222" s="1" t="s">
        <v>4268</v>
      </c>
      <c r="H222" s="1" t="s">
        <v>3604</v>
      </c>
      <c r="I222" s="1" t="s">
        <v>4269</v>
      </c>
      <c r="J222" s="1" t="s">
        <v>3606</v>
      </c>
      <c r="K222" s="1"/>
      <c r="L222" s="1"/>
      <c r="M222" s="1"/>
    </row>
    <row x14ac:dyDescent="0.25" r="223" customHeight="1" ht="18.75">
      <c r="A223" s="1" t="s">
        <v>3693</v>
      </c>
      <c r="B223" s="1" t="s">
        <v>4267</v>
      </c>
      <c r="C223" s="1" t="s">
        <v>3600</v>
      </c>
      <c r="D223" s="1" t="s">
        <v>3601</v>
      </c>
      <c r="E223" s="1" t="s">
        <v>3664</v>
      </c>
      <c r="F223" s="1" t="s">
        <v>4101</v>
      </c>
      <c r="G223" s="1" t="s">
        <v>4268</v>
      </c>
      <c r="H223" s="1" t="s">
        <v>3604</v>
      </c>
      <c r="I223" s="1" t="s">
        <v>4270</v>
      </c>
      <c r="J223" s="1" t="s">
        <v>3606</v>
      </c>
      <c r="K223" s="1"/>
      <c r="L223" s="1"/>
      <c r="M223" s="1"/>
    </row>
    <row x14ac:dyDescent="0.25" r="224" customHeight="1" ht="18.75">
      <c r="A224" s="1" t="s">
        <v>3693</v>
      </c>
      <c r="B224" s="1" t="s">
        <v>4091</v>
      </c>
      <c r="C224" s="1" t="s">
        <v>3600</v>
      </c>
      <c r="D224" s="1" t="s">
        <v>3601</v>
      </c>
      <c r="E224" s="1" t="s">
        <v>3893</v>
      </c>
      <c r="F224" s="1" t="s">
        <v>4271</v>
      </c>
      <c r="G224" s="1" t="s">
        <v>4099</v>
      </c>
      <c r="H224" s="1" t="s">
        <v>3604</v>
      </c>
      <c r="I224" s="1" t="s">
        <v>4272</v>
      </c>
      <c r="J224" s="1" t="s">
        <v>3615</v>
      </c>
      <c r="K224" s="1"/>
      <c r="L224" s="1"/>
      <c r="M224" s="1"/>
    </row>
    <row x14ac:dyDescent="0.25" r="225" customHeight="1" ht="18.75">
      <c r="A225" s="1" t="s">
        <v>3598</v>
      </c>
      <c r="B225" s="1" t="s">
        <v>4273</v>
      </c>
      <c r="C225" s="1" t="s">
        <v>3600</v>
      </c>
      <c r="D225" s="1" t="s">
        <v>3601</v>
      </c>
      <c r="E225" s="1" t="s">
        <v>3611</v>
      </c>
      <c r="F225" s="1" t="s">
        <v>4274</v>
      </c>
      <c r="G225" s="1" t="s">
        <v>3613</v>
      </c>
      <c r="H225" s="1" t="s">
        <v>3604</v>
      </c>
      <c r="I225" s="1" t="s">
        <v>4275</v>
      </c>
      <c r="J225" s="1" t="s">
        <v>3606</v>
      </c>
      <c r="K225" s="1"/>
      <c r="L225" s="1"/>
      <c r="M225" s="1"/>
    </row>
    <row x14ac:dyDescent="0.25" r="226" customHeight="1" ht="18.75">
      <c r="A226" s="1" t="s">
        <v>3617</v>
      </c>
      <c r="B226" s="1" t="s">
        <v>4276</v>
      </c>
      <c r="C226" s="1" t="s">
        <v>3619</v>
      </c>
      <c r="D226" s="1" t="s">
        <v>3601</v>
      </c>
      <c r="E226" s="1"/>
      <c r="F226" s="1" t="s">
        <v>4277</v>
      </c>
      <c r="G226" s="1" t="s">
        <v>4278</v>
      </c>
      <c r="H226" s="1" t="s">
        <v>3604</v>
      </c>
      <c r="I226" s="1" t="s">
        <v>4279</v>
      </c>
      <c r="J226" s="1" t="s">
        <v>3606</v>
      </c>
      <c r="K226" s="1"/>
      <c r="L226" s="1"/>
      <c r="M226" s="1"/>
    </row>
    <row x14ac:dyDescent="0.25" r="227" customHeight="1" ht="18.75">
      <c r="A227" s="1" t="s">
        <v>3617</v>
      </c>
      <c r="B227" s="1" t="s">
        <v>4276</v>
      </c>
      <c r="C227" s="1" t="s">
        <v>3619</v>
      </c>
      <c r="D227" s="1" t="s">
        <v>3601</v>
      </c>
      <c r="E227" s="1"/>
      <c r="F227" s="1" t="s">
        <v>4280</v>
      </c>
      <c r="G227" s="1" t="s">
        <v>4278</v>
      </c>
      <c r="H227" s="1" t="s">
        <v>3604</v>
      </c>
      <c r="I227" s="1" t="s">
        <v>4281</v>
      </c>
      <c r="J227" s="1" t="s">
        <v>3606</v>
      </c>
      <c r="K227" s="1"/>
      <c r="L227" s="1"/>
      <c r="M227" s="1"/>
    </row>
    <row x14ac:dyDescent="0.25" r="228" customHeight="1" ht="18.75">
      <c r="A228" s="1" t="s">
        <v>3617</v>
      </c>
      <c r="B228" s="1" t="s">
        <v>4276</v>
      </c>
      <c r="C228" s="1" t="s">
        <v>3619</v>
      </c>
      <c r="D228" s="1" t="s">
        <v>3601</v>
      </c>
      <c r="E228" s="1"/>
      <c r="F228" s="1" t="s">
        <v>4282</v>
      </c>
      <c r="G228" s="1" t="s">
        <v>4278</v>
      </c>
      <c r="H228" s="1" t="s">
        <v>3604</v>
      </c>
      <c r="I228" s="1" t="s">
        <v>4283</v>
      </c>
      <c r="J228" s="1" t="s">
        <v>3606</v>
      </c>
      <c r="K228" s="1"/>
      <c r="L228" s="1"/>
      <c r="M228" s="1"/>
    </row>
    <row x14ac:dyDescent="0.25" r="229" customHeight="1" ht="18.75">
      <c r="A229" s="1" t="s">
        <v>3617</v>
      </c>
      <c r="B229" s="1" t="s">
        <v>3898</v>
      </c>
      <c r="C229" s="1" t="s">
        <v>3619</v>
      </c>
      <c r="D229" s="1" t="s">
        <v>3601</v>
      </c>
      <c r="E229" s="1" t="s">
        <v>3893</v>
      </c>
      <c r="F229" s="1" t="s">
        <v>4284</v>
      </c>
      <c r="G229" s="1" t="s">
        <v>3900</v>
      </c>
      <c r="H229" s="1" t="s">
        <v>3604</v>
      </c>
      <c r="I229" s="1" t="s">
        <v>4285</v>
      </c>
      <c r="J229" s="1" t="s">
        <v>3606</v>
      </c>
      <c r="K229" s="1"/>
      <c r="L229" s="1"/>
      <c r="M229" s="1"/>
    </row>
    <row x14ac:dyDescent="0.25" r="230" customHeight="1" ht="18.75">
      <c r="A230" s="1" t="s">
        <v>3617</v>
      </c>
      <c r="B230" s="1" t="s">
        <v>4286</v>
      </c>
      <c r="C230" s="1" t="s">
        <v>3619</v>
      </c>
      <c r="D230" s="1" t="s">
        <v>3601</v>
      </c>
      <c r="E230" s="1"/>
      <c r="F230" s="1" t="s">
        <v>4287</v>
      </c>
      <c r="G230" s="1" t="s">
        <v>4288</v>
      </c>
      <c r="H230" s="1" t="s">
        <v>3604</v>
      </c>
      <c r="I230" s="1" t="s">
        <v>4289</v>
      </c>
      <c r="J230" s="1" t="s">
        <v>3606</v>
      </c>
      <c r="K230" s="1"/>
      <c r="L230" s="1"/>
      <c r="M230" s="1"/>
    </row>
    <row x14ac:dyDescent="0.25" r="231" customHeight="1" ht="18.75">
      <c r="A231" s="1" t="s">
        <v>3693</v>
      </c>
      <c r="B231" s="1" t="s">
        <v>4158</v>
      </c>
      <c r="C231" s="1" t="s">
        <v>3600</v>
      </c>
      <c r="D231" s="1" t="s">
        <v>3601</v>
      </c>
      <c r="E231" s="1" t="s">
        <v>3893</v>
      </c>
      <c r="F231" s="1" t="s">
        <v>4290</v>
      </c>
      <c r="G231" s="1" t="s">
        <v>4291</v>
      </c>
      <c r="H231" s="1" t="s">
        <v>3604</v>
      </c>
      <c r="I231" s="1" t="s">
        <v>4292</v>
      </c>
      <c r="J231" s="1" t="s">
        <v>3606</v>
      </c>
      <c r="K231" s="1"/>
      <c r="L231" s="1"/>
      <c r="M231" s="1"/>
    </row>
    <row x14ac:dyDescent="0.25" r="232" customHeight="1" ht="18.75">
      <c r="A232" s="1" t="s">
        <v>3693</v>
      </c>
      <c r="B232" s="1" t="s">
        <v>4158</v>
      </c>
      <c r="C232" s="1" t="s">
        <v>3600</v>
      </c>
      <c r="D232" s="1" t="s">
        <v>3601</v>
      </c>
      <c r="E232" s="1" t="s">
        <v>3893</v>
      </c>
      <c r="F232" s="1" t="s">
        <v>4290</v>
      </c>
      <c r="G232" s="1" t="s">
        <v>4293</v>
      </c>
      <c r="H232" s="1" t="s">
        <v>3604</v>
      </c>
      <c r="I232" s="1" t="s">
        <v>4294</v>
      </c>
      <c r="J232" s="1" t="s">
        <v>3606</v>
      </c>
      <c r="K232" s="1"/>
      <c r="L232" s="1"/>
      <c r="M232" s="1"/>
    </row>
    <row x14ac:dyDescent="0.25" r="233" customHeight="1" ht="18.75">
      <c r="A233" s="1" t="s">
        <v>3693</v>
      </c>
      <c r="B233" s="1" t="s">
        <v>4204</v>
      </c>
      <c r="C233" s="1" t="s">
        <v>3600</v>
      </c>
      <c r="D233" s="1" t="s">
        <v>3601</v>
      </c>
      <c r="E233" s="1" t="s">
        <v>3893</v>
      </c>
      <c r="F233" s="1" t="s">
        <v>4290</v>
      </c>
      <c r="G233" s="1" t="s">
        <v>4295</v>
      </c>
      <c r="H233" s="1" t="s">
        <v>3604</v>
      </c>
      <c r="I233" s="1" t="s">
        <v>4296</v>
      </c>
      <c r="J233" s="1" t="s">
        <v>3615</v>
      </c>
      <c r="K233" s="1"/>
      <c r="L233" s="1"/>
      <c r="M233" s="1"/>
    </row>
    <row x14ac:dyDescent="0.25" r="234" customHeight="1" ht="18.75">
      <c r="A234" s="1" t="s">
        <v>3693</v>
      </c>
      <c r="B234" s="1" t="s">
        <v>4204</v>
      </c>
      <c r="C234" s="1" t="s">
        <v>3600</v>
      </c>
      <c r="D234" s="1" t="s">
        <v>3601</v>
      </c>
      <c r="E234" s="1" t="s">
        <v>3893</v>
      </c>
      <c r="F234" s="1" t="s">
        <v>4290</v>
      </c>
      <c r="G234" s="1" t="s">
        <v>4297</v>
      </c>
      <c r="H234" s="1" t="s">
        <v>3604</v>
      </c>
      <c r="I234" s="1" t="s">
        <v>4298</v>
      </c>
      <c r="J234" s="1" t="s">
        <v>3615</v>
      </c>
      <c r="K234" s="1"/>
      <c r="L234" s="1"/>
      <c r="M234" s="1"/>
    </row>
    <row x14ac:dyDescent="0.25" r="235" customHeight="1" ht="18.75">
      <c r="A235" s="1" t="s">
        <v>3693</v>
      </c>
      <c r="B235" s="1" t="s">
        <v>4204</v>
      </c>
      <c r="C235" s="1" t="s">
        <v>3600</v>
      </c>
      <c r="D235" s="1" t="s">
        <v>3601</v>
      </c>
      <c r="E235" s="1" t="s">
        <v>3893</v>
      </c>
      <c r="F235" s="1" t="s">
        <v>4290</v>
      </c>
      <c r="G235" s="1" t="s">
        <v>4299</v>
      </c>
      <c r="H235" s="1" t="s">
        <v>3604</v>
      </c>
      <c r="I235" s="1" t="s">
        <v>4300</v>
      </c>
      <c r="J235" s="1" t="s">
        <v>3615</v>
      </c>
      <c r="K235" s="1"/>
      <c r="L235" s="1"/>
      <c r="M235" s="1"/>
    </row>
    <row x14ac:dyDescent="0.25" r="236" customHeight="1" ht="18.75">
      <c r="A236" s="1" t="s">
        <v>3693</v>
      </c>
      <c r="B236" s="1" t="s">
        <v>4083</v>
      </c>
      <c r="C236" s="1" t="s">
        <v>3600</v>
      </c>
      <c r="D236" s="1" t="s">
        <v>3601</v>
      </c>
      <c r="E236" s="1" t="s">
        <v>3893</v>
      </c>
      <c r="F236" s="1" t="s">
        <v>4290</v>
      </c>
      <c r="G236" s="1" t="s">
        <v>4301</v>
      </c>
      <c r="H236" s="1" t="s">
        <v>3604</v>
      </c>
      <c r="I236" s="1" t="s">
        <v>4302</v>
      </c>
      <c r="J236" s="1" t="s">
        <v>3615</v>
      </c>
      <c r="K236" s="1"/>
      <c r="L236" s="1"/>
      <c r="M236" s="1"/>
    </row>
    <row x14ac:dyDescent="0.25" r="237" customHeight="1" ht="18.75">
      <c r="A237" s="1" t="s">
        <v>3693</v>
      </c>
      <c r="B237" s="1" t="s">
        <v>4083</v>
      </c>
      <c r="C237" s="1" t="s">
        <v>3600</v>
      </c>
      <c r="D237" s="1" t="s">
        <v>3601</v>
      </c>
      <c r="E237" s="1" t="s">
        <v>3893</v>
      </c>
      <c r="F237" s="1" t="s">
        <v>4303</v>
      </c>
      <c r="G237" s="1" t="s">
        <v>4304</v>
      </c>
      <c r="H237" s="1" t="s">
        <v>3604</v>
      </c>
      <c r="I237" s="1" t="s">
        <v>4305</v>
      </c>
      <c r="J237" s="1" t="s">
        <v>3606</v>
      </c>
      <c r="K237" s="1"/>
      <c r="L237" s="1"/>
      <c r="M237" s="1"/>
    </row>
    <row x14ac:dyDescent="0.25" r="238" customHeight="1" ht="18.75">
      <c r="A238" s="1" t="s">
        <v>3693</v>
      </c>
      <c r="B238" s="1" t="s">
        <v>4083</v>
      </c>
      <c r="C238" s="1" t="s">
        <v>3600</v>
      </c>
      <c r="D238" s="1" t="s">
        <v>3601</v>
      </c>
      <c r="E238" s="1" t="s">
        <v>3893</v>
      </c>
      <c r="F238" s="1" t="s">
        <v>4306</v>
      </c>
      <c r="G238" s="1" t="s">
        <v>4307</v>
      </c>
      <c r="H238" s="1" t="s">
        <v>3604</v>
      </c>
      <c r="I238" s="1" t="s">
        <v>4308</v>
      </c>
      <c r="J238" s="1" t="s">
        <v>3606</v>
      </c>
      <c r="K238" s="1"/>
      <c r="L238" s="1"/>
      <c r="M238" s="1"/>
    </row>
    <row x14ac:dyDescent="0.25" r="239" customHeight="1" ht="18.75">
      <c r="A239" s="1" t="s">
        <v>3693</v>
      </c>
      <c r="B239" s="1" t="s">
        <v>4204</v>
      </c>
      <c r="C239" s="1" t="s">
        <v>3600</v>
      </c>
      <c r="D239" s="1" t="s">
        <v>3601</v>
      </c>
      <c r="E239" s="1" t="s">
        <v>3893</v>
      </c>
      <c r="F239" s="1" t="s">
        <v>4309</v>
      </c>
      <c r="G239" s="1" t="s">
        <v>4310</v>
      </c>
      <c r="H239" s="1" t="s">
        <v>3604</v>
      </c>
      <c r="I239" s="1" t="s">
        <v>4311</v>
      </c>
      <c r="J239" s="1" t="s">
        <v>3606</v>
      </c>
      <c r="K239" s="1"/>
      <c r="L239" s="1"/>
      <c r="M239" s="1"/>
    </row>
    <row x14ac:dyDescent="0.25" r="240" customHeight="1" ht="18.75">
      <c r="A240" s="1" t="s">
        <v>3617</v>
      </c>
      <c r="B240" s="1" t="s">
        <v>3903</v>
      </c>
      <c r="C240" s="1" t="s">
        <v>3619</v>
      </c>
      <c r="D240" s="1" t="s">
        <v>3601</v>
      </c>
      <c r="E240" s="1"/>
      <c r="F240" s="1" t="s">
        <v>4312</v>
      </c>
      <c r="G240" s="1" t="s">
        <v>4313</v>
      </c>
      <c r="H240" s="1" t="s">
        <v>3604</v>
      </c>
      <c r="I240" s="1" t="s">
        <v>4314</v>
      </c>
      <c r="J240" s="1" t="s">
        <v>3606</v>
      </c>
      <c r="K240" s="1"/>
      <c r="L240" s="1"/>
      <c r="M240" s="1"/>
    </row>
    <row x14ac:dyDescent="0.25" r="241" customHeight="1" ht="18.75">
      <c r="A241" s="1" t="s">
        <v>3693</v>
      </c>
      <c r="B241" s="1" t="s">
        <v>4204</v>
      </c>
      <c r="C241" s="1" t="s">
        <v>3600</v>
      </c>
      <c r="D241" s="1" t="s">
        <v>3601</v>
      </c>
      <c r="E241" s="1" t="s">
        <v>3893</v>
      </c>
      <c r="F241" s="1" t="s">
        <v>4315</v>
      </c>
      <c r="G241" s="1" t="s">
        <v>4316</v>
      </c>
      <c r="H241" s="1" t="s">
        <v>3604</v>
      </c>
      <c r="I241" s="1" t="s">
        <v>4317</v>
      </c>
      <c r="J241" s="1" t="s">
        <v>3606</v>
      </c>
      <c r="K241" s="1"/>
      <c r="L241" s="1"/>
      <c r="M241" s="1"/>
    </row>
    <row x14ac:dyDescent="0.25" r="242" customHeight="1" ht="18.75">
      <c r="A242" s="1" t="s">
        <v>3693</v>
      </c>
      <c r="B242" s="1" t="s">
        <v>4192</v>
      </c>
      <c r="C242" s="1" t="s">
        <v>3600</v>
      </c>
      <c r="D242" s="1" t="s">
        <v>3601</v>
      </c>
      <c r="E242" s="1" t="s">
        <v>3893</v>
      </c>
      <c r="F242" s="1" t="s">
        <v>4318</v>
      </c>
      <c r="G242" s="1" t="s">
        <v>4319</v>
      </c>
      <c r="H242" s="1" t="s">
        <v>3604</v>
      </c>
      <c r="I242" s="1" t="s">
        <v>4320</v>
      </c>
      <c r="J242" s="1" t="s">
        <v>3606</v>
      </c>
      <c r="K242" s="1"/>
      <c r="L242" s="1"/>
      <c r="M242" s="1"/>
    </row>
    <row x14ac:dyDescent="0.25" r="243" customHeight="1" ht="18.75">
      <c r="A243" s="1" t="s">
        <v>3693</v>
      </c>
      <c r="B243" s="1" t="s">
        <v>4192</v>
      </c>
      <c r="C243" s="1" t="s">
        <v>3600</v>
      </c>
      <c r="D243" s="1" t="s">
        <v>3601</v>
      </c>
      <c r="E243" s="1" t="s">
        <v>3893</v>
      </c>
      <c r="F243" s="1" t="s">
        <v>4318</v>
      </c>
      <c r="G243" s="1" t="s">
        <v>4321</v>
      </c>
      <c r="H243" s="1" t="s">
        <v>3604</v>
      </c>
      <c r="I243" s="1" t="s">
        <v>4322</v>
      </c>
      <c r="J243" s="1" t="s">
        <v>3606</v>
      </c>
      <c r="K243" s="1"/>
      <c r="L243" s="1"/>
      <c r="M243" s="1"/>
    </row>
    <row x14ac:dyDescent="0.25" r="244" customHeight="1" ht="18.75">
      <c r="A244" s="1" t="s">
        <v>3693</v>
      </c>
      <c r="B244" s="1" t="s">
        <v>4323</v>
      </c>
      <c r="C244" s="1" t="s">
        <v>3600</v>
      </c>
      <c r="D244" s="1" t="s">
        <v>3601</v>
      </c>
      <c r="E244" s="1"/>
      <c r="F244" s="1" t="s">
        <v>4318</v>
      </c>
      <c r="G244" s="1" t="s">
        <v>4324</v>
      </c>
      <c r="H244" s="1" t="s">
        <v>3604</v>
      </c>
      <c r="I244" s="1" t="s">
        <v>4325</v>
      </c>
      <c r="J244" s="1" t="s">
        <v>3606</v>
      </c>
      <c r="K244" s="1"/>
      <c r="L244" s="1"/>
      <c r="M244" s="1"/>
    </row>
    <row x14ac:dyDescent="0.25" r="245" customHeight="1" ht="18.75">
      <c r="A245" s="1" t="s">
        <v>3693</v>
      </c>
      <c r="B245" s="1" t="s">
        <v>4247</v>
      </c>
      <c r="C245" s="1" t="s">
        <v>3600</v>
      </c>
      <c r="D245" s="1" t="s">
        <v>3601</v>
      </c>
      <c r="E245" s="1" t="s">
        <v>3893</v>
      </c>
      <c r="F245" s="1" t="s">
        <v>4318</v>
      </c>
      <c r="G245" s="1" t="s">
        <v>4326</v>
      </c>
      <c r="H245" s="1" t="s">
        <v>3604</v>
      </c>
      <c r="I245" s="1" t="s">
        <v>4327</v>
      </c>
      <c r="J245" s="1" t="s">
        <v>3606</v>
      </c>
      <c r="K245" s="1"/>
      <c r="L245" s="1"/>
      <c r="M245" s="1"/>
    </row>
    <row x14ac:dyDescent="0.25" r="246" customHeight="1" ht="18.75">
      <c r="A246" s="1" t="s">
        <v>3693</v>
      </c>
      <c r="B246" s="1" t="s">
        <v>4247</v>
      </c>
      <c r="C246" s="1" t="s">
        <v>3600</v>
      </c>
      <c r="D246" s="1" t="s">
        <v>3601</v>
      </c>
      <c r="E246" s="1" t="s">
        <v>3893</v>
      </c>
      <c r="F246" s="1" t="s">
        <v>4318</v>
      </c>
      <c r="G246" s="1" t="s">
        <v>4328</v>
      </c>
      <c r="H246" s="1" t="s">
        <v>3604</v>
      </c>
      <c r="I246" s="1" t="s">
        <v>4329</v>
      </c>
      <c r="J246" s="1" t="s">
        <v>3606</v>
      </c>
      <c r="K246" s="1"/>
      <c r="L246" s="1"/>
      <c r="M246" s="1"/>
    </row>
    <row x14ac:dyDescent="0.25" r="247" customHeight="1" ht="18.75">
      <c r="A247" s="1" t="s">
        <v>3693</v>
      </c>
      <c r="B247" s="1" t="s">
        <v>4323</v>
      </c>
      <c r="C247" s="1" t="s">
        <v>3600</v>
      </c>
      <c r="D247" s="1" t="s">
        <v>3601</v>
      </c>
      <c r="E247" s="1"/>
      <c r="F247" s="1" t="s">
        <v>4318</v>
      </c>
      <c r="G247" s="1" t="s">
        <v>4330</v>
      </c>
      <c r="H247" s="1" t="s">
        <v>3604</v>
      </c>
      <c r="I247" s="1" t="s">
        <v>4331</v>
      </c>
      <c r="J247" s="1" t="s">
        <v>3606</v>
      </c>
      <c r="K247" s="1"/>
      <c r="L247" s="1"/>
      <c r="M247" s="1"/>
    </row>
    <row x14ac:dyDescent="0.25" r="248" customHeight="1" ht="18.75">
      <c r="A248" s="1" t="s">
        <v>3693</v>
      </c>
      <c r="B248" s="1" t="s">
        <v>4332</v>
      </c>
      <c r="C248" s="1" t="s">
        <v>3600</v>
      </c>
      <c r="D248" s="1" t="s">
        <v>3601</v>
      </c>
      <c r="E248" s="1" t="s">
        <v>3893</v>
      </c>
      <c r="F248" s="1" t="s">
        <v>4318</v>
      </c>
      <c r="G248" s="1" t="s">
        <v>4333</v>
      </c>
      <c r="H248" s="1" t="s">
        <v>3604</v>
      </c>
      <c r="I248" s="1" t="s">
        <v>4334</v>
      </c>
      <c r="J248" s="1" t="s">
        <v>3606</v>
      </c>
      <c r="K248" s="1"/>
      <c r="L248" s="1"/>
      <c r="M248" s="1"/>
    </row>
    <row x14ac:dyDescent="0.25" r="249" customHeight="1" ht="18.75">
      <c r="A249" s="1" t="s">
        <v>3693</v>
      </c>
      <c r="B249" s="1" t="s">
        <v>4332</v>
      </c>
      <c r="C249" s="1" t="s">
        <v>3600</v>
      </c>
      <c r="D249" s="1" t="s">
        <v>3601</v>
      </c>
      <c r="E249" s="1" t="s">
        <v>3893</v>
      </c>
      <c r="F249" s="1" t="s">
        <v>4318</v>
      </c>
      <c r="G249" s="1" t="s">
        <v>4335</v>
      </c>
      <c r="H249" s="1" t="s">
        <v>3604</v>
      </c>
      <c r="I249" s="1" t="s">
        <v>4336</v>
      </c>
      <c r="J249" s="1" t="s">
        <v>3606</v>
      </c>
      <c r="K249" s="1"/>
      <c r="L249" s="1"/>
      <c r="M249" s="1"/>
    </row>
    <row x14ac:dyDescent="0.25" r="250" customHeight="1" ht="18.75">
      <c r="A250" s="1" t="s">
        <v>3693</v>
      </c>
      <c r="B250" s="1" t="s">
        <v>4332</v>
      </c>
      <c r="C250" s="1" t="s">
        <v>3600</v>
      </c>
      <c r="D250" s="1" t="s">
        <v>3601</v>
      </c>
      <c r="E250" s="1" t="s">
        <v>3893</v>
      </c>
      <c r="F250" s="1" t="s">
        <v>4318</v>
      </c>
      <c r="G250" s="1" t="s">
        <v>4337</v>
      </c>
      <c r="H250" s="1" t="s">
        <v>3604</v>
      </c>
      <c r="I250" s="1" t="s">
        <v>4338</v>
      </c>
      <c r="J250" s="1" t="s">
        <v>3606</v>
      </c>
      <c r="K250" s="1"/>
      <c r="L250" s="1"/>
      <c r="M250" s="1"/>
    </row>
    <row x14ac:dyDescent="0.25" r="251" customHeight="1" ht="18.75">
      <c r="A251" s="1" t="s">
        <v>3693</v>
      </c>
      <c r="B251" s="1" t="s">
        <v>4332</v>
      </c>
      <c r="C251" s="1" t="s">
        <v>3600</v>
      </c>
      <c r="D251" s="1" t="s">
        <v>3601</v>
      </c>
      <c r="E251" s="1" t="s">
        <v>3893</v>
      </c>
      <c r="F251" s="1" t="s">
        <v>4318</v>
      </c>
      <c r="G251" s="1" t="s">
        <v>4339</v>
      </c>
      <c r="H251" s="1" t="s">
        <v>3604</v>
      </c>
      <c r="I251" s="1" t="s">
        <v>4340</v>
      </c>
      <c r="J251" s="1" t="s">
        <v>3606</v>
      </c>
      <c r="K251" s="1"/>
      <c r="L251" s="1"/>
      <c r="M251" s="1"/>
    </row>
    <row x14ac:dyDescent="0.25" r="252" customHeight="1" ht="18.75">
      <c r="A252" s="1" t="s">
        <v>3693</v>
      </c>
      <c r="B252" s="1" t="s">
        <v>4332</v>
      </c>
      <c r="C252" s="1" t="s">
        <v>3600</v>
      </c>
      <c r="D252" s="1" t="s">
        <v>3601</v>
      </c>
      <c r="E252" s="1" t="s">
        <v>3893</v>
      </c>
      <c r="F252" s="1" t="s">
        <v>4341</v>
      </c>
      <c r="G252" s="1" t="s">
        <v>4342</v>
      </c>
      <c r="H252" s="1" t="s">
        <v>3604</v>
      </c>
      <c r="I252" s="1" t="s">
        <v>4343</v>
      </c>
      <c r="J252" s="1" t="s">
        <v>3606</v>
      </c>
      <c r="K252" s="1"/>
      <c r="L252" s="1"/>
      <c r="M252" s="1"/>
    </row>
    <row x14ac:dyDescent="0.25" r="253" customHeight="1" ht="18.75">
      <c r="A253" s="1" t="s">
        <v>3693</v>
      </c>
      <c r="B253" s="1" t="s">
        <v>4083</v>
      </c>
      <c r="C253" s="1" t="s">
        <v>3600</v>
      </c>
      <c r="D253" s="1" t="s">
        <v>3601</v>
      </c>
      <c r="E253" s="1" t="s">
        <v>3893</v>
      </c>
      <c r="F253" s="1" t="s">
        <v>4341</v>
      </c>
      <c r="G253" s="1" t="s">
        <v>4344</v>
      </c>
      <c r="H253" s="1" t="s">
        <v>3604</v>
      </c>
      <c r="I253" s="1" t="s">
        <v>4345</v>
      </c>
      <c r="J253" s="1" t="s">
        <v>3615</v>
      </c>
      <c r="K253" s="1"/>
      <c r="L253" s="1"/>
      <c r="M253" s="1"/>
    </row>
    <row x14ac:dyDescent="0.25" r="254" customHeight="1" ht="18.75">
      <c r="A254" s="1" t="s">
        <v>3693</v>
      </c>
      <c r="B254" s="1" t="s">
        <v>4323</v>
      </c>
      <c r="C254" s="1" t="s">
        <v>3600</v>
      </c>
      <c r="D254" s="1" t="s">
        <v>3601</v>
      </c>
      <c r="E254" s="1"/>
      <c r="F254" s="1" t="s">
        <v>4341</v>
      </c>
      <c r="G254" s="1" t="s">
        <v>4346</v>
      </c>
      <c r="H254" s="1" t="s">
        <v>3604</v>
      </c>
      <c r="I254" s="1" t="s">
        <v>4347</v>
      </c>
      <c r="J254" s="1" t="s">
        <v>3606</v>
      </c>
      <c r="K254" s="1"/>
      <c r="L254" s="1"/>
      <c r="M254" s="1"/>
    </row>
    <row x14ac:dyDescent="0.25" r="255" customHeight="1" ht="18.75">
      <c r="A255" s="1" t="s">
        <v>3693</v>
      </c>
      <c r="B255" s="1" t="s">
        <v>4083</v>
      </c>
      <c r="C255" s="1" t="s">
        <v>3600</v>
      </c>
      <c r="D255" s="1" t="s">
        <v>3601</v>
      </c>
      <c r="E255" s="1" t="s">
        <v>3893</v>
      </c>
      <c r="F255" s="1" t="s">
        <v>4341</v>
      </c>
      <c r="G255" s="1" t="s">
        <v>4346</v>
      </c>
      <c r="H255" s="1" t="s">
        <v>3604</v>
      </c>
      <c r="I255" s="1" t="s">
        <v>4348</v>
      </c>
      <c r="J255" s="1" t="s">
        <v>3615</v>
      </c>
      <c r="K255" s="1"/>
      <c r="L255" s="1"/>
      <c r="M255" s="1"/>
    </row>
    <row x14ac:dyDescent="0.25" r="256" customHeight="1" ht="18.75">
      <c r="A256" s="1" t="s">
        <v>3693</v>
      </c>
      <c r="B256" s="1" t="s">
        <v>4332</v>
      </c>
      <c r="C256" s="1" t="s">
        <v>3600</v>
      </c>
      <c r="D256" s="1" t="s">
        <v>3601</v>
      </c>
      <c r="E256" s="1" t="s">
        <v>3893</v>
      </c>
      <c r="F256" s="1" t="s">
        <v>4341</v>
      </c>
      <c r="G256" s="1" t="s">
        <v>4349</v>
      </c>
      <c r="H256" s="1" t="s">
        <v>3604</v>
      </c>
      <c r="I256" s="1" t="s">
        <v>4350</v>
      </c>
      <c r="J256" s="1" t="s">
        <v>3606</v>
      </c>
      <c r="K256" s="1"/>
      <c r="L256" s="1"/>
      <c r="M256" s="1"/>
    </row>
    <row x14ac:dyDescent="0.25" r="257" customHeight="1" ht="18.75">
      <c r="A257" s="1" t="s">
        <v>3693</v>
      </c>
      <c r="B257" s="1" t="s">
        <v>4192</v>
      </c>
      <c r="C257" s="1" t="s">
        <v>3600</v>
      </c>
      <c r="D257" s="1" t="s">
        <v>3601</v>
      </c>
      <c r="E257" s="1" t="s">
        <v>3893</v>
      </c>
      <c r="F257" s="1" t="s">
        <v>4341</v>
      </c>
      <c r="G257" s="1" t="s">
        <v>4349</v>
      </c>
      <c r="H257" s="1" t="s">
        <v>3604</v>
      </c>
      <c r="I257" s="1" t="s">
        <v>4351</v>
      </c>
      <c r="J257" s="1" t="s">
        <v>3606</v>
      </c>
      <c r="K257" s="1"/>
      <c r="L257" s="1"/>
      <c r="M257" s="1"/>
    </row>
    <row x14ac:dyDescent="0.25" r="258" customHeight="1" ht="18.75">
      <c r="A258" s="1" t="s">
        <v>3693</v>
      </c>
      <c r="B258" s="1" t="s">
        <v>4247</v>
      </c>
      <c r="C258" s="1" t="s">
        <v>3600</v>
      </c>
      <c r="D258" s="1" t="s">
        <v>3601</v>
      </c>
      <c r="E258" s="1" t="s">
        <v>3893</v>
      </c>
      <c r="F258" s="1" t="s">
        <v>4290</v>
      </c>
      <c r="G258" s="1" t="s">
        <v>4352</v>
      </c>
      <c r="H258" s="1" t="s">
        <v>3604</v>
      </c>
      <c r="I258" s="1" t="s">
        <v>4353</v>
      </c>
      <c r="J258" s="1" t="s">
        <v>3606</v>
      </c>
      <c r="K258" s="1"/>
      <c r="L258" s="1"/>
      <c r="M258" s="1"/>
    </row>
    <row x14ac:dyDescent="0.25" r="259" customHeight="1" ht="18.75">
      <c r="A259" s="1" t="s">
        <v>3693</v>
      </c>
      <c r="B259" s="1" t="s">
        <v>4192</v>
      </c>
      <c r="C259" s="1" t="s">
        <v>3600</v>
      </c>
      <c r="D259" s="1" t="s">
        <v>3601</v>
      </c>
      <c r="E259" s="1" t="s">
        <v>3893</v>
      </c>
      <c r="F259" s="1" t="s">
        <v>4290</v>
      </c>
      <c r="G259" s="1" t="s">
        <v>4354</v>
      </c>
      <c r="H259" s="1" t="s">
        <v>3604</v>
      </c>
      <c r="I259" s="1" t="s">
        <v>4355</v>
      </c>
      <c r="J259" s="1" t="s">
        <v>3606</v>
      </c>
      <c r="K259" s="1"/>
      <c r="L259" s="1"/>
      <c r="M259" s="1"/>
    </row>
    <row x14ac:dyDescent="0.25" r="260" customHeight="1" ht="18.75">
      <c r="A260" s="1" t="s">
        <v>3693</v>
      </c>
      <c r="B260" s="1" t="s">
        <v>4323</v>
      </c>
      <c r="C260" s="1" t="s">
        <v>3600</v>
      </c>
      <c r="D260" s="1" t="s">
        <v>3601</v>
      </c>
      <c r="E260" s="1"/>
      <c r="F260" s="1" t="s">
        <v>4290</v>
      </c>
      <c r="G260" s="1" t="s">
        <v>4356</v>
      </c>
      <c r="H260" s="1" t="s">
        <v>3604</v>
      </c>
      <c r="I260" s="1" t="s">
        <v>4357</v>
      </c>
      <c r="J260" s="1" t="s">
        <v>3606</v>
      </c>
      <c r="K260" s="1"/>
      <c r="L260" s="1"/>
      <c r="M260" s="1"/>
    </row>
    <row x14ac:dyDescent="0.25" r="261" customHeight="1" ht="18.75">
      <c r="A261" s="1" t="s">
        <v>3693</v>
      </c>
      <c r="B261" s="1" t="s">
        <v>4323</v>
      </c>
      <c r="C261" s="1" t="s">
        <v>3600</v>
      </c>
      <c r="D261" s="1" t="s">
        <v>3601</v>
      </c>
      <c r="E261" s="1"/>
      <c r="F261" s="1" t="s">
        <v>4290</v>
      </c>
      <c r="G261" s="1" t="s">
        <v>4358</v>
      </c>
      <c r="H261" s="1" t="s">
        <v>3604</v>
      </c>
      <c r="I261" s="1" t="s">
        <v>4359</v>
      </c>
      <c r="J261" s="1" t="s">
        <v>3606</v>
      </c>
      <c r="K261" s="1"/>
      <c r="L261" s="1"/>
      <c r="M261" s="1"/>
    </row>
    <row x14ac:dyDescent="0.25" r="262" customHeight="1" ht="18.75">
      <c r="A262" s="1" t="s">
        <v>3693</v>
      </c>
      <c r="B262" s="1" t="s">
        <v>4323</v>
      </c>
      <c r="C262" s="1" t="s">
        <v>3600</v>
      </c>
      <c r="D262" s="1" t="s">
        <v>3601</v>
      </c>
      <c r="E262" s="1"/>
      <c r="F262" s="1" t="s">
        <v>4290</v>
      </c>
      <c r="G262" s="1" t="s">
        <v>4360</v>
      </c>
      <c r="H262" s="1" t="s">
        <v>3604</v>
      </c>
      <c r="I262" s="1" t="s">
        <v>4361</v>
      </c>
      <c r="J262" s="1" t="s">
        <v>3606</v>
      </c>
      <c r="K262" s="1"/>
      <c r="L262" s="1"/>
      <c r="M262" s="1"/>
    </row>
    <row x14ac:dyDescent="0.25" r="263" customHeight="1" ht="18.75">
      <c r="A263" s="1" t="s">
        <v>3693</v>
      </c>
      <c r="B263" s="1" t="s">
        <v>4323</v>
      </c>
      <c r="C263" s="1" t="s">
        <v>3600</v>
      </c>
      <c r="D263" s="1" t="s">
        <v>3601</v>
      </c>
      <c r="E263" s="1"/>
      <c r="F263" s="1" t="s">
        <v>4290</v>
      </c>
      <c r="G263" s="1" t="s">
        <v>4362</v>
      </c>
      <c r="H263" s="1" t="s">
        <v>3604</v>
      </c>
      <c r="I263" s="1" t="s">
        <v>4363</v>
      </c>
      <c r="J263" s="1" t="s">
        <v>3606</v>
      </c>
      <c r="K263" s="1"/>
      <c r="L263" s="1"/>
      <c r="M263" s="1"/>
    </row>
    <row x14ac:dyDescent="0.25" r="264" customHeight="1" ht="18.75">
      <c r="A264" s="1" t="s">
        <v>3693</v>
      </c>
      <c r="B264" s="1" t="s">
        <v>4083</v>
      </c>
      <c r="C264" s="1" t="s">
        <v>3600</v>
      </c>
      <c r="D264" s="1" t="s">
        <v>3601</v>
      </c>
      <c r="E264" s="1" t="s">
        <v>3893</v>
      </c>
      <c r="F264" s="1" t="s">
        <v>4290</v>
      </c>
      <c r="G264" s="1" t="s">
        <v>4364</v>
      </c>
      <c r="H264" s="1" t="s">
        <v>3604</v>
      </c>
      <c r="I264" s="1" t="s">
        <v>4365</v>
      </c>
      <c r="J264" s="1" t="s">
        <v>3615</v>
      </c>
      <c r="K264" s="1"/>
      <c r="L264" s="1"/>
      <c r="M264" s="1"/>
    </row>
    <row x14ac:dyDescent="0.25" r="265" customHeight="1" ht="18.75">
      <c r="A265" s="1" t="s">
        <v>3617</v>
      </c>
      <c r="B265" s="1" t="s">
        <v>3892</v>
      </c>
      <c r="C265" s="1" t="s">
        <v>3619</v>
      </c>
      <c r="D265" s="1" t="s">
        <v>3601</v>
      </c>
      <c r="E265" s="1" t="s">
        <v>3893</v>
      </c>
      <c r="F265" s="1" t="s">
        <v>4366</v>
      </c>
      <c r="G265" s="1" t="s">
        <v>3895</v>
      </c>
      <c r="H265" s="1" t="s">
        <v>3604</v>
      </c>
      <c r="I265" s="1" t="s">
        <v>4367</v>
      </c>
      <c r="J265" s="1" t="s">
        <v>3606</v>
      </c>
      <c r="K265" s="1"/>
      <c r="L265" s="1"/>
      <c r="M265" s="1"/>
    </row>
    <row x14ac:dyDescent="0.25" r="266" customHeight="1" ht="18.75">
      <c r="A266" s="1" t="s">
        <v>3693</v>
      </c>
      <c r="B266" s="1" t="s">
        <v>4083</v>
      </c>
      <c r="C266" s="1" t="s">
        <v>3600</v>
      </c>
      <c r="D266" s="1" t="s">
        <v>3601</v>
      </c>
      <c r="E266" s="1" t="s">
        <v>3893</v>
      </c>
      <c r="F266" s="1" t="s">
        <v>4290</v>
      </c>
      <c r="G266" s="1" t="s">
        <v>4368</v>
      </c>
      <c r="H266" s="1" t="s">
        <v>3604</v>
      </c>
      <c r="I266" s="1" t="s">
        <v>4369</v>
      </c>
      <c r="J266" s="1" t="s">
        <v>3615</v>
      </c>
      <c r="K266" s="1"/>
      <c r="L266" s="1"/>
      <c r="M266" s="1"/>
    </row>
    <row x14ac:dyDescent="0.25" r="267" customHeight="1" ht="18.75">
      <c r="A267" s="1" t="s">
        <v>3693</v>
      </c>
      <c r="B267" s="1" t="s">
        <v>4083</v>
      </c>
      <c r="C267" s="1" t="s">
        <v>3600</v>
      </c>
      <c r="D267" s="1" t="s">
        <v>3601</v>
      </c>
      <c r="E267" s="1" t="s">
        <v>3893</v>
      </c>
      <c r="F267" s="1" t="s">
        <v>4290</v>
      </c>
      <c r="G267" s="1" t="s">
        <v>4370</v>
      </c>
      <c r="H267" s="1" t="s">
        <v>3604</v>
      </c>
      <c r="I267" s="1" t="s">
        <v>4371</v>
      </c>
      <c r="J267" s="1" t="s">
        <v>3615</v>
      </c>
      <c r="K267" s="1"/>
      <c r="L267" s="1"/>
      <c r="M267" s="1"/>
    </row>
    <row x14ac:dyDescent="0.25" r="268" customHeight="1" ht="18.75">
      <c r="A268" s="1" t="s">
        <v>3617</v>
      </c>
      <c r="B268" s="1" t="s">
        <v>3980</v>
      </c>
      <c r="C268" s="1" t="s">
        <v>3619</v>
      </c>
      <c r="D268" s="1" t="s">
        <v>3601</v>
      </c>
      <c r="E268" s="1" t="s">
        <v>3730</v>
      </c>
      <c r="F268" s="1" t="s">
        <v>4372</v>
      </c>
      <c r="G268" s="1" t="s">
        <v>4373</v>
      </c>
      <c r="H268" s="1" t="s">
        <v>3604</v>
      </c>
      <c r="I268" s="1" t="s">
        <v>4374</v>
      </c>
      <c r="J268" s="1" t="s">
        <v>3606</v>
      </c>
      <c r="K268" s="1"/>
      <c r="L268" s="1"/>
      <c r="M268" s="1"/>
    </row>
    <row x14ac:dyDescent="0.25" r="269" customHeight="1" ht="18.75">
      <c r="A269" s="1" t="s">
        <v>3617</v>
      </c>
      <c r="B269" s="1" t="s">
        <v>3980</v>
      </c>
      <c r="C269" s="1" t="s">
        <v>3619</v>
      </c>
      <c r="D269" s="1" t="s">
        <v>3601</v>
      </c>
      <c r="E269" s="1" t="s">
        <v>3730</v>
      </c>
      <c r="F269" s="1" t="s">
        <v>4375</v>
      </c>
      <c r="G269" s="1" t="s">
        <v>4373</v>
      </c>
      <c r="H269" s="1" t="s">
        <v>3604</v>
      </c>
      <c r="I269" s="1" t="s">
        <v>4376</v>
      </c>
      <c r="J269" s="1" t="s">
        <v>3606</v>
      </c>
      <c r="K269" s="1"/>
      <c r="L269" s="1"/>
      <c r="M269" s="1"/>
    </row>
    <row x14ac:dyDescent="0.25" r="270" customHeight="1" ht="18.75">
      <c r="A270" s="1" t="s">
        <v>3693</v>
      </c>
      <c r="B270" s="1" t="s">
        <v>4083</v>
      </c>
      <c r="C270" s="1" t="s">
        <v>3600</v>
      </c>
      <c r="D270" s="1" t="s">
        <v>3601</v>
      </c>
      <c r="E270" s="1" t="s">
        <v>3893</v>
      </c>
      <c r="F270" s="1" t="s">
        <v>4290</v>
      </c>
      <c r="G270" s="1" t="s">
        <v>4377</v>
      </c>
      <c r="H270" s="1" t="s">
        <v>3604</v>
      </c>
      <c r="I270" s="1" t="s">
        <v>4378</v>
      </c>
      <c r="J270" s="1" t="s">
        <v>3615</v>
      </c>
      <c r="K270" s="1"/>
      <c r="L270" s="1"/>
      <c r="M270" s="1"/>
    </row>
    <row x14ac:dyDescent="0.25" r="271" customHeight="1" ht="18.75">
      <c r="A271" s="1" t="s">
        <v>3617</v>
      </c>
      <c r="B271" s="1" t="s">
        <v>3980</v>
      </c>
      <c r="C271" s="1" t="s">
        <v>3619</v>
      </c>
      <c r="D271" s="1" t="s">
        <v>3601</v>
      </c>
      <c r="E271" s="1" t="s">
        <v>3730</v>
      </c>
      <c r="F271" s="1" t="s">
        <v>4379</v>
      </c>
      <c r="G271" s="1" t="s">
        <v>4373</v>
      </c>
      <c r="H271" s="1" t="s">
        <v>3604</v>
      </c>
      <c r="I271" s="1" t="s">
        <v>4380</v>
      </c>
      <c r="J271" s="1" t="s">
        <v>3606</v>
      </c>
      <c r="K271" s="1"/>
      <c r="L271" s="1"/>
      <c r="M271" s="1"/>
    </row>
    <row x14ac:dyDescent="0.25" r="272" customHeight="1" ht="18.75">
      <c r="A272" s="1" t="s">
        <v>3693</v>
      </c>
      <c r="B272" s="1" t="s">
        <v>4083</v>
      </c>
      <c r="C272" s="1" t="s">
        <v>3600</v>
      </c>
      <c r="D272" s="1" t="s">
        <v>3601</v>
      </c>
      <c r="E272" s="1" t="s">
        <v>3893</v>
      </c>
      <c r="F272" s="1" t="s">
        <v>4381</v>
      </c>
      <c r="G272" s="1" t="s">
        <v>4382</v>
      </c>
      <c r="H272" s="1" t="s">
        <v>3604</v>
      </c>
      <c r="I272" s="1" t="s">
        <v>4383</v>
      </c>
      <c r="J272" s="1" t="s">
        <v>3615</v>
      </c>
      <c r="K272" s="1"/>
      <c r="L272" s="1"/>
      <c r="M272" s="1"/>
    </row>
    <row x14ac:dyDescent="0.25" r="273" customHeight="1" ht="18.75">
      <c r="A273" s="1" t="s">
        <v>3693</v>
      </c>
      <c r="B273" s="1" t="s">
        <v>4247</v>
      </c>
      <c r="C273" s="1" t="s">
        <v>3600</v>
      </c>
      <c r="D273" s="1" t="s">
        <v>3601</v>
      </c>
      <c r="E273" s="1" t="s">
        <v>3893</v>
      </c>
      <c r="F273" s="1" t="s">
        <v>4381</v>
      </c>
      <c r="G273" s="1" t="s">
        <v>4384</v>
      </c>
      <c r="H273" s="1" t="s">
        <v>3604</v>
      </c>
      <c r="I273" s="1" t="s">
        <v>4385</v>
      </c>
      <c r="J273" s="1" t="s">
        <v>3615</v>
      </c>
      <c r="K273" s="1"/>
      <c r="L273" s="1"/>
      <c r="M273" s="1"/>
    </row>
    <row x14ac:dyDescent="0.25" r="274" customHeight="1" ht="18.75">
      <c r="A274" s="1" t="s">
        <v>3693</v>
      </c>
      <c r="B274" s="1" t="s">
        <v>4247</v>
      </c>
      <c r="C274" s="1" t="s">
        <v>3600</v>
      </c>
      <c r="D274" s="1" t="s">
        <v>3601</v>
      </c>
      <c r="E274" s="1" t="s">
        <v>3893</v>
      </c>
      <c r="F274" s="1" t="s">
        <v>4381</v>
      </c>
      <c r="G274" s="1" t="s">
        <v>4386</v>
      </c>
      <c r="H274" s="1" t="s">
        <v>3604</v>
      </c>
      <c r="I274" s="1" t="s">
        <v>4387</v>
      </c>
      <c r="J274" s="1" t="s">
        <v>3606</v>
      </c>
      <c r="K274" s="1"/>
      <c r="L274" s="1"/>
      <c r="M274" s="1"/>
    </row>
    <row x14ac:dyDescent="0.25" r="275" customHeight="1" ht="18.75">
      <c r="A275" s="1" t="s">
        <v>3693</v>
      </c>
      <c r="B275" s="1" t="s">
        <v>4091</v>
      </c>
      <c r="C275" s="1" t="s">
        <v>3600</v>
      </c>
      <c r="D275" s="1" t="s">
        <v>3601</v>
      </c>
      <c r="E275" s="1" t="s">
        <v>3893</v>
      </c>
      <c r="F275" s="1" t="s">
        <v>4388</v>
      </c>
      <c r="G275" s="1" t="s">
        <v>4389</v>
      </c>
      <c r="H275" s="1" t="s">
        <v>3604</v>
      </c>
      <c r="I275" s="1" t="s">
        <v>4390</v>
      </c>
      <c r="J275" s="1" t="s">
        <v>3615</v>
      </c>
      <c r="K275" s="1"/>
      <c r="L275" s="1"/>
      <c r="M275" s="1"/>
    </row>
    <row x14ac:dyDescent="0.25" r="276" customHeight="1" ht="18.75">
      <c r="A276" s="1" t="s">
        <v>3693</v>
      </c>
      <c r="B276" s="1" t="s">
        <v>4091</v>
      </c>
      <c r="C276" s="1" t="s">
        <v>3600</v>
      </c>
      <c r="D276" s="1" t="s">
        <v>3601</v>
      </c>
      <c r="E276" s="1" t="s">
        <v>3893</v>
      </c>
      <c r="F276" s="1" t="s">
        <v>4391</v>
      </c>
      <c r="G276" s="1" t="s">
        <v>4389</v>
      </c>
      <c r="H276" s="1" t="s">
        <v>3604</v>
      </c>
      <c r="I276" s="1" t="s">
        <v>4392</v>
      </c>
      <c r="J276" s="1" t="s">
        <v>3615</v>
      </c>
      <c r="K276" s="1"/>
      <c r="L276" s="1"/>
      <c r="M276" s="1"/>
    </row>
    <row x14ac:dyDescent="0.25" r="277" customHeight="1" ht="18.75">
      <c r="A277" s="1" t="s">
        <v>3693</v>
      </c>
      <c r="B277" s="1" t="s">
        <v>4091</v>
      </c>
      <c r="C277" s="1" t="s">
        <v>3600</v>
      </c>
      <c r="D277" s="1" t="s">
        <v>3601</v>
      </c>
      <c r="E277" s="1" t="s">
        <v>3893</v>
      </c>
      <c r="F277" s="1" t="s">
        <v>4393</v>
      </c>
      <c r="G277" s="1" t="s">
        <v>4389</v>
      </c>
      <c r="H277" s="1" t="s">
        <v>3604</v>
      </c>
      <c r="I277" s="1" t="s">
        <v>4394</v>
      </c>
      <c r="J277" s="1" t="s">
        <v>3615</v>
      </c>
      <c r="K277" s="1"/>
      <c r="L277" s="1"/>
      <c r="M277" s="1"/>
    </row>
    <row x14ac:dyDescent="0.25" r="278" customHeight="1" ht="18.75">
      <c r="A278" s="1" t="s">
        <v>3693</v>
      </c>
      <c r="B278" s="1" t="s">
        <v>4192</v>
      </c>
      <c r="C278" s="1" t="s">
        <v>3600</v>
      </c>
      <c r="D278" s="1" t="s">
        <v>3601</v>
      </c>
      <c r="E278" s="1" t="s">
        <v>3893</v>
      </c>
      <c r="F278" s="1" t="s">
        <v>4341</v>
      </c>
      <c r="G278" s="1" t="s">
        <v>4342</v>
      </c>
      <c r="H278" s="1" t="s">
        <v>3604</v>
      </c>
      <c r="I278" s="1" t="s">
        <v>4395</v>
      </c>
      <c r="J278" s="1" t="s">
        <v>3606</v>
      </c>
      <c r="K278" s="1"/>
      <c r="L278" s="1"/>
      <c r="M278" s="1"/>
    </row>
    <row x14ac:dyDescent="0.25" r="279" customHeight="1" ht="18.75">
      <c r="A279" s="1" t="s">
        <v>3693</v>
      </c>
      <c r="B279" s="1" t="s">
        <v>4192</v>
      </c>
      <c r="C279" s="1" t="s">
        <v>3600</v>
      </c>
      <c r="D279" s="1" t="s">
        <v>3601</v>
      </c>
      <c r="E279" s="1" t="s">
        <v>3893</v>
      </c>
      <c r="F279" s="1" t="s">
        <v>4290</v>
      </c>
      <c r="G279" s="1" t="s">
        <v>4396</v>
      </c>
      <c r="H279" s="1" t="s">
        <v>3604</v>
      </c>
      <c r="I279" s="1" t="s">
        <v>4397</v>
      </c>
      <c r="J279" s="1" t="s">
        <v>3606</v>
      </c>
      <c r="K279" s="1"/>
      <c r="L279" s="1"/>
      <c r="M279" s="1"/>
    </row>
    <row x14ac:dyDescent="0.25" r="280" customHeight="1" ht="18.75">
      <c r="A280" s="1" t="s">
        <v>3693</v>
      </c>
      <c r="B280" s="1" t="s">
        <v>4192</v>
      </c>
      <c r="C280" s="1" t="s">
        <v>3600</v>
      </c>
      <c r="D280" s="1" t="s">
        <v>3601</v>
      </c>
      <c r="E280" s="1" t="s">
        <v>3893</v>
      </c>
      <c r="F280" s="1" t="s">
        <v>4290</v>
      </c>
      <c r="G280" s="1" t="s">
        <v>4398</v>
      </c>
      <c r="H280" s="1" t="s">
        <v>3604</v>
      </c>
      <c r="I280" s="1" t="s">
        <v>4399</v>
      </c>
      <c r="J280" s="1" t="s">
        <v>3606</v>
      </c>
      <c r="K280" s="1"/>
      <c r="L280" s="1"/>
      <c r="M280" s="1"/>
    </row>
    <row x14ac:dyDescent="0.25" r="281" customHeight="1" ht="18.75">
      <c r="A281" s="1" t="s">
        <v>3693</v>
      </c>
      <c r="B281" s="1" t="s">
        <v>4192</v>
      </c>
      <c r="C281" s="1" t="s">
        <v>3600</v>
      </c>
      <c r="D281" s="1" t="s">
        <v>3601</v>
      </c>
      <c r="E281" s="1" t="s">
        <v>3893</v>
      </c>
      <c r="F281" s="1" t="s">
        <v>4290</v>
      </c>
      <c r="G281" s="1" t="s">
        <v>4400</v>
      </c>
      <c r="H281" s="1" t="s">
        <v>3604</v>
      </c>
      <c r="I281" s="1" t="s">
        <v>4401</v>
      </c>
      <c r="J281" s="1" t="s">
        <v>3606</v>
      </c>
      <c r="K281" s="1"/>
      <c r="L281" s="1"/>
      <c r="M281" s="1"/>
    </row>
    <row x14ac:dyDescent="0.25" r="282" customHeight="1" ht="18.75">
      <c r="A282" s="1" t="s">
        <v>3693</v>
      </c>
      <c r="B282" s="1" t="s">
        <v>4323</v>
      </c>
      <c r="C282" s="1" t="s">
        <v>3600</v>
      </c>
      <c r="D282" s="1" t="s">
        <v>3601</v>
      </c>
      <c r="E282" s="1"/>
      <c r="F282" s="1" t="s">
        <v>4341</v>
      </c>
      <c r="G282" s="1" t="s">
        <v>4344</v>
      </c>
      <c r="H282" s="1" t="s">
        <v>3604</v>
      </c>
      <c r="I282" s="1" t="s">
        <v>4402</v>
      </c>
      <c r="J282" s="1" t="s">
        <v>3606</v>
      </c>
      <c r="K282" s="1"/>
      <c r="L282" s="1"/>
      <c r="M282" s="1"/>
    </row>
    <row x14ac:dyDescent="0.25" r="283" customHeight="1" ht="18.75">
      <c r="A283" s="1" t="s">
        <v>3693</v>
      </c>
      <c r="B283" s="1" t="s">
        <v>4323</v>
      </c>
      <c r="C283" s="1" t="s">
        <v>3600</v>
      </c>
      <c r="D283" s="1" t="s">
        <v>3601</v>
      </c>
      <c r="E283" s="1"/>
      <c r="F283" s="1" t="s">
        <v>4290</v>
      </c>
      <c r="G283" s="1" t="s">
        <v>4403</v>
      </c>
      <c r="H283" s="1" t="s">
        <v>3604</v>
      </c>
      <c r="I283" s="1" t="s">
        <v>4404</v>
      </c>
      <c r="J283" s="1" t="s">
        <v>3606</v>
      </c>
      <c r="K283" s="1"/>
      <c r="L283" s="1"/>
      <c r="M283" s="1"/>
    </row>
    <row x14ac:dyDescent="0.25" r="284" customHeight="1" ht="18.75">
      <c r="A284" s="1" t="s">
        <v>3693</v>
      </c>
      <c r="B284" s="1" t="s">
        <v>4323</v>
      </c>
      <c r="C284" s="1" t="s">
        <v>3600</v>
      </c>
      <c r="D284" s="1" t="s">
        <v>3601</v>
      </c>
      <c r="E284" s="1"/>
      <c r="F284" s="1" t="s">
        <v>4290</v>
      </c>
      <c r="G284" s="1" t="s">
        <v>4405</v>
      </c>
      <c r="H284" s="1" t="s">
        <v>3604</v>
      </c>
      <c r="I284" s="1" t="s">
        <v>4406</v>
      </c>
      <c r="J284" s="1" t="s">
        <v>3606</v>
      </c>
      <c r="K284" s="1"/>
      <c r="L284" s="1"/>
      <c r="M284" s="1"/>
    </row>
    <row x14ac:dyDescent="0.25" r="285" customHeight="1" ht="18.75">
      <c r="A285" s="1" t="s">
        <v>3693</v>
      </c>
      <c r="B285" s="1" t="s">
        <v>4083</v>
      </c>
      <c r="C285" s="1" t="s">
        <v>3600</v>
      </c>
      <c r="D285" s="1" t="s">
        <v>3601</v>
      </c>
      <c r="E285" s="1" t="s">
        <v>3893</v>
      </c>
      <c r="F285" s="1" t="s">
        <v>4407</v>
      </c>
      <c r="G285" s="1" t="s">
        <v>4408</v>
      </c>
      <c r="H285" s="1" t="s">
        <v>3604</v>
      </c>
      <c r="I285" s="1" t="s">
        <v>4409</v>
      </c>
      <c r="J285" s="1" t="s">
        <v>3615</v>
      </c>
      <c r="K285" s="1"/>
      <c r="L285" s="1"/>
      <c r="M285" s="1"/>
    </row>
    <row x14ac:dyDescent="0.25" r="286" customHeight="1" ht="18.75">
      <c r="A286" s="1" t="s">
        <v>3693</v>
      </c>
      <c r="B286" s="1" t="s">
        <v>4083</v>
      </c>
      <c r="C286" s="1" t="s">
        <v>3600</v>
      </c>
      <c r="D286" s="1" t="s">
        <v>3601</v>
      </c>
      <c r="E286" s="1" t="s">
        <v>3893</v>
      </c>
      <c r="F286" s="1" t="s">
        <v>4407</v>
      </c>
      <c r="G286" s="1" t="s">
        <v>4410</v>
      </c>
      <c r="H286" s="1" t="s">
        <v>3604</v>
      </c>
      <c r="I286" s="1" t="s">
        <v>4411</v>
      </c>
      <c r="J286" s="1" t="s">
        <v>3615</v>
      </c>
      <c r="K286" s="1"/>
      <c r="L286" s="1"/>
      <c r="M286" s="1"/>
    </row>
    <row x14ac:dyDescent="0.25" r="287" customHeight="1" ht="18.75">
      <c r="A287" s="1" t="s">
        <v>3693</v>
      </c>
      <c r="B287" s="1" t="s">
        <v>4083</v>
      </c>
      <c r="C287" s="1" t="s">
        <v>3600</v>
      </c>
      <c r="D287" s="1" t="s">
        <v>3601</v>
      </c>
      <c r="E287" s="1" t="s">
        <v>3893</v>
      </c>
      <c r="F287" s="1" t="s">
        <v>4407</v>
      </c>
      <c r="G287" s="1" t="s">
        <v>4412</v>
      </c>
      <c r="H287" s="1" t="s">
        <v>3604</v>
      </c>
      <c r="I287" s="1" t="s">
        <v>4413</v>
      </c>
      <c r="J287" s="1" t="s">
        <v>3615</v>
      </c>
      <c r="K287" s="1"/>
      <c r="L287" s="1"/>
      <c r="M287" s="1"/>
    </row>
    <row x14ac:dyDescent="0.25" r="288" customHeight="1" ht="18.75">
      <c r="A288" s="1" t="s">
        <v>3693</v>
      </c>
      <c r="B288" s="1" t="s">
        <v>4225</v>
      </c>
      <c r="C288" s="1" t="s">
        <v>3619</v>
      </c>
      <c r="D288" s="1" t="s">
        <v>3601</v>
      </c>
      <c r="E288" s="1" t="s">
        <v>3664</v>
      </c>
      <c r="F288" s="1" t="s">
        <v>4414</v>
      </c>
      <c r="G288" s="1" t="s">
        <v>4415</v>
      </c>
      <c r="H288" s="1" t="s">
        <v>3604</v>
      </c>
      <c r="I288" s="1" t="s">
        <v>4416</v>
      </c>
      <c r="J288" s="1" t="s">
        <v>3606</v>
      </c>
      <c r="K288" s="1"/>
      <c r="L288" s="1"/>
      <c r="M288" s="1"/>
    </row>
    <row x14ac:dyDescent="0.25" r="289" customHeight="1" ht="18.75">
      <c r="A289" s="1" t="s">
        <v>3693</v>
      </c>
      <c r="B289" s="1" t="s">
        <v>4204</v>
      </c>
      <c r="C289" s="1" t="s">
        <v>3600</v>
      </c>
      <c r="D289" s="1" t="s">
        <v>3601</v>
      </c>
      <c r="E289" s="1" t="s">
        <v>3893</v>
      </c>
      <c r="F289" s="1" t="s">
        <v>4341</v>
      </c>
      <c r="G289" s="1" t="s">
        <v>4417</v>
      </c>
      <c r="H289" s="1" t="s">
        <v>3604</v>
      </c>
      <c r="I289" s="1" t="s">
        <v>4418</v>
      </c>
      <c r="J289" s="1" t="s">
        <v>3615</v>
      </c>
      <c r="K289" s="1"/>
      <c r="L289" s="1"/>
      <c r="M289" s="1"/>
    </row>
    <row x14ac:dyDescent="0.25" r="290" customHeight="1" ht="18.75">
      <c r="A290" s="1" t="s">
        <v>3693</v>
      </c>
      <c r="B290" s="1" t="s">
        <v>4158</v>
      </c>
      <c r="C290" s="1" t="s">
        <v>3600</v>
      </c>
      <c r="D290" s="1" t="s">
        <v>3601</v>
      </c>
      <c r="E290" s="1" t="s">
        <v>3893</v>
      </c>
      <c r="F290" s="1" t="s">
        <v>4341</v>
      </c>
      <c r="G290" s="1" t="s">
        <v>4419</v>
      </c>
      <c r="H290" s="1" t="s">
        <v>3604</v>
      </c>
      <c r="I290" s="1" t="s">
        <v>4420</v>
      </c>
      <c r="J290" s="1" t="s">
        <v>3615</v>
      </c>
      <c r="K290" s="1"/>
      <c r="L290" s="1"/>
      <c r="M290" s="1"/>
    </row>
    <row x14ac:dyDescent="0.25" r="291" customHeight="1" ht="18.75">
      <c r="A291" s="1" t="s">
        <v>3693</v>
      </c>
      <c r="B291" s="1" t="s">
        <v>4204</v>
      </c>
      <c r="C291" s="1" t="s">
        <v>3600</v>
      </c>
      <c r="D291" s="1" t="s">
        <v>3601</v>
      </c>
      <c r="E291" s="1" t="s">
        <v>3893</v>
      </c>
      <c r="F291" s="1" t="s">
        <v>4341</v>
      </c>
      <c r="G291" s="1" t="s">
        <v>4419</v>
      </c>
      <c r="H291" s="1" t="s">
        <v>3604</v>
      </c>
      <c r="I291" s="1" t="s">
        <v>4421</v>
      </c>
      <c r="J291" s="1" t="s">
        <v>3615</v>
      </c>
      <c r="K291" s="1"/>
      <c r="L291" s="1"/>
      <c r="M291" s="1"/>
    </row>
    <row x14ac:dyDescent="0.25" r="292" customHeight="1" ht="18.75">
      <c r="A292" s="1" t="s">
        <v>3693</v>
      </c>
      <c r="B292" s="1" t="s">
        <v>4083</v>
      </c>
      <c r="C292" s="1" t="s">
        <v>3600</v>
      </c>
      <c r="D292" s="1" t="s">
        <v>3601</v>
      </c>
      <c r="E292" s="1" t="s">
        <v>3893</v>
      </c>
      <c r="F292" s="1" t="s">
        <v>4341</v>
      </c>
      <c r="G292" s="1" t="s">
        <v>4422</v>
      </c>
      <c r="H292" s="1" t="s">
        <v>3604</v>
      </c>
      <c r="I292" s="1" t="s">
        <v>4423</v>
      </c>
      <c r="J292" s="1" t="s">
        <v>3615</v>
      </c>
      <c r="K292" s="1"/>
      <c r="L292" s="1"/>
      <c r="M292" s="1"/>
    </row>
    <row x14ac:dyDescent="0.25" r="293" customHeight="1" ht="18.75">
      <c r="A293" s="1" t="s">
        <v>3693</v>
      </c>
      <c r="B293" s="1" t="s">
        <v>4158</v>
      </c>
      <c r="C293" s="1" t="s">
        <v>3600</v>
      </c>
      <c r="D293" s="1" t="s">
        <v>3601</v>
      </c>
      <c r="E293" s="1" t="s">
        <v>3893</v>
      </c>
      <c r="F293" s="1" t="s">
        <v>4341</v>
      </c>
      <c r="G293" s="1" t="s">
        <v>4424</v>
      </c>
      <c r="H293" s="1" t="s">
        <v>3604</v>
      </c>
      <c r="I293" s="1" t="s">
        <v>4425</v>
      </c>
      <c r="J293" s="1" t="s">
        <v>3615</v>
      </c>
      <c r="K293" s="1"/>
      <c r="L293" s="1"/>
      <c r="M293" s="1"/>
    </row>
    <row x14ac:dyDescent="0.25" r="294" customHeight="1" ht="18.75">
      <c r="A294" s="1" t="s">
        <v>3693</v>
      </c>
      <c r="B294" s="1" t="s">
        <v>4083</v>
      </c>
      <c r="C294" s="1" t="s">
        <v>3600</v>
      </c>
      <c r="D294" s="1" t="s">
        <v>3601</v>
      </c>
      <c r="E294" s="1" t="s">
        <v>3893</v>
      </c>
      <c r="F294" s="1" t="s">
        <v>4341</v>
      </c>
      <c r="G294" s="1" t="s">
        <v>4424</v>
      </c>
      <c r="H294" s="1" t="s">
        <v>3604</v>
      </c>
      <c r="I294" s="1" t="s">
        <v>4426</v>
      </c>
      <c r="J294" s="1" t="s">
        <v>3615</v>
      </c>
      <c r="K294" s="1"/>
      <c r="L294" s="1"/>
      <c r="M294" s="1"/>
    </row>
    <row x14ac:dyDescent="0.25" r="295" customHeight="1" ht="18.75">
      <c r="A295" s="1" t="s">
        <v>3693</v>
      </c>
      <c r="B295" s="1" t="s">
        <v>4192</v>
      </c>
      <c r="C295" s="1" t="s">
        <v>3600</v>
      </c>
      <c r="D295" s="1" t="s">
        <v>3601</v>
      </c>
      <c r="E295" s="1" t="s">
        <v>3893</v>
      </c>
      <c r="F295" s="1" t="s">
        <v>4341</v>
      </c>
      <c r="G295" s="1" t="s">
        <v>4422</v>
      </c>
      <c r="H295" s="1" t="s">
        <v>3604</v>
      </c>
      <c r="I295" s="1" t="s">
        <v>4427</v>
      </c>
      <c r="J295" s="1" t="s">
        <v>3606</v>
      </c>
      <c r="K295" s="1"/>
      <c r="L295" s="1"/>
      <c r="M295" s="1"/>
    </row>
    <row x14ac:dyDescent="0.25" r="296" customHeight="1" ht="18.75">
      <c r="A296" s="1" t="s">
        <v>3693</v>
      </c>
      <c r="B296" s="1" t="s">
        <v>4083</v>
      </c>
      <c r="C296" s="1" t="s">
        <v>3600</v>
      </c>
      <c r="D296" s="1" t="s">
        <v>3601</v>
      </c>
      <c r="E296" s="1" t="s">
        <v>3893</v>
      </c>
      <c r="F296" s="1" t="s">
        <v>4341</v>
      </c>
      <c r="G296" s="1" t="s">
        <v>4428</v>
      </c>
      <c r="H296" s="1" t="s">
        <v>3604</v>
      </c>
      <c r="I296" s="1" t="s">
        <v>4429</v>
      </c>
      <c r="J296" s="1" t="s">
        <v>3615</v>
      </c>
      <c r="K296" s="1"/>
      <c r="L296" s="1"/>
      <c r="M296" s="1"/>
    </row>
    <row x14ac:dyDescent="0.25" r="297" customHeight="1" ht="18.75">
      <c r="A297" s="1" t="s">
        <v>3617</v>
      </c>
      <c r="B297" s="1" t="s">
        <v>3903</v>
      </c>
      <c r="C297" s="1" t="s">
        <v>3619</v>
      </c>
      <c r="D297" s="1" t="s">
        <v>3601</v>
      </c>
      <c r="E297" s="1"/>
      <c r="F297" s="1" t="s">
        <v>4430</v>
      </c>
      <c r="G297" s="1" t="s">
        <v>4313</v>
      </c>
      <c r="H297" s="1" t="s">
        <v>3604</v>
      </c>
      <c r="I297" s="1" t="s">
        <v>4431</v>
      </c>
      <c r="J297" s="1" t="s">
        <v>3606</v>
      </c>
      <c r="K297" s="1"/>
      <c r="L297" s="1"/>
      <c r="M297" s="1"/>
    </row>
    <row x14ac:dyDescent="0.25" r="298" customHeight="1" ht="18.75">
      <c r="A298" s="1" t="s">
        <v>3693</v>
      </c>
      <c r="B298" s="1" t="s">
        <v>4192</v>
      </c>
      <c r="C298" s="1" t="s">
        <v>3600</v>
      </c>
      <c r="D298" s="1" t="s">
        <v>3601</v>
      </c>
      <c r="E298" s="1" t="s">
        <v>3893</v>
      </c>
      <c r="F298" s="1" t="s">
        <v>4341</v>
      </c>
      <c r="G298" s="1" t="s">
        <v>4428</v>
      </c>
      <c r="H298" s="1" t="s">
        <v>3604</v>
      </c>
      <c r="I298" s="1" t="s">
        <v>4432</v>
      </c>
      <c r="J298" s="1" t="s">
        <v>3606</v>
      </c>
      <c r="K298" s="1"/>
      <c r="L298" s="1"/>
      <c r="M298" s="1"/>
    </row>
    <row x14ac:dyDescent="0.25" r="299" customHeight="1" ht="18.75">
      <c r="A299" s="1" t="s">
        <v>3693</v>
      </c>
      <c r="B299" s="1" t="s">
        <v>4192</v>
      </c>
      <c r="C299" s="1" t="s">
        <v>3600</v>
      </c>
      <c r="D299" s="1" t="s">
        <v>3601</v>
      </c>
      <c r="E299" s="1" t="s">
        <v>3893</v>
      </c>
      <c r="F299" s="1" t="s">
        <v>4341</v>
      </c>
      <c r="G299" s="1" t="s">
        <v>4349</v>
      </c>
      <c r="H299" s="1" t="s">
        <v>3604</v>
      </c>
      <c r="I299" s="1" t="s">
        <v>4433</v>
      </c>
      <c r="J299" s="1" t="s">
        <v>3615</v>
      </c>
      <c r="K299" s="1"/>
      <c r="L299" s="1"/>
      <c r="M299" s="1"/>
    </row>
    <row x14ac:dyDescent="0.25" r="300" customHeight="1" ht="18.75">
      <c r="A300" s="1" t="s">
        <v>3693</v>
      </c>
      <c r="B300" s="1" t="s">
        <v>4323</v>
      </c>
      <c r="C300" s="1" t="s">
        <v>3600</v>
      </c>
      <c r="D300" s="1" t="s">
        <v>3601</v>
      </c>
      <c r="E300" s="1"/>
      <c r="F300" s="1" t="s">
        <v>4341</v>
      </c>
      <c r="G300" s="1" t="s">
        <v>4434</v>
      </c>
      <c r="H300" s="1" t="s">
        <v>3604</v>
      </c>
      <c r="I300" s="1" t="s">
        <v>4435</v>
      </c>
      <c r="J300" s="1" t="s">
        <v>3606</v>
      </c>
      <c r="K300" s="1"/>
      <c r="L300" s="1"/>
      <c r="M300" s="1"/>
    </row>
    <row x14ac:dyDescent="0.25" r="301" customHeight="1" ht="18.75">
      <c r="A301" s="1" t="s">
        <v>3693</v>
      </c>
      <c r="B301" s="1" t="s">
        <v>4247</v>
      </c>
      <c r="C301" s="1" t="s">
        <v>3600</v>
      </c>
      <c r="D301" s="1" t="s">
        <v>3601</v>
      </c>
      <c r="E301" s="1" t="s">
        <v>3893</v>
      </c>
      <c r="F301" s="1" t="s">
        <v>4341</v>
      </c>
      <c r="G301" s="1" t="s">
        <v>4436</v>
      </c>
      <c r="H301" s="1" t="s">
        <v>3604</v>
      </c>
      <c r="I301" s="1" t="s">
        <v>4437</v>
      </c>
      <c r="J301" s="1" t="s">
        <v>3606</v>
      </c>
      <c r="K301" s="1"/>
      <c r="L301" s="1"/>
      <c r="M301" s="1"/>
    </row>
    <row x14ac:dyDescent="0.25" r="302" customHeight="1" ht="18.75">
      <c r="A302" s="1" t="s">
        <v>3693</v>
      </c>
      <c r="B302" s="1" t="s">
        <v>4091</v>
      </c>
      <c r="C302" s="1" t="s">
        <v>3600</v>
      </c>
      <c r="D302" s="1" t="s">
        <v>3601</v>
      </c>
      <c r="E302" s="1" t="s">
        <v>3893</v>
      </c>
      <c r="F302" s="1" t="s">
        <v>4341</v>
      </c>
      <c r="G302" s="1" t="s">
        <v>4438</v>
      </c>
      <c r="H302" s="1" t="s">
        <v>3604</v>
      </c>
      <c r="I302" s="1" t="s">
        <v>4439</v>
      </c>
      <c r="J302" s="1" t="s">
        <v>3606</v>
      </c>
      <c r="K302" s="1"/>
      <c r="L302" s="1"/>
      <c r="M302" s="1"/>
    </row>
    <row x14ac:dyDescent="0.25" r="303" customHeight="1" ht="18.75">
      <c r="A303" s="1" t="s">
        <v>3693</v>
      </c>
      <c r="B303" s="1" t="s">
        <v>4247</v>
      </c>
      <c r="C303" s="1" t="s">
        <v>3600</v>
      </c>
      <c r="D303" s="1" t="s">
        <v>3601</v>
      </c>
      <c r="E303" s="1" t="s">
        <v>3893</v>
      </c>
      <c r="F303" s="1" t="s">
        <v>4341</v>
      </c>
      <c r="G303" s="1" t="s">
        <v>4440</v>
      </c>
      <c r="H303" s="1" t="s">
        <v>3604</v>
      </c>
      <c r="I303" s="1" t="s">
        <v>4441</v>
      </c>
      <c r="J303" s="1" t="s">
        <v>3615</v>
      </c>
      <c r="K303" s="1"/>
      <c r="L303" s="1"/>
      <c r="M303" s="1"/>
    </row>
    <row x14ac:dyDescent="0.25" r="304" customHeight="1" ht="18.75">
      <c r="A304" s="1" t="s">
        <v>3693</v>
      </c>
      <c r="B304" s="1" t="s">
        <v>4204</v>
      </c>
      <c r="C304" s="1" t="s">
        <v>3600</v>
      </c>
      <c r="D304" s="1" t="s">
        <v>3601</v>
      </c>
      <c r="E304" s="1" t="s">
        <v>3893</v>
      </c>
      <c r="F304" s="1" t="s">
        <v>4442</v>
      </c>
      <c r="G304" s="1" t="s">
        <v>4443</v>
      </c>
      <c r="H304" s="1" t="s">
        <v>3604</v>
      </c>
      <c r="I304" s="1" t="s">
        <v>4444</v>
      </c>
      <c r="J304" s="1" t="s">
        <v>3615</v>
      </c>
      <c r="K304" s="1"/>
      <c r="L304" s="1"/>
      <c r="M304" s="1"/>
    </row>
    <row x14ac:dyDescent="0.25" r="305" customHeight="1" ht="18.75">
      <c r="A305" s="1" t="s">
        <v>3693</v>
      </c>
      <c r="B305" s="1" t="s">
        <v>4225</v>
      </c>
      <c r="C305" s="1" t="s">
        <v>3619</v>
      </c>
      <c r="D305" s="1" t="s">
        <v>3601</v>
      </c>
      <c r="E305" s="1" t="s">
        <v>3664</v>
      </c>
      <c r="F305" s="1" t="s">
        <v>4445</v>
      </c>
      <c r="G305" s="1" t="s">
        <v>4446</v>
      </c>
      <c r="H305" s="1" t="s">
        <v>3604</v>
      </c>
      <c r="I305" s="1" t="s">
        <v>4447</v>
      </c>
      <c r="J305" s="1" t="s">
        <v>3606</v>
      </c>
      <c r="K305" s="1"/>
      <c r="L305" s="1"/>
      <c r="M305" s="1"/>
    </row>
    <row x14ac:dyDescent="0.25" r="306" customHeight="1" ht="18.75">
      <c r="A306" s="1" t="s">
        <v>3693</v>
      </c>
      <c r="B306" s="1" t="s">
        <v>4091</v>
      </c>
      <c r="C306" s="1" t="s">
        <v>3600</v>
      </c>
      <c r="D306" s="1" t="s">
        <v>3601</v>
      </c>
      <c r="E306" s="1" t="s">
        <v>3893</v>
      </c>
      <c r="F306" s="1" t="s">
        <v>4448</v>
      </c>
      <c r="G306" s="1" t="s">
        <v>4449</v>
      </c>
      <c r="H306" s="1" t="s">
        <v>3604</v>
      </c>
      <c r="I306" s="1" t="s">
        <v>4450</v>
      </c>
      <c r="J306" s="1" t="s">
        <v>3606</v>
      </c>
      <c r="K306" s="1"/>
      <c r="L306" s="1"/>
      <c r="M306" s="1"/>
    </row>
    <row x14ac:dyDescent="0.25" r="307" customHeight="1" ht="18.75">
      <c r="A307" s="1" t="s">
        <v>3693</v>
      </c>
      <c r="B307" s="1" t="s">
        <v>4091</v>
      </c>
      <c r="C307" s="1" t="s">
        <v>3600</v>
      </c>
      <c r="D307" s="1" t="s">
        <v>3601</v>
      </c>
      <c r="E307" s="1" t="s">
        <v>3893</v>
      </c>
      <c r="F307" s="1" t="s">
        <v>4451</v>
      </c>
      <c r="G307" s="1" t="s">
        <v>4449</v>
      </c>
      <c r="H307" s="1" t="s">
        <v>3604</v>
      </c>
      <c r="I307" s="1" t="s">
        <v>4452</v>
      </c>
      <c r="J307" s="1" t="s">
        <v>3615</v>
      </c>
      <c r="K307" s="1"/>
      <c r="L307" s="1"/>
      <c r="M307" s="1"/>
    </row>
    <row x14ac:dyDescent="0.25" r="308" customHeight="1" ht="18.75">
      <c r="A308" s="1" t="s">
        <v>3693</v>
      </c>
      <c r="B308" s="1" t="s">
        <v>4247</v>
      </c>
      <c r="C308" s="1" t="s">
        <v>3600</v>
      </c>
      <c r="D308" s="1" t="s">
        <v>3601</v>
      </c>
      <c r="E308" s="1" t="s">
        <v>3893</v>
      </c>
      <c r="F308" s="1" t="s">
        <v>4453</v>
      </c>
      <c r="G308" s="1" t="s">
        <v>4386</v>
      </c>
      <c r="H308" s="1" t="s">
        <v>3604</v>
      </c>
      <c r="I308" s="1" t="s">
        <v>4454</v>
      </c>
      <c r="J308" s="1" t="s">
        <v>3615</v>
      </c>
      <c r="K308" s="1"/>
      <c r="L308" s="1"/>
      <c r="M308" s="1"/>
    </row>
    <row x14ac:dyDescent="0.25" r="309" customHeight="1" ht="18.75">
      <c r="A309" s="1" t="s">
        <v>3617</v>
      </c>
      <c r="B309" s="1" t="s">
        <v>4455</v>
      </c>
      <c r="C309" s="1" t="s">
        <v>3619</v>
      </c>
      <c r="D309" s="1" t="s">
        <v>3601</v>
      </c>
      <c r="E309" s="1" t="s">
        <v>3730</v>
      </c>
      <c r="F309" s="1" t="s">
        <v>4456</v>
      </c>
      <c r="G309" s="1" t="s">
        <v>4457</v>
      </c>
      <c r="H309" s="1" t="s">
        <v>3604</v>
      </c>
      <c r="I309" s="1" t="s">
        <v>4458</v>
      </c>
      <c r="J309" s="1" t="s">
        <v>3606</v>
      </c>
      <c r="K309" s="1"/>
      <c r="L309" s="1"/>
      <c r="M309" s="1"/>
    </row>
    <row x14ac:dyDescent="0.25" r="310" customHeight="1" ht="18.75">
      <c r="A310" s="1" t="s">
        <v>3617</v>
      </c>
      <c r="B310" s="1" t="s">
        <v>4455</v>
      </c>
      <c r="C310" s="1" t="s">
        <v>3619</v>
      </c>
      <c r="D310" s="1" t="s">
        <v>3601</v>
      </c>
      <c r="E310" s="1" t="s">
        <v>3730</v>
      </c>
      <c r="F310" s="1" t="s">
        <v>4459</v>
      </c>
      <c r="G310" s="1" t="s">
        <v>4457</v>
      </c>
      <c r="H310" s="1" t="s">
        <v>3604</v>
      </c>
      <c r="I310" s="1" t="s">
        <v>4460</v>
      </c>
      <c r="J310" s="1" t="s">
        <v>3606</v>
      </c>
      <c r="K310" s="1"/>
      <c r="L310" s="1"/>
      <c r="M310" s="1"/>
    </row>
    <row x14ac:dyDescent="0.25" r="311" customHeight="1" ht="18.75">
      <c r="A311" s="1" t="s">
        <v>3617</v>
      </c>
      <c r="B311" s="1" t="s">
        <v>4461</v>
      </c>
      <c r="C311" s="1" t="s">
        <v>3619</v>
      </c>
      <c r="D311" s="1" t="s">
        <v>3601</v>
      </c>
      <c r="E311" s="1" t="s">
        <v>3730</v>
      </c>
      <c r="F311" s="1" t="s">
        <v>4462</v>
      </c>
      <c r="G311" s="1" t="s">
        <v>4463</v>
      </c>
      <c r="H311" s="1" t="s">
        <v>3604</v>
      </c>
      <c r="I311" s="1" t="s">
        <v>4464</v>
      </c>
      <c r="J311" s="1" t="s">
        <v>3606</v>
      </c>
      <c r="K311" s="1"/>
      <c r="L311" s="1"/>
      <c r="M311" s="1"/>
    </row>
    <row x14ac:dyDescent="0.25" r="312" customHeight="1" ht="18.75">
      <c r="A312" s="1" t="s">
        <v>3617</v>
      </c>
      <c r="B312" s="1" t="s">
        <v>4461</v>
      </c>
      <c r="C312" s="1" t="s">
        <v>3619</v>
      </c>
      <c r="D312" s="1" t="s">
        <v>3601</v>
      </c>
      <c r="E312" s="1" t="s">
        <v>3730</v>
      </c>
      <c r="F312" s="1" t="s">
        <v>4462</v>
      </c>
      <c r="G312" s="1" t="s">
        <v>4463</v>
      </c>
      <c r="H312" s="1" t="s">
        <v>3604</v>
      </c>
      <c r="I312" s="1" t="s">
        <v>4465</v>
      </c>
      <c r="J312" s="1" t="s">
        <v>3606</v>
      </c>
      <c r="K312" s="1"/>
      <c r="L312" s="1"/>
      <c r="M312" s="1"/>
    </row>
    <row x14ac:dyDescent="0.25" r="313" customHeight="1" ht="18.75">
      <c r="A313" s="1" t="s">
        <v>3617</v>
      </c>
      <c r="B313" s="1" t="s">
        <v>4461</v>
      </c>
      <c r="C313" s="1" t="s">
        <v>3619</v>
      </c>
      <c r="D313" s="1" t="s">
        <v>3601</v>
      </c>
      <c r="E313" s="1" t="s">
        <v>3730</v>
      </c>
      <c r="F313" s="1" t="s">
        <v>4462</v>
      </c>
      <c r="G313" s="1" t="s">
        <v>4463</v>
      </c>
      <c r="H313" s="1" t="s">
        <v>3604</v>
      </c>
      <c r="I313" s="1" t="s">
        <v>4466</v>
      </c>
      <c r="J313" s="1" t="s">
        <v>3606</v>
      </c>
      <c r="K313" s="1"/>
      <c r="L313" s="1"/>
      <c r="M313" s="1"/>
    </row>
    <row x14ac:dyDescent="0.25" r="314" customHeight="1" ht="18.75">
      <c r="A314" s="1" t="s">
        <v>3693</v>
      </c>
      <c r="B314" s="1" t="s">
        <v>4323</v>
      </c>
      <c r="C314" s="1" t="s">
        <v>3600</v>
      </c>
      <c r="D314" s="1" t="s">
        <v>3601</v>
      </c>
      <c r="E314" s="1"/>
      <c r="F314" s="1" t="s">
        <v>4467</v>
      </c>
      <c r="G314" s="1" t="s">
        <v>4468</v>
      </c>
      <c r="H314" s="1" t="s">
        <v>3604</v>
      </c>
      <c r="I314" s="1" t="s">
        <v>4469</v>
      </c>
      <c r="J314" s="1" t="s">
        <v>3615</v>
      </c>
      <c r="K314" s="1"/>
      <c r="L314" s="1"/>
      <c r="M314" s="1"/>
    </row>
    <row x14ac:dyDescent="0.25" r="315" customHeight="1" ht="18.75">
      <c r="A315" s="1" t="s">
        <v>3693</v>
      </c>
      <c r="B315" s="1" t="s">
        <v>4323</v>
      </c>
      <c r="C315" s="1" t="s">
        <v>3600</v>
      </c>
      <c r="D315" s="1" t="s">
        <v>3601</v>
      </c>
      <c r="E315" s="1"/>
      <c r="F315" s="1" t="s">
        <v>4470</v>
      </c>
      <c r="G315" s="1" t="s">
        <v>4468</v>
      </c>
      <c r="H315" s="1" t="s">
        <v>3604</v>
      </c>
      <c r="I315" s="1" t="s">
        <v>4471</v>
      </c>
      <c r="J315" s="1" t="s">
        <v>3615</v>
      </c>
      <c r="K315" s="1"/>
      <c r="L315" s="1"/>
      <c r="M315" s="1"/>
    </row>
    <row x14ac:dyDescent="0.25" r="316" customHeight="1" ht="18.75">
      <c r="A316" s="1" t="s">
        <v>3693</v>
      </c>
      <c r="B316" s="1" t="s">
        <v>4323</v>
      </c>
      <c r="C316" s="1" t="s">
        <v>3600</v>
      </c>
      <c r="D316" s="1" t="s">
        <v>3601</v>
      </c>
      <c r="E316" s="1"/>
      <c r="F316" s="1" t="s">
        <v>4472</v>
      </c>
      <c r="G316" s="1" t="s">
        <v>4468</v>
      </c>
      <c r="H316" s="1" t="s">
        <v>3604</v>
      </c>
      <c r="I316" s="1" t="s">
        <v>4473</v>
      </c>
      <c r="J316" s="1" t="s">
        <v>3615</v>
      </c>
      <c r="K316" s="1"/>
      <c r="L316" s="1"/>
      <c r="M316" s="1"/>
    </row>
    <row x14ac:dyDescent="0.25" r="317" customHeight="1" ht="18.75">
      <c r="A317" s="1" t="s">
        <v>3693</v>
      </c>
      <c r="B317" s="1" t="s">
        <v>4152</v>
      </c>
      <c r="C317" s="1" t="s">
        <v>3600</v>
      </c>
      <c r="D317" s="1" t="s">
        <v>3601</v>
      </c>
      <c r="E317" s="1" t="s">
        <v>3664</v>
      </c>
      <c r="F317" s="1" t="s">
        <v>4474</v>
      </c>
      <c r="G317" s="1" t="s">
        <v>4475</v>
      </c>
      <c r="H317" s="1" t="s">
        <v>3604</v>
      </c>
      <c r="I317" s="1" t="s">
        <v>4476</v>
      </c>
      <c r="J317" s="1" t="s">
        <v>3606</v>
      </c>
      <c r="K317" s="1"/>
      <c r="L317" s="1"/>
      <c r="M317" s="1"/>
    </row>
    <row x14ac:dyDescent="0.25" r="318" customHeight="1" ht="18.75">
      <c r="A318" s="1" t="s">
        <v>3617</v>
      </c>
      <c r="B318" s="1" t="s">
        <v>4477</v>
      </c>
      <c r="C318" s="1" t="s">
        <v>3619</v>
      </c>
      <c r="D318" s="1" t="s">
        <v>3601</v>
      </c>
      <c r="E318" s="1" t="s">
        <v>4478</v>
      </c>
      <c r="F318" s="1" t="s">
        <v>4479</v>
      </c>
      <c r="G318" s="1" t="s">
        <v>4480</v>
      </c>
      <c r="H318" s="1" t="s">
        <v>3604</v>
      </c>
      <c r="I318" s="1" t="s">
        <v>4481</v>
      </c>
      <c r="J318" s="1" t="s">
        <v>3606</v>
      </c>
      <c r="K318" s="1"/>
      <c r="L318" s="1"/>
      <c r="M318" s="1"/>
    </row>
    <row x14ac:dyDescent="0.25" r="319" customHeight="1" ht="18.75">
      <c r="A319" s="1" t="s">
        <v>3693</v>
      </c>
      <c r="B319" s="1" t="s">
        <v>4083</v>
      </c>
      <c r="C319" s="1" t="s">
        <v>3600</v>
      </c>
      <c r="D319" s="1" t="s">
        <v>3601</v>
      </c>
      <c r="E319" s="1" t="s">
        <v>3664</v>
      </c>
      <c r="F319" s="1" t="s">
        <v>4482</v>
      </c>
      <c r="G319" s="1" t="s">
        <v>4483</v>
      </c>
      <c r="H319" s="1" t="s">
        <v>3604</v>
      </c>
      <c r="I319" s="1" t="s">
        <v>4484</v>
      </c>
      <c r="J319" s="1" t="s">
        <v>3615</v>
      </c>
      <c r="K319" s="1"/>
      <c r="L319" s="1"/>
      <c r="M319" s="1"/>
    </row>
    <row x14ac:dyDescent="0.25" r="320" customHeight="1" ht="18.75">
      <c r="A320" s="1" t="s">
        <v>3693</v>
      </c>
      <c r="B320" s="1" t="s">
        <v>4083</v>
      </c>
      <c r="C320" s="1" t="s">
        <v>3600</v>
      </c>
      <c r="D320" s="1" t="s">
        <v>3601</v>
      </c>
      <c r="E320" s="1" t="s">
        <v>3664</v>
      </c>
      <c r="F320" s="1" t="s">
        <v>4485</v>
      </c>
      <c r="G320" s="1" t="s">
        <v>4483</v>
      </c>
      <c r="H320" s="1" t="s">
        <v>3604</v>
      </c>
      <c r="I320" s="1" t="s">
        <v>4486</v>
      </c>
      <c r="J320" s="1" t="s">
        <v>3615</v>
      </c>
      <c r="K320" s="1"/>
      <c r="L320" s="1"/>
      <c r="M320" s="1"/>
    </row>
    <row x14ac:dyDescent="0.25" r="321" customHeight="1" ht="18.75">
      <c r="A321" s="1" t="s">
        <v>3617</v>
      </c>
      <c r="B321" s="1" t="s">
        <v>4487</v>
      </c>
      <c r="C321" s="1" t="s">
        <v>4488</v>
      </c>
      <c r="D321" s="1" t="s">
        <v>3601</v>
      </c>
      <c r="E321" s="1"/>
      <c r="F321" s="1" t="s">
        <v>4489</v>
      </c>
      <c r="G321" s="1" t="s">
        <v>4490</v>
      </c>
      <c r="H321" s="1" t="s">
        <v>3604</v>
      </c>
      <c r="I321" s="1" t="s">
        <v>4491</v>
      </c>
      <c r="J321" s="1" t="s">
        <v>3606</v>
      </c>
      <c r="K321" s="1"/>
      <c r="L321" s="1"/>
      <c r="M321" s="1"/>
    </row>
    <row x14ac:dyDescent="0.25" r="322" customHeight="1" ht="18.75">
      <c r="A322" s="1" t="s">
        <v>3617</v>
      </c>
      <c r="B322" s="1" t="s">
        <v>4487</v>
      </c>
      <c r="C322" s="1" t="s">
        <v>4488</v>
      </c>
      <c r="D322" s="1" t="s">
        <v>3601</v>
      </c>
      <c r="E322" s="1"/>
      <c r="F322" s="1" t="s">
        <v>4492</v>
      </c>
      <c r="G322" s="1" t="s">
        <v>4493</v>
      </c>
      <c r="H322" s="1" t="s">
        <v>3604</v>
      </c>
      <c r="I322" s="1" t="s">
        <v>4494</v>
      </c>
      <c r="J322" s="1" t="s">
        <v>3606</v>
      </c>
      <c r="K322" s="1"/>
      <c r="L322" s="1"/>
      <c r="M322" s="1"/>
    </row>
    <row x14ac:dyDescent="0.25" r="323" customHeight="1" ht="18.75">
      <c r="A323" s="1" t="s">
        <v>3693</v>
      </c>
      <c r="B323" s="1" t="s">
        <v>4083</v>
      </c>
      <c r="C323" s="1" t="s">
        <v>3600</v>
      </c>
      <c r="D323" s="1" t="s">
        <v>3601</v>
      </c>
      <c r="E323" s="1" t="s">
        <v>3664</v>
      </c>
      <c r="F323" s="1" t="s">
        <v>4495</v>
      </c>
      <c r="G323" s="1" t="s">
        <v>4483</v>
      </c>
      <c r="H323" s="1" t="s">
        <v>3604</v>
      </c>
      <c r="I323" s="1" t="s">
        <v>4496</v>
      </c>
      <c r="J323" s="1" t="s">
        <v>3615</v>
      </c>
      <c r="K323" s="1"/>
      <c r="L323" s="1"/>
      <c r="M323" s="1"/>
    </row>
    <row x14ac:dyDescent="0.25" r="324" customHeight="1" ht="18.75">
      <c r="A324" s="1" t="s">
        <v>3693</v>
      </c>
      <c r="B324" s="1" t="s">
        <v>4192</v>
      </c>
      <c r="C324" s="1" t="s">
        <v>3600</v>
      </c>
      <c r="D324" s="1" t="s">
        <v>3601</v>
      </c>
      <c r="E324" s="1" t="s">
        <v>3893</v>
      </c>
      <c r="F324" s="1" t="s">
        <v>4497</v>
      </c>
      <c r="G324" s="1" t="s">
        <v>4342</v>
      </c>
      <c r="H324" s="1" t="s">
        <v>3604</v>
      </c>
      <c r="I324" s="1" t="s">
        <v>4498</v>
      </c>
      <c r="J324" s="1" t="s">
        <v>3615</v>
      </c>
      <c r="K324" s="1"/>
      <c r="L324" s="1"/>
      <c r="M324" s="1"/>
    </row>
    <row x14ac:dyDescent="0.25" r="325" customHeight="1" ht="18.75">
      <c r="A325" s="1" t="s">
        <v>3693</v>
      </c>
      <c r="B325" s="1" t="s">
        <v>4192</v>
      </c>
      <c r="C325" s="1" t="s">
        <v>3600</v>
      </c>
      <c r="D325" s="1" t="s">
        <v>3601</v>
      </c>
      <c r="E325" s="1" t="s">
        <v>3893</v>
      </c>
      <c r="F325" s="1" t="s">
        <v>4499</v>
      </c>
      <c r="G325" s="1" t="s">
        <v>4342</v>
      </c>
      <c r="H325" s="1" t="s">
        <v>3604</v>
      </c>
      <c r="I325" s="1" t="s">
        <v>4500</v>
      </c>
      <c r="J325" s="1" t="s">
        <v>3615</v>
      </c>
      <c r="K325" s="1"/>
      <c r="L325" s="1"/>
      <c r="M325" s="1"/>
    </row>
    <row x14ac:dyDescent="0.25" r="326" customHeight="1" ht="18.75">
      <c r="A326" s="1" t="s">
        <v>3693</v>
      </c>
      <c r="B326" s="1" t="s">
        <v>4192</v>
      </c>
      <c r="C326" s="1" t="s">
        <v>3600</v>
      </c>
      <c r="D326" s="1" t="s">
        <v>3601</v>
      </c>
      <c r="E326" s="1" t="s">
        <v>3893</v>
      </c>
      <c r="F326" s="1" t="s">
        <v>4501</v>
      </c>
      <c r="G326" s="1" t="s">
        <v>4502</v>
      </c>
      <c r="H326" s="1" t="s">
        <v>3604</v>
      </c>
      <c r="I326" s="1" t="s">
        <v>4503</v>
      </c>
      <c r="J326" s="1" t="s">
        <v>3606</v>
      </c>
      <c r="K326" s="1"/>
      <c r="L326" s="1"/>
      <c r="M326" s="1"/>
    </row>
    <row x14ac:dyDescent="0.25" r="327" customHeight="1" ht="18.75">
      <c r="A327" s="1" t="s">
        <v>3693</v>
      </c>
      <c r="B327" s="1" t="s">
        <v>4192</v>
      </c>
      <c r="C327" s="1" t="s">
        <v>3600</v>
      </c>
      <c r="D327" s="1" t="s">
        <v>3601</v>
      </c>
      <c r="E327" s="1" t="s">
        <v>3893</v>
      </c>
      <c r="F327" s="1" t="s">
        <v>4504</v>
      </c>
      <c r="G327" s="1" t="s">
        <v>4342</v>
      </c>
      <c r="H327" s="1" t="s">
        <v>3604</v>
      </c>
      <c r="I327" s="1" t="s">
        <v>4505</v>
      </c>
      <c r="J327" s="1" t="s">
        <v>3615</v>
      </c>
      <c r="K327" s="1"/>
      <c r="L327" s="1"/>
      <c r="M327" s="1"/>
    </row>
    <row x14ac:dyDescent="0.25" r="328" customHeight="1" ht="18.75">
      <c r="A328" s="1" t="s">
        <v>3693</v>
      </c>
      <c r="B328" s="1" t="s">
        <v>4192</v>
      </c>
      <c r="C328" s="1" t="s">
        <v>3600</v>
      </c>
      <c r="D328" s="1" t="s">
        <v>3601</v>
      </c>
      <c r="E328" s="1" t="s">
        <v>3893</v>
      </c>
      <c r="F328" s="1" t="s">
        <v>4506</v>
      </c>
      <c r="G328" s="1" t="s">
        <v>4342</v>
      </c>
      <c r="H328" s="1" t="s">
        <v>3604</v>
      </c>
      <c r="I328" s="1" t="s">
        <v>4507</v>
      </c>
      <c r="J328" s="1" t="s">
        <v>3606</v>
      </c>
      <c r="K328" s="1"/>
      <c r="L328" s="1"/>
      <c r="M328" s="1"/>
    </row>
    <row x14ac:dyDescent="0.25" r="329" customHeight="1" ht="18.75">
      <c r="A329" s="1" t="s">
        <v>3693</v>
      </c>
      <c r="B329" s="1" t="s">
        <v>4192</v>
      </c>
      <c r="C329" s="1" t="s">
        <v>3600</v>
      </c>
      <c r="D329" s="1" t="s">
        <v>3601</v>
      </c>
      <c r="E329" s="1" t="s">
        <v>3893</v>
      </c>
      <c r="F329" s="1" t="s">
        <v>4508</v>
      </c>
      <c r="G329" s="1" t="s">
        <v>4342</v>
      </c>
      <c r="H329" s="1" t="s">
        <v>3604</v>
      </c>
      <c r="I329" s="1" t="s">
        <v>4509</v>
      </c>
      <c r="J329" s="1" t="s">
        <v>3615</v>
      </c>
      <c r="K329" s="1"/>
      <c r="L329" s="1"/>
      <c r="M329" s="1"/>
    </row>
    <row x14ac:dyDescent="0.25" r="330" customHeight="1" ht="18.75">
      <c r="A330" s="1" t="s">
        <v>3693</v>
      </c>
      <c r="B330" s="1" t="s">
        <v>4083</v>
      </c>
      <c r="C330" s="1" t="s">
        <v>3600</v>
      </c>
      <c r="D330" s="1" t="s">
        <v>3601</v>
      </c>
      <c r="E330" s="1" t="s">
        <v>3893</v>
      </c>
      <c r="F330" s="1" t="s">
        <v>4510</v>
      </c>
      <c r="G330" s="1" t="s">
        <v>4344</v>
      </c>
      <c r="H330" s="1" t="s">
        <v>3604</v>
      </c>
      <c r="I330" s="1" t="s">
        <v>4511</v>
      </c>
      <c r="J330" s="1" t="s">
        <v>3615</v>
      </c>
      <c r="K330" s="1"/>
      <c r="L330" s="1"/>
      <c r="M330" s="1"/>
    </row>
    <row x14ac:dyDescent="0.25" r="331" customHeight="1" ht="18.75">
      <c r="A331" s="1" t="s">
        <v>3693</v>
      </c>
      <c r="B331" s="1" t="s">
        <v>4083</v>
      </c>
      <c r="C331" s="1" t="s">
        <v>3600</v>
      </c>
      <c r="D331" s="1" t="s">
        <v>3601</v>
      </c>
      <c r="E331" s="1" t="s">
        <v>3893</v>
      </c>
      <c r="F331" s="1" t="s">
        <v>4512</v>
      </c>
      <c r="G331" s="1" t="s">
        <v>4344</v>
      </c>
      <c r="H331" s="1" t="s">
        <v>3604</v>
      </c>
      <c r="I331" s="1" t="s">
        <v>4513</v>
      </c>
      <c r="J331" s="1" t="s">
        <v>3606</v>
      </c>
      <c r="K331" s="1"/>
      <c r="L331" s="1"/>
      <c r="M331" s="1"/>
    </row>
    <row x14ac:dyDescent="0.25" r="332" customHeight="1" ht="18.75">
      <c r="A332" s="1" t="s">
        <v>3693</v>
      </c>
      <c r="B332" s="1" t="s">
        <v>4091</v>
      </c>
      <c r="C332" s="1" t="s">
        <v>3600</v>
      </c>
      <c r="D332" s="1" t="s">
        <v>3601</v>
      </c>
      <c r="E332" s="1" t="s">
        <v>3893</v>
      </c>
      <c r="F332" s="1" t="s">
        <v>4514</v>
      </c>
      <c r="G332" s="1" t="s">
        <v>4515</v>
      </c>
      <c r="H332" s="1" t="s">
        <v>3604</v>
      </c>
      <c r="I332" s="1" t="s">
        <v>4516</v>
      </c>
      <c r="J332" s="1" t="s">
        <v>3615</v>
      </c>
      <c r="K332" s="1"/>
      <c r="L332" s="1"/>
      <c r="M332" s="1"/>
    </row>
    <row x14ac:dyDescent="0.25" r="333" customHeight="1" ht="18.75">
      <c r="A333" s="1" t="s">
        <v>3693</v>
      </c>
      <c r="B333" s="1" t="s">
        <v>4323</v>
      </c>
      <c r="C333" s="1" t="s">
        <v>3600</v>
      </c>
      <c r="D333" s="1" t="s">
        <v>3601</v>
      </c>
      <c r="E333" s="1"/>
      <c r="F333" s="1" t="s">
        <v>4517</v>
      </c>
      <c r="G333" s="1" t="s">
        <v>4518</v>
      </c>
      <c r="H333" s="1" t="s">
        <v>3604</v>
      </c>
      <c r="I333" s="1" t="s">
        <v>4519</v>
      </c>
      <c r="J333" s="1" t="s">
        <v>3615</v>
      </c>
      <c r="K333" s="1"/>
      <c r="L333" s="1"/>
      <c r="M333" s="1"/>
    </row>
    <row x14ac:dyDescent="0.25" r="334" customHeight="1" ht="18.75">
      <c r="A334" s="1" t="s">
        <v>3693</v>
      </c>
      <c r="B334" s="1" t="s">
        <v>4323</v>
      </c>
      <c r="C334" s="1" t="s">
        <v>3600</v>
      </c>
      <c r="D334" s="1" t="s">
        <v>3601</v>
      </c>
      <c r="E334" s="1"/>
      <c r="F334" s="1" t="s">
        <v>4520</v>
      </c>
      <c r="G334" s="1" t="s">
        <v>4518</v>
      </c>
      <c r="H334" s="1" t="s">
        <v>3604</v>
      </c>
      <c r="I334" s="1" t="s">
        <v>4521</v>
      </c>
      <c r="J334" s="1" t="s">
        <v>3615</v>
      </c>
      <c r="K334" s="1"/>
      <c r="L334" s="1"/>
      <c r="M334" s="1"/>
    </row>
    <row x14ac:dyDescent="0.25" r="335" customHeight="1" ht="18.75">
      <c r="A335" s="1" t="s">
        <v>3693</v>
      </c>
      <c r="B335" s="1" t="s">
        <v>4323</v>
      </c>
      <c r="C335" s="1" t="s">
        <v>3600</v>
      </c>
      <c r="D335" s="1" t="s">
        <v>3601</v>
      </c>
      <c r="E335" s="1"/>
      <c r="F335" s="1" t="s">
        <v>4522</v>
      </c>
      <c r="G335" s="1" t="s">
        <v>4518</v>
      </c>
      <c r="H335" s="1" t="s">
        <v>3604</v>
      </c>
      <c r="I335" s="1" t="s">
        <v>4523</v>
      </c>
      <c r="J335" s="1" t="s">
        <v>3615</v>
      </c>
      <c r="K335" s="1"/>
      <c r="L335" s="1"/>
      <c r="M335" s="1"/>
    </row>
    <row x14ac:dyDescent="0.25" r="336" customHeight="1" ht="18.75">
      <c r="A336" s="1" t="s">
        <v>3693</v>
      </c>
      <c r="B336" s="1" t="s">
        <v>4323</v>
      </c>
      <c r="C336" s="1" t="s">
        <v>3600</v>
      </c>
      <c r="D336" s="1" t="s">
        <v>3601</v>
      </c>
      <c r="E336" s="1"/>
      <c r="F336" s="1" t="s">
        <v>4524</v>
      </c>
      <c r="G336" s="1" t="s">
        <v>4525</v>
      </c>
      <c r="H336" s="1" t="s">
        <v>3604</v>
      </c>
      <c r="I336" s="1" t="s">
        <v>4526</v>
      </c>
      <c r="J336" s="1" t="s">
        <v>3615</v>
      </c>
      <c r="K336" s="1"/>
      <c r="L336" s="1"/>
      <c r="M336" s="1"/>
    </row>
    <row x14ac:dyDescent="0.25" r="337" customHeight="1" ht="18.75">
      <c r="A337" s="1" t="s">
        <v>3693</v>
      </c>
      <c r="B337" s="1" t="s">
        <v>4323</v>
      </c>
      <c r="C337" s="1" t="s">
        <v>3600</v>
      </c>
      <c r="D337" s="1" t="s">
        <v>3601</v>
      </c>
      <c r="E337" s="1"/>
      <c r="F337" s="1" t="s">
        <v>4527</v>
      </c>
      <c r="G337" s="1" t="s">
        <v>4525</v>
      </c>
      <c r="H337" s="1" t="s">
        <v>3604</v>
      </c>
      <c r="I337" s="1" t="s">
        <v>4528</v>
      </c>
      <c r="J337" s="1" t="s">
        <v>3615</v>
      </c>
      <c r="K337" s="1"/>
      <c r="L337" s="1"/>
      <c r="M337" s="1"/>
    </row>
    <row x14ac:dyDescent="0.25" r="338" customHeight="1" ht="18.75">
      <c r="A338" s="1" t="s">
        <v>3693</v>
      </c>
      <c r="B338" s="1" t="s">
        <v>4323</v>
      </c>
      <c r="C338" s="1" t="s">
        <v>3600</v>
      </c>
      <c r="D338" s="1" t="s">
        <v>3601</v>
      </c>
      <c r="E338" s="1"/>
      <c r="F338" s="1" t="s">
        <v>4529</v>
      </c>
      <c r="G338" s="1" t="s">
        <v>4525</v>
      </c>
      <c r="H338" s="1" t="s">
        <v>3604</v>
      </c>
      <c r="I338" s="1" t="s">
        <v>4530</v>
      </c>
      <c r="J338" s="1" t="s">
        <v>3615</v>
      </c>
      <c r="K338" s="1"/>
      <c r="L338" s="1"/>
      <c r="M338" s="1"/>
    </row>
    <row x14ac:dyDescent="0.25" r="339" customHeight="1" ht="18.75">
      <c r="A339" s="1" t="s">
        <v>3693</v>
      </c>
      <c r="B339" s="1" t="s">
        <v>4091</v>
      </c>
      <c r="C339" s="1" t="s">
        <v>3600</v>
      </c>
      <c r="D339" s="1" t="s">
        <v>3601</v>
      </c>
      <c r="E339" s="1" t="s">
        <v>3893</v>
      </c>
      <c r="F339" s="1" t="s">
        <v>4531</v>
      </c>
      <c r="G339" s="1" t="s">
        <v>4099</v>
      </c>
      <c r="H339" s="1" t="s">
        <v>3604</v>
      </c>
      <c r="I339" s="1" t="s">
        <v>4532</v>
      </c>
      <c r="J339" s="1" t="s">
        <v>3615</v>
      </c>
      <c r="K339" s="1"/>
      <c r="L339" s="1"/>
      <c r="M339" s="1"/>
    </row>
    <row x14ac:dyDescent="0.25" r="340" customHeight="1" ht="18.75">
      <c r="A340" s="1" t="s">
        <v>3693</v>
      </c>
      <c r="B340" s="1" t="s">
        <v>4091</v>
      </c>
      <c r="C340" s="1" t="s">
        <v>3600</v>
      </c>
      <c r="D340" s="1" t="s">
        <v>3601</v>
      </c>
      <c r="E340" s="1" t="s">
        <v>3893</v>
      </c>
      <c r="F340" s="1" t="s">
        <v>4533</v>
      </c>
      <c r="G340" s="1" t="s">
        <v>4099</v>
      </c>
      <c r="H340" s="1" t="s">
        <v>3604</v>
      </c>
      <c r="I340" s="1" t="s">
        <v>4534</v>
      </c>
      <c r="J340" s="1" t="s">
        <v>3615</v>
      </c>
      <c r="K340" s="1"/>
      <c r="L340" s="1"/>
      <c r="M340" s="1"/>
    </row>
    <row x14ac:dyDescent="0.25" r="341" customHeight="1" ht="18.75">
      <c r="A341" s="1" t="s">
        <v>3693</v>
      </c>
      <c r="B341" s="1" t="s">
        <v>4323</v>
      </c>
      <c r="C341" s="1" t="s">
        <v>3600</v>
      </c>
      <c r="D341" s="1" t="s">
        <v>3601</v>
      </c>
      <c r="E341" s="1"/>
      <c r="F341" s="1" t="s">
        <v>4535</v>
      </c>
      <c r="G341" s="1" t="s">
        <v>4536</v>
      </c>
      <c r="H341" s="1" t="s">
        <v>3604</v>
      </c>
      <c r="I341" s="1" t="s">
        <v>4537</v>
      </c>
      <c r="J341" s="1" t="s">
        <v>3615</v>
      </c>
      <c r="K341" s="1"/>
      <c r="L341" s="1"/>
      <c r="M341" s="1"/>
    </row>
    <row x14ac:dyDescent="0.25" r="342" customHeight="1" ht="18.75">
      <c r="A342" s="1" t="s">
        <v>3693</v>
      </c>
      <c r="B342" s="1" t="s">
        <v>4323</v>
      </c>
      <c r="C342" s="1" t="s">
        <v>3600</v>
      </c>
      <c r="D342" s="1" t="s">
        <v>3601</v>
      </c>
      <c r="E342" s="1"/>
      <c r="F342" s="1" t="s">
        <v>4538</v>
      </c>
      <c r="G342" s="1" t="s">
        <v>4536</v>
      </c>
      <c r="H342" s="1" t="s">
        <v>3604</v>
      </c>
      <c r="I342" s="1" t="s">
        <v>4539</v>
      </c>
      <c r="J342" s="1" t="s">
        <v>3615</v>
      </c>
      <c r="K342" s="1"/>
      <c r="L342" s="1"/>
      <c r="M342" s="1"/>
    </row>
    <row x14ac:dyDescent="0.25" r="343" customHeight="1" ht="18.75">
      <c r="A343" s="1" t="s">
        <v>3693</v>
      </c>
      <c r="B343" s="1" t="s">
        <v>4323</v>
      </c>
      <c r="C343" s="1" t="s">
        <v>3600</v>
      </c>
      <c r="D343" s="1" t="s">
        <v>3601</v>
      </c>
      <c r="E343" s="1"/>
      <c r="F343" s="1" t="s">
        <v>4540</v>
      </c>
      <c r="G343" s="1" t="s">
        <v>4536</v>
      </c>
      <c r="H343" s="1" t="s">
        <v>3604</v>
      </c>
      <c r="I343" s="1" t="s">
        <v>4541</v>
      </c>
      <c r="J343" s="1" t="s">
        <v>3615</v>
      </c>
      <c r="K343" s="1"/>
      <c r="L343" s="1"/>
      <c r="M343" s="1"/>
    </row>
    <row x14ac:dyDescent="0.25" r="344" customHeight="1" ht="18.75">
      <c r="A344" s="1" t="s">
        <v>3693</v>
      </c>
      <c r="B344" s="1" t="s">
        <v>4323</v>
      </c>
      <c r="C344" s="1" t="s">
        <v>3600</v>
      </c>
      <c r="D344" s="1" t="s">
        <v>3601</v>
      </c>
      <c r="E344" s="1"/>
      <c r="F344" s="1" t="s">
        <v>4542</v>
      </c>
      <c r="G344" s="1" t="s">
        <v>4536</v>
      </c>
      <c r="H344" s="1" t="s">
        <v>3604</v>
      </c>
      <c r="I344" s="1" t="s">
        <v>4543</v>
      </c>
      <c r="J344" s="1" t="s">
        <v>3615</v>
      </c>
      <c r="K344" s="1"/>
      <c r="L344" s="1"/>
      <c r="M344" s="1"/>
    </row>
    <row x14ac:dyDescent="0.25" r="345" customHeight="1" ht="18.75">
      <c r="A345" s="1" t="s">
        <v>3693</v>
      </c>
      <c r="B345" s="1" t="s">
        <v>4323</v>
      </c>
      <c r="C345" s="1" t="s">
        <v>3600</v>
      </c>
      <c r="D345" s="1" t="s">
        <v>3601</v>
      </c>
      <c r="E345" s="1"/>
      <c r="F345" s="1" t="s">
        <v>4544</v>
      </c>
      <c r="G345" s="1" t="s">
        <v>4536</v>
      </c>
      <c r="H345" s="1" t="s">
        <v>3604</v>
      </c>
      <c r="I345" s="1" t="s">
        <v>4545</v>
      </c>
      <c r="J345" s="1" t="s">
        <v>3615</v>
      </c>
      <c r="K345" s="1"/>
      <c r="L345" s="1"/>
      <c r="M345" s="1"/>
    </row>
    <row x14ac:dyDescent="0.25" r="346" customHeight="1" ht="18.75">
      <c r="A346" s="1" t="s">
        <v>3598</v>
      </c>
      <c r="B346" s="1" t="s">
        <v>4546</v>
      </c>
      <c r="C346" s="1" t="s">
        <v>3600</v>
      </c>
      <c r="D346" s="1" t="s">
        <v>3601</v>
      </c>
      <c r="E346" s="1"/>
      <c r="F346" s="1" t="s">
        <v>4547</v>
      </c>
      <c r="G346" s="1" t="s">
        <v>4548</v>
      </c>
      <c r="H346" s="1" t="s">
        <v>3604</v>
      </c>
      <c r="I346" s="1" t="s">
        <v>4549</v>
      </c>
      <c r="J346" s="1" t="s">
        <v>3606</v>
      </c>
      <c r="K346" s="1"/>
      <c r="L346" s="1"/>
      <c r="M346" s="1"/>
    </row>
    <row x14ac:dyDescent="0.25" r="347" customHeight="1" ht="18.75">
      <c r="A347" s="1" t="s">
        <v>3693</v>
      </c>
      <c r="B347" s="1" t="s">
        <v>4091</v>
      </c>
      <c r="C347" s="1" t="s">
        <v>3600</v>
      </c>
      <c r="D347" s="1" t="s">
        <v>3601</v>
      </c>
      <c r="E347" s="1" t="s">
        <v>3893</v>
      </c>
      <c r="F347" s="1" t="s">
        <v>4381</v>
      </c>
      <c r="G347" s="1" t="s">
        <v>4389</v>
      </c>
      <c r="H347" s="1" t="s">
        <v>3604</v>
      </c>
      <c r="I347" s="1" t="s">
        <v>4550</v>
      </c>
      <c r="J347" s="1" t="s">
        <v>3606</v>
      </c>
      <c r="K347" s="1"/>
      <c r="L347" s="1"/>
      <c r="M347" s="1"/>
    </row>
    <row x14ac:dyDescent="0.25" r="348" customHeight="1" ht="18.75">
      <c r="A348" s="1" t="s">
        <v>3693</v>
      </c>
      <c r="B348" s="1" t="s">
        <v>4192</v>
      </c>
      <c r="C348" s="1" t="s">
        <v>3600</v>
      </c>
      <c r="D348" s="1" t="s">
        <v>3601</v>
      </c>
      <c r="E348" s="1" t="s">
        <v>3893</v>
      </c>
      <c r="F348" s="1" t="s">
        <v>4381</v>
      </c>
      <c r="G348" s="1" t="s">
        <v>4551</v>
      </c>
      <c r="H348" s="1" t="s">
        <v>3604</v>
      </c>
      <c r="I348" s="1" t="s">
        <v>4552</v>
      </c>
      <c r="J348" s="1" t="s">
        <v>3606</v>
      </c>
      <c r="K348" s="1"/>
      <c r="L348" s="1"/>
      <c r="M348" s="1"/>
    </row>
    <row x14ac:dyDescent="0.25" r="349" customHeight="1" ht="18.75">
      <c r="A349" s="1" t="s">
        <v>3693</v>
      </c>
      <c r="B349" s="1" t="s">
        <v>4083</v>
      </c>
      <c r="C349" s="1" t="s">
        <v>3600</v>
      </c>
      <c r="D349" s="1" t="s">
        <v>3601</v>
      </c>
      <c r="E349" s="1" t="s">
        <v>3893</v>
      </c>
      <c r="F349" s="1" t="s">
        <v>4381</v>
      </c>
      <c r="G349" s="1" t="s">
        <v>4553</v>
      </c>
      <c r="H349" s="1" t="s">
        <v>3604</v>
      </c>
      <c r="I349" s="1" t="s">
        <v>4554</v>
      </c>
      <c r="J349" s="1" t="s">
        <v>3615</v>
      </c>
      <c r="K349" s="1"/>
      <c r="L349" s="1"/>
      <c r="M349" s="1"/>
    </row>
    <row x14ac:dyDescent="0.25" r="350" customHeight="1" ht="18.75">
      <c r="A350" s="1" t="s">
        <v>3693</v>
      </c>
      <c r="B350" s="1" t="s">
        <v>4332</v>
      </c>
      <c r="C350" s="1" t="s">
        <v>3600</v>
      </c>
      <c r="D350" s="1" t="s">
        <v>3601</v>
      </c>
      <c r="E350" s="1" t="s">
        <v>3752</v>
      </c>
      <c r="F350" s="1" t="s">
        <v>4555</v>
      </c>
      <c r="G350" s="1" t="s">
        <v>4556</v>
      </c>
      <c r="H350" s="1" t="s">
        <v>3604</v>
      </c>
      <c r="I350" s="1" t="s">
        <v>4557</v>
      </c>
      <c r="J350" s="1" t="s">
        <v>3615</v>
      </c>
      <c r="K350" s="1"/>
      <c r="L350" s="1"/>
      <c r="M350" s="1"/>
    </row>
    <row x14ac:dyDescent="0.25" r="351" customHeight="1" ht="18.75">
      <c r="A351" s="1" t="s">
        <v>3617</v>
      </c>
      <c r="B351" s="1" t="s">
        <v>3898</v>
      </c>
      <c r="C351" s="1" t="s">
        <v>3619</v>
      </c>
      <c r="D351" s="1" t="s">
        <v>3601</v>
      </c>
      <c r="E351" s="1" t="s">
        <v>3893</v>
      </c>
      <c r="F351" s="1" t="s">
        <v>4366</v>
      </c>
      <c r="G351" s="1" t="s">
        <v>3900</v>
      </c>
      <c r="H351" s="1" t="s">
        <v>3604</v>
      </c>
      <c r="I351" s="1" t="s">
        <v>4558</v>
      </c>
      <c r="J351" s="1" t="s">
        <v>3606</v>
      </c>
      <c r="K351" s="1"/>
      <c r="L351" s="1"/>
      <c r="M351" s="1"/>
    </row>
    <row x14ac:dyDescent="0.25" r="352" customHeight="1" ht="18.75">
      <c r="A352" s="1" t="s">
        <v>3617</v>
      </c>
      <c r="B352" s="1" t="s">
        <v>3729</v>
      </c>
      <c r="C352" s="1" t="s">
        <v>3619</v>
      </c>
      <c r="D352" s="1" t="s">
        <v>3601</v>
      </c>
      <c r="E352" s="1"/>
      <c r="F352" s="1" t="s">
        <v>4287</v>
      </c>
      <c r="G352" s="1" t="s">
        <v>3840</v>
      </c>
      <c r="H352" s="1" t="s">
        <v>3604</v>
      </c>
      <c r="I352" s="1" t="s">
        <v>4559</v>
      </c>
      <c r="J352" s="1" t="s">
        <v>3606</v>
      </c>
      <c r="K352" s="1"/>
      <c r="L352" s="1"/>
      <c r="M352" s="1"/>
    </row>
    <row x14ac:dyDescent="0.25" r="353" customHeight="1" ht="18.75">
      <c r="A353" s="1" t="s">
        <v>3617</v>
      </c>
      <c r="B353" s="1" t="s">
        <v>3898</v>
      </c>
      <c r="C353" s="1" t="s">
        <v>3619</v>
      </c>
      <c r="D353" s="1" t="s">
        <v>3601</v>
      </c>
      <c r="E353" s="1" t="s">
        <v>3664</v>
      </c>
      <c r="F353" s="1" t="s">
        <v>4560</v>
      </c>
      <c r="G353" s="1" t="s">
        <v>3900</v>
      </c>
      <c r="H353" s="1" t="s">
        <v>3604</v>
      </c>
      <c r="I353" s="1" t="s">
        <v>4561</v>
      </c>
      <c r="J353" s="1" t="s">
        <v>3606</v>
      </c>
      <c r="K353" s="1"/>
      <c r="L353" s="1"/>
      <c r="M353" s="1"/>
    </row>
    <row x14ac:dyDescent="0.25" r="354" customHeight="1" ht="18.75">
      <c r="A354" s="1" t="s">
        <v>3693</v>
      </c>
      <c r="B354" s="1" t="s">
        <v>4323</v>
      </c>
      <c r="C354" s="1" t="s">
        <v>3600</v>
      </c>
      <c r="D354" s="1" t="s">
        <v>3601</v>
      </c>
      <c r="E354" s="1"/>
      <c r="F354" s="1" t="s">
        <v>4562</v>
      </c>
      <c r="G354" s="1" t="s">
        <v>4563</v>
      </c>
      <c r="H354" s="1" t="s">
        <v>3604</v>
      </c>
      <c r="I354" s="1" t="s">
        <v>4564</v>
      </c>
      <c r="J354" s="1" t="s">
        <v>3606</v>
      </c>
      <c r="K354" s="1"/>
      <c r="L354" s="1"/>
      <c r="M354" s="1"/>
    </row>
    <row x14ac:dyDescent="0.25" r="355" customHeight="1" ht="18.75">
      <c r="A355" s="1" t="s">
        <v>3693</v>
      </c>
      <c r="B355" s="1" t="s">
        <v>4323</v>
      </c>
      <c r="C355" s="1" t="s">
        <v>3600</v>
      </c>
      <c r="D355" s="1" t="s">
        <v>3601</v>
      </c>
      <c r="E355" s="1"/>
      <c r="F355" s="1" t="s">
        <v>4565</v>
      </c>
      <c r="G355" s="1" t="s">
        <v>4563</v>
      </c>
      <c r="H355" s="1" t="s">
        <v>3604</v>
      </c>
      <c r="I355" s="1" t="s">
        <v>4566</v>
      </c>
      <c r="J355" s="1" t="s">
        <v>3606</v>
      </c>
      <c r="K355" s="1"/>
      <c r="L355" s="1"/>
      <c r="M355" s="1"/>
    </row>
    <row x14ac:dyDescent="0.25" r="356" customHeight="1" ht="18.75">
      <c r="A356" s="1" t="s">
        <v>3693</v>
      </c>
      <c r="B356" s="1" t="s">
        <v>4323</v>
      </c>
      <c r="C356" s="1" t="s">
        <v>3600</v>
      </c>
      <c r="D356" s="1" t="s">
        <v>3601</v>
      </c>
      <c r="E356" s="1"/>
      <c r="F356" s="1" t="s">
        <v>4567</v>
      </c>
      <c r="G356" s="1" t="s">
        <v>4563</v>
      </c>
      <c r="H356" s="1" t="s">
        <v>3604</v>
      </c>
      <c r="I356" s="1" t="s">
        <v>4568</v>
      </c>
      <c r="J356" s="1" t="s">
        <v>3606</v>
      </c>
      <c r="K356" s="1"/>
      <c r="L356" s="1"/>
      <c r="M356" s="1"/>
    </row>
    <row x14ac:dyDescent="0.25" r="357" customHeight="1" ht="18.75">
      <c r="A357" s="1" t="s">
        <v>3617</v>
      </c>
      <c r="B357" s="1" t="s">
        <v>4477</v>
      </c>
      <c r="C357" s="1" t="s">
        <v>3619</v>
      </c>
      <c r="D357" s="1" t="s">
        <v>3601</v>
      </c>
      <c r="E357" s="1" t="s">
        <v>4478</v>
      </c>
      <c r="F357" s="1" t="s">
        <v>4569</v>
      </c>
      <c r="G357" s="1" t="s">
        <v>4570</v>
      </c>
      <c r="H357" s="1" t="s">
        <v>3604</v>
      </c>
      <c r="I357" s="1" t="s">
        <v>4571</v>
      </c>
      <c r="J357" s="1" t="s">
        <v>3606</v>
      </c>
      <c r="K357" s="1"/>
      <c r="L357" s="1"/>
      <c r="M357" s="1"/>
    </row>
    <row x14ac:dyDescent="0.25" r="358" customHeight="1" ht="18.75">
      <c r="A358" s="1" t="s">
        <v>3617</v>
      </c>
      <c r="B358" s="1" t="s">
        <v>4477</v>
      </c>
      <c r="C358" s="1" t="s">
        <v>3619</v>
      </c>
      <c r="D358" s="1" t="s">
        <v>3601</v>
      </c>
      <c r="E358" s="1" t="s">
        <v>4478</v>
      </c>
      <c r="F358" s="1" t="s">
        <v>4572</v>
      </c>
      <c r="G358" s="1" t="s">
        <v>4573</v>
      </c>
      <c r="H358" s="1" t="s">
        <v>3604</v>
      </c>
      <c r="I358" s="1" t="s">
        <v>4574</v>
      </c>
      <c r="J358" s="1" t="s">
        <v>3606</v>
      </c>
      <c r="K358" s="1"/>
      <c r="L358" s="1"/>
      <c r="M358" s="1"/>
    </row>
    <row x14ac:dyDescent="0.25" r="359" customHeight="1" ht="18.75">
      <c r="A359" s="1" t="s">
        <v>3617</v>
      </c>
      <c r="B359" s="1" t="s">
        <v>4575</v>
      </c>
      <c r="C359" s="1" t="s">
        <v>3619</v>
      </c>
      <c r="D359" s="1" t="s">
        <v>3601</v>
      </c>
      <c r="E359" s="1"/>
      <c r="F359" s="1" t="s">
        <v>4576</v>
      </c>
      <c r="G359" s="1" t="s">
        <v>4577</v>
      </c>
      <c r="H359" s="1" t="s">
        <v>3604</v>
      </c>
      <c r="I359" s="1" t="s">
        <v>4578</v>
      </c>
      <c r="J359" s="1" t="s">
        <v>3606</v>
      </c>
      <c r="K359" s="1"/>
      <c r="L359" s="1"/>
      <c r="M359" s="1"/>
    </row>
    <row x14ac:dyDescent="0.25" r="360" customHeight="1" ht="18.75">
      <c r="A360" s="1" t="s">
        <v>3617</v>
      </c>
      <c r="B360" s="1" t="s">
        <v>4575</v>
      </c>
      <c r="C360" s="1" t="s">
        <v>3619</v>
      </c>
      <c r="D360" s="1" t="s">
        <v>3601</v>
      </c>
      <c r="E360" s="1"/>
      <c r="F360" s="1" t="s">
        <v>4579</v>
      </c>
      <c r="G360" s="1" t="s">
        <v>4580</v>
      </c>
      <c r="H360" s="1" t="s">
        <v>3604</v>
      </c>
      <c r="I360" s="1" t="s">
        <v>4581</v>
      </c>
      <c r="J360" s="1" t="s">
        <v>3606</v>
      </c>
      <c r="K360" s="1"/>
      <c r="L360" s="1"/>
      <c r="M360" s="1"/>
    </row>
    <row x14ac:dyDescent="0.25" r="361" customHeight="1" ht="18.75">
      <c r="A361" s="1" t="s">
        <v>3617</v>
      </c>
      <c r="B361" s="1" t="s">
        <v>4582</v>
      </c>
      <c r="C361" s="1" t="s">
        <v>4488</v>
      </c>
      <c r="D361" s="1" t="s">
        <v>3601</v>
      </c>
      <c r="E361" s="1" t="s">
        <v>4478</v>
      </c>
      <c r="F361" s="1" t="s">
        <v>4583</v>
      </c>
      <c r="G361" s="1" t="s">
        <v>4584</v>
      </c>
      <c r="H361" s="1" t="s">
        <v>3604</v>
      </c>
      <c r="I361" s="1" t="s">
        <v>4585</v>
      </c>
      <c r="J361" s="1" t="s">
        <v>3606</v>
      </c>
      <c r="K361" s="1"/>
      <c r="L361" s="1"/>
      <c r="M361" s="1"/>
    </row>
    <row x14ac:dyDescent="0.25" r="362" customHeight="1" ht="18.75">
      <c r="A362" s="1" t="s">
        <v>3617</v>
      </c>
      <c r="B362" s="1" t="s">
        <v>4582</v>
      </c>
      <c r="C362" s="1" t="s">
        <v>4488</v>
      </c>
      <c r="D362" s="1" t="s">
        <v>3601</v>
      </c>
      <c r="E362" s="1" t="s">
        <v>4478</v>
      </c>
      <c r="F362" s="1" t="s">
        <v>4586</v>
      </c>
      <c r="G362" s="1" t="s">
        <v>4587</v>
      </c>
      <c r="H362" s="1" t="s">
        <v>3604</v>
      </c>
      <c r="I362" s="1" t="s">
        <v>4588</v>
      </c>
      <c r="J362" s="1" t="s">
        <v>3606</v>
      </c>
      <c r="K362" s="1"/>
      <c r="L362" s="1"/>
      <c r="M362" s="1"/>
    </row>
    <row x14ac:dyDescent="0.25" r="363" customHeight="1" ht="18.75">
      <c r="A363" s="1" t="s">
        <v>3617</v>
      </c>
      <c r="B363" s="1" t="s">
        <v>4589</v>
      </c>
      <c r="C363" s="1" t="s">
        <v>3619</v>
      </c>
      <c r="D363" s="1" t="s">
        <v>3601</v>
      </c>
      <c r="E363" s="1" t="s">
        <v>4590</v>
      </c>
      <c r="F363" s="1" t="s">
        <v>4591</v>
      </c>
      <c r="G363" s="1" t="s">
        <v>4592</v>
      </c>
      <c r="H363" s="1" t="s">
        <v>3604</v>
      </c>
      <c r="I363" s="1" t="s">
        <v>4593</v>
      </c>
      <c r="J363" s="1" t="s">
        <v>3606</v>
      </c>
      <c r="K363" s="1"/>
      <c r="L363" s="1"/>
      <c r="M363" s="1"/>
    </row>
    <row x14ac:dyDescent="0.25" r="364" customHeight="1" ht="18.75">
      <c r="A364" s="1" t="s">
        <v>3617</v>
      </c>
      <c r="B364" s="1" t="s">
        <v>4589</v>
      </c>
      <c r="C364" s="1" t="s">
        <v>3619</v>
      </c>
      <c r="D364" s="1" t="s">
        <v>3601</v>
      </c>
      <c r="E364" s="1" t="s">
        <v>4590</v>
      </c>
      <c r="F364" s="1" t="s">
        <v>4591</v>
      </c>
      <c r="G364" s="1" t="s">
        <v>4594</v>
      </c>
      <c r="H364" s="1" t="s">
        <v>3604</v>
      </c>
      <c r="I364" s="1" t="s">
        <v>4595</v>
      </c>
      <c r="J364" s="1" t="s">
        <v>3606</v>
      </c>
      <c r="K364" s="1"/>
      <c r="L364" s="1"/>
      <c r="M364" s="1"/>
    </row>
    <row x14ac:dyDescent="0.25" r="365" customHeight="1" ht="18.75">
      <c r="A365" s="1" t="s">
        <v>3617</v>
      </c>
      <c r="B365" s="1" t="s">
        <v>4596</v>
      </c>
      <c r="C365" s="1" t="s">
        <v>3619</v>
      </c>
      <c r="D365" s="1" t="s">
        <v>3601</v>
      </c>
      <c r="E365" s="1"/>
      <c r="F365" s="1" t="s">
        <v>4597</v>
      </c>
      <c r="G365" s="1" t="s">
        <v>4598</v>
      </c>
      <c r="H365" s="1" t="s">
        <v>3604</v>
      </c>
      <c r="I365" s="1" t="s">
        <v>4599</v>
      </c>
      <c r="J365" s="1" t="s">
        <v>3615</v>
      </c>
      <c r="K365" s="1"/>
      <c r="L365" s="1"/>
      <c r="M365" s="1"/>
    </row>
    <row x14ac:dyDescent="0.25" r="366" customHeight="1" ht="18.75">
      <c r="A366" s="1" t="s">
        <v>3598</v>
      </c>
      <c r="B366" s="1" t="s">
        <v>4600</v>
      </c>
      <c r="C366" s="1" t="s">
        <v>3600</v>
      </c>
      <c r="D366" s="1" t="s">
        <v>3601</v>
      </c>
      <c r="E366" s="1" t="s">
        <v>3664</v>
      </c>
      <c r="F366" s="1" t="s">
        <v>4601</v>
      </c>
      <c r="G366" s="1" t="s">
        <v>4602</v>
      </c>
      <c r="H366" s="1" t="s">
        <v>3604</v>
      </c>
      <c r="I366" s="1" t="s">
        <v>4603</v>
      </c>
      <c r="J366" s="1" t="s">
        <v>3606</v>
      </c>
      <c r="K366" s="1"/>
      <c r="L366" s="1"/>
      <c r="M366" s="1"/>
    </row>
    <row x14ac:dyDescent="0.25" r="367" customHeight="1" ht="18.75">
      <c r="A367" s="1" t="s">
        <v>3598</v>
      </c>
      <c r="B367" s="1" t="s">
        <v>4600</v>
      </c>
      <c r="C367" s="1" t="s">
        <v>3600</v>
      </c>
      <c r="D367" s="1" t="s">
        <v>3601</v>
      </c>
      <c r="E367" s="1" t="s">
        <v>3664</v>
      </c>
      <c r="F367" s="1" t="s">
        <v>4604</v>
      </c>
      <c r="G367" s="1" t="s">
        <v>4602</v>
      </c>
      <c r="H367" s="1" t="s">
        <v>3604</v>
      </c>
      <c r="I367" s="1" t="s">
        <v>4605</v>
      </c>
      <c r="J367" s="1" t="s">
        <v>3606</v>
      </c>
      <c r="K367" s="1"/>
      <c r="L367" s="1"/>
      <c r="M367" s="1"/>
    </row>
    <row x14ac:dyDescent="0.25" r="368" customHeight="1" ht="18.75">
      <c r="A368" s="1" t="s">
        <v>3598</v>
      </c>
      <c r="B368" s="1" t="s">
        <v>4600</v>
      </c>
      <c r="C368" s="1" t="s">
        <v>3600</v>
      </c>
      <c r="D368" s="1" t="s">
        <v>3601</v>
      </c>
      <c r="E368" s="1" t="s">
        <v>3664</v>
      </c>
      <c r="F368" s="1" t="s">
        <v>4606</v>
      </c>
      <c r="G368" s="1" t="s">
        <v>4602</v>
      </c>
      <c r="H368" s="1" t="s">
        <v>3604</v>
      </c>
      <c r="I368" s="1" t="s">
        <v>4607</v>
      </c>
      <c r="J368" s="1" t="s">
        <v>3606</v>
      </c>
      <c r="K368" s="1"/>
      <c r="L368" s="1"/>
      <c r="M368" s="1"/>
    </row>
    <row x14ac:dyDescent="0.25" r="369" customHeight="1" ht="18.75">
      <c r="A369" s="1" t="s">
        <v>3598</v>
      </c>
      <c r="B369" s="1" t="s">
        <v>4600</v>
      </c>
      <c r="C369" s="1" t="s">
        <v>3600</v>
      </c>
      <c r="D369" s="1" t="s">
        <v>3601</v>
      </c>
      <c r="E369" s="1" t="s">
        <v>3664</v>
      </c>
      <c r="F369" s="1" t="s">
        <v>4608</v>
      </c>
      <c r="G369" s="1" t="s">
        <v>4602</v>
      </c>
      <c r="H369" s="1" t="s">
        <v>3604</v>
      </c>
      <c r="I369" s="1" t="s">
        <v>4609</v>
      </c>
      <c r="J369" s="1" t="s">
        <v>3606</v>
      </c>
      <c r="K369" s="1"/>
      <c r="L369" s="1"/>
      <c r="M369" s="1"/>
    </row>
    <row x14ac:dyDescent="0.25" r="370" customHeight="1" ht="18.75">
      <c r="A370" s="1" t="s">
        <v>3598</v>
      </c>
      <c r="B370" s="1" t="s">
        <v>4600</v>
      </c>
      <c r="C370" s="1" t="s">
        <v>3600</v>
      </c>
      <c r="D370" s="1" t="s">
        <v>3601</v>
      </c>
      <c r="E370" s="1" t="s">
        <v>3664</v>
      </c>
      <c r="F370" s="1" t="s">
        <v>4610</v>
      </c>
      <c r="G370" s="1" t="s">
        <v>4602</v>
      </c>
      <c r="H370" s="1" t="s">
        <v>3604</v>
      </c>
      <c r="I370" s="1" t="s">
        <v>4611</v>
      </c>
      <c r="J370" s="1" t="s">
        <v>3606</v>
      </c>
      <c r="K370" s="1"/>
      <c r="L370" s="1"/>
      <c r="M370" s="1"/>
    </row>
    <row x14ac:dyDescent="0.25" r="371" customHeight="1" ht="18.75">
      <c r="A371" s="1" t="s">
        <v>3693</v>
      </c>
      <c r="B371" s="1" t="s">
        <v>4192</v>
      </c>
      <c r="C371" s="1" t="s">
        <v>3600</v>
      </c>
      <c r="D371" s="1" t="s">
        <v>3601</v>
      </c>
      <c r="E371" s="1" t="s">
        <v>3893</v>
      </c>
      <c r="F371" s="1" t="s">
        <v>4612</v>
      </c>
      <c r="G371" s="1" t="s">
        <v>4400</v>
      </c>
      <c r="H371" s="1" t="s">
        <v>3604</v>
      </c>
      <c r="I371" s="1" t="s">
        <v>4613</v>
      </c>
      <c r="J371" s="1" t="s">
        <v>3606</v>
      </c>
      <c r="K371" s="1"/>
      <c r="L371" s="1"/>
      <c r="M371" s="1"/>
    </row>
    <row x14ac:dyDescent="0.25" r="372" customHeight="1" ht="18.75">
      <c r="A372" s="1" t="s">
        <v>3617</v>
      </c>
      <c r="B372" s="1" t="s">
        <v>4614</v>
      </c>
      <c r="C372" s="1" t="s">
        <v>3600</v>
      </c>
      <c r="D372" s="1" t="s">
        <v>3601</v>
      </c>
      <c r="E372" s="1"/>
      <c r="F372" s="1" t="s">
        <v>4615</v>
      </c>
      <c r="G372" s="1" t="s">
        <v>4616</v>
      </c>
      <c r="H372" s="1" t="s">
        <v>3604</v>
      </c>
      <c r="I372" s="1" t="s">
        <v>4617</v>
      </c>
      <c r="J372" s="1" t="s">
        <v>3606</v>
      </c>
      <c r="K372" s="1"/>
      <c r="L372" s="1"/>
      <c r="M372" s="1"/>
    </row>
    <row x14ac:dyDescent="0.25" r="373" customHeight="1" ht="18.75">
      <c r="A373" s="1" t="s">
        <v>3617</v>
      </c>
      <c r="B373" s="1" t="s">
        <v>4614</v>
      </c>
      <c r="C373" s="1" t="s">
        <v>3600</v>
      </c>
      <c r="D373" s="1" t="s">
        <v>3601</v>
      </c>
      <c r="E373" s="1"/>
      <c r="F373" s="1" t="s">
        <v>4618</v>
      </c>
      <c r="G373" s="1" t="s">
        <v>4619</v>
      </c>
      <c r="H373" s="1" t="s">
        <v>3604</v>
      </c>
      <c r="I373" s="1" t="s">
        <v>4620</v>
      </c>
      <c r="J373" s="1" t="s">
        <v>3606</v>
      </c>
      <c r="K373" s="1"/>
      <c r="L373" s="1"/>
      <c r="M373" s="1"/>
    </row>
    <row x14ac:dyDescent="0.25" r="374" customHeight="1" ht="18.75">
      <c r="A374" s="1" t="s">
        <v>3617</v>
      </c>
      <c r="B374" s="1" t="s">
        <v>4614</v>
      </c>
      <c r="C374" s="1" t="s">
        <v>3600</v>
      </c>
      <c r="D374" s="1" t="s">
        <v>3601</v>
      </c>
      <c r="E374" s="1"/>
      <c r="F374" s="1" t="s">
        <v>4621</v>
      </c>
      <c r="G374" s="1" t="s">
        <v>4622</v>
      </c>
      <c r="H374" s="1" t="s">
        <v>3604</v>
      </c>
      <c r="I374" s="1" t="s">
        <v>4623</v>
      </c>
      <c r="J374" s="1" t="s">
        <v>3606</v>
      </c>
      <c r="K374" s="1"/>
      <c r="L374" s="1"/>
      <c r="M374" s="1"/>
    </row>
    <row x14ac:dyDescent="0.25" r="375" customHeight="1" ht="18.75">
      <c r="A375" s="1" t="s">
        <v>3617</v>
      </c>
      <c r="B375" s="1" t="s">
        <v>4614</v>
      </c>
      <c r="C375" s="1" t="s">
        <v>3600</v>
      </c>
      <c r="D375" s="1" t="s">
        <v>3601</v>
      </c>
      <c r="E375" s="1"/>
      <c r="F375" s="1" t="s">
        <v>4624</v>
      </c>
      <c r="G375" s="1" t="s">
        <v>4625</v>
      </c>
      <c r="H375" s="1" t="s">
        <v>3604</v>
      </c>
      <c r="I375" s="1" t="s">
        <v>4626</v>
      </c>
      <c r="J375" s="1" t="s">
        <v>3606</v>
      </c>
      <c r="K375" s="1"/>
      <c r="L375" s="1"/>
      <c r="M375" s="1"/>
    </row>
    <row x14ac:dyDescent="0.25" r="376" customHeight="1" ht="18.75">
      <c r="A376" s="1" t="s">
        <v>3598</v>
      </c>
      <c r="B376" s="1" t="s">
        <v>4627</v>
      </c>
      <c r="C376" s="1" t="s">
        <v>3600</v>
      </c>
      <c r="D376" s="1" t="s">
        <v>3601</v>
      </c>
      <c r="E376" s="1" t="s">
        <v>3752</v>
      </c>
      <c r="F376" s="1" t="s">
        <v>4628</v>
      </c>
      <c r="G376" s="1" t="s">
        <v>4629</v>
      </c>
      <c r="H376" s="1" t="s">
        <v>3604</v>
      </c>
      <c r="I376" s="1" t="s">
        <v>4630</v>
      </c>
      <c r="J376" s="1" t="s">
        <v>3615</v>
      </c>
      <c r="K376" s="1"/>
      <c r="L376" s="1"/>
      <c r="M376" s="1"/>
    </row>
    <row x14ac:dyDescent="0.25" r="377" customHeight="1" ht="18.75">
      <c r="A377" s="1" t="s">
        <v>3617</v>
      </c>
      <c r="B377" s="1" t="s">
        <v>4614</v>
      </c>
      <c r="C377" s="1" t="s">
        <v>3600</v>
      </c>
      <c r="D377" s="1" t="s">
        <v>3601</v>
      </c>
      <c r="E377" s="1"/>
      <c r="F377" s="1" t="s">
        <v>4631</v>
      </c>
      <c r="G377" s="1" t="s">
        <v>4632</v>
      </c>
      <c r="H377" s="1" t="s">
        <v>3604</v>
      </c>
      <c r="I377" s="1" t="s">
        <v>4633</v>
      </c>
      <c r="J377" s="1" t="s">
        <v>3606</v>
      </c>
      <c r="K377" s="1"/>
      <c r="L377" s="1"/>
      <c r="M377" s="1"/>
    </row>
    <row x14ac:dyDescent="0.25" r="378" customHeight="1" ht="18.75">
      <c r="A378" s="1" t="s">
        <v>3617</v>
      </c>
      <c r="B378" s="1" t="s">
        <v>4614</v>
      </c>
      <c r="C378" s="1" t="s">
        <v>3600</v>
      </c>
      <c r="D378" s="1" t="s">
        <v>3601</v>
      </c>
      <c r="E378" s="1"/>
      <c r="F378" s="1" t="s">
        <v>4634</v>
      </c>
      <c r="G378" s="1" t="s">
        <v>4635</v>
      </c>
      <c r="H378" s="1" t="s">
        <v>3604</v>
      </c>
      <c r="I378" s="1" t="s">
        <v>4636</v>
      </c>
      <c r="J378" s="1" t="s">
        <v>3606</v>
      </c>
      <c r="K378" s="1"/>
      <c r="L378" s="1"/>
      <c r="M378" s="1"/>
    </row>
    <row x14ac:dyDescent="0.25" r="379" customHeight="1" ht="18.75">
      <c r="A379" s="1" t="s">
        <v>3617</v>
      </c>
      <c r="B379" s="1" t="s">
        <v>4614</v>
      </c>
      <c r="C379" s="1" t="s">
        <v>3600</v>
      </c>
      <c r="D379" s="1" t="s">
        <v>3601</v>
      </c>
      <c r="E379" s="1"/>
      <c r="F379" s="1" t="s">
        <v>4637</v>
      </c>
      <c r="G379" s="1" t="s">
        <v>4638</v>
      </c>
      <c r="H379" s="1" t="s">
        <v>3604</v>
      </c>
      <c r="I379" s="1" t="s">
        <v>4639</v>
      </c>
      <c r="J379" s="1" t="s">
        <v>3606</v>
      </c>
      <c r="K379" s="1"/>
      <c r="L379" s="1"/>
      <c r="M379" s="1"/>
    </row>
    <row x14ac:dyDescent="0.25" r="380" customHeight="1" ht="18.75">
      <c r="A380" s="1" t="s">
        <v>3617</v>
      </c>
      <c r="B380" s="1" t="s">
        <v>4614</v>
      </c>
      <c r="C380" s="1" t="s">
        <v>3600</v>
      </c>
      <c r="D380" s="1" t="s">
        <v>3601</v>
      </c>
      <c r="E380" s="1"/>
      <c r="F380" s="1" t="s">
        <v>4640</v>
      </c>
      <c r="G380" s="1" t="s">
        <v>4641</v>
      </c>
      <c r="H380" s="1" t="s">
        <v>3604</v>
      </c>
      <c r="I380" s="1" t="s">
        <v>4642</v>
      </c>
      <c r="J380" s="1" t="s">
        <v>3606</v>
      </c>
      <c r="K380" s="1"/>
      <c r="L380" s="1"/>
      <c r="M380" s="1"/>
    </row>
    <row x14ac:dyDescent="0.25" r="381" customHeight="1" ht="18.75">
      <c r="A381" s="1" t="s">
        <v>3617</v>
      </c>
      <c r="B381" s="1" t="s">
        <v>4614</v>
      </c>
      <c r="C381" s="1" t="s">
        <v>3600</v>
      </c>
      <c r="D381" s="1" t="s">
        <v>3601</v>
      </c>
      <c r="E381" s="1"/>
      <c r="F381" s="1" t="s">
        <v>4643</v>
      </c>
      <c r="G381" s="1" t="s">
        <v>4644</v>
      </c>
      <c r="H381" s="1" t="s">
        <v>3604</v>
      </c>
      <c r="I381" s="1" t="s">
        <v>4645</v>
      </c>
      <c r="J381" s="1" t="s">
        <v>3606</v>
      </c>
      <c r="K381" s="1"/>
      <c r="L381" s="1"/>
      <c r="M381" s="1"/>
    </row>
    <row x14ac:dyDescent="0.25" r="382" customHeight="1" ht="18.75">
      <c r="A382" s="1" t="s">
        <v>3617</v>
      </c>
      <c r="B382" s="1" t="s">
        <v>4614</v>
      </c>
      <c r="C382" s="1" t="s">
        <v>3600</v>
      </c>
      <c r="D382" s="1" t="s">
        <v>3601</v>
      </c>
      <c r="E382" s="1"/>
      <c r="F382" s="1" t="s">
        <v>4646</v>
      </c>
      <c r="G382" s="1" t="s">
        <v>4647</v>
      </c>
      <c r="H382" s="1" t="s">
        <v>3604</v>
      </c>
      <c r="I382" s="1" t="s">
        <v>4648</v>
      </c>
      <c r="J382" s="1" t="s">
        <v>3606</v>
      </c>
      <c r="K382" s="1"/>
      <c r="L382" s="1"/>
      <c r="M382" s="1"/>
    </row>
    <row x14ac:dyDescent="0.25" r="383" customHeight="1" ht="18.75">
      <c r="A383" s="1" t="s">
        <v>3617</v>
      </c>
      <c r="B383" s="1" t="s">
        <v>4614</v>
      </c>
      <c r="C383" s="1" t="s">
        <v>3600</v>
      </c>
      <c r="D383" s="1" t="s">
        <v>3601</v>
      </c>
      <c r="E383" s="1"/>
      <c r="F383" s="1" t="s">
        <v>4649</v>
      </c>
      <c r="G383" s="1" t="s">
        <v>4650</v>
      </c>
      <c r="H383" s="1" t="s">
        <v>3604</v>
      </c>
      <c r="I383" s="1" t="s">
        <v>4651</v>
      </c>
      <c r="J383" s="1" t="s">
        <v>3606</v>
      </c>
      <c r="K383" s="1"/>
      <c r="L383" s="1"/>
      <c r="M383" s="1"/>
    </row>
    <row x14ac:dyDescent="0.25" r="384" customHeight="1" ht="18.75">
      <c r="A384" s="1" t="s">
        <v>3617</v>
      </c>
      <c r="B384" s="1" t="s">
        <v>4614</v>
      </c>
      <c r="C384" s="1" t="s">
        <v>3600</v>
      </c>
      <c r="D384" s="1" t="s">
        <v>3601</v>
      </c>
      <c r="E384" s="1"/>
      <c r="F384" s="1" t="s">
        <v>4652</v>
      </c>
      <c r="G384" s="1" t="s">
        <v>4653</v>
      </c>
      <c r="H384" s="1" t="s">
        <v>3604</v>
      </c>
      <c r="I384" s="1" t="s">
        <v>4654</v>
      </c>
      <c r="J384" s="1" t="s">
        <v>3606</v>
      </c>
      <c r="K384" s="1"/>
      <c r="L384" s="1"/>
      <c r="M384" s="1"/>
    </row>
    <row x14ac:dyDescent="0.25" r="385" customHeight="1" ht="18.75">
      <c r="A385" s="1" t="s">
        <v>3617</v>
      </c>
      <c r="B385" s="1" t="s">
        <v>4614</v>
      </c>
      <c r="C385" s="1" t="s">
        <v>3600</v>
      </c>
      <c r="D385" s="1" t="s">
        <v>3601</v>
      </c>
      <c r="E385" s="1"/>
      <c r="F385" s="1" t="s">
        <v>4655</v>
      </c>
      <c r="G385" s="1" t="s">
        <v>4656</v>
      </c>
      <c r="H385" s="1" t="s">
        <v>3604</v>
      </c>
      <c r="I385" s="1" t="s">
        <v>4657</v>
      </c>
      <c r="J385" s="1" t="s">
        <v>3606</v>
      </c>
      <c r="K385" s="1"/>
      <c r="L385" s="1"/>
      <c r="M385" s="1"/>
    </row>
    <row x14ac:dyDescent="0.25" r="386" customHeight="1" ht="18.75">
      <c r="A386" s="1" t="s">
        <v>3598</v>
      </c>
      <c r="B386" s="1" t="s">
        <v>4658</v>
      </c>
      <c r="C386" s="1" t="s">
        <v>3600</v>
      </c>
      <c r="D386" s="1" t="s">
        <v>3601</v>
      </c>
      <c r="E386" s="1"/>
      <c r="F386" s="1" t="s">
        <v>4659</v>
      </c>
      <c r="G386" s="1" t="s">
        <v>4660</v>
      </c>
      <c r="H386" s="1" t="s">
        <v>3604</v>
      </c>
      <c r="I386" s="1" t="s">
        <v>4661</v>
      </c>
      <c r="J386" s="1" t="s">
        <v>3606</v>
      </c>
      <c r="K386" s="1"/>
      <c r="L386" s="1"/>
      <c r="M386" s="1"/>
    </row>
    <row x14ac:dyDescent="0.25" r="387" customHeight="1" ht="18.75">
      <c r="A387" s="1" t="s">
        <v>3617</v>
      </c>
      <c r="B387" s="1" t="s">
        <v>4614</v>
      </c>
      <c r="C387" s="1" t="s">
        <v>3600</v>
      </c>
      <c r="D387" s="1" t="s">
        <v>3601</v>
      </c>
      <c r="E387" s="1"/>
      <c r="F387" s="1" t="s">
        <v>4662</v>
      </c>
      <c r="G387" s="1" t="s">
        <v>4663</v>
      </c>
      <c r="H387" s="1" t="s">
        <v>3604</v>
      </c>
      <c r="I387" s="1" t="s">
        <v>4664</v>
      </c>
      <c r="J387" s="1" t="s">
        <v>3606</v>
      </c>
      <c r="K387" s="1"/>
      <c r="L387" s="1"/>
      <c r="M387" s="1"/>
    </row>
    <row x14ac:dyDescent="0.25" r="388" customHeight="1" ht="18.75">
      <c r="A388" s="1" t="s">
        <v>3617</v>
      </c>
      <c r="B388" s="1" t="s">
        <v>4614</v>
      </c>
      <c r="C388" s="1" t="s">
        <v>3600</v>
      </c>
      <c r="D388" s="1" t="s">
        <v>3601</v>
      </c>
      <c r="E388" s="1"/>
      <c r="F388" s="1" t="s">
        <v>4665</v>
      </c>
      <c r="G388" s="1" t="s">
        <v>4666</v>
      </c>
      <c r="H388" s="1" t="s">
        <v>3604</v>
      </c>
      <c r="I388" s="1" t="s">
        <v>4667</v>
      </c>
      <c r="J388" s="1" t="s">
        <v>3606</v>
      </c>
      <c r="K388" s="1"/>
      <c r="L388" s="1"/>
      <c r="M388" s="1"/>
    </row>
    <row x14ac:dyDescent="0.25" r="389" customHeight="1" ht="18.75">
      <c r="A389" s="1" t="s">
        <v>3617</v>
      </c>
      <c r="B389" s="1" t="s">
        <v>4614</v>
      </c>
      <c r="C389" s="1" t="s">
        <v>3600</v>
      </c>
      <c r="D389" s="1" t="s">
        <v>3601</v>
      </c>
      <c r="E389" s="1"/>
      <c r="F389" s="1" t="s">
        <v>4668</v>
      </c>
      <c r="G389" s="1" t="s">
        <v>4669</v>
      </c>
      <c r="H389" s="1" t="s">
        <v>3604</v>
      </c>
      <c r="I389" s="1" t="s">
        <v>4670</v>
      </c>
      <c r="J389" s="1" t="s">
        <v>3606</v>
      </c>
      <c r="K389" s="1"/>
      <c r="L389" s="1"/>
      <c r="M389" s="1"/>
    </row>
    <row x14ac:dyDescent="0.25" r="390" customHeight="1" ht="18.75">
      <c r="A390" s="1" t="s">
        <v>3617</v>
      </c>
      <c r="B390" s="1" t="s">
        <v>4614</v>
      </c>
      <c r="C390" s="1" t="s">
        <v>3600</v>
      </c>
      <c r="D390" s="1" t="s">
        <v>3601</v>
      </c>
      <c r="E390" s="1"/>
      <c r="F390" s="1" t="s">
        <v>4671</v>
      </c>
      <c r="G390" s="1" t="s">
        <v>4672</v>
      </c>
      <c r="H390" s="1" t="s">
        <v>3604</v>
      </c>
      <c r="I390" s="1" t="s">
        <v>4673</v>
      </c>
      <c r="J390" s="1" t="s">
        <v>3606</v>
      </c>
      <c r="K390" s="1"/>
      <c r="L390" s="1"/>
      <c r="M390" s="1"/>
    </row>
    <row x14ac:dyDescent="0.25" r="391" customHeight="1" ht="18.75">
      <c r="A391" s="1" t="s">
        <v>3617</v>
      </c>
      <c r="B391" s="1" t="s">
        <v>3898</v>
      </c>
      <c r="C391" s="1" t="s">
        <v>3619</v>
      </c>
      <c r="D391" s="1" t="s">
        <v>3601</v>
      </c>
      <c r="E391" s="1" t="s">
        <v>3893</v>
      </c>
      <c r="F391" s="1" t="s">
        <v>4674</v>
      </c>
      <c r="G391" s="1" t="s">
        <v>3900</v>
      </c>
      <c r="H391" s="1" t="s">
        <v>3604</v>
      </c>
      <c r="I391" s="1" t="s">
        <v>4675</v>
      </c>
      <c r="J391" s="1" t="s">
        <v>3606</v>
      </c>
      <c r="K391" s="1"/>
      <c r="L391" s="1"/>
      <c r="M391" s="1"/>
    </row>
    <row x14ac:dyDescent="0.25" r="392" customHeight="1" ht="18.75">
      <c r="A392" s="1" t="s">
        <v>3617</v>
      </c>
      <c r="B392" s="1" t="s">
        <v>3898</v>
      </c>
      <c r="C392" s="1" t="s">
        <v>3619</v>
      </c>
      <c r="D392" s="1" t="s">
        <v>3601</v>
      </c>
      <c r="E392" s="1" t="s">
        <v>3893</v>
      </c>
      <c r="F392" s="1" t="s">
        <v>4676</v>
      </c>
      <c r="G392" s="1" t="s">
        <v>4677</v>
      </c>
      <c r="H392" s="1" t="s">
        <v>3604</v>
      </c>
      <c r="I392" s="1" t="s">
        <v>4678</v>
      </c>
      <c r="J392" s="1" t="s">
        <v>3606</v>
      </c>
      <c r="K392" s="1"/>
      <c r="L392" s="1"/>
      <c r="M392" s="1"/>
    </row>
    <row x14ac:dyDescent="0.25" r="393" customHeight="1" ht="18.75">
      <c r="A393" s="1" t="s">
        <v>3617</v>
      </c>
      <c r="B393" s="1" t="s">
        <v>3892</v>
      </c>
      <c r="C393" s="1" t="s">
        <v>3619</v>
      </c>
      <c r="D393" s="1" t="s">
        <v>3601</v>
      </c>
      <c r="E393" s="1" t="s">
        <v>3893</v>
      </c>
      <c r="F393" s="1" t="s">
        <v>4679</v>
      </c>
      <c r="G393" s="1" t="s">
        <v>4680</v>
      </c>
      <c r="H393" s="1" t="s">
        <v>3604</v>
      </c>
      <c r="I393" s="1" t="s">
        <v>4681</v>
      </c>
      <c r="J393" s="1" t="s">
        <v>3606</v>
      </c>
      <c r="K393" s="1"/>
      <c r="L393" s="1"/>
      <c r="M393" s="1"/>
    </row>
    <row x14ac:dyDescent="0.25" r="394" customHeight="1" ht="18.75">
      <c r="A394" s="1" t="s">
        <v>3617</v>
      </c>
      <c r="B394" s="1" t="s">
        <v>3892</v>
      </c>
      <c r="C394" s="1" t="s">
        <v>3619</v>
      </c>
      <c r="D394" s="1" t="s">
        <v>3601</v>
      </c>
      <c r="E394" s="1" t="s">
        <v>3893</v>
      </c>
      <c r="F394" s="1" t="s">
        <v>4682</v>
      </c>
      <c r="G394" s="1" t="s">
        <v>4683</v>
      </c>
      <c r="H394" s="1" t="s">
        <v>3604</v>
      </c>
      <c r="I394" s="1" t="s">
        <v>4684</v>
      </c>
      <c r="J394" s="1" t="s">
        <v>3606</v>
      </c>
      <c r="K394" s="1"/>
      <c r="L394" s="1"/>
      <c r="M394" s="1"/>
    </row>
    <row x14ac:dyDescent="0.25" r="395" customHeight="1" ht="18.75">
      <c r="A395" s="1" t="s">
        <v>3598</v>
      </c>
      <c r="B395" s="1" t="s">
        <v>4685</v>
      </c>
      <c r="C395" s="1" t="s">
        <v>3600</v>
      </c>
      <c r="D395" s="1" t="s">
        <v>3601</v>
      </c>
      <c r="E395" s="1" t="s">
        <v>3664</v>
      </c>
      <c r="F395" s="1" t="s">
        <v>4686</v>
      </c>
      <c r="G395" s="1" t="s">
        <v>4687</v>
      </c>
      <c r="H395" s="1" t="s">
        <v>3604</v>
      </c>
      <c r="I395" s="1" t="s">
        <v>4688</v>
      </c>
      <c r="J395" s="1" t="s">
        <v>3606</v>
      </c>
      <c r="K395" s="1"/>
      <c r="L395" s="1"/>
      <c r="M395" s="1"/>
    </row>
    <row x14ac:dyDescent="0.25" r="396" customHeight="1" ht="18.75">
      <c r="A396" s="1" t="s">
        <v>3598</v>
      </c>
      <c r="B396" s="1" t="s">
        <v>4689</v>
      </c>
      <c r="C396" s="1" t="s">
        <v>3600</v>
      </c>
      <c r="D396" s="1" t="s">
        <v>3601</v>
      </c>
      <c r="E396" s="1" t="s">
        <v>3664</v>
      </c>
      <c r="F396" s="1" t="s">
        <v>4690</v>
      </c>
      <c r="G396" s="1" t="s">
        <v>4691</v>
      </c>
      <c r="H396" s="1" t="s">
        <v>3604</v>
      </c>
      <c r="I396" s="1" t="s">
        <v>4692</v>
      </c>
      <c r="J396" s="1" t="s">
        <v>3606</v>
      </c>
      <c r="K396" s="1"/>
      <c r="L396" s="1"/>
      <c r="M396" s="1"/>
    </row>
    <row x14ac:dyDescent="0.25" r="397" customHeight="1" ht="18.75">
      <c r="A397" s="1" t="s">
        <v>3617</v>
      </c>
      <c r="B397" s="1" t="s">
        <v>4589</v>
      </c>
      <c r="C397" s="1" t="s">
        <v>3619</v>
      </c>
      <c r="D397" s="1" t="s">
        <v>3601</v>
      </c>
      <c r="E397" s="1" t="s">
        <v>3893</v>
      </c>
      <c r="F397" s="1" t="s">
        <v>4693</v>
      </c>
      <c r="G397" s="1" t="s">
        <v>4694</v>
      </c>
      <c r="H397" s="1" t="s">
        <v>3604</v>
      </c>
      <c r="I397" s="1" t="s">
        <v>4695</v>
      </c>
      <c r="J397" s="1" t="s">
        <v>3606</v>
      </c>
      <c r="K397" s="1"/>
      <c r="L397" s="1"/>
      <c r="M397" s="1"/>
    </row>
    <row x14ac:dyDescent="0.25" r="398" customHeight="1" ht="18.75">
      <c r="A398" s="1" t="s">
        <v>3617</v>
      </c>
      <c r="B398" s="1" t="s">
        <v>4589</v>
      </c>
      <c r="C398" s="1" t="s">
        <v>3619</v>
      </c>
      <c r="D398" s="1" t="s">
        <v>3601</v>
      </c>
      <c r="E398" s="1" t="s">
        <v>3893</v>
      </c>
      <c r="F398" s="1" t="s">
        <v>4696</v>
      </c>
      <c r="G398" s="1" t="s">
        <v>4697</v>
      </c>
      <c r="H398" s="1" t="s">
        <v>3604</v>
      </c>
      <c r="I398" s="1" t="s">
        <v>4698</v>
      </c>
      <c r="J398" s="1" t="s">
        <v>3606</v>
      </c>
      <c r="K398" s="1"/>
      <c r="L398" s="1"/>
      <c r="M398" s="1"/>
    </row>
    <row x14ac:dyDescent="0.25" r="399" customHeight="1" ht="18.75">
      <c r="A399" s="1" t="s">
        <v>3617</v>
      </c>
      <c r="B399" s="1" t="s">
        <v>4589</v>
      </c>
      <c r="C399" s="1" t="s">
        <v>3619</v>
      </c>
      <c r="D399" s="1" t="s">
        <v>3601</v>
      </c>
      <c r="E399" s="1" t="s">
        <v>3893</v>
      </c>
      <c r="F399" s="1" t="s">
        <v>4699</v>
      </c>
      <c r="G399" s="1" t="s">
        <v>4700</v>
      </c>
      <c r="H399" s="1" t="s">
        <v>3604</v>
      </c>
      <c r="I399" s="1" t="s">
        <v>4701</v>
      </c>
      <c r="J399" s="1" t="s">
        <v>3606</v>
      </c>
      <c r="K399" s="1"/>
      <c r="L399" s="1"/>
      <c r="M399" s="1"/>
    </row>
    <row x14ac:dyDescent="0.25" r="400" customHeight="1" ht="18.75">
      <c r="A400" s="1" t="s">
        <v>3617</v>
      </c>
      <c r="B400" s="1" t="s">
        <v>4589</v>
      </c>
      <c r="C400" s="1" t="s">
        <v>3619</v>
      </c>
      <c r="D400" s="1" t="s">
        <v>3601</v>
      </c>
      <c r="E400" s="1" t="s">
        <v>3893</v>
      </c>
      <c r="F400" s="1" t="s">
        <v>4702</v>
      </c>
      <c r="G400" s="1" t="s">
        <v>4703</v>
      </c>
      <c r="H400" s="1" t="s">
        <v>3604</v>
      </c>
      <c r="I400" s="1" t="s">
        <v>4704</v>
      </c>
      <c r="J400" s="1" t="s">
        <v>3606</v>
      </c>
      <c r="K400" s="1"/>
      <c r="L400" s="1"/>
      <c r="M400" s="1"/>
    </row>
    <row x14ac:dyDescent="0.25" r="401" customHeight="1" ht="18.75">
      <c r="A401" s="1" t="s">
        <v>3693</v>
      </c>
      <c r="B401" s="1" t="s">
        <v>4091</v>
      </c>
      <c r="C401" s="1" t="s">
        <v>3600</v>
      </c>
      <c r="D401" s="1" t="s">
        <v>3601</v>
      </c>
      <c r="E401" s="1" t="s">
        <v>3611</v>
      </c>
      <c r="F401" s="1" t="s">
        <v>4705</v>
      </c>
      <c r="G401" s="1" t="s">
        <v>4706</v>
      </c>
      <c r="H401" s="1" t="s">
        <v>3604</v>
      </c>
      <c r="I401" s="1" t="s">
        <v>4707</v>
      </c>
      <c r="J401" s="1" t="s">
        <v>3606</v>
      </c>
      <c r="K401" s="1"/>
      <c r="L401" s="1"/>
      <c r="M401" s="1"/>
    </row>
    <row x14ac:dyDescent="0.25" r="402" customHeight="1" ht="18.75">
      <c r="A402" s="1" t="s">
        <v>3617</v>
      </c>
      <c r="B402" s="1" t="s">
        <v>4708</v>
      </c>
      <c r="C402" s="1" t="s">
        <v>3619</v>
      </c>
      <c r="D402" s="1" t="s">
        <v>3601</v>
      </c>
      <c r="E402" s="1"/>
      <c r="F402" s="1" t="s">
        <v>4709</v>
      </c>
      <c r="G402" s="1" t="s">
        <v>4710</v>
      </c>
      <c r="H402" s="1" t="s">
        <v>3604</v>
      </c>
      <c r="I402" s="1" t="s">
        <v>4711</v>
      </c>
      <c r="J402" s="1" t="s">
        <v>3606</v>
      </c>
      <c r="K402" s="1"/>
      <c r="L402" s="1"/>
      <c r="M402" s="1"/>
    </row>
    <row x14ac:dyDescent="0.25" r="403" customHeight="1" ht="18.75">
      <c r="A403" s="1" t="s">
        <v>3693</v>
      </c>
      <c r="B403" s="1" t="s">
        <v>4091</v>
      </c>
      <c r="C403" s="1" t="s">
        <v>3600</v>
      </c>
      <c r="D403" s="1" t="s">
        <v>3601</v>
      </c>
      <c r="E403" s="1" t="s">
        <v>3611</v>
      </c>
      <c r="F403" s="1" t="s">
        <v>4712</v>
      </c>
      <c r="G403" s="1" t="s">
        <v>4706</v>
      </c>
      <c r="H403" s="1" t="s">
        <v>3604</v>
      </c>
      <c r="I403" s="1" t="s">
        <v>4713</v>
      </c>
      <c r="J403" s="1" t="s">
        <v>3615</v>
      </c>
      <c r="K403" s="1"/>
      <c r="L403" s="1"/>
      <c r="M403" s="1"/>
    </row>
    <row x14ac:dyDescent="0.25" r="404" customHeight="1" ht="18.75">
      <c r="A404" s="1" t="s">
        <v>3693</v>
      </c>
      <c r="B404" s="1" t="s">
        <v>4091</v>
      </c>
      <c r="C404" s="1" t="s">
        <v>3600</v>
      </c>
      <c r="D404" s="1" t="s">
        <v>3601</v>
      </c>
      <c r="E404" s="1" t="s">
        <v>3611</v>
      </c>
      <c r="F404" s="1" t="s">
        <v>4714</v>
      </c>
      <c r="G404" s="1" t="s">
        <v>4706</v>
      </c>
      <c r="H404" s="1" t="s">
        <v>3604</v>
      </c>
      <c r="I404" s="1" t="s">
        <v>4715</v>
      </c>
      <c r="J404" s="1" t="s">
        <v>3615</v>
      </c>
      <c r="K404" s="1"/>
      <c r="L404" s="1"/>
      <c r="M404" s="1"/>
    </row>
    <row x14ac:dyDescent="0.25" r="405" customHeight="1" ht="18.75">
      <c r="A405" s="1" t="s">
        <v>3693</v>
      </c>
      <c r="B405" s="1" t="s">
        <v>4247</v>
      </c>
      <c r="C405" s="1" t="s">
        <v>3600</v>
      </c>
      <c r="D405" s="1" t="s">
        <v>3601</v>
      </c>
      <c r="E405" s="1" t="s">
        <v>3893</v>
      </c>
      <c r="F405" s="1" t="s">
        <v>4716</v>
      </c>
      <c r="G405" s="1" t="s">
        <v>4384</v>
      </c>
      <c r="H405" s="1" t="s">
        <v>3604</v>
      </c>
      <c r="I405" s="1" t="s">
        <v>4717</v>
      </c>
      <c r="J405" s="1" t="s">
        <v>3615</v>
      </c>
      <c r="K405" s="1"/>
      <c r="L405" s="1"/>
      <c r="M405" s="1"/>
    </row>
    <row x14ac:dyDescent="0.25" r="406" customHeight="1" ht="18.75">
      <c r="A406" s="1" t="s">
        <v>3617</v>
      </c>
      <c r="B406" s="1" t="s">
        <v>4708</v>
      </c>
      <c r="C406" s="1" t="s">
        <v>3619</v>
      </c>
      <c r="D406" s="1" t="s">
        <v>3601</v>
      </c>
      <c r="E406" s="1"/>
      <c r="F406" s="1" t="s">
        <v>4679</v>
      </c>
      <c r="G406" s="1" t="s">
        <v>4718</v>
      </c>
      <c r="H406" s="1" t="s">
        <v>3604</v>
      </c>
      <c r="I406" s="1" t="s">
        <v>4719</v>
      </c>
      <c r="J406" s="1" t="s">
        <v>3606</v>
      </c>
      <c r="K406" s="1"/>
      <c r="L406" s="1"/>
      <c r="M406" s="1"/>
    </row>
    <row x14ac:dyDescent="0.25" r="407" customHeight="1" ht="18.75">
      <c r="A407" s="1" t="s">
        <v>3617</v>
      </c>
      <c r="B407" s="1" t="s">
        <v>4708</v>
      </c>
      <c r="C407" s="1" t="s">
        <v>3619</v>
      </c>
      <c r="D407" s="1" t="s">
        <v>3601</v>
      </c>
      <c r="E407" s="1"/>
      <c r="F407" s="1" t="s">
        <v>4720</v>
      </c>
      <c r="G407" s="1" t="s">
        <v>4721</v>
      </c>
      <c r="H407" s="1" t="s">
        <v>3604</v>
      </c>
      <c r="I407" s="1" t="s">
        <v>4722</v>
      </c>
      <c r="J407" s="1" t="s">
        <v>3606</v>
      </c>
      <c r="K407" s="1"/>
      <c r="L407" s="1"/>
      <c r="M407" s="1"/>
    </row>
    <row x14ac:dyDescent="0.25" r="408" customHeight="1" ht="18.75">
      <c r="A408" s="1" t="s">
        <v>3693</v>
      </c>
      <c r="B408" s="1" t="s">
        <v>4247</v>
      </c>
      <c r="C408" s="1" t="s">
        <v>3600</v>
      </c>
      <c r="D408" s="1" t="s">
        <v>3601</v>
      </c>
      <c r="E408" s="1" t="s">
        <v>3664</v>
      </c>
      <c r="F408" s="1" t="s">
        <v>4723</v>
      </c>
      <c r="G408" s="1" t="s">
        <v>4384</v>
      </c>
      <c r="H408" s="1" t="s">
        <v>3604</v>
      </c>
      <c r="I408" s="1" t="s">
        <v>4724</v>
      </c>
      <c r="J408" s="1" t="s">
        <v>3606</v>
      </c>
      <c r="K408" s="1"/>
      <c r="L408" s="1"/>
      <c r="M408" s="1"/>
    </row>
    <row x14ac:dyDescent="0.25" r="409" customHeight="1" ht="18.75">
      <c r="A409" s="1" t="s">
        <v>3693</v>
      </c>
      <c r="B409" s="1" t="s">
        <v>4214</v>
      </c>
      <c r="C409" s="1" t="s">
        <v>3600</v>
      </c>
      <c r="D409" s="1" t="s">
        <v>3601</v>
      </c>
      <c r="E409" s="1" t="s">
        <v>3664</v>
      </c>
      <c r="F409" s="1" t="s">
        <v>4725</v>
      </c>
      <c r="G409" s="1" t="s">
        <v>4726</v>
      </c>
      <c r="H409" s="1" t="s">
        <v>3604</v>
      </c>
      <c r="I409" s="1" t="s">
        <v>4727</v>
      </c>
      <c r="J409" s="1" t="s">
        <v>3615</v>
      </c>
      <c r="K409" s="1"/>
      <c r="L409" s="1"/>
      <c r="M409" s="1"/>
    </row>
    <row x14ac:dyDescent="0.25" r="410" customHeight="1" ht="18.75">
      <c r="A410" s="1" t="s">
        <v>3693</v>
      </c>
      <c r="B410" s="1" t="s">
        <v>4247</v>
      </c>
      <c r="C410" s="1" t="s">
        <v>3600</v>
      </c>
      <c r="D410" s="1" t="s">
        <v>3601</v>
      </c>
      <c r="E410" s="1" t="s">
        <v>3664</v>
      </c>
      <c r="F410" s="1" t="s">
        <v>4728</v>
      </c>
      <c r="G410" s="1" t="s">
        <v>4384</v>
      </c>
      <c r="H410" s="1" t="s">
        <v>3604</v>
      </c>
      <c r="I410" s="1" t="s">
        <v>4729</v>
      </c>
      <c r="J410" s="1" t="s">
        <v>3606</v>
      </c>
      <c r="K410" s="1"/>
      <c r="L410" s="1"/>
      <c r="M410" s="1"/>
    </row>
    <row x14ac:dyDescent="0.25" r="411" customHeight="1" ht="18.75">
      <c r="A411" s="1" t="s">
        <v>3693</v>
      </c>
      <c r="B411" s="1" t="s">
        <v>4247</v>
      </c>
      <c r="C411" s="1" t="s">
        <v>3600</v>
      </c>
      <c r="D411" s="1" t="s">
        <v>3601</v>
      </c>
      <c r="E411" s="1" t="s">
        <v>3664</v>
      </c>
      <c r="F411" s="1" t="s">
        <v>4730</v>
      </c>
      <c r="G411" s="1" t="s">
        <v>4386</v>
      </c>
      <c r="H411" s="1" t="s">
        <v>3604</v>
      </c>
      <c r="I411" s="1" t="s">
        <v>4731</v>
      </c>
      <c r="J411" s="1" t="s">
        <v>3615</v>
      </c>
      <c r="K411" s="1"/>
      <c r="L411" s="1"/>
      <c r="M411" s="1"/>
    </row>
    <row x14ac:dyDescent="0.25" r="412" customHeight="1" ht="18.75">
      <c r="A412" s="1" t="s">
        <v>3693</v>
      </c>
      <c r="B412" s="1" t="s">
        <v>4247</v>
      </c>
      <c r="C412" s="1" t="s">
        <v>3600</v>
      </c>
      <c r="D412" s="1" t="s">
        <v>3601</v>
      </c>
      <c r="E412" s="1" t="s">
        <v>3664</v>
      </c>
      <c r="F412" s="1" t="s">
        <v>4732</v>
      </c>
      <c r="G412" s="1" t="s">
        <v>4386</v>
      </c>
      <c r="H412" s="1" t="s">
        <v>3604</v>
      </c>
      <c r="I412" s="1" t="s">
        <v>4733</v>
      </c>
      <c r="J412" s="1" t="s">
        <v>3615</v>
      </c>
      <c r="K412" s="1"/>
      <c r="L412" s="1"/>
      <c r="M412" s="1"/>
    </row>
    <row x14ac:dyDescent="0.25" r="413" customHeight="1" ht="18.75">
      <c r="A413" s="1" t="s">
        <v>3693</v>
      </c>
      <c r="B413" s="1" t="s">
        <v>4247</v>
      </c>
      <c r="C413" s="1" t="s">
        <v>3600</v>
      </c>
      <c r="D413" s="1" t="s">
        <v>3601</v>
      </c>
      <c r="E413" s="1" t="s">
        <v>3664</v>
      </c>
      <c r="F413" s="1" t="s">
        <v>4734</v>
      </c>
      <c r="G413" s="1" t="s">
        <v>4735</v>
      </c>
      <c r="H413" s="1" t="s">
        <v>3604</v>
      </c>
      <c r="I413" s="1" t="s">
        <v>4736</v>
      </c>
      <c r="J413" s="1" t="s">
        <v>3615</v>
      </c>
      <c r="K413" s="1"/>
      <c r="L413" s="1"/>
      <c r="M413" s="1"/>
    </row>
    <row x14ac:dyDescent="0.25" r="414" customHeight="1" ht="18.75">
      <c r="A414" s="1" t="s">
        <v>3693</v>
      </c>
      <c r="B414" s="1" t="s">
        <v>4247</v>
      </c>
      <c r="C414" s="1" t="s">
        <v>3600</v>
      </c>
      <c r="D414" s="1" t="s">
        <v>3601</v>
      </c>
      <c r="E414" s="1" t="s">
        <v>3664</v>
      </c>
      <c r="F414" s="1" t="s">
        <v>4737</v>
      </c>
      <c r="G414" s="1" t="s">
        <v>4738</v>
      </c>
      <c r="H414" s="1" t="s">
        <v>3604</v>
      </c>
      <c r="I414" s="1" t="s">
        <v>4739</v>
      </c>
      <c r="J414" s="1" t="s">
        <v>3615</v>
      </c>
      <c r="K414" s="1"/>
      <c r="L414" s="1"/>
      <c r="M414" s="1"/>
    </row>
    <row x14ac:dyDescent="0.25" r="415" customHeight="1" ht="18.75">
      <c r="A415" s="1" t="s">
        <v>3693</v>
      </c>
      <c r="B415" s="1" t="s">
        <v>4247</v>
      </c>
      <c r="C415" s="1" t="s">
        <v>3600</v>
      </c>
      <c r="D415" s="1" t="s">
        <v>3601</v>
      </c>
      <c r="E415" s="1" t="s">
        <v>3664</v>
      </c>
      <c r="F415" s="1" t="s">
        <v>4740</v>
      </c>
      <c r="G415" s="1" t="s">
        <v>4741</v>
      </c>
      <c r="H415" s="1" t="s">
        <v>3604</v>
      </c>
      <c r="I415" s="1" t="s">
        <v>4742</v>
      </c>
      <c r="J415" s="1" t="s">
        <v>3615</v>
      </c>
      <c r="K415" s="1"/>
      <c r="L415" s="1"/>
      <c r="M415" s="1"/>
    </row>
    <row x14ac:dyDescent="0.25" r="416" customHeight="1" ht="18.75">
      <c r="A416" s="1" t="s">
        <v>3693</v>
      </c>
      <c r="B416" s="1" t="s">
        <v>4247</v>
      </c>
      <c r="C416" s="1" t="s">
        <v>3600</v>
      </c>
      <c r="D416" s="1" t="s">
        <v>3601</v>
      </c>
      <c r="E416" s="1" t="s">
        <v>3664</v>
      </c>
      <c r="F416" s="1" t="s">
        <v>4743</v>
      </c>
      <c r="G416" s="1" t="s">
        <v>4744</v>
      </c>
      <c r="H416" s="1" t="s">
        <v>3604</v>
      </c>
      <c r="I416" s="1" t="s">
        <v>4745</v>
      </c>
      <c r="J416" s="1" t="s">
        <v>3615</v>
      </c>
      <c r="K416" s="1"/>
      <c r="L416" s="1"/>
      <c r="M416" s="1"/>
    </row>
    <row x14ac:dyDescent="0.25" r="417" customHeight="1" ht="18.75">
      <c r="A417" s="1" t="s">
        <v>3693</v>
      </c>
      <c r="B417" s="1" t="s">
        <v>4247</v>
      </c>
      <c r="C417" s="1" t="s">
        <v>3600</v>
      </c>
      <c r="D417" s="1" t="s">
        <v>3601</v>
      </c>
      <c r="E417" s="1" t="s">
        <v>3893</v>
      </c>
      <c r="F417" s="1" t="s">
        <v>4746</v>
      </c>
      <c r="G417" s="1" t="s">
        <v>4747</v>
      </c>
      <c r="H417" s="1" t="s">
        <v>3604</v>
      </c>
      <c r="I417" s="1" t="s">
        <v>4748</v>
      </c>
      <c r="J417" s="1" t="s">
        <v>3606</v>
      </c>
      <c r="K417" s="1"/>
      <c r="L417" s="1"/>
      <c r="M417" s="1"/>
    </row>
    <row x14ac:dyDescent="0.25" r="418" customHeight="1" ht="18.75">
      <c r="A418" s="1" t="s">
        <v>3617</v>
      </c>
      <c r="B418" s="1" t="s">
        <v>3898</v>
      </c>
      <c r="C418" s="1" t="s">
        <v>3619</v>
      </c>
      <c r="D418" s="1" t="s">
        <v>3601</v>
      </c>
      <c r="E418" s="1" t="s">
        <v>3893</v>
      </c>
      <c r="F418" s="1" t="s">
        <v>4749</v>
      </c>
      <c r="G418" s="1" t="s">
        <v>3900</v>
      </c>
      <c r="H418" s="1" t="s">
        <v>3604</v>
      </c>
      <c r="I418" s="1" t="s">
        <v>4750</v>
      </c>
      <c r="J418" s="1" t="s">
        <v>3606</v>
      </c>
      <c r="K418" s="1"/>
      <c r="L418" s="1"/>
      <c r="M418" s="1"/>
    </row>
    <row x14ac:dyDescent="0.25" r="419" customHeight="1" ht="18.75">
      <c r="A419" s="1" t="s">
        <v>3617</v>
      </c>
      <c r="B419" s="1" t="s">
        <v>4751</v>
      </c>
      <c r="C419" s="1" t="s">
        <v>3619</v>
      </c>
      <c r="D419" s="1" t="s">
        <v>3601</v>
      </c>
      <c r="E419" s="1" t="s">
        <v>3664</v>
      </c>
      <c r="F419" s="1" t="s">
        <v>4752</v>
      </c>
      <c r="G419" s="1" t="s">
        <v>4753</v>
      </c>
      <c r="H419" s="1" t="s">
        <v>3604</v>
      </c>
      <c r="I419" s="1" t="s">
        <v>4754</v>
      </c>
      <c r="J419" s="1" t="s">
        <v>3606</v>
      </c>
      <c r="K419" s="1"/>
      <c r="L419" s="1"/>
      <c r="M419" s="1"/>
    </row>
    <row x14ac:dyDescent="0.25" r="420" customHeight="1" ht="18.75">
      <c r="A420" s="1" t="s">
        <v>3617</v>
      </c>
      <c r="B420" s="1" t="s">
        <v>3892</v>
      </c>
      <c r="C420" s="1" t="s">
        <v>3619</v>
      </c>
      <c r="D420" s="1" t="s">
        <v>3601</v>
      </c>
      <c r="E420" s="1" t="s">
        <v>3893</v>
      </c>
      <c r="F420" s="1" t="s">
        <v>4749</v>
      </c>
      <c r="G420" s="1" t="s">
        <v>3895</v>
      </c>
      <c r="H420" s="1" t="s">
        <v>3604</v>
      </c>
      <c r="I420" s="1" t="s">
        <v>4755</v>
      </c>
      <c r="J420" s="1" t="s">
        <v>3606</v>
      </c>
      <c r="K420" s="1"/>
      <c r="L420" s="1"/>
      <c r="M420" s="1"/>
    </row>
    <row x14ac:dyDescent="0.25" r="421" customHeight="1" ht="18.75">
      <c r="A421" s="1" t="s">
        <v>3693</v>
      </c>
      <c r="B421" s="1" t="s">
        <v>4229</v>
      </c>
      <c r="C421" s="1" t="s">
        <v>3619</v>
      </c>
      <c r="D421" s="1" t="s">
        <v>3601</v>
      </c>
      <c r="E421" s="1" t="s">
        <v>3664</v>
      </c>
      <c r="F421" s="1" t="s">
        <v>4445</v>
      </c>
      <c r="G421" s="1" t="s">
        <v>4756</v>
      </c>
      <c r="H421" s="1" t="s">
        <v>3604</v>
      </c>
      <c r="I421" s="1" t="s">
        <v>4757</v>
      </c>
      <c r="J421" s="1" t="s">
        <v>3606</v>
      </c>
      <c r="K421" s="1"/>
      <c r="L421" s="1"/>
      <c r="M421" s="1"/>
    </row>
    <row x14ac:dyDescent="0.25" r="422" customHeight="1" ht="18.75">
      <c r="A422" s="1" t="s">
        <v>3693</v>
      </c>
      <c r="B422" s="1" t="s">
        <v>4204</v>
      </c>
      <c r="C422" s="1" t="s">
        <v>3600</v>
      </c>
      <c r="D422" s="1" t="s">
        <v>3601</v>
      </c>
      <c r="E422" s="1" t="s">
        <v>3893</v>
      </c>
      <c r="F422" s="1" t="s">
        <v>4758</v>
      </c>
      <c r="G422" s="1" t="s">
        <v>4759</v>
      </c>
      <c r="H422" s="1" t="s">
        <v>3604</v>
      </c>
      <c r="I422" s="1" t="s">
        <v>4760</v>
      </c>
      <c r="J422" s="1" t="s">
        <v>3606</v>
      </c>
      <c r="K422" s="1"/>
      <c r="L422" s="1"/>
      <c r="M422" s="1"/>
    </row>
    <row x14ac:dyDescent="0.25" r="423" customHeight="1" ht="18.75">
      <c r="A423" s="1" t="s">
        <v>3693</v>
      </c>
      <c r="B423" s="1" t="s">
        <v>4204</v>
      </c>
      <c r="C423" s="1" t="s">
        <v>3600</v>
      </c>
      <c r="D423" s="1" t="s">
        <v>3601</v>
      </c>
      <c r="E423" s="1" t="s">
        <v>3893</v>
      </c>
      <c r="F423" s="1" t="s">
        <v>4761</v>
      </c>
      <c r="G423" s="1" t="s">
        <v>4762</v>
      </c>
      <c r="H423" s="1" t="s">
        <v>3604</v>
      </c>
      <c r="I423" s="1" t="s">
        <v>4763</v>
      </c>
      <c r="J423" s="1" t="s">
        <v>3606</v>
      </c>
      <c r="K423" s="1"/>
      <c r="L423" s="1"/>
      <c r="M423" s="1"/>
    </row>
    <row x14ac:dyDescent="0.25" r="424" customHeight="1" ht="18.75">
      <c r="A424" s="1" t="s">
        <v>3693</v>
      </c>
      <c r="B424" s="1" t="s">
        <v>4204</v>
      </c>
      <c r="C424" s="1" t="s">
        <v>3600</v>
      </c>
      <c r="D424" s="1" t="s">
        <v>3601</v>
      </c>
      <c r="E424" s="1" t="s">
        <v>3893</v>
      </c>
      <c r="F424" s="1" t="s">
        <v>4445</v>
      </c>
      <c r="G424" s="1" t="s">
        <v>4299</v>
      </c>
      <c r="H424" s="1" t="s">
        <v>3604</v>
      </c>
      <c r="I424" s="1" t="s">
        <v>4764</v>
      </c>
      <c r="J424" s="1" t="s">
        <v>3606</v>
      </c>
      <c r="K424" s="1"/>
      <c r="L424" s="1"/>
      <c r="M424" s="1"/>
    </row>
    <row x14ac:dyDescent="0.25" r="425" customHeight="1" ht="18.75">
      <c r="A425" s="1" t="s">
        <v>3693</v>
      </c>
      <c r="B425" s="1" t="s">
        <v>4765</v>
      </c>
      <c r="C425" s="1" t="s">
        <v>3600</v>
      </c>
      <c r="D425" s="1" t="s">
        <v>3601</v>
      </c>
      <c r="E425" s="1"/>
      <c r="F425" s="1" t="s">
        <v>4445</v>
      </c>
      <c r="G425" s="1" t="s">
        <v>4766</v>
      </c>
      <c r="H425" s="1" t="s">
        <v>3604</v>
      </c>
      <c r="I425" s="1" t="s">
        <v>4767</v>
      </c>
      <c r="J425" s="1" t="s">
        <v>3606</v>
      </c>
      <c r="K425" s="1"/>
      <c r="L425" s="1"/>
      <c r="M425" s="1"/>
    </row>
    <row x14ac:dyDescent="0.25" r="426" customHeight="1" ht="18.75">
      <c r="A426" s="1" t="s">
        <v>3693</v>
      </c>
      <c r="B426" s="1" t="s">
        <v>4323</v>
      </c>
      <c r="C426" s="1" t="s">
        <v>3600</v>
      </c>
      <c r="D426" s="1" t="s">
        <v>3601</v>
      </c>
      <c r="E426" s="1"/>
      <c r="F426" s="1" t="s">
        <v>4768</v>
      </c>
      <c r="G426" s="1" t="s">
        <v>4769</v>
      </c>
      <c r="H426" s="1" t="s">
        <v>3604</v>
      </c>
      <c r="I426" s="1" t="s">
        <v>4770</v>
      </c>
      <c r="J426" s="1" t="s">
        <v>3615</v>
      </c>
      <c r="K426" s="1"/>
      <c r="L426" s="1"/>
      <c r="M426" s="1"/>
    </row>
    <row x14ac:dyDescent="0.25" r="427" customHeight="1" ht="18.75">
      <c r="A427" s="1" t="s">
        <v>3693</v>
      </c>
      <c r="B427" s="1" t="s">
        <v>4323</v>
      </c>
      <c r="C427" s="1" t="s">
        <v>3600</v>
      </c>
      <c r="D427" s="1" t="s">
        <v>3601</v>
      </c>
      <c r="E427" s="1"/>
      <c r="F427" s="1" t="s">
        <v>4771</v>
      </c>
      <c r="G427" s="1" t="s">
        <v>4434</v>
      </c>
      <c r="H427" s="1" t="s">
        <v>3604</v>
      </c>
      <c r="I427" s="1" t="s">
        <v>4772</v>
      </c>
      <c r="J427" s="1" t="s">
        <v>3615</v>
      </c>
      <c r="K427" s="1"/>
      <c r="L427" s="1"/>
      <c r="M427" s="1"/>
    </row>
    <row x14ac:dyDescent="0.25" r="428" customHeight="1" ht="18.75">
      <c r="A428" s="1" t="s">
        <v>3693</v>
      </c>
      <c r="B428" s="1" t="s">
        <v>4091</v>
      </c>
      <c r="C428" s="1" t="s">
        <v>3600</v>
      </c>
      <c r="D428" s="1" t="s">
        <v>3601</v>
      </c>
      <c r="E428" s="1" t="s">
        <v>3611</v>
      </c>
      <c r="F428" s="1" t="s">
        <v>4773</v>
      </c>
      <c r="G428" s="1" t="s">
        <v>4706</v>
      </c>
      <c r="H428" s="1" t="s">
        <v>3604</v>
      </c>
      <c r="I428" s="1" t="s">
        <v>4774</v>
      </c>
      <c r="J428" s="1" t="s">
        <v>3615</v>
      </c>
      <c r="K428" s="1"/>
      <c r="L428" s="1"/>
      <c r="M428" s="1"/>
    </row>
    <row x14ac:dyDescent="0.25" r="429" customHeight="1" ht="18.75">
      <c r="A429" s="1" t="s">
        <v>3693</v>
      </c>
      <c r="B429" s="1" t="s">
        <v>4091</v>
      </c>
      <c r="C429" s="1" t="s">
        <v>3600</v>
      </c>
      <c r="D429" s="1" t="s">
        <v>3601</v>
      </c>
      <c r="E429" s="1" t="s">
        <v>3611</v>
      </c>
      <c r="F429" s="1" t="s">
        <v>4775</v>
      </c>
      <c r="G429" s="1" t="s">
        <v>4706</v>
      </c>
      <c r="H429" s="1" t="s">
        <v>3604</v>
      </c>
      <c r="I429" s="1" t="s">
        <v>4776</v>
      </c>
      <c r="J429" s="1" t="s">
        <v>3615</v>
      </c>
      <c r="K429" s="1"/>
      <c r="L429" s="1"/>
      <c r="M429" s="1"/>
    </row>
    <row x14ac:dyDescent="0.25" r="430" customHeight="1" ht="18.75">
      <c r="A430" s="1" t="s">
        <v>3693</v>
      </c>
      <c r="B430" s="1" t="s">
        <v>4091</v>
      </c>
      <c r="C430" s="1" t="s">
        <v>3600</v>
      </c>
      <c r="D430" s="1" t="s">
        <v>3601</v>
      </c>
      <c r="E430" s="1" t="s">
        <v>3611</v>
      </c>
      <c r="F430" s="1" t="s">
        <v>4777</v>
      </c>
      <c r="G430" s="1" t="s">
        <v>4706</v>
      </c>
      <c r="H430" s="1" t="s">
        <v>3604</v>
      </c>
      <c r="I430" s="1" t="s">
        <v>4778</v>
      </c>
      <c r="J430" s="1" t="s">
        <v>3615</v>
      </c>
      <c r="K430" s="1"/>
      <c r="L430" s="1"/>
      <c r="M430" s="1"/>
    </row>
    <row x14ac:dyDescent="0.25" r="431" customHeight="1" ht="18.75">
      <c r="A431" s="1" t="s">
        <v>3693</v>
      </c>
      <c r="B431" s="1" t="s">
        <v>4091</v>
      </c>
      <c r="C431" s="1" t="s">
        <v>3600</v>
      </c>
      <c r="D431" s="1" t="s">
        <v>3601</v>
      </c>
      <c r="E431" s="1" t="s">
        <v>3611</v>
      </c>
      <c r="F431" s="1" t="s">
        <v>4779</v>
      </c>
      <c r="G431" s="1" t="s">
        <v>4706</v>
      </c>
      <c r="H431" s="1" t="s">
        <v>3604</v>
      </c>
      <c r="I431" s="1" t="s">
        <v>4780</v>
      </c>
      <c r="J431" s="1" t="s">
        <v>3615</v>
      </c>
      <c r="K431" s="1"/>
      <c r="L431" s="1"/>
      <c r="M431" s="1"/>
    </row>
    <row x14ac:dyDescent="0.25" r="432" customHeight="1" ht="18.75">
      <c r="A432" s="1" t="s">
        <v>3598</v>
      </c>
      <c r="B432" s="1" t="s">
        <v>4781</v>
      </c>
      <c r="C432" s="1" t="s">
        <v>3600</v>
      </c>
      <c r="D432" s="1" t="s">
        <v>3601</v>
      </c>
      <c r="E432" s="1" t="s">
        <v>3664</v>
      </c>
      <c r="F432" s="1" t="s">
        <v>4782</v>
      </c>
      <c r="G432" s="1" t="s">
        <v>4783</v>
      </c>
      <c r="H432" s="1" t="s">
        <v>3604</v>
      </c>
      <c r="I432" s="1" t="s">
        <v>4784</v>
      </c>
      <c r="J432" s="1" t="s">
        <v>3606</v>
      </c>
      <c r="K432" s="1"/>
      <c r="L432" s="1"/>
      <c r="M432" s="1"/>
    </row>
    <row x14ac:dyDescent="0.25" r="433" customHeight="1" ht="18.75">
      <c r="A433" s="1" t="s">
        <v>3598</v>
      </c>
      <c r="B433" s="1" t="s">
        <v>4781</v>
      </c>
      <c r="C433" s="1" t="s">
        <v>3600</v>
      </c>
      <c r="D433" s="1" t="s">
        <v>3601</v>
      </c>
      <c r="E433" s="1" t="s">
        <v>3664</v>
      </c>
      <c r="F433" s="1" t="s">
        <v>4785</v>
      </c>
      <c r="G433" s="1" t="s">
        <v>4783</v>
      </c>
      <c r="H433" s="1" t="s">
        <v>3604</v>
      </c>
      <c r="I433" s="1" t="s">
        <v>4786</v>
      </c>
      <c r="J433" s="1" t="s">
        <v>3606</v>
      </c>
      <c r="K433" s="1"/>
      <c r="L433" s="1"/>
      <c r="M433" s="1"/>
    </row>
    <row x14ac:dyDescent="0.25" r="434" customHeight="1" ht="18.75">
      <c r="A434" s="1" t="s">
        <v>3693</v>
      </c>
      <c r="B434" s="1" t="s">
        <v>4091</v>
      </c>
      <c r="C434" s="1" t="s">
        <v>3600</v>
      </c>
      <c r="D434" s="1" t="s">
        <v>3601</v>
      </c>
      <c r="E434" s="1" t="s">
        <v>3611</v>
      </c>
      <c r="F434" s="1" t="s">
        <v>4787</v>
      </c>
      <c r="G434" s="1" t="s">
        <v>4706</v>
      </c>
      <c r="H434" s="1" t="s">
        <v>3604</v>
      </c>
      <c r="I434" s="1" t="s">
        <v>4788</v>
      </c>
      <c r="J434" s="1" t="s">
        <v>3615</v>
      </c>
      <c r="K434" s="1"/>
      <c r="L434" s="1"/>
      <c r="M434" s="1"/>
    </row>
    <row x14ac:dyDescent="0.25" r="435" customHeight="1" ht="18.75">
      <c r="A435" s="1" t="s">
        <v>3693</v>
      </c>
      <c r="B435" s="1" t="s">
        <v>4247</v>
      </c>
      <c r="C435" s="1" t="s">
        <v>3600</v>
      </c>
      <c r="D435" s="1" t="s">
        <v>3601</v>
      </c>
      <c r="E435" s="1" t="s">
        <v>3664</v>
      </c>
      <c r="F435" s="1" t="s">
        <v>4789</v>
      </c>
      <c r="G435" s="1" t="s">
        <v>4249</v>
      </c>
      <c r="H435" s="1" t="s">
        <v>3604</v>
      </c>
      <c r="I435" s="1" t="s">
        <v>4790</v>
      </c>
      <c r="J435" s="1" t="s">
        <v>3615</v>
      </c>
      <c r="K435" s="1"/>
      <c r="L435" s="1"/>
      <c r="M435" s="1"/>
    </row>
    <row x14ac:dyDescent="0.25" r="436" customHeight="1" ht="18.75">
      <c r="A436" s="1" t="s">
        <v>3693</v>
      </c>
      <c r="B436" s="1" t="s">
        <v>4247</v>
      </c>
      <c r="C436" s="1" t="s">
        <v>3600</v>
      </c>
      <c r="D436" s="1" t="s">
        <v>3601</v>
      </c>
      <c r="E436" s="1" t="s">
        <v>3664</v>
      </c>
      <c r="F436" s="1" t="s">
        <v>4791</v>
      </c>
      <c r="G436" s="1" t="s">
        <v>4249</v>
      </c>
      <c r="H436" s="1" t="s">
        <v>3604</v>
      </c>
      <c r="I436" s="1" t="s">
        <v>4792</v>
      </c>
      <c r="J436" s="1" t="s">
        <v>3615</v>
      </c>
      <c r="K436" s="1"/>
      <c r="L436" s="1"/>
      <c r="M436" s="1"/>
    </row>
    <row x14ac:dyDescent="0.25" r="437" customHeight="1" ht="18.75">
      <c r="A437" s="1" t="s">
        <v>3693</v>
      </c>
      <c r="B437" s="1" t="s">
        <v>4247</v>
      </c>
      <c r="C437" s="1" t="s">
        <v>3600</v>
      </c>
      <c r="D437" s="1" t="s">
        <v>3601</v>
      </c>
      <c r="E437" s="1" t="s">
        <v>3664</v>
      </c>
      <c r="F437" s="1" t="s">
        <v>4793</v>
      </c>
      <c r="G437" s="1" t="s">
        <v>4384</v>
      </c>
      <c r="H437" s="1" t="s">
        <v>3604</v>
      </c>
      <c r="I437" s="1" t="s">
        <v>4794</v>
      </c>
      <c r="J437" s="1" t="s">
        <v>3615</v>
      </c>
      <c r="K437" s="1"/>
      <c r="L437" s="1"/>
      <c r="M437" s="1"/>
    </row>
    <row x14ac:dyDescent="0.25" r="438" customHeight="1" ht="18.75">
      <c r="A438" s="1" t="s">
        <v>3693</v>
      </c>
      <c r="B438" s="1" t="s">
        <v>4247</v>
      </c>
      <c r="C438" s="1" t="s">
        <v>3600</v>
      </c>
      <c r="D438" s="1" t="s">
        <v>3601</v>
      </c>
      <c r="E438" s="1" t="s">
        <v>3664</v>
      </c>
      <c r="F438" s="1" t="s">
        <v>4795</v>
      </c>
      <c r="G438" s="1" t="s">
        <v>4384</v>
      </c>
      <c r="H438" s="1" t="s">
        <v>3604</v>
      </c>
      <c r="I438" s="1" t="s">
        <v>4796</v>
      </c>
      <c r="J438" s="1" t="s">
        <v>3615</v>
      </c>
      <c r="K438" s="1"/>
      <c r="L438" s="1"/>
      <c r="M438" s="1"/>
    </row>
    <row x14ac:dyDescent="0.25" r="439" customHeight="1" ht="18.75">
      <c r="A439" s="1" t="s">
        <v>3693</v>
      </c>
      <c r="B439" s="1" t="s">
        <v>4247</v>
      </c>
      <c r="C439" s="1" t="s">
        <v>3600</v>
      </c>
      <c r="D439" s="1" t="s">
        <v>3601</v>
      </c>
      <c r="E439" s="1" t="s">
        <v>3664</v>
      </c>
      <c r="F439" s="1" t="s">
        <v>4797</v>
      </c>
      <c r="G439" s="1" t="s">
        <v>4386</v>
      </c>
      <c r="H439" s="1" t="s">
        <v>3604</v>
      </c>
      <c r="I439" s="1" t="s">
        <v>4798</v>
      </c>
      <c r="J439" s="1" t="s">
        <v>3615</v>
      </c>
      <c r="K439" s="1"/>
      <c r="L439" s="1"/>
      <c r="M439" s="1"/>
    </row>
    <row x14ac:dyDescent="0.25" r="440" customHeight="1" ht="18.75">
      <c r="A440" s="1" t="s">
        <v>3693</v>
      </c>
      <c r="B440" s="1" t="s">
        <v>4247</v>
      </c>
      <c r="C440" s="1" t="s">
        <v>3600</v>
      </c>
      <c r="D440" s="1" t="s">
        <v>3601</v>
      </c>
      <c r="E440" s="1" t="s">
        <v>3664</v>
      </c>
      <c r="F440" s="1" t="s">
        <v>4799</v>
      </c>
      <c r="G440" s="1" t="s">
        <v>4386</v>
      </c>
      <c r="H440" s="1" t="s">
        <v>3604</v>
      </c>
      <c r="I440" s="1" t="s">
        <v>4800</v>
      </c>
      <c r="J440" s="1" t="s">
        <v>3615</v>
      </c>
      <c r="K440" s="1"/>
      <c r="L440" s="1"/>
      <c r="M440" s="1"/>
    </row>
    <row x14ac:dyDescent="0.25" r="441" customHeight="1" ht="18.75">
      <c r="A441" s="1" t="s">
        <v>3693</v>
      </c>
      <c r="B441" s="1" t="s">
        <v>4247</v>
      </c>
      <c r="C441" s="1" t="s">
        <v>3600</v>
      </c>
      <c r="D441" s="1" t="s">
        <v>3601</v>
      </c>
      <c r="E441" s="1" t="s">
        <v>3664</v>
      </c>
      <c r="F441" s="1" t="s">
        <v>4801</v>
      </c>
      <c r="G441" s="1" t="s">
        <v>4802</v>
      </c>
      <c r="H441" s="1" t="s">
        <v>3604</v>
      </c>
      <c r="I441" s="1" t="s">
        <v>4803</v>
      </c>
      <c r="J441" s="1" t="s">
        <v>3615</v>
      </c>
      <c r="K441" s="1"/>
      <c r="L441" s="1"/>
      <c r="M441" s="1"/>
    </row>
    <row x14ac:dyDescent="0.25" r="442" customHeight="1" ht="18.75">
      <c r="A442" s="1" t="s">
        <v>3693</v>
      </c>
      <c r="B442" s="1" t="s">
        <v>4247</v>
      </c>
      <c r="C442" s="1" t="s">
        <v>3600</v>
      </c>
      <c r="D442" s="1" t="s">
        <v>3601</v>
      </c>
      <c r="E442" s="1" t="s">
        <v>3664</v>
      </c>
      <c r="F442" s="1" t="s">
        <v>4804</v>
      </c>
      <c r="G442" s="1" t="s">
        <v>4738</v>
      </c>
      <c r="H442" s="1" t="s">
        <v>3604</v>
      </c>
      <c r="I442" s="1" t="s">
        <v>4805</v>
      </c>
      <c r="J442" s="1" t="s">
        <v>3615</v>
      </c>
      <c r="K442" s="1"/>
      <c r="L442" s="1"/>
      <c r="M442" s="1"/>
    </row>
    <row x14ac:dyDescent="0.25" r="443" customHeight="1" ht="18.75">
      <c r="A443" s="1" t="s">
        <v>3693</v>
      </c>
      <c r="B443" s="1" t="s">
        <v>4323</v>
      </c>
      <c r="C443" s="1" t="s">
        <v>3600</v>
      </c>
      <c r="D443" s="1" t="s">
        <v>3601</v>
      </c>
      <c r="E443" s="1"/>
      <c r="F443" s="1" t="s">
        <v>4806</v>
      </c>
      <c r="G443" s="1" t="s">
        <v>4346</v>
      </c>
      <c r="H443" s="1" t="s">
        <v>3604</v>
      </c>
      <c r="I443" s="1" t="s">
        <v>4807</v>
      </c>
      <c r="J443" s="1" t="s">
        <v>3615</v>
      </c>
      <c r="K443" s="1"/>
      <c r="L443" s="1"/>
      <c r="M443" s="1"/>
    </row>
    <row x14ac:dyDescent="0.25" r="444" customHeight="1" ht="18.75">
      <c r="A444" s="1" t="s">
        <v>3693</v>
      </c>
      <c r="B444" s="1" t="s">
        <v>4247</v>
      </c>
      <c r="C444" s="1" t="s">
        <v>3600</v>
      </c>
      <c r="D444" s="1" t="s">
        <v>3601</v>
      </c>
      <c r="E444" s="1" t="s">
        <v>3664</v>
      </c>
      <c r="F444" s="1" t="s">
        <v>4808</v>
      </c>
      <c r="G444" s="1" t="s">
        <v>4741</v>
      </c>
      <c r="H444" s="1" t="s">
        <v>3604</v>
      </c>
      <c r="I444" s="1" t="s">
        <v>4809</v>
      </c>
      <c r="J444" s="1" t="s">
        <v>3615</v>
      </c>
      <c r="K444" s="1"/>
      <c r="L444" s="1"/>
      <c r="M444" s="1"/>
    </row>
    <row x14ac:dyDescent="0.25" r="445" customHeight="1" ht="18.75">
      <c r="A445" s="1" t="s">
        <v>3693</v>
      </c>
      <c r="B445" s="1" t="s">
        <v>4247</v>
      </c>
      <c r="C445" s="1" t="s">
        <v>3600</v>
      </c>
      <c r="D445" s="1" t="s">
        <v>3601</v>
      </c>
      <c r="E445" s="1" t="s">
        <v>3664</v>
      </c>
      <c r="F445" s="1" t="s">
        <v>4810</v>
      </c>
      <c r="G445" s="1" t="s">
        <v>4811</v>
      </c>
      <c r="H445" s="1" t="s">
        <v>3604</v>
      </c>
      <c r="I445" s="1" t="s">
        <v>4812</v>
      </c>
      <c r="J445" s="1" t="s">
        <v>3615</v>
      </c>
      <c r="K445" s="1"/>
      <c r="L445" s="1"/>
      <c r="M445" s="1"/>
    </row>
    <row x14ac:dyDescent="0.25" r="446" customHeight="1" ht="18.75">
      <c r="A446" s="1" t="s">
        <v>3693</v>
      </c>
      <c r="B446" s="1" t="s">
        <v>4162</v>
      </c>
      <c r="C446" s="1" t="s">
        <v>3619</v>
      </c>
      <c r="D446" s="1" t="s">
        <v>3601</v>
      </c>
      <c r="E446" s="1" t="s">
        <v>3611</v>
      </c>
      <c r="F446" s="1" t="s">
        <v>4813</v>
      </c>
      <c r="G446" s="1" t="s">
        <v>4163</v>
      </c>
      <c r="H446" s="1" t="s">
        <v>3604</v>
      </c>
      <c r="I446" s="1" t="s">
        <v>4814</v>
      </c>
      <c r="J446" s="1" t="s">
        <v>3615</v>
      </c>
      <c r="K446" s="1"/>
      <c r="L446" s="1"/>
      <c r="M446" s="1"/>
    </row>
    <row x14ac:dyDescent="0.25" r="447" customHeight="1" ht="18.75">
      <c r="A447" s="1" t="s">
        <v>3693</v>
      </c>
      <c r="B447" s="1" t="s">
        <v>4247</v>
      </c>
      <c r="C447" s="1" t="s">
        <v>3600</v>
      </c>
      <c r="D447" s="1" t="s">
        <v>3601</v>
      </c>
      <c r="E447" s="1" t="s">
        <v>3664</v>
      </c>
      <c r="F447" s="1" t="s">
        <v>4815</v>
      </c>
      <c r="G447" s="1" t="s">
        <v>4741</v>
      </c>
      <c r="H447" s="1" t="s">
        <v>3604</v>
      </c>
      <c r="I447" s="1" t="s">
        <v>4816</v>
      </c>
      <c r="J447" s="1" t="s">
        <v>3615</v>
      </c>
      <c r="K447" s="1"/>
      <c r="L447" s="1"/>
      <c r="M447" s="1"/>
    </row>
    <row x14ac:dyDescent="0.25" r="448" customHeight="1" ht="18.75">
      <c r="A448" s="1" t="s">
        <v>3693</v>
      </c>
      <c r="B448" s="1" t="s">
        <v>4247</v>
      </c>
      <c r="C448" s="1" t="s">
        <v>3600</v>
      </c>
      <c r="D448" s="1" t="s">
        <v>3601</v>
      </c>
      <c r="E448" s="1" t="s">
        <v>3664</v>
      </c>
      <c r="F448" s="1" t="s">
        <v>4817</v>
      </c>
      <c r="G448" s="1" t="s">
        <v>4249</v>
      </c>
      <c r="H448" s="1" t="s">
        <v>3604</v>
      </c>
      <c r="I448" s="1" t="s">
        <v>4818</v>
      </c>
      <c r="J448" s="1" t="s">
        <v>3606</v>
      </c>
      <c r="K448" s="1"/>
      <c r="L448" s="1"/>
      <c r="M448" s="1"/>
    </row>
    <row x14ac:dyDescent="0.25" r="449" customHeight="1" ht="18.75">
      <c r="A449" s="1" t="s">
        <v>3693</v>
      </c>
      <c r="B449" s="1" t="s">
        <v>4247</v>
      </c>
      <c r="C449" s="1" t="s">
        <v>3600</v>
      </c>
      <c r="D449" s="1" t="s">
        <v>3601</v>
      </c>
      <c r="E449" s="1" t="s">
        <v>3664</v>
      </c>
      <c r="F449" s="1" t="s">
        <v>4819</v>
      </c>
      <c r="G449" s="1" t="s">
        <v>4811</v>
      </c>
      <c r="H449" s="1" t="s">
        <v>3604</v>
      </c>
      <c r="I449" s="1" t="s">
        <v>4820</v>
      </c>
      <c r="J449" s="1" t="s">
        <v>3615</v>
      </c>
      <c r="K449" s="1"/>
      <c r="L449" s="1"/>
      <c r="M449" s="1"/>
    </row>
    <row x14ac:dyDescent="0.25" r="450" customHeight="1" ht="18.75">
      <c r="A450" s="1" t="s">
        <v>3693</v>
      </c>
      <c r="B450" s="1" t="s">
        <v>4091</v>
      </c>
      <c r="C450" s="1" t="s">
        <v>3600</v>
      </c>
      <c r="D450" s="1" t="s">
        <v>3601</v>
      </c>
      <c r="E450" s="1" t="s">
        <v>3893</v>
      </c>
      <c r="F450" s="1" t="s">
        <v>4821</v>
      </c>
      <c r="G450" s="1" t="s">
        <v>4449</v>
      </c>
      <c r="H450" s="1" t="s">
        <v>3604</v>
      </c>
      <c r="I450" s="1" t="s">
        <v>4822</v>
      </c>
      <c r="J450" s="1" t="s">
        <v>3615</v>
      </c>
      <c r="K450" s="1"/>
      <c r="L450" s="1"/>
      <c r="M450" s="1"/>
    </row>
    <row x14ac:dyDescent="0.25" r="451" customHeight="1" ht="18.75">
      <c r="A451" s="1" t="s">
        <v>3693</v>
      </c>
      <c r="B451" s="1" t="s">
        <v>4091</v>
      </c>
      <c r="C451" s="1" t="s">
        <v>3600</v>
      </c>
      <c r="D451" s="1" t="s">
        <v>3601</v>
      </c>
      <c r="E451" s="1" t="s">
        <v>3893</v>
      </c>
      <c r="F451" s="1" t="s">
        <v>4823</v>
      </c>
      <c r="G451" s="1" t="s">
        <v>4449</v>
      </c>
      <c r="H451" s="1" t="s">
        <v>3604</v>
      </c>
      <c r="I451" s="1" t="s">
        <v>4824</v>
      </c>
      <c r="J451" s="1" t="s">
        <v>3615</v>
      </c>
      <c r="K451" s="1"/>
      <c r="L451" s="1"/>
      <c r="M451" s="1"/>
    </row>
    <row x14ac:dyDescent="0.25" r="452" customHeight="1" ht="18.75">
      <c r="A452" s="1" t="s">
        <v>3693</v>
      </c>
      <c r="B452" s="1" t="s">
        <v>4083</v>
      </c>
      <c r="C452" s="1" t="s">
        <v>3600</v>
      </c>
      <c r="D452" s="1" t="s">
        <v>3601</v>
      </c>
      <c r="E452" s="1" t="s">
        <v>3893</v>
      </c>
      <c r="F452" s="1" t="s">
        <v>4825</v>
      </c>
      <c r="G452" s="1" t="s">
        <v>4826</v>
      </c>
      <c r="H452" s="1" t="s">
        <v>3604</v>
      </c>
      <c r="I452" s="1" t="s">
        <v>4827</v>
      </c>
      <c r="J452" s="1" t="s">
        <v>3615</v>
      </c>
      <c r="K452" s="1"/>
      <c r="L452" s="1"/>
      <c r="M452" s="1"/>
    </row>
    <row x14ac:dyDescent="0.25" r="453" customHeight="1" ht="18.75">
      <c r="A453" s="1" t="s">
        <v>3693</v>
      </c>
      <c r="B453" s="1" t="s">
        <v>4083</v>
      </c>
      <c r="C453" s="1" t="s">
        <v>3600</v>
      </c>
      <c r="D453" s="1" t="s">
        <v>3601</v>
      </c>
      <c r="E453" s="1" t="s">
        <v>3893</v>
      </c>
      <c r="F453" s="1" t="s">
        <v>4828</v>
      </c>
      <c r="G453" s="1" t="s">
        <v>4826</v>
      </c>
      <c r="H453" s="1" t="s">
        <v>3604</v>
      </c>
      <c r="I453" s="1" t="s">
        <v>4829</v>
      </c>
      <c r="J453" s="1" t="s">
        <v>3615</v>
      </c>
      <c r="K453" s="1"/>
      <c r="L453" s="1"/>
      <c r="M453" s="1"/>
    </row>
    <row x14ac:dyDescent="0.25" r="454" customHeight="1" ht="18.75">
      <c r="A454" s="1" t="s">
        <v>3693</v>
      </c>
      <c r="B454" s="1" t="s">
        <v>4083</v>
      </c>
      <c r="C454" s="1" t="s">
        <v>3600</v>
      </c>
      <c r="D454" s="1" t="s">
        <v>3601</v>
      </c>
      <c r="E454" s="1" t="s">
        <v>3893</v>
      </c>
      <c r="F454" s="1" t="s">
        <v>4830</v>
      </c>
      <c r="G454" s="1" t="s">
        <v>4826</v>
      </c>
      <c r="H454" s="1" t="s">
        <v>3604</v>
      </c>
      <c r="I454" s="1" t="s">
        <v>4831</v>
      </c>
      <c r="J454" s="1" t="s">
        <v>3615</v>
      </c>
      <c r="K454" s="1"/>
      <c r="L454" s="1"/>
      <c r="M454" s="1"/>
    </row>
    <row x14ac:dyDescent="0.25" r="455" customHeight="1" ht="18.75">
      <c r="A455" s="1" t="s">
        <v>3617</v>
      </c>
      <c r="B455" s="1" t="s">
        <v>4832</v>
      </c>
      <c r="C455" s="1" t="s">
        <v>4488</v>
      </c>
      <c r="D455" s="1" t="s">
        <v>3601</v>
      </c>
      <c r="E455" s="1"/>
      <c r="F455" s="1" t="s">
        <v>4833</v>
      </c>
      <c r="G455" s="1" t="s">
        <v>4834</v>
      </c>
      <c r="H455" s="1" t="s">
        <v>3604</v>
      </c>
      <c r="I455" s="1" t="s">
        <v>4835</v>
      </c>
      <c r="J455" s="1" t="s">
        <v>3606</v>
      </c>
      <c r="K455" s="1"/>
      <c r="L455" s="1"/>
      <c r="M455" s="1"/>
    </row>
    <row x14ac:dyDescent="0.25" r="456" customHeight="1" ht="18.75">
      <c r="A456" s="1" t="s">
        <v>3617</v>
      </c>
      <c r="B456" s="1" t="s">
        <v>4836</v>
      </c>
      <c r="C456" s="1" t="s">
        <v>4488</v>
      </c>
      <c r="D456" s="1" t="s">
        <v>3601</v>
      </c>
      <c r="E456" s="1"/>
      <c r="F456" s="1" t="s">
        <v>4833</v>
      </c>
      <c r="G456" s="1" t="s">
        <v>4837</v>
      </c>
      <c r="H456" s="1" t="s">
        <v>3604</v>
      </c>
      <c r="I456" s="1" t="s">
        <v>4838</v>
      </c>
      <c r="J456" s="1" t="s">
        <v>3606</v>
      </c>
      <c r="K456" s="1"/>
      <c r="L456" s="1"/>
      <c r="M456" s="1"/>
    </row>
    <row x14ac:dyDescent="0.25" r="457" customHeight="1" ht="18.75">
      <c r="A457" s="1" t="s">
        <v>3617</v>
      </c>
      <c r="B457" s="1" t="s">
        <v>4839</v>
      </c>
      <c r="C457" s="1" t="s">
        <v>3619</v>
      </c>
      <c r="D457" s="1" t="s">
        <v>3601</v>
      </c>
      <c r="E457" s="1"/>
      <c r="F457" s="1" t="s">
        <v>4840</v>
      </c>
      <c r="G457" s="1" t="s">
        <v>4841</v>
      </c>
      <c r="H457" s="1" t="s">
        <v>3604</v>
      </c>
      <c r="I457" s="1" t="s">
        <v>4842</v>
      </c>
      <c r="J457" s="1" t="s">
        <v>3606</v>
      </c>
      <c r="K457" s="1"/>
      <c r="L457" s="1"/>
      <c r="M457" s="1"/>
    </row>
    <row x14ac:dyDescent="0.25" r="458" customHeight="1" ht="18.75">
      <c r="A458" s="1" t="s">
        <v>3617</v>
      </c>
      <c r="B458" s="1" t="s">
        <v>4843</v>
      </c>
      <c r="C458" s="1" t="s">
        <v>3619</v>
      </c>
      <c r="D458" s="1" t="s">
        <v>3601</v>
      </c>
      <c r="E458" s="1"/>
      <c r="F458" s="1" t="s">
        <v>4844</v>
      </c>
      <c r="G458" s="1" t="s">
        <v>4845</v>
      </c>
      <c r="H458" s="1" t="s">
        <v>3604</v>
      </c>
      <c r="I458" s="1" t="s">
        <v>4846</v>
      </c>
      <c r="J458" s="1" t="s">
        <v>3606</v>
      </c>
      <c r="K458" s="1"/>
      <c r="L458" s="1"/>
      <c r="M458" s="1"/>
    </row>
    <row x14ac:dyDescent="0.25" r="459" customHeight="1" ht="18.75">
      <c r="A459" s="1" t="s">
        <v>3693</v>
      </c>
      <c r="B459" s="1" t="s">
        <v>4083</v>
      </c>
      <c r="C459" s="1" t="s">
        <v>3600</v>
      </c>
      <c r="D459" s="1" t="s">
        <v>3601</v>
      </c>
      <c r="E459" s="1" t="s">
        <v>3893</v>
      </c>
      <c r="F459" s="1" t="s">
        <v>4847</v>
      </c>
      <c r="G459" s="1" t="s">
        <v>4848</v>
      </c>
      <c r="H459" s="1" t="s">
        <v>3604</v>
      </c>
      <c r="I459" s="1" t="s">
        <v>4849</v>
      </c>
      <c r="J459" s="1" t="s">
        <v>3606</v>
      </c>
      <c r="K459" s="1"/>
      <c r="L459" s="1"/>
      <c r="M459" s="1"/>
    </row>
    <row x14ac:dyDescent="0.25" r="460" customHeight="1" ht="18.75">
      <c r="A460" s="1" t="s">
        <v>3693</v>
      </c>
      <c r="B460" s="1" t="s">
        <v>4083</v>
      </c>
      <c r="C460" s="1" t="s">
        <v>3600</v>
      </c>
      <c r="D460" s="1" t="s">
        <v>3601</v>
      </c>
      <c r="E460" s="1" t="s">
        <v>3893</v>
      </c>
      <c r="F460" s="1" t="s">
        <v>4850</v>
      </c>
      <c r="G460" s="1" t="s">
        <v>4851</v>
      </c>
      <c r="H460" s="1" t="s">
        <v>3604</v>
      </c>
      <c r="I460" s="1" t="s">
        <v>4852</v>
      </c>
      <c r="J460" s="1" t="s">
        <v>3615</v>
      </c>
      <c r="K460" s="1"/>
      <c r="L460" s="1"/>
      <c r="M460" s="1"/>
    </row>
    <row x14ac:dyDescent="0.25" r="461" customHeight="1" ht="18.75">
      <c r="A461" s="1" t="s">
        <v>3693</v>
      </c>
      <c r="B461" s="1" t="s">
        <v>4083</v>
      </c>
      <c r="C461" s="1" t="s">
        <v>3600</v>
      </c>
      <c r="D461" s="1" t="s">
        <v>3601</v>
      </c>
      <c r="E461" s="1" t="s">
        <v>3893</v>
      </c>
      <c r="F461" s="1" t="s">
        <v>4853</v>
      </c>
      <c r="G461" s="1" t="s">
        <v>4851</v>
      </c>
      <c r="H461" s="1" t="s">
        <v>3604</v>
      </c>
      <c r="I461" s="1" t="s">
        <v>4854</v>
      </c>
      <c r="J461" s="1" t="s">
        <v>3615</v>
      </c>
      <c r="K461" s="1"/>
      <c r="L461" s="1"/>
      <c r="M461" s="1"/>
    </row>
    <row x14ac:dyDescent="0.25" r="462" customHeight="1" ht="18.75">
      <c r="A462" s="1" t="s">
        <v>3693</v>
      </c>
      <c r="B462" s="1" t="s">
        <v>4083</v>
      </c>
      <c r="C462" s="1" t="s">
        <v>3600</v>
      </c>
      <c r="D462" s="1" t="s">
        <v>3601</v>
      </c>
      <c r="E462" s="1" t="s">
        <v>3893</v>
      </c>
      <c r="F462" s="1" t="s">
        <v>4855</v>
      </c>
      <c r="G462" s="1" t="s">
        <v>4851</v>
      </c>
      <c r="H462" s="1" t="s">
        <v>3604</v>
      </c>
      <c r="I462" s="1" t="s">
        <v>4856</v>
      </c>
      <c r="J462" s="1" t="s">
        <v>3615</v>
      </c>
      <c r="K462" s="1"/>
      <c r="L462" s="1"/>
      <c r="M462" s="1"/>
    </row>
    <row x14ac:dyDescent="0.25" r="463" customHeight="1" ht="18.75">
      <c r="A463" s="1" t="s">
        <v>3693</v>
      </c>
      <c r="B463" s="1" t="s">
        <v>4083</v>
      </c>
      <c r="C463" s="1" t="s">
        <v>3600</v>
      </c>
      <c r="D463" s="1" t="s">
        <v>3601</v>
      </c>
      <c r="E463" s="1" t="s">
        <v>3893</v>
      </c>
      <c r="F463" s="1" t="s">
        <v>4857</v>
      </c>
      <c r="G463" s="1" t="s">
        <v>4851</v>
      </c>
      <c r="H463" s="1" t="s">
        <v>3604</v>
      </c>
      <c r="I463" s="1" t="s">
        <v>4858</v>
      </c>
      <c r="J463" s="1" t="s">
        <v>3606</v>
      </c>
      <c r="K463" s="1"/>
      <c r="L463" s="1"/>
      <c r="M463" s="1"/>
    </row>
    <row x14ac:dyDescent="0.25" r="464" customHeight="1" ht="18.75">
      <c r="A464" s="1" t="s">
        <v>3693</v>
      </c>
      <c r="B464" s="1" t="s">
        <v>4083</v>
      </c>
      <c r="C464" s="1" t="s">
        <v>3600</v>
      </c>
      <c r="D464" s="1" t="s">
        <v>3601</v>
      </c>
      <c r="E464" s="1" t="s">
        <v>3893</v>
      </c>
      <c r="F464" s="1" t="s">
        <v>4859</v>
      </c>
      <c r="G464" s="1" t="s">
        <v>4851</v>
      </c>
      <c r="H464" s="1" t="s">
        <v>3604</v>
      </c>
      <c r="I464" s="1" t="s">
        <v>4860</v>
      </c>
      <c r="J464" s="1" t="s">
        <v>3606</v>
      </c>
      <c r="K464" s="1"/>
      <c r="L464" s="1"/>
      <c r="M464" s="1"/>
    </row>
    <row x14ac:dyDescent="0.25" r="465" customHeight="1" ht="18.75">
      <c r="A465" s="1" t="s">
        <v>3693</v>
      </c>
      <c r="B465" s="1" t="s">
        <v>4083</v>
      </c>
      <c r="C465" s="1" t="s">
        <v>3600</v>
      </c>
      <c r="D465" s="1" t="s">
        <v>3601</v>
      </c>
      <c r="E465" s="1" t="s">
        <v>3893</v>
      </c>
      <c r="F465" s="1" t="s">
        <v>4861</v>
      </c>
      <c r="G465" s="1" t="s">
        <v>4851</v>
      </c>
      <c r="H465" s="1" t="s">
        <v>3604</v>
      </c>
      <c r="I465" s="1" t="s">
        <v>4862</v>
      </c>
      <c r="J465" s="1" t="s">
        <v>3606</v>
      </c>
      <c r="K465" s="1"/>
      <c r="L465" s="1"/>
      <c r="M465" s="1"/>
    </row>
    <row x14ac:dyDescent="0.25" r="466" customHeight="1" ht="18.75">
      <c r="A466" s="1" t="s">
        <v>3693</v>
      </c>
      <c r="B466" s="1" t="s">
        <v>4083</v>
      </c>
      <c r="C466" s="1" t="s">
        <v>3600</v>
      </c>
      <c r="D466" s="1" t="s">
        <v>3601</v>
      </c>
      <c r="E466" s="1" t="s">
        <v>3893</v>
      </c>
      <c r="F466" s="1" t="s">
        <v>4863</v>
      </c>
      <c r="G466" s="1" t="s">
        <v>4848</v>
      </c>
      <c r="H466" s="1" t="s">
        <v>3604</v>
      </c>
      <c r="I466" s="1" t="s">
        <v>4864</v>
      </c>
      <c r="J466" s="1" t="s">
        <v>3615</v>
      </c>
      <c r="K466" s="1"/>
      <c r="L466" s="1"/>
      <c r="M466" s="1"/>
    </row>
    <row x14ac:dyDescent="0.25" r="467" customHeight="1" ht="18.75">
      <c r="A467" s="1" t="s">
        <v>3693</v>
      </c>
      <c r="B467" s="1" t="s">
        <v>4083</v>
      </c>
      <c r="C467" s="1" t="s">
        <v>3600</v>
      </c>
      <c r="D467" s="1" t="s">
        <v>3601</v>
      </c>
      <c r="E467" s="1" t="s">
        <v>3893</v>
      </c>
      <c r="F467" s="1" t="s">
        <v>4865</v>
      </c>
      <c r="G467" s="1" t="s">
        <v>4851</v>
      </c>
      <c r="H467" s="1" t="s">
        <v>3604</v>
      </c>
      <c r="I467" s="1" t="s">
        <v>4866</v>
      </c>
      <c r="J467" s="1" t="s">
        <v>3615</v>
      </c>
      <c r="K467" s="1"/>
      <c r="L467" s="1"/>
      <c r="M467" s="1"/>
    </row>
    <row x14ac:dyDescent="0.25" r="468" customHeight="1" ht="18.75">
      <c r="A468" s="1" t="s">
        <v>3693</v>
      </c>
      <c r="B468" s="1" t="s">
        <v>4083</v>
      </c>
      <c r="C468" s="1" t="s">
        <v>3600</v>
      </c>
      <c r="D468" s="1" t="s">
        <v>3601</v>
      </c>
      <c r="E468" s="1" t="s">
        <v>3893</v>
      </c>
      <c r="F468" s="1" t="s">
        <v>4867</v>
      </c>
      <c r="G468" s="1" t="s">
        <v>4851</v>
      </c>
      <c r="H468" s="1" t="s">
        <v>3604</v>
      </c>
      <c r="I468" s="1" t="s">
        <v>4868</v>
      </c>
      <c r="J468" s="1" t="s">
        <v>3615</v>
      </c>
      <c r="K468" s="1"/>
      <c r="L468" s="1"/>
      <c r="M468" s="1"/>
    </row>
    <row x14ac:dyDescent="0.25" r="469" customHeight="1" ht="18.75">
      <c r="A469" s="1" t="s">
        <v>3693</v>
      </c>
      <c r="B469" s="1" t="s">
        <v>4083</v>
      </c>
      <c r="C469" s="1" t="s">
        <v>3600</v>
      </c>
      <c r="D469" s="1" t="s">
        <v>3601</v>
      </c>
      <c r="E469" s="1" t="s">
        <v>3893</v>
      </c>
      <c r="F469" s="1" t="s">
        <v>4869</v>
      </c>
      <c r="G469" s="1" t="s">
        <v>4851</v>
      </c>
      <c r="H469" s="1" t="s">
        <v>3604</v>
      </c>
      <c r="I469" s="1" t="s">
        <v>4870</v>
      </c>
      <c r="J469" s="1" t="s">
        <v>3615</v>
      </c>
      <c r="K469" s="1"/>
      <c r="L469" s="1"/>
      <c r="M469" s="1"/>
    </row>
    <row x14ac:dyDescent="0.25" r="470" customHeight="1" ht="18.75">
      <c r="A470" s="1" t="s">
        <v>3693</v>
      </c>
      <c r="B470" s="1" t="s">
        <v>4083</v>
      </c>
      <c r="C470" s="1" t="s">
        <v>3600</v>
      </c>
      <c r="D470" s="1" t="s">
        <v>3601</v>
      </c>
      <c r="E470" s="1" t="s">
        <v>3893</v>
      </c>
      <c r="F470" s="1" t="s">
        <v>4871</v>
      </c>
      <c r="G470" s="1" t="s">
        <v>4851</v>
      </c>
      <c r="H470" s="1" t="s">
        <v>3604</v>
      </c>
      <c r="I470" s="1" t="s">
        <v>4872</v>
      </c>
      <c r="J470" s="1" t="s">
        <v>3615</v>
      </c>
      <c r="K470" s="1"/>
      <c r="L470" s="1"/>
      <c r="M470" s="1"/>
    </row>
    <row x14ac:dyDescent="0.25" r="471" customHeight="1" ht="18.75">
      <c r="A471" s="1" t="s">
        <v>3693</v>
      </c>
      <c r="B471" s="1" t="s">
        <v>4083</v>
      </c>
      <c r="C471" s="1" t="s">
        <v>3600</v>
      </c>
      <c r="D471" s="1" t="s">
        <v>3601</v>
      </c>
      <c r="E471" s="1" t="s">
        <v>3893</v>
      </c>
      <c r="F471" s="1" t="s">
        <v>4873</v>
      </c>
      <c r="G471" s="1" t="s">
        <v>4851</v>
      </c>
      <c r="H471" s="1" t="s">
        <v>3604</v>
      </c>
      <c r="I471" s="1" t="s">
        <v>4874</v>
      </c>
      <c r="J471" s="1" t="s">
        <v>3615</v>
      </c>
      <c r="K471" s="1"/>
      <c r="L471" s="1"/>
      <c r="M471" s="1"/>
    </row>
    <row x14ac:dyDescent="0.25" r="472" customHeight="1" ht="18.75">
      <c r="A472" s="1" t="s">
        <v>3693</v>
      </c>
      <c r="B472" s="1" t="s">
        <v>4083</v>
      </c>
      <c r="C472" s="1" t="s">
        <v>3600</v>
      </c>
      <c r="D472" s="1" t="s">
        <v>3601</v>
      </c>
      <c r="E472" s="1" t="s">
        <v>3893</v>
      </c>
      <c r="F472" s="1" t="s">
        <v>4875</v>
      </c>
      <c r="G472" s="1" t="s">
        <v>4851</v>
      </c>
      <c r="H472" s="1" t="s">
        <v>3604</v>
      </c>
      <c r="I472" s="1" t="s">
        <v>4876</v>
      </c>
      <c r="J472" s="1" t="s">
        <v>3615</v>
      </c>
      <c r="K472" s="1"/>
      <c r="L472" s="1"/>
      <c r="M472" s="1"/>
    </row>
    <row x14ac:dyDescent="0.25" r="473" customHeight="1" ht="18.75">
      <c r="A473" s="1" t="s">
        <v>3693</v>
      </c>
      <c r="B473" s="1" t="s">
        <v>4083</v>
      </c>
      <c r="C473" s="1" t="s">
        <v>3600</v>
      </c>
      <c r="D473" s="1" t="s">
        <v>3601</v>
      </c>
      <c r="E473" s="1" t="s">
        <v>3893</v>
      </c>
      <c r="F473" s="1" t="s">
        <v>4877</v>
      </c>
      <c r="G473" s="1" t="s">
        <v>4851</v>
      </c>
      <c r="H473" s="1" t="s">
        <v>3604</v>
      </c>
      <c r="I473" s="1" t="s">
        <v>4878</v>
      </c>
      <c r="J473" s="1" t="s">
        <v>3615</v>
      </c>
      <c r="K473" s="1"/>
      <c r="L473" s="1"/>
      <c r="M473" s="1"/>
    </row>
    <row x14ac:dyDescent="0.25" r="474" customHeight="1" ht="18.75">
      <c r="A474" s="1" t="s">
        <v>3693</v>
      </c>
      <c r="B474" s="1" t="s">
        <v>4083</v>
      </c>
      <c r="C474" s="1" t="s">
        <v>3600</v>
      </c>
      <c r="D474" s="1" t="s">
        <v>3601</v>
      </c>
      <c r="E474" s="1" t="s">
        <v>3893</v>
      </c>
      <c r="F474" s="1" t="s">
        <v>4879</v>
      </c>
      <c r="G474" s="1" t="s">
        <v>4851</v>
      </c>
      <c r="H474" s="1" t="s">
        <v>3604</v>
      </c>
      <c r="I474" s="1" t="s">
        <v>4880</v>
      </c>
      <c r="J474" s="1" t="s">
        <v>3606</v>
      </c>
      <c r="K474" s="1"/>
      <c r="L474" s="1"/>
      <c r="M474" s="1"/>
    </row>
    <row x14ac:dyDescent="0.25" r="475" customHeight="1" ht="18.75">
      <c r="A475" s="1" t="s">
        <v>3693</v>
      </c>
      <c r="B475" s="1" t="s">
        <v>4083</v>
      </c>
      <c r="C475" s="1" t="s">
        <v>3600</v>
      </c>
      <c r="D475" s="1" t="s">
        <v>3601</v>
      </c>
      <c r="E475" s="1" t="s">
        <v>3893</v>
      </c>
      <c r="F475" s="1" t="s">
        <v>4881</v>
      </c>
      <c r="G475" s="1" t="s">
        <v>4851</v>
      </c>
      <c r="H475" s="1" t="s">
        <v>3604</v>
      </c>
      <c r="I475" s="1" t="s">
        <v>4882</v>
      </c>
      <c r="J475" s="1" t="s">
        <v>3606</v>
      </c>
      <c r="K475" s="1"/>
      <c r="L475" s="1"/>
      <c r="M475" s="1"/>
    </row>
    <row x14ac:dyDescent="0.25" r="476" customHeight="1" ht="18.75">
      <c r="A476" s="1" t="s">
        <v>3693</v>
      </c>
      <c r="B476" s="1" t="s">
        <v>4083</v>
      </c>
      <c r="C476" s="1" t="s">
        <v>3600</v>
      </c>
      <c r="D476" s="1" t="s">
        <v>3601</v>
      </c>
      <c r="E476" s="1" t="s">
        <v>3893</v>
      </c>
      <c r="F476" s="1" t="s">
        <v>4883</v>
      </c>
      <c r="G476" s="1" t="s">
        <v>4851</v>
      </c>
      <c r="H476" s="1" t="s">
        <v>3604</v>
      </c>
      <c r="I476" s="1" t="s">
        <v>4884</v>
      </c>
      <c r="J476" s="1" t="s">
        <v>3606</v>
      </c>
      <c r="K476" s="1"/>
      <c r="L476" s="1"/>
      <c r="M476" s="1"/>
    </row>
    <row x14ac:dyDescent="0.25" r="477" customHeight="1" ht="18.75">
      <c r="A477" s="1" t="s">
        <v>3693</v>
      </c>
      <c r="B477" s="1" t="s">
        <v>4083</v>
      </c>
      <c r="C477" s="1" t="s">
        <v>3600</v>
      </c>
      <c r="D477" s="1" t="s">
        <v>3601</v>
      </c>
      <c r="E477" s="1" t="s">
        <v>3893</v>
      </c>
      <c r="F477" s="1" t="s">
        <v>4885</v>
      </c>
      <c r="G477" s="1" t="s">
        <v>4848</v>
      </c>
      <c r="H477" s="1" t="s">
        <v>3604</v>
      </c>
      <c r="I477" s="1" t="s">
        <v>4886</v>
      </c>
      <c r="J477" s="1" t="s">
        <v>3606</v>
      </c>
      <c r="K477" s="1"/>
      <c r="L477" s="1"/>
      <c r="M477" s="1"/>
    </row>
    <row x14ac:dyDescent="0.25" r="478" customHeight="1" ht="18.75">
      <c r="A478" s="1" t="s">
        <v>3617</v>
      </c>
      <c r="B478" s="1" t="s">
        <v>3729</v>
      </c>
      <c r="C478" s="1" t="s">
        <v>3619</v>
      </c>
      <c r="D478" s="1" t="s">
        <v>3601</v>
      </c>
      <c r="E478" s="1" t="s">
        <v>3893</v>
      </c>
      <c r="F478" s="1" t="s">
        <v>4887</v>
      </c>
      <c r="G478" s="1" t="s">
        <v>4457</v>
      </c>
      <c r="H478" s="1" t="s">
        <v>3604</v>
      </c>
      <c r="I478" s="1" t="s">
        <v>4888</v>
      </c>
      <c r="J478" s="1" t="s">
        <v>3606</v>
      </c>
      <c r="K478" s="1"/>
      <c r="L478" s="1"/>
      <c r="M478" s="1"/>
    </row>
    <row x14ac:dyDescent="0.25" r="479" customHeight="1" ht="18.75">
      <c r="A479" s="1" t="s">
        <v>3617</v>
      </c>
      <c r="B479" s="1" t="s">
        <v>3729</v>
      </c>
      <c r="C479" s="1" t="s">
        <v>3619</v>
      </c>
      <c r="D479" s="1" t="s">
        <v>3601</v>
      </c>
      <c r="E479" s="1" t="s">
        <v>3893</v>
      </c>
      <c r="F479" s="1" t="s">
        <v>4889</v>
      </c>
      <c r="G479" s="1" t="s">
        <v>4457</v>
      </c>
      <c r="H479" s="1" t="s">
        <v>3604</v>
      </c>
      <c r="I479" s="1" t="s">
        <v>4890</v>
      </c>
      <c r="J479" s="1" t="s">
        <v>3606</v>
      </c>
      <c r="K479" s="1"/>
      <c r="L479" s="1"/>
      <c r="M479" s="1"/>
    </row>
    <row x14ac:dyDescent="0.25" r="480" customHeight="1" ht="18.75">
      <c r="A480" s="1" t="s">
        <v>3617</v>
      </c>
      <c r="B480" s="1" t="s">
        <v>4614</v>
      </c>
      <c r="C480" s="1" t="s">
        <v>3600</v>
      </c>
      <c r="D480" s="1" t="s">
        <v>3601</v>
      </c>
      <c r="E480" s="1"/>
      <c r="F480" s="1" t="s">
        <v>4891</v>
      </c>
      <c r="G480" s="1" t="s">
        <v>4892</v>
      </c>
      <c r="H480" s="1" t="s">
        <v>3604</v>
      </c>
      <c r="I480" s="1" t="s">
        <v>4893</v>
      </c>
      <c r="J480" s="1" t="s">
        <v>3606</v>
      </c>
      <c r="K480" s="1"/>
      <c r="L480" s="1"/>
      <c r="M480" s="1"/>
    </row>
    <row x14ac:dyDescent="0.25" r="481" customHeight="1" ht="18.75">
      <c r="A481" s="1" t="s">
        <v>3617</v>
      </c>
      <c r="B481" s="1" t="s">
        <v>4614</v>
      </c>
      <c r="C481" s="1" t="s">
        <v>3600</v>
      </c>
      <c r="D481" s="1" t="s">
        <v>3601</v>
      </c>
      <c r="E481" s="1"/>
      <c r="F481" s="1" t="s">
        <v>4894</v>
      </c>
      <c r="G481" s="1" t="s">
        <v>4895</v>
      </c>
      <c r="H481" s="1" t="s">
        <v>3604</v>
      </c>
      <c r="I481" s="1" t="s">
        <v>4896</v>
      </c>
      <c r="J481" s="1" t="s">
        <v>3606</v>
      </c>
      <c r="K481" s="1"/>
      <c r="L481" s="1"/>
      <c r="M481" s="1"/>
    </row>
    <row x14ac:dyDescent="0.25" r="482" customHeight="1" ht="18.75">
      <c r="A482" s="1" t="s">
        <v>3617</v>
      </c>
      <c r="B482" s="1" t="s">
        <v>4614</v>
      </c>
      <c r="C482" s="1" t="s">
        <v>3600</v>
      </c>
      <c r="D482" s="1" t="s">
        <v>3601</v>
      </c>
      <c r="E482" s="1"/>
      <c r="F482" s="1" t="s">
        <v>4897</v>
      </c>
      <c r="G482" s="1" t="s">
        <v>4898</v>
      </c>
      <c r="H482" s="1" t="s">
        <v>3604</v>
      </c>
      <c r="I482" s="1" t="s">
        <v>4899</v>
      </c>
      <c r="J482" s="1" t="s">
        <v>3606</v>
      </c>
      <c r="K482" s="1"/>
      <c r="L482" s="1"/>
      <c r="M482" s="1"/>
    </row>
    <row x14ac:dyDescent="0.25" r="483" customHeight="1" ht="18.75">
      <c r="A483" s="1" t="s">
        <v>3617</v>
      </c>
      <c r="B483" s="1" t="s">
        <v>4614</v>
      </c>
      <c r="C483" s="1" t="s">
        <v>3600</v>
      </c>
      <c r="D483" s="1" t="s">
        <v>3601</v>
      </c>
      <c r="E483" s="1"/>
      <c r="F483" s="1" t="s">
        <v>4900</v>
      </c>
      <c r="G483" s="1" t="s">
        <v>4901</v>
      </c>
      <c r="H483" s="1" t="s">
        <v>3604</v>
      </c>
      <c r="I483" s="1" t="s">
        <v>4902</v>
      </c>
      <c r="J483" s="1" t="s">
        <v>3606</v>
      </c>
      <c r="K483" s="1"/>
      <c r="L483" s="1"/>
      <c r="M483" s="1"/>
    </row>
    <row x14ac:dyDescent="0.25" r="484" customHeight="1" ht="18.75">
      <c r="A484" s="1" t="s">
        <v>3617</v>
      </c>
      <c r="B484" s="1" t="s">
        <v>4614</v>
      </c>
      <c r="C484" s="1" t="s">
        <v>3600</v>
      </c>
      <c r="D484" s="1" t="s">
        <v>3601</v>
      </c>
      <c r="E484" s="1"/>
      <c r="F484" s="1" t="s">
        <v>4903</v>
      </c>
      <c r="G484" s="1" t="s">
        <v>4904</v>
      </c>
      <c r="H484" s="1" t="s">
        <v>3604</v>
      </c>
      <c r="I484" s="1" t="s">
        <v>4905</v>
      </c>
      <c r="J484" s="1" t="s">
        <v>3606</v>
      </c>
      <c r="K484" s="1"/>
      <c r="L484" s="1"/>
      <c r="M484" s="1"/>
    </row>
    <row x14ac:dyDescent="0.25" r="485" customHeight="1" ht="18.75">
      <c r="A485" s="1" t="s">
        <v>3617</v>
      </c>
      <c r="B485" s="1" t="s">
        <v>4614</v>
      </c>
      <c r="C485" s="1" t="s">
        <v>3600</v>
      </c>
      <c r="D485" s="1" t="s">
        <v>3601</v>
      </c>
      <c r="E485" s="1"/>
      <c r="F485" s="1" t="s">
        <v>4906</v>
      </c>
      <c r="G485" s="1" t="s">
        <v>4907</v>
      </c>
      <c r="H485" s="1" t="s">
        <v>3604</v>
      </c>
      <c r="I485" s="1" t="s">
        <v>4908</v>
      </c>
      <c r="J485" s="1" t="s">
        <v>3606</v>
      </c>
      <c r="K485" s="1"/>
      <c r="L485" s="1"/>
      <c r="M485" s="1"/>
    </row>
    <row x14ac:dyDescent="0.25" r="486" customHeight="1" ht="18.75">
      <c r="A486" s="1" t="s">
        <v>3617</v>
      </c>
      <c r="B486" s="1" t="s">
        <v>4614</v>
      </c>
      <c r="C486" s="1" t="s">
        <v>3600</v>
      </c>
      <c r="D486" s="1" t="s">
        <v>3601</v>
      </c>
      <c r="E486" s="1"/>
      <c r="F486" s="1" t="s">
        <v>4909</v>
      </c>
      <c r="G486" s="1" t="s">
        <v>4910</v>
      </c>
      <c r="H486" s="1" t="s">
        <v>3604</v>
      </c>
      <c r="I486" s="1" t="s">
        <v>4911</v>
      </c>
      <c r="J486" s="1" t="s">
        <v>3606</v>
      </c>
      <c r="K486" s="1"/>
      <c r="L486" s="1"/>
      <c r="M486" s="1"/>
    </row>
    <row x14ac:dyDescent="0.25" r="487" customHeight="1" ht="18.75">
      <c r="A487" s="1" t="s">
        <v>3617</v>
      </c>
      <c r="B487" s="1" t="s">
        <v>4614</v>
      </c>
      <c r="C487" s="1" t="s">
        <v>3600</v>
      </c>
      <c r="D487" s="1" t="s">
        <v>3601</v>
      </c>
      <c r="E487" s="1"/>
      <c r="F487" s="1" t="s">
        <v>4912</v>
      </c>
      <c r="G487" s="1" t="s">
        <v>4913</v>
      </c>
      <c r="H487" s="1" t="s">
        <v>3604</v>
      </c>
      <c r="I487" s="1" t="s">
        <v>4914</v>
      </c>
      <c r="J487" s="1" t="s">
        <v>3606</v>
      </c>
      <c r="K487" s="1"/>
      <c r="L487" s="1"/>
      <c r="M487" s="1"/>
    </row>
    <row x14ac:dyDescent="0.25" r="488" customHeight="1" ht="18.75">
      <c r="A488" s="1" t="s">
        <v>3617</v>
      </c>
      <c r="B488" s="1" t="s">
        <v>3729</v>
      </c>
      <c r="C488" s="1" t="s">
        <v>3619</v>
      </c>
      <c r="D488" s="1" t="s">
        <v>3601</v>
      </c>
      <c r="E488" s="1" t="s">
        <v>3730</v>
      </c>
      <c r="F488" s="1" t="s">
        <v>4915</v>
      </c>
      <c r="G488" s="1" t="s">
        <v>4916</v>
      </c>
      <c r="H488" s="1" t="s">
        <v>3604</v>
      </c>
      <c r="I488" s="1" t="s">
        <v>4917</v>
      </c>
      <c r="J488" s="1" t="s">
        <v>3606</v>
      </c>
      <c r="K488" s="1"/>
      <c r="L488" s="1"/>
      <c r="M488" s="1"/>
    </row>
    <row x14ac:dyDescent="0.25" r="489" customHeight="1" ht="18.75">
      <c r="A489" s="1" t="s">
        <v>3617</v>
      </c>
      <c r="B489" s="1" t="s">
        <v>3729</v>
      </c>
      <c r="C489" s="1" t="s">
        <v>3619</v>
      </c>
      <c r="D489" s="1" t="s">
        <v>3601</v>
      </c>
      <c r="E489" s="1" t="s">
        <v>3730</v>
      </c>
      <c r="F489" s="1" t="s">
        <v>4918</v>
      </c>
      <c r="G489" s="1" t="s">
        <v>4916</v>
      </c>
      <c r="H489" s="1" t="s">
        <v>3604</v>
      </c>
      <c r="I489" s="1" t="s">
        <v>4919</v>
      </c>
      <c r="J489" s="1" t="s">
        <v>3606</v>
      </c>
      <c r="K489" s="1"/>
      <c r="L489" s="1"/>
      <c r="M489" s="1"/>
    </row>
    <row x14ac:dyDescent="0.25" r="490" customHeight="1" ht="18.75">
      <c r="A490" s="1" t="s">
        <v>3617</v>
      </c>
      <c r="B490" s="1" t="s">
        <v>3729</v>
      </c>
      <c r="C490" s="1" t="s">
        <v>3619</v>
      </c>
      <c r="D490" s="1" t="s">
        <v>3601</v>
      </c>
      <c r="E490" s="1" t="s">
        <v>3730</v>
      </c>
      <c r="F490" s="1" t="s">
        <v>4920</v>
      </c>
      <c r="G490" s="1" t="s">
        <v>4916</v>
      </c>
      <c r="H490" s="1" t="s">
        <v>3604</v>
      </c>
      <c r="I490" s="1" t="s">
        <v>4921</v>
      </c>
      <c r="J490" s="1" t="s">
        <v>3606</v>
      </c>
      <c r="K490" s="1"/>
      <c r="L490" s="1"/>
      <c r="M490" s="1"/>
    </row>
    <row x14ac:dyDescent="0.25" r="491" customHeight="1" ht="18.75">
      <c r="A491" s="1" t="s">
        <v>3617</v>
      </c>
      <c r="B491" s="1" t="s">
        <v>3729</v>
      </c>
      <c r="C491" s="1" t="s">
        <v>3619</v>
      </c>
      <c r="D491" s="1" t="s">
        <v>3601</v>
      </c>
      <c r="E491" s="1" t="s">
        <v>3730</v>
      </c>
      <c r="F491" s="1" t="s">
        <v>4922</v>
      </c>
      <c r="G491" s="1" t="s">
        <v>4916</v>
      </c>
      <c r="H491" s="1" t="s">
        <v>3604</v>
      </c>
      <c r="I491" s="1" t="s">
        <v>4923</v>
      </c>
      <c r="J491" s="1" t="s">
        <v>3606</v>
      </c>
      <c r="K491" s="1"/>
      <c r="L491" s="1"/>
      <c r="M491" s="1"/>
    </row>
    <row x14ac:dyDescent="0.25" r="492" customHeight="1" ht="18.75">
      <c r="A492" s="1" t="s">
        <v>3617</v>
      </c>
      <c r="B492" s="1" t="s">
        <v>4614</v>
      </c>
      <c r="C492" s="1" t="s">
        <v>3600</v>
      </c>
      <c r="D492" s="1" t="s">
        <v>3601</v>
      </c>
      <c r="E492" s="1"/>
      <c r="F492" s="1" t="s">
        <v>4924</v>
      </c>
      <c r="G492" s="1" t="s">
        <v>4925</v>
      </c>
      <c r="H492" s="1" t="s">
        <v>3604</v>
      </c>
      <c r="I492" s="1" t="s">
        <v>4926</v>
      </c>
      <c r="J492" s="1" t="s">
        <v>3606</v>
      </c>
      <c r="K492" s="1"/>
      <c r="L492" s="1"/>
      <c r="M492" s="1"/>
    </row>
    <row x14ac:dyDescent="0.25" r="493" customHeight="1" ht="18.75">
      <c r="A493" s="1" t="s">
        <v>3617</v>
      </c>
      <c r="B493" s="1" t="s">
        <v>3729</v>
      </c>
      <c r="C493" s="1" t="s">
        <v>3619</v>
      </c>
      <c r="D493" s="1" t="s">
        <v>3601</v>
      </c>
      <c r="E493" s="1" t="s">
        <v>3730</v>
      </c>
      <c r="F493" s="1" t="s">
        <v>4927</v>
      </c>
      <c r="G493" s="1" t="s">
        <v>4916</v>
      </c>
      <c r="H493" s="1" t="s">
        <v>3604</v>
      </c>
      <c r="I493" s="1" t="s">
        <v>4928</v>
      </c>
      <c r="J493" s="1" t="s">
        <v>3606</v>
      </c>
      <c r="K493" s="1"/>
      <c r="L493" s="1"/>
      <c r="M493" s="1"/>
    </row>
    <row x14ac:dyDescent="0.25" r="494" customHeight="1" ht="18.75">
      <c r="A494" s="1" t="s">
        <v>3617</v>
      </c>
      <c r="B494" s="1" t="s">
        <v>3729</v>
      </c>
      <c r="C494" s="1" t="s">
        <v>3619</v>
      </c>
      <c r="D494" s="1" t="s">
        <v>3601</v>
      </c>
      <c r="E494" s="1" t="s">
        <v>3730</v>
      </c>
      <c r="F494" s="1" t="s">
        <v>4929</v>
      </c>
      <c r="G494" s="1" t="s">
        <v>4916</v>
      </c>
      <c r="H494" s="1" t="s">
        <v>3604</v>
      </c>
      <c r="I494" s="1" t="s">
        <v>4930</v>
      </c>
      <c r="J494" s="1" t="s">
        <v>3606</v>
      </c>
      <c r="K494" s="1"/>
      <c r="L494" s="1"/>
      <c r="M494" s="1"/>
    </row>
    <row x14ac:dyDescent="0.25" r="495" customHeight="1" ht="18.75">
      <c r="A495" s="1" t="s">
        <v>3617</v>
      </c>
      <c r="B495" s="1" t="s">
        <v>3729</v>
      </c>
      <c r="C495" s="1" t="s">
        <v>3619</v>
      </c>
      <c r="D495" s="1" t="s">
        <v>3601</v>
      </c>
      <c r="E495" s="1" t="s">
        <v>3730</v>
      </c>
      <c r="F495" s="1" t="s">
        <v>4931</v>
      </c>
      <c r="G495" s="1" t="s">
        <v>4932</v>
      </c>
      <c r="H495" s="1" t="s">
        <v>3604</v>
      </c>
      <c r="I495" s="1" t="s">
        <v>4933</v>
      </c>
      <c r="J495" s="1" t="s">
        <v>3606</v>
      </c>
      <c r="K495" s="1"/>
      <c r="L495" s="1"/>
      <c r="M495" s="1"/>
    </row>
    <row x14ac:dyDescent="0.25" r="496" customHeight="1" ht="18.75">
      <c r="A496" s="1" t="s">
        <v>3617</v>
      </c>
      <c r="B496" s="1" t="s">
        <v>3729</v>
      </c>
      <c r="C496" s="1" t="s">
        <v>3619</v>
      </c>
      <c r="D496" s="1" t="s">
        <v>3601</v>
      </c>
      <c r="E496" s="1" t="s">
        <v>3730</v>
      </c>
      <c r="F496" s="1" t="s">
        <v>4934</v>
      </c>
      <c r="G496" s="1" t="s">
        <v>4932</v>
      </c>
      <c r="H496" s="1" t="s">
        <v>3604</v>
      </c>
      <c r="I496" s="1" t="s">
        <v>4935</v>
      </c>
      <c r="J496" s="1" t="s">
        <v>3606</v>
      </c>
      <c r="K496" s="1"/>
      <c r="L496" s="1"/>
      <c r="M496" s="1"/>
    </row>
    <row x14ac:dyDescent="0.25" r="497" customHeight="1" ht="18.75">
      <c r="A497" s="1" t="s">
        <v>3617</v>
      </c>
      <c r="B497" s="1" t="s">
        <v>3729</v>
      </c>
      <c r="C497" s="1" t="s">
        <v>3619</v>
      </c>
      <c r="D497" s="1" t="s">
        <v>3601</v>
      </c>
      <c r="E497" s="1" t="s">
        <v>3730</v>
      </c>
      <c r="F497" s="1" t="s">
        <v>4936</v>
      </c>
      <c r="G497" s="1" t="s">
        <v>4932</v>
      </c>
      <c r="H497" s="1" t="s">
        <v>3604</v>
      </c>
      <c r="I497" s="1" t="s">
        <v>4937</v>
      </c>
      <c r="J497" s="1" t="s">
        <v>3606</v>
      </c>
      <c r="K497" s="1"/>
      <c r="L497" s="1"/>
      <c r="M497" s="1"/>
    </row>
    <row x14ac:dyDescent="0.25" r="498" customHeight="1" ht="18.75">
      <c r="A498" s="1" t="s">
        <v>3617</v>
      </c>
      <c r="B498" s="1" t="s">
        <v>3729</v>
      </c>
      <c r="C498" s="1" t="s">
        <v>3619</v>
      </c>
      <c r="D498" s="1" t="s">
        <v>3601</v>
      </c>
      <c r="E498" s="1" t="s">
        <v>3730</v>
      </c>
      <c r="F498" s="1" t="s">
        <v>4938</v>
      </c>
      <c r="G498" s="1" t="s">
        <v>4932</v>
      </c>
      <c r="H498" s="1" t="s">
        <v>3604</v>
      </c>
      <c r="I498" s="1" t="s">
        <v>4939</v>
      </c>
      <c r="J498" s="1" t="s">
        <v>3606</v>
      </c>
      <c r="K498" s="1"/>
      <c r="L498" s="1"/>
      <c r="M498" s="1"/>
    </row>
    <row x14ac:dyDescent="0.25" r="499" customHeight="1" ht="18.75">
      <c r="A499" s="1" t="s">
        <v>3617</v>
      </c>
      <c r="B499" s="1" t="s">
        <v>3729</v>
      </c>
      <c r="C499" s="1" t="s">
        <v>3619</v>
      </c>
      <c r="D499" s="1" t="s">
        <v>3601</v>
      </c>
      <c r="E499" s="1" t="s">
        <v>3730</v>
      </c>
      <c r="F499" s="1" t="s">
        <v>4940</v>
      </c>
      <c r="G499" s="1" t="s">
        <v>4932</v>
      </c>
      <c r="H499" s="1" t="s">
        <v>3604</v>
      </c>
      <c r="I499" s="1" t="s">
        <v>4941</v>
      </c>
      <c r="J499" s="1" t="s">
        <v>3606</v>
      </c>
      <c r="K499" s="1"/>
      <c r="L499" s="1"/>
      <c r="M499" s="1"/>
    </row>
    <row x14ac:dyDescent="0.25" r="500" customHeight="1" ht="18.75">
      <c r="A500" s="1" t="s">
        <v>3617</v>
      </c>
      <c r="B500" s="1" t="s">
        <v>3729</v>
      </c>
      <c r="C500" s="1" t="s">
        <v>3619</v>
      </c>
      <c r="D500" s="1" t="s">
        <v>3601</v>
      </c>
      <c r="E500" s="1" t="s">
        <v>3730</v>
      </c>
      <c r="F500" s="1" t="s">
        <v>4942</v>
      </c>
      <c r="G500" s="1" t="s">
        <v>4932</v>
      </c>
      <c r="H500" s="1" t="s">
        <v>3604</v>
      </c>
      <c r="I500" s="1" t="s">
        <v>4943</v>
      </c>
      <c r="J500" s="1" t="s">
        <v>3606</v>
      </c>
      <c r="K500" s="1"/>
      <c r="L500" s="1"/>
      <c r="M500" s="1"/>
    </row>
    <row x14ac:dyDescent="0.25" r="501" customHeight="1" ht="18.75">
      <c r="A501" s="1" t="s">
        <v>3617</v>
      </c>
      <c r="B501" s="1" t="s">
        <v>3729</v>
      </c>
      <c r="C501" s="1" t="s">
        <v>3619</v>
      </c>
      <c r="D501" s="1" t="s">
        <v>3601</v>
      </c>
      <c r="E501" s="1" t="s">
        <v>3730</v>
      </c>
      <c r="F501" s="1" t="s">
        <v>4944</v>
      </c>
      <c r="G501" s="1" t="s">
        <v>4945</v>
      </c>
      <c r="H501" s="1" t="s">
        <v>3604</v>
      </c>
      <c r="I501" s="1" t="s">
        <v>4946</v>
      </c>
      <c r="J501" s="1" t="s">
        <v>3606</v>
      </c>
      <c r="K501" s="1"/>
      <c r="L501" s="1"/>
      <c r="M501" s="1"/>
    </row>
    <row x14ac:dyDescent="0.25" r="502" customHeight="1" ht="18.75">
      <c r="A502" s="1" t="s">
        <v>3617</v>
      </c>
      <c r="B502" s="1" t="s">
        <v>3729</v>
      </c>
      <c r="C502" s="1" t="s">
        <v>3619</v>
      </c>
      <c r="D502" s="1" t="s">
        <v>3601</v>
      </c>
      <c r="E502" s="1" t="s">
        <v>4478</v>
      </c>
      <c r="F502" s="1" t="s">
        <v>4947</v>
      </c>
      <c r="G502" s="1" t="s">
        <v>4948</v>
      </c>
      <c r="H502" s="1" t="s">
        <v>3604</v>
      </c>
      <c r="I502" s="1" t="s">
        <v>4949</v>
      </c>
      <c r="J502" s="1" t="s">
        <v>3606</v>
      </c>
      <c r="K502" s="1"/>
      <c r="L502" s="1"/>
      <c r="M502" s="1"/>
    </row>
    <row x14ac:dyDescent="0.25" r="503" customHeight="1" ht="18.75">
      <c r="A503" s="1" t="s">
        <v>3617</v>
      </c>
      <c r="B503" s="1" t="s">
        <v>3729</v>
      </c>
      <c r="C503" s="1" t="s">
        <v>3619</v>
      </c>
      <c r="D503" s="1" t="s">
        <v>3601</v>
      </c>
      <c r="E503" s="1" t="s">
        <v>4478</v>
      </c>
      <c r="F503" s="1" t="s">
        <v>4950</v>
      </c>
      <c r="G503" s="1" t="s">
        <v>4948</v>
      </c>
      <c r="H503" s="1" t="s">
        <v>3604</v>
      </c>
      <c r="I503" s="1" t="s">
        <v>4951</v>
      </c>
      <c r="J503" s="1" t="s">
        <v>3606</v>
      </c>
      <c r="K503" s="1"/>
      <c r="L503" s="1"/>
      <c r="M503" s="1"/>
    </row>
    <row x14ac:dyDescent="0.25" r="504" customHeight="1" ht="18.75">
      <c r="A504" s="1" t="s">
        <v>3617</v>
      </c>
      <c r="B504" s="1" t="s">
        <v>3729</v>
      </c>
      <c r="C504" s="1" t="s">
        <v>3619</v>
      </c>
      <c r="D504" s="1" t="s">
        <v>3601</v>
      </c>
      <c r="E504" s="1" t="s">
        <v>4478</v>
      </c>
      <c r="F504" s="1" t="s">
        <v>4952</v>
      </c>
      <c r="G504" s="1" t="s">
        <v>4948</v>
      </c>
      <c r="H504" s="1" t="s">
        <v>3604</v>
      </c>
      <c r="I504" s="1" t="s">
        <v>4953</v>
      </c>
      <c r="J504" s="1" t="s">
        <v>3606</v>
      </c>
      <c r="K504" s="1"/>
      <c r="L504" s="1"/>
      <c r="M504" s="1"/>
    </row>
    <row x14ac:dyDescent="0.25" r="505" customHeight="1" ht="18.75">
      <c r="A505" s="1" t="s">
        <v>3617</v>
      </c>
      <c r="B505" s="1" t="s">
        <v>3729</v>
      </c>
      <c r="C505" s="1" t="s">
        <v>3619</v>
      </c>
      <c r="D505" s="1" t="s">
        <v>3601</v>
      </c>
      <c r="E505" s="1" t="s">
        <v>4478</v>
      </c>
      <c r="F505" s="1" t="s">
        <v>4954</v>
      </c>
      <c r="G505" s="1" t="s">
        <v>4948</v>
      </c>
      <c r="H505" s="1" t="s">
        <v>3604</v>
      </c>
      <c r="I505" s="1" t="s">
        <v>4955</v>
      </c>
      <c r="J505" s="1" t="s">
        <v>3606</v>
      </c>
      <c r="K505" s="1"/>
      <c r="L505" s="1"/>
      <c r="M505" s="1"/>
    </row>
    <row x14ac:dyDescent="0.25" r="506" customHeight="1" ht="18.75">
      <c r="A506" s="1" t="s">
        <v>3617</v>
      </c>
      <c r="B506" s="1" t="s">
        <v>3729</v>
      </c>
      <c r="C506" s="1" t="s">
        <v>3619</v>
      </c>
      <c r="D506" s="1" t="s">
        <v>3601</v>
      </c>
      <c r="E506" s="1" t="s">
        <v>4478</v>
      </c>
      <c r="F506" s="1" t="s">
        <v>4956</v>
      </c>
      <c r="G506" s="1" t="s">
        <v>4957</v>
      </c>
      <c r="H506" s="1" t="s">
        <v>3604</v>
      </c>
      <c r="I506" s="1" t="s">
        <v>4958</v>
      </c>
      <c r="J506" s="1" t="s">
        <v>3606</v>
      </c>
      <c r="K506" s="1"/>
      <c r="L506" s="1"/>
      <c r="M506" s="1"/>
    </row>
    <row x14ac:dyDescent="0.25" r="507" customHeight="1" ht="18.75">
      <c r="A507" s="1" t="s">
        <v>3617</v>
      </c>
      <c r="B507" s="1" t="s">
        <v>3729</v>
      </c>
      <c r="C507" s="1" t="s">
        <v>3619</v>
      </c>
      <c r="D507" s="1" t="s">
        <v>3601</v>
      </c>
      <c r="E507" s="1" t="s">
        <v>4478</v>
      </c>
      <c r="F507" s="1" t="s">
        <v>4959</v>
      </c>
      <c r="G507" s="1" t="s">
        <v>4960</v>
      </c>
      <c r="H507" s="1" t="s">
        <v>3604</v>
      </c>
      <c r="I507" s="1" t="s">
        <v>4961</v>
      </c>
      <c r="J507" s="1" t="s">
        <v>3606</v>
      </c>
      <c r="K507" s="1"/>
      <c r="L507" s="1"/>
      <c r="M507" s="1"/>
    </row>
    <row x14ac:dyDescent="0.25" r="508" customHeight="1" ht="18.75">
      <c r="A508" s="1" t="s">
        <v>3617</v>
      </c>
      <c r="B508" s="1" t="s">
        <v>3729</v>
      </c>
      <c r="C508" s="1" t="s">
        <v>3619</v>
      </c>
      <c r="D508" s="1" t="s">
        <v>3601</v>
      </c>
      <c r="E508" s="1" t="s">
        <v>4478</v>
      </c>
      <c r="F508" s="1" t="s">
        <v>4962</v>
      </c>
      <c r="G508" s="1" t="s">
        <v>4963</v>
      </c>
      <c r="H508" s="1" t="s">
        <v>3604</v>
      </c>
      <c r="I508" s="1" t="s">
        <v>4964</v>
      </c>
      <c r="J508" s="1" t="s">
        <v>3606</v>
      </c>
      <c r="K508" s="1"/>
      <c r="L508" s="1"/>
      <c r="M508" s="1"/>
    </row>
    <row x14ac:dyDescent="0.25" r="509" customHeight="1" ht="18.75">
      <c r="A509" s="1" t="s">
        <v>3617</v>
      </c>
      <c r="B509" s="1" t="s">
        <v>3729</v>
      </c>
      <c r="C509" s="1" t="s">
        <v>3619</v>
      </c>
      <c r="D509" s="1" t="s">
        <v>3601</v>
      </c>
      <c r="E509" s="1" t="s">
        <v>4478</v>
      </c>
      <c r="F509" s="1" t="s">
        <v>4965</v>
      </c>
      <c r="G509" s="1" t="s">
        <v>4963</v>
      </c>
      <c r="H509" s="1" t="s">
        <v>3604</v>
      </c>
      <c r="I509" s="1" t="s">
        <v>4966</v>
      </c>
      <c r="J509" s="1" t="s">
        <v>3606</v>
      </c>
      <c r="K509" s="1"/>
      <c r="L509" s="1"/>
      <c r="M509" s="1"/>
    </row>
    <row x14ac:dyDescent="0.25" r="510" customHeight="1" ht="18.75">
      <c r="A510" s="1" t="s">
        <v>3617</v>
      </c>
      <c r="B510" s="1" t="s">
        <v>3729</v>
      </c>
      <c r="C510" s="1" t="s">
        <v>3619</v>
      </c>
      <c r="D510" s="1" t="s">
        <v>3601</v>
      </c>
      <c r="E510" s="1" t="s">
        <v>4478</v>
      </c>
      <c r="F510" s="1" t="s">
        <v>4967</v>
      </c>
      <c r="G510" s="1" t="s">
        <v>4968</v>
      </c>
      <c r="H510" s="1" t="s">
        <v>3604</v>
      </c>
      <c r="I510" s="1" t="s">
        <v>4969</v>
      </c>
      <c r="J510" s="1" t="s">
        <v>3606</v>
      </c>
      <c r="K510" s="1"/>
      <c r="L510" s="1"/>
      <c r="M510" s="1"/>
    </row>
    <row x14ac:dyDescent="0.25" r="511" customHeight="1" ht="18.75">
      <c r="A511" s="1" t="s">
        <v>3617</v>
      </c>
      <c r="B511" s="1" t="s">
        <v>3729</v>
      </c>
      <c r="C511" s="1" t="s">
        <v>3619</v>
      </c>
      <c r="D511" s="1" t="s">
        <v>3601</v>
      </c>
      <c r="E511" s="1" t="s">
        <v>3730</v>
      </c>
      <c r="F511" s="1" t="s">
        <v>4970</v>
      </c>
      <c r="G511" s="1" t="s">
        <v>4971</v>
      </c>
      <c r="H511" s="1" t="s">
        <v>3604</v>
      </c>
      <c r="I511" s="1" t="s">
        <v>4972</v>
      </c>
      <c r="J511" s="1" t="s">
        <v>3606</v>
      </c>
      <c r="K511" s="1"/>
      <c r="L511" s="1"/>
      <c r="M511" s="1"/>
    </row>
    <row x14ac:dyDescent="0.25" r="512" customHeight="1" ht="18.75">
      <c r="A512" s="1" t="s">
        <v>3617</v>
      </c>
      <c r="B512" s="1" t="s">
        <v>3729</v>
      </c>
      <c r="C512" s="1" t="s">
        <v>3619</v>
      </c>
      <c r="D512" s="1" t="s">
        <v>3601</v>
      </c>
      <c r="E512" s="1" t="s">
        <v>3730</v>
      </c>
      <c r="F512" s="1" t="s">
        <v>4973</v>
      </c>
      <c r="G512" s="1" t="s">
        <v>4971</v>
      </c>
      <c r="H512" s="1" t="s">
        <v>3604</v>
      </c>
      <c r="I512" s="1" t="s">
        <v>4974</v>
      </c>
      <c r="J512" s="1" t="s">
        <v>3606</v>
      </c>
      <c r="K512" s="1"/>
      <c r="L512" s="1"/>
      <c r="M512" s="1"/>
    </row>
    <row x14ac:dyDescent="0.25" r="513" customHeight="1" ht="18.75">
      <c r="A513" s="1" t="s">
        <v>3617</v>
      </c>
      <c r="B513" s="1" t="s">
        <v>3729</v>
      </c>
      <c r="C513" s="1" t="s">
        <v>3619</v>
      </c>
      <c r="D513" s="1" t="s">
        <v>3601</v>
      </c>
      <c r="E513" s="1" t="s">
        <v>3730</v>
      </c>
      <c r="F513" s="1" t="s">
        <v>4975</v>
      </c>
      <c r="G513" s="1" t="s">
        <v>4971</v>
      </c>
      <c r="H513" s="1" t="s">
        <v>3604</v>
      </c>
      <c r="I513" s="1" t="s">
        <v>4976</v>
      </c>
      <c r="J513" s="1" t="s">
        <v>3606</v>
      </c>
      <c r="K513" s="1"/>
      <c r="L513" s="1"/>
      <c r="M513" s="1"/>
    </row>
    <row x14ac:dyDescent="0.25" r="514" customHeight="1" ht="18.75">
      <c r="A514" s="1" t="s">
        <v>3617</v>
      </c>
      <c r="B514" s="1" t="s">
        <v>3729</v>
      </c>
      <c r="C514" s="1" t="s">
        <v>3619</v>
      </c>
      <c r="D514" s="1" t="s">
        <v>3601</v>
      </c>
      <c r="E514" s="1"/>
      <c r="F514" s="1" t="s">
        <v>4977</v>
      </c>
      <c r="G514" s="1" t="s">
        <v>4978</v>
      </c>
      <c r="H514" s="1" t="s">
        <v>3604</v>
      </c>
      <c r="I514" s="1" t="s">
        <v>4979</v>
      </c>
      <c r="J514" s="1" t="s">
        <v>3606</v>
      </c>
      <c r="K514" s="1"/>
      <c r="L514" s="1"/>
      <c r="M514" s="1"/>
    </row>
    <row x14ac:dyDescent="0.25" r="515" customHeight="1" ht="18.75">
      <c r="A515" s="1" t="s">
        <v>3617</v>
      </c>
      <c r="B515" s="1" t="s">
        <v>3729</v>
      </c>
      <c r="C515" s="1" t="s">
        <v>3619</v>
      </c>
      <c r="D515" s="1" t="s">
        <v>3601</v>
      </c>
      <c r="E515" s="1"/>
      <c r="F515" s="1" t="s">
        <v>4980</v>
      </c>
      <c r="G515" s="1" t="s">
        <v>4978</v>
      </c>
      <c r="H515" s="1" t="s">
        <v>3604</v>
      </c>
      <c r="I515" s="1" t="s">
        <v>4981</v>
      </c>
      <c r="J515" s="1" t="s">
        <v>3606</v>
      </c>
      <c r="K515" s="1"/>
      <c r="L515" s="1"/>
      <c r="M515" s="1"/>
    </row>
    <row x14ac:dyDescent="0.25" r="516" customHeight="1" ht="18.75">
      <c r="A516" s="1" t="s">
        <v>3617</v>
      </c>
      <c r="B516" s="1" t="s">
        <v>3729</v>
      </c>
      <c r="C516" s="1" t="s">
        <v>3619</v>
      </c>
      <c r="D516" s="1" t="s">
        <v>3601</v>
      </c>
      <c r="E516" s="1" t="s">
        <v>3730</v>
      </c>
      <c r="F516" s="1" t="s">
        <v>4982</v>
      </c>
      <c r="G516" s="1" t="s">
        <v>4983</v>
      </c>
      <c r="H516" s="1" t="s">
        <v>3604</v>
      </c>
      <c r="I516" s="1" t="s">
        <v>4984</v>
      </c>
      <c r="J516" s="1" t="s">
        <v>3606</v>
      </c>
      <c r="K516" s="1"/>
      <c r="L516" s="1"/>
      <c r="M516" s="1"/>
    </row>
    <row x14ac:dyDescent="0.25" r="517" customHeight="1" ht="18.75">
      <c r="A517" s="1" t="s">
        <v>3617</v>
      </c>
      <c r="B517" s="1" t="s">
        <v>3729</v>
      </c>
      <c r="C517" s="1" t="s">
        <v>3619</v>
      </c>
      <c r="D517" s="1" t="s">
        <v>3601</v>
      </c>
      <c r="E517" s="1" t="s">
        <v>3730</v>
      </c>
      <c r="F517" s="1" t="s">
        <v>4985</v>
      </c>
      <c r="G517" s="1" t="s">
        <v>4983</v>
      </c>
      <c r="H517" s="1" t="s">
        <v>3604</v>
      </c>
      <c r="I517" s="1" t="s">
        <v>4986</v>
      </c>
      <c r="J517" s="1" t="s">
        <v>3606</v>
      </c>
      <c r="K517" s="1"/>
      <c r="L517" s="1"/>
      <c r="M517" s="1"/>
    </row>
    <row x14ac:dyDescent="0.25" r="518" customHeight="1" ht="18.75">
      <c r="A518" s="1" t="s">
        <v>3617</v>
      </c>
      <c r="B518" s="1" t="s">
        <v>3729</v>
      </c>
      <c r="C518" s="1" t="s">
        <v>3619</v>
      </c>
      <c r="D518" s="1" t="s">
        <v>3601</v>
      </c>
      <c r="E518" s="1" t="s">
        <v>3730</v>
      </c>
      <c r="F518" s="1" t="s">
        <v>4987</v>
      </c>
      <c r="G518" s="1" t="s">
        <v>4983</v>
      </c>
      <c r="H518" s="1" t="s">
        <v>3604</v>
      </c>
      <c r="I518" s="1" t="s">
        <v>4988</v>
      </c>
      <c r="J518" s="1" t="s">
        <v>3606</v>
      </c>
      <c r="K518" s="1"/>
      <c r="L518" s="1"/>
      <c r="M518" s="1"/>
    </row>
    <row x14ac:dyDescent="0.25" r="519" customHeight="1" ht="18.75">
      <c r="A519" s="1" t="s">
        <v>3617</v>
      </c>
      <c r="B519" s="1" t="s">
        <v>3729</v>
      </c>
      <c r="C519" s="1" t="s">
        <v>3619</v>
      </c>
      <c r="D519" s="1" t="s">
        <v>3601</v>
      </c>
      <c r="E519" s="1"/>
      <c r="F519" s="1" t="s">
        <v>4989</v>
      </c>
      <c r="G519" s="1" t="s">
        <v>4990</v>
      </c>
      <c r="H519" s="1" t="s">
        <v>3604</v>
      </c>
      <c r="I519" s="1" t="s">
        <v>4991</v>
      </c>
      <c r="J519" s="1" t="s">
        <v>3606</v>
      </c>
      <c r="K519" s="1"/>
      <c r="L519" s="1"/>
      <c r="M519" s="1"/>
    </row>
    <row x14ac:dyDescent="0.25" r="520" customHeight="1" ht="18.75">
      <c r="A520" s="1" t="s">
        <v>3617</v>
      </c>
      <c r="B520" s="1" t="s">
        <v>3729</v>
      </c>
      <c r="C520" s="1" t="s">
        <v>3619</v>
      </c>
      <c r="D520" s="1" t="s">
        <v>3601</v>
      </c>
      <c r="E520" s="1"/>
      <c r="F520" s="1" t="s">
        <v>4992</v>
      </c>
      <c r="G520" s="1" t="s">
        <v>4990</v>
      </c>
      <c r="H520" s="1" t="s">
        <v>3604</v>
      </c>
      <c r="I520" s="1" t="s">
        <v>4993</v>
      </c>
      <c r="J520" s="1" t="s">
        <v>3606</v>
      </c>
      <c r="K520" s="1"/>
      <c r="L520" s="1"/>
      <c r="M520" s="1"/>
    </row>
    <row x14ac:dyDescent="0.25" r="521" customHeight="1" ht="18.75">
      <c r="A521" s="1" t="s">
        <v>3617</v>
      </c>
      <c r="B521" s="1" t="s">
        <v>3729</v>
      </c>
      <c r="C521" s="1" t="s">
        <v>3619</v>
      </c>
      <c r="D521" s="1" t="s">
        <v>3601</v>
      </c>
      <c r="E521" s="1" t="s">
        <v>3730</v>
      </c>
      <c r="F521" s="1" t="s">
        <v>4994</v>
      </c>
      <c r="G521" s="1" t="s">
        <v>4995</v>
      </c>
      <c r="H521" s="1" t="s">
        <v>3604</v>
      </c>
      <c r="I521" s="1" t="s">
        <v>4996</v>
      </c>
      <c r="J521" s="1" t="s">
        <v>3606</v>
      </c>
      <c r="K521" s="1"/>
      <c r="L521" s="1"/>
      <c r="M521" s="1"/>
    </row>
    <row x14ac:dyDescent="0.25" r="522" customHeight="1" ht="18.75">
      <c r="A522" s="1" t="s">
        <v>3617</v>
      </c>
      <c r="B522" s="1" t="s">
        <v>3729</v>
      </c>
      <c r="C522" s="1" t="s">
        <v>3619</v>
      </c>
      <c r="D522" s="1" t="s">
        <v>3601</v>
      </c>
      <c r="E522" s="1" t="s">
        <v>3730</v>
      </c>
      <c r="F522" s="1" t="s">
        <v>4997</v>
      </c>
      <c r="G522" s="1" t="s">
        <v>4995</v>
      </c>
      <c r="H522" s="1" t="s">
        <v>3604</v>
      </c>
      <c r="I522" s="1" t="s">
        <v>4998</v>
      </c>
      <c r="J522" s="1" t="s">
        <v>3606</v>
      </c>
      <c r="K522" s="1"/>
      <c r="L522" s="1"/>
      <c r="M522" s="1"/>
    </row>
    <row x14ac:dyDescent="0.25" r="523" customHeight="1" ht="18.75">
      <c r="A523" s="1" t="s">
        <v>3617</v>
      </c>
      <c r="B523" s="1" t="s">
        <v>3729</v>
      </c>
      <c r="C523" s="1" t="s">
        <v>3619</v>
      </c>
      <c r="D523" s="1" t="s">
        <v>3601</v>
      </c>
      <c r="E523" s="1" t="s">
        <v>3730</v>
      </c>
      <c r="F523" s="1" t="s">
        <v>4999</v>
      </c>
      <c r="G523" s="1" t="s">
        <v>4995</v>
      </c>
      <c r="H523" s="1" t="s">
        <v>3604</v>
      </c>
      <c r="I523" s="1" t="s">
        <v>5000</v>
      </c>
      <c r="J523" s="1" t="s">
        <v>3606</v>
      </c>
      <c r="K523" s="1"/>
      <c r="L523" s="1"/>
      <c r="M523" s="1"/>
    </row>
    <row x14ac:dyDescent="0.25" r="524" customHeight="1" ht="18.75">
      <c r="A524" s="1" t="s">
        <v>3693</v>
      </c>
      <c r="B524" s="1" t="s">
        <v>4083</v>
      </c>
      <c r="C524" s="1" t="s">
        <v>3600</v>
      </c>
      <c r="D524" s="1" t="s">
        <v>3601</v>
      </c>
      <c r="E524" s="1" t="s">
        <v>3752</v>
      </c>
      <c r="F524" s="1" t="s">
        <v>5001</v>
      </c>
      <c r="G524" s="1" t="s">
        <v>4848</v>
      </c>
      <c r="H524" s="1" t="s">
        <v>3604</v>
      </c>
      <c r="I524" s="1" t="s">
        <v>5002</v>
      </c>
      <c r="J524" s="1" t="s">
        <v>3606</v>
      </c>
      <c r="K524" s="1"/>
      <c r="L524" s="1"/>
      <c r="M524" s="1"/>
    </row>
    <row x14ac:dyDescent="0.25" r="525" customHeight="1" ht="18.75">
      <c r="A525" s="1" t="s">
        <v>3617</v>
      </c>
      <c r="B525" s="1" t="s">
        <v>3729</v>
      </c>
      <c r="C525" s="1" t="s">
        <v>3619</v>
      </c>
      <c r="D525" s="1" t="s">
        <v>3601</v>
      </c>
      <c r="E525" s="1" t="s">
        <v>4590</v>
      </c>
      <c r="F525" s="1" t="s">
        <v>5003</v>
      </c>
      <c r="G525" s="1" t="s">
        <v>4457</v>
      </c>
      <c r="H525" s="1" t="s">
        <v>3604</v>
      </c>
      <c r="I525" s="1" t="s">
        <v>5004</v>
      </c>
      <c r="J525" s="1" t="s">
        <v>3606</v>
      </c>
      <c r="K525" s="1"/>
      <c r="L525" s="1"/>
      <c r="M525" s="1"/>
    </row>
    <row x14ac:dyDescent="0.25" r="526" customHeight="1" ht="18.75">
      <c r="A526" s="1" t="s">
        <v>3617</v>
      </c>
      <c r="B526" s="1" t="s">
        <v>3729</v>
      </c>
      <c r="C526" s="1" t="s">
        <v>3619</v>
      </c>
      <c r="D526" s="1" t="s">
        <v>3601</v>
      </c>
      <c r="E526" s="1" t="s">
        <v>4590</v>
      </c>
      <c r="F526" s="1" t="s">
        <v>5005</v>
      </c>
      <c r="G526" s="1" t="s">
        <v>4457</v>
      </c>
      <c r="H526" s="1" t="s">
        <v>3604</v>
      </c>
      <c r="I526" s="1" t="s">
        <v>5006</v>
      </c>
      <c r="J526" s="1" t="s">
        <v>3606</v>
      </c>
      <c r="K526" s="1"/>
      <c r="L526" s="1"/>
      <c r="M526" s="1"/>
    </row>
    <row x14ac:dyDescent="0.25" r="527" customHeight="1" ht="18.75">
      <c r="A527" s="1" t="s">
        <v>3693</v>
      </c>
      <c r="B527" s="1" t="s">
        <v>4158</v>
      </c>
      <c r="C527" s="1" t="s">
        <v>3600</v>
      </c>
      <c r="D527" s="1" t="s">
        <v>3601</v>
      </c>
      <c r="E527" s="1" t="s">
        <v>3893</v>
      </c>
      <c r="F527" s="1" t="s">
        <v>5007</v>
      </c>
      <c r="G527" s="1" t="s">
        <v>4424</v>
      </c>
      <c r="H527" s="1" t="s">
        <v>3604</v>
      </c>
      <c r="I527" s="1" t="s">
        <v>5008</v>
      </c>
      <c r="J527" s="1" t="s">
        <v>3606</v>
      </c>
      <c r="K527" s="1"/>
      <c r="L527" s="1"/>
      <c r="M527" s="1"/>
    </row>
    <row x14ac:dyDescent="0.25" r="528" customHeight="1" ht="18.75">
      <c r="A528" s="1" t="s">
        <v>3693</v>
      </c>
      <c r="B528" s="1" t="s">
        <v>4083</v>
      </c>
      <c r="C528" s="1" t="s">
        <v>3600</v>
      </c>
      <c r="D528" s="1" t="s">
        <v>3601</v>
      </c>
      <c r="E528" s="1" t="s">
        <v>3893</v>
      </c>
      <c r="F528" s="1" t="s">
        <v>5009</v>
      </c>
      <c r="G528" s="1" t="s">
        <v>4848</v>
      </c>
      <c r="H528" s="1" t="s">
        <v>3604</v>
      </c>
      <c r="I528" s="1" t="s">
        <v>5010</v>
      </c>
      <c r="J528" s="1" t="s">
        <v>3606</v>
      </c>
      <c r="K528" s="1"/>
      <c r="L528" s="1"/>
      <c r="M528" s="1"/>
    </row>
    <row x14ac:dyDescent="0.25" r="529" customHeight="1" ht="18.75">
      <c r="A529" s="1" t="s">
        <v>3617</v>
      </c>
      <c r="B529" s="1" t="s">
        <v>3729</v>
      </c>
      <c r="C529" s="1" t="s">
        <v>3619</v>
      </c>
      <c r="D529" s="1" t="s">
        <v>3601</v>
      </c>
      <c r="E529" s="1" t="s">
        <v>4590</v>
      </c>
      <c r="F529" s="1" t="s">
        <v>5011</v>
      </c>
      <c r="G529" s="1" t="s">
        <v>4457</v>
      </c>
      <c r="H529" s="1" t="s">
        <v>3604</v>
      </c>
      <c r="I529" s="1" t="s">
        <v>5012</v>
      </c>
      <c r="J529" s="1" t="s">
        <v>3606</v>
      </c>
      <c r="K529" s="1"/>
      <c r="L529" s="1"/>
      <c r="M529" s="1"/>
    </row>
    <row x14ac:dyDescent="0.25" r="530" customHeight="1" ht="18.75">
      <c r="A530" s="1" t="s">
        <v>3617</v>
      </c>
      <c r="B530" s="1" t="s">
        <v>4614</v>
      </c>
      <c r="C530" s="1" t="s">
        <v>3600</v>
      </c>
      <c r="D530" s="1" t="s">
        <v>3601</v>
      </c>
      <c r="E530" s="1"/>
      <c r="F530" s="1" t="s">
        <v>5013</v>
      </c>
      <c r="G530" s="1" t="s">
        <v>5014</v>
      </c>
      <c r="H530" s="1" t="s">
        <v>3604</v>
      </c>
      <c r="I530" s="1" t="s">
        <v>5015</v>
      </c>
      <c r="J530" s="1" t="s">
        <v>3606</v>
      </c>
      <c r="K530" s="1"/>
      <c r="L530" s="1"/>
      <c r="M530" s="1"/>
    </row>
    <row x14ac:dyDescent="0.25" r="531" customHeight="1" ht="18.75">
      <c r="A531" s="1" t="s">
        <v>3617</v>
      </c>
      <c r="B531" s="1" t="s">
        <v>4614</v>
      </c>
      <c r="C531" s="1" t="s">
        <v>3600</v>
      </c>
      <c r="D531" s="1" t="s">
        <v>3601</v>
      </c>
      <c r="E531" s="1"/>
      <c r="F531" s="1" t="s">
        <v>5016</v>
      </c>
      <c r="G531" s="1" t="s">
        <v>5014</v>
      </c>
      <c r="H531" s="1" t="s">
        <v>3604</v>
      </c>
      <c r="I531" s="1" t="s">
        <v>5017</v>
      </c>
      <c r="J531" s="1" t="s">
        <v>3606</v>
      </c>
      <c r="K531" s="1"/>
      <c r="L531" s="1"/>
      <c r="M531" s="1"/>
    </row>
    <row x14ac:dyDescent="0.25" r="532" customHeight="1" ht="18.75">
      <c r="A532" s="1" t="s">
        <v>3693</v>
      </c>
      <c r="B532" s="1" t="s">
        <v>4083</v>
      </c>
      <c r="C532" s="1" t="s">
        <v>3600</v>
      </c>
      <c r="D532" s="1" t="s">
        <v>3601</v>
      </c>
      <c r="E532" s="1" t="s">
        <v>3893</v>
      </c>
      <c r="F532" s="1" t="s">
        <v>5018</v>
      </c>
      <c r="G532" s="1" t="s">
        <v>4848</v>
      </c>
      <c r="H532" s="1" t="s">
        <v>3604</v>
      </c>
      <c r="I532" s="1" t="s">
        <v>5019</v>
      </c>
      <c r="J532" s="1" t="s">
        <v>3606</v>
      </c>
      <c r="K532" s="1"/>
      <c r="L532" s="1"/>
      <c r="M532" s="1"/>
    </row>
    <row x14ac:dyDescent="0.25" r="533" customHeight="1" ht="18.75">
      <c r="A533" s="1" t="s">
        <v>3617</v>
      </c>
      <c r="B533" s="1" t="s">
        <v>3729</v>
      </c>
      <c r="C533" s="1" t="s">
        <v>3619</v>
      </c>
      <c r="D533" s="1" t="s">
        <v>3601</v>
      </c>
      <c r="E533" s="1" t="s">
        <v>4590</v>
      </c>
      <c r="F533" s="1" t="s">
        <v>5020</v>
      </c>
      <c r="G533" s="1" t="s">
        <v>4457</v>
      </c>
      <c r="H533" s="1" t="s">
        <v>3604</v>
      </c>
      <c r="I533" s="1" t="s">
        <v>5021</v>
      </c>
      <c r="J533" s="1" t="s">
        <v>3606</v>
      </c>
      <c r="K533" s="1"/>
      <c r="L533" s="1"/>
      <c r="M533" s="1"/>
    </row>
    <row x14ac:dyDescent="0.25" r="534" customHeight="1" ht="18.75">
      <c r="A534" s="1" t="s">
        <v>3617</v>
      </c>
      <c r="B534" s="1" t="s">
        <v>4614</v>
      </c>
      <c r="C534" s="1" t="s">
        <v>3600</v>
      </c>
      <c r="D534" s="1" t="s">
        <v>3601</v>
      </c>
      <c r="E534" s="1"/>
      <c r="F534" s="1" t="s">
        <v>5022</v>
      </c>
      <c r="G534" s="1" t="s">
        <v>5014</v>
      </c>
      <c r="H534" s="1" t="s">
        <v>3604</v>
      </c>
      <c r="I534" s="1" t="s">
        <v>5023</v>
      </c>
      <c r="J534" s="1" t="s">
        <v>3606</v>
      </c>
      <c r="K534" s="1"/>
      <c r="L534" s="1"/>
      <c r="M534" s="1"/>
    </row>
    <row x14ac:dyDescent="0.25" r="535" customHeight="1" ht="18.75">
      <c r="A535" s="1" t="s">
        <v>3617</v>
      </c>
      <c r="B535" s="1" t="s">
        <v>4614</v>
      </c>
      <c r="C535" s="1" t="s">
        <v>3600</v>
      </c>
      <c r="D535" s="1" t="s">
        <v>3601</v>
      </c>
      <c r="E535" s="1"/>
      <c r="F535" s="1" t="s">
        <v>5024</v>
      </c>
      <c r="G535" s="1" t="s">
        <v>5014</v>
      </c>
      <c r="H535" s="1" t="s">
        <v>3604</v>
      </c>
      <c r="I535" s="1" t="s">
        <v>5025</v>
      </c>
      <c r="J535" s="1" t="s">
        <v>3606</v>
      </c>
      <c r="K535" s="1"/>
      <c r="L535" s="1"/>
      <c r="M535" s="1"/>
    </row>
    <row x14ac:dyDescent="0.25" r="536" customHeight="1" ht="18.75">
      <c r="A536" s="1" t="s">
        <v>3617</v>
      </c>
      <c r="B536" s="1" t="s">
        <v>4614</v>
      </c>
      <c r="C536" s="1" t="s">
        <v>3600</v>
      </c>
      <c r="D536" s="1" t="s">
        <v>3601</v>
      </c>
      <c r="E536" s="1"/>
      <c r="F536" s="1" t="s">
        <v>5026</v>
      </c>
      <c r="G536" s="1" t="s">
        <v>5014</v>
      </c>
      <c r="H536" s="1" t="s">
        <v>3604</v>
      </c>
      <c r="I536" s="1" t="s">
        <v>5027</v>
      </c>
      <c r="J536" s="1" t="s">
        <v>3606</v>
      </c>
      <c r="K536" s="1"/>
      <c r="L536" s="1"/>
      <c r="M536" s="1"/>
    </row>
    <row x14ac:dyDescent="0.25" r="537" customHeight="1" ht="18.75">
      <c r="A537" s="1" t="s">
        <v>3693</v>
      </c>
      <c r="B537" s="1" t="s">
        <v>4158</v>
      </c>
      <c r="C537" s="1" t="s">
        <v>3600</v>
      </c>
      <c r="D537" s="1" t="s">
        <v>3601</v>
      </c>
      <c r="E537" s="1" t="s">
        <v>3893</v>
      </c>
      <c r="F537" s="1" t="s">
        <v>5028</v>
      </c>
      <c r="G537" s="1" t="s">
        <v>4424</v>
      </c>
      <c r="H537" s="1" t="s">
        <v>3604</v>
      </c>
      <c r="I537" s="1" t="s">
        <v>5029</v>
      </c>
      <c r="J537" s="1" t="s">
        <v>3615</v>
      </c>
      <c r="K537" s="1"/>
      <c r="L537" s="1"/>
      <c r="M537" s="1"/>
    </row>
    <row x14ac:dyDescent="0.25" r="538" customHeight="1" ht="18.75">
      <c r="A538" s="1" t="s">
        <v>3617</v>
      </c>
      <c r="B538" s="1" t="s">
        <v>4614</v>
      </c>
      <c r="C538" s="1" t="s">
        <v>3600</v>
      </c>
      <c r="D538" s="1" t="s">
        <v>3601</v>
      </c>
      <c r="E538" s="1"/>
      <c r="F538" s="1" t="s">
        <v>5030</v>
      </c>
      <c r="G538" s="1" t="s">
        <v>5014</v>
      </c>
      <c r="H538" s="1" t="s">
        <v>3604</v>
      </c>
      <c r="I538" s="1" t="s">
        <v>5031</v>
      </c>
      <c r="J538" s="1" t="s">
        <v>3606</v>
      </c>
      <c r="K538" s="1"/>
      <c r="L538" s="1"/>
      <c r="M538" s="1"/>
    </row>
    <row x14ac:dyDescent="0.25" r="539" customHeight="1" ht="18.75">
      <c r="A539" s="1" t="s">
        <v>3617</v>
      </c>
      <c r="B539" s="1" t="s">
        <v>4614</v>
      </c>
      <c r="C539" s="1" t="s">
        <v>3600</v>
      </c>
      <c r="D539" s="1" t="s">
        <v>3601</v>
      </c>
      <c r="E539" s="1"/>
      <c r="F539" s="1" t="s">
        <v>5032</v>
      </c>
      <c r="G539" s="1" t="s">
        <v>5014</v>
      </c>
      <c r="H539" s="1" t="s">
        <v>3604</v>
      </c>
      <c r="I539" s="1" t="s">
        <v>5033</v>
      </c>
      <c r="J539" s="1" t="s">
        <v>3606</v>
      </c>
      <c r="K539" s="1"/>
      <c r="L539" s="1"/>
      <c r="M539" s="1"/>
    </row>
    <row x14ac:dyDescent="0.25" r="540" customHeight="1" ht="18.75">
      <c r="A540" s="1" t="s">
        <v>3693</v>
      </c>
      <c r="B540" s="1" t="s">
        <v>4158</v>
      </c>
      <c r="C540" s="1" t="s">
        <v>3600</v>
      </c>
      <c r="D540" s="1" t="s">
        <v>3601</v>
      </c>
      <c r="E540" s="1" t="s">
        <v>3893</v>
      </c>
      <c r="F540" s="1" t="s">
        <v>5034</v>
      </c>
      <c r="G540" s="1" t="s">
        <v>4424</v>
      </c>
      <c r="H540" s="1" t="s">
        <v>3604</v>
      </c>
      <c r="I540" s="1" t="s">
        <v>5035</v>
      </c>
      <c r="J540" s="1" t="s">
        <v>3615</v>
      </c>
      <c r="K540" s="1"/>
      <c r="L540" s="1"/>
      <c r="M540" s="1"/>
    </row>
    <row x14ac:dyDescent="0.25" r="541" customHeight="1" ht="18.75">
      <c r="A541" s="1" t="s">
        <v>3693</v>
      </c>
      <c r="B541" s="1" t="s">
        <v>4158</v>
      </c>
      <c r="C541" s="1" t="s">
        <v>3600</v>
      </c>
      <c r="D541" s="1" t="s">
        <v>3601</v>
      </c>
      <c r="E541" s="1" t="s">
        <v>3893</v>
      </c>
      <c r="F541" s="1" t="s">
        <v>5036</v>
      </c>
      <c r="G541" s="1" t="s">
        <v>4424</v>
      </c>
      <c r="H541" s="1" t="s">
        <v>3604</v>
      </c>
      <c r="I541" s="1" t="s">
        <v>5037</v>
      </c>
      <c r="J541" s="1" t="s">
        <v>3615</v>
      </c>
      <c r="K541" s="1"/>
      <c r="L541" s="1"/>
      <c r="M541" s="1"/>
    </row>
    <row x14ac:dyDescent="0.25" r="542" customHeight="1" ht="18.75">
      <c r="A542" s="1" t="s">
        <v>3693</v>
      </c>
      <c r="B542" s="1" t="s">
        <v>4158</v>
      </c>
      <c r="C542" s="1" t="s">
        <v>3600</v>
      </c>
      <c r="D542" s="1" t="s">
        <v>3601</v>
      </c>
      <c r="E542" s="1" t="s">
        <v>3893</v>
      </c>
      <c r="F542" s="1" t="s">
        <v>5038</v>
      </c>
      <c r="G542" s="1" t="s">
        <v>4424</v>
      </c>
      <c r="H542" s="1" t="s">
        <v>3604</v>
      </c>
      <c r="I542" s="1" t="s">
        <v>5039</v>
      </c>
      <c r="J542" s="1" t="s">
        <v>3606</v>
      </c>
      <c r="K542" s="1"/>
      <c r="L542" s="1"/>
      <c r="M542" s="1"/>
    </row>
    <row x14ac:dyDescent="0.25" r="543" customHeight="1" ht="18.75">
      <c r="A543" s="1" t="s">
        <v>3693</v>
      </c>
      <c r="B543" s="1" t="s">
        <v>4083</v>
      </c>
      <c r="C543" s="1" t="s">
        <v>3600</v>
      </c>
      <c r="D543" s="1" t="s">
        <v>3601</v>
      </c>
      <c r="E543" s="1" t="s">
        <v>3893</v>
      </c>
      <c r="F543" s="1" t="s">
        <v>5040</v>
      </c>
      <c r="G543" s="1" t="s">
        <v>4848</v>
      </c>
      <c r="H543" s="1" t="s">
        <v>3604</v>
      </c>
      <c r="I543" s="1" t="s">
        <v>5041</v>
      </c>
      <c r="J543" s="1" t="s">
        <v>3606</v>
      </c>
      <c r="K543" s="1"/>
      <c r="L543" s="1"/>
      <c r="M543" s="1"/>
    </row>
    <row x14ac:dyDescent="0.25" r="544" customHeight="1" ht="18.75">
      <c r="A544" s="1" t="s">
        <v>3693</v>
      </c>
      <c r="B544" s="1" t="s">
        <v>4158</v>
      </c>
      <c r="C544" s="1" t="s">
        <v>3600</v>
      </c>
      <c r="D544" s="1" t="s">
        <v>3601</v>
      </c>
      <c r="E544" s="1" t="s">
        <v>3893</v>
      </c>
      <c r="F544" s="1" t="s">
        <v>5042</v>
      </c>
      <c r="G544" s="1" t="s">
        <v>4424</v>
      </c>
      <c r="H544" s="1" t="s">
        <v>3604</v>
      </c>
      <c r="I544" s="1" t="s">
        <v>5043</v>
      </c>
      <c r="J544" s="1" t="s">
        <v>3606</v>
      </c>
      <c r="K544" s="1"/>
      <c r="L544" s="1"/>
      <c r="M544" s="1"/>
    </row>
    <row x14ac:dyDescent="0.25" r="545" customHeight="1" ht="18.75">
      <c r="A545" s="1" t="s">
        <v>3617</v>
      </c>
      <c r="B545" s="1" t="s">
        <v>5044</v>
      </c>
      <c r="C545" s="1" t="s">
        <v>3619</v>
      </c>
      <c r="D545" s="1" t="s">
        <v>3601</v>
      </c>
      <c r="E545" s="1"/>
      <c r="F545" s="1" t="s">
        <v>5045</v>
      </c>
      <c r="G545" s="1" t="s">
        <v>5046</v>
      </c>
      <c r="H545" s="1" t="s">
        <v>3604</v>
      </c>
      <c r="I545" s="1" t="s">
        <v>5047</v>
      </c>
      <c r="J545" s="1" t="s">
        <v>3606</v>
      </c>
      <c r="K545" s="1"/>
      <c r="L545" s="1"/>
      <c r="M545" s="1"/>
    </row>
    <row x14ac:dyDescent="0.25" r="546" customHeight="1" ht="18.75">
      <c r="A546" s="1" t="s">
        <v>3617</v>
      </c>
      <c r="B546" s="1" t="s">
        <v>5044</v>
      </c>
      <c r="C546" s="1" t="s">
        <v>3619</v>
      </c>
      <c r="D546" s="1" t="s">
        <v>3601</v>
      </c>
      <c r="E546" s="1"/>
      <c r="F546" s="1" t="s">
        <v>5048</v>
      </c>
      <c r="G546" s="1" t="s">
        <v>5046</v>
      </c>
      <c r="H546" s="1" t="s">
        <v>3604</v>
      </c>
      <c r="I546" s="1" t="s">
        <v>5049</v>
      </c>
      <c r="J546" s="1" t="s">
        <v>3606</v>
      </c>
      <c r="K546" s="1"/>
      <c r="L546" s="1"/>
      <c r="M546" s="1"/>
    </row>
    <row x14ac:dyDescent="0.25" r="547" customHeight="1" ht="18.75">
      <c r="A547" s="1" t="s">
        <v>3693</v>
      </c>
      <c r="B547" s="1" t="s">
        <v>4158</v>
      </c>
      <c r="C547" s="1" t="s">
        <v>3600</v>
      </c>
      <c r="D547" s="1" t="s">
        <v>3601</v>
      </c>
      <c r="E547" s="1" t="s">
        <v>3893</v>
      </c>
      <c r="F547" s="1" t="s">
        <v>5050</v>
      </c>
      <c r="G547" s="1" t="s">
        <v>4424</v>
      </c>
      <c r="H547" s="1" t="s">
        <v>3604</v>
      </c>
      <c r="I547" s="1" t="s">
        <v>5051</v>
      </c>
      <c r="J547" s="1" t="s">
        <v>3606</v>
      </c>
      <c r="K547" s="1"/>
      <c r="L547" s="1"/>
      <c r="M547" s="1"/>
    </row>
    <row x14ac:dyDescent="0.25" r="548" customHeight="1" ht="18.75">
      <c r="A548" s="1" t="s">
        <v>3617</v>
      </c>
      <c r="B548" s="1" t="s">
        <v>3729</v>
      </c>
      <c r="C548" s="1" t="s">
        <v>3619</v>
      </c>
      <c r="D548" s="1" t="s">
        <v>3601</v>
      </c>
      <c r="E548" s="1"/>
      <c r="F548" s="1" t="s">
        <v>5052</v>
      </c>
      <c r="G548" s="1" t="s">
        <v>5053</v>
      </c>
      <c r="H548" s="1" t="s">
        <v>3604</v>
      </c>
      <c r="I548" s="1" t="s">
        <v>5054</v>
      </c>
      <c r="J548" s="1" t="s">
        <v>3606</v>
      </c>
      <c r="K548" s="1"/>
      <c r="L548" s="1"/>
      <c r="M548" s="1"/>
    </row>
    <row x14ac:dyDescent="0.25" r="549" customHeight="1" ht="18.75">
      <c r="A549" s="1" t="s">
        <v>3617</v>
      </c>
      <c r="B549" s="1" t="s">
        <v>3729</v>
      </c>
      <c r="C549" s="1" t="s">
        <v>3619</v>
      </c>
      <c r="D549" s="1" t="s">
        <v>3601</v>
      </c>
      <c r="E549" s="1"/>
      <c r="F549" s="1" t="s">
        <v>5055</v>
      </c>
      <c r="G549" s="1" t="s">
        <v>5053</v>
      </c>
      <c r="H549" s="1" t="s">
        <v>3604</v>
      </c>
      <c r="I549" s="1" t="s">
        <v>5056</v>
      </c>
      <c r="J549" s="1" t="s">
        <v>3606</v>
      </c>
      <c r="K549" s="1"/>
      <c r="L549" s="1"/>
      <c r="M549" s="1"/>
    </row>
    <row x14ac:dyDescent="0.25" r="550" customHeight="1" ht="18.75">
      <c r="A550" s="1" t="s">
        <v>3693</v>
      </c>
      <c r="B550" s="1" t="s">
        <v>4158</v>
      </c>
      <c r="C550" s="1" t="s">
        <v>3600</v>
      </c>
      <c r="D550" s="1" t="s">
        <v>3601</v>
      </c>
      <c r="E550" s="1" t="s">
        <v>3893</v>
      </c>
      <c r="F550" s="1" t="s">
        <v>5057</v>
      </c>
      <c r="G550" s="1" t="s">
        <v>4424</v>
      </c>
      <c r="H550" s="1" t="s">
        <v>3604</v>
      </c>
      <c r="I550" s="1" t="s">
        <v>5058</v>
      </c>
      <c r="J550" s="1" t="s">
        <v>3615</v>
      </c>
      <c r="K550" s="1"/>
      <c r="L550" s="1"/>
      <c r="M550" s="1"/>
    </row>
    <row x14ac:dyDescent="0.25" r="551" customHeight="1" ht="18.75">
      <c r="A551" s="1" t="s">
        <v>3617</v>
      </c>
      <c r="B551" s="1" t="s">
        <v>3729</v>
      </c>
      <c r="C551" s="1" t="s">
        <v>3619</v>
      </c>
      <c r="D551" s="1" t="s">
        <v>3601</v>
      </c>
      <c r="E551" s="1"/>
      <c r="F551" s="1" t="s">
        <v>5059</v>
      </c>
      <c r="G551" s="1" t="s">
        <v>5053</v>
      </c>
      <c r="H551" s="1" t="s">
        <v>3604</v>
      </c>
      <c r="I551" s="1" t="s">
        <v>5060</v>
      </c>
      <c r="J551" s="1" t="s">
        <v>3606</v>
      </c>
      <c r="K551" s="1"/>
      <c r="L551" s="1"/>
      <c r="M551" s="1"/>
    </row>
    <row x14ac:dyDescent="0.25" r="552" customHeight="1" ht="18.75">
      <c r="A552" s="1" t="s">
        <v>3693</v>
      </c>
      <c r="B552" s="1" t="s">
        <v>4158</v>
      </c>
      <c r="C552" s="1" t="s">
        <v>3600</v>
      </c>
      <c r="D552" s="1" t="s">
        <v>3601</v>
      </c>
      <c r="E552" s="1" t="s">
        <v>3893</v>
      </c>
      <c r="F552" s="1" t="s">
        <v>5061</v>
      </c>
      <c r="G552" s="1" t="s">
        <v>5062</v>
      </c>
      <c r="H552" s="1" t="s">
        <v>3604</v>
      </c>
      <c r="I552" s="1" t="s">
        <v>5063</v>
      </c>
      <c r="J552" s="1" t="s">
        <v>3606</v>
      </c>
      <c r="K552" s="1"/>
      <c r="L552" s="1"/>
      <c r="M552" s="1"/>
    </row>
    <row x14ac:dyDescent="0.25" r="553" customHeight="1" ht="18.75">
      <c r="A553" s="1" t="s">
        <v>3693</v>
      </c>
      <c r="B553" s="1" t="s">
        <v>4204</v>
      </c>
      <c r="C553" s="1" t="s">
        <v>3600</v>
      </c>
      <c r="D553" s="1" t="s">
        <v>3601</v>
      </c>
      <c r="E553" s="1" t="s">
        <v>3893</v>
      </c>
      <c r="F553" s="1" t="s">
        <v>5064</v>
      </c>
      <c r="G553" s="1" t="s">
        <v>4419</v>
      </c>
      <c r="H553" s="1" t="s">
        <v>3604</v>
      </c>
      <c r="I553" s="1" t="s">
        <v>5065</v>
      </c>
      <c r="J553" s="1" t="s">
        <v>3606</v>
      </c>
      <c r="K553" s="1"/>
      <c r="L553" s="1"/>
      <c r="M553" s="1"/>
    </row>
    <row x14ac:dyDescent="0.25" r="554" customHeight="1" ht="18.75">
      <c r="A554" s="1" t="s">
        <v>3693</v>
      </c>
      <c r="B554" s="1" t="s">
        <v>4158</v>
      </c>
      <c r="C554" s="1" t="s">
        <v>3600</v>
      </c>
      <c r="D554" s="1" t="s">
        <v>3601</v>
      </c>
      <c r="E554" s="1" t="s">
        <v>3893</v>
      </c>
      <c r="F554" s="1" t="s">
        <v>5066</v>
      </c>
      <c r="G554" s="1" t="s">
        <v>4419</v>
      </c>
      <c r="H554" s="1" t="s">
        <v>3604</v>
      </c>
      <c r="I554" s="1" t="s">
        <v>5067</v>
      </c>
      <c r="J554" s="1" t="s">
        <v>3606</v>
      </c>
      <c r="K554" s="1"/>
      <c r="L554" s="1"/>
      <c r="M554" s="1"/>
    </row>
    <row x14ac:dyDescent="0.25" r="555" customHeight="1" ht="18.75">
      <c r="A555" s="1" t="s">
        <v>3693</v>
      </c>
      <c r="B555" s="1" t="s">
        <v>4158</v>
      </c>
      <c r="C555" s="1" t="s">
        <v>3600</v>
      </c>
      <c r="D555" s="1" t="s">
        <v>3601</v>
      </c>
      <c r="E555" s="1" t="s">
        <v>3893</v>
      </c>
      <c r="F555" s="1" t="s">
        <v>5068</v>
      </c>
      <c r="G555" s="1" t="s">
        <v>4424</v>
      </c>
      <c r="H555" s="1" t="s">
        <v>3604</v>
      </c>
      <c r="I555" s="1" t="s">
        <v>5069</v>
      </c>
      <c r="J555" s="1" t="s">
        <v>3606</v>
      </c>
      <c r="K555" s="1"/>
      <c r="L555" s="1"/>
      <c r="M555" s="1"/>
    </row>
    <row x14ac:dyDescent="0.25" r="556" customHeight="1" ht="18.75">
      <c r="A556" s="1" t="s">
        <v>3693</v>
      </c>
      <c r="B556" s="1" t="s">
        <v>4192</v>
      </c>
      <c r="C556" s="1" t="s">
        <v>3600</v>
      </c>
      <c r="D556" s="1" t="s">
        <v>3601</v>
      </c>
      <c r="E556" s="1" t="s">
        <v>3664</v>
      </c>
      <c r="F556" s="1" t="s">
        <v>5070</v>
      </c>
      <c r="G556" s="1" t="s">
        <v>5071</v>
      </c>
      <c r="H556" s="1" t="s">
        <v>3604</v>
      </c>
      <c r="I556" s="1" t="s">
        <v>5072</v>
      </c>
      <c r="J556" s="1" t="s">
        <v>3606</v>
      </c>
      <c r="K556" s="1"/>
      <c r="L556" s="1"/>
      <c r="M556" s="1"/>
    </row>
    <row x14ac:dyDescent="0.25" r="557" customHeight="1" ht="18.75">
      <c r="A557" s="1" t="s">
        <v>3693</v>
      </c>
      <c r="B557" s="1" t="s">
        <v>4267</v>
      </c>
      <c r="C557" s="1" t="s">
        <v>3600</v>
      </c>
      <c r="D557" s="1" t="s">
        <v>3601</v>
      </c>
      <c r="E557" s="1" t="s">
        <v>3664</v>
      </c>
      <c r="F557" s="1" t="s">
        <v>5073</v>
      </c>
      <c r="G557" s="1" t="s">
        <v>5074</v>
      </c>
      <c r="H557" s="1" t="s">
        <v>3604</v>
      </c>
      <c r="I557" s="1" t="s">
        <v>5075</v>
      </c>
      <c r="J557" s="1" t="s">
        <v>3615</v>
      </c>
      <c r="K557" s="1"/>
      <c r="L557" s="1"/>
      <c r="M557" s="1"/>
    </row>
    <row x14ac:dyDescent="0.25" r="558" customHeight="1" ht="18.75">
      <c r="A558" s="1" t="s">
        <v>3693</v>
      </c>
      <c r="B558" s="1" t="s">
        <v>4267</v>
      </c>
      <c r="C558" s="1" t="s">
        <v>3600</v>
      </c>
      <c r="D558" s="1" t="s">
        <v>3601</v>
      </c>
      <c r="E558" s="1" t="s">
        <v>3664</v>
      </c>
      <c r="F558" s="1" t="s">
        <v>5076</v>
      </c>
      <c r="G558" s="1" t="s">
        <v>5077</v>
      </c>
      <c r="H558" s="1" t="s">
        <v>3604</v>
      </c>
      <c r="I558" s="1" t="s">
        <v>5078</v>
      </c>
      <c r="J558" s="1" t="s">
        <v>3606</v>
      </c>
      <c r="K558" s="1"/>
      <c r="L558" s="1"/>
      <c r="M558" s="1"/>
    </row>
    <row x14ac:dyDescent="0.25" r="559" customHeight="1" ht="18.75">
      <c r="A559" s="1" t="s">
        <v>3693</v>
      </c>
      <c r="B559" s="1" t="s">
        <v>4267</v>
      </c>
      <c r="C559" s="1" t="s">
        <v>3600</v>
      </c>
      <c r="D559" s="1" t="s">
        <v>3601</v>
      </c>
      <c r="E559" s="1" t="s">
        <v>3664</v>
      </c>
      <c r="F559" s="1" t="s">
        <v>5076</v>
      </c>
      <c r="G559" s="1" t="s">
        <v>5079</v>
      </c>
      <c r="H559" s="1" t="s">
        <v>3604</v>
      </c>
      <c r="I559" s="1" t="s">
        <v>5080</v>
      </c>
      <c r="J559" s="1" t="s">
        <v>3606</v>
      </c>
      <c r="K559" s="1"/>
      <c r="L559" s="1"/>
      <c r="M559" s="1"/>
    </row>
    <row x14ac:dyDescent="0.25" r="560" customHeight="1" ht="18.75">
      <c r="A560" s="1" t="s">
        <v>3693</v>
      </c>
      <c r="B560" s="1" t="s">
        <v>4247</v>
      </c>
      <c r="C560" s="1" t="s">
        <v>3600</v>
      </c>
      <c r="D560" s="1" t="s">
        <v>3601</v>
      </c>
      <c r="E560" s="1" t="s">
        <v>3893</v>
      </c>
      <c r="F560" s="1" t="s">
        <v>5081</v>
      </c>
      <c r="G560" s="1" t="s">
        <v>4352</v>
      </c>
      <c r="H560" s="1" t="s">
        <v>3604</v>
      </c>
      <c r="I560" s="1" t="s">
        <v>5082</v>
      </c>
      <c r="J560" s="1" t="s">
        <v>3615</v>
      </c>
      <c r="K560" s="1"/>
      <c r="L560" s="1"/>
      <c r="M560" s="1"/>
    </row>
    <row x14ac:dyDescent="0.25" r="561" customHeight="1" ht="18.75">
      <c r="A561" s="1" t="s">
        <v>3693</v>
      </c>
      <c r="B561" s="1" t="s">
        <v>4247</v>
      </c>
      <c r="C561" s="1" t="s">
        <v>3600</v>
      </c>
      <c r="D561" s="1" t="s">
        <v>3601</v>
      </c>
      <c r="E561" s="1" t="s">
        <v>3664</v>
      </c>
      <c r="F561" s="1" t="s">
        <v>5083</v>
      </c>
      <c r="G561" s="1" t="s">
        <v>4384</v>
      </c>
      <c r="H561" s="1" t="s">
        <v>3604</v>
      </c>
      <c r="I561" s="1" t="s">
        <v>5084</v>
      </c>
      <c r="J561" s="1" t="s">
        <v>3615</v>
      </c>
      <c r="K561" s="1"/>
      <c r="L561" s="1"/>
      <c r="M561" s="1"/>
    </row>
    <row x14ac:dyDescent="0.25" r="562" customHeight="1" ht="18.75">
      <c r="A562" s="1" t="s">
        <v>3693</v>
      </c>
      <c r="B562" s="1" t="s">
        <v>4204</v>
      </c>
      <c r="C562" s="1" t="s">
        <v>3600</v>
      </c>
      <c r="D562" s="1" t="s">
        <v>3601</v>
      </c>
      <c r="E562" s="1" t="s">
        <v>3893</v>
      </c>
      <c r="F562" s="1" t="s">
        <v>5085</v>
      </c>
      <c r="G562" s="1" t="s">
        <v>4206</v>
      </c>
      <c r="H562" s="1" t="s">
        <v>3604</v>
      </c>
      <c r="I562" s="1" t="s">
        <v>5086</v>
      </c>
      <c r="J562" s="1" t="s">
        <v>3606</v>
      </c>
      <c r="K562" s="1"/>
      <c r="L562" s="1"/>
      <c r="M562" s="1"/>
    </row>
    <row x14ac:dyDescent="0.25" r="563" customHeight="1" ht="18.75">
      <c r="A563" s="1" t="s">
        <v>3693</v>
      </c>
      <c r="B563" s="1" t="s">
        <v>4204</v>
      </c>
      <c r="C563" s="1" t="s">
        <v>3600</v>
      </c>
      <c r="D563" s="1" t="s">
        <v>3601</v>
      </c>
      <c r="E563" s="1" t="s">
        <v>3893</v>
      </c>
      <c r="F563" s="1" t="s">
        <v>5087</v>
      </c>
      <c r="G563" s="1" t="s">
        <v>4206</v>
      </c>
      <c r="H563" s="1" t="s">
        <v>3604</v>
      </c>
      <c r="I563" s="1" t="s">
        <v>5088</v>
      </c>
      <c r="J563" s="1" t="s">
        <v>3606</v>
      </c>
      <c r="K563" s="1"/>
      <c r="L563" s="1"/>
      <c r="M563" s="1"/>
    </row>
    <row x14ac:dyDescent="0.25" r="564" customHeight="1" ht="18.75">
      <c r="A564" s="1" t="s">
        <v>3617</v>
      </c>
      <c r="B564" s="1" t="s">
        <v>4128</v>
      </c>
      <c r="C564" s="1" t="s">
        <v>3619</v>
      </c>
      <c r="D564" s="1" t="s">
        <v>3601</v>
      </c>
      <c r="E564" s="1" t="s">
        <v>3893</v>
      </c>
      <c r="F564" s="1" t="s">
        <v>5089</v>
      </c>
      <c r="G564" s="1" t="s">
        <v>5090</v>
      </c>
      <c r="H564" s="1" t="s">
        <v>3604</v>
      </c>
      <c r="I564" s="1" t="s">
        <v>5091</v>
      </c>
      <c r="J564" s="1" t="s">
        <v>3606</v>
      </c>
      <c r="K564" s="1"/>
      <c r="L564" s="1"/>
      <c r="M564" s="1"/>
    </row>
    <row x14ac:dyDescent="0.25" r="565" customHeight="1" ht="18.75">
      <c r="A565" s="1" t="s">
        <v>3693</v>
      </c>
      <c r="B565" s="1" t="s">
        <v>4083</v>
      </c>
      <c r="C565" s="1" t="s">
        <v>3600</v>
      </c>
      <c r="D565" s="1" t="s">
        <v>3601</v>
      </c>
      <c r="E565" s="1" t="s">
        <v>3893</v>
      </c>
      <c r="F565" s="1" t="s">
        <v>5092</v>
      </c>
      <c r="G565" s="1" t="s">
        <v>5093</v>
      </c>
      <c r="H565" s="1" t="s">
        <v>3604</v>
      </c>
      <c r="I565" s="1" t="s">
        <v>5094</v>
      </c>
      <c r="J565" s="1" t="s">
        <v>3606</v>
      </c>
      <c r="K565" s="1"/>
      <c r="L565" s="1"/>
      <c r="M565" s="1"/>
    </row>
    <row x14ac:dyDescent="0.25" r="566" customHeight="1" ht="18.75">
      <c r="A566" s="1" t="s">
        <v>3693</v>
      </c>
      <c r="B566" s="1" t="s">
        <v>4247</v>
      </c>
      <c r="C566" s="1" t="s">
        <v>3600</v>
      </c>
      <c r="D566" s="1" t="s">
        <v>3601</v>
      </c>
      <c r="E566" s="1" t="s">
        <v>3893</v>
      </c>
      <c r="F566" s="1" t="s">
        <v>5095</v>
      </c>
      <c r="G566" s="1" t="s">
        <v>4249</v>
      </c>
      <c r="H566" s="1" t="s">
        <v>3604</v>
      </c>
      <c r="I566" s="1" t="s">
        <v>5096</v>
      </c>
      <c r="J566" s="1" t="s">
        <v>3606</v>
      </c>
      <c r="K566" s="1"/>
      <c r="L566" s="1"/>
      <c r="M566" s="1"/>
    </row>
    <row x14ac:dyDescent="0.25" r="567" customHeight="1" ht="18.75">
      <c r="A567" s="1" t="s">
        <v>3693</v>
      </c>
      <c r="B567" s="1" t="s">
        <v>4247</v>
      </c>
      <c r="C567" s="1" t="s">
        <v>3600</v>
      </c>
      <c r="D567" s="1" t="s">
        <v>3601</v>
      </c>
      <c r="E567" s="1" t="s">
        <v>3893</v>
      </c>
      <c r="F567" s="1" t="s">
        <v>5097</v>
      </c>
      <c r="G567" s="1" t="s">
        <v>4249</v>
      </c>
      <c r="H567" s="1" t="s">
        <v>3604</v>
      </c>
      <c r="I567" s="1" t="s">
        <v>5098</v>
      </c>
      <c r="J567" s="1" t="s">
        <v>3606</v>
      </c>
      <c r="K567" s="1"/>
      <c r="L567" s="1"/>
      <c r="M567" s="1"/>
    </row>
    <row x14ac:dyDescent="0.25" r="568" customHeight="1" ht="18.75">
      <c r="A568" s="1" t="s">
        <v>3617</v>
      </c>
      <c r="B568" s="1" t="s">
        <v>4128</v>
      </c>
      <c r="C568" s="1" t="s">
        <v>3619</v>
      </c>
      <c r="D568" s="1" t="s">
        <v>3601</v>
      </c>
      <c r="E568" s="1" t="s">
        <v>3893</v>
      </c>
      <c r="F568" s="1" t="s">
        <v>5099</v>
      </c>
      <c r="G568" s="1" t="s">
        <v>5100</v>
      </c>
      <c r="H568" s="1" t="s">
        <v>3604</v>
      </c>
      <c r="I568" s="1" t="s">
        <v>5101</v>
      </c>
      <c r="J568" s="1" t="s">
        <v>3606</v>
      </c>
      <c r="K568" s="1"/>
      <c r="L568" s="1"/>
      <c r="M568" s="1"/>
    </row>
    <row x14ac:dyDescent="0.25" r="569" customHeight="1" ht="18.75">
      <c r="A569" s="1" t="s">
        <v>3617</v>
      </c>
      <c r="B569" s="1" t="s">
        <v>4128</v>
      </c>
      <c r="C569" s="1" t="s">
        <v>3619</v>
      </c>
      <c r="D569" s="1" t="s">
        <v>3601</v>
      </c>
      <c r="E569" s="1" t="s">
        <v>3893</v>
      </c>
      <c r="F569" s="1" t="s">
        <v>5102</v>
      </c>
      <c r="G569" s="1" t="s">
        <v>5103</v>
      </c>
      <c r="H569" s="1" t="s">
        <v>3604</v>
      </c>
      <c r="I569" s="1" t="s">
        <v>5104</v>
      </c>
      <c r="J569" s="1" t="s">
        <v>3606</v>
      </c>
      <c r="K569" s="1"/>
      <c r="L569" s="1"/>
      <c r="M569" s="1"/>
    </row>
    <row x14ac:dyDescent="0.25" r="570" customHeight="1" ht="18.75">
      <c r="A570" s="1" t="s">
        <v>3617</v>
      </c>
      <c r="B570" s="1" t="s">
        <v>3980</v>
      </c>
      <c r="C570" s="1" t="s">
        <v>3619</v>
      </c>
      <c r="D570" s="1" t="s">
        <v>3601</v>
      </c>
      <c r="E570" s="1" t="s">
        <v>3730</v>
      </c>
      <c r="F570" s="1" t="s">
        <v>5105</v>
      </c>
      <c r="G570" s="1" t="s">
        <v>5106</v>
      </c>
      <c r="H570" s="1" t="s">
        <v>3604</v>
      </c>
      <c r="I570" s="1" t="s">
        <v>5107</v>
      </c>
      <c r="J570" s="1" t="s">
        <v>3606</v>
      </c>
      <c r="K570" s="1"/>
      <c r="L570" s="1"/>
      <c r="M570" s="1"/>
    </row>
    <row x14ac:dyDescent="0.25" r="571" customHeight="1" ht="18.75">
      <c r="A571" s="1" t="s">
        <v>3617</v>
      </c>
      <c r="B571" s="1" t="s">
        <v>5108</v>
      </c>
      <c r="C571" s="1" t="s">
        <v>3619</v>
      </c>
      <c r="D571" s="1" t="s">
        <v>3601</v>
      </c>
      <c r="E571" s="1" t="s">
        <v>3893</v>
      </c>
      <c r="F571" s="1" t="s">
        <v>5109</v>
      </c>
      <c r="G571" s="1" t="s">
        <v>5110</v>
      </c>
      <c r="H571" s="1" t="s">
        <v>3604</v>
      </c>
      <c r="I571" s="1" t="s">
        <v>5111</v>
      </c>
      <c r="J571" s="1" t="s">
        <v>3606</v>
      </c>
      <c r="K571" s="1"/>
      <c r="L571" s="1"/>
      <c r="M571" s="1"/>
    </row>
    <row x14ac:dyDescent="0.25" r="572" customHeight="1" ht="18.75">
      <c r="A572" s="1" t="s">
        <v>3617</v>
      </c>
      <c r="B572" s="1" t="s">
        <v>4487</v>
      </c>
      <c r="C572" s="1" t="s">
        <v>4488</v>
      </c>
      <c r="D572" s="1" t="s">
        <v>3601</v>
      </c>
      <c r="E572" s="1"/>
      <c r="F572" s="1" t="s">
        <v>5112</v>
      </c>
      <c r="G572" s="1" t="s">
        <v>5113</v>
      </c>
      <c r="H572" s="1" t="s">
        <v>3604</v>
      </c>
      <c r="I572" s="1" t="s">
        <v>5114</v>
      </c>
      <c r="J572" s="1" t="s">
        <v>3606</v>
      </c>
      <c r="K572" s="1"/>
      <c r="L572" s="1"/>
      <c r="M572" s="1"/>
    </row>
    <row x14ac:dyDescent="0.25" r="573" customHeight="1" ht="18.75">
      <c r="A573" s="1" t="s">
        <v>3617</v>
      </c>
      <c r="B573" s="1" t="s">
        <v>4487</v>
      </c>
      <c r="C573" s="1" t="s">
        <v>4488</v>
      </c>
      <c r="D573" s="1" t="s">
        <v>3601</v>
      </c>
      <c r="E573" s="1"/>
      <c r="F573" s="1" t="s">
        <v>5115</v>
      </c>
      <c r="G573" s="1" t="s">
        <v>5113</v>
      </c>
      <c r="H573" s="1" t="s">
        <v>3604</v>
      </c>
      <c r="I573" s="1" t="s">
        <v>5116</v>
      </c>
      <c r="J573" s="1" t="s">
        <v>3606</v>
      </c>
      <c r="K573" s="1"/>
      <c r="L573" s="1"/>
      <c r="M573" s="1"/>
    </row>
    <row x14ac:dyDescent="0.25" r="574" customHeight="1" ht="18.75">
      <c r="A574" s="1" t="s">
        <v>3617</v>
      </c>
      <c r="B574" s="1" t="s">
        <v>4487</v>
      </c>
      <c r="C574" s="1" t="s">
        <v>4488</v>
      </c>
      <c r="D574" s="1" t="s">
        <v>3601</v>
      </c>
      <c r="E574" s="1"/>
      <c r="F574" s="1" t="s">
        <v>5117</v>
      </c>
      <c r="G574" s="1" t="s">
        <v>5118</v>
      </c>
      <c r="H574" s="1" t="s">
        <v>3604</v>
      </c>
      <c r="I574" s="1" t="s">
        <v>5119</v>
      </c>
      <c r="J574" s="1" t="s">
        <v>3606</v>
      </c>
      <c r="K574" s="1"/>
      <c r="L574" s="1"/>
      <c r="M574" s="1"/>
    </row>
    <row x14ac:dyDescent="0.25" r="575" customHeight="1" ht="18.75">
      <c r="A575" s="1" t="s">
        <v>3617</v>
      </c>
      <c r="B575" s="1" t="s">
        <v>4487</v>
      </c>
      <c r="C575" s="1" t="s">
        <v>4488</v>
      </c>
      <c r="D575" s="1" t="s">
        <v>3601</v>
      </c>
      <c r="E575" s="1"/>
      <c r="F575" s="1" t="s">
        <v>5120</v>
      </c>
      <c r="G575" s="1" t="s">
        <v>5121</v>
      </c>
      <c r="H575" s="1" t="s">
        <v>3604</v>
      </c>
      <c r="I575" s="1" t="s">
        <v>5122</v>
      </c>
      <c r="J575" s="1" t="s">
        <v>3606</v>
      </c>
      <c r="K575" s="1"/>
      <c r="L575" s="1"/>
      <c r="M575" s="1"/>
    </row>
    <row x14ac:dyDescent="0.25" r="576" customHeight="1" ht="18.75">
      <c r="A576" s="1" t="s">
        <v>3617</v>
      </c>
      <c r="B576" s="1" t="s">
        <v>4487</v>
      </c>
      <c r="C576" s="1" t="s">
        <v>4488</v>
      </c>
      <c r="D576" s="1" t="s">
        <v>3601</v>
      </c>
      <c r="E576" s="1"/>
      <c r="F576" s="1" t="s">
        <v>5123</v>
      </c>
      <c r="G576" s="1" t="s">
        <v>5118</v>
      </c>
      <c r="H576" s="1" t="s">
        <v>3604</v>
      </c>
      <c r="I576" s="1" t="s">
        <v>5124</v>
      </c>
      <c r="J576" s="1" t="s">
        <v>3606</v>
      </c>
      <c r="K576" s="1"/>
      <c r="L576" s="1"/>
      <c r="M576" s="1"/>
    </row>
    <row x14ac:dyDescent="0.25" r="577" customHeight="1" ht="18.75">
      <c r="A577" s="1" t="s">
        <v>3617</v>
      </c>
      <c r="B577" s="1" t="s">
        <v>4487</v>
      </c>
      <c r="C577" s="1" t="s">
        <v>4488</v>
      </c>
      <c r="D577" s="1" t="s">
        <v>3601</v>
      </c>
      <c r="E577" s="1"/>
      <c r="F577" s="1" t="s">
        <v>5125</v>
      </c>
      <c r="G577" s="1" t="s">
        <v>5113</v>
      </c>
      <c r="H577" s="1" t="s">
        <v>3604</v>
      </c>
      <c r="I577" s="1" t="s">
        <v>5126</v>
      </c>
      <c r="J577" s="1" t="s">
        <v>3606</v>
      </c>
      <c r="K577" s="1"/>
      <c r="L577" s="1"/>
      <c r="M577" s="1"/>
    </row>
    <row x14ac:dyDescent="0.25" r="578" customHeight="1" ht="18.75">
      <c r="A578" s="1" t="s">
        <v>3617</v>
      </c>
      <c r="B578" s="1" t="s">
        <v>4487</v>
      </c>
      <c r="C578" s="1" t="s">
        <v>4488</v>
      </c>
      <c r="D578" s="1" t="s">
        <v>3601</v>
      </c>
      <c r="E578" s="1"/>
      <c r="F578" s="1" t="s">
        <v>5127</v>
      </c>
      <c r="G578" s="1" t="s">
        <v>5113</v>
      </c>
      <c r="H578" s="1" t="s">
        <v>3604</v>
      </c>
      <c r="I578" s="1" t="s">
        <v>5128</v>
      </c>
      <c r="J578" s="1" t="s">
        <v>3606</v>
      </c>
      <c r="K578" s="1"/>
      <c r="L578" s="1"/>
      <c r="M578" s="1"/>
    </row>
    <row x14ac:dyDescent="0.25" r="579" customHeight="1" ht="18.75">
      <c r="A579" s="1" t="s">
        <v>3617</v>
      </c>
      <c r="B579" s="1" t="s">
        <v>4582</v>
      </c>
      <c r="C579" s="1" t="s">
        <v>4488</v>
      </c>
      <c r="D579" s="1" t="s">
        <v>3601</v>
      </c>
      <c r="E579" s="1" t="s">
        <v>4478</v>
      </c>
      <c r="F579" s="1" t="s">
        <v>5129</v>
      </c>
      <c r="G579" s="1" t="s">
        <v>5130</v>
      </c>
      <c r="H579" s="1" t="s">
        <v>3604</v>
      </c>
      <c r="I579" s="1" t="s">
        <v>5131</v>
      </c>
      <c r="J579" s="1" t="s">
        <v>3606</v>
      </c>
      <c r="K579" s="1"/>
      <c r="L579" s="1"/>
      <c r="M579" s="1"/>
    </row>
    <row x14ac:dyDescent="0.25" r="580" customHeight="1" ht="18.75">
      <c r="A580" s="1" t="s">
        <v>3617</v>
      </c>
      <c r="B580" s="1" t="s">
        <v>4487</v>
      </c>
      <c r="C580" s="1" t="s">
        <v>4488</v>
      </c>
      <c r="D580" s="1" t="s">
        <v>3601</v>
      </c>
      <c r="E580" s="1"/>
      <c r="F580" s="1" t="s">
        <v>5132</v>
      </c>
      <c r="G580" s="1" t="s">
        <v>5133</v>
      </c>
      <c r="H580" s="1" t="s">
        <v>3604</v>
      </c>
      <c r="I580" s="1" t="s">
        <v>5134</v>
      </c>
      <c r="J580" s="1" t="s">
        <v>3606</v>
      </c>
      <c r="K580" s="1"/>
      <c r="L580" s="1"/>
      <c r="M580" s="1"/>
    </row>
    <row x14ac:dyDescent="0.25" r="581" customHeight="1" ht="18.75">
      <c r="A581" s="1" t="s">
        <v>3617</v>
      </c>
      <c r="B581" s="1" t="s">
        <v>4487</v>
      </c>
      <c r="C581" s="1" t="s">
        <v>4488</v>
      </c>
      <c r="D581" s="1" t="s">
        <v>3601</v>
      </c>
      <c r="E581" s="1"/>
      <c r="F581" s="1" t="s">
        <v>5135</v>
      </c>
      <c r="G581" s="1" t="s">
        <v>5136</v>
      </c>
      <c r="H581" s="1" t="s">
        <v>3604</v>
      </c>
      <c r="I581" s="1" t="s">
        <v>5137</v>
      </c>
      <c r="J581" s="1" t="s">
        <v>3606</v>
      </c>
      <c r="K581" s="1"/>
      <c r="L581" s="1"/>
      <c r="M581" s="1"/>
    </row>
    <row x14ac:dyDescent="0.25" r="582" customHeight="1" ht="18.75">
      <c r="A582" s="1" t="s">
        <v>3617</v>
      </c>
      <c r="B582" s="1" t="s">
        <v>4582</v>
      </c>
      <c r="C582" s="1" t="s">
        <v>4488</v>
      </c>
      <c r="D582" s="1" t="s">
        <v>3601</v>
      </c>
      <c r="E582" s="1" t="s">
        <v>4478</v>
      </c>
      <c r="F582" s="1" t="s">
        <v>5138</v>
      </c>
      <c r="G582" s="1" t="s">
        <v>5133</v>
      </c>
      <c r="H582" s="1" t="s">
        <v>3604</v>
      </c>
      <c r="I582" s="1" t="s">
        <v>5139</v>
      </c>
      <c r="J582" s="1" t="s">
        <v>3606</v>
      </c>
      <c r="K582" s="1"/>
      <c r="L582" s="1"/>
      <c r="M582" s="1"/>
    </row>
    <row x14ac:dyDescent="0.25" r="583" customHeight="1" ht="18.75">
      <c r="A583" s="1" t="s">
        <v>3617</v>
      </c>
      <c r="B583" s="1" t="s">
        <v>4582</v>
      </c>
      <c r="C583" s="1" t="s">
        <v>4488</v>
      </c>
      <c r="D583" s="1" t="s">
        <v>3601</v>
      </c>
      <c r="E583" s="1" t="s">
        <v>4478</v>
      </c>
      <c r="F583" s="1" t="s">
        <v>5140</v>
      </c>
      <c r="G583" s="1" t="s">
        <v>5141</v>
      </c>
      <c r="H583" s="1" t="s">
        <v>3604</v>
      </c>
      <c r="I583" s="1" t="s">
        <v>5142</v>
      </c>
      <c r="J583" s="1" t="s">
        <v>3606</v>
      </c>
      <c r="K583" s="1"/>
      <c r="L583" s="1"/>
      <c r="M583" s="1"/>
    </row>
    <row x14ac:dyDescent="0.25" r="584" customHeight="1" ht="18.75">
      <c r="A584" s="1" t="s">
        <v>3617</v>
      </c>
      <c r="B584" s="1" t="s">
        <v>4487</v>
      </c>
      <c r="C584" s="1" t="s">
        <v>4488</v>
      </c>
      <c r="D584" s="1" t="s">
        <v>3601</v>
      </c>
      <c r="E584" s="1"/>
      <c r="F584" s="1" t="s">
        <v>5143</v>
      </c>
      <c r="G584" s="1" t="s">
        <v>5144</v>
      </c>
      <c r="H584" s="1" t="s">
        <v>3604</v>
      </c>
      <c r="I584" s="1" t="s">
        <v>5145</v>
      </c>
      <c r="J584" s="1" t="s">
        <v>3606</v>
      </c>
      <c r="K584" s="1"/>
      <c r="L584" s="1"/>
      <c r="M584" s="1"/>
    </row>
    <row x14ac:dyDescent="0.25" r="585" customHeight="1" ht="18.75">
      <c r="A585" s="1" t="s">
        <v>3617</v>
      </c>
      <c r="B585" s="1" t="s">
        <v>4582</v>
      </c>
      <c r="C585" s="1" t="s">
        <v>4488</v>
      </c>
      <c r="D585" s="1" t="s">
        <v>3601</v>
      </c>
      <c r="E585" s="1" t="s">
        <v>4478</v>
      </c>
      <c r="F585" s="1" t="s">
        <v>5146</v>
      </c>
      <c r="G585" s="1" t="s">
        <v>5147</v>
      </c>
      <c r="H585" s="1" t="s">
        <v>3604</v>
      </c>
      <c r="I585" s="1" t="s">
        <v>5148</v>
      </c>
      <c r="J585" s="1" t="s">
        <v>3606</v>
      </c>
      <c r="K585" s="1"/>
      <c r="L585" s="1"/>
      <c r="M585" s="1"/>
    </row>
    <row x14ac:dyDescent="0.25" r="586" customHeight="1" ht="18.75">
      <c r="A586" s="1" t="s">
        <v>3617</v>
      </c>
      <c r="B586" s="1" t="s">
        <v>4582</v>
      </c>
      <c r="C586" s="1" t="s">
        <v>4488</v>
      </c>
      <c r="D586" s="1" t="s">
        <v>3601</v>
      </c>
      <c r="E586" s="1" t="s">
        <v>4478</v>
      </c>
      <c r="F586" s="1" t="s">
        <v>5149</v>
      </c>
      <c r="G586" s="1" t="s">
        <v>5144</v>
      </c>
      <c r="H586" s="1" t="s">
        <v>3604</v>
      </c>
      <c r="I586" s="1" t="s">
        <v>5150</v>
      </c>
      <c r="J586" s="1" t="s">
        <v>3606</v>
      </c>
      <c r="K586" s="1"/>
      <c r="L586" s="1"/>
      <c r="M586" s="1"/>
    </row>
    <row x14ac:dyDescent="0.25" r="587" customHeight="1" ht="18.75">
      <c r="A587" s="1" t="s">
        <v>3617</v>
      </c>
      <c r="B587" s="1" t="s">
        <v>4477</v>
      </c>
      <c r="C587" s="1" t="s">
        <v>3619</v>
      </c>
      <c r="D587" s="1" t="s">
        <v>3601</v>
      </c>
      <c r="E587" s="1" t="s">
        <v>4478</v>
      </c>
      <c r="F587" s="1" t="s">
        <v>5151</v>
      </c>
      <c r="G587" s="1" t="s">
        <v>5152</v>
      </c>
      <c r="H587" s="1" t="s">
        <v>3604</v>
      </c>
      <c r="I587" s="1" t="s">
        <v>5153</v>
      </c>
      <c r="J587" s="1" t="s">
        <v>3606</v>
      </c>
      <c r="K587" s="1"/>
      <c r="L587" s="1"/>
      <c r="M587" s="1"/>
    </row>
    <row x14ac:dyDescent="0.25" r="588" customHeight="1" ht="18.75">
      <c r="A588" s="1" t="s">
        <v>3617</v>
      </c>
      <c r="B588" s="1" t="s">
        <v>5154</v>
      </c>
      <c r="C588" s="1" t="s">
        <v>3619</v>
      </c>
      <c r="D588" s="1" t="s">
        <v>3601</v>
      </c>
      <c r="E588" s="1"/>
      <c r="F588" s="1" t="s">
        <v>5155</v>
      </c>
      <c r="G588" s="1" t="s">
        <v>5156</v>
      </c>
      <c r="H588" s="1" t="s">
        <v>3604</v>
      </c>
      <c r="I588" s="1" t="s">
        <v>5157</v>
      </c>
      <c r="J588" s="1" t="s">
        <v>3606</v>
      </c>
      <c r="K588" s="1"/>
      <c r="L588" s="1"/>
      <c r="M588" s="1"/>
    </row>
    <row x14ac:dyDescent="0.25" r="589" customHeight="1" ht="18.75">
      <c r="A589" s="1" t="s">
        <v>3617</v>
      </c>
      <c r="B589" s="1" t="s">
        <v>5154</v>
      </c>
      <c r="C589" s="1" t="s">
        <v>3619</v>
      </c>
      <c r="D589" s="1" t="s">
        <v>3601</v>
      </c>
      <c r="E589" s="1"/>
      <c r="F589" s="1" t="s">
        <v>5158</v>
      </c>
      <c r="G589" s="1" t="s">
        <v>5159</v>
      </c>
      <c r="H589" s="1" t="s">
        <v>3604</v>
      </c>
      <c r="I589" s="1" t="s">
        <v>5160</v>
      </c>
      <c r="J589" s="1" t="s">
        <v>3606</v>
      </c>
      <c r="K589" s="1"/>
      <c r="L589" s="1"/>
      <c r="M589" s="1"/>
    </row>
    <row x14ac:dyDescent="0.25" r="590" customHeight="1" ht="18.75">
      <c r="A590" s="1" t="s">
        <v>3617</v>
      </c>
      <c r="B590" s="1" t="s">
        <v>4487</v>
      </c>
      <c r="C590" s="1" t="s">
        <v>4488</v>
      </c>
      <c r="D590" s="1" t="s">
        <v>3601</v>
      </c>
      <c r="E590" s="1"/>
      <c r="F590" s="1" t="s">
        <v>5161</v>
      </c>
      <c r="G590" s="1" t="s">
        <v>5162</v>
      </c>
      <c r="H590" s="1" t="s">
        <v>3604</v>
      </c>
      <c r="I590" s="1" t="s">
        <v>5163</v>
      </c>
      <c r="J590" s="1" t="s">
        <v>3606</v>
      </c>
      <c r="K590" s="1"/>
      <c r="L590" s="1"/>
      <c r="M590" s="1"/>
    </row>
    <row x14ac:dyDescent="0.25" r="591" customHeight="1" ht="18.75">
      <c r="A591" s="1" t="s">
        <v>3617</v>
      </c>
      <c r="B591" s="1" t="s">
        <v>4477</v>
      </c>
      <c r="C591" s="1" t="s">
        <v>3619</v>
      </c>
      <c r="D591" s="1" t="s">
        <v>3601</v>
      </c>
      <c r="E591" s="1" t="s">
        <v>4478</v>
      </c>
      <c r="F591" s="1" t="s">
        <v>5164</v>
      </c>
      <c r="G591" s="1" t="s">
        <v>5165</v>
      </c>
      <c r="H591" s="1" t="s">
        <v>3604</v>
      </c>
      <c r="I591" s="1" t="s">
        <v>5166</v>
      </c>
      <c r="J591" s="1" t="s">
        <v>3606</v>
      </c>
      <c r="K591" s="1"/>
      <c r="L591" s="1"/>
      <c r="M591" s="1"/>
    </row>
    <row x14ac:dyDescent="0.25" r="592" customHeight="1" ht="18.75">
      <c r="A592" s="1" t="s">
        <v>3617</v>
      </c>
      <c r="B592" s="1" t="s">
        <v>4477</v>
      </c>
      <c r="C592" s="1" t="s">
        <v>3619</v>
      </c>
      <c r="D592" s="1" t="s">
        <v>3601</v>
      </c>
      <c r="E592" s="1" t="s">
        <v>4478</v>
      </c>
      <c r="F592" s="1" t="s">
        <v>5167</v>
      </c>
      <c r="G592" s="1"/>
      <c r="H592" s="1" t="s">
        <v>3604</v>
      </c>
      <c r="I592" s="1" t="s">
        <v>5168</v>
      </c>
      <c r="J592" s="1" t="s">
        <v>3606</v>
      </c>
      <c r="K592" s="1"/>
      <c r="L592" s="1"/>
      <c r="M592" s="1"/>
    </row>
    <row x14ac:dyDescent="0.25" r="593" customHeight="1" ht="18.75">
      <c r="A593" s="1" t="s">
        <v>3617</v>
      </c>
      <c r="B593" s="1" t="s">
        <v>4477</v>
      </c>
      <c r="C593" s="1" t="s">
        <v>3619</v>
      </c>
      <c r="D593" s="1" t="s">
        <v>3601</v>
      </c>
      <c r="E593" s="1" t="s">
        <v>4478</v>
      </c>
      <c r="F593" s="1" t="s">
        <v>5169</v>
      </c>
      <c r="G593" s="1" t="s">
        <v>5165</v>
      </c>
      <c r="H593" s="1" t="s">
        <v>3604</v>
      </c>
      <c r="I593" s="1" t="s">
        <v>5170</v>
      </c>
      <c r="J593" s="1" t="s">
        <v>3606</v>
      </c>
      <c r="K593" s="1"/>
      <c r="L593" s="1"/>
      <c r="M593" s="1"/>
    </row>
    <row x14ac:dyDescent="0.25" r="594" customHeight="1" ht="18.75">
      <c r="A594" s="1" t="s">
        <v>3617</v>
      </c>
      <c r="B594" s="1" t="s">
        <v>4614</v>
      </c>
      <c r="C594" s="1" t="s">
        <v>3600</v>
      </c>
      <c r="D594" s="1" t="s">
        <v>3601</v>
      </c>
      <c r="E594" s="1"/>
      <c r="F594" s="1" t="s">
        <v>5171</v>
      </c>
      <c r="G594" s="1" t="s">
        <v>5172</v>
      </c>
      <c r="H594" s="1" t="s">
        <v>3604</v>
      </c>
      <c r="I594" s="1" t="s">
        <v>5173</v>
      </c>
      <c r="J594" s="1" t="s">
        <v>3606</v>
      </c>
      <c r="K594" s="1"/>
      <c r="L594" s="1"/>
      <c r="M594" s="1"/>
    </row>
    <row x14ac:dyDescent="0.25" r="595" customHeight="1" ht="18.75">
      <c r="A595" s="1" t="s">
        <v>3617</v>
      </c>
      <c r="B595" s="1" t="s">
        <v>4477</v>
      </c>
      <c r="C595" s="1" t="s">
        <v>3619</v>
      </c>
      <c r="D595" s="1" t="s">
        <v>3601</v>
      </c>
      <c r="E595" s="1" t="s">
        <v>4478</v>
      </c>
      <c r="F595" s="1" t="s">
        <v>5174</v>
      </c>
      <c r="G595" s="1" t="s">
        <v>5165</v>
      </c>
      <c r="H595" s="1" t="s">
        <v>3604</v>
      </c>
      <c r="I595" s="1" t="s">
        <v>5175</v>
      </c>
      <c r="J595" s="1" t="s">
        <v>3606</v>
      </c>
      <c r="K595" s="1"/>
      <c r="L595" s="1"/>
      <c r="M595" s="1"/>
    </row>
    <row x14ac:dyDescent="0.25" r="596" customHeight="1" ht="18.75">
      <c r="A596" s="1" t="s">
        <v>3617</v>
      </c>
      <c r="B596" s="1" t="s">
        <v>4614</v>
      </c>
      <c r="C596" s="1" t="s">
        <v>3600</v>
      </c>
      <c r="D596" s="1" t="s">
        <v>3601</v>
      </c>
      <c r="E596" s="1"/>
      <c r="F596" s="1" t="s">
        <v>5176</v>
      </c>
      <c r="G596" s="1" t="s">
        <v>5177</v>
      </c>
      <c r="H596" s="1" t="s">
        <v>3604</v>
      </c>
      <c r="I596" s="1" t="s">
        <v>5178</v>
      </c>
      <c r="J596" s="1" t="s">
        <v>3606</v>
      </c>
      <c r="K596" s="1"/>
      <c r="L596" s="1"/>
      <c r="M596" s="1"/>
    </row>
    <row x14ac:dyDescent="0.25" r="597" customHeight="1" ht="18.75">
      <c r="A597" s="1" t="s">
        <v>3617</v>
      </c>
      <c r="B597" s="1" t="s">
        <v>4614</v>
      </c>
      <c r="C597" s="1" t="s">
        <v>3600</v>
      </c>
      <c r="D597" s="1" t="s">
        <v>3601</v>
      </c>
      <c r="E597" s="1"/>
      <c r="F597" s="1" t="s">
        <v>5179</v>
      </c>
      <c r="G597" s="1" t="s">
        <v>5180</v>
      </c>
      <c r="H597" s="1" t="s">
        <v>3604</v>
      </c>
      <c r="I597" s="1" t="s">
        <v>5181</v>
      </c>
      <c r="J597" s="1" t="s">
        <v>3606</v>
      </c>
      <c r="K597" s="1"/>
      <c r="L597" s="1"/>
      <c r="M597" s="1"/>
    </row>
    <row x14ac:dyDescent="0.25" r="598" customHeight="1" ht="18.75">
      <c r="A598" s="1" t="s">
        <v>3617</v>
      </c>
      <c r="B598" s="1" t="s">
        <v>4477</v>
      </c>
      <c r="C598" s="1" t="s">
        <v>3619</v>
      </c>
      <c r="D598" s="1" t="s">
        <v>3601</v>
      </c>
      <c r="E598" s="1" t="s">
        <v>4478</v>
      </c>
      <c r="F598" s="1" t="s">
        <v>5164</v>
      </c>
      <c r="G598" s="1" t="s">
        <v>4570</v>
      </c>
      <c r="H598" s="1" t="s">
        <v>3604</v>
      </c>
      <c r="I598" s="1" t="s">
        <v>5182</v>
      </c>
      <c r="J598" s="1" t="s">
        <v>3606</v>
      </c>
      <c r="K598" s="1"/>
      <c r="L598" s="1"/>
      <c r="M598" s="1"/>
    </row>
    <row x14ac:dyDescent="0.25" r="599" customHeight="1" ht="18.75">
      <c r="A599" s="1" t="s">
        <v>3617</v>
      </c>
      <c r="B599" s="1" t="s">
        <v>4614</v>
      </c>
      <c r="C599" s="1" t="s">
        <v>3600</v>
      </c>
      <c r="D599" s="1" t="s">
        <v>3601</v>
      </c>
      <c r="E599" s="1"/>
      <c r="F599" s="1" t="s">
        <v>5183</v>
      </c>
      <c r="G599" s="1" t="s">
        <v>5184</v>
      </c>
      <c r="H599" s="1" t="s">
        <v>3604</v>
      </c>
      <c r="I599" s="1" t="s">
        <v>5185</v>
      </c>
      <c r="J599" s="1" t="s">
        <v>3606</v>
      </c>
      <c r="K599" s="1"/>
      <c r="L599" s="1"/>
      <c r="M599" s="1"/>
    </row>
    <row x14ac:dyDescent="0.25" r="600" customHeight="1" ht="18.75">
      <c r="A600" s="1" t="s">
        <v>3617</v>
      </c>
      <c r="B600" s="1" t="s">
        <v>4614</v>
      </c>
      <c r="C600" s="1" t="s">
        <v>3600</v>
      </c>
      <c r="D600" s="1" t="s">
        <v>3601</v>
      </c>
      <c r="E600" s="1"/>
      <c r="F600" s="1" t="s">
        <v>5186</v>
      </c>
      <c r="G600" s="1" t="s">
        <v>5187</v>
      </c>
      <c r="H600" s="1" t="s">
        <v>3604</v>
      </c>
      <c r="I600" s="1" t="s">
        <v>5188</v>
      </c>
      <c r="J600" s="1" t="s">
        <v>3606</v>
      </c>
      <c r="K600" s="1"/>
      <c r="L600" s="1"/>
      <c r="M600" s="1"/>
    </row>
    <row x14ac:dyDescent="0.25" r="601" customHeight="1" ht="18.75">
      <c r="A601" s="1" t="s">
        <v>3617</v>
      </c>
      <c r="B601" s="1" t="s">
        <v>4477</v>
      </c>
      <c r="C601" s="1" t="s">
        <v>3619</v>
      </c>
      <c r="D601" s="1" t="s">
        <v>3601</v>
      </c>
      <c r="E601" s="1" t="s">
        <v>4478</v>
      </c>
      <c r="F601" s="1" t="s">
        <v>5174</v>
      </c>
      <c r="G601" s="1" t="s">
        <v>4570</v>
      </c>
      <c r="H601" s="1" t="s">
        <v>3604</v>
      </c>
      <c r="I601" s="1" t="s">
        <v>5189</v>
      </c>
      <c r="J601" s="1" t="s">
        <v>3606</v>
      </c>
      <c r="K601" s="1"/>
      <c r="L601" s="1"/>
      <c r="M601" s="1"/>
    </row>
    <row x14ac:dyDescent="0.25" r="602" customHeight="1" ht="18.75">
      <c r="A602" s="1" t="s">
        <v>3617</v>
      </c>
      <c r="B602" s="1" t="s">
        <v>4477</v>
      </c>
      <c r="C602" s="1" t="s">
        <v>3619</v>
      </c>
      <c r="D602" s="1" t="s">
        <v>3601</v>
      </c>
      <c r="E602" s="1" t="s">
        <v>4478</v>
      </c>
      <c r="F602" s="1" t="s">
        <v>5169</v>
      </c>
      <c r="G602" s="1" t="s">
        <v>4570</v>
      </c>
      <c r="H602" s="1" t="s">
        <v>3604</v>
      </c>
      <c r="I602" s="1" t="s">
        <v>5190</v>
      </c>
      <c r="J602" s="1" t="s">
        <v>3606</v>
      </c>
      <c r="K602" s="1"/>
      <c r="L602" s="1"/>
      <c r="M602" s="1"/>
    </row>
    <row x14ac:dyDescent="0.25" r="603" customHeight="1" ht="18.75">
      <c r="A603" s="1" t="s">
        <v>3617</v>
      </c>
      <c r="B603" s="1" t="s">
        <v>4614</v>
      </c>
      <c r="C603" s="1" t="s">
        <v>3600</v>
      </c>
      <c r="D603" s="1" t="s">
        <v>3601</v>
      </c>
      <c r="E603" s="1"/>
      <c r="F603" s="1" t="s">
        <v>5191</v>
      </c>
      <c r="G603" s="1" t="s">
        <v>5192</v>
      </c>
      <c r="H603" s="1" t="s">
        <v>3604</v>
      </c>
      <c r="I603" s="1" t="s">
        <v>5193</v>
      </c>
      <c r="J603" s="1" t="s">
        <v>3606</v>
      </c>
      <c r="K603" s="1"/>
      <c r="L603" s="1"/>
      <c r="M603" s="1"/>
    </row>
    <row x14ac:dyDescent="0.25" r="604" customHeight="1" ht="18.75">
      <c r="A604" s="1" t="s">
        <v>3617</v>
      </c>
      <c r="B604" s="1" t="s">
        <v>4614</v>
      </c>
      <c r="C604" s="1" t="s">
        <v>3600</v>
      </c>
      <c r="D604" s="1" t="s">
        <v>3601</v>
      </c>
      <c r="E604" s="1"/>
      <c r="F604" s="1" t="s">
        <v>5194</v>
      </c>
      <c r="G604" s="1" t="s">
        <v>5195</v>
      </c>
      <c r="H604" s="1" t="s">
        <v>3604</v>
      </c>
      <c r="I604" s="1" t="s">
        <v>5196</v>
      </c>
      <c r="J604" s="1" t="s">
        <v>3606</v>
      </c>
      <c r="K604" s="1"/>
      <c r="L604" s="1"/>
      <c r="M604" s="1"/>
    </row>
    <row x14ac:dyDescent="0.25" r="605" customHeight="1" ht="18.75">
      <c r="A605" s="1" t="s">
        <v>3617</v>
      </c>
      <c r="B605" s="1" t="s">
        <v>4614</v>
      </c>
      <c r="C605" s="1" t="s">
        <v>3600</v>
      </c>
      <c r="D605" s="1" t="s">
        <v>3601</v>
      </c>
      <c r="E605" s="1"/>
      <c r="F605" s="1" t="s">
        <v>5197</v>
      </c>
      <c r="G605" s="1" t="s">
        <v>5198</v>
      </c>
      <c r="H605" s="1" t="s">
        <v>3604</v>
      </c>
      <c r="I605" s="1" t="s">
        <v>5199</v>
      </c>
      <c r="J605" s="1" t="s">
        <v>3606</v>
      </c>
      <c r="K605" s="1"/>
      <c r="L605" s="1"/>
      <c r="M605" s="1"/>
    </row>
    <row x14ac:dyDescent="0.25" r="606" customHeight="1" ht="18.75">
      <c r="A606" s="1" t="s">
        <v>3617</v>
      </c>
      <c r="B606" s="1" t="s">
        <v>4614</v>
      </c>
      <c r="C606" s="1" t="s">
        <v>3600</v>
      </c>
      <c r="D606" s="1" t="s">
        <v>3601</v>
      </c>
      <c r="E606" s="1"/>
      <c r="F606" s="1" t="s">
        <v>5200</v>
      </c>
      <c r="G606" s="1" t="s">
        <v>5201</v>
      </c>
      <c r="H606" s="1" t="s">
        <v>3604</v>
      </c>
      <c r="I606" s="1" t="s">
        <v>5202</v>
      </c>
      <c r="J606" s="1" t="s">
        <v>3606</v>
      </c>
      <c r="K606" s="1"/>
      <c r="L606" s="1"/>
      <c r="M606" s="1"/>
    </row>
    <row x14ac:dyDescent="0.25" r="607" customHeight="1" ht="18.75">
      <c r="A607" s="1" t="s">
        <v>3693</v>
      </c>
      <c r="B607" s="1" t="s">
        <v>4083</v>
      </c>
      <c r="C607" s="1" t="s">
        <v>3600</v>
      </c>
      <c r="D607" s="1" t="s">
        <v>3601</v>
      </c>
      <c r="E607" s="1" t="s">
        <v>3664</v>
      </c>
      <c r="F607" s="1" t="s">
        <v>5203</v>
      </c>
      <c r="G607" s="1" t="s">
        <v>5204</v>
      </c>
      <c r="H607" s="1" t="s">
        <v>3604</v>
      </c>
      <c r="I607" s="1" t="s">
        <v>5205</v>
      </c>
      <c r="J607" s="1" t="s">
        <v>3615</v>
      </c>
      <c r="K607" s="1"/>
      <c r="L607" s="1"/>
      <c r="M607" s="1"/>
    </row>
    <row x14ac:dyDescent="0.25" r="608" customHeight="1" ht="18.75">
      <c r="A608" s="1" t="s">
        <v>3617</v>
      </c>
      <c r="B608" s="1" t="s">
        <v>4614</v>
      </c>
      <c r="C608" s="1" t="s">
        <v>3600</v>
      </c>
      <c r="D608" s="1" t="s">
        <v>3601</v>
      </c>
      <c r="E608" s="1"/>
      <c r="F608" s="1" t="s">
        <v>5206</v>
      </c>
      <c r="G608" s="1" t="s">
        <v>5207</v>
      </c>
      <c r="H608" s="1" t="s">
        <v>3604</v>
      </c>
      <c r="I608" s="1" t="s">
        <v>5208</v>
      </c>
      <c r="J608" s="1" t="s">
        <v>3606</v>
      </c>
      <c r="K608" s="1"/>
      <c r="L608" s="1"/>
      <c r="M608" s="1"/>
    </row>
    <row x14ac:dyDescent="0.25" r="609" customHeight="1" ht="18.75">
      <c r="A609" s="1" t="s">
        <v>3693</v>
      </c>
      <c r="B609" s="1" t="s">
        <v>4083</v>
      </c>
      <c r="C609" s="1" t="s">
        <v>3600</v>
      </c>
      <c r="D609" s="1" t="s">
        <v>3601</v>
      </c>
      <c r="E609" s="1" t="s">
        <v>3893</v>
      </c>
      <c r="F609" s="1" t="s">
        <v>5209</v>
      </c>
      <c r="G609" s="1" t="s">
        <v>4428</v>
      </c>
      <c r="H609" s="1" t="s">
        <v>3604</v>
      </c>
      <c r="I609" s="1" t="s">
        <v>5210</v>
      </c>
      <c r="J609" s="1" t="s">
        <v>3615</v>
      </c>
      <c r="K609" s="1"/>
      <c r="L609" s="1"/>
      <c r="M609" s="1"/>
    </row>
    <row x14ac:dyDescent="0.25" r="610" customHeight="1" ht="18.75">
      <c r="A610" s="1" t="s">
        <v>3693</v>
      </c>
      <c r="B610" s="1" t="s">
        <v>4083</v>
      </c>
      <c r="C610" s="1" t="s">
        <v>3600</v>
      </c>
      <c r="D610" s="1" t="s">
        <v>3601</v>
      </c>
      <c r="E610" s="1" t="s">
        <v>3893</v>
      </c>
      <c r="F610" s="1" t="s">
        <v>5211</v>
      </c>
      <c r="G610" s="1" t="s">
        <v>4344</v>
      </c>
      <c r="H610" s="1" t="s">
        <v>3604</v>
      </c>
      <c r="I610" s="1" t="s">
        <v>5212</v>
      </c>
      <c r="J610" s="1" t="s">
        <v>3615</v>
      </c>
      <c r="K610" s="1"/>
      <c r="L610" s="1"/>
      <c r="M610" s="1"/>
    </row>
    <row x14ac:dyDescent="0.25" r="611" customHeight="1" ht="18.75">
      <c r="A611" s="1" t="s">
        <v>3693</v>
      </c>
      <c r="B611" s="1" t="s">
        <v>4192</v>
      </c>
      <c r="C611" s="1" t="s">
        <v>3600</v>
      </c>
      <c r="D611" s="1" t="s">
        <v>3601</v>
      </c>
      <c r="E611" s="1" t="s">
        <v>3893</v>
      </c>
      <c r="F611" s="1" t="s">
        <v>5213</v>
      </c>
      <c r="G611" s="1" t="s">
        <v>5214</v>
      </c>
      <c r="H611" s="1" t="s">
        <v>3604</v>
      </c>
      <c r="I611" s="1" t="s">
        <v>5215</v>
      </c>
      <c r="J611" s="1" t="s">
        <v>3606</v>
      </c>
      <c r="K611" s="1"/>
      <c r="L611" s="1"/>
      <c r="M611" s="1"/>
    </row>
    <row x14ac:dyDescent="0.25" r="612" customHeight="1" ht="18.75">
      <c r="A612" s="1" t="s">
        <v>3617</v>
      </c>
      <c r="B612" s="1" t="s">
        <v>4128</v>
      </c>
      <c r="C612" s="1" t="s">
        <v>3619</v>
      </c>
      <c r="D612" s="1" t="s">
        <v>3601</v>
      </c>
      <c r="E612" s="1" t="s">
        <v>3730</v>
      </c>
      <c r="F612" s="1" t="s">
        <v>5216</v>
      </c>
      <c r="G612" s="1" t="s">
        <v>5217</v>
      </c>
      <c r="H612" s="1" t="s">
        <v>3604</v>
      </c>
      <c r="I612" s="1" t="s">
        <v>5218</v>
      </c>
      <c r="J612" s="1" t="s">
        <v>3606</v>
      </c>
      <c r="K612" s="1"/>
      <c r="L612" s="1"/>
      <c r="M612" s="1"/>
    </row>
    <row x14ac:dyDescent="0.25" r="613" customHeight="1" ht="18.75">
      <c r="A613" s="1" t="s">
        <v>3693</v>
      </c>
      <c r="B613" s="1" t="s">
        <v>4083</v>
      </c>
      <c r="C613" s="1" t="s">
        <v>3600</v>
      </c>
      <c r="D613" s="1" t="s">
        <v>3601</v>
      </c>
      <c r="E613" s="1" t="s">
        <v>3893</v>
      </c>
      <c r="F613" s="1" t="s">
        <v>5219</v>
      </c>
      <c r="G613" s="1" t="s">
        <v>5220</v>
      </c>
      <c r="H613" s="1" t="s">
        <v>3604</v>
      </c>
      <c r="I613" s="1" t="s">
        <v>5221</v>
      </c>
      <c r="J613" s="1" t="s">
        <v>3606</v>
      </c>
      <c r="K613" s="1"/>
      <c r="L613" s="1"/>
      <c r="M613" s="1"/>
    </row>
    <row x14ac:dyDescent="0.25" r="614" customHeight="1" ht="18.75">
      <c r="A614" s="1" t="s">
        <v>3617</v>
      </c>
      <c r="B614" s="1" t="s">
        <v>5222</v>
      </c>
      <c r="C614" s="1" t="s">
        <v>3619</v>
      </c>
      <c r="D614" s="1" t="s">
        <v>3601</v>
      </c>
      <c r="E614" s="1" t="s">
        <v>3611</v>
      </c>
      <c r="F614" s="1" t="s">
        <v>5223</v>
      </c>
      <c r="G614" s="1" t="s">
        <v>5224</v>
      </c>
      <c r="H614" s="1" t="s">
        <v>3604</v>
      </c>
      <c r="I614" s="1" t="s">
        <v>5225</v>
      </c>
      <c r="J614" s="1" t="s">
        <v>3606</v>
      </c>
      <c r="K614" s="1"/>
      <c r="L614" s="1"/>
      <c r="M614" s="1"/>
    </row>
    <row x14ac:dyDescent="0.25" r="615" customHeight="1" ht="18.75">
      <c r="A615" s="1" t="s">
        <v>3617</v>
      </c>
      <c r="B615" s="1" t="s">
        <v>5226</v>
      </c>
      <c r="C615" s="1" t="s">
        <v>3619</v>
      </c>
      <c r="D615" s="1" t="s">
        <v>3601</v>
      </c>
      <c r="E615" s="1"/>
      <c r="F615" s="1" t="s">
        <v>5223</v>
      </c>
      <c r="G615" s="1" t="s">
        <v>5227</v>
      </c>
      <c r="H615" s="1" t="s">
        <v>3604</v>
      </c>
      <c r="I615" s="1" t="s">
        <v>5228</v>
      </c>
      <c r="J615" s="1" t="s">
        <v>3606</v>
      </c>
      <c r="K615" s="1"/>
      <c r="L615" s="1"/>
      <c r="M615" s="1"/>
    </row>
    <row x14ac:dyDescent="0.25" r="616" customHeight="1" ht="18.75">
      <c r="A616" s="1" t="s">
        <v>3617</v>
      </c>
      <c r="B616" s="1" t="s">
        <v>5229</v>
      </c>
      <c r="C616" s="1" t="s">
        <v>4488</v>
      </c>
      <c r="D616" s="1" t="s">
        <v>3601</v>
      </c>
      <c r="E616" s="1"/>
      <c r="F616" s="1" t="s">
        <v>5230</v>
      </c>
      <c r="G616" s="1" t="s">
        <v>5231</v>
      </c>
      <c r="H616" s="1" t="s">
        <v>3604</v>
      </c>
      <c r="I616" s="1" t="s">
        <v>5232</v>
      </c>
      <c r="J616" s="1" t="s">
        <v>3606</v>
      </c>
      <c r="K616" s="1"/>
      <c r="L616" s="1"/>
      <c r="M616" s="1"/>
    </row>
    <row x14ac:dyDescent="0.25" r="617" customHeight="1" ht="18.75">
      <c r="A617" s="1" t="s">
        <v>3693</v>
      </c>
      <c r="B617" s="1" t="s">
        <v>4247</v>
      </c>
      <c r="C617" s="1" t="s">
        <v>3600</v>
      </c>
      <c r="D617" s="1" t="s">
        <v>3601</v>
      </c>
      <c r="E617" s="1" t="s">
        <v>3893</v>
      </c>
      <c r="F617" s="1" t="s">
        <v>5233</v>
      </c>
      <c r="G617" s="1" t="s">
        <v>5234</v>
      </c>
      <c r="H617" s="1" t="s">
        <v>3604</v>
      </c>
      <c r="I617" s="1" t="s">
        <v>5235</v>
      </c>
      <c r="J617" s="1" t="s">
        <v>3606</v>
      </c>
      <c r="K617" s="1"/>
      <c r="L617" s="1"/>
      <c r="M617" s="1"/>
    </row>
    <row x14ac:dyDescent="0.25" r="618" customHeight="1" ht="18.75">
      <c r="A618" s="1" t="s">
        <v>3693</v>
      </c>
      <c r="B618" s="1" t="s">
        <v>4323</v>
      </c>
      <c r="C618" s="1" t="s">
        <v>3600</v>
      </c>
      <c r="D618" s="1" t="s">
        <v>3601</v>
      </c>
      <c r="E618" s="1"/>
      <c r="F618" s="1" t="s">
        <v>5236</v>
      </c>
      <c r="G618" s="1" t="s">
        <v>5237</v>
      </c>
      <c r="H618" s="1" t="s">
        <v>3604</v>
      </c>
      <c r="I618" s="1" t="s">
        <v>5238</v>
      </c>
      <c r="J618" s="1" t="s">
        <v>3606</v>
      </c>
      <c r="K618" s="1"/>
      <c r="L618" s="1"/>
      <c r="M618" s="1"/>
    </row>
    <row x14ac:dyDescent="0.25" r="619" customHeight="1" ht="18.75">
      <c r="A619" s="1" t="s">
        <v>3598</v>
      </c>
      <c r="B619" s="1" t="s">
        <v>5239</v>
      </c>
      <c r="C619" s="1" t="s">
        <v>3600</v>
      </c>
      <c r="D619" s="1" t="s">
        <v>3601</v>
      </c>
      <c r="E619" s="1" t="s">
        <v>3664</v>
      </c>
      <c r="F619" s="1" t="s">
        <v>5240</v>
      </c>
      <c r="G619" s="1" t="s">
        <v>5241</v>
      </c>
      <c r="H619" s="1" t="s">
        <v>3604</v>
      </c>
      <c r="I619" s="1" t="s">
        <v>5242</v>
      </c>
      <c r="J619" s="1" t="s">
        <v>3606</v>
      </c>
      <c r="K619" s="1"/>
      <c r="L619" s="1"/>
      <c r="M619" s="1"/>
    </row>
    <row x14ac:dyDescent="0.25" r="620" customHeight="1" ht="18.75">
      <c r="A620" s="1" t="s">
        <v>3598</v>
      </c>
      <c r="B620" s="1" t="s">
        <v>3814</v>
      </c>
      <c r="C620" s="1" t="s">
        <v>3600</v>
      </c>
      <c r="D620" s="1" t="s">
        <v>3601</v>
      </c>
      <c r="E620" s="1" t="s">
        <v>3664</v>
      </c>
      <c r="F620" s="1" t="s">
        <v>5243</v>
      </c>
      <c r="G620" s="1" t="s">
        <v>5244</v>
      </c>
      <c r="H620" s="1" t="s">
        <v>3604</v>
      </c>
      <c r="I620" s="1" t="s">
        <v>5245</v>
      </c>
      <c r="J620" s="1" t="s">
        <v>3606</v>
      </c>
      <c r="K620" s="1"/>
      <c r="L620" s="1"/>
      <c r="M620" s="1"/>
    </row>
    <row x14ac:dyDescent="0.25" r="621" customHeight="1" ht="18.75">
      <c r="A621" s="1" t="s">
        <v>3598</v>
      </c>
      <c r="B621" s="1" t="s">
        <v>4095</v>
      </c>
      <c r="C621" s="1" t="s">
        <v>3600</v>
      </c>
      <c r="D621" s="1" t="s">
        <v>3601</v>
      </c>
      <c r="E621" s="1" t="s">
        <v>3664</v>
      </c>
      <c r="F621" s="1" t="s">
        <v>5246</v>
      </c>
      <c r="G621" s="1" t="s">
        <v>5247</v>
      </c>
      <c r="H621" s="1" t="s">
        <v>3604</v>
      </c>
      <c r="I621" s="1" t="s">
        <v>5248</v>
      </c>
      <c r="J621" s="1" t="s">
        <v>3615</v>
      </c>
      <c r="K621" s="1"/>
      <c r="L621" s="1"/>
      <c r="M621" s="1"/>
    </row>
    <row x14ac:dyDescent="0.25" r="622" customHeight="1" ht="18.75">
      <c r="A622" s="1" t="s">
        <v>3598</v>
      </c>
      <c r="B622" s="1" t="s">
        <v>5239</v>
      </c>
      <c r="C622" s="1" t="s">
        <v>3600</v>
      </c>
      <c r="D622" s="1" t="s">
        <v>3601</v>
      </c>
      <c r="E622" s="1" t="s">
        <v>3664</v>
      </c>
      <c r="F622" s="1" t="s">
        <v>5249</v>
      </c>
      <c r="G622" s="1" t="s">
        <v>5250</v>
      </c>
      <c r="H622" s="1" t="s">
        <v>3604</v>
      </c>
      <c r="I622" s="1" t="s">
        <v>5251</v>
      </c>
      <c r="J622" s="1" t="s">
        <v>3606</v>
      </c>
      <c r="K622" s="1"/>
      <c r="L622" s="1"/>
      <c r="M622" s="1"/>
    </row>
    <row x14ac:dyDescent="0.25" r="623" customHeight="1" ht="18.75">
      <c r="A623" s="1" t="s">
        <v>3598</v>
      </c>
      <c r="B623" s="1" t="s">
        <v>5252</v>
      </c>
      <c r="C623" s="1" t="s">
        <v>3600</v>
      </c>
      <c r="D623" s="1" t="s">
        <v>3601</v>
      </c>
      <c r="E623" s="1" t="s">
        <v>3664</v>
      </c>
      <c r="F623" s="1" t="s">
        <v>5253</v>
      </c>
      <c r="G623" s="1" t="s">
        <v>5254</v>
      </c>
      <c r="H623" s="1" t="s">
        <v>3604</v>
      </c>
      <c r="I623" s="1" t="s">
        <v>5255</v>
      </c>
      <c r="J623" s="1" t="s">
        <v>3606</v>
      </c>
      <c r="K623" s="1"/>
      <c r="L623" s="1"/>
      <c r="M623" s="1"/>
    </row>
    <row x14ac:dyDescent="0.25" r="624" customHeight="1" ht="18.75">
      <c r="A624" s="1" t="s">
        <v>3598</v>
      </c>
      <c r="B624" s="1" t="s">
        <v>5256</v>
      </c>
      <c r="C624" s="1" t="s">
        <v>3600</v>
      </c>
      <c r="D624" s="1" t="s">
        <v>3601</v>
      </c>
      <c r="E624" s="1" t="s">
        <v>3664</v>
      </c>
      <c r="F624" s="1" t="s">
        <v>5257</v>
      </c>
      <c r="G624" s="1" t="s">
        <v>5258</v>
      </c>
      <c r="H624" s="1" t="s">
        <v>3604</v>
      </c>
      <c r="I624" s="1" t="s">
        <v>5259</v>
      </c>
      <c r="J624" s="1" t="s">
        <v>3606</v>
      </c>
      <c r="K624" s="1"/>
      <c r="L624" s="1"/>
      <c r="M624" s="1"/>
    </row>
    <row x14ac:dyDescent="0.25" r="625" customHeight="1" ht="18.75">
      <c r="A625" s="1" t="s">
        <v>3598</v>
      </c>
      <c r="B625" s="1" t="s">
        <v>5260</v>
      </c>
      <c r="C625" s="1" t="s">
        <v>3600</v>
      </c>
      <c r="D625" s="1" t="s">
        <v>3601</v>
      </c>
      <c r="E625" s="1" t="s">
        <v>3893</v>
      </c>
      <c r="F625" s="1" t="s">
        <v>5261</v>
      </c>
      <c r="G625" s="1" t="s">
        <v>5262</v>
      </c>
      <c r="H625" s="1" t="s">
        <v>3604</v>
      </c>
      <c r="I625" s="1" t="s">
        <v>5263</v>
      </c>
      <c r="J625" s="1" t="s">
        <v>3606</v>
      </c>
      <c r="K625" s="1"/>
      <c r="L625" s="1"/>
      <c r="M625" s="1"/>
    </row>
    <row x14ac:dyDescent="0.25" r="626" customHeight="1" ht="18.75">
      <c r="A626" s="1" t="s">
        <v>3598</v>
      </c>
      <c r="B626" s="1" t="s">
        <v>5260</v>
      </c>
      <c r="C626" s="1" t="s">
        <v>3600</v>
      </c>
      <c r="D626" s="1" t="s">
        <v>3601</v>
      </c>
      <c r="E626" s="1" t="s">
        <v>3893</v>
      </c>
      <c r="F626" s="1" t="s">
        <v>5264</v>
      </c>
      <c r="G626" s="1" t="s">
        <v>5265</v>
      </c>
      <c r="H626" s="1" t="s">
        <v>3604</v>
      </c>
      <c r="I626" s="1" t="s">
        <v>5266</v>
      </c>
      <c r="J626" s="1" t="s">
        <v>3606</v>
      </c>
      <c r="K626" s="1"/>
      <c r="L626" s="1"/>
      <c r="M626" s="1"/>
    </row>
    <row x14ac:dyDescent="0.25" r="627" customHeight="1" ht="18.75">
      <c r="A627" s="1" t="s">
        <v>3598</v>
      </c>
      <c r="B627" s="1" t="s">
        <v>4689</v>
      </c>
      <c r="C627" s="1" t="s">
        <v>3600</v>
      </c>
      <c r="D627" s="1" t="s">
        <v>3601</v>
      </c>
      <c r="E627" s="1" t="s">
        <v>3893</v>
      </c>
      <c r="F627" s="1" t="s">
        <v>5267</v>
      </c>
      <c r="G627" s="1" t="s">
        <v>5268</v>
      </c>
      <c r="H627" s="1" t="s">
        <v>3604</v>
      </c>
      <c r="I627" s="1" t="s">
        <v>5269</v>
      </c>
      <c r="J627" s="1" t="s">
        <v>3606</v>
      </c>
      <c r="K627" s="1"/>
      <c r="L627" s="1"/>
      <c r="M627" s="1"/>
    </row>
    <row x14ac:dyDescent="0.25" r="628" customHeight="1" ht="18.75">
      <c r="A628" s="1" t="s">
        <v>3598</v>
      </c>
      <c r="B628" s="1" t="s">
        <v>4689</v>
      </c>
      <c r="C628" s="1" t="s">
        <v>3600</v>
      </c>
      <c r="D628" s="1" t="s">
        <v>3601</v>
      </c>
      <c r="E628" s="1" t="s">
        <v>3893</v>
      </c>
      <c r="F628" s="1" t="s">
        <v>5270</v>
      </c>
      <c r="G628" s="1" t="s">
        <v>5271</v>
      </c>
      <c r="H628" s="1" t="s">
        <v>3604</v>
      </c>
      <c r="I628" s="1" t="s">
        <v>5272</v>
      </c>
      <c r="J628" s="1" t="s">
        <v>3606</v>
      </c>
      <c r="K628" s="1"/>
      <c r="L628" s="1"/>
      <c r="M628" s="1"/>
    </row>
    <row x14ac:dyDescent="0.25" r="629" customHeight="1" ht="18.75">
      <c r="A629" s="1" t="s">
        <v>3693</v>
      </c>
      <c r="B629" s="1" t="s">
        <v>4267</v>
      </c>
      <c r="C629" s="1" t="s">
        <v>3600</v>
      </c>
      <c r="D629" s="1" t="s">
        <v>3601</v>
      </c>
      <c r="E629" s="1" t="s">
        <v>3664</v>
      </c>
      <c r="F629" s="1" t="s">
        <v>5273</v>
      </c>
      <c r="G629" s="1" t="s">
        <v>5274</v>
      </c>
      <c r="H629" s="1" t="s">
        <v>3604</v>
      </c>
      <c r="I629" s="1" t="s">
        <v>5275</v>
      </c>
      <c r="J629" s="1" t="s">
        <v>3615</v>
      </c>
      <c r="K629" s="1"/>
      <c r="L629" s="1"/>
      <c r="M629" s="1"/>
    </row>
    <row x14ac:dyDescent="0.25" r="630" customHeight="1" ht="18.75">
      <c r="A630" s="1" t="s">
        <v>3693</v>
      </c>
      <c r="B630" s="1" t="s">
        <v>4267</v>
      </c>
      <c r="C630" s="1" t="s">
        <v>3600</v>
      </c>
      <c r="D630" s="1" t="s">
        <v>3601</v>
      </c>
      <c r="E630" s="1" t="s">
        <v>3664</v>
      </c>
      <c r="F630" s="1" t="s">
        <v>5276</v>
      </c>
      <c r="G630" s="1" t="s">
        <v>5274</v>
      </c>
      <c r="H630" s="1" t="s">
        <v>3604</v>
      </c>
      <c r="I630" s="1" t="s">
        <v>5277</v>
      </c>
      <c r="J630" s="1" t="s">
        <v>3615</v>
      </c>
      <c r="K630" s="1"/>
      <c r="L630" s="1"/>
      <c r="M630" s="1"/>
    </row>
    <row x14ac:dyDescent="0.25" r="631" customHeight="1" ht="18.75">
      <c r="A631" s="1" t="s">
        <v>3693</v>
      </c>
      <c r="B631" s="1" t="s">
        <v>4267</v>
      </c>
      <c r="C631" s="1" t="s">
        <v>3600</v>
      </c>
      <c r="D631" s="1" t="s">
        <v>3601</v>
      </c>
      <c r="E631" s="1" t="s">
        <v>3664</v>
      </c>
      <c r="F631" s="1" t="s">
        <v>5278</v>
      </c>
      <c r="G631" s="1" t="s">
        <v>5279</v>
      </c>
      <c r="H631" s="1" t="s">
        <v>3604</v>
      </c>
      <c r="I631" s="1" t="s">
        <v>5280</v>
      </c>
      <c r="J631" s="1" t="s">
        <v>3615</v>
      </c>
      <c r="K631" s="1"/>
      <c r="L631" s="1"/>
      <c r="M631" s="1"/>
    </row>
    <row x14ac:dyDescent="0.25" r="632" customHeight="1" ht="18.75">
      <c r="A632" s="1" t="s">
        <v>3693</v>
      </c>
      <c r="B632" s="1" t="s">
        <v>4267</v>
      </c>
      <c r="C632" s="1" t="s">
        <v>3600</v>
      </c>
      <c r="D632" s="1" t="s">
        <v>3601</v>
      </c>
      <c r="E632" s="1" t="s">
        <v>3664</v>
      </c>
      <c r="F632" s="1" t="s">
        <v>5281</v>
      </c>
      <c r="G632" s="1" t="s">
        <v>5274</v>
      </c>
      <c r="H632" s="1" t="s">
        <v>3604</v>
      </c>
      <c r="I632" s="1" t="s">
        <v>5282</v>
      </c>
      <c r="J632" s="1" t="s">
        <v>3615</v>
      </c>
      <c r="K632" s="1"/>
      <c r="L632" s="1"/>
      <c r="M632" s="1"/>
    </row>
    <row x14ac:dyDescent="0.25" r="633" customHeight="1" ht="18.75">
      <c r="A633" s="1" t="s">
        <v>3693</v>
      </c>
      <c r="B633" s="1" t="s">
        <v>4192</v>
      </c>
      <c r="C633" s="1" t="s">
        <v>3600</v>
      </c>
      <c r="D633" s="1" t="s">
        <v>3601</v>
      </c>
      <c r="E633" s="1" t="s">
        <v>3664</v>
      </c>
      <c r="F633" s="1" t="s">
        <v>5283</v>
      </c>
      <c r="G633" s="1" t="s">
        <v>5284</v>
      </c>
      <c r="H633" s="1" t="s">
        <v>3604</v>
      </c>
      <c r="I633" s="1" t="s">
        <v>5285</v>
      </c>
      <c r="J633" s="1" t="s">
        <v>3615</v>
      </c>
      <c r="K633" s="1"/>
      <c r="L633" s="1"/>
      <c r="M633" s="1"/>
    </row>
    <row x14ac:dyDescent="0.25" r="634" customHeight="1" ht="18.75">
      <c r="A634" s="1" t="s">
        <v>3693</v>
      </c>
      <c r="B634" s="1" t="s">
        <v>4267</v>
      </c>
      <c r="C634" s="1" t="s">
        <v>3600</v>
      </c>
      <c r="D634" s="1" t="s">
        <v>3601</v>
      </c>
      <c r="E634" s="1" t="s">
        <v>3664</v>
      </c>
      <c r="F634" s="1" t="s">
        <v>5286</v>
      </c>
      <c r="G634" s="1" t="s">
        <v>5279</v>
      </c>
      <c r="H634" s="1" t="s">
        <v>3604</v>
      </c>
      <c r="I634" s="1" t="s">
        <v>5287</v>
      </c>
      <c r="J634" s="1" t="s">
        <v>3615</v>
      </c>
      <c r="K634" s="1"/>
      <c r="L634" s="1"/>
      <c r="M634" s="1"/>
    </row>
    <row x14ac:dyDescent="0.25" r="635" customHeight="1" ht="18.75">
      <c r="A635" s="1" t="s">
        <v>3693</v>
      </c>
      <c r="B635" s="1" t="s">
        <v>4267</v>
      </c>
      <c r="C635" s="1" t="s">
        <v>3600</v>
      </c>
      <c r="D635" s="1" t="s">
        <v>3601</v>
      </c>
      <c r="E635" s="1" t="s">
        <v>3664</v>
      </c>
      <c r="F635" s="1" t="s">
        <v>5288</v>
      </c>
      <c r="G635" s="1" t="s">
        <v>5274</v>
      </c>
      <c r="H635" s="1" t="s">
        <v>3604</v>
      </c>
      <c r="I635" s="1" t="s">
        <v>5289</v>
      </c>
      <c r="J635" s="1" t="s">
        <v>3615</v>
      </c>
      <c r="K635" s="1"/>
      <c r="L635" s="1"/>
      <c r="M635" s="1"/>
    </row>
    <row x14ac:dyDescent="0.25" r="636" customHeight="1" ht="18.75">
      <c r="A636" s="1" t="s">
        <v>3693</v>
      </c>
      <c r="B636" s="1" t="s">
        <v>4267</v>
      </c>
      <c r="C636" s="1" t="s">
        <v>3600</v>
      </c>
      <c r="D636" s="1" t="s">
        <v>3601</v>
      </c>
      <c r="E636" s="1" t="s">
        <v>3664</v>
      </c>
      <c r="F636" s="1" t="s">
        <v>5290</v>
      </c>
      <c r="G636" s="1" t="s">
        <v>5279</v>
      </c>
      <c r="H636" s="1" t="s">
        <v>3604</v>
      </c>
      <c r="I636" s="1" t="s">
        <v>5291</v>
      </c>
      <c r="J636" s="1" t="s">
        <v>3606</v>
      </c>
      <c r="K636" s="1"/>
      <c r="L636" s="1"/>
      <c r="M636" s="1"/>
    </row>
    <row x14ac:dyDescent="0.25" r="637" customHeight="1" ht="18.75">
      <c r="A637" s="1" t="s">
        <v>3693</v>
      </c>
      <c r="B637" s="1" t="s">
        <v>4267</v>
      </c>
      <c r="C637" s="1" t="s">
        <v>3600</v>
      </c>
      <c r="D637" s="1" t="s">
        <v>3601</v>
      </c>
      <c r="E637" s="1" t="s">
        <v>3664</v>
      </c>
      <c r="F637" s="1" t="s">
        <v>5292</v>
      </c>
      <c r="G637" s="1" t="s">
        <v>5274</v>
      </c>
      <c r="H637" s="1" t="s">
        <v>3604</v>
      </c>
      <c r="I637" s="1" t="s">
        <v>5293</v>
      </c>
      <c r="J637" s="1" t="s">
        <v>3615</v>
      </c>
      <c r="K637" s="1"/>
      <c r="L637" s="1"/>
      <c r="M637" s="1"/>
    </row>
    <row x14ac:dyDescent="0.25" r="638" customHeight="1" ht="18.75">
      <c r="A638" s="1" t="s">
        <v>3693</v>
      </c>
      <c r="B638" s="1" t="s">
        <v>4267</v>
      </c>
      <c r="C638" s="1" t="s">
        <v>3600</v>
      </c>
      <c r="D638" s="1" t="s">
        <v>3601</v>
      </c>
      <c r="E638" s="1" t="s">
        <v>3664</v>
      </c>
      <c r="F638" s="1" t="s">
        <v>5294</v>
      </c>
      <c r="G638" s="1" t="s">
        <v>5295</v>
      </c>
      <c r="H638" s="1" t="s">
        <v>3604</v>
      </c>
      <c r="I638" s="1" t="s">
        <v>5296</v>
      </c>
      <c r="J638" s="1" t="s">
        <v>3615</v>
      </c>
      <c r="K638" s="1"/>
      <c r="L638" s="1"/>
      <c r="M638" s="1"/>
    </row>
    <row x14ac:dyDescent="0.25" r="639" customHeight="1" ht="18.75">
      <c r="A639" s="1" t="s">
        <v>3693</v>
      </c>
      <c r="B639" s="1" t="s">
        <v>4267</v>
      </c>
      <c r="C639" s="1" t="s">
        <v>3600</v>
      </c>
      <c r="D639" s="1" t="s">
        <v>3601</v>
      </c>
      <c r="E639" s="1" t="s">
        <v>3664</v>
      </c>
      <c r="F639" s="1" t="s">
        <v>5297</v>
      </c>
      <c r="G639" s="1" t="s">
        <v>5279</v>
      </c>
      <c r="H639" s="1" t="s">
        <v>3604</v>
      </c>
      <c r="I639" s="1" t="s">
        <v>5298</v>
      </c>
      <c r="J639" s="1" t="s">
        <v>3606</v>
      </c>
      <c r="K639" s="1"/>
      <c r="L639" s="1"/>
      <c r="M639" s="1"/>
    </row>
    <row x14ac:dyDescent="0.25" r="640" customHeight="1" ht="18.75">
      <c r="A640" s="1" t="s">
        <v>3693</v>
      </c>
      <c r="B640" s="1" t="s">
        <v>4267</v>
      </c>
      <c r="C640" s="1" t="s">
        <v>3600</v>
      </c>
      <c r="D640" s="1" t="s">
        <v>3601</v>
      </c>
      <c r="E640" s="1" t="s">
        <v>3664</v>
      </c>
      <c r="F640" s="1" t="s">
        <v>5299</v>
      </c>
      <c r="G640" s="1" t="s">
        <v>5274</v>
      </c>
      <c r="H640" s="1" t="s">
        <v>3604</v>
      </c>
      <c r="I640" s="1" t="s">
        <v>5300</v>
      </c>
      <c r="J640" s="1" t="s">
        <v>3615</v>
      </c>
      <c r="K640" s="1"/>
      <c r="L640" s="1"/>
      <c r="M640" s="1"/>
    </row>
    <row x14ac:dyDescent="0.25" r="641" customHeight="1" ht="18.75">
      <c r="A641" s="1" t="s">
        <v>3693</v>
      </c>
      <c r="B641" s="1" t="s">
        <v>4267</v>
      </c>
      <c r="C641" s="1" t="s">
        <v>3600</v>
      </c>
      <c r="D641" s="1" t="s">
        <v>3601</v>
      </c>
      <c r="E641" s="1" t="s">
        <v>3664</v>
      </c>
      <c r="F641" s="1" t="s">
        <v>5301</v>
      </c>
      <c r="G641" s="1" t="s">
        <v>5302</v>
      </c>
      <c r="H641" s="1" t="s">
        <v>3604</v>
      </c>
      <c r="I641" s="1" t="s">
        <v>5303</v>
      </c>
      <c r="J641" s="1" t="s">
        <v>3615</v>
      </c>
      <c r="K641" s="1"/>
      <c r="L641" s="1"/>
      <c r="M641" s="1"/>
    </row>
    <row x14ac:dyDescent="0.25" r="642" customHeight="1" ht="18.75">
      <c r="A642" s="1" t="s">
        <v>3693</v>
      </c>
      <c r="B642" s="1" t="s">
        <v>4192</v>
      </c>
      <c r="C642" s="1" t="s">
        <v>3600</v>
      </c>
      <c r="D642" s="1" t="s">
        <v>3601</v>
      </c>
      <c r="E642" s="1" t="s">
        <v>3664</v>
      </c>
      <c r="F642" s="1" t="s">
        <v>5304</v>
      </c>
      <c r="G642" s="1" t="s">
        <v>5284</v>
      </c>
      <c r="H642" s="1" t="s">
        <v>3604</v>
      </c>
      <c r="I642" s="1" t="s">
        <v>5305</v>
      </c>
      <c r="J642" s="1" t="s">
        <v>3615</v>
      </c>
      <c r="K642" s="1"/>
      <c r="L642" s="1"/>
      <c r="M642" s="1"/>
    </row>
    <row x14ac:dyDescent="0.25" r="643" customHeight="1" ht="18.75">
      <c r="A643" s="1" t="s">
        <v>3693</v>
      </c>
      <c r="B643" s="1" t="s">
        <v>4267</v>
      </c>
      <c r="C643" s="1" t="s">
        <v>3600</v>
      </c>
      <c r="D643" s="1" t="s">
        <v>3601</v>
      </c>
      <c r="E643" s="1" t="s">
        <v>3664</v>
      </c>
      <c r="F643" s="1" t="s">
        <v>5306</v>
      </c>
      <c r="G643" s="1" t="s">
        <v>5295</v>
      </c>
      <c r="H643" s="1" t="s">
        <v>3604</v>
      </c>
      <c r="I643" s="1" t="s">
        <v>5307</v>
      </c>
      <c r="J643" s="1" t="s">
        <v>3606</v>
      </c>
      <c r="K643" s="1"/>
      <c r="L643" s="1"/>
      <c r="M643" s="1"/>
    </row>
    <row x14ac:dyDescent="0.25" r="644" customHeight="1" ht="18.75">
      <c r="A644" s="1" t="s">
        <v>3693</v>
      </c>
      <c r="B644" s="1" t="s">
        <v>4192</v>
      </c>
      <c r="C644" s="1" t="s">
        <v>3600</v>
      </c>
      <c r="D644" s="1" t="s">
        <v>3601</v>
      </c>
      <c r="E644" s="1" t="s">
        <v>3664</v>
      </c>
      <c r="F644" s="1" t="s">
        <v>5308</v>
      </c>
      <c r="G644" s="1" t="s">
        <v>5284</v>
      </c>
      <c r="H644" s="1" t="s">
        <v>3604</v>
      </c>
      <c r="I644" s="1" t="s">
        <v>5309</v>
      </c>
      <c r="J644" s="1" t="s">
        <v>3615</v>
      </c>
      <c r="K644" s="1"/>
      <c r="L644" s="1"/>
      <c r="M644" s="1"/>
    </row>
    <row x14ac:dyDescent="0.25" r="645" customHeight="1" ht="18.75">
      <c r="A645" s="1" t="s">
        <v>3693</v>
      </c>
      <c r="B645" s="1" t="s">
        <v>4267</v>
      </c>
      <c r="C645" s="1" t="s">
        <v>3600</v>
      </c>
      <c r="D645" s="1" t="s">
        <v>3601</v>
      </c>
      <c r="E645" s="1" t="s">
        <v>3664</v>
      </c>
      <c r="F645" s="1" t="s">
        <v>5299</v>
      </c>
      <c r="G645" s="1" t="s">
        <v>5274</v>
      </c>
      <c r="H645" s="1" t="s">
        <v>3604</v>
      </c>
      <c r="I645" s="1" t="s">
        <v>5310</v>
      </c>
      <c r="J645" s="1" t="s">
        <v>3615</v>
      </c>
      <c r="K645" s="1"/>
      <c r="L645" s="1"/>
      <c r="M645" s="1"/>
    </row>
    <row x14ac:dyDescent="0.25" r="646" customHeight="1" ht="18.75">
      <c r="A646" s="1" t="s">
        <v>3693</v>
      </c>
      <c r="B646" s="1" t="s">
        <v>4267</v>
      </c>
      <c r="C646" s="1" t="s">
        <v>3600</v>
      </c>
      <c r="D646" s="1" t="s">
        <v>3601</v>
      </c>
      <c r="E646" s="1" t="s">
        <v>3664</v>
      </c>
      <c r="F646" s="1" t="s">
        <v>5311</v>
      </c>
      <c r="G646" s="1" t="s">
        <v>5279</v>
      </c>
      <c r="H646" s="1" t="s">
        <v>3604</v>
      </c>
      <c r="I646" s="1" t="s">
        <v>5312</v>
      </c>
      <c r="J646" s="1" t="s">
        <v>3606</v>
      </c>
      <c r="K646" s="1"/>
      <c r="L646" s="1"/>
      <c r="M646" s="1"/>
    </row>
    <row x14ac:dyDescent="0.25" r="647" customHeight="1" ht="18.75">
      <c r="A647" s="1" t="s">
        <v>3693</v>
      </c>
      <c r="B647" s="1" t="s">
        <v>4267</v>
      </c>
      <c r="C647" s="1" t="s">
        <v>3600</v>
      </c>
      <c r="D647" s="1" t="s">
        <v>3601</v>
      </c>
      <c r="E647" s="1" t="s">
        <v>3664</v>
      </c>
      <c r="F647" s="1" t="s">
        <v>5313</v>
      </c>
      <c r="G647" s="1" t="s">
        <v>5302</v>
      </c>
      <c r="H647" s="1" t="s">
        <v>3604</v>
      </c>
      <c r="I647" s="1" t="s">
        <v>5314</v>
      </c>
      <c r="J647" s="1" t="s">
        <v>3615</v>
      </c>
      <c r="K647" s="1"/>
      <c r="L647" s="1"/>
      <c r="M647" s="1"/>
    </row>
    <row x14ac:dyDescent="0.25" r="648" customHeight="1" ht="18.75">
      <c r="A648" s="1" t="s">
        <v>3693</v>
      </c>
      <c r="B648" s="1" t="s">
        <v>4192</v>
      </c>
      <c r="C648" s="1" t="s">
        <v>3600</v>
      </c>
      <c r="D648" s="1" t="s">
        <v>3601</v>
      </c>
      <c r="E648" s="1" t="s">
        <v>3664</v>
      </c>
      <c r="F648" s="1" t="s">
        <v>5315</v>
      </c>
      <c r="G648" s="1" t="s">
        <v>5284</v>
      </c>
      <c r="H648" s="1" t="s">
        <v>3604</v>
      </c>
      <c r="I648" s="1" t="s">
        <v>5316</v>
      </c>
      <c r="J648" s="1" t="s">
        <v>3615</v>
      </c>
      <c r="K648" s="1"/>
      <c r="L648" s="1"/>
      <c r="M648" s="1"/>
    </row>
    <row x14ac:dyDescent="0.25" r="649" customHeight="1" ht="18.75">
      <c r="A649" s="1" t="s">
        <v>3693</v>
      </c>
      <c r="B649" s="1" t="s">
        <v>4267</v>
      </c>
      <c r="C649" s="1" t="s">
        <v>3600</v>
      </c>
      <c r="D649" s="1" t="s">
        <v>3601</v>
      </c>
      <c r="E649" s="1" t="s">
        <v>3664</v>
      </c>
      <c r="F649" s="1" t="s">
        <v>5317</v>
      </c>
      <c r="G649" s="1" t="s">
        <v>5295</v>
      </c>
      <c r="H649" s="1" t="s">
        <v>3604</v>
      </c>
      <c r="I649" s="1" t="s">
        <v>5318</v>
      </c>
      <c r="J649" s="1" t="s">
        <v>3606</v>
      </c>
      <c r="K649" s="1"/>
      <c r="L649" s="1"/>
      <c r="M649" s="1"/>
    </row>
    <row x14ac:dyDescent="0.25" r="650" customHeight="1" ht="18.75">
      <c r="A650" s="1" t="s">
        <v>3693</v>
      </c>
      <c r="B650" s="1" t="s">
        <v>4267</v>
      </c>
      <c r="C650" s="1" t="s">
        <v>3600</v>
      </c>
      <c r="D650" s="1" t="s">
        <v>3601</v>
      </c>
      <c r="E650" s="1" t="s">
        <v>3664</v>
      </c>
      <c r="F650" s="1" t="s">
        <v>5317</v>
      </c>
      <c r="G650" s="1" t="s">
        <v>5319</v>
      </c>
      <c r="H650" s="1" t="s">
        <v>3604</v>
      </c>
      <c r="I650" s="1" t="s">
        <v>5320</v>
      </c>
      <c r="J650" s="1" t="s">
        <v>3606</v>
      </c>
      <c r="K650" s="1"/>
      <c r="L650" s="1"/>
      <c r="M650" s="1"/>
    </row>
    <row x14ac:dyDescent="0.25" r="651" customHeight="1" ht="18.75">
      <c r="A651" s="1" t="s">
        <v>3693</v>
      </c>
      <c r="B651" s="1" t="s">
        <v>4267</v>
      </c>
      <c r="C651" s="1" t="s">
        <v>3600</v>
      </c>
      <c r="D651" s="1" t="s">
        <v>3601</v>
      </c>
      <c r="E651" s="1" t="s">
        <v>3664</v>
      </c>
      <c r="F651" s="1" t="s">
        <v>5321</v>
      </c>
      <c r="G651" s="1" t="s">
        <v>5295</v>
      </c>
      <c r="H651" s="1" t="s">
        <v>3604</v>
      </c>
      <c r="I651" s="1" t="s">
        <v>5322</v>
      </c>
      <c r="J651" s="1" t="s">
        <v>3615</v>
      </c>
      <c r="K651" s="1"/>
      <c r="L651" s="1"/>
      <c r="M651" s="1"/>
    </row>
    <row x14ac:dyDescent="0.25" r="652" customHeight="1" ht="18.75">
      <c r="A652" s="1" t="s">
        <v>3693</v>
      </c>
      <c r="B652" s="1" t="s">
        <v>4267</v>
      </c>
      <c r="C652" s="1" t="s">
        <v>3600</v>
      </c>
      <c r="D652" s="1" t="s">
        <v>3601</v>
      </c>
      <c r="E652" s="1" t="s">
        <v>3664</v>
      </c>
      <c r="F652" s="1" t="s">
        <v>5323</v>
      </c>
      <c r="G652" s="1" t="s">
        <v>5274</v>
      </c>
      <c r="H652" s="1" t="s">
        <v>3604</v>
      </c>
      <c r="I652" s="1" t="s">
        <v>5324</v>
      </c>
      <c r="J652" s="1" t="s">
        <v>3615</v>
      </c>
      <c r="K652" s="1"/>
      <c r="L652" s="1"/>
      <c r="M652" s="1"/>
    </row>
    <row x14ac:dyDescent="0.25" r="653" customHeight="1" ht="18.75">
      <c r="A653" s="1" t="s">
        <v>3693</v>
      </c>
      <c r="B653" s="1" t="s">
        <v>4267</v>
      </c>
      <c r="C653" s="1" t="s">
        <v>3600</v>
      </c>
      <c r="D653" s="1" t="s">
        <v>3601</v>
      </c>
      <c r="E653" s="1" t="s">
        <v>3664</v>
      </c>
      <c r="F653" s="1" t="s">
        <v>5325</v>
      </c>
      <c r="G653" s="1" t="s">
        <v>5274</v>
      </c>
      <c r="H653" s="1" t="s">
        <v>3604</v>
      </c>
      <c r="I653" s="1" t="s">
        <v>5326</v>
      </c>
      <c r="J653" s="1" t="s">
        <v>3606</v>
      </c>
      <c r="K653" s="1"/>
      <c r="L653" s="1"/>
      <c r="M653" s="1"/>
    </row>
    <row x14ac:dyDescent="0.25" r="654" customHeight="1" ht="18.75">
      <c r="A654" s="1" t="s">
        <v>3693</v>
      </c>
      <c r="B654" s="1" t="s">
        <v>4267</v>
      </c>
      <c r="C654" s="1" t="s">
        <v>3600</v>
      </c>
      <c r="D654" s="1" t="s">
        <v>3601</v>
      </c>
      <c r="E654" s="1" t="s">
        <v>3664</v>
      </c>
      <c r="F654" s="1" t="s">
        <v>5327</v>
      </c>
      <c r="G654" s="1" t="s">
        <v>5295</v>
      </c>
      <c r="H654" s="1" t="s">
        <v>3604</v>
      </c>
      <c r="I654" s="1" t="s">
        <v>5328</v>
      </c>
      <c r="J654" s="1" t="s">
        <v>3615</v>
      </c>
      <c r="K654" s="1"/>
      <c r="L654" s="1"/>
      <c r="M654" s="1"/>
    </row>
    <row x14ac:dyDescent="0.25" r="655" customHeight="1" ht="18.75">
      <c r="A655" s="1" t="s">
        <v>3693</v>
      </c>
      <c r="B655" s="1" t="s">
        <v>4192</v>
      </c>
      <c r="C655" s="1" t="s">
        <v>3600</v>
      </c>
      <c r="D655" s="1" t="s">
        <v>3601</v>
      </c>
      <c r="E655" s="1" t="s">
        <v>3664</v>
      </c>
      <c r="F655" s="1" t="s">
        <v>5329</v>
      </c>
      <c r="G655" s="1" t="s">
        <v>5284</v>
      </c>
      <c r="H655" s="1" t="s">
        <v>3604</v>
      </c>
      <c r="I655" s="1" t="s">
        <v>5330</v>
      </c>
      <c r="J655" s="1" t="s">
        <v>3615</v>
      </c>
      <c r="K655" s="1"/>
      <c r="L655" s="1"/>
      <c r="M655" s="1"/>
    </row>
    <row x14ac:dyDescent="0.25" r="656" customHeight="1" ht="18.75">
      <c r="A656" s="1" t="s">
        <v>3693</v>
      </c>
      <c r="B656" s="1" t="s">
        <v>4267</v>
      </c>
      <c r="C656" s="1" t="s">
        <v>3600</v>
      </c>
      <c r="D656" s="1" t="s">
        <v>3601</v>
      </c>
      <c r="E656" s="1" t="s">
        <v>3664</v>
      </c>
      <c r="F656" s="1" t="s">
        <v>5331</v>
      </c>
      <c r="G656" s="1" t="s">
        <v>5295</v>
      </c>
      <c r="H656" s="1" t="s">
        <v>3604</v>
      </c>
      <c r="I656" s="1" t="s">
        <v>5332</v>
      </c>
      <c r="J656" s="1" t="s">
        <v>3615</v>
      </c>
      <c r="K656" s="1"/>
      <c r="L656" s="1"/>
      <c r="M656" s="1"/>
    </row>
    <row x14ac:dyDescent="0.25" r="657" customHeight="1" ht="18.75">
      <c r="A657" s="1" t="s">
        <v>3693</v>
      </c>
      <c r="B657" s="1" t="s">
        <v>4267</v>
      </c>
      <c r="C657" s="1" t="s">
        <v>3600</v>
      </c>
      <c r="D657" s="1" t="s">
        <v>3601</v>
      </c>
      <c r="E657" s="1" t="s">
        <v>3664</v>
      </c>
      <c r="F657" s="1" t="s">
        <v>5333</v>
      </c>
      <c r="G657" s="1" t="s">
        <v>5295</v>
      </c>
      <c r="H657" s="1" t="s">
        <v>3604</v>
      </c>
      <c r="I657" s="1" t="s">
        <v>5334</v>
      </c>
      <c r="J657" s="1" t="s">
        <v>3615</v>
      </c>
      <c r="K657" s="1"/>
      <c r="L657" s="1"/>
      <c r="M657" s="1"/>
    </row>
    <row x14ac:dyDescent="0.25" r="658" customHeight="1" ht="18.75">
      <c r="A658" s="1" t="s">
        <v>3693</v>
      </c>
      <c r="B658" s="1" t="s">
        <v>4267</v>
      </c>
      <c r="C658" s="1" t="s">
        <v>3600</v>
      </c>
      <c r="D658" s="1" t="s">
        <v>3601</v>
      </c>
      <c r="E658" s="1" t="s">
        <v>3664</v>
      </c>
      <c r="F658" s="1" t="s">
        <v>5335</v>
      </c>
      <c r="G658" s="1" t="s">
        <v>5274</v>
      </c>
      <c r="H658" s="1" t="s">
        <v>3604</v>
      </c>
      <c r="I658" s="1" t="s">
        <v>5336</v>
      </c>
      <c r="J658" s="1" t="s">
        <v>3606</v>
      </c>
      <c r="K658" s="1"/>
      <c r="L658" s="1"/>
      <c r="M658" s="1"/>
    </row>
    <row x14ac:dyDescent="0.25" r="659" customHeight="1" ht="18.75">
      <c r="A659" s="1" t="s">
        <v>3693</v>
      </c>
      <c r="B659" s="1" t="s">
        <v>4192</v>
      </c>
      <c r="C659" s="1" t="s">
        <v>3600</v>
      </c>
      <c r="D659" s="1" t="s">
        <v>3601</v>
      </c>
      <c r="E659" s="1" t="s">
        <v>3664</v>
      </c>
      <c r="F659" s="1" t="s">
        <v>5337</v>
      </c>
      <c r="G659" s="1" t="s">
        <v>5284</v>
      </c>
      <c r="H659" s="1" t="s">
        <v>3604</v>
      </c>
      <c r="I659" s="1" t="s">
        <v>5338</v>
      </c>
      <c r="J659" s="1" t="s">
        <v>3615</v>
      </c>
      <c r="K659" s="1"/>
      <c r="L659" s="1"/>
      <c r="M659" s="1"/>
    </row>
    <row x14ac:dyDescent="0.25" r="660" customHeight="1" ht="18.75">
      <c r="A660" s="1" t="s">
        <v>3693</v>
      </c>
      <c r="B660" s="1" t="s">
        <v>4267</v>
      </c>
      <c r="C660" s="1" t="s">
        <v>3600</v>
      </c>
      <c r="D660" s="1" t="s">
        <v>3601</v>
      </c>
      <c r="E660" s="1" t="s">
        <v>3664</v>
      </c>
      <c r="F660" s="1" t="s">
        <v>5339</v>
      </c>
      <c r="G660" s="1" t="s">
        <v>5295</v>
      </c>
      <c r="H660" s="1" t="s">
        <v>3604</v>
      </c>
      <c r="I660" s="1" t="s">
        <v>5340</v>
      </c>
      <c r="J660" s="1" t="s">
        <v>3615</v>
      </c>
      <c r="K660" s="1"/>
      <c r="L660" s="1"/>
      <c r="M660" s="1"/>
    </row>
    <row x14ac:dyDescent="0.25" r="661" customHeight="1" ht="18.75">
      <c r="A661" s="1" t="s">
        <v>3693</v>
      </c>
      <c r="B661" s="1" t="s">
        <v>4267</v>
      </c>
      <c r="C661" s="1" t="s">
        <v>3600</v>
      </c>
      <c r="D661" s="1" t="s">
        <v>3601</v>
      </c>
      <c r="E661" s="1" t="s">
        <v>3664</v>
      </c>
      <c r="F661" s="1" t="s">
        <v>5341</v>
      </c>
      <c r="G661" s="1" t="s">
        <v>5295</v>
      </c>
      <c r="H661" s="1" t="s">
        <v>3604</v>
      </c>
      <c r="I661" s="1" t="s">
        <v>5342</v>
      </c>
      <c r="J661" s="1" t="s">
        <v>3615</v>
      </c>
      <c r="K661" s="1"/>
      <c r="L661" s="1"/>
      <c r="M661" s="1"/>
    </row>
    <row x14ac:dyDescent="0.25" r="662" customHeight="1" ht="18.75">
      <c r="A662" s="1" t="s">
        <v>3693</v>
      </c>
      <c r="B662" s="1" t="s">
        <v>4192</v>
      </c>
      <c r="C662" s="1" t="s">
        <v>3600</v>
      </c>
      <c r="D662" s="1" t="s">
        <v>3601</v>
      </c>
      <c r="E662" s="1" t="s">
        <v>3664</v>
      </c>
      <c r="F662" s="1" t="s">
        <v>5343</v>
      </c>
      <c r="G662" s="1" t="s">
        <v>5284</v>
      </c>
      <c r="H662" s="1" t="s">
        <v>3604</v>
      </c>
      <c r="I662" s="1" t="s">
        <v>5344</v>
      </c>
      <c r="J662" s="1" t="s">
        <v>3615</v>
      </c>
      <c r="K662" s="1"/>
      <c r="L662" s="1"/>
      <c r="M662" s="1"/>
    </row>
    <row x14ac:dyDescent="0.25" r="663" customHeight="1" ht="18.75">
      <c r="A663" s="1" t="s">
        <v>3693</v>
      </c>
      <c r="B663" s="1" t="s">
        <v>4267</v>
      </c>
      <c r="C663" s="1" t="s">
        <v>3600</v>
      </c>
      <c r="D663" s="1" t="s">
        <v>3601</v>
      </c>
      <c r="E663" s="1" t="s">
        <v>3664</v>
      </c>
      <c r="F663" s="1" t="s">
        <v>5345</v>
      </c>
      <c r="G663" s="1" t="s">
        <v>5302</v>
      </c>
      <c r="H663" s="1" t="s">
        <v>3604</v>
      </c>
      <c r="I663" s="1" t="s">
        <v>5346</v>
      </c>
      <c r="J663" s="1" t="s">
        <v>3615</v>
      </c>
      <c r="K663" s="1"/>
      <c r="L663" s="1"/>
      <c r="M663" s="1"/>
    </row>
    <row x14ac:dyDescent="0.25" r="664" customHeight="1" ht="18.75">
      <c r="A664" s="1" t="s">
        <v>3693</v>
      </c>
      <c r="B664" s="1" t="s">
        <v>4192</v>
      </c>
      <c r="C664" s="1" t="s">
        <v>3600</v>
      </c>
      <c r="D664" s="1" t="s">
        <v>3601</v>
      </c>
      <c r="E664" s="1" t="s">
        <v>3664</v>
      </c>
      <c r="F664" s="1" t="s">
        <v>5347</v>
      </c>
      <c r="G664" s="1" t="s">
        <v>5284</v>
      </c>
      <c r="H664" s="1" t="s">
        <v>3604</v>
      </c>
      <c r="I664" s="1" t="s">
        <v>5348</v>
      </c>
      <c r="J664" s="1" t="s">
        <v>3615</v>
      </c>
      <c r="K664" s="1"/>
      <c r="L664" s="1"/>
      <c r="M664" s="1"/>
    </row>
    <row x14ac:dyDescent="0.25" r="665" customHeight="1" ht="18.75">
      <c r="A665" s="1" t="s">
        <v>3693</v>
      </c>
      <c r="B665" s="1" t="s">
        <v>4192</v>
      </c>
      <c r="C665" s="1" t="s">
        <v>3600</v>
      </c>
      <c r="D665" s="1" t="s">
        <v>3601</v>
      </c>
      <c r="E665" s="1" t="s">
        <v>3664</v>
      </c>
      <c r="F665" s="1" t="s">
        <v>5349</v>
      </c>
      <c r="G665" s="1" t="s">
        <v>5284</v>
      </c>
      <c r="H665" s="1" t="s">
        <v>3604</v>
      </c>
      <c r="I665" s="1" t="s">
        <v>5350</v>
      </c>
      <c r="J665" s="1" t="s">
        <v>3615</v>
      </c>
      <c r="K665" s="1"/>
      <c r="L665" s="1"/>
      <c r="M665" s="1"/>
    </row>
    <row x14ac:dyDescent="0.25" r="666" customHeight="1" ht="18.75">
      <c r="A666" s="1" t="s">
        <v>3693</v>
      </c>
      <c r="B666" s="1" t="s">
        <v>4267</v>
      </c>
      <c r="C666" s="1" t="s">
        <v>3600</v>
      </c>
      <c r="D666" s="1" t="s">
        <v>3601</v>
      </c>
      <c r="E666" s="1" t="s">
        <v>3664</v>
      </c>
      <c r="F666" s="1" t="s">
        <v>5351</v>
      </c>
      <c r="G666" s="1" t="s">
        <v>5274</v>
      </c>
      <c r="H666" s="1" t="s">
        <v>3604</v>
      </c>
      <c r="I666" s="1" t="s">
        <v>5352</v>
      </c>
      <c r="J666" s="1" t="s">
        <v>3615</v>
      </c>
      <c r="K666" s="1"/>
      <c r="L666" s="1"/>
      <c r="M666" s="1"/>
    </row>
    <row x14ac:dyDescent="0.25" r="667" customHeight="1" ht="18.75">
      <c r="A667" s="1" t="s">
        <v>3693</v>
      </c>
      <c r="B667" s="1" t="s">
        <v>4192</v>
      </c>
      <c r="C667" s="1" t="s">
        <v>3600</v>
      </c>
      <c r="D667" s="1" t="s">
        <v>3601</v>
      </c>
      <c r="E667" s="1" t="s">
        <v>3664</v>
      </c>
      <c r="F667" s="1" t="s">
        <v>5353</v>
      </c>
      <c r="G667" s="1" t="s">
        <v>5284</v>
      </c>
      <c r="H667" s="1" t="s">
        <v>3604</v>
      </c>
      <c r="I667" s="1" t="s">
        <v>5354</v>
      </c>
      <c r="J667" s="1" t="s">
        <v>3615</v>
      </c>
      <c r="K667" s="1"/>
      <c r="L667" s="1"/>
      <c r="M667" s="1"/>
    </row>
    <row x14ac:dyDescent="0.25" r="668" customHeight="1" ht="18.75">
      <c r="A668" s="1" t="s">
        <v>3693</v>
      </c>
      <c r="B668" s="1" t="s">
        <v>4192</v>
      </c>
      <c r="C668" s="1" t="s">
        <v>3600</v>
      </c>
      <c r="D668" s="1" t="s">
        <v>3601</v>
      </c>
      <c r="E668" s="1" t="s">
        <v>3664</v>
      </c>
      <c r="F668" s="1" t="s">
        <v>5355</v>
      </c>
      <c r="G668" s="1" t="s">
        <v>5284</v>
      </c>
      <c r="H668" s="1" t="s">
        <v>3604</v>
      </c>
      <c r="I668" s="1" t="s">
        <v>5356</v>
      </c>
      <c r="J668" s="1" t="s">
        <v>3615</v>
      </c>
      <c r="K668" s="1"/>
      <c r="L668" s="1"/>
      <c r="M668" s="1"/>
    </row>
    <row x14ac:dyDescent="0.25" r="669" customHeight="1" ht="18.75">
      <c r="A669" s="1" t="s">
        <v>3693</v>
      </c>
      <c r="B669" s="1" t="s">
        <v>4267</v>
      </c>
      <c r="C669" s="1" t="s">
        <v>3600</v>
      </c>
      <c r="D669" s="1" t="s">
        <v>3601</v>
      </c>
      <c r="E669" s="1" t="s">
        <v>3664</v>
      </c>
      <c r="F669" s="1" t="s">
        <v>5357</v>
      </c>
      <c r="G669" s="1" t="s">
        <v>5302</v>
      </c>
      <c r="H669" s="1" t="s">
        <v>3604</v>
      </c>
      <c r="I669" s="1" t="s">
        <v>5358</v>
      </c>
      <c r="J669" s="1" t="s">
        <v>3615</v>
      </c>
      <c r="K669" s="1"/>
      <c r="L669" s="1"/>
      <c r="M669" s="1"/>
    </row>
    <row x14ac:dyDescent="0.25" r="670" customHeight="1" ht="18.75">
      <c r="A670" s="1" t="s">
        <v>3693</v>
      </c>
      <c r="B670" s="1" t="s">
        <v>4192</v>
      </c>
      <c r="C670" s="1" t="s">
        <v>3600</v>
      </c>
      <c r="D670" s="1" t="s">
        <v>3601</v>
      </c>
      <c r="E670" s="1" t="s">
        <v>3664</v>
      </c>
      <c r="F670" s="1" t="s">
        <v>5359</v>
      </c>
      <c r="G670" s="1" t="s">
        <v>5284</v>
      </c>
      <c r="H670" s="1" t="s">
        <v>3604</v>
      </c>
      <c r="I670" s="1" t="s">
        <v>5360</v>
      </c>
      <c r="J670" s="1" t="s">
        <v>3615</v>
      </c>
      <c r="K670" s="1"/>
      <c r="L670" s="1"/>
      <c r="M670" s="1"/>
    </row>
    <row x14ac:dyDescent="0.25" r="671" customHeight="1" ht="18.75">
      <c r="A671" s="1" t="s">
        <v>3693</v>
      </c>
      <c r="B671" s="1" t="s">
        <v>4192</v>
      </c>
      <c r="C671" s="1" t="s">
        <v>3600</v>
      </c>
      <c r="D671" s="1" t="s">
        <v>3601</v>
      </c>
      <c r="E671" s="1" t="s">
        <v>3664</v>
      </c>
      <c r="F671" s="1" t="s">
        <v>5361</v>
      </c>
      <c r="G671" s="1" t="s">
        <v>5284</v>
      </c>
      <c r="H671" s="1" t="s">
        <v>3604</v>
      </c>
      <c r="I671" s="1" t="s">
        <v>5362</v>
      </c>
      <c r="J671" s="1" t="s">
        <v>3615</v>
      </c>
      <c r="K671" s="1"/>
      <c r="L671" s="1"/>
      <c r="M671" s="1"/>
    </row>
    <row x14ac:dyDescent="0.25" r="672" customHeight="1" ht="18.75">
      <c r="A672" s="1" t="s">
        <v>3693</v>
      </c>
      <c r="B672" s="1" t="s">
        <v>4267</v>
      </c>
      <c r="C672" s="1" t="s">
        <v>3600</v>
      </c>
      <c r="D672" s="1" t="s">
        <v>3601</v>
      </c>
      <c r="E672" s="1" t="s">
        <v>3664</v>
      </c>
      <c r="F672" s="1" t="s">
        <v>5363</v>
      </c>
      <c r="G672" s="1" t="s">
        <v>5302</v>
      </c>
      <c r="H672" s="1" t="s">
        <v>3604</v>
      </c>
      <c r="I672" s="1" t="s">
        <v>5364</v>
      </c>
      <c r="J672" s="1" t="s">
        <v>3615</v>
      </c>
      <c r="K672" s="1"/>
      <c r="L672" s="1"/>
      <c r="M672" s="1"/>
    </row>
    <row x14ac:dyDescent="0.25" r="673" customHeight="1" ht="18.75">
      <c r="A673" s="1" t="s">
        <v>3693</v>
      </c>
      <c r="B673" s="1" t="s">
        <v>4192</v>
      </c>
      <c r="C673" s="1" t="s">
        <v>3600</v>
      </c>
      <c r="D673" s="1" t="s">
        <v>3601</v>
      </c>
      <c r="E673" s="1" t="s">
        <v>3664</v>
      </c>
      <c r="F673" s="1" t="s">
        <v>5365</v>
      </c>
      <c r="G673" s="1" t="s">
        <v>5284</v>
      </c>
      <c r="H673" s="1" t="s">
        <v>3604</v>
      </c>
      <c r="I673" s="1" t="s">
        <v>5366</v>
      </c>
      <c r="J673" s="1" t="s">
        <v>3615</v>
      </c>
      <c r="K673" s="1"/>
      <c r="L673" s="1"/>
      <c r="M673" s="1"/>
    </row>
    <row x14ac:dyDescent="0.25" r="674" customHeight="1" ht="18.75">
      <c r="A674" s="1" t="s">
        <v>3693</v>
      </c>
      <c r="B674" s="1" t="s">
        <v>4192</v>
      </c>
      <c r="C674" s="1" t="s">
        <v>3600</v>
      </c>
      <c r="D674" s="1" t="s">
        <v>3601</v>
      </c>
      <c r="E674" s="1" t="s">
        <v>3664</v>
      </c>
      <c r="F674" s="1" t="s">
        <v>5359</v>
      </c>
      <c r="G674" s="1" t="s">
        <v>5284</v>
      </c>
      <c r="H674" s="1" t="s">
        <v>3604</v>
      </c>
      <c r="I674" s="1" t="s">
        <v>5367</v>
      </c>
      <c r="J674" s="1" t="s">
        <v>3615</v>
      </c>
      <c r="K674" s="1"/>
      <c r="L674" s="1"/>
      <c r="M674" s="1"/>
    </row>
    <row x14ac:dyDescent="0.25" r="675" customHeight="1" ht="18.75">
      <c r="A675" s="1" t="s">
        <v>3693</v>
      </c>
      <c r="B675" s="1" t="s">
        <v>4192</v>
      </c>
      <c r="C675" s="1" t="s">
        <v>3600</v>
      </c>
      <c r="D675" s="1" t="s">
        <v>3601</v>
      </c>
      <c r="E675" s="1" t="s">
        <v>3664</v>
      </c>
      <c r="F675" s="1" t="s">
        <v>5368</v>
      </c>
      <c r="G675" s="1" t="s">
        <v>5284</v>
      </c>
      <c r="H675" s="1" t="s">
        <v>3604</v>
      </c>
      <c r="I675" s="1" t="s">
        <v>5369</v>
      </c>
      <c r="J675" s="1" t="s">
        <v>3615</v>
      </c>
      <c r="K675" s="1"/>
      <c r="L675" s="1"/>
      <c r="M675" s="1"/>
    </row>
    <row x14ac:dyDescent="0.25" r="676" customHeight="1" ht="18.75">
      <c r="A676" s="1" t="s">
        <v>3693</v>
      </c>
      <c r="B676" s="1" t="s">
        <v>4192</v>
      </c>
      <c r="C676" s="1" t="s">
        <v>3600</v>
      </c>
      <c r="D676" s="1" t="s">
        <v>3601</v>
      </c>
      <c r="E676" s="1" t="s">
        <v>3664</v>
      </c>
      <c r="F676" s="1" t="s">
        <v>5359</v>
      </c>
      <c r="G676" s="1" t="s">
        <v>5284</v>
      </c>
      <c r="H676" s="1" t="s">
        <v>3604</v>
      </c>
      <c r="I676" s="1" t="s">
        <v>5370</v>
      </c>
      <c r="J676" s="1" t="s">
        <v>3615</v>
      </c>
      <c r="K676" s="1"/>
      <c r="L676" s="1"/>
      <c r="M676" s="1"/>
    </row>
    <row x14ac:dyDescent="0.25" r="677" customHeight="1" ht="18.75">
      <c r="A677" s="1" t="s">
        <v>3693</v>
      </c>
      <c r="B677" s="1" t="s">
        <v>4192</v>
      </c>
      <c r="C677" s="1" t="s">
        <v>3600</v>
      </c>
      <c r="D677" s="1" t="s">
        <v>3601</v>
      </c>
      <c r="E677" s="1" t="s">
        <v>3664</v>
      </c>
      <c r="F677" s="1" t="s">
        <v>5359</v>
      </c>
      <c r="G677" s="1" t="s">
        <v>5284</v>
      </c>
      <c r="H677" s="1" t="s">
        <v>3604</v>
      </c>
      <c r="I677" s="1" t="s">
        <v>5371</v>
      </c>
      <c r="J677" s="1" t="s">
        <v>3615</v>
      </c>
      <c r="K677" s="1"/>
      <c r="L677" s="1"/>
      <c r="M677" s="1"/>
    </row>
    <row x14ac:dyDescent="0.25" r="678" customHeight="1" ht="18.75">
      <c r="A678" s="1" t="s">
        <v>3598</v>
      </c>
      <c r="B678" s="1" t="s">
        <v>5372</v>
      </c>
      <c r="C678" s="1" t="s">
        <v>3600</v>
      </c>
      <c r="D678" s="1" t="s">
        <v>3601</v>
      </c>
      <c r="E678" s="1"/>
      <c r="F678" s="1" t="s">
        <v>5373</v>
      </c>
      <c r="G678" s="1" t="s">
        <v>5374</v>
      </c>
      <c r="H678" s="1" t="s">
        <v>3604</v>
      </c>
      <c r="I678" s="1" t="s">
        <v>5375</v>
      </c>
      <c r="J678" s="1" t="s">
        <v>3606</v>
      </c>
      <c r="K678" s="1"/>
      <c r="L678" s="1"/>
      <c r="M678" s="1"/>
    </row>
    <row x14ac:dyDescent="0.25" r="679" customHeight="1" ht="18.75">
      <c r="A679" s="1" t="s">
        <v>3598</v>
      </c>
      <c r="B679" s="1" t="s">
        <v>5376</v>
      </c>
      <c r="C679" s="1" t="s">
        <v>3600</v>
      </c>
      <c r="D679" s="1" t="s">
        <v>3601</v>
      </c>
      <c r="E679" s="1"/>
      <c r="F679" s="1" t="s">
        <v>5377</v>
      </c>
      <c r="G679" s="1" t="s">
        <v>5378</v>
      </c>
      <c r="H679" s="1" t="s">
        <v>3604</v>
      </c>
      <c r="I679" s="1" t="s">
        <v>5379</v>
      </c>
      <c r="J679" s="1" t="s">
        <v>3606</v>
      </c>
      <c r="K679" s="1"/>
      <c r="L679" s="1"/>
      <c r="M679" s="1"/>
    </row>
    <row x14ac:dyDescent="0.25" r="680" customHeight="1" ht="18.75">
      <c r="A680" s="1" t="s">
        <v>3598</v>
      </c>
      <c r="B680" s="1" t="s">
        <v>3778</v>
      </c>
      <c r="C680" s="1" t="s">
        <v>3600</v>
      </c>
      <c r="D680" s="1" t="s">
        <v>3601</v>
      </c>
      <c r="E680" s="1" t="s">
        <v>3664</v>
      </c>
      <c r="F680" s="1" t="s">
        <v>5380</v>
      </c>
      <c r="G680" s="1" t="s">
        <v>5381</v>
      </c>
      <c r="H680" s="1" t="s">
        <v>3604</v>
      </c>
      <c r="I680" s="1" t="s">
        <v>5382</v>
      </c>
      <c r="J680" s="1" t="s">
        <v>3606</v>
      </c>
      <c r="K680" s="1"/>
      <c r="L680" s="1"/>
      <c r="M680" s="1"/>
    </row>
    <row x14ac:dyDescent="0.25" r="681" customHeight="1" ht="18.75">
      <c r="A681" s="1" t="s">
        <v>3598</v>
      </c>
      <c r="B681" s="1" t="s">
        <v>3778</v>
      </c>
      <c r="C681" s="1" t="s">
        <v>3600</v>
      </c>
      <c r="D681" s="1" t="s">
        <v>3601</v>
      </c>
      <c r="E681" s="1" t="s">
        <v>3664</v>
      </c>
      <c r="F681" s="1" t="s">
        <v>5383</v>
      </c>
      <c r="G681" s="1" t="s">
        <v>5384</v>
      </c>
      <c r="H681" s="1" t="s">
        <v>3604</v>
      </c>
      <c r="I681" s="1" t="s">
        <v>5385</v>
      </c>
      <c r="J681" s="1" t="s">
        <v>3606</v>
      </c>
      <c r="K681" s="1"/>
      <c r="L681" s="1"/>
      <c r="M681" s="1"/>
    </row>
    <row x14ac:dyDescent="0.25" r="682" customHeight="1" ht="18.75">
      <c r="A682" s="1" t="s">
        <v>3598</v>
      </c>
      <c r="B682" s="1" t="s">
        <v>3778</v>
      </c>
      <c r="C682" s="1" t="s">
        <v>3600</v>
      </c>
      <c r="D682" s="1" t="s">
        <v>3601</v>
      </c>
      <c r="E682" s="1" t="s">
        <v>3664</v>
      </c>
      <c r="F682" s="1" t="s">
        <v>5386</v>
      </c>
      <c r="G682" s="1" t="s">
        <v>5387</v>
      </c>
      <c r="H682" s="1" t="s">
        <v>3604</v>
      </c>
      <c r="I682" s="1" t="s">
        <v>5388</v>
      </c>
      <c r="J682" s="1" t="s">
        <v>3606</v>
      </c>
      <c r="K682" s="1"/>
      <c r="L682" s="1"/>
      <c r="M682" s="1"/>
    </row>
    <row x14ac:dyDescent="0.25" r="683" customHeight="1" ht="18.75">
      <c r="A683" s="1" t="s">
        <v>3598</v>
      </c>
      <c r="B683" s="1" t="s">
        <v>3778</v>
      </c>
      <c r="C683" s="1" t="s">
        <v>3600</v>
      </c>
      <c r="D683" s="1" t="s">
        <v>3601</v>
      </c>
      <c r="E683" s="1" t="s">
        <v>3981</v>
      </c>
      <c r="F683" s="1" t="s">
        <v>5389</v>
      </c>
      <c r="G683" s="1" t="s">
        <v>5390</v>
      </c>
      <c r="H683" s="1" t="s">
        <v>3604</v>
      </c>
      <c r="I683" s="1" t="s">
        <v>5391</v>
      </c>
      <c r="J683" s="1" t="s">
        <v>3606</v>
      </c>
      <c r="K683" s="1"/>
      <c r="L683" s="1"/>
      <c r="M683" s="1"/>
    </row>
    <row x14ac:dyDescent="0.25" r="684" customHeight="1" ht="18.75">
      <c r="A684" s="1" t="s">
        <v>3598</v>
      </c>
      <c r="B684" s="1" t="s">
        <v>3778</v>
      </c>
      <c r="C684" s="1" t="s">
        <v>3600</v>
      </c>
      <c r="D684" s="1" t="s">
        <v>3601</v>
      </c>
      <c r="E684" s="1" t="s">
        <v>3981</v>
      </c>
      <c r="F684" s="1" t="s">
        <v>5392</v>
      </c>
      <c r="G684" s="1" t="s">
        <v>5393</v>
      </c>
      <c r="H684" s="1" t="s">
        <v>3604</v>
      </c>
      <c r="I684" s="1" t="s">
        <v>5394</v>
      </c>
      <c r="J684" s="1" t="s">
        <v>3606</v>
      </c>
      <c r="K684" s="1"/>
      <c r="L684" s="1"/>
      <c r="M684" s="1"/>
    </row>
    <row x14ac:dyDescent="0.25" r="685" customHeight="1" ht="18.75">
      <c r="A685" s="1" t="s">
        <v>3598</v>
      </c>
      <c r="B685" s="1" t="s">
        <v>3778</v>
      </c>
      <c r="C685" s="1" t="s">
        <v>3600</v>
      </c>
      <c r="D685" s="1" t="s">
        <v>3601</v>
      </c>
      <c r="E685" s="1" t="s">
        <v>3981</v>
      </c>
      <c r="F685" s="1" t="s">
        <v>5395</v>
      </c>
      <c r="G685" s="1" t="s">
        <v>5396</v>
      </c>
      <c r="H685" s="1" t="s">
        <v>3604</v>
      </c>
      <c r="I685" s="1" t="s">
        <v>5397</v>
      </c>
      <c r="J685" s="1" t="s">
        <v>3606</v>
      </c>
      <c r="K685" s="1"/>
      <c r="L685" s="1"/>
      <c r="M685" s="1"/>
    </row>
    <row x14ac:dyDescent="0.25" r="686" customHeight="1" ht="18.75">
      <c r="A686" s="1" t="s">
        <v>3598</v>
      </c>
      <c r="B686" s="1" t="s">
        <v>3778</v>
      </c>
      <c r="C686" s="1" t="s">
        <v>3600</v>
      </c>
      <c r="D686" s="1" t="s">
        <v>3601</v>
      </c>
      <c r="E686" s="1" t="s">
        <v>3981</v>
      </c>
      <c r="F686" s="1" t="s">
        <v>5398</v>
      </c>
      <c r="G686" s="1" t="s">
        <v>5399</v>
      </c>
      <c r="H686" s="1" t="s">
        <v>3604</v>
      </c>
      <c r="I686" s="1" t="s">
        <v>5400</v>
      </c>
      <c r="J686" s="1" t="s">
        <v>3606</v>
      </c>
      <c r="K686" s="1"/>
      <c r="L686" s="1"/>
      <c r="M686" s="1"/>
    </row>
    <row x14ac:dyDescent="0.25" r="687" customHeight="1" ht="18.75">
      <c r="A687" s="1" t="s">
        <v>3598</v>
      </c>
      <c r="B687" s="1" t="s">
        <v>3778</v>
      </c>
      <c r="C687" s="1" t="s">
        <v>3600</v>
      </c>
      <c r="D687" s="1" t="s">
        <v>3601</v>
      </c>
      <c r="E687" s="1" t="s">
        <v>3981</v>
      </c>
      <c r="F687" s="1" t="s">
        <v>5401</v>
      </c>
      <c r="G687" s="1" t="s">
        <v>5402</v>
      </c>
      <c r="H687" s="1" t="s">
        <v>3604</v>
      </c>
      <c r="I687" s="1" t="s">
        <v>5403</v>
      </c>
      <c r="J687" s="1" t="s">
        <v>3606</v>
      </c>
      <c r="K687" s="1"/>
      <c r="L687" s="1"/>
      <c r="M687" s="1"/>
    </row>
    <row x14ac:dyDescent="0.25" r="688" customHeight="1" ht="18.75">
      <c r="A688" s="1" t="s">
        <v>3598</v>
      </c>
      <c r="B688" s="1" t="s">
        <v>3778</v>
      </c>
      <c r="C688" s="1" t="s">
        <v>3600</v>
      </c>
      <c r="D688" s="1" t="s">
        <v>3601</v>
      </c>
      <c r="E688" s="1" t="s">
        <v>3981</v>
      </c>
      <c r="F688" s="1" t="s">
        <v>5404</v>
      </c>
      <c r="G688" s="1" t="s">
        <v>5405</v>
      </c>
      <c r="H688" s="1" t="s">
        <v>3604</v>
      </c>
      <c r="I688" s="1" t="s">
        <v>5406</v>
      </c>
      <c r="J688" s="1" t="s">
        <v>3606</v>
      </c>
      <c r="K688" s="1"/>
      <c r="L688" s="1"/>
      <c r="M688" s="1"/>
    </row>
    <row x14ac:dyDescent="0.25" r="689" customHeight="1" ht="18.75">
      <c r="A689" s="1" t="s">
        <v>3617</v>
      </c>
      <c r="B689" s="1" t="s">
        <v>3892</v>
      </c>
      <c r="C689" s="1" t="s">
        <v>3619</v>
      </c>
      <c r="D689" s="1" t="s">
        <v>3601</v>
      </c>
      <c r="E689" s="1" t="s">
        <v>3893</v>
      </c>
      <c r="F689" s="1" t="s">
        <v>5407</v>
      </c>
      <c r="G689" s="1" t="s">
        <v>5408</v>
      </c>
      <c r="H689" s="1" t="s">
        <v>3604</v>
      </c>
      <c r="I689" s="1" t="s">
        <v>5409</v>
      </c>
      <c r="J689" s="1" t="s">
        <v>3606</v>
      </c>
      <c r="K689" s="1"/>
      <c r="L689" s="1"/>
      <c r="M689" s="1"/>
    </row>
    <row x14ac:dyDescent="0.25" r="690" customHeight="1" ht="18.75">
      <c r="A690" s="1" t="s">
        <v>3617</v>
      </c>
      <c r="B690" s="1" t="s">
        <v>3892</v>
      </c>
      <c r="C690" s="1" t="s">
        <v>3619</v>
      </c>
      <c r="D690" s="1" t="s">
        <v>3601</v>
      </c>
      <c r="E690" s="1" t="s">
        <v>3893</v>
      </c>
      <c r="F690" s="1" t="s">
        <v>5410</v>
      </c>
      <c r="G690" s="1" t="s">
        <v>5411</v>
      </c>
      <c r="H690" s="1" t="s">
        <v>3604</v>
      </c>
      <c r="I690" s="1" t="s">
        <v>5412</v>
      </c>
      <c r="J690" s="1" t="s">
        <v>3606</v>
      </c>
      <c r="K690" s="1"/>
      <c r="L690" s="1"/>
      <c r="M690" s="1"/>
    </row>
    <row x14ac:dyDescent="0.25" r="691" customHeight="1" ht="18.75">
      <c r="A691" s="1" t="s">
        <v>3617</v>
      </c>
      <c r="B691" s="1" t="s">
        <v>3898</v>
      </c>
      <c r="C691" s="1" t="s">
        <v>3619</v>
      </c>
      <c r="D691" s="1" t="s">
        <v>3601</v>
      </c>
      <c r="E691" s="1" t="s">
        <v>3893</v>
      </c>
      <c r="F691" s="1" t="s">
        <v>5407</v>
      </c>
      <c r="G691" s="1" t="s">
        <v>5413</v>
      </c>
      <c r="H691" s="1" t="s">
        <v>3604</v>
      </c>
      <c r="I691" s="1" t="s">
        <v>5414</v>
      </c>
      <c r="J691" s="1" t="s">
        <v>3606</v>
      </c>
      <c r="K691" s="1"/>
      <c r="L691" s="1"/>
      <c r="M691" s="1"/>
    </row>
    <row x14ac:dyDescent="0.25" r="692" customHeight="1" ht="18.75">
      <c r="A692" s="1" t="s">
        <v>3617</v>
      </c>
      <c r="B692" s="1" t="s">
        <v>3898</v>
      </c>
      <c r="C692" s="1" t="s">
        <v>3619</v>
      </c>
      <c r="D692" s="1" t="s">
        <v>3601</v>
      </c>
      <c r="E692" s="1" t="s">
        <v>3893</v>
      </c>
      <c r="F692" s="1" t="s">
        <v>5415</v>
      </c>
      <c r="G692" s="1" t="s">
        <v>5416</v>
      </c>
      <c r="H692" s="1" t="s">
        <v>3604</v>
      </c>
      <c r="I692" s="1" t="s">
        <v>5417</v>
      </c>
      <c r="J692" s="1" t="s">
        <v>3606</v>
      </c>
      <c r="K692" s="1"/>
      <c r="L692" s="1"/>
      <c r="M692" s="1"/>
    </row>
    <row x14ac:dyDescent="0.25" r="693" customHeight="1" ht="18.75">
      <c r="A693" s="1" t="s">
        <v>3617</v>
      </c>
      <c r="B693" s="1" t="s">
        <v>4614</v>
      </c>
      <c r="C693" s="1" t="s">
        <v>3600</v>
      </c>
      <c r="D693" s="1" t="s">
        <v>3601</v>
      </c>
      <c r="E693" s="1"/>
      <c r="F693" s="1" t="s">
        <v>5418</v>
      </c>
      <c r="G693" s="1" t="s">
        <v>5419</v>
      </c>
      <c r="H693" s="1" t="s">
        <v>3604</v>
      </c>
      <c r="I693" s="1" t="s">
        <v>5420</v>
      </c>
      <c r="J693" s="1" t="s">
        <v>3606</v>
      </c>
      <c r="K693" s="1"/>
      <c r="L693" s="1"/>
      <c r="M693" s="1"/>
    </row>
    <row x14ac:dyDescent="0.25" r="694" customHeight="1" ht="18.75">
      <c r="A694" s="1" t="s">
        <v>3598</v>
      </c>
      <c r="B694" s="1" t="s">
        <v>4658</v>
      </c>
      <c r="C694" s="1" t="s">
        <v>3600</v>
      </c>
      <c r="D694" s="1" t="s">
        <v>3601</v>
      </c>
      <c r="E694" s="1"/>
      <c r="F694" s="1" t="s">
        <v>5421</v>
      </c>
      <c r="G694" s="1" t="s">
        <v>5422</v>
      </c>
      <c r="H694" s="1" t="s">
        <v>3604</v>
      </c>
      <c r="I694" s="1" t="s">
        <v>5423</v>
      </c>
      <c r="J694" s="1" t="s">
        <v>3606</v>
      </c>
      <c r="K694" s="1"/>
      <c r="L694" s="1"/>
      <c r="M694" s="1"/>
    </row>
    <row x14ac:dyDescent="0.25" r="695" customHeight="1" ht="18.75">
      <c r="A695" s="1" t="s">
        <v>3598</v>
      </c>
      <c r="B695" s="1" t="s">
        <v>4658</v>
      </c>
      <c r="C695" s="1" t="s">
        <v>3600</v>
      </c>
      <c r="D695" s="1" t="s">
        <v>3601</v>
      </c>
      <c r="E695" s="1"/>
      <c r="F695" s="1" t="s">
        <v>5424</v>
      </c>
      <c r="G695" s="1" t="s">
        <v>5425</v>
      </c>
      <c r="H695" s="1" t="s">
        <v>3604</v>
      </c>
      <c r="I695" s="1" t="s">
        <v>5426</v>
      </c>
      <c r="J695" s="1" t="s">
        <v>3606</v>
      </c>
      <c r="K695" s="1"/>
      <c r="L695" s="1"/>
      <c r="M695" s="1"/>
    </row>
    <row x14ac:dyDescent="0.25" r="696" customHeight="1" ht="18.75">
      <c r="A696" s="1" t="s">
        <v>3598</v>
      </c>
      <c r="B696" s="1" t="s">
        <v>4658</v>
      </c>
      <c r="C696" s="1" t="s">
        <v>3600</v>
      </c>
      <c r="D696" s="1" t="s">
        <v>3601</v>
      </c>
      <c r="E696" s="1"/>
      <c r="F696" s="1" t="s">
        <v>5427</v>
      </c>
      <c r="G696" s="1" t="s">
        <v>5428</v>
      </c>
      <c r="H696" s="1" t="s">
        <v>3604</v>
      </c>
      <c r="I696" s="1" t="s">
        <v>5429</v>
      </c>
      <c r="J696" s="1" t="s">
        <v>3606</v>
      </c>
      <c r="K696" s="1"/>
      <c r="L696" s="1"/>
      <c r="M696" s="1"/>
    </row>
    <row x14ac:dyDescent="0.25" r="697" customHeight="1" ht="18.75">
      <c r="A697" s="1" t="s">
        <v>3598</v>
      </c>
      <c r="B697" s="1" t="s">
        <v>4658</v>
      </c>
      <c r="C697" s="1" t="s">
        <v>3600</v>
      </c>
      <c r="D697" s="1" t="s">
        <v>3601</v>
      </c>
      <c r="E697" s="1"/>
      <c r="F697" s="1" t="s">
        <v>5430</v>
      </c>
      <c r="G697" s="1" t="s">
        <v>5431</v>
      </c>
      <c r="H697" s="1" t="s">
        <v>3604</v>
      </c>
      <c r="I697" s="1" t="s">
        <v>5432</v>
      </c>
      <c r="J697" s="1" t="s">
        <v>3606</v>
      </c>
      <c r="K697" s="1"/>
      <c r="L697" s="1"/>
      <c r="M697" s="1"/>
    </row>
    <row x14ac:dyDescent="0.25" r="698" customHeight="1" ht="18.75">
      <c r="A698" s="1" t="s">
        <v>3598</v>
      </c>
      <c r="B698" s="1" t="s">
        <v>4658</v>
      </c>
      <c r="C698" s="1" t="s">
        <v>3600</v>
      </c>
      <c r="D698" s="1" t="s">
        <v>3601</v>
      </c>
      <c r="E698" s="1"/>
      <c r="F698" s="1" t="s">
        <v>5433</v>
      </c>
      <c r="G698" s="1" t="s">
        <v>5434</v>
      </c>
      <c r="H698" s="1" t="s">
        <v>3604</v>
      </c>
      <c r="I698" s="1" t="s">
        <v>5435</v>
      </c>
      <c r="J698" s="1" t="s">
        <v>3606</v>
      </c>
      <c r="K698" s="1"/>
      <c r="L698" s="1"/>
      <c r="M698" s="1"/>
    </row>
    <row x14ac:dyDescent="0.25" r="699" customHeight="1" ht="18.75">
      <c r="A699" s="1" t="s">
        <v>3598</v>
      </c>
      <c r="B699" s="1" t="s">
        <v>5436</v>
      </c>
      <c r="C699" s="1" t="s">
        <v>3600</v>
      </c>
      <c r="D699" s="1" t="s">
        <v>3601</v>
      </c>
      <c r="E699" s="1"/>
      <c r="F699" s="1" t="s">
        <v>5437</v>
      </c>
      <c r="G699" s="1" t="s">
        <v>5438</v>
      </c>
      <c r="H699" s="1" t="s">
        <v>3604</v>
      </c>
      <c r="I699" s="1" t="s">
        <v>5439</v>
      </c>
      <c r="J699" s="1" t="s">
        <v>3606</v>
      </c>
      <c r="K699" s="1"/>
      <c r="L699" s="1"/>
      <c r="M699" s="1"/>
    </row>
    <row x14ac:dyDescent="0.25" r="700" customHeight="1" ht="18.75">
      <c r="A700" s="1" t="s">
        <v>3598</v>
      </c>
      <c r="B700" s="1" t="s">
        <v>5436</v>
      </c>
      <c r="C700" s="1" t="s">
        <v>3600</v>
      </c>
      <c r="D700" s="1" t="s">
        <v>3601</v>
      </c>
      <c r="E700" s="1"/>
      <c r="F700" s="1" t="s">
        <v>5440</v>
      </c>
      <c r="G700" s="1" t="s">
        <v>5441</v>
      </c>
      <c r="H700" s="1" t="s">
        <v>3604</v>
      </c>
      <c r="I700" s="1" t="s">
        <v>5442</v>
      </c>
      <c r="J700" s="1" t="s">
        <v>3606</v>
      </c>
      <c r="K700" s="1"/>
      <c r="L700" s="1"/>
      <c r="M700" s="1"/>
    </row>
    <row x14ac:dyDescent="0.25" r="701" customHeight="1" ht="18.75">
      <c r="A701" s="1" t="s">
        <v>3598</v>
      </c>
      <c r="B701" s="1" t="s">
        <v>5436</v>
      </c>
      <c r="C701" s="1" t="s">
        <v>3600</v>
      </c>
      <c r="D701" s="1" t="s">
        <v>3601</v>
      </c>
      <c r="E701" s="1"/>
      <c r="F701" s="1" t="s">
        <v>5443</v>
      </c>
      <c r="G701" s="1" t="s">
        <v>5444</v>
      </c>
      <c r="H701" s="1" t="s">
        <v>3604</v>
      </c>
      <c r="I701" s="1" t="s">
        <v>5445</v>
      </c>
      <c r="J701" s="1" t="s">
        <v>3606</v>
      </c>
      <c r="K701" s="1"/>
      <c r="L701" s="1"/>
      <c r="M701" s="1"/>
    </row>
    <row x14ac:dyDescent="0.25" r="702" customHeight="1" ht="18.75">
      <c r="A702" s="1" t="s">
        <v>3598</v>
      </c>
      <c r="B702" s="1" t="s">
        <v>5436</v>
      </c>
      <c r="C702" s="1" t="s">
        <v>3600</v>
      </c>
      <c r="D702" s="1" t="s">
        <v>3601</v>
      </c>
      <c r="E702" s="1"/>
      <c r="F702" s="1" t="s">
        <v>5446</v>
      </c>
      <c r="G702" s="1" t="s">
        <v>5447</v>
      </c>
      <c r="H702" s="1" t="s">
        <v>3604</v>
      </c>
      <c r="I702" s="1" t="s">
        <v>5448</v>
      </c>
      <c r="J702" s="1" t="s">
        <v>3606</v>
      </c>
      <c r="K702" s="1"/>
      <c r="L702" s="1"/>
      <c r="M702" s="1"/>
    </row>
    <row x14ac:dyDescent="0.25" r="703" customHeight="1" ht="18.75">
      <c r="A703" s="1" t="s">
        <v>3598</v>
      </c>
      <c r="B703" s="1" t="s">
        <v>4627</v>
      </c>
      <c r="C703" s="1" t="s">
        <v>3600</v>
      </c>
      <c r="D703" s="1" t="s">
        <v>3601</v>
      </c>
      <c r="E703" s="1" t="s">
        <v>3752</v>
      </c>
      <c r="F703" s="1" t="s">
        <v>5449</v>
      </c>
      <c r="G703" s="1" t="s">
        <v>5450</v>
      </c>
      <c r="H703" s="1" t="s">
        <v>3604</v>
      </c>
      <c r="I703" s="1" t="s">
        <v>5451</v>
      </c>
      <c r="J703" s="1" t="s">
        <v>3615</v>
      </c>
      <c r="K703" s="1"/>
      <c r="L703" s="1"/>
      <c r="M703" s="1"/>
    </row>
    <row x14ac:dyDescent="0.25" r="704" customHeight="1" ht="18.75">
      <c r="A704" s="1" t="s">
        <v>3598</v>
      </c>
      <c r="B704" s="1" t="s">
        <v>4627</v>
      </c>
      <c r="C704" s="1" t="s">
        <v>3600</v>
      </c>
      <c r="D704" s="1" t="s">
        <v>3601</v>
      </c>
      <c r="E704" s="1" t="s">
        <v>3752</v>
      </c>
      <c r="F704" s="1" t="s">
        <v>5452</v>
      </c>
      <c r="G704" s="1" t="s">
        <v>5453</v>
      </c>
      <c r="H704" s="1" t="s">
        <v>3604</v>
      </c>
      <c r="I704" s="1" t="s">
        <v>5454</v>
      </c>
      <c r="J704" s="1" t="s">
        <v>3615</v>
      </c>
      <c r="K704" s="1"/>
      <c r="L704" s="1"/>
      <c r="M704" s="1"/>
    </row>
    <row x14ac:dyDescent="0.25" r="705" customHeight="1" ht="18.75">
      <c r="A705" s="1" t="s">
        <v>3598</v>
      </c>
      <c r="B705" s="1" t="s">
        <v>4627</v>
      </c>
      <c r="C705" s="1" t="s">
        <v>3600</v>
      </c>
      <c r="D705" s="1" t="s">
        <v>3601</v>
      </c>
      <c r="E705" s="1" t="s">
        <v>3752</v>
      </c>
      <c r="F705" s="1" t="s">
        <v>5455</v>
      </c>
      <c r="G705" s="1" t="s">
        <v>5431</v>
      </c>
      <c r="H705" s="1" t="s">
        <v>3604</v>
      </c>
      <c r="I705" s="1" t="s">
        <v>5456</v>
      </c>
      <c r="J705" s="1" t="s">
        <v>3615</v>
      </c>
      <c r="K705" s="1"/>
      <c r="L705" s="1"/>
      <c r="M705" s="1"/>
    </row>
    <row x14ac:dyDescent="0.25" r="706" customHeight="1" ht="18.75">
      <c r="A706" s="1" t="s">
        <v>3598</v>
      </c>
      <c r="B706" s="1" t="s">
        <v>4627</v>
      </c>
      <c r="C706" s="1" t="s">
        <v>3600</v>
      </c>
      <c r="D706" s="1" t="s">
        <v>3601</v>
      </c>
      <c r="E706" s="1" t="s">
        <v>3752</v>
      </c>
      <c r="F706" s="1" t="s">
        <v>5457</v>
      </c>
      <c r="G706" s="1" t="s">
        <v>5458</v>
      </c>
      <c r="H706" s="1" t="s">
        <v>3604</v>
      </c>
      <c r="I706" s="1" t="s">
        <v>5459</v>
      </c>
      <c r="J706" s="1" t="s">
        <v>3615</v>
      </c>
      <c r="K706" s="1"/>
      <c r="L706" s="1"/>
      <c r="M706" s="1"/>
    </row>
    <row x14ac:dyDescent="0.25" r="707" customHeight="1" ht="18.75">
      <c r="A707" s="1" t="s">
        <v>3598</v>
      </c>
      <c r="B707" s="1" t="s">
        <v>5460</v>
      </c>
      <c r="C707" s="1" t="s">
        <v>3600</v>
      </c>
      <c r="D707" s="1" t="s">
        <v>3601</v>
      </c>
      <c r="E707" s="1"/>
      <c r="F707" s="1" t="s">
        <v>5461</v>
      </c>
      <c r="G707" s="1" t="s">
        <v>5462</v>
      </c>
      <c r="H707" s="1" t="s">
        <v>3604</v>
      </c>
      <c r="I707" s="1" t="s">
        <v>5463</v>
      </c>
      <c r="J707" s="1" t="s">
        <v>3606</v>
      </c>
      <c r="K707" s="1"/>
      <c r="L707" s="1"/>
      <c r="M707" s="1"/>
    </row>
    <row x14ac:dyDescent="0.25" r="708" customHeight="1" ht="18.75">
      <c r="A708" s="1" t="s">
        <v>3598</v>
      </c>
      <c r="B708" s="1" t="s">
        <v>5460</v>
      </c>
      <c r="C708" s="1" t="s">
        <v>3600</v>
      </c>
      <c r="D708" s="1" t="s">
        <v>3601</v>
      </c>
      <c r="E708" s="1"/>
      <c r="F708" s="1" t="s">
        <v>5464</v>
      </c>
      <c r="G708" s="1" t="s">
        <v>5465</v>
      </c>
      <c r="H708" s="1" t="s">
        <v>3604</v>
      </c>
      <c r="I708" s="1" t="s">
        <v>5466</v>
      </c>
      <c r="J708" s="1" t="s">
        <v>3606</v>
      </c>
      <c r="K708" s="1"/>
      <c r="L708" s="1"/>
      <c r="M708" s="1"/>
    </row>
    <row x14ac:dyDescent="0.25" r="709" customHeight="1" ht="18.75">
      <c r="A709" s="1" t="s">
        <v>3617</v>
      </c>
      <c r="B709" s="1" t="s">
        <v>5467</v>
      </c>
      <c r="C709" s="1"/>
      <c r="D709" s="1" t="s">
        <v>3601</v>
      </c>
      <c r="E709" s="1"/>
      <c r="F709" s="1" t="s">
        <v>5468</v>
      </c>
      <c r="G709" s="1" t="s">
        <v>5469</v>
      </c>
      <c r="H709" s="1" t="s">
        <v>3604</v>
      </c>
      <c r="I709" s="1" t="s">
        <v>5470</v>
      </c>
      <c r="J709" s="1" t="s">
        <v>3606</v>
      </c>
      <c r="K709" s="1"/>
      <c r="L709" s="1"/>
      <c r="M709" s="1"/>
    </row>
    <row x14ac:dyDescent="0.25" r="710" customHeight="1" ht="18.75">
      <c r="A710" s="1" t="s">
        <v>3617</v>
      </c>
      <c r="B710" s="1" t="s">
        <v>5467</v>
      </c>
      <c r="C710" s="1"/>
      <c r="D710" s="1" t="s">
        <v>3601</v>
      </c>
      <c r="E710" s="1"/>
      <c r="F710" s="1" t="s">
        <v>5471</v>
      </c>
      <c r="G710" s="1" t="s">
        <v>5472</v>
      </c>
      <c r="H710" s="1" t="s">
        <v>3604</v>
      </c>
      <c r="I710" s="1" t="s">
        <v>5473</v>
      </c>
      <c r="J710" s="1" t="s">
        <v>3606</v>
      </c>
      <c r="K710" s="1"/>
      <c r="L710" s="1"/>
      <c r="M710" s="1"/>
    </row>
    <row x14ac:dyDescent="0.25" r="711" customHeight="1" ht="18.75">
      <c r="A711" s="1" t="s">
        <v>3617</v>
      </c>
      <c r="B711" s="1" t="s">
        <v>5467</v>
      </c>
      <c r="C711" s="1"/>
      <c r="D711" s="1" t="s">
        <v>3601</v>
      </c>
      <c r="E711" s="1"/>
      <c r="F711" s="1" t="s">
        <v>5474</v>
      </c>
      <c r="G711" s="1" t="s">
        <v>5475</v>
      </c>
      <c r="H711" s="1" t="s">
        <v>3604</v>
      </c>
      <c r="I711" s="1" t="s">
        <v>5476</v>
      </c>
      <c r="J711" s="1" t="s">
        <v>3606</v>
      </c>
      <c r="K711" s="1"/>
      <c r="L711" s="1"/>
      <c r="M711" s="1"/>
    </row>
    <row x14ac:dyDescent="0.25" r="712" customHeight="1" ht="18.75">
      <c r="A712" s="1" t="s">
        <v>3617</v>
      </c>
      <c r="B712" s="1" t="s">
        <v>5477</v>
      </c>
      <c r="C712" s="1"/>
      <c r="D712" s="1" t="s">
        <v>3601</v>
      </c>
      <c r="E712" s="1"/>
      <c r="F712" s="1" t="s">
        <v>5478</v>
      </c>
      <c r="G712" s="1"/>
      <c r="H712" s="1" t="s">
        <v>3604</v>
      </c>
      <c r="I712" s="1" t="s">
        <v>5479</v>
      </c>
      <c r="J712" s="1" t="s">
        <v>3606</v>
      </c>
      <c r="K712" s="1"/>
      <c r="L712" s="1"/>
      <c r="M712" s="1"/>
    </row>
    <row x14ac:dyDescent="0.25" r="713" customHeight="1" ht="18.75">
      <c r="A713" s="1" t="s">
        <v>3617</v>
      </c>
      <c r="B713" s="1" t="s">
        <v>5467</v>
      </c>
      <c r="C713" s="1"/>
      <c r="D713" s="1" t="s">
        <v>3601</v>
      </c>
      <c r="E713" s="1"/>
      <c r="F713" s="1" t="s">
        <v>5480</v>
      </c>
      <c r="G713" s="1" t="s">
        <v>5481</v>
      </c>
      <c r="H713" s="1" t="s">
        <v>3604</v>
      </c>
      <c r="I713" s="1" t="s">
        <v>5482</v>
      </c>
      <c r="J713" s="1" t="s">
        <v>3606</v>
      </c>
      <c r="K713" s="1"/>
      <c r="L713" s="1"/>
      <c r="M713" s="1"/>
    </row>
    <row x14ac:dyDescent="0.25" r="714" customHeight="1" ht="18.75">
      <c r="A714" s="1" t="s">
        <v>3617</v>
      </c>
      <c r="B714" s="1" t="s">
        <v>5467</v>
      </c>
      <c r="C714" s="1"/>
      <c r="D714" s="1" t="s">
        <v>3601</v>
      </c>
      <c r="E714" s="1"/>
      <c r="F714" s="1" t="s">
        <v>5483</v>
      </c>
      <c r="G714" s="1" t="s">
        <v>5484</v>
      </c>
      <c r="H714" s="1" t="s">
        <v>3604</v>
      </c>
      <c r="I714" s="1" t="s">
        <v>5485</v>
      </c>
      <c r="J714" s="1" t="s">
        <v>3606</v>
      </c>
      <c r="K714" s="1"/>
      <c r="L714" s="1"/>
      <c r="M714" s="1"/>
    </row>
    <row x14ac:dyDescent="0.25" r="715" customHeight="1" ht="18.75">
      <c r="A715" s="1" t="s">
        <v>3693</v>
      </c>
      <c r="B715" s="1" t="s">
        <v>3957</v>
      </c>
      <c r="C715" s="1" t="s">
        <v>3600</v>
      </c>
      <c r="D715" s="1" t="s">
        <v>3601</v>
      </c>
      <c r="E715" s="1" t="s">
        <v>3664</v>
      </c>
      <c r="F715" s="1" t="s">
        <v>5486</v>
      </c>
      <c r="G715" s="1" t="s">
        <v>4241</v>
      </c>
      <c r="H715" s="1" t="s">
        <v>3604</v>
      </c>
      <c r="I715" s="1" t="s">
        <v>5487</v>
      </c>
      <c r="J715" s="1" t="s">
        <v>3615</v>
      </c>
      <c r="K715" s="1"/>
      <c r="L715" s="1"/>
      <c r="M715" s="1"/>
    </row>
    <row x14ac:dyDescent="0.25" r="716" customHeight="1" ht="18.75">
      <c r="A716" s="1" t="s">
        <v>3617</v>
      </c>
      <c r="B716" s="1" t="s">
        <v>5488</v>
      </c>
      <c r="C716" s="1"/>
      <c r="D716" s="1" t="s">
        <v>3601</v>
      </c>
      <c r="E716" s="1"/>
      <c r="F716" s="1" t="s">
        <v>5489</v>
      </c>
      <c r="G716" s="1"/>
      <c r="H716" s="1" t="s">
        <v>3604</v>
      </c>
      <c r="I716" s="1" t="s">
        <v>5490</v>
      </c>
      <c r="J716" s="1" t="s">
        <v>3606</v>
      </c>
      <c r="K716" s="1"/>
      <c r="L716" s="1"/>
      <c r="M716" s="1"/>
    </row>
    <row x14ac:dyDescent="0.25" r="717" customHeight="1" ht="18.75">
      <c r="A717" s="1" t="s">
        <v>3617</v>
      </c>
      <c r="B717" s="1" t="s">
        <v>3903</v>
      </c>
      <c r="C717" s="1" t="s">
        <v>3619</v>
      </c>
      <c r="D717" s="1" t="s">
        <v>3601</v>
      </c>
      <c r="E717" s="1" t="s">
        <v>3893</v>
      </c>
      <c r="F717" s="1" t="s">
        <v>5491</v>
      </c>
      <c r="G717" s="1" t="s">
        <v>3613</v>
      </c>
      <c r="H717" s="1" t="s">
        <v>3604</v>
      </c>
      <c r="I717" s="1" t="s">
        <v>5492</v>
      </c>
      <c r="J717" s="1" t="s">
        <v>3606</v>
      </c>
      <c r="K717" s="1"/>
      <c r="L717" s="1"/>
      <c r="M717" s="1"/>
    </row>
    <row x14ac:dyDescent="0.25" r="718" customHeight="1" ht="18.75">
      <c r="A718" s="1" t="s">
        <v>3617</v>
      </c>
      <c r="B718" s="1" t="s">
        <v>5467</v>
      </c>
      <c r="C718" s="1"/>
      <c r="D718" s="1" t="s">
        <v>3601</v>
      </c>
      <c r="E718" s="1"/>
      <c r="F718" s="1" t="s">
        <v>5493</v>
      </c>
      <c r="G718" s="1" t="s">
        <v>5494</v>
      </c>
      <c r="H718" s="1" t="s">
        <v>3604</v>
      </c>
      <c r="I718" s="1" t="s">
        <v>5495</v>
      </c>
      <c r="J718" s="1" t="s">
        <v>3606</v>
      </c>
      <c r="K718" s="1"/>
      <c r="L718" s="1"/>
      <c r="M718" s="1"/>
    </row>
    <row x14ac:dyDescent="0.25" r="719" customHeight="1" ht="18.75">
      <c r="A719" s="1" t="s">
        <v>5496</v>
      </c>
      <c r="B719" s="1" t="s">
        <v>4477</v>
      </c>
      <c r="C719" s="1" t="s">
        <v>3619</v>
      </c>
      <c r="D719" s="1" t="s">
        <v>3601</v>
      </c>
      <c r="E719" s="1" t="s">
        <v>4478</v>
      </c>
      <c r="F719" s="1" t="s">
        <v>5497</v>
      </c>
      <c r="G719" s="1" t="s">
        <v>5498</v>
      </c>
      <c r="H719" s="1" t="s">
        <v>3604</v>
      </c>
      <c r="I719" s="1" t="s">
        <v>5499</v>
      </c>
      <c r="J719" s="1" t="s">
        <v>3606</v>
      </c>
      <c r="K719" s="1"/>
      <c r="L719" s="1"/>
      <c r="M719" s="1"/>
    </row>
    <row x14ac:dyDescent="0.25" r="720" customHeight="1" ht="18.75">
      <c r="A720" s="1" t="s">
        <v>3598</v>
      </c>
      <c r="B720" s="1" t="s">
        <v>5260</v>
      </c>
      <c r="C720" s="1" t="s">
        <v>3600</v>
      </c>
      <c r="D720" s="1" t="s">
        <v>3601</v>
      </c>
      <c r="E720" s="1" t="s">
        <v>3664</v>
      </c>
      <c r="F720" s="1" t="s">
        <v>5500</v>
      </c>
      <c r="G720" s="1" t="s">
        <v>5501</v>
      </c>
      <c r="H720" s="1" t="s">
        <v>3604</v>
      </c>
      <c r="I720" s="1" t="s">
        <v>5502</v>
      </c>
      <c r="J720" s="1" t="s">
        <v>3615</v>
      </c>
      <c r="K720" s="1"/>
      <c r="L720" s="1"/>
      <c r="M720" s="1"/>
    </row>
    <row x14ac:dyDescent="0.25" r="721" customHeight="1" ht="18.75">
      <c r="A721" s="1" t="s">
        <v>3598</v>
      </c>
      <c r="B721" s="1" t="s">
        <v>5503</v>
      </c>
      <c r="C721" s="1" t="s">
        <v>3600</v>
      </c>
      <c r="D721" s="1" t="s">
        <v>3601</v>
      </c>
      <c r="E721" s="1"/>
      <c r="F721" s="1" t="s">
        <v>5504</v>
      </c>
      <c r="G721" s="1" t="s">
        <v>5505</v>
      </c>
      <c r="H721" s="1" t="s">
        <v>3604</v>
      </c>
      <c r="I721" s="1" t="s">
        <v>5506</v>
      </c>
      <c r="J721" s="1" t="s">
        <v>3606</v>
      </c>
      <c r="K721" s="1"/>
      <c r="L721" s="1"/>
      <c r="M721" s="1"/>
    </row>
    <row x14ac:dyDescent="0.25" r="722" customHeight="1" ht="18.75">
      <c r="A722" s="1" t="s">
        <v>3617</v>
      </c>
      <c r="B722" s="1" t="s">
        <v>3729</v>
      </c>
      <c r="C722" s="1" t="s">
        <v>3619</v>
      </c>
      <c r="D722" s="1" t="s">
        <v>3601</v>
      </c>
      <c r="E722" s="1" t="s">
        <v>3730</v>
      </c>
      <c r="F722" s="1" t="s">
        <v>5507</v>
      </c>
      <c r="G722" s="1" t="s">
        <v>5508</v>
      </c>
      <c r="H722" s="1" t="s">
        <v>3604</v>
      </c>
      <c r="I722" s="1" t="s">
        <v>5509</v>
      </c>
      <c r="J722" s="1" t="s">
        <v>3606</v>
      </c>
      <c r="K722" s="1"/>
      <c r="L722" s="1"/>
      <c r="M722" s="1"/>
    </row>
    <row x14ac:dyDescent="0.25" r="723" customHeight="1" ht="18.75">
      <c r="A723" s="1" t="s">
        <v>3617</v>
      </c>
      <c r="B723" s="1" t="s">
        <v>3729</v>
      </c>
      <c r="C723" s="1" t="s">
        <v>3619</v>
      </c>
      <c r="D723" s="1" t="s">
        <v>3601</v>
      </c>
      <c r="E723" s="1" t="s">
        <v>3730</v>
      </c>
      <c r="F723" s="1" t="s">
        <v>5510</v>
      </c>
      <c r="G723" s="1" t="s">
        <v>5508</v>
      </c>
      <c r="H723" s="1" t="s">
        <v>3604</v>
      </c>
      <c r="I723" s="1" t="s">
        <v>5511</v>
      </c>
      <c r="J723" s="1" t="s">
        <v>3606</v>
      </c>
      <c r="K723" s="1"/>
      <c r="L723" s="1"/>
      <c r="M723" s="1"/>
    </row>
    <row x14ac:dyDescent="0.25" r="724" customHeight="1" ht="18.75">
      <c r="A724" s="1" t="s">
        <v>3617</v>
      </c>
      <c r="B724" s="1" t="s">
        <v>3729</v>
      </c>
      <c r="C724" s="1" t="s">
        <v>3619</v>
      </c>
      <c r="D724" s="1" t="s">
        <v>3601</v>
      </c>
      <c r="E724" s="1" t="s">
        <v>3730</v>
      </c>
      <c r="F724" s="1" t="s">
        <v>5512</v>
      </c>
      <c r="G724" s="1" t="s">
        <v>5513</v>
      </c>
      <c r="H724" s="1" t="s">
        <v>3604</v>
      </c>
      <c r="I724" s="1" t="s">
        <v>5514</v>
      </c>
      <c r="J724" s="1" t="s">
        <v>3606</v>
      </c>
      <c r="K724" s="1"/>
      <c r="L724" s="1"/>
      <c r="M724" s="1"/>
    </row>
    <row x14ac:dyDescent="0.25" r="725" customHeight="1" ht="18.75">
      <c r="A725" s="1" t="s">
        <v>3617</v>
      </c>
      <c r="B725" s="1" t="s">
        <v>5515</v>
      </c>
      <c r="C725" s="1" t="s">
        <v>3619</v>
      </c>
      <c r="D725" s="1" t="s">
        <v>3601</v>
      </c>
      <c r="E725" s="1" t="s">
        <v>3893</v>
      </c>
      <c r="F725" s="1" t="s">
        <v>5516</v>
      </c>
      <c r="G725" s="1" t="s">
        <v>5517</v>
      </c>
      <c r="H725" s="1" t="s">
        <v>3604</v>
      </c>
      <c r="I725" s="1" t="s">
        <v>5518</v>
      </c>
      <c r="J725" s="1" t="s">
        <v>3606</v>
      </c>
      <c r="K725" s="1"/>
      <c r="L725" s="1"/>
      <c r="M725" s="1"/>
    </row>
    <row x14ac:dyDescent="0.25" r="726" customHeight="1" ht="18.75">
      <c r="A726" s="1" t="s">
        <v>3617</v>
      </c>
      <c r="B726" s="1" t="s">
        <v>5515</v>
      </c>
      <c r="C726" s="1" t="s">
        <v>3619</v>
      </c>
      <c r="D726" s="1" t="s">
        <v>3601</v>
      </c>
      <c r="E726" s="1" t="s">
        <v>3893</v>
      </c>
      <c r="F726" s="1" t="s">
        <v>5519</v>
      </c>
      <c r="G726" s="1" t="s">
        <v>5517</v>
      </c>
      <c r="H726" s="1" t="s">
        <v>3604</v>
      </c>
      <c r="I726" s="1" t="s">
        <v>5520</v>
      </c>
      <c r="J726" s="1" t="s">
        <v>3606</v>
      </c>
      <c r="K726" s="1"/>
      <c r="L726" s="1"/>
      <c r="M726" s="1"/>
    </row>
    <row x14ac:dyDescent="0.25" r="727" customHeight="1" ht="18.75">
      <c r="A727" s="1" t="s">
        <v>3617</v>
      </c>
      <c r="B727" s="1" t="s">
        <v>5515</v>
      </c>
      <c r="C727" s="1" t="s">
        <v>3619</v>
      </c>
      <c r="D727" s="1" t="s">
        <v>3601</v>
      </c>
      <c r="E727" s="1" t="s">
        <v>3893</v>
      </c>
      <c r="F727" s="1" t="s">
        <v>5521</v>
      </c>
      <c r="G727" s="1" t="s">
        <v>5522</v>
      </c>
      <c r="H727" s="1" t="s">
        <v>3604</v>
      </c>
      <c r="I727" s="1" t="s">
        <v>5523</v>
      </c>
      <c r="J727" s="1" t="s">
        <v>3606</v>
      </c>
      <c r="K727" s="1"/>
      <c r="L727" s="1"/>
      <c r="M727" s="1"/>
    </row>
    <row x14ac:dyDescent="0.25" r="728" customHeight="1" ht="18.75">
      <c r="A728" s="1" t="s">
        <v>3617</v>
      </c>
      <c r="B728" s="1" t="s">
        <v>5515</v>
      </c>
      <c r="C728" s="1" t="s">
        <v>3619</v>
      </c>
      <c r="D728" s="1" t="s">
        <v>3601</v>
      </c>
      <c r="E728" s="1" t="s">
        <v>3893</v>
      </c>
      <c r="F728" s="1" t="s">
        <v>5524</v>
      </c>
      <c r="G728" s="1" t="s">
        <v>5522</v>
      </c>
      <c r="H728" s="1" t="s">
        <v>3604</v>
      </c>
      <c r="I728" s="1" t="s">
        <v>5525</v>
      </c>
      <c r="J728" s="1" t="s">
        <v>3606</v>
      </c>
      <c r="K728" s="1"/>
      <c r="L728" s="1"/>
      <c r="M728" s="1"/>
    </row>
    <row x14ac:dyDescent="0.25" r="729" customHeight="1" ht="18.75">
      <c r="A729" s="1" t="s">
        <v>3617</v>
      </c>
      <c r="B729" s="1" t="s">
        <v>5515</v>
      </c>
      <c r="C729" s="1" t="s">
        <v>3619</v>
      </c>
      <c r="D729" s="1" t="s">
        <v>3601</v>
      </c>
      <c r="E729" s="1" t="s">
        <v>3893</v>
      </c>
      <c r="F729" s="1" t="s">
        <v>5526</v>
      </c>
      <c r="G729" s="1" t="s">
        <v>5517</v>
      </c>
      <c r="H729" s="1" t="s">
        <v>3604</v>
      </c>
      <c r="I729" s="1" t="s">
        <v>5527</v>
      </c>
      <c r="J729" s="1" t="s">
        <v>3606</v>
      </c>
      <c r="K729" s="1"/>
      <c r="L729" s="1"/>
      <c r="M729" s="1"/>
    </row>
    <row x14ac:dyDescent="0.25" r="730" customHeight="1" ht="18.75">
      <c r="A730" s="1" t="s">
        <v>3617</v>
      </c>
      <c r="B730" s="1" t="s">
        <v>5515</v>
      </c>
      <c r="C730" s="1" t="s">
        <v>3619</v>
      </c>
      <c r="D730" s="1" t="s">
        <v>3601</v>
      </c>
      <c r="E730" s="1" t="s">
        <v>3893</v>
      </c>
      <c r="F730" s="1" t="s">
        <v>5528</v>
      </c>
      <c r="G730" s="1" t="s">
        <v>5522</v>
      </c>
      <c r="H730" s="1" t="s">
        <v>3604</v>
      </c>
      <c r="I730" s="1" t="s">
        <v>5529</v>
      </c>
      <c r="J730" s="1" t="s">
        <v>3606</v>
      </c>
      <c r="K730" s="1"/>
      <c r="L730" s="1"/>
      <c r="M730" s="1"/>
    </row>
    <row x14ac:dyDescent="0.25" r="731" customHeight="1" ht="18.75">
      <c r="A731" s="1" t="s">
        <v>3617</v>
      </c>
      <c r="B731" s="1" t="s">
        <v>3877</v>
      </c>
      <c r="C731" s="1" t="s">
        <v>3619</v>
      </c>
      <c r="D731" s="1" t="s">
        <v>3601</v>
      </c>
      <c r="E731" s="1"/>
      <c r="F731" s="1" t="s">
        <v>5530</v>
      </c>
      <c r="G731" s="1" t="s">
        <v>5103</v>
      </c>
      <c r="H731" s="1" t="s">
        <v>3604</v>
      </c>
      <c r="I731" s="1" t="s">
        <v>5531</v>
      </c>
      <c r="J731" s="1" t="s">
        <v>3606</v>
      </c>
      <c r="K731" s="1"/>
      <c r="L731" s="1"/>
      <c r="M731" s="1"/>
    </row>
    <row x14ac:dyDescent="0.25" r="732" customHeight="1" ht="18.75">
      <c r="A732" s="1" t="s">
        <v>3617</v>
      </c>
      <c r="B732" s="1" t="s">
        <v>3877</v>
      </c>
      <c r="C732" s="1" t="s">
        <v>3619</v>
      </c>
      <c r="D732" s="1" t="s">
        <v>3601</v>
      </c>
      <c r="E732" s="1"/>
      <c r="F732" s="1" t="s">
        <v>5532</v>
      </c>
      <c r="G732" s="1" t="s">
        <v>5103</v>
      </c>
      <c r="H732" s="1" t="s">
        <v>3604</v>
      </c>
      <c r="I732" s="1" t="s">
        <v>5533</v>
      </c>
      <c r="J732" s="1" t="s">
        <v>3606</v>
      </c>
      <c r="K732" s="1"/>
      <c r="L732" s="1"/>
      <c r="M732" s="1"/>
    </row>
    <row x14ac:dyDescent="0.25" r="733" customHeight="1" ht="18.75">
      <c r="A733" s="1" t="s">
        <v>3617</v>
      </c>
      <c r="B733" s="1" t="s">
        <v>3877</v>
      </c>
      <c r="C733" s="1" t="s">
        <v>3619</v>
      </c>
      <c r="D733" s="1" t="s">
        <v>3601</v>
      </c>
      <c r="E733" s="1"/>
      <c r="F733" s="1" t="s">
        <v>5534</v>
      </c>
      <c r="G733" s="1" t="s">
        <v>5103</v>
      </c>
      <c r="H733" s="1" t="s">
        <v>3604</v>
      </c>
      <c r="I733" s="1" t="s">
        <v>5535</v>
      </c>
      <c r="J733" s="1" t="s">
        <v>3606</v>
      </c>
      <c r="K733" s="1"/>
      <c r="L733" s="1"/>
      <c r="M733" s="1"/>
    </row>
    <row x14ac:dyDescent="0.25" r="734" customHeight="1" ht="18.75">
      <c r="A734" s="1" t="s">
        <v>3617</v>
      </c>
      <c r="B734" s="1" t="s">
        <v>3877</v>
      </c>
      <c r="C734" s="1" t="s">
        <v>3619</v>
      </c>
      <c r="D734" s="1" t="s">
        <v>3601</v>
      </c>
      <c r="E734" s="1"/>
      <c r="F734" s="1" t="s">
        <v>5536</v>
      </c>
      <c r="G734" s="1" t="s">
        <v>5100</v>
      </c>
      <c r="H734" s="1" t="s">
        <v>3604</v>
      </c>
      <c r="I734" s="1" t="s">
        <v>5537</v>
      </c>
      <c r="J734" s="1" t="s">
        <v>3606</v>
      </c>
      <c r="K734" s="1"/>
      <c r="L734" s="1"/>
      <c r="M734" s="1"/>
    </row>
    <row x14ac:dyDescent="0.25" r="735" customHeight="1" ht="18.75">
      <c r="A735" s="1" t="s">
        <v>3617</v>
      </c>
      <c r="B735" s="1" t="s">
        <v>3877</v>
      </c>
      <c r="C735" s="1" t="s">
        <v>3619</v>
      </c>
      <c r="D735" s="1" t="s">
        <v>3601</v>
      </c>
      <c r="E735" s="1"/>
      <c r="F735" s="1" t="s">
        <v>5538</v>
      </c>
      <c r="G735" s="1" t="s">
        <v>5100</v>
      </c>
      <c r="H735" s="1" t="s">
        <v>3604</v>
      </c>
      <c r="I735" s="1" t="s">
        <v>5539</v>
      </c>
      <c r="J735" s="1" t="s">
        <v>3606</v>
      </c>
      <c r="K735" s="1"/>
      <c r="L735" s="1"/>
      <c r="M735" s="1"/>
    </row>
    <row x14ac:dyDescent="0.25" r="736" customHeight="1" ht="18.75">
      <c r="A736" s="1" t="s">
        <v>3617</v>
      </c>
      <c r="B736" s="1" t="s">
        <v>3877</v>
      </c>
      <c r="C736" s="1" t="s">
        <v>3619</v>
      </c>
      <c r="D736" s="1" t="s">
        <v>3601</v>
      </c>
      <c r="E736" s="1"/>
      <c r="F736" s="1" t="s">
        <v>5540</v>
      </c>
      <c r="G736" s="1" t="s">
        <v>5100</v>
      </c>
      <c r="H736" s="1" t="s">
        <v>3604</v>
      </c>
      <c r="I736" s="1" t="s">
        <v>5541</v>
      </c>
      <c r="J736" s="1" t="s">
        <v>3606</v>
      </c>
      <c r="K736" s="1"/>
      <c r="L736" s="1"/>
      <c r="M736" s="1"/>
    </row>
    <row x14ac:dyDescent="0.25" r="737" customHeight="1" ht="18.75">
      <c r="A737" s="1" t="s">
        <v>3617</v>
      </c>
      <c r="B737" s="1" t="s">
        <v>3877</v>
      </c>
      <c r="C737" s="1" t="s">
        <v>3619</v>
      </c>
      <c r="D737" s="1" t="s">
        <v>3601</v>
      </c>
      <c r="E737" s="1"/>
      <c r="F737" s="1" t="s">
        <v>5542</v>
      </c>
      <c r="G737" s="1" t="s">
        <v>5100</v>
      </c>
      <c r="H737" s="1" t="s">
        <v>3604</v>
      </c>
      <c r="I737" s="1" t="s">
        <v>5543</v>
      </c>
      <c r="J737" s="1" t="s">
        <v>3606</v>
      </c>
      <c r="K737" s="1"/>
      <c r="L737" s="1"/>
      <c r="M737" s="1"/>
    </row>
    <row x14ac:dyDescent="0.25" r="738" customHeight="1" ht="18.75">
      <c r="A738" s="1" t="s">
        <v>3617</v>
      </c>
      <c r="B738" s="1" t="s">
        <v>5544</v>
      </c>
      <c r="C738" s="1" t="s">
        <v>3619</v>
      </c>
      <c r="D738" s="1" t="s">
        <v>3601</v>
      </c>
      <c r="E738" s="1" t="s">
        <v>3893</v>
      </c>
      <c r="F738" s="1" t="s">
        <v>5545</v>
      </c>
      <c r="G738" s="1" t="s">
        <v>5546</v>
      </c>
      <c r="H738" s="1" t="s">
        <v>3604</v>
      </c>
      <c r="I738" s="1" t="s">
        <v>5547</v>
      </c>
      <c r="J738" s="1" t="s">
        <v>3606</v>
      </c>
      <c r="K738" s="1"/>
      <c r="L738" s="1"/>
      <c r="M738" s="1"/>
    </row>
    <row x14ac:dyDescent="0.25" r="739" customHeight="1" ht="18.75">
      <c r="A739" s="1" t="s">
        <v>3617</v>
      </c>
      <c r="B739" s="1" t="s">
        <v>5544</v>
      </c>
      <c r="C739" s="1" t="s">
        <v>3619</v>
      </c>
      <c r="D739" s="1" t="s">
        <v>3601</v>
      </c>
      <c r="E739" s="1" t="s">
        <v>3893</v>
      </c>
      <c r="F739" s="1" t="s">
        <v>5548</v>
      </c>
      <c r="G739" s="1" t="s">
        <v>5546</v>
      </c>
      <c r="H739" s="1" t="s">
        <v>3604</v>
      </c>
      <c r="I739" s="1" t="s">
        <v>5549</v>
      </c>
      <c r="J739" s="1" t="s">
        <v>3606</v>
      </c>
      <c r="K739" s="1"/>
      <c r="L739" s="1"/>
      <c r="M739" s="1"/>
    </row>
    <row x14ac:dyDescent="0.25" r="740" customHeight="1" ht="18.75">
      <c r="A740" s="1" t="s">
        <v>3617</v>
      </c>
      <c r="B740" s="1" t="s">
        <v>5550</v>
      </c>
      <c r="C740" s="1" t="s">
        <v>3619</v>
      </c>
      <c r="D740" s="1" t="s">
        <v>3601</v>
      </c>
      <c r="E740" s="1"/>
      <c r="F740" s="1" t="s">
        <v>5551</v>
      </c>
      <c r="G740" s="1" t="s">
        <v>5552</v>
      </c>
      <c r="H740" s="1" t="s">
        <v>3604</v>
      </c>
      <c r="I740" s="1" t="s">
        <v>5553</v>
      </c>
      <c r="J740" s="1" t="s">
        <v>3606</v>
      </c>
      <c r="K740" s="1"/>
      <c r="L740" s="1"/>
      <c r="M740" s="1"/>
    </row>
    <row x14ac:dyDescent="0.25" r="741" customHeight="1" ht="18.75">
      <c r="A741" s="1" t="s">
        <v>3617</v>
      </c>
      <c r="B741" s="1" t="s">
        <v>5544</v>
      </c>
      <c r="C741" s="1" t="s">
        <v>3619</v>
      </c>
      <c r="D741" s="1" t="s">
        <v>3601</v>
      </c>
      <c r="E741" s="1" t="s">
        <v>3893</v>
      </c>
      <c r="F741" s="1" t="s">
        <v>5554</v>
      </c>
      <c r="G741" s="1" t="s">
        <v>5546</v>
      </c>
      <c r="H741" s="1" t="s">
        <v>3604</v>
      </c>
      <c r="I741" s="1" t="s">
        <v>5555</v>
      </c>
      <c r="J741" s="1" t="s">
        <v>3606</v>
      </c>
      <c r="K741" s="1"/>
      <c r="L741" s="1"/>
      <c r="M741" s="1"/>
    </row>
    <row x14ac:dyDescent="0.25" r="742" customHeight="1" ht="18.75">
      <c r="A742" s="1" t="s">
        <v>3617</v>
      </c>
      <c r="B742" s="1" t="s">
        <v>5550</v>
      </c>
      <c r="C742" s="1" t="s">
        <v>3619</v>
      </c>
      <c r="D742" s="1" t="s">
        <v>3601</v>
      </c>
      <c r="E742" s="1"/>
      <c r="F742" s="1" t="s">
        <v>5556</v>
      </c>
      <c r="G742" s="1" t="s">
        <v>5552</v>
      </c>
      <c r="H742" s="1" t="s">
        <v>3604</v>
      </c>
      <c r="I742" s="1" t="s">
        <v>5557</v>
      </c>
      <c r="J742" s="1" t="s">
        <v>3606</v>
      </c>
      <c r="K742" s="1"/>
      <c r="L742" s="1"/>
      <c r="M742" s="1"/>
    </row>
    <row x14ac:dyDescent="0.25" r="743" customHeight="1" ht="18.75">
      <c r="A743" s="1" t="s">
        <v>3617</v>
      </c>
      <c r="B743" s="1" t="s">
        <v>5550</v>
      </c>
      <c r="C743" s="1" t="s">
        <v>3619</v>
      </c>
      <c r="D743" s="1" t="s">
        <v>3601</v>
      </c>
      <c r="E743" s="1"/>
      <c r="F743" s="1" t="s">
        <v>5558</v>
      </c>
      <c r="G743" s="1" t="s">
        <v>5552</v>
      </c>
      <c r="H743" s="1" t="s">
        <v>3604</v>
      </c>
      <c r="I743" s="1" t="s">
        <v>5559</v>
      </c>
      <c r="J743" s="1" t="s">
        <v>3606</v>
      </c>
      <c r="K743" s="1"/>
      <c r="L743" s="1"/>
      <c r="M743" s="1"/>
    </row>
    <row x14ac:dyDescent="0.25" r="744" customHeight="1" ht="18.75">
      <c r="A744" s="1" t="s">
        <v>3617</v>
      </c>
      <c r="B744" s="1" t="s">
        <v>5544</v>
      </c>
      <c r="C744" s="1" t="s">
        <v>3619</v>
      </c>
      <c r="D744" s="1" t="s">
        <v>3601</v>
      </c>
      <c r="E744" s="1" t="s">
        <v>3893</v>
      </c>
      <c r="F744" s="1" t="s">
        <v>5560</v>
      </c>
      <c r="G744" s="1" t="s">
        <v>5561</v>
      </c>
      <c r="H744" s="1" t="s">
        <v>3604</v>
      </c>
      <c r="I744" s="1" t="s">
        <v>5562</v>
      </c>
      <c r="J744" s="1" t="s">
        <v>3606</v>
      </c>
      <c r="K744" s="1"/>
      <c r="L744" s="1"/>
      <c r="M744" s="1"/>
    </row>
    <row x14ac:dyDescent="0.25" r="745" customHeight="1" ht="18.75">
      <c r="A745" s="1" t="s">
        <v>3617</v>
      </c>
      <c r="B745" s="1" t="s">
        <v>5544</v>
      </c>
      <c r="C745" s="1" t="s">
        <v>3619</v>
      </c>
      <c r="D745" s="1" t="s">
        <v>3601</v>
      </c>
      <c r="E745" s="1" t="s">
        <v>3893</v>
      </c>
      <c r="F745" s="1" t="s">
        <v>5563</v>
      </c>
      <c r="G745" s="1" t="s">
        <v>5564</v>
      </c>
      <c r="H745" s="1" t="s">
        <v>3604</v>
      </c>
      <c r="I745" s="1" t="s">
        <v>5565</v>
      </c>
      <c r="J745" s="1" t="s">
        <v>3606</v>
      </c>
      <c r="K745" s="1"/>
      <c r="L745" s="1"/>
      <c r="M745" s="1"/>
    </row>
    <row x14ac:dyDescent="0.25" r="746" customHeight="1" ht="18.75">
      <c r="A746" s="1" t="s">
        <v>3617</v>
      </c>
      <c r="B746" s="1" t="s">
        <v>5544</v>
      </c>
      <c r="C746" s="1" t="s">
        <v>3619</v>
      </c>
      <c r="D746" s="1" t="s">
        <v>3601</v>
      </c>
      <c r="E746" s="1" t="s">
        <v>3893</v>
      </c>
      <c r="F746" s="1" t="s">
        <v>5566</v>
      </c>
      <c r="G746" s="1" t="s">
        <v>5564</v>
      </c>
      <c r="H746" s="1" t="s">
        <v>3604</v>
      </c>
      <c r="I746" s="1" t="s">
        <v>5567</v>
      </c>
      <c r="J746" s="1" t="s">
        <v>3606</v>
      </c>
      <c r="K746" s="1"/>
      <c r="L746" s="1"/>
      <c r="M746" s="1"/>
    </row>
    <row x14ac:dyDescent="0.25" r="747" customHeight="1" ht="18.75">
      <c r="A747" s="1" t="s">
        <v>3617</v>
      </c>
      <c r="B747" s="1" t="s">
        <v>5544</v>
      </c>
      <c r="C747" s="1" t="s">
        <v>3619</v>
      </c>
      <c r="D747" s="1" t="s">
        <v>3601</v>
      </c>
      <c r="E747" s="1" t="s">
        <v>3893</v>
      </c>
      <c r="F747" s="1" t="s">
        <v>5568</v>
      </c>
      <c r="G747" s="1" t="s">
        <v>5564</v>
      </c>
      <c r="H747" s="1" t="s">
        <v>3604</v>
      </c>
      <c r="I747" s="1" t="s">
        <v>5569</v>
      </c>
      <c r="J747" s="1" t="s">
        <v>3606</v>
      </c>
      <c r="K747" s="1"/>
      <c r="L747" s="1"/>
      <c r="M747" s="1"/>
    </row>
    <row x14ac:dyDescent="0.25" r="748" customHeight="1" ht="18.75">
      <c r="A748" s="1" t="s">
        <v>3617</v>
      </c>
      <c r="B748" s="1" t="s">
        <v>5570</v>
      </c>
      <c r="C748" s="1" t="s">
        <v>3619</v>
      </c>
      <c r="D748" s="1" t="s">
        <v>3601</v>
      </c>
      <c r="E748" s="1" t="s">
        <v>3893</v>
      </c>
      <c r="F748" s="1" t="s">
        <v>5571</v>
      </c>
      <c r="G748" s="1" t="s">
        <v>5572</v>
      </c>
      <c r="H748" s="1" t="s">
        <v>3604</v>
      </c>
      <c r="I748" s="1" t="s">
        <v>5573</v>
      </c>
      <c r="J748" s="1" t="s">
        <v>3606</v>
      </c>
      <c r="K748" s="1"/>
      <c r="L748" s="1"/>
      <c r="M748" s="1"/>
    </row>
    <row x14ac:dyDescent="0.25" r="749" customHeight="1" ht="18.75">
      <c r="A749" s="1" t="s">
        <v>3617</v>
      </c>
      <c r="B749" s="1" t="s">
        <v>5570</v>
      </c>
      <c r="C749" s="1" t="s">
        <v>3619</v>
      </c>
      <c r="D749" s="1" t="s">
        <v>3601</v>
      </c>
      <c r="E749" s="1" t="s">
        <v>3893</v>
      </c>
      <c r="F749" s="1" t="s">
        <v>5574</v>
      </c>
      <c r="G749" s="1" t="s">
        <v>5572</v>
      </c>
      <c r="H749" s="1" t="s">
        <v>3604</v>
      </c>
      <c r="I749" s="1" t="s">
        <v>5575</v>
      </c>
      <c r="J749" s="1" t="s">
        <v>3606</v>
      </c>
      <c r="K749" s="1"/>
      <c r="L749" s="1"/>
      <c r="M749" s="1"/>
    </row>
    <row x14ac:dyDescent="0.25" r="750" customHeight="1" ht="18.75">
      <c r="A750" s="1" t="s">
        <v>3617</v>
      </c>
      <c r="B750" s="1" t="s">
        <v>5570</v>
      </c>
      <c r="C750" s="1" t="s">
        <v>3619</v>
      </c>
      <c r="D750" s="1" t="s">
        <v>3601</v>
      </c>
      <c r="E750" s="1" t="s">
        <v>3893</v>
      </c>
      <c r="F750" s="1" t="s">
        <v>5576</v>
      </c>
      <c r="G750" s="1" t="s">
        <v>5572</v>
      </c>
      <c r="H750" s="1" t="s">
        <v>3604</v>
      </c>
      <c r="I750" s="1" t="s">
        <v>5577</v>
      </c>
      <c r="J750" s="1" t="s">
        <v>3606</v>
      </c>
      <c r="K750" s="1"/>
      <c r="L750" s="1"/>
      <c r="M750" s="1"/>
    </row>
    <row x14ac:dyDescent="0.25" r="751" customHeight="1" ht="18.75">
      <c r="A751" s="1" t="s">
        <v>3617</v>
      </c>
      <c r="B751" s="1" t="s">
        <v>5578</v>
      </c>
      <c r="C751" s="1" t="s">
        <v>3619</v>
      </c>
      <c r="D751" s="1" t="s">
        <v>3601</v>
      </c>
      <c r="E751" s="1" t="s">
        <v>3893</v>
      </c>
      <c r="F751" s="1" t="s">
        <v>5579</v>
      </c>
      <c r="G751" s="1" t="s">
        <v>5580</v>
      </c>
      <c r="H751" s="1" t="s">
        <v>3604</v>
      </c>
      <c r="I751" s="1" t="s">
        <v>5581</v>
      </c>
      <c r="J751" s="1" t="s">
        <v>3606</v>
      </c>
      <c r="K751" s="1"/>
      <c r="L751" s="1"/>
      <c r="M751" s="1"/>
    </row>
    <row x14ac:dyDescent="0.25" r="752" customHeight="1" ht="18.75">
      <c r="A752" s="1" t="s">
        <v>3617</v>
      </c>
      <c r="B752" s="1" t="s">
        <v>5578</v>
      </c>
      <c r="C752" s="1" t="s">
        <v>3619</v>
      </c>
      <c r="D752" s="1" t="s">
        <v>3601</v>
      </c>
      <c r="E752" s="1" t="s">
        <v>3893</v>
      </c>
      <c r="F752" s="1" t="s">
        <v>5582</v>
      </c>
      <c r="G752" s="1" t="s">
        <v>5580</v>
      </c>
      <c r="H752" s="1" t="s">
        <v>3604</v>
      </c>
      <c r="I752" s="1" t="s">
        <v>5583</v>
      </c>
      <c r="J752" s="1" t="s">
        <v>3606</v>
      </c>
      <c r="K752" s="1"/>
      <c r="L752" s="1"/>
      <c r="M752" s="1"/>
    </row>
    <row x14ac:dyDescent="0.25" r="753" customHeight="1" ht="18.75">
      <c r="A753" s="1" t="s">
        <v>3617</v>
      </c>
      <c r="B753" s="1" t="s">
        <v>5578</v>
      </c>
      <c r="C753" s="1" t="s">
        <v>3619</v>
      </c>
      <c r="D753" s="1" t="s">
        <v>3601</v>
      </c>
      <c r="E753" s="1" t="s">
        <v>3893</v>
      </c>
      <c r="F753" s="1" t="s">
        <v>5584</v>
      </c>
      <c r="G753" s="1" t="s">
        <v>5580</v>
      </c>
      <c r="H753" s="1" t="s">
        <v>3604</v>
      </c>
      <c r="I753" s="1" t="s">
        <v>5585</v>
      </c>
      <c r="J753" s="1" t="s">
        <v>3606</v>
      </c>
      <c r="K753" s="1"/>
      <c r="L753" s="1"/>
      <c r="M753" s="1"/>
    </row>
    <row x14ac:dyDescent="0.25" r="754" customHeight="1" ht="18.75">
      <c r="A754" s="1" t="s">
        <v>3617</v>
      </c>
      <c r="B754" s="1" t="s">
        <v>5578</v>
      </c>
      <c r="C754" s="1" t="s">
        <v>3619</v>
      </c>
      <c r="D754" s="1" t="s">
        <v>3601</v>
      </c>
      <c r="E754" s="1" t="s">
        <v>3893</v>
      </c>
      <c r="F754" s="1" t="s">
        <v>5586</v>
      </c>
      <c r="G754" s="1" t="s">
        <v>5580</v>
      </c>
      <c r="H754" s="1" t="s">
        <v>3604</v>
      </c>
      <c r="I754" s="1" t="s">
        <v>5587</v>
      </c>
      <c r="J754" s="1" t="s">
        <v>3606</v>
      </c>
      <c r="K754" s="1"/>
      <c r="L754" s="1"/>
      <c r="M754" s="1"/>
    </row>
    <row x14ac:dyDescent="0.25" r="755" customHeight="1" ht="18.75">
      <c r="A755" s="1" t="s">
        <v>3617</v>
      </c>
      <c r="B755" s="1" t="s">
        <v>5578</v>
      </c>
      <c r="C755" s="1" t="s">
        <v>3619</v>
      </c>
      <c r="D755" s="1" t="s">
        <v>3601</v>
      </c>
      <c r="E755" s="1" t="s">
        <v>3893</v>
      </c>
      <c r="F755" s="1" t="s">
        <v>5588</v>
      </c>
      <c r="G755" s="1" t="s">
        <v>5580</v>
      </c>
      <c r="H755" s="1" t="s">
        <v>3604</v>
      </c>
      <c r="I755" s="1" t="s">
        <v>5589</v>
      </c>
      <c r="J755" s="1" t="s">
        <v>3606</v>
      </c>
      <c r="K755" s="1"/>
      <c r="L755" s="1"/>
      <c r="M755" s="1"/>
    </row>
    <row x14ac:dyDescent="0.25" r="756" customHeight="1" ht="18.75">
      <c r="A756" s="1" t="s">
        <v>3617</v>
      </c>
      <c r="B756" s="1" t="s">
        <v>5578</v>
      </c>
      <c r="C756" s="1" t="s">
        <v>3619</v>
      </c>
      <c r="D756" s="1" t="s">
        <v>3601</v>
      </c>
      <c r="E756" s="1" t="s">
        <v>3893</v>
      </c>
      <c r="F756" s="1" t="s">
        <v>5590</v>
      </c>
      <c r="G756" s="1" t="s">
        <v>5580</v>
      </c>
      <c r="H756" s="1" t="s">
        <v>3604</v>
      </c>
      <c r="I756" s="1" t="s">
        <v>5591</v>
      </c>
      <c r="J756" s="1" t="s">
        <v>3606</v>
      </c>
      <c r="K756" s="1"/>
      <c r="L756" s="1"/>
      <c r="M756" s="1"/>
    </row>
    <row x14ac:dyDescent="0.25" r="757" customHeight="1" ht="18.75">
      <c r="A757" s="1" t="s">
        <v>3617</v>
      </c>
      <c r="B757" s="1" t="s">
        <v>5578</v>
      </c>
      <c r="C757" s="1" t="s">
        <v>3619</v>
      </c>
      <c r="D757" s="1" t="s">
        <v>3601</v>
      </c>
      <c r="E757" s="1" t="s">
        <v>3893</v>
      </c>
      <c r="F757" s="1" t="s">
        <v>5592</v>
      </c>
      <c r="G757" s="1" t="s">
        <v>5580</v>
      </c>
      <c r="H757" s="1" t="s">
        <v>3604</v>
      </c>
      <c r="I757" s="1" t="s">
        <v>5593</v>
      </c>
      <c r="J757" s="1" t="s">
        <v>3606</v>
      </c>
      <c r="K757" s="1"/>
      <c r="L757" s="1"/>
      <c r="M757" s="1"/>
    </row>
    <row x14ac:dyDescent="0.25" r="758" customHeight="1" ht="18.75">
      <c r="A758" s="1" t="s">
        <v>3693</v>
      </c>
      <c r="B758" s="1" t="s">
        <v>5594</v>
      </c>
      <c r="C758" s="1" t="s">
        <v>3600</v>
      </c>
      <c r="D758" s="1" t="s">
        <v>3601</v>
      </c>
      <c r="E758" s="1" t="s">
        <v>3893</v>
      </c>
      <c r="F758" s="1" t="s">
        <v>5595</v>
      </c>
      <c r="G758" s="1" t="s">
        <v>5596</v>
      </c>
      <c r="H758" s="1" t="s">
        <v>3604</v>
      </c>
      <c r="I758" s="1" t="s">
        <v>5597</v>
      </c>
      <c r="J758" s="1" t="s">
        <v>3615</v>
      </c>
      <c r="K758" s="1"/>
      <c r="L758" s="1"/>
      <c r="M758" s="1"/>
    </row>
    <row x14ac:dyDescent="0.25" r="759" customHeight="1" ht="18.75">
      <c r="A759" s="1" t="s">
        <v>3693</v>
      </c>
      <c r="B759" s="1" t="s">
        <v>5598</v>
      </c>
      <c r="C759" s="1" t="s">
        <v>3600</v>
      </c>
      <c r="D759" s="1" t="s">
        <v>3601</v>
      </c>
      <c r="E759" s="1" t="s">
        <v>3664</v>
      </c>
      <c r="F759" s="1" t="s">
        <v>5599</v>
      </c>
      <c r="G759" s="1" t="s">
        <v>5600</v>
      </c>
      <c r="H759" s="1" t="s">
        <v>3604</v>
      </c>
      <c r="I759" s="1" t="s">
        <v>5601</v>
      </c>
      <c r="J759" s="1" t="s">
        <v>3615</v>
      </c>
      <c r="K759" s="1"/>
      <c r="L759" s="1"/>
      <c r="M759" s="1"/>
    </row>
    <row x14ac:dyDescent="0.25" r="760" customHeight="1" ht="18.75">
      <c r="A760" s="1" t="s">
        <v>3693</v>
      </c>
      <c r="B760" s="1" t="s">
        <v>5594</v>
      </c>
      <c r="C760" s="1" t="s">
        <v>3600</v>
      </c>
      <c r="D760" s="1" t="s">
        <v>3601</v>
      </c>
      <c r="E760" s="1" t="s">
        <v>3664</v>
      </c>
      <c r="F760" s="1" t="s">
        <v>5602</v>
      </c>
      <c r="G760" s="1" t="s">
        <v>5603</v>
      </c>
      <c r="H760" s="1" t="s">
        <v>3604</v>
      </c>
      <c r="I760" s="1" t="s">
        <v>5604</v>
      </c>
      <c r="J760" s="1" t="s">
        <v>3615</v>
      </c>
      <c r="K760" s="1"/>
      <c r="L760" s="1"/>
      <c r="M760" s="1"/>
    </row>
    <row x14ac:dyDescent="0.25" r="761" customHeight="1" ht="18.75">
      <c r="A761" s="1" t="s">
        <v>3693</v>
      </c>
      <c r="B761" s="1" t="s">
        <v>5594</v>
      </c>
      <c r="C761" s="1" t="s">
        <v>3600</v>
      </c>
      <c r="D761" s="1" t="s">
        <v>3601</v>
      </c>
      <c r="E761" s="1" t="s">
        <v>3664</v>
      </c>
      <c r="F761" s="1" t="s">
        <v>5605</v>
      </c>
      <c r="G761" s="1" t="s">
        <v>5606</v>
      </c>
      <c r="H761" s="1" t="s">
        <v>3604</v>
      </c>
      <c r="I761" s="1" t="s">
        <v>5607</v>
      </c>
      <c r="J761" s="1" t="s">
        <v>3615</v>
      </c>
      <c r="K761" s="1"/>
      <c r="L761" s="1"/>
      <c r="M761" s="1"/>
    </row>
    <row x14ac:dyDescent="0.25" r="762" customHeight="1" ht="18.75">
      <c r="A762" s="1" t="s">
        <v>3693</v>
      </c>
      <c r="B762" s="1" t="s">
        <v>4332</v>
      </c>
      <c r="C762" s="1" t="s">
        <v>3600</v>
      </c>
      <c r="D762" s="1" t="s">
        <v>3601</v>
      </c>
      <c r="E762" s="1"/>
      <c r="F762" s="1" t="s">
        <v>5608</v>
      </c>
      <c r="G762" s="1" t="s">
        <v>5609</v>
      </c>
      <c r="H762" s="1" t="s">
        <v>3604</v>
      </c>
      <c r="I762" s="1" t="s">
        <v>5610</v>
      </c>
      <c r="J762" s="1" t="s">
        <v>3606</v>
      </c>
      <c r="K762" s="1"/>
      <c r="L762" s="1"/>
      <c r="M762" s="1"/>
    </row>
    <row x14ac:dyDescent="0.25" r="763" customHeight="1" ht="18.75">
      <c r="A763" s="1" t="s">
        <v>3693</v>
      </c>
      <c r="B763" s="1" t="s">
        <v>5611</v>
      </c>
      <c r="C763" s="1" t="s">
        <v>3600</v>
      </c>
      <c r="D763" s="1" t="s">
        <v>3601</v>
      </c>
      <c r="E763" s="1"/>
      <c r="F763" s="1" t="s">
        <v>5612</v>
      </c>
      <c r="G763" s="1" t="s">
        <v>5613</v>
      </c>
      <c r="H763" s="1" t="s">
        <v>3604</v>
      </c>
      <c r="I763" s="1" t="s">
        <v>5614</v>
      </c>
      <c r="J763" s="1" t="s">
        <v>3615</v>
      </c>
      <c r="K763" s="1"/>
      <c r="L763" s="1"/>
      <c r="M763" s="1"/>
    </row>
    <row x14ac:dyDescent="0.25" r="764" customHeight="1" ht="18.75">
      <c r="A764" s="1" t="s">
        <v>3693</v>
      </c>
      <c r="B764" s="1" t="s">
        <v>5615</v>
      </c>
      <c r="C764" s="1" t="s">
        <v>3600</v>
      </c>
      <c r="D764" s="1" t="s">
        <v>3601</v>
      </c>
      <c r="E764" s="1" t="s">
        <v>3752</v>
      </c>
      <c r="F764" s="1" t="s">
        <v>5616</v>
      </c>
      <c r="G764" s="1" t="s">
        <v>5617</v>
      </c>
      <c r="H764" s="1" t="s">
        <v>3604</v>
      </c>
      <c r="I764" s="1" t="s">
        <v>5618</v>
      </c>
      <c r="J764" s="1" t="s">
        <v>3615</v>
      </c>
      <c r="K764" s="1"/>
      <c r="L764" s="1"/>
      <c r="M764" s="1"/>
    </row>
    <row x14ac:dyDescent="0.25" r="765" customHeight="1" ht="18.75">
      <c r="A765" s="1" t="s">
        <v>3693</v>
      </c>
      <c r="B765" s="1" t="s">
        <v>5619</v>
      </c>
      <c r="C765" s="1" t="s">
        <v>3600</v>
      </c>
      <c r="D765" s="1" t="s">
        <v>3601</v>
      </c>
      <c r="E765" s="1" t="s">
        <v>3664</v>
      </c>
      <c r="F765" s="1" t="s">
        <v>5620</v>
      </c>
      <c r="G765" s="1" t="s">
        <v>5621</v>
      </c>
      <c r="H765" s="1" t="s">
        <v>3604</v>
      </c>
      <c r="I765" s="1" t="s">
        <v>5622</v>
      </c>
      <c r="J765" s="1" t="s">
        <v>3606</v>
      </c>
      <c r="K765" s="1"/>
      <c r="L765" s="1"/>
      <c r="M765" s="1"/>
    </row>
    <row x14ac:dyDescent="0.25" r="766" customHeight="1" ht="18.75">
      <c r="A766" s="1" t="s">
        <v>3693</v>
      </c>
      <c r="B766" s="1" t="s">
        <v>5619</v>
      </c>
      <c r="C766" s="1" t="s">
        <v>3600</v>
      </c>
      <c r="D766" s="1" t="s">
        <v>3601</v>
      </c>
      <c r="E766" s="1" t="s">
        <v>3664</v>
      </c>
      <c r="F766" s="1" t="s">
        <v>5623</v>
      </c>
      <c r="G766" s="1" t="s">
        <v>5624</v>
      </c>
      <c r="H766" s="1" t="s">
        <v>3604</v>
      </c>
      <c r="I766" s="1" t="s">
        <v>5625</v>
      </c>
      <c r="J766" s="1" t="s">
        <v>3606</v>
      </c>
      <c r="K766" s="1"/>
      <c r="L766" s="1"/>
      <c r="M766" s="1"/>
    </row>
    <row x14ac:dyDescent="0.25" r="767" customHeight="1" ht="18.75">
      <c r="A767" s="1" t="s">
        <v>3693</v>
      </c>
      <c r="B767" s="1" t="s">
        <v>5619</v>
      </c>
      <c r="C767" s="1" t="s">
        <v>3600</v>
      </c>
      <c r="D767" s="1" t="s">
        <v>3601</v>
      </c>
      <c r="E767" s="1" t="s">
        <v>3664</v>
      </c>
      <c r="F767" s="1" t="s">
        <v>5626</v>
      </c>
      <c r="G767" s="1" t="s">
        <v>5624</v>
      </c>
      <c r="H767" s="1" t="s">
        <v>3604</v>
      </c>
      <c r="I767" s="1" t="s">
        <v>5627</v>
      </c>
      <c r="J767" s="1" t="s">
        <v>3606</v>
      </c>
      <c r="K767" s="1"/>
      <c r="L767" s="1"/>
      <c r="M767" s="1"/>
    </row>
    <row x14ac:dyDescent="0.25" r="768" customHeight="1" ht="18.75">
      <c r="A768" s="1" t="s">
        <v>3693</v>
      </c>
      <c r="B768" s="1" t="s">
        <v>5619</v>
      </c>
      <c r="C768" s="1" t="s">
        <v>3600</v>
      </c>
      <c r="D768" s="1" t="s">
        <v>3601</v>
      </c>
      <c r="E768" s="1" t="s">
        <v>3664</v>
      </c>
      <c r="F768" s="1" t="s">
        <v>5628</v>
      </c>
      <c r="G768" s="1" t="s">
        <v>5606</v>
      </c>
      <c r="H768" s="1" t="s">
        <v>3604</v>
      </c>
      <c r="I768" s="1" t="s">
        <v>5629</v>
      </c>
      <c r="J768" s="1" t="s">
        <v>3606</v>
      </c>
      <c r="K768" s="1"/>
      <c r="L768" s="1"/>
      <c r="M768" s="1"/>
    </row>
    <row x14ac:dyDescent="0.25" r="769" customHeight="1" ht="18.75">
      <c r="A769" s="1" t="s">
        <v>3693</v>
      </c>
      <c r="B769" s="1" t="s">
        <v>5619</v>
      </c>
      <c r="C769" s="1" t="s">
        <v>3600</v>
      </c>
      <c r="D769" s="1" t="s">
        <v>3601</v>
      </c>
      <c r="E769" s="1" t="s">
        <v>3664</v>
      </c>
      <c r="F769" s="1" t="s">
        <v>5630</v>
      </c>
      <c r="G769" s="1" t="s">
        <v>5631</v>
      </c>
      <c r="H769" s="1" t="s">
        <v>3604</v>
      </c>
      <c r="I769" s="1" t="s">
        <v>5632</v>
      </c>
      <c r="J769" s="1" t="s">
        <v>3606</v>
      </c>
      <c r="K769" s="1"/>
      <c r="L769" s="1"/>
      <c r="M769" s="1"/>
    </row>
    <row x14ac:dyDescent="0.25" r="770" customHeight="1" ht="18.75">
      <c r="A770" s="1" t="s">
        <v>3693</v>
      </c>
      <c r="B770" s="1" t="s">
        <v>5619</v>
      </c>
      <c r="C770" s="1" t="s">
        <v>3600</v>
      </c>
      <c r="D770" s="1" t="s">
        <v>3601</v>
      </c>
      <c r="E770" s="1" t="s">
        <v>3664</v>
      </c>
      <c r="F770" s="1" t="s">
        <v>5633</v>
      </c>
      <c r="G770" s="1" t="s">
        <v>5621</v>
      </c>
      <c r="H770" s="1" t="s">
        <v>3604</v>
      </c>
      <c r="I770" s="1" t="s">
        <v>5634</v>
      </c>
      <c r="J770" s="1" t="s">
        <v>3606</v>
      </c>
      <c r="K770" s="1"/>
      <c r="L770" s="1"/>
      <c r="M770" s="1"/>
    </row>
    <row x14ac:dyDescent="0.25" r="771" customHeight="1" ht="18.75">
      <c r="A771" s="1" t="s">
        <v>3693</v>
      </c>
      <c r="B771" s="1" t="s">
        <v>4148</v>
      </c>
      <c r="C771" s="1" t="s">
        <v>3600</v>
      </c>
      <c r="D771" s="1" t="s">
        <v>3601</v>
      </c>
      <c r="E771" s="1" t="s">
        <v>3664</v>
      </c>
      <c r="F771" s="1" t="s">
        <v>5635</v>
      </c>
      <c r="G771" s="1" t="s">
        <v>4150</v>
      </c>
      <c r="H771" s="1" t="s">
        <v>3604</v>
      </c>
      <c r="I771" s="1" t="s">
        <v>5636</v>
      </c>
      <c r="J771" s="1" t="s">
        <v>3606</v>
      </c>
      <c r="K771" s="1"/>
      <c r="L771" s="1"/>
      <c r="M771" s="1"/>
    </row>
    <row x14ac:dyDescent="0.25" r="772" customHeight="1" ht="18.75">
      <c r="A772" s="1" t="s">
        <v>3693</v>
      </c>
      <c r="B772" s="1" t="s">
        <v>4166</v>
      </c>
      <c r="C772" s="1" t="s">
        <v>3619</v>
      </c>
      <c r="D772" s="1" t="s">
        <v>3601</v>
      </c>
      <c r="E772" s="1" t="s">
        <v>3664</v>
      </c>
      <c r="F772" s="1" t="s">
        <v>5637</v>
      </c>
      <c r="G772" s="1" t="s">
        <v>5638</v>
      </c>
      <c r="H772" s="1" t="s">
        <v>3604</v>
      </c>
      <c r="I772" s="1" t="s">
        <v>5639</v>
      </c>
      <c r="J772" s="1" t="s">
        <v>3606</v>
      </c>
      <c r="K772" s="1"/>
      <c r="L772" s="1"/>
      <c r="M772" s="1"/>
    </row>
    <row x14ac:dyDescent="0.25" r="773" customHeight="1" ht="18.75">
      <c r="A773" s="1" t="s">
        <v>3693</v>
      </c>
      <c r="B773" s="1" t="s">
        <v>4192</v>
      </c>
      <c r="C773" s="1" t="s">
        <v>3600</v>
      </c>
      <c r="D773" s="1" t="s">
        <v>3601</v>
      </c>
      <c r="E773" s="1"/>
      <c r="F773" s="1" t="s">
        <v>5640</v>
      </c>
      <c r="G773" s="1" t="s">
        <v>5641</v>
      </c>
      <c r="H773" s="1" t="s">
        <v>3604</v>
      </c>
      <c r="I773" s="1" t="s">
        <v>5642</v>
      </c>
      <c r="J773" s="1" t="s">
        <v>3615</v>
      </c>
      <c r="K773" s="1"/>
      <c r="L773" s="1"/>
      <c r="M773" s="1"/>
    </row>
    <row x14ac:dyDescent="0.25" r="774" customHeight="1" ht="18.75">
      <c r="A774" s="1" t="s">
        <v>3693</v>
      </c>
      <c r="B774" s="1" t="s">
        <v>4332</v>
      </c>
      <c r="C774" s="1" t="s">
        <v>3600</v>
      </c>
      <c r="D774" s="1" t="s">
        <v>3601</v>
      </c>
      <c r="E774" s="1" t="s">
        <v>3893</v>
      </c>
      <c r="F774" s="1" t="s">
        <v>5643</v>
      </c>
      <c r="G774" s="1" t="s">
        <v>5644</v>
      </c>
      <c r="H774" s="1" t="s">
        <v>3604</v>
      </c>
      <c r="I774" s="1" t="s">
        <v>5645</v>
      </c>
      <c r="J774" s="1" t="s">
        <v>3615</v>
      </c>
      <c r="K774" s="1"/>
      <c r="L774" s="1"/>
      <c r="M774" s="1"/>
    </row>
    <row x14ac:dyDescent="0.25" r="775" customHeight="1" ht="18.75">
      <c r="A775" s="1" t="s">
        <v>3693</v>
      </c>
      <c r="B775" s="1" t="s">
        <v>4192</v>
      </c>
      <c r="C775" s="1" t="s">
        <v>3600</v>
      </c>
      <c r="D775" s="1" t="s">
        <v>3601</v>
      </c>
      <c r="E775" s="1"/>
      <c r="F775" s="1" t="s">
        <v>5646</v>
      </c>
      <c r="G775" s="1" t="s">
        <v>5641</v>
      </c>
      <c r="H775" s="1" t="s">
        <v>3604</v>
      </c>
      <c r="I775" s="1" t="s">
        <v>5647</v>
      </c>
      <c r="J775" s="1" t="s">
        <v>3615</v>
      </c>
      <c r="K775" s="1"/>
      <c r="L775" s="1"/>
      <c r="M775" s="1"/>
    </row>
    <row x14ac:dyDescent="0.25" r="776" customHeight="1" ht="18.75">
      <c r="A776" s="1" t="s">
        <v>3693</v>
      </c>
      <c r="B776" s="1" t="s">
        <v>4192</v>
      </c>
      <c r="C776" s="1" t="s">
        <v>3600</v>
      </c>
      <c r="D776" s="1" t="s">
        <v>3601</v>
      </c>
      <c r="E776" s="1" t="s">
        <v>3664</v>
      </c>
      <c r="F776" s="1" t="s">
        <v>5648</v>
      </c>
      <c r="G776" s="1" t="s">
        <v>5284</v>
      </c>
      <c r="H776" s="1" t="s">
        <v>3604</v>
      </c>
      <c r="I776" s="1" t="s">
        <v>5649</v>
      </c>
      <c r="J776" s="1" t="s">
        <v>3606</v>
      </c>
      <c r="K776" s="1"/>
      <c r="L776" s="1"/>
      <c r="M776" s="1"/>
    </row>
    <row x14ac:dyDescent="0.25" r="777" customHeight="1" ht="18.75">
      <c r="A777" s="1" t="s">
        <v>3693</v>
      </c>
      <c r="B777" s="1" t="s">
        <v>4267</v>
      </c>
      <c r="C777" s="1" t="s">
        <v>3600</v>
      </c>
      <c r="D777" s="1" t="s">
        <v>3601</v>
      </c>
      <c r="E777" s="1" t="s">
        <v>3664</v>
      </c>
      <c r="F777" s="1" t="s">
        <v>5650</v>
      </c>
      <c r="G777" s="1" t="s">
        <v>5651</v>
      </c>
      <c r="H777" s="1" t="s">
        <v>3604</v>
      </c>
      <c r="I777" s="1" t="s">
        <v>5652</v>
      </c>
      <c r="J777" s="1" t="s">
        <v>3606</v>
      </c>
      <c r="K777" s="1"/>
      <c r="L777" s="1"/>
      <c r="M777" s="1"/>
    </row>
    <row x14ac:dyDescent="0.25" r="778" customHeight="1" ht="18.75">
      <c r="A778" s="1" t="s">
        <v>3693</v>
      </c>
      <c r="B778" s="1" t="s">
        <v>4267</v>
      </c>
      <c r="C778" s="1" t="s">
        <v>3600</v>
      </c>
      <c r="D778" s="1" t="s">
        <v>3601</v>
      </c>
      <c r="E778" s="1" t="s">
        <v>3664</v>
      </c>
      <c r="F778" s="1" t="s">
        <v>5653</v>
      </c>
      <c r="G778" s="1" t="s">
        <v>5654</v>
      </c>
      <c r="H778" s="1" t="s">
        <v>3604</v>
      </c>
      <c r="I778" s="1" t="s">
        <v>5655</v>
      </c>
      <c r="J778" s="1" t="s">
        <v>3606</v>
      </c>
      <c r="K778" s="1"/>
      <c r="L778" s="1"/>
      <c r="M778" s="1"/>
    </row>
    <row x14ac:dyDescent="0.25" r="779" customHeight="1" ht="18.75">
      <c r="A779" s="1" t="s">
        <v>3617</v>
      </c>
      <c r="B779" s="1" t="s">
        <v>5656</v>
      </c>
      <c r="C779" s="1" t="s">
        <v>3619</v>
      </c>
      <c r="D779" s="1" t="s">
        <v>3601</v>
      </c>
      <c r="E779" s="1" t="s">
        <v>3611</v>
      </c>
      <c r="F779" s="1" t="s">
        <v>4591</v>
      </c>
      <c r="G779" s="1" t="s">
        <v>5657</v>
      </c>
      <c r="H779" s="1" t="s">
        <v>3604</v>
      </c>
      <c r="I779" s="1" t="s">
        <v>5658</v>
      </c>
      <c r="J779" s="1" t="s">
        <v>3606</v>
      </c>
      <c r="K779" s="1"/>
      <c r="L779" s="1"/>
      <c r="M779" s="1"/>
    </row>
    <row x14ac:dyDescent="0.25" r="780" customHeight="1" ht="18.75">
      <c r="A780" s="1" t="s">
        <v>3617</v>
      </c>
      <c r="B780" s="1" t="s">
        <v>5656</v>
      </c>
      <c r="C780" s="1" t="s">
        <v>3619</v>
      </c>
      <c r="D780" s="1" t="s">
        <v>3601</v>
      </c>
      <c r="E780" s="1" t="s">
        <v>3611</v>
      </c>
      <c r="F780" s="1" t="s">
        <v>4591</v>
      </c>
      <c r="G780" s="1" t="s">
        <v>5659</v>
      </c>
      <c r="H780" s="1" t="s">
        <v>3604</v>
      </c>
      <c r="I780" s="1" t="s">
        <v>5660</v>
      </c>
      <c r="J780" s="1" t="s">
        <v>3606</v>
      </c>
      <c r="K780" s="1"/>
      <c r="L780" s="1"/>
      <c r="M780" s="1"/>
    </row>
    <row x14ac:dyDescent="0.25" r="781" customHeight="1" ht="18.75">
      <c r="A781" s="1" t="s">
        <v>3693</v>
      </c>
      <c r="B781" s="1" t="s">
        <v>4332</v>
      </c>
      <c r="C781" s="1" t="s">
        <v>3600</v>
      </c>
      <c r="D781" s="1" t="s">
        <v>3601</v>
      </c>
      <c r="E781" s="1" t="s">
        <v>3893</v>
      </c>
      <c r="F781" s="1" t="s">
        <v>5661</v>
      </c>
      <c r="G781" s="1" t="s">
        <v>5662</v>
      </c>
      <c r="H781" s="1" t="s">
        <v>3604</v>
      </c>
      <c r="I781" s="1" t="s">
        <v>5663</v>
      </c>
      <c r="J781" s="1" t="s">
        <v>3615</v>
      </c>
      <c r="K781" s="1"/>
      <c r="L781" s="1"/>
      <c r="M781" s="1"/>
    </row>
    <row x14ac:dyDescent="0.25" r="782" customHeight="1" ht="18.75">
      <c r="A782" s="1" t="s">
        <v>3693</v>
      </c>
      <c r="B782" s="1" t="s">
        <v>5619</v>
      </c>
      <c r="C782" s="1" t="s">
        <v>3600</v>
      </c>
      <c r="D782" s="1" t="s">
        <v>3601</v>
      </c>
      <c r="E782" s="1" t="s">
        <v>3664</v>
      </c>
      <c r="F782" s="1" t="s">
        <v>5664</v>
      </c>
      <c r="G782" s="1" t="s">
        <v>5624</v>
      </c>
      <c r="H782" s="1" t="s">
        <v>3604</v>
      </c>
      <c r="I782" s="1" t="s">
        <v>5665</v>
      </c>
      <c r="J782" s="1" t="s">
        <v>3606</v>
      </c>
      <c r="K782" s="1"/>
      <c r="L782" s="1"/>
      <c r="M782" s="1"/>
    </row>
    <row x14ac:dyDescent="0.25" r="783" customHeight="1" ht="18.75">
      <c r="A783" s="1" t="s">
        <v>3693</v>
      </c>
      <c r="B783" s="1" t="s">
        <v>4083</v>
      </c>
      <c r="C783" s="1" t="s">
        <v>3600</v>
      </c>
      <c r="D783" s="1" t="s">
        <v>3601</v>
      </c>
      <c r="E783" s="1" t="s">
        <v>3664</v>
      </c>
      <c r="F783" s="1" t="s">
        <v>5666</v>
      </c>
      <c r="G783" s="1" t="s">
        <v>5667</v>
      </c>
      <c r="H783" s="1" t="s">
        <v>3604</v>
      </c>
      <c r="I783" s="1" t="s">
        <v>5668</v>
      </c>
      <c r="J783" s="1" t="s">
        <v>3615</v>
      </c>
      <c r="K783" s="1"/>
      <c r="L783" s="1"/>
      <c r="M783" s="1"/>
    </row>
    <row x14ac:dyDescent="0.25" r="784" customHeight="1" ht="18.75">
      <c r="A784" s="1" t="s">
        <v>3693</v>
      </c>
      <c r="B784" s="1" t="s">
        <v>4323</v>
      </c>
      <c r="C784" s="1" t="s">
        <v>3600</v>
      </c>
      <c r="D784" s="1" t="s">
        <v>3601</v>
      </c>
      <c r="E784" s="1"/>
      <c r="F784" s="1" t="s">
        <v>5669</v>
      </c>
      <c r="G784" s="1" t="s">
        <v>5670</v>
      </c>
      <c r="H784" s="1" t="s">
        <v>3604</v>
      </c>
      <c r="I784" s="1" t="s">
        <v>5671</v>
      </c>
      <c r="J784" s="1" t="s">
        <v>3606</v>
      </c>
      <c r="K784" s="1"/>
      <c r="L784" s="1"/>
      <c r="M784" s="1"/>
    </row>
    <row x14ac:dyDescent="0.25" r="785" customHeight="1" ht="18.75">
      <c r="A785" s="1" t="s">
        <v>3693</v>
      </c>
      <c r="B785" s="1" t="s">
        <v>5598</v>
      </c>
      <c r="C785" s="1" t="s">
        <v>3600</v>
      </c>
      <c r="D785" s="1" t="s">
        <v>3601</v>
      </c>
      <c r="E785" s="1" t="s">
        <v>3893</v>
      </c>
      <c r="F785" s="1" t="s">
        <v>5672</v>
      </c>
      <c r="G785" s="1" t="s">
        <v>5673</v>
      </c>
      <c r="H785" s="1" t="s">
        <v>3604</v>
      </c>
      <c r="I785" s="1" t="s">
        <v>5674</v>
      </c>
      <c r="J785" s="1" t="s">
        <v>3606</v>
      </c>
      <c r="K785" s="1"/>
      <c r="L785" s="1"/>
      <c r="M785" s="1"/>
    </row>
    <row x14ac:dyDescent="0.25" r="786" customHeight="1" ht="18.75">
      <c r="A786" s="1" t="s">
        <v>3693</v>
      </c>
      <c r="B786" s="1" t="s">
        <v>4166</v>
      </c>
      <c r="C786" s="1" t="s">
        <v>3619</v>
      </c>
      <c r="D786" s="1" t="s">
        <v>3601</v>
      </c>
      <c r="E786" s="1" t="s">
        <v>3664</v>
      </c>
      <c r="F786" s="1" t="s">
        <v>5675</v>
      </c>
      <c r="G786" s="1" t="s">
        <v>5638</v>
      </c>
      <c r="H786" s="1" t="s">
        <v>3604</v>
      </c>
      <c r="I786" s="1" t="s">
        <v>5676</v>
      </c>
      <c r="J786" s="1" t="s">
        <v>3606</v>
      </c>
      <c r="K786" s="1"/>
      <c r="L786" s="1"/>
      <c r="M786" s="1"/>
    </row>
    <row x14ac:dyDescent="0.25" r="787" customHeight="1" ht="18.75">
      <c r="A787" s="1" t="s">
        <v>3693</v>
      </c>
      <c r="B787" s="1" t="s">
        <v>4323</v>
      </c>
      <c r="C787" s="1" t="s">
        <v>3600</v>
      </c>
      <c r="D787" s="1" t="s">
        <v>3601</v>
      </c>
      <c r="E787" s="1"/>
      <c r="F787" s="1" t="s">
        <v>5677</v>
      </c>
      <c r="G787" s="1" t="s">
        <v>5670</v>
      </c>
      <c r="H787" s="1" t="s">
        <v>3604</v>
      </c>
      <c r="I787" s="1" t="s">
        <v>5678</v>
      </c>
      <c r="J787" s="1" t="s">
        <v>3606</v>
      </c>
      <c r="K787" s="1"/>
      <c r="L787" s="1"/>
      <c r="M787" s="1"/>
    </row>
    <row x14ac:dyDescent="0.25" r="788" customHeight="1" ht="18.75">
      <c r="A788" s="1" t="s">
        <v>3693</v>
      </c>
      <c r="B788" s="1" t="s">
        <v>4166</v>
      </c>
      <c r="C788" s="1" t="s">
        <v>3619</v>
      </c>
      <c r="D788" s="1" t="s">
        <v>3601</v>
      </c>
      <c r="E788" s="1" t="s">
        <v>3664</v>
      </c>
      <c r="F788" s="1" t="s">
        <v>5679</v>
      </c>
      <c r="G788" s="1" t="s">
        <v>5638</v>
      </c>
      <c r="H788" s="1" t="s">
        <v>3604</v>
      </c>
      <c r="I788" s="1" t="s">
        <v>5680</v>
      </c>
      <c r="J788" s="1" t="s">
        <v>3606</v>
      </c>
      <c r="K788" s="1"/>
      <c r="L788" s="1"/>
      <c r="M788" s="1"/>
    </row>
    <row x14ac:dyDescent="0.25" r="789" customHeight="1" ht="18.75">
      <c r="A789" s="1" t="s">
        <v>3693</v>
      </c>
      <c r="B789" s="1" t="s">
        <v>4091</v>
      </c>
      <c r="C789" s="1" t="s">
        <v>3600</v>
      </c>
      <c r="D789" s="1" t="s">
        <v>3601</v>
      </c>
      <c r="E789" s="1" t="s">
        <v>3664</v>
      </c>
      <c r="F789" s="1" t="s">
        <v>5681</v>
      </c>
      <c r="G789" s="1" t="s">
        <v>5682</v>
      </c>
      <c r="H789" s="1" t="s">
        <v>3604</v>
      </c>
      <c r="I789" s="1" t="s">
        <v>5683</v>
      </c>
      <c r="J789" s="1" t="s">
        <v>3606</v>
      </c>
      <c r="K789" s="1"/>
      <c r="L789" s="1"/>
      <c r="M789" s="1"/>
    </row>
    <row x14ac:dyDescent="0.25" r="790" customHeight="1" ht="18.75">
      <c r="A790" s="1" t="s">
        <v>3693</v>
      </c>
      <c r="B790" s="1" t="s">
        <v>4091</v>
      </c>
      <c r="C790" s="1" t="s">
        <v>3600</v>
      </c>
      <c r="D790" s="1" t="s">
        <v>3601</v>
      </c>
      <c r="E790" s="1" t="s">
        <v>3664</v>
      </c>
      <c r="F790" s="1" t="s">
        <v>5684</v>
      </c>
      <c r="G790" s="1" t="s">
        <v>5682</v>
      </c>
      <c r="H790" s="1" t="s">
        <v>3604</v>
      </c>
      <c r="I790" s="1" t="s">
        <v>5685</v>
      </c>
      <c r="J790" s="1" t="s">
        <v>3606</v>
      </c>
      <c r="K790" s="1"/>
      <c r="L790" s="1"/>
      <c r="M790" s="1"/>
    </row>
    <row x14ac:dyDescent="0.25" r="791" customHeight="1" ht="18.75">
      <c r="A791" s="1" t="s">
        <v>3693</v>
      </c>
      <c r="B791" s="1" t="s">
        <v>4091</v>
      </c>
      <c r="C791" s="1" t="s">
        <v>3600</v>
      </c>
      <c r="D791" s="1" t="s">
        <v>3601</v>
      </c>
      <c r="E791" s="1" t="s">
        <v>3664</v>
      </c>
      <c r="F791" s="1" t="s">
        <v>5686</v>
      </c>
      <c r="G791" s="1" t="s">
        <v>5682</v>
      </c>
      <c r="H791" s="1" t="s">
        <v>3604</v>
      </c>
      <c r="I791" s="1" t="s">
        <v>5687</v>
      </c>
      <c r="J791" s="1" t="s">
        <v>3606</v>
      </c>
      <c r="K791" s="1"/>
      <c r="L791" s="1"/>
      <c r="M791" s="1"/>
    </row>
    <row x14ac:dyDescent="0.25" r="792" customHeight="1" ht="18.75">
      <c r="A792" s="1" t="s">
        <v>3693</v>
      </c>
      <c r="B792" s="1" t="s">
        <v>4083</v>
      </c>
      <c r="C792" s="1" t="s">
        <v>3600</v>
      </c>
      <c r="D792" s="1" t="s">
        <v>3601</v>
      </c>
      <c r="E792" s="1" t="s">
        <v>3664</v>
      </c>
      <c r="F792" s="1" t="s">
        <v>5688</v>
      </c>
      <c r="G792" s="1" t="s">
        <v>5204</v>
      </c>
      <c r="H792" s="1" t="s">
        <v>3604</v>
      </c>
      <c r="I792" s="1" t="s">
        <v>5689</v>
      </c>
      <c r="J792" s="1" t="s">
        <v>3606</v>
      </c>
      <c r="K792" s="1"/>
      <c r="L792" s="1"/>
      <c r="M792" s="1"/>
    </row>
    <row x14ac:dyDescent="0.25" r="793" customHeight="1" ht="18.75">
      <c r="A793" s="1" t="s">
        <v>3693</v>
      </c>
      <c r="B793" s="1" t="s">
        <v>4083</v>
      </c>
      <c r="C793" s="1" t="s">
        <v>3600</v>
      </c>
      <c r="D793" s="1" t="s">
        <v>3601</v>
      </c>
      <c r="E793" s="1" t="s">
        <v>3664</v>
      </c>
      <c r="F793" s="1" t="s">
        <v>5690</v>
      </c>
      <c r="G793" s="1" t="s">
        <v>5204</v>
      </c>
      <c r="H793" s="1" t="s">
        <v>3604</v>
      </c>
      <c r="I793" s="1" t="s">
        <v>5691</v>
      </c>
      <c r="J793" s="1" t="s">
        <v>3606</v>
      </c>
      <c r="K793" s="1"/>
      <c r="L793" s="1"/>
      <c r="M793" s="1"/>
    </row>
    <row x14ac:dyDescent="0.25" r="794" customHeight="1" ht="18.75">
      <c r="A794" s="1" t="s">
        <v>3693</v>
      </c>
      <c r="B794" s="1" t="s">
        <v>4083</v>
      </c>
      <c r="C794" s="1" t="s">
        <v>3600</v>
      </c>
      <c r="D794" s="1" t="s">
        <v>3601</v>
      </c>
      <c r="E794" s="1" t="s">
        <v>3664</v>
      </c>
      <c r="F794" s="1" t="s">
        <v>5692</v>
      </c>
      <c r="G794" s="1" t="s">
        <v>5204</v>
      </c>
      <c r="H794" s="1" t="s">
        <v>3604</v>
      </c>
      <c r="I794" s="1" t="s">
        <v>5693</v>
      </c>
      <c r="J794" s="1" t="s">
        <v>3606</v>
      </c>
      <c r="K794" s="1"/>
      <c r="L794" s="1"/>
      <c r="M794" s="1"/>
    </row>
    <row x14ac:dyDescent="0.25" r="795" customHeight="1" ht="18.75">
      <c r="A795" s="1" t="s">
        <v>3693</v>
      </c>
      <c r="B795" s="1" t="s">
        <v>4083</v>
      </c>
      <c r="C795" s="1" t="s">
        <v>3600</v>
      </c>
      <c r="D795" s="1" t="s">
        <v>3601</v>
      </c>
      <c r="E795" s="1" t="s">
        <v>3664</v>
      </c>
      <c r="F795" s="1" t="s">
        <v>5694</v>
      </c>
      <c r="G795" s="1" t="s">
        <v>5695</v>
      </c>
      <c r="H795" s="1" t="s">
        <v>3604</v>
      </c>
      <c r="I795" s="1" t="s">
        <v>5696</v>
      </c>
      <c r="J795" s="1" t="s">
        <v>3606</v>
      </c>
      <c r="K795" s="1"/>
      <c r="L795" s="1"/>
      <c r="M795" s="1"/>
    </row>
    <row x14ac:dyDescent="0.25" r="796" customHeight="1" ht="18.75">
      <c r="A796" s="1" t="s">
        <v>3693</v>
      </c>
      <c r="B796" s="1" t="s">
        <v>4083</v>
      </c>
      <c r="C796" s="1" t="s">
        <v>3600</v>
      </c>
      <c r="D796" s="1" t="s">
        <v>3601</v>
      </c>
      <c r="E796" s="1" t="s">
        <v>3664</v>
      </c>
      <c r="F796" s="1" t="s">
        <v>5697</v>
      </c>
      <c r="G796" s="1" t="s">
        <v>5695</v>
      </c>
      <c r="H796" s="1" t="s">
        <v>3604</v>
      </c>
      <c r="I796" s="1" t="s">
        <v>5698</v>
      </c>
      <c r="J796" s="1" t="s">
        <v>3606</v>
      </c>
      <c r="K796" s="1"/>
      <c r="L796" s="1"/>
      <c r="M796" s="1"/>
    </row>
    <row x14ac:dyDescent="0.25" r="797" customHeight="1" ht="18.75">
      <c r="A797" s="1" t="s">
        <v>3693</v>
      </c>
      <c r="B797" s="1" t="s">
        <v>4083</v>
      </c>
      <c r="C797" s="1" t="s">
        <v>3600</v>
      </c>
      <c r="D797" s="1" t="s">
        <v>3601</v>
      </c>
      <c r="E797" s="1" t="s">
        <v>3664</v>
      </c>
      <c r="F797" s="1" t="s">
        <v>5699</v>
      </c>
      <c r="G797" s="1" t="s">
        <v>5695</v>
      </c>
      <c r="H797" s="1" t="s">
        <v>3604</v>
      </c>
      <c r="I797" s="1" t="s">
        <v>5700</v>
      </c>
      <c r="J797" s="1" t="s">
        <v>3606</v>
      </c>
      <c r="K797" s="1"/>
      <c r="L797" s="1"/>
      <c r="M797" s="1"/>
    </row>
    <row x14ac:dyDescent="0.25" r="798" customHeight="1" ht="18.75">
      <c r="A798" s="1" t="s">
        <v>3693</v>
      </c>
      <c r="B798" s="1" t="s">
        <v>4083</v>
      </c>
      <c r="C798" s="1" t="s">
        <v>3600</v>
      </c>
      <c r="D798" s="1" t="s">
        <v>3601</v>
      </c>
      <c r="E798" s="1" t="s">
        <v>3664</v>
      </c>
      <c r="F798" s="1" t="s">
        <v>5701</v>
      </c>
      <c r="G798" s="1" t="s">
        <v>5695</v>
      </c>
      <c r="H798" s="1" t="s">
        <v>3604</v>
      </c>
      <c r="I798" s="1" t="s">
        <v>5702</v>
      </c>
      <c r="J798" s="1" t="s">
        <v>3606</v>
      </c>
      <c r="K798" s="1"/>
      <c r="L798" s="1"/>
      <c r="M798" s="1"/>
    </row>
    <row x14ac:dyDescent="0.25" r="799" customHeight="1" ht="18.75">
      <c r="A799" s="1" t="s">
        <v>3693</v>
      </c>
      <c r="B799" s="1" t="s">
        <v>4091</v>
      </c>
      <c r="C799" s="1" t="s">
        <v>3600</v>
      </c>
      <c r="D799" s="1" t="s">
        <v>3601</v>
      </c>
      <c r="E799" s="1" t="s">
        <v>3664</v>
      </c>
      <c r="F799" s="1" t="s">
        <v>5703</v>
      </c>
      <c r="G799" s="1" t="s">
        <v>4706</v>
      </c>
      <c r="H799" s="1" t="s">
        <v>3604</v>
      </c>
      <c r="I799" s="1" t="s">
        <v>5704</v>
      </c>
      <c r="J799" s="1" t="s">
        <v>3606</v>
      </c>
      <c r="K799" s="1"/>
      <c r="L799" s="1"/>
      <c r="M799" s="1"/>
    </row>
    <row x14ac:dyDescent="0.25" r="800" customHeight="1" ht="18.75">
      <c r="A800" s="1" t="s">
        <v>3693</v>
      </c>
      <c r="B800" s="1" t="s">
        <v>4083</v>
      </c>
      <c r="C800" s="1" t="s">
        <v>3600</v>
      </c>
      <c r="D800" s="1" t="s">
        <v>3601</v>
      </c>
      <c r="E800" s="1" t="s">
        <v>3893</v>
      </c>
      <c r="F800" s="1" t="s">
        <v>5705</v>
      </c>
      <c r="G800" s="1" t="s">
        <v>4553</v>
      </c>
      <c r="H800" s="1" t="s">
        <v>3604</v>
      </c>
      <c r="I800" s="1" t="s">
        <v>5706</v>
      </c>
      <c r="J800" s="1" t="s">
        <v>3615</v>
      </c>
      <c r="K800" s="1"/>
      <c r="L800" s="1"/>
      <c r="M800" s="1"/>
    </row>
    <row x14ac:dyDescent="0.25" r="801" customHeight="1" ht="18.75">
      <c r="A801" s="1" t="s">
        <v>3693</v>
      </c>
      <c r="B801" s="1" t="s">
        <v>4091</v>
      </c>
      <c r="C801" s="1" t="s">
        <v>3600</v>
      </c>
      <c r="D801" s="1" t="s">
        <v>3601</v>
      </c>
      <c r="E801" s="1" t="s">
        <v>3664</v>
      </c>
      <c r="F801" s="1" t="s">
        <v>5707</v>
      </c>
      <c r="G801" s="1" t="s">
        <v>4706</v>
      </c>
      <c r="H801" s="1" t="s">
        <v>3604</v>
      </c>
      <c r="I801" s="1" t="s">
        <v>5708</v>
      </c>
      <c r="J801" s="1" t="s">
        <v>3606</v>
      </c>
      <c r="K801" s="1"/>
      <c r="L801" s="1"/>
      <c r="M801" s="1"/>
    </row>
    <row x14ac:dyDescent="0.25" r="802" customHeight="1" ht="18.75">
      <c r="A802" s="1" t="s">
        <v>3693</v>
      </c>
      <c r="B802" s="1" t="s">
        <v>4091</v>
      </c>
      <c r="C802" s="1" t="s">
        <v>3600</v>
      </c>
      <c r="D802" s="1" t="s">
        <v>3601</v>
      </c>
      <c r="E802" s="1" t="s">
        <v>3664</v>
      </c>
      <c r="F802" s="1" t="s">
        <v>5709</v>
      </c>
      <c r="G802" s="1" t="s">
        <v>4706</v>
      </c>
      <c r="H802" s="1" t="s">
        <v>3604</v>
      </c>
      <c r="I802" s="1" t="s">
        <v>5710</v>
      </c>
      <c r="J802" s="1" t="s">
        <v>3606</v>
      </c>
      <c r="K802" s="1"/>
      <c r="L802" s="1"/>
      <c r="M802" s="1"/>
    </row>
    <row x14ac:dyDescent="0.25" r="803" customHeight="1" ht="18.75">
      <c r="A803" s="1" t="s">
        <v>3693</v>
      </c>
      <c r="B803" s="1" t="s">
        <v>4192</v>
      </c>
      <c r="C803" s="1" t="s">
        <v>3600</v>
      </c>
      <c r="D803" s="1" t="s">
        <v>3601</v>
      </c>
      <c r="E803" s="1" t="s">
        <v>3893</v>
      </c>
      <c r="F803" s="1" t="s">
        <v>5711</v>
      </c>
      <c r="G803" s="1" t="s">
        <v>5712</v>
      </c>
      <c r="H803" s="1" t="s">
        <v>3604</v>
      </c>
      <c r="I803" s="1" t="s">
        <v>5713</v>
      </c>
      <c r="J803" s="1" t="s">
        <v>3606</v>
      </c>
      <c r="K803" s="1"/>
      <c r="L803" s="1"/>
      <c r="M803" s="1"/>
    </row>
    <row x14ac:dyDescent="0.25" r="804" customHeight="1" ht="18.75">
      <c r="A804" s="1" t="s">
        <v>3693</v>
      </c>
      <c r="B804" s="1" t="s">
        <v>4192</v>
      </c>
      <c r="C804" s="1" t="s">
        <v>3600</v>
      </c>
      <c r="D804" s="1" t="s">
        <v>3601</v>
      </c>
      <c r="E804" s="1" t="s">
        <v>3893</v>
      </c>
      <c r="F804" s="1" t="s">
        <v>5714</v>
      </c>
      <c r="G804" s="1" t="s">
        <v>5712</v>
      </c>
      <c r="H804" s="1" t="s">
        <v>3604</v>
      </c>
      <c r="I804" s="1" t="s">
        <v>5715</v>
      </c>
      <c r="J804" s="1" t="s">
        <v>3606</v>
      </c>
      <c r="K804" s="1"/>
      <c r="L804" s="1"/>
      <c r="M804" s="1"/>
    </row>
    <row x14ac:dyDescent="0.25" r="805" customHeight="1" ht="18.75">
      <c r="A805" s="1" t="s">
        <v>3693</v>
      </c>
      <c r="B805" s="1" t="s">
        <v>4091</v>
      </c>
      <c r="C805" s="1" t="s">
        <v>3600</v>
      </c>
      <c r="D805" s="1" t="s">
        <v>3601</v>
      </c>
      <c r="E805" s="1" t="s">
        <v>3664</v>
      </c>
      <c r="F805" s="1" t="s">
        <v>5716</v>
      </c>
      <c r="G805" s="1" t="s">
        <v>4706</v>
      </c>
      <c r="H805" s="1" t="s">
        <v>3604</v>
      </c>
      <c r="I805" s="1" t="s">
        <v>5717</v>
      </c>
      <c r="J805" s="1" t="s">
        <v>3606</v>
      </c>
      <c r="K805" s="1"/>
      <c r="L805" s="1"/>
      <c r="M805" s="1"/>
    </row>
    <row x14ac:dyDescent="0.25" r="806" customHeight="1" ht="18.75">
      <c r="A806" s="1" t="s">
        <v>3693</v>
      </c>
      <c r="B806" s="1" t="s">
        <v>4323</v>
      </c>
      <c r="C806" s="1" t="s">
        <v>3600</v>
      </c>
      <c r="D806" s="1" t="s">
        <v>3601</v>
      </c>
      <c r="E806" s="1"/>
      <c r="F806" s="1" t="s">
        <v>5718</v>
      </c>
      <c r="G806" s="1" t="s">
        <v>5719</v>
      </c>
      <c r="H806" s="1" t="s">
        <v>3604</v>
      </c>
      <c r="I806" s="1" t="s">
        <v>5720</v>
      </c>
      <c r="J806" s="1" t="s">
        <v>3606</v>
      </c>
      <c r="K806" s="1"/>
      <c r="L806" s="1"/>
      <c r="M806" s="1"/>
    </row>
    <row x14ac:dyDescent="0.25" r="807" customHeight="1" ht="18.75">
      <c r="A807" s="1" t="s">
        <v>3693</v>
      </c>
      <c r="B807" s="1" t="s">
        <v>4323</v>
      </c>
      <c r="C807" s="1" t="s">
        <v>3600</v>
      </c>
      <c r="D807" s="1" t="s">
        <v>3601</v>
      </c>
      <c r="E807" s="1"/>
      <c r="F807" s="1" t="s">
        <v>5721</v>
      </c>
      <c r="G807" s="1" t="s">
        <v>5719</v>
      </c>
      <c r="H807" s="1" t="s">
        <v>3604</v>
      </c>
      <c r="I807" s="1" t="s">
        <v>5722</v>
      </c>
      <c r="J807" s="1" t="s">
        <v>3606</v>
      </c>
      <c r="K807" s="1"/>
      <c r="L807" s="1"/>
      <c r="M807" s="1"/>
    </row>
    <row x14ac:dyDescent="0.25" r="808" customHeight="1" ht="18.75">
      <c r="A808" s="1" t="s">
        <v>3693</v>
      </c>
      <c r="B808" s="1" t="s">
        <v>4247</v>
      </c>
      <c r="C808" s="1" t="s">
        <v>3600</v>
      </c>
      <c r="D808" s="1" t="s">
        <v>3601</v>
      </c>
      <c r="E808" s="1" t="s">
        <v>3893</v>
      </c>
      <c r="F808" s="1" t="s">
        <v>5723</v>
      </c>
      <c r="G808" s="1" t="s">
        <v>5724</v>
      </c>
      <c r="H808" s="1" t="s">
        <v>3604</v>
      </c>
      <c r="I808" s="1" t="s">
        <v>5725</v>
      </c>
      <c r="J808" s="1" t="s">
        <v>3606</v>
      </c>
      <c r="K808" s="1"/>
      <c r="L808" s="1"/>
      <c r="M808" s="1"/>
    </row>
    <row x14ac:dyDescent="0.25" r="809" customHeight="1" ht="18.75">
      <c r="A809" s="1" t="s">
        <v>3693</v>
      </c>
      <c r="B809" s="1" t="s">
        <v>4247</v>
      </c>
      <c r="C809" s="1" t="s">
        <v>3600</v>
      </c>
      <c r="D809" s="1" t="s">
        <v>3601</v>
      </c>
      <c r="E809" s="1" t="s">
        <v>3664</v>
      </c>
      <c r="F809" s="1" t="s">
        <v>5726</v>
      </c>
      <c r="G809" s="1" t="s">
        <v>5727</v>
      </c>
      <c r="H809" s="1" t="s">
        <v>3604</v>
      </c>
      <c r="I809" s="1" t="s">
        <v>5728</v>
      </c>
      <c r="J809" s="1" t="s">
        <v>3606</v>
      </c>
      <c r="K809" s="1"/>
      <c r="L809" s="1"/>
      <c r="M809" s="1"/>
    </row>
    <row x14ac:dyDescent="0.25" r="810" customHeight="1" ht="18.75">
      <c r="A810" s="1" t="s">
        <v>3693</v>
      </c>
      <c r="B810" s="1" t="s">
        <v>4247</v>
      </c>
      <c r="C810" s="1" t="s">
        <v>3600</v>
      </c>
      <c r="D810" s="1" t="s">
        <v>3601</v>
      </c>
      <c r="E810" s="1" t="s">
        <v>3893</v>
      </c>
      <c r="F810" s="1" t="s">
        <v>5729</v>
      </c>
      <c r="G810" s="1" t="s">
        <v>5724</v>
      </c>
      <c r="H810" s="1" t="s">
        <v>3604</v>
      </c>
      <c r="I810" s="1" t="s">
        <v>5730</v>
      </c>
      <c r="J810" s="1" t="s">
        <v>3606</v>
      </c>
      <c r="K810" s="1"/>
      <c r="L810" s="1"/>
      <c r="M810" s="1"/>
    </row>
    <row x14ac:dyDescent="0.25" r="811" customHeight="1" ht="18.75">
      <c r="A811" s="1" t="s">
        <v>3693</v>
      </c>
      <c r="B811" s="1" t="s">
        <v>4332</v>
      </c>
      <c r="C811" s="1" t="s">
        <v>3600</v>
      </c>
      <c r="D811" s="1" t="s">
        <v>3601</v>
      </c>
      <c r="E811" s="1" t="s">
        <v>3893</v>
      </c>
      <c r="F811" s="1" t="s">
        <v>5731</v>
      </c>
      <c r="G811" s="1" t="s">
        <v>5732</v>
      </c>
      <c r="H811" s="1" t="s">
        <v>3604</v>
      </c>
      <c r="I811" s="1" t="s">
        <v>5733</v>
      </c>
      <c r="J811" s="1" t="s">
        <v>3606</v>
      </c>
      <c r="K811" s="1"/>
      <c r="L811" s="1"/>
      <c r="M811" s="1"/>
    </row>
    <row x14ac:dyDescent="0.25" r="812" customHeight="1" ht="18.75">
      <c r="A812" s="1" t="s">
        <v>3693</v>
      </c>
      <c r="B812" s="1" t="s">
        <v>4332</v>
      </c>
      <c r="C812" s="1" t="s">
        <v>3600</v>
      </c>
      <c r="D812" s="1" t="s">
        <v>3601</v>
      </c>
      <c r="E812" s="1" t="s">
        <v>3893</v>
      </c>
      <c r="F812" s="1" t="s">
        <v>5734</v>
      </c>
      <c r="G812" s="1" t="s">
        <v>5732</v>
      </c>
      <c r="H812" s="1" t="s">
        <v>3604</v>
      </c>
      <c r="I812" s="1" t="s">
        <v>5735</v>
      </c>
      <c r="J812" s="1" t="s">
        <v>3606</v>
      </c>
      <c r="K812" s="1"/>
      <c r="L812" s="1"/>
      <c r="M812" s="1"/>
    </row>
    <row x14ac:dyDescent="0.25" r="813" customHeight="1" ht="18.75">
      <c r="A813" s="1" t="s">
        <v>3693</v>
      </c>
      <c r="B813" s="1" t="s">
        <v>4332</v>
      </c>
      <c r="C813" s="1" t="s">
        <v>3600</v>
      </c>
      <c r="D813" s="1" t="s">
        <v>3601</v>
      </c>
      <c r="E813" s="1" t="s">
        <v>3893</v>
      </c>
      <c r="F813" s="1" t="s">
        <v>5736</v>
      </c>
      <c r="G813" s="1" t="s">
        <v>5732</v>
      </c>
      <c r="H813" s="1" t="s">
        <v>3604</v>
      </c>
      <c r="I813" s="1" t="s">
        <v>5737</v>
      </c>
      <c r="J813" s="1" t="s">
        <v>3606</v>
      </c>
      <c r="K813" s="1"/>
      <c r="L813" s="1"/>
      <c r="M813" s="1"/>
    </row>
    <row x14ac:dyDescent="0.25" r="814" customHeight="1" ht="18.75">
      <c r="A814" s="1" t="s">
        <v>3693</v>
      </c>
      <c r="B814" s="1" t="s">
        <v>4332</v>
      </c>
      <c r="C814" s="1" t="s">
        <v>3600</v>
      </c>
      <c r="D814" s="1" t="s">
        <v>3601</v>
      </c>
      <c r="E814" s="1" t="s">
        <v>3893</v>
      </c>
      <c r="F814" s="1" t="s">
        <v>5738</v>
      </c>
      <c r="G814" s="1" t="s">
        <v>5732</v>
      </c>
      <c r="H814" s="1" t="s">
        <v>3604</v>
      </c>
      <c r="I814" s="1" t="s">
        <v>5739</v>
      </c>
      <c r="J814" s="1" t="s">
        <v>3606</v>
      </c>
      <c r="K814" s="1"/>
      <c r="L814" s="1"/>
      <c r="M814" s="1"/>
    </row>
    <row x14ac:dyDescent="0.25" r="815" customHeight="1" ht="18.75">
      <c r="A815" s="1" t="s">
        <v>3693</v>
      </c>
      <c r="B815" s="1" t="s">
        <v>4083</v>
      </c>
      <c r="C815" s="1" t="s">
        <v>3600</v>
      </c>
      <c r="D815" s="1" t="s">
        <v>3601</v>
      </c>
      <c r="E815" s="1" t="s">
        <v>3664</v>
      </c>
      <c r="F815" s="1" t="s">
        <v>5740</v>
      </c>
      <c r="G815" s="1" t="s">
        <v>5741</v>
      </c>
      <c r="H815" s="1" t="s">
        <v>3604</v>
      </c>
      <c r="I815" s="1" t="s">
        <v>5742</v>
      </c>
      <c r="J815" s="1" t="s">
        <v>3606</v>
      </c>
      <c r="K815" s="1"/>
      <c r="L815" s="1"/>
      <c r="M815" s="1"/>
    </row>
    <row x14ac:dyDescent="0.25" r="816" customHeight="1" ht="18.75">
      <c r="A816" s="1" t="s">
        <v>3693</v>
      </c>
      <c r="B816" s="1" t="s">
        <v>4247</v>
      </c>
      <c r="C816" s="1" t="s">
        <v>3600</v>
      </c>
      <c r="D816" s="1" t="s">
        <v>3601</v>
      </c>
      <c r="E816" s="1" t="s">
        <v>3893</v>
      </c>
      <c r="F816" s="1" t="s">
        <v>5743</v>
      </c>
      <c r="G816" s="1" t="s">
        <v>4386</v>
      </c>
      <c r="H816" s="1" t="s">
        <v>3604</v>
      </c>
      <c r="I816" s="1" t="s">
        <v>5744</v>
      </c>
      <c r="J816" s="1" t="s">
        <v>3606</v>
      </c>
      <c r="K816" s="1"/>
      <c r="L816" s="1"/>
      <c r="M816" s="1"/>
    </row>
    <row x14ac:dyDescent="0.25" r="817" customHeight="1" ht="18.75">
      <c r="A817" s="1" t="s">
        <v>3693</v>
      </c>
      <c r="B817" s="1" t="s">
        <v>4083</v>
      </c>
      <c r="C817" s="1" t="s">
        <v>3600</v>
      </c>
      <c r="D817" s="1" t="s">
        <v>3601</v>
      </c>
      <c r="E817" s="1" t="s">
        <v>3893</v>
      </c>
      <c r="F817" s="1" t="s">
        <v>5745</v>
      </c>
      <c r="G817" s="1" t="s">
        <v>5741</v>
      </c>
      <c r="H817" s="1" t="s">
        <v>3604</v>
      </c>
      <c r="I817" s="1" t="s">
        <v>5746</v>
      </c>
      <c r="J817" s="1" t="s">
        <v>3606</v>
      </c>
      <c r="K817" s="1"/>
      <c r="L817" s="1"/>
      <c r="M817" s="1"/>
    </row>
    <row x14ac:dyDescent="0.25" r="818" customHeight="1" ht="18.75">
      <c r="A818" s="1" t="s">
        <v>3693</v>
      </c>
      <c r="B818" s="1" t="s">
        <v>4247</v>
      </c>
      <c r="C818" s="1" t="s">
        <v>3600</v>
      </c>
      <c r="D818" s="1" t="s">
        <v>3601</v>
      </c>
      <c r="E818" s="1" t="s">
        <v>3893</v>
      </c>
      <c r="F818" s="1" t="s">
        <v>5747</v>
      </c>
      <c r="G818" s="1" t="s">
        <v>4384</v>
      </c>
      <c r="H818" s="1" t="s">
        <v>3604</v>
      </c>
      <c r="I818" s="1" t="s">
        <v>5748</v>
      </c>
      <c r="J818" s="1" t="s">
        <v>3606</v>
      </c>
      <c r="K818" s="1"/>
      <c r="L818" s="1"/>
      <c r="M818" s="1"/>
    </row>
    <row x14ac:dyDescent="0.25" r="819" customHeight="1" ht="18.75">
      <c r="A819" s="1" t="s">
        <v>3693</v>
      </c>
      <c r="B819" s="1" t="s">
        <v>4247</v>
      </c>
      <c r="C819" s="1" t="s">
        <v>3600</v>
      </c>
      <c r="D819" s="1" t="s">
        <v>3601</v>
      </c>
      <c r="E819" s="1" t="s">
        <v>3893</v>
      </c>
      <c r="F819" s="1" t="s">
        <v>5749</v>
      </c>
      <c r="G819" s="1" t="s">
        <v>4352</v>
      </c>
      <c r="H819" s="1" t="s">
        <v>3604</v>
      </c>
      <c r="I819" s="1" t="s">
        <v>5750</v>
      </c>
      <c r="J819" s="1" t="s">
        <v>3606</v>
      </c>
      <c r="K819" s="1"/>
      <c r="L819" s="1"/>
      <c r="M819" s="1"/>
    </row>
    <row x14ac:dyDescent="0.25" r="820" customHeight="1" ht="18.75">
      <c r="A820" s="1" t="s">
        <v>3693</v>
      </c>
      <c r="B820" s="1" t="s">
        <v>4083</v>
      </c>
      <c r="C820" s="1" t="s">
        <v>3600</v>
      </c>
      <c r="D820" s="1" t="s">
        <v>3601</v>
      </c>
      <c r="E820" s="1" t="s">
        <v>3893</v>
      </c>
      <c r="F820" s="1" t="s">
        <v>5751</v>
      </c>
      <c r="G820" s="1" t="s">
        <v>4424</v>
      </c>
      <c r="H820" s="1" t="s">
        <v>3604</v>
      </c>
      <c r="I820" s="1" t="s">
        <v>5752</v>
      </c>
      <c r="J820" s="1" t="s">
        <v>3606</v>
      </c>
      <c r="K820" s="1"/>
      <c r="L820" s="1"/>
      <c r="M820" s="1"/>
    </row>
    <row x14ac:dyDescent="0.25" r="821" customHeight="1" ht="18.75">
      <c r="A821" s="1" t="s">
        <v>3693</v>
      </c>
      <c r="B821" s="1" t="s">
        <v>4083</v>
      </c>
      <c r="C821" s="1" t="s">
        <v>3600</v>
      </c>
      <c r="D821" s="1" t="s">
        <v>3601</v>
      </c>
      <c r="E821" s="1" t="s">
        <v>3893</v>
      </c>
      <c r="F821" s="1" t="s">
        <v>5753</v>
      </c>
      <c r="G821" s="1" t="s">
        <v>4424</v>
      </c>
      <c r="H821" s="1" t="s">
        <v>3604</v>
      </c>
      <c r="I821" s="1" t="s">
        <v>5754</v>
      </c>
      <c r="J821" s="1" t="s">
        <v>3606</v>
      </c>
      <c r="K821" s="1"/>
      <c r="L821" s="1"/>
      <c r="M821" s="1"/>
    </row>
    <row x14ac:dyDescent="0.25" r="822" customHeight="1" ht="18.75">
      <c r="A822" s="1" t="s">
        <v>3693</v>
      </c>
      <c r="B822" s="1" t="s">
        <v>4083</v>
      </c>
      <c r="C822" s="1" t="s">
        <v>3600</v>
      </c>
      <c r="D822" s="1" t="s">
        <v>3601</v>
      </c>
      <c r="E822" s="1" t="s">
        <v>3893</v>
      </c>
      <c r="F822" s="1" t="s">
        <v>5755</v>
      </c>
      <c r="G822" s="1" t="s">
        <v>4424</v>
      </c>
      <c r="H822" s="1" t="s">
        <v>3604</v>
      </c>
      <c r="I822" s="1" t="s">
        <v>5756</v>
      </c>
      <c r="J822" s="1" t="s">
        <v>3615</v>
      </c>
      <c r="K822" s="1"/>
      <c r="L822" s="1"/>
      <c r="M822" s="1"/>
    </row>
    <row x14ac:dyDescent="0.25" r="823" customHeight="1" ht="18.75">
      <c r="A823" s="1" t="s">
        <v>3693</v>
      </c>
      <c r="B823" s="1" t="s">
        <v>4247</v>
      </c>
      <c r="C823" s="1" t="s">
        <v>3600</v>
      </c>
      <c r="D823" s="1" t="s">
        <v>3601</v>
      </c>
      <c r="E823" s="1" t="s">
        <v>3893</v>
      </c>
      <c r="F823" s="1" t="s">
        <v>5757</v>
      </c>
      <c r="G823" s="1" t="s">
        <v>4735</v>
      </c>
      <c r="H823" s="1" t="s">
        <v>3604</v>
      </c>
      <c r="I823" s="1" t="s">
        <v>5758</v>
      </c>
      <c r="J823" s="1" t="s">
        <v>3606</v>
      </c>
      <c r="K823" s="1"/>
      <c r="L823" s="1"/>
      <c r="M823" s="1"/>
    </row>
    <row x14ac:dyDescent="0.25" r="824" customHeight="1" ht="18.75">
      <c r="A824" s="1" t="s">
        <v>3693</v>
      </c>
      <c r="B824" s="1" t="s">
        <v>4247</v>
      </c>
      <c r="C824" s="1" t="s">
        <v>3600</v>
      </c>
      <c r="D824" s="1" t="s">
        <v>3601</v>
      </c>
      <c r="E824" s="1" t="s">
        <v>3893</v>
      </c>
      <c r="F824" s="1" t="s">
        <v>5747</v>
      </c>
      <c r="G824" s="1" t="s">
        <v>5759</v>
      </c>
      <c r="H824" s="1" t="s">
        <v>3604</v>
      </c>
      <c r="I824" s="1" t="s">
        <v>5760</v>
      </c>
      <c r="J824" s="1" t="s">
        <v>3606</v>
      </c>
      <c r="K824" s="1"/>
      <c r="L824" s="1"/>
      <c r="M824" s="1"/>
    </row>
    <row x14ac:dyDescent="0.25" r="825" customHeight="1" ht="18.75">
      <c r="A825" s="1" t="s">
        <v>3693</v>
      </c>
      <c r="B825" s="1" t="s">
        <v>4247</v>
      </c>
      <c r="C825" s="1" t="s">
        <v>3600</v>
      </c>
      <c r="D825" s="1" t="s">
        <v>3601</v>
      </c>
      <c r="E825" s="1" t="s">
        <v>3893</v>
      </c>
      <c r="F825" s="1" t="s">
        <v>5747</v>
      </c>
      <c r="G825" s="1" t="s">
        <v>5761</v>
      </c>
      <c r="H825" s="1" t="s">
        <v>3604</v>
      </c>
      <c r="I825" s="1" t="s">
        <v>5762</v>
      </c>
      <c r="J825" s="1" t="s">
        <v>3615</v>
      </c>
      <c r="K825" s="1"/>
      <c r="L825" s="1"/>
      <c r="M825" s="1"/>
    </row>
    <row x14ac:dyDescent="0.25" r="826" customHeight="1" ht="18.75">
      <c r="A826" s="1" t="s">
        <v>3693</v>
      </c>
      <c r="B826" s="1" t="s">
        <v>4247</v>
      </c>
      <c r="C826" s="1" t="s">
        <v>3600</v>
      </c>
      <c r="D826" s="1" t="s">
        <v>3601</v>
      </c>
      <c r="E826" s="1" t="s">
        <v>3893</v>
      </c>
      <c r="F826" s="1" t="s">
        <v>5749</v>
      </c>
      <c r="G826" s="1" t="s">
        <v>4440</v>
      </c>
      <c r="H826" s="1" t="s">
        <v>3604</v>
      </c>
      <c r="I826" s="1" t="s">
        <v>5763</v>
      </c>
      <c r="J826" s="1" t="s">
        <v>3606</v>
      </c>
      <c r="K826" s="1"/>
      <c r="L826" s="1"/>
      <c r="M826" s="1"/>
    </row>
    <row x14ac:dyDescent="0.25" r="827" customHeight="1" ht="18.75">
      <c r="A827" s="1" t="s">
        <v>3693</v>
      </c>
      <c r="B827" s="1" t="s">
        <v>4247</v>
      </c>
      <c r="C827" s="1" t="s">
        <v>3600</v>
      </c>
      <c r="D827" s="1" t="s">
        <v>3601</v>
      </c>
      <c r="E827" s="1" t="s">
        <v>3893</v>
      </c>
      <c r="F827" s="1" t="s">
        <v>5764</v>
      </c>
      <c r="G827" s="1" t="s">
        <v>5761</v>
      </c>
      <c r="H827" s="1" t="s">
        <v>3604</v>
      </c>
      <c r="I827" s="1" t="s">
        <v>5765</v>
      </c>
      <c r="J827" s="1" t="s">
        <v>3606</v>
      </c>
      <c r="K827" s="1"/>
      <c r="L827" s="1"/>
      <c r="M827" s="1"/>
    </row>
    <row x14ac:dyDescent="0.25" r="828" customHeight="1" ht="18.75">
      <c r="A828" s="1" t="s">
        <v>3693</v>
      </c>
      <c r="B828" s="1" t="s">
        <v>4323</v>
      </c>
      <c r="C828" s="1" t="s">
        <v>3600</v>
      </c>
      <c r="D828" s="1" t="s">
        <v>3601</v>
      </c>
      <c r="E828" s="1"/>
      <c r="F828" s="1" t="s">
        <v>5766</v>
      </c>
      <c r="G828" s="1" t="s">
        <v>5767</v>
      </c>
      <c r="H828" s="1" t="s">
        <v>3604</v>
      </c>
      <c r="I828" s="1" t="s">
        <v>5768</v>
      </c>
      <c r="J828" s="1" t="s">
        <v>3615</v>
      </c>
      <c r="K828" s="1"/>
      <c r="L828" s="1"/>
      <c r="M828" s="1"/>
    </row>
    <row x14ac:dyDescent="0.25" r="829" customHeight="1" ht="18.75">
      <c r="A829" s="1" t="s">
        <v>3693</v>
      </c>
      <c r="B829" s="1" t="s">
        <v>4323</v>
      </c>
      <c r="C829" s="1" t="s">
        <v>3600</v>
      </c>
      <c r="D829" s="1" t="s">
        <v>3601</v>
      </c>
      <c r="E829" s="1"/>
      <c r="F829" s="1" t="s">
        <v>5769</v>
      </c>
      <c r="G829" s="1" t="s">
        <v>5767</v>
      </c>
      <c r="H829" s="1" t="s">
        <v>3604</v>
      </c>
      <c r="I829" s="1" t="s">
        <v>5770</v>
      </c>
      <c r="J829" s="1" t="s">
        <v>3615</v>
      </c>
      <c r="K829" s="1"/>
      <c r="L829" s="1"/>
      <c r="M829" s="1"/>
    </row>
    <row x14ac:dyDescent="0.25" r="830" customHeight="1" ht="18.75">
      <c r="A830" s="1" t="s">
        <v>3693</v>
      </c>
      <c r="B830" s="1" t="s">
        <v>4192</v>
      </c>
      <c r="C830" s="1" t="s">
        <v>3600</v>
      </c>
      <c r="D830" s="1" t="s">
        <v>3601</v>
      </c>
      <c r="E830" s="1" t="s">
        <v>3664</v>
      </c>
      <c r="F830" s="1" t="s">
        <v>5771</v>
      </c>
      <c r="G830" s="1" t="s">
        <v>5772</v>
      </c>
      <c r="H830" s="1" t="s">
        <v>3604</v>
      </c>
      <c r="I830" s="1" t="s">
        <v>5773</v>
      </c>
      <c r="J830" s="1" t="s">
        <v>3606</v>
      </c>
      <c r="K830" s="1"/>
      <c r="L830" s="1"/>
      <c r="M830" s="1"/>
    </row>
    <row x14ac:dyDescent="0.25" r="831" customHeight="1" ht="18.75">
      <c r="A831" s="1" t="s">
        <v>3693</v>
      </c>
      <c r="B831" s="1" t="s">
        <v>4323</v>
      </c>
      <c r="C831" s="1" t="s">
        <v>3600</v>
      </c>
      <c r="D831" s="1" t="s">
        <v>3601</v>
      </c>
      <c r="E831" s="1"/>
      <c r="F831" s="1" t="s">
        <v>5774</v>
      </c>
      <c r="G831" s="1" t="s">
        <v>5767</v>
      </c>
      <c r="H831" s="1" t="s">
        <v>3604</v>
      </c>
      <c r="I831" s="1" t="s">
        <v>5775</v>
      </c>
      <c r="J831" s="1" t="s">
        <v>3615</v>
      </c>
      <c r="K831" s="1"/>
      <c r="L831" s="1"/>
      <c r="M831" s="1"/>
    </row>
    <row x14ac:dyDescent="0.25" r="832" customHeight="1" ht="18.75">
      <c r="A832" s="1" t="s">
        <v>3693</v>
      </c>
      <c r="B832" s="1" t="s">
        <v>4323</v>
      </c>
      <c r="C832" s="1" t="s">
        <v>3600</v>
      </c>
      <c r="D832" s="1" t="s">
        <v>3601</v>
      </c>
      <c r="E832" s="1"/>
      <c r="F832" s="1" t="s">
        <v>5776</v>
      </c>
      <c r="G832" s="1" t="s">
        <v>5767</v>
      </c>
      <c r="H832" s="1" t="s">
        <v>3604</v>
      </c>
      <c r="I832" s="1" t="s">
        <v>5777</v>
      </c>
      <c r="J832" s="1" t="s">
        <v>3615</v>
      </c>
      <c r="K832" s="1"/>
      <c r="L832" s="1"/>
      <c r="M832" s="1"/>
    </row>
    <row x14ac:dyDescent="0.25" r="833" customHeight="1" ht="18.75">
      <c r="A833" s="1" t="s">
        <v>3693</v>
      </c>
      <c r="B833" s="1" t="s">
        <v>4083</v>
      </c>
      <c r="C833" s="1" t="s">
        <v>3600</v>
      </c>
      <c r="D833" s="1" t="s">
        <v>3601</v>
      </c>
      <c r="E833" s="1" t="s">
        <v>3893</v>
      </c>
      <c r="F833" s="1" t="s">
        <v>5778</v>
      </c>
      <c r="G833" s="1" t="s">
        <v>4424</v>
      </c>
      <c r="H833" s="1" t="s">
        <v>3604</v>
      </c>
      <c r="I833" s="1" t="s">
        <v>5779</v>
      </c>
      <c r="J833" s="1" t="s">
        <v>3606</v>
      </c>
      <c r="K833" s="1"/>
      <c r="L833" s="1"/>
      <c r="M833" s="1"/>
    </row>
    <row x14ac:dyDescent="0.25" r="834" customHeight="1" ht="18.75">
      <c r="A834" s="1" t="s">
        <v>3693</v>
      </c>
      <c r="B834" s="1" t="s">
        <v>4083</v>
      </c>
      <c r="C834" s="1" t="s">
        <v>3600</v>
      </c>
      <c r="D834" s="1" t="s">
        <v>3601</v>
      </c>
      <c r="E834" s="1" t="s">
        <v>3893</v>
      </c>
      <c r="F834" s="1" t="s">
        <v>5780</v>
      </c>
      <c r="G834" s="1" t="s">
        <v>4424</v>
      </c>
      <c r="H834" s="1" t="s">
        <v>3604</v>
      </c>
      <c r="I834" s="1" t="s">
        <v>5781</v>
      </c>
      <c r="J834" s="1" t="s">
        <v>3606</v>
      </c>
      <c r="K834" s="1"/>
      <c r="L834" s="1"/>
      <c r="M834" s="1"/>
    </row>
    <row x14ac:dyDescent="0.25" r="835" customHeight="1" ht="18.75">
      <c r="A835" s="1" t="s">
        <v>3693</v>
      </c>
      <c r="B835" s="1" t="s">
        <v>4083</v>
      </c>
      <c r="C835" s="1" t="s">
        <v>3600</v>
      </c>
      <c r="D835" s="1" t="s">
        <v>3601</v>
      </c>
      <c r="E835" s="1" t="s">
        <v>3893</v>
      </c>
      <c r="F835" s="1" t="s">
        <v>5782</v>
      </c>
      <c r="G835" s="1" t="s">
        <v>4424</v>
      </c>
      <c r="H835" s="1" t="s">
        <v>3604</v>
      </c>
      <c r="I835" s="1" t="s">
        <v>5783</v>
      </c>
      <c r="J835" s="1" t="s">
        <v>3606</v>
      </c>
      <c r="K835" s="1"/>
      <c r="L835" s="1"/>
      <c r="M835" s="1"/>
    </row>
    <row x14ac:dyDescent="0.25" r="836" customHeight="1" ht="18.75">
      <c r="A836" s="1" t="s">
        <v>3693</v>
      </c>
      <c r="B836" s="1" t="s">
        <v>4323</v>
      </c>
      <c r="C836" s="1" t="s">
        <v>3600</v>
      </c>
      <c r="D836" s="1" t="s">
        <v>3601</v>
      </c>
      <c r="E836" s="1"/>
      <c r="F836" s="1" t="s">
        <v>5784</v>
      </c>
      <c r="G836" s="1" t="s">
        <v>5767</v>
      </c>
      <c r="H836" s="1" t="s">
        <v>3604</v>
      </c>
      <c r="I836" s="1" t="s">
        <v>5785</v>
      </c>
      <c r="J836" s="1" t="s">
        <v>3615</v>
      </c>
      <c r="K836" s="1"/>
      <c r="L836" s="1"/>
      <c r="M836" s="1"/>
    </row>
    <row x14ac:dyDescent="0.25" r="837" customHeight="1" ht="18.75">
      <c r="A837" s="1" t="s">
        <v>3693</v>
      </c>
      <c r="B837" s="1" t="s">
        <v>4323</v>
      </c>
      <c r="C837" s="1" t="s">
        <v>3600</v>
      </c>
      <c r="D837" s="1" t="s">
        <v>3601</v>
      </c>
      <c r="E837" s="1"/>
      <c r="F837" s="1" t="s">
        <v>5786</v>
      </c>
      <c r="G837" s="1" t="s">
        <v>5767</v>
      </c>
      <c r="H837" s="1" t="s">
        <v>3604</v>
      </c>
      <c r="I837" s="1" t="s">
        <v>5787</v>
      </c>
      <c r="J837" s="1" t="s">
        <v>3615</v>
      </c>
      <c r="K837" s="1"/>
      <c r="L837" s="1"/>
      <c r="M837" s="1"/>
    </row>
    <row x14ac:dyDescent="0.25" r="838" customHeight="1" ht="18.75">
      <c r="A838" s="1" t="s">
        <v>3693</v>
      </c>
      <c r="B838" s="1" t="s">
        <v>4323</v>
      </c>
      <c r="C838" s="1" t="s">
        <v>3600</v>
      </c>
      <c r="D838" s="1" t="s">
        <v>3601</v>
      </c>
      <c r="E838" s="1"/>
      <c r="F838" s="1" t="s">
        <v>5788</v>
      </c>
      <c r="G838" s="1" t="s">
        <v>5767</v>
      </c>
      <c r="H838" s="1" t="s">
        <v>3604</v>
      </c>
      <c r="I838" s="1" t="s">
        <v>5789</v>
      </c>
      <c r="J838" s="1" t="s">
        <v>3615</v>
      </c>
      <c r="K838" s="1"/>
      <c r="L838" s="1"/>
      <c r="M838" s="1"/>
    </row>
    <row x14ac:dyDescent="0.25" r="839" customHeight="1" ht="18.75">
      <c r="A839" s="1" t="s">
        <v>3693</v>
      </c>
      <c r="B839" s="1" t="s">
        <v>5598</v>
      </c>
      <c r="C839" s="1" t="s">
        <v>3600</v>
      </c>
      <c r="D839" s="1" t="s">
        <v>3601</v>
      </c>
      <c r="E839" s="1" t="s">
        <v>3893</v>
      </c>
      <c r="F839" s="1" t="s">
        <v>5790</v>
      </c>
      <c r="G839" s="1" t="s">
        <v>5791</v>
      </c>
      <c r="H839" s="1" t="s">
        <v>3604</v>
      </c>
      <c r="I839" s="1" t="s">
        <v>5792</v>
      </c>
      <c r="J839" s="1" t="s">
        <v>3606</v>
      </c>
      <c r="K839" s="1"/>
      <c r="L839" s="1"/>
      <c r="M839" s="1"/>
    </row>
    <row x14ac:dyDescent="0.25" r="840" customHeight="1" ht="18.75">
      <c r="A840" s="1" t="s">
        <v>3693</v>
      </c>
      <c r="B840" s="1" t="s">
        <v>5598</v>
      </c>
      <c r="C840" s="1" t="s">
        <v>3600</v>
      </c>
      <c r="D840" s="1" t="s">
        <v>3601</v>
      </c>
      <c r="E840" s="1" t="s">
        <v>3893</v>
      </c>
      <c r="F840" s="1" t="s">
        <v>5793</v>
      </c>
      <c r="G840" s="1" t="s">
        <v>5791</v>
      </c>
      <c r="H840" s="1" t="s">
        <v>3604</v>
      </c>
      <c r="I840" s="1" t="s">
        <v>5794</v>
      </c>
      <c r="J840" s="1" t="s">
        <v>3606</v>
      </c>
      <c r="K840" s="1"/>
      <c r="L840" s="1"/>
      <c r="M840" s="1"/>
    </row>
    <row x14ac:dyDescent="0.25" r="841" customHeight="1" ht="18.75">
      <c r="A841" s="1" t="s">
        <v>3693</v>
      </c>
      <c r="B841" s="1" t="s">
        <v>4166</v>
      </c>
      <c r="C841" s="1" t="s">
        <v>3619</v>
      </c>
      <c r="D841" s="1" t="s">
        <v>3601</v>
      </c>
      <c r="E841" s="1" t="s">
        <v>3664</v>
      </c>
      <c r="F841" s="1" t="s">
        <v>5795</v>
      </c>
      <c r="G841" s="1" t="s">
        <v>5638</v>
      </c>
      <c r="H841" s="1" t="s">
        <v>3604</v>
      </c>
      <c r="I841" s="1" t="s">
        <v>5796</v>
      </c>
      <c r="J841" s="1" t="s">
        <v>3606</v>
      </c>
      <c r="K841" s="1"/>
      <c r="L841" s="1"/>
      <c r="M841" s="1"/>
    </row>
    <row x14ac:dyDescent="0.25" r="842" customHeight="1" ht="18.75">
      <c r="A842" s="1" t="s">
        <v>3693</v>
      </c>
      <c r="B842" s="1" t="s">
        <v>5797</v>
      </c>
      <c r="C842" s="1" t="s">
        <v>3619</v>
      </c>
      <c r="D842" s="1" t="s">
        <v>3601</v>
      </c>
      <c r="E842" s="1" t="s">
        <v>3664</v>
      </c>
      <c r="F842" s="1" t="s">
        <v>5798</v>
      </c>
      <c r="G842" s="1" t="s">
        <v>5799</v>
      </c>
      <c r="H842" s="1" t="s">
        <v>3604</v>
      </c>
      <c r="I842" s="1" t="s">
        <v>5800</v>
      </c>
      <c r="J842" s="1" t="s">
        <v>3615</v>
      </c>
      <c r="K842" s="1"/>
      <c r="L842" s="1"/>
      <c r="M842" s="1"/>
    </row>
    <row x14ac:dyDescent="0.25" r="843" customHeight="1" ht="18.75">
      <c r="A843" s="1" t="s">
        <v>3693</v>
      </c>
      <c r="B843" s="1" t="s">
        <v>5797</v>
      </c>
      <c r="C843" s="1" t="s">
        <v>3619</v>
      </c>
      <c r="D843" s="1" t="s">
        <v>3601</v>
      </c>
      <c r="E843" s="1" t="s">
        <v>3664</v>
      </c>
      <c r="F843" s="1" t="s">
        <v>5801</v>
      </c>
      <c r="G843" s="1" t="s">
        <v>5802</v>
      </c>
      <c r="H843" s="1" t="s">
        <v>3604</v>
      </c>
      <c r="I843" s="1" t="s">
        <v>5803</v>
      </c>
      <c r="J843" s="1" t="s">
        <v>3615</v>
      </c>
      <c r="K843" s="1"/>
      <c r="L843" s="1"/>
      <c r="M843" s="1"/>
    </row>
    <row x14ac:dyDescent="0.25" r="844" customHeight="1" ht="18.75">
      <c r="A844" s="1" t="s">
        <v>3693</v>
      </c>
      <c r="B844" s="1" t="s">
        <v>5797</v>
      </c>
      <c r="C844" s="1" t="s">
        <v>3619</v>
      </c>
      <c r="D844" s="1" t="s">
        <v>3601</v>
      </c>
      <c r="E844" s="1" t="s">
        <v>3664</v>
      </c>
      <c r="F844" s="1" t="s">
        <v>5804</v>
      </c>
      <c r="G844" s="1" t="s">
        <v>5802</v>
      </c>
      <c r="H844" s="1" t="s">
        <v>3604</v>
      </c>
      <c r="I844" s="1" t="s">
        <v>5805</v>
      </c>
      <c r="J844" s="1" t="s">
        <v>3615</v>
      </c>
      <c r="K844" s="1"/>
      <c r="L844" s="1"/>
      <c r="M844" s="1"/>
    </row>
    <row x14ac:dyDescent="0.25" r="845" customHeight="1" ht="18.75">
      <c r="A845" s="1" t="s">
        <v>3693</v>
      </c>
      <c r="B845" s="1" t="s">
        <v>4323</v>
      </c>
      <c r="C845" s="1" t="s">
        <v>3600</v>
      </c>
      <c r="D845" s="1" t="s">
        <v>3601</v>
      </c>
      <c r="E845" s="1"/>
      <c r="F845" s="1" t="s">
        <v>5806</v>
      </c>
      <c r="G845" s="1" t="s">
        <v>5670</v>
      </c>
      <c r="H845" s="1" t="s">
        <v>3604</v>
      </c>
      <c r="I845" s="1" t="s">
        <v>5807</v>
      </c>
      <c r="J845" s="1" t="s">
        <v>3606</v>
      </c>
      <c r="K845" s="1"/>
      <c r="L845" s="1"/>
      <c r="M845" s="1"/>
    </row>
    <row x14ac:dyDescent="0.25" r="846" customHeight="1" ht="18.75">
      <c r="A846" s="1" t="s">
        <v>3693</v>
      </c>
      <c r="B846" s="1" t="s">
        <v>4323</v>
      </c>
      <c r="C846" s="1" t="s">
        <v>3600</v>
      </c>
      <c r="D846" s="1" t="s">
        <v>3601</v>
      </c>
      <c r="E846" s="1"/>
      <c r="F846" s="1" t="s">
        <v>5808</v>
      </c>
      <c r="G846" s="1" t="s">
        <v>5767</v>
      </c>
      <c r="H846" s="1" t="s">
        <v>3604</v>
      </c>
      <c r="I846" s="1" t="s">
        <v>5809</v>
      </c>
      <c r="J846" s="1" t="s">
        <v>3606</v>
      </c>
      <c r="K846" s="1"/>
      <c r="L846" s="1"/>
      <c r="M846" s="1"/>
    </row>
    <row x14ac:dyDescent="0.25" r="847" customHeight="1" ht="18.75">
      <c r="A847" s="1" t="s">
        <v>3693</v>
      </c>
      <c r="B847" s="1" t="s">
        <v>4323</v>
      </c>
      <c r="C847" s="1" t="s">
        <v>3600</v>
      </c>
      <c r="D847" s="1" t="s">
        <v>3601</v>
      </c>
      <c r="E847" s="1"/>
      <c r="F847" s="1" t="s">
        <v>5810</v>
      </c>
      <c r="G847" s="1" t="s">
        <v>5767</v>
      </c>
      <c r="H847" s="1" t="s">
        <v>3604</v>
      </c>
      <c r="I847" s="1" t="s">
        <v>5811</v>
      </c>
      <c r="J847" s="1" t="s">
        <v>3606</v>
      </c>
      <c r="K847" s="1"/>
      <c r="L847" s="1"/>
      <c r="M847" s="1"/>
    </row>
    <row x14ac:dyDescent="0.25" r="848" customHeight="1" ht="18.75">
      <c r="A848" s="1" t="s">
        <v>3693</v>
      </c>
      <c r="B848" s="1" t="s">
        <v>4323</v>
      </c>
      <c r="C848" s="1" t="s">
        <v>3600</v>
      </c>
      <c r="D848" s="1" t="s">
        <v>3601</v>
      </c>
      <c r="E848" s="1"/>
      <c r="F848" s="1" t="s">
        <v>5812</v>
      </c>
      <c r="G848" s="1" t="s">
        <v>5767</v>
      </c>
      <c r="H848" s="1" t="s">
        <v>3604</v>
      </c>
      <c r="I848" s="1" t="s">
        <v>5813</v>
      </c>
      <c r="J848" s="1" t="s">
        <v>3606</v>
      </c>
      <c r="K848" s="1"/>
      <c r="L848" s="1"/>
      <c r="M848" s="1"/>
    </row>
    <row x14ac:dyDescent="0.25" r="849" customHeight="1" ht="18.75">
      <c r="A849" s="1" t="s">
        <v>3693</v>
      </c>
      <c r="B849" s="1" t="s">
        <v>3720</v>
      </c>
      <c r="C849" s="1" t="s">
        <v>3619</v>
      </c>
      <c r="D849" s="1" t="s">
        <v>3601</v>
      </c>
      <c r="E849" s="1" t="s">
        <v>3664</v>
      </c>
      <c r="F849" s="1" t="s">
        <v>5814</v>
      </c>
      <c r="G849" s="1" t="s">
        <v>5815</v>
      </c>
      <c r="H849" s="1" t="s">
        <v>3604</v>
      </c>
      <c r="I849" s="1" t="s">
        <v>5816</v>
      </c>
      <c r="J849" s="1" t="s">
        <v>3615</v>
      </c>
      <c r="K849" s="1"/>
      <c r="L849" s="1"/>
      <c r="M849" s="1"/>
    </row>
    <row x14ac:dyDescent="0.25" r="850" customHeight="1" ht="18.75">
      <c r="A850" s="1" t="s">
        <v>3693</v>
      </c>
      <c r="B850" s="1" t="s">
        <v>4192</v>
      </c>
      <c r="C850" s="1" t="s">
        <v>3600</v>
      </c>
      <c r="D850" s="1" t="s">
        <v>3601</v>
      </c>
      <c r="E850" s="1" t="s">
        <v>3893</v>
      </c>
      <c r="F850" s="1" t="s">
        <v>5817</v>
      </c>
      <c r="G850" s="1" t="s">
        <v>5818</v>
      </c>
      <c r="H850" s="1" t="s">
        <v>3604</v>
      </c>
      <c r="I850" s="1" t="s">
        <v>5819</v>
      </c>
      <c r="J850" s="1" t="s">
        <v>3615</v>
      </c>
      <c r="K850" s="1"/>
      <c r="L850" s="1"/>
      <c r="M850" s="1"/>
    </row>
    <row x14ac:dyDescent="0.25" r="851" customHeight="1" ht="18.75">
      <c r="A851" s="1" t="s">
        <v>3693</v>
      </c>
      <c r="B851" s="1" t="s">
        <v>3720</v>
      </c>
      <c r="C851" s="1" t="s">
        <v>3619</v>
      </c>
      <c r="D851" s="1" t="s">
        <v>3601</v>
      </c>
      <c r="E851" s="1" t="s">
        <v>3664</v>
      </c>
      <c r="F851" s="1" t="s">
        <v>5820</v>
      </c>
      <c r="G851" s="1" t="s">
        <v>5815</v>
      </c>
      <c r="H851" s="1" t="s">
        <v>3604</v>
      </c>
      <c r="I851" s="1" t="s">
        <v>5821</v>
      </c>
      <c r="J851" s="1" t="s">
        <v>3615</v>
      </c>
      <c r="K851" s="1"/>
      <c r="L851" s="1"/>
      <c r="M851" s="1"/>
    </row>
    <row x14ac:dyDescent="0.25" r="852" customHeight="1" ht="18.75">
      <c r="A852" s="1" t="s">
        <v>3693</v>
      </c>
      <c r="B852" s="1" t="s">
        <v>4181</v>
      </c>
      <c r="C852" s="1" t="s">
        <v>3619</v>
      </c>
      <c r="D852" s="1" t="s">
        <v>3601</v>
      </c>
      <c r="E852" s="1" t="s">
        <v>3664</v>
      </c>
      <c r="F852" s="1" t="s">
        <v>5822</v>
      </c>
      <c r="G852" s="1" t="s">
        <v>5823</v>
      </c>
      <c r="H852" s="1" t="s">
        <v>3604</v>
      </c>
      <c r="I852" s="1" t="s">
        <v>5824</v>
      </c>
      <c r="J852" s="1" t="s">
        <v>3615</v>
      </c>
      <c r="K852" s="1"/>
      <c r="L852" s="1"/>
      <c r="M852" s="1"/>
    </row>
    <row x14ac:dyDescent="0.25" r="853" customHeight="1" ht="18.75">
      <c r="A853" s="1" t="s">
        <v>3693</v>
      </c>
      <c r="B853" s="1" t="s">
        <v>4192</v>
      </c>
      <c r="C853" s="1" t="s">
        <v>3600</v>
      </c>
      <c r="D853" s="1" t="s">
        <v>3601</v>
      </c>
      <c r="E853" s="1" t="s">
        <v>3893</v>
      </c>
      <c r="F853" s="1" t="s">
        <v>5825</v>
      </c>
      <c r="G853" s="1" t="s">
        <v>5818</v>
      </c>
      <c r="H853" s="1" t="s">
        <v>3604</v>
      </c>
      <c r="I853" s="1" t="s">
        <v>5826</v>
      </c>
      <c r="J853" s="1" t="s">
        <v>3615</v>
      </c>
      <c r="K853" s="1"/>
      <c r="L853" s="1"/>
      <c r="M853" s="1"/>
    </row>
    <row x14ac:dyDescent="0.25" r="854" customHeight="1" ht="18.75">
      <c r="A854" s="1" t="s">
        <v>3693</v>
      </c>
      <c r="B854" s="1" t="s">
        <v>3720</v>
      </c>
      <c r="C854" s="1" t="s">
        <v>3619</v>
      </c>
      <c r="D854" s="1" t="s">
        <v>3601</v>
      </c>
      <c r="E854" s="1" t="s">
        <v>3664</v>
      </c>
      <c r="F854" s="1" t="s">
        <v>5827</v>
      </c>
      <c r="G854" s="1" t="s">
        <v>5828</v>
      </c>
      <c r="H854" s="1" t="s">
        <v>3604</v>
      </c>
      <c r="I854" s="1" t="s">
        <v>5829</v>
      </c>
      <c r="J854" s="1" t="s">
        <v>3615</v>
      </c>
      <c r="K854" s="1"/>
      <c r="L854" s="1"/>
      <c r="M854" s="1"/>
    </row>
    <row x14ac:dyDescent="0.25" r="855" customHeight="1" ht="18.75">
      <c r="A855" s="1" t="s">
        <v>3693</v>
      </c>
      <c r="B855" s="1" t="s">
        <v>4192</v>
      </c>
      <c r="C855" s="1" t="s">
        <v>3600</v>
      </c>
      <c r="D855" s="1" t="s">
        <v>3601</v>
      </c>
      <c r="E855" s="1" t="s">
        <v>3893</v>
      </c>
      <c r="F855" s="1" t="s">
        <v>5830</v>
      </c>
      <c r="G855" s="1" t="s">
        <v>5818</v>
      </c>
      <c r="H855" s="1" t="s">
        <v>3604</v>
      </c>
      <c r="I855" s="1" t="s">
        <v>5831</v>
      </c>
      <c r="J855" s="1" t="s">
        <v>3615</v>
      </c>
      <c r="K855" s="1"/>
      <c r="L855" s="1"/>
      <c r="M855" s="1"/>
    </row>
    <row x14ac:dyDescent="0.25" r="856" customHeight="1" ht="18.75">
      <c r="A856" s="1" t="s">
        <v>3693</v>
      </c>
      <c r="B856" s="1" t="s">
        <v>4181</v>
      </c>
      <c r="C856" s="1" t="s">
        <v>3619</v>
      </c>
      <c r="D856" s="1" t="s">
        <v>3601</v>
      </c>
      <c r="E856" s="1" t="s">
        <v>3664</v>
      </c>
      <c r="F856" s="1" t="s">
        <v>5832</v>
      </c>
      <c r="G856" s="1" t="s">
        <v>4182</v>
      </c>
      <c r="H856" s="1" t="s">
        <v>3604</v>
      </c>
      <c r="I856" s="1" t="s">
        <v>5833</v>
      </c>
      <c r="J856" s="1" t="s">
        <v>3615</v>
      </c>
      <c r="K856" s="1"/>
      <c r="L856" s="1"/>
      <c r="M856" s="1"/>
    </row>
    <row x14ac:dyDescent="0.25" r="857" customHeight="1" ht="18.75">
      <c r="A857" s="1" t="s">
        <v>3693</v>
      </c>
      <c r="B857" s="1" t="s">
        <v>3720</v>
      </c>
      <c r="C857" s="1" t="s">
        <v>3619</v>
      </c>
      <c r="D857" s="1" t="s">
        <v>3601</v>
      </c>
      <c r="E857" s="1" t="s">
        <v>3664</v>
      </c>
      <c r="F857" s="1" t="s">
        <v>5834</v>
      </c>
      <c r="G857" s="1" t="s">
        <v>5828</v>
      </c>
      <c r="H857" s="1" t="s">
        <v>3604</v>
      </c>
      <c r="I857" s="1" t="s">
        <v>5835</v>
      </c>
      <c r="J857" s="1" t="s">
        <v>3615</v>
      </c>
      <c r="K857" s="1"/>
      <c r="L857" s="1"/>
      <c r="M857" s="1"/>
    </row>
    <row x14ac:dyDescent="0.25" r="858" customHeight="1" ht="18.75">
      <c r="A858" s="1" t="s">
        <v>3693</v>
      </c>
      <c r="B858" s="1" t="s">
        <v>4091</v>
      </c>
      <c r="C858" s="1" t="s">
        <v>3600</v>
      </c>
      <c r="D858" s="1" t="s">
        <v>3601</v>
      </c>
      <c r="E858" s="1" t="s">
        <v>3893</v>
      </c>
      <c r="F858" s="1" t="s">
        <v>5836</v>
      </c>
      <c r="G858" s="1" t="s">
        <v>5837</v>
      </c>
      <c r="H858" s="1" t="s">
        <v>3604</v>
      </c>
      <c r="I858" s="1" t="s">
        <v>5838</v>
      </c>
      <c r="J858" s="1" t="s">
        <v>3606</v>
      </c>
      <c r="K858" s="1"/>
      <c r="L858" s="1"/>
      <c r="M858" s="1"/>
    </row>
    <row x14ac:dyDescent="0.25" r="859" customHeight="1" ht="18.75">
      <c r="A859" s="1" t="s">
        <v>3693</v>
      </c>
      <c r="B859" s="1" t="s">
        <v>4323</v>
      </c>
      <c r="C859" s="1" t="s">
        <v>3600</v>
      </c>
      <c r="D859" s="1" t="s">
        <v>3601</v>
      </c>
      <c r="E859" s="1"/>
      <c r="F859" s="1" t="s">
        <v>5839</v>
      </c>
      <c r="G859" s="1" t="s">
        <v>5840</v>
      </c>
      <c r="H859" s="1" t="s">
        <v>3604</v>
      </c>
      <c r="I859" s="1" t="s">
        <v>5841</v>
      </c>
      <c r="J859" s="1" t="s">
        <v>3606</v>
      </c>
      <c r="K859" s="1"/>
      <c r="L859" s="1"/>
      <c r="M859" s="1"/>
    </row>
    <row x14ac:dyDescent="0.25" r="860" customHeight="1" ht="18.75">
      <c r="A860" s="1" t="s">
        <v>3693</v>
      </c>
      <c r="B860" s="1" t="s">
        <v>4192</v>
      </c>
      <c r="C860" s="1" t="s">
        <v>3600</v>
      </c>
      <c r="D860" s="1" t="s">
        <v>3601</v>
      </c>
      <c r="E860" s="1" t="s">
        <v>3664</v>
      </c>
      <c r="F860" s="1" t="s">
        <v>5842</v>
      </c>
      <c r="G860" s="1" t="s">
        <v>5843</v>
      </c>
      <c r="H860" s="1" t="s">
        <v>3604</v>
      </c>
      <c r="I860" s="1" t="s">
        <v>5844</v>
      </c>
      <c r="J860" s="1" t="s">
        <v>3615</v>
      </c>
      <c r="K860" s="1"/>
      <c r="L860" s="1"/>
      <c r="M860" s="1"/>
    </row>
    <row x14ac:dyDescent="0.25" r="861" customHeight="1" ht="18.75">
      <c r="A861" s="1" t="s">
        <v>3693</v>
      </c>
      <c r="B861" s="1" t="s">
        <v>4192</v>
      </c>
      <c r="C861" s="1" t="s">
        <v>3600</v>
      </c>
      <c r="D861" s="1" t="s">
        <v>3601</v>
      </c>
      <c r="E861" s="1" t="s">
        <v>3893</v>
      </c>
      <c r="F861" s="1" t="s">
        <v>5845</v>
      </c>
      <c r="G861" s="1" t="s">
        <v>5846</v>
      </c>
      <c r="H861" s="1" t="s">
        <v>3604</v>
      </c>
      <c r="I861" s="1" t="s">
        <v>5847</v>
      </c>
      <c r="J861" s="1" t="s">
        <v>3615</v>
      </c>
      <c r="K861" s="1"/>
      <c r="L861" s="1"/>
      <c r="M861" s="1"/>
    </row>
    <row x14ac:dyDescent="0.25" r="862" customHeight="1" ht="18.75">
      <c r="A862" s="1" t="s">
        <v>3693</v>
      </c>
      <c r="B862" s="1" t="s">
        <v>4192</v>
      </c>
      <c r="C862" s="1" t="s">
        <v>3600</v>
      </c>
      <c r="D862" s="1" t="s">
        <v>3601</v>
      </c>
      <c r="E862" s="1" t="s">
        <v>3893</v>
      </c>
      <c r="F862" s="1" t="s">
        <v>5848</v>
      </c>
      <c r="G862" s="1" t="s">
        <v>5846</v>
      </c>
      <c r="H862" s="1" t="s">
        <v>3604</v>
      </c>
      <c r="I862" s="1" t="s">
        <v>5849</v>
      </c>
      <c r="J862" s="1" t="s">
        <v>3615</v>
      </c>
      <c r="K862" s="1"/>
      <c r="L862" s="1"/>
      <c r="M862" s="1"/>
    </row>
    <row x14ac:dyDescent="0.25" r="863" customHeight="1" ht="18.75">
      <c r="A863" s="1" t="s">
        <v>3693</v>
      </c>
      <c r="B863" s="1" t="s">
        <v>4323</v>
      </c>
      <c r="C863" s="1" t="s">
        <v>3600</v>
      </c>
      <c r="D863" s="1" t="s">
        <v>3601</v>
      </c>
      <c r="E863" s="1"/>
      <c r="F863" s="1" t="s">
        <v>4771</v>
      </c>
      <c r="G863" s="1" t="s">
        <v>5767</v>
      </c>
      <c r="H863" s="1" t="s">
        <v>3604</v>
      </c>
      <c r="I863" s="1" t="s">
        <v>5850</v>
      </c>
      <c r="J863" s="1" t="s">
        <v>3615</v>
      </c>
      <c r="K863" s="1"/>
      <c r="L863" s="1"/>
      <c r="M863" s="1"/>
    </row>
    <row x14ac:dyDescent="0.25" r="864" customHeight="1" ht="18.75">
      <c r="A864" s="1" t="s">
        <v>3693</v>
      </c>
      <c r="B864" s="1" t="s">
        <v>4192</v>
      </c>
      <c r="C864" s="1" t="s">
        <v>3600</v>
      </c>
      <c r="D864" s="1" t="s">
        <v>3601</v>
      </c>
      <c r="E864" s="1" t="s">
        <v>3893</v>
      </c>
      <c r="F864" s="1" t="s">
        <v>5851</v>
      </c>
      <c r="G864" s="1" t="s">
        <v>5846</v>
      </c>
      <c r="H864" s="1" t="s">
        <v>3604</v>
      </c>
      <c r="I864" s="1" t="s">
        <v>5852</v>
      </c>
      <c r="J864" s="1" t="s">
        <v>3615</v>
      </c>
      <c r="K864" s="1"/>
      <c r="L864" s="1"/>
      <c r="M864" s="1"/>
    </row>
    <row x14ac:dyDescent="0.25" r="865" customHeight="1" ht="18.75">
      <c r="A865" s="1" t="s">
        <v>3693</v>
      </c>
      <c r="B865" s="1" t="s">
        <v>4192</v>
      </c>
      <c r="C865" s="1" t="s">
        <v>3600</v>
      </c>
      <c r="D865" s="1" t="s">
        <v>3601</v>
      </c>
      <c r="E865" s="1" t="s">
        <v>3893</v>
      </c>
      <c r="F865" s="1" t="s">
        <v>5853</v>
      </c>
      <c r="G865" s="1" t="s">
        <v>5846</v>
      </c>
      <c r="H865" s="1" t="s">
        <v>3604</v>
      </c>
      <c r="I865" s="1" t="s">
        <v>5854</v>
      </c>
      <c r="J865" s="1" t="s">
        <v>3615</v>
      </c>
      <c r="K865" s="1"/>
      <c r="L865" s="1"/>
      <c r="M865" s="1"/>
    </row>
    <row x14ac:dyDescent="0.25" r="866" customHeight="1" ht="18.75">
      <c r="A866" s="1" t="s">
        <v>3693</v>
      </c>
      <c r="B866" s="1" t="s">
        <v>4192</v>
      </c>
      <c r="C866" s="1" t="s">
        <v>3600</v>
      </c>
      <c r="D866" s="1" t="s">
        <v>3601</v>
      </c>
      <c r="E866" s="1" t="s">
        <v>3893</v>
      </c>
      <c r="F866" s="1" t="s">
        <v>5855</v>
      </c>
      <c r="G866" s="1" t="s">
        <v>5846</v>
      </c>
      <c r="H866" s="1" t="s">
        <v>3604</v>
      </c>
      <c r="I866" s="1" t="s">
        <v>5856</v>
      </c>
      <c r="J866" s="1" t="s">
        <v>3615</v>
      </c>
      <c r="K866" s="1"/>
      <c r="L866" s="1"/>
      <c r="M866" s="1"/>
    </row>
    <row x14ac:dyDescent="0.25" r="867" customHeight="1" ht="18.75">
      <c r="A867" s="1" t="s">
        <v>3693</v>
      </c>
      <c r="B867" s="1" t="s">
        <v>4192</v>
      </c>
      <c r="C867" s="1" t="s">
        <v>3600</v>
      </c>
      <c r="D867" s="1" t="s">
        <v>3601</v>
      </c>
      <c r="E867" s="1" t="s">
        <v>3893</v>
      </c>
      <c r="F867" s="1" t="s">
        <v>5857</v>
      </c>
      <c r="G867" s="1" t="s">
        <v>5846</v>
      </c>
      <c r="H867" s="1" t="s">
        <v>3604</v>
      </c>
      <c r="I867" s="1" t="s">
        <v>5858</v>
      </c>
      <c r="J867" s="1" t="s">
        <v>3615</v>
      </c>
      <c r="K867" s="1"/>
      <c r="L867" s="1"/>
      <c r="M867" s="1"/>
    </row>
    <row x14ac:dyDescent="0.25" r="868" customHeight="1" ht="18.75">
      <c r="A868" s="1" t="s">
        <v>3693</v>
      </c>
      <c r="B868" s="1" t="s">
        <v>4192</v>
      </c>
      <c r="C868" s="1" t="s">
        <v>3600</v>
      </c>
      <c r="D868" s="1" t="s">
        <v>3601</v>
      </c>
      <c r="E868" s="1" t="s">
        <v>3893</v>
      </c>
      <c r="F868" s="1" t="s">
        <v>5859</v>
      </c>
      <c r="G868" s="1" t="s">
        <v>5846</v>
      </c>
      <c r="H868" s="1" t="s">
        <v>3604</v>
      </c>
      <c r="I868" s="1" t="s">
        <v>5860</v>
      </c>
      <c r="J868" s="1" t="s">
        <v>3615</v>
      </c>
      <c r="K868" s="1"/>
      <c r="L868" s="1"/>
      <c r="M868" s="1"/>
    </row>
    <row x14ac:dyDescent="0.25" r="869" customHeight="1" ht="18.75">
      <c r="A869" s="1" t="s">
        <v>3693</v>
      </c>
      <c r="B869" s="1" t="s">
        <v>4192</v>
      </c>
      <c r="C869" s="1" t="s">
        <v>3600</v>
      </c>
      <c r="D869" s="1" t="s">
        <v>3601</v>
      </c>
      <c r="E869" s="1" t="s">
        <v>3893</v>
      </c>
      <c r="F869" s="1" t="s">
        <v>5861</v>
      </c>
      <c r="G869" s="1" t="s">
        <v>5846</v>
      </c>
      <c r="H869" s="1" t="s">
        <v>3604</v>
      </c>
      <c r="I869" s="1" t="s">
        <v>5862</v>
      </c>
      <c r="J869" s="1" t="s">
        <v>3615</v>
      </c>
      <c r="K869" s="1"/>
      <c r="L869" s="1"/>
      <c r="M869" s="1"/>
    </row>
    <row x14ac:dyDescent="0.25" r="870" customHeight="1" ht="18.75">
      <c r="A870" s="1" t="s">
        <v>3693</v>
      </c>
      <c r="B870" s="1" t="s">
        <v>4192</v>
      </c>
      <c r="C870" s="1" t="s">
        <v>3600</v>
      </c>
      <c r="D870" s="1" t="s">
        <v>3601</v>
      </c>
      <c r="E870" s="1" t="s">
        <v>3893</v>
      </c>
      <c r="F870" s="1" t="s">
        <v>5863</v>
      </c>
      <c r="G870" s="1" t="s">
        <v>5846</v>
      </c>
      <c r="H870" s="1" t="s">
        <v>3604</v>
      </c>
      <c r="I870" s="1" t="s">
        <v>5864</v>
      </c>
      <c r="J870" s="1" t="s">
        <v>3615</v>
      </c>
      <c r="K870" s="1"/>
      <c r="L870" s="1"/>
      <c r="M870" s="1"/>
    </row>
    <row x14ac:dyDescent="0.25" r="871" customHeight="1" ht="18.75">
      <c r="A871" s="1" t="s">
        <v>3693</v>
      </c>
      <c r="B871" s="1" t="s">
        <v>4192</v>
      </c>
      <c r="C871" s="1" t="s">
        <v>3600</v>
      </c>
      <c r="D871" s="1" t="s">
        <v>3601</v>
      </c>
      <c r="E871" s="1" t="s">
        <v>3893</v>
      </c>
      <c r="F871" s="1" t="s">
        <v>5865</v>
      </c>
      <c r="G871" s="1" t="s">
        <v>5846</v>
      </c>
      <c r="H871" s="1" t="s">
        <v>3604</v>
      </c>
      <c r="I871" s="1" t="s">
        <v>5866</v>
      </c>
      <c r="J871" s="1" t="s">
        <v>3615</v>
      </c>
      <c r="K871" s="1"/>
      <c r="L871" s="1"/>
      <c r="M871" s="1"/>
    </row>
    <row x14ac:dyDescent="0.25" r="872" customHeight="1" ht="18.75">
      <c r="A872" s="1" t="s">
        <v>3693</v>
      </c>
      <c r="B872" s="1" t="s">
        <v>4323</v>
      </c>
      <c r="C872" s="1" t="s">
        <v>3600</v>
      </c>
      <c r="D872" s="1" t="s">
        <v>3601</v>
      </c>
      <c r="E872" s="1"/>
      <c r="F872" s="1" t="s">
        <v>5867</v>
      </c>
      <c r="G872" s="1" t="s">
        <v>5840</v>
      </c>
      <c r="H872" s="1" t="s">
        <v>3604</v>
      </c>
      <c r="I872" s="1" t="s">
        <v>5868</v>
      </c>
      <c r="J872" s="1" t="s">
        <v>3606</v>
      </c>
      <c r="K872" s="1"/>
      <c r="L872" s="1"/>
      <c r="M872" s="1"/>
    </row>
    <row x14ac:dyDescent="0.25" r="873" customHeight="1" ht="18.75">
      <c r="A873" s="1" t="s">
        <v>3693</v>
      </c>
      <c r="B873" s="1" t="s">
        <v>4323</v>
      </c>
      <c r="C873" s="1" t="s">
        <v>3600</v>
      </c>
      <c r="D873" s="1" t="s">
        <v>3601</v>
      </c>
      <c r="E873" s="1"/>
      <c r="F873" s="1" t="s">
        <v>5869</v>
      </c>
      <c r="G873" s="1" t="s">
        <v>5870</v>
      </c>
      <c r="H873" s="1" t="s">
        <v>3604</v>
      </c>
      <c r="I873" s="1" t="s">
        <v>5871</v>
      </c>
      <c r="J873" s="1" t="s">
        <v>3606</v>
      </c>
      <c r="K873" s="1"/>
      <c r="L873" s="1"/>
      <c r="M873" s="1"/>
    </row>
    <row x14ac:dyDescent="0.25" r="874" customHeight="1" ht="18.75">
      <c r="A874" s="1" t="s">
        <v>3693</v>
      </c>
      <c r="B874" s="1" t="s">
        <v>4323</v>
      </c>
      <c r="C874" s="1" t="s">
        <v>3600</v>
      </c>
      <c r="D874" s="1" t="s">
        <v>3601</v>
      </c>
      <c r="E874" s="1"/>
      <c r="F874" s="1" t="s">
        <v>5872</v>
      </c>
      <c r="G874" s="1" t="s">
        <v>5870</v>
      </c>
      <c r="H874" s="1" t="s">
        <v>3604</v>
      </c>
      <c r="I874" s="1" t="s">
        <v>5873</v>
      </c>
      <c r="J874" s="1" t="s">
        <v>3606</v>
      </c>
      <c r="K874" s="1"/>
      <c r="L874" s="1"/>
      <c r="M874" s="1"/>
    </row>
    <row x14ac:dyDescent="0.25" r="875" customHeight="1" ht="18.75">
      <c r="A875" s="1" t="s">
        <v>3693</v>
      </c>
      <c r="B875" s="1" t="s">
        <v>4323</v>
      </c>
      <c r="C875" s="1" t="s">
        <v>3600</v>
      </c>
      <c r="D875" s="1" t="s">
        <v>3601</v>
      </c>
      <c r="E875" s="1"/>
      <c r="F875" s="1" t="s">
        <v>5869</v>
      </c>
      <c r="G875" s="1" t="s">
        <v>5870</v>
      </c>
      <c r="H875" s="1" t="s">
        <v>3604</v>
      </c>
      <c r="I875" s="1" t="s">
        <v>5874</v>
      </c>
      <c r="J875" s="1" t="s">
        <v>3606</v>
      </c>
      <c r="K875" s="1"/>
      <c r="L875" s="1"/>
      <c r="M875" s="1"/>
    </row>
    <row x14ac:dyDescent="0.25" r="876" customHeight="1" ht="18.75">
      <c r="A876" s="1" t="s">
        <v>3693</v>
      </c>
      <c r="B876" s="1" t="s">
        <v>4192</v>
      </c>
      <c r="C876" s="1" t="s">
        <v>3600</v>
      </c>
      <c r="D876" s="1" t="s">
        <v>3601</v>
      </c>
      <c r="E876" s="1" t="s">
        <v>3664</v>
      </c>
      <c r="F876" s="1" t="s">
        <v>5875</v>
      </c>
      <c r="G876" s="1" t="s">
        <v>5876</v>
      </c>
      <c r="H876" s="1" t="s">
        <v>3604</v>
      </c>
      <c r="I876" s="1" t="s">
        <v>5877</v>
      </c>
      <c r="J876" s="1" t="s">
        <v>3615</v>
      </c>
      <c r="K876" s="1"/>
      <c r="L876" s="1"/>
      <c r="M876" s="1"/>
    </row>
    <row x14ac:dyDescent="0.25" r="877" customHeight="1" ht="18.75">
      <c r="A877" s="1" t="s">
        <v>3693</v>
      </c>
      <c r="B877" s="1" t="s">
        <v>4192</v>
      </c>
      <c r="C877" s="1" t="s">
        <v>3600</v>
      </c>
      <c r="D877" s="1" t="s">
        <v>3601</v>
      </c>
      <c r="E877" s="1" t="s">
        <v>3893</v>
      </c>
      <c r="F877" s="1" t="s">
        <v>5878</v>
      </c>
      <c r="G877" s="1" t="s">
        <v>5879</v>
      </c>
      <c r="H877" s="1" t="s">
        <v>3604</v>
      </c>
      <c r="I877" s="1" t="s">
        <v>5880</v>
      </c>
      <c r="J877" s="1" t="s">
        <v>3606</v>
      </c>
      <c r="K877" s="1"/>
      <c r="L877" s="1"/>
      <c r="M877" s="1"/>
    </row>
    <row x14ac:dyDescent="0.25" r="878" customHeight="1" ht="18.75">
      <c r="A878" s="1" t="s">
        <v>3693</v>
      </c>
      <c r="B878" s="1" t="s">
        <v>4091</v>
      </c>
      <c r="C878" s="1" t="s">
        <v>3600</v>
      </c>
      <c r="D878" s="1" t="s">
        <v>3601</v>
      </c>
      <c r="E878" s="1" t="s">
        <v>3893</v>
      </c>
      <c r="F878" s="1" t="s">
        <v>5881</v>
      </c>
      <c r="G878" s="1" t="s">
        <v>5882</v>
      </c>
      <c r="H878" s="1" t="s">
        <v>3604</v>
      </c>
      <c r="I878" s="1" t="s">
        <v>5883</v>
      </c>
      <c r="J878" s="1" t="s">
        <v>3606</v>
      </c>
      <c r="K878" s="1"/>
      <c r="L878" s="1"/>
      <c r="M878" s="1"/>
    </row>
    <row x14ac:dyDescent="0.25" r="879" customHeight="1" ht="18.75">
      <c r="A879" s="1" t="s">
        <v>3693</v>
      </c>
      <c r="B879" s="1" t="s">
        <v>4192</v>
      </c>
      <c r="C879" s="1" t="s">
        <v>3600</v>
      </c>
      <c r="D879" s="1" t="s">
        <v>3601</v>
      </c>
      <c r="E879" s="1" t="s">
        <v>3893</v>
      </c>
      <c r="F879" s="1" t="s">
        <v>5884</v>
      </c>
      <c r="G879" s="1" t="s">
        <v>5846</v>
      </c>
      <c r="H879" s="1" t="s">
        <v>3604</v>
      </c>
      <c r="I879" s="1" t="s">
        <v>5885</v>
      </c>
      <c r="J879" s="1" t="s">
        <v>3606</v>
      </c>
      <c r="K879" s="1"/>
      <c r="L879" s="1"/>
      <c r="M879" s="1"/>
    </row>
    <row x14ac:dyDescent="0.25" r="880" customHeight="1" ht="18.75">
      <c r="A880" s="1" t="s">
        <v>3693</v>
      </c>
      <c r="B880" s="1" t="s">
        <v>4323</v>
      </c>
      <c r="C880" s="1" t="s">
        <v>3600</v>
      </c>
      <c r="D880" s="1" t="s">
        <v>3601</v>
      </c>
      <c r="E880" s="1"/>
      <c r="F880" s="1" t="s">
        <v>5886</v>
      </c>
      <c r="G880" s="1" t="s">
        <v>5870</v>
      </c>
      <c r="H880" s="1" t="s">
        <v>3604</v>
      </c>
      <c r="I880" s="1" t="s">
        <v>5887</v>
      </c>
      <c r="J880" s="1" t="s">
        <v>3606</v>
      </c>
      <c r="K880" s="1"/>
      <c r="L880" s="1"/>
      <c r="M880" s="1"/>
    </row>
    <row x14ac:dyDescent="0.25" r="881" customHeight="1" ht="18.75">
      <c r="A881" s="1" t="s">
        <v>3693</v>
      </c>
      <c r="B881" s="1" t="s">
        <v>4192</v>
      </c>
      <c r="C881" s="1" t="s">
        <v>3600</v>
      </c>
      <c r="D881" s="1" t="s">
        <v>3601</v>
      </c>
      <c r="E881" s="1" t="s">
        <v>3893</v>
      </c>
      <c r="F881" s="1" t="s">
        <v>5888</v>
      </c>
      <c r="G881" s="1" t="s">
        <v>5846</v>
      </c>
      <c r="H881" s="1" t="s">
        <v>3604</v>
      </c>
      <c r="I881" s="1" t="s">
        <v>5889</v>
      </c>
      <c r="J881" s="1" t="s">
        <v>3606</v>
      </c>
      <c r="K881" s="1"/>
      <c r="L881" s="1"/>
      <c r="M881" s="1"/>
    </row>
    <row x14ac:dyDescent="0.25" r="882" customHeight="1" ht="18.75">
      <c r="A882" s="1" t="s">
        <v>3693</v>
      </c>
      <c r="B882" s="1" t="s">
        <v>3720</v>
      </c>
      <c r="C882" s="1" t="s">
        <v>3619</v>
      </c>
      <c r="D882" s="1" t="s">
        <v>3601</v>
      </c>
      <c r="E882" s="1" t="s">
        <v>3664</v>
      </c>
      <c r="F882" s="1" t="s">
        <v>5890</v>
      </c>
      <c r="G882" s="1" t="s">
        <v>5828</v>
      </c>
      <c r="H882" s="1" t="s">
        <v>3604</v>
      </c>
      <c r="I882" s="1" t="s">
        <v>5891</v>
      </c>
      <c r="J882" s="1" t="s">
        <v>3615</v>
      </c>
      <c r="K882" s="1"/>
      <c r="L882" s="1"/>
      <c r="M882" s="1"/>
    </row>
    <row x14ac:dyDescent="0.25" r="883" customHeight="1" ht="18.75">
      <c r="A883" s="1" t="s">
        <v>3693</v>
      </c>
      <c r="B883" s="1" t="s">
        <v>4091</v>
      </c>
      <c r="C883" s="1" t="s">
        <v>3600</v>
      </c>
      <c r="D883" s="1" t="s">
        <v>3601</v>
      </c>
      <c r="E883" s="1" t="s">
        <v>3893</v>
      </c>
      <c r="F883" s="1" t="s">
        <v>5892</v>
      </c>
      <c r="G883" s="1" t="s">
        <v>5882</v>
      </c>
      <c r="H883" s="1" t="s">
        <v>3604</v>
      </c>
      <c r="I883" s="1" t="s">
        <v>5893</v>
      </c>
      <c r="J883" s="1" t="s">
        <v>3606</v>
      </c>
      <c r="K883" s="1"/>
      <c r="L883" s="1"/>
      <c r="M883" s="1"/>
    </row>
    <row x14ac:dyDescent="0.25" r="884" customHeight="1" ht="18.75">
      <c r="A884" s="1" t="s">
        <v>3693</v>
      </c>
      <c r="B884" s="1" t="s">
        <v>3720</v>
      </c>
      <c r="C884" s="1" t="s">
        <v>3619</v>
      </c>
      <c r="D884" s="1" t="s">
        <v>3601</v>
      </c>
      <c r="E884" s="1" t="s">
        <v>3664</v>
      </c>
      <c r="F884" s="1" t="s">
        <v>5894</v>
      </c>
      <c r="G884" s="1" t="s">
        <v>5815</v>
      </c>
      <c r="H884" s="1" t="s">
        <v>3604</v>
      </c>
      <c r="I884" s="1" t="s">
        <v>5895</v>
      </c>
      <c r="J884" s="1" t="s">
        <v>3615</v>
      </c>
      <c r="K884" s="1"/>
      <c r="L884" s="1"/>
      <c r="M884" s="1"/>
    </row>
    <row x14ac:dyDescent="0.25" r="885" customHeight="1" ht="18.75">
      <c r="A885" s="1" t="s">
        <v>3693</v>
      </c>
      <c r="B885" s="1" t="s">
        <v>4091</v>
      </c>
      <c r="C885" s="1" t="s">
        <v>3600</v>
      </c>
      <c r="D885" s="1" t="s">
        <v>3601</v>
      </c>
      <c r="E885" s="1" t="s">
        <v>3893</v>
      </c>
      <c r="F885" s="1" t="s">
        <v>5896</v>
      </c>
      <c r="G885" s="1" t="s">
        <v>5882</v>
      </c>
      <c r="H885" s="1" t="s">
        <v>3604</v>
      </c>
      <c r="I885" s="1" t="s">
        <v>5897</v>
      </c>
      <c r="J885" s="1" t="s">
        <v>3606</v>
      </c>
      <c r="K885" s="1"/>
      <c r="L885" s="1"/>
      <c r="M885" s="1"/>
    </row>
    <row x14ac:dyDescent="0.25" r="886" customHeight="1" ht="18.75">
      <c r="A886" s="1" t="s">
        <v>3693</v>
      </c>
      <c r="B886" s="1" t="s">
        <v>4192</v>
      </c>
      <c r="C886" s="1" t="s">
        <v>3600</v>
      </c>
      <c r="D886" s="1" t="s">
        <v>3601</v>
      </c>
      <c r="E886" s="1" t="s">
        <v>3893</v>
      </c>
      <c r="F886" s="1" t="s">
        <v>5898</v>
      </c>
      <c r="G886" s="1" t="s">
        <v>4085</v>
      </c>
      <c r="H886" s="1" t="s">
        <v>3604</v>
      </c>
      <c r="I886" s="1" t="s">
        <v>5899</v>
      </c>
      <c r="J886" s="1" t="s">
        <v>3615</v>
      </c>
      <c r="K886" s="1"/>
      <c r="L886" s="1"/>
      <c r="M886" s="1"/>
    </row>
    <row x14ac:dyDescent="0.25" r="887" customHeight="1" ht="18.75">
      <c r="A887" s="1" t="s">
        <v>3693</v>
      </c>
      <c r="B887" s="1" t="s">
        <v>4091</v>
      </c>
      <c r="C887" s="1" t="s">
        <v>3600</v>
      </c>
      <c r="D887" s="1" t="s">
        <v>3601</v>
      </c>
      <c r="E887" s="1" t="s">
        <v>3893</v>
      </c>
      <c r="F887" s="1" t="s">
        <v>5900</v>
      </c>
      <c r="G887" s="1" t="s">
        <v>4389</v>
      </c>
      <c r="H887" s="1" t="s">
        <v>3604</v>
      </c>
      <c r="I887" s="1" t="s">
        <v>5901</v>
      </c>
      <c r="J887" s="1" t="s">
        <v>3606</v>
      </c>
      <c r="K887" s="1"/>
      <c r="L887" s="1"/>
      <c r="M887" s="1"/>
    </row>
    <row x14ac:dyDescent="0.25" r="888" customHeight="1" ht="18.75">
      <c r="A888" s="1" t="s">
        <v>3693</v>
      </c>
      <c r="B888" s="1" t="s">
        <v>4166</v>
      </c>
      <c r="C888" s="1" t="s">
        <v>3619</v>
      </c>
      <c r="D888" s="1" t="s">
        <v>3601</v>
      </c>
      <c r="E888" s="1" t="s">
        <v>3664</v>
      </c>
      <c r="F888" s="1" t="s">
        <v>5902</v>
      </c>
      <c r="G888" s="1" t="s">
        <v>5903</v>
      </c>
      <c r="H888" s="1" t="s">
        <v>3604</v>
      </c>
      <c r="I888" s="1" t="s">
        <v>5904</v>
      </c>
      <c r="J888" s="1" t="s">
        <v>3606</v>
      </c>
      <c r="K888" s="1"/>
      <c r="L888" s="1"/>
      <c r="M888" s="1"/>
    </row>
    <row x14ac:dyDescent="0.25" r="889" customHeight="1" ht="18.75">
      <c r="A889" s="1" t="s">
        <v>3693</v>
      </c>
      <c r="B889" s="1" t="s">
        <v>4192</v>
      </c>
      <c r="C889" s="1" t="s">
        <v>3600</v>
      </c>
      <c r="D889" s="1" t="s">
        <v>3601</v>
      </c>
      <c r="E889" s="1" t="s">
        <v>3664</v>
      </c>
      <c r="F889" s="1" t="s">
        <v>5905</v>
      </c>
      <c r="G889" s="1" t="s">
        <v>5214</v>
      </c>
      <c r="H889" s="1" t="s">
        <v>3604</v>
      </c>
      <c r="I889" s="1" t="s">
        <v>5906</v>
      </c>
      <c r="J889" s="1" t="s">
        <v>3606</v>
      </c>
      <c r="K889" s="1"/>
      <c r="L889" s="1"/>
      <c r="M889" s="1"/>
    </row>
    <row x14ac:dyDescent="0.25" r="890" customHeight="1" ht="18.75">
      <c r="A890" s="1" t="s">
        <v>3693</v>
      </c>
      <c r="B890" s="1" t="s">
        <v>4192</v>
      </c>
      <c r="C890" s="1" t="s">
        <v>3600</v>
      </c>
      <c r="D890" s="1" t="s">
        <v>3601</v>
      </c>
      <c r="E890" s="1" t="s">
        <v>3664</v>
      </c>
      <c r="F890" s="1" t="s">
        <v>5907</v>
      </c>
      <c r="G890" s="1" t="s">
        <v>5772</v>
      </c>
      <c r="H890" s="1" t="s">
        <v>3604</v>
      </c>
      <c r="I890" s="1" t="s">
        <v>5908</v>
      </c>
      <c r="J890" s="1" t="s">
        <v>3606</v>
      </c>
      <c r="K890" s="1"/>
      <c r="L890" s="1"/>
      <c r="M890" s="1"/>
    </row>
    <row x14ac:dyDescent="0.25" r="891" customHeight="1" ht="18.75">
      <c r="A891" s="1" t="s">
        <v>3693</v>
      </c>
      <c r="B891" s="1" t="s">
        <v>4192</v>
      </c>
      <c r="C891" s="1" t="s">
        <v>3600</v>
      </c>
      <c r="D891" s="1" t="s">
        <v>3601</v>
      </c>
      <c r="E891" s="1" t="s">
        <v>3752</v>
      </c>
      <c r="F891" s="1" t="s">
        <v>5909</v>
      </c>
      <c r="G891" s="1" t="s">
        <v>5910</v>
      </c>
      <c r="H891" s="1" t="s">
        <v>3604</v>
      </c>
      <c r="I891" s="1" t="s">
        <v>5911</v>
      </c>
      <c r="J891" s="1" t="s">
        <v>3615</v>
      </c>
      <c r="K891" s="1"/>
      <c r="L891" s="1"/>
      <c r="M891" s="1"/>
    </row>
    <row x14ac:dyDescent="0.25" r="892" customHeight="1" ht="18.75">
      <c r="A892" s="1" t="s">
        <v>3693</v>
      </c>
      <c r="B892" s="1" t="s">
        <v>4091</v>
      </c>
      <c r="C892" s="1" t="s">
        <v>3600</v>
      </c>
      <c r="D892" s="1" t="s">
        <v>3601</v>
      </c>
      <c r="E892" s="1" t="s">
        <v>3893</v>
      </c>
      <c r="F892" s="1" t="s">
        <v>5912</v>
      </c>
      <c r="G892" s="1" t="s">
        <v>4389</v>
      </c>
      <c r="H892" s="1" t="s">
        <v>3604</v>
      </c>
      <c r="I892" s="1" t="s">
        <v>5913</v>
      </c>
      <c r="J892" s="1" t="s">
        <v>3606</v>
      </c>
      <c r="K892" s="1"/>
      <c r="L892" s="1"/>
      <c r="M892" s="1"/>
    </row>
    <row x14ac:dyDescent="0.25" r="893" customHeight="1" ht="18.75">
      <c r="A893" s="1" t="s">
        <v>3693</v>
      </c>
      <c r="B893" s="1" t="s">
        <v>4091</v>
      </c>
      <c r="C893" s="1" t="s">
        <v>3600</v>
      </c>
      <c r="D893" s="1" t="s">
        <v>3601</v>
      </c>
      <c r="E893" s="1" t="s">
        <v>3893</v>
      </c>
      <c r="F893" s="1" t="s">
        <v>5914</v>
      </c>
      <c r="G893" s="1" t="s">
        <v>4389</v>
      </c>
      <c r="H893" s="1" t="s">
        <v>3604</v>
      </c>
      <c r="I893" s="1" t="s">
        <v>5915</v>
      </c>
      <c r="J893" s="1" t="s">
        <v>3606</v>
      </c>
      <c r="K893" s="1"/>
      <c r="L893" s="1"/>
      <c r="M893" s="1"/>
    </row>
    <row x14ac:dyDescent="0.25" r="894" customHeight="1" ht="18.75">
      <c r="A894" s="1" t="s">
        <v>3693</v>
      </c>
      <c r="B894" s="1" t="s">
        <v>4323</v>
      </c>
      <c r="C894" s="1" t="s">
        <v>3600</v>
      </c>
      <c r="D894" s="1" t="s">
        <v>3601</v>
      </c>
      <c r="E894" s="1"/>
      <c r="F894" s="1" t="s">
        <v>5916</v>
      </c>
      <c r="G894" s="1" t="s">
        <v>5917</v>
      </c>
      <c r="H894" s="1" t="s">
        <v>3604</v>
      </c>
      <c r="I894" s="1" t="s">
        <v>5918</v>
      </c>
      <c r="J894" s="1" t="s">
        <v>3606</v>
      </c>
      <c r="K894" s="1"/>
      <c r="L894" s="1"/>
      <c r="M894" s="1"/>
    </row>
    <row x14ac:dyDescent="0.25" r="895" customHeight="1" ht="18.75">
      <c r="A895" s="1" t="s">
        <v>3693</v>
      </c>
      <c r="B895" s="1" t="s">
        <v>4323</v>
      </c>
      <c r="C895" s="1" t="s">
        <v>3600</v>
      </c>
      <c r="D895" s="1" t="s">
        <v>3601</v>
      </c>
      <c r="E895" s="1"/>
      <c r="F895" s="1" t="s">
        <v>5919</v>
      </c>
      <c r="G895" s="1" t="s">
        <v>5917</v>
      </c>
      <c r="H895" s="1" t="s">
        <v>3604</v>
      </c>
      <c r="I895" s="1" t="s">
        <v>5920</v>
      </c>
      <c r="J895" s="1" t="s">
        <v>3606</v>
      </c>
      <c r="K895" s="1"/>
      <c r="L895" s="1"/>
      <c r="M895" s="1"/>
    </row>
    <row x14ac:dyDescent="0.25" r="896" customHeight="1" ht="18.75">
      <c r="A896" s="1" t="s">
        <v>3693</v>
      </c>
      <c r="B896" s="1" t="s">
        <v>4323</v>
      </c>
      <c r="C896" s="1" t="s">
        <v>3600</v>
      </c>
      <c r="D896" s="1" t="s">
        <v>3601</v>
      </c>
      <c r="E896" s="1"/>
      <c r="F896" s="1" t="s">
        <v>5921</v>
      </c>
      <c r="G896" s="1" t="s">
        <v>5922</v>
      </c>
      <c r="H896" s="1" t="s">
        <v>3604</v>
      </c>
      <c r="I896" s="1" t="s">
        <v>5923</v>
      </c>
      <c r="J896" s="1" t="s">
        <v>3606</v>
      </c>
      <c r="K896" s="1"/>
      <c r="L896" s="1"/>
      <c r="M896" s="1"/>
    </row>
    <row x14ac:dyDescent="0.25" r="897" customHeight="1" ht="18.75">
      <c r="A897" s="1" t="s">
        <v>3693</v>
      </c>
      <c r="B897" s="1" t="s">
        <v>4323</v>
      </c>
      <c r="C897" s="1" t="s">
        <v>3600</v>
      </c>
      <c r="D897" s="1" t="s">
        <v>3601</v>
      </c>
      <c r="E897" s="1"/>
      <c r="F897" s="1" t="s">
        <v>5924</v>
      </c>
      <c r="G897" s="1" t="s">
        <v>5917</v>
      </c>
      <c r="H897" s="1" t="s">
        <v>3604</v>
      </c>
      <c r="I897" s="1" t="s">
        <v>5925</v>
      </c>
      <c r="J897" s="1" t="s">
        <v>3606</v>
      </c>
      <c r="K897" s="1"/>
      <c r="L897" s="1"/>
      <c r="M897" s="1"/>
    </row>
    <row x14ac:dyDescent="0.25" r="898" customHeight="1" ht="18.75">
      <c r="A898" s="1" t="s">
        <v>3693</v>
      </c>
      <c r="B898" s="1" t="s">
        <v>4323</v>
      </c>
      <c r="C898" s="1" t="s">
        <v>3600</v>
      </c>
      <c r="D898" s="1" t="s">
        <v>3601</v>
      </c>
      <c r="E898" s="1"/>
      <c r="F898" s="1" t="s">
        <v>5926</v>
      </c>
      <c r="G898" s="1" t="s">
        <v>5922</v>
      </c>
      <c r="H898" s="1" t="s">
        <v>3604</v>
      </c>
      <c r="I898" s="1" t="s">
        <v>5927</v>
      </c>
      <c r="J898" s="1" t="s">
        <v>3615</v>
      </c>
      <c r="K898" s="1"/>
      <c r="L898" s="1"/>
      <c r="M898" s="1"/>
    </row>
    <row x14ac:dyDescent="0.25" r="899" customHeight="1" ht="18.75">
      <c r="A899" s="1" t="s">
        <v>3693</v>
      </c>
      <c r="B899" s="1" t="s">
        <v>4323</v>
      </c>
      <c r="C899" s="1" t="s">
        <v>3600</v>
      </c>
      <c r="D899" s="1" t="s">
        <v>3601</v>
      </c>
      <c r="E899" s="1"/>
      <c r="F899" s="1" t="s">
        <v>5926</v>
      </c>
      <c r="G899" s="1" t="s">
        <v>5922</v>
      </c>
      <c r="H899" s="1" t="s">
        <v>3604</v>
      </c>
      <c r="I899" s="1" t="s">
        <v>5928</v>
      </c>
      <c r="J899" s="1" t="s">
        <v>3615</v>
      </c>
      <c r="K899" s="1"/>
      <c r="L899" s="1"/>
      <c r="M899" s="1"/>
    </row>
    <row x14ac:dyDescent="0.25" r="900" customHeight="1" ht="18.75">
      <c r="A900" s="1" t="s">
        <v>3693</v>
      </c>
      <c r="B900" s="1" t="s">
        <v>4323</v>
      </c>
      <c r="C900" s="1" t="s">
        <v>3600</v>
      </c>
      <c r="D900" s="1" t="s">
        <v>3601</v>
      </c>
      <c r="E900" s="1"/>
      <c r="F900" s="1" t="s">
        <v>5929</v>
      </c>
      <c r="G900" s="1" t="s">
        <v>4536</v>
      </c>
      <c r="H900" s="1" t="s">
        <v>3604</v>
      </c>
      <c r="I900" s="1" t="s">
        <v>5930</v>
      </c>
      <c r="J900" s="1" t="s">
        <v>3606</v>
      </c>
      <c r="K900" s="1"/>
      <c r="L900" s="1"/>
      <c r="M900" s="1"/>
    </row>
    <row x14ac:dyDescent="0.25" r="901" customHeight="1" ht="18.75">
      <c r="A901" s="1" t="s">
        <v>3693</v>
      </c>
      <c r="B901" s="1" t="s">
        <v>4323</v>
      </c>
      <c r="C901" s="1" t="s">
        <v>3600</v>
      </c>
      <c r="D901" s="1" t="s">
        <v>3601</v>
      </c>
      <c r="E901" s="1"/>
      <c r="F901" s="1" t="s">
        <v>5931</v>
      </c>
      <c r="G901" s="1" t="s">
        <v>4536</v>
      </c>
      <c r="H901" s="1" t="s">
        <v>3604</v>
      </c>
      <c r="I901" s="1" t="s">
        <v>5932</v>
      </c>
      <c r="J901" s="1" t="s">
        <v>3606</v>
      </c>
      <c r="K901" s="1"/>
      <c r="L901" s="1"/>
      <c r="M901" s="1"/>
    </row>
    <row x14ac:dyDescent="0.25" r="902" customHeight="1" ht="18.75">
      <c r="A902" s="1" t="s">
        <v>3693</v>
      </c>
      <c r="B902" s="1" t="s">
        <v>3957</v>
      </c>
      <c r="C902" s="1" t="s">
        <v>3600</v>
      </c>
      <c r="D902" s="1" t="s">
        <v>3601</v>
      </c>
      <c r="E902" s="1" t="s">
        <v>3664</v>
      </c>
      <c r="F902" s="1" t="s">
        <v>5933</v>
      </c>
      <c r="G902" s="1" t="s">
        <v>5934</v>
      </c>
      <c r="H902" s="1" t="s">
        <v>3604</v>
      </c>
      <c r="I902" s="1" t="s">
        <v>5935</v>
      </c>
      <c r="J902" s="1" t="s">
        <v>3606</v>
      </c>
      <c r="K902" s="1"/>
      <c r="L902" s="1"/>
      <c r="M902" s="1"/>
    </row>
    <row x14ac:dyDescent="0.25" r="903" customHeight="1" ht="18.75">
      <c r="A903" s="1" t="s">
        <v>3693</v>
      </c>
      <c r="B903" s="1" t="s">
        <v>4323</v>
      </c>
      <c r="C903" s="1" t="s">
        <v>3600</v>
      </c>
      <c r="D903" s="1" t="s">
        <v>3601</v>
      </c>
      <c r="E903" s="1"/>
      <c r="F903" s="1" t="s">
        <v>5936</v>
      </c>
      <c r="G903" s="1" t="s">
        <v>4536</v>
      </c>
      <c r="H903" s="1" t="s">
        <v>3604</v>
      </c>
      <c r="I903" s="1" t="s">
        <v>5937</v>
      </c>
      <c r="J903" s="1" t="s">
        <v>3606</v>
      </c>
      <c r="K903" s="1"/>
      <c r="L903" s="1"/>
      <c r="M903" s="1"/>
    </row>
    <row x14ac:dyDescent="0.25" r="904" customHeight="1" ht="18.75">
      <c r="A904" s="1" t="s">
        <v>3693</v>
      </c>
      <c r="B904" s="1" t="s">
        <v>4323</v>
      </c>
      <c r="C904" s="1" t="s">
        <v>3600</v>
      </c>
      <c r="D904" s="1" t="s">
        <v>3601</v>
      </c>
      <c r="E904" s="1"/>
      <c r="F904" s="1" t="s">
        <v>5938</v>
      </c>
      <c r="G904" s="1" t="s">
        <v>5939</v>
      </c>
      <c r="H904" s="1" t="s">
        <v>3604</v>
      </c>
      <c r="I904" s="1" t="s">
        <v>5940</v>
      </c>
      <c r="J904" s="1" t="s">
        <v>3615</v>
      </c>
      <c r="K904" s="1"/>
      <c r="L904" s="1"/>
      <c r="M904" s="1"/>
    </row>
    <row x14ac:dyDescent="0.25" r="905" customHeight="1" ht="18.75">
      <c r="A905" s="1" t="s">
        <v>3693</v>
      </c>
      <c r="B905" s="1" t="s">
        <v>4323</v>
      </c>
      <c r="C905" s="1" t="s">
        <v>3600</v>
      </c>
      <c r="D905" s="1" t="s">
        <v>3601</v>
      </c>
      <c r="E905" s="1"/>
      <c r="F905" s="1" t="s">
        <v>5941</v>
      </c>
      <c r="G905" s="1" t="s">
        <v>4536</v>
      </c>
      <c r="H905" s="1" t="s">
        <v>3604</v>
      </c>
      <c r="I905" s="1" t="s">
        <v>5942</v>
      </c>
      <c r="J905" s="1" t="s">
        <v>3606</v>
      </c>
      <c r="K905" s="1"/>
      <c r="L905" s="1"/>
      <c r="M905" s="1"/>
    </row>
    <row x14ac:dyDescent="0.25" r="906" customHeight="1" ht="18.75">
      <c r="A906" s="1" t="s">
        <v>3693</v>
      </c>
      <c r="B906" s="1" t="s">
        <v>4323</v>
      </c>
      <c r="C906" s="1" t="s">
        <v>3600</v>
      </c>
      <c r="D906" s="1" t="s">
        <v>3601</v>
      </c>
      <c r="E906" s="1"/>
      <c r="F906" s="1" t="s">
        <v>5943</v>
      </c>
      <c r="G906" s="1" t="s">
        <v>4536</v>
      </c>
      <c r="H906" s="1" t="s">
        <v>3604</v>
      </c>
      <c r="I906" s="1" t="s">
        <v>5944</v>
      </c>
      <c r="J906" s="1" t="s">
        <v>3606</v>
      </c>
      <c r="K906" s="1"/>
      <c r="L906" s="1"/>
      <c r="M906" s="1"/>
    </row>
    <row x14ac:dyDescent="0.25" r="907" customHeight="1" ht="18.75">
      <c r="A907" s="1" t="s">
        <v>3693</v>
      </c>
      <c r="B907" s="1" t="s">
        <v>3957</v>
      </c>
      <c r="C907" s="1" t="s">
        <v>3600</v>
      </c>
      <c r="D907" s="1" t="s">
        <v>3601</v>
      </c>
      <c r="E907" s="1" t="s">
        <v>3664</v>
      </c>
      <c r="F907" s="1" t="s">
        <v>5945</v>
      </c>
      <c r="G907" s="1" t="s">
        <v>5946</v>
      </c>
      <c r="H907" s="1" t="s">
        <v>3604</v>
      </c>
      <c r="I907" s="1" t="s">
        <v>5947</v>
      </c>
      <c r="J907" s="1" t="s">
        <v>3606</v>
      </c>
      <c r="K907" s="1"/>
      <c r="L907" s="1"/>
      <c r="M907" s="1"/>
    </row>
    <row x14ac:dyDescent="0.25" r="908" customHeight="1" ht="18.75">
      <c r="A908" s="1" t="s">
        <v>3693</v>
      </c>
      <c r="B908" s="1" t="s">
        <v>4323</v>
      </c>
      <c r="C908" s="1" t="s">
        <v>3600</v>
      </c>
      <c r="D908" s="1" t="s">
        <v>3601</v>
      </c>
      <c r="E908" s="1"/>
      <c r="F908" s="1" t="s">
        <v>5948</v>
      </c>
      <c r="G908" s="1" t="s">
        <v>5767</v>
      </c>
      <c r="H908" s="1" t="s">
        <v>3604</v>
      </c>
      <c r="I908" s="1" t="s">
        <v>5949</v>
      </c>
      <c r="J908" s="1" t="s">
        <v>3606</v>
      </c>
      <c r="K908" s="1"/>
      <c r="L908" s="1"/>
      <c r="M908" s="1"/>
    </row>
    <row x14ac:dyDescent="0.25" r="909" customHeight="1" ht="18.75">
      <c r="A909" s="1" t="s">
        <v>3693</v>
      </c>
      <c r="B909" s="1" t="s">
        <v>4323</v>
      </c>
      <c r="C909" s="1" t="s">
        <v>3600</v>
      </c>
      <c r="D909" s="1" t="s">
        <v>3601</v>
      </c>
      <c r="E909" s="1"/>
      <c r="F909" s="1" t="s">
        <v>5950</v>
      </c>
      <c r="G909" s="1" t="s">
        <v>5767</v>
      </c>
      <c r="H909" s="1" t="s">
        <v>3604</v>
      </c>
      <c r="I909" s="1" t="s">
        <v>5951</v>
      </c>
      <c r="J909" s="1" t="s">
        <v>3615</v>
      </c>
      <c r="K909" s="1"/>
      <c r="L909" s="1"/>
      <c r="M909" s="1"/>
    </row>
    <row x14ac:dyDescent="0.25" r="910" customHeight="1" ht="18.75">
      <c r="A910" s="1" t="s">
        <v>3693</v>
      </c>
      <c r="B910" s="1" t="s">
        <v>4214</v>
      </c>
      <c r="C910" s="1" t="s">
        <v>3600</v>
      </c>
      <c r="D910" s="1" t="s">
        <v>3601</v>
      </c>
      <c r="E910" s="1" t="s">
        <v>3664</v>
      </c>
      <c r="F910" s="1" t="s">
        <v>5952</v>
      </c>
      <c r="G910" s="1" t="s">
        <v>5953</v>
      </c>
      <c r="H910" s="1" t="s">
        <v>3604</v>
      </c>
      <c r="I910" s="1" t="s">
        <v>5954</v>
      </c>
      <c r="J910" s="1" t="s">
        <v>3606</v>
      </c>
      <c r="K910" s="1"/>
      <c r="L910" s="1"/>
      <c r="M910" s="1"/>
    </row>
    <row x14ac:dyDescent="0.25" r="911" customHeight="1" ht="18.75">
      <c r="A911" s="1" t="s">
        <v>3693</v>
      </c>
      <c r="B911" s="1" t="s">
        <v>4214</v>
      </c>
      <c r="C911" s="1" t="s">
        <v>3600</v>
      </c>
      <c r="D911" s="1" t="s">
        <v>3601</v>
      </c>
      <c r="E911" s="1" t="s">
        <v>3664</v>
      </c>
      <c r="F911" s="1" t="s">
        <v>5955</v>
      </c>
      <c r="G911" s="1" t="s">
        <v>5953</v>
      </c>
      <c r="H911" s="1" t="s">
        <v>3604</v>
      </c>
      <c r="I911" s="1" t="s">
        <v>5956</v>
      </c>
      <c r="J911" s="1" t="s">
        <v>3606</v>
      </c>
      <c r="K911" s="1"/>
      <c r="L911" s="1"/>
      <c r="M911" s="1"/>
    </row>
    <row x14ac:dyDescent="0.25" r="912" customHeight="1" ht="18.75">
      <c r="A912" s="1" t="s">
        <v>3693</v>
      </c>
      <c r="B912" s="1" t="s">
        <v>4247</v>
      </c>
      <c r="C912" s="1" t="s">
        <v>3600</v>
      </c>
      <c r="D912" s="1" t="s">
        <v>3601</v>
      </c>
      <c r="E912" s="1" t="s">
        <v>3893</v>
      </c>
      <c r="F912" s="1" t="s">
        <v>5957</v>
      </c>
      <c r="G912" s="1" t="s">
        <v>4744</v>
      </c>
      <c r="H912" s="1" t="s">
        <v>3604</v>
      </c>
      <c r="I912" s="1" t="s">
        <v>5958</v>
      </c>
      <c r="J912" s="1" t="s">
        <v>3606</v>
      </c>
      <c r="K912" s="1"/>
      <c r="L912" s="1"/>
      <c r="M912" s="1"/>
    </row>
    <row x14ac:dyDescent="0.25" r="913" customHeight="1" ht="18.75">
      <c r="A913" s="1" t="s">
        <v>3693</v>
      </c>
      <c r="B913" s="1" t="s">
        <v>4323</v>
      </c>
      <c r="C913" s="1" t="s">
        <v>3600</v>
      </c>
      <c r="D913" s="1" t="s">
        <v>3601</v>
      </c>
      <c r="E913" s="1"/>
      <c r="F913" s="1" t="s">
        <v>5959</v>
      </c>
      <c r="G913" s="1" t="s">
        <v>5960</v>
      </c>
      <c r="H913" s="1" t="s">
        <v>3604</v>
      </c>
      <c r="I913" s="1" t="s">
        <v>5961</v>
      </c>
      <c r="J913" s="1" t="s">
        <v>3615</v>
      </c>
      <c r="K913" s="1"/>
      <c r="L913" s="1"/>
      <c r="M913" s="1"/>
    </row>
    <row x14ac:dyDescent="0.25" r="914" customHeight="1" ht="18.75">
      <c r="A914" s="1" t="s">
        <v>3693</v>
      </c>
      <c r="B914" s="1" t="s">
        <v>4192</v>
      </c>
      <c r="C914" s="1" t="s">
        <v>3600</v>
      </c>
      <c r="D914" s="1" t="s">
        <v>3601</v>
      </c>
      <c r="E914" s="1" t="s">
        <v>3752</v>
      </c>
      <c r="F914" s="1" t="s">
        <v>5962</v>
      </c>
      <c r="G914" s="1" t="s">
        <v>5963</v>
      </c>
      <c r="H914" s="1" t="s">
        <v>3604</v>
      </c>
      <c r="I914" s="1" t="s">
        <v>5964</v>
      </c>
      <c r="J914" s="1" t="s">
        <v>3615</v>
      </c>
      <c r="K914" s="1"/>
      <c r="L914" s="1"/>
      <c r="M914" s="1"/>
    </row>
    <row x14ac:dyDescent="0.25" r="915" customHeight="1" ht="18.75">
      <c r="A915" s="1" t="s">
        <v>3693</v>
      </c>
      <c r="B915" s="1" t="s">
        <v>4192</v>
      </c>
      <c r="C915" s="1" t="s">
        <v>3600</v>
      </c>
      <c r="D915" s="1" t="s">
        <v>3601</v>
      </c>
      <c r="E915" s="1" t="s">
        <v>3752</v>
      </c>
      <c r="F915" s="1" t="s">
        <v>5965</v>
      </c>
      <c r="G915" s="1" t="s">
        <v>5966</v>
      </c>
      <c r="H915" s="1" t="s">
        <v>3604</v>
      </c>
      <c r="I915" s="1" t="s">
        <v>5967</v>
      </c>
      <c r="J915" s="1" t="s">
        <v>3615</v>
      </c>
      <c r="K915" s="1"/>
      <c r="L915" s="1"/>
      <c r="M915" s="1"/>
    </row>
    <row x14ac:dyDescent="0.25" r="916" customHeight="1" ht="18.75">
      <c r="A916" s="1" t="s">
        <v>3693</v>
      </c>
      <c r="B916" s="1" t="s">
        <v>4192</v>
      </c>
      <c r="C916" s="1" t="s">
        <v>3600</v>
      </c>
      <c r="D916" s="1" t="s">
        <v>3601</v>
      </c>
      <c r="E916" s="1" t="s">
        <v>3752</v>
      </c>
      <c r="F916" s="1" t="s">
        <v>5968</v>
      </c>
      <c r="G916" s="1" t="s">
        <v>5969</v>
      </c>
      <c r="H916" s="1" t="s">
        <v>3604</v>
      </c>
      <c r="I916" s="1" t="s">
        <v>5970</v>
      </c>
      <c r="J916" s="1" t="s">
        <v>3615</v>
      </c>
      <c r="K916" s="1"/>
      <c r="L916" s="1"/>
      <c r="M916" s="1"/>
    </row>
    <row x14ac:dyDescent="0.25" r="917" customHeight="1" ht="18.75">
      <c r="A917" s="1" t="s">
        <v>3693</v>
      </c>
      <c r="B917" s="1" t="s">
        <v>4192</v>
      </c>
      <c r="C917" s="1" t="s">
        <v>3600</v>
      </c>
      <c r="D917" s="1" t="s">
        <v>3601</v>
      </c>
      <c r="E917" s="1" t="s">
        <v>3893</v>
      </c>
      <c r="F917" s="1" t="s">
        <v>5971</v>
      </c>
      <c r="G917" s="1" t="s">
        <v>5972</v>
      </c>
      <c r="H917" s="1" t="s">
        <v>3604</v>
      </c>
      <c r="I917" s="1" t="s">
        <v>5973</v>
      </c>
      <c r="J917" s="1" t="s">
        <v>3615</v>
      </c>
      <c r="K917" s="1"/>
      <c r="L917" s="1"/>
      <c r="M917" s="1"/>
    </row>
    <row x14ac:dyDescent="0.25" r="918" customHeight="1" ht="18.75">
      <c r="A918" s="1" t="s">
        <v>3693</v>
      </c>
      <c r="B918" s="1" t="s">
        <v>5974</v>
      </c>
      <c r="C918" s="1" t="s">
        <v>3619</v>
      </c>
      <c r="D918" s="1" t="s">
        <v>3601</v>
      </c>
      <c r="E918" s="1" t="s">
        <v>3664</v>
      </c>
      <c r="F918" s="1" t="s">
        <v>5975</v>
      </c>
      <c r="G918" s="1" t="s">
        <v>5976</v>
      </c>
      <c r="H918" s="1" t="s">
        <v>3604</v>
      </c>
      <c r="I918" s="1" t="s">
        <v>5977</v>
      </c>
      <c r="J918" s="1" t="s">
        <v>3606</v>
      </c>
      <c r="K918" s="1"/>
      <c r="L918" s="1"/>
      <c r="M918" s="1"/>
    </row>
    <row x14ac:dyDescent="0.25" r="919" customHeight="1" ht="18.75">
      <c r="A919" s="1" t="s">
        <v>3598</v>
      </c>
      <c r="B919" s="1" t="s">
        <v>5978</v>
      </c>
      <c r="C919" s="1" t="s">
        <v>3600</v>
      </c>
      <c r="D919" s="1" t="s">
        <v>3601</v>
      </c>
      <c r="E919" s="1"/>
      <c r="F919" s="1" t="s">
        <v>5979</v>
      </c>
      <c r="G919" s="1" t="s">
        <v>5980</v>
      </c>
      <c r="H919" s="1" t="s">
        <v>3604</v>
      </c>
      <c r="I919" s="1" t="s">
        <v>5981</v>
      </c>
      <c r="J919" s="1" t="s">
        <v>3606</v>
      </c>
      <c r="K919" s="1"/>
      <c r="L919" s="1"/>
      <c r="M919" s="1"/>
    </row>
    <row x14ac:dyDescent="0.25" r="920" customHeight="1" ht="18.75">
      <c r="A920" s="1" t="s">
        <v>3617</v>
      </c>
      <c r="B920" s="1" t="s">
        <v>3903</v>
      </c>
      <c r="C920" s="1" t="s">
        <v>3619</v>
      </c>
      <c r="D920" s="1" t="s">
        <v>3601</v>
      </c>
      <c r="E920" s="1"/>
      <c r="F920" s="1" t="s">
        <v>5982</v>
      </c>
      <c r="G920" s="1" t="s">
        <v>5983</v>
      </c>
      <c r="H920" s="1" t="s">
        <v>3604</v>
      </c>
      <c r="I920" s="1" t="s">
        <v>5984</v>
      </c>
      <c r="J920" s="1" t="s">
        <v>3606</v>
      </c>
      <c r="K920" s="1"/>
      <c r="L920" s="1"/>
      <c r="M920" s="1"/>
    </row>
    <row x14ac:dyDescent="0.25" r="921" customHeight="1" ht="18.75">
      <c r="A921" s="1" t="s">
        <v>3617</v>
      </c>
      <c r="B921" s="1" t="s">
        <v>3903</v>
      </c>
      <c r="C921" s="1" t="s">
        <v>3619</v>
      </c>
      <c r="D921" s="1" t="s">
        <v>3601</v>
      </c>
      <c r="E921" s="1"/>
      <c r="F921" s="1" t="s">
        <v>5982</v>
      </c>
      <c r="G921" s="1" t="s">
        <v>5983</v>
      </c>
      <c r="H921" s="1" t="s">
        <v>3604</v>
      </c>
      <c r="I921" s="1" t="s">
        <v>5985</v>
      </c>
      <c r="J921" s="1" t="s">
        <v>3606</v>
      </c>
      <c r="K921" s="1"/>
      <c r="L921" s="1"/>
      <c r="M921" s="1"/>
    </row>
    <row x14ac:dyDescent="0.25" r="922" customHeight="1" ht="18.75">
      <c r="A922" s="1" t="s">
        <v>3617</v>
      </c>
      <c r="B922" s="1" t="s">
        <v>3903</v>
      </c>
      <c r="C922" s="1" t="s">
        <v>3619</v>
      </c>
      <c r="D922" s="1" t="s">
        <v>3601</v>
      </c>
      <c r="E922" s="1"/>
      <c r="F922" s="1" t="s">
        <v>5986</v>
      </c>
      <c r="G922" s="1" t="s">
        <v>4457</v>
      </c>
      <c r="H922" s="1" t="s">
        <v>3604</v>
      </c>
      <c r="I922" s="1" t="s">
        <v>5987</v>
      </c>
      <c r="J922" s="1" t="s">
        <v>3606</v>
      </c>
      <c r="K922" s="1"/>
      <c r="L922" s="1"/>
      <c r="M922" s="1"/>
    </row>
    <row x14ac:dyDescent="0.25" r="923" customHeight="1" ht="18.75">
      <c r="A923" s="1" t="s">
        <v>3617</v>
      </c>
      <c r="B923" s="1" t="s">
        <v>3903</v>
      </c>
      <c r="C923" s="1" t="s">
        <v>3619</v>
      </c>
      <c r="D923" s="1" t="s">
        <v>3601</v>
      </c>
      <c r="E923" s="1"/>
      <c r="F923" s="1" t="s">
        <v>5986</v>
      </c>
      <c r="G923" s="1" t="s">
        <v>4457</v>
      </c>
      <c r="H923" s="1" t="s">
        <v>3604</v>
      </c>
      <c r="I923" s="1" t="s">
        <v>5988</v>
      </c>
      <c r="J923" s="1" t="s">
        <v>3606</v>
      </c>
      <c r="K923" s="1"/>
      <c r="L923" s="1"/>
      <c r="M923" s="1"/>
    </row>
    <row x14ac:dyDescent="0.25" r="924" customHeight="1" ht="18.75">
      <c r="A924" s="1" t="s">
        <v>3617</v>
      </c>
      <c r="B924" s="1" t="s">
        <v>3903</v>
      </c>
      <c r="C924" s="1" t="s">
        <v>3619</v>
      </c>
      <c r="D924" s="1" t="s">
        <v>3601</v>
      </c>
      <c r="E924" s="1"/>
      <c r="F924" s="1" t="s">
        <v>5986</v>
      </c>
      <c r="G924" s="1" t="s">
        <v>4457</v>
      </c>
      <c r="H924" s="1" t="s">
        <v>3604</v>
      </c>
      <c r="I924" s="1" t="s">
        <v>5989</v>
      </c>
      <c r="J924" s="1" t="s">
        <v>3606</v>
      </c>
      <c r="K924" s="1"/>
      <c r="L924" s="1"/>
      <c r="M924" s="1"/>
    </row>
    <row x14ac:dyDescent="0.25" r="925" customHeight="1" ht="18.75">
      <c r="A925" s="1" t="s">
        <v>3617</v>
      </c>
      <c r="B925" s="1" t="s">
        <v>3903</v>
      </c>
      <c r="C925" s="1" t="s">
        <v>3619</v>
      </c>
      <c r="D925" s="1" t="s">
        <v>3601</v>
      </c>
      <c r="E925" s="1"/>
      <c r="F925" s="1" t="s">
        <v>5990</v>
      </c>
      <c r="G925" s="1" t="s">
        <v>5991</v>
      </c>
      <c r="H925" s="1" t="s">
        <v>3604</v>
      </c>
      <c r="I925" s="1" t="s">
        <v>5992</v>
      </c>
      <c r="J925" s="1" t="s">
        <v>3606</v>
      </c>
      <c r="K925" s="1"/>
      <c r="L925" s="1"/>
      <c r="M925" s="1"/>
    </row>
    <row x14ac:dyDescent="0.25" r="926" customHeight="1" ht="18.75">
      <c r="A926" s="1" t="s">
        <v>3598</v>
      </c>
      <c r="B926" s="1" t="s">
        <v>5993</v>
      </c>
      <c r="C926" s="1" t="s">
        <v>3600</v>
      </c>
      <c r="D926" s="1" t="s">
        <v>3601</v>
      </c>
      <c r="E926" s="1"/>
      <c r="F926" s="1" t="s">
        <v>5994</v>
      </c>
      <c r="G926" s="1" t="s">
        <v>5995</v>
      </c>
      <c r="H926" s="1" t="s">
        <v>3604</v>
      </c>
      <c r="I926" s="1" t="s">
        <v>5996</v>
      </c>
      <c r="J926" s="1" t="s">
        <v>3606</v>
      </c>
      <c r="K926" s="1"/>
      <c r="L926" s="1"/>
      <c r="M926" s="1"/>
    </row>
    <row x14ac:dyDescent="0.25" r="927" customHeight="1" ht="18.75">
      <c r="A927" s="1" t="s">
        <v>3598</v>
      </c>
      <c r="B927" s="1" t="s">
        <v>5993</v>
      </c>
      <c r="C927" s="1" t="s">
        <v>3600</v>
      </c>
      <c r="D927" s="1" t="s">
        <v>3601</v>
      </c>
      <c r="E927" s="1"/>
      <c r="F927" s="1" t="s">
        <v>5997</v>
      </c>
      <c r="G927" s="1" t="s">
        <v>5995</v>
      </c>
      <c r="H927" s="1" t="s">
        <v>3604</v>
      </c>
      <c r="I927" s="1" t="s">
        <v>5998</v>
      </c>
      <c r="J927" s="1" t="s">
        <v>3606</v>
      </c>
      <c r="K927" s="1"/>
      <c r="L927" s="1"/>
      <c r="M927" s="1"/>
    </row>
    <row x14ac:dyDescent="0.25" r="928" customHeight="1" ht="18.75">
      <c r="A928" s="1" t="s">
        <v>3598</v>
      </c>
      <c r="B928" s="1" t="s">
        <v>5993</v>
      </c>
      <c r="C928" s="1" t="s">
        <v>3600</v>
      </c>
      <c r="D928" s="1" t="s">
        <v>3601</v>
      </c>
      <c r="E928" s="1"/>
      <c r="F928" s="1" t="s">
        <v>5999</v>
      </c>
      <c r="G928" s="1" t="s">
        <v>5995</v>
      </c>
      <c r="H928" s="1" t="s">
        <v>3604</v>
      </c>
      <c r="I928" s="1" t="s">
        <v>6000</v>
      </c>
      <c r="J928" s="1" t="s">
        <v>3606</v>
      </c>
      <c r="K928" s="1"/>
      <c r="L928" s="1"/>
      <c r="M928" s="1"/>
    </row>
    <row x14ac:dyDescent="0.25" r="929" customHeight="1" ht="18.75">
      <c r="A929" s="1" t="s">
        <v>3598</v>
      </c>
      <c r="B929" s="1" t="s">
        <v>5993</v>
      </c>
      <c r="C929" s="1" t="s">
        <v>3600</v>
      </c>
      <c r="D929" s="1" t="s">
        <v>3601</v>
      </c>
      <c r="E929" s="1"/>
      <c r="F929" s="1" t="s">
        <v>6001</v>
      </c>
      <c r="G929" s="1" t="s">
        <v>5995</v>
      </c>
      <c r="H929" s="1" t="s">
        <v>3604</v>
      </c>
      <c r="I929" s="1" t="s">
        <v>6002</v>
      </c>
      <c r="J929" s="1" t="s">
        <v>3606</v>
      </c>
      <c r="K929" s="1"/>
      <c r="L929" s="1"/>
      <c r="M929" s="1"/>
    </row>
    <row x14ac:dyDescent="0.25" r="930" customHeight="1" ht="18.75">
      <c r="A930" s="1" t="s">
        <v>3617</v>
      </c>
      <c r="B930" s="1" t="s">
        <v>3903</v>
      </c>
      <c r="C930" s="1" t="s">
        <v>3619</v>
      </c>
      <c r="D930" s="1" t="s">
        <v>3601</v>
      </c>
      <c r="E930" s="1"/>
      <c r="F930" s="1" t="s">
        <v>6003</v>
      </c>
      <c r="G930" s="1" t="s">
        <v>6004</v>
      </c>
      <c r="H930" s="1" t="s">
        <v>3604</v>
      </c>
      <c r="I930" s="1" t="s">
        <v>6005</v>
      </c>
      <c r="J930" s="1" t="s">
        <v>3606</v>
      </c>
      <c r="K930" s="1"/>
      <c r="L930" s="1"/>
      <c r="M930" s="1"/>
    </row>
    <row x14ac:dyDescent="0.25" r="931" customHeight="1" ht="18.75">
      <c r="A931" s="1" t="s">
        <v>3598</v>
      </c>
      <c r="B931" s="1" t="s">
        <v>5993</v>
      </c>
      <c r="C931" s="1" t="s">
        <v>3600</v>
      </c>
      <c r="D931" s="1" t="s">
        <v>3601</v>
      </c>
      <c r="E931" s="1"/>
      <c r="F931" s="1" t="s">
        <v>6006</v>
      </c>
      <c r="G931" s="1" t="s">
        <v>5995</v>
      </c>
      <c r="H931" s="1" t="s">
        <v>3604</v>
      </c>
      <c r="I931" s="1" t="s">
        <v>6007</v>
      </c>
      <c r="J931" s="1" t="s">
        <v>3606</v>
      </c>
      <c r="K931" s="1"/>
      <c r="L931" s="1"/>
      <c r="M931" s="1"/>
    </row>
    <row x14ac:dyDescent="0.25" r="932" customHeight="1" ht="18.75">
      <c r="A932" s="1" t="s">
        <v>3617</v>
      </c>
      <c r="B932" s="1" t="s">
        <v>3903</v>
      </c>
      <c r="C932" s="1" t="s">
        <v>3619</v>
      </c>
      <c r="D932" s="1" t="s">
        <v>3601</v>
      </c>
      <c r="E932" s="1"/>
      <c r="F932" s="1" t="s">
        <v>6008</v>
      </c>
      <c r="G932" s="1" t="s">
        <v>6004</v>
      </c>
      <c r="H932" s="1" t="s">
        <v>3604</v>
      </c>
      <c r="I932" s="1" t="s">
        <v>6009</v>
      </c>
      <c r="J932" s="1" t="s">
        <v>3606</v>
      </c>
      <c r="K932" s="1"/>
      <c r="L932" s="1"/>
      <c r="M932" s="1"/>
    </row>
    <row x14ac:dyDescent="0.25" r="933" customHeight="1" ht="18.75">
      <c r="A933" s="1" t="s">
        <v>3617</v>
      </c>
      <c r="B933" s="1" t="s">
        <v>3903</v>
      </c>
      <c r="C933" s="1" t="s">
        <v>3619</v>
      </c>
      <c r="D933" s="1" t="s">
        <v>3601</v>
      </c>
      <c r="E933" s="1"/>
      <c r="F933" s="1" t="s">
        <v>6010</v>
      </c>
      <c r="G933" s="1" t="s">
        <v>6004</v>
      </c>
      <c r="H933" s="1" t="s">
        <v>3604</v>
      </c>
      <c r="I933" s="1" t="s">
        <v>6011</v>
      </c>
      <c r="J933" s="1" t="s">
        <v>3606</v>
      </c>
      <c r="K933" s="1"/>
      <c r="L933" s="1"/>
      <c r="M933" s="1"/>
    </row>
    <row x14ac:dyDescent="0.25" r="934" customHeight="1" ht="18.75">
      <c r="A934" s="1" t="s">
        <v>3617</v>
      </c>
      <c r="B934" s="1" t="s">
        <v>3903</v>
      </c>
      <c r="C934" s="1" t="s">
        <v>3619</v>
      </c>
      <c r="D934" s="1" t="s">
        <v>3601</v>
      </c>
      <c r="E934" s="1"/>
      <c r="F934" s="1" t="s">
        <v>6012</v>
      </c>
      <c r="G934" s="1" t="s">
        <v>6004</v>
      </c>
      <c r="H934" s="1" t="s">
        <v>3604</v>
      </c>
      <c r="I934" s="1" t="s">
        <v>6013</v>
      </c>
      <c r="J934" s="1" t="s">
        <v>3606</v>
      </c>
      <c r="K934" s="1"/>
      <c r="L934" s="1"/>
      <c r="M934" s="1"/>
    </row>
    <row x14ac:dyDescent="0.25" r="935" customHeight="1" ht="18.75">
      <c r="A935" s="1" t="s">
        <v>3598</v>
      </c>
      <c r="B935" s="1" t="s">
        <v>6014</v>
      </c>
      <c r="C935" s="1" t="s">
        <v>3600</v>
      </c>
      <c r="D935" s="1" t="s">
        <v>3601</v>
      </c>
      <c r="E935" s="1"/>
      <c r="F935" s="1" t="s">
        <v>6015</v>
      </c>
      <c r="G935" s="1" t="s">
        <v>6016</v>
      </c>
      <c r="H935" s="1" t="s">
        <v>3604</v>
      </c>
      <c r="I935" s="1" t="s">
        <v>6017</v>
      </c>
      <c r="J935" s="1" t="s">
        <v>3606</v>
      </c>
      <c r="K935" s="1"/>
      <c r="L935" s="1"/>
      <c r="M935" s="1"/>
    </row>
    <row x14ac:dyDescent="0.25" r="936" customHeight="1" ht="18.75">
      <c r="A936" s="1" t="s">
        <v>3617</v>
      </c>
      <c r="B936" s="1" t="s">
        <v>3903</v>
      </c>
      <c r="C936" s="1" t="s">
        <v>3619</v>
      </c>
      <c r="D936" s="1" t="s">
        <v>3601</v>
      </c>
      <c r="E936" s="1"/>
      <c r="F936" s="1" t="s">
        <v>6018</v>
      </c>
      <c r="G936" s="1" t="s">
        <v>6004</v>
      </c>
      <c r="H936" s="1" t="s">
        <v>3604</v>
      </c>
      <c r="I936" s="1" t="s">
        <v>6019</v>
      </c>
      <c r="J936" s="1" t="s">
        <v>3606</v>
      </c>
      <c r="K936" s="1"/>
      <c r="L936" s="1"/>
      <c r="M936" s="1"/>
    </row>
    <row x14ac:dyDescent="0.25" r="937" customHeight="1" ht="18.75">
      <c r="A937" s="1" t="s">
        <v>3598</v>
      </c>
      <c r="B937" s="1" t="s">
        <v>6014</v>
      </c>
      <c r="C937" s="1" t="s">
        <v>3600</v>
      </c>
      <c r="D937" s="1" t="s">
        <v>3601</v>
      </c>
      <c r="E937" s="1"/>
      <c r="F937" s="1" t="s">
        <v>6020</v>
      </c>
      <c r="G937" s="1" t="s">
        <v>6016</v>
      </c>
      <c r="H937" s="1" t="s">
        <v>3604</v>
      </c>
      <c r="I937" s="1" t="s">
        <v>6021</v>
      </c>
      <c r="J937" s="1" t="s">
        <v>3606</v>
      </c>
      <c r="K937" s="1"/>
      <c r="L937" s="1"/>
      <c r="M937" s="1"/>
    </row>
    <row x14ac:dyDescent="0.25" r="938" customHeight="1" ht="18.75">
      <c r="A938" s="1" t="s">
        <v>3598</v>
      </c>
      <c r="B938" s="1" t="s">
        <v>6014</v>
      </c>
      <c r="C938" s="1" t="s">
        <v>3600</v>
      </c>
      <c r="D938" s="1" t="s">
        <v>3601</v>
      </c>
      <c r="E938" s="1"/>
      <c r="F938" s="1" t="s">
        <v>6022</v>
      </c>
      <c r="G938" s="1" t="s">
        <v>6016</v>
      </c>
      <c r="H938" s="1" t="s">
        <v>3604</v>
      </c>
      <c r="I938" s="1" t="s">
        <v>6023</v>
      </c>
      <c r="J938" s="1" t="s">
        <v>3606</v>
      </c>
      <c r="K938" s="1"/>
      <c r="L938" s="1"/>
      <c r="M938" s="1"/>
    </row>
    <row x14ac:dyDescent="0.25" r="939" customHeight="1" ht="18.75">
      <c r="A939" s="1" t="s">
        <v>3598</v>
      </c>
      <c r="B939" s="1" t="s">
        <v>6024</v>
      </c>
      <c r="C939" s="1" t="s">
        <v>3600</v>
      </c>
      <c r="D939" s="1" t="s">
        <v>3601</v>
      </c>
      <c r="E939" s="1"/>
      <c r="F939" s="1" t="s">
        <v>6025</v>
      </c>
      <c r="G939" s="1" t="s">
        <v>6026</v>
      </c>
      <c r="H939" s="1" t="s">
        <v>3604</v>
      </c>
      <c r="I939" s="1" t="s">
        <v>6027</v>
      </c>
      <c r="J939" s="1" t="s">
        <v>3606</v>
      </c>
      <c r="K939" s="1"/>
      <c r="L939" s="1"/>
      <c r="M939" s="1"/>
    </row>
    <row x14ac:dyDescent="0.25" r="940" customHeight="1" ht="18.75">
      <c r="A940" s="1" t="s">
        <v>3617</v>
      </c>
      <c r="B940" s="1" t="s">
        <v>3903</v>
      </c>
      <c r="C940" s="1" t="s">
        <v>3619</v>
      </c>
      <c r="D940" s="1" t="s">
        <v>3601</v>
      </c>
      <c r="E940" s="1"/>
      <c r="F940" s="1" t="s">
        <v>6028</v>
      </c>
      <c r="G940" s="1" t="s">
        <v>6029</v>
      </c>
      <c r="H940" s="1" t="s">
        <v>3604</v>
      </c>
      <c r="I940" s="1" t="s">
        <v>6030</v>
      </c>
      <c r="J940" s="1" t="s">
        <v>3606</v>
      </c>
      <c r="K940" s="1"/>
      <c r="L940" s="1"/>
      <c r="M940" s="1"/>
    </row>
    <row x14ac:dyDescent="0.25" r="941" customHeight="1" ht="18.75">
      <c r="A941" s="1" t="s">
        <v>3598</v>
      </c>
      <c r="B941" s="1" t="s">
        <v>6024</v>
      </c>
      <c r="C941" s="1" t="s">
        <v>3600</v>
      </c>
      <c r="D941" s="1" t="s">
        <v>3601</v>
      </c>
      <c r="E941" s="1"/>
      <c r="F941" s="1" t="s">
        <v>6031</v>
      </c>
      <c r="G941" s="1" t="s">
        <v>6026</v>
      </c>
      <c r="H941" s="1" t="s">
        <v>3604</v>
      </c>
      <c r="I941" s="1" t="s">
        <v>6032</v>
      </c>
      <c r="J941" s="1" t="s">
        <v>3606</v>
      </c>
      <c r="K941" s="1"/>
      <c r="L941" s="1"/>
      <c r="M941" s="1"/>
    </row>
    <row x14ac:dyDescent="0.25" r="942" customHeight="1" ht="18.75">
      <c r="A942" s="1" t="s">
        <v>3598</v>
      </c>
      <c r="B942" s="1" t="s">
        <v>6033</v>
      </c>
      <c r="C942" s="1" t="s">
        <v>3600</v>
      </c>
      <c r="D942" s="1" t="s">
        <v>3601</v>
      </c>
      <c r="E942" s="1"/>
      <c r="F942" s="1" t="s">
        <v>6034</v>
      </c>
      <c r="G942" s="1" t="s">
        <v>6035</v>
      </c>
      <c r="H942" s="1" t="s">
        <v>3604</v>
      </c>
      <c r="I942" s="1" t="s">
        <v>6036</v>
      </c>
      <c r="J942" s="1" t="s">
        <v>3606</v>
      </c>
      <c r="K942" s="1"/>
      <c r="L942" s="1"/>
      <c r="M942" s="1"/>
    </row>
    <row x14ac:dyDescent="0.25" r="943" customHeight="1" ht="18.75">
      <c r="A943" s="1" t="s">
        <v>3598</v>
      </c>
      <c r="B943" s="1" t="s">
        <v>6037</v>
      </c>
      <c r="C943" s="1" t="s">
        <v>3600</v>
      </c>
      <c r="D943" s="1" t="s">
        <v>3601</v>
      </c>
      <c r="E943" s="1"/>
      <c r="F943" s="1" t="s">
        <v>6038</v>
      </c>
      <c r="G943" s="1" t="s">
        <v>6039</v>
      </c>
      <c r="H943" s="1" t="s">
        <v>3604</v>
      </c>
      <c r="I943" s="1" t="s">
        <v>6040</v>
      </c>
      <c r="J943" s="1" t="s">
        <v>3606</v>
      </c>
      <c r="K943" s="1"/>
      <c r="L943" s="1"/>
      <c r="M943" s="1"/>
    </row>
    <row x14ac:dyDescent="0.25" r="944" customHeight="1" ht="18.75">
      <c r="A944" s="1" t="s">
        <v>3598</v>
      </c>
      <c r="B944" s="1" t="s">
        <v>6037</v>
      </c>
      <c r="C944" s="1" t="s">
        <v>3600</v>
      </c>
      <c r="D944" s="1" t="s">
        <v>3601</v>
      </c>
      <c r="E944" s="1"/>
      <c r="F944" s="1" t="s">
        <v>6041</v>
      </c>
      <c r="G944" s="1" t="s">
        <v>6039</v>
      </c>
      <c r="H944" s="1" t="s">
        <v>3604</v>
      </c>
      <c r="I944" s="1" t="s">
        <v>6042</v>
      </c>
      <c r="J944" s="1" t="s">
        <v>3606</v>
      </c>
      <c r="K944" s="1"/>
      <c r="L944" s="1"/>
      <c r="M944" s="1"/>
    </row>
    <row x14ac:dyDescent="0.25" r="945" customHeight="1" ht="18.75">
      <c r="A945" s="1" t="s">
        <v>3598</v>
      </c>
      <c r="B945" s="1" t="s">
        <v>6043</v>
      </c>
      <c r="C945" s="1" t="s">
        <v>3600</v>
      </c>
      <c r="D945" s="1" t="s">
        <v>3601</v>
      </c>
      <c r="E945" s="1"/>
      <c r="F945" s="1" t="s">
        <v>6044</v>
      </c>
      <c r="G945" s="1" t="s">
        <v>6045</v>
      </c>
      <c r="H945" s="1" t="s">
        <v>3604</v>
      </c>
      <c r="I945" s="1" t="s">
        <v>6046</v>
      </c>
      <c r="J945" s="1" t="s">
        <v>3606</v>
      </c>
      <c r="K945" s="1"/>
      <c r="L945" s="1"/>
      <c r="M945" s="1"/>
    </row>
    <row x14ac:dyDescent="0.25" r="946" customHeight="1" ht="18.75">
      <c r="A946" s="1" t="s">
        <v>3598</v>
      </c>
      <c r="B946" s="1" t="s">
        <v>6047</v>
      </c>
      <c r="C946" s="1" t="s">
        <v>3600</v>
      </c>
      <c r="D946" s="1" t="s">
        <v>3601</v>
      </c>
      <c r="E946" s="1"/>
      <c r="F946" s="1" t="s">
        <v>6048</v>
      </c>
      <c r="G946" s="1" t="s">
        <v>6049</v>
      </c>
      <c r="H946" s="1" t="s">
        <v>3604</v>
      </c>
      <c r="I946" s="1" t="s">
        <v>6050</v>
      </c>
      <c r="J946" s="1" t="s">
        <v>3606</v>
      </c>
      <c r="K946" s="1"/>
      <c r="L946" s="1"/>
      <c r="M946" s="1"/>
    </row>
    <row x14ac:dyDescent="0.25" r="947" customHeight="1" ht="18.75">
      <c r="A947" s="1" t="s">
        <v>3598</v>
      </c>
      <c r="B947" s="1" t="s">
        <v>6047</v>
      </c>
      <c r="C947" s="1" t="s">
        <v>3600</v>
      </c>
      <c r="D947" s="1" t="s">
        <v>3601</v>
      </c>
      <c r="E947" s="1"/>
      <c r="F947" s="1" t="s">
        <v>6051</v>
      </c>
      <c r="G947" s="1" t="s">
        <v>6052</v>
      </c>
      <c r="H947" s="1" t="s">
        <v>3604</v>
      </c>
      <c r="I947" s="1" t="s">
        <v>6053</v>
      </c>
      <c r="J947" s="1" t="s">
        <v>3606</v>
      </c>
      <c r="K947" s="1"/>
      <c r="L947" s="1"/>
      <c r="M947" s="1"/>
    </row>
    <row x14ac:dyDescent="0.25" r="948" customHeight="1" ht="18.75">
      <c r="A948" s="1" t="s">
        <v>3598</v>
      </c>
      <c r="B948" s="1" t="s">
        <v>6047</v>
      </c>
      <c r="C948" s="1" t="s">
        <v>3600</v>
      </c>
      <c r="D948" s="1" t="s">
        <v>3601</v>
      </c>
      <c r="E948" s="1"/>
      <c r="F948" s="1" t="s">
        <v>6054</v>
      </c>
      <c r="G948" s="1" t="s">
        <v>6049</v>
      </c>
      <c r="H948" s="1" t="s">
        <v>3604</v>
      </c>
      <c r="I948" s="1" t="s">
        <v>6055</v>
      </c>
      <c r="J948" s="1" t="s">
        <v>3606</v>
      </c>
      <c r="K948" s="1"/>
      <c r="L948" s="1"/>
      <c r="M948" s="1"/>
    </row>
    <row x14ac:dyDescent="0.25" r="949" customHeight="1" ht="18.75">
      <c r="A949" s="1" t="s">
        <v>3598</v>
      </c>
      <c r="B949" s="1" t="s">
        <v>6047</v>
      </c>
      <c r="C949" s="1" t="s">
        <v>3600</v>
      </c>
      <c r="D949" s="1" t="s">
        <v>3601</v>
      </c>
      <c r="E949" s="1"/>
      <c r="F949" s="1" t="s">
        <v>6056</v>
      </c>
      <c r="G949" s="1" t="s">
        <v>6049</v>
      </c>
      <c r="H949" s="1" t="s">
        <v>3604</v>
      </c>
      <c r="I949" s="1" t="s">
        <v>6057</v>
      </c>
      <c r="J949" s="1" t="s">
        <v>3606</v>
      </c>
      <c r="K949" s="1"/>
      <c r="L949" s="1"/>
      <c r="M949" s="1"/>
    </row>
    <row x14ac:dyDescent="0.25" r="950" customHeight="1" ht="18.75">
      <c r="A950" s="1" t="s">
        <v>3617</v>
      </c>
      <c r="B950" s="1" t="s">
        <v>3903</v>
      </c>
      <c r="C950" s="1" t="s">
        <v>3619</v>
      </c>
      <c r="D950" s="1" t="s">
        <v>3601</v>
      </c>
      <c r="E950" s="1"/>
      <c r="F950" s="1" t="s">
        <v>6058</v>
      </c>
      <c r="G950" s="1" t="s">
        <v>4457</v>
      </c>
      <c r="H950" s="1" t="s">
        <v>3604</v>
      </c>
      <c r="I950" s="1" t="s">
        <v>6059</v>
      </c>
      <c r="J950" s="1" t="s">
        <v>3606</v>
      </c>
      <c r="K950" s="1"/>
      <c r="L950" s="1"/>
      <c r="M950" s="1"/>
    </row>
    <row x14ac:dyDescent="0.25" r="951" customHeight="1" ht="18.75">
      <c r="A951" s="1" t="s">
        <v>3617</v>
      </c>
      <c r="B951" s="1" t="s">
        <v>3903</v>
      </c>
      <c r="C951" s="1" t="s">
        <v>3619</v>
      </c>
      <c r="D951" s="1" t="s">
        <v>3601</v>
      </c>
      <c r="E951" s="1"/>
      <c r="F951" s="1" t="s">
        <v>6060</v>
      </c>
      <c r="G951" s="1" t="s">
        <v>4457</v>
      </c>
      <c r="H951" s="1" t="s">
        <v>3604</v>
      </c>
      <c r="I951" s="1" t="s">
        <v>6061</v>
      </c>
      <c r="J951" s="1" t="s">
        <v>3606</v>
      </c>
      <c r="K951" s="1"/>
      <c r="L951" s="1"/>
      <c r="M951" s="1"/>
    </row>
    <row x14ac:dyDescent="0.25" r="952" customHeight="1" ht="18.75">
      <c r="A952" s="1" t="s">
        <v>3617</v>
      </c>
      <c r="B952" s="1" t="s">
        <v>3903</v>
      </c>
      <c r="C952" s="1" t="s">
        <v>3619</v>
      </c>
      <c r="D952" s="1" t="s">
        <v>3601</v>
      </c>
      <c r="E952" s="1"/>
      <c r="F952" s="1" t="s">
        <v>6062</v>
      </c>
      <c r="G952" s="1" t="s">
        <v>4457</v>
      </c>
      <c r="H952" s="1" t="s">
        <v>3604</v>
      </c>
      <c r="I952" s="1" t="s">
        <v>6063</v>
      </c>
      <c r="J952" s="1" t="s">
        <v>3606</v>
      </c>
      <c r="K952" s="1"/>
      <c r="L952" s="1"/>
      <c r="M952" s="1"/>
    </row>
    <row x14ac:dyDescent="0.25" r="953" customHeight="1" ht="18.75">
      <c r="A953" s="1" t="s">
        <v>3617</v>
      </c>
      <c r="B953" s="1" t="s">
        <v>3903</v>
      </c>
      <c r="C953" s="1" t="s">
        <v>3619</v>
      </c>
      <c r="D953" s="1" t="s">
        <v>3601</v>
      </c>
      <c r="E953" s="1"/>
      <c r="F953" s="1" t="s">
        <v>6064</v>
      </c>
      <c r="G953" s="1" t="s">
        <v>4457</v>
      </c>
      <c r="H953" s="1" t="s">
        <v>3604</v>
      </c>
      <c r="I953" s="1" t="s">
        <v>6065</v>
      </c>
      <c r="J953" s="1" t="s">
        <v>3606</v>
      </c>
      <c r="K953" s="1"/>
      <c r="L953" s="1"/>
      <c r="M953" s="1"/>
    </row>
    <row x14ac:dyDescent="0.25" r="954" customHeight="1" ht="18.75">
      <c r="A954" s="1" t="s">
        <v>3617</v>
      </c>
      <c r="B954" s="1" t="s">
        <v>3903</v>
      </c>
      <c r="C954" s="1" t="s">
        <v>3619</v>
      </c>
      <c r="D954" s="1" t="s">
        <v>3601</v>
      </c>
      <c r="E954" s="1"/>
      <c r="F954" s="1" t="s">
        <v>6066</v>
      </c>
      <c r="G954" s="1" t="s">
        <v>4457</v>
      </c>
      <c r="H954" s="1" t="s">
        <v>3604</v>
      </c>
      <c r="I954" s="1" t="s">
        <v>6067</v>
      </c>
      <c r="J954" s="1" t="s">
        <v>3606</v>
      </c>
      <c r="K954" s="1"/>
      <c r="L954" s="1"/>
      <c r="M954" s="1"/>
    </row>
    <row x14ac:dyDescent="0.25" r="955" customHeight="1" ht="18.75">
      <c r="A955" s="1" t="s">
        <v>3617</v>
      </c>
      <c r="B955" s="1" t="s">
        <v>3903</v>
      </c>
      <c r="C955" s="1" t="s">
        <v>3619</v>
      </c>
      <c r="D955" s="1" t="s">
        <v>3601</v>
      </c>
      <c r="E955" s="1"/>
      <c r="F955" s="1" t="s">
        <v>6068</v>
      </c>
      <c r="G955" s="1" t="s">
        <v>4457</v>
      </c>
      <c r="H955" s="1" t="s">
        <v>3604</v>
      </c>
      <c r="I955" s="1" t="s">
        <v>6069</v>
      </c>
      <c r="J955" s="1" t="s">
        <v>3606</v>
      </c>
      <c r="K955" s="1"/>
      <c r="L955" s="1"/>
      <c r="M955" s="1"/>
    </row>
    <row x14ac:dyDescent="0.25" r="956" customHeight="1" ht="18.75">
      <c r="A956" s="1" t="s">
        <v>3617</v>
      </c>
      <c r="B956" s="1" t="s">
        <v>3903</v>
      </c>
      <c r="C956" s="1" t="s">
        <v>3619</v>
      </c>
      <c r="D956" s="1" t="s">
        <v>3601</v>
      </c>
      <c r="E956" s="1"/>
      <c r="F956" s="1" t="s">
        <v>6070</v>
      </c>
      <c r="G956" s="1"/>
      <c r="H956" s="1" t="s">
        <v>3604</v>
      </c>
      <c r="I956" s="1" t="s">
        <v>6071</v>
      </c>
      <c r="J956" s="1" t="s">
        <v>3606</v>
      </c>
      <c r="K956" s="1"/>
      <c r="L956" s="1"/>
      <c r="M956" s="1"/>
    </row>
    <row x14ac:dyDescent="0.25" r="957" customHeight="1" ht="18.75">
      <c r="A957" s="1" t="s">
        <v>3617</v>
      </c>
      <c r="B957" s="1" t="s">
        <v>3903</v>
      </c>
      <c r="C957" s="1" t="s">
        <v>3619</v>
      </c>
      <c r="D957" s="1" t="s">
        <v>3601</v>
      </c>
      <c r="E957" s="1"/>
      <c r="F957" s="1" t="s">
        <v>6072</v>
      </c>
      <c r="G957" s="1" t="s">
        <v>4457</v>
      </c>
      <c r="H957" s="1" t="s">
        <v>3604</v>
      </c>
      <c r="I957" s="1" t="s">
        <v>6073</v>
      </c>
      <c r="J957" s="1" t="s">
        <v>3606</v>
      </c>
      <c r="K957" s="1"/>
      <c r="L957" s="1"/>
      <c r="M957" s="1"/>
    </row>
    <row x14ac:dyDescent="0.25" r="958" customHeight="1" ht="18.75">
      <c r="A958" s="1" t="s">
        <v>3617</v>
      </c>
      <c r="B958" s="1" t="s">
        <v>3903</v>
      </c>
      <c r="C958" s="1" t="s">
        <v>3619</v>
      </c>
      <c r="D958" s="1" t="s">
        <v>3601</v>
      </c>
      <c r="E958" s="1"/>
      <c r="F958" s="1" t="s">
        <v>6074</v>
      </c>
      <c r="G958" s="1" t="s">
        <v>4457</v>
      </c>
      <c r="H958" s="1" t="s">
        <v>3604</v>
      </c>
      <c r="I958" s="1" t="s">
        <v>6075</v>
      </c>
      <c r="J958" s="1" t="s">
        <v>3606</v>
      </c>
      <c r="K958" s="1"/>
      <c r="L958" s="1"/>
      <c r="M958" s="1"/>
    </row>
    <row x14ac:dyDescent="0.25" r="959" customHeight="1" ht="18.75">
      <c r="A959" s="1" t="s">
        <v>3617</v>
      </c>
      <c r="B959" s="1" t="s">
        <v>3903</v>
      </c>
      <c r="C959" s="1" t="s">
        <v>3619</v>
      </c>
      <c r="D959" s="1" t="s">
        <v>3601</v>
      </c>
      <c r="E959" s="1"/>
      <c r="F959" s="1" t="s">
        <v>6076</v>
      </c>
      <c r="G959" s="1" t="s">
        <v>4457</v>
      </c>
      <c r="H959" s="1" t="s">
        <v>3604</v>
      </c>
      <c r="I959" s="1" t="s">
        <v>6077</v>
      </c>
      <c r="J959" s="1" t="s">
        <v>3606</v>
      </c>
      <c r="K959" s="1"/>
      <c r="L959" s="1"/>
      <c r="M959" s="1"/>
    </row>
    <row x14ac:dyDescent="0.25" r="960" customHeight="1" ht="18.75">
      <c r="A960" s="1" t="s">
        <v>3693</v>
      </c>
      <c r="B960" s="1" t="s">
        <v>3957</v>
      </c>
      <c r="C960" s="1" t="s">
        <v>3600</v>
      </c>
      <c r="D960" s="1" t="s">
        <v>3601</v>
      </c>
      <c r="E960" s="1" t="s">
        <v>3752</v>
      </c>
      <c r="F960" s="1" t="s">
        <v>6078</v>
      </c>
      <c r="G960" s="1" t="s">
        <v>6079</v>
      </c>
      <c r="H960" s="1" t="s">
        <v>3604</v>
      </c>
      <c r="I960" s="1" t="s">
        <v>6080</v>
      </c>
      <c r="J960" s="1" t="s">
        <v>3606</v>
      </c>
      <c r="K960" s="1"/>
      <c r="L960" s="1"/>
      <c r="M960" s="1"/>
    </row>
    <row x14ac:dyDescent="0.25" r="961" customHeight="1" ht="18.75">
      <c r="A961" s="1" t="s">
        <v>3693</v>
      </c>
      <c r="B961" s="1" t="s">
        <v>3957</v>
      </c>
      <c r="C961" s="1" t="s">
        <v>3600</v>
      </c>
      <c r="D961" s="1" t="s">
        <v>3601</v>
      </c>
      <c r="E961" s="1" t="s">
        <v>3752</v>
      </c>
      <c r="F961" s="1" t="s">
        <v>6081</v>
      </c>
      <c r="G961" s="1" t="s">
        <v>6079</v>
      </c>
      <c r="H961" s="1" t="s">
        <v>3604</v>
      </c>
      <c r="I961" s="1" t="s">
        <v>6082</v>
      </c>
      <c r="J961" s="1" t="s">
        <v>3615</v>
      </c>
      <c r="K961" s="1"/>
      <c r="L961" s="1"/>
      <c r="M961" s="1"/>
    </row>
    <row x14ac:dyDescent="0.25" r="962" customHeight="1" ht="18.75">
      <c r="A962" s="1" t="s">
        <v>3693</v>
      </c>
      <c r="B962" s="1" t="s">
        <v>3957</v>
      </c>
      <c r="C962" s="1" t="s">
        <v>3600</v>
      </c>
      <c r="D962" s="1" t="s">
        <v>3601</v>
      </c>
      <c r="E962" s="1" t="s">
        <v>3752</v>
      </c>
      <c r="F962" s="1" t="s">
        <v>6083</v>
      </c>
      <c r="G962" s="1" t="s">
        <v>6084</v>
      </c>
      <c r="H962" s="1" t="s">
        <v>3604</v>
      </c>
      <c r="I962" s="1" t="s">
        <v>6085</v>
      </c>
      <c r="J962" s="1" t="s">
        <v>3606</v>
      </c>
      <c r="K962" s="1"/>
      <c r="L962" s="1"/>
      <c r="M962" s="1"/>
    </row>
    <row x14ac:dyDescent="0.25" r="963" customHeight="1" ht="18.75">
      <c r="A963" s="1" t="s">
        <v>3693</v>
      </c>
      <c r="B963" s="1" t="s">
        <v>3957</v>
      </c>
      <c r="C963" s="1" t="s">
        <v>3600</v>
      </c>
      <c r="D963" s="1" t="s">
        <v>3601</v>
      </c>
      <c r="E963" s="1" t="s">
        <v>3752</v>
      </c>
      <c r="F963" s="1" t="s">
        <v>6086</v>
      </c>
      <c r="G963" s="1" t="s">
        <v>6087</v>
      </c>
      <c r="H963" s="1" t="s">
        <v>3604</v>
      </c>
      <c r="I963" s="1" t="s">
        <v>6088</v>
      </c>
      <c r="J963" s="1" t="s">
        <v>3615</v>
      </c>
      <c r="K963" s="1"/>
      <c r="L963" s="1"/>
      <c r="M963" s="1"/>
    </row>
    <row x14ac:dyDescent="0.25" r="964" customHeight="1" ht="18.75">
      <c r="A964" s="1" t="s">
        <v>3693</v>
      </c>
      <c r="B964" s="1" t="s">
        <v>3957</v>
      </c>
      <c r="C964" s="1" t="s">
        <v>3600</v>
      </c>
      <c r="D964" s="1" t="s">
        <v>3601</v>
      </c>
      <c r="E964" s="1" t="s">
        <v>3752</v>
      </c>
      <c r="F964" s="1" t="s">
        <v>6089</v>
      </c>
      <c r="G964" s="1" t="s">
        <v>6090</v>
      </c>
      <c r="H964" s="1" t="s">
        <v>3604</v>
      </c>
      <c r="I964" s="1" t="s">
        <v>6091</v>
      </c>
      <c r="J964" s="1" t="s">
        <v>3606</v>
      </c>
      <c r="K964" s="1"/>
      <c r="L964" s="1"/>
      <c r="M964" s="1"/>
    </row>
    <row x14ac:dyDescent="0.25" r="965" customHeight="1" ht="18.75">
      <c r="A965" s="1" t="s">
        <v>3693</v>
      </c>
      <c r="B965" s="1" t="s">
        <v>3957</v>
      </c>
      <c r="C965" s="1" t="s">
        <v>3600</v>
      </c>
      <c r="D965" s="1" t="s">
        <v>3601</v>
      </c>
      <c r="E965" s="1" t="s">
        <v>3752</v>
      </c>
      <c r="F965" s="1" t="s">
        <v>6092</v>
      </c>
      <c r="G965" s="1" t="s">
        <v>6093</v>
      </c>
      <c r="H965" s="1" t="s">
        <v>3604</v>
      </c>
      <c r="I965" s="1" t="s">
        <v>6094</v>
      </c>
      <c r="J965" s="1" t="s">
        <v>3615</v>
      </c>
      <c r="K965" s="1"/>
      <c r="L965" s="1"/>
      <c r="M965" s="1"/>
    </row>
    <row x14ac:dyDescent="0.25" r="966" customHeight="1" ht="18.75">
      <c r="A966" s="1" t="s">
        <v>3693</v>
      </c>
      <c r="B966" s="1" t="s">
        <v>3957</v>
      </c>
      <c r="C966" s="1" t="s">
        <v>3600</v>
      </c>
      <c r="D966" s="1" t="s">
        <v>3601</v>
      </c>
      <c r="E966" s="1" t="s">
        <v>3752</v>
      </c>
      <c r="F966" s="1" t="s">
        <v>6095</v>
      </c>
      <c r="G966" s="1" t="s">
        <v>6096</v>
      </c>
      <c r="H966" s="1" t="s">
        <v>3604</v>
      </c>
      <c r="I966" s="1" t="s">
        <v>6097</v>
      </c>
      <c r="J966" s="1" t="s">
        <v>3606</v>
      </c>
      <c r="K966" s="1"/>
      <c r="L966" s="1"/>
      <c r="M966" s="1"/>
    </row>
    <row x14ac:dyDescent="0.25" r="967" customHeight="1" ht="18.75">
      <c r="A967" s="1" t="s">
        <v>3693</v>
      </c>
      <c r="B967" s="1" t="s">
        <v>3957</v>
      </c>
      <c r="C967" s="1" t="s">
        <v>3600</v>
      </c>
      <c r="D967" s="1" t="s">
        <v>3601</v>
      </c>
      <c r="E967" s="1" t="s">
        <v>3752</v>
      </c>
      <c r="F967" s="1" t="s">
        <v>6098</v>
      </c>
      <c r="G967" s="1" t="s">
        <v>6096</v>
      </c>
      <c r="H967" s="1" t="s">
        <v>3604</v>
      </c>
      <c r="I967" s="1" t="s">
        <v>6099</v>
      </c>
      <c r="J967" s="1" t="s">
        <v>3615</v>
      </c>
      <c r="K967" s="1"/>
      <c r="L967" s="1"/>
      <c r="M967" s="1"/>
    </row>
    <row x14ac:dyDescent="0.25" r="968" customHeight="1" ht="18.75">
      <c r="A968" s="1" t="s">
        <v>3693</v>
      </c>
      <c r="B968" s="1" t="s">
        <v>3957</v>
      </c>
      <c r="C968" s="1" t="s">
        <v>3600</v>
      </c>
      <c r="D968" s="1" t="s">
        <v>3601</v>
      </c>
      <c r="E968" s="1" t="s">
        <v>3752</v>
      </c>
      <c r="F968" s="1" t="s">
        <v>6100</v>
      </c>
      <c r="G968" s="1" t="s">
        <v>6101</v>
      </c>
      <c r="H968" s="1" t="s">
        <v>3604</v>
      </c>
      <c r="I968" s="1" t="s">
        <v>6102</v>
      </c>
      <c r="J968" s="1" t="s">
        <v>3606</v>
      </c>
      <c r="K968" s="1"/>
      <c r="L968" s="1"/>
      <c r="M968" s="1"/>
    </row>
    <row x14ac:dyDescent="0.25" r="969" customHeight="1" ht="18.75">
      <c r="A969" s="1" t="s">
        <v>3693</v>
      </c>
      <c r="B969" s="1" t="s">
        <v>3957</v>
      </c>
      <c r="C969" s="1" t="s">
        <v>3600</v>
      </c>
      <c r="D969" s="1" t="s">
        <v>3601</v>
      </c>
      <c r="E969" s="1" t="s">
        <v>3752</v>
      </c>
      <c r="F969" s="1" t="s">
        <v>6103</v>
      </c>
      <c r="G969" s="1" t="s">
        <v>6101</v>
      </c>
      <c r="H969" s="1" t="s">
        <v>3604</v>
      </c>
      <c r="I969" s="1" t="s">
        <v>6104</v>
      </c>
      <c r="J969" s="1" t="s">
        <v>3615</v>
      </c>
      <c r="K969" s="1"/>
      <c r="L969" s="1"/>
      <c r="M969" s="1"/>
    </row>
    <row x14ac:dyDescent="0.25" r="970" customHeight="1" ht="18.75">
      <c r="A970" s="1" t="s">
        <v>3693</v>
      </c>
      <c r="B970" s="1" t="s">
        <v>3957</v>
      </c>
      <c r="C970" s="1" t="s">
        <v>3600</v>
      </c>
      <c r="D970" s="1" t="s">
        <v>3601</v>
      </c>
      <c r="E970" s="1" t="s">
        <v>3752</v>
      </c>
      <c r="F970" s="1" t="s">
        <v>6105</v>
      </c>
      <c r="G970" s="1" t="s">
        <v>6106</v>
      </c>
      <c r="H970" s="1" t="s">
        <v>3604</v>
      </c>
      <c r="I970" s="1" t="s">
        <v>6107</v>
      </c>
      <c r="J970" s="1" t="s">
        <v>3606</v>
      </c>
      <c r="K970" s="1"/>
      <c r="L970" s="1"/>
      <c r="M970" s="1"/>
    </row>
    <row x14ac:dyDescent="0.25" r="971" customHeight="1" ht="18.75">
      <c r="A971" s="1" t="s">
        <v>3693</v>
      </c>
      <c r="B971" s="1" t="s">
        <v>3957</v>
      </c>
      <c r="C971" s="1" t="s">
        <v>3600</v>
      </c>
      <c r="D971" s="1" t="s">
        <v>3601</v>
      </c>
      <c r="E971" s="1" t="s">
        <v>3752</v>
      </c>
      <c r="F971" s="1" t="s">
        <v>6108</v>
      </c>
      <c r="G971" s="1" t="s">
        <v>6106</v>
      </c>
      <c r="H971" s="1" t="s">
        <v>3604</v>
      </c>
      <c r="I971" s="1" t="s">
        <v>6109</v>
      </c>
      <c r="J971" s="1" t="s">
        <v>3615</v>
      </c>
      <c r="K971" s="1"/>
      <c r="L971" s="1"/>
      <c r="M971" s="1"/>
    </row>
    <row x14ac:dyDescent="0.25" r="972" customHeight="1" ht="18.75">
      <c r="A972" s="1" t="s">
        <v>3693</v>
      </c>
      <c r="B972" s="1" t="s">
        <v>3957</v>
      </c>
      <c r="C972" s="1" t="s">
        <v>3600</v>
      </c>
      <c r="D972" s="1" t="s">
        <v>3601</v>
      </c>
      <c r="E972" s="1" t="s">
        <v>3752</v>
      </c>
      <c r="F972" s="1" t="s">
        <v>6110</v>
      </c>
      <c r="G972" s="1" t="s">
        <v>6111</v>
      </c>
      <c r="H972" s="1" t="s">
        <v>3604</v>
      </c>
      <c r="I972" s="1" t="s">
        <v>6112</v>
      </c>
      <c r="J972" s="1" t="s">
        <v>3606</v>
      </c>
      <c r="K972" s="1"/>
      <c r="L972" s="1"/>
      <c r="M972" s="1"/>
    </row>
    <row x14ac:dyDescent="0.25" r="973" customHeight="1" ht="18.75">
      <c r="A973" s="1" t="s">
        <v>3693</v>
      </c>
      <c r="B973" s="1" t="s">
        <v>3957</v>
      </c>
      <c r="C973" s="1" t="s">
        <v>3600</v>
      </c>
      <c r="D973" s="1" t="s">
        <v>3601</v>
      </c>
      <c r="E973" s="1" t="s">
        <v>3752</v>
      </c>
      <c r="F973" s="1" t="s">
        <v>6113</v>
      </c>
      <c r="G973" s="1" t="s">
        <v>6111</v>
      </c>
      <c r="H973" s="1" t="s">
        <v>3604</v>
      </c>
      <c r="I973" s="1" t="s">
        <v>6114</v>
      </c>
      <c r="J973" s="1" t="s">
        <v>3615</v>
      </c>
      <c r="K973" s="1"/>
      <c r="L973" s="1"/>
      <c r="M973" s="1"/>
    </row>
    <row x14ac:dyDescent="0.25" r="974" customHeight="1" ht="18.75">
      <c r="A974" s="1" t="s">
        <v>3693</v>
      </c>
      <c r="B974" s="1" t="s">
        <v>3957</v>
      </c>
      <c r="C974" s="1" t="s">
        <v>3600</v>
      </c>
      <c r="D974" s="1" t="s">
        <v>3601</v>
      </c>
      <c r="E974" s="1" t="s">
        <v>3752</v>
      </c>
      <c r="F974" s="1" t="s">
        <v>6115</v>
      </c>
      <c r="G974" s="1" t="s">
        <v>6116</v>
      </c>
      <c r="H974" s="1" t="s">
        <v>3604</v>
      </c>
      <c r="I974" s="1" t="s">
        <v>6117</v>
      </c>
      <c r="J974" s="1" t="s">
        <v>3606</v>
      </c>
      <c r="K974" s="1"/>
      <c r="L974" s="1"/>
      <c r="M974" s="1"/>
    </row>
    <row x14ac:dyDescent="0.25" r="975" customHeight="1" ht="18.75">
      <c r="A975" s="1" t="s">
        <v>3693</v>
      </c>
      <c r="B975" s="1" t="s">
        <v>3957</v>
      </c>
      <c r="C975" s="1" t="s">
        <v>3600</v>
      </c>
      <c r="D975" s="1" t="s">
        <v>3601</v>
      </c>
      <c r="E975" s="1" t="s">
        <v>3752</v>
      </c>
      <c r="F975" s="1" t="s">
        <v>6118</v>
      </c>
      <c r="G975" s="1" t="s">
        <v>6119</v>
      </c>
      <c r="H975" s="1" t="s">
        <v>3604</v>
      </c>
      <c r="I975" s="1" t="s">
        <v>6120</v>
      </c>
      <c r="J975" s="1" t="s">
        <v>3615</v>
      </c>
      <c r="K975" s="1"/>
      <c r="L975" s="1"/>
      <c r="M975" s="1"/>
    </row>
    <row x14ac:dyDescent="0.25" r="976" customHeight="1" ht="18.75">
      <c r="A976" s="1" t="s">
        <v>3598</v>
      </c>
      <c r="B976" s="1" t="s">
        <v>5252</v>
      </c>
      <c r="C976" s="1" t="s">
        <v>3600</v>
      </c>
      <c r="D976" s="1" t="s">
        <v>3601</v>
      </c>
      <c r="E976" s="1" t="s">
        <v>3893</v>
      </c>
      <c r="F976" s="1" t="s">
        <v>6121</v>
      </c>
      <c r="G976" s="1" t="s">
        <v>6122</v>
      </c>
      <c r="H976" s="1" t="s">
        <v>3604</v>
      </c>
      <c r="I976" s="1" t="s">
        <v>6123</v>
      </c>
      <c r="J976" s="1" t="s">
        <v>3615</v>
      </c>
      <c r="K976" s="1"/>
      <c r="L976" s="1"/>
      <c r="M976" s="1"/>
    </row>
    <row x14ac:dyDescent="0.25" r="977" customHeight="1" ht="18.75">
      <c r="A977" s="1" t="s">
        <v>3598</v>
      </c>
      <c r="B977" s="1" t="s">
        <v>5252</v>
      </c>
      <c r="C977" s="1" t="s">
        <v>3600</v>
      </c>
      <c r="D977" s="1" t="s">
        <v>3601</v>
      </c>
      <c r="E977" s="1" t="s">
        <v>3664</v>
      </c>
      <c r="F977" s="1" t="s">
        <v>6124</v>
      </c>
      <c r="G977" s="1" t="s">
        <v>6125</v>
      </c>
      <c r="H977" s="1" t="s">
        <v>3604</v>
      </c>
      <c r="I977" s="1" t="s">
        <v>6126</v>
      </c>
      <c r="J977" s="1" t="s">
        <v>3615</v>
      </c>
      <c r="K977" s="1"/>
      <c r="L977" s="1"/>
      <c r="M977" s="1"/>
    </row>
    <row x14ac:dyDescent="0.25" r="978" customHeight="1" ht="18.75">
      <c r="A978" s="1" t="s">
        <v>3598</v>
      </c>
      <c r="B978" s="1" t="s">
        <v>5252</v>
      </c>
      <c r="C978" s="1" t="s">
        <v>3600</v>
      </c>
      <c r="D978" s="1" t="s">
        <v>3601</v>
      </c>
      <c r="E978" s="1" t="s">
        <v>3893</v>
      </c>
      <c r="F978" s="1" t="s">
        <v>6127</v>
      </c>
      <c r="G978" s="1" t="s">
        <v>6125</v>
      </c>
      <c r="H978" s="1" t="s">
        <v>3604</v>
      </c>
      <c r="I978" s="1" t="s">
        <v>6128</v>
      </c>
      <c r="J978" s="1" t="s">
        <v>3615</v>
      </c>
      <c r="K978" s="1"/>
      <c r="L978" s="1"/>
      <c r="M978" s="1"/>
    </row>
    <row x14ac:dyDescent="0.25" r="979" customHeight="1" ht="18.75">
      <c r="A979" s="1" t="s">
        <v>3598</v>
      </c>
      <c r="B979" s="1" t="s">
        <v>6129</v>
      </c>
      <c r="C979" s="1" t="s">
        <v>3600</v>
      </c>
      <c r="D979" s="1" t="s">
        <v>3601</v>
      </c>
      <c r="E979" s="1"/>
      <c r="F979" s="1" t="s">
        <v>6130</v>
      </c>
      <c r="G979" s="1" t="s">
        <v>6122</v>
      </c>
      <c r="H979" s="1" t="s">
        <v>3604</v>
      </c>
      <c r="I979" s="1" t="s">
        <v>6131</v>
      </c>
      <c r="J979" s="1" t="s">
        <v>3606</v>
      </c>
      <c r="K979" s="1"/>
      <c r="L979" s="1"/>
      <c r="M979" s="1"/>
    </row>
    <row x14ac:dyDescent="0.25" r="980" customHeight="1" ht="18.75">
      <c r="A980" s="1" t="s">
        <v>3598</v>
      </c>
      <c r="B980" s="1" t="s">
        <v>5978</v>
      </c>
      <c r="C980" s="1" t="s">
        <v>3600</v>
      </c>
      <c r="D980" s="1" t="s">
        <v>3601</v>
      </c>
      <c r="E980" s="1"/>
      <c r="F980" s="1" t="s">
        <v>6132</v>
      </c>
      <c r="G980" s="1" t="s">
        <v>5980</v>
      </c>
      <c r="H980" s="1" t="s">
        <v>3604</v>
      </c>
      <c r="I980" s="1" t="s">
        <v>6133</v>
      </c>
      <c r="J980" s="1" t="s">
        <v>3606</v>
      </c>
      <c r="K980" s="1"/>
      <c r="L980" s="1"/>
      <c r="M980" s="1"/>
    </row>
    <row x14ac:dyDescent="0.25" r="981" customHeight="1" ht="18.75">
      <c r="A981" s="1" t="s">
        <v>3598</v>
      </c>
      <c r="B981" s="1" t="s">
        <v>6134</v>
      </c>
      <c r="C981" s="1" t="s">
        <v>3600</v>
      </c>
      <c r="D981" s="1" t="s">
        <v>3601</v>
      </c>
      <c r="E981" s="1"/>
      <c r="F981" s="1" t="s">
        <v>6135</v>
      </c>
      <c r="G981" s="1" t="s">
        <v>6136</v>
      </c>
      <c r="H981" s="1" t="s">
        <v>3604</v>
      </c>
      <c r="I981" s="1" t="s">
        <v>6137</v>
      </c>
      <c r="J981" s="1" t="s">
        <v>3606</v>
      </c>
      <c r="K981" s="1"/>
      <c r="L981" s="1"/>
      <c r="M981" s="1"/>
    </row>
    <row x14ac:dyDescent="0.25" r="982" customHeight="1" ht="18.75">
      <c r="A982" s="1" t="s">
        <v>3598</v>
      </c>
      <c r="B982" s="1" t="s">
        <v>6134</v>
      </c>
      <c r="C982" s="1" t="s">
        <v>3600</v>
      </c>
      <c r="D982" s="1" t="s">
        <v>3601</v>
      </c>
      <c r="E982" s="1"/>
      <c r="F982" s="1" t="s">
        <v>6138</v>
      </c>
      <c r="G982" s="1" t="s">
        <v>6136</v>
      </c>
      <c r="H982" s="1" t="s">
        <v>3604</v>
      </c>
      <c r="I982" s="1" t="s">
        <v>6139</v>
      </c>
      <c r="J982" s="1" t="s">
        <v>3606</v>
      </c>
      <c r="K982" s="1"/>
      <c r="L982" s="1"/>
      <c r="M982" s="1"/>
    </row>
    <row x14ac:dyDescent="0.25" r="983" customHeight="1" ht="18.75">
      <c r="A983" s="1" t="s">
        <v>3598</v>
      </c>
      <c r="B983" s="1" t="s">
        <v>6033</v>
      </c>
      <c r="C983" s="1" t="s">
        <v>3600</v>
      </c>
      <c r="D983" s="1" t="s">
        <v>3601</v>
      </c>
      <c r="E983" s="1"/>
      <c r="F983" s="1" t="s">
        <v>6140</v>
      </c>
      <c r="G983" s="1" t="s">
        <v>6035</v>
      </c>
      <c r="H983" s="1" t="s">
        <v>3604</v>
      </c>
      <c r="I983" s="1" t="s">
        <v>6141</v>
      </c>
      <c r="J983" s="1" t="s">
        <v>3606</v>
      </c>
      <c r="K983" s="1"/>
      <c r="L983" s="1"/>
      <c r="M983" s="1"/>
    </row>
    <row x14ac:dyDescent="0.25" r="984" customHeight="1" ht="18.75">
      <c r="A984" s="1" t="s">
        <v>3598</v>
      </c>
      <c r="B984" s="1" t="s">
        <v>6037</v>
      </c>
      <c r="C984" s="1" t="s">
        <v>3600</v>
      </c>
      <c r="D984" s="1" t="s">
        <v>3601</v>
      </c>
      <c r="E984" s="1"/>
      <c r="F984" s="1" t="s">
        <v>6142</v>
      </c>
      <c r="G984" s="1" t="s">
        <v>6039</v>
      </c>
      <c r="H984" s="1" t="s">
        <v>3604</v>
      </c>
      <c r="I984" s="1" t="s">
        <v>6143</v>
      </c>
      <c r="J984" s="1" t="s">
        <v>3615</v>
      </c>
      <c r="K984" s="1"/>
      <c r="L984" s="1"/>
      <c r="M984" s="1"/>
    </row>
    <row x14ac:dyDescent="0.25" r="985" customHeight="1" ht="18.75">
      <c r="A985" s="1" t="s">
        <v>3598</v>
      </c>
      <c r="B985" s="1" t="s">
        <v>6033</v>
      </c>
      <c r="C985" s="1" t="s">
        <v>3600</v>
      </c>
      <c r="D985" s="1" t="s">
        <v>3601</v>
      </c>
      <c r="E985" s="1"/>
      <c r="F985" s="1" t="s">
        <v>6144</v>
      </c>
      <c r="G985" s="1" t="s">
        <v>6035</v>
      </c>
      <c r="H985" s="1" t="s">
        <v>3604</v>
      </c>
      <c r="I985" s="1" t="s">
        <v>6145</v>
      </c>
      <c r="J985" s="1" t="s">
        <v>3606</v>
      </c>
      <c r="K985" s="1"/>
      <c r="L985" s="1"/>
      <c r="M985" s="1"/>
    </row>
    <row x14ac:dyDescent="0.25" r="986" customHeight="1" ht="18.75">
      <c r="A986" s="1" t="s">
        <v>3598</v>
      </c>
      <c r="B986" s="1" t="s">
        <v>6146</v>
      </c>
      <c r="C986" s="1" t="s">
        <v>3600</v>
      </c>
      <c r="D986" s="1" t="s">
        <v>3601</v>
      </c>
      <c r="E986" s="1"/>
      <c r="F986" s="1" t="s">
        <v>6147</v>
      </c>
      <c r="G986" s="1" t="s">
        <v>6148</v>
      </c>
      <c r="H986" s="1" t="s">
        <v>3604</v>
      </c>
      <c r="I986" s="1" t="s">
        <v>6149</v>
      </c>
      <c r="J986" s="1" t="s">
        <v>3606</v>
      </c>
      <c r="K986" s="1"/>
      <c r="L986" s="1"/>
      <c r="M986" s="1"/>
    </row>
    <row x14ac:dyDescent="0.25" r="987" customHeight="1" ht="18.75">
      <c r="A987" s="1" t="s">
        <v>3598</v>
      </c>
      <c r="B987" s="1" t="s">
        <v>5239</v>
      </c>
      <c r="C987" s="1" t="s">
        <v>3600</v>
      </c>
      <c r="D987" s="1" t="s">
        <v>3601</v>
      </c>
      <c r="E987" s="1" t="s">
        <v>3664</v>
      </c>
      <c r="F987" s="1" t="s">
        <v>6150</v>
      </c>
      <c r="G987" s="1" t="s">
        <v>6151</v>
      </c>
      <c r="H987" s="1" t="s">
        <v>3604</v>
      </c>
      <c r="I987" s="1" t="s">
        <v>6152</v>
      </c>
      <c r="J987" s="1" t="s">
        <v>3606</v>
      </c>
      <c r="K987" s="1"/>
      <c r="L987" s="1"/>
      <c r="M987" s="1"/>
    </row>
    <row x14ac:dyDescent="0.25" r="988" customHeight="1" ht="18.75">
      <c r="A988" s="1" t="s">
        <v>3598</v>
      </c>
      <c r="B988" s="1" t="s">
        <v>6153</v>
      </c>
      <c r="C988" s="1" t="s">
        <v>3600</v>
      </c>
      <c r="D988" s="1" t="s">
        <v>3601</v>
      </c>
      <c r="E988" s="1"/>
      <c r="F988" s="1" t="s">
        <v>6154</v>
      </c>
      <c r="G988" s="1" t="s">
        <v>6155</v>
      </c>
      <c r="H988" s="1" t="s">
        <v>3604</v>
      </c>
      <c r="I988" s="1" t="s">
        <v>6156</v>
      </c>
      <c r="J988" s="1" t="s">
        <v>3606</v>
      </c>
      <c r="K988" s="1"/>
      <c r="L988" s="1"/>
      <c r="M988" s="1"/>
    </row>
    <row x14ac:dyDescent="0.25" r="989" customHeight="1" ht="18.75">
      <c r="A989" s="1" t="s">
        <v>3598</v>
      </c>
      <c r="B989" s="1" t="s">
        <v>6153</v>
      </c>
      <c r="C989" s="1" t="s">
        <v>3600</v>
      </c>
      <c r="D989" s="1" t="s">
        <v>3601</v>
      </c>
      <c r="E989" s="1"/>
      <c r="F989" s="1" t="s">
        <v>6157</v>
      </c>
      <c r="G989" s="1" t="s">
        <v>6155</v>
      </c>
      <c r="H989" s="1" t="s">
        <v>3604</v>
      </c>
      <c r="I989" s="1" t="s">
        <v>6158</v>
      </c>
      <c r="J989" s="1" t="s">
        <v>3606</v>
      </c>
      <c r="K989" s="1"/>
      <c r="L989" s="1"/>
      <c r="M989" s="1"/>
    </row>
    <row x14ac:dyDescent="0.25" r="990" customHeight="1" ht="18.75">
      <c r="A990" s="1" t="s">
        <v>3598</v>
      </c>
      <c r="B990" s="1" t="s">
        <v>6153</v>
      </c>
      <c r="C990" s="1" t="s">
        <v>3600</v>
      </c>
      <c r="D990" s="1" t="s">
        <v>3601</v>
      </c>
      <c r="E990" s="1"/>
      <c r="F990" s="1" t="s">
        <v>6159</v>
      </c>
      <c r="G990" s="1" t="s">
        <v>6155</v>
      </c>
      <c r="H990" s="1" t="s">
        <v>3604</v>
      </c>
      <c r="I990" s="1" t="s">
        <v>6160</v>
      </c>
      <c r="J990" s="1" t="s">
        <v>3606</v>
      </c>
      <c r="K990" s="1"/>
      <c r="L990" s="1"/>
      <c r="M990" s="1"/>
    </row>
    <row x14ac:dyDescent="0.25" r="991" customHeight="1" ht="18.75">
      <c r="A991" s="1" t="s">
        <v>3598</v>
      </c>
      <c r="B991" s="1" t="s">
        <v>6161</v>
      </c>
      <c r="C991" s="1" t="s">
        <v>3600</v>
      </c>
      <c r="D991" s="1" t="s">
        <v>3601</v>
      </c>
      <c r="E991" s="1"/>
      <c r="F991" s="1" t="s">
        <v>6162</v>
      </c>
      <c r="G991" s="1" t="s">
        <v>6163</v>
      </c>
      <c r="H991" s="1" t="s">
        <v>3604</v>
      </c>
      <c r="I991" s="1" t="s">
        <v>6164</v>
      </c>
      <c r="J991" s="1" t="s">
        <v>3606</v>
      </c>
      <c r="K991" s="1"/>
      <c r="L991" s="1"/>
      <c r="M991" s="1"/>
    </row>
    <row x14ac:dyDescent="0.25" r="992" customHeight="1" ht="18.75">
      <c r="A992" s="1" t="s">
        <v>3598</v>
      </c>
      <c r="B992" s="1" t="s">
        <v>6161</v>
      </c>
      <c r="C992" s="1" t="s">
        <v>3600</v>
      </c>
      <c r="D992" s="1" t="s">
        <v>3601</v>
      </c>
      <c r="E992" s="1"/>
      <c r="F992" s="1" t="s">
        <v>6165</v>
      </c>
      <c r="G992" s="1" t="s">
        <v>6163</v>
      </c>
      <c r="H992" s="1" t="s">
        <v>3604</v>
      </c>
      <c r="I992" s="1" t="s">
        <v>6166</v>
      </c>
      <c r="J992" s="1" t="s">
        <v>3606</v>
      </c>
      <c r="K992" s="1"/>
      <c r="L992" s="1"/>
      <c r="M992" s="1"/>
    </row>
    <row x14ac:dyDescent="0.25" r="993" customHeight="1" ht="18.75">
      <c r="A993" s="1" t="s">
        <v>3598</v>
      </c>
      <c r="B993" s="1" t="s">
        <v>6167</v>
      </c>
      <c r="C993" s="1" t="s">
        <v>3600</v>
      </c>
      <c r="D993" s="1" t="s">
        <v>3601</v>
      </c>
      <c r="E993" s="1"/>
      <c r="F993" s="1" t="s">
        <v>6168</v>
      </c>
      <c r="G993" s="1" t="s">
        <v>6169</v>
      </c>
      <c r="H993" s="1" t="s">
        <v>3604</v>
      </c>
      <c r="I993" s="1" t="s">
        <v>6170</v>
      </c>
      <c r="J993" s="1" t="s">
        <v>3606</v>
      </c>
      <c r="K993" s="1"/>
      <c r="L993" s="1"/>
      <c r="M993" s="1"/>
    </row>
    <row x14ac:dyDescent="0.25" r="994" customHeight="1" ht="18.75">
      <c r="A994" s="1" t="s">
        <v>3598</v>
      </c>
      <c r="B994" s="1" t="s">
        <v>6161</v>
      </c>
      <c r="C994" s="1" t="s">
        <v>3600</v>
      </c>
      <c r="D994" s="1" t="s">
        <v>3601</v>
      </c>
      <c r="E994" s="1"/>
      <c r="F994" s="1" t="s">
        <v>6171</v>
      </c>
      <c r="G994" s="1" t="s">
        <v>6163</v>
      </c>
      <c r="H994" s="1" t="s">
        <v>3604</v>
      </c>
      <c r="I994" s="1" t="s">
        <v>6172</v>
      </c>
      <c r="J994" s="1" t="s">
        <v>3606</v>
      </c>
      <c r="K994" s="1"/>
      <c r="L994" s="1"/>
      <c r="M994" s="1"/>
    </row>
    <row x14ac:dyDescent="0.25" r="995" customHeight="1" ht="18.75">
      <c r="A995" s="1" t="s">
        <v>3598</v>
      </c>
      <c r="B995" s="1" t="s">
        <v>6167</v>
      </c>
      <c r="C995" s="1" t="s">
        <v>3600</v>
      </c>
      <c r="D995" s="1" t="s">
        <v>3601</v>
      </c>
      <c r="E995" s="1"/>
      <c r="F995" s="1" t="s">
        <v>6173</v>
      </c>
      <c r="G995" s="1" t="s">
        <v>6169</v>
      </c>
      <c r="H995" s="1" t="s">
        <v>3604</v>
      </c>
      <c r="I995" s="1" t="s">
        <v>6174</v>
      </c>
      <c r="J995" s="1" t="s">
        <v>3606</v>
      </c>
      <c r="K995" s="1"/>
      <c r="L995" s="1"/>
      <c r="M995" s="1"/>
    </row>
    <row x14ac:dyDescent="0.25" r="996" customHeight="1" ht="18.75">
      <c r="A996" s="1" t="s">
        <v>3598</v>
      </c>
      <c r="B996" s="1" t="s">
        <v>6167</v>
      </c>
      <c r="C996" s="1" t="s">
        <v>3600</v>
      </c>
      <c r="D996" s="1" t="s">
        <v>3601</v>
      </c>
      <c r="E996" s="1"/>
      <c r="F996" s="1" t="s">
        <v>6175</v>
      </c>
      <c r="G996" s="1" t="s">
        <v>6169</v>
      </c>
      <c r="H996" s="1" t="s">
        <v>3604</v>
      </c>
      <c r="I996" s="1" t="s">
        <v>6176</v>
      </c>
      <c r="J996" s="1" t="s">
        <v>3606</v>
      </c>
      <c r="K996" s="1"/>
      <c r="L996" s="1"/>
      <c r="M996" s="1"/>
    </row>
    <row x14ac:dyDescent="0.25" r="997" customHeight="1" ht="18.75">
      <c r="A997" s="1" t="s">
        <v>3598</v>
      </c>
      <c r="B997" s="1" t="s">
        <v>6167</v>
      </c>
      <c r="C997" s="1" t="s">
        <v>3600</v>
      </c>
      <c r="D997" s="1" t="s">
        <v>3601</v>
      </c>
      <c r="E997" s="1"/>
      <c r="F997" s="1" t="s">
        <v>6177</v>
      </c>
      <c r="G997" s="1" t="s">
        <v>6169</v>
      </c>
      <c r="H997" s="1" t="s">
        <v>3604</v>
      </c>
      <c r="I997" s="1" t="s">
        <v>6178</v>
      </c>
      <c r="J997" s="1" t="s">
        <v>3606</v>
      </c>
      <c r="K997" s="1"/>
      <c r="L997" s="1"/>
      <c r="M997" s="1"/>
    </row>
    <row x14ac:dyDescent="0.25" r="998" customHeight="1" ht="18.75">
      <c r="A998" s="1" t="s">
        <v>3617</v>
      </c>
      <c r="B998" s="1" t="s">
        <v>5222</v>
      </c>
      <c r="C998" s="1" t="s">
        <v>3619</v>
      </c>
      <c r="D998" s="1" t="s">
        <v>3601</v>
      </c>
      <c r="E998" s="1" t="s">
        <v>3730</v>
      </c>
      <c r="F998" s="1" t="s">
        <v>6179</v>
      </c>
      <c r="G998" s="1" t="s">
        <v>6180</v>
      </c>
      <c r="H998" s="1" t="s">
        <v>3604</v>
      </c>
      <c r="I998" s="1" t="s">
        <v>6181</v>
      </c>
      <c r="J998" s="1" t="s">
        <v>3606</v>
      </c>
      <c r="K998" s="1"/>
      <c r="L998" s="1"/>
      <c r="M998" s="1"/>
    </row>
    <row x14ac:dyDescent="0.25" r="999" customHeight="1" ht="18.75">
      <c r="A999" s="1" t="s">
        <v>3598</v>
      </c>
      <c r="B999" s="1" t="s">
        <v>6182</v>
      </c>
      <c r="C999" s="1" t="s">
        <v>3600</v>
      </c>
      <c r="D999" s="1" t="s">
        <v>3601</v>
      </c>
      <c r="E999" s="1"/>
      <c r="F999" s="1" t="s">
        <v>6183</v>
      </c>
      <c r="G999" s="1" t="s">
        <v>6184</v>
      </c>
      <c r="H999" s="1" t="s">
        <v>3604</v>
      </c>
      <c r="I999" s="1" t="s">
        <v>6185</v>
      </c>
      <c r="J999" s="1" t="s">
        <v>3606</v>
      </c>
      <c r="K999" s="1"/>
      <c r="L999" s="1"/>
      <c r="M999" s="1"/>
    </row>
    <row x14ac:dyDescent="0.25" r="1000" customHeight="1" ht="18.75">
      <c r="A1000" s="1" t="s">
        <v>3598</v>
      </c>
      <c r="B1000" s="1" t="s">
        <v>6186</v>
      </c>
      <c r="C1000" s="1" t="s">
        <v>3600</v>
      </c>
      <c r="D1000" s="1" t="s">
        <v>3601</v>
      </c>
      <c r="E1000" s="1"/>
      <c r="F1000" s="1" t="s">
        <v>6187</v>
      </c>
      <c r="G1000" s="1" t="s">
        <v>6188</v>
      </c>
      <c r="H1000" s="1" t="s">
        <v>3604</v>
      </c>
      <c r="I1000" s="1" t="s">
        <v>6189</v>
      </c>
      <c r="J1000" s="1" t="s">
        <v>3606</v>
      </c>
      <c r="K1000" s="1"/>
      <c r="L1000" s="1"/>
      <c r="M1000" s="1"/>
    </row>
    <row x14ac:dyDescent="0.25" r="1001" customHeight="1" ht="18.75">
      <c r="A1001" s="1" t="s">
        <v>3598</v>
      </c>
      <c r="B1001" s="1" t="s">
        <v>6190</v>
      </c>
      <c r="C1001" s="1" t="s">
        <v>3600</v>
      </c>
      <c r="D1001" s="1" t="s">
        <v>3601</v>
      </c>
      <c r="E1001" s="1"/>
      <c r="F1001" s="1" t="s">
        <v>6191</v>
      </c>
      <c r="G1001" s="1" t="s">
        <v>6192</v>
      </c>
      <c r="H1001" s="1" t="s">
        <v>3604</v>
      </c>
      <c r="I1001" s="1" t="s">
        <v>6193</v>
      </c>
      <c r="J1001" s="1" t="s">
        <v>3606</v>
      </c>
      <c r="K1001" s="1"/>
      <c r="L1001" s="1"/>
      <c r="M1001" s="1"/>
    </row>
    <row x14ac:dyDescent="0.25" r="1002" customHeight="1" ht="18.75">
      <c r="A1002" s="1" t="s">
        <v>3617</v>
      </c>
      <c r="B1002" s="1" t="s">
        <v>5222</v>
      </c>
      <c r="C1002" s="1" t="s">
        <v>3619</v>
      </c>
      <c r="D1002" s="1" t="s">
        <v>3601</v>
      </c>
      <c r="E1002" s="1" t="s">
        <v>3730</v>
      </c>
      <c r="F1002" s="1" t="s">
        <v>6194</v>
      </c>
      <c r="G1002" s="1" t="s">
        <v>6195</v>
      </c>
      <c r="H1002" s="1" t="s">
        <v>3604</v>
      </c>
      <c r="I1002" s="1" t="s">
        <v>6196</v>
      </c>
      <c r="J1002" s="1" t="s">
        <v>3606</v>
      </c>
      <c r="K1002" s="1"/>
      <c r="L1002" s="1"/>
      <c r="M1002" s="1"/>
    </row>
    <row x14ac:dyDescent="0.25" r="1003" customHeight="1" ht="18.75">
      <c r="A1003" s="1" t="s">
        <v>3617</v>
      </c>
      <c r="B1003" s="1" t="s">
        <v>5222</v>
      </c>
      <c r="C1003" s="1" t="s">
        <v>3619</v>
      </c>
      <c r="D1003" s="1" t="s">
        <v>3601</v>
      </c>
      <c r="E1003" s="1" t="s">
        <v>3664</v>
      </c>
      <c r="F1003" s="1" t="s">
        <v>6197</v>
      </c>
      <c r="G1003" s="1" t="s">
        <v>6198</v>
      </c>
      <c r="H1003" s="1" t="s">
        <v>3604</v>
      </c>
      <c r="I1003" s="1" t="s">
        <v>6199</v>
      </c>
      <c r="J1003" s="1" t="s">
        <v>3606</v>
      </c>
      <c r="K1003" s="1"/>
      <c r="L1003" s="1"/>
      <c r="M1003" s="1"/>
    </row>
    <row x14ac:dyDescent="0.25" r="1004" customHeight="1" ht="18.75">
      <c r="A1004" s="1" t="s">
        <v>3617</v>
      </c>
      <c r="B1004" s="1" t="s">
        <v>5222</v>
      </c>
      <c r="C1004" s="1" t="s">
        <v>3619</v>
      </c>
      <c r="D1004" s="1" t="s">
        <v>3601</v>
      </c>
      <c r="E1004" s="1" t="s">
        <v>3664</v>
      </c>
      <c r="F1004" s="1" t="s">
        <v>6200</v>
      </c>
      <c r="G1004" s="1" t="s">
        <v>6201</v>
      </c>
      <c r="H1004" s="1" t="s">
        <v>3604</v>
      </c>
      <c r="I1004" s="1" t="s">
        <v>6202</v>
      </c>
      <c r="J1004" s="1" t="s">
        <v>3606</v>
      </c>
      <c r="K1004" s="1"/>
      <c r="L1004" s="1"/>
      <c r="M1004" s="1"/>
    </row>
    <row x14ac:dyDescent="0.25" r="1005" customHeight="1" ht="18.75">
      <c r="A1005" s="1" t="s">
        <v>3617</v>
      </c>
      <c r="B1005" s="1" t="s">
        <v>5222</v>
      </c>
      <c r="C1005" s="1" t="s">
        <v>3619</v>
      </c>
      <c r="D1005" s="1" t="s">
        <v>3601</v>
      </c>
      <c r="E1005" s="1" t="s">
        <v>3664</v>
      </c>
      <c r="F1005" s="1" t="s">
        <v>6203</v>
      </c>
      <c r="G1005" s="1" t="s">
        <v>6204</v>
      </c>
      <c r="H1005" s="1" t="s">
        <v>3604</v>
      </c>
      <c r="I1005" s="1" t="s">
        <v>6205</v>
      </c>
      <c r="J1005" s="1" t="s">
        <v>3606</v>
      </c>
      <c r="K1005" s="1"/>
      <c r="L1005" s="1"/>
      <c r="M1005" s="1"/>
    </row>
    <row x14ac:dyDescent="0.25" r="1006" customHeight="1" ht="18.75">
      <c r="A1006" s="1" t="s">
        <v>3617</v>
      </c>
      <c r="B1006" s="1" t="s">
        <v>5222</v>
      </c>
      <c r="C1006" s="1" t="s">
        <v>3619</v>
      </c>
      <c r="D1006" s="1" t="s">
        <v>3601</v>
      </c>
      <c r="E1006" s="1" t="s">
        <v>3664</v>
      </c>
      <c r="F1006" s="1" t="s">
        <v>6206</v>
      </c>
      <c r="G1006" s="1" t="s">
        <v>6195</v>
      </c>
      <c r="H1006" s="1" t="s">
        <v>3604</v>
      </c>
      <c r="I1006" s="1" t="s">
        <v>6207</v>
      </c>
      <c r="J1006" s="1" t="s">
        <v>3606</v>
      </c>
      <c r="K1006" s="1"/>
      <c r="L1006" s="1"/>
      <c r="M1006" s="1"/>
    </row>
    <row x14ac:dyDescent="0.25" r="1007" customHeight="1" ht="18.75">
      <c r="A1007" s="1" t="s">
        <v>3617</v>
      </c>
      <c r="B1007" s="1" t="s">
        <v>5222</v>
      </c>
      <c r="C1007" s="1" t="s">
        <v>3619</v>
      </c>
      <c r="D1007" s="1" t="s">
        <v>3601</v>
      </c>
      <c r="E1007" s="1" t="s">
        <v>3664</v>
      </c>
      <c r="F1007" s="1" t="s">
        <v>6208</v>
      </c>
      <c r="G1007" s="1" t="s">
        <v>6209</v>
      </c>
      <c r="H1007" s="1" t="s">
        <v>3604</v>
      </c>
      <c r="I1007" s="1" t="s">
        <v>6210</v>
      </c>
      <c r="J1007" s="1" t="s">
        <v>3606</v>
      </c>
      <c r="K1007" s="1"/>
      <c r="L1007" s="1"/>
      <c r="M1007" s="1"/>
    </row>
    <row x14ac:dyDescent="0.25" r="1008" customHeight="1" ht="18.75">
      <c r="A1008" s="1" t="s">
        <v>3598</v>
      </c>
      <c r="B1008" s="1" t="s">
        <v>6153</v>
      </c>
      <c r="C1008" s="1" t="s">
        <v>3600</v>
      </c>
      <c r="D1008" s="1" t="s">
        <v>3601</v>
      </c>
      <c r="E1008" s="1"/>
      <c r="F1008" s="1" t="s">
        <v>6211</v>
      </c>
      <c r="G1008" s="1" t="s">
        <v>6155</v>
      </c>
      <c r="H1008" s="1" t="s">
        <v>3604</v>
      </c>
      <c r="I1008" s="1" t="s">
        <v>6212</v>
      </c>
      <c r="J1008" s="1" t="s">
        <v>3606</v>
      </c>
      <c r="K1008" s="1"/>
      <c r="L1008" s="1"/>
      <c r="M1008" s="1"/>
    </row>
    <row x14ac:dyDescent="0.25" r="1009" customHeight="1" ht="18.75">
      <c r="A1009" s="1" t="s">
        <v>3693</v>
      </c>
      <c r="B1009" s="1" t="s">
        <v>4136</v>
      </c>
      <c r="C1009" s="1" t="s">
        <v>3619</v>
      </c>
      <c r="D1009" s="1" t="s">
        <v>3601</v>
      </c>
      <c r="E1009" s="1" t="s">
        <v>3664</v>
      </c>
      <c r="F1009" s="1" t="s">
        <v>6213</v>
      </c>
      <c r="G1009" s="1" t="s">
        <v>6214</v>
      </c>
      <c r="H1009" s="1" t="s">
        <v>3604</v>
      </c>
      <c r="I1009" s="1" t="s">
        <v>6215</v>
      </c>
      <c r="J1009" s="1" t="s">
        <v>3615</v>
      </c>
      <c r="K1009" s="1"/>
      <c r="L1009" s="1"/>
      <c r="M1009" s="1"/>
    </row>
    <row x14ac:dyDescent="0.25" r="1010" customHeight="1" ht="18.75">
      <c r="A1010" s="1" t="s">
        <v>3693</v>
      </c>
      <c r="B1010" s="1" t="s">
        <v>6216</v>
      </c>
      <c r="C1010" s="1" t="s">
        <v>3619</v>
      </c>
      <c r="D1010" s="1" t="s">
        <v>3601</v>
      </c>
      <c r="E1010" s="1" t="s">
        <v>3664</v>
      </c>
      <c r="F1010" s="1" t="s">
        <v>6213</v>
      </c>
      <c r="G1010" s="1" t="s">
        <v>6214</v>
      </c>
      <c r="H1010" s="1" t="s">
        <v>3604</v>
      </c>
      <c r="I1010" s="1" t="s">
        <v>6217</v>
      </c>
      <c r="J1010" s="1" t="s">
        <v>3615</v>
      </c>
      <c r="K1010" s="1"/>
      <c r="L1010" s="1"/>
      <c r="M1010" s="1"/>
    </row>
    <row x14ac:dyDescent="0.25" r="1011" customHeight="1" ht="18.75">
      <c r="A1011" s="1" t="s">
        <v>3617</v>
      </c>
      <c r="B1011" s="1" t="s">
        <v>6218</v>
      </c>
      <c r="C1011" s="1" t="s">
        <v>3619</v>
      </c>
      <c r="D1011" s="1" t="s">
        <v>3601</v>
      </c>
      <c r="E1011" s="1"/>
      <c r="F1011" s="1" t="s">
        <v>6219</v>
      </c>
      <c r="G1011" s="1" t="s">
        <v>6220</v>
      </c>
      <c r="H1011" s="1" t="s">
        <v>3604</v>
      </c>
      <c r="I1011" s="1" t="s">
        <v>6221</v>
      </c>
      <c r="J1011" s="1" t="s">
        <v>3615</v>
      </c>
      <c r="K1011" s="1"/>
      <c r="L1011" s="1"/>
      <c r="M1011" s="1"/>
    </row>
    <row x14ac:dyDescent="0.25" r="1012" customHeight="1" ht="18.75">
      <c r="A1012" s="1" t="s">
        <v>3693</v>
      </c>
      <c r="B1012" s="1" t="s">
        <v>3720</v>
      </c>
      <c r="C1012" s="1" t="s">
        <v>3619</v>
      </c>
      <c r="D1012" s="1" t="s">
        <v>3601</v>
      </c>
      <c r="E1012" s="1" t="s">
        <v>3664</v>
      </c>
      <c r="F1012" s="1" t="s">
        <v>6213</v>
      </c>
      <c r="G1012" s="1" t="s">
        <v>6222</v>
      </c>
      <c r="H1012" s="1" t="s">
        <v>3604</v>
      </c>
      <c r="I1012" s="1" t="s">
        <v>6223</v>
      </c>
      <c r="J1012" s="1" t="s">
        <v>3615</v>
      </c>
      <c r="K1012" s="1"/>
      <c r="L1012" s="1"/>
      <c r="M1012" s="1"/>
    </row>
    <row x14ac:dyDescent="0.25" r="1013" customHeight="1" ht="18.75">
      <c r="A1013" s="1" t="s">
        <v>3617</v>
      </c>
      <c r="B1013" s="1" t="s">
        <v>6218</v>
      </c>
      <c r="C1013" s="1" t="s">
        <v>3619</v>
      </c>
      <c r="D1013" s="1" t="s">
        <v>3601</v>
      </c>
      <c r="E1013" s="1"/>
      <c r="F1013" s="1" t="s">
        <v>6224</v>
      </c>
      <c r="G1013" s="1" t="s">
        <v>6220</v>
      </c>
      <c r="H1013" s="1" t="s">
        <v>3604</v>
      </c>
      <c r="I1013" s="1" t="s">
        <v>6225</v>
      </c>
      <c r="J1013" s="1" t="s">
        <v>3615</v>
      </c>
      <c r="K1013" s="1"/>
      <c r="L1013" s="1"/>
      <c r="M1013" s="1"/>
    </row>
    <row x14ac:dyDescent="0.25" r="1014" customHeight="1" ht="18.75">
      <c r="A1014" s="1" t="s">
        <v>3693</v>
      </c>
      <c r="B1014" s="1" t="s">
        <v>6216</v>
      </c>
      <c r="C1014" s="1" t="s">
        <v>3619</v>
      </c>
      <c r="D1014" s="1" t="s">
        <v>3601</v>
      </c>
      <c r="E1014" s="1" t="s">
        <v>3664</v>
      </c>
      <c r="F1014" s="1" t="s">
        <v>6213</v>
      </c>
      <c r="G1014" s="1" t="s">
        <v>6222</v>
      </c>
      <c r="H1014" s="1" t="s">
        <v>3604</v>
      </c>
      <c r="I1014" s="1" t="s">
        <v>6226</v>
      </c>
      <c r="J1014" s="1" t="s">
        <v>3615</v>
      </c>
      <c r="K1014" s="1"/>
      <c r="L1014" s="1"/>
      <c r="M1014" s="1"/>
    </row>
    <row x14ac:dyDescent="0.25" r="1015" customHeight="1" ht="18.75">
      <c r="A1015" s="1" t="s">
        <v>3693</v>
      </c>
      <c r="B1015" s="1" t="s">
        <v>4181</v>
      </c>
      <c r="C1015" s="1" t="s">
        <v>3619</v>
      </c>
      <c r="D1015" s="1" t="s">
        <v>3601</v>
      </c>
      <c r="E1015" s="1" t="s">
        <v>3664</v>
      </c>
      <c r="F1015" s="1" t="s">
        <v>6227</v>
      </c>
      <c r="G1015" s="1" t="s">
        <v>4182</v>
      </c>
      <c r="H1015" s="1" t="s">
        <v>3604</v>
      </c>
      <c r="I1015" s="1" t="s">
        <v>6228</v>
      </c>
      <c r="J1015" s="1" t="s">
        <v>3606</v>
      </c>
      <c r="K1015" s="1"/>
      <c r="L1015" s="1"/>
      <c r="M1015" s="1"/>
    </row>
    <row x14ac:dyDescent="0.25" r="1016" customHeight="1" ht="18.75">
      <c r="A1016" s="1" t="s">
        <v>3693</v>
      </c>
      <c r="B1016" s="1" t="s">
        <v>4181</v>
      </c>
      <c r="C1016" s="1" t="s">
        <v>3619</v>
      </c>
      <c r="D1016" s="1" t="s">
        <v>3601</v>
      </c>
      <c r="E1016" s="1" t="s">
        <v>3664</v>
      </c>
      <c r="F1016" s="1" t="s">
        <v>6229</v>
      </c>
      <c r="G1016" s="1" t="s">
        <v>6230</v>
      </c>
      <c r="H1016" s="1" t="s">
        <v>3604</v>
      </c>
      <c r="I1016" s="1" t="s">
        <v>6231</v>
      </c>
      <c r="J1016" s="1" t="s">
        <v>3615</v>
      </c>
      <c r="K1016" s="1"/>
      <c r="L1016" s="1"/>
      <c r="M1016" s="1"/>
    </row>
    <row x14ac:dyDescent="0.25" r="1017" customHeight="1" ht="18.75">
      <c r="A1017" s="1" t="s">
        <v>3693</v>
      </c>
      <c r="B1017" s="1" t="s">
        <v>6216</v>
      </c>
      <c r="C1017" s="1" t="s">
        <v>3619</v>
      </c>
      <c r="D1017" s="1" t="s">
        <v>3601</v>
      </c>
      <c r="E1017" s="1" t="s">
        <v>3664</v>
      </c>
      <c r="F1017" s="1" t="s">
        <v>6213</v>
      </c>
      <c r="G1017" s="1" t="s">
        <v>6232</v>
      </c>
      <c r="H1017" s="1" t="s">
        <v>3604</v>
      </c>
      <c r="I1017" s="1" t="s">
        <v>6233</v>
      </c>
      <c r="J1017" s="1" t="s">
        <v>3615</v>
      </c>
      <c r="K1017" s="1"/>
      <c r="L1017" s="1"/>
      <c r="M1017" s="1"/>
    </row>
    <row x14ac:dyDescent="0.25" r="1018" customHeight="1" ht="18.75">
      <c r="A1018" s="1" t="s">
        <v>3693</v>
      </c>
      <c r="B1018" s="1" t="s">
        <v>6216</v>
      </c>
      <c r="C1018" s="1" t="s">
        <v>3619</v>
      </c>
      <c r="D1018" s="1" t="s">
        <v>3601</v>
      </c>
      <c r="E1018" s="1" t="s">
        <v>3664</v>
      </c>
      <c r="F1018" s="1" t="s">
        <v>6213</v>
      </c>
      <c r="G1018" s="1" t="s">
        <v>6234</v>
      </c>
      <c r="H1018" s="1" t="s">
        <v>3604</v>
      </c>
      <c r="I1018" s="1" t="s">
        <v>6235</v>
      </c>
      <c r="J1018" s="1" t="s">
        <v>3615</v>
      </c>
      <c r="K1018" s="1"/>
      <c r="L1018" s="1"/>
      <c r="M1018" s="1"/>
    </row>
    <row x14ac:dyDescent="0.25" r="1019" customHeight="1" ht="18.75">
      <c r="A1019" s="1" t="s">
        <v>3693</v>
      </c>
      <c r="B1019" s="1" t="s">
        <v>6216</v>
      </c>
      <c r="C1019" s="1" t="s">
        <v>3619</v>
      </c>
      <c r="D1019" s="1" t="s">
        <v>3601</v>
      </c>
      <c r="E1019" s="1" t="s">
        <v>3664</v>
      </c>
      <c r="F1019" s="1" t="s">
        <v>6213</v>
      </c>
      <c r="G1019" s="1" t="s">
        <v>6236</v>
      </c>
      <c r="H1019" s="1" t="s">
        <v>3604</v>
      </c>
      <c r="I1019" s="1" t="s">
        <v>6237</v>
      </c>
      <c r="J1019" s="1" t="s">
        <v>3615</v>
      </c>
      <c r="K1019" s="1"/>
      <c r="L1019" s="1"/>
      <c r="M1019" s="1"/>
    </row>
    <row x14ac:dyDescent="0.25" r="1020" customHeight="1" ht="18.75">
      <c r="A1020" s="1" t="s">
        <v>3693</v>
      </c>
      <c r="B1020" s="1" t="s">
        <v>5974</v>
      </c>
      <c r="C1020" s="1" t="s">
        <v>3619</v>
      </c>
      <c r="D1020" s="1" t="s">
        <v>3601</v>
      </c>
      <c r="E1020" s="1" t="s">
        <v>3664</v>
      </c>
      <c r="F1020" s="1" t="s">
        <v>6229</v>
      </c>
      <c r="G1020" s="1" t="s">
        <v>6238</v>
      </c>
      <c r="H1020" s="1" t="s">
        <v>3604</v>
      </c>
      <c r="I1020" s="1" t="s">
        <v>6239</v>
      </c>
      <c r="J1020" s="1" t="s">
        <v>3615</v>
      </c>
      <c r="K1020" s="1"/>
      <c r="L1020" s="1"/>
      <c r="M1020" s="1"/>
    </row>
    <row x14ac:dyDescent="0.25" r="1021" customHeight="1" ht="18.75">
      <c r="A1021" s="1" t="s">
        <v>3693</v>
      </c>
      <c r="B1021" s="1" t="s">
        <v>5797</v>
      </c>
      <c r="C1021" s="1" t="s">
        <v>3619</v>
      </c>
      <c r="D1021" s="1" t="s">
        <v>3601</v>
      </c>
      <c r="E1021" s="1" t="s">
        <v>3664</v>
      </c>
      <c r="F1021" s="1" t="s">
        <v>6229</v>
      </c>
      <c r="G1021" s="1" t="s">
        <v>6238</v>
      </c>
      <c r="H1021" s="1" t="s">
        <v>3604</v>
      </c>
      <c r="I1021" s="1" t="s">
        <v>6240</v>
      </c>
      <c r="J1021" s="1" t="s">
        <v>3615</v>
      </c>
      <c r="K1021" s="1"/>
      <c r="L1021" s="1"/>
      <c r="M1021" s="1"/>
    </row>
    <row x14ac:dyDescent="0.25" r="1022" customHeight="1" ht="18.75">
      <c r="A1022" s="1" t="s">
        <v>3598</v>
      </c>
      <c r="B1022" s="1" t="s">
        <v>5252</v>
      </c>
      <c r="C1022" s="1" t="s">
        <v>3600</v>
      </c>
      <c r="D1022" s="1" t="s">
        <v>3601</v>
      </c>
      <c r="E1022" s="1" t="s">
        <v>3893</v>
      </c>
      <c r="F1022" s="1" t="s">
        <v>6241</v>
      </c>
      <c r="G1022" s="1" t="s">
        <v>6125</v>
      </c>
      <c r="H1022" s="1" t="s">
        <v>3604</v>
      </c>
      <c r="I1022" s="1" t="s">
        <v>6242</v>
      </c>
      <c r="J1022" s="1" t="s">
        <v>3606</v>
      </c>
      <c r="K1022" s="1"/>
      <c r="L1022" s="1"/>
      <c r="M1022" s="1"/>
    </row>
    <row x14ac:dyDescent="0.25" r="1023" customHeight="1" ht="18.75">
      <c r="A1023" s="1" t="s">
        <v>3693</v>
      </c>
      <c r="B1023" s="1" t="s">
        <v>5797</v>
      </c>
      <c r="C1023" s="1" t="s">
        <v>3619</v>
      </c>
      <c r="D1023" s="1" t="s">
        <v>3601</v>
      </c>
      <c r="E1023" s="1" t="s">
        <v>3664</v>
      </c>
      <c r="F1023" s="1" t="s">
        <v>6229</v>
      </c>
      <c r="G1023" s="1" t="s">
        <v>6243</v>
      </c>
      <c r="H1023" s="1" t="s">
        <v>3604</v>
      </c>
      <c r="I1023" s="1" t="s">
        <v>6244</v>
      </c>
      <c r="J1023" s="1" t="s">
        <v>3615</v>
      </c>
      <c r="K1023" s="1"/>
      <c r="L1023" s="1"/>
      <c r="M1023" s="1"/>
    </row>
    <row x14ac:dyDescent="0.25" r="1024" customHeight="1" ht="18.75">
      <c r="A1024" s="1" t="s">
        <v>3693</v>
      </c>
      <c r="B1024" s="1" t="s">
        <v>4181</v>
      </c>
      <c r="C1024" s="1" t="s">
        <v>3619</v>
      </c>
      <c r="D1024" s="1" t="s">
        <v>3601</v>
      </c>
      <c r="E1024" s="1" t="s">
        <v>3664</v>
      </c>
      <c r="F1024" s="1" t="s">
        <v>6245</v>
      </c>
      <c r="G1024" s="1" t="s">
        <v>6243</v>
      </c>
      <c r="H1024" s="1" t="s">
        <v>3604</v>
      </c>
      <c r="I1024" s="1" t="s">
        <v>6246</v>
      </c>
      <c r="J1024" s="1" t="s">
        <v>3615</v>
      </c>
      <c r="K1024" s="1"/>
      <c r="L1024" s="1"/>
      <c r="M1024" s="1"/>
    </row>
    <row x14ac:dyDescent="0.25" r="1025" customHeight="1" ht="18.75">
      <c r="A1025" s="1" t="s">
        <v>3617</v>
      </c>
      <c r="B1025" s="1" t="s">
        <v>6247</v>
      </c>
      <c r="C1025" s="1" t="s">
        <v>3619</v>
      </c>
      <c r="D1025" s="1" t="s">
        <v>3601</v>
      </c>
      <c r="E1025" s="1"/>
      <c r="F1025" s="1" t="s">
        <v>6248</v>
      </c>
      <c r="G1025" s="1" t="s">
        <v>6249</v>
      </c>
      <c r="H1025" s="1" t="s">
        <v>3604</v>
      </c>
      <c r="I1025" s="1" t="s">
        <v>6250</v>
      </c>
      <c r="J1025" s="1" t="s">
        <v>3615</v>
      </c>
      <c r="K1025" s="1"/>
      <c r="L1025" s="1"/>
      <c r="M1025" s="1"/>
    </row>
    <row x14ac:dyDescent="0.25" r="1026" customHeight="1" ht="18.75">
      <c r="A1026" s="1" t="s">
        <v>3598</v>
      </c>
      <c r="B1026" s="1" t="s">
        <v>5252</v>
      </c>
      <c r="C1026" s="1" t="s">
        <v>3600</v>
      </c>
      <c r="D1026" s="1" t="s">
        <v>3601</v>
      </c>
      <c r="E1026" s="1" t="s">
        <v>3893</v>
      </c>
      <c r="F1026" s="1" t="s">
        <v>6251</v>
      </c>
      <c r="G1026" s="1" t="s">
        <v>6125</v>
      </c>
      <c r="H1026" s="1" t="s">
        <v>3604</v>
      </c>
      <c r="I1026" s="1" t="s">
        <v>6252</v>
      </c>
      <c r="J1026" s="1" t="s">
        <v>3606</v>
      </c>
      <c r="K1026" s="1"/>
      <c r="L1026" s="1"/>
      <c r="M1026" s="1"/>
    </row>
    <row x14ac:dyDescent="0.25" r="1027" customHeight="1" ht="18.75">
      <c r="A1027" s="1" t="s">
        <v>3598</v>
      </c>
      <c r="B1027" s="1" t="s">
        <v>5252</v>
      </c>
      <c r="C1027" s="1" t="s">
        <v>3600</v>
      </c>
      <c r="D1027" s="1" t="s">
        <v>3601</v>
      </c>
      <c r="E1027" s="1" t="s">
        <v>3664</v>
      </c>
      <c r="F1027" s="1" t="s">
        <v>6253</v>
      </c>
      <c r="G1027" s="1" t="s">
        <v>6125</v>
      </c>
      <c r="H1027" s="1" t="s">
        <v>3604</v>
      </c>
      <c r="I1027" s="1" t="s">
        <v>6254</v>
      </c>
      <c r="J1027" s="1" t="s">
        <v>3606</v>
      </c>
      <c r="K1027" s="1"/>
      <c r="L1027" s="1"/>
      <c r="M1027" s="1"/>
    </row>
    <row x14ac:dyDescent="0.25" r="1028" customHeight="1" ht="18.75">
      <c r="A1028" s="1" t="s">
        <v>3693</v>
      </c>
      <c r="B1028" s="1" t="s">
        <v>3720</v>
      </c>
      <c r="C1028" s="1" t="s">
        <v>3619</v>
      </c>
      <c r="D1028" s="1" t="s">
        <v>3601</v>
      </c>
      <c r="E1028" s="1" t="s">
        <v>3664</v>
      </c>
      <c r="F1028" s="1" t="s">
        <v>6213</v>
      </c>
      <c r="G1028" s="1" t="s">
        <v>6232</v>
      </c>
      <c r="H1028" s="1" t="s">
        <v>3604</v>
      </c>
      <c r="I1028" s="1" t="s">
        <v>6255</v>
      </c>
      <c r="J1028" s="1" t="s">
        <v>3615</v>
      </c>
      <c r="K1028" s="1"/>
      <c r="L1028" s="1"/>
      <c r="M1028" s="1"/>
    </row>
    <row x14ac:dyDescent="0.25" r="1029" customHeight="1" ht="18.75">
      <c r="A1029" s="1" t="s">
        <v>3617</v>
      </c>
      <c r="B1029" s="1" t="s">
        <v>6256</v>
      </c>
      <c r="C1029" s="1" t="s">
        <v>3619</v>
      </c>
      <c r="D1029" s="1" t="s">
        <v>3601</v>
      </c>
      <c r="E1029" s="1"/>
      <c r="F1029" s="1" t="s">
        <v>6257</v>
      </c>
      <c r="G1029" s="1" t="s">
        <v>6258</v>
      </c>
      <c r="H1029" s="1" t="s">
        <v>3604</v>
      </c>
      <c r="I1029" s="1" t="s">
        <v>6259</v>
      </c>
      <c r="J1029" s="1" t="s">
        <v>3615</v>
      </c>
      <c r="K1029" s="1"/>
      <c r="L1029" s="1"/>
      <c r="M1029" s="1"/>
    </row>
    <row x14ac:dyDescent="0.25" r="1030" customHeight="1" ht="18.75">
      <c r="A1030" s="1" t="s">
        <v>3693</v>
      </c>
      <c r="B1030" s="1" t="s">
        <v>4181</v>
      </c>
      <c r="C1030" s="1" t="s">
        <v>3619</v>
      </c>
      <c r="D1030" s="1" t="s">
        <v>3601</v>
      </c>
      <c r="E1030" s="1" t="s">
        <v>3664</v>
      </c>
      <c r="F1030" s="1" t="s">
        <v>6229</v>
      </c>
      <c r="G1030" s="1" t="s">
        <v>6260</v>
      </c>
      <c r="H1030" s="1" t="s">
        <v>3604</v>
      </c>
      <c r="I1030" s="1" t="s">
        <v>6261</v>
      </c>
      <c r="J1030" s="1" t="s">
        <v>3615</v>
      </c>
      <c r="K1030" s="1"/>
      <c r="L1030" s="1"/>
      <c r="M1030" s="1"/>
    </row>
    <row x14ac:dyDescent="0.25" r="1031" customHeight="1" ht="18.75">
      <c r="A1031" s="1" t="s">
        <v>3693</v>
      </c>
      <c r="B1031" s="1" t="s">
        <v>4166</v>
      </c>
      <c r="C1031" s="1" t="s">
        <v>3619</v>
      </c>
      <c r="D1031" s="1" t="s">
        <v>3601</v>
      </c>
      <c r="E1031" s="1" t="s">
        <v>3664</v>
      </c>
      <c r="F1031" s="1" t="s">
        <v>6229</v>
      </c>
      <c r="G1031" s="1" t="s">
        <v>6230</v>
      </c>
      <c r="H1031" s="1" t="s">
        <v>3604</v>
      </c>
      <c r="I1031" s="1" t="s">
        <v>6262</v>
      </c>
      <c r="J1031" s="1" t="s">
        <v>3615</v>
      </c>
      <c r="K1031" s="1"/>
      <c r="L1031" s="1"/>
      <c r="M1031" s="1"/>
    </row>
    <row x14ac:dyDescent="0.25" r="1032" customHeight="1" ht="18.75">
      <c r="A1032" s="1" t="s">
        <v>3617</v>
      </c>
      <c r="B1032" s="1" t="s">
        <v>6263</v>
      </c>
      <c r="C1032" s="1" t="s">
        <v>3619</v>
      </c>
      <c r="D1032" s="1" t="s">
        <v>3601</v>
      </c>
      <c r="E1032" s="1"/>
      <c r="F1032" s="1" t="s">
        <v>6264</v>
      </c>
      <c r="G1032" s="1" t="s">
        <v>6265</v>
      </c>
      <c r="H1032" s="1" t="s">
        <v>3604</v>
      </c>
      <c r="I1032" s="1" t="s">
        <v>6266</v>
      </c>
      <c r="J1032" s="1" t="s">
        <v>3615</v>
      </c>
      <c r="K1032" s="1"/>
      <c r="L1032" s="1"/>
      <c r="M1032" s="1"/>
    </row>
    <row x14ac:dyDescent="0.25" r="1033" customHeight="1" ht="18.75">
      <c r="A1033" s="1" t="s">
        <v>3617</v>
      </c>
      <c r="B1033" s="1" t="s">
        <v>6267</v>
      </c>
      <c r="C1033" s="1" t="s">
        <v>3619</v>
      </c>
      <c r="D1033" s="1" t="s">
        <v>3601</v>
      </c>
      <c r="E1033" s="1"/>
      <c r="F1033" s="1" t="s">
        <v>6257</v>
      </c>
      <c r="G1033" s="1" t="s">
        <v>6268</v>
      </c>
      <c r="H1033" s="1" t="s">
        <v>3604</v>
      </c>
      <c r="I1033" s="1" t="s">
        <v>6269</v>
      </c>
      <c r="J1033" s="1" t="s">
        <v>3615</v>
      </c>
      <c r="K1033" s="1"/>
      <c r="L1033" s="1"/>
      <c r="M1033" s="1"/>
    </row>
    <row x14ac:dyDescent="0.25" r="1034" customHeight="1" ht="18.75">
      <c r="A1034" s="1" t="s">
        <v>3617</v>
      </c>
      <c r="B1034" s="1" t="s">
        <v>6263</v>
      </c>
      <c r="C1034" s="1" t="s">
        <v>3619</v>
      </c>
      <c r="D1034" s="1" t="s">
        <v>3601</v>
      </c>
      <c r="E1034" s="1"/>
      <c r="F1034" s="1" t="s">
        <v>6270</v>
      </c>
      <c r="G1034" s="1" t="s">
        <v>6265</v>
      </c>
      <c r="H1034" s="1" t="s">
        <v>3604</v>
      </c>
      <c r="I1034" s="1" t="s">
        <v>6271</v>
      </c>
      <c r="J1034" s="1" t="s">
        <v>3615</v>
      </c>
      <c r="K1034" s="1"/>
      <c r="L1034" s="1"/>
      <c r="M1034" s="1"/>
    </row>
    <row x14ac:dyDescent="0.25" r="1035" customHeight="1" ht="18.75">
      <c r="A1035" s="1" t="s">
        <v>3617</v>
      </c>
      <c r="B1035" s="1" t="s">
        <v>6272</v>
      </c>
      <c r="C1035" s="1" t="s">
        <v>3619</v>
      </c>
      <c r="D1035" s="1" t="s">
        <v>3601</v>
      </c>
      <c r="E1035" s="1"/>
      <c r="F1035" s="1" t="s">
        <v>6257</v>
      </c>
      <c r="G1035" s="1" t="s">
        <v>6273</v>
      </c>
      <c r="H1035" s="1" t="s">
        <v>3604</v>
      </c>
      <c r="I1035" s="1" t="s">
        <v>6274</v>
      </c>
      <c r="J1035" s="1" t="s">
        <v>3615</v>
      </c>
      <c r="K1035" s="1"/>
      <c r="L1035" s="1"/>
      <c r="M1035" s="1"/>
    </row>
    <row x14ac:dyDescent="0.25" r="1036" customHeight="1" ht="18.75">
      <c r="A1036" s="1" t="s">
        <v>3693</v>
      </c>
      <c r="B1036" s="1" t="s">
        <v>3720</v>
      </c>
      <c r="C1036" s="1" t="s">
        <v>3619</v>
      </c>
      <c r="D1036" s="1" t="s">
        <v>3601</v>
      </c>
      <c r="E1036" s="1"/>
      <c r="F1036" s="1" t="s">
        <v>6213</v>
      </c>
      <c r="G1036" s="1" t="s">
        <v>6275</v>
      </c>
      <c r="H1036" s="1" t="s">
        <v>3604</v>
      </c>
      <c r="I1036" s="1" t="s">
        <v>6276</v>
      </c>
      <c r="J1036" s="1" t="s">
        <v>3615</v>
      </c>
      <c r="K1036" s="1"/>
      <c r="L1036" s="1"/>
      <c r="M1036" s="1"/>
    </row>
    <row x14ac:dyDescent="0.25" r="1037" customHeight="1" ht="18.75">
      <c r="A1037" s="1" t="s">
        <v>3617</v>
      </c>
      <c r="B1037" s="1" t="s">
        <v>6267</v>
      </c>
      <c r="C1037" s="1" t="s">
        <v>3619</v>
      </c>
      <c r="D1037" s="1" t="s">
        <v>3601</v>
      </c>
      <c r="E1037" s="1"/>
      <c r="F1037" s="1" t="s">
        <v>6277</v>
      </c>
      <c r="G1037" s="1" t="s">
        <v>6268</v>
      </c>
      <c r="H1037" s="1" t="s">
        <v>3604</v>
      </c>
      <c r="I1037" s="1" t="s">
        <v>6278</v>
      </c>
      <c r="J1037" s="1" t="s">
        <v>3615</v>
      </c>
      <c r="K1037" s="1"/>
      <c r="L1037" s="1"/>
      <c r="M1037" s="1"/>
    </row>
    <row x14ac:dyDescent="0.25" r="1038" customHeight="1" ht="18.75">
      <c r="A1038" s="1" t="s">
        <v>3693</v>
      </c>
      <c r="B1038" s="1" t="s">
        <v>4166</v>
      </c>
      <c r="C1038" s="1" t="s">
        <v>3619</v>
      </c>
      <c r="D1038" s="1" t="s">
        <v>3601</v>
      </c>
      <c r="E1038" s="1" t="s">
        <v>3664</v>
      </c>
      <c r="F1038" s="1" t="s">
        <v>6229</v>
      </c>
      <c r="G1038" s="1" t="s">
        <v>6279</v>
      </c>
      <c r="H1038" s="1" t="s">
        <v>3604</v>
      </c>
      <c r="I1038" s="1" t="s">
        <v>6280</v>
      </c>
      <c r="J1038" s="1" t="s">
        <v>3615</v>
      </c>
      <c r="K1038" s="1"/>
      <c r="L1038" s="1"/>
      <c r="M1038" s="1"/>
    </row>
    <row x14ac:dyDescent="0.25" r="1039" customHeight="1" ht="18.75">
      <c r="A1039" s="1" t="s">
        <v>3617</v>
      </c>
      <c r="B1039" s="1" t="s">
        <v>6272</v>
      </c>
      <c r="C1039" s="1" t="s">
        <v>3619</v>
      </c>
      <c r="D1039" s="1" t="s">
        <v>3601</v>
      </c>
      <c r="E1039" s="1"/>
      <c r="F1039" s="1" t="s">
        <v>6281</v>
      </c>
      <c r="G1039" s="1" t="s">
        <v>6282</v>
      </c>
      <c r="H1039" s="1" t="s">
        <v>3604</v>
      </c>
      <c r="I1039" s="1" t="s">
        <v>6283</v>
      </c>
      <c r="J1039" s="1" t="s">
        <v>3615</v>
      </c>
      <c r="K1039" s="1"/>
      <c r="L1039" s="1"/>
      <c r="M1039" s="1"/>
    </row>
    <row x14ac:dyDescent="0.25" r="1040" customHeight="1" ht="18.75">
      <c r="A1040" s="1" t="s">
        <v>3693</v>
      </c>
      <c r="B1040" s="1" t="s">
        <v>4136</v>
      </c>
      <c r="C1040" s="1" t="s">
        <v>3619</v>
      </c>
      <c r="D1040" s="1" t="s">
        <v>3601</v>
      </c>
      <c r="E1040" s="1"/>
      <c r="F1040" s="1" t="s">
        <v>6213</v>
      </c>
      <c r="G1040" s="1" t="s">
        <v>6234</v>
      </c>
      <c r="H1040" s="1" t="s">
        <v>3604</v>
      </c>
      <c r="I1040" s="1" t="s">
        <v>6284</v>
      </c>
      <c r="J1040" s="1" t="s">
        <v>3615</v>
      </c>
      <c r="K1040" s="1"/>
      <c r="L1040" s="1"/>
      <c r="M1040" s="1"/>
    </row>
    <row x14ac:dyDescent="0.25" r="1041" customHeight="1" ht="18.75">
      <c r="A1041" s="1" t="s">
        <v>3617</v>
      </c>
      <c r="B1041" s="1" t="s">
        <v>6285</v>
      </c>
      <c r="C1041" s="1" t="s">
        <v>3619</v>
      </c>
      <c r="D1041" s="1" t="s">
        <v>3601</v>
      </c>
      <c r="E1041" s="1"/>
      <c r="F1041" s="1" t="s">
        <v>6286</v>
      </c>
      <c r="G1041" s="1" t="s">
        <v>6287</v>
      </c>
      <c r="H1041" s="1" t="s">
        <v>3604</v>
      </c>
      <c r="I1041" s="1" t="s">
        <v>6288</v>
      </c>
      <c r="J1041" s="1" t="s">
        <v>3615</v>
      </c>
      <c r="K1041" s="1"/>
      <c r="L1041" s="1"/>
      <c r="M1041" s="1"/>
    </row>
    <row x14ac:dyDescent="0.25" r="1042" customHeight="1" ht="18.75">
      <c r="A1042" s="1" t="s">
        <v>3617</v>
      </c>
      <c r="B1042" s="1" t="s">
        <v>6285</v>
      </c>
      <c r="C1042" s="1" t="s">
        <v>3619</v>
      </c>
      <c r="D1042" s="1" t="s">
        <v>3601</v>
      </c>
      <c r="E1042" s="1"/>
      <c r="F1042" s="1" t="s">
        <v>6289</v>
      </c>
      <c r="G1042" s="1" t="s">
        <v>6290</v>
      </c>
      <c r="H1042" s="1" t="s">
        <v>3604</v>
      </c>
      <c r="I1042" s="1" t="s">
        <v>6291</v>
      </c>
      <c r="J1042" s="1" t="s">
        <v>3615</v>
      </c>
      <c r="K1042" s="1"/>
      <c r="L1042" s="1"/>
      <c r="M1042" s="1"/>
    </row>
    <row x14ac:dyDescent="0.25" r="1043" customHeight="1" ht="18.75">
      <c r="A1043" s="1" t="s">
        <v>3693</v>
      </c>
      <c r="B1043" s="1" t="s">
        <v>4136</v>
      </c>
      <c r="C1043" s="1" t="s">
        <v>3619</v>
      </c>
      <c r="D1043" s="1" t="s">
        <v>3601</v>
      </c>
      <c r="E1043" s="1"/>
      <c r="F1043" s="1" t="s">
        <v>6213</v>
      </c>
      <c r="G1043" s="1" t="s">
        <v>6279</v>
      </c>
      <c r="H1043" s="1" t="s">
        <v>3604</v>
      </c>
      <c r="I1043" s="1" t="s">
        <v>6292</v>
      </c>
      <c r="J1043" s="1" t="s">
        <v>3615</v>
      </c>
      <c r="K1043" s="1"/>
      <c r="L1043" s="1"/>
      <c r="M1043" s="1"/>
    </row>
    <row x14ac:dyDescent="0.25" r="1044" customHeight="1" ht="18.75">
      <c r="A1044" s="1" t="s">
        <v>3693</v>
      </c>
      <c r="B1044" s="1" t="s">
        <v>4136</v>
      </c>
      <c r="C1044" s="1" t="s">
        <v>3619</v>
      </c>
      <c r="D1044" s="1" t="s">
        <v>3601</v>
      </c>
      <c r="E1044" s="1"/>
      <c r="F1044" s="1" t="s">
        <v>6213</v>
      </c>
      <c r="G1044" s="1" t="s">
        <v>6260</v>
      </c>
      <c r="H1044" s="1" t="s">
        <v>3604</v>
      </c>
      <c r="I1044" s="1" t="s">
        <v>6293</v>
      </c>
      <c r="J1044" s="1" t="s">
        <v>3615</v>
      </c>
      <c r="K1044" s="1"/>
      <c r="L1044" s="1"/>
      <c r="M1044" s="1"/>
    </row>
    <row x14ac:dyDescent="0.25" r="1045" customHeight="1" ht="18.75">
      <c r="A1045" s="1" t="s">
        <v>3617</v>
      </c>
      <c r="B1045" s="1" t="s">
        <v>6294</v>
      </c>
      <c r="C1045" s="1" t="s">
        <v>3619</v>
      </c>
      <c r="D1045" s="1" t="s">
        <v>3601</v>
      </c>
      <c r="E1045" s="1"/>
      <c r="F1045" s="1" t="s">
        <v>6295</v>
      </c>
      <c r="G1045" s="1" t="s">
        <v>6296</v>
      </c>
      <c r="H1045" s="1" t="s">
        <v>3604</v>
      </c>
      <c r="I1045" s="1" t="s">
        <v>6297</v>
      </c>
      <c r="J1045" s="1" t="s">
        <v>3615</v>
      </c>
      <c r="K1045" s="1"/>
      <c r="L1045" s="1"/>
      <c r="M1045" s="1"/>
    </row>
    <row x14ac:dyDescent="0.25" r="1046" customHeight="1" ht="18.75">
      <c r="A1046" s="1" t="s">
        <v>3693</v>
      </c>
      <c r="B1046" s="1" t="s">
        <v>4148</v>
      </c>
      <c r="C1046" s="1" t="s">
        <v>3600</v>
      </c>
      <c r="D1046" s="1" t="s">
        <v>3601</v>
      </c>
      <c r="E1046" s="1" t="s">
        <v>3664</v>
      </c>
      <c r="F1046" s="1" t="s">
        <v>6298</v>
      </c>
      <c r="G1046" s="1" t="s">
        <v>4150</v>
      </c>
      <c r="H1046" s="1" t="s">
        <v>3604</v>
      </c>
      <c r="I1046" s="1" t="s">
        <v>6299</v>
      </c>
      <c r="J1046" s="1" t="s">
        <v>3606</v>
      </c>
      <c r="K1046" s="1"/>
      <c r="L1046" s="1"/>
      <c r="M1046" s="1"/>
    </row>
    <row x14ac:dyDescent="0.25" r="1047" customHeight="1" ht="18.75">
      <c r="A1047" s="1" t="s">
        <v>3693</v>
      </c>
      <c r="B1047" s="1" t="s">
        <v>4125</v>
      </c>
      <c r="C1047" s="1" t="s">
        <v>3619</v>
      </c>
      <c r="D1047" s="1" t="s">
        <v>3601</v>
      </c>
      <c r="E1047" s="1" t="s">
        <v>3664</v>
      </c>
      <c r="F1047" s="1" t="s">
        <v>6300</v>
      </c>
      <c r="G1047" s="1" t="s">
        <v>6301</v>
      </c>
      <c r="H1047" s="1" t="s">
        <v>3604</v>
      </c>
      <c r="I1047" s="1" t="s">
        <v>6302</v>
      </c>
      <c r="J1047" s="1" t="s">
        <v>3606</v>
      </c>
      <c r="K1047" s="1"/>
      <c r="L1047" s="1"/>
      <c r="M1047" s="1"/>
    </row>
    <row x14ac:dyDescent="0.25" r="1048" customHeight="1" ht="18.75">
      <c r="A1048" s="1" t="s">
        <v>3617</v>
      </c>
      <c r="B1048" s="1" t="s">
        <v>6303</v>
      </c>
      <c r="C1048" s="1" t="s">
        <v>3619</v>
      </c>
      <c r="D1048" s="1" t="s">
        <v>3601</v>
      </c>
      <c r="E1048" s="1"/>
      <c r="F1048" s="1" t="s">
        <v>6304</v>
      </c>
      <c r="G1048" s="1" t="s">
        <v>6305</v>
      </c>
      <c r="H1048" s="1" t="s">
        <v>3604</v>
      </c>
      <c r="I1048" s="1" t="s">
        <v>6306</v>
      </c>
      <c r="J1048" s="1" t="s">
        <v>3615</v>
      </c>
      <c r="K1048" s="1"/>
      <c r="L1048" s="1"/>
      <c r="M1048" s="1"/>
    </row>
    <row x14ac:dyDescent="0.25" r="1049" customHeight="1" ht="18.75">
      <c r="A1049" s="1" t="s">
        <v>3617</v>
      </c>
      <c r="B1049" s="1" t="s">
        <v>6307</v>
      </c>
      <c r="C1049" s="1" t="s">
        <v>3619</v>
      </c>
      <c r="D1049" s="1" t="s">
        <v>3601</v>
      </c>
      <c r="E1049" s="1"/>
      <c r="F1049" s="1" t="s">
        <v>6308</v>
      </c>
      <c r="G1049" s="1" t="s">
        <v>6309</v>
      </c>
      <c r="H1049" s="1" t="s">
        <v>3604</v>
      </c>
      <c r="I1049" s="1" t="s">
        <v>6310</v>
      </c>
      <c r="J1049" s="1" t="s">
        <v>3606</v>
      </c>
      <c r="K1049" s="1"/>
      <c r="L1049" s="1"/>
      <c r="M1049" s="1"/>
    </row>
    <row x14ac:dyDescent="0.25" r="1050" customHeight="1" ht="18.75">
      <c r="A1050" s="1" t="s">
        <v>3617</v>
      </c>
      <c r="B1050" s="1" t="s">
        <v>6311</v>
      </c>
      <c r="C1050" s="1" t="s">
        <v>3619</v>
      </c>
      <c r="D1050" s="1" t="s">
        <v>3601</v>
      </c>
      <c r="E1050" s="1"/>
      <c r="F1050" s="1" t="s">
        <v>6312</v>
      </c>
      <c r="G1050" s="1" t="s">
        <v>6313</v>
      </c>
      <c r="H1050" s="1" t="s">
        <v>3604</v>
      </c>
      <c r="I1050" s="1" t="s">
        <v>6314</v>
      </c>
      <c r="J1050" s="1" t="s">
        <v>3606</v>
      </c>
      <c r="K1050" s="1"/>
      <c r="L1050" s="1"/>
      <c r="M1050" s="1"/>
    </row>
    <row x14ac:dyDescent="0.25" r="1051" customHeight="1" ht="18.75">
      <c r="A1051" s="1" t="s">
        <v>3693</v>
      </c>
      <c r="B1051" s="1" t="s">
        <v>5598</v>
      </c>
      <c r="C1051" s="1" t="s">
        <v>3600</v>
      </c>
      <c r="D1051" s="1" t="s">
        <v>3601</v>
      </c>
      <c r="E1051" s="1" t="s">
        <v>3664</v>
      </c>
      <c r="F1051" s="1" t="s">
        <v>6315</v>
      </c>
      <c r="G1051" s="1" t="s">
        <v>6316</v>
      </c>
      <c r="H1051" s="1" t="s">
        <v>3604</v>
      </c>
      <c r="I1051" s="1" t="s">
        <v>6317</v>
      </c>
      <c r="J1051" s="1" t="s">
        <v>3606</v>
      </c>
      <c r="K1051" s="1"/>
      <c r="L1051" s="1"/>
      <c r="M1051" s="1"/>
    </row>
    <row x14ac:dyDescent="0.25" r="1052" customHeight="1" ht="18.75">
      <c r="A1052" s="1" t="s">
        <v>3617</v>
      </c>
      <c r="B1052" s="1" t="s">
        <v>6318</v>
      </c>
      <c r="C1052" s="1" t="s">
        <v>3619</v>
      </c>
      <c r="D1052" s="1" t="s">
        <v>3601</v>
      </c>
      <c r="E1052" s="1"/>
      <c r="F1052" s="1" t="s">
        <v>6319</v>
      </c>
      <c r="G1052" s="1" t="s">
        <v>6320</v>
      </c>
      <c r="H1052" s="1" t="s">
        <v>3604</v>
      </c>
      <c r="I1052" s="1" t="s">
        <v>6321</v>
      </c>
      <c r="J1052" s="1" t="s">
        <v>3606</v>
      </c>
      <c r="K1052" s="1"/>
      <c r="L1052" s="1"/>
      <c r="M1052" s="1"/>
    </row>
    <row x14ac:dyDescent="0.25" r="1053" customHeight="1" ht="18.75">
      <c r="A1053" s="1" t="s">
        <v>3617</v>
      </c>
      <c r="B1053" s="1" t="s">
        <v>6322</v>
      </c>
      <c r="C1053" s="1" t="s">
        <v>3619</v>
      </c>
      <c r="D1053" s="1" t="s">
        <v>3601</v>
      </c>
      <c r="E1053" s="1"/>
      <c r="F1053" s="1" t="s">
        <v>6323</v>
      </c>
      <c r="G1053" s="1" t="s">
        <v>6324</v>
      </c>
      <c r="H1053" s="1" t="s">
        <v>3604</v>
      </c>
      <c r="I1053" s="1" t="s">
        <v>6325</v>
      </c>
      <c r="J1053" s="1" t="s">
        <v>3606</v>
      </c>
      <c r="K1053" s="1"/>
      <c r="L1053" s="1"/>
      <c r="M1053" s="1"/>
    </row>
    <row x14ac:dyDescent="0.25" r="1054" customHeight="1" ht="18.75">
      <c r="A1054" s="1" t="s">
        <v>3617</v>
      </c>
      <c r="B1054" s="1" t="s">
        <v>6326</v>
      </c>
      <c r="C1054" s="1" t="s">
        <v>3619</v>
      </c>
      <c r="D1054" s="1" t="s">
        <v>3601</v>
      </c>
      <c r="E1054" s="1"/>
      <c r="F1054" s="1" t="s">
        <v>6327</v>
      </c>
      <c r="G1054" s="1" t="s">
        <v>6328</v>
      </c>
      <c r="H1054" s="1" t="s">
        <v>3604</v>
      </c>
      <c r="I1054" s="1" t="s">
        <v>6329</v>
      </c>
      <c r="J1054" s="1" t="s">
        <v>3606</v>
      </c>
      <c r="K1054" s="1"/>
      <c r="L1054" s="1"/>
      <c r="M1054" s="1"/>
    </row>
    <row x14ac:dyDescent="0.25" r="1055" customHeight="1" ht="18.75">
      <c r="A1055" s="1" t="s">
        <v>3693</v>
      </c>
      <c r="B1055" s="1" t="s">
        <v>6330</v>
      </c>
      <c r="C1055" s="1" t="s">
        <v>3619</v>
      </c>
      <c r="D1055" s="1" t="s">
        <v>3601</v>
      </c>
      <c r="E1055" s="1" t="s">
        <v>3664</v>
      </c>
      <c r="F1055" s="1" t="s">
        <v>6331</v>
      </c>
      <c r="G1055" s="1" t="s">
        <v>6332</v>
      </c>
      <c r="H1055" s="1" t="s">
        <v>3604</v>
      </c>
      <c r="I1055" s="1" t="s">
        <v>6333</v>
      </c>
      <c r="J1055" s="1" t="s">
        <v>3606</v>
      </c>
      <c r="K1055" s="1"/>
      <c r="L1055" s="1"/>
      <c r="M1055" s="1"/>
    </row>
    <row x14ac:dyDescent="0.25" r="1056" customHeight="1" ht="18.75">
      <c r="A1056" s="1" t="s">
        <v>3617</v>
      </c>
      <c r="B1056" s="1" t="s">
        <v>6334</v>
      </c>
      <c r="C1056" s="1" t="s">
        <v>3619</v>
      </c>
      <c r="D1056" s="1" t="s">
        <v>3601</v>
      </c>
      <c r="E1056" s="1"/>
      <c r="F1056" s="1" t="s">
        <v>6335</v>
      </c>
      <c r="G1056" s="1" t="s">
        <v>6336</v>
      </c>
      <c r="H1056" s="1" t="s">
        <v>3604</v>
      </c>
      <c r="I1056" s="1" t="s">
        <v>6337</v>
      </c>
      <c r="J1056" s="1" t="s">
        <v>3606</v>
      </c>
      <c r="K1056" s="1"/>
      <c r="L1056" s="1"/>
      <c r="M1056" s="1"/>
    </row>
    <row x14ac:dyDescent="0.25" r="1057" customHeight="1" ht="18.75">
      <c r="A1057" s="1" t="s">
        <v>3617</v>
      </c>
      <c r="B1057" s="1" t="s">
        <v>6338</v>
      </c>
      <c r="C1057" s="1" t="s">
        <v>3619</v>
      </c>
      <c r="D1057" s="1" t="s">
        <v>3601</v>
      </c>
      <c r="E1057" s="1"/>
      <c r="F1057" s="1" t="s">
        <v>6339</v>
      </c>
      <c r="G1057" s="1" t="s">
        <v>6340</v>
      </c>
      <c r="H1057" s="1" t="s">
        <v>3604</v>
      </c>
      <c r="I1057" s="1" t="s">
        <v>6341</v>
      </c>
      <c r="J1057" s="1" t="s">
        <v>3615</v>
      </c>
      <c r="K1057" s="1"/>
      <c r="L1057" s="1"/>
      <c r="M1057" s="1"/>
    </row>
    <row x14ac:dyDescent="0.25" r="1058" customHeight="1" ht="18.75">
      <c r="A1058" s="1" t="s">
        <v>3617</v>
      </c>
      <c r="B1058" s="1" t="s">
        <v>6342</v>
      </c>
      <c r="C1058" s="1" t="s">
        <v>3619</v>
      </c>
      <c r="D1058" s="1" t="s">
        <v>3601</v>
      </c>
      <c r="E1058" s="1"/>
      <c r="F1058" s="1" t="s">
        <v>6343</v>
      </c>
      <c r="G1058" s="1" t="s">
        <v>6344</v>
      </c>
      <c r="H1058" s="1" t="s">
        <v>3604</v>
      </c>
      <c r="I1058" s="1" t="s">
        <v>6345</v>
      </c>
      <c r="J1058" s="1" t="s">
        <v>3615</v>
      </c>
      <c r="K1058" s="1"/>
      <c r="L1058" s="1"/>
      <c r="M1058" s="1"/>
    </row>
    <row x14ac:dyDescent="0.25" r="1059" customHeight="1" ht="18.75">
      <c r="A1059" s="1" t="s">
        <v>3693</v>
      </c>
      <c r="B1059" s="1" t="s">
        <v>4170</v>
      </c>
      <c r="C1059" s="1" t="s">
        <v>3619</v>
      </c>
      <c r="D1059" s="1" t="s">
        <v>3601</v>
      </c>
      <c r="E1059" s="1"/>
      <c r="F1059" s="1" t="s">
        <v>6346</v>
      </c>
      <c r="G1059" s="1" t="s">
        <v>6347</v>
      </c>
      <c r="H1059" s="1" t="s">
        <v>3604</v>
      </c>
      <c r="I1059" s="1" t="s">
        <v>6348</v>
      </c>
      <c r="J1059" s="1" t="s">
        <v>3606</v>
      </c>
      <c r="K1059" s="1"/>
      <c r="L1059" s="1"/>
      <c r="M1059" s="1"/>
    </row>
    <row x14ac:dyDescent="0.25" r="1060" customHeight="1" ht="18.75">
      <c r="A1060" s="1" t="s">
        <v>3693</v>
      </c>
      <c r="B1060" s="1" t="s">
        <v>4125</v>
      </c>
      <c r="C1060" s="1" t="s">
        <v>3619</v>
      </c>
      <c r="D1060" s="1" t="s">
        <v>3601</v>
      </c>
      <c r="E1060" s="1" t="s">
        <v>3664</v>
      </c>
      <c r="F1060" s="1" t="s">
        <v>6349</v>
      </c>
      <c r="G1060" s="1" t="s">
        <v>6301</v>
      </c>
      <c r="H1060" s="1" t="s">
        <v>3604</v>
      </c>
      <c r="I1060" s="1" t="s">
        <v>6350</v>
      </c>
      <c r="J1060" s="1" t="s">
        <v>3606</v>
      </c>
      <c r="K1060" s="1"/>
      <c r="L1060" s="1"/>
      <c r="M1060" s="1"/>
    </row>
    <row x14ac:dyDescent="0.25" r="1061" customHeight="1" ht="18.75">
      <c r="A1061" s="1" t="s">
        <v>3693</v>
      </c>
      <c r="B1061" s="1" t="s">
        <v>4765</v>
      </c>
      <c r="C1061" s="1" t="s">
        <v>3600</v>
      </c>
      <c r="D1061" s="1" t="s">
        <v>3601</v>
      </c>
      <c r="E1061" s="1"/>
      <c r="F1061" s="1" t="s">
        <v>6351</v>
      </c>
      <c r="G1061" s="1" t="s">
        <v>6352</v>
      </c>
      <c r="H1061" s="1" t="s">
        <v>3604</v>
      </c>
      <c r="I1061" s="1" t="s">
        <v>6353</v>
      </c>
      <c r="J1061" s="1" t="s">
        <v>3606</v>
      </c>
      <c r="K1061" s="1"/>
      <c r="L1061" s="1"/>
      <c r="M1061" s="1"/>
    </row>
    <row x14ac:dyDescent="0.25" r="1062" customHeight="1" ht="18.75">
      <c r="A1062" s="1" t="s">
        <v>3617</v>
      </c>
      <c r="B1062" s="1" t="s">
        <v>6354</v>
      </c>
      <c r="C1062" s="1" t="s">
        <v>3619</v>
      </c>
      <c r="D1062" s="1" t="s">
        <v>3601</v>
      </c>
      <c r="E1062" s="1" t="s">
        <v>3730</v>
      </c>
      <c r="F1062" s="1" t="s">
        <v>6355</v>
      </c>
      <c r="G1062" s="1" t="s">
        <v>6356</v>
      </c>
      <c r="H1062" s="1" t="s">
        <v>3604</v>
      </c>
      <c r="I1062" s="1" t="s">
        <v>6357</v>
      </c>
      <c r="J1062" s="1" t="s">
        <v>3606</v>
      </c>
      <c r="K1062" s="1"/>
      <c r="L1062" s="1"/>
      <c r="M1062" s="1"/>
    </row>
    <row x14ac:dyDescent="0.25" r="1063" customHeight="1" ht="18.75">
      <c r="A1063" s="1" t="s">
        <v>3617</v>
      </c>
      <c r="B1063" s="1" t="s">
        <v>6354</v>
      </c>
      <c r="C1063" s="1" t="s">
        <v>3619</v>
      </c>
      <c r="D1063" s="1" t="s">
        <v>3601</v>
      </c>
      <c r="E1063" s="1" t="s">
        <v>3730</v>
      </c>
      <c r="F1063" s="1" t="s">
        <v>6358</v>
      </c>
      <c r="G1063" s="1" t="s">
        <v>6359</v>
      </c>
      <c r="H1063" s="1" t="s">
        <v>3604</v>
      </c>
      <c r="I1063" s="1" t="s">
        <v>6360</v>
      </c>
      <c r="J1063" s="1" t="s">
        <v>3606</v>
      </c>
      <c r="K1063" s="1"/>
      <c r="L1063" s="1"/>
      <c r="M1063" s="1"/>
    </row>
    <row x14ac:dyDescent="0.25" r="1064" customHeight="1" ht="18.75">
      <c r="A1064" s="1" t="s">
        <v>3617</v>
      </c>
      <c r="B1064" s="1" t="s">
        <v>6354</v>
      </c>
      <c r="C1064" s="1" t="s">
        <v>3619</v>
      </c>
      <c r="D1064" s="1" t="s">
        <v>3601</v>
      </c>
      <c r="E1064" s="1" t="s">
        <v>3730</v>
      </c>
      <c r="F1064" s="1" t="s">
        <v>6361</v>
      </c>
      <c r="G1064" s="1" t="s">
        <v>6356</v>
      </c>
      <c r="H1064" s="1" t="s">
        <v>3604</v>
      </c>
      <c r="I1064" s="1" t="s">
        <v>6362</v>
      </c>
      <c r="J1064" s="1" t="s">
        <v>3606</v>
      </c>
      <c r="K1064" s="1"/>
      <c r="L1064" s="1"/>
      <c r="M1064" s="1"/>
    </row>
    <row x14ac:dyDescent="0.25" r="1065" customHeight="1" ht="18.75">
      <c r="A1065" s="1" t="s">
        <v>3617</v>
      </c>
      <c r="B1065" s="1" t="s">
        <v>3980</v>
      </c>
      <c r="C1065" s="1" t="s">
        <v>3619</v>
      </c>
      <c r="D1065" s="1" t="s">
        <v>3601</v>
      </c>
      <c r="E1065" s="1" t="s">
        <v>3730</v>
      </c>
      <c r="F1065" s="1" t="s">
        <v>6363</v>
      </c>
      <c r="G1065" s="1" t="s">
        <v>6364</v>
      </c>
      <c r="H1065" s="1" t="s">
        <v>3604</v>
      </c>
      <c r="I1065" s="1" t="s">
        <v>6365</v>
      </c>
      <c r="J1065" s="1" t="s">
        <v>3606</v>
      </c>
      <c r="K1065" s="1"/>
      <c r="L1065" s="1"/>
      <c r="M1065" s="1"/>
    </row>
    <row x14ac:dyDescent="0.25" r="1066" customHeight="1" ht="18.75">
      <c r="A1066" s="1" t="s">
        <v>3617</v>
      </c>
      <c r="B1066" s="1" t="s">
        <v>3980</v>
      </c>
      <c r="C1066" s="1" t="s">
        <v>3619</v>
      </c>
      <c r="D1066" s="1" t="s">
        <v>3601</v>
      </c>
      <c r="E1066" s="1" t="s">
        <v>3730</v>
      </c>
      <c r="F1066" s="1" t="s">
        <v>6366</v>
      </c>
      <c r="G1066" s="1" t="s">
        <v>6364</v>
      </c>
      <c r="H1066" s="1" t="s">
        <v>3604</v>
      </c>
      <c r="I1066" s="1" t="s">
        <v>6367</v>
      </c>
      <c r="J1066" s="1" t="s">
        <v>3606</v>
      </c>
      <c r="K1066" s="1"/>
      <c r="L1066" s="1"/>
      <c r="M1066" s="1"/>
    </row>
    <row x14ac:dyDescent="0.25" r="1067" customHeight="1" ht="18.75">
      <c r="A1067" s="1" t="s">
        <v>3617</v>
      </c>
      <c r="B1067" s="1" t="s">
        <v>3980</v>
      </c>
      <c r="C1067" s="1" t="s">
        <v>3619</v>
      </c>
      <c r="D1067" s="1" t="s">
        <v>3601</v>
      </c>
      <c r="E1067" s="1" t="s">
        <v>3730</v>
      </c>
      <c r="F1067" s="1" t="s">
        <v>6368</v>
      </c>
      <c r="G1067" s="1" t="s">
        <v>6364</v>
      </c>
      <c r="H1067" s="1" t="s">
        <v>3604</v>
      </c>
      <c r="I1067" s="1" t="s">
        <v>6369</v>
      </c>
      <c r="J1067" s="1" t="s">
        <v>3606</v>
      </c>
      <c r="K1067" s="1"/>
      <c r="L1067" s="1"/>
      <c r="M1067" s="1"/>
    </row>
    <row x14ac:dyDescent="0.25" r="1068" customHeight="1" ht="18.75">
      <c r="A1068" s="1" t="s">
        <v>3617</v>
      </c>
      <c r="B1068" s="1" t="s">
        <v>3980</v>
      </c>
      <c r="C1068" s="1" t="s">
        <v>3619</v>
      </c>
      <c r="D1068" s="1" t="s">
        <v>3601</v>
      </c>
      <c r="E1068" s="1" t="s">
        <v>3730</v>
      </c>
      <c r="F1068" s="1" t="s">
        <v>6370</v>
      </c>
      <c r="G1068" s="1" t="s">
        <v>6364</v>
      </c>
      <c r="H1068" s="1" t="s">
        <v>3604</v>
      </c>
      <c r="I1068" s="1" t="s">
        <v>6371</v>
      </c>
      <c r="J1068" s="1" t="s">
        <v>3606</v>
      </c>
      <c r="K1068" s="1"/>
      <c r="L1068" s="1"/>
      <c r="M1068" s="1"/>
    </row>
    <row x14ac:dyDescent="0.25" r="1069" customHeight="1" ht="18.75">
      <c r="A1069" s="1" t="s">
        <v>3617</v>
      </c>
      <c r="B1069" s="1" t="s">
        <v>3980</v>
      </c>
      <c r="C1069" s="1" t="s">
        <v>3619</v>
      </c>
      <c r="D1069" s="1" t="s">
        <v>3601</v>
      </c>
      <c r="E1069" s="1" t="s">
        <v>3730</v>
      </c>
      <c r="F1069" s="1" t="s">
        <v>6366</v>
      </c>
      <c r="G1069" s="1" t="s">
        <v>6372</v>
      </c>
      <c r="H1069" s="1" t="s">
        <v>3604</v>
      </c>
      <c r="I1069" s="1" t="s">
        <v>6373</v>
      </c>
      <c r="J1069" s="1" t="s">
        <v>3606</v>
      </c>
      <c r="K1069" s="1"/>
      <c r="L1069" s="1"/>
      <c r="M1069" s="1"/>
    </row>
    <row x14ac:dyDescent="0.25" r="1070" customHeight="1" ht="18.75">
      <c r="A1070" s="1" t="s">
        <v>3617</v>
      </c>
      <c r="B1070" s="1" t="s">
        <v>3980</v>
      </c>
      <c r="C1070" s="1" t="s">
        <v>3619</v>
      </c>
      <c r="D1070" s="1" t="s">
        <v>3601</v>
      </c>
      <c r="E1070" s="1" t="s">
        <v>3730</v>
      </c>
      <c r="F1070" s="1" t="s">
        <v>6374</v>
      </c>
      <c r="G1070" s="1" t="s">
        <v>6372</v>
      </c>
      <c r="H1070" s="1" t="s">
        <v>3604</v>
      </c>
      <c r="I1070" s="1" t="s">
        <v>6375</v>
      </c>
      <c r="J1070" s="1" t="s">
        <v>3606</v>
      </c>
      <c r="K1070" s="1"/>
      <c r="L1070" s="1"/>
      <c r="M1070" s="1"/>
    </row>
    <row x14ac:dyDescent="0.25" r="1071" customHeight="1" ht="18.75">
      <c r="A1071" s="1" t="s">
        <v>3617</v>
      </c>
      <c r="B1071" s="1" t="s">
        <v>3980</v>
      </c>
      <c r="C1071" s="1" t="s">
        <v>3619</v>
      </c>
      <c r="D1071" s="1" t="s">
        <v>3601</v>
      </c>
      <c r="E1071" s="1" t="s">
        <v>3730</v>
      </c>
      <c r="F1071" s="1" t="s">
        <v>6376</v>
      </c>
      <c r="G1071" s="1" t="s">
        <v>6372</v>
      </c>
      <c r="H1071" s="1" t="s">
        <v>3604</v>
      </c>
      <c r="I1071" s="1" t="s">
        <v>6377</v>
      </c>
      <c r="J1071" s="1" t="s">
        <v>3606</v>
      </c>
      <c r="K1071" s="1"/>
      <c r="L1071" s="1"/>
      <c r="M1071" s="1"/>
    </row>
    <row x14ac:dyDescent="0.25" r="1072" customHeight="1" ht="18.75">
      <c r="A1072" s="1" t="s">
        <v>3617</v>
      </c>
      <c r="B1072" s="1" t="s">
        <v>3980</v>
      </c>
      <c r="C1072" s="1" t="s">
        <v>3619</v>
      </c>
      <c r="D1072" s="1" t="s">
        <v>3601</v>
      </c>
      <c r="E1072" s="1" t="s">
        <v>3730</v>
      </c>
      <c r="F1072" s="1" t="s">
        <v>6378</v>
      </c>
      <c r="G1072" s="1" t="s">
        <v>6372</v>
      </c>
      <c r="H1072" s="1" t="s">
        <v>3604</v>
      </c>
      <c r="I1072" s="1" t="s">
        <v>6379</v>
      </c>
      <c r="J1072" s="1" t="s">
        <v>3606</v>
      </c>
      <c r="K1072" s="1"/>
      <c r="L1072" s="1"/>
      <c r="M1072" s="1"/>
    </row>
    <row x14ac:dyDescent="0.25" r="1073" customHeight="1" ht="18.75">
      <c r="A1073" s="1" t="s">
        <v>3617</v>
      </c>
      <c r="B1073" s="1" t="s">
        <v>3980</v>
      </c>
      <c r="C1073" s="1" t="s">
        <v>3619</v>
      </c>
      <c r="D1073" s="1" t="s">
        <v>3601</v>
      </c>
      <c r="E1073" s="1" t="s">
        <v>3730</v>
      </c>
      <c r="F1073" s="1" t="s">
        <v>6380</v>
      </c>
      <c r="G1073" s="1" t="s">
        <v>6381</v>
      </c>
      <c r="H1073" s="1" t="s">
        <v>3604</v>
      </c>
      <c r="I1073" s="1" t="s">
        <v>6382</v>
      </c>
      <c r="J1073" s="1" t="s">
        <v>3606</v>
      </c>
      <c r="K1073" s="1"/>
      <c r="L1073" s="1"/>
      <c r="M1073" s="1"/>
    </row>
    <row x14ac:dyDescent="0.25" r="1074" customHeight="1" ht="18.75">
      <c r="A1074" s="1" t="s">
        <v>3617</v>
      </c>
      <c r="B1074" s="1" t="s">
        <v>6383</v>
      </c>
      <c r="C1074" s="1" t="s">
        <v>3619</v>
      </c>
      <c r="D1074" s="1" t="s">
        <v>3601</v>
      </c>
      <c r="E1074" s="1" t="s">
        <v>3981</v>
      </c>
      <c r="F1074" s="1" t="s">
        <v>6384</v>
      </c>
      <c r="G1074" s="1" t="s">
        <v>6385</v>
      </c>
      <c r="H1074" s="1" t="s">
        <v>3604</v>
      </c>
      <c r="I1074" s="1" t="s">
        <v>6386</v>
      </c>
      <c r="J1074" s="1" t="s">
        <v>3606</v>
      </c>
      <c r="K1074" s="1"/>
      <c r="L1074" s="1"/>
      <c r="M1074" s="1"/>
    </row>
    <row x14ac:dyDescent="0.25" r="1075" customHeight="1" ht="18.75">
      <c r="A1075" s="1" t="s">
        <v>3598</v>
      </c>
      <c r="B1075" s="1" t="s">
        <v>6387</v>
      </c>
      <c r="C1075" s="1" t="s">
        <v>3600</v>
      </c>
      <c r="D1075" s="1" t="s">
        <v>3601</v>
      </c>
      <c r="E1075" s="1"/>
      <c r="F1075" s="1" t="s">
        <v>6388</v>
      </c>
      <c r="G1075" s="1" t="s">
        <v>6122</v>
      </c>
      <c r="H1075" s="1" t="s">
        <v>3604</v>
      </c>
      <c r="I1075" s="1" t="s">
        <v>6389</v>
      </c>
      <c r="J1075" s="1" t="s">
        <v>3606</v>
      </c>
      <c r="K1075" s="1"/>
      <c r="L1075" s="1"/>
      <c r="M1075" s="1"/>
    </row>
    <row x14ac:dyDescent="0.25" r="1076" customHeight="1" ht="18.75">
      <c r="A1076" s="1" t="s">
        <v>3693</v>
      </c>
      <c r="B1076" s="1" t="s">
        <v>4323</v>
      </c>
      <c r="C1076" s="1" t="s">
        <v>3600</v>
      </c>
      <c r="D1076" s="1" t="s">
        <v>3601</v>
      </c>
      <c r="E1076" s="1"/>
      <c r="F1076" s="1" t="s">
        <v>4857</v>
      </c>
      <c r="G1076" s="1" t="s">
        <v>6390</v>
      </c>
      <c r="H1076" s="1" t="s">
        <v>3604</v>
      </c>
      <c r="I1076" s="1" t="s">
        <v>6391</v>
      </c>
      <c r="J1076" s="1" t="s">
        <v>3606</v>
      </c>
      <c r="K1076" s="1"/>
      <c r="L1076" s="1"/>
      <c r="M1076" s="1"/>
    </row>
    <row x14ac:dyDescent="0.25" r="1077" customHeight="1" ht="18.75">
      <c r="A1077" s="1" t="s">
        <v>3693</v>
      </c>
      <c r="B1077" s="1" t="s">
        <v>4323</v>
      </c>
      <c r="C1077" s="1" t="s">
        <v>3600</v>
      </c>
      <c r="D1077" s="1" t="s">
        <v>3601</v>
      </c>
      <c r="E1077" s="1"/>
      <c r="F1077" s="1" t="s">
        <v>4859</v>
      </c>
      <c r="G1077" s="1" t="s">
        <v>6390</v>
      </c>
      <c r="H1077" s="1" t="s">
        <v>3604</v>
      </c>
      <c r="I1077" s="1" t="s">
        <v>6392</v>
      </c>
      <c r="J1077" s="1" t="s">
        <v>3606</v>
      </c>
      <c r="K1077" s="1"/>
      <c r="L1077" s="1"/>
      <c r="M1077" s="1"/>
    </row>
    <row x14ac:dyDescent="0.25" r="1078" customHeight="1" ht="18.75">
      <c r="A1078" s="1" t="s">
        <v>3693</v>
      </c>
      <c r="B1078" s="1" t="s">
        <v>4323</v>
      </c>
      <c r="C1078" s="1" t="s">
        <v>3600</v>
      </c>
      <c r="D1078" s="1" t="s">
        <v>3601</v>
      </c>
      <c r="E1078" s="1"/>
      <c r="F1078" s="1" t="s">
        <v>4861</v>
      </c>
      <c r="G1078" s="1" t="s">
        <v>6390</v>
      </c>
      <c r="H1078" s="1" t="s">
        <v>3604</v>
      </c>
      <c r="I1078" s="1" t="s">
        <v>6393</v>
      </c>
      <c r="J1078" s="1" t="s">
        <v>3606</v>
      </c>
      <c r="K1078" s="1"/>
      <c r="L1078" s="1"/>
      <c r="M1078" s="1"/>
    </row>
    <row x14ac:dyDescent="0.25" r="1079" customHeight="1" ht="18.75">
      <c r="A1079" s="1" t="s">
        <v>3693</v>
      </c>
      <c r="B1079" s="1" t="s">
        <v>4323</v>
      </c>
      <c r="C1079" s="1" t="s">
        <v>3600</v>
      </c>
      <c r="D1079" s="1" t="s">
        <v>3601</v>
      </c>
      <c r="E1079" s="1"/>
      <c r="F1079" s="1" t="s">
        <v>6394</v>
      </c>
      <c r="G1079" s="1" t="s">
        <v>6390</v>
      </c>
      <c r="H1079" s="1" t="s">
        <v>3604</v>
      </c>
      <c r="I1079" s="1" t="s">
        <v>6395</v>
      </c>
      <c r="J1079" s="1" t="s">
        <v>3615</v>
      </c>
      <c r="K1079" s="1"/>
      <c r="L1079" s="1"/>
      <c r="M1079" s="1"/>
    </row>
    <row x14ac:dyDescent="0.25" r="1080" customHeight="1" ht="18.75">
      <c r="A1080" s="1" t="s">
        <v>3693</v>
      </c>
      <c r="B1080" s="1" t="s">
        <v>4323</v>
      </c>
      <c r="C1080" s="1" t="s">
        <v>3600</v>
      </c>
      <c r="D1080" s="1" t="s">
        <v>3601</v>
      </c>
      <c r="E1080" s="1"/>
      <c r="F1080" s="1" t="s">
        <v>6396</v>
      </c>
      <c r="G1080" s="1" t="s">
        <v>6390</v>
      </c>
      <c r="H1080" s="1" t="s">
        <v>3604</v>
      </c>
      <c r="I1080" s="1" t="s">
        <v>6397</v>
      </c>
      <c r="J1080" s="1" t="s">
        <v>3615</v>
      </c>
      <c r="K1080" s="1"/>
      <c r="L1080" s="1"/>
      <c r="M1080" s="1"/>
    </row>
    <row x14ac:dyDescent="0.25" r="1081" customHeight="1" ht="18.75">
      <c r="A1081" s="1" t="s">
        <v>3693</v>
      </c>
      <c r="B1081" s="1" t="s">
        <v>4323</v>
      </c>
      <c r="C1081" s="1" t="s">
        <v>3600</v>
      </c>
      <c r="D1081" s="1" t="s">
        <v>3601</v>
      </c>
      <c r="E1081" s="1"/>
      <c r="F1081" s="1" t="s">
        <v>6398</v>
      </c>
      <c r="G1081" s="1" t="s">
        <v>6390</v>
      </c>
      <c r="H1081" s="1" t="s">
        <v>3604</v>
      </c>
      <c r="I1081" s="1" t="s">
        <v>6399</v>
      </c>
      <c r="J1081" s="1" t="s">
        <v>3615</v>
      </c>
      <c r="K1081" s="1"/>
      <c r="L1081" s="1"/>
      <c r="M1081" s="1"/>
    </row>
    <row x14ac:dyDescent="0.25" r="1082" customHeight="1" ht="18.75">
      <c r="A1082" s="1" t="s">
        <v>3693</v>
      </c>
      <c r="B1082" s="1" t="s">
        <v>4323</v>
      </c>
      <c r="C1082" s="1" t="s">
        <v>3600</v>
      </c>
      <c r="D1082" s="1" t="s">
        <v>3601</v>
      </c>
      <c r="E1082" s="1"/>
      <c r="F1082" s="1" t="s">
        <v>6400</v>
      </c>
      <c r="G1082" s="1" t="s">
        <v>6390</v>
      </c>
      <c r="H1082" s="1" t="s">
        <v>3604</v>
      </c>
      <c r="I1082" s="1" t="s">
        <v>6401</v>
      </c>
      <c r="J1082" s="1" t="s">
        <v>3615</v>
      </c>
      <c r="K1082" s="1"/>
      <c r="L1082" s="1"/>
      <c r="M1082" s="1"/>
    </row>
    <row x14ac:dyDescent="0.25" r="1083" customHeight="1" ht="18.75">
      <c r="A1083" s="1" t="s">
        <v>3693</v>
      </c>
      <c r="B1083" s="1" t="s">
        <v>4323</v>
      </c>
      <c r="C1083" s="1" t="s">
        <v>3600</v>
      </c>
      <c r="D1083" s="1" t="s">
        <v>3601</v>
      </c>
      <c r="E1083" s="1"/>
      <c r="F1083" s="1" t="s">
        <v>6402</v>
      </c>
      <c r="G1083" s="1" t="s">
        <v>6390</v>
      </c>
      <c r="H1083" s="1" t="s">
        <v>3604</v>
      </c>
      <c r="I1083" s="1" t="s">
        <v>6403</v>
      </c>
      <c r="J1083" s="1" t="s">
        <v>3615</v>
      </c>
      <c r="K1083" s="1"/>
      <c r="L1083" s="1"/>
      <c r="M1083" s="1"/>
    </row>
    <row x14ac:dyDescent="0.25" r="1084" customHeight="1" ht="18.75">
      <c r="A1084" s="1" t="s">
        <v>3693</v>
      </c>
      <c r="B1084" s="1" t="s">
        <v>4323</v>
      </c>
      <c r="C1084" s="1" t="s">
        <v>3600</v>
      </c>
      <c r="D1084" s="1" t="s">
        <v>3601</v>
      </c>
      <c r="E1084" s="1"/>
      <c r="F1084" s="1" t="s">
        <v>6404</v>
      </c>
      <c r="G1084" s="1" t="s">
        <v>6405</v>
      </c>
      <c r="H1084" s="1" t="s">
        <v>3604</v>
      </c>
      <c r="I1084" s="1" t="s">
        <v>6406</v>
      </c>
      <c r="J1084" s="1" t="s">
        <v>3615</v>
      </c>
      <c r="K1084" s="1"/>
      <c r="L1084" s="1"/>
      <c r="M1084" s="1"/>
    </row>
    <row x14ac:dyDescent="0.25" r="1085" customHeight="1" ht="18.75">
      <c r="A1085" s="1" t="s">
        <v>3598</v>
      </c>
      <c r="B1085" s="1" t="s">
        <v>6407</v>
      </c>
      <c r="C1085" s="1" t="s">
        <v>3600</v>
      </c>
      <c r="D1085" s="1" t="s">
        <v>3601</v>
      </c>
      <c r="E1085" s="1"/>
      <c r="F1085" s="1" t="s">
        <v>6408</v>
      </c>
      <c r="G1085" s="1" t="s">
        <v>6409</v>
      </c>
      <c r="H1085" s="1" t="s">
        <v>3604</v>
      </c>
      <c r="I1085" s="1" t="s">
        <v>6410</v>
      </c>
      <c r="J1085" s="1" t="s">
        <v>3606</v>
      </c>
      <c r="K1085" s="1"/>
      <c r="L1085" s="1"/>
      <c r="M1085" s="1"/>
    </row>
    <row x14ac:dyDescent="0.25" r="1086" customHeight="1" ht="18.75">
      <c r="A1086" s="1" t="s">
        <v>3693</v>
      </c>
      <c r="B1086" s="1" t="s">
        <v>4323</v>
      </c>
      <c r="C1086" s="1" t="s">
        <v>3600</v>
      </c>
      <c r="D1086" s="1" t="s">
        <v>3601</v>
      </c>
      <c r="E1086" s="1"/>
      <c r="F1086" s="1" t="s">
        <v>6411</v>
      </c>
      <c r="G1086" s="1" t="s">
        <v>6412</v>
      </c>
      <c r="H1086" s="1" t="s">
        <v>3604</v>
      </c>
      <c r="I1086" s="1" t="s">
        <v>6413</v>
      </c>
      <c r="J1086" s="1" t="s">
        <v>3615</v>
      </c>
      <c r="K1086" s="1"/>
      <c r="L1086" s="1"/>
      <c r="M1086" s="1"/>
    </row>
    <row x14ac:dyDescent="0.25" r="1087" customHeight="1" ht="18.75">
      <c r="A1087" s="1" t="s">
        <v>3693</v>
      </c>
      <c r="B1087" s="1" t="s">
        <v>4323</v>
      </c>
      <c r="C1087" s="1" t="s">
        <v>3600</v>
      </c>
      <c r="D1087" s="1" t="s">
        <v>3601</v>
      </c>
      <c r="E1087" s="1"/>
      <c r="F1087" s="1" t="s">
        <v>6414</v>
      </c>
      <c r="G1087" s="1" t="s">
        <v>6412</v>
      </c>
      <c r="H1087" s="1" t="s">
        <v>3604</v>
      </c>
      <c r="I1087" s="1" t="s">
        <v>6415</v>
      </c>
      <c r="J1087" s="1" t="s">
        <v>3615</v>
      </c>
      <c r="K1087" s="1"/>
      <c r="L1087" s="1"/>
      <c r="M1087" s="1"/>
    </row>
    <row x14ac:dyDescent="0.25" r="1088" customHeight="1" ht="18.75">
      <c r="A1088" s="1" t="s">
        <v>3693</v>
      </c>
      <c r="B1088" s="1" t="s">
        <v>4323</v>
      </c>
      <c r="C1088" s="1" t="s">
        <v>3600</v>
      </c>
      <c r="D1088" s="1" t="s">
        <v>3601</v>
      </c>
      <c r="E1088" s="1"/>
      <c r="F1088" s="1" t="s">
        <v>6416</v>
      </c>
      <c r="G1088" s="1" t="s">
        <v>6412</v>
      </c>
      <c r="H1088" s="1" t="s">
        <v>3604</v>
      </c>
      <c r="I1088" s="1" t="s">
        <v>6417</v>
      </c>
      <c r="J1088" s="1" t="s">
        <v>3615</v>
      </c>
      <c r="K1088" s="1"/>
      <c r="L1088" s="1"/>
      <c r="M1088" s="1"/>
    </row>
    <row x14ac:dyDescent="0.25" r="1089" customHeight="1" ht="18.75">
      <c r="A1089" s="1" t="s">
        <v>3693</v>
      </c>
      <c r="B1089" s="1" t="s">
        <v>4323</v>
      </c>
      <c r="C1089" s="1" t="s">
        <v>3600</v>
      </c>
      <c r="D1089" s="1" t="s">
        <v>3601</v>
      </c>
      <c r="E1089" s="1"/>
      <c r="F1089" s="1" t="s">
        <v>6418</v>
      </c>
      <c r="G1089" s="1" t="s">
        <v>6412</v>
      </c>
      <c r="H1089" s="1" t="s">
        <v>3604</v>
      </c>
      <c r="I1089" s="1" t="s">
        <v>6419</v>
      </c>
      <c r="J1089" s="1" t="s">
        <v>3615</v>
      </c>
      <c r="K1089" s="1"/>
      <c r="L1089" s="1"/>
      <c r="M1089" s="1"/>
    </row>
    <row x14ac:dyDescent="0.25" r="1090" customHeight="1" ht="18.75">
      <c r="A1090" s="1" t="s">
        <v>3693</v>
      </c>
      <c r="B1090" s="1" t="s">
        <v>4323</v>
      </c>
      <c r="C1090" s="1" t="s">
        <v>3600</v>
      </c>
      <c r="D1090" s="1" t="s">
        <v>3601</v>
      </c>
      <c r="E1090" s="1"/>
      <c r="F1090" s="1" t="s">
        <v>6420</v>
      </c>
      <c r="G1090" s="1" t="s">
        <v>6412</v>
      </c>
      <c r="H1090" s="1" t="s">
        <v>3604</v>
      </c>
      <c r="I1090" s="1" t="s">
        <v>6421</v>
      </c>
      <c r="J1090" s="1" t="s">
        <v>3615</v>
      </c>
      <c r="K1090" s="1"/>
      <c r="L1090" s="1"/>
      <c r="M1090" s="1"/>
    </row>
    <row x14ac:dyDescent="0.25" r="1091" customHeight="1" ht="18.75">
      <c r="A1091" s="1" t="s">
        <v>3693</v>
      </c>
      <c r="B1091" s="1" t="s">
        <v>4323</v>
      </c>
      <c r="C1091" s="1" t="s">
        <v>3600</v>
      </c>
      <c r="D1091" s="1" t="s">
        <v>3601</v>
      </c>
      <c r="E1091" s="1"/>
      <c r="F1091" s="1" t="s">
        <v>6422</v>
      </c>
      <c r="G1091" s="1" t="s">
        <v>6412</v>
      </c>
      <c r="H1091" s="1" t="s">
        <v>3604</v>
      </c>
      <c r="I1091" s="1" t="s">
        <v>6423</v>
      </c>
      <c r="J1091" s="1" t="s">
        <v>3615</v>
      </c>
      <c r="K1091" s="1"/>
      <c r="L1091" s="1"/>
      <c r="M1091" s="1"/>
    </row>
    <row x14ac:dyDescent="0.25" r="1092" customHeight="1" ht="18.75">
      <c r="A1092" s="1" t="s">
        <v>3693</v>
      </c>
      <c r="B1092" s="1" t="s">
        <v>4323</v>
      </c>
      <c r="C1092" s="1" t="s">
        <v>3600</v>
      </c>
      <c r="D1092" s="1" t="s">
        <v>3601</v>
      </c>
      <c r="E1092" s="1"/>
      <c r="F1092" s="1" t="s">
        <v>6424</v>
      </c>
      <c r="G1092" s="1" t="s">
        <v>6412</v>
      </c>
      <c r="H1092" s="1" t="s">
        <v>3604</v>
      </c>
      <c r="I1092" s="1" t="s">
        <v>6425</v>
      </c>
      <c r="J1092" s="1" t="s">
        <v>3615</v>
      </c>
      <c r="K1092" s="1"/>
      <c r="L1092" s="1"/>
      <c r="M1092" s="1"/>
    </row>
    <row x14ac:dyDescent="0.25" r="1093" customHeight="1" ht="18.75">
      <c r="A1093" s="1" t="s">
        <v>3693</v>
      </c>
      <c r="B1093" s="1" t="s">
        <v>4323</v>
      </c>
      <c r="C1093" s="1" t="s">
        <v>3600</v>
      </c>
      <c r="D1093" s="1" t="s">
        <v>3601</v>
      </c>
      <c r="E1093" s="1"/>
      <c r="F1093" s="1" t="s">
        <v>6426</v>
      </c>
      <c r="G1093" s="1" t="s">
        <v>6405</v>
      </c>
      <c r="H1093" s="1" t="s">
        <v>3604</v>
      </c>
      <c r="I1093" s="1" t="s">
        <v>6427</v>
      </c>
      <c r="J1093" s="1" t="s">
        <v>3615</v>
      </c>
      <c r="K1093" s="1"/>
      <c r="L1093" s="1"/>
      <c r="M1093" s="1"/>
    </row>
    <row x14ac:dyDescent="0.25" r="1094" customHeight="1" ht="18.75">
      <c r="A1094" s="1" t="s">
        <v>3598</v>
      </c>
      <c r="B1094" s="1" t="s">
        <v>6428</v>
      </c>
      <c r="C1094" s="1" t="s">
        <v>3600</v>
      </c>
      <c r="D1094" s="1" t="s">
        <v>3601</v>
      </c>
      <c r="E1094" s="1"/>
      <c r="F1094" s="1" t="s">
        <v>6429</v>
      </c>
      <c r="G1094" s="1" t="s">
        <v>6430</v>
      </c>
      <c r="H1094" s="1" t="s">
        <v>3604</v>
      </c>
      <c r="I1094" s="1" t="s">
        <v>6431</v>
      </c>
      <c r="J1094" s="1" t="s">
        <v>3606</v>
      </c>
      <c r="K1094" s="1"/>
      <c r="L1094" s="1"/>
      <c r="M1094" s="1"/>
    </row>
    <row x14ac:dyDescent="0.25" r="1095" customHeight="1" ht="18.75">
      <c r="A1095" s="1" t="s">
        <v>3598</v>
      </c>
      <c r="B1095" s="1" t="s">
        <v>6428</v>
      </c>
      <c r="C1095" s="1" t="s">
        <v>3600</v>
      </c>
      <c r="D1095" s="1" t="s">
        <v>3601</v>
      </c>
      <c r="E1095" s="1"/>
      <c r="F1095" s="1" t="s">
        <v>6429</v>
      </c>
      <c r="G1095" s="1" t="s">
        <v>6432</v>
      </c>
      <c r="H1095" s="1" t="s">
        <v>3604</v>
      </c>
      <c r="I1095" s="1" t="s">
        <v>6433</v>
      </c>
      <c r="J1095" s="1" t="s">
        <v>3606</v>
      </c>
      <c r="K1095" s="1"/>
      <c r="L1095" s="1"/>
      <c r="M1095" s="1"/>
    </row>
    <row x14ac:dyDescent="0.25" r="1096" customHeight="1" ht="18.75">
      <c r="A1096" s="1" t="s">
        <v>3598</v>
      </c>
      <c r="B1096" s="1" t="s">
        <v>6434</v>
      </c>
      <c r="C1096" s="1" t="s">
        <v>3600</v>
      </c>
      <c r="D1096" s="1" t="s">
        <v>3601</v>
      </c>
      <c r="E1096" s="1"/>
      <c r="F1096" s="1" t="s">
        <v>6435</v>
      </c>
      <c r="G1096" s="1" t="s">
        <v>6436</v>
      </c>
      <c r="H1096" s="1" t="s">
        <v>3604</v>
      </c>
      <c r="I1096" s="1" t="s">
        <v>6437</v>
      </c>
      <c r="J1096" s="1" t="s">
        <v>3606</v>
      </c>
      <c r="K1096" s="1"/>
      <c r="L1096" s="1"/>
      <c r="M1096" s="1"/>
    </row>
    <row x14ac:dyDescent="0.25" r="1097" customHeight="1" ht="18.75">
      <c r="A1097" s="1" t="s">
        <v>3598</v>
      </c>
      <c r="B1097" s="1" t="s">
        <v>6438</v>
      </c>
      <c r="C1097" s="1" t="s">
        <v>3600</v>
      </c>
      <c r="D1097" s="1" t="s">
        <v>3601</v>
      </c>
      <c r="E1097" s="1"/>
      <c r="F1097" s="1" t="s">
        <v>6439</v>
      </c>
      <c r="G1097" s="1" t="s">
        <v>6440</v>
      </c>
      <c r="H1097" s="1" t="s">
        <v>3604</v>
      </c>
      <c r="I1097" s="1" t="s">
        <v>6441</v>
      </c>
      <c r="J1097" s="1" t="s">
        <v>3606</v>
      </c>
      <c r="K1097" s="1"/>
      <c r="L1097" s="1"/>
      <c r="M1097" s="1"/>
    </row>
    <row x14ac:dyDescent="0.25" r="1098" customHeight="1" ht="18.75">
      <c r="A1098" s="1" t="s">
        <v>3598</v>
      </c>
      <c r="B1098" s="1" t="s">
        <v>6442</v>
      </c>
      <c r="C1098" s="1" t="s">
        <v>3600</v>
      </c>
      <c r="D1098" s="1" t="s">
        <v>3601</v>
      </c>
      <c r="E1098" s="1"/>
      <c r="F1098" s="1" t="s">
        <v>6443</v>
      </c>
      <c r="G1098" s="1" t="s">
        <v>6444</v>
      </c>
      <c r="H1098" s="1" t="s">
        <v>3604</v>
      </c>
      <c r="I1098" s="1" t="s">
        <v>6445</v>
      </c>
      <c r="J1098" s="1" t="s">
        <v>3606</v>
      </c>
      <c r="K1098" s="1"/>
      <c r="L1098" s="1"/>
      <c r="M1098" s="1"/>
    </row>
    <row x14ac:dyDescent="0.25" r="1099" customHeight="1" ht="18.75">
      <c r="A1099" s="1" t="s">
        <v>3598</v>
      </c>
      <c r="B1099" s="1" t="s">
        <v>6190</v>
      </c>
      <c r="C1099" s="1" t="s">
        <v>3600</v>
      </c>
      <c r="D1099" s="1" t="s">
        <v>3601</v>
      </c>
      <c r="E1099" s="1"/>
      <c r="F1099" s="1" t="s">
        <v>6446</v>
      </c>
      <c r="G1099" s="1" t="s">
        <v>6192</v>
      </c>
      <c r="H1099" s="1" t="s">
        <v>3604</v>
      </c>
      <c r="I1099" s="1" t="s">
        <v>6447</v>
      </c>
      <c r="J1099" s="1" t="s">
        <v>3606</v>
      </c>
      <c r="K1099" s="1"/>
      <c r="L1099" s="1"/>
      <c r="M1099" s="1"/>
    </row>
    <row x14ac:dyDescent="0.25" r="1100" customHeight="1" ht="18.75">
      <c r="A1100" s="1" t="s">
        <v>3598</v>
      </c>
      <c r="B1100" s="1" t="s">
        <v>6182</v>
      </c>
      <c r="C1100" s="1" t="s">
        <v>3600</v>
      </c>
      <c r="D1100" s="1" t="s">
        <v>3601</v>
      </c>
      <c r="E1100" s="1"/>
      <c r="F1100" s="1" t="s">
        <v>6448</v>
      </c>
      <c r="G1100" s="1" t="s">
        <v>6184</v>
      </c>
      <c r="H1100" s="1" t="s">
        <v>3604</v>
      </c>
      <c r="I1100" s="1" t="s">
        <v>6449</v>
      </c>
      <c r="J1100" s="1" t="s">
        <v>3606</v>
      </c>
      <c r="K1100" s="1"/>
      <c r="L1100" s="1"/>
      <c r="M1100" s="1"/>
    </row>
    <row x14ac:dyDescent="0.25" r="1101" customHeight="1" ht="18.75">
      <c r="A1101" s="1" t="s">
        <v>3598</v>
      </c>
      <c r="B1101" s="1" t="s">
        <v>6450</v>
      </c>
      <c r="C1101" s="1" t="s">
        <v>3600</v>
      </c>
      <c r="D1101" s="1" t="s">
        <v>3601</v>
      </c>
      <c r="E1101" s="1"/>
      <c r="F1101" s="1" t="s">
        <v>6451</v>
      </c>
      <c r="G1101" s="1" t="s">
        <v>6452</v>
      </c>
      <c r="H1101" s="1" t="s">
        <v>3604</v>
      </c>
      <c r="I1101" s="1" t="s">
        <v>6453</v>
      </c>
      <c r="J1101" s="1" t="s">
        <v>3606</v>
      </c>
      <c r="K1101" s="1"/>
      <c r="L1101" s="1"/>
      <c r="M1101" s="1"/>
    </row>
    <row x14ac:dyDescent="0.25" r="1102" customHeight="1" ht="18.75">
      <c r="A1102" s="1" t="s">
        <v>3598</v>
      </c>
      <c r="B1102" s="1" t="s">
        <v>6450</v>
      </c>
      <c r="C1102" s="1" t="s">
        <v>3600</v>
      </c>
      <c r="D1102" s="1" t="s">
        <v>3601</v>
      </c>
      <c r="E1102" s="1"/>
      <c r="F1102" s="1" t="s">
        <v>6454</v>
      </c>
      <c r="G1102" s="1" t="s">
        <v>6452</v>
      </c>
      <c r="H1102" s="1" t="s">
        <v>3604</v>
      </c>
      <c r="I1102" s="1" t="s">
        <v>6455</v>
      </c>
      <c r="J1102" s="1" t="s">
        <v>3606</v>
      </c>
      <c r="K1102" s="1"/>
      <c r="L1102" s="1"/>
      <c r="M1102" s="1"/>
    </row>
    <row x14ac:dyDescent="0.25" r="1103" customHeight="1" ht="18.75">
      <c r="A1103" s="1" t="s">
        <v>3598</v>
      </c>
      <c r="B1103" s="1" t="s">
        <v>6456</v>
      </c>
      <c r="C1103" s="1" t="s">
        <v>3600</v>
      </c>
      <c r="D1103" s="1" t="s">
        <v>3601</v>
      </c>
      <c r="E1103" s="1"/>
      <c r="F1103" s="1" t="s">
        <v>6457</v>
      </c>
      <c r="G1103" s="1" t="s">
        <v>6458</v>
      </c>
      <c r="H1103" s="1" t="s">
        <v>3604</v>
      </c>
      <c r="I1103" s="1" t="s">
        <v>6459</v>
      </c>
      <c r="J1103" s="1" t="s">
        <v>3606</v>
      </c>
      <c r="K1103" s="1"/>
      <c r="L1103" s="1"/>
      <c r="M1103" s="1"/>
    </row>
    <row x14ac:dyDescent="0.25" r="1104" customHeight="1" ht="18.75">
      <c r="A1104" s="1" t="s">
        <v>3598</v>
      </c>
      <c r="B1104" s="1" t="s">
        <v>6456</v>
      </c>
      <c r="C1104" s="1" t="s">
        <v>3600</v>
      </c>
      <c r="D1104" s="1" t="s">
        <v>3601</v>
      </c>
      <c r="E1104" s="1"/>
      <c r="F1104" s="1" t="s">
        <v>6460</v>
      </c>
      <c r="G1104" s="1" t="s">
        <v>6458</v>
      </c>
      <c r="H1104" s="1" t="s">
        <v>3604</v>
      </c>
      <c r="I1104" s="1" t="s">
        <v>6461</v>
      </c>
      <c r="J1104" s="1" t="s">
        <v>3606</v>
      </c>
      <c r="K1104" s="1"/>
      <c r="L1104" s="1"/>
      <c r="M1104" s="1"/>
    </row>
    <row x14ac:dyDescent="0.25" r="1105" customHeight="1" ht="18.75">
      <c r="A1105" s="1" t="s">
        <v>3598</v>
      </c>
      <c r="B1105" s="1" t="s">
        <v>6462</v>
      </c>
      <c r="C1105" s="1" t="s">
        <v>3600</v>
      </c>
      <c r="D1105" s="1" t="s">
        <v>3601</v>
      </c>
      <c r="E1105" s="1"/>
      <c r="F1105" s="1" t="s">
        <v>6463</v>
      </c>
      <c r="G1105" s="1" t="s">
        <v>6464</v>
      </c>
      <c r="H1105" s="1" t="s">
        <v>3604</v>
      </c>
      <c r="I1105" s="1" t="s">
        <v>6465</v>
      </c>
      <c r="J1105" s="1" t="s">
        <v>3606</v>
      </c>
      <c r="K1105" s="1"/>
      <c r="L1105" s="1"/>
      <c r="M1105" s="1"/>
    </row>
    <row x14ac:dyDescent="0.25" r="1106" customHeight="1" ht="18.75">
      <c r="A1106" s="1" t="s">
        <v>3598</v>
      </c>
      <c r="B1106" s="1" t="s">
        <v>6466</v>
      </c>
      <c r="C1106" s="1" t="s">
        <v>3600</v>
      </c>
      <c r="D1106" s="1" t="s">
        <v>3601</v>
      </c>
      <c r="E1106" s="1"/>
      <c r="F1106" s="1" t="s">
        <v>6463</v>
      </c>
      <c r="G1106" s="1" t="s">
        <v>6467</v>
      </c>
      <c r="H1106" s="1" t="s">
        <v>3604</v>
      </c>
      <c r="I1106" s="1" t="s">
        <v>6468</v>
      </c>
      <c r="J1106" s="1" t="s">
        <v>3606</v>
      </c>
      <c r="K1106" s="1"/>
      <c r="L1106" s="1"/>
      <c r="M1106" s="1"/>
    </row>
    <row x14ac:dyDescent="0.25" r="1107" customHeight="1" ht="18.75">
      <c r="A1107" s="1" t="s">
        <v>3598</v>
      </c>
      <c r="B1107" s="1" t="s">
        <v>6469</v>
      </c>
      <c r="C1107" s="1" t="s">
        <v>3600</v>
      </c>
      <c r="D1107" s="1" t="s">
        <v>3601</v>
      </c>
      <c r="E1107" s="1"/>
      <c r="F1107" s="1" t="s">
        <v>6470</v>
      </c>
      <c r="G1107" s="1" t="s">
        <v>6471</v>
      </c>
      <c r="H1107" s="1" t="s">
        <v>3604</v>
      </c>
      <c r="I1107" s="1" t="s">
        <v>6472</v>
      </c>
      <c r="J1107" s="1" t="s">
        <v>3606</v>
      </c>
      <c r="K1107" s="1"/>
      <c r="L1107" s="1"/>
      <c r="M1107" s="1"/>
    </row>
    <row x14ac:dyDescent="0.25" r="1108" customHeight="1" ht="18.75">
      <c r="A1108" s="1" t="s">
        <v>3598</v>
      </c>
      <c r="B1108" s="1" t="s">
        <v>6469</v>
      </c>
      <c r="C1108" s="1" t="s">
        <v>3600</v>
      </c>
      <c r="D1108" s="1" t="s">
        <v>3601</v>
      </c>
      <c r="E1108" s="1"/>
      <c r="F1108" s="1" t="s">
        <v>6473</v>
      </c>
      <c r="G1108" s="1" t="s">
        <v>6471</v>
      </c>
      <c r="H1108" s="1" t="s">
        <v>3604</v>
      </c>
      <c r="I1108" s="1" t="s">
        <v>6474</v>
      </c>
      <c r="J1108" s="1" t="s">
        <v>3606</v>
      </c>
      <c r="K1108" s="1"/>
      <c r="L1108" s="1"/>
      <c r="M1108" s="1"/>
    </row>
    <row x14ac:dyDescent="0.25" r="1109" customHeight="1" ht="18.75">
      <c r="A1109" s="1" t="s">
        <v>3598</v>
      </c>
      <c r="B1109" s="1" t="s">
        <v>6469</v>
      </c>
      <c r="C1109" s="1" t="s">
        <v>3600</v>
      </c>
      <c r="D1109" s="1" t="s">
        <v>3601</v>
      </c>
      <c r="E1109" s="1"/>
      <c r="F1109" s="1" t="s">
        <v>6475</v>
      </c>
      <c r="G1109" s="1" t="s">
        <v>6471</v>
      </c>
      <c r="H1109" s="1" t="s">
        <v>3604</v>
      </c>
      <c r="I1109" s="1" t="s">
        <v>6476</v>
      </c>
      <c r="J1109" s="1" t="s">
        <v>3606</v>
      </c>
      <c r="K1109" s="1"/>
      <c r="L1109" s="1"/>
      <c r="M1109" s="1"/>
    </row>
    <row x14ac:dyDescent="0.25" r="1110" customHeight="1" ht="18.75">
      <c r="A1110" s="1" t="s">
        <v>3598</v>
      </c>
      <c r="B1110" s="1" t="s">
        <v>6469</v>
      </c>
      <c r="C1110" s="1" t="s">
        <v>3600</v>
      </c>
      <c r="D1110" s="1" t="s">
        <v>3601</v>
      </c>
      <c r="E1110" s="1"/>
      <c r="F1110" s="1" t="s">
        <v>6477</v>
      </c>
      <c r="G1110" s="1" t="s">
        <v>6471</v>
      </c>
      <c r="H1110" s="1" t="s">
        <v>3604</v>
      </c>
      <c r="I1110" s="1" t="s">
        <v>6478</v>
      </c>
      <c r="J1110" s="1" t="s">
        <v>3606</v>
      </c>
      <c r="K1110" s="1"/>
      <c r="L1110" s="1"/>
      <c r="M1110" s="1"/>
    </row>
    <row x14ac:dyDescent="0.25" r="1111" customHeight="1" ht="18.75">
      <c r="A1111" s="1" t="s">
        <v>3598</v>
      </c>
      <c r="B1111" s="1" t="s">
        <v>6469</v>
      </c>
      <c r="C1111" s="1" t="s">
        <v>3600</v>
      </c>
      <c r="D1111" s="1" t="s">
        <v>3601</v>
      </c>
      <c r="E1111" s="1"/>
      <c r="F1111" s="1" t="s">
        <v>6479</v>
      </c>
      <c r="G1111" s="1" t="s">
        <v>6471</v>
      </c>
      <c r="H1111" s="1" t="s">
        <v>3604</v>
      </c>
      <c r="I1111" s="1" t="s">
        <v>6480</v>
      </c>
      <c r="J1111" s="1" t="s">
        <v>3606</v>
      </c>
      <c r="K1111" s="1"/>
      <c r="L1111" s="1"/>
      <c r="M1111" s="1"/>
    </row>
    <row x14ac:dyDescent="0.25" r="1112" customHeight="1" ht="18.75">
      <c r="A1112" s="1" t="s">
        <v>3598</v>
      </c>
      <c r="B1112" s="1" t="s">
        <v>6469</v>
      </c>
      <c r="C1112" s="1" t="s">
        <v>3600</v>
      </c>
      <c r="D1112" s="1" t="s">
        <v>3601</v>
      </c>
      <c r="E1112" s="1"/>
      <c r="F1112" s="1" t="s">
        <v>6481</v>
      </c>
      <c r="G1112" s="1" t="s">
        <v>6471</v>
      </c>
      <c r="H1112" s="1" t="s">
        <v>3604</v>
      </c>
      <c r="I1112" s="1" t="s">
        <v>6482</v>
      </c>
      <c r="J1112" s="1" t="s">
        <v>3606</v>
      </c>
      <c r="K1112" s="1"/>
      <c r="L1112" s="1"/>
      <c r="M1112" s="1"/>
    </row>
    <row x14ac:dyDescent="0.25" r="1113" customHeight="1" ht="18.75">
      <c r="A1113" s="1" t="s">
        <v>3693</v>
      </c>
      <c r="B1113" s="1" t="s">
        <v>4323</v>
      </c>
      <c r="C1113" s="1" t="s">
        <v>3600</v>
      </c>
      <c r="D1113" s="1" t="s">
        <v>3601</v>
      </c>
      <c r="E1113" s="1"/>
      <c r="F1113" s="1" t="s">
        <v>6483</v>
      </c>
      <c r="G1113" s="1" t="s">
        <v>6405</v>
      </c>
      <c r="H1113" s="1" t="s">
        <v>3604</v>
      </c>
      <c r="I1113" s="1" t="s">
        <v>6484</v>
      </c>
      <c r="J1113" s="1" t="s">
        <v>3606</v>
      </c>
      <c r="K1113" s="1"/>
      <c r="L1113" s="1"/>
      <c r="M1113" s="1"/>
    </row>
    <row x14ac:dyDescent="0.25" r="1114" customHeight="1" ht="18.75">
      <c r="A1114" s="1" t="s">
        <v>3693</v>
      </c>
      <c r="B1114" s="1" t="s">
        <v>4323</v>
      </c>
      <c r="C1114" s="1" t="s">
        <v>3600</v>
      </c>
      <c r="D1114" s="1" t="s">
        <v>3601</v>
      </c>
      <c r="E1114" s="1"/>
      <c r="F1114" s="1" t="s">
        <v>6485</v>
      </c>
      <c r="G1114" s="1" t="s">
        <v>6405</v>
      </c>
      <c r="H1114" s="1" t="s">
        <v>3604</v>
      </c>
      <c r="I1114" s="1" t="s">
        <v>6486</v>
      </c>
      <c r="J1114" s="1" t="s">
        <v>3606</v>
      </c>
      <c r="K1114" s="1"/>
      <c r="L1114" s="1"/>
      <c r="M1114" s="1"/>
    </row>
    <row x14ac:dyDescent="0.25" r="1115" customHeight="1" ht="18.75">
      <c r="A1115" s="1" t="s">
        <v>3693</v>
      </c>
      <c r="B1115" s="1" t="s">
        <v>4323</v>
      </c>
      <c r="C1115" s="1" t="s">
        <v>3600</v>
      </c>
      <c r="D1115" s="1" t="s">
        <v>3601</v>
      </c>
      <c r="E1115" s="1"/>
      <c r="F1115" s="1" t="s">
        <v>6487</v>
      </c>
      <c r="G1115" s="1" t="s">
        <v>6405</v>
      </c>
      <c r="H1115" s="1" t="s">
        <v>3604</v>
      </c>
      <c r="I1115" s="1" t="s">
        <v>6488</v>
      </c>
      <c r="J1115" s="1" t="s">
        <v>3606</v>
      </c>
      <c r="K1115" s="1"/>
      <c r="L1115" s="1"/>
      <c r="M1115" s="1"/>
    </row>
    <row x14ac:dyDescent="0.25" r="1116" customHeight="1" ht="18.75">
      <c r="A1116" s="1" t="s">
        <v>3693</v>
      </c>
      <c r="B1116" s="1" t="s">
        <v>4323</v>
      </c>
      <c r="C1116" s="1" t="s">
        <v>3600</v>
      </c>
      <c r="D1116" s="1" t="s">
        <v>3601</v>
      </c>
      <c r="E1116" s="1"/>
      <c r="F1116" s="1" t="s">
        <v>6489</v>
      </c>
      <c r="G1116" s="1" t="s">
        <v>6405</v>
      </c>
      <c r="H1116" s="1" t="s">
        <v>3604</v>
      </c>
      <c r="I1116" s="1" t="s">
        <v>6490</v>
      </c>
      <c r="J1116" s="1" t="s">
        <v>3606</v>
      </c>
      <c r="K1116" s="1"/>
      <c r="L1116" s="1"/>
      <c r="M1116" s="1"/>
    </row>
    <row x14ac:dyDescent="0.25" r="1117" customHeight="1" ht="18.75">
      <c r="A1117" s="1" t="s">
        <v>3693</v>
      </c>
      <c r="B1117" s="1" t="s">
        <v>4323</v>
      </c>
      <c r="C1117" s="1" t="s">
        <v>3600</v>
      </c>
      <c r="D1117" s="1" t="s">
        <v>3601</v>
      </c>
      <c r="E1117" s="1"/>
      <c r="F1117" s="1" t="s">
        <v>6491</v>
      </c>
      <c r="G1117" s="1" t="s">
        <v>6405</v>
      </c>
      <c r="H1117" s="1" t="s">
        <v>3604</v>
      </c>
      <c r="I1117" s="1" t="s">
        <v>6492</v>
      </c>
      <c r="J1117" s="1" t="s">
        <v>3606</v>
      </c>
      <c r="K1117" s="1"/>
      <c r="L1117" s="1"/>
      <c r="M1117" s="1"/>
    </row>
    <row x14ac:dyDescent="0.25" r="1118" customHeight="1" ht="18.75">
      <c r="A1118" s="1" t="s">
        <v>3693</v>
      </c>
      <c r="B1118" s="1" t="s">
        <v>4323</v>
      </c>
      <c r="C1118" s="1" t="s">
        <v>3600</v>
      </c>
      <c r="D1118" s="1" t="s">
        <v>3601</v>
      </c>
      <c r="E1118" s="1"/>
      <c r="F1118" s="1" t="s">
        <v>6493</v>
      </c>
      <c r="G1118" s="1" t="s">
        <v>6405</v>
      </c>
      <c r="H1118" s="1" t="s">
        <v>3604</v>
      </c>
      <c r="I1118" s="1" t="s">
        <v>6494</v>
      </c>
      <c r="J1118" s="1" t="s">
        <v>3606</v>
      </c>
      <c r="K1118" s="1"/>
      <c r="L1118" s="1"/>
      <c r="M1118" s="1"/>
    </row>
    <row x14ac:dyDescent="0.25" r="1119" customHeight="1" ht="18.75">
      <c r="A1119" s="1" t="s">
        <v>3693</v>
      </c>
      <c r="B1119" s="1" t="s">
        <v>4323</v>
      </c>
      <c r="C1119" s="1" t="s">
        <v>3600</v>
      </c>
      <c r="D1119" s="1" t="s">
        <v>3601</v>
      </c>
      <c r="E1119" s="1"/>
      <c r="F1119" s="1" t="s">
        <v>6495</v>
      </c>
      <c r="G1119" s="1" t="s">
        <v>6390</v>
      </c>
      <c r="H1119" s="1" t="s">
        <v>3604</v>
      </c>
      <c r="I1119" s="1" t="s">
        <v>6496</v>
      </c>
      <c r="J1119" s="1" t="s">
        <v>3606</v>
      </c>
      <c r="K1119" s="1"/>
      <c r="L1119" s="1"/>
      <c r="M1119" s="1"/>
    </row>
    <row x14ac:dyDescent="0.25" r="1120" customHeight="1" ht="18.75">
      <c r="A1120" s="1" t="s">
        <v>3693</v>
      </c>
      <c r="B1120" s="1" t="s">
        <v>4323</v>
      </c>
      <c r="C1120" s="1" t="s">
        <v>3600</v>
      </c>
      <c r="D1120" s="1" t="s">
        <v>3601</v>
      </c>
      <c r="E1120" s="1"/>
      <c r="F1120" s="1" t="s">
        <v>6497</v>
      </c>
      <c r="G1120" s="1" t="s">
        <v>6390</v>
      </c>
      <c r="H1120" s="1" t="s">
        <v>3604</v>
      </c>
      <c r="I1120" s="1" t="s">
        <v>6498</v>
      </c>
      <c r="J1120" s="1" t="s">
        <v>3606</v>
      </c>
      <c r="K1120" s="1"/>
      <c r="L1120" s="1"/>
      <c r="M1120" s="1"/>
    </row>
    <row x14ac:dyDescent="0.25" r="1121" customHeight="1" ht="18.75">
      <c r="A1121" s="1" t="s">
        <v>3693</v>
      </c>
      <c r="B1121" s="1" t="s">
        <v>4323</v>
      </c>
      <c r="C1121" s="1" t="s">
        <v>3600</v>
      </c>
      <c r="D1121" s="1" t="s">
        <v>3601</v>
      </c>
      <c r="E1121" s="1"/>
      <c r="F1121" s="1" t="s">
        <v>6499</v>
      </c>
      <c r="G1121" s="1" t="s">
        <v>6390</v>
      </c>
      <c r="H1121" s="1" t="s">
        <v>3604</v>
      </c>
      <c r="I1121" s="1" t="s">
        <v>6500</v>
      </c>
      <c r="J1121" s="1" t="s">
        <v>3606</v>
      </c>
      <c r="K1121" s="1"/>
      <c r="L1121" s="1"/>
      <c r="M1121" s="1"/>
    </row>
    <row x14ac:dyDescent="0.25" r="1122" customHeight="1" ht="18.75">
      <c r="A1122" s="1" t="s">
        <v>3598</v>
      </c>
      <c r="B1122" s="1" t="s">
        <v>5372</v>
      </c>
      <c r="C1122" s="1" t="s">
        <v>3600</v>
      </c>
      <c r="D1122" s="1" t="s">
        <v>3601</v>
      </c>
      <c r="E1122" s="1"/>
      <c r="F1122" s="1" t="s">
        <v>6501</v>
      </c>
      <c r="G1122" s="1" t="s">
        <v>5374</v>
      </c>
      <c r="H1122" s="1" t="s">
        <v>3604</v>
      </c>
      <c r="I1122" s="1" t="s">
        <v>6502</v>
      </c>
      <c r="J1122" s="1" t="s">
        <v>3606</v>
      </c>
      <c r="K1122" s="1"/>
      <c r="L1122" s="1"/>
      <c r="M1122" s="1"/>
    </row>
    <row x14ac:dyDescent="0.25" r="1123" customHeight="1" ht="18.75">
      <c r="A1123" s="1" t="s">
        <v>3598</v>
      </c>
      <c r="B1123" s="1" t="s">
        <v>5372</v>
      </c>
      <c r="C1123" s="1" t="s">
        <v>3600</v>
      </c>
      <c r="D1123" s="1" t="s">
        <v>3601</v>
      </c>
      <c r="E1123" s="1"/>
      <c r="F1123" s="1" t="s">
        <v>6503</v>
      </c>
      <c r="G1123" s="1" t="s">
        <v>5374</v>
      </c>
      <c r="H1123" s="1" t="s">
        <v>3604</v>
      </c>
      <c r="I1123" s="1" t="s">
        <v>6504</v>
      </c>
      <c r="J1123" s="1" t="s">
        <v>3606</v>
      </c>
      <c r="K1123" s="1"/>
      <c r="L1123" s="1"/>
      <c r="M1123" s="1"/>
    </row>
    <row x14ac:dyDescent="0.25" r="1124" customHeight="1" ht="18.75">
      <c r="A1124" s="1" t="s">
        <v>3598</v>
      </c>
      <c r="B1124" s="1" t="s">
        <v>5372</v>
      </c>
      <c r="C1124" s="1" t="s">
        <v>3600</v>
      </c>
      <c r="D1124" s="1" t="s">
        <v>3601</v>
      </c>
      <c r="E1124" s="1"/>
      <c r="F1124" s="1" t="s">
        <v>6505</v>
      </c>
      <c r="G1124" s="1" t="s">
        <v>5374</v>
      </c>
      <c r="H1124" s="1" t="s">
        <v>3604</v>
      </c>
      <c r="I1124" s="1" t="s">
        <v>6506</v>
      </c>
      <c r="J1124" s="1" t="s">
        <v>3606</v>
      </c>
      <c r="K1124" s="1"/>
      <c r="L1124" s="1"/>
      <c r="M1124" s="1"/>
    </row>
    <row x14ac:dyDescent="0.25" r="1125" customHeight="1" ht="18.75">
      <c r="A1125" s="1" t="s">
        <v>3598</v>
      </c>
      <c r="B1125" s="1" t="s">
        <v>6507</v>
      </c>
      <c r="C1125" s="1" t="s">
        <v>3600</v>
      </c>
      <c r="D1125" s="1" t="s">
        <v>3601</v>
      </c>
      <c r="E1125" s="1"/>
      <c r="F1125" s="1" t="s">
        <v>6508</v>
      </c>
      <c r="G1125" s="1" t="s">
        <v>3603</v>
      </c>
      <c r="H1125" s="1" t="s">
        <v>3604</v>
      </c>
      <c r="I1125" s="1" t="s">
        <v>6509</v>
      </c>
      <c r="J1125" s="1" t="s">
        <v>3606</v>
      </c>
      <c r="K1125" s="1"/>
      <c r="L1125" s="1"/>
      <c r="M1125" s="1"/>
    </row>
    <row x14ac:dyDescent="0.25" r="1126" customHeight="1" ht="18.75">
      <c r="A1126" s="1" t="s">
        <v>3598</v>
      </c>
      <c r="B1126" s="1" t="s">
        <v>6507</v>
      </c>
      <c r="C1126" s="1" t="s">
        <v>3600</v>
      </c>
      <c r="D1126" s="1" t="s">
        <v>3601</v>
      </c>
      <c r="E1126" s="1"/>
      <c r="F1126" s="1" t="s">
        <v>6510</v>
      </c>
      <c r="G1126" s="1" t="s">
        <v>3603</v>
      </c>
      <c r="H1126" s="1" t="s">
        <v>3604</v>
      </c>
      <c r="I1126" s="1" t="s">
        <v>6511</v>
      </c>
      <c r="J1126" s="1" t="s">
        <v>3606</v>
      </c>
      <c r="K1126" s="1"/>
      <c r="L1126" s="1"/>
      <c r="M1126" s="1"/>
    </row>
    <row x14ac:dyDescent="0.25" r="1127" customHeight="1" ht="18.75">
      <c r="A1127" s="1" t="s">
        <v>3598</v>
      </c>
      <c r="B1127" s="1" t="s">
        <v>6507</v>
      </c>
      <c r="C1127" s="1" t="s">
        <v>3600</v>
      </c>
      <c r="D1127" s="1" t="s">
        <v>3601</v>
      </c>
      <c r="E1127" s="1"/>
      <c r="F1127" s="1" t="s">
        <v>6512</v>
      </c>
      <c r="G1127" s="1" t="s">
        <v>3603</v>
      </c>
      <c r="H1127" s="1" t="s">
        <v>3604</v>
      </c>
      <c r="I1127" s="1" t="s">
        <v>6513</v>
      </c>
      <c r="J1127" s="1" t="s">
        <v>3606</v>
      </c>
      <c r="K1127" s="1"/>
      <c r="L1127" s="1"/>
      <c r="M1127" s="1"/>
    </row>
    <row x14ac:dyDescent="0.25" r="1128" customHeight="1" ht="18.75">
      <c r="A1128" s="1" t="s">
        <v>3598</v>
      </c>
      <c r="B1128" s="1" t="s">
        <v>6507</v>
      </c>
      <c r="C1128" s="1" t="s">
        <v>3600</v>
      </c>
      <c r="D1128" s="1" t="s">
        <v>3601</v>
      </c>
      <c r="E1128" s="1"/>
      <c r="F1128" s="1" t="s">
        <v>6514</v>
      </c>
      <c r="G1128" s="1" t="s">
        <v>3603</v>
      </c>
      <c r="H1128" s="1" t="s">
        <v>3604</v>
      </c>
      <c r="I1128" s="1" t="s">
        <v>6515</v>
      </c>
      <c r="J1128" s="1" t="s">
        <v>3606</v>
      </c>
      <c r="K1128" s="1"/>
      <c r="L1128" s="1"/>
      <c r="M1128" s="1"/>
    </row>
    <row x14ac:dyDescent="0.25" r="1129" customHeight="1" ht="18.75">
      <c r="A1129" s="1" t="s">
        <v>3598</v>
      </c>
      <c r="B1129" s="1" t="s">
        <v>6407</v>
      </c>
      <c r="C1129" s="1" t="s">
        <v>3600</v>
      </c>
      <c r="D1129" s="1" t="s">
        <v>3601</v>
      </c>
      <c r="E1129" s="1"/>
      <c r="F1129" s="1" t="s">
        <v>6516</v>
      </c>
      <c r="G1129" s="1" t="s">
        <v>6409</v>
      </c>
      <c r="H1129" s="1" t="s">
        <v>3604</v>
      </c>
      <c r="I1129" s="1" t="s">
        <v>6517</v>
      </c>
      <c r="J1129" s="1" t="s">
        <v>3606</v>
      </c>
      <c r="K1129" s="1"/>
      <c r="L1129" s="1"/>
      <c r="M1129" s="1"/>
    </row>
    <row x14ac:dyDescent="0.25" r="1130" customHeight="1" ht="18.75">
      <c r="A1130" s="1" t="s">
        <v>3598</v>
      </c>
      <c r="B1130" s="1" t="s">
        <v>6407</v>
      </c>
      <c r="C1130" s="1" t="s">
        <v>3600</v>
      </c>
      <c r="D1130" s="1" t="s">
        <v>3601</v>
      </c>
      <c r="E1130" s="1"/>
      <c r="F1130" s="1" t="s">
        <v>6518</v>
      </c>
      <c r="G1130" s="1" t="s">
        <v>6409</v>
      </c>
      <c r="H1130" s="1" t="s">
        <v>3604</v>
      </c>
      <c r="I1130" s="1" t="s">
        <v>6519</v>
      </c>
      <c r="J1130" s="1" t="s">
        <v>3606</v>
      </c>
      <c r="K1130" s="1"/>
      <c r="L1130" s="1"/>
      <c r="M1130" s="1"/>
    </row>
    <row x14ac:dyDescent="0.25" r="1131" customHeight="1" ht="18.75">
      <c r="A1131" s="1" t="s">
        <v>3598</v>
      </c>
      <c r="B1131" s="1" t="s">
        <v>6407</v>
      </c>
      <c r="C1131" s="1" t="s">
        <v>3600</v>
      </c>
      <c r="D1131" s="1" t="s">
        <v>3601</v>
      </c>
      <c r="E1131" s="1"/>
      <c r="F1131" s="1" t="s">
        <v>6520</v>
      </c>
      <c r="G1131" s="1" t="s">
        <v>6409</v>
      </c>
      <c r="H1131" s="1" t="s">
        <v>3604</v>
      </c>
      <c r="I1131" s="1" t="s">
        <v>6521</v>
      </c>
      <c r="J1131" s="1" t="s">
        <v>3606</v>
      </c>
      <c r="K1131" s="1"/>
      <c r="L1131" s="1"/>
      <c r="M1131" s="1"/>
    </row>
    <row x14ac:dyDescent="0.25" r="1132" customHeight="1" ht="18.75">
      <c r="A1132" s="1" t="s">
        <v>3598</v>
      </c>
      <c r="B1132" s="1" t="s">
        <v>6522</v>
      </c>
      <c r="C1132" s="1" t="s">
        <v>3600</v>
      </c>
      <c r="D1132" s="1" t="s">
        <v>3601</v>
      </c>
      <c r="E1132" s="1"/>
      <c r="F1132" s="1" t="s">
        <v>6523</v>
      </c>
      <c r="G1132" s="1" t="s">
        <v>6524</v>
      </c>
      <c r="H1132" s="1" t="s">
        <v>3604</v>
      </c>
      <c r="I1132" s="1" t="s">
        <v>6525</v>
      </c>
      <c r="J1132" s="1" t="s">
        <v>3606</v>
      </c>
      <c r="K1132" s="1"/>
      <c r="L1132" s="1"/>
      <c r="M1132" s="1"/>
    </row>
    <row x14ac:dyDescent="0.25" r="1133" customHeight="1" ht="18.75">
      <c r="A1133" s="1" t="s">
        <v>3598</v>
      </c>
      <c r="B1133" s="1" t="s">
        <v>6526</v>
      </c>
      <c r="C1133" s="1" t="s">
        <v>3600</v>
      </c>
      <c r="D1133" s="1" t="s">
        <v>3601</v>
      </c>
      <c r="E1133" s="1"/>
      <c r="F1133" s="1" t="s">
        <v>6527</v>
      </c>
      <c r="G1133" s="1" t="s">
        <v>6528</v>
      </c>
      <c r="H1133" s="1" t="s">
        <v>3604</v>
      </c>
      <c r="I1133" s="1" t="s">
        <v>6529</v>
      </c>
      <c r="J1133" s="1" t="s">
        <v>3606</v>
      </c>
      <c r="K1133" s="1"/>
      <c r="L1133" s="1"/>
      <c r="M1133" s="1"/>
    </row>
    <row x14ac:dyDescent="0.25" r="1134" customHeight="1" ht="18.75">
      <c r="A1134" s="1" t="s">
        <v>3693</v>
      </c>
      <c r="B1134" s="1" t="s">
        <v>4247</v>
      </c>
      <c r="C1134" s="1" t="s">
        <v>3600</v>
      </c>
      <c r="D1134" s="1" t="s">
        <v>3601</v>
      </c>
      <c r="E1134" s="1" t="s">
        <v>3893</v>
      </c>
      <c r="F1134" s="1" t="s">
        <v>6530</v>
      </c>
      <c r="G1134" s="1" t="s">
        <v>4440</v>
      </c>
      <c r="H1134" s="1" t="s">
        <v>3604</v>
      </c>
      <c r="I1134" s="1" t="s">
        <v>6531</v>
      </c>
      <c r="J1134" s="1" t="s">
        <v>3615</v>
      </c>
      <c r="K1134" s="1"/>
      <c r="L1134" s="1"/>
      <c r="M1134" s="1"/>
    </row>
    <row x14ac:dyDescent="0.25" r="1135" customHeight="1" ht="18.75">
      <c r="A1135" s="1" t="s">
        <v>3693</v>
      </c>
      <c r="B1135" s="1" t="s">
        <v>4247</v>
      </c>
      <c r="C1135" s="1" t="s">
        <v>3600</v>
      </c>
      <c r="D1135" s="1" t="s">
        <v>3601</v>
      </c>
      <c r="E1135" s="1" t="s">
        <v>3893</v>
      </c>
      <c r="F1135" s="1" t="s">
        <v>6532</v>
      </c>
      <c r="G1135" s="1" t="s">
        <v>4735</v>
      </c>
      <c r="H1135" s="1" t="s">
        <v>3604</v>
      </c>
      <c r="I1135" s="1" t="s">
        <v>6533</v>
      </c>
      <c r="J1135" s="1" t="s">
        <v>3615</v>
      </c>
      <c r="K1135" s="1"/>
      <c r="L1135" s="1"/>
      <c r="M1135" s="1"/>
    </row>
    <row x14ac:dyDescent="0.25" r="1136" customHeight="1" ht="18.75">
      <c r="A1136" s="1" t="s">
        <v>3693</v>
      </c>
      <c r="B1136" s="1" t="s">
        <v>4323</v>
      </c>
      <c r="C1136" s="1" t="s">
        <v>3600</v>
      </c>
      <c r="D1136" s="1" t="s">
        <v>3601</v>
      </c>
      <c r="E1136" s="1"/>
      <c r="F1136" s="1" t="s">
        <v>6534</v>
      </c>
      <c r="G1136" s="1" t="s">
        <v>4346</v>
      </c>
      <c r="H1136" s="1" t="s">
        <v>3604</v>
      </c>
      <c r="I1136" s="1" t="s">
        <v>6535</v>
      </c>
      <c r="J1136" s="1" t="s">
        <v>3606</v>
      </c>
      <c r="K1136" s="1"/>
      <c r="L1136" s="1"/>
      <c r="M1136" s="1"/>
    </row>
    <row x14ac:dyDescent="0.25" r="1137" customHeight="1" ht="18.75">
      <c r="A1137" s="1" t="s">
        <v>3693</v>
      </c>
      <c r="B1137" s="1" t="s">
        <v>4323</v>
      </c>
      <c r="C1137" s="1" t="s">
        <v>3600</v>
      </c>
      <c r="D1137" s="1" t="s">
        <v>3601</v>
      </c>
      <c r="E1137" s="1"/>
      <c r="F1137" s="1" t="s">
        <v>6536</v>
      </c>
      <c r="G1137" s="1" t="s">
        <v>4344</v>
      </c>
      <c r="H1137" s="1" t="s">
        <v>3604</v>
      </c>
      <c r="I1137" s="1" t="s">
        <v>6537</v>
      </c>
      <c r="J1137" s="1" t="s">
        <v>3606</v>
      </c>
      <c r="K1137" s="1"/>
      <c r="L1137" s="1"/>
      <c r="M1137" s="1"/>
    </row>
    <row x14ac:dyDescent="0.25" r="1138" customHeight="1" ht="18.75">
      <c r="A1138" s="1" t="s">
        <v>3693</v>
      </c>
      <c r="B1138" s="1" t="s">
        <v>4323</v>
      </c>
      <c r="C1138" s="1" t="s">
        <v>3600</v>
      </c>
      <c r="D1138" s="1" t="s">
        <v>3601</v>
      </c>
      <c r="E1138" s="1"/>
      <c r="F1138" s="1" t="s">
        <v>6538</v>
      </c>
      <c r="G1138" s="1" t="s">
        <v>6539</v>
      </c>
      <c r="H1138" s="1" t="s">
        <v>3604</v>
      </c>
      <c r="I1138" s="1" t="s">
        <v>6540</v>
      </c>
      <c r="J1138" s="1" t="s">
        <v>3606</v>
      </c>
      <c r="K1138" s="1"/>
      <c r="L1138" s="1"/>
      <c r="M1138" s="1"/>
    </row>
    <row x14ac:dyDescent="0.25" r="1139" customHeight="1" ht="18.75">
      <c r="A1139" s="1" t="s">
        <v>3693</v>
      </c>
      <c r="B1139" s="1" t="s">
        <v>4323</v>
      </c>
      <c r="C1139" s="1" t="s">
        <v>3600</v>
      </c>
      <c r="D1139" s="1" t="s">
        <v>3601</v>
      </c>
      <c r="E1139" s="1"/>
      <c r="F1139" s="1" t="s">
        <v>6541</v>
      </c>
      <c r="G1139" s="1" t="s">
        <v>4434</v>
      </c>
      <c r="H1139" s="1" t="s">
        <v>3604</v>
      </c>
      <c r="I1139" s="1" t="s">
        <v>6542</v>
      </c>
      <c r="J1139" s="1" t="s">
        <v>3606</v>
      </c>
      <c r="K1139" s="1"/>
      <c r="L1139" s="1"/>
      <c r="M1139" s="1"/>
    </row>
    <row x14ac:dyDescent="0.25" r="1140" customHeight="1" ht="18.75">
      <c r="A1140" s="1" t="s">
        <v>3693</v>
      </c>
      <c r="B1140" s="1" t="s">
        <v>4083</v>
      </c>
      <c r="C1140" s="1" t="s">
        <v>3600</v>
      </c>
      <c r="D1140" s="1" t="s">
        <v>3601</v>
      </c>
      <c r="E1140" s="1" t="s">
        <v>3893</v>
      </c>
      <c r="F1140" s="1" t="s">
        <v>6543</v>
      </c>
      <c r="G1140" s="1" t="s">
        <v>4424</v>
      </c>
      <c r="H1140" s="1" t="s">
        <v>3604</v>
      </c>
      <c r="I1140" s="1" t="s">
        <v>6544</v>
      </c>
      <c r="J1140" s="1" t="s">
        <v>3615</v>
      </c>
      <c r="K1140" s="1"/>
      <c r="L1140" s="1"/>
      <c r="M1140" s="1"/>
    </row>
    <row x14ac:dyDescent="0.25" r="1141" customHeight="1" ht="18.75">
      <c r="A1141" s="1" t="s">
        <v>3693</v>
      </c>
      <c r="B1141" s="1" t="s">
        <v>4083</v>
      </c>
      <c r="C1141" s="1" t="s">
        <v>3600</v>
      </c>
      <c r="D1141" s="1" t="s">
        <v>3601</v>
      </c>
      <c r="E1141" s="1" t="s">
        <v>3893</v>
      </c>
      <c r="F1141" s="1" t="s">
        <v>6545</v>
      </c>
      <c r="G1141" s="1" t="s">
        <v>4428</v>
      </c>
      <c r="H1141" s="1" t="s">
        <v>3604</v>
      </c>
      <c r="I1141" s="1" t="s">
        <v>6546</v>
      </c>
      <c r="J1141" s="1" t="s">
        <v>3615</v>
      </c>
      <c r="K1141" s="1"/>
      <c r="L1141" s="1"/>
      <c r="M1141" s="1"/>
    </row>
    <row x14ac:dyDescent="0.25" r="1142" customHeight="1" ht="18.75">
      <c r="A1142" s="1" t="s">
        <v>3693</v>
      </c>
      <c r="B1142" s="1" t="s">
        <v>4083</v>
      </c>
      <c r="C1142" s="1" t="s">
        <v>3600</v>
      </c>
      <c r="D1142" s="1" t="s">
        <v>3601</v>
      </c>
      <c r="E1142" s="1" t="s">
        <v>3893</v>
      </c>
      <c r="F1142" s="1" t="s">
        <v>6547</v>
      </c>
      <c r="G1142" s="1" t="s">
        <v>4422</v>
      </c>
      <c r="H1142" s="1" t="s">
        <v>3604</v>
      </c>
      <c r="I1142" s="1" t="s">
        <v>6548</v>
      </c>
      <c r="J1142" s="1" t="s">
        <v>3615</v>
      </c>
      <c r="K1142" s="1"/>
      <c r="L1142" s="1"/>
      <c r="M1142" s="1"/>
    </row>
    <row x14ac:dyDescent="0.25" r="1143" customHeight="1" ht="18.75">
      <c r="A1143" s="1" t="s">
        <v>3693</v>
      </c>
      <c r="B1143" s="1" t="s">
        <v>4083</v>
      </c>
      <c r="C1143" s="1" t="s">
        <v>3600</v>
      </c>
      <c r="D1143" s="1" t="s">
        <v>3601</v>
      </c>
      <c r="E1143" s="1" t="s">
        <v>3893</v>
      </c>
      <c r="F1143" s="1" t="s">
        <v>6549</v>
      </c>
      <c r="G1143" s="1" t="s">
        <v>4346</v>
      </c>
      <c r="H1143" s="1" t="s">
        <v>3604</v>
      </c>
      <c r="I1143" s="1" t="s">
        <v>6550</v>
      </c>
      <c r="J1143" s="1" t="s">
        <v>3615</v>
      </c>
      <c r="K1143" s="1"/>
      <c r="L1143" s="1"/>
      <c r="M1143" s="1"/>
    </row>
    <row x14ac:dyDescent="0.25" r="1144" customHeight="1" ht="18.75">
      <c r="A1144" s="1" t="s">
        <v>3693</v>
      </c>
      <c r="B1144" s="1" t="s">
        <v>4247</v>
      </c>
      <c r="C1144" s="1" t="s">
        <v>3600</v>
      </c>
      <c r="D1144" s="1" t="s">
        <v>3601</v>
      </c>
      <c r="E1144" s="1" t="s">
        <v>3893</v>
      </c>
      <c r="F1144" s="1" t="s">
        <v>6530</v>
      </c>
      <c r="G1144" s="1" t="s">
        <v>4440</v>
      </c>
      <c r="H1144" s="1" t="s">
        <v>3604</v>
      </c>
      <c r="I1144" s="1" t="s">
        <v>6551</v>
      </c>
      <c r="J1144" s="1" t="s">
        <v>3615</v>
      </c>
      <c r="K1144" s="1"/>
      <c r="L1144" s="1"/>
      <c r="M1144" s="1"/>
    </row>
    <row x14ac:dyDescent="0.25" r="1145" customHeight="1" ht="18.75">
      <c r="A1145" s="1" t="s">
        <v>3693</v>
      </c>
      <c r="B1145" s="1" t="s">
        <v>4083</v>
      </c>
      <c r="C1145" s="1" t="s">
        <v>3600</v>
      </c>
      <c r="D1145" s="1" t="s">
        <v>3601</v>
      </c>
      <c r="E1145" s="1" t="s">
        <v>3893</v>
      </c>
      <c r="F1145" s="1" t="s">
        <v>6552</v>
      </c>
      <c r="G1145" s="1" t="s">
        <v>4344</v>
      </c>
      <c r="H1145" s="1" t="s">
        <v>3604</v>
      </c>
      <c r="I1145" s="1" t="s">
        <v>6553</v>
      </c>
      <c r="J1145" s="1" t="s">
        <v>3615</v>
      </c>
      <c r="K1145" s="1"/>
      <c r="L1145" s="1"/>
      <c r="M1145" s="1"/>
    </row>
    <row x14ac:dyDescent="0.25" r="1146" customHeight="1" ht="18.75">
      <c r="A1146" s="1" t="s">
        <v>3693</v>
      </c>
      <c r="B1146" s="1" t="s">
        <v>4247</v>
      </c>
      <c r="C1146" s="1" t="s">
        <v>3600</v>
      </c>
      <c r="D1146" s="1" t="s">
        <v>3601</v>
      </c>
      <c r="E1146" s="1" t="s">
        <v>3893</v>
      </c>
      <c r="F1146" s="1" t="s">
        <v>6532</v>
      </c>
      <c r="G1146" s="1" t="s">
        <v>4436</v>
      </c>
      <c r="H1146" s="1" t="s">
        <v>3604</v>
      </c>
      <c r="I1146" s="1" t="s">
        <v>6554</v>
      </c>
      <c r="J1146" s="1" t="s">
        <v>3615</v>
      </c>
      <c r="K1146" s="1"/>
      <c r="L1146" s="1"/>
      <c r="M1146" s="1"/>
    </row>
    <row x14ac:dyDescent="0.25" r="1147" customHeight="1" ht="18.75">
      <c r="A1147" s="1" t="s">
        <v>3693</v>
      </c>
      <c r="B1147" s="1" t="s">
        <v>6555</v>
      </c>
      <c r="C1147" s="1" t="s">
        <v>3600</v>
      </c>
      <c r="D1147" s="1" t="s">
        <v>3601</v>
      </c>
      <c r="E1147" s="1"/>
      <c r="F1147" s="1" t="s">
        <v>6556</v>
      </c>
      <c r="G1147" s="1" t="s">
        <v>6557</v>
      </c>
      <c r="H1147" s="1" t="s">
        <v>3604</v>
      </c>
      <c r="I1147" s="1" t="s">
        <v>6558</v>
      </c>
      <c r="J1147" s="1" t="s">
        <v>3606</v>
      </c>
      <c r="K1147" s="1"/>
      <c r="L1147" s="1"/>
      <c r="M1147" s="1"/>
    </row>
    <row x14ac:dyDescent="0.25" r="1148" customHeight="1" ht="18.75">
      <c r="A1148" s="1" t="s">
        <v>3693</v>
      </c>
      <c r="B1148" s="1" t="s">
        <v>6555</v>
      </c>
      <c r="C1148" s="1" t="s">
        <v>3600</v>
      </c>
      <c r="D1148" s="1" t="s">
        <v>3601</v>
      </c>
      <c r="E1148" s="1"/>
      <c r="F1148" s="1" t="s">
        <v>6559</v>
      </c>
      <c r="G1148" s="1" t="s">
        <v>6557</v>
      </c>
      <c r="H1148" s="1" t="s">
        <v>3604</v>
      </c>
      <c r="I1148" s="1" t="s">
        <v>6560</v>
      </c>
      <c r="J1148" s="1" t="s">
        <v>3606</v>
      </c>
      <c r="K1148" s="1"/>
      <c r="L1148" s="1"/>
      <c r="M1148" s="1"/>
    </row>
    <row x14ac:dyDescent="0.25" r="1149" customHeight="1" ht="18.75">
      <c r="A1149" s="1" t="s">
        <v>3693</v>
      </c>
      <c r="B1149" s="1" t="s">
        <v>4148</v>
      </c>
      <c r="C1149" s="1" t="s">
        <v>3600</v>
      </c>
      <c r="D1149" s="1" t="s">
        <v>3601</v>
      </c>
      <c r="E1149" s="1" t="s">
        <v>3611</v>
      </c>
      <c r="F1149" s="1" t="s">
        <v>6561</v>
      </c>
      <c r="G1149" s="1" t="s">
        <v>4150</v>
      </c>
      <c r="H1149" s="1" t="s">
        <v>3604</v>
      </c>
      <c r="I1149" s="1" t="s">
        <v>6562</v>
      </c>
      <c r="J1149" s="1" t="s">
        <v>3615</v>
      </c>
      <c r="K1149" s="1"/>
      <c r="L1149" s="1"/>
      <c r="M1149" s="1"/>
    </row>
    <row x14ac:dyDescent="0.25" r="1150" customHeight="1" ht="18.75">
      <c r="A1150" s="1" t="s">
        <v>3693</v>
      </c>
      <c r="B1150" s="1" t="s">
        <v>6563</v>
      </c>
      <c r="C1150" s="1" t="s">
        <v>3600</v>
      </c>
      <c r="D1150" s="1" t="s">
        <v>3601</v>
      </c>
      <c r="E1150" s="1"/>
      <c r="F1150" s="1" t="s">
        <v>6564</v>
      </c>
      <c r="G1150" s="1" t="s">
        <v>6565</v>
      </c>
      <c r="H1150" s="1" t="s">
        <v>3604</v>
      </c>
      <c r="I1150" s="1" t="s">
        <v>6566</v>
      </c>
      <c r="J1150" s="1" t="s">
        <v>3606</v>
      </c>
      <c r="K1150" s="1"/>
      <c r="L1150" s="1"/>
      <c r="M1150" s="1"/>
    </row>
    <row x14ac:dyDescent="0.25" r="1151" customHeight="1" ht="18.75">
      <c r="A1151" s="1" t="s">
        <v>3693</v>
      </c>
      <c r="B1151" s="1" t="s">
        <v>4332</v>
      </c>
      <c r="C1151" s="1" t="s">
        <v>3600</v>
      </c>
      <c r="D1151" s="1" t="s">
        <v>3601</v>
      </c>
      <c r="E1151" s="1"/>
      <c r="F1151" s="1" t="s">
        <v>6567</v>
      </c>
      <c r="G1151" s="1" t="s">
        <v>5617</v>
      </c>
      <c r="H1151" s="1" t="s">
        <v>3604</v>
      </c>
      <c r="I1151" s="1" t="s">
        <v>6568</v>
      </c>
      <c r="J1151" s="1" t="s">
        <v>3615</v>
      </c>
      <c r="K1151" s="1"/>
      <c r="L1151" s="1"/>
      <c r="M1151" s="1"/>
    </row>
    <row x14ac:dyDescent="0.25" r="1152" customHeight="1" ht="18.75">
      <c r="A1152" s="1" t="s">
        <v>3693</v>
      </c>
      <c r="B1152" s="1" t="s">
        <v>6563</v>
      </c>
      <c r="C1152" s="1" t="s">
        <v>3600</v>
      </c>
      <c r="D1152" s="1" t="s">
        <v>3601</v>
      </c>
      <c r="E1152" s="1" t="s">
        <v>3664</v>
      </c>
      <c r="F1152" s="1" t="s">
        <v>6569</v>
      </c>
      <c r="G1152" s="1" t="s">
        <v>6570</v>
      </c>
      <c r="H1152" s="1" t="s">
        <v>3604</v>
      </c>
      <c r="I1152" s="1" t="s">
        <v>6571</v>
      </c>
      <c r="J1152" s="1" t="s">
        <v>3615</v>
      </c>
      <c r="K1152" s="1"/>
      <c r="L1152" s="1"/>
      <c r="M1152" s="1"/>
    </row>
    <row x14ac:dyDescent="0.25" r="1153" customHeight="1" ht="18.75">
      <c r="A1153" s="1" t="s">
        <v>3693</v>
      </c>
      <c r="B1153" s="1" t="s">
        <v>6563</v>
      </c>
      <c r="C1153" s="1" t="s">
        <v>3600</v>
      </c>
      <c r="D1153" s="1" t="s">
        <v>3601</v>
      </c>
      <c r="E1153" s="1" t="s">
        <v>3664</v>
      </c>
      <c r="F1153" s="1" t="s">
        <v>6569</v>
      </c>
      <c r="G1153" s="1" t="s">
        <v>6572</v>
      </c>
      <c r="H1153" s="1" t="s">
        <v>3604</v>
      </c>
      <c r="I1153" s="1" t="s">
        <v>6573</v>
      </c>
      <c r="J1153" s="1" t="s">
        <v>3615</v>
      </c>
      <c r="K1153" s="1"/>
      <c r="L1153" s="1"/>
      <c r="M1153" s="1"/>
    </row>
    <row x14ac:dyDescent="0.25" r="1154" customHeight="1" ht="18.75">
      <c r="A1154" s="1" t="s">
        <v>3693</v>
      </c>
      <c r="B1154" s="1" t="s">
        <v>6563</v>
      </c>
      <c r="C1154" s="1" t="s">
        <v>3600</v>
      </c>
      <c r="D1154" s="1" t="s">
        <v>3601</v>
      </c>
      <c r="E1154" s="1" t="s">
        <v>3664</v>
      </c>
      <c r="F1154" s="1" t="s">
        <v>6574</v>
      </c>
      <c r="G1154" s="1" t="s">
        <v>6575</v>
      </c>
      <c r="H1154" s="1" t="s">
        <v>3604</v>
      </c>
      <c r="I1154" s="1" t="s">
        <v>6576</v>
      </c>
      <c r="J1154" s="1" t="s">
        <v>3615</v>
      </c>
      <c r="K1154" s="1"/>
      <c r="L1154" s="1"/>
      <c r="M1154" s="1"/>
    </row>
    <row x14ac:dyDescent="0.25" r="1155" customHeight="1" ht="18.75">
      <c r="A1155" s="1" t="s">
        <v>3693</v>
      </c>
      <c r="B1155" s="1" t="s">
        <v>4148</v>
      </c>
      <c r="C1155" s="1" t="s">
        <v>3600</v>
      </c>
      <c r="D1155" s="1" t="s">
        <v>3601</v>
      </c>
      <c r="E1155" s="1" t="s">
        <v>3664</v>
      </c>
      <c r="F1155" s="1" t="s">
        <v>6577</v>
      </c>
      <c r="G1155" s="1" t="s">
        <v>4150</v>
      </c>
      <c r="H1155" s="1" t="s">
        <v>3604</v>
      </c>
      <c r="I1155" s="1" t="s">
        <v>6578</v>
      </c>
      <c r="J1155" s="1" t="s">
        <v>3615</v>
      </c>
      <c r="K1155" s="1"/>
      <c r="L1155" s="1"/>
      <c r="M1155" s="1"/>
    </row>
    <row x14ac:dyDescent="0.25" r="1156" customHeight="1" ht="18.75">
      <c r="A1156" s="1" t="s">
        <v>3693</v>
      </c>
      <c r="B1156" s="1" t="s">
        <v>4148</v>
      </c>
      <c r="C1156" s="1" t="s">
        <v>3600</v>
      </c>
      <c r="D1156" s="1" t="s">
        <v>3601</v>
      </c>
      <c r="E1156" s="1"/>
      <c r="F1156" s="1" t="s">
        <v>6579</v>
      </c>
      <c r="G1156" s="1" t="s">
        <v>4150</v>
      </c>
      <c r="H1156" s="1" t="s">
        <v>3604</v>
      </c>
      <c r="I1156" s="1" t="s">
        <v>6580</v>
      </c>
      <c r="J1156" s="1" t="s">
        <v>3606</v>
      </c>
      <c r="K1156" s="1"/>
      <c r="L1156" s="1"/>
      <c r="M1156" s="1"/>
    </row>
    <row x14ac:dyDescent="0.25" r="1157" customHeight="1" ht="18.75">
      <c r="A1157" s="1" t="s">
        <v>3693</v>
      </c>
      <c r="B1157" s="1" t="s">
        <v>4148</v>
      </c>
      <c r="C1157" s="1" t="s">
        <v>3600</v>
      </c>
      <c r="D1157" s="1" t="s">
        <v>3601</v>
      </c>
      <c r="E1157" s="1" t="s">
        <v>3664</v>
      </c>
      <c r="F1157" s="1" t="s">
        <v>6581</v>
      </c>
      <c r="G1157" s="1" t="s">
        <v>6582</v>
      </c>
      <c r="H1157" s="1" t="s">
        <v>3604</v>
      </c>
      <c r="I1157" s="1" t="s">
        <v>6583</v>
      </c>
      <c r="J1157" s="1" t="s">
        <v>3615</v>
      </c>
      <c r="K1157" s="1"/>
      <c r="L1157" s="1"/>
      <c r="M1157" s="1"/>
    </row>
    <row x14ac:dyDescent="0.25" r="1158" customHeight="1" ht="18.75">
      <c r="A1158" s="1" t="s">
        <v>3693</v>
      </c>
      <c r="B1158" s="1" t="s">
        <v>6584</v>
      </c>
      <c r="C1158" s="1" t="s">
        <v>3600</v>
      </c>
      <c r="D1158" s="1" t="s">
        <v>3601</v>
      </c>
      <c r="E1158" s="1"/>
      <c r="F1158" s="1" t="s">
        <v>6585</v>
      </c>
      <c r="G1158" s="1" t="s">
        <v>6570</v>
      </c>
      <c r="H1158" s="1" t="s">
        <v>3604</v>
      </c>
      <c r="I1158" s="1" t="s">
        <v>6586</v>
      </c>
      <c r="J1158" s="1" t="s">
        <v>3615</v>
      </c>
      <c r="K1158" s="1"/>
      <c r="L1158" s="1"/>
      <c r="M1158" s="1"/>
    </row>
    <row x14ac:dyDescent="0.25" r="1159" customHeight="1" ht="18.75">
      <c r="A1159" s="1" t="s">
        <v>3693</v>
      </c>
      <c r="B1159" s="1" t="s">
        <v>6584</v>
      </c>
      <c r="C1159" s="1" t="s">
        <v>3600</v>
      </c>
      <c r="D1159" s="1" t="s">
        <v>3601</v>
      </c>
      <c r="E1159" s="1"/>
      <c r="F1159" s="1" t="s">
        <v>6587</v>
      </c>
      <c r="G1159" s="1" t="s">
        <v>6572</v>
      </c>
      <c r="H1159" s="1" t="s">
        <v>3604</v>
      </c>
      <c r="I1159" s="1" t="s">
        <v>6588</v>
      </c>
      <c r="J1159" s="1" t="s">
        <v>3615</v>
      </c>
      <c r="K1159" s="1"/>
      <c r="L1159" s="1"/>
      <c r="M1159" s="1"/>
    </row>
    <row x14ac:dyDescent="0.25" r="1160" customHeight="1" ht="18.75">
      <c r="A1160" s="1" t="s">
        <v>3693</v>
      </c>
      <c r="B1160" s="1" t="s">
        <v>6584</v>
      </c>
      <c r="C1160" s="1" t="s">
        <v>3600</v>
      </c>
      <c r="D1160" s="1" t="s">
        <v>3601</v>
      </c>
      <c r="E1160" s="1"/>
      <c r="F1160" s="1" t="s">
        <v>6574</v>
      </c>
      <c r="G1160" s="1" t="s">
        <v>6575</v>
      </c>
      <c r="H1160" s="1" t="s">
        <v>3604</v>
      </c>
      <c r="I1160" s="1" t="s">
        <v>6589</v>
      </c>
      <c r="J1160" s="1" t="s">
        <v>3615</v>
      </c>
      <c r="K1160" s="1"/>
      <c r="L1160" s="1"/>
      <c r="M1160" s="1"/>
    </row>
    <row x14ac:dyDescent="0.25" r="1161" customHeight="1" ht="18.75">
      <c r="A1161" s="1" t="s">
        <v>3693</v>
      </c>
      <c r="B1161" s="1" t="s">
        <v>4148</v>
      </c>
      <c r="C1161" s="1" t="s">
        <v>3600</v>
      </c>
      <c r="D1161" s="1" t="s">
        <v>3601</v>
      </c>
      <c r="E1161" s="1" t="s">
        <v>3664</v>
      </c>
      <c r="F1161" s="1" t="s">
        <v>6590</v>
      </c>
      <c r="G1161" s="1" t="s">
        <v>4150</v>
      </c>
      <c r="H1161" s="1" t="s">
        <v>3604</v>
      </c>
      <c r="I1161" s="1" t="s">
        <v>6591</v>
      </c>
      <c r="J1161" s="1" t="s">
        <v>3615</v>
      </c>
      <c r="K1161" s="1"/>
      <c r="L1161" s="1"/>
      <c r="M1161" s="1"/>
    </row>
    <row x14ac:dyDescent="0.25" r="1162" customHeight="1" ht="18.75">
      <c r="A1162" s="1" t="s">
        <v>3693</v>
      </c>
      <c r="B1162" s="1" t="s">
        <v>4192</v>
      </c>
      <c r="C1162" s="1" t="s">
        <v>3600</v>
      </c>
      <c r="D1162" s="1" t="s">
        <v>3601</v>
      </c>
      <c r="E1162" s="1" t="s">
        <v>3893</v>
      </c>
      <c r="F1162" s="1" t="s">
        <v>6592</v>
      </c>
      <c r="G1162" s="1" t="s">
        <v>4194</v>
      </c>
      <c r="H1162" s="1" t="s">
        <v>3604</v>
      </c>
      <c r="I1162" s="1" t="s">
        <v>6593</v>
      </c>
      <c r="J1162" s="1" t="s">
        <v>3615</v>
      </c>
      <c r="K1162" s="1"/>
      <c r="L1162" s="1"/>
      <c r="M1162" s="1"/>
    </row>
    <row x14ac:dyDescent="0.25" r="1163" customHeight="1" ht="18.75">
      <c r="A1163" s="1" t="s">
        <v>3693</v>
      </c>
      <c r="B1163" s="1" t="s">
        <v>4332</v>
      </c>
      <c r="C1163" s="1" t="s">
        <v>3600</v>
      </c>
      <c r="D1163" s="1" t="s">
        <v>3601</v>
      </c>
      <c r="E1163" s="1" t="s">
        <v>3893</v>
      </c>
      <c r="F1163" s="1" t="s">
        <v>6594</v>
      </c>
      <c r="G1163" s="1" t="s">
        <v>5617</v>
      </c>
      <c r="H1163" s="1" t="s">
        <v>3604</v>
      </c>
      <c r="I1163" s="1" t="s">
        <v>6595</v>
      </c>
      <c r="J1163" s="1" t="s">
        <v>3606</v>
      </c>
      <c r="K1163" s="1"/>
      <c r="L1163" s="1"/>
      <c r="M1163" s="1"/>
    </row>
    <row x14ac:dyDescent="0.25" r="1164" customHeight="1" ht="18.75">
      <c r="A1164" s="1" t="s">
        <v>3693</v>
      </c>
      <c r="B1164" s="1" t="s">
        <v>4192</v>
      </c>
      <c r="C1164" s="1" t="s">
        <v>3600</v>
      </c>
      <c r="D1164" s="1" t="s">
        <v>3601</v>
      </c>
      <c r="E1164" s="1" t="s">
        <v>3664</v>
      </c>
      <c r="F1164" s="1" t="s">
        <v>6596</v>
      </c>
      <c r="G1164" s="1" t="s">
        <v>6597</v>
      </c>
      <c r="H1164" s="1" t="s">
        <v>3604</v>
      </c>
      <c r="I1164" s="1" t="s">
        <v>6598</v>
      </c>
      <c r="J1164" s="1" t="s">
        <v>3606</v>
      </c>
      <c r="K1164" s="1"/>
      <c r="L1164" s="1"/>
      <c r="M1164" s="1"/>
    </row>
    <row x14ac:dyDescent="0.25" r="1165" customHeight="1" ht="18.75">
      <c r="A1165" s="1" t="s">
        <v>3693</v>
      </c>
      <c r="B1165" s="1" t="s">
        <v>4192</v>
      </c>
      <c r="C1165" s="1" t="s">
        <v>3600</v>
      </c>
      <c r="D1165" s="1" t="s">
        <v>3601</v>
      </c>
      <c r="E1165" s="1" t="s">
        <v>3893</v>
      </c>
      <c r="F1165" s="1" t="s">
        <v>6599</v>
      </c>
      <c r="G1165" s="1" t="s">
        <v>4428</v>
      </c>
      <c r="H1165" s="1" t="s">
        <v>3604</v>
      </c>
      <c r="I1165" s="1" t="s">
        <v>6600</v>
      </c>
      <c r="J1165" s="1" t="s">
        <v>3606</v>
      </c>
      <c r="K1165" s="1"/>
      <c r="L1165" s="1"/>
      <c r="M1165" s="1"/>
    </row>
    <row x14ac:dyDescent="0.25" r="1166" customHeight="1" ht="18.75">
      <c r="A1166" s="1" t="s">
        <v>3693</v>
      </c>
      <c r="B1166" s="1" t="s">
        <v>6601</v>
      </c>
      <c r="C1166" s="1" t="s">
        <v>3600</v>
      </c>
      <c r="D1166" s="1" t="s">
        <v>3601</v>
      </c>
      <c r="E1166" s="1"/>
      <c r="F1166" s="1" t="s">
        <v>6602</v>
      </c>
      <c r="G1166" s="1" t="s">
        <v>6603</v>
      </c>
      <c r="H1166" s="1" t="s">
        <v>3604</v>
      </c>
      <c r="I1166" s="1" t="s">
        <v>6604</v>
      </c>
      <c r="J1166" s="1" t="s">
        <v>3615</v>
      </c>
      <c r="K1166" s="1"/>
      <c r="L1166" s="1"/>
      <c r="M1166" s="1"/>
    </row>
    <row x14ac:dyDescent="0.25" r="1167" customHeight="1" ht="18.75">
      <c r="A1167" s="1" t="s">
        <v>3693</v>
      </c>
      <c r="B1167" s="1" t="s">
        <v>4267</v>
      </c>
      <c r="C1167" s="1" t="s">
        <v>3600</v>
      </c>
      <c r="D1167" s="1" t="s">
        <v>3601</v>
      </c>
      <c r="E1167" s="1" t="s">
        <v>3664</v>
      </c>
      <c r="F1167" s="1" t="s">
        <v>6605</v>
      </c>
      <c r="G1167" s="1" t="s">
        <v>5279</v>
      </c>
      <c r="H1167" s="1" t="s">
        <v>3604</v>
      </c>
      <c r="I1167" s="1" t="s">
        <v>6606</v>
      </c>
      <c r="J1167" s="1" t="s">
        <v>3606</v>
      </c>
      <c r="K1167" s="1"/>
      <c r="L1167" s="1"/>
      <c r="M1167" s="1"/>
    </row>
    <row x14ac:dyDescent="0.25" r="1168" customHeight="1" ht="18.75">
      <c r="A1168" s="1" t="s">
        <v>3693</v>
      </c>
      <c r="B1168" s="1" t="s">
        <v>4332</v>
      </c>
      <c r="C1168" s="1" t="s">
        <v>3600</v>
      </c>
      <c r="D1168" s="1" t="s">
        <v>3601</v>
      </c>
      <c r="E1168" s="1" t="s">
        <v>3893</v>
      </c>
      <c r="F1168" s="1" t="s">
        <v>6607</v>
      </c>
      <c r="G1168" s="1" t="s">
        <v>5617</v>
      </c>
      <c r="H1168" s="1" t="s">
        <v>3604</v>
      </c>
      <c r="I1168" s="1" t="s">
        <v>6608</v>
      </c>
      <c r="J1168" s="1" t="s">
        <v>3615</v>
      </c>
      <c r="K1168" s="1"/>
      <c r="L1168" s="1"/>
      <c r="M1168" s="1"/>
    </row>
    <row x14ac:dyDescent="0.25" r="1169" customHeight="1" ht="18.75">
      <c r="A1169" s="1" t="s">
        <v>3693</v>
      </c>
      <c r="B1169" s="1" t="s">
        <v>4332</v>
      </c>
      <c r="C1169" s="1" t="s">
        <v>3600</v>
      </c>
      <c r="D1169" s="1" t="s">
        <v>3601</v>
      </c>
      <c r="E1169" s="1" t="s">
        <v>3893</v>
      </c>
      <c r="F1169" s="1" t="s">
        <v>6609</v>
      </c>
      <c r="G1169" s="1" t="s">
        <v>6610</v>
      </c>
      <c r="H1169" s="1" t="s">
        <v>3604</v>
      </c>
      <c r="I1169" s="1" t="s">
        <v>6611</v>
      </c>
      <c r="J1169" s="1" t="s">
        <v>3606</v>
      </c>
      <c r="K1169" s="1"/>
      <c r="L1169" s="1"/>
      <c r="M1169" s="1"/>
    </row>
    <row x14ac:dyDescent="0.25" r="1170" customHeight="1" ht="18.75">
      <c r="A1170" s="1" t="s">
        <v>3693</v>
      </c>
      <c r="B1170" s="1" t="s">
        <v>4332</v>
      </c>
      <c r="C1170" s="1" t="s">
        <v>3600</v>
      </c>
      <c r="D1170" s="1" t="s">
        <v>3601</v>
      </c>
      <c r="E1170" s="1" t="s">
        <v>3893</v>
      </c>
      <c r="F1170" s="1" t="s">
        <v>6612</v>
      </c>
      <c r="G1170" s="1" t="s">
        <v>5609</v>
      </c>
      <c r="H1170" s="1" t="s">
        <v>3604</v>
      </c>
      <c r="I1170" s="1" t="s">
        <v>6613</v>
      </c>
      <c r="J1170" s="1" t="s">
        <v>3615</v>
      </c>
      <c r="K1170" s="1"/>
      <c r="L1170" s="1"/>
      <c r="M1170" s="1"/>
    </row>
    <row x14ac:dyDescent="0.25" r="1171" customHeight="1" ht="18.75">
      <c r="A1171" s="1" t="s">
        <v>3693</v>
      </c>
      <c r="B1171" s="1" t="s">
        <v>4332</v>
      </c>
      <c r="C1171" s="1" t="s">
        <v>3600</v>
      </c>
      <c r="D1171" s="1" t="s">
        <v>3601</v>
      </c>
      <c r="E1171" s="1" t="s">
        <v>3893</v>
      </c>
      <c r="F1171" s="1" t="s">
        <v>6614</v>
      </c>
      <c r="G1171" s="1" t="s">
        <v>5609</v>
      </c>
      <c r="H1171" s="1" t="s">
        <v>3604</v>
      </c>
      <c r="I1171" s="1" t="s">
        <v>6615</v>
      </c>
      <c r="J1171" s="1" t="s">
        <v>3606</v>
      </c>
      <c r="K1171" s="1"/>
      <c r="L1171" s="1"/>
      <c r="M1171" s="1"/>
    </row>
    <row x14ac:dyDescent="0.25" r="1172" customHeight="1" ht="18.75">
      <c r="A1172" s="1" t="s">
        <v>3693</v>
      </c>
      <c r="B1172" s="1" t="s">
        <v>4332</v>
      </c>
      <c r="C1172" s="1" t="s">
        <v>3600</v>
      </c>
      <c r="D1172" s="1" t="s">
        <v>3601</v>
      </c>
      <c r="E1172" s="1" t="s">
        <v>3893</v>
      </c>
      <c r="F1172" s="1" t="s">
        <v>6616</v>
      </c>
      <c r="G1172" s="1" t="s">
        <v>4342</v>
      </c>
      <c r="H1172" s="1" t="s">
        <v>3604</v>
      </c>
      <c r="I1172" s="1" t="s">
        <v>6617</v>
      </c>
      <c r="J1172" s="1" t="s">
        <v>3606</v>
      </c>
      <c r="K1172" s="1"/>
      <c r="L1172" s="1"/>
      <c r="M1172" s="1"/>
    </row>
    <row x14ac:dyDescent="0.25" r="1173" customHeight="1" ht="18.75">
      <c r="A1173" s="1" t="s">
        <v>3693</v>
      </c>
      <c r="B1173" s="1" t="s">
        <v>5598</v>
      </c>
      <c r="C1173" s="1" t="s">
        <v>3600</v>
      </c>
      <c r="D1173" s="1" t="s">
        <v>3601</v>
      </c>
      <c r="E1173" s="1" t="s">
        <v>3664</v>
      </c>
      <c r="F1173" s="1" t="s">
        <v>6618</v>
      </c>
      <c r="G1173" s="1" t="s">
        <v>5600</v>
      </c>
      <c r="H1173" s="1" t="s">
        <v>3604</v>
      </c>
      <c r="I1173" s="1" t="s">
        <v>6619</v>
      </c>
      <c r="J1173" s="1" t="s">
        <v>3615</v>
      </c>
      <c r="K1173" s="1"/>
      <c r="L1173" s="1"/>
      <c r="M1173" s="1"/>
    </row>
    <row x14ac:dyDescent="0.25" r="1174" customHeight="1" ht="18.75">
      <c r="A1174" s="1" t="s">
        <v>3693</v>
      </c>
      <c r="B1174" s="1" t="s">
        <v>5594</v>
      </c>
      <c r="C1174" s="1" t="s">
        <v>3600</v>
      </c>
      <c r="D1174" s="1" t="s">
        <v>3601</v>
      </c>
      <c r="E1174" s="1" t="s">
        <v>3893</v>
      </c>
      <c r="F1174" s="1" t="s">
        <v>6620</v>
      </c>
      <c r="G1174" s="1" t="s">
        <v>5596</v>
      </c>
      <c r="H1174" s="1" t="s">
        <v>3604</v>
      </c>
      <c r="I1174" s="1" t="s">
        <v>6621</v>
      </c>
      <c r="J1174" s="1" t="s">
        <v>3615</v>
      </c>
      <c r="K1174" s="1"/>
      <c r="L1174" s="1"/>
      <c r="M1174" s="1"/>
    </row>
    <row x14ac:dyDescent="0.25" r="1175" customHeight="1" ht="18.75">
      <c r="A1175" s="1" t="s">
        <v>3693</v>
      </c>
      <c r="B1175" s="1" t="s">
        <v>5594</v>
      </c>
      <c r="C1175" s="1" t="s">
        <v>3600</v>
      </c>
      <c r="D1175" s="1" t="s">
        <v>3601</v>
      </c>
      <c r="E1175" s="1" t="s">
        <v>3893</v>
      </c>
      <c r="F1175" s="1" t="s">
        <v>6622</v>
      </c>
      <c r="G1175" s="1" t="s">
        <v>5596</v>
      </c>
      <c r="H1175" s="1" t="s">
        <v>3604</v>
      </c>
      <c r="I1175" s="1" t="s">
        <v>6623</v>
      </c>
      <c r="J1175" s="1" t="s">
        <v>3615</v>
      </c>
      <c r="K1175" s="1"/>
      <c r="L1175" s="1"/>
      <c r="M1175" s="1"/>
    </row>
    <row x14ac:dyDescent="0.25" r="1176" customHeight="1" ht="18.75">
      <c r="A1176" s="1" t="s">
        <v>3693</v>
      </c>
      <c r="B1176" s="1" t="s">
        <v>5598</v>
      </c>
      <c r="C1176" s="1" t="s">
        <v>3600</v>
      </c>
      <c r="D1176" s="1" t="s">
        <v>3601</v>
      </c>
      <c r="E1176" s="1" t="s">
        <v>3664</v>
      </c>
      <c r="F1176" s="1" t="s">
        <v>6624</v>
      </c>
      <c r="G1176" s="1" t="s">
        <v>5600</v>
      </c>
      <c r="H1176" s="1" t="s">
        <v>3604</v>
      </c>
      <c r="I1176" s="1" t="s">
        <v>6625</v>
      </c>
      <c r="J1176" s="1" t="s">
        <v>3615</v>
      </c>
      <c r="K1176" s="1"/>
      <c r="L1176" s="1"/>
      <c r="M1176" s="1"/>
    </row>
    <row x14ac:dyDescent="0.25" r="1177" customHeight="1" ht="18.75">
      <c r="A1177" s="1" t="s">
        <v>3693</v>
      </c>
      <c r="B1177" s="1" t="s">
        <v>5611</v>
      </c>
      <c r="C1177" s="1" t="s">
        <v>3600</v>
      </c>
      <c r="D1177" s="1" t="s">
        <v>3601</v>
      </c>
      <c r="E1177" s="1"/>
      <c r="F1177" s="1" t="s">
        <v>6626</v>
      </c>
      <c r="G1177" s="1" t="s">
        <v>6627</v>
      </c>
      <c r="H1177" s="1" t="s">
        <v>3604</v>
      </c>
      <c r="I1177" s="1" t="s">
        <v>6628</v>
      </c>
      <c r="J1177" s="1" t="s">
        <v>3615</v>
      </c>
      <c r="K1177" s="1"/>
      <c r="L1177" s="1"/>
      <c r="M1177" s="1"/>
    </row>
    <row x14ac:dyDescent="0.25" r="1178" customHeight="1" ht="18.75">
      <c r="A1178" s="1" t="s">
        <v>3693</v>
      </c>
      <c r="B1178" s="1" t="s">
        <v>6629</v>
      </c>
      <c r="C1178" s="1" t="s">
        <v>3619</v>
      </c>
      <c r="D1178" s="1" t="s">
        <v>3601</v>
      </c>
      <c r="E1178" s="1" t="s">
        <v>3893</v>
      </c>
      <c r="F1178" s="1" t="s">
        <v>6630</v>
      </c>
      <c r="G1178" s="1" t="s">
        <v>6631</v>
      </c>
      <c r="H1178" s="1" t="s">
        <v>3604</v>
      </c>
      <c r="I1178" s="1" t="s">
        <v>6632</v>
      </c>
      <c r="J1178" s="1" t="s">
        <v>3606</v>
      </c>
      <c r="K1178" s="1"/>
      <c r="L1178" s="1"/>
      <c r="M1178" s="1"/>
    </row>
    <row x14ac:dyDescent="0.25" r="1179" customHeight="1" ht="18.75">
      <c r="A1179" s="1" t="s">
        <v>3693</v>
      </c>
      <c r="B1179" s="1" t="s">
        <v>4148</v>
      </c>
      <c r="C1179" s="1" t="s">
        <v>3600</v>
      </c>
      <c r="D1179" s="1" t="s">
        <v>3601</v>
      </c>
      <c r="E1179" s="1" t="s">
        <v>3664</v>
      </c>
      <c r="F1179" s="1" t="s">
        <v>6633</v>
      </c>
      <c r="G1179" s="1" t="s">
        <v>4150</v>
      </c>
      <c r="H1179" s="1" t="s">
        <v>3604</v>
      </c>
      <c r="I1179" s="1" t="s">
        <v>6634</v>
      </c>
      <c r="J1179" s="1" t="s">
        <v>3615</v>
      </c>
      <c r="K1179" s="1"/>
      <c r="L1179" s="1"/>
      <c r="M1179" s="1"/>
    </row>
    <row x14ac:dyDescent="0.25" r="1180" customHeight="1" ht="18.75">
      <c r="A1180" s="1" t="s">
        <v>3693</v>
      </c>
      <c r="B1180" s="1" t="s">
        <v>6629</v>
      </c>
      <c r="C1180" s="1" t="s">
        <v>3619</v>
      </c>
      <c r="D1180" s="1" t="s">
        <v>3601</v>
      </c>
      <c r="E1180" s="1" t="s">
        <v>3893</v>
      </c>
      <c r="F1180" s="1" t="s">
        <v>6635</v>
      </c>
      <c r="G1180" s="1" t="s">
        <v>6631</v>
      </c>
      <c r="H1180" s="1" t="s">
        <v>3604</v>
      </c>
      <c r="I1180" s="1" t="s">
        <v>6636</v>
      </c>
      <c r="J1180" s="1" t="s">
        <v>3606</v>
      </c>
      <c r="K1180" s="1"/>
      <c r="L1180" s="1"/>
      <c r="M1180" s="1"/>
    </row>
    <row x14ac:dyDescent="0.25" r="1181" customHeight="1" ht="18.75">
      <c r="A1181" s="1" t="s">
        <v>3693</v>
      </c>
      <c r="B1181" s="1" t="s">
        <v>6637</v>
      </c>
      <c r="C1181" s="1" t="s">
        <v>3619</v>
      </c>
      <c r="D1181" s="1" t="s">
        <v>3601</v>
      </c>
      <c r="E1181" s="1" t="s">
        <v>3893</v>
      </c>
      <c r="F1181" s="1" t="s">
        <v>6638</v>
      </c>
      <c r="G1181" s="1" t="s">
        <v>6639</v>
      </c>
      <c r="H1181" s="1" t="s">
        <v>3604</v>
      </c>
      <c r="I1181" s="1" t="s">
        <v>6640</v>
      </c>
      <c r="J1181" s="1" t="s">
        <v>3606</v>
      </c>
      <c r="K1181" s="1"/>
      <c r="L1181" s="1"/>
      <c r="M1181" s="1"/>
    </row>
    <row x14ac:dyDescent="0.25" r="1182" customHeight="1" ht="18.75">
      <c r="A1182" s="1" t="s">
        <v>3693</v>
      </c>
      <c r="B1182" s="1" t="s">
        <v>6641</v>
      </c>
      <c r="C1182" s="1" t="s">
        <v>3600</v>
      </c>
      <c r="D1182" s="1" t="s">
        <v>3601</v>
      </c>
      <c r="E1182" s="1" t="s">
        <v>3664</v>
      </c>
      <c r="F1182" s="1" t="s">
        <v>6642</v>
      </c>
      <c r="G1182" s="1" t="s">
        <v>6643</v>
      </c>
      <c r="H1182" s="1" t="s">
        <v>3604</v>
      </c>
      <c r="I1182" s="1" t="s">
        <v>6644</v>
      </c>
      <c r="J1182" s="1" t="s">
        <v>3615</v>
      </c>
      <c r="K1182" s="1"/>
      <c r="L1182" s="1"/>
      <c r="M1182" s="1"/>
    </row>
    <row x14ac:dyDescent="0.25" r="1183" customHeight="1" ht="18.75">
      <c r="A1183" s="1" t="s">
        <v>3693</v>
      </c>
      <c r="B1183" s="1" t="s">
        <v>6637</v>
      </c>
      <c r="C1183" s="1" t="s">
        <v>3619</v>
      </c>
      <c r="D1183" s="1" t="s">
        <v>3601</v>
      </c>
      <c r="E1183" s="1" t="s">
        <v>3893</v>
      </c>
      <c r="F1183" s="1" t="s">
        <v>6645</v>
      </c>
      <c r="G1183" s="1" t="s">
        <v>6639</v>
      </c>
      <c r="H1183" s="1" t="s">
        <v>3604</v>
      </c>
      <c r="I1183" s="1" t="s">
        <v>6646</v>
      </c>
      <c r="J1183" s="1" t="s">
        <v>3606</v>
      </c>
      <c r="K1183" s="1"/>
      <c r="L1183" s="1"/>
      <c r="M1183" s="1"/>
    </row>
    <row x14ac:dyDescent="0.25" r="1184" customHeight="1" ht="18.75">
      <c r="A1184" s="1" t="s">
        <v>3693</v>
      </c>
      <c r="B1184" s="1" t="s">
        <v>6637</v>
      </c>
      <c r="C1184" s="1" t="s">
        <v>3619</v>
      </c>
      <c r="D1184" s="1" t="s">
        <v>3601</v>
      </c>
      <c r="E1184" s="1" t="s">
        <v>3893</v>
      </c>
      <c r="F1184" s="1" t="s">
        <v>6647</v>
      </c>
      <c r="G1184" s="1" t="s">
        <v>6648</v>
      </c>
      <c r="H1184" s="1" t="s">
        <v>3604</v>
      </c>
      <c r="I1184" s="1" t="s">
        <v>6649</v>
      </c>
      <c r="J1184" s="1" t="s">
        <v>3606</v>
      </c>
      <c r="K1184" s="1"/>
      <c r="L1184" s="1"/>
      <c r="M1184" s="1"/>
    </row>
    <row x14ac:dyDescent="0.25" r="1185" customHeight="1" ht="18.75">
      <c r="A1185" s="1" t="s">
        <v>3693</v>
      </c>
      <c r="B1185" s="1" t="s">
        <v>6637</v>
      </c>
      <c r="C1185" s="1" t="s">
        <v>3619</v>
      </c>
      <c r="D1185" s="1" t="s">
        <v>3601</v>
      </c>
      <c r="E1185" s="1" t="s">
        <v>3893</v>
      </c>
      <c r="F1185" s="1" t="s">
        <v>6650</v>
      </c>
      <c r="G1185" s="1" t="s">
        <v>6639</v>
      </c>
      <c r="H1185" s="1" t="s">
        <v>3604</v>
      </c>
      <c r="I1185" s="1" t="s">
        <v>6651</v>
      </c>
      <c r="J1185" s="1" t="s">
        <v>3606</v>
      </c>
      <c r="K1185" s="1"/>
      <c r="L1185" s="1"/>
      <c r="M1185" s="1"/>
    </row>
    <row x14ac:dyDescent="0.25" r="1186" customHeight="1" ht="18.75">
      <c r="A1186" s="1" t="s">
        <v>3693</v>
      </c>
      <c r="B1186" s="1" t="s">
        <v>6637</v>
      </c>
      <c r="C1186" s="1" t="s">
        <v>3619</v>
      </c>
      <c r="D1186" s="1" t="s">
        <v>3601</v>
      </c>
      <c r="E1186" s="1" t="s">
        <v>3893</v>
      </c>
      <c r="F1186" s="1" t="s">
        <v>6652</v>
      </c>
      <c r="G1186" s="1" t="s">
        <v>6648</v>
      </c>
      <c r="H1186" s="1" t="s">
        <v>3604</v>
      </c>
      <c r="I1186" s="1" t="s">
        <v>6653</v>
      </c>
      <c r="J1186" s="1" t="s">
        <v>3606</v>
      </c>
      <c r="K1186" s="1"/>
      <c r="L1186" s="1"/>
      <c r="M1186" s="1"/>
    </row>
    <row x14ac:dyDescent="0.25" r="1187" customHeight="1" ht="18.75">
      <c r="A1187" s="1" t="s">
        <v>3693</v>
      </c>
      <c r="B1187" s="1" t="s">
        <v>6637</v>
      </c>
      <c r="C1187" s="1" t="s">
        <v>3619</v>
      </c>
      <c r="D1187" s="1" t="s">
        <v>3601</v>
      </c>
      <c r="E1187" s="1" t="s">
        <v>3893</v>
      </c>
      <c r="F1187" s="1" t="s">
        <v>6654</v>
      </c>
      <c r="G1187" s="1" t="s">
        <v>6648</v>
      </c>
      <c r="H1187" s="1" t="s">
        <v>3604</v>
      </c>
      <c r="I1187" s="1" t="s">
        <v>6655</v>
      </c>
      <c r="J1187" s="1" t="s">
        <v>3606</v>
      </c>
      <c r="K1187" s="1"/>
      <c r="L1187" s="1"/>
      <c r="M1187" s="1"/>
    </row>
    <row x14ac:dyDescent="0.25" r="1188" customHeight="1" ht="18.75">
      <c r="A1188" s="1" t="s">
        <v>3693</v>
      </c>
      <c r="B1188" s="1" t="s">
        <v>6637</v>
      </c>
      <c r="C1188" s="1" t="s">
        <v>3619</v>
      </c>
      <c r="D1188" s="1" t="s">
        <v>3601</v>
      </c>
      <c r="E1188" s="1" t="s">
        <v>3664</v>
      </c>
      <c r="F1188" s="1" t="s">
        <v>6656</v>
      </c>
      <c r="G1188" s="1" t="s">
        <v>6657</v>
      </c>
      <c r="H1188" s="1" t="s">
        <v>3604</v>
      </c>
      <c r="I1188" s="1" t="s">
        <v>6658</v>
      </c>
      <c r="J1188" s="1" t="s">
        <v>3606</v>
      </c>
      <c r="K1188" s="1"/>
      <c r="L1188" s="1"/>
      <c r="M1188" s="1"/>
    </row>
    <row x14ac:dyDescent="0.25" r="1189" customHeight="1" ht="18.75">
      <c r="A1189" s="1" t="s">
        <v>3693</v>
      </c>
      <c r="B1189" s="1" t="s">
        <v>6637</v>
      </c>
      <c r="C1189" s="1" t="s">
        <v>3619</v>
      </c>
      <c r="D1189" s="1" t="s">
        <v>3601</v>
      </c>
      <c r="E1189" s="1" t="s">
        <v>3893</v>
      </c>
      <c r="F1189" s="1" t="s">
        <v>6659</v>
      </c>
      <c r="G1189" s="1" t="s">
        <v>6660</v>
      </c>
      <c r="H1189" s="1" t="s">
        <v>3604</v>
      </c>
      <c r="I1189" s="1" t="s">
        <v>6661</v>
      </c>
      <c r="J1189" s="1" t="s">
        <v>3606</v>
      </c>
      <c r="K1189" s="1"/>
      <c r="L1189" s="1"/>
      <c r="M1189" s="1"/>
    </row>
    <row x14ac:dyDescent="0.25" r="1190" customHeight="1" ht="18.75">
      <c r="A1190" s="1" t="s">
        <v>3598</v>
      </c>
      <c r="B1190" s="1" t="s">
        <v>3663</v>
      </c>
      <c r="C1190" s="1" t="s">
        <v>3600</v>
      </c>
      <c r="D1190" s="1" t="s">
        <v>3601</v>
      </c>
      <c r="E1190" s="1" t="s">
        <v>3664</v>
      </c>
      <c r="F1190" s="1" t="s">
        <v>6662</v>
      </c>
      <c r="G1190" s="1" t="s">
        <v>6663</v>
      </c>
      <c r="H1190" s="1" t="s">
        <v>3604</v>
      </c>
      <c r="I1190" s="1" t="s">
        <v>6664</v>
      </c>
      <c r="J1190" s="1" t="s">
        <v>3615</v>
      </c>
      <c r="K1190" s="1"/>
      <c r="L1190" s="1"/>
      <c r="M1190" s="1"/>
    </row>
    <row x14ac:dyDescent="0.25" r="1191" customHeight="1" ht="18.75">
      <c r="A1191" s="1" t="s">
        <v>3693</v>
      </c>
      <c r="B1191" s="1" t="s">
        <v>6637</v>
      </c>
      <c r="C1191" s="1" t="s">
        <v>3619</v>
      </c>
      <c r="D1191" s="1" t="s">
        <v>3601</v>
      </c>
      <c r="E1191" s="1" t="s">
        <v>3893</v>
      </c>
      <c r="F1191" s="1" t="s">
        <v>6665</v>
      </c>
      <c r="G1191" s="1" t="s">
        <v>6657</v>
      </c>
      <c r="H1191" s="1" t="s">
        <v>3604</v>
      </c>
      <c r="I1191" s="1" t="s">
        <v>6666</v>
      </c>
      <c r="J1191" s="1" t="s">
        <v>3606</v>
      </c>
      <c r="K1191" s="1"/>
      <c r="L1191" s="1"/>
      <c r="M1191" s="1"/>
    </row>
    <row x14ac:dyDescent="0.25" r="1192" customHeight="1" ht="18.75">
      <c r="A1192" s="1" t="s">
        <v>3693</v>
      </c>
      <c r="B1192" s="1" t="s">
        <v>4332</v>
      </c>
      <c r="C1192" s="1" t="s">
        <v>3600</v>
      </c>
      <c r="D1192" s="1" t="s">
        <v>3601</v>
      </c>
      <c r="E1192" s="1" t="s">
        <v>3664</v>
      </c>
      <c r="F1192" s="1" t="s">
        <v>6642</v>
      </c>
      <c r="G1192" s="1" t="s">
        <v>6667</v>
      </c>
      <c r="H1192" s="1" t="s">
        <v>3604</v>
      </c>
      <c r="I1192" s="1" t="s">
        <v>6668</v>
      </c>
      <c r="J1192" s="1" t="s">
        <v>3615</v>
      </c>
      <c r="K1192" s="1"/>
      <c r="L1192" s="1"/>
      <c r="M1192" s="1"/>
    </row>
    <row x14ac:dyDescent="0.25" r="1193" customHeight="1" ht="18.75">
      <c r="A1193" s="1" t="s">
        <v>3693</v>
      </c>
      <c r="B1193" s="1" t="s">
        <v>6637</v>
      </c>
      <c r="C1193" s="1" t="s">
        <v>3619</v>
      </c>
      <c r="D1193" s="1" t="s">
        <v>3601</v>
      </c>
      <c r="E1193" s="1" t="s">
        <v>3664</v>
      </c>
      <c r="F1193" s="1" t="s">
        <v>6669</v>
      </c>
      <c r="G1193" s="1" t="s">
        <v>6670</v>
      </c>
      <c r="H1193" s="1" t="s">
        <v>3604</v>
      </c>
      <c r="I1193" s="1" t="s">
        <v>6671</v>
      </c>
      <c r="J1193" s="1" t="s">
        <v>3606</v>
      </c>
      <c r="K1193" s="1"/>
      <c r="L1193" s="1"/>
      <c r="M1193" s="1"/>
    </row>
    <row x14ac:dyDescent="0.25" r="1194" customHeight="1" ht="18.75">
      <c r="A1194" s="1" t="s">
        <v>3693</v>
      </c>
      <c r="B1194" s="1" t="s">
        <v>4192</v>
      </c>
      <c r="C1194" s="1" t="s">
        <v>3600</v>
      </c>
      <c r="D1194" s="1" t="s">
        <v>3601</v>
      </c>
      <c r="E1194" s="1" t="s">
        <v>3893</v>
      </c>
      <c r="F1194" s="1" t="s">
        <v>6642</v>
      </c>
      <c r="G1194" s="1" t="s">
        <v>4349</v>
      </c>
      <c r="H1194" s="1" t="s">
        <v>3604</v>
      </c>
      <c r="I1194" s="1" t="s">
        <v>6672</v>
      </c>
      <c r="J1194" s="1" t="s">
        <v>3615</v>
      </c>
      <c r="K1194" s="1"/>
      <c r="L1194" s="1"/>
      <c r="M1194" s="1"/>
    </row>
    <row x14ac:dyDescent="0.25" r="1195" customHeight="1" ht="18.75">
      <c r="A1195" s="1" t="s">
        <v>3693</v>
      </c>
      <c r="B1195" s="1" t="s">
        <v>6637</v>
      </c>
      <c r="C1195" s="1" t="s">
        <v>3619</v>
      </c>
      <c r="D1195" s="1" t="s">
        <v>3601</v>
      </c>
      <c r="E1195" s="1" t="s">
        <v>3893</v>
      </c>
      <c r="F1195" s="1" t="s">
        <v>6673</v>
      </c>
      <c r="G1195" s="1" t="s">
        <v>6674</v>
      </c>
      <c r="H1195" s="1" t="s">
        <v>3604</v>
      </c>
      <c r="I1195" s="1" t="s">
        <v>6675</v>
      </c>
      <c r="J1195" s="1" t="s">
        <v>3606</v>
      </c>
      <c r="K1195" s="1"/>
      <c r="L1195" s="1"/>
      <c r="M1195" s="1"/>
    </row>
    <row x14ac:dyDescent="0.25" r="1196" customHeight="1" ht="18.75">
      <c r="A1196" s="1" t="s">
        <v>3693</v>
      </c>
      <c r="B1196" s="1" t="s">
        <v>6637</v>
      </c>
      <c r="C1196" s="1" t="s">
        <v>3619</v>
      </c>
      <c r="D1196" s="1" t="s">
        <v>3601</v>
      </c>
      <c r="E1196" s="1" t="s">
        <v>3664</v>
      </c>
      <c r="F1196" s="1" t="s">
        <v>6676</v>
      </c>
      <c r="G1196" s="1" t="s">
        <v>6660</v>
      </c>
      <c r="H1196" s="1" t="s">
        <v>3604</v>
      </c>
      <c r="I1196" s="1" t="s">
        <v>6677</v>
      </c>
      <c r="J1196" s="1" t="s">
        <v>3606</v>
      </c>
      <c r="K1196" s="1"/>
      <c r="L1196" s="1"/>
      <c r="M1196" s="1"/>
    </row>
    <row x14ac:dyDescent="0.25" r="1197" customHeight="1" ht="18.75">
      <c r="A1197" s="1" t="s">
        <v>3693</v>
      </c>
      <c r="B1197" s="1" t="s">
        <v>4332</v>
      </c>
      <c r="C1197" s="1" t="s">
        <v>3600</v>
      </c>
      <c r="D1197" s="1" t="s">
        <v>3601</v>
      </c>
      <c r="E1197" s="1" t="s">
        <v>3893</v>
      </c>
      <c r="F1197" s="1" t="s">
        <v>6642</v>
      </c>
      <c r="G1197" s="1" t="s">
        <v>6678</v>
      </c>
      <c r="H1197" s="1" t="s">
        <v>3604</v>
      </c>
      <c r="I1197" s="1" t="s">
        <v>6679</v>
      </c>
      <c r="J1197" s="1" t="s">
        <v>3615</v>
      </c>
      <c r="K1197" s="1"/>
      <c r="L1197" s="1"/>
      <c r="M1197" s="1"/>
    </row>
    <row x14ac:dyDescent="0.25" r="1198" customHeight="1" ht="18.75">
      <c r="A1198" s="1" t="s">
        <v>3693</v>
      </c>
      <c r="B1198" s="1" t="s">
        <v>6680</v>
      </c>
      <c r="C1198" s="1" t="s">
        <v>3600</v>
      </c>
      <c r="D1198" s="1" t="s">
        <v>3601</v>
      </c>
      <c r="E1198" s="1"/>
      <c r="F1198" s="1" t="s">
        <v>6681</v>
      </c>
      <c r="G1198" s="1" t="s">
        <v>6682</v>
      </c>
      <c r="H1198" s="1" t="s">
        <v>3604</v>
      </c>
      <c r="I1198" s="1" t="s">
        <v>6683</v>
      </c>
      <c r="J1198" s="1" t="s">
        <v>3606</v>
      </c>
      <c r="K1198" s="1"/>
      <c r="L1198" s="1"/>
      <c r="M1198" s="1"/>
    </row>
    <row x14ac:dyDescent="0.25" r="1199" customHeight="1" ht="18.75">
      <c r="A1199" s="1" t="s">
        <v>3693</v>
      </c>
      <c r="B1199" s="1" t="s">
        <v>6680</v>
      </c>
      <c r="C1199" s="1" t="s">
        <v>3600</v>
      </c>
      <c r="D1199" s="1" t="s">
        <v>3601</v>
      </c>
      <c r="E1199" s="1"/>
      <c r="F1199" s="1" t="s">
        <v>6684</v>
      </c>
      <c r="G1199" s="1" t="s">
        <v>6682</v>
      </c>
      <c r="H1199" s="1" t="s">
        <v>3604</v>
      </c>
      <c r="I1199" s="1" t="s">
        <v>6685</v>
      </c>
      <c r="J1199" s="1" t="s">
        <v>3606</v>
      </c>
      <c r="K1199" s="1"/>
      <c r="L1199" s="1"/>
      <c r="M1199" s="1"/>
    </row>
    <row x14ac:dyDescent="0.25" r="1200" customHeight="1" ht="18.75">
      <c r="A1200" s="1" t="s">
        <v>3693</v>
      </c>
      <c r="B1200" s="1" t="s">
        <v>6629</v>
      </c>
      <c r="C1200" s="1" t="s">
        <v>3619</v>
      </c>
      <c r="D1200" s="1" t="s">
        <v>3601</v>
      </c>
      <c r="E1200" s="1" t="s">
        <v>3893</v>
      </c>
      <c r="F1200" s="1" t="s">
        <v>6686</v>
      </c>
      <c r="G1200" s="1" t="s">
        <v>6687</v>
      </c>
      <c r="H1200" s="1" t="s">
        <v>3604</v>
      </c>
      <c r="I1200" s="1" t="s">
        <v>6688</v>
      </c>
      <c r="J1200" s="1" t="s">
        <v>3606</v>
      </c>
      <c r="K1200" s="1"/>
      <c r="L1200" s="1"/>
      <c r="M1200" s="1"/>
    </row>
    <row x14ac:dyDescent="0.25" r="1201" customHeight="1" ht="18.75">
      <c r="A1201" s="1" t="s">
        <v>3693</v>
      </c>
      <c r="B1201" s="1" t="s">
        <v>6629</v>
      </c>
      <c r="C1201" s="1" t="s">
        <v>3619</v>
      </c>
      <c r="D1201" s="1" t="s">
        <v>3601</v>
      </c>
      <c r="E1201" s="1" t="s">
        <v>3893</v>
      </c>
      <c r="F1201" s="1" t="s">
        <v>6689</v>
      </c>
      <c r="G1201" s="1" t="s">
        <v>6687</v>
      </c>
      <c r="H1201" s="1" t="s">
        <v>3604</v>
      </c>
      <c r="I1201" s="1" t="s">
        <v>6690</v>
      </c>
      <c r="J1201" s="1" t="s">
        <v>3606</v>
      </c>
      <c r="K1201" s="1"/>
      <c r="L1201" s="1"/>
      <c r="M1201" s="1"/>
    </row>
    <row x14ac:dyDescent="0.25" r="1202" customHeight="1" ht="18.75">
      <c r="A1202" s="1" t="s">
        <v>3693</v>
      </c>
      <c r="B1202" s="1" t="s">
        <v>6629</v>
      </c>
      <c r="C1202" s="1" t="s">
        <v>3619</v>
      </c>
      <c r="D1202" s="1" t="s">
        <v>3601</v>
      </c>
      <c r="E1202" s="1" t="s">
        <v>3893</v>
      </c>
      <c r="F1202" s="1" t="s">
        <v>6691</v>
      </c>
      <c r="G1202" s="1" t="s">
        <v>6687</v>
      </c>
      <c r="H1202" s="1" t="s">
        <v>3604</v>
      </c>
      <c r="I1202" s="1" t="s">
        <v>6692</v>
      </c>
      <c r="J1202" s="1" t="s">
        <v>3606</v>
      </c>
      <c r="K1202" s="1"/>
      <c r="L1202" s="1"/>
      <c r="M1202" s="1"/>
    </row>
    <row x14ac:dyDescent="0.25" r="1203" customHeight="1" ht="18.75">
      <c r="A1203" s="1" t="s">
        <v>3693</v>
      </c>
      <c r="B1203" s="1" t="s">
        <v>6629</v>
      </c>
      <c r="C1203" s="1" t="s">
        <v>3619</v>
      </c>
      <c r="D1203" s="1" t="s">
        <v>3601</v>
      </c>
      <c r="E1203" s="1" t="s">
        <v>3893</v>
      </c>
      <c r="F1203" s="1" t="s">
        <v>6693</v>
      </c>
      <c r="G1203" s="1" t="s">
        <v>6687</v>
      </c>
      <c r="H1203" s="1" t="s">
        <v>3604</v>
      </c>
      <c r="I1203" s="1" t="s">
        <v>6694</v>
      </c>
      <c r="J1203" s="1" t="s">
        <v>3606</v>
      </c>
      <c r="K1203" s="1"/>
      <c r="L1203" s="1"/>
      <c r="M1203" s="1"/>
    </row>
    <row x14ac:dyDescent="0.25" r="1204" customHeight="1" ht="18.75">
      <c r="A1204" s="1" t="s">
        <v>3693</v>
      </c>
      <c r="B1204" s="1" t="s">
        <v>6629</v>
      </c>
      <c r="C1204" s="1" t="s">
        <v>3619</v>
      </c>
      <c r="D1204" s="1" t="s">
        <v>3601</v>
      </c>
      <c r="E1204" s="1" t="s">
        <v>3893</v>
      </c>
      <c r="F1204" s="1" t="s">
        <v>6693</v>
      </c>
      <c r="G1204" s="1" t="s">
        <v>6687</v>
      </c>
      <c r="H1204" s="1" t="s">
        <v>3604</v>
      </c>
      <c r="I1204" s="1" t="s">
        <v>6695</v>
      </c>
      <c r="J1204" s="1" t="s">
        <v>3606</v>
      </c>
      <c r="K1204" s="1"/>
      <c r="L1204" s="1"/>
      <c r="M1204" s="1"/>
    </row>
    <row x14ac:dyDescent="0.25" r="1205" customHeight="1" ht="18.75">
      <c r="A1205" s="1" t="s">
        <v>3693</v>
      </c>
      <c r="B1205" s="1" t="s">
        <v>6629</v>
      </c>
      <c r="C1205" s="1" t="s">
        <v>3619</v>
      </c>
      <c r="D1205" s="1" t="s">
        <v>3601</v>
      </c>
      <c r="E1205" s="1" t="s">
        <v>3893</v>
      </c>
      <c r="F1205" s="1" t="s">
        <v>6696</v>
      </c>
      <c r="G1205" s="1" t="s">
        <v>6631</v>
      </c>
      <c r="H1205" s="1" t="s">
        <v>3604</v>
      </c>
      <c r="I1205" s="1" t="s">
        <v>6697</v>
      </c>
      <c r="J1205" s="1" t="s">
        <v>3606</v>
      </c>
      <c r="K1205" s="1"/>
      <c r="L1205" s="1"/>
      <c r="M1205" s="1"/>
    </row>
    <row x14ac:dyDescent="0.25" r="1206" customHeight="1" ht="18.75">
      <c r="A1206" s="1" t="s">
        <v>3693</v>
      </c>
      <c r="B1206" s="1" t="s">
        <v>6629</v>
      </c>
      <c r="C1206" s="1" t="s">
        <v>3619</v>
      </c>
      <c r="D1206" s="1" t="s">
        <v>3601</v>
      </c>
      <c r="E1206" s="1" t="s">
        <v>3893</v>
      </c>
      <c r="F1206" s="1" t="s">
        <v>6698</v>
      </c>
      <c r="G1206" s="1" t="s">
        <v>6631</v>
      </c>
      <c r="H1206" s="1" t="s">
        <v>3604</v>
      </c>
      <c r="I1206" s="1" t="s">
        <v>6699</v>
      </c>
      <c r="J1206" s="1" t="s">
        <v>3606</v>
      </c>
      <c r="K1206" s="1"/>
      <c r="L1206" s="1"/>
      <c r="M1206" s="1"/>
    </row>
    <row x14ac:dyDescent="0.25" r="1207" customHeight="1" ht="18.75">
      <c r="A1207" s="1" t="s">
        <v>3598</v>
      </c>
      <c r="B1207" s="1" t="s">
        <v>3663</v>
      </c>
      <c r="C1207" s="1" t="s">
        <v>3600</v>
      </c>
      <c r="D1207" s="1" t="s">
        <v>3601</v>
      </c>
      <c r="E1207" s="1" t="s">
        <v>3664</v>
      </c>
      <c r="F1207" s="1" t="s">
        <v>6700</v>
      </c>
      <c r="G1207" s="1" t="s">
        <v>6701</v>
      </c>
      <c r="H1207" s="1" t="s">
        <v>3604</v>
      </c>
      <c r="I1207" s="1" t="s">
        <v>6702</v>
      </c>
      <c r="J1207" s="1" t="s">
        <v>3615</v>
      </c>
      <c r="K1207" s="1"/>
      <c r="L1207" s="1"/>
      <c r="M1207" s="1"/>
    </row>
    <row x14ac:dyDescent="0.25" r="1208" customHeight="1" ht="18.75">
      <c r="A1208" s="1" t="s">
        <v>3693</v>
      </c>
      <c r="B1208" s="1" t="s">
        <v>6629</v>
      </c>
      <c r="C1208" s="1" t="s">
        <v>3619</v>
      </c>
      <c r="D1208" s="1" t="s">
        <v>3601</v>
      </c>
      <c r="E1208" s="1" t="s">
        <v>3893</v>
      </c>
      <c r="F1208" s="1" t="s">
        <v>6703</v>
      </c>
      <c r="G1208" s="1" t="s">
        <v>6687</v>
      </c>
      <c r="H1208" s="1" t="s">
        <v>3604</v>
      </c>
      <c r="I1208" s="1" t="s">
        <v>6704</v>
      </c>
      <c r="J1208" s="1" t="s">
        <v>3606</v>
      </c>
      <c r="K1208" s="1"/>
      <c r="L1208" s="1"/>
      <c r="M1208" s="1"/>
    </row>
    <row x14ac:dyDescent="0.25" r="1209" customHeight="1" ht="18.75">
      <c r="A1209" s="1" t="s">
        <v>3693</v>
      </c>
      <c r="B1209" s="1" t="s">
        <v>6629</v>
      </c>
      <c r="C1209" s="1" t="s">
        <v>3619</v>
      </c>
      <c r="D1209" s="1" t="s">
        <v>3601</v>
      </c>
      <c r="E1209" s="1" t="s">
        <v>3893</v>
      </c>
      <c r="F1209" s="1" t="s">
        <v>6705</v>
      </c>
      <c r="G1209" s="1" t="s">
        <v>6631</v>
      </c>
      <c r="H1209" s="1" t="s">
        <v>3604</v>
      </c>
      <c r="I1209" s="1" t="s">
        <v>6706</v>
      </c>
      <c r="J1209" s="1" t="s">
        <v>3606</v>
      </c>
      <c r="K1209" s="1"/>
      <c r="L1209" s="1"/>
      <c r="M1209" s="1"/>
    </row>
    <row x14ac:dyDescent="0.25" r="1210" customHeight="1" ht="18.75">
      <c r="A1210" s="1" t="s">
        <v>3693</v>
      </c>
      <c r="B1210" s="1" t="s">
        <v>6629</v>
      </c>
      <c r="C1210" s="1" t="s">
        <v>3619</v>
      </c>
      <c r="D1210" s="1" t="s">
        <v>3601</v>
      </c>
      <c r="E1210" s="1" t="s">
        <v>3893</v>
      </c>
      <c r="F1210" s="1" t="s">
        <v>6707</v>
      </c>
      <c r="G1210" s="1" t="s">
        <v>6687</v>
      </c>
      <c r="H1210" s="1" t="s">
        <v>3604</v>
      </c>
      <c r="I1210" s="1" t="s">
        <v>6708</v>
      </c>
      <c r="J1210" s="1" t="s">
        <v>3606</v>
      </c>
      <c r="K1210" s="1"/>
      <c r="L1210" s="1"/>
      <c r="M1210" s="1"/>
    </row>
    <row x14ac:dyDescent="0.25" r="1211" customHeight="1" ht="18.75">
      <c r="A1211" s="1" t="s">
        <v>3598</v>
      </c>
      <c r="B1211" s="1" t="s">
        <v>3663</v>
      </c>
      <c r="C1211" s="1" t="s">
        <v>3600</v>
      </c>
      <c r="D1211" s="1" t="s">
        <v>3601</v>
      </c>
      <c r="E1211" s="1" t="s">
        <v>3664</v>
      </c>
      <c r="F1211" s="1" t="s">
        <v>6709</v>
      </c>
      <c r="G1211" s="1" t="s">
        <v>6710</v>
      </c>
      <c r="H1211" s="1" t="s">
        <v>3604</v>
      </c>
      <c r="I1211" s="1" t="s">
        <v>6711</v>
      </c>
      <c r="J1211" s="1" t="s">
        <v>3615</v>
      </c>
      <c r="K1211" s="1"/>
      <c r="L1211" s="1"/>
      <c r="M1211" s="1"/>
    </row>
    <row x14ac:dyDescent="0.25" r="1212" customHeight="1" ht="18.75">
      <c r="A1212" s="1" t="s">
        <v>3693</v>
      </c>
      <c r="B1212" s="1" t="s">
        <v>6629</v>
      </c>
      <c r="C1212" s="1" t="s">
        <v>3619</v>
      </c>
      <c r="D1212" s="1" t="s">
        <v>3601</v>
      </c>
      <c r="E1212" s="1" t="s">
        <v>3893</v>
      </c>
      <c r="F1212" s="1" t="s">
        <v>6712</v>
      </c>
      <c r="G1212" s="1" t="s">
        <v>6631</v>
      </c>
      <c r="H1212" s="1" t="s">
        <v>3604</v>
      </c>
      <c r="I1212" s="1" t="s">
        <v>6713</v>
      </c>
      <c r="J1212" s="1" t="s">
        <v>3606</v>
      </c>
      <c r="K1212" s="1"/>
      <c r="L1212" s="1"/>
      <c r="M1212" s="1"/>
    </row>
    <row x14ac:dyDescent="0.25" r="1213" customHeight="1" ht="18.75">
      <c r="A1213" s="1" t="s">
        <v>3598</v>
      </c>
      <c r="B1213" s="1" t="s">
        <v>3663</v>
      </c>
      <c r="C1213" s="1" t="s">
        <v>3600</v>
      </c>
      <c r="D1213" s="1" t="s">
        <v>3601</v>
      </c>
      <c r="E1213" s="1" t="s">
        <v>3664</v>
      </c>
      <c r="F1213" s="1" t="s">
        <v>6714</v>
      </c>
      <c r="G1213" s="1" t="s">
        <v>6715</v>
      </c>
      <c r="H1213" s="1" t="s">
        <v>3604</v>
      </c>
      <c r="I1213" s="1" t="s">
        <v>6716</v>
      </c>
      <c r="J1213" s="1" t="s">
        <v>3615</v>
      </c>
      <c r="K1213" s="1"/>
      <c r="L1213" s="1"/>
      <c r="M1213" s="1"/>
    </row>
    <row x14ac:dyDescent="0.25" r="1214" customHeight="1" ht="18.75">
      <c r="A1214" s="1" t="s">
        <v>3598</v>
      </c>
      <c r="B1214" s="1" t="s">
        <v>6717</v>
      </c>
      <c r="C1214" s="1" t="s">
        <v>3600</v>
      </c>
      <c r="D1214" s="1" t="s">
        <v>3601</v>
      </c>
      <c r="E1214" s="1" t="s">
        <v>3664</v>
      </c>
      <c r="F1214" s="1" t="s">
        <v>6718</v>
      </c>
      <c r="G1214" s="1" t="s">
        <v>6719</v>
      </c>
      <c r="H1214" s="1" t="s">
        <v>3604</v>
      </c>
      <c r="I1214" s="1" t="s">
        <v>6720</v>
      </c>
      <c r="J1214" s="1" t="s">
        <v>3615</v>
      </c>
      <c r="K1214" s="1"/>
      <c r="L1214" s="1"/>
      <c r="M1214" s="1"/>
    </row>
    <row x14ac:dyDescent="0.25" r="1215" customHeight="1" ht="18.75">
      <c r="A1215" s="1" t="s">
        <v>3693</v>
      </c>
      <c r="B1215" s="1" t="s">
        <v>6629</v>
      </c>
      <c r="C1215" s="1" t="s">
        <v>3619</v>
      </c>
      <c r="D1215" s="1" t="s">
        <v>3601</v>
      </c>
      <c r="E1215" s="1" t="s">
        <v>3893</v>
      </c>
      <c r="F1215" s="1" t="s">
        <v>6721</v>
      </c>
      <c r="G1215" s="1" t="s">
        <v>6631</v>
      </c>
      <c r="H1215" s="1" t="s">
        <v>3604</v>
      </c>
      <c r="I1215" s="1" t="s">
        <v>6722</v>
      </c>
      <c r="J1215" s="1" t="s">
        <v>3606</v>
      </c>
      <c r="K1215" s="1"/>
      <c r="L1215" s="1"/>
      <c r="M1215" s="1"/>
    </row>
    <row x14ac:dyDescent="0.25" r="1216" customHeight="1" ht="18.75">
      <c r="A1216" s="1" t="s">
        <v>3693</v>
      </c>
      <c r="B1216" s="1" t="s">
        <v>6629</v>
      </c>
      <c r="C1216" s="1" t="s">
        <v>3619</v>
      </c>
      <c r="D1216" s="1" t="s">
        <v>3601</v>
      </c>
      <c r="E1216" s="1" t="s">
        <v>3893</v>
      </c>
      <c r="F1216" s="1" t="s">
        <v>6723</v>
      </c>
      <c r="G1216" s="1" t="s">
        <v>6631</v>
      </c>
      <c r="H1216" s="1" t="s">
        <v>3604</v>
      </c>
      <c r="I1216" s="1" t="s">
        <v>6724</v>
      </c>
      <c r="J1216" s="1" t="s">
        <v>3606</v>
      </c>
      <c r="K1216" s="1"/>
      <c r="L1216" s="1"/>
      <c r="M1216" s="1"/>
    </row>
    <row x14ac:dyDescent="0.25" r="1217" customHeight="1" ht="18.75">
      <c r="A1217" s="1" t="s">
        <v>3598</v>
      </c>
      <c r="B1217" s="1" t="s">
        <v>6717</v>
      </c>
      <c r="C1217" s="1" t="s">
        <v>3600</v>
      </c>
      <c r="D1217" s="1" t="s">
        <v>3601</v>
      </c>
      <c r="E1217" s="1" t="s">
        <v>3664</v>
      </c>
      <c r="F1217" s="1" t="s">
        <v>6725</v>
      </c>
      <c r="G1217" s="1" t="s">
        <v>6726</v>
      </c>
      <c r="H1217" s="1" t="s">
        <v>3604</v>
      </c>
      <c r="I1217" s="1" t="s">
        <v>6727</v>
      </c>
      <c r="J1217" s="1" t="s">
        <v>3615</v>
      </c>
      <c r="K1217" s="1"/>
      <c r="L1217" s="1"/>
      <c r="M1217" s="1"/>
    </row>
    <row x14ac:dyDescent="0.25" r="1218" customHeight="1" ht="18.75">
      <c r="A1218" s="1" t="s">
        <v>3598</v>
      </c>
      <c r="B1218" s="1" t="s">
        <v>6728</v>
      </c>
      <c r="C1218" s="1" t="s">
        <v>3600</v>
      </c>
      <c r="D1218" s="1" t="s">
        <v>3601</v>
      </c>
      <c r="E1218" s="1" t="s">
        <v>3664</v>
      </c>
      <c r="F1218" s="1" t="s">
        <v>6729</v>
      </c>
      <c r="G1218" s="1" t="s">
        <v>6730</v>
      </c>
      <c r="H1218" s="1" t="s">
        <v>3604</v>
      </c>
      <c r="I1218" s="1" t="s">
        <v>6731</v>
      </c>
      <c r="J1218" s="1" t="s">
        <v>3615</v>
      </c>
      <c r="K1218" s="1"/>
      <c r="L1218" s="1"/>
      <c r="M1218" s="1"/>
    </row>
    <row x14ac:dyDescent="0.25" r="1219" customHeight="1" ht="18.75">
      <c r="A1219" s="1" t="s">
        <v>3598</v>
      </c>
      <c r="B1219" s="1" t="s">
        <v>6732</v>
      </c>
      <c r="C1219" s="1" t="s">
        <v>3600</v>
      </c>
      <c r="D1219" s="1" t="s">
        <v>3601</v>
      </c>
      <c r="E1219" s="1" t="s">
        <v>3664</v>
      </c>
      <c r="F1219" s="1" t="s">
        <v>6733</v>
      </c>
      <c r="G1219" s="1" t="s">
        <v>6734</v>
      </c>
      <c r="H1219" s="1" t="s">
        <v>3604</v>
      </c>
      <c r="I1219" s="1" t="s">
        <v>6735</v>
      </c>
      <c r="J1219" s="1" t="s">
        <v>3615</v>
      </c>
      <c r="K1219" s="1"/>
      <c r="L1219" s="1"/>
      <c r="M1219" s="1"/>
    </row>
    <row x14ac:dyDescent="0.25" r="1220" customHeight="1" ht="18.75">
      <c r="A1220" s="1" t="s">
        <v>3598</v>
      </c>
      <c r="B1220" s="1" t="s">
        <v>6728</v>
      </c>
      <c r="C1220" s="1" t="s">
        <v>3600</v>
      </c>
      <c r="D1220" s="1" t="s">
        <v>3601</v>
      </c>
      <c r="E1220" s="1" t="s">
        <v>3664</v>
      </c>
      <c r="F1220" s="1" t="s">
        <v>6736</v>
      </c>
      <c r="G1220" s="1" t="s">
        <v>6737</v>
      </c>
      <c r="H1220" s="1" t="s">
        <v>3604</v>
      </c>
      <c r="I1220" s="1" t="s">
        <v>6738</v>
      </c>
      <c r="J1220" s="1" t="s">
        <v>3615</v>
      </c>
      <c r="K1220" s="1"/>
      <c r="L1220" s="1"/>
      <c r="M1220" s="1"/>
    </row>
    <row x14ac:dyDescent="0.25" r="1221" customHeight="1" ht="18.75">
      <c r="A1221" s="1" t="s">
        <v>3598</v>
      </c>
      <c r="B1221" s="1" t="s">
        <v>6728</v>
      </c>
      <c r="C1221" s="1" t="s">
        <v>3600</v>
      </c>
      <c r="D1221" s="1" t="s">
        <v>3601</v>
      </c>
      <c r="E1221" s="1" t="s">
        <v>3664</v>
      </c>
      <c r="F1221" s="1" t="s">
        <v>6739</v>
      </c>
      <c r="G1221" s="1" t="s">
        <v>6740</v>
      </c>
      <c r="H1221" s="1" t="s">
        <v>3604</v>
      </c>
      <c r="I1221" s="1" t="s">
        <v>6741</v>
      </c>
      <c r="J1221" s="1" t="s">
        <v>3615</v>
      </c>
      <c r="K1221" s="1"/>
      <c r="L1221" s="1"/>
      <c r="M1221" s="1"/>
    </row>
    <row x14ac:dyDescent="0.25" r="1222" customHeight="1" ht="18.75">
      <c r="A1222" s="1" t="s">
        <v>3617</v>
      </c>
      <c r="B1222" s="1" t="s">
        <v>5570</v>
      </c>
      <c r="C1222" s="1" t="s">
        <v>3619</v>
      </c>
      <c r="D1222" s="1" t="s">
        <v>3601</v>
      </c>
      <c r="E1222" s="1" t="s">
        <v>3730</v>
      </c>
      <c r="F1222" s="1" t="s">
        <v>6742</v>
      </c>
      <c r="G1222" s="1" t="s">
        <v>6743</v>
      </c>
      <c r="H1222" s="1" t="s">
        <v>3604</v>
      </c>
      <c r="I1222" s="1" t="s">
        <v>6744</v>
      </c>
      <c r="J1222" s="1" t="s">
        <v>3606</v>
      </c>
      <c r="K1222" s="1"/>
      <c r="L1222" s="1"/>
      <c r="M1222" s="1"/>
    </row>
    <row x14ac:dyDescent="0.25" r="1223" customHeight="1" ht="18.75">
      <c r="A1223" s="1" t="s">
        <v>3693</v>
      </c>
      <c r="B1223" s="1" t="s">
        <v>4332</v>
      </c>
      <c r="C1223" s="1" t="s">
        <v>3600</v>
      </c>
      <c r="D1223" s="1" t="s">
        <v>3601</v>
      </c>
      <c r="E1223" s="1"/>
      <c r="F1223" s="1" t="s">
        <v>6745</v>
      </c>
      <c r="G1223" s="1" t="s">
        <v>5644</v>
      </c>
      <c r="H1223" s="1" t="s">
        <v>3604</v>
      </c>
      <c r="I1223" s="1" t="s">
        <v>6746</v>
      </c>
      <c r="J1223" s="1" t="s">
        <v>3615</v>
      </c>
      <c r="K1223" s="1"/>
      <c r="L1223" s="1"/>
      <c r="M1223" s="1"/>
    </row>
    <row x14ac:dyDescent="0.25" r="1224" customHeight="1" ht="18.75">
      <c r="A1224" s="1" t="s">
        <v>3693</v>
      </c>
      <c r="B1224" s="1" t="s">
        <v>4332</v>
      </c>
      <c r="C1224" s="1" t="s">
        <v>3600</v>
      </c>
      <c r="D1224" s="1" t="s">
        <v>3601</v>
      </c>
      <c r="E1224" s="1"/>
      <c r="F1224" s="1" t="s">
        <v>6747</v>
      </c>
      <c r="G1224" s="1" t="s">
        <v>5644</v>
      </c>
      <c r="H1224" s="1" t="s">
        <v>3604</v>
      </c>
      <c r="I1224" s="1" t="s">
        <v>6748</v>
      </c>
      <c r="J1224" s="1" t="s">
        <v>3615</v>
      </c>
      <c r="K1224" s="1"/>
      <c r="L1224" s="1"/>
      <c r="M1224" s="1"/>
    </row>
    <row x14ac:dyDescent="0.25" r="1225" customHeight="1" ht="18.75">
      <c r="A1225" s="1" t="s">
        <v>3598</v>
      </c>
      <c r="B1225" s="1" t="s">
        <v>3654</v>
      </c>
      <c r="C1225" s="1" t="s">
        <v>3600</v>
      </c>
      <c r="D1225" s="1" t="s">
        <v>3601</v>
      </c>
      <c r="E1225" s="1"/>
      <c r="F1225" s="1" t="s">
        <v>6749</v>
      </c>
      <c r="G1225" s="1" t="s">
        <v>6750</v>
      </c>
      <c r="H1225" s="1" t="s">
        <v>3604</v>
      </c>
      <c r="I1225" s="1" t="s">
        <v>6751</v>
      </c>
      <c r="J1225" s="1" t="s">
        <v>3615</v>
      </c>
      <c r="K1225" s="1"/>
      <c r="L1225" s="1"/>
      <c r="M1225" s="1"/>
    </row>
    <row x14ac:dyDescent="0.25" r="1226" customHeight="1" ht="18.75">
      <c r="A1226" s="1" t="s">
        <v>3598</v>
      </c>
      <c r="B1226" s="1" t="s">
        <v>3654</v>
      </c>
      <c r="C1226" s="1" t="s">
        <v>3600</v>
      </c>
      <c r="D1226" s="1" t="s">
        <v>3601</v>
      </c>
      <c r="E1226" s="1"/>
      <c r="F1226" s="1" t="s">
        <v>6752</v>
      </c>
      <c r="G1226" s="1" t="s">
        <v>6753</v>
      </c>
      <c r="H1226" s="1" t="s">
        <v>3604</v>
      </c>
      <c r="I1226" s="1" t="s">
        <v>6754</v>
      </c>
      <c r="J1226" s="1" t="s">
        <v>3615</v>
      </c>
      <c r="K1226" s="1"/>
      <c r="L1226" s="1"/>
      <c r="M1226" s="1"/>
    </row>
    <row x14ac:dyDescent="0.25" r="1227" customHeight="1" ht="18.75">
      <c r="A1227" s="1" t="s">
        <v>3693</v>
      </c>
      <c r="B1227" s="1" t="s">
        <v>6755</v>
      </c>
      <c r="C1227" s="1" t="s">
        <v>3600</v>
      </c>
      <c r="D1227" s="1" t="s">
        <v>3601</v>
      </c>
      <c r="E1227" s="1" t="s">
        <v>3752</v>
      </c>
      <c r="F1227" s="1" t="s">
        <v>6756</v>
      </c>
      <c r="G1227" s="1" t="s">
        <v>6757</v>
      </c>
      <c r="H1227" s="1" t="s">
        <v>3604</v>
      </c>
      <c r="I1227" s="1" t="s">
        <v>6758</v>
      </c>
      <c r="J1227" s="1" t="s">
        <v>3615</v>
      </c>
      <c r="K1227" s="1"/>
      <c r="L1227" s="1"/>
      <c r="M1227" s="1"/>
    </row>
    <row x14ac:dyDescent="0.25" r="1228" customHeight="1" ht="18.75">
      <c r="A1228" s="1" t="s">
        <v>3693</v>
      </c>
      <c r="B1228" s="1" t="s">
        <v>6759</v>
      </c>
      <c r="C1228" s="1" t="s">
        <v>3600</v>
      </c>
      <c r="D1228" s="1" t="s">
        <v>3601</v>
      </c>
      <c r="E1228" s="1"/>
      <c r="F1228" s="1" t="s">
        <v>6745</v>
      </c>
      <c r="G1228" s="1" t="s">
        <v>6760</v>
      </c>
      <c r="H1228" s="1" t="s">
        <v>3604</v>
      </c>
      <c r="I1228" s="1" t="s">
        <v>6761</v>
      </c>
      <c r="J1228" s="1" t="s">
        <v>3615</v>
      </c>
      <c r="K1228" s="1"/>
      <c r="L1228" s="1"/>
      <c r="M1228" s="1"/>
    </row>
    <row x14ac:dyDescent="0.25" r="1229" customHeight="1" ht="18.75">
      <c r="A1229" s="1" t="s">
        <v>3598</v>
      </c>
      <c r="B1229" s="1" t="s">
        <v>6762</v>
      </c>
      <c r="C1229" s="1" t="s">
        <v>3600</v>
      </c>
      <c r="D1229" s="1" t="s">
        <v>3601</v>
      </c>
      <c r="E1229" s="1"/>
      <c r="F1229" s="1" t="s">
        <v>6763</v>
      </c>
      <c r="G1229" s="1" t="s">
        <v>6764</v>
      </c>
      <c r="H1229" s="1" t="s">
        <v>3604</v>
      </c>
      <c r="I1229" s="1" t="s">
        <v>6765</v>
      </c>
      <c r="J1229" s="1" t="s">
        <v>3615</v>
      </c>
      <c r="K1229" s="1"/>
      <c r="L1229" s="1"/>
      <c r="M1229" s="1"/>
    </row>
    <row x14ac:dyDescent="0.25" r="1230" customHeight="1" ht="18.75">
      <c r="A1230" s="1" t="s">
        <v>3598</v>
      </c>
      <c r="B1230" s="1" t="s">
        <v>6762</v>
      </c>
      <c r="C1230" s="1" t="s">
        <v>3600</v>
      </c>
      <c r="D1230" s="1" t="s">
        <v>3601</v>
      </c>
      <c r="E1230" s="1"/>
      <c r="F1230" s="1" t="s">
        <v>6766</v>
      </c>
      <c r="G1230" s="1" t="s">
        <v>6767</v>
      </c>
      <c r="H1230" s="1" t="s">
        <v>3604</v>
      </c>
      <c r="I1230" s="1" t="s">
        <v>6768</v>
      </c>
      <c r="J1230" s="1" t="s">
        <v>3615</v>
      </c>
      <c r="K1230" s="1"/>
      <c r="L1230" s="1"/>
      <c r="M1230" s="1"/>
    </row>
    <row x14ac:dyDescent="0.25" r="1231" customHeight="1" ht="18.75">
      <c r="A1231" s="1" t="s">
        <v>3598</v>
      </c>
      <c r="B1231" s="1" t="s">
        <v>6762</v>
      </c>
      <c r="C1231" s="1" t="s">
        <v>3600</v>
      </c>
      <c r="D1231" s="1" t="s">
        <v>3601</v>
      </c>
      <c r="E1231" s="1"/>
      <c r="F1231" s="1" t="s">
        <v>6769</v>
      </c>
      <c r="G1231" s="1" t="s">
        <v>6770</v>
      </c>
      <c r="H1231" s="1" t="s">
        <v>3604</v>
      </c>
      <c r="I1231" s="1" t="s">
        <v>6771</v>
      </c>
      <c r="J1231" s="1" t="s">
        <v>3615</v>
      </c>
      <c r="K1231" s="1"/>
      <c r="L1231" s="1"/>
      <c r="M1231" s="1"/>
    </row>
    <row x14ac:dyDescent="0.25" r="1232" customHeight="1" ht="18.75">
      <c r="A1232" s="1" t="s">
        <v>3598</v>
      </c>
      <c r="B1232" s="1" t="s">
        <v>6033</v>
      </c>
      <c r="C1232" s="1" t="s">
        <v>3600</v>
      </c>
      <c r="D1232" s="1" t="s">
        <v>3601</v>
      </c>
      <c r="E1232" s="1"/>
      <c r="F1232" s="1" t="s">
        <v>6772</v>
      </c>
      <c r="G1232" s="1" t="s">
        <v>6773</v>
      </c>
      <c r="H1232" s="1" t="s">
        <v>3604</v>
      </c>
      <c r="I1232" s="1" t="s">
        <v>6774</v>
      </c>
      <c r="J1232" s="1" t="s">
        <v>3606</v>
      </c>
      <c r="K1232" s="1"/>
      <c r="L1232" s="1"/>
      <c r="M1232" s="1"/>
    </row>
    <row x14ac:dyDescent="0.25" r="1233" customHeight="1" ht="18.75">
      <c r="A1233" s="1" t="s">
        <v>3598</v>
      </c>
      <c r="B1233" s="1" t="s">
        <v>6762</v>
      </c>
      <c r="C1233" s="1" t="s">
        <v>3600</v>
      </c>
      <c r="D1233" s="1" t="s">
        <v>3601</v>
      </c>
      <c r="E1233" s="1"/>
      <c r="F1233" s="1" t="s">
        <v>6775</v>
      </c>
      <c r="G1233" s="1" t="s">
        <v>6776</v>
      </c>
      <c r="H1233" s="1" t="s">
        <v>3604</v>
      </c>
      <c r="I1233" s="1" t="s">
        <v>6777</v>
      </c>
      <c r="J1233" s="1" t="s">
        <v>3615</v>
      </c>
      <c r="K1233" s="1"/>
      <c r="L1233" s="1"/>
      <c r="M1233" s="1"/>
    </row>
    <row x14ac:dyDescent="0.25" r="1234" customHeight="1" ht="18.75">
      <c r="A1234" s="1" t="s">
        <v>3598</v>
      </c>
      <c r="B1234" s="1" t="s">
        <v>6762</v>
      </c>
      <c r="C1234" s="1" t="s">
        <v>3600</v>
      </c>
      <c r="D1234" s="1" t="s">
        <v>3601</v>
      </c>
      <c r="E1234" s="1"/>
      <c r="F1234" s="1" t="s">
        <v>6778</v>
      </c>
      <c r="G1234" s="1" t="s">
        <v>6779</v>
      </c>
      <c r="H1234" s="1" t="s">
        <v>3604</v>
      </c>
      <c r="I1234" s="1" t="s">
        <v>6780</v>
      </c>
      <c r="J1234" s="1" t="s">
        <v>3615</v>
      </c>
      <c r="K1234" s="1"/>
      <c r="L1234" s="1"/>
      <c r="M1234" s="1"/>
    </row>
    <row x14ac:dyDescent="0.25" r="1235" customHeight="1" ht="18.75">
      <c r="A1235" s="1" t="s">
        <v>3598</v>
      </c>
      <c r="B1235" s="1" t="s">
        <v>6762</v>
      </c>
      <c r="C1235" s="1" t="s">
        <v>3600</v>
      </c>
      <c r="D1235" s="1" t="s">
        <v>3601</v>
      </c>
      <c r="E1235" s="1"/>
      <c r="F1235" s="1" t="s">
        <v>6781</v>
      </c>
      <c r="G1235" s="1" t="s">
        <v>6782</v>
      </c>
      <c r="H1235" s="1" t="s">
        <v>3604</v>
      </c>
      <c r="I1235" s="1" t="s">
        <v>6783</v>
      </c>
      <c r="J1235" s="1" t="s">
        <v>3615</v>
      </c>
      <c r="K1235" s="1"/>
      <c r="L1235" s="1"/>
      <c r="M1235" s="1"/>
    </row>
    <row x14ac:dyDescent="0.25" r="1236" customHeight="1" ht="18.75">
      <c r="A1236" s="1" t="s">
        <v>3598</v>
      </c>
      <c r="B1236" s="1" t="s">
        <v>6762</v>
      </c>
      <c r="C1236" s="1" t="s">
        <v>3600</v>
      </c>
      <c r="D1236" s="1" t="s">
        <v>3601</v>
      </c>
      <c r="E1236" s="1"/>
      <c r="F1236" s="1" t="s">
        <v>6784</v>
      </c>
      <c r="G1236" s="1" t="s">
        <v>6785</v>
      </c>
      <c r="H1236" s="1" t="s">
        <v>3604</v>
      </c>
      <c r="I1236" s="1" t="s">
        <v>6786</v>
      </c>
      <c r="J1236" s="1" t="s">
        <v>3615</v>
      </c>
      <c r="K1236" s="1"/>
      <c r="L1236" s="1"/>
      <c r="M1236" s="1"/>
    </row>
    <row x14ac:dyDescent="0.25" r="1237" customHeight="1" ht="18.75">
      <c r="A1237" s="1" t="s">
        <v>3598</v>
      </c>
      <c r="B1237" s="1" t="s">
        <v>6762</v>
      </c>
      <c r="C1237" s="1" t="s">
        <v>3600</v>
      </c>
      <c r="D1237" s="1" t="s">
        <v>3601</v>
      </c>
      <c r="E1237" s="1"/>
      <c r="F1237" s="1" t="s">
        <v>6787</v>
      </c>
      <c r="G1237" s="1" t="s">
        <v>6788</v>
      </c>
      <c r="H1237" s="1" t="s">
        <v>3604</v>
      </c>
      <c r="I1237" s="1" t="s">
        <v>6789</v>
      </c>
      <c r="J1237" s="1" t="s">
        <v>3615</v>
      </c>
      <c r="K1237" s="1"/>
      <c r="L1237" s="1"/>
      <c r="M1237" s="1"/>
    </row>
    <row x14ac:dyDescent="0.25" r="1238" customHeight="1" ht="18.75">
      <c r="A1238" s="1" t="s">
        <v>3598</v>
      </c>
      <c r="B1238" s="1" t="s">
        <v>6762</v>
      </c>
      <c r="C1238" s="1" t="s">
        <v>3600</v>
      </c>
      <c r="D1238" s="1" t="s">
        <v>3601</v>
      </c>
      <c r="E1238" s="1"/>
      <c r="F1238" s="1" t="s">
        <v>6790</v>
      </c>
      <c r="G1238" s="1" t="s">
        <v>6791</v>
      </c>
      <c r="H1238" s="1" t="s">
        <v>3604</v>
      </c>
      <c r="I1238" s="1" t="s">
        <v>6792</v>
      </c>
      <c r="J1238" s="1" t="s">
        <v>3615</v>
      </c>
      <c r="K1238" s="1"/>
      <c r="L1238" s="1"/>
      <c r="M1238" s="1"/>
    </row>
    <row x14ac:dyDescent="0.25" r="1239" customHeight="1" ht="18.75">
      <c r="A1239" s="1" t="s">
        <v>3598</v>
      </c>
      <c r="B1239" s="1" t="s">
        <v>6762</v>
      </c>
      <c r="C1239" s="1" t="s">
        <v>3600</v>
      </c>
      <c r="D1239" s="1" t="s">
        <v>3601</v>
      </c>
      <c r="E1239" s="1"/>
      <c r="F1239" s="1" t="s">
        <v>6793</v>
      </c>
      <c r="G1239" s="1" t="s">
        <v>6794</v>
      </c>
      <c r="H1239" s="1" t="s">
        <v>3604</v>
      </c>
      <c r="I1239" s="1" t="s">
        <v>6795</v>
      </c>
      <c r="J1239" s="1" t="s">
        <v>3615</v>
      </c>
      <c r="K1239" s="1"/>
      <c r="L1239" s="1"/>
      <c r="M1239" s="1"/>
    </row>
    <row x14ac:dyDescent="0.25" r="1240" customHeight="1" ht="18.75">
      <c r="A1240" s="1" t="s">
        <v>3598</v>
      </c>
      <c r="B1240" s="1" t="s">
        <v>6762</v>
      </c>
      <c r="C1240" s="1" t="s">
        <v>3600</v>
      </c>
      <c r="D1240" s="1" t="s">
        <v>3601</v>
      </c>
      <c r="E1240" s="1"/>
      <c r="F1240" s="1" t="s">
        <v>6796</v>
      </c>
      <c r="G1240" s="1" t="s">
        <v>6797</v>
      </c>
      <c r="H1240" s="1" t="s">
        <v>3604</v>
      </c>
      <c r="I1240" s="1" t="s">
        <v>6798</v>
      </c>
      <c r="J1240" s="1" t="s">
        <v>3615</v>
      </c>
      <c r="K1240" s="1"/>
      <c r="L1240" s="1"/>
      <c r="M1240" s="1"/>
    </row>
    <row x14ac:dyDescent="0.25" r="1241" customHeight="1" ht="18.75">
      <c r="A1241" s="1" t="s">
        <v>3598</v>
      </c>
      <c r="B1241" s="1" t="s">
        <v>6033</v>
      </c>
      <c r="C1241" s="1" t="s">
        <v>3600</v>
      </c>
      <c r="D1241" s="1" t="s">
        <v>3601</v>
      </c>
      <c r="E1241" s="1"/>
      <c r="F1241" s="1" t="s">
        <v>6772</v>
      </c>
      <c r="G1241" s="1" t="s">
        <v>6035</v>
      </c>
      <c r="H1241" s="1" t="s">
        <v>3604</v>
      </c>
      <c r="I1241" s="1" t="s">
        <v>6799</v>
      </c>
      <c r="J1241" s="1" t="s">
        <v>3606</v>
      </c>
      <c r="K1241" s="1"/>
      <c r="L1241" s="1"/>
      <c r="M1241" s="1"/>
    </row>
    <row x14ac:dyDescent="0.25" r="1242" customHeight="1" ht="18.75">
      <c r="A1242" s="1" t="s">
        <v>3598</v>
      </c>
      <c r="B1242" s="1" t="s">
        <v>6762</v>
      </c>
      <c r="C1242" s="1" t="s">
        <v>3600</v>
      </c>
      <c r="D1242" s="1" t="s">
        <v>3601</v>
      </c>
      <c r="E1242" s="1"/>
      <c r="F1242" s="1" t="s">
        <v>6800</v>
      </c>
      <c r="G1242" s="1" t="s">
        <v>6801</v>
      </c>
      <c r="H1242" s="1" t="s">
        <v>3604</v>
      </c>
      <c r="I1242" s="1" t="s">
        <v>6802</v>
      </c>
      <c r="J1242" s="1" t="s">
        <v>3615</v>
      </c>
      <c r="K1242" s="1"/>
      <c r="L1242" s="1"/>
      <c r="M1242" s="1"/>
    </row>
    <row x14ac:dyDescent="0.25" r="1243" customHeight="1" ht="18.75">
      <c r="A1243" s="1" t="s">
        <v>3598</v>
      </c>
      <c r="B1243" s="1" t="s">
        <v>6762</v>
      </c>
      <c r="C1243" s="1" t="s">
        <v>3600</v>
      </c>
      <c r="D1243" s="1" t="s">
        <v>3601</v>
      </c>
      <c r="E1243" s="1"/>
      <c r="F1243" s="1" t="s">
        <v>6803</v>
      </c>
      <c r="G1243" s="1" t="s">
        <v>6804</v>
      </c>
      <c r="H1243" s="1" t="s">
        <v>3604</v>
      </c>
      <c r="I1243" s="1" t="s">
        <v>6805</v>
      </c>
      <c r="J1243" s="1" t="s">
        <v>3615</v>
      </c>
      <c r="K1243" s="1"/>
      <c r="L1243" s="1"/>
      <c r="M1243" s="1"/>
    </row>
    <row x14ac:dyDescent="0.25" r="1244" customHeight="1" ht="18.75">
      <c r="A1244" s="1" t="s">
        <v>3598</v>
      </c>
      <c r="B1244" s="1" t="s">
        <v>6762</v>
      </c>
      <c r="C1244" s="1" t="s">
        <v>3600</v>
      </c>
      <c r="D1244" s="1" t="s">
        <v>3601</v>
      </c>
      <c r="E1244" s="1"/>
      <c r="F1244" s="1" t="s">
        <v>6806</v>
      </c>
      <c r="G1244" s="1" t="s">
        <v>6807</v>
      </c>
      <c r="H1244" s="1" t="s">
        <v>3604</v>
      </c>
      <c r="I1244" s="1" t="s">
        <v>6808</v>
      </c>
      <c r="J1244" s="1" t="s">
        <v>3615</v>
      </c>
      <c r="K1244" s="1"/>
      <c r="L1244" s="1"/>
      <c r="M1244" s="1"/>
    </row>
    <row x14ac:dyDescent="0.25" r="1245" customHeight="1" ht="18.75">
      <c r="A1245" s="1" t="s">
        <v>3598</v>
      </c>
      <c r="B1245" s="1" t="s">
        <v>6434</v>
      </c>
      <c r="C1245" s="1" t="s">
        <v>3600</v>
      </c>
      <c r="D1245" s="1" t="s">
        <v>3601</v>
      </c>
      <c r="E1245" s="1"/>
      <c r="F1245" s="1" t="s">
        <v>6809</v>
      </c>
      <c r="G1245" s="1" t="s">
        <v>6436</v>
      </c>
      <c r="H1245" s="1" t="s">
        <v>3604</v>
      </c>
      <c r="I1245" s="1" t="s">
        <v>6810</v>
      </c>
      <c r="J1245" s="1" t="s">
        <v>3606</v>
      </c>
      <c r="K1245" s="1"/>
      <c r="L1245" s="1"/>
      <c r="M1245" s="1"/>
    </row>
    <row x14ac:dyDescent="0.25" r="1246" customHeight="1" ht="18.75">
      <c r="A1246" s="1" t="s">
        <v>3598</v>
      </c>
      <c r="B1246" s="1" t="s">
        <v>6811</v>
      </c>
      <c r="C1246" s="1" t="s">
        <v>3600</v>
      </c>
      <c r="D1246" s="1" t="s">
        <v>3601</v>
      </c>
      <c r="E1246" s="1" t="s">
        <v>3664</v>
      </c>
      <c r="F1246" s="1" t="s">
        <v>6812</v>
      </c>
      <c r="G1246" s="1" t="s">
        <v>6813</v>
      </c>
      <c r="H1246" s="1" t="s">
        <v>3604</v>
      </c>
      <c r="I1246" s="1" t="s">
        <v>6814</v>
      </c>
      <c r="J1246" s="1" t="s">
        <v>3606</v>
      </c>
      <c r="K1246" s="1"/>
      <c r="L1246" s="1"/>
      <c r="M1246" s="1"/>
    </row>
    <row x14ac:dyDescent="0.25" r="1247" customHeight="1" ht="18.75">
      <c r="A1247" s="1" t="s">
        <v>3598</v>
      </c>
      <c r="B1247" s="1" t="s">
        <v>6434</v>
      </c>
      <c r="C1247" s="1" t="s">
        <v>3600</v>
      </c>
      <c r="D1247" s="1" t="s">
        <v>3601</v>
      </c>
      <c r="E1247" s="1"/>
      <c r="F1247" s="1" t="s">
        <v>6815</v>
      </c>
      <c r="G1247" s="1" t="s">
        <v>6436</v>
      </c>
      <c r="H1247" s="1" t="s">
        <v>3604</v>
      </c>
      <c r="I1247" s="1" t="s">
        <v>6816</v>
      </c>
      <c r="J1247" s="1" t="s">
        <v>3606</v>
      </c>
      <c r="K1247" s="1"/>
      <c r="L1247" s="1"/>
      <c r="M1247" s="1"/>
    </row>
    <row x14ac:dyDescent="0.25" r="1248" customHeight="1" ht="18.75">
      <c r="A1248" s="1" t="s">
        <v>3598</v>
      </c>
      <c r="B1248" s="1" t="s">
        <v>6434</v>
      </c>
      <c r="C1248" s="1" t="s">
        <v>3600</v>
      </c>
      <c r="D1248" s="1" t="s">
        <v>3601</v>
      </c>
      <c r="E1248" s="1"/>
      <c r="F1248" s="1" t="s">
        <v>6817</v>
      </c>
      <c r="G1248" s="1" t="s">
        <v>6436</v>
      </c>
      <c r="H1248" s="1" t="s">
        <v>3604</v>
      </c>
      <c r="I1248" s="1" t="s">
        <v>6818</v>
      </c>
      <c r="J1248" s="1" t="s">
        <v>3606</v>
      </c>
      <c r="K1248" s="1"/>
      <c r="L1248" s="1"/>
      <c r="M1248" s="1"/>
    </row>
    <row x14ac:dyDescent="0.25" r="1249" customHeight="1" ht="18.75">
      <c r="A1249" s="1" t="s">
        <v>3598</v>
      </c>
      <c r="B1249" s="1" t="s">
        <v>6434</v>
      </c>
      <c r="C1249" s="1" t="s">
        <v>3600</v>
      </c>
      <c r="D1249" s="1" t="s">
        <v>3601</v>
      </c>
      <c r="E1249" s="1"/>
      <c r="F1249" s="1" t="s">
        <v>6819</v>
      </c>
      <c r="G1249" s="1" t="s">
        <v>6436</v>
      </c>
      <c r="H1249" s="1" t="s">
        <v>3604</v>
      </c>
      <c r="I1249" s="1" t="s">
        <v>6820</v>
      </c>
      <c r="J1249" s="1" t="s">
        <v>3606</v>
      </c>
      <c r="K1249" s="1"/>
      <c r="L1249" s="1"/>
      <c r="M1249" s="1"/>
    </row>
    <row x14ac:dyDescent="0.25" r="1250" customHeight="1" ht="18.75">
      <c r="A1250" s="1" t="s">
        <v>3598</v>
      </c>
      <c r="B1250" s="1" t="s">
        <v>6811</v>
      </c>
      <c r="C1250" s="1" t="s">
        <v>3600</v>
      </c>
      <c r="D1250" s="1" t="s">
        <v>3601</v>
      </c>
      <c r="E1250" s="1" t="s">
        <v>3664</v>
      </c>
      <c r="F1250" s="1" t="s">
        <v>6821</v>
      </c>
      <c r="G1250" s="1" t="s">
        <v>6822</v>
      </c>
      <c r="H1250" s="1" t="s">
        <v>3604</v>
      </c>
      <c r="I1250" s="1" t="s">
        <v>6823</v>
      </c>
      <c r="J1250" s="1" t="s">
        <v>3606</v>
      </c>
      <c r="K1250" s="1"/>
      <c r="L1250" s="1"/>
      <c r="M1250" s="1"/>
    </row>
    <row x14ac:dyDescent="0.25" r="1251" customHeight="1" ht="18.75">
      <c r="A1251" s="1" t="s">
        <v>3598</v>
      </c>
      <c r="B1251" s="1" t="s">
        <v>6434</v>
      </c>
      <c r="C1251" s="1" t="s">
        <v>3600</v>
      </c>
      <c r="D1251" s="1" t="s">
        <v>3601</v>
      </c>
      <c r="E1251" s="1"/>
      <c r="F1251" s="1" t="s">
        <v>6824</v>
      </c>
      <c r="G1251" s="1" t="s">
        <v>6436</v>
      </c>
      <c r="H1251" s="1" t="s">
        <v>3604</v>
      </c>
      <c r="I1251" s="1" t="s">
        <v>6825</v>
      </c>
      <c r="J1251" s="1" t="s">
        <v>3606</v>
      </c>
      <c r="K1251" s="1"/>
      <c r="L1251" s="1"/>
      <c r="M1251" s="1"/>
    </row>
    <row x14ac:dyDescent="0.25" r="1252" customHeight="1" ht="18.75">
      <c r="A1252" s="1" t="s">
        <v>3598</v>
      </c>
      <c r="B1252" s="1" t="s">
        <v>6434</v>
      </c>
      <c r="C1252" s="1" t="s">
        <v>3600</v>
      </c>
      <c r="D1252" s="1" t="s">
        <v>3601</v>
      </c>
      <c r="E1252" s="1"/>
      <c r="F1252" s="1" t="s">
        <v>6826</v>
      </c>
      <c r="G1252" s="1" t="s">
        <v>6436</v>
      </c>
      <c r="H1252" s="1" t="s">
        <v>3604</v>
      </c>
      <c r="I1252" s="1" t="s">
        <v>6827</v>
      </c>
      <c r="J1252" s="1" t="s">
        <v>3606</v>
      </c>
      <c r="K1252" s="1"/>
      <c r="L1252" s="1"/>
      <c r="M1252" s="1"/>
    </row>
    <row x14ac:dyDescent="0.25" r="1253" customHeight="1" ht="18.75">
      <c r="A1253" s="1" t="s">
        <v>3598</v>
      </c>
      <c r="B1253" s="1" t="s">
        <v>6811</v>
      </c>
      <c r="C1253" s="1" t="s">
        <v>3600</v>
      </c>
      <c r="D1253" s="1" t="s">
        <v>3601</v>
      </c>
      <c r="E1253" s="1" t="s">
        <v>3752</v>
      </c>
      <c r="F1253" s="1" t="s">
        <v>6828</v>
      </c>
      <c r="G1253" s="1" t="s">
        <v>6829</v>
      </c>
      <c r="H1253" s="1" t="s">
        <v>3604</v>
      </c>
      <c r="I1253" s="1" t="s">
        <v>6830</v>
      </c>
      <c r="J1253" s="1" t="s">
        <v>3606</v>
      </c>
      <c r="K1253" s="1"/>
      <c r="L1253" s="1"/>
      <c r="M1253" s="1"/>
    </row>
    <row x14ac:dyDescent="0.25" r="1254" customHeight="1" ht="18.75">
      <c r="A1254" s="1" t="s">
        <v>3598</v>
      </c>
      <c r="B1254" s="1" t="s">
        <v>6434</v>
      </c>
      <c r="C1254" s="1" t="s">
        <v>3600</v>
      </c>
      <c r="D1254" s="1" t="s">
        <v>3601</v>
      </c>
      <c r="E1254" s="1"/>
      <c r="F1254" s="1" t="s">
        <v>6831</v>
      </c>
      <c r="G1254" s="1" t="s">
        <v>6436</v>
      </c>
      <c r="H1254" s="1" t="s">
        <v>3604</v>
      </c>
      <c r="I1254" s="1" t="s">
        <v>6832</v>
      </c>
      <c r="J1254" s="1" t="s">
        <v>3606</v>
      </c>
      <c r="K1254" s="1"/>
      <c r="L1254" s="1"/>
      <c r="M1254" s="1"/>
    </row>
    <row x14ac:dyDescent="0.25" r="1255" customHeight="1" ht="18.75">
      <c r="A1255" s="1" t="s">
        <v>3598</v>
      </c>
      <c r="B1255" s="1" t="s">
        <v>6811</v>
      </c>
      <c r="C1255" s="1" t="s">
        <v>3600</v>
      </c>
      <c r="D1255" s="1" t="s">
        <v>3601</v>
      </c>
      <c r="E1255" s="1" t="s">
        <v>3752</v>
      </c>
      <c r="F1255" s="1" t="s">
        <v>6833</v>
      </c>
      <c r="G1255" s="1" t="s">
        <v>6834</v>
      </c>
      <c r="H1255" s="1" t="s">
        <v>3604</v>
      </c>
      <c r="I1255" s="1" t="s">
        <v>6835</v>
      </c>
      <c r="J1255" s="1" t="s">
        <v>3606</v>
      </c>
      <c r="K1255" s="1"/>
      <c r="L1255" s="1"/>
      <c r="M1255" s="1"/>
    </row>
    <row x14ac:dyDescent="0.25" r="1256" customHeight="1" ht="18.75">
      <c r="A1256" s="1" t="s">
        <v>3598</v>
      </c>
      <c r="B1256" s="1" t="s">
        <v>6811</v>
      </c>
      <c r="C1256" s="1" t="s">
        <v>3600</v>
      </c>
      <c r="D1256" s="1" t="s">
        <v>3601</v>
      </c>
      <c r="E1256" s="1" t="s">
        <v>3752</v>
      </c>
      <c r="F1256" s="1" t="s">
        <v>6836</v>
      </c>
      <c r="G1256" s="1" t="s">
        <v>6837</v>
      </c>
      <c r="H1256" s="1" t="s">
        <v>3604</v>
      </c>
      <c r="I1256" s="1" t="s">
        <v>6838</v>
      </c>
      <c r="J1256" s="1" t="s">
        <v>3606</v>
      </c>
      <c r="K1256" s="1"/>
      <c r="L1256" s="1"/>
      <c r="M1256" s="1"/>
    </row>
    <row x14ac:dyDescent="0.25" r="1257" customHeight="1" ht="18.75">
      <c r="A1257" s="1" t="s">
        <v>3598</v>
      </c>
      <c r="B1257" s="1" t="s">
        <v>6811</v>
      </c>
      <c r="C1257" s="1" t="s">
        <v>3600</v>
      </c>
      <c r="D1257" s="1" t="s">
        <v>3601</v>
      </c>
      <c r="E1257" s="1" t="s">
        <v>3752</v>
      </c>
      <c r="F1257" s="1" t="s">
        <v>6839</v>
      </c>
      <c r="G1257" s="1" t="s">
        <v>6840</v>
      </c>
      <c r="H1257" s="1" t="s">
        <v>3604</v>
      </c>
      <c r="I1257" s="1" t="s">
        <v>6841</v>
      </c>
      <c r="J1257" s="1" t="s">
        <v>3606</v>
      </c>
      <c r="K1257" s="1"/>
      <c r="L1257" s="1"/>
      <c r="M1257" s="1"/>
    </row>
    <row x14ac:dyDescent="0.25" r="1258" customHeight="1" ht="18.75">
      <c r="A1258" s="1" t="s">
        <v>3598</v>
      </c>
      <c r="B1258" s="1" t="s">
        <v>6811</v>
      </c>
      <c r="C1258" s="1" t="s">
        <v>3600</v>
      </c>
      <c r="D1258" s="1" t="s">
        <v>3601</v>
      </c>
      <c r="E1258" s="1" t="s">
        <v>3752</v>
      </c>
      <c r="F1258" s="1" t="s">
        <v>6842</v>
      </c>
      <c r="G1258" s="1" t="s">
        <v>6843</v>
      </c>
      <c r="H1258" s="1" t="s">
        <v>3604</v>
      </c>
      <c r="I1258" s="1" t="s">
        <v>6844</v>
      </c>
      <c r="J1258" s="1" t="s">
        <v>3606</v>
      </c>
      <c r="K1258" s="1"/>
      <c r="L1258" s="1"/>
      <c r="M1258" s="1"/>
    </row>
    <row x14ac:dyDescent="0.25" r="1259" customHeight="1" ht="18.75">
      <c r="A1259" s="1" t="s">
        <v>3598</v>
      </c>
      <c r="B1259" s="1" t="s">
        <v>6845</v>
      </c>
      <c r="C1259" s="1" t="s">
        <v>3600</v>
      </c>
      <c r="D1259" s="1" t="s">
        <v>3601</v>
      </c>
      <c r="E1259" s="1"/>
      <c r="F1259" s="1" t="s">
        <v>6846</v>
      </c>
      <c r="G1259" s="1" t="s">
        <v>6847</v>
      </c>
      <c r="H1259" s="1" t="s">
        <v>3604</v>
      </c>
      <c r="I1259" s="1" t="s">
        <v>6848</v>
      </c>
      <c r="J1259" s="1" t="s">
        <v>3606</v>
      </c>
      <c r="K1259" s="1"/>
      <c r="L1259" s="1"/>
      <c r="M1259" s="1"/>
    </row>
    <row x14ac:dyDescent="0.25" r="1260" customHeight="1" ht="18.75">
      <c r="A1260" s="1" t="s">
        <v>3598</v>
      </c>
      <c r="B1260" s="1" t="s">
        <v>6845</v>
      </c>
      <c r="C1260" s="1" t="s">
        <v>3600</v>
      </c>
      <c r="D1260" s="1" t="s">
        <v>3601</v>
      </c>
      <c r="E1260" s="1"/>
      <c r="F1260" s="1" t="s">
        <v>6849</v>
      </c>
      <c r="G1260" s="1" t="s">
        <v>6847</v>
      </c>
      <c r="H1260" s="1" t="s">
        <v>3604</v>
      </c>
      <c r="I1260" s="1" t="s">
        <v>6850</v>
      </c>
      <c r="J1260" s="1" t="s">
        <v>3606</v>
      </c>
      <c r="K1260" s="1"/>
      <c r="L1260" s="1"/>
      <c r="M1260" s="1"/>
    </row>
    <row x14ac:dyDescent="0.25" r="1261" customHeight="1" ht="18.75">
      <c r="A1261" s="1" t="s">
        <v>3598</v>
      </c>
      <c r="B1261" s="1" t="s">
        <v>6811</v>
      </c>
      <c r="C1261" s="1" t="s">
        <v>3600</v>
      </c>
      <c r="D1261" s="1" t="s">
        <v>3601</v>
      </c>
      <c r="E1261" s="1" t="s">
        <v>3752</v>
      </c>
      <c r="F1261" s="1" t="s">
        <v>6851</v>
      </c>
      <c r="G1261" s="1" t="s">
        <v>6852</v>
      </c>
      <c r="H1261" s="1" t="s">
        <v>3604</v>
      </c>
      <c r="I1261" s="1" t="s">
        <v>6853</v>
      </c>
      <c r="J1261" s="1" t="s">
        <v>3606</v>
      </c>
      <c r="K1261" s="1"/>
      <c r="L1261" s="1"/>
      <c r="M1261" s="1"/>
    </row>
    <row x14ac:dyDescent="0.25" r="1262" customHeight="1" ht="18.75">
      <c r="A1262" s="1" t="s">
        <v>3598</v>
      </c>
      <c r="B1262" s="1" t="s">
        <v>6811</v>
      </c>
      <c r="C1262" s="1" t="s">
        <v>3600</v>
      </c>
      <c r="D1262" s="1" t="s">
        <v>3601</v>
      </c>
      <c r="E1262" s="1" t="s">
        <v>3752</v>
      </c>
      <c r="F1262" s="1" t="s">
        <v>6854</v>
      </c>
      <c r="G1262" s="1" t="s">
        <v>6855</v>
      </c>
      <c r="H1262" s="1" t="s">
        <v>3604</v>
      </c>
      <c r="I1262" s="1" t="s">
        <v>6856</v>
      </c>
      <c r="J1262" s="1" t="s">
        <v>3606</v>
      </c>
      <c r="K1262" s="1"/>
      <c r="L1262" s="1"/>
      <c r="M1262" s="1"/>
    </row>
    <row x14ac:dyDescent="0.25" r="1263" customHeight="1" ht="18.75">
      <c r="A1263" s="1" t="s">
        <v>3598</v>
      </c>
      <c r="B1263" s="1" t="s">
        <v>6845</v>
      </c>
      <c r="C1263" s="1" t="s">
        <v>3600</v>
      </c>
      <c r="D1263" s="1" t="s">
        <v>3601</v>
      </c>
      <c r="E1263" s="1"/>
      <c r="F1263" s="1" t="s">
        <v>6857</v>
      </c>
      <c r="G1263" s="1" t="s">
        <v>6847</v>
      </c>
      <c r="H1263" s="1" t="s">
        <v>3604</v>
      </c>
      <c r="I1263" s="1" t="s">
        <v>6858</v>
      </c>
      <c r="J1263" s="1" t="s">
        <v>3606</v>
      </c>
      <c r="K1263" s="1"/>
      <c r="L1263" s="1"/>
      <c r="M1263" s="1"/>
    </row>
    <row x14ac:dyDescent="0.25" r="1264" customHeight="1" ht="18.75">
      <c r="A1264" s="1" t="s">
        <v>3598</v>
      </c>
      <c r="B1264" s="1" t="s">
        <v>6845</v>
      </c>
      <c r="C1264" s="1" t="s">
        <v>3600</v>
      </c>
      <c r="D1264" s="1" t="s">
        <v>3601</v>
      </c>
      <c r="E1264" s="1"/>
      <c r="F1264" s="1" t="s">
        <v>6859</v>
      </c>
      <c r="G1264" s="1" t="s">
        <v>6847</v>
      </c>
      <c r="H1264" s="1" t="s">
        <v>3604</v>
      </c>
      <c r="I1264" s="1" t="s">
        <v>6860</v>
      </c>
      <c r="J1264" s="1" t="s">
        <v>3606</v>
      </c>
      <c r="K1264" s="1"/>
      <c r="L1264" s="1"/>
      <c r="M1264" s="1"/>
    </row>
    <row x14ac:dyDescent="0.25" r="1265" customHeight="1" ht="18.75">
      <c r="A1265" s="1" t="s">
        <v>3598</v>
      </c>
      <c r="B1265" s="1" t="s">
        <v>6811</v>
      </c>
      <c r="C1265" s="1" t="s">
        <v>3600</v>
      </c>
      <c r="D1265" s="1" t="s">
        <v>3601</v>
      </c>
      <c r="E1265" s="1" t="s">
        <v>3752</v>
      </c>
      <c r="F1265" s="1" t="s">
        <v>6861</v>
      </c>
      <c r="G1265" s="1" t="s">
        <v>6862</v>
      </c>
      <c r="H1265" s="1" t="s">
        <v>3604</v>
      </c>
      <c r="I1265" s="1" t="s">
        <v>6863</v>
      </c>
      <c r="J1265" s="1" t="s">
        <v>3606</v>
      </c>
      <c r="K1265" s="1"/>
      <c r="L1265" s="1"/>
      <c r="M1265" s="1"/>
    </row>
    <row x14ac:dyDescent="0.25" r="1266" customHeight="1" ht="18.75">
      <c r="A1266" s="1" t="s">
        <v>3598</v>
      </c>
      <c r="B1266" s="1" t="s">
        <v>6811</v>
      </c>
      <c r="C1266" s="1" t="s">
        <v>3600</v>
      </c>
      <c r="D1266" s="1" t="s">
        <v>3601</v>
      </c>
      <c r="E1266" s="1" t="s">
        <v>3752</v>
      </c>
      <c r="F1266" s="1" t="s">
        <v>6864</v>
      </c>
      <c r="G1266" s="1" t="s">
        <v>6865</v>
      </c>
      <c r="H1266" s="1" t="s">
        <v>3604</v>
      </c>
      <c r="I1266" s="1" t="s">
        <v>6866</v>
      </c>
      <c r="J1266" s="1" t="s">
        <v>3606</v>
      </c>
      <c r="K1266" s="1"/>
      <c r="L1266" s="1"/>
      <c r="M1266" s="1"/>
    </row>
    <row x14ac:dyDescent="0.25" r="1267" customHeight="1" ht="18.75">
      <c r="A1267" s="1" t="s">
        <v>3598</v>
      </c>
      <c r="B1267" s="1" t="s">
        <v>6845</v>
      </c>
      <c r="C1267" s="1" t="s">
        <v>3600</v>
      </c>
      <c r="D1267" s="1" t="s">
        <v>3601</v>
      </c>
      <c r="E1267" s="1"/>
      <c r="F1267" s="1" t="s">
        <v>6867</v>
      </c>
      <c r="G1267" s="1" t="s">
        <v>6847</v>
      </c>
      <c r="H1267" s="1" t="s">
        <v>3604</v>
      </c>
      <c r="I1267" s="1" t="s">
        <v>6868</v>
      </c>
      <c r="J1267" s="1" t="s">
        <v>3606</v>
      </c>
      <c r="K1267" s="1"/>
      <c r="L1267" s="1"/>
      <c r="M1267" s="1"/>
    </row>
    <row x14ac:dyDescent="0.25" r="1268" customHeight="1" ht="18.75">
      <c r="A1268" s="1" t="s">
        <v>3598</v>
      </c>
      <c r="B1268" s="1" t="s">
        <v>6811</v>
      </c>
      <c r="C1268" s="1" t="s">
        <v>3600</v>
      </c>
      <c r="D1268" s="1" t="s">
        <v>3601</v>
      </c>
      <c r="E1268" s="1" t="s">
        <v>3752</v>
      </c>
      <c r="F1268" s="1" t="s">
        <v>6869</v>
      </c>
      <c r="G1268" s="1" t="s">
        <v>6870</v>
      </c>
      <c r="H1268" s="1" t="s">
        <v>3604</v>
      </c>
      <c r="I1268" s="1" t="s">
        <v>6871</v>
      </c>
      <c r="J1268" s="1" t="s">
        <v>3606</v>
      </c>
      <c r="K1268" s="1"/>
      <c r="L1268" s="1"/>
      <c r="M1268" s="1"/>
    </row>
    <row x14ac:dyDescent="0.25" r="1269" customHeight="1" ht="18.75">
      <c r="A1269" s="1" t="s">
        <v>3598</v>
      </c>
      <c r="B1269" s="1" t="s">
        <v>3778</v>
      </c>
      <c r="C1269" s="1" t="s">
        <v>3600</v>
      </c>
      <c r="D1269" s="1" t="s">
        <v>3601</v>
      </c>
      <c r="E1269" s="1" t="s">
        <v>3981</v>
      </c>
      <c r="F1269" s="1" t="s">
        <v>6872</v>
      </c>
      <c r="G1269" s="1" t="s">
        <v>5387</v>
      </c>
      <c r="H1269" s="1" t="s">
        <v>3604</v>
      </c>
      <c r="I1269" s="1" t="s">
        <v>6873</v>
      </c>
      <c r="J1269" s="1" t="s">
        <v>3606</v>
      </c>
      <c r="K1269" s="1"/>
      <c r="L1269" s="1"/>
      <c r="M1269" s="1"/>
    </row>
    <row x14ac:dyDescent="0.25" r="1270" customHeight="1" ht="18.75">
      <c r="A1270" s="1" t="s">
        <v>3598</v>
      </c>
      <c r="B1270" s="1" t="s">
        <v>6845</v>
      </c>
      <c r="C1270" s="1" t="s">
        <v>3600</v>
      </c>
      <c r="D1270" s="1" t="s">
        <v>3601</v>
      </c>
      <c r="E1270" s="1"/>
      <c r="F1270" s="1" t="s">
        <v>6874</v>
      </c>
      <c r="G1270" s="1" t="s">
        <v>6847</v>
      </c>
      <c r="H1270" s="1" t="s">
        <v>3604</v>
      </c>
      <c r="I1270" s="1" t="s">
        <v>6875</v>
      </c>
      <c r="J1270" s="1" t="s">
        <v>3606</v>
      </c>
      <c r="K1270" s="1"/>
      <c r="L1270" s="1"/>
      <c r="M1270" s="1"/>
    </row>
    <row x14ac:dyDescent="0.25" r="1271" customHeight="1" ht="18.75">
      <c r="A1271" s="1" t="s">
        <v>3598</v>
      </c>
      <c r="B1271" s="1" t="s">
        <v>6845</v>
      </c>
      <c r="C1271" s="1" t="s">
        <v>3600</v>
      </c>
      <c r="D1271" s="1" t="s">
        <v>3601</v>
      </c>
      <c r="E1271" s="1"/>
      <c r="F1271" s="1" t="s">
        <v>6876</v>
      </c>
      <c r="G1271" s="1" t="s">
        <v>6847</v>
      </c>
      <c r="H1271" s="1" t="s">
        <v>3604</v>
      </c>
      <c r="I1271" s="1" t="s">
        <v>6877</v>
      </c>
      <c r="J1271" s="1" t="s">
        <v>3606</v>
      </c>
      <c r="K1271" s="1"/>
      <c r="L1271" s="1"/>
      <c r="M1271" s="1"/>
    </row>
    <row x14ac:dyDescent="0.25" r="1272" customHeight="1" ht="18.75">
      <c r="A1272" s="1" t="s">
        <v>3598</v>
      </c>
      <c r="B1272" s="1" t="s">
        <v>6878</v>
      </c>
      <c r="C1272" s="1" t="s">
        <v>3600</v>
      </c>
      <c r="D1272" s="1" t="s">
        <v>3601</v>
      </c>
      <c r="E1272" s="1"/>
      <c r="F1272" s="1" t="s">
        <v>6879</v>
      </c>
      <c r="G1272" s="1" t="s">
        <v>6880</v>
      </c>
      <c r="H1272" s="1" t="s">
        <v>3604</v>
      </c>
      <c r="I1272" s="1" t="s">
        <v>6881</v>
      </c>
      <c r="J1272" s="1" t="s">
        <v>3606</v>
      </c>
      <c r="K1272" s="1"/>
      <c r="L1272" s="1"/>
      <c r="M1272" s="1"/>
    </row>
    <row x14ac:dyDescent="0.25" r="1273" customHeight="1" ht="18.75">
      <c r="A1273" s="1" t="s">
        <v>3598</v>
      </c>
      <c r="B1273" s="1" t="s">
        <v>6845</v>
      </c>
      <c r="C1273" s="1" t="s">
        <v>3600</v>
      </c>
      <c r="D1273" s="1" t="s">
        <v>3601</v>
      </c>
      <c r="E1273" s="1"/>
      <c r="F1273" s="1" t="s">
        <v>6882</v>
      </c>
      <c r="G1273" s="1" t="s">
        <v>6847</v>
      </c>
      <c r="H1273" s="1" t="s">
        <v>3604</v>
      </c>
      <c r="I1273" s="1" t="s">
        <v>6883</v>
      </c>
      <c r="J1273" s="1" t="s">
        <v>3606</v>
      </c>
      <c r="K1273" s="1"/>
      <c r="L1273" s="1"/>
      <c r="M1273" s="1"/>
    </row>
    <row x14ac:dyDescent="0.25" r="1274" customHeight="1" ht="18.75">
      <c r="A1274" s="1" t="s">
        <v>3598</v>
      </c>
      <c r="B1274" s="1" t="s">
        <v>6878</v>
      </c>
      <c r="C1274" s="1" t="s">
        <v>3600</v>
      </c>
      <c r="D1274" s="1" t="s">
        <v>3601</v>
      </c>
      <c r="E1274" s="1"/>
      <c r="F1274" s="1" t="s">
        <v>6884</v>
      </c>
      <c r="G1274" s="1" t="s">
        <v>6880</v>
      </c>
      <c r="H1274" s="1" t="s">
        <v>3604</v>
      </c>
      <c r="I1274" s="1" t="s">
        <v>6885</v>
      </c>
      <c r="J1274" s="1" t="s">
        <v>3606</v>
      </c>
      <c r="K1274" s="1"/>
      <c r="L1274" s="1"/>
      <c r="M1274" s="1"/>
    </row>
    <row x14ac:dyDescent="0.25" r="1275" customHeight="1" ht="18.75">
      <c r="A1275" s="1" t="s">
        <v>3598</v>
      </c>
      <c r="B1275" s="1" t="s">
        <v>3778</v>
      </c>
      <c r="C1275" s="1" t="s">
        <v>3600</v>
      </c>
      <c r="D1275" s="1" t="s">
        <v>3601</v>
      </c>
      <c r="E1275" s="1" t="s">
        <v>3981</v>
      </c>
      <c r="F1275" s="1" t="s">
        <v>6886</v>
      </c>
      <c r="G1275" s="1" t="s">
        <v>6887</v>
      </c>
      <c r="H1275" s="1" t="s">
        <v>3604</v>
      </c>
      <c r="I1275" s="1" t="s">
        <v>6888</v>
      </c>
      <c r="J1275" s="1" t="s">
        <v>3606</v>
      </c>
      <c r="K1275" s="1"/>
      <c r="L1275" s="1"/>
      <c r="M1275" s="1"/>
    </row>
    <row x14ac:dyDescent="0.25" r="1276" customHeight="1" ht="18.75">
      <c r="A1276" s="1" t="s">
        <v>3598</v>
      </c>
      <c r="B1276" s="1" t="s">
        <v>6878</v>
      </c>
      <c r="C1276" s="1" t="s">
        <v>3600</v>
      </c>
      <c r="D1276" s="1" t="s">
        <v>3601</v>
      </c>
      <c r="E1276" s="1"/>
      <c r="F1276" s="1" t="s">
        <v>6889</v>
      </c>
      <c r="G1276" s="1" t="s">
        <v>6880</v>
      </c>
      <c r="H1276" s="1" t="s">
        <v>3604</v>
      </c>
      <c r="I1276" s="1" t="s">
        <v>6890</v>
      </c>
      <c r="J1276" s="1" t="s">
        <v>3606</v>
      </c>
      <c r="K1276" s="1"/>
      <c r="L1276" s="1"/>
      <c r="M1276" s="1"/>
    </row>
    <row x14ac:dyDescent="0.25" r="1277" customHeight="1" ht="18.75">
      <c r="A1277" s="1" t="s">
        <v>3598</v>
      </c>
      <c r="B1277" s="1" t="s">
        <v>6878</v>
      </c>
      <c r="C1277" s="1" t="s">
        <v>3600</v>
      </c>
      <c r="D1277" s="1" t="s">
        <v>3601</v>
      </c>
      <c r="E1277" s="1"/>
      <c r="F1277" s="1" t="s">
        <v>6891</v>
      </c>
      <c r="G1277" s="1" t="s">
        <v>6880</v>
      </c>
      <c r="H1277" s="1" t="s">
        <v>3604</v>
      </c>
      <c r="I1277" s="1" t="s">
        <v>6892</v>
      </c>
      <c r="J1277" s="1" t="s">
        <v>3606</v>
      </c>
      <c r="K1277" s="1"/>
      <c r="L1277" s="1"/>
      <c r="M1277" s="1"/>
    </row>
    <row x14ac:dyDescent="0.25" r="1278" customHeight="1" ht="18.75">
      <c r="A1278" s="1" t="s">
        <v>3598</v>
      </c>
      <c r="B1278" s="1" t="s">
        <v>6893</v>
      </c>
      <c r="C1278" s="1" t="s">
        <v>3600</v>
      </c>
      <c r="D1278" s="1" t="s">
        <v>3601</v>
      </c>
      <c r="E1278" s="1"/>
      <c r="F1278" s="1" t="s">
        <v>6879</v>
      </c>
      <c r="G1278" s="1" t="s">
        <v>6894</v>
      </c>
      <c r="H1278" s="1" t="s">
        <v>3604</v>
      </c>
      <c r="I1278" s="1" t="s">
        <v>6895</v>
      </c>
      <c r="J1278" s="1" t="s">
        <v>3606</v>
      </c>
      <c r="K1278" s="1"/>
      <c r="L1278" s="1"/>
      <c r="M1278" s="1"/>
    </row>
    <row x14ac:dyDescent="0.25" r="1279" customHeight="1" ht="18.75">
      <c r="A1279" s="1" t="s">
        <v>3598</v>
      </c>
      <c r="B1279" s="1" t="s">
        <v>6878</v>
      </c>
      <c r="C1279" s="1" t="s">
        <v>3600</v>
      </c>
      <c r="D1279" s="1" t="s">
        <v>3601</v>
      </c>
      <c r="E1279" s="1"/>
      <c r="F1279" s="1" t="s">
        <v>6896</v>
      </c>
      <c r="G1279" s="1" t="s">
        <v>6880</v>
      </c>
      <c r="H1279" s="1" t="s">
        <v>3604</v>
      </c>
      <c r="I1279" s="1" t="s">
        <v>6897</v>
      </c>
      <c r="J1279" s="1" t="s">
        <v>3606</v>
      </c>
      <c r="K1279" s="1"/>
      <c r="L1279" s="1"/>
      <c r="M1279" s="1"/>
    </row>
    <row x14ac:dyDescent="0.25" r="1280" customHeight="1" ht="18.75">
      <c r="A1280" s="1" t="s">
        <v>3598</v>
      </c>
      <c r="B1280" s="1" t="s">
        <v>6893</v>
      </c>
      <c r="C1280" s="1" t="s">
        <v>3600</v>
      </c>
      <c r="D1280" s="1" t="s">
        <v>3601</v>
      </c>
      <c r="E1280" s="1"/>
      <c r="F1280" s="1" t="s">
        <v>6889</v>
      </c>
      <c r="G1280" s="1" t="s">
        <v>6894</v>
      </c>
      <c r="H1280" s="1" t="s">
        <v>3604</v>
      </c>
      <c r="I1280" s="1" t="s">
        <v>6898</v>
      </c>
      <c r="J1280" s="1" t="s">
        <v>3606</v>
      </c>
      <c r="K1280" s="1"/>
      <c r="L1280" s="1"/>
      <c r="M1280" s="1"/>
    </row>
    <row x14ac:dyDescent="0.25" r="1281" customHeight="1" ht="18.75">
      <c r="A1281" s="1" t="s">
        <v>3598</v>
      </c>
      <c r="B1281" s="1" t="s">
        <v>6878</v>
      </c>
      <c r="C1281" s="1" t="s">
        <v>3600</v>
      </c>
      <c r="D1281" s="1" t="s">
        <v>3601</v>
      </c>
      <c r="E1281" s="1"/>
      <c r="F1281" s="1" t="s">
        <v>6899</v>
      </c>
      <c r="G1281" s="1" t="s">
        <v>6880</v>
      </c>
      <c r="H1281" s="1" t="s">
        <v>3604</v>
      </c>
      <c r="I1281" s="1" t="s">
        <v>6900</v>
      </c>
      <c r="J1281" s="1" t="s">
        <v>3606</v>
      </c>
      <c r="K1281" s="1"/>
      <c r="L1281" s="1"/>
      <c r="M1281" s="1"/>
    </row>
    <row x14ac:dyDescent="0.25" r="1282" customHeight="1" ht="18.75">
      <c r="A1282" s="1" t="s">
        <v>3598</v>
      </c>
      <c r="B1282" s="1" t="s">
        <v>6893</v>
      </c>
      <c r="C1282" s="1" t="s">
        <v>3600</v>
      </c>
      <c r="D1282" s="1" t="s">
        <v>3601</v>
      </c>
      <c r="E1282" s="1"/>
      <c r="F1282" s="1" t="s">
        <v>6901</v>
      </c>
      <c r="G1282" s="1" t="s">
        <v>6894</v>
      </c>
      <c r="H1282" s="1" t="s">
        <v>3604</v>
      </c>
      <c r="I1282" s="1" t="s">
        <v>6902</v>
      </c>
      <c r="J1282" s="1" t="s">
        <v>3606</v>
      </c>
      <c r="K1282" s="1"/>
      <c r="L1282" s="1"/>
      <c r="M1282" s="1"/>
    </row>
    <row x14ac:dyDescent="0.25" r="1283" customHeight="1" ht="18.75">
      <c r="A1283" s="1" t="s">
        <v>3598</v>
      </c>
      <c r="B1283" s="1" t="s">
        <v>4600</v>
      </c>
      <c r="C1283" s="1" t="s">
        <v>3600</v>
      </c>
      <c r="D1283" s="1" t="s">
        <v>3601</v>
      </c>
      <c r="E1283" s="1" t="s">
        <v>3664</v>
      </c>
      <c r="F1283" s="1" t="s">
        <v>6903</v>
      </c>
      <c r="G1283" s="1" t="s">
        <v>6904</v>
      </c>
      <c r="H1283" s="1" t="s">
        <v>3604</v>
      </c>
      <c r="I1283" s="1" t="s">
        <v>6905</v>
      </c>
      <c r="J1283" s="1" t="s">
        <v>3615</v>
      </c>
      <c r="K1283" s="1"/>
      <c r="L1283" s="1"/>
      <c r="M1283" s="1"/>
    </row>
    <row x14ac:dyDescent="0.25" r="1284" customHeight="1" ht="18.75">
      <c r="A1284" s="1" t="s">
        <v>3598</v>
      </c>
      <c r="B1284" s="1" t="s">
        <v>6893</v>
      </c>
      <c r="C1284" s="1" t="s">
        <v>3600</v>
      </c>
      <c r="D1284" s="1" t="s">
        <v>3601</v>
      </c>
      <c r="E1284" s="1"/>
      <c r="F1284" s="1" t="s">
        <v>6891</v>
      </c>
      <c r="G1284" s="1" t="s">
        <v>6894</v>
      </c>
      <c r="H1284" s="1" t="s">
        <v>3604</v>
      </c>
      <c r="I1284" s="1" t="s">
        <v>6906</v>
      </c>
      <c r="J1284" s="1" t="s">
        <v>3606</v>
      </c>
      <c r="K1284" s="1"/>
      <c r="L1284" s="1"/>
      <c r="M1284" s="1"/>
    </row>
    <row x14ac:dyDescent="0.25" r="1285" customHeight="1" ht="18.75">
      <c r="A1285" s="1" t="s">
        <v>3598</v>
      </c>
      <c r="B1285" s="1" t="s">
        <v>6893</v>
      </c>
      <c r="C1285" s="1" t="s">
        <v>3600</v>
      </c>
      <c r="D1285" s="1" t="s">
        <v>3601</v>
      </c>
      <c r="E1285" s="1"/>
      <c r="F1285" s="1" t="s">
        <v>6884</v>
      </c>
      <c r="G1285" s="1" t="s">
        <v>6894</v>
      </c>
      <c r="H1285" s="1" t="s">
        <v>3604</v>
      </c>
      <c r="I1285" s="1" t="s">
        <v>6907</v>
      </c>
      <c r="J1285" s="1" t="s">
        <v>3606</v>
      </c>
      <c r="K1285" s="1"/>
      <c r="L1285" s="1"/>
      <c r="M1285" s="1"/>
    </row>
    <row x14ac:dyDescent="0.25" r="1286" customHeight="1" ht="18.75">
      <c r="A1286" s="1" t="s">
        <v>3598</v>
      </c>
      <c r="B1286" s="1" t="s">
        <v>6893</v>
      </c>
      <c r="C1286" s="1" t="s">
        <v>3600</v>
      </c>
      <c r="D1286" s="1" t="s">
        <v>3601</v>
      </c>
      <c r="E1286" s="1"/>
      <c r="F1286" s="1" t="s">
        <v>6896</v>
      </c>
      <c r="G1286" s="1" t="s">
        <v>6894</v>
      </c>
      <c r="H1286" s="1" t="s">
        <v>3604</v>
      </c>
      <c r="I1286" s="1" t="s">
        <v>6908</v>
      </c>
      <c r="J1286" s="1" t="s">
        <v>3606</v>
      </c>
      <c r="K1286" s="1"/>
      <c r="L1286" s="1"/>
      <c r="M1286" s="1"/>
    </row>
    <row x14ac:dyDescent="0.25" r="1287" customHeight="1" ht="18.75">
      <c r="A1287" s="1" t="s">
        <v>3598</v>
      </c>
      <c r="B1287" s="1" t="s">
        <v>6047</v>
      </c>
      <c r="C1287" s="1" t="s">
        <v>3600</v>
      </c>
      <c r="D1287" s="1" t="s">
        <v>3601</v>
      </c>
      <c r="E1287" s="1"/>
      <c r="F1287" s="1" t="s">
        <v>6909</v>
      </c>
      <c r="G1287" s="1" t="s">
        <v>6052</v>
      </c>
      <c r="H1287" s="1" t="s">
        <v>3604</v>
      </c>
      <c r="I1287" s="1" t="s">
        <v>6910</v>
      </c>
      <c r="J1287" s="1" t="s">
        <v>3606</v>
      </c>
      <c r="K1287" s="1"/>
      <c r="L1287" s="1"/>
      <c r="M1287" s="1"/>
    </row>
    <row x14ac:dyDescent="0.25" r="1288" customHeight="1" ht="18.75">
      <c r="A1288" s="1" t="s">
        <v>3598</v>
      </c>
      <c r="B1288" s="1" t="s">
        <v>4600</v>
      </c>
      <c r="C1288" s="1" t="s">
        <v>3600</v>
      </c>
      <c r="D1288" s="1" t="s">
        <v>3601</v>
      </c>
      <c r="E1288" s="1" t="s">
        <v>3664</v>
      </c>
      <c r="F1288" s="1" t="s">
        <v>6911</v>
      </c>
      <c r="G1288" s="1" t="s">
        <v>6912</v>
      </c>
      <c r="H1288" s="1" t="s">
        <v>3604</v>
      </c>
      <c r="I1288" s="1" t="s">
        <v>6913</v>
      </c>
      <c r="J1288" s="1" t="s">
        <v>3615</v>
      </c>
      <c r="K1288" s="1"/>
      <c r="L1288" s="1"/>
      <c r="M1288" s="1"/>
    </row>
    <row x14ac:dyDescent="0.25" r="1289" customHeight="1" ht="18.75">
      <c r="A1289" s="1" t="s">
        <v>3598</v>
      </c>
      <c r="B1289" s="1" t="s">
        <v>6047</v>
      </c>
      <c r="C1289" s="1" t="s">
        <v>3600</v>
      </c>
      <c r="D1289" s="1" t="s">
        <v>3601</v>
      </c>
      <c r="E1289" s="1"/>
      <c r="F1289" s="1" t="s">
        <v>6914</v>
      </c>
      <c r="G1289" s="1" t="s">
        <v>6052</v>
      </c>
      <c r="H1289" s="1" t="s">
        <v>3604</v>
      </c>
      <c r="I1289" s="1" t="s">
        <v>6915</v>
      </c>
      <c r="J1289" s="1" t="s">
        <v>3606</v>
      </c>
      <c r="K1289" s="1"/>
      <c r="L1289" s="1"/>
      <c r="M1289" s="1"/>
    </row>
    <row x14ac:dyDescent="0.25" r="1290" customHeight="1" ht="18.75">
      <c r="A1290" s="1" t="s">
        <v>3598</v>
      </c>
      <c r="B1290" s="1" t="s">
        <v>6047</v>
      </c>
      <c r="C1290" s="1" t="s">
        <v>3600</v>
      </c>
      <c r="D1290" s="1" t="s">
        <v>3601</v>
      </c>
      <c r="E1290" s="1"/>
      <c r="F1290" s="1" t="s">
        <v>6916</v>
      </c>
      <c r="G1290" s="1" t="s">
        <v>6052</v>
      </c>
      <c r="H1290" s="1" t="s">
        <v>3604</v>
      </c>
      <c r="I1290" s="1" t="s">
        <v>6917</v>
      </c>
      <c r="J1290" s="1" t="s">
        <v>3606</v>
      </c>
      <c r="K1290" s="1"/>
      <c r="L1290" s="1"/>
      <c r="M1290" s="1"/>
    </row>
    <row x14ac:dyDescent="0.25" r="1291" customHeight="1" ht="18.75">
      <c r="A1291" s="1" t="s">
        <v>3598</v>
      </c>
      <c r="B1291" s="1" t="s">
        <v>6047</v>
      </c>
      <c r="C1291" s="1" t="s">
        <v>3600</v>
      </c>
      <c r="D1291" s="1" t="s">
        <v>3601</v>
      </c>
      <c r="E1291" s="1"/>
      <c r="F1291" s="1" t="s">
        <v>6918</v>
      </c>
      <c r="G1291" s="1" t="s">
        <v>6052</v>
      </c>
      <c r="H1291" s="1" t="s">
        <v>3604</v>
      </c>
      <c r="I1291" s="1" t="s">
        <v>6919</v>
      </c>
      <c r="J1291" s="1" t="s">
        <v>3606</v>
      </c>
      <c r="K1291" s="1"/>
      <c r="L1291" s="1"/>
      <c r="M1291" s="1"/>
    </row>
    <row x14ac:dyDescent="0.25" r="1292" customHeight="1" ht="18.75">
      <c r="A1292" s="1" t="s">
        <v>3598</v>
      </c>
      <c r="B1292" s="1" t="s">
        <v>6047</v>
      </c>
      <c r="C1292" s="1" t="s">
        <v>3600</v>
      </c>
      <c r="D1292" s="1" t="s">
        <v>3601</v>
      </c>
      <c r="E1292" s="1"/>
      <c r="F1292" s="1" t="s">
        <v>6920</v>
      </c>
      <c r="G1292" s="1" t="s">
        <v>6052</v>
      </c>
      <c r="H1292" s="1" t="s">
        <v>3604</v>
      </c>
      <c r="I1292" s="1" t="s">
        <v>6921</v>
      </c>
      <c r="J1292" s="1" t="s">
        <v>3606</v>
      </c>
      <c r="K1292" s="1"/>
      <c r="L1292" s="1"/>
      <c r="M1292" s="1"/>
    </row>
    <row x14ac:dyDescent="0.25" r="1293" customHeight="1" ht="18.75">
      <c r="A1293" s="1" t="s">
        <v>3598</v>
      </c>
      <c r="B1293" s="1" t="s">
        <v>6047</v>
      </c>
      <c r="C1293" s="1" t="s">
        <v>3600</v>
      </c>
      <c r="D1293" s="1" t="s">
        <v>3601</v>
      </c>
      <c r="E1293" s="1"/>
      <c r="F1293" s="1" t="s">
        <v>6922</v>
      </c>
      <c r="G1293" s="1" t="s">
        <v>6052</v>
      </c>
      <c r="H1293" s="1" t="s">
        <v>3604</v>
      </c>
      <c r="I1293" s="1" t="s">
        <v>6923</v>
      </c>
      <c r="J1293" s="1" t="s">
        <v>3606</v>
      </c>
      <c r="K1293" s="1"/>
      <c r="L1293" s="1"/>
      <c r="M1293" s="1"/>
    </row>
    <row x14ac:dyDescent="0.25" r="1294" customHeight="1" ht="18.75">
      <c r="A1294" s="1" t="s">
        <v>3598</v>
      </c>
      <c r="B1294" s="1" t="s">
        <v>6047</v>
      </c>
      <c r="C1294" s="1" t="s">
        <v>3600</v>
      </c>
      <c r="D1294" s="1" t="s">
        <v>3601</v>
      </c>
      <c r="E1294" s="1"/>
      <c r="F1294" s="1" t="s">
        <v>6924</v>
      </c>
      <c r="G1294" s="1" t="s">
        <v>6052</v>
      </c>
      <c r="H1294" s="1" t="s">
        <v>3604</v>
      </c>
      <c r="I1294" s="1" t="s">
        <v>6925</v>
      </c>
      <c r="J1294" s="1" t="s">
        <v>3606</v>
      </c>
      <c r="K1294" s="1"/>
      <c r="L1294" s="1"/>
      <c r="M1294" s="1"/>
    </row>
    <row x14ac:dyDescent="0.25" r="1295" customHeight="1" ht="18.75">
      <c r="A1295" s="1" t="s">
        <v>3598</v>
      </c>
      <c r="B1295" s="1" t="s">
        <v>6047</v>
      </c>
      <c r="C1295" s="1" t="s">
        <v>3600</v>
      </c>
      <c r="D1295" s="1" t="s">
        <v>3601</v>
      </c>
      <c r="E1295" s="1"/>
      <c r="F1295" s="1" t="s">
        <v>6918</v>
      </c>
      <c r="G1295" s="1" t="s">
        <v>6049</v>
      </c>
      <c r="H1295" s="1" t="s">
        <v>3604</v>
      </c>
      <c r="I1295" s="1" t="s">
        <v>6926</v>
      </c>
      <c r="J1295" s="1" t="s">
        <v>3606</v>
      </c>
      <c r="K1295" s="1"/>
      <c r="L1295" s="1"/>
      <c r="M1295" s="1"/>
    </row>
    <row x14ac:dyDescent="0.25" r="1296" customHeight="1" ht="18.75">
      <c r="A1296" s="1" t="s">
        <v>3598</v>
      </c>
      <c r="B1296" s="1" t="s">
        <v>6047</v>
      </c>
      <c r="C1296" s="1" t="s">
        <v>3600</v>
      </c>
      <c r="D1296" s="1" t="s">
        <v>3601</v>
      </c>
      <c r="E1296" s="1"/>
      <c r="F1296" s="1" t="s">
        <v>6927</v>
      </c>
      <c r="G1296" s="1" t="s">
        <v>6052</v>
      </c>
      <c r="H1296" s="1" t="s">
        <v>3604</v>
      </c>
      <c r="I1296" s="1" t="s">
        <v>6928</v>
      </c>
      <c r="J1296" s="1" t="s">
        <v>3606</v>
      </c>
      <c r="K1296" s="1"/>
      <c r="L1296" s="1"/>
      <c r="M1296" s="1"/>
    </row>
    <row x14ac:dyDescent="0.25" r="1297" customHeight="1" ht="18.75">
      <c r="A1297" s="1" t="s">
        <v>3598</v>
      </c>
      <c r="B1297" s="1" t="s">
        <v>6047</v>
      </c>
      <c r="C1297" s="1" t="s">
        <v>3600</v>
      </c>
      <c r="D1297" s="1" t="s">
        <v>3601</v>
      </c>
      <c r="E1297" s="1"/>
      <c r="F1297" s="1" t="s">
        <v>6920</v>
      </c>
      <c r="G1297" s="1" t="s">
        <v>6049</v>
      </c>
      <c r="H1297" s="1" t="s">
        <v>3604</v>
      </c>
      <c r="I1297" s="1" t="s">
        <v>6929</v>
      </c>
      <c r="J1297" s="1" t="s">
        <v>3606</v>
      </c>
      <c r="K1297" s="1"/>
      <c r="L1297" s="1"/>
      <c r="M1297" s="1"/>
    </row>
    <row x14ac:dyDescent="0.25" r="1298" customHeight="1" ht="18.75">
      <c r="A1298" s="1" t="s">
        <v>3598</v>
      </c>
      <c r="B1298" s="1" t="s">
        <v>6047</v>
      </c>
      <c r="C1298" s="1" t="s">
        <v>3600</v>
      </c>
      <c r="D1298" s="1" t="s">
        <v>3601</v>
      </c>
      <c r="E1298" s="1"/>
      <c r="F1298" s="1" t="s">
        <v>6922</v>
      </c>
      <c r="G1298" s="1" t="s">
        <v>6049</v>
      </c>
      <c r="H1298" s="1" t="s">
        <v>3604</v>
      </c>
      <c r="I1298" s="1" t="s">
        <v>6930</v>
      </c>
      <c r="J1298" s="1" t="s">
        <v>3606</v>
      </c>
      <c r="K1298" s="1"/>
      <c r="L1298" s="1"/>
      <c r="M1298" s="1"/>
    </row>
    <row x14ac:dyDescent="0.25" r="1299" customHeight="1" ht="18.75">
      <c r="A1299" s="1" t="s">
        <v>3598</v>
      </c>
      <c r="B1299" s="1" t="s">
        <v>6047</v>
      </c>
      <c r="C1299" s="1" t="s">
        <v>3600</v>
      </c>
      <c r="D1299" s="1" t="s">
        <v>3601</v>
      </c>
      <c r="E1299" s="1"/>
      <c r="F1299" s="1" t="s">
        <v>6916</v>
      </c>
      <c r="G1299" s="1" t="s">
        <v>6049</v>
      </c>
      <c r="H1299" s="1" t="s">
        <v>3604</v>
      </c>
      <c r="I1299" s="1" t="s">
        <v>6931</v>
      </c>
      <c r="J1299" s="1" t="s">
        <v>3606</v>
      </c>
      <c r="K1299" s="1"/>
      <c r="L1299" s="1"/>
      <c r="M1299" s="1"/>
    </row>
    <row x14ac:dyDescent="0.25" r="1300" customHeight="1" ht="18.75">
      <c r="A1300" s="1" t="s">
        <v>3598</v>
      </c>
      <c r="B1300" s="1" t="s">
        <v>4600</v>
      </c>
      <c r="C1300" s="1" t="s">
        <v>3600</v>
      </c>
      <c r="D1300" s="1" t="s">
        <v>3601</v>
      </c>
      <c r="E1300" s="1" t="s">
        <v>3893</v>
      </c>
      <c r="F1300" s="1" t="s">
        <v>6932</v>
      </c>
      <c r="G1300" s="1" t="s">
        <v>6933</v>
      </c>
      <c r="H1300" s="1" t="s">
        <v>3604</v>
      </c>
      <c r="I1300" s="1" t="s">
        <v>6934</v>
      </c>
      <c r="J1300" s="1" t="s">
        <v>3615</v>
      </c>
      <c r="K1300" s="1"/>
      <c r="L1300" s="1"/>
      <c r="M1300" s="1"/>
    </row>
    <row x14ac:dyDescent="0.25" r="1301" customHeight="1" ht="18.75">
      <c r="A1301" s="1" t="s">
        <v>3598</v>
      </c>
      <c r="B1301" s="1" t="s">
        <v>4600</v>
      </c>
      <c r="C1301" s="1" t="s">
        <v>3600</v>
      </c>
      <c r="D1301" s="1" t="s">
        <v>3601</v>
      </c>
      <c r="E1301" s="1" t="s">
        <v>3893</v>
      </c>
      <c r="F1301" s="1" t="s">
        <v>6935</v>
      </c>
      <c r="G1301" s="1" t="s">
        <v>6936</v>
      </c>
      <c r="H1301" s="1" t="s">
        <v>3604</v>
      </c>
      <c r="I1301" s="1" t="s">
        <v>6937</v>
      </c>
      <c r="J1301" s="1" t="s">
        <v>3615</v>
      </c>
      <c r="K1301" s="1"/>
      <c r="L1301" s="1"/>
      <c r="M1301" s="1"/>
    </row>
    <row x14ac:dyDescent="0.25" r="1302" customHeight="1" ht="18.75">
      <c r="A1302" s="1" t="s">
        <v>3598</v>
      </c>
      <c r="B1302" s="1" t="s">
        <v>4600</v>
      </c>
      <c r="C1302" s="1" t="s">
        <v>3600</v>
      </c>
      <c r="D1302" s="1" t="s">
        <v>3601</v>
      </c>
      <c r="E1302" s="1" t="s">
        <v>3893</v>
      </c>
      <c r="F1302" s="1" t="s">
        <v>6938</v>
      </c>
      <c r="G1302" s="1" t="s">
        <v>6939</v>
      </c>
      <c r="H1302" s="1" t="s">
        <v>3604</v>
      </c>
      <c r="I1302" s="1" t="s">
        <v>6940</v>
      </c>
      <c r="J1302" s="1" t="s">
        <v>3615</v>
      </c>
      <c r="K1302" s="1"/>
      <c r="L1302" s="1"/>
      <c r="M1302" s="1"/>
    </row>
    <row x14ac:dyDescent="0.25" r="1303" customHeight="1" ht="18.75">
      <c r="A1303" s="1" t="s">
        <v>3598</v>
      </c>
      <c r="B1303" s="1" t="s">
        <v>6047</v>
      </c>
      <c r="C1303" s="1" t="s">
        <v>3600</v>
      </c>
      <c r="D1303" s="1" t="s">
        <v>3601</v>
      </c>
      <c r="E1303" s="1"/>
      <c r="F1303" s="1" t="s">
        <v>6909</v>
      </c>
      <c r="G1303" s="1" t="s">
        <v>6049</v>
      </c>
      <c r="H1303" s="1" t="s">
        <v>3604</v>
      </c>
      <c r="I1303" s="1" t="s">
        <v>6941</v>
      </c>
      <c r="J1303" s="1" t="s">
        <v>3606</v>
      </c>
      <c r="K1303" s="1"/>
      <c r="L1303" s="1"/>
      <c r="M1303" s="1"/>
    </row>
    <row x14ac:dyDescent="0.25" r="1304" customHeight="1" ht="18.75">
      <c r="A1304" s="1" t="s">
        <v>3598</v>
      </c>
      <c r="B1304" s="1" t="s">
        <v>4095</v>
      </c>
      <c r="C1304" s="1" t="s">
        <v>3600</v>
      </c>
      <c r="D1304" s="1" t="s">
        <v>3601</v>
      </c>
      <c r="E1304" s="1" t="s">
        <v>3664</v>
      </c>
      <c r="F1304" s="1" t="s">
        <v>6942</v>
      </c>
      <c r="G1304" s="1" t="s">
        <v>6730</v>
      </c>
      <c r="H1304" s="1" t="s">
        <v>3604</v>
      </c>
      <c r="I1304" s="1" t="s">
        <v>6943</v>
      </c>
      <c r="J1304" s="1" t="s">
        <v>3615</v>
      </c>
      <c r="K1304" s="1"/>
      <c r="L1304" s="1"/>
      <c r="M1304" s="1"/>
    </row>
    <row x14ac:dyDescent="0.25" r="1305" customHeight="1" ht="18.75">
      <c r="A1305" s="1" t="s">
        <v>3598</v>
      </c>
      <c r="B1305" s="1" t="s">
        <v>4095</v>
      </c>
      <c r="C1305" s="1" t="s">
        <v>3600</v>
      </c>
      <c r="D1305" s="1" t="s">
        <v>3601</v>
      </c>
      <c r="E1305" s="1" t="s">
        <v>3664</v>
      </c>
      <c r="F1305" s="1" t="s">
        <v>6944</v>
      </c>
      <c r="G1305" s="1" t="s">
        <v>6945</v>
      </c>
      <c r="H1305" s="1" t="s">
        <v>3604</v>
      </c>
      <c r="I1305" s="1" t="s">
        <v>6946</v>
      </c>
      <c r="J1305" s="1" t="s">
        <v>3615</v>
      </c>
      <c r="K1305" s="1"/>
      <c r="L1305" s="1"/>
      <c r="M1305" s="1"/>
    </row>
    <row x14ac:dyDescent="0.25" r="1306" customHeight="1" ht="18.75">
      <c r="A1306" s="1" t="s">
        <v>3598</v>
      </c>
      <c r="B1306" s="1" t="s">
        <v>4095</v>
      </c>
      <c r="C1306" s="1" t="s">
        <v>3600</v>
      </c>
      <c r="D1306" s="1" t="s">
        <v>3601</v>
      </c>
      <c r="E1306" s="1" t="s">
        <v>3664</v>
      </c>
      <c r="F1306" s="1" t="s">
        <v>6947</v>
      </c>
      <c r="G1306" s="1" t="s">
        <v>6730</v>
      </c>
      <c r="H1306" s="1" t="s">
        <v>3604</v>
      </c>
      <c r="I1306" s="1" t="s">
        <v>6948</v>
      </c>
      <c r="J1306" s="1" t="s">
        <v>3615</v>
      </c>
      <c r="K1306" s="1"/>
      <c r="L1306" s="1"/>
      <c r="M1306" s="1"/>
    </row>
    <row x14ac:dyDescent="0.25" r="1307" customHeight="1" ht="18.75">
      <c r="A1307" s="1" t="s">
        <v>3598</v>
      </c>
      <c r="B1307" s="1" t="s">
        <v>6047</v>
      </c>
      <c r="C1307" s="1" t="s">
        <v>3600</v>
      </c>
      <c r="D1307" s="1" t="s">
        <v>3601</v>
      </c>
      <c r="E1307" s="1"/>
      <c r="F1307" s="1" t="s">
        <v>6949</v>
      </c>
      <c r="G1307" s="1" t="s">
        <v>6049</v>
      </c>
      <c r="H1307" s="1" t="s">
        <v>3604</v>
      </c>
      <c r="I1307" s="1" t="s">
        <v>6950</v>
      </c>
      <c r="J1307" s="1" t="s">
        <v>3606</v>
      </c>
      <c r="K1307" s="1"/>
      <c r="L1307" s="1"/>
      <c r="M1307" s="1"/>
    </row>
    <row x14ac:dyDescent="0.25" r="1308" customHeight="1" ht="18.75">
      <c r="A1308" s="1" t="s">
        <v>3598</v>
      </c>
      <c r="B1308" s="1" t="s">
        <v>6047</v>
      </c>
      <c r="C1308" s="1" t="s">
        <v>3600</v>
      </c>
      <c r="D1308" s="1" t="s">
        <v>3601</v>
      </c>
      <c r="E1308" s="1"/>
      <c r="F1308" s="1" t="s">
        <v>6951</v>
      </c>
      <c r="G1308" s="1" t="s">
        <v>6049</v>
      </c>
      <c r="H1308" s="1" t="s">
        <v>3604</v>
      </c>
      <c r="I1308" s="1" t="s">
        <v>6952</v>
      </c>
      <c r="J1308" s="1" t="s">
        <v>3606</v>
      </c>
      <c r="K1308" s="1"/>
      <c r="L1308" s="1"/>
      <c r="M1308" s="1"/>
    </row>
    <row x14ac:dyDescent="0.25" r="1309" customHeight="1" ht="18.75">
      <c r="A1309" s="1" t="s">
        <v>3598</v>
      </c>
      <c r="B1309" s="1" t="s">
        <v>6047</v>
      </c>
      <c r="C1309" s="1" t="s">
        <v>3600</v>
      </c>
      <c r="D1309" s="1" t="s">
        <v>3601</v>
      </c>
      <c r="E1309" s="1"/>
      <c r="F1309" s="1" t="s">
        <v>6914</v>
      </c>
      <c r="G1309" s="1" t="s">
        <v>6049</v>
      </c>
      <c r="H1309" s="1" t="s">
        <v>3604</v>
      </c>
      <c r="I1309" s="1" t="s">
        <v>6953</v>
      </c>
      <c r="J1309" s="1" t="s">
        <v>3606</v>
      </c>
      <c r="K1309" s="1"/>
      <c r="L1309" s="1"/>
      <c r="M1309" s="1"/>
    </row>
    <row x14ac:dyDescent="0.25" r="1310" customHeight="1" ht="18.75">
      <c r="A1310" s="1" t="s">
        <v>3598</v>
      </c>
      <c r="B1310" s="1" t="s">
        <v>6954</v>
      </c>
      <c r="C1310" s="1" t="s">
        <v>3600</v>
      </c>
      <c r="D1310" s="1" t="s">
        <v>3601</v>
      </c>
      <c r="E1310" s="1" t="s">
        <v>3664</v>
      </c>
      <c r="F1310" s="1" t="s">
        <v>6955</v>
      </c>
      <c r="G1310" s="1" t="s">
        <v>6956</v>
      </c>
      <c r="H1310" s="1" t="s">
        <v>3604</v>
      </c>
      <c r="I1310" s="1" t="s">
        <v>6957</v>
      </c>
      <c r="J1310" s="1" t="s">
        <v>3606</v>
      </c>
      <c r="K1310" s="1"/>
      <c r="L1310" s="1"/>
      <c r="M1310" s="1"/>
    </row>
    <row x14ac:dyDescent="0.25" r="1311" customHeight="1" ht="18.75">
      <c r="A1311" s="1" t="s">
        <v>3693</v>
      </c>
      <c r="B1311" s="1" t="s">
        <v>4158</v>
      </c>
      <c r="C1311" s="1" t="s">
        <v>3600</v>
      </c>
      <c r="D1311" s="1" t="s">
        <v>3601</v>
      </c>
      <c r="E1311" s="1" t="s">
        <v>3893</v>
      </c>
      <c r="F1311" s="1" t="s">
        <v>6958</v>
      </c>
      <c r="G1311" s="1" t="s">
        <v>6959</v>
      </c>
      <c r="H1311" s="1" t="s">
        <v>3604</v>
      </c>
      <c r="I1311" s="1" t="s">
        <v>6960</v>
      </c>
      <c r="J1311" s="1" t="s">
        <v>3606</v>
      </c>
      <c r="K1311" s="1"/>
      <c r="L1311" s="1"/>
      <c r="M1311" s="1"/>
    </row>
    <row x14ac:dyDescent="0.25" r="1312" customHeight="1" ht="18.75">
      <c r="A1312" s="1" t="s">
        <v>3693</v>
      </c>
      <c r="B1312" s="1" t="s">
        <v>4091</v>
      </c>
      <c r="C1312" s="1" t="s">
        <v>3600</v>
      </c>
      <c r="D1312" s="1" t="s">
        <v>3601</v>
      </c>
      <c r="E1312" s="1" t="s">
        <v>3611</v>
      </c>
      <c r="F1312" s="1" t="s">
        <v>6961</v>
      </c>
      <c r="G1312" s="1" t="s">
        <v>4706</v>
      </c>
      <c r="H1312" s="1" t="s">
        <v>3604</v>
      </c>
      <c r="I1312" s="1" t="s">
        <v>6962</v>
      </c>
      <c r="J1312" s="1" t="s">
        <v>3615</v>
      </c>
      <c r="K1312" s="1"/>
      <c r="L1312" s="1"/>
      <c r="M1312" s="1"/>
    </row>
    <row x14ac:dyDescent="0.25" r="1313" customHeight="1" ht="18.75">
      <c r="A1313" s="1" t="s">
        <v>3693</v>
      </c>
      <c r="B1313" s="1" t="s">
        <v>4091</v>
      </c>
      <c r="C1313" s="1" t="s">
        <v>3600</v>
      </c>
      <c r="D1313" s="1" t="s">
        <v>3601</v>
      </c>
      <c r="E1313" s="1" t="s">
        <v>3611</v>
      </c>
      <c r="F1313" s="1" t="s">
        <v>6963</v>
      </c>
      <c r="G1313" s="1" t="s">
        <v>4706</v>
      </c>
      <c r="H1313" s="1" t="s">
        <v>3604</v>
      </c>
      <c r="I1313" s="1" t="s">
        <v>6964</v>
      </c>
      <c r="J1313" s="1" t="s">
        <v>3615</v>
      </c>
      <c r="K1313" s="1"/>
      <c r="L1313" s="1"/>
      <c r="M1313" s="1"/>
    </row>
    <row x14ac:dyDescent="0.25" r="1314" customHeight="1" ht="18.75">
      <c r="A1314" s="1" t="s">
        <v>3693</v>
      </c>
      <c r="B1314" s="1" t="s">
        <v>4332</v>
      </c>
      <c r="C1314" s="1" t="s">
        <v>3600</v>
      </c>
      <c r="D1314" s="1" t="s">
        <v>3601</v>
      </c>
      <c r="E1314" s="1" t="s">
        <v>3893</v>
      </c>
      <c r="F1314" s="1" t="s">
        <v>6965</v>
      </c>
      <c r="G1314" s="1" t="s">
        <v>6678</v>
      </c>
      <c r="H1314" s="1" t="s">
        <v>3604</v>
      </c>
      <c r="I1314" s="1" t="s">
        <v>6966</v>
      </c>
      <c r="J1314" s="1" t="s">
        <v>3606</v>
      </c>
      <c r="K1314" s="1"/>
      <c r="L1314" s="1"/>
      <c r="M1314" s="1"/>
    </row>
    <row x14ac:dyDescent="0.25" r="1315" customHeight="1" ht="18.75">
      <c r="A1315" s="1" t="s">
        <v>3693</v>
      </c>
      <c r="B1315" s="1" t="s">
        <v>4192</v>
      </c>
      <c r="C1315" s="1" t="s">
        <v>3600</v>
      </c>
      <c r="D1315" s="1" t="s">
        <v>3601</v>
      </c>
      <c r="E1315" s="1" t="s">
        <v>3893</v>
      </c>
      <c r="F1315" s="1" t="s">
        <v>6967</v>
      </c>
      <c r="G1315" s="1" t="s">
        <v>4342</v>
      </c>
      <c r="H1315" s="1" t="s">
        <v>3604</v>
      </c>
      <c r="I1315" s="1" t="s">
        <v>6968</v>
      </c>
      <c r="J1315" s="1" t="s">
        <v>3606</v>
      </c>
      <c r="K1315" s="1"/>
      <c r="L1315" s="1"/>
      <c r="M1315" s="1"/>
    </row>
    <row x14ac:dyDescent="0.25" r="1316" customHeight="1" ht="18.75">
      <c r="A1316" s="1" t="s">
        <v>3693</v>
      </c>
      <c r="B1316" s="1" t="s">
        <v>4148</v>
      </c>
      <c r="C1316" s="1" t="s">
        <v>3600</v>
      </c>
      <c r="D1316" s="1" t="s">
        <v>3601</v>
      </c>
      <c r="E1316" s="1" t="s">
        <v>3664</v>
      </c>
      <c r="F1316" s="1" t="s">
        <v>6969</v>
      </c>
      <c r="G1316" s="1" t="s">
        <v>6970</v>
      </c>
      <c r="H1316" s="1" t="s">
        <v>3604</v>
      </c>
      <c r="I1316" s="1" t="s">
        <v>6971</v>
      </c>
      <c r="J1316" s="1" t="s">
        <v>3606</v>
      </c>
      <c r="K1316" s="1"/>
      <c r="L1316" s="1"/>
      <c r="M1316" s="1"/>
    </row>
    <row x14ac:dyDescent="0.25" r="1317" customHeight="1" ht="18.75">
      <c r="A1317" s="1" t="s">
        <v>3693</v>
      </c>
      <c r="B1317" s="1" t="s">
        <v>3720</v>
      </c>
      <c r="C1317" s="1" t="s">
        <v>3619</v>
      </c>
      <c r="D1317" s="1" t="s">
        <v>3601</v>
      </c>
      <c r="E1317" s="1" t="s">
        <v>3664</v>
      </c>
      <c r="F1317" s="1" t="s">
        <v>6972</v>
      </c>
      <c r="G1317" s="1" t="s">
        <v>6973</v>
      </c>
      <c r="H1317" s="1" t="s">
        <v>3604</v>
      </c>
      <c r="I1317" s="1" t="s">
        <v>6974</v>
      </c>
      <c r="J1317" s="1" t="s">
        <v>3615</v>
      </c>
      <c r="K1317" s="1"/>
      <c r="L1317" s="1"/>
      <c r="M1317" s="1"/>
    </row>
    <row x14ac:dyDescent="0.25" r="1318" customHeight="1" ht="18.75">
      <c r="A1318" s="1" t="s">
        <v>3693</v>
      </c>
      <c r="B1318" s="1" t="s">
        <v>6975</v>
      </c>
      <c r="C1318" s="1" t="s">
        <v>3600</v>
      </c>
      <c r="D1318" s="1" t="s">
        <v>3601</v>
      </c>
      <c r="E1318" s="1" t="s">
        <v>3664</v>
      </c>
      <c r="F1318" s="1" t="s">
        <v>6976</v>
      </c>
      <c r="G1318" s="1" t="s">
        <v>6977</v>
      </c>
      <c r="H1318" s="1" t="s">
        <v>3604</v>
      </c>
      <c r="I1318" s="1" t="s">
        <v>6978</v>
      </c>
      <c r="J1318" s="1" t="s">
        <v>3606</v>
      </c>
      <c r="K1318" s="1"/>
      <c r="L1318" s="1"/>
      <c r="M1318" s="1"/>
    </row>
    <row x14ac:dyDescent="0.25" r="1319" customHeight="1" ht="18.75">
      <c r="A1319" s="1" t="s">
        <v>3693</v>
      </c>
      <c r="B1319" s="1" t="s">
        <v>4332</v>
      </c>
      <c r="C1319" s="1" t="s">
        <v>3600</v>
      </c>
      <c r="D1319" s="1" t="s">
        <v>3601</v>
      </c>
      <c r="E1319" s="1" t="s">
        <v>3664</v>
      </c>
      <c r="F1319" s="1" t="s">
        <v>6979</v>
      </c>
      <c r="G1319" s="1" t="s">
        <v>6667</v>
      </c>
      <c r="H1319" s="1" t="s">
        <v>3604</v>
      </c>
      <c r="I1319" s="1" t="s">
        <v>6980</v>
      </c>
      <c r="J1319" s="1" t="s">
        <v>3615</v>
      </c>
      <c r="K1319" s="1"/>
      <c r="L1319" s="1"/>
      <c r="M1319" s="1"/>
    </row>
    <row x14ac:dyDescent="0.25" r="1320" customHeight="1" ht="18.75">
      <c r="A1320" s="1" t="s">
        <v>3693</v>
      </c>
      <c r="B1320" s="1" t="s">
        <v>6981</v>
      </c>
      <c r="C1320" s="1" t="s">
        <v>3600</v>
      </c>
      <c r="D1320" s="1" t="s">
        <v>3601</v>
      </c>
      <c r="E1320" s="1" t="s">
        <v>3664</v>
      </c>
      <c r="F1320" s="1" t="s">
        <v>6976</v>
      </c>
      <c r="G1320" s="1" t="s">
        <v>6982</v>
      </c>
      <c r="H1320" s="1" t="s">
        <v>3604</v>
      </c>
      <c r="I1320" s="1" t="s">
        <v>6983</v>
      </c>
      <c r="J1320" s="1" t="s">
        <v>3606</v>
      </c>
      <c r="K1320" s="1"/>
      <c r="L1320" s="1"/>
      <c r="M1320" s="1"/>
    </row>
    <row x14ac:dyDescent="0.25" r="1321" customHeight="1" ht="18.75">
      <c r="A1321" s="1" t="s">
        <v>3693</v>
      </c>
      <c r="B1321" s="1" t="s">
        <v>3720</v>
      </c>
      <c r="C1321" s="1" t="s">
        <v>3619</v>
      </c>
      <c r="D1321" s="1" t="s">
        <v>3601</v>
      </c>
      <c r="E1321" s="1" t="s">
        <v>3664</v>
      </c>
      <c r="F1321" s="1" t="s">
        <v>6984</v>
      </c>
      <c r="G1321" s="1" t="s">
        <v>6973</v>
      </c>
      <c r="H1321" s="1" t="s">
        <v>3604</v>
      </c>
      <c r="I1321" s="1" t="s">
        <v>6985</v>
      </c>
      <c r="J1321" s="1" t="s">
        <v>3615</v>
      </c>
      <c r="K1321" s="1"/>
      <c r="L1321" s="1"/>
      <c r="M1321" s="1"/>
    </row>
    <row x14ac:dyDescent="0.25" r="1322" customHeight="1" ht="18.75">
      <c r="A1322" s="1" t="s">
        <v>3693</v>
      </c>
      <c r="B1322" s="1" t="s">
        <v>5974</v>
      </c>
      <c r="C1322" s="1" t="s">
        <v>3619</v>
      </c>
      <c r="D1322" s="1" t="s">
        <v>3601</v>
      </c>
      <c r="E1322" s="1" t="s">
        <v>3664</v>
      </c>
      <c r="F1322" s="1" t="s">
        <v>6986</v>
      </c>
      <c r="G1322" s="1" t="s">
        <v>6987</v>
      </c>
      <c r="H1322" s="1" t="s">
        <v>3604</v>
      </c>
      <c r="I1322" s="1" t="s">
        <v>6988</v>
      </c>
      <c r="J1322" s="1" t="s">
        <v>3615</v>
      </c>
      <c r="K1322" s="1"/>
      <c r="L1322" s="1"/>
      <c r="M1322" s="1"/>
    </row>
    <row x14ac:dyDescent="0.25" r="1323" customHeight="1" ht="18.75">
      <c r="A1323" s="1" t="s">
        <v>3693</v>
      </c>
      <c r="B1323" s="1" t="s">
        <v>5974</v>
      </c>
      <c r="C1323" s="1" t="s">
        <v>3619</v>
      </c>
      <c r="D1323" s="1" t="s">
        <v>3601</v>
      </c>
      <c r="E1323" s="1" t="s">
        <v>3664</v>
      </c>
      <c r="F1323" s="1" t="s">
        <v>6986</v>
      </c>
      <c r="G1323" s="1" t="s">
        <v>6987</v>
      </c>
      <c r="H1323" s="1" t="s">
        <v>3604</v>
      </c>
      <c r="I1323" s="1" t="s">
        <v>6989</v>
      </c>
      <c r="J1323" s="1" t="s">
        <v>3615</v>
      </c>
      <c r="K1323" s="1"/>
      <c r="L1323" s="1"/>
      <c r="M1323" s="1"/>
    </row>
    <row x14ac:dyDescent="0.25" r="1324" customHeight="1" ht="18.75">
      <c r="A1324" s="1" t="s">
        <v>3693</v>
      </c>
      <c r="B1324" s="1" t="s">
        <v>3720</v>
      </c>
      <c r="C1324" s="1" t="s">
        <v>3619</v>
      </c>
      <c r="D1324" s="1" t="s">
        <v>3601</v>
      </c>
      <c r="E1324" s="1" t="s">
        <v>3664</v>
      </c>
      <c r="F1324" s="1" t="s">
        <v>6990</v>
      </c>
      <c r="G1324" s="1" t="s">
        <v>6973</v>
      </c>
      <c r="H1324" s="1" t="s">
        <v>3604</v>
      </c>
      <c r="I1324" s="1" t="s">
        <v>6991</v>
      </c>
      <c r="J1324" s="1" t="s">
        <v>3615</v>
      </c>
      <c r="K1324" s="1"/>
      <c r="L1324" s="1"/>
      <c r="M1324" s="1"/>
    </row>
    <row x14ac:dyDescent="0.25" r="1325" customHeight="1" ht="18.75">
      <c r="A1325" s="1" t="s">
        <v>3693</v>
      </c>
      <c r="B1325" s="1" t="s">
        <v>5974</v>
      </c>
      <c r="C1325" s="1" t="s">
        <v>3619</v>
      </c>
      <c r="D1325" s="1" t="s">
        <v>3601</v>
      </c>
      <c r="E1325" s="1" t="s">
        <v>3664</v>
      </c>
      <c r="F1325" s="1" t="s">
        <v>6986</v>
      </c>
      <c r="G1325" s="1" t="s">
        <v>6987</v>
      </c>
      <c r="H1325" s="1" t="s">
        <v>3604</v>
      </c>
      <c r="I1325" s="1" t="s">
        <v>6992</v>
      </c>
      <c r="J1325" s="1" t="s">
        <v>3615</v>
      </c>
      <c r="K1325" s="1"/>
      <c r="L1325" s="1"/>
      <c r="M1325" s="1"/>
    </row>
    <row x14ac:dyDescent="0.25" r="1326" customHeight="1" ht="18.75">
      <c r="A1326" s="1" t="s">
        <v>3693</v>
      </c>
      <c r="B1326" s="1" t="s">
        <v>5974</v>
      </c>
      <c r="C1326" s="1" t="s">
        <v>3619</v>
      </c>
      <c r="D1326" s="1" t="s">
        <v>3601</v>
      </c>
      <c r="E1326" s="1" t="s">
        <v>3664</v>
      </c>
      <c r="F1326" s="1" t="s">
        <v>6986</v>
      </c>
      <c r="G1326" s="1" t="s">
        <v>6993</v>
      </c>
      <c r="H1326" s="1" t="s">
        <v>3604</v>
      </c>
      <c r="I1326" s="1" t="s">
        <v>6994</v>
      </c>
      <c r="J1326" s="1" t="s">
        <v>3615</v>
      </c>
      <c r="K1326" s="1"/>
      <c r="L1326" s="1"/>
      <c r="M1326" s="1"/>
    </row>
    <row x14ac:dyDescent="0.25" r="1327" customHeight="1" ht="18.75">
      <c r="A1327" s="1" t="s">
        <v>3693</v>
      </c>
      <c r="B1327" s="1" t="s">
        <v>5974</v>
      </c>
      <c r="C1327" s="1" t="s">
        <v>3619</v>
      </c>
      <c r="D1327" s="1" t="s">
        <v>3601</v>
      </c>
      <c r="E1327" s="1" t="s">
        <v>3664</v>
      </c>
      <c r="F1327" s="1" t="s">
        <v>6995</v>
      </c>
      <c r="G1327" s="1" t="s">
        <v>6993</v>
      </c>
      <c r="H1327" s="1" t="s">
        <v>3604</v>
      </c>
      <c r="I1327" s="1" t="s">
        <v>6996</v>
      </c>
      <c r="J1327" s="1" t="s">
        <v>3615</v>
      </c>
      <c r="K1327" s="1"/>
      <c r="L1327" s="1"/>
      <c r="M1327" s="1"/>
    </row>
    <row x14ac:dyDescent="0.25" r="1328" customHeight="1" ht="18.75">
      <c r="A1328" s="1" t="s">
        <v>3693</v>
      </c>
      <c r="B1328" s="1" t="s">
        <v>5974</v>
      </c>
      <c r="C1328" s="1" t="s">
        <v>3619</v>
      </c>
      <c r="D1328" s="1" t="s">
        <v>3601</v>
      </c>
      <c r="E1328" s="1" t="s">
        <v>3664</v>
      </c>
      <c r="F1328" s="1" t="s">
        <v>6997</v>
      </c>
      <c r="G1328" s="1" t="s">
        <v>6993</v>
      </c>
      <c r="H1328" s="1" t="s">
        <v>3604</v>
      </c>
      <c r="I1328" s="1" t="s">
        <v>6998</v>
      </c>
      <c r="J1328" s="1" t="s">
        <v>3615</v>
      </c>
      <c r="K1328" s="1"/>
      <c r="L1328" s="1"/>
      <c r="M1328" s="1"/>
    </row>
    <row x14ac:dyDescent="0.25" r="1329" customHeight="1" ht="18.75">
      <c r="A1329" s="1" t="s">
        <v>3693</v>
      </c>
      <c r="B1329" s="1" t="s">
        <v>6216</v>
      </c>
      <c r="C1329" s="1" t="s">
        <v>3619</v>
      </c>
      <c r="D1329" s="1" t="s">
        <v>3601</v>
      </c>
      <c r="E1329" s="1" t="s">
        <v>3664</v>
      </c>
      <c r="F1329" s="1" t="s">
        <v>6999</v>
      </c>
      <c r="G1329" s="1" t="s">
        <v>7000</v>
      </c>
      <c r="H1329" s="1" t="s">
        <v>3604</v>
      </c>
      <c r="I1329" s="1" t="s">
        <v>7001</v>
      </c>
      <c r="J1329" s="1" t="s">
        <v>3606</v>
      </c>
      <c r="K1329" s="1"/>
      <c r="L1329" s="1"/>
      <c r="M1329" s="1"/>
    </row>
    <row x14ac:dyDescent="0.25" r="1330" customHeight="1" ht="18.75">
      <c r="A1330" s="1" t="s">
        <v>3598</v>
      </c>
      <c r="B1330" s="1" t="s">
        <v>3663</v>
      </c>
      <c r="C1330" s="1" t="s">
        <v>3600</v>
      </c>
      <c r="D1330" s="1" t="s">
        <v>3601</v>
      </c>
      <c r="E1330" s="1" t="s">
        <v>3664</v>
      </c>
      <c r="F1330" s="1" t="s">
        <v>7002</v>
      </c>
      <c r="G1330" s="1" t="s">
        <v>7003</v>
      </c>
      <c r="H1330" s="1" t="s">
        <v>3604</v>
      </c>
      <c r="I1330" s="1" t="s">
        <v>7004</v>
      </c>
      <c r="J1330" s="1" t="s">
        <v>3615</v>
      </c>
      <c r="K1330" s="1"/>
      <c r="L1330" s="1"/>
      <c r="M1330" s="1"/>
    </row>
    <row x14ac:dyDescent="0.25" r="1331" customHeight="1" ht="18.75">
      <c r="A1331" s="1" t="s">
        <v>3598</v>
      </c>
      <c r="B1331" s="1" t="s">
        <v>3663</v>
      </c>
      <c r="C1331" s="1" t="s">
        <v>3600</v>
      </c>
      <c r="D1331" s="1" t="s">
        <v>3601</v>
      </c>
      <c r="E1331" s="1" t="s">
        <v>3664</v>
      </c>
      <c r="F1331" s="1" t="s">
        <v>7005</v>
      </c>
      <c r="G1331" s="1" t="s">
        <v>6740</v>
      </c>
      <c r="H1331" s="1" t="s">
        <v>3604</v>
      </c>
      <c r="I1331" s="1" t="s">
        <v>7006</v>
      </c>
      <c r="J1331" s="1" t="s">
        <v>3615</v>
      </c>
      <c r="K1331" s="1"/>
      <c r="L1331" s="1"/>
      <c r="M1331" s="1"/>
    </row>
    <row x14ac:dyDescent="0.25" r="1332" customHeight="1" ht="18.75">
      <c r="A1332" s="1" t="s">
        <v>3598</v>
      </c>
      <c r="B1332" s="1" t="s">
        <v>3663</v>
      </c>
      <c r="C1332" s="1" t="s">
        <v>3600</v>
      </c>
      <c r="D1332" s="1" t="s">
        <v>3601</v>
      </c>
      <c r="E1332" s="1" t="s">
        <v>3664</v>
      </c>
      <c r="F1332" s="1" t="s">
        <v>7007</v>
      </c>
      <c r="G1332" s="1" t="s">
        <v>7008</v>
      </c>
      <c r="H1332" s="1" t="s">
        <v>3604</v>
      </c>
      <c r="I1332" s="1" t="s">
        <v>7009</v>
      </c>
      <c r="J1332" s="1" t="s">
        <v>3615</v>
      </c>
      <c r="K1332" s="1"/>
      <c r="L1332" s="1"/>
      <c r="M1332" s="1"/>
    </row>
    <row x14ac:dyDescent="0.25" r="1333" customHeight="1" ht="18.75">
      <c r="A1333" s="1" t="s">
        <v>3598</v>
      </c>
      <c r="B1333" s="1" t="s">
        <v>3663</v>
      </c>
      <c r="C1333" s="1" t="s">
        <v>3600</v>
      </c>
      <c r="D1333" s="1" t="s">
        <v>3601</v>
      </c>
      <c r="E1333" s="1" t="s">
        <v>3664</v>
      </c>
      <c r="F1333" s="1" t="s">
        <v>7010</v>
      </c>
      <c r="G1333" s="1" t="s">
        <v>7011</v>
      </c>
      <c r="H1333" s="1" t="s">
        <v>3604</v>
      </c>
      <c r="I1333" s="1" t="s">
        <v>7012</v>
      </c>
      <c r="J1333" s="1" t="s">
        <v>3615</v>
      </c>
      <c r="K1333" s="1"/>
      <c r="L1333" s="1"/>
      <c r="M1333" s="1"/>
    </row>
    <row x14ac:dyDescent="0.25" r="1334" customHeight="1" ht="18.75">
      <c r="A1334" s="1" t="s">
        <v>3598</v>
      </c>
      <c r="B1334" s="1" t="s">
        <v>3663</v>
      </c>
      <c r="C1334" s="1" t="s">
        <v>3600</v>
      </c>
      <c r="D1334" s="1" t="s">
        <v>3601</v>
      </c>
      <c r="E1334" s="1" t="s">
        <v>3664</v>
      </c>
      <c r="F1334" s="1" t="s">
        <v>7013</v>
      </c>
      <c r="G1334" s="1" t="s">
        <v>6730</v>
      </c>
      <c r="H1334" s="1" t="s">
        <v>3604</v>
      </c>
      <c r="I1334" s="1" t="s">
        <v>7014</v>
      </c>
      <c r="J1334" s="1" t="s">
        <v>3615</v>
      </c>
      <c r="K1334" s="1"/>
      <c r="L1334" s="1"/>
      <c r="M1334" s="1"/>
    </row>
    <row x14ac:dyDescent="0.25" r="1335" customHeight="1" ht="18.75">
      <c r="A1335" s="1" t="s">
        <v>3598</v>
      </c>
      <c r="B1335" s="1" t="s">
        <v>3663</v>
      </c>
      <c r="C1335" s="1" t="s">
        <v>3600</v>
      </c>
      <c r="D1335" s="1" t="s">
        <v>3601</v>
      </c>
      <c r="E1335" s="1" t="s">
        <v>3664</v>
      </c>
      <c r="F1335" s="1" t="s">
        <v>7015</v>
      </c>
      <c r="G1335" s="1" t="s">
        <v>7016</v>
      </c>
      <c r="H1335" s="1" t="s">
        <v>3604</v>
      </c>
      <c r="I1335" s="1" t="s">
        <v>7017</v>
      </c>
      <c r="J1335" s="1" t="s">
        <v>3615</v>
      </c>
      <c r="K1335" s="1"/>
      <c r="L1335" s="1"/>
      <c r="M1335" s="1"/>
    </row>
    <row x14ac:dyDescent="0.25" r="1336" customHeight="1" ht="18.75">
      <c r="A1336" s="1" t="s">
        <v>3693</v>
      </c>
      <c r="B1336" s="1" t="s">
        <v>6563</v>
      </c>
      <c r="C1336" s="1" t="s">
        <v>3600</v>
      </c>
      <c r="D1336" s="1" t="s">
        <v>3601</v>
      </c>
      <c r="E1336" s="1" t="s">
        <v>3664</v>
      </c>
      <c r="F1336" s="1" t="s">
        <v>7018</v>
      </c>
      <c r="G1336" s="1" t="s">
        <v>7019</v>
      </c>
      <c r="H1336" s="1" t="s">
        <v>3604</v>
      </c>
      <c r="I1336" s="1" t="s">
        <v>7020</v>
      </c>
      <c r="J1336" s="1" t="s">
        <v>3615</v>
      </c>
      <c r="K1336" s="1"/>
      <c r="L1336" s="1"/>
      <c r="M1336" s="1"/>
    </row>
    <row x14ac:dyDescent="0.25" r="1337" customHeight="1" ht="18.75">
      <c r="A1337" s="1" t="s">
        <v>3693</v>
      </c>
      <c r="B1337" s="1" t="s">
        <v>6563</v>
      </c>
      <c r="C1337" s="1" t="s">
        <v>3600</v>
      </c>
      <c r="D1337" s="1" t="s">
        <v>3601</v>
      </c>
      <c r="E1337" s="1" t="s">
        <v>3664</v>
      </c>
      <c r="F1337" s="1" t="s">
        <v>7021</v>
      </c>
      <c r="G1337" s="1" t="s">
        <v>7019</v>
      </c>
      <c r="H1337" s="1" t="s">
        <v>3604</v>
      </c>
      <c r="I1337" s="1" t="s">
        <v>7022</v>
      </c>
      <c r="J1337" s="1" t="s">
        <v>3606</v>
      </c>
      <c r="K1337" s="1"/>
      <c r="L1337" s="1"/>
      <c r="M1337" s="1"/>
    </row>
    <row x14ac:dyDescent="0.25" r="1338" customHeight="1" ht="18.75">
      <c r="A1338" s="1" t="s">
        <v>3693</v>
      </c>
      <c r="B1338" s="1" t="s">
        <v>4192</v>
      </c>
      <c r="C1338" s="1" t="s">
        <v>3600</v>
      </c>
      <c r="D1338" s="1" t="s">
        <v>3601</v>
      </c>
      <c r="E1338" s="1" t="s">
        <v>3664</v>
      </c>
      <c r="F1338" s="1" t="s">
        <v>7023</v>
      </c>
      <c r="G1338" s="1" t="s">
        <v>7024</v>
      </c>
      <c r="H1338" s="1" t="s">
        <v>3604</v>
      </c>
      <c r="I1338" s="1" t="s">
        <v>7025</v>
      </c>
      <c r="J1338" s="1" t="s">
        <v>3606</v>
      </c>
      <c r="K1338" s="1"/>
      <c r="L1338" s="1"/>
      <c r="M1338" s="1"/>
    </row>
    <row x14ac:dyDescent="0.25" r="1339" customHeight="1" ht="18.75">
      <c r="A1339" s="1" t="s">
        <v>3693</v>
      </c>
      <c r="B1339" s="1" t="s">
        <v>7026</v>
      </c>
      <c r="C1339" s="1" t="s">
        <v>3600</v>
      </c>
      <c r="D1339" s="1" t="s">
        <v>3601</v>
      </c>
      <c r="E1339" s="1" t="s">
        <v>3664</v>
      </c>
      <c r="F1339" s="1" t="s">
        <v>7027</v>
      </c>
      <c r="G1339" s="1" t="s">
        <v>7028</v>
      </c>
      <c r="H1339" s="1" t="s">
        <v>3604</v>
      </c>
      <c r="I1339" s="1" t="s">
        <v>7029</v>
      </c>
      <c r="J1339" s="1" t="s">
        <v>3606</v>
      </c>
      <c r="K1339" s="1"/>
      <c r="L1339" s="1"/>
      <c r="M1339" s="1"/>
    </row>
    <row x14ac:dyDescent="0.25" r="1340" customHeight="1" ht="18.75">
      <c r="A1340" s="1" t="s">
        <v>3693</v>
      </c>
      <c r="B1340" s="1" t="s">
        <v>7030</v>
      </c>
      <c r="C1340" s="1" t="s">
        <v>3600</v>
      </c>
      <c r="D1340" s="1" t="s">
        <v>3601</v>
      </c>
      <c r="E1340" s="1" t="s">
        <v>3664</v>
      </c>
      <c r="F1340" s="1" t="s">
        <v>7031</v>
      </c>
      <c r="G1340" s="1" t="s">
        <v>7032</v>
      </c>
      <c r="H1340" s="1" t="s">
        <v>3604</v>
      </c>
      <c r="I1340" s="1" t="s">
        <v>7033</v>
      </c>
      <c r="J1340" s="1" t="s">
        <v>3606</v>
      </c>
      <c r="K1340" s="1"/>
      <c r="L1340" s="1"/>
      <c r="M1340" s="1"/>
    </row>
    <row x14ac:dyDescent="0.25" r="1341" customHeight="1" ht="18.75">
      <c r="A1341" s="1" t="s">
        <v>3693</v>
      </c>
      <c r="B1341" s="1" t="s">
        <v>7030</v>
      </c>
      <c r="C1341" s="1" t="s">
        <v>3600</v>
      </c>
      <c r="D1341" s="1" t="s">
        <v>3601</v>
      </c>
      <c r="E1341" s="1" t="s">
        <v>3664</v>
      </c>
      <c r="F1341" s="1" t="s">
        <v>7034</v>
      </c>
      <c r="G1341" s="1" t="s">
        <v>7035</v>
      </c>
      <c r="H1341" s="1" t="s">
        <v>3604</v>
      </c>
      <c r="I1341" s="1" t="s">
        <v>7036</v>
      </c>
      <c r="J1341" s="1" t="s">
        <v>3606</v>
      </c>
      <c r="K1341" s="1"/>
      <c r="L1341" s="1"/>
      <c r="M1341" s="1"/>
    </row>
    <row x14ac:dyDescent="0.25" r="1342" customHeight="1" ht="18.75">
      <c r="A1342" s="1" t="s">
        <v>3693</v>
      </c>
      <c r="B1342" s="1" t="s">
        <v>7026</v>
      </c>
      <c r="C1342" s="1" t="s">
        <v>3600</v>
      </c>
      <c r="D1342" s="1" t="s">
        <v>3601</v>
      </c>
      <c r="E1342" s="1" t="s">
        <v>3664</v>
      </c>
      <c r="F1342" s="1" t="s">
        <v>7027</v>
      </c>
      <c r="G1342" s="1" t="s">
        <v>7037</v>
      </c>
      <c r="H1342" s="1" t="s">
        <v>3604</v>
      </c>
      <c r="I1342" s="1" t="s">
        <v>7038</v>
      </c>
      <c r="J1342" s="1" t="s">
        <v>3606</v>
      </c>
      <c r="K1342" s="1"/>
      <c r="L1342" s="1"/>
      <c r="M1342" s="1"/>
    </row>
    <row x14ac:dyDescent="0.25" r="1343" customHeight="1" ht="18.75">
      <c r="A1343" s="1" t="s">
        <v>3693</v>
      </c>
      <c r="B1343" s="1" t="s">
        <v>4267</v>
      </c>
      <c r="C1343" s="1" t="s">
        <v>3600</v>
      </c>
      <c r="D1343" s="1" t="s">
        <v>3601</v>
      </c>
      <c r="E1343" s="1" t="s">
        <v>3893</v>
      </c>
      <c r="F1343" s="1" t="s">
        <v>7039</v>
      </c>
      <c r="G1343" s="1" t="s">
        <v>7040</v>
      </c>
      <c r="H1343" s="1" t="s">
        <v>3604</v>
      </c>
      <c r="I1343" s="1" t="s">
        <v>7041</v>
      </c>
      <c r="J1343" s="1" t="s">
        <v>3615</v>
      </c>
      <c r="K1343" s="1"/>
      <c r="L1343" s="1"/>
      <c r="M1343" s="1"/>
    </row>
    <row x14ac:dyDescent="0.25" r="1344" customHeight="1" ht="18.75">
      <c r="A1344" s="1" t="s">
        <v>3693</v>
      </c>
      <c r="B1344" s="1" t="s">
        <v>4237</v>
      </c>
      <c r="C1344" s="1" t="s">
        <v>3600</v>
      </c>
      <c r="D1344" s="1" t="s">
        <v>3601</v>
      </c>
      <c r="E1344" s="1" t="s">
        <v>3664</v>
      </c>
      <c r="F1344" s="1" t="s">
        <v>7042</v>
      </c>
      <c r="G1344" s="1" t="s">
        <v>4238</v>
      </c>
      <c r="H1344" s="1" t="s">
        <v>3604</v>
      </c>
      <c r="I1344" s="1" t="s">
        <v>7043</v>
      </c>
      <c r="J1344" s="1" t="s">
        <v>3606</v>
      </c>
      <c r="K1344" s="1"/>
      <c r="L1344" s="1"/>
      <c r="M1344" s="1"/>
    </row>
    <row x14ac:dyDescent="0.25" r="1345" customHeight="1" ht="18.75">
      <c r="A1345" s="1" t="s">
        <v>3693</v>
      </c>
      <c r="B1345" s="1" t="s">
        <v>6975</v>
      </c>
      <c r="C1345" s="1" t="s">
        <v>3600</v>
      </c>
      <c r="D1345" s="1" t="s">
        <v>3601</v>
      </c>
      <c r="E1345" s="1" t="s">
        <v>3664</v>
      </c>
      <c r="F1345" s="1" t="s">
        <v>7044</v>
      </c>
      <c r="G1345" s="1" t="s">
        <v>7045</v>
      </c>
      <c r="H1345" s="1" t="s">
        <v>3604</v>
      </c>
      <c r="I1345" s="1" t="s">
        <v>7046</v>
      </c>
      <c r="J1345" s="1" t="s">
        <v>3606</v>
      </c>
      <c r="K1345" s="1"/>
      <c r="L1345" s="1"/>
      <c r="M1345" s="1"/>
    </row>
    <row x14ac:dyDescent="0.25" r="1346" customHeight="1" ht="18.75">
      <c r="A1346" s="1" t="s">
        <v>3693</v>
      </c>
      <c r="B1346" s="1" t="s">
        <v>4267</v>
      </c>
      <c r="C1346" s="1" t="s">
        <v>3600</v>
      </c>
      <c r="D1346" s="1" t="s">
        <v>3601</v>
      </c>
      <c r="E1346" s="1" t="s">
        <v>3893</v>
      </c>
      <c r="F1346" s="1" t="s">
        <v>7047</v>
      </c>
      <c r="G1346" s="1" t="s">
        <v>4268</v>
      </c>
      <c r="H1346" s="1" t="s">
        <v>3604</v>
      </c>
      <c r="I1346" s="1" t="s">
        <v>7048</v>
      </c>
      <c r="J1346" s="1" t="s">
        <v>3615</v>
      </c>
      <c r="K1346" s="1"/>
      <c r="L1346" s="1"/>
      <c r="M1346" s="1"/>
    </row>
    <row x14ac:dyDescent="0.25" r="1347" customHeight="1" ht="18.75">
      <c r="A1347" s="1" t="s">
        <v>3693</v>
      </c>
      <c r="B1347" s="1" t="s">
        <v>4267</v>
      </c>
      <c r="C1347" s="1" t="s">
        <v>3600</v>
      </c>
      <c r="D1347" s="1" t="s">
        <v>3601</v>
      </c>
      <c r="E1347" s="1" t="s">
        <v>3893</v>
      </c>
      <c r="F1347" s="1" t="s">
        <v>7049</v>
      </c>
      <c r="G1347" s="1" t="s">
        <v>4268</v>
      </c>
      <c r="H1347" s="1" t="s">
        <v>3604</v>
      </c>
      <c r="I1347" s="1" t="s">
        <v>7050</v>
      </c>
      <c r="J1347" s="1" t="s">
        <v>3615</v>
      </c>
      <c r="K1347" s="1"/>
      <c r="L1347" s="1"/>
      <c r="M1347" s="1"/>
    </row>
    <row x14ac:dyDescent="0.25" r="1348" customHeight="1" ht="18.75">
      <c r="A1348" s="1" t="s">
        <v>3693</v>
      </c>
      <c r="B1348" s="1" t="s">
        <v>4332</v>
      </c>
      <c r="C1348" s="1" t="s">
        <v>3600</v>
      </c>
      <c r="D1348" s="1" t="s">
        <v>3601</v>
      </c>
      <c r="E1348" s="1" t="s">
        <v>3664</v>
      </c>
      <c r="F1348" s="1" t="s">
        <v>7051</v>
      </c>
      <c r="G1348" s="1" t="s">
        <v>6667</v>
      </c>
      <c r="H1348" s="1" t="s">
        <v>3604</v>
      </c>
      <c r="I1348" s="1" t="s">
        <v>7052</v>
      </c>
      <c r="J1348" s="1" t="s">
        <v>3615</v>
      </c>
      <c r="K1348" s="1"/>
      <c r="L1348" s="1"/>
      <c r="M1348" s="1"/>
    </row>
    <row x14ac:dyDescent="0.25" r="1349" customHeight="1" ht="18.75">
      <c r="A1349" s="1" t="s">
        <v>3693</v>
      </c>
      <c r="B1349" s="1" t="s">
        <v>4267</v>
      </c>
      <c r="C1349" s="1" t="s">
        <v>3600</v>
      </c>
      <c r="D1349" s="1" t="s">
        <v>3601</v>
      </c>
      <c r="E1349" s="1" t="s">
        <v>3893</v>
      </c>
      <c r="F1349" s="1" t="s">
        <v>7053</v>
      </c>
      <c r="G1349" s="1" t="s">
        <v>7054</v>
      </c>
      <c r="H1349" s="1" t="s">
        <v>3604</v>
      </c>
      <c r="I1349" s="1" t="s">
        <v>7055</v>
      </c>
      <c r="J1349" s="1" t="s">
        <v>3615</v>
      </c>
      <c r="K1349" s="1"/>
      <c r="L1349" s="1"/>
      <c r="M1349" s="1"/>
    </row>
    <row x14ac:dyDescent="0.25" r="1350" customHeight="1" ht="18.75">
      <c r="A1350" s="1" t="s">
        <v>3693</v>
      </c>
      <c r="B1350" s="1" t="s">
        <v>7026</v>
      </c>
      <c r="C1350" s="1" t="s">
        <v>3600</v>
      </c>
      <c r="D1350" s="1" t="s">
        <v>3601</v>
      </c>
      <c r="E1350" s="1" t="s">
        <v>3664</v>
      </c>
      <c r="F1350" s="1" t="s">
        <v>7027</v>
      </c>
      <c r="G1350" s="1" t="s">
        <v>7056</v>
      </c>
      <c r="H1350" s="1" t="s">
        <v>3604</v>
      </c>
      <c r="I1350" s="1" t="s">
        <v>7057</v>
      </c>
      <c r="J1350" s="1" t="s">
        <v>3615</v>
      </c>
      <c r="K1350" s="1"/>
      <c r="L1350" s="1"/>
      <c r="M1350" s="1"/>
    </row>
    <row x14ac:dyDescent="0.25" r="1351" customHeight="1" ht="18.75">
      <c r="A1351" s="1" t="s">
        <v>3693</v>
      </c>
      <c r="B1351" s="1" t="s">
        <v>4267</v>
      </c>
      <c r="C1351" s="1" t="s">
        <v>3600</v>
      </c>
      <c r="D1351" s="1" t="s">
        <v>3601</v>
      </c>
      <c r="E1351" s="1" t="s">
        <v>3893</v>
      </c>
      <c r="F1351" s="1" t="s">
        <v>7058</v>
      </c>
      <c r="G1351" s="1" t="s">
        <v>7059</v>
      </c>
      <c r="H1351" s="1" t="s">
        <v>3604</v>
      </c>
      <c r="I1351" s="1" t="s">
        <v>7060</v>
      </c>
      <c r="J1351" s="1" t="s">
        <v>3615</v>
      </c>
      <c r="K1351" s="1"/>
      <c r="L1351" s="1"/>
      <c r="M1351" s="1"/>
    </row>
    <row x14ac:dyDescent="0.25" r="1352" customHeight="1" ht="18.75">
      <c r="A1352" s="1" t="s">
        <v>3693</v>
      </c>
      <c r="B1352" s="1" t="s">
        <v>6755</v>
      </c>
      <c r="C1352" s="1" t="s">
        <v>3600</v>
      </c>
      <c r="D1352" s="1" t="s">
        <v>3601</v>
      </c>
      <c r="E1352" s="1" t="s">
        <v>3752</v>
      </c>
      <c r="F1352" s="1" t="s">
        <v>7061</v>
      </c>
      <c r="G1352" s="1" t="s">
        <v>7062</v>
      </c>
      <c r="H1352" s="1" t="s">
        <v>3604</v>
      </c>
      <c r="I1352" s="1" t="s">
        <v>7063</v>
      </c>
      <c r="J1352" s="1" t="s">
        <v>3615</v>
      </c>
      <c r="K1352" s="1"/>
      <c r="L1352" s="1"/>
      <c r="M1352" s="1"/>
    </row>
    <row x14ac:dyDescent="0.25" r="1353" customHeight="1" ht="18.75">
      <c r="A1353" s="1" t="s">
        <v>3693</v>
      </c>
      <c r="B1353" s="1" t="s">
        <v>7026</v>
      </c>
      <c r="C1353" s="1" t="s">
        <v>3600</v>
      </c>
      <c r="D1353" s="1" t="s">
        <v>3601</v>
      </c>
      <c r="E1353" s="1" t="s">
        <v>3664</v>
      </c>
      <c r="F1353" s="1" t="s">
        <v>7064</v>
      </c>
      <c r="G1353" s="1" t="s">
        <v>7065</v>
      </c>
      <c r="H1353" s="1" t="s">
        <v>3604</v>
      </c>
      <c r="I1353" s="1" t="s">
        <v>7066</v>
      </c>
      <c r="J1353" s="1" t="s">
        <v>3606</v>
      </c>
      <c r="K1353" s="1"/>
      <c r="L1353" s="1"/>
      <c r="M1353" s="1"/>
    </row>
    <row x14ac:dyDescent="0.25" r="1354" customHeight="1" ht="18.75">
      <c r="A1354" s="1" t="s">
        <v>3693</v>
      </c>
      <c r="B1354" s="1" t="s">
        <v>6755</v>
      </c>
      <c r="C1354" s="1" t="s">
        <v>3600</v>
      </c>
      <c r="D1354" s="1" t="s">
        <v>3601</v>
      </c>
      <c r="E1354" s="1" t="s">
        <v>3752</v>
      </c>
      <c r="F1354" s="1" t="s">
        <v>7067</v>
      </c>
      <c r="G1354" s="1" t="s">
        <v>7062</v>
      </c>
      <c r="H1354" s="1" t="s">
        <v>3604</v>
      </c>
      <c r="I1354" s="1" t="s">
        <v>7068</v>
      </c>
      <c r="J1354" s="1" t="s">
        <v>3615</v>
      </c>
      <c r="K1354" s="1"/>
      <c r="L1354" s="1"/>
      <c r="M1354" s="1"/>
    </row>
    <row x14ac:dyDescent="0.25" r="1355" customHeight="1" ht="18.75">
      <c r="A1355" s="1" t="s">
        <v>3693</v>
      </c>
      <c r="B1355" s="1" t="s">
        <v>7026</v>
      </c>
      <c r="C1355" s="1" t="s">
        <v>3600</v>
      </c>
      <c r="D1355" s="1" t="s">
        <v>3601</v>
      </c>
      <c r="E1355" s="1" t="s">
        <v>3664</v>
      </c>
      <c r="F1355" s="1" t="s">
        <v>7069</v>
      </c>
      <c r="G1355" s="1" t="s">
        <v>7070</v>
      </c>
      <c r="H1355" s="1" t="s">
        <v>3604</v>
      </c>
      <c r="I1355" s="1" t="s">
        <v>7071</v>
      </c>
      <c r="J1355" s="1" t="s">
        <v>3606</v>
      </c>
      <c r="K1355" s="1"/>
      <c r="L1355" s="1"/>
      <c r="M1355" s="1"/>
    </row>
    <row x14ac:dyDescent="0.25" r="1356" customHeight="1" ht="18.75">
      <c r="A1356" s="1" t="s">
        <v>3693</v>
      </c>
      <c r="B1356" s="1" t="s">
        <v>6755</v>
      </c>
      <c r="C1356" s="1" t="s">
        <v>3600</v>
      </c>
      <c r="D1356" s="1" t="s">
        <v>3601</v>
      </c>
      <c r="E1356" s="1" t="s">
        <v>3752</v>
      </c>
      <c r="F1356" s="1" t="s">
        <v>7072</v>
      </c>
      <c r="G1356" s="1" t="s">
        <v>7062</v>
      </c>
      <c r="H1356" s="1" t="s">
        <v>3604</v>
      </c>
      <c r="I1356" s="1" t="s">
        <v>7073</v>
      </c>
      <c r="J1356" s="1" t="s">
        <v>3615</v>
      </c>
      <c r="K1356" s="1"/>
      <c r="L1356" s="1"/>
      <c r="M1356" s="1"/>
    </row>
    <row x14ac:dyDescent="0.25" r="1357" customHeight="1" ht="18.75">
      <c r="A1357" s="1" t="s">
        <v>3693</v>
      </c>
      <c r="B1357" s="1" t="s">
        <v>4192</v>
      </c>
      <c r="C1357" s="1" t="s">
        <v>3600</v>
      </c>
      <c r="D1357" s="1" t="s">
        <v>3601</v>
      </c>
      <c r="E1357" s="1" t="s">
        <v>3893</v>
      </c>
      <c r="F1357" s="1" t="s">
        <v>7027</v>
      </c>
      <c r="G1357" s="1" t="s">
        <v>4551</v>
      </c>
      <c r="H1357" s="1" t="s">
        <v>3604</v>
      </c>
      <c r="I1357" s="1" t="s">
        <v>7074</v>
      </c>
      <c r="J1357" s="1" t="s">
        <v>3615</v>
      </c>
      <c r="K1357" s="1"/>
      <c r="L1357" s="1"/>
      <c r="M1357" s="1"/>
    </row>
    <row x14ac:dyDescent="0.25" r="1358" customHeight="1" ht="18.75">
      <c r="A1358" s="1" t="s">
        <v>3693</v>
      </c>
      <c r="B1358" s="1" t="s">
        <v>4192</v>
      </c>
      <c r="C1358" s="1" t="s">
        <v>3600</v>
      </c>
      <c r="D1358" s="1" t="s">
        <v>3601</v>
      </c>
      <c r="E1358" s="1" t="s">
        <v>3893</v>
      </c>
      <c r="F1358" s="1" t="s">
        <v>7027</v>
      </c>
      <c r="G1358" s="1" t="s">
        <v>7075</v>
      </c>
      <c r="H1358" s="1" t="s">
        <v>3604</v>
      </c>
      <c r="I1358" s="1" t="s">
        <v>7076</v>
      </c>
      <c r="J1358" s="1" t="s">
        <v>3606</v>
      </c>
      <c r="K1358" s="1"/>
      <c r="L1358" s="1"/>
      <c r="M1358" s="1"/>
    </row>
    <row x14ac:dyDescent="0.25" r="1359" customHeight="1" ht="18.75">
      <c r="A1359" s="1" t="s">
        <v>3693</v>
      </c>
      <c r="B1359" s="1" t="s">
        <v>7077</v>
      </c>
      <c r="C1359" s="1" t="s">
        <v>3600</v>
      </c>
      <c r="D1359" s="1" t="s">
        <v>3601</v>
      </c>
      <c r="E1359" s="1" t="s">
        <v>3664</v>
      </c>
      <c r="F1359" s="1" t="s">
        <v>7078</v>
      </c>
      <c r="G1359" s="1" t="s">
        <v>7079</v>
      </c>
      <c r="H1359" s="1" t="s">
        <v>3604</v>
      </c>
      <c r="I1359" s="1" t="s">
        <v>7080</v>
      </c>
      <c r="J1359" s="1" t="s">
        <v>3606</v>
      </c>
      <c r="K1359" s="1"/>
      <c r="L1359" s="1"/>
      <c r="M1359" s="1"/>
    </row>
    <row x14ac:dyDescent="0.25" r="1360" customHeight="1" ht="18.75">
      <c r="A1360" s="1" t="s">
        <v>3693</v>
      </c>
      <c r="B1360" s="1" t="s">
        <v>6981</v>
      </c>
      <c r="C1360" s="1" t="s">
        <v>3600</v>
      </c>
      <c r="D1360" s="1" t="s">
        <v>3601</v>
      </c>
      <c r="E1360" s="1" t="s">
        <v>3664</v>
      </c>
      <c r="F1360" s="1" t="s">
        <v>7081</v>
      </c>
      <c r="G1360" s="1" t="s">
        <v>7082</v>
      </c>
      <c r="H1360" s="1" t="s">
        <v>3604</v>
      </c>
      <c r="I1360" s="1" t="s">
        <v>7083</v>
      </c>
      <c r="J1360" s="1" t="s">
        <v>3606</v>
      </c>
      <c r="K1360" s="1"/>
      <c r="L1360" s="1"/>
      <c r="M1360" s="1"/>
    </row>
    <row x14ac:dyDescent="0.25" r="1361" customHeight="1" ht="18.75">
      <c r="A1361" s="1" t="s">
        <v>3693</v>
      </c>
      <c r="B1361" s="1" t="s">
        <v>7026</v>
      </c>
      <c r="C1361" s="1" t="s">
        <v>3600</v>
      </c>
      <c r="D1361" s="1" t="s">
        <v>3601</v>
      </c>
      <c r="E1361" s="1"/>
      <c r="F1361" s="1" t="s">
        <v>7042</v>
      </c>
      <c r="G1361" s="1" t="s">
        <v>7084</v>
      </c>
      <c r="H1361" s="1" t="s">
        <v>3604</v>
      </c>
      <c r="I1361" s="1" t="s">
        <v>7085</v>
      </c>
      <c r="J1361" s="1" t="s">
        <v>3606</v>
      </c>
      <c r="K1361" s="1"/>
      <c r="L1361" s="1"/>
      <c r="M1361" s="1"/>
    </row>
    <row x14ac:dyDescent="0.25" r="1362" customHeight="1" ht="18.75">
      <c r="A1362" s="1" t="s">
        <v>3693</v>
      </c>
      <c r="B1362" s="1" t="s">
        <v>7077</v>
      </c>
      <c r="C1362" s="1" t="s">
        <v>3600</v>
      </c>
      <c r="D1362" s="1" t="s">
        <v>3601</v>
      </c>
      <c r="E1362" s="1" t="s">
        <v>3664</v>
      </c>
      <c r="F1362" s="1" t="s">
        <v>7086</v>
      </c>
      <c r="G1362" s="1" t="s">
        <v>7087</v>
      </c>
      <c r="H1362" s="1" t="s">
        <v>3604</v>
      </c>
      <c r="I1362" s="1" t="s">
        <v>7088</v>
      </c>
      <c r="J1362" s="1" t="s">
        <v>3606</v>
      </c>
      <c r="K1362" s="1"/>
      <c r="L1362" s="1"/>
      <c r="M1362" s="1"/>
    </row>
    <row x14ac:dyDescent="0.25" r="1363" customHeight="1" ht="18.75">
      <c r="A1363" s="1" t="s">
        <v>3693</v>
      </c>
      <c r="B1363" s="1" t="s">
        <v>7026</v>
      </c>
      <c r="C1363" s="1" t="s">
        <v>3600</v>
      </c>
      <c r="D1363" s="1" t="s">
        <v>3601</v>
      </c>
      <c r="E1363" s="1" t="s">
        <v>3664</v>
      </c>
      <c r="F1363" s="1" t="s">
        <v>7089</v>
      </c>
      <c r="G1363" s="1" t="s">
        <v>7084</v>
      </c>
      <c r="H1363" s="1" t="s">
        <v>3604</v>
      </c>
      <c r="I1363" s="1" t="s">
        <v>7090</v>
      </c>
      <c r="J1363" s="1" t="s">
        <v>3615</v>
      </c>
      <c r="K1363" s="1"/>
      <c r="L1363" s="1"/>
      <c r="M1363" s="1"/>
    </row>
    <row x14ac:dyDescent="0.25" r="1364" customHeight="1" ht="18.75">
      <c r="A1364" s="1" t="s">
        <v>3693</v>
      </c>
      <c r="B1364" s="1" t="s">
        <v>5598</v>
      </c>
      <c r="C1364" s="1" t="s">
        <v>3600</v>
      </c>
      <c r="D1364" s="1" t="s">
        <v>3601</v>
      </c>
      <c r="E1364" s="1" t="s">
        <v>3664</v>
      </c>
      <c r="F1364" s="1" t="s">
        <v>7091</v>
      </c>
      <c r="G1364" s="1" t="s">
        <v>6316</v>
      </c>
      <c r="H1364" s="1" t="s">
        <v>3604</v>
      </c>
      <c r="I1364" s="1" t="s">
        <v>7092</v>
      </c>
      <c r="J1364" s="1" t="s">
        <v>3615</v>
      </c>
      <c r="K1364" s="1"/>
      <c r="L1364" s="1"/>
      <c r="M1364" s="1"/>
    </row>
    <row x14ac:dyDescent="0.25" r="1365" customHeight="1" ht="18.75">
      <c r="A1365" s="1" t="s">
        <v>3693</v>
      </c>
      <c r="B1365" s="1" t="s">
        <v>7030</v>
      </c>
      <c r="C1365" s="1" t="s">
        <v>3600</v>
      </c>
      <c r="D1365" s="1" t="s">
        <v>3601</v>
      </c>
      <c r="E1365" s="1" t="s">
        <v>3664</v>
      </c>
      <c r="F1365" s="1" t="s">
        <v>7089</v>
      </c>
      <c r="G1365" s="1" t="s">
        <v>7093</v>
      </c>
      <c r="H1365" s="1" t="s">
        <v>3604</v>
      </c>
      <c r="I1365" s="1" t="s">
        <v>7094</v>
      </c>
      <c r="J1365" s="1" t="s">
        <v>3615</v>
      </c>
      <c r="K1365" s="1"/>
      <c r="L1365" s="1"/>
      <c r="M1365" s="1"/>
    </row>
    <row x14ac:dyDescent="0.25" r="1366" customHeight="1" ht="18.75">
      <c r="A1366" s="1" t="s">
        <v>3693</v>
      </c>
      <c r="B1366" s="1" t="s">
        <v>5598</v>
      </c>
      <c r="C1366" s="1" t="s">
        <v>3600</v>
      </c>
      <c r="D1366" s="1" t="s">
        <v>3601</v>
      </c>
      <c r="E1366" s="1" t="s">
        <v>3664</v>
      </c>
      <c r="F1366" s="1" t="s">
        <v>7095</v>
      </c>
      <c r="G1366" s="1" t="s">
        <v>7096</v>
      </c>
      <c r="H1366" s="1" t="s">
        <v>3604</v>
      </c>
      <c r="I1366" s="1" t="s">
        <v>7097</v>
      </c>
      <c r="J1366" s="1" t="s">
        <v>3615</v>
      </c>
      <c r="K1366" s="1"/>
      <c r="L1366" s="1"/>
      <c r="M1366" s="1"/>
    </row>
    <row x14ac:dyDescent="0.25" r="1367" customHeight="1" ht="18.75">
      <c r="A1367" s="1" t="s">
        <v>3693</v>
      </c>
      <c r="B1367" s="1" t="s">
        <v>7098</v>
      </c>
      <c r="C1367" s="1" t="s">
        <v>3600</v>
      </c>
      <c r="D1367" s="1" t="s">
        <v>3601</v>
      </c>
      <c r="E1367" s="1" t="s">
        <v>3664</v>
      </c>
      <c r="F1367" s="1" t="s">
        <v>7089</v>
      </c>
      <c r="G1367" s="1" t="s">
        <v>7099</v>
      </c>
      <c r="H1367" s="1" t="s">
        <v>3604</v>
      </c>
      <c r="I1367" s="1" t="s">
        <v>7100</v>
      </c>
      <c r="J1367" s="1" t="s">
        <v>3615</v>
      </c>
      <c r="K1367" s="1"/>
      <c r="L1367" s="1"/>
      <c r="M1367" s="1"/>
    </row>
    <row x14ac:dyDescent="0.25" r="1368" customHeight="1" ht="18.75">
      <c r="A1368" s="1" t="s">
        <v>3693</v>
      </c>
      <c r="B1368" s="1" t="s">
        <v>5598</v>
      </c>
      <c r="C1368" s="1" t="s">
        <v>3600</v>
      </c>
      <c r="D1368" s="1" t="s">
        <v>3601</v>
      </c>
      <c r="E1368" s="1" t="s">
        <v>3664</v>
      </c>
      <c r="F1368" s="1" t="s">
        <v>7101</v>
      </c>
      <c r="G1368" s="1" t="s">
        <v>7102</v>
      </c>
      <c r="H1368" s="1" t="s">
        <v>3604</v>
      </c>
      <c r="I1368" s="1" t="s">
        <v>7103</v>
      </c>
      <c r="J1368" s="1" t="s">
        <v>3615</v>
      </c>
      <c r="K1368" s="1"/>
      <c r="L1368" s="1"/>
      <c r="M1368" s="1"/>
    </row>
    <row x14ac:dyDescent="0.25" r="1369" customHeight="1" ht="18.75">
      <c r="A1369" s="1" t="s">
        <v>3693</v>
      </c>
      <c r="B1369" s="1" t="s">
        <v>4237</v>
      </c>
      <c r="C1369" s="1" t="s">
        <v>3600</v>
      </c>
      <c r="D1369" s="1" t="s">
        <v>3601</v>
      </c>
      <c r="E1369" s="1" t="s">
        <v>3664</v>
      </c>
      <c r="F1369" s="1" t="s">
        <v>7089</v>
      </c>
      <c r="G1369" s="1" t="s">
        <v>4238</v>
      </c>
      <c r="H1369" s="1" t="s">
        <v>3604</v>
      </c>
      <c r="I1369" s="1" t="s">
        <v>7104</v>
      </c>
      <c r="J1369" s="1" t="s">
        <v>3615</v>
      </c>
      <c r="K1369" s="1"/>
      <c r="L1369" s="1"/>
      <c r="M1369" s="1"/>
    </row>
    <row x14ac:dyDescent="0.25" r="1370" customHeight="1" ht="18.75">
      <c r="A1370" s="1" t="s">
        <v>3617</v>
      </c>
      <c r="B1370" s="1" t="s">
        <v>7105</v>
      </c>
      <c r="C1370" s="1" t="s">
        <v>3619</v>
      </c>
      <c r="D1370" s="1" t="s">
        <v>3601</v>
      </c>
      <c r="E1370" s="1"/>
      <c r="F1370" s="1" t="s">
        <v>7106</v>
      </c>
      <c r="G1370" s="1" t="s">
        <v>7107</v>
      </c>
      <c r="H1370" s="1" t="s">
        <v>3604</v>
      </c>
      <c r="I1370" s="1" t="s">
        <v>7108</v>
      </c>
      <c r="J1370" s="1" t="s">
        <v>3606</v>
      </c>
      <c r="K1370" s="1"/>
      <c r="L1370" s="1"/>
      <c r="M1370" s="1"/>
    </row>
    <row x14ac:dyDescent="0.25" r="1371" customHeight="1" ht="18.75">
      <c r="A1371" s="1" t="s">
        <v>3617</v>
      </c>
      <c r="B1371" s="1" t="s">
        <v>7105</v>
      </c>
      <c r="C1371" s="1" t="s">
        <v>3619</v>
      </c>
      <c r="D1371" s="1" t="s">
        <v>3601</v>
      </c>
      <c r="E1371" s="1"/>
      <c r="F1371" s="1" t="s">
        <v>7109</v>
      </c>
      <c r="G1371" s="1" t="s">
        <v>7107</v>
      </c>
      <c r="H1371" s="1" t="s">
        <v>3604</v>
      </c>
      <c r="I1371" s="1" t="s">
        <v>7110</v>
      </c>
      <c r="J1371" s="1" t="s">
        <v>3606</v>
      </c>
      <c r="K1371" s="1"/>
      <c r="L1371" s="1"/>
      <c r="M1371" s="1"/>
    </row>
    <row x14ac:dyDescent="0.25" r="1372" customHeight="1" ht="18.75">
      <c r="A1372" s="1" t="s">
        <v>3617</v>
      </c>
      <c r="B1372" s="1" t="s">
        <v>7105</v>
      </c>
      <c r="C1372" s="1" t="s">
        <v>3619</v>
      </c>
      <c r="D1372" s="1" t="s">
        <v>3601</v>
      </c>
      <c r="E1372" s="1"/>
      <c r="F1372" s="1" t="s">
        <v>7111</v>
      </c>
      <c r="G1372" s="1" t="s">
        <v>7107</v>
      </c>
      <c r="H1372" s="1" t="s">
        <v>3604</v>
      </c>
      <c r="I1372" s="1" t="s">
        <v>7112</v>
      </c>
      <c r="J1372" s="1" t="s">
        <v>3606</v>
      </c>
      <c r="K1372" s="1"/>
      <c r="L1372" s="1"/>
      <c r="M1372" s="1"/>
    </row>
    <row x14ac:dyDescent="0.25" r="1373" customHeight="1" ht="18.75">
      <c r="A1373" s="1" t="s">
        <v>3617</v>
      </c>
      <c r="B1373" s="1" t="s">
        <v>7105</v>
      </c>
      <c r="C1373" s="1" t="s">
        <v>3619</v>
      </c>
      <c r="D1373" s="1" t="s">
        <v>3601</v>
      </c>
      <c r="E1373" s="1"/>
      <c r="F1373" s="1" t="s">
        <v>7113</v>
      </c>
      <c r="G1373" s="1" t="s">
        <v>7107</v>
      </c>
      <c r="H1373" s="1" t="s">
        <v>3604</v>
      </c>
      <c r="I1373" s="1" t="s">
        <v>7114</v>
      </c>
      <c r="J1373" s="1" t="s">
        <v>3606</v>
      </c>
      <c r="K1373" s="1"/>
      <c r="L1373" s="1"/>
      <c r="M1373" s="1"/>
    </row>
    <row x14ac:dyDescent="0.25" r="1374" customHeight="1" ht="18.75">
      <c r="A1374" s="1" t="s">
        <v>3617</v>
      </c>
      <c r="B1374" s="1" t="s">
        <v>7105</v>
      </c>
      <c r="C1374" s="1" t="s">
        <v>3619</v>
      </c>
      <c r="D1374" s="1" t="s">
        <v>3601</v>
      </c>
      <c r="E1374" s="1"/>
      <c r="F1374" s="1" t="s">
        <v>7115</v>
      </c>
      <c r="G1374" s="1" t="s">
        <v>7107</v>
      </c>
      <c r="H1374" s="1" t="s">
        <v>3604</v>
      </c>
      <c r="I1374" s="1" t="s">
        <v>7116</v>
      </c>
      <c r="J1374" s="1" t="s">
        <v>3606</v>
      </c>
      <c r="K1374" s="1"/>
      <c r="L1374" s="1"/>
      <c r="M1374" s="1"/>
    </row>
    <row x14ac:dyDescent="0.25" r="1375" customHeight="1" ht="18.75">
      <c r="A1375" s="1" t="s">
        <v>3617</v>
      </c>
      <c r="B1375" s="1" t="s">
        <v>7105</v>
      </c>
      <c r="C1375" s="1" t="s">
        <v>3619</v>
      </c>
      <c r="D1375" s="1" t="s">
        <v>3601</v>
      </c>
      <c r="E1375" s="1"/>
      <c r="F1375" s="1" t="s">
        <v>7117</v>
      </c>
      <c r="G1375" s="1" t="s">
        <v>7107</v>
      </c>
      <c r="H1375" s="1" t="s">
        <v>3604</v>
      </c>
      <c r="I1375" s="1" t="s">
        <v>7118</v>
      </c>
      <c r="J1375" s="1" t="s">
        <v>3606</v>
      </c>
      <c r="K1375" s="1"/>
      <c r="L1375" s="1"/>
      <c r="M1375" s="1"/>
    </row>
    <row x14ac:dyDescent="0.25" r="1376" customHeight="1" ht="18.75">
      <c r="A1376" s="1" t="s">
        <v>3693</v>
      </c>
      <c r="B1376" s="1" t="s">
        <v>5598</v>
      </c>
      <c r="C1376" s="1" t="s">
        <v>3600</v>
      </c>
      <c r="D1376" s="1" t="s">
        <v>3601</v>
      </c>
      <c r="E1376" s="1" t="s">
        <v>3664</v>
      </c>
      <c r="F1376" s="1" t="s">
        <v>7101</v>
      </c>
      <c r="G1376" s="1" t="s">
        <v>5600</v>
      </c>
      <c r="H1376" s="1" t="s">
        <v>3604</v>
      </c>
      <c r="I1376" s="1" t="s">
        <v>7119</v>
      </c>
      <c r="J1376" s="1" t="s">
        <v>3615</v>
      </c>
      <c r="K1376" s="1"/>
      <c r="L1376" s="1"/>
      <c r="M1376" s="1"/>
    </row>
    <row x14ac:dyDescent="0.25" r="1377" customHeight="1" ht="18.75">
      <c r="A1377" s="1" t="s">
        <v>3693</v>
      </c>
      <c r="B1377" s="1" t="s">
        <v>4267</v>
      </c>
      <c r="C1377" s="1" t="s">
        <v>3600</v>
      </c>
      <c r="D1377" s="1" t="s">
        <v>3601</v>
      </c>
      <c r="E1377" s="1" t="s">
        <v>3893</v>
      </c>
      <c r="F1377" s="1" t="s">
        <v>7120</v>
      </c>
      <c r="G1377" s="1" t="s">
        <v>5651</v>
      </c>
      <c r="H1377" s="1" t="s">
        <v>3604</v>
      </c>
      <c r="I1377" s="1" t="s">
        <v>7121</v>
      </c>
      <c r="J1377" s="1" t="s">
        <v>3606</v>
      </c>
      <c r="K1377" s="1"/>
      <c r="L1377" s="1"/>
      <c r="M1377" s="1"/>
    </row>
    <row x14ac:dyDescent="0.25" r="1378" customHeight="1" ht="18.75">
      <c r="A1378" s="1" t="s">
        <v>3693</v>
      </c>
      <c r="B1378" s="1" t="s">
        <v>5598</v>
      </c>
      <c r="C1378" s="1" t="s">
        <v>3600</v>
      </c>
      <c r="D1378" s="1" t="s">
        <v>3601</v>
      </c>
      <c r="E1378" s="1" t="s">
        <v>3664</v>
      </c>
      <c r="F1378" s="1" t="s">
        <v>7101</v>
      </c>
      <c r="G1378" s="1" t="s">
        <v>7122</v>
      </c>
      <c r="H1378" s="1" t="s">
        <v>3604</v>
      </c>
      <c r="I1378" s="1" t="s">
        <v>7123</v>
      </c>
      <c r="J1378" s="1" t="s">
        <v>3615</v>
      </c>
      <c r="K1378" s="1"/>
      <c r="L1378" s="1"/>
      <c r="M1378" s="1"/>
    </row>
    <row x14ac:dyDescent="0.25" r="1379" customHeight="1" ht="18.75">
      <c r="A1379" s="1" t="s">
        <v>3693</v>
      </c>
      <c r="B1379" s="1" t="s">
        <v>4267</v>
      </c>
      <c r="C1379" s="1" t="s">
        <v>3600</v>
      </c>
      <c r="D1379" s="1" t="s">
        <v>3601</v>
      </c>
      <c r="E1379" s="1" t="s">
        <v>3893</v>
      </c>
      <c r="F1379" s="1" t="s">
        <v>7124</v>
      </c>
      <c r="G1379" s="1" t="s">
        <v>7125</v>
      </c>
      <c r="H1379" s="1" t="s">
        <v>3604</v>
      </c>
      <c r="I1379" s="1" t="s">
        <v>7126</v>
      </c>
      <c r="J1379" s="1" t="s">
        <v>3615</v>
      </c>
      <c r="K1379" s="1"/>
      <c r="L1379" s="1"/>
      <c r="M1379" s="1"/>
    </row>
    <row x14ac:dyDescent="0.25" r="1380" customHeight="1" ht="18.75">
      <c r="A1380" s="1" t="s">
        <v>3693</v>
      </c>
      <c r="B1380" s="1" t="s">
        <v>5598</v>
      </c>
      <c r="C1380" s="1" t="s">
        <v>3600</v>
      </c>
      <c r="D1380" s="1" t="s">
        <v>3601</v>
      </c>
      <c r="E1380" s="1" t="s">
        <v>3664</v>
      </c>
      <c r="F1380" s="1" t="s">
        <v>7101</v>
      </c>
      <c r="G1380" s="1" t="s">
        <v>7127</v>
      </c>
      <c r="H1380" s="1" t="s">
        <v>3604</v>
      </c>
      <c r="I1380" s="1" t="s">
        <v>7128</v>
      </c>
      <c r="J1380" s="1" t="s">
        <v>3615</v>
      </c>
      <c r="K1380" s="1"/>
      <c r="L1380" s="1"/>
      <c r="M1380" s="1"/>
    </row>
    <row x14ac:dyDescent="0.25" r="1381" customHeight="1" ht="18.75">
      <c r="A1381" s="1" t="s">
        <v>3617</v>
      </c>
      <c r="B1381" s="1" t="s">
        <v>7105</v>
      </c>
      <c r="C1381" s="1" t="s">
        <v>3619</v>
      </c>
      <c r="D1381" s="1" t="s">
        <v>3601</v>
      </c>
      <c r="E1381" s="1"/>
      <c r="F1381" s="1" t="s">
        <v>7129</v>
      </c>
      <c r="G1381" s="1" t="s">
        <v>7107</v>
      </c>
      <c r="H1381" s="1" t="s">
        <v>3604</v>
      </c>
      <c r="I1381" s="1" t="s">
        <v>7130</v>
      </c>
      <c r="J1381" s="1" t="s">
        <v>3606</v>
      </c>
      <c r="K1381" s="1"/>
      <c r="L1381" s="1"/>
      <c r="M1381" s="1"/>
    </row>
    <row x14ac:dyDescent="0.25" r="1382" customHeight="1" ht="18.75">
      <c r="A1382" s="1" t="s">
        <v>3617</v>
      </c>
      <c r="B1382" s="1" t="s">
        <v>7105</v>
      </c>
      <c r="C1382" s="1" t="s">
        <v>3619</v>
      </c>
      <c r="D1382" s="1" t="s">
        <v>3601</v>
      </c>
      <c r="E1382" s="1"/>
      <c r="F1382" s="1" t="s">
        <v>7131</v>
      </c>
      <c r="G1382" s="1" t="s">
        <v>7132</v>
      </c>
      <c r="H1382" s="1" t="s">
        <v>3604</v>
      </c>
      <c r="I1382" s="1" t="s">
        <v>7133</v>
      </c>
      <c r="J1382" s="1" t="s">
        <v>3606</v>
      </c>
      <c r="K1382" s="1"/>
      <c r="L1382" s="1"/>
      <c r="M1382" s="1"/>
    </row>
    <row x14ac:dyDescent="0.25" r="1383" customHeight="1" ht="18.75">
      <c r="A1383" s="1" t="s">
        <v>3693</v>
      </c>
      <c r="B1383" s="1" t="s">
        <v>5598</v>
      </c>
      <c r="C1383" s="1" t="s">
        <v>3600</v>
      </c>
      <c r="D1383" s="1" t="s">
        <v>3601</v>
      </c>
      <c r="E1383" s="1" t="s">
        <v>3664</v>
      </c>
      <c r="F1383" s="1" t="s">
        <v>7095</v>
      </c>
      <c r="G1383" s="1" t="s">
        <v>7134</v>
      </c>
      <c r="H1383" s="1" t="s">
        <v>3604</v>
      </c>
      <c r="I1383" s="1" t="s">
        <v>7135</v>
      </c>
      <c r="J1383" s="1" t="s">
        <v>3615</v>
      </c>
      <c r="K1383" s="1"/>
      <c r="L1383" s="1"/>
      <c r="M1383" s="1"/>
    </row>
    <row x14ac:dyDescent="0.25" r="1384" customHeight="1" ht="18.75">
      <c r="A1384" s="1" t="s">
        <v>3617</v>
      </c>
      <c r="B1384" s="1" t="s">
        <v>7105</v>
      </c>
      <c r="C1384" s="1" t="s">
        <v>3619</v>
      </c>
      <c r="D1384" s="1" t="s">
        <v>3601</v>
      </c>
      <c r="E1384" s="1"/>
      <c r="F1384" s="1" t="s">
        <v>7136</v>
      </c>
      <c r="G1384" s="1" t="s">
        <v>7132</v>
      </c>
      <c r="H1384" s="1" t="s">
        <v>3604</v>
      </c>
      <c r="I1384" s="1" t="s">
        <v>7137</v>
      </c>
      <c r="J1384" s="1" t="s">
        <v>3606</v>
      </c>
      <c r="K1384" s="1"/>
      <c r="L1384" s="1"/>
      <c r="M1384" s="1"/>
    </row>
    <row x14ac:dyDescent="0.25" r="1385" customHeight="1" ht="18.75">
      <c r="A1385" s="1" t="s">
        <v>3617</v>
      </c>
      <c r="B1385" s="1" t="s">
        <v>7105</v>
      </c>
      <c r="C1385" s="1" t="s">
        <v>3619</v>
      </c>
      <c r="D1385" s="1" t="s">
        <v>3601</v>
      </c>
      <c r="E1385" s="1"/>
      <c r="F1385" s="1" t="s">
        <v>7138</v>
      </c>
      <c r="G1385" s="1" t="s">
        <v>7132</v>
      </c>
      <c r="H1385" s="1" t="s">
        <v>3604</v>
      </c>
      <c r="I1385" s="1" t="s">
        <v>7139</v>
      </c>
      <c r="J1385" s="1" t="s">
        <v>3606</v>
      </c>
      <c r="K1385" s="1"/>
      <c r="L1385" s="1"/>
      <c r="M1385" s="1"/>
    </row>
    <row x14ac:dyDescent="0.25" r="1386" customHeight="1" ht="18.75">
      <c r="A1386" s="1" t="s">
        <v>3617</v>
      </c>
      <c r="B1386" s="1" t="s">
        <v>7105</v>
      </c>
      <c r="C1386" s="1" t="s">
        <v>3619</v>
      </c>
      <c r="D1386" s="1" t="s">
        <v>3601</v>
      </c>
      <c r="E1386" s="1"/>
      <c r="F1386" s="1" t="s">
        <v>7140</v>
      </c>
      <c r="G1386" s="1" t="s">
        <v>7132</v>
      </c>
      <c r="H1386" s="1" t="s">
        <v>3604</v>
      </c>
      <c r="I1386" s="1" t="s">
        <v>7141</v>
      </c>
      <c r="J1386" s="1" t="s">
        <v>3606</v>
      </c>
      <c r="K1386" s="1"/>
      <c r="L1386" s="1"/>
      <c r="M1386" s="1"/>
    </row>
    <row x14ac:dyDescent="0.25" r="1387" customHeight="1" ht="18.75">
      <c r="A1387" s="1" t="s">
        <v>3617</v>
      </c>
      <c r="B1387" s="1" t="s">
        <v>7105</v>
      </c>
      <c r="C1387" s="1" t="s">
        <v>3619</v>
      </c>
      <c r="D1387" s="1" t="s">
        <v>3601</v>
      </c>
      <c r="E1387" s="1"/>
      <c r="F1387" s="1" t="s">
        <v>7142</v>
      </c>
      <c r="G1387" s="1" t="s">
        <v>7132</v>
      </c>
      <c r="H1387" s="1" t="s">
        <v>3604</v>
      </c>
      <c r="I1387" s="1" t="s">
        <v>7143</v>
      </c>
      <c r="J1387" s="1" t="s">
        <v>3606</v>
      </c>
      <c r="K1387" s="1"/>
      <c r="L1387" s="1"/>
      <c r="M1387" s="1"/>
    </row>
    <row x14ac:dyDescent="0.25" r="1388" customHeight="1" ht="18.75">
      <c r="A1388" s="1" t="s">
        <v>3617</v>
      </c>
      <c r="B1388" s="1" t="s">
        <v>7105</v>
      </c>
      <c r="C1388" s="1" t="s">
        <v>3619</v>
      </c>
      <c r="D1388" s="1" t="s">
        <v>3601</v>
      </c>
      <c r="E1388" s="1"/>
      <c r="F1388" s="1" t="s">
        <v>7144</v>
      </c>
      <c r="G1388" s="1" t="s">
        <v>7132</v>
      </c>
      <c r="H1388" s="1" t="s">
        <v>3604</v>
      </c>
      <c r="I1388" s="1" t="s">
        <v>7145</v>
      </c>
      <c r="J1388" s="1" t="s">
        <v>3606</v>
      </c>
      <c r="K1388" s="1"/>
      <c r="L1388" s="1"/>
      <c r="M1388" s="1"/>
    </row>
    <row x14ac:dyDescent="0.25" r="1389" customHeight="1" ht="18.75">
      <c r="A1389" s="1" t="s">
        <v>3617</v>
      </c>
      <c r="B1389" s="1" t="s">
        <v>7105</v>
      </c>
      <c r="C1389" s="1" t="s">
        <v>3619</v>
      </c>
      <c r="D1389" s="1" t="s">
        <v>3601</v>
      </c>
      <c r="E1389" s="1"/>
      <c r="F1389" s="1" t="s">
        <v>7146</v>
      </c>
      <c r="G1389" s="1" t="s">
        <v>7132</v>
      </c>
      <c r="H1389" s="1" t="s">
        <v>3604</v>
      </c>
      <c r="I1389" s="1" t="s">
        <v>7147</v>
      </c>
      <c r="J1389" s="1" t="s">
        <v>3606</v>
      </c>
      <c r="K1389" s="1"/>
      <c r="L1389" s="1"/>
      <c r="M1389" s="1"/>
    </row>
    <row x14ac:dyDescent="0.25" r="1390" customHeight="1" ht="18.75">
      <c r="A1390" s="1" t="s">
        <v>3617</v>
      </c>
      <c r="B1390" s="1" t="s">
        <v>7148</v>
      </c>
      <c r="C1390" s="1" t="s">
        <v>3619</v>
      </c>
      <c r="D1390" s="1" t="s">
        <v>3601</v>
      </c>
      <c r="E1390" s="1"/>
      <c r="F1390" s="1" t="s">
        <v>7149</v>
      </c>
      <c r="G1390" s="1" t="s">
        <v>7150</v>
      </c>
      <c r="H1390" s="1" t="s">
        <v>3604</v>
      </c>
      <c r="I1390" s="1" t="s">
        <v>7151</v>
      </c>
      <c r="J1390" s="1" t="s">
        <v>3606</v>
      </c>
      <c r="K1390" s="1"/>
      <c r="L1390" s="1"/>
      <c r="M1390" s="1"/>
    </row>
    <row x14ac:dyDescent="0.25" r="1391" customHeight="1" ht="18.75">
      <c r="A1391" s="1" t="s">
        <v>3617</v>
      </c>
      <c r="B1391" s="1" t="s">
        <v>7148</v>
      </c>
      <c r="C1391" s="1" t="s">
        <v>3619</v>
      </c>
      <c r="D1391" s="1" t="s">
        <v>3601</v>
      </c>
      <c r="E1391" s="1"/>
      <c r="F1391" s="1" t="s">
        <v>7152</v>
      </c>
      <c r="G1391" s="1" t="s">
        <v>7150</v>
      </c>
      <c r="H1391" s="1" t="s">
        <v>3604</v>
      </c>
      <c r="I1391" s="1" t="s">
        <v>7153</v>
      </c>
      <c r="J1391" s="1" t="s">
        <v>3606</v>
      </c>
      <c r="K1391" s="1"/>
      <c r="L1391" s="1"/>
      <c r="M1391" s="1"/>
    </row>
    <row x14ac:dyDescent="0.25" r="1392" customHeight="1" ht="18.75">
      <c r="A1392" s="1" t="s">
        <v>3617</v>
      </c>
      <c r="B1392" s="1" t="s">
        <v>7148</v>
      </c>
      <c r="C1392" s="1" t="s">
        <v>3619</v>
      </c>
      <c r="D1392" s="1" t="s">
        <v>3601</v>
      </c>
      <c r="E1392" s="1"/>
      <c r="F1392" s="1" t="s">
        <v>7154</v>
      </c>
      <c r="G1392" s="1" t="s">
        <v>7150</v>
      </c>
      <c r="H1392" s="1" t="s">
        <v>3604</v>
      </c>
      <c r="I1392" s="1" t="s">
        <v>7155</v>
      </c>
      <c r="J1392" s="1" t="s">
        <v>3606</v>
      </c>
      <c r="K1392" s="1"/>
      <c r="L1392" s="1"/>
      <c r="M1392" s="1"/>
    </row>
    <row x14ac:dyDescent="0.25" r="1393" customHeight="1" ht="18.75">
      <c r="A1393" s="1" t="s">
        <v>3617</v>
      </c>
      <c r="B1393" s="1" t="s">
        <v>7156</v>
      </c>
      <c r="C1393" s="1" t="s">
        <v>3619</v>
      </c>
      <c r="D1393" s="1" t="s">
        <v>3601</v>
      </c>
      <c r="E1393" s="1"/>
      <c r="F1393" s="1" t="s">
        <v>7157</v>
      </c>
      <c r="G1393" s="1" t="s">
        <v>7158</v>
      </c>
      <c r="H1393" s="1" t="s">
        <v>3604</v>
      </c>
      <c r="I1393" s="1" t="s">
        <v>7159</v>
      </c>
      <c r="J1393" s="1" t="s">
        <v>3606</v>
      </c>
      <c r="K1393" s="1"/>
      <c r="L1393" s="1"/>
      <c r="M1393" s="1"/>
    </row>
    <row x14ac:dyDescent="0.25" r="1394" customHeight="1" ht="18.75">
      <c r="A1394" s="1" t="s">
        <v>3617</v>
      </c>
      <c r="B1394" s="1" t="s">
        <v>3729</v>
      </c>
      <c r="C1394" s="1" t="s">
        <v>3619</v>
      </c>
      <c r="D1394" s="1" t="s">
        <v>3601</v>
      </c>
      <c r="E1394" s="1" t="s">
        <v>3730</v>
      </c>
      <c r="F1394" s="1" t="s">
        <v>7160</v>
      </c>
      <c r="G1394" s="1" t="s">
        <v>5508</v>
      </c>
      <c r="H1394" s="1" t="s">
        <v>3604</v>
      </c>
      <c r="I1394" s="1" t="s">
        <v>7161</v>
      </c>
      <c r="J1394" s="1" t="s">
        <v>3606</v>
      </c>
      <c r="K1394" s="1"/>
      <c r="L1394" s="1"/>
      <c r="M1394" s="1"/>
    </row>
    <row x14ac:dyDescent="0.25" r="1395" customHeight="1" ht="18.75">
      <c r="A1395" s="1" t="s">
        <v>3617</v>
      </c>
      <c r="B1395" s="1" t="s">
        <v>3729</v>
      </c>
      <c r="C1395" s="1" t="s">
        <v>3619</v>
      </c>
      <c r="D1395" s="1" t="s">
        <v>3601</v>
      </c>
      <c r="E1395" s="1" t="s">
        <v>3730</v>
      </c>
      <c r="F1395" s="1" t="s">
        <v>7162</v>
      </c>
      <c r="G1395" s="1" t="s">
        <v>5513</v>
      </c>
      <c r="H1395" s="1" t="s">
        <v>3604</v>
      </c>
      <c r="I1395" s="1" t="s">
        <v>7163</v>
      </c>
      <c r="J1395" s="1" t="s">
        <v>3606</v>
      </c>
      <c r="K1395" s="1"/>
      <c r="L1395" s="1"/>
      <c r="M1395" s="1"/>
    </row>
    <row x14ac:dyDescent="0.25" r="1396" customHeight="1" ht="18.75">
      <c r="A1396" s="1" t="s">
        <v>3617</v>
      </c>
      <c r="B1396" s="1" t="s">
        <v>3729</v>
      </c>
      <c r="C1396" s="1" t="s">
        <v>3619</v>
      </c>
      <c r="D1396" s="1" t="s">
        <v>3601</v>
      </c>
      <c r="E1396" s="1" t="s">
        <v>3730</v>
      </c>
      <c r="F1396" s="1" t="s">
        <v>7164</v>
      </c>
      <c r="G1396" s="1" t="s">
        <v>5513</v>
      </c>
      <c r="H1396" s="1" t="s">
        <v>3604</v>
      </c>
      <c r="I1396" s="1" t="s">
        <v>7165</v>
      </c>
      <c r="J1396" s="1" t="s">
        <v>3606</v>
      </c>
      <c r="K1396" s="1"/>
      <c r="L1396" s="1"/>
      <c r="M1396" s="1"/>
    </row>
    <row x14ac:dyDescent="0.25" r="1397" customHeight="1" ht="18.75">
      <c r="A1397" s="1" t="s">
        <v>3617</v>
      </c>
      <c r="B1397" s="1" t="s">
        <v>3729</v>
      </c>
      <c r="C1397" s="1" t="s">
        <v>3619</v>
      </c>
      <c r="D1397" s="1" t="s">
        <v>3601</v>
      </c>
      <c r="E1397" s="1" t="s">
        <v>3730</v>
      </c>
      <c r="F1397" s="1" t="s">
        <v>7166</v>
      </c>
      <c r="G1397" s="1" t="s">
        <v>7167</v>
      </c>
      <c r="H1397" s="1" t="s">
        <v>3604</v>
      </c>
      <c r="I1397" s="1" t="s">
        <v>7168</v>
      </c>
      <c r="J1397" s="1" t="s">
        <v>3606</v>
      </c>
      <c r="K1397" s="1"/>
      <c r="L1397" s="1"/>
      <c r="M1397" s="1"/>
    </row>
    <row x14ac:dyDescent="0.25" r="1398" customHeight="1" ht="18.75">
      <c r="A1398" s="1" t="s">
        <v>3617</v>
      </c>
      <c r="B1398" s="1" t="s">
        <v>3729</v>
      </c>
      <c r="C1398" s="1" t="s">
        <v>3619</v>
      </c>
      <c r="D1398" s="1" t="s">
        <v>3601</v>
      </c>
      <c r="E1398" s="1" t="s">
        <v>3730</v>
      </c>
      <c r="F1398" s="1" t="s">
        <v>7169</v>
      </c>
      <c r="G1398" s="1" t="s">
        <v>7167</v>
      </c>
      <c r="H1398" s="1" t="s">
        <v>3604</v>
      </c>
      <c r="I1398" s="1" t="s">
        <v>7170</v>
      </c>
      <c r="J1398" s="1" t="s">
        <v>3606</v>
      </c>
      <c r="K1398" s="1"/>
      <c r="L1398" s="1"/>
      <c r="M1398" s="1"/>
    </row>
    <row x14ac:dyDescent="0.25" r="1399" customHeight="1" ht="18.75">
      <c r="A1399" s="1" t="s">
        <v>3617</v>
      </c>
      <c r="B1399" s="1" t="s">
        <v>3729</v>
      </c>
      <c r="C1399" s="1" t="s">
        <v>3619</v>
      </c>
      <c r="D1399" s="1" t="s">
        <v>3601</v>
      </c>
      <c r="E1399" s="1" t="s">
        <v>3730</v>
      </c>
      <c r="F1399" s="1" t="s">
        <v>7171</v>
      </c>
      <c r="G1399" s="1" t="s">
        <v>7167</v>
      </c>
      <c r="H1399" s="1" t="s">
        <v>3604</v>
      </c>
      <c r="I1399" s="1" t="s">
        <v>7172</v>
      </c>
      <c r="J1399" s="1" t="s">
        <v>3606</v>
      </c>
      <c r="K1399" s="1"/>
      <c r="L1399" s="1"/>
      <c r="M1399" s="1"/>
    </row>
    <row x14ac:dyDescent="0.25" r="1400" customHeight="1" ht="18.75">
      <c r="A1400" s="1" t="s">
        <v>3617</v>
      </c>
      <c r="B1400" s="1" t="s">
        <v>3729</v>
      </c>
      <c r="C1400" s="1" t="s">
        <v>3619</v>
      </c>
      <c r="D1400" s="1" t="s">
        <v>3601</v>
      </c>
      <c r="E1400" s="1" t="s">
        <v>3730</v>
      </c>
      <c r="F1400" s="1" t="s">
        <v>7173</v>
      </c>
      <c r="G1400" s="1" t="s">
        <v>7174</v>
      </c>
      <c r="H1400" s="1" t="s">
        <v>3604</v>
      </c>
      <c r="I1400" s="1" t="s">
        <v>7175</v>
      </c>
      <c r="J1400" s="1" t="s">
        <v>3606</v>
      </c>
      <c r="K1400" s="1"/>
      <c r="L1400" s="1"/>
      <c r="M1400" s="1"/>
    </row>
    <row x14ac:dyDescent="0.25" r="1401" customHeight="1" ht="18.75">
      <c r="A1401" s="1" t="s">
        <v>3617</v>
      </c>
      <c r="B1401" s="1" t="s">
        <v>3729</v>
      </c>
      <c r="C1401" s="1" t="s">
        <v>3619</v>
      </c>
      <c r="D1401" s="1" t="s">
        <v>3601</v>
      </c>
      <c r="E1401" s="1" t="s">
        <v>3730</v>
      </c>
      <c r="F1401" s="1" t="s">
        <v>7176</v>
      </c>
      <c r="G1401" s="1" t="s">
        <v>7174</v>
      </c>
      <c r="H1401" s="1" t="s">
        <v>3604</v>
      </c>
      <c r="I1401" s="1" t="s">
        <v>7177</v>
      </c>
      <c r="J1401" s="1" t="s">
        <v>3606</v>
      </c>
      <c r="K1401" s="1"/>
      <c r="L1401" s="1"/>
      <c r="M1401" s="1"/>
    </row>
    <row x14ac:dyDescent="0.25" r="1402" customHeight="1" ht="18.75">
      <c r="A1402" s="1" t="s">
        <v>3617</v>
      </c>
      <c r="B1402" s="1" t="s">
        <v>3729</v>
      </c>
      <c r="C1402" s="1" t="s">
        <v>3619</v>
      </c>
      <c r="D1402" s="1" t="s">
        <v>3601</v>
      </c>
      <c r="E1402" s="1" t="s">
        <v>3730</v>
      </c>
      <c r="F1402" s="1" t="s">
        <v>7178</v>
      </c>
      <c r="G1402" s="1" t="s">
        <v>7174</v>
      </c>
      <c r="H1402" s="1" t="s">
        <v>3604</v>
      </c>
      <c r="I1402" s="1" t="s">
        <v>7179</v>
      </c>
      <c r="J1402" s="1" t="s">
        <v>3606</v>
      </c>
      <c r="K1402" s="1"/>
      <c r="L1402" s="1"/>
      <c r="M1402" s="1"/>
    </row>
    <row x14ac:dyDescent="0.25" r="1403" customHeight="1" ht="18.75">
      <c r="A1403" s="1" t="s">
        <v>3617</v>
      </c>
      <c r="B1403" s="1" t="s">
        <v>3729</v>
      </c>
      <c r="C1403" s="1" t="s">
        <v>3619</v>
      </c>
      <c r="D1403" s="1" t="s">
        <v>3601</v>
      </c>
      <c r="E1403" s="1" t="s">
        <v>3730</v>
      </c>
      <c r="F1403" s="1" t="s">
        <v>7180</v>
      </c>
      <c r="G1403" s="1" t="s">
        <v>7181</v>
      </c>
      <c r="H1403" s="1" t="s">
        <v>3604</v>
      </c>
      <c r="I1403" s="1" t="s">
        <v>7182</v>
      </c>
      <c r="J1403" s="1" t="s">
        <v>3606</v>
      </c>
      <c r="K1403" s="1"/>
      <c r="L1403" s="1"/>
      <c r="M1403" s="1"/>
    </row>
    <row x14ac:dyDescent="0.25" r="1404" customHeight="1" ht="18.75">
      <c r="A1404" s="1" t="s">
        <v>3617</v>
      </c>
      <c r="B1404" s="1" t="s">
        <v>3729</v>
      </c>
      <c r="C1404" s="1" t="s">
        <v>3619</v>
      </c>
      <c r="D1404" s="1" t="s">
        <v>3601</v>
      </c>
      <c r="E1404" s="1" t="s">
        <v>3730</v>
      </c>
      <c r="F1404" s="1" t="s">
        <v>7183</v>
      </c>
      <c r="G1404" s="1" t="s">
        <v>7184</v>
      </c>
      <c r="H1404" s="1" t="s">
        <v>3604</v>
      </c>
      <c r="I1404" s="1" t="s">
        <v>7185</v>
      </c>
      <c r="J1404" s="1" t="s">
        <v>3606</v>
      </c>
      <c r="K1404" s="1"/>
      <c r="L1404" s="1"/>
      <c r="M1404" s="1"/>
    </row>
    <row x14ac:dyDescent="0.25" r="1405" customHeight="1" ht="18.75">
      <c r="A1405" s="1" t="s">
        <v>3617</v>
      </c>
      <c r="B1405" s="1" t="s">
        <v>3729</v>
      </c>
      <c r="C1405" s="1" t="s">
        <v>3619</v>
      </c>
      <c r="D1405" s="1" t="s">
        <v>3601</v>
      </c>
      <c r="E1405" s="1" t="s">
        <v>3730</v>
      </c>
      <c r="F1405" s="1" t="s">
        <v>7186</v>
      </c>
      <c r="G1405" s="1" t="s">
        <v>7184</v>
      </c>
      <c r="H1405" s="1" t="s">
        <v>3604</v>
      </c>
      <c r="I1405" s="1" t="s">
        <v>7187</v>
      </c>
      <c r="J1405" s="1" t="s">
        <v>3606</v>
      </c>
      <c r="K1405" s="1"/>
      <c r="L1405" s="1"/>
      <c r="M1405" s="1"/>
    </row>
    <row x14ac:dyDescent="0.25" r="1406" customHeight="1" ht="18.75">
      <c r="A1406" s="1" t="s">
        <v>3617</v>
      </c>
      <c r="B1406" s="1" t="s">
        <v>3729</v>
      </c>
      <c r="C1406" s="1" t="s">
        <v>3619</v>
      </c>
      <c r="D1406" s="1" t="s">
        <v>3601</v>
      </c>
      <c r="E1406" s="1" t="s">
        <v>3730</v>
      </c>
      <c r="F1406" s="1" t="s">
        <v>7188</v>
      </c>
      <c r="G1406" s="1" t="s">
        <v>7184</v>
      </c>
      <c r="H1406" s="1" t="s">
        <v>3604</v>
      </c>
      <c r="I1406" s="1" t="s">
        <v>7189</v>
      </c>
      <c r="J1406" s="1" t="s">
        <v>3606</v>
      </c>
      <c r="K1406" s="1"/>
      <c r="L1406" s="1"/>
      <c r="M1406" s="1"/>
    </row>
    <row x14ac:dyDescent="0.25" r="1407" customHeight="1" ht="18.75">
      <c r="A1407" s="1" t="s">
        <v>3617</v>
      </c>
      <c r="B1407" s="1" t="s">
        <v>3729</v>
      </c>
      <c r="C1407" s="1" t="s">
        <v>3619</v>
      </c>
      <c r="D1407" s="1" t="s">
        <v>3601</v>
      </c>
      <c r="E1407" s="1" t="s">
        <v>3730</v>
      </c>
      <c r="F1407" s="1" t="s">
        <v>7190</v>
      </c>
      <c r="G1407" s="1" t="s">
        <v>7191</v>
      </c>
      <c r="H1407" s="1" t="s">
        <v>3604</v>
      </c>
      <c r="I1407" s="1" t="s">
        <v>7192</v>
      </c>
      <c r="J1407" s="1" t="s">
        <v>3606</v>
      </c>
      <c r="K1407" s="1"/>
      <c r="L1407" s="1"/>
      <c r="M1407" s="1"/>
    </row>
    <row x14ac:dyDescent="0.25" r="1408" customHeight="1" ht="18.75">
      <c r="A1408" s="1" t="s">
        <v>3617</v>
      </c>
      <c r="B1408" s="1" t="s">
        <v>3729</v>
      </c>
      <c r="C1408" s="1" t="s">
        <v>3619</v>
      </c>
      <c r="D1408" s="1" t="s">
        <v>3601</v>
      </c>
      <c r="E1408" s="1" t="s">
        <v>3730</v>
      </c>
      <c r="F1408" s="1" t="s">
        <v>7193</v>
      </c>
      <c r="G1408" s="1" t="s">
        <v>7191</v>
      </c>
      <c r="H1408" s="1" t="s">
        <v>3604</v>
      </c>
      <c r="I1408" s="1" t="s">
        <v>7194</v>
      </c>
      <c r="J1408" s="1" t="s">
        <v>3606</v>
      </c>
      <c r="K1408" s="1"/>
      <c r="L1408" s="1"/>
      <c r="M1408" s="1"/>
    </row>
    <row x14ac:dyDescent="0.25" r="1409" customHeight="1" ht="18.75">
      <c r="A1409" s="1" t="s">
        <v>3617</v>
      </c>
      <c r="B1409" s="1" t="s">
        <v>3729</v>
      </c>
      <c r="C1409" s="1" t="s">
        <v>3619</v>
      </c>
      <c r="D1409" s="1" t="s">
        <v>3601</v>
      </c>
      <c r="E1409" s="1" t="s">
        <v>3730</v>
      </c>
      <c r="F1409" s="1" t="s">
        <v>7195</v>
      </c>
      <c r="G1409" s="1" t="s">
        <v>7191</v>
      </c>
      <c r="H1409" s="1" t="s">
        <v>3604</v>
      </c>
      <c r="I1409" s="1" t="s">
        <v>7196</v>
      </c>
      <c r="J1409" s="1" t="s">
        <v>3606</v>
      </c>
      <c r="K1409" s="1"/>
      <c r="L1409" s="1"/>
      <c r="M1409" s="1"/>
    </row>
    <row x14ac:dyDescent="0.25" r="1410" customHeight="1" ht="18.75">
      <c r="A1410" s="1" t="s">
        <v>3617</v>
      </c>
      <c r="B1410" s="1" t="s">
        <v>3729</v>
      </c>
      <c r="C1410" s="1" t="s">
        <v>3619</v>
      </c>
      <c r="D1410" s="1" t="s">
        <v>3601</v>
      </c>
      <c r="E1410" s="1" t="s">
        <v>3730</v>
      </c>
      <c r="F1410" s="1" t="s">
        <v>7197</v>
      </c>
      <c r="G1410" s="1" t="s">
        <v>7198</v>
      </c>
      <c r="H1410" s="1" t="s">
        <v>3604</v>
      </c>
      <c r="I1410" s="1" t="s">
        <v>7199</v>
      </c>
      <c r="J1410" s="1" t="s">
        <v>3606</v>
      </c>
      <c r="K1410" s="1"/>
      <c r="L1410" s="1"/>
      <c r="M1410" s="1"/>
    </row>
    <row x14ac:dyDescent="0.25" r="1411" customHeight="1" ht="18.75">
      <c r="A1411" s="1" t="s">
        <v>3617</v>
      </c>
      <c r="B1411" s="1" t="s">
        <v>3729</v>
      </c>
      <c r="C1411" s="1" t="s">
        <v>3619</v>
      </c>
      <c r="D1411" s="1" t="s">
        <v>3601</v>
      </c>
      <c r="E1411" s="1" t="s">
        <v>3730</v>
      </c>
      <c r="F1411" s="1" t="s">
        <v>7200</v>
      </c>
      <c r="G1411" s="1" t="s">
        <v>7198</v>
      </c>
      <c r="H1411" s="1" t="s">
        <v>3604</v>
      </c>
      <c r="I1411" s="1" t="s">
        <v>7201</v>
      </c>
      <c r="J1411" s="1" t="s">
        <v>3606</v>
      </c>
      <c r="K1411" s="1"/>
      <c r="L1411" s="1"/>
      <c r="M1411" s="1"/>
    </row>
    <row x14ac:dyDescent="0.25" r="1412" customHeight="1" ht="18.75">
      <c r="A1412" s="1" t="s">
        <v>3617</v>
      </c>
      <c r="B1412" s="1" t="s">
        <v>3729</v>
      </c>
      <c r="C1412" s="1" t="s">
        <v>3619</v>
      </c>
      <c r="D1412" s="1" t="s">
        <v>3601</v>
      </c>
      <c r="E1412" s="1" t="s">
        <v>3730</v>
      </c>
      <c r="F1412" s="1" t="s">
        <v>7202</v>
      </c>
      <c r="G1412" s="1" t="s">
        <v>7198</v>
      </c>
      <c r="H1412" s="1" t="s">
        <v>3604</v>
      </c>
      <c r="I1412" s="1" t="s">
        <v>7203</v>
      </c>
      <c r="J1412" s="1" t="s">
        <v>3606</v>
      </c>
      <c r="K1412" s="1"/>
      <c r="L1412" s="1"/>
      <c r="M1412" s="1"/>
    </row>
    <row x14ac:dyDescent="0.25" r="1413" customHeight="1" ht="18.75">
      <c r="A1413" s="1" t="s">
        <v>3617</v>
      </c>
      <c r="B1413" s="1" t="s">
        <v>3729</v>
      </c>
      <c r="C1413" s="1" t="s">
        <v>3619</v>
      </c>
      <c r="D1413" s="1" t="s">
        <v>3601</v>
      </c>
      <c r="E1413" s="1" t="s">
        <v>3730</v>
      </c>
      <c r="F1413" s="1" t="s">
        <v>7204</v>
      </c>
      <c r="G1413" s="1" t="s">
        <v>7205</v>
      </c>
      <c r="H1413" s="1" t="s">
        <v>3604</v>
      </c>
      <c r="I1413" s="1" t="s">
        <v>7206</v>
      </c>
      <c r="J1413" s="1" t="s">
        <v>3606</v>
      </c>
      <c r="K1413" s="1"/>
      <c r="L1413" s="1"/>
      <c r="M1413" s="1"/>
    </row>
    <row x14ac:dyDescent="0.25" r="1414" customHeight="1" ht="18.75">
      <c r="A1414" s="1" t="s">
        <v>3617</v>
      </c>
      <c r="B1414" s="1" t="s">
        <v>3729</v>
      </c>
      <c r="C1414" s="1" t="s">
        <v>3619</v>
      </c>
      <c r="D1414" s="1" t="s">
        <v>3601</v>
      </c>
      <c r="E1414" s="1" t="s">
        <v>3730</v>
      </c>
      <c r="F1414" s="1" t="s">
        <v>7207</v>
      </c>
      <c r="G1414" s="1" t="s">
        <v>7205</v>
      </c>
      <c r="H1414" s="1" t="s">
        <v>3604</v>
      </c>
      <c r="I1414" s="1" t="s">
        <v>7208</v>
      </c>
      <c r="J1414" s="1" t="s">
        <v>3606</v>
      </c>
      <c r="K1414" s="1"/>
      <c r="L1414" s="1"/>
      <c r="M1414" s="1"/>
    </row>
    <row x14ac:dyDescent="0.25" r="1415" customHeight="1" ht="18.75">
      <c r="A1415" s="1" t="s">
        <v>3617</v>
      </c>
      <c r="B1415" s="1" t="s">
        <v>3729</v>
      </c>
      <c r="C1415" s="1" t="s">
        <v>3619</v>
      </c>
      <c r="D1415" s="1" t="s">
        <v>3601</v>
      </c>
      <c r="E1415" s="1" t="s">
        <v>3730</v>
      </c>
      <c r="F1415" s="1" t="s">
        <v>7209</v>
      </c>
      <c r="G1415" s="1" t="s">
        <v>7205</v>
      </c>
      <c r="H1415" s="1" t="s">
        <v>3604</v>
      </c>
      <c r="I1415" s="1" t="s">
        <v>7210</v>
      </c>
      <c r="J1415" s="1" t="s">
        <v>3606</v>
      </c>
      <c r="K1415" s="1"/>
      <c r="L1415" s="1"/>
      <c r="M1415" s="1"/>
    </row>
    <row x14ac:dyDescent="0.25" r="1416" customHeight="1" ht="18.75">
      <c r="A1416" s="1" t="s">
        <v>3693</v>
      </c>
      <c r="B1416" s="1" t="s">
        <v>4247</v>
      </c>
      <c r="C1416" s="1" t="s">
        <v>3600</v>
      </c>
      <c r="D1416" s="1" t="s">
        <v>3601</v>
      </c>
      <c r="E1416" s="1" t="s">
        <v>3893</v>
      </c>
      <c r="F1416" s="1" t="s">
        <v>7211</v>
      </c>
      <c r="G1416" s="1" t="s">
        <v>4744</v>
      </c>
      <c r="H1416" s="1" t="s">
        <v>3604</v>
      </c>
      <c r="I1416" s="1" t="s">
        <v>7212</v>
      </c>
      <c r="J1416" s="1" t="s">
        <v>3615</v>
      </c>
      <c r="K1416" s="1"/>
      <c r="L1416" s="1"/>
      <c r="M1416" s="1"/>
    </row>
    <row x14ac:dyDescent="0.25" r="1417" customHeight="1" ht="18.75">
      <c r="A1417" s="1" t="s">
        <v>3693</v>
      </c>
      <c r="B1417" s="1" t="s">
        <v>4247</v>
      </c>
      <c r="C1417" s="1" t="s">
        <v>3600</v>
      </c>
      <c r="D1417" s="1" t="s">
        <v>3601</v>
      </c>
      <c r="E1417" s="1" t="s">
        <v>3664</v>
      </c>
      <c r="F1417" s="1" t="s">
        <v>7213</v>
      </c>
      <c r="G1417" s="1" t="s">
        <v>4744</v>
      </c>
      <c r="H1417" s="1" t="s">
        <v>3604</v>
      </c>
      <c r="I1417" s="1" t="s">
        <v>7214</v>
      </c>
      <c r="J1417" s="1" t="s">
        <v>3615</v>
      </c>
      <c r="K1417" s="1"/>
      <c r="L1417" s="1"/>
      <c r="M1417" s="1"/>
    </row>
    <row x14ac:dyDescent="0.25" r="1418" customHeight="1" ht="18.75">
      <c r="A1418" s="1" t="s">
        <v>3693</v>
      </c>
      <c r="B1418" s="1" t="s">
        <v>4247</v>
      </c>
      <c r="C1418" s="1" t="s">
        <v>3600</v>
      </c>
      <c r="D1418" s="1" t="s">
        <v>3601</v>
      </c>
      <c r="E1418" s="1" t="s">
        <v>3611</v>
      </c>
      <c r="F1418" s="1" t="s">
        <v>7215</v>
      </c>
      <c r="G1418" s="1" t="s">
        <v>4744</v>
      </c>
      <c r="H1418" s="1" t="s">
        <v>3604</v>
      </c>
      <c r="I1418" s="1" t="s">
        <v>7216</v>
      </c>
      <c r="J1418" s="1" t="s">
        <v>3615</v>
      </c>
      <c r="K1418" s="1"/>
      <c r="L1418" s="1"/>
      <c r="M1418" s="1"/>
    </row>
    <row x14ac:dyDescent="0.25" r="1419" customHeight="1" ht="18.75">
      <c r="A1419" s="1" t="s">
        <v>3693</v>
      </c>
      <c r="B1419" s="1" t="s">
        <v>4247</v>
      </c>
      <c r="C1419" s="1" t="s">
        <v>3600</v>
      </c>
      <c r="D1419" s="1" t="s">
        <v>3601</v>
      </c>
      <c r="E1419" s="1" t="s">
        <v>3893</v>
      </c>
      <c r="F1419" s="1" t="s">
        <v>7217</v>
      </c>
      <c r="G1419" s="1" t="s">
        <v>4249</v>
      </c>
      <c r="H1419" s="1" t="s">
        <v>3604</v>
      </c>
      <c r="I1419" s="1" t="s">
        <v>7218</v>
      </c>
      <c r="J1419" s="1" t="s">
        <v>3606</v>
      </c>
      <c r="K1419" s="1"/>
      <c r="L1419" s="1"/>
      <c r="M1419" s="1"/>
    </row>
    <row x14ac:dyDescent="0.25" r="1420" customHeight="1" ht="18.75">
      <c r="A1420" s="1" t="s">
        <v>3693</v>
      </c>
      <c r="B1420" s="1" t="s">
        <v>4247</v>
      </c>
      <c r="C1420" s="1" t="s">
        <v>3600</v>
      </c>
      <c r="D1420" s="1" t="s">
        <v>3601</v>
      </c>
      <c r="E1420" s="1" t="s">
        <v>3893</v>
      </c>
      <c r="F1420" s="1" t="s">
        <v>7219</v>
      </c>
      <c r="G1420" s="1" t="s">
        <v>4744</v>
      </c>
      <c r="H1420" s="1" t="s">
        <v>3604</v>
      </c>
      <c r="I1420" s="1" t="s">
        <v>7220</v>
      </c>
      <c r="J1420" s="1" t="s">
        <v>3606</v>
      </c>
      <c r="K1420" s="1"/>
      <c r="L1420" s="1"/>
      <c r="M1420" s="1"/>
    </row>
    <row x14ac:dyDescent="0.25" r="1421" customHeight="1" ht="18.75">
      <c r="A1421" s="1" t="s">
        <v>3693</v>
      </c>
      <c r="B1421" s="1" t="s">
        <v>4162</v>
      </c>
      <c r="C1421" s="1" t="s">
        <v>3619</v>
      </c>
      <c r="D1421" s="1" t="s">
        <v>3601</v>
      </c>
      <c r="E1421" s="1" t="s">
        <v>3664</v>
      </c>
      <c r="F1421" s="1" t="s">
        <v>7221</v>
      </c>
      <c r="G1421" s="1" t="s">
        <v>4163</v>
      </c>
      <c r="H1421" s="1" t="s">
        <v>3604</v>
      </c>
      <c r="I1421" s="1" t="s">
        <v>7222</v>
      </c>
      <c r="J1421" s="1" t="s">
        <v>3615</v>
      </c>
      <c r="K1421" s="1"/>
      <c r="L1421" s="1"/>
      <c r="M1421" s="1"/>
    </row>
    <row x14ac:dyDescent="0.25" r="1422" customHeight="1" ht="18.75">
      <c r="A1422" s="1" t="s">
        <v>3598</v>
      </c>
      <c r="B1422" s="1" t="s">
        <v>3663</v>
      </c>
      <c r="C1422" s="1" t="s">
        <v>3600</v>
      </c>
      <c r="D1422" s="1" t="s">
        <v>3601</v>
      </c>
      <c r="E1422" s="1" t="s">
        <v>3752</v>
      </c>
      <c r="F1422" s="1" t="s">
        <v>7223</v>
      </c>
      <c r="G1422" s="1" t="s">
        <v>7224</v>
      </c>
      <c r="H1422" s="1" t="s">
        <v>3604</v>
      </c>
      <c r="I1422" s="1" t="s">
        <v>7225</v>
      </c>
      <c r="J1422" s="1" t="s">
        <v>3615</v>
      </c>
      <c r="K1422" s="1"/>
      <c r="L1422" s="1"/>
      <c r="M1422" s="1"/>
    </row>
    <row x14ac:dyDescent="0.25" r="1423" customHeight="1" ht="18.75">
      <c r="A1423" s="1" t="s">
        <v>3598</v>
      </c>
      <c r="B1423" s="1" t="s">
        <v>3663</v>
      </c>
      <c r="C1423" s="1" t="s">
        <v>3600</v>
      </c>
      <c r="D1423" s="1" t="s">
        <v>3601</v>
      </c>
      <c r="E1423" s="1" t="s">
        <v>3664</v>
      </c>
      <c r="F1423" s="1" t="s">
        <v>7226</v>
      </c>
      <c r="G1423" s="1" t="s">
        <v>7227</v>
      </c>
      <c r="H1423" s="1" t="s">
        <v>3604</v>
      </c>
      <c r="I1423" s="1" t="s">
        <v>7228</v>
      </c>
      <c r="J1423" s="1" t="s">
        <v>3615</v>
      </c>
      <c r="K1423" s="1"/>
      <c r="L1423" s="1"/>
      <c r="M1423" s="1"/>
    </row>
    <row x14ac:dyDescent="0.25" r="1424" customHeight="1" ht="18.75">
      <c r="A1424" s="1" t="s">
        <v>3598</v>
      </c>
      <c r="B1424" s="1" t="s">
        <v>3663</v>
      </c>
      <c r="C1424" s="1" t="s">
        <v>3600</v>
      </c>
      <c r="D1424" s="1" t="s">
        <v>3601</v>
      </c>
      <c r="E1424" s="1" t="s">
        <v>3664</v>
      </c>
      <c r="F1424" s="1" t="s">
        <v>7229</v>
      </c>
      <c r="G1424" s="1" t="s">
        <v>7227</v>
      </c>
      <c r="H1424" s="1" t="s">
        <v>3604</v>
      </c>
      <c r="I1424" s="1" t="s">
        <v>7230</v>
      </c>
      <c r="J1424" s="1" t="s">
        <v>3615</v>
      </c>
      <c r="K1424" s="1"/>
      <c r="L1424" s="1"/>
      <c r="M1424" s="1"/>
    </row>
    <row x14ac:dyDescent="0.25" r="1425" customHeight="1" ht="18.75">
      <c r="A1425" s="1" t="s">
        <v>3598</v>
      </c>
      <c r="B1425" s="1" t="s">
        <v>3663</v>
      </c>
      <c r="C1425" s="1" t="s">
        <v>3600</v>
      </c>
      <c r="D1425" s="1" t="s">
        <v>3601</v>
      </c>
      <c r="E1425" s="1" t="s">
        <v>3664</v>
      </c>
      <c r="F1425" s="1" t="s">
        <v>7231</v>
      </c>
      <c r="G1425" s="1" t="s">
        <v>7227</v>
      </c>
      <c r="H1425" s="1" t="s">
        <v>3604</v>
      </c>
      <c r="I1425" s="1" t="s">
        <v>7232</v>
      </c>
      <c r="J1425" s="1" t="s">
        <v>3615</v>
      </c>
      <c r="K1425" s="1"/>
      <c r="L1425" s="1"/>
      <c r="M1425" s="1"/>
    </row>
    <row x14ac:dyDescent="0.25" r="1426" customHeight="1" ht="18.75">
      <c r="A1426" s="1" t="s">
        <v>3598</v>
      </c>
      <c r="B1426" s="1" t="s">
        <v>3663</v>
      </c>
      <c r="C1426" s="1" t="s">
        <v>3600</v>
      </c>
      <c r="D1426" s="1" t="s">
        <v>3601</v>
      </c>
      <c r="E1426" s="1" t="s">
        <v>3664</v>
      </c>
      <c r="F1426" s="1" t="s">
        <v>7233</v>
      </c>
      <c r="G1426" s="1" t="s">
        <v>7227</v>
      </c>
      <c r="H1426" s="1" t="s">
        <v>3604</v>
      </c>
      <c r="I1426" s="1" t="s">
        <v>7234</v>
      </c>
      <c r="J1426" s="1" t="s">
        <v>3615</v>
      </c>
      <c r="K1426" s="1"/>
      <c r="L1426" s="1"/>
      <c r="M1426" s="1"/>
    </row>
    <row x14ac:dyDescent="0.25" r="1427" customHeight="1" ht="18.75">
      <c r="A1427" s="1" t="s">
        <v>3598</v>
      </c>
      <c r="B1427" s="1" t="s">
        <v>3663</v>
      </c>
      <c r="C1427" s="1" t="s">
        <v>3600</v>
      </c>
      <c r="D1427" s="1" t="s">
        <v>3601</v>
      </c>
      <c r="E1427" s="1" t="s">
        <v>3664</v>
      </c>
      <c r="F1427" s="1" t="s">
        <v>7235</v>
      </c>
      <c r="G1427" s="1" t="s">
        <v>7227</v>
      </c>
      <c r="H1427" s="1" t="s">
        <v>3604</v>
      </c>
      <c r="I1427" s="1" t="s">
        <v>7236</v>
      </c>
      <c r="J1427" s="1" t="s">
        <v>3615</v>
      </c>
      <c r="K1427" s="1"/>
      <c r="L1427" s="1"/>
      <c r="M1427" s="1"/>
    </row>
    <row x14ac:dyDescent="0.25" r="1428" customHeight="1" ht="18.75">
      <c r="A1428" s="1" t="s">
        <v>3598</v>
      </c>
      <c r="B1428" s="1" t="s">
        <v>3663</v>
      </c>
      <c r="C1428" s="1" t="s">
        <v>3600</v>
      </c>
      <c r="D1428" s="1" t="s">
        <v>3601</v>
      </c>
      <c r="E1428" s="1" t="s">
        <v>3664</v>
      </c>
      <c r="F1428" s="1" t="s">
        <v>7237</v>
      </c>
      <c r="G1428" s="1" t="s">
        <v>7227</v>
      </c>
      <c r="H1428" s="1" t="s">
        <v>3604</v>
      </c>
      <c r="I1428" s="1" t="s">
        <v>7238</v>
      </c>
      <c r="J1428" s="1" t="s">
        <v>3615</v>
      </c>
      <c r="K1428" s="1"/>
      <c r="L1428" s="1"/>
      <c r="M1428" s="1"/>
    </row>
    <row x14ac:dyDescent="0.25" r="1429" customHeight="1" ht="18.75">
      <c r="A1429" s="1" t="s">
        <v>3598</v>
      </c>
      <c r="B1429" s="1" t="s">
        <v>3663</v>
      </c>
      <c r="C1429" s="1" t="s">
        <v>3600</v>
      </c>
      <c r="D1429" s="1" t="s">
        <v>3601</v>
      </c>
      <c r="E1429" s="1" t="s">
        <v>3664</v>
      </c>
      <c r="F1429" s="1" t="s">
        <v>7239</v>
      </c>
      <c r="G1429" s="1" t="s">
        <v>7227</v>
      </c>
      <c r="H1429" s="1" t="s">
        <v>3604</v>
      </c>
      <c r="I1429" s="1" t="s">
        <v>7240</v>
      </c>
      <c r="J1429" s="1" t="s">
        <v>3615</v>
      </c>
      <c r="K1429" s="1"/>
      <c r="L1429" s="1"/>
      <c r="M1429" s="1"/>
    </row>
    <row x14ac:dyDescent="0.25" r="1430" customHeight="1" ht="18.75">
      <c r="A1430" s="1" t="s">
        <v>3598</v>
      </c>
      <c r="B1430" s="1" t="s">
        <v>3663</v>
      </c>
      <c r="C1430" s="1" t="s">
        <v>3600</v>
      </c>
      <c r="D1430" s="1" t="s">
        <v>3601</v>
      </c>
      <c r="E1430" s="1" t="s">
        <v>3664</v>
      </c>
      <c r="F1430" s="1" t="s">
        <v>7241</v>
      </c>
      <c r="G1430" s="1" t="s">
        <v>7227</v>
      </c>
      <c r="H1430" s="1" t="s">
        <v>3604</v>
      </c>
      <c r="I1430" s="1" t="s">
        <v>7242</v>
      </c>
      <c r="J1430" s="1" t="s">
        <v>3615</v>
      </c>
      <c r="K1430" s="1"/>
      <c r="L1430" s="1"/>
      <c r="M1430" s="1"/>
    </row>
    <row x14ac:dyDescent="0.25" r="1431" customHeight="1" ht="18.75">
      <c r="A1431" s="1" t="s">
        <v>3598</v>
      </c>
      <c r="B1431" s="1" t="s">
        <v>3663</v>
      </c>
      <c r="C1431" s="1" t="s">
        <v>3600</v>
      </c>
      <c r="D1431" s="1" t="s">
        <v>3601</v>
      </c>
      <c r="E1431" s="1" t="s">
        <v>3664</v>
      </c>
      <c r="F1431" s="1" t="s">
        <v>7243</v>
      </c>
      <c r="G1431" s="1" t="s">
        <v>7227</v>
      </c>
      <c r="H1431" s="1" t="s">
        <v>3604</v>
      </c>
      <c r="I1431" s="1" t="s">
        <v>7244</v>
      </c>
      <c r="J1431" s="1" t="s">
        <v>3615</v>
      </c>
      <c r="K1431" s="1"/>
      <c r="L1431" s="1"/>
      <c r="M1431" s="1"/>
    </row>
    <row x14ac:dyDescent="0.25" r="1432" customHeight="1" ht="18.75">
      <c r="A1432" s="1" t="s">
        <v>3598</v>
      </c>
      <c r="B1432" s="1" t="s">
        <v>3663</v>
      </c>
      <c r="C1432" s="1" t="s">
        <v>3600</v>
      </c>
      <c r="D1432" s="1" t="s">
        <v>3601</v>
      </c>
      <c r="E1432" s="1" t="s">
        <v>3664</v>
      </c>
      <c r="F1432" s="1" t="s">
        <v>7245</v>
      </c>
      <c r="G1432" s="1" t="s">
        <v>7016</v>
      </c>
      <c r="H1432" s="1" t="s">
        <v>3604</v>
      </c>
      <c r="I1432" s="1" t="s">
        <v>7246</v>
      </c>
      <c r="J1432" s="1" t="s">
        <v>3615</v>
      </c>
      <c r="K1432" s="1"/>
      <c r="L1432" s="1"/>
      <c r="M1432" s="1"/>
    </row>
    <row x14ac:dyDescent="0.25" r="1433" customHeight="1" ht="18.75">
      <c r="A1433" s="1" t="s">
        <v>3598</v>
      </c>
      <c r="B1433" s="1" t="s">
        <v>3663</v>
      </c>
      <c r="C1433" s="1" t="s">
        <v>3600</v>
      </c>
      <c r="D1433" s="1" t="s">
        <v>3601</v>
      </c>
      <c r="E1433" s="1" t="s">
        <v>3664</v>
      </c>
      <c r="F1433" s="1" t="s">
        <v>7247</v>
      </c>
      <c r="G1433" s="1" t="s">
        <v>7016</v>
      </c>
      <c r="H1433" s="1" t="s">
        <v>3604</v>
      </c>
      <c r="I1433" s="1" t="s">
        <v>7248</v>
      </c>
      <c r="J1433" s="1" t="s">
        <v>3615</v>
      </c>
      <c r="K1433" s="1"/>
      <c r="L1433" s="1"/>
      <c r="M1433" s="1"/>
    </row>
    <row x14ac:dyDescent="0.25" r="1434" customHeight="1" ht="18.75">
      <c r="A1434" s="1" t="s">
        <v>3598</v>
      </c>
      <c r="B1434" s="1" t="s">
        <v>3663</v>
      </c>
      <c r="C1434" s="1" t="s">
        <v>3600</v>
      </c>
      <c r="D1434" s="1" t="s">
        <v>3601</v>
      </c>
      <c r="E1434" s="1" t="s">
        <v>3664</v>
      </c>
      <c r="F1434" s="1" t="s">
        <v>7249</v>
      </c>
      <c r="G1434" s="1" t="s">
        <v>7016</v>
      </c>
      <c r="H1434" s="1" t="s">
        <v>3604</v>
      </c>
      <c r="I1434" s="1" t="s">
        <v>7250</v>
      </c>
      <c r="J1434" s="1" t="s">
        <v>3615</v>
      </c>
      <c r="K1434" s="1"/>
      <c r="L1434" s="1"/>
      <c r="M1434" s="1"/>
    </row>
    <row x14ac:dyDescent="0.25" r="1435" customHeight="1" ht="18.75">
      <c r="A1435" s="1" t="s">
        <v>3598</v>
      </c>
      <c r="B1435" s="1" t="s">
        <v>3663</v>
      </c>
      <c r="C1435" s="1" t="s">
        <v>3600</v>
      </c>
      <c r="D1435" s="1" t="s">
        <v>3601</v>
      </c>
      <c r="E1435" s="1" t="s">
        <v>3664</v>
      </c>
      <c r="F1435" s="1" t="s">
        <v>7251</v>
      </c>
      <c r="G1435" s="1" t="s">
        <v>6663</v>
      </c>
      <c r="H1435" s="1" t="s">
        <v>3604</v>
      </c>
      <c r="I1435" s="1" t="s">
        <v>7252</v>
      </c>
      <c r="J1435" s="1" t="s">
        <v>3615</v>
      </c>
      <c r="K1435" s="1"/>
      <c r="L1435" s="1"/>
      <c r="M1435" s="1"/>
    </row>
    <row x14ac:dyDescent="0.25" r="1436" customHeight="1" ht="18.75">
      <c r="A1436" s="1" t="s">
        <v>3598</v>
      </c>
      <c r="B1436" s="1" t="s">
        <v>3663</v>
      </c>
      <c r="C1436" s="1" t="s">
        <v>3600</v>
      </c>
      <c r="D1436" s="1" t="s">
        <v>3601</v>
      </c>
      <c r="E1436" s="1" t="s">
        <v>3664</v>
      </c>
      <c r="F1436" s="1" t="s">
        <v>7253</v>
      </c>
      <c r="G1436" s="1" t="s">
        <v>6719</v>
      </c>
      <c r="H1436" s="1" t="s">
        <v>3604</v>
      </c>
      <c r="I1436" s="1" t="s">
        <v>7254</v>
      </c>
      <c r="J1436" s="1" t="s">
        <v>3615</v>
      </c>
      <c r="K1436" s="1"/>
      <c r="L1436" s="1"/>
      <c r="M1436" s="1"/>
    </row>
    <row x14ac:dyDescent="0.25" r="1437" customHeight="1" ht="18.75">
      <c r="A1437" s="1" t="s">
        <v>3598</v>
      </c>
      <c r="B1437" s="1" t="s">
        <v>3663</v>
      </c>
      <c r="C1437" s="1" t="s">
        <v>3600</v>
      </c>
      <c r="D1437" s="1" t="s">
        <v>3601</v>
      </c>
      <c r="E1437" s="1" t="s">
        <v>3664</v>
      </c>
      <c r="F1437" s="1" t="s">
        <v>7255</v>
      </c>
      <c r="G1437" s="1" t="s">
        <v>6719</v>
      </c>
      <c r="H1437" s="1" t="s">
        <v>3604</v>
      </c>
      <c r="I1437" s="1" t="s">
        <v>7256</v>
      </c>
      <c r="J1437" s="1" t="s">
        <v>3615</v>
      </c>
      <c r="K1437" s="1"/>
      <c r="L1437" s="1"/>
      <c r="M1437" s="1"/>
    </row>
    <row x14ac:dyDescent="0.25" r="1438" customHeight="1" ht="18.75">
      <c r="A1438" s="1" t="s">
        <v>3598</v>
      </c>
      <c r="B1438" s="1" t="s">
        <v>3663</v>
      </c>
      <c r="C1438" s="1" t="s">
        <v>3600</v>
      </c>
      <c r="D1438" s="1" t="s">
        <v>3601</v>
      </c>
      <c r="E1438" s="1" t="s">
        <v>3664</v>
      </c>
      <c r="F1438" s="1" t="s">
        <v>7257</v>
      </c>
      <c r="G1438" s="1" t="s">
        <v>6719</v>
      </c>
      <c r="H1438" s="1" t="s">
        <v>3604</v>
      </c>
      <c r="I1438" s="1" t="s">
        <v>7258</v>
      </c>
      <c r="J1438" s="1" t="s">
        <v>3615</v>
      </c>
      <c r="K1438" s="1"/>
      <c r="L1438" s="1"/>
      <c r="M1438" s="1"/>
    </row>
    <row x14ac:dyDescent="0.25" r="1439" customHeight="1" ht="18.75">
      <c r="A1439" s="1" t="s">
        <v>3598</v>
      </c>
      <c r="B1439" s="1" t="s">
        <v>3663</v>
      </c>
      <c r="C1439" s="1" t="s">
        <v>3600</v>
      </c>
      <c r="D1439" s="1" t="s">
        <v>3601</v>
      </c>
      <c r="E1439" s="1" t="s">
        <v>3664</v>
      </c>
      <c r="F1439" s="1" t="s">
        <v>7259</v>
      </c>
      <c r="G1439" s="1" t="s">
        <v>6719</v>
      </c>
      <c r="H1439" s="1" t="s">
        <v>3604</v>
      </c>
      <c r="I1439" s="1" t="s">
        <v>7260</v>
      </c>
      <c r="J1439" s="1" t="s">
        <v>3615</v>
      </c>
      <c r="K1439" s="1"/>
      <c r="L1439" s="1"/>
      <c r="M1439" s="1"/>
    </row>
    <row x14ac:dyDescent="0.25" r="1440" customHeight="1" ht="18.75">
      <c r="A1440" s="1" t="s">
        <v>3598</v>
      </c>
      <c r="B1440" s="1" t="s">
        <v>3663</v>
      </c>
      <c r="C1440" s="1" t="s">
        <v>3600</v>
      </c>
      <c r="D1440" s="1" t="s">
        <v>3601</v>
      </c>
      <c r="E1440" s="1" t="s">
        <v>3664</v>
      </c>
      <c r="F1440" s="1" t="s">
        <v>7261</v>
      </c>
      <c r="G1440" s="1" t="s">
        <v>6719</v>
      </c>
      <c r="H1440" s="1" t="s">
        <v>3604</v>
      </c>
      <c r="I1440" s="1" t="s">
        <v>7262</v>
      </c>
      <c r="J1440" s="1" t="s">
        <v>3615</v>
      </c>
      <c r="K1440" s="1"/>
      <c r="L1440" s="1"/>
      <c r="M1440" s="1"/>
    </row>
    <row x14ac:dyDescent="0.25" r="1441" customHeight="1" ht="18.75">
      <c r="A1441" s="1" t="s">
        <v>3598</v>
      </c>
      <c r="B1441" s="1" t="s">
        <v>3663</v>
      </c>
      <c r="C1441" s="1" t="s">
        <v>3600</v>
      </c>
      <c r="D1441" s="1" t="s">
        <v>3601</v>
      </c>
      <c r="E1441" s="1" t="s">
        <v>3664</v>
      </c>
      <c r="F1441" s="1" t="s">
        <v>7263</v>
      </c>
      <c r="G1441" s="1" t="s">
        <v>6719</v>
      </c>
      <c r="H1441" s="1" t="s">
        <v>3604</v>
      </c>
      <c r="I1441" s="1" t="s">
        <v>7264</v>
      </c>
      <c r="J1441" s="1" t="s">
        <v>3615</v>
      </c>
      <c r="K1441" s="1"/>
      <c r="L1441" s="1"/>
      <c r="M1441" s="1"/>
    </row>
    <row x14ac:dyDescent="0.25" r="1442" customHeight="1" ht="18.75">
      <c r="A1442" s="1" t="s">
        <v>3598</v>
      </c>
      <c r="B1442" s="1" t="s">
        <v>3663</v>
      </c>
      <c r="C1442" s="1" t="s">
        <v>3600</v>
      </c>
      <c r="D1442" s="1" t="s">
        <v>3601</v>
      </c>
      <c r="E1442" s="1" t="s">
        <v>3664</v>
      </c>
      <c r="F1442" s="1" t="s">
        <v>7265</v>
      </c>
      <c r="G1442" s="1" t="s">
        <v>6726</v>
      </c>
      <c r="H1442" s="1" t="s">
        <v>3604</v>
      </c>
      <c r="I1442" s="1" t="s">
        <v>7266</v>
      </c>
      <c r="J1442" s="1" t="s">
        <v>3615</v>
      </c>
      <c r="K1442" s="1"/>
      <c r="L1442" s="1"/>
      <c r="M1442" s="1"/>
    </row>
    <row x14ac:dyDescent="0.25" r="1443" customHeight="1" ht="18.75">
      <c r="A1443" s="1" t="s">
        <v>3598</v>
      </c>
      <c r="B1443" s="1" t="s">
        <v>3663</v>
      </c>
      <c r="C1443" s="1" t="s">
        <v>3600</v>
      </c>
      <c r="D1443" s="1" t="s">
        <v>3601</v>
      </c>
      <c r="E1443" s="1" t="s">
        <v>3664</v>
      </c>
      <c r="F1443" s="1" t="s">
        <v>7267</v>
      </c>
      <c r="G1443" s="1" t="s">
        <v>6726</v>
      </c>
      <c r="H1443" s="1" t="s">
        <v>3604</v>
      </c>
      <c r="I1443" s="1" t="s">
        <v>7268</v>
      </c>
      <c r="J1443" s="1" t="s">
        <v>3615</v>
      </c>
      <c r="K1443" s="1"/>
      <c r="L1443" s="1"/>
      <c r="M1443" s="1"/>
    </row>
    <row x14ac:dyDescent="0.25" r="1444" customHeight="1" ht="18.75">
      <c r="A1444" s="1" t="s">
        <v>3598</v>
      </c>
      <c r="B1444" s="1" t="s">
        <v>3663</v>
      </c>
      <c r="C1444" s="1" t="s">
        <v>3600</v>
      </c>
      <c r="D1444" s="1" t="s">
        <v>3601</v>
      </c>
      <c r="E1444" s="1" t="s">
        <v>3664</v>
      </c>
      <c r="F1444" s="1" t="s">
        <v>7269</v>
      </c>
      <c r="G1444" s="1" t="s">
        <v>7003</v>
      </c>
      <c r="H1444" s="1" t="s">
        <v>3604</v>
      </c>
      <c r="I1444" s="1" t="s">
        <v>7270</v>
      </c>
      <c r="J1444" s="1" t="s">
        <v>3615</v>
      </c>
      <c r="K1444" s="1"/>
      <c r="L1444" s="1"/>
      <c r="M1444" s="1"/>
    </row>
    <row x14ac:dyDescent="0.25" r="1445" customHeight="1" ht="18.75">
      <c r="A1445" s="1" t="s">
        <v>3598</v>
      </c>
      <c r="B1445" s="1" t="s">
        <v>3663</v>
      </c>
      <c r="C1445" s="1" t="s">
        <v>3600</v>
      </c>
      <c r="D1445" s="1" t="s">
        <v>3601</v>
      </c>
      <c r="E1445" s="1" t="s">
        <v>3664</v>
      </c>
      <c r="F1445" s="1" t="s">
        <v>7271</v>
      </c>
      <c r="G1445" s="1" t="s">
        <v>7003</v>
      </c>
      <c r="H1445" s="1" t="s">
        <v>3604</v>
      </c>
      <c r="I1445" s="1" t="s">
        <v>7272</v>
      </c>
      <c r="J1445" s="1" t="s">
        <v>3615</v>
      </c>
      <c r="K1445" s="1"/>
      <c r="L1445" s="1"/>
      <c r="M1445" s="1"/>
    </row>
    <row x14ac:dyDescent="0.25" r="1446" customHeight="1" ht="18.75">
      <c r="A1446" s="1" t="s">
        <v>3598</v>
      </c>
      <c r="B1446" s="1" t="s">
        <v>3663</v>
      </c>
      <c r="C1446" s="1" t="s">
        <v>3600</v>
      </c>
      <c r="D1446" s="1" t="s">
        <v>3601</v>
      </c>
      <c r="E1446" s="1" t="s">
        <v>3664</v>
      </c>
      <c r="F1446" s="1" t="s">
        <v>7273</v>
      </c>
      <c r="G1446" s="1" t="s">
        <v>6726</v>
      </c>
      <c r="H1446" s="1" t="s">
        <v>3604</v>
      </c>
      <c r="I1446" s="1" t="s">
        <v>7274</v>
      </c>
      <c r="J1446" s="1" t="s">
        <v>3615</v>
      </c>
      <c r="K1446" s="1"/>
      <c r="L1446" s="1"/>
      <c r="M1446" s="1"/>
    </row>
    <row x14ac:dyDescent="0.25" r="1447" customHeight="1" ht="18.75">
      <c r="A1447" s="1" t="s">
        <v>3598</v>
      </c>
      <c r="B1447" s="1" t="s">
        <v>3663</v>
      </c>
      <c r="C1447" s="1" t="s">
        <v>3600</v>
      </c>
      <c r="D1447" s="1" t="s">
        <v>3601</v>
      </c>
      <c r="E1447" s="1" t="s">
        <v>3664</v>
      </c>
      <c r="F1447" s="1" t="s">
        <v>7275</v>
      </c>
      <c r="G1447" s="1" t="s">
        <v>7003</v>
      </c>
      <c r="H1447" s="1" t="s">
        <v>3604</v>
      </c>
      <c r="I1447" s="1" t="s">
        <v>7276</v>
      </c>
      <c r="J1447" s="1" t="s">
        <v>3615</v>
      </c>
      <c r="K1447" s="1"/>
      <c r="L1447" s="1"/>
      <c r="M1447" s="1"/>
    </row>
    <row x14ac:dyDescent="0.25" r="1448" customHeight="1" ht="18.75">
      <c r="A1448" s="1" t="s">
        <v>3598</v>
      </c>
      <c r="B1448" s="1" t="s">
        <v>3663</v>
      </c>
      <c r="C1448" s="1" t="s">
        <v>3600</v>
      </c>
      <c r="D1448" s="1" t="s">
        <v>3601</v>
      </c>
      <c r="E1448" s="1" t="s">
        <v>3664</v>
      </c>
      <c r="F1448" s="1" t="s">
        <v>7277</v>
      </c>
      <c r="G1448" s="1" t="s">
        <v>7003</v>
      </c>
      <c r="H1448" s="1" t="s">
        <v>3604</v>
      </c>
      <c r="I1448" s="1" t="s">
        <v>7278</v>
      </c>
      <c r="J1448" s="1" t="s">
        <v>3615</v>
      </c>
      <c r="K1448" s="1"/>
      <c r="L1448" s="1"/>
      <c r="M1448" s="1"/>
    </row>
    <row x14ac:dyDescent="0.25" r="1449" customHeight="1" ht="18.75">
      <c r="A1449" s="1" t="s">
        <v>3598</v>
      </c>
      <c r="B1449" s="1" t="s">
        <v>3663</v>
      </c>
      <c r="C1449" s="1" t="s">
        <v>3600</v>
      </c>
      <c r="D1449" s="1" t="s">
        <v>3601</v>
      </c>
      <c r="E1449" s="1" t="s">
        <v>3664</v>
      </c>
      <c r="F1449" s="1" t="s">
        <v>7279</v>
      </c>
      <c r="G1449" s="1" t="s">
        <v>7003</v>
      </c>
      <c r="H1449" s="1" t="s">
        <v>3604</v>
      </c>
      <c r="I1449" s="1" t="s">
        <v>7280</v>
      </c>
      <c r="J1449" s="1" t="s">
        <v>3615</v>
      </c>
      <c r="K1449" s="1"/>
      <c r="L1449" s="1"/>
      <c r="M1449" s="1"/>
    </row>
    <row x14ac:dyDescent="0.25" r="1450" customHeight="1" ht="18.75">
      <c r="A1450" s="1" t="s">
        <v>3598</v>
      </c>
      <c r="B1450" s="1" t="s">
        <v>3663</v>
      </c>
      <c r="C1450" s="1" t="s">
        <v>3600</v>
      </c>
      <c r="D1450" s="1" t="s">
        <v>3601</v>
      </c>
      <c r="E1450" s="1" t="s">
        <v>3664</v>
      </c>
      <c r="F1450" s="1" t="s">
        <v>7281</v>
      </c>
      <c r="G1450" s="1" t="s">
        <v>7003</v>
      </c>
      <c r="H1450" s="1" t="s">
        <v>3604</v>
      </c>
      <c r="I1450" s="1" t="s">
        <v>7282</v>
      </c>
      <c r="J1450" s="1" t="s">
        <v>3615</v>
      </c>
      <c r="K1450" s="1"/>
      <c r="L1450" s="1"/>
      <c r="M1450" s="1"/>
    </row>
    <row x14ac:dyDescent="0.25" r="1451" customHeight="1" ht="18.75">
      <c r="A1451" s="1" t="s">
        <v>3598</v>
      </c>
      <c r="B1451" s="1" t="s">
        <v>3663</v>
      </c>
      <c r="C1451" s="1" t="s">
        <v>3600</v>
      </c>
      <c r="D1451" s="1" t="s">
        <v>3601</v>
      </c>
      <c r="E1451" s="1" t="s">
        <v>3664</v>
      </c>
      <c r="F1451" s="1" t="s">
        <v>7283</v>
      </c>
      <c r="G1451" s="1" t="s">
        <v>6730</v>
      </c>
      <c r="H1451" s="1" t="s">
        <v>3604</v>
      </c>
      <c r="I1451" s="1" t="s">
        <v>7284</v>
      </c>
      <c r="J1451" s="1" t="s">
        <v>3615</v>
      </c>
      <c r="K1451" s="1"/>
      <c r="L1451" s="1"/>
      <c r="M1451" s="1"/>
    </row>
    <row x14ac:dyDescent="0.25" r="1452" customHeight="1" ht="18.75">
      <c r="A1452" s="1" t="s">
        <v>3598</v>
      </c>
      <c r="B1452" s="1" t="s">
        <v>3663</v>
      </c>
      <c r="C1452" s="1" t="s">
        <v>3600</v>
      </c>
      <c r="D1452" s="1" t="s">
        <v>3601</v>
      </c>
      <c r="E1452" s="1" t="s">
        <v>3664</v>
      </c>
      <c r="F1452" s="1" t="s">
        <v>7285</v>
      </c>
      <c r="G1452" s="1" t="s">
        <v>6730</v>
      </c>
      <c r="H1452" s="1" t="s">
        <v>3604</v>
      </c>
      <c r="I1452" s="1" t="s">
        <v>7286</v>
      </c>
      <c r="J1452" s="1" t="s">
        <v>3615</v>
      </c>
      <c r="K1452" s="1"/>
      <c r="L1452" s="1"/>
      <c r="M1452" s="1"/>
    </row>
    <row x14ac:dyDescent="0.25" r="1453" customHeight="1" ht="18.75">
      <c r="A1453" s="1" t="s">
        <v>3598</v>
      </c>
      <c r="B1453" s="1" t="s">
        <v>3663</v>
      </c>
      <c r="C1453" s="1" t="s">
        <v>3600</v>
      </c>
      <c r="D1453" s="1" t="s">
        <v>3601</v>
      </c>
      <c r="E1453" s="1" t="s">
        <v>3664</v>
      </c>
      <c r="F1453" s="1" t="s">
        <v>7287</v>
      </c>
      <c r="G1453" s="1" t="s">
        <v>6730</v>
      </c>
      <c r="H1453" s="1" t="s">
        <v>3604</v>
      </c>
      <c r="I1453" s="1" t="s">
        <v>7288</v>
      </c>
      <c r="J1453" s="1" t="s">
        <v>3615</v>
      </c>
      <c r="K1453" s="1"/>
      <c r="L1453" s="1"/>
      <c r="M1453" s="1"/>
    </row>
    <row x14ac:dyDescent="0.25" r="1454" customHeight="1" ht="18.75">
      <c r="A1454" s="1" t="s">
        <v>3617</v>
      </c>
      <c r="B1454" s="1" t="s">
        <v>5570</v>
      </c>
      <c r="C1454" s="1" t="s">
        <v>3619</v>
      </c>
      <c r="D1454" s="1" t="s">
        <v>3601</v>
      </c>
      <c r="E1454" s="1" t="s">
        <v>3730</v>
      </c>
      <c r="F1454" s="1" t="s">
        <v>7289</v>
      </c>
      <c r="G1454" s="1" t="s">
        <v>7290</v>
      </c>
      <c r="H1454" s="1" t="s">
        <v>3604</v>
      </c>
      <c r="I1454" s="1" t="s">
        <v>7291</v>
      </c>
      <c r="J1454" s="1" t="s">
        <v>3606</v>
      </c>
      <c r="K1454" s="1"/>
      <c r="L1454" s="1"/>
      <c r="M1454" s="1"/>
    </row>
    <row x14ac:dyDescent="0.25" r="1455" customHeight="1" ht="18.75">
      <c r="A1455" s="1" t="s">
        <v>3693</v>
      </c>
      <c r="B1455" s="1" t="s">
        <v>4247</v>
      </c>
      <c r="C1455" s="1" t="s">
        <v>3600</v>
      </c>
      <c r="D1455" s="1" t="s">
        <v>3601</v>
      </c>
      <c r="E1455" s="1" t="s">
        <v>3893</v>
      </c>
      <c r="F1455" s="1" t="s">
        <v>7292</v>
      </c>
      <c r="G1455" s="1" t="s">
        <v>4249</v>
      </c>
      <c r="H1455" s="1" t="s">
        <v>3604</v>
      </c>
      <c r="I1455" s="1" t="s">
        <v>7293</v>
      </c>
      <c r="J1455" s="1" t="s">
        <v>3606</v>
      </c>
      <c r="K1455" s="1"/>
      <c r="L1455" s="1"/>
      <c r="M1455" s="1"/>
    </row>
    <row x14ac:dyDescent="0.25" r="1456" customHeight="1" ht="18.75">
      <c r="A1456" s="1" t="s">
        <v>3617</v>
      </c>
      <c r="B1456" s="1" t="s">
        <v>5570</v>
      </c>
      <c r="C1456" s="1" t="s">
        <v>3619</v>
      </c>
      <c r="D1456" s="1" t="s">
        <v>3601</v>
      </c>
      <c r="E1456" s="1" t="s">
        <v>3730</v>
      </c>
      <c r="F1456" s="1" t="s">
        <v>7294</v>
      </c>
      <c r="G1456" s="1" t="s">
        <v>7290</v>
      </c>
      <c r="H1456" s="1" t="s">
        <v>3604</v>
      </c>
      <c r="I1456" s="1" t="s">
        <v>7295</v>
      </c>
      <c r="J1456" s="1" t="s">
        <v>3606</v>
      </c>
      <c r="K1456" s="1"/>
      <c r="L1456" s="1"/>
      <c r="M1456" s="1"/>
    </row>
    <row x14ac:dyDescent="0.25" r="1457" customHeight="1" ht="18.75">
      <c r="A1457" s="1" t="s">
        <v>3617</v>
      </c>
      <c r="B1457" s="1" t="s">
        <v>5570</v>
      </c>
      <c r="C1457" s="1" t="s">
        <v>3619</v>
      </c>
      <c r="D1457" s="1" t="s">
        <v>3601</v>
      </c>
      <c r="E1457" s="1" t="s">
        <v>3730</v>
      </c>
      <c r="F1457" s="1" t="s">
        <v>7296</v>
      </c>
      <c r="G1457" s="1" t="s">
        <v>7290</v>
      </c>
      <c r="H1457" s="1" t="s">
        <v>3604</v>
      </c>
      <c r="I1457" s="1" t="s">
        <v>7297</v>
      </c>
      <c r="J1457" s="1" t="s">
        <v>3606</v>
      </c>
      <c r="K1457" s="1"/>
      <c r="L1457" s="1"/>
      <c r="M1457" s="1"/>
    </row>
    <row x14ac:dyDescent="0.25" r="1458" customHeight="1" ht="18.75">
      <c r="A1458" s="1" t="s">
        <v>3693</v>
      </c>
      <c r="B1458" s="1" t="s">
        <v>4247</v>
      </c>
      <c r="C1458" s="1" t="s">
        <v>3600</v>
      </c>
      <c r="D1458" s="1" t="s">
        <v>3601</v>
      </c>
      <c r="E1458" s="1" t="s">
        <v>3893</v>
      </c>
      <c r="F1458" s="1" t="s">
        <v>7298</v>
      </c>
      <c r="G1458" s="1" t="s">
        <v>4249</v>
      </c>
      <c r="H1458" s="1" t="s">
        <v>3604</v>
      </c>
      <c r="I1458" s="1" t="s">
        <v>7299</v>
      </c>
      <c r="J1458" s="1" t="s">
        <v>3606</v>
      </c>
      <c r="K1458" s="1"/>
      <c r="L1458" s="1"/>
      <c r="M1458" s="1"/>
    </row>
    <row x14ac:dyDescent="0.25" r="1459" customHeight="1" ht="18.75">
      <c r="A1459" s="1" t="s">
        <v>3693</v>
      </c>
      <c r="B1459" s="1" t="s">
        <v>4247</v>
      </c>
      <c r="C1459" s="1" t="s">
        <v>3600</v>
      </c>
      <c r="D1459" s="1" t="s">
        <v>3601</v>
      </c>
      <c r="E1459" s="1" t="s">
        <v>3893</v>
      </c>
      <c r="F1459" s="1" t="s">
        <v>7300</v>
      </c>
      <c r="G1459" s="1" t="s">
        <v>4249</v>
      </c>
      <c r="H1459" s="1" t="s">
        <v>3604</v>
      </c>
      <c r="I1459" s="1" t="s">
        <v>7301</v>
      </c>
      <c r="J1459" s="1" t="s">
        <v>3606</v>
      </c>
      <c r="K1459" s="1"/>
      <c r="L1459" s="1"/>
      <c r="M1459" s="1"/>
    </row>
    <row x14ac:dyDescent="0.25" r="1460" customHeight="1" ht="18.75">
      <c r="A1460" s="1" t="s">
        <v>3693</v>
      </c>
      <c r="B1460" s="1" t="s">
        <v>4247</v>
      </c>
      <c r="C1460" s="1" t="s">
        <v>3600</v>
      </c>
      <c r="D1460" s="1" t="s">
        <v>3601</v>
      </c>
      <c r="E1460" s="1" t="s">
        <v>3893</v>
      </c>
      <c r="F1460" s="1" t="s">
        <v>7302</v>
      </c>
      <c r="G1460" s="1" t="s">
        <v>4386</v>
      </c>
      <c r="H1460" s="1" t="s">
        <v>3604</v>
      </c>
      <c r="I1460" s="1" t="s">
        <v>7303</v>
      </c>
      <c r="J1460" s="1" t="s">
        <v>3606</v>
      </c>
      <c r="K1460" s="1"/>
      <c r="L1460" s="1"/>
      <c r="M1460" s="1"/>
    </row>
    <row x14ac:dyDescent="0.25" r="1461" customHeight="1" ht="18.75">
      <c r="A1461" s="1" t="s">
        <v>3693</v>
      </c>
      <c r="B1461" s="1" t="s">
        <v>4247</v>
      </c>
      <c r="C1461" s="1" t="s">
        <v>3600</v>
      </c>
      <c r="D1461" s="1" t="s">
        <v>3601</v>
      </c>
      <c r="E1461" s="1" t="s">
        <v>3664</v>
      </c>
      <c r="F1461" s="1" t="s">
        <v>7304</v>
      </c>
      <c r="G1461" s="1" t="s">
        <v>4811</v>
      </c>
      <c r="H1461" s="1" t="s">
        <v>3604</v>
      </c>
      <c r="I1461" s="1" t="s">
        <v>7305</v>
      </c>
      <c r="J1461" s="1" t="s">
        <v>3615</v>
      </c>
      <c r="K1461" s="1"/>
      <c r="L1461" s="1"/>
      <c r="M1461" s="1"/>
    </row>
    <row x14ac:dyDescent="0.25" r="1462" customHeight="1" ht="18.75">
      <c r="A1462" s="1" t="s">
        <v>3693</v>
      </c>
      <c r="B1462" s="1" t="s">
        <v>4247</v>
      </c>
      <c r="C1462" s="1" t="s">
        <v>3600</v>
      </c>
      <c r="D1462" s="1" t="s">
        <v>3601</v>
      </c>
      <c r="E1462" s="1" t="s">
        <v>3664</v>
      </c>
      <c r="F1462" s="1" t="s">
        <v>7306</v>
      </c>
      <c r="G1462" s="1" t="s">
        <v>4811</v>
      </c>
      <c r="H1462" s="1" t="s">
        <v>3604</v>
      </c>
      <c r="I1462" s="1" t="s">
        <v>7307</v>
      </c>
      <c r="J1462" s="1" t="s">
        <v>3615</v>
      </c>
      <c r="K1462" s="1"/>
      <c r="L1462" s="1"/>
      <c r="M1462" s="1"/>
    </row>
    <row x14ac:dyDescent="0.25" r="1463" customHeight="1" ht="18.75">
      <c r="A1463" s="1" t="s">
        <v>3693</v>
      </c>
      <c r="B1463" s="1" t="s">
        <v>4247</v>
      </c>
      <c r="C1463" s="1" t="s">
        <v>3600</v>
      </c>
      <c r="D1463" s="1" t="s">
        <v>3601</v>
      </c>
      <c r="E1463" s="1" t="s">
        <v>3893</v>
      </c>
      <c r="F1463" s="1" t="s">
        <v>7308</v>
      </c>
      <c r="G1463" s="1" t="s">
        <v>4386</v>
      </c>
      <c r="H1463" s="1" t="s">
        <v>3604</v>
      </c>
      <c r="I1463" s="1" t="s">
        <v>7309</v>
      </c>
      <c r="J1463" s="1" t="s">
        <v>3606</v>
      </c>
      <c r="K1463" s="1"/>
      <c r="L1463" s="1"/>
      <c r="M1463" s="1"/>
    </row>
    <row x14ac:dyDescent="0.25" r="1464" customHeight="1" ht="18.75">
      <c r="A1464" s="1" t="s">
        <v>3693</v>
      </c>
      <c r="B1464" s="1" t="s">
        <v>4247</v>
      </c>
      <c r="C1464" s="1" t="s">
        <v>3600</v>
      </c>
      <c r="D1464" s="1" t="s">
        <v>3601</v>
      </c>
      <c r="E1464" s="1" t="s">
        <v>3664</v>
      </c>
      <c r="F1464" s="1" t="s">
        <v>7310</v>
      </c>
      <c r="G1464" s="1" t="s">
        <v>4811</v>
      </c>
      <c r="H1464" s="1" t="s">
        <v>3604</v>
      </c>
      <c r="I1464" s="1" t="s">
        <v>7311</v>
      </c>
      <c r="J1464" s="1" t="s">
        <v>3615</v>
      </c>
      <c r="K1464" s="1"/>
      <c r="L1464" s="1"/>
      <c r="M1464" s="1"/>
    </row>
    <row x14ac:dyDescent="0.25" r="1465" customHeight="1" ht="18.75">
      <c r="A1465" s="1" t="s">
        <v>3693</v>
      </c>
      <c r="B1465" s="1" t="s">
        <v>4247</v>
      </c>
      <c r="C1465" s="1" t="s">
        <v>3600</v>
      </c>
      <c r="D1465" s="1" t="s">
        <v>3601</v>
      </c>
      <c r="E1465" s="1" t="s">
        <v>3893</v>
      </c>
      <c r="F1465" s="1" t="s">
        <v>7312</v>
      </c>
      <c r="G1465" s="1" t="s">
        <v>4352</v>
      </c>
      <c r="H1465" s="1" t="s">
        <v>3604</v>
      </c>
      <c r="I1465" s="1" t="s">
        <v>7313</v>
      </c>
      <c r="J1465" s="1" t="s">
        <v>3606</v>
      </c>
      <c r="K1465" s="1"/>
      <c r="L1465" s="1"/>
      <c r="M1465" s="1"/>
    </row>
    <row x14ac:dyDescent="0.25" r="1466" customHeight="1" ht="18.75">
      <c r="A1466" s="1" t="s">
        <v>3693</v>
      </c>
      <c r="B1466" s="1" t="s">
        <v>4247</v>
      </c>
      <c r="C1466" s="1" t="s">
        <v>3600</v>
      </c>
      <c r="D1466" s="1" t="s">
        <v>3601</v>
      </c>
      <c r="E1466" s="1" t="s">
        <v>3893</v>
      </c>
      <c r="F1466" s="1" t="s">
        <v>7314</v>
      </c>
      <c r="G1466" s="1" t="s">
        <v>7315</v>
      </c>
      <c r="H1466" s="1" t="s">
        <v>3604</v>
      </c>
      <c r="I1466" s="1" t="s">
        <v>7316</v>
      </c>
      <c r="J1466" s="1" t="s">
        <v>3606</v>
      </c>
      <c r="K1466" s="1"/>
      <c r="L1466" s="1"/>
      <c r="M1466" s="1"/>
    </row>
    <row x14ac:dyDescent="0.25" r="1467" customHeight="1" ht="18.75">
      <c r="A1467" s="1" t="s">
        <v>3693</v>
      </c>
      <c r="B1467" s="1" t="s">
        <v>4247</v>
      </c>
      <c r="C1467" s="1" t="s">
        <v>3600</v>
      </c>
      <c r="D1467" s="1" t="s">
        <v>3601</v>
      </c>
      <c r="E1467" s="1" t="s">
        <v>3893</v>
      </c>
      <c r="F1467" s="1" t="s">
        <v>7317</v>
      </c>
      <c r="G1467" s="1" t="s">
        <v>7318</v>
      </c>
      <c r="H1467" s="1" t="s">
        <v>3604</v>
      </c>
      <c r="I1467" s="1" t="s">
        <v>7319</v>
      </c>
      <c r="J1467" s="1" t="s">
        <v>3606</v>
      </c>
      <c r="K1467" s="1"/>
      <c r="L1467" s="1"/>
      <c r="M1467" s="1"/>
    </row>
    <row x14ac:dyDescent="0.25" r="1468" customHeight="1" ht="18.75">
      <c r="A1468" s="1" t="s">
        <v>3693</v>
      </c>
      <c r="B1468" s="1" t="s">
        <v>4247</v>
      </c>
      <c r="C1468" s="1" t="s">
        <v>3600</v>
      </c>
      <c r="D1468" s="1" t="s">
        <v>3601</v>
      </c>
      <c r="E1468" s="1" t="s">
        <v>3893</v>
      </c>
      <c r="F1468" s="1" t="s">
        <v>7320</v>
      </c>
      <c r="G1468" s="1" t="s">
        <v>7318</v>
      </c>
      <c r="H1468" s="1" t="s">
        <v>3604</v>
      </c>
      <c r="I1468" s="1" t="s">
        <v>7321</v>
      </c>
      <c r="J1468" s="1" t="s">
        <v>3606</v>
      </c>
      <c r="K1468" s="1"/>
      <c r="L1468" s="1"/>
      <c r="M1468" s="1"/>
    </row>
    <row x14ac:dyDescent="0.25" r="1469" customHeight="1" ht="18.75">
      <c r="A1469" s="1" t="s">
        <v>3617</v>
      </c>
      <c r="B1469" s="1" t="s">
        <v>7322</v>
      </c>
      <c r="C1469" s="1" t="s">
        <v>3619</v>
      </c>
      <c r="D1469" s="1" t="s">
        <v>3601</v>
      </c>
      <c r="E1469" s="1" t="s">
        <v>3730</v>
      </c>
      <c r="F1469" s="1" t="s">
        <v>7323</v>
      </c>
      <c r="G1469" s="1" t="s">
        <v>7324</v>
      </c>
      <c r="H1469" s="1" t="s">
        <v>3604</v>
      </c>
      <c r="I1469" s="1" t="s">
        <v>7325</v>
      </c>
      <c r="J1469" s="1" t="s">
        <v>3606</v>
      </c>
      <c r="K1469" s="1"/>
      <c r="L1469" s="1"/>
      <c r="M1469" s="1"/>
    </row>
    <row x14ac:dyDescent="0.25" r="1470" customHeight="1" ht="18.75">
      <c r="A1470" s="1" t="s">
        <v>3617</v>
      </c>
      <c r="B1470" s="1" t="s">
        <v>7322</v>
      </c>
      <c r="C1470" s="1" t="s">
        <v>3619</v>
      </c>
      <c r="D1470" s="1" t="s">
        <v>3601</v>
      </c>
      <c r="E1470" s="1" t="s">
        <v>3730</v>
      </c>
      <c r="F1470" s="1" t="s">
        <v>7326</v>
      </c>
      <c r="G1470" s="1" t="s">
        <v>7327</v>
      </c>
      <c r="H1470" s="1" t="s">
        <v>3604</v>
      </c>
      <c r="I1470" s="1" t="s">
        <v>7328</v>
      </c>
      <c r="J1470" s="1" t="s">
        <v>3606</v>
      </c>
      <c r="K1470" s="1"/>
      <c r="L1470" s="1"/>
      <c r="M1470" s="1"/>
    </row>
    <row x14ac:dyDescent="0.25" r="1471" customHeight="1" ht="18.75">
      <c r="A1471" s="1" t="s">
        <v>3617</v>
      </c>
      <c r="B1471" s="1" t="s">
        <v>7322</v>
      </c>
      <c r="C1471" s="1" t="s">
        <v>3619</v>
      </c>
      <c r="D1471" s="1" t="s">
        <v>3601</v>
      </c>
      <c r="E1471" s="1" t="s">
        <v>3730</v>
      </c>
      <c r="F1471" s="1" t="s">
        <v>7329</v>
      </c>
      <c r="G1471" s="1" t="s">
        <v>7327</v>
      </c>
      <c r="H1471" s="1" t="s">
        <v>3604</v>
      </c>
      <c r="I1471" s="1" t="s">
        <v>7330</v>
      </c>
      <c r="J1471" s="1" t="s">
        <v>3606</v>
      </c>
      <c r="K1471" s="1"/>
      <c r="L1471" s="1"/>
      <c r="M1471" s="1"/>
    </row>
    <row x14ac:dyDescent="0.25" r="1472" customHeight="1" ht="18.75">
      <c r="A1472" s="1" t="s">
        <v>3617</v>
      </c>
      <c r="B1472" s="1" t="s">
        <v>7322</v>
      </c>
      <c r="C1472" s="1" t="s">
        <v>3619</v>
      </c>
      <c r="D1472" s="1" t="s">
        <v>3601</v>
      </c>
      <c r="E1472" s="1" t="s">
        <v>3730</v>
      </c>
      <c r="F1472" s="1" t="s">
        <v>7331</v>
      </c>
      <c r="G1472" s="1" t="s">
        <v>7324</v>
      </c>
      <c r="H1472" s="1" t="s">
        <v>3604</v>
      </c>
      <c r="I1472" s="1" t="s">
        <v>7332</v>
      </c>
      <c r="J1472" s="1" t="s">
        <v>3606</v>
      </c>
      <c r="K1472" s="1"/>
      <c r="L1472" s="1"/>
      <c r="M1472" s="1"/>
    </row>
    <row x14ac:dyDescent="0.25" r="1473" customHeight="1" ht="18.75">
      <c r="A1473" s="1" t="s">
        <v>3617</v>
      </c>
      <c r="B1473" s="1" t="s">
        <v>7322</v>
      </c>
      <c r="C1473" s="1" t="s">
        <v>3619</v>
      </c>
      <c r="D1473" s="1" t="s">
        <v>3601</v>
      </c>
      <c r="E1473" s="1" t="s">
        <v>3730</v>
      </c>
      <c r="F1473" s="1" t="s">
        <v>7333</v>
      </c>
      <c r="G1473" s="1" t="s">
        <v>7334</v>
      </c>
      <c r="H1473" s="1" t="s">
        <v>3604</v>
      </c>
      <c r="I1473" s="1" t="s">
        <v>7335</v>
      </c>
      <c r="J1473" s="1" t="s">
        <v>3606</v>
      </c>
      <c r="K1473" s="1"/>
      <c r="L1473" s="1"/>
      <c r="M1473" s="1"/>
    </row>
    <row x14ac:dyDescent="0.25" r="1474" customHeight="1" ht="18.75">
      <c r="A1474" s="1" t="s">
        <v>3617</v>
      </c>
      <c r="B1474" s="1" t="s">
        <v>7322</v>
      </c>
      <c r="C1474" s="1" t="s">
        <v>3619</v>
      </c>
      <c r="D1474" s="1" t="s">
        <v>3601</v>
      </c>
      <c r="E1474" s="1" t="s">
        <v>3730</v>
      </c>
      <c r="F1474" s="1" t="s">
        <v>7336</v>
      </c>
      <c r="G1474" s="1" t="s">
        <v>7334</v>
      </c>
      <c r="H1474" s="1" t="s">
        <v>3604</v>
      </c>
      <c r="I1474" s="1" t="s">
        <v>7337</v>
      </c>
      <c r="J1474" s="1" t="s">
        <v>3606</v>
      </c>
      <c r="K1474" s="1"/>
      <c r="L1474" s="1"/>
      <c r="M1474" s="1"/>
    </row>
    <row x14ac:dyDescent="0.25" r="1475" customHeight="1" ht="18.75">
      <c r="A1475" s="1" t="s">
        <v>3617</v>
      </c>
      <c r="B1475" s="1" t="s">
        <v>7322</v>
      </c>
      <c r="C1475" s="1" t="s">
        <v>3619</v>
      </c>
      <c r="D1475" s="1" t="s">
        <v>3601</v>
      </c>
      <c r="E1475" s="1" t="s">
        <v>3730</v>
      </c>
      <c r="F1475" s="1" t="s">
        <v>7338</v>
      </c>
      <c r="G1475" s="1" t="s">
        <v>7324</v>
      </c>
      <c r="H1475" s="1" t="s">
        <v>3604</v>
      </c>
      <c r="I1475" s="1" t="s">
        <v>7339</v>
      </c>
      <c r="J1475" s="1" t="s">
        <v>3606</v>
      </c>
      <c r="K1475" s="1"/>
      <c r="L1475" s="1"/>
      <c r="M1475" s="1"/>
    </row>
    <row x14ac:dyDescent="0.25" r="1476" customHeight="1" ht="18.75">
      <c r="A1476" s="1" t="s">
        <v>3617</v>
      </c>
      <c r="B1476" s="1" t="s">
        <v>7322</v>
      </c>
      <c r="C1476" s="1" t="s">
        <v>3619</v>
      </c>
      <c r="D1476" s="1" t="s">
        <v>3601</v>
      </c>
      <c r="E1476" s="1" t="s">
        <v>3730</v>
      </c>
      <c r="F1476" s="1" t="s">
        <v>7340</v>
      </c>
      <c r="G1476" s="1" t="s">
        <v>7334</v>
      </c>
      <c r="H1476" s="1" t="s">
        <v>3604</v>
      </c>
      <c r="I1476" s="1" t="s">
        <v>7341</v>
      </c>
      <c r="J1476" s="1" t="s">
        <v>3606</v>
      </c>
      <c r="K1476" s="1"/>
      <c r="L1476" s="1"/>
      <c r="M1476" s="1"/>
    </row>
    <row x14ac:dyDescent="0.25" r="1477" customHeight="1" ht="18.75">
      <c r="A1477" s="1" t="s">
        <v>3693</v>
      </c>
      <c r="B1477" s="1" t="s">
        <v>4247</v>
      </c>
      <c r="C1477" s="1" t="s">
        <v>3600</v>
      </c>
      <c r="D1477" s="1" t="s">
        <v>3601</v>
      </c>
      <c r="E1477" s="1" t="s">
        <v>3893</v>
      </c>
      <c r="F1477" s="1" t="s">
        <v>7342</v>
      </c>
      <c r="G1477" s="1" t="s">
        <v>4386</v>
      </c>
      <c r="H1477" s="1" t="s">
        <v>3604</v>
      </c>
      <c r="I1477" s="1" t="s">
        <v>7343</v>
      </c>
      <c r="J1477" s="1" t="s">
        <v>3615</v>
      </c>
      <c r="K1477" s="1"/>
      <c r="L1477" s="1"/>
      <c r="M1477" s="1"/>
    </row>
    <row x14ac:dyDescent="0.25" r="1478" customHeight="1" ht="18.75">
      <c r="A1478" s="1" t="s">
        <v>3617</v>
      </c>
      <c r="B1478" s="1" t="s">
        <v>3617</v>
      </c>
      <c r="C1478" s="1" t="s">
        <v>3619</v>
      </c>
      <c r="D1478" s="1" t="s">
        <v>3601</v>
      </c>
      <c r="E1478" s="1" t="s">
        <v>3730</v>
      </c>
      <c r="F1478" s="1" t="s">
        <v>7344</v>
      </c>
      <c r="G1478" s="1" t="s">
        <v>7345</v>
      </c>
      <c r="H1478" s="1" t="s">
        <v>3604</v>
      </c>
      <c r="I1478" s="1" t="s">
        <v>7346</v>
      </c>
      <c r="J1478" s="1" t="s">
        <v>3606</v>
      </c>
      <c r="K1478" s="1"/>
      <c r="L1478" s="1"/>
      <c r="M1478" s="1"/>
    </row>
    <row x14ac:dyDescent="0.25" r="1479" customHeight="1" ht="18.75">
      <c r="A1479" s="1" t="s">
        <v>3617</v>
      </c>
      <c r="B1479" s="1" t="s">
        <v>3617</v>
      </c>
      <c r="C1479" s="1" t="s">
        <v>3619</v>
      </c>
      <c r="D1479" s="1" t="s">
        <v>3601</v>
      </c>
      <c r="E1479" s="1" t="s">
        <v>3730</v>
      </c>
      <c r="F1479" s="1" t="s">
        <v>7347</v>
      </c>
      <c r="G1479" s="1" t="s">
        <v>7345</v>
      </c>
      <c r="H1479" s="1" t="s">
        <v>3604</v>
      </c>
      <c r="I1479" s="1" t="s">
        <v>7348</v>
      </c>
      <c r="J1479" s="1" t="s">
        <v>3606</v>
      </c>
      <c r="K1479" s="1"/>
      <c r="L1479" s="1"/>
      <c r="M1479" s="1"/>
    </row>
    <row x14ac:dyDescent="0.25" r="1480" customHeight="1" ht="18.75">
      <c r="A1480" s="1" t="s">
        <v>3617</v>
      </c>
      <c r="B1480" s="1" t="s">
        <v>3617</v>
      </c>
      <c r="C1480" s="1" t="s">
        <v>3619</v>
      </c>
      <c r="D1480" s="1" t="s">
        <v>3601</v>
      </c>
      <c r="E1480" s="1" t="s">
        <v>3730</v>
      </c>
      <c r="F1480" s="1" t="s">
        <v>7349</v>
      </c>
      <c r="G1480" s="1" t="s">
        <v>7350</v>
      </c>
      <c r="H1480" s="1" t="s">
        <v>3604</v>
      </c>
      <c r="I1480" s="1" t="s">
        <v>7351</v>
      </c>
      <c r="J1480" s="1" t="s">
        <v>3606</v>
      </c>
      <c r="K1480" s="1"/>
      <c r="L1480" s="1"/>
      <c r="M1480" s="1"/>
    </row>
    <row x14ac:dyDescent="0.25" r="1481" customHeight="1" ht="18.75">
      <c r="A1481" s="1" t="s">
        <v>3617</v>
      </c>
      <c r="B1481" s="1" t="s">
        <v>3617</v>
      </c>
      <c r="C1481" s="1" t="s">
        <v>3619</v>
      </c>
      <c r="D1481" s="1" t="s">
        <v>3601</v>
      </c>
      <c r="E1481" s="1" t="s">
        <v>3730</v>
      </c>
      <c r="F1481" s="1" t="s">
        <v>7352</v>
      </c>
      <c r="G1481" s="1" t="s">
        <v>7345</v>
      </c>
      <c r="H1481" s="1" t="s">
        <v>3604</v>
      </c>
      <c r="I1481" s="1" t="s">
        <v>7353</v>
      </c>
      <c r="J1481" s="1" t="s">
        <v>3606</v>
      </c>
      <c r="K1481" s="1"/>
      <c r="L1481" s="1"/>
      <c r="M1481" s="1"/>
    </row>
    <row x14ac:dyDescent="0.25" r="1482" customHeight="1" ht="18.75">
      <c r="A1482" s="1" t="s">
        <v>3617</v>
      </c>
      <c r="B1482" s="1" t="s">
        <v>3617</v>
      </c>
      <c r="C1482" s="1" t="s">
        <v>3619</v>
      </c>
      <c r="D1482" s="1" t="s">
        <v>3601</v>
      </c>
      <c r="E1482" s="1" t="s">
        <v>3730</v>
      </c>
      <c r="F1482" s="1" t="s">
        <v>7354</v>
      </c>
      <c r="G1482" s="1" t="s">
        <v>7350</v>
      </c>
      <c r="H1482" s="1" t="s">
        <v>3604</v>
      </c>
      <c r="I1482" s="1" t="s">
        <v>7355</v>
      </c>
      <c r="J1482" s="1" t="s">
        <v>3606</v>
      </c>
      <c r="K1482" s="1"/>
      <c r="L1482" s="1"/>
      <c r="M1482" s="1"/>
    </row>
    <row x14ac:dyDescent="0.25" r="1483" customHeight="1" ht="18.75">
      <c r="A1483" s="1" t="s">
        <v>3617</v>
      </c>
      <c r="B1483" s="1" t="s">
        <v>3617</v>
      </c>
      <c r="C1483" s="1" t="s">
        <v>3619</v>
      </c>
      <c r="D1483" s="1" t="s">
        <v>3601</v>
      </c>
      <c r="E1483" s="1" t="s">
        <v>3730</v>
      </c>
      <c r="F1483" s="1" t="s">
        <v>7356</v>
      </c>
      <c r="G1483" s="1" t="s">
        <v>7350</v>
      </c>
      <c r="H1483" s="1" t="s">
        <v>3604</v>
      </c>
      <c r="I1483" s="1" t="s">
        <v>7357</v>
      </c>
      <c r="J1483" s="1" t="s">
        <v>3606</v>
      </c>
      <c r="K1483" s="1"/>
      <c r="L1483" s="1"/>
      <c r="M1483" s="1"/>
    </row>
    <row x14ac:dyDescent="0.25" r="1484" customHeight="1" ht="18.75">
      <c r="A1484" s="1" t="s">
        <v>3693</v>
      </c>
      <c r="B1484" s="1" t="s">
        <v>4247</v>
      </c>
      <c r="C1484" s="1" t="s">
        <v>3600</v>
      </c>
      <c r="D1484" s="1" t="s">
        <v>3601</v>
      </c>
      <c r="E1484" s="1" t="s">
        <v>3893</v>
      </c>
      <c r="F1484" s="1" t="s">
        <v>7358</v>
      </c>
      <c r="G1484" s="1" t="s">
        <v>7315</v>
      </c>
      <c r="H1484" s="1" t="s">
        <v>3604</v>
      </c>
      <c r="I1484" s="1" t="s">
        <v>7359</v>
      </c>
      <c r="J1484" s="1" t="s">
        <v>3606</v>
      </c>
      <c r="K1484" s="1"/>
      <c r="L1484" s="1"/>
      <c r="M1484" s="1"/>
    </row>
    <row x14ac:dyDescent="0.25" r="1485" customHeight="1" ht="18.75">
      <c r="A1485" s="1" t="s">
        <v>3693</v>
      </c>
      <c r="B1485" s="1" t="s">
        <v>4247</v>
      </c>
      <c r="C1485" s="1" t="s">
        <v>3600</v>
      </c>
      <c r="D1485" s="1" t="s">
        <v>3601</v>
      </c>
      <c r="E1485" s="1" t="s">
        <v>3893</v>
      </c>
      <c r="F1485" s="1" t="s">
        <v>7360</v>
      </c>
      <c r="G1485" s="1" t="s">
        <v>7361</v>
      </c>
      <c r="H1485" s="1" t="s">
        <v>3604</v>
      </c>
      <c r="I1485" s="1" t="s">
        <v>7362</v>
      </c>
      <c r="J1485" s="1" t="s">
        <v>3606</v>
      </c>
      <c r="K1485" s="1"/>
      <c r="L1485" s="1"/>
      <c r="M1485" s="1"/>
    </row>
    <row x14ac:dyDescent="0.25" r="1486" customHeight="1" ht="18.75">
      <c r="A1486" s="1" t="s">
        <v>3693</v>
      </c>
      <c r="B1486" s="1" t="s">
        <v>4247</v>
      </c>
      <c r="C1486" s="1" t="s">
        <v>3600</v>
      </c>
      <c r="D1486" s="1" t="s">
        <v>3601</v>
      </c>
      <c r="E1486" s="1" t="s">
        <v>3893</v>
      </c>
      <c r="F1486" s="1" t="s">
        <v>7363</v>
      </c>
      <c r="G1486" s="1" t="s">
        <v>4384</v>
      </c>
      <c r="H1486" s="1" t="s">
        <v>3604</v>
      </c>
      <c r="I1486" s="1" t="s">
        <v>7364</v>
      </c>
      <c r="J1486" s="1" t="s">
        <v>3606</v>
      </c>
      <c r="K1486" s="1"/>
      <c r="L1486" s="1"/>
      <c r="M1486" s="1"/>
    </row>
    <row x14ac:dyDescent="0.25" r="1487" customHeight="1" ht="18.75">
      <c r="A1487" s="1" t="s">
        <v>3693</v>
      </c>
      <c r="B1487" s="1" t="s">
        <v>4247</v>
      </c>
      <c r="C1487" s="1" t="s">
        <v>3600</v>
      </c>
      <c r="D1487" s="1" t="s">
        <v>3601</v>
      </c>
      <c r="E1487" s="1" t="s">
        <v>3893</v>
      </c>
      <c r="F1487" s="1" t="s">
        <v>7365</v>
      </c>
      <c r="G1487" s="1" t="s">
        <v>4384</v>
      </c>
      <c r="H1487" s="1" t="s">
        <v>3604</v>
      </c>
      <c r="I1487" s="1" t="s">
        <v>7366</v>
      </c>
      <c r="J1487" s="1" t="s">
        <v>3606</v>
      </c>
      <c r="K1487" s="1"/>
      <c r="L1487" s="1"/>
      <c r="M1487" s="1"/>
    </row>
    <row x14ac:dyDescent="0.25" r="1488" customHeight="1" ht="18.75">
      <c r="A1488" s="1" t="s">
        <v>3693</v>
      </c>
      <c r="B1488" s="1" t="s">
        <v>4247</v>
      </c>
      <c r="C1488" s="1" t="s">
        <v>3600</v>
      </c>
      <c r="D1488" s="1" t="s">
        <v>3601</v>
      </c>
      <c r="E1488" s="1" t="s">
        <v>3893</v>
      </c>
      <c r="F1488" s="1" t="s">
        <v>7367</v>
      </c>
      <c r="G1488" s="1" t="s">
        <v>7318</v>
      </c>
      <c r="H1488" s="1" t="s">
        <v>3604</v>
      </c>
      <c r="I1488" s="1" t="s">
        <v>7368</v>
      </c>
      <c r="J1488" s="1" t="s">
        <v>3606</v>
      </c>
      <c r="K1488" s="1"/>
      <c r="L1488" s="1"/>
      <c r="M1488" s="1"/>
    </row>
    <row x14ac:dyDescent="0.25" r="1489" customHeight="1" ht="18.75">
      <c r="A1489" s="1" t="s">
        <v>3693</v>
      </c>
      <c r="B1489" s="1" t="s">
        <v>5598</v>
      </c>
      <c r="C1489" s="1" t="s">
        <v>3600</v>
      </c>
      <c r="D1489" s="1" t="s">
        <v>3601</v>
      </c>
      <c r="E1489" s="1" t="s">
        <v>3664</v>
      </c>
      <c r="F1489" s="1" t="s">
        <v>7369</v>
      </c>
      <c r="G1489" s="1" t="s">
        <v>7102</v>
      </c>
      <c r="H1489" s="1" t="s">
        <v>3604</v>
      </c>
      <c r="I1489" s="1" t="s">
        <v>7370</v>
      </c>
      <c r="J1489" s="1" t="s">
        <v>3615</v>
      </c>
      <c r="K1489" s="1"/>
      <c r="L1489" s="1"/>
      <c r="M1489" s="1"/>
    </row>
    <row x14ac:dyDescent="0.25" r="1490" customHeight="1" ht="18.75">
      <c r="A1490" s="1" t="s">
        <v>3693</v>
      </c>
      <c r="B1490" s="1" t="s">
        <v>4247</v>
      </c>
      <c r="C1490" s="1" t="s">
        <v>3600</v>
      </c>
      <c r="D1490" s="1" t="s">
        <v>3601</v>
      </c>
      <c r="E1490" s="1" t="s">
        <v>3893</v>
      </c>
      <c r="F1490" s="1" t="s">
        <v>7371</v>
      </c>
      <c r="G1490" s="1" t="s">
        <v>7318</v>
      </c>
      <c r="H1490" s="1" t="s">
        <v>3604</v>
      </c>
      <c r="I1490" s="1" t="s">
        <v>7372</v>
      </c>
      <c r="J1490" s="1" t="s">
        <v>3606</v>
      </c>
      <c r="K1490" s="1"/>
      <c r="L1490" s="1"/>
      <c r="M1490" s="1"/>
    </row>
    <row x14ac:dyDescent="0.25" r="1491" customHeight="1" ht="18.75">
      <c r="A1491" s="1" t="s">
        <v>3693</v>
      </c>
      <c r="B1491" s="1" t="s">
        <v>4247</v>
      </c>
      <c r="C1491" s="1" t="s">
        <v>3600</v>
      </c>
      <c r="D1491" s="1" t="s">
        <v>3601</v>
      </c>
      <c r="E1491" s="1" t="s">
        <v>3664</v>
      </c>
      <c r="F1491" s="1" t="s">
        <v>7373</v>
      </c>
      <c r="G1491" s="1" t="s">
        <v>4384</v>
      </c>
      <c r="H1491" s="1" t="s">
        <v>3604</v>
      </c>
      <c r="I1491" s="1" t="s">
        <v>7374</v>
      </c>
      <c r="J1491" s="1" t="s">
        <v>3615</v>
      </c>
      <c r="K1491" s="1"/>
      <c r="L1491" s="1"/>
      <c r="M1491" s="1"/>
    </row>
    <row x14ac:dyDescent="0.25" r="1492" customHeight="1" ht="18.75">
      <c r="A1492" s="1" t="s">
        <v>3693</v>
      </c>
      <c r="B1492" s="1" t="s">
        <v>4247</v>
      </c>
      <c r="C1492" s="1" t="s">
        <v>3600</v>
      </c>
      <c r="D1492" s="1" t="s">
        <v>3601</v>
      </c>
      <c r="E1492" s="1" t="s">
        <v>3664</v>
      </c>
      <c r="F1492" s="1" t="s">
        <v>7375</v>
      </c>
      <c r="G1492" s="1" t="s">
        <v>4384</v>
      </c>
      <c r="H1492" s="1" t="s">
        <v>3604</v>
      </c>
      <c r="I1492" s="1" t="s">
        <v>7376</v>
      </c>
      <c r="J1492" s="1" t="s">
        <v>3615</v>
      </c>
      <c r="K1492" s="1"/>
      <c r="L1492" s="1"/>
      <c r="M1492" s="1"/>
    </row>
    <row x14ac:dyDescent="0.25" r="1493" customHeight="1" ht="18.75">
      <c r="A1493" s="1" t="s">
        <v>3617</v>
      </c>
      <c r="B1493" s="1" t="s">
        <v>7377</v>
      </c>
      <c r="C1493" s="1" t="s">
        <v>4488</v>
      </c>
      <c r="D1493" s="1" t="s">
        <v>3601</v>
      </c>
      <c r="E1493" s="1"/>
      <c r="F1493" s="1" t="s">
        <v>7378</v>
      </c>
      <c r="G1493" s="1" t="s">
        <v>7379</v>
      </c>
      <c r="H1493" s="1" t="s">
        <v>3604</v>
      </c>
      <c r="I1493" s="1" t="s">
        <v>7380</v>
      </c>
      <c r="J1493" s="1" t="s">
        <v>3606</v>
      </c>
      <c r="K1493" s="1"/>
      <c r="L1493" s="1"/>
      <c r="M1493" s="1"/>
    </row>
    <row x14ac:dyDescent="0.25" r="1494" customHeight="1" ht="18.75">
      <c r="A1494" s="1" t="s">
        <v>3617</v>
      </c>
      <c r="B1494" s="1" t="s">
        <v>7377</v>
      </c>
      <c r="C1494" s="1" t="s">
        <v>4488</v>
      </c>
      <c r="D1494" s="1" t="s">
        <v>3601</v>
      </c>
      <c r="E1494" s="1"/>
      <c r="F1494" s="1" t="s">
        <v>7381</v>
      </c>
      <c r="G1494" s="1" t="s">
        <v>7382</v>
      </c>
      <c r="H1494" s="1" t="s">
        <v>3604</v>
      </c>
      <c r="I1494" s="1" t="s">
        <v>7383</v>
      </c>
      <c r="J1494" s="1" t="s">
        <v>3606</v>
      </c>
      <c r="K1494" s="1"/>
      <c r="L1494" s="1"/>
      <c r="M1494" s="1"/>
    </row>
    <row x14ac:dyDescent="0.25" r="1495" customHeight="1" ht="18.75">
      <c r="A1495" s="1" t="s">
        <v>3617</v>
      </c>
      <c r="B1495" s="1" t="s">
        <v>7377</v>
      </c>
      <c r="C1495" s="1" t="s">
        <v>4488</v>
      </c>
      <c r="D1495" s="1" t="s">
        <v>3601</v>
      </c>
      <c r="E1495" s="1"/>
      <c r="F1495" s="1" t="s">
        <v>7384</v>
      </c>
      <c r="G1495" s="1" t="s">
        <v>7379</v>
      </c>
      <c r="H1495" s="1" t="s">
        <v>3604</v>
      </c>
      <c r="I1495" s="1" t="s">
        <v>7385</v>
      </c>
      <c r="J1495" s="1" t="s">
        <v>3606</v>
      </c>
      <c r="K1495" s="1"/>
      <c r="L1495" s="1"/>
      <c r="M1495" s="1"/>
    </row>
    <row x14ac:dyDescent="0.25" r="1496" customHeight="1" ht="18.75">
      <c r="A1496" s="1" t="s">
        <v>3617</v>
      </c>
      <c r="B1496" s="1" t="s">
        <v>7377</v>
      </c>
      <c r="C1496" s="1" t="s">
        <v>4488</v>
      </c>
      <c r="D1496" s="1" t="s">
        <v>3601</v>
      </c>
      <c r="E1496" s="1"/>
      <c r="F1496" s="1" t="s">
        <v>7386</v>
      </c>
      <c r="G1496" s="1" t="s">
        <v>7379</v>
      </c>
      <c r="H1496" s="1" t="s">
        <v>3604</v>
      </c>
      <c r="I1496" s="1" t="s">
        <v>7387</v>
      </c>
      <c r="J1496" s="1" t="s">
        <v>3606</v>
      </c>
      <c r="K1496" s="1"/>
      <c r="L1496" s="1"/>
      <c r="M1496" s="1"/>
    </row>
    <row x14ac:dyDescent="0.25" r="1497" customHeight="1" ht="18.75">
      <c r="A1497" s="1" t="s">
        <v>3617</v>
      </c>
      <c r="B1497" s="1" t="s">
        <v>7377</v>
      </c>
      <c r="C1497" s="1" t="s">
        <v>4488</v>
      </c>
      <c r="D1497" s="1" t="s">
        <v>3601</v>
      </c>
      <c r="E1497" s="1"/>
      <c r="F1497" s="1" t="s">
        <v>7388</v>
      </c>
      <c r="G1497" s="1" t="s">
        <v>7382</v>
      </c>
      <c r="H1497" s="1" t="s">
        <v>3604</v>
      </c>
      <c r="I1497" s="1" t="s">
        <v>7389</v>
      </c>
      <c r="J1497" s="1" t="s">
        <v>3606</v>
      </c>
      <c r="K1497" s="1"/>
      <c r="L1497" s="1"/>
      <c r="M1497" s="1"/>
    </row>
    <row x14ac:dyDescent="0.25" r="1498" customHeight="1" ht="18.75">
      <c r="A1498" s="1" t="s">
        <v>3617</v>
      </c>
      <c r="B1498" s="1" t="s">
        <v>7377</v>
      </c>
      <c r="C1498" s="1" t="s">
        <v>4488</v>
      </c>
      <c r="D1498" s="1" t="s">
        <v>3601</v>
      </c>
      <c r="E1498" s="1"/>
      <c r="F1498" s="1" t="s">
        <v>7390</v>
      </c>
      <c r="G1498" s="1" t="s">
        <v>7382</v>
      </c>
      <c r="H1498" s="1" t="s">
        <v>3604</v>
      </c>
      <c r="I1498" s="1" t="s">
        <v>7391</v>
      </c>
      <c r="J1498" s="1" t="s">
        <v>3606</v>
      </c>
      <c r="K1498" s="1"/>
      <c r="L1498" s="1"/>
      <c r="M1498" s="1"/>
    </row>
    <row x14ac:dyDescent="0.25" r="1499" customHeight="1" ht="18.75">
      <c r="A1499" s="1" t="s">
        <v>3617</v>
      </c>
      <c r="B1499" s="1" t="s">
        <v>7377</v>
      </c>
      <c r="C1499" s="1" t="s">
        <v>4488</v>
      </c>
      <c r="D1499" s="1" t="s">
        <v>3601</v>
      </c>
      <c r="E1499" s="1"/>
      <c r="F1499" s="1" t="s">
        <v>7392</v>
      </c>
      <c r="G1499" s="1" t="s">
        <v>7382</v>
      </c>
      <c r="H1499" s="1" t="s">
        <v>3604</v>
      </c>
      <c r="I1499" s="1" t="s">
        <v>7393</v>
      </c>
      <c r="J1499" s="1" t="s">
        <v>3606</v>
      </c>
      <c r="K1499" s="1"/>
      <c r="L1499" s="1"/>
      <c r="M1499" s="1"/>
    </row>
    <row x14ac:dyDescent="0.25" r="1500" customHeight="1" ht="18.75">
      <c r="A1500" s="1" t="s">
        <v>3617</v>
      </c>
      <c r="B1500" s="1" t="s">
        <v>7377</v>
      </c>
      <c r="C1500" s="1" t="s">
        <v>4488</v>
      </c>
      <c r="D1500" s="1" t="s">
        <v>3601</v>
      </c>
      <c r="E1500" s="1"/>
      <c r="F1500" s="1" t="s">
        <v>7394</v>
      </c>
      <c r="G1500" s="1" t="s">
        <v>7382</v>
      </c>
      <c r="H1500" s="1" t="s">
        <v>3604</v>
      </c>
      <c r="I1500" s="1" t="s">
        <v>7395</v>
      </c>
      <c r="J1500" s="1" t="s">
        <v>3606</v>
      </c>
      <c r="K1500" s="1"/>
      <c r="L1500" s="1"/>
      <c r="M1500" s="1"/>
    </row>
    <row x14ac:dyDescent="0.25" r="1501" customHeight="1" ht="18.75">
      <c r="A1501" s="1" t="s">
        <v>3617</v>
      </c>
      <c r="B1501" s="1" t="s">
        <v>7377</v>
      </c>
      <c r="C1501" s="1" t="s">
        <v>4488</v>
      </c>
      <c r="D1501" s="1" t="s">
        <v>3601</v>
      </c>
      <c r="E1501" s="1"/>
      <c r="F1501" s="1" t="s">
        <v>7396</v>
      </c>
      <c r="G1501" s="1" t="s">
        <v>7397</v>
      </c>
      <c r="H1501" s="1" t="s">
        <v>3604</v>
      </c>
      <c r="I1501" s="1" t="s">
        <v>7398</v>
      </c>
      <c r="J1501" s="1" t="s">
        <v>3606</v>
      </c>
      <c r="K1501" s="1"/>
      <c r="L1501" s="1"/>
      <c r="M1501" s="1"/>
    </row>
    <row x14ac:dyDescent="0.25" r="1502" customHeight="1" ht="18.75">
      <c r="A1502" s="1" t="s">
        <v>3617</v>
      </c>
      <c r="B1502" s="1" t="s">
        <v>7377</v>
      </c>
      <c r="C1502" s="1" t="s">
        <v>4488</v>
      </c>
      <c r="D1502" s="1" t="s">
        <v>3601</v>
      </c>
      <c r="E1502" s="1"/>
      <c r="F1502" s="1" t="s">
        <v>7399</v>
      </c>
      <c r="G1502" s="1" t="s">
        <v>7397</v>
      </c>
      <c r="H1502" s="1" t="s">
        <v>3604</v>
      </c>
      <c r="I1502" s="1" t="s">
        <v>7400</v>
      </c>
      <c r="J1502" s="1" t="s">
        <v>3606</v>
      </c>
      <c r="K1502" s="1"/>
      <c r="L1502" s="1"/>
      <c r="M1502" s="1"/>
    </row>
    <row x14ac:dyDescent="0.25" r="1503" customHeight="1" ht="18.75">
      <c r="A1503" s="1" t="s">
        <v>3617</v>
      </c>
      <c r="B1503" s="1" t="s">
        <v>4477</v>
      </c>
      <c r="C1503" s="1" t="s">
        <v>3619</v>
      </c>
      <c r="D1503" s="1" t="s">
        <v>3601</v>
      </c>
      <c r="E1503" s="1" t="s">
        <v>4478</v>
      </c>
      <c r="F1503" s="1" t="s">
        <v>7401</v>
      </c>
      <c r="G1503" s="1" t="s">
        <v>7402</v>
      </c>
      <c r="H1503" s="1" t="s">
        <v>3604</v>
      </c>
      <c r="I1503" s="1" t="s">
        <v>7403</v>
      </c>
      <c r="J1503" s="1" t="s">
        <v>3606</v>
      </c>
      <c r="K1503" s="1"/>
      <c r="L1503" s="1"/>
      <c r="M1503" s="1"/>
    </row>
    <row x14ac:dyDescent="0.25" r="1504" customHeight="1" ht="18.75">
      <c r="A1504" s="1" t="s">
        <v>3617</v>
      </c>
      <c r="B1504" s="1" t="s">
        <v>4477</v>
      </c>
      <c r="C1504" s="1" t="s">
        <v>3619</v>
      </c>
      <c r="D1504" s="1" t="s">
        <v>3601</v>
      </c>
      <c r="E1504" s="1" t="s">
        <v>4478</v>
      </c>
      <c r="F1504" s="1" t="s">
        <v>7404</v>
      </c>
      <c r="G1504" s="1" t="s">
        <v>7402</v>
      </c>
      <c r="H1504" s="1" t="s">
        <v>3604</v>
      </c>
      <c r="I1504" s="1" t="s">
        <v>7405</v>
      </c>
      <c r="J1504" s="1" t="s">
        <v>3606</v>
      </c>
      <c r="K1504" s="1"/>
      <c r="L1504" s="1"/>
      <c r="M1504" s="1"/>
    </row>
    <row x14ac:dyDescent="0.25" r="1505" customHeight="1" ht="18.75">
      <c r="A1505" s="1" t="s">
        <v>3693</v>
      </c>
      <c r="B1505" s="1" t="s">
        <v>3957</v>
      </c>
      <c r="C1505" s="1" t="s">
        <v>3600</v>
      </c>
      <c r="D1505" s="1" t="s">
        <v>3601</v>
      </c>
      <c r="E1505" s="1" t="s">
        <v>3664</v>
      </c>
      <c r="F1505" s="1" t="s">
        <v>7406</v>
      </c>
      <c r="G1505" s="1" t="s">
        <v>4241</v>
      </c>
      <c r="H1505" s="1" t="s">
        <v>3604</v>
      </c>
      <c r="I1505" s="1" t="s">
        <v>7407</v>
      </c>
      <c r="J1505" s="1" t="s">
        <v>3606</v>
      </c>
      <c r="K1505" s="1"/>
      <c r="L1505" s="1"/>
      <c r="M1505" s="1"/>
    </row>
    <row x14ac:dyDescent="0.25" r="1506" customHeight="1" ht="18.75">
      <c r="A1506" s="1" t="s">
        <v>3693</v>
      </c>
      <c r="B1506" s="1" t="s">
        <v>3957</v>
      </c>
      <c r="C1506" s="1" t="s">
        <v>3600</v>
      </c>
      <c r="D1506" s="1" t="s">
        <v>3601</v>
      </c>
      <c r="E1506" s="1" t="s">
        <v>3664</v>
      </c>
      <c r="F1506" s="1" t="s">
        <v>7408</v>
      </c>
      <c r="G1506" s="1" t="s">
        <v>7409</v>
      </c>
      <c r="H1506" s="1" t="s">
        <v>3604</v>
      </c>
      <c r="I1506" s="1" t="s">
        <v>7410</v>
      </c>
      <c r="J1506" s="1" t="s">
        <v>3606</v>
      </c>
      <c r="K1506" s="1"/>
      <c r="L1506" s="1"/>
      <c r="M1506" s="1"/>
    </row>
    <row x14ac:dyDescent="0.25" r="1507" customHeight="1" ht="18.75">
      <c r="A1507" s="1" t="s">
        <v>3617</v>
      </c>
      <c r="B1507" s="1" t="s">
        <v>4487</v>
      </c>
      <c r="C1507" s="1" t="s">
        <v>4488</v>
      </c>
      <c r="D1507" s="1" t="s">
        <v>3601</v>
      </c>
      <c r="E1507" s="1"/>
      <c r="F1507" s="1" t="s">
        <v>7392</v>
      </c>
      <c r="G1507" s="1" t="s">
        <v>7411</v>
      </c>
      <c r="H1507" s="1" t="s">
        <v>3604</v>
      </c>
      <c r="I1507" s="1" t="s">
        <v>7412</v>
      </c>
      <c r="J1507" s="1" t="s">
        <v>3606</v>
      </c>
      <c r="K1507" s="1"/>
      <c r="L1507" s="1"/>
      <c r="M1507" s="1"/>
    </row>
    <row x14ac:dyDescent="0.25" r="1508" customHeight="1" ht="18.75">
      <c r="A1508" s="1" t="s">
        <v>3693</v>
      </c>
      <c r="B1508" s="1" t="s">
        <v>3957</v>
      </c>
      <c r="C1508" s="1" t="s">
        <v>3600</v>
      </c>
      <c r="D1508" s="1" t="s">
        <v>3601</v>
      </c>
      <c r="E1508" s="1" t="s">
        <v>3664</v>
      </c>
      <c r="F1508" s="1" t="s">
        <v>7413</v>
      </c>
      <c r="G1508" s="1" t="s">
        <v>7414</v>
      </c>
      <c r="H1508" s="1" t="s">
        <v>3604</v>
      </c>
      <c r="I1508" s="1" t="s">
        <v>7415</v>
      </c>
      <c r="J1508" s="1" t="s">
        <v>3606</v>
      </c>
      <c r="K1508" s="1"/>
      <c r="L1508" s="1"/>
      <c r="M1508" s="1"/>
    </row>
    <row x14ac:dyDescent="0.25" r="1509" customHeight="1" ht="18.75">
      <c r="A1509" s="1" t="s">
        <v>3617</v>
      </c>
      <c r="B1509" s="1" t="s">
        <v>3729</v>
      </c>
      <c r="C1509" s="1" t="s">
        <v>3619</v>
      </c>
      <c r="D1509" s="1" t="s">
        <v>3601</v>
      </c>
      <c r="E1509" s="1" t="s">
        <v>4478</v>
      </c>
      <c r="F1509" s="1" t="s">
        <v>7416</v>
      </c>
      <c r="G1509" s="1" t="s">
        <v>7417</v>
      </c>
      <c r="H1509" s="1" t="s">
        <v>3604</v>
      </c>
      <c r="I1509" s="1" t="s">
        <v>7418</v>
      </c>
      <c r="J1509" s="1" t="s">
        <v>3606</v>
      </c>
      <c r="K1509" s="1"/>
      <c r="L1509" s="1"/>
      <c r="M1509" s="1"/>
    </row>
    <row x14ac:dyDescent="0.25" r="1510" customHeight="1" ht="18.75">
      <c r="A1510" s="1" t="s">
        <v>3693</v>
      </c>
      <c r="B1510" s="1" t="s">
        <v>3957</v>
      </c>
      <c r="C1510" s="1" t="s">
        <v>3600</v>
      </c>
      <c r="D1510" s="1" t="s">
        <v>3601</v>
      </c>
      <c r="E1510" s="1" t="s">
        <v>3664</v>
      </c>
      <c r="F1510" s="1" t="s">
        <v>7419</v>
      </c>
      <c r="G1510" s="1" t="s">
        <v>7420</v>
      </c>
      <c r="H1510" s="1" t="s">
        <v>3604</v>
      </c>
      <c r="I1510" s="1" t="s">
        <v>7421</v>
      </c>
      <c r="J1510" s="1" t="s">
        <v>3606</v>
      </c>
      <c r="K1510" s="1"/>
      <c r="L1510" s="1"/>
      <c r="M1510" s="1"/>
    </row>
    <row x14ac:dyDescent="0.25" r="1511" customHeight="1" ht="18.75">
      <c r="A1511" s="1" t="s">
        <v>3617</v>
      </c>
      <c r="B1511" s="1" t="s">
        <v>3729</v>
      </c>
      <c r="C1511" s="1" t="s">
        <v>3619</v>
      </c>
      <c r="D1511" s="1" t="s">
        <v>3601</v>
      </c>
      <c r="E1511" s="1" t="s">
        <v>4478</v>
      </c>
      <c r="F1511" s="1" t="s">
        <v>7422</v>
      </c>
      <c r="G1511" s="1" t="s">
        <v>7423</v>
      </c>
      <c r="H1511" s="1" t="s">
        <v>3604</v>
      </c>
      <c r="I1511" s="1" t="s">
        <v>7424</v>
      </c>
      <c r="J1511" s="1" t="s">
        <v>3606</v>
      </c>
      <c r="K1511" s="1"/>
      <c r="L1511" s="1"/>
      <c r="M1511" s="1"/>
    </row>
    <row x14ac:dyDescent="0.25" r="1512" customHeight="1" ht="18.75">
      <c r="A1512" s="1" t="s">
        <v>3617</v>
      </c>
      <c r="B1512" s="1" t="s">
        <v>3729</v>
      </c>
      <c r="C1512" s="1" t="s">
        <v>3619</v>
      </c>
      <c r="D1512" s="1" t="s">
        <v>3601</v>
      </c>
      <c r="E1512" s="1" t="s">
        <v>4478</v>
      </c>
      <c r="F1512" s="1" t="s">
        <v>7425</v>
      </c>
      <c r="G1512" s="1" t="s">
        <v>7417</v>
      </c>
      <c r="H1512" s="1" t="s">
        <v>3604</v>
      </c>
      <c r="I1512" s="1" t="s">
        <v>7426</v>
      </c>
      <c r="J1512" s="1" t="s">
        <v>3606</v>
      </c>
      <c r="K1512" s="1"/>
      <c r="L1512" s="1"/>
      <c r="M1512" s="1"/>
    </row>
    <row x14ac:dyDescent="0.25" r="1513" customHeight="1" ht="18.75">
      <c r="A1513" s="1" t="s">
        <v>3617</v>
      </c>
      <c r="B1513" s="1" t="s">
        <v>3729</v>
      </c>
      <c r="C1513" s="1" t="s">
        <v>3619</v>
      </c>
      <c r="D1513" s="1" t="s">
        <v>3601</v>
      </c>
      <c r="E1513" s="1" t="s">
        <v>4478</v>
      </c>
      <c r="F1513" s="1" t="s">
        <v>7427</v>
      </c>
      <c r="G1513" s="1" t="s">
        <v>7428</v>
      </c>
      <c r="H1513" s="1" t="s">
        <v>3604</v>
      </c>
      <c r="I1513" s="1" t="s">
        <v>7429</v>
      </c>
      <c r="J1513" s="1" t="s">
        <v>3606</v>
      </c>
      <c r="K1513" s="1"/>
      <c r="L1513" s="1"/>
      <c r="M1513" s="1"/>
    </row>
    <row x14ac:dyDescent="0.25" r="1514" customHeight="1" ht="18.75">
      <c r="A1514" s="1" t="s">
        <v>3617</v>
      </c>
      <c r="B1514" s="1" t="s">
        <v>3729</v>
      </c>
      <c r="C1514" s="1" t="s">
        <v>3619</v>
      </c>
      <c r="D1514" s="1" t="s">
        <v>3601</v>
      </c>
      <c r="E1514" s="1" t="s">
        <v>4478</v>
      </c>
      <c r="F1514" s="1" t="s">
        <v>7430</v>
      </c>
      <c r="G1514" s="1" t="s">
        <v>7428</v>
      </c>
      <c r="H1514" s="1" t="s">
        <v>3604</v>
      </c>
      <c r="I1514" s="1" t="s">
        <v>7431</v>
      </c>
      <c r="J1514" s="1" t="s">
        <v>3606</v>
      </c>
      <c r="K1514" s="1"/>
      <c r="L1514" s="1"/>
      <c r="M1514" s="1"/>
    </row>
    <row x14ac:dyDescent="0.25" r="1515" customHeight="1" ht="18.75">
      <c r="A1515" s="1" t="s">
        <v>3617</v>
      </c>
      <c r="B1515" s="1" t="s">
        <v>3729</v>
      </c>
      <c r="C1515" s="1" t="s">
        <v>3619</v>
      </c>
      <c r="D1515" s="1" t="s">
        <v>3601</v>
      </c>
      <c r="E1515" s="1" t="s">
        <v>4478</v>
      </c>
      <c r="F1515" s="1" t="s">
        <v>7432</v>
      </c>
      <c r="G1515" s="1" t="s">
        <v>7428</v>
      </c>
      <c r="H1515" s="1" t="s">
        <v>3604</v>
      </c>
      <c r="I1515" s="1" t="s">
        <v>7433</v>
      </c>
      <c r="J1515" s="1" t="s">
        <v>3606</v>
      </c>
      <c r="K1515" s="1"/>
      <c r="L1515" s="1"/>
      <c r="M1515" s="1"/>
    </row>
    <row x14ac:dyDescent="0.25" r="1516" customHeight="1" ht="18.75">
      <c r="A1516" s="1" t="s">
        <v>3617</v>
      </c>
      <c r="B1516" s="1" t="s">
        <v>3729</v>
      </c>
      <c r="C1516" s="1" t="s">
        <v>3619</v>
      </c>
      <c r="D1516" s="1" t="s">
        <v>3601</v>
      </c>
      <c r="E1516" s="1" t="s">
        <v>4478</v>
      </c>
      <c r="F1516" s="1" t="s">
        <v>7434</v>
      </c>
      <c r="G1516" s="1" t="s">
        <v>7428</v>
      </c>
      <c r="H1516" s="1" t="s">
        <v>3604</v>
      </c>
      <c r="I1516" s="1" t="s">
        <v>7435</v>
      </c>
      <c r="J1516" s="1" t="s">
        <v>3606</v>
      </c>
      <c r="K1516" s="1"/>
      <c r="L1516" s="1"/>
      <c r="M1516" s="1"/>
    </row>
    <row x14ac:dyDescent="0.25" r="1517" customHeight="1" ht="18.75">
      <c r="A1517" s="1" t="s">
        <v>3617</v>
      </c>
      <c r="B1517" s="1" t="s">
        <v>3729</v>
      </c>
      <c r="C1517" s="1" t="s">
        <v>3619</v>
      </c>
      <c r="D1517" s="1" t="s">
        <v>3601</v>
      </c>
      <c r="E1517" s="1" t="s">
        <v>4478</v>
      </c>
      <c r="F1517" s="1" t="s">
        <v>7436</v>
      </c>
      <c r="G1517" s="1" t="s">
        <v>7428</v>
      </c>
      <c r="H1517" s="1" t="s">
        <v>3604</v>
      </c>
      <c r="I1517" s="1" t="s">
        <v>7437</v>
      </c>
      <c r="J1517" s="1" t="s">
        <v>3606</v>
      </c>
      <c r="K1517" s="1"/>
      <c r="L1517" s="1"/>
      <c r="M1517" s="1"/>
    </row>
    <row x14ac:dyDescent="0.25" r="1518" customHeight="1" ht="18.75">
      <c r="A1518" s="1" t="s">
        <v>3693</v>
      </c>
      <c r="B1518" s="1" t="s">
        <v>3957</v>
      </c>
      <c r="C1518" s="1" t="s">
        <v>3600</v>
      </c>
      <c r="D1518" s="1" t="s">
        <v>3601</v>
      </c>
      <c r="E1518" s="1" t="s">
        <v>3664</v>
      </c>
      <c r="F1518" s="1" t="s">
        <v>7438</v>
      </c>
      <c r="G1518" s="1" t="s">
        <v>4009</v>
      </c>
      <c r="H1518" s="1" t="s">
        <v>3604</v>
      </c>
      <c r="I1518" s="1" t="s">
        <v>7439</v>
      </c>
      <c r="J1518" s="1" t="s">
        <v>3606</v>
      </c>
      <c r="K1518" s="1"/>
      <c r="L1518" s="1"/>
      <c r="M1518" s="1"/>
    </row>
    <row x14ac:dyDescent="0.25" r="1519" customHeight="1" ht="18.75">
      <c r="A1519" s="1" t="s">
        <v>3693</v>
      </c>
      <c r="B1519" s="1" t="s">
        <v>3957</v>
      </c>
      <c r="C1519" s="1" t="s">
        <v>3600</v>
      </c>
      <c r="D1519" s="1" t="s">
        <v>3601</v>
      </c>
      <c r="E1519" s="1" t="s">
        <v>3664</v>
      </c>
      <c r="F1519" s="1" t="s">
        <v>7438</v>
      </c>
      <c r="G1519" s="1" t="s">
        <v>4009</v>
      </c>
      <c r="H1519" s="1" t="s">
        <v>3604</v>
      </c>
      <c r="I1519" s="1" t="s">
        <v>7440</v>
      </c>
      <c r="J1519" s="1" t="s">
        <v>3606</v>
      </c>
      <c r="K1519" s="1"/>
      <c r="L1519" s="1"/>
      <c r="M1519" s="1"/>
    </row>
    <row x14ac:dyDescent="0.25" r="1520" customHeight="1" ht="18.75">
      <c r="A1520" s="1" t="s">
        <v>3693</v>
      </c>
      <c r="B1520" s="1" t="s">
        <v>3957</v>
      </c>
      <c r="C1520" s="1" t="s">
        <v>3600</v>
      </c>
      <c r="D1520" s="1" t="s">
        <v>3601</v>
      </c>
      <c r="E1520" s="1" t="s">
        <v>3664</v>
      </c>
      <c r="F1520" s="1" t="s">
        <v>7441</v>
      </c>
      <c r="G1520" s="1" t="s">
        <v>7442</v>
      </c>
      <c r="H1520" s="1" t="s">
        <v>3604</v>
      </c>
      <c r="I1520" s="1" t="s">
        <v>7443</v>
      </c>
      <c r="J1520" s="1" t="s">
        <v>3606</v>
      </c>
      <c r="K1520" s="1"/>
      <c r="L1520" s="1"/>
      <c r="M1520" s="1"/>
    </row>
    <row x14ac:dyDescent="0.25" r="1521" customHeight="1" ht="18.75">
      <c r="A1521" s="1" t="s">
        <v>3598</v>
      </c>
      <c r="B1521" s="1" t="s">
        <v>7444</v>
      </c>
      <c r="C1521" s="1" t="s">
        <v>3600</v>
      </c>
      <c r="D1521" s="1" t="s">
        <v>3601</v>
      </c>
      <c r="E1521" s="1"/>
      <c r="F1521" s="1" t="s">
        <v>7445</v>
      </c>
      <c r="G1521" s="1" t="s">
        <v>7446</v>
      </c>
      <c r="H1521" s="1" t="s">
        <v>3604</v>
      </c>
      <c r="I1521" s="1" t="s">
        <v>7447</v>
      </c>
      <c r="J1521" s="1" t="s">
        <v>3606</v>
      </c>
      <c r="K1521" s="1"/>
      <c r="L1521" s="1"/>
      <c r="M1521" s="1"/>
    </row>
    <row x14ac:dyDescent="0.25" r="1522" customHeight="1" ht="18.75">
      <c r="A1522" s="1" t="s">
        <v>3598</v>
      </c>
      <c r="B1522" s="1" t="s">
        <v>7448</v>
      </c>
      <c r="C1522" s="1" t="s">
        <v>3600</v>
      </c>
      <c r="D1522" s="1" t="s">
        <v>3601</v>
      </c>
      <c r="E1522" s="1"/>
      <c r="F1522" s="1" t="s">
        <v>7449</v>
      </c>
      <c r="G1522" s="1" t="s">
        <v>7450</v>
      </c>
      <c r="H1522" s="1" t="s">
        <v>3604</v>
      </c>
      <c r="I1522" s="1" t="s">
        <v>7451</v>
      </c>
      <c r="J1522" s="1" t="s">
        <v>3606</v>
      </c>
      <c r="K1522" s="1"/>
      <c r="L1522" s="1"/>
      <c r="M1522" s="1"/>
    </row>
    <row x14ac:dyDescent="0.25" r="1523" customHeight="1" ht="18.75">
      <c r="A1523" s="1" t="s">
        <v>3598</v>
      </c>
      <c r="B1523" s="1" t="s">
        <v>7452</v>
      </c>
      <c r="C1523" s="1" t="s">
        <v>3600</v>
      </c>
      <c r="D1523" s="1" t="s">
        <v>3601</v>
      </c>
      <c r="E1523" s="1"/>
      <c r="F1523" s="1" t="s">
        <v>7453</v>
      </c>
      <c r="G1523" s="1" t="s">
        <v>7454</v>
      </c>
      <c r="H1523" s="1" t="s">
        <v>3604</v>
      </c>
      <c r="I1523" s="1" t="s">
        <v>7455</v>
      </c>
      <c r="J1523" s="1" t="s">
        <v>3606</v>
      </c>
      <c r="K1523" s="1"/>
      <c r="L1523" s="1"/>
      <c r="M1523" s="1"/>
    </row>
    <row x14ac:dyDescent="0.25" r="1524" customHeight="1" ht="18.75">
      <c r="A1524" s="1" t="s">
        <v>3598</v>
      </c>
      <c r="B1524" s="1" t="s">
        <v>7456</v>
      </c>
      <c r="C1524" s="1" t="s">
        <v>3600</v>
      </c>
      <c r="D1524" s="1" t="s">
        <v>3601</v>
      </c>
      <c r="E1524" s="1"/>
      <c r="F1524" s="1" t="s">
        <v>7457</v>
      </c>
      <c r="G1524" s="1" t="s">
        <v>7458</v>
      </c>
      <c r="H1524" s="1" t="s">
        <v>3604</v>
      </c>
      <c r="I1524" s="1" t="s">
        <v>7459</v>
      </c>
      <c r="J1524" s="1" t="s">
        <v>3606</v>
      </c>
      <c r="K1524" s="1"/>
      <c r="L1524" s="1"/>
      <c r="M1524" s="1"/>
    </row>
    <row x14ac:dyDescent="0.25" r="1525" customHeight="1" ht="18.75">
      <c r="A1525" s="1" t="s">
        <v>3598</v>
      </c>
      <c r="B1525" s="1" t="s">
        <v>7460</v>
      </c>
      <c r="C1525" s="1" t="s">
        <v>3600</v>
      </c>
      <c r="D1525" s="1" t="s">
        <v>3601</v>
      </c>
      <c r="E1525" s="1"/>
      <c r="F1525" s="1" t="s">
        <v>7461</v>
      </c>
      <c r="G1525" s="1" t="s">
        <v>7462</v>
      </c>
      <c r="H1525" s="1" t="s">
        <v>3604</v>
      </c>
      <c r="I1525" s="1" t="s">
        <v>7463</v>
      </c>
      <c r="J1525" s="1" t="s">
        <v>3606</v>
      </c>
      <c r="K1525" s="1"/>
      <c r="L1525" s="1"/>
      <c r="M1525" s="1"/>
    </row>
    <row x14ac:dyDescent="0.25" r="1526" customHeight="1" ht="18.75">
      <c r="A1526" s="1" t="s">
        <v>3598</v>
      </c>
      <c r="B1526" s="1" t="s">
        <v>7464</v>
      </c>
      <c r="C1526" s="1" t="s">
        <v>3600</v>
      </c>
      <c r="D1526" s="1" t="s">
        <v>3601</v>
      </c>
      <c r="E1526" s="1"/>
      <c r="F1526" s="1" t="s">
        <v>7465</v>
      </c>
      <c r="G1526" s="1" t="s">
        <v>7466</v>
      </c>
      <c r="H1526" s="1" t="s">
        <v>3604</v>
      </c>
      <c r="I1526" s="1" t="s">
        <v>7467</v>
      </c>
      <c r="J1526" s="1" t="s">
        <v>3606</v>
      </c>
      <c r="K1526" s="1"/>
      <c r="L1526" s="1"/>
      <c r="M1526" s="1"/>
    </row>
    <row x14ac:dyDescent="0.25" r="1527" customHeight="1" ht="18.75">
      <c r="A1527" s="1" t="s">
        <v>3598</v>
      </c>
      <c r="B1527" s="1" t="s">
        <v>7464</v>
      </c>
      <c r="C1527" s="1" t="s">
        <v>3600</v>
      </c>
      <c r="D1527" s="1" t="s">
        <v>3601</v>
      </c>
      <c r="E1527" s="1"/>
      <c r="F1527" s="1" t="s">
        <v>7468</v>
      </c>
      <c r="G1527" s="1" t="s">
        <v>7466</v>
      </c>
      <c r="H1527" s="1" t="s">
        <v>3604</v>
      </c>
      <c r="I1527" s="1" t="s">
        <v>7469</v>
      </c>
      <c r="J1527" s="1" t="s">
        <v>3606</v>
      </c>
      <c r="K1527" s="1"/>
      <c r="L1527" s="1"/>
      <c r="M1527" s="1"/>
    </row>
    <row x14ac:dyDescent="0.25" r="1528" customHeight="1" ht="18.75">
      <c r="A1528" s="1" t="s">
        <v>3598</v>
      </c>
      <c r="B1528" s="1" t="s">
        <v>7464</v>
      </c>
      <c r="C1528" s="1" t="s">
        <v>3600</v>
      </c>
      <c r="D1528" s="1" t="s">
        <v>3601</v>
      </c>
      <c r="E1528" s="1"/>
      <c r="F1528" s="1" t="s">
        <v>7470</v>
      </c>
      <c r="G1528" s="1" t="s">
        <v>7471</v>
      </c>
      <c r="H1528" s="1" t="s">
        <v>3604</v>
      </c>
      <c r="I1528" s="1" t="s">
        <v>7472</v>
      </c>
      <c r="J1528" s="1" t="s">
        <v>3606</v>
      </c>
      <c r="K1528" s="1"/>
      <c r="L1528" s="1"/>
      <c r="M1528" s="1"/>
    </row>
    <row x14ac:dyDescent="0.25" r="1529" customHeight="1" ht="18.75">
      <c r="A1529" s="1" t="s">
        <v>3598</v>
      </c>
      <c r="B1529" s="1" t="s">
        <v>6033</v>
      </c>
      <c r="C1529" s="1" t="s">
        <v>3600</v>
      </c>
      <c r="D1529" s="1" t="s">
        <v>3601</v>
      </c>
      <c r="E1529" s="1"/>
      <c r="F1529" s="1" t="s">
        <v>7473</v>
      </c>
      <c r="G1529" s="1" t="s">
        <v>6773</v>
      </c>
      <c r="H1529" s="1" t="s">
        <v>3604</v>
      </c>
      <c r="I1529" s="1" t="s">
        <v>7474</v>
      </c>
      <c r="J1529" s="1" t="s">
        <v>3606</v>
      </c>
      <c r="K1529" s="1"/>
      <c r="L1529" s="1"/>
      <c r="M1529" s="1"/>
    </row>
    <row x14ac:dyDescent="0.25" r="1530" customHeight="1" ht="18.75">
      <c r="A1530" s="1" t="s">
        <v>3598</v>
      </c>
      <c r="B1530" s="1" t="s">
        <v>6033</v>
      </c>
      <c r="C1530" s="1" t="s">
        <v>3600</v>
      </c>
      <c r="D1530" s="1" t="s">
        <v>3601</v>
      </c>
      <c r="E1530" s="1"/>
      <c r="F1530" s="1" t="s">
        <v>7475</v>
      </c>
      <c r="G1530" s="1" t="s">
        <v>6035</v>
      </c>
      <c r="H1530" s="1" t="s">
        <v>3604</v>
      </c>
      <c r="I1530" s="1" t="s">
        <v>7476</v>
      </c>
      <c r="J1530" s="1" t="s">
        <v>3606</v>
      </c>
      <c r="K1530" s="1"/>
      <c r="L1530" s="1"/>
      <c r="M1530" s="1"/>
    </row>
    <row x14ac:dyDescent="0.25" r="1531" customHeight="1" ht="18.75">
      <c r="A1531" s="1" t="s">
        <v>3598</v>
      </c>
      <c r="B1531" s="1" t="s">
        <v>6037</v>
      </c>
      <c r="C1531" s="1" t="s">
        <v>3600</v>
      </c>
      <c r="D1531" s="1" t="s">
        <v>3601</v>
      </c>
      <c r="E1531" s="1"/>
      <c r="F1531" s="1" t="s">
        <v>7477</v>
      </c>
      <c r="G1531" s="1" t="s">
        <v>7454</v>
      </c>
      <c r="H1531" s="1" t="s">
        <v>3604</v>
      </c>
      <c r="I1531" s="1" t="s">
        <v>7478</v>
      </c>
      <c r="J1531" s="1" t="s">
        <v>3606</v>
      </c>
      <c r="K1531" s="1"/>
      <c r="L1531" s="1"/>
      <c r="M1531" s="1"/>
    </row>
    <row x14ac:dyDescent="0.25" r="1532" customHeight="1" ht="18.75">
      <c r="A1532" s="1" t="s">
        <v>3598</v>
      </c>
      <c r="B1532" s="1" t="s">
        <v>7448</v>
      </c>
      <c r="C1532" s="1" t="s">
        <v>3600</v>
      </c>
      <c r="D1532" s="1" t="s">
        <v>3601</v>
      </c>
      <c r="E1532" s="1"/>
      <c r="F1532" s="1" t="s">
        <v>7479</v>
      </c>
      <c r="G1532" s="1" t="s">
        <v>7480</v>
      </c>
      <c r="H1532" s="1" t="s">
        <v>3604</v>
      </c>
      <c r="I1532" s="1" t="s">
        <v>7481</v>
      </c>
      <c r="J1532" s="1" t="s">
        <v>3606</v>
      </c>
      <c r="K1532" s="1"/>
      <c r="L1532" s="1"/>
      <c r="M1532" s="1"/>
    </row>
    <row x14ac:dyDescent="0.25" r="1533" customHeight="1" ht="18.75">
      <c r="A1533" s="1" t="s">
        <v>3598</v>
      </c>
      <c r="B1533" s="1" t="s">
        <v>7460</v>
      </c>
      <c r="C1533" s="1" t="s">
        <v>3600</v>
      </c>
      <c r="D1533" s="1" t="s">
        <v>3601</v>
      </c>
      <c r="E1533" s="1"/>
      <c r="F1533" s="1" t="s">
        <v>7482</v>
      </c>
      <c r="G1533" s="1" t="s">
        <v>7462</v>
      </c>
      <c r="H1533" s="1" t="s">
        <v>3604</v>
      </c>
      <c r="I1533" s="1" t="s">
        <v>7483</v>
      </c>
      <c r="J1533" s="1" t="s">
        <v>3606</v>
      </c>
      <c r="K1533" s="1"/>
      <c r="L1533" s="1"/>
      <c r="M1533" s="1"/>
    </row>
    <row x14ac:dyDescent="0.25" r="1534" customHeight="1" ht="18.75">
      <c r="A1534" s="1" t="s">
        <v>3598</v>
      </c>
      <c r="B1534" s="1" t="s">
        <v>6845</v>
      </c>
      <c r="C1534" s="1" t="s">
        <v>3600</v>
      </c>
      <c r="D1534" s="1" t="s">
        <v>3601</v>
      </c>
      <c r="E1534" s="1"/>
      <c r="F1534" s="1" t="s">
        <v>7484</v>
      </c>
      <c r="G1534" s="1" t="s">
        <v>6847</v>
      </c>
      <c r="H1534" s="1" t="s">
        <v>3604</v>
      </c>
      <c r="I1534" s="1" t="s">
        <v>7485</v>
      </c>
      <c r="J1534" s="1" t="s">
        <v>3606</v>
      </c>
      <c r="K1534" s="1"/>
      <c r="L1534" s="1"/>
      <c r="M1534" s="1"/>
    </row>
    <row x14ac:dyDescent="0.25" r="1535" customHeight="1" ht="18.75">
      <c r="A1535" s="1" t="s">
        <v>3617</v>
      </c>
      <c r="B1535" s="1" t="s">
        <v>6354</v>
      </c>
      <c r="C1535" s="1" t="s">
        <v>3619</v>
      </c>
      <c r="D1535" s="1" t="s">
        <v>3601</v>
      </c>
      <c r="E1535" s="1" t="s">
        <v>3730</v>
      </c>
      <c r="F1535" s="1" t="s">
        <v>7486</v>
      </c>
      <c r="G1535" s="1" t="s">
        <v>6359</v>
      </c>
      <c r="H1535" s="1" t="s">
        <v>3604</v>
      </c>
      <c r="I1535" s="1" t="s">
        <v>7487</v>
      </c>
      <c r="J1535" s="1" t="s">
        <v>3606</v>
      </c>
      <c r="K1535" s="1"/>
      <c r="L1535" s="1"/>
      <c r="M1535" s="1"/>
    </row>
    <row x14ac:dyDescent="0.25" r="1536" customHeight="1" ht="18.75">
      <c r="A1536" s="1" t="s">
        <v>3617</v>
      </c>
      <c r="B1536" s="1" t="s">
        <v>7488</v>
      </c>
      <c r="C1536" s="1" t="s">
        <v>3619</v>
      </c>
      <c r="D1536" s="1" t="s">
        <v>3601</v>
      </c>
      <c r="E1536" s="1"/>
      <c r="F1536" s="1" t="s">
        <v>7489</v>
      </c>
      <c r="G1536" s="1" t="s">
        <v>7490</v>
      </c>
      <c r="H1536" s="1" t="s">
        <v>3604</v>
      </c>
      <c r="I1536" s="1" t="s">
        <v>7491</v>
      </c>
      <c r="J1536" s="1" t="s">
        <v>3606</v>
      </c>
      <c r="K1536" s="1"/>
      <c r="L1536" s="1"/>
      <c r="M1536" s="1"/>
    </row>
    <row x14ac:dyDescent="0.25" r="1537" customHeight="1" ht="18.75">
      <c r="A1537" s="1" t="s">
        <v>3617</v>
      </c>
      <c r="B1537" s="1" t="s">
        <v>7488</v>
      </c>
      <c r="C1537" s="1" t="s">
        <v>3619</v>
      </c>
      <c r="D1537" s="1" t="s">
        <v>3601</v>
      </c>
      <c r="E1537" s="1"/>
      <c r="F1537" s="1" t="s">
        <v>6366</v>
      </c>
      <c r="G1537" s="1" t="s">
        <v>7490</v>
      </c>
      <c r="H1537" s="1" t="s">
        <v>3604</v>
      </c>
      <c r="I1537" s="1" t="s">
        <v>7492</v>
      </c>
      <c r="J1537" s="1" t="s">
        <v>3606</v>
      </c>
      <c r="K1537" s="1"/>
      <c r="L1537" s="1"/>
      <c r="M1537" s="1"/>
    </row>
    <row x14ac:dyDescent="0.25" r="1538" customHeight="1" ht="18.75">
      <c r="A1538" s="1" t="s">
        <v>3617</v>
      </c>
      <c r="B1538" s="1" t="s">
        <v>7488</v>
      </c>
      <c r="C1538" s="1" t="s">
        <v>3619</v>
      </c>
      <c r="D1538" s="1" t="s">
        <v>3601</v>
      </c>
      <c r="E1538" s="1"/>
      <c r="F1538" s="1" t="s">
        <v>7493</v>
      </c>
      <c r="G1538" s="1" t="s">
        <v>7490</v>
      </c>
      <c r="H1538" s="1" t="s">
        <v>3604</v>
      </c>
      <c r="I1538" s="1" t="s">
        <v>7494</v>
      </c>
      <c r="J1538" s="1" t="s">
        <v>3606</v>
      </c>
      <c r="K1538" s="1"/>
      <c r="L1538" s="1"/>
      <c r="M1538" s="1"/>
    </row>
    <row x14ac:dyDescent="0.25" r="1539" customHeight="1" ht="18.75">
      <c r="A1539" s="1" t="s">
        <v>3617</v>
      </c>
      <c r="B1539" s="1" t="s">
        <v>7488</v>
      </c>
      <c r="C1539" s="1" t="s">
        <v>3619</v>
      </c>
      <c r="D1539" s="1" t="s">
        <v>3601</v>
      </c>
      <c r="E1539" s="1"/>
      <c r="F1539" s="1" t="s">
        <v>7495</v>
      </c>
      <c r="G1539" s="1" t="s">
        <v>7496</v>
      </c>
      <c r="H1539" s="1" t="s">
        <v>3604</v>
      </c>
      <c r="I1539" s="1" t="s">
        <v>7497</v>
      </c>
      <c r="J1539" s="1" t="s">
        <v>3606</v>
      </c>
      <c r="K1539" s="1"/>
      <c r="L1539" s="1"/>
      <c r="M1539" s="1"/>
    </row>
    <row x14ac:dyDescent="0.25" r="1540" customHeight="1" ht="18.75">
      <c r="A1540" s="1" t="s">
        <v>3617</v>
      </c>
      <c r="B1540" s="1" t="s">
        <v>7488</v>
      </c>
      <c r="C1540" s="1" t="s">
        <v>3619</v>
      </c>
      <c r="D1540" s="1" t="s">
        <v>3601</v>
      </c>
      <c r="E1540" s="1"/>
      <c r="F1540" s="1" t="s">
        <v>6366</v>
      </c>
      <c r="G1540" s="1" t="s">
        <v>7498</v>
      </c>
      <c r="H1540" s="1" t="s">
        <v>3604</v>
      </c>
      <c r="I1540" s="1" t="s">
        <v>7499</v>
      </c>
      <c r="J1540" s="1" t="s">
        <v>3606</v>
      </c>
      <c r="K1540" s="1"/>
      <c r="L1540" s="1"/>
      <c r="M1540" s="1"/>
    </row>
    <row x14ac:dyDescent="0.25" r="1541" customHeight="1" ht="18.75">
      <c r="A1541" s="1" t="s">
        <v>3617</v>
      </c>
      <c r="B1541" s="1" t="s">
        <v>7488</v>
      </c>
      <c r="C1541" s="1" t="s">
        <v>3619</v>
      </c>
      <c r="D1541" s="1" t="s">
        <v>3601</v>
      </c>
      <c r="E1541" s="1"/>
      <c r="F1541" s="1" t="s">
        <v>7500</v>
      </c>
      <c r="G1541" s="1" t="s">
        <v>7501</v>
      </c>
      <c r="H1541" s="1" t="s">
        <v>3604</v>
      </c>
      <c r="I1541" s="1" t="s">
        <v>7502</v>
      </c>
      <c r="J1541" s="1" t="s">
        <v>3606</v>
      </c>
      <c r="K1541" s="1"/>
      <c r="L1541" s="1"/>
      <c r="M1541" s="1"/>
    </row>
    <row x14ac:dyDescent="0.25" r="1542" customHeight="1" ht="18.75">
      <c r="A1542" s="1" t="s">
        <v>3617</v>
      </c>
      <c r="B1542" s="1" t="s">
        <v>7488</v>
      </c>
      <c r="C1542" s="1" t="s">
        <v>3619</v>
      </c>
      <c r="D1542" s="1" t="s">
        <v>3601</v>
      </c>
      <c r="E1542" s="1"/>
      <c r="F1542" s="1" t="s">
        <v>7489</v>
      </c>
      <c r="G1542" s="1" t="s">
        <v>7498</v>
      </c>
      <c r="H1542" s="1" t="s">
        <v>3604</v>
      </c>
      <c r="I1542" s="1" t="s">
        <v>7503</v>
      </c>
      <c r="J1542" s="1" t="s">
        <v>3606</v>
      </c>
      <c r="K1542" s="1"/>
      <c r="L1542" s="1"/>
      <c r="M1542" s="1"/>
    </row>
    <row x14ac:dyDescent="0.25" r="1543" customHeight="1" ht="18.75">
      <c r="A1543" s="1" t="s">
        <v>3617</v>
      </c>
      <c r="B1543" s="1" t="s">
        <v>7488</v>
      </c>
      <c r="C1543" s="1" t="s">
        <v>3619</v>
      </c>
      <c r="D1543" s="1" t="s">
        <v>3601</v>
      </c>
      <c r="E1543" s="1"/>
      <c r="F1543" s="1" t="s">
        <v>7504</v>
      </c>
      <c r="G1543" s="1" t="s">
        <v>7498</v>
      </c>
      <c r="H1543" s="1" t="s">
        <v>3604</v>
      </c>
      <c r="I1543" s="1" t="s">
        <v>7505</v>
      </c>
      <c r="J1543" s="1" t="s">
        <v>3606</v>
      </c>
      <c r="K1543" s="1"/>
      <c r="L1543" s="1"/>
      <c r="M1543" s="1"/>
    </row>
    <row x14ac:dyDescent="0.25" r="1544" customHeight="1" ht="18.75">
      <c r="A1544" s="1" t="s">
        <v>3617</v>
      </c>
      <c r="B1544" s="1" t="s">
        <v>7488</v>
      </c>
      <c r="C1544" s="1" t="s">
        <v>3619</v>
      </c>
      <c r="D1544" s="1" t="s">
        <v>3601</v>
      </c>
      <c r="E1544" s="1"/>
      <c r="F1544" s="1" t="s">
        <v>7506</v>
      </c>
      <c r="G1544" s="1" t="s">
        <v>7496</v>
      </c>
      <c r="H1544" s="1" t="s">
        <v>3604</v>
      </c>
      <c r="I1544" s="1" t="s">
        <v>7507</v>
      </c>
      <c r="J1544" s="1" t="s">
        <v>3606</v>
      </c>
      <c r="K1544" s="1"/>
      <c r="L1544" s="1"/>
      <c r="M1544" s="1"/>
    </row>
    <row x14ac:dyDescent="0.25" r="1545" customHeight="1" ht="18.75">
      <c r="A1545" s="1" t="s">
        <v>3617</v>
      </c>
      <c r="B1545" s="1" t="s">
        <v>7488</v>
      </c>
      <c r="C1545" s="1" t="s">
        <v>3619</v>
      </c>
      <c r="D1545" s="1" t="s">
        <v>3601</v>
      </c>
      <c r="E1545" s="1"/>
      <c r="F1545" s="1" t="s">
        <v>7508</v>
      </c>
      <c r="G1545" s="1" t="s">
        <v>7496</v>
      </c>
      <c r="H1545" s="1" t="s">
        <v>3604</v>
      </c>
      <c r="I1545" s="1" t="s">
        <v>7509</v>
      </c>
      <c r="J1545" s="1" t="s">
        <v>3606</v>
      </c>
      <c r="K1545" s="1"/>
      <c r="L1545" s="1"/>
      <c r="M1545" s="1"/>
    </row>
    <row x14ac:dyDescent="0.25" r="1546" customHeight="1" ht="18.75">
      <c r="A1546" s="1" t="s">
        <v>3617</v>
      </c>
      <c r="B1546" s="1" t="s">
        <v>7488</v>
      </c>
      <c r="C1546" s="1" t="s">
        <v>3619</v>
      </c>
      <c r="D1546" s="1" t="s">
        <v>3601</v>
      </c>
      <c r="E1546" s="1"/>
      <c r="F1546" s="1" t="s">
        <v>7510</v>
      </c>
      <c r="G1546" s="1" t="s">
        <v>7496</v>
      </c>
      <c r="H1546" s="1" t="s">
        <v>3604</v>
      </c>
      <c r="I1546" s="1" t="s">
        <v>7511</v>
      </c>
      <c r="J1546" s="1" t="s">
        <v>3606</v>
      </c>
      <c r="K1546" s="1"/>
      <c r="L1546" s="1"/>
      <c r="M1546" s="1"/>
    </row>
    <row x14ac:dyDescent="0.25" r="1547" customHeight="1" ht="18.75">
      <c r="A1547" s="1" t="s">
        <v>3617</v>
      </c>
      <c r="B1547" s="1" t="s">
        <v>7488</v>
      </c>
      <c r="C1547" s="1" t="s">
        <v>3619</v>
      </c>
      <c r="D1547" s="1" t="s">
        <v>3601</v>
      </c>
      <c r="E1547" s="1"/>
      <c r="F1547" s="1" t="s">
        <v>7512</v>
      </c>
      <c r="G1547" s="1" t="s">
        <v>7496</v>
      </c>
      <c r="H1547" s="1" t="s">
        <v>3604</v>
      </c>
      <c r="I1547" s="1" t="s">
        <v>7513</v>
      </c>
      <c r="J1547" s="1" t="s">
        <v>3606</v>
      </c>
      <c r="K1547" s="1"/>
      <c r="L1547" s="1"/>
      <c r="M1547" s="1"/>
    </row>
    <row x14ac:dyDescent="0.25" r="1548" customHeight="1" ht="18.75">
      <c r="A1548" s="1" t="s">
        <v>3598</v>
      </c>
      <c r="B1548" s="1" t="s">
        <v>6033</v>
      </c>
      <c r="C1548" s="1" t="s">
        <v>3600</v>
      </c>
      <c r="D1548" s="1" t="s">
        <v>3601</v>
      </c>
      <c r="E1548" s="1"/>
      <c r="F1548" s="1" t="s">
        <v>7514</v>
      </c>
      <c r="G1548" s="1" t="s">
        <v>6773</v>
      </c>
      <c r="H1548" s="1" t="s">
        <v>3604</v>
      </c>
      <c r="I1548" s="1" t="s">
        <v>7515</v>
      </c>
      <c r="J1548" s="1" t="s">
        <v>3606</v>
      </c>
      <c r="K1548" s="1"/>
      <c r="L1548" s="1"/>
      <c r="M1548" s="1"/>
    </row>
    <row x14ac:dyDescent="0.25" r="1549" customHeight="1" ht="18.75">
      <c r="A1549" s="1" t="s">
        <v>3598</v>
      </c>
      <c r="B1549" s="1" t="s">
        <v>6033</v>
      </c>
      <c r="C1549" s="1" t="s">
        <v>3600</v>
      </c>
      <c r="D1549" s="1" t="s">
        <v>3601</v>
      </c>
      <c r="E1549" s="1"/>
      <c r="F1549" s="1" t="s">
        <v>7516</v>
      </c>
      <c r="G1549" s="1" t="s">
        <v>6773</v>
      </c>
      <c r="H1549" s="1" t="s">
        <v>3604</v>
      </c>
      <c r="I1549" s="1" t="s">
        <v>7517</v>
      </c>
      <c r="J1549" s="1" t="s">
        <v>3606</v>
      </c>
      <c r="K1549" s="1"/>
      <c r="L1549" s="1"/>
      <c r="M1549" s="1"/>
    </row>
    <row x14ac:dyDescent="0.25" r="1550" customHeight="1" ht="18.75">
      <c r="A1550" s="1" t="s">
        <v>3598</v>
      </c>
      <c r="B1550" s="1" t="s">
        <v>3663</v>
      </c>
      <c r="C1550" s="1" t="s">
        <v>3600</v>
      </c>
      <c r="D1550" s="1" t="s">
        <v>3601</v>
      </c>
      <c r="E1550" s="1" t="s">
        <v>3664</v>
      </c>
      <c r="F1550" s="1" t="s">
        <v>7518</v>
      </c>
      <c r="G1550" s="1" t="s">
        <v>6730</v>
      </c>
      <c r="H1550" s="1" t="s">
        <v>3604</v>
      </c>
      <c r="I1550" s="1" t="s">
        <v>7519</v>
      </c>
      <c r="J1550" s="1" t="s">
        <v>3615</v>
      </c>
      <c r="K1550" s="1"/>
      <c r="L1550" s="1"/>
      <c r="M1550" s="1"/>
    </row>
    <row x14ac:dyDescent="0.25" r="1551" customHeight="1" ht="18.75">
      <c r="A1551" s="1" t="s">
        <v>3598</v>
      </c>
      <c r="B1551" s="1" t="s">
        <v>3663</v>
      </c>
      <c r="C1551" s="1" t="s">
        <v>3600</v>
      </c>
      <c r="D1551" s="1" t="s">
        <v>3601</v>
      </c>
      <c r="E1551" s="1" t="s">
        <v>3664</v>
      </c>
      <c r="F1551" s="1" t="s">
        <v>7520</v>
      </c>
      <c r="G1551" s="1" t="s">
        <v>6730</v>
      </c>
      <c r="H1551" s="1" t="s">
        <v>3604</v>
      </c>
      <c r="I1551" s="1" t="s">
        <v>7521</v>
      </c>
      <c r="J1551" s="1" t="s">
        <v>3615</v>
      </c>
      <c r="K1551" s="1"/>
      <c r="L1551" s="1"/>
      <c r="M1551" s="1"/>
    </row>
    <row x14ac:dyDescent="0.25" r="1552" customHeight="1" ht="18.75">
      <c r="A1552" s="1" t="s">
        <v>3598</v>
      </c>
      <c r="B1552" s="1" t="s">
        <v>3663</v>
      </c>
      <c r="C1552" s="1" t="s">
        <v>3600</v>
      </c>
      <c r="D1552" s="1" t="s">
        <v>3601</v>
      </c>
      <c r="E1552" s="1" t="s">
        <v>3664</v>
      </c>
      <c r="F1552" s="1" t="s">
        <v>7522</v>
      </c>
      <c r="G1552" s="1" t="s">
        <v>6730</v>
      </c>
      <c r="H1552" s="1" t="s">
        <v>3604</v>
      </c>
      <c r="I1552" s="1" t="s">
        <v>7523</v>
      </c>
      <c r="J1552" s="1" t="s">
        <v>3615</v>
      </c>
      <c r="K1552" s="1"/>
      <c r="L1552" s="1"/>
      <c r="M1552" s="1"/>
    </row>
    <row x14ac:dyDescent="0.25" r="1553" customHeight="1" ht="18.75">
      <c r="A1553" s="1" t="s">
        <v>3598</v>
      </c>
      <c r="B1553" s="1" t="s">
        <v>3663</v>
      </c>
      <c r="C1553" s="1" t="s">
        <v>3600</v>
      </c>
      <c r="D1553" s="1" t="s">
        <v>3601</v>
      </c>
      <c r="E1553" s="1" t="s">
        <v>3664</v>
      </c>
      <c r="F1553" s="1" t="s">
        <v>7524</v>
      </c>
      <c r="G1553" s="1" t="s">
        <v>6740</v>
      </c>
      <c r="H1553" s="1" t="s">
        <v>3604</v>
      </c>
      <c r="I1553" s="1" t="s">
        <v>7525</v>
      </c>
      <c r="J1553" s="1" t="s">
        <v>3615</v>
      </c>
      <c r="K1553" s="1"/>
      <c r="L1553" s="1"/>
      <c r="M1553" s="1"/>
    </row>
    <row x14ac:dyDescent="0.25" r="1554" customHeight="1" ht="18.75">
      <c r="A1554" s="1" t="s">
        <v>3598</v>
      </c>
      <c r="B1554" s="1" t="s">
        <v>3663</v>
      </c>
      <c r="C1554" s="1" t="s">
        <v>3600</v>
      </c>
      <c r="D1554" s="1" t="s">
        <v>3601</v>
      </c>
      <c r="E1554" s="1" t="s">
        <v>3664</v>
      </c>
      <c r="F1554" s="1" t="s">
        <v>7526</v>
      </c>
      <c r="G1554" s="1" t="s">
        <v>6740</v>
      </c>
      <c r="H1554" s="1" t="s">
        <v>3604</v>
      </c>
      <c r="I1554" s="1" t="s">
        <v>7527</v>
      </c>
      <c r="J1554" s="1" t="s">
        <v>3615</v>
      </c>
      <c r="K1554" s="1"/>
      <c r="L1554" s="1"/>
      <c r="M1554" s="1"/>
    </row>
    <row x14ac:dyDescent="0.25" r="1555" customHeight="1" ht="18.75">
      <c r="A1555" s="1" t="s">
        <v>3598</v>
      </c>
      <c r="B1555" s="1" t="s">
        <v>3663</v>
      </c>
      <c r="C1555" s="1" t="s">
        <v>3600</v>
      </c>
      <c r="D1555" s="1" t="s">
        <v>3601</v>
      </c>
      <c r="E1555" s="1" t="s">
        <v>3664</v>
      </c>
      <c r="F1555" s="1" t="s">
        <v>7528</v>
      </c>
      <c r="G1555" s="1" t="s">
        <v>6740</v>
      </c>
      <c r="H1555" s="1" t="s">
        <v>3604</v>
      </c>
      <c r="I1555" s="1" t="s">
        <v>7529</v>
      </c>
      <c r="J1555" s="1" t="s">
        <v>3615</v>
      </c>
      <c r="K1555" s="1"/>
      <c r="L1555" s="1"/>
      <c r="M1555" s="1"/>
    </row>
    <row x14ac:dyDescent="0.25" r="1556" customHeight="1" ht="18.75">
      <c r="A1556" s="1" t="s">
        <v>3598</v>
      </c>
      <c r="B1556" s="1" t="s">
        <v>3663</v>
      </c>
      <c r="C1556" s="1" t="s">
        <v>3600</v>
      </c>
      <c r="D1556" s="1" t="s">
        <v>3601</v>
      </c>
      <c r="E1556" s="1" t="s">
        <v>3664</v>
      </c>
      <c r="F1556" s="1" t="s">
        <v>7530</v>
      </c>
      <c r="G1556" s="1" t="s">
        <v>6740</v>
      </c>
      <c r="H1556" s="1" t="s">
        <v>3604</v>
      </c>
      <c r="I1556" s="1" t="s">
        <v>7531</v>
      </c>
      <c r="J1556" s="1" t="s">
        <v>3615</v>
      </c>
      <c r="K1556" s="1"/>
      <c r="L1556" s="1"/>
      <c r="M1556" s="1"/>
    </row>
    <row x14ac:dyDescent="0.25" r="1557" customHeight="1" ht="18.75">
      <c r="A1557" s="1" t="s">
        <v>3598</v>
      </c>
      <c r="B1557" s="1" t="s">
        <v>3663</v>
      </c>
      <c r="C1557" s="1" t="s">
        <v>3600</v>
      </c>
      <c r="D1557" s="1" t="s">
        <v>3601</v>
      </c>
      <c r="E1557" s="1" t="s">
        <v>3664</v>
      </c>
      <c r="F1557" s="1" t="s">
        <v>7532</v>
      </c>
      <c r="G1557" s="1" t="s">
        <v>6740</v>
      </c>
      <c r="H1557" s="1" t="s">
        <v>3604</v>
      </c>
      <c r="I1557" s="1" t="s">
        <v>7533</v>
      </c>
      <c r="J1557" s="1" t="s">
        <v>3615</v>
      </c>
      <c r="K1557" s="1"/>
      <c r="L1557" s="1"/>
      <c r="M1557" s="1"/>
    </row>
    <row x14ac:dyDescent="0.25" r="1558" customHeight="1" ht="18.75">
      <c r="A1558" s="1" t="s">
        <v>3598</v>
      </c>
      <c r="B1558" s="1" t="s">
        <v>3663</v>
      </c>
      <c r="C1558" s="1" t="s">
        <v>3600</v>
      </c>
      <c r="D1558" s="1" t="s">
        <v>3601</v>
      </c>
      <c r="E1558" s="1" t="s">
        <v>3664</v>
      </c>
      <c r="F1558" s="1" t="s">
        <v>7534</v>
      </c>
      <c r="G1558" s="1" t="s">
        <v>6740</v>
      </c>
      <c r="H1558" s="1" t="s">
        <v>3604</v>
      </c>
      <c r="I1558" s="1" t="s">
        <v>7535</v>
      </c>
      <c r="J1558" s="1" t="s">
        <v>3615</v>
      </c>
      <c r="K1558" s="1"/>
      <c r="L1558" s="1"/>
      <c r="M1558" s="1"/>
    </row>
    <row x14ac:dyDescent="0.25" r="1559" customHeight="1" ht="18.75">
      <c r="A1559" s="1" t="s">
        <v>3598</v>
      </c>
      <c r="B1559" s="1" t="s">
        <v>3663</v>
      </c>
      <c r="C1559" s="1" t="s">
        <v>3600</v>
      </c>
      <c r="D1559" s="1" t="s">
        <v>3601</v>
      </c>
      <c r="E1559" s="1" t="s">
        <v>3664</v>
      </c>
      <c r="F1559" s="1" t="s">
        <v>7536</v>
      </c>
      <c r="G1559" s="1" t="s">
        <v>7537</v>
      </c>
      <c r="H1559" s="1" t="s">
        <v>3604</v>
      </c>
      <c r="I1559" s="1" t="s">
        <v>7538</v>
      </c>
      <c r="J1559" s="1" t="s">
        <v>3615</v>
      </c>
      <c r="K1559" s="1"/>
      <c r="L1559" s="1"/>
      <c r="M1559" s="1"/>
    </row>
    <row x14ac:dyDescent="0.25" r="1560" customHeight="1" ht="18.75">
      <c r="A1560" s="1" t="s">
        <v>3598</v>
      </c>
      <c r="B1560" s="1" t="s">
        <v>3663</v>
      </c>
      <c r="C1560" s="1" t="s">
        <v>3600</v>
      </c>
      <c r="D1560" s="1" t="s">
        <v>3601</v>
      </c>
      <c r="E1560" s="1" t="s">
        <v>3664</v>
      </c>
      <c r="F1560" s="1" t="s">
        <v>7539</v>
      </c>
      <c r="G1560" s="1" t="s">
        <v>7537</v>
      </c>
      <c r="H1560" s="1" t="s">
        <v>3604</v>
      </c>
      <c r="I1560" s="1" t="s">
        <v>7540</v>
      </c>
      <c r="J1560" s="1" t="s">
        <v>3615</v>
      </c>
      <c r="K1560" s="1"/>
      <c r="L1560" s="1"/>
      <c r="M1560" s="1"/>
    </row>
    <row x14ac:dyDescent="0.25" r="1561" customHeight="1" ht="18.75">
      <c r="A1561" s="1" t="s">
        <v>3598</v>
      </c>
      <c r="B1561" s="1" t="s">
        <v>3663</v>
      </c>
      <c r="C1561" s="1" t="s">
        <v>3600</v>
      </c>
      <c r="D1561" s="1" t="s">
        <v>3601</v>
      </c>
      <c r="E1561" s="1" t="s">
        <v>3664</v>
      </c>
      <c r="F1561" s="1" t="s">
        <v>7541</v>
      </c>
      <c r="G1561" s="1" t="s">
        <v>7537</v>
      </c>
      <c r="H1561" s="1" t="s">
        <v>3604</v>
      </c>
      <c r="I1561" s="1" t="s">
        <v>7542</v>
      </c>
      <c r="J1561" s="1" t="s">
        <v>3615</v>
      </c>
      <c r="K1561" s="1"/>
      <c r="L1561" s="1"/>
      <c r="M1561" s="1"/>
    </row>
    <row x14ac:dyDescent="0.25" r="1562" customHeight="1" ht="18.75">
      <c r="A1562" s="1" t="s">
        <v>3598</v>
      </c>
      <c r="B1562" s="1" t="s">
        <v>3663</v>
      </c>
      <c r="C1562" s="1" t="s">
        <v>3600</v>
      </c>
      <c r="D1562" s="1" t="s">
        <v>3601</v>
      </c>
      <c r="E1562" s="1" t="s">
        <v>3664</v>
      </c>
      <c r="F1562" s="1" t="s">
        <v>7543</v>
      </c>
      <c r="G1562" s="1" t="s">
        <v>7537</v>
      </c>
      <c r="H1562" s="1" t="s">
        <v>3604</v>
      </c>
      <c r="I1562" s="1" t="s">
        <v>7544</v>
      </c>
      <c r="J1562" s="1" t="s">
        <v>3615</v>
      </c>
      <c r="K1562" s="1"/>
      <c r="L1562" s="1"/>
      <c r="M1562" s="1"/>
    </row>
    <row x14ac:dyDescent="0.25" r="1563" customHeight="1" ht="18.75">
      <c r="A1563" s="1" t="s">
        <v>3598</v>
      </c>
      <c r="B1563" s="1" t="s">
        <v>3663</v>
      </c>
      <c r="C1563" s="1" t="s">
        <v>3600</v>
      </c>
      <c r="D1563" s="1" t="s">
        <v>3601</v>
      </c>
      <c r="E1563" s="1" t="s">
        <v>3664</v>
      </c>
      <c r="F1563" s="1" t="s">
        <v>7545</v>
      </c>
      <c r="G1563" s="1" t="s">
        <v>7537</v>
      </c>
      <c r="H1563" s="1" t="s">
        <v>3604</v>
      </c>
      <c r="I1563" s="1" t="s">
        <v>7546</v>
      </c>
      <c r="J1563" s="1" t="s">
        <v>3615</v>
      </c>
      <c r="K1563" s="1"/>
      <c r="L1563" s="1"/>
      <c r="M1563" s="1"/>
    </row>
    <row x14ac:dyDescent="0.25" r="1564" customHeight="1" ht="18.75">
      <c r="A1564" s="1" t="s">
        <v>3598</v>
      </c>
      <c r="B1564" s="1" t="s">
        <v>3663</v>
      </c>
      <c r="C1564" s="1" t="s">
        <v>3600</v>
      </c>
      <c r="D1564" s="1" t="s">
        <v>3601</v>
      </c>
      <c r="E1564" s="1" t="s">
        <v>3664</v>
      </c>
      <c r="F1564" s="1" t="s">
        <v>7547</v>
      </c>
      <c r="G1564" s="1" t="s">
        <v>7537</v>
      </c>
      <c r="H1564" s="1" t="s">
        <v>3604</v>
      </c>
      <c r="I1564" s="1" t="s">
        <v>7548</v>
      </c>
      <c r="J1564" s="1" t="s">
        <v>3615</v>
      </c>
      <c r="K1564" s="1"/>
      <c r="L1564" s="1"/>
      <c r="M1564" s="1"/>
    </row>
    <row x14ac:dyDescent="0.25" r="1565" customHeight="1" ht="18.75">
      <c r="A1565" s="1" t="s">
        <v>3598</v>
      </c>
      <c r="B1565" s="1" t="s">
        <v>3663</v>
      </c>
      <c r="C1565" s="1" t="s">
        <v>3600</v>
      </c>
      <c r="D1565" s="1" t="s">
        <v>3601</v>
      </c>
      <c r="E1565" s="1" t="s">
        <v>3664</v>
      </c>
      <c r="F1565" s="1" t="s">
        <v>7549</v>
      </c>
      <c r="G1565" s="1" t="s">
        <v>7537</v>
      </c>
      <c r="H1565" s="1" t="s">
        <v>3604</v>
      </c>
      <c r="I1565" s="1" t="s">
        <v>7550</v>
      </c>
      <c r="J1565" s="1" t="s">
        <v>3615</v>
      </c>
      <c r="K1565" s="1"/>
      <c r="L1565" s="1"/>
      <c r="M1565" s="1"/>
    </row>
    <row x14ac:dyDescent="0.25" r="1566" customHeight="1" ht="18.75">
      <c r="A1566" s="1" t="s">
        <v>3598</v>
      </c>
      <c r="B1566" s="1" t="s">
        <v>3663</v>
      </c>
      <c r="C1566" s="1" t="s">
        <v>3600</v>
      </c>
      <c r="D1566" s="1" t="s">
        <v>3601</v>
      </c>
      <c r="E1566" s="1" t="s">
        <v>3664</v>
      </c>
      <c r="F1566" s="1" t="s">
        <v>7551</v>
      </c>
      <c r="G1566" s="1" t="s">
        <v>7537</v>
      </c>
      <c r="H1566" s="1" t="s">
        <v>3604</v>
      </c>
      <c r="I1566" s="1" t="s">
        <v>7552</v>
      </c>
      <c r="J1566" s="1" t="s">
        <v>3615</v>
      </c>
      <c r="K1566" s="1"/>
      <c r="L1566" s="1"/>
      <c r="M1566" s="1"/>
    </row>
    <row x14ac:dyDescent="0.25" r="1567" customHeight="1" ht="18.75">
      <c r="A1567" s="1" t="s">
        <v>3598</v>
      </c>
      <c r="B1567" s="1" t="s">
        <v>3663</v>
      </c>
      <c r="C1567" s="1" t="s">
        <v>3600</v>
      </c>
      <c r="D1567" s="1" t="s">
        <v>3601</v>
      </c>
      <c r="E1567" s="1" t="s">
        <v>3664</v>
      </c>
      <c r="F1567" s="1" t="s">
        <v>7553</v>
      </c>
      <c r="G1567" s="1" t="s">
        <v>7537</v>
      </c>
      <c r="H1567" s="1" t="s">
        <v>3604</v>
      </c>
      <c r="I1567" s="1" t="s">
        <v>7554</v>
      </c>
      <c r="J1567" s="1" t="s">
        <v>3615</v>
      </c>
      <c r="K1567" s="1"/>
      <c r="L1567" s="1"/>
      <c r="M1567" s="1"/>
    </row>
    <row x14ac:dyDescent="0.25" r="1568" customHeight="1" ht="18.75">
      <c r="A1568" s="1" t="s">
        <v>3598</v>
      </c>
      <c r="B1568" s="1" t="s">
        <v>3663</v>
      </c>
      <c r="C1568" s="1" t="s">
        <v>3600</v>
      </c>
      <c r="D1568" s="1" t="s">
        <v>3601</v>
      </c>
      <c r="E1568" s="1" t="s">
        <v>3664</v>
      </c>
      <c r="F1568" s="1" t="s">
        <v>7555</v>
      </c>
      <c r="G1568" s="1" t="s">
        <v>7556</v>
      </c>
      <c r="H1568" s="1" t="s">
        <v>3604</v>
      </c>
      <c r="I1568" s="1" t="s">
        <v>7557</v>
      </c>
      <c r="J1568" s="1" t="s">
        <v>3615</v>
      </c>
      <c r="K1568" s="1"/>
      <c r="L1568" s="1"/>
      <c r="M1568" s="1"/>
    </row>
    <row x14ac:dyDescent="0.25" r="1569" customHeight="1" ht="18.75">
      <c r="A1569" s="1" t="s">
        <v>3598</v>
      </c>
      <c r="B1569" s="1" t="s">
        <v>3663</v>
      </c>
      <c r="C1569" s="1" t="s">
        <v>3600</v>
      </c>
      <c r="D1569" s="1" t="s">
        <v>3601</v>
      </c>
      <c r="E1569" s="1" t="s">
        <v>3664</v>
      </c>
      <c r="F1569" s="1" t="s">
        <v>7558</v>
      </c>
      <c r="G1569" s="1" t="s">
        <v>7556</v>
      </c>
      <c r="H1569" s="1" t="s">
        <v>3604</v>
      </c>
      <c r="I1569" s="1" t="s">
        <v>7559</v>
      </c>
      <c r="J1569" s="1" t="s">
        <v>3615</v>
      </c>
      <c r="K1569" s="1"/>
      <c r="L1569" s="1"/>
      <c r="M1569" s="1"/>
    </row>
    <row x14ac:dyDescent="0.25" r="1570" customHeight="1" ht="18.75">
      <c r="A1570" s="1" t="s">
        <v>3598</v>
      </c>
      <c r="B1570" s="1" t="s">
        <v>3663</v>
      </c>
      <c r="C1570" s="1" t="s">
        <v>3600</v>
      </c>
      <c r="D1570" s="1" t="s">
        <v>3601</v>
      </c>
      <c r="E1570" s="1" t="s">
        <v>3664</v>
      </c>
      <c r="F1570" s="1" t="s">
        <v>7560</v>
      </c>
      <c r="G1570" s="1" t="s">
        <v>7008</v>
      </c>
      <c r="H1570" s="1" t="s">
        <v>3604</v>
      </c>
      <c r="I1570" s="1" t="s">
        <v>7561</v>
      </c>
      <c r="J1570" s="1" t="s">
        <v>3615</v>
      </c>
      <c r="K1570" s="1"/>
      <c r="L1570" s="1"/>
      <c r="M1570" s="1"/>
    </row>
    <row x14ac:dyDescent="0.25" r="1571" customHeight="1" ht="18.75">
      <c r="A1571" s="1" t="s">
        <v>3598</v>
      </c>
      <c r="B1571" s="1" t="s">
        <v>3663</v>
      </c>
      <c r="C1571" s="1" t="s">
        <v>3600</v>
      </c>
      <c r="D1571" s="1" t="s">
        <v>3601</v>
      </c>
      <c r="E1571" s="1" t="s">
        <v>3664</v>
      </c>
      <c r="F1571" s="1" t="s">
        <v>7562</v>
      </c>
      <c r="G1571" s="1" t="s">
        <v>7008</v>
      </c>
      <c r="H1571" s="1" t="s">
        <v>3604</v>
      </c>
      <c r="I1571" s="1" t="s">
        <v>7563</v>
      </c>
      <c r="J1571" s="1" t="s">
        <v>3615</v>
      </c>
      <c r="K1571" s="1"/>
      <c r="L1571" s="1"/>
      <c r="M1571" s="1"/>
    </row>
    <row x14ac:dyDescent="0.25" r="1572" customHeight="1" ht="18.75">
      <c r="A1572" s="1" t="s">
        <v>3598</v>
      </c>
      <c r="B1572" s="1" t="s">
        <v>3663</v>
      </c>
      <c r="C1572" s="1" t="s">
        <v>3600</v>
      </c>
      <c r="D1572" s="1" t="s">
        <v>3601</v>
      </c>
      <c r="E1572" s="1" t="s">
        <v>3664</v>
      </c>
      <c r="F1572" s="1" t="s">
        <v>7564</v>
      </c>
      <c r="G1572" s="1" t="s">
        <v>7008</v>
      </c>
      <c r="H1572" s="1" t="s">
        <v>3604</v>
      </c>
      <c r="I1572" s="1" t="s">
        <v>7565</v>
      </c>
      <c r="J1572" s="1" t="s">
        <v>3615</v>
      </c>
      <c r="K1572" s="1"/>
      <c r="L1572" s="1"/>
      <c r="M1572" s="1"/>
    </row>
    <row x14ac:dyDescent="0.25" r="1573" customHeight="1" ht="18.75">
      <c r="A1573" s="1" t="s">
        <v>3598</v>
      </c>
      <c r="B1573" s="1" t="s">
        <v>3663</v>
      </c>
      <c r="C1573" s="1" t="s">
        <v>3600</v>
      </c>
      <c r="D1573" s="1" t="s">
        <v>3601</v>
      </c>
      <c r="E1573" s="1" t="s">
        <v>3664</v>
      </c>
      <c r="F1573" s="1" t="s">
        <v>7566</v>
      </c>
      <c r="G1573" s="1" t="s">
        <v>7008</v>
      </c>
      <c r="H1573" s="1" t="s">
        <v>3604</v>
      </c>
      <c r="I1573" s="1" t="s">
        <v>7567</v>
      </c>
      <c r="J1573" s="1" t="s">
        <v>3615</v>
      </c>
      <c r="K1573" s="1"/>
      <c r="L1573" s="1"/>
      <c r="M1573" s="1"/>
    </row>
    <row x14ac:dyDescent="0.25" r="1574" customHeight="1" ht="18.75">
      <c r="A1574" s="1" t="s">
        <v>3598</v>
      </c>
      <c r="B1574" s="1" t="s">
        <v>3663</v>
      </c>
      <c r="C1574" s="1" t="s">
        <v>3600</v>
      </c>
      <c r="D1574" s="1" t="s">
        <v>3601</v>
      </c>
      <c r="E1574" s="1" t="s">
        <v>3664</v>
      </c>
      <c r="F1574" s="1" t="s">
        <v>7568</v>
      </c>
      <c r="G1574" s="1" t="s">
        <v>7008</v>
      </c>
      <c r="H1574" s="1" t="s">
        <v>3604</v>
      </c>
      <c r="I1574" s="1" t="s">
        <v>7569</v>
      </c>
      <c r="J1574" s="1" t="s">
        <v>3615</v>
      </c>
      <c r="K1574" s="1"/>
      <c r="L1574" s="1"/>
      <c r="M1574" s="1"/>
    </row>
    <row x14ac:dyDescent="0.25" r="1575" customHeight="1" ht="18.75">
      <c r="A1575" s="1" t="s">
        <v>3598</v>
      </c>
      <c r="B1575" s="1" t="s">
        <v>3663</v>
      </c>
      <c r="C1575" s="1" t="s">
        <v>3600</v>
      </c>
      <c r="D1575" s="1" t="s">
        <v>3601</v>
      </c>
      <c r="E1575" s="1" t="s">
        <v>3664</v>
      </c>
      <c r="F1575" s="1" t="s">
        <v>7570</v>
      </c>
      <c r="G1575" s="1" t="s">
        <v>7008</v>
      </c>
      <c r="H1575" s="1" t="s">
        <v>3604</v>
      </c>
      <c r="I1575" s="1" t="s">
        <v>7571</v>
      </c>
      <c r="J1575" s="1" t="s">
        <v>3615</v>
      </c>
      <c r="K1575" s="1"/>
      <c r="L1575" s="1"/>
      <c r="M1575" s="1"/>
    </row>
    <row x14ac:dyDescent="0.25" r="1576" customHeight="1" ht="18.75">
      <c r="A1576" s="1" t="s">
        <v>3598</v>
      </c>
      <c r="B1576" s="1" t="s">
        <v>3663</v>
      </c>
      <c r="C1576" s="1" t="s">
        <v>3600</v>
      </c>
      <c r="D1576" s="1" t="s">
        <v>3601</v>
      </c>
      <c r="E1576" s="1" t="s">
        <v>3664</v>
      </c>
      <c r="F1576" s="1" t="s">
        <v>7572</v>
      </c>
      <c r="G1576" s="1" t="s">
        <v>7008</v>
      </c>
      <c r="H1576" s="1" t="s">
        <v>3604</v>
      </c>
      <c r="I1576" s="1" t="s">
        <v>7573</v>
      </c>
      <c r="J1576" s="1" t="s">
        <v>3615</v>
      </c>
      <c r="K1576" s="1"/>
      <c r="L1576" s="1"/>
      <c r="M1576" s="1"/>
    </row>
    <row x14ac:dyDescent="0.25" r="1577" customHeight="1" ht="18.75">
      <c r="A1577" s="1" t="s">
        <v>3598</v>
      </c>
      <c r="B1577" s="1" t="s">
        <v>3663</v>
      </c>
      <c r="C1577" s="1" t="s">
        <v>3600</v>
      </c>
      <c r="D1577" s="1" t="s">
        <v>3601</v>
      </c>
      <c r="E1577" s="1" t="s">
        <v>3664</v>
      </c>
      <c r="F1577" s="1" t="s">
        <v>7574</v>
      </c>
      <c r="G1577" s="1" t="s">
        <v>7008</v>
      </c>
      <c r="H1577" s="1" t="s">
        <v>3604</v>
      </c>
      <c r="I1577" s="1" t="s">
        <v>7575</v>
      </c>
      <c r="J1577" s="1" t="s">
        <v>3615</v>
      </c>
      <c r="K1577" s="1"/>
      <c r="L1577" s="1"/>
      <c r="M1577" s="1"/>
    </row>
    <row x14ac:dyDescent="0.25" r="1578" customHeight="1" ht="18.75">
      <c r="A1578" s="1" t="s">
        <v>3598</v>
      </c>
      <c r="B1578" s="1" t="s">
        <v>3663</v>
      </c>
      <c r="C1578" s="1" t="s">
        <v>3600</v>
      </c>
      <c r="D1578" s="1" t="s">
        <v>3601</v>
      </c>
      <c r="E1578" s="1" t="s">
        <v>3664</v>
      </c>
      <c r="F1578" s="1" t="s">
        <v>7576</v>
      </c>
      <c r="G1578" s="1" t="s">
        <v>7008</v>
      </c>
      <c r="H1578" s="1" t="s">
        <v>3604</v>
      </c>
      <c r="I1578" s="1" t="s">
        <v>7577</v>
      </c>
      <c r="J1578" s="1" t="s">
        <v>3615</v>
      </c>
      <c r="K1578" s="1"/>
      <c r="L1578" s="1"/>
      <c r="M1578" s="1"/>
    </row>
    <row x14ac:dyDescent="0.25" r="1579" customHeight="1" ht="18.75">
      <c r="A1579" s="1" t="s">
        <v>3598</v>
      </c>
      <c r="B1579" s="1" t="s">
        <v>3663</v>
      </c>
      <c r="C1579" s="1" t="s">
        <v>3600</v>
      </c>
      <c r="D1579" s="1" t="s">
        <v>3601</v>
      </c>
      <c r="E1579" s="1" t="s">
        <v>3664</v>
      </c>
      <c r="F1579" s="1" t="s">
        <v>7578</v>
      </c>
      <c r="G1579" s="1" t="s">
        <v>7008</v>
      </c>
      <c r="H1579" s="1" t="s">
        <v>3604</v>
      </c>
      <c r="I1579" s="1" t="s">
        <v>7579</v>
      </c>
      <c r="J1579" s="1" t="s">
        <v>3615</v>
      </c>
      <c r="K1579" s="1"/>
      <c r="L1579" s="1"/>
      <c r="M1579" s="1"/>
    </row>
    <row x14ac:dyDescent="0.25" r="1580" customHeight="1" ht="18.75">
      <c r="A1580" s="1" t="s">
        <v>3598</v>
      </c>
      <c r="B1580" s="1" t="s">
        <v>3663</v>
      </c>
      <c r="C1580" s="1" t="s">
        <v>3600</v>
      </c>
      <c r="D1580" s="1" t="s">
        <v>3601</v>
      </c>
      <c r="E1580" s="1" t="s">
        <v>3664</v>
      </c>
      <c r="F1580" s="1" t="s">
        <v>7580</v>
      </c>
      <c r="G1580" s="1" t="s">
        <v>7008</v>
      </c>
      <c r="H1580" s="1" t="s">
        <v>3604</v>
      </c>
      <c r="I1580" s="1" t="s">
        <v>7581</v>
      </c>
      <c r="J1580" s="1" t="s">
        <v>3615</v>
      </c>
      <c r="K1580" s="1"/>
      <c r="L1580" s="1"/>
      <c r="M1580" s="1"/>
    </row>
    <row x14ac:dyDescent="0.25" r="1581" customHeight="1" ht="18.75">
      <c r="A1581" s="1" t="s">
        <v>3598</v>
      </c>
      <c r="B1581" s="1" t="s">
        <v>3663</v>
      </c>
      <c r="C1581" s="1" t="s">
        <v>3600</v>
      </c>
      <c r="D1581" s="1" t="s">
        <v>3601</v>
      </c>
      <c r="E1581" s="1" t="s">
        <v>3664</v>
      </c>
      <c r="F1581" s="1" t="s">
        <v>7582</v>
      </c>
      <c r="G1581" s="1" t="s">
        <v>7008</v>
      </c>
      <c r="H1581" s="1" t="s">
        <v>3604</v>
      </c>
      <c r="I1581" s="1" t="s">
        <v>7583</v>
      </c>
      <c r="J1581" s="1" t="s">
        <v>3615</v>
      </c>
      <c r="K1581" s="1"/>
      <c r="L1581" s="1"/>
      <c r="M1581" s="1"/>
    </row>
    <row x14ac:dyDescent="0.25" r="1582" customHeight="1" ht="18.75">
      <c r="A1582" s="1" t="s">
        <v>3598</v>
      </c>
      <c r="B1582" s="1" t="s">
        <v>3663</v>
      </c>
      <c r="C1582" s="1" t="s">
        <v>3600</v>
      </c>
      <c r="D1582" s="1" t="s">
        <v>3601</v>
      </c>
      <c r="E1582" s="1" t="s">
        <v>3664</v>
      </c>
      <c r="F1582" s="1" t="s">
        <v>7584</v>
      </c>
      <c r="G1582" s="1" t="s">
        <v>7008</v>
      </c>
      <c r="H1582" s="1" t="s">
        <v>3604</v>
      </c>
      <c r="I1582" s="1" t="s">
        <v>7585</v>
      </c>
      <c r="J1582" s="1" t="s">
        <v>3615</v>
      </c>
      <c r="K1582" s="1"/>
      <c r="L1582" s="1"/>
      <c r="M1582" s="1"/>
    </row>
    <row x14ac:dyDescent="0.25" r="1583" customHeight="1" ht="18.75">
      <c r="A1583" s="1" t="s">
        <v>3598</v>
      </c>
      <c r="B1583" s="1" t="s">
        <v>3663</v>
      </c>
      <c r="C1583" s="1" t="s">
        <v>3600</v>
      </c>
      <c r="D1583" s="1" t="s">
        <v>3601</v>
      </c>
      <c r="E1583" s="1" t="s">
        <v>3664</v>
      </c>
      <c r="F1583" s="1" t="s">
        <v>7586</v>
      </c>
      <c r="G1583" s="1" t="s">
        <v>7011</v>
      </c>
      <c r="H1583" s="1" t="s">
        <v>3604</v>
      </c>
      <c r="I1583" s="1" t="s">
        <v>7587</v>
      </c>
      <c r="J1583" s="1" t="s">
        <v>3615</v>
      </c>
      <c r="K1583" s="1"/>
      <c r="L1583" s="1"/>
      <c r="M1583" s="1"/>
    </row>
    <row x14ac:dyDescent="0.25" r="1584" customHeight="1" ht="18.75">
      <c r="A1584" s="1" t="s">
        <v>3598</v>
      </c>
      <c r="B1584" s="1" t="s">
        <v>3663</v>
      </c>
      <c r="C1584" s="1" t="s">
        <v>3600</v>
      </c>
      <c r="D1584" s="1" t="s">
        <v>3601</v>
      </c>
      <c r="E1584" s="1" t="s">
        <v>3664</v>
      </c>
      <c r="F1584" s="1" t="s">
        <v>7588</v>
      </c>
      <c r="G1584" s="1" t="s">
        <v>6701</v>
      </c>
      <c r="H1584" s="1" t="s">
        <v>3604</v>
      </c>
      <c r="I1584" s="1" t="s">
        <v>7589</v>
      </c>
      <c r="J1584" s="1" t="s">
        <v>3615</v>
      </c>
      <c r="K1584" s="1"/>
      <c r="L1584" s="1"/>
      <c r="M1584" s="1"/>
    </row>
    <row x14ac:dyDescent="0.25" r="1585" customHeight="1" ht="18.75">
      <c r="A1585" s="1" t="s">
        <v>3598</v>
      </c>
      <c r="B1585" s="1" t="s">
        <v>3663</v>
      </c>
      <c r="C1585" s="1" t="s">
        <v>3600</v>
      </c>
      <c r="D1585" s="1" t="s">
        <v>3601</v>
      </c>
      <c r="E1585" s="1" t="s">
        <v>3664</v>
      </c>
      <c r="F1585" s="1" t="s">
        <v>7590</v>
      </c>
      <c r="G1585" s="1" t="s">
        <v>6701</v>
      </c>
      <c r="H1585" s="1" t="s">
        <v>3604</v>
      </c>
      <c r="I1585" s="1" t="s">
        <v>7591</v>
      </c>
      <c r="J1585" s="1" t="s">
        <v>3615</v>
      </c>
      <c r="K1585" s="1"/>
      <c r="L1585" s="1"/>
      <c r="M1585" s="1"/>
    </row>
    <row x14ac:dyDescent="0.25" r="1586" customHeight="1" ht="18.75">
      <c r="A1586" s="1" t="s">
        <v>3598</v>
      </c>
      <c r="B1586" s="1" t="s">
        <v>3663</v>
      </c>
      <c r="C1586" s="1" t="s">
        <v>3600</v>
      </c>
      <c r="D1586" s="1" t="s">
        <v>3601</v>
      </c>
      <c r="E1586" s="1" t="s">
        <v>3664</v>
      </c>
      <c r="F1586" s="1" t="s">
        <v>7592</v>
      </c>
      <c r="G1586" s="1" t="s">
        <v>7011</v>
      </c>
      <c r="H1586" s="1" t="s">
        <v>3604</v>
      </c>
      <c r="I1586" s="1" t="s">
        <v>7593</v>
      </c>
      <c r="J1586" s="1" t="s">
        <v>3615</v>
      </c>
      <c r="K1586" s="1"/>
      <c r="L1586" s="1"/>
      <c r="M1586" s="1"/>
    </row>
    <row x14ac:dyDescent="0.25" r="1587" customHeight="1" ht="18.75">
      <c r="A1587" s="1" t="s">
        <v>3598</v>
      </c>
      <c r="B1587" s="1" t="s">
        <v>3663</v>
      </c>
      <c r="C1587" s="1" t="s">
        <v>3600</v>
      </c>
      <c r="D1587" s="1" t="s">
        <v>3601</v>
      </c>
      <c r="E1587" s="1" t="s">
        <v>3664</v>
      </c>
      <c r="F1587" s="1" t="s">
        <v>7594</v>
      </c>
      <c r="G1587" s="1" t="s">
        <v>6701</v>
      </c>
      <c r="H1587" s="1" t="s">
        <v>3604</v>
      </c>
      <c r="I1587" s="1" t="s">
        <v>7595</v>
      </c>
      <c r="J1587" s="1" t="s">
        <v>3615</v>
      </c>
      <c r="K1587" s="1"/>
      <c r="L1587" s="1"/>
      <c r="M1587" s="1"/>
    </row>
    <row x14ac:dyDescent="0.25" r="1588" customHeight="1" ht="18.75">
      <c r="A1588" s="1" t="s">
        <v>3598</v>
      </c>
      <c r="B1588" s="1" t="s">
        <v>3663</v>
      </c>
      <c r="C1588" s="1" t="s">
        <v>3600</v>
      </c>
      <c r="D1588" s="1" t="s">
        <v>3601</v>
      </c>
      <c r="E1588" s="1" t="s">
        <v>3664</v>
      </c>
      <c r="F1588" s="1" t="s">
        <v>7596</v>
      </c>
      <c r="G1588" s="1" t="s">
        <v>6710</v>
      </c>
      <c r="H1588" s="1" t="s">
        <v>3604</v>
      </c>
      <c r="I1588" s="1" t="s">
        <v>7597</v>
      </c>
      <c r="J1588" s="1" t="s">
        <v>3615</v>
      </c>
      <c r="K1588" s="1"/>
      <c r="L1588" s="1"/>
      <c r="M1588" s="1"/>
    </row>
    <row x14ac:dyDescent="0.25" r="1589" customHeight="1" ht="18.75">
      <c r="A1589" s="1" t="s">
        <v>3598</v>
      </c>
      <c r="B1589" s="1" t="s">
        <v>3663</v>
      </c>
      <c r="C1589" s="1" t="s">
        <v>3600</v>
      </c>
      <c r="D1589" s="1" t="s">
        <v>3601</v>
      </c>
      <c r="E1589" s="1" t="s">
        <v>3664</v>
      </c>
      <c r="F1589" s="1" t="s">
        <v>7598</v>
      </c>
      <c r="G1589" s="1" t="s">
        <v>6710</v>
      </c>
      <c r="H1589" s="1" t="s">
        <v>3604</v>
      </c>
      <c r="I1589" s="1" t="s">
        <v>7599</v>
      </c>
      <c r="J1589" s="1" t="s">
        <v>3615</v>
      </c>
      <c r="K1589" s="1"/>
      <c r="L1589" s="1"/>
      <c r="M1589" s="1"/>
    </row>
    <row x14ac:dyDescent="0.25" r="1590" customHeight="1" ht="18.75">
      <c r="A1590" s="1" t="s">
        <v>3598</v>
      </c>
      <c r="B1590" s="1" t="s">
        <v>3663</v>
      </c>
      <c r="C1590" s="1" t="s">
        <v>3600</v>
      </c>
      <c r="D1590" s="1" t="s">
        <v>3601</v>
      </c>
      <c r="E1590" s="1" t="s">
        <v>3664</v>
      </c>
      <c r="F1590" s="1" t="s">
        <v>7600</v>
      </c>
      <c r="G1590" s="1" t="s">
        <v>6663</v>
      </c>
      <c r="H1590" s="1" t="s">
        <v>3604</v>
      </c>
      <c r="I1590" s="1" t="s">
        <v>7601</v>
      </c>
      <c r="J1590" s="1" t="s">
        <v>3615</v>
      </c>
      <c r="K1590" s="1"/>
      <c r="L1590" s="1"/>
      <c r="M1590" s="1"/>
    </row>
    <row x14ac:dyDescent="0.25" r="1591" customHeight="1" ht="18.75">
      <c r="A1591" s="1" t="s">
        <v>3598</v>
      </c>
      <c r="B1591" s="1" t="s">
        <v>3663</v>
      </c>
      <c r="C1591" s="1" t="s">
        <v>3600</v>
      </c>
      <c r="D1591" s="1" t="s">
        <v>3601</v>
      </c>
      <c r="E1591" s="1" t="s">
        <v>3664</v>
      </c>
      <c r="F1591" s="1" t="s">
        <v>7602</v>
      </c>
      <c r="G1591" s="1" t="s">
        <v>7003</v>
      </c>
      <c r="H1591" s="1" t="s">
        <v>3604</v>
      </c>
      <c r="I1591" s="1" t="s">
        <v>7603</v>
      </c>
      <c r="J1591" s="1" t="s">
        <v>3615</v>
      </c>
      <c r="K1591" s="1"/>
      <c r="L1591" s="1"/>
      <c r="M1591" s="1"/>
    </row>
    <row x14ac:dyDescent="0.25" r="1592" customHeight="1" ht="18.75">
      <c r="A1592" s="1" t="s">
        <v>3598</v>
      </c>
      <c r="B1592" s="1" t="s">
        <v>3663</v>
      </c>
      <c r="C1592" s="1" t="s">
        <v>3600</v>
      </c>
      <c r="D1592" s="1" t="s">
        <v>3601</v>
      </c>
      <c r="E1592" s="1" t="s">
        <v>3664</v>
      </c>
      <c r="F1592" s="1" t="s">
        <v>7604</v>
      </c>
      <c r="G1592" s="1" t="s">
        <v>6740</v>
      </c>
      <c r="H1592" s="1" t="s">
        <v>3604</v>
      </c>
      <c r="I1592" s="1" t="s">
        <v>7605</v>
      </c>
      <c r="J1592" s="1" t="s">
        <v>3615</v>
      </c>
      <c r="K1592" s="1"/>
      <c r="L1592" s="1"/>
      <c r="M1592" s="1"/>
    </row>
    <row x14ac:dyDescent="0.25" r="1593" customHeight="1" ht="18.75">
      <c r="A1593" s="1" t="s">
        <v>3598</v>
      </c>
      <c r="B1593" s="1" t="s">
        <v>3663</v>
      </c>
      <c r="C1593" s="1" t="s">
        <v>3600</v>
      </c>
      <c r="D1593" s="1" t="s">
        <v>3601</v>
      </c>
      <c r="E1593" s="1" t="s">
        <v>3664</v>
      </c>
      <c r="F1593" s="1" t="s">
        <v>7606</v>
      </c>
      <c r="G1593" s="1" t="s">
        <v>6730</v>
      </c>
      <c r="H1593" s="1" t="s">
        <v>3604</v>
      </c>
      <c r="I1593" s="1" t="s">
        <v>7607</v>
      </c>
      <c r="J1593" s="1" t="s">
        <v>3615</v>
      </c>
      <c r="K1593" s="1"/>
      <c r="L1593" s="1"/>
      <c r="M1593" s="1"/>
    </row>
    <row x14ac:dyDescent="0.25" r="1594" customHeight="1" ht="18.75">
      <c r="A1594" s="1" t="s">
        <v>3598</v>
      </c>
      <c r="B1594" s="1" t="s">
        <v>3663</v>
      </c>
      <c r="C1594" s="1" t="s">
        <v>3600</v>
      </c>
      <c r="D1594" s="1" t="s">
        <v>3601</v>
      </c>
      <c r="E1594" s="1" t="s">
        <v>3664</v>
      </c>
      <c r="F1594" s="1" t="s">
        <v>7608</v>
      </c>
      <c r="G1594" s="1" t="s">
        <v>7537</v>
      </c>
      <c r="H1594" s="1" t="s">
        <v>3604</v>
      </c>
      <c r="I1594" s="1" t="s">
        <v>7609</v>
      </c>
      <c r="J1594" s="1" t="s">
        <v>3615</v>
      </c>
      <c r="K1594" s="1"/>
      <c r="L1594" s="1"/>
      <c r="M1594" s="1"/>
    </row>
    <row x14ac:dyDescent="0.25" r="1595" customHeight="1" ht="18.75">
      <c r="A1595" s="1" t="s">
        <v>3598</v>
      </c>
      <c r="B1595" s="1" t="s">
        <v>3663</v>
      </c>
      <c r="C1595" s="1" t="s">
        <v>3600</v>
      </c>
      <c r="D1595" s="1" t="s">
        <v>3601</v>
      </c>
      <c r="E1595" s="1" t="s">
        <v>3664</v>
      </c>
      <c r="F1595" s="1" t="s">
        <v>7610</v>
      </c>
      <c r="G1595" s="1" t="s">
        <v>6737</v>
      </c>
      <c r="H1595" s="1" t="s">
        <v>3604</v>
      </c>
      <c r="I1595" s="1" t="s">
        <v>7611</v>
      </c>
      <c r="J1595" s="1" t="s">
        <v>3615</v>
      </c>
      <c r="K1595" s="1"/>
      <c r="L1595" s="1"/>
      <c r="M1595" s="1"/>
    </row>
    <row x14ac:dyDescent="0.25" r="1596" customHeight="1" ht="18.75">
      <c r="A1596" s="1" t="s">
        <v>3598</v>
      </c>
      <c r="B1596" s="1" t="s">
        <v>3663</v>
      </c>
      <c r="C1596" s="1" t="s">
        <v>3600</v>
      </c>
      <c r="D1596" s="1" t="s">
        <v>3601</v>
      </c>
      <c r="E1596" s="1" t="s">
        <v>3664</v>
      </c>
      <c r="F1596" s="1" t="s">
        <v>7612</v>
      </c>
      <c r="G1596" s="1" t="s">
        <v>7008</v>
      </c>
      <c r="H1596" s="1" t="s">
        <v>3604</v>
      </c>
      <c r="I1596" s="1" t="s">
        <v>7613</v>
      </c>
      <c r="J1596" s="1" t="s">
        <v>3615</v>
      </c>
      <c r="K1596" s="1"/>
      <c r="L1596" s="1"/>
      <c r="M1596" s="1"/>
    </row>
    <row x14ac:dyDescent="0.25" r="1597" customHeight="1" ht="18.75">
      <c r="A1597" s="1" t="s">
        <v>3598</v>
      </c>
      <c r="B1597" s="1" t="s">
        <v>3663</v>
      </c>
      <c r="C1597" s="1" t="s">
        <v>3600</v>
      </c>
      <c r="D1597" s="1" t="s">
        <v>3601</v>
      </c>
      <c r="E1597" s="1" t="s">
        <v>3664</v>
      </c>
      <c r="F1597" s="1" t="s">
        <v>7614</v>
      </c>
      <c r="G1597" s="1" t="s">
        <v>6710</v>
      </c>
      <c r="H1597" s="1" t="s">
        <v>3604</v>
      </c>
      <c r="I1597" s="1" t="s">
        <v>7615</v>
      </c>
      <c r="J1597" s="1" t="s">
        <v>3615</v>
      </c>
      <c r="K1597" s="1"/>
      <c r="L1597" s="1"/>
      <c r="M1597" s="1"/>
    </row>
    <row x14ac:dyDescent="0.25" r="1598" customHeight="1" ht="18.75">
      <c r="A1598" s="1" t="s">
        <v>3598</v>
      </c>
      <c r="B1598" s="1" t="s">
        <v>3663</v>
      </c>
      <c r="C1598" s="1" t="s">
        <v>3600</v>
      </c>
      <c r="D1598" s="1" t="s">
        <v>3601</v>
      </c>
      <c r="E1598" s="1" t="s">
        <v>3664</v>
      </c>
      <c r="F1598" s="1" t="s">
        <v>7616</v>
      </c>
      <c r="G1598" s="1" t="s">
        <v>7227</v>
      </c>
      <c r="H1598" s="1" t="s">
        <v>3604</v>
      </c>
      <c r="I1598" s="1" t="s">
        <v>7617</v>
      </c>
      <c r="J1598" s="1" t="s">
        <v>3615</v>
      </c>
      <c r="K1598" s="1"/>
      <c r="L1598" s="1"/>
      <c r="M1598" s="1"/>
    </row>
    <row x14ac:dyDescent="0.25" r="1599" customHeight="1" ht="18.75">
      <c r="A1599" s="1" t="s">
        <v>3598</v>
      </c>
      <c r="B1599" s="1" t="s">
        <v>3663</v>
      </c>
      <c r="C1599" s="1" t="s">
        <v>3600</v>
      </c>
      <c r="D1599" s="1" t="s">
        <v>3601</v>
      </c>
      <c r="E1599" s="1" t="s">
        <v>3664</v>
      </c>
      <c r="F1599" s="1" t="s">
        <v>7618</v>
      </c>
      <c r="G1599" s="1" t="s">
        <v>7011</v>
      </c>
      <c r="H1599" s="1" t="s">
        <v>3604</v>
      </c>
      <c r="I1599" s="1" t="s">
        <v>7619</v>
      </c>
      <c r="J1599" s="1" t="s">
        <v>3615</v>
      </c>
      <c r="K1599" s="1"/>
      <c r="L1599" s="1"/>
      <c r="M1599" s="1"/>
    </row>
    <row x14ac:dyDescent="0.25" r="1600" customHeight="1" ht="18.75">
      <c r="A1600" s="1" t="s">
        <v>3598</v>
      </c>
      <c r="B1600" s="1" t="s">
        <v>6033</v>
      </c>
      <c r="C1600" s="1" t="s">
        <v>3600</v>
      </c>
      <c r="D1600" s="1" t="s">
        <v>3601</v>
      </c>
      <c r="E1600" s="1"/>
      <c r="F1600" s="1" t="s">
        <v>7620</v>
      </c>
      <c r="G1600" s="1" t="s">
        <v>6035</v>
      </c>
      <c r="H1600" s="1" t="s">
        <v>3604</v>
      </c>
      <c r="I1600" s="1" t="s">
        <v>7621</v>
      </c>
      <c r="J1600" s="1" t="s">
        <v>3606</v>
      </c>
      <c r="K1600" s="1"/>
      <c r="L1600" s="1"/>
      <c r="M1600" s="1"/>
    </row>
    <row x14ac:dyDescent="0.25" r="1601" customHeight="1" ht="18.75">
      <c r="A1601" s="1" t="s">
        <v>3598</v>
      </c>
      <c r="B1601" s="1" t="s">
        <v>6033</v>
      </c>
      <c r="C1601" s="1" t="s">
        <v>3600</v>
      </c>
      <c r="D1601" s="1" t="s">
        <v>3601</v>
      </c>
      <c r="E1601" s="1"/>
      <c r="F1601" s="1" t="s">
        <v>7622</v>
      </c>
      <c r="G1601" s="1" t="s">
        <v>6035</v>
      </c>
      <c r="H1601" s="1" t="s">
        <v>3604</v>
      </c>
      <c r="I1601" s="1" t="s">
        <v>7623</v>
      </c>
      <c r="J1601" s="1" t="s">
        <v>3606</v>
      </c>
      <c r="K1601" s="1"/>
      <c r="L1601" s="1"/>
      <c r="M1601" s="1"/>
    </row>
    <row x14ac:dyDescent="0.25" r="1602" customHeight="1" ht="18.75">
      <c r="A1602" s="1" t="s">
        <v>3598</v>
      </c>
      <c r="B1602" s="1" t="s">
        <v>7624</v>
      </c>
      <c r="C1602" s="1" t="s">
        <v>3600</v>
      </c>
      <c r="D1602" s="1" t="s">
        <v>3601</v>
      </c>
      <c r="E1602" s="1"/>
      <c r="F1602" s="1" t="s">
        <v>7625</v>
      </c>
      <c r="G1602" s="1" t="s">
        <v>7454</v>
      </c>
      <c r="H1602" s="1" t="s">
        <v>3604</v>
      </c>
      <c r="I1602" s="1" t="s">
        <v>7626</v>
      </c>
      <c r="J1602" s="1" t="s">
        <v>3606</v>
      </c>
      <c r="K1602" s="1"/>
      <c r="L1602" s="1"/>
      <c r="M1602" s="1"/>
    </row>
    <row x14ac:dyDescent="0.25" r="1603" customHeight="1" ht="18.75">
      <c r="A1603" s="1" t="s">
        <v>3598</v>
      </c>
      <c r="B1603" s="1" t="s">
        <v>7624</v>
      </c>
      <c r="C1603" s="1" t="s">
        <v>3600</v>
      </c>
      <c r="D1603" s="1" t="s">
        <v>3601</v>
      </c>
      <c r="E1603" s="1"/>
      <c r="F1603" s="1" t="s">
        <v>7627</v>
      </c>
      <c r="G1603" s="1" t="s">
        <v>7454</v>
      </c>
      <c r="H1603" s="1" t="s">
        <v>3604</v>
      </c>
      <c r="I1603" s="1" t="s">
        <v>7628</v>
      </c>
      <c r="J1603" s="1" t="s">
        <v>3606</v>
      </c>
      <c r="K1603" s="1"/>
      <c r="L1603" s="1"/>
      <c r="M1603" s="1"/>
    </row>
    <row x14ac:dyDescent="0.25" r="1604" customHeight="1" ht="18.75">
      <c r="A1604" s="1" t="s">
        <v>3598</v>
      </c>
      <c r="B1604" s="1" t="s">
        <v>7624</v>
      </c>
      <c r="C1604" s="1" t="s">
        <v>3600</v>
      </c>
      <c r="D1604" s="1" t="s">
        <v>3601</v>
      </c>
      <c r="E1604" s="1"/>
      <c r="F1604" s="1" t="s">
        <v>7629</v>
      </c>
      <c r="G1604" s="1" t="s">
        <v>7454</v>
      </c>
      <c r="H1604" s="1" t="s">
        <v>3604</v>
      </c>
      <c r="I1604" s="1" t="s">
        <v>7630</v>
      </c>
      <c r="J1604" s="1" t="s">
        <v>3606</v>
      </c>
      <c r="K1604" s="1"/>
      <c r="L1604" s="1"/>
      <c r="M1604" s="1"/>
    </row>
    <row x14ac:dyDescent="0.25" r="1605" customHeight="1" ht="18.75">
      <c r="A1605" s="1" t="s">
        <v>3598</v>
      </c>
      <c r="B1605" s="1" t="s">
        <v>7624</v>
      </c>
      <c r="C1605" s="1" t="s">
        <v>3600</v>
      </c>
      <c r="D1605" s="1" t="s">
        <v>3601</v>
      </c>
      <c r="E1605" s="1"/>
      <c r="F1605" s="1" t="s">
        <v>7631</v>
      </c>
      <c r="G1605" s="1" t="s">
        <v>7454</v>
      </c>
      <c r="H1605" s="1" t="s">
        <v>3604</v>
      </c>
      <c r="I1605" s="1" t="s">
        <v>7632</v>
      </c>
      <c r="J1605" s="1" t="s">
        <v>3606</v>
      </c>
      <c r="K1605" s="1"/>
      <c r="L1605" s="1"/>
      <c r="M1605" s="1"/>
    </row>
    <row x14ac:dyDescent="0.25" r="1606" customHeight="1" ht="18.75">
      <c r="A1606" s="1" t="s">
        <v>3598</v>
      </c>
      <c r="B1606" s="1" t="s">
        <v>7624</v>
      </c>
      <c r="C1606" s="1" t="s">
        <v>3600</v>
      </c>
      <c r="D1606" s="1" t="s">
        <v>3601</v>
      </c>
      <c r="E1606" s="1"/>
      <c r="F1606" s="1" t="s">
        <v>7633</v>
      </c>
      <c r="G1606" s="1" t="s">
        <v>7454</v>
      </c>
      <c r="H1606" s="1" t="s">
        <v>3604</v>
      </c>
      <c r="I1606" s="1" t="s">
        <v>7634</v>
      </c>
      <c r="J1606" s="1" t="s">
        <v>3606</v>
      </c>
      <c r="K1606" s="1"/>
      <c r="L1606" s="1"/>
      <c r="M1606" s="1"/>
    </row>
    <row x14ac:dyDescent="0.25" r="1607" customHeight="1" ht="18.75">
      <c r="A1607" s="1" t="s">
        <v>3598</v>
      </c>
      <c r="B1607" s="1" t="s">
        <v>7624</v>
      </c>
      <c r="C1607" s="1" t="s">
        <v>3600</v>
      </c>
      <c r="D1607" s="1" t="s">
        <v>3601</v>
      </c>
      <c r="E1607" s="1"/>
      <c r="F1607" s="1" t="s">
        <v>7635</v>
      </c>
      <c r="G1607" s="1" t="s">
        <v>7454</v>
      </c>
      <c r="H1607" s="1" t="s">
        <v>3604</v>
      </c>
      <c r="I1607" s="1" t="s">
        <v>7636</v>
      </c>
      <c r="J1607" s="1" t="s">
        <v>3606</v>
      </c>
      <c r="K1607" s="1"/>
      <c r="L1607" s="1"/>
      <c r="M1607" s="1"/>
    </row>
    <row x14ac:dyDescent="0.25" r="1608" customHeight="1" ht="18.75">
      <c r="A1608" s="1" t="s">
        <v>3598</v>
      </c>
      <c r="B1608" s="1" t="s">
        <v>6037</v>
      </c>
      <c r="C1608" s="1" t="s">
        <v>3600</v>
      </c>
      <c r="D1608" s="1" t="s">
        <v>3601</v>
      </c>
      <c r="E1608" s="1"/>
      <c r="F1608" s="1" t="s">
        <v>7637</v>
      </c>
      <c r="G1608" s="1" t="s">
        <v>7454</v>
      </c>
      <c r="H1608" s="1" t="s">
        <v>3604</v>
      </c>
      <c r="I1608" s="1" t="s">
        <v>7638</v>
      </c>
      <c r="J1608" s="1" t="s">
        <v>3606</v>
      </c>
      <c r="K1608" s="1"/>
      <c r="L1608" s="1"/>
      <c r="M1608" s="1"/>
    </row>
    <row x14ac:dyDescent="0.25" r="1609" customHeight="1" ht="18.75">
      <c r="A1609" s="1" t="s">
        <v>3617</v>
      </c>
      <c r="B1609" s="1" t="s">
        <v>7322</v>
      </c>
      <c r="C1609" s="1" t="s">
        <v>3619</v>
      </c>
      <c r="D1609" s="1" t="s">
        <v>3601</v>
      </c>
      <c r="E1609" s="1" t="s">
        <v>3730</v>
      </c>
      <c r="F1609" s="1" t="s">
        <v>7639</v>
      </c>
      <c r="G1609" s="1" t="s">
        <v>7327</v>
      </c>
      <c r="H1609" s="1" t="s">
        <v>3604</v>
      </c>
      <c r="I1609" s="1" t="s">
        <v>7640</v>
      </c>
      <c r="J1609" s="1" t="s">
        <v>3606</v>
      </c>
      <c r="K1609" s="1"/>
      <c r="L1609" s="1"/>
      <c r="M1609" s="1"/>
    </row>
    <row x14ac:dyDescent="0.25" r="1610" customHeight="1" ht="18.75">
      <c r="A1610" s="1" t="s">
        <v>3598</v>
      </c>
      <c r="B1610" s="1" t="s">
        <v>6037</v>
      </c>
      <c r="C1610" s="1" t="s">
        <v>3600</v>
      </c>
      <c r="D1610" s="1" t="s">
        <v>3601</v>
      </c>
      <c r="E1610" s="1"/>
      <c r="F1610" s="1" t="s">
        <v>7641</v>
      </c>
      <c r="G1610" s="1" t="s">
        <v>7454</v>
      </c>
      <c r="H1610" s="1" t="s">
        <v>3604</v>
      </c>
      <c r="I1610" s="1" t="s">
        <v>7642</v>
      </c>
      <c r="J1610" s="1" t="s">
        <v>3606</v>
      </c>
      <c r="K1610" s="1"/>
      <c r="L1610" s="1"/>
      <c r="M1610" s="1"/>
    </row>
    <row x14ac:dyDescent="0.25" r="1611" customHeight="1" ht="18.75">
      <c r="A1611" s="1" t="s">
        <v>3598</v>
      </c>
      <c r="B1611" s="1" t="s">
        <v>7643</v>
      </c>
      <c r="C1611" s="1" t="s">
        <v>3600</v>
      </c>
      <c r="D1611" s="1" t="s">
        <v>3601</v>
      </c>
      <c r="E1611" s="1"/>
      <c r="F1611" s="1" t="s">
        <v>7644</v>
      </c>
      <c r="G1611" s="1" t="s">
        <v>7454</v>
      </c>
      <c r="H1611" s="1" t="s">
        <v>3604</v>
      </c>
      <c r="I1611" s="1" t="s">
        <v>7645</v>
      </c>
      <c r="J1611" s="1" t="s">
        <v>3606</v>
      </c>
      <c r="K1611" s="1"/>
      <c r="L1611" s="1"/>
      <c r="M1611" s="1"/>
    </row>
    <row x14ac:dyDescent="0.25" r="1612" customHeight="1" ht="18.75">
      <c r="A1612" s="1" t="s">
        <v>3598</v>
      </c>
      <c r="B1612" s="1" t="s">
        <v>7643</v>
      </c>
      <c r="C1612" s="1" t="s">
        <v>3600</v>
      </c>
      <c r="D1612" s="1" t="s">
        <v>3601</v>
      </c>
      <c r="E1612" s="1"/>
      <c r="F1612" s="1" t="s">
        <v>7646</v>
      </c>
      <c r="G1612" s="1" t="s">
        <v>7454</v>
      </c>
      <c r="H1612" s="1" t="s">
        <v>3604</v>
      </c>
      <c r="I1612" s="1" t="s">
        <v>7647</v>
      </c>
      <c r="J1612" s="1" t="s">
        <v>3606</v>
      </c>
      <c r="K1612" s="1"/>
      <c r="L1612" s="1"/>
      <c r="M1612" s="1"/>
    </row>
    <row x14ac:dyDescent="0.25" r="1613" customHeight="1" ht="18.75">
      <c r="A1613" s="1" t="s">
        <v>3598</v>
      </c>
      <c r="B1613" s="1" t="s">
        <v>6434</v>
      </c>
      <c r="C1613" s="1" t="s">
        <v>3600</v>
      </c>
      <c r="D1613" s="1" t="s">
        <v>3601</v>
      </c>
      <c r="E1613" s="1"/>
      <c r="F1613" s="1" t="s">
        <v>7648</v>
      </c>
      <c r="G1613" s="1" t="s">
        <v>6436</v>
      </c>
      <c r="H1613" s="1" t="s">
        <v>3604</v>
      </c>
      <c r="I1613" s="1" t="s">
        <v>7649</v>
      </c>
      <c r="J1613" s="1" t="s">
        <v>3606</v>
      </c>
      <c r="K1613" s="1"/>
      <c r="L1613" s="1"/>
      <c r="M1613" s="1"/>
    </row>
    <row x14ac:dyDescent="0.25" r="1614" customHeight="1" ht="18.75">
      <c r="A1614" s="1" t="s">
        <v>3598</v>
      </c>
      <c r="B1614" s="1" t="s">
        <v>7460</v>
      </c>
      <c r="C1614" s="1" t="s">
        <v>3600</v>
      </c>
      <c r="D1614" s="1" t="s">
        <v>3601</v>
      </c>
      <c r="E1614" s="1"/>
      <c r="F1614" s="1" t="s">
        <v>7650</v>
      </c>
      <c r="G1614" s="1" t="s">
        <v>7462</v>
      </c>
      <c r="H1614" s="1" t="s">
        <v>3604</v>
      </c>
      <c r="I1614" s="1" t="s">
        <v>7651</v>
      </c>
      <c r="J1614" s="1" t="s">
        <v>3606</v>
      </c>
      <c r="K1614" s="1"/>
      <c r="L1614" s="1"/>
      <c r="M1614" s="1"/>
    </row>
    <row x14ac:dyDescent="0.25" r="1615" customHeight="1" ht="18.75">
      <c r="A1615" s="1" t="s">
        <v>3598</v>
      </c>
      <c r="B1615" s="1" t="s">
        <v>7460</v>
      </c>
      <c r="C1615" s="1" t="s">
        <v>3600</v>
      </c>
      <c r="D1615" s="1" t="s">
        <v>3601</v>
      </c>
      <c r="E1615" s="1"/>
      <c r="F1615" s="1" t="s">
        <v>7652</v>
      </c>
      <c r="G1615" s="1" t="s">
        <v>7462</v>
      </c>
      <c r="H1615" s="1" t="s">
        <v>3604</v>
      </c>
      <c r="I1615" s="1" t="s">
        <v>7653</v>
      </c>
      <c r="J1615" s="1" t="s">
        <v>3606</v>
      </c>
      <c r="K1615" s="1"/>
      <c r="L1615" s="1"/>
      <c r="M1615" s="1"/>
    </row>
    <row x14ac:dyDescent="0.25" r="1616" customHeight="1" ht="18.75">
      <c r="A1616" s="1" t="s">
        <v>3617</v>
      </c>
      <c r="B1616" s="1" t="s">
        <v>7654</v>
      </c>
      <c r="C1616" s="1" t="s">
        <v>3619</v>
      </c>
      <c r="D1616" s="1" t="s">
        <v>3601</v>
      </c>
      <c r="E1616" s="1"/>
      <c r="F1616" s="1" t="s">
        <v>7655</v>
      </c>
      <c r="G1616" s="1" t="s">
        <v>7656</v>
      </c>
      <c r="H1616" s="1" t="s">
        <v>3604</v>
      </c>
      <c r="I1616" s="1" t="s">
        <v>7657</v>
      </c>
      <c r="J1616" s="1" t="s">
        <v>3606</v>
      </c>
      <c r="K1616" s="1"/>
      <c r="L1616" s="1"/>
      <c r="M1616" s="1"/>
    </row>
    <row x14ac:dyDescent="0.25" r="1617" customHeight="1" ht="18.75">
      <c r="A1617" s="1" t="s">
        <v>3598</v>
      </c>
      <c r="B1617" s="1" t="s">
        <v>7460</v>
      </c>
      <c r="C1617" s="1" t="s">
        <v>3600</v>
      </c>
      <c r="D1617" s="1" t="s">
        <v>3601</v>
      </c>
      <c r="E1617" s="1"/>
      <c r="F1617" s="1" t="s">
        <v>7658</v>
      </c>
      <c r="G1617" s="1" t="s">
        <v>7462</v>
      </c>
      <c r="H1617" s="1" t="s">
        <v>3604</v>
      </c>
      <c r="I1617" s="1" t="s">
        <v>7659</v>
      </c>
      <c r="J1617" s="1" t="s">
        <v>3606</v>
      </c>
      <c r="K1617" s="1"/>
      <c r="L1617" s="1"/>
      <c r="M1617" s="1"/>
    </row>
    <row x14ac:dyDescent="0.25" r="1618" customHeight="1" ht="18.75">
      <c r="A1618" s="1" t="s">
        <v>3617</v>
      </c>
      <c r="B1618" s="1" t="s">
        <v>7660</v>
      </c>
      <c r="C1618" s="1" t="s">
        <v>3619</v>
      </c>
      <c r="D1618" s="1" t="s">
        <v>3601</v>
      </c>
      <c r="E1618" s="1"/>
      <c r="F1618" s="1" t="s">
        <v>7655</v>
      </c>
      <c r="G1618" s="1" t="s">
        <v>7661</v>
      </c>
      <c r="H1618" s="1" t="s">
        <v>3604</v>
      </c>
      <c r="I1618" s="1" t="s">
        <v>7662</v>
      </c>
      <c r="J1618" s="1" t="s">
        <v>3606</v>
      </c>
      <c r="K1618" s="1"/>
      <c r="L1618" s="1"/>
      <c r="M1618" s="1"/>
    </row>
    <row x14ac:dyDescent="0.25" r="1619" customHeight="1" ht="18.75">
      <c r="A1619" s="1" t="s">
        <v>3598</v>
      </c>
      <c r="B1619" s="1" t="s">
        <v>7460</v>
      </c>
      <c r="C1619" s="1" t="s">
        <v>3600</v>
      </c>
      <c r="D1619" s="1" t="s">
        <v>3601</v>
      </c>
      <c r="E1619" s="1"/>
      <c r="F1619" s="1" t="s">
        <v>7663</v>
      </c>
      <c r="G1619" s="1" t="s">
        <v>7462</v>
      </c>
      <c r="H1619" s="1" t="s">
        <v>3604</v>
      </c>
      <c r="I1619" s="1" t="s">
        <v>7664</v>
      </c>
      <c r="J1619" s="1" t="s">
        <v>3606</v>
      </c>
      <c r="K1619" s="1"/>
      <c r="L1619" s="1"/>
      <c r="M1619" s="1"/>
    </row>
    <row x14ac:dyDescent="0.25" r="1620" customHeight="1" ht="18.75">
      <c r="A1620" s="1" t="s">
        <v>3598</v>
      </c>
      <c r="B1620" s="1" t="s">
        <v>7460</v>
      </c>
      <c r="C1620" s="1" t="s">
        <v>3600</v>
      </c>
      <c r="D1620" s="1" t="s">
        <v>3601</v>
      </c>
      <c r="E1620" s="1"/>
      <c r="F1620" s="1" t="s">
        <v>7665</v>
      </c>
      <c r="G1620" s="1" t="s">
        <v>7462</v>
      </c>
      <c r="H1620" s="1" t="s">
        <v>3604</v>
      </c>
      <c r="I1620" s="1" t="s">
        <v>7666</v>
      </c>
      <c r="J1620" s="1" t="s">
        <v>3606</v>
      </c>
      <c r="K1620" s="1"/>
      <c r="L1620" s="1"/>
      <c r="M1620" s="1"/>
    </row>
    <row x14ac:dyDescent="0.25" r="1621" customHeight="1" ht="18.75">
      <c r="A1621" s="1" t="s">
        <v>3693</v>
      </c>
      <c r="B1621" s="1" t="s">
        <v>7667</v>
      </c>
      <c r="C1621" s="1" t="s">
        <v>3600</v>
      </c>
      <c r="D1621" s="1" t="s">
        <v>3601</v>
      </c>
      <c r="E1621" s="1"/>
      <c r="F1621" s="1" t="s">
        <v>7668</v>
      </c>
      <c r="G1621" s="1" t="s">
        <v>7669</v>
      </c>
      <c r="H1621" s="1" t="s">
        <v>3604</v>
      </c>
      <c r="I1621" s="1" t="s">
        <v>7670</v>
      </c>
      <c r="J1621" s="1" t="s">
        <v>3606</v>
      </c>
      <c r="K1621" s="1"/>
      <c r="L1621" s="1"/>
      <c r="M1621" s="1"/>
    </row>
    <row x14ac:dyDescent="0.25" r="1622" customHeight="1" ht="18.75">
      <c r="A1622" s="1" t="s">
        <v>3617</v>
      </c>
      <c r="B1622" s="1" t="s">
        <v>7671</v>
      </c>
      <c r="C1622" s="1" t="s">
        <v>3619</v>
      </c>
      <c r="D1622" s="1" t="s">
        <v>3601</v>
      </c>
      <c r="E1622" s="1"/>
      <c r="F1622" s="1" t="s">
        <v>7672</v>
      </c>
      <c r="G1622" s="1" t="s">
        <v>7673</v>
      </c>
      <c r="H1622" s="1" t="s">
        <v>3604</v>
      </c>
      <c r="I1622" s="1" t="s">
        <v>7674</v>
      </c>
      <c r="J1622" s="1" t="s">
        <v>3606</v>
      </c>
      <c r="K1622" s="1"/>
      <c r="L1622" s="1"/>
      <c r="M1622" s="1"/>
    </row>
    <row x14ac:dyDescent="0.25" r="1623" customHeight="1" ht="18.75">
      <c r="A1623" s="1" t="s">
        <v>3617</v>
      </c>
      <c r="B1623" s="1" t="s">
        <v>7671</v>
      </c>
      <c r="C1623" s="1" t="s">
        <v>3619</v>
      </c>
      <c r="D1623" s="1" t="s">
        <v>3601</v>
      </c>
      <c r="E1623" s="1"/>
      <c r="F1623" s="1" t="s">
        <v>7675</v>
      </c>
      <c r="G1623" s="1" t="s">
        <v>7676</v>
      </c>
      <c r="H1623" s="1" t="s">
        <v>3604</v>
      </c>
      <c r="I1623" s="1" t="s">
        <v>7677</v>
      </c>
      <c r="J1623" s="1" t="s">
        <v>3606</v>
      </c>
      <c r="K1623" s="1"/>
      <c r="L1623" s="1"/>
      <c r="M1623" s="1"/>
    </row>
    <row x14ac:dyDescent="0.25" r="1624" customHeight="1" ht="18.75">
      <c r="A1624" s="1" t="s">
        <v>3617</v>
      </c>
      <c r="B1624" s="1" t="s">
        <v>7671</v>
      </c>
      <c r="C1624" s="1" t="s">
        <v>3619</v>
      </c>
      <c r="D1624" s="1" t="s">
        <v>3601</v>
      </c>
      <c r="E1624" s="1"/>
      <c r="F1624" s="1" t="s">
        <v>7678</v>
      </c>
      <c r="G1624" s="1" t="s">
        <v>7679</v>
      </c>
      <c r="H1624" s="1" t="s">
        <v>3604</v>
      </c>
      <c r="I1624" s="1" t="s">
        <v>7680</v>
      </c>
      <c r="J1624" s="1" t="s">
        <v>3606</v>
      </c>
      <c r="K1624" s="1"/>
      <c r="L1624" s="1"/>
      <c r="M1624" s="1"/>
    </row>
    <row x14ac:dyDescent="0.25" r="1625" customHeight="1" ht="18.75">
      <c r="A1625" s="1" t="s">
        <v>3617</v>
      </c>
      <c r="B1625" s="1" t="s">
        <v>7671</v>
      </c>
      <c r="C1625" s="1" t="s">
        <v>3619</v>
      </c>
      <c r="D1625" s="1" t="s">
        <v>3601</v>
      </c>
      <c r="E1625" s="1"/>
      <c r="F1625" s="1" t="s">
        <v>7681</v>
      </c>
      <c r="G1625" s="1" t="s">
        <v>7682</v>
      </c>
      <c r="H1625" s="1" t="s">
        <v>3604</v>
      </c>
      <c r="I1625" s="1" t="s">
        <v>7683</v>
      </c>
      <c r="J1625" s="1" t="s">
        <v>3606</v>
      </c>
      <c r="K1625" s="1"/>
      <c r="L1625" s="1"/>
      <c r="M1625" s="1"/>
    </row>
    <row x14ac:dyDescent="0.25" r="1626" customHeight="1" ht="18.75">
      <c r="A1626" s="1" t="s">
        <v>3693</v>
      </c>
      <c r="B1626" s="1" t="s">
        <v>7026</v>
      </c>
      <c r="C1626" s="1" t="s">
        <v>3600</v>
      </c>
      <c r="D1626" s="1" t="s">
        <v>3601</v>
      </c>
      <c r="E1626" s="1" t="s">
        <v>3664</v>
      </c>
      <c r="F1626" s="1" t="s">
        <v>7684</v>
      </c>
      <c r="G1626" s="1" t="s">
        <v>7065</v>
      </c>
      <c r="H1626" s="1" t="s">
        <v>3604</v>
      </c>
      <c r="I1626" s="1" t="s">
        <v>7685</v>
      </c>
      <c r="J1626" s="1" t="s">
        <v>3615</v>
      </c>
      <c r="K1626" s="1"/>
      <c r="L1626" s="1"/>
      <c r="M1626" s="1"/>
    </row>
    <row x14ac:dyDescent="0.25" r="1627" customHeight="1" ht="18.75">
      <c r="A1627" s="1" t="s">
        <v>3598</v>
      </c>
      <c r="B1627" s="1" t="s">
        <v>7686</v>
      </c>
      <c r="C1627" s="1" t="s">
        <v>3600</v>
      </c>
      <c r="D1627" s="1" t="s">
        <v>3601</v>
      </c>
      <c r="E1627" s="1"/>
      <c r="F1627" s="1" t="s">
        <v>7687</v>
      </c>
      <c r="G1627" s="1" t="s">
        <v>7688</v>
      </c>
      <c r="H1627" s="1" t="s">
        <v>3604</v>
      </c>
      <c r="I1627" s="1" t="s">
        <v>7689</v>
      </c>
      <c r="J1627" s="1" t="s">
        <v>3606</v>
      </c>
      <c r="K1627" s="1"/>
      <c r="L1627" s="1"/>
      <c r="M1627" s="1"/>
    </row>
    <row x14ac:dyDescent="0.25" r="1628" customHeight="1" ht="18.75">
      <c r="A1628" s="1" t="s">
        <v>3598</v>
      </c>
      <c r="B1628" s="1" t="s">
        <v>7686</v>
      </c>
      <c r="C1628" s="1" t="s">
        <v>3600</v>
      </c>
      <c r="D1628" s="1" t="s">
        <v>3601</v>
      </c>
      <c r="E1628" s="1"/>
      <c r="F1628" s="1" t="s">
        <v>7690</v>
      </c>
      <c r="G1628" s="1" t="s">
        <v>7688</v>
      </c>
      <c r="H1628" s="1" t="s">
        <v>3604</v>
      </c>
      <c r="I1628" s="1" t="s">
        <v>7691</v>
      </c>
      <c r="J1628" s="1" t="s">
        <v>3606</v>
      </c>
      <c r="K1628" s="1"/>
      <c r="L1628" s="1"/>
      <c r="M1628" s="1"/>
    </row>
    <row x14ac:dyDescent="0.25" r="1629" customHeight="1" ht="18.75">
      <c r="A1629" s="1" t="s">
        <v>3598</v>
      </c>
      <c r="B1629" s="1" t="s">
        <v>7686</v>
      </c>
      <c r="C1629" s="1" t="s">
        <v>3600</v>
      </c>
      <c r="D1629" s="1" t="s">
        <v>3601</v>
      </c>
      <c r="E1629" s="1"/>
      <c r="F1629" s="1" t="s">
        <v>7692</v>
      </c>
      <c r="G1629" s="1" t="s">
        <v>7688</v>
      </c>
      <c r="H1629" s="1" t="s">
        <v>3604</v>
      </c>
      <c r="I1629" s="1" t="s">
        <v>7693</v>
      </c>
      <c r="J1629" s="1" t="s">
        <v>3606</v>
      </c>
      <c r="K1629" s="1"/>
      <c r="L1629" s="1"/>
      <c r="M1629" s="1"/>
    </row>
    <row x14ac:dyDescent="0.25" r="1630" customHeight="1" ht="18.75">
      <c r="A1630" s="1" t="s">
        <v>3693</v>
      </c>
      <c r="B1630" s="1" t="s">
        <v>7026</v>
      </c>
      <c r="C1630" s="1" t="s">
        <v>3600</v>
      </c>
      <c r="D1630" s="1" t="s">
        <v>3601</v>
      </c>
      <c r="E1630" s="1" t="s">
        <v>3664</v>
      </c>
      <c r="F1630" s="1" t="s">
        <v>7694</v>
      </c>
      <c r="G1630" s="1" t="s">
        <v>7065</v>
      </c>
      <c r="H1630" s="1" t="s">
        <v>3604</v>
      </c>
      <c r="I1630" s="1" t="s">
        <v>7695</v>
      </c>
      <c r="J1630" s="1" t="s">
        <v>3606</v>
      </c>
      <c r="K1630" s="1"/>
      <c r="L1630" s="1"/>
      <c r="M1630" s="1"/>
    </row>
    <row x14ac:dyDescent="0.25" r="1631" customHeight="1" ht="18.75">
      <c r="A1631" s="1" t="s">
        <v>3693</v>
      </c>
      <c r="B1631" s="1" t="s">
        <v>7026</v>
      </c>
      <c r="C1631" s="1" t="s">
        <v>3600</v>
      </c>
      <c r="D1631" s="1" t="s">
        <v>3601</v>
      </c>
      <c r="E1631" s="1" t="s">
        <v>3664</v>
      </c>
      <c r="F1631" s="1" t="s">
        <v>7696</v>
      </c>
      <c r="G1631" s="1" t="s">
        <v>7070</v>
      </c>
      <c r="H1631" s="1" t="s">
        <v>3604</v>
      </c>
      <c r="I1631" s="1" t="s">
        <v>7697</v>
      </c>
      <c r="J1631" s="1" t="s">
        <v>3606</v>
      </c>
      <c r="K1631" s="1"/>
      <c r="L1631" s="1"/>
      <c r="M1631" s="1"/>
    </row>
    <row x14ac:dyDescent="0.25" r="1632" customHeight="1" ht="18.75">
      <c r="A1632" s="1" t="s">
        <v>3693</v>
      </c>
      <c r="B1632" s="1" t="s">
        <v>7026</v>
      </c>
      <c r="C1632" s="1" t="s">
        <v>3600</v>
      </c>
      <c r="D1632" s="1" t="s">
        <v>3601</v>
      </c>
      <c r="E1632" s="1" t="s">
        <v>3664</v>
      </c>
      <c r="F1632" s="1" t="s">
        <v>7696</v>
      </c>
      <c r="G1632" s="1" t="s">
        <v>7070</v>
      </c>
      <c r="H1632" s="1" t="s">
        <v>3604</v>
      </c>
      <c r="I1632" s="1" t="s">
        <v>7698</v>
      </c>
      <c r="J1632" s="1" t="s">
        <v>3606</v>
      </c>
      <c r="K1632" s="1"/>
      <c r="L1632" s="1"/>
      <c r="M1632" s="1"/>
    </row>
    <row x14ac:dyDescent="0.25" r="1633" customHeight="1" ht="18.75">
      <c r="A1633" s="1" t="s">
        <v>3693</v>
      </c>
      <c r="B1633" s="1" t="s">
        <v>7030</v>
      </c>
      <c r="C1633" s="1" t="s">
        <v>3600</v>
      </c>
      <c r="D1633" s="1" t="s">
        <v>3601</v>
      </c>
      <c r="E1633" s="1" t="s">
        <v>3664</v>
      </c>
      <c r="F1633" s="1" t="s">
        <v>7699</v>
      </c>
      <c r="G1633" s="1" t="s">
        <v>7035</v>
      </c>
      <c r="H1633" s="1" t="s">
        <v>3604</v>
      </c>
      <c r="I1633" s="1" t="s">
        <v>7700</v>
      </c>
      <c r="J1633" s="1" t="s">
        <v>3606</v>
      </c>
      <c r="K1633" s="1"/>
      <c r="L1633" s="1"/>
      <c r="M1633" s="1"/>
    </row>
    <row x14ac:dyDescent="0.25" r="1634" customHeight="1" ht="18.75">
      <c r="A1634" s="1" t="s">
        <v>3693</v>
      </c>
      <c r="B1634" s="1" t="s">
        <v>7030</v>
      </c>
      <c r="C1634" s="1" t="s">
        <v>3600</v>
      </c>
      <c r="D1634" s="1" t="s">
        <v>3601</v>
      </c>
      <c r="E1634" s="1" t="s">
        <v>3664</v>
      </c>
      <c r="F1634" s="1" t="s">
        <v>7701</v>
      </c>
      <c r="G1634" s="1" t="s">
        <v>7032</v>
      </c>
      <c r="H1634" s="1" t="s">
        <v>3604</v>
      </c>
      <c r="I1634" s="1" t="s">
        <v>7702</v>
      </c>
      <c r="J1634" s="1" t="s">
        <v>3606</v>
      </c>
      <c r="K1634" s="1"/>
      <c r="L1634" s="1"/>
      <c r="M1634" s="1"/>
    </row>
    <row x14ac:dyDescent="0.25" r="1635" customHeight="1" ht="18.75">
      <c r="A1635" s="1" t="s">
        <v>3693</v>
      </c>
      <c r="B1635" s="1" t="s">
        <v>7098</v>
      </c>
      <c r="C1635" s="1" t="s">
        <v>3600</v>
      </c>
      <c r="D1635" s="1" t="s">
        <v>3601</v>
      </c>
      <c r="E1635" s="1" t="s">
        <v>3664</v>
      </c>
      <c r="F1635" s="1" t="s">
        <v>7703</v>
      </c>
      <c r="G1635" s="1" t="s">
        <v>7704</v>
      </c>
      <c r="H1635" s="1" t="s">
        <v>3604</v>
      </c>
      <c r="I1635" s="1" t="s">
        <v>7705</v>
      </c>
      <c r="J1635" s="1" t="s">
        <v>3606</v>
      </c>
      <c r="K1635" s="1"/>
      <c r="L1635" s="1"/>
      <c r="M1635" s="1"/>
    </row>
    <row x14ac:dyDescent="0.25" r="1636" customHeight="1" ht="18.75">
      <c r="A1636" s="1" t="s">
        <v>3598</v>
      </c>
      <c r="B1636" s="1" t="s">
        <v>3663</v>
      </c>
      <c r="C1636" s="1" t="s">
        <v>3600</v>
      </c>
      <c r="D1636" s="1" t="s">
        <v>3601</v>
      </c>
      <c r="E1636" s="1" t="s">
        <v>3664</v>
      </c>
      <c r="F1636" s="1" t="s">
        <v>7706</v>
      </c>
      <c r="G1636" s="1" t="s">
        <v>6719</v>
      </c>
      <c r="H1636" s="1" t="s">
        <v>3604</v>
      </c>
      <c r="I1636" s="1" t="s">
        <v>7707</v>
      </c>
      <c r="J1636" s="1" t="s">
        <v>3615</v>
      </c>
      <c r="K1636" s="1"/>
      <c r="L1636" s="1"/>
      <c r="M1636" s="1"/>
    </row>
    <row x14ac:dyDescent="0.25" r="1637" customHeight="1" ht="18.75">
      <c r="A1637" s="1" t="s">
        <v>3598</v>
      </c>
      <c r="B1637" s="1" t="s">
        <v>3663</v>
      </c>
      <c r="C1637" s="1" t="s">
        <v>3600</v>
      </c>
      <c r="D1637" s="1" t="s">
        <v>3601</v>
      </c>
      <c r="E1637" s="1" t="s">
        <v>3664</v>
      </c>
      <c r="F1637" s="1" t="s">
        <v>7708</v>
      </c>
      <c r="G1637" s="1" t="s">
        <v>6726</v>
      </c>
      <c r="H1637" s="1" t="s">
        <v>3604</v>
      </c>
      <c r="I1637" s="1" t="s">
        <v>7709</v>
      </c>
      <c r="J1637" s="1" t="s">
        <v>3615</v>
      </c>
      <c r="K1637" s="1"/>
      <c r="L1637" s="1"/>
      <c r="M1637" s="1"/>
    </row>
    <row x14ac:dyDescent="0.25" r="1638" customHeight="1" ht="18.75">
      <c r="A1638" s="1" t="s">
        <v>3598</v>
      </c>
      <c r="B1638" s="1" t="s">
        <v>3663</v>
      </c>
      <c r="C1638" s="1" t="s">
        <v>3600</v>
      </c>
      <c r="D1638" s="1" t="s">
        <v>3601</v>
      </c>
      <c r="E1638" s="1" t="s">
        <v>3664</v>
      </c>
      <c r="F1638" s="1" t="s">
        <v>7710</v>
      </c>
      <c r="G1638" s="1" t="s">
        <v>6740</v>
      </c>
      <c r="H1638" s="1" t="s">
        <v>3604</v>
      </c>
      <c r="I1638" s="1" t="s">
        <v>7711</v>
      </c>
      <c r="J1638" s="1" t="s">
        <v>3615</v>
      </c>
      <c r="K1638" s="1"/>
      <c r="L1638" s="1"/>
      <c r="M1638" s="1"/>
    </row>
    <row x14ac:dyDescent="0.25" r="1639" customHeight="1" ht="18.75">
      <c r="A1639" s="1" t="s">
        <v>3598</v>
      </c>
      <c r="B1639" s="1" t="s">
        <v>3663</v>
      </c>
      <c r="C1639" s="1" t="s">
        <v>3600</v>
      </c>
      <c r="D1639" s="1" t="s">
        <v>3601</v>
      </c>
      <c r="E1639" s="1" t="s">
        <v>3664</v>
      </c>
      <c r="F1639" s="1" t="s">
        <v>7712</v>
      </c>
      <c r="G1639" s="1" t="s">
        <v>6730</v>
      </c>
      <c r="H1639" s="1" t="s">
        <v>3604</v>
      </c>
      <c r="I1639" s="1" t="s">
        <v>7713</v>
      </c>
      <c r="J1639" s="1" t="s">
        <v>3615</v>
      </c>
      <c r="K1639" s="1"/>
      <c r="L1639" s="1"/>
      <c r="M1639" s="1"/>
    </row>
    <row x14ac:dyDescent="0.25" r="1640" customHeight="1" ht="18.75">
      <c r="A1640" s="1" t="s">
        <v>3598</v>
      </c>
      <c r="B1640" s="1" t="s">
        <v>3663</v>
      </c>
      <c r="C1640" s="1" t="s">
        <v>3600</v>
      </c>
      <c r="D1640" s="1" t="s">
        <v>3601</v>
      </c>
      <c r="E1640" s="1" t="s">
        <v>3664</v>
      </c>
      <c r="F1640" s="1" t="s">
        <v>7714</v>
      </c>
      <c r="G1640" s="1" t="s">
        <v>7003</v>
      </c>
      <c r="H1640" s="1" t="s">
        <v>3604</v>
      </c>
      <c r="I1640" s="1" t="s">
        <v>7715</v>
      </c>
      <c r="J1640" s="1" t="s">
        <v>3615</v>
      </c>
      <c r="K1640" s="1"/>
      <c r="L1640" s="1"/>
      <c r="M1640" s="1"/>
    </row>
    <row x14ac:dyDescent="0.25" r="1641" customHeight="1" ht="18.75">
      <c r="A1641" s="1" t="s">
        <v>3598</v>
      </c>
      <c r="B1641" s="1" t="s">
        <v>3663</v>
      </c>
      <c r="C1641" s="1" t="s">
        <v>3600</v>
      </c>
      <c r="D1641" s="1" t="s">
        <v>3601</v>
      </c>
      <c r="E1641" s="1" t="s">
        <v>3664</v>
      </c>
      <c r="F1641" s="1" t="s">
        <v>7716</v>
      </c>
      <c r="G1641" s="1" t="s">
        <v>7008</v>
      </c>
      <c r="H1641" s="1" t="s">
        <v>3604</v>
      </c>
      <c r="I1641" s="1" t="s">
        <v>7717</v>
      </c>
      <c r="J1641" s="1" t="s">
        <v>3615</v>
      </c>
      <c r="K1641" s="1"/>
      <c r="L1641" s="1"/>
      <c r="M1641" s="1"/>
    </row>
    <row x14ac:dyDescent="0.25" r="1642" customHeight="1" ht="18.75">
      <c r="A1642" s="1" t="s">
        <v>3598</v>
      </c>
      <c r="B1642" s="1" t="s">
        <v>3663</v>
      </c>
      <c r="C1642" s="1" t="s">
        <v>3600</v>
      </c>
      <c r="D1642" s="1" t="s">
        <v>3601</v>
      </c>
      <c r="E1642" s="1" t="s">
        <v>3664</v>
      </c>
      <c r="F1642" s="1" t="s">
        <v>7718</v>
      </c>
      <c r="G1642" s="1" t="s">
        <v>6737</v>
      </c>
      <c r="H1642" s="1" t="s">
        <v>3604</v>
      </c>
      <c r="I1642" s="1" t="s">
        <v>7719</v>
      </c>
      <c r="J1642" s="1" t="s">
        <v>3615</v>
      </c>
      <c r="K1642" s="1"/>
      <c r="L1642" s="1"/>
      <c r="M1642" s="1"/>
    </row>
    <row x14ac:dyDescent="0.25" r="1643" customHeight="1" ht="18.75">
      <c r="A1643" s="1" t="s">
        <v>3598</v>
      </c>
      <c r="B1643" s="1" t="s">
        <v>7720</v>
      </c>
      <c r="C1643" s="1" t="s">
        <v>3600</v>
      </c>
      <c r="D1643" s="1" t="s">
        <v>3601</v>
      </c>
      <c r="E1643" s="1"/>
      <c r="F1643" s="1" t="s">
        <v>7721</v>
      </c>
      <c r="G1643" s="1" t="s">
        <v>7722</v>
      </c>
      <c r="H1643" s="1" t="s">
        <v>3604</v>
      </c>
      <c r="I1643" s="1" t="s">
        <v>7723</v>
      </c>
      <c r="J1643" s="1" t="s">
        <v>3606</v>
      </c>
      <c r="K1643" s="1"/>
      <c r="L1643" s="1"/>
      <c r="M1643" s="1"/>
    </row>
    <row x14ac:dyDescent="0.25" r="1644" customHeight="1" ht="18.75">
      <c r="A1644" s="1" t="s">
        <v>3598</v>
      </c>
      <c r="B1644" s="1" t="s">
        <v>5503</v>
      </c>
      <c r="C1644" s="1" t="s">
        <v>3600</v>
      </c>
      <c r="D1644" s="1" t="s">
        <v>3601</v>
      </c>
      <c r="E1644" s="1"/>
      <c r="F1644" s="1" t="s">
        <v>7724</v>
      </c>
      <c r="G1644" s="1" t="s">
        <v>5505</v>
      </c>
      <c r="H1644" s="1" t="s">
        <v>3604</v>
      </c>
      <c r="I1644" s="1" t="s">
        <v>7725</v>
      </c>
      <c r="J1644" s="1" t="s">
        <v>3606</v>
      </c>
      <c r="K1644" s="1"/>
      <c r="L1644" s="1"/>
      <c r="M1644" s="1"/>
    </row>
    <row x14ac:dyDescent="0.25" r="1645" customHeight="1" ht="18.75">
      <c r="A1645" s="1" t="s">
        <v>3693</v>
      </c>
      <c r="B1645" s="1" t="s">
        <v>7026</v>
      </c>
      <c r="C1645" s="1" t="s">
        <v>3600</v>
      </c>
      <c r="D1645" s="1" t="s">
        <v>3601</v>
      </c>
      <c r="E1645" s="1" t="s">
        <v>3664</v>
      </c>
      <c r="F1645" s="1" t="s">
        <v>7726</v>
      </c>
      <c r="G1645" s="1" t="s">
        <v>7084</v>
      </c>
      <c r="H1645" s="1" t="s">
        <v>3604</v>
      </c>
      <c r="I1645" s="1" t="s">
        <v>7727</v>
      </c>
      <c r="J1645" s="1" t="s">
        <v>3615</v>
      </c>
      <c r="K1645" s="1"/>
      <c r="L1645" s="1"/>
      <c r="M1645" s="1"/>
    </row>
    <row x14ac:dyDescent="0.25" r="1646" customHeight="1" ht="18.75">
      <c r="A1646" s="1" t="s">
        <v>3693</v>
      </c>
      <c r="B1646" s="1" t="s">
        <v>4267</v>
      </c>
      <c r="C1646" s="1" t="s">
        <v>3600</v>
      </c>
      <c r="D1646" s="1" t="s">
        <v>3601</v>
      </c>
      <c r="E1646" s="1" t="s">
        <v>3893</v>
      </c>
      <c r="F1646" s="1" t="s">
        <v>7726</v>
      </c>
      <c r="G1646" s="1" t="s">
        <v>4268</v>
      </c>
      <c r="H1646" s="1" t="s">
        <v>3604</v>
      </c>
      <c r="I1646" s="1" t="s">
        <v>7728</v>
      </c>
      <c r="J1646" s="1" t="s">
        <v>3615</v>
      </c>
      <c r="K1646" s="1"/>
      <c r="L1646" s="1"/>
      <c r="M1646" s="1"/>
    </row>
    <row x14ac:dyDescent="0.25" r="1647" customHeight="1" ht="18.75">
      <c r="A1647" s="1" t="s">
        <v>3693</v>
      </c>
      <c r="B1647" s="1" t="s">
        <v>4148</v>
      </c>
      <c r="C1647" s="1" t="s">
        <v>3600</v>
      </c>
      <c r="D1647" s="1" t="s">
        <v>3601</v>
      </c>
      <c r="E1647" s="1" t="s">
        <v>3664</v>
      </c>
      <c r="F1647" s="1" t="s">
        <v>7726</v>
      </c>
      <c r="G1647" s="1" t="s">
        <v>4150</v>
      </c>
      <c r="H1647" s="1" t="s">
        <v>3604</v>
      </c>
      <c r="I1647" s="1" t="s">
        <v>7729</v>
      </c>
      <c r="J1647" s="1" t="s">
        <v>3615</v>
      </c>
      <c r="K1647" s="1"/>
      <c r="L1647" s="1"/>
      <c r="M1647" s="1"/>
    </row>
    <row x14ac:dyDescent="0.25" r="1648" customHeight="1" ht="18.75">
      <c r="A1648" s="1" t="s">
        <v>3693</v>
      </c>
      <c r="B1648" s="1" t="s">
        <v>4332</v>
      </c>
      <c r="C1648" s="1" t="s">
        <v>3600</v>
      </c>
      <c r="D1648" s="1" t="s">
        <v>3601</v>
      </c>
      <c r="E1648" s="1" t="s">
        <v>3893</v>
      </c>
      <c r="F1648" s="1" t="s">
        <v>7726</v>
      </c>
      <c r="G1648" s="1" t="s">
        <v>5644</v>
      </c>
      <c r="H1648" s="1" t="s">
        <v>3604</v>
      </c>
      <c r="I1648" s="1" t="s">
        <v>7730</v>
      </c>
      <c r="J1648" s="1" t="s">
        <v>3606</v>
      </c>
      <c r="K1648" s="1"/>
      <c r="L1648" s="1"/>
      <c r="M1648" s="1"/>
    </row>
    <row x14ac:dyDescent="0.25" r="1649" customHeight="1" ht="18.75">
      <c r="A1649" s="1" t="s">
        <v>3693</v>
      </c>
      <c r="B1649" s="1" t="s">
        <v>4192</v>
      </c>
      <c r="C1649" s="1" t="s">
        <v>3600</v>
      </c>
      <c r="D1649" s="1" t="s">
        <v>3601</v>
      </c>
      <c r="E1649" s="1" t="s">
        <v>3893</v>
      </c>
      <c r="F1649" s="1" t="s">
        <v>7726</v>
      </c>
      <c r="G1649" s="1" t="s">
        <v>4194</v>
      </c>
      <c r="H1649" s="1" t="s">
        <v>3604</v>
      </c>
      <c r="I1649" s="1" t="s">
        <v>7731</v>
      </c>
      <c r="J1649" s="1" t="s">
        <v>3606</v>
      </c>
      <c r="K1649" s="1"/>
      <c r="L1649" s="1"/>
      <c r="M1649" s="1"/>
    </row>
    <row x14ac:dyDescent="0.25" r="1650" customHeight="1" ht="18.75">
      <c r="A1650" s="1" t="s">
        <v>3693</v>
      </c>
      <c r="B1650" s="1" t="s">
        <v>7030</v>
      </c>
      <c r="C1650" s="1" t="s">
        <v>3600</v>
      </c>
      <c r="D1650" s="1" t="s">
        <v>3601</v>
      </c>
      <c r="E1650" s="1" t="s">
        <v>3664</v>
      </c>
      <c r="F1650" s="1" t="s">
        <v>7732</v>
      </c>
      <c r="G1650" s="1" t="s">
        <v>7093</v>
      </c>
      <c r="H1650" s="1" t="s">
        <v>3604</v>
      </c>
      <c r="I1650" s="1" t="s">
        <v>7733</v>
      </c>
      <c r="J1650" s="1" t="s">
        <v>3615</v>
      </c>
      <c r="K1650" s="1"/>
      <c r="L1650" s="1"/>
      <c r="M1650" s="1"/>
    </row>
    <row x14ac:dyDescent="0.25" r="1651" customHeight="1" ht="18.75">
      <c r="A1651" s="1" t="s">
        <v>3598</v>
      </c>
      <c r="B1651" s="1" t="s">
        <v>7734</v>
      </c>
      <c r="C1651" s="1" t="s">
        <v>3600</v>
      </c>
      <c r="D1651" s="1" t="s">
        <v>3601</v>
      </c>
      <c r="E1651" s="1"/>
      <c r="F1651" s="1" t="s">
        <v>7735</v>
      </c>
      <c r="G1651" s="1" t="s">
        <v>7736</v>
      </c>
      <c r="H1651" s="1" t="s">
        <v>3604</v>
      </c>
      <c r="I1651" s="1" t="s">
        <v>7737</v>
      </c>
      <c r="J1651" s="1" t="s">
        <v>3606</v>
      </c>
      <c r="K1651" s="1"/>
      <c r="L1651" s="1"/>
      <c r="M1651" s="1"/>
    </row>
    <row x14ac:dyDescent="0.25" r="1652" customHeight="1" ht="18.75">
      <c r="A1652" s="1" t="s">
        <v>3598</v>
      </c>
      <c r="B1652" s="1" t="s">
        <v>7734</v>
      </c>
      <c r="C1652" s="1" t="s">
        <v>3600</v>
      </c>
      <c r="D1652" s="1" t="s">
        <v>3601</v>
      </c>
      <c r="E1652" s="1"/>
      <c r="F1652" s="1" t="s">
        <v>7738</v>
      </c>
      <c r="G1652" s="1" t="s">
        <v>7736</v>
      </c>
      <c r="H1652" s="1" t="s">
        <v>3604</v>
      </c>
      <c r="I1652" s="1" t="s">
        <v>7739</v>
      </c>
      <c r="J1652" s="1" t="s">
        <v>3606</v>
      </c>
      <c r="K1652" s="1"/>
      <c r="L1652" s="1"/>
      <c r="M1652" s="1"/>
    </row>
    <row x14ac:dyDescent="0.25" r="1653" customHeight="1" ht="18.75">
      <c r="A1653" s="1" t="s">
        <v>3598</v>
      </c>
      <c r="B1653" s="1" t="s">
        <v>7734</v>
      </c>
      <c r="C1653" s="1" t="s">
        <v>3600</v>
      </c>
      <c r="D1653" s="1" t="s">
        <v>3601</v>
      </c>
      <c r="E1653" s="1"/>
      <c r="F1653" s="1" t="s">
        <v>7740</v>
      </c>
      <c r="G1653" s="1" t="s">
        <v>7736</v>
      </c>
      <c r="H1653" s="1" t="s">
        <v>3604</v>
      </c>
      <c r="I1653" s="1" t="s">
        <v>7741</v>
      </c>
      <c r="J1653" s="1" t="s">
        <v>3606</v>
      </c>
      <c r="K1653" s="1"/>
      <c r="L1653" s="1"/>
      <c r="M1653" s="1"/>
    </row>
    <row x14ac:dyDescent="0.25" r="1654" customHeight="1" ht="18.75">
      <c r="A1654" s="1" t="s">
        <v>3598</v>
      </c>
      <c r="B1654" s="1" t="s">
        <v>7734</v>
      </c>
      <c r="C1654" s="1" t="s">
        <v>3600</v>
      </c>
      <c r="D1654" s="1" t="s">
        <v>3601</v>
      </c>
      <c r="E1654" s="1"/>
      <c r="F1654" s="1" t="s">
        <v>7742</v>
      </c>
      <c r="G1654" s="1" t="s">
        <v>7736</v>
      </c>
      <c r="H1654" s="1" t="s">
        <v>3604</v>
      </c>
      <c r="I1654" s="1" t="s">
        <v>7743</v>
      </c>
      <c r="J1654" s="1" t="s">
        <v>3606</v>
      </c>
      <c r="K1654" s="1"/>
      <c r="L1654" s="1"/>
      <c r="M1654" s="1"/>
    </row>
    <row x14ac:dyDescent="0.25" r="1655" customHeight="1" ht="18.75">
      <c r="A1655" s="1" t="s">
        <v>3598</v>
      </c>
      <c r="B1655" s="1" t="s">
        <v>7734</v>
      </c>
      <c r="C1655" s="1" t="s">
        <v>3600</v>
      </c>
      <c r="D1655" s="1" t="s">
        <v>3601</v>
      </c>
      <c r="E1655" s="1"/>
      <c r="F1655" s="1" t="s">
        <v>7744</v>
      </c>
      <c r="G1655" s="1" t="s">
        <v>7736</v>
      </c>
      <c r="H1655" s="1" t="s">
        <v>3604</v>
      </c>
      <c r="I1655" s="1" t="s">
        <v>7745</v>
      </c>
      <c r="J1655" s="1" t="s">
        <v>3606</v>
      </c>
      <c r="K1655" s="1"/>
      <c r="L1655" s="1"/>
      <c r="M1655" s="1"/>
    </row>
    <row x14ac:dyDescent="0.25" r="1656" customHeight="1" ht="18.75">
      <c r="A1656" s="1" t="s">
        <v>3598</v>
      </c>
      <c r="B1656" s="1" t="s">
        <v>7734</v>
      </c>
      <c r="C1656" s="1" t="s">
        <v>3600</v>
      </c>
      <c r="D1656" s="1" t="s">
        <v>3601</v>
      </c>
      <c r="E1656" s="1"/>
      <c r="F1656" s="1" t="s">
        <v>7746</v>
      </c>
      <c r="G1656" s="1" t="s">
        <v>7736</v>
      </c>
      <c r="H1656" s="1" t="s">
        <v>3604</v>
      </c>
      <c r="I1656" s="1" t="s">
        <v>7747</v>
      </c>
      <c r="J1656" s="1" t="s">
        <v>3606</v>
      </c>
      <c r="K1656" s="1"/>
      <c r="L1656" s="1"/>
      <c r="M1656" s="1"/>
    </row>
    <row x14ac:dyDescent="0.25" r="1657" customHeight="1" ht="18.75">
      <c r="A1657" s="1" t="s">
        <v>3598</v>
      </c>
      <c r="B1657" s="1" t="s">
        <v>7734</v>
      </c>
      <c r="C1657" s="1" t="s">
        <v>3600</v>
      </c>
      <c r="D1657" s="1" t="s">
        <v>3601</v>
      </c>
      <c r="E1657" s="1"/>
      <c r="F1657" s="1" t="s">
        <v>7748</v>
      </c>
      <c r="G1657" s="1" t="s">
        <v>7749</v>
      </c>
      <c r="H1657" s="1" t="s">
        <v>3604</v>
      </c>
      <c r="I1657" s="1" t="s">
        <v>7750</v>
      </c>
      <c r="J1657" s="1" t="s">
        <v>3606</v>
      </c>
      <c r="K1657" s="1"/>
      <c r="L1657" s="1"/>
      <c r="M1657" s="1"/>
    </row>
    <row x14ac:dyDescent="0.25" r="1658" customHeight="1" ht="18.75">
      <c r="A1658" s="1" t="s">
        <v>3598</v>
      </c>
      <c r="B1658" s="1" t="s">
        <v>7734</v>
      </c>
      <c r="C1658" s="1" t="s">
        <v>3600</v>
      </c>
      <c r="D1658" s="1" t="s">
        <v>3601</v>
      </c>
      <c r="E1658" s="1"/>
      <c r="F1658" s="1" t="s">
        <v>7751</v>
      </c>
      <c r="G1658" s="1" t="s">
        <v>7749</v>
      </c>
      <c r="H1658" s="1" t="s">
        <v>3604</v>
      </c>
      <c r="I1658" s="1" t="s">
        <v>7752</v>
      </c>
      <c r="J1658" s="1" t="s">
        <v>3606</v>
      </c>
      <c r="K1658" s="1"/>
      <c r="L1658" s="1"/>
      <c r="M1658" s="1"/>
    </row>
    <row x14ac:dyDescent="0.25" r="1659" customHeight="1" ht="18.75">
      <c r="A1659" s="1" t="s">
        <v>3598</v>
      </c>
      <c r="B1659" s="1" t="s">
        <v>7734</v>
      </c>
      <c r="C1659" s="1" t="s">
        <v>3600</v>
      </c>
      <c r="D1659" s="1" t="s">
        <v>3601</v>
      </c>
      <c r="E1659" s="1"/>
      <c r="F1659" s="1" t="s">
        <v>7753</v>
      </c>
      <c r="G1659" s="1" t="s">
        <v>7749</v>
      </c>
      <c r="H1659" s="1" t="s">
        <v>3604</v>
      </c>
      <c r="I1659" s="1" t="s">
        <v>7754</v>
      </c>
      <c r="J1659" s="1" t="s">
        <v>3606</v>
      </c>
      <c r="K1659" s="1"/>
      <c r="L1659" s="1"/>
      <c r="M1659" s="1"/>
    </row>
    <row x14ac:dyDescent="0.25" r="1660" customHeight="1" ht="18.75">
      <c r="A1660" s="1" t="s">
        <v>3598</v>
      </c>
      <c r="B1660" s="1" t="s">
        <v>7734</v>
      </c>
      <c r="C1660" s="1" t="s">
        <v>3600</v>
      </c>
      <c r="D1660" s="1" t="s">
        <v>3601</v>
      </c>
      <c r="E1660" s="1"/>
      <c r="F1660" s="1" t="s">
        <v>7755</v>
      </c>
      <c r="G1660" s="1" t="s">
        <v>7749</v>
      </c>
      <c r="H1660" s="1" t="s">
        <v>3604</v>
      </c>
      <c r="I1660" s="1" t="s">
        <v>7756</v>
      </c>
      <c r="J1660" s="1" t="s">
        <v>3606</v>
      </c>
      <c r="K1660" s="1"/>
      <c r="L1660" s="1"/>
      <c r="M1660" s="1"/>
    </row>
    <row x14ac:dyDescent="0.25" r="1661" customHeight="1" ht="18.75">
      <c r="A1661" s="1" t="s">
        <v>3598</v>
      </c>
      <c r="B1661" s="1" t="s">
        <v>7734</v>
      </c>
      <c r="C1661" s="1" t="s">
        <v>3600</v>
      </c>
      <c r="D1661" s="1" t="s">
        <v>3601</v>
      </c>
      <c r="E1661" s="1"/>
      <c r="F1661" s="1" t="s">
        <v>7757</v>
      </c>
      <c r="G1661" s="1" t="s">
        <v>7749</v>
      </c>
      <c r="H1661" s="1" t="s">
        <v>3604</v>
      </c>
      <c r="I1661" s="1" t="s">
        <v>7758</v>
      </c>
      <c r="J1661" s="1" t="s">
        <v>3606</v>
      </c>
      <c r="K1661" s="1"/>
      <c r="L1661" s="1"/>
      <c r="M1661" s="1"/>
    </row>
    <row x14ac:dyDescent="0.25" r="1662" customHeight="1" ht="18.75">
      <c r="A1662" s="1" t="s">
        <v>3598</v>
      </c>
      <c r="B1662" s="1" t="s">
        <v>7734</v>
      </c>
      <c r="C1662" s="1" t="s">
        <v>3600</v>
      </c>
      <c r="D1662" s="1" t="s">
        <v>3601</v>
      </c>
      <c r="E1662" s="1"/>
      <c r="F1662" s="1" t="s">
        <v>7759</v>
      </c>
      <c r="G1662" s="1" t="s">
        <v>7749</v>
      </c>
      <c r="H1662" s="1" t="s">
        <v>3604</v>
      </c>
      <c r="I1662" s="1" t="s">
        <v>7760</v>
      </c>
      <c r="J1662" s="1" t="s">
        <v>3606</v>
      </c>
      <c r="K1662" s="1"/>
      <c r="L1662" s="1"/>
      <c r="M1662" s="1"/>
    </row>
    <row x14ac:dyDescent="0.25" r="1663" customHeight="1" ht="18.75">
      <c r="A1663" s="1" t="s">
        <v>3598</v>
      </c>
      <c r="B1663" s="1" t="s">
        <v>7734</v>
      </c>
      <c r="C1663" s="1" t="s">
        <v>3600</v>
      </c>
      <c r="D1663" s="1" t="s">
        <v>3601</v>
      </c>
      <c r="E1663" s="1"/>
      <c r="F1663" s="1" t="s">
        <v>7761</v>
      </c>
      <c r="G1663" s="1" t="s">
        <v>7749</v>
      </c>
      <c r="H1663" s="1" t="s">
        <v>3604</v>
      </c>
      <c r="I1663" s="1" t="s">
        <v>7762</v>
      </c>
      <c r="J1663" s="1" t="s">
        <v>3606</v>
      </c>
      <c r="K1663" s="1"/>
      <c r="L1663" s="1"/>
      <c r="M1663" s="1"/>
    </row>
    <row x14ac:dyDescent="0.25" r="1664" customHeight="1" ht="18.75">
      <c r="A1664" s="1" t="s">
        <v>3598</v>
      </c>
      <c r="B1664" s="1" t="s">
        <v>7734</v>
      </c>
      <c r="C1664" s="1" t="s">
        <v>3600</v>
      </c>
      <c r="D1664" s="1" t="s">
        <v>3601</v>
      </c>
      <c r="E1664" s="1"/>
      <c r="F1664" s="1" t="s">
        <v>7763</v>
      </c>
      <c r="G1664" s="1" t="s">
        <v>7749</v>
      </c>
      <c r="H1664" s="1" t="s">
        <v>3604</v>
      </c>
      <c r="I1664" s="1" t="s">
        <v>7764</v>
      </c>
      <c r="J1664" s="1" t="s">
        <v>3606</v>
      </c>
      <c r="K1664" s="1"/>
      <c r="L1664" s="1"/>
      <c r="M1664" s="1"/>
    </row>
    <row x14ac:dyDescent="0.25" r="1665" customHeight="1" ht="18.75">
      <c r="A1665" s="1" t="s">
        <v>3598</v>
      </c>
      <c r="B1665" s="1" t="s">
        <v>7734</v>
      </c>
      <c r="C1665" s="1" t="s">
        <v>3600</v>
      </c>
      <c r="D1665" s="1" t="s">
        <v>3601</v>
      </c>
      <c r="E1665" s="1"/>
      <c r="F1665" s="1" t="s">
        <v>7765</v>
      </c>
      <c r="G1665" s="1" t="s">
        <v>7749</v>
      </c>
      <c r="H1665" s="1" t="s">
        <v>3604</v>
      </c>
      <c r="I1665" s="1" t="s">
        <v>7766</v>
      </c>
      <c r="J1665" s="1" t="s">
        <v>3606</v>
      </c>
      <c r="K1665" s="1"/>
      <c r="L1665" s="1"/>
      <c r="M1665" s="1"/>
    </row>
    <row x14ac:dyDescent="0.25" r="1666" customHeight="1" ht="18.75">
      <c r="A1666" s="1" t="s">
        <v>3598</v>
      </c>
      <c r="B1666" s="1" t="s">
        <v>7767</v>
      </c>
      <c r="C1666" s="1" t="s">
        <v>3600</v>
      </c>
      <c r="D1666" s="1" t="s">
        <v>3601</v>
      </c>
      <c r="E1666" s="1"/>
      <c r="F1666" s="1" t="s">
        <v>7768</v>
      </c>
      <c r="G1666" s="1" t="s">
        <v>7769</v>
      </c>
      <c r="H1666" s="1" t="s">
        <v>3604</v>
      </c>
      <c r="I1666" s="1" t="s">
        <v>7770</v>
      </c>
      <c r="J1666" s="1" t="s">
        <v>3606</v>
      </c>
      <c r="K1666" s="1"/>
      <c r="L1666" s="1"/>
      <c r="M1666" s="1"/>
    </row>
    <row x14ac:dyDescent="0.25" r="1667" customHeight="1" ht="18.75">
      <c r="A1667" s="1" t="s">
        <v>3598</v>
      </c>
      <c r="B1667" s="1" t="s">
        <v>7767</v>
      </c>
      <c r="C1667" s="1" t="s">
        <v>3600</v>
      </c>
      <c r="D1667" s="1" t="s">
        <v>3601</v>
      </c>
      <c r="E1667" s="1"/>
      <c r="F1667" s="1" t="s">
        <v>7771</v>
      </c>
      <c r="G1667" s="1" t="s">
        <v>7769</v>
      </c>
      <c r="H1667" s="1" t="s">
        <v>3604</v>
      </c>
      <c r="I1667" s="1" t="s">
        <v>7772</v>
      </c>
      <c r="J1667" s="1" t="s">
        <v>3606</v>
      </c>
      <c r="K1667" s="1"/>
      <c r="L1667" s="1"/>
      <c r="M1667" s="1"/>
    </row>
    <row x14ac:dyDescent="0.25" r="1668" customHeight="1" ht="18.75">
      <c r="A1668" s="1" t="s">
        <v>3598</v>
      </c>
      <c r="B1668" s="1" t="s">
        <v>7767</v>
      </c>
      <c r="C1668" s="1" t="s">
        <v>3600</v>
      </c>
      <c r="D1668" s="1" t="s">
        <v>3601</v>
      </c>
      <c r="E1668" s="1"/>
      <c r="F1668" s="1" t="s">
        <v>7773</v>
      </c>
      <c r="G1668" s="1" t="s">
        <v>7769</v>
      </c>
      <c r="H1668" s="1" t="s">
        <v>3604</v>
      </c>
      <c r="I1668" s="1" t="s">
        <v>7774</v>
      </c>
      <c r="J1668" s="1" t="s">
        <v>3606</v>
      </c>
      <c r="K1668" s="1"/>
      <c r="L1668" s="1"/>
      <c r="M1668" s="1"/>
    </row>
    <row x14ac:dyDescent="0.25" r="1669" customHeight="1" ht="18.75">
      <c r="A1669" s="1" t="s">
        <v>3598</v>
      </c>
      <c r="B1669" s="1" t="s">
        <v>7767</v>
      </c>
      <c r="C1669" s="1" t="s">
        <v>3600</v>
      </c>
      <c r="D1669" s="1" t="s">
        <v>3601</v>
      </c>
      <c r="E1669" s="1"/>
      <c r="F1669" s="1" t="s">
        <v>7775</v>
      </c>
      <c r="G1669" s="1" t="s">
        <v>7769</v>
      </c>
      <c r="H1669" s="1" t="s">
        <v>3604</v>
      </c>
      <c r="I1669" s="1" t="s">
        <v>7776</v>
      </c>
      <c r="J1669" s="1" t="s">
        <v>3606</v>
      </c>
      <c r="K1669" s="1"/>
      <c r="L1669" s="1"/>
      <c r="M1669" s="1"/>
    </row>
    <row x14ac:dyDescent="0.25" r="1670" customHeight="1" ht="18.75">
      <c r="A1670" s="1" t="s">
        <v>3598</v>
      </c>
      <c r="B1670" s="1" t="s">
        <v>7767</v>
      </c>
      <c r="C1670" s="1" t="s">
        <v>3600</v>
      </c>
      <c r="D1670" s="1" t="s">
        <v>3601</v>
      </c>
      <c r="E1670" s="1"/>
      <c r="F1670" s="1" t="s">
        <v>7777</v>
      </c>
      <c r="G1670" s="1" t="s">
        <v>7769</v>
      </c>
      <c r="H1670" s="1" t="s">
        <v>3604</v>
      </c>
      <c r="I1670" s="1" t="s">
        <v>7778</v>
      </c>
      <c r="J1670" s="1" t="s">
        <v>3606</v>
      </c>
      <c r="K1670" s="1"/>
      <c r="L1670" s="1"/>
      <c r="M1670" s="1"/>
    </row>
    <row x14ac:dyDescent="0.25" r="1671" customHeight="1" ht="18.75">
      <c r="A1671" s="1" t="s">
        <v>3598</v>
      </c>
      <c r="B1671" s="1" t="s">
        <v>7767</v>
      </c>
      <c r="C1671" s="1" t="s">
        <v>3600</v>
      </c>
      <c r="D1671" s="1" t="s">
        <v>3601</v>
      </c>
      <c r="E1671" s="1"/>
      <c r="F1671" s="1" t="s">
        <v>7779</v>
      </c>
      <c r="G1671" s="1" t="s">
        <v>7769</v>
      </c>
      <c r="H1671" s="1" t="s">
        <v>3604</v>
      </c>
      <c r="I1671" s="1" t="s">
        <v>7780</v>
      </c>
      <c r="J1671" s="1" t="s">
        <v>3606</v>
      </c>
      <c r="K1671" s="1"/>
      <c r="L1671" s="1"/>
      <c r="M1671" s="1"/>
    </row>
    <row x14ac:dyDescent="0.25" r="1672" customHeight="1" ht="18.75">
      <c r="A1672" s="1" t="s">
        <v>3598</v>
      </c>
      <c r="B1672" s="1" t="s">
        <v>7767</v>
      </c>
      <c r="C1672" s="1" t="s">
        <v>3600</v>
      </c>
      <c r="D1672" s="1" t="s">
        <v>3601</v>
      </c>
      <c r="E1672" s="1"/>
      <c r="F1672" s="1" t="s">
        <v>7781</v>
      </c>
      <c r="G1672" s="1" t="s">
        <v>7769</v>
      </c>
      <c r="H1672" s="1" t="s">
        <v>3604</v>
      </c>
      <c r="I1672" s="1" t="s">
        <v>7782</v>
      </c>
      <c r="J1672" s="1" t="s">
        <v>3606</v>
      </c>
      <c r="K1672" s="1"/>
      <c r="L1672" s="1"/>
      <c r="M1672" s="1"/>
    </row>
    <row x14ac:dyDescent="0.25" r="1673" customHeight="1" ht="18.75">
      <c r="A1673" s="1" t="s">
        <v>3598</v>
      </c>
      <c r="B1673" s="1" t="s">
        <v>7767</v>
      </c>
      <c r="C1673" s="1" t="s">
        <v>3600</v>
      </c>
      <c r="D1673" s="1" t="s">
        <v>3601</v>
      </c>
      <c r="E1673" s="1"/>
      <c r="F1673" s="1" t="s">
        <v>7783</v>
      </c>
      <c r="G1673" s="1" t="s">
        <v>7769</v>
      </c>
      <c r="H1673" s="1" t="s">
        <v>3604</v>
      </c>
      <c r="I1673" s="1" t="s">
        <v>7784</v>
      </c>
      <c r="J1673" s="1" t="s">
        <v>3606</v>
      </c>
      <c r="K1673" s="1"/>
      <c r="L1673" s="1"/>
      <c r="M1673" s="1"/>
    </row>
    <row x14ac:dyDescent="0.25" r="1674" customHeight="1" ht="18.75">
      <c r="A1674" s="1" t="s">
        <v>3598</v>
      </c>
      <c r="B1674" s="1" t="s">
        <v>7767</v>
      </c>
      <c r="C1674" s="1" t="s">
        <v>3600</v>
      </c>
      <c r="D1674" s="1" t="s">
        <v>3601</v>
      </c>
      <c r="E1674" s="1"/>
      <c r="F1674" s="1" t="s">
        <v>7785</v>
      </c>
      <c r="G1674" s="1" t="s">
        <v>7769</v>
      </c>
      <c r="H1674" s="1" t="s">
        <v>3604</v>
      </c>
      <c r="I1674" s="1" t="s">
        <v>7786</v>
      </c>
      <c r="J1674" s="1" t="s">
        <v>3606</v>
      </c>
      <c r="K1674" s="1"/>
      <c r="L1674" s="1"/>
      <c r="M1674" s="1"/>
    </row>
    <row x14ac:dyDescent="0.25" r="1675" customHeight="1" ht="18.75">
      <c r="A1675" s="1" t="s">
        <v>3598</v>
      </c>
      <c r="B1675" s="1" t="s">
        <v>7767</v>
      </c>
      <c r="C1675" s="1" t="s">
        <v>3600</v>
      </c>
      <c r="D1675" s="1" t="s">
        <v>3601</v>
      </c>
      <c r="E1675" s="1"/>
      <c r="F1675" s="1" t="s">
        <v>7787</v>
      </c>
      <c r="G1675" s="1" t="s">
        <v>7769</v>
      </c>
      <c r="H1675" s="1" t="s">
        <v>3604</v>
      </c>
      <c r="I1675" s="1" t="s">
        <v>7788</v>
      </c>
      <c r="J1675" s="1" t="s">
        <v>3606</v>
      </c>
      <c r="K1675" s="1"/>
      <c r="L1675" s="1"/>
      <c r="M1675" s="1"/>
    </row>
    <row x14ac:dyDescent="0.25" r="1676" customHeight="1" ht="18.75">
      <c r="A1676" s="1" t="s">
        <v>3693</v>
      </c>
      <c r="B1676" s="1" t="s">
        <v>7026</v>
      </c>
      <c r="C1676" s="1" t="s">
        <v>3600</v>
      </c>
      <c r="D1676" s="1" t="s">
        <v>3601</v>
      </c>
      <c r="E1676" s="1" t="s">
        <v>3664</v>
      </c>
      <c r="F1676" s="1" t="s">
        <v>7732</v>
      </c>
      <c r="G1676" s="1" t="s">
        <v>7084</v>
      </c>
      <c r="H1676" s="1" t="s">
        <v>3604</v>
      </c>
      <c r="I1676" s="1" t="s">
        <v>7789</v>
      </c>
      <c r="J1676" s="1" t="s">
        <v>3615</v>
      </c>
      <c r="K1676" s="1"/>
      <c r="L1676" s="1"/>
      <c r="M1676" s="1"/>
    </row>
    <row x14ac:dyDescent="0.25" r="1677" customHeight="1" ht="18.75">
      <c r="A1677" s="1" t="s">
        <v>3693</v>
      </c>
      <c r="B1677" s="1" t="s">
        <v>4267</v>
      </c>
      <c r="C1677" s="1" t="s">
        <v>3600</v>
      </c>
      <c r="D1677" s="1" t="s">
        <v>3601</v>
      </c>
      <c r="E1677" s="1" t="s">
        <v>3893</v>
      </c>
      <c r="F1677" s="1" t="s">
        <v>7732</v>
      </c>
      <c r="G1677" s="1" t="s">
        <v>4268</v>
      </c>
      <c r="H1677" s="1" t="s">
        <v>3604</v>
      </c>
      <c r="I1677" s="1" t="s">
        <v>7790</v>
      </c>
      <c r="J1677" s="1" t="s">
        <v>3615</v>
      </c>
      <c r="K1677" s="1"/>
      <c r="L1677" s="1"/>
      <c r="M1677" s="1"/>
    </row>
    <row x14ac:dyDescent="0.25" r="1678" customHeight="1" ht="18.75">
      <c r="A1678" s="1" t="s">
        <v>3693</v>
      </c>
      <c r="B1678" s="1" t="s">
        <v>6637</v>
      </c>
      <c r="C1678" s="1" t="s">
        <v>3619</v>
      </c>
      <c r="D1678" s="1" t="s">
        <v>3601</v>
      </c>
      <c r="E1678" s="1" t="s">
        <v>3893</v>
      </c>
      <c r="F1678" s="1" t="s">
        <v>7791</v>
      </c>
      <c r="G1678" s="1" t="s">
        <v>6639</v>
      </c>
      <c r="H1678" s="1" t="s">
        <v>3604</v>
      </c>
      <c r="I1678" s="1" t="s">
        <v>7792</v>
      </c>
      <c r="J1678" s="1" t="s">
        <v>3606</v>
      </c>
      <c r="K1678" s="1"/>
      <c r="L1678" s="1"/>
      <c r="M1678" s="1"/>
    </row>
    <row x14ac:dyDescent="0.25" r="1679" customHeight="1" ht="18.75">
      <c r="A1679" s="1" t="s">
        <v>3693</v>
      </c>
      <c r="B1679" s="1" t="s">
        <v>6637</v>
      </c>
      <c r="C1679" s="1" t="s">
        <v>3619</v>
      </c>
      <c r="D1679" s="1" t="s">
        <v>3601</v>
      </c>
      <c r="E1679" s="1" t="s">
        <v>3893</v>
      </c>
      <c r="F1679" s="1" t="s">
        <v>7793</v>
      </c>
      <c r="G1679" s="1" t="s">
        <v>6639</v>
      </c>
      <c r="H1679" s="1" t="s">
        <v>3604</v>
      </c>
      <c r="I1679" s="1" t="s">
        <v>7794</v>
      </c>
      <c r="J1679" s="1" t="s">
        <v>3606</v>
      </c>
      <c r="K1679" s="1"/>
      <c r="L1679" s="1"/>
      <c r="M1679" s="1"/>
    </row>
    <row x14ac:dyDescent="0.25" r="1680" customHeight="1" ht="18.75">
      <c r="A1680" s="1" t="s">
        <v>3693</v>
      </c>
      <c r="B1680" s="1" t="s">
        <v>6637</v>
      </c>
      <c r="C1680" s="1" t="s">
        <v>3619</v>
      </c>
      <c r="D1680" s="1" t="s">
        <v>3601</v>
      </c>
      <c r="E1680" s="1" t="s">
        <v>3893</v>
      </c>
      <c r="F1680" s="1" t="s">
        <v>7795</v>
      </c>
      <c r="G1680" s="1" t="s">
        <v>6639</v>
      </c>
      <c r="H1680" s="1" t="s">
        <v>3604</v>
      </c>
      <c r="I1680" s="1" t="s">
        <v>7796</v>
      </c>
      <c r="J1680" s="1" t="s">
        <v>3606</v>
      </c>
      <c r="K1680" s="1"/>
      <c r="L1680" s="1"/>
      <c r="M1680" s="1"/>
    </row>
    <row x14ac:dyDescent="0.25" r="1681" customHeight="1" ht="18.75">
      <c r="A1681" s="1" t="s">
        <v>3693</v>
      </c>
      <c r="B1681" s="1" t="s">
        <v>4332</v>
      </c>
      <c r="C1681" s="1" t="s">
        <v>3600</v>
      </c>
      <c r="D1681" s="1" t="s">
        <v>3601</v>
      </c>
      <c r="E1681" s="1" t="s">
        <v>3893</v>
      </c>
      <c r="F1681" s="1" t="s">
        <v>7732</v>
      </c>
      <c r="G1681" s="1" t="s">
        <v>5644</v>
      </c>
      <c r="H1681" s="1" t="s">
        <v>3604</v>
      </c>
      <c r="I1681" s="1" t="s">
        <v>7797</v>
      </c>
      <c r="J1681" s="1" t="s">
        <v>3615</v>
      </c>
      <c r="K1681" s="1"/>
      <c r="L1681" s="1"/>
      <c r="M1681" s="1"/>
    </row>
    <row x14ac:dyDescent="0.25" r="1682" customHeight="1" ht="18.75">
      <c r="A1682" s="1" t="s">
        <v>3693</v>
      </c>
      <c r="B1682" s="1" t="s">
        <v>6637</v>
      </c>
      <c r="C1682" s="1" t="s">
        <v>3619</v>
      </c>
      <c r="D1682" s="1" t="s">
        <v>3601</v>
      </c>
      <c r="E1682" s="1" t="s">
        <v>3893</v>
      </c>
      <c r="F1682" s="1" t="s">
        <v>7798</v>
      </c>
      <c r="G1682" s="1" t="s">
        <v>6648</v>
      </c>
      <c r="H1682" s="1" t="s">
        <v>3604</v>
      </c>
      <c r="I1682" s="1" t="s">
        <v>7799</v>
      </c>
      <c r="J1682" s="1" t="s">
        <v>3606</v>
      </c>
      <c r="K1682" s="1"/>
      <c r="L1682" s="1"/>
      <c r="M1682" s="1"/>
    </row>
    <row x14ac:dyDescent="0.25" r="1683" customHeight="1" ht="18.75">
      <c r="A1683" s="1" t="s">
        <v>3693</v>
      </c>
      <c r="B1683" s="1" t="s">
        <v>6637</v>
      </c>
      <c r="C1683" s="1" t="s">
        <v>3619</v>
      </c>
      <c r="D1683" s="1" t="s">
        <v>3601</v>
      </c>
      <c r="E1683" s="1" t="s">
        <v>3893</v>
      </c>
      <c r="F1683" s="1" t="s">
        <v>7800</v>
      </c>
      <c r="G1683" s="1" t="s">
        <v>6648</v>
      </c>
      <c r="H1683" s="1" t="s">
        <v>3604</v>
      </c>
      <c r="I1683" s="1" t="s">
        <v>7801</v>
      </c>
      <c r="J1683" s="1" t="s">
        <v>3606</v>
      </c>
      <c r="K1683" s="1"/>
      <c r="L1683" s="1"/>
      <c r="M1683" s="1"/>
    </row>
    <row x14ac:dyDescent="0.25" r="1684" customHeight="1" ht="18.75">
      <c r="A1684" s="1" t="s">
        <v>3693</v>
      </c>
      <c r="B1684" s="1" t="s">
        <v>6637</v>
      </c>
      <c r="C1684" s="1" t="s">
        <v>3619</v>
      </c>
      <c r="D1684" s="1" t="s">
        <v>3601</v>
      </c>
      <c r="E1684" s="1" t="s">
        <v>3893</v>
      </c>
      <c r="F1684" s="1" t="s">
        <v>7802</v>
      </c>
      <c r="G1684" s="1" t="s">
        <v>6648</v>
      </c>
      <c r="H1684" s="1" t="s">
        <v>3604</v>
      </c>
      <c r="I1684" s="1" t="s">
        <v>7803</v>
      </c>
      <c r="J1684" s="1" t="s">
        <v>3606</v>
      </c>
      <c r="K1684" s="1"/>
      <c r="L1684" s="1"/>
      <c r="M1684" s="1"/>
    </row>
    <row x14ac:dyDescent="0.25" r="1685" customHeight="1" ht="18.75">
      <c r="A1685" s="1" t="s">
        <v>3693</v>
      </c>
      <c r="B1685" s="1" t="s">
        <v>4192</v>
      </c>
      <c r="C1685" s="1" t="s">
        <v>3600</v>
      </c>
      <c r="D1685" s="1" t="s">
        <v>3601</v>
      </c>
      <c r="E1685" s="1" t="s">
        <v>3893</v>
      </c>
      <c r="F1685" s="1" t="s">
        <v>7732</v>
      </c>
      <c r="G1685" s="1" t="s">
        <v>4194</v>
      </c>
      <c r="H1685" s="1" t="s">
        <v>3604</v>
      </c>
      <c r="I1685" s="1" t="s">
        <v>7804</v>
      </c>
      <c r="J1685" s="1" t="s">
        <v>3615</v>
      </c>
      <c r="K1685" s="1"/>
      <c r="L1685" s="1"/>
      <c r="M1685" s="1"/>
    </row>
    <row x14ac:dyDescent="0.25" r="1686" customHeight="1" ht="18.75">
      <c r="A1686" s="1" t="s">
        <v>3693</v>
      </c>
      <c r="B1686" s="1" t="s">
        <v>6637</v>
      </c>
      <c r="C1686" s="1" t="s">
        <v>3619</v>
      </c>
      <c r="D1686" s="1" t="s">
        <v>3601</v>
      </c>
      <c r="E1686" s="1" t="s">
        <v>3893</v>
      </c>
      <c r="F1686" s="1" t="s">
        <v>7805</v>
      </c>
      <c r="G1686" s="1" t="s">
        <v>6657</v>
      </c>
      <c r="H1686" s="1" t="s">
        <v>3604</v>
      </c>
      <c r="I1686" s="1" t="s">
        <v>7806</v>
      </c>
      <c r="J1686" s="1" t="s">
        <v>3606</v>
      </c>
      <c r="K1686" s="1"/>
      <c r="L1686" s="1"/>
      <c r="M1686" s="1"/>
    </row>
    <row x14ac:dyDescent="0.25" r="1687" customHeight="1" ht="18.75">
      <c r="A1687" s="1" t="s">
        <v>3693</v>
      </c>
      <c r="B1687" s="1" t="s">
        <v>6637</v>
      </c>
      <c r="C1687" s="1" t="s">
        <v>3619</v>
      </c>
      <c r="D1687" s="1" t="s">
        <v>3601</v>
      </c>
      <c r="E1687" s="1" t="s">
        <v>3893</v>
      </c>
      <c r="F1687" s="1" t="s">
        <v>7807</v>
      </c>
      <c r="G1687" s="1" t="s">
        <v>6660</v>
      </c>
      <c r="H1687" s="1" t="s">
        <v>3604</v>
      </c>
      <c r="I1687" s="1" t="s">
        <v>7808</v>
      </c>
      <c r="J1687" s="1" t="s">
        <v>3606</v>
      </c>
      <c r="K1687" s="1"/>
      <c r="L1687" s="1"/>
      <c r="M1687" s="1"/>
    </row>
    <row x14ac:dyDescent="0.25" r="1688" customHeight="1" ht="18.75">
      <c r="A1688" s="1" t="s">
        <v>3693</v>
      </c>
      <c r="B1688" s="1" t="s">
        <v>6637</v>
      </c>
      <c r="C1688" s="1" t="s">
        <v>3619</v>
      </c>
      <c r="D1688" s="1" t="s">
        <v>3601</v>
      </c>
      <c r="E1688" s="1" t="s">
        <v>3664</v>
      </c>
      <c r="F1688" s="1" t="s">
        <v>7809</v>
      </c>
      <c r="G1688" s="1" t="s">
        <v>6660</v>
      </c>
      <c r="H1688" s="1" t="s">
        <v>3604</v>
      </c>
      <c r="I1688" s="1" t="s">
        <v>7810</v>
      </c>
      <c r="J1688" s="1" t="s">
        <v>3606</v>
      </c>
      <c r="K1688" s="1"/>
      <c r="L1688" s="1"/>
      <c r="M1688" s="1"/>
    </row>
    <row x14ac:dyDescent="0.25" r="1689" customHeight="1" ht="18.75">
      <c r="A1689" s="1" t="s">
        <v>3693</v>
      </c>
      <c r="B1689" s="1" t="s">
        <v>6637</v>
      </c>
      <c r="C1689" s="1" t="s">
        <v>3619</v>
      </c>
      <c r="D1689" s="1" t="s">
        <v>3601</v>
      </c>
      <c r="E1689" s="1" t="s">
        <v>3664</v>
      </c>
      <c r="F1689" s="1" t="s">
        <v>7811</v>
      </c>
      <c r="G1689" s="1" t="s">
        <v>6657</v>
      </c>
      <c r="H1689" s="1" t="s">
        <v>3604</v>
      </c>
      <c r="I1689" s="1" t="s">
        <v>7812</v>
      </c>
      <c r="J1689" s="1" t="s">
        <v>3606</v>
      </c>
      <c r="K1689" s="1"/>
      <c r="L1689" s="1"/>
      <c r="M1689" s="1"/>
    </row>
    <row x14ac:dyDescent="0.25" r="1690" customHeight="1" ht="18.75">
      <c r="A1690" s="1" t="s">
        <v>3693</v>
      </c>
      <c r="B1690" s="1" t="s">
        <v>6629</v>
      </c>
      <c r="C1690" s="1" t="s">
        <v>3619</v>
      </c>
      <c r="D1690" s="1" t="s">
        <v>3601</v>
      </c>
      <c r="E1690" s="1" t="s">
        <v>3893</v>
      </c>
      <c r="F1690" s="1" t="s">
        <v>7813</v>
      </c>
      <c r="G1690" s="1" t="s">
        <v>6687</v>
      </c>
      <c r="H1690" s="1" t="s">
        <v>3604</v>
      </c>
      <c r="I1690" s="1" t="s">
        <v>7814</v>
      </c>
      <c r="J1690" s="1" t="s">
        <v>3606</v>
      </c>
      <c r="K1690" s="1"/>
      <c r="L1690" s="1"/>
      <c r="M1690" s="1"/>
    </row>
    <row x14ac:dyDescent="0.25" r="1691" customHeight="1" ht="18.75">
      <c r="A1691" s="1" t="s">
        <v>3693</v>
      </c>
      <c r="B1691" s="1" t="s">
        <v>6629</v>
      </c>
      <c r="C1691" s="1" t="s">
        <v>3619</v>
      </c>
      <c r="D1691" s="1" t="s">
        <v>3601</v>
      </c>
      <c r="E1691" s="1" t="s">
        <v>3893</v>
      </c>
      <c r="F1691" s="1" t="s">
        <v>7815</v>
      </c>
      <c r="G1691" s="1" t="s">
        <v>6687</v>
      </c>
      <c r="H1691" s="1" t="s">
        <v>3604</v>
      </c>
      <c r="I1691" s="1" t="s">
        <v>7816</v>
      </c>
      <c r="J1691" s="1" t="s">
        <v>3606</v>
      </c>
      <c r="K1691" s="1"/>
      <c r="L1691" s="1"/>
      <c r="M1691" s="1"/>
    </row>
    <row x14ac:dyDescent="0.25" r="1692" customHeight="1" ht="18.75">
      <c r="A1692" s="1" t="s">
        <v>3693</v>
      </c>
      <c r="B1692" s="1" t="s">
        <v>6637</v>
      </c>
      <c r="C1692" s="1" t="s">
        <v>3619</v>
      </c>
      <c r="D1692" s="1" t="s">
        <v>3601</v>
      </c>
      <c r="E1692" s="1" t="s">
        <v>3893</v>
      </c>
      <c r="F1692" s="1" t="s">
        <v>7817</v>
      </c>
      <c r="G1692" s="1" t="s">
        <v>6648</v>
      </c>
      <c r="H1692" s="1" t="s">
        <v>3604</v>
      </c>
      <c r="I1692" s="1" t="s">
        <v>7818</v>
      </c>
      <c r="J1692" s="1" t="s">
        <v>3606</v>
      </c>
      <c r="K1692" s="1"/>
      <c r="L1692" s="1"/>
      <c r="M1692" s="1"/>
    </row>
    <row x14ac:dyDescent="0.25" r="1693" customHeight="1" ht="18.75">
      <c r="A1693" s="1" t="s">
        <v>3693</v>
      </c>
      <c r="B1693" s="1" t="s">
        <v>6637</v>
      </c>
      <c r="C1693" s="1" t="s">
        <v>3619</v>
      </c>
      <c r="D1693" s="1" t="s">
        <v>3601</v>
      </c>
      <c r="E1693" s="1" t="s">
        <v>3893</v>
      </c>
      <c r="F1693" s="1" t="s">
        <v>7819</v>
      </c>
      <c r="G1693" s="1" t="s">
        <v>6648</v>
      </c>
      <c r="H1693" s="1" t="s">
        <v>3604</v>
      </c>
      <c r="I1693" s="1" t="s">
        <v>7820</v>
      </c>
      <c r="J1693" s="1" t="s">
        <v>3606</v>
      </c>
      <c r="K1693" s="1"/>
      <c r="L1693" s="1"/>
      <c r="M1693" s="1"/>
    </row>
    <row x14ac:dyDescent="0.25" r="1694" customHeight="1" ht="18.75">
      <c r="A1694" s="1" t="s">
        <v>3693</v>
      </c>
      <c r="B1694" s="1" t="s">
        <v>6629</v>
      </c>
      <c r="C1694" s="1" t="s">
        <v>3619</v>
      </c>
      <c r="D1694" s="1" t="s">
        <v>3601</v>
      </c>
      <c r="E1694" s="1" t="s">
        <v>3893</v>
      </c>
      <c r="F1694" s="1" t="s">
        <v>7821</v>
      </c>
      <c r="G1694" s="1" t="s">
        <v>6687</v>
      </c>
      <c r="H1694" s="1" t="s">
        <v>3604</v>
      </c>
      <c r="I1694" s="1" t="s">
        <v>7822</v>
      </c>
      <c r="J1694" s="1" t="s">
        <v>3606</v>
      </c>
      <c r="K1694" s="1"/>
      <c r="L1694" s="1"/>
      <c r="M1694" s="1"/>
    </row>
    <row x14ac:dyDescent="0.25" r="1695" customHeight="1" ht="18.75">
      <c r="A1695" s="1" t="s">
        <v>3693</v>
      </c>
      <c r="B1695" s="1" t="s">
        <v>6629</v>
      </c>
      <c r="C1695" s="1" t="s">
        <v>3619</v>
      </c>
      <c r="D1695" s="1" t="s">
        <v>3601</v>
      </c>
      <c r="E1695" s="1" t="s">
        <v>3893</v>
      </c>
      <c r="F1695" s="1" t="s">
        <v>7823</v>
      </c>
      <c r="G1695" s="1" t="s">
        <v>6631</v>
      </c>
      <c r="H1695" s="1" t="s">
        <v>3604</v>
      </c>
      <c r="I1695" s="1" t="s">
        <v>7824</v>
      </c>
      <c r="J1695" s="1" t="s">
        <v>3606</v>
      </c>
      <c r="K1695" s="1"/>
      <c r="L1695" s="1"/>
      <c r="M1695" s="1"/>
    </row>
    <row x14ac:dyDescent="0.25" r="1696" customHeight="1" ht="18.75">
      <c r="A1696" s="1" t="s">
        <v>3693</v>
      </c>
      <c r="B1696" s="1" t="s">
        <v>6629</v>
      </c>
      <c r="C1696" s="1" t="s">
        <v>3619</v>
      </c>
      <c r="D1696" s="1" t="s">
        <v>3601</v>
      </c>
      <c r="E1696" s="1" t="s">
        <v>3893</v>
      </c>
      <c r="F1696" s="1" t="s">
        <v>7825</v>
      </c>
      <c r="G1696" s="1" t="s">
        <v>6631</v>
      </c>
      <c r="H1696" s="1" t="s">
        <v>3604</v>
      </c>
      <c r="I1696" s="1" t="s">
        <v>7826</v>
      </c>
      <c r="J1696" s="1" t="s">
        <v>3606</v>
      </c>
      <c r="K1696" s="1"/>
      <c r="L1696" s="1"/>
      <c r="M1696" s="1"/>
    </row>
    <row x14ac:dyDescent="0.25" r="1697" customHeight="1" ht="18.75">
      <c r="A1697" s="1" t="s">
        <v>3693</v>
      </c>
      <c r="B1697" s="1" t="s">
        <v>6629</v>
      </c>
      <c r="C1697" s="1" t="s">
        <v>3619</v>
      </c>
      <c r="D1697" s="1" t="s">
        <v>3601</v>
      </c>
      <c r="E1697" s="1" t="s">
        <v>3893</v>
      </c>
      <c r="F1697" s="1" t="s">
        <v>7827</v>
      </c>
      <c r="G1697" s="1" t="s">
        <v>6631</v>
      </c>
      <c r="H1697" s="1" t="s">
        <v>3604</v>
      </c>
      <c r="I1697" s="1" t="s">
        <v>7828</v>
      </c>
      <c r="J1697" s="1" t="s">
        <v>3606</v>
      </c>
      <c r="K1697" s="1"/>
      <c r="L1697" s="1"/>
      <c r="M1697" s="1"/>
    </row>
    <row x14ac:dyDescent="0.25" r="1698" customHeight="1" ht="18.75">
      <c r="A1698" s="1" t="s">
        <v>3693</v>
      </c>
      <c r="B1698" s="1" t="s">
        <v>6629</v>
      </c>
      <c r="C1698" s="1" t="s">
        <v>3619</v>
      </c>
      <c r="D1698" s="1" t="s">
        <v>3601</v>
      </c>
      <c r="E1698" s="1" t="s">
        <v>3893</v>
      </c>
      <c r="F1698" s="1" t="s">
        <v>7829</v>
      </c>
      <c r="G1698" s="1" t="s">
        <v>6687</v>
      </c>
      <c r="H1698" s="1" t="s">
        <v>3604</v>
      </c>
      <c r="I1698" s="1" t="s">
        <v>7830</v>
      </c>
      <c r="J1698" s="1" t="s">
        <v>3606</v>
      </c>
      <c r="K1698" s="1"/>
      <c r="L1698" s="1"/>
      <c r="M1698" s="1"/>
    </row>
    <row x14ac:dyDescent="0.25" r="1699" customHeight="1" ht="18.75">
      <c r="A1699" s="1" t="s">
        <v>3693</v>
      </c>
      <c r="B1699" s="1" t="s">
        <v>6629</v>
      </c>
      <c r="C1699" s="1" t="s">
        <v>3619</v>
      </c>
      <c r="D1699" s="1" t="s">
        <v>3601</v>
      </c>
      <c r="E1699" s="1" t="s">
        <v>3893</v>
      </c>
      <c r="F1699" s="1" t="s">
        <v>7831</v>
      </c>
      <c r="G1699" s="1" t="s">
        <v>6631</v>
      </c>
      <c r="H1699" s="1" t="s">
        <v>3604</v>
      </c>
      <c r="I1699" s="1" t="s">
        <v>7832</v>
      </c>
      <c r="J1699" s="1" t="s">
        <v>3606</v>
      </c>
      <c r="K1699" s="1"/>
      <c r="L1699" s="1"/>
      <c r="M1699" s="1"/>
    </row>
    <row x14ac:dyDescent="0.25" r="1700" customHeight="1" ht="18.75">
      <c r="A1700" s="1" t="s">
        <v>7833</v>
      </c>
      <c r="B1700" s="1" t="s">
        <v>7834</v>
      </c>
      <c r="C1700" s="1" t="s">
        <v>4488</v>
      </c>
      <c r="D1700" s="1" t="s">
        <v>3695</v>
      </c>
      <c r="E1700" s="1" t="s">
        <v>3664</v>
      </c>
      <c r="F1700" s="1" t="s">
        <v>7835</v>
      </c>
      <c r="G1700" s="1" t="s">
        <v>7836</v>
      </c>
      <c r="H1700" s="1" t="s">
        <v>3604</v>
      </c>
      <c r="I1700" s="1" t="s">
        <v>7837</v>
      </c>
      <c r="J1700" s="1" t="s">
        <v>3606</v>
      </c>
      <c r="K1700" s="1" t="s">
        <v>7838</v>
      </c>
      <c r="L1700" s="1" t="s">
        <v>3608</v>
      </c>
      <c r="M1700" s="1"/>
    </row>
    <row x14ac:dyDescent="0.25" r="1701" customHeight="1" ht="18.75">
      <c r="A1701" s="1" t="s">
        <v>7833</v>
      </c>
      <c r="B1701" s="1" t="s">
        <v>7834</v>
      </c>
      <c r="C1701" s="1" t="s">
        <v>4488</v>
      </c>
      <c r="D1701" s="1" t="s">
        <v>3695</v>
      </c>
      <c r="E1701" s="1" t="s">
        <v>3664</v>
      </c>
      <c r="F1701" s="1" t="s">
        <v>7839</v>
      </c>
      <c r="G1701" s="1" t="s">
        <v>7840</v>
      </c>
      <c r="H1701" s="1" t="s">
        <v>3604</v>
      </c>
      <c r="I1701" s="1" t="s">
        <v>7841</v>
      </c>
      <c r="J1701" s="1" t="s">
        <v>3606</v>
      </c>
      <c r="K1701" s="1" t="s">
        <v>7842</v>
      </c>
      <c r="L1701" s="1" t="s">
        <v>3608</v>
      </c>
      <c r="M1701" s="1"/>
    </row>
    <row x14ac:dyDescent="0.25" r="1702" customHeight="1" ht="18.75">
      <c r="A1702" s="1" t="s">
        <v>7833</v>
      </c>
      <c r="B1702" s="1" t="s">
        <v>7834</v>
      </c>
      <c r="C1702" s="1" t="s">
        <v>4488</v>
      </c>
      <c r="D1702" s="1" t="s">
        <v>3695</v>
      </c>
      <c r="E1702" s="1" t="s">
        <v>3664</v>
      </c>
      <c r="F1702" s="1" t="s">
        <v>7843</v>
      </c>
      <c r="G1702" s="1" t="s">
        <v>7844</v>
      </c>
      <c r="H1702" s="1" t="s">
        <v>3604</v>
      </c>
      <c r="I1702" s="1" t="s">
        <v>7845</v>
      </c>
      <c r="J1702" s="1" t="s">
        <v>3606</v>
      </c>
      <c r="K1702" s="1" t="s">
        <v>7846</v>
      </c>
      <c r="L1702" s="1" t="s">
        <v>3608</v>
      </c>
      <c r="M1702" s="1"/>
    </row>
    <row x14ac:dyDescent="0.25" r="1703" customHeight="1" ht="18.75">
      <c r="A1703" s="1" t="s">
        <v>3598</v>
      </c>
      <c r="B1703" s="1" t="s">
        <v>5239</v>
      </c>
      <c r="C1703" s="1" t="s">
        <v>3600</v>
      </c>
      <c r="D1703" s="1" t="s">
        <v>7847</v>
      </c>
      <c r="E1703" s="1"/>
      <c r="F1703" s="1" t="s">
        <v>7848</v>
      </c>
      <c r="G1703" s="1" t="s">
        <v>7849</v>
      </c>
      <c r="H1703" s="1" t="s">
        <v>3604</v>
      </c>
      <c r="I1703" s="1" t="s">
        <v>7850</v>
      </c>
      <c r="J1703" s="1" t="s">
        <v>3615</v>
      </c>
      <c r="K1703" s="1" t="s">
        <v>7851</v>
      </c>
      <c r="L1703" s="1"/>
      <c r="M1703" s="1"/>
    </row>
    <row x14ac:dyDescent="0.25" r="1704" customHeight="1" ht="18.75">
      <c r="A1704" s="1" t="s">
        <v>3598</v>
      </c>
      <c r="B1704" s="1" t="s">
        <v>4689</v>
      </c>
      <c r="C1704" s="1" t="s">
        <v>3600</v>
      </c>
      <c r="D1704" s="1" t="s">
        <v>7847</v>
      </c>
      <c r="E1704" s="1" t="s">
        <v>3752</v>
      </c>
      <c r="F1704" s="1" t="s">
        <v>7852</v>
      </c>
      <c r="G1704" s="1" t="s">
        <v>7853</v>
      </c>
      <c r="H1704" s="1" t="s">
        <v>3604</v>
      </c>
      <c r="I1704" s="1" t="s">
        <v>7854</v>
      </c>
      <c r="J1704" s="1" t="s">
        <v>3606</v>
      </c>
      <c r="K1704" s="1" t="s">
        <v>7855</v>
      </c>
      <c r="L1704" s="1"/>
      <c r="M1704" s="1"/>
    </row>
    <row x14ac:dyDescent="0.25" r="1705" customHeight="1" ht="18.75">
      <c r="A1705" s="1" t="s">
        <v>7833</v>
      </c>
      <c r="B1705" s="1" t="s">
        <v>7856</v>
      </c>
      <c r="C1705" s="1" t="s">
        <v>4488</v>
      </c>
      <c r="D1705" s="1" t="s">
        <v>3601</v>
      </c>
      <c r="E1705" s="1" t="s">
        <v>3752</v>
      </c>
      <c r="F1705" s="1" t="s">
        <v>7857</v>
      </c>
      <c r="G1705" s="1" t="s">
        <v>7858</v>
      </c>
      <c r="H1705" s="1" t="s">
        <v>3604</v>
      </c>
      <c r="I1705" s="1" t="s">
        <v>7859</v>
      </c>
      <c r="J1705" s="1" t="s">
        <v>3606</v>
      </c>
      <c r="K1705" s="1" t="s">
        <v>7860</v>
      </c>
      <c r="L1705" s="1"/>
      <c r="M1705" s="1"/>
    </row>
    <row x14ac:dyDescent="0.25" r="1706" customHeight="1" ht="18.75">
      <c r="A1706" s="1" t="s">
        <v>7833</v>
      </c>
      <c r="B1706" s="1" t="s">
        <v>7861</v>
      </c>
      <c r="C1706" s="1" t="s">
        <v>4488</v>
      </c>
      <c r="D1706" s="1" t="s">
        <v>3601</v>
      </c>
      <c r="E1706" s="1" t="s">
        <v>3752</v>
      </c>
      <c r="F1706" s="1" t="s">
        <v>7862</v>
      </c>
      <c r="G1706" s="1" t="s">
        <v>7863</v>
      </c>
      <c r="H1706" s="1" t="s">
        <v>3604</v>
      </c>
      <c r="I1706" s="1" t="s">
        <v>7864</v>
      </c>
      <c r="J1706" s="1" t="s">
        <v>3606</v>
      </c>
      <c r="K1706" s="1" t="s">
        <v>7860</v>
      </c>
      <c r="L1706" s="1"/>
      <c r="M1706" s="1"/>
    </row>
    <row x14ac:dyDescent="0.25" r="1707" customHeight="1" ht="18.75">
      <c r="A1707" s="1" t="s">
        <v>7833</v>
      </c>
      <c r="B1707" s="1" t="s">
        <v>7834</v>
      </c>
      <c r="C1707" s="1" t="s">
        <v>4488</v>
      </c>
      <c r="D1707" s="1" t="s">
        <v>3610</v>
      </c>
      <c r="E1707" s="1" t="s">
        <v>3664</v>
      </c>
      <c r="F1707" s="1" t="s">
        <v>7865</v>
      </c>
      <c r="G1707" s="1" t="s">
        <v>7844</v>
      </c>
      <c r="H1707" s="1" t="s">
        <v>3604</v>
      </c>
      <c r="I1707" s="1" t="s">
        <v>7866</v>
      </c>
      <c r="J1707" s="1" t="s">
        <v>3606</v>
      </c>
      <c r="K1707" s="1" t="s">
        <v>7867</v>
      </c>
      <c r="L1707" s="1" t="s">
        <v>7868</v>
      </c>
      <c r="M1707" s="1"/>
    </row>
    <row x14ac:dyDescent="0.25" r="1708" customHeight="1" ht="18.75">
      <c r="A1708" s="1" t="s">
        <v>7833</v>
      </c>
      <c r="B1708" s="1" t="s">
        <v>7834</v>
      </c>
      <c r="C1708" s="1" t="s">
        <v>4488</v>
      </c>
      <c r="D1708" s="1" t="s">
        <v>3610</v>
      </c>
      <c r="E1708" s="1" t="s">
        <v>3664</v>
      </c>
      <c r="F1708" s="1" t="s">
        <v>7869</v>
      </c>
      <c r="G1708" s="1" t="s">
        <v>7840</v>
      </c>
      <c r="H1708" s="1" t="s">
        <v>3604</v>
      </c>
      <c r="I1708" s="1" t="s">
        <v>7870</v>
      </c>
      <c r="J1708" s="1" t="s">
        <v>3606</v>
      </c>
      <c r="K1708" s="1" t="s">
        <v>7871</v>
      </c>
      <c r="L1708" s="1" t="s">
        <v>7868</v>
      </c>
      <c r="M1708" s="1"/>
    </row>
    <row x14ac:dyDescent="0.25" r="1709" customHeight="1" ht="18.75">
      <c r="A1709" s="1" t="s">
        <v>7833</v>
      </c>
      <c r="B1709" s="1" t="s">
        <v>7872</v>
      </c>
      <c r="C1709" s="1" t="s">
        <v>4488</v>
      </c>
      <c r="D1709" s="1" t="s">
        <v>3610</v>
      </c>
      <c r="E1709" s="1" t="s">
        <v>3664</v>
      </c>
      <c r="F1709" s="1" t="s">
        <v>7873</v>
      </c>
      <c r="G1709" s="1" t="s">
        <v>7874</v>
      </c>
      <c r="H1709" s="1" t="s">
        <v>3604</v>
      </c>
      <c r="I1709" s="1" t="s">
        <v>7875</v>
      </c>
      <c r="J1709" s="1" t="s">
        <v>3606</v>
      </c>
      <c r="K1709" s="1" t="s">
        <v>7876</v>
      </c>
      <c r="L1709" s="1" t="s">
        <v>7868</v>
      </c>
      <c r="M1709" s="1"/>
    </row>
    <row x14ac:dyDescent="0.25" r="1710" customHeight="1" ht="18.75">
      <c r="A1710" s="1" t="s">
        <v>7833</v>
      </c>
      <c r="B1710" s="1" t="s">
        <v>7877</v>
      </c>
      <c r="C1710" s="1" t="s">
        <v>4488</v>
      </c>
      <c r="D1710" s="1" t="s">
        <v>3610</v>
      </c>
      <c r="E1710" s="1" t="s">
        <v>3664</v>
      </c>
      <c r="F1710" s="1" t="s">
        <v>7878</v>
      </c>
      <c r="G1710" s="1" t="s">
        <v>7879</v>
      </c>
      <c r="H1710" s="1" t="s">
        <v>3604</v>
      </c>
      <c r="I1710" s="1" t="s">
        <v>7880</v>
      </c>
      <c r="J1710" s="1" t="s">
        <v>3606</v>
      </c>
      <c r="K1710" s="1" t="s">
        <v>7881</v>
      </c>
      <c r="L1710" s="1" t="s">
        <v>7868</v>
      </c>
      <c r="M1710" s="1"/>
    </row>
    <row x14ac:dyDescent="0.25" r="1711" customHeight="1" ht="18.75">
      <c r="A1711" s="1" t="s">
        <v>7833</v>
      </c>
      <c r="B1711" s="1" t="s">
        <v>7834</v>
      </c>
      <c r="C1711" s="1" t="s">
        <v>4488</v>
      </c>
      <c r="D1711" s="1" t="s">
        <v>533</v>
      </c>
      <c r="E1711" s="1" t="s">
        <v>3664</v>
      </c>
      <c r="F1711" s="1" t="s">
        <v>7882</v>
      </c>
      <c r="G1711" s="1" t="s">
        <v>7836</v>
      </c>
      <c r="H1711" s="1" t="s">
        <v>3604</v>
      </c>
      <c r="I1711" s="1" t="s">
        <v>7883</v>
      </c>
      <c r="J1711" s="1" t="s">
        <v>3606</v>
      </c>
      <c r="K1711" s="1" t="s">
        <v>7884</v>
      </c>
      <c r="L1711" s="1" t="s">
        <v>3608</v>
      </c>
      <c r="M1711" s="1"/>
    </row>
    <row x14ac:dyDescent="0.25" r="1712" customHeight="1" ht="18.75">
      <c r="A1712" s="1" t="s">
        <v>7833</v>
      </c>
      <c r="B1712" s="1" t="s">
        <v>7834</v>
      </c>
      <c r="C1712" s="1" t="s">
        <v>4488</v>
      </c>
      <c r="D1712" s="1" t="s">
        <v>533</v>
      </c>
      <c r="E1712" s="1" t="s">
        <v>3664</v>
      </c>
      <c r="F1712" s="1" t="s">
        <v>7885</v>
      </c>
      <c r="G1712" s="1" t="s">
        <v>7840</v>
      </c>
      <c r="H1712" s="1" t="s">
        <v>3604</v>
      </c>
      <c r="I1712" s="1" t="s">
        <v>7886</v>
      </c>
      <c r="J1712" s="1" t="s">
        <v>3606</v>
      </c>
      <c r="K1712" s="1" t="s">
        <v>7887</v>
      </c>
      <c r="L1712" s="1" t="s">
        <v>3608</v>
      </c>
      <c r="M1712" s="1"/>
    </row>
    <row x14ac:dyDescent="0.25" r="1713" customHeight="1" ht="18.75">
      <c r="A1713" s="1" t="s">
        <v>7833</v>
      </c>
      <c r="B1713" s="1" t="s">
        <v>7834</v>
      </c>
      <c r="C1713" s="1" t="s">
        <v>4488</v>
      </c>
      <c r="D1713" s="1" t="s">
        <v>533</v>
      </c>
      <c r="E1713" s="1" t="s">
        <v>3664</v>
      </c>
      <c r="F1713" s="1" t="s">
        <v>7888</v>
      </c>
      <c r="G1713" s="1" t="s">
        <v>7844</v>
      </c>
      <c r="H1713" s="1" t="s">
        <v>3604</v>
      </c>
      <c r="I1713" s="1" t="s">
        <v>7889</v>
      </c>
      <c r="J1713" s="1" t="s">
        <v>3606</v>
      </c>
      <c r="K1713" s="1" t="s">
        <v>7890</v>
      </c>
      <c r="L1713" s="1" t="s">
        <v>3608</v>
      </c>
      <c r="M1713" s="1"/>
    </row>
    <row x14ac:dyDescent="0.25" r="1714" customHeight="1" ht="18.75">
      <c r="A1714" s="1" t="s">
        <v>3617</v>
      </c>
      <c r="B1714" s="1" t="s">
        <v>5570</v>
      </c>
      <c r="C1714" s="1" t="s">
        <v>3619</v>
      </c>
      <c r="D1714" s="1" t="s">
        <v>7891</v>
      </c>
      <c r="E1714" s="1" t="s">
        <v>3893</v>
      </c>
      <c r="F1714" s="1" t="s">
        <v>7892</v>
      </c>
      <c r="G1714" s="1" t="s">
        <v>5572</v>
      </c>
      <c r="H1714" s="1" t="s">
        <v>3604</v>
      </c>
      <c r="I1714" s="1" t="s">
        <v>7893</v>
      </c>
      <c r="J1714" s="1" t="s">
        <v>3606</v>
      </c>
      <c r="K1714" s="1" t="s">
        <v>7894</v>
      </c>
      <c r="L1714" s="1"/>
      <c r="M1714" s="1"/>
    </row>
    <row x14ac:dyDescent="0.25" r="1715" customHeight="1" ht="18.75">
      <c r="A1715" s="1" t="s">
        <v>3617</v>
      </c>
      <c r="B1715" s="1" t="s">
        <v>5570</v>
      </c>
      <c r="C1715" s="1" t="s">
        <v>3619</v>
      </c>
      <c r="D1715" s="1" t="s">
        <v>533</v>
      </c>
      <c r="E1715" s="1" t="s">
        <v>3893</v>
      </c>
      <c r="F1715" s="1" t="s">
        <v>7895</v>
      </c>
      <c r="G1715" s="1" t="s">
        <v>5572</v>
      </c>
      <c r="H1715" s="1" t="s">
        <v>3604</v>
      </c>
      <c r="I1715" s="1" t="s">
        <v>7896</v>
      </c>
      <c r="J1715" s="1" t="s">
        <v>3606</v>
      </c>
      <c r="K1715" s="1" t="s">
        <v>7897</v>
      </c>
      <c r="L1715" s="1"/>
      <c r="M1715" s="1"/>
    </row>
    <row x14ac:dyDescent="0.25" r="1716" customHeight="1" ht="18.75">
      <c r="A1716" s="1" t="s">
        <v>3617</v>
      </c>
      <c r="B1716" s="1" t="s">
        <v>5544</v>
      </c>
      <c r="C1716" s="1" t="s">
        <v>3619</v>
      </c>
      <c r="D1716" s="1" t="s">
        <v>7891</v>
      </c>
      <c r="E1716" s="1" t="s">
        <v>3611</v>
      </c>
      <c r="F1716" s="1" t="s">
        <v>7898</v>
      </c>
      <c r="G1716" s="1" t="s">
        <v>5546</v>
      </c>
      <c r="H1716" s="1" t="s">
        <v>3604</v>
      </c>
      <c r="I1716" s="1" t="s">
        <v>7899</v>
      </c>
      <c r="J1716" s="1" t="s">
        <v>3606</v>
      </c>
      <c r="K1716" s="1" t="s">
        <v>7900</v>
      </c>
      <c r="L1716" s="1"/>
      <c r="M1716" s="1"/>
    </row>
    <row x14ac:dyDescent="0.25" r="1717" customHeight="1" ht="18.75">
      <c r="A1717" s="1" t="s">
        <v>3617</v>
      </c>
      <c r="B1717" s="1" t="s">
        <v>5544</v>
      </c>
      <c r="C1717" s="1" t="s">
        <v>3619</v>
      </c>
      <c r="D1717" s="1" t="s">
        <v>533</v>
      </c>
      <c r="E1717" s="1" t="s">
        <v>3981</v>
      </c>
      <c r="F1717" s="1" t="s">
        <v>7901</v>
      </c>
      <c r="G1717" s="1" t="s">
        <v>5546</v>
      </c>
      <c r="H1717" s="1" t="s">
        <v>3604</v>
      </c>
      <c r="I1717" s="1" t="s">
        <v>7902</v>
      </c>
      <c r="J1717" s="1" t="s">
        <v>3606</v>
      </c>
      <c r="K1717" s="1" t="s">
        <v>7903</v>
      </c>
      <c r="L1717" s="1"/>
      <c r="M1717" s="1"/>
    </row>
    <row x14ac:dyDescent="0.25" r="1718" customHeight="1" ht="18.75">
      <c r="A1718" s="1" t="s">
        <v>3617</v>
      </c>
      <c r="B1718" s="1" t="s">
        <v>7904</v>
      </c>
      <c r="C1718" s="1" t="s">
        <v>3619</v>
      </c>
      <c r="D1718" s="1" t="s">
        <v>7891</v>
      </c>
      <c r="E1718" s="1" t="s">
        <v>3981</v>
      </c>
      <c r="F1718" s="1" t="s">
        <v>7905</v>
      </c>
      <c r="G1718" s="1" t="s">
        <v>7906</v>
      </c>
      <c r="H1718" s="1" t="s">
        <v>3604</v>
      </c>
      <c r="I1718" s="1" t="s">
        <v>7907</v>
      </c>
      <c r="J1718" s="1" t="s">
        <v>3606</v>
      </c>
      <c r="K1718" s="1" t="s">
        <v>7908</v>
      </c>
      <c r="L1718" s="1"/>
      <c r="M1718" s="1"/>
    </row>
    <row x14ac:dyDescent="0.25" r="1719" customHeight="1" ht="18.75">
      <c r="A1719" s="1" t="s">
        <v>3617</v>
      </c>
      <c r="B1719" s="1" t="s">
        <v>7904</v>
      </c>
      <c r="C1719" s="1" t="s">
        <v>3619</v>
      </c>
      <c r="D1719" s="1" t="s">
        <v>7891</v>
      </c>
      <c r="E1719" s="1" t="s">
        <v>3981</v>
      </c>
      <c r="F1719" s="1" t="s">
        <v>7909</v>
      </c>
      <c r="G1719" s="1" t="s">
        <v>7906</v>
      </c>
      <c r="H1719" s="1" t="s">
        <v>3604</v>
      </c>
      <c r="I1719" s="1" t="s">
        <v>7910</v>
      </c>
      <c r="J1719" s="1" t="s">
        <v>3606</v>
      </c>
      <c r="K1719" s="1" t="s">
        <v>7911</v>
      </c>
      <c r="L1719" s="1"/>
      <c r="M1719" s="1"/>
    </row>
    <row x14ac:dyDescent="0.25" r="1720" customHeight="1" ht="18.75">
      <c r="A1720" s="1" t="s">
        <v>3617</v>
      </c>
      <c r="B1720" s="1" t="s">
        <v>7904</v>
      </c>
      <c r="C1720" s="1" t="s">
        <v>3619</v>
      </c>
      <c r="D1720" s="1" t="s">
        <v>7891</v>
      </c>
      <c r="E1720" s="1" t="s">
        <v>3981</v>
      </c>
      <c r="F1720" s="1" t="s">
        <v>7912</v>
      </c>
      <c r="G1720" s="1" t="s">
        <v>7906</v>
      </c>
      <c r="H1720" s="1" t="s">
        <v>3604</v>
      </c>
      <c r="I1720" s="1" t="s">
        <v>7913</v>
      </c>
      <c r="J1720" s="1" t="s">
        <v>3606</v>
      </c>
      <c r="K1720" s="1" t="s">
        <v>7914</v>
      </c>
      <c r="L1720" s="1"/>
      <c r="M1720" s="1"/>
    </row>
    <row x14ac:dyDescent="0.25" r="1721" customHeight="1" ht="18.75">
      <c r="A1721" s="1" t="s">
        <v>3617</v>
      </c>
      <c r="B1721" s="1" t="s">
        <v>7904</v>
      </c>
      <c r="C1721" s="1" t="s">
        <v>3619</v>
      </c>
      <c r="D1721" s="1" t="s">
        <v>7891</v>
      </c>
      <c r="E1721" s="1" t="s">
        <v>3981</v>
      </c>
      <c r="F1721" s="1" t="s">
        <v>7915</v>
      </c>
      <c r="G1721" s="1" t="s">
        <v>7906</v>
      </c>
      <c r="H1721" s="1" t="s">
        <v>3604</v>
      </c>
      <c r="I1721" s="1" t="s">
        <v>7916</v>
      </c>
      <c r="J1721" s="1" t="s">
        <v>3606</v>
      </c>
      <c r="K1721" s="1" t="s">
        <v>7908</v>
      </c>
      <c r="L1721" s="1"/>
      <c r="M1721" s="1"/>
    </row>
    <row x14ac:dyDescent="0.25" r="1722" customHeight="1" ht="18.75">
      <c r="A1722" s="1" t="s">
        <v>3617</v>
      </c>
      <c r="B1722" s="1" t="s">
        <v>7904</v>
      </c>
      <c r="C1722" s="1" t="s">
        <v>3619</v>
      </c>
      <c r="D1722" s="1" t="s">
        <v>7891</v>
      </c>
      <c r="E1722" s="1" t="s">
        <v>3981</v>
      </c>
      <c r="F1722" s="1" t="s">
        <v>7917</v>
      </c>
      <c r="G1722" s="1" t="s">
        <v>7906</v>
      </c>
      <c r="H1722" s="1" t="s">
        <v>3604</v>
      </c>
      <c r="I1722" s="1" t="s">
        <v>7918</v>
      </c>
      <c r="J1722" s="1" t="s">
        <v>3606</v>
      </c>
      <c r="K1722" s="1" t="s">
        <v>7911</v>
      </c>
      <c r="L1722" s="1"/>
      <c r="M1722" s="1"/>
    </row>
    <row x14ac:dyDescent="0.25" r="1723" customHeight="1" ht="18.75">
      <c r="A1723" s="1" t="s">
        <v>3617</v>
      </c>
      <c r="B1723" s="1" t="s">
        <v>7904</v>
      </c>
      <c r="C1723" s="1" t="s">
        <v>3619</v>
      </c>
      <c r="D1723" s="1" t="s">
        <v>7891</v>
      </c>
      <c r="E1723" s="1" t="s">
        <v>3981</v>
      </c>
      <c r="F1723" s="1" t="s">
        <v>7919</v>
      </c>
      <c r="G1723" s="1" t="s">
        <v>7906</v>
      </c>
      <c r="H1723" s="1" t="s">
        <v>3604</v>
      </c>
      <c r="I1723" s="1" t="s">
        <v>7920</v>
      </c>
      <c r="J1723" s="1" t="s">
        <v>3606</v>
      </c>
      <c r="K1723" s="1" t="s">
        <v>7914</v>
      </c>
      <c r="L1723" s="1"/>
      <c r="M1723" s="1"/>
    </row>
    <row x14ac:dyDescent="0.25" r="1724" customHeight="1" ht="18.75">
      <c r="A1724" s="1" t="s">
        <v>3617</v>
      </c>
      <c r="B1724" s="1" t="s">
        <v>5544</v>
      </c>
      <c r="C1724" s="1" t="s">
        <v>3619</v>
      </c>
      <c r="D1724" s="1" t="s">
        <v>533</v>
      </c>
      <c r="E1724" s="1" t="s">
        <v>3893</v>
      </c>
      <c r="F1724" s="1" t="s">
        <v>7921</v>
      </c>
      <c r="G1724" s="1" t="s">
        <v>7922</v>
      </c>
      <c r="H1724" s="1" t="s">
        <v>3604</v>
      </c>
      <c r="I1724" s="1" t="s">
        <v>7923</v>
      </c>
      <c r="J1724" s="1" t="s">
        <v>3606</v>
      </c>
      <c r="K1724" s="1" t="s">
        <v>7924</v>
      </c>
      <c r="L1724" s="1"/>
      <c r="M1724" s="1"/>
    </row>
    <row x14ac:dyDescent="0.25" r="1725" customHeight="1" ht="18.75">
      <c r="A1725" s="1" t="s">
        <v>3617</v>
      </c>
      <c r="B1725" s="1" t="s">
        <v>5544</v>
      </c>
      <c r="C1725" s="1" t="s">
        <v>3619</v>
      </c>
      <c r="D1725" s="1" t="s">
        <v>533</v>
      </c>
      <c r="E1725" s="1" t="s">
        <v>3981</v>
      </c>
      <c r="F1725" s="1" t="s">
        <v>7925</v>
      </c>
      <c r="G1725" s="1" t="s">
        <v>5564</v>
      </c>
      <c r="H1725" s="1" t="s">
        <v>3604</v>
      </c>
      <c r="I1725" s="1" t="s">
        <v>7926</v>
      </c>
      <c r="J1725" s="1" t="s">
        <v>3606</v>
      </c>
      <c r="K1725" s="1" t="s">
        <v>7927</v>
      </c>
      <c r="L1725" s="1"/>
      <c r="M1725" s="1"/>
    </row>
    <row x14ac:dyDescent="0.25" r="1726" customHeight="1" ht="18.75">
      <c r="A1726" s="1" t="s">
        <v>3617</v>
      </c>
      <c r="B1726" s="1" t="s">
        <v>4455</v>
      </c>
      <c r="C1726" s="1" t="s">
        <v>3619</v>
      </c>
      <c r="D1726" s="1" t="s">
        <v>533</v>
      </c>
      <c r="E1726" s="1" t="s">
        <v>3730</v>
      </c>
      <c r="F1726" s="1" t="s">
        <v>7928</v>
      </c>
      <c r="G1726" s="1" t="s">
        <v>7929</v>
      </c>
      <c r="H1726" s="1" t="s">
        <v>3604</v>
      </c>
      <c r="I1726" s="1" t="s">
        <v>7930</v>
      </c>
      <c r="J1726" s="1" t="s">
        <v>3606</v>
      </c>
      <c r="K1726" s="1" t="s">
        <v>7931</v>
      </c>
      <c r="L1726" s="1"/>
      <c r="M1726" s="1"/>
    </row>
    <row x14ac:dyDescent="0.25" r="1727" customHeight="1" ht="18.75">
      <c r="A1727" s="1" t="s">
        <v>3617</v>
      </c>
      <c r="B1727" s="1" t="s">
        <v>5222</v>
      </c>
      <c r="C1727" s="1" t="s">
        <v>3619</v>
      </c>
      <c r="D1727" s="1" t="s">
        <v>7932</v>
      </c>
      <c r="E1727" s="1" t="s">
        <v>7933</v>
      </c>
      <c r="F1727" s="1" t="s">
        <v>7934</v>
      </c>
      <c r="G1727" s="1" t="s">
        <v>7935</v>
      </c>
      <c r="H1727" s="1" t="s">
        <v>3604</v>
      </c>
      <c r="I1727" s="1" t="s">
        <v>7936</v>
      </c>
      <c r="J1727" s="1" t="s">
        <v>3606</v>
      </c>
      <c r="K1727" s="1" t="s">
        <v>7937</v>
      </c>
      <c r="L1727" s="1"/>
      <c r="M1727" s="1"/>
    </row>
    <row x14ac:dyDescent="0.25" r="1728" customHeight="1" ht="18.75">
      <c r="A1728" s="1" t="s">
        <v>3617</v>
      </c>
      <c r="B1728" s="1" t="s">
        <v>5222</v>
      </c>
      <c r="C1728" s="1" t="s">
        <v>3619</v>
      </c>
      <c r="D1728" s="1" t="s">
        <v>7932</v>
      </c>
      <c r="E1728" s="1" t="s">
        <v>7933</v>
      </c>
      <c r="F1728" s="1" t="s">
        <v>7938</v>
      </c>
      <c r="G1728" s="1" t="s">
        <v>7939</v>
      </c>
      <c r="H1728" s="1" t="s">
        <v>3604</v>
      </c>
      <c r="I1728" s="1" t="s">
        <v>7940</v>
      </c>
      <c r="J1728" s="1" t="s">
        <v>3606</v>
      </c>
      <c r="K1728" s="1" t="s">
        <v>7941</v>
      </c>
      <c r="L1728" s="1"/>
      <c r="M1728" s="1"/>
    </row>
    <row x14ac:dyDescent="0.25" r="1729" customHeight="1" ht="18.75">
      <c r="A1729" s="1" t="s">
        <v>3617</v>
      </c>
      <c r="B1729" s="1" t="s">
        <v>5570</v>
      </c>
      <c r="C1729" s="1" t="s">
        <v>3619</v>
      </c>
      <c r="D1729" s="1" t="s">
        <v>3610</v>
      </c>
      <c r="E1729" s="1" t="s">
        <v>3893</v>
      </c>
      <c r="F1729" s="1" t="s">
        <v>7942</v>
      </c>
      <c r="G1729" s="1" t="s">
        <v>5572</v>
      </c>
      <c r="H1729" s="1" t="s">
        <v>3604</v>
      </c>
      <c r="I1729" s="1" t="s">
        <v>7943</v>
      </c>
      <c r="J1729" s="1" t="s">
        <v>3606</v>
      </c>
      <c r="K1729" s="1" t="s">
        <v>7944</v>
      </c>
      <c r="L1729" s="1"/>
      <c r="M1729" s="1"/>
    </row>
    <row x14ac:dyDescent="0.25" r="1730" customHeight="1" ht="18.75">
      <c r="A1730" s="1" t="s">
        <v>3617</v>
      </c>
      <c r="B1730" s="1" t="s">
        <v>5570</v>
      </c>
      <c r="C1730" s="1" t="s">
        <v>3619</v>
      </c>
      <c r="D1730" s="1" t="s">
        <v>3610</v>
      </c>
      <c r="E1730" s="1" t="s">
        <v>3893</v>
      </c>
      <c r="F1730" s="1" t="s">
        <v>7945</v>
      </c>
      <c r="G1730" s="1" t="s">
        <v>5572</v>
      </c>
      <c r="H1730" s="1" t="s">
        <v>3604</v>
      </c>
      <c r="I1730" s="1" t="s">
        <v>7946</v>
      </c>
      <c r="J1730" s="1" t="s">
        <v>3606</v>
      </c>
      <c r="K1730" s="1" t="s">
        <v>7947</v>
      </c>
      <c r="L1730" s="1"/>
      <c r="M1730" s="1"/>
    </row>
    <row x14ac:dyDescent="0.25" r="1731" customHeight="1" ht="18.75">
      <c r="A1731" s="1" t="s">
        <v>3617</v>
      </c>
      <c r="B1731" s="1" t="s">
        <v>5570</v>
      </c>
      <c r="C1731" s="1" t="s">
        <v>3619</v>
      </c>
      <c r="D1731" s="1" t="s">
        <v>3610</v>
      </c>
      <c r="E1731" s="1" t="s">
        <v>3893</v>
      </c>
      <c r="F1731" s="1" t="s">
        <v>7948</v>
      </c>
      <c r="G1731" s="1" t="s">
        <v>5572</v>
      </c>
      <c r="H1731" s="1" t="s">
        <v>3604</v>
      </c>
      <c r="I1731" s="1" t="s">
        <v>7949</v>
      </c>
      <c r="J1731" s="1" t="s">
        <v>3606</v>
      </c>
      <c r="K1731" s="1" t="s">
        <v>7950</v>
      </c>
      <c r="L1731" s="1"/>
      <c r="M1731" s="1"/>
    </row>
    <row x14ac:dyDescent="0.25" r="1732" customHeight="1" ht="18.75">
      <c r="A1732" s="1" t="s">
        <v>3617</v>
      </c>
      <c r="B1732" s="1" t="s">
        <v>5544</v>
      </c>
      <c r="C1732" s="1" t="s">
        <v>3619</v>
      </c>
      <c r="D1732" s="1" t="s">
        <v>3610</v>
      </c>
      <c r="E1732" s="1" t="s">
        <v>3981</v>
      </c>
      <c r="F1732" s="1" t="s">
        <v>7951</v>
      </c>
      <c r="G1732" s="1" t="s">
        <v>5546</v>
      </c>
      <c r="H1732" s="1" t="s">
        <v>3604</v>
      </c>
      <c r="I1732" s="1" t="s">
        <v>7952</v>
      </c>
      <c r="J1732" s="1" t="s">
        <v>3606</v>
      </c>
      <c r="K1732" s="1" t="s">
        <v>7953</v>
      </c>
      <c r="L1732" s="1"/>
      <c r="M1732" s="1"/>
    </row>
    <row x14ac:dyDescent="0.25" r="1733" customHeight="1" ht="18.75">
      <c r="A1733" s="1" t="s">
        <v>3617</v>
      </c>
      <c r="B1733" s="1" t="s">
        <v>5544</v>
      </c>
      <c r="C1733" s="1" t="s">
        <v>3619</v>
      </c>
      <c r="D1733" s="1" t="s">
        <v>3610</v>
      </c>
      <c r="E1733" s="1" t="s">
        <v>3981</v>
      </c>
      <c r="F1733" s="1" t="s">
        <v>7954</v>
      </c>
      <c r="G1733" s="1" t="s">
        <v>5546</v>
      </c>
      <c r="H1733" s="1" t="s">
        <v>3604</v>
      </c>
      <c r="I1733" s="1" t="s">
        <v>7955</v>
      </c>
      <c r="J1733" s="1" t="s">
        <v>3606</v>
      </c>
      <c r="K1733" s="1" t="s">
        <v>7956</v>
      </c>
      <c r="L1733" s="1"/>
      <c r="M1733" s="1"/>
    </row>
    <row x14ac:dyDescent="0.25" r="1734" customHeight="1" ht="18.75">
      <c r="A1734" s="1" t="s">
        <v>3617</v>
      </c>
      <c r="B1734" s="1" t="s">
        <v>5544</v>
      </c>
      <c r="C1734" s="1" t="s">
        <v>3619</v>
      </c>
      <c r="D1734" s="1" t="s">
        <v>3610</v>
      </c>
      <c r="E1734" s="1" t="s">
        <v>3981</v>
      </c>
      <c r="F1734" s="1" t="s">
        <v>7957</v>
      </c>
      <c r="G1734" s="1" t="s">
        <v>5546</v>
      </c>
      <c r="H1734" s="1" t="s">
        <v>3604</v>
      </c>
      <c r="I1734" s="1" t="s">
        <v>7958</v>
      </c>
      <c r="J1734" s="1" t="s">
        <v>3606</v>
      </c>
      <c r="K1734" s="1" t="s">
        <v>7959</v>
      </c>
      <c r="L1734" s="1"/>
      <c r="M1734" s="1"/>
    </row>
    <row x14ac:dyDescent="0.25" r="1735" customHeight="1" ht="18.75">
      <c r="A1735" s="1" t="s">
        <v>3617</v>
      </c>
      <c r="B1735" s="1" t="s">
        <v>5544</v>
      </c>
      <c r="C1735" s="1" t="s">
        <v>3619</v>
      </c>
      <c r="D1735" s="1" t="s">
        <v>3610</v>
      </c>
      <c r="E1735" s="1" t="s">
        <v>3981</v>
      </c>
      <c r="F1735" s="1" t="s">
        <v>7960</v>
      </c>
      <c r="G1735" s="1" t="s">
        <v>5546</v>
      </c>
      <c r="H1735" s="1" t="s">
        <v>3604</v>
      </c>
      <c r="I1735" s="1" t="s">
        <v>7961</v>
      </c>
      <c r="J1735" s="1" t="s">
        <v>3606</v>
      </c>
      <c r="K1735" s="1" t="s">
        <v>7962</v>
      </c>
      <c r="L1735" s="1"/>
      <c r="M1735" s="1"/>
    </row>
    <row x14ac:dyDescent="0.25" r="1736" customHeight="1" ht="18.75">
      <c r="A1736" s="1" t="s">
        <v>3617</v>
      </c>
      <c r="B1736" s="1" t="s">
        <v>5544</v>
      </c>
      <c r="C1736" s="1" t="s">
        <v>3619</v>
      </c>
      <c r="D1736" s="1" t="s">
        <v>3610</v>
      </c>
      <c r="E1736" s="1" t="s">
        <v>3981</v>
      </c>
      <c r="F1736" s="1" t="s">
        <v>7963</v>
      </c>
      <c r="G1736" s="1" t="s">
        <v>5546</v>
      </c>
      <c r="H1736" s="1" t="s">
        <v>3604</v>
      </c>
      <c r="I1736" s="1" t="s">
        <v>7964</v>
      </c>
      <c r="J1736" s="1" t="s">
        <v>3606</v>
      </c>
      <c r="K1736" s="1" t="s">
        <v>7965</v>
      </c>
      <c r="L1736" s="1"/>
      <c r="M1736" s="1"/>
    </row>
    <row x14ac:dyDescent="0.25" r="1737" customHeight="1" ht="18.75">
      <c r="A1737" s="1" t="s">
        <v>3617</v>
      </c>
      <c r="B1737" s="1" t="s">
        <v>5544</v>
      </c>
      <c r="C1737" s="1" t="s">
        <v>3619</v>
      </c>
      <c r="D1737" s="1" t="s">
        <v>3610</v>
      </c>
      <c r="E1737" s="1" t="s">
        <v>3893</v>
      </c>
      <c r="F1737" s="1" t="s">
        <v>7966</v>
      </c>
      <c r="G1737" s="1" t="s">
        <v>5546</v>
      </c>
      <c r="H1737" s="1" t="s">
        <v>3604</v>
      </c>
      <c r="I1737" s="1" t="s">
        <v>7967</v>
      </c>
      <c r="J1737" s="1" t="s">
        <v>3606</v>
      </c>
      <c r="K1737" s="1" t="s">
        <v>7968</v>
      </c>
      <c r="L1737" s="1"/>
      <c r="M1737" s="1"/>
    </row>
    <row x14ac:dyDescent="0.25" r="1738" customHeight="1" ht="18.75">
      <c r="A1738" s="1" t="s">
        <v>3617</v>
      </c>
      <c r="B1738" s="1" t="s">
        <v>5544</v>
      </c>
      <c r="C1738" s="1" t="s">
        <v>3619</v>
      </c>
      <c r="D1738" s="1" t="s">
        <v>3610</v>
      </c>
      <c r="E1738" s="1" t="s">
        <v>3893</v>
      </c>
      <c r="F1738" s="1" t="s">
        <v>7969</v>
      </c>
      <c r="G1738" s="1" t="s">
        <v>5546</v>
      </c>
      <c r="H1738" s="1" t="s">
        <v>3604</v>
      </c>
      <c r="I1738" s="1" t="s">
        <v>7970</v>
      </c>
      <c r="J1738" s="1" t="s">
        <v>3606</v>
      </c>
      <c r="K1738" s="1" t="s">
        <v>7971</v>
      </c>
      <c r="L1738" s="1"/>
      <c r="M1738" s="1"/>
    </row>
    <row x14ac:dyDescent="0.25" r="1739" customHeight="1" ht="18.75">
      <c r="A1739" s="1" t="s">
        <v>3617</v>
      </c>
      <c r="B1739" s="1" t="s">
        <v>5544</v>
      </c>
      <c r="C1739" s="1" t="s">
        <v>3619</v>
      </c>
      <c r="D1739" s="1" t="s">
        <v>3610</v>
      </c>
      <c r="E1739" s="1" t="s">
        <v>3893</v>
      </c>
      <c r="F1739" s="1" t="s">
        <v>7972</v>
      </c>
      <c r="G1739" s="1" t="s">
        <v>5546</v>
      </c>
      <c r="H1739" s="1" t="s">
        <v>3604</v>
      </c>
      <c r="I1739" s="1" t="s">
        <v>7973</v>
      </c>
      <c r="J1739" s="1" t="s">
        <v>3606</v>
      </c>
      <c r="K1739" s="1" t="s">
        <v>7974</v>
      </c>
      <c r="L1739" s="1"/>
      <c r="M1739" s="1"/>
    </row>
    <row x14ac:dyDescent="0.25" r="1740" customHeight="1" ht="18.75">
      <c r="A1740" s="1" t="s">
        <v>3617</v>
      </c>
      <c r="B1740" s="1" t="s">
        <v>5544</v>
      </c>
      <c r="C1740" s="1" t="s">
        <v>3619</v>
      </c>
      <c r="D1740" s="1" t="s">
        <v>3610</v>
      </c>
      <c r="E1740" s="1" t="s">
        <v>3981</v>
      </c>
      <c r="F1740" s="1" t="s">
        <v>7975</v>
      </c>
      <c r="G1740" s="1" t="s">
        <v>5564</v>
      </c>
      <c r="H1740" s="1" t="s">
        <v>3604</v>
      </c>
      <c r="I1740" s="1" t="s">
        <v>7976</v>
      </c>
      <c r="J1740" s="1" t="s">
        <v>3606</v>
      </c>
      <c r="K1740" s="1" t="s">
        <v>7977</v>
      </c>
      <c r="L1740" s="1"/>
      <c r="M1740" s="1"/>
    </row>
    <row x14ac:dyDescent="0.25" r="1741" customHeight="1" ht="18.75">
      <c r="A1741" s="1" t="s">
        <v>3617</v>
      </c>
      <c r="B1741" s="1" t="s">
        <v>5544</v>
      </c>
      <c r="C1741" s="1" t="s">
        <v>3619</v>
      </c>
      <c r="D1741" s="1" t="s">
        <v>3610</v>
      </c>
      <c r="E1741" s="1" t="s">
        <v>3981</v>
      </c>
      <c r="F1741" s="1" t="s">
        <v>7978</v>
      </c>
      <c r="G1741" s="1" t="s">
        <v>5564</v>
      </c>
      <c r="H1741" s="1" t="s">
        <v>3604</v>
      </c>
      <c r="I1741" s="1" t="s">
        <v>7979</v>
      </c>
      <c r="J1741" s="1" t="s">
        <v>3606</v>
      </c>
      <c r="K1741" s="1" t="s">
        <v>7980</v>
      </c>
      <c r="L1741" s="1"/>
      <c r="M1741" s="1"/>
    </row>
    <row x14ac:dyDescent="0.25" r="1742" customHeight="1" ht="18.75">
      <c r="A1742" s="1" t="s">
        <v>3617</v>
      </c>
      <c r="B1742" s="1" t="s">
        <v>5544</v>
      </c>
      <c r="C1742" s="1" t="s">
        <v>3619</v>
      </c>
      <c r="D1742" s="1" t="s">
        <v>3610</v>
      </c>
      <c r="E1742" s="1" t="s">
        <v>3981</v>
      </c>
      <c r="F1742" s="1" t="s">
        <v>7981</v>
      </c>
      <c r="G1742" s="1" t="s">
        <v>5564</v>
      </c>
      <c r="H1742" s="1" t="s">
        <v>3604</v>
      </c>
      <c r="I1742" s="1" t="s">
        <v>7982</v>
      </c>
      <c r="J1742" s="1" t="s">
        <v>3606</v>
      </c>
      <c r="K1742" s="1" t="s">
        <v>7983</v>
      </c>
      <c r="L1742" s="1"/>
      <c r="M1742" s="1"/>
    </row>
    <row x14ac:dyDescent="0.25" r="1743" customHeight="1" ht="18.75">
      <c r="A1743" s="1" t="s">
        <v>3617</v>
      </c>
      <c r="B1743" s="1" t="s">
        <v>5544</v>
      </c>
      <c r="C1743" s="1" t="s">
        <v>3619</v>
      </c>
      <c r="D1743" s="1" t="s">
        <v>3610</v>
      </c>
      <c r="E1743" s="1" t="s">
        <v>3981</v>
      </c>
      <c r="F1743" s="1" t="s">
        <v>7984</v>
      </c>
      <c r="G1743" s="1" t="s">
        <v>5564</v>
      </c>
      <c r="H1743" s="1" t="s">
        <v>3604</v>
      </c>
      <c r="I1743" s="1" t="s">
        <v>7985</v>
      </c>
      <c r="J1743" s="1" t="s">
        <v>3606</v>
      </c>
      <c r="K1743" s="1" t="s">
        <v>7986</v>
      </c>
      <c r="L1743" s="1"/>
      <c r="M1743" s="1"/>
    </row>
    <row x14ac:dyDescent="0.25" r="1744" customHeight="1" ht="18.75">
      <c r="A1744" s="1" t="s">
        <v>3617</v>
      </c>
      <c r="B1744" s="1" t="s">
        <v>5544</v>
      </c>
      <c r="C1744" s="1" t="s">
        <v>3619</v>
      </c>
      <c r="D1744" s="1" t="s">
        <v>3610</v>
      </c>
      <c r="E1744" s="1" t="s">
        <v>3981</v>
      </c>
      <c r="F1744" s="1" t="s">
        <v>7987</v>
      </c>
      <c r="G1744" s="1" t="s">
        <v>5564</v>
      </c>
      <c r="H1744" s="1" t="s">
        <v>3604</v>
      </c>
      <c r="I1744" s="1" t="s">
        <v>7988</v>
      </c>
      <c r="J1744" s="1" t="s">
        <v>3606</v>
      </c>
      <c r="K1744" s="1" t="s">
        <v>7989</v>
      </c>
      <c r="L1744" s="1"/>
      <c r="M1744" s="1"/>
    </row>
    <row x14ac:dyDescent="0.25" r="1745" customHeight="1" ht="18.75">
      <c r="A1745" s="1" t="s">
        <v>3617</v>
      </c>
      <c r="B1745" s="1" t="s">
        <v>5544</v>
      </c>
      <c r="C1745" s="1" t="s">
        <v>3619</v>
      </c>
      <c r="D1745" s="1" t="s">
        <v>3610</v>
      </c>
      <c r="E1745" s="1" t="s">
        <v>3893</v>
      </c>
      <c r="F1745" s="1" t="s">
        <v>7990</v>
      </c>
      <c r="G1745" s="1" t="s">
        <v>5564</v>
      </c>
      <c r="H1745" s="1" t="s">
        <v>3604</v>
      </c>
      <c r="I1745" s="1" t="s">
        <v>7991</v>
      </c>
      <c r="J1745" s="1" t="s">
        <v>3606</v>
      </c>
      <c r="K1745" s="1" t="s">
        <v>7992</v>
      </c>
      <c r="L1745" s="1"/>
      <c r="M1745" s="1"/>
    </row>
    <row x14ac:dyDescent="0.25" r="1746" customHeight="1" ht="18.75">
      <c r="A1746" s="1" t="s">
        <v>3617</v>
      </c>
      <c r="B1746" s="1" t="s">
        <v>7993</v>
      </c>
      <c r="C1746" s="1" t="s">
        <v>3619</v>
      </c>
      <c r="D1746" s="1" t="s">
        <v>7994</v>
      </c>
      <c r="E1746" s="1"/>
      <c r="F1746" s="1" t="s">
        <v>7995</v>
      </c>
      <c r="G1746" s="1" t="s">
        <v>7334</v>
      </c>
      <c r="H1746" s="1" t="s">
        <v>3604</v>
      </c>
      <c r="I1746" s="1" t="s">
        <v>7996</v>
      </c>
      <c r="J1746" s="1" t="s">
        <v>3606</v>
      </c>
      <c r="K1746" s="1" t="s">
        <v>7997</v>
      </c>
      <c r="L1746" s="1" t="s">
        <v>3608</v>
      </c>
      <c r="M1746" s="1"/>
    </row>
    <row x14ac:dyDescent="0.25" r="1747" customHeight="1" ht="18.75">
      <c r="A1747" s="1" t="s">
        <v>3617</v>
      </c>
      <c r="B1747" s="1" t="s">
        <v>7998</v>
      </c>
      <c r="C1747" s="1" t="s">
        <v>3619</v>
      </c>
      <c r="D1747" s="1" t="s">
        <v>7994</v>
      </c>
      <c r="E1747" s="1"/>
      <c r="F1747" s="1" t="s">
        <v>7999</v>
      </c>
      <c r="G1747" s="1" t="s">
        <v>8000</v>
      </c>
      <c r="H1747" s="1" t="s">
        <v>3604</v>
      </c>
      <c r="I1747" s="1" t="s">
        <v>8001</v>
      </c>
      <c r="J1747" s="1" t="s">
        <v>3606</v>
      </c>
      <c r="K1747" s="1" t="s">
        <v>7997</v>
      </c>
      <c r="L1747" s="1" t="s">
        <v>3608</v>
      </c>
      <c r="M1747" s="1"/>
    </row>
    <row x14ac:dyDescent="0.25" r="1748" customHeight="1" ht="18.75">
      <c r="A1748" s="1" t="s">
        <v>3617</v>
      </c>
      <c r="B1748" s="1" t="s">
        <v>5570</v>
      </c>
      <c r="C1748" s="1" t="s">
        <v>3619</v>
      </c>
      <c r="D1748" s="1" t="s">
        <v>3695</v>
      </c>
      <c r="E1748" s="1" t="s">
        <v>3893</v>
      </c>
      <c r="F1748" s="1" t="s">
        <v>8002</v>
      </c>
      <c r="G1748" s="1" t="s">
        <v>5572</v>
      </c>
      <c r="H1748" s="1" t="s">
        <v>3604</v>
      </c>
      <c r="I1748" s="1" t="s">
        <v>8003</v>
      </c>
      <c r="J1748" s="1" t="s">
        <v>3606</v>
      </c>
      <c r="K1748" s="1" t="s">
        <v>8004</v>
      </c>
      <c r="L1748" s="1"/>
      <c r="M1748" s="1"/>
    </row>
    <row x14ac:dyDescent="0.25" r="1749" customHeight="1" ht="18.75">
      <c r="A1749" s="1" t="s">
        <v>3617</v>
      </c>
      <c r="B1749" s="1" t="s">
        <v>5570</v>
      </c>
      <c r="C1749" s="1" t="s">
        <v>3619</v>
      </c>
      <c r="D1749" s="1" t="s">
        <v>3695</v>
      </c>
      <c r="E1749" s="1" t="s">
        <v>3893</v>
      </c>
      <c r="F1749" s="1" t="s">
        <v>8005</v>
      </c>
      <c r="G1749" s="1" t="s">
        <v>5572</v>
      </c>
      <c r="H1749" s="1" t="s">
        <v>3604</v>
      </c>
      <c r="I1749" s="1" t="s">
        <v>8006</v>
      </c>
      <c r="J1749" s="1" t="s">
        <v>3606</v>
      </c>
      <c r="K1749" s="1" t="s">
        <v>8007</v>
      </c>
      <c r="L1749" s="1"/>
      <c r="M1749" s="1"/>
    </row>
    <row x14ac:dyDescent="0.25" r="1750" customHeight="1" ht="18.75">
      <c r="A1750" s="1" t="s">
        <v>3617</v>
      </c>
      <c r="B1750" s="1" t="s">
        <v>5570</v>
      </c>
      <c r="C1750" s="1" t="s">
        <v>3619</v>
      </c>
      <c r="D1750" s="1" t="s">
        <v>3695</v>
      </c>
      <c r="E1750" s="1" t="s">
        <v>3893</v>
      </c>
      <c r="F1750" s="1" t="s">
        <v>8008</v>
      </c>
      <c r="G1750" s="1" t="s">
        <v>5572</v>
      </c>
      <c r="H1750" s="1" t="s">
        <v>3604</v>
      </c>
      <c r="I1750" s="1" t="s">
        <v>8009</v>
      </c>
      <c r="J1750" s="1" t="s">
        <v>3606</v>
      </c>
      <c r="K1750" s="1" t="s">
        <v>8010</v>
      </c>
      <c r="L1750" s="1"/>
      <c r="M1750" s="1"/>
    </row>
    <row x14ac:dyDescent="0.25" r="1751" customHeight="1" ht="18.75">
      <c r="A1751" s="1" t="s">
        <v>3617</v>
      </c>
      <c r="B1751" s="1" t="s">
        <v>5544</v>
      </c>
      <c r="C1751" s="1" t="s">
        <v>3619</v>
      </c>
      <c r="D1751" s="1" t="s">
        <v>7891</v>
      </c>
      <c r="E1751" s="1" t="s">
        <v>3611</v>
      </c>
      <c r="F1751" s="1" t="s">
        <v>8011</v>
      </c>
      <c r="G1751" s="1" t="s">
        <v>5546</v>
      </c>
      <c r="H1751" s="1" t="s">
        <v>3604</v>
      </c>
      <c r="I1751" s="1" t="s">
        <v>8012</v>
      </c>
      <c r="J1751" s="1" t="s">
        <v>3606</v>
      </c>
      <c r="K1751" s="1" t="s">
        <v>8013</v>
      </c>
      <c r="L1751" s="1"/>
      <c r="M1751" s="1"/>
    </row>
    <row x14ac:dyDescent="0.25" r="1752" customHeight="1" ht="18.75">
      <c r="A1752" s="1" t="s">
        <v>3617</v>
      </c>
      <c r="B1752" s="1" t="s">
        <v>5544</v>
      </c>
      <c r="C1752" s="1" t="s">
        <v>3619</v>
      </c>
      <c r="D1752" s="1" t="s">
        <v>7891</v>
      </c>
      <c r="E1752" s="1" t="s">
        <v>3611</v>
      </c>
      <c r="F1752" s="1" t="s">
        <v>8014</v>
      </c>
      <c r="G1752" s="1" t="s">
        <v>5564</v>
      </c>
      <c r="H1752" s="1" t="s">
        <v>3604</v>
      </c>
      <c r="I1752" s="1" t="s">
        <v>8015</v>
      </c>
      <c r="J1752" s="1" t="s">
        <v>3606</v>
      </c>
      <c r="K1752" s="1" t="s">
        <v>8016</v>
      </c>
      <c r="L1752" s="1"/>
      <c r="M1752" s="1"/>
    </row>
    <row x14ac:dyDescent="0.25" r="1753" customHeight="1" ht="18.75">
      <c r="A1753" s="1" t="s">
        <v>3617</v>
      </c>
      <c r="B1753" s="1" t="s">
        <v>5544</v>
      </c>
      <c r="C1753" s="1" t="s">
        <v>3619</v>
      </c>
      <c r="D1753" s="1" t="s">
        <v>7891</v>
      </c>
      <c r="E1753" s="1" t="s">
        <v>3611</v>
      </c>
      <c r="F1753" s="1" t="s">
        <v>8017</v>
      </c>
      <c r="G1753" s="1" t="s">
        <v>5564</v>
      </c>
      <c r="H1753" s="1" t="s">
        <v>3604</v>
      </c>
      <c r="I1753" s="1" t="s">
        <v>8018</v>
      </c>
      <c r="J1753" s="1" t="s">
        <v>3606</v>
      </c>
      <c r="K1753" s="1" t="s">
        <v>8019</v>
      </c>
      <c r="L1753" s="1"/>
      <c r="M1753" s="1"/>
    </row>
    <row x14ac:dyDescent="0.25" r="1754" customHeight="1" ht="18.75">
      <c r="A1754" s="1" t="s">
        <v>3617</v>
      </c>
      <c r="B1754" s="1" t="s">
        <v>4128</v>
      </c>
      <c r="C1754" s="1" t="s">
        <v>3619</v>
      </c>
      <c r="D1754" s="1" t="s">
        <v>7847</v>
      </c>
      <c r="E1754" s="1" t="s">
        <v>3893</v>
      </c>
      <c r="F1754" s="1" t="s">
        <v>8020</v>
      </c>
      <c r="G1754" s="1" t="s">
        <v>8021</v>
      </c>
      <c r="H1754" s="1" t="s">
        <v>3604</v>
      </c>
      <c r="I1754" s="1" t="s">
        <v>8022</v>
      </c>
      <c r="J1754" s="1" t="s">
        <v>3606</v>
      </c>
      <c r="K1754" s="1"/>
      <c r="L1754" s="1"/>
      <c r="M1754" s="1"/>
    </row>
    <row x14ac:dyDescent="0.25" r="1755" customHeight="1" ht="18.75">
      <c r="A1755" s="1" t="s">
        <v>3617</v>
      </c>
      <c r="B1755" s="1" t="s">
        <v>4128</v>
      </c>
      <c r="C1755" s="1" t="s">
        <v>3619</v>
      </c>
      <c r="D1755" s="1" t="s">
        <v>7847</v>
      </c>
      <c r="E1755" s="1" t="s">
        <v>3893</v>
      </c>
      <c r="F1755" s="1" t="s">
        <v>8023</v>
      </c>
      <c r="G1755" s="1" t="s">
        <v>8021</v>
      </c>
      <c r="H1755" s="1" t="s">
        <v>3604</v>
      </c>
      <c r="I1755" s="1" t="s">
        <v>8024</v>
      </c>
      <c r="J1755" s="1" t="s">
        <v>3606</v>
      </c>
      <c r="K1755" s="1"/>
      <c r="L1755" s="1"/>
      <c r="M1755" s="1"/>
    </row>
    <row x14ac:dyDescent="0.25" r="1756" customHeight="1" ht="18.75">
      <c r="A1756" s="1" t="s">
        <v>3617</v>
      </c>
      <c r="B1756" s="1" t="s">
        <v>4589</v>
      </c>
      <c r="C1756" s="1" t="s">
        <v>3619</v>
      </c>
      <c r="D1756" s="1" t="s">
        <v>7891</v>
      </c>
      <c r="E1756" s="1" t="s">
        <v>3893</v>
      </c>
      <c r="F1756" s="1" t="s">
        <v>8025</v>
      </c>
      <c r="G1756" s="1" t="s">
        <v>8026</v>
      </c>
      <c r="H1756" s="1" t="s">
        <v>3604</v>
      </c>
      <c r="I1756" s="1" t="s">
        <v>8027</v>
      </c>
      <c r="J1756" s="1" t="s">
        <v>3606</v>
      </c>
      <c r="K1756" s="1" t="s">
        <v>8028</v>
      </c>
      <c r="L1756" s="1"/>
      <c r="M1756" s="1"/>
    </row>
    <row x14ac:dyDescent="0.25" r="1757" customHeight="1" ht="18.75">
      <c r="A1757" s="1" t="s">
        <v>3617</v>
      </c>
      <c r="B1757" s="1" t="s">
        <v>4589</v>
      </c>
      <c r="C1757" s="1" t="s">
        <v>3619</v>
      </c>
      <c r="D1757" s="1" t="s">
        <v>7891</v>
      </c>
      <c r="E1757" s="1" t="s">
        <v>3893</v>
      </c>
      <c r="F1757" s="1" t="s">
        <v>8029</v>
      </c>
      <c r="G1757" s="1" t="s">
        <v>8026</v>
      </c>
      <c r="H1757" s="1" t="s">
        <v>3604</v>
      </c>
      <c r="I1757" s="1" t="s">
        <v>8030</v>
      </c>
      <c r="J1757" s="1" t="s">
        <v>3606</v>
      </c>
      <c r="K1757" s="1" t="s">
        <v>8031</v>
      </c>
      <c r="L1757" s="1"/>
      <c r="M1757" s="1"/>
    </row>
    <row x14ac:dyDescent="0.25" r="1758" customHeight="1" ht="18.75">
      <c r="A1758" s="1" t="s">
        <v>3617</v>
      </c>
      <c r="B1758" s="1" t="s">
        <v>4589</v>
      </c>
      <c r="C1758" s="1" t="s">
        <v>3619</v>
      </c>
      <c r="D1758" s="1" t="s">
        <v>7891</v>
      </c>
      <c r="E1758" s="1" t="s">
        <v>3893</v>
      </c>
      <c r="F1758" s="1" t="s">
        <v>8032</v>
      </c>
      <c r="G1758" s="1" t="s">
        <v>8026</v>
      </c>
      <c r="H1758" s="1" t="s">
        <v>3604</v>
      </c>
      <c r="I1758" s="1" t="s">
        <v>8033</v>
      </c>
      <c r="J1758" s="1" t="s">
        <v>3606</v>
      </c>
      <c r="K1758" s="1" t="s">
        <v>8034</v>
      </c>
      <c r="L1758" s="1"/>
      <c r="M1758" s="1"/>
    </row>
    <row x14ac:dyDescent="0.25" r="1759" customHeight="1" ht="18.75">
      <c r="A1759" s="1" t="s">
        <v>3617</v>
      </c>
      <c r="B1759" s="1" t="s">
        <v>4589</v>
      </c>
      <c r="C1759" s="1" t="s">
        <v>3619</v>
      </c>
      <c r="D1759" s="1" t="s">
        <v>7891</v>
      </c>
      <c r="E1759" s="1" t="s">
        <v>3730</v>
      </c>
      <c r="F1759" s="1" t="s">
        <v>8035</v>
      </c>
      <c r="G1759" s="1" t="s">
        <v>8026</v>
      </c>
      <c r="H1759" s="1" t="s">
        <v>3604</v>
      </c>
      <c r="I1759" s="1" t="s">
        <v>8036</v>
      </c>
      <c r="J1759" s="1" t="s">
        <v>3606</v>
      </c>
      <c r="K1759" s="1" t="s">
        <v>8037</v>
      </c>
      <c r="L1759" s="1"/>
      <c r="M1759" s="1"/>
    </row>
    <row x14ac:dyDescent="0.25" r="1760" customHeight="1" ht="18.75">
      <c r="A1760" s="1" t="s">
        <v>3617</v>
      </c>
      <c r="B1760" s="1" t="s">
        <v>4589</v>
      </c>
      <c r="C1760" s="1" t="s">
        <v>3619</v>
      </c>
      <c r="D1760" s="1" t="s">
        <v>7891</v>
      </c>
      <c r="E1760" s="1" t="s">
        <v>3730</v>
      </c>
      <c r="F1760" s="1" t="s">
        <v>8038</v>
      </c>
      <c r="G1760" s="1" t="s">
        <v>8026</v>
      </c>
      <c r="H1760" s="1" t="s">
        <v>3604</v>
      </c>
      <c r="I1760" s="1" t="s">
        <v>8039</v>
      </c>
      <c r="J1760" s="1" t="s">
        <v>3606</v>
      </c>
      <c r="K1760" s="1" t="s">
        <v>8040</v>
      </c>
      <c r="L1760" s="1"/>
      <c r="M1760" s="1"/>
    </row>
    <row x14ac:dyDescent="0.25" r="1761" customHeight="1" ht="18.75">
      <c r="A1761" s="1" t="s">
        <v>3617</v>
      </c>
      <c r="B1761" s="1" t="s">
        <v>4589</v>
      </c>
      <c r="C1761" s="1" t="s">
        <v>3619</v>
      </c>
      <c r="D1761" s="1" t="s">
        <v>7891</v>
      </c>
      <c r="E1761" s="1" t="s">
        <v>3730</v>
      </c>
      <c r="F1761" s="1" t="s">
        <v>8041</v>
      </c>
      <c r="G1761" s="1" t="s">
        <v>8026</v>
      </c>
      <c r="H1761" s="1" t="s">
        <v>3604</v>
      </c>
      <c r="I1761" s="1" t="s">
        <v>8042</v>
      </c>
      <c r="J1761" s="1" t="s">
        <v>3606</v>
      </c>
      <c r="K1761" s="1" t="s">
        <v>8043</v>
      </c>
      <c r="L1761" s="1"/>
      <c r="M1761" s="1"/>
    </row>
    <row x14ac:dyDescent="0.25" r="1762" customHeight="1" ht="18.75">
      <c r="A1762" s="1" t="s">
        <v>3617</v>
      </c>
      <c r="B1762" s="1" t="s">
        <v>4589</v>
      </c>
      <c r="C1762" s="1" t="s">
        <v>3619</v>
      </c>
      <c r="D1762" s="1" t="s">
        <v>7891</v>
      </c>
      <c r="E1762" s="1" t="s">
        <v>3893</v>
      </c>
      <c r="F1762" s="1" t="s">
        <v>8044</v>
      </c>
      <c r="G1762" s="1" t="s">
        <v>8045</v>
      </c>
      <c r="H1762" s="1" t="s">
        <v>3604</v>
      </c>
      <c r="I1762" s="1" t="s">
        <v>8046</v>
      </c>
      <c r="J1762" s="1" t="s">
        <v>3606</v>
      </c>
      <c r="K1762" s="1" t="s">
        <v>8047</v>
      </c>
      <c r="L1762" s="1"/>
      <c r="M1762" s="1"/>
    </row>
    <row x14ac:dyDescent="0.25" r="1763" customHeight="1" ht="18.75">
      <c r="A1763" s="1" t="s">
        <v>3617</v>
      </c>
      <c r="B1763" s="1" t="s">
        <v>4589</v>
      </c>
      <c r="C1763" s="1" t="s">
        <v>3619</v>
      </c>
      <c r="D1763" s="1" t="s">
        <v>7891</v>
      </c>
      <c r="E1763" s="1" t="s">
        <v>3893</v>
      </c>
      <c r="F1763" s="1" t="s">
        <v>8048</v>
      </c>
      <c r="G1763" s="1" t="s">
        <v>8045</v>
      </c>
      <c r="H1763" s="1" t="s">
        <v>3604</v>
      </c>
      <c r="I1763" s="1" t="s">
        <v>8049</v>
      </c>
      <c r="J1763" s="1" t="s">
        <v>3606</v>
      </c>
      <c r="K1763" s="1" t="s">
        <v>8050</v>
      </c>
      <c r="L1763" s="1"/>
      <c r="M1763" s="1"/>
    </row>
    <row x14ac:dyDescent="0.25" r="1764" customHeight="1" ht="18.75">
      <c r="A1764" s="1" t="s">
        <v>3617</v>
      </c>
      <c r="B1764" s="1" t="s">
        <v>4589</v>
      </c>
      <c r="C1764" s="1" t="s">
        <v>3619</v>
      </c>
      <c r="D1764" s="1" t="s">
        <v>7891</v>
      </c>
      <c r="E1764" s="1" t="s">
        <v>3893</v>
      </c>
      <c r="F1764" s="1" t="s">
        <v>8051</v>
      </c>
      <c r="G1764" s="1" t="s">
        <v>8045</v>
      </c>
      <c r="H1764" s="1" t="s">
        <v>3604</v>
      </c>
      <c r="I1764" s="1" t="s">
        <v>8052</v>
      </c>
      <c r="J1764" s="1" t="s">
        <v>3606</v>
      </c>
      <c r="K1764" s="1" t="s">
        <v>8053</v>
      </c>
      <c r="L1764" s="1"/>
      <c r="M1764" s="1"/>
    </row>
    <row x14ac:dyDescent="0.25" r="1765" customHeight="1" ht="18.75">
      <c r="A1765" s="1" t="s">
        <v>3617</v>
      </c>
      <c r="B1765" s="1" t="s">
        <v>4589</v>
      </c>
      <c r="C1765" s="1" t="s">
        <v>3619</v>
      </c>
      <c r="D1765" s="1" t="s">
        <v>7891</v>
      </c>
      <c r="E1765" s="1" t="s">
        <v>3730</v>
      </c>
      <c r="F1765" s="1" t="s">
        <v>8054</v>
      </c>
      <c r="G1765" s="1" t="s">
        <v>8045</v>
      </c>
      <c r="H1765" s="1" t="s">
        <v>3604</v>
      </c>
      <c r="I1765" s="1" t="s">
        <v>8055</v>
      </c>
      <c r="J1765" s="1" t="s">
        <v>3606</v>
      </c>
      <c r="K1765" s="1" t="s">
        <v>8056</v>
      </c>
      <c r="L1765" s="1"/>
      <c r="M1765" s="1"/>
    </row>
    <row x14ac:dyDescent="0.25" r="1766" customHeight="1" ht="18.75">
      <c r="A1766" s="1" t="s">
        <v>3617</v>
      </c>
      <c r="B1766" s="1" t="s">
        <v>4589</v>
      </c>
      <c r="C1766" s="1" t="s">
        <v>3619</v>
      </c>
      <c r="D1766" s="1" t="s">
        <v>7891</v>
      </c>
      <c r="E1766" s="1" t="s">
        <v>3730</v>
      </c>
      <c r="F1766" s="1" t="s">
        <v>8057</v>
      </c>
      <c r="G1766" s="1" t="s">
        <v>8045</v>
      </c>
      <c r="H1766" s="1" t="s">
        <v>3604</v>
      </c>
      <c r="I1766" s="1" t="s">
        <v>8058</v>
      </c>
      <c r="J1766" s="1" t="s">
        <v>3606</v>
      </c>
      <c r="K1766" s="1" t="s">
        <v>8059</v>
      </c>
      <c r="L1766" s="1"/>
      <c r="M1766" s="1"/>
    </row>
    <row x14ac:dyDescent="0.25" r="1767" customHeight="1" ht="18.75">
      <c r="A1767" s="1" t="s">
        <v>3617</v>
      </c>
      <c r="B1767" s="1" t="s">
        <v>4589</v>
      </c>
      <c r="C1767" s="1" t="s">
        <v>3619</v>
      </c>
      <c r="D1767" s="1" t="s">
        <v>7891</v>
      </c>
      <c r="E1767" s="1" t="s">
        <v>3730</v>
      </c>
      <c r="F1767" s="1" t="s">
        <v>8060</v>
      </c>
      <c r="G1767" s="1" t="s">
        <v>8045</v>
      </c>
      <c r="H1767" s="1" t="s">
        <v>3604</v>
      </c>
      <c r="I1767" s="1" t="s">
        <v>8061</v>
      </c>
      <c r="J1767" s="1" t="s">
        <v>3606</v>
      </c>
      <c r="K1767" s="1" t="s">
        <v>8062</v>
      </c>
      <c r="L1767" s="1"/>
      <c r="M1767" s="1"/>
    </row>
    <row x14ac:dyDescent="0.25" r="1768" customHeight="1" ht="18.75">
      <c r="A1768" s="1" t="s">
        <v>3617</v>
      </c>
      <c r="B1768" s="1" t="s">
        <v>4589</v>
      </c>
      <c r="C1768" s="1" t="s">
        <v>3619</v>
      </c>
      <c r="D1768" s="1" t="s">
        <v>7891</v>
      </c>
      <c r="E1768" s="1" t="s">
        <v>3730</v>
      </c>
      <c r="F1768" s="1" t="s">
        <v>8063</v>
      </c>
      <c r="G1768" s="1" t="s">
        <v>8064</v>
      </c>
      <c r="H1768" s="1" t="s">
        <v>3604</v>
      </c>
      <c r="I1768" s="1" t="s">
        <v>8065</v>
      </c>
      <c r="J1768" s="1" t="s">
        <v>3606</v>
      </c>
      <c r="K1768" s="1" t="s">
        <v>8066</v>
      </c>
      <c r="L1768" s="1"/>
      <c r="M1768" s="1"/>
    </row>
    <row x14ac:dyDescent="0.25" r="1769" customHeight="1" ht="18.75">
      <c r="A1769" s="1" t="s">
        <v>3617</v>
      </c>
      <c r="B1769" s="1" t="s">
        <v>4589</v>
      </c>
      <c r="C1769" s="1" t="s">
        <v>3619</v>
      </c>
      <c r="D1769" s="1" t="s">
        <v>7891</v>
      </c>
      <c r="E1769" s="1" t="s">
        <v>3893</v>
      </c>
      <c r="F1769" s="1" t="s">
        <v>8067</v>
      </c>
      <c r="G1769" s="1" t="s">
        <v>8064</v>
      </c>
      <c r="H1769" s="1" t="s">
        <v>3604</v>
      </c>
      <c r="I1769" s="1" t="s">
        <v>8068</v>
      </c>
      <c r="J1769" s="1" t="s">
        <v>3606</v>
      </c>
      <c r="K1769" s="1" t="s">
        <v>8069</v>
      </c>
      <c r="L1769" s="1"/>
      <c r="M1769" s="1"/>
    </row>
    <row x14ac:dyDescent="0.25" r="1770" customHeight="1" ht="18.75">
      <c r="A1770" s="1" t="s">
        <v>3617</v>
      </c>
      <c r="B1770" s="1" t="s">
        <v>4589</v>
      </c>
      <c r="C1770" s="1" t="s">
        <v>3619</v>
      </c>
      <c r="D1770" s="1" t="s">
        <v>7891</v>
      </c>
      <c r="E1770" s="1" t="s">
        <v>3893</v>
      </c>
      <c r="F1770" s="1" t="s">
        <v>8070</v>
      </c>
      <c r="G1770" s="1" t="s">
        <v>8064</v>
      </c>
      <c r="H1770" s="1" t="s">
        <v>3604</v>
      </c>
      <c r="I1770" s="1" t="s">
        <v>8071</v>
      </c>
      <c r="J1770" s="1" t="s">
        <v>3606</v>
      </c>
      <c r="K1770" s="1" t="s">
        <v>8072</v>
      </c>
      <c r="L1770" s="1"/>
      <c r="M1770" s="1"/>
    </row>
    <row x14ac:dyDescent="0.25" r="1771" customHeight="1" ht="18.75">
      <c r="A1771" s="1" t="s">
        <v>3617</v>
      </c>
      <c r="B1771" s="1" t="s">
        <v>4589</v>
      </c>
      <c r="C1771" s="1" t="s">
        <v>3619</v>
      </c>
      <c r="D1771" s="1" t="s">
        <v>7891</v>
      </c>
      <c r="E1771" s="1" t="s">
        <v>3730</v>
      </c>
      <c r="F1771" s="1" t="s">
        <v>8073</v>
      </c>
      <c r="G1771" s="1" t="s">
        <v>8064</v>
      </c>
      <c r="H1771" s="1" t="s">
        <v>3604</v>
      </c>
      <c r="I1771" s="1" t="s">
        <v>8074</v>
      </c>
      <c r="J1771" s="1" t="s">
        <v>3606</v>
      </c>
      <c r="K1771" s="1" t="s">
        <v>8075</v>
      </c>
      <c r="L1771" s="1"/>
      <c r="M1771" s="1"/>
    </row>
    <row x14ac:dyDescent="0.25" r="1772" customHeight="1" ht="18.75">
      <c r="A1772" s="1" t="s">
        <v>3617</v>
      </c>
      <c r="B1772" s="1" t="s">
        <v>4589</v>
      </c>
      <c r="C1772" s="1" t="s">
        <v>3619</v>
      </c>
      <c r="D1772" s="1" t="s">
        <v>7891</v>
      </c>
      <c r="E1772" s="1" t="s">
        <v>3730</v>
      </c>
      <c r="F1772" s="1" t="s">
        <v>8076</v>
      </c>
      <c r="G1772" s="1" t="s">
        <v>8064</v>
      </c>
      <c r="H1772" s="1" t="s">
        <v>3604</v>
      </c>
      <c r="I1772" s="1" t="s">
        <v>8077</v>
      </c>
      <c r="J1772" s="1" t="s">
        <v>3606</v>
      </c>
      <c r="K1772" s="1" t="s">
        <v>8078</v>
      </c>
      <c r="L1772" s="1"/>
      <c r="M1772" s="1"/>
    </row>
    <row x14ac:dyDescent="0.25" r="1773" customHeight="1" ht="18.75">
      <c r="A1773" s="1" t="s">
        <v>3617</v>
      </c>
      <c r="B1773" s="1" t="s">
        <v>4589</v>
      </c>
      <c r="C1773" s="1" t="s">
        <v>3619</v>
      </c>
      <c r="D1773" s="1" t="s">
        <v>7891</v>
      </c>
      <c r="E1773" s="1" t="s">
        <v>3730</v>
      </c>
      <c r="F1773" s="1" t="s">
        <v>8079</v>
      </c>
      <c r="G1773" s="1" t="s">
        <v>8064</v>
      </c>
      <c r="H1773" s="1" t="s">
        <v>3604</v>
      </c>
      <c r="I1773" s="1" t="s">
        <v>8080</v>
      </c>
      <c r="J1773" s="1" t="s">
        <v>3606</v>
      </c>
      <c r="K1773" s="1" t="s">
        <v>8081</v>
      </c>
      <c r="L1773" s="1"/>
      <c r="M1773" s="1"/>
    </row>
    <row x14ac:dyDescent="0.25" r="1774" customHeight="1" ht="18.75">
      <c r="A1774" s="1" t="s">
        <v>3598</v>
      </c>
      <c r="B1774" s="1" t="s">
        <v>8082</v>
      </c>
      <c r="C1774" s="1" t="s">
        <v>3600</v>
      </c>
      <c r="D1774" s="1" t="s">
        <v>533</v>
      </c>
      <c r="E1774" s="1" t="s">
        <v>3752</v>
      </c>
      <c r="F1774" s="1" t="s">
        <v>8083</v>
      </c>
      <c r="G1774" s="1" t="s">
        <v>8084</v>
      </c>
      <c r="H1774" s="1" t="s">
        <v>3604</v>
      </c>
      <c r="I1774" s="1" t="s">
        <v>8085</v>
      </c>
      <c r="J1774" s="1" t="s">
        <v>3606</v>
      </c>
      <c r="K1774" s="1" t="s">
        <v>8086</v>
      </c>
      <c r="L1774" s="1" t="s">
        <v>3608</v>
      </c>
      <c r="M1774" s="1"/>
    </row>
    <row x14ac:dyDescent="0.25" r="1775" customHeight="1" ht="18.75">
      <c r="A1775" s="1" t="s">
        <v>3598</v>
      </c>
      <c r="B1775" s="1" t="s">
        <v>8082</v>
      </c>
      <c r="C1775" s="1" t="s">
        <v>3600</v>
      </c>
      <c r="D1775" s="1" t="s">
        <v>533</v>
      </c>
      <c r="E1775" s="1" t="s">
        <v>3752</v>
      </c>
      <c r="F1775" s="1" t="s">
        <v>8087</v>
      </c>
      <c r="G1775" s="1" t="s">
        <v>8088</v>
      </c>
      <c r="H1775" s="1" t="s">
        <v>3604</v>
      </c>
      <c r="I1775" s="1" t="s">
        <v>8089</v>
      </c>
      <c r="J1775" s="1" t="s">
        <v>3606</v>
      </c>
      <c r="K1775" s="1" t="s">
        <v>8090</v>
      </c>
      <c r="L1775" s="1" t="s">
        <v>3608</v>
      </c>
      <c r="M1775" s="1"/>
    </row>
    <row x14ac:dyDescent="0.25" r="1776" customHeight="1" ht="18.75">
      <c r="A1776" s="1" t="s">
        <v>3598</v>
      </c>
      <c r="B1776" s="1" t="s">
        <v>8082</v>
      </c>
      <c r="C1776" s="1" t="s">
        <v>3600</v>
      </c>
      <c r="D1776" s="1" t="s">
        <v>533</v>
      </c>
      <c r="E1776" s="1" t="s">
        <v>3752</v>
      </c>
      <c r="F1776" s="1" t="s">
        <v>8091</v>
      </c>
      <c r="G1776" s="1" t="s">
        <v>8092</v>
      </c>
      <c r="H1776" s="1" t="s">
        <v>3604</v>
      </c>
      <c r="I1776" s="1" t="s">
        <v>8093</v>
      </c>
      <c r="J1776" s="1" t="s">
        <v>3606</v>
      </c>
      <c r="K1776" s="1" t="s">
        <v>8094</v>
      </c>
      <c r="L1776" s="1" t="s">
        <v>3608</v>
      </c>
      <c r="M1776" s="1"/>
    </row>
    <row x14ac:dyDescent="0.25" r="1777" customHeight="1" ht="18.75">
      <c r="A1777" s="1" t="s">
        <v>7833</v>
      </c>
      <c r="B1777" s="1" t="s">
        <v>8095</v>
      </c>
      <c r="C1777" s="1" t="s">
        <v>4488</v>
      </c>
      <c r="D1777" s="1" t="s">
        <v>3601</v>
      </c>
      <c r="E1777" s="1" t="s">
        <v>8096</v>
      </c>
      <c r="F1777" s="1" t="s">
        <v>1802</v>
      </c>
      <c r="G1777" s="1" t="s">
        <v>8097</v>
      </c>
      <c r="H1777" s="1" t="s">
        <v>3604</v>
      </c>
      <c r="I1777" s="1" t="s">
        <v>8098</v>
      </c>
      <c r="J1777" s="1" t="s">
        <v>3606</v>
      </c>
      <c r="K1777" s="1" t="s">
        <v>8099</v>
      </c>
      <c r="L1777" s="1"/>
      <c r="M1777" s="1"/>
    </row>
    <row x14ac:dyDescent="0.25" r="1778" customHeight="1" ht="18.75">
      <c r="A1778" s="1" t="s">
        <v>7833</v>
      </c>
      <c r="B1778" s="1" t="s">
        <v>7872</v>
      </c>
      <c r="C1778" s="1" t="s">
        <v>4488</v>
      </c>
      <c r="D1778" s="1" t="s">
        <v>8100</v>
      </c>
      <c r="E1778" s="1" t="s">
        <v>8096</v>
      </c>
      <c r="F1778" s="1" t="s">
        <v>8101</v>
      </c>
      <c r="G1778" s="1" t="s">
        <v>8102</v>
      </c>
      <c r="H1778" s="1" t="s">
        <v>3604</v>
      </c>
      <c r="I1778" s="1" t="s">
        <v>8103</v>
      </c>
      <c r="J1778" s="1" t="s">
        <v>3606</v>
      </c>
      <c r="K1778" s="1" t="s">
        <v>8104</v>
      </c>
      <c r="L1778" s="1"/>
      <c r="M1778" s="1"/>
    </row>
    <row x14ac:dyDescent="0.25" r="1779" customHeight="1" ht="18.75">
      <c r="A1779" s="1" t="s">
        <v>7833</v>
      </c>
      <c r="B1779" s="1" t="s">
        <v>7872</v>
      </c>
      <c r="C1779" s="1" t="s">
        <v>4488</v>
      </c>
      <c r="D1779" s="1" t="s">
        <v>8100</v>
      </c>
      <c r="E1779" s="1" t="s">
        <v>8096</v>
      </c>
      <c r="F1779" s="1" t="s">
        <v>8105</v>
      </c>
      <c r="G1779" s="1" t="s">
        <v>8102</v>
      </c>
      <c r="H1779" s="1" t="s">
        <v>3604</v>
      </c>
      <c r="I1779" s="1" t="s">
        <v>8106</v>
      </c>
      <c r="J1779" s="1" t="s">
        <v>3606</v>
      </c>
      <c r="K1779" s="1" t="s">
        <v>8107</v>
      </c>
      <c r="L1779" s="1"/>
      <c r="M1779" s="1"/>
    </row>
    <row x14ac:dyDescent="0.25" r="1780" customHeight="1" ht="18.75">
      <c r="A1780" s="1" t="s">
        <v>7833</v>
      </c>
      <c r="B1780" s="1" t="s">
        <v>8095</v>
      </c>
      <c r="C1780" s="1" t="s">
        <v>4488</v>
      </c>
      <c r="D1780" s="1" t="s">
        <v>3601</v>
      </c>
      <c r="E1780" s="1" t="s">
        <v>8096</v>
      </c>
      <c r="F1780" s="1" t="s">
        <v>1803</v>
      </c>
      <c r="G1780" s="1" t="s">
        <v>8108</v>
      </c>
      <c r="H1780" s="1" t="s">
        <v>3604</v>
      </c>
      <c r="I1780" s="1" t="s">
        <v>8109</v>
      </c>
      <c r="J1780" s="1" t="s">
        <v>3606</v>
      </c>
      <c r="K1780" s="1" t="s">
        <v>8110</v>
      </c>
      <c r="L1780" s="1"/>
      <c r="M1780" s="1"/>
    </row>
    <row x14ac:dyDescent="0.25" r="1781" customHeight="1" ht="18.75">
      <c r="A1781" s="1" t="s">
        <v>3693</v>
      </c>
      <c r="B1781" s="1" t="s">
        <v>4229</v>
      </c>
      <c r="C1781" s="1" t="s">
        <v>3619</v>
      </c>
      <c r="D1781" s="1" t="s">
        <v>8100</v>
      </c>
      <c r="E1781" s="1" t="s">
        <v>3664</v>
      </c>
      <c r="F1781" s="1" t="s">
        <v>8111</v>
      </c>
      <c r="G1781" s="1" t="s">
        <v>8112</v>
      </c>
      <c r="H1781" s="1" t="s">
        <v>3604</v>
      </c>
      <c r="I1781" s="1" t="s">
        <v>8113</v>
      </c>
      <c r="J1781" s="1" t="s">
        <v>3606</v>
      </c>
      <c r="K1781" s="1" t="s">
        <v>8114</v>
      </c>
      <c r="L1781" s="1"/>
      <c r="M1781" s="1"/>
    </row>
    <row x14ac:dyDescent="0.25" r="1782" customHeight="1" ht="18.75">
      <c r="A1782" s="1" t="s">
        <v>7833</v>
      </c>
      <c r="B1782" s="1" t="s">
        <v>8095</v>
      </c>
      <c r="C1782" s="1" t="s">
        <v>4488</v>
      </c>
      <c r="D1782" s="1" t="s">
        <v>3601</v>
      </c>
      <c r="E1782" s="1" t="s">
        <v>8096</v>
      </c>
      <c r="F1782" s="1" t="s">
        <v>1841</v>
      </c>
      <c r="G1782" s="1" t="s">
        <v>8108</v>
      </c>
      <c r="H1782" s="1" t="s">
        <v>3604</v>
      </c>
      <c r="I1782" s="1" t="s">
        <v>8115</v>
      </c>
      <c r="J1782" s="1" t="s">
        <v>3606</v>
      </c>
      <c r="K1782" s="1"/>
      <c r="L1782" s="1"/>
      <c r="M1782" s="1"/>
    </row>
    <row x14ac:dyDescent="0.25" r="1783" customHeight="1" ht="18.75">
      <c r="A1783" s="1" t="s">
        <v>3693</v>
      </c>
      <c r="B1783" s="1" t="s">
        <v>4229</v>
      </c>
      <c r="C1783" s="1" t="s">
        <v>3619</v>
      </c>
      <c r="D1783" s="1" t="s">
        <v>8116</v>
      </c>
      <c r="E1783" s="1" t="s">
        <v>3611</v>
      </c>
      <c r="F1783" s="1" t="s">
        <v>8117</v>
      </c>
      <c r="G1783" s="1" t="s">
        <v>8118</v>
      </c>
      <c r="H1783" s="1" t="s">
        <v>3604</v>
      </c>
      <c r="I1783" s="1" t="s">
        <v>8119</v>
      </c>
      <c r="J1783" s="1" t="s">
        <v>3606</v>
      </c>
      <c r="K1783" s="1" t="s">
        <v>8120</v>
      </c>
      <c r="L1783" s="1"/>
      <c r="M1783" s="1"/>
    </row>
    <row x14ac:dyDescent="0.25" r="1784" customHeight="1" ht="18.75">
      <c r="A1784" s="1" t="s">
        <v>3693</v>
      </c>
      <c r="B1784" s="1" t="s">
        <v>4229</v>
      </c>
      <c r="C1784" s="1" t="s">
        <v>3619</v>
      </c>
      <c r="D1784" s="1" t="s">
        <v>8116</v>
      </c>
      <c r="E1784" s="1" t="s">
        <v>3611</v>
      </c>
      <c r="F1784" s="1" t="s">
        <v>8121</v>
      </c>
      <c r="G1784" s="1" t="s">
        <v>8122</v>
      </c>
      <c r="H1784" s="1" t="s">
        <v>3604</v>
      </c>
      <c r="I1784" s="1" t="s">
        <v>8123</v>
      </c>
      <c r="J1784" s="1" t="s">
        <v>3606</v>
      </c>
      <c r="K1784" s="1" t="s">
        <v>8124</v>
      </c>
      <c r="L1784" s="1"/>
      <c r="M1784" s="1"/>
    </row>
    <row x14ac:dyDescent="0.25" r="1785" customHeight="1" ht="18.75">
      <c r="A1785" s="1" t="s">
        <v>7833</v>
      </c>
      <c r="B1785" s="1" t="s">
        <v>7872</v>
      </c>
      <c r="C1785" s="1" t="s">
        <v>4488</v>
      </c>
      <c r="D1785" s="1" t="s">
        <v>8100</v>
      </c>
      <c r="E1785" s="1" t="s">
        <v>8096</v>
      </c>
      <c r="F1785" s="1" t="s">
        <v>8125</v>
      </c>
      <c r="G1785" s="1" t="s">
        <v>8102</v>
      </c>
      <c r="H1785" s="1" t="s">
        <v>3604</v>
      </c>
      <c r="I1785" s="1" t="s">
        <v>8126</v>
      </c>
      <c r="J1785" s="1" t="s">
        <v>3606</v>
      </c>
      <c r="K1785" s="1" t="s">
        <v>8127</v>
      </c>
      <c r="L1785" s="1"/>
      <c r="M1785" s="1"/>
    </row>
    <row x14ac:dyDescent="0.25" r="1786" customHeight="1" ht="18.75">
      <c r="A1786" s="1" t="s">
        <v>3693</v>
      </c>
      <c r="B1786" s="1" t="s">
        <v>4229</v>
      </c>
      <c r="C1786" s="1" t="s">
        <v>3619</v>
      </c>
      <c r="D1786" s="1" t="s">
        <v>8116</v>
      </c>
      <c r="E1786" s="1" t="s">
        <v>3611</v>
      </c>
      <c r="F1786" s="1" t="s">
        <v>8128</v>
      </c>
      <c r="G1786" s="1" t="s">
        <v>8129</v>
      </c>
      <c r="H1786" s="1" t="s">
        <v>3604</v>
      </c>
      <c r="I1786" s="1" t="s">
        <v>8130</v>
      </c>
      <c r="J1786" s="1" t="s">
        <v>3606</v>
      </c>
      <c r="K1786" s="1" t="s">
        <v>8131</v>
      </c>
      <c r="L1786" s="1"/>
      <c r="M1786" s="1"/>
    </row>
    <row x14ac:dyDescent="0.25" r="1787" customHeight="1" ht="18.75">
      <c r="A1787" s="1" t="s">
        <v>3693</v>
      </c>
      <c r="B1787" s="1" t="s">
        <v>3957</v>
      </c>
      <c r="C1787" s="1" t="s">
        <v>3600</v>
      </c>
      <c r="D1787" s="1" t="s">
        <v>7847</v>
      </c>
      <c r="E1787" s="1" t="s">
        <v>3664</v>
      </c>
      <c r="F1787" s="1" t="s">
        <v>8132</v>
      </c>
      <c r="G1787" s="1" t="s">
        <v>4009</v>
      </c>
      <c r="H1787" s="1" t="s">
        <v>3604</v>
      </c>
      <c r="I1787" s="1" t="s">
        <v>8133</v>
      </c>
      <c r="J1787" s="1" t="s">
        <v>3606</v>
      </c>
      <c r="K1787" s="1" t="s">
        <v>8134</v>
      </c>
      <c r="L1787" s="1"/>
      <c r="M1787" s="1"/>
    </row>
    <row x14ac:dyDescent="0.25" r="1788" customHeight="1" ht="18.75">
      <c r="A1788" s="1" t="s">
        <v>3693</v>
      </c>
      <c r="B1788" s="1" t="s">
        <v>4247</v>
      </c>
      <c r="C1788" s="1" t="s">
        <v>3600</v>
      </c>
      <c r="D1788" s="1" t="s">
        <v>7847</v>
      </c>
      <c r="E1788" s="1" t="s">
        <v>3893</v>
      </c>
      <c r="F1788" s="1" t="s">
        <v>8135</v>
      </c>
      <c r="G1788" s="1" t="s">
        <v>4384</v>
      </c>
      <c r="H1788" s="1" t="s">
        <v>3604</v>
      </c>
      <c r="I1788" s="1" t="s">
        <v>8136</v>
      </c>
      <c r="J1788" s="1" t="s">
        <v>3606</v>
      </c>
      <c r="K1788" s="1" t="s">
        <v>8137</v>
      </c>
      <c r="L1788" s="1"/>
      <c r="M1788" s="1"/>
    </row>
    <row x14ac:dyDescent="0.25" r="1789" customHeight="1" ht="18.75">
      <c r="A1789" s="1" t="s">
        <v>7833</v>
      </c>
      <c r="B1789" s="1" t="s">
        <v>8095</v>
      </c>
      <c r="C1789" s="1" t="s">
        <v>4488</v>
      </c>
      <c r="D1789" s="1" t="s">
        <v>3601</v>
      </c>
      <c r="E1789" s="1" t="s">
        <v>8096</v>
      </c>
      <c r="F1789" s="1" t="s">
        <v>1840</v>
      </c>
      <c r="G1789" s="1" t="s">
        <v>8097</v>
      </c>
      <c r="H1789" s="1" t="s">
        <v>3604</v>
      </c>
      <c r="I1789" s="1" t="s">
        <v>8138</v>
      </c>
      <c r="J1789" s="1" t="s">
        <v>3606</v>
      </c>
      <c r="K1789" s="1"/>
      <c r="L1789" s="1"/>
      <c r="M1789" s="1"/>
    </row>
    <row x14ac:dyDescent="0.25" r="1790" customHeight="1" ht="18.75">
      <c r="A1790" s="1" t="s">
        <v>7833</v>
      </c>
      <c r="B1790" s="1" t="s">
        <v>7872</v>
      </c>
      <c r="C1790" s="1" t="s">
        <v>4488</v>
      </c>
      <c r="D1790" s="1" t="s">
        <v>8100</v>
      </c>
      <c r="E1790" s="1" t="s">
        <v>8096</v>
      </c>
      <c r="F1790" s="1" t="s">
        <v>8139</v>
      </c>
      <c r="G1790" s="1" t="s">
        <v>8140</v>
      </c>
      <c r="H1790" s="1" t="s">
        <v>3604</v>
      </c>
      <c r="I1790" s="1" t="s">
        <v>8141</v>
      </c>
      <c r="J1790" s="1" t="s">
        <v>3606</v>
      </c>
      <c r="K1790" s="1" t="s">
        <v>8142</v>
      </c>
      <c r="L1790" s="1"/>
      <c r="M1790" s="1"/>
    </row>
    <row x14ac:dyDescent="0.25" r="1791" customHeight="1" ht="18.75">
      <c r="A1791" s="1" t="s">
        <v>7833</v>
      </c>
      <c r="B1791" s="1" t="s">
        <v>7872</v>
      </c>
      <c r="C1791" s="1" t="s">
        <v>4488</v>
      </c>
      <c r="D1791" s="1" t="s">
        <v>8100</v>
      </c>
      <c r="E1791" s="1" t="s">
        <v>8096</v>
      </c>
      <c r="F1791" s="1" t="s">
        <v>8143</v>
      </c>
      <c r="G1791" s="1" t="s">
        <v>8144</v>
      </c>
      <c r="H1791" s="1" t="s">
        <v>3604</v>
      </c>
      <c r="I1791" s="1" t="s">
        <v>8145</v>
      </c>
      <c r="J1791" s="1" t="s">
        <v>3606</v>
      </c>
      <c r="K1791" s="1" t="s">
        <v>8146</v>
      </c>
      <c r="L1791" s="1"/>
      <c r="M1791" s="1"/>
    </row>
    <row x14ac:dyDescent="0.25" r="1792" customHeight="1" ht="18.75">
      <c r="A1792" s="1" t="s">
        <v>3693</v>
      </c>
      <c r="B1792" s="1" t="s">
        <v>7077</v>
      </c>
      <c r="C1792" s="1" t="s">
        <v>3600</v>
      </c>
      <c r="D1792" s="1" t="s">
        <v>8100</v>
      </c>
      <c r="E1792" s="1" t="s">
        <v>3664</v>
      </c>
      <c r="F1792" s="1" t="s">
        <v>8147</v>
      </c>
      <c r="G1792" s="1" t="s">
        <v>8148</v>
      </c>
      <c r="H1792" s="1" t="s">
        <v>3604</v>
      </c>
      <c r="I1792" s="1" t="s">
        <v>8149</v>
      </c>
      <c r="J1792" s="1" t="s">
        <v>3606</v>
      </c>
      <c r="K1792" s="1" t="s">
        <v>8150</v>
      </c>
      <c r="L1792" s="1"/>
      <c r="M1792" s="1"/>
    </row>
    <row x14ac:dyDescent="0.25" r="1793" customHeight="1" ht="18.75">
      <c r="A1793" s="1" t="s">
        <v>7833</v>
      </c>
      <c r="B1793" s="1" t="s">
        <v>7872</v>
      </c>
      <c r="C1793" s="1" t="s">
        <v>4488</v>
      </c>
      <c r="D1793" s="1" t="s">
        <v>8100</v>
      </c>
      <c r="E1793" s="1" t="s">
        <v>8096</v>
      </c>
      <c r="F1793" s="1" t="s">
        <v>8151</v>
      </c>
      <c r="G1793" s="1" t="s">
        <v>8144</v>
      </c>
      <c r="H1793" s="1" t="s">
        <v>3604</v>
      </c>
      <c r="I1793" s="1" t="s">
        <v>8152</v>
      </c>
      <c r="J1793" s="1" t="s">
        <v>3606</v>
      </c>
      <c r="K1793" s="1" t="s">
        <v>8153</v>
      </c>
      <c r="L1793" s="1"/>
      <c r="M1793" s="1"/>
    </row>
    <row x14ac:dyDescent="0.25" r="1794" customHeight="1" ht="18.75">
      <c r="A1794" s="1" t="s">
        <v>7833</v>
      </c>
      <c r="B1794" s="1" t="s">
        <v>7872</v>
      </c>
      <c r="C1794" s="1" t="s">
        <v>4488</v>
      </c>
      <c r="D1794" s="1" t="s">
        <v>8100</v>
      </c>
      <c r="E1794" s="1" t="s">
        <v>8096</v>
      </c>
      <c r="F1794" s="1" t="s">
        <v>8154</v>
      </c>
      <c r="G1794" s="1" t="s">
        <v>8144</v>
      </c>
      <c r="H1794" s="1" t="s">
        <v>3604</v>
      </c>
      <c r="I1794" s="1" t="s">
        <v>8155</v>
      </c>
      <c r="J1794" s="1" t="s">
        <v>3606</v>
      </c>
      <c r="K1794" s="1" t="s">
        <v>8156</v>
      </c>
      <c r="L1794" s="1"/>
      <c r="M1794" s="1"/>
    </row>
    <row x14ac:dyDescent="0.25" r="1795" customHeight="1" ht="18.75">
      <c r="A1795" s="1" t="s">
        <v>3693</v>
      </c>
      <c r="B1795" s="1" t="s">
        <v>4192</v>
      </c>
      <c r="C1795" s="1" t="s">
        <v>3600</v>
      </c>
      <c r="D1795" s="1" t="s">
        <v>8100</v>
      </c>
      <c r="E1795" s="1" t="s">
        <v>3893</v>
      </c>
      <c r="F1795" s="1" t="s">
        <v>8157</v>
      </c>
      <c r="G1795" s="1" t="s">
        <v>4428</v>
      </c>
      <c r="H1795" s="1" t="s">
        <v>3604</v>
      </c>
      <c r="I1795" s="1" t="s">
        <v>8158</v>
      </c>
      <c r="J1795" s="1" t="s">
        <v>3606</v>
      </c>
      <c r="K1795" s="1" t="s">
        <v>8159</v>
      </c>
      <c r="L1795" s="1"/>
      <c r="M1795" s="1"/>
    </row>
    <row x14ac:dyDescent="0.25" r="1796" customHeight="1" ht="18.75">
      <c r="A1796" s="1" t="s">
        <v>3693</v>
      </c>
      <c r="B1796" s="1" t="s">
        <v>4267</v>
      </c>
      <c r="C1796" s="1" t="s">
        <v>3600</v>
      </c>
      <c r="D1796" s="1" t="s">
        <v>7847</v>
      </c>
      <c r="E1796" s="1" t="s">
        <v>3893</v>
      </c>
      <c r="F1796" s="1" t="s">
        <v>8160</v>
      </c>
      <c r="G1796" s="1" t="s">
        <v>7125</v>
      </c>
      <c r="H1796" s="1" t="s">
        <v>3604</v>
      </c>
      <c r="I1796" s="1" t="s">
        <v>8161</v>
      </c>
      <c r="J1796" s="1" t="s">
        <v>3606</v>
      </c>
      <c r="K1796" s="1" t="s">
        <v>8162</v>
      </c>
      <c r="L1796" s="1"/>
      <c r="M1796" s="1"/>
    </row>
    <row x14ac:dyDescent="0.25" r="1797" customHeight="1" ht="18.75">
      <c r="A1797" s="1" t="s">
        <v>7833</v>
      </c>
      <c r="B1797" s="1" t="s">
        <v>8095</v>
      </c>
      <c r="C1797" s="1" t="s">
        <v>4488</v>
      </c>
      <c r="D1797" s="1" t="s">
        <v>3601</v>
      </c>
      <c r="E1797" s="1" t="s">
        <v>8096</v>
      </c>
      <c r="F1797" s="1" t="s">
        <v>1804</v>
      </c>
      <c r="G1797" s="1" t="s">
        <v>8163</v>
      </c>
      <c r="H1797" s="1" t="s">
        <v>3604</v>
      </c>
      <c r="I1797" s="1" t="s">
        <v>8164</v>
      </c>
      <c r="J1797" s="1" t="s">
        <v>3606</v>
      </c>
      <c r="K1797" s="1" t="s">
        <v>8165</v>
      </c>
      <c r="L1797" s="1"/>
      <c r="M1797" s="1"/>
    </row>
    <row x14ac:dyDescent="0.25" r="1798" customHeight="1" ht="18.75">
      <c r="A1798" s="1" t="s">
        <v>7833</v>
      </c>
      <c r="B1798" s="1" t="s">
        <v>8095</v>
      </c>
      <c r="C1798" s="1" t="s">
        <v>4488</v>
      </c>
      <c r="D1798" s="1" t="s">
        <v>3601</v>
      </c>
      <c r="E1798" s="1" t="s">
        <v>8096</v>
      </c>
      <c r="F1798" s="1" t="s">
        <v>1842</v>
      </c>
      <c r="G1798" s="1" t="s">
        <v>8163</v>
      </c>
      <c r="H1798" s="1" t="s">
        <v>3604</v>
      </c>
      <c r="I1798" s="1" t="s">
        <v>8166</v>
      </c>
      <c r="J1798" s="1" t="s">
        <v>3606</v>
      </c>
      <c r="K1798" s="1"/>
      <c r="L1798" s="1"/>
      <c r="M1798" s="1"/>
    </row>
    <row x14ac:dyDescent="0.25" r="1799" customHeight="1" ht="18.75">
      <c r="A1799" s="1" t="s">
        <v>3693</v>
      </c>
      <c r="B1799" s="1" t="s">
        <v>4267</v>
      </c>
      <c r="C1799" s="1" t="s">
        <v>3600</v>
      </c>
      <c r="D1799" s="1" t="s">
        <v>7847</v>
      </c>
      <c r="E1799" s="1" t="s">
        <v>3893</v>
      </c>
      <c r="F1799" s="1" t="s">
        <v>8167</v>
      </c>
      <c r="G1799" s="1" t="s">
        <v>5651</v>
      </c>
      <c r="H1799" s="1" t="s">
        <v>3604</v>
      </c>
      <c r="I1799" s="1" t="s">
        <v>8168</v>
      </c>
      <c r="J1799" s="1" t="s">
        <v>3606</v>
      </c>
      <c r="K1799" s="1" t="s">
        <v>8169</v>
      </c>
      <c r="L1799" s="1"/>
      <c r="M1799" s="1"/>
    </row>
    <row x14ac:dyDescent="0.25" r="1800" customHeight="1" ht="18.75">
      <c r="A1800" s="1" t="s">
        <v>7833</v>
      </c>
      <c r="B1800" s="1" t="s">
        <v>8095</v>
      </c>
      <c r="C1800" s="1" t="s">
        <v>4488</v>
      </c>
      <c r="D1800" s="1" t="s">
        <v>3601</v>
      </c>
      <c r="E1800" s="1" t="s">
        <v>8096</v>
      </c>
      <c r="F1800" s="1" t="s">
        <v>1805</v>
      </c>
      <c r="G1800" s="1" t="s">
        <v>8170</v>
      </c>
      <c r="H1800" s="1" t="s">
        <v>3604</v>
      </c>
      <c r="I1800" s="1" t="s">
        <v>8171</v>
      </c>
      <c r="J1800" s="1" t="s">
        <v>3606</v>
      </c>
      <c r="K1800" s="1" t="s">
        <v>8172</v>
      </c>
      <c r="L1800" s="1"/>
      <c r="M1800" s="1"/>
    </row>
    <row x14ac:dyDescent="0.25" r="1801" customHeight="1" ht="18.75">
      <c r="A1801" s="1" t="s">
        <v>7833</v>
      </c>
      <c r="B1801" s="1" t="s">
        <v>8095</v>
      </c>
      <c r="C1801" s="1" t="s">
        <v>4488</v>
      </c>
      <c r="D1801" s="1" t="s">
        <v>3601</v>
      </c>
      <c r="E1801" s="1" t="s">
        <v>8096</v>
      </c>
      <c r="F1801" s="1" t="s">
        <v>1843</v>
      </c>
      <c r="G1801" s="1" t="s">
        <v>8170</v>
      </c>
      <c r="H1801" s="1" t="s">
        <v>3604</v>
      </c>
      <c r="I1801" s="1" t="s">
        <v>8173</v>
      </c>
      <c r="J1801" s="1" t="s">
        <v>3606</v>
      </c>
      <c r="K1801" s="1"/>
      <c r="L1801" s="1"/>
      <c r="M1801" s="1"/>
    </row>
    <row x14ac:dyDescent="0.25" r="1802" customHeight="1" ht="18.75">
      <c r="A1802" s="1" t="s">
        <v>7833</v>
      </c>
      <c r="B1802" s="1" t="s">
        <v>8095</v>
      </c>
      <c r="C1802" s="1" t="s">
        <v>4488</v>
      </c>
      <c r="D1802" s="1" t="s">
        <v>3601</v>
      </c>
      <c r="E1802" s="1" t="s">
        <v>8096</v>
      </c>
      <c r="F1802" s="1" t="s">
        <v>1806</v>
      </c>
      <c r="G1802" s="1" t="s">
        <v>8174</v>
      </c>
      <c r="H1802" s="1" t="s">
        <v>3604</v>
      </c>
      <c r="I1802" s="1" t="s">
        <v>8175</v>
      </c>
      <c r="J1802" s="1" t="s">
        <v>3606</v>
      </c>
      <c r="K1802" s="1" t="s">
        <v>8176</v>
      </c>
      <c r="L1802" s="1"/>
      <c r="M1802" s="1"/>
    </row>
    <row x14ac:dyDescent="0.25" r="1803" customHeight="1" ht="18.75">
      <c r="A1803" s="1" t="s">
        <v>7833</v>
      </c>
      <c r="B1803" s="1" t="s">
        <v>8095</v>
      </c>
      <c r="C1803" s="1" t="s">
        <v>4488</v>
      </c>
      <c r="D1803" s="1" t="s">
        <v>3601</v>
      </c>
      <c r="E1803" s="1" t="s">
        <v>8096</v>
      </c>
      <c r="F1803" s="1" t="s">
        <v>1844</v>
      </c>
      <c r="G1803" s="1" t="s">
        <v>8174</v>
      </c>
      <c r="H1803" s="1" t="s">
        <v>3604</v>
      </c>
      <c r="I1803" s="1" t="s">
        <v>8177</v>
      </c>
      <c r="J1803" s="1" t="s">
        <v>3606</v>
      </c>
      <c r="K1803" s="1"/>
      <c r="L1803" s="1"/>
      <c r="M1803" s="1"/>
    </row>
    <row x14ac:dyDescent="0.25" r="1804" customHeight="1" ht="18.75">
      <c r="A1804" s="1" t="s">
        <v>7833</v>
      </c>
      <c r="B1804" s="1" t="s">
        <v>8178</v>
      </c>
      <c r="C1804" s="1" t="s">
        <v>3619</v>
      </c>
      <c r="D1804" s="1" t="s">
        <v>7847</v>
      </c>
      <c r="E1804" s="1" t="s">
        <v>3664</v>
      </c>
      <c r="F1804" s="1" t="s">
        <v>8179</v>
      </c>
      <c r="G1804" s="1" t="s">
        <v>8180</v>
      </c>
      <c r="H1804" s="1" t="s">
        <v>3604</v>
      </c>
      <c r="I1804" s="1" t="s">
        <v>8181</v>
      </c>
      <c r="J1804" s="1" t="s">
        <v>3606</v>
      </c>
      <c r="K1804" s="1" t="s">
        <v>8182</v>
      </c>
      <c r="L1804" s="1"/>
      <c r="M1804" s="1"/>
    </row>
    <row x14ac:dyDescent="0.25" r="1805" customHeight="1" ht="18.75">
      <c r="A1805" s="1" t="s">
        <v>7833</v>
      </c>
      <c r="B1805" s="1" t="s">
        <v>8178</v>
      </c>
      <c r="C1805" s="1" t="s">
        <v>3619</v>
      </c>
      <c r="D1805" s="1" t="s">
        <v>7847</v>
      </c>
      <c r="E1805" s="1" t="s">
        <v>3664</v>
      </c>
      <c r="F1805" s="1" t="s">
        <v>8183</v>
      </c>
      <c r="G1805" s="1" t="s">
        <v>8184</v>
      </c>
      <c r="H1805" s="1" t="s">
        <v>3604</v>
      </c>
      <c r="I1805" s="1" t="s">
        <v>8185</v>
      </c>
      <c r="J1805" s="1" t="s">
        <v>3606</v>
      </c>
      <c r="K1805" s="1" t="s">
        <v>8186</v>
      </c>
      <c r="L1805" s="1"/>
      <c r="M1805" s="1"/>
    </row>
    <row x14ac:dyDescent="0.25" r="1806" customHeight="1" ht="18.75">
      <c r="A1806" s="1" t="s">
        <v>7833</v>
      </c>
      <c r="B1806" s="1" t="s">
        <v>8178</v>
      </c>
      <c r="C1806" s="1" t="s">
        <v>3619</v>
      </c>
      <c r="D1806" s="1" t="s">
        <v>7847</v>
      </c>
      <c r="E1806" s="1" t="s">
        <v>3664</v>
      </c>
      <c r="F1806" s="1" t="s">
        <v>8187</v>
      </c>
      <c r="G1806" s="1" t="s">
        <v>8188</v>
      </c>
      <c r="H1806" s="1" t="s">
        <v>3604</v>
      </c>
      <c r="I1806" s="1" t="s">
        <v>8189</v>
      </c>
      <c r="J1806" s="1" t="s">
        <v>3606</v>
      </c>
      <c r="K1806" s="1" t="s">
        <v>8190</v>
      </c>
      <c r="L1806" s="1"/>
      <c r="M1806" s="1"/>
    </row>
    <row x14ac:dyDescent="0.25" r="1807" customHeight="1" ht="18.75">
      <c r="A1807" s="1" t="s">
        <v>3598</v>
      </c>
      <c r="B1807" s="1" t="s">
        <v>8191</v>
      </c>
      <c r="C1807" s="1" t="s">
        <v>3600</v>
      </c>
      <c r="D1807" s="1"/>
      <c r="E1807" s="1" t="s">
        <v>3981</v>
      </c>
      <c r="F1807" s="1" t="s">
        <v>8192</v>
      </c>
      <c r="G1807" s="1" t="s">
        <v>8193</v>
      </c>
      <c r="H1807" s="1"/>
      <c r="I1807" s="1" t="s">
        <v>8194</v>
      </c>
      <c r="J1807" s="1" t="s">
        <v>3606</v>
      </c>
      <c r="K1807" s="1"/>
      <c r="L1807" s="1"/>
      <c r="M1807" s="1"/>
    </row>
    <row x14ac:dyDescent="0.25" r="1808" customHeight="1" ht="18.75">
      <c r="A1808" s="1" t="s">
        <v>7833</v>
      </c>
      <c r="B1808" s="1" t="s">
        <v>8095</v>
      </c>
      <c r="C1808" s="1" t="s">
        <v>4488</v>
      </c>
      <c r="D1808" s="1" t="s">
        <v>8100</v>
      </c>
      <c r="E1808" s="1" t="s">
        <v>8096</v>
      </c>
      <c r="F1808" s="1" t="s">
        <v>8195</v>
      </c>
      <c r="G1808" s="1" t="s">
        <v>8097</v>
      </c>
      <c r="H1808" s="1" t="s">
        <v>3604</v>
      </c>
      <c r="I1808" s="1" t="s">
        <v>8196</v>
      </c>
      <c r="J1808" s="1" t="s">
        <v>3606</v>
      </c>
      <c r="K1808" s="1" t="s">
        <v>8104</v>
      </c>
      <c r="L1808" s="1"/>
      <c r="M1808" s="1"/>
    </row>
    <row x14ac:dyDescent="0.25" r="1809" customHeight="1" ht="18.75">
      <c r="A1809" s="1" t="s">
        <v>7833</v>
      </c>
      <c r="B1809" s="1" t="s">
        <v>8095</v>
      </c>
      <c r="C1809" s="1" t="s">
        <v>4488</v>
      </c>
      <c r="D1809" s="1" t="s">
        <v>8100</v>
      </c>
      <c r="E1809" s="1" t="s">
        <v>8096</v>
      </c>
      <c r="F1809" s="1" t="s">
        <v>8197</v>
      </c>
      <c r="G1809" s="1" t="s">
        <v>8097</v>
      </c>
      <c r="H1809" s="1" t="s">
        <v>3604</v>
      </c>
      <c r="I1809" s="1" t="s">
        <v>8198</v>
      </c>
      <c r="J1809" s="1" t="s">
        <v>3606</v>
      </c>
      <c r="K1809" s="1" t="s">
        <v>8107</v>
      </c>
      <c r="L1809" s="1"/>
      <c r="M1809" s="1"/>
    </row>
    <row x14ac:dyDescent="0.25" r="1810" customHeight="1" ht="18.75">
      <c r="A1810" s="1" t="s">
        <v>7833</v>
      </c>
      <c r="B1810" s="1" t="s">
        <v>8095</v>
      </c>
      <c r="C1810" s="1" t="s">
        <v>4488</v>
      </c>
      <c r="D1810" s="1" t="s">
        <v>8100</v>
      </c>
      <c r="E1810" s="1" t="s">
        <v>8096</v>
      </c>
      <c r="F1810" s="1" t="s">
        <v>8199</v>
      </c>
      <c r="G1810" s="1" t="s">
        <v>8097</v>
      </c>
      <c r="H1810" s="1" t="s">
        <v>3604</v>
      </c>
      <c r="I1810" s="1" t="s">
        <v>8200</v>
      </c>
      <c r="J1810" s="1" t="s">
        <v>3606</v>
      </c>
      <c r="K1810" s="1" t="s">
        <v>8127</v>
      </c>
      <c r="L1810" s="1"/>
      <c r="M1810" s="1"/>
    </row>
    <row x14ac:dyDescent="0.25" r="1811" customHeight="1" ht="18.75">
      <c r="A1811" s="1" t="s">
        <v>7833</v>
      </c>
      <c r="B1811" s="1" t="s">
        <v>8095</v>
      </c>
      <c r="C1811" s="1" t="s">
        <v>4488</v>
      </c>
      <c r="D1811" s="1" t="s">
        <v>8100</v>
      </c>
      <c r="E1811" s="1" t="s">
        <v>8096</v>
      </c>
      <c r="F1811" s="1" t="s">
        <v>8201</v>
      </c>
      <c r="G1811" s="1" t="s">
        <v>8202</v>
      </c>
      <c r="H1811" s="1" t="s">
        <v>3604</v>
      </c>
      <c r="I1811" s="1" t="s">
        <v>8203</v>
      </c>
      <c r="J1811" s="1" t="s">
        <v>3606</v>
      </c>
      <c r="K1811" s="1" t="s">
        <v>8142</v>
      </c>
      <c r="L1811" s="1"/>
      <c r="M1811" s="1"/>
    </row>
    <row x14ac:dyDescent="0.25" r="1812" customHeight="1" ht="18.75">
      <c r="A1812" s="1" t="s">
        <v>7833</v>
      </c>
      <c r="B1812" s="1" t="s">
        <v>8204</v>
      </c>
      <c r="C1812" s="1" t="s">
        <v>4488</v>
      </c>
      <c r="D1812" s="1" t="s">
        <v>7847</v>
      </c>
      <c r="E1812" s="1" t="s">
        <v>8096</v>
      </c>
      <c r="F1812" s="1" t="s">
        <v>8205</v>
      </c>
      <c r="G1812" s="1" t="s">
        <v>8206</v>
      </c>
      <c r="H1812" s="1" t="s">
        <v>3604</v>
      </c>
      <c r="I1812" s="1" t="s">
        <v>8207</v>
      </c>
      <c r="J1812" s="1" t="s">
        <v>3606</v>
      </c>
      <c r="K1812" s="1" t="s">
        <v>8208</v>
      </c>
      <c r="L1812" s="1"/>
      <c r="M1812" s="1"/>
    </row>
    <row x14ac:dyDescent="0.25" r="1813" customHeight="1" ht="18.75">
      <c r="A1813" s="1" t="s">
        <v>7833</v>
      </c>
      <c r="B1813" s="1" t="s">
        <v>8204</v>
      </c>
      <c r="C1813" s="1" t="s">
        <v>4488</v>
      </c>
      <c r="D1813" s="1" t="s">
        <v>7847</v>
      </c>
      <c r="E1813" s="1" t="s">
        <v>8096</v>
      </c>
      <c r="F1813" s="1" t="s">
        <v>8209</v>
      </c>
      <c r="G1813" s="1" t="s">
        <v>8206</v>
      </c>
      <c r="H1813" s="1" t="s">
        <v>3604</v>
      </c>
      <c r="I1813" s="1" t="s">
        <v>8210</v>
      </c>
      <c r="J1813" s="1" t="s">
        <v>3606</v>
      </c>
      <c r="K1813" s="1" t="s">
        <v>8211</v>
      </c>
      <c r="L1813" s="1"/>
      <c r="M1813" s="1"/>
    </row>
    <row x14ac:dyDescent="0.25" r="1814" customHeight="1" ht="18.75">
      <c r="A1814" s="1" t="s">
        <v>7833</v>
      </c>
      <c r="B1814" s="1" t="s">
        <v>8204</v>
      </c>
      <c r="C1814" s="1" t="s">
        <v>4488</v>
      </c>
      <c r="D1814" s="1" t="s">
        <v>7847</v>
      </c>
      <c r="E1814" s="1" t="s">
        <v>8096</v>
      </c>
      <c r="F1814" s="1" t="s">
        <v>8212</v>
      </c>
      <c r="G1814" s="1" t="s">
        <v>8206</v>
      </c>
      <c r="H1814" s="1" t="s">
        <v>3604</v>
      </c>
      <c r="I1814" s="1" t="s">
        <v>8213</v>
      </c>
      <c r="J1814" s="1" t="s">
        <v>3606</v>
      </c>
      <c r="K1814" s="1" t="s">
        <v>8214</v>
      </c>
      <c r="L1814" s="1"/>
      <c r="M1814" s="1"/>
    </row>
    <row x14ac:dyDescent="0.25" r="1815" customHeight="1" ht="18.75">
      <c r="A1815" s="1" t="s">
        <v>7833</v>
      </c>
      <c r="B1815" s="1" t="s">
        <v>8204</v>
      </c>
      <c r="C1815" s="1" t="s">
        <v>4488</v>
      </c>
      <c r="D1815" s="1" t="s">
        <v>7847</v>
      </c>
      <c r="E1815" s="1" t="s">
        <v>8096</v>
      </c>
      <c r="F1815" s="1" t="s">
        <v>8215</v>
      </c>
      <c r="G1815" s="1" t="s">
        <v>8216</v>
      </c>
      <c r="H1815" s="1" t="s">
        <v>3604</v>
      </c>
      <c r="I1815" s="1" t="s">
        <v>8217</v>
      </c>
      <c r="J1815" s="1" t="s">
        <v>3606</v>
      </c>
      <c r="K1815" s="1" t="s">
        <v>8218</v>
      </c>
      <c r="L1815" s="1"/>
      <c r="M1815" s="1"/>
    </row>
    <row x14ac:dyDescent="0.25" r="1816" customHeight="1" ht="18.75">
      <c r="A1816" s="1" t="s">
        <v>7833</v>
      </c>
      <c r="B1816" s="1" t="s">
        <v>8204</v>
      </c>
      <c r="C1816" s="1" t="s">
        <v>4488</v>
      </c>
      <c r="D1816" s="1" t="s">
        <v>7847</v>
      </c>
      <c r="E1816" s="1" t="s">
        <v>8096</v>
      </c>
      <c r="F1816" s="1" t="s">
        <v>8219</v>
      </c>
      <c r="G1816" s="1" t="s">
        <v>8216</v>
      </c>
      <c r="H1816" s="1" t="s">
        <v>3604</v>
      </c>
      <c r="I1816" s="1" t="s">
        <v>8220</v>
      </c>
      <c r="J1816" s="1" t="s">
        <v>3606</v>
      </c>
      <c r="K1816" s="1" t="s">
        <v>8221</v>
      </c>
      <c r="L1816" s="1"/>
      <c r="M1816" s="1"/>
    </row>
    <row x14ac:dyDescent="0.25" r="1817" customHeight="1" ht="18.75">
      <c r="A1817" s="1" t="s">
        <v>7833</v>
      </c>
      <c r="B1817" s="1" t="s">
        <v>8204</v>
      </c>
      <c r="C1817" s="1" t="s">
        <v>4488</v>
      </c>
      <c r="D1817" s="1" t="s">
        <v>7847</v>
      </c>
      <c r="E1817" s="1" t="s">
        <v>8096</v>
      </c>
      <c r="F1817" s="1" t="s">
        <v>8222</v>
      </c>
      <c r="G1817" s="1" t="s">
        <v>8216</v>
      </c>
      <c r="H1817" s="1" t="s">
        <v>3604</v>
      </c>
      <c r="I1817" s="1" t="s">
        <v>8223</v>
      </c>
      <c r="J1817" s="1" t="s">
        <v>3606</v>
      </c>
      <c r="K1817" s="1" t="s">
        <v>8224</v>
      </c>
      <c r="L1817" s="1"/>
      <c r="M1817" s="1"/>
    </row>
    <row x14ac:dyDescent="0.25" r="1818" customHeight="1" ht="18.75">
      <c r="A1818" s="1" t="s">
        <v>3693</v>
      </c>
      <c r="B1818" s="1" t="s">
        <v>4214</v>
      </c>
      <c r="C1818" s="1" t="s">
        <v>3600</v>
      </c>
      <c r="D1818" s="1" t="s">
        <v>3601</v>
      </c>
      <c r="E1818" s="1" t="s">
        <v>3981</v>
      </c>
      <c r="F1818" s="1" t="s">
        <v>8225</v>
      </c>
      <c r="G1818" s="1" t="s">
        <v>8226</v>
      </c>
      <c r="H1818" s="1" t="s">
        <v>3604</v>
      </c>
      <c r="I1818" s="1" t="s">
        <v>8227</v>
      </c>
      <c r="J1818" s="1" t="s">
        <v>3606</v>
      </c>
      <c r="K1818" s="1" t="s">
        <v>8228</v>
      </c>
      <c r="L1818" s="1"/>
      <c r="M1818" s="1"/>
    </row>
    <row x14ac:dyDescent="0.25" r="1819" customHeight="1" ht="18.75">
      <c r="A1819" s="1" t="s">
        <v>7833</v>
      </c>
      <c r="B1819" s="1" t="s">
        <v>8204</v>
      </c>
      <c r="C1819" s="1" t="s">
        <v>4488</v>
      </c>
      <c r="D1819" s="1" t="s">
        <v>8100</v>
      </c>
      <c r="E1819" s="1" t="s">
        <v>8096</v>
      </c>
      <c r="F1819" s="1" t="s">
        <v>8229</v>
      </c>
      <c r="G1819" s="1" t="s">
        <v>8230</v>
      </c>
      <c r="H1819" s="1" t="s">
        <v>3604</v>
      </c>
      <c r="I1819" s="1" t="s">
        <v>8231</v>
      </c>
      <c r="J1819" s="1" t="s">
        <v>3606</v>
      </c>
      <c r="K1819" s="1" t="s">
        <v>8104</v>
      </c>
      <c r="L1819" s="1"/>
      <c r="M1819" s="1"/>
    </row>
    <row x14ac:dyDescent="0.25" r="1820" customHeight="1" ht="18.75">
      <c r="A1820" s="1" t="s">
        <v>7833</v>
      </c>
      <c r="B1820" s="1" t="s">
        <v>8204</v>
      </c>
      <c r="C1820" s="1" t="s">
        <v>4488</v>
      </c>
      <c r="D1820" s="1" t="s">
        <v>8100</v>
      </c>
      <c r="E1820" s="1" t="s">
        <v>8096</v>
      </c>
      <c r="F1820" s="1" t="s">
        <v>8232</v>
      </c>
      <c r="G1820" s="1" t="s">
        <v>8230</v>
      </c>
      <c r="H1820" s="1" t="s">
        <v>3604</v>
      </c>
      <c r="I1820" s="1" t="s">
        <v>8233</v>
      </c>
      <c r="J1820" s="1" t="s">
        <v>3606</v>
      </c>
      <c r="K1820" s="1" t="s">
        <v>8107</v>
      </c>
      <c r="L1820" s="1"/>
      <c r="M1820" s="1"/>
    </row>
    <row x14ac:dyDescent="0.25" r="1821" customHeight="1" ht="18.75">
      <c r="A1821" s="1" t="s">
        <v>3598</v>
      </c>
      <c r="B1821" s="1" t="s">
        <v>8082</v>
      </c>
      <c r="C1821" s="1" t="s">
        <v>3600</v>
      </c>
      <c r="D1821" s="1" t="s">
        <v>533</v>
      </c>
      <c r="E1821" s="1" t="s">
        <v>3752</v>
      </c>
      <c r="F1821" s="1" t="s">
        <v>8234</v>
      </c>
      <c r="G1821" s="1" t="s">
        <v>8235</v>
      </c>
      <c r="H1821" s="1" t="s">
        <v>3604</v>
      </c>
      <c r="I1821" s="1" t="s">
        <v>8236</v>
      </c>
      <c r="J1821" s="1" t="s">
        <v>3606</v>
      </c>
      <c r="K1821" s="1" t="s">
        <v>8237</v>
      </c>
      <c r="L1821" s="1" t="s">
        <v>3608</v>
      </c>
      <c r="M1821" s="1"/>
    </row>
    <row x14ac:dyDescent="0.25" r="1822" customHeight="1" ht="18.75">
      <c r="A1822" s="1" t="s">
        <v>7833</v>
      </c>
      <c r="B1822" s="1" t="s">
        <v>8204</v>
      </c>
      <c r="C1822" s="1" t="s">
        <v>4488</v>
      </c>
      <c r="D1822" s="1" t="s">
        <v>8100</v>
      </c>
      <c r="E1822" s="1" t="s">
        <v>8096</v>
      </c>
      <c r="F1822" s="1" t="s">
        <v>8238</v>
      </c>
      <c r="G1822" s="1" t="s">
        <v>8230</v>
      </c>
      <c r="H1822" s="1" t="s">
        <v>3604</v>
      </c>
      <c r="I1822" s="1" t="s">
        <v>8239</v>
      </c>
      <c r="J1822" s="1" t="s">
        <v>3606</v>
      </c>
      <c r="K1822" s="1" t="s">
        <v>8127</v>
      </c>
      <c r="L1822" s="1"/>
      <c r="M1822" s="1"/>
    </row>
    <row x14ac:dyDescent="0.25" r="1823" customHeight="1" ht="18.75">
      <c r="A1823" s="1" t="s">
        <v>7833</v>
      </c>
      <c r="B1823" s="1" t="s">
        <v>8204</v>
      </c>
      <c r="C1823" s="1" t="s">
        <v>4488</v>
      </c>
      <c r="D1823" s="1" t="s">
        <v>8100</v>
      </c>
      <c r="E1823" s="1" t="s">
        <v>8096</v>
      </c>
      <c r="F1823" s="1" t="s">
        <v>8240</v>
      </c>
      <c r="G1823" s="1" t="s">
        <v>8241</v>
      </c>
      <c r="H1823" s="1" t="s">
        <v>3604</v>
      </c>
      <c r="I1823" s="1" t="s">
        <v>8242</v>
      </c>
      <c r="J1823" s="1" t="s">
        <v>3606</v>
      </c>
      <c r="K1823" s="1" t="s">
        <v>8243</v>
      </c>
      <c r="L1823" s="1"/>
      <c r="M1823" s="1"/>
    </row>
    <row x14ac:dyDescent="0.25" r="1824" customHeight="1" ht="18.75">
      <c r="A1824" s="1" t="s">
        <v>7833</v>
      </c>
      <c r="B1824" s="1" t="s">
        <v>8204</v>
      </c>
      <c r="C1824" s="1" t="s">
        <v>4488</v>
      </c>
      <c r="D1824" s="1" t="s">
        <v>8100</v>
      </c>
      <c r="E1824" s="1" t="s">
        <v>8096</v>
      </c>
      <c r="F1824" s="1" t="s">
        <v>8244</v>
      </c>
      <c r="G1824" s="1" t="s">
        <v>8245</v>
      </c>
      <c r="H1824" s="1" t="s">
        <v>3604</v>
      </c>
      <c r="I1824" s="1" t="s">
        <v>8246</v>
      </c>
      <c r="J1824" s="1" t="s">
        <v>3606</v>
      </c>
      <c r="K1824" s="1" t="s">
        <v>8146</v>
      </c>
      <c r="L1824" s="1"/>
      <c r="M1824" s="1"/>
    </row>
    <row x14ac:dyDescent="0.25" r="1825" customHeight="1" ht="18.75">
      <c r="A1825" s="1" t="s">
        <v>7833</v>
      </c>
      <c r="B1825" s="1" t="s">
        <v>8204</v>
      </c>
      <c r="C1825" s="1" t="s">
        <v>4488</v>
      </c>
      <c r="D1825" s="1" t="s">
        <v>8100</v>
      </c>
      <c r="E1825" s="1" t="s">
        <v>8096</v>
      </c>
      <c r="F1825" s="1" t="s">
        <v>8247</v>
      </c>
      <c r="G1825" s="1" t="s">
        <v>8245</v>
      </c>
      <c r="H1825" s="1" t="s">
        <v>3604</v>
      </c>
      <c r="I1825" s="1" t="s">
        <v>8248</v>
      </c>
      <c r="J1825" s="1" t="s">
        <v>3606</v>
      </c>
      <c r="K1825" s="1" t="s">
        <v>8156</v>
      </c>
      <c r="L1825" s="1"/>
      <c r="M1825" s="1"/>
    </row>
    <row x14ac:dyDescent="0.25" r="1826" customHeight="1" ht="18.75">
      <c r="A1826" s="1" t="s">
        <v>7833</v>
      </c>
      <c r="B1826" s="1" t="s">
        <v>8249</v>
      </c>
      <c r="C1826" s="1" t="s">
        <v>4488</v>
      </c>
      <c r="D1826" s="1" t="s">
        <v>8116</v>
      </c>
      <c r="E1826" s="1" t="s">
        <v>3664</v>
      </c>
      <c r="F1826" s="1" t="s">
        <v>8250</v>
      </c>
      <c r="G1826" s="1" t="s">
        <v>8251</v>
      </c>
      <c r="H1826" s="1" t="s">
        <v>3604</v>
      </c>
      <c r="I1826" s="1" t="s">
        <v>8252</v>
      </c>
      <c r="J1826" s="1" t="s">
        <v>3606</v>
      </c>
      <c r="K1826" s="1" t="s">
        <v>8253</v>
      </c>
      <c r="L1826" s="1"/>
      <c r="M1826" s="1"/>
    </row>
    <row x14ac:dyDescent="0.25" r="1827" customHeight="1" ht="18.75">
      <c r="A1827" s="1" t="s">
        <v>7833</v>
      </c>
      <c r="B1827" s="1" t="s">
        <v>8249</v>
      </c>
      <c r="C1827" s="1" t="s">
        <v>4488</v>
      </c>
      <c r="D1827" s="1" t="s">
        <v>8116</v>
      </c>
      <c r="E1827" s="1" t="s">
        <v>3664</v>
      </c>
      <c r="F1827" s="1" t="s">
        <v>8254</v>
      </c>
      <c r="G1827" s="1" t="s">
        <v>8255</v>
      </c>
      <c r="H1827" s="1" t="s">
        <v>3604</v>
      </c>
      <c r="I1827" s="1" t="s">
        <v>8256</v>
      </c>
      <c r="J1827" s="1" t="s">
        <v>3606</v>
      </c>
      <c r="K1827" s="1" t="s">
        <v>8257</v>
      </c>
      <c r="L1827" s="1"/>
      <c r="M1827" s="1"/>
    </row>
    <row x14ac:dyDescent="0.25" r="1828" customHeight="1" ht="18.75">
      <c r="A1828" s="1" t="s">
        <v>7833</v>
      </c>
      <c r="B1828" s="1" t="s">
        <v>8258</v>
      </c>
      <c r="C1828" s="1" t="s">
        <v>4488</v>
      </c>
      <c r="D1828" s="1" t="s">
        <v>7847</v>
      </c>
      <c r="E1828" s="1" t="s">
        <v>3664</v>
      </c>
      <c r="F1828" s="1" t="s">
        <v>8259</v>
      </c>
      <c r="G1828" s="1" t="s">
        <v>8260</v>
      </c>
      <c r="H1828" s="1" t="s">
        <v>3604</v>
      </c>
      <c r="I1828" s="1" t="s">
        <v>8261</v>
      </c>
      <c r="J1828" s="1" t="s">
        <v>3606</v>
      </c>
      <c r="K1828" s="1" t="s">
        <v>8218</v>
      </c>
      <c r="L1828" s="1"/>
      <c r="M1828" s="1"/>
    </row>
    <row x14ac:dyDescent="0.25" r="1829" customHeight="1" ht="18.75">
      <c r="A1829" s="1" t="s">
        <v>7833</v>
      </c>
      <c r="B1829" s="1" t="s">
        <v>8258</v>
      </c>
      <c r="C1829" s="1" t="s">
        <v>4488</v>
      </c>
      <c r="D1829" s="1" t="s">
        <v>7847</v>
      </c>
      <c r="E1829" s="1" t="s">
        <v>3664</v>
      </c>
      <c r="F1829" s="1" t="s">
        <v>8262</v>
      </c>
      <c r="G1829" s="1" t="s">
        <v>8260</v>
      </c>
      <c r="H1829" s="1" t="s">
        <v>3604</v>
      </c>
      <c r="I1829" s="1" t="s">
        <v>8263</v>
      </c>
      <c r="J1829" s="1" t="s">
        <v>3606</v>
      </c>
      <c r="K1829" s="1" t="s">
        <v>8221</v>
      </c>
      <c r="L1829" s="1"/>
      <c r="M1829" s="1"/>
    </row>
    <row x14ac:dyDescent="0.25" r="1830" customHeight="1" ht="18.75">
      <c r="A1830" s="1" t="s">
        <v>7833</v>
      </c>
      <c r="B1830" s="1" t="s">
        <v>8258</v>
      </c>
      <c r="C1830" s="1" t="s">
        <v>4488</v>
      </c>
      <c r="D1830" s="1" t="s">
        <v>7847</v>
      </c>
      <c r="E1830" s="1" t="s">
        <v>3664</v>
      </c>
      <c r="F1830" s="1" t="s">
        <v>8264</v>
      </c>
      <c r="G1830" s="1" t="s">
        <v>8260</v>
      </c>
      <c r="H1830" s="1" t="s">
        <v>3604</v>
      </c>
      <c r="I1830" s="1" t="s">
        <v>8265</v>
      </c>
      <c r="J1830" s="1" t="s">
        <v>3606</v>
      </c>
      <c r="K1830" s="1" t="s">
        <v>8224</v>
      </c>
      <c r="L1830" s="1"/>
      <c r="M1830" s="1"/>
    </row>
    <row x14ac:dyDescent="0.25" r="1831" customHeight="1" ht="18.75">
      <c r="A1831" s="1" t="s">
        <v>7833</v>
      </c>
      <c r="B1831" s="1" t="s">
        <v>8258</v>
      </c>
      <c r="C1831" s="1" t="s">
        <v>4488</v>
      </c>
      <c r="D1831" s="1" t="s">
        <v>7847</v>
      </c>
      <c r="E1831" s="1" t="s">
        <v>3664</v>
      </c>
      <c r="F1831" s="1" t="s">
        <v>8266</v>
      </c>
      <c r="G1831" s="1" t="s">
        <v>8260</v>
      </c>
      <c r="H1831" s="1" t="s">
        <v>3604</v>
      </c>
      <c r="I1831" s="1" t="s">
        <v>8267</v>
      </c>
      <c r="J1831" s="1" t="s">
        <v>3606</v>
      </c>
      <c r="K1831" s="1" t="s">
        <v>8268</v>
      </c>
      <c r="L1831" s="1"/>
      <c r="M1831" s="1"/>
    </row>
    <row x14ac:dyDescent="0.25" r="1832" customHeight="1" ht="18.75">
      <c r="A1832" s="1" t="s">
        <v>7833</v>
      </c>
      <c r="B1832" s="1" t="s">
        <v>8269</v>
      </c>
      <c r="C1832" s="1" t="s">
        <v>4488</v>
      </c>
      <c r="D1832" s="1" t="s">
        <v>3610</v>
      </c>
      <c r="E1832" s="1" t="s">
        <v>3664</v>
      </c>
      <c r="F1832" s="1" t="s">
        <v>8270</v>
      </c>
      <c r="G1832" s="1" t="s">
        <v>8271</v>
      </c>
      <c r="H1832" s="1" t="s">
        <v>3604</v>
      </c>
      <c r="I1832" s="1" t="s">
        <v>8272</v>
      </c>
      <c r="J1832" s="1" t="s">
        <v>3606</v>
      </c>
      <c r="K1832" s="1" t="s">
        <v>8273</v>
      </c>
      <c r="L1832" s="1" t="s">
        <v>7868</v>
      </c>
      <c r="M1832" s="1"/>
    </row>
    <row x14ac:dyDescent="0.25" r="1833" customHeight="1" ht="18.75">
      <c r="A1833" s="1" t="s">
        <v>7833</v>
      </c>
      <c r="B1833" s="1" t="s">
        <v>8269</v>
      </c>
      <c r="C1833" s="1" t="s">
        <v>4488</v>
      </c>
      <c r="D1833" s="1" t="s">
        <v>3610</v>
      </c>
      <c r="E1833" s="1" t="s">
        <v>3664</v>
      </c>
      <c r="F1833" s="1" t="s">
        <v>8274</v>
      </c>
      <c r="G1833" s="1" t="s">
        <v>8275</v>
      </c>
      <c r="H1833" s="1" t="s">
        <v>3604</v>
      </c>
      <c r="I1833" s="1" t="s">
        <v>8276</v>
      </c>
      <c r="J1833" s="1" t="s">
        <v>3606</v>
      </c>
      <c r="K1833" s="1" t="s">
        <v>8277</v>
      </c>
      <c r="L1833" s="1" t="s">
        <v>7868</v>
      </c>
      <c r="M1833" s="1"/>
    </row>
    <row x14ac:dyDescent="0.25" r="1834" customHeight="1" ht="18.75">
      <c r="A1834" s="1" t="s">
        <v>7833</v>
      </c>
      <c r="B1834" s="1" t="s">
        <v>8269</v>
      </c>
      <c r="C1834" s="1" t="s">
        <v>4488</v>
      </c>
      <c r="D1834" s="1" t="s">
        <v>3610</v>
      </c>
      <c r="E1834" s="1" t="s">
        <v>3664</v>
      </c>
      <c r="F1834" s="1" t="s">
        <v>8278</v>
      </c>
      <c r="G1834" s="1" t="s">
        <v>8279</v>
      </c>
      <c r="H1834" s="1" t="s">
        <v>3604</v>
      </c>
      <c r="I1834" s="1" t="s">
        <v>8280</v>
      </c>
      <c r="J1834" s="1" t="s">
        <v>3606</v>
      </c>
      <c r="K1834" s="1" t="s">
        <v>8281</v>
      </c>
      <c r="L1834" s="1" t="s">
        <v>7868</v>
      </c>
      <c r="M1834" s="1"/>
    </row>
    <row x14ac:dyDescent="0.25" r="1835" customHeight="1" ht="18.75">
      <c r="A1835" s="1" t="s">
        <v>7833</v>
      </c>
      <c r="B1835" s="1" t="s">
        <v>8269</v>
      </c>
      <c r="C1835" s="1" t="s">
        <v>4488</v>
      </c>
      <c r="D1835" s="1" t="s">
        <v>3610</v>
      </c>
      <c r="E1835" s="1" t="s">
        <v>3664</v>
      </c>
      <c r="F1835" s="1" t="s">
        <v>8282</v>
      </c>
      <c r="G1835" s="1" t="s">
        <v>8283</v>
      </c>
      <c r="H1835" s="1" t="s">
        <v>3604</v>
      </c>
      <c r="I1835" s="1" t="s">
        <v>8284</v>
      </c>
      <c r="J1835" s="1" t="s">
        <v>3606</v>
      </c>
      <c r="K1835" s="1" t="s">
        <v>8285</v>
      </c>
      <c r="L1835" s="1" t="s">
        <v>7868</v>
      </c>
      <c r="M1835" s="1"/>
    </row>
    <row x14ac:dyDescent="0.25" r="1836" customHeight="1" ht="18.75">
      <c r="A1836" s="1" t="s">
        <v>7833</v>
      </c>
      <c r="B1836" s="1" t="s">
        <v>8286</v>
      </c>
      <c r="C1836" s="1" t="s">
        <v>4488</v>
      </c>
      <c r="D1836" s="1" t="s">
        <v>8116</v>
      </c>
      <c r="E1836" s="1" t="s">
        <v>3664</v>
      </c>
      <c r="F1836" s="1" t="s">
        <v>8287</v>
      </c>
      <c r="G1836" s="1" t="s">
        <v>8288</v>
      </c>
      <c r="H1836" s="1" t="s">
        <v>3604</v>
      </c>
      <c r="I1836" s="1" t="s">
        <v>8289</v>
      </c>
      <c r="J1836" s="1" t="s">
        <v>3606</v>
      </c>
      <c r="K1836" s="1" t="s">
        <v>8290</v>
      </c>
      <c r="L1836" s="1"/>
      <c r="M1836" s="1"/>
    </row>
    <row x14ac:dyDescent="0.25" r="1837" customHeight="1" ht="18.75">
      <c r="A1837" s="1" t="s">
        <v>7833</v>
      </c>
      <c r="B1837" s="1" t="s">
        <v>8291</v>
      </c>
      <c r="C1837" s="1" t="s">
        <v>4488</v>
      </c>
      <c r="D1837" s="1" t="s">
        <v>3610</v>
      </c>
      <c r="E1837" s="1" t="s">
        <v>3664</v>
      </c>
      <c r="F1837" s="1" t="s">
        <v>8292</v>
      </c>
      <c r="G1837" s="1" t="s">
        <v>8293</v>
      </c>
      <c r="H1837" s="1" t="s">
        <v>3604</v>
      </c>
      <c r="I1837" s="1" t="s">
        <v>8294</v>
      </c>
      <c r="J1837" s="1" t="s">
        <v>3606</v>
      </c>
      <c r="K1837" s="1" t="s">
        <v>8273</v>
      </c>
      <c r="L1837" s="1" t="s">
        <v>7868</v>
      </c>
      <c r="M1837" s="1"/>
    </row>
    <row x14ac:dyDescent="0.25" r="1838" customHeight="1" ht="18.75">
      <c r="A1838" s="1" t="s">
        <v>7833</v>
      </c>
      <c r="B1838" s="1" t="s">
        <v>8291</v>
      </c>
      <c r="C1838" s="1" t="s">
        <v>4488</v>
      </c>
      <c r="D1838" s="1" t="s">
        <v>3610</v>
      </c>
      <c r="E1838" s="1" t="s">
        <v>3664</v>
      </c>
      <c r="F1838" s="1" t="s">
        <v>8295</v>
      </c>
      <c r="G1838" s="1" t="s">
        <v>8296</v>
      </c>
      <c r="H1838" s="1" t="s">
        <v>3604</v>
      </c>
      <c r="I1838" s="1" t="s">
        <v>8297</v>
      </c>
      <c r="J1838" s="1" t="s">
        <v>3606</v>
      </c>
      <c r="K1838" s="1" t="s">
        <v>8277</v>
      </c>
      <c r="L1838" s="1" t="s">
        <v>7868</v>
      </c>
      <c r="M1838" s="1"/>
    </row>
    <row x14ac:dyDescent="0.25" r="1839" customHeight="1" ht="18.75">
      <c r="A1839" s="1" t="s">
        <v>7833</v>
      </c>
      <c r="B1839" s="1" t="s">
        <v>8291</v>
      </c>
      <c r="C1839" s="1" t="s">
        <v>4488</v>
      </c>
      <c r="D1839" s="1" t="s">
        <v>3610</v>
      </c>
      <c r="E1839" s="1" t="s">
        <v>3664</v>
      </c>
      <c r="F1839" s="1" t="s">
        <v>8298</v>
      </c>
      <c r="G1839" s="1" t="s">
        <v>8299</v>
      </c>
      <c r="H1839" s="1" t="s">
        <v>3604</v>
      </c>
      <c r="I1839" s="1" t="s">
        <v>8300</v>
      </c>
      <c r="J1839" s="1" t="s">
        <v>3606</v>
      </c>
      <c r="K1839" s="1" t="s">
        <v>8301</v>
      </c>
      <c r="L1839" s="1" t="s">
        <v>7868</v>
      </c>
      <c r="M1839" s="1"/>
    </row>
    <row x14ac:dyDescent="0.25" r="1840" customHeight="1" ht="18.75">
      <c r="A1840" s="1" t="s">
        <v>7833</v>
      </c>
      <c r="B1840" s="1" t="s">
        <v>8291</v>
      </c>
      <c r="C1840" s="1" t="s">
        <v>4488</v>
      </c>
      <c r="D1840" s="1" t="s">
        <v>3610</v>
      </c>
      <c r="E1840" s="1" t="s">
        <v>3664</v>
      </c>
      <c r="F1840" s="1" t="s">
        <v>8302</v>
      </c>
      <c r="G1840" s="1" t="s">
        <v>8303</v>
      </c>
      <c r="H1840" s="1" t="s">
        <v>3604</v>
      </c>
      <c r="I1840" s="1" t="s">
        <v>8304</v>
      </c>
      <c r="J1840" s="1" t="s">
        <v>3606</v>
      </c>
      <c r="K1840" s="1" t="s">
        <v>8305</v>
      </c>
      <c r="L1840" s="1" t="s">
        <v>7868</v>
      </c>
      <c r="M1840" s="1"/>
    </row>
    <row x14ac:dyDescent="0.25" r="1841" customHeight="1" ht="18.75">
      <c r="A1841" s="1" t="s">
        <v>7833</v>
      </c>
      <c r="B1841" s="1" t="s">
        <v>8306</v>
      </c>
      <c r="C1841" s="1" t="s">
        <v>4488</v>
      </c>
      <c r="D1841" s="1" t="s">
        <v>3610</v>
      </c>
      <c r="E1841" s="1" t="s">
        <v>3664</v>
      </c>
      <c r="F1841" s="1" t="s">
        <v>8307</v>
      </c>
      <c r="G1841" s="1" t="s">
        <v>8308</v>
      </c>
      <c r="H1841" s="1" t="s">
        <v>3604</v>
      </c>
      <c r="I1841" s="1" t="s">
        <v>8309</v>
      </c>
      <c r="J1841" s="1" t="s">
        <v>3606</v>
      </c>
      <c r="K1841" s="1" t="s">
        <v>8310</v>
      </c>
      <c r="L1841" s="1" t="s">
        <v>7868</v>
      </c>
      <c r="M1841" s="1"/>
    </row>
    <row x14ac:dyDescent="0.25" r="1842" customHeight="1" ht="18.75">
      <c r="A1842" s="1" t="s">
        <v>7833</v>
      </c>
      <c r="B1842" s="1" t="s">
        <v>8306</v>
      </c>
      <c r="C1842" s="1" t="s">
        <v>4488</v>
      </c>
      <c r="D1842" s="1" t="s">
        <v>3610</v>
      </c>
      <c r="E1842" s="1" t="s">
        <v>3664</v>
      </c>
      <c r="F1842" s="1" t="s">
        <v>8311</v>
      </c>
      <c r="G1842" s="1" t="s">
        <v>8312</v>
      </c>
      <c r="H1842" s="1" t="s">
        <v>3604</v>
      </c>
      <c r="I1842" s="1" t="s">
        <v>8313</v>
      </c>
      <c r="J1842" s="1" t="s">
        <v>3606</v>
      </c>
      <c r="K1842" s="1" t="s">
        <v>8314</v>
      </c>
      <c r="L1842" s="1" t="s">
        <v>7868</v>
      </c>
      <c r="M1842" s="1"/>
    </row>
    <row x14ac:dyDescent="0.25" r="1843" customHeight="1" ht="18.75">
      <c r="A1843" s="1" t="s">
        <v>3598</v>
      </c>
      <c r="B1843" s="1" t="s">
        <v>3663</v>
      </c>
      <c r="C1843" s="1" t="s">
        <v>3600</v>
      </c>
      <c r="D1843" s="1" t="s">
        <v>3601</v>
      </c>
      <c r="E1843" s="1" t="s">
        <v>3664</v>
      </c>
      <c r="F1843" s="1" t="s">
        <v>8315</v>
      </c>
      <c r="G1843" s="1" t="s">
        <v>7224</v>
      </c>
      <c r="H1843" s="1" t="s">
        <v>3604</v>
      </c>
      <c r="I1843" s="1" t="s">
        <v>8316</v>
      </c>
      <c r="J1843" s="1" t="s">
        <v>3606</v>
      </c>
      <c r="K1843" s="1"/>
      <c r="L1843" s="1"/>
      <c r="M1843" s="1"/>
    </row>
    <row x14ac:dyDescent="0.25" r="1844" customHeight="1" ht="18.75">
      <c r="A1844" s="1" t="s">
        <v>3598</v>
      </c>
      <c r="B1844" s="1" t="s">
        <v>3663</v>
      </c>
      <c r="C1844" s="1" t="s">
        <v>3600</v>
      </c>
      <c r="D1844" s="1" t="s">
        <v>3601</v>
      </c>
      <c r="E1844" s="1" t="s">
        <v>3664</v>
      </c>
      <c r="F1844" s="1" t="s">
        <v>8317</v>
      </c>
      <c r="G1844" s="1" t="s">
        <v>8318</v>
      </c>
      <c r="H1844" s="1" t="s">
        <v>3604</v>
      </c>
      <c r="I1844" s="1" t="s">
        <v>8319</v>
      </c>
      <c r="J1844" s="1" t="s">
        <v>3615</v>
      </c>
      <c r="K1844" s="1"/>
      <c r="L1844" s="1"/>
      <c r="M1844" s="1"/>
    </row>
    <row x14ac:dyDescent="0.25" r="1845" customHeight="1" ht="18.75">
      <c r="A1845" s="1" t="s">
        <v>3598</v>
      </c>
      <c r="B1845" s="1" t="s">
        <v>3663</v>
      </c>
      <c r="C1845" s="1" t="s">
        <v>3600</v>
      </c>
      <c r="D1845" s="1" t="s">
        <v>3601</v>
      </c>
      <c r="E1845" s="1" t="s">
        <v>3664</v>
      </c>
      <c r="F1845" s="1" t="s">
        <v>8320</v>
      </c>
      <c r="G1845" s="1" t="s">
        <v>3678</v>
      </c>
      <c r="H1845" s="1" t="s">
        <v>3604</v>
      </c>
      <c r="I1845" s="1" t="s">
        <v>8321</v>
      </c>
      <c r="J1845" s="1" t="s">
        <v>3615</v>
      </c>
      <c r="K1845" s="1"/>
      <c r="L1845" s="1"/>
      <c r="M1845" s="1"/>
    </row>
    <row x14ac:dyDescent="0.25" r="1846" customHeight="1" ht="18.75">
      <c r="A1846" s="1" t="s">
        <v>3598</v>
      </c>
      <c r="B1846" s="1" t="s">
        <v>3663</v>
      </c>
      <c r="C1846" s="1" t="s">
        <v>3600</v>
      </c>
      <c r="D1846" s="1" t="s">
        <v>3601</v>
      </c>
      <c r="E1846" s="1" t="s">
        <v>3664</v>
      </c>
      <c r="F1846" s="1" t="s">
        <v>8322</v>
      </c>
      <c r="G1846" s="1" t="s">
        <v>3682</v>
      </c>
      <c r="H1846" s="1" t="s">
        <v>3604</v>
      </c>
      <c r="I1846" s="1" t="s">
        <v>8323</v>
      </c>
      <c r="J1846" s="1" t="s">
        <v>3606</v>
      </c>
      <c r="K1846" s="1"/>
      <c r="L1846" s="1"/>
      <c r="M1846" s="1"/>
    </row>
    <row x14ac:dyDescent="0.25" r="1847" customHeight="1" ht="18.75">
      <c r="A1847" s="1" t="s">
        <v>3598</v>
      </c>
      <c r="B1847" s="1" t="s">
        <v>3663</v>
      </c>
      <c r="C1847" s="1" t="s">
        <v>3600</v>
      </c>
      <c r="D1847" s="1" t="s">
        <v>3601</v>
      </c>
      <c r="E1847" s="1" t="s">
        <v>3664</v>
      </c>
      <c r="F1847" s="1" t="s">
        <v>8324</v>
      </c>
      <c r="G1847" s="1" t="s">
        <v>3686</v>
      </c>
      <c r="H1847" s="1" t="s">
        <v>3604</v>
      </c>
      <c r="I1847" s="1" t="s">
        <v>8325</v>
      </c>
      <c r="J1847" s="1" t="s">
        <v>3606</v>
      </c>
      <c r="K1847" s="1"/>
      <c r="L1847" s="1"/>
      <c r="M1847" s="1"/>
    </row>
    <row x14ac:dyDescent="0.25" r="1848" customHeight="1" ht="18.75">
      <c r="A1848" s="1" t="s">
        <v>3598</v>
      </c>
      <c r="B1848" s="1" t="s">
        <v>3663</v>
      </c>
      <c r="C1848" s="1" t="s">
        <v>3600</v>
      </c>
      <c r="D1848" s="1" t="s">
        <v>3601</v>
      </c>
      <c r="E1848" s="1" t="s">
        <v>3664</v>
      </c>
      <c r="F1848" s="1" t="s">
        <v>8326</v>
      </c>
      <c r="G1848" s="1" t="s">
        <v>8327</v>
      </c>
      <c r="H1848" s="1" t="s">
        <v>3604</v>
      </c>
      <c r="I1848" s="1" t="s">
        <v>8328</v>
      </c>
      <c r="J1848" s="1" t="s">
        <v>3606</v>
      </c>
      <c r="K1848" s="1"/>
      <c r="L1848" s="1"/>
      <c r="M1848" s="1"/>
    </row>
    <row x14ac:dyDescent="0.25" r="1849" customHeight="1" ht="18.75">
      <c r="A1849" s="1" t="s">
        <v>3598</v>
      </c>
      <c r="B1849" s="1" t="s">
        <v>3663</v>
      </c>
      <c r="C1849" s="1" t="s">
        <v>3600</v>
      </c>
      <c r="D1849" s="1" t="s">
        <v>3601</v>
      </c>
      <c r="E1849" s="1" t="s">
        <v>3664</v>
      </c>
      <c r="F1849" s="1" t="s">
        <v>8329</v>
      </c>
      <c r="G1849" s="1" t="s">
        <v>8330</v>
      </c>
      <c r="H1849" s="1" t="s">
        <v>3604</v>
      </c>
      <c r="I1849" s="1" t="s">
        <v>8331</v>
      </c>
      <c r="J1849" s="1" t="s">
        <v>3606</v>
      </c>
      <c r="K1849" s="1"/>
      <c r="L1849" s="1"/>
      <c r="M1849" s="1"/>
    </row>
    <row x14ac:dyDescent="0.25" r="1850" customHeight="1" ht="18.75">
      <c r="A1850" s="1" t="s">
        <v>3598</v>
      </c>
      <c r="B1850" s="1" t="s">
        <v>3663</v>
      </c>
      <c r="C1850" s="1" t="s">
        <v>3600</v>
      </c>
      <c r="D1850" s="1" t="s">
        <v>3601</v>
      </c>
      <c r="E1850" s="1" t="s">
        <v>3664</v>
      </c>
      <c r="F1850" s="1" t="s">
        <v>8332</v>
      </c>
      <c r="G1850" s="1" t="s">
        <v>8333</v>
      </c>
      <c r="H1850" s="1" t="s">
        <v>3604</v>
      </c>
      <c r="I1850" s="1" t="s">
        <v>8334</v>
      </c>
      <c r="J1850" s="1" t="s">
        <v>3606</v>
      </c>
      <c r="K1850" s="1"/>
      <c r="L1850" s="1"/>
      <c r="M1850" s="1"/>
    </row>
    <row x14ac:dyDescent="0.25" r="1851" customHeight="1" ht="18.75">
      <c r="A1851" s="1" t="s">
        <v>3598</v>
      </c>
      <c r="B1851" s="1" t="s">
        <v>3663</v>
      </c>
      <c r="C1851" s="1" t="s">
        <v>3600</v>
      </c>
      <c r="D1851" s="1" t="s">
        <v>3601</v>
      </c>
      <c r="E1851" s="1" t="s">
        <v>3664</v>
      </c>
      <c r="F1851" s="1" t="s">
        <v>8335</v>
      </c>
      <c r="G1851" s="1" t="s">
        <v>3670</v>
      </c>
      <c r="H1851" s="1" t="s">
        <v>3604</v>
      </c>
      <c r="I1851" s="1" t="s">
        <v>8336</v>
      </c>
      <c r="J1851" s="1" t="s">
        <v>3606</v>
      </c>
      <c r="K1851" s="1"/>
      <c r="L1851" s="1"/>
      <c r="M1851" s="1"/>
    </row>
    <row x14ac:dyDescent="0.25" r="1852" customHeight="1" ht="18.75">
      <c r="A1852" s="1" t="s">
        <v>3598</v>
      </c>
      <c r="B1852" s="1" t="s">
        <v>3663</v>
      </c>
      <c r="C1852" s="1" t="s">
        <v>3600</v>
      </c>
      <c r="D1852" s="1" t="s">
        <v>3601</v>
      </c>
      <c r="E1852" s="1" t="s">
        <v>3664</v>
      </c>
      <c r="F1852" s="1" t="s">
        <v>8337</v>
      </c>
      <c r="G1852" s="1" t="s">
        <v>3674</v>
      </c>
      <c r="H1852" s="1" t="s">
        <v>3604</v>
      </c>
      <c r="I1852" s="1" t="s">
        <v>8338</v>
      </c>
      <c r="J1852" s="1" t="s">
        <v>3606</v>
      </c>
      <c r="K1852" s="1"/>
      <c r="L1852" s="1"/>
      <c r="M1852" s="1"/>
    </row>
    <row x14ac:dyDescent="0.25" r="1853" customHeight="1" ht="18.75">
      <c r="A1853" s="1" t="s">
        <v>3598</v>
      </c>
      <c r="B1853" s="1" t="s">
        <v>3663</v>
      </c>
      <c r="C1853" s="1" t="s">
        <v>3600</v>
      </c>
      <c r="D1853" s="1" t="s">
        <v>3601</v>
      </c>
      <c r="E1853" s="1" t="s">
        <v>3664</v>
      </c>
      <c r="F1853" s="1" t="s">
        <v>8339</v>
      </c>
      <c r="G1853" s="1" t="s">
        <v>8340</v>
      </c>
      <c r="H1853" s="1" t="s">
        <v>3604</v>
      </c>
      <c r="I1853" s="1" t="s">
        <v>8341</v>
      </c>
      <c r="J1853" s="1" t="s">
        <v>3606</v>
      </c>
      <c r="K1853" s="1"/>
      <c r="L1853" s="1"/>
      <c r="M1853" s="1"/>
    </row>
    <row x14ac:dyDescent="0.25" r="1854" customHeight="1" ht="18.75">
      <c r="A1854" s="1" t="s">
        <v>3598</v>
      </c>
      <c r="B1854" s="1" t="s">
        <v>3663</v>
      </c>
      <c r="C1854" s="1" t="s">
        <v>3600</v>
      </c>
      <c r="D1854" s="1" t="s">
        <v>3601</v>
      </c>
      <c r="E1854" s="1" t="s">
        <v>3664</v>
      </c>
      <c r="F1854" s="1" t="s">
        <v>8342</v>
      </c>
      <c r="G1854" s="1" t="s">
        <v>8343</v>
      </c>
      <c r="H1854" s="1" t="s">
        <v>3604</v>
      </c>
      <c r="I1854" s="1" t="s">
        <v>8344</v>
      </c>
      <c r="J1854" s="1" t="s">
        <v>3606</v>
      </c>
      <c r="K1854" s="1"/>
      <c r="L1854" s="1"/>
      <c r="M1854" s="1"/>
    </row>
    <row x14ac:dyDescent="0.25" r="1855" customHeight="1" ht="18.75">
      <c r="A1855" s="1" t="s">
        <v>3598</v>
      </c>
      <c r="B1855" s="1" t="s">
        <v>3663</v>
      </c>
      <c r="C1855" s="1" t="s">
        <v>3600</v>
      </c>
      <c r="D1855" s="1" t="s">
        <v>3601</v>
      </c>
      <c r="E1855" s="1" t="s">
        <v>3664</v>
      </c>
      <c r="F1855" s="1" t="s">
        <v>8345</v>
      </c>
      <c r="G1855" s="1" t="s">
        <v>8346</v>
      </c>
      <c r="H1855" s="1" t="s">
        <v>3604</v>
      </c>
      <c r="I1855" s="1" t="s">
        <v>8347</v>
      </c>
      <c r="J1855" s="1" t="s">
        <v>3606</v>
      </c>
      <c r="K1855" s="1"/>
      <c r="L1855" s="1"/>
      <c r="M1855" s="1"/>
    </row>
    <row x14ac:dyDescent="0.25" r="1856" customHeight="1" ht="18.75">
      <c r="A1856" s="1" t="s">
        <v>3598</v>
      </c>
      <c r="B1856" s="1" t="s">
        <v>3663</v>
      </c>
      <c r="C1856" s="1" t="s">
        <v>3600</v>
      </c>
      <c r="D1856" s="1" t="s">
        <v>3601</v>
      </c>
      <c r="E1856" s="1" t="s">
        <v>3664</v>
      </c>
      <c r="F1856" s="1" t="s">
        <v>8348</v>
      </c>
      <c r="G1856" s="1" t="s">
        <v>8349</v>
      </c>
      <c r="H1856" s="1" t="s">
        <v>3604</v>
      </c>
      <c r="I1856" s="1" t="s">
        <v>8350</v>
      </c>
      <c r="J1856" s="1" t="s">
        <v>3606</v>
      </c>
      <c r="K1856" s="1"/>
      <c r="L1856" s="1"/>
      <c r="M1856" s="1"/>
    </row>
    <row x14ac:dyDescent="0.25" r="1857" customHeight="1" ht="18.75">
      <c r="A1857" s="1" t="s">
        <v>3598</v>
      </c>
      <c r="B1857" s="1" t="s">
        <v>3663</v>
      </c>
      <c r="C1857" s="1" t="s">
        <v>3600</v>
      </c>
      <c r="D1857" s="1" t="s">
        <v>3601</v>
      </c>
      <c r="E1857" s="1" t="s">
        <v>3664</v>
      </c>
      <c r="F1857" s="1" t="s">
        <v>8351</v>
      </c>
      <c r="G1857" s="1" t="s">
        <v>7224</v>
      </c>
      <c r="H1857" s="1" t="s">
        <v>3604</v>
      </c>
      <c r="I1857" s="1" t="s">
        <v>8352</v>
      </c>
      <c r="J1857" s="1" t="s">
        <v>3606</v>
      </c>
      <c r="K1857" s="1"/>
      <c r="L1857" s="1"/>
      <c r="M1857" s="1"/>
    </row>
    <row x14ac:dyDescent="0.25" r="1858" customHeight="1" ht="18.75">
      <c r="A1858" s="1" t="s">
        <v>3598</v>
      </c>
      <c r="B1858" s="1" t="s">
        <v>3663</v>
      </c>
      <c r="C1858" s="1" t="s">
        <v>3600</v>
      </c>
      <c r="D1858" s="1" t="s">
        <v>3601</v>
      </c>
      <c r="E1858" s="1" t="s">
        <v>3664</v>
      </c>
      <c r="F1858" s="1" t="s">
        <v>8353</v>
      </c>
      <c r="G1858" s="1" t="s">
        <v>7224</v>
      </c>
      <c r="H1858" s="1" t="s">
        <v>3604</v>
      </c>
      <c r="I1858" s="1" t="s">
        <v>8354</v>
      </c>
      <c r="J1858" s="1" t="s">
        <v>3606</v>
      </c>
      <c r="K1858" s="1"/>
      <c r="L1858" s="1"/>
      <c r="M1858" s="1"/>
    </row>
    <row x14ac:dyDescent="0.25" r="1859" customHeight="1" ht="18.75">
      <c r="A1859" s="1" t="s">
        <v>3598</v>
      </c>
      <c r="B1859" s="1" t="s">
        <v>3663</v>
      </c>
      <c r="C1859" s="1" t="s">
        <v>3600</v>
      </c>
      <c r="D1859" s="1" t="s">
        <v>3601</v>
      </c>
      <c r="E1859" s="1" t="s">
        <v>3664</v>
      </c>
      <c r="F1859" s="1" t="s">
        <v>8355</v>
      </c>
      <c r="G1859" s="1" t="s">
        <v>8356</v>
      </c>
      <c r="H1859" s="1" t="s">
        <v>3604</v>
      </c>
      <c r="I1859" s="1" t="s">
        <v>8357</v>
      </c>
      <c r="J1859" s="1" t="s">
        <v>3606</v>
      </c>
      <c r="K1859" s="1"/>
      <c r="L1859" s="1"/>
      <c r="M1859" s="1"/>
    </row>
    <row x14ac:dyDescent="0.25" r="1860" customHeight="1" ht="18.75">
      <c r="A1860" s="1" t="s">
        <v>3598</v>
      </c>
      <c r="B1860" s="1" t="s">
        <v>3663</v>
      </c>
      <c r="C1860" s="1" t="s">
        <v>3600</v>
      </c>
      <c r="D1860" s="1" t="s">
        <v>3601</v>
      </c>
      <c r="E1860" s="1" t="s">
        <v>3664</v>
      </c>
      <c r="F1860" s="1" t="s">
        <v>8358</v>
      </c>
      <c r="G1860" s="1" t="s">
        <v>8359</v>
      </c>
      <c r="H1860" s="1" t="s">
        <v>3604</v>
      </c>
      <c r="I1860" s="1" t="s">
        <v>8360</v>
      </c>
      <c r="J1860" s="1" t="s">
        <v>3606</v>
      </c>
      <c r="K1860" s="1"/>
      <c r="L1860" s="1"/>
      <c r="M1860" s="1"/>
    </row>
    <row x14ac:dyDescent="0.25" r="1861" customHeight="1" ht="18.75">
      <c r="A1861" s="1" t="s">
        <v>3598</v>
      </c>
      <c r="B1861" s="1" t="s">
        <v>3663</v>
      </c>
      <c r="C1861" s="1" t="s">
        <v>3600</v>
      </c>
      <c r="D1861" s="1" t="s">
        <v>3601</v>
      </c>
      <c r="E1861" s="1" t="s">
        <v>3664</v>
      </c>
      <c r="F1861" s="1" t="s">
        <v>8361</v>
      </c>
      <c r="G1861" s="1" t="s">
        <v>8362</v>
      </c>
      <c r="H1861" s="1" t="s">
        <v>3604</v>
      </c>
      <c r="I1861" s="1" t="s">
        <v>8363</v>
      </c>
      <c r="J1861" s="1" t="s">
        <v>3606</v>
      </c>
      <c r="K1861" s="1"/>
      <c r="L1861" s="1"/>
      <c r="M1861" s="1"/>
    </row>
    <row x14ac:dyDescent="0.25" r="1862" customHeight="1" ht="18.75">
      <c r="A1862" s="1" t="s">
        <v>7833</v>
      </c>
      <c r="B1862" s="1" t="s">
        <v>8364</v>
      </c>
      <c r="C1862" s="1" t="s">
        <v>4488</v>
      </c>
      <c r="D1862" s="1" t="s">
        <v>8365</v>
      </c>
      <c r="E1862" s="1"/>
      <c r="F1862" s="1" t="s">
        <v>8366</v>
      </c>
      <c r="G1862" s="1" t="s">
        <v>8364</v>
      </c>
      <c r="H1862" s="1" t="s">
        <v>3604</v>
      </c>
      <c r="I1862" s="1" t="s">
        <v>8367</v>
      </c>
      <c r="J1862" s="1" t="s">
        <v>3606</v>
      </c>
      <c r="K1862" s="1" t="s">
        <v>8368</v>
      </c>
      <c r="L1862" s="1"/>
      <c r="M1862" s="1"/>
    </row>
    <row x14ac:dyDescent="0.25" r="1863" customHeight="1" ht="18.75">
      <c r="A1863" s="1" t="s">
        <v>7833</v>
      </c>
      <c r="B1863" s="1" t="s">
        <v>8369</v>
      </c>
      <c r="C1863" s="1" t="s">
        <v>4488</v>
      </c>
      <c r="D1863" s="1" t="s">
        <v>8365</v>
      </c>
      <c r="E1863" s="1"/>
      <c r="F1863" s="1" t="s">
        <v>8370</v>
      </c>
      <c r="G1863" s="1" t="s">
        <v>8369</v>
      </c>
      <c r="H1863" s="1" t="s">
        <v>3604</v>
      </c>
      <c r="I1863" s="1" t="s">
        <v>8371</v>
      </c>
      <c r="J1863" s="1" t="s">
        <v>3606</v>
      </c>
      <c r="K1863" s="1" t="s">
        <v>8372</v>
      </c>
      <c r="L1863" s="1"/>
      <c r="M1863" s="1"/>
    </row>
    <row x14ac:dyDescent="0.25" r="1864" customHeight="1" ht="18.75">
      <c r="A1864" s="1" t="s">
        <v>3617</v>
      </c>
      <c r="B1864" s="1" t="s">
        <v>5570</v>
      </c>
      <c r="C1864" s="1" t="s">
        <v>3619</v>
      </c>
      <c r="D1864" s="1" t="s">
        <v>8373</v>
      </c>
      <c r="E1864" s="1" t="s">
        <v>3981</v>
      </c>
      <c r="F1864" s="1" t="s">
        <v>8374</v>
      </c>
      <c r="G1864" s="1" t="s">
        <v>8375</v>
      </c>
      <c r="H1864" s="1" t="s">
        <v>3604</v>
      </c>
      <c r="I1864" s="1" t="s">
        <v>8376</v>
      </c>
      <c r="J1864" s="1" t="s">
        <v>3606</v>
      </c>
      <c r="K1864" s="1" t="s">
        <v>8377</v>
      </c>
      <c r="L1864" s="1"/>
      <c r="M1864" s="1"/>
    </row>
    <row x14ac:dyDescent="0.25" r="1865" customHeight="1" ht="18.75">
      <c r="A1865" s="1" t="s">
        <v>3617</v>
      </c>
      <c r="B1865" s="1" t="s">
        <v>5570</v>
      </c>
      <c r="C1865" s="1" t="s">
        <v>3619</v>
      </c>
      <c r="D1865" s="1" t="s">
        <v>8373</v>
      </c>
      <c r="E1865" s="1" t="s">
        <v>3981</v>
      </c>
      <c r="F1865" s="1" t="s">
        <v>8378</v>
      </c>
      <c r="G1865" s="1" t="s">
        <v>8375</v>
      </c>
      <c r="H1865" s="1" t="s">
        <v>3604</v>
      </c>
      <c r="I1865" s="1" t="s">
        <v>8379</v>
      </c>
      <c r="J1865" s="1" t="s">
        <v>3606</v>
      </c>
      <c r="K1865" s="1" t="s">
        <v>8380</v>
      </c>
      <c r="L1865" s="1"/>
      <c r="M1865" s="1"/>
    </row>
    <row x14ac:dyDescent="0.25" r="1866" customHeight="1" ht="18.75">
      <c r="A1866" s="1" t="s">
        <v>3617</v>
      </c>
      <c r="B1866" s="1" t="s">
        <v>5570</v>
      </c>
      <c r="C1866" s="1" t="s">
        <v>3619</v>
      </c>
      <c r="D1866" s="1" t="s">
        <v>8373</v>
      </c>
      <c r="E1866" s="1" t="s">
        <v>3981</v>
      </c>
      <c r="F1866" s="1" t="s">
        <v>8381</v>
      </c>
      <c r="G1866" s="1" t="s">
        <v>8375</v>
      </c>
      <c r="H1866" s="1" t="s">
        <v>3604</v>
      </c>
      <c r="I1866" s="1" t="s">
        <v>8382</v>
      </c>
      <c r="J1866" s="1" t="s">
        <v>3606</v>
      </c>
      <c r="K1866" s="1" t="s">
        <v>8383</v>
      </c>
      <c r="L1866" s="1"/>
      <c r="M1866" s="1"/>
    </row>
    <row x14ac:dyDescent="0.25" r="1867" customHeight="1" ht="18.75">
      <c r="A1867" s="1" t="s">
        <v>3617</v>
      </c>
      <c r="B1867" s="1" t="s">
        <v>5570</v>
      </c>
      <c r="C1867" s="1" t="s">
        <v>3619</v>
      </c>
      <c r="D1867" s="1" t="s">
        <v>8373</v>
      </c>
      <c r="E1867" s="1" t="s">
        <v>3611</v>
      </c>
      <c r="F1867" s="1" t="s">
        <v>8384</v>
      </c>
      <c r="G1867" s="1" t="s">
        <v>5572</v>
      </c>
      <c r="H1867" s="1" t="s">
        <v>3604</v>
      </c>
      <c r="I1867" s="1" t="s">
        <v>8385</v>
      </c>
      <c r="J1867" s="1" t="s">
        <v>3606</v>
      </c>
      <c r="K1867" s="1" t="s">
        <v>8386</v>
      </c>
      <c r="L1867" s="1"/>
      <c r="M1867" s="1"/>
    </row>
    <row x14ac:dyDescent="0.25" r="1868" customHeight="1" ht="18.75">
      <c r="A1868" s="1" t="s">
        <v>3617</v>
      </c>
      <c r="B1868" s="1" t="s">
        <v>5570</v>
      </c>
      <c r="C1868" s="1" t="s">
        <v>3619</v>
      </c>
      <c r="D1868" s="1" t="s">
        <v>8373</v>
      </c>
      <c r="E1868" s="1" t="s">
        <v>3611</v>
      </c>
      <c r="F1868" s="1" t="s">
        <v>8387</v>
      </c>
      <c r="G1868" s="1" t="s">
        <v>5572</v>
      </c>
      <c r="H1868" s="1" t="s">
        <v>3604</v>
      </c>
      <c r="I1868" s="1" t="s">
        <v>8388</v>
      </c>
      <c r="J1868" s="1" t="s">
        <v>3606</v>
      </c>
      <c r="K1868" s="1" t="s">
        <v>8389</v>
      </c>
      <c r="L1868" s="1"/>
      <c r="M1868" s="1"/>
    </row>
    <row x14ac:dyDescent="0.25" r="1869" customHeight="1" ht="18.75">
      <c r="A1869" s="1" t="s">
        <v>3617</v>
      </c>
      <c r="B1869" s="1" t="s">
        <v>5570</v>
      </c>
      <c r="C1869" s="1" t="s">
        <v>3619</v>
      </c>
      <c r="D1869" s="1" t="s">
        <v>8373</v>
      </c>
      <c r="E1869" s="1" t="s">
        <v>3611</v>
      </c>
      <c r="F1869" s="1" t="s">
        <v>8390</v>
      </c>
      <c r="G1869" s="1" t="s">
        <v>5572</v>
      </c>
      <c r="H1869" s="1" t="s">
        <v>3604</v>
      </c>
      <c r="I1869" s="1" t="s">
        <v>8391</v>
      </c>
      <c r="J1869" s="1" t="s">
        <v>3606</v>
      </c>
      <c r="K1869" s="1" t="s">
        <v>8392</v>
      </c>
      <c r="L1869" s="1"/>
      <c r="M1869" s="1"/>
    </row>
    <row x14ac:dyDescent="0.25" r="1870" customHeight="1" ht="18.75">
      <c r="A1870" s="1" t="s">
        <v>3617</v>
      </c>
      <c r="B1870" s="1" t="s">
        <v>3825</v>
      </c>
      <c r="C1870" s="1" t="s">
        <v>3619</v>
      </c>
      <c r="D1870" s="1" t="s">
        <v>533</v>
      </c>
      <c r="E1870" s="1" t="s">
        <v>3752</v>
      </c>
      <c r="F1870" s="1" t="s">
        <v>8393</v>
      </c>
      <c r="G1870" s="1" t="s">
        <v>8394</v>
      </c>
      <c r="H1870" s="1" t="s">
        <v>3604</v>
      </c>
      <c r="I1870" s="1" t="s">
        <v>8395</v>
      </c>
      <c r="J1870" s="1" t="s">
        <v>3606</v>
      </c>
      <c r="K1870" s="1" t="s">
        <v>8396</v>
      </c>
      <c r="L1870" s="1"/>
      <c r="M1870" s="1"/>
    </row>
    <row x14ac:dyDescent="0.25" r="1871" customHeight="1" ht="18.75">
      <c r="A1871" s="1" t="s">
        <v>3617</v>
      </c>
      <c r="B1871" s="1" t="s">
        <v>3825</v>
      </c>
      <c r="C1871" s="1" t="s">
        <v>3619</v>
      </c>
      <c r="D1871" s="1" t="s">
        <v>533</v>
      </c>
      <c r="E1871" s="1" t="s">
        <v>3664</v>
      </c>
      <c r="F1871" s="1" t="s">
        <v>8397</v>
      </c>
      <c r="G1871" s="1" t="s">
        <v>8398</v>
      </c>
      <c r="H1871" s="1" t="s">
        <v>3604</v>
      </c>
      <c r="I1871" s="1" t="s">
        <v>8399</v>
      </c>
      <c r="J1871" s="1" t="s">
        <v>3606</v>
      </c>
      <c r="K1871" s="1" t="s">
        <v>8400</v>
      </c>
      <c r="L1871" s="1"/>
      <c r="M1871" s="1"/>
    </row>
    <row x14ac:dyDescent="0.25" r="1872" customHeight="1" ht="18.75">
      <c r="A1872" s="1" t="s">
        <v>3617</v>
      </c>
      <c r="B1872" s="1" t="s">
        <v>3825</v>
      </c>
      <c r="C1872" s="1" t="s">
        <v>3619</v>
      </c>
      <c r="D1872" s="1" t="s">
        <v>533</v>
      </c>
      <c r="E1872" s="1" t="s">
        <v>3664</v>
      </c>
      <c r="F1872" s="1" t="s">
        <v>8401</v>
      </c>
      <c r="G1872" s="1" t="s">
        <v>8402</v>
      </c>
      <c r="H1872" s="1" t="s">
        <v>3604</v>
      </c>
      <c r="I1872" s="1" t="s">
        <v>8403</v>
      </c>
      <c r="J1872" s="1" t="s">
        <v>3606</v>
      </c>
      <c r="K1872" s="1" t="s">
        <v>8404</v>
      </c>
      <c r="L1872" s="1"/>
      <c r="M1872" s="1"/>
    </row>
    <row x14ac:dyDescent="0.25" r="1873" customHeight="1" ht="18.75">
      <c r="A1873" s="1" t="s">
        <v>3617</v>
      </c>
      <c r="B1873" s="1" t="s">
        <v>3825</v>
      </c>
      <c r="C1873" s="1" t="s">
        <v>3619</v>
      </c>
      <c r="D1873" s="1" t="s">
        <v>533</v>
      </c>
      <c r="E1873" s="1" t="s">
        <v>3664</v>
      </c>
      <c r="F1873" s="1" t="s">
        <v>8405</v>
      </c>
      <c r="G1873" s="1" t="s">
        <v>3827</v>
      </c>
      <c r="H1873" s="1" t="s">
        <v>3604</v>
      </c>
      <c r="I1873" s="1" t="s">
        <v>8406</v>
      </c>
      <c r="J1873" s="1" t="s">
        <v>3606</v>
      </c>
      <c r="K1873" s="1" t="s">
        <v>8407</v>
      </c>
      <c r="L1873" s="1"/>
      <c r="M1873" s="1"/>
    </row>
    <row x14ac:dyDescent="0.25" r="1874" customHeight="1" ht="18.75">
      <c r="A1874" s="1" t="s">
        <v>3617</v>
      </c>
      <c r="B1874" s="1" t="s">
        <v>5544</v>
      </c>
      <c r="C1874" s="1" t="s">
        <v>3619</v>
      </c>
      <c r="D1874" s="1" t="s">
        <v>3695</v>
      </c>
      <c r="E1874" s="1" t="s">
        <v>3893</v>
      </c>
      <c r="F1874" s="1" t="s">
        <v>8408</v>
      </c>
      <c r="G1874" s="1" t="s">
        <v>8409</v>
      </c>
      <c r="H1874" s="1" t="s">
        <v>3604</v>
      </c>
      <c r="I1874" s="1" t="s">
        <v>8410</v>
      </c>
      <c r="J1874" s="1" t="s">
        <v>3606</v>
      </c>
      <c r="K1874" s="1" t="s">
        <v>8411</v>
      </c>
      <c r="L1874" s="1"/>
      <c r="M1874" s="1"/>
    </row>
    <row x14ac:dyDescent="0.25" r="1875" customHeight="1" ht="18.75">
      <c r="A1875" s="1" t="s">
        <v>3617</v>
      </c>
      <c r="B1875" s="1" t="s">
        <v>5544</v>
      </c>
      <c r="C1875" s="1" t="s">
        <v>3619</v>
      </c>
      <c r="D1875" s="1" t="s">
        <v>3695</v>
      </c>
      <c r="E1875" s="1" t="s">
        <v>3893</v>
      </c>
      <c r="F1875" s="1" t="s">
        <v>8412</v>
      </c>
      <c r="G1875" s="1" t="s">
        <v>8409</v>
      </c>
      <c r="H1875" s="1" t="s">
        <v>3604</v>
      </c>
      <c r="I1875" s="1" t="s">
        <v>8413</v>
      </c>
      <c r="J1875" s="1" t="s">
        <v>3606</v>
      </c>
      <c r="K1875" s="1" t="s">
        <v>8414</v>
      </c>
      <c r="L1875" s="1"/>
      <c r="M1875" s="1"/>
    </row>
    <row x14ac:dyDescent="0.25" r="1876" customHeight="1" ht="18.75">
      <c r="A1876" s="1" t="s">
        <v>3617</v>
      </c>
      <c r="B1876" s="1" t="s">
        <v>5544</v>
      </c>
      <c r="C1876" s="1" t="s">
        <v>3619</v>
      </c>
      <c r="D1876" s="1" t="s">
        <v>3695</v>
      </c>
      <c r="E1876" s="1" t="s">
        <v>3893</v>
      </c>
      <c r="F1876" s="1" t="s">
        <v>8415</v>
      </c>
      <c r="G1876" s="1" t="s">
        <v>8409</v>
      </c>
      <c r="H1876" s="1" t="s">
        <v>3604</v>
      </c>
      <c r="I1876" s="1" t="s">
        <v>8416</v>
      </c>
      <c r="J1876" s="1" t="s">
        <v>3606</v>
      </c>
      <c r="K1876" s="1" t="s">
        <v>8417</v>
      </c>
      <c r="L1876" s="1"/>
      <c r="M1876" s="1"/>
    </row>
    <row x14ac:dyDescent="0.25" r="1877" customHeight="1" ht="18.75">
      <c r="A1877" s="1" t="s">
        <v>3617</v>
      </c>
      <c r="B1877" s="1" t="s">
        <v>5544</v>
      </c>
      <c r="C1877" s="1" t="s">
        <v>3619</v>
      </c>
      <c r="D1877" s="1" t="s">
        <v>3695</v>
      </c>
      <c r="E1877" s="1" t="s">
        <v>3893</v>
      </c>
      <c r="F1877" s="1" t="s">
        <v>8418</v>
      </c>
      <c r="G1877" s="1" t="s">
        <v>8419</v>
      </c>
      <c r="H1877" s="1" t="s">
        <v>3604</v>
      </c>
      <c r="I1877" s="1" t="s">
        <v>8420</v>
      </c>
      <c r="J1877" s="1" t="s">
        <v>3606</v>
      </c>
      <c r="K1877" s="1" t="s">
        <v>8421</v>
      </c>
      <c r="L1877" s="1"/>
      <c r="M1877" s="1"/>
    </row>
    <row x14ac:dyDescent="0.25" r="1878" customHeight="1" ht="18.75">
      <c r="A1878" s="1" t="s">
        <v>3617</v>
      </c>
      <c r="B1878" s="1" t="s">
        <v>5544</v>
      </c>
      <c r="C1878" s="1" t="s">
        <v>3619</v>
      </c>
      <c r="D1878" s="1" t="s">
        <v>3695</v>
      </c>
      <c r="E1878" s="1" t="s">
        <v>3893</v>
      </c>
      <c r="F1878" s="1" t="s">
        <v>8422</v>
      </c>
      <c r="G1878" s="1" t="s">
        <v>8419</v>
      </c>
      <c r="H1878" s="1" t="s">
        <v>3604</v>
      </c>
      <c r="I1878" s="1" t="s">
        <v>8423</v>
      </c>
      <c r="J1878" s="1" t="s">
        <v>3606</v>
      </c>
      <c r="K1878" s="1" t="s">
        <v>8424</v>
      </c>
      <c r="L1878" s="1"/>
      <c r="M1878" s="1"/>
    </row>
    <row x14ac:dyDescent="0.25" r="1879" customHeight="1" ht="18.75">
      <c r="A1879" s="1" t="s">
        <v>3617</v>
      </c>
      <c r="B1879" s="1" t="s">
        <v>5544</v>
      </c>
      <c r="C1879" s="1" t="s">
        <v>3619</v>
      </c>
      <c r="D1879" s="1" t="s">
        <v>3695</v>
      </c>
      <c r="E1879" s="1" t="s">
        <v>3893</v>
      </c>
      <c r="F1879" s="1" t="s">
        <v>8425</v>
      </c>
      <c r="G1879" s="1" t="s">
        <v>8419</v>
      </c>
      <c r="H1879" s="1" t="s">
        <v>3604</v>
      </c>
      <c r="I1879" s="1" t="s">
        <v>8426</v>
      </c>
      <c r="J1879" s="1" t="s">
        <v>3606</v>
      </c>
      <c r="K1879" s="1" t="s">
        <v>8427</v>
      </c>
      <c r="L1879" s="1"/>
      <c r="M1879" s="1"/>
    </row>
    <row x14ac:dyDescent="0.25" r="1880" customHeight="1" ht="18.75">
      <c r="A1880" s="1" t="s">
        <v>3617</v>
      </c>
      <c r="B1880" s="1" t="s">
        <v>5544</v>
      </c>
      <c r="C1880" s="1" t="s">
        <v>3619</v>
      </c>
      <c r="D1880" s="1" t="s">
        <v>3695</v>
      </c>
      <c r="E1880" s="1" t="s">
        <v>3893</v>
      </c>
      <c r="F1880" s="1" t="s">
        <v>8428</v>
      </c>
      <c r="G1880" s="1" t="s">
        <v>8429</v>
      </c>
      <c r="H1880" s="1" t="s">
        <v>3604</v>
      </c>
      <c r="I1880" s="1" t="s">
        <v>8430</v>
      </c>
      <c r="J1880" s="1" t="s">
        <v>3606</v>
      </c>
      <c r="K1880" s="1" t="s">
        <v>8431</v>
      </c>
      <c r="L1880" s="1"/>
      <c r="M1880" s="1"/>
    </row>
    <row x14ac:dyDescent="0.25" r="1881" customHeight="1" ht="18.75">
      <c r="A1881" s="1" t="s">
        <v>3617</v>
      </c>
      <c r="B1881" s="1" t="s">
        <v>5544</v>
      </c>
      <c r="C1881" s="1" t="s">
        <v>3619</v>
      </c>
      <c r="D1881" s="1" t="s">
        <v>3695</v>
      </c>
      <c r="E1881" s="1" t="s">
        <v>3893</v>
      </c>
      <c r="F1881" s="1" t="s">
        <v>8432</v>
      </c>
      <c r="G1881" s="1" t="s">
        <v>8429</v>
      </c>
      <c r="H1881" s="1" t="s">
        <v>3604</v>
      </c>
      <c r="I1881" s="1" t="s">
        <v>8433</v>
      </c>
      <c r="J1881" s="1" t="s">
        <v>3606</v>
      </c>
      <c r="K1881" s="1" t="s">
        <v>8434</v>
      </c>
      <c r="L1881" s="1"/>
      <c r="M1881" s="1"/>
    </row>
    <row x14ac:dyDescent="0.25" r="1882" customHeight="1" ht="18.75">
      <c r="A1882" s="1" t="s">
        <v>3617</v>
      </c>
      <c r="B1882" s="1" t="s">
        <v>5544</v>
      </c>
      <c r="C1882" s="1" t="s">
        <v>3619</v>
      </c>
      <c r="D1882" s="1" t="s">
        <v>3695</v>
      </c>
      <c r="E1882" s="1" t="s">
        <v>3893</v>
      </c>
      <c r="F1882" s="1" t="s">
        <v>8435</v>
      </c>
      <c r="G1882" s="1" t="s">
        <v>8429</v>
      </c>
      <c r="H1882" s="1" t="s">
        <v>3604</v>
      </c>
      <c r="I1882" s="1" t="s">
        <v>8436</v>
      </c>
      <c r="J1882" s="1" t="s">
        <v>3606</v>
      </c>
      <c r="K1882" s="1" t="s">
        <v>8437</v>
      </c>
      <c r="L1882" s="1"/>
      <c r="M1882" s="1"/>
    </row>
    <row x14ac:dyDescent="0.25" r="1883" customHeight="1" ht="18.75">
      <c r="A1883" s="1" t="s">
        <v>3617</v>
      </c>
      <c r="B1883" s="1" t="s">
        <v>5544</v>
      </c>
      <c r="C1883" s="1" t="s">
        <v>3619</v>
      </c>
      <c r="D1883" s="1" t="s">
        <v>7891</v>
      </c>
      <c r="E1883" s="1" t="s">
        <v>3893</v>
      </c>
      <c r="F1883" s="1" t="s">
        <v>8438</v>
      </c>
      <c r="G1883" s="1" t="s">
        <v>8429</v>
      </c>
      <c r="H1883" s="1" t="s">
        <v>3604</v>
      </c>
      <c r="I1883" s="1" t="s">
        <v>8439</v>
      </c>
      <c r="J1883" s="1" t="s">
        <v>3606</v>
      </c>
      <c r="K1883" s="1" t="s">
        <v>8440</v>
      </c>
      <c r="L1883" s="1"/>
      <c r="M1883" s="1"/>
    </row>
    <row x14ac:dyDescent="0.25" r="1884" customHeight="1" ht="18.75">
      <c r="A1884" s="1" t="s">
        <v>3617</v>
      </c>
      <c r="B1884" s="1" t="s">
        <v>5544</v>
      </c>
      <c r="C1884" s="1" t="s">
        <v>3619</v>
      </c>
      <c r="D1884" s="1" t="s">
        <v>7891</v>
      </c>
      <c r="E1884" s="1" t="s">
        <v>3893</v>
      </c>
      <c r="F1884" s="1" t="s">
        <v>8441</v>
      </c>
      <c r="G1884" s="1" t="s">
        <v>8429</v>
      </c>
      <c r="H1884" s="1" t="s">
        <v>3604</v>
      </c>
      <c r="I1884" s="1" t="s">
        <v>8442</v>
      </c>
      <c r="J1884" s="1" t="s">
        <v>3606</v>
      </c>
      <c r="K1884" s="1" t="s">
        <v>8443</v>
      </c>
      <c r="L1884" s="1"/>
      <c r="M1884" s="1"/>
    </row>
    <row x14ac:dyDescent="0.25" r="1885" customHeight="1" ht="18.75">
      <c r="A1885" s="1" t="s">
        <v>3617</v>
      </c>
      <c r="B1885" s="1" t="s">
        <v>5544</v>
      </c>
      <c r="C1885" s="1" t="s">
        <v>3619</v>
      </c>
      <c r="D1885" s="1" t="s">
        <v>7891</v>
      </c>
      <c r="E1885" s="1" t="s">
        <v>3893</v>
      </c>
      <c r="F1885" s="1" t="s">
        <v>8444</v>
      </c>
      <c r="G1885" s="1" t="s">
        <v>8429</v>
      </c>
      <c r="H1885" s="1" t="s">
        <v>3604</v>
      </c>
      <c r="I1885" s="1" t="s">
        <v>8445</v>
      </c>
      <c r="J1885" s="1" t="s">
        <v>3606</v>
      </c>
      <c r="K1885" s="1" t="s">
        <v>8446</v>
      </c>
      <c r="L1885" s="1"/>
      <c r="M1885" s="1"/>
    </row>
    <row x14ac:dyDescent="0.25" r="1886" customHeight="1" ht="18.75">
      <c r="A1886" s="1" t="s">
        <v>3617</v>
      </c>
      <c r="B1886" s="1" t="s">
        <v>5544</v>
      </c>
      <c r="C1886" s="1" t="s">
        <v>3619</v>
      </c>
      <c r="D1886" s="1" t="s">
        <v>3695</v>
      </c>
      <c r="E1886" s="1" t="s">
        <v>3893</v>
      </c>
      <c r="F1886" s="1" t="s">
        <v>8447</v>
      </c>
      <c r="G1886" s="1" t="s">
        <v>8448</v>
      </c>
      <c r="H1886" s="1" t="s">
        <v>3604</v>
      </c>
      <c r="I1886" s="1" t="s">
        <v>8449</v>
      </c>
      <c r="J1886" s="1" t="s">
        <v>3606</v>
      </c>
      <c r="K1886" s="1" t="s">
        <v>8450</v>
      </c>
      <c r="L1886" s="1"/>
      <c r="M1886" s="1"/>
    </row>
    <row x14ac:dyDescent="0.25" r="1887" customHeight="1" ht="18.75">
      <c r="A1887" s="1" t="s">
        <v>3617</v>
      </c>
      <c r="B1887" s="1" t="s">
        <v>5544</v>
      </c>
      <c r="C1887" s="1" t="s">
        <v>3619</v>
      </c>
      <c r="D1887" s="1" t="s">
        <v>3695</v>
      </c>
      <c r="E1887" s="1" t="s">
        <v>3893</v>
      </c>
      <c r="F1887" s="1" t="s">
        <v>8451</v>
      </c>
      <c r="G1887" s="1" t="s">
        <v>8448</v>
      </c>
      <c r="H1887" s="1" t="s">
        <v>3604</v>
      </c>
      <c r="I1887" s="1" t="s">
        <v>8452</v>
      </c>
      <c r="J1887" s="1" t="s">
        <v>3606</v>
      </c>
      <c r="K1887" s="1" t="s">
        <v>8453</v>
      </c>
      <c r="L1887" s="1"/>
      <c r="M1887" s="1"/>
    </row>
    <row x14ac:dyDescent="0.25" r="1888" customHeight="1" ht="18.75">
      <c r="A1888" s="1" t="s">
        <v>3617</v>
      </c>
      <c r="B1888" s="1" t="s">
        <v>5544</v>
      </c>
      <c r="C1888" s="1" t="s">
        <v>3619</v>
      </c>
      <c r="D1888" s="1" t="s">
        <v>3695</v>
      </c>
      <c r="E1888" s="1" t="s">
        <v>3893</v>
      </c>
      <c r="F1888" s="1" t="s">
        <v>8454</v>
      </c>
      <c r="G1888" s="1" t="s">
        <v>8448</v>
      </c>
      <c r="H1888" s="1" t="s">
        <v>3604</v>
      </c>
      <c r="I1888" s="1" t="s">
        <v>8455</v>
      </c>
      <c r="J1888" s="1" t="s">
        <v>3606</v>
      </c>
      <c r="K1888" s="1" t="s">
        <v>8456</v>
      </c>
      <c r="L1888" s="1"/>
      <c r="M1888" s="1"/>
    </row>
    <row x14ac:dyDescent="0.25" r="1889" customHeight="1" ht="18.75">
      <c r="A1889" s="1" t="s">
        <v>3617</v>
      </c>
      <c r="B1889" s="1" t="s">
        <v>5544</v>
      </c>
      <c r="C1889" s="1" t="s">
        <v>3619</v>
      </c>
      <c r="D1889" s="1" t="s">
        <v>7891</v>
      </c>
      <c r="E1889" s="1" t="s">
        <v>3893</v>
      </c>
      <c r="F1889" s="1" t="s">
        <v>8457</v>
      </c>
      <c r="G1889" s="1" t="s">
        <v>8448</v>
      </c>
      <c r="H1889" s="1" t="s">
        <v>3604</v>
      </c>
      <c r="I1889" s="1" t="s">
        <v>8458</v>
      </c>
      <c r="J1889" s="1" t="s">
        <v>3606</v>
      </c>
      <c r="K1889" s="1" t="s">
        <v>8459</v>
      </c>
      <c r="L1889" s="1"/>
      <c r="M1889" s="1"/>
    </row>
    <row x14ac:dyDescent="0.25" r="1890" customHeight="1" ht="18.75">
      <c r="A1890" s="1" t="s">
        <v>3617</v>
      </c>
      <c r="B1890" s="1" t="s">
        <v>5544</v>
      </c>
      <c r="C1890" s="1" t="s">
        <v>3619</v>
      </c>
      <c r="D1890" s="1" t="s">
        <v>7891</v>
      </c>
      <c r="E1890" s="1" t="s">
        <v>3893</v>
      </c>
      <c r="F1890" s="1" t="s">
        <v>8460</v>
      </c>
      <c r="G1890" s="1" t="s">
        <v>8448</v>
      </c>
      <c r="H1890" s="1" t="s">
        <v>3604</v>
      </c>
      <c r="I1890" s="1" t="s">
        <v>8461</v>
      </c>
      <c r="J1890" s="1" t="s">
        <v>3606</v>
      </c>
      <c r="K1890" s="1" t="s">
        <v>8462</v>
      </c>
      <c r="L1890" s="1"/>
      <c r="M1890" s="1"/>
    </row>
    <row x14ac:dyDescent="0.25" r="1891" customHeight="1" ht="18.75">
      <c r="A1891" s="1" t="s">
        <v>3617</v>
      </c>
      <c r="B1891" s="1" t="s">
        <v>5544</v>
      </c>
      <c r="C1891" s="1" t="s">
        <v>3619</v>
      </c>
      <c r="D1891" s="1" t="s">
        <v>7891</v>
      </c>
      <c r="E1891" s="1" t="s">
        <v>3893</v>
      </c>
      <c r="F1891" s="1" t="s">
        <v>8463</v>
      </c>
      <c r="G1891" s="1" t="s">
        <v>8448</v>
      </c>
      <c r="H1891" s="1" t="s">
        <v>3604</v>
      </c>
      <c r="I1891" s="1" t="s">
        <v>8464</v>
      </c>
      <c r="J1891" s="1" t="s">
        <v>3606</v>
      </c>
      <c r="K1891" s="1" t="s">
        <v>8465</v>
      </c>
      <c r="L1891" s="1"/>
      <c r="M1891" s="1"/>
    </row>
    <row x14ac:dyDescent="0.25" r="1892" customHeight="1" ht="18.75">
      <c r="A1892" s="1" t="s">
        <v>3617</v>
      </c>
      <c r="B1892" s="1" t="s">
        <v>5544</v>
      </c>
      <c r="C1892" s="1" t="s">
        <v>3619</v>
      </c>
      <c r="D1892" s="1" t="s">
        <v>3610</v>
      </c>
      <c r="E1892" s="1" t="s">
        <v>3893</v>
      </c>
      <c r="F1892" s="1" t="s">
        <v>8466</v>
      </c>
      <c r="G1892" s="1" t="s">
        <v>8467</v>
      </c>
      <c r="H1892" s="1" t="s">
        <v>3604</v>
      </c>
      <c r="I1892" s="1" t="s">
        <v>8468</v>
      </c>
      <c r="J1892" s="1" t="s">
        <v>3606</v>
      </c>
      <c r="K1892" s="1" t="s">
        <v>8469</v>
      </c>
      <c r="L1892" s="1"/>
      <c r="M1892" s="1"/>
    </row>
    <row x14ac:dyDescent="0.25" r="1893" customHeight="1" ht="18.75">
      <c r="A1893" s="1" t="s">
        <v>3617</v>
      </c>
      <c r="B1893" s="1" t="s">
        <v>5544</v>
      </c>
      <c r="C1893" s="1" t="s">
        <v>3619</v>
      </c>
      <c r="D1893" s="1" t="s">
        <v>3610</v>
      </c>
      <c r="E1893" s="1" t="s">
        <v>3893</v>
      </c>
      <c r="F1893" s="1" t="s">
        <v>8470</v>
      </c>
      <c r="G1893" s="1" t="s">
        <v>8467</v>
      </c>
      <c r="H1893" s="1" t="s">
        <v>3604</v>
      </c>
      <c r="I1893" s="1" t="s">
        <v>8471</v>
      </c>
      <c r="J1893" s="1" t="s">
        <v>3606</v>
      </c>
      <c r="K1893" s="1" t="s">
        <v>8472</v>
      </c>
      <c r="L1893" s="1"/>
      <c r="M1893" s="1"/>
    </row>
    <row x14ac:dyDescent="0.25" r="1894" customHeight="1" ht="18.75">
      <c r="A1894" s="1" t="s">
        <v>3617</v>
      </c>
      <c r="B1894" s="1" t="s">
        <v>5544</v>
      </c>
      <c r="C1894" s="1" t="s">
        <v>3619</v>
      </c>
      <c r="D1894" s="1" t="s">
        <v>7891</v>
      </c>
      <c r="E1894" s="1" t="s">
        <v>3893</v>
      </c>
      <c r="F1894" s="1" t="s">
        <v>8473</v>
      </c>
      <c r="G1894" s="1" t="s">
        <v>8467</v>
      </c>
      <c r="H1894" s="1" t="s">
        <v>3604</v>
      </c>
      <c r="I1894" s="1" t="s">
        <v>8474</v>
      </c>
      <c r="J1894" s="1" t="s">
        <v>3606</v>
      </c>
      <c r="K1894" s="1" t="s">
        <v>8475</v>
      </c>
      <c r="L1894" s="1"/>
      <c r="M1894" s="1"/>
    </row>
    <row x14ac:dyDescent="0.25" r="1895" customHeight="1" ht="18.75">
      <c r="A1895" s="1" t="s">
        <v>3617</v>
      </c>
      <c r="B1895" s="1" t="s">
        <v>5544</v>
      </c>
      <c r="C1895" s="1" t="s">
        <v>3619</v>
      </c>
      <c r="D1895" s="1" t="s">
        <v>7891</v>
      </c>
      <c r="E1895" s="1" t="s">
        <v>3893</v>
      </c>
      <c r="F1895" s="1" t="s">
        <v>8476</v>
      </c>
      <c r="G1895" s="1" t="s">
        <v>8467</v>
      </c>
      <c r="H1895" s="1" t="s">
        <v>3604</v>
      </c>
      <c r="I1895" s="1" t="s">
        <v>8477</v>
      </c>
      <c r="J1895" s="1" t="s">
        <v>3606</v>
      </c>
      <c r="K1895" s="1" t="s">
        <v>8478</v>
      </c>
      <c r="L1895" s="1"/>
      <c r="M1895" s="1"/>
    </row>
    <row x14ac:dyDescent="0.25" r="1896" customHeight="1" ht="18.75">
      <c r="A1896" s="1" t="s">
        <v>3617</v>
      </c>
      <c r="B1896" s="1" t="s">
        <v>5544</v>
      </c>
      <c r="C1896" s="1" t="s">
        <v>3619</v>
      </c>
      <c r="D1896" s="1" t="s">
        <v>7891</v>
      </c>
      <c r="E1896" s="1" t="s">
        <v>3893</v>
      </c>
      <c r="F1896" s="1" t="s">
        <v>8479</v>
      </c>
      <c r="G1896" s="1" t="s">
        <v>8467</v>
      </c>
      <c r="H1896" s="1" t="s">
        <v>3604</v>
      </c>
      <c r="I1896" s="1" t="s">
        <v>8480</v>
      </c>
      <c r="J1896" s="1" t="s">
        <v>3606</v>
      </c>
      <c r="K1896" s="1" t="s">
        <v>8481</v>
      </c>
      <c r="L1896" s="1"/>
      <c r="M1896" s="1"/>
    </row>
    <row x14ac:dyDescent="0.25" r="1897" customHeight="1" ht="18.75">
      <c r="A1897" s="1" t="s">
        <v>3617</v>
      </c>
      <c r="B1897" s="1" t="s">
        <v>5544</v>
      </c>
      <c r="C1897" s="1" t="s">
        <v>3619</v>
      </c>
      <c r="D1897" s="1" t="s">
        <v>7891</v>
      </c>
      <c r="E1897" s="1" t="s">
        <v>3893</v>
      </c>
      <c r="F1897" s="1" t="s">
        <v>8482</v>
      </c>
      <c r="G1897" s="1" t="s">
        <v>8483</v>
      </c>
      <c r="H1897" s="1" t="s">
        <v>3604</v>
      </c>
      <c r="I1897" s="1" t="s">
        <v>8484</v>
      </c>
      <c r="J1897" s="1" t="s">
        <v>3606</v>
      </c>
      <c r="K1897" s="1" t="s">
        <v>8485</v>
      </c>
      <c r="L1897" s="1"/>
      <c r="M1897" s="1"/>
    </row>
    <row x14ac:dyDescent="0.25" r="1898" customHeight="1" ht="18.75">
      <c r="A1898" s="1" t="s">
        <v>3617</v>
      </c>
      <c r="B1898" s="1" t="s">
        <v>5544</v>
      </c>
      <c r="C1898" s="1" t="s">
        <v>3619</v>
      </c>
      <c r="D1898" s="1" t="s">
        <v>7891</v>
      </c>
      <c r="E1898" s="1" t="s">
        <v>3893</v>
      </c>
      <c r="F1898" s="1" t="s">
        <v>8486</v>
      </c>
      <c r="G1898" s="1" t="s">
        <v>8483</v>
      </c>
      <c r="H1898" s="1" t="s">
        <v>3604</v>
      </c>
      <c r="I1898" s="1" t="s">
        <v>8487</v>
      </c>
      <c r="J1898" s="1" t="s">
        <v>3606</v>
      </c>
      <c r="K1898" s="1" t="s">
        <v>8488</v>
      </c>
      <c r="L1898" s="1"/>
      <c r="M1898" s="1"/>
    </row>
    <row x14ac:dyDescent="0.25" r="1899" customHeight="1" ht="18.75">
      <c r="A1899" s="1" t="s">
        <v>3617</v>
      </c>
      <c r="B1899" s="1" t="s">
        <v>5544</v>
      </c>
      <c r="C1899" s="1" t="s">
        <v>3619</v>
      </c>
      <c r="D1899" s="1" t="s">
        <v>3610</v>
      </c>
      <c r="E1899" s="1" t="s">
        <v>3893</v>
      </c>
      <c r="F1899" s="1" t="s">
        <v>8489</v>
      </c>
      <c r="G1899" s="1" t="s">
        <v>8490</v>
      </c>
      <c r="H1899" s="1" t="s">
        <v>3604</v>
      </c>
      <c r="I1899" s="1" t="s">
        <v>8491</v>
      </c>
      <c r="J1899" s="1" t="s">
        <v>3606</v>
      </c>
      <c r="K1899" s="1" t="s">
        <v>8492</v>
      </c>
      <c r="L1899" s="1"/>
      <c r="M1899" s="1"/>
    </row>
    <row x14ac:dyDescent="0.25" r="1900" customHeight="1" ht="18.75">
      <c r="A1900" s="1" t="s">
        <v>3617</v>
      </c>
      <c r="B1900" s="1" t="s">
        <v>5544</v>
      </c>
      <c r="C1900" s="1" t="s">
        <v>3619</v>
      </c>
      <c r="D1900" s="1" t="s">
        <v>3695</v>
      </c>
      <c r="E1900" s="1" t="s">
        <v>3893</v>
      </c>
      <c r="F1900" s="1" t="s">
        <v>8493</v>
      </c>
      <c r="G1900" s="1" t="s">
        <v>8490</v>
      </c>
      <c r="H1900" s="1" t="s">
        <v>3604</v>
      </c>
      <c r="I1900" s="1" t="s">
        <v>8494</v>
      </c>
      <c r="J1900" s="1" t="s">
        <v>3606</v>
      </c>
      <c r="K1900" s="1" t="s">
        <v>8495</v>
      </c>
      <c r="L1900" s="1"/>
      <c r="M1900" s="1"/>
    </row>
    <row x14ac:dyDescent="0.25" r="1901" customHeight="1" ht="18.75">
      <c r="A1901" s="1" t="s">
        <v>3617</v>
      </c>
      <c r="B1901" s="1" t="s">
        <v>5544</v>
      </c>
      <c r="C1901" s="1" t="s">
        <v>3619</v>
      </c>
      <c r="D1901" s="1" t="s">
        <v>3695</v>
      </c>
      <c r="E1901" s="1" t="s">
        <v>3893</v>
      </c>
      <c r="F1901" s="1" t="s">
        <v>8496</v>
      </c>
      <c r="G1901" s="1" t="s">
        <v>8490</v>
      </c>
      <c r="H1901" s="1" t="s">
        <v>3604</v>
      </c>
      <c r="I1901" s="1" t="s">
        <v>8497</v>
      </c>
      <c r="J1901" s="1" t="s">
        <v>3606</v>
      </c>
      <c r="K1901" s="1" t="s">
        <v>8498</v>
      </c>
      <c r="L1901" s="1"/>
      <c r="M1901" s="1"/>
    </row>
    <row x14ac:dyDescent="0.25" r="1902" customHeight="1" ht="18.75">
      <c r="A1902" s="1" t="s">
        <v>3617</v>
      </c>
      <c r="B1902" s="1" t="s">
        <v>5544</v>
      </c>
      <c r="C1902" s="1" t="s">
        <v>3619</v>
      </c>
      <c r="D1902" s="1" t="s">
        <v>3695</v>
      </c>
      <c r="E1902" s="1" t="s">
        <v>3893</v>
      </c>
      <c r="F1902" s="1" t="s">
        <v>8499</v>
      </c>
      <c r="G1902" s="1" t="s">
        <v>8490</v>
      </c>
      <c r="H1902" s="1" t="s">
        <v>3604</v>
      </c>
      <c r="I1902" s="1" t="s">
        <v>8500</v>
      </c>
      <c r="J1902" s="1" t="s">
        <v>3606</v>
      </c>
      <c r="K1902" s="1" t="s">
        <v>8501</v>
      </c>
      <c r="L1902" s="1"/>
      <c r="M1902" s="1"/>
    </row>
    <row x14ac:dyDescent="0.25" r="1903" customHeight="1" ht="18.75">
      <c r="A1903" s="1" t="s">
        <v>3617</v>
      </c>
      <c r="B1903" s="1" t="s">
        <v>5544</v>
      </c>
      <c r="C1903" s="1" t="s">
        <v>3619</v>
      </c>
      <c r="D1903" s="1" t="s">
        <v>7891</v>
      </c>
      <c r="E1903" s="1" t="s">
        <v>3893</v>
      </c>
      <c r="F1903" s="1" t="s">
        <v>8502</v>
      </c>
      <c r="G1903" s="1" t="s">
        <v>8490</v>
      </c>
      <c r="H1903" s="1" t="s">
        <v>3604</v>
      </c>
      <c r="I1903" s="1" t="s">
        <v>8503</v>
      </c>
      <c r="J1903" s="1" t="s">
        <v>3606</v>
      </c>
      <c r="K1903" s="1" t="s">
        <v>8504</v>
      </c>
      <c r="L1903" s="1"/>
      <c r="M1903" s="1"/>
    </row>
    <row x14ac:dyDescent="0.25" r="1904" customHeight="1" ht="18.75">
      <c r="A1904" s="1" t="s">
        <v>3617</v>
      </c>
      <c r="B1904" s="1" t="s">
        <v>5544</v>
      </c>
      <c r="C1904" s="1" t="s">
        <v>3619</v>
      </c>
      <c r="D1904" s="1" t="s">
        <v>7891</v>
      </c>
      <c r="E1904" s="1" t="s">
        <v>3893</v>
      </c>
      <c r="F1904" s="1" t="s">
        <v>8505</v>
      </c>
      <c r="G1904" s="1" t="s">
        <v>8490</v>
      </c>
      <c r="H1904" s="1" t="s">
        <v>3604</v>
      </c>
      <c r="I1904" s="1" t="s">
        <v>8506</v>
      </c>
      <c r="J1904" s="1" t="s">
        <v>3606</v>
      </c>
      <c r="K1904" s="1" t="s">
        <v>8507</v>
      </c>
      <c r="L1904" s="1"/>
      <c r="M1904" s="1"/>
    </row>
    <row x14ac:dyDescent="0.25" r="1905" customHeight="1" ht="18.75">
      <c r="A1905" s="1" t="s">
        <v>3617</v>
      </c>
      <c r="B1905" s="1" t="s">
        <v>5544</v>
      </c>
      <c r="C1905" s="1" t="s">
        <v>3619</v>
      </c>
      <c r="D1905" s="1" t="s">
        <v>7891</v>
      </c>
      <c r="E1905" s="1" t="s">
        <v>3893</v>
      </c>
      <c r="F1905" s="1" t="s">
        <v>8508</v>
      </c>
      <c r="G1905" s="1" t="s">
        <v>8490</v>
      </c>
      <c r="H1905" s="1" t="s">
        <v>3604</v>
      </c>
      <c r="I1905" s="1" t="s">
        <v>8509</v>
      </c>
      <c r="J1905" s="1" t="s">
        <v>3606</v>
      </c>
      <c r="K1905" s="1" t="s">
        <v>8510</v>
      </c>
      <c r="L1905" s="1"/>
      <c r="M1905" s="1"/>
    </row>
    <row x14ac:dyDescent="0.25" r="1906" customHeight="1" ht="18.75">
      <c r="A1906" s="1" t="s">
        <v>3617</v>
      </c>
      <c r="B1906" s="1" t="s">
        <v>5544</v>
      </c>
      <c r="C1906" s="1" t="s">
        <v>3619</v>
      </c>
      <c r="D1906" s="1" t="s">
        <v>3695</v>
      </c>
      <c r="E1906" s="1" t="s">
        <v>3893</v>
      </c>
      <c r="F1906" s="1" t="s">
        <v>8511</v>
      </c>
      <c r="G1906" s="1" t="s">
        <v>8512</v>
      </c>
      <c r="H1906" s="1" t="s">
        <v>3604</v>
      </c>
      <c r="I1906" s="1" t="s">
        <v>8513</v>
      </c>
      <c r="J1906" s="1" t="s">
        <v>3606</v>
      </c>
      <c r="K1906" s="1" t="s">
        <v>8514</v>
      </c>
      <c r="L1906" s="1"/>
      <c r="M1906" s="1"/>
    </row>
    <row x14ac:dyDescent="0.25" r="1907" customHeight="1" ht="18.75">
      <c r="A1907" s="1" t="s">
        <v>3617</v>
      </c>
      <c r="B1907" s="1" t="s">
        <v>5544</v>
      </c>
      <c r="C1907" s="1" t="s">
        <v>3619</v>
      </c>
      <c r="D1907" s="1" t="s">
        <v>3695</v>
      </c>
      <c r="E1907" s="1" t="s">
        <v>3893</v>
      </c>
      <c r="F1907" s="1" t="s">
        <v>8515</v>
      </c>
      <c r="G1907" s="1" t="s">
        <v>8512</v>
      </c>
      <c r="H1907" s="1" t="s">
        <v>3604</v>
      </c>
      <c r="I1907" s="1" t="s">
        <v>8516</v>
      </c>
      <c r="J1907" s="1" t="s">
        <v>3606</v>
      </c>
      <c r="K1907" s="1" t="s">
        <v>8517</v>
      </c>
      <c r="L1907" s="1"/>
      <c r="M1907" s="1"/>
    </row>
    <row x14ac:dyDescent="0.25" r="1908" customHeight="1" ht="18.75">
      <c r="A1908" s="1" t="s">
        <v>3617</v>
      </c>
      <c r="B1908" s="1" t="s">
        <v>5544</v>
      </c>
      <c r="C1908" s="1" t="s">
        <v>3619</v>
      </c>
      <c r="D1908" s="1" t="s">
        <v>3695</v>
      </c>
      <c r="E1908" s="1" t="s">
        <v>3893</v>
      </c>
      <c r="F1908" s="1" t="s">
        <v>8518</v>
      </c>
      <c r="G1908" s="1" t="s">
        <v>8512</v>
      </c>
      <c r="H1908" s="1" t="s">
        <v>3604</v>
      </c>
      <c r="I1908" s="1" t="s">
        <v>8519</v>
      </c>
      <c r="J1908" s="1" t="s">
        <v>3606</v>
      </c>
      <c r="K1908" s="1" t="s">
        <v>8520</v>
      </c>
      <c r="L1908" s="1"/>
      <c r="M1908" s="1"/>
    </row>
    <row x14ac:dyDescent="0.25" r="1909" customHeight="1" ht="18.75">
      <c r="A1909" s="1" t="s">
        <v>3617</v>
      </c>
      <c r="B1909" s="1" t="s">
        <v>5544</v>
      </c>
      <c r="C1909" s="1" t="s">
        <v>3619</v>
      </c>
      <c r="D1909" s="1" t="s">
        <v>3610</v>
      </c>
      <c r="E1909" s="1" t="s">
        <v>3893</v>
      </c>
      <c r="F1909" s="1" t="s">
        <v>8521</v>
      </c>
      <c r="G1909" s="1" t="s">
        <v>8512</v>
      </c>
      <c r="H1909" s="1" t="s">
        <v>3604</v>
      </c>
      <c r="I1909" s="1" t="s">
        <v>8522</v>
      </c>
      <c r="J1909" s="1" t="s">
        <v>3606</v>
      </c>
      <c r="K1909" s="1" t="s">
        <v>8523</v>
      </c>
      <c r="L1909" s="1"/>
      <c r="M1909" s="1"/>
    </row>
    <row x14ac:dyDescent="0.25" r="1910" customHeight="1" ht="18.75">
      <c r="A1910" s="1" t="s">
        <v>3617</v>
      </c>
      <c r="B1910" s="1" t="s">
        <v>5544</v>
      </c>
      <c r="C1910" s="1" t="s">
        <v>3619</v>
      </c>
      <c r="D1910" s="1" t="s">
        <v>3610</v>
      </c>
      <c r="E1910" s="1" t="s">
        <v>3893</v>
      </c>
      <c r="F1910" s="1" t="s">
        <v>8524</v>
      </c>
      <c r="G1910" s="1" t="s">
        <v>8512</v>
      </c>
      <c r="H1910" s="1" t="s">
        <v>3604</v>
      </c>
      <c r="I1910" s="1" t="s">
        <v>8525</v>
      </c>
      <c r="J1910" s="1" t="s">
        <v>3606</v>
      </c>
      <c r="K1910" s="1" t="s">
        <v>8526</v>
      </c>
      <c r="L1910" s="1"/>
      <c r="M1910" s="1"/>
    </row>
    <row x14ac:dyDescent="0.25" r="1911" customHeight="1" ht="18.75">
      <c r="A1911" s="1" t="s">
        <v>3617</v>
      </c>
      <c r="B1911" s="1" t="s">
        <v>5544</v>
      </c>
      <c r="C1911" s="1" t="s">
        <v>3619</v>
      </c>
      <c r="D1911" s="1" t="s">
        <v>3610</v>
      </c>
      <c r="E1911" s="1" t="s">
        <v>3893</v>
      </c>
      <c r="F1911" s="1" t="s">
        <v>8527</v>
      </c>
      <c r="G1911" s="1" t="s">
        <v>8512</v>
      </c>
      <c r="H1911" s="1" t="s">
        <v>3604</v>
      </c>
      <c r="I1911" s="1" t="s">
        <v>8528</v>
      </c>
      <c r="J1911" s="1" t="s">
        <v>3606</v>
      </c>
      <c r="K1911" s="1" t="s">
        <v>8529</v>
      </c>
      <c r="L1911" s="1"/>
      <c r="M1911" s="1"/>
    </row>
    <row x14ac:dyDescent="0.25" r="1912" customHeight="1" ht="18.75">
      <c r="A1912" s="1" t="s">
        <v>3617</v>
      </c>
      <c r="B1912" s="1" t="s">
        <v>5544</v>
      </c>
      <c r="C1912" s="1" t="s">
        <v>3619</v>
      </c>
      <c r="D1912" s="1" t="s">
        <v>3610</v>
      </c>
      <c r="E1912" s="1" t="s">
        <v>3893</v>
      </c>
      <c r="F1912" s="1" t="s">
        <v>8530</v>
      </c>
      <c r="G1912" s="1" t="s">
        <v>8512</v>
      </c>
      <c r="H1912" s="1" t="s">
        <v>3604</v>
      </c>
      <c r="I1912" s="1" t="s">
        <v>8531</v>
      </c>
      <c r="J1912" s="1" t="s">
        <v>3606</v>
      </c>
      <c r="K1912" s="1" t="s">
        <v>8532</v>
      </c>
      <c r="L1912" s="1"/>
      <c r="M1912" s="1"/>
    </row>
    <row x14ac:dyDescent="0.25" r="1913" customHeight="1" ht="18.75">
      <c r="A1913" s="1" t="s">
        <v>3617</v>
      </c>
      <c r="B1913" s="1" t="s">
        <v>3729</v>
      </c>
      <c r="C1913" s="1" t="s">
        <v>3619</v>
      </c>
      <c r="D1913" s="1" t="s">
        <v>8373</v>
      </c>
      <c r="E1913" s="1" t="s">
        <v>3893</v>
      </c>
      <c r="F1913" s="1" t="s">
        <v>8533</v>
      </c>
      <c r="G1913" s="1" t="s">
        <v>8534</v>
      </c>
      <c r="H1913" s="1" t="s">
        <v>3604</v>
      </c>
      <c r="I1913" s="1" t="s">
        <v>8535</v>
      </c>
      <c r="J1913" s="1" t="s">
        <v>3606</v>
      </c>
      <c r="K1913" s="1" t="s">
        <v>8536</v>
      </c>
      <c r="L1913" s="1"/>
      <c r="M1913" s="1"/>
    </row>
    <row x14ac:dyDescent="0.25" r="1914" customHeight="1" ht="18.75">
      <c r="A1914" s="1" t="s">
        <v>3617</v>
      </c>
      <c r="B1914" s="1" t="s">
        <v>3729</v>
      </c>
      <c r="C1914" s="1" t="s">
        <v>3619</v>
      </c>
      <c r="D1914" s="1" t="s">
        <v>8373</v>
      </c>
      <c r="E1914" s="1" t="s">
        <v>3893</v>
      </c>
      <c r="F1914" s="1" t="s">
        <v>8537</v>
      </c>
      <c r="G1914" s="1" t="s">
        <v>8534</v>
      </c>
      <c r="H1914" s="1" t="s">
        <v>3604</v>
      </c>
      <c r="I1914" s="1" t="s">
        <v>8538</v>
      </c>
      <c r="J1914" s="1" t="s">
        <v>3606</v>
      </c>
      <c r="K1914" s="1" t="s">
        <v>8539</v>
      </c>
      <c r="L1914" s="1"/>
      <c r="M1914" s="1"/>
    </row>
    <row x14ac:dyDescent="0.25" r="1915" customHeight="1" ht="18.75">
      <c r="A1915" s="1" t="s">
        <v>3617</v>
      </c>
      <c r="B1915" s="1" t="s">
        <v>3729</v>
      </c>
      <c r="C1915" s="1" t="s">
        <v>3619</v>
      </c>
      <c r="D1915" s="1" t="s">
        <v>8373</v>
      </c>
      <c r="E1915" s="1" t="s">
        <v>3893</v>
      </c>
      <c r="F1915" s="1" t="s">
        <v>8540</v>
      </c>
      <c r="G1915" s="1" t="s">
        <v>8534</v>
      </c>
      <c r="H1915" s="1" t="s">
        <v>3604</v>
      </c>
      <c r="I1915" s="1" t="s">
        <v>8541</v>
      </c>
      <c r="J1915" s="1" t="s">
        <v>3606</v>
      </c>
      <c r="K1915" s="1" t="s">
        <v>8542</v>
      </c>
      <c r="L1915" s="1"/>
      <c r="M1915" s="1"/>
    </row>
    <row x14ac:dyDescent="0.25" r="1916" customHeight="1" ht="18.75">
      <c r="A1916" s="1" t="s">
        <v>3617</v>
      </c>
      <c r="B1916" s="1" t="s">
        <v>3729</v>
      </c>
      <c r="C1916" s="1" t="s">
        <v>3619</v>
      </c>
      <c r="D1916" s="1" t="s">
        <v>8373</v>
      </c>
      <c r="E1916" s="1" t="s">
        <v>4478</v>
      </c>
      <c r="F1916" s="1" t="s">
        <v>8543</v>
      </c>
      <c r="G1916" s="1" t="s">
        <v>8544</v>
      </c>
      <c r="H1916" s="1" t="s">
        <v>3604</v>
      </c>
      <c r="I1916" s="1" t="s">
        <v>8545</v>
      </c>
      <c r="J1916" s="1" t="s">
        <v>3606</v>
      </c>
      <c r="K1916" s="1" t="s">
        <v>8546</v>
      </c>
      <c r="L1916" s="1"/>
      <c r="M1916" s="1"/>
    </row>
    <row x14ac:dyDescent="0.25" r="1917" customHeight="1" ht="18.75">
      <c r="A1917" s="1" t="s">
        <v>3617</v>
      </c>
      <c r="B1917" s="1" t="s">
        <v>3729</v>
      </c>
      <c r="C1917" s="1" t="s">
        <v>3619</v>
      </c>
      <c r="D1917" s="1" t="s">
        <v>8373</v>
      </c>
      <c r="E1917" s="1" t="s">
        <v>4478</v>
      </c>
      <c r="F1917" s="1" t="s">
        <v>8547</v>
      </c>
      <c r="G1917" s="1" t="s">
        <v>8548</v>
      </c>
      <c r="H1917" s="1" t="s">
        <v>3604</v>
      </c>
      <c r="I1917" s="1" t="s">
        <v>8549</v>
      </c>
      <c r="J1917" s="1" t="s">
        <v>3606</v>
      </c>
      <c r="K1917" s="1" t="s">
        <v>8550</v>
      </c>
      <c r="L1917" s="1"/>
      <c r="M1917" s="1"/>
    </row>
    <row x14ac:dyDescent="0.25" r="1918" customHeight="1" ht="18.75">
      <c r="A1918" s="1" t="s">
        <v>3617</v>
      </c>
      <c r="B1918" s="1" t="s">
        <v>3729</v>
      </c>
      <c r="C1918" s="1" t="s">
        <v>3619</v>
      </c>
      <c r="D1918" s="1" t="s">
        <v>8373</v>
      </c>
      <c r="E1918" s="1" t="s">
        <v>4478</v>
      </c>
      <c r="F1918" s="1" t="s">
        <v>8551</v>
      </c>
      <c r="G1918" s="1" t="s">
        <v>8544</v>
      </c>
      <c r="H1918" s="1" t="s">
        <v>3604</v>
      </c>
      <c r="I1918" s="1" t="s">
        <v>8552</v>
      </c>
      <c r="J1918" s="1" t="s">
        <v>3606</v>
      </c>
      <c r="K1918" s="1" t="s">
        <v>8553</v>
      </c>
      <c r="L1918" s="1"/>
      <c r="M1918" s="1"/>
    </row>
    <row x14ac:dyDescent="0.25" r="1919" customHeight="1" ht="18.75">
      <c r="A1919" s="1" t="s">
        <v>3617</v>
      </c>
      <c r="B1919" s="1" t="s">
        <v>3729</v>
      </c>
      <c r="C1919" s="1" t="s">
        <v>3619</v>
      </c>
      <c r="D1919" s="1" t="s">
        <v>3695</v>
      </c>
      <c r="E1919" s="1" t="s">
        <v>4478</v>
      </c>
      <c r="F1919" s="1" t="s">
        <v>8554</v>
      </c>
      <c r="G1919" s="1" t="s">
        <v>8544</v>
      </c>
      <c r="H1919" s="1" t="s">
        <v>3604</v>
      </c>
      <c r="I1919" s="1" t="s">
        <v>8555</v>
      </c>
      <c r="J1919" s="1" t="s">
        <v>3606</v>
      </c>
      <c r="K1919" s="1" t="s">
        <v>8556</v>
      </c>
      <c r="L1919" s="1"/>
      <c r="M1919" s="1"/>
    </row>
    <row x14ac:dyDescent="0.25" r="1920" customHeight="1" ht="18.75">
      <c r="A1920" s="1" t="s">
        <v>3617</v>
      </c>
      <c r="B1920" s="1" t="s">
        <v>3729</v>
      </c>
      <c r="C1920" s="1" t="s">
        <v>3619</v>
      </c>
      <c r="D1920" s="1" t="s">
        <v>3695</v>
      </c>
      <c r="E1920" s="1" t="s">
        <v>4478</v>
      </c>
      <c r="F1920" s="1" t="s">
        <v>8557</v>
      </c>
      <c r="G1920" s="1" t="s">
        <v>8544</v>
      </c>
      <c r="H1920" s="1" t="s">
        <v>3604</v>
      </c>
      <c r="I1920" s="1" t="s">
        <v>8558</v>
      </c>
      <c r="J1920" s="1" t="s">
        <v>3606</v>
      </c>
      <c r="K1920" s="1" t="s">
        <v>8559</v>
      </c>
      <c r="L1920" s="1"/>
      <c r="M1920" s="1"/>
    </row>
    <row x14ac:dyDescent="0.25" r="1921" customHeight="1" ht="18.75">
      <c r="A1921" s="1" t="s">
        <v>3617</v>
      </c>
      <c r="B1921" s="1" t="s">
        <v>3729</v>
      </c>
      <c r="C1921" s="1" t="s">
        <v>3619</v>
      </c>
      <c r="D1921" s="1" t="s">
        <v>3695</v>
      </c>
      <c r="E1921" s="1" t="s">
        <v>4478</v>
      </c>
      <c r="F1921" s="1" t="s">
        <v>8560</v>
      </c>
      <c r="G1921" s="1" t="s">
        <v>8544</v>
      </c>
      <c r="H1921" s="1" t="s">
        <v>3604</v>
      </c>
      <c r="I1921" s="1" t="s">
        <v>8561</v>
      </c>
      <c r="J1921" s="1" t="s">
        <v>3606</v>
      </c>
      <c r="K1921" s="1" t="s">
        <v>8562</v>
      </c>
      <c r="L1921" s="1"/>
      <c r="M1921" s="1"/>
    </row>
    <row x14ac:dyDescent="0.25" r="1922" customHeight="1" ht="18.75">
      <c r="A1922" s="1" t="s">
        <v>3693</v>
      </c>
      <c r="B1922" s="1" t="s">
        <v>4257</v>
      </c>
      <c r="C1922" s="1" t="s">
        <v>3619</v>
      </c>
      <c r="D1922" s="1" t="s">
        <v>8100</v>
      </c>
      <c r="E1922" s="1" t="s">
        <v>3664</v>
      </c>
      <c r="F1922" s="1" t="s">
        <v>8563</v>
      </c>
      <c r="G1922" s="1" t="s">
        <v>8564</v>
      </c>
      <c r="H1922" s="1" t="s">
        <v>3604</v>
      </c>
      <c r="I1922" s="1" t="s">
        <v>8565</v>
      </c>
      <c r="J1922" s="1" t="s">
        <v>3606</v>
      </c>
      <c r="K1922" s="1" t="s">
        <v>8566</v>
      </c>
      <c r="L1922" s="1"/>
      <c r="M1922" s="1"/>
    </row>
    <row x14ac:dyDescent="0.25" r="1923" customHeight="1" ht="18.75">
      <c r="A1923" s="1" t="s">
        <v>3693</v>
      </c>
      <c r="B1923" s="1" t="s">
        <v>4257</v>
      </c>
      <c r="C1923" s="1" t="s">
        <v>3619</v>
      </c>
      <c r="D1923" s="1" t="s">
        <v>8100</v>
      </c>
      <c r="E1923" s="1" t="s">
        <v>3664</v>
      </c>
      <c r="F1923" s="1" t="s">
        <v>8567</v>
      </c>
      <c r="G1923" s="1" t="s">
        <v>8564</v>
      </c>
      <c r="H1923" s="1" t="s">
        <v>3604</v>
      </c>
      <c r="I1923" s="1" t="s">
        <v>8568</v>
      </c>
      <c r="J1923" s="1" t="s">
        <v>3606</v>
      </c>
      <c r="K1923" s="1" t="s">
        <v>8569</v>
      </c>
      <c r="L1923" s="1"/>
      <c r="M1923" s="1"/>
    </row>
    <row x14ac:dyDescent="0.25" r="1924" customHeight="1" ht="18.75">
      <c r="A1924" s="1" t="s">
        <v>3693</v>
      </c>
      <c r="B1924" s="1" t="s">
        <v>4257</v>
      </c>
      <c r="C1924" s="1" t="s">
        <v>3619</v>
      </c>
      <c r="D1924" s="1" t="s">
        <v>8100</v>
      </c>
      <c r="E1924" s="1" t="s">
        <v>3664</v>
      </c>
      <c r="F1924" s="1" t="s">
        <v>8567</v>
      </c>
      <c r="G1924" s="1" t="s">
        <v>8564</v>
      </c>
      <c r="H1924" s="1" t="s">
        <v>3604</v>
      </c>
      <c r="I1924" s="1" t="s">
        <v>8570</v>
      </c>
      <c r="J1924" s="1" t="s">
        <v>3606</v>
      </c>
      <c r="K1924" s="1" t="s">
        <v>8571</v>
      </c>
      <c r="L1924" s="1"/>
      <c r="M1924" s="1"/>
    </row>
    <row x14ac:dyDescent="0.25" r="1925" customHeight="1" ht="18.75">
      <c r="A1925" s="1" t="s">
        <v>3598</v>
      </c>
      <c r="B1925" s="1" t="s">
        <v>8572</v>
      </c>
      <c r="C1925" s="1" t="s">
        <v>3600</v>
      </c>
      <c r="D1925" s="1" t="s">
        <v>3601</v>
      </c>
      <c r="E1925" s="1"/>
      <c r="F1925" s="1" t="s">
        <v>8573</v>
      </c>
      <c r="G1925" s="1" t="s">
        <v>8574</v>
      </c>
      <c r="H1925" s="1" t="s">
        <v>3604</v>
      </c>
      <c r="I1925" s="1" t="s">
        <v>8575</v>
      </c>
      <c r="J1925" s="1" t="s">
        <v>3615</v>
      </c>
      <c r="K1925" s="1"/>
      <c r="L1925" s="1"/>
      <c r="M1925" s="1"/>
    </row>
    <row x14ac:dyDescent="0.25" r="1926" customHeight="1" ht="18.75">
      <c r="A1926" s="1" t="s">
        <v>3598</v>
      </c>
      <c r="B1926" s="1" t="s">
        <v>8576</v>
      </c>
      <c r="C1926" s="1" t="s">
        <v>3600</v>
      </c>
      <c r="D1926" s="1" t="s">
        <v>3601</v>
      </c>
      <c r="E1926" s="1"/>
      <c r="F1926" s="1" t="s">
        <v>8577</v>
      </c>
      <c r="G1926" s="1" t="s">
        <v>8578</v>
      </c>
      <c r="H1926" s="1" t="s">
        <v>3604</v>
      </c>
      <c r="I1926" s="1" t="s">
        <v>8579</v>
      </c>
      <c r="J1926" s="1" t="s">
        <v>3606</v>
      </c>
      <c r="K1926" s="1" t="s">
        <v>8580</v>
      </c>
      <c r="L1926" s="1"/>
      <c r="M1926" s="1"/>
    </row>
    <row x14ac:dyDescent="0.25" r="1927" customHeight="1" ht="18.75">
      <c r="A1927" s="1" t="s">
        <v>3598</v>
      </c>
      <c r="B1927" s="1" t="s">
        <v>8581</v>
      </c>
      <c r="C1927" s="1" t="s">
        <v>3600</v>
      </c>
      <c r="D1927" s="1" t="s">
        <v>8365</v>
      </c>
      <c r="E1927" s="1"/>
      <c r="F1927" s="1" t="s">
        <v>8582</v>
      </c>
      <c r="G1927" s="1" t="s">
        <v>8583</v>
      </c>
      <c r="H1927" s="1" t="s">
        <v>3604</v>
      </c>
      <c r="I1927" s="1" t="s">
        <v>8584</v>
      </c>
      <c r="J1927" s="1" t="s">
        <v>3606</v>
      </c>
      <c r="K1927" s="1" t="s">
        <v>8585</v>
      </c>
      <c r="L1927" s="1"/>
      <c r="M1927" s="1"/>
    </row>
    <row x14ac:dyDescent="0.25" r="1928" customHeight="1" ht="18.75">
      <c r="A1928" s="1" t="s">
        <v>3598</v>
      </c>
      <c r="B1928" s="1" t="s">
        <v>8581</v>
      </c>
      <c r="C1928" s="1" t="s">
        <v>3600</v>
      </c>
      <c r="D1928" s="1" t="s">
        <v>8365</v>
      </c>
      <c r="E1928" s="1"/>
      <c r="F1928" s="1" t="s">
        <v>8586</v>
      </c>
      <c r="G1928" s="1" t="s">
        <v>8583</v>
      </c>
      <c r="H1928" s="1" t="s">
        <v>3604</v>
      </c>
      <c r="I1928" s="1" t="s">
        <v>8587</v>
      </c>
      <c r="J1928" s="1" t="s">
        <v>3606</v>
      </c>
      <c r="K1928" s="1" t="s">
        <v>8588</v>
      </c>
      <c r="L1928" s="1"/>
      <c r="M1928" s="1"/>
    </row>
    <row x14ac:dyDescent="0.25" r="1929" customHeight="1" ht="18.75">
      <c r="A1929" s="1" t="s">
        <v>3598</v>
      </c>
      <c r="B1929" s="1" t="s">
        <v>8589</v>
      </c>
      <c r="C1929" s="1" t="s">
        <v>3600</v>
      </c>
      <c r="D1929" s="1" t="s">
        <v>8365</v>
      </c>
      <c r="E1929" s="1"/>
      <c r="F1929" s="1" t="s">
        <v>8590</v>
      </c>
      <c r="G1929" s="1" t="s">
        <v>6458</v>
      </c>
      <c r="H1929" s="1" t="s">
        <v>3604</v>
      </c>
      <c r="I1929" s="1" t="s">
        <v>8591</v>
      </c>
      <c r="J1929" s="1" t="s">
        <v>3606</v>
      </c>
      <c r="K1929" s="1" t="s">
        <v>8592</v>
      </c>
      <c r="L1929" s="1"/>
      <c r="M1929" s="1"/>
    </row>
    <row x14ac:dyDescent="0.25" r="1930" customHeight="1" ht="18.75">
      <c r="A1930" s="1" t="s">
        <v>3598</v>
      </c>
      <c r="B1930" s="1" t="s">
        <v>8593</v>
      </c>
      <c r="C1930" s="1" t="s">
        <v>3600</v>
      </c>
      <c r="D1930" s="1" t="s">
        <v>3601</v>
      </c>
      <c r="E1930" s="1"/>
      <c r="F1930" s="1" t="s">
        <v>8594</v>
      </c>
      <c r="G1930" s="1" t="s">
        <v>6169</v>
      </c>
      <c r="H1930" s="1" t="s">
        <v>3604</v>
      </c>
      <c r="I1930" s="1" t="s">
        <v>8595</v>
      </c>
      <c r="J1930" s="1" t="s">
        <v>3606</v>
      </c>
      <c r="K1930" s="1" t="s">
        <v>8596</v>
      </c>
      <c r="L1930" s="1"/>
      <c r="M1930" s="1"/>
    </row>
    <row x14ac:dyDescent="0.25" r="1931" customHeight="1" ht="18.75">
      <c r="A1931" s="1" t="s">
        <v>3598</v>
      </c>
      <c r="B1931" s="1" t="s">
        <v>8597</v>
      </c>
      <c r="C1931" s="1" t="s">
        <v>3600</v>
      </c>
      <c r="D1931" s="1" t="s">
        <v>3601</v>
      </c>
      <c r="E1931" s="1"/>
      <c r="F1931" s="1" t="s">
        <v>8598</v>
      </c>
      <c r="G1931" s="1" t="s">
        <v>8599</v>
      </c>
      <c r="H1931" s="1" t="s">
        <v>3604</v>
      </c>
      <c r="I1931" s="1" t="s">
        <v>8600</v>
      </c>
      <c r="J1931" s="1" t="s">
        <v>3606</v>
      </c>
      <c r="K1931" s="1" t="s">
        <v>8601</v>
      </c>
      <c r="L1931" s="1"/>
      <c r="M1931" s="1"/>
    </row>
    <row x14ac:dyDescent="0.25" r="1932" customHeight="1" ht="18.75">
      <c r="A1932" s="1" t="s">
        <v>3598</v>
      </c>
      <c r="B1932" s="1" t="s">
        <v>8602</v>
      </c>
      <c r="C1932" s="1" t="s">
        <v>3600</v>
      </c>
      <c r="D1932" s="1" t="s">
        <v>3601</v>
      </c>
      <c r="E1932" s="1"/>
      <c r="F1932" s="1" t="s">
        <v>8603</v>
      </c>
      <c r="G1932" s="1" t="s">
        <v>8604</v>
      </c>
      <c r="H1932" s="1" t="s">
        <v>3604</v>
      </c>
      <c r="I1932" s="1" t="s">
        <v>8605</v>
      </c>
      <c r="J1932" s="1" t="s">
        <v>3606</v>
      </c>
      <c r="K1932" s="1" t="s">
        <v>8606</v>
      </c>
      <c r="L1932" s="1"/>
      <c r="M1932" s="1"/>
    </row>
    <row x14ac:dyDescent="0.25" r="1933" customHeight="1" ht="18.75">
      <c r="A1933" s="1" t="s">
        <v>3598</v>
      </c>
      <c r="B1933" s="1" t="s">
        <v>8607</v>
      </c>
      <c r="C1933" s="1" t="s">
        <v>3600</v>
      </c>
      <c r="D1933" s="1" t="s">
        <v>3601</v>
      </c>
      <c r="E1933" s="1"/>
      <c r="F1933" s="1" t="s">
        <v>8608</v>
      </c>
      <c r="G1933" s="1" t="s">
        <v>8609</v>
      </c>
      <c r="H1933" s="1" t="s">
        <v>3604</v>
      </c>
      <c r="I1933" s="1" t="s">
        <v>8610</v>
      </c>
      <c r="J1933" s="1" t="s">
        <v>3606</v>
      </c>
      <c r="K1933" s="1" t="s">
        <v>8611</v>
      </c>
      <c r="L1933" s="1"/>
      <c r="M1933" s="1"/>
    </row>
    <row x14ac:dyDescent="0.25" r="1934" customHeight="1" ht="18.75">
      <c r="A1934" s="1" t="s">
        <v>3598</v>
      </c>
      <c r="B1934" s="1" t="s">
        <v>8612</v>
      </c>
      <c r="C1934" s="1" t="s">
        <v>3600</v>
      </c>
      <c r="D1934" s="1" t="s">
        <v>3601</v>
      </c>
      <c r="E1934" s="1"/>
      <c r="F1934" s="1" t="s">
        <v>8613</v>
      </c>
      <c r="G1934" s="1" t="s">
        <v>8614</v>
      </c>
      <c r="H1934" s="1" t="s">
        <v>3604</v>
      </c>
      <c r="I1934" s="1" t="s">
        <v>8615</v>
      </c>
      <c r="J1934" s="1" t="s">
        <v>3606</v>
      </c>
      <c r="K1934" s="1" t="s">
        <v>8616</v>
      </c>
      <c r="L1934" s="1"/>
      <c r="M1934" s="1"/>
    </row>
    <row x14ac:dyDescent="0.25" r="1935" customHeight="1" ht="18.75">
      <c r="A1935" s="1" t="s">
        <v>3598</v>
      </c>
      <c r="B1935" s="1" t="s">
        <v>8612</v>
      </c>
      <c r="C1935" s="1" t="s">
        <v>3600</v>
      </c>
      <c r="D1935" s="1" t="s">
        <v>3601</v>
      </c>
      <c r="E1935" s="1"/>
      <c r="F1935" s="1" t="s">
        <v>8617</v>
      </c>
      <c r="G1935" s="1" t="s">
        <v>8614</v>
      </c>
      <c r="H1935" s="1" t="s">
        <v>3604</v>
      </c>
      <c r="I1935" s="1" t="s">
        <v>8618</v>
      </c>
      <c r="J1935" s="1" t="s">
        <v>3606</v>
      </c>
      <c r="K1935" s="1" t="s">
        <v>8616</v>
      </c>
      <c r="L1935" s="1"/>
      <c r="M1935" s="1"/>
    </row>
    <row x14ac:dyDescent="0.25" r="1936" customHeight="1" ht="18.75">
      <c r="A1936" s="1" t="s">
        <v>3598</v>
      </c>
      <c r="B1936" s="1" t="s">
        <v>8619</v>
      </c>
      <c r="C1936" s="1" t="s">
        <v>3600</v>
      </c>
      <c r="D1936" s="1" t="s">
        <v>3601</v>
      </c>
      <c r="E1936" s="1"/>
      <c r="F1936" s="1" t="s">
        <v>8620</v>
      </c>
      <c r="G1936" s="1" t="s">
        <v>8621</v>
      </c>
      <c r="H1936" s="1" t="s">
        <v>3604</v>
      </c>
      <c r="I1936" s="1" t="s">
        <v>8622</v>
      </c>
      <c r="J1936" s="1" t="s">
        <v>3606</v>
      </c>
      <c r="K1936" s="1" t="s">
        <v>8623</v>
      </c>
      <c r="L1936" s="1"/>
      <c r="M1936" s="1"/>
    </row>
    <row x14ac:dyDescent="0.25" r="1937" customHeight="1" ht="18.75">
      <c r="A1937" s="1" t="s">
        <v>3598</v>
      </c>
      <c r="B1937" s="1" t="s">
        <v>8624</v>
      </c>
      <c r="C1937" s="1" t="s">
        <v>3600</v>
      </c>
      <c r="D1937" s="1" t="s">
        <v>3601</v>
      </c>
      <c r="E1937" s="1"/>
      <c r="F1937" s="1" t="s">
        <v>8625</v>
      </c>
      <c r="G1937" s="1" t="s">
        <v>8626</v>
      </c>
      <c r="H1937" s="1" t="s">
        <v>3604</v>
      </c>
      <c r="I1937" s="1" t="s">
        <v>8627</v>
      </c>
      <c r="J1937" s="1" t="s">
        <v>3606</v>
      </c>
      <c r="K1937" s="1" t="s">
        <v>8628</v>
      </c>
      <c r="L1937" s="1"/>
      <c r="M1937" s="1"/>
    </row>
    <row x14ac:dyDescent="0.25" r="1938" customHeight="1" ht="18.75">
      <c r="A1938" s="1" t="s">
        <v>3598</v>
      </c>
      <c r="B1938" s="1" t="s">
        <v>8629</v>
      </c>
      <c r="C1938" s="1" t="s">
        <v>3600</v>
      </c>
      <c r="D1938" s="1" t="s">
        <v>3601</v>
      </c>
      <c r="E1938" s="1"/>
      <c r="F1938" s="1" t="s">
        <v>8630</v>
      </c>
      <c r="G1938" s="1" t="s">
        <v>8631</v>
      </c>
      <c r="H1938" s="1" t="s">
        <v>3604</v>
      </c>
      <c r="I1938" s="1" t="s">
        <v>8632</v>
      </c>
      <c r="J1938" s="1" t="s">
        <v>3606</v>
      </c>
      <c r="K1938" s="1" t="s">
        <v>8633</v>
      </c>
      <c r="L1938" s="1"/>
      <c r="M1938" s="1"/>
    </row>
    <row x14ac:dyDescent="0.25" r="1939" customHeight="1" ht="18.75">
      <c r="A1939" s="1" t="s">
        <v>3598</v>
      </c>
      <c r="B1939" s="1" t="s">
        <v>8629</v>
      </c>
      <c r="C1939" s="1" t="s">
        <v>3600</v>
      </c>
      <c r="D1939" s="1" t="s">
        <v>3601</v>
      </c>
      <c r="E1939" s="1"/>
      <c r="F1939" s="1" t="s">
        <v>8634</v>
      </c>
      <c r="G1939" s="1" t="s">
        <v>8631</v>
      </c>
      <c r="H1939" s="1" t="s">
        <v>3604</v>
      </c>
      <c r="I1939" s="1" t="s">
        <v>8635</v>
      </c>
      <c r="J1939" s="1" t="s">
        <v>3606</v>
      </c>
      <c r="K1939" s="1" t="s">
        <v>8633</v>
      </c>
      <c r="L1939" s="1"/>
      <c r="M1939" s="1"/>
    </row>
    <row x14ac:dyDescent="0.25" r="1940" customHeight="1" ht="18.75">
      <c r="A1940" s="1" t="s">
        <v>3598</v>
      </c>
      <c r="B1940" s="1" t="s">
        <v>8636</v>
      </c>
      <c r="C1940" s="1" t="s">
        <v>3600</v>
      </c>
      <c r="D1940" s="1" t="s">
        <v>3601</v>
      </c>
      <c r="E1940" s="1"/>
      <c r="F1940" s="1" t="s">
        <v>8637</v>
      </c>
      <c r="G1940" s="1" t="s">
        <v>8638</v>
      </c>
      <c r="H1940" s="1" t="s">
        <v>3604</v>
      </c>
      <c r="I1940" s="1" t="s">
        <v>8639</v>
      </c>
      <c r="J1940" s="1" t="s">
        <v>3606</v>
      </c>
      <c r="K1940" s="1" t="s">
        <v>8640</v>
      </c>
      <c r="L1940" s="1"/>
      <c r="M1940" s="1"/>
    </row>
    <row x14ac:dyDescent="0.25" r="1941" customHeight="1" ht="18.75">
      <c r="A1941" s="1" t="s">
        <v>3598</v>
      </c>
      <c r="B1941" s="1" t="s">
        <v>8641</v>
      </c>
      <c r="C1941" s="1" t="s">
        <v>3600</v>
      </c>
      <c r="D1941" s="1" t="s">
        <v>3601</v>
      </c>
      <c r="E1941" s="1"/>
      <c r="F1941" s="1" t="s">
        <v>8642</v>
      </c>
      <c r="G1941" s="1" t="s">
        <v>8643</v>
      </c>
      <c r="H1941" s="1" t="s">
        <v>3604</v>
      </c>
      <c r="I1941" s="1" t="s">
        <v>8644</v>
      </c>
      <c r="J1941" s="1" t="s">
        <v>3606</v>
      </c>
      <c r="K1941" s="1" t="s">
        <v>8645</v>
      </c>
      <c r="L1941" s="1"/>
      <c r="M1941" s="1"/>
    </row>
    <row x14ac:dyDescent="0.25" r="1942" customHeight="1" ht="18.75">
      <c r="A1942" s="1" t="s">
        <v>3598</v>
      </c>
      <c r="B1942" s="1" t="s">
        <v>8646</v>
      </c>
      <c r="C1942" s="1" t="s">
        <v>3600</v>
      </c>
      <c r="D1942" s="1" t="s">
        <v>3601</v>
      </c>
      <c r="E1942" s="1"/>
      <c r="F1942" s="1" t="s">
        <v>8647</v>
      </c>
      <c r="G1942" s="1" t="s">
        <v>8648</v>
      </c>
      <c r="H1942" s="1" t="s">
        <v>3604</v>
      </c>
      <c r="I1942" s="1" t="s">
        <v>8649</v>
      </c>
      <c r="J1942" s="1" t="s">
        <v>3606</v>
      </c>
      <c r="K1942" s="1" t="s">
        <v>8650</v>
      </c>
      <c r="L1942" s="1"/>
      <c r="M1942" s="1"/>
    </row>
    <row x14ac:dyDescent="0.25" r="1943" customHeight="1" ht="18.75">
      <c r="A1943" s="1" t="s">
        <v>3598</v>
      </c>
      <c r="B1943" s="1" t="s">
        <v>8651</v>
      </c>
      <c r="C1943" s="1" t="s">
        <v>3600</v>
      </c>
      <c r="D1943" s="1" t="s">
        <v>3601</v>
      </c>
      <c r="E1943" s="1"/>
      <c r="F1943" s="1" t="s">
        <v>8652</v>
      </c>
      <c r="G1943" s="1" t="s">
        <v>8653</v>
      </c>
      <c r="H1943" s="1" t="s">
        <v>3604</v>
      </c>
      <c r="I1943" s="1" t="s">
        <v>8654</v>
      </c>
      <c r="J1943" s="1" t="s">
        <v>3606</v>
      </c>
      <c r="K1943" s="1" t="s">
        <v>8655</v>
      </c>
      <c r="L1943" s="1"/>
      <c r="M1943" s="1"/>
    </row>
    <row x14ac:dyDescent="0.25" r="1944" customHeight="1" ht="18.75">
      <c r="A1944" s="1" t="s">
        <v>3598</v>
      </c>
      <c r="B1944" s="1" t="s">
        <v>8656</v>
      </c>
      <c r="C1944" s="1" t="s">
        <v>3600</v>
      </c>
      <c r="D1944" s="1" t="s">
        <v>3601</v>
      </c>
      <c r="E1944" s="1"/>
      <c r="F1944" s="1" t="s">
        <v>8657</v>
      </c>
      <c r="G1944" s="1" t="s">
        <v>8658</v>
      </c>
      <c r="H1944" s="1" t="s">
        <v>3604</v>
      </c>
      <c r="I1944" s="1" t="s">
        <v>8659</v>
      </c>
      <c r="J1944" s="1" t="s">
        <v>3606</v>
      </c>
      <c r="K1944" s="1" t="s">
        <v>8660</v>
      </c>
      <c r="L1944" s="1"/>
      <c r="M1944" s="1"/>
    </row>
    <row x14ac:dyDescent="0.25" r="1945" customHeight="1" ht="18.75">
      <c r="A1945" s="1" t="s">
        <v>3598</v>
      </c>
      <c r="B1945" s="1" t="s">
        <v>8656</v>
      </c>
      <c r="C1945" s="1" t="s">
        <v>3600</v>
      </c>
      <c r="D1945" s="1" t="s">
        <v>3601</v>
      </c>
      <c r="E1945" s="1"/>
      <c r="F1945" s="1" t="s">
        <v>8661</v>
      </c>
      <c r="G1945" s="1" t="s">
        <v>8658</v>
      </c>
      <c r="H1945" s="1" t="s">
        <v>3604</v>
      </c>
      <c r="I1945" s="1" t="s">
        <v>8662</v>
      </c>
      <c r="J1945" s="1" t="s">
        <v>3606</v>
      </c>
      <c r="K1945" s="1" t="s">
        <v>8660</v>
      </c>
      <c r="L1945" s="1"/>
      <c r="M1945" s="1"/>
    </row>
    <row x14ac:dyDescent="0.25" r="1946" customHeight="1" ht="18.75">
      <c r="A1946" s="1" t="s">
        <v>3598</v>
      </c>
      <c r="B1946" s="1" t="s">
        <v>8663</v>
      </c>
      <c r="C1946" s="1" t="s">
        <v>3600</v>
      </c>
      <c r="D1946" s="1" t="s">
        <v>3601</v>
      </c>
      <c r="E1946" s="1"/>
      <c r="F1946" s="1" t="s">
        <v>8664</v>
      </c>
      <c r="G1946" s="1" t="s">
        <v>8665</v>
      </c>
      <c r="H1946" s="1" t="s">
        <v>3604</v>
      </c>
      <c r="I1946" s="1" t="s">
        <v>8666</v>
      </c>
      <c r="J1946" s="1" t="s">
        <v>3606</v>
      </c>
      <c r="K1946" s="1" t="s">
        <v>8667</v>
      </c>
      <c r="L1946" s="1"/>
      <c r="M1946" s="1"/>
    </row>
    <row x14ac:dyDescent="0.25" r="1947" customHeight="1" ht="18.75">
      <c r="A1947" s="1" t="s">
        <v>3598</v>
      </c>
      <c r="B1947" s="1" t="s">
        <v>8668</v>
      </c>
      <c r="C1947" s="1" t="s">
        <v>3600</v>
      </c>
      <c r="D1947" s="1" t="s">
        <v>3601</v>
      </c>
      <c r="E1947" s="1"/>
      <c r="F1947" s="1" t="s">
        <v>8669</v>
      </c>
      <c r="G1947" s="1" t="s">
        <v>8670</v>
      </c>
      <c r="H1947" s="1" t="s">
        <v>3604</v>
      </c>
      <c r="I1947" s="1" t="s">
        <v>8671</v>
      </c>
      <c r="J1947" s="1" t="s">
        <v>3606</v>
      </c>
      <c r="K1947" s="1" t="s">
        <v>8672</v>
      </c>
      <c r="L1947" s="1"/>
      <c r="M1947" s="1"/>
    </row>
    <row x14ac:dyDescent="0.25" r="1948" customHeight="1" ht="18.75">
      <c r="A1948" s="1" t="s">
        <v>3598</v>
      </c>
      <c r="B1948" s="1" t="s">
        <v>8673</v>
      </c>
      <c r="C1948" s="1" t="s">
        <v>3600</v>
      </c>
      <c r="D1948" s="1" t="s">
        <v>3601</v>
      </c>
      <c r="E1948" s="1"/>
      <c r="F1948" s="1" t="s">
        <v>8674</v>
      </c>
      <c r="G1948" s="1" t="s">
        <v>8675</v>
      </c>
      <c r="H1948" s="1" t="s">
        <v>3604</v>
      </c>
      <c r="I1948" s="1" t="s">
        <v>8676</v>
      </c>
      <c r="J1948" s="1" t="s">
        <v>3606</v>
      </c>
      <c r="K1948" s="1" t="s">
        <v>8677</v>
      </c>
      <c r="L1948" s="1"/>
      <c r="M1948" s="1"/>
    </row>
    <row x14ac:dyDescent="0.25" r="1949" customHeight="1" ht="18.75">
      <c r="A1949" s="1" t="s">
        <v>3598</v>
      </c>
      <c r="B1949" s="1" t="s">
        <v>8678</v>
      </c>
      <c r="C1949" s="1" t="s">
        <v>3600</v>
      </c>
      <c r="D1949" s="1" t="s">
        <v>3601</v>
      </c>
      <c r="E1949" s="1"/>
      <c r="F1949" s="1" t="s">
        <v>8679</v>
      </c>
      <c r="G1949" s="1" t="s">
        <v>8680</v>
      </c>
      <c r="H1949" s="1" t="s">
        <v>3604</v>
      </c>
      <c r="I1949" s="1" t="s">
        <v>8681</v>
      </c>
      <c r="J1949" s="1" t="s">
        <v>3606</v>
      </c>
      <c r="K1949" s="1" t="s">
        <v>8682</v>
      </c>
      <c r="L1949" s="1"/>
      <c r="M1949" s="1"/>
    </row>
    <row x14ac:dyDescent="0.25" r="1950" customHeight="1" ht="18.75">
      <c r="A1950" s="1" t="s">
        <v>3598</v>
      </c>
      <c r="B1950" s="1" t="s">
        <v>8683</v>
      </c>
      <c r="C1950" s="1" t="s">
        <v>3600</v>
      </c>
      <c r="D1950" s="1" t="s">
        <v>3601</v>
      </c>
      <c r="E1950" s="1"/>
      <c r="F1950" s="1" t="s">
        <v>8684</v>
      </c>
      <c r="G1950" s="1" t="s">
        <v>6039</v>
      </c>
      <c r="H1950" s="1" t="s">
        <v>3604</v>
      </c>
      <c r="I1950" s="1" t="s">
        <v>8685</v>
      </c>
      <c r="J1950" s="1" t="s">
        <v>3606</v>
      </c>
      <c r="K1950" s="1" t="s">
        <v>8686</v>
      </c>
      <c r="L1950" s="1"/>
      <c r="M1950" s="1"/>
    </row>
    <row x14ac:dyDescent="0.25" r="1951" customHeight="1" ht="18.75">
      <c r="A1951" s="1" t="s">
        <v>3598</v>
      </c>
      <c r="B1951" s="1" t="s">
        <v>4627</v>
      </c>
      <c r="C1951" s="1" t="s">
        <v>3600</v>
      </c>
      <c r="D1951" s="1" t="s">
        <v>7891</v>
      </c>
      <c r="E1951" s="1" t="s">
        <v>3611</v>
      </c>
      <c r="F1951" s="1" t="s">
        <v>8687</v>
      </c>
      <c r="G1951" s="1" t="s">
        <v>8688</v>
      </c>
      <c r="H1951" s="1" t="s">
        <v>3604</v>
      </c>
      <c r="I1951" s="1" t="s">
        <v>8689</v>
      </c>
      <c r="J1951" s="1" t="s">
        <v>3615</v>
      </c>
      <c r="K1951" s="1" t="s">
        <v>8690</v>
      </c>
      <c r="L1951" s="1"/>
      <c r="M1951" s="1"/>
    </row>
    <row x14ac:dyDescent="0.25" r="1952" customHeight="1" ht="18.75">
      <c r="A1952" s="1" t="s">
        <v>3598</v>
      </c>
      <c r="B1952" s="1" t="s">
        <v>4627</v>
      </c>
      <c r="C1952" s="1" t="s">
        <v>3600</v>
      </c>
      <c r="D1952" s="1" t="s">
        <v>7891</v>
      </c>
      <c r="E1952" s="1" t="s">
        <v>3611</v>
      </c>
      <c r="F1952" s="1" t="s">
        <v>8691</v>
      </c>
      <c r="G1952" s="1" t="s">
        <v>8688</v>
      </c>
      <c r="H1952" s="1" t="s">
        <v>3604</v>
      </c>
      <c r="I1952" s="1" t="s">
        <v>8692</v>
      </c>
      <c r="J1952" s="1" t="s">
        <v>3615</v>
      </c>
      <c r="K1952" s="1" t="s">
        <v>8693</v>
      </c>
      <c r="L1952" s="1"/>
      <c r="M1952" s="1"/>
    </row>
    <row x14ac:dyDescent="0.25" r="1953" customHeight="1" ht="18.75">
      <c r="A1953" s="1" t="s">
        <v>7833</v>
      </c>
      <c r="B1953" s="1" t="s">
        <v>8694</v>
      </c>
      <c r="C1953" s="1" t="s">
        <v>4488</v>
      </c>
      <c r="D1953" s="1" t="s">
        <v>3601</v>
      </c>
      <c r="E1953" s="1" t="s">
        <v>8096</v>
      </c>
      <c r="F1953" s="1" t="s">
        <v>8695</v>
      </c>
      <c r="G1953" s="1" t="s">
        <v>8696</v>
      </c>
      <c r="H1953" s="1" t="s">
        <v>3604</v>
      </c>
      <c r="I1953" s="1" t="s">
        <v>8697</v>
      </c>
      <c r="J1953" s="1" t="s">
        <v>3606</v>
      </c>
      <c r="K1953" s="1" t="s">
        <v>8698</v>
      </c>
      <c r="L1953" s="1"/>
      <c r="M1953" s="1"/>
    </row>
    <row x14ac:dyDescent="0.25" r="1954" customHeight="1" ht="18.75">
      <c r="A1954" s="1" t="s">
        <v>7833</v>
      </c>
      <c r="B1954" s="1" t="s">
        <v>8694</v>
      </c>
      <c r="C1954" s="1" t="s">
        <v>4488</v>
      </c>
      <c r="D1954" s="1" t="s">
        <v>3601</v>
      </c>
      <c r="E1954" s="1" t="s">
        <v>8096</v>
      </c>
      <c r="F1954" s="1" t="s">
        <v>8699</v>
      </c>
      <c r="G1954" s="1" t="s">
        <v>8700</v>
      </c>
      <c r="H1954" s="1" t="s">
        <v>3604</v>
      </c>
      <c r="I1954" s="1" t="s">
        <v>8701</v>
      </c>
      <c r="J1954" s="1" t="s">
        <v>3606</v>
      </c>
      <c r="K1954" s="1" t="s">
        <v>8702</v>
      </c>
      <c r="L1954" s="1"/>
      <c r="M1954" s="1"/>
    </row>
    <row x14ac:dyDescent="0.25" r="1955" customHeight="1" ht="18.75">
      <c r="A1955" s="1" t="s">
        <v>7833</v>
      </c>
      <c r="B1955" s="1" t="s">
        <v>8694</v>
      </c>
      <c r="C1955" s="1" t="s">
        <v>4488</v>
      </c>
      <c r="D1955" s="1" t="s">
        <v>3601</v>
      </c>
      <c r="E1955" s="1" t="s">
        <v>8096</v>
      </c>
      <c r="F1955" s="1" t="s">
        <v>8703</v>
      </c>
      <c r="G1955" s="1" t="s">
        <v>8704</v>
      </c>
      <c r="H1955" s="1" t="s">
        <v>3604</v>
      </c>
      <c r="I1955" s="1" t="s">
        <v>8705</v>
      </c>
      <c r="J1955" s="1" t="s">
        <v>3606</v>
      </c>
      <c r="K1955" s="1" t="s">
        <v>8706</v>
      </c>
      <c r="L1955" s="1"/>
      <c r="M1955" s="1"/>
    </row>
    <row x14ac:dyDescent="0.25" r="1956" customHeight="1" ht="18.75">
      <c r="A1956" s="1" t="s">
        <v>7833</v>
      </c>
      <c r="B1956" s="1" t="s">
        <v>8694</v>
      </c>
      <c r="C1956" s="1" t="s">
        <v>4488</v>
      </c>
      <c r="D1956" s="1" t="s">
        <v>3601</v>
      </c>
      <c r="E1956" s="1" t="s">
        <v>8096</v>
      </c>
      <c r="F1956" s="1" t="s">
        <v>8707</v>
      </c>
      <c r="G1956" s="1" t="s">
        <v>8708</v>
      </c>
      <c r="H1956" s="1" t="s">
        <v>3604</v>
      </c>
      <c r="I1956" s="1" t="s">
        <v>8709</v>
      </c>
      <c r="J1956" s="1" t="s">
        <v>3606</v>
      </c>
      <c r="K1956" s="1" t="s">
        <v>8710</v>
      </c>
      <c r="L1956" s="1"/>
      <c r="M1956" s="1"/>
    </row>
    <row x14ac:dyDescent="0.25" r="1957" customHeight="1" ht="18.75">
      <c r="A1957" s="1" t="s">
        <v>7833</v>
      </c>
      <c r="B1957" s="1" t="s">
        <v>8694</v>
      </c>
      <c r="C1957" s="1" t="s">
        <v>4488</v>
      </c>
      <c r="D1957" s="1" t="s">
        <v>3601</v>
      </c>
      <c r="E1957" s="1" t="s">
        <v>8096</v>
      </c>
      <c r="F1957" s="1" t="s">
        <v>8711</v>
      </c>
      <c r="G1957" s="1" t="s">
        <v>8708</v>
      </c>
      <c r="H1957" s="1" t="s">
        <v>3604</v>
      </c>
      <c r="I1957" s="1" t="s">
        <v>8712</v>
      </c>
      <c r="J1957" s="1" t="s">
        <v>3606</v>
      </c>
      <c r="K1957" s="1" t="s">
        <v>8713</v>
      </c>
      <c r="L1957" s="1"/>
      <c r="M1957" s="1"/>
    </row>
    <row x14ac:dyDescent="0.25" r="1958" customHeight="1" ht="18.75">
      <c r="A1958" s="1" t="s">
        <v>3617</v>
      </c>
      <c r="B1958" s="1" t="s">
        <v>4589</v>
      </c>
      <c r="C1958" s="1" t="s">
        <v>3619</v>
      </c>
      <c r="D1958" s="1" t="s">
        <v>3601</v>
      </c>
      <c r="E1958" s="1" t="s">
        <v>3730</v>
      </c>
      <c r="F1958" s="1" t="s">
        <v>8714</v>
      </c>
      <c r="G1958" s="1" t="s">
        <v>8715</v>
      </c>
      <c r="H1958" s="1" t="s">
        <v>3604</v>
      </c>
      <c r="I1958" s="1" t="s">
        <v>8716</v>
      </c>
      <c r="J1958" s="1" t="s">
        <v>3606</v>
      </c>
      <c r="K1958" s="1" t="s">
        <v>8717</v>
      </c>
      <c r="L1958" s="1"/>
      <c r="M1958" s="1"/>
    </row>
    <row x14ac:dyDescent="0.25" r="1959" customHeight="1" ht="18.75">
      <c r="A1959" s="1" t="s">
        <v>7833</v>
      </c>
      <c r="B1959" s="1" t="s">
        <v>8694</v>
      </c>
      <c r="C1959" s="1" t="s">
        <v>4488</v>
      </c>
      <c r="D1959" s="1" t="s">
        <v>3601</v>
      </c>
      <c r="E1959" s="1" t="s">
        <v>8096</v>
      </c>
      <c r="F1959" s="1" t="s">
        <v>8718</v>
      </c>
      <c r="G1959" s="1" t="s">
        <v>8696</v>
      </c>
      <c r="H1959" s="1" t="s">
        <v>3604</v>
      </c>
      <c r="I1959" s="1" t="s">
        <v>8719</v>
      </c>
      <c r="J1959" s="1" t="s">
        <v>3606</v>
      </c>
      <c r="K1959" s="1" t="s">
        <v>8720</v>
      </c>
      <c r="L1959" s="1"/>
      <c r="M1959" s="1"/>
    </row>
    <row x14ac:dyDescent="0.25" r="1960" customHeight="1" ht="18.75">
      <c r="A1960" s="1" t="s">
        <v>7833</v>
      </c>
      <c r="B1960" s="1" t="s">
        <v>8694</v>
      </c>
      <c r="C1960" s="1" t="s">
        <v>4488</v>
      </c>
      <c r="D1960" s="1" t="s">
        <v>3601</v>
      </c>
      <c r="E1960" s="1" t="s">
        <v>8096</v>
      </c>
      <c r="F1960" s="1" t="s">
        <v>8721</v>
      </c>
      <c r="G1960" s="1" t="s">
        <v>8700</v>
      </c>
      <c r="H1960" s="1" t="s">
        <v>3604</v>
      </c>
      <c r="I1960" s="1" t="s">
        <v>8722</v>
      </c>
      <c r="J1960" s="1" t="s">
        <v>3606</v>
      </c>
      <c r="K1960" s="1" t="s">
        <v>8723</v>
      </c>
      <c r="L1960" s="1"/>
      <c r="M1960" s="1"/>
    </row>
    <row x14ac:dyDescent="0.25" r="1961" customHeight="1" ht="18.75">
      <c r="A1961" s="1" t="s">
        <v>3617</v>
      </c>
      <c r="B1961" s="1" t="s">
        <v>4589</v>
      </c>
      <c r="C1961" s="1" t="s">
        <v>3619</v>
      </c>
      <c r="D1961" s="1" t="s">
        <v>3601</v>
      </c>
      <c r="E1961" s="1" t="s">
        <v>3730</v>
      </c>
      <c r="F1961" s="1" t="s">
        <v>8724</v>
      </c>
      <c r="G1961" s="1" t="s">
        <v>8715</v>
      </c>
      <c r="H1961" s="1" t="s">
        <v>3604</v>
      </c>
      <c r="I1961" s="1" t="s">
        <v>8725</v>
      </c>
      <c r="J1961" s="1" t="s">
        <v>3606</v>
      </c>
      <c r="K1961" s="1" t="s">
        <v>8726</v>
      </c>
      <c r="L1961" s="1"/>
      <c r="M1961" s="1"/>
    </row>
    <row x14ac:dyDescent="0.25" r="1962" customHeight="1" ht="18.75">
      <c r="A1962" s="1" t="s">
        <v>7833</v>
      </c>
      <c r="B1962" s="1" t="s">
        <v>8694</v>
      </c>
      <c r="C1962" s="1" t="s">
        <v>4488</v>
      </c>
      <c r="D1962" s="1" t="s">
        <v>3601</v>
      </c>
      <c r="E1962" s="1" t="s">
        <v>8096</v>
      </c>
      <c r="F1962" s="1" t="s">
        <v>8727</v>
      </c>
      <c r="G1962" s="1" t="s">
        <v>8704</v>
      </c>
      <c r="H1962" s="1" t="s">
        <v>3604</v>
      </c>
      <c r="I1962" s="1" t="s">
        <v>8728</v>
      </c>
      <c r="J1962" s="1" t="s">
        <v>3606</v>
      </c>
      <c r="K1962" s="1" t="s">
        <v>8729</v>
      </c>
      <c r="L1962" s="1"/>
      <c r="M1962" s="1"/>
    </row>
    <row x14ac:dyDescent="0.25" r="1963" customHeight="1" ht="18.75">
      <c r="A1963" s="1" t="s">
        <v>7833</v>
      </c>
      <c r="B1963" s="1" t="s">
        <v>8694</v>
      </c>
      <c r="C1963" s="1" t="s">
        <v>4488</v>
      </c>
      <c r="D1963" s="1" t="s">
        <v>3601</v>
      </c>
      <c r="E1963" s="1" t="s">
        <v>8096</v>
      </c>
      <c r="F1963" s="1" t="s">
        <v>8730</v>
      </c>
      <c r="G1963" s="1" t="s">
        <v>8731</v>
      </c>
      <c r="H1963" s="1" t="s">
        <v>3604</v>
      </c>
      <c r="I1963" s="1" t="s">
        <v>8732</v>
      </c>
      <c r="J1963" s="1" t="s">
        <v>3606</v>
      </c>
      <c r="K1963" s="1" t="s">
        <v>8733</v>
      </c>
      <c r="L1963" s="1"/>
      <c r="M1963" s="1"/>
    </row>
    <row x14ac:dyDescent="0.25" r="1964" customHeight="1" ht="18.75">
      <c r="A1964" s="1" t="s">
        <v>7833</v>
      </c>
      <c r="B1964" s="1" t="s">
        <v>8694</v>
      </c>
      <c r="C1964" s="1" t="s">
        <v>4488</v>
      </c>
      <c r="D1964" s="1" t="s">
        <v>3601</v>
      </c>
      <c r="E1964" s="1" t="s">
        <v>8096</v>
      </c>
      <c r="F1964" s="1" t="s">
        <v>8734</v>
      </c>
      <c r="G1964" s="1" t="s">
        <v>8735</v>
      </c>
      <c r="H1964" s="1" t="s">
        <v>3604</v>
      </c>
      <c r="I1964" s="1" t="s">
        <v>8736</v>
      </c>
      <c r="J1964" s="1" t="s">
        <v>3606</v>
      </c>
      <c r="K1964" s="1" t="s">
        <v>8737</v>
      </c>
      <c r="L1964" s="1"/>
      <c r="M1964" s="1"/>
    </row>
    <row x14ac:dyDescent="0.25" r="1965" customHeight="1" ht="18.75">
      <c r="A1965" s="1" t="s">
        <v>3617</v>
      </c>
      <c r="B1965" s="1" t="s">
        <v>3980</v>
      </c>
      <c r="C1965" s="1" t="s">
        <v>3619</v>
      </c>
      <c r="D1965" s="1" t="s">
        <v>3601</v>
      </c>
      <c r="E1965" s="1" t="s">
        <v>3730</v>
      </c>
      <c r="F1965" s="1" t="s">
        <v>8738</v>
      </c>
      <c r="G1965" s="1" t="s">
        <v>6364</v>
      </c>
      <c r="H1965" s="1" t="s">
        <v>3604</v>
      </c>
      <c r="I1965" s="1" t="s">
        <v>8739</v>
      </c>
      <c r="J1965" s="1" t="s">
        <v>3606</v>
      </c>
      <c r="K1965" s="1" t="s">
        <v>8740</v>
      </c>
      <c r="L1965" s="1"/>
      <c r="M1965" s="1"/>
    </row>
    <row x14ac:dyDescent="0.25" r="1966" customHeight="1" ht="18.75">
      <c r="A1966" s="1" t="s">
        <v>3617</v>
      </c>
      <c r="B1966" s="1" t="s">
        <v>3980</v>
      </c>
      <c r="C1966" s="1" t="s">
        <v>3619</v>
      </c>
      <c r="D1966" s="1" t="s">
        <v>3601</v>
      </c>
      <c r="E1966" s="1" t="s">
        <v>3730</v>
      </c>
      <c r="F1966" s="1" t="s">
        <v>8741</v>
      </c>
      <c r="G1966" s="1" t="s">
        <v>6372</v>
      </c>
      <c r="H1966" s="1" t="s">
        <v>3604</v>
      </c>
      <c r="I1966" s="1" t="s">
        <v>8742</v>
      </c>
      <c r="J1966" s="1" t="s">
        <v>3606</v>
      </c>
      <c r="K1966" s="1" t="s">
        <v>8743</v>
      </c>
      <c r="L1966" s="1"/>
      <c r="M1966" s="1"/>
    </row>
    <row x14ac:dyDescent="0.25" r="1967" customHeight="1" ht="18.75">
      <c r="A1967" s="1" t="s">
        <v>7833</v>
      </c>
      <c r="B1967" s="1" t="s">
        <v>8694</v>
      </c>
      <c r="C1967" s="1" t="s">
        <v>4488</v>
      </c>
      <c r="D1967" s="1" t="s">
        <v>3601</v>
      </c>
      <c r="E1967" s="1" t="s">
        <v>8096</v>
      </c>
      <c r="F1967" s="1" t="s">
        <v>8744</v>
      </c>
      <c r="G1967" s="1" t="s">
        <v>8708</v>
      </c>
      <c r="H1967" s="1" t="s">
        <v>3604</v>
      </c>
      <c r="I1967" s="1" t="s">
        <v>8745</v>
      </c>
      <c r="J1967" s="1" t="s">
        <v>3606</v>
      </c>
      <c r="K1967" s="1" t="s">
        <v>8746</v>
      </c>
      <c r="L1967" s="1"/>
      <c r="M1967" s="1"/>
    </row>
    <row x14ac:dyDescent="0.25" r="1968" customHeight="1" ht="18.75">
      <c r="A1968" s="1" t="s">
        <v>3617</v>
      </c>
      <c r="B1968" s="1" t="s">
        <v>3980</v>
      </c>
      <c r="C1968" s="1" t="s">
        <v>3619</v>
      </c>
      <c r="D1968" s="1" t="s">
        <v>3601</v>
      </c>
      <c r="E1968" s="1" t="s">
        <v>3730</v>
      </c>
      <c r="F1968" s="1" t="s">
        <v>8747</v>
      </c>
      <c r="G1968" s="1" t="s">
        <v>6381</v>
      </c>
      <c r="H1968" s="1" t="s">
        <v>3604</v>
      </c>
      <c r="I1968" s="1" t="s">
        <v>8748</v>
      </c>
      <c r="J1968" s="1" t="s">
        <v>3606</v>
      </c>
      <c r="K1968" s="1" t="s">
        <v>8749</v>
      </c>
      <c r="L1968" s="1"/>
      <c r="M1968" s="1"/>
    </row>
    <row x14ac:dyDescent="0.25" r="1969" customHeight="1" ht="18.75">
      <c r="A1969" s="1" t="s">
        <v>3617</v>
      </c>
      <c r="B1969" s="1" t="s">
        <v>4589</v>
      </c>
      <c r="C1969" s="1" t="s">
        <v>3619</v>
      </c>
      <c r="D1969" s="1" t="s">
        <v>3601</v>
      </c>
      <c r="E1969" s="1" t="s">
        <v>3730</v>
      </c>
      <c r="F1969" s="1" t="s">
        <v>8750</v>
      </c>
      <c r="G1969" s="1" t="s">
        <v>8715</v>
      </c>
      <c r="H1969" s="1" t="s">
        <v>3604</v>
      </c>
      <c r="I1969" s="1" t="s">
        <v>8751</v>
      </c>
      <c r="J1969" s="1" t="s">
        <v>3606</v>
      </c>
      <c r="K1969" s="1" t="s">
        <v>8752</v>
      </c>
      <c r="L1969" s="1"/>
      <c r="M1969" s="1"/>
    </row>
    <row x14ac:dyDescent="0.25" r="1970" customHeight="1" ht="18.75">
      <c r="A1970" s="1" t="s">
        <v>7833</v>
      </c>
      <c r="B1970" s="1" t="s">
        <v>8694</v>
      </c>
      <c r="C1970" s="1" t="s">
        <v>4488</v>
      </c>
      <c r="D1970" s="1" t="s">
        <v>3601</v>
      </c>
      <c r="E1970" s="1" t="s">
        <v>8096</v>
      </c>
      <c r="F1970" s="1" t="s">
        <v>8753</v>
      </c>
      <c r="G1970" s="1" t="s">
        <v>8708</v>
      </c>
      <c r="H1970" s="1" t="s">
        <v>3604</v>
      </c>
      <c r="I1970" s="1" t="s">
        <v>8754</v>
      </c>
      <c r="J1970" s="1" t="s">
        <v>3606</v>
      </c>
      <c r="K1970" s="1" t="s">
        <v>8755</v>
      </c>
      <c r="L1970" s="1"/>
      <c r="M1970" s="1"/>
    </row>
    <row x14ac:dyDescent="0.25" r="1971" customHeight="1" ht="18.75">
      <c r="A1971" s="1" t="s">
        <v>7833</v>
      </c>
      <c r="B1971" s="1" t="s">
        <v>8694</v>
      </c>
      <c r="C1971" s="1" t="s">
        <v>4488</v>
      </c>
      <c r="D1971" s="1" t="s">
        <v>3601</v>
      </c>
      <c r="E1971" s="1" t="s">
        <v>8096</v>
      </c>
      <c r="F1971" s="1" t="s">
        <v>8756</v>
      </c>
      <c r="G1971" s="1" t="s">
        <v>8708</v>
      </c>
      <c r="H1971" s="1" t="s">
        <v>3604</v>
      </c>
      <c r="I1971" s="1" t="s">
        <v>8757</v>
      </c>
      <c r="J1971" s="1" t="s">
        <v>3606</v>
      </c>
      <c r="K1971" s="1" t="s">
        <v>8758</v>
      </c>
      <c r="L1971" s="1"/>
      <c r="M1971" s="1"/>
    </row>
    <row x14ac:dyDescent="0.25" r="1972" customHeight="1" ht="18.75">
      <c r="A1972" s="1" t="s">
        <v>3617</v>
      </c>
      <c r="B1972" s="1" t="s">
        <v>3980</v>
      </c>
      <c r="C1972" s="1" t="s">
        <v>3619</v>
      </c>
      <c r="D1972" s="1" t="s">
        <v>3601</v>
      </c>
      <c r="E1972" s="1" t="s">
        <v>3730</v>
      </c>
      <c r="F1972" s="1" t="s">
        <v>8759</v>
      </c>
      <c r="G1972" s="1" t="s">
        <v>8760</v>
      </c>
      <c r="H1972" s="1" t="s">
        <v>3604</v>
      </c>
      <c r="I1972" s="1" t="s">
        <v>8761</v>
      </c>
      <c r="J1972" s="1" t="s">
        <v>3606</v>
      </c>
      <c r="K1972" s="1" t="s">
        <v>8762</v>
      </c>
      <c r="L1972" s="1"/>
      <c r="M1972" s="1"/>
    </row>
    <row x14ac:dyDescent="0.25" r="1973" customHeight="1" ht="18.75">
      <c r="A1973" s="1" t="s">
        <v>7833</v>
      </c>
      <c r="B1973" s="1" t="s">
        <v>8694</v>
      </c>
      <c r="C1973" s="1" t="s">
        <v>4488</v>
      </c>
      <c r="D1973" s="1" t="s">
        <v>3601</v>
      </c>
      <c r="E1973" s="1" t="s">
        <v>8096</v>
      </c>
      <c r="F1973" s="1" t="s">
        <v>8763</v>
      </c>
      <c r="G1973" s="1" t="s">
        <v>8708</v>
      </c>
      <c r="H1973" s="1" t="s">
        <v>3604</v>
      </c>
      <c r="I1973" s="1" t="s">
        <v>8764</v>
      </c>
      <c r="J1973" s="1" t="s">
        <v>3606</v>
      </c>
      <c r="K1973" s="1" t="s">
        <v>8765</v>
      </c>
      <c r="L1973" s="1"/>
      <c r="M1973" s="1"/>
    </row>
    <row x14ac:dyDescent="0.25" r="1974" customHeight="1" ht="18.75">
      <c r="A1974" s="1" t="s">
        <v>3617</v>
      </c>
      <c r="B1974" s="1" t="s">
        <v>4589</v>
      </c>
      <c r="C1974" s="1" t="s">
        <v>3619</v>
      </c>
      <c r="D1974" s="1" t="s">
        <v>3601</v>
      </c>
      <c r="E1974" s="1" t="s">
        <v>3730</v>
      </c>
      <c r="F1974" s="1" t="s">
        <v>8766</v>
      </c>
      <c r="G1974" s="1" t="s">
        <v>8767</v>
      </c>
      <c r="H1974" s="1" t="s">
        <v>3604</v>
      </c>
      <c r="I1974" s="1" t="s">
        <v>8768</v>
      </c>
      <c r="J1974" s="1" t="s">
        <v>3606</v>
      </c>
      <c r="K1974" s="1" t="s">
        <v>8769</v>
      </c>
      <c r="L1974" s="1"/>
      <c r="M1974" s="1"/>
    </row>
    <row x14ac:dyDescent="0.25" r="1975" customHeight="1" ht="18.75">
      <c r="A1975" s="1" t="s">
        <v>3617</v>
      </c>
      <c r="B1975" s="1" t="s">
        <v>4589</v>
      </c>
      <c r="C1975" s="1" t="s">
        <v>3619</v>
      </c>
      <c r="D1975" s="1" t="s">
        <v>3601</v>
      </c>
      <c r="E1975" s="1" t="s">
        <v>3730</v>
      </c>
      <c r="F1975" s="1" t="s">
        <v>8770</v>
      </c>
      <c r="G1975" s="1" t="s">
        <v>8767</v>
      </c>
      <c r="H1975" s="1" t="s">
        <v>3604</v>
      </c>
      <c r="I1975" s="1" t="s">
        <v>8771</v>
      </c>
      <c r="J1975" s="1" t="s">
        <v>3606</v>
      </c>
      <c r="K1975" s="1" t="s">
        <v>8772</v>
      </c>
      <c r="L1975" s="1"/>
      <c r="M1975" s="1"/>
    </row>
    <row x14ac:dyDescent="0.25" r="1976" customHeight="1" ht="18.75">
      <c r="A1976" s="1" t="s">
        <v>3617</v>
      </c>
      <c r="B1976" s="1" t="s">
        <v>4589</v>
      </c>
      <c r="C1976" s="1" t="s">
        <v>3619</v>
      </c>
      <c r="D1976" s="1" t="s">
        <v>3601</v>
      </c>
      <c r="E1976" s="1" t="s">
        <v>3730</v>
      </c>
      <c r="F1976" s="1" t="s">
        <v>8773</v>
      </c>
      <c r="G1976" s="1" t="s">
        <v>8767</v>
      </c>
      <c r="H1976" s="1" t="s">
        <v>3604</v>
      </c>
      <c r="I1976" s="1" t="s">
        <v>8774</v>
      </c>
      <c r="J1976" s="1" t="s">
        <v>3606</v>
      </c>
      <c r="K1976" s="1" t="s">
        <v>8775</v>
      </c>
      <c r="L1976" s="1"/>
      <c r="M1976" s="1"/>
    </row>
    <row x14ac:dyDescent="0.25" r="1977" customHeight="1" ht="18.75">
      <c r="A1977" s="1" t="s">
        <v>3617</v>
      </c>
      <c r="B1977" s="1" t="s">
        <v>3980</v>
      </c>
      <c r="C1977" s="1" t="s">
        <v>3619</v>
      </c>
      <c r="D1977" s="1" t="s">
        <v>3601</v>
      </c>
      <c r="E1977" s="1" t="s">
        <v>3730</v>
      </c>
      <c r="F1977" s="1" t="s">
        <v>8776</v>
      </c>
      <c r="G1977" s="1" t="s">
        <v>8777</v>
      </c>
      <c r="H1977" s="1" t="s">
        <v>3604</v>
      </c>
      <c r="I1977" s="1" t="s">
        <v>8778</v>
      </c>
      <c r="J1977" s="1" t="s">
        <v>3606</v>
      </c>
      <c r="K1977" s="1" t="s">
        <v>8779</v>
      </c>
      <c r="L1977" s="1"/>
      <c r="M1977" s="1"/>
    </row>
    <row x14ac:dyDescent="0.25" r="1978" customHeight="1" ht="18.75">
      <c r="A1978" s="1" t="s">
        <v>3617</v>
      </c>
      <c r="B1978" s="1" t="s">
        <v>3980</v>
      </c>
      <c r="C1978" s="1" t="s">
        <v>3619</v>
      </c>
      <c r="D1978" s="1" t="s">
        <v>3601</v>
      </c>
      <c r="E1978" s="1" t="s">
        <v>3730</v>
      </c>
      <c r="F1978" s="1" t="s">
        <v>8780</v>
      </c>
      <c r="G1978" s="1" t="s">
        <v>8781</v>
      </c>
      <c r="H1978" s="1" t="s">
        <v>3604</v>
      </c>
      <c r="I1978" s="1" t="s">
        <v>8782</v>
      </c>
      <c r="J1978" s="1" t="s">
        <v>3606</v>
      </c>
      <c r="K1978" s="1" t="s">
        <v>8780</v>
      </c>
      <c r="L1978" s="1"/>
      <c r="M1978" s="1"/>
    </row>
    <row x14ac:dyDescent="0.25" r="1979" customHeight="1" ht="18.75">
      <c r="A1979" s="1" t="s">
        <v>3617</v>
      </c>
      <c r="B1979" s="1" t="s">
        <v>4589</v>
      </c>
      <c r="C1979" s="1" t="s">
        <v>3619</v>
      </c>
      <c r="D1979" s="1" t="s">
        <v>3601</v>
      </c>
      <c r="E1979" s="1" t="s">
        <v>3730</v>
      </c>
      <c r="F1979" s="1" t="s">
        <v>8783</v>
      </c>
      <c r="G1979" s="1" t="s">
        <v>4592</v>
      </c>
      <c r="H1979" s="1" t="s">
        <v>3604</v>
      </c>
      <c r="I1979" s="1" t="s">
        <v>8784</v>
      </c>
      <c r="J1979" s="1" t="s">
        <v>3606</v>
      </c>
      <c r="K1979" s="1" t="s">
        <v>8785</v>
      </c>
      <c r="L1979" s="1"/>
      <c r="M1979" s="1"/>
    </row>
    <row x14ac:dyDescent="0.25" r="1980" customHeight="1" ht="18.75">
      <c r="A1980" s="1" t="s">
        <v>3617</v>
      </c>
      <c r="B1980" s="1" t="s">
        <v>3980</v>
      </c>
      <c r="C1980" s="1" t="s">
        <v>3619</v>
      </c>
      <c r="D1980" s="1" t="s">
        <v>3601</v>
      </c>
      <c r="E1980" s="1" t="s">
        <v>3730</v>
      </c>
      <c r="F1980" s="1" t="s">
        <v>8786</v>
      </c>
      <c r="G1980" s="1" t="s">
        <v>8787</v>
      </c>
      <c r="H1980" s="1" t="s">
        <v>3604</v>
      </c>
      <c r="I1980" s="1" t="s">
        <v>8788</v>
      </c>
      <c r="J1980" s="1" t="s">
        <v>3606</v>
      </c>
      <c r="K1980" s="1" t="s">
        <v>8786</v>
      </c>
      <c r="L1980" s="1"/>
      <c r="M1980" s="1"/>
    </row>
    <row x14ac:dyDescent="0.25" r="1981" customHeight="1" ht="18.75">
      <c r="A1981" s="1" t="s">
        <v>3617</v>
      </c>
      <c r="B1981" s="1" t="s">
        <v>4589</v>
      </c>
      <c r="C1981" s="1" t="s">
        <v>3619</v>
      </c>
      <c r="D1981" s="1" t="s">
        <v>3601</v>
      </c>
      <c r="E1981" s="1" t="s">
        <v>3730</v>
      </c>
      <c r="F1981" s="1" t="s">
        <v>8789</v>
      </c>
      <c r="G1981" s="1" t="s">
        <v>4592</v>
      </c>
      <c r="H1981" s="1" t="s">
        <v>3604</v>
      </c>
      <c r="I1981" s="1" t="s">
        <v>8790</v>
      </c>
      <c r="J1981" s="1" t="s">
        <v>3606</v>
      </c>
      <c r="K1981" s="1" t="s">
        <v>8791</v>
      </c>
      <c r="L1981" s="1"/>
      <c r="M1981" s="1"/>
    </row>
    <row x14ac:dyDescent="0.25" r="1982" customHeight="1" ht="18.75">
      <c r="A1982" s="1" t="s">
        <v>3617</v>
      </c>
      <c r="B1982" s="1" t="s">
        <v>3980</v>
      </c>
      <c r="C1982" s="1" t="s">
        <v>3619</v>
      </c>
      <c r="D1982" s="1" t="s">
        <v>3601</v>
      </c>
      <c r="E1982" s="1" t="s">
        <v>3730</v>
      </c>
      <c r="F1982" s="1" t="s">
        <v>8792</v>
      </c>
      <c r="G1982" s="1" t="s">
        <v>8793</v>
      </c>
      <c r="H1982" s="1" t="s">
        <v>3604</v>
      </c>
      <c r="I1982" s="1" t="s">
        <v>8794</v>
      </c>
      <c r="J1982" s="1" t="s">
        <v>3606</v>
      </c>
      <c r="K1982" s="1" t="s">
        <v>8792</v>
      </c>
      <c r="L1982" s="1"/>
      <c r="M1982" s="1"/>
    </row>
    <row x14ac:dyDescent="0.25" r="1983" customHeight="1" ht="18.75">
      <c r="A1983" s="1" t="s">
        <v>3617</v>
      </c>
      <c r="B1983" s="1" t="s">
        <v>3980</v>
      </c>
      <c r="C1983" s="1" t="s">
        <v>3619</v>
      </c>
      <c r="D1983" s="1" t="s">
        <v>3601</v>
      </c>
      <c r="E1983" s="1" t="s">
        <v>3730</v>
      </c>
      <c r="F1983" s="1" t="s">
        <v>8795</v>
      </c>
      <c r="G1983" s="1" t="s">
        <v>8796</v>
      </c>
      <c r="H1983" s="1" t="s">
        <v>3604</v>
      </c>
      <c r="I1983" s="1" t="s">
        <v>8797</v>
      </c>
      <c r="J1983" s="1" t="s">
        <v>3606</v>
      </c>
      <c r="K1983" s="1" t="s">
        <v>8798</v>
      </c>
      <c r="L1983" s="1"/>
      <c r="M1983" s="1"/>
    </row>
    <row x14ac:dyDescent="0.25" r="1984" customHeight="1" ht="18.75">
      <c r="A1984" s="1" t="s">
        <v>3617</v>
      </c>
      <c r="B1984" s="1" t="s">
        <v>3980</v>
      </c>
      <c r="C1984" s="1" t="s">
        <v>3619</v>
      </c>
      <c r="D1984" s="1" t="s">
        <v>3601</v>
      </c>
      <c r="E1984" s="1" t="s">
        <v>3730</v>
      </c>
      <c r="F1984" s="1" t="s">
        <v>8799</v>
      </c>
      <c r="G1984" s="1" t="s">
        <v>8800</v>
      </c>
      <c r="H1984" s="1" t="s">
        <v>3604</v>
      </c>
      <c r="I1984" s="1" t="s">
        <v>8801</v>
      </c>
      <c r="J1984" s="1" t="s">
        <v>3606</v>
      </c>
      <c r="K1984" s="1" t="s">
        <v>8802</v>
      </c>
      <c r="L1984" s="1"/>
      <c r="M1984" s="1"/>
    </row>
    <row x14ac:dyDescent="0.25" r="1985" customHeight="1" ht="18.75">
      <c r="A1985" s="1" t="s">
        <v>3617</v>
      </c>
      <c r="B1985" s="1" t="s">
        <v>3980</v>
      </c>
      <c r="C1985" s="1" t="s">
        <v>3619</v>
      </c>
      <c r="D1985" s="1" t="s">
        <v>3601</v>
      </c>
      <c r="E1985" s="1" t="s">
        <v>3730</v>
      </c>
      <c r="F1985" s="1" t="s">
        <v>8803</v>
      </c>
      <c r="G1985" s="1" t="s">
        <v>8804</v>
      </c>
      <c r="H1985" s="1" t="s">
        <v>3604</v>
      </c>
      <c r="I1985" s="1" t="s">
        <v>8805</v>
      </c>
      <c r="J1985" s="1" t="s">
        <v>3606</v>
      </c>
      <c r="K1985" s="1" t="s">
        <v>8806</v>
      </c>
      <c r="L1985" s="1"/>
      <c r="M1985" s="1"/>
    </row>
    <row x14ac:dyDescent="0.25" r="1986" customHeight="1" ht="18.75">
      <c r="A1986" s="1" t="s">
        <v>3617</v>
      </c>
      <c r="B1986" s="1" t="s">
        <v>3980</v>
      </c>
      <c r="C1986" s="1" t="s">
        <v>3619</v>
      </c>
      <c r="D1986" s="1" t="s">
        <v>3601</v>
      </c>
      <c r="E1986" s="1" t="s">
        <v>3730</v>
      </c>
      <c r="F1986" s="1" t="s">
        <v>8807</v>
      </c>
      <c r="G1986" s="1" t="s">
        <v>8808</v>
      </c>
      <c r="H1986" s="1" t="s">
        <v>3604</v>
      </c>
      <c r="I1986" s="1" t="s">
        <v>8809</v>
      </c>
      <c r="J1986" s="1" t="s">
        <v>3606</v>
      </c>
      <c r="K1986" s="1" t="s">
        <v>8810</v>
      </c>
      <c r="L1986" s="1"/>
      <c r="M1986" s="1"/>
    </row>
    <row x14ac:dyDescent="0.25" r="1987" customHeight="1" ht="18.75">
      <c r="A1987" s="1" t="s">
        <v>3617</v>
      </c>
      <c r="B1987" s="1" t="s">
        <v>4589</v>
      </c>
      <c r="C1987" s="1" t="s">
        <v>3619</v>
      </c>
      <c r="D1987" s="1" t="s">
        <v>3601</v>
      </c>
      <c r="E1987" s="1" t="s">
        <v>3730</v>
      </c>
      <c r="F1987" s="1" t="s">
        <v>8811</v>
      </c>
      <c r="G1987" s="1" t="s">
        <v>4594</v>
      </c>
      <c r="H1987" s="1" t="s">
        <v>3604</v>
      </c>
      <c r="I1987" s="1" t="s">
        <v>8812</v>
      </c>
      <c r="J1987" s="1" t="s">
        <v>3606</v>
      </c>
      <c r="K1987" s="1" t="s">
        <v>8813</v>
      </c>
      <c r="L1987" s="1"/>
      <c r="M1987" s="1"/>
    </row>
    <row x14ac:dyDescent="0.25" r="1988" customHeight="1" ht="18.75">
      <c r="A1988" s="1" t="s">
        <v>3617</v>
      </c>
      <c r="B1988" s="1" t="s">
        <v>4589</v>
      </c>
      <c r="C1988" s="1" t="s">
        <v>3619</v>
      </c>
      <c r="D1988" s="1" t="s">
        <v>3601</v>
      </c>
      <c r="E1988" s="1" t="s">
        <v>3730</v>
      </c>
      <c r="F1988" s="1" t="s">
        <v>8814</v>
      </c>
      <c r="G1988" s="1" t="s">
        <v>4594</v>
      </c>
      <c r="H1988" s="1" t="s">
        <v>3604</v>
      </c>
      <c r="I1988" s="1" t="s">
        <v>8815</v>
      </c>
      <c r="J1988" s="1" t="s">
        <v>3606</v>
      </c>
      <c r="K1988" s="1" t="s">
        <v>8816</v>
      </c>
      <c r="L1988" s="1"/>
      <c r="M1988" s="1"/>
    </row>
    <row x14ac:dyDescent="0.25" r="1989" customHeight="1" ht="18.75">
      <c r="A1989" s="1" t="s">
        <v>3598</v>
      </c>
      <c r="B1989" s="1" t="s">
        <v>5260</v>
      </c>
      <c r="C1989" s="1" t="s">
        <v>3600</v>
      </c>
      <c r="D1989" s="1" t="s">
        <v>3601</v>
      </c>
      <c r="E1989" s="1" t="s">
        <v>3893</v>
      </c>
      <c r="F1989" s="1" t="s">
        <v>8817</v>
      </c>
      <c r="G1989" s="1" t="s">
        <v>8818</v>
      </c>
      <c r="H1989" s="1" t="s">
        <v>3604</v>
      </c>
      <c r="I1989" s="1" t="s">
        <v>8819</v>
      </c>
      <c r="J1989" s="1" t="s">
        <v>3606</v>
      </c>
      <c r="K1989" s="1" t="s">
        <v>8820</v>
      </c>
      <c r="L1989" s="1"/>
      <c r="M1989" s="1"/>
    </row>
    <row x14ac:dyDescent="0.25" r="1990" customHeight="1" ht="18.75">
      <c r="A1990" s="1" t="s">
        <v>7833</v>
      </c>
      <c r="B1990" s="1" t="s">
        <v>8694</v>
      </c>
      <c r="C1990" s="1" t="s">
        <v>4488</v>
      </c>
      <c r="D1990" s="1" t="s">
        <v>3601</v>
      </c>
      <c r="E1990" s="1" t="s">
        <v>8096</v>
      </c>
      <c r="F1990" s="1" t="s">
        <v>8821</v>
      </c>
      <c r="G1990" s="1" t="s">
        <v>8708</v>
      </c>
      <c r="H1990" s="1" t="s">
        <v>3604</v>
      </c>
      <c r="I1990" s="1" t="s">
        <v>8822</v>
      </c>
      <c r="J1990" s="1" t="s">
        <v>3606</v>
      </c>
      <c r="K1990" s="1" t="s">
        <v>8823</v>
      </c>
      <c r="L1990" s="1"/>
      <c r="M1990" s="1"/>
    </row>
    <row x14ac:dyDescent="0.25" r="1991" customHeight="1" ht="18.75">
      <c r="A1991" s="1" t="s">
        <v>3617</v>
      </c>
      <c r="B1991" s="1" t="s">
        <v>3898</v>
      </c>
      <c r="C1991" s="1" t="s">
        <v>3619</v>
      </c>
      <c r="D1991" s="1" t="s">
        <v>3601</v>
      </c>
      <c r="E1991" s="1" t="s">
        <v>3893</v>
      </c>
      <c r="F1991" s="1" t="s">
        <v>8824</v>
      </c>
      <c r="G1991" s="1" t="s">
        <v>8825</v>
      </c>
      <c r="H1991" s="1" t="s">
        <v>3604</v>
      </c>
      <c r="I1991" s="1" t="s">
        <v>8826</v>
      </c>
      <c r="J1991" s="1" t="s">
        <v>3606</v>
      </c>
      <c r="K1991" s="1" t="s">
        <v>8827</v>
      </c>
      <c r="L1991" s="1"/>
      <c r="M1991" s="1"/>
    </row>
    <row x14ac:dyDescent="0.25" r="1992" customHeight="1" ht="18.75">
      <c r="A1992" s="1" t="s">
        <v>7833</v>
      </c>
      <c r="B1992" s="1" t="s">
        <v>8828</v>
      </c>
      <c r="C1992" s="1" t="s">
        <v>4488</v>
      </c>
      <c r="D1992" s="1" t="s">
        <v>3601</v>
      </c>
      <c r="E1992" s="1" t="s">
        <v>8096</v>
      </c>
      <c r="F1992" s="1" t="s">
        <v>8829</v>
      </c>
      <c r="G1992" s="1" t="s">
        <v>8830</v>
      </c>
      <c r="H1992" s="1" t="s">
        <v>3604</v>
      </c>
      <c r="I1992" s="1" t="s">
        <v>8831</v>
      </c>
      <c r="J1992" s="1" t="s">
        <v>3606</v>
      </c>
      <c r="K1992" s="1" t="s">
        <v>8832</v>
      </c>
      <c r="L1992" s="1"/>
      <c r="M1992" s="1"/>
    </row>
    <row x14ac:dyDescent="0.25" r="1993" customHeight="1" ht="18.75">
      <c r="A1993" s="1" t="s">
        <v>3617</v>
      </c>
      <c r="B1993" s="1" t="s">
        <v>3898</v>
      </c>
      <c r="C1993" s="1" t="s">
        <v>3619</v>
      </c>
      <c r="D1993" s="1" t="s">
        <v>3601</v>
      </c>
      <c r="E1993" s="1" t="s">
        <v>3893</v>
      </c>
      <c r="F1993" s="1" t="s">
        <v>8833</v>
      </c>
      <c r="G1993" s="1" t="s">
        <v>8825</v>
      </c>
      <c r="H1993" s="1" t="s">
        <v>3604</v>
      </c>
      <c r="I1993" s="1" t="s">
        <v>8834</v>
      </c>
      <c r="J1993" s="1" t="s">
        <v>3606</v>
      </c>
      <c r="K1993" s="1" t="s">
        <v>8835</v>
      </c>
      <c r="L1993" s="1"/>
      <c r="M1993" s="1"/>
    </row>
    <row x14ac:dyDescent="0.25" r="1994" customHeight="1" ht="18.75">
      <c r="A1994" s="1" t="s">
        <v>3617</v>
      </c>
      <c r="B1994" s="1" t="s">
        <v>3898</v>
      </c>
      <c r="C1994" s="1" t="s">
        <v>3619</v>
      </c>
      <c r="D1994" s="1" t="s">
        <v>3601</v>
      </c>
      <c r="E1994" s="1" t="s">
        <v>3893</v>
      </c>
      <c r="F1994" s="1" t="s">
        <v>8836</v>
      </c>
      <c r="G1994" s="1" t="s">
        <v>8825</v>
      </c>
      <c r="H1994" s="1" t="s">
        <v>3604</v>
      </c>
      <c r="I1994" s="1" t="s">
        <v>8837</v>
      </c>
      <c r="J1994" s="1" t="s">
        <v>3606</v>
      </c>
      <c r="K1994" s="1" t="s">
        <v>8838</v>
      </c>
      <c r="L1994" s="1"/>
      <c r="M1994" s="1"/>
    </row>
    <row x14ac:dyDescent="0.25" r="1995" customHeight="1" ht="18.75">
      <c r="A1995" s="1" t="s">
        <v>7833</v>
      </c>
      <c r="B1995" s="1" t="s">
        <v>8828</v>
      </c>
      <c r="C1995" s="1" t="s">
        <v>4488</v>
      </c>
      <c r="D1995" s="1" t="s">
        <v>3601</v>
      </c>
      <c r="E1995" s="1" t="s">
        <v>8096</v>
      </c>
      <c r="F1995" s="1" t="s">
        <v>8839</v>
      </c>
      <c r="G1995" s="1" t="s">
        <v>8840</v>
      </c>
      <c r="H1995" s="1" t="s">
        <v>3604</v>
      </c>
      <c r="I1995" s="1" t="s">
        <v>8841</v>
      </c>
      <c r="J1995" s="1" t="s">
        <v>3606</v>
      </c>
      <c r="K1995" s="1" t="s">
        <v>8842</v>
      </c>
      <c r="L1995" s="1"/>
      <c r="M1995" s="1"/>
    </row>
    <row x14ac:dyDescent="0.25" r="1996" customHeight="1" ht="18.75">
      <c r="A1996" s="1" t="s">
        <v>7833</v>
      </c>
      <c r="B1996" s="1" t="s">
        <v>8828</v>
      </c>
      <c r="C1996" s="1" t="s">
        <v>4488</v>
      </c>
      <c r="D1996" s="1" t="s">
        <v>3601</v>
      </c>
      <c r="E1996" s="1" t="s">
        <v>8096</v>
      </c>
      <c r="F1996" s="1" t="s">
        <v>8843</v>
      </c>
      <c r="G1996" s="1" t="s">
        <v>8844</v>
      </c>
      <c r="H1996" s="1" t="s">
        <v>3604</v>
      </c>
      <c r="I1996" s="1" t="s">
        <v>8845</v>
      </c>
      <c r="J1996" s="1" t="s">
        <v>3606</v>
      </c>
      <c r="K1996" s="1" t="s">
        <v>8846</v>
      </c>
      <c r="L1996" s="1"/>
      <c r="M1996" s="1"/>
    </row>
    <row x14ac:dyDescent="0.25" r="1997" customHeight="1" ht="18.75">
      <c r="A1997" s="1" t="s">
        <v>3617</v>
      </c>
      <c r="B1997" s="1" t="s">
        <v>3898</v>
      </c>
      <c r="C1997" s="1" t="s">
        <v>3619</v>
      </c>
      <c r="D1997" s="1" t="s">
        <v>3601</v>
      </c>
      <c r="E1997" s="1" t="s">
        <v>3893</v>
      </c>
      <c r="F1997" s="1" t="s">
        <v>8847</v>
      </c>
      <c r="G1997" s="1" t="s">
        <v>8848</v>
      </c>
      <c r="H1997" s="1" t="s">
        <v>3604</v>
      </c>
      <c r="I1997" s="1" t="s">
        <v>8849</v>
      </c>
      <c r="J1997" s="1" t="s">
        <v>3606</v>
      </c>
      <c r="K1997" s="1" t="s">
        <v>8850</v>
      </c>
      <c r="L1997" s="1"/>
      <c r="M1997" s="1"/>
    </row>
    <row x14ac:dyDescent="0.25" r="1998" customHeight="1" ht="18.75">
      <c r="A1998" s="1" t="s">
        <v>7833</v>
      </c>
      <c r="B1998" s="1" t="s">
        <v>8828</v>
      </c>
      <c r="C1998" s="1" t="s">
        <v>4488</v>
      </c>
      <c r="D1998" s="1" t="s">
        <v>3601</v>
      </c>
      <c r="E1998" s="1" t="s">
        <v>8096</v>
      </c>
      <c r="F1998" s="1" t="s">
        <v>8851</v>
      </c>
      <c r="G1998" s="1" t="s">
        <v>8852</v>
      </c>
      <c r="H1998" s="1" t="s">
        <v>3604</v>
      </c>
      <c r="I1998" s="1" t="s">
        <v>8853</v>
      </c>
      <c r="J1998" s="1" t="s">
        <v>3606</v>
      </c>
      <c r="K1998" s="1" t="s">
        <v>8854</v>
      </c>
      <c r="L1998" s="1"/>
      <c r="M1998" s="1"/>
    </row>
    <row x14ac:dyDescent="0.25" r="1999" customHeight="1" ht="18.75">
      <c r="A1999" s="1" t="s">
        <v>7833</v>
      </c>
      <c r="B1999" s="1" t="s">
        <v>8828</v>
      </c>
      <c r="C1999" s="1" t="s">
        <v>4488</v>
      </c>
      <c r="D1999" s="1" t="s">
        <v>3601</v>
      </c>
      <c r="E1999" s="1" t="s">
        <v>8096</v>
      </c>
      <c r="F1999" s="1" t="s">
        <v>8855</v>
      </c>
      <c r="G1999" s="1" t="s">
        <v>8856</v>
      </c>
      <c r="H1999" s="1" t="s">
        <v>3604</v>
      </c>
      <c r="I1999" s="1" t="s">
        <v>8857</v>
      </c>
      <c r="J1999" s="1" t="s">
        <v>3606</v>
      </c>
      <c r="K1999" s="1" t="s">
        <v>8858</v>
      </c>
      <c r="L1999" s="1"/>
      <c r="M1999" s="1"/>
    </row>
    <row x14ac:dyDescent="0.25" r="2000" customHeight="1" ht="18.75">
      <c r="A2000" s="1" t="s">
        <v>3617</v>
      </c>
      <c r="B2000" s="1" t="s">
        <v>3898</v>
      </c>
      <c r="C2000" s="1" t="s">
        <v>3619</v>
      </c>
      <c r="D2000" s="1" t="s">
        <v>3601</v>
      </c>
      <c r="E2000" s="1" t="s">
        <v>3893</v>
      </c>
      <c r="F2000" s="1" t="s">
        <v>8859</v>
      </c>
      <c r="G2000" s="1" t="s">
        <v>8848</v>
      </c>
      <c r="H2000" s="1" t="s">
        <v>3604</v>
      </c>
      <c r="I2000" s="1" t="s">
        <v>8860</v>
      </c>
      <c r="J2000" s="1" t="s">
        <v>3606</v>
      </c>
      <c r="K2000" s="1" t="s">
        <v>8861</v>
      </c>
      <c r="L2000" s="1"/>
      <c r="M2000" s="1"/>
    </row>
    <row x14ac:dyDescent="0.25" r="2001" customHeight="1" ht="18.75">
      <c r="A2001" s="1" t="s">
        <v>7833</v>
      </c>
      <c r="B2001" s="1" t="s">
        <v>8828</v>
      </c>
      <c r="C2001" s="1" t="s">
        <v>4488</v>
      </c>
      <c r="D2001" s="1" t="s">
        <v>3601</v>
      </c>
      <c r="E2001" s="1" t="s">
        <v>8096</v>
      </c>
      <c r="F2001" s="1" t="s">
        <v>8862</v>
      </c>
      <c r="G2001" s="1" t="s">
        <v>8863</v>
      </c>
      <c r="H2001" s="1" t="s">
        <v>3604</v>
      </c>
      <c r="I2001" s="1" t="s">
        <v>8864</v>
      </c>
      <c r="J2001" s="1" t="s">
        <v>3606</v>
      </c>
      <c r="K2001" s="1" t="s">
        <v>8865</v>
      </c>
      <c r="L2001" s="1"/>
      <c r="M2001" s="1"/>
    </row>
    <row x14ac:dyDescent="0.25" r="2002" customHeight="1" ht="18.75">
      <c r="A2002" s="1" t="s">
        <v>7833</v>
      </c>
      <c r="B2002" s="1" t="s">
        <v>8095</v>
      </c>
      <c r="C2002" s="1" t="s">
        <v>4488</v>
      </c>
      <c r="D2002" s="1" t="s">
        <v>3601</v>
      </c>
      <c r="E2002" s="1" t="s">
        <v>8096</v>
      </c>
      <c r="F2002" s="1" t="s">
        <v>8866</v>
      </c>
      <c r="G2002" s="1" t="s">
        <v>8867</v>
      </c>
      <c r="H2002" s="1" t="s">
        <v>3604</v>
      </c>
      <c r="I2002" s="1" t="s">
        <v>8868</v>
      </c>
      <c r="J2002" s="1" t="s">
        <v>3606</v>
      </c>
      <c r="K2002" s="1" t="s">
        <v>8869</v>
      </c>
      <c r="L2002" s="1"/>
      <c r="M2002" s="1"/>
    </row>
    <row x14ac:dyDescent="0.25" r="2003" customHeight="1" ht="18.75">
      <c r="A2003" s="1" t="s">
        <v>3617</v>
      </c>
      <c r="B2003" s="1" t="s">
        <v>8870</v>
      </c>
      <c r="C2003" s="1" t="s">
        <v>3600</v>
      </c>
      <c r="D2003" s="1" t="s">
        <v>3601</v>
      </c>
      <c r="E2003" s="1" t="s">
        <v>3893</v>
      </c>
      <c r="F2003" s="1" t="s">
        <v>8871</v>
      </c>
      <c r="G2003" s="1" t="s">
        <v>8825</v>
      </c>
      <c r="H2003" s="1" t="s">
        <v>3604</v>
      </c>
      <c r="I2003" s="1" t="s">
        <v>8872</v>
      </c>
      <c r="J2003" s="1" t="s">
        <v>3606</v>
      </c>
      <c r="K2003" s="1" t="s">
        <v>8827</v>
      </c>
      <c r="L2003" s="1"/>
      <c r="M2003" s="1"/>
    </row>
    <row x14ac:dyDescent="0.25" r="2004" customHeight="1" ht="18.75">
      <c r="A2004" s="1" t="s">
        <v>3617</v>
      </c>
      <c r="B2004" s="1" t="s">
        <v>8870</v>
      </c>
      <c r="C2004" s="1" t="s">
        <v>3600</v>
      </c>
      <c r="D2004" s="1" t="s">
        <v>3601</v>
      </c>
      <c r="E2004" s="1" t="s">
        <v>3893</v>
      </c>
      <c r="F2004" s="1" t="s">
        <v>8873</v>
      </c>
      <c r="G2004" s="1" t="s">
        <v>8825</v>
      </c>
      <c r="H2004" s="1" t="s">
        <v>3604</v>
      </c>
      <c r="I2004" s="1" t="s">
        <v>8874</v>
      </c>
      <c r="J2004" s="1" t="s">
        <v>3606</v>
      </c>
      <c r="K2004" s="1" t="s">
        <v>8835</v>
      </c>
      <c r="L2004" s="1"/>
      <c r="M2004" s="1"/>
    </row>
    <row x14ac:dyDescent="0.25" r="2005" customHeight="1" ht="18.75">
      <c r="A2005" s="1" t="s">
        <v>3598</v>
      </c>
      <c r="B2005" s="1" t="s">
        <v>5260</v>
      </c>
      <c r="C2005" s="1" t="s">
        <v>3600</v>
      </c>
      <c r="D2005" s="1" t="s">
        <v>3601</v>
      </c>
      <c r="E2005" s="1" t="s">
        <v>3893</v>
      </c>
      <c r="F2005" s="1" t="s">
        <v>8875</v>
      </c>
      <c r="G2005" s="1" t="s">
        <v>8818</v>
      </c>
      <c r="H2005" s="1" t="s">
        <v>3604</v>
      </c>
      <c r="I2005" s="1" t="s">
        <v>8876</v>
      </c>
      <c r="J2005" s="1" t="s">
        <v>3606</v>
      </c>
      <c r="K2005" s="1" t="s">
        <v>8877</v>
      </c>
      <c r="L2005" s="1"/>
      <c r="M2005" s="1"/>
    </row>
    <row x14ac:dyDescent="0.25" r="2006" customHeight="1" ht="18.75">
      <c r="A2006" s="1" t="s">
        <v>3598</v>
      </c>
      <c r="B2006" s="1" t="s">
        <v>5260</v>
      </c>
      <c r="C2006" s="1" t="s">
        <v>3600</v>
      </c>
      <c r="D2006" s="1" t="s">
        <v>3601</v>
      </c>
      <c r="E2006" s="1" t="s">
        <v>3893</v>
      </c>
      <c r="F2006" s="1" t="s">
        <v>8878</v>
      </c>
      <c r="G2006" s="1" t="s">
        <v>8879</v>
      </c>
      <c r="H2006" s="1" t="s">
        <v>3604</v>
      </c>
      <c r="I2006" s="1" t="s">
        <v>8880</v>
      </c>
      <c r="J2006" s="1" t="s">
        <v>3606</v>
      </c>
      <c r="K2006" s="1" t="s">
        <v>8881</v>
      </c>
      <c r="L2006" s="1"/>
      <c r="M2006" s="1"/>
    </row>
    <row x14ac:dyDescent="0.25" r="2007" customHeight="1" ht="18.75">
      <c r="A2007" s="1" t="s">
        <v>3598</v>
      </c>
      <c r="B2007" s="1" t="s">
        <v>5260</v>
      </c>
      <c r="C2007" s="1" t="s">
        <v>3600</v>
      </c>
      <c r="D2007" s="1" t="s">
        <v>3601</v>
      </c>
      <c r="E2007" s="1" t="s">
        <v>3893</v>
      </c>
      <c r="F2007" s="1" t="s">
        <v>8882</v>
      </c>
      <c r="G2007" s="1" t="s">
        <v>8883</v>
      </c>
      <c r="H2007" s="1" t="s">
        <v>3604</v>
      </c>
      <c r="I2007" s="1" t="s">
        <v>8884</v>
      </c>
      <c r="J2007" s="1" t="s">
        <v>3606</v>
      </c>
      <c r="K2007" s="1" t="s">
        <v>8885</v>
      </c>
      <c r="L2007" s="1"/>
      <c r="M2007" s="1"/>
    </row>
    <row x14ac:dyDescent="0.25" r="2008" customHeight="1" ht="18.75">
      <c r="A2008" s="1" t="s">
        <v>3598</v>
      </c>
      <c r="B2008" s="1" t="s">
        <v>5260</v>
      </c>
      <c r="C2008" s="1" t="s">
        <v>3600</v>
      </c>
      <c r="D2008" s="1" t="s">
        <v>3601</v>
      </c>
      <c r="E2008" s="1" t="s">
        <v>3611</v>
      </c>
      <c r="F2008" s="1" t="s">
        <v>8886</v>
      </c>
      <c r="G2008" s="1" t="s">
        <v>8887</v>
      </c>
      <c r="H2008" s="1" t="s">
        <v>3604</v>
      </c>
      <c r="I2008" s="1" t="s">
        <v>8888</v>
      </c>
      <c r="J2008" s="1" t="s">
        <v>3606</v>
      </c>
      <c r="K2008" s="1" t="s">
        <v>8877</v>
      </c>
      <c r="L2008" s="1"/>
      <c r="M2008" s="1"/>
    </row>
    <row x14ac:dyDescent="0.25" r="2009" customHeight="1" ht="18.75">
      <c r="A2009" s="1" t="s">
        <v>3598</v>
      </c>
      <c r="B2009" s="1" t="s">
        <v>5260</v>
      </c>
      <c r="C2009" s="1" t="s">
        <v>3600</v>
      </c>
      <c r="D2009" s="1" t="s">
        <v>3601</v>
      </c>
      <c r="E2009" s="1" t="s">
        <v>3611</v>
      </c>
      <c r="F2009" s="1" t="s">
        <v>8889</v>
      </c>
      <c r="G2009" s="1" t="s">
        <v>8887</v>
      </c>
      <c r="H2009" s="1" t="s">
        <v>3604</v>
      </c>
      <c r="I2009" s="1" t="s">
        <v>8890</v>
      </c>
      <c r="J2009" s="1" t="s">
        <v>3606</v>
      </c>
      <c r="K2009" s="1" t="s">
        <v>8891</v>
      </c>
      <c r="L2009" s="1"/>
      <c r="M2009" s="1"/>
    </row>
    <row x14ac:dyDescent="0.25" r="2010" customHeight="1" ht="18.75">
      <c r="A2010" s="1" t="s">
        <v>3598</v>
      </c>
      <c r="B2010" s="1" t="s">
        <v>5260</v>
      </c>
      <c r="C2010" s="1" t="s">
        <v>3600</v>
      </c>
      <c r="D2010" s="1" t="s">
        <v>3601</v>
      </c>
      <c r="E2010" s="1" t="s">
        <v>3611</v>
      </c>
      <c r="F2010" s="1" t="s">
        <v>8892</v>
      </c>
      <c r="G2010" s="1" t="s">
        <v>8893</v>
      </c>
      <c r="H2010" s="1" t="s">
        <v>3604</v>
      </c>
      <c r="I2010" s="1" t="s">
        <v>8894</v>
      </c>
      <c r="J2010" s="1" t="s">
        <v>3606</v>
      </c>
      <c r="K2010" s="1" t="s">
        <v>8895</v>
      </c>
      <c r="L2010" s="1"/>
      <c r="M2010" s="1"/>
    </row>
    <row x14ac:dyDescent="0.25" r="2011" customHeight="1" ht="18.75">
      <c r="A2011" s="1" t="s">
        <v>3598</v>
      </c>
      <c r="B2011" s="1" t="s">
        <v>5260</v>
      </c>
      <c r="C2011" s="1" t="s">
        <v>3600</v>
      </c>
      <c r="D2011" s="1" t="s">
        <v>3601</v>
      </c>
      <c r="E2011" s="1" t="s">
        <v>3611</v>
      </c>
      <c r="F2011" s="1" t="s">
        <v>8896</v>
      </c>
      <c r="G2011" s="1" t="s">
        <v>8887</v>
      </c>
      <c r="H2011" s="1" t="s">
        <v>3604</v>
      </c>
      <c r="I2011" s="1" t="s">
        <v>8897</v>
      </c>
      <c r="J2011" s="1" t="s">
        <v>3606</v>
      </c>
      <c r="K2011" s="1" t="s">
        <v>8877</v>
      </c>
      <c r="L2011" s="1"/>
      <c r="M2011" s="1"/>
    </row>
    <row x14ac:dyDescent="0.25" r="2012" customHeight="1" ht="18.75">
      <c r="A2012" s="1" t="s">
        <v>3598</v>
      </c>
      <c r="B2012" s="1" t="s">
        <v>5260</v>
      </c>
      <c r="C2012" s="1" t="s">
        <v>3600</v>
      </c>
      <c r="D2012" s="1" t="s">
        <v>3601</v>
      </c>
      <c r="E2012" s="1" t="s">
        <v>3611</v>
      </c>
      <c r="F2012" s="1" t="s">
        <v>8898</v>
      </c>
      <c r="G2012" s="1" t="s">
        <v>8893</v>
      </c>
      <c r="H2012" s="1" t="s">
        <v>3604</v>
      </c>
      <c r="I2012" s="1" t="s">
        <v>8899</v>
      </c>
      <c r="J2012" s="1" t="s">
        <v>3606</v>
      </c>
      <c r="K2012" s="1" t="s">
        <v>8900</v>
      </c>
      <c r="L2012" s="1"/>
      <c r="M2012" s="1"/>
    </row>
    <row x14ac:dyDescent="0.25" r="2013" customHeight="1" ht="18.75">
      <c r="A2013" s="1" t="s">
        <v>3598</v>
      </c>
      <c r="B2013" s="1" t="s">
        <v>5260</v>
      </c>
      <c r="C2013" s="1" t="s">
        <v>3600</v>
      </c>
      <c r="D2013" s="1" t="s">
        <v>3601</v>
      </c>
      <c r="E2013" s="1" t="s">
        <v>3893</v>
      </c>
      <c r="F2013" s="1" t="s">
        <v>8901</v>
      </c>
      <c r="G2013" s="1" t="s">
        <v>8818</v>
      </c>
      <c r="H2013" s="1" t="s">
        <v>3604</v>
      </c>
      <c r="I2013" s="1" t="s">
        <v>8902</v>
      </c>
      <c r="J2013" s="1" t="s">
        <v>3606</v>
      </c>
      <c r="K2013" s="1" t="s">
        <v>8877</v>
      </c>
      <c r="L2013" s="1"/>
      <c r="M2013" s="1"/>
    </row>
    <row x14ac:dyDescent="0.25" r="2014" customHeight="1" ht="18.75">
      <c r="A2014" s="1" t="s">
        <v>3598</v>
      </c>
      <c r="B2014" s="1" t="s">
        <v>5260</v>
      </c>
      <c r="C2014" s="1" t="s">
        <v>3600</v>
      </c>
      <c r="D2014" s="1" t="s">
        <v>3601</v>
      </c>
      <c r="E2014" s="1" t="s">
        <v>3611</v>
      </c>
      <c r="F2014" s="1" t="s">
        <v>8903</v>
      </c>
      <c r="G2014" s="1" t="s">
        <v>8893</v>
      </c>
      <c r="H2014" s="1" t="s">
        <v>3604</v>
      </c>
      <c r="I2014" s="1" t="s">
        <v>8904</v>
      </c>
      <c r="J2014" s="1" t="s">
        <v>3606</v>
      </c>
      <c r="K2014" s="1" t="s">
        <v>8820</v>
      </c>
      <c r="L2014" s="1"/>
      <c r="M2014" s="1"/>
    </row>
    <row x14ac:dyDescent="0.25" r="2015" customHeight="1" ht="18.75">
      <c r="A2015" s="1" t="s">
        <v>3598</v>
      </c>
      <c r="B2015" s="1" t="s">
        <v>5260</v>
      </c>
      <c r="C2015" s="1" t="s">
        <v>3600</v>
      </c>
      <c r="D2015" s="1" t="s">
        <v>3601</v>
      </c>
      <c r="E2015" s="1" t="s">
        <v>3611</v>
      </c>
      <c r="F2015" s="1" t="s">
        <v>8905</v>
      </c>
      <c r="G2015" s="1" t="s">
        <v>8887</v>
      </c>
      <c r="H2015" s="1" t="s">
        <v>3604</v>
      </c>
      <c r="I2015" s="1" t="s">
        <v>8906</v>
      </c>
      <c r="J2015" s="1" t="s">
        <v>3606</v>
      </c>
      <c r="K2015" s="1" t="s">
        <v>8907</v>
      </c>
      <c r="L2015" s="1"/>
      <c r="M2015" s="1"/>
    </row>
    <row x14ac:dyDescent="0.25" r="2016" customHeight="1" ht="18.75">
      <c r="A2016" s="1" t="s">
        <v>3598</v>
      </c>
      <c r="B2016" s="1" t="s">
        <v>5260</v>
      </c>
      <c r="C2016" s="1" t="s">
        <v>3600</v>
      </c>
      <c r="D2016" s="1" t="s">
        <v>3601</v>
      </c>
      <c r="E2016" s="1" t="s">
        <v>3611</v>
      </c>
      <c r="F2016" s="1" t="s">
        <v>8908</v>
      </c>
      <c r="G2016" s="1" t="s">
        <v>8887</v>
      </c>
      <c r="H2016" s="1" t="s">
        <v>3604</v>
      </c>
      <c r="I2016" s="1" t="s">
        <v>8909</v>
      </c>
      <c r="J2016" s="1" t="s">
        <v>3606</v>
      </c>
      <c r="K2016" s="1" t="s">
        <v>8910</v>
      </c>
      <c r="L2016" s="1"/>
      <c r="M2016" s="1"/>
    </row>
    <row x14ac:dyDescent="0.25" r="2017" customHeight="1" ht="18.75">
      <c r="A2017" s="1" t="s">
        <v>3598</v>
      </c>
      <c r="B2017" s="1" t="s">
        <v>5260</v>
      </c>
      <c r="C2017" s="1" t="s">
        <v>3600</v>
      </c>
      <c r="D2017" s="1" t="s">
        <v>3601</v>
      </c>
      <c r="E2017" s="1" t="s">
        <v>3611</v>
      </c>
      <c r="F2017" s="1" t="s">
        <v>8911</v>
      </c>
      <c r="G2017" s="1" t="s">
        <v>8893</v>
      </c>
      <c r="H2017" s="1" t="s">
        <v>3604</v>
      </c>
      <c r="I2017" s="1" t="s">
        <v>8912</v>
      </c>
      <c r="J2017" s="1" t="s">
        <v>3606</v>
      </c>
      <c r="K2017" s="1" t="s">
        <v>8913</v>
      </c>
      <c r="L2017" s="1"/>
      <c r="M2017" s="1"/>
    </row>
    <row x14ac:dyDescent="0.25" r="2018" customHeight="1" ht="18.75">
      <c r="A2018" s="1" t="s">
        <v>3598</v>
      </c>
      <c r="B2018" s="1" t="s">
        <v>5260</v>
      </c>
      <c r="C2018" s="1" t="s">
        <v>3600</v>
      </c>
      <c r="D2018" s="1" t="s">
        <v>3601</v>
      </c>
      <c r="E2018" s="1" t="s">
        <v>3893</v>
      </c>
      <c r="F2018" s="1" t="s">
        <v>8914</v>
      </c>
      <c r="G2018" s="1" t="s">
        <v>8818</v>
      </c>
      <c r="H2018" s="1" t="s">
        <v>3604</v>
      </c>
      <c r="I2018" s="1" t="s">
        <v>8915</v>
      </c>
      <c r="J2018" s="1" t="s">
        <v>3606</v>
      </c>
      <c r="K2018" s="1" t="s">
        <v>8877</v>
      </c>
      <c r="L2018" s="1"/>
      <c r="M2018" s="1"/>
    </row>
    <row x14ac:dyDescent="0.25" r="2019" customHeight="1" ht="18.75">
      <c r="A2019" s="1" t="s">
        <v>3598</v>
      </c>
      <c r="B2019" s="1" t="s">
        <v>5260</v>
      </c>
      <c r="C2019" s="1" t="s">
        <v>3600</v>
      </c>
      <c r="D2019" s="1" t="s">
        <v>3601</v>
      </c>
      <c r="E2019" s="1" t="s">
        <v>3893</v>
      </c>
      <c r="F2019" s="1" t="s">
        <v>8916</v>
      </c>
      <c r="G2019" s="1" t="s">
        <v>8818</v>
      </c>
      <c r="H2019" s="1" t="s">
        <v>3604</v>
      </c>
      <c r="I2019" s="1" t="s">
        <v>8917</v>
      </c>
      <c r="J2019" s="1" t="s">
        <v>3606</v>
      </c>
      <c r="K2019" s="1" t="s">
        <v>8820</v>
      </c>
      <c r="L2019" s="1"/>
      <c r="M2019" s="1"/>
    </row>
    <row x14ac:dyDescent="0.25" r="2020" customHeight="1" ht="18.75">
      <c r="A2020" s="1" t="s">
        <v>3598</v>
      </c>
      <c r="B2020" s="1" t="s">
        <v>5260</v>
      </c>
      <c r="C2020" s="1" t="s">
        <v>3600</v>
      </c>
      <c r="D2020" s="1" t="s">
        <v>3601</v>
      </c>
      <c r="E2020" s="1" t="s">
        <v>3893</v>
      </c>
      <c r="F2020" s="1" t="s">
        <v>8918</v>
      </c>
      <c r="G2020" s="1" t="s">
        <v>8879</v>
      </c>
      <c r="H2020" s="1" t="s">
        <v>3604</v>
      </c>
      <c r="I2020" s="1" t="s">
        <v>8919</v>
      </c>
      <c r="J2020" s="1" t="s">
        <v>3606</v>
      </c>
      <c r="K2020" s="1" t="s">
        <v>8877</v>
      </c>
      <c r="L2020" s="1"/>
      <c r="M2020" s="1"/>
    </row>
    <row x14ac:dyDescent="0.25" r="2021" customHeight="1" ht="18.75">
      <c r="A2021" s="1" t="s">
        <v>3617</v>
      </c>
      <c r="B2021" s="1" t="s">
        <v>8870</v>
      </c>
      <c r="C2021" s="1" t="s">
        <v>3600</v>
      </c>
      <c r="D2021" s="1" t="s">
        <v>3601</v>
      </c>
      <c r="E2021" s="1" t="s">
        <v>3893</v>
      </c>
      <c r="F2021" s="1" t="s">
        <v>8920</v>
      </c>
      <c r="G2021" s="1" t="s">
        <v>8825</v>
      </c>
      <c r="H2021" s="1" t="s">
        <v>3604</v>
      </c>
      <c r="I2021" s="1" t="s">
        <v>8921</v>
      </c>
      <c r="J2021" s="1" t="s">
        <v>3606</v>
      </c>
      <c r="K2021" s="1" t="s">
        <v>8838</v>
      </c>
      <c r="L2021" s="1"/>
      <c r="M2021" s="1"/>
    </row>
    <row x14ac:dyDescent="0.25" r="2022" customHeight="1" ht="18.75">
      <c r="A2022" s="1" t="s">
        <v>3617</v>
      </c>
      <c r="B2022" s="1" t="s">
        <v>8870</v>
      </c>
      <c r="C2022" s="1" t="s">
        <v>3600</v>
      </c>
      <c r="D2022" s="1" t="s">
        <v>3601</v>
      </c>
      <c r="E2022" s="1" t="s">
        <v>3893</v>
      </c>
      <c r="F2022" s="1" t="s">
        <v>8922</v>
      </c>
      <c r="G2022" s="1" t="s">
        <v>8923</v>
      </c>
      <c r="H2022" s="1" t="s">
        <v>3604</v>
      </c>
      <c r="I2022" s="1" t="s">
        <v>8924</v>
      </c>
      <c r="J2022" s="1" t="s">
        <v>3606</v>
      </c>
      <c r="K2022" s="1" t="s">
        <v>8850</v>
      </c>
      <c r="L2022" s="1"/>
      <c r="M2022" s="1"/>
    </row>
    <row x14ac:dyDescent="0.25" r="2023" customHeight="1" ht="18.75">
      <c r="A2023" s="1" t="s">
        <v>3617</v>
      </c>
      <c r="B2023" s="1" t="s">
        <v>8870</v>
      </c>
      <c r="C2023" s="1" t="s">
        <v>3600</v>
      </c>
      <c r="D2023" s="1" t="s">
        <v>3601</v>
      </c>
      <c r="E2023" s="1" t="s">
        <v>3893</v>
      </c>
      <c r="F2023" s="1" t="s">
        <v>8925</v>
      </c>
      <c r="G2023" s="1" t="s">
        <v>8923</v>
      </c>
      <c r="H2023" s="1" t="s">
        <v>3604</v>
      </c>
      <c r="I2023" s="1" t="s">
        <v>8926</v>
      </c>
      <c r="J2023" s="1" t="s">
        <v>3606</v>
      </c>
      <c r="K2023" s="1" t="s">
        <v>8861</v>
      </c>
      <c r="L2023" s="1"/>
      <c r="M2023" s="1"/>
    </row>
    <row x14ac:dyDescent="0.25" r="2024" customHeight="1" ht="18.75">
      <c r="A2024" s="1" t="s">
        <v>3617</v>
      </c>
      <c r="B2024" s="1" t="s">
        <v>8870</v>
      </c>
      <c r="C2024" s="1" t="s">
        <v>3600</v>
      </c>
      <c r="D2024" s="1" t="s">
        <v>3601</v>
      </c>
      <c r="E2024" s="1" t="s">
        <v>3893</v>
      </c>
      <c r="F2024" s="1" t="s">
        <v>8927</v>
      </c>
      <c r="G2024" s="1" t="s">
        <v>8923</v>
      </c>
      <c r="H2024" s="1" t="s">
        <v>3604</v>
      </c>
      <c r="I2024" s="1" t="s">
        <v>8928</v>
      </c>
      <c r="J2024" s="1" t="s">
        <v>3606</v>
      </c>
      <c r="K2024" s="1" t="s">
        <v>8929</v>
      </c>
      <c r="L2024" s="1"/>
      <c r="M2024" s="1"/>
    </row>
    <row x14ac:dyDescent="0.25" r="2025" customHeight="1" ht="18.75">
      <c r="A2025" s="1" t="s">
        <v>3617</v>
      </c>
      <c r="B2025" s="1" t="s">
        <v>8870</v>
      </c>
      <c r="C2025" s="1" t="s">
        <v>3600</v>
      </c>
      <c r="D2025" s="1" t="s">
        <v>3601</v>
      </c>
      <c r="E2025" s="1" t="s">
        <v>3893</v>
      </c>
      <c r="F2025" s="1" t="s">
        <v>8930</v>
      </c>
      <c r="G2025" s="1" t="s">
        <v>4417</v>
      </c>
      <c r="H2025" s="1" t="s">
        <v>3604</v>
      </c>
      <c r="I2025" s="1" t="s">
        <v>8931</v>
      </c>
      <c r="J2025" s="1" t="s">
        <v>3606</v>
      </c>
      <c r="K2025" s="1" t="s">
        <v>8932</v>
      </c>
      <c r="L2025" s="1"/>
      <c r="M2025" s="1"/>
    </row>
    <row x14ac:dyDescent="0.25" r="2026" customHeight="1" ht="18.75">
      <c r="A2026" s="1" t="s">
        <v>3617</v>
      </c>
      <c r="B2026" s="1" t="s">
        <v>8870</v>
      </c>
      <c r="C2026" s="1" t="s">
        <v>3600</v>
      </c>
      <c r="D2026" s="1" t="s">
        <v>3601</v>
      </c>
      <c r="E2026" s="1" t="s">
        <v>3893</v>
      </c>
      <c r="F2026" s="1" t="s">
        <v>8933</v>
      </c>
      <c r="G2026" s="1" t="s">
        <v>4417</v>
      </c>
      <c r="H2026" s="1" t="s">
        <v>3604</v>
      </c>
      <c r="I2026" s="1" t="s">
        <v>8934</v>
      </c>
      <c r="J2026" s="1" t="s">
        <v>3606</v>
      </c>
      <c r="K2026" s="1" t="s">
        <v>8935</v>
      </c>
      <c r="L2026" s="1"/>
      <c r="M2026" s="1"/>
    </row>
    <row x14ac:dyDescent="0.25" r="2027" customHeight="1" ht="18.75">
      <c r="A2027" s="1" t="s">
        <v>3617</v>
      </c>
      <c r="B2027" s="1" t="s">
        <v>8870</v>
      </c>
      <c r="C2027" s="1" t="s">
        <v>3600</v>
      </c>
      <c r="D2027" s="1" t="s">
        <v>3601</v>
      </c>
      <c r="E2027" s="1" t="s">
        <v>3893</v>
      </c>
      <c r="F2027" s="1" t="s">
        <v>8936</v>
      </c>
      <c r="G2027" s="1" t="s">
        <v>4417</v>
      </c>
      <c r="H2027" s="1" t="s">
        <v>3604</v>
      </c>
      <c r="I2027" s="1" t="s">
        <v>8937</v>
      </c>
      <c r="J2027" s="1" t="s">
        <v>3606</v>
      </c>
      <c r="K2027" s="1" t="s">
        <v>8938</v>
      </c>
      <c r="L2027" s="1"/>
      <c r="M2027" s="1"/>
    </row>
    <row x14ac:dyDescent="0.25" r="2028" customHeight="1" ht="18.75">
      <c r="A2028" s="1" t="s">
        <v>3617</v>
      </c>
      <c r="B2028" s="1" t="s">
        <v>8870</v>
      </c>
      <c r="C2028" s="1" t="s">
        <v>3600</v>
      </c>
      <c r="D2028" s="1" t="s">
        <v>3601</v>
      </c>
      <c r="E2028" s="1" t="s">
        <v>3893</v>
      </c>
      <c r="F2028" s="1" t="s">
        <v>8939</v>
      </c>
      <c r="G2028" s="1" t="s">
        <v>8940</v>
      </c>
      <c r="H2028" s="1" t="s">
        <v>3604</v>
      </c>
      <c r="I2028" s="1" t="s">
        <v>8941</v>
      </c>
      <c r="J2028" s="1" t="s">
        <v>3606</v>
      </c>
      <c r="K2028" s="1" t="s">
        <v>8942</v>
      </c>
      <c r="L2028" s="1"/>
      <c r="M2028" s="1"/>
    </row>
    <row x14ac:dyDescent="0.25" r="2029" customHeight="1" ht="18.75">
      <c r="A2029" s="1" t="s">
        <v>3617</v>
      </c>
      <c r="B2029" s="1" t="s">
        <v>8870</v>
      </c>
      <c r="C2029" s="1" t="s">
        <v>3600</v>
      </c>
      <c r="D2029" s="1" t="s">
        <v>3601</v>
      </c>
      <c r="E2029" s="1" t="s">
        <v>3893</v>
      </c>
      <c r="F2029" s="1" t="s">
        <v>8943</v>
      </c>
      <c r="G2029" s="1" t="s">
        <v>8940</v>
      </c>
      <c r="H2029" s="1" t="s">
        <v>3604</v>
      </c>
      <c r="I2029" s="1" t="s">
        <v>8944</v>
      </c>
      <c r="J2029" s="1" t="s">
        <v>3606</v>
      </c>
      <c r="K2029" s="1" t="s">
        <v>8945</v>
      </c>
      <c r="L2029" s="1"/>
      <c r="M2029" s="1"/>
    </row>
    <row x14ac:dyDescent="0.25" r="2030" customHeight="1" ht="18.75">
      <c r="A2030" s="1" t="s">
        <v>7833</v>
      </c>
      <c r="B2030" s="1" t="s">
        <v>8828</v>
      </c>
      <c r="C2030" s="1" t="s">
        <v>4488</v>
      </c>
      <c r="D2030" s="1" t="s">
        <v>3601</v>
      </c>
      <c r="E2030" s="1" t="s">
        <v>8096</v>
      </c>
      <c r="F2030" s="1" t="s">
        <v>8946</v>
      </c>
      <c r="G2030" s="1" t="s">
        <v>8947</v>
      </c>
      <c r="H2030" s="1" t="s">
        <v>3604</v>
      </c>
      <c r="I2030" s="1" t="s">
        <v>8948</v>
      </c>
      <c r="J2030" s="1" t="s">
        <v>3606</v>
      </c>
      <c r="K2030" s="1" t="s">
        <v>8949</v>
      </c>
      <c r="L2030" s="1"/>
      <c r="M2030" s="1"/>
    </row>
    <row x14ac:dyDescent="0.25" r="2031" customHeight="1" ht="18.75">
      <c r="A2031" s="1" t="s">
        <v>3617</v>
      </c>
      <c r="B2031" s="1" t="s">
        <v>8870</v>
      </c>
      <c r="C2031" s="1" t="s">
        <v>3600</v>
      </c>
      <c r="D2031" s="1" t="s">
        <v>3601</v>
      </c>
      <c r="E2031" s="1" t="s">
        <v>3893</v>
      </c>
      <c r="F2031" s="1" t="s">
        <v>8950</v>
      </c>
      <c r="G2031" s="1" t="s">
        <v>8940</v>
      </c>
      <c r="H2031" s="1" t="s">
        <v>3604</v>
      </c>
      <c r="I2031" s="1" t="s">
        <v>8951</v>
      </c>
      <c r="J2031" s="1" t="s">
        <v>3606</v>
      </c>
      <c r="K2031" s="1" t="s">
        <v>8952</v>
      </c>
      <c r="L2031" s="1"/>
      <c r="M2031" s="1"/>
    </row>
    <row x14ac:dyDescent="0.25" r="2032" customHeight="1" ht="18.75">
      <c r="A2032" s="1" t="s">
        <v>7833</v>
      </c>
      <c r="B2032" s="1" t="s">
        <v>8828</v>
      </c>
      <c r="C2032" s="1" t="s">
        <v>4488</v>
      </c>
      <c r="D2032" s="1" t="s">
        <v>3601</v>
      </c>
      <c r="E2032" s="1" t="s">
        <v>8096</v>
      </c>
      <c r="F2032" s="1" t="s">
        <v>8953</v>
      </c>
      <c r="G2032" s="1" t="s">
        <v>8954</v>
      </c>
      <c r="H2032" s="1" t="s">
        <v>3604</v>
      </c>
      <c r="I2032" s="1" t="s">
        <v>8955</v>
      </c>
      <c r="J2032" s="1" t="s">
        <v>3606</v>
      </c>
      <c r="K2032" s="1" t="s">
        <v>8956</v>
      </c>
      <c r="L2032" s="1"/>
      <c r="M2032" s="1"/>
    </row>
    <row x14ac:dyDescent="0.25" r="2033" customHeight="1" ht="18.75">
      <c r="A2033" s="1" t="s">
        <v>7833</v>
      </c>
      <c r="B2033" s="1" t="s">
        <v>8828</v>
      </c>
      <c r="C2033" s="1" t="s">
        <v>4488</v>
      </c>
      <c r="D2033" s="1" t="s">
        <v>3601</v>
      </c>
      <c r="E2033" s="1" t="s">
        <v>8096</v>
      </c>
      <c r="F2033" s="1" t="s">
        <v>8957</v>
      </c>
      <c r="G2033" s="1" t="s">
        <v>8954</v>
      </c>
      <c r="H2033" s="1" t="s">
        <v>3604</v>
      </c>
      <c r="I2033" s="1" t="s">
        <v>8958</v>
      </c>
      <c r="J2033" s="1" t="s">
        <v>3606</v>
      </c>
      <c r="K2033" s="1" t="s">
        <v>8959</v>
      </c>
      <c r="L2033" s="1"/>
      <c r="M2033" s="1"/>
    </row>
    <row x14ac:dyDescent="0.25" r="2034" customHeight="1" ht="18.75">
      <c r="A2034" s="1" t="s">
        <v>3598</v>
      </c>
      <c r="B2034" s="1" t="s">
        <v>3778</v>
      </c>
      <c r="C2034" s="1" t="s">
        <v>3600</v>
      </c>
      <c r="D2034" s="1" t="s">
        <v>3601</v>
      </c>
      <c r="E2034" s="1" t="s">
        <v>3664</v>
      </c>
      <c r="F2034" s="1" t="s">
        <v>8960</v>
      </c>
      <c r="G2034" s="1" t="s">
        <v>8961</v>
      </c>
      <c r="H2034" s="1" t="s">
        <v>3604</v>
      </c>
      <c r="I2034" s="1" t="s">
        <v>8962</v>
      </c>
      <c r="J2034" s="1" t="s">
        <v>3606</v>
      </c>
      <c r="K2034" s="1" t="s">
        <v>8963</v>
      </c>
      <c r="L2034" s="1"/>
      <c r="M2034" s="1"/>
    </row>
    <row x14ac:dyDescent="0.25" r="2035" customHeight="1" ht="18.75">
      <c r="A2035" s="1" t="s">
        <v>7833</v>
      </c>
      <c r="B2035" s="1" t="s">
        <v>8828</v>
      </c>
      <c r="C2035" s="1" t="s">
        <v>4488</v>
      </c>
      <c r="D2035" s="1" t="s">
        <v>3601</v>
      </c>
      <c r="E2035" s="1" t="s">
        <v>8096</v>
      </c>
      <c r="F2035" s="1" t="s">
        <v>8964</v>
      </c>
      <c r="G2035" s="1" t="s">
        <v>8954</v>
      </c>
      <c r="H2035" s="1" t="s">
        <v>3604</v>
      </c>
      <c r="I2035" s="1" t="s">
        <v>8965</v>
      </c>
      <c r="J2035" s="1" t="s">
        <v>3606</v>
      </c>
      <c r="K2035" s="1" t="s">
        <v>8966</v>
      </c>
      <c r="L2035" s="1"/>
      <c r="M2035" s="1"/>
    </row>
    <row x14ac:dyDescent="0.25" r="2036" customHeight="1" ht="18.75">
      <c r="A2036" s="1" t="s">
        <v>7833</v>
      </c>
      <c r="B2036" s="1" t="s">
        <v>8828</v>
      </c>
      <c r="C2036" s="1" t="s">
        <v>4488</v>
      </c>
      <c r="D2036" s="1" t="s">
        <v>3601</v>
      </c>
      <c r="E2036" s="1" t="s">
        <v>8096</v>
      </c>
      <c r="F2036" s="1" t="s">
        <v>8967</v>
      </c>
      <c r="G2036" s="1" t="s">
        <v>8954</v>
      </c>
      <c r="H2036" s="1" t="s">
        <v>3604</v>
      </c>
      <c r="I2036" s="1" t="s">
        <v>8968</v>
      </c>
      <c r="J2036" s="1" t="s">
        <v>3606</v>
      </c>
      <c r="K2036" s="1" t="s">
        <v>8969</v>
      </c>
      <c r="L2036" s="1"/>
      <c r="M2036" s="1"/>
    </row>
    <row x14ac:dyDescent="0.25" r="2037" customHeight="1" ht="18.75">
      <c r="A2037" s="1" t="s">
        <v>7833</v>
      </c>
      <c r="B2037" s="1" t="s">
        <v>8828</v>
      </c>
      <c r="C2037" s="1" t="s">
        <v>4488</v>
      </c>
      <c r="D2037" s="1" t="s">
        <v>3601</v>
      </c>
      <c r="E2037" s="1" t="s">
        <v>8096</v>
      </c>
      <c r="F2037" s="1" t="s">
        <v>8970</v>
      </c>
      <c r="G2037" s="1" t="s">
        <v>8954</v>
      </c>
      <c r="H2037" s="1" t="s">
        <v>3604</v>
      </c>
      <c r="I2037" s="1" t="s">
        <v>8971</v>
      </c>
      <c r="J2037" s="1" t="s">
        <v>3606</v>
      </c>
      <c r="K2037" s="1" t="s">
        <v>8972</v>
      </c>
      <c r="L2037" s="1"/>
      <c r="M2037" s="1"/>
    </row>
    <row x14ac:dyDescent="0.25" r="2038" customHeight="1" ht="18.75">
      <c r="A2038" s="1" t="s">
        <v>7833</v>
      </c>
      <c r="B2038" s="1" t="s">
        <v>8828</v>
      </c>
      <c r="C2038" s="1" t="s">
        <v>4488</v>
      </c>
      <c r="D2038" s="1" t="s">
        <v>3601</v>
      </c>
      <c r="E2038" s="1" t="s">
        <v>8096</v>
      </c>
      <c r="F2038" s="1" t="s">
        <v>8973</v>
      </c>
      <c r="G2038" s="1" t="s">
        <v>8830</v>
      </c>
      <c r="H2038" s="1" t="s">
        <v>3604</v>
      </c>
      <c r="I2038" s="1" t="s">
        <v>8974</v>
      </c>
      <c r="J2038" s="1" t="s">
        <v>3606</v>
      </c>
      <c r="K2038" s="1" t="s">
        <v>8975</v>
      </c>
      <c r="L2038" s="1"/>
      <c r="M2038" s="1"/>
    </row>
    <row x14ac:dyDescent="0.25" r="2039" customHeight="1" ht="18.75">
      <c r="A2039" s="1" t="s">
        <v>7833</v>
      </c>
      <c r="B2039" s="1" t="s">
        <v>8828</v>
      </c>
      <c r="C2039" s="1" t="s">
        <v>4488</v>
      </c>
      <c r="D2039" s="1" t="s">
        <v>3601</v>
      </c>
      <c r="E2039" s="1" t="s">
        <v>8096</v>
      </c>
      <c r="F2039" s="1" t="s">
        <v>8976</v>
      </c>
      <c r="G2039" s="1" t="s">
        <v>8840</v>
      </c>
      <c r="H2039" s="1" t="s">
        <v>3604</v>
      </c>
      <c r="I2039" s="1" t="s">
        <v>8977</v>
      </c>
      <c r="J2039" s="1" t="s">
        <v>3606</v>
      </c>
      <c r="K2039" s="1" t="s">
        <v>8978</v>
      </c>
      <c r="L2039" s="1"/>
      <c r="M2039" s="1"/>
    </row>
    <row x14ac:dyDescent="0.25" r="2040" customHeight="1" ht="18.75">
      <c r="A2040" s="1" t="s">
        <v>7833</v>
      </c>
      <c r="B2040" s="1" t="s">
        <v>8828</v>
      </c>
      <c r="C2040" s="1" t="s">
        <v>4488</v>
      </c>
      <c r="D2040" s="1" t="s">
        <v>3601</v>
      </c>
      <c r="E2040" s="1" t="s">
        <v>8096</v>
      </c>
      <c r="F2040" s="1" t="s">
        <v>8979</v>
      </c>
      <c r="G2040" s="1" t="s">
        <v>8844</v>
      </c>
      <c r="H2040" s="1" t="s">
        <v>3604</v>
      </c>
      <c r="I2040" s="1" t="s">
        <v>8980</v>
      </c>
      <c r="J2040" s="1" t="s">
        <v>3606</v>
      </c>
      <c r="K2040" s="1" t="s">
        <v>8981</v>
      </c>
      <c r="L2040" s="1"/>
      <c r="M2040" s="1"/>
    </row>
    <row x14ac:dyDescent="0.25" r="2041" customHeight="1" ht="18.75">
      <c r="A2041" s="1" t="s">
        <v>3598</v>
      </c>
      <c r="B2041" s="1" t="s">
        <v>4095</v>
      </c>
      <c r="C2041" s="1" t="s">
        <v>3600</v>
      </c>
      <c r="D2041" s="1" t="s">
        <v>3601</v>
      </c>
      <c r="E2041" s="1" t="s">
        <v>3664</v>
      </c>
      <c r="F2041" s="1" t="s">
        <v>8982</v>
      </c>
      <c r="G2041" s="1" t="s">
        <v>8983</v>
      </c>
      <c r="H2041" s="1" t="s">
        <v>3604</v>
      </c>
      <c r="I2041" s="1" t="s">
        <v>8984</v>
      </c>
      <c r="J2041" s="1" t="s">
        <v>3606</v>
      </c>
      <c r="K2041" s="1" t="s">
        <v>8985</v>
      </c>
      <c r="L2041" s="1"/>
      <c r="M2041" s="1"/>
    </row>
    <row x14ac:dyDescent="0.25" r="2042" customHeight="1" ht="18.75">
      <c r="A2042" s="1" t="s">
        <v>3598</v>
      </c>
      <c r="B2042" s="1" t="s">
        <v>4095</v>
      </c>
      <c r="C2042" s="1" t="s">
        <v>3600</v>
      </c>
      <c r="D2042" s="1" t="s">
        <v>3601</v>
      </c>
      <c r="E2042" s="1" t="s">
        <v>3664</v>
      </c>
      <c r="F2042" s="1" t="s">
        <v>8986</v>
      </c>
      <c r="G2042" s="1" t="s">
        <v>8987</v>
      </c>
      <c r="H2042" s="1" t="s">
        <v>3604</v>
      </c>
      <c r="I2042" s="1" t="s">
        <v>8988</v>
      </c>
      <c r="J2042" s="1" t="s">
        <v>3606</v>
      </c>
      <c r="K2042" s="1" t="s">
        <v>8989</v>
      </c>
      <c r="L2042" s="1"/>
      <c r="M2042" s="1"/>
    </row>
    <row x14ac:dyDescent="0.25" r="2043" customHeight="1" ht="18.75">
      <c r="A2043" s="1" t="s">
        <v>7833</v>
      </c>
      <c r="B2043" s="1" t="s">
        <v>8828</v>
      </c>
      <c r="C2043" s="1" t="s">
        <v>4488</v>
      </c>
      <c r="D2043" s="1" t="s">
        <v>3601</v>
      </c>
      <c r="E2043" s="1" t="s">
        <v>8096</v>
      </c>
      <c r="F2043" s="1" t="s">
        <v>8990</v>
      </c>
      <c r="G2043" s="1" t="s">
        <v>8852</v>
      </c>
      <c r="H2043" s="1" t="s">
        <v>3604</v>
      </c>
      <c r="I2043" s="1" t="s">
        <v>8991</v>
      </c>
      <c r="J2043" s="1" t="s">
        <v>3606</v>
      </c>
      <c r="K2043" s="1" t="s">
        <v>8992</v>
      </c>
      <c r="L2043" s="1"/>
      <c r="M2043" s="1"/>
    </row>
    <row x14ac:dyDescent="0.25" r="2044" customHeight="1" ht="18.75">
      <c r="A2044" s="1" t="s">
        <v>3598</v>
      </c>
      <c r="B2044" s="1" t="s">
        <v>5260</v>
      </c>
      <c r="C2044" s="1" t="s">
        <v>3600</v>
      </c>
      <c r="D2044" s="1" t="s">
        <v>3610</v>
      </c>
      <c r="E2044" s="1" t="s">
        <v>3664</v>
      </c>
      <c r="F2044" s="1" t="s">
        <v>8993</v>
      </c>
      <c r="G2044" s="1" t="s">
        <v>8887</v>
      </c>
      <c r="H2044" s="1" t="s">
        <v>3604</v>
      </c>
      <c r="I2044" s="1" t="s">
        <v>8994</v>
      </c>
      <c r="J2044" s="1" t="s">
        <v>3606</v>
      </c>
      <c r="K2044" s="1" t="s">
        <v>8995</v>
      </c>
      <c r="L2044" s="1"/>
      <c r="M2044" s="1"/>
    </row>
    <row x14ac:dyDescent="0.25" r="2045" customHeight="1" ht="18.75">
      <c r="A2045" s="1" t="s">
        <v>7833</v>
      </c>
      <c r="B2045" s="1" t="s">
        <v>8828</v>
      </c>
      <c r="C2045" s="1" t="s">
        <v>4488</v>
      </c>
      <c r="D2045" s="1" t="s">
        <v>3601</v>
      </c>
      <c r="E2045" s="1" t="s">
        <v>8096</v>
      </c>
      <c r="F2045" s="1" t="s">
        <v>8996</v>
      </c>
      <c r="G2045" s="1" t="s">
        <v>8863</v>
      </c>
      <c r="H2045" s="1" t="s">
        <v>3604</v>
      </c>
      <c r="I2045" s="1" t="s">
        <v>8997</v>
      </c>
      <c r="J2045" s="1" t="s">
        <v>3606</v>
      </c>
      <c r="K2045" s="1" t="s">
        <v>8998</v>
      </c>
      <c r="L2045" s="1"/>
      <c r="M2045" s="1"/>
    </row>
    <row x14ac:dyDescent="0.25" r="2046" customHeight="1" ht="18.75">
      <c r="A2046" s="1" t="s">
        <v>7833</v>
      </c>
      <c r="B2046" s="1" t="s">
        <v>8828</v>
      </c>
      <c r="C2046" s="1" t="s">
        <v>4488</v>
      </c>
      <c r="D2046" s="1" t="s">
        <v>3601</v>
      </c>
      <c r="E2046" s="1" t="s">
        <v>8096</v>
      </c>
      <c r="F2046" s="1" t="s">
        <v>8999</v>
      </c>
      <c r="G2046" s="1" t="s">
        <v>8954</v>
      </c>
      <c r="H2046" s="1" t="s">
        <v>3604</v>
      </c>
      <c r="I2046" s="1" t="s">
        <v>9000</v>
      </c>
      <c r="J2046" s="1" t="s">
        <v>3606</v>
      </c>
      <c r="K2046" s="1" t="s">
        <v>8755</v>
      </c>
      <c r="L2046" s="1"/>
      <c r="M2046" s="1"/>
    </row>
    <row x14ac:dyDescent="0.25" r="2047" customHeight="1" ht="18.75">
      <c r="A2047" s="1" t="s">
        <v>7833</v>
      </c>
      <c r="B2047" s="1" t="s">
        <v>8828</v>
      </c>
      <c r="C2047" s="1" t="s">
        <v>4488</v>
      </c>
      <c r="D2047" s="1" t="s">
        <v>3601</v>
      </c>
      <c r="E2047" s="1" t="s">
        <v>8096</v>
      </c>
      <c r="F2047" s="1" t="s">
        <v>9001</v>
      </c>
      <c r="G2047" s="1" t="s">
        <v>8954</v>
      </c>
      <c r="H2047" s="1" t="s">
        <v>3604</v>
      </c>
      <c r="I2047" s="1" t="s">
        <v>9002</v>
      </c>
      <c r="J2047" s="1" t="s">
        <v>3606</v>
      </c>
      <c r="K2047" s="1" t="s">
        <v>9003</v>
      </c>
      <c r="L2047" s="1"/>
      <c r="M2047" s="1"/>
    </row>
    <row x14ac:dyDescent="0.25" r="2048" customHeight="1" ht="18.75">
      <c r="A2048" s="1" t="s">
        <v>3598</v>
      </c>
      <c r="B2048" s="1" t="s">
        <v>5260</v>
      </c>
      <c r="C2048" s="1" t="s">
        <v>3600</v>
      </c>
      <c r="D2048" s="1" t="s">
        <v>3610</v>
      </c>
      <c r="E2048" s="1" t="s">
        <v>3664</v>
      </c>
      <c r="F2048" s="1" t="s">
        <v>9004</v>
      </c>
      <c r="G2048" s="1" t="s">
        <v>8887</v>
      </c>
      <c r="H2048" s="1" t="s">
        <v>3604</v>
      </c>
      <c r="I2048" s="1" t="s">
        <v>9005</v>
      </c>
      <c r="J2048" s="1" t="s">
        <v>3606</v>
      </c>
      <c r="K2048" s="1" t="s">
        <v>9006</v>
      </c>
      <c r="L2048" s="1"/>
      <c r="M2048" s="1"/>
    </row>
    <row x14ac:dyDescent="0.25" r="2049" customHeight="1" ht="18.75">
      <c r="A2049" s="1" t="s">
        <v>3598</v>
      </c>
      <c r="B2049" s="1" t="s">
        <v>9007</v>
      </c>
      <c r="C2049" s="1" t="s">
        <v>3600</v>
      </c>
      <c r="D2049" s="1" t="s">
        <v>3601</v>
      </c>
      <c r="E2049" s="1" t="s">
        <v>3893</v>
      </c>
      <c r="F2049" s="1" t="s">
        <v>9008</v>
      </c>
      <c r="G2049" s="1" t="s">
        <v>9009</v>
      </c>
      <c r="H2049" s="1" t="s">
        <v>3604</v>
      </c>
      <c r="I2049" s="1" t="s">
        <v>9010</v>
      </c>
      <c r="J2049" s="1" t="s">
        <v>3606</v>
      </c>
      <c r="K2049" s="1" t="s">
        <v>9011</v>
      </c>
      <c r="L2049" s="1"/>
      <c r="M2049" s="1"/>
    </row>
    <row x14ac:dyDescent="0.25" r="2050" customHeight="1" ht="18.75">
      <c r="A2050" s="1" t="s">
        <v>3598</v>
      </c>
      <c r="B2050" s="1" t="s">
        <v>9012</v>
      </c>
      <c r="C2050" s="1" t="s">
        <v>3600</v>
      </c>
      <c r="D2050" s="1" t="s">
        <v>3601</v>
      </c>
      <c r="E2050" s="1" t="s">
        <v>3893</v>
      </c>
      <c r="F2050" s="1" t="s">
        <v>9013</v>
      </c>
      <c r="G2050" s="1" t="s">
        <v>9014</v>
      </c>
      <c r="H2050" s="1" t="s">
        <v>3604</v>
      </c>
      <c r="I2050" s="1" t="s">
        <v>9015</v>
      </c>
      <c r="J2050" s="1" t="s">
        <v>3606</v>
      </c>
      <c r="K2050" s="1" t="s">
        <v>9016</v>
      </c>
      <c r="L2050" s="1"/>
      <c r="M2050" s="1"/>
    </row>
    <row x14ac:dyDescent="0.25" r="2051" customHeight="1" ht="18.75">
      <c r="A2051" s="1" t="s">
        <v>3598</v>
      </c>
      <c r="B2051" s="1" t="s">
        <v>9012</v>
      </c>
      <c r="C2051" s="1" t="s">
        <v>3600</v>
      </c>
      <c r="D2051" s="1" t="s">
        <v>3601</v>
      </c>
      <c r="E2051" s="1" t="s">
        <v>3893</v>
      </c>
      <c r="F2051" s="1" t="s">
        <v>9017</v>
      </c>
      <c r="G2051" s="1" t="s">
        <v>9014</v>
      </c>
      <c r="H2051" s="1" t="s">
        <v>3604</v>
      </c>
      <c r="I2051" s="1" t="s">
        <v>9018</v>
      </c>
      <c r="J2051" s="1" t="s">
        <v>3606</v>
      </c>
      <c r="K2051" s="1" t="s">
        <v>9019</v>
      </c>
      <c r="L2051" s="1"/>
      <c r="M2051" s="1"/>
    </row>
    <row x14ac:dyDescent="0.25" r="2052" customHeight="1" ht="18.75">
      <c r="A2052" s="1" t="s">
        <v>3598</v>
      </c>
      <c r="B2052" s="1" t="s">
        <v>9020</v>
      </c>
      <c r="C2052" s="1" t="s">
        <v>3600</v>
      </c>
      <c r="D2052" s="1" t="s">
        <v>3601</v>
      </c>
      <c r="E2052" s="1" t="s">
        <v>3893</v>
      </c>
      <c r="F2052" s="1" t="s">
        <v>9021</v>
      </c>
      <c r="G2052" s="1" t="s">
        <v>9022</v>
      </c>
      <c r="H2052" s="1" t="s">
        <v>3604</v>
      </c>
      <c r="I2052" s="1" t="s">
        <v>9023</v>
      </c>
      <c r="J2052" s="1" t="s">
        <v>3606</v>
      </c>
      <c r="K2052" s="1" t="s">
        <v>9024</v>
      </c>
      <c r="L2052" s="1"/>
      <c r="M2052" s="1"/>
    </row>
    <row x14ac:dyDescent="0.25" r="2053" customHeight="1" ht="18.75">
      <c r="A2053" s="1" t="s">
        <v>3598</v>
      </c>
      <c r="B2053" s="1" t="s">
        <v>9025</v>
      </c>
      <c r="C2053" s="1" t="s">
        <v>3600</v>
      </c>
      <c r="D2053" s="1" t="s">
        <v>3601</v>
      </c>
      <c r="E2053" s="1" t="s">
        <v>3664</v>
      </c>
      <c r="F2053" s="1" t="s">
        <v>9026</v>
      </c>
      <c r="G2053" s="1" t="s">
        <v>9027</v>
      </c>
      <c r="H2053" s="1" t="s">
        <v>3604</v>
      </c>
      <c r="I2053" s="1" t="s">
        <v>9028</v>
      </c>
      <c r="J2053" s="1" t="s">
        <v>3606</v>
      </c>
      <c r="K2053" s="1" t="s">
        <v>9029</v>
      </c>
      <c r="L2053" s="1"/>
      <c r="M2053" s="1"/>
    </row>
    <row x14ac:dyDescent="0.25" r="2054" customHeight="1" ht="18.75">
      <c r="A2054" s="1" t="s">
        <v>3598</v>
      </c>
      <c r="B2054" s="1" t="s">
        <v>4095</v>
      </c>
      <c r="C2054" s="1" t="s">
        <v>3600</v>
      </c>
      <c r="D2054" s="1" t="s">
        <v>3601</v>
      </c>
      <c r="E2054" s="1" t="s">
        <v>3664</v>
      </c>
      <c r="F2054" s="1" t="s">
        <v>9030</v>
      </c>
      <c r="G2054" s="1" t="s">
        <v>9031</v>
      </c>
      <c r="H2054" s="1" t="s">
        <v>3604</v>
      </c>
      <c r="I2054" s="1" t="s">
        <v>9032</v>
      </c>
      <c r="J2054" s="1" t="s">
        <v>3606</v>
      </c>
      <c r="K2054" s="1" t="s">
        <v>9033</v>
      </c>
      <c r="L2054" s="1"/>
      <c r="M2054" s="1"/>
    </row>
    <row x14ac:dyDescent="0.25" r="2055" customHeight="1" ht="18.75">
      <c r="A2055" s="1" t="s">
        <v>3693</v>
      </c>
      <c r="B2055" s="1" t="s">
        <v>4257</v>
      </c>
      <c r="C2055" s="1" t="s">
        <v>3619</v>
      </c>
      <c r="D2055" s="1" t="s">
        <v>8373</v>
      </c>
      <c r="E2055" s="1" t="s">
        <v>3664</v>
      </c>
      <c r="F2055" s="1" t="s">
        <v>9034</v>
      </c>
      <c r="G2055" s="1" t="s">
        <v>9035</v>
      </c>
      <c r="H2055" s="1" t="s">
        <v>3604</v>
      </c>
      <c r="I2055" s="1" t="s">
        <v>9036</v>
      </c>
      <c r="J2055" s="1" t="s">
        <v>3606</v>
      </c>
      <c r="K2055" s="1" t="s">
        <v>9037</v>
      </c>
      <c r="L2055" s="1"/>
      <c r="M2055" s="1"/>
    </row>
    <row x14ac:dyDescent="0.25" r="2056" customHeight="1" ht="18.75">
      <c r="A2056" s="1" t="s">
        <v>3693</v>
      </c>
      <c r="B2056" s="1" t="s">
        <v>4257</v>
      </c>
      <c r="C2056" s="1" t="s">
        <v>3619</v>
      </c>
      <c r="D2056" s="1" t="s">
        <v>8373</v>
      </c>
      <c r="E2056" s="1" t="s">
        <v>3664</v>
      </c>
      <c r="F2056" s="1" t="s">
        <v>9038</v>
      </c>
      <c r="G2056" s="1" t="s">
        <v>9035</v>
      </c>
      <c r="H2056" s="1" t="s">
        <v>3604</v>
      </c>
      <c r="I2056" s="1" t="s">
        <v>9039</v>
      </c>
      <c r="J2056" s="1" t="s">
        <v>3606</v>
      </c>
      <c r="K2056" s="1" t="s">
        <v>9037</v>
      </c>
      <c r="L2056" s="1"/>
      <c r="M2056" s="1"/>
    </row>
    <row x14ac:dyDescent="0.25" r="2057" customHeight="1" ht="18.75">
      <c r="A2057" s="1" t="s">
        <v>3693</v>
      </c>
      <c r="B2057" s="1" t="s">
        <v>4208</v>
      </c>
      <c r="C2057" s="1" t="s">
        <v>3619</v>
      </c>
      <c r="D2057" s="1" t="s">
        <v>8373</v>
      </c>
      <c r="E2057" s="1" t="s">
        <v>3664</v>
      </c>
      <c r="F2057" s="1" t="s">
        <v>9040</v>
      </c>
      <c r="G2057" s="1" t="s">
        <v>9041</v>
      </c>
      <c r="H2057" s="1" t="s">
        <v>3604</v>
      </c>
      <c r="I2057" s="1" t="s">
        <v>9042</v>
      </c>
      <c r="J2057" s="1" t="s">
        <v>3606</v>
      </c>
      <c r="K2057" s="1" t="s">
        <v>9043</v>
      </c>
      <c r="L2057" s="1"/>
      <c r="M2057" s="1"/>
    </row>
    <row x14ac:dyDescent="0.25" r="2058" customHeight="1" ht="18.75">
      <c r="A2058" s="1" t="s">
        <v>3693</v>
      </c>
      <c r="B2058" s="1" t="s">
        <v>4144</v>
      </c>
      <c r="C2058" s="1" t="s">
        <v>3619</v>
      </c>
      <c r="D2058" s="1" t="s">
        <v>8373</v>
      </c>
      <c r="E2058" s="1" t="s">
        <v>3664</v>
      </c>
      <c r="F2058" s="1" t="s">
        <v>9044</v>
      </c>
      <c r="G2058" s="1" t="s">
        <v>9045</v>
      </c>
      <c r="H2058" s="1" t="s">
        <v>3604</v>
      </c>
      <c r="I2058" s="1" t="s">
        <v>9046</v>
      </c>
      <c r="J2058" s="1" t="s">
        <v>3606</v>
      </c>
      <c r="K2058" s="1" t="s">
        <v>9047</v>
      </c>
      <c r="L2058" s="1"/>
      <c r="M2058" s="1"/>
    </row>
    <row x14ac:dyDescent="0.25" r="2059" customHeight="1" ht="18.75">
      <c r="A2059" s="1" t="s">
        <v>3693</v>
      </c>
      <c r="B2059" s="1" t="s">
        <v>4144</v>
      </c>
      <c r="C2059" s="1" t="s">
        <v>3619</v>
      </c>
      <c r="D2059" s="1" t="s">
        <v>8373</v>
      </c>
      <c r="E2059" s="1" t="s">
        <v>3664</v>
      </c>
      <c r="F2059" s="1" t="s">
        <v>9048</v>
      </c>
      <c r="G2059" s="1" t="s">
        <v>9049</v>
      </c>
      <c r="H2059" s="1" t="s">
        <v>3604</v>
      </c>
      <c r="I2059" s="1" t="s">
        <v>9050</v>
      </c>
      <c r="J2059" s="1" t="s">
        <v>3606</v>
      </c>
      <c r="K2059" s="1" t="s">
        <v>9051</v>
      </c>
      <c r="L2059" s="1"/>
      <c r="M2059" s="1"/>
    </row>
    <row x14ac:dyDescent="0.25" r="2060" customHeight="1" ht="18.75">
      <c r="A2060" s="1" t="s">
        <v>3693</v>
      </c>
      <c r="B2060" s="1" t="s">
        <v>4144</v>
      </c>
      <c r="C2060" s="1" t="s">
        <v>3619</v>
      </c>
      <c r="D2060" s="1" t="s">
        <v>8373</v>
      </c>
      <c r="E2060" s="1" t="s">
        <v>3981</v>
      </c>
      <c r="F2060" s="1" t="s">
        <v>9052</v>
      </c>
      <c r="G2060" s="1" t="s">
        <v>9049</v>
      </c>
      <c r="H2060" s="1" t="s">
        <v>3604</v>
      </c>
      <c r="I2060" s="1" t="s">
        <v>9053</v>
      </c>
      <c r="J2060" s="1" t="s">
        <v>3606</v>
      </c>
      <c r="K2060" s="1" t="s">
        <v>9054</v>
      </c>
      <c r="L2060" s="1"/>
      <c r="M2060" s="1"/>
    </row>
    <row x14ac:dyDescent="0.25" r="2061" customHeight="1" ht="18.75">
      <c r="A2061" s="1" t="s">
        <v>3598</v>
      </c>
      <c r="B2061" s="1" t="s">
        <v>3778</v>
      </c>
      <c r="C2061" s="1" t="s">
        <v>3600</v>
      </c>
      <c r="D2061" s="1" t="s">
        <v>3601</v>
      </c>
      <c r="E2061" s="1" t="s">
        <v>3664</v>
      </c>
      <c r="F2061" s="1" t="s">
        <v>9055</v>
      </c>
      <c r="G2061" s="1" t="s">
        <v>9056</v>
      </c>
      <c r="H2061" s="1" t="s">
        <v>3604</v>
      </c>
      <c r="I2061" s="1" t="s">
        <v>9057</v>
      </c>
      <c r="J2061" s="1" t="s">
        <v>3606</v>
      </c>
      <c r="K2061" s="1" t="s">
        <v>9058</v>
      </c>
      <c r="L2061" s="1"/>
      <c r="M2061" s="1"/>
    </row>
    <row x14ac:dyDescent="0.25" r="2062" customHeight="1" ht="18.75">
      <c r="A2062" s="1" t="s">
        <v>3598</v>
      </c>
      <c r="B2062" s="1" t="s">
        <v>3778</v>
      </c>
      <c r="C2062" s="1" t="s">
        <v>3600</v>
      </c>
      <c r="D2062" s="1" t="s">
        <v>3601</v>
      </c>
      <c r="E2062" s="1" t="s">
        <v>3664</v>
      </c>
      <c r="F2062" s="1" t="s">
        <v>9059</v>
      </c>
      <c r="G2062" s="1" t="s">
        <v>9056</v>
      </c>
      <c r="H2062" s="1" t="s">
        <v>3604</v>
      </c>
      <c r="I2062" s="1" t="s">
        <v>9060</v>
      </c>
      <c r="J2062" s="1" t="s">
        <v>3606</v>
      </c>
      <c r="K2062" s="1" t="s">
        <v>9061</v>
      </c>
      <c r="L2062" s="1"/>
      <c r="M2062" s="1"/>
    </row>
    <row x14ac:dyDescent="0.25" r="2063" customHeight="1" ht="18.75">
      <c r="A2063" s="1" t="s">
        <v>3693</v>
      </c>
      <c r="B2063" s="1" t="s">
        <v>4144</v>
      </c>
      <c r="C2063" s="1" t="s">
        <v>3619</v>
      </c>
      <c r="D2063" s="1" t="s">
        <v>8373</v>
      </c>
      <c r="E2063" s="1" t="s">
        <v>3981</v>
      </c>
      <c r="F2063" s="1" t="s">
        <v>9062</v>
      </c>
      <c r="G2063" s="1" t="s">
        <v>9063</v>
      </c>
      <c r="H2063" s="1" t="s">
        <v>3604</v>
      </c>
      <c r="I2063" s="1" t="s">
        <v>9064</v>
      </c>
      <c r="J2063" s="1" t="s">
        <v>3606</v>
      </c>
      <c r="K2063" s="1" t="s">
        <v>9065</v>
      </c>
      <c r="L2063" s="1"/>
      <c r="M2063" s="1"/>
    </row>
    <row x14ac:dyDescent="0.25" r="2064" customHeight="1" ht="18.75">
      <c r="A2064" s="1" t="s">
        <v>3693</v>
      </c>
      <c r="B2064" s="1" t="s">
        <v>4229</v>
      </c>
      <c r="C2064" s="1" t="s">
        <v>3619</v>
      </c>
      <c r="D2064" s="1" t="s">
        <v>8373</v>
      </c>
      <c r="E2064" s="1" t="s">
        <v>3664</v>
      </c>
      <c r="F2064" s="1" t="s">
        <v>9066</v>
      </c>
      <c r="G2064" s="1" t="s">
        <v>9067</v>
      </c>
      <c r="H2064" s="1" t="s">
        <v>3604</v>
      </c>
      <c r="I2064" s="1" t="s">
        <v>9068</v>
      </c>
      <c r="J2064" s="1" t="s">
        <v>3606</v>
      </c>
      <c r="K2064" s="1" t="s">
        <v>9069</v>
      </c>
      <c r="L2064" s="1"/>
      <c r="M2064" s="1"/>
    </row>
    <row x14ac:dyDescent="0.25" r="2065" customHeight="1" ht="18.75">
      <c r="A2065" s="1" t="s">
        <v>3693</v>
      </c>
      <c r="B2065" s="1" t="s">
        <v>4144</v>
      </c>
      <c r="C2065" s="1" t="s">
        <v>3619</v>
      </c>
      <c r="D2065" s="1" t="s">
        <v>8373</v>
      </c>
      <c r="E2065" s="1" t="s">
        <v>3664</v>
      </c>
      <c r="F2065" s="1" t="s">
        <v>9070</v>
      </c>
      <c r="G2065" s="1" t="s">
        <v>9067</v>
      </c>
      <c r="H2065" s="1" t="s">
        <v>3604</v>
      </c>
      <c r="I2065" s="1" t="s">
        <v>9071</v>
      </c>
      <c r="J2065" s="1" t="s">
        <v>3606</v>
      </c>
      <c r="K2065" s="1" t="s">
        <v>9072</v>
      </c>
      <c r="L2065" s="1"/>
      <c r="M2065" s="1"/>
    </row>
    <row x14ac:dyDescent="0.25" r="2066" customHeight="1" ht="18.75">
      <c r="A2066" s="1" t="s">
        <v>7833</v>
      </c>
      <c r="B2066" s="1" t="s">
        <v>8828</v>
      </c>
      <c r="C2066" s="1" t="s">
        <v>4488</v>
      </c>
      <c r="D2066" s="1" t="s">
        <v>3601</v>
      </c>
      <c r="E2066" s="1" t="s">
        <v>8096</v>
      </c>
      <c r="F2066" s="1" t="s">
        <v>9073</v>
      </c>
      <c r="G2066" s="1" t="s">
        <v>8954</v>
      </c>
      <c r="H2066" s="1" t="s">
        <v>3604</v>
      </c>
      <c r="I2066" s="1" t="s">
        <v>9074</v>
      </c>
      <c r="J2066" s="1" t="s">
        <v>3606</v>
      </c>
      <c r="K2066" s="1" t="s">
        <v>9075</v>
      </c>
      <c r="L2066" s="1"/>
      <c r="M2066" s="1"/>
    </row>
    <row x14ac:dyDescent="0.25" r="2067" customHeight="1" ht="18.75">
      <c r="A2067" s="1" t="s">
        <v>7833</v>
      </c>
      <c r="B2067" s="1" t="s">
        <v>8828</v>
      </c>
      <c r="C2067" s="1" t="s">
        <v>4488</v>
      </c>
      <c r="D2067" s="1" t="s">
        <v>3601</v>
      </c>
      <c r="E2067" s="1" t="s">
        <v>8096</v>
      </c>
      <c r="F2067" s="1" t="s">
        <v>9076</v>
      </c>
      <c r="G2067" s="1" t="s">
        <v>8954</v>
      </c>
      <c r="H2067" s="1" t="s">
        <v>3604</v>
      </c>
      <c r="I2067" s="1" t="s">
        <v>9077</v>
      </c>
      <c r="J2067" s="1" t="s">
        <v>3606</v>
      </c>
      <c r="K2067" s="1" t="s">
        <v>8765</v>
      </c>
      <c r="L2067" s="1"/>
      <c r="M2067" s="1"/>
    </row>
    <row x14ac:dyDescent="0.25" r="2068" customHeight="1" ht="18.75">
      <c r="A2068" s="1" t="s">
        <v>7833</v>
      </c>
      <c r="B2068" s="1" t="s">
        <v>8828</v>
      </c>
      <c r="C2068" s="1" t="s">
        <v>4488</v>
      </c>
      <c r="D2068" s="1" t="s">
        <v>3601</v>
      </c>
      <c r="E2068" s="1" t="s">
        <v>8096</v>
      </c>
      <c r="F2068" s="1" t="s">
        <v>9078</v>
      </c>
      <c r="G2068" s="1" t="s">
        <v>8954</v>
      </c>
      <c r="H2068" s="1" t="s">
        <v>3604</v>
      </c>
      <c r="I2068" s="1" t="s">
        <v>9079</v>
      </c>
      <c r="J2068" s="1" t="s">
        <v>3606</v>
      </c>
      <c r="K2068" s="1" t="s">
        <v>9080</v>
      </c>
      <c r="L2068" s="1"/>
      <c r="M2068" s="1"/>
    </row>
    <row x14ac:dyDescent="0.25" r="2069" customHeight="1" ht="18.75">
      <c r="A2069" s="1" t="s">
        <v>7833</v>
      </c>
      <c r="B2069" s="1" t="s">
        <v>8694</v>
      </c>
      <c r="C2069" s="1" t="s">
        <v>4488</v>
      </c>
      <c r="D2069" s="1" t="s">
        <v>3601</v>
      </c>
      <c r="E2069" s="1" t="s">
        <v>8096</v>
      </c>
      <c r="F2069" s="1" t="s">
        <v>9081</v>
      </c>
      <c r="G2069" s="1" t="s">
        <v>8696</v>
      </c>
      <c r="H2069" s="1" t="s">
        <v>3604</v>
      </c>
      <c r="I2069" s="1" t="s">
        <v>9082</v>
      </c>
      <c r="J2069" s="1" t="s">
        <v>3606</v>
      </c>
      <c r="K2069" s="1" t="s">
        <v>9083</v>
      </c>
      <c r="L2069" s="1"/>
      <c r="M2069" s="1"/>
    </row>
    <row x14ac:dyDescent="0.25" r="2070" customHeight="1" ht="18.75">
      <c r="A2070" s="1" t="s">
        <v>7833</v>
      </c>
      <c r="B2070" s="1" t="s">
        <v>8095</v>
      </c>
      <c r="C2070" s="1" t="s">
        <v>4488</v>
      </c>
      <c r="D2070" s="1" t="s">
        <v>3601</v>
      </c>
      <c r="E2070" s="1" t="s">
        <v>8096</v>
      </c>
      <c r="F2070" s="1" t="s">
        <v>9084</v>
      </c>
      <c r="G2070" s="1" t="s">
        <v>9085</v>
      </c>
      <c r="H2070" s="1" t="s">
        <v>3604</v>
      </c>
      <c r="I2070" s="1" t="s">
        <v>9086</v>
      </c>
      <c r="J2070" s="1" t="s">
        <v>3606</v>
      </c>
      <c r="K2070" s="1" t="s">
        <v>9087</v>
      </c>
      <c r="L2070" s="1"/>
      <c r="M2070" s="1"/>
    </row>
    <row x14ac:dyDescent="0.25" r="2071" customHeight="1" ht="18.75">
      <c r="A2071" s="1" t="s">
        <v>3693</v>
      </c>
      <c r="B2071" s="1" t="s">
        <v>4229</v>
      </c>
      <c r="C2071" s="1" t="s">
        <v>3619</v>
      </c>
      <c r="D2071" s="1" t="s">
        <v>8373</v>
      </c>
      <c r="E2071" s="1" t="s">
        <v>3664</v>
      </c>
      <c r="F2071" s="1" t="s">
        <v>9088</v>
      </c>
      <c r="G2071" s="1" t="s">
        <v>9067</v>
      </c>
      <c r="H2071" s="1" t="s">
        <v>3604</v>
      </c>
      <c r="I2071" s="1" t="s">
        <v>9089</v>
      </c>
      <c r="J2071" s="1" t="s">
        <v>3606</v>
      </c>
      <c r="K2071" s="1" t="s">
        <v>9090</v>
      </c>
      <c r="L2071" s="1"/>
      <c r="M2071" s="1"/>
    </row>
    <row x14ac:dyDescent="0.25" r="2072" customHeight="1" ht="18.75">
      <c r="A2072" s="1" t="s">
        <v>3693</v>
      </c>
      <c r="B2072" s="1" t="s">
        <v>4229</v>
      </c>
      <c r="C2072" s="1" t="s">
        <v>3619</v>
      </c>
      <c r="D2072" s="1" t="s">
        <v>533</v>
      </c>
      <c r="E2072" s="1" t="s">
        <v>3664</v>
      </c>
      <c r="F2072" s="1" t="s">
        <v>9091</v>
      </c>
      <c r="G2072" s="1" t="s">
        <v>9092</v>
      </c>
      <c r="H2072" s="1" t="s">
        <v>3604</v>
      </c>
      <c r="I2072" s="1" t="s">
        <v>9093</v>
      </c>
      <c r="J2072" s="1" t="s">
        <v>3606</v>
      </c>
      <c r="K2072" s="1" t="s">
        <v>9094</v>
      </c>
      <c r="L2072" s="1"/>
      <c r="M2072" s="1"/>
    </row>
    <row x14ac:dyDescent="0.25" r="2073" customHeight="1" ht="18.75">
      <c r="A2073" s="1" t="s">
        <v>3693</v>
      </c>
      <c r="B2073" s="1" t="s">
        <v>4162</v>
      </c>
      <c r="C2073" s="1" t="s">
        <v>3619</v>
      </c>
      <c r="D2073" s="1" t="s">
        <v>533</v>
      </c>
      <c r="E2073" s="1" t="s">
        <v>3664</v>
      </c>
      <c r="F2073" s="1" t="s">
        <v>9095</v>
      </c>
      <c r="G2073" s="1" t="s">
        <v>9096</v>
      </c>
      <c r="H2073" s="1" t="s">
        <v>3604</v>
      </c>
      <c r="I2073" s="1" t="s">
        <v>9097</v>
      </c>
      <c r="J2073" s="1" t="s">
        <v>3606</v>
      </c>
      <c r="K2073" s="1" t="s">
        <v>9098</v>
      </c>
      <c r="L2073" s="1"/>
      <c r="M2073" s="1"/>
    </row>
    <row x14ac:dyDescent="0.25" r="2074" customHeight="1" ht="18.75">
      <c r="A2074" s="1" t="s">
        <v>3693</v>
      </c>
      <c r="B2074" s="1" t="s">
        <v>4174</v>
      </c>
      <c r="C2074" s="1" t="s">
        <v>3619</v>
      </c>
      <c r="D2074" s="1" t="s">
        <v>533</v>
      </c>
      <c r="E2074" s="1" t="s">
        <v>3664</v>
      </c>
      <c r="F2074" s="1" t="s">
        <v>9099</v>
      </c>
      <c r="G2074" s="1" t="s">
        <v>9100</v>
      </c>
      <c r="H2074" s="1" t="s">
        <v>3604</v>
      </c>
      <c r="I2074" s="1" t="s">
        <v>9101</v>
      </c>
      <c r="J2074" s="1" t="s">
        <v>3606</v>
      </c>
      <c r="K2074" s="1" t="s">
        <v>9102</v>
      </c>
      <c r="L2074" s="1"/>
      <c r="M2074" s="1"/>
    </row>
    <row x14ac:dyDescent="0.25" r="2075" customHeight="1" ht="18.75">
      <c r="A2075" s="1" t="s">
        <v>3693</v>
      </c>
      <c r="B2075" s="1" t="s">
        <v>4174</v>
      </c>
      <c r="C2075" s="1" t="s">
        <v>3619</v>
      </c>
      <c r="D2075" s="1" t="s">
        <v>3601</v>
      </c>
      <c r="E2075" s="1" t="s">
        <v>3664</v>
      </c>
      <c r="F2075" s="1" t="s">
        <v>9103</v>
      </c>
      <c r="G2075" s="1" t="s">
        <v>6347</v>
      </c>
      <c r="H2075" s="1" t="s">
        <v>3604</v>
      </c>
      <c r="I2075" s="1" t="s">
        <v>9104</v>
      </c>
      <c r="J2075" s="1" t="s">
        <v>3606</v>
      </c>
      <c r="K2075" s="1" t="s">
        <v>9105</v>
      </c>
      <c r="L2075" s="1"/>
      <c r="M2075" s="1"/>
    </row>
    <row x14ac:dyDescent="0.25" r="2076" customHeight="1" ht="18.75">
      <c r="A2076" s="1" t="s">
        <v>3598</v>
      </c>
      <c r="B2076" s="1" t="s">
        <v>5260</v>
      </c>
      <c r="C2076" s="1" t="s">
        <v>3600</v>
      </c>
      <c r="D2076" s="1" t="s">
        <v>3610</v>
      </c>
      <c r="E2076" s="1" t="s">
        <v>3664</v>
      </c>
      <c r="F2076" s="1" t="s">
        <v>9106</v>
      </c>
      <c r="G2076" s="1" t="s">
        <v>9107</v>
      </c>
      <c r="H2076" s="1" t="s">
        <v>3604</v>
      </c>
      <c r="I2076" s="1" t="s">
        <v>9108</v>
      </c>
      <c r="J2076" s="1" t="s">
        <v>3606</v>
      </c>
      <c r="K2076" s="1" t="s">
        <v>9109</v>
      </c>
      <c r="L2076" s="1"/>
      <c r="M2076" s="1"/>
    </row>
    <row x14ac:dyDescent="0.25" r="2077" customHeight="1" ht="18.75">
      <c r="A2077" s="1" t="s">
        <v>3598</v>
      </c>
      <c r="B2077" s="1" t="s">
        <v>5260</v>
      </c>
      <c r="C2077" s="1" t="s">
        <v>3600</v>
      </c>
      <c r="D2077" s="1" t="s">
        <v>3610</v>
      </c>
      <c r="E2077" s="1" t="s">
        <v>3664</v>
      </c>
      <c r="F2077" s="1" t="s">
        <v>9110</v>
      </c>
      <c r="G2077" s="1" t="s">
        <v>8887</v>
      </c>
      <c r="H2077" s="1" t="s">
        <v>3604</v>
      </c>
      <c r="I2077" s="1" t="s">
        <v>9111</v>
      </c>
      <c r="J2077" s="1" t="s">
        <v>3606</v>
      </c>
      <c r="K2077" s="1" t="s">
        <v>9112</v>
      </c>
      <c r="L2077" s="1"/>
      <c r="M2077" s="1"/>
    </row>
    <row x14ac:dyDescent="0.25" r="2078" customHeight="1" ht="18.75">
      <c r="A2078" s="1" t="s">
        <v>3598</v>
      </c>
      <c r="B2078" s="1" t="s">
        <v>5260</v>
      </c>
      <c r="C2078" s="1" t="s">
        <v>3600</v>
      </c>
      <c r="D2078" s="1" t="s">
        <v>3610</v>
      </c>
      <c r="E2078" s="1" t="s">
        <v>3664</v>
      </c>
      <c r="F2078" s="1" t="s">
        <v>9113</v>
      </c>
      <c r="G2078" s="1" t="s">
        <v>8887</v>
      </c>
      <c r="H2078" s="1" t="s">
        <v>3604</v>
      </c>
      <c r="I2078" s="1" t="s">
        <v>9114</v>
      </c>
      <c r="J2078" s="1" t="s">
        <v>3606</v>
      </c>
      <c r="K2078" s="1" t="s">
        <v>9115</v>
      </c>
      <c r="L2078" s="1"/>
      <c r="M2078" s="1"/>
    </row>
    <row x14ac:dyDescent="0.25" r="2079" customHeight="1" ht="18.75">
      <c r="A2079" s="1" t="s">
        <v>3598</v>
      </c>
      <c r="B2079" s="1" t="s">
        <v>9116</v>
      </c>
      <c r="C2079" s="1" t="s">
        <v>3600</v>
      </c>
      <c r="D2079" s="1" t="s">
        <v>533</v>
      </c>
      <c r="E2079" s="1" t="s">
        <v>3664</v>
      </c>
      <c r="F2079" s="1" t="s">
        <v>9117</v>
      </c>
      <c r="G2079" s="1" t="s">
        <v>9118</v>
      </c>
      <c r="H2079" s="1" t="s">
        <v>3604</v>
      </c>
      <c r="I2079" s="1" t="s">
        <v>9119</v>
      </c>
      <c r="J2079" s="1" t="s">
        <v>3606</v>
      </c>
      <c r="K2079" s="1" t="s">
        <v>9120</v>
      </c>
      <c r="L2079" s="1"/>
      <c r="M2079" s="1"/>
    </row>
    <row x14ac:dyDescent="0.25" r="2080" customHeight="1" ht="18.75">
      <c r="A2080" s="1" t="s">
        <v>7833</v>
      </c>
      <c r="B2080" s="1" t="s">
        <v>9121</v>
      </c>
      <c r="C2080" s="1" t="s">
        <v>4488</v>
      </c>
      <c r="D2080" s="1" t="s">
        <v>3601</v>
      </c>
      <c r="E2080" s="1" t="s">
        <v>3664</v>
      </c>
      <c r="F2080" s="1" t="s">
        <v>9122</v>
      </c>
      <c r="G2080" s="1" t="s">
        <v>9123</v>
      </c>
      <c r="H2080" s="1" t="s">
        <v>3604</v>
      </c>
      <c r="I2080" s="1" t="s">
        <v>9124</v>
      </c>
      <c r="J2080" s="1" t="s">
        <v>3606</v>
      </c>
      <c r="K2080" s="1" t="s">
        <v>9125</v>
      </c>
      <c r="L2080" s="1"/>
      <c r="M2080" s="1"/>
    </row>
    <row x14ac:dyDescent="0.25" r="2081" customHeight="1" ht="18.75">
      <c r="A2081" s="1" t="s">
        <v>7833</v>
      </c>
      <c r="B2081" s="1" t="s">
        <v>9121</v>
      </c>
      <c r="C2081" s="1" t="s">
        <v>4488</v>
      </c>
      <c r="D2081" s="1" t="s">
        <v>3601</v>
      </c>
      <c r="E2081" s="1" t="s">
        <v>3664</v>
      </c>
      <c r="F2081" s="1" t="s">
        <v>9126</v>
      </c>
      <c r="G2081" s="1" t="s">
        <v>9127</v>
      </c>
      <c r="H2081" s="1" t="s">
        <v>3604</v>
      </c>
      <c r="I2081" s="1" t="s">
        <v>9128</v>
      </c>
      <c r="J2081" s="1" t="s">
        <v>3606</v>
      </c>
      <c r="K2081" s="1" t="s">
        <v>9129</v>
      </c>
      <c r="L2081" s="1"/>
      <c r="M2081" s="1"/>
    </row>
    <row x14ac:dyDescent="0.25" r="2082" customHeight="1" ht="18.75">
      <c r="A2082" s="1" t="s">
        <v>7833</v>
      </c>
      <c r="B2082" s="1" t="s">
        <v>8694</v>
      </c>
      <c r="C2082" s="1" t="s">
        <v>4488</v>
      </c>
      <c r="D2082" s="1" t="s">
        <v>3601</v>
      </c>
      <c r="E2082" s="1" t="s">
        <v>8096</v>
      </c>
      <c r="F2082" s="1" t="s">
        <v>9130</v>
      </c>
      <c r="G2082" s="1" t="s">
        <v>8708</v>
      </c>
      <c r="H2082" s="1" t="s">
        <v>3604</v>
      </c>
      <c r="I2082" s="1" t="s">
        <v>9131</v>
      </c>
      <c r="J2082" s="1" t="s">
        <v>3606</v>
      </c>
      <c r="K2082" s="1" t="s">
        <v>9083</v>
      </c>
      <c r="L2082" s="1"/>
      <c r="M2082" s="1"/>
    </row>
    <row x14ac:dyDescent="0.25" r="2083" customHeight="1" ht="18.75">
      <c r="A2083" s="1" t="s">
        <v>7833</v>
      </c>
      <c r="B2083" s="1" t="s">
        <v>8694</v>
      </c>
      <c r="C2083" s="1" t="s">
        <v>4488</v>
      </c>
      <c r="D2083" s="1" t="s">
        <v>3601</v>
      </c>
      <c r="E2083" s="1" t="s">
        <v>8096</v>
      </c>
      <c r="F2083" s="1" t="s">
        <v>9132</v>
      </c>
      <c r="G2083" s="1" t="s">
        <v>8708</v>
      </c>
      <c r="H2083" s="1" t="s">
        <v>3604</v>
      </c>
      <c r="I2083" s="1" t="s">
        <v>9133</v>
      </c>
      <c r="J2083" s="1" t="s">
        <v>3606</v>
      </c>
      <c r="K2083" s="1" t="s">
        <v>9134</v>
      </c>
      <c r="L2083" s="1"/>
      <c r="M2083" s="1"/>
    </row>
    <row x14ac:dyDescent="0.25" r="2084" customHeight="1" ht="18.75">
      <c r="A2084" s="1" t="s">
        <v>7833</v>
      </c>
      <c r="B2084" s="1" t="s">
        <v>8694</v>
      </c>
      <c r="C2084" s="1" t="s">
        <v>4488</v>
      </c>
      <c r="D2084" s="1" t="s">
        <v>3601</v>
      </c>
      <c r="E2084" s="1" t="s">
        <v>8096</v>
      </c>
      <c r="F2084" s="1" t="s">
        <v>9135</v>
      </c>
      <c r="G2084" s="1" t="s">
        <v>8708</v>
      </c>
      <c r="H2084" s="1" t="s">
        <v>3604</v>
      </c>
      <c r="I2084" s="1" t="s">
        <v>9136</v>
      </c>
      <c r="J2084" s="1" t="s">
        <v>3606</v>
      </c>
      <c r="K2084" s="1" t="s">
        <v>9137</v>
      </c>
      <c r="L2084" s="1"/>
      <c r="M2084" s="1"/>
    </row>
    <row x14ac:dyDescent="0.25" r="2085" customHeight="1" ht="18.75">
      <c r="A2085" s="1" t="s">
        <v>7833</v>
      </c>
      <c r="B2085" s="1" t="s">
        <v>9121</v>
      </c>
      <c r="C2085" s="1" t="s">
        <v>4488</v>
      </c>
      <c r="D2085" s="1" t="s">
        <v>3601</v>
      </c>
      <c r="E2085" s="1" t="s">
        <v>3664</v>
      </c>
      <c r="F2085" s="1" t="s">
        <v>9138</v>
      </c>
      <c r="G2085" s="1" t="s">
        <v>9139</v>
      </c>
      <c r="H2085" s="1" t="s">
        <v>3604</v>
      </c>
      <c r="I2085" s="1" t="s">
        <v>9140</v>
      </c>
      <c r="J2085" s="1" t="s">
        <v>3606</v>
      </c>
      <c r="K2085" s="1" t="s">
        <v>9141</v>
      </c>
      <c r="L2085" s="1"/>
      <c r="M2085" s="1"/>
    </row>
    <row x14ac:dyDescent="0.25" r="2086" customHeight="1" ht="18.75">
      <c r="A2086" s="1" t="s">
        <v>7833</v>
      </c>
      <c r="B2086" s="1" t="s">
        <v>8694</v>
      </c>
      <c r="C2086" s="1" t="s">
        <v>4488</v>
      </c>
      <c r="D2086" s="1" t="s">
        <v>3601</v>
      </c>
      <c r="E2086" s="1" t="s">
        <v>8096</v>
      </c>
      <c r="F2086" s="1" t="s">
        <v>9142</v>
      </c>
      <c r="G2086" s="1" t="s">
        <v>8708</v>
      </c>
      <c r="H2086" s="1" t="s">
        <v>3604</v>
      </c>
      <c r="I2086" s="1" t="s">
        <v>9143</v>
      </c>
      <c r="J2086" s="1" t="s">
        <v>3606</v>
      </c>
      <c r="K2086" s="1" t="s">
        <v>9144</v>
      </c>
      <c r="L2086" s="1"/>
      <c r="M2086" s="1"/>
    </row>
    <row x14ac:dyDescent="0.25" r="2087" customHeight="1" ht="18.75">
      <c r="A2087" s="1" t="s">
        <v>7833</v>
      </c>
      <c r="B2087" s="1" t="s">
        <v>9121</v>
      </c>
      <c r="C2087" s="1" t="s">
        <v>4488</v>
      </c>
      <c r="D2087" s="1" t="s">
        <v>3601</v>
      </c>
      <c r="E2087" s="1" t="s">
        <v>3664</v>
      </c>
      <c r="F2087" s="1" t="s">
        <v>9145</v>
      </c>
      <c r="G2087" s="1" t="s">
        <v>9146</v>
      </c>
      <c r="H2087" s="1" t="s">
        <v>3604</v>
      </c>
      <c r="I2087" s="1" t="s">
        <v>9147</v>
      </c>
      <c r="J2087" s="1" t="s">
        <v>3606</v>
      </c>
      <c r="K2087" s="1" t="s">
        <v>9148</v>
      </c>
      <c r="L2087" s="1"/>
      <c r="M2087" s="1"/>
    </row>
    <row x14ac:dyDescent="0.25" r="2088" customHeight="1" ht="18.75">
      <c r="A2088" s="1" t="s">
        <v>7833</v>
      </c>
      <c r="B2088" s="1" t="s">
        <v>8694</v>
      </c>
      <c r="C2088" s="1" t="s">
        <v>4488</v>
      </c>
      <c r="D2088" s="1" t="s">
        <v>3601</v>
      </c>
      <c r="E2088" s="1" t="s">
        <v>8096</v>
      </c>
      <c r="F2088" s="1" t="s">
        <v>9149</v>
      </c>
      <c r="G2088" s="1" t="s">
        <v>8708</v>
      </c>
      <c r="H2088" s="1" t="s">
        <v>3604</v>
      </c>
      <c r="I2088" s="1" t="s">
        <v>9150</v>
      </c>
      <c r="J2088" s="1" t="s">
        <v>3606</v>
      </c>
      <c r="K2088" s="1" t="s">
        <v>9151</v>
      </c>
      <c r="L2088" s="1"/>
      <c r="M2088" s="1"/>
    </row>
    <row x14ac:dyDescent="0.25" r="2089" customHeight="1" ht="18.75">
      <c r="A2089" s="1" t="s">
        <v>7833</v>
      </c>
      <c r="B2089" s="1" t="s">
        <v>9121</v>
      </c>
      <c r="C2089" s="1" t="s">
        <v>4488</v>
      </c>
      <c r="D2089" s="1" t="s">
        <v>3601</v>
      </c>
      <c r="E2089" s="1" t="s">
        <v>3664</v>
      </c>
      <c r="F2089" s="1" t="s">
        <v>9152</v>
      </c>
      <c r="G2089" s="1" t="s">
        <v>9153</v>
      </c>
      <c r="H2089" s="1" t="s">
        <v>3604</v>
      </c>
      <c r="I2089" s="1" t="s">
        <v>9154</v>
      </c>
      <c r="J2089" s="1" t="s">
        <v>3606</v>
      </c>
      <c r="K2089" s="1" t="s">
        <v>9155</v>
      </c>
      <c r="L2089" s="1"/>
      <c r="M2089" s="1"/>
    </row>
    <row x14ac:dyDescent="0.25" r="2090" customHeight="1" ht="18.75">
      <c r="A2090" s="1" t="s">
        <v>7833</v>
      </c>
      <c r="B2090" s="1" t="s">
        <v>8694</v>
      </c>
      <c r="C2090" s="1" t="s">
        <v>4488</v>
      </c>
      <c r="D2090" s="1" t="s">
        <v>3601</v>
      </c>
      <c r="E2090" s="1" t="s">
        <v>8096</v>
      </c>
      <c r="F2090" s="1" t="s">
        <v>9156</v>
      </c>
      <c r="G2090" s="1" t="s">
        <v>8708</v>
      </c>
      <c r="H2090" s="1" t="s">
        <v>3604</v>
      </c>
      <c r="I2090" s="1" t="s">
        <v>9157</v>
      </c>
      <c r="J2090" s="1" t="s">
        <v>3606</v>
      </c>
      <c r="K2090" s="1" t="s">
        <v>9158</v>
      </c>
      <c r="L2090" s="1"/>
      <c r="M2090" s="1"/>
    </row>
    <row x14ac:dyDescent="0.25" r="2091" customHeight="1" ht="18.75">
      <c r="A2091" s="1" t="s">
        <v>7833</v>
      </c>
      <c r="B2091" s="1" t="s">
        <v>8694</v>
      </c>
      <c r="C2091" s="1" t="s">
        <v>4488</v>
      </c>
      <c r="D2091" s="1" t="s">
        <v>3601</v>
      </c>
      <c r="E2091" s="1" t="s">
        <v>8096</v>
      </c>
      <c r="F2091" s="1" t="s">
        <v>9159</v>
      </c>
      <c r="G2091" s="1" t="s">
        <v>8708</v>
      </c>
      <c r="H2091" s="1" t="s">
        <v>3604</v>
      </c>
      <c r="I2091" s="1" t="s">
        <v>9160</v>
      </c>
      <c r="J2091" s="1" t="s">
        <v>3606</v>
      </c>
      <c r="K2091" s="1" t="s">
        <v>9161</v>
      </c>
      <c r="L2091" s="1"/>
      <c r="M2091" s="1"/>
    </row>
    <row x14ac:dyDescent="0.25" r="2092" customHeight="1" ht="18.75">
      <c r="A2092" s="1" t="s">
        <v>7833</v>
      </c>
      <c r="B2092" s="1" t="s">
        <v>8694</v>
      </c>
      <c r="C2092" s="1" t="s">
        <v>4488</v>
      </c>
      <c r="D2092" s="1" t="s">
        <v>3601</v>
      </c>
      <c r="E2092" s="1" t="s">
        <v>8096</v>
      </c>
      <c r="F2092" s="1" t="s">
        <v>9162</v>
      </c>
      <c r="G2092" s="1" t="s">
        <v>8708</v>
      </c>
      <c r="H2092" s="1" t="s">
        <v>3604</v>
      </c>
      <c r="I2092" s="1" t="s">
        <v>9163</v>
      </c>
      <c r="J2092" s="1" t="s">
        <v>3606</v>
      </c>
      <c r="K2092" s="1" t="s">
        <v>9164</v>
      </c>
      <c r="L2092" s="1"/>
      <c r="M2092" s="1"/>
    </row>
    <row x14ac:dyDescent="0.25" r="2093" customHeight="1" ht="18.75">
      <c r="A2093" s="1" t="s">
        <v>7833</v>
      </c>
      <c r="B2093" s="1" t="s">
        <v>8694</v>
      </c>
      <c r="C2093" s="1" t="s">
        <v>4488</v>
      </c>
      <c r="D2093" s="1" t="s">
        <v>3601</v>
      </c>
      <c r="E2093" s="1" t="s">
        <v>8096</v>
      </c>
      <c r="F2093" s="1" t="s">
        <v>9165</v>
      </c>
      <c r="G2093" s="1" t="s">
        <v>8708</v>
      </c>
      <c r="H2093" s="1" t="s">
        <v>3604</v>
      </c>
      <c r="I2093" s="1" t="s">
        <v>9166</v>
      </c>
      <c r="J2093" s="1" t="s">
        <v>3606</v>
      </c>
      <c r="K2093" s="1" t="s">
        <v>9167</v>
      </c>
      <c r="L2093" s="1"/>
      <c r="M2093" s="1"/>
    </row>
    <row x14ac:dyDescent="0.25" r="2094" customHeight="1" ht="18.75">
      <c r="A2094" s="1" t="s">
        <v>7833</v>
      </c>
      <c r="B2094" s="1" t="s">
        <v>9121</v>
      </c>
      <c r="C2094" s="1" t="s">
        <v>4488</v>
      </c>
      <c r="D2094" s="1" t="s">
        <v>3601</v>
      </c>
      <c r="E2094" s="1" t="s">
        <v>3664</v>
      </c>
      <c r="F2094" s="1" t="s">
        <v>9168</v>
      </c>
      <c r="G2094" s="1" t="s">
        <v>9169</v>
      </c>
      <c r="H2094" s="1" t="s">
        <v>3604</v>
      </c>
      <c r="I2094" s="1" t="s">
        <v>9170</v>
      </c>
      <c r="J2094" s="1" t="s">
        <v>3606</v>
      </c>
      <c r="K2094" s="1" t="s">
        <v>9171</v>
      </c>
      <c r="L2094" s="1"/>
      <c r="M2094" s="1"/>
    </row>
    <row x14ac:dyDescent="0.25" r="2095" customHeight="1" ht="18.75">
      <c r="A2095" s="1" t="s">
        <v>7833</v>
      </c>
      <c r="B2095" s="1" t="s">
        <v>9121</v>
      </c>
      <c r="C2095" s="1" t="s">
        <v>4488</v>
      </c>
      <c r="D2095" s="1" t="s">
        <v>3601</v>
      </c>
      <c r="E2095" s="1" t="s">
        <v>3664</v>
      </c>
      <c r="F2095" s="1" t="s">
        <v>9172</v>
      </c>
      <c r="G2095" s="1" t="s">
        <v>9173</v>
      </c>
      <c r="H2095" s="1" t="s">
        <v>3604</v>
      </c>
      <c r="I2095" s="1" t="s">
        <v>9174</v>
      </c>
      <c r="J2095" s="1" t="s">
        <v>3606</v>
      </c>
      <c r="K2095" s="1" t="s">
        <v>9175</v>
      </c>
      <c r="L2095" s="1"/>
      <c r="M2095" s="1"/>
    </row>
    <row x14ac:dyDescent="0.25" r="2096" customHeight="1" ht="18.75">
      <c r="A2096" s="1" t="s">
        <v>7833</v>
      </c>
      <c r="B2096" s="1" t="s">
        <v>9121</v>
      </c>
      <c r="C2096" s="1" t="s">
        <v>4488</v>
      </c>
      <c r="D2096" s="1" t="s">
        <v>3601</v>
      </c>
      <c r="E2096" s="1" t="s">
        <v>3664</v>
      </c>
      <c r="F2096" s="1" t="s">
        <v>9176</v>
      </c>
      <c r="G2096" s="1" t="s">
        <v>9177</v>
      </c>
      <c r="H2096" s="1" t="s">
        <v>3604</v>
      </c>
      <c r="I2096" s="1" t="s">
        <v>9178</v>
      </c>
      <c r="J2096" s="1" t="s">
        <v>3606</v>
      </c>
      <c r="K2096" s="1" t="s">
        <v>9179</v>
      </c>
      <c r="L2096" s="1"/>
      <c r="M2096" s="1"/>
    </row>
    <row x14ac:dyDescent="0.25" r="2097" customHeight="1" ht="18.75">
      <c r="A2097" s="1" t="s">
        <v>7833</v>
      </c>
      <c r="B2097" s="1" t="s">
        <v>8828</v>
      </c>
      <c r="C2097" s="1" t="s">
        <v>4488</v>
      </c>
      <c r="D2097" s="1" t="s">
        <v>3601</v>
      </c>
      <c r="E2097" s="1" t="s">
        <v>3611</v>
      </c>
      <c r="F2097" s="1" t="s">
        <v>9180</v>
      </c>
      <c r="G2097" s="1" t="s">
        <v>8954</v>
      </c>
      <c r="H2097" s="1" t="s">
        <v>3604</v>
      </c>
      <c r="I2097" s="1" t="s">
        <v>9181</v>
      </c>
      <c r="J2097" s="1" t="s">
        <v>3606</v>
      </c>
      <c r="K2097" s="1" t="s">
        <v>9134</v>
      </c>
      <c r="L2097" s="1"/>
      <c r="M2097" s="1"/>
    </row>
    <row x14ac:dyDescent="0.25" r="2098" customHeight="1" ht="18.75">
      <c r="A2098" s="1" t="s">
        <v>7833</v>
      </c>
      <c r="B2098" s="1" t="s">
        <v>8828</v>
      </c>
      <c r="C2098" s="1" t="s">
        <v>4488</v>
      </c>
      <c r="D2098" s="1" t="s">
        <v>3601</v>
      </c>
      <c r="E2098" s="1" t="s">
        <v>3611</v>
      </c>
      <c r="F2098" s="1" t="s">
        <v>9182</v>
      </c>
      <c r="G2098" s="1" t="s">
        <v>8954</v>
      </c>
      <c r="H2098" s="1" t="s">
        <v>3604</v>
      </c>
      <c r="I2098" s="1" t="s">
        <v>9183</v>
      </c>
      <c r="J2098" s="1" t="s">
        <v>3606</v>
      </c>
      <c r="K2098" s="1" t="s">
        <v>9137</v>
      </c>
      <c r="L2098" s="1"/>
      <c r="M2098" s="1"/>
    </row>
    <row x14ac:dyDescent="0.25" r="2099" customHeight="1" ht="18.75">
      <c r="A2099" s="1" t="s">
        <v>7833</v>
      </c>
      <c r="B2099" s="1" t="s">
        <v>9121</v>
      </c>
      <c r="C2099" s="1" t="s">
        <v>4488</v>
      </c>
      <c r="D2099" s="1" t="s">
        <v>3601</v>
      </c>
      <c r="E2099" s="1" t="s">
        <v>3664</v>
      </c>
      <c r="F2099" s="1" t="s">
        <v>9184</v>
      </c>
      <c r="G2099" s="1" t="s">
        <v>9185</v>
      </c>
      <c r="H2099" s="1" t="s">
        <v>3604</v>
      </c>
      <c r="I2099" s="1" t="s">
        <v>9186</v>
      </c>
      <c r="J2099" s="1" t="s">
        <v>3606</v>
      </c>
      <c r="K2099" s="1" t="s">
        <v>9187</v>
      </c>
      <c r="L2099" s="1"/>
      <c r="M2099" s="1"/>
    </row>
    <row x14ac:dyDescent="0.25" r="2100" customHeight="1" ht="18.75">
      <c r="A2100" s="1" t="s">
        <v>7833</v>
      </c>
      <c r="B2100" s="1" t="s">
        <v>9121</v>
      </c>
      <c r="C2100" s="1" t="s">
        <v>4488</v>
      </c>
      <c r="D2100" s="1" t="s">
        <v>3601</v>
      </c>
      <c r="E2100" s="1" t="s">
        <v>3664</v>
      </c>
      <c r="F2100" s="1" t="s">
        <v>9188</v>
      </c>
      <c r="G2100" s="1" t="s">
        <v>9189</v>
      </c>
      <c r="H2100" s="1" t="s">
        <v>3604</v>
      </c>
      <c r="I2100" s="1" t="s">
        <v>9190</v>
      </c>
      <c r="J2100" s="1" t="s">
        <v>3606</v>
      </c>
      <c r="K2100" s="1" t="s">
        <v>9191</v>
      </c>
      <c r="L2100" s="1"/>
      <c r="M2100" s="1"/>
    </row>
    <row x14ac:dyDescent="0.25" r="2101" customHeight="1" ht="18.75">
      <c r="A2101" s="1" t="s">
        <v>7833</v>
      </c>
      <c r="B2101" s="1" t="s">
        <v>9121</v>
      </c>
      <c r="C2101" s="1" t="s">
        <v>4488</v>
      </c>
      <c r="D2101" s="1" t="s">
        <v>3601</v>
      </c>
      <c r="E2101" s="1" t="s">
        <v>3664</v>
      </c>
      <c r="F2101" s="1" t="s">
        <v>9192</v>
      </c>
      <c r="G2101" s="1" t="s">
        <v>9189</v>
      </c>
      <c r="H2101" s="1" t="s">
        <v>3604</v>
      </c>
      <c r="I2101" s="1" t="s">
        <v>9193</v>
      </c>
      <c r="J2101" s="1" t="s">
        <v>3606</v>
      </c>
      <c r="K2101" s="1" t="s">
        <v>9194</v>
      </c>
      <c r="L2101" s="1"/>
      <c r="M2101" s="1"/>
    </row>
    <row x14ac:dyDescent="0.25" r="2102" customHeight="1" ht="18.75">
      <c r="A2102" s="1" t="s">
        <v>3598</v>
      </c>
      <c r="B2102" s="1" t="s">
        <v>9025</v>
      </c>
      <c r="C2102" s="1" t="s">
        <v>3600</v>
      </c>
      <c r="D2102" s="1" t="s">
        <v>3610</v>
      </c>
      <c r="E2102" s="1" t="s">
        <v>3664</v>
      </c>
      <c r="F2102" s="1" t="s">
        <v>9195</v>
      </c>
      <c r="G2102" s="1" t="s">
        <v>9196</v>
      </c>
      <c r="H2102" s="1" t="s">
        <v>3604</v>
      </c>
      <c r="I2102" s="1" t="s">
        <v>9197</v>
      </c>
      <c r="J2102" s="1" t="s">
        <v>3606</v>
      </c>
      <c r="K2102" s="1" t="s">
        <v>9198</v>
      </c>
      <c r="L2102" s="1"/>
      <c r="M2102" s="1"/>
    </row>
    <row x14ac:dyDescent="0.25" r="2103" customHeight="1" ht="18.75">
      <c r="A2103" s="1" t="s">
        <v>3598</v>
      </c>
      <c r="B2103" s="1" t="s">
        <v>9025</v>
      </c>
      <c r="C2103" s="1" t="s">
        <v>3600</v>
      </c>
      <c r="D2103" s="1" t="s">
        <v>3610</v>
      </c>
      <c r="E2103" s="1" t="s">
        <v>3664</v>
      </c>
      <c r="F2103" s="1" t="s">
        <v>9199</v>
      </c>
      <c r="G2103" s="1" t="s">
        <v>9196</v>
      </c>
      <c r="H2103" s="1" t="s">
        <v>3604</v>
      </c>
      <c r="I2103" s="1" t="s">
        <v>9200</v>
      </c>
      <c r="J2103" s="1" t="s">
        <v>3606</v>
      </c>
      <c r="K2103" s="1" t="s">
        <v>9201</v>
      </c>
      <c r="L2103" s="1"/>
      <c r="M2103" s="1"/>
    </row>
    <row x14ac:dyDescent="0.25" r="2104" customHeight="1" ht="18.75">
      <c r="A2104" s="1" t="s">
        <v>7833</v>
      </c>
      <c r="B2104" s="1" t="s">
        <v>9121</v>
      </c>
      <c r="C2104" s="1" t="s">
        <v>4488</v>
      </c>
      <c r="D2104" s="1" t="s">
        <v>3601</v>
      </c>
      <c r="E2104" s="1" t="s">
        <v>3664</v>
      </c>
      <c r="F2104" s="1" t="s">
        <v>9202</v>
      </c>
      <c r="G2104" s="1" t="s">
        <v>9139</v>
      </c>
      <c r="H2104" s="1" t="s">
        <v>3604</v>
      </c>
      <c r="I2104" s="1" t="s">
        <v>9203</v>
      </c>
      <c r="J2104" s="1" t="s">
        <v>3606</v>
      </c>
      <c r="K2104" s="1" t="s">
        <v>9204</v>
      </c>
      <c r="L2104" s="1"/>
      <c r="M2104" s="1"/>
    </row>
    <row x14ac:dyDescent="0.25" r="2105" customHeight="1" ht="18.75">
      <c r="A2105" s="1" t="s">
        <v>7833</v>
      </c>
      <c r="B2105" s="1" t="s">
        <v>9121</v>
      </c>
      <c r="C2105" s="1" t="s">
        <v>4488</v>
      </c>
      <c r="D2105" s="1" t="s">
        <v>3601</v>
      </c>
      <c r="E2105" s="1" t="s">
        <v>3664</v>
      </c>
      <c r="F2105" s="1" t="s">
        <v>9205</v>
      </c>
      <c r="G2105" s="1" t="s">
        <v>9146</v>
      </c>
      <c r="H2105" s="1" t="s">
        <v>3604</v>
      </c>
      <c r="I2105" s="1" t="s">
        <v>9206</v>
      </c>
      <c r="J2105" s="1" t="s">
        <v>3606</v>
      </c>
      <c r="K2105" s="1" t="s">
        <v>9207</v>
      </c>
      <c r="L2105" s="1"/>
      <c r="M2105" s="1"/>
    </row>
    <row x14ac:dyDescent="0.25" r="2106" customHeight="1" ht="18.75">
      <c r="A2106" s="1" t="s">
        <v>3598</v>
      </c>
      <c r="B2106" s="1" t="s">
        <v>9116</v>
      </c>
      <c r="C2106" s="1" t="s">
        <v>3600</v>
      </c>
      <c r="D2106" s="1" t="s">
        <v>533</v>
      </c>
      <c r="E2106" s="1" t="s">
        <v>3664</v>
      </c>
      <c r="F2106" s="1" t="s">
        <v>9208</v>
      </c>
      <c r="G2106" s="1" t="s">
        <v>9209</v>
      </c>
      <c r="H2106" s="1" t="s">
        <v>3604</v>
      </c>
      <c r="I2106" s="1" t="s">
        <v>9210</v>
      </c>
      <c r="J2106" s="1" t="s">
        <v>3606</v>
      </c>
      <c r="K2106" s="1" t="s">
        <v>9211</v>
      </c>
      <c r="L2106" s="1"/>
      <c r="M2106" s="1"/>
    </row>
    <row x14ac:dyDescent="0.25" r="2107" customHeight="1" ht="18.75">
      <c r="A2107" s="1" t="s">
        <v>3598</v>
      </c>
      <c r="B2107" s="1" t="s">
        <v>4627</v>
      </c>
      <c r="C2107" s="1" t="s">
        <v>3600</v>
      </c>
      <c r="D2107" s="1" t="s">
        <v>533</v>
      </c>
      <c r="E2107" s="1" t="s">
        <v>3664</v>
      </c>
      <c r="F2107" s="1" t="s">
        <v>9212</v>
      </c>
      <c r="G2107" s="1" t="s">
        <v>9213</v>
      </c>
      <c r="H2107" s="1" t="s">
        <v>3604</v>
      </c>
      <c r="I2107" s="1" t="s">
        <v>9214</v>
      </c>
      <c r="J2107" s="1" t="s">
        <v>3615</v>
      </c>
      <c r="K2107" s="1" t="s">
        <v>9215</v>
      </c>
      <c r="L2107" s="1"/>
      <c r="M2107" s="1"/>
    </row>
    <row x14ac:dyDescent="0.25" r="2108" customHeight="1" ht="18.75">
      <c r="A2108" s="1" t="s">
        <v>7833</v>
      </c>
      <c r="B2108" s="1" t="s">
        <v>9216</v>
      </c>
      <c r="C2108" s="1" t="s">
        <v>4488</v>
      </c>
      <c r="D2108" s="1" t="s">
        <v>3601</v>
      </c>
      <c r="E2108" s="1" t="s">
        <v>3664</v>
      </c>
      <c r="F2108" s="1" t="s">
        <v>9217</v>
      </c>
      <c r="G2108" s="1" t="s">
        <v>9218</v>
      </c>
      <c r="H2108" s="1" t="s">
        <v>3604</v>
      </c>
      <c r="I2108" s="1" t="s">
        <v>9219</v>
      </c>
      <c r="J2108" s="1" t="s">
        <v>3606</v>
      </c>
      <c r="K2108" s="1" t="s">
        <v>9220</v>
      </c>
      <c r="L2108" s="1"/>
      <c r="M2108" s="1"/>
    </row>
    <row x14ac:dyDescent="0.25" r="2109" customHeight="1" ht="18.75">
      <c r="A2109" s="1" t="s">
        <v>3598</v>
      </c>
      <c r="B2109" s="1" t="s">
        <v>3663</v>
      </c>
      <c r="C2109" s="1" t="s">
        <v>3600</v>
      </c>
      <c r="D2109" s="1" t="s">
        <v>3695</v>
      </c>
      <c r="E2109" s="1" t="s">
        <v>3752</v>
      </c>
      <c r="F2109" s="1" t="s">
        <v>9221</v>
      </c>
      <c r="G2109" s="1" t="s">
        <v>9222</v>
      </c>
      <c r="H2109" s="1" t="s">
        <v>3604</v>
      </c>
      <c r="I2109" s="1" t="s">
        <v>9223</v>
      </c>
      <c r="J2109" s="1" t="s">
        <v>3615</v>
      </c>
      <c r="K2109" s="1" t="s">
        <v>9224</v>
      </c>
      <c r="L2109" s="1"/>
      <c r="M2109" s="1"/>
    </row>
    <row x14ac:dyDescent="0.25" r="2110" customHeight="1" ht="18.75">
      <c r="A2110" s="1" t="s">
        <v>3598</v>
      </c>
      <c r="B2110" s="1" t="s">
        <v>3663</v>
      </c>
      <c r="C2110" s="1" t="s">
        <v>3600</v>
      </c>
      <c r="D2110" s="1" t="s">
        <v>3695</v>
      </c>
      <c r="E2110" s="1" t="s">
        <v>3752</v>
      </c>
      <c r="F2110" s="1" t="s">
        <v>9225</v>
      </c>
      <c r="G2110" s="1" t="s">
        <v>9222</v>
      </c>
      <c r="H2110" s="1" t="s">
        <v>3604</v>
      </c>
      <c r="I2110" s="1" t="s">
        <v>9226</v>
      </c>
      <c r="J2110" s="1" t="s">
        <v>3615</v>
      </c>
      <c r="K2110" s="1" t="s">
        <v>9227</v>
      </c>
      <c r="L2110" s="1"/>
      <c r="M2110" s="1"/>
    </row>
    <row x14ac:dyDescent="0.25" r="2111" customHeight="1" ht="18.75">
      <c r="A2111" s="1" t="s">
        <v>3598</v>
      </c>
      <c r="B2111" s="1" t="s">
        <v>4095</v>
      </c>
      <c r="C2111" s="1" t="s">
        <v>3600</v>
      </c>
      <c r="D2111" s="1" t="s">
        <v>3601</v>
      </c>
      <c r="E2111" s="1" t="s">
        <v>3664</v>
      </c>
      <c r="F2111" s="1" t="s">
        <v>9228</v>
      </c>
      <c r="G2111" s="1" t="s">
        <v>9031</v>
      </c>
      <c r="H2111" s="1" t="s">
        <v>3604</v>
      </c>
      <c r="I2111" s="1" t="s">
        <v>9229</v>
      </c>
      <c r="J2111" s="1" t="s">
        <v>3606</v>
      </c>
      <c r="K2111" s="1" t="s">
        <v>9230</v>
      </c>
      <c r="L2111" s="1"/>
      <c r="M2111" s="1"/>
    </row>
    <row x14ac:dyDescent="0.25" r="2112" customHeight="1" ht="18.75">
      <c r="A2112" s="1" t="s">
        <v>3598</v>
      </c>
      <c r="B2112" s="1" t="s">
        <v>9231</v>
      </c>
      <c r="C2112" s="1" t="s">
        <v>3600</v>
      </c>
      <c r="D2112" s="1" t="s">
        <v>3601</v>
      </c>
      <c r="E2112" s="1" t="s">
        <v>3664</v>
      </c>
      <c r="F2112" s="1" t="s">
        <v>9232</v>
      </c>
      <c r="G2112" s="1" t="s">
        <v>9233</v>
      </c>
      <c r="H2112" s="1" t="s">
        <v>3604</v>
      </c>
      <c r="I2112" s="1" t="s">
        <v>9234</v>
      </c>
      <c r="J2112" s="1" t="s">
        <v>3606</v>
      </c>
      <c r="K2112" s="1" t="s">
        <v>9235</v>
      </c>
      <c r="L2112" s="1"/>
      <c r="M2112" s="1"/>
    </row>
    <row x14ac:dyDescent="0.25" r="2113" customHeight="1" ht="18.75">
      <c r="A2113" s="1" t="s">
        <v>3598</v>
      </c>
      <c r="B2113" s="1" t="s">
        <v>9236</v>
      </c>
      <c r="C2113" s="1" t="s">
        <v>3600</v>
      </c>
      <c r="D2113" s="1" t="s">
        <v>3601</v>
      </c>
      <c r="E2113" s="1" t="s">
        <v>3664</v>
      </c>
      <c r="F2113" s="1" t="s">
        <v>9237</v>
      </c>
      <c r="G2113" s="1" t="s">
        <v>9238</v>
      </c>
      <c r="H2113" s="1" t="s">
        <v>3604</v>
      </c>
      <c r="I2113" s="1" t="s">
        <v>9239</v>
      </c>
      <c r="J2113" s="1" t="s">
        <v>3606</v>
      </c>
      <c r="K2113" s="1" t="s">
        <v>9240</v>
      </c>
      <c r="L2113" s="1"/>
      <c r="M2113" s="1"/>
    </row>
    <row x14ac:dyDescent="0.25" r="2114" customHeight="1" ht="18.75">
      <c r="A2114" s="1" t="s">
        <v>3598</v>
      </c>
      <c r="B2114" s="1" t="s">
        <v>9241</v>
      </c>
      <c r="C2114" s="1" t="s">
        <v>3600</v>
      </c>
      <c r="D2114" s="1" t="s">
        <v>3601</v>
      </c>
      <c r="E2114" s="1" t="s">
        <v>3664</v>
      </c>
      <c r="F2114" s="1" t="s">
        <v>9242</v>
      </c>
      <c r="G2114" s="1" t="s">
        <v>9243</v>
      </c>
      <c r="H2114" s="1" t="s">
        <v>3604</v>
      </c>
      <c r="I2114" s="1" t="s">
        <v>9244</v>
      </c>
      <c r="J2114" s="1" t="s">
        <v>3606</v>
      </c>
      <c r="K2114" s="1" t="s">
        <v>9245</v>
      </c>
      <c r="L2114" s="1"/>
      <c r="M2114" s="1"/>
    </row>
    <row x14ac:dyDescent="0.25" r="2115" customHeight="1" ht="18.75">
      <c r="A2115" s="1" t="s">
        <v>3598</v>
      </c>
      <c r="B2115" s="1" t="s">
        <v>9246</v>
      </c>
      <c r="C2115" s="1" t="s">
        <v>3600</v>
      </c>
      <c r="D2115" s="1" t="s">
        <v>3601</v>
      </c>
      <c r="E2115" s="1" t="s">
        <v>3664</v>
      </c>
      <c r="F2115" s="1" t="s">
        <v>9247</v>
      </c>
      <c r="G2115" s="1" t="s">
        <v>9248</v>
      </c>
      <c r="H2115" s="1" t="s">
        <v>3604</v>
      </c>
      <c r="I2115" s="1" t="s">
        <v>9249</v>
      </c>
      <c r="J2115" s="1" t="s">
        <v>3606</v>
      </c>
      <c r="K2115" s="1" t="s">
        <v>9250</v>
      </c>
      <c r="L2115" s="1"/>
      <c r="M2115" s="1"/>
    </row>
    <row x14ac:dyDescent="0.25" r="2116" customHeight="1" ht="18.75">
      <c r="A2116" s="1" t="s">
        <v>3598</v>
      </c>
      <c r="B2116" s="1" t="s">
        <v>9251</v>
      </c>
      <c r="C2116" s="1" t="s">
        <v>3600</v>
      </c>
      <c r="D2116" s="1" t="s">
        <v>3601</v>
      </c>
      <c r="E2116" s="1" t="s">
        <v>3893</v>
      </c>
      <c r="F2116" s="1" t="s">
        <v>9252</v>
      </c>
      <c r="G2116" s="1" t="s">
        <v>9253</v>
      </c>
      <c r="H2116" s="1" t="s">
        <v>3604</v>
      </c>
      <c r="I2116" s="1" t="s">
        <v>9254</v>
      </c>
      <c r="J2116" s="1" t="s">
        <v>3606</v>
      </c>
      <c r="K2116" s="1" t="s">
        <v>9255</v>
      </c>
      <c r="L2116" s="1"/>
      <c r="M2116" s="1"/>
    </row>
    <row x14ac:dyDescent="0.25" r="2117" customHeight="1" ht="18.75">
      <c r="A2117" s="1" t="s">
        <v>3598</v>
      </c>
      <c r="B2117" s="1" t="s">
        <v>9256</v>
      </c>
      <c r="C2117" s="1" t="s">
        <v>3600</v>
      </c>
      <c r="D2117" s="1" t="s">
        <v>3601</v>
      </c>
      <c r="E2117" s="1" t="s">
        <v>3664</v>
      </c>
      <c r="F2117" s="1" t="s">
        <v>9257</v>
      </c>
      <c r="G2117" s="1" t="s">
        <v>9258</v>
      </c>
      <c r="H2117" s="1" t="s">
        <v>3604</v>
      </c>
      <c r="I2117" s="1" t="s">
        <v>9259</v>
      </c>
      <c r="J2117" s="1" t="s">
        <v>3606</v>
      </c>
      <c r="K2117" s="1" t="s">
        <v>9260</v>
      </c>
      <c r="L2117" s="1"/>
      <c r="M2117" s="1"/>
    </row>
    <row x14ac:dyDescent="0.25" r="2118" customHeight="1" ht="18.75">
      <c r="A2118" s="1" t="s">
        <v>3598</v>
      </c>
      <c r="B2118" s="1" t="s">
        <v>9261</v>
      </c>
      <c r="C2118" s="1" t="s">
        <v>3600</v>
      </c>
      <c r="D2118" s="1" t="s">
        <v>3601</v>
      </c>
      <c r="E2118" s="1" t="s">
        <v>3664</v>
      </c>
      <c r="F2118" s="1" t="s">
        <v>9262</v>
      </c>
      <c r="G2118" s="1" t="s">
        <v>9263</v>
      </c>
      <c r="H2118" s="1" t="s">
        <v>3604</v>
      </c>
      <c r="I2118" s="1" t="s">
        <v>9264</v>
      </c>
      <c r="J2118" s="1" t="s">
        <v>3606</v>
      </c>
      <c r="K2118" s="1" t="s">
        <v>9265</v>
      </c>
      <c r="L2118" s="1"/>
      <c r="M2118" s="1"/>
    </row>
    <row x14ac:dyDescent="0.25" r="2119" customHeight="1" ht="18.75">
      <c r="A2119" s="1" t="s">
        <v>3598</v>
      </c>
      <c r="B2119" s="1" t="s">
        <v>6717</v>
      </c>
      <c r="C2119" s="1" t="s">
        <v>3600</v>
      </c>
      <c r="D2119" s="1" t="s">
        <v>3601</v>
      </c>
      <c r="E2119" s="1" t="s">
        <v>3664</v>
      </c>
      <c r="F2119" s="1" t="s">
        <v>9266</v>
      </c>
      <c r="G2119" s="1" t="s">
        <v>9267</v>
      </c>
      <c r="H2119" s="1" t="s">
        <v>3604</v>
      </c>
      <c r="I2119" s="1" t="s">
        <v>9268</v>
      </c>
      <c r="J2119" s="1" t="s">
        <v>3606</v>
      </c>
      <c r="K2119" s="1" t="s">
        <v>9269</v>
      </c>
      <c r="L2119" s="1"/>
      <c r="M2119" s="1"/>
    </row>
    <row x14ac:dyDescent="0.25" r="2120" customHeight="1" ht="18.75">
      <c r="A2120" s="1" t="s">
        <v>3598</v>
      </c>
      <c r="B2120" s="1" t="s">
        <v>9025</v>
      </c>
      <c r="C2120" s="1" t="s">
        <v>3600</v>
      </c>
      <c r="D2120" s="1" t="s">
        <v>3601</v>
      </c>
      <c r="E2120" s="1" t="s">
        <v>3664</v>
      </c>
      <c r="F2120" s="1" t="s">
        <v>9270</v>
      </c>
      <c r="G2120" s="1" t="s">
        <v>9027</v>
      </c>
      <c r="H2120" s="1" t="s">
        <v>3604</v>
      </c>
      <c r="I2120" s="1" t="s">
        <v>9271</v>
      </c>
      <c r="J2120" s="1" t="s">
        <v>3606</v>
      </c>
      <c r="K2120" s="1" t="s">
        <v>9272</v>
      </c>
      <c r="L2120" s="1"/>
      <c r="M2120" s="1"/>
    </row>
    <row x14ac:dyDescent="0.25" r="2121" customHeight="1" ht="18.75">
      <c r="A2121" s="1" t="s">
        <v>3598</v>
      </c>
      <c r="B2121" s="1" t="s">
        <v>9273</v>
      </c>
      <c r="C2121" s="1" t="s">
        <v>3600</v>
      </c>
      <c r="D2121" s="1" t="s">
        <v>3601</v>
      </c>
      <c r="E2121" s="1" t="s">
        <v>3664</v>
      </c>
      <c r="F2121" s="1" t="s">
        <v>9274</v>
      </c>
      <c r="G2121" s="1" t="s">
        <v>9275</v>
      </c>
      <c r="H2121" s="1" t="s">
        <v>3604</v>
      </c>
      <c r="I2121" s="1" t="s">
        <v>9276</v>
      </c>
      <c r="J2121" s="1" t="s">
        <v>3606</v>
      </c>
      <c r="K2121" s="1" t="s">
        <v>9277</v>
      </c>
      <c r="L2121" s="1"/>
      <c r="M2121" s="1"/>
    </row>
    <row x14ac:dyDescent="0.25" r="2122" customHeight="1" ht="18.75">
      <c r="A2122" s="1" t="s">
        <v>3598</v>
      </c>
      <c r="B2122" s="1" t="s">
        <v>9278</v>
      </c>
      <c r="C2122" s="1" t="s">
        <v>3600</v>
      </c>
      <c r="D2122" s="1" t="s">
        <v>3601</v>
      </c>
      <c r="E2122" s="1" t="s">
        <v>3664</v>
      </c>
      <c r="F2122" s="1" t="s">
        <v>9279</v>
      </c>
      <c r="G2122" s="1" t="s">
        <v>9280</v>
      </c>
      <c r="H2122" s="1" t="s">
        <v>3604</v>
      </c>
      <c r="I2122" s="1" t="s">
        <v>9281</v>
      </c>
      <c r="J2122" s="1" t="s">
        <v>3606</v>
      </c>
      <c r="K2122" s="1" t="s">
        <v>9282</v>
      </c>
      <c r="L2122" s="1"/>
      <c r="M2122" s="1"/>
    </row>
    <row x14ac:dyDescent="0.25" r="2123" customHeight="1" ht="18.75">
      <c r="A2123" s="1" t="s">
        <v>3598</v>
      </c>
      <c r="B2123" s="1" t="s">
        <v>6732</v>
      </c>
      <c r="C2123" s="1" t="s">
        <v>3600</v>
      </c>
      <c r="D2123" s="1" t="s">
        <v>3601</v>
      </c>
      <c r="E2123" s="1" t="s">
        <v>3664</v>
      </c>
      <c r="F2123" s="1" t="s">
        <v>9283</v>
      </c>
      <c r="G2123" s="1" t="s">
        <v>9284</v>
      </c>
      <c r="H2123" s="1" t="s">
        <v>3604</v>
      </c>
      <c r="I2123" s="1" t="s">
        <v>9285</v>
      </c>
      <c r="J2123" s="1" t="s">
        <v>3606</v>
      </c>
      <c r="K2123" s="1" t="s">
        <v>9286</v>
      </c>
      <c r="L2123" s="1"/>
      <c r="M2123" s="1"/>
    </row>
    <row x14ac:dyDescent="0.25" r="2124" customHeight="1" ht="18.75">
      <c r="A2124" s="1" t="s">
        <v>3598</v>
      </c>
      <c r="B2124" s="1" t="s">
        <v>5239</v>
      </c>
      <c r="C2124" s="1" t="s">
        <v>3600</v>
      </c>
      <c r="D2124" s="1" t="s">
        <v>3610</v>
      </c>
      <c r="E2124" s="1" t="s">
        <v>3664</v>
      </c>
      <c r="F2124" s="1" t="s">
        <v>9287</v>
      </c>
      <c r="G2124" s="1" t="s">
        <v>9288</v>
      </c>
      <c r="H2124" s="1" t="s">
        <v>3604</v>
      </c>
      <c r="I2124" s="1" t="s">
        <v>9289</v>
      </c>
      <c r="J2124" s="1" t="s">
        <v>3606</v>
      </c>
      <c r="K2124" s="1" t="s">
        <v>9290</v>
      </c>
      <c r="L2124" s="1"/>
      <c r="M2124" s="1"/>
    </row>
    <row x14ac:dyDescent="0.25" r="2125" customHeight="1" ht="18.75">
      <c r="A2125" s="1" t="s">
        <v>3598</v>
      </c>
      <c r="B2125" s="1" t="s">
        <v>4627</v>
      </c>
      <c r="C2125" s="1" t="s">
        <v>3600</v>
      </c>
      <c r="D2125" s="1" t="s">
        <v>3610</v>
      </c>
      <c r="E2125" s="1" t="s">
        <v>3752</v>
      </c>
      <c r="F2125" s="1" t="s">
        <v>9291</v>
      </c>
      <c r="G2125" s="1" t="s">
        <v>9292</v>
      </c>
      <c r="H2125" s="1" t="s">
        <v>3604</v>
      </c>
      <c r="I2125" s="1" t="s">
        <v>9293</v>
      </c>
      <c r="J2125" s="1" t="s">
        <v>3615</v>
      </c>
      <c r="K2125" s="1" t="s">
        <v>9294</v>
      </c>
      <c r="L2125" s="1"/>
      <c r="M2125" s="1"/>
    </row>
    <row x14ac:dyDescent="0.25" r="2126" customHeight="1" ht="18.75">
      <c r="A2126" s="1" t="s">
        <v>3598</v>
      </c>
      <c r="B2126" s="1" t="s">
        <v>4627</v>
      </c>
      <c r="C2126" s="1" t="s">
        <v>3600</v>
      </c>
      <c r="D2126" s="1" t="s">
        <v>3610</v>
      </c>
      <c r="E2126" s="1" t="s">
        <v>3752</v>
      </c>
      <c r="F2126" s="1" t="s">
        <v>9295</v>
      </c>
      <c r="G2126" s="1" t="s">
        <v>9292</v>
      </c>
      <c r="H2126" s="1" t="s">
        <v>3604</v>
      </c>
      <c r="I2126" s="1" t="s">
        <v>9296</v>
      </c>
      <c r="J2126" s="1" t="s">
        <v>3615</v>
      </c>
      <c r="K2126" s="1" t="s">
        <v>9297</v>
      </c>
      <c r="L2126" s="1"/>
      <c r="M2126" s="1"/>
    </row>
    <row x14ac:dyDescent="0.25" r="2127" customHeight="1" ht="18.75">
      <c r="A2127" s="1" t="s">
        <v>3598</v>
      </c>
      <c r="B2127" s="1" t="s">
        <v>4627</v>
      </c>
      <c r="C2127" s="1" t="s">
        <v>3600</v>
      </c>
      <c r="D2127" s="1" t="s">
        <v>3610</v>
      </c>
      <c r="E2127" s="1" t="s">
        <v>3752</v>
      </c>
      <c r="F2127" s="1" t="s">
        <v>9298</v>
      </c>
      <c r="G2127" s="1" t="s">
        <v>9292</v>
      </c>
      <c r="H2127" s="1" t="s">
        <v>3604</v>
      </c>
      <c r="I2127" s="1" t="s">
        <v>9299</v>
      </c>
      <c r="J2127" s="1" t="s">
        <v>3615</v>
      </c>
      <c r="K2127" s="1" t="s">
        <v>9300</v>
      </c>
      <c r="L2127" s="1"/>
      <c r="M2127" s="1"/>
    </row>
    <row x14ac:dyDescent="0.25" r="2128" customHeight="1" ht="18.75">
      <c r="A2128" s="1" t="s">
        <v>3598</v>
      </c>
      <c r="B2128" s="1" t="s">
        <v>4627</v>
      </c>
      <c r="C2128" s="1" t="s">
        <v>3600</v>
      </c>
      <c r="D2128" s="1" t="s">
        <v>3610</v>
      </c>
      <c r="E2128" s="1" t="s">
        <v>3752</v>
      </c>
      <c r="F2128" s="1" t="s">
        <v>9301</v>
      </c>
      <c r="G2128" s="1" t="s">
        <v>9302</v>
      </c>
      <c r="H2128" s="1" t="s">
        <v>3604</v>
      </c>
      <c r="I2128" s="1" t="s">
        <v>9303</v>
      </c>
      <c r="J2128" s="1" t="s">
        <v>3615</v>
      </c>
      <c r="K2128" s="1" t="s">
        <v>9304</v>
      </c>
      <c r="L2128" s="1"/>
      <c r="M2128" s="1"/>
    </row>
    <row x14ac:dyDescent="0.25" r="2129" customHeight="1" ht="18.75">
      <c r="A2129" s="1" t="s">
        <v>3598</v>
      </c>
      <c r="B2129" s="1" t="s">
        <v>4627</v>
      </c>
      <c r="C2129" s="1" t="s">
        <v>3600</v>
      </c>
      <c r="D2129" s="1" t="s">
        <v>3610</v>
      </c>
      <c r="E2129" s="1" t="s">
        <v>3752</v>
      </c>
      <c r="F2129" s="1" t="s">
        <v>9305</v>
      </c>
      <c r="G2129" s="1" t="s">
        <v>9302</v>
      </c>
      <c r="H2129" s="1" t="s">
        <v>3604</v>
      </c>
      <c r="I2129" s="1" t="s">
        <v>9306</v>
      </c>
      <c r="J2129" s="1" t="s">
        <v>3615</v>
      </c>
      <c r="K2129" s="1" t="s">
        <v>9307</v>
      </c>
      <c r="L2129" s="1"/>
      <c r="M2129" s="1"/>
    </row>
    <row x14ac:dyDescent="0.25" r="2130" customHeight="1" ht="18.75">
      <c r="A2130" s="1" t="s">
        <v>3598</v>
      </c>
      <c r="B2130" s="1" t="s">
        <v>4627</v>
      </c>
      <c r="C2130" s="1" t="s">
        <v>3600</v>
      </c>
      <c r="D2130" s="1" t="s">
        <v>3610</v>
      </c>
      <c r="E2130" s="1" t="s">
        <v>3752</v>
      </c>
      <c r="F2130" s="1" t="s">
        <v>9308</v>
      </c>
      <c r="G2130" s="1" t="s">
        <v>9302</v>
      </c>
      <c r="H2130" s="1" t="s">
        <v>3604</v>
      </c>
      <c r="I2130" s="1" t="s">
        <v>9309</v>
      </c>
      <c r="J2130" s="1" t="s">
        <v>3615</v>
      </c>
      <c r="K2130" s="1" t="s">
        <v>9310</v>
      </c>
      <c r="L2130" s="1"/>
      <c r="M2130" s="1"/>
    </row>
    <row x14ac:dyDescent="0.25" r="2131" customHeight="1" ht="18.75">
      <c r="A2131" s="1" t="s">
        <v>3598</v>
      </c>
      <c r="B2131" s="1" t="s">
        <v>9311</v>
      </c>
      <c r="C2131" s="1" t="s">
        <v>3600</v>
      </c>
      <c r="D2131" s="1" t="s">
        <v>3610</v>
      </c>
      <c r="E2131" s="1" t="s">
        <v>3664</v>
      </c>
      <c r="F2131" s="1" t="s">
        <v>9312</v>
      </c>
      <c r="G2131" s="1" t="s">
        <v>9313</v>
      </c>
      <c r="H2131" s="1" t="s">
        <v>3604</v>
      </c>
      <c r="I2131" s="1" t="s">
        <v>9314</v>
      </c>
      <c r="J2131" s="1" t="s">
        <v>3606</v>
      </c>
      <c r="K2131" s="1" t="s">
        <v>9315</v>
      </c>
      <c r="L2131" s="1"/>
      <c r="M2131" s="1"/>
    </row>
    <row x14ac:dyDescent="0.25" r="2132" customHeight="1" ht="18.75">
      <c r="A2132" s="1" t="s">
        <v>3598</v>
      </c>
      <c r="B2132" s="1" t="s">
        <v>9311</v>
      </c>
      <c r="C2132" s="1" t="s">
        <v>3600</v>
      </c>
      <c r="D2132" s="1" t="s">
        <v>3610</v>
      </c>
      <c r="E2132" s="1" t="s">
        <v>3664</v>
      </c>
      <c r="F2132" s="1" t="s">
        <v>9316</v>
      </c>
      <c r="G2132" s="1" t="s">
        <v>9313</v>
      </c>
      <c r="H2132" s="1" t="s">
        <v>3604</v>
      </c>
      <c r="I2132" s="1" t="s">
        <v>9317</v>
      </c>
      <c r="J2132" s="1" t="s">
        <v>3606</v>
      </c>
      <c r="K2132" s="1" t="s">
        <v>9318</v>
      </c>
      <c r="L2132" s="1"/>
      <c r="M2132" s="1"/>
    </row>
    <row x14ac:dyDescent="0.25" r="2133" customHeight="1" ht="18.75">
      <c r="A2133" s="1" t="s">
        <v>3598</v>
      </c>
      <c r="B2133" s="1" t="s">
        <v>9311</v>
      </c>
      <c r="C2133" s="1" t="s">
        <v>3600</v>
      </c>
      <c r="D2133" s="1" t="s">
        <v>3610</v>
      </c>
      <c r="E2133" s="1" t="s">
        <v>3664</v>
      </c>
      <c r="F2133" s="1" t="s">
        <v>9319</v>
      </c>
      <c r="G2133" s="1" t="s">
        <v>9320</v>
      </c>
      <c r="H2133" s="1" t="s">
        <v>3604</v>
      </c>
      <c r="I2133" s="1" t="s">
        <v>9321</v>
      </c>
      <c r="J2133" s="1" t="s">
        <v>3606</v>
      </c>
      <c r="K2133" s="1" t="s">
        <v>9322</v>
      </c>
      <c r="L2133" s="1"/>
      <c r="M2133" s="1"/>
    </row>
    <row x14ac:dyDescent="0.25" r="2134" customHeight="1" ht="18.75">
      <c r="A2134" s="1" t="s">
        <v>3598</v>
      </c>
      <c r="B2134" s="1" t="s">
        <v>9311</v>
      </c>
      <c r="C2134" s="1" t="s">
        <v>3600</v>
      </c>
      <c r="D2134" s="1" t="s">
        <v>3610</v>
      </c>
      <c r="E2134" s="1" t="s">
        <v>3664</v>
      </c>
      <c r="F2134" s="1" t="s">
        <v>9323</v>
      </c>
      <c r="G2134" s="1" t="s">
        <v>9320</v>
      </c>
      <c r="H2134" s="1" t="s">
        <v>3604</v>
      </c>
      <c r="I2134" s="1" t="s">
        <v>9324</v>
      </c>
      <c r="J2134" s="1" t="s">
        <v>3606</v>
      </c>
      <c r="K2134" s="1" t="s">
        <v>9325</v>
      </c>
      <c r="L2134" s="1"/>
      <c r="M2134" s="1"/>
    </row>
    <row x14ac:dyDescent="0.25" r="2135" customHeight="1" ht="18.75">
      <c r="A2135" s="1" t="s">
        <v>3598</v>
      </c>
      <c r="B2135" s="1" t="s">
        <v>4627</v>
      </c>
      <c r="C2135" s="1" t="s">
        <v>3600</v>
      </c>
      <c r="D2135" s="1" t="s">
        <v>3610</v>
      </c>
      <c r="E2135" s="1" t="s">
        <v>3664</v>
      </c>
      <c r="F2135" s="1" t="s">
        <v>9326</v>
      </c>
      <c r="G2135" s="1" t="s">
        <v>9213</v>
      </c>
      <c r="H2135" s="1" t="s">
        <v>3604</v>
      </c>
      <c r="I2135" s="1" t="s">
        <v>9327</v>
      </c>
      <c r="J2135" s="1" t="s">
        <v>3615</v>
      </c>
      <c r="K2135" s="1" t="s">
        <v>9328</v>
      </c>
      <c r="L2135" s="1"/>
      <c r="M2135" s="1"/>
    </row>
    <row x14ac:dyDescent="0.25" r="2136" customHeight="1" ht="18.75">
      <c r="A2136" s="1" t="s">
        <v>3598</v>
      </c>
      <c r="B2136" s="1" t="s">
        <v>4627</v>
      </c>
      <c r="C2136" s="1" t="s">
        <v>3600</v>
      </c>
      <c r="D2136" s="1" t="s">
        <v>3610</v>
      </c>
      <c r="E2136" s="1" t="s">
        <v>3664</v>
      </c>
      <c r="F2136" s="1" t="s">
        <v>9329</v>
      </c>
      <c r="G2136" s="1" t="s">
        <v>9213</v>
      </c>
      <c r="H2136" s="1" t="s">
        <v>3604</v>
      </c>
      <c r="I2136" s="1" t="s">
        <v>9330</v>
      </c>
      <c r="J2136" s="1" t="s">
        <v>3615</v>
      </c>
      <c r="K2136" s="1" t="s">
        <v>9331</v>
      </c>
      <c r="L2136" s="1"/>
      <c r="M2136" s="1"/>
    </row>
    <row x14ac:dyDescent="0.25" r="2137" customHeight="1" ht="18.75">
      <c r="A2137" s="1" t="s">
        <v>3598</v>
      </c>
      <c r="B2137" s="1" t="s">
        <v>4627</v>
      </c>
      <c r="C2137" s="1" t="s">
        <v>3600</v>
      </c>
      <c r="D2137" s="1" t="s">
        <v>3610</v>
      </c>
      <c r="E2137" s="1" t="s">
        <v>3664</v>
      </c>
      <c r="F2137" s="1" t="s">
        <v>9332</v>
      </c>
      <c r="G2137" s="1" t="s">
        <v>9213</v>
      </c>
      <c r="H2137" s="1" t="s">
        <v>3604</v>
      </c>
      <c r="I2137" s="1" t="s">
        <v>9333</v>
      </c>
      <c r="J2137" s="1" t="s">
        <v>3615</v>
      </c>
      <c r="K2137" s="1" t="s">
        <v>9334</v>
      </c>
      <c r="L2137" s="1"/>
      <c r="M2137" s="1"/>
    </row>
    <row x14ac:dyDescent="0.25" r="2138" customHeight="1" ht="18.75">
      <c r="A2138" s="1" t="s">
        <v>3598</v>
      </c>
      <c r="B2138" s="1" t="s">
        <v>4627</v>
      </c>
      <c r="C2138" s="1" t="s">
        <v>3600</v>
      </c>
      <c r="D2138" s="1" t="s">
        <v>3610</v>
      </c>
      <c r="E2138" s="1" t="s">
        <v>3664</v>
      </c>
      <c r="F2138" s="1" t="s">
        <v>9335</v>
      </c>
      <c r="G2138" s="1" t="s">
        <v>8638</v>
      </c>
      <c r="H2138" s="1" t="s">
        <v>3604</v>
      </c>
      <c r="I2138" s="1" t="s">
        <v>9336</v>
      </c>
      <c r="J2138" s="1" t="s">
        <v>3615</v>
      </c>
      <c r="K2138" s="1" t="s">
        <v>9337</v>
      </c>
      <c r="L2138" s="1"/>
      <c r="M2138" s="1"/>
    </row>
    <row x14ac:dyDescent="0.25" r="2139" customHeight="1" ht="18.75">
      <c r="A2139" s="1" t="s">
        <v>3598</v>
      </c>
      <c r="B2139" s="1" t="s">
        <v>4627</v>
      </c>
      <c r="C2139" s="1" t="s">
        <v>3600</v>
      </c>
      <c r="D2139" s="1" t="s">
        <v>3610</v>
      </c>
      <c r="E2139" s="1" t="s">
        <v>3664</v>
      </c>
      <c r="F2139" s="1" t="s">
        <v>9338</v>
      </c>
      <c r="G2139" s="1" t="s">
        <v>8638</v>
      </c>
      <c r="H2139" s="1" t="s">
        <v>3604</v>
      </c>
      <c r="I2139" s="1" t="s">
        <v>9339</v>
      </c>
      <c r="J2139" s="1" t="s">
        <v>3615</v>
      </c>
      <c r="K2139" s="1" t="s">
        <v>9340</v>
      </c>
      <c r="L2139" s="1"/>
      <c r="M2139" s="1"/>
    </row>
    <row x14ac:dyDescent="0.25" r="2140" customHeight="1" ht="18.75">
      <c r="A2140" s="1" t="s">
        <v>3598</v>
      </c>
      <c r="B2140" s="1" t="s">
        <v>4627</v>
      </c>
      <c r="C2140" s="1" t="s">
        <v>3600</v>
      </c>
      <c r="D2140" s="1" t="s">
        <v>3610</v>
      </c>
      <c r="E2140" s="1" t="s">
        <v>3664</v>
      </c>
      <c r="F2140" s="1" t="s">
        <v>9341</v>
      </c>
      <c r="G2140" s="1" t="s">
        <v>8638</v>
      </c>
      <c r="H2140" s="1" t="s">
        <v>3604</v>
      </c>
      <c r="I2140" s="1" t="s">
        <v>9342</v>
      </c>
      <c r="J2140" s="1" t="s">
        <v>3615</v>
      </c>
      <c r="K2140" s="1" t="s">
        <v>9343</v>
      </c>
      <c r="L2140" s="1"/>
      <c r="M2140" s="1"/>
    </row>
    <row x14ac:dyDescent="0.25" r="2141" customHeight="1" ht="18.75">
      <c r="A2141" s="1" t="s">
        <v>3598</v>
      </c>
      <c r="B2141" s="1" t="s">
        <v>9344</v>
      </c>
      <c r="C2141" s="1" t="s">
        <v>3600</v>
      </c>
      <c r="D2141" s="1" t="s">
        <v>3610</v>
      </c>
      <c r="E2141" s="1" t="s">
        <v>3664</v>
      </c>
      <c r="F2141" s="1" t="s">
        <v>9345</v>
      </c>
      <c r="G2141" s="1" t="s">
        <v>9346</v>
      </c>
      <c r="H2141" s="1" t="s">
        <v>3604</v>
      </c>
      <c r="I2141" s="1" t="s">
        <v>9347</v>
      </c>
      <c r="J2141" s="1" t="s">
        <v>3606</v>
      </c>
      <c r="K2141" s="1" t="s">
        <v>9348</v>
      </c>
      <c r="L2141" s="1"/>
      <c r="M2141" s="1"/>
    </row>
    <row x14ac:dyDescent="0.25" r="2142" customHeight="1" ht="18.75">
      <c r="A2142" s="1" t="s">
        <v>3598</v>
      </c>
      <c r="B2142" s="1" t="s">
        <v>9344</v>
      </c>
      <c r="C2142" s="1" t="s">
        <v>3600</v>
      </c>
      <c r="D2142" s="1" t="s">
        <v>3610</v>
      </c>
      <c r="E2142" s="1" t="s">
        <v>3664</v>
      </c>
      <c r="F2142" s="1" t="s">
        <v>9349</v>
      </c>
      <c r="G2142" s="1" t="s">
        <v>9346</v>
      </c>
      <c r="H2142" s="1" t="s">
        <v>3604</v>
      </c>
      <c r="I2142" s="1" t="s">
        <v>9350</v>
      </c>
      <c r="J2142" s="1" t="s">
        <v>3606</v>
      </c>
      <c r="K2142" s="1" t="s">
        <v>9351</v>
      </c>
      <c r="L2142" s="1"/>
      <c r="M2142" s="1"/>
    </row>
    <row x14ac:dyDescent="0.25" r="2143" customHeight="1" ht="18.75">
      <c r="A2143" s="1" t="s">
        <v>3598</v>
      </c>
      <c r="B2143" s="1" t="s">
        <v>9344</v>
      </c>
      <c r="C2143" s="1" t="s">
        <v>3600</v>
      </c>
      <c r="D2143" s="1" t="s">
        <v>3610</v>
      </c>
      <c r="E2143" s="1" t="s">
        <v>3664</v>
      </c>
      <c r="F2143" s="1" t="s">
        <v>9352</v>
      </c>
      <c r="G2143" s="1" t="s">
        <v>9346</v>
      </c>
      <c r="H2143" s="1" t="s">
        <v>3604</v>
      </c>
      <c r="I2143" s="1" t="s">
        <v>9353</v>
      </c>
      <c r="J2143" s="1" t="s">
        <v>3606</v>
      </c>
      <c r="K2143" s="1" t="s">
        <v>9354</v>
      </c>
      <c r="L2143" s="1"/>
      <c r="M2143" s="1"/>
    </row>
    <row x14ac:dyDescent="0.25" r="2144" customHeight="1" ht="18.75">
      <c r="A2144" s="1" t="s">
        <v>3598</v>
      </c>
      <c r="B2144" s="1" t="s">
        <v>5239</v>
      </c>
      <c r="C2144" s="1" t="s">
        <v>3600</v>
      </c>
      <c r="D2144" s="1" t="s">
        <v>3610</v>
      </c>
      <c r="E2144" s="1" t="s">
        <v>3664</v>
      </c>
      <c r="F2144" s="1" t="s">
        <v>9355</v>
      </c>
      <c r="G2144" s="1" t="s">
        <v>9288</v>
      </c>
      <c r="H2144" s="1" t="s">
        <v>3604</v>
      </c>
      <c r="I2144" s="1" t="s">
        <v>9356</v>
      </c>
      <c r="J2144" s="1" t="s">
        <v>3606</v>
      </c>
      <c r="K2144" s="1" t="s">
        <v>9357</v>
      </c>
      <c r="L2144" s="1"/>
      <c r="M2144" s="1"/>
    </row>
    <row x14ac:dyDescent="0.25" r="2145" customHeight="1" ht="18.75">
      <c r="A2145" s="1" t="s">
        <v>3598</v>
      </c>
      <c r="B2145" s="1" t="s">
        <v>9311</v>
      </c>
      <c r="C2145" s="1" t="s">
        <v>3600</v>
      </c>
      <c r="D2145" s="1" t="s">
        <v>3610</v>
      </c>
      <c r="E2145" s="1" t="s">
        <v>3664</v>
      </c>
      <c r="F2145" s="1" t="s">
        <v>9358</v>
      </c>
      <c r="G2145" s="1" t="s">
        <v>8578</v>
      </c>
      <c r="H2145" s="1" t="s">
        <v>3604</v>
      </c>
      <c r="I2145" s="1" t="s">
        <v>9359</v>
      </c>
      <c r="J2145" s="1" t="s">
        <v>3606</v>
      </c>
      <c r="K2145" s="1" t="s">
        <v>9360</v>
      </c>
      <c r="L2145" s="1"/>
      <c r="M2145" s="1"/>
    </row>
    <row x14ac:dyDescent="0.25" r="2146" customHeight="1" ht="18.75">
      <c r="A2146" s="1" t="s">
        <v>3598</v>
      </c>
      <c r="B2146" s="1" t="s">
        <v>9311</v>
      </c>
      <c r="C2146" s="1" t="s">
        <v>3600</v>
      </c>
      <c r="D2146" s="1" t="s">
        <v>3610</v>
      </c>
      <c r="E2146" s="1" t="s">
        <v>3664</v>
      </c>
      <c r="F2146" s="1" t="s">
        <v>9361</v>
      </c>
      <c r="G2146" s="1" t="s">
        <v>8578</v>
      </c>
      <c r="H2146" s="1" t="s">
        <v>3604</v>
      </c>
      <c r="I2146" s="1" t="s">
        <v>9362</v>
      </c>
      <c r="J2146" s="1" t="s">
        <v>3606</v>
      </c>
      <c r="K2146" s="1" t="s">
        <v>9363</v>
      </c>
      <c r="L2146" s="1"/>
      <c r="M2146" s="1"/>
    </row>
    <row x14ac:dyDescent="0.25" r="2147" customHeight="1" ht="18.75">
      <c r="A2147" s="1" t="s">
        <v>3598</v>
      </c>
      <c r="B2147" s="1" t="s">
        <v>9311</v>
      </c>
      <c r="C2147" s="1" t="s">
        <v>3600</v>
      </c>
      <c r="D2147" s="1" t="s">
        <v>3610</v>
      </c>
      <c r="E2147" s="1" t="s">
        <v>3664</v>
      </c>
      <c r="F2147" s="1" t="s">
        <v>9364</v>
      </c>
      <c r="G2147" s="1" t="s">
        <v>8578</v>
      </c>
      <c r="H2147" s="1" t="s">
        <v>3604</v>
      </c>
      <c r="I2147" s="1" t="s">
        <v>9365</v>
      </c>
      <c r="J2147" s="1" t="s">
        <v>3606</v>
      </c>
      <c r="K2147" s="1" t="s">
        <v>9366</v>
      </c>
      <c r="L2147" s="1"/>
      <c r="M2147" s="1"/>
    </row>
    <row x14ac:dyDescent="0.25" r="2148" customHeight="1" ht="18.75">
      <c r="A2148" s="1" t="s">
        <v>3598</v>
      </c>
      <c r="B2148" s="1" t="s">
        <v>3663</v>
      </c>
      <c r="C2148" s="1" t="s">
        <v>3600</v>
      </c>
      <c r="D2148" s="1" t="s">
        <v>3610</v>
      </c>
      <c r="E2148" s="1" t="s">
        <v>3752</v>
      </c>
      <c r="F2148" s="1" t="s">
        <v>9367</v>
      </c>
      <c r="G2148" s="1" t="s">
        <v>9368</v>
      </c>
      <c r="H2148" s="1" t="s">
        <v>3604</v>
      </c>
      <c r="I2148" s="1" t="s">
        <v>9369</v>
      </c>
      <c r="J2148" s="1" t="s">
        <v>3615</v>
      </c>
      <c r="K2148" s="1" t="s">
        <v>9370</v>
      </c>
      <c r="L2148" s="1"/>
      <c r="M2148" s="1"/>
    </row>
    <row x14ac:dyDescent="0.25" r="2149" customHeight="1" ht="18.75">
      <c r="A2149" s="1" t="s">
        <v>3598</v>
      </c>
      <c r="B2149" s="1" t="s">
        <v>3663</v>
      </c>
      <c r="C2149" s="1" t="s">
        <v>3600</v>
      </c>
      <c r="D2149" s="1" t="s">
        <v>3610</v>
      </c>
      <c r="E2149" s="1" t="s">
        <v>3752</v>
      </c>
      <c r="F2149" s="1" t="s">
        <v>9371</v>
      </c>
      <c r="G2149" s="1" t="s">
        <v>9368</v>
      </c>
      <c r="H2149" s="1" t="s">
        <v>3604</v>
      </c>
      <c r="I2149" s="1" t="s">
        <v>9372</v>
      </c>
      <c r="J2149" s="1" t="s">
        <v>3615</v>
      </c>
      <c r="K2149" s="1" t="s">
        <v>9373</v>
      </c>
      <c r="L2149" s="1"/>
      <c r="M2149" s="1"/>
    </row>
    <row x14ac:dyDescent="0.25" r="2150" customHeight="1" ht="18.75">
      <c r="A2150" s="1" t="s">
        <v>3693</v>
      </c>
      <c r="B2150" s="1" t="s">
        <v>4144</v>
      </c>
      <c r="C2150" s="1" t="s">
        <v>3619</v>
      </c>
      <c r="D2150" s="1" t="s">
        <v>533</v>
      </c>
      <c r="E2150" s="1" t="s">
        <v>3664</v>
      </c>
      <c r="F2150" s="1" t="s">
        <v>9374</v>
      </c>
      <c r="G2150" s="1" t="s">
        <v>9049</v>
      </c>
      <c r="H2150" s="1" t="s">
        <v>3604</v>
      </c>
      <c r="I2150" s="1" t="s">
        <v>9375</v>
      </c>
      <c r="J2150" s="1" t="s">
        <v>3606</v>
      </c>
      <c r="K2150" s="1" t="s">
        <v>9376</v>
      </c>
      <c r="L2150" s="1"/>
      <c r="M2150" s="1"/>
    </row>
    <row x14ac:dyDescent="0.25" r="2151" customHeight="1" ht="18.75">
      <c r="A2151" s="1" t="s">
        <v>3693</v>
      </c>
      <c r="B2151" s="1" t="s">
        <v>4144</v>
      </c>
      <c r="C2151" s="1" t="s">
        <v>3619</v>
      </c>
      <c r="D2151" s="1" t="s">
        <v>533</v>
      </c>
      <c r="E2151" s="1" t="s">
        <v>3664</v>
      </c>
      <c r="F2151" s="1" t="s">
        <v>9377</v>
      </c>
      <c r="G2151" s="1" t="s">
        <v>9378</v>
      </c>
      <c r="H2151" s="1" t="s">
        <v>3604</v>
      </c>
      <c r="I2151" s="1" t="s">
        <v>9379</v>
      </c>
      <c r="J2151" s="1" t="s">
        <v>3606</v>
      </c>
      <c r="K2151" s="1" t="s">
        <v>9380</v>
      </c>
      <c r="L2151" s="1"/>
      <c r="M2151" s="1"/>
    </row>
    <row x14ac:dyDescent="0.25" r="2152" customHeight="1" ht="18.75">
      <c r="A2152" s="1" t="s">
        <v>3693</v>
      </c>
      <c r="B2152" s="1" t="s">
        <v>4162</v>
      </c>
      <c r="C2152" s="1" t="s">
        <v>3619</v>
      </c>
      <c r="D2152" s="1" t="s">
        <v>533</v>
      </c>
      <c r="E2152" s="1" t="s">
        <v>3981</v>
      </c>
      <c r="F2152" s="1" t="s">
        <v>9381</v>
      </c>
      <c r="G2152" s="1" t="s">
        <v>9382</v>
      </c>
      <c r="H2152" s="1" t="s">
        <v>3604</v>
      </c>
      <c r="I2152" s="1" t="s">
        <v>9383</v>
      </c>
      <c r="J2152" s="1" t="s">
        <v>3606</v>
      </c>
      <c r="K2152" s="1" t="s">
        <v>9384</v>
      </c>
      <c r="L2152" s="1"/>
      <c r="M2152" s="1"/>
    </row>
    <row x14ac:dyDescent="0.25" r="2153" customHeight="1" ht="18.75">
      <c r="A2153" s="1" t="s">
        <v>3693</v>
      </c>
      <c r="B2153" s="1" t="s">
        <v>4162</v>
      </c>
      <c r="C2153" s="1" t="s">
        <v>3619</v>
      </c>
      <c r="D2153" s="1" t="s">
        <v>533</v>
      </c>
      <c r="E2153" s="1" t="s">
        <v>3664</v>
      </c>
      <c r="F2153" s="1" t="s">
        <v>9385</v>
      </c>
      <c r="G2153" s="1" t="s">
        <v>9382</v>
      </c>
      <c r="H2153" s="1" t="s">
        <v>3604</v>
      </c>
      <c r="I2153" s="1" t="s">
        <v>9386</v>
      </c>
      <c r="J2153" s="1" t="s">
        <v>3606</v>
      </c>
      <c r="K2153" s="1" t="s">
        <v>9387</v>
      </c>
      <c r="L2153" s="1"/>
      <c r="M2153" s="1"/>
    </row>
    <row x14ac:dyDescent="0.25" r="2154" customHeight="1" ht="18.75">
      <c r="A2154" s="1" t="s">
        <v>3693</v>
      </c>
      <c r="B2154" s="1" t="s">
        <v>4263</v>
      </c>
      <c r="C2154" s="1" t="s">
        <v>3619</v>
      </c>
      <c r="D2154" s="1" t="s">
        <v>533</v>
      </c>
      <c r="E2154" s="1" t="s">
        <v>3664</v>
      </c>
      <c r="F2154" s="1" t="s">
        <v>9388</v>
      </c>
      <c r="G2154" s="1" t="s">
        <v>9389</v>
      </c>
      <c r="H2154" s="1" t="s">
        <v>3604</v>
      </c>
      <c r="I2154" s="1" t="s">
        <v>9390</v>
      </c>
      <c r="J2154" s="1" t="s">
        <v>3606</v>
      </c>
      <c r="K2154" s="1" t="s">
        <v>9391</v>
      </c>
      <c r="L2154" s="1"/>
      <c r="M2154" s="1"/>
    </row>
    <row x14ac:dyDescent="0.25" r="2155" customHeight="1" ht="18.75">
      <c r="A2155" s="1" t="s">
        <v>3693</v>
      </c>
      <c r="B2155" s="1" t="s">
        <v>4208</v>
      </c>
      <c r="C2155" s="1" t="s">
        <v>3619</v>
      </c>
      <c r="D2155" s="1" t="s">
        <v>7847</v>
      </c>
      <c r="E2155" s="1" t="s">
        <v>3664</v>
      </c>
      <c r="F2155" s="1" t="s">
        <v>9392</v>
      </c>
      <c r="G2155" s="1" t="s">
        <v>9393</v>
      </c>
      <c r="H2155" s="1" t="s">
        <v>3604</v>
      </c>
      <c r="I2155" s="1" t="s">
        <v>9394</v>
      </c>
      <c r="J2155" s="1" t="s">
        <v>3606</v>
      </c>
      <c r="K2155" s="1" t="s">
        <v>9395</v>
      </c>
      <c r="L2155" s="1"/>
      <c r="M2155" s="1"/>
    </row>
    <row x14ac:dyDescent="0.25" r="2156" customHeight="1" ht="18.75">
      <c r="A2156" s="1" t="s">
        <v>3693</v>
      </c>
      <c r="B2156" s="1" t="s">
        <v>4263</v>
      </c>
      <c r="C2156" s="1" t="s">
        <v>3619</v>
      </c>
      <c r="D2156" s="1" t="s">
        <v>7847</v>
      </c>
      <c r="E2156" s="1" t="s">
        <v>3664</v>
      </c>
      <c r="F2156" s="1" t="s">
        <v>9392</v>
      </c>
      <c r="G2156" s="1" t="s">
        <v>9396</v>
      </c>
      <c r="H2156" s="1" t="s">
        <v>3604</v>
      </c>
      <c r="I2156" s="1" t="s">
        <v>9397</v>
      </c>
      <c r="J2156" s="1" t="s">
        <v>3606</v>
      </c>
      <c r="K2156" s="1" t="s">
        <v>9395</v>
      </c>
      <c r="L2156" s="1"/>
      <c r="M2156" s="1"/>
    </row>
    <row x14ac:dyDescent="0.25" r="2157" customHeight="1" ht="18.75">
      <c r="A2157" s="1" t="s">
        <v>3693</v>
      </c>
      <c r="B2157" s="1" t="s">
        <v>9398</v>
      </c>
      <c r="C2157" s="1" t="s">
        <v>3619</v>
      </c>
      <c r="D2157" s="1" t="s">
        <v>3601</v>
      </c>
      <c r="E2157" s="1" t="s">
        <v>3664</v>
      </c>
      <c r="F2157" s="1" t="s">
        <v>9399</v>
      </c>
      <c r="G2157" s="1" t="s">
        <v>4176</v>
      </c>
      <c r="H2157" s="1" t="s">
        <v>3604</v>
      </c>
      <c r="I2157" s="1" t="s">
        <v>9400</v>
      </c>
      <c r="J2157" s="1" t="s">
        <v>3615</v>
      </c>
      <c r="K2157" s="1" t="s">
        <v>9401</v>
      </c>
      <c r="L2157" s="1"/>
      <c r="M2157" s="1"/>
    </row>
    <row x14ac:dyDescent="0.25" r="2158" customHeight="1" ht="18.75">
      <c r="A2158" s="1" t="s">
        <v>3693</v>
      </c>
      <c r="B2158" s="1" t="s">
        <v>4162</v>
      </c>
      <c r="C2158" s="1" t="s">
        <v>3619</v>
      </c>
      <c r="D2158" s="1" t="s">
        <v>3601</v>
      </c>
      <c r="E2158" s="1" t="s">
        <v>3664</v>
      </c>
      <c r="F2158" s="1" t="s">
        <v>9402</v>
      </c>
      <c r="G2158" s="1" t="s">
        <v>9403</v>
      </c>
      <c r="H2158" s="1" t="s">
        <v>3604</v>
      </c>
      <c r="I2158" s="1" t="s">
        <v>9404</v>
      </c>
      <c r="J2158" s="1" t="s">
        <v>3615</v>
      </c>
      <c r="K2158" s="1" t="s">
        <v>9405</v>
      </c>
      <c r="L2158" s="1"/>
      <c r="M2158" s="1"/>
    </row>
    <row x14ac:dyDescent="0.25" r="2159" customHeight="1" ht="18.75">
      <c r="A2159" s="1" t="s">
        <v>3693</v>
      </c>
      <c r="B2159" s="1" t="s">
        <v>4208</v>
      </c>
      <c r="C2159" s="1" t="s">
        <v>3619</v>
      </c>
      <c r="D2159" s="1" t="s">
        <v>3610</v>
      </c>
      <c r="E2159" s="1" t="s">
        <v>3664</v>
      </c>
      <c r="F2159" s="1" t="s">
        <v>9406</v>
      </c>
      <c r="G2159" s="1" t="s">
        <v>9407</v>
      </c>
      <c r="H2159" s="1" t="s">
        <v>3604</v>
      </c>
      <c r="I2159" s="1" t="s">
        <v>9408</v>
      </c>
      <c r="J2159" s="1" t="s">
        <v>3615</v>
      </c>
      <c r="K2159" s="1" t="s">
        <v>9409</v>
      </c>
      <c r="L2159" s="1"/>
      <c r="M2159" s="1"/>
    </row>
    <row x14ac:dyDescent="0.25" r="2160" customHeight="1" ht="18.75">
      <c r="A2160" s="1" t="s">
        <v>3693</v>
      </c>
      <c r="B2160" s="1" t="s">
        <v>5974</v>
      </c>
      <c r="C2160" s="1" t="s">
        <v>3619</v>
      </c>
      <c r="D2160" s="1" t="s">
        <v>7891</v>
      </c>
      <c r="E2160" s="1" t="s">
        <v>3664</v>
      </c>
      <c r="F2160" s="1" t="s">
        <v>9410</v>
      </c>
      <c r="G2160" s="1" t="s">
        <v>9411</v>
      </c>
      <c r="H2160" s="1" t="s">
        <v>3604</v>
      </c>
      <c r="I2160" s="1" t="s">
        <v>9412</v>
      </c>
      <c r="J2160" s="1" t="s">
        <v>3615</v>
      </c>
      <c r="K2160" s="1" t="s">
        <v>9413</v>
      </c>
      <c r="L2160" s="1"/>
      <c r="M2160" s="1"/>
    </row>
    <row x14ac:dyDescent="0.25" r="2161" customHeight="1" ht="18.75">
      <c r="A2161" s="1" t="s">
        <v>3693</v>
      </c>
      <c r="B2161" s="1" t="s">
        <v>5974</v>
      </c>
      <c r="C2161" s="1" t="s">
        <v>3619</v>
      </c>
      <c r="D2161" s="1" t="s">
        <v>7891</v>
      </c>
      <c r="E2161" s="1" t="s">
        <v>3664</v>
      </c>
      <c r="F2161" s="1" t="s">
        <v>9414</v>
      </c>
      <c r="G2161" s="1" t="s">
        <v>9411</v>
      </c>
      <c r="H2161" s="1" t="s">
        <v>3604</v>
      </c>
      <c r="I2161" s="1" t="s">
        <v>9415</v>
      </c>
      <c r="J2161" s="1" t="s">
        <v>3615</v>
      </c>
      <c r="K2161" s="1" t="s">
        <v>9416</v>
      </c>
      <c r="L2161" s="1"/>
      <c r="M2161" s="1"/>
    </row>
    <row x14ac:dyDescent="0.25" r="2162" customHeight="1" ht="18.75">
      <c r="A2162" s="1" t="s">
        <v>3693</v>
      </c>
      <c r="B2162" s="1" t="s">
        <v>5974</v>
      </c>
      <c r="C2162" s="1" t="s">
        <v>3619</v>
      </c>
      <c r="D2162" s="1" t="s">
        <v>7891</v>
      </c>
      <c r="E2162" s="1" t="s">
        <v>3664</v>
      </c>
      <c r="F2162" s="1" t="s">
        <v>9417</v>
      </c>
      <c r="G2162" s="1" t="s">
        <v>9411</v>
      </c>
      <c r="H2162" s="1" t="s">
        <v>3604</v>
      </c>
      <c r="I2162" s="1" t="s">
        <v>9418</v>
      </c>
      <c r="J2162" s="1" t="s">
        <v>3615</v>
      </c>
      <c r="K2162" s="1" t="s">
        <v>9419</v>
      </c>
      <c r="L2162" s="1"/>
      <c r="M2162" s="1"/>
    </row>
    <row x14ac:dyDescent="0.25" r="2163" customHeight="1" ht="18.75">
      <c r="A2163" s="1" t="s">
        <v>3693</v>
      </c>
      <c r="B2163" s="1" t="s">
        <v>5797</v>
      </c>
      <c r="C2163" s="1" t="s">
        <v>3619</v>
      </c>
      <c r="D2163" s="1" t="s">
        <v>7891</v>
      </c>
      <c r="E2163" s="1" t="s">
        <v>3664</v>
      </c>
      <c r="F2163" s="1" t="s">
        <v>9420</v>
      </c>
      <c r="G2163" s="1" t="s">
        <v>9421</v>
      </c>
      <c r="H2163" s="1" t="s">
        <v>3604</v>
      </c>
      <c r="I2163" s="1" t="s">
        <v>9422</v>
      </c>
      <c r="J2163" s="1" t="s">
        <v>3615</v>
      </c>
      <c r="K2163" s="1" t="s">
        <v>9423</v>
      </c>
      <c r="L2163" s="1"/>
      <c r="M2163" s="1"/>
    </row>
    <row x14ac:dyDescent="0.25" r="2164" customHeight="1" ht="18.75">
      <c r="A2164" s="1" t="s">
        <v>3693</v>
      </c>
      <c r="B2164" s="1" t="s">
        <v>5797</v>
      </c>
      <c r="C2164" s="1" t="s">
        <v>3619</v>
      </c>
      <c r="D2164" s="1" t="s">
        <v>7891</v>
      </c>
      <c r="E2164" s="1" t="s">
        <v>3664</v>
      </c>
      <c r="F2164" s="1" t="s">
        <v>9424</v>
      </c>
      <c r="G2164" s="1" t="s">
        <v>9421</v>
      </c>
      <c r="H2164" s="1" t="s">
        <v>3604</v>
      </c>
      <c r="I2164" s="1" t="s">
        <v>9425</v>
      </c>
      <c r="J2164" s="1" t="s">
        <v>3615</v>
      </c>
      <c r="K2164" s="1" t="s">
        <v>9426</v>
      </c>
      <c r="L2164" s="1"/>
      <c r="M2164" s="1"/>
    </row>
    <row x14ac:dyDescent="0.25" r="2165" customHeight="1" ht="18.75">
      <c r="A2165" s="1" t="s">
        <v>3693</v>
      </c>
      <c r="B2165" s="1" t="s">
        <v>5797</v>
      </c>
      <c r="C2165" s="1" t="s">
        <v>3619</v>
      </c>
      <c r="D2165" s="1" t="s">
        <v>7891</v>
      </c>
      <c r="E2165" s="1" t="s">
        <v>3664</v>
      </c>
      <c r="F2165" s="1" t="s">
        <v>9427</v>
      </c>
      <c r="G2165" s="1" t="s">
        <v>9421</v>
      </c>
      <c r="H2165" s="1" t="s">
        <v>3604</v>
      </c>
      <c r="I2165" s="1" t="s">
        <v>9428</v>
      </c>
      <c r="J2165" s="1" t="s">
        <v>3615</v>
      </c>
      <c r="K2165" s="1" t="s">
        <v>9429</v>
      </c>
      <c r="L2165" s="1"/>
      <c r="M2165" s="1"/>
    </row>
    <row x14ac:dyDescent="0.25" r="2166" customHeight="1" ht="18.75">
      <c r="A2166" s="1" t="s">
        <v>3693</v>
      </c>
      <c r="B2166" s="1" t="s">
        <v>5974</v>
      </c>
      <c r="C2166" s="1" t="s">
        <v>3619</v>
      </c>
      <c r="D2166" s="1" t="s">
        <v>7891</v>
      </c>
      <c r="E2166" s="1" t="s">
        <v>3664</v>
      </c>
      <c r="F2166" s="1" t="s">
        <v>9430</v>
      </c>
      <c r="G2166" s="1" t="s">
        <v>9431</v>
      </c>
      <c r="H2166" s="1" t="s">
        <v>3604</v>
      </c>
      <c r="I2166" s="1" t="s">
        <v>9432</v>
      </c>
      <c r="J2166" s="1" t="s">
        <v>3615</v>
      </c>
      <c r="K2166" s="1" t="s">
        <v>9433</v>
      </c>
      <c r="L2166" s="1"/>
      <c r="M2166" s="1"/>
    </row>
    <row x14ac:dyDescent="0.25" r="2167" customHeight="1" ht="18.75">
      <c r="A2167" s="1" t="s">
        <v>3693</v>
      </c>
      <c r="B2167" s="1" t="s">
        <v>5974</v>
      </c>
      <c r="C2167" s="1" t="s">
        <v>3619</v>
      </c>
      <c r="D2167" s="1" t="s">
        <v>7891</v>
      </c>
      <c r="E2167" s="1" t="s">
        <v>3664</v>
      </c>
      <c r="F2167" s="1" t="s">
        <v>9434</v>
      </c>
      <c r="G2167" s="1" t="s">
        <v>9431</v>
      </c>
      <c r="H2167" s="1" t="s">
        <v>3604</v>
      </c>
      <c r="I2167" s="1" t="s">
        <v>9435</v>
      </c>
      <c r="J2167" s="1" t="s">
        <v>3615</v>
      </c>
      <c r="K2167" s="1" t="s">
        <v>9436</v>
      </c>
      <c r="L2167" s="1"/>
      <c r="M2167" s="1"/>
    </row>
    <row x14ac:dyDescent="0.25" r="2168" customHeight="1" ht="18.75">
      <c r="A2168" s="1" t="s">
        <v>3693</v>
      </c>
      <c r="B2168" s="1" t="s">
        <v>5974</v>
      </c>
      <c r="C2168" s="1" t="s">
        <v>3619</v>
      </c>
      <c r="D2168" s="1" t="s">
        <v>7891</v>
      </c>
      <c r="E2168" s="1" t="s">
        <v>3664</v>
      </c>
      <c r="F2168" s="1" t="s">
        <v>9437</v>
      </c>
      <c r="G2168" s="1" t="s">
        <v>9431</v>
      </c>
      <c r="H2168" s="1" t="s">
        <v>3604</v>
      </c>
      <c r="I2168" s="1" t="s">
        <v>9438</v>
      </c>
      <c r="J2168" s="1" t="s">
        <v>3615</v>
      </c>
      <c r="K2168" s="1" t="s">
        <v>9439</v>
      </c>
      <c r="L2168" s="1"/>
      <c r="M2168" s="1"/>
    </row>
    <row x14ac:dyDescent="0.25" r="2169" customHeight="1" ht="18.75">
      <c r="A2169" s="1" t="s">
        <v>3693</v>
      </c>
      <c r="B2169" s="1" t="s">
        <v>6216</v>
      </c>
      <c r="C2169" s="1" t="s">
        <v>3619</v>
      </c>
      <c r="D2169" s="1" t="s">
        <v>7891</v>
      </c>
      <c r="E2169" s="1" t="s">
        <v>3664</v>
      </c>
      <c r="F2169" s="1" t="s">
        <v>9440</v>
      </c>
      <c r="G2169" s="1" t="s">
        <v>6234</v>
      </c>
      <c r="H2169" s="1" t="s">
        <v>3604</v>
      </c>
      <c r="I2169" s="1" t="s">
        <v>9441</v>
      </c>
      <c r="J2169" s="1" t="s">
        <v>3615</v>
      </c>
      <c r="K2169" s="1" t="s">
        <v>9442</v>
      </c>
      <c r="L2169" s="1"/>
      <c r="M2169" s="1"/>
    </row>
    <row x14ac:dyDescent="0.25" r="2170" customHeight="1" ht="18.75">
      <c r="A2170" s="1" t="s">
        <v>3693</v>
      </c>
      <c r="B2170" s="1" t="s">
        <v>6216</v>
      </c>
      <c r="C2170" s="1" t="s">
        <v>3619</v>
      </c>
      <c r="D2170" s="1" t="s">
        <v>7891</v>
      </c>
      <c r="E2170" s="1" t="s">
        <v>3664</v>
      </c>
      <c r="F2170" s="1" t="s">
        <v>9443</v>
      </c>
      <c r="G2170" s="1" t="s">
        <v>6234</v>
      </c>
      <c r="H2170" s="1" t="s">
        <v>3604</v>
      </c>
      <c r="I2170" s="1" t="s">
        <v>9444</v>
      </c>
      <c r="J2170" s="1" t="s">
        <v>3615</v>
      </c>
      <c r="K2170" s="1" t="s">
        <v>9445</v>
      </c>
      <c r="L2170" s="1"/>
      <c r="M2170" s="1"/>
    </row>
    <row x14ac:dyDescent="0.25" r="2171" customHeight="1" ht="18.75">
      <c r="A2171" s="1" t="s">
        <v>3693</v>
      </c>
      <c r="B2171" s="1" t="s">
        <v>6216</v>
      </c>
      <c r="C2171" s="1" t="s">
        <v>3619</v>
      </c>
      <c r="D2171" s="1" t="s">
        <v>8373</v>
      </c>
      <c r="E2171" s="1" t="s">
        <v>3664</v>
      </c>
      <c r="F2171" s="1" t="s">
        <v>9446</v>
      </c>
      <c r="G2171" s="1" t="s">
        <v>7000</v>
      </c>
      <c r="H2171" s="1" t="s">
        <v>3604</v>
      </c>
      <c r="I2171" s="1" t="s">
        <v>9447</v>
      </c>
      <c r="J2171" s="1" t="s">
        <v>3606</v>
      </c>
      <c r="K2171" s="1" t="s">
        <v>9448</v>
      </c>
      <c r="L2171" s="1"/>
      <c r="M2171" s="1"/>
    </row>
    <row x14ac:dyDescent="0.25" r="2172" customHeight="1" ht="18.75">
      <c r="A2172" s="1" t="s">
        <v>3598</v>
      </c>
      <c r="B2172" s="1" t="s">
        <v>9449</v>
      </c>
      <c r="C2172" s="1" t="s">
        <v>3600</v>
      </c>
      <c r="D2172" s="1" t="s">
        <v>3610</v>
      </c>
      <c r="E2172" s="1" t="s">
        <v>3611</v>
      </c>
      <c r="F2172" s="1" t="s">
        <v>9450</v>
      </c>
      <c r="G2172" s="1" t="s">
        <v>9451</v>
      </c>
      <c r="H2172" s="1" t="s">
        <v>3604</v>
      </c>
      <c r="I2172" s="1" t="s">
        <v>9452</v>
      </c>
      <c r="J2172" s="1" t="s">
        <v>3606</v>
      </c>
      <c r="K2172" s="1" t="s">
        <v>9453</v>
      </c>
      <c r="L2172" s="1"/>
      <c r="M2172" s="1"/>
    </row>
    <row x14ac:dyDescent="0.25" r="2173" customHeight="1" ht="18.75">
      <c r="A2173" s="1" t="s">
        <v>3598</v>
      </c>
      <c r="B2173" s="1" t="s">
        <v>9449</v>
      </c>
      <c r="C2173" s="1" t="s">
        <v>3600</v>
      </c>
      <c r="D2173" s="1" t="s">
        <v>3610</v>
      </c>
      <c r="E2173" s="1" t="s">
        <v>3611</v>
      </c>
      <c r="F2173" s="1" t="s">
        <v>9454</v>
      </c>
      <c r="G2173" s="1" t="s">
        <v>9451</v>
      </c>
      <c r="H2173" s="1" t="s">
        <v>3604</v>
      </c>
      <c r="I2173" s="1" t="s">
        <v>9455</v>
      </c>
      <c r="J2173" s="1" t="s">
        <v>3606</v>
      </c>
      <c r="K2173" s="1" t="s">
        <v>9456</v>
      </c>
      <c r="L2173" s="1"/>
      <c r="M2173" s="1"/>
    </row>
    <row x14ac:dyDescent="0.25" r="2174" customHeight="1" ht="18.75">
      <c r="A2174" s="1" t="s">
        <v>3598</v>
      </c>
      <c r="B2174" s="1" t="s">
        <v>9449</v>
      </c>
      <c r="C2174" s="1" t="s">
        <v>3600</v>
      </c>
      <c r="D2174" s="1" t="s">
        <v>3610</v>
      </c>
      <c r="E2174" s="1" t="s">
        <v>3611</v>
      </c>
      <c r="F2174" s="1" t="s">
        <v>9457</v>
      </c>
      <c r="G2174" s="1" t="s">
        <v>9451</v>
      </c>
      <c r="H2174" s="1" t="s">
        <v>3604</v>
      </c>
      <c r="I2174" s="1" t="s">
        <v>9458</v>
      </c>
      <c r="J2174" s="1" t="s">
        <v>3615</v>
      </c>
      <c r="K2174" s="1" t="s">
        <v>9459</v>
      </c>
      <c r="L2174" s="1"/>
      <c r="M2174" s="1"/>
    </row>
    <row x14ac:dyDescent="0.25" r="2175" customHeight="1" ht="18.75">
      <c r="A2175" s="1" t="s">
        <v>3598</v>
      </c>
      <c r="B2175" s="1" t="s">
        <v>9449</v>
      </c>
      <c r="C2175" s="1" t="s">
        <v>3600</v>
      </c>
      <c r="D2175" s="1" t="s">
        <v>3610</v>
      </c>
      <c r="E2175" s="1" t="s">
        <v>3611</v>
      </c>
      <c r="F2175" s="1" t="s">
        <v>9460</v>
      </c>
      <c r="G2175" s="1" t="s">
        <v>9461</v>
      </c>
      <c r="H2175" s="1" t="s">
        <v>3604</v>
      </c>
      <c r="I2175" s="1" t="s">
        <v>9462</v>
      </c>
      <c r="J2175" s="1" t="s">
        <v>3606</v>
      </c>
      <c r="K2175" s="1" t="s">
        <v>9463</v>
      </c>
      <c r="L2175" s="1"/>
      <c r="M2175" s="1"/>
    </row>
    <row x14ac:dyDescent="0.25" r="2176" customHeight="1" ht="18.75">
      <c r="A2176" s="1" t="s">
        <v>3598</v>
      </c>
      <c r="B2176" s="1" t="s">
        <v>9449</v>
      </c>
      <c r="C2176" s="1" t="s">
        <v>3600</v>
      </c>
      <c r="D2176" s="1" t="s">
        <v>3610</v>
      </c>
      <c r="E2176" s="1" t="s">
        <v>3611</v>
      </c>
      <c r="F2176" s="1" t="s">
        <v>9464</v>
      </c>
      <c r="G2176" s="1" t="s">
        <v>9461</v>
      </c>
      <c r="H2176" s="1" t="s">
        <v>3604</v>
      </c>
      <c r="I2176" s="1" t="s">
        <v>9465</v>
      </c>
      <c r="J2176" s="1" t="s">
        <v>3606</v>
      </c>
      <c r="K2176" s="1" t="s">
        <v>9466</v>
      </c>
      <c r="L2176" s="1"/>
      <c r="M2176" s="1"/>
    </row>
    <row x14ac:dyDescent="0.25" r="2177" customHeight="1" ht="18.75">
      <c r="A2177" s="1" t="s">
        <v>3598</v>
      </c>
      <c r="B2177" s="1" t="s">
        <v>9449</v>
      </c>
      <c r="C2177" s="1" t="s">
        <v>3600</v>
      </c>
      <c r="D2177" s="1" t="s">
        <v>3610</v>
      </c>
      <c r="E2177" s="1" t="s">
        <v>3611</v>
      </c>
      <c r="F2177" s="1" t="s">
        <v>9467</v>
      </c>
      <c r="G2177" s="1" t="s">
        <v>9461</v>
      </c>
      <c r="H2177" s="1" t="s">
        <v>3604</v>
      </c>
      <c r="I2177" s="1" t="s">
        <v>9468</v>
      </c>
      <c r="J2177" s="1" t="s">
        <v>3606</v>
      </c>
      <c r="K2177" s="1" t="s">
        <v>9469</v>
      </c>
      <c r="L2177" s="1"/>
      <c r="M2177" s="1"/>
    </row>
    <row x14ac:dyDescent="0.25" r="2178" customHeight="1" ht="18.75">
      <c r="A2178" s="1" t="s">
        <v>3598</v>
      </c>
      <c r="B2178" s="1" t="s">
        <v>9470</v>
      </c>
      <c r="C2178" s="1" t="s">
        <v>3600</v>
      </c>
      <c r="D2178" s="1" t="s">
        <v>3610</v>
      </c>
      <c r="E2178" s="1" t="s">
        <v>3893</v>
      </c>
      <c r="F2178" s="1" t="s">
        <v>9471</v>
      </c>
      <c r="G2178" s="1" t="s">
        <v>9472</v>
      </c>
      <c r="H2178" s="1" t="s">
        <v>3604</v>
      </c>
      <c r="I2178" s="1" t="s">
        <v>9473</v>
      </c>
      <c r="J2178" s="1" t="s">
        <v>3606</v>
      </c>
      <c r="K2178" s="1" t="s">
        <v>9474</v>
      </c>
      <c r="L2178" s="1"/>
      <c r="M2178" s="1"/>
    </row>
    <row x14ac:dyDescent="0.25" r="2179" customHeight="1" ht="18.75">
      <c r="A2179" s="1" t="s">
        <v>3598</v>
      </c>
      <c r="B2179" s="1" t="s">
        <v>9470</v>
      </c>
      <c r="C2179" s="1" t="s">
        <v>3600</v>
      </c>
      <c r="D2179" s="1" t="s">
        <v>3610</v>
      </c>
      <c r="E2179" s="1" t="s">
        <v>3893</v>
      </c>
      <c r="F2179" s="1" t="s">
        <v>9475</v>
      </c>
      <c r="G2179" s="1" t="s">
        <v>9476</v>
      </c>
      <c r="H2179" s="1" t="s">
        <v>3604</v>
      </c>
      <c r="I2179" s="1" t="s">
        <v>9477</v>
      </c>
      <c r="J2179" s="1" t="s">
        <v>3606</v>
      </c>
      <c r="K2179" s="1" t="s">
        <v>9478</v>
      </c>
      <c r="L2179" s="1"/>
      <c r="M2179" s="1"/>
    </row>
    <row x14ac:dyDescent="0.25" r="2180" customHeight="1" ht="18.75">
      <c r="A2180" s="1" t="s">
        <v>3598</v>
      </c>
      <c r="B2180" s="1" t="s">
        <v>8191</v>
      </c>
      <c r="C2180" s="1" t="s">
        <v>3600</v>
      </c>
      <c r="D2180" s="1" t="s">
        <v>3610</v>
      </c>
      <c r="E2180" s="1" t="s">
        <v>3981</v>
      </c>
      <c r="F2180" s="1" t="s">
        <v>9479</v>
      </c>
      <c r="G2180" s="1" t="s">
        <v>9480</v>
      </c>
      <c r="H2180" s="1" t="s">
        <v>3604</v>
      </c>
      <c r="I2180" s="1" t="s">
        <v>9481</v>
      </c>
      <c r="J2180" s="1" t="s">
        <v>3615</v>
      </c>
      <c r="K2180" s="1" t="s">
        <v>9482</v>
      </c>
      <c r="L2180" s="1"/>
      <c r="M2180" s="1"/>
    </row>
    <row x14ac:dyDescent="0.25" r="2181" customHeight="1" ht="18.75">
      <c r="A2181" s="1" t="s">
        <v>3598</v>
      </c>
      <c r="B2181" s="1" t="s">
        <v>9311</v>
      </c>
      <c r="C2181" s="1" t="s">
        <v>3600</v>
      </c>
      <c r="D2181" s="1" t="s">
        <v>3610</v>
      </c>
      <c r="E2181" s="1" t="s">
        <v>3664</v>
      </c>
      <c r="F2181" s="1" t="s">
        <v>9483</v>
      </c>
      <c r="G2181" s="1" t="s">
        <v>9484</v>
      </c>
      <c r="H2181" s="1" t="s">
        <v>3604</v>
      </c>
      <c r="I2181" s="1" t="s">
        <v>9485</v>
      </c>
      <c r="J2181" s="1" t="s">
        <v>3606</v>
      </c>
      <c r="K2181" s="1" t="s">
        <v>9486</v>
      </c>
      <c r="L2181" s="1"/>
      <c r="M2181" s="1"/>
    </row>
    <row x14ac:dyDescent="0.25" r="2182" customHeight="1" ht="18.75">
      <c r="A2182" s="1" t="s">
        <v>3598</v>
      </c>
      <c r="B2182" s="1" t="s">
        <v>9311</v>
      </c>
      <c r="C2182" s="1" t="s">
        <v>3600</v>
      </c>
      <c r="D2182" s="1" t="s">
        <v>3610</v>
      </c>
      <c r="E2182" s="1" t="s">
        <v>3664</v>
      </c>
      <c r="F2182" s="1" t="s">
        <v>9487</v>
      </c>
      <c r="G2182" s="1" t="s">
        <v>9484</v>
      </c>
      <c r="H2182" s="1" t="s">
        <v>3604</v>
      </c>
      <c r="I2182" s="1" t="s">
        <v>9488</v>
      </c>
      <c r="J2182" s="1" t="s">
        <v>3606</v>
      </c>
      <c r="K2182" s="1" t="s">
        <v>9489</v>
      </c>
      <c r="L2182" s="1"/>
      <c r="M2182" s="1"/>
    </row>
    <row x14ac:dyDescent="0.25" r="2183" customHeight="1" ht="18.75">
      <c r="A2183" s="1" t="s">
        <v>3598</v>
      </c>
      <c r="B2183" s="1" t="s">
        <v>9311</v>
      </c>
      <c r="C2183" s="1" t="s">
        <v>3600</v>
      </c>
      <c r="D2183" s="1" t="s">
        <v>3610</v>
      </c>
      <c r="E2183" s="1" t="s">
        <v>3664</v>
      </c>
      <c r="F2183" s="1" t="s">
        <v>9490</v>
      </c>
      <c r="G2183" s="1" t="s">
        <v>9484</v>
      </c>
      <c r="H2183" s="1" t="s">
        <v>3604</v>
      </c>
      <c r="I2183" s="1" t="s">
        <v>9491</v>
      </c>
      <c r="J2183" s="1" t="s">
        <v>3606</v>
      </c>
      <c r="K2183" s="1" t="s">
        <v>9492</v>
      </c>
      <c r="L2183" s="1"/>
      <c r="M2183" s="1"/>
    </row>
    <row x14ac:dyDescent="0.25" r="2184" customHeight="1" ht="18.75">
      <c r="A2184" s="1" t="s">
        <v>3598</v>
      </c>
      <c r="B2184" s="1" t="s">
        <v>4627</v>
      </c>
      <c r="C2184" s="1" t="s">
        <v>3600</v>
      </c>
      <c r="D2184" s="1" t="s">
        <v>3610</v>
      </c>
      <c r="E2184" s="1" t="s">
        <v>3664</v>
      </c>
      <c r="F2184" s="1" t="s">
        <v>9493</v>
      </c>
      <c r="G2184" s="1" t="s">
        <v>9494</v>
      </c>
      <c r="H2184" s="1" t="s">
        <v>3604</v>
      </c>
      <c r="I2184" s="1" t="s">
        <v>9495</v>
      </c>
      <c r="J2184" s="1" t="s">
        <v>3615</v>
      </c>
      <c r="K2184" s="1" t="s">
        <v>9496</v>
      </c>
      <c r="L2184" s="1"/>
      <c r="M2184" s="1"/>
    </row>
    <row x14ac:dyDescent="0.25" r="2185" customHeight="1" ht="18.75">
      <c r="A2185" s="1" t="s">
        <v>3598</v>
      </c>
      <c r="B2185" s="1" t="s">
        <v>4627</v>
      </c>
      <c r="C2185" s="1" t="s">
        <v>3600</v>
      </c>
      <c r="D2185" s="1" t="s">
        <v>3610</v>
      </c>
      <c r="E2185" s="1" t="s">
        <v>3664</v>
      </c>
      <c r="F2185" s="1" t="s">
        <v>9497</v>
      </c>
      <c r="G2185" s="1" t="s">
        <v>9494</v>
      </c>
      <c r="H2185" s="1" t="s">
        <v>3604</v>
      </c>
      <c r="I2185" s="1" t="s">
        <v>9498</v>
      </c>
      <c r="J2185" s="1" t="s">
        <v>3615</v>
      </c>
      <c r="K2185" s="1" t="s">
        <v>9499</v>
      </c>
      <c r="L2185" s="1"/>
      <c r="M2185" s="1"/>
    </row>
    <row x14ac:dyDescent="0.25" r="2186" customHeight="1" ht="18.75">
      <c r="A2186" s="1" t="s">
        <v>3598</v>
      </c>
      <c r="B2186" s="1" t="s">
        <v>4627</v>
      </c>
      <c r="C2186" s="1" t="s">
        <v>3600</v>
      </c>
      <c r="D2186" s="1" t="s">
        <v>3610</v>
      </c>
      <c r="E2186" s="1" t="s">
        <v>3664</v>
      </c>
      <c r="F2186" s="1" t="s">
        <v>9500</v>
      </c>
      <c r="G2186" s="1" t="s">
        <v>9494</v>
      </c>
      <c r="H2186" s="1" t="s">
        <v>3604</v>
      </c>
      <c r="I2186" s="1" t="s">
        <v>9501</v>
      </c>
      <c r="J2186" s="1" t="s">
        <v>3615</v>
      </c>
      <c r="K2186" s="1" t="s">
        <v>9502</v>
      </c>
      <c r="L2186" s="1"/>
      <c r="M2186" s="1"/>
    </row>
    <row x14ac:dyDescent="0.25" r="2187" customHeight="1" ht="18.75">
      <c r="A2187" s="1" t="s">
        <v>3598</v>
      </c>
      <c r="B2187" s="1" t="s">
        <v>5260</v>
      </c>
      <c r="C2187" s="1" t="s">
        <v>3600</v>
      </c>
      <c r="D2187" s="1" t="s">
        <v>3601</v>
      </c>
      <c r="E2187" s="1" t="s">
        <v>3893</v>
      </c>
      <c r="F2187" s="1" t="s">
        <v>9503</v>
      </c>
      <c r="G2187" s="1" t="s">
        <v>8883</v>
      </c>
      <c r="H2187" s="1" t="s">
        <v>3604</v>
      </c>
      <c r="I2187" s="1" t="s">
        <v>9504</v>
      </c>
      <c r="J2187" s="1" t="s">
        <v>3606</v>
      </c>
      <c r="K2187" s="1" t="s">
        <v>8820</v>
      </c>
      <c r="L2187" s="1"/>
      <c r="M2187" s="1"/>
    </row>
    <row x14ac:dyDescent="0.25" r="2188" customHeight="1" ht="18.75">
      <c r="A2188" s="1" t="s">
        <v>3598</v>
      </c>
      <c r="B2188" s="1" t="s">
        <v>9505</v>
      </c>
      <c r="C2188" s="1" t="s">
        <v>3600</v>
      </c>
      <c r="D2188" s="1" t="s">
        <v>3601</v>
      </c>
      <c r="E2188" s="1" t="s">
        <v>3981</v>
      </c>
      <c r="F2188" s="1" t="s">
        <v>9506</v>
      </c>
      <c r="G2188" s="1" t="s">
        <v>9507</v>
      </c>
      <c r="H2188" s="1" t="s">
        <v>3604</v>
      </c>
      <c r="I2188" s="1" t="s">
        <v>9508</v>
      </c>
      <c r="J2188" s="1" t="s">
        <v>3606</v>
      </c>
      <c r="K2188" s="1" t="s">
        <v>9509</v>
      </c>
      <c r="L2188" s="1"/>
      <c r="M2188" s="1"/>
    </row>
    <row x14ac:dyDescent="0.25" r="2189" customHeight="1" ht="18.75">
      <c r="A2189" s="1" t="s">
        <v>3598</v>
      </c>
      <c r="B2189" s="1" t="s">
        <v>3663</v>
      </c>
      <c r="C2189" s="1" t="s">
        <v>3600</v>
      </c>
      <c r="D2189" s="1" t="s">
        <v>3601</v>
      </c>
      <c r="E2189" s="1" t="s">
        <v>3664</v>
      </c>
      <c r="F2189" s="1" t="s">
        <v>9510</v>
      </c>
      <c r="G2189" s="1" t="s">
        <v>7224</v>
      </c>
      <c r="H2189" s="1" t="s">
        <v>3604</v>
      </c>
      <c r="I2189" s="1" t="s">
        <v>9511</v>
      </c>
      <c r="J2189" s="1" t="s">
        <v>3615</v>
      </c>
      <c r="K2189" s="1" t="s">
        <v>9512</v>
      </c>
      <c r="L2189" s="1"/>
      <c r="M2189" s="1"/>
    </row>
    <row x14ac:dyDescent="0.25" r="2190" customHeight="1" ht="18.75">
      <c r="A2190" s="1" t="s">
        <v>3598</v>
      </c>
      <c r="B2190" s="1" t="s">
        <v>6728</v>
      </c>
      <c r="C2190" s="1" t="s">
        <v>3600</v>
      </c>
      <c r="D2190" s="1" t="s">
        <v>3601</v>
      </c>
      <c r="E2190" s="1" t="s">
        <v>3893</v>
      </c>
      <c r="F2190" s="1" t="s">
        <v>9513</v>
      </c>
      <c r="G2190" s="1" t="s">
        <v>9514</v>
      </c>
      <c r="H2190" s="1" t="s">
        <v>3604</v>
      </c>
      <c r="I2190" s="1" t="s">
        <v>9515</v>
      </c>
      <c r="J2190" s="1" t="s">
        <v>3606</v>
      </c>
      <c r="K2190" s="1" t="s">
        <v>9516</v>
      </c>
      <c r="L2190" s="1"/>
      <c r="M2190" s="1"/>
    </row>
    <row x14ac:dyDescent="0.25" r="2191" customHeight="1" ht="18.75">
      <c r="A2191" s="1" t="s">
        <v>3598</v>
      </c>
      <c r="B2191" s="1" t="s">
        <v>6728</v>
      </c>
      <c r="C2191" s="1" t="s">
        <v>3600</v>
      </c>
      <c r="D2191" s="1" t="s">
        <v>3601</v>
      </c>
      <c r="E2191" s="1" t="s">
        <v>3893</v>
      </c>
      <c r="F2191" s="1" t="s">
        <v>9517</v>
      </c>
      <c r="G2191" s="1" t="s">
        <v>9514</v>
      </c>
      <c r="H2191" s="1" t="s">
        <v>3604</v>
      </c>
      <c r="I2191" s="1" t="s">
        <v>9518</v>
      </c>
      <c r="J2191" s="1" t="s">
        <v>3606</v>
      </c>
      <c r="K2191" s="1" t="s">
        <v>9519</v>
      </c>
      <c r="L2191" s="1"/>
      <c r="M2191" s="1"/>
    </row>
    <row x14ac:dyDescent="0.25" r="2192" customHeight="1" ht="18.75">
      <c r="A2192" s="1" t="s">
        <v>3598</v>
      </c>
      <c r="B2192" s="1" t="s">
        <v>5260</v>
      </c>
      <c r="C2192" s="1" t="s">
        <v>3600</v>
      </c>
      <c r="D2192" s="1" t="s">
        <v>3601</v>
      </c>
      <c r="E2192" s="1" t="s">
        <v>3611</v>
      </c>
      <c r="F2192" s="1" t="s">
        <v>9520</v>
      </c>
      <c r="G2192" s="1" t="s">
        <v>8887</v>
      </c>
      <c r="H2192" s="1" t="s">
        <v>3604</v>
      </c>
      <c r="I2192" s="1" t="s">
        <v>9521</v>
      </c>
      <c r="J2192" s="1" t="s">
        <v>3606</v>
      </c>
      <c r="K2192" s="1" t="s">
        <v>8877</v>
      </c>
      <c r="L2192" s="1"/>
      <c r="M2192" s="1"/>
    </row>
    <row x14ac:dyDescent="0.25" r="2193" customHeight="1" ht="18.75">
      <c r="A2193" s="1" t="s">
        <v>3598</v>
      </c>
      <c r="B2193" s="1" t="s">
        <v>5260</v>
      </c>
      <c r="C2193" s="1" t="s">
        <v>3600</v>
      </c>
      <c r="D2193" s="1" t="s">
        <v>3601</v>
      </c>
      <c r="E2193" s="1" t="s">
        <v>3893</v>
      </c>
      <c r="F2193" s="1" t="s">
        <v>9522</v>
      </c>
      <c r="G2193" s="1" t="s">
        <v>8818</v>
      </c>
      <c r="H2193" s="1" t="s">
        <v>3604</v>
      </c>
      <c r="I2193" s="1" t="s">
        <v>9523</v>
      </c>
      <c r="J2193" s="1" t="s">
        <v>3606</v>
      </c>
      <c r="K2193" s="1" t="s">
        <v>8877</v>
      </c>
      <c r="L2193" s="1"/>
      <c r="M2193" s="1"/>
    </row>
    <row x14ac:dyDescent="0.25" r="2194" customHeight="1" ht="18.75">
      <c r="A2194" s="1" t="s">
        <v>3598</v>
      </c>
      <c r="B2194" s="1" t="s">
        <v>5260</v>
      </c>
      <c r="C2194" s="1" t="s">
        <v>3600</v>
      </c>
      <c r="D2194" s="1" t="s">
        <v>3601</v>
      </c>
      <c r="E2194" s="1" t="s">
        <v>3893</v>
      </c>
      <c r="F2194" s="1" t="s">
        <v>9524</v>
      </c>
      <c r="G2194" s="1" t="s">
        <v>8818</v>
      </c>
      <c r="H2194" s="1" t="s">
        <v>3604</v>
      </c>
      <c r="I2194" s="1" t="s">
        <v>9525</v>
      </c>
      <c r="J2194" s="1" t="s">
        <v>3606</v>
      </c>
      <c r="K2194" s="1" t="s">
        <v>8820</v>
      </c>
      <c r="L2194" s="1"/>
      <c r="M2194" s="1"/>
    </row>
    <row x14ac:dyDescent="0.25" r="2195" customHeight="1" ht="18.75">
      <c r="A2195" s="1" t="s">
        <v>3693</v>
      </c>
      <c r="B2195" s="1" t="s">
        <v>4208</v>
      </c>
      <c r="C2195" s="1" t="s">
        <v>3619</v>
      </c>
      <c r="D2195" s="1" t="s">
        <v>533</v>
      </c>
      <c r="E2195" s="1" t="s">
        <v>3664</v>
      </c>
      <c r="F2195" s="1" t="s">
        <v>9526</v>
      </c>
      <c r="G2195" s="1" t="s">
        <v>9407</v>
      </c>
      <c r="H2195" s="1" t="s">
        <v>3604</v>
      </c>
      <c r="I2195" s="1" t="s">
        <v>9527</v>
      </c>
      <c r="J2195" s="1" t="s">
        <v>3606</v>
      </c>
      <c r="K2195" s="1" t="s">
        <v>9528</v>
      </c>
      <c r="L2195" s="1"/>
      <c r="M2195" s="1"/>
    </row>
    <row x14ac:dyDescent="0.25" r="2196" customHeight="1" ht="18.75">
      <c r="A2196" s="1" t="s">
        <v>3693</v>
      </c>
      <c r="B2196" s="1" t="s">
        <v>4162</v>
      </c>
      <c r="C2196" s="1" t="s">
        <v>3619</v>
      </c>
      <c r="D2196" s="1" t="s">
        <v>533</v>
      </c>
      <c r="E2196" s="1" t="s">
        <v>3981</v>
      </c>
      <c r="F2196" s="1" t="s">
        <v>9529</v>
      </c>
      <c r="G2196" s="1" t="s">
        <v>9382</v>
      </c>
      <c r="H2196" s="1" t="s">
        <v>3604</v>
      </c>
      <c r="I2196" s="1" t="s">
        <v>9530</v>
      </c>
      <c r="J2196" s="1" t="s">
        <v>3606</v>
      </c>
      <c r="K2196" s="1" t="s">
        <v>9531</v>
      </c>
      <c r="L2196" s="1"/>
      <c r="M2196" s="1"/>
    </row>
    <row x14ac:dyDescent="0.25" r="2197" customHeight="1" ht="18.75">
      <c r="A2197" s="1" t="s">
        <v>3693</v>
      </c>
      <c r="B2197" s="1" t="s">
        <v>4162</v>
      </c>
      <c r="C2197" s="1" t="s">
        <v>3619</v>
      </c>
      <c r="D2197" s="1" t="s">
        <v>3601</v>
      </c>
      <c r="E2197" s="1" t="s">
        <v>3664</v>
      </c>
      <c r="F2197" s="1" t="s">
        <v>9532</v>
      </c>
      <c r="G2197" s="1" t="s">
        <v>9533</v>
      </c>
      <c r="H2197" s="1" t="s">
        <v>3604</v>
      </c>
      <c r="I2197" s="1" t="s">
        <v>9534</v>
      </c>
      <c r="J2197" s="1" t="s">
        <v>3615</v>
      </c>
      <c r="K2197" s="1" t="s">
        <v>9535</v>
      </c>
      <c r="L2197" s="1"/>
      <c r="M2197" s="1"/>
    </row>
    <row x14ac:dyDescent="0.25" r="2198" customHeight="1" ht="18.75">
      <c r="A2198" s="1" t="s">
        <v>3693</v>
      </c>
      <c r="B2198" s="1" t="s">
        <v>6330</v>
      </c>
      <c r="C2198" s="1" t="s">
        <v>3619</v>
      </c>
      <c r="D2198" s="1" t="s">
        <v>3601</v>
      </c>
      <c r="E2198" s="1" t="s">
        <v>3664</v>
      </c>
      <c r="F2198" s="1" t="s">
        <v>9536</v>
      </c>
      <c r="G2198" s="1" t="s">
        <v>9041</v>
      </c>
      <c r="H2198" s="1" t="s">
        <v>3604</v>
      </c>
      <c r="I2198" s="1" t="s">
        <v>9537</v>
      </c>
      <c r="J2198" s="1" t="s">
        <v>3615</v>
      </c>
      <c r="K2198" s="1" t="s">
        <v>9538</v>
      </c>
      <c r="L2198" s="1"/>
      <c r="M2198" s="1"/>
    </row>
    <row x14ac:dyDescent="0.25" r="2199" customHeight="1" ht="18.75">
      <c r="A2199" s="1" t="s">
        <v>3693</v>
      </c>
      <c r="B2199" s="1" t="s">
        <v>6330</v>
      </c>
      <c r="C2199" s="1" t="s">
        <v>3619</v>
      </c>
      <c r="D2199" s="1" t="s">
        <v>3601</v>
      </c>
      <c r="E2199" s="1" t="s">
        <v>3664</v>
      </c>
      <c r="F2199" s="1" t="s">
        <v>9532</v>
      </c>
      <c r="G2199" s="1" t="s">
        <v>9533</v>
      </c>
      <c r="H2199" s="1" t="s">
        <v>3604</v>
      </c>
      <c r="I2199" s="1" t="s">
        <v>9539</v>
      </c>
      <c r="J2199" s="1" t="s">
        <v>3606</v>
      </c>
      <c r="K2199" s="1" t="s">
        <v>9540</v>
      </c>
      <c r="L2199" s="1"/>
      <c r="M2199" s="1"/>
    </row>
    <row x14ac:dyDescent="0.25" r="2200" customHeight="1" ht="18.75">
      <c r="A2200" s="1" t="s">
        <v>3693</v>
      </c>
      <c r="B2200" s="1" t="s">
        <v>4174</v>
      </c>
      <c r="C2200" s="1" t="s">
        <v>3619</v>
      </c>
      <c r="D2200" s="1" t="s">
        <v>3601</v>
      </c>
      <c r="E2200" s="1" t="s">
        <v>3664</v>
      </c>
      <c r="F2200" s="1" t="s">
        <v>9541</v>
      </c>
      <c r="G2200" s="1" t="s">
        <v>9542</v>
      </c>
      <c r="H2200" s="1" t="s">
        <v>3604</v>
      </c>
      <c r="I2200" s="1" t="s">
        <v>9543</v>
      </c>
      <c r="J2200" s="1" t="s">
        <v>3615</v>
      </c>
      <c r="K2200" s="1" t="s">
        <v>9544</v>
      </c>
      <c r="L2200" s="1"/>
      <c r="M2200" s="1"/>
    </row>
    <row x14ac:dyDescent="0.25" r="2201" customHeight="1" ht="18.75">
      <c r="A2201" s="1" t="s">
        <v>3693</v>
      </c>
      <c r="B2201" s="1" t="s">
        <v>4174</v>
      </c>
      <c r="C2201" s="1" t="s">
        <v>3619</v>
      </c>
      <c r="D2201" s="1" t="s">
        <v>3601</v>
      </c>
      <c r="E2201" s="1" t="s">
        <v>3664</v>
      </c>
      <c r="F2201" s="1" t="s">
        <v>9399</v>
      </c>
      <c r="G2201" s="1" t="s">
        <v>9545</v>
      </c>
      <c r="H2201" s="1" t="s">
        <v>3604</v>
      </c>
      <c r="I2201" s="1" t="s">
        <v>9546</v>
      </c>
      <c r="J2201" s="1" t="s">
        <v>3615</v>
      </c>
      <c r="K2201" s="1" t="s">
        <v>9401</v>
      </c>
      <c r="L2201" s="1"/>
      <c r="M2201" s="1"/>
    </row>
    <row x14ac:dyDescent="0.25" r="2202" customHeight="1" ht="18.75">
      <c r="A2202" s="1" t="s">
        <v>3693</v>
      </c>
      <c r="B2202" s="1" t="s">
        <v>4174</v>
      </c>
      <c r="C2202" s="1" t="s">
        <v>3619</v>
      </c>
      <c r="D2202" s="1" t="s">
        <v>3601</v>
      </c>
      <c r="E2202" s="1" t="s">
        <v>3664</v>
      </c>
      <c r="F2202" s="1" t="s">
        <v>9547</v>
      </c>
      <c r="G2202" s="1" t="s">
        <v>9548</v>
      </c>
      <c r="H2202" s="1" t="s">
        <v>3604</v>
      </c>
      <c r="I2202" s="1" t="s">
        <v>9549</v>
      </c>
      <c r="J2202" s="1" t="s">
        <v>3615</v>
      </c>
      <c r="K2202" s="1" t="s">
        <v>9550</v>
      </c>
      <c r="L2202" s="1"/>
      <c r="M2202" s="1"/>
    </row>
    <row x14ac:dyDescent="0.25" r="2203" customHeight="1" ht="18.75">
      <c r="A2203" s="1" t="s">
        <v>3693</v>
      </c>
      <c r="B2203" s="1" t="s">
        <v>6330</v>
      </c>
      <c r="C2203" s="1" t="s">
        <v>3619</v>
      </c>
      <c r="D2203" s="1" t="s">
        <v>3601</v>
      </c>
      <c r="E2203" s="1" t="s">
        <v>3664</v>
      </c>
      <c r="F2203" s="1" t="s">
        <v>9551</v>
      </c>
      <c r="G2203" s="1" t="s">
        <v>9552</v>
      </c>
      <c r="H2203" s="1" t="s">
        <v>3604</v>
      </c>
      <c r="I2203" s="1" t="s">
        <v>9553</v>
      </c>
      <c r="J2203" s="1" t="s">
        <v>3615</v>
      </c>
      <c r="K2203" s="1" t="s">
        <v>9554</v>
      </c>
      <c r="L2203" s="1"/>
      <c r="M2203" s="1"/>
    </row>
    <row x14ac:dyDescent="0.25" r="2204" customHeight="1" ht="18.75">
      <c r="A2204" s="1" t="s">
        <v>3693</v>
      </c>
      <c r="B2204" s="1" t="s">
        <v>4174</v>
      </c>
      <c r="C2204" s="1" t="s">
        <v>3619</v>
      </c>
      <c r="D2204" s="1" t="s">
        <v>3601</v>
      </c>
      <c r="E2204" s="1" t="s">
        <v>3664</v>
      </c>
      <c r="F2204" s="1" t="s">
        <v>9555</v>
      </c>
      <c r="G2204" s="1" t="s">
        <v>6347</v>
      </c>
      <c r="H2204" s="1" t="s">
        <v>3604</v>
      </c>
      <c r="I2204" s="1" t="s">
        <v>9556</v>
      </c>
      <c r="J2204" s="1" t="s">
        <v>3615</v>
      </c>
      <c r="K2204" s="1" t="s">
        <v>9557</v>
      </c>
      <c r="L2204" s="1"/>
      <c r="M2204" s="1"/>
    </row>
    <row x14ac:dyDescent="0.25" r="2205" customHeight="1" ht="18.75">
      <c r="A2205" s="1" t="s">
        <v>3693</v>
      </c>
      <c r="B2205" s="1" t="s">
        <v>4181</v>
      </c>
      <c r="C2205" s="1" t="s">
        <v>3619</v>
      </c>
      <c r="D2205" s="1" t="s">
        <v>533</v>
      </c>
      <c r="E2205" s="1" t="s">
        <v>3664</v>
      </c>
      <c r="F2205" s="1" t="s">
        <v>9558</v>
      </c>
      <c r="G2205" s="1" t="s">
        <v>6260</v>
      </c>
      <c r="H2205" s="1" t="s">
        <v>3604</v>
      </c>
      <c r="I2205" s="1" t="s">
        <v>9559</v>
      </c>
      <c r="J2205" s="1" t="s">
        <v>3606</v>
      </c>
      <c r="K2205" s="1" t="s">
        <v>9560</v>
      </c>
      <c r="L2205" s="1"/>
      <c r="M2205" s="1"/>
    </row>
    <row x14ac:dyDescent="0.25" r="2206" customHeight="1" ht="18.75">
      <c r="A2206" s="1" t="s">
        <v>3693</v>
      </c>
      <c r="B2206" s="1" t="s">
        <v>4181</v>
      </c>
      <c r="C2206" s="1" t="s">
        <v>3619</v>
      </c>
      <c r="D2206" s="1" t="s">
        <v>533</v>
      </c>
      <c r="E2206" s="1" t="s">
        <v>3664</v>
      </c>
      <c r="F2206" s="1" t="s">
        <v>9561</v>
      </c>
      <c r="G2206" s="1" t="s">
        <v>6243</v>
      </c>
      <c r="H2206" s="1" t="s">
        <v>3604</v>
      </c>
      <c r="I2206" s="1" t="s">
        <v>9562</v>
      </c>
      <c r="J2206" s="1" t="s">
        <v>3606</v>
      </c>
      <c r="K2206" s="1" t="s">
        <v>9563</v>
      </c>
      <c r="L2206" s="1"/>
      <c r="M2206" s="1"/>
    </row>
    <row x14ac:dyDescent="0.25" r="2207" customHeight="1" ht="18.75">
      <c r="A2207" s="1" t="s">
        <v>3693</v>
      </c>
      <c r="B2207" s="1" t="s">
        <v>4181</v>
      </c>
      <c r="C2207" s="1" t="s">
        <v>3619</v>
      </c>
      <c r="D2207" s="1" t="s">
        <v>3601</v>
      </c>
      <c r="E2207" s="1" t="s">
        <v>3664</v>
      </c>
      <c r="F2207" s="1" t="s">
        <v>9564</v>
      </c>
      <c r="G2207" s="1" t="s">
        <v>9565</v>
      </c>
      <c r="H2207" s="1" t="s">
        <v>3604</v>
      </c>
      <c r="I2207" s="1" t="s">
        <v>9566</v>
      </c>
      <c r="J2207" s="1" t="s">
        <v>3606</v>
      </c>
      <c r="K2207" s="1" t="s">
        <v>9567</v>
      </c>
      <c r="L2207" s="1"/>
      <c r="M2207" s="1"/>
    </row>
    <row x14ac:dyDescent="0.25" r="2208" customHeight="1" ht="18.75">
      <c r="A2208" s="1" t="s">
        <v>3693</v>
      </c>
      <c r="B2208" s="1" t="s">
        <v>5797</v>
      </c>
      <c r="C2208" s="1" t="s">
        <v>3619</v>
      </c>
      <c r="D2208" s="1" t="s">
        <v>533</v>
      </c>
      <c r="E2208" s="1" t="s">
        <v>3664</v>
      </c>
      <c r="F2208" s="1" t="s">
        <v>9568</v>
      </c>
      <c r="G2208" s="1" t="s">
        <v>6238</v>
      </c>
      <c r="H2208" s="1" t="s">
        <v>3604</v>
      </c>
      <c r="I2208" s="1" t="s">
        <v>9569</v>
      </c>
      <c r="J2208" s="1" t="s">
        <v>3606</v>
      </c>
      <c r="K2208" s="1" t="s">
        <v>9570</v>
      </c>
      <c r="L2208" s="1"/>
      <c r="M2208" s="1"/>
    </row>
    <row x14ac:dyDescent="0.25" r="2209" customHeight="1" ht="18.75">
      <c r="A2209" s="1" t="s">
        <v>3693</v>
      </c>
      <c r="B2209" s="1" t="s">
        <v>4181</v>
      </c>
      <c r="C2209" s="1" t="s">
        <v>3619</v>
      </c>
      <c r="D2209" s="1" t="s">
        <v>533</v>
      </c>
      <c r="E2209" s="1" t="s">
        <v>3664</v>
      </c>
      <c r="F2209" s="1" t="s">
        <v>9571</v>
      </c>
      <c r="G2209" s="1" t="s">
        <v>9572</v>
      </c>
      <c r="H2209" s="1" t="s">
        <v>3604</v>
      </c>
      <c r="I2209" s="1" t="s">
        <v>9573</v>
      </c>
      <c r="J2209" s="1" t="s">
        <v>3606</v>
      </c>
      <c r="K2209" s="1" t="s">
        <v>9574</v>
      </c>
      <c r="L2209" s="1"/>
      <c r="M2209" s="1"/>
    </row>
    <row x14ac:dyDescent="0.25" r="2210" customHeight="1" ht="18.75">
      <c r="A2210" s="1" t="s">
        <v>3598</v>
      </c>
      <c r="B2210" s="1" t="s">
        <v>4273</v>
      </c>
      <c r="C2210" s="1" t="s">
        <v>3600</v>
      </c>
      <c r="D2210" s="1" t="s">
        <v>3695</v>
      </c>
      <c r="E2210" s="1" t="s">
        <v>3664</v>
      </c>
      <c r="F2210" s="1" t="s">
        <v>9575</v>
      </c>
      <c r="G2210" s="1" t="s">
        <v>9576</v>
      </c>
      <c r="H2210" s="1" t="s">
        <v>3604</v>
      </c>
      <c r="I2210" s="1" t="s">
        <v>9577</v>
      </c>
      <c r="J2210" s="1" t="s">
        <v>3615</v>
      </c>
      <c r="K2210" s="1" t="s">
        <v>9578</v>
      </c>
      <c r="L2210" s="1"/>
      <c r="M2210" s="1"/>
    </row>
    <row x14ac:dyDescent="0.25" r="2211" customHeight="1" ht="18.75">
      <c r="A2211" s="1" t="s">
        <v>3598</v>
      </c>
      <c r="B2211" s="1" t="s">
        <v>4273</v>
      </c>
      <c r="C2211" s="1" t="s">
        <v>3600</v>
      </c>
      <c r="D2211" s="1" t="s">
        <v>3695</v>
      </c>
      <c r="E2211" s="1" t="s">
        <v>3664</v>
      </c>
      <c r="F2211" s="1" t="s">
        <v>9579</v>
      </c>
      <c r="G2211" s="1" t="s">
        <v>9576</v>
      </c>
      <c r="H2211" s="1" t="s">
        <v>3604</v>
      </c>
      <c r="I2211" s="1" t="s">
        <v>9580</v>
      </c>
      <c r="J2211" s="1" t="s">
        <v>3615</v>
      </c>
      <c r="K2211" s="1" t="s">
        <v>9581</v>
      </c>
      <c r="L2211" s="1"/>
      <c r="M2211" s="1"/>
    </row>
    <row x14ac:dyDescent="0.25" r="2212" customHeight="1" ht="18.75">
      <c r="A2212" s="1" t="s">
        <v>3598</v>
      </c>
      <c r="B2212" s="1" t="s">
        <v>9582</v>
      </c>
      <c r="C2212" s="1" t="s">
        <v>3600</v>
      </c>
      <c r="D2212" s="1" t="s">
        <v>3610</v>
      </c>
      <c r="E2212" s="1" t="s">
        <v>3664</v>
      </c>
      <c r="F2212" s="1" t="s">
        <v>9583</v>
      </c>
      <c r="G2212" s="1" t="s">
        <v>9584</v>
      </c>
      <c r="H2212" s="1" t="s">
        <v>3604</v>
      </c>
      <c r="I2212" s="1" t="s">
        <v>9585</v>
      </c>
      <c r="J2212" s="1" t="s">
        <v>3606</v>
      </c>
      <c r="K2212" s="1" t="s">
        <v>9586</v>
      </c>
      <c r="L2212" s="1"/>
      <c r="M2212" s="1"/>
    </row>
    <row x14ac:dyDescent="0.25" r="2213" customHeight="1" ht="18.75">
      <c r="A2213" s="1" t="s">
        <v>3598</v>
      </c>
      <c r="B2213" s="1" t="s">
        <v>4627</v>
      </c>
      <c r="C2213" s="1" t="s">
        <v>3600</v>
      </c>
      <c r="D2213" s="1" t="s">
        <v>3610</v>
      </c>
      <c r="E2213" s="1" t="s">
        <v>3664</v>
      </c>
      <c r="F2213" s="1" t="s">
        <v>9587</v>
      </c>
      <c r="G2213" s="1" t="s">
        <v>9588</v>
      </c>
      <c r="H2213" s="1" t="s">
        <v>3604</v>
      </c>
      <c r="I2213" s="1" t="s">
        <v>9589</v>
      </c>
      <c r="J2213" s="1" t="s">
        <v>3615</v>
      </c>
      <c r="K2213" s="1" t="s">
        <v>9590</v>
      </c>
      <c r="L2213" s="1"/>
      <c r="M2213" s="1"/>
    </row>
    <row x14ac:dyDescent="0.25" r="2214" customHeight="1" ht="18.75">
      <c r="A2214" s="1" t="s">
        <v>3598</v>
      </c>
      <c r="B2214" s="1" t="s">
        <v>4627</v>
      </c>
      <c r="C2214" s="1" t="s">
        <v>3600</v>
      </c>
      <c r="D2214" s="1" t="s">
        <v>3610</v>
      </c>
      <c r="E2214" s="1" t="s">
        <v>3664</v>
      </c>
      <c r="F2214" s="1" t="s">
        <v>9591</v>
      </c>
      <c r="G2214" s="1" t="s">
        <v>9588</v>
      </c>
      <c r="H2214" s="1" t="s">
        <v>3604</v>
      </c>
      <c r="I2214" s="1" t="s">
        <v>9592</v>
      </c>
      <c r="J2214" s="1" t="s">
        <v>3615</v>
      </c>
      <c r="K2214" s="1" t="s">
        <v>9593</v>
      </c>
      <c r="L2214" s="1"/>
      <c r="M2214" s="1"/>
    </row>
    <row x14ac:dyDescent="0.25" r="2215" customHeight="1" ht="18.75">
      <c r="A2215" s="1" t="s">
        <v>3598</v>
      </c>
      <c r="B2215" s="1" t="s">
        <v>4627</v>
      </c>
      <c r="C2215" s="1" t="s">
        <v>3600</v>
      </c>
      <c r="D2215" s="1" t="s">
        <v>3610</v>
      </c>
      <c r="E2215" s="1" t="s">
        <v>3664</v>
      </c>
      <c r="F2215" s="1" t="s">
        <v>9594</v>
      </c>
      <c r="G2215" s="1" t="s">
        <v>9595</v>
      </c>
      <c r="H2215" s="1" t="s">
        <v>3604</v>
      </c>
      <c r="I2215" s="1" t="s">
        <v>9596</v>
      </c>
      <c r="J2215" s="1" t="s">
        <v>3615</v>
      </c>
      <c r="K2215" s="1" t="s">
        <v>9597</v>
      </c>
      <c r="L2215" s="1"/>
      <c r="M2215" s="1"/>
    </row>
    <row x14ac:dyDescent="0.25" r="2216" customHeight="1" ht="18.75">
      <c r="A2216" s="1" t="s">
        <v>3598</v>
      </c>
      <c r="B2216" s="1" t="s">
        <v>4627</v>
      </c>
      <c r="C2216" s="1" t="s">
        <v>3600</v>
      </c>
      <c r="D2216" s="1" t="s">
        <v>3610</v>
      </c>
      <c r="E2216" s="1" t="s">
        <v>3664</v>
      </c>
      <c r="F2216" s="1" t="s">
        <v>9598</v>
      </c>
      <c r="G2216" s="1" t="s">
        <v>9595</v>
      </c>
      <c r="H2216" s="1" t="s">
        <v>3604</v>
      </c>
      <c r="I2216" s="1" t="s">
        <v>9599</v>
      </c>
      <c r="J2216" s="1" t="s">
        <v>3615</v>
      </c>
      <c r="K2216" s="1" t="s">
        <v>9600</v>
      </c>
      <c r="L2216" s="1"/>
      <c r="M2216" s="1"/>
    </row>
    <row x14ac:dyDescent="0.25" r="2217" customHeight="1" ht="18.75">
      <c r="A2217" s="1" t="s">
        <v>3598</v>
      </c>
      <c r="B2217" s="1" t="s">
        <v>4627</v>
      </c>
      <c r="C2217" s="1" t="s">
        <v>3600</v>
      </c>
      <c r="D2217" s="1" t="s">
        <v>3610</v>
      </c>
      <c r="E2217" s="1" t="s">
        <v>3664</v>
      </c>
      <c r="F2217" s="1" t="s">
        <v>9601</v>
      </c>
      <c r="G2217" s="1" t="s">
        <v>9595</v>
      </c>
      <c r="H2217" s="1" t="s">
        <v>3604</v>
      </c>
      <c r="I2217" s="1" t="s">
        <v>9602</v>
      </c>
      <c r="J2217" s="1" t="s">
        <v>3615</v>
      </c>
      <c r="K2217" s="1" t="s">
        <v>9603</v>
      </c>
      <c r="L2217" s="1"/>
      <c r="M2217" s="1"/>
    </row>
    <row x14ac:dyDescent="0.25" r="2218" customHeight="1" ht="18.75">
      <c r="A2218" s="1" t="s">
        <v>3598</v>
      </c>
      <c r="B2218" s="1" t="s">
        <v>9311</v>
      </c>
      <c r="C2218" s="1" t="s">
        <v>3600</v>
      </c>
      <c r="D2218" s="1" t="s">
        <v>3610</v>
      </c>
      <c r="E2218" s="1" t="s">
        <v>3664</v>
      </c>
      <c r="F2218" s="1" t="s">
        <v>9604</v>
      </c>
      <c r="G2218" s="1" t="s">
        <v>9605</v>
      </c>
      <c r="H2218" s="1" t="s">
        <v>3604</v>
      </c>
      <c r="I2218" s="1" t="s">
        <v>9606</v>
      </c>
      <c r="J2218" s="1" t="s">
        <v>3606</v>
      </c>
      <c r="K2218" s="1" t="s">
        <v>9607</v>
      </c>
      <c r="L2218" s="1"/>
      <c r="M2218" s="1"/>
    </row>
    <row x14ac:dyDescent="0.25" r="2219" customHeight="1" ht="18.75">
      <c r="A2219" s="1" t="s">
        <v>3598</v>
      </c>
      <c r="B2219" s="1" t="s">
        <v>9311</v>
      </c>
      <c r="C2219" s="1" t="s">
        <v>3600</v>
      </c>
      <c r="D2219" s="1" t="s">
        <v>3610</v>
      </c>
      <c r="E2219" s="1" t="s">
        <v>3664</v>
      </c>
      <c r="F2219" s="1" t="s">
        <v>9608</v>
      </c>
      <c r="G2219" s="1" t="s">
        <v>9605</v>
      </c>
      <c r="H2219" s="1" t="s">
        <v>3604</v>
      </c>
      <c r="I2219" s="1" t="s">
        <v>9609</v>
      </c>
      <c r="J2219" s="1" t="s">
        <v>3606</v>
      </c>
      <c r="K2219" s="1" t="s">
        <v>9610</v>
      </c>
      <c r="L2219" s="1"/>
      <c r="M2219" s="1"/>
    </row>
    <row x14ac:dyDescent="0.25" r="2220" customHeight="1" ht="18.75">
      <c r="A2220" s="1" t="s">
        <v>3598</v>
      </c>
      <c r="B2220" s="1" t="s">
        <v>9311</v>
      </c>
      <c r="C2220" s="1" t="s">
        <v>3600</v>
      </c>
      <c r="D2220" s="1" t="s">
        <v>3610</v>
      </c>
      <c r="E2220" s="1" t="s">
        <v>3664</v>
      </c>
      <c r="F2220" s="1" t="s">
        <v>9611</v>
      </c>
      <c r="G2220" s="1" t="s">
        <v>9605</v>
      </c>
      <c r="H2220" s="1" t="s">
        <v>3604</v>
      </c>
      <c r="I2220" s="1" t="s">
        <v>9612</v>
      </c>
      <c r="J2220" s="1" t="s">
        <v>3606</v>
      </c>
      <c r="K2220" s="1" t="s">
        <v>9613</v>
      </c>
      <c r="L2220" s="1"/>
      <c r="M2220" s="1"/>
    </row>
    <row x14ac:dyDescent="0.25" r="2221" customHeight="1" ht="18.75">
      <c r="A2221" s="1" t="s">
        <v>3598</v>
      </c>
      <c r="B2221" s="1" t="s">
        <v>9311</v>
      </c>
      <c r="C2221" s="1" t="s">
        <v>3600</v>
      </c>
      <c r="D2221" s="1" t="s">
        <v>3610</v>
      </c>
      <c r="E2221" s="1" t="s">
        <v>3664</v>
      </c>
      <c r="F2221" s="1" t="s">
        <v>9614</v>
      </c>
      <c r="G2221" s="1" t="s">
        <v>9615</v>
      </c>
      <c r="H2221" s="1" t="s">
        <v>3604</v>
      </c>
      <c r="I2221" s="1" t="s">
        <v>9616</v>
      </c>
      <c r="J2221" s="1" t="s">
        <v>3606</v>
      </c>
      <c r="K2221" s="1" t="s">
        <v>9617</v>
      </c>
      <c r="L2221" s="1"/>
      <c r="M2221" s="1"/>
    </row>
    <row x14ac:dyDescent="0.25" r="2222" customHeight="1" ht="18.75">
      <c r="A2222" s="1" t="s">
        <v>3598</v>
      </c>
      <c r="B2222" s="1" t="s">
        <v>9311</v>
      </c>
      <c r="C2222" s="1" t="s">
        <v>3600</v>
      </c>
      <c r="D2222" s="1" t="s">
        <v>3610</v>
      </c>
      <c r="E2222" s="1" t="s">
        <v>3664</v>
      </c>
      <c r="F2222" s="1" t="s">
        <v>9618</v>
      </c>
      <c r="G2222" s="1" t="s">
        <v>9615</v>
      </c>
      <c r="H2222" s="1" t="s">
        <v>3604</v>
      </c>
      <c r="I2222" s="1" t="s">
        <v>9619</v>
      </c>
      <c r="J2222" s="1" t="s">
        <v>3606</v>
      </c>
      <c r="K2222" s="1" t="s">
        <v>9620</v>
      </c>
      <c r="L2222" s="1"/>
      <c r="M2222" s="1"/>
    </row>
    <row x14ac:dyDescent="0.25" r="2223" customHeight="1" ht="18.75">
      <c r="A2223" s="1" t="s">
        <v>3598</v>
      </c>
      <c r="B2223" s="1" t="s">
        <v>9311</v>
      </c>
      <c r="C2223" s="1" t="s">
        <v>3600</v>
      </c>
      <c r="D2223" s="1" t="s">
        <v>3610</v>
      </c>
      <c r="E2223" s="1" t="s">
        <v>3664</v>
      </c>
      <c r="F2223" s="1" t="s">
        <v>9621</v>
      </c>
      <c r="G2223" s="1" t="s">
        <v>9615</v>
      </c>
      <c r="H2223" s="1" t="s">
        <v>3604</v>
      </c>
      <c r="I2223" s="1" t="s">
        <v>9622</v>
      </c>
      <c r="J2223" s="1" t="s">
        <v>3606</v>
      </c>
      <c r="K2223" s="1" t="s">
        <v>9623</v>
      </c>
      <c r="L2223" s="1"/>
      <c r="M2223" s="1"/>
    </row>
    <row x14ac:dyDescent="0.25" r="2224" customHeight="1" ht="18.75">
      <c r="A2224" s="1" t="s">
        <v>3693</v>
      </c>
      <c r="B2224" s="1" t="s">
        <v>4204</v>
      </c>
      <c r="C2224" s="1" t="s">
        <v>3600</v>
      </c>
      <c r="D2224" s="1" t="s">
        <v>7847</v>
      </c>
      <c r="E2224" s="1" t="s">
        <v>3611</v>
      </c>
      <c r="F2224" s="1" t="s">
        <v>9624</v>
      </c>
      <c r="G2224" s="1" t="s">
        <v>9625</v>
      </c>
      <c r="H2224" s="1" t="s">
        <v>3604</v>
      </c>
      <c r="I2224" s="1" t="s">
        <v>9626</v>
      </c>
      <c r="J2224" s="1" t="s">
        <v>3615</v>
      </c>
      <c r="K2224" s="1" t="s">
        <v>9627</v>
      </c>
      <c r="L2224" s="1"/>
      <c r="M2224" s="1"/>
    </row>
    <row x14ac:dyDescent="0.25" r="2225" customHeight="1" ht="18.75">
      <c r="A2225" s="1" t="s">
        <v>3693</v>
      </c>
      <c r="B2225" s="1" t="s">
        <v>4204</v>
      </c>
      <c r="C2225" s="1" t="s">
        <v>3600</v>
      </c>
      <c r="D2225" s="1" t="s">
        <v>8100</v>
      </c>
      <c r="E2225" s="1" t="s">
        <v>3893</v>
      </c>
      <c r="F2225" s="1" t="s">
        <v>9628</v>
      </c>
      <c r="G2225" s="1" t="s">
        <v>4419</v>
      </c>
      <c r="H2225" s="1" t="s">
        <v>3604</v>
      </c>
      <c r="I2225" s="1" t="s">
        <v>9629</v>
      </c>
      <c r="J2225" s="1" t="s">
        <v>3615</v>
      </c>
      <c r="K2225" s="1" t="s">
        <v>9630</v>
      </c>
      <c r="L2225" s="1"/>
      <c r="M2225" s="1"/>
    </row>
    <row x14ac:dyDescent="0.25" r="2226" customHeight="1" ht="18.75">
      <c r="A2226" s="1" t="s">
        <v>3693</v>
      </c>
      <c r="B2226" s="1" t="s">
        <v>4158</v>
      </c>
      <c r="C2226" s="1" t="s">
        <v>3600</v>
      </c>
      <c r="D2226" s="1" t="s">
        <v>8100</v>
      </c>
      <c r="E2226" s="1" t="s">
        <v>3893</v>
      </c>
      <c r="F2226" s="1" t="s">
        <v>9631</v>
      </c>
      <c r="G2226" s="1" t="s">
        <v>9632</v>
      </c>
      <c r="H2226" s="1" t="s">
        <v>3604</v>
      </c>
      <c r="I2226" s="1" t="s">
        <v>9633</v>
      </c>
      <c r="J2226" s="1" t="s">
        <v>3615</v>
      </c>
      <c r="K2226" s="1" t="s">
        <v>9634</v>
      </c>
      <c r="L2226" s="1"/>
      <c r="M2226" s="1"/>
    </row>
    <row x14ac:dyDescent="0.25" r="2227" customHeight="1" ht="18.75">
      <c r="A2227" s="1" t="s">
        <v>3693</v>
      </c>
      <c r="B2227" s="1" t="s">
        <v>4158</v>
      </c>
      <c r="C2227" s="1" t="s">
        <v>3600</v>
      </c>
      <c r="D2227" s="1" t="s">
        <v>8100</v>
      </c>
      <c r="E2227" s="1" t="s">
        <v>3893</v>
      </c>
      <c r="F2227" s="1" t="s">
        <v>9635</v>
      </c>
      <c r="G2227" s="1" t="s">
        <v>4424</v>
      </c>
      <c r="H2227" s="1" t="s">
        <v>3604</v>
      </c>
      <c r="I2227" s="1" t="s">
        <v>9636</v>
      </c>
      <c r="J2227" s="1" t="s">
        <v>3615</v>
      </c>
      <c r="K2227" s="1" t="s">
        <v>9637</v>
      </c>
      <c r="L2227" s="1"/>
      <c r="M2227" s="1"/>
    </row>
    <row x14ac:dyDescent="0.25" r="2228" customHeight="1" ht="18.75">
      <c r="A2228" s="1" t="s">
        <v>3693</v>
      </c>
      <c r="B2228" s="1" t="s">
        <v>4208</v>
      </c>
      <c r="C2228" s="1" t="s">
        <v>3619</v>
      </c>
      <c r="D2228" s="1" t="s">
        <v>3610</v>
      </c>
      <c r="E2228" s="1" t="s">
        <v>3664</v>
      </c>
      <c r="F2228" s="1" t="s">
        <v>9638</v>
      </c>
      <c r="G2228" s="1" t="s">
        <v>9407</v>
      </c>
      <c r="H2228" s="1" t="s">
        <v>3604</v>
      </c>
      <c r="I2228" s="1" t="s">
        <v>9639</v>
      </c>
      <c r="J2228" s="1" t="s">
        <v>3615</v>
      </c>
      <c r="K2228" s="1" t="s">
        <v>9640</v>
      </c>
      <c r="L2228" s="1"/>
      <c r="M2228" s="1"/>
    </row>
    <row x14ac:dyDescent="0.25" r="2229" customHeight="1" ht="18.75">
      <c r="A2229" s="1" t="s">
        <v>3617</v>
      </c>
      <c r="B2229" s="1" t="s">
        <v>5222</v>
      </c>
      <c r="C2229" s="1" t="s">
        <v>3619</v>
      </c>
      <c r="D2229" s="1" t="s">
        <v>8116</v>
      </c>
      <c r="E2229" s="1" t="s">
        <v>3730</v>
      </c>
      <c r="F2229" s="1" t="s">
        <v>9641</v>
      </c>
      <c r="G2229" s="1" t="s">
        <v>9642</v>
      </c>
      <c r="H2229" s="1" t="s">
        <v>3604</v>
      </c>
      <c r="I2229" s="1" t="s">
        <v>9643</v>
      </c>
      <c r="J2229" s="1" t="s">
        <v>3606</v>
      </c>
      <c r="K2229" s="1" t="s">
        <v>9644</v>
      </c>
      <c r="L2229" s="1"/>
      <c r="M2229" s="1"/>
    </row>
    <row x14ac:dyDescent="0.25" r="2230" customHeight="1" ht="18.75">
      <c r="A2230" s="1" t="s">
        <v>3693</v>
      </c>
      <c r="B2230" s="1" t="s">
        <v>6216</v>
      </c>
      <c r="C2230" s="1" t="s">
        <v>3619</v>
      </c>
      <c r="D2230" s="1" t="s">
        <v>8373</v>
      </c>
      <c r="E2230" s="1" t="s">
        <v>3664</v>
      </c>
      <c r="F2230" s="1" t="s">
        <v>9645</v>
      </c>
      <c r="G2230" s="1" t="s">
        <v>7000</v>
      </c>
      <c r="H2230" s="1" t="s">
        <v>3604</v>
      </c>
      <c r="I2230" s="1" t="s">
        <v>9646</v>
      </c>
      <c r="J2230" s="1" t="s">
        <v>3606</v>
      </c>
      <c r="K2230" s="1" t="s">
        <v>9647</v>
      </c>
      <c r="L2230" s="1"/>
      <c r="M2230" s="1"/>
    </row>
    <row x14ac:dyDescent="0.25" r="2231" customHeight="1" ht="18.75">
      <c r="A2231" s="1" t="s">
        <v>3693</v>
      </c>
      <c r="B2231" s="1" t="s">
        <v>6216</v>
      </c>
      <c r="C2231" s="1" t="s">
        <v>3619</v>
      </c>
      <c r="D2231" s="1" t="s">
        <v>8373</v>
      </c>
      <c r="E2231" s="1" t="s">
        <v>3664</v>
      </c>
      <c r="F2231" s="1" t="s">
        <v>9648</v>
      </c>
      <c r="G2231" s="1" t="s">
        <v>7000</v>
      </c>
      <c r="H2231" s="1" t="s">
        <v>3604</v>
      </c>
      <c r="I2231" s="1" t="s">
        <v>9649</v>
      </c>
      <c r="J2231" s="1" t="s">
        <v>3606</v>
      </c>
      <c r="K2231" s="1" t="s">
        <v>9650</v>
      </c>
      <c r="L2231" s="1"/>
      <c r="M2231" s="1"/>
    </row>
    <row x14ac:dyDescent="0.25" r="2232" customHeight="1" ht="18.75">
      <c r="A2232" s="1" t="s">
        <v>3693</v>
      </c>
      <c r="B2232" s="1" t="s">
        <v>6216</v>
      </c>
      <c r="C2232" s="1" t="s">
        <v>3619</v>
      </c>
      <c r="D2232" s="1" t="s">
        <v>8373</v>
      </c>
      <c r="E2232" s="1" t="s">
        <v>3664</v>
      </c>
      <c r="F2232" s="1" t="s">
        <v>9651</v>
      </c>
      <c r="G2232" s="1" t="s">
        <v>7000</v>
      </c>
      <c r="H2232" s="1" t="s">
        <v>3604</v>
      </c>
      <c r="I2232" s="1" t="s">
        <v>9652</v>
      </c>
      <c r="J2232" s="1" t="s">
        <v>3606</v>
      </c>
      <c r="K2232" s="1" t="s">
        <v>9653</v>
      </c>
      <c r="L2232" s="1"/>
      <c r="M2232" s="1"/>
    </row>
    <row x14ac:dyDescent="0.25" r="2233" customHeight="1" ht="18.75">
      <c r="A2233" s="1" t="s">
        <v>3693</v>
      </c>
      <c r="B2233" s="1" t="s">
        <v>6216</v>
      </c>
      <c r="C2233" s="1" t="s">
        <v>3619</v>
      </c>
      <c r="D2233" s="1" t="s">
        <v>7891</v>
      </c>
      <c r="E2233" s="1" t="s">
        <v>3664</v>
      </c>
      <c r="F2233" s="1" t="s">
        <v>9654</v>
      </c>
      <c r="G2233" s="1" t="s">
        <v>7000</v>
      </c>
      <c r="H2233" s="1" t="s">
        <v>3604</v>
      </c>
      <c r="I2233" s="1" t="s">
        <v>9655</v>
      </c>
      <c r="J2233" s="1" t="s">
        <v>3615</v>
      </c>
      <c r="K2233" s="1" t="s">
        <v>9656</v>
      </c>
      <c r="L2233" s="1"/>
      <c r="M2233" s="1"/>
    </row>
    <row x14ac:dyDescent="0.25" r="2234" customHeight="1" ht="18.75">
      <c r="A2234" s="1" t="s">
        <v>7833</v>
      </c>
      <c r="B2234" s="1" t="s">
        <v>8828</v>
      </c>
      <c r="C2234" s="1" t="s">
        <v>4488</v>
      </c>
      <c r="D2234" s="1" t="s">
        <v>3601</v>
      </c>
      <c r="E2234" s="1" t="s">
        <v>8096</v>
      </c>
      <c r="F2234" s="1" t="s">
        <v>9657</v>
      </c>
      <c r="G2234" s="1" t="s">
        <v>8954</v>
      </c>
      <c r="H2234" s="1" t="s">
        <v>3604</v>
      </c>
      <c r="I2234" s="1" t="s">
        <v>9658</v>
      </c>
      <c r="J2234" s="1" t="s">
        <v>3606</v>
      </c>
      <c r="K2234" s="1" t="s">
        <v>9659</v>
      </c>
      <c r="L2234" s="1"/>
      <c r="M2234" s="1"/>
    </row>
    <row x14ac:dyDescent="0.25" r="2235" customHeight="1" ht="18.75">
      <c r="A2235" s="1" t="s">
        <v>7833</v>
      </c>
      <c r="B2235" s="1" t="s">
        <v>8828</v>
      </c>
      <c r="C2235" s="1" t="s">
        <v>4488</v>
      </c>
      <c r="D2235" s="1" t="s">
        <v>3601</v>
      </c>
      <c r="E2235" s="1" t="s">
        <v>8096</v>
      </c>
      <c r="F2235" s="1" t="s">
        <v>9660</v>
      </c>
      <c r="G2235" s="1" t="s">
        <v>8954</v>
      </c>
      <c r="H2235" s="1" t="s">
        <v>3604</v>
      </c>
      <c r="I2235" s="1" t="s">
        <v>9661</v>
      </c>
      <c r="J2235" s="1" t="s">
        <v>3606</v>
      </c>
      <c r="K2235" s="1" t="s">
        <v>9662</v>
      </c>
      <c r="L2235" s="1"/>
      <c r="M2235" s="1"/>
    </row>
    <row x14ac:dyDescent="0.25" r="2236" customHeight="1" ht="18.75">
      <c r="A2236" s="1" t="s">
        <v>7833</v>
      </c>
      <c r="B2236" s="1" t="s">
        <v>8828</v>
      </c>
      <c r="C2236" s="1" t="s">
        <v>4488</v>
      </c>
      <c r="D2236" s="1" t="s">
        <v>3601</v>
      </c>
      <c r="E2236" s="1" t="s">
        <v>8096</v>
      </c>
      <c r="F2236" s="1" t="s">
        <v>9663</v>
      </c>
      <c r="G2236" s="1" t="s">
        <v>8954</v>
      </c>
      <c r="H2236" s="1" t="s">
        <v>3604</v>
      </c>
      <c r="I2236" s="1" t="s">
        <v>9664</v>
      </c>
      <c r="J2236" s="1" t="s">
        <v>3606</v>
      </c>
      <c r="K2236" s="1" t="s">
        <v>9167</v>
      </c>
      <c r="L2236" s="1"/>
      <c r="M2236" s="1"/>
    </row>
    <row x14ac:dyDescent="0.25" r="2237" customHeight="1" ht="18.75">
      <c r="A2237" s="1" t="s">
        <v>7833</v>
      </c>
      <c r="B2237" s="1" t="s">
        <v>8828</v>
      </c>
      <c r="C2237" s="1" t="s">
        <v>4488</v>
      </c>
      <c r="D2237" s="1" t="s">
        <v>3601</v>
      </c>
      <c r="E2237" s="1" t="s">
        <v>8096</v>
      </c>
      <c r="F2237" s="1" t="s">
        <v>9665</v>
      </c>
      <c r="G2237" s="1" t="s">
        <v>8954</v>
      </c>
      <c r="H2237" s="1" t="s">
        <v>3604</v>
      </c>
      <c r="I2237" s="1" t="s">
        <v>9666</v>
      </c>
      <c r="J2237" s="1" t="s">
        <v>3606</v>
      </c>
      <c r="K2237" s="1" t="s">
        <v>9164</v>
      </c>
      <c r="L2237" s="1"/>
      <c r="M2237" s="1"/>
    </row>
    <row x14ac:dyDescent="0.25" r="2238" customHeight="1" ht="18.75">
      <c r="A2238" s="1" t="s">
        <v>7833</v>
      </c>
      <c r="B2238" s="1" t="s">
        <v>8828</v>
      </c>
      <c r="C2238" s="1" t="s">
        <v>4488</v>
      </c>
      <c r="D2238" s="1" t="s">
        <v>3601</v>
      </c>
      <c r="E2238" s="1" t="s">
        <v>8096</v>
      </c>
      <c r="F2238" s="1" t="s">
        <v>9667</v>
      </c>
      <c r="G2238" s="1" t="s">
        <v>8954</v>
      </c>
      <c r="H2238" s="1" t="s">
        <v>3604</v>
      </c>
      <c r="I2238" s="1" t="s">
        <v>9668</v>
      </c>
      <c r="J2238" s="1" t="s">
        <v>3606</v>
      </c>
      <c r="K2238" s="1" t="s">
        <v>9161</v>
      </c>
      <c r="L2238" s="1"/>
      <c r="M2238" s="1"/>
    </row>
    <row x14ac:dyDescent="0.25" r="2239" customHeight="1" ht="18.75">
      <c r="A2239" s="1" t="s">
        <v>7833</v>
      </c>
      <c r="B2239" s="1" t="s">
        <v>8828</v>
      </c>
      <c r="C2239" s="1" t="s">
        <v>4488</v>
      </c>
      <c r="D2239" s="1" t="s">
        <v>3601</v>
      </c>
      <c r="E2239" s="1" t="s">
        <v>8096</v>
      </c>
      <c r="F2239" s="1" t="s">
        <v>9669</v>
      </c>
      <c r="G2239" s="1" t="s">
        <v>8954</v>
      </c>
      <c r="H2239" s="1" t="s">
        <v>3604</v>
      </c>
      <c r="I2239" s="1" t="s">
        <v>9670</v>
      </c>
      <c r="J2239" s="1" t="s">
        <v>3606</v>
      </c>
      <c r="K2239" s="1" t="s">
        <v>9158</v>
      </c>
      <c r="L2239" s="1"/>
      <c r="M2239" s="1"/>
    </row>
    <row x14ac:dyDescent="0.25" r="2240" customHeight="1" ht="18.75">
      <c r="A2240" s="1" t="s">
        <v>3693</v>
      </c>
      <c r="B2240" s="1" t="s">
        <v>4247</v>
      </c>
      <c r="C2240" s="1" t="s">
        <v>3600</v>
      </c>
      <c r="D2240" s="1" t="s">
        <v>3695</v>
      </c>
      <c r="E2240" s="1" t="s">
        <v>3664</v>
      </c>
      <c r="F2240" s="1" t="s">
        <v>9671</v>
      </c>
      <c r="G2240" s="1" t="s">
        <v>9672</v>
      </c>
      <c r="H2240" s="1" t="s">
        <v>3604</v>
      </c>
      <c r="I2240" s="1" t="s">
        <v>9673</v>
      </c>
      <c r="J2240" s="1" t="s">
        <v>3606</v>
      </c>
      <c r="K2240" s="1" t="s">
        <v>9674</v>
      </c>
      <c r="L2240" s="1"/>
      <c r="M2240" s="1"/>
    </row>
    <row x14ac:dyDescent="0.25" r="2241" customHeight="1" ht="18.75">
      <c r="A2241" s="1" t="s">
        <v>3693</v>
      </c>
      <c r="B2241" s="1" t="s">
        <v>3942</v>
      </c>
      <c r="C2241" s="1" t="s">
        <v>3600</v>
      </c>
      <c r="D2241" s="1" t="s">
        <v>3695</v>
      </c>
      <c r="E2241" s="1" t="s">
        <v>3664</v>
      </c>
      <c r="F2241" s="1" t="s">
        <v>9675</v>
      </c>
      <c r="G2241" s="1" t="s">
        <v>3954</v>
      </c>
      <c r="H2241" s="1" t="s">
        <v>3604</v>
      </c>
      <c r="I2241" s="1" t="s">
        <v>9676</v>
      </c>
      <c r="J2241" s="1" t="s">
        <v>3606</v>
      </c>
      <c r="K2241" s="1" t="s">
        <v>9677</v>
      </c>
      <c r="L2241" s="1"/>
      <c r="M2241" s="1"/>
    </row>
    <row x14ac:dyDescent="0.25" r="2242" customHeight="1" ht="18.75">
      <c r="A2242" s="1" t="s">
        <v>3693</v>
      </c>
      <c r="B2242" s="1" t="s">
        <v>4247</v>
      </c>
      <c r="C2242" s="1" t="s">
        <v>3600</v>
      </c>
      <c r="D2242" s="1" t="s">
        <v>3695</v>
      </c>
      <c r="E2242" s="1" t="s">
        <v>3664</v>
      </c>
      <c r="F2242" s="1" t="s">
        <v>9678</v>
      </c>
      <c r="G2242" s="1" t="s">
        <v>9672</v>
      </c>
      <c r="H2242" s="1" t="s">
        <v>3604</v>
      </c>
      <c r="I2242" s="1" t="s">
        <v>9679</v>
      </c>
      <c r="J2242" s="1" t="s">
        <v>3615</v>
      </c>
      <c r="K2242" s="1" t="s">
        <v>9680</v>
      </c>
      <c r="L2242" s="1"/>
      <c r="M2242" s="1"/>
    </row>
    <row x14ac:dyDescent="0.25" r="2243" customHeight="1" ht="18.75">
      <c r="A2243" s="1" t="s">
        <v>3693</v>
      </c>
      <c r="B2243" s="1" t="s">
        <v>3942</v>
      </c>
      <c r="C2243" s="1" t="s">
        <v>3600</v>
      </c>
      <c r="D2243" s="1" t="s">
        <v>3695</v>
      </c>
      <c r="E2243" s="1" t="s">
        <v>3664</v>
      </c>
      <c r="F2243" s="1" t="s">
        <v>9681</v>
      </c>
      <c r="G2243" s="1" t="s">
        <v>3954</v>
      </c>
      <c r="H2243" s="1" t="s">
        <v>3604</v>
      </c>
      <c r="I2243" s="1" t="s">
        <v>9682</v>
      </c>
      <c r="J2243" s="1" t="s">
        <v>3606</v>
      </c>
      <c r="K2243" s="1" t="s">
        <v>9683</v>
      </c>
      <c r="L2243" s="1"/>
      <c r="M2243" s="1"/>
    </row>
    <row x14ac:dyDescent="0.25" r="2244" customHeight="1" ht="18.75">
      <c r="A2244" s="1" t="s">
        <v>3693</v>
      </c>
      <c r="B2244" s="1" t="s">
        <v>3942</v>
      </c>
      <c r="C2244" s="1" t="s">
        <v>3600</v>
      </c>
      <c r="D2244" s="1" t="s">
        <v>3695</v>
      </c>
      <c r="E2244" s="1" t="s">
        <v>3664</v>
      </c>
      <c r="F2244" s="1" t="s">
        <v>9684</v>
      </c>
      <c r="G2244" s="1" t="s">
        <v>3954</v>
      </c>
      <c r="H2244" s="1" t="s">
        <v>3604</v>
      </c>
      <c r="I2244" s="1" t="s">
        <v>9685</v>
      </c>
      <c r="J2244" s="1" t="s">
        <v>3606</v>
      </c>
      <c r="K2244" s="1" t="s">
        <v>9686</v>
      </c>
      <c r="L2244" s="1"/>
      <c r="M2244" s="1"/>
    </row>
    <row x14ac:dyDescent="0.25" r="2245" customHeight="1" ht="18.75">
      <c r="A2245" s="1" t="s">
        <v>3693</v>
      </c>
      <c r="B2245" s="1" t="s">
        <v>4214</v>
      </c>
      <c r="C2245" s="1" t="s">
        <v>3600</v>
      </c>
      <c r="D2245" s="1" t="s">
        <v>3695</v>
      </c>
      <c r="E2245" s="1" t="s">
        <v>3664</v>
      </c>
      <c r="F2245" s="1" t="s">
        <v>9687</v>
      </c>
      <c r="G2245" s="1" t="s">
        <v>5953</v>
      </c>
      <c r="H2245" s="1" t="s">
        <v>3604</v>
      </c>
      <c r="I2245" s="1" t="s">
        <v>9688</v>
      </c>
      <c r="J2245" s="1" t="s">
        <v>3615</v>
      </c>
      <c r="K2245" s="1" t="s">
        <v>9689</v>
      </c>
      <c r="L2245" s="1"/>
      <c r="M2245" s="1"/>
    </row>
    <row x14ac:dyDescent="0.25" r="2246" customHeight="1" ht="18.75">
      <c r="A2246" s="1" t="s">
        <v>3693</v>
      </c>
      <c r="B2246" s="1" t="s">
        <v>4247</v>
      </c>
      <c r="C2246" s="1" t="s">
        <v>3600</v>
      </c>
      <c r="D2246" s="1" t="s">
        <v>3695</v>
      </c>
      <c r="E2246" s="1" t="s">
        <v>3664</v>
      </c>
      <c r="F2246" s="1" t="s">
        <v>9690</v>
      </c>
      <c r="G2246" s="1" t="s">
        <v>4802</v>
      </c>
      <c r="H2246" s="1" t="s">
        <v>3604</v>
      </c>
      <c r="I2246" s="1" t="s">
        <v>9691</v>
      </c>
      <c r="J2246" s="1" t="s">
        <v>3615</v>
      </c>
      <c r="K2246" s="1" t="s">
        <v>9692</v>
      </c>
      <c r="L2246" s="1"/>
      <c r="M2246" s="1"/>
    </row>
    <row x14ac:dyDescent="0.25" r="2247" customHeight="1" ht="18.75">
      <c r="A2247" s="1" t="s">
        <v>3693</v>
      </c>
      <c r="B2247" s="1" t="s">
        <v>4247</v>
      </c>
      <c r="C2247" s="1" t="s">
        <v>3600</v>
      </c>
      <c r="D2247" s="1" t="s">
        <v>3695</v>
      </c>
      <c r="E2247" s="1" t="s">
        <v>3664</v>
      </c>
      <c r="F2247" s="1" t="s">
        <v>9693</v>
      </c>
      <c r="G2247" s="1" t="s">
        <v>4735</v>
      </c>
      <c r="H2247" s="1" t="s">
        <v>3604</v>
      </c>
      <c r="I2247" s="1" t="s">
        <v>9694</v>
      </c>
      <c r="J2247" s="1" t="s">
        <v>3615</v>
      </c>
      <c r="K2247" s="1" t="s">
        <v>9692</v>
      </c>
      <c r="L2247" s="1"/>
      <c r="M2247" s="1"/>
    </row>
    <row x14ac:dyDescent="0.25" r="2248" customHeight="1" ht="18.75">
      <c r="A2248" s="1" t="s">
        <v>3693</v>
      </c>
      <c r="B2248" s="1" t="s">
        <v>4247</v>
      </c>
      <c r="C2248" s="1" t="s">
        <v>3600</v>
      </c>
      <c r="D2248" s="1" t="s">
        <v>3695</v>
      </c>
      <c r="E2248" s="1" t="s">
        <v>3664</v>
      </c>
      <c r="F2248" s="1" t="s">
        <v>9695</v>
      </c>
      <c r="G2248" s="1" t="s">
        <v>4735</v>
      </c>
      <c r="H2248" s="1" t="s">
        <v>3604</v>
      </c>
      <c r="I2248" s="1" t="s">
        <v>9696</v>
      </c>
      <c r="J2248" s="1" t="s">
        <v>3615</v>
      </c>
      <c r="K2248" s="1" t="s">
        <v>9692</v>
      </c>
      <c r="L2248" s="1"/>
      <c r="M2248" s="1"/>
    </row>
    <row x14ac:dyDescent="0.25" r="2249" customHeight="1" ht="18.75">
      <c r="A2249" s="1" t="s">
        <v>3693</v>
      </c>
      <c r="B2249" s="1" t="s">
        <v>4091</v>
      </c>
      <c r="C2249" s="1" t="s">
        <v>3600</v>
      </c>
      <c r="D2249" s="1" t="s">
        <v>7891</v>
      </c>
      <c r="E2249" s="1" t="s">
        <v>3752</v>
      </c>
      <c r="F2249" s="1" t="s">
        <v>9697</v>
      </c>
      <c r="G2249" s="1" t="s">
        <v>5682</v>
      </c>
      <c r="H2249" s="1" t="s">
        <v>3604</v>
      </c>
      <c r="I2249" s="1" t="s">
        <v>9698</v>
      </c>
      <c r="J2249" s="1" t="s">
        <v>3615</v>
      </c>
      <c r="K2249" s="1" t="s">
        <v>9699</v>
      </c>
      <c r="L2249" s="1"/>
      <c r="M2249" s="1"/>
    </row>
    <row x14ac:dyDescent="0.25" r="2250" customHeight="1" ht="18.75">
      <c r="A2250" s="1" t="s">
        <v>3693</v>
      </c>
      <c r="B2250" s="1" t="s">
        <v>4091</v>
      </c>
      <c r="C2250" s="1" t="s">
        <v>3600</v>
      </c>
      <c r="D2250" s="1" t="s">
        <v>7891</v>
      </c>
      <c r="E2250" s="1" t="s">
        <v>3752</v>
      </c>
      <c r="F2250" s="1" t="s">
        <v>9700</v>
      </c>
      <c r="G2250" s="1" t="s">
        <v>5682</v>
      </c>
      <c r="H2250" s="1" t="s">
        <v>3604</v>
      </c>
      <c r="I2250" s="1" t="s">
        <v>9701</v>
      </c>
      <c r="J2250" s="1" t="s">
        <v>3615</v>
      </c>
      <c r="K2250" s="1" t="s">
        <v>9702</v>
      </c>
      <c r="L2250" s="1"/>
      <c r="M2250" s="1"/>
    </row>
    <row x14ac:dyDescent="0.25" r="2251" customHeight="1" ht="18.75">
      <c r="A2251" s="1" t="s">
        <v>7833</v>
      </c>
      <c r="B2251" s="1" t="s">
        <v>7872</v>
      </c>
      <c r="C2251" s="1" t="s">
        <v>4488</v>
      </c>
      <c r="D2251" s="1" t="s">
        <v>3601</v>
      </c>
      <c r="E2251" s="1" t="s">
        <v>8096</v>
      </c>
      <c r="F2251" s="1" t="s">
        <v>9703</v>
      </c>
      <c r="G2251" s="1" t="s">
        <v>7874</v>
      </c>
      <c r="H2251" s="1" t="s">
        <v>3604</v>
      </c>
      <c r="I2251" s="1" t="s">
        <v>9704</v>
      </c>
      <c r="J2251" s="1" t="s">
        <v>3606</v>
      </c>
      <c r="K2251" s="1" t="s">
        <v>9705</v>
      </c>
      <c r="L2251" s="1"/>
      <c r="M2251" s="1"/>
    </row>
    <row x14ac:dyDescent="0.25" r="2252" customHeight="1" ht="18.75">
      <c r="A2252" s="1" t="s">
        <v>3598</v>
      </c>
      <c r="B2252" s="1" t="s">
        <v>6728</v>
      </c>
      <c r="C2252" s="1" t="s">
        <v>3600</v>
      </c>
      <c r="D2252" s="1" t="s">
        <v>3601</v>
      </c>
      <c r="E2252" s="1" t="s">
        <v>3893</v>
      </c>
      <c r="F2252" s="1" t="s">
        <v>9706</v>
      </c>
      <c r="G2252" s="1" t="s">
        <v>9514</v>
      </c>
      <c r="H2252" s="1" t="s">
        <v>3604</v>
      </c>
      <c r="I2252" s="1" t="s">
        <v>9707</v>
      </c>
      <c r="J2252" s="1" t="s">
        <v>3606</v>
      </c>
      <c r="K2252" s="1" t="s">
        <v>9708</v>
      </c>
      <c r="L2252" s="1"/>
      <c r="M2252" s="1"/>
    </row>
    <row x14ac:dyDescent="0.25" r="2253" customHeight="1" ht="18.75">
      <c r="A2253" s="1" t="s">
        <v>7833</v>
      </c>
      <c r="B2253" s="1" t="s">
        <v>7872</v>
      </c>
      <c r="C2253" s="1" t="s">
        <v>4488</v>
      </c>
      <c r="D2253" s="1" t="s">
        <v>3601</v>
      </c>
      <c r="E2253" s="1" t="s">
        <v>3611</v>
      </c>
      <c r="F2253" s="1" t="s">
        <v>9709</v>
      </c>
      <c r="G2253" s="1" t="s">
        <v>7874</v>
      </c>
      <c r="H2253" s="1" t="s">
        <v>3604</v>
      </c>
      <c r="I2253" s="1" t="s">
        <v>9710</v>
      </c>
      <c r="J2253" s="1" t="s">
        <v>3606</v>
      </c>
      <c r="K2253" s="1" t="s">
        <v>9137</v>
      </c>
      <c r="L2253" s="1"/>
      <c r="M2253" s="1"/>
    </row>
    <row x14ac:dyDescent="0.25" r="2254" customHeight="1" ht="18.75">
      <c r="A2254" s="1" t="s">
        <v>3598</v>
      </c>
      <c r="B2254" s="1" t="s">
        <v>6732</v>
      </c>
      <c r="C2254" s="1" t="s">
        <v>3600</v>
      </c>
      <c r="D2254" s="1" t="s">
        <v>3601</v>
      </c>
      <c r="E2254" s="1" t="s">
        <v>3664</v>
      </c>
      <c r="F2254" s="1" t="s">
        <v>9711</v>
      </c>
      <c r="G2254" s="1" t="s">
        <v>9712</v>
      </c>
      <c r="H2254" s="1" t="s">
        <v>3604</v>
      </c>
      <c r="I2254" s="1" t="s">
        <v>9713</v>
      </c>
      <c r="J2254" s="1" t="s">
        <v>3606</v>
      </c>
      <c r="K2254" s="1" t="s">
        <v>9714</v>
      </c>
      <c r="L2254" s="1"/>
      <c r="M2254" s="1"/>
    </row>
    <row x14ac:dyDescent="0.25" r="2255" customHeight="1" ht="18.75">
      <c r="A2255" s="1" t="s">
        <v>7833</v>
      </c>
      <c r="B2255" s="1" t="s">
        <v>7872</v>
      </c>
      <c r="C2255" s="1" t="s">
        <v>4488</v>
      </c>
      <c r="D2255" s="1" t="s">
        <v>3601</v>
      </c>
      <c r="E2255" s="1" t="s">
        <v>3664</v>
      </c>
      <c r="F2255" s="1" t="s">
        <v>9715</v>
      </c>
      <c r="G2255" s="1" t="s">
        <v>7874</v>
      </c>
      <c r="H2255" s="1" t="s">
        <v>3604</v>
      </c>
      <c r="I2255" s="1" t="s">
        <v>9716</v>
      </c>
      <c r="J2255" s="1" t="s">
        <v>3606</v>
      </c>
      <c r="K2255" s="1" t="s">
        <v>9717</v>
      </c>
      <c r="L2255" s="1"/>
      <c r="M2255" s="1"/>
    </row>
    <row x14ac:dyDescent="0.25" r="2256" customHeight="1" ht="18.75">
      <c r="A2256" s="1" t="s">
        <v>7833</v>
      </c>
      <c r="B2256" s="1" t="s">
        <v>7872</v>
      </c>
      <c r="C2256" s="1" t="s">
        <v>4488</v>
      </c>
      <c r="D2256" s="1" t="s">
        <v>3601</v>
      </c>
      <c r="E2256" s="1" t="s">
        <v>8096</v>
      </c>
      <c r="F2256" s="1" t="s">
        <v>9718</v>
      </c>
      <c r="G2256" s="1" t="s">
        <v>7874</v>
      </c>
      <c r="H2256" s="1" t="s">
        <v>3604</v>
      </c>
      <c r="I2256" s="1" t="s">
        <v>9719</v>
      </c>
      <c r="J2256" s="1" t="s">
        <v>3606</v>
      </c>
      <c r="K2256" s="1" t="s">
        <v>9720</v>
      </c>
      <c r="L2256" s="1"/>
      <c r="M2256" s="1"/>
    </row>
    <row x14ac:dyDescent="0.25" r="2257" customHeight="1" ht="18.75">
      <c r="A2257" s="1" t="s">
        <v>3598</v>
      </c>
      <c r="B2257" s="1" t="s">
        <v>4627</v>
      </c>
      <c r="C2257" s="1" t="s">
        <v>3600</v>
      </c>
      <c r="D2257" s="1" t="s">
        <v>3610</v>
      </c>
      <c r="E2257" s="1" t="s">
        <v>3664</v>
      </c>
      <c r="F2257" s="1" t="s">
        <v>9721</v>
      </c>
      <c r="G2257" s="1" t="s">
        <v>9588</v>
      </c>
      <c r="H2257" s="1" t="s">
        <v>3604</v>
      </c>
      <c r="I2257" s="1" t="s">
        <v>9722</v>
      </c>
      <c r="J2257" s="1" t="s">
        <v>3615</v>
      </c>
      <c r="K2257" s="1" t="s">
        <v>9723</v>
      </c>
      <c r="L2257" s="1"/>
      <c r="M2257" s="1"/>
    </row>
    <row x14ac:dyDescent="0.25" r="2258" customHeight="1" ht="18.75">
      <c r="A2258" s="1" t="s">
        <v>7833</v>
      </c>
      <c r="B2258" s="1" t="s">
        <v>7872</v>
      </c>
      <c r="C2258" s="1" t="s">
        <v>4488</v>
      </c>
      <c r="D2258" s="1" t="s">
        <v>3601</v>
      </c>
      <c r="E2258" s="1" t="s">
        <v>3981</v>
      </c>
      <c r="F2258" s="1" t="s">
        <v>9724</v>
      </c>
      <c r="G2258" s="1" t="s">
        <v>9725</v>
      </c>
      <c r="H2258" s="1" t="s">
        <v>3604</v>
      </c>
      <c r="I2258" s="1" t="s">
        <v>9726</v>
      </c>
      <c r="J2258" s="1" t="s">
        <v>3606</v>
      </c>
      <c r="K2258" s="1" t="s">
        <v>9727</v>
      </c>
      <c r="L2258" s="1"/>
      <c r="M2258" s="1"/>
    </row>
    <row x14ac:dyDescent="0.25" r="2259" customHeight="1" ht="18.75">
      <c r="A2259" s="1" t="s">
        <v>3693</v>
      </c>
      <c r="B2259" s="1" t="s">
        <v>6216</v>
      </c>
      <c r="C2259" s="1" t="s">
        <v>3619</v>
      </c>
      <c r="D2259" s="1" t="s">
        <v>8373</v>
      </c>
      <c r="E2259" s="1" t="s">
        <v>3664</v>
      </c>
      <c r="F2259" s="1" t="s">
        <v>9728</v>
      </c>
      <c r="G2259" s="1" t="s">
        <v>7000</v>
      </c>
      <c r="H2259" s="1" t="s">
        <v>3604</v>
      </c>
      <c r="I2259" s="1" t="s">
        <v>9729</v>
      </c>
      <c r="J2259" s="1" t="s">
        <v>3606</v>
      </c>
      <c r="K2259" s="1" t="s">
        <v>9730</v>
      </c>
      <c r="L2259" s="1"/>
      <c r="M2259" s="1"/>
    </row>
    <row x14ac:dyDescent="0.25" r="2260" customHeight="1" ht="18.75">
      <c r="A2260" s="1" t="s">
        <v>7833</v>
      </c>
      <c r="B2260" s="1" t="s">
        <v>7872</v>
      </c>
      <c r="C2260" s="1" t="s">
        <v>4488</v>
      </c>
      <c r="D2260" s="1" t="s">
        <v>3601</v>
      </c>
      <c r="E2260" s="1" t="s">
        <v>3981</v>
      </c>
      <c r="F2260" s="1" t="s">
        <v>9731</v>
      </c>
      <c r="G2260" s="1" t="s">
        <v>9732</v>
      </c>
      <c r="H2260" s="1" t="s">
        <v>3604</v>
      </c>
      <c r="I2260" s="1" t="s">
        <v>9733</v>
      </c>
      <c r="J2260" s="1" t="s">
        <v>3606</v>
      </c>
      <c r="K2260" s="1" t="s">
        <v>9734</v>
      </c>
      <c r="L2260" s="1"/>
      <c r="M2260" s="1"/>
    </row>
    <row x14ac:dyDescent="0.25" r="2261" customHeight="1" ht="18.75">
      <c r="A2261" s="1" t="s">
        <v>7833</v>
      </c>
      <c r="B2261" s="1" t="s">
        <v>7872</v>
      </c>
      <c r="C2261" s="1" t="s">
        <v>4488</v>
      </c>
      <c r="D2261" s="1" t="s">
        <v>3601</v>
      </c>
      <c r="E2261" s="1" t="s">
        <v>3981</v>
      </c>
      <c r="F2261" s="1" t="s">
        <v>9735</v>
      </c>
      <c r="G2261" s="1" t="s">
        <v>7874</v>
      </c>
      <c r="H2261" s="1" t="s">
        <v>3604</v>
      </c>
      <c r="I2261" s="1" t="s">
        <v>9736</v>
      </c>
      <c r="J2261" s="1" t="s">
        <v>3606</v>
      </c>
      <c r="K2261" s="1" t="s">
        <v>9737</v>
      </c>
      <c r="L2261" s="1"/>
      <c r="M2261" s="1"/>
    </row>
    <row x14ac:dyDescent="0.25" r="2262" customHeight="1" ht="18.75">
      <c r="A2262" s="1" t="s">
        <v>7833</v>
      </c>
      <c r="B2262" s="1" t="s">
        <v>7872</v>
      </c>
      <c r="C2262" s="1" t="s">
        <v>4488</v>
      </c>
      <c r="D2262" s="1" t="s">
        <v>3601</v>
      </c>
      <c r="E2262" s="1" t="s">
        <v>3981</v>
      </c>
      <c r="F2262" s="1" t="s">
        <v>9738</v>
      </c>
      <c r="G2262" s="1" t="s">
        <v>7874</v>
      </c>
      <c r="H2262" s="1" t="s">
        <v>3604</v>
      </c>
      <c r="I2262" s="1" t="s">
        <v>9739</v>
      </c>
      <c r="J2262" s="1" t="s">
        <v>3606</v>
      </c>
      <c r="K2262" s="1" t="s">
        <v>9740</v>
      </c>
      <c r="L2262" s="1"/>
      <c r="M2262" s="1"/>
    </row>
    <row x14ac:dyDescent="0.25" r="2263" customHeight="1" ht="18.75">
      <c r="A2263" s="1" t="s">
        <v>7833</v>
      </c>
      <c r="B2263" s="1" t="s">
        <v>7872</v>
      </c>
      <c r="C2263" s="1" t="s">
        <v>4488</v>
      </c>
      <c r="D2263" s="1" t="s">
        <v>3601</v>
      </c>
      <c r="E2263" s="1" t="s">
        <v>3981</v>
      </c>
      <c r="F2263" s="1" t="s">
        <v>9741</v>
      </c>
      <c r="G2263" s="1" t="s">
        <v>9742</v>
      </c>
      <c r="H2263" s="1" t="s">
        <v>3604</v>
      </c>
      <c r="I2263" s="1" t="s">
        <v>9743</v>
      </c>
      <c r="J2263" s="1" t="s">
        <v>3606</v>
      </c>
      <c r="K2263" s="1" t="s">
        <v>9744</v>
      </c>
      <c r="L2263" s="1"/>
      <c r="M2263" s="1"/>
    </row>
    <row x14ac:dyDescent="0.25" r="2264" customHeight="1" ht="18.75">
      <c r="A2264" s="1" t="s">
        <v>7833</v>
      </c>
      <c r="B2264" s="1" t="s">
        <v>7872</v>
      </c>
      <c r="C2264" s="1" t="s">
        <v>4488</v>
      </c>
      <c r="D2264" s="1" t="s">
        <v>3601</v>
      </c>
      <c r="E2264" s="1" t="s">
        <v>3981</v>
      </c>
      <c r="F2264" s="1" t="s">
        <v>9745</v>
      </c>
      <c r="G2264" s="1" t="s">
        <v>9746</v>
      </c>
      <c r="H2264" s="1" t="s">
        <v>3604</v>
      </c>
      <c r="I2264" s="1" t="s">
        <v>9747</v>
      </c>
      <c r="J2264" s="1" t="s">
        <v>3606</v>
      </c>
      <c r="K2264" s="1" t="s">
        <v>9748</v>
      </c>
      <c r="L2264" s="1"/>
      <c r="M2264" s="1"/>
    </row>
    <row x14ac:dyDescent="0.25" r="2265" customHeight="1" ht="18.75">
      <c r="A2265" s="1" t="s">
        <v>7833</v>
      </c>
      <c r="B2265" s="1" t="s">
        <v>7872</v>
      </c>
      <c r="C2265" s="1" t="s">
        <v>4488</v>
      </c>
      <c r="D2265" s="1" t="s">
        <v>3601</v>
      </c>
      <c r="E2265" s="1" t="s">
        <v>3981</v>
      </c>
      <c r="F2265" s="1" t="s">
        <v>9749</v>
      </c>
      <c r="G2265" s="1" t="s">
        <v>9750</v>
      </c>
      <c r="H2265" s="1" t="s">
        <v>3604</v>
      </c>
      <c r="I2265" s="1" t="s">
        <v>9751</v>
      </c>
      <c r="J2265" s="1" t="s">
        <v>3606</v>
      </c>
      <c r="K2265" s="1" t="s">
        <v>9752</v>
      </c>
      <c r="L2265" s="1"/>
      <c r="M2265" s="1"/>
    </row>
    <row x14ac:dyDescent="0.25" r="2266" customHeight="1" ht="18.75">
      <c r="A2266" s="1" t="s">
        <v>7833</v>
      </c>
      <c r="B2266" s="1" t="s">
        <v>7872</v>
      </c>
      <c r="C2266" s="1" t="s">
        <v>4488</v>
      </c>
      <c r="D2266" s="1" t="s">
        <v>3601</v>
      </c>
      <c r="E2266" s="1" t="s">
        <v>8096</v>
      </c>
      <c r="F2266" s="1" t="s">
        <v>9753</v>
      </c>
      <c r="G2266" s="1" t="s">
        <v>9754</v>
      </c>
      <c r="H2266" s="1" t="s">
        <v>3604</v>
      </c>
      <c r="I2266" s="1" t="s">
        <v>9755</v>
      </c>
      <c r="J2266" s="1" t="s">
        <v>3606</v>
      </c>
      <c r="K2266" s="1" t="s">
        <v>9756</v>
      </c>
      <c r="L2266" s="1"/>
      <c r="M2266" s="1"/>
    </row>
    <row x14ac:dyDescent="0.25" r="2267" customHeight="1" ht="18.75">
      <c r="A2267" s="1" t="s">
        <v>7833</v>
      </c>
      <c r="B2267" s="1" t="s">
        <v>7872</v>
      </c>
      <c r="C2267" s="1" t="s">
        <v>4488</v>
      </c>
      <c r="D2267" s="1" t="s">
        <v>3601</v>
      </c>
      <c r="E2267" s="1" t="s">
        <v>3664</v>
      </c>
      <c r="F2267" s="1" t="s">
        <v>9757</v>
      </c>
      <c r="G2267" s="1" t="s">
        <v>9754</v>
      </c>
      <c r="H2267" s="1" t="s">
        <v>3604</v>
      </c>
      <c r="I2267" s="1" t="s">
        <v>9758</v>
      </c>
      <c r="J2267" s="1" t="s">
        <v>3606</v>
      </c>
      <c r="K2267" s="1" t="s">
        <v>9759</v>
      </c>
      <c r="L2267" s="1"/>
      <c r="M2267" s="1"/>
    </row>
    <row x14ac:dyDescent="0.25" r="2268" customHeight="1" ht="18.75">
      <c r="A2268" s="1" t="s">
        <v>3617</v>
      </c>
      <c r="B2268" s="1" t="s">
        <v>5544</v>
      </c>
      <c r="C2268" s="1" t="s">
        <v>3619</v>
      </c>
      <c r="D2268" s="1" t="s">
        <v>533</v>
      </c>
      <c r="E2268" s="1" t="s">
        <v>3893</v>
      </c>
      <c r="F2268" s="1" t="s">
        <v>9760</v>
      </c>
      <c r="G2268" s="1" t="s">
        <v>5564</v>
      </c>
      <c r="H2268" s="1" t="s">
        <v>3604</v>
      </c>
      <c r="I2268" s="1" t="s">
        <v>9761</v>
      </c>
      <c r="J2268" s="1" t="s">
        <v>3606</v>
      </c>
      <c r="K2268" s="1" t="s">
        <v>9762</v>
      </c>
      <c r="L2268" s="1"/>
      <c r="M2268" s="1"/>
    </row>
    <row x14ac:dyDescent="0.25" r="2269" customHeight="1" ht="18.75">
      <c r="A2269" s="1" t="s">
        <v>3693</v>
      </c>
      <c r="B2269" s="1" t="s">
        <v>4091</v>
      </c>
      <c r="C2269" s="1" t="s">
        <v>3600</v>
      </c>
      <c r="D2269" s="1" t="s">
        <v>7891</v>
      </c>
      <c r="E2269" s="1" t="s">
        <v>3752</v>
      </c>
      <c r="F2269" s="1" t="s">
        <v>9763</v>
      </c>
      <c r="G2269" s="1" t="s">
        <v>5682</v>
      </c>
      <c r="H2269" s="1" t="s">
        <v>3604</v>
      </c>
      <c r="I2269" s="1" t="s">
        <v>9764</v>
      </c>
      <c r="J2269" s="1" t="s">
        <v>3615</v>
      </c>
      <c r="K2269" s="1" t="s">
        <v>9765</v>
      </c>
      <c r="L2269" s="1"/>
      <c r="M2269" s="1"/>
    </row>
    <row x14ac:dyDescent="0.25" r="2270" customHeight="1" ht="18.75">
      <c r="A2270" s="1" t="s">
        <v>3693</v>
      </c>
      <c r="B2270" s="1" t="s">
        <v>4091</v>
      </c>
      <c r="C2270" s="1" t="s">
        <v>3600</v>
      </c>
      <c r="D2270" s="1" t="s">
        <v>3695</v>
      </c>
      <c r="E2270" s="1" t="s">
        <v>3752</v>
      </c>
      <c r="F2270" s="1" t="s">
        <v>9766</v>
      </c>
      <c r="G2270" s="1" t="s">
        <v>5682</v>
      </c>
      <c r="H2270" s="1" t="s">
        <v>3604</v>
      </c>
      <c r="I2270" s="1" t="s">
        <v>9767</v>
      </c>
      <c r="J2270" s="1" t="s">
        <v>3615</v>
      </c>
      <c r="K2270" s="1" t="s">
        <v>9768</v>
      </c>
      <c r="L2270" s="1"/>
      <c r="M2270" s="1"/>
    </row>
    <row x14ac:dyDescent="0.25" r="2271" customHeight="1" ht="18.75">
      <c r="A2271" s="1" t="s">
        <v>3693</v>
      </c>
      <c r="B2271" s="1" t="s">
        <v>4247</v>
      </c>
      <c r="C2271" s="1" t="s">
        <v>3600</v>
      </c>
      <c r="D2271" s="1" t="s">
        <v>3695</v>
      </c>
      <c r="E2271" s="1" t="s">
        <v>3664</v>
      </c>
      <c r="F2271" s="1" t="s">
        <v>9769</v>
      </c>
      <c r="G2271" s="1" t="s">
        <v>4741</v>
      </c>
      <c r="H2271" s="1" t="s">
        <v>3604</v>
      </c>
      <c r="I2271" s="1" t="s">
        <v>9770</v>
      </c>
      <c r="J2271" s="1" t="s">
        <v>3615</v>
      </c>
      <c r="K2271" s="1" t="s">
        <v>9771</v>
      </c>
      <c r="L2271" s="1"/>
      <c r="M2271" s="1"/>
    </row>
    <row x14ac:dyDescent="0.25" r="2272" customHeight="1" ht="18.75">
      <c r="A2272" s="1" t="s">
        <v>3693</v>
      </c>
      <c r="B2272" s="1" t="s">
        <v>4247</v>
      </c>
      <c r="C2272" s="1" t="s">
        <v>3600</v>
      </c>
      <c r="D2272" s="1" t="s">
        <v>3695</v>
      </c>
      <c r="E2272" s="1" t="s">
        <v>3664</v>
      </c>
      <c r="F2272" s="1" t="s">
        <v>9772</v>
      </c>
      <c r="G2272" s="1" t="s">
        <v>4741</v>
      </c>
      <c r="H2272" s="1" t="s">
        <v>3604</v>
      </c>
      <c r="I2272" s="1" t="s">
        <v>9773</v>
      </c>
      <c r="J2272" s="1" t="s">
        <v>3615</v>
      </c>
      <c r="K2272" s="1" t="s">
        <v>9771</v>
      </c>
      <c r="L2272" s="1"/>
      <c r="M2272" s="1"/>
    </row>
    <row x14ac:dyDescent="0.25" r="2273" customHeight="1" ht="18.75">
      <c r="A2273" s="1" t="s">
        <v>3693</v>
      </c>
      <c r="B2273" s="1" t="s">
        <v>4247</v>
      </c>
      <c r="C2273" s="1" t="s">
        <v>3600</v>
      </c>
      <c r="D2273" s="1" t="s">
        <v>3695</v>
      </c>
      <c r="E2273" s="1" t="s">
        <v>3664</v>
      </c>
      <c r="F2273" s="1" t="s">
        <v>9774</v>
      </c>
      <c r="G2273" s="1" t="s">
        <v>4738</v>
      </c>
      <c r="H2273" s="1" t="s">
        <v>3604</v>
      </c>
      <c r="I2273" s="1" t="s">
        <v>9775</v>
      </c>
      <c r="J2273" s="1" t="s">
        <v>3615</v>
      </c>
      <c r="K2273" s="1" t="s">
        <v>9776</v>
      </c>
      <c r="L2273" s="1"/>
      <c r="M2273" s="1"/>
    </row>
    <row x14ac:dyDescent="0.25" r="2274" customHeight="1" ht="18.75">
      <c r="A2274" s="1" t="s">
        <v>3693</v>
      </c>
      <c r="B2274" s="1" t="s">
        <v>4247</v>
      </c>
      <c r="C2274" s="1" t="s">
        <v>3600</v>
      </c>
      <c r="D2274" s="1" t="s">
        <v>3695</v>
      </c>
      <c r="E2274" s="1" t="s">
        <v>3664</v>
      </c>
      <c r="F2274" s="1" t="s">
        <v>9777</v>
      </c>
      <c r="G2274" s="1" t="s">
        <v>9778</v>
      </c>
      <c r="H2274" s="1" t="s">
        <v>3604</v>
      </c>
      <c r="I2274" s="1" t="s">
        <v>9779</v>
      </c>
      <c r="J2274" s="1" t="s">
        <v>3615</v>
      </c>
      <c r="K2274" s="1" t="s">
        <v>9780</v>
      </c>
      <c r="L2274" s="1"/>
      <c r="M2274" s="1"/>
    </row>
    <row x14ac:dyDescent="0.25" r="2275" customHeight="1" ht="18.75">
      <c r="A2275" s="1" t="s">
        <v>3693</v>
      </c>
      <c r="B2275" s="1" t="s">
        <v>4247</v>
      </c>
      <c r="C2275" s="1" t="s">
        <v>3600</v>
      </c>
      <c r="D2275" s="1" t="s">
        <v>3695</v>
      </c>
      <c r="E2275" s="1" t="s">
        <v>3664</v>
      </c>
      <c r="F2275" s="1" t="s">
        <v>9781</v>
      </c>
      <c r="G2275" s="1" t="s">
        <v>9778</v>
      </c>
      <c r="H2275" s="1" t="s">
        <v>3604</v>
      </c>
      <c r="I2275" s="1" t="s">
        <v>9782</v>
      </c>
      <c r="J2275" s="1" t="s">
        <v>3615</v>
      </c>
      <c r="K2275" s="1" t="s">
        <v>9780</v>
      </c>
      <c r="L2275" s="1"/>
      <c r="M2275" s="1"/>
    </row>
    <row x14ac:dyDescent="0.25" r="2276" customHeight="1" ht="18.75">
      <c r="A2276" s="1" t="s">
        <v>3693</v>
      </c>
      <c r="B2276" s="1" t="s">
        <v>4247</v>
      </c>
      <c r="C2276" s="1" t="s">
        <v>3600</v>
      </c>
      <c r="D2276" s="1" t="s">
        <v>3695</v>
      </c>
      <c r="E2276" s="1" t="s">
        <v>3664</v>
      </c>
      <c r="F2276" s="1" t="s">
        <v>9783</v>
      </c>
      <c r="G2276" s="1" t="s">
        <v>9778</v>
      </c>
      <c r="H2276" s="1" t="s">
        <v>3604</v>
      </c>
      <c r="I2276" s="1" t="s">
        <v>9784</v>
      </c>
      <c r="J2276" s="1" t="s">
        <v>3615</v>
      </c>
      <c r="K2276" s="1" t="s">
        <v>9780</v>
      </c>
      <c r="L2276" s="1"/>
      <c r="M2276" s="1"/>
    </row>
    <row x14ac:dyDescent="0.25" r="2277" customHeight="1" ht="18.75">
      <c r="A2277" s="1" t="s">
        <v>3693</v>
      </c>
      <c r="B2277" s="1" t="s">
        <v>4247</v>
      </c>
      <c r="C2277" s="1" t="s">
        <v>3600</v>
      </c>
      <c r="D2277" s="1" t="s">
        <v>3695</v>
      </c>
      <c r="E2277" s="1" t="s">
        <v>3664</v>
      </c>
      <c r="F2277" s="1" t="s">
        <v>9785</v>
      </c>
      <c r="G2277" s="1" t="s">
        <v>9786</v>
      </c>
      <c r="H2277" s="1" t="s">
        <v>3604</v>
      </c>
      <c r="I2277" s="1" t="s">
        <v>9787</v>
      </c>
      <c r="J2277" s="1" t="s">
        <v>3615</v>
      </c>
      <c r="K2277" s="1" t="s">
        <v>9788</v>
      </c>
      <c r="L2277" s="1"/>
      <c r="M2277" s="1"/>
    </row>
    <row x14ac:dyDescent="0.25" r="2278" customHeight="1" ht="18.75">
      <c r="A2278" s="1" t="s">
        <v>3693</v>
      </c>
      <c r="B2278" s="1" t="s">
        <v>4247</v>
      </c>
      <c r="C2278" s="1" t="s">
        <v>3600</v>
      </c>
      <c r="D2278" s="1" t="s">
        <v>3695</v>
      </c>
      <c r="E2278" s="1" t="s">
        <v>3664</v>
      </c>
      <c r="F2278" s="1" t="s">
        <v>9789</v>
      </c>
      <c r="G2278" s="1" t="s">
        <v>9786</v>
      </c>
      <c r="H2278" s="1" t="s">
        <v>3604</v>
      </c>
      <c r="I2278" s="1" t="s">
        <v>9790</v>
      </c>
      <c r="J2278" s="1" t="s">
        <v>3615</v>
      </c>
      <c r="K2278" s="1" t="s">
        <v>9788</v>
      </c>
      <c r="L2278" s="1"/>
      <c r="M2278" s="1"/>
    </row>
    <row x14ac:dyDescent="0.25" r="2279" customHeight="1" ht="18.75">
      <c r="A2279" s="1" t="s">
        <v>3693</v>
      </c>
      <c r="B2279" s="1" t="s">
        <v>4247</v>
      </c>
      <c r="C2279" s="1" t="s">
        <v>3600</v>
      </c>
      <c r="D2279" s="1" t="s">
        <v>3695</v>
      </c>
      <c r="E2279" s="1" t="s">
        <v>3664</v>
      </c>
      <c r="F2279" s="1" t="s">
        <v>9791</v>
      </c>
      <c r="G2279" s="1" t="s">
        <v>9786</v>
      </c>
      <c r="H2279" s="1" t="s">
        <v>3604</v>
      </c>
      <c r="I2279" s="1" t="s">
        <v>9792</v>
      </c>
      <c r="J2279" s="1" t="s">
        <v>3615</v>
      </c>
      <c r="K2279" s="1" t="s">
        <v>9788</v>
      </c>
      <c r="L2279" s="1"/>
      <c r="M2279" s="1"/>
    </row>
    <row x14ac:dyDescent="0.25" r="2280" customHeight="1" ht="18.75">
      <c r="A2280" s="1" t="s">
        <v>3693</v>
      </c>
      <c r="B2280" s="1" t="s">
        <v>4247</v>
      </c>
      <c r="C2280" s="1" t="s">
        <v>3600</v>
      </c>
      <c r="D2280" s="1" t="s">
        <v>3695</v>
      </c>
      <c r="E2280" s="1" t="s">
        <v>3664</v>
      </c>
      <c r="F2280" s="1" t="s">
        <v>9793</v>
      </c>
      <c r="G2280" s="1" t="s">
        <v>4744</v>
      </c>
      <c r="H2280" s="1" t="s">
        <v>3604</v>
      </c>
      <c r="I2280" s="1" t="s">
        <v>9794</v>
      </c>
      <c r="J2280" s="1" t="s">
        <v>3615</v>
      </c>
      <c r="K2280" s="1" t="s">
        <v>9795</v>
      </c>
      <c r="L2280" s="1"/>
      <c r="M2280" s="1"/>
    </row>
    <row x14ac:dyDescent="0.25" r="2281" customHeight="1" ht="18.75">
      <c r="A2281" s="1" t="s">
        <v>3693</v>
      </c>
      <c r="B2281" s="1" t="s">
        <v>4247</v>
      </c>
      <c r="C2281" s="1" t="s">
        <v>3600</v>
      </c>
      <c r="D2281" s="1" t="s">
        <v>3695</v>
      </c>
      <c r="E2281" s="1" t="s">
        <v>3664</v>
      </c>
      <c r="F2281" s="1" t="s">
        <v>9796</v>
      </c>
      <c r="G2281" s="1" t="s">
        <v>4744</v>
      </c>
      <c r="H2281" s="1" t="s">
        <v>3604</v>
      </c>
      <c r="I2281" s="1" t="s">
        <v>9797</v>
      </c>
      <c r="J2281" s="1" t="s">
        <v>3615</v>
      </c>
      <c r="K2281" s="1" t="s">
        <v>9795</v>
      </c>
      <c r="L2281" s="1"/>
      <c r="M2281" s="1"/>
    </row>
    <row x14ac:dyDescent="0.25" r="2282" customHeight="1" ht="18.75">
      <c r="A2282" s="1" t="s">
        <v>3693</v>
      </c>
      <c r="B2282" s="1" t="s">
        <v>4247</v>
      </c>
      <c r="C2282" s="1" t="s">
        <v>3600</v>
      </c>
      <c r="D2282" s="1" t="s">
        <v>3695</v>
      </c>
      <c r="E2282" s="1" t="s">
        <v>3664</v>
      </c>
      <c r="F2282" s="1" t="s">
        <v>9798</v>
      </c>
      <c r="G2282" s="1" t="s">
        <v>4744</v>
      </c>
      <c r="H2282" s="1" t="s">
        <v>3604</v>
      </c>
      <c r="I2282" s="1" t="s">
        <v>9799</v>
      </c>
      <c r="J2282" s="1" t="s">
        <v>3615</v>
      </c>
      <c r="K2282" s="1" t="s">
        <v>9795</v>
      </c>
      <c r="L2282" s="1"/>
      <c r="M2282" s="1"/>
    </row>
    <row x14ac:dyDescent="0.25" r="2283" customHeight="1" ht="18.75">
      <c r="A2283" s="1" t="s">
        <v>3693</v>
      </c>
      <c r="B2283" s="1" t="s">
        <v>4247</v>
      </c>
      <c r="C2283" s="1" t="s">
        <v>3600</v>
      </c>
      <c r="D2283" s="1" t="s">
        <v>3695</v>
      </c>
      <c r="E2283" s="1" t="s">
        <v>3664</v>
      </c>
      <c r="F2283" s="1" t="s">
        <v>9800</v>
      </c>
      <c r="G2283" s="1" t="s">
        <v>4386</v>
      </c>
      <c r="H2283" s="1" t="s">
        <v>3604</v>
      </c>
      <c r="I2283" s="1" t="s">
        <v>9801</v>
      </c>
      <c r="J2283" s="1" t="s">
        <v>3606</v>
      </c>
      <c r="K2283" s="1" t="s">
        <v>9802</v>
      </c>
      <c r="L2283" s="1"/>
      <c r="M2283" s="1"/>
    </row>
    <row x14ac:dyDescent="0.25" r="2284" customHeight="1" ht="18.75">
      <c r="A2284" s="1" t="s">
        <v>3693</v>
      </c>
      <c r="B2284" s="1" t="s">
        <v>4247</v>
      </c>
      <c r="C2284" s="1" t="s">
        <v>3600</v>
      </c>
      <c r="D2284" s="1" t="s">
        <v>3695</v>
      </c>
      <c r="E2284" s="1" t="s">
        <v>3664</v>
      </c>
      <c r="F2284" s="1" t="s">
        <v>9803</v>
      </c>
      <c r="G2284" s="1" t="s">
        <v>4386</v>
      </c>
      <c r="H2284" s="1" t="s">
        <v>3604</v>
      </c>
      <c r="I2284" s="1" t="s">
        <v>9804</v>
      </c>
      <c r="J2284" s="1" t="s">
        <v>3606</v>
      </c>
      <c r="K2284" s="1" t="s">
        <v>9802</v>
      </c>
      <c r="L2284" s="1"/>
      <c r="M2284" s="1"/>
    </row>
    <row x14ac:dyDescent="0.25" r="2285" customHeight="1" ht="18.75">
      <c r="A2285" s="1" t="s">
        <v>3693</v>
      </c>
      <c r="B2285" s="1" t="s">
        <v>4247</v>
      </c>
      <c r="C2285" s="1" t="s">
        <v>3600</v>
      </c>
      <c r="D2285" s="1" t="s">
        <v>3695</v>
      </c>
      <c r="E2285" s="1" t="s">
        <v>3664</v>
      </c>
      <c r="F2285" s="1" t="s">
        <v>9805</v>
      </c>
      <c r="G2285" s="1" t="s">
        <v>4386</v>
      </c>
      <c r="H2285" s="1" t="s">
        <v>3604</v>
      </c>
      <c r="I2285" s="1" t="s">
        <v>9806</v>
      </c>
      <c r="J2285" s="1" t="s">
        <v>3606</v>
      </c>
      <c r="K2285" s="1" t="s">
        <v>9802</v>
      </c>
      <c r="L2285" s="1"/>
      <c r="M2285" s="1"/>
    </row>
    <row x14ac:dyDescent="0.25" r="2286" customHeight="1" ht="18.75">
      <c r="A2286" s="1" t="s">
        <v>3693</v>
      </c>
      <c r="B2286" s="1" t="s">
        <v>4247</v>
      </c>
      <c r="C2286" s="1" t="s">
        <v>3600</v>
      </c>
      <c r="D2286" s="1" t="s">
        <v>3695</v>
      </c>
      <c r="E2286" s="1" t="s">
        <v>3664</v>
      </c>
      <c r="F2286" s="1" t="s">
        <v>9807</v>
      </c>
      <c r="G2286" s="1" t="s">
        <v>4386</v>
      </c>
      <c r="H2286" s="1" t="s">
        <v>3604</v>
      </c>
      <c r="I2286" s="1" t="s">
        <v>9808</v>
      </c>
      <c r="J2286" s="1" t="s">
        <v>3606</v>
      </c>
      <c r="K2286" s="1" t="s">
        <v>9809</v>
      </c>
      <c r="L2286" s="1"/>
      <c r="M2286" s="1"/>
    </row>
    <row x14ac:dyDescent="0.25" r="2287" customHeight="1" ht="18.75">
      <c r="A2287" s="1" t="s">
        <v>3693</v>
      </c>
      <c r="B2287" s="1" t="s">
        <v>4247</v>
      </c>
      <c r="C2287" s="1" t="s">
        <v>3600</v>
      </c>
      <c r="D2287" s="1" t="s">
        <v>3695</v>
      </c>
      <c r="E2287" s="1" t="s">
        <v>3664</v>
      </c>
      <c r="F2287" s="1" t="s">
        <v>9810</v>
      </c>
      <c r="G2287" s="1" t="s">
        <v>4386</v>
      </c>
      <c r="H2287" s="1" t="s">
        <v>3604</v>
      </c>
      <c r="I2287" s="1" t="s">
        <v>9811</v>
      </c>
      <c r="J2287" s="1" t="s">
        <v>3606</v>
      </c>
      <c r="K2287" s="1" t="s">
        <v>9809</v>
      </c>
      <c r="L2287" s="1"/>
      <c r="M2287" s="1"/>
    </row>
    <row x14ac:dyDescent="0.25" r="2288" customHeight="1" ht="18.75">
      <c r="A2288" s="1" t="s">
        <v>3693</v>
      </c>
      <c r="B2288" s="1" t="s">
        <v>4247</v>
      </c>
      <c r="C2288" s="1" t="s">
        <v>3600</v>
      </c>
      <c r="D2288" s="1" t="s">
        <v>3695</v>
      </c>
      <c r="E2288" s="1" t="s">
        <v>3664</v>
      </c>
      <c r="F2288" s="1" t="s">
        <v>9812</v>
      </c>
      <c r="G2288" s="1" t="s">
        <v>4386</v>
      </c>
      <c r="H2288" s="1" t="s">
        <v>3604</v>
      </c>
      <c r="I2288" s="1" t="s">
        <v>9813</v>
      </c>
      <c r="J2288" s="1" t="s">
        <v>3606</v>
      </c>
      <c r="K2288" s="1" t="s">
        <v>9809</v>
      </c>
      <c r="L2288" s="1"/>
      <c r="M2288" s="1"/>
    </row>
    <row x14ac:dyDescent="0.25" r="2289" customHeight="1" ht="18.75">
      <c r="A2289" s="1" t="s">
        <v>3617</v>
      </c>
      <c r="B2289" s="1" t="s">
        <v>5108</v>
      </c>
      <c r="C2289" s="1" t="s">
        <v>3619</v>
      </c>
      <c r="D2289" s="1" t="s">
        <v>7891</v>
      </c>
      <c r="E2289" s="1" t="s">
        <v>3893</v>
      </c>
      <c r="F2289" s="1" t="s">
        <v>9814</v>
      </c>
      <c r="G2289" s="1" t="s">
        <v>5110</v>
      </c>
      <c r="H2289" s="1" t="s">
        <v>3604</v>
      </c>
      <c r="I2289" s="1" t="s">
        <v>9815</v>
      </c>
      <c r="J2289" s="1" t="s">
        <v>3606</v>
      </c>
      <c r="K2289" s="1"/>
      <c r="L2289" s="1"/>
      <c r="M2289" s="1"/>
    </row>
    <row x14ac:dyDescent="0.25" r="2290" customHeight="1" ht="18.75">
      <c r="A2290" s="1" t="s">
        <v>3617</v>
      </c>
      <c r="B2290" s="1" t="s">
        <v>5108</v>
      </c>
      <c r="C2290" s="1" t="s">
        <v>3619</v>
      </c>
      <c r="D2290" s="1" t="s">
        <v>7891</v>
      </c>
      <c r="E2290" s="1" t="s">
        <v>3893</v>
      </c>
      <c r="F2290" s="1" t="s">
        <v>9816</v>
      </c>
      <c r="G2290" s="1" t="s">
        <v>5110</v>
      </c>
      <c r="H2290" s="1" t="s">
        <v>3604</v>
      </c>
      <c r="I2290" s="1" t="s">
        <v>9817</v>
      </c>
      <c r="J2290" s="1" t="s">
        <v>3606</v>
      </c>
      <c r="K2290" s="1"/>
      <c r="L2290" s="1"/>
      <c r="M2290" s="1"/>
    </row>
    <row x14ac:dyDescent="0.25" r="2291" customHeight="1" ht="18.75">
      <c r="A2291" s="1" t="s">
        <v>3617</v>
      </c>
      <c r="B2291" s="1" t="s">
        <v>5108</v>
      </c>
      <c r="C2291" s="1" t="s">
        <v>3619</v>
      </c>
      <c r="D2291" s="1" t="s">
        <v>3601</v>
      </c>
      <c r="E2291" s="1" t="s">
        <v>3893</v>
      </c>
      <c r="F2291" s="1" t="s">
        <v>9818</v>
      </c>
      <c r="G2291" s="1" t="s">
        <v>5110</v>
      </c>
      <c r="H2291" s="1" t="s">
        <v>3604</v>
      </c>
      <c r="I2291" s="1" t="s">
        <v>9819</v>
      </c>
      <c r="J2291" s="1" t="s">
        <v>3606</v>
      </c>
      <c r="K2291" s="1"/>
      <c r="L2291" s="1"/>
      <c r="M2291" s="1"/>
    </row>
    <row x14ac:dyDescent="0.25" r="2292" customHeight="1" ht="18.75">
      <c r="A2292" s="1" t="s">
        <v>7833</v>
      </c>
      <c r="B2292" s="1" t="s">
        <v>8291</v>
      </c>
      <c r="C2292" s="1" t="s">
        <v>4488</v>
      </c>
      <c r="D2292" s="1" t="s">
        <v>3601</v>
      </c>
      <c r="E2292" s="1" t="s">
        <v>8096</v>
      </c>
      <c r="F2292" s="1" t="s">
        <v>9820</v>
      </c>
      <c r="G2292" s="1" t="s">
        <v>9821</v>
      </c>
      <c r="H2292" s="1" t="s">
        <v>3604</v>
      </c>
      <c r="I2292" s="1" t="s">
        <v>9822</v>
      </c>
      <c r="J2292" s="1" t="s">
        <v>3606</v>
      </c>
      <c r="K2292" s="1" t="s">
        <v>9823</v>
      </c>
      <c r="L2292" s="1"/>
      <c r="M2292" s="1"/>
    </row>
    <row x14ac:dyDescent="0.25" r="2293" customHeight="1" ht="18.75">
      <c r="A2293" s="1" t="s">
        <v>7833</v>
      </c>
      <c r="B2293" s="1" t="s">
        <v>9824</v>
      </c>
      <c r="C2293" s="1" t="s">
        <v>4488</v>
      </c>
      <c r="D2293" s="1" t="s">
        <v>3601</v>
      </c>
      <c r="E2293" s="1" t="s">
        <v>8096</v>
      </c>
      <c r="F2293" s="1" t="s">
        <v>9825</v>
      </c>
      <c r="G2293" s="1" t="s">
        <v>9826</v>
      </c>
      <c r="H2293" s="1" t="s">
        <v>3604</v>
      </c>
      <c r="I2293" s="1" t="s">
        <v>9827</v>
      </c>
      <c r="J2293" s="1" t="s">
        <v>3606</v>
      </c>
      <c r="K2293" s="1" t="s">
        <v>9823</v>
      </c>
      <c r="L2293" s="1"/>
      <c r="M2293" s="1"/>
    </row>
    <row x14ac:dyDescent="0.25" r="2294" customHeight="1" ht="18.75">
      <c r="A2294" s="1" t="s">
        <v>3693</v>
      </c>
      <c r="B2294" s="1" t="s">
        <v>4247</v>
      </c>
      <c r="C2294" s="1" t="s">
        <v>3600</v>
      </c>
      <c r="D2294" s="1" t="s">
        <v>3695</v>
      </c>
      <c r="E2294" s="1" t="s">
        <v>3893</v>
      </c>
      <c r="F2294" s="1" t="s">
        <v>9828</v>
      </c>
      <c r="G2294" s="1" t="s">
        <v>9829</v>
      </c>
      <c r="H2294" s="1" t="s">
        <v>3604</v>
      </c>
      <c r="I2294" s="1" t="s">
        <v>9830</v>
      </c>
      <c r="J2294" s="1" t="s">
        <v>3606</v>
      </c>
      <c r="K2294" s="1" t="s">
        <v>9674</v>
      </c>
      <c r="L2294" s="1"/>
      <c r="M2294" s="1"/>
    </row>
    <row x14ac:dyDescent="0.25" r="2295" customHeight="1" ht="18.75">
      <c r="A2295" s="1" t="s">
        <v>3693</v>
      </c>
      <c r="B2295" s="1" t="s">
        <v>4247</v>
      </c>
      <c r="C2295" s="1" t="s">
        <v>3600</v>
      </c>
      <c r="D2295" s="1" t="s">
        <v>3695</v>
      </c>
      <c r="E2295" s="1" t="s">
        <v>3893</v>
      </c>
      <c r="F2295" s="1" t="s">
        <v>9831</v>
      </c>
      <c r="G2295" s="1" t="s">
        <v>9832</v>
      </c>
      <c r="H2295" s="1" t="s">
        <v>3604</v>
      </c>
      <c r="I2295" s="1" t="s">
        <v>9833</v>
      </c>
      <c r="J2295" s="1" t="s">
        <v>3606</v>
      </c>
      <c r="K2295" s="1" t="s">
        <v>9834</v>
      </c>
      <c r="L2295" s="1"/>
      <c r="M2295" s="1"/>
    </row>
    <row x14ac:dyDescent="0.25" r="2296" customHeight="1" ht="18.75">
      <c r="A2296" s="1" t="s">
        <v>3693</v>
      </c>
      <c r="B2296" s="1" t="s">
        <v>4247</v>
      </c>
      <c r="C2296" s="1" t="s">
        <v>3600</v>
      </c>
      <c r="D2296" s="1" t="s">
        <v>3695</v>
      </c>
      <c r="E2296" s="1" t="s">
        <v>3893</v>
      </c>
      <c r="F2296" s="1" t="s">
        <v>9835</v>
      </c>
      <c r="G2296" s="1" t="s">
        <v>4744</v>
      </c>
      <c r="H2296" s="1" t="s">
        <v>3604</v>
      </c>
      <c r="I2296" s="1" t="s">
        <v>9836</v>
      </c>
      <c r="J2296" s="1" t="s">
        <v>3606</v>
      </c>
      <c r="K2296" s="1" t="s">
        <v>9834</v>
      </c>
      <c r="L2296" s="1"/>
      <c r="M2296" s="1"/>
    </row>
    <row x14ac:dyDescent="0.25" r="2297" customHeight="1" ht="18.75">
      <c r="A2297" s="1" t="s">
        <v>7833</v>
      </c>
      <c r="B2297" s="1" t="s">
        <v>9837</v>
      </c>
      <c r="C2297" s="1" t="s">
        <v>4488</v>
      </c>
      <c r="D2297" s="1" t="s">
        <v>3601</v>
      </c>
      <c r="E2297" s="1" t="s">
        <v>3664</v>
      </c>
      <c r="F2297" s="1" t="s">
        <v>9838</v>
      </c>
      <c r="G2297" s="1" t="s">
        <v>9839</v>
      </c>
      <c r="H2297" s="1" t="s">
        <v>3604</v>
      </c>
      <c r="I2297" s="1" t="s">
        <v>9840</v>
      </c>
      <c r="J2297" s="1" t="s">
        <v>3606</v>
      </c>
      <c r="K2297" s="1" t="s">
        <v>9841</v>
      </c>
      <c r="L2297" s="1"/>
      <c r="M2297" s="1"/>
    </row>
    <row x14ac:dyDescent="0.25" r="2298" customHeight="1" ht="18.75">
      <c r="A2298" s="1" t="s">
        <v>3693</v>
      </c>
      <c r="B2298" s="1" t="s">
        <v>4247</v>
      </c>
      <c r="C2298" s="1" t="s">
        <v>3600</v>
      </c>
      <c r="D2298" s="1" t="s">
        <v>3695</v>
      </c>
      <c r="E2298" s="1" t="s">
        <v>3893</v>
      </c>
      <c r="F2298" s="1" t="s">
        <v>9842</v>
      </c>
      <c r="G2298" s="1" t="s">
        <v>4744</v>
      </c>
      <c r="H2298" s="1" t="s">
        <v>3604</v>
      </c>
      <c r="I2298" s="1" t="s">
        <v>9843</v>
      </c>
      <c r="J2298" s="1" t="s">
        <v>3606</v>
      </c>
      <c r="K2298" s="1" t="s">
        <v>9834</v>
      </c>
      <c r="L2298" s="1"/>
      <c r="M2298" s="1"/>
    </row>
    <row x14ac:dyDescent="0.25" r="2299" customHeight="1" ht="18.75">
      <c r="A2299" s="1" t="s">
        <v>3598</v>
      </c>
      <c r="B2299" s="1" t="s">
        <v>8619</v>
      </c>
      <c r="C2299" s="1" t="s">
        <v>3600</v>
      </c>
      <c r="D2299" s="1" t="s">
        <v>3601</v>
      </c>
      <c r="E2299" s="1"/>
      <c r="F2299" s="1" t="s">
        <v>9844</v>
      </c>
      <c r="G2299" s="1" t="s">
        <v>9845</v>
      </c>
      <c r="H2299" s="1" t="s">
        <v>3604</v>
      </c>
      <c r="I2299" s="1" t="s">
        <v>9846</v>
      </c>
      <c r="J2299" s="1" t="s">
        <v>3606</v>
      </c>
      <c r="K2299" s="1" t="s">
        <v>9847</v>
      </c>
      <c r="L2299" s="1"/>
      <c r="M2299" s="1"/>
    </row>
    <row x14ac:dyDescent="0.25" r="2300" customHeight="1" ht="18.75">
      <c r="A2300" s="1" t="s">
        <v>3693</v>
      </c>
      <c r="B2300" s="1" t="s">
        <v>4247</v>
      </c>
      <c r="C2300" s="1" t="s">
        <v>3600</v>
      </c>
      <c r="D2300" s="1" t="s">
        <v>3695</v>
      </c>
      <c r="E2300" s="1" t="s">
        <v>3893</v>
      </c>
      <c r="F2300" s="1" t="s">
        <v>9848</v>
      </c>
      <c r="G2300" s="1" t="s">
        <v>4386</v>
      </c>
      <c r="H2300" s="1" t="s">
        <v>3604</v>
      </c>
      <c r="I2300" s="1" t="s">
        <v>9849</v>
      </c>
      <c r="J2300" s="1" t="s">
        <v>3606</v>
      </c>
      <c r="K2300" s="1" t="s">
        <v>9850</v>
      </c>
      <c r="L2300" s="1"/>
      <c r="M2300" s="1"/>
    </row>
    <row x14ac:dyDescent="0.25" r="2301" customHeight="1" ht="18.75">
      <c r="A2301" s="1" t="s">
        <v>3693</v>
      </c>
      <c r="B2301" s="1" t="s">
        <v>4247</v>
      </c>
      <c r="C2301" s="1" t="s">
        <v>3600</v>
      </c>
      <c r="D2301" s="1" t="s">
        <v>3695</v>
      </c>
      <c r="E2301" s="1" t="s">
        <v>3893</v>
      </c>
      <c r="F2301" s="1" t="s">
        <v>9851</v>
      </c>
      <c r="G2301" s="1" t="s">
        <v>4386</v>
      </c>
      <c r="H2301" s="1" t="s">
        <v>3604</v>
      </c>
      <c r="I2301" s="1" t="s">
        <v>9852</v>
      </c>
      <c r="J2301" s="1" t="s">
        <v>3606</v>
      </c>
      <c r="K2301" s="1" t="s">
        <v>9850</v>
      </c>
      <c r="L2301" s="1"/>
      <c r="M2301" s="1"/>
    </row>
    <row x14ac:dyDescent="0.25" r="2302" customHeight="1" ht="18.75">
      <c r="A2302" s="1" t="s">
        <v>3693</v>
      </c>
      <c r="B2302" s="1" t="s">
        <v>4247</v>
      </c>
      <c r="C2302" s="1" t="s">
        <v>3600</v>
      </c>
      <c r="D2302" s="1" t="s">
        <v>3695</v>
      </c>
      <c r="E2302" s="1" t="s">
        <v>3893</v>
      </c>
      <c r="F2302" s="1" t="s">
        <v>9853</v>
      </c>
      <c r="G2302" s="1" t="s">
        <v>4384</v>
      </c>
      <c r="H2302" s="1" t="s">
        <v>3604</v>
      </c>
      <c r="I2302" s="1" t="s">
        <v>9854</v>
      </c>
      <c r="J2302" s="1" t="s">
        <v>3606</v>
      </c>
      <c r="K2302" s="1" t="s">
        <v>9855</v>
      </c>
      <c r="L2302" s="1"/>
      <c r="M2302" s="1"/>
    </row>
    <row x14ac:dyDescent="0.25" r="2303" customHeight="1" ht="18.75">
      <c r="A2303" s="1" t="s">
        <v>3693</v>
      </c>
      <c r="B2303" s="1" t="s">
        <v>4247</v>
      </c>
      <c r="C2303" s="1" t="s">
        <v>3600</v>
      </c>
      <c r="D2303" s="1" t="s">
        <v>3695</v>
      </c>
      <c r="E2303" s="1" t="s">
        <v>3893</v>
      </c>
      <c r="F2303" s="1" t="s">
        <v>9856</v>
      </c>
      <c r="G2303" s="1" t="s">
        <v>4384</v>
      </c>
      <c r="H2303" s="1" t="s">
        <v>3604</v>
      </c>
      <c r="I2303" s="1" t="s">
        <v>9857</v>
      </c>
      <c r="J2303" s="1" t="s">
        <v>3606</v>
      </c>
      <c r="K2303" s="1" t="s">
        <v>9855</v>
      </c>
      <c r="L2303" s="1"/>
      <c r="M2303" s="1"/>
    </row>
    <row x14ac:dyDescent="0.25" r="2304" customHeight="1" ht="18.75">
      <c r="A2304" s="1" t="s">
        <v>3693</v>
      </c>
      <c r="B2304" s="1" t="s">
        <v>4247</v>
      </c>
      <c r="C2304" s="1" t="s">
        <v>3600</v>
      </c>
      <c r="D2304" s="1" t="s">
        <v>3695</v>
      </c>
      <c r="E2304" s="1" t="s">
        <v>3893</v>
      </c>
      <c r="F2304" s="1" t="s">
        <v>9858</v>
      </c>
      <c r="G2304" s="1" t="s">
        <v>4384</v>
      </c>
      <c r="H2304" s="1" t="s">
        <v>3604</v>
      </c>
      <c r="I2304" s="1" t="s">
        <v>9859</v>
      </c>
      <c r="J2304" s="1" t="s">
        <v>3606</v>
      </c>
      <c r="K2304" s="1" t="s">
        <v>9855</v>
      </c>
      <c r="L2304" s="1"/>
      <c r="M2304" s="1"/>
    </row>
    <row x14ac:dyDescent="0.25" r="2305" customHeight="1" ht="18.75">
      <c r="A2305" s="1" t="s">
        <v>3693</v>
      </c>
      <c r="B2305" s="1" t="s">
        <v>4247</v>
      </c>
      <c r="C2305" s="1" t="s">
        <v>3600</v>
      </c>
      <c r="D2305" s="1" t="s">
        <v>3695</v>
      </c>
      <c r="E2305" s="1" t="s">
        <v>3664</v>
      </c>
      <c r="F2305" s="1" t="s">
        <v>9860</v>
      </c>
      <c r="G2305" s="1" t="s">
        <v>9861</v>
      </c>
      <c r="H2305" s="1" t="s">
        <v>3604</v>
      </c>
      <c r="I2305" s="1" t="s">
        <v>9862</v>
      </c>
      <c r="J2305" s="1" t="s">
        <v>3615</v>
      </c>
      <c r="K2305" s="1" t="s">
        <v>9863</v>
      </c>
      <c r="L2305" s="1"/>
      <c r="M2305" s="1"/>
    </row>
    <row x14ac:dyDescent="0.25" r="2306" customHeight="1" ht="18.75">
      <c r="A2306" s="1" t="s">
        <v>3693</v>
      </c>
      <c r="B2306" s="1" t="s">
        <v>4247</v>
      </c>
      <c r="C2306" s="1" t="s">
        <v>3600</v>
      </c>
      <c r="D2306" s="1" t="s">
        <v>3695</v>
      </c>
      <c r="E2306" s="1" t="s">
        <v>3664</v>
      </c>
      <c r="F2306" s="1" t="s">
        <v>9864</v>
      </c>
      <c r="G2306" s="1" t="s">
        <v>9861</v>
      </c>
      <c r="H2306" s="1" t="s">
        <v>3604</v>
      </c>
      <c r="I2306" s="1" t="s">
        <v>9865</v>
      </c>
      <c r="J2306" s="1" t="s">
        <v>3615</v>
      </c>
      <c r="K2306" s="1" t="s">
        <v>9863</v>
      </c>
      <c r="L2306" s="1"/>
      <c r="M2306" s="1"/>
    </row>
    <row x14ac:dyDescent="0.25" r="2307" customHeight="1" ht="18.75">
      <c r="A2307" s="1" t="s">
        <v>3693</v>
      </c>
      <c r="B2307" s="1" t="s">
        <v>4247</v>
      </c>
      <c r="C2307" s="1" t="s">
        <v>3600</v>
      </c>
      <c r="D2307" s="1" t="s">
        <v>3695</v>
      </c>
      <c r="E2307" s="1" t="s">
        <v>3664</v>
      </c>
      <c r="F2307" s="1" t="s">
        <v>9866</v>
      </c>
      <c r="G2307" s="1" t="s">
        <v>9861</v>
      </c>
      <c r="H2307" s="1" t="s">
        <v>3604</v>
      </c>
      <c r="I2307" s="1" t="s">
        <v>9867</v>
      </c>
      <c r="J2307" s="1" t="s">
        <v>3615</v>
      </c>
      <c r="K2307" s="1" t="s">
        <v>9863</v>
      </c>
      <c r="L2307" s="1"/>
      <c r="M2307" s="1"/>
    </row>
    <row x14ac:dyDescent="0.25" r="2308" customHeight="1" ht="18.75">
      <c r="A2308" s="1" t="s">
        <v>3693</v>
      </c>
      <c r="B2308" s="1" t="s">
        <v>4192</v>
      </c>
      <c r="C2308" s="1" t="s">
        <v>3600</v>
      </c>
      <c r="D2308" s="1" t="s">
        <v>3695</v>
      </c>
      <c r="E2308" s="1" t="s">
        <v>3893</v>
      </c>
      <c r="F2308" s="1" t="s">
        <v>9868</v>
      </c>
      <c r="G2308" s="1" t="s">
        <v>4194</v>
      </c>
      <c r="H2308" s="1" t="s">
        <v>3604</v>
      </c>
      <c r="I2308" s="1" t="s">
        <v>9869</v>
      </c>
      <c r="J2308" s="1" t="s">
        <v>3615</v>
      </c>
      <c r="K2308" s="1" t="s">
        <v>9870</v>
      </c>
      <c r="L2308" s="1"/>
      <c r="M2308" s="1"/>
    </row>
    <row x14ac:dyDescent="0.25" r="2309" customHeight="1" ht="18.75">
      <c r="A2309" s="1" t="s">
        <v>3693</v>
      </c>
      <c r="B2309" s="1" t="s">
        <v>4192</v>
      </c>
      <c r="C2309" s="1" t="s">
        <v>3600</v>
      </c>
      <c r="D2309" s="1" t="s">
        <v>3695</v>
      </c>
      <c r="E2309" s="1" t="s">
        <v>3893</v>
      </c>
      <c r="F2309" s="1" t="s">
        <v>9871</v>
      </c>
      <c r="G2309" s="1" t="s">
        <v>4194</v>
      </c>
      <c r="H2309" s="1" t="s">
        <v>3604</v>
      </c>
      <c r="I2309" s="1" t="s">
        <v>9872</v>
      </c>
      <c r="J2309" s="1" t="s">
        <v>3615</v>
      </c>
      <c r="K2309" s="1" t="s">
        <v>9873</v>
      </c>
      <c r="L2309" s="1"/>
      <c r="M2309" s="1"/>
    </row>
    <row x14ac:dyDescent="0.25" r="2310" customHeight="1" ht="18.75">
      <c r="A2310" s="1" t="s">
        <v>3693</v>
      </c>
      <c r="B2310" s="1" t="s">
        <v>6216</v>
      </c>
      <c r="C2310" s="1" t="s">
        <v>3619</v>
      </c>
      <c r="D2310" s="1" t="s">
        <v>8373</v>
      </c>
      <c r="E2310" s="1" t="s">
        <v>3664</v>
      </c>
      <c r="F2310" s="1" t="s">
        <v>9874</v>
      </c>
      <c r="G2310" s="1" t="s">
        <v>7000</v>
      </c>
      <c r="H2310" s="1" t="s">
        <v>3604</v>
      </c>
      <c r="I2310" s="1" t="s">
        <v>9875</v>
      </c>
      <c r="J2310" s="1" t="s">
        <v>3606</v>
      </c>
      <c r="K2310" s="1" t="s">
        <v>9876</v>
      </c>
      <c r="L2310" s="1"/>
      <c r="M2310" s="1"/>
    </row>
    <row x14ac:dyDescent="0.25" r="2311" customHeight="1" ht="18.75">
      <c r="A2311" s="1" t="s">
        <v>3693</v>
      </c>
      <c r="B2311" s="1" t="s">
        <v>6216</v>
      </c>
      <c r="C2311" s="1" t="s">
        <v>3619</v>
      </c>
      <c r="D2311" s="1" t="s">
        <v>8373</v>
      </c>
      <c r="E2311" s="1" t="s">
        <v>3664</v>
      </c>
      <c r="F2311" s="1" t="s">
        <v>9877</v>
      </c>
      <c r="G2311" s="1" t="s">
        <v>7000</v>
      </c>
      <c r="H2311" s="1" t="s">
        <v>3604</v>
      </c>
      <c r="I2311" s="1" t="s">
        <v>9878</v>
      </c>
      <c r="J2311" s="1" t="s">
        <v>3606</v>
      </c>
      <c r="K2311" s="1" t="s">
        <v>9879</v>
      </c>
      <c r="L2311" s="1"/>
      <c r="M2311" s="1"/>
    </row>
    <row x14ac:dyDescent="0.25" r="2312" customHeight="1" ht="18.75">
      <c r="A2312" s="1" t="s">
        <v>3693</v>
      </c>
      <c r="B2312" s="1" t="s">
        <v>4192</v>
      </c>
      <c r="C2312" s="1" t="s">
        <v>3600</v>
      </c>
      <c r="D2312" s="1" t="s">
        <v>3695</v>
      </c>
      <c r="E2312" s="1" t="s">
        <v>3893</v>
      </c>
      <c r="F2312" s="1" t="s">
        <v>9880</v>
      </c>
      <c r="G2312" s="1" t="s">
        <v>4194</v>
      </c>
      <c r="H2312" s="1" t="s">
        <v>3604</v>
      </c>
      <c r="I2312" s="1" t="s">
        <v>9881</v>
      </c>
      <c r="J2312" s="1" t="s">
        <v>3615</v>
      </c>
      <c r="K2312" s="1" t="s">
        <v>9882</v>
      </c>
      <c r="L2312" s="1"/>
      <c r="M2312" s="1"/>
    </row>
    <row x14ac:dyDescent="0.25" r="2313" customHeight="1" ht="18.75">
      <c r="A2313" s="1" t="s">
        <v>3693</v>
      </c>
      <c r="B2313" s="1" t="s">
        <v>6216</v>
      </c>
      <c r="C2313" s="1" t="s">
        <v>3619</v>
      </c>
      <c r="D2313" s="1" t="s">
        <v>8373</v>
      </c>
      <c r="E2313" s="1" t="s">
        <v>3664</v>
      </c>
      <c r="F2313" s="1" t="s">
        <v>9883</v>
      </c>
      <c r="G2313" s="1" t="s">
        <v>7000</v>
      </c>
      <c r="H2313" s="1" t="s">
        <v>3604</v>
      </c>
      <c r="I2313" s="1" t="s">
        <v>9884</v>
      </c>
      <c r="J2313" s="1" t="s">
        <v>3606</v>
      </c>
      <c r="K2313" s="1" t="s">
        <v>9885</v>
      </c>
      <c r="L2313" s="1"/>
      <c r="M2313" s="1"/>
    </row>
    <row x14ac:dyDescent="0.25" r="2314" customHeight="1" ht="18.75">
      <c r="A2314" s="1" t="s">
        <v>3693</v>
      </c>
      <c r="B2314" s="1" t="s">
        <v>4192</v>
      </c>
      <c r="C2314" s="1" t="s">
        <v>3600</v>
      </c>
      <c r="D2314" s="1" t="s">
        <v>3695</v>
      </c>
      <c r="E2314" s="1" t="s">
        <v>3893</v>
      </c>
      <c r="F2314" s="1" t="s">
        <v>9886</v>
      </c>
      <c r="G2314" s="1" t="s">
        <v>4342</v>
      </c>
      <c r="H2314" s="1" t="s">
        <v>3604</v>
      </c>
      <c r="I2314" s="1" t="s">
        <v>9887</v>
      </c>
      <c r="J2314" s="1" t="s">
        <v>3606</v>
      </c>
      <c r="K2314" s="1" t="s">
        <v>9888</v>
      </c>
      <c r="L2314" s="1"/>
      <c r="M2314" s="1"/>
    </row>
    <row x14ac:dyDescent="0.25" r="2315" customHeight="1" ht="18.75">
      <c r="A2315" s="1" t="s">
        <v>3693</v>
      </c>
      <c r="B2315" s="1" t="s">
        <v>4192</v>
      </c>
      <c r="C2315" s="1" t="s">
        <v>3600</v>
      </c>
      <c r="D2315" s="1" t="s">
        <v>3695</v>
      </c>
      <c r="E2315" s="1" t="s">
        <v>3893</v>
      </c>
      <c r="F2315" s="1" t="s">
        <v>9889</v>
      </c>
      <c r="G2315" s="1" t="s">
        <v>4342</v>
      </c>
      <c r="H2315" s="1" t="s">
        <v>3604</v>
      </c>
      <c r="I2315" s="1" t="s">
        <v>9890</v>
      </c>
      <c r="J2315" s="1" t="s">
        <v>3606</v>
      </c>
      <c r="K2315" s="1" t="s">
        <v>9891</v>
      </c>
      <c r="L2315" s="1"/>
      <c r="M2315" s="1"/>
    </row>
    <row x14ac:dyDescent="0.25" r="2316" customHeight="1" ht="18.75">
      <c r="A2316" s="1" t="s">
        <v>3693</v>
      </c>
      <c r="B2316" s="1" t="s">
        <v>6216</v>
      </c>
      <c r="C2316" s="1" t="s">
        <v>3619</v>
      </c>
      <c r="D2316" s="1" t="s">
        <v>8373</v>
      </c>
      <c r="E2316" s="1" t="s">
        <v>3664</v>
      </c>
      <c r="F2316" s="1" t="s">
        <v>9892</v>
      </c>
      <c r="G2316" s="1" t="s">
        <v>7000</v>
      </c>
      <c r="H2316" s="1" t="s">
        <v>3604</v>
      </c>
      <c r="I2316" s="1" t="s">
        <v>9893</v>
      </c>
      <c r="J2316" s="1" t="s">
        <v>3606</v>
      </c>
      <c r="K2316" s="1" t="s">
        <v>9894</v>
      </c>
      <c r="L2316" s="1"/>
      <c r="M2316" s="1"/>
    </row>
    <row x14ac:dyDescent="0.25" r="2317" customHeight="1" ht="18.75">
      <c r="A2317" s="1" t="s">
        <v>3693</v>
      </c>
      <c r="B2317" s="1" t="s">
        <v>4192</v>
      </c>
      <c r="C2317" s="1" t="s">
        <v>3600</v>
      </c>
      <c r="D2317" s="1" t="s">
        <v>3695</v>
      </c>
      <c r="E2317" s="1" t="s">
        <v>3893</v>
      </c>
      <c r="F2317" s="1" t="s">
        <v>9895</v>
      </c>
      <c r="G2317" s="1" t="s">
        <v>4342</v>
      </c>
      <c r="H2317" s="1" t="s">
        <v>3604</v>
      </c>
      <c r="I2317" s="1" t="s">
        <v>9896</v>
      </c>
      <c r="J2317" s="1" t="s">
        <v>3606</v>
      </c>
      <c r="K2317" s="1" t="s">
        <v>9897</v>
      </c>
      <c r="L2317" s="1"/>
      <c r="M2317" s="1"/>
    </row>
    <row x14ac:dyDescent="0.25" r="2318" customHeight="1" ht="18.75">
      <c r="A2318" s="1" t="s">
        <v>3693</v>
      </c>
      <c r="B2318" s="1" t="s">
        <v>4192</v>
      </c>
      <c r="C2318" s="1" t="s">
        <v>3600</v>
      </c>
      <c r="D2318" s="1" t="s">
        <v>3695</v>
      </c>
      <c r="E2318" s="1" t="s">
        <v>3893</v>
      </c>
      <c r="F2318" s="1" t="s">
        <v>9895</v>
      </c>
      <c r="G2318" s="1" t="s">
        <v>4342</v>
      </c>
      <c r="H2318" s="1" t="s">
        <v>3604</v>
      </c>
      <c r="I2318" s="1" t="s">
        <v>9898</v>
      </c>
      <c r="J2318" s="1" t="s">
        <v>3615</v>
      </c>
      <c r="K2318" s="1" t="s">
        <v>9899</v>
      </c>
      <c r="L2318" s="1"/>
      <c r="M2318" s="1"/>
    </row>
    <row x14ac:dyDescent="0.25" r="2319" customHeight="1" ht="18.75">
      <c r="A2319" s="1" t="s">
        <v>3693</v>
      </c>
      <c r="B2319" s="1" t="s">
        <v>6216</v>
      </c>
      <c r="C2319" s="1" t="s">
        <v>3619</v>
      </c>
      <c r="D2319" s="1" t="s">
        <v>8373</v>
      </c>
      <c r="E2319" s="1" t="s">
        <v>3664</v>
      </c>
      <c r="F2319" s="1" t="s">
        <v>9900</v>
      </c>
      <c r="G2319" s="1" t="s">
        <v>7000</v>
      </c>
      <c r="H2319" s="1" t="s">
        <v>3604</v>
      </c>
      <c r="I2319" s="1" t="s">
        <v>9901</v>
      </c>
      <c r="J2319" s="1" t="s">
        <v>3606</v>
      </c>
      <c r="K2319" s="1" t="s">
        <v>9902</v>
      </c>
      <c r="L2319" s="1"/>
      <c r="M2319" s="1"/>
    </row>
    <row x14ac:dyDescent="0.25" r="2320" customHeight="1" ht="18.75">
      <c r="A2320" s="1" t="s">
        <v>3693</v>
      </c>
      <c r="B2320" s="1" t="s">
        <v>4192</v>
      </c>
      <c r="C2320" s="1" t="s">
        <v>3600</v>
      </c>
      <c r="D2320" s="1" t="s">
        <v>3695</v>
      </c>
      <c r="E2320" s="1" t="s">
        <v>3893</v>
      </c>
      <c r="F2320" s="1" t="s">
        <v>9903</v>
      </c>
      <c r="G2320" s="1" t="s">
        <v>4342</v>
      </c>
      <c r="H2320" s="1" t="s">
        <v>3604</v>
      </c>
      <c r="I2320" s="1" t="s">
        <v>9904</v>
      </c>
      <c r="J2320" s="1" t="s">
        <v>3615</v>
      </c>
      <c r="K2320" s="1" t="s">
        <v>9905</v>
      </c>
      <c r="L2320" s="1"/>
      <c r="M2320" s="1"/>
    </row>
    <row x14ac:dyDescent="0.25" r="2321" customHeight="1" ht="18.75">
      <c r="A2321" s="1" t="s">
        <v>3693</v>
      </c>
      <c r="B2321" s="1" t="s">
        <v>4192</v>
      </c>
      <c r="C2321" s="1" t="s">
        <v>3600</v>
      </c>
      <c r="D2321" s="1" t="s">
        <v>3695</v>
      </c>
      <c r="E2321" s="1" t="s">
        <v>3893</v>
      </c>
      <c r="F2321" s="1" t="s">
        <v>9906</v>
      </c>
      <c r="G2321" s="1" t="s">
        <v>4342</v>
      </c>
      <c r="H2321" s="1" t="s">
        <v>3604</v>
      </c>
      <c r="I2321" s="1" t="s">
        <v>9907</v>
      </c>
      <c r="J2321" s="1" t="s">
        <v>3615</v>
      </c>
      <c r="K2321" s="1" t="s">
        <v>9908</v>
      </c>
      <c r="L2321" s="1"/>
      <c r="M2321" s="1"/>
    </row>
    <row x14ac:dyDescent="0.25" r="2322" customHeight="1" ht="18.75">
      <c r="A2322" s="1" t="s">
        <v>3693</v>
      </c>
      <c r="B2322" s="1" t="s">
        <v>6216</v>
      </c>
      <c r="C2322" s="1" t="s">
        <v>3619</v>
      </c>
      <c r="D2322" s="1" t="s">
        <v>8373</v>
      </c>
      <c r="E2322" s="1" t="s">
        <v>3664</v>
      </c>
      <c r="F2322" s="1" t="s">
        <v>9909</v>
      </c>
      <c r="G2322" s="1" t="s">
        <v>7000</v>
      </c>
      <c r="H2322" s="1" t="s">
        <v>3604</v>
      </c>
      <c r="I2322" s="1" t="s">
        <v>9910</v>
      </c>
      <c r="J2322" s="1" t="s">
        <v>3606</v>
      </c>
      <c r="K2322" s="1" t="s">
        <v>9911</v>
      </c>
      <c r="L2322" s="1"/>
      <c r="M2322" s="1"/>
    </row>
    <row x14ac:dyDescent="0.25" r="2323" customHeight="1" ht="18.75">
      <c r="A2323" s="1" t="s">
        <v>3693</v>
      </c>
      <c r="B2323" s="1" t="s">
        <v>6216</v>
      </c>
      <c r="C2323" s="1" t="s">
        <v>3619</v>
      </c>
      <c r="D2323" s="1" t="s">
        <v>8373</v>
      </c>
      <c r="E2323" s="1" t="s">
        <v>3664</v>
      </c>
      <c r="F2323" s="1" t="s">
        <v>9912</v>
      </c>
      <c r="G2323" s="1" t="s">
        <v>7000</v>
      </c>
      <c r="H2323" s="1" t="s">
        <v>3604</v>
      </c>
      <c r="I2323" s="1" t="s">
        <v>9913</v>
      </c>
      <c r="J2323" s="1" t="s">
        <v>3606</v>
      </c>
      <c r="K2323" s="1" t="s">
        <v>9914</v>
      </c>
      <c r="L2323" s="1"/>
      <c r="M2323" s="1"/>
    </row>
    <row x14ac:dyDescent="0.25" r="2324" customHeight="1" ht="18.75">
      <c r="A2324" s="1" t="s">
        <v>3693</v>
      </c>
      <c r="B2324" s="1" t="s">
        <v>6216</v>
      </c>
      <c r="C2324" s="1" t="s">
        <v>3619</v>
      </c>
      <c r="D2324" s="1" t="s">
        <v>8373</v>
      </c>
      <c r="E2324" s="1" t="s">
        <v>3664</v>
      </c>
      <c r="F2324" s="1" t="s">
        <v>9915</v>
      </c>
      <c r="G2324" s="1" t="s">
        <v>7000</v>
      </c>
      <c r="H2324" s="1" t="s">
        <v>3604</v>
      </c>
      <c r="I2324" s="1" t="s">
        <v>9916</v>
      </c>
      <c r="J2324" s="1" t="s">
        <v>3606</v>
      </c>
      <c r="K2324" s="1" t="s">
        <v>9917</v>
      </c>
      <c r="L2324" s="1"/>
      <c r="M2324" s="1"/>
    </row>
    <row x14ac:dyDescent="0.25" r="2325" customHeight="1" ht="18.75">
      <c r="A2325" s="1" t="s">
        <v>3693</v>
      </c>
      <c r="B2325" s="1" t="s">
        <v>6216</v>
      </c>
      <c r="C2325" s="1" t="s">
        <v>3619</v>
      </c>
      <c r="D2325" s="1" t="s">
        <v>8373</v>
      </c>
      <c r="E2325" s="1" t="s">
        <v>3664</v>
      </c>
      <c r="F2325" s="1" t="s">
        <v>9918</v>
      </c>
      <c r="G2325" s="1" t="s">
        <v>7000</v>
      </c>
      <c r="H2325" s="1" t="s">
        <v>3604</v>
      </c>
      <c r="I2325" s="1" t="s">
        <v>9919</v>
      </c>
      <c r="J2325" s="1" t="s">
        <v>3606</v>
      </c>
      <c r="K2325" s="1" t="s">
        <v>9920</v>
      </c>
      <c r="L2325" s="1"/>
      <c r="M2325" s="1"/>
    </row>
    <row x14ac:dyDescent="0.25" r="2326" customHeight="1" ht="18.75">
      <c r="A2326" s="1" t="s">
        <v>3693</v>
      </c>
      <c r="B2326" s="1" t="s">
        <v>6216</v>
      </c>
      <c r="C2326" s="1" t="s">
        <v>3619</v>
      </c>
      <c r="D2326" s="1" t="s">
        <v>3695</v>
      </c>
      <c r="E2326" s="1" t="s">
        <v>3664</v>
      </c>
      <c r="F2326" s="1" t="s">
        <v>9921</v>
      </c>
      <c r="G2326" s="1" t="s">
        <v>7000</v>
      </c>
      <c r="H2326" s="1" t="s">
        <v>3604</v>
      </c>
      <c r="I2326" s="1" t="s">
        <v>9922</v>
      </c>
      <c r="J2326" s="1" t="s">
        <v>3615</v>
      </c>
      <c r="K2326" s="1" t="s">
        <v>9923</v>
      </c>
      <c r="L2326" s="1"/>
      <c r="M2326" s="1"/>
    </row>
    <row x14ac:dyDescent="0.25" r="2327" customHeight="1" ht="18.75">
      <c r="A2327" s="1" t="s">
        <v>3693</v>
      </c>
      <c r="B2327" s="1" t="s">
        <v>6216</v>
      </c>
      <c r="C2327" s="1" t="s">
        <v>3619</v>
      </c>
      <c r="D2327" s="1" t="s">
        <v>3695</v>
      </c>
      <c r="E2327" s="1" t="s">
        <v>3664</v>
      </c>
      <c r="F2327" s="1" t="s">
        <v>9924</v>
      </c>
      <c r="G2327" s="1" t="s">
        <v>7000</v>
      </c>
      <c r="H2327" s="1" t="s">
        <v>3604</v>
      </c>
      <c r="I2327" s="1" t="s">
        <v>9925</v>
      </c>
      <c r="J2327" s="1" t="s">
        <v>3615</v>
      </c>
      <c r="K2327" s="1" t="s">
        <v>9926</v>
      </c>
      <c r="L2327" s="1"/>
      <c r="M2327" s="1"/>
    </row>
    <row x14ac:dyDescent="0.25" r="2328" customHeight="1" ht="18.75">
      <c r="A2328" s="1" t="s">
        <v>3693</v>
      </c>
      <c r="B2328" s="1" t="s">
        <v>6216</v>
      </c>
      <c r="C2328" s="1" t="s">
        <v>3619</v>
      </c>
      <c r="D2328" s="1" t="s">
        <v>3695</v>
      </c>
      <c r="E2328" s="1" t="s">
        <v>3664</v>
      </c>
      <c r="F2328" s="1" t="s">
        <v>9927</v>
      </c>
      <c r="G2328" s="1" t="s">
        <v>7000</v>
      </c>
      <c r="H2328" s="1" t="s">
        <v>3604</v>
      </c>
      <c r="I2328" s="1" t="s">
        <v>9928</v>
      </c>
      <c r="J2328" s="1" t="s">
        <v>3615</v>
      </c>
      <c r="K2328" s="1" t="s">
        <v>9929</v>
      </c>
      <c r="L2328" s="1"/>
      <c r="M2328" s="1"/>
    </row>
    <row x14ac:dyDescent="0.25" r="2329" customHeight="1" ht="18.75">
      <c r="A2329" s="1" t="s">
        <v>3693</v>
      </c>
      <c r="B2329" s="1" t="s">
        <v>6216</v>
      </c>
      <c r="C2329" s="1" t="s">
        <v>3619</v>
      </c>
      <c r="D2329" s="1" t="s">
        <v>3695</v>
      </c>
      <c r="E2329" s="1" t="s">
        <v>3664</v>
      </c>
      <c r="F2329" s="1" t="s">
        <v>9930</v>
      </c>
      <c r="G2329" s="1" t="s">
        <v>7000</v>
      </c>
      <c r="H2329" s="1" t="s">
        <v>3604</v>
      </c>
      <c r="I2329" s="1" t="s">
        <v>9931</v>
      </c>
      <c r="J2329" s="1" t="s">
        <v>3615</v>
      </c>
      <c r="K2329" s="1" t="s">
        <v>9932</v>
      </c>
      <c r="L2329" s="1"/>
      <c r="M2329" s="1"/>
    </row>
    <row x14ac:dyDescent="0.25" r="2330" customHeight="1" ht="18.75">
      <c r="A2330" s="1" t="s">
        <v>3693</v>
      </c>
      <c r="B2330" s="1" t="s">
        <v>6216</v>
      </c>
      <c r="C2330" s="1" t="s">
        <v>3619</v>
      </c>
      <c r="D2330" s="1" t="s">
        <v>3695</v>
      </c>
      <c r="E2330" s="1" t="s">
        <v>3664</v>
      </c>
      <c r="F2330" s="1" t="s">
        <v>9933</v>
      </c>
      <c r="G2330" s="1" t="s">
        <v>7000</v>
      </c>
      <c r="H2330" s="1" t="s">
        <v>3604</v>
      </c>
      <c r="I2330" s="1" t="s">
        <v>9934</v>
      </c>
      <c r="J2330" s="1" t="s">
        <v>3615</v>
      </c>
      <c r="K2330" s="1" t="s">
        <v>9935</v>
      </c>
      <c r="L2330" s="1"/>
      <c r="M2330" s="1"/>
    </row>
    <row x14ac:dyDescent="0.25" r="2331" customHeight="1" ht="18.75">
      <c r="A2331" s="1" t="s">
        <v>3693</v>
      </c>
      <c r="B2331" s="1" t="s">
        <v>6216</v>
      </c>
      <c r="C2331" s="1" t="s">
        <v>3619</v>
      </c>
      <c r="D2331" s="1" t="s">
        <v>8373</v>
      </c>
      <c r="E2331" s="1" t="s">
        <v>3664</v>
      </c>
      <c r="F2331" s="1" t="s">
        <v>9936</v>
      </c>
      <c r="G2331" s="1" t="s">
        <v>7000</v>
      </c>
      <c r="H2331" s="1" t="s">
        <v>3604</v>
      </c>
      <c r="I2331" s="1" t="s">
        <v>9937</v>
      </c>
      <c r="J2331" s="1" t="s">
        <v>3606</v>
      </c>
      <c r="K2331" s="1" t="s">
        <v>9938</v>
      </c>
      <c r="L2331" s="1"/>
      <c r="M2331" s="1"/>
    </row>
    <row x14ac:dyDescent="0.25" r="2332" customHeight="1" ht="18.75">
      <c r="A2332" s="1" t="s">
        <v>3693</v>
      </c>
      <c r="B2332" s="1" t="s">
        <v>6216</v>
      </c>
      <c r="C2332" s="1" t="s">
        <v>3619</v>
      </c>
      <c r="D2332" s="1" t="s">
        <v>3695</v>
      </c>
      <c r="E2332" s="1" t="s">
        <v>3664</v>
      </c>
      <c r="F2332" s="1" t="s">
        <v>9939</v>
      </c>
      <c r="G2332" s="1" t="s">
        <v>7000</v>
      </c>
      <c r="H2332" s="1" t="s">
        <v>3604</v>
      </c>
      <c r="I2332" s="1" t="s">
        <v>9940</v>
      </c>
      <c r="J2332" s="1" t="s">
        <v>3615</v>
      </c>
      <c r="K2332" s="1" t="s">
        <v>9941</v>
      </c>
      <c r="L2332" s="1"/>
      <c r="M2332" s="1"/>
    </row>
    <row x14ac:dyDescent="0.25" r="2333" customHeight="1" ht="18.75">
      <c r="A2333" s="1" t="s">
        <v>3693</v>
      </c>
      <c r="B2333" s="1" t="s">
        <v>6216</v>
      </c>
      <c r="C2333" s="1" t="s">
        <v>3619</v>
      </c>
      <c r="D2333" s="1" t="s">
        <v>3695</v>
      </c>
      <c r="E2333" s="1" t="s">
        <v>3664</v>
      </c>
      <c r="F2333" s="1" t="s">
        <v>9942</v>
      </c>
      <c r="G2333" s="1" t="s">
        <v>7000</v>
      </c>
      <c r="H2333" s="1" t="s">
        <v>3604</v>
      </c>
      <c r="I2333" s="1" t="s">
        <v>9943</v>
      </c>
      <c r="J2333" s="1" t="s">
        <v>3615</v>
      </c>
      <c r="K2333" s="1" t="s">
        <v>9944</v>
      </c>
      <c r="L2333" s="1"/>
      <c r="M2333" s="1"/>
    </row>
    <row x14ac:dyDescent="0.25" r="2334" customHeight="1" ht="18.75">
      <c r="A2334" s="1" t="s">
        <v>3693</v>
      </c>
      <c r="B2334" s="1" t="s">
        <v>6216</v>
      </c>
      <c r="C2334" s="1" t="s">
        <v>3619</v>
      </c>
      <c r="D2334" s="1" t="s">
        <v>3695</v>
      </c>
      <c r="E2334" s="1" t="s">
        <v>3664</v>
      </c>
      <c r="F2334" s="1" t="s">
        <v>9945</v>
      </c>
      <c r="G2334" s="1" t="s">
        <v>7000</v>
      </c>
      <c r="H2334" s="1" t="s">
        <v>3604</v>
      </c>
      <c r="I2334" s="1" t="s">
        <v>9946</v>
      </c>
      <c r="J2334" s="1" t="s">
        <v>3615</v>
      </c>
      <c r="K2334" s="1" t="s">
        <v>9947</v>
      </c>
      <c r="L2334" s="1"/>
      <c r="M2334" s="1"/>
    </row>
    <row x14ac:dyDescent="0.25" r="2335" customHeight="1" ht="18.75">
      <c r="A2335" s="1" t="s">
        <v>3693</v>
      </c>
      <c r="B2335" s="1" t="s">
        <v>6216</v>
      </c>
      <c r="C2335" s="1" t="s">
        <v>3619</v>
      </c>
      <c r="D2335" s="1" t="s">
        <v>3695</v>
      </c>
      <c r="E2335" s="1" t="s">
        <v>3664</v>
      </c>
      <c r="F2335" s="1" t="s">
        <v>9948</v>
      </c>
      <c r="G2335" s="1" t="s">
        <v>7000</v>
      </c>
      <c r="H2335" s="1" t="s">
        <v>3604</v>
      </c>
      <c r="I2335" s="1" t="s">
        <v>9949</v>
      </c>
      <c r="J2335" s="1" t="s">
        <v>3615</v>
      </c>
      <c r="K2335" s="1" t="s">
        <v>9950</v>
      </c>
      <c r="L2335" s="1"/>
      <c r="M2335" s="1"/>
    </row>
    <row x14ac:dyDescent="0.25" r="2336" customHeight="1" ht="18.75">
      <c r="A2336" s="1" t="s">
        <v>3693</v>
      </c>
      <c r="B2336" s="1" t="s">
        <v>6216</v>
      </c>
      <c r="C2336" s="1" t="s">
        <v>3619</v>
      </c>
      <c r="D2336" s="1" t="s">
        <v>3695</v>
      </c>
      <c r="E2336" s="1" t="s">
        <v>3664</v>
      </c>
      <c r="F2336" s="1" t="s">
        <v>9951</v>
      </c>
      <c r="G2336" s="1" t="s">
        <v>7000</v>
      </c>
      <c r="H2336" s="1" t="s">
        <v>3604</v>
      </c>
      <c r="I2336" s="1" t="s">
        <v>9952</v>
      </c>
      <c r="J2336" s="1" t="s">
        <v>3615</v>
      </c>
      <c r="K2336" s="1" t="s">
        <v>9953</v>
      </c>
      <c r="L2336" s="1"/>
      <c r="M2336" s="1"/>
    </row>
    <row x14ac:dyDescent="0.25" r="2337" customHeight="1" ht="18.75">
      <c r="A2337" s="1" t="s">
        <v>3693</v>
      </c>
      <c r="B2337" s="1" t="s">
        <v>6216</v>
      </c>
      <c r="C2337" s="1" t="s">
        <v>3619</v>
      </c>
      <c r="D2337" s="1" t="s">
        <v>3695</v>
      </c>
      <c r="E2337" s="1" t="s">
        <v>3664</v>
      </c>
      <c r="F2337" s="1" t="s">
        <v>9954</v>
      </c>
      <c r="G2337" s="1" t="s">
        <v>7000</v>
      </c>
      <c r="H2337" s="1" t="s">
        <v>3604</v>
      </c>
      <c r="I2337" s="1" t="s">
        <v>9955</v>
      </c>
      <c r="J2337" s="1" t="s">
        <v>3615</v>
      </c>
      <c r="K2337" s="1" t="s">
        <v>9956</v>
      </c>
      <c r="L2337" s="1"/>
      <c r="M2337" s="1"/>
    </row>
    <row x14ac:dyDescent="0.25" r="2338" customHeight="1" ht="18.75">
      <c r="A2338" s="1" t="s">
        <v>3693</v>
      </c>
      <c r="B2338" s="1" t="s">
        <v>6216</v>
      </c>
      <c r="C2338" s="1" t="s">
        <v>3619</v>
      </c>
      <c r="D2338" s="1" t="s">
        <v>3695</v>
      </c>
      <c r="E2338" s="1" t="s">
        <v>3664</v>
      </c>
      <c r="F2338" s="1" t="s">
        <v>9957</v>
      </c>
      <c r="G2338" s="1" t="s">
        <v>7000</v>
      </c>
      <c r="H2338" s="1" t="s">
        <v>3604</v>
      </c>
      <c r="I2338" s="1" t="s">
        <v>9958</v>
      </c>
      <c r="J2338" s="1" t="s">
        <v>3615</v>
      </c>
      <c r="K2338" s="1" t="s">
        <v>9959</v>
      </c>
      <c r="L2338" s="1"/>
      <c r="M2338" s="1"/>
    </row>
    <row x14ac:dyDescent="0.25" r="2339" customHeight="1" ht="18.75">
      <c r="A2339" s="1" t="s">
        <v>3693</v>
      </c>
      <c r="B2339" s="1" t="s">
        <v>6216</v>
      </c>
      <c r="C2339" s="1" t="s">
        <v>3619</v>
      </c>
      <c r="D2339" s="1" t="s">
        <v>3695</v>
      </c>
      <c r="E2339" s="1" t="s">
        <v>3664</v>
      </c>
      <c r="F2339" s="1" t="s">
        <v>9960</v>
      </c>
      <c r="G2339" s="1" t="s">
        <v>7000</v>
      </c>
      <c r="H2339" s="1" t="s">
        <v>3604</v>
      </c>
      <c r="I2339" s="1" t="s">
        <v>9961</v>
      </c>
      <c r="J2339" s="1" t="s">
        <v>3615</v>
      </c>
      <c r="K2339" s="1" t="s">
        <v>9962</v>
      </c>
      <c r="L2339" s="1"/>
      <c r="M2339" s="1"/>
    </row>
    <row x14ac:dyDescent="0.25" r="2340" customHeight="1" ht="18.75">
      <c r="A2340" s="1" t="s">
        <v>3693</v>
      </c>
      <c r="B2340" s="1" t="s">
        <v>6216</v>
      </c>
      <c r="C2340" s="1" t="s">
        <v>3619</v>
      </c>
      <c r="D2340" s="1" t="s">
        <v>3695</v>
      </c>
      <c r="E2340" s="1" t="s">
        <v>3664</v>
      </c>
      <c r="F2340" s="1" t="s">
        <v>9963</v>
      </c>
      <c r="G2340" s="1" t="s">
        <v>7000</v>
      </c>
      <c r="H2340" s="1" t="s">
        <v>3604</v>
      </c>
      <c r="I2340" s="1" t="s">
        <v>9964</v>
      </c>
      <c r="J2340" s="1" t="s">
        <v>3615</v>
      </c>
      <c r="K2340" s="1" t="s">
        <v>9965</v>
      </c>
      <c r="L2340" s="1"/>
      <c r="M2340" s="1"/>
    </row>
    <row x14ac:dyDescent="0.25" r="2341" customHeight="1" ht="18.75">
      <c r="A2341" s="1" t="s">
        <v>3693</v>
      </c>
      <c r="B2341" s="1" t="s">
        <v>4225</v>
      </c>
      <c r="C2341" s="1" t="s">
        <v>3619</v>
      </c>
      <c r="D2341" s="1" t="s">
        <v>3601</v>
      </c>
      <c r="E2341" s="1" t="s">
        <v>3664</v>
      </c>
      <c r="F2341" s="1" t="s">
        <v>9966</v>
      </c>
      <c r="G2341" s="1" t="s">
        <v>4415</v>
      </c>
      <c r="H2341" s="1" t="s">
        <v>3604</v>
      </c>
      <c r="I2341" s="1" t="s">
        <v>9967</v>
      </c>
      <c r="J2341" s="1" t="s">
        <v>3615</v>
      </c>
      <c r="K2341" s="1" t="s">
        <v>7997</v>
      </c>
      <c r="L2341" s="1"/>
      <c r="M2341" s="1"/>
    </row>
    <row x14ac:dyDescent="0.25" r="2342" customHeight="1" ht="18.75">
      <c r="A2342" s="1" t="s">
        <v>3693</v>
      </c>
      <c r="B2342" s="1" t="s">
        <v>6216</v>
      </c>
      <c r="C2342" s="1" t="s">
        <v>3619</v>
      </c>
      <c r="D2342" s="1" t="s">
        <v>3695</v>
      </c>
      <c r="E2342" s="1" t="s">
        <v>3664</v>
      </c>
      <c r="F2342" s="1" t="s">
        <v>9968</v>
      </c>
      <c r="G2342" s="1" t="s">
        <v>7000</v>
      </c>
      <c r="H2342" s="1" t="s">
        <v>3604</v>
      </c>
      <c r="I2342" s="1" t="s">
        <v>9969</v>
      </c>
      <c r="J2342" s="1" t="s">
        <v>3615</v>
      </c>
      <c r="K2342" s="1" t="s">
        <v>9970</v>
      </c>
      <c r="L2342" s="1"/>
      <c r="M2342" s="1"/>
    </row>
    <row x14ac:dyDescent="0.25" r="2343" customHeight="1" ht="18.75">
      <c r="A2343" s="1" t="s">
        <v>3693</v>
      </c>
      <c r="B2343" s="1" t="s">
        <v>4181</v>
      </c>
      <c r="C2343" s="1" t="s">
        <v>3619</v>
      </c>
      <c r="D2343" s="1" t="s">
        <v>533</v>
      </c>
      <c r="E2343" s="1" t="s">
        <v>3664</v>
      </c>
      <c r="F2343" s="1" t="s">
        <v>9971</v>
      </c>
      <c r="G2343" s="1" t="s">
        <v>9972</v>
      </c>
      <c r="H2343" s="1" t="s">
        <v>3604</v>
      </c>
      <c r="I2343" s="1" t="s">
        <v>9973</v>
      </c>
      <c r="J2343" s="1" t="s">
        <v>3615</v>
      </c>
      <c r="K2343" s="1" t="s">
        <v>9974</v>
      </c>
      <c r="L2343" s="1"/>
      <c r="M2343" s="1"/>
    </row>
    <row x14ac:dyDescent="0.25" r="2344" customHeight="1" ht="18.75">
      <c r="A2344" s="1" t="s">
        <v>3693</v>
      </c>
      <c r="B2344" s="1" t="s">
        <v>4181</v>
      </c>
      <c r="C2344" s="1" t="s">
        <v>3619</v>
      </c>
      <c r="D2344" s="1" t="s">
        <v>533</v>
      </c>
      <c r="E2344" s="1" t="s">
        <v>3664</v>
      </c>
      <c r="F2344" s="1" t="s">
        <v>9975</v>
      </c>
      <c r="G2344" s="1" t="s">
        <v>9976</v>
      </c>
      <c r="H2344" s="1" t="s">
        <v>3604</v>
      </c>
      <c r="I2344" s="1" t="s">
        <v>9977</v>
      </c>
      <c r="J2344" s="1" t="s">
        <v>3606</v>
      </c>
      <c r="K2344" s="1" t="s">
        <v>9978</v>
      </c>
      <c r="L2344" s="1"/>
      <c r="M2344" s="1"/>
    </row>
    <row x14ac:dyDescent="0.25" r="2345" customHeight="1" ht="18.75">
      <c r="A2345" s="1" t="s">
        <v>3693</v>
      </c>
      <c r="B2345" s="1" t="s">
        <v>4181</v>
      </c>
      <c r="C2345" s="1" t="s">
        <v>3619</v>
      </c>
      <c r="D2345" s="1" t="s">
        <v>533</v>
      </c>
      <c r="E2345" s="1" t="s">
        <v>3664</v>
      </c>
      <c r="F2345" s="1" t="s">
        <v>9979</v>
      </c>
      <c r="G2345" s="1" t="s">
        <v>6230</v>
      </c>
      <c r="H2345" s="1" t="s">
        <v>3604</v>
      </c>
      <c r="I2345" s="1" t="s">
        <v>9980</v>
      </c>
      <c r="J2345" s="1" t="s">
        <v>3606</v>
      </c>
      <c r="K2345" s="1" t="s">
        <v>9981</v>
      </c>
      <c r="L2345" s="1"/>
      <c r="M2345" s="1"/>
    </row>
    <row x14ac:dyDescent="0.25" r="2346" customHeight="1" ht="18.75">
      <c r="A2346" s="1" t="s">
        <v>3693</v>
      </c>
      <c r="B2346" s="1" t="s">
        <v>4181</v>
      </c>
      <c r="C2346" s="1" t="s">
        <v>3619</v>
      </c>
      <c r="D2346" s="1" t="s">
        <v>533</v>
      </c>
      <c r="E2346" s="1" t="s">
        <v>3664</v>
      </c>
      <c r="F2346" s="1" t="s">
        <v>9982</v>
      </c>
      <c r="G2346" s="1" t="s">
        <v>9983</v>
      </c>
      <c r="H2346" s="1" t="s">
        <v>3604</v>
      </c>
      <c r="I2346" s="1" t="s">
        <v>9984</v>
      </c>
      <c r="J2346" s="1" t="s">
        <v>3606</v>
      </c>
      <c r="K2346" s="1" t="s">
        <v>9985</v>
      </c>
      <c r="L2346" s="1"/>
      <c r="M2346" s="1"/>
    </row>
    <row x14ac:dyDescent="0.25" r="2347" customHeight="1" ht="18.75">
      <c r="A2347" s="1" t="s">
        <v>3693</v>
      </c>
      <c r="B2347" s="1" t="s">
        <v>4181</v>
      </c>
      <c r="C2347" s="1" t="s">
        <v>3619</v>
      </c>
      <c r="D2347" s="1" t="s">
        <v>533</v>
      </c>
      <c r="E2347" s="1" t="s">
        <v>3664</v>
      </c>
      <c r="F2347" s="1" t="s">
        <v>9986</v>
      </c>
      <c r="G2347" s="1" t="s">
        <v>9987</v>
      </c>
      <c r="H2347" s="1" t="s">
        <v>3604</v>
      </c>
      <c r="I2347" s="1" t="s">
        <v>9988</v>
      </c>
      <c r="J2347" s="1" t="s">
        <v>3606</v>
      </c>
      <c r="K2347" s="1" t="s">
        <v>9985</v>
      </c>
      <c r="L2347" s="1"/>
      <c r="M2347" s="1"/>
    </row>
    <row x14ac:dyDescent="0.25" r="2348" customHeight="1" ht="18.75">
      <c r="A2348" s="1" t="s">
        <v>3693</v>
      </c>
      <c r="B2348" s="1" t="s">
        <v>4214</v>
      </c>
      <c r="C2348" s="1" t="s">
        <v>3600</v>
      </c>
      <c r="D2348" s="1" t="s">
        <v>3695</v>
      </c>
      <c r="E2348" s="1" t="s">
        <v>3664</v>
      </c>
      <c r="F2348" s="1" t="s">
        <v>9989</v>
      </c>
      <c r="G2348" s="1" t="s">
        <v>9990</v>
      </c>
      <c r="H2348" s="1" t="s">
        <v>3604</v>
      </c>
      <c r="I2348" s="1" t="s">
        <v>9991</v>
      </c>
      <c r="J2348" s="1" t="s">
        <v>3615</v>
      </c>
      <c r="K2348" s="1" t="s">
        <v>9992</v>
      </c>
      <c r="L2348" s="1"/>
      <c r="M2348" s="1"/>
    </row>
    <row x14ac:dyDescent="0.25" r="2349" customHeight="1" ht="18.75">
      <c r="A2349" s="1" t="s">
        <v>3693</v>
      </c>
      <c r="B2349" s="1" t="s">
        <v>4214</v>
      </c>
      <c r="C2349" s="1" t="s">
        <v>3600</v>
      </c>
      <c r="D2349" s="1" t="s">
        <v>3695</v>
      </c>
      <c r="E2349" s="1" t="s">
        <v>3664</v>
      </c>
      <c r="F2349" s="1" t="s">
        <v>9993</v>
      </c>
      <c r="G2349" s="1" t="s">
        <v>5667</v>
      </c>
      <c r="H2349" s="1" t="s">
        <v>3604</v>
      </c>
      <c r="I2349" s="1" t="s">
        <v>9994</v>
      </c>
      <c r="J2349" s="1" t="s">
        <v>3615</v>
      </c>
      <c r="K2349" s="1" t="s">
        <v>9995</v>
      </c>
      <c r="L2349" s="1"/>
      <c r="M2349" s="1"/>
    </row>
    <row x14ac:dyDescent="0.25" r="2350" customHeight="1" ht="18.75">
      <c r="A2350" s="1" t="s">
        <v>3693</v>
      </c>
      <c r="B2350" s="1" t="s">
        <v>4214</v>
      </c>
      <c r="C2350" s="1" t="s">
        <v>3600</v>
      </c>
      <c r="D2350" s="1" t="s">
        <v>3695</v>
      </c>
      <c r="E2350" s="1" t="s">
        <v>3664</v>
      </c>
      <c r="F2350" s="1" t="s">
        <v>9996</v>
      </c>
      <c r="G2350" s="1" t="s">
        <v>9997</v>
      </c>
      <c r="H2350" s="1" t="s">
        <v>3604</v>
      </c>
      <c r="I2350" s="1" t="s">
        <v>9998</v>
      </c>
      <c r="J2350" s="1" t="s">
        <v>3615</v>
      </c>
      <c r="K2350" s="1" t="s">
        <v>9999</v>
      </c>
      <c r="L2350" s="1"/>
      <c r="M2350" s="1"/>
    </row>
    <row x14ac:dyDescent="0.25" r="2351" customHeight="1" ht="18.75">
      <c r="A2351" s="1" t="s">
        <v>3693</v>
      </c>
      <c r="B2351" s="1" t="s">
        <v>4214</v>
      </c>
      <c r="C2351" s="1" t="s">
        <v>3600</v>
      </c>
      <c r="D2351" s="1" t="s">
        <v>3695</v>
      </c>
      <c r="E2351" s="1" t="s">
        <v>3664</v>
      </c>
      <c r="F2351" s="1" t="s">
        <v>10000</v>
      </c>
      <c r="G2351" s="1" t="s">
        <v>4726</v>
      </c>
      <c r="H2351" s="1" t="s">
        <v>3604</v>
      </c>
      <c r="I2351" s="1" t="s">
        <v>10001</v>
      </c>
      <c r="J2351" s="1" t="s">
        <v>3615</v>
      </c>
      <c r="K2351" s="1" t="s">
        <v>10002</v>
      </c>
      <c r="L2351" s="1"/>
      <c r="M2351" s="1"/>
    </row>
    <row x14ac:dyDescent="0.25" r="2352" customHeight="1" ht="18.75">
      <c r="A2352" s="1" t="s">
        <v>3693</v>
      </c>
      <c r="B2352" s="1" t="s">
        <v>4214</v>
      </c>
      <c r="C2352" s="1" t="s">
        <v>3600</v>
      </c>
      <c r="D2352" s="1" t="s">
        <v>3695</v>
      </c>
      <c r="E2352" s="1" t="s">
        <v>3664</v>
      </c>
      <c r="F2352" s="1" t="s">
        <v>10003</v>
      </c>
      <c r="G2352" s="1" t="s">
        <v>10004</v>
      </c>
      <c r="H2352" s="1" t="s">
        <v>3604</v>
      </c>
      <c r="I2352" s="1" t="s">
        <v>10005</v>
      </c>
      <c r="J2352" s="1" t="s">
        <v>3615</v>
      </c>
      <c r="K2352" s="1" t="s">
        <v>10006</v>
      </c>
      <c r="L2352" s="1"/>
      <c r="M2352" s="1"/>
    </row>
    <row x14ac:dyDescent="0.25" r="2353" customHeight="1" ht="18.75">
      <c r="A2353" s="1" t="s">
        <v>3693</v>
      </c>
      <c r="B2353" s="1" t="s">
        <v>4214</v>
      </c>
      <c r="C2353" s="1" t="s">
        <v>3600</v>
      </c>
      <c r="D2353" s="1" t="s">
        <v>3695</v>
      </c>
      <c r="E2353" s="1" t="s">
        <v>3664</v>
      </c>
      <c r="F2353" s="1" t="s">
        <v>10007</v>
      </c>
      <c r="G2353" s="1" t="s">
        <v>5953</v>
      </c>
      <c r="H2353" s="1" t="s">
        <v>3604</v>
      </c>
      <c r="I2353" s="1" t="s">
        <v>10008</v>
      </c>
      <c r="J2353" s="1" t="s">
        <v>3615</v>
      </c>
      <c r="K2353" s="1" t="s">
        <v>10009</v>
      </c>
      <c r="L2353" s="1"/>
      <c r="M2353" s="1"/>
    </row>
    <row x14ac:dyDescent="0.25" r="2354" customHeight="1" ht="18.75">
      <c r="A2354" s="1" t="s">
        <v>3693</v>
      </c>
      <c r="B2354" s="1" t="s">
        <v>4083</v>
      </c>
      <c r="C2354" s="1" t="s">
        <v>3600</v>
      </c>
      <c r="D2354" s="1" t="s">
        <v>3695</v>
      </c>
      <c r="E2354" s="1" t="s">
        <v>3664</v>
      </c>
      <c r="F2354" s="1" t="s">
        <v>10010</v>
      </c>
      <c r="G2354" s="1" t="s">
        <v>10011</v>
      </c>
      <c r="H2354" s="1" t="s">
        <v>3604</v>
      </c>
      <c r="I2354" s="1" t="s">
        <v>10012</v>
      </c>
      <c r="J2354" s="1" t="s">
        <v>3615</v>
      </c>
      <c r="K2354" s="1" t="s">
        <v>10013</v>
      </c>
      <c r="L2354" s="1"/>
      <c r="M2354" s="1"/>
    </row>
    <row x14ac:dyDescent="0.25" r="2355" customHeight="1" ht="18.75">
      <c r="A2355" s="1" t="s">
        <v>3693</v>
      </c>
      <c r="B2355" s="1" t="s">
        <v>4247</v>
      </c>
      <c r="C2355" s="1" t="s">
        <v>3600</v>
      </c>
      <c r="D2355" s="1" t="s">
        <v>3695</v>
      </c>
      <c r="E2355" s="1" t="s">
        <v>3664</v>
      </c>
      <c r="F2355" s="1" t="s">
        <v>10014</v>
      </c>
      <c r="G2355" s="1" t="s">
        <v>9672</v>
      </c>
      <c r="H2355" s="1" t="s">
        <v>3604</v>
      </c>
      <c r="I2355" s="1" t="s">
        <v>10015</v>
      </c>
      <c r="J2355" s="1" t="s">
        <v>3615</v>
      </c>
      <c r="K2355" s="1" t="s">
        <v>9680</v>
      </c>
      <c r="L2355" s="1"/>
      <c r="M2355" s="1"/>
    </row>
    <row x14ac:dyDescent="0.25" r="2356" customHeight="1" ht="18.75">
      <c r="A2356" s="1" t="s">
        <v>3693</v>
      </c>
      <c r="B2356" s="1" t="s">
        <v>5974</v>
      </c>
      <c r="C2356" s="1" t="s">
        <v>3619</v>
      </c>
      <c r="D2356" s="1" t="s">
        <v>533</v>
      </c>
      <c r="E2356" s="1" t="s">
        <v>3664</v>
      </c>
      <c r="F2356" s="1" t="s">
        <v>10016</v>
      </c>
      <c r="G2356" s="1" t="s">
        <v>10017</v>
      </c>
      <c r="H2356" s="1" t="s">
        <v>3604</v>
      </c>
      <c r="I2356" s="1" t="s">
        <v>10018</v>
      </c>
      <c r="J2356" s="1" t="s">
        <v>3606</v>
      </c>
      <c r="K2356" s="1" t="s">
        <v>10019</v>
      </c>
      <c r="L2356" s="1"/>
      <c r="M2356" s="1"/>
    </row>
    <row x14ac:dyDescent="0.25" r="2357" customHeight="1" ht="18.75">
      <c r="A2357" s="1" t="s">
        <v>3693</v>
      </c>
      <c r="B2357" s="1" t="s">
        <v>4083</v>
      </c>
      <c r="C2357" s="1" t="s">
        <v>3600</v>
      </c>
      <c r="D2357" s="1" t="s">
        <v>3695</v>
      </c>
      <c r="E2357" s="1" t="s">
        <v>3893</v>
      </c>
      <c r="F2357" s="1" t="s">
        <v>10020</v>
      </c>
      <c r="G2357" s="1" t="s">
        <v>4116</v>
      </c>
      <c r="H2357" s="1" t="s">
        <v>3604</v>
      </c>
      <c r="I2357" s="1" t="s">
        <v>10021</v>
      </c>
      <c r="J2357" s="1" t="s">
        <v>3606</v>
      </c>
      <c r="K2357" s="1" t="s">
        <v>10022</v>
      </c>
      <c r="L2357" s="1"/>
      <c r="M2357" s="1"/>
    </row>
    <row x14ac:dyDescent="0.25" r="2358" customHeight="1" ht="18.75">
      <c r="A2358" s="1" t="s">
        <v>3693</v>
      </c>
      <c r="B2358" s="1" t="s">
        <v>4257</v>
      </c>
      <c r="C2358" s="1" t="s">
        <v>3619</v>
      </c>
      <c r="D2358" s="1" t="s">
        <v>3601</v>
      </c>
      <c r="E2358" s="1" t="s">
        <v>3664</v>
      </c>
      <c r="F2358" s="1" t="s">
        <v>10023</v>
      </c>
      <c r="G2358" s="1" t="s">
        <v>9035</v>
      </c>
      <c r="H2358" s="1" t="s">
        <v>3604</v>
      </c>
      <c r="I2358" s="1" t="s">
        <v>10024</v>
      </c>
      <c r="J2358" s="1" t="s">
        <v>3606</v>
      </c>
      <c r="K2358" s="1"/>
      <c r="L2358" s="1"/>
      <c r="M2358" s="1"/>
    </row>
    <row x14ac:dyDescent="0.25" r="2359" customHeight="1" ht="18.75">
      <c r="A2359" s="1" t="s">
        <v>3693</v>
      </c>
      <c r="B2359" s="1" t="s">
        <v>5974</v>
      </c>
      <c r="C2359" s="1" t="s">
        <v>3619</v>
      </c>
      <c r="D2359" s="1" t="s">
        <v>533</v>
      </c>
      <c r="E2359" s="1" t="s">
        <v>3664</v>
      </c>
      <c r="F2359" s="1" t="s">
        <v>10025</v>
      </c>
      <c r="G2359" s="1" t="s">
        <v>10026</v>
      </c>
      <c r="H2359" s="1" t="s">
        <v>3604</v>
      </c>
      <c r="I2359" s="1" t="s">
        <v>10027</v>
      </c>
      <c r="J2359" s="1" t="s">
        <v>3606</v>
      </c>
      <c r="K2359" s="1" t="s">
        <v>10028</v>
      </c>
      <c r="L2359" s="1"/>
      <c r="M2359" s="1"/>
    </row>
    <row x14ac:dyDescent="0.25" r="2360" customHeight="1" ht="18.75">
      <c r="A2360" s="1" t="s">
        <v>3693</v>
      </c>
      <c r="B2360" s="1" t="s">
        <v>4225</v>
      </c>
      <c r="C2360" s="1" t="s">
        <v>3619</v>
      </c>
      <c r="D2360" s="1" t="s">
        <v>3601</v>
      </c>
      <c r="E2360" s="1" t="s">
        <v>3664</v>
      </c>
      <c r="F2360" s="1" t="s">
        <v>10029</v>
      </c>
      <c r="G2360" s="1" t="s">
        <v>10030</v>
      </c>
      <c r="H2360" s="1" t="s">
        <v>3604</v>
      </c>
      <c r="I2360" s="1" t="s">
        <v>10031</v>
      </c>
      <c r="J2360" s="1" t="s">
        <v>3606</v>
      </c>
      <c r="K2360" s="1"/>
      <c r="L2360" s="1"/>
      <c r="M2360" s="1"/>
    </row>
    <row x14ac:dyDescent="0.25" r="2361" customHeight="1" ht="18.75">
      <c r="A2361" s="1" t="s">
        <v>3693</v>
      </c>
      <c r="B2361" s="1" t="s">
        <v>5797</v>
      </c>
      <c r="C2361" s="1" t="s">
        <v>3619</v>
      </c>
      <c r="D2361" s="1" t="s">
        <v>533</v>
      </c>
      <c r="E2361" s="1" t="s">
        <v>3664</v>
      </c>
      <c r="F2361" s="1" t="s">
        <v>10032</v>
      </c>
      <c r="G2361" s="1" t="s">
        <v>6238</v>
      </c>
      <c r="H2361" s="1" t="s">
        <v>3604</v>
      </c>
      <c r="I2361" s="1" t="s">
        <v>10033</v>
      </c>
      <c r="J2361" s="1" t="s">
        <v>3606</v>
      </c>
      <c r="K2361" s="1" t="s">
        <v>10034</v>
      </c>
      <c r="L2361" s="1"/>
      <c r="M2361" s="1"/>
    </row>
    <row x14ac:dyDescent="0.25" r="2362" customHeight="1" ht="18.75">
      <c r="A2362" s="1" t="s">
        <v>3693</v>
      </c>
      <c r="B2362" s="1" t="s">
        <v>5797</v>
      </c>
      <c r="C2362" s="1" t="s">
        <v>3619</v>
      </c>
      <c r="D2362" s="1" t="s">
        <v>533</v>
      </c>
      <c r="E2362" s="1" t="s">
        <v>3664</v>
      </c>
      <c r="F2362" s="1" t="s">
        <v>10035</v>
      </c>
      <c r="G2362" s="1" t="s">
        <v>10036</v>
      </c>
      <c r="H2362" s="1" t="s">
        <v>3604</v>
      </c>
      <c r="I2362" s="1" t="s">
        <v>10037</v>
      </c>
      <c r="J2362" s="1" t="s">
        <v>3606</v>
      </c>
      <c r="K2362" s="1" t="s">
        <v>10038</v>
      </c>
      <c r="L2362" s="1"/>
      <c r="M2362" s="1"/>
    </row>
    <row x14ac:dyDescent="0.25" r="2363" customHeight="1" ht="18.75">
      <c r="A2363" s="1" t="s">
        <v>3693</v>
      </c>
      <c r="B2363" s="1" t="s">
        <v>4257</v>
      </c>
      <c r="C2363" s="1" t="s">
        <v>3619</v>
      </c>
      <c r="D2363" s="1" t="s">
        <v>3601</v>
      </c>
      <c r="E2363" s="1" t="s">
        <v>3611</v>
      </c>
      <c r="F2363" s="1" t="s">
        <v>10039</v>
      </c>
      <c r="G2363" s="1" t="s">
        <v>4258</v>
      </c>
      <c r="H2363" s="1" t="s">
        <v>3604</v>
      </c>
      <c r="I2363" s="1" t="s">
        <v>10040</v>
      </c>
      <c r="J2363" s="1" t="s">
        <v>3606</v>
      </c>
      <c r="K2363" s="1"/>
      <c r="L2363" s="1"/>
      <c r="M2363" s="1"/>
    </row>
    <row x14ac:dyDescent="0.25" r="2364" customHeight="1" ht="18.75">
      <c r="A2364" s="1" t="s">
        <v>3693</v>
      </c>
      <c r="B2364" s="1" t="s">
        <v>5797</v>
      </c>
      <c r="C2364" s="1" t="s">
        <v>3619</v>
      </c>
      <c r="D2364" s="1" t="s">
        <v>533</v>
      </c>
      <c r="E2364" s="1" t="s">
        <v>3664</v>
      </c>
      <c r="F2364" s="1" t="s">
        <v>10041</v>
      </c>
      <c r="G2364" s="1" t="s">
        <v>10042</v>
      </c>
      <c r="H2364" s="1" t="s">
        <v>3604</v>
      </c>
      <c r="I2364" s="1" t="s">
        <v>10043</v>
      </c>
      <c r="J2364" s="1" t="s">
        <v>3606</v>
      </c>
      <c r="K2364" s="1" t="s">
        <v>10044</v>
      </c>
      <c r="L2364" s="1"/>
      <c r="M2364" s="1"/>
    </row>
    <row x14ac:dyDescent="0.25" r="2365" customHeight="1" ht="18.75">
      <c r="A2365" s="1" t="s">
        <v>3693</v>
      </c>
      <c r="B2365" s="1" t="s">
        <v>5974</v>
      </c>
      <c r="C2365" s="1" t="s">
        <v>3619</v>
      </c>
      <c r="D2365" s="1" t="s">
        <v>3601</v>
      </c>
      <c r="E2365" s="1" t="s">
        <v>3664</v>
      </c>
      <c r="F2365" s="1" t="s">
        <v>10045</v>
      </c>
      <c r="G2365" s="1" t="s">
        <v>10026</v>
      </c>
      <c r="H2365" s="1" t="s">
        <v>3604</v>
      </c>
      <c r="I2365" s="1" t="s">
        <v>10046</v>
      </c>
      <c r="J2365" s="1" t="s">
        <v>3606</v>
      </c>
      <c r="K2365" s="1"/>
      <c r="L2365" s="1"/>
      <c r="M2365" s="1"/>
    </row>
    <row x14ac:dyDescent="0.25" r="2366" customHeight="1" ht="18.75">
      <c r="A2366" s="1" t="s">
        <v>3693</v>
      </c>
      <c r="B2366" s="1" t="s">
        <v>5797</v>
      </c>
      <c r="C2366" s="1" t="s">
        <v>3619</v>
      </c>
      <c r="D2366" s="1" t="s">
        <v>533</v>
      </c>
      <c r="E2366" s="1" t="s">
        <v>3664</v>
      </c>
      <c r="F2366" s="1" t="s">
        <v>10047</v>
      </c>
      <c r="G2366" s="1" t="s">
        <v>10048</v>
      </c>
      <c r="H2366" s="1" t="s">
        <v>3604</v>
      </c>
      <c r="I2366" s="1" t="s">
        <v>10049</v>
      </c>
      <c r="J2366" s="1" t="s">
        <v>3606</v>
      </c>
      <c r="K2366" s="1" t="s">
        <v>10050</v>
      </c>
      <c r="L2366" s="1"/>
      <c r="M2366" s="1"/>
    </row>
    <row x14ac:dyDescent="0.25" r="2367" customHeight="1" ht="18.75">
      <c r="A2367" s="1" t="s">
        <v>3693</v>
      </c>
      <c r="B2367" s="1" t="s">
        <v>6981</v>
      </c>
      <c r="C2367" s="1" t="s">
        <v>3600</v>
      </c>
      <c r="D2367" s="1" t="s">
        <v>3610</v>
      </c>
      <c r="E2367" s="1" t="s">
        <v>3664</v>
      </c>
      <c r="F2367" s="1" t="s">
        <v>10051</v>
      </c>
      <c r="G2367" s="1" t="s">
        <v>10052</v>
      </c>
      <c r="H2367" s="1" t="s">
        <v>3604</v>
      </c>
      <c r="I2367" s="1" t="s">
        <v>10053</v>
      </c>
      <c r="J2367" s="1" t="s">
        <v>3606</v>
      </c>
      <c r="K2367" s="1" t="s">
        <v>10054</v>
      </c>
      <c r="L2367" s="1"/>
      <c r="M2367" s="1"/>
    </row>
    <row x14ac:dyDescent="0.25" r="2368" customHeight="1" ht="18.75">
      <c r="A2368" s="1" t="s">
        <v>3693</v>
      </c>
      <c r="B2368" s="1" t="s">
        <v>4208</v>
      </c>
      <c r="C2368" s="1" t="s">
        <v>3619</v>
      </c>
      <c r="D2368" s="1" t="s">
        <v>3601</v>
      </c>
      <c r="E2368" s="1" t="s">
        <v>3664</v>
      </c>
      <c r="F2368" s="1" t="s">
        <v>10055</v>
      </c>
      <c r="G2368" s="1" t="s">
        <v>10056</v>
      </c>
      <c r="H2368" s="1" t="s">
        <v>3604</v>
      </c>
      <c r="I2368" s="1" t="s">
        <v>10057</v>
      </c>
      <c r="J2368" s="1" t="s">
        <v>3606</v>
      </c>
      <c r="K2368" s="1"/>
      <c r="L2368" s="1"/>
      <c r="M2368" s="1"/>
    </row>
    <row x14ac:dyDescent="0.25" r="2369" customHeight="1" ht="18.75">
      <c r="A2369" s="1" t="s">
        <v>3693</v>
      </c>
      <c r="B2369" s="1" t="s">
        <v>4181</v>
      </c>
      <c r="C2369" s="1" t="s">
        <v>3619</v>
      </c>
      <c r="D2369" s="1" t="s">
        <v>3601</v>
      </c>
      <c r="E2369" s="1" t="s">
        <v>3664</v>
      </c>
      <c r="F2369" s="1" t="s">
        <v>10058</v>
      </c>
      <c r="G2369" s="1" t="s">
        <v>9565</v>
      </c>
      <c r="H2369" s="1" t="s">
        <v>3604</v>
      </c>
      <c r="I2369" s="1" t="s">
        <v>10059</v>
      </c>
      <c r="J2369" s="1" t="s">
        <v>3606</v>
      </c>
      <c r="K2369" s="1" t="s">
        <v>9567</v>
      </c>
      <c r="L2369" s="1"/>
      <c r="M2369" s="1"/>
    </row>
    <row x14ac:dyDescent="0.25" r="2370" customHeight="1" ht="18.75">
      <c r="A2370" s="1" t="s">
        <v>3693</v>
      </c>
      <c r="B2370" s="1" t="s">
        <v>4208</v>
      </c>
      <c r="C2370" s="1" t="s">
        <v>3619</v>
      </c>
      <c r="D2370" s="1" t="s">
        <v>3601</v>
      </c>
      <c r="E2370" s="1" t="s">
        <v>3664</v>
      </c>
      <c r="F2370" s="1" t="s">
        <v>10060</v>
      </c>
      <c r="G2370" s="1" t="s">
        <v>9407</v>
      </c>
      <c r="H2370" s="1" t="s">
        <v>3604</v>
      </c>
      <c r="I2370" s="1" t="s">
        <v>10061</v>
      </c>
      <c r="J2370" s="1" t="s">
        <v>3606</v>
      </c>
      <c r="K2370" s="1"/>
      <c r="L2370" s="1"/>
      <c r="M2370" s="1"/>
    </row>
    <row x14ac:dyDescent="0.25" r="2371" customHeight="1" ht="18.75">
      <c r="A2371" s="1" t="s">
        <v>3693</v>
      </c>
      <c r="B2371" s="1" t="s">
        <v>5974</v>
      </c>
      <c r="C2371" s="1" t="s">
        <v>3619</v>
      </c>
      <c r="D2371" s="1" t="s">
        <v>3601</v>
      </c>
      <c r="E2371" s="1" t="s">
        <v>3664</v>
      </c>
      <c r="F2371" s="1" t="s">
        <v>10062</v>
      </c>
      <c r="G2371" s="1" t="s">
        <v>9100</v>
      </c>
      <c r="H2371" s="1" t="s">
        <v>3604</v>
      </c>
      <c r="I2371" s="1" t="s">
        <v>10063</v>
      </c>
      <c r="J2371" s="1" t="s">
        <v>3606</v>
      </c>
      <c r="K2371" s="1"/>
      <c r="L2371" s="1"/>
      <c r="M2371" s="1"/>
    </row>
    <row x14ac:dyDescent="0.25" r="2372" customHeight="1" ht="18.75">
      <c r="A2372" s="1" t="s">
        <v>3693</v>
      </c>
      <c r="B2372" s="1" t="s">
        <v>4208</v>
      </c>
      <c r="C2372" s="1" t="s">
        <v>3619</v>
      </c>
      <c r="D2372" s="1" t="s">
        <v>3601</v>
      </c>
      <c r="E2372" s="1" t="s">
        <v>3664</v>
      </c>
      <c r="F2372" s="1" t="s">
        <v>10064</v>
      </c>
      <c r="G2372" s="1" t="s">
        <v>10065</v>
      </c>
      <c r="H2372" s="1" t="s">
        <v>3604</v>
      </c>
      <c r="I2372" s="1" t="s">
        <v>10066</v>
      </c>
      <c r="J2372" s="1" t="s">
        <v>3606</v>
      </c>
      <c r="K2372" s="1"/>
      <c r="L2372" s="1"/>
      <c r="M2372" s="1"/>
    </row>
    <row x14ac:dyDescent="0.25" r="2373" customHeight="1" ht="18.75">
      <c r="A2373" s="1" t="s">
        <v>3693</v>
      </c>
      <c r="B2373" s="1" t="s">
        <v>5974</v>
      </c>
      <c r="C2373" s="1" t="s">
        <v>3619</v>
      </c>
      <c r="D2373" s="1" t="s">
        <v>3601</v>
      </c>
      <c r="E2373" s="1" t="s">
        <v>3664</v>
      </c>
      <c r="F2373" s="1" t="s">
        <v>10067</v>
      </c>
      <c r="G2373" s="1" t="s">
        <v>10068</v>
      </c>
      <c r="H2373" s="1" t="s">
        <v>3604</v>
      </c>
      <c r="I2373" s="1" t="s">
        <v>10069</v>
      </c>
      <c r="J2373" s="1" t="s">
        <v>3606</v>
      </c>
      <c r="K2373" s="1"/>
      <c r="L2373" s="1"/>
      <c r="M2373" s="1"/>
    </row>
    <row x14ac:dyDescent="0.25" r="2374" customHeight="1" ht="18.75">
      <c r="A2374" s="1" t="s">
        <v>3693</v>
      </c>
      <c r="B2374" s="1" t="s">
        <v>4208</v>
      </c>
      <c r="C2374" s="1" t="s">
        <v>3619</v>
      </c>
      <c r="D2374" s="1" t="s">
        <v>3601</v>
      </c>
      <c r="E2374" s="1" t="s">
        <v>3611</v>
      </c>
      <c r="F2374" s="1" t="s">
        <v>10070</v>
      </c>
      <c r="G2374" s="1" t="s">
        <v>4209</v>
      </c>
      <c r="H2374" s="1" t="s">
        <v>3604</v>
      </c>
      <c r="I2374" s="1" t="s">
        <v>10071</v>
      </c>
      <c r="J2374" s="1" t="s">
        <v>3606</v>
      </c>
      <c r="K2374" s="1"/>
      <c r="L2374" s="1"/>
      <c r="M2374" s="1"/>
    </row>
    <row x14ac:dyDescent="0.25" r="2375" customHeight="1" ht="18.75">
      <c r="A2375" s="1" t="s">
        <v>3693</v>
      </c>
      <c r="B2375" s="1" t="s">
        <v>5974</v>
      </c>
      <c r="C2375" s="1" t="s">
        <v>3619</v>
      </c>
      <c r="D2375" s="1" t="s">
        <v>3601</v>
      </c>
      <c r="E2375" s="1" t="s">
        <v>3664</v>
      </c>
      <c r="F2375" s="1" t="s">
        <v>10072</v>
      </c>
      <c r="G2375" s="1" t="s">
        <v>10073</v>
      </c>
      <c r="H2375" s="1" t="s">
        <v>3604</v>
      </c>
      <c r="I2375" s="1" t="s">
        <v>10074</v>
      </c>
      <c r="J2375" s="1" t="s">
        <v>3606</v>
      </c>
      <c r="K2375" s="1"/>
      <c r="L2375" s="1"/>
      <c r="M2375" s="1"/>
    </row>
    <row x14ac:dyDescent="0.25" r="2376" customHeight="1" ht="18.75">
      <c r="A2376" s="1" t="s">
        <v>3693</v>
      </c>
      <c r="B2376" s="1" t="s">
        <v>4174</v>
      </c>
      <c r="C2376" s="1" t="s">
        <v>3619</v>
      </c>
      <c r="D2376" s="1" t="s">
        <v>3601</v>
      </c>
      <c r="E2376" s="1" t="s">
        <v>3664</v>
      </c>
      <c r="F2376" s="1" t="s">
        <v>10075</v>
      </c>
      <c r="G2376" s="1" t="s">
        <v>4179</v>
      </c>
      <c r="H2376" s="1" t="s">
        <v>3604</v>
      </c>
      <c r="I2376" s="1" t="s">
        <v>10076</v>
      </c>
      <c r="J2376" s="1" t="s">
        <v>3606</v>
      </c>
      <c r="K2376" s="1"/>
      <c r="L2376" s="1"/>
      <c r="M2376" s="1"/>
    </row>
    <row x14ac:dyDescent="0.25" r="2377" customHeight="1" ht="18.75">
      <c r="A2377" s="1" t="s">
        <v>3693</v>
      </c>
      <c r="B2377" s="1" t="s">
        <v>5974</v>
      </c>
      <c r="C2377" s="1" t="s">
        <v>3619</v>
      </c>
      <c r="D2377" s="1" t="s">
        <v>3601</v>
      </c>
      <c r="E2377" s="1" t="s">
        <v>3664</v>
      </c>
      <c r="F2377" s="1" t="s">
        <v>10077</v>
      </c>
      <c r="G2377" s="1" t="s">
        <v>6993</v>
      </c>
      <c r="H2377" s="1" t="s">
        <v>3604</v>
      </c>
      <c r="I2377" s="1" t="s">
        <v>10078</v>
      </c>
      <c r="J2377" s="1" t="s">
        <v>3606</v>
      </c>
      <c r="K2377" s="1"/>
      <c r="L2377" s="1"/>
      <c r="M2377" s="1"/>
    </row>
    <row x14ac:dyDescent="0.25" r="2378" customHeight="1" ht="18.75">
      <c r="A2378" s="1" t="s">
        <v>3693</v>
      </c>
      <c r="B2378" s="1" t="s">
        <v>4174</v>
      </c>
      <c r="C2378" s="1" t="s">
        <v>3619</v>
      </c>
      <c r="D2378" s="1" t="s">
        <v>3601</v>
      </c>
      <c r="E2378" s="1" t="s">
        <v>3611</v>
      </c>
      <c r="F2378" s="1" t="s">
        <v>10079</v>
      </c>
      <c r="G2378" s="1" t="s">
        <v>4172</v>
      </c>
      <c r="H2378" s="1" t="s">
        <v>3604</v>
      </c>
      <c r="I2378" s="1" t="s">
        <v>10080</v>
      </c>
      <c r="J2378" s="1" t="s">
        <v>3606</v>
      </c>
      <c r="K2378" s="1"/>
      <c r="L2378" s="1"/>
      <c r="M2378" s="1"/>
    </row>
    <row x14ac:dyDescent="0.25" r="2379" customHeight="1" ht="18.75">
      <c r="A2379" s="1" t="s">
        <v>3693</v>
      </c>
      <c r="B2379" s="1" t="s">
        <v>5974</v>
      </c>
      <c r="C2379" s="1" t="s">
        <v>3619</v>
      </c>
      <c r="D2379" s="1" t="s">
        <v>3601</v>
      </c>
      <c r="E2379" s="1" t="s">
        <v>3664</v>
      </c>
      <c r="F2379" s="1" t="s">
        <v>10081</v>
      </c>
      <c r="G2379" s="1" t="s">
        <v>10082</v>
      </c>
      <c r="H2379" s="1" t="s">
        <v>3604</v>
      </c>
      <c r="I2379" s="1" t="s">
        <v>10083</v>
      </c>
      <c r="J2379" s="1" t="s">
        <v>3606</v>
      </c>
      <c r="K2379" s="1"/>
      <c r="L2379" s="1"/>
      <c r="M2379" s="1"/>
    </row>
    <row x14ac:dyDescent="0.25" r="2380" customHeight="1" ht="18.75">
      <c r="A2380" s="1" t="s">
        <v>3693</v>
      </c>
      <c r="B2380" s="1" t="s">
        <v>4162</v>
      </c>
      <c r="C2380" s="1" t="s">
        <v>3619</v>
      </c>
      <c r="D2380" s="1" t="s">
        <v>3601</v>
      </c>
      <c r="E2380" s="1" t="s">
        <v>3664</v>
      </c>
      <c r="F2380" s="1" t="s">
        <v>10084</v>
      </c>
      <c r="G2380" s="1" t="s">
        <v>10085</v>
      </c>
      <c r="H2380" s="1" t="s">
        <v>3604</v>
      </c>
      <c r="I2380" s="1" t="s">
        <v>10086</v>
      </c>
      <c r="J2380" s="1" t="s">
        <v>3606</v>
      </c>
      <c r="K2380" s="1"/>
      <c r="L2380" s="1"/>
      <c r="M2380" s="1"/>
    </row>
    <row x14ac:dyDescent="0.25" r="2381" customHeight="1" ht="18.75">
      <c r="A2381" s="1" t="s">
        <v>3693</v>
      </c>
      <c r="B2381" s="1" t="s">
        <v>4162</v>
      </c>
      <c r="C2381" s="1" t="s">
        <v>3619</v>
      </c>
      <c r="D2381" s="1" t="s">
        <v>3601</v>
      </c>
      <c r="E2381" s="1" t="s">
        <v>3611</v>
      </c>
      <c r="F2381" s="1" t="s">
        <v>10087</v>
      </c>
      <c r="G2381" s="1" t="s">
        <v>4163</v>
      </c>
      <c r="H2381" s="1" t="s">
        <v>3604</v>
      </c>
      <c r="I2381" s="1" t="s">
        <v>10088</v>
      </c>
      <c r="J2381" s="1" t="s">
        <v>3606</v>
      </c>
      <c r="K2381" s="1"/>
      <c r="L2381" s="1"/>
      <c r="M2381" s="1"/>
    </row>
    <row x14ac:dyDescent="0.25" r="2382" customHeight="1" ht="18.75">
      <c r="A2382" s="1" t="s">
        <v>3693</v>
      </c>
      <c r="B2382" s="1" t="s">
        <v>4136</v>
      </c>
      <c r="C2382" s="1" t="s">
        <v>3619</v>
      </c>
      <c r="D2382" s="1" t="s">
        <v>533</v>
      </c>
      <c r="E2382" s="1" t="s">
        <v>3664</v>
      </c>
      <c r="F2382" s="1" t="s">
        <v>10089</v>
      </c>
      <c r="G2382" s="1" t="s">
        <v>6260</v>
      </c>
      <c r="H2382" s="1" t="s">
        <v>3604</v>
      </c>
      <c r="I2382" s="1" t="s">
        <v>10090</v>
      </c>
      <c r="J2382" s="1" t="s">
        <v>3606</v>
      </c>
      <c r="K2382" s="1" t="s">
        <v>10091</v>
      </c>
      <c r="L2382" s="1"/>
      <c r="M2382" s="1"/>
    </row>
    <row x14ac:dyDescent="0.25" r="2383" customHeight="1" ht="18.75">
      <c r="A2383" s="1" t="s">
        <v>3693</v>
      </c>
      <c r="B2383" s="1" t="s">
        <v>4136</v>
      </c>
      <c r="C2383" s="1" t="s">
        <v>3619</v>
      </c>
      <c r="D2383" s="1" t="s">
        <v>533</v>
      </c>
      <c r="E2383" s="1" t="s">
        <v>3664</v>
      </c>
      <c r="F2383" s="1" t="s">
        <v>10092</v>
      </c>
      <c r="G2383" s="1" t="s">
        <v>10093</v>
      </c>
      <c r="H2383" s="1" t="s">
        <v>3604</v>
      </c>
      <c r="I2383" s="1" t="s">
        <v>10094</v>
      </c>
      <c r="J2383" s="1" t="s">
        <v>3606</v>
      </c>
      <c r="K2383" s="1" t="s">
        <v>10095</v>
      </c>
      <c r="L2383" s="1"/>
      <c r="M2383" s="1"/>
    </row>
    <row x14ac:dyDescent="0.25" r="2384" customHeight="1" ht="18.75">
      <c r="A2384" s="1" t="s">
        <v>3598</v>
      </c>
      <c r="B2384" s="1" t="s">
        <v>3663</v>
      </c>
      <c r="C2384" s="1" t="s">
        <v>3600</v>
      </c>
      <c r="D2384" s="1" t="s">
        <v>3601</v>
      </c>
      <c r="E2384" s="1" t="s">
        <v>3664</v>
      </c>
      <c r="F2384" s="1" t="s">
        <v>10096</v>
      </c>
      <c r="G2384" s="1" t="s">
        <v>7224</v>
      </c>
      <c r="H2384" s="1" t="s">
        <v>3604</v>
      </c>
      <c r="I2384" s="1" t="s">
        <v>10097</v>
      </c>
      <c r="J2384" s="1" t="s">
        <v>3615</v>
      </c>
      <c r="K2384" s="1" t="s">
        <v>10098</v>
      </c>
      <c r="L2384" s="1"/>
      <c r="M2384" s="1"/>
    </row>
    <row x14ac:dyDescent="0.25" r="2385" customHeight="1" ht="18.75">
      <c r="A2385" s="1" t="s">
        <v>3693</v>
      </c>
      <c r="B2385" s="1" t="s">
        <v>6330</v>
      </c>
      <c r="C2385" s="1" t="s">
        <v>3619</v>
      </c>
      <c r="D2385" s="1" t="s">
        <v>3601</v>
      </c>
      <c r="E2385" s="1" t="s">
        <v>3664</v>
      </c>
      <c r="F2385" s="1" t="s">
        <v>10099</v>
      </c>
      <c r="G2385" s="1" t="s">
        <v>10100</v>
      </c>
      <c r="H2385" s="1" t="s">
        <v>3604</v>
      </c>
      <c r="I2385" s="1" t="s">
        <v>10101</v>
      </c>
      <c r="J2385" s="1" t="s">
        <v>3606</v>
      </c>
      <c r="K2385" s="1"/>
      <c r="L2385" s="1"/>
      <c r="M2385" s="1"/>
    </row>
    <row x14ac:dyDescent="0.25" r="2386" customHeight="1" ht="18.75">
      <c r="A2386" s="1" t="s">
        <v>3693</v>
      </c>
      <c r="B2386" s="1" t="s">
        <v>4136</v>
      </c>
      <c r="C2386" s="1" t="s">
        <v>3619</v>
      </c>
      <c r="D2386" s="1" t="s">
        <v>533</v>
      </c>
      <c r="E2386" s="1" t="s">
        <v>3664</v>
      </c>
      <c r="F2386" s="1" t="s">
        <v>10102</v>
      </c>
      <c r="G2386" s="1" t="s">
        <v>6214</v>
      </c>
      <c r="H2386" s="1" t="s">
        <v>3604</v>
      </c>
      <c r="I2386" s="1" t="s">
        <v>10103</v>
      </c>
      <c r="J2386" s="1" t="s">
        <v>3606</v>
      </c>
      <c r="K2386" s="1" t="s">
        <v>10104</v>
      </c>
      <c r="L2386" s="1"/>
      <c r="M2386" s="1"/>
    </row>
    <row x14ac:dyDescent="0.25" r="2387" customHeight="1" ht="18.75">
      <c r="A2387" s="1" t="s">
        <v>3598</v>
      </c>
      <c r="B2387" s="1" t="s">
        <v>3663</v>
      </c>
      <c r="C2387" s="1" t="s">
        <v>3600</v>
      </c>
      <c r="D2387" s="1" t="s">
        <v>3601</v>
      </c>
      <c r="E2387" s="1" t="s">
        <v>3664</v>
      </c>
      <c r="F2387" s="1" t="s">
        <v>10105</v>
      </c>
      <c r="G2387" s="1" t="s">
        <v>7224</v>
      </c>
      <c r="H2387" s="1" t="s">
        <v>3604</v>
      </c>
      <c r="I2387" s="1" t="s">
        <v>10106</v>
      </c>
      <c r="J2387" s="1" t="s">
        <v>3615</v>
      </c>
      <c r="K2387" s="1" t="s">
        <v>10107</v>
      </c>
      <c r="L2387" s="1"/>
      <c r="M2387" s="1"/>
    </row>
    <row x14ac:dyDescent="0.25" r="2388" customHeight="1" ht="18.75">
      <c r="A2388" s="1" t="s">
        <v>3693</v>
      </c>
      <c r="B2388" s="1" t="s">
        <v>6216</v>
      </c>
      <c r="C2388" s="1" t="s">
        <v>3619</v>
      </c>
      <c r="D2388" s="1" t="s">
        <v>533</v>
      </c>
      <c r="E2388" s="1" t="s">
        <v>3664</v>
      </c>
      <c r="F2388" s="1" t="s">
        <v>10108</v>
      </c>
      <c r="G2388" s="1" t="s">
        <v>6214</v>
      </c>
      <c r="H2388" s="1" t="s">
        <v>3604</v>
      </c>
      <c r="I2388" s="1" t="s">
        <v>10109</v>
      </c>
      <c r="J2388" s="1" t="s">
        <v>3606</v>
      </c>
      <c r="K2388" s="1" t="s">
        <v>10110</v>
      </c>
      <c r="L2388" s="1"/>
      <c r="M2388" s="1"/>
    </row>
    <row x14ac:dyDescent="0.25" r="2389" customHeight="1" ht="18.75">
      <c r="A2389" s="1" t="s">
        <v>3693</v>
      </c>
      <c r="B2389" s="1" t="s">
        <v>6216</v>
      </c>
      <c r="C2389" s="1" t="s">
        <v>3619</v>
      </c>
      <c r="D2389" s="1" t="s">
        <v>533</v>
      </c>
      <c r="E2389" s="1" t="s">
        <v>3664</v>
      </c>
      <c r="F2389" s="1" t="s">
        <v>10111</v>
      </c>
      <c r="G2389" s="1" t="s">
        <v>6222</v>
      </c>
      <c r="H2389" s="1" t="s">
        <v>3604</v>
      </c>
      <c r="I2389" s="1" t="s">
        <v>10112</v>
      </c>
      <c r="J2389" s="1" t="s">
        <v>3606</v>
      </c>
      <c r="K2389" s="1" t="s">
        <v>10113</v>
      </c>
      <c r="L2389" s="1"/>
      <c r="M2389" s="1"/>
    </row>
    <row x14ac:dyDescent="0.25" r="2390" customHeight="1" ht="18.75">
      <c r="A2390" s="1" t="s">
        <v>3693</v>
      </c>
      <c r="B2390" s="1" t="s">
        <v>6216</v>
      </c>
      <c r="C2390" s="1" t="s">
        <v>3619</v>
      </c>
      <c r="D2390" s="1" t="s">
        <v>533</v>
      </c>
      <c r="E2390" s="1" t="s">
        <v>3664</v>
      </c>
      <c r="F2390" s="1" t="s">
        <v>10114</v>
      </c>
      <c r="G2390" s="1" t="s">
        <v>6222</v>
      </c>
      <c r="H2390" s="1" t="s">
        <v>3604</v>
      </c>
      <c r="I2390" s="1" t="s">
        <v>10115</v>
      </c>
      <c r="J2390" s="1" t="s">
        <v>3606</v>
      </c>
      <c r="K2390" s="1" t="s">
        <v>10116</v>
      </c>
      <c r="L2390" s="1"/>
      <c r="M2390" s="1"/>
    </row>
    <row x14ac:dyDescent="0.25" r="2391" customHeight="1" ht="18.75">
      <c r="A2391" s="1" t="s">
        <v>3693</v>
      </c>
      <c r="B2391" s="1" t="s">
        <v>4083</v>
      </c>
      <c r="C2391" s="1" t="s">
        <v>3600</v>
      </c>
      <c r="D2391" s="1" t="s">
        <v>3695</v>
      </c>
      <c r="E2391" s="1" t="s">
        <v>3893</v>
      </c>
      <c r="F2391" s="1" t="s">
        <v>10117</v>
      </c>
      <c r="G2391" s="1" t="s">
        <v>10118</v>
      </c>
      <c r="H2391" s="1" t="s">
        <v>3604</v>
      </c>
      <c r="I2391" s="1" t="s">
        <v>10119</v>
      </c>
      <c r="J2391" s="1" t="s">
        <v>3606</v>
      </c>
      <c r="K2391" s="1" t="s">
        <v>10120</v>
      </c>
      <c r="L2391" s="1"/>
      <c r="M2391" s="1"/>
    </row>
    <row x14ac:dyDescent="0.25" r="2392" customHeight="1" ht="18.75">
      <c r="A2392" s="1" t="s">
        <v>3693</v>
      </c>
      <c r="B2392" s="1" t="s">
        <v>4083</v>
      </c>
      <c r="C2392" s="1" t="s">
        <v>3600</v>
      </c>
      <c r="D2392" s="1" t="s">
        <v>3695</v>
      </c>
      <c r="E2392" s="1" t="s">
        <v>3893</v>
      </c>
      <c r="F2392" s="1" t="s">
        <v>10121</v>
      </c>
      <c r="G2392" s="1" t="s">
        <v>10118</v>
      </c>
      <c r="H2392" s="1" t="s">
        <v>3604</v>
      </c>
      <c r="I2392" s="1" t="s">
        <v>10122</v>
      </c>
      <c r="J2392" s="1" t="s">
        <v>3606</v>
      </c>
      <c r="K2392" s="1" t="s">
        <v>10120</v>
      </c>
      <c r="L2392" s="1"/>
      <c r="M2392" s="1"/>
    </row>
    <row x14ac:dyDescent="0.25" r="2393" customHeight="1" ht="18.75">
      <c r="A2393" s="1" t="s">
        <v>3693</v>
      </c>
      <c r="B2393" s="1" t="s">
        <v>6330</v>
      </c>
      <c r="C2393" s="1" t="s">
        <v>3619</v>
      </c>
      <c r="D2393" s="1" t="s">
        <v>3601</v>
      </c>
      <c r="E2393" s="1" t="s">
        <v>3664</v>
      </c>
      <c r="F2393" s="1" t="s">
        <v>10123</v>
      </c>
      <c r="G2393" s="1" t="s">
        <v>10124</v>
      </c>
      <c r="H2393" s="1" t="s">
        <v>3604</v>
      </c>
      <c r="I2393" s="1" t="s">
        <v>10125</v>
      </c>
      <c r="J2393" s="1" t="s">
        <v>3606</v>
      </c>
      <c r="K2393" s="1"/>
      <c r="L2393" s="1"/>
      <c r="M2393" s="1"/>
    </row>
    <row x14ac:dyDescent="0.25" r="2394" customHeight="1" ht="18.75">
      <c r="A2394" s="1" t="s">
        <v>3693</v>
      </c>
      <c r="B2394" s="1" t="s">
        <v>5797</v>
      </c>
      <c r="C2394" s="1" t="s">
        <v>3619</v>
      </c>
      <c r="D2394" s="1" t="s">
        <v>3601</v>
      </c>
      <c r="E2394" s="1" t="s">
        <v>3664</v>
      </c>
      <c r="F2394" s="1" t="s">
        <v>10126</v>
      </c>
      <c r="G2394" s="1" t="s">
        <v>6243</v>
      </c>
      <c r="H2394" s="1" t="s">
        <v>3604</v>
      </c>
      <c r="I2394" s="1" t="s">
        <v>10127</v>
      </c>
      <c r="J2394" s="1" t="s">
        <v>3606</v>
      </c>
      <c r="K2394" s="1"/>
      <c r="L2394" s="1"/>
      <c r="M2394" s="1"/>
    </row>
    <row x14ac:dyDescent="0.25" r="2395" customHeight="1" ht="18.75">
      <c r="A2395" s="1" t="s">
        <v>3693</v>
      </c>
      <c r="B2395" s="1" t="s">
        <v>6330</v>
      </c>
      <c r="C2395" s="1" t="s">
        <v>3619</v>
      </c>
      <c r="D2395" s="1" t="s">
        <v>3601</v>
      </c>
      <c r="E2395" s="1" t="s">
        <v>3611</v>
      </c>
      <c r="F2395" s="1" t="s">
        <v>10128</v>
      </c>
      <c r="G2395" s="1" t="s">
        <v>10129</v>
      </c>
      <c r="H2395" s="1" t="s">
        <v>3604</v>
      </c>
      <c r="I2395" s="1" t="s">
        <v>10130</v>
      </c>
      <c r="J2395" s="1" t="s">
        <v>3606</v>
      </c>
      <c r="K2395" s="1"/>
      <c r="L2395" s="1"/>
      <c r="M2395" s="1"/>
    </row>
    <row x14ac:dyDescent="0.25" r="2396" customHeight="1" ht="18.75">
      <c r="A2396" s="1" t="s">
        <v>3693</v>
      </c>
      <c r="B2396" s="1" t="s">
        <v>5797</v>
      </c>
      <c r="C2396" s="1" t="s">
        <v>3619</v>
      </c>
      <c r="D2396" s="1" t="s">
        <v>3601</v>
      </c>
      <c r="E2396" s="1" t="s">
        <v>3664</v>
      </c>
      <c r="F2396" s="1" t="s">
        <v>10131</v>
      </c>
      <c r="G2396" s="1" t="s">
        <v>10132</v>
      </c>
      <c r="H2396" s="1" t="s">
        <v>3604</v>
      </c>
      <c r="I2396" s="1" t="s">
        <v>10133</v>
      </c>
      <c r="J2396" s="1" t="s">
        <v>3606</v>
      </c>
      <c r="K2396" s="1"/>
      <c r="L2396" s="1"/>
      <c r="M2396" s="1"/>
    </row>
    <row x14ac:dyDescent="0.25" r="2397" customHeight="1" ht="18.75">
      <c r="A2397" s="1" t="s">
        <v>3693</v>
      </c>
      <c r="B2397" s="1" t="s">
        <v>4229</v>
      </c>
      <c r="C2397" s="1" t="s">
        <v>3619</v>
      </c>
      <c r="D2397" s="1" t="s">
        <v>3601</v>
      </c>
      <c r="E2397" s="1" t="s">
        <v>3664</v>
      </c>
      <c r="F2397" s="1" t="s">
        <v>10134</v>
      </c>
      <c r="G2397" s="1" t="s">
        <v>10135</v>
      </c>
      <c r="H2397" s="1" t="s">
        <v>3604</v>
      </c>
      <c r="I2397" s="1" t="s">
        <v>10136</v>
      </c>
      <c r="J2397" s="1" t="s">
        <v>3606</v>
      </c>
      <c r="K2397" s="1"/>
      <c r="L2397" s="1"/>
      <c r="M2397" s="1"/>
    </row>
    <row x14ac:dyDescent="0.25" r="2398" customHeight="1" ht="18.75">
      <c r="A2398" s="1" t="s">
        <v>3693</v>
      </c>
      <c r="B2398" s="1" t="s">
        <v>5797</v>
      </c>
      <c r="C2398" s="1" t="s">
        <v>3619</v>
      </c>
      <c r="D2398" s="1" t="s">
        <v>3601</v>
      </c>
      <c r="E2398" s="1" t="s">
        <v>3664</v>
      </c>
      <c r="F2398" s="1" t="s">
        <v>10137</v>
      </c>
      <c r="G2398" s="1" t="s">
        <v>10138</v>
      </c>
      <c r="H2398" s="1" t="s">
        <v>3604</v>
      </c>
      <c r="I2398" s="1" t="s">
        <v>10139</v>
      </c>
      <c r="J2398" s="1" t="s">
        <v>3606</v>
      </c>
      <c r="K2398" s="1"/>
      <c r="L2398" s="1"/>
      <c r="M2398" s="1"/>
    </row>
    <row x14ac:dyDescent="0.25" r="2399" customHeight="1" ht="18.75">
      <c r="A2399" s="1" t="s">
        <v>3693</v>
      </c>
      <c r="B2399" s="1" t="s">
        <v>4229</v>
      </c>
      <c r="C2399" s="1" t="s">
        <v>3619</v>
      </c>
      <c r="D2399" s="1" t="s">
        <v>3601</v>
      </c>
      <c r="E2399" s="1" t="s">
        <v>3664</v>
      </c>
      <c r="F2399" s="1" t="s">
        <v>10140</v>
      </c>
      <c r="G2399" s="1" t="s">
        <v>10141</v>
      </c>
      <c r="H2399" s="1" t="s">
        <v>3604</v>
      </c>
      <c r="I2399" s="1" t="s">
        <v>10142</v>
      </c>
      <c r="J2399" s="1" t="s">
        <v>3606</v>
      </c>
      <c r="K2399" s="1"/>
      <c r="L2399" s="1"/>
      <c r="M2399" s="1"/>
    </row>
    <row x14ac:dyDescent="0.25" r="2400" customHeight="1" ht="18.75">
      <c r="A2400" s="1" t="s">
        <v>3693</v>
      </c>
      <c r="B2400" s="1" t="s">
        <v>5797</v>
      </c>
      <c r="C2400" s="1" t="s">
        <v>3619</v>
      </c>
      <c r="D2400" s="1" t="s">
        <v>3601</v>
      </c>
      <c r="E2400" s="1" t="s">
        <v>3664</v>
      </c>
      <c r="F2400" s="1" t="s">
        <v>10143</v>
      </c>
      <c r="G2400" s="1" t="s">
        <v>10144</v>
      </c>
      <c r="H2400" s="1" t="s">
        <v>3604</v>
      </c>
      <c r="I2400" s="1" t="s">
        <v>10145</v>
      </c>
      <c r="J2400" s="1" t="s">
        <v>3606</v>
      </c>
      <c r="K2400" s="1"/>
      <c r="L2400" s="1"/>
      <c r="M2400" s="1"/>
    </row>
    <row x14ac:dyDescent="0.25" r="2401" customHeight="1" ht="18.75">
      <c r="A2401" s="1" t="s">
        <v>3693</v>
      </c>
      <c r="B2401" s="1" t="s">
        <v>4229</v>
      </c>
      <c r="C2401" s="1" t="s">
        <v>3619</v>
      </c>
      <c r="D2401" s="1" t="s">
        <v>3601</v>
      </c>
      <c r="E2401" s="1" t="s">
        <v>3664</v>
      </c>
      <c r="F2401" s="1" t="s">
        <v>10146</v>
      </c>
      <c r="G2401" s="1" t="s">
        <v>10147</v>
      </c>
      <c r="H2401" s="1" t="s">
        <v>3604</v>
      </c>
      <c r="I2401" s="1" t="s">
        <v>10148</v>
      </c>
      <c r="J2401" s="1" t="s">
        <v>3606</v>
      </c>
      <c r="K2401" s="1"/>
      <c r="L2401" s="1"/>
      <c r="M2401" s="1"/>
    </row>
    <row x14ac:dyDescent="0.25" r="2402" customHeight="1" ht="18.75">
      <c r="A2402" s="1" t="s">
        <v>3693</v>
      </c>
      <c r="B2402" s="1" t="s">
        <v>4332</v>
      </c>
      <c r="C2402" s="1" t="s">
        <v>3600</v>
      </c>
      <c r="D2402" s="1" t="s">
        <v>3695</v>
      </c>
      <c r="E2402" s="1" t="s">
        <v>3893</v>
      </c>
      <c r="F2402" s="1" t="s">
        <v>10149</v>
      </c>
      <c r="G2402" s="1" t="s">
        <v>5644</v>
      </c>
      <c r="H2402" s="1" t="s">
        <v>3604</v>
      </c>
      <c r="I2402" s="1" t="s">
        <v>10150</v>
      </c>
      <c r="J2402" s="1" t="s">
        <v>3606</v>
      </c>
      <c r="K2402" s="1" t="s">
        <v>10151</v>
      </c>
      <c r="L2402" s="1"/>
      <c r="M2402" s="1"/>
    </row>
    <row x14ac:dyDescent="0.25" r="2403" customHeight="1" ht="18.75">
      <c r="A2403" s="1" t="s">
        <v>3693</v>
      </c>
      <c r="B2403" s="1" t="s">
        <v>4229</v>
      </c>
      <c r="C2403" s="1" t="s">
        <v>3619</v>
      </c>
      <c r="D2403" s="1" t="s">
        <v>3601</v>
      </c>
      <c r="E2403" s="1" t="s">
        <v>3611</v>
      </c>
      <c r="F2403" s="1" t="s">
        <v>10152</v>
      </c>
      <c r="G2403" s="1" t="s">
        <v>4230</v>
      </c>
      <c r="H2403" s="1" t="s">
        <v>3604</v>
      </c>
      <c r="I2403" s="1" t="s">
        <v>10153</v>
      </c>
      <c r="J2403" s="1" t="s">
        <v>3606</v>
      </c>
      <c r="K2403" s="1"/>
      <c r="L2403" s="1"/>
      <c r="M2403" s="1"/>
    </row>
    <row x14ac:dyDescent="0.25" r="2404" customHeight="1" ht="18.75">
      <c r="A2404" s="1" t="s">
        <v>3693</v>
      </c>
      <c r="B2404" s="1" t="s">
        <v>4332</v>
      </c>
      <c r="C2404" s="1" t="s">
        <v>3600</v>
      </c>
      <c r="D2404" s="1" t="s">
        <v>3695</v>
      </c>
      <c r="E2404" s="1" t="s">
        <v>3893</v>
      </c>
      <c r="F2404" s="1" t="s">
        <v>10154</v>
      </c>
      <c r="G2404" s="1" t="s">
        <v>5644</v>
      </c>
      <c r="H2404" s="1" t="s">
        <v>3604</v>
      </c>
      <c r="I2404" s="1" t="s">
        <v>10155</v>
      </c>
      <c r="J2404" s="1" t="s">
        <v>3606</v>
      </c>
      <c r="K2404" s="1" t="s">
        <v>10156</v>
      </c>
      <c r="L2404" s="1"/>
      <c r="M2404" s="1"/>
    </row>
    <row x14ac:dyDescent="0.25" r="2405" customHeight="1" ht="18.75">
      <c r="A2405" s="1" t="s">
        <v>3693</v>
      </c>
      <c r="B2405" s="1" t="s">
        <v>4332</v>
      </c>
      <c r="C2405" s="1" t="s">
        <v>3600</v>
      </c>
      <c r="D2405" s="1" t="s">
        <v>3695</v>
      </c>
      <c r="E2405" s="1" t="s">
        <v>3893</v>
      </c>
      <c r="F2405" s="1" t="s">
        <v>10157</v>
      </c>
      <c r="G2405" s="1" t="s">
        <v>5644</v>
      </c>
      <c r="H2405" s="1" t="s">
        <v>3604</v>
      </c>
      <c r="I2405" s="1" t="s">
        <v>10158</v>
      </c>
      <c r="J2405" s="1" t="s">
        <v>3606</v>
      </c>
      <c r="K2405" s="1" t="s">
        <v>10159</v>
      </c>
      <c r="L2405" s="1"/>
      <c r="M2405" s="1"/>
    </row>
    <row x14ac:dyDescent="0.25" r="2406" customHeight="1" ht="18.75">
      <c r="A2406" s="1" t="s">
        <v>3693</v>
      </c>
      <c r="B2406" s="1" t="s">
        <v>4144</v>
      </c>
      <c r="C2406" s="1" t="s">
        <v>3619</v>
      </c>
      <c r="D2406" s="1" t="s">
        <v>3601</v>
      </c>
      <c r="E2406" s="1" t="s">
        <v>3664</v>
      </c>
      <c r="F2406" s="1" t="s">
        <v>10160</v>
      </c>
      <c r="G2406" s="1" t="s">
        <v>10161</v>
      </c>
      <c r="H2406" s="1" t="s">
        <v>3604</v>
      </c>
      <c r="I2406" s="1" t="s">
        <v>10162</v>
      </c>
      <c r="J2406" s="1" t="s">
        <v>3606</v>
      </c>
      <c r="K2406" s="1"/>
      <c r="L2406" s="1"/>
      <c r="M2406" s="1"/>
    </row>
    <row x14ac:dyDescent="0.25" r="2407" customHeight="1" ht="18.75">
      <c r="A2407" s="1" t="s">
        <v>3693</v>
      </c>
      <c r="B2407" s="1" t="s">
        <v>4267</v>
      </c>
      <c r="C2407" s="1" t="s">
        <v>3600</v>
      </c>
      <c r="D2407" s="1" t="s">
        <v>3601</v>
      </c>
      <c r="E2407" s="1" t="s">
        <v>3893</v>
      </c>
      <c r="F2407" s="1" t="s">
        <v>10163</v>
      </c>
      <c r="G2407" s="1" t="s">
        <v>10164</v>
      </c>
      <c r="H2407" s="1" t="s">
        <v>3604</v>
      </c>
      <c r="I2407" s="1" t="s">
        <v>10165</v>
      </c>
      <c r="J2407" s="1" t="s">
        <v>3615</v>
      </c>
      <c r="K2407" s="1" t="s">
        <v>10166</v>
      </c>
      <c r="L2407" s="1"/>
      <c r="M2407" s="1"/>
    </row>
    <row x14ac:dyDescent="0.25" r="2408" customHeight="1" ht="18.75">
      <c r="A2408" s="1" t="s">
        <v>3693</v>
      </c>
      <c r="B2408" s="1" t="s">
        <v>4091</v>
      </c>
      <c r="C2408" s="1" t="s">
        <v>3600</v>
      </c>
      <c r="D2408" s="1" t="s">
        <v>3695</v>
      </c>
      <c r="E2408" s="1" t="s">
        <v>3893</v>
      </c>
      <c r="F2408" s="1" t="s">
        <v>10167</v>
      </c>
      <c r="G2408" s="1" t="s">
        <v>10168</v>
      </c>
      <c r="H2408" s="1" t="s">
        <v>3604</v>
      </c>
      <c r="I2408" s="1" t="s">
        <v>10169</v>
      </c>
      <c r="J2408" s="1" t="s">
        <v>3606</v>
      </c>
      <c r="K2408" s="1" t="s">
        <v>10170</v>
      </c>
      <c r="L2408" s="1"/>
      <c r="M2408" s="1"/>
    </row>
    <row x14ac:dyDescent="0.25" r="2409" customHeight="1" ht="18.75">
      <c r="A2409" s="1" t="s">
        <v>3693</v>
      </c>
      <c r="B2409" s="1" t="s">
        <v>4144</v>
      </c>
      <c r="C2409" s="1" t="s">
        <v>3619</v>
      </c>
      <c r="D2409" s="1" t="s">
        <v>3601</v>
      </c>
      <c r="E2409" s="1" t="s">
        <v>3611</v>
      </c>
      <c r="F2409" s="1" t="s">
        <v>10171</v>
      </c>
      <c r="G2409" s="1" t="s">
        <v>4145</v>
      </c>
      <c r="H2409" s="1" t="s">
        <v>3604</v>
      </c>
      <c r="I2409" s="1" t="s">
        <v>10172</v>
      </c>
      <c r="J2409" s="1" t="s">
        <v>3606</v>
      </c>
      <c r="K2409" s="1"/>
      <c r="L2409" s="1"/>
      <c r="M2409" s="1"/>
    </row>
    <row x14ac:dyDescent="0.25" r="2410" customHeight="1" ht="18.75">
      <c r="A2410" s="1" t="s">
        <v>3693</v>
      </c>
      <c r="B2410" s="1" t="s">
        <v>7030</v>
      </c>
      <c r="C2410" s="1" t="s">
        <v>3600</v>
      </c>
      <c r="D2410" s="1" t="s">
        <v>3601</v>
      </c>
      <c r="E2410" s="1" t="s">
        <v>3664</v>
      </c>
      <c r="F2410" s="1" t="s">
        <v>10173</v>
      </c>
      <c r="G2410" s="1" t="s">
        <v>10174</v>
      </c>
      <c r="H2410" s="1" t="s">
        <v>3604</v>
      </c>
      <c r="I2410" s="1" t="s">
        <v>10175</v>
      </c>
      <c r="J2410" s="1" t="s">
        <v>3615</v>
      </c>
      <c r="K2410" s="1" t="s">
        <v>10176</v>
      </c>
      <c r="L2410" s="1"/>
      <c r="M2410" s="1"/>
    </row>
    <row x14ac:dyDescent="0.25" r="2411" customHeight="1" ht="18.75">
      <c r="A2411" s="1" t="s">
        <v>3693</v>
      </c>
      <c r="B2411" s="1" t="s">
        <v>4091</v>
      </c>
      <c r="C2411" s="1" t="s">
        <v>3600</v>
      </c>
      <c r="D2411" s="1" t="s">
        <v>3695</v>
      </c>
      <c r="E2411" s="1" t="s">
        <v>3893</v>
      </c>
      <c r="F2411" s="1" t="s">
        <v>10177</v>
      </c>
      <c r="G2411" s="1" t="s">
        <v>10168</v>
      </c>
      <c r="H2411" s="1" t="s">
        <v>3604</v>
      </c>
      <c r="I2411" s="1" t="s">
        <v>10178</v>
      </c>
      <c r="J2411" s="1" t="s">
        <v>3606</v>
      </c>
      <c r="K2411" s="1" t="s">
        <v>10170</v>
      </c>
      <c r="L2411" s="1"/>
      <c r="M2411" s="1"/>
    </row>
    <row x14ac:dyDescent="0.25" r="2412" customHeight="1" ht="18.75">
      <c r="A2412" s="1" t="s">
        <v>3693</v>
      </c>
      <c r="B2412" s="1" t="s">
        <v>4267</v>
      </c>
      <c r="C2412" s="1" t="s">
        <v>3600</v>
      </c>
      <c r="D2412" s="1" t="s">
        <v>3601</v>
      </c>
      <c r="E2412" s="1" t="s">
        <v>3893</v>
      </c>
      <c r="F2412" s="1" t="s">
        <v>10179</v>
      </c>
      <c r="G2412" s="1" t="s">
        <v>10164</v>
      </c>
      <c r="H2412" s="1" t="s">
        <v>3604</v>
      </c>
      <c r="I2412" s="1" t="s">
        <v>10180</v>
      </c>
      <c r="J2412" s="1" t="s">
        <v>3606</v>
      </c>
      <c r="K2412" s="1" t="s">
        <v>10181</v>
      </c>
      <c r="L2412" s="1"/>
      <c r="M2412" s="1"/>
    </row>
    <row x14ac:dyDescent="0.25" r="2413" customHeight="1" ht="18.75">
      <c r="A2413" s="1" t="s">
        <v>3693</v>
      </c>
      <c r="B2413" s="1" t="s">
        <v>4091</v>
      </c>
      <c r="C2413" s="1" t="s">
        <v>3600</v>
      </c>
      <c r="D2413" s="1" t="s">
        <v>3695</v>
      </c>
      <c r="E2413" s="1" t="s">
        <v>3893</v>
      </c>
      <c r="F2413" s="1" t="s">
        <v>10182</v>
      </c>
      <c r="G2413" s="1" t="s">
        <v>10183</v>
      </c>
      <c r="H2413" s="1" t="s">
        <v>3604</v>
      </c>
      <c r="I2413" s="1" t="s">
        <v>10184</v>
      </c>
      <c r="J2413" s="1" t="s">
        <v>3606</v>
      </c>
      <c r="K2413" s="1" t="s">
        <v>10185</v>
      </c>
      <c r="L2413" s="1"/>
      <c r="M2413" s="1"/>
    </row>
    <row x14ac:dyDescent="0.25" r="2414" customHeight="1" ht="18.75">
      <c r="A2414" s="1" t="s">
        <v>3693</v>
      </c>
      <c r="B2414" s="1" t="s">
        <v>5797</v>
      </c>
      <c r="C2414" s="1" t="s">
        <v>3619</v>
      </c>
      <c r="D2414" s="1" t="s">
        <v>3601</v>
      </c>
      <c r="E2414" s="1" t="s">
        <v>3664</v>
      </c>
      <c r="F2414" s="1" t="s">
        <v>10186</v>
      </c>
      <c r="G2414" s="1" t="s">
        <v>10187</v>
      </c>
      <c r="H2414" s="1" t="s">
        <v>3604</v>
      </c>
      <c r="I2414" s="1" t="s">
        <v>10188</v>
      </c>
      <c r="J2414" s="1" t="s">
        <v>3606</v>
      </c>
      <c r="K2414" s="1"/>
      <c r="L2414" s="1"/>
      <c r="M2414" s="1"/>
    </row>
    <row x14ac:dyDescent="0.25" r="2415" customHeight="1" ht="18.75">
      <c r="A2415" s="1" t="s">
        <v>3693</v>
      </c>
      <c r="B2415" s="1" t="s">
        <v>4091</v>
      </c>
      <c r="C2415" s="1" t="s">
        <v>3600</v>
      </c>
      <c r="D2415" s="1" t="s">
        <v>3695</v>
      </c>
      <c r="E2415" s="1" t="s">
        <v>3893</v>
      </c>
      <c r="F2415" s="1" t="s">
        <v>10189</v>
      </c>
      <c r="G2415" s="1" t="s">
        <v>10183</v>
      </c>
      <c r="H2415" s="1" t="s">
        <v>3604</v>
      </c>
      <c r="I2415" s="1" t="s">
        <v>10190</v>
      </c>
      <c r="J2415" s="1" t="s">
        <v>3606</v>
      </c>
      <c r="K2415" s="1" t="s">
        <v>10185</v>
      </c>
      <c r="L2415" s="1"/>
      <c r="M2415" s="1"/>
    </row>
    <row x14ac:dyDescent="0.25" r="2416" customHeight="1" ht="18.75">
      <c r="A2416" s="1" t="s">
        <v>3693</v>
      </c>
      <c r="B2416" s="1" t="s">
        <v>4267</v>
      </c>
      <c r="C2416" s="1" t="s">
        <v>3600</v>
      </c>
      <c r="D2416" s="1" t="s">
        <v>3601</v>
      </c>
      <c r="E2416" s="1" t="s">
        <v>3611</v>
      </c>
      <c r="F2416" s="1" t="s">
        <v>10191</v>
      </c>
      <c r="G2416" s="1" t="s">
        <v>5295</v>
      </c>
      <c r="H2416" s="1" t="s">
        <v>3604</v>
      </c>
      <c r="I2416" s="1" t="s">
        <v>10192</v>
      </c>
      <c r="J2416" s="1" t="s">
        <v>3615</v>
      </c>
      <c r="K2416" s="1" t="s">
        <v>10166</v>
      </c>
      <c r="L2416" s="1"/>
      <c r="M2416" s="1"/>
    </row>
    <row x14ac:dyDescent="0.25" r="2417" customHeight="1" ht="18.75">
      <c r="A2417" s="1" t="s">
        <v>3693</v>
      </c>
      <c r="B2417" s="1" t="s">
        <v>5797</v>
      </c>
      <c r="C2417" s="1" t="s">
        <v>3619</v>
      </c>
      <c r="D2417" s="1" t="s">
        <v>3601</v>
      </c>
      <c r="E2417" s="1" t="s">
        <v>3664</v>
      </c>
      <c r="F2417" s="1" t="s">
        <v>10193</v>
      </c>
      <c r="G2417" s="1" t="s">
        <v>5802</v>
      </c>
      <c r="H2417" s="1" t="s">
        <v>3604</v>
      </c>
      <c r="I2417" s="1" t="s">
        <v>10194</v>
      </c>
      <c r="J2417" s="1" t="s">
        <v>3606</v>
      </c>
      <c r="K2417" s="1"/>
      <c r="L2417" s="1"/>
      <c r="M2417" s="1"/>
    </row>
    <row x14ac:dyDescent="0.25" r="2418" customHeight="1" ht="18.75">
      <c r="A2418" s="1" t="s">
        <v>3693</v>
      </c>
      <c r="B2418" s="1" t="s">
        <v>4181</v>
      </c>
      <c r="C2418" s="1" t="s">
        <v>3619</v>
      </c>
      <c r="D2418" s="1" t="s">
        <v>3601</v>
      </c>
      <c r="E2418" s="1" t="s">
        <v>3664</v>
      </c>
      <c r="F2418" s="1" t="s">
        <v>10195</v>
      </c>
      <c r="G2418" s="1" t="s">
        <v>10196</v>
      </c>
      <c r="H2418" s="1" t="s">
        <v>3604</v>
      </c>
      <c r="I2418" s="1" t="s">
        <v>10197</v>
      </c>
      <c r="J2418" s="1" t="s">
        <v>3606</v>
      </c>
      <c r="K2418" s="1"/>
      <c r="L2418" s="1"/>
      <c r="M2418" s="1"/>
    </row>
    <row x14ac:dyDescent="0.25" r="2419" customHeight="1" ht="18.75">
      <c r="A2419" s="1" t="s">
        <v>3693</v>
      </c>
      <c r="B2419" s="1" t="s">
        <v>4083</v>
      </c>
      <c r="C2419" s="1" t="s">
        <v>3600</v>
      </c>
      <c r="D2419" s="1" t="s">
        <v>3695</v>
      </c>
      <c r="E2419" s="1" t="s">
        <v>3893</v>
      </c>
      <c r="F2419" s="1" t="s">
        <v>10198</v>
      </c>
      <c r="G2419" s="1" t="s">
        <v>5093</v>
      </c>
      <c r="H2419" s="1" t="s">
        <v>3604</v>
      </c>
      <c r="I2419" s="1" t="s">
        <v>10199</v>
      </c>
      <c r="J2419" s="1" t="s">
        <v>3615</v>
      </c>
      <c r="K2419" s="1" t="s">
        <v>10200</v>
      </c>
      <c r="L2419" s="1"/>
      <c r="M2419" s="1"/>
    </row>
    <row x14ac:dyDescent="0.25" r="2420" customHeight="1" ht="18.75">
      <c r="A2420" s="1" t="s">
        <v>3693</v>
      </c>
      <c r="B2420" s="1" t="s">
        <v>4181</v>
      </c>
      <c r="C2420" s="1" t="s">
        <v>3619</v>
      </c>
      <c r="D2420" s="1" t="s">
        <v>3601</v>
      </c>
      <c r="E2420" s="1" t="s">
        <v>3664</v>
      </c>
      <c r="F2420" s="1" t="s">
        <v>10201</v>
      </c>
      <c r="G2420" s="1" t="s">
        <v>10202</v>
      </c>
      <c r="H2420" s="1" t="s">
        <v>3604</v>
      </c>
      <c r="I2420" s="1" t="s">
        <v>10203</v>
      </c>
      <c r="J2420" s="1" t="s">
        <v>3606</v>
      </c>
      <c r="K2420" s="1"/>
      <c r="L2420" s="1"/>
      <c r="M2420" s="1"/>
    </row>
    <row x14ac:dyDescent="0.25" r="2421" customHeight="1" ht="18.75">
      <c r="A2421" s="1" t="s">
        <v>3693</v>
      </c>
      <c r="B2421" s="1" t="s">
        <v>4181</v>
      </c>
      <c r="C2421" s="1" t="s">
        <v>3619</v>
      </c>
      <c r="D2421" s="1" t="s">
        <v>3601</v>
      </c>
      <c r="E2421" s="1" t="s">
        <v>3664</v>
      </c>
      <c r="F2421" s="1" t="s">
        <v>10204</v>
      </c>
      <c r="G2421" s="1" t="s">
        <v>10205</v>
      </c>
      <c r="H2421" s="1" t="s">
        <v>3604</v>
      </c>
      <c r="I2421" s="1" t="s">
        <v>10206</v>
      </c>
      <c r="J2421" s="1" t="s">
        <v>3606</v>
      </c>
      <c r="K2421" s="1"/>
      <c r="L2421" s="1"/>
      <c r="M2421" s="1"/>
    </row>
    <row x14ac:dyDescent="0.25" r="2422" customHeight="1" ht="18.75">
      <c r="A2422" s="1" t="s">
        <v>3693</v>
      </c>
      <c r="B2422" s="1" t="s">
        <v>4332</v>
      </c>
      <c r="C2422" s="1" t="s">
        <v>3600</v>
      </c>
      <c r="D2422" s="1" t="s">
        <v>3695</v>
      </c>
      <c r="E2422" s="1" t="s">
        <v>3893</v>
      </c>
      <c r="F2422" s="1" t="s">
        <v>10207</v>
      </c>
      <c r="G2422" s="1" t="s">
        <v>10208</v>
      </c>
      <c r="H2422" s="1" t="s">
        <v>3604</v>
      </c>
      <c r="I2422" s="1" t="s">
        <v>10209</v>
      </c>
      <c r="J2422" s="1" t="s">
        <v>3606</v>
      </c>
      <c r="K2422" s="1" t="s">
        <v>10210</v>
      </c>
      <c r="L2422" s="1"/>
      <c r="M2422" s="1"/>
    </row>
    <row x14ac:dyDescent="0.25" r="2423" customHeight="1" ht="18.75">
      <c r="A2423" s="1" t="s">
        <v>3693</v>
      </c>
      <c r="B2423" s="1" t="s">
        <v>4181</v>
      </c>
      <c r="C2423" s="1" t="s">
        <v>3619</v>
      </c>
      <c r="D2423" s="1" t="s">
        <v>3601</v>
      </c>
      <c r="E2423" s="1" t="s">
        <v>3664</v>
      </c>
      <c r="F2423" s="1" t="s">
        <v>10211</v>
      </c>
      <c r="G2423" s="1" t="s">
        <v>10212</v>
      </c>
      <c r="H2423" s="1" t="s">
        <v>3604</v>
      </c>
      <c r="I2423" s="1" t="s">
        <v>10213</v>
      </c>
      <c r="J2423" s="1" t="s">
        <v>3606</v>
      </c>
      <c r="K2423" s="1"/>
      <c r="L2423" s="1"/>
      <c r="M2423" s="1"/>
    </row>
    <row x14ac:dyDescent="0.25" r="2424" customHeight="1" ht="18.75">
      <c r="A2424" s="1" t="s">
        <v>3693</v>
      </c>
      <c r="B2424" s="1" t="s">
        <v>4181</v>
      </c>
      <c r="C2424" s="1" t="s">
        <v>3619</v>
      </c>
      <c r="D2424" s="1" t="s">
        <v>3601</v>
      </c>
      <c r="E2424" s="1" t="s">
        <v>3664</v>
      </c>
      <c r="F2424" s="1" t="s">
        <v>10214</v>
      </c>
      <c r="G2424" s="1" t="s">
        <v>10215</v>
      </c>
      <c r="H2424" s="1" t="s">
        <v>3604</v>
      </c>
      <c r="I2424" s="1" t="s">
        <v>10216</v>
      </c>
      <c r="J2424" s="1" t="s">
        <v>3606</v>
      </c>
      <c r="K2424" s="1"/>
      <c r="L2424" s="1"/>
      <c r="M2424" s="1"/>
    </row>
    <row x14ac:dyDescent="0.25" r="2425" customHeight="1" ht="18.75">
      <c r="A2425" s="1" t="s">
        <v>3693</v>
      </c>
      <c r="B2425" s="1" t="s">
        <v>10217</v>
      </c>
      <c r="C2425" s="1" t="s">
        <v>3619</v>
      </c>
      <c r="D2425" s="1" t="s">
        <v>3601</v>
      </c>
      <c r="E2425" s="1" t="s">
        <v>3981</v>
      </c>
      <c r="F2425" s="1" t="s">
        <v>10218</v>
      </c>
      <c r="G2425" s="1" t="s">
        <v>10219</v>
      </c>
      <c r="H2425" s="1" t="s">
        <v>3604</v>
      </c>
      <c r="I2425" s="1" t="s">
        <v>10220</v>
      </c>
      <c r="J2425" s="1" t="s">
        <v>3606</v>
      </c>
      <c r="K2425" s="1"/>
      <c r="L2425" s="1"/>
      <c r="M2425" s="1"/>
    </row>
    <row x14ac:dyDescent="0.25" r="2426" customHeight="1" ht="18.75">
      <c r="A2426" s="1" t="s">
        <v>3693</v>
      </c>
      <c r="B2426" s="1" t="s">
        <v>4166</v>
      </c>
      <c r="C2426" s="1" t="s">
        <v>3619</v>
      </c>
      <c r="D2426" s="1" t="s">
        <v>3601</v>
      </c>
      <c r="E2426" s="1" t="s">
        <v>3664</v>
      </c>
      <c r="F2426" s="1" t="s">
        <v>10221</v>
      </c>
      <c r="G2426" s="1" t="s">
        <v>10222</v>
      </c>
      <c r="H2426" s="1" t="s">
        <v>3604</v>
      </c>
      <c r="I2426" s="1" t="s">
        <v>10223</v>
      </c>
      <c r="J2426" s="1" t="s">
        <v>3606</v>
      </c>
      <c r="K2426" s="1"/>
      <c r="L2426" s="1"/>
      <c r="M2426" s="1"/>
    </row>
    <row x14ac:dyDescent="0.25" r="2427" customHeight="1" ht="18.75">
      <c r="A2427" s="1" t="s">
        <v>3693</v>
      </c>
      <c r="B2427" s="1" t="s">
        <v>10217</v>
      </c>
      <c r="C2427" s="1" t="s">
        <v>3619</v>
      </c>
      <c r="D2427" s="1" t="s">
        <v>3601</v>
      </c>
      <c r="E2427" s="1" t="s">
        <v>3981</v>
      </c>
      <c r="F2427" s="1" t="s">
        <v>10224</v>
      </c>
      <c r="G2427" s="1" t="s">
        <v>10219</v>
      </c>
      <c r="H2427" s="1" t="s">
        <v>3604</v>
      </c>
      <c r="I2427" s="1" t="s">
        <v>10225</v>
      </c>
      <c r="J2427" s="1" t="s">
        <v>3606</v>
      </c>
      <c r="K2427" s="1"/>
      <c r="L2427" s="1"/>
      <c r="M2427" s="1"/>
    </row>
    <row x14ac:dyDescent="0.25" r="2428" customHeight="1" ht="18.75">
      <c r="A2428" s="1" t="s">
        <v>3693</v>
      </c>
      <c r="B2428" s="1" t="s">
        <v>4166</v>
      </c>
      <c r="C2428" s="1" t="s">
        <v>3619</v>
      </c>
      <c r="D2428" s="1" t="s">
        <v>3601</v>
      </c>
      <c r="E2428" s="1" t="s">
        <v>3664</v>
      </c>
      <c r="F2428" s="1" t="s">
        <v>10226</v>
      </c>
      <c r="G2428" s="1" t="s">
        <v>10227</v>
      </c>
      <c r="H2428" s="1" t="s">
        <v>3604</v>
      </c>
      <c r="I2428" s="1" t="s">
        <v>10228</v>
      </c>
      <c r="J2428" s="1" t="s">
        <v>3606</v>
      </c>
      <c r="K2428" s="1"/>
      <c r="L2428" s="1"/>
      <c r="M2428" s="1"/>
    </row>
    <row x14ac:dyDescent="0.25" r="2429" customHeight="1" ht="18.75">
      <c r="A2429" s="1" t="s">
        <v>3693</v>
      </c>
      <c r="B2429" s="1" t="s">
        <v>10217</v>
      </c>
      <c r="C2429" s="1" t="s">
        <v>3619</v>
      </c>
      <c r="D2429" s="1" t="s">
        <v>3601</v>
      </c>
      <c r="E2429" s="1" t="s">
        <v>3611</v>
      </c>
      <c r="F2429" s="1" t="s">
        <v>10229</v>
      </c>
      <c r="G2429" s="1" t="s">
        <v>10230</v>
      </c>
      <c r="H2429" s="1" t="s">
        <v>3604</v>
      </c>
      <c r="I2429" s="1" t="s">
        <v>10231</v>
      </c>
      <c r="J2429" s="1" t="s">
        <v>3606</v>
      </c>
      <c r="K2429" s="1"/>
      <c r="L2429" s="1"/>
      <c r="M2429" s="1"/>
    </row>
    <row x14ac:dyDescent="0.25" r="2430" customHeight="1" ht="18.75">
      <c r="A2430" s="1" t="s">
        <v>3693</v>
      </c>
      <c r="B2430" s="1" t="s">
        <v>4136</v>
      </c>
      <c r="C2430" s="1" t="s">
        <v>3619</v>
      </c>
      <c r="D2430" s="1" t="s">
        <v>3601</v>
      </c>
      <c r="E2430" s="1" t="s">
        <v>3664</v>
      </c>
      <c r="F2430" s="1" t="s">
        <v>10232</v>
      </c>
      <c r="G2430" s="1" t="s">
        <v>10233</v>
      </c>
      <c r="H2430" s="1" t="s">
        <v>3604</v>
      </c>
      <c r="I2430" s="1" t="s">
        <v>10234</v>
      </c>
      <c r="J2430" s="1" t="s">
        <v>3606</v>
      </c>
      <c r="K2430" s="1"/>
      <c r="L2430" s="1"/>
      <c r="M2430" s="1"/>
    </row>
    <row x14ac:dyDescent="0.25" r="2431" customHeight="1" ht="18.75">
      <c r="A2431" s="1" t="s">
        <v>3693</v>
      </c>
      <c r="B2431" s="1" t="s">
        <v>4083</v>
      </c>
      <c r="C2431" s="1" t="s">
        <v>3600</v>
      </c>
      <c r="D2431" s="1" t="s">
        <v>3695</v>
      </c>
      <c r="E2431" s="1" t="s">
        <v>3893</v>
      </c>
      <c r="F2431" s="1" t="s">
        <v>10235</v>
      </c>
      <c r="G2431" s="1" t="s">
        <v>5093</v>
      </c>
      <c r="H2431" s="1" t="s">
        <v>3604</v>
      </c>
      <c r="I2431" s="1" t="s">
        <v>10236</v>
      </c>
      <c r="J2431" s="1" t="s">
        <v>3615</v>
      </c>
      <c r="K2431" s="1" t="s">
        <v>10200</v>
      </c>
      <c r="L2431" s="1"/>
      <c r="M2431" s="1"/>
    </row>
    <row x14ac:dyDescent="0.25" r="2432" customHeight="1" ht="18.75">
      <c r="A2432" s="1" t="s">
        <v>3693</v>
      </c>
      <c r="B2432" s="1" t="s">
        <v>4136</v>
      </c>
      <c r="C2432" s="1" t="s">
        <v>3619</v>
      </c>
      <c r="D2432" s="1" t="s">
        <v>3601</v>
      </c>
      <c r="E2432" s="1" t="s">
        <v>3664</v>
      </c>
      <c r="F2432" s="1" t="s">
        <v>10237</v>
      </c>
      <c r="G2432" s="1" t="s">
        <v>10238</v>
      </c>
      <c r="H2432" s="1" t="s">
        <v>3604</v>
      </c>
      <c r="I2432" s="1" t="s">
        <v>10239</v>
      </c>
      <c r="J2432" s="1" t="s">
        <v>3606</v>
      </c>
      <c r="K2432" s="1"/>
      <c r="L2432" s="1"/>
      <c r="M2432" s="1"/>
    </row>
    <row x14ac:dyDescent="0.25" r="2433" customHeight="1" ht="18.75">
      <c r="A2433" s="1" t="s">
        <v>3693</v>
      </c>
      <c r="B2433" s="1" t="s">
        <v>10217</v>
      </c>
      <c r="C2433" s="1" t="s">
        <v>3619</v>
      </c>
      <c r="D2433" s="1" t="s">
        <v>3601</v>
      </c>
      <c r="E2433" s="1" t="s">
        <v>3981</v>
      </c>
      <c r="F2433" s="1" t="s">
        <v>10240</v>
      </c>
      <c r="G2433" s="1" t="s">
        <v>10219</v>
      </c>
      <c r="H2433" s="1" t="s">
        <v>3604</v>
      </c>
      <c r="I2433" s="1" t="s">
        <v>10241</v>
      </c>
      <c r="J2433" s="1" t="s">
        <v>3606</v>
      </c>
      <c r="K2433" s="1"/>
      <c r="L2433" s="1"/>
      <c r="M2433" s="1"/>
    </row>
    <row x14ac:dyDescent="0.25" r="2434" customHeight="1" ht="18.75">
      <c r="A2434" s="1" t="s">
        <v>3693</v>
      </c>
      <c r="B2434" s="1" t="s">
        <v>4083</v>
      </c>
      <c r="C2434" s="1" t="s">
        <v>3600</v>
      </c>
      <c r="D2434" s="1" t="s">
        <v>3695</v>
      </c>
      <c r="E2434" s="1" t="s">
        <v>3893</v>
      </c>
      <c r="F2434" s="1" t="s">
        <v>10235</v>
      </c>
      <c r="G2434" s="1" t="s">
        <v>5093</v>
      </c>
      <c r="H2434" s="1" t="s">
        <v>3604</v>
      </c>
      <c r="I2434" s="1" t="s">
        <v>10242</v>
      </c>
      <c r="J2434" s="1" t="s">
        <v>3615</v>
      </c>
      <c r="K2434" s="1" t="s">
        <v>10243</v>
      </c>
      <c r="L2434" s="1"/>
      <c r="M2434" s="1"/>
    </row>
    <row x14ac:dyDescent="0.25" r="2435" customHeight="1" ht="18.75">
      <c r="A2435" s="1" t="s">
        <v>3693</v>
      </c>
      <c r="B2435" s="1" t="s">
        <v>4136</v>
      </c>
      <c r="C2435" s="1" t="s">
        <v>3619</v>
      </c>
      <c r="D2435" s="1" t="s">
        <v>3601</v>
      </c>
      <c r="E2435" s="1" t="s">
        <v>3664</v>
      </c>
      <c r="F2435" s="1" t="s">
        <v>10244</v>
      </c>
      <c r="G2435" s="1" t="s">
        <v>10245</v>
      </c>
      <c r="H2435" s="1" t="s">
        <v>3604</v>
      </c>
      <c r="I2435" s="1" t="s">
        <v>10246</v>
      </c>
      <c r="J2435" s="1" t="s">
        <v>3606</v>
      </c>
      <c r="K2435" s="1"/>
      <c r="L2435" s="1"/>
      <c r="M2435" s="1"/>
    </row>
    <row x14ac:dyDescent="0.25" r="2436" customHeight="1" ht="18.75">
      <c r="A2436" s="1" t="s">
        <v>3693</v>
      </c>
      <c r="B2436" s="1" t="s">
        <v>4332</v>
      </c>
      <c r="C2436" s="1" t="s">
        <v>3600</v>
      </c>
      <c r="D2436" s="1" t="s">
        <v>3695</v>
      </c>
      <c r="E2436" s="1" t="s">
        <v>3893</v>
      </c>
      <c r="F2436" s="1" t="s">
        <v>10247</v>
      </c>
      <c r="G2436" s="1" t="s">
        <v>10208</v>
      </c>
      <c r="H2436" s="1" t="s">
        <v>3604</v>
      </c>
      <c r="I2436" s="1" t="s">
        <v>10248</v>
      </c>
      <c r="J2436" s="1" t="s">
        <v>3606</v>
      </c>
      <c r="K2436" s="1" t="s">
        <v>10249</v>
      </c>
      <c r="L2436" s="1"/>
      <c r="M2436" s="1"/>
    </row>
    <row x14ac:dyDescent="0.25" r="2437" customHeight="1" ht="18.75">
      <c r="A2437" s="1" t="s">
        <v>3693</v>
      </c>
      <c r="B2437" s="1" t="s">
        <v>4083</v>
      </c>
      <c r="C2437" s="1" t="s">
        <v>3600</v>
      </c>
      <c r="D2437" s="1" t="s">
        <v>3695</v>
      </c>
      <c r="E2437" s="1" t="s">
        <v>3893</v>
      </c>
      <c r="F2437" s="1" t="s">
        <v>10250</v>
      </c>
      <c r="G2437" s="1" t="s">
        <v>4116</v>
      </c>
      <c r="H2437" s="1" t="s">
        <v>3604</v>
      </c>
      <c r="I2437" s="1" t="s">
        <v>10251</v>
      </c>
      <c r="J2437" s="1" t="s">
        <v>3615</v>
      </c>
      <c r="K2437" s="1" t="s">
        <v>10252</v>
      </c>
      <c r="L2437" s="1"/>
      <c r="M2437" s="1"/>
    </row>
    <row x14ac:dyDescent="0.25" r="2438" customHeight="1" ht="18.75">
      <c r="A2438" s="1" t="s">
        <v>3693</v>
      </c>
      <c r="B2438" s="1" t="s">
        <v>4136</v>
      </c>
      <c r="C2438" s="1" t="s">
        <v>3619</v>
      </c>
      <c r="D2438" s="1" t="s">
        <v>3601</v>
      </c>
      <c r="E2438" s="1" t="s">
        <v>3664</v>
      </c>
      <c r="F2438" s="1" t="s">
        <v>10253</v>
      </c>
      <c r="G2438" s="1" t="s">
        <v>10254</v>
      </c>
      <c r="H2438" s="1" t="s">
        <v>3604</v>
      </c>
      <c r="I2438" s="1" t="s">
        <v>10255</v>
      </c>
      <c r="J2438" s="1" t="s">
        <v>3606</v>
      </c>
      <c r="K2438" s="1"/>
      <c r="L2438" s="1"/>
      <c r="M2438" s="1"/>
    </row>
    <row x14ac:dyDescent="0.25" r="2439" customHeight="1" ht="18.75">
      <c r="A2439" s="1" t="s">
        <v>3693</v>
      </c>
      <c r="B2439" s="1" t="s">
        <v>4083</v>
      </c>
      <c r="C2439" s="1" t="s">
        <v>3600</v>
      </c>
      <c r="D2439" s="1" t="s">
        <v>3695</v>
      </c>
      <c r="E2439" s="1" t="s">
        <v>3893</v>
      </c>
      <c r="F2439" s="1" t="s">
        <v>10256</v>
      </c>
      <c r="G2439" s="1" t="s">
        <v>4116</v>
      </c>
      <c r="H2439" s="1" t="s">
        <v>3604</v>
      </c>
      <c r="I2439" s="1" t="s">
        <v>10257</v>
      </c>
      <c r="J2439" s="1" t="s">
        <v>3615</v>
      </c>
      <c r="K2439" s="1" t="s">
        <v>10252</v>
      </c>
      <c r="L2439" s="1"/>
      <c r="M2439" s="1"/>
    </row>
    <row x14ac:dyDescent="0.25" r="2440" customHeight="1" ht="18.75">
      <c r="A2440" s="1" t="s">
        <v>3693</v>
      </c>
      <c r="B2440" s="1" t="s">
        <v>4083</v>
      </c>
      <c r="C2440" s="1" t="s">
        <v>3600</v>
      </c>
      <c r="D2440" s="1" t="s">
        <v>3695</v>
      </c>
      <c r="E2440" s="1" t="s">
        <v>3893</v>
      </c>
      <c r="F2440" s="1" t="s">
        <v>10258</v>
      </c>
      <c r="G2440" s="1" t="s">
        <v>4116</v>
      </c>
      <c r="H2440" s="1" t="s">
        <v>3604</v>
      </c>
      <c r="I2440" s="1" t="s">
        <v>10259</v>
      </c>
      <c r="J2440" s="1" t="s">
        <v>3606</v>
      </c>
      <c r="K2440" s="1" t="s">
        <v>10260</v>
      </c>
      <c r="L2440" s="1"/>
      <c r="M2440" s="1"/>
    </row>
    <row x14ac:dyDescent="0.25" r="2441" customHeight="1" ht="18.75">
      <c r="A2441" s="1" t="s">
        <v>3693</v>
      </c>
      <c r="B2441" s="1" t="s">
        <v>4125</v>
      </c>
      <c r="C2441" s="1" t="s">
        <v>3619</v>
      </c>
      <c r="D2441" s="1" t="s">
        <v>3601</v>
      </c>
      <c r="E2441" s="1" t="s">
        <v>3664</v>
      </c>
      <c r="F2441" s="1" t="s">
        <v>10261</v>
      </c>
      <c r="G2441" s="1" t="s">
        <v>10262</v>
      </c>
      <c r="H2441" s="1" t="s">
        <v>3604</v>
      </c>
      <c r="I2441" s="1" t="s">
        <v>10263</v>
      </c>
      <c r="J2441" s="1" t="s">
        <v>3606</v>
      </c>
      <c r="K2441" s="1"/>
      <c r="L2441" s="1"/>
      <c r="M2441" s="1"/>
    </row>
    <row x14ac:dyDescent="0.25" r="2442" customHeight="1" ht="18.75">
      <c r="A2442" s="1" t="s">
        <v>3693</v>
      </c>
      <c r="B2442" s="1" t="s">
        <v>4125</v>
      </c>
      <c r="C2442" s="1" t="s">
        <v>3619</v>
      </c>
      <c r="D2442" s="1" t="s">
        <v>3601</v>
      </c>
      <c r="E2442" s="1" t="s">
        <v>3664</v>
      </c>
      <c r="F2442" s="1" t="s">
        <v>10264</v>
      </c>
      <c r="G2442" s="1" t="s">
        <v>10265</v>
      </c>
      <c r="H2442" s="1" t="s">
        <v>3604</v>
      </c>
      <c r="I2442" s="1" t="s">
        <v>10266</v>
      </c>
      <c r="J2442" s="1" t="s">
        <v>3606</v>
      </c>
      <c r="K2442" s="1"/>
      <c r="L2442" s="1"/>
      <c r="M2442" s="1"/>
    </row>
    <row x14ac:dyDescent="0.25" r="2443" customHeight="1" ht="18.75">
      <c r="A2443" s="1" t="s">
        <v>3693</v>
      </c>
      <c r="B2443" s="1" t="s">
        <v>4332</v>
      </c>
      <c r="C2443" s="1" t="s">
        <v>3600</v>
      </c>
      <c r="D2443" s="1" t="s">
        <v>3695</v>
      </c>
      <c r="E2443" s="1" t="s">
        <v>3893</v>
      </c>
      <c r="F2443" s="1" t="s">
        <v>10267</v>
      </c>
      <c r="G2443" s="1" t="s">
        <v>10208</v>
      </c>
      <c r="H2443" s="1" t="s">
        <v>3604</v>
      </c>
      <c r="I2443" s="1" t="s">
        <v>10268</v>
      </c>
      <c r="J2443" s="1" t="s">
        <v>3606</v>
      </c>
      <c r="K2443" s="1" t="s">
        <v>10269</v>
      </c>
      <c r="L2443" s="1"/>
      <c r="M2443" s="1"/>
    </row>
    <row x14ac:dyDescent="0.25" r="2444" customHeight="1" ht="18.75">
      <c r="A2444" s="1" t="s">
        <v>3693</v>
      </c>
      <c r="B2444" s="1" t="s">
        <v>4125</v>
      </c>
      <c r="C2444" s="1" t="s">
        <v>3619</v>
      </c>
      <c r="D2444" s="1" t="s">
        <v>3601</v>
      </c>
      <c r="E2444" s="1" t="s">
        <v>3664</v>
      </c>
      <c r="F2444" s="1" t="s">
        <v>10270</v>
      </c>
      <c r="G2444" s="1" t="s">
        <v>10271</v>
      </c>
      <c r="H2444" s="1" t="s">
        <v>3604</v>
      </c>
      <c r="I2444" s="1" t="s">
        <v>10272</v>
      </c>
      <c r="J2444" s="1" t="s">
        <v>3606</v>
      </c>
      <c r="K2444" s="1"/>
      <c r="L2444" s="1"/>
      <c r="M2444" s="1"/>
    </row>
    <row x14ac:dyDescent="0.25" r="2445" customHeight="1" ht="18.75">
      <c r="A2445" s="1" t="s">
        <v>3693</v>
      </c>
      <c r="B2445" s="1" t="s">
        <v>10273</v>
      </c>
      <c r="C2445" s="1" t="s">
        <v>3600</v>
      </c>
      <c r="D2445" s="1" t="s">
        <v>3601</v>
      </c>
      <c r="E2445" s="1" t="s">
        <v>3664</v>
      </c>
      <c r="F2445" s="1" t="s">
        <v>10274</v>
      </c>
      <c r="G2445" s="1" t="s">
        <v>10275</v>
      </c>
      <c r="H2445" s="1" t="s">
        <v>3604</v>
      </c>
      <c r="I2445" s="1" t="s">
        <v>10276</v>
      </c>
      <c r="J2445" s="1" t="s">
        <v>3606</v>
      </c>
      <c r="K2445" s="1"/>
      <c r="L2445" s="1"/>
      <c r="M2445" s="1"/>
    </row>
    <row x14ac:dyDescent="0.25" r="2446" customHeight="1" ht="18.75">
      <c r="A2446" s="1" t="s">
        <v>3693</v>
      </c>
      <c r="B2446" s="1" t="s">
        <v>10273</v>
      </c>
      <c r="C2446" s="1" t="s">
        <v>3600</v>
      </c>
      <c r="D2446" s="1" t="s">
        <v>3601</v>
      </c>
      <c r="E2446" s="1" t="s">
        <v>3611</v>
      </c>
      <c r="F2446" s="1" t="s">
        <v>10277</v>
      </c>
      <c r="G2446" s="1" t="s">
        <v>10278</v>
      </c>
      <c r="H2446" s="1" t="s">
        <v>3604</v>
      </c>
      <c r="I2446" s="1" t="s">
        <v>10279</v>
      </c>
      <c r="J2446" s="1" t="s">
        <v>3606</v>
      </c>
      <c r="K2446" s="1"/>
      <c r="L2446" s="1"/>
      <c r="M2446" s="1"/>
    </row>
    <row x14ac:dyDescent="0.25" r="2447" customHeight="1" ht="18.75">
      <c r="A2447" s="1" t="s">
        <v>3693</v>
      </c>
      <c r="B2447" s="1" t="s">
        <v>10280</v>
      </c>
      <c r="C2447" s="1" t="s">
        <v>3600</v>
      </c>
      <c r="D2447" s="1" t="s">
        <v>3601</v>
      </c>
      <c r="E2447" s="1"/>
      <c r="F2447" s="1" t="s">
        <v>10281</v>
      </c>
      <c r="G2447" s="1" t="s">
        <v>10280</v>
      </c>
      <c r="H2447" s="1" t="s">
        <v>3604</v>
      </c>
      <c r="I2447" s="1" t="s">
        <v>10282</v>
      </c>
      <c r="J2447" s="1" t="s">
        <v>3615</v>
      </c>
      <c r="K2447" s="1" t="s">
        <v>10283</v>
      </c>
      <c r="L2447" s="1"/>
      <c r="M2447" s="1"/>
    </row>
    <row x14ac:dyDescent="0.25" r="2448" customHeight="1" ht="18.75">
      <c r="A2448" s="1" t="s">
        <v>3693</v>
      </c>
      <c r="B2448" s="1" t="s">
        <v>10284</v>
      </c>
      <c r="C2448" s="1" t="s">
        <v>3600</v>
      </c>
      <c r="D2448" s="1" t="s">
        <v>3601</v>
      </c>
      <c r="E2448" s="1"/>
      <c r="F2448" s="1" t="s">
        <v>10285</v>
      </c>
      <c r="G2448" s="1" t="s">
        <v>10284</v>
      </c>
      <c r="H2448" s="1" t="s">
        <v>3604</v>
      </c>
      <c r="I2448" s="1" t="s">
        <v>10286</v>
      </c>
      <c r="J2448" s="1" t="s">
        <v>3615</v>
      </c>
      <c r="K2448" s="1" t="s">
        <v>10287</v>
      </c>
      <c r="L2448" s="1"/>
      <c r="M2448" s="1"/>
    </row>
    <row x14ac:dyDescent="0.25" r="2449" customHeight="1" ht="18.75">
      <c r="A2449" s="1" t="s">
        <v>3693</v>
      </c>
      <c r="B2449" s="1" t="s">
        <v>10288</v>
      </c>
      <c r="C2449" s="1" t="s">
        <v>3600</v>
      </c>
      <c r="D2449" s="1" t="s">
        <v>3601</v>
      </c>
      <c r="E2449" s="1"/>
      <c r="F2449" s="1" t="s">
        <v>10289</v>
      </c>
      <c r="G2449" s="1" t="s">
        <v>10288</v>
      </c>
      <c r="H2449" s="1" t="s">
        <v>3604</v>
      </c>
      <c r="I2449" s="1" t="s">
        <v>10290</v>
      </c>
      <c r="J2449" s="1" t="s">
        <v>3615</v>
      </c>
      <c r="K2449" s="1" t="s">
        <v>10291</v>
      </c>
      <c r="L2449" s="1"/>
      <c r="M2449" s="1"/>
    </row>
    <row x14ac:dyDescent="0.25" r="2450" customHeight="1" ht="18.75">
      <c r="A2450" s="1" t="s">
        <v>3693</v>
      </c>
      <c r="B2450" s="1" t="s">
        <v>10292</v>
      </c>
      <c r="C2450" s="1" t="s">
        <v>3600</v>
      </c>
      <c r="D2450" s="1" t="s">
        <v>3601</v>
      </c>
      <c r="E2450" s="1"/>
      <c r="F2450" s="1" t="s">
        <v>10293</v>
      </c>
      <c r="G2450" s="1" t="s">
        <v>10292</v>
      </c>
      <c r="H2450" s="1" t="s">
        <v>3604</v>
      </c>
      <c r="I2450" s="1" t="s">
        <v>10294</v>
      </c>
      <c r="J2450" s="1" t="s">
        <v>3615</v>
      </c>
      <c r="K2450" s="1" t="s">
        <v>10295</v>
      </c>
      <c r="L2450" s="1"/>
      <c r="M2450" s="1"/>
    </row>
    <row x14ac:dyDescent="0.25" r="2451" customHeight="1" ht="18.75">
      <c r="A2451" s="1" t="s">
        <v>3693</v>
      </c>
      <c r="B2451" s="1" t="s">
        <v>10296</v>
      </c>
      <c r="C2451" s="1" t="s">
        <v>3600</v>
      </c>
      <c r="D2451" s="1" t="s">
        <v>3601</v>
      </c>
      <c r="E2451" s="1"/>
      <c r="F2451" s="1" t="s">
        <v>10297</v>
      </c>
      <c r="G2451" s="1" t="s">
        <v>10296</v>
      </c>
      <c r="H2451" s="1" t="s">
        <v>3604</v>
      </c>
      <c r="I2451" s="1" t="s">
        <v>10298</v>
      </c>
      <c r="J2451" s="1" t="s">
        <v>3615</v>
      </c>
      <c r="K2451" s="1" t="s">
        <v>10299</v>
      </c>
      <c r="L2451" s="1"/>
      <c r="M2451" s="1"/>
    </row>
    <row x14ac:dyDescent="0.25" r="2452" customHeight="1" ht="18.75">
      <c r="A2452" s="1" t="s">
        <v>3693</v>
      </c>
      <c r="B2452" s="1" t="s">
        <v>10300</v>
      </c>
      <c r="C2452" s="1" t="s">
        <v>3600</v>
      </c>
      <c r="D2452" s="1" t="s">
        <v>3601</v>
      </c>
      <c r="E2452" s="1"/>
      <c r="F2452" s="1" t="s">
        <v>10301</v>
      </c>
      <c r="G2452" s="1" t="s">
        <v>10300</v>
      </c>
      <c r="H2452" s="1" t="s">
        <v>3604</v>
      </c>
      <c r="I2452" s="1" t="s">
        <v>10302</v>
      </c>
      <c r="J2452" s="1" t="s">
        <v>3615</v>
      </c>
      <c r="K2452" s="1" t="s">
        <v>10303</v>
      </c>
      <c r="L2452" s="1"/>
      <c r="M2452" s="1"/>
    </row>
    <row x14ac:dyDescent="0.25" r="2453" customHeight="1" ht="18.75">
      <c r="A2453" s="1" t="s">
        <v>3693</v>
      </c>
      <c r="B2453" s="1" t="s">
        <v>7026</v>
      </c>
      <c r="C2453" s="1" t="s">
        <v>3600</v>
      </c>
      <c r="D2453" s="1" t="s">
        <v>3601</v>
      </c>
      <c r="E2453" s="1" t="s">
        <v>3664</v>
      </c>
      <c r="F2453" s="1" t="s">
        <v>10304</v>
      </c>
      <c r="G2453" s="1" t="s">
        <v>7084</v>
      </c>
      <c r="H2453" s="1" t="s">
        <v>3604</v>
      </c>
      <c r="I2453" s="1" t="s">
        <v>10305</v>
      </c>
      <c r="J2453" s="1" t="s">
        <v>3615</v>
      </c>
      <c r="K2453" s="1" t="s">
        <v>10306</v>
      </c>
      <c r="L2453" s="1"/>
      <c r="M2453" s="1"/>
    </row>
    <row x14ac:dyDescent="0.25" r="2454" customHeight="1" ht="18.75">
      <c r="A2454" s="1" t="s">
        <v>3693</v>
      </c>
      <c r="B2454" s="1" t="s">
        <v>7026</v>
      </c>
      <c r="C2454" s="1" t="s">
        <v>3600</v>
      </c>
      <c r="D2454" s="1" t="s">
        <v>3601</v>
      </c>
      <c r="E2454" s="1" t="s">
        <v>3664</v>
      </c>
      <c r="F2454" s="1" t="s">
        <v>10307</v>
      </c>
      <c r="G2454" s="1" t="s">
        <v>10280</v>
      </c>
      <c r="H2454" s="1" t="s">
        <v>3604</v>
      </c>
      <c r="I2454" s="1" t="s">
        <v>10308</v>
      </c>
      <c r="J2454" s="1" t="s">
        <v>3615</v>
      </c>
      <c r="K2454" s="1" t="s">
        <v>10283</v>
      </c>
      <c r="L2454" s="1"/>
      <c r="M2454" s="1"/>
    </row>
    <row x14ac:dyDescent="0.25" r="2455" customHeight="1" ht="18.75">
      <c r="A2455" s="1" t="s">
        <v>3693</v>
      </c>
      <c r="B2455" s="1" t="s">
        <v>7026</v>
      </c>
      <c r="C2455" s="1" t="s">
        <v>3600</v>
      </c>
      <c r="D2455" s="1" t="s">
        <v>3601</v>
      </c>
      <c r="E2455" s="1" t="s">
        <v>3664</v>
      </c>
      <c r="F2455" s="1" t="s">
        <v>10309</v>
      </c>
      <c r="G2455" s="1" t="s">
        <v>10284</v>
      </c>
      <c r="H2455" s="1" t="s">
        <v>3604</v>
      </c>
      <c r="I2455" s="1" t="s">
        <v>10310</v>
      </c>
      <c r="J2455" s="1" t="s">
        <v>3615</v>
      </c>
      <c r="K2455" s="1" t="s">
        <v>10287</v>
      </c>
      <c r="L2455" s="1"/>
      <c r="M2455" s="1"/>
    </row>
    <row x14ac:dyDescent="0.25" r="2456" customHeight="1" ht="18.75">
      <c r="A2456" s="1" t="s">
        <v>3693</v>
      </c>
      <c r="B2456" s="1" t="s">
        <v>4091</v>
      </c>
      <c r="C2456" s="1" t="s">
        <v>3600</v>
      </c>
      <c r="D2456" s="1" t="s">
        <v>3601</v>
      </c>
      <c r="E2456" s="1" t="s">
        <v>3893</v>
      </c>
      <c r="F2456" s="1" t="s">
        <v>10311</v>
      </c>
      <c r="G2456" s="1" t="s">
        <v>4515</v>
      </c>
      <c r="H2456" s="1" t="s">
        <v>3604</v>
      </c>
      <c r="I2456" s="1" t="s">
        <v>10312</v>
      </c>
      <c r="J2456" s="1" t="s">
        <v>3606</v>
      </c>
      <c r="K2456" s="1" t="s">
        <v>10313</v>
      </c>
      <c r="L2456" s="1"/>
      <c r="M2456" s="1"/>
    </row>
    <row x14ac:dyDescent="0.25" r="2457" customHeight="1" ht="18.75">
      <c r="A2457" s="1" t="s">
        <v>3693</v>
      </c>
      <c r="B2457" s="1" t="s">
        <v>4091</v>
      </c>
      <c r="C2457" s="1" t="s">
        <v>3600</v>
      </c>
      <c r="D2457" s="1" t="s">
        <v>3601</v>
      </c>
      <c r="E2457" s="1" t="s">
        <v>3893</v>
      </c>
      <c r="F2457" s="1" t="s">
        <v>10314</v>
      </c>
      <c r="G2457" s="1" t="s">
        <v>10315</v>
      </c>
      <c r="H2457" s="1" t="s">
        <v>3604</v>
      </c>
      <c r="I2457" s="1" t="s">
        <v>10316</v>
      </c>
      <c r="J2457" s="1" t="s">
        <v>3606</v>
      </c>
      <c r="K2457" s="1" t="s">
        <v>10317</v>
      </c>
      <c r="L2457" s="1"/>
      <c r="M2457" s="1"/>
    </row>
    <row x14ac:dyDescent="0.25" r="2458" customHeight="1" ht="18.75">
      <c r="A2458" s="1" t="s">
        <v>3693</v>
      </c>
      <c r="B2458" s="1" t="s">
        <v>4083</v>
      </c>
      <c r="C2458" s="1" t="s">
        <v>3600</v>
      </c>
      <c r="D2458" s="1" t="s">
        <v>3695</v>
      </c>
      <c r="E2458" s="1" t="s">
        <v>3664</v>
      </c>
      <c r="F2458" s="1" t="s">
        <v>10318</v>
      </c>
      <c r="G2458" s="1" t="s">
        <v>4553</v>
      </c>
      <c r="H2458" s="1" t="s">
        <v>3604</v>
      </c>
      <c r="I2458" s="1" t="s">
        <v>10319</v>
      </c>
      <c r="J2458" s="1" t="s">
        <v>3615</v>
      </c>
      <c r="K2458" s="1" t="s">
        <v>10320</v>
      </c>
      <c r="L2458" s="1"/>
      <c r="M2458" s="1"/>
    </row>
    <row x14ac:dyDescent="0.25" r="2459" customHeight="1" ht="18.75">
      <c r="A2459" s="1" t="s">
        <v>3693</v>
      </c>
      <c r="B2459" s="1" t="s">
        <v>4083</v>
      </c>
      <c r="C2459" s="1" t="s">
        <v>3600</v>
      </c>
      <c r="D2459" s="1" t="s">
        <v>3695</v>
      </c>
      <c r="E2459" s="1" t="s">
        <v>3664</v>
      </c>
      <c r="F2459" s="1" t="s">
        <v>10321</v>
      </c>
      <c r="G2459" s="1" t="s">
        <v>4553</v>
      </c>
      <c r="H2459" s="1" t="s">
        <v>3604</v>
      </c>
      <c r="I2459" s="1" t="s">
        <v>10322</v>
      </c>
      <c r="J2459" s="1" t="s">
        <v>3615</v>
      </c>
      <c r="K2459" s="1" t="s">
        <v>10323</v>
      </c>
      <c r="L2459" s="1"/>
      <c r="M2459" s="1"/>
    </row>
    <row x14ac:dyDescent="0.25" r="2460" customHeight="1" ht="18.75">
      <c r="A2460" s="1" t="s">
        <v>3693</v>
      </c>
      <c r="B2460" s="1" t="s">
        <v>4083</v>
      </c>
      <c r="C2460" s="1" t="s">
        <v>3600</v>
      </c>
      <c r="D2460" s="1" t="s">
        <v>3695</v>
      </c>
      <c r="E2460" s="1" t="s">
        <v>3664</v>
      </c>
      <c r="F2460" s="1" t="s">
        <v>10324</v>
      </c>
      <c r="G2460" s="1" t="s">
        <v>4553</v>
      </c>
      <c r="H2460" s="1" t="s">
        <v>3604</v>
      </c>
      <c r="I2460" s="1" t="s">
        <v>10325</v>
      </c>
      <c r="J2460" s="1" t="s">
        <v>3615</v>
      </c>
      <c r="K2460" s="1" t="s">
        <v>10326</v>
      </c>
      <c r="L2460" s="1"/>
      <c r="M2460" s="1"/>
    </row>
    <row x14ac:dyDescent="0.25" r="2461" customHeight="1" ht="18.75">
      <c r="A2461" s="1" t="s">
        <v>3693</v>
      </c>
      <c r="B2461" s="1" t="s">
        <v>4091</v>
      </c>
      <c r="C2461" s="1" t="s">
        <v>3600</v>
      </c>
      <c r="D2461" s="1" t="s">
        <v>3695</v>
      </c>
      <c r="E2461" s="1" t="s">
        <v>3893</v>
      </c>
      <c r="F2461" s="1" t="s">
        <v>10327</v>
      </c>
      <c r="G2461" s="1" t="s">
        <v>4344</v>
      </c>
      <c r="H2461" s="1" t="s">
        <v>3604</v>
      </c>
      <c r="I2461" s="1" t="s">
        <v>10328</v>
      </c>
      <c r="J2461" s="1" t="s">
        <v>3606</v>
      </c>
      <c r="K2461" s="1" t="s">
        <v>10329</v>
      </c>
      <c r="L2461" s="1"/>
      <c r="M2461" s="1"/>
    </row>
    <row x14ac:dyDescent="0.25" r="2462" customHeight="1" ht="18.75">
      <c r="A2462" s="1" t="s">
        <v>3693</v>
      </c>
      <c r="B2462" s="1" t="s">
        <v>4091</v>
      </c>
      <c r="C2462" s="1" t="s">
        <v>3600</v>
      </c>
      <c r="D2462" s="1" t="s">
        <v>3695</v>
      </c>
      <c r="E2462" s="1" t="s">
        <v>3893</v>
      </c>
      <c r="F2462" s="1" t="s">
        <v>10330</v>
      </c>
      <c r="G2462" s="1" t="s">
        <v>4344</v>
      </c>
      <c r="H2462" s="1" t="s">
        <v>3604</v>
      </c>
      <c r="I2462" s="1" t="s">
        <v>10331</v>
      </c>
      <c r="J2462" s="1" t="s">
        <v>3606</v>
      </c>
      <c r="K2462" s="1" t="s">
        <v>10329</v>
      </c>
      <c r="L2462" s="1"/>
      <c r="M2462" s="1"/>
    </row>
    <row x14ac:dyDescent="0.25" r="2463" customHeight="1" ht="18.75">
      <c r="A2463" s="1" t="s">
        <v>3693</v>
      </c>
      <c r="B2463" s="1" t="s">
        <v>4083</v>
      </c>
      <c r="C2463" s="1" t="s">
        <v>3600</v>
      </c>
      <c r="D2463" s="1" t="s">
        <v>3695</v>
      </c>
      <c r="E2463" s="1" t="s">
        <v>3664</v>
      </c>
      <c r="F2463" s="1" t="s">
        <v>10332</v>
      </c>
      <c r="G2463" s="1" t="s">
        <v>5667</v>
      </c>
      <c r="H2463" s="1" t="s">
        <v>3604</v>
      </c>
      <c r="I2463" s="1" t="s">
        <v>10333</v>
      </c>
      <c r="J2463" s="1" t="s">
        <v>3615</v>
      </c>
      <c r="K2463" s="1" t="s">
        <v>10334</v>
      </c>
      <c r="L2463" s="1"/>
      <c r="M2463" s="1"/>
    </row>
    <row x14ac:dyDescent="0.25" r="2464" customHeight="1" ht="18.75">
      <c r="A2464" s="1" t="s">
        <v>3693</v>
      </c>
      <c r="B2464" s="1" t="s">
        <v>4091</v>
      </c>
      <c r="C2464" s="1" t="s">
        <v>3600</v>
      </c>
      <c r="D2464" s="1" t="s">
        <v>3695</v>
      </c>
      <c r="E2464" s="1" t="s">
        <v>3893</v>
      </c>
      <c r="F2464" s="1" t="s">
        <v>10335</v>
      </c>
      <c r="G2464" s="1" t="s">
        <v>4515</v>
      </c>
      <c r="H2464" s="1" t="s">
        <v>3604</v>
      </c>
      <c r="I2464" s="1" t="s">
        <v>10336</v>
      </c>
      <c r="J2464" s="1" t="s">
        <v>3615</v>
      </c>
      <c r="K2464" s="1" t="s">
        <v>10185</v>
      </c>
      <c r="L2464" s="1"/>
      <c r="M2464" s="1"/>
    </row>
    <row x14ac:dyDescent="0.25" r="2465" customHeight="1" ht="18.75">
      <c r="A2465" s="1" t="s">
        <v>3693</v>
      </c>
      <c r="B2465" s="1" t="s">
        <v>4083</v>
      </c>
      <c r="C2465" s="1" t="s">
        <v>3600</v>
      </c>
      <c r="D2465" s="1" t="s">
        <v>3695</v>
      </c>
      <c r="E2465" s="1" t="s">
        <v>3664</v>
      </c>
      <c r="F2465" s="1" t="s">
        <v>10337</v>
      </c>
      <c r="G2465" s="1" t="s">
        <v>4483</v>
      </c>
      <c r="H2465" s="1" t="s">
        <v>3604</v>
      </c>
      <c r="I2465" s="1" t="s">
        <v>10338</v>
      </c>
      <c r="J2465" s="1" t="s">
        <v>3615</v>
      </c>
      <c r="K2465" s="1" t="s">
        <v>10339</v>
      </c>
      <c r="L2465" s="1"/>
      <c r="M2465" s="1"/>
    </row>
    <row x14ac:dyDescent="0.25" r="2466" customHeight="1" ht="18.75">
      <c r="A2466" s="1" t="s">
        <v>3693</v>
      </c>
      <c r="B2466" s="1" t="s">
        <v>4091</v>
      </c>
      <c r="C2466" s="1" t="s">
        <v>3600</v>
      </c>
      <c r="D2466" s="1" t="s">
        <v>3601</v>
      </c>
      <c r="E2466" s="1" t="s">
        <v>3893</v>
      </c>
      <c r="F2466" s="1" t="s">
        <v>10340</v>
      </c>
      <c r="G2466" s="1" t="s">
        <v>4515</v>
      </c>
      <c r="H2466" s="1" t="s">
        <v>3604</v>
      </c>
      <c r="I2466" s="1" t="s">
        <v>10341</v>
      </c>
      <c r="J2466" s="1" t="s">
        <v>3606</v>
      </c>
      <c r="K2466" s="1"/>
      <c r="L2466" s="1"/>
      <c r="M2466" s="1"/>
    </row>
    <row x14ac:dyDescent="0.25" r="2467" customHeight="1" ht="18.75">
      <c r="A2467" s="1" t="s">
        <v>3693</v>
      </c>
      <c r="B2467" s="1" t="s">
        <v>4091</v>
      </c>
      <c r="C2467" s="1" t="s">
        <v>3600</v>
      </c>
      <c r="D2467" s="1" t="s">
        <v>3601</v>
      </c>
      <c r="E2467" s="1" t="s">
        <v>3893</v>
      </c>
      <c r="F2467" s="1" t="s">
        <v>10342</v>
      </c>
      <c r="G2467" s="1" t="s">
        <v>4515</v>
      </c>
      <c r="H2467" s="1" t="s">
        <v>3604</v>
      </c>
      <c r="I2467" s="1" t="s">
        <v>10343</v>
      </c>
      <c r="J2467" s="1" t="s">
        <v>3606</v>
      </c>
      <c r="K2467" s="1"/>
      <c r="L2467" s="1"/>
      <c r="M2467" s="1"/>
    </row>
    <row x14ac:dyDescent="0.25" r="2468" customHeight="1" ht="18.75">
      <c r="A2468" s="1" t="s">
        <v>3693</v>
      </c>
      <c r="B2468" s="1" t="s">
        <v>4091</v>
      </c>
      <c r="C2468" s="1" t="s">
        <v>3600</v>
      </c>
      <c r="D2468" s="1" t="s">
        <v>3601</v>
      </c>
      <c r="E2468" s="1" t="s">
        <v>3893</v>
      </c>
      <c r="F2468" s="1" t="s">
        <v>10344</v>
      </c>
      <c r="G2468" s="1" t="s">
        <v>4434</v>
      </c>
      <c r="H2468" s="1" t="s">
        <v>3604</v>
      </c>
      <c r="I2468" s="1" t="s">
        <v>10345</v>
      </c>
      <c r="J2468" s="1" t="s">
        <v>3606</v>
      </c>
      <c r="K2468" s="1"/>
      <c r="L2468" s="1"/>
      <c r="M2468" s="1"/>
    </row>
    <row x14ac:dyDescent="0.25" r="2469" customHeight="1" ht="18.75">
      <c r="A2469" s="1" t="s">
        <v>3693</v>
      </c>
      <c r="B2469" s="1" t="s">
        <v>4091</v>
      </c>
      <c r="C2469" s="1" t="s">
        <v>3600</v>
      </c>
      <c r="D2469" s="1" t="s">
        <v>3601</v>
      </c>
      <c r="E2469" s="1" t="s">
        <v>3893</v>
      </c>
      <c r="F2469" s="1" t="s">
        <v>10346</v>
      </c>
      <c r="G2469" s="1" t="s">
        <v>4438</v>
      </c>
      <c r="H2469" s="1" t="s">
        <v>3604</v>
      </c>
      <c r="I2469" s="1" t="s">
        <v>10347</v>
      </c>
      <c r="J2469" s="1" t="s">
        <v>3606</v>
      </c>
      <c r="K2469" s="1"/>
      <c r="L2469" s="1"/>
      <c r="M2469" s="1"/>
    </row>
    <row x14ac:dyDescent="0.25" r="2470" customHeight="1" ht="18.75">
      <c r="A2470" s="1" t="s">
        <v>3693</v>
      </c>
      <c r="B2470" s="1" t="s">
        <v>4083</v>
      </c>
      <c r="C2470" s="1" t="s">
        <v>3600</v>
      </c>
      <c r="D2470" s="1" t="s">
        <v>3601</v>
      </c>
      <c r="E2470" s="1" t="s">
        <v>3664</v>
      </c>
      <c r="F2470" s="1" t="s">
        <v>10348</v>
      </c>
      <c r="G2470" s="1" t="s">
        <v>4483</v>
      </c>
      <c r="H2470" s="1" t="s">
        <v>3604</v>
      </c>
      <c r="I2470" s="1" t="s">
        <v>10349</v>
      </c>
      <c r="J2470" s="1" t="s">
        <v>3606</v>
      </c>
      <c r="K2470" s="1"/>
      <c r="L2470" s="1"/>
      <c r="M2470" s="1"/>
    </row>
    <row x14ac:dyDescent="0.25" r="2471" customHeight="1" ht="18.75">
      <c r="A2471" s="1" t="s">
        <v>3693</v>
      </c>
      <c r="B2471" s="1" t="s">
        <v>4083</v>
      </c>
      <c r="C2471" s="1" t="s">
        <v>3600</v>
      </c>
      <c r="D2471" s="1" t="s">
        <v>3601</v>
      </c>
      <c r="E2471" s="1" t="s">
        <v>3893</v>
      </c>
      <c r="F2471" s="1" t="s">
        <v>10350</v>
      </c>
      <c r="G2471" s="1" t="s">
        <v>4424</v>
      </c>
      <c r="H2471" s="1" t="s">
        <v>3604</v>
      </c>
      <c r="I2471" s="1" t="s">
        <v>10351</v>
      </c>
      <c r="J2471" s="1" t="s">
        <v>3606</v>
      </c>
      <c r="K2471" s="1"/>
      <c r="L2471" s="1"/>
      <c r="M2471" s="1"/>
    </row>
    <row x14ac:dyDescent="0.25" r="2472" customHeight="1" ht="18.75">
      <c r="A2472" s="1" t="s">
        <v>3693</v>
      </c>
      <c r="B2472" s="1" t="s">
        <v>4083</v>
      </c>
      <c r="C2472" s="1" t="s">
        <v>3600</v>
      </c>
      <c r="D2472" s="1" t="s">
        <v>3601</v>
      </c>
      <c r="E2472" s="1" t="s">
        <v>3893</v>
      </c>
      <c r="F2472" s="1" t="s">
        <v>10352</v>
      </c>
      <c r="G2472" s="1" t="s">
        <v>4344</v>
      </c>
      <c r="H2472" s="1" t="s">
        <v>3604</v>
      </c>
      <c r="I2472" s="1" t="s">
        <v>10353</v>
      </c>
      <c r="J2472" s="1" t="s">
        <v>3606</v>
      </c>
      <c r="K2472" s="1"/>
      <c r="L2472" s="1"/>
      <c r="M2472" s="1"/>
    </row>
    <row x14ac:dyDescent="0.25" r="2473" customHeight="1" ht="18.75">
      <c r="A2473" s="1" t="s">
        <v>3693</v>
      </c>
      <c r="B2473" s="1" t="s">
        <v>4083</v>
      </c>
      <c r="C2473" s="1" t="s">
        <v>3600</v>
      </c>
      <c r="D2473" s="1" t="s">
        <v>3601</v>
      </c>
      <c r="E2473" s="1" t="s">
        <v>3893</v>
      </c>
      <c r="F2473" s="1" t="s">
        <v>10354</v>
      </c>
      <c r="G2473" s="1" t="s">
        <v>4428</v>
      </c>
      <c r="H2473" s="1" t="s">
        <v>3604</v>
      </c>
      <c r="I2473" s="1" t="s">
        <v>10355</v>
      </c>
      <c r="J2473" s="1" t="s">
        <v>3606</v>
      </c>
      <c r="K2473" s="1"/>
      <c r="L2473" s="1"/>
      <c r="M2473" s="1"/>
    </row>
    <row x14ac:dyDescent="0.25" r="2474" customHeight="1" ht="18.75">
      <c r="A2474" s="1" t="s">
        <v>3693</v>
      </c>
      <c r="B2474" s="1" t="s">
        <v>4083</v>
      </c>
      <c r="C2474" s="1" t="s">
        <v>3600</v>
      </c>
      <c r="D2474" s="1" t="s">
        <v>3601</v>
      </c>
      <c r="E2474" s="1" t="s">
        <v>3893</v>
      </c>
      <c r="F2474" s="1" t="s">
        <v>10356</v>
      </c>
      <c r="G2474" s="1" t="s">
        <v>10357</v>
      </c>
      <c r="H2474" s="1" t="s">
        <v>3604</v>
      </c>
      <c r="I2474" s="1" t="s">
        <v>10358</v>
      </c>
      <c r="J2474" s="1" t="s">
        <v>3606</v>
      </c>
      <c r="K2474" s="1"/>
      <c r="L2474" s="1"/>
      <c r="M2474" s="1"/>
    </row>
    <row x14ac:dyDescent="0.25" r="2475" customHeight="1" ht="18.75">
      <c r="A2475" s="1" t="s">
        <v>3693</v>
      </c>
      <c r="B2475" s="1" t="s">
        <v>4083</v>
      </c>
      <c r="C2475" s="1" t="s">
        <v>3600</v>
      </c>
      <c r="D2475" s="1" t="s">
        <v>3601</v>
      </c>
      <c r="E2475" s="1" t="s">
        <v>3611</v>
      </c>
      <c r="F2475" s="1" t="s">
        <v>10359</v>
      </c>
      <c r="G2475" s="1" t="s">
        <v>10360</v>
      </c>
      <c r="H2475" s="1" t="s">
        <v>3604</v>
      </c>
      <c r="I2475" s="1" t="s">
        <v>10361</v>
      </c>
      <c r="J2475" s="1" t="s">
        <v>3606</v>
      </c>
      <c r="K2475" s="1"/>
      <c r="L2475" s="1"/>
      <c r="M2475" s="1"/>
    </row>
    <row x14ac:dyDescent="0.25" r="2476" customHeight="1" ht="18.75">
      <c r="A2476" s="1" t="s">
        <v>3693</v>
      </c>
      <c r="B2476" s="1" t="s">
        <v>4083</v>
      </c>
      <c r="C2476" s="1" t="s">
        <v>3600</v>
      </c>
      <c r="D2476" s="1" t="s">
        <v>3695</v>
      </c>
      <c r="E2476" s="1" t="s">
        <v>3893</v>
      </c>
      <c r="F2476" s="1" t="s">
        <v>10362</v>
      </c>
      <c r="G2476" s="1" t="s">
        <v>4346</v>
      </c>
      <c r="H2476" s="1" t="s">
        <v>3604</v>
      </c>
      <c r="I2476" s="1" t="s">
        <v>10363</v>
      </c>
      <c r="J2476" s="1" t="s">
        <v>3615</v>
      </c>
      <c r="K2476" s="1" t="s">
        <v>10364</v>
      </c>
      <c r="L2476" s="1"/>
      <c r="M2476" s="1"/>
    </row>
    <row x14ac:dyDescent="0.25" r="2477" customHeight="1" ht="18.75">
      <c r="A2477" s="1" t="s">
        <v>3693</v>
      </c>
      <c r="B2477" s="1" t="s">
        <v>7026</v>
      </c>
      <c r="C2477" s="1" t="s">
        <v>3600</v>
      </c>
      <c r="D2477" s="1" t="s">
        <v>3601</v>
      </c>
      <c r="E2477" s="1" t="s">
        <v>3664</v>
      </c>
      <c r="F2477" s="1" t="s">
        <v>10365</v>
      </c>
      <c r="G2477" s="1" t="s">
        <v>10366</v>
      </c>
      <c r="H2477" s="1" t="s">
        <v>3604</v>
      </c>
      <c r="I2477" s="1" t="s">
        <v>10367</v>
      </c>
      <c r="J2477" s="1" t="s">
        <v>3615</v>
      </c>
      <c r="K2477" s="1" t="s">
        <v>10368</v>
      </c>
      <c r="L2477" s="1"/>
      <c r="M2477" s="1"/>
    </row>
    <row x14ac:dyDescent="0.25" r="2478" customHeight="1" ht="18.75">
      <c r="A2478" s="1" t="s">
        <v>3693</v>
      </c>
      <c r="B2478" s="1" t="s">
        <v>4247</v>
      </c>
      <c r="C2478" s="1" t="s">
        <v>3600</v>
      </c>
      <c r="D2478" s="1" t="s">
        <v>3601</v>
      </c>
      <c r="E2478" s="1" t="s">
        <v>3893</v>
      </c>
      <c r="F2478" s="1" t="s">
        <v>10369</v>
      </c>
      <c r="G2478" s="1" t="s">
        <v>4384</v>
      </c>
      <c r="H2478" s="1" t="s">
        <v>3604</v>
      </c>
      <c r="I2478" s="1" t="s">
        <v>10370</v>
      </c>
      <c r="J2478" s="1" t="s">
        <v>3615</v>
      </c>
      <c r="K2478" s="1" t="s">
        <v>10371</v>
      </c>
      <c r="L2478" s="1"/>
      <c r="M2478" s="1"/>
    </row>
    <row x14ac:dyDescent="0.25" r="2479" customHeight="1" ht="18.75">
      <c r="A2479" s="1" t="s">
        <v>3693</v>
      </c>
      <c r="B2479" s="1" t="s">
        <v>4267</v>
      </c>
      <c r="C2479" s="1" t="s">
        <v>3600</v>
      </c>
      <c r="D2479" s="1" t="s">
        <v>3601</v>
      </c>
      <c r="E2479" s="1" t="s">
        <v>3893</v>
      </c>
      <c r="F2479" s="1" t="s">
        <v>10372</v>
      </c>
      <c r="G2479" s="1" t="s">
        <v>4268</v>
      </c>
      <c r="H2479" s="1" t="s">
        <v>3604</v>
      </c>
      <c r="I2479" s="1" t="s">
        <v>10373</v>
      </c>
      <c r="J2479" s="1" t="s">
        <v>3606</v>
      </c>
      <c r="K2479" s="1" t="s">
        <v>10374</v>
      </c>
      <c r="L2479" s="1"/>
      <c r="M2479" s="1"/>
    </row>
    <row x14ac:dyDescent="0.25" r="2480" customHeight="1" ht="18.75">
      <c r="A2480" s="1" t="s">
        <v>3693</v>
      </c>
      <c r="B2480" s="1" t="s">
        <v>4267</v>
      </c>
      <c r="C2480" s="1" t="s">
        <v>3600</v>
      </c>
      <c r="D2480" s="1" t="s">
        <v>3601</v>
      </c>
      <c r="E2480" s="1" t="s">
        <v>3664</v>
      </c>
      <c r="F2480" s="1" t="s">
        <v>10375</v>
      </c>
      <c r="G2480" s="1" t="s">
        <v>4268</v>
      </c>
      <c r="H2480" s="1" t="s">
        <v>3604</v>
      </c>
      <c r="I2480" s="1" t="s">
        <v>10376</v>
      </c>
      <c r="J2480" s="1" t="s">
        <v>3606</v>
      </c>
      <c r="K2480" s="1" t="s">
        <v>10377</v>
      </c>
      <c r="L2480" s="1"/>
      <c r="M2480" s="1"/>
    </row>
    <row x14ac:dyDescent="0.25" r="2481" customHeight="1" ht="18.75">
      <c r="A2481" s="1" t="s">
        <v>3693</v>
      </c>
      <c r="B2481" s="1" t="s">
        <v>4267</v>
      </c>
      <c r="C2481" s="1" t="s">
        <v>3600</v>
      </c>
      <c r="D2481" s="1" t="s">
        <v>3601</v>
      </c>
      <c r="E2481" s="1" t="s">
        <v>3893</v>
      </c>
      <c r="F2481" s="1" t="s">
        <v>10378</v>
      </c>
      <c r="G2481" s="1" t="s">
        <v>4268</v>
      </c>
      <c r="H2481" s="1" t="s">
        <v>3604</v>
      </c>
      <c r="I2481" s="1" t="s">
        <v>10379</v>
      </c>
      <c r="J2481" s="1" t="s">
        <v>3615</v>
      </c>
      <c r="K2481" s="1" t="s">
        <v>10380</v>
      </c>
      <c r="L2481" s="1"/>
      <c r="M2481" s="1"/>
    </row>
    <row x14ac:dyDescent="0.25" r="2482" customHeight="1" ht="18.75">
      <c r="A2482" s="1" t="s">
        <v>3693</v>
      </c>
      <c r="B2482" s="1" t="s">
        <v>7026</v>
      </c>
      <c r="C2482" s="1" t="s">
        <v>3600</v>
      </c>
      <c r="D2482" s="1" t="s">
        <v>3601</v>
      </c>
      <c r="E2482" s="1" t="s">
        <v>3664</v>
      </c>
      <c r="F2482" s="1" t="s">
        <v>10381</v>
      </c>
      <c r="G2482" s="1" t="s">
        <v>10382</v>
      </c>
      <c r="H2482" s="1" t="s">
        <v>3604</v>
      </c>
      <c r="I2482" s="1" t="s">
        <v>10383</v>
      </c>
      <c r="J2482" s="1" t="s">
        <v>3606</v>
      </c>
      <c r="K2482" s="1"/>
      <c r="L2482" s="1"/>
      <c r="M2482" s="1"/>
    </row>
    <row x14ac:dyDescent="0.25" r="2483" customHeight="1" ht="18.75">
      <c r="A2483" s="1" t="s">
        <v>3693</v>
      </c>
      <c r="B2483" s="1" t="s">
        <v>4267</v>
      </c>
      <c r="C2483" s="1" t="s">
        <v>3600</v>
      </c>
      <c r="D2483" s="1" t="s">
        <v>3601</v>
      </c>
      <c r="E2483" s="1" t="s">
        <v>3893</v>
      </c>
      <c r="F2483" s="1" t="s">
        <v>10384</v>
      </c>
      <c r="G2483" s="1" t="s">
        <v>4268</v>
      </c>
      <c r="H2483" s="1" t="s">
        <v>3604</v>
      </c>
      <c r="I2483" s="1" t="s">
        <v>10385</v>
      </c>
      <c r="J2483" s="1" t="s">
        <v>3615</v>
      </c>
      <c r="K2483" s="1" t="s">
        <v>10386</v>
      </c>
      <c r="L2483" s="1"/>
      <c r="M2483" s="1"/>
    </row>
    <row x14ac:dyDescent="0.25" r="2484" customHeight="1" ht="18.75">
      <c r="A2484" s="1" t="s">
        <v>3693</v>
      </c>
      <c r="B2484" s="1" t="s">
        <v>7026</v>
      </c>
      <c r="C2484" s="1" t="s">
        <v>3600</v>
      </c>
      <c r="D2484" s="1" t="s">
        <v>3601</v>
      </c>
      <c r="E2484" s="1" t="s">
        <v>3611</v>
      </c>
      <c r="F2484" s="1" t="s">
        <v>10387</v>
      </c>
      <c r="G2484" s="1" t="s">
        <v>7084</v>
      </c>
      <c r="H2484" s="1" t="s">
        <v>3604</v>
      </c>
      <c r="I2484" s="1" t="s">
        <v>10388</v>
      </c>
      <c r="J2484" s="1" t="s">
        <v>3606</v>
      </c>
      <c r="K2484" s="1"/>
      <c r="L2484" s="1"/>
      <c r="M2484" s="1"/>
    </row>
    <row x14ac:dyDescent="0.25" r="2485" customHeight="1" ht="18.75">
      <c r="A2485" s="1" t="s">
        <v>3693</v>
      </c>
      <c r="B2485" s="1" t="s">
        <v>7098</v>
      </c>
      <c r="C2485" s="1" t="s">
        <v>3600</v>
      </c>
      <c r="D2485" s="1" t="s">
        <v>3601</v>
      </c>
      <c r="E2485" s="1" t="s">
        <v>3664</v>
      </c>
      <c r="F2485" s="1" t="s">
        <v>10389</v>
      </c>
      <c r="G2485" s="1" t="s">
        <v>10390</v>
      </c>
      <c r="H2485" s="1" t="s">
        <v>3604</v>
      </c>
      <c r="I2485" s="1" t="s">
        <v>10391</v>
      </c>
      <c r="J2485" s="1" t="s">
        <v>3606</v>
      </c>
      <c r="K2485" s="1"/>
      <c r="L2485" s="1"/>
      <c r="M2485" s="1"/>
    </row>
    <row x14ac:dyDescent="0.25" r="2486" customHeight="1" ht="18.75">
      <c r="A2486" s="1" t="s">
        <v>3693</v>
      </c>
      <c r="B2486" s="1" t="s">
        <v>7098</v>
      </c>
      <c r="C2486" s="1" t="s">
        <v>3600</v>
      </c>
      <c r="D2486" s="1" t="s">
        <v>3601</v>
      </c>
      <c r="E2486" s="1" t="s">
        <v>3664</v>
      </c>
      <c r="F2486" s="1" t="s">
        <v>10392</v>
      </c>
      <c r="G2486" s="1" t="s">
        <v>10393</v>
      </c>
      <c r="H2486" s="1" t="s">
        <v>3604</v>
      </c>
      <c r="I2486" s="1" t="s">
        <v>10394</v>
      </c>
      <c r="J2486" s="1" t="s">
        <v>3606</v>
      </c>
      <c r="K2486" s="1"/>
      <c r="L2486" s="1"/>
      <c r="M2486" s="1"/>
    </row>
    <row x14ac:dyDescent="0.25" r="2487" customHeight="1" ht="18.75">
      <c r="A2487" s="1" t="s">
        <v>3693</v>
      </c>
      <c r="B2487" s="1" t="s">
        <v>7098</v>
      </c>
      <c r="C2487" s="1" t="s">
        <v>3600</v>
      </c>
      <c r="D2487" s="1" t="s">
        <v>3601</v>
      </c>
      <c r="E2487" s="1" t="s">
        <v>3664</v>
      </c>
      <c r="F2487" s="1" t="s">
        <v>10395</v>
      </c>
      <c r="G2487" s="1" t="s">
        <v>10396</v>
      </c>
      <c r="H2487" s="1" t="s">
        <v>3604</v>
      </c>
      <c r="I2487" s="1" t="s">
        <v>10397</v>
      </c>
      <c r="J2487" s="1" t="s">
        <v>3606</v>
      </c>
      <c r="K2487" s="1"/>
      <c r="L2487" s="1"/>
      <c r="M2487" s="1"/>
    </row>
    <row x14ac:dyDescent="0.25" r="2488" customHeight="1" ht="18.75">
      <c r="A2488" s="1" t="s">
        <v>3693</v>
      </c>
      <c r="B2488" s="1" t="s">
        <v>7098</v>
      </c>
      <c r="C2488" s="1" t="s">
        <v>3600</v>
      </c>
      <c r="D2488" s="1" t="s">
        <v>3601</v>
      </c>
      <c r="E2488" s="1" t="s">
        <v>3611</v>
      </c>
      <c r="F2488" s="1" t="s">
        <v>10398</v>
      </c>
      <c r="G2488" s="1" t="s">
        <v>10399</v>
      </c>
      <c r="H2488" s="1" t="s">
        <v>3604</v>
      </c>
      <c r="I2488" s="1" t="s">
        <v>10400</v>
      </c>
      <c r="J2488" s="1" t="s">
        <v>3606</v>
      </c>
      <c r="K2488" s="1"/>
      <c r="L2488" s="1"/>
      <c r="M2488" s="1"/>
    </row>
    <row x14ac:dyDescent="0.25" r="2489" customHeight="1" ht="18.75">
      <c r="A2489" s="1" t="s">
        <v>3693</v>
      </c>
      <c r="B2489" s="1" t="s">
        <v>4237</v>
      </c>
      <c r="C2489" s="1" t="s">
        <v>3600</v>
      </c>
      <c r="D2489" s="1" t="s">
        <v>3601</v>
      </c>
      <c r="E2489" s="1" t="s">
        <v>3664</v>
      </c>
      <c r="F2489" s="1" t="s">
        <v>10401</v>
      </c>
      <c r="G2489" s="1" t="s">
        <v>10402</v>
      </c>
      <c r="H2489" s="1" t="s">
        <v>3604</v>
      </c>
      <c r="I2489" s="1" t="s">
        <v>10403</v>
      </c>
      <c r="J2489" s="1" t="s">
        <v>3606</v>
      </c>
      <c r="K2489" s="1"/>
      <c r="L2489" s="1"/>
      <c r="M2489" s="1"/>
    </row>
    <row x14ac:dyDescent="0.25" r="2490" customHeight="1" ht="18.75">
      <c r="A2490" s="1" t="s">
        <v>3693</v>
      </c>
      <c r="B2490" s="1" t="s">
        <v>4237</v>
      </c>
      <c r="C2490" s="1" t="s">
        <v>3600</v>
      </c>
      <c r="D2490" s="1" t="s">
        <v>3601</v>
      </c>
      <c r="E2490" s="1" t="s">
        <v>3664</v>
      </c>
      <c r="F2490" s="1" t="s">
        <v>10404</v>
      </c>
      <c r="G2490" s="1" t="s">
        <v>10405</v>
      </c>
      <c r="H2490" s="1" t="s">
        <v>3604</v>
      </c>
      <c r="I2490" s="1" t="s">
        <v>10406</v>
      </c>
      <c r="J2490" s="1" t="s">
        <v>3606</v>
      </c>
      <c r="K2490" s="1"/>
      <c r="L2490" s="1"/>
      <c r="M2490" s="1"/>
    </row>
    <row x14ac:dyDescent="0.25" r="2491" customHeight="1" ht="18.75">
      <c r="A2491" s="1" t="s">
        <v>3693</v>
      </c>
      <c r="B2491" s="1" t="s">
        <v>4237</v>
      </c>
      <c r="C2491" s="1" t="s">
        <v>3600</v>
      </c>
      <c r="D2491" s="1" t="s">
        <v>3601</v>
      </c>
      <c r="E2491" s="1" t="s">
        <v>3664</v>
      </c>
      <c r="F2491" s="1" t="s">
        <v>10407</v>
      </c>
      <c r="G2491" s="1" t="s">
        <v>10408</v>
      </c>
      <c r="H2491" s="1" t="s">
        <v>3604</v>
      </c>
      <c r="I2491" s="1" t="s">
        <v>10409</v>
      </c>
      <c r="J2491" s="1" t="s">
        <v>3606</v>
      </c>
      <c r="K2491" s="1"/>
      <c r="L2491" s="1"/>
      <c r="M2491" s="1"/>
    </row>
    <row x14ac:dyDescent="0.25" r="2492" customHeight="1" ht="18.75">
      <c r="A2492" s="1" t="s">
        <v>3693</v>
      </c>
      <c r="B2492" s="1" t="s">
        <v>4237</v>
      </c>
      <c r="C2492" s="1" t="s">
        <v>3600</v>
      </c>
      <c r="D2492" s="1" t="s">
        <v>3601</v>
      </c>
      <c r="E2492" s="1" t="s">
        <v>3664</v>
      </c>
      <c r="F2492" s="1" t="s">
        <v>10410</v>
      </c>
      <c r="G2492" s="1" t="s">
        <v>10411</v>
      </c>
      <c r="H2492" s="1" t="s">
        <v>3604</v>
      </c>
      <c r="I2492" s="1" t="s">
        <v>10412</v>
      </c>
      <c r="J2492" s="1" t="s">
        <v>3606</v>
      </c>
      <c r="K2492" s="1"/>
      <c r="L2492" s="1"/>
      <c r="M2492" s="1"/>
    </row>
    <row x14ac:dyDescent="0.25" r="2493" customHeight="1" ht="18.75">
      <c r="A2493" s="1" t="s">
        <v>3693</v>
      </c>
      <c r="B2493" s="1" t="s">
        <v>4192</v>
      </c>
      <c r="C2493" s="1" t="s">
        <v>3600</v>
      </c>
      <c r="D2493" s="1" t="s">
        <v>3601</v>
      </c>
      <c r="E2493" s="1" t="s">
        <v>3664</v>
      </c>
      <c r="F2493" s="1" t="s">
        <v>5842</v>
      </c>
      <c r="G2493" s="1" t="s">
        <v>6597</v>
      </c>
      <c r="H2493" s="1" t="s">
        <v>3604</v>
      </c>
      <c r="I2493" s="1" t="s">
        <v>10413</v>
      </c>
      <c r="J2493" s="1" t="s">
        <v>3615</v>
      </c>
      <c r="K2493" s="1" t="s">
        <v>10414</v>
      </c>
      <c r="L2493" s="1"/>
      <c r="M2493" s="1"/>
    </row>
    <row x14ac:dyDescent="0.25" r="2494" customHeight="1" ht="18.75">
      <c r="A2494" s="1" t="s">
        <v>3693</v>
      </c>
      <c r="B2494" s="1" t="s">
        <v>4237</v>
      </c>
      <c r="C2494" s="1" t="s">
        <v>3600</v>
      </c>
      <c r="D2494" s="1" t="s">
        <v>3601</v>
      </c>
      <c r="E2494" s="1" t="s">
        <v>3611</v>
      </c>
      <c r="F2494" s="1" t="s">
        <v>10415</v>
      </c>
      <c r="G2494" s="1" t="s">
        <v>4238</v>
      </c>
      <c r="H2494" s="1" t="s">
        <v>3604</v>
      </c>
      <c r="I2494" s="1" t="s">
        <v>10416</v>
      </c>
      <c r="J2494" s="1" t="s">
        <v>3606</v>
      </c>
      <c r="K2494" s="1"/>
      <c r="L2494" s="1"/>
      <c r="M2494" s="1"/>
    </row>
    <row x14ac:dyDescent="0.25" r="2495" customHeight="1" ht="18.75">
      <c r="A2495" s="1" t="s">
        <v>3693</v>
      </c>
      <c r="B2495" s="1" t="s">
        <v>4125</v>
      </c>
      <c r="C2495" s="1" t="s">
        <v>3619</v>
      </c>
      <c r="D2495" s="1" t="s">
        <v>3601</v>
      </c>
      <c r="E2495" s="1" t="s">
        <v>3664</v>
      </c>
      <c r="F2495" s="1" t="s">
        <v>10417</v>
      </c>
      <c r="G2495" s="1" t="s">
        <v>10418</v>
      </c>
      <c r="H2495" s="1" t="s">
        <v>3604</v>
      </c>
      <c r="I2495" s="1" t="s">
        <v>10419</v>
      </c>
      <c r="J2495" s="1" t="s">
        <v>3606</v>
      </c>
      <c r="K2495" s="1"/>
      <c r="L2495" s="1"/>
      <c r="M2495" s="1"/>
    </row>
    <row x14ac:dyDescent="0.25" r="2496" customHeight="1" ht="18.75">
      <c r="A2496" s="1" t="s">
        <v>3693</v>
      </c>
      <c r="B2496" s="1" t="s">
        <v>4125</v>
      </c>
      <c r="C2496" s="1" t="s">
        <v>3619</v>
      </c>
      <c r="D2496" s="1" t="s">
        <v>3601</v>
      </c>
      <c r="E2496" s="1" t="s">
        <v>3664</v>
      </c>
      <c r="F2496" s="1" t="s">
        <v>10420</v>
      </c>
      <c r="G2496" s="1" t="s">
        <v>4126</v>
      </c>
      <c r="H2496" s="1" t="s">
        <v>3604</v>
      </c>
      <c r="I2496" s="1" t="s">
        <v>10421</v>
      </c>
      <c r="J2496" s="1" t="s">
        <v>3606</v>
      </c>
      <c r="K2496" s="1"/>
      <c r="L2496" s="1"/>
      <c r="M2496" s="1"/>
    </row>
    <row x14ac:dyDescent="0.25" r="2497" customHeight="1" ht="18.75">
      <c r="A2497" s="1" t="s">
        <v>3693</v>
      </c>
      <c r="B2497" s="1" t="s">
        <v>4192</v>
      </c>
      <c r="C2497" s="1" t="s">
        <v>3600</v>
      </c>
      <c r="D2497" s="1" t="s">
        <v>3601</v>
      </c>
      <c r="E2497" s="1" t="s">
        <v>3893</v>
      </c>
      <c r="F2497" s="1" t="s">
        <v>10422</v>
      </c>
      <c r="G2497" s="1" t="s">
        <v>4551</v>
      </c>
      <c r="H2497" s="1" t="s">
        <v>3604</v>
      </c>
      <c r="I2497" s="1" t="s">
        <v>10423</v>
      </c>
      <c r="J2497" s="1" t="s">
        <v>3606</v>
      </c>
      <c r="K2497" s="1"/>
      <c r="L2497" s="1"/>
      <c r="M2497" s="1"/>
    </row>
    <row x14ac:dyDescent="0.25" r="2498" customHeight="1" ht="18.75">
      <c r="A2498" s="1" t="s">
        <v>3693</v>
      </c>
      <c r="B2498" s="1" t="s">
        <v>4225</v>
      </c>
      <c r="C2498" s="1" t="s">
        <v>3619</v>
      </c>
      <c r="D2498" s="1" t="s">
        <v>3601</v>
      </c>
      <c r="E2498" s="1" t="s">
        <v>3664</v>
      </c>
      <c r="F2498" s="1" t="s">
        <v>10424</v>
      </c>
      <c r="G2498" s="1" t="s">
        <v>10425</v>
      </c>
      <c r="H2498" s="1" t="s">
        <v>3604</v>
      </c>
      <c r="I2498" s="1" t="s">
        <v>10426</v>
      </c>
      <c r="J2498" s="1" t="s">
        <v>3606</v>
      </c>
      <c r="K2498" s="1"/>
      <c r="L2498" s="1"/>
      <c r="M2498" s="1"/>
    </row>
    <row x14ac:dyDescent="0.25" r="2499" customHeight="1" ht="18.75">
      <c r="A2499" s="1" t="s">
        <v>3693</v>
      </c>
      <c r="B2499" s="1" t="s">
        <v>4225</v>
      </c>
      <c r="C2499" s="1" t="s">
        <v>3619</v>
      </c>
      <c r="D2499" s="1" t="s">
        <v>3601</v>
      </c>
      <c r="E2499" s="1" t="s">
        <v>3664</v>
      </c>
      <c r="F2499" s="1" t="s">
        <v>10427</v>
      </c>
      <c r="G2499" s="1" t="s">
        <v>10428</v>
      </c>
      <c r="H2499" s="1" t="s">
        <v>3604</v>
      </c>
      <c r="I2499" s="1" t="s">
        <v>10429</v>
      </c>
      <c r="J2499" s="1" t="s">
        <v>3606</v>
      </c>
      <c r="K2499" s="1"/>
      <c r="L2499" s="1"/>
      <c r="M2499" s="1"/>
    </row>
    <row x14ac:dyDescent="0.25" r="2500" customHeight="1" ht="18.75">
      <c r="A2500" s="1" t="s">
        <v>3693</v>
      </c>
      <c r="B2500" s="1" t="s">
        <v>4192</v>
      </c>
      <c r="C2500" s="1" t="s">
        <v>3600</v>
      </c>
      <c r="D2500" s="1" t="s">
        <v>3601</v>
      </c>
      <c r="E2500" s="1" t="s">
        <v>3664</v>
      </c>
      <c r="F2500" s="1" t="s">
        <v>10430</v>
      </c>
      <c r="G2500" s="1" t="s">
        <v>5772</v>
      </c>
      <c r="H2500" s="1" t="s">
        <v>3604</v>
      </c>
      <c r="I2500" s="1" t="s">
        <v>10431</v>
      </c>
      <c r="J2500" s="1" t="s">
        <v>3606</v>
      </c>
      <c r="K2500" s="1"/>
      <c r="L2500" s="1"/>
      <c r="M2500" s="1"/>
    </row>
    <row x14ac:dyDescent="0.25" r="2501" customHeight="1" ht="18.75">
      <c r="A2501" s="1" t="s">
        <v>3693</v>
      </c>
      <c r="B2501" s="1" t="s">
        <v>4225</v>
      </c>
      <c r="C2501" s="1" t="s">
        <v>3619</v>
      </c>
      <c r="D2501" s="1" t="s">
        <v>3601</v>
      </c>
      <c r="E2501" s="1" t="s">
        <v>3664</v>
      </c>
      <c r="F2501" s="1" t="s">
        <v>10432</v>
      </c>
      <c r="G2501" s="1" t="s">
        <v>10433</v>
      </c>
      <c r="H2501" s="1" t="s">
        <v>3604</v>
      </c>
      <c r="I2501" s="1" t="s">
        <v>10434</v>
      </c>
      <c r="J2501" s="1" t="s">
        <v>3606</v>
      </c>
      <c r="K2501" s="1"/>
      <c r="L2501" s="1"/>
      <c r="M2501" s="1"/>
    </row>
    <row x14ac:dyDescent="0.25" r="2502" customHeight="1" ht="18.75">
      <c r="A2502" s="1" t="s">
        <v>3693</v>
      </c>
      <c r="B2502" s="1" t="s">
        <v>4225</v>
      </c>
      <c r="C2502" s="1" t="s">
        <v>3619</v>
      </c>
      <c r="D2502" s="1" t="s">
        <v>3601</v>
      </c>
      <c r="E2502" s="1" t="s">
        <v>3664</v>
      </c>
      <c r="F2502" s="1" t="s">
        <v>10435</v>
      </c>
      <c r="G2502" s="1" t="s">
        <v>4227</v>
      </c>
      <c r="H2502" s="1" t="s">
        <v>3604</v>
      </c>
      <c r="I2502" s="1" t="s">
        <v>10436</v>
      </c>
      <c r="J2502" s="1" t="s">
        <v>3606</v>
      </c>
      <c r="K2502" s="1"/>
      <c r="L2502" s="1"/>
      <c r="M2502" s="1"/>
    </row>
    <row x14ac:dyDescent="0.25" r="2503" customHeight="1" ht="18.75">
      <c r="A2503" s="1" t="s">
        <v>3693</v>
      </c>
      <c r="B2503" s="1" t="s">
        <v>4192</v>
      </c>
      <c r="C2503" s="1" t="s">
        <v>3600</v>
      </c>
      <c r="D2503" s="1" t="s">
        <v>3601</v>
      </c>
      <c r="E2503" s="1" t="s">
        <v>3893</v>
      </c>
      <c r="F2503" s="1" t="s">
        <v>10437</v>
      </c>
      <c r="G2503" s="1" t="s">
        <v>4342</v>
      </c>
      <c r="H2503" s="1" t="s">
        <v>3604</v>
      </c>
      <c r="I2503" s="1" t="s">
        <v>10438</v>
      </c>
      <c r="J2503" s="1" t="s">
        <v>3606</v>
      </c>
      <c r="K2503" s="1"/>
      <c r="L2503" s="1"/>
      <c r="M2503" s="1"/>
    </row>
    <row x14ac:dyDescent="0.25" r="2504" customHeight="1" ht="18.75">
      <c r="A2504" s="1" t="s">
        <v>3693</v>
      </c>
      <c r="B2504" s="1" t="s">
        <v>4083</v>
      </c>
      <c r="C2504" s="1" t="s">
        <v>3600</v>
      </c>
      <c r="D2504" s="1" t="s">
        <v>3695</v>
      </c>
      <c r="E2504" s="1" t="s">
        <v>3893</v>
      </c>
      <c r="F2504" s="1" t="s">
        <v>10439</v>
      </c>
      <c r="G2504" s="1" t="s">
        <v>4553</v>
      </c>
      <c r="H2504" s="1" t="s">
        <v>3604</v>
      </c>
      <c r="I2504" s="1" t="s">
        <v>10440</v>
      </c>
      <c r="J2504" s="1" t="s">
        <v>3615</v>
      </c>
      <c r="K2504" s="1" t="s">
        <v>10441</v>
      </c>
      <c r="L2504" s="1"/>
      <c r="M2504" s="1"/>
    </row>
    <row x14ac:dyDescent="0.25" r="2505" customHeight="1" ht="18.75">
      <c r="A2505" s="1" t="s">
        <v>3693</v>
      </c>
      <c r="B2505" s="1" t="s">
        <v>6629</v>
      </c>
      <c r="C2505" s="1" t="s">
        <v>3619</v>
      </c>
      <c r="D2505" s="1" t="s">
        <v>3601</v>
      </c>
      <c r="E2505" s="1" t="s">
        <v>3893</v>
      </c>
      <c r="F2505" s="1" t="s">
        <v>10442</v>
      </c>
      <c r="G2505" s="1" t="s">
        <v>10443</v>
      </c>
      <c r="H2505" s="1" t="s">
        <v>3604</v>
      </c>
      <c r="I2505" s="1" t="s">
        <v>10444</v>
      </c>
      <c r="J2505" s="1" t="s">
        <v>3615</v>
      </c>
      <c r="K2505" s="1" t="s">
        <v>10445</v>
      </c>
      <c r="L2505" s="1"/>
      <c r="M2505" s="1"/>
    </row>
    <row x14ac:dyDescent="0.25" r="2506" customHeight="1" ht="18.75">
      <c r="A2506" s="1" t="s">
        <v>3693</v>
      </c>
      <c r="B2506" s="1" t="s">
        <v>4083</v>
      </c>
      <c r="C2506" s="1" t="s">
        <v>3600</v>
      </c>
      <c r="D2506" s="1" t="s">
        <v>3695</v>
      </c>
      <c r="E2506" s="1" t="s">
        <v>3664</v>
      </c>
      <c r="F2506" s="1" t="s">
        <v>10446</v>
      </c>
      <c r="G2506" s="1" t="s">
        <v>5667</v>
      </c>
      <c r="H2506" s="1" t="s">
        <v>3604</v>
      </c>
      <c r="I2506" s="1" t="s">
        <v>10447</v>
      </c>
      <c r="J2506" s="1" t="s">
        <v>3615</v>
      </c>
      <c r="K2506" s="1" t="s">
        <v>10448</v>
      </c>
      <c r="L2506" s="1"/>
      <c r="M2506" s="1"/>
    </row>
    <row x14ac:dyDescent="0.25" r="2507" customHeight="1" ht="18.75">
      <c r="A2507" s="1" t="s">
        <v>3693</v>
      </c>
      <c r="B2507" s="1" t="s">
        <v>4192</v>
      </c>
      <c r="C2507" s="1" t="s">
        <v>3600</v>
      </c>
      <c r="D2507" s="1" t="s">
        <v>3601</v>
      </c>
      <c r="E2507" s="1" t="s">
        <v>3893</v>
      </c>
      <c r="F2507" s="1" t="s">
        <v>10449</v>
      </c>
      <c r="G2507" s="1" t="s">
        <v>4422</v>
      </c>
      <c r="H2507" s="1" t="s">
        <v>3604</v>
      </c>
      <c r="I2507" s="1" t="s">
        <v>10450</v>
      </c>
      <c r="J2507" s="1" t="s">
        <v>3606</v>
      </c>
      <c r="K2507" s="1"/>
      <c r="L2507" s="1"/>
      <c r="M2507" s="1"/>
    </row>
    <row x14ac:dyDescent="0.25" r="2508" customHeight="1" ht="18.75">
      <c r="A2508" s="1" t="s">
        <v>3693</v>
      </c>
      <c r="B2508" s="1" t="s">
        <v>6975</v>
      </c>
      <c r="C2508" s="1" t="s">
        <v>3600</v>
      </c>
      <c r="D2508" s="1" t="s">
        <v>3601</v>
      </c>
      <c r="E2508" s="1" t="s">
        <v>3664</v>
      </c>
      <c r="F2508" s="1" t="s">
        <v>10451</v>
      </c>
      <c r="G2508" s="1" t="s">
        <v>10452</v>
      </c>
      <c r="H2508" s="1" t="s">
        <v>3604</v>
      </c>
      <c r="I2508" s="1" t="s">
        <v>10453</v>
      </c>
      <c r="J2508" s="1" t="s">
        <v>3606</v>
      </c>
      <c r="K2508" s="1"/>
      <c r="L2508" s="1"/>
      <c r="M2508" s="1"/>
    </row>
    <row x14ac:dyDescent="0.25" r="2509" customHeight="1" ht="18.75">
      <c r="A2509" s="1" t="s">
        <v>3693</v>
      </c>
      <c r="B2509" s="1" t="s">
        <v>4192</v>
      </c>
      <c r="C2509" s="1" t="s">
        <v>3600</v>
      </c>
      <c r="D2509" s="1" t="s">
        <v>3601</v>
      </c>
      <c r="E2509" s="1" t="s">
        <v>3893</v>
      </c>
      <c r="F2509" s="1" t="s">
        <v>10454</v>
      </c>
      <c r="G2509" s="1" t="s">
        <v>4349</v>
      </c>
      <c r="H2509" s="1" t="s">
        <v>3604</v>
      </c>
      <c r="I2509" s="1" t="s">
        <v>10455</v>
      </c>
      <c r="J2509" s="1" t="s">
        <v>3606</v>
      </c>
      <c r="K2509" s="1"/>
      <c r="L2509" s="1"/>
      <c r="M2509" s="1"/>
    </row>
    <row x14ac:dyDescent="0.25" r="2510" customHeight="1" ht="18.75">
      <c r="A2510" s="1" t="s">
        <v>3693</v>
      </c>
      <c r="B2510" s="1" t="s">
        <v>6975</v>
      </c>
      <c r="C2510" s="1" t="s">
        <v>3600</v>
      </c>
      <c r="D2510" s="1" t="s">
        <v>3601</v>
      </c>
      <c r="E2510" s="1" t="s">
        <v>3664</v>
      </c>
      <c r="F2510" s="1" t="s">
        <v>10456</v>
      </c>
      <c r="G2510" s="1" t="s">
        <v>10457</v>
      </c>
      <c r="H2510" s="1" t="s">
        <v>3604</v>
      </c>
      <c r="I2510" s="1" t="s">
        <v>10458</v>
      </c>
      <c r="J2510" s="1" t="s">
        <v>3606</v>
      </c>
      <c r="K2510" s="1"/>
      <c r="L2510" s="1"/>
      <c r="M2510" s="1"/>
    </row>
    <row x14ac:dyDescent="0.25" r="2511" customHeight="1" ht="18.75">
      <c r="A2511" s="1" t="s">
        <v>3693</v>
      </c>
      <c r="B2511" s="1" t="s">
        <v>4192</v>
      </c>
      <c r="C2511" s="1" t="s">
        <v>3600</v>
      </c>
      <c r="D2511" s="1" t="s">
        <v>3601</v>
      </c>
      <c r="E2511" s="1" t="s">
        <v>3893</v>
      </c>
      <c r="F2511" s="1" t="s">
        <v>10459</v>
      </c>
      <c r="G2511" s="1" t="s">
        <v>4428</v>
      </c>
      <c r="H2511" s="1" t="s">
        <v>3604</v>
      </c>
      <c r="I2511" s="1" t="s">
        <v>10460</v>
      </c>
      <c r="J2511" s="1" t="s">
        <v>3606</v>
      </c>
      <c r="K2511" s="1"/>
      <c r="L2511" s="1"/>
      <c r="M2511" s="1"/>
    </row>
    <row x14ac:dyDescent="0.25" r="2512" customHeight="1" ht="18.75">
      <c r="A2512" s="1" t="s">
        <v>3693</v>
      </c>
      <c r="B2512" s="1" t="s">
        <v>6975</v>
      </c>
      <c r="C2512" s="1" t="s">
        <v>3600</v>
      </c>
      <c r="D2512" s="1" t="s">
        <v>3601</v>
      </c>
      <c r="E2512" s="1" t="s">
        <v>3664</v>
      </c>
      <c r="F2512" s="1" t="s">
        <v>10461</v>
      </c>
      <c r="G2512" s="1" t="s">
        <v>10462</v>
      </c>
      <c r="H2512" s="1" t="s">
        <v>3604</v>
      </c>
      <c r="I2512" s="1" t="s">
        <v>10463</v>
      </c>
      <c r="J2512" s="1" t="s">
        <v>3606</v>
      </c>
      <c r="K2512" s="1"/>
      <c r="L2512" s="1"/>
      <c r="M2512" s="1"/>
    </row>
    <row x14ac:dyDescent="0.25" r="2513" customHeight="1" ht="18.75">
      <c r="A2513" s="1" t="s">
        <v>3693</v>
      </c>
      <c r="B2513" s="1" t="s">
        <v>6975</v>
      </c>
      <c r="C2513" s="1" t="s">
        <v>3600</v>
      </c>
      <c r="D2513" s="1" t="s">
        <v>3601</v>
      </c>
      <c r="E2513" s="1" t="s">
        <v>3664</v>
      </c>
      <c r="F2513" s="1" t="s">
        <v>10464</v>
      </c>
      <c r="G2513" s="1" t="s">
        <v>7045</v>
      </c>
      <c r="H2513" s="1" t="s">
        <v>3604</v>
      </c>
      <c r="I2513" s="1" t="s">
        <v>10465</v>
      </c>
      <c r="J2513" s="1" t="s">
        <v>3606</v>
      </c>
      <c r="K2513" s="1"/>
      <c r="L2513" s="1"/>
      <c r="M2513" s="1"/>
    </row>
    <row x14ac:dyDescent="0.25" r="2514" customHeight="1" ht="18.75">
      <c r="A2514" s="1" t="s">
        <v>3693</v>
      </c>
      <c r="B2514" s="1" t="s">
        <v>4083</v>
      </c>
      <c r="C2514" s="1" t="s">
        <v>3600</v>
      </c>
      <c r="D2514" s="1" t="s">
        <v>3695</v>
      </c>
      <c r="E2514" s="1" t="s">
        <v>3664</v>
      </c>
      <c r="F2514" s="1" t="s">
        <v>10466</v>
      </c>
      <c r="G2514" s="1" t="s">
        <v>10467</v>
      </c>
      <c r="H2514" s="1" t="s">
        <v>3604</v>
      </c>
      <c r="I2514" s="1" t="s">
        <v>10468</v>
      </c>
      <c r="J2514" s="1" t="s">
        <v>3615</v>
      </c>
      <c r="K2514" s="1" t="s">
        <v>10469</v>
      </c>
      <c r="L2514" s="1"/>
      <c r="M2514" s="1"/>
    </row>
    <row x14ac:dyDescent="0.25" r="2515" customHeight="1" ht="18.75">
      <c r="A2515" s="1" t="s">
        <v>3693</v>
      </c>
      <c r="B2515" s="1" t="s">
        <v>4192</v>
      </c>
      <c r="C2515" s="1" t="s">
        <v>3600</v>
      </c>
      <c r="D2515" s="1" t="s">
        <v>3601</v>
      </c>
      <c r="E2515" s="1" t="s">
        <v>3893</v>
      </c>
      <c r="F2515" s="1" t="s">
        <v>10470</v>
      </c>
      <c r="G2515" s="1" t="s">
        <v>10471</v>
      </c>
      <c r="H2515" s="1" t="s">
        <v>3604</v>
      </c>
      <c r="I2515" s="1" t="s">
        <v>10472</v>
      </c>
      <c r="J2515" s="1" t="s">
        <v>3606</v>
      </c>
      <c r="K2515" s="1"/>
      <c r="L2515" s="1"/>
      <c r="M2515" s="1"/>
    </row>
    <row x14ac:dyDescent="0.25" r="2516" customHeight="1" ht="18.75">
      <c r="A2516" s="1" t="s">
        <v>3693</v>
      </c>
      <c r="B2516" s="1" t="s">
        <v>6629</v>
      </c>
      <c r="C2516" s="1" t="s">
        <v>3619</v>
      </c>
      <c r="D2516" s="1" t="s">
        <v>3601</v>
      </c>
      <c r="E2516" s="1" t="s">
        <v>3893</v>
      </c>
      <c r="F2516" s="1" t="s">
        <v>10473</v>
      </c>
      <c r="G2516" s="1" t="s">
        <v>10474</v>
      </c>
      <c r="H2516" s="1" t="s">
        <v>3604</v>
      </c>
      <c r="I2516" s="1" t="s">
        <v>10475</v>
      </c>
      <c r="J2516" s="1" t="s">
        <v>3606</v>
      </c>
      <c r="K2516" s="1" t="s">
        <v>10476</v>
      </c>
      <c r="L2516" s="1"/>
      <c r="M2516" s="1"/>
    </row>
    <row x14ac:dyDescent="0.25" r="2517" customHeight="1" ht="18.75">
      <c r="A2517" s="1" t="s">
        <v>3693</v>
      </c>
      <c r="B2517" s="1" t="s">
        <v>7077</v>
      </c>
      <c r="C2517" s="1" t="s">
        <v>3600</v>
      </c>
      <c r="D2517" s="1" t="s">
        <v>3601</v>
      </c>
      <c r="E2517" s="1" t="s">
        <v>3664</v>
      </c>
      <c r="F2517" s="1" t="s">
        <v>10477</v>
      </c>
      <c r="G2517" s="1" t="s">
        <v>10478</v>
      </c>
      <c r="H2517" s="1" t="s">
        <v>3604</v>
      </c>
      <c r="I2517" s="1" t="s">
        <v>10479</v>
      </c>
      <c r="J2517" s="1" t="s">
        <v>3606</v>
      </c>
      <c r="K2517" s="1"/>
      <c r="L2517" s="1"/>
      <c r="M2517" s="1"/>
    </row>
    <row x14ac:dyDescent="0.25" r="2518" customHeight="1" ht="18.75">
      <c r="A2518" s="1" t="s">
        <v>3693</v>
      </c>
      <c r="B2518" s="1" t="s">
        <v>4192</v>
      </c>
      <c r="C2518" s="1" t="s">
        <v>3600</v>
      </c>
      <c r="D2518" s="1" t="s">
        <v>3601</v>
      </c>
      <c r="E2518" s="1" t="s">
        <v>3611</v>
      </c>
      <c r="F2518" s="1" t="s">
        <v>10480</v>
      </c>
      <c r="G2518" s="1" t="s">
        <v>10481</v>
      </c>
      <c r="H2518" s="1" t="s">
        <v>3604</v>
      </c>
      <c r="I2518" s="1" t="s">
        <v>10482</v>
      </c>
      <c r="J2518" s="1" t="s">
        <v>3606</v>
      </c>
      <c r="K2518" s="1"/>
      <c r="L2518" s="1"/>
      <c r="M2518" s="1"/>
    </row>
    <row x14ac:dyDescent="0.25" r="2519" customHeight="1" ht="18.75">
      <c r="A2519" s="1" t="s">
        <v>3693</v>
      </c>
      <c r="B2519" s="1" t="s">
        <v>6629</v>
      </c>
      <c r="C2519" s="1" t="s">
        <v>3619</v>
      </c>
      <c r="D2519" s="1" t="s">
        <v>3601</v>
      </c>
      <c r="E2519" s="1" t="s">
        <v>3893</v>
      </c>
      <c r="F2519" s="1" t="s">
        <v>10483</v>
      </c>
      <c r="G2519" s="1" t="s">
        <v>10474</v>
      </c>
      <c r="H2519" s="1" t="s">
        <v>3604</v>
      </c>
      <c r="I2519" s="1" t="s">
        <v>10484</v>
      </c>
      <c r="J2519" s="1" t="s">
        <v>3606</v>
      </c>
      <c r="K2519" s="1" t="s">
        <v>10485</v>
      </c>
      <c r="L2519" s="1"/>
      <c r="M2519" s="1"/>
    </row>
    <row x14ac:dyDescent="0.25" r="2520" customHeight="1" ht="18.75">
      <c r="A2520" s="1" t="s">
        <v>3693</v>
      </c>
      <c r="B2520" s="1" t="s">
        <v>7077</v>
      </c>
      <c r="C2520" s="1" t="s">
        <v>3600</v>
      </c>
      <c r="D2520" s="1" t="s">
        <v>3601</v>
      </c>
      <c r="E2520" s="1" t="s">
        <v>3664</v>
      </c>
      <c r="F2520" s="1" t="s">
        <v>10486</v>
      </c>
      <c r="G2520" s="1" t="s">
        <v>7079</v>
      </c>
      <c r="H2520" s="1" t="s">
        <v>3604</v>
      </c>
      <c r="I2520" s="1" t="s">
        <v>10487</v>
      </c>
      <c r="J2520" s="1" t="s">
        <v>3606</v>
      </c>
      <c r="K2520" s="1"/>
      <c r="L2520" s="1"/>
      <c r="M2520" s="1"/>
    </row>
    <row x14ac:dyDescent="0.25" r="2521" customHeight="1" ht="18.75">
      <c r="A2521" s="1" t="s">
        <v>3693</v>
      </c>
      <c r="B2521" s="1" t="s">
        <v>4267</v>
      </c>
      <c r="C2521" s="1" t="s">
        <v>3600</v>
      </c>
      <c r="D2521" s="1" t="s">
        <v>3601</v>
      </c>
      <c r="E2521" s="1" t="s">
        <v>3893</v>
      </c>
      <c r="F2521" s="1" t="s">
        <v>10488</v>
      </c>
      <c r="G2521" s="1" t="s">
        <v>5651</v>
      </c>
      <c r="H2521" s="1" t="s">
        <v>3604</v>
      </c>
      <c r="I2521" s="1" t="s">
        <v>10489</v>
      </c>
      <c r="J2521" s="1" t="s">
        <v>3606</v>
      </c>
      <c r="K2521" s="1"/>
      <c r="L2521" s="1"/>
      <c r="M2521" s="1"/>
    </row>
    <row x14ac:dyDescent="0.25" r="2522" customHeight="1" ht="18.75">
      <c r="A2522" s="1" t="s">
        <v>3693</v>
      </c>
      <c r="B2522" s="1" t="s">
        <v>4332</v>
      </c>
      <c r="C2522" s="1" t="s">
        <v>3600</v>
      </c>
      <c r="D2522" s="1" t="s">
        <v>3601</v>
      </c>
      <c r="E2522" s="1" t="s">
        <v>3664</v>
      </c>
      <c r="F2522" s="1" t="s">
        <v>10490</v>
      </c>
      <c r="G2522" s="1" t="s">
        <v>10491</v>
      </c>
      <c r="H2522" s="1" t="s">
        <v>3604</v>
      </c>
      <c r="I2522" s="1" t="s">
        <v>10492</v>
      </c>
      <c r="J2522" s="1" t="s">
        <v>3615</v>
      </c>
      <c r="K2522" s="1" t="s">
        <v>10493</v>
      </c>
      <c r="L2522" s="1"/>
      <c r="M2522" s="1"/>
    </row>
    <row x14ac:dyDescent="0.25" r="2523" customHeight="1" ht="18.75">
      <c r="A2523" s="1" t="s">
        <v>3693</v>
      </c>
      <c r="B2523" s="1" t="s">
        <v>7077</v>
      </c>
      <c r="C2523" s="1" t="s">
        <v>3600</v>
      </c>
      <c r="D2523" s="1" t="s">
        <v>3601</v>
      </c>
      <c r="E2523" s="1" t="s">
        <v>3664</v>
      </c>
      <c r="F2523" s="1" t="s">
        <v>10494</v>
      </c>
      <c r="G2523" s="1" t="s">
        <v>10495</v>
      </c>
      <c r="H2523" s="1" t="s">
        <v>3604</v>
      </c>
      <c r="I2523" s="1" t="s">
        <v>10496</v>
      </c>
      <c r="J2523" s="1" t="s">
        <v>3606</v>
      </c>
      <c r="K2523" s="1"/>
      <c r="L2523" s="1"/>
      <c r="M2523" s="1"/>
    </row>
    <row x14ac:dyDescent="0.25" r="2524" customHeight="1" ht="18.75">
      <c r="A2524" s="1" t="s">
        <v>3693</v>
      </c>
      <c r="B2524" s="1" t="s">
        <v>4267</v>
      </c>
      <c r="C2524" s="1" t="s">
        <v>3600</v>
      </c>
      <c r="D2524" s="1" t="s">
        <v>3601</v>
      </c>
      <c r="E2524" s="1" t="s">
        <v>3893</v>
      </c>
      <c r="F2524" s="1" t="s">
        <v>10497</v>
      </c>
      <c r="G2524" s="1" t="s">
        <v>10498</v>
      </c>
      <c r="H2524" s="1" t="s">
        <v>3604</v>
      </c>
      <c r="I2524" s="1" t="s">
        <v>10499</v>
      </c>
      <c r="J2524" s="1" t="s">
        <v>3606</v>
      </c>
      <c r="K2524" s="1"/>
      <c r="L2524" s="1"/>
      <c r="M2524" s="1"/>
    </row>
    <row x14ac:dyDescent="0.25" r="2525" customHeight="1" ht="18.75">
      <c r="A2525" s="1" t="s">
        <v>3693</v>
      </c>
      <c r="B2525" s="1" t="s">
        <v>6975</v>
      </c>
      <c r="C2525" s="1" t="s">
        <v>3600</v>
      </c>
      <c r="D2525" s="1" t="s">
        <v>3601</v>
      </c>
      <c r="E2525" s="1" t="s">
        <v>3664</v>
      </c>
      <c r="F2525" s="1" t="s">
        <v>10500</v>
      </c>
      <c r="G2525" s="1" t="s">
        <v>10501</v>
      </c>
      <c r="H2525" s="1" t="s">
        <v>3604</v>
      </c>
      <c r="I2525" s="1" t="s">
        <v>10502</v>
      </c>
      <c r="J2525" s="1" t="s">
        <v>3606</v>
      </c>
      <c r="K2525" s="1"/>
      <c r="L2525" s="1"/>
      <c r="M2525" s="1"/>
    </row>
    <row x14ac:dyDescent="0.25" r="2526" customHeight="1" ht="18.75">
      <c r="A2526" s="1" t="s">
        <v>3693</v>
      </c>
      <c r="B2526" s="1" t="s">
        <v>6981</v>
      </c>
      <c r="C2526" s="1" t="s">
        <v>3600</v>
      </c>
      <c r="D2526" s="1" t="s">
        <v>3601</v>
      </c>
      <c r="E2526" s="1" t="s">
        <v>3664</v>
      </c>
      <c r="F2526" s="1" t="s">
        <v>10503</v>
      </c>
      <c r="G2526" s="1" t="s">
        <v>10052</v>
      </c>
      <c r="H2526" s="1" t="s">
        <v>3604</v>
      </c>
      <c r="I2526" s="1" t="s">
        <v>10504</v>
      </c>
      <c r="J2526" s="1" t="s">
        <v>3606</v>
      </c>
      <c r="K2526" s="1"/>
      <c r="L2526" s="1"/>
      <c r="M2526" s="1"/>
    </row>
    <row x14ac:dyDescent="0.25" r="2527" customHeight="1" ht="18.75">
      <c r="A2527" s="1" t="s">
        <v>3693</v>
      </c>
      <c r="B2527" s="1" t="s">
        <v>4267</v>
      </c>
      <c r="C2527" s="1" t="s">
        <v>3600</v>
      </c>
      <c r="D2527" s="1" t="s">
        <v>3601</v>
      </c>
      <c r="E2527" s="1" t="s">
        <v>3893</v>
      </c>
      <c r="F2527" s="1" t="s">
        <v>10505</v>
      </c>
      <c r="G2527" s="1" t="s">
        <v>6678</v>
      </c>
      <c r="H2527" s="1" t="s">
        <v>3604</v>
      </c>
      <c r="I2527" s="1" t="s">
        <v>10506</v>
      </c>
      <c r="J2527" s="1" t="s">
        <v>3606</v>
      </c>
      <c r="K2527" s="1"/>
      <c r="L2527" s="1"/>
      <c r="M2527" s="1"/>
    </row>
    <row x14ac:dyDescent="0.25" r="2528" customHeight="1" ht="18.75">
      <c r="A2528" s="1" t="s">
        <v>3693</v>
      </c>
      <c r="B2528" s="1" t="s">
        <v>4267</v>
      </c>
      <c r="C2528" s="1" t="s">
        <v>3600</v>
      </c>
      <c r="D2528" s="1" t="s">
        <v>3601</v>
      </c>
      <c r="E2528" s="1" t="s">
        <v>3893</v>
      </c>
      <c r="F2528" s="1" t="s">
        <v>10507</v>
      </c>
      <c r="G2528" s="1" t="s">
        <v>10508</v>
      </c>
      <c r="H2528" s="1" t="s">
        <v>3604</v>
      </c>
      <c r="I2528" s="1" t="s">
        <v>10509</v>
      </c>
      <c r="J2528" s="1" t="s">
        <v>3606</v>
      </c>
      <c r="K2528" s="1"/>
      <c r="L2528" s="1"/>
      <c r="M2528" s="1"/>
    </row>
    <row x14ac:dyDescent="0.25" r="2529" customHeight="1" ht="18.75">
      <c r="A2529" s="1" t="s">
        <v>3693</v>
      </c>
      <c r="B2529" s="1" t="s">
        <v>6981</v>
      </c>
      <c r="C2529" s="1" t="s">
        <v>3600</v>
      </c>
      <c r="D2529" s="1" t="s">
        <v>3601</v>
      </c>
      <c r="E2529" s="1" t="s">
        <v>3664</v>
      </c>
      <c r="F2529" s="1" t="s">
        <v>10510</v>
      </c>
      <c r="G2529" s="1" t="s">
        <v>10511</v>
      </c>
      <c r="H2529" s="1" t="s">
        <v>3604</v>
      </c>
      <c r="I2529" s="1" t="s">
        <v>10512</v>
      </c>
      <c r="J2529" s="1" t="s">
        <v>3606</v>
      </c>
      <c r="K2529" s="1"/>
      <c r="L2529" s="1"/>
      <c r="M2529" s="1"/>
    </row>
    <row x14ac:dyDescent="0.25" r="2530" customHeight="1" ht="18.75">
      <c r="A2530" s="1" t="s">
        <v>3693</v>
      </c>
      <c r="B2530" s="1" t="s">
        <v>4267</v>
      </c>
      <c r="C2530" s="1" t="s">
        <v>3600</v>
      </c>
      <c r="D2530" s="1" t="s">
        <v>3601</v>
      </c>
      <c r="E2530" s="1" t="s">
        <v>3611</v>
      </c>
      <c r="F2530" s="1" t="s">
        <v>10513</v>
      </c>
      <c r="G2530" s="1" t="s">
        <v>10514</v>
      </c>
      <c r="H2530" s="1" t="s">
        <v>3604</v>
      </c>
      <c r="I2530" s="1" t="s">
        <v>10515</v>
      </c>
      <c r="J2530" s="1" t="s">
        <v>3606</v>
      </c>
      <c r="K2530" s="1"/>
      <c r="L2530" s="1"/>
      <c r="M2530" s="1"/>
    </row>
    <row x14ac:dyDescent="0.25" r="2531" customHeight="1" ht="18.75">
      <c r="A2531" s="1" t="s">
        <v>3693</v>
      </c>
      <c r="B2531" s="1" t="s">
        <v>6981</v>
      </c>
      <c r="C2531" s="1" t="s">
        <v>3600</v>
      </c>
      <c r="D2531" s="1" t="s">
        <v>3601</v>
      </c>
      <c r="E2531" s="1" t="s">
        <v>3664</v>
      </c>
      <c r="F2531" s="1" t="s">
        <v>10516</v>
      </c>
      <c r="G2531" s="1" t="s">
        <v>10517</v>
      </c>
      <c r="H2531" s="1" t="s">
        <v>3604</v>
      </c>
      <c r="I2531" s="1" t="s">
        <v>10518</v>
      </c>
      <c r="J2531" s="1" t="s">
        <v>3606</v>
      </c>
      <c r="K2531" s="1"/>
      <c r="L2531" s="1"/>
      <c r="M2531" s="1"/>
    </row>
    <row x14ac:dyDescent="0.25" r="2532" customHeight="1" ht="18.75">
      <c r="A2532" s="1" t="s">
        <v>3693</v>
      </c>
      <c r="B2532" s="1" t="s">
        <v>4263</v>
      </c>
      <c r="C2532" s="1" t="s">
        <v>3619</v>
      </c>
      <c r="D2532" s="1" t="s">
        <v>3601</v>
      </c>
      <c r="E2532" s="1" t="s">
        <v>3611</v>
      </c>
      <c r="F2532" s="1" t="s">
        <v>10519</v>
      </c>
      <c r="G2532" s="1" t="s">
        <v>4264</v>
      </c>
      <c r="H2532" s="1" t="s">
        <v>3604</v>
      </c>
      <c r="I2532" s="1" t="s">
        <v>10520</v>
      </c>
      <c r="J2532" s="1" t="s">
        <v>3606</v>
      </c>
      <c r="K2532" s="1"/>
      <c r="L2532" s="1"/>
      <c r="M2532" s="1"/>
    </row>
    <row x14ac:dyDescent="0.25" r="2533" customHeight="1" ht="18.75">
      <c r="A2533" s="1" t="s">
        <v>3693</v>
      </c>
      <c r="B2533" s="1" t="s">
        <v>6981</v>
      </c>
      <c r="C2533" s="1" t="s">
        <v>3600</v>
      </c>
      <c r="D2533" s="1" t="s">
        <v>3601</v>
      </c>
      <c r="E2533" s="1" t="s">
        <v>3664</v>
      </c>
      <c r="F2533" s="1" t="s">
        <v>10521</v>
      </c>
      <c r="G2533" s="1" t="s">
        <v>7082</v>
      </c>
      <c r="H2533" s="1" t="s">
        <v>3604</v>
      </c>
      <c r="I2533" s="1" t="s">
        <v>10522</v>
      </c>
      <c r="J2533" s="1" t="s">
        <v>3606</v>
      </c>
      <c r="K2533" s="1"/>
      <c r="L2533" s="1"/>
      <c r="M2533" s="1"/>
    </row>
    <row x14ac:dyDescent="0.25" r="2534" customHeight="1" ht="18.75">
      <c r="A2534" s="1" t="s">
        <v>3693</v>
      </c>
      <c r="B2534" s="1" t="s">
        <v>7030</v>
      </c>
      <c r="C2534" s="1" t="s">
        <v>3600</v>
      </c>
      <c r="D2534" s="1" t="s">
        <v>3601</v>
      </c>
      <c r="E2534" s="1" t="s">
        <v>3611</v>
      </c>
      <c r="F2534" s="1" t="s">
        <v>10523</v>
      </c>
      <c r="G2534" s="1" t="s">
        <v>7093</v>
      </c>
      <c r="H2534" s="1" t="s">
        <v>3604</v>
      </c>
      <c r="I2534" s="1" t="s">
        <v>10524</v>
      </c>
      <c r="J2534" s="1" t="s">
        <v>3606</v>
      </c>
      <c r="K2534" s="1"/>
      <c r="L2534" s="1"/>
      <c r="M2534" s="1"/>
    </row>
    <row x14ac:dyDescent="0.25" r="2535" customHeight="1" ht="18.75">
      <c r="A2535" s="1" t="s">
        <v>3693</v>
      </c>
      <c r="B2535" s="1" t="s">
        <v>3720</v>
      </c>
      <c r="C2535" s="1" t="s">
        <v>3619</v>
      </c>
      <c r="D2535" s="1" t="s">
        <v>3601</v>
      </c>
      <c r="E2535" s="1" t="s">
        <v>3611</v>
      </c>
      <c r="F2535" s="1" t="s">
        <v>10525</v>
      </c>
      <c r="G2535" s="1" t="s">
        <v>4219</v>
      </c>
      <c r="H2535" s="1" t="s">
        <v>3604</v>
      </c>
      <c r="I2535" s="1" t="s">
        <v>10526</v>
      </c>
      <c r="J2535" s="1" t="s">
        <v>3606</v>
      </c>
      <c r="K2535" s="1"/>
      <c r="L2535" s="1"/>
      <c r="M2535" s="1"/>
    </row>
    <row x14ac:dyDescent="0.25" r="2536" customHeight="1" ht="18.75">
      <c r="A2536" s="1" t="s">
        <v>3693</v>
      </c>
      <c r="B2536" s="1" t="s">
        <v>4247</v>
      </c>
      <c r="C2536" s="1" t="s">
        <v>3600</v>
      </c>
      <c r="D2536" s="1" t="s">
        <v>3610</v>
      </c>
      <c r="E2536" s="1" t="s">
        <v>3664</v>
      </c>
      <c r="F2536" s="1" t="s">
        <v>10527</v>
      </c>
      <c r="G2536" s="1" t="s">
        <v>4738</v>
      </c>
      <c r="H2536" s="1" t="s">
        <v>3604</v>
      </c>
      <c r="I2536" s="1" t="s">
        <v>10528</v>
      </c>
      <c r="J2536" s="1" t="s">
        <v>3615</v>
      </c>
      <c r="K2536" s="1" t="s">
        <v>10529</v>
      </c>
      <c r="L2536" s="1"/>
      <c r="M2536" s="1"/>
    </row>
    <row x14ac:dyDescent="0.25" r="2537" customHeight="1" ht="18.75">
      <c r="A2537" s="1" t="s">
        <v>3693</v>
      </c>
      <c r="B2537" s="1" t="s">
        <v>3942</v>
      </c>
      <c r="C2537" s="1" t="s">
        <v>3600</v>
      </c>
      <c r="D2537" s="1" t="s">
        <v>7891</v>
      </c>
      <c r="E2537" s="1" t="s">
        <v>3664</v>
      </c>
      <c r="F2537" s="1" t="s">
        <v>10530</v>
      </c>
      <c r="G2537" s="1" t="s">
        <v>4212</v>
      </c>
      <c r="H2537" s="1" t="s">
        <v>3604</v>
      </c>
      <c r="I2537" s="1" t="s">
        <v>10531</v>
      </c>
      <c r="J2537" s="1" t="s">
        <v>3615</v>
      </c>
      <c r="K2537" s="1" t="s">
        <v>10532</v>
      </c>
      <c r="L2537" s="1"/>
      <c r="M2537" s="1"/>
    </row>
    <row x14ac:dyDescent="0.25" r="2538" customHeight="1" ht="18.75">
      <c r="A2538" s="1" t="s">
        <v>3693</v>
      </c>
      <c r="B2538" s="1" t="s">
        <v>5598</v>
      </c>
      <c r="C2538" s="1" t="s">
        <v>3600</v>
      </c>
      <c r="D2538" s="1" t="s">
        <v>3601</v>
      </c>
      <c r="E2538" s="1" t="s">
        <v>3893</v>
      </c>
      <c r="F2538" s="1" t="s">
        <v>10533</v>
      </c>
      <c r="G2538" s="1" t="s">
        <v>6539</v>
      </c>
      <c r="H2538" s="1" t="s">
        <v>3604</v>
      </c>
      <c r="I2538" s="1" t="s">
        <v>10534</v>
      </c>
      <c r="J2538" s="1" t="s">
        <v>3615</v>
      </c>
      <c r="K2538" s="1" t="s">
        <v>10535</v>
      </c>
      <c r="L2538" s="1"/>
      <c r="M2538" s="1"/>
    </row>
    <row x14ac:dyDescent="0.25" r="2539" customHeight="1" ht="18.75">
      <c r="A2539" s="1" t="s">
        <v>3693</v>
      </c>
      <c r="B2539" s="1" t="s">
        <v>5598</v>
      </c>
      <c r="C2539" s="1" t="s">
        <v>3600</v>
      </c>
      <c r="D2539" s="1" t="s">
        <v>3601</v>
      </c>
      <c r="E2539" s="1" t="s">
        <v>3893</v>
      </c>
      <c r="F2539" s="1" t="s">
        <v>10533</v>
      </c>
      <c r="G2539" s="1" t="s">
        <v>4434</v>
      </c>
      <c r="H2539" s="1" t="s">
        <v>3604</v>
      </c>
      <c r="I2539" s="1" t="s">
        <v>10536</v>
      </c>
      <c r="J2539" s="1" t="s">
        <v>3615</v>
      </c>
      <c r="K2539" s="1" t="s">
        <v>10537</v>
      </c>
      <c r="L2539" s="1"/>
      <c r="M2539" s="1"/>
    </row>
    <row x14ac:dyDescent="0.25" r="2540" customHeight="1" ht="18.75">
      <c r="A2540" s="1" t="s">
        <v>3693</v>
      </c>
      <c r="B2540" s="1" t="s">
        <v>4332</v>
      </c>
      <c r="C2540" s="1" t="s">
        <v>3600</v>
      </c>
      <c r="D2540" s="1" t="s">
        <v>3695</v>
      </c>
      <c r="E2540" s="1" t="s">
        <v>3893</v>
      </c>
      <c r="F2540" s="1" t="s">
        <v>10538</v>
      </c>
      <c r="G2540" s="1" t="s">
        <v>5644</v>
      </c>
      <c r="H2540" s="1" t="s">
        <v>3604</v>
      </c>
      <c r="I2540" s="1" t="s">
        <v>10539</v>
      </c>
      <c r="J2540" s="1" t="s">
        <v>3606</v>
      </c>
      <c r="K2540" s="1" t="s">
        <v>10540</v>
      </c>
      <c r="L2540" s="1"/>
      <c r="M2540" s="1"/>
    </row>
    <row x14ac:dyDescent="0.25" r="2541" customHeight="1" ht="18.75">
      <c r="A2541" s="1" t="s">
        <v>3693</v>
      </c>
      <c r="B2541" s="1" t="s">
        <v>4332</v>
      </c>
      <c r="C2541" s="1" t="s">
        <v>3600</v>
      </c>
      <c r="D2541" s="1" t="s">
        <v>3695</v>
      </c>
      <c r="E2541" s="1" t="s">
        <v>3893</v>
      </c>
      <c r="F2541" s="1" t="s">
        <v>10541</v>
      </c>
      <c r="G2541" s="1" t="s">
        <v>5644</v>
      </c>
      <c r="H2541" s="1" t="s">
        <v>3604</v>
      </c>
      <c r="I2541" s="1" t="s">
        <v>10542</v>
      </c>
      <c r="J2541" s="1" t="s">
        <v>3606</v>
      </c>
      <c r="K2541" s="1" t="s">
        <v>10543</v>
      </c>
      <c r="L2541" s="1"/>
      <c r="M2541" s="1"/>
    </row>
    <row x14ac:dyDescent="0.25" r="2542" customHeight="1" ht="18.75">
      <c r="A2542" s="1" t="s">
        <v>3693</v>
      </c>
      <c r="B2542" s="1" t="s">
        <v>4332</v>
      </c>
      <c r="C2542" s="1" t="s">
        <v>3600</v>
      </c>
      <c r="D2542" s="1" t="s">
        <v>3695</v>
      </c>
      <c r="E2542" s="1" t="s">
        <v>3893</v>
      </c>
      <c r="F2542" s="1" t="s">
        <v>10544</v>
      </c>
      <c r="G2542" s="1" t="s">
        <v>5644</v>
      </c>
      <c r="H2542" s="1" t="s">
        <v>3604</v>
      </c>
      <c r="I2542" s="1" t="s">
        <v>10545</v>
      </c>
      <c r="J2542" s="1" t="s">
        <v>3606</v>
      </c>
      <c r="K2542" s="1" t="s">
        <v>10546</v>
      </c>
      <c r="L2542" s="1"/>
      <c r="M2542" s="1"/>
    </row>
    <row x14ac:dyDescent="0.25" r="2543" customHeight="1" ht="18.75">
      <c r="A2543" s="1" t="s">
        <v>3693</v>
      </c>
      <c r="B2543" s="1" t="s">
        <v>4083</v>
      </c>
      <c r="C2543" s="1" t="s">
        <v>3600</v>
      </c>
      <c r="D2543" s="1" t="s">
        <v>3695</v>
      </c>
      <c r="E2543" s="1" t="s">
        <v>3893</v>
      </c>
      <c r="F2543" s="1" t="s">
        <v>10547</v>
      </c>
      <c r="G2543" s="1" t="s">
        <v>4116</v>
      </c>
      <c r="H2543" s="1" t="s">
        <v>3604</v>
      </c>
      <c r="I2543" s="1" t="s">
        <v>10548</v>
      </c>
      <c r="J2543" s="1" t="s">
        <v>3615</v>
      </c>
      <c r="K2543" s="1" t="s">
        <v>10549</v>
      </c>
      <c r="L2543" s="1"/>
      <c r="M2543" s="1"/>
    </row>
    <row x14ac:dyDescent="0.25" r="2544" customHeight="1" ht="18.75">
      <c r="A2544" s="1" t="s">
        <v>3693</v>
      </c>
      <c r="B2544" s="1" t="s">
        <v>4247</v>
      </c>
      <c r="C2544" s="1" t="s">
        <v>3600</v>
      </c>
      <c r="D2544" s="1" t="s">
        <v>8373</v>
      </c>
      <c r="E2544" s="1" t="s">
        <v>3893</v>
      </c>
      <c r="F2544" s="1" t="s">
        <v>10550</v>
      </c>
      <c r="G2544" s="1" t="s">
        <v>4352</v>
      </c>
      <c r="H2544" s="1" t="s">
        <v>3604</v>
      </c>
      <c r="I2544" s="1" t="s">
        <v>10551</v>
      </c>
      <c r="J2544" s="1" t="s">
        <v>3606</v>
      </c>
      <c r="K2544" s="1"/>
      <c r="L2544" s="1"/>
      <c r="M2544" s="1"/>
    </row>
    <row x14ac:dyDescent="0.25" r="2545" customHeight="1" ht="18.75">
      <c r="A2545" s="1" t="s">
        <v>3693</v>
      </c>
      <c r="B2545" s="1" t="s">
        <v>4247</v>
      </c>
      <c r="C2545" s="1" t="s">
        <v>3600</v>
      </c>
      <c r="D2545" s="1" t="s">
        <v>3695</v>
      </c>
      <c r="E2545" s="1" t="s">
        <v>3893</v>
      </c>
      <c r="F2545" s="1" t="s">
        <v>10552</v>
      </c>
      <c r="G2545" s="1" t="s">
        <v>4352</v>
      </c>
      <c r="H2545" s="1" t="s">
        <v>3604</v>
      </c>
      <c r="I2545" s="1" t="s">
        <v>10553</v>
      </c>
      <c r="J2545" s="1" t="s">
        <v>3615</v>
      </c>
      <c r="K2545" s="1" t="s">
        <v>10554</v>
      </c>
      <c r="L2545" s="1"/>
      <c r="M2545" s="1"/>
    </row>
    <row x14ac:dyDescent="0.25" r="2546" customHeight="1" ht="18.75">
      <c r="A2546" s="1" t="s">
        <v>3693</v>
      </c>
      <c r="B2546" s="1" t="s">
        <v>10555</v>
      </c>
      <c r="C2546" s="1" t="s">
        <v>3600</v>
      </c>
      <c r="D2546" s="1" t="s">
        <v>3601</v>
      </c>
      <c r="E2546" s="1"/>
      <c r="F2546" s="1" t="s">
        <v>10556</v>
      </c>
      <c r="G2546" s="1" t="s">
        <v>10555</v>
      </c>
      <c r="H2546" s="1" t="s">
        <v>3604</v>
      </c>
      <c r="I2546" s="1" t="s">
        <v>10557</v>
      </c>
      <c r="J2546" s="1" t="s">
        <v>3615</v>
      </c>
      <c r="K2546" s="1" t="s">
        <v>10558</v>
      </c>
      <c r="L2546" s="1"/>
      <c r="M2546" s="1"/>
    </row>
    <row x14ac:dyDescent="0.25" r="2547" customHeight="1" ht="18.75">
      <c r="A2547" s="1" t="s">
        <v>3693</v>
      </c>
      <c r="B2547" s="1" t="s">
        <v>10555</v>
      </c>
      <c r="C2547" s="1" t="s">
        <v>3600</v>
      </c>
      <c r="D2547" s="1" t="s">
        <v>3601</v>
      </c>
      <c r="E2547" s="1"/>
      <c r="F2547" s="1" t="s">
        <v>10556</v>
      </c>
      <c r="G2547" s="1" t="s">
        <v>10559</v>
      </c>
      <c r="H2547" s="1" t="s">
        <v>3604</v>
      </c>
      <c r="I2547" s="1" t="s">
        <v>10560</v>
      </c>
      <c r="J2547" s="1" t="s">
        <v>3615</v>
      </c>
      <c r="K2547" s="1" t="s">
        <v>10561</v>
      </c>
      <c r="L2547" s="1"/>
      <c r="M2547" s="1"/>
    </row>
    <row x14ac:dyDescent="0.25" r="2548" customHeight="1" ht="18.75">
      <c r="A2548" s="1" t="s">
        <v>3693</v>
      </c>
      <c r="B2548" s="1" t="s">
        <v>10562</v>
      </c>
      <c r="C2548" s="1" t="s">
        <v>3600</v>
      </c>
      <c r="D2548" s="1" t="s">
        <v>3601</v>
      </c>
      <c r="E2548" s="1"/>
      <c r="F2548" s="1" t="s">
        <v>10556</v>
      </c>
      <c r="G2548" s="1" t="s">
        <v>10562</v>
      </c>
      <c r="H2548" s="1" t="s">
        <v>3604</v>
      </c>
      <c r="I2548" s="1" t="s">
        <v>10563</v>
      </c>
      <c r="J2548" s="1" t="s">
        <v>3615</v>
      </c>
      <c r="K2548" s="1" t="s">
        <v>10564</v>
      </c>
      <c r="L2548" s="1"/>
      <c r="M2548" s="1"/>
    </row>
    <row x14ac:dyDescent="0.25" r="2549" customHeight="1" ht="18.75">
      <c r="A2549" s="1" t="s">
        <v>3693</v>
      </c>
      <c r="B2549" s="1" t="s">
        <v>10565</v>
      </c>
      <c r="C2549" s="1" t="s">
        <v>3600</v>
      </c>
      <c r="D2549" s="1" t="s">
        <v>3601</v>
      </c>
      <c r="E2549" s="1"/>
      <c r="F2549" s="1" t="s">
        <v>10556</v>
      </c>
      <c r="G2549" s="1" t="s">
        <v>10565</v>
      </c>
      <c r="H2549" s="1" t="s">
        <v>3604</v>
      </c>
      <c r="I2549" s="1" t="s">
        <v>10566</v>
      </c>
      <c r="J2549" s="1" t="s">
        <v>3615</v>
      </c>
      <c r="K2549" s="1" t="s">
        <v>10567</v>
      </c>
      <c r="L2549" s="1"/>
      <c r="M2549" s="1"/>
    </row>
    <row x14ac:dyDescent="0.25" r="2550" customHeight="1" ht="18.75">
      <c r="A2550" s="1" t="s">
        <v>3693</v>
      </c>
      <c r="B2550" s="1" t="s">
        <v>4247</v>
      </c>
      <c r="C2550" s="1" t="s">
        <v>3600</v>
      </c>
      <c r="D2550" s="1" t="s">
        <v>3695</v>
      </c>
      <c r="E2550" s="1" t="s">
        <v>3893</v>
      </c>
      <c r="F2550" s="1" t="s">
        <v>10568</v>
      </c>
      <c r="G2550" s="1" t="s">
        <v>4352</v>
      </c>
      <c r="H2550" s="1" t="s">
        <v>3604</v>
      </c>
      <c r="I2550" s="1" t="s">
        <v>10569</v>
      </c>
      <c r="J2550" s="1" t="s">
        <v>3606</v>
      </c>
      <c r="K2550" s="1" t="s">
        <v>10570</v>
      </c>
      <c r="L2550" s="1"/>
      <c r="M2550" s="1"/>
    </row>
    <row x14ac:dyDescent="0.25" r="2551" customHeight="1" ht="18.75">
      <c r="A2551" s="1" t="s">
        <v>3693</v>
      </c>
      <c r="B2551" s="1" t="s">
        <v>4247</v>
      </c>
      <c r="C2551" s="1" t="s">
        <v>3600</v>
      </c>
      <c r="D2551" s="1" t="s">
        <v>3695</v>
      </c>
      <c r="E2551" s="1" t="s">
        <v>3893</v>
      </c>
      <c r="F2551" s="1" t="s">
        <v>10571</v>
      </c>
      <c r="G2551" s="1" t="s">
        <v>4352</v>
      </c>
      <c r="H2551" s="1" t="s">
        <v>3604</v>
      </c>
      <c r="I2551" s="1" t="s">
        <v>10572</v>
      </c>
      <c r="J2551" s="1" t="s">
        <v>3606</v>
      </c>
      <c r="K2551" s="1" t="s">
        <v>10573</v>
      </c>
      <c r="L2551" s="1"/>
      <c r="M2551" s="1"/>
    </row>
    <row x14ac:dyDescent="0.25" r="2552" customHeight="1" ht="18.75">
      <c r="A2552" s="1" t="s">
        <v>3693</v>
      </c>
      <c r="B2552" s="1" t="s">
        <v>4083</v>
      </c>
      <c r="C2552" s="1" t="s">
        <v>3600</v>
      </c>
      <c r="D2552" s="1" t="s">
        <v>3601</v>
      </c>
      <c r="E2552" s="1" t="s">
        <v>3893</v>
      </c>
      <c r="F2552" s="1" t="s">
        <v>10574</v>
      </c>
      <c r="G2552" s="1" t="s">
        <v>10575</v>
      </c>
      <c r="H2552" s="1" t="s">
        <v>3604</v>
      </c>
      <c r="I2552" s="1" t="s">
        <v>10576</v>
      </c>
      <c r="J2552" s="1" t="s">
        <v>3615</v>
      </c>
      <c r="K2552" s="1"/>
      <c r="L2552" s="1"/>
      <c r="M2552" s="1"/>
    </row>
    <row x14ac:dyDescent="0.25" r="2553" customHeight="1" ht="18.75">
      <c r="A2553" s="1" t="s">
        <v>3693</v>
      </c>
      <c r="B2553" s="1" t="s">
        <v>4091</v>
      </c>
      <c r="C2553" s="1" t="s">
        <v>3600</v>
      </c>
      <c r="D2553" s="1" t="s">
        <v>3601</v>
      </c>
      <c r="E2553" s="1" t="s">
        <v>3893</v>
      </c>
      <c r="F2553" s="1" t="s">
        <v>10577</v>
      </c>
      <c r="G2553" s="1" t="s">
        <v>5882</v>
      </c>
      <c r="H2553" s="1" t="s">
        <v>3604</v>
      </c>
      <c r="I2553" s="1" t="s">
        <v>10578</v>
      </c>
      <c r="J2553" s="1" t="s">
        <v>3606</v>
      </c>
      <c r="K2553" s="1"/>
      <c r="L2553" s="1"/>
      <c r="M2553" s="1"/>
    </row>
    <row x14ac:dyDescent="0.25" r="2554" customHeight="1" ht="18.75">
      <c r="A2554" s="1" t="s">
        <v>3693</v>
      </c>
      <c r="B2554" s="1" t="s">
        <v>4247</v>
      </c>
      <c r="C2554" s="1" t="s">
        <v>3600</v>
      </c>
      <c r="D2554" s="1" t="s">
        <v>3601</v>
      </c>
      <c r="E2554" s="1" t="s">
        <v>3893</v>
      </c>
      <c r="F2554" s="1" t="s">
        <v>10579</v>
      </c>
      <c r="G2554" s="1" t="s">
        <v>4352</v>
      </c>
      <c r="H2554" s="1" t="s">
        <v>3604</v>
      </c>
      <c r="I2554" s="1" t="s">
        <v>10580</v>
      </c>
      <c r="J2554" s="1" t="s">
        <v>3606</v>
      </c>
      <c r="K2554" s="1"/>
      <c r="L2554" s="1"/>
      <c r="M2554" s="1"/>
    </row>
    <row x14ac:dyDescent="0.25" r="2555" customHeight="1" ht="18.75">
      <c r="A2555" s="1" t="s">
        <v>3617</v>
      </c>
      <c r="B2555" s="1" t="s">
        <v>5570</v>
      </c>
      <c r="C2555" s="1" t="s">
        <v>3619</v>
      </c>
      <c r="D2555" s="1" t="s">
        <v>3601</v>
      </c>
      <c r="E2555" s="1" t="s">
        <v>3893</v>
      </c>
      <c r="F2555" s="1" t="s">
        <v>10581</v>
      </c>
      <c r="G2555" s="1" t="s">
        <v>10582</v>
      </c>
      <c r="H2555" s="1" t="s">
        <v>3604</v>
      </c>
      <c r="I2555" s="1" t="s">
        <v>10583</v>
      </c>
      <c r="J2555" s="1" t="s">
        <v>3606</v>
      </c>
      <c r="K2555" s="1"/>
      <c r="L2555" s="1"/>
      <c r="M2555" s="1"/>
    </row>
    <row x14ac:dyDescent="0.25" r="2556" customHeight="1" ht="18.75">
      <c r="A2556" s="1" t="s">
        <v>3693</v>
      </c>
      <c r="B2556" s="1" t="s">
        <v>4083</v>
      </c>
      <c r="C2556" s="1" t="s">
        <v>3600</v>
      </c>
      <c r="D2556" s="1" t="s">
        <v>3610</v>
      </c>
      <c r="E2556" s="1" t="s">
        <v>3893</v>
      </c>
      <c r="F2556" s="1" t="s">
        <v>10584</v>
      </c>
      <c r="G2556" s="1" t="s">
        <v>4344</v>
      </c>
      <c r="H2556" s="1" t="s">
        <v>3604</v>
      </c>
      <c r="I2556" s="1" t="s">
        <v>10585</v>
      </c>
      <c r="J2556" s="1" t="s">
        <v>3606</v>
      </c>
      <c r="K2556" s="1" t="s">
        <v>10586</v>
      </c>
      <c r="L2556" s="1" t="s">
        <v>3616</v>
      </c>
      <c r="M2556" s="1"/>
    </row>
    <row x14ac:dyDescent="0.25" r="2557" customHeight="1" ht="18.75">
      <c r="A2557" s="1" t="s">
        <v>3693</v>
      </c>
      <c r="B2557" s="1" t="s">
        <v>4083</v>
      </c>
      <c r="C2557" s="1" t="s">
        <v>3600</v>
      </c>
      <c r="D2557" s="1" t="s">
        <v>3610</v>
      </c>
      <c r="E2557" s="1" t="s">
        <v>3893</v>
      </c>
      <c r="F2557" s="1" t="s">
        <v>10587</v>
      </c>
      <c r="G2557" s="1" t="s">
        <v>4344</v>
      </c>
      <c r="H2557" s="1" t="s">
        <v>3604</v>
      </c>
      <c r="I2557" s="1" t="s">
        <v>10588</v>
      </c>
      <c r="J2557" s="1" t="s">
        <v>3606</v>
      </c>
      <c r="K2557" s="1" t="s">
        <v>10589</v>
      </c>
      <c r="L2557" s="1" t="s">
        <v>3616</v>
      </c>
      <c r="M2557" s="1"/>
    </row>
    <row x14ac:dyDescent="0.25" r="2558" customHeight="1" ht="18.75">
      <c r="A2558" s="1" t="s">
        <v>3693</v>
      </c>
      <c r="B2558" s="1" t="s">
        <v>4091</v>
      </c>
      <c r="C2558" s="1" t="s">
        <v>3600</v>
      </c>
      <c r="D2558" s="1" t="s">
        <v>3610</v>
      </c>
      <c r="E2558" s="1" t="s">
        <v>3893</v>
      </c>
      <c r="F2558" s="1" t="s">
        <v>10590</v>
      </c>
      <c r="G2558" s="1" t="s">
        <v>10591</v>
      </c>
      <c r="H2558" s="1" t="s">
        <v>3604</v>
      </c>
      <c r="I2558" s="1" t="s">
        <v>10592</v>
      </c>
      <c r="J2558" s="1" t="s">
        <v>3606</v>
      </c>
      <c r="K2558" s="1" t="s">
        <v>10593</v>
      </c>
      <c r="L2558" s="1" t="s">
        <v>3616</v>
      </c>
      <c r="M2558" s="1"/>
    </row>
    <row x14ac:dyDescent="0.25" r="2559" customHeight="1" ht="18.75">
      <c r="A2559" s="1" t="s">
        <v>3693</v>
      </c>
      <c r="B2559" s="1" t="s">
        <v>4091</v>
      </c>
      <c r="C2559" s="1" t="s">
        <v>3600</v>
      </c>
      <c r="D2559" s="1" t="s">
        <v>3610</v>
      </c>
      <c r="E2559" s="1" t="s">
        <v>3893</v>
      </c>
      <c r="F2559" s="1" t="s">
        <v>10594</v>
      </c>
      <c r="G2559" s="1" t="s">
        <v>10591</v>
      </c>
      <c r="H2559" s="1" t="s">
        <v>3604</v>
      </c>
      <c r="I2559" s="1" t="s">
        <v>10595</v>
      </c>
      <c r="J2559" s="1" t="s">
        <v>3606</v>
      </c>
      <c r="K2559" s="1" t="s">
        <v>10596</v>
      </c>
      <c r="L2559" s="1" t="s">
        <v>3616</v>
      </c>
      <c r="M2559" s="1"/>
    </row>
    <row x14ac:dyDescent="0.25" r="2560" customHeight="1" ht="18.75">
      <c r="A2560" s="1" t="s">
        <v>3693</v>
      </c>
      <c r="B2560" s="1" t="s">
        <v>4091</v>
      </c>
      <c r="C2560" s="1" t="s">
        <v>3600</v>
      </c>
      <c r="D2560" s="1" t="s">
        <v>3610</v>
      </c>
      <c r="E2560" s="1" t="s">
        <v>3893</v>
      </c>
      <c r="F2560" s="1" t="s">
        <v>10597</v>
      </c>
      <c r="G2560" s="1" t="s">
        <v>10591</v>
      </c>
      <c r="H2560" s="1" t="s">
        <v>3604</v>
      </c>
      <c r="I2560" s="1" t="s">
        <v>10598</v>
      </c>
      <c r="J2560" s="1" t="s">
        <v>3606</v>
      </c>
      <c r="K2560" s="1" t="s">
        <v>10599</v>
      </c>
      <c r="L2560" s="1" t="s">
        <v>3616</v>
      </c>
      <c r="M2560" s="1"/>
    </row>
    <row x14ac:dyDescent="0.25" r="2561" customHeight="1" ht="18.75">
      <c r="A2561" s="1" t="s">
        <v>3693</v>
      </c>
      <c r="B2561" s="1" t="s">
        <v>4083</v>
      </c>
      <c r="C2561" s="1" t="s">
        <v>3600</v>
      </c>
      <c r="D2561" s="1" t="s">
        <v>3610</v>
      </c>
      <c r="E2561" s="1" t="s">
        <v>3893</v>
      </c>
      <c r="F2561" s="1" t="s">
        <v>10600</v>
      </c>
      <c r="G2561" s="1" t="s">
        <v>4344</v>
      </c>
      <c r="H2561" s="1" t="s">
        <v>3604</v>
      </c>
      <c r="I2561" s="1" t="s">
        <v>10601</v>
      </c>
      <c r="J2561" s="1" t="s">
        <v>3606</v>
      </c>
      <c r="K2561" s="1" t="s">
        <v>10602</v>
      </c>
      <c r="L2561" s="1" t="s">
        <v>3616</v>
      </c>
      <c r="M2561" s="1"/>
    </row>
    <row x14ac:dyDescent="0.25" r="2562" customHeight="1" ht="18.75">
      <c r="A2562" s="1" t="s">
        <v>3693</v>
      </c>
      <c r="B2562" s="1" t="s">
        <v>4091</v>
      </c>
      <c r="C2562" s="1" t="s">
        <v>3600</v>
      </c>
      <c r="D2562" s="1" t="s">
        <v>533</v>
      </c>
      <c r="E2562" s="1" t="s">
        <v>3893</v>
      </c>
      <c r="F2562" s="1" t="s">
        <v>10603</v>
      </c>
      <c r="G2562" s="1" t="s">
        <v>10591</v>
      </c>
      <c r="H2562" s="1" t="s">
        <v>3604</v>
      </c>
      <c r="I2562" s="1" t="s">
        <v>10604</v>
      </c>
      <c r="J2562" s="1" t="s">
        <v>3606</v>
      </c>
      <c r="K2562" s="1" t="s">
        <v>10605</v>
      </c>
      <c r="L2562" s="1" t="s">
        <v>3616</v>
      </c>
      <c r="M2562" s="1"/>
    </row>
    <row x14ac:dyDescent="0.25" r="2563" customHeight="1" ht="18.75">
      <c r="A2563" s="1" t="s">
        <v>3693</v>
      </c>
      <c r="B2563" s="1" t="s">
        <v>4091</v>
      </c>
      <c r="C2563" s="1" t="s">
        <v>3600</v>
      </c>
      <c r="D2563" s="1" t="s">
        <v>533</v>
      </c>
      <c r="E2563" s="1" t="s">
        <v>3893</v>
      </c>
      <c r="F2563" s="1" t="s">
        <v>10606</v>
      </c>
      <c r="G2563" s="1" t="s">
        <v>10591</v>
      </c>
      <c r="H2563" s="1" t="s">
        <v>3604</v>
      </c>
      <c r="I2563" s="1" t="s">
        <v>10607</v>
      </c>
      <c r="J2563" s="1" t="s">
        <v>3606</v>
      </c>
      <c r="K2563" s="1" t="s">
        <v>10608</v>
      </c>
      <c r="L2563" s="1" t="s">
        <v>3616</v>
      </c>
      <c r="M2563" s="1"/>
    </row>
    <row x14ac:dyDescent="0.25" r="2564" customHeight="1" ht="18.75">
      <c r="A2564" s="1" t="s">
        <v>3693</v>
      </c>
      <c r="B2564" s="1" t="s">
        <v>4091</v>
      </c>
      <c r="C2564" s="1" t="s">
        <v>3600</v>
      </c>
      <c r="D2564" s="1" t="s">
        <v>10609</v>
      </c>
      <c r="E2564" s="1" t="s">
        <v>3893</v>
      </c>
      <c r="F2564" s="1" t="s">
        <v>10610</v>
      </c>
      <c r="G2564" s="1" t="s">
        <v>10591</v>
      </c>
      <c r="H2564" s="1" t="s">
        <v>3604</v>
      </c>
      <c r="I2564" s="1" t="s">
        <v>10611</v>
      </c>
      <c r="J2564" s="1" t="s">
        <v>3606</v>
      </c>
      <c r="K2564" s="1" t="s">
        <v>10612</v>
      </c>
      <c r="L2564" s="1" t="s">
        <v>3616</v>
      </c>
      <c r="M2564" s="1"/>
    </row>
    <row x14ac:dyDescent="0.25" r="2565" customHeight="1" ht="18.75">
      <c r="A2565" s="1" t="s">
        <v>3693</v>
      </c>
      <c r="B2565" s="1" t="s">
        <v>4083</v>
      </c>
      <c r="C2565" s="1" t="s">
        <v>3600</v>
      </c>
      <c r="D2565" s="1" t="s">
        <v>10609</v>
      </c>
      <c r="E2565" s="1" t="s">
        <v>3893</v>
      </c>
      <c r="F2565" s="1" t="s">
        <v>10613</v>
      </c>
      <c r="G2565" s="1" t="s">
        <v>4344</v>
      </c>
      <c r="H2565" s="1" t="s">
        <v>3604</v>
      </c>
      <c r="I2565" s="1" t="s">
        <v>10614</v>
      </c>
      <c r="J2565" s="1" t="s">
        <v>3606</v>
      </c>
      <c r="K2565" s="1" t="s">
        <v>10612</v>
      </c>
      <c r="L2565" s="1" t="s">
        <v>3616</v>
      </c>
      <c r="M2565" s="1"/>
    </row>
    <row x14ac:dyDescent="0.25" r="2566" customHeight="1" ht="18.75">
      <c r="A2566" s="1" t="s">
        <v>3693</v>
      </c>
      <c r="B2566" s="1" t="s">
        <v>4091</v>
      </c>
      <c r="C2566" s="1" t="s">
        <v>3600</v>
      </c>
      <c r="D2566" s="1" t="s">
        <v>3695</v>
      </c>
      <c r="E2566" s="1" t="s">
        <v>3893</v>
      </c>
      <c r="F2566" s="1" t="s">
        <v>10615</v>
      </c>
      <c r="G2566" s="1" t="s">
        <v>10591</v>
      </c>
      <c r="H2566" s="1" t="s">
        <v>3604</v>
      </c>
      <c r="I2566" s="1" t="s">
        <v>10616</v>
      </c>
      <c r="J2566" s="1" t="s">
        <v>3606</v>
      </c>
      <c r="K2566" s="1" t="s">
        <v>10617</v>
      </c>
      <c r="L2566" s="1" t="s">
        <v>3616</v>
      </c>
      <c r="M2566" s="1"/>
    </row>
    <row x14ac:dyDescent="0.25" r="2567" customHeight="1" ht="18.75">
      <c r="A2567" s="1" t="s">
        <v>3693</v>
      </c>
      <c r="B2567" s="1" t="s">
        <v>4091</v>
      </c>
      <c r="C2567" s="1" t="s">
        <v>3600</v>
      </c>
      <c r="D2567" s="1" t="s">
        <v>3695</v>
      </c>
      <c r="E2567" s="1" t="s">
        <v>3893</v>
      </c>
      <c r="F2567" s="1" t="s">
        <v>10618</v>
      </c>
      <c r="G2567" s="1" t="s">
        <v>10591</v>
      </c>
      <c r="H2567" s="1" t="s">
        <v>3604</v>
      </c>
      <c r="I2567" s="1" t="s">
        <v>10619</v>
      </c>
      <c r="J2567" s="1" t="s">
        <v>3606</v>
      </c>
      <c r="K2567" s="1" t="s">
        <v>10620</v>
      </c>
      <c r="L2567" s="1" t="s">
        <v>3616</v>
      </c>
      <c r="M2567" s="1"/>
    </row>
    <row x14ac:dyDescent="0.25" r="2568" customHeight="1" ht="18.75">
      <c r="A2568" s="1" t="s">
        <v>3693</v>
      </c>
      <c r="B2568" s="1" t="s">
        <v>4083</v>
      </c>
      <c r="C2568" s="1" t="s">
        <v>3600</v>
      </c>
      <c r="D2568" s="1" t="s">
        <v>3695</v>
      </c>
      <c r="E2568" s="1" t="s">
        <v>3893</v>
      </c>
      <c r="F2568" s="1" t="s">
        <v>10621</v>
      </c>
      <c r="G2568" s="1" t="s">
        <v>4344</v>
      </c>
      <c r="H2568" s="1" t="s">
        <v>3604</v>
      </c>
      <c r="I2568" s="1" t="s">
        <v>10622</v>
      </c>
      <c r="J2568" s="1" t="s">
        <v>3606</v>
      </c>
      <c r="K2568" s="1" t="s">
        <v>10623</v>
      </c>
      <c r="L2568" s="1" t="s">
        <v>3616</v>
      </c>
      <c r="M2568" s="1"/>
    </row>
    <row x14ac:dyDescent="0.25" r="2569" customHeight="1" ht="18.75">
      <c r="A2569" s="1" t="s">
        <v>3693</v>
      </c>
      <c r="B2569" s="1" t="s">
        <v>4083</v>
      </c>
      <c r="C2569" s="1" t="s">
        <v>3600</v>
      </c>
      <c r="D2569" s="1" t="s">
        <v>3695</v>
      </c>
      <c r="E2569" s="1" t="s">
        <v>3893</v>
      </c>
      <c r="F2569" s="1" t="s">
        <v>10624</v>
      </c>
      <c r="G2569" s="1" t="s">
        <v>4344</v>
      </c>
      <c r="H2569" s="1" t="s">
        <v>3604</v>
      </c>
      <c r="I2569" s="1" t="s">
        <v>10625</v>
      </c>
      <c r="J2569" s="1" t="s">
        <v>3606</v>
      </c>
      <c r="K2569" s="1" t="s">
        <v>10626</v>
      </c>
      <c r="L2569" s="1" t="s">
        <v>3616</v>
      </c>
      <c r="M2569" s="1"/>
    </row>
    <row x14ac:dyDescent="0.25" r="2570" customHeight="1" ht="18.75">
      <c r="A2570" s="1" t="s">
        <v>3693</v>
      </c>
      <c r="B2570" s="1" t="s">
        <v>4091</v>
      </c>
      <c r="C2570" s="1" t="s">
        <v>3600</v>
      </c>
      <c r="D2570" s="1" t="s">
        <v>3695</v>
      </c>
      <c r="E2570" s="1" t="s">
        <v>3893</v>
      </c>
      <c r="F2570" s="1" t="s">
        <v>10627</v>
      </c>
      <c r="G2570" s="1" t="s">
        <v>4515</v>
      </c>
      <c r="H2570" s="1" t="s">
        <v>3604</v>
      </c>
      <c r="I2570" s="1" t="s">
        <v>10628</v>
      </c>
      <c r="J2570" s="1" t="s">
        <v>3606</v>
      </c>
      <c r="K2570" s="1" t="s">
        <v>10629</v>
      </c>
      <c r="L2570" s="1" t="s">
        <v>3616</v>
      </c>
      <c r="M2570" s="1"/>
    </row>
    <row x14ac:dyDescent="0.25" r="2571" customHeight="1" ht="18.75">
      <c r="A2571" s="1" t="s">
        <v>3598</v>
      </c>
      <c r="B2571" s="1" t="s">
        <v>8191</v>
      </c>
      <c r="C2571" s="1" t="s">
        <v>3600</v>
      </c>
      <c r="D2571" s="1" t="s">
        <v>10630</v>
      </c>
      <c r="E2571" s="1" t="s">
        <v>3752</v>
      </c>
      <c r="F2571" s="1" t="s">
        <v>10631</v>
      </c>
      <c r="G2571" s="1" t="s">
        <v>10632</v>
      </c>
      <c r="H2571" s="1" t="s">
        <v>3604</v>
      </c>
      <c r="I2571" s="1" t="s">
        <v>10633</v>
      </c>
      <c r="J2571" s="1" t="s">
        <v>3606</v>
      </c>
      <c r="K2571" s="1"/>
      <c r="L2571" s="1" t="s">
        <v>10634</v>
      </c>
      <c r="M2571" s="1"/>
    </row>
    <row x14ac:dyDescent="0.25" r="2572" customHeight="1" ht="18.75">
      <c r="A2572" s="1" t="s">
        <v>3598</v>
      </c>
      <c r="B2572" s="1" t="s">
        <v>8191</v>
      </c>
      <c r="C2572" s="1" t="s">
        <v>3600</v>
      </c>
      <c r="D2572" s="1" t="s">
        <v>3610</v>
      </c>
      <c r="E2572" s="1" t="s">
        <v>3752</v>
      </c>
      <c r="F2572" s="1" t="s">
        <v>10635</v>
      </c>
      <c r="G2572" s="1" t="s">
        <v>10636</v>
      </c>
      <c r="H2572" s="1" t="s">
        <v>3604</v>
      </c>
      <c r="I2572" s="1" t="s">
        <v>10637</v>
      </c>
      <c r="J2572" s="1" t="s">
        <v>3606</v>
      </c>
      <c r="K2572" s="1"/>
      <c r="L2572" s="1" t="s">
        <v>10634</v>
      </c>
      <c r="M2572" s="1"/>
    </row>
    <row x14ac:dyDescent="0.25" r="2573" customHeight="1" ht="18.75">
      <c r="A2573" s="1" t="s">
        <v>3598</v>
      </c>
      <c r="B2573" s="1" t="s">
        <v>9231</v>
      </c>
      <c r="C2573" s="1" t="s">
        <v>3600</v>
      </c>
      <c r="D2573" s="1" t="s">
        <v>3721</v>
      </c>
      <c r="E2573" s="1" t="s">
        <v>3664</v>
      </c>
      <c r="F2573" s="1" t="s">
        <v>10638</v>
      </c>
      <c r="G2573" s="1" t="s">
        <v>9233</v>
      </c>
      <c r="H2573" s="1" t="s">
        <v>3604</v>
      </c>
      <c r="I2573" s="1" t="s">
        <v>10639</v>
      </c>
      <c r="J2573" s="1" t="s">
        <v>3606</v>
      </c>
      <c r="K2573" s="1" t="s">
        <v>10640</v>
      </c>
      <c r="L2573" s="1" t="s">
        <v>3616</v>
      </c>
      <c r="M2573" s="1"/>
    </row>
    <row x14ac:dyDescent="0.25" r="2574" customHeight="1" ht="18.75">
      <c r="A2574" s="1" t="s">
        <v>3598</v>
      </c>
      <c r="B2574" s="1" t="s">
        <v>9231</v>
      </c>
      <c r="C2574" s="1" t="s">
        <v>3600</v>
      </c>
      <c r="D2574" s="1" t="s">
        <v>3610</v>
      </c>
      <c r="E2574" s="1" t="s">
        <v>3664</v>
      </c>
      <c r="F2574" s="1" t="s">
        <v>10641</v>
      </c>
      <c r="G2574" s="1" t="s">
        <v>9233</v>
      </c>
      <c r="H2574" s="1" t="s">
        <v>3604</v>
      </c>
      <c r="I2574" s="1" t="s">
        <v>10642</v>
      </c>
      <c r="J2574" s="1" t="s">
        <v>3606</v>
      </c>
      <c r="K2574" s="1" t="s">
        <v>10643</v>
      </c>
      <c r="L2574" s="1" t="s">
        <v>3616</v>
      </c>
      <c r="M2574" s="1"/>
    </row>
    <row x14ac:dyDescent="0.25" r="2575" customHeight="1" ht="18.75">
      <c r="A2575" s="1" t="s">
        <v>3598</v>
      </c>
      <c r="B2575" s="1" t="s">
        <v>9231</v>
      </c>
      <c r="C2575" s="1" t="s">
        <v>3600</v>
      </c>
      <c r="D2575" s="1" t="s">
        <v>3721</v>
      </c>
      <c r="E2575" s="1" t="s">
        <v>3664</v>
      </c>
      <c r="F2575" s="1" t="s">
        <v>10644</v>
      </c>
      <c r="G2575" s="1" t="s">
        <v>9233</v>
      </c>
      <c r="H2575" s="1" t="s">
        <v>3604</v>
      </c>
      <c r="I2575" s="1" t="s">
        <v>10645</v>
      </c>
      <c r="J2575" s="1" t="s">
        <v>3606</v>
      </c>
      <c r="K2575" s="1" t="s">
        <v>10646</v>
      </c>
      <c r="L2575" s="1" t="s">
        <v>3616</v>
      </c>
      <c r="M2575" s="1"/>
    </row>
    <row x14ac:dyDescent="0.25" r="2576" customHeight="1" ht="18.75">
      <c r="A2576" s="1" t="s">
        <v>3598</v>
      </c>
      <c r="B2576" s="1" t="s">
        <v>9231</v>
      </c>
      <c r="C2576" s="1" t="s">
        <v>3600</v>
      </c>
      <c r="D2576" s="1" t="s">
        <v>3610</v>
      </c>
      <c r="E2576" s="1" t="s">
        <v>3664</v>
      </c>
      <c r="F2576" s="1" t="s">
        <v>10647</v>
      </c>
      <c r="G2576" s="1" t="s">
        <v>9233</v>
      </c>
      <c r="H2576" s="1" t="s">
        <v>3604</v>
      </c>
      <c r="I2576" s="1" t="s">
        <v>10648</v>
      </c>
      <c r="J2576" s="1" t="s">
        <v>3606</v>
      </c>
      <c r="K2576" s="1" t="s">
        <v>10649</v>
      </c>
      <c r="L2576" s="1" t="s">
        <v>3616</v>
      </c>
      <c r="M2576" s="1"/>
    </row>
    <row x14ac:dyDescent="0.25" r="2577" customHeight="1" ht="18.75">
      <c r="A2577" s="1" t="s">
        <v>3598</v>
      </c>
      <c r="B2577" s="1" t="s">
        <v>10650</v>
      </c>
      <c r="C2577" s="1" t="s">
        <v>3600</v>
      </c>
      <c r="D2577" s="1" t="s">
        <v>3601</v>
      </c>
      <c r="E2577" s="1" t="s">
        <v>3893</v>
      </c>
      <c r="F2577" s="1" t="s">
        <v>10651</v>
      </c>
      <c r="G2577" s="1" t="s">
        <v>10652</v>
      </c>
      <c r="H2577" s="1" t="s">
        <v>3604</v>
      </c>
      <c r="I2577" s="1" t="s">
        <v>10653</v>
      </c>
      <c r="J2577" s="1" t="s">
        <v>3606</v>
      </c>
      <c r="K2577" s="1"/>
      <c r="L2577" s="1"/>
      <c r="M2577" s="1"/>
    </row>
    <row x14ac:dyDescent="0.25" r="2578" customHeight="1" ht="18.75">
      <c r="A2578" s="1" t="s">
        <v>3617</v>
      </c>
      <c r="B2578" s="1" t="s">
        <v>5515</v>
      </c>
      <c r="C2578" s="1" t="s">
        <v>3619</v>
      </c>
      <c r="D2578" s="1" t="s">
        <v>3601</v>
      </c>
      <c r="E2578" s="1" t="s">
        <v>3893</v>
      </c>
      <c r="F2578" s="1" t="s">
        <v>10654</v>
      </c>
      <c r="G2578" s="1" t="s">
        <v>5522</v>
      </c>
      <c r="H2578" s="1" t="s">
        <v>3604</v>
      </c>
      <c r="I2578" s="1" t="s">
        <v>10655</v>
      </c>
      <c r="J2578" s="1" t="s">
        <v>3606</v>
      </c>
      <c r="K2578" s="1" t="s">
        <v>10656</v>
      </c>
      <c r="L2578" s="1"/>
      <c r="M2578" s="1"/>
    </row>
    <row x14ac:dyDescent="0.25" r="2579" customHeight="1" ht="18.75">
      <c r="A2579" s="1" t="s">
        <v>3617</v>
      </c>
      <c r="B2579" s="1" t="s">
        <v>5515</v>
      </c>
      <c r="C2579" s="1" t="s">
        <v>3619</v>
      </c>
      <c r="D2579" s="1" t="s">
        <v>3601</v>
      </c>
      <c r="E2579" s="1" t="s">
        <v>3893</v>
      </c>
      <c r="F2579" s="1" t="s">
        <v>10657</v>
      </c>
      <c r="G2579" s="1" t="s">
        <v>5517</v>
      </c>
      <c r="H2579" s="1" t="s">
        <v>3604</v>
      </c>
      <c r="I2579" s="1" t="s">
        <v>10658</v>
      </c>
      <c r="J2579" s="1" t="s">
        <v>3606</v>
      </c>
      <c r="K2579" s="1" t="s">
        <v>10659</v>
      </c>
      <c r="L2579" s="1"/>
      <c r="M2579" s="1"/>
    </row>
    <row x14ac:dyDescent="0.25" r="2580" customHeight="1" ht="18.75">
      <c r="A2580" s="1" t="s">
        <v>3617</v>
      </c>
      <c r="B2580" s="1" t="s">
        <v>5515</v>
      </c>
      <c r="C2580" s="1" t="s">
        <v>3619</v>
      </c>
      <c r="D2580" s="1" t="s">
        <v>3601</v>
      </c>
      <c r="E2580" s="1" t="s">
        <v>3893</v>
      </c>
      <c r="F2580" s="1" t="s">
        <v>10660</v>
      </c>
      <c r="G2580" s="1" t="s">
        <v>10661</v>
      </c>
      <c r="H2580" s="1" t="s">
        <v>3604</v>
      </c>
      <c r="I2580" s="1" t="s">
        <v>10662</v>
      </c>
      <c r="J2580" s="1" t="s">
        <v>3606</v>
      </c>
      <c r="K2580" s="1" t="s">
        <v>10663</v>
      </c>
      <c r="L2580" s="1"/>
      <c r="M2580" s="1"/>
    </row>
    <row x14ac:dyDescent="0.25" r="2581" customHeight="1" ht="18.75">
      <c r="A2581" s="1" t="s">
        <v>3617</v>
      </c>
      <c r="B2581" s="1" t="s">
        <v>5515</v>
      </c>
      <c r="C2581" s="1" t="s">
        <v>3619</v>
      </c>
      <c r="D2581" s="1" t="s">
        <v>3601</v>
      </c>
      <c r="E2581" s="1" t="s">
        <v>3893</v>
      </c>
      <c r="F2581" s="1" t="s">
        <v>10664</v>
      </c>
      <c r="G2581" s="1" t="s">
        <v>10665</v>
      </c>
      <c r="H2581" s="1" t="s">
        <v>3604</v>
      </c>
      <c r="I2581" s="1" t="s">
        <v>10666</v>
      </c>
      <c r="J2581" s="1" t="s">
        <v>3606</v>
      </c>
      <c r="K2581" s="1" t="s">
        <v>10667</v>
      </c>
      <c r="L2581" s="1"/>
      <c r="M2581" s="1"/>
    </row>
    <row x14ac:dyDescent="0.25" r="2582" customHeight="1" ht="18.75">
      <c r="A2582" s="1" t="s">
        <v>3617</v>
      </c>
      <c r="B2582" s="1" t="s">
        <v>5515</v>
      </c>
      <c r="C2582" s="1" t="s">
        <v>3619</v>
      </c>
      <c r="D2582" s="1" t="s">
        <v>3601</v>
      </c>
      <c r="E2582" s="1" t="s">
        <v>3893</v>
      </c>
      <c r="F2582" s="1" t="s">
        <v>10668</v>
      </c>
      <c r="G2582" s="1" t="s">
        <v>5522</v>
      </c>
      <c r="H2582" s="1" t="s">
        <v>3604</v>
      </c>
      <c r="I2582" s="1" t="s">
        <v>10669</v>
      </c>
      <c r="J2582" s="1" t="s">
        <v>3606</v>
      </c>
      <c r="K2582" s="1" t="s">
        <v>10670</v>
      </c>
      <c r="L2582" s="1"/>
      <c r="M2582" s="1"/>
    </row>
    <row x14ac:dyDescent="0.25" r="2583" customHeight="1" ht="18.75">
      <c r="A2583" s="1" t="s">
        <v>3617</v>
      </c>
      <c r="B2583" s="1" t="s">
        <v>5515</v>
      </c>
      <c r="C2583" s="1" t="s">
        <v>3619</v>
      </c>
      <c r="D2583" s="1" t="s">
        <v>3601</v>
      </c>
      <c r="E2583" s="1" t="s">
        <v>3893</v>
      </c>
      <c r="F2583" s="1" t="s">
        <v>10671</v>
      </c>
      <c r="G2583" s="1" t="s">
        <v>5517</v>
      </c>
      <c r="H2583" s="1" t="s">
        <v>3604</v>
      </c>
      <c r="I2583" s="1" t="s">
        <v>10672</v>
      </c>
      <c r="J2583" s="1" t="s">
        <v>3606</v>
      </c>
      <c r="K2583" s="1" t="s">
        <v>10673</v>
      </c>
      <c r="L2583" s="1"/>
      <c r="M2583" s="1"/>
    </row>
    <row x14ac:dyDescent="0.25" r="2584" customHeight="1" ht="18.75">
      <c r="A2584" s="1" t="s">
        <v>3617</v>
      </c>
      <c r="B2584" s="1" t="s">
        <v>5515</v>
      </c>
      <c r="C2584" s="1" t="s">
        <v>3619</v>
      </c>
      <c r="D2584" s="1" t="s">
        <v>3601</v>
      </c>
      <c r="E2584" s="1" t="s">
        <v>3893</v>
      </c>
      <c r="F2584" s="1" t="s">
        <v>10674</v>
      </c>
      <c r="G2584" s="1" t="s">
        <v>10661</v>
      </c>
      <c r="H2584" s="1" t="s">
        <v>3604</v>
      </c>
      <c r="I2584" s="1" t="s">
        <v>10675</v>
      </c>
      <c r="J2584" s="1" t="s">
        <v>3606</v>
      </c>
      <c r="K2584" s="1" t="s">
        <v>10676</v>
      </c>
      <c r="L2584" s="1"/>
      <c r="M2584" s="1"/>
    </row>
    <row x14ac:dyDescent="0.25" r="2585" customHeight="1" ht="18.75">
      <c r="A2585" s="1" t="s">
        <v>3617</v>
      </c>
      <c r="B2585" s="1" t="s">
        <v>5515</v>
      </c>
      <c r="C2585" s="1" t="s">
        <v>3619</v>
      </c>
      <c r="D2585" s="1" t="s">
        <v>3601</v>
      </c>
      <c r="E2585" s="1" t="s">
        <v>3893</v>
      </c>
      <c r="F2585" s="1" t="s">
        <v>10677</v>
      </c>
      <c r="G2585" s="1" t="s">
        <v>10665</v>
      </c>
      <c r="H2585" s="1" t="s">
        <v>3604</v>
      </c>
      <c r="I2585" s="1" t="s">
        <v>10678</v>
      </c>
      <c r="J2585" s="1" t="s">
        <v>3606</v>
      </c>
      <c r="K2585" s="1" t="s">
        <v>10679</v>
      </c>
      <c r="L2585" s="1"/>
      <c r="M2585" s="1"/>
    </row>
    <row x14ac:dyDescent="0.25" r="2586" customHeight="1" ht="18.75">
      <c r="A2586" s="1" t="s">
        <v>3617</v>
      </c>
      <c r="B2586" s="1" t="s">
        <v>4477</v>
      </c>
      <c r="C2586" s="1" t="s">
        <v>3619</v>
      </c>
      <c r="D2586" s="1" t="s">
        <v>8100</v>
      </c>
      <c r="E2586" s="1" t="s">
        <v>4478</v>
      </c>
      <c r="F2586" s="1" t="s">
        <v>10680</v>
      </c>
      <c r="G2586" s="1" t="s">
        <v>7402</v>
      </c>
      <c r="H2586" s="1" t="s">
        <v>3604</v>
      </c>
      <c r="I2586" s="1" t="s">
        <v>10681</v>
      </c>
      <c r="J2586" s="1" t="s">
        <v>3606</v>
      </c>
      <c r="K2586" s="1" t="s">
        <v>10682</v>
      </c>
      <c r="L2586" s="1"/>
      <c r="M2586" s="1"/>
    </row>
    <row x14ac:dyDescent="0.25" r="2587" customHeight="1" ht="18.75">
      <c r="A2587" s="1" t="s">
        <v>3617</v>
      </c>
      <c r="B2587" s="1" t="s">
        <v>4477</v>
      </c>
      <c r="C2587" s="1" t="s">
        <v>3619</v>
      </c>
      <c r="D2587" s="1" t="s">
        <v>8100</v>
      </c>
      <c r="E2587" s="1" t="s">
        <v>4478</v>
      </c>
      <c r="F2587" s="1" t="s">
        <v>10683</v>
      </c>
      <c r="G2587" s="1" t="s">
        <v>7402</v>
      </c>
      <c r="H2587" s="1" t="s">
        <v>3604</v>
      </c>
      <c r="I2587" s="1" t="s">
        <v>10684</v>
      </c>
      <c r="J2587" s="1" t="s">
        <v>3606</v>
      </c>
      <c r="K2587" s="1" t="s">
        <v>10685</v>
      </c>
      <c r="L2587" s="1"/>
      <c r="M2587" s="1"/>
    </row>
    <row x14ac:dyDescent="0.25" r="2588" customHeight="1" ht="18.75">
      <c r="A2588" s="1" t="s">
        <v>3617</v>
      </c>
      <c r="B2588" s="1" t="s">
        <v>4477</v>
      </c>
      <c r="C2588" s="1" t="s">
        <v>3619</v>
      </c>
      <c r="D2588" s="1" t="s">
        <v>8100</v>
      </c>
      <c r="E2588" s="1" t="s">
        <v>4478</v>
      </c>
      <c r="F2588" s="1" t="s">
        <v>10686</v>
      </c>
      <c r="G2588" s="1" t="s">
        <v>7402</v>
      </c>
      <c r="H2588" s="1" t="s">
        <v>3604</v>
      </c>
      <c r="I2588" s="1" t="s">
        <v>10687</v>
      </c>
      <c r="J2588" s="1" t="s">
        <v>3606</v>
      </c>
      <c r="K2588" s="1" t="s">
        <v>10688</v>
      </c>
      <c r="L2588" s="1"/>
      <c r="M2588" s="1"/>
    </row>
    <row x14ac:dyDescent="0.25" r="2589" customHeight="1" ht="18.75">
      <c r="A2589" s="1" t="s">
        <v>3617</v>
      </c>
      <c r="B2589" s="1" t="s">
        <v>4477</v>
      </c>
      <c r="C2589" s="1" t="s">
        <v>3619</v>
      </c>
      <c r="D2589" s="1" t="s">
        <v>533</v>
      </c>
      <c r="E2589" s="1" t="s">
        <v>4478</v>
      </c>
      <c r="F2589" s="1" t="s">
        <v>10689</v>
      </c>
      <c r="G2589" s="1" t="s">
        <v>7402</v>
      </c>
      <c r="H2589" s="1" t="s">
        <v>3604</v>
      </c>
      <c r="I2589" s="1" t="s">
        <v>10690</v>
      </c>
      <c r="J2589" s="1" t="s">
        <v>3606</v>
      </c>
      <c r="K2589" s="1" t="s">
        <v>10691</v>
      </c>
      <c r="L2589" s="1"/>
      <c r="M2589" s="1"/>
    </row>
    <row x14ac:dyDescent="0.25" r="2590" customHeight="1" ht="18.75">
      <c r="A2590" s="1" t="s">
        <v>3617</v>
      </c>
      <c r="B2590" s="1" t="s">
        <v>4477</v>
      </c>
      <c r="C2590" s="1" t="s">
        <v>3619</v>
      </c>
      <c r="D2590" s="1" t="s">
        <v>533</v>
      </c>
      <c r="E2590" s="1" t="s">
        <v>4478</v>
      </c>
      <c r="F2590" s="1" t="s">
        <v>10692</v>
      </c>
      <c r="G2590" s="1" t="s">
        <v>4570</v>
      </c>
      <c r="H2590" s="1" t="s">
        <v>3604</v>
      </c>
      <c r="I2590" s="1" t="s">
        <v>10693</v>
      </c>
      <c r="J2590" s="1" t="s">
        <v>3606</v>
      </c>
      <c r="K2590" s="1" t="s">
        <v>10694</v>
      </c>
      <c r="L2590" s="1"/>
      <c r="M2590" s="1"/>
    </row>
    <row x14ac:dyDescent="0.25" r="2591" customHeight="1" ht="18.75">
      <c r="A2591" s="1" t="s">
        <v>3617</v>
      </c>
      <c r="B2591" s="1" t="s">
        <v>4477</v>
      </c>
      <c r="C2591" s="1" t="s">
        <v>3619</v>
      </c>
      <c r="D2591" s="1" t="s">
        <v>8373</v>
      </c>
      <c r="E2591" s="1" t="s">
        <v>4478</v>
      </c>
      <c r="F2591" s="1" t="s">
        <v>10695</v>
      </c>
      <c r="G2591" s="1" t="s">
        <v>7402</v>
      </c>
      <c r="H2591" s="1" t="s">
        <v>3604</v>
      </c>
      <c r="I2591" s="1" t="s">
        <v>10696</v>
      </c>
      <c r="J2591" s="1" t="s">
        <v>3606</v>
      </c>
      <c r="K2591" s="1" t="s">
        <v>10697</v>
      </c>
      <c r="L2591" s="1"/>
      <c r="M2591" s="1"/>
    </row>
    <row x14ac:dyDescent="0.25" r="2592" customHeight="1" ht="18.75">
      <c r="A2592" s="1" t="s">
        <v>3617</v>
      </c>
      <c r="B2592" s="1" t="s">
        <v>4477</v>
      </c>
      <c r="C2592" s="1" t="s">
        <v>3619</v>
      </c>
      <c r="D2592" s="1" t="s">
        <v>8373</v>
      </c>
      <c r="E2592" s="1" t="s">
        <v>4478</v>
      </c>
      <c r="F2592" s="1" t="s">
        <v>10698</v>
      </c>
      <c r="G2592" s="1" t="s">
        <v>7402</v>
      </c>
      <c r="H2592" s="1" t="s">
        <v>3604</v>
      </c>
      <c r="I2592" s="1" t="s">
        <v>10699</v>
      </c>
      <c r="J2592" s="1" t="s">
        <v>3606</v>
      </c>
      <c r="K2592" s="1" t="s">
        <v>10700</v>
      </c>
      <c r="L2592" s="1"/>
      <c r="M2592" s="1"/>
    </row>
    <row x14ac:dyDescent="0.25" r="2593" customHeight="1" ht="18.75">
      <c r="A2593" s="1" t="s">
        <v>3617</v>
      </c>
      <c r="B2593" s="1" t="s">
        <v>4477</v>
      </c>
      <c r="C2593" s="1" t="s">
        <v>3619</v>
      </c>
      <c r="D2593" s="1" t="s">
        <v>8373</v>
      </c>
      <c r="E2593" s="1" t="s">
        <v>4478</v>
      </c>
      <c r="F2593" s="1" t="s">
        <v>10701</v>
      </c>
      <c r="G2593" s="1" t="s">
        <v>7402</v>
      </c>
      <c r="H2593" s="1" t="s">
        <v>3604</v>
      </c>
      <c r="I2593" s="1" t="s">
        <v>10702</v>
      </c>
      <c r="J2593" s="1" t="s">
        <v>3606</v>
      </c>
      <c r="K2593" s="1" t="s">
        <v>10703</v>
      </c>
      <c r="L2593" s="1"/>
      <c r="M2593" s="1"/>
    </row>
    <row x14ac:dyDescent="0.25" r="2594" customHeight="1" ht="18.75">
      <c r="A2594" s="1" t="s">
        <v>3617</v>
      </c>
      <c r="B2594" s="1" t="s">
        <v>4477</v>
      </c>
      <c r="C2594" s="1" t="s">
        <v>3619</v>
      </c>
      <c r="D2594" s="1" t="s">
        <v>8373</v>
      </c>
      <c r="E2594" s="1" t="s">
        <v>4478</v>
      </c>
      <c r="F2594" s="1" t="s">
        <v>10704</v>
      </c>
      <c r="G2594" s="1" t="s">
        <v>7402</v>
      </c>
      <c r="H2594" s="1" t="s">
        <v>3604</v>
      </c>
      <c r="I2594" s="1" t="s">
        <v>10705</v>
      </c>
      <c r="J2594" s="1" t="s">
        <v>3606</v>
      </c>
      <c r="K2594" s="1" t="s">
        <v>10706</v>
      </c>
      <c r="L2594" s="1"/>
      <c r="M2594" s="1"/>
    </row>
    <row x14ac:dyDescent="0.25" r="2595" customHeight="1" ht="18.75">
      <c r="A2595" s="1" t="s">
        <v>3617</v>
      </c>
      <c r="B2595" s="1" t="s">
        <v>4477</v>
      </c>
      <c r="C2595" s="1" t="s">
        <v>3619</v>
      </c>
      <c r="D2595" s="1" t="s">
        <v>8373</v>
      </c>
      <c r="E2595" s="1" t="s">
        <v>4478</v>
      </c>
      <c r="F2595" s="1" t="s">
        <v>10707</v>
      </c>
      <c r="G2595" s="1" t="s">
        <v>7402</v>
      </c>
      <c r="H2595" s="1" t="s">
        <v>3604</v>
      </c>
      <c r="I2595" s="1" t="s">
        <v>10708</v>
      </c>
      <c r="J2595" s="1" t="s">
        <v>3606</v>
      </c>
      <c r="K2595" s="1" t="s">
        <v>10709</v>
      </c>
      <c r="L2595" s="1"/>
      <c r="M2595" s="1"/>
    </row>
    <row x14ac:dyDescent="0.25" r="2596" customHeight="1" ht="18.75">
      <c r="A2596" s="1" t="s">
        <v>3617</v>
      </c>
      <c r="B2596" s="1" t="s">
        <v>4477</v>
      </c>
      <c r="C2596" s="1" t="s">
        <v>3619</v>
      </c>
      <c r="D2596" s="1" t="s">
        <v>8373</v>
      </c>
      <c r="E2596" s="1" t="s">
        <v>4478</v>
      </c>
      <c r="F2596" s="1" t="s">
        <v>10710</v>
      </c>
      <c r="G2596" s="1" t="s">
        <v>7402</v>
      </c>
      <c r="H2596" s="1" t="s">
        <v>3604</v>
      </c>
      <c r="I2596" s="1" t="s">
        <v>10711</v>
      </c>
      <c r="J2596" s="1" t="s">
        <v>3606</v>
      </c>
      <c r="K2596" s="1" t="s">
        <v>10712</v>
      </c>
      <c r="L2596" s="1"/>
      <c r="M2596" s="1"/>
    </row>
    <row x14ac:dyDescent="0.25" r="2597" customHeight="1" ht="18.75">
      <c r="A2597" s="1" t="s">
        <v>3617</v>
      </c>
      <c r="B2597" s="1" t="s">
        <v>4477</v>
      </c>
      <c r="C2597" s="1" t="s">
        <v>3619</v>
      </c>
      <c r="D2597" s="1" t="s">
        <v>8373</v>
      </c>
      <c r="E2597" s="1" t="s">
        <v>4478</v>
      </c>
      <c r="F2597" s="1" t="s">
        <v>10713</v>
      </c>
      <c r="G2597" s="1" t="s">
        <v>10714</v>
      </c>
      <c r="H2597" s="1" t="s">
        <v>3604</v>
      </c>
      <c r="I2597" s="1" t="s">
        <v>10715</v>
      </c>
      <c r="J2597" s="1" t="s">
        <v>3606</v>
      </c>
      <c r="K2597" s="1" t="s">
        <v>10697</v>
      </c>
      <c r="L2597" s="1"/>
      <c r="M2597" s="1"/>
    </row>
    <row x14ac:dyDescent="0.25" r="2598" customHeight="1" ht="18.75">
      <c r="A2598" s="1" t="s">
        <v>3617</v>
      </c>
      <c r="B2598" s="1" t="s">
        <v>4477</v>
      </c>
      <c r="C2598" s="1" t="s">
        <v>3619</v>
      </c>
      <c r="D2598" s="1" t="s">
        <v>8373</v>
      </c>
      <c r="E2598" s="1" t="s">
        <v>4478</v>
      </c>
      <c r="F2598" s="1" t="s">
        <v>10716</v>
      </c>
      <c r="G2598" s="1" t="s">
        <v>10714</v>
      </c>
      <c r="H2598" s="1" t="s">
        <v>3604</v>
      </c>
      <c r="I2598" s="1" t="s">
        <v>10717</v>
      </c>
      <c r="J2598" s="1" t="s">
        <v>3606</v>
      </c>
      <c r="K2598" s="1" t="s">
        <v>10700</v>
      </c>
      <c r="L2598" s="1"/>
      <c r="M2598" s="1"/>
    </row>
    <row x14ac:dyDescent="0.25" r="2599" customHeight="1" ht="18.75">
      <c r="A2599" s="1" t="s">
        <v>3617</v>
      </c>
      <c r="B2599" s="1" t="s">
        <v>4477</v>
      </c>
      <c r="C2599" s="1" t="s">
        <v>3619</v>
      </c>
      <c r="D2599" s="1" t="s">
        <v>8373</v>
      </c>
      <c r="E2599" s="1" t="s">
        <v>4478</v>
      </c>
      <c r="F2599" s="1" t="s">
        <v>10718</v>
      </c>
      <c r="G2599" s="1" t="s">
        <v>10714</v>
      </c>
      <c r="H2599" s="1" t="s">
        <v>3604</v>
      </c>
      <c r="I2599" s="1" t="s">
        <v>10719</v>
      </c>
      <c r="J2599" s="1" t="s">
        <v>3606</v>
      </c>
      <c r="K2599" s="1" t="s">
        <v>10703</v>
      </c>
      <c r="L2599" s="1"/>
      <c r="M2599" s="1"/>
    </row>
    <row x14ac:dyDescent="0.25" r="2600" customHeight="1" ht="18.75">
      <c r="A2600" s="1" t="s">
        <v>3617</v>
      </c>
      <c r="B2600" s="1" t="s">
        <v>4477</v>
      </c>
      <c r="C2600" s="1" t="s">
        <v>3619</v>
      </c>
      <c r="D2600" s="1" t="s">
        <v>3610</v>
      </c>
      <c r="E2600" s="1" t="s">
        <v>4478</v>
      </c>
      <c r="F2600" s="1" t="s">
        <v>10720</v>
      </c>
      <c r="G2600" s="1" t="s">
        <v>10721</v>
      </c>
      <c r="H2600" s="1" t="s">
        <v>3604</v>
      </c>
      <c r="I2600" s="1" t="s">
        <v>10722</v>
      </c>
      <c r="J2600" s="1" t="s">
        <v>3606</v>
      </c>
      <c r="K2600" s="1" t="s">
        <v>10723</v>
      </c>
      <c r="L2600" s="1" t="s">
        <v>3616</v>
      </c>
      <c r="M2600" s="1"/>
    </row>
    <row x14ac:dyDescent="0.25" r="2601" customHeight="1" ht="18.75">
      <c r="A2601" s="1" t="s">
        <v>3617</v>
      </c>
      <c r="B2601" s="1" t="s">
        <v>4477</v>
      </c>
      <c r="C2601" s="1" t="s">
        <v>3619</v>
      </c>
      <c r="D2601" s="1" t="s">
        <v>3610</v>
      </c>
      <c r="E2601" s="1" t="s">
        <v>4478</v>
      </c>
      <c r="F2601" s="1" t="s">
        <v>10724</v>
      </c>
      <c r="G2601" s="1" t="s">
        <v>10725</v>
      </c>
      <c r="H2601" s="1" t="s">
        <v>3604</v>
      </c>
      <c r="I2601" s="1" t="s">
        <v>10726</v>
      </c>
      <c r="J2601" s="1" t="s">
        <v>3606</v>
      </c>
      <c r="K2601" s="1" t="s">
        <v>10727</v>
      </c>
      <c r="L2601" s="1" t="s">
        <v>3616</v>
      </c>
      <c r="M2601" s="1"/>
    </row>
    <row x14ac:dyDescent="0.25" r="2602" customHeight="1" ht="18.75">
      <c r="A2602" s="1" t="s">
        <v>3617</v>
      </c>
      <c r="B2602" s="1" t="s">
        <v>4477</v>
      </c>
      <c r="C2602" s="1" t="s">
        <v>3619</v>
      </c>
      <c r="D2602" s="1" t="s">
        <v>3610</v>
      </c>
      <c r="E2602" s="1" t="s">
        <v>4478</v>
      </c>
      <c r="F2602" s="1" t="s">
        <v>10728</v>
      </c>
      <c r="G2602" s="1" t="s">
        <v>7402</v>
      </c>
      <c r="H2602" s="1" t="s">
        <v>3604</v>
      </c>
      <c r="I2602" s="1" t="s">
        <v>10729</v>
      </c>
      <c r="J2602" s="1" t="s">
        <v>3606</v>
      </c>
      <c r="K2602" s="1" t="s">
        <v>10730</v>
      </c>
      <c r="L2602" s="1"/>
      <c r="M2602" s="1"/>
    </row>
    <row x14ac:dyDescent="0.25" r="2603" customHeight="1" ht="18.75">
      <c r="A2603" s="1" t="s">
        <v>3617</v>
      </c>
      <c r="B2603" s="1" t="s">
        <v>4477</v>
      </c>
      <c r="C2603" s="1" t="s">
        <v>3619</v>
      </c>
      <c r="D2603" s="1" t="s">
        <v>3610</v>
      </c>
      <c r="E2603" s="1" t="s">
        <v>4478</v>
      </c>
      <c r="F2603" s="1" t="s">
        <v>10731</v>
      </c>
      <c r="G2603" s="1" t="s">
        <v>4570</v>
      </c>
      <c r="H2603" s="1" t="s">
        <v>3604</v>
      </c>
      <c r="I2603" s="1" t="s">
        <v>10732</v>
      </c>
      <c r="J2603" s="1" t="s">
        <v>3606</v>
      </c>
      <c r="K2603" s="1" t="s">
        <v>10733</v>
      </c>
      <c r="L2603" s="1"/>
      <c r="M2603" s="1"/>
    </row>
    <row x14ac:dyDescent="0.25" r="2604" customHeight="1" ht="18.75">
      <c r="A2604" s="1" t="s">
        <v>3617</v>
      </c>
      <c r="B2604" s="1" t="s">
        <v>4477</v>
      </c>
      <c r="C2604" s="1" t="s">
        <v>3619</v>
      </c>
      <c r="D2604" s="1" t="s">
        <v>3610</v>
      </c>
      <c r="E2604" s="1" t="s">
        <v>4478</v>
      </c>
      <c r="F2604" s="1" t="s">
        <v>10734</v>
      </c>
      <c r="G2604" s="1" t="s">
        <v>4573</v>
      </c>
      <c r="H2604" s="1" t="s">
        <v>3604</v>
      </c>
      <c r="I2604" s="1" t="s">
        <v>10735</v>
      </c>
      <c r="J2604" s="1" t="s">
        <v>3606</v>
      </c>
      <c r="K2604" s="1" t="s">
        <v>10736</v>
      </c>
      <c r="L2604" s="1"/>
      <c r="M2604" s="1"/>
    </row>
    <row x14ac:dyDescent="0.25" r="2605" customHeight="1" ht="18.75">
      <c r="A2605" s="1" t="s">
        <v>3617</v>
      </c>
      <c r="B2605" s="1" t="s">
        <v>4477</v>
      </c>
      <c r="C2605" s="1" t="s">
        <v>3619</v>
      </c>
      <c r="D2605" s="1" t="s">
        <v>3610</v>
      </c>
      <c r="E2605" s="1" t="s">
        <v>4478</v>
      </c>
      <c r="F2605" s="1" t="s">
        <v>10737</v>
      </c>
      <c r="G2605" s="1" t="s">
        <v>4573</v>
      </c>
      <c r="H2605" s="1" t="s">
        <v>3604</v>
      </c>
      <c r="I2605" s="1" t="s">
        <v>10738</v>
      </c>
      <c r="J2605" s="1" t="s">
        <v>3606</v>
      </c>
      <c r="K2605" s="1" t="s">
        <v>10739</v>
      </c>
      <c r="L2605" s="1"/>
      <c r="M2605" s="1"/>
    </row>
    <row x14ac:dyDescent="0.25" r="2606" customHeight="1" ht="18.75">
      <c r="A2606" s="1" t="s">
        <v>3617</v>
      </c>
      <c r="B2606" s="1" t="s">
        <v>4477</v>
      </c>
      <c r="C2606" s="1" t="s">
        <v>3619</v>
      </c>
      <c r="D2606" s="1" t="s">
        <v>3610</v>
      </c>
      <c r="E2606" s="1" t="s">
        <v>4478</v>
      </c>
      <c r="F2606" s="1" t="s">
        <v>10740</v>
      </c>
      <c r="G2606" s="1" t="s">
        <v>4573</v>
      </c>
      <c r="H2606" s="1" t="s">
        <v>3604</v>
      </c>
      <c r="I2606" s="1" t="s">
        <v>10741</v>
      </c>
      <c r="J2606" s="1" t="s">
        <v>3606</v>
      </c>
      <c r="K2606" s="1" t="s">
        <v>10742</v>
      </c>
      <c r="L2606" s="1"/>
      <c r="M2606" s="1"/>
    </row>
    <row x14ac:dyDescent="0.25" r="2607" customHeight="1" ht="18.75">
      <c r="A2607" s="1" t="s">
        <v>3617</v>
      </c>
      <c r="B2607" s="1" t="s">
        <v>4477</v>
      </c>
      <c r="C2607" s="1" t="s">
        <v>3619</v>
      </c>
      <c r="D2607" s="1" t="s">
        <v>3610</v>
      </c>
      <c r="E2607" s="1" t="s">
        <v>4478</v>
      </c>
      <c r="F2607" s="1" t="s">
        <v>10743</v>
      </c>
      <c r="G2607" s="1" t="s">
        <v>10744</v>
      </c>
      <c r="H2607" s="1" t="s">
        <v>3604</v>
      </c>
      <c r="I2607" s="1" t="s">
        <v>10745</v>
      </c>
      <c r="J2607" s="1" t="s">
        <v>3606</v>
      </c>
      <c r="K2607" s="1" t="s">
        <v>10746</v>
      </c>
      <c r="L2607" s="1"/>
      <c r="M2607" s="1"/>
    </row>
    <row x14ac:dyDescent="0.25" r="2608" customHeight="1" ht="18.75">
      <c r="A2608" s="1" t="s">
        <v>3617</v>
      </c>
      <c r="B2608" s="1" t="s">
        <v>4477</v>
      </c>
      <c r="C2608" s="1" t="s">
        <v>3619</v>
      </c>
      <c r="D2608" s="1" t="s">
        <v>3695</v>
      </c>
      <c r="E2608" s="1" t="s">
        <v>4478</v>
      </c>
      <c r="F2608" s="1" t="s">
        <v>10747</v>
      </c>
      <c r="G2608" s="1" t="s">
        <v>7402</v>
      </c>
      <c r="H2608" s="1" t="s">
        <v>3604</v>
      </c>
      <c r="I2608" s="1" t="s">
        <v>10748</v>
      </c>
      <c r="J2608" s="1" t="s">
        <v>3606</v>
      </c>
      <c r="K2608" s="1" t="s">
        <v>10749</v>
      </c>
      <c r="L2608" s="1"/>
      <c r="M2608" s="1"/>
    </row>
    <row x14ac:dyDescent="0.25" r="2609" customHeight="1" ht="18.75">
      <c r="A2609" s="1" t="s">
        <v>3617</v>
      </c>
      <c r="B2609" s="1" t="s">
        <v>4477</v>
      </c>
      <c r="C2609" s="1" t="s">
        <v>3619</v>
      </c>
      <c r="D2609" s="1" t="s">
        <v>3695</v>
      </c>
      <c r="E2609" s="1" t="s">
        <v>4478</v>
      </c>
      <c r="F2609" s="1" t="s">
        <v>10750</v>
      </c>
      <c r="G2609" s="1" t="s">
        <v>7402</v>
      </c>
      <c r="H2609" s="1" t="s">
        <v>3604</v>
      </c>
      <c r="I2609" s="1" t="s">
        <v>10751</v>
      </c>
      <c r="J2609" s="1" t="s">
        <v>3606</v>
      </c>
      <c r="K2609" s="1" t="s">
        <v>10752</v>
      </c>
      <c r="L2609" s="1"/>
      <c r="M2609" s="1"/>
    </row>
    <row x14ac:dyDescent="0.25" r="2610" customHeight="1" ht="18.75">
      <c r="A2610" s="1" t="s">
        <v>3617</v>
      </c>
      <c r="B2610" s="1" t="s">
        <v>4477</v>
      </c>
      <c r="C2610" s="1" t="s">
        <v>3619</v>
      </c>
      <c r="D2610" s="1" t="s">
        <v>3695</v>
      </c>
      <c r="E2610" s="1" t="s">
        <v>4478</v>
      </c>
      <c r="F2610" s="1" t="s">
        <v>10753</v>
      </c>
      <c r="G2610" s="1" t="s">
        <v>7402</v>
      </c>
      <c r="H2610" s="1" t="s">
        <v>3604</v>
      </c>
      <c r="I2610" s="1" t="s">
        <v>10754</v>
      </c>
      <c r="J2610" s="1" t="s">
        <v>3606</v>
      </c>
      <c r="K2610" s="1" t="s">
        <v>10755</v>
      </c>
      <c r="L2610" s="1"/>
      <c r="M2610" s="1"/>
    </row>
    <row x14ac:dyDescent="0.25" r="2611" customHeight="1" ht="18.75">
      <c r="A2611" s="1" t="s">
        <v>3617</v>
      </c>
      <c r="B2611" s="1" t="s">
        <v>4477</v>
      </c>
      <c r="C2611" s="1" t="s">
        <v>3619</v>
      </c>
      <c r="D2611" s="1" t="s">
        <v>3695</v>
      </c>
      <c r="E2611" s="1" t="s">
        <v>4478</v>
      </c>
      <c r="F2611" s="1" t="s">
        <v>10756</v>
      </c>
      <c r="G2611" s="1" t="s">
        <v>10714</v>
      </c>
      <c r="H2611" s="1" t="s">
        <v>3604</v>
      </c>
      <c r="I2611" s="1" t="s">
        <v>10757</v>
      </c>
      <c r="J2611" s="1" t="s">
        <v>3606</v>
      </c>
      <c r="K2611" s="1" t="s">
        <v>10758</v>
      </c>
      <c r="L2611" s="1"/>
      <c r="M2611" s="1"/>
    </row>
    <row x14ac:dyDescent="0.25" r="2612" customHeight="1" ht="18.75">
      <c r="A2612" s="1" t="s">
        <v>3617</v>
      </c>
      <c r="B2612" s="1" t="s">
        <v>4477</v>
      </c>
      <c r="C2612" s="1" t="s">
        <v>3619</v>
      </c>
      <c r="D2612" s="1" t="s">
        <v>3695</v>
      </c>
      <c r="E2612" s="1" t="s">
        <v>4478</v>
      </c>
      <c r="F2612" s="1" t="s">
        <v>10759</v>
      </c>
      <c r="G2612" s="1" t="s">
        <v>10714</v>
      </c>
      <c r="H2612" s="1" t="s">
        <v>3604</v>
      </c>
      <c r="I2612" s="1" t="s">
        <v>10760</v>
      </c>
      <c r="J2612" s="1" t="s">
        <v>3606</v>
      </c>
      <c r="K2612" s="1" t="s">
        <v>10761</v>
      </c>
      <c r="L2612" s="1"/>
      <c r="M2612" s="1"/>
    </row>
    <row x14ac:dyDescent="0.25" r="2613" customHeight="1" ht="18.75">
      <c r="A2613" s="1" t="s">
        <v>3617</v>
      </c>
      <c r="B2613" s="1" t="s">
        <v>4477</v>
      </c>
      <c r="C2613" s="1" t="s">
        <v>3619</v>
      </c>
      <c r="D2613" s="1" t="s">
        <v>3695</v>
      </c>
      <c r="E2613" s="1" t="s">
        <v>4478</v>
      </c>
      <c r="F2613" s="1" t="s">
        <v>10762</v>
      </c>
      <c r="G2613" s="1" t="s">
        <v>10714</v>
      </c>
      <c r="H2613" s="1" t="s">
        <v>3604</v>
      </c>
      <c r="I2613" s="1" t="s">
        <v>10763</v>
      </c>
      <c r="J2613" s="1" t="s">
        <v>3606</v>
      </c>
      <c r="K2613" s="1" t="s">
        <v>10764</v>
      </c>
      <c r="L2613" s="1"/>
      <c r="M2613" s="1"/>
    </row>
    <row x14ac:dyDescent="0.25" r="2614" customHeight="1" ht="18.75">
      <c r="A2614" s="1" t="s">
        <v>3617</v>
      </c>
      <c r="B2614" s="1" t="s">
        <v>4477</v>
      </c>
      <c r="C2614" s="1" t="s">
        <v>3619</v>
      </c>
      <c r="D2614" s="1" t="s">
        <v>3695</v>
      </c>
      <c r="E2614" s="1" t="s">
        <v>4478</v>
      </c>
      <c r="F2614" s="1" t="s">
        <v>10765</v>
      </c>
      <c r="G2614" s="1" t="s">
        <v>4570</v>
      </c>
      <c r="H2614" s="1" t="s">
        <v>3604</v>
      </c>
      <c r="I2614" s="1" t="s">
        <v>10766</v>
      </c>
      <c r="J2614" s="1" t="s">
        <v>3606</v>
      </c>
      <c r="K2614" s="1" t="s">
        <v>10767</v>
      </c>
      <c r="L2614" s="1"/>
      <c r="M2614" s="1"/>
    </row>
    <row x14ac:dyDescent="0.25" r="2615" customHeight="1" ht="18.75">
      <c r="A2615" s="1" t="s">
        <v>3617</v>
      </c>
      <c r="B2615" s="1" t="s">
        <v>4477</v>
      </c>
      <c r="C2615" s="1" t="s">
        <v>3619</v>
      </c>
      <c r="D2615" s="1" t="s">
        <v>3695</v>
      </c>
      <c r="E2615" s="1" t="s">
        <v>4478</v>
      </c>
      <c r="F2615" s="1" t="s">
        <v>10768</v>
      </c>
      <c r="G2615" s="1" t="s">
        <v>4570</v>
      </c>
      <c r="H2615" s="1" t="s">
        <v>3604</v>
      </c>
      <c r="I2615" s="1" t="s">
        <v>10769</v>
      </c>
      <c r="J2615" s="1" t="s">
        <v>3606</v>
      </c>
      <c r="K2615" s="1" t="s">
        <v>10770</v>
      </c>
      <c r="L2615" s="1"/>
      <c r="M2615" s="1"/>
    </row>
    <row x14ac:dyDescent="0.25" r="2616" customHeight="1" ht="18.75">
      <c r="A2616" s="1" t="s">
        <v>3617</v>
      </c>
      <c r="B2616" s="1" t="s">
        <v>4477</v>
      </c>
      <c r="C2616" s="1" t="s">
        <v>3619</v>
      </c>
      <c r="D2616" s="1" t="s">
        <v>3695</v>
      </c>
      <c r="E2616" s="1" t="s">
        <v>4478</v>
      </c>
      <c r="F2616" s="1" t="s">
        <v>10771</v>
      </c>
      <c r="G2616" s="1" t="s">
        <v>4570</v>
      </c>
      <c r="H2616" s="1" t="s">
        <v>3604</v>
      </c>
      <c r="I2616" s="1" t="s">
        <v>10772</v>
      </c>
      <c r="J2616" s="1" t="s">
        <v>3606</v>
      </c>
      <c r="K2616" s="1" t="s">
        <v>10773</v>
      </c>
      <c r="L2616" s="1"/>
      <c r="M2616" s="1"/>
    </row>
    <row x14ac:dyDescent="0.25" r="2617" customHeight="1" ht="18.75">
      <c r="A2617" s="1" t="s">
        <v>3617</v>
      </c>
      <c r="B2617" s="1" t="s">
        <v>4477</v>
      </c>
      <c r="C2617" s="1" t="s">
        <v>3619</v>
      </c>
      <c r="D2617" s="1" t="s">
        <v>3695</v>
      </c>
      <c r="E2617" s="1" t="s">
        <v>4478</v>
      </c>
      <c r="F2617" s="1" t="s">
        <v>10774</v>
      </c>
      <c r="G2617" s="1" t="s">
        <v>4573</v>
      </c>
      <c r="H2617" s="1" t="s">
        <v>3604</v>
      </c>
      <c r="I2617" s="1" t="s">
        <v>10775</v>
      </c>
      <c r="J2617" s="1" t="s">
        <v>3606</v>
      </c>
      <c r="K2617" s="1" t="s">
        <v>10776</v>
      </c>
      <c r="L2617" s="1"/>
      <c r="M2617" s="1"/>
    </row>
    <row x14ac:dyDescent="0.25" r="2618" customHeight="1" ht="18.75">
      <c r="A2618" s="1" t="s">
        <v>3617</v>
      </c>
      <c r="B2618" s="1" t="s">
        <v>4477</v>
      </c>
      <c r="C2618" s="1" t="s">
        <v>3619</v>
      </c>
      <c r="D2618" s="1" t="s">
        <v>3695</v>
      </c>
      <c r="E2618" s="1" t="s">
        <v>4478</v>
      </c>
      <c r="F2618" s="1" t="s">
        <v>10777</v>
      </c>
      <c r="G2618" s="1" t="s">
        <v>4573</v>
      </c>
      <c r="H2618" s="1" t="s">
        <v>3604</v>
      </c>
      <c r="I2618" s="1" t="s">
        <v>10778</v>
      </c>
      <c r="J2618" s="1" t="s">
        <v>3606</v>
      </c>
      <c r="K2618" s="1" t="s">
        <v>10779</v>
      </c>
      <c r="L2618" s="1"/>
      <c r="M2618" s="1"/>
    </row>
    <row x14ac:dyDescent="0.25" r="2619" customHeight="1" ht="18.75">
      <c r="A2619" s="1" t="s">
        <v>3617</v>
      </c>
      <c r="B2619" s="1" t="s">
        <v>4477</v>
      </c>
      <c r="C2619" s="1" t="s">
        <v>3619</v>
      </c>
      <c r="D2619" s="1" t="s">
        <v>3695</v>
      </c>
      <c r="E2619" s="1" t="s">
        <v>4478</v>
      </c>
      <c r="F2619" s="1" t="s">
        <v>10780</v>
      </c>
      <c r="G2619" s="1" t="s">
        <v>4573</v>
      </c>
      <c r="H2619" s="1" t="s">
        <v>3604</v>
      </c>
      <c r="I2619" s="1" t="s">
        <v>10781</v>
      </c>
      <c r="J2619" s="1" t="s">
        <v>3606</v>
      </c>
      <c r="K2619" s="1" t="s">
        <v>10782</v>
      </c>
      <c r="L2619" s="1"/>
      <c r="M2619" s="1"/>
    </row>
    <row x14ac:dyDescent="0.25" r="2620" customHeight="1" ht="18.75">
      <c r="A2620" s="1" t="s">
        <v>3617</v>
      </c>
      <c r="B2620" s="1" t="s">
        <v>4477</v>
      </c>
      <c r="C2620" s="1" t="s">
        <v>3619</v>
      </c>
      <c r="D2620" s="1" t="s">
        <v>7891</v>
      </c>
      <c r="E2620" s="1" t="s">
        <v>4478</v>
      </c>
      <c r="F2620" s="1" t="s">
        <v>10783</v>
      </c>
      <c r="G2620" s="1" t="s">
        <v>7402</v>
      </c>
      <c r="H2620" s="1" t="s">
        <v>3604</v>
      </c>
      <c r="I2620" s="1" t="s">
        <v>10784</v>
      </c>
      <c r="J2620" s="1" t="s">
        <v>3606</v>
      </c>
      <c r="K2620" s="1" t="s">
        <v>10785</v>
      </c>
      <c r="L2620" s="1"/>
      <c r="M2620" s="1"/>
    </row>
    <row x14ac:dyDescent="0.25" r="2621" customHeight="1" ht="18.75">
      <c r="A2621" s="1" t="s">
        <v>3617</v>
      </c>
      <c r="B2621" s="1" t="s">
        <v>4477</v>
      </c>
      <c r="C2621" s="1" t="s">
        <v>3619</v>
      </c>
      <c r="D2621" s="1" t="s">
        <v>3601</v>
      </c>
      <c r="E2621" s="1" t="s">
        <v>4478</v>
      </c>
      <c r="F2621" s="1" t="s">
        <v>10786</v>
      </c>
      <c r="G2621" s="1" t="s">
        <v>10744</v>
      </c>
      <c r="H2621" s="1" t="s">
        <v>3604</v>
      </c>
      <c r="I2621" s="1" t="s">
        <v>10787</v>
      </c>
      <c r="J2621" s="1" t="s">
        <v>3606</v>
      </c>
      <c r="K2621" s="1" t="s">
        <v>10788</v>
      </c>
      <c r="L2621" s="1"/>
      <c r="M2621" s="1"/>
    </row>
    <row x14ac:dyDescent="0.25" r="2622" customHeight="1" ht="18.75">
      <c r="A2622" s="1" t="s">
        <v>3617</v>
      </c>
      <c r="B2622" s="1" t="s">
        <v>4477</v>
      </c>
      <c r="C2622" s="1" t="s">
        <v>3619</v>
      </c>
      <c r="D2622" s="1" t="s">
        <v>3601</v>
      </c>
      <c r="E2622" s="1" t="s">
        <v>4478</v>
      </c>
      <c r="F2622" s="1" t="s">
        <v>10789</v>
      </c>
      <c r="G2622" s="1" t="s">
        <v>10744</v>
      </c>
      <c r="H2622" s="1" t="s">
        <v>3604</v>
      </c>
      <c r="I2622" s="1" t="s">
        <v>10790</v>
      </c>
      <c r="J2622" s="1" t="s">
        <v>3606</v>
      </c>
      <c r="K2622" s="1" t="s">
        <v>10791</v>
      </c>
      <c r="L2622" s="1"/>
      <c r="M2622" s="1"/>
    </row>
    <row x14ac:dyDescent="0.25" r="2623" customHeight="1" ht="18.75">
      <c r="A2623" s="1" t="s">
        <v>3617</v>
      </c>
      <c r="B2623" s="1" t="s">
        <v>4477</v>
      </c>
      <c r="C2623" s="1" t="s">
        <v>3619</v>
      </c>
      <c r="D2623" s="1" t="s">
        <v>3601</v>
      </c>
      <c r="E2623" s="1" t="s">
        <v>4478</v>
      </c>
      <c r="F2623" s="1" t="s">
        <v>10792</v>
      </c>
      <c r="G2623" s="1" t="s">
        <v>10744</v>
      </c>
      <c r="H2623" s="1" t="s">
        <v>3604</v>
      </c>
      <c r="I2623" s="1" t="s">
        <v>10793</v>
      </c>
      <c r="J2623" s="1" t="s">
        <v>3606</v>
      </c>
      <c r="K2623" s="1" t="s">
        <v>10794</v>
      </c>
      <c r="L2623" s="1"/>
      <c r="M2623" s="1"/>
    </row>
    <row x14ac:dyDescent="0.25" r="2624" customHeight="1" ht="18.75">
      <c r="A2624" s="1" t="s">
        <v>3617</v>
      </c>
      <c r="B2624" s="1" t="s">
        <v>4477</v>
      </c>
      <c r="C2624" s="1" t="s">
        <v>3619</v>
      </c>
      <c r="D2624" s="1" t="s">
        <v>3601</v>
      </c>
      <c r="E2624" s="1" t="s">
        <v>4478</v>
      </c>
      <c r="F2624" s="1" t="s">
        <v>10795</v>
      </c>
      <c r="G2624" s="1" t="s">
        <v>10744</v>
      </c>
      <c r="H2624" s="1" t="s">
        <v>3604</v>
      </c>
      <c r="I2624" s="1" t="s">
        <v>10796</v>
      </c>
      <c r="J2624" s="1" t="s">
        <v>3606</v>
      </c>
      <c r="K2624" s="1" t="s">
        <v>10797</v>
      </c>
      <c r="L2624" s="1"/>
      <c r="M2624" s="1"/>
    </row>
    <row x14ac:dyDescent="0.25" r="2625" customHeight="1" ht="18.75">
      <c r="A2625" s="1" t="s">
        <v>3617</v>
      </c>
      <c r="B2625" s="1" t="s">
        <v>4477</v>
      </c>
      <c r="C2625" s="1" t="s">
        <v>3619</v>
      </c>
      <c r="D2625" s="1" t="s">
        <v>3601</v>
      </c>
      <c r="E2625" s="1" t="s">
        <v>4478</v>
      </c>
      <c r="F2625" s="1" t="s">
        <v>10798</v>
      </c>
      <c r="G2625" s="1" t="s">
        <v>10744</v>
      </c>
      <c r="H2625" s="1" t="s">
        <v>3604</v>
      </c>
      <c r="I2625" s="1" t="s">
        <v>10799</v>
      </c>
      <c r="J2625" s="1" t="s">
        <v>3606</v>
      </c>
      <c r="K2625" s="1" t="s">
        <v>10800</v>
      </c>
      <c r="L2625" s="1"/>
      <c r="M2625" s="1"/>
    </row>
    <row x14ac:dyDescent="0.25" r="2626" customHeight="1" ht="18.75">
      <c r="A2626" s="1" t="s">
        <v>3617</v>
      </c>
      <c r="B2626" s="1" t="s">
        <v>4477</v>
      </c>
      <c r="C2626" s="1" t="s">
        <v>3619</v>
      </c>
      <c r="D2626" s="1" t="s">
        <v>3601</v>
      </c>
      <c r="E2626" s="1" t="s">
        <v>4478</v>
      </c>
      <c r="F2626" s="1" t="s">
        <v>10801</v>
      </c>
      <c r="G2626" s="1" t="s">
        <v>10744</v>
      </c>
      <c r="H2626" s="1" t="s">
        <v>3604</v>
      </c>
      <c r="I2626" s="1" t="s">
        <v>10802</v>
      </c>
      <c r="J2626" s="1" t="s">
        <v>3606</v>
      </c>
      <c r="K2626" s="1" t="s">
        <v>10803</v>
      </c>
      <c r="L2626" s="1"/>
      <c r="M2626" s="1"/>
    </row>
    <row x14ac:dyDescent="0.25" r="2627" customHeight="1" ht="18.75">
      <c r="A2627" s="1" t="s">
        <v>3617</v>
      </c>
      <c r="B2627" s="1" t="s">
        <v>4477</v>
      </c>
      <c r="C2627" s="1" t="s">
        <v>3619</v>
      </c>
      <c r="D2627" s="1" t="s">
        <v>3601</v>
      </c>
      <c r="E2627" s="1" t="s">
        <v>4478</v>
      </c>
      <c r="F2627" s="1" t="s">
        <v>10804</v>
      </c>
      <c r="G2627" s="1" t="s">
        <v>10744</v>
      </c>
      <c r="H2627" s="1" t="s">
        <v>3604</v>
      </c>
      <c r="I2627" s="1" t="s">
        <v>10805</v>
      </c>
      <c r="J2627" s="1" t="s">
        <v>3606</v>
      </c>
      <c r="K2627" s="1" t="s">
        <v>10806</v>
      </c>
      <c r="L2627" s="1"/>
      <c r="M2627" s="1"/>
    </row>
    <row x14ac:dyDescent="0.25" r="2628" customHeight="1" ht="18.75">
      <c r="A2628" s="1" t="s">
        <v>3617</v>
      </c>
      <c r="B2628" s="1" t="s">
        <v>4477</v>
      </c>
      <c r="C2628" s="1" t="s">
        <v>3619</v>
      </c>
      <c r="D2628" s="1" t="s">
        <v>3601</v>
      </c>
      <c r="E2628" s="1" t="s">
        <v>4478</v>
      </c>
      <c r="F2628" s="1" t="s">
        <v>10807</v>
      </c>
      <c r="G2628" s="1" t="s">
        <v>10744</v>
      </c>
      <c r="H2628" s="1" t="s">
        <v>3604</v>
      </c>
      <c r="I2628" s="1" t="s">
        <v>10808</v>
      </c>
      <c r="J2628" s="1" t="s">
        <v>3606</v>
      </c>
      <c r="K2628" s="1" t="s">
        <v>10809</v>
      </c>
      <c r="L2628" s="1"/>
      <c r="M2628" s="1"/>
    </row>
    <row x14ac:dyDescent="0.25" r="2629" customHeight="1" ht="18.75">
      <c r="A2629" s="1" t="s">
        <v>3617</v>
      </c>
      <c r="B2629" s="1" t="s">
        <v>4477</v>
      </c>
      <c r="C2629" s="1" t="s">
        <v>3619</v>
      </c>
      <c r="D2629" s="1" t="s">
        <v>3601</v>
      </c>
      <c r="E2629" s="1" t="s">
        <v>4478</v>
      </c>
      <c r="F2629" s="1" t="s">
        <v>10810</v>
      </c>
      <c r="G2629" s="1" t="s">
        <v>10744</v>
      </c>
      <c r="H2629" s="1" t="s">
        <v>3604</v>
      </c>
      <c r="I2629" s="1" t="s">
        <v>10811</v>
      </c>
      <c r="J2629" s="1" t="s">
        <v>3606</v>
      </c>
      <c r="K2629" s="1" t="s">
        <v>10812</v>
      </c>
      <c r="L2629" s="1"/>
      <c r="M2629" s="1"/>
    </row>
    <row x14ac:dyDescent="0.25" r="2630" customHeight="1" ht="18.75">
      <c r="A2630" s="1" t="s">
        <v>3617</v>
      </c>
      <c r="B2630" s="1" t="s">
        <v>4477</v>
      </c>
      <c r="C2630" s="1" t="s">
        <v>3619</v>
      </c>
      <c r="D2630" s="1" t="s">
        <v>3601</v>
      </c>
      <c r="E2630" s="1" t="s">
        <v>4478</v>
      </c>
      <c r="F2630" s="1" t="s">
        <v>10813</v>
      </c>
      <c r="G2630" s="1" t="s">
        <v>10744</v>
      </c>
      <c r="H2630" s="1" t="s">
        <v>3604</v>
      </c>
      <c r="I2630" s="1" t="s">
        <v>10814</v>
      </c>
      <c r="J2630" s="1" t="s">
        <v>3606</v>
      </c>
      <c r="K2630" s="1" t="s">
        <v>10815</v>
      </c>
      <c r="L2630" s="1"/>
      <c r="M2630" s="1"/>
    </row>
    <row x14ac:dyDescent="0.25" r="2631" customHeight="1" ht="18.75">
      <c r="A2631" s="1" t="s">
        <v>3617</v>
      </c>
      <c r="B2631" s="1" t="s">
        <v>4477</v>
      </c>
      <c r="C2631" s="1" t="s">
        <v>3619</v>
      </c>
      <c r="D2631" s="1" t="s">
        <v>3601</v>
      </c>
      <c r="E2631" s="1" t="s">
        <v>4478</v>
      </c>
      <c r="F2631" s="1" t="s">
        <v>10816</v>
      </c>
      <c r="G2631" s="1" t="s">
        <v>10744</v>
      </c>
      <c r="H2631" s="1" t="s">
        <v>3604</v>
      </c>
      <c r="I2631" s="1" t="s">
        <v>10817</v>
      </c>
      <c r="J2631" s="1" t="s">
        <v>3606</v>
      </c>
      <c r="K2631" s="1" t="s">
        <v>10818</v>
      </c>
      <c r="L2631" s="1"/>
      <c r="M2631" s="1"/>
    </row>
    <row x14ac:dyDescent="0.25" r="2632" customHeight="1" ht="18.75">
      <c r="A2632" s="1" t="s">
        <v>3617</v>
      </c>
      <c r="B2632" s="1" t="s">
        <v>4477</v>
      </c>
      <c r="C2632" s="1" t="s">
        <v>3619</v>
      </c>
      <c r="D2632" s="1" t="s">
        <v>3601</v>
      </c>
      <c r="E2632" s="1" t="s">
        <v>4478</v>
      </c>
      <c r="F2632" s="1" t="s">
        <v>10819</v>
      </c>
      <c r="G2632" s="1" t="s">
        <v>10744</v>
      </c>
      <c r="H2632" s="1" t="s">
        <v>3604</v>
      </c>
      <c r="I2632" s="1" t="s">
        <v>10820</v>
      </c>
      <c r="J2632" s="1" t="s">
        <v>3606</v>
      </c>
      <c r="K2632" s="1" t="s">
        <v>10821</v>
      </c>
      <c r="L2632" s="1"/>
      <c r="M2632" s="1"/>
    </row>
    <row x14ac:dyDescent="0.25" r="2633" customHeight="1" ht="18.75">
      <c r="A2633" s="1" t="s">
        <v>3617</v>
      </c>
      <c r="B2633" s="1" t="s">
        <v>4477</v>
      </c>
      <c r="C2633" s="1" t="s">
        <v>3619</v>
      </c>
      <c r="D2633" s="1" t="s">
        <v>3601</v>
      </c>
      <c r="E2633" s="1" t="s">
        <v>4478</v>
      </c>
      <c r="F2633" s="1" t="s">
        <v>10822</v>
      </c>
      <c r="G2633" s="1" t="s">
        <v>10744</v>
      </c>
      <c r="H2633" s="1" t="s">
        <v>3604</v>
      </c>
      <c r="I2633" s="1" t="s">
        <v>10823</v>
      </c>
      <c r="J2633" s="1" t="s">
        <v>3606</v>
      </c>
      <c r="K2633" s="1" t="s">
        <v>10824</v>
      </c>
      <c r="L2633" s="1"/>
      <c r="M2633" s="1"/>
    </row>
    <row x14ac:dyDescent="0.25" r="2634" customHeight="1" ht="18.75">
      <c r="A2634" s="1" t="s">
        <v>3617</v>
      </c>
      <c r="B2634" s="1" t="s">
        <v>4477</v>
      </c>
      <c r="C2634" s="1" t="s">
        <v>3619</v>
      </c>
      <c r="D2634" s="1" t="s">
        <v>3601</v>
      </c>
      <c r="E2634" s="1" t="s">
        <v>4478</v>
      </c>
      <c r="F2634" s="1" t="s">
        <v>10825</v>
      </c>
      <c r="G2634" s="1" t="s">
        <v>10744</v>
      </c>
      <c r="H2634" s="1" t="s">
        <v>3604</v>
      </c>
      <c r="I2634" s="1" t="s">
        <v>10826</v>
      </c>
      <c r="J2634" s="1" t="s">
        <v>3606</v>
      </c>
      <c r="K2634" s="1" t="s">
        <v>10827</v>
      </c>
      <c r="L2634" s="1"/>
      <c r="M2634" s="1"/>
    </row>
    <row x14ac:dyDescent="0.25" r="2635" customHeight="1" ht="18.75">
      <c r="A2635" s="1" t="s">
        <v>3617</v>
      </c>
      <c r="B2635" s="1" t="s">
        <v>4477</v>
      </c>
      <c r="C2635" s="1" t="s">
        <v>3619</v>
      </c>
      <c r="D2635" s="1" t="s">
        <v>3601</v>
      </c>
      <c r="E2635" s="1" t="s">
        <v>4478</v>
      </c>
      <c r="F2635" s="1" t="s">
        <v>10828</v>
      </c>
      <c r="G2635" s="1" t="s">
        <v>10744</v>
      </c>
      <c r="H2635" s="1" t="s">
        <v>3604</v>
      </c>
      <c r="I2635" s="1" t="s">
        <v>10829</v>
      </c>
      <c r="J2635" s="1" t="s">
        <v>3606</v>
      </c>
      <c r="K2635" s="1" t="s">
        <v>10830</v>
      </c>
      <c r="L2635" s="1"/>
      <c r="M2635" s="1"/>
    </row>
    <row x14ac:dyDescent="0.25" r="2636" customHeight="1" ht="18.75">
      <c r="A2636" s="1" t="s">
        <v>3617</v>
      </c>
      <c r="B2636" s="1" t="s">
        <v>4477</v>
      </c>
      <c r="C2636" s="1" t="s">
        <v>3619</v>
      </c>
      <c r="D2636" s="1" t="s">
        <v>3601</v>
      </c>
      <c r="E2636" s="1" t="s">
        <v>4478</v>
      </c>
      <c r="F2636" s="1" t="s">
        <v>10831</v>
      </c>
      <c r="G2636" s="1" t="s">
        <v>10744</v>
      </c>
      <c r="H2636" s="1" t="s">
        <v>3604</v>
      </c>
      <c r="I2636" s="1" t="s">
        <v>10832</v>
      </c>
      <c r="J2636" s="1" t="s">
        <v>3606</v>
      </c>
      <c r="K2636" s="1" t="s">
        <v>10833</v>
      </c>
      <c r="L2636" s="1"/>
      <c r="M2636" s="1"/>
    </row>
    <row x14ac:dyDescent="0.25" r="2637" customHeight="1" ht="18.75">
      <c r="A2637" s="1" t="s">
        <v>3617</v>
      </c>
      <c r="B2637" s="1" t="s">
        <v>4477</v>
      </c>
      <c r="C2637" s="1" t="s">
        <v>3619</v>
      </c>
      <c r="D2637" s="1" t="s">
        <v>3601</v>
      </c>
      <c r="E2637" s="1" t="s">
        <v>4478</v>
      </c>
      <c r="F2637" s="1" t="s">
        <v>10834</v>
      </c>
      <c r="G2637" s="1" t="s">
        <v>10744</v>
      </c>
      <c r="H2637" s="1" t="s">
        <v>3604</v>
      </c>
      <c r="I2637" s="1" t="s">
        <v>10835</v>
      </c>
      <c r="J2637" s="1" t="s">
        <v>3606</v>
      </c>
      <c r="K2637" s="1" t="s">
        <v>10836</v>
      </c>
      <c r="L2637" s="1"/>
      <c r="M2637" s="1"/>
    </row>
    <row x14ac:dyDescent="0.25" r="2638" customHeight="1" ht="18.75">
      <c r="A2638" s="1" t="s">
        <v>3617</v>
      </c>
      <c r="B2638" s="1" t="s">
        <v>4477</v>
      </c>
      <c r="C2638" s="1" t="s">
        <v>3619</v>
      </c>
      <c r="D2638" s="1" t="s">
        <v>3601</v>
      </c>
      <c r="E2638" s="1" t="s">
        <v>4478</v>
      </c>
      <c r="F2638" s="1" t="s">
        <v>10837</v>
      </c>
      <c r="G2638" s="1" t="s">
        <v>10744</v>
      </c>
      <c r="H2638" s="1" t="s">
        <v>3604</v>
      </c>
      <c r="I2638" s="1" t="s">
        <v>10838</v>
      </c>
      <c r="J2638" s="1" t="s">
        <v>3606</v>
      </c>
      <c r="K2638" s="1" t="s">
        <v>10839</v>
      </c>
      <c r="L2638" s="1"/>
      <c r="M2638" s="1"/>
    </row>
    <row x14ac:dyDescent="0.25" r="2639" customHeight="1" ht="18.75">
      <c r="A2639" s="1" t="s">
        <v>3617</v>
      </c>
      <c r="B2639" s="1" t="s">
        <v>4477</v>
      </c>
      <c r="C2639" s="1" t="s">
        <v>3619</v>
      </c>
      <c r="D2639" s="1" t="s">
        <v>3601</v>
      </c>
      <c r="E2639" s="1" t="s">
        <v>4478</v>
      </c>
      <c r="F2639" s="1" t="s">
        <v>10840</v>
      </c>
      <c r="G2639" s="1" t="s">
        <v>10744</v>
      </c>
      <c r="H2639" s="1" t="s">
        <v>3604</v>
      </c>
      <c r="I2639" s="1" t="s">
        <v>10841</v>
      </c>
      <c r="J2639" s="1" t="s">
        <v>3606</v>
      </c>
      <c r="K2639" s="1" t="s">
        <v>10842</v>
      </c>
      <c r="L2639" s="1"/>
      <c r="M2639" s="1"/>
    </row>
    <row x14ac:dyDescent="0.25" r="2640" customHeight="1" ht="18.75">
      <c r="A2640" s="1" t="s">
        <v>3617</v>
      </c>
      <c r="B2640" s="1" t="s">
        <v>4477</v>
      </c>
      <c r="C2640" s="1" t="s">
        <v>3619</v>
      </c>
      <c r="D2640" s="1" t="s">
        <v>3601</v>
      </c>
      <c r="E2640" s="1" t="s">
        <v>4478</v>
      </c>
      <c r="F2640" s="1" t="s">
        <v>10843</v>
      </c>
      <c r="G2640" s="1" t="s">
        <v>10744</v>
      </c>
      <c r="H2640" s="1" t="s">
        <v>3604</v>
      </c>
      <c r="I2640" s="1" t="s">
        <v>10844</v>
      </c>
      <c r="J2640" s="1" t="s">
        <v>3606</v>
      </c>
      <c r="K2640" s="1" t="s">
        <v>10845</v>
      </c>
      <c r="L2640" s="1"/>
      <c r="M2640" s="1"/>
    </row>
    <row x14ac:dyDescent="0.25" r="2641" customHeight="1" ht="18.75">
      <c r="A2641" s="1" t="s">
        <v>3617</v>
      </c>
      <c r="B2641" s="1" t="s">
        <v>4477</v>
      </c>
      <c r="C2641" s="1" t="s">
        <v>3619</v>
      </c>
      <c r="D2641" s="1" t="s">
        <v>3601</v>
      </c>
      <c r="E2641" s="1" t="s">
        <v>4478</v>
      </c>
      <c r="F2641" s="1" t="s">
        <v>10846</v>
      </c>
      <c r="G2641" s="1" t="s">
        <v>10744</v>
      </c>
      <c r="H2641" s="1" t="s">
        <v>3604</v>
      </c>
      <c r="I2641" s="1" t="s">
        <v>10847</v>
      </c>
      <c r="J2641" s="1" t="s">
        <v>3606</v>
      </c>
      <c r="K2641" s="1" t="s">
        <v>10848</v>
      </c>
      <c r="L2641" s="1"/>
      <c r="M2641" s="1"/>
    </row>
    <row x14ac:dyDescent="0.25" r="2642" customHeight="1" ht="18.75">
      <c r="A2642" s="1" t="s">
        <v>3617</v>
      </c>
      <c r="B2642" s="1" t="s">
        <v>4477</v>
      </c>
      <c r="C2642" s="1" t="s">
        <v>3619</v>
      </c>
      <c r="D2642" s="1" t="s">
        <v>3601</v>
      </c>
      <c r="E2642" s="1" t="s">
        <v>4478</v>
      </c>
      <c r="F2642" s="1" t="s">
        <v>10849</v>
      </c>
      <c r="G2642" s="1" t="s">
        <v>10744</v>
      </c>
      <c r="H2642" s="1" t="s">
        <v>3604</v>
      </c>
      <c r="I2642" s="1" t="s">
        <v>10850</v>
      </c>
      <c r="J2642" s="1" t="s">
        <v>3606</v>
      </c>
      <c r="K2642" s="1" t="s">
        <v>10851</v>
      </c>
      <c r="L2642" s="1"/>
      <c r="M2642" s="1"/>
    </row>
    <row x14ac:dyDescent="0.25" r="2643" customHeight="1" ht="18.75">
      <c r="A2643" s="1" t="s">
        <v>3617</v>
      </c>
      <c r="B2643" s="1" t="s">
        <v>4477</v>
      </c>
      <c r="C2643" s="1" t="s">
        <v>3619</v>
      </c>
      <c r="D2643" s="1" t="s">
        <v>3601</v>
      </c>
      <c r="E2643" s="1" t="s">
        <v>4478</v>
      </c>
      <c r="F2643" s="1" t="s">
        <v>10852</v>
      </c>
      <c r="G2643" s="1" t="s">
        <v>10744</v>
      </c>
      <c r="H2643" s="1" t="s">
        <v>3604</v>
      </c>
      <c r="I2643" s="1" t="s">
        <v>10853</v>
      </c>
      <c r="J2643" s="1" t="s">
        <v>3606</v>
      </c>
      <c r="K2643" s="1" t="s">
        <v>10854</v>
      </c>
      <c r="L2643" s="1"/>
      <c r="M2643" s="1"/>
    </row>
    <row x14ac:dyDescent="0.25" r="2644" customHeight="1" ht="18.75">
      <c r="A2644" s="1" t="s">
        <v>3617</v>
      </c>
      <c r="B2644" s="1" t="s">
        <v>4477</v>
      </c>
      <c r="C2644" s="1" t="s">
        <v>3619</v>
      </c>
      <c r="D2644" s="1" t="s">
        <v>3601</v>
      </c>
      <c r="E2644" s="1" t="s">
        <v>4478</v>
      </c>
      <c r="F2644" s="1" t="s">
        <v>10855</v>
      </c>
      <c r="G2644" s="1" t="s">
        <v>10744</v>
      </c>
      <c r="H2644" s="1" t="s">
        <v>3604</v>
      </c>
      <c r="I2644" s="1" t="s">
        <v>10856</v>
      </c>
      <c r="J2644" s="1" t="s">
        <v>3606</v>
      </c>
      <c r="K2644" s="1" t="s">
        <v>10857</v>
      </c>
      <c r="L2644" s="1"/>
      <c r="M2644" s="1"/>
    </row>
    <row x14ac:dyDescent="0.25" r="2645" customHeight="1" ht="18.75">
      <c r="A2645" s="1" t="s">
        <v>3617</v>
      </c>
      <c r="B2645" s="1" t="s">
        <v>4477</v>
      </c>
      <c r="C2645" s="1" t="s">
        <v>3619</v>
      </c>
      <c r="D2645" s="1" t="s">
        <v>3601</v>
      </c>
      <c r="E2645" s="1" t="s">
        <v>4478</v>
      </c>
      <c r="F2645" s="1" t="s">
        <v>10858</v>
      </c>
      <c r="G2645" s="1" t="s">
        <v>10744</v>
      </c>
      <c r="H2645" s="1" t="s">
        <v>3604</v>
      </c>
      <c r="I2645" s="1" t="s">
        <v>10859</v>
      </c>
      <c r="J2645" s="1" t="s">
        <v>3606</v>
      </c>
      <c r="K2645" s="1" t="s">
        <v>10860</v>
      </c>
      <c r="L2645" s="1"/>
      <c r="M2645" s="1"/>
    </row>
    <row x14ac:dyDescent="0.25" r="2646" customHeight="1" ht="18.75">
      <c r="A2646" s="1" t="s">
        <v>3617</v>
      </c>
      <c r="B2646" s="1" t="s">
        <v>4477</v>
      </c>
      <c r="C2646" s="1" t="s">
        <v>3619</v>
      </c>
      <c r="D2646" s="1" t="s">
        <v>3601</v>
      </c>
      <c r="E2646" s="1" t="s">
        <v>4478</v>
      </c>
      <c r="F2646" s="1" t="s">
        <v>10861</v>
      </c>
      <c r="G2646" s="1" t="s">
        <v>10744</v>
      </c>
      <c r="H2646" s="1" t="s">
        <v>3604</v>
      </c>
      <c r="I2646" s="1" t="s">
        <v>10862</v>
      </c>
      <c r="J2646" s="1" t="s">
        <v>3606</v>
      </c>
      <c r="K2646" s="1" t="s">
        <v>10863</v>
      </c>
      <c r="L2646" s="1"/>
      <c r="M2646" s="1"/>
    </row>
    <row x14ac:dyDescent="0.25" r="2647" customHeight="1" ht="18.75">
      <c r="A2647" s="1" t="s">
        <v>3617</v>
      </c>
      <c r="B2647" s="1" t="s">
        <v>4477</v>
      </c>
      <c r="C2647" s="1" t="s">
        <v>3619</v>
      </c>
      <c r="D2647" s="1" t="s">
        <v>3601</v>
      </c>
      <c r="E2647" s="1" t="s">
        <v>4478</v>
      </c>
      <c r="F2647" s="1" t="s">
        <v>10864</v>
      </c>
      <c r="G2647" s="1" t="s">
        <v>10744</v>
      </c>
      <c r="H2647" s="1" t="s">
        <v>3604</v>
      </c>
      <c r="I2647" s="1" t="s">
        <v>10865</v>
      </c>
      <c r="J2647" s="1" t="s">
        <v>3606</v>
      </c>
      <c r="K2647" s="1" t="s">
        <v>10866</v>
      </c>
      <c r="L2647" s="1"/>
      <c r="M2647" s="1"/>
    </row>
    <row x14ac:dyDescent="0.25" r="2648" customHeight="1" ht="18.75">
      <c r="A2648" s="1" t="s">
        <v>3617</v>
      </c>
      <c r="B2648" s="1" t="s">
        <v>4477</v>
      </c>
      <c r="C2648" s="1" t="s">
        <v>3619</v>
      </c>
      <c r="D2648" s="1" t="s">
        <v>3601</v>
      </c>
      <c r="E2648" s="1" t="s">
        <v>4478</v>
      </c>
      <c r="F2648" s="1" t="s">
        <v>10867</v>
      </c>
      <c r="G2648" s="1" t="s">
        <v>10744</v>
      </c>
      <c r="H2648" s="1" t="s">
        <v>3604</v>
      </c>
      <c r="I2648" s="1" t="s">
        <v>10868</v>
      </c>
      <c r="J2648" s="1" t="s">
        <v>3606</v>
      </c>
      <c r="K2648" s="1" t="s">
        <v>10869</v>
      </c>
      <c r="L2648" s="1"/>
      <c r="M2648" s="1"/>
    </row>
    <row x14ac:dyDescent="0.25" r="2649" customHeight="1" ht="18.75">
      <c r="A2649" s="1" t="s">
        <v>3617</v>
      </c>
      <c r="B2649" s="1" t="s">
        <v>4477</v>
      </c>
      <c r="C2649" s="1" t="s">
        <v>3619</v>
      </c>
      <c r="D2649" s="1" t="s">
        <v>3601</v>
      </c>
      <c r="E2649" s="1" t="s">
        <v>4478</v>
      </c>
      <c r="F2649" s="1" t="s">
        <v>10870</v>
      </c>
      <c r="G2649" s="1" t="s">
        <v>10744</v>
      </c>
      <c r="H2649" s="1" t="s">
        <v>3604</v>
      </c>
      <c r="I2649" s="1" t="s">
        <v>10871</v>
      </c>
      <c r="J2649" s="1" t="s">
        <v>3606</v>
      </c>
      <c r="K2649" s="1" t="s">
        <v>10872</v>
      </c>
      <c r="L2649" s="1"/>
      <c r="M2649" s="1"/>
    </row>
    <row x14ac:dyDescent="0.25" r="2650" customHeight="1" ht="18.75">
      <c r="A2650" s="1" t="s">
        <v>3617</v>
      </c>
      <c r="B2650" s="1" t="s">
        <v>4477</v>
      </c>
      <c r="C2650" s="1" t="s">
        <v>3619</v>
      </c>
      <c r="D2650" s="1" t="s">
        <v>3601</v>
      </c>
      <c r="E2650" s="1" t="s">
        <v>4478</v>
      </c>
      <c r="F2650" s="1" t="s">
        <v>10873</v>
      </c>
      <c r="G2650" s="1" t="s">
        <v>10744</v>
      </c>
      <c r="H2650" s="1" t="s">
        <v>3604</v>
      </c>
      <c r="I2650" s="1" t="s">
        <v>10874</v>
      </c>
      <c r="J2650" s="1" t="s">
        <v>3606</v>
      </c>
      <c r="K2650" s="1" t="s">
        <v>10875</v>
      </c>
      <c r="L2650" s="1"/>
      <c r="M2650" s="1"/>
    </row>
    <row x14ac:dyDescent="0.25" r="2651" customHeight="1" ht="18.75">
      <c r="A2651" s="1" t="s">
        <v>3617</v>
      </c>
      <c r="B2651" s="1" t="s">
        <v>4477</v>
      </c>
      <c r="C2651" s="1" t="s">
        <v>3619</v>
      </c>
      <c r="D2651" s="1" t="s">
        <v>3601</v>
      </c>
      <c r="E2651" s="1" t="s">
        <v>4478</v>
      </c>
      <c r="F2651" s="1" t="s">
        <v>10876</v>
      </c>
      <c r="G2651" s="1" t="s">
        <v>10877</v>
      </c>
      <c r="H2651" s="1" t="s">
        <v>3604</v>
      </c>
      <c r="I2651" s="1" t="s">
        <v>10878</v>
      </c>
      <c r="J2651" s="1" t="s">
        <v>3606</v>
      </c>
      <c r="K2651" s="1" t="s">
        <v>10879</v>
      </c>
      <c r="L2651" s="1"/>
      <c r="M2651" s="1"/>
    </row>
    <row x14ac:dyDescent="0.25" r="2652" customHeight="1" ht="18.75">
      <c r="A2652" s="1" t="s">
        <v>3617</v>
      </c>
      <c r="B2652" s="1" t="s">
        <v>4477</v>
      </c>
      <c r="C2652" s="1" t="s">
        <v>3619</v>
      </c>
      <c r="D2652" s="1" t="s">
        <v>3601</v>
      </c>
      <c r="E2652" s="1" t="s">
        <v>4478</v>
      </c>
      <c r="F2652" s="1" t="s">
        <v>10880</v>
      </c>
      <c r="G2652" s="1" t="s">
        <v>10877</v>
      </c>
      <c r="H2652" s="1" t="s">
        <v>3604</v>
      </c>
      <c r="I2652" s="1" t="s">
        <v>10881</v>
      </c>
      <c r="J2652" s="1" t="s">
        <v>3606</v>
      </c>
      <c r="K2652" s="1" t="s">
        <v>10882</v>
      </c>
      <c r="L2652" s="1"/>
      <c r="M2652" s="1"/>
    </row>
    <row x14ac:dyDescent="0.25" r="2653" customHeight="1" ht="18.75">
      <c r="A2653" s="1" t="s">
        <v>3617</v>
      </c>
      <c r="B2653" s="1" t="s">
        <v>4477</v>
      </c>
      <c r="C2653" s="1" t="s">
        <v>3619</v>
      </c>
      <c r="D2653" s="1" t="s">
        <v>3601</v>
      </c>
      <c r="E2653" s="1" t="s">
        <v>4478</v>
      </c>
      <c r="F2653" s="1" t="s">
        <v>10883</v>
      </c>
      <c r="G2653" s="1" t="s">
        <v>10877</v>
      </c>
      <c r="H2653" s="1" t="s">
        <v>3604</v>
      </c>
      <c r="I2653" s="1" t="s">
        <v>10884</v>
      </c>
      <c r="J2653" s="1" t="s">
        <v>3606</v>
      </c>
      <c r="K2653" s="1" t="s">
        <v>10885</v>
      </c>
      <c r="L2653" s="1"/>
      <c r="M2653" s="1"/>
    </row>
    <row x14ac:dyDescent="0.25" r="2654" customHeight="1" ht="18.75">
      <c r="A2654" s="1" t="s">
        <v>3617</v>
      </c>
      <c r="B2654" s="1" t="s">
        <v>4477</v>
      </c>
      <c r="C2654" s="1" t="s">
        <v>3619</v>
      </c>
      <c r="D2654" s="1" t="s">
        <v>3601</v>
      </c>
      <c r="E2654" s="1" t="s">
        <v>4478</v>
      </c>
      <c r="F2654" s="1" t="s">
        <v>10886</v>
      </c>
      <c r="G2654" s="1" t="s">
        <v>10877</v>
      </c>
      <c r="H2654" s="1" t="s">
        <v>3604</v>
      </c>
      <c r="I2654" s="1" t="s">
        <v>10887</v>
      </c>
      <c r="J2654" s="1" t="s">
        <v>3606</v>
      </c>
      <c r="K2654" s="1" t="s">
        <v>10888</v>
      </c>
      <c r="L2654" s="1"/>
      <c r="M2654" s="1"/>
    </row>
    <row x14ac:dyDescent="0.25" r="2655" customHeight="1" ht="18.75">
      <c r="A2655" s="1" t="s">
        <v>3617</v>
      </c>
      <c r="B2655" s="1" t="s">
        <v>4477</v>
      </c>
      <c r="C2655" s="1" t="s">
        <v>3619</v>
      </c>
      <c r="D2655" s="1" t="s">
        <v>3601</v>
      </c>
      <c r="E2655" s="1" t="s">
        <v>4478</v>
      </c>
      <c r="F2655" s="1" t="s">
        <v>10889</v>
      </c>
      <c r="G2655" s="1" t="s">
        <v>10714</v>
      </c>
      <c r="H2655" s="1" t="s">
        <v>3604</v>
      </c>
      <c r="I2655" s="1" t="s">
        <v>10890</v>
      </c>
      <c r="J2655" s="1" t="s">
        <v>3606</v>
      </c>
      <c r="K2655" s="1" t="s">
        <v>10891</v>
      </c>
      <c r="L2655" s="1"/>
      <c r="M2655" s="1"/>
    </row>
    <row x14ac:dyDescent="0.25" r="2656" customHeight="1" ht="18.75">
      <c r="A2656" s="1" t="s">
        <v>3617</v>
      </c>
      <c r="B2656" s="1" t="s">
        <v>4477</v>
      </c>
      <c r="C2656" s="1" t="s">
        <v>3619</v>
      </c>
      <c r="D2656" s="1" t="s">
        <v>3601</v>
      </c>
      <c r="E2656" s="1" t="s">
        <v>4478</v>
      </c>
      <c r="F2656" s="1" t="s">
        <v>10892</v>
      </c>
      <c r="G2656" s="1" t="s">
        <v>10714</v>
      </c>
      <c r="H2656" s="1" t="s">
        <v>3604</v>
      </c>
      <c r="I2656" s="1" t="s">
        <v>10893</v>
      </c>
      <c r="J2656" s="1" t="s">
        <v>3606</v>
      </c>
      <c r="K2656" s="1" t="s">
        <v>10894</v>
      </c>
      <c r="L2656" s="1"/>
      <c r="M2656" s="1"/>
    </row>
    <row x14ac:dyDescent="0.25" r="2657" customHeight="1" ht="18.75">
      <c r="A2657" s="1" t="s">
        <v>3617</v>
      </c>
      <c r="B2657" s="1" t="s">
        <v>4477</v>
      </c>
      <c r="C2657" s="1" t="s">
        <v>3619</v>
      </c>
      <c r="D2657" s="1" t="s">
        <v>3601</v>
      </c>
      <c r="E2657" s="1" t="s">
        <v>4478</v>
      </c>
      <c r="F2657" s="1" t="s">
        <v>10895</v>
      </c>
      <c r="G2657" s="1" t="s">
        <v>10714</v>
      </c>
      <c r="H2657" s="1" t="s">
        <v>3604</v>
      </c>
      <c r="I2657" s="1" t="s">
        <v>10896</v>
      </c>
      <c r="J2657" s="1" t="s">
        <v>3606</v>
      </c>
      <c r="K2657" s="1" t="s">
        <v>10897</v>
      </c>
      <c r="L2657" s="1"/>
      <c r="M2657" s="1"/>
    </row>
    <row x14ac:dyDescent="0.25" r="2658" customHeight="1" ht="18.75">
      <c r="A2658" s="1" t="s">
        <v>3617</v>
      </c>
      <c r="B2658" s="1" t="s">
        <v>4477</v>
      </c>
      <c r="C2658" s="1" t="s">
        <v>3619</v>
      </c>
      <c r="D2658" s="1" t="s">
        <v>3601</v>
      </c>
      <c r="E2658" s="1" t="s">
        <v>4478</v>
      </c>
      <c r="F2658" s="1" t="s">
        <v>10898</v>
      </c>
      <c r="G2658" s="1" t="s">
        <v>10714</v>
      </c>
      <c r="H2658" s="1" t="s">
        <v>3604</v>
      </c>
      <c r="I2658" s="1" t="s">
        <v>10899</v>
      </c>
      <c r="J2658" s="1" t="s">
        <v>3606</v>
      </c>
      <c r="K2658" s="1" t="s">
        <v>10900</v>
      </c>
      <c r="L2658" s="1"/>
      <c r="M2658" s="1"/>
    </row>
    <row x14ac:dyDescent="0.25" r="2659" customHeight="1" ht="18.75">
      <c r="A2659" s="1" t="s">
        <v>3617</v>
      </c>
      <c r="B2659" s="1" t="s">
        <v>4477</v>
      </c>
      <c r="C2659" s="1" t="s">
        <v>3619</v>
      </c>
      <c r="D2659" s="1" t="s">
        <v>3601</v>
      </c>
      <c r="E2659" s="1" t="s">
        <v>4478</v>
      </c>
      <c r="F2659" s="1" t="s">
        <v>10901</v>
      </c>
      <c r="G2659" s="1" t="s">
        <v>7402</v>
      </c>
      <c r="H2659" s="1" t="s">
        <v>3604</v>
      </c>
      <c r="I2659" s="1" t="s">
        <v>10902</v>
      </c>
      <c r="J2659" s="1" t="s">
        <v>3606</v>
      </c>
      <c r="K2659" s="1" t="s">
        <v>10903</v>
      </c>
      <c r="L2659" s="1"/>
      <c r="M2659" s="1"/>
    </row>
    <row x14ac:dyDescent="0.25" r="2660" customHeight="1" ht="18.75">
      <c r="A2660" s="1" t="s">
        <v>3617</v>
      </c>
      <c r="B2660" s="1" t="s">
        <v>4477</v>
      </c>
      <c r="C2660" s="1" t="s">
        <v>3619</v>
      </c>
      <c r="D2660" s="1" t="s">
        <v>3601</v>
      </c>
      <c r="E2660" s="1" t="s">
        <v>4478</v>
      </c>
      <c r="F2660" s="1" t="s">
        <v>10904</v>
      </c>
      <c r="G2660" s="1" t="s">
        <v>7402</v>
      </c>
      <c r="H2660" s="1" t="s">
        <v>3604</v>
      </c>
      <c r="I2660" s="1" t="s">
        <v>10905</v>
      </c>
      <c r="J2660" s="1" t="s">
        <v>3606</v>
      </c>
      <c r="K2660" s="1" t="s">
        <v>10906</v>
      </c>
      <c r="L2660" s="1"/>
      <c r="M2660" s="1"/>
    </row>
    <row x14ac:dyDescent="0.25" r="2661" customHeight="1" ht="18.75">
      <c r="A2661" s="1" t="s">
        <v>3617</v>
      </c>
      <c r="B2661" s="1" t="s">
        <v>4477</v>
      </c>
      <c r="C2661" s="1" t="s">
        <v>3619</v>
      </c>
      <c r="D2661" s="1" t="s">
        <v>3601</v>
      </c>
      <c r="E2661" s="1" t="s">
        <v>4478</v>
      </c>
      <c r="F2661" s="1" t="s">
        <v>10907</v>
      </c>
      <c r="G2661" s="1" t="s">
        <v>7402</v>
      </c>
      <c r="H2661" s="1" t="s">
        <v>3604</v>
      </c>
      <c r="I2661" s="1" t="s">
        <v>10908</v>
      </c>
      <c r="J2661" s="1" t="s">
        <v>3606</v>
      </c>
      <c r="K2661" s="1" t="s">
        <v>10909</v>
      </c>
      <c r="L2661" s="1"/>
      <c r="M2661" s="1"/>
    </row>
    <row x14ac:dyDescent="0.25" r="2662" customHeight="1" ht="18.75">
      <c r="A2662" s="1" t="s">
        <v>3617</v>
      </c>
      <c r="B2662" s="1" t="s">
        <v>4477</v>
      </c>
      <c r="C2662" s="1" t="s">
        <v>3619</v>
      </c>
      <c r="D2662" s="1" t="s">
        <v>3601</v>
      </c>
      <c r="E2662" s="1" t="s">
        <v>4478</v>
      </c>
      <c r="F2662" s="1" t="s">
        <v>10910</v>
      </c>
      <c r="G2662" s="1" t="s">
        <v>7402</v>
      </c>
      <c r="H2662" s="1" t="s">
        <v>3604</v>
      </c>
      <c r="I2662" s="1" t="s">
        <v>10911</v>
      </c>
      <c r="J2662" s="1" t="s">
        <v>3606</v>
      </c>
      <c r="K2662" s="1" t="s">
        <v>10912</v>
      </c>
      <c r="L2662" s="1"/>
      <c r="M2662" s="1"/>
    </row>
    <row x14ac:dyDescent="0.25" r="2663" customHeight="1" ht="18.75">
      <c r="A2663" s="1" t="s">
        <v>3617</v>
      </c>
      <c r="B2663" s="1" t="s">
        <v>4477</v>
      </c>
      <c r="C2663" s="1" t="s">
        <v>3619</v>
      </c>
      <c r="D2663" s="1" t="s">
        <v>3601</v>
      </c>
      <c r="E2663" s="1" t="s">
        <v>4478</v>
      </c>
      <c r="F2663" s="1" t="s">
        <v>10913</v>
      </c>
      <c r="G2663" s="1" t="s">
        <v>4570</v>
      </c>
      <c r="H2663" s="1" t="s">
        <v>3604</v>
      </c>
      <c r="I2663" s="1" t="s">
        <v>10914</v>
      </c>
      <c r="J2663" s="1" t="s">
        <v>3606</v>
      </c>
      <c r="K2663" s="1" t="s">
        <v>10915</v>
      </c>
      <c r="L2663" s="1"/>
      <c r="M2663" s="1"/>
    </row>
    <row x14ac:dyDescent="0.25" r="2664" customHeight="1" ht="18.75">
      <c r="A2664" s="1" t="s">
        <v>3617</v>
      </c>
      <c r="B2664" s="1" t="s">
        <v>4477</v>
      </c>
      <c r="C2664" s="1" t="s">
        <v>3619</v>
      </c>
      <c r="D2664" s="1" t="s">
        <v>3601</v>
      </c>
      <c r="E2664" s="1" t="s">
        <v>4478</v>
      </c>
      <c r="F2664" s="1" t="s">
        <v>10916</v>
      </c>
      <c r="G2664" s="1" t="s">
        <v>4570</v>
      </c>
      <c r="H2664" s="1" t="s">
        <v>3604</v>
      </c>
      <c r="I2664" s="1" t="s">
        <v>10917</v>
      </c>
      <c r="J2664" s="1" t="s">
        <v>3606</v>
      </c>
      <c r="K2664" s="1" t="s">
        <v>10918</v>
      </c>
      <c r="L2664" s="1"/>
      <c r="M2664" s="1"/>
    </row>
    <row x14ac:dyDescent="0.25" r="2665" customHeight="1" ht="18.75">
      <c r="A2665" s="1" t="s">
        <v>3617</v>
      </c>
      <c r="B2665" s="1" t="s">
        <v>4477</v>
      </c>
      <c r="C2665" s="1" t="s">
        <v>3619</v>
      </c>
      <c r="D2665" s="1" t="s">
        <v>3601</v>
      </c>
      <c r="E2665" s="1" t="s">
        <v>4478</v>
      </c>
      <c r="F2665" s="1" t="s">
        <v>10919</v>
      </c>
      <c r="G2665" s="1" t="s">
        <v>4573</v>
      </c>
      <c r="H2665" s="1" t="s">
        <v>3604</v>
      </c>
      <c r="I2665" s="1" t="s">
        <v>10920</v>
      </c>
      <c r="J2665" s="1" t="s">
        <v>3606</v>
      </c>
      <c r="K2665" s="1" t="s">
        <v>10921</v>
      </c>
      <c r="L2665" s="1"/>
      <c r="M2665" s="1"/>
    </row>
    <row x14ac:dyDescent="0.25" r="2666" customHeight="1" ht="18.75">
      <c r="A2666" s="1" t="s">
        <v>3617</v>
      </c>
      <c r="B2666" s="1" t="s">
        <v>4477</v>
      </c>
      <c r="C2666" s="1" t="s">
        <v>3619</v>
      </c>
      <c r="D2666" s="1" t="s">
        <v>3601</v>
      </c>
      <c r="E2666" s="1" t="s">
        <v>4478</v>
      </c>
      <c r="F2666" s="1" t="s">
        <v>10922</v>
      </c>
      <c r="G2666" s="1" t="s">
        <v>4573</v>
      </c>
      <c r="H2666" s="1" t="s">
        <v>3604</v>
      </c>
      <c r="I2666" s="1" t="s">
        <v>10923</v>
      </c>
      <c r="J2666" s="1" t="s">
        <v>3606</v>
      </c>
      <c r="K2666" s="1" t="s">
        <v>10924</v>
      </c>
      <c r="L2666" s="1"/>
      <c r="M2666" s="1"/>
    </row>
    <row x14ac:dyDescent="0.25" r="2667" customHeight="1" ht="18.75">
      <c r="A2667" s="1" t="s">
        <v>3617</v>
      </c>
      <c r="B2667" s="1" t="s">
        <v>4477</v>
      </c>
      <c r="C2667" s="1" t="s">
        <v>3619</v>
      </c>
      <c r="D2667" s="1" t="s">
        <v>3601</v>
      </c>
      <c r="E2667" s="1" t="s">
        <v>4478</v>
      </c>
      <c r="F2667" s="1" t="s">
        <v>10925</v>
      </c>
      <c r="G2667" s="1" t="s">
        <v>10926</v>
      </c>
      <c r="H2667" s="1" t="s">
        <v>3604</v>
      </c>
      <c r="I2667" s="1" t="s">
        <v>10927</v>
      </c>
      <c r="J2667" s="1" t="s">
        <v>3606</v>
      </c>
      <c r="K2667" s="1" t="s">
        <v>10928</v>
      </c>
      <c r="L2667" s="1"/>
      <c r="M2667" s="1"/>
    </row>
    <row x14ac:dyDescent="0.25" r="2668" customHeight="1" ht="18.75">
      <c r="A2668" s="1" t="s">
        <v>3617</v>
      </c>
      <c r="B2668" s="1" t="s">
        <v>4477</v>
      </c>
      <c r="C2668" s="1" t="s">
        <v>3619</v>
      </c>
      <c r="D2668" s="1" t="s">
        <v>3601</v>
      </c>
      <c r="E2668" s="1" t="s">
        <v>4478</v>
      </c>
      <c r="F2668" s="1" t="s">
        <v>10929</v>
      </c>
      <c r="G2668" s="1" t="s">
        <v>10744</v>
      </c>
      <c r="H2668" s="1" t="s">
        <v>3604</v>
      </c>
      <c r="I2668" s="1" t="s">
        <v>10930</v>
      </c>
      <c r="J2668" s="1" t="s">
        <v>3606</v>
      </c>
      <c r="K2668" s="1" t="s">
        <v>10931</v>
      </c>
      <c r="L2668" s="1"/>
      <c r="M2668" s="1"/>
    </row>
    <row x14ac:dyDescent="0.25" r="2669" customHeight="1" ht="18.75">
      <c r="A2669" s="1" t="s">
        <v>3617</v>
      </c>
      <c r="B2669" s="1" t="s">
        <v>4477</v>
      </c>
      <c r="C2669" s="1" t="s">
        <v>3619</v>
      </c>
      <c r="D2669" s="1" t="s">
        <v>3601</v>
      </c>
      <c r="E2669" s="1" t="s">
        <v>4478</v>
      </c>
      <c r="F2669" s="1" t="s">
        <v>10932</v>
      </c>
      <c r="G2669" s="1" t="s">
        <v>10744</v>
      </c>
      <c r="H2669" s="1" t="s">
        <v>3604</v>
      </c>
      <c r="I2669" s="1" t="s">
        <v>10933</v>
      </c>
      <c r="J2669" s="1" t="s">
        <v>3606</v>
      </c>
      <c r="K2669" s="1" t="s">
        <v>10934</v>
      </c>
      <c r="L2669" s="1"/>
      <c r="M2669" s="1"/>
    </row>
    <row x14ac:dyDescent="0.25" r="2670" customHeight="1" ht="18.75">
      <c r="A2670" s="1" t="s">
        <v>3617</v>
      </c>
      <c r="B2670" s="1" t="s">
        <v>4477</v>
      </c>
      <c r="C2670" s="1" t="s">
        <v>3619</v>
      </c>
      <c r="D2670" s="1" t="s">
        <v>3601</v>
      </c>
      <c r="E2670" s="1" t="s">
        <v>4478</v>
      </c>
      <c r="F2670" s="1" t="s">
        <v>10935</v>
      </c>
      <c r="G2670" s="1" t="s">
        <v>10744</v>
      </c>
      <c r="H2670" s="1" t="s">
        <v>3604</v>
      </c>
      <c r="I2670" s="1" t="s">
        <v>10936</v>
      </c>
      <c r="J2670" s="1" t="s">
        <v>3606</v>
      </c>
      <c r="K2670" s="1" t="s">
        <v>10937</v>
      </c>
      <c r="L2670" s="1"/>
      <c r="M2670" s="1"/>
    </row>
    <row x14ac:dyDescent="0.25" r="2671" customHeight="1" ht="18.75">
      <c r="A2671" s="1" t="s">
        <v>3617</v>
      </c>
      <c r="B2671" s="1" t="s">
        <v>4477</v>
      </c>
      <c r="C2671" s="1" t="s">
        <v>3619</v>
      </c>
      <c r="D2671" s="1" t="s">
        <v>3601</v>
      </c>
      <c r="E2671" s="1" t="s">
        <v>4478</v>
      </c>
      <c r="F2671" s="1" t="s">
        <v>10938</v>
      </c>
      <c r="G2671" s="1" t="s">
        <v>10744</v>
      </c>
      <c r="H2671" s="1" t="s">
        <v>3604</v>
      </c>
      <c r="I2671" s="1" t="s">
        <v>10939</v>
      </c>
      <c r="J2671" s="1" t="s">
        <v>3606</v>
      </c>
      <c r="K2671" s="1" t="s">
        <v>10940</v>
      </c>
      <c r="L2671" s="1"/>
      <c r="M2671" s="1"/>
    </row>
    <row x14ac:dyDescent="0.25" r="2672" customHeight="1" ht="18.75">
      <c r="A2672" s="1" t="s">
        <v>3617</v>
      </c>
      <c r="B2672" s="1" t="s">
        <v>4477</v>
      </c>
      <c r="C2672" s="1" t="s">
        <v>3619</v>
      </c>
      <c r="D2672" s="1" t="s">
        <v>3601</v>
      </c>
      <c r="E2672" s="1" t="s">
        <v>4478</v>
      </c>
      <c r="F2672" s="1" t="s">
        <v>10941</v>
      </c>
      <c r="G2672" s="1" t="s">
        <v>10744</v>
      </c>
      <c r="H2672" s="1" t="s">
        <v>3604</v>
      </c>
      <c r="I2672" s="1" t="s">
        <v>10942</v>
      </c>
      <c r="J2672" s="1" t="s">
        <v>3606</v>
      </c>
      <c r="K2672" s="1" t="s">
        <v>10943</v>
      </c>
      <c r="L2672" s="1"/>
      <c r="M2672" s="1"/>
    </row>
    <row x14ac:dyDescent="0.25" r="2673" customHeight="1" ht="18.75">
      <c r="A2673" s="1" t="s">
        <v>3617</v>
      </c>
      <c r="B2673" s="1" t="s">
        <v>4477</v>
      </c>
      <c r="C2673" s="1" t="s">
        <v>3619</v>
      </c>
      <c r="D2673" s="1" t="s">
        <v>3601</v>
      </c>
      <c r="E2673" s="1" t="s">
        <v>4478</v>
      </c>
      <c r="F2673" s="1" t="s">
        <v>10944</v>
      </c>
      <c r="G2673" s="1" t="s">
        <v>10744</v>
      </c>
      <c r="H2673" s="1" t="s">
        <v>3604</v>
      </c>
      <c r="I2673" s="1" t="s">
        <v>10945</v>
      </c>
      <c r="J2673" s="1" t="s">
        <v>3606</v>
      </c>
      <c r="K2673" s="1" t="s">
        <v>7997</v>
      </c>
      <c r="L2673" s="1"/>
      <c r="M2673" s="1"/>
    </row>
    <row x14ac:dyDescent="0.25" r="2674" customHeight="1" ht="18.75">
      <c r="A2674" s="1" t="s">
        <v>3617</v>
      </c>
      <c r="B2674" s="1" t="s">
        <v>4582</v>
      </c>
      <c r="C2674" s="1" t="s">
        <v>4488</v>
      </c>
      <c r="D2674" s="1" t="s">
        <v>3601</v>
      </c>
      <c r="E2674" s="1" t="s">
        <v>4478</v>
      </c>
      <c r="F2674" s="1" t="s">
        <v>10944</v>
      </c>
      <c r="G2674" s="1" t="s">
        <v>10946</v>
      </c>
      <c r="H2674" s="1" t="s">
        <v>3604</v>
      </c>
      <c r="I2674" s="1" t="s">
        <v>10947</v>
      </c>
      <c r="J2674" s="1" t="s">
        <v>3606</v>
      </c>
      <c r="K2674" s="1" t="s">
        <v>7997</v>
      </c>
      <c r="L2674" s="1"/>
      <c r="M2674" s="1"/>
    </row>
    <row x14ac:dyDescent="0.25" r="2675" customHeight="1" ht="18.75">
      <c r="A2675" s="1" t="s">
        <v>3617</v>
      </c>
      <c r="B2675" s="1" t="s">
        <v>4477</v>
      </c>
      <c r="C2675" s="1" t="s">
        <v>3619</v>
      </c>
      <c r="D2675" s="1" t="s">
        <v>3601</v>
      </c>
      <c r="E2675" s="1" t="s">
        <v>4478</v>
      </c>
      <c r="F2675" s="1" t="s">
        <v>10948</v>
      </c>
      <c r="G2675" s="1" t="s">
        <v>10744</v>
      </c>
      <c r="H2675" s="1" t="s">
        <v>3604</v>
      </c>
      <c r="I2675" s="1" t="s">
        <v>10949</v>
      </c>
      <c r="J2675" s="1" t="s">
        <v>3606</v>
      </c>
      <c r="K2675" s="1" t="s">
        <v>7997</v>
      </c>
      <c r="L2675" s="1"/>
      <c r="M2675" s="1"/>
    </row>
    <row x14ac:dyDescent="0.25" r="2676" customHeight="1" ht="18.75">
      <c r="A2676" s="1" t="s">
        <v>3617</v>
      </c>
      <c r="B2676" s="1" t="s">
        <v>4582</v>
      </c>
      <c r="C2676" s="1" t="s">
        <v>4488</v>
      </c>
      <c r="D2676" s="1" t="s">
        <v>3601</v>
      </c>
      <c r="E2676" s="1" t="s">
        <v>4478</v>
      </c>
      <c r="F2676" s="1" t="s">
        <v>10948</v>
      </c>
      <c r="G2676" s="1" t="s">
        <v>10946</v>
      </c>
      <c r="H2676" s="1" t="s">
        <v>3604</v>
      </c>
      <c r="I2676" s="1" t="s">
        <v>10950</v>
      </c>
      <c r="J2676" s="1" t="s">
        <v>3606</v>
      </c>
      <c r="K2676" s="1" t="s">
        <v>7997</v>
      </c>
      <c r="L2676" s="1"/>
      <c r="M2676" s="1"/>
    </row>
    <row x14ac:dyDescent="0.25" r="2677" customHeight="1" ht="18.75">
      <c r="A2677" s="1" t="s">
        <v>3617</v>
      </c>
      <c r="B2677" s="1" t="s">
        <v>4589</v>
      </c>
      <c r="C2677" s="1" t="s">
        <v>3619</v>
      </c>
      <c r="D2677" s="1" t="s">
        <v>7847</v>
      </c>
      <c r="E2677" s="1" t="s">
        <v>3730</v>
      </c>
      <c r="F2677" s="1" t="s">
        <v>10951</v>
      </c>
      <c r="G2677" s="1" t="s">
        <v>10952</v>
      </c>
      <c r="H2677" s="1" t="s">
        <v>3604</v>
      </c>
      <c r="I2677" s="1" t="s">
        <v>10953</v>
      </c>
      <c r="J2677" s="1" t="s">
        <v>3606</v>
      </c>
      <c r="K2677" s="1" t="s">
        <v>10954</v>
      </c>
      <c r="L2677" s="1"/>
      <c r="M2677" s="1"/>
    </row>
    <row x14ac:dyDescent="0.25" r="2678" customHeight="1" ht="18.75">
      <c r="A2678" s="1" t="s">
        <v>3617</v>
      </c>
      <c r="B2678" s="1" t="s">
        <v>4589</v>
      </c>
      <c r="C2678" s="1" t="s">
        <v>3619</v>
      </c>
      <c r="D2678" s="1" t="s">
        <v>7847</v>
      </c>
      <c r="E2678" s="1" t="s">
        <v>3730</v>
      </c>
      <c r="F2678" s="1" t="s">
        <v>10955</v>
      </c>
      <c r="G2678" s="1" t="s">
        <v>10956</v>
      </c>
      <c r="H2678" s="1" t="s">
        <v>3604</v>
      </c>
      <c r="I2678" s="1" t="s">
        <v>10957</v>
      </c>
      <c r="J2678" s="1" t="s">
        <v>3606</v>
      </c>
      <c r="K2678" s="1" t="s">
        <v>10958</v>
      </c>
      <c r="L2678" s="1"/>
      <c r="M2678" s="1"/>
    </row>
    <row x14ac:dyDescent="0.25" r="2679" customHeight="1" ht="18.75">
      <c r="A2679" s="1" t="s">
        <v>3617</v>
      </c>
      <c r="B2679" s="1" t="s">
        <v>4589</v>
      </c>
      <c r="C2679" s="1" t="s">
        <v>3619</v>
      </c>
      <c r="D2679" s="1" t="s">
        <v>7847</v>
      </c>
      <c r="E2679" s="1" t="s">
        <v>3730</v>
      </c>
      <c r="F2679" s="1" t="s">
        <v>10959</v>
      </c>
      <c r="G2679" s="1" t="s">
        <v>10960</v>
      </c>
      <c r="H2679" s="1" t="s">
        <v>3604</v>
      </c>
      <c r="I2679" s="1" t="s">
        <v>10961</v>
      </c>
      <c r="J2679" s="1" t="s">
        <v>3606</v>
      </c>
      <c r="K2679" s="1" t="s">
        <v>10962</v>
      </c>
      <c r="L2679" s="1"/>
      <c r="M2679" s="1"/>
    </row>
    <row x14ac:dyDescent="0.25" r="2680" customHeight="1" ht="18.75">
      <c r="A2680" s="1" t="s">
        <v>3617</v>
      </c>
      <c r="B2680" s="1" t="s">
        <v>4589</v>
      </c>
      <c r="C2680" s="1" t="s">
        <v>3619</v>
      </c>
      <c r="D2680" s="1" t="s">
        <v>7847</v>
      </c>
      <c r="E2680" s="1" t="s">
        <v>3730</v>
      </c>
      <c r="F2680" s="1" t="s">
        <v>10963</v>
      </c>
      <c r="G2680" s="1" t="s">
        <v>10964</v>
      </c>
      <c r="H2680" s="1" t="s">
        <v>3604</v>
      </c>
      <c r="I2680" s="1" t="s">
        <v>10965</v>
      </c>
      <c r="J2680" s="1" t="s">
        <v>3606</v>
      </c>
      <c r="K2680" s="1" t="s">
        <v>10966</v>
      </c>
      <c r="L2680" s="1"/>
      <c r="M2680" s="1"/>
    </row>
    <row x14ac:dyDescent="0.25" r="2681" customHeight="1" ht="18.75">
      <c r="A2681" s="1" t="s">
        <v>3617</v>
      </c>
      <c r="B2681" s="1" t="s">
        <v>4589</v>
      </c>
      <c r="C2681" s="1" t="s">
        <v>3619</v>
      </c>
      <c r="D2681" s="1" t="s">
        <v>7847</v>
      </c>
      <c r="E2681" s="1" t="s">
        <v>3730</v>
      </c>
      <c r="F2681" s="1" t="s">
        <v>10967</v>
      </c>
      <c r="G2681" s="1" t="s">
        <v>10968</v>
      </c>
      <c r="H2681" s="1" t="s">
        <v>3604</v>
      </c>
      <c r="I2681" s="1" t="s">
        <v>10969</v>
      </c>
      <c r="J2681" s="1" t="s">
        <v>3606</v>
      </c>
      <c r="K2681" s="1" t="s">
        <v>10970</v>
      </c>
      <c r="L2681" s="1"/>
      <c r="M2681" s="1"/>
    </row>
    <row x14ac:dyDescent="0.25" r="2682" customHeight="1" ht="18.75">
      <c r="A2682" s="1" t="s">
        <v>3617</v>
      </c>
      <c r="B2682" s="1" t="s">
        <v>4589</v>
      </c>
      <c r="C2682" s="1" t="s">
        <v>3619</v>
      </c>
      <c r="D2682" s="1" t="s">
        <v>7847</v>
      </c>
      <c r="E2682" s="1" t="s">
        <v>3730</v>
      </c>
      <c r="F2682" s="1" t="s">
        <v>10971</v>
      </c>
      <c r="G2682" s="1" t="s">
        <v>10972</v>
      </c>
      <c r="H2682" s="1" t="s">
        <v>3604</v>
      </c>
      <c r="I2682" s="1" t="s">
        <v>10973</v>
      </c>
      <c r="J2682" s="1" t="s">
        <v>3606</v>
      </c>
      <c r="K2682" s="1" t="s">
        <v>10974</v>
      </c>
      <c r="L2682" s="1"/>
      <c r="M2682" s="1"/>
    </row>
    <row x14ac:dyDescent="0.25" r="2683" customHeight="1" ht="18.75">
      <c r="A2683" s="1" t="s">
        <v>3598</v>
      </c>
      <c r="B2683" s="1" t="s">
        <v>9012</v>
      </c>
      <c r="C2683" s="1" t="s">
        <v>3600</v>
      </c>
      <c r="D2683" s="1" t="s">
        <v>3601</v>
      </c>
      <c r="E2683" s="1" t="s">
        <v>3893</v>
      </c>
      <c r="F2683" s="1" t="s">
        <v>10975</v>
      </c>
      <c r="G2683" s="1" t="s">
        <v>10976</v>
      </c>
      <c r="H2683" s="1" t="s">
        <v>3604</v>
      </c>
      <c r="I2683" s="1" t="s">
        <v>10977</v>
      </c>
      <c r="J2683" s="1" t="s">
        <v>3606</v>
      </c>
      <c r="K2683" s="1"/>
      <c r="L2683" s="1"/>
      <c r="M2683" s="1"/>
    </row>
    <row x14ac:dyDescent="0.25" r="2684" customHeight="1" ht="18.75">
      <c r="A2684" s="1" t="s">
        <v>3617</v>
      </c>
      <c r="B2684" s="1" t="s">
        <v>3729</v>
      </c>
      <c r="C2684" s="1" t="s">
        <v>3619</v>
      </c>
      <c r="D2684" s="1" t="s">
        <v>8116</v>
      </c>
      <c r="E2684" s="1" t="s">
        <v>3730</v>
      </c>
      <c r="F2684" s="1" t="s">
        <v>10978</v>
      </c>
      <c r="G2684" s="1" t="s">
        <v>10979</v>
      </c>
      <c r="H2684" s="1" t="s">
        <v>3604</v>
      </c>
      <c r="I2684" s="1" t="s">
        <v>10980</v>
      </c>
      <c r="J2684" s="1" t="s">
        <v>3606</v>
      </c>
      <c r="K2684" s="1" t="s">
        <v>10981</v>
      </c>
      <c r="L2684" s="1"/>
      <c r="M2684" s="1"/>
    </row>
    <row x14ac:dyDescent="0.25" r="2685" customHeight="1" ht="18.75">
      <c r="A2685" s="1" t="s">
        <v>3617</v>
      </c>
      <c r="B2685" s="1" t="s">
        <v>3729</v>
      </c>
      <c r="C2685" s="1" t="s">
        <v>3619</v>
      </c>
      <c r="D2685" s="1" t="s">
        <v>3610</v>
      </c>
      <c r="E2685" s="1" t="s">
        <v>3730</v>
      </c>
      <c r="F2685" s="1" t="s">
        <v>10982</v>
      </c>
      <c r="G2685" s="1" t="s">
        <v>10979</v>
      </c>
      <c r="H2685" s="1" t="s">
        <v>3604</v>
      </c>
      <c r="I2685" s="1" t="s">
        <v>10983</v>
      </c>
      <c r="J2685" s="1" t="s">
        <v>3606</v>
      </c>
      <c r="K2685" s="1" t="s">
        <v>10984</v>
      </c>
      <c r="L2685" s="1"/>
      <c r="M2685" s="1"/>
    </row>
    <row x14ac:dyDescent="0.25" r="2686" customHeight="1" ht="18.75">
      <c r="A2686" s="1" t="s">
        <v>3617</v>
      </c>
      <c r="B2686" s="1" t="s">
        <v>3729</v>
      </c>
      <c r="C2686" s="1" t="s">
        <v>3619</v>
      </c>
      <c r="D2686" s="1" t="s">
        <v>3610</v>
      </c>
      <c r="E2686" s="1" t="s">
        <v>3730</v>
      </c>
      <c r="F2686" s="1" t="s">
        <v>10985</v>
      </c>
      <c r="G2686" s="1" t="s">
        <v>10979</v>
      </c>
      <c r="H2686" s="1" t="s">
        <v>3604</v>
      </c>
      <c r="I2686" s="1" t="s">
        <v>10986</v>
      </c>
      <c r="J2686" s="1" t="s">
        <v>3606</v>
      </c>
      <c r="K2686" s="1" t="s">
        <v>10987</v>
      </c>
      <c r="L2686" s="1"/>
      <c r="M2686" s="1"/>
    </row>
    <row x14ac:dyDescent="0.25" r="2687" customHeight="1" ht="18.75">
      <c r="A2687" s="1" t="s">
        <v>3617</v>
      </c>
      <c r="B2687" s="1" t="s">
        <v>3729</v>
      </c>
      <c r="C2687" s="1" t="s">
        <v>3619</v>
      </c>
      <c r="D2687" s="1" t="s">
        <v>3610</v>
      </c>
      <c r="E2687" s="1" t="s">
        <v>3730</v>
      </c>
      <c r="F2687" s="1" t="s">
        <v>10988</v>
      </c>
      <c r="G2687" s="1" t="s">
        <v>10989</v>
      </c>
      <c r="H2687" s="1" t="s">
        <v>3604</v>
      </c>
      <c r="I2687" s="1" t="s">
        <v>10990</v>
      </c>
      <c r="J2687" s="1" t="s">
        <v>3606</v>
      </c>
      <c r="K2687" s="1" t="s">
        <v>10991</v>
      </c>
      <c r="L2687" s="1"/>
      <c r="M2687" s="1"/>
    </row>
    <row x14ac:dyDescent="0.25" r="2688" customHeight="1" ht="18.75">
      <c r="A2688" s="1" t="s">
        <v>3617</v>
      </c>
      <c r="B2688" s="1" t="s">
        <v>3729</v>
      </c>
      <c r="C2688" s="1" t="s">
        <v>3619</v>
      </c>
      <c r="D2688" s="1" t="s">
        <v>3610</v>
      </c>
      <c r="E2688" s="1" t="s">
        <v>3730</v>
      </c>
      <c r="F2688" s="1" t="s">
        <v>10992</v>
      </c>
      <c r="G2688" s="1" t="s">
        <v>10989</v>
      </c>
      <c r="H2688" s="1" t="s">
        <v>3604</v>
      </c>
      <c r="I2688" s="1" t="s">
        <v>10993</v>
      </c>
      <c r="J2688" s="1" t="s">
        <v>3606</v>
      </c>
      <c r="K2688" s="1" t="s">
        <v>10994</v>
      </c>
      <c r="L2688" s="1"/>
      <c r="M2688" s="1"/>
    </row>
    <row x14ac:dyDescent="0.25" r="2689" customHeight="1" ht="18.75">
      <c r="A2689" s="1" t="s">
        <v>3617</v>
      </c>
      <c r="B2689" s="1" t="s">
        <v>3729</v>
      </c>
      <c r="C2689" s="1" t="s">
        <v>3619</v>
      </c>
      <c r="D2689" s="1" t="s">
        <v>3610</v>
      </c>
      <c r="E2689" s="1" t="s">
        <v>3730</v>
      </c>
      <c r="F2689" s="1" t="s">
        <v>10995</v>
      </c>
      <c r="G2689" s="1" t="s">
        <v>10989</v>
      </c>
      <c r="H2689" s="1" t="s">
        <v>3604</v>
      </c>
      <c r="I2689" s="1" t="s">
        <v>10996</v>
      </c>
      <c r="J2689" s="1" t="s">
        <v>3606</v>
      </c>
      <c r="K2689" s="1" t="s">
        <v>10997</v>
      </c>
      <c r="L2689" s="1"/>
      <c r="M2689" s="1"/>
    </row>
    <row x14ac:dyDescent="0.25" r="2690" customHeight="1" ht="18.75">
      <c r="A2690" s="1" t="s">
        <v>3617</v>
      </c>
      <c r="B2690" s="1" t="s">
        <v>3729</v>
      </c>
      <c r="C2690" s="1" t="s">
        <v>3619</v>
      </c>
      <c r="D2690" s="1" t="s">
        <v>8373</v>
      </c>
      <c r="E2690" s="1" t="s">
        <v>4478</v>
      </c>
      <c r="F2690" s="1" t="s">
        <v>10998</v>
      </c>
      <c r="G2690" s="1" t="s">
        <v>8544</v>
      </c>
      <c r="H2690" s="1" t="s">
        <v>3604</v>
      </c>
      <c r="I2690" s="1" t="s">
        <v>10999</v>
      </c>
      <c r="J2690" s="1" t="s">
        <v>3606</v>
      </c>
      <c r="K2690" s="1" t="s">
        <v>11000</v>
      </c>
      <c r="L2690" s="1"/>
      <c r="M2690" s="1"/>
    </row>
    <row x14ac:dyDescent="0.25" r="2691" customHeight="1" ht="18.75">
      <c r="A2691" s="1" t="s">
        <v>3617</v>
      </c>
      <c r="B2691" s="1" t="s">
        <v>3729</v>
      </c>
      <c r="C2691" s="1" t="s">
        <v>3619</v>
      </c>
      <c r="D2691" s="1" t="s">
        <v>8373</v>
      </c>
      <c r="E2691" s="1" t="s">
        <v>4478</v>
      </c>
      <c r="F2691" s="1" t="s">
        <v>11001</v>
      </c>
      <c r="G2691" s="1" t="s">
        <v>8544</v>
      </c>
      <c r="H2691" s="1" t="s">
        <v>3604</v>
      </c>
      <c r="I2691" s="1" t="s">
        <v>11002</v>
      </c>
      <c r="J2691" s="1" t="s">
        <v>3606</v>
      </c>
      <c r="K2691" s="1" t="s">
        <v>11003</v>
      </c>
      <c r="L2691" s="1"/>
      <c r="M2691" s="1"/>
    </row>
    <row x14ac:dyDescent="0.25" r="2692" customHeight="1" ht="18.75">
      <c r="A2692" s="1" t="s">
        <v>3617</v>
      </c>
      <c r="B2692" s="1" t="s">
        <v>3729</v>
      </c>
      <c r="C2692" s="1" t="s">
        <v>3619</v>
      </c>
      <c r="D2692" s="1" t="s">
        <v>8373</v>
      </c>
      <c r="E2692" s="1" t="s">
        <v>4478</v>
      </c>
      <c r="F2692" s="1" t="s">
        <v>11004</v>
      </c>
      <c r="G2692" s="1" t="s">
        <v>8544</v>
      </c>
      <c r="H2692" s="1" t="s">
        <v>3604</v>
      </c>
      <c r="I2692" s="1" t="s">
        <v>11005</v>
      </c>
      <c r="J2692" s="1" t="s">
        <v>3606</v>
      </c>
      <c r="K2692" s="1" t="s">
        <v>11006</v>
      </c>
      <c r="L2692" s="1"/>
      <c r="M2692" s="1"/>
    </row>
    <row x14ac:dyDescent="0.25" r="2693" customHeight="1" ht="18.75">
      <c r="A2693" s="1" t="s">
        <v>3617</v>
      </c>
      <c r="B2693" s="1" t="s">
        <v>3729</v>
      </c>
      <c r="C2693" s="1" t="s">
        <v>3619</v>
      </c>
      <c r="D2693" s="1" t="s">
        <v>3610</v>
      </c>
      <c r="E2693" s="1" t="s">
        <v>4478</v>
      </c>
      <c r="F2693" s="1" t="s">
        <v>11007</v>
      </c>
      <c r="G2693" s="1" t="s">
        <v>8544</v>
      </c>
      <c r="H2693" s="1" t="s">
        <v>3604</v>
      </c>
      <c r="I2693" s="1" t="s">
        <v>11008</v>
      </c>
      <c r="J2693" s="1" t="s">
        <v>3606</v>
      </c>
      <c r="K2693" s="1" t="s">
        <v>11009</v>
      </c>
      <c r="L2693" s="1"/>
      <c r="M2693" s="1"/>
    </row>
    <row x14ac:dyDescent="0.25" r="2694" customHeight="1" ht="18.75">
      <c r="A2694" s="1" t="s">
        <v>3617</v>
      </c>
      <c r="B2694" s="1" t="s">
        <v>3729</v>
      </c>
      <c r="C2694" s="1" t="s">
        <v>3619</v>
      </c>
      <c r="D2694" s="1" t="s">
        <v>3610</v>
      </c>
      <c r="E2694" s="1" t="s">
        <v>4478</v>
      </c>
      <c r="F2694" s="1" t="s">
        <v>11010</v>
      </c>
      <c r="G2694" s="1" t="s">
        <v>11011</v>
      </c>
      <c r="H2694" s="1" t="s">
        <v>3604</v>
      </c>
      <c r="I2694" s="1" t="s">
        <v>11012</v>
      </c>
      <c r="J2694" s="1" t="s">
        <v>3606</v>
      </c>
      <c r="K2694" s="1" t="s">
        <v>11013</v>
      </c>
      <c r="L2694" s="1"/>
      <c r="M2694" s="1"/>
    </row>
    <row x14ac:dyDescent="0.25" r="2695" customHeight="1" ht="18.75">
      <c r="A2695" s="1" t="s">
        <v>3617</v>
      </c>
      <c r="B2695" s="1" t="s">
        <v>3729</v>
      </c>
      <c r="C2695" s="1" t="s">
        <v>3619</v>
      </c>
      <c r="D2695" s="1" t="s">
        <v>3610</v>
      </c>
      <c r="E2695" s="1" t="s">
        <v>4478</v>
      </c>
      <c r="F2695" s="1" t="s">
        <v>11014</v>
      </c>
      <c r="G2695" s="1" t="s">
        <v>11011</v>
      </c>
      <c r="H2695" s="1" t="s">
        <v>3604</v>
      </c>
      <c r="I2695" s="1" t="s">
        <v>11015</v>
      </c>
      <c r="J2695" s="1" t="s">
        <v>3606</v>
      </c>
      <c r="K2695" s="1" t="s">
        <v>11016</v>
      </c>
      <c r="L2695" s="1"/>
      <c r="M2695" s="1"/>
    </row>
    <row x14ac:dyDescent="0.25" r="2696" customHeight="1" ht="18.75">
      <c r="A2696" s="1" t="s">
        <v>3617</v>
      </c>
      <c r="B2696" s="1" t="s">
        <v>3729</v>
      </c>
      <c r="C2696" s="1" t="s">
        <v>3619</v>
      </c>
      <c r="D2696" s="1" t="s">
        <v>3610</v>
      </c>
      <c r="E2696" s="1" t="s">
        <v>4478</v>
      </c>
      <c r="F2696" s="1" t="s">
        <v>11017</v>
      </c>
      <c r="G2696" s="1" t="s">
        <v>11011</v>
      </c>
      <c r="H2696" s="1" t="s">
        <v>3604</v>
      </c>
      <c r="I2696" s="1" t="s">
        <v>11018</v>
      </c>
      <c r="J2696" s="1" t="s">
        <v>3606</v>
      </c>
      <c r="K2696" s="1" t="s">
        <v>11019</v>
      </c>
      <c r="L2696" s="1"/>
      <c r="M2696" s="1"/>
    </row>
    <row x14ac:dyDescent="0.25" r="2697" customHeight="1" ht="18.75">
      <c r="A2697" s="1" t="s">
        <v>3617</v>
      </c>
      <c r="B2697" s="1" t="s">
        <v>3729</v>
      </c>
      <c r="C2697" s="1" t="s">
        <v>3619</v>
      </c>
      <c r="D2697" s="1" t="s">
        <v>3695</v>
      </c>
      <c r="E2697" s="1" t="s">
        <v>4478</v>
      </c>
      <c r="F2697" s="1" t="s">
        <v>11020</v>
      </c>
      <c r="G2697" s="1" t="s">
        <v>11011</v>
      </c>
      <c r="H2697" s="1" t="s">
        <v>3604</v>
      </c>
      <c r="I2697" s="1" t="s">
        <v>11021</v>
      </c>
      <c r="J2697" s="1" t="s">
        <v>3606</v>
      </c>
      <c r="K2697" s="1" t="s">
        <v>11022</v>
      </c>
      <c r="L2697" s="1"/>
      <c r="M2697" s="1"/>
    </row>
    <row x14ac:dyDescent="0.25" r="2698" customHeight="1" ht="18.75">
      <c r="A2698" s="1" t="s">
        <v>3617</v>
      </c>
      <c r="B2698" s="1" t="s">
        <v>3729</v>
      </c>
      <c r="C2698" s="1" t="s">
        <v>3619</v>
      </c>
      <c r="D2698" s="1" t="s">
        <v>3695</v>
      </c>
      <c r="E2698" s="1" t="s">
        <v>4478</v>
      </c>
      <c r="F2698" s="1" t="s">
        <v>11023</v>
      </c>
      <c r="G2698" s="1" t="s">
        <v>11011</v>
      </c>
      <c r="H2698" s="1" t="s">
        <v>3604</v>
      </c>
      <c r="I2698" s="1" t="s">
        <v>11024</v>
      </c>
      <c r="J2698" s="1" t="s">
        <v>3606</v>
      </c>
      <c r="K2698" s="1" t="s">
        <v>11025</v>
      </c>
      <c r="L2698" s="1"/>
      <c r="M2698" s="1"/>
    </row>
    <row x14ac:dyDescent="0.25" r="2699" customHeight="1" ht="18.75">
      <c r="A2699" s="1" t="s">
        <v>3617</v>
      </c>
      <c r="B2699" s="1" t="s">
        <v>3729</v>
      </c>
      <c r="C2699" s="1" t="s">
        <v>3619</v>
      </c>
      <c r="D2699" s="1" t="s">
        <v>3695</v>
      </c>
      <c r="E2699" s="1" t="s">
        <v>4478</v>
      </c>
      <c r="F2699" s="1" t="s">
        <v>11026</v>
      </c>
      <c r="G2699" s="1" t="s">
        <v>11011</v>
      </c>
      <c r="H2699" s="1" t="s">
        <v>3604</v>
      </c>
      <c r="I2699" s="1" t="s">
        <v>11027</v>
      </c>
      <c r="J2699" s="1" t="s">
        <v>3606</v>
      </c>
      <c r="K2699" s="1" t="s">
        <v>11028</v>
      </c>
      <c r="L2699" s="1"/>
      <c r="M2699" s="1"/>
    </row>
    <row x14ac:dyDescent="0.25" r="2700" customHeight="1" ht="18.75">
      <c r="A2700" s="1" t="s">
        <v>3617</v>
      </c>
      <c r="B2700" s="1" t="s">
        <v>3729</v>
      </c>
      <c r="C2700" s="1" t="s">
        <v>3619</v>
      </c>
      <c r="D2700" s="1" t="s">
        <v>3695</v>
      </c>
      <c r="E2700" s="1" t="s">
        <v>3893</v>
      </c>
      <c r="F2700" s="1" t="s">
        <v>11029</v>
      </c>
      <c r="G2700" s="1" t="s">
        <v>11011</v>
      </c>
      <c r="H2700" s="1" t="s">
        <v>3604</v>
      </c>
      <c r="I2700" s="1" t="s">
        <v>11030</v>
      </c>
      <c r="J2700" s="1" t="s">
        <v>3606</v>
      </c>
      <c r="K2700" s="1" t="s">
        <v>11031</v>
      </c>
      <c r="L2700" s="1"/>
      <c r="M2700" s="1"/>
    </row>
    <row x14ac:dyDescent="0.25" r="2701" customHeight="1" ht="18.75">
      <c r="A2701" s="1" t="s">
        <v>3617</v>
      </c>
      <c r="B2701" s="1" t="s">
        <v>3729</v>
      </c>
      <c r="C2701" s="1" t="s">
        <v>3619</v>
      </c>
      <c r="D2701" s="1" t="s">
        <v>3695</v>
      </c>
      <c r="E2701" s="1" t="s">
        <v>3893</v>
      </c>
      <c r="F2701" s="1" t="s">
        <v>11032</v>
      </c>
      <c r="G2701" s="1" t="s">
        <v>11011</v>
      </c>
      <c r="H2701" s="1" t="s">
        <v>3604</v>
      </c>
      <c r="I2701" s="1" t="s">
        <v>11033</v>
      </c>
      <c r="J2701" s="1" t="s">
        <v>3606</v>
      </c>
      <c r="K2701" s="1" t="s">
        <v>11034</v>
      </c>
      <c r="L2701" s="1"/>
      <c r="M2701" s="1"/>
    </row>
    <row x14ac:dyDescent="0.25" r="2702" customHeight="1" ht="18.75">
      <c r="A2702" s="1" t="s">
        <v>3617</v>
      </c>
      <c r="B2702" s="1" t="s">
        <v>3729</v>
      </c>
      <c r="C2702" s="1" t="s">
        <v>3619</v>
      </c>
      <c r="D2702" s="1" t="s">
        <v>3695</v>
      </c>
      <c r="E2702" s="1" t="s">
        <v>3893</v>
      </c>
      <c r="F2702" s="1" t="s">
        <v>11035</v>
      </c>
      <c r="G2702" s="1" t="s">
        <v>11011</v>
      </c>
      <c r="H2702" s="1" t="s">
        <v>3604</v>
      </c>
      <c r="I2702" s="1" t="s">
        <v>11036</v>
      </c>
      <c r="J2702" s="1" t="s">
        <v>3606</v>
      </c>
      <c r="K2702" s="1" t="s">
        <v>11037</v>
      </c>
      <c r="L2702" s="1"/>
      <c r="M2702" s="1"/>
    </row>
    <row x14ac:dyDescent="0.25" r="2703" customHeight="1" ht="18.75">
      <c r="A2703" s="1" t="s">
        <v>3617</v>
      </c>
      <c r="B2703" s="1" t="s">
        <v>3729</v>
      </c>
      <c r="C2703" s="1" t="s">
        <v>3619</v>
      </c>
      <c r="D2703" s="1" t="s">
        <v>7891</v>
      </c>
      <c r="E2703" s="1" t="s">
        <v>3752</v>
      </c>
      <c r="F2703" s="1" t="s">
        <v>11038</v>
      </c>
      <c r="G2703" s="1" t="s">
        <v>3840</v>
      </c>
      <c r="H2703" s="1" t="s">
        <v>3604</v>
      </c>
      <c r="I2703" s="1" t="s">
        <v>11039</v>
      </c>
      <c r="J2703" s="1" t="s">
        <v>3606</v>
      </c>
      <c r="K2703" s="1" t="s">
        <v>11040</v>
      </c>
      <c r="L2703" s="1"/>
      <c r="M2703" s="1"/>
    </row>
    <row x14ac:dyDescent="0.25" r="2704" customHeight="1" ht="18.75">
      <c r="A2704" s="1" t="s">
        <v>3617</v>
      </c>
      <c r="B2704" s="1" t="s">
        <v>3729</v>
      </c>
      <c r="C2704" s="1" t="s">
        <v>3619</v>
      </c>
      <c r="D2704" s="1" t="s">
        <v>7891</v>
      </c>
      <c r="E2704" s="1" t="s">
        <v>3752</v>
      </c>
      <c r="F2704" s="1" t="s">
        <v>11041</v>
      </c>
      <c r="G2704" s="1" t="s">
        <v>3840</v>
      </c>
      <c r="H2704" s="1" t="s">
        <v>3604</v>
      </c>
      <c r="I2704" s="1" t="s">
        <v>11042</v>
      </c>
      <c r="J2704" s="1" t="s">
        <v>3606</v>
      </c>
      <c r="K2704" s="1" t="s">
        <v>11043</v>
      </c>
      <c r="L2704" s="1"/>
      <c r="M2704" s="1"/>
    </row>
    <row x14ac:dyDescent="0.25" r="2705" customHeight="1" ht="18.75">
      <c r="A2705" s="1" t="s">
        <v>3617</v>
      </c>
      <c r="B2705" s="1" t="s">
        <v>3729</v>
      </c>
      <c r="C2705" s="1" t="s">
        <v>3619</v>
      </c>
      <c r="D2705" s="1" t="s">
        <v>7891</v>
      </c>
      <c r="E2705" s="1" t="s">
        <v>3752</v>
      </c>
      <c r="F2705" s="1" t="s">
        <v>11044</v>
      </c>
      <c r="G2705" s="1" t="s">
        <v>3840</v>
      </c>
      <c r="H2705" s="1" t="s">
        <v>3604</v>
      </c>
      <c r="I2705" s="1" t="s">
        <v>11045</v>
      </c>
      <c r="J2705" s="1" t="s">
        <v>3606</v>
      </c>
      <c r="K2705" s="1" t="s">
        <v>11046</v>
      </c>
      <c r="L2705" s="1"/>
      <c r="M2705" s="1"/>
    </row>
    <row x14ac:dyDescent="0.25" r="2706" customHeight="1" ht="18.75">
      <c r="A2706" s="1" t="s">
        <v>3617</v>
      </c>
      <c r="B2706" s="1" t="s">
        <v>3729</v>
      </c>
      <c r="C2706" s="1" t="s">
        <v>3619</v>
      </c>
      <c r="D2706" s="1" t="s">
        <v>533</v>
      </c>
      <c r="E2706" s="1" t="s">
        <v>3893</v>
      </c>
      <c r="F2706" s="1" t="s">
        <v>11047</v>
      </c>
      <c r="G2706" s="1" t="s">
        <v>8490</v>
      </c>
      <c r="H2706" s="1" t="s">
        <v>3604</v>
      </c>
      <c r="I2706" s="1" t="s">
        <v>11048</v>
      </c>
      <c r="J2706" s="1" t="s">
        <v>3606</v>
      </c>
      <c r="K2706" s="1" t="s">
        <v>11049</v>
      </c>
      <c r="L2706" s="1"/>
      <c r="M2706" s="1"/>
    </row>
    <row x14ac:dyDescent="0.25" r="2707" customHeight="1" ht="18.75">
      <c r="A2707" s="1" t="s">
        <v>3617</v>
      </c>
      <c r="B2707" s="1" t="s">
        <v>3729</v>
      </c>
      <c r="C2707" s="1" t="s">
        <v>3619</v>
      </c>
      <c r="D2707" s="1" t="s">
        <v>3610</v>
      </c>
      <c r="E2707" s="1" t="s">
        <v>3893</v>
      </c>
      <c r="F2707" s="1" t="s">
        <v>11050</v>
      </c>
      <c r="G2707" s="1" t="s">
        <v>8490</v>
      </c>
      <c r="H2707" s="1" t="s">
        <v>3604</v>
      </c>
      <c r="I2707" s="1" t="s">
        <v>11051</v>
      </c>
      <c r="J2707" s="1" t="s">
        <v>3606</v>
      </c>
      <c r="K2707" s="1" t="s">
        <v>11052</v>
      </c>
      <c r="L2707" s="1"/>
      <c r="M2707" s="1"/>
    </row>
    <row x14ac:dyDescent="0.25" r="2708" customHeight="1" ht="18.75">
      <c r="A2708" s="1" t="s">
        <v>3617</v>
      </c>
      <c r="B2708" s="1" t="s">
        <v>3729</v>
      </c>
      <c r="C2708" s="1" t="s">
        <v>3619</v>
      </c>
      <c r="D2708" s="1" t="s">
        <v>3610</v>
      </c>
      <c r="E2708" s="1" t="s">
        <v>3893</v>
      </c>
      <c r="F2708" s="1" t="s">
        <v>11053</v>
      </c>
      <c r="G2708" s="1" t="s">
        <v>8490</v>
      </c>
      <c r="H2708" s="1" t="s">
        <v>3604</v>
      </c>
      <c r="I2708" s="1" t="s">
        <v>11054</v>
      </c>
      <c r="J2708" s="1" t="s">
        <v>3606</v>
      </c>
      <c r="K2708" s="1" t="s">
        <v>11055</v>
      </c>
      <c r="L2708" s="1"/>
      <c r="M2708" s="1"/>
    </row>
    <row x14ac:dyDescent="0.25" r="2709" customHeight="1" ht="18.75">
      <c r="A2709" s="1" t="s">
        <v>3617</v>
      </c>
      <c r="B2709" s="1" t="s">
        <v>3729</v>
      </c>
      <c r="C2709" s="1" t="s">
        <v>3619</v>
      </c>
      <c r="D2709" s="1" t="s">
        <v>3610</v>
      </c>
      <c r="E2709" s="1" t="s">
        <v>3893</v>
      </c>
      <c r="F2709" s="1" t="s">
        <v>11056</v>
      </c>
      <c r="G2709" s="1" t="s">
        <v>8490</v>
      </c>
      <c r="H2709" s="1" t="s">
        <v>3604</v>
      </c>
      <c r="I2709" s="1" t="s">
        <v>11057</v>
      </c>
      <c r="J2709" s="1" t="s">
        <v>3606</v>
      </c>
      <c r="K2709" s="1" t="s">
        <v>11058</v>
      </c>
      <c r="L2709" s="1"/>
      <c r="M2709" s="1"/>
    </row>
    <row x14ac:dyDescent="0.25" r="2710" customHeight="1" ht="18.75">
      <c r="A2710" s="1" t="s">
        <v>3617</v>
      </c>
      <c r="B2710" s="1" t="s">
        <v>3729</v>
      </c>
      <c r="C2710" s="1" t="s">
        <v>3619</v>
      </c>
      <c r="D2710" s="1" t="s">
        <v>3695</v>
      </c>
      <c r="E2710" s="1" t="s">
        <v>3893</v>
      </c>
      <c r="F2710" s="1" t="s">
        <v>11059</v>
      </c>
      <c r="G2710" s="1" t="s">
        <v>8490</v>
      </c>
      <c r="H2710" s="1" t="s">
        <v>3604</v>
      </c>
      <c r="I2710" s="1" t="s">
        <v>11060</v>
      </c>
      <c r="J2710" s="1" t="s">
        <v>3606</v>
      </c>
      <c r="K2710" s="1" t="s">
        <v>11061</v>
      </c>
      <c r="L2710" s="1"/>
      <c r="M2710" s="1"/>
    </row>
    <row x14ac:dyDescent="0.25" r="2711" customHeight="1" ht="18.75">
      <c r="A2711" s="1" t="s">
        <v>3617</v>
      </c>
      <c r="B2711" s="1" t="s">
        <v>3729</v>
      </c>
      <c r="C2711" s="1" t="s">
        <v>3619</v>
      </c>
      <c r="D2711" s="1" t="s">
        <v>3695</v>
      </c>
      <c r="E2711" s="1" t="s">
        <v>3893</v>
      </c>
      <c r="F2711" s="1" t="s">
        <v>11062</v>
      </c>
      <c r="G2711" s="1" t="s">
        <v>8490</v>
      </c>
      <c r="H2711" s="1" t="s">
        <v>3604</v>
      </c>
      <c r="I2711" s="1" t="s">
        <v>11063</v>
      </c>
      <c r="J2711" s="1" t="s">
        <v>3606</v>
      </c>
      <c r="K2711" s="1" t="s">
        <v>11064</v>
      </c>
      <c r="L2711" s="1"/>
      <c r="M2711" s="1"/>
    </row>
    <row x14ac:dyDescent="0.25" r="2712" customHeight="1" ht="18.75">
      <c r="A2712" s="1" t="s">
        <v>3617</v>
      </c>
      <c r="B2712" s="1" t="s">
        <v>3729</v>
      </c>
      <c r="C2712" s="1" t="s">
        <v>3619</v>
      </c>
      <c r="D2712" s="1" t="s">
        <v>3695</v>
      </c>
      <c r="E2712" s="1" t="s">
        <v>3893</v>
      </c>
      <c r="F2712" s="1" t="s">
        <v>11065</v>
      </c>
      <c r="G2712" s="1" t="s">
        <v>8490</v>
      </c>
      <c r="H2712" s="1" t="s">
        <v>3604</v>
      </c>
      <c r="I2712" s="1" t="s">
        <v>11066</v>
      </c>
      <c r="J2712" s="1" t="s">
        <v>3606</v>
      </c>
      <c r="K2712" s="1" t="s">
        <v>11067</v>
      </c>
      <c r="L2712" s="1"/>
      <c r="M2712" s="1"/>
    </row>
    <row x14ac:dyDescent="0.25" r="2713" customHeight="1" ht="18.75">
      <c r="A2713" s="1" t="s">
        <v>3617</v>
      </c>
      <c r="B2713" s="1" t="s">
        <v>3729</v>
      </c>
      <c r="C2713" s="1" t="s">
        <v>3619</v>
      </c>
      <c r="D2713" s="1" t="s">
        <v>7891</v>
      </c>
      <c r="E2713" s="1" t="s">
        <v>3893</v>
      </c>
      <c r="F2713" s="1" t="s">
        <v>11068</v>
      </c>
      <c r="G2713" s="1" t="s">
        <v>8490</v>
      </c>
      <c r="H2713" s="1" t="s">
        <v>3604</v>
      </c>
      <c r="I2713" s="1" t="s">
        <v>11069</v>
      </c>
      <c r="J2713" s="1" t="s">
        <v>3606</v>
      </c>
      <c r="K2713" s="1" t="s">
        <v>11070</v>
      </c>
      <c r="L2713" s="1"/>
      <c r="M2713" s="1"/>
    </row>
    <row x14ac:dyDescent="0.25" r="2714" customHeight="1" ht="18.75">
      <c r="A2714" s="1" t="s">
        <v>3617</v>
      </c>
      <c r="B2714" s="1" t="s">
        <v>3729</v>
      </c>
      <c r="C2714" s="1" t="s">
        <v>3619</v>
      </c>
      <c r="D2714" s="1" t="s">
        <v>7891</v>
      </c>
      <c r="E2714" s="1" t="s">
        <v>3893</v>
      </c>
      <c r="F2714" s="1" t="s">
        <v>11071</v>
      </c>
      <c r="G2714" s="1" t="s">
        <v>8490</v>
      </c>
      <c r="H2714" s="1" t="s">
        <v>3604</v>
      </c>
      <c r="I2714" s="1" t="s">
        <v>11072</v>
      </c>
      <c r="J2714" s="1" t="s">
        <v>3606</v>
      </c>
      <c r="K2714" s="1" t="s">
        <v>11073</v>
      </c>
      <c r="L2714" s="1"/>
      <c r="M2714" s="1"/>
    </row>
    <row x14ac:dyDescent="0.25" r="2715" customHeight="1" ht="18.75">
      <c r="A2715" s="1" t="s">
        <v>3617</v>
      </c>
      <c r="B2715" s="1" t="s">
        <v>3729</v>
      </c>
      <c r="C2715" s="1" t="s">
        <v>3619</v>
      </c>
      <c r="D2715" s="1" t="s">
        <v>7891</v>
      </c>
      <c r="E2715" s="1" t="s">
        <v>3893</v>
      </c>
      <c r="F2715" s="1" t="s">
        <v>11074</v>
      </c>
      <c r="G2715" s="1" t="s">
        <v>8490</v>
      </c>
      <c r="H2715" s="1" t="s">
        <v>3604</v>
      </c>
      <c r="I2715" s="1" t="s">
        <v>11075</v>
      </c>
      <c r="J2715" s="1" t="s">
        <v>3606</v>
      </c>
      <c r="K2715" s="1" t="s">
        <v>11076</v>
      </c>
      <c r="L2715" s="1"/>
      <c r="M2715" s="1"/>
    </row>
    <row x14ac:dyDescent="0.25" r="2716" customHeight="1" ht="18.75">
      <c r="A2716" s="1" t="s">
        <v>3617</v>
      </c>
      <c r="B2716" s="1" t="s">
        <v>3729</v>
      </c>
      <c r="C2716" s="1" t="s">
        <v>3619</v>
      </c>
      <c r="D2716" s="1" t="s">
        <v>533</v>
      </c>
      <c r="E2716" s="1" t="s">
        <v>4478</v>
      </c>
      <c r="F2716" s="1" t="s">
        <v>11077</v>
      </c>
      <c r="G2716" s="1" t="s">
        <v>8534</v>
      </c>
      <c r="H2716" s="1" t="s">
        <v>3604</v>
      </c>
      <c r="I2716" s="1" t="s">
        <v>11078</v>
      </c>
      <c r="J2716" s="1" t="s">
        <v>3606</v>
      </c>
      <c r="K2716" s="1" t="s">
        <v>11079</v>
      </c>
      <c r="L2716" s="1"/>
      <c r="M2716" s="1"/>
    </row>
    <row x14ac:dyDescent="0.25" r="2717" customHeight="1" ht="18.75">
      <c r="A2717" s="1" t="s">
        <v>3617</v>
      </c>
      <c r="B2717" s="1" t="s">
        <v>3729</v>
      </c>
      <c r="C2717" s="1" t="s">
        <v>3619</v>
      </c>
      <c r="D2717" s="1" t="s">
        <v>3610</v>
      </c>
      <c r="E2717" s="1" t="s">
        <v>4478</v>
      </c>
      <c r="F2717" s="1" t="s">
        <v>11080</v>
      </c>
      <c r="G2717" s="1" t="s">
        <v>8534</v>
      </c>
      <c r="H2717" s="1" t="s">
        <v>3604</v>
      </c>
      <c r="I2717" s="1" t="s">
        <v>11081</v>
      </c>
      <c r="J2717" s="1" t="s">
        <v>3606</v>
      </c>
      <c r="K2717" s="1" t="s">
        <v>11082</v>
      </c>
      <c r="L2717" s="1"/>
      <c r="M2717" s="1"/>
    </row>
    <row x14ac:dyDescent="0.25" r="2718" customHeight="1" ht="18.75">
      <c r="A2718" s="1" t="s">
        <v>3617</v>
      </c>
      <c r="B2718" s="1" t="s">
        <v>3729</v>
      </c>
      <c r="C2718" s="1" t="s">
        <v>3619</v>
      </c>
      <c r="D2718" s="1" t="s">
        <v>3695</v>
      </c>
      <c r="E2718" s="1" t="s">
        <v>4478</v>
      </c>
      <c r="F2718" s="1" t="s">
        <v>11083</v>
      </c>
      <c r="G2718" s="1" t="s">
        <v>8534</v>
      </c>
      <c r="H2718" s="1" t="s">
        <v>3604</v>
      </c>
      <c r="I2718" s="1" t="s">
        <v>11084</v>
      </c>
      <c r="J2718" s="1" t="s">
        <v>3606</v>
      </c>
      <c r="K2718" s="1" t="s">
        <v>11085</v>
      </c>
      <c r="L2718" s="1"/>
      <c r="M2718" s="1"/>
    </row>
    <row x14ac:dyDescent="0.25" r="2719" customHeight="1" ht="18.75">
      <c r="A2719" s="1" t="s">
        <v>3617</v>
      </c>
      <c r="B2719" s="1" t="s">
        <v>3729</v>
      </c>
      <c r="C2719" s="1" t="s">
        <v>3619</v>
      </c>
      <c r="D2719" s="1" t="s">
        <v>3695</v>
      </c>
      <c r="E2719" s="1" t="s">
        <v>4478</v>
      </c>
      <c r="F2719" s="1" t="s">
        <v>11086</v>
      </c>
      <c r="G2719" s="1" t="s">
        <v>8534</v>
      </c>
      <c r="H2719" s="1" t="s">
        <v>3604</v>
      </c>
      <c r="I2719" s="1" t="s">
        <v>11087</v>
      </c>
      <c r="J2719" s="1" t="s">
        <v>3606</v>
      </c>
      <c r="K2719" s="1" t="s">
        <v>11088</v>
      </c>
      <c r="L2719" s="1"/>
      <c r="M2719" s="1"/>
    </row>
    <row x14ac:dyDescent="0.25" r="2720" customHeight="1" ht="18.75">
      <c r="A2720" s="1" t="s">
        <v>3617</v>
      </c>
      <c r="B2720" s="1" t="s">
        <v>3729</v>
      </c>
      <c r="C2720" s="1" t="s">
        <v>3619</v>
      </c>
      <c r="D2720" s="1" t="s">
        <v>3695</v>
      </c>
      <c r="E2720" s="1" t="s">
        <v>4478</v>
      </c>
      <c r="F2720" s="1" t="s">
        <v>11089</v>
      </c>
      <c r="G2720" s="1" t="s">
        <v>8534</v>
      </c>
      <c r="H2720" s="1" t="s">
        <v>3604</v>
      </c>
      <c r="I2720" s="1" t="s">
        <v>11090</v>
      </c>
      <c r="J2720" s="1" t="s">
        <v>3606</v>
      </c>
      <c r="K2720" s="1" t="s">
        <v>11091</v>
      </c>
      <c r="L2720" s="1"/>
      <c r="M2720" s="1"/>
    </row>
    <row x14ac:dyDescent="0.25" r="2721" customHeight="1" ht="18.75">
      <c r="A2721" s="1" t="s">
        <v>3617</v>
      </c>
      <c r="B2721" s="1" t="s">
        <v>3729</v>
      </c>
      <c r="C2721" s="1" t="s">
        <v>3619</v>
      </c>
      <c r="D2721" s="1" t="s">
        <v>7891</v>
      </c>
      <c r="E2721" s="1" t="s">
        <v>4478</v>
      </c>
      <c r="F2721" s="1" t="s">
        <v>11092</v>
      </c>
      <c r="G2721" s="1" t="s">
        <v>8534</v>
      </c>
      <c r="H2721" s="1" t="s">
        <v>3604</v>
      </c>
      <c r="I2721" s="1" t="s">
        <v>11093</v>
      </c>
      <c r="J2721" s="1" t="s">
        <v>3606</v>
      </c>
      <c r="K2721" s="1" t="s">
        <v>11094</v>
      </c>
      <c r="L2721" s="1"/>
      <c r="M2721" s="1"/>
    </row>
    <row x14ac:dyDescent="0.25" r="2722" customHeight="1" ht="18.75">
      <c r="A2722" s="1" t="s">
        <v>3617</v>
      </c>
      <c r="B2722" s="1" t="s">
        <v>3729</v>
      </c>
      <c r="C2722" s="1" t="s">
        <v>3619</v>
      </c>
      <c r="D2722" s="1" t="s">
        <v>7891</v>
      </c>
      <c r="E2722" s="1" t="s">
        <v>4478</v>
      </c>
      <c r="F2722" s="1" t="s">
        <v>11095</v>
      </c>
      <c r="G2722" s="1" t="s">
        <v>8534</v>
      </c>
      <c r="H2722" s="1" t="s">
        <v>3604</v>
      </c>
      <c r="I2722" s="1" t="s">
        <v>11096</v>
      </c>
      <c r="J2722" s="1" t="s">
        <v>3606</v>
      </c>
      <c r="K2722" s="1" t="s">
        <v>11097</v>
      </c>
      <c r="L2722" s="1"/>
      <c r="M2722" s="1"/>
    </row>
    <row x14ac:dyDescent="0.25" r="2723" customHeight="1" ht="18.75">
      <c r="A2723" s="1" t="s">
        <v>3617</v>
      </c>
      <c r="B2723" s="1" t="s">
        <v>3729</v>
      </c>
      <c r="C2723" s="1" t="s">
        <v>3619</v>
      </c>
      <c r="D2723" s="1" t="s">
        <v>3610</v>
      </c>
      <c r="E2723" s="1" t="s">
        <v>3730</v>
      </c>
      <c r="F2723" s="1" t="s">
        <v>11098</v>
      </c>
      <c r="G2723" s="1" t="s">
        <v>11099</v>
      </c>
      <c r="H2723" s="1" t="s">
        <v>3604</v>
      </c>
      <c r="I2723" s="1" t="s">
        <v>11100</v>
      </c>
      <c r="J2723" s="1" t="s">
        <v>3606</v>
      </c>
      <c r="K2723" s="1" t="s">
        <v>11101</v>
      </c>
      <c r="L2723" s="1"/>
      <c r="M2723" s="1"/>
    </row>
    <row x14ac:dyDescent="0.25" r="2724" customHeight="1" ht="18.75">
      <c r="A2724" s="1" t="s">
        <v>3617</v>
      </c>
      <c r="B2724" s="1" t="s">
        <v>3729</v>
      </c>
      <c r="C2724" s="1" t="s">
        <v>3619</v>
      </c>
      <c r="D2724" s="1" t="s">
        <v>3610</v>
      </c>
      <c r="E2724" s="1" t="s">
        <v>3730</v>
      </c>
      <c r="F2724" s="1" t="s">
        <v>11102</v>
      </c>
      <c r="G2724" s="1" t="s">
        <v>11099</v>
      </c>
      <c r="H2724" s="1" t="s">
        <v>3604</v>
      </c>
      <c r="I2724" s="1" t="s">
        <v>11103</v>
      </c>
      <c r="J2724" s="1" t="s">
        <v>3606</v>
      </c>
      <c r="K2724" s="1" t="s">
        <v>11104</v>
      </c>
      <c r="L2724" s="1"/>
      <c r="M2724" s="1"/>
    </row>
    <row x14ac:dyDescent="0.25" r="2725" customHeight="1" ht="18.75">
      <c r="A2725" s="1" t="s">
        <v>3617</v>
      </c>
      <c r="B2725" s="1" t="s">
        <v>3729</v>
      </c>
      <c r="C2725" s="1" t="s">
        <v>3619</v>
      </c>
      <c r="D2725" s="1" t="s">
        <v>3610</v>
      </c>
      <c r="E2725" s="1" t="s">
        <v>3730</v>
      </c>
      <c r="F2725" s="1" t="s">
        <v>11105</v>
      </c>
      <c r="G2725" s="1" t="s">
        <v>11099</v>
      </c>
      <c r="H2725" s="1" t="s">
        <v>3604</v>
      </c>
      <c r="I2725" s="1" t="s">
        <v>11106</v>
      </c>
      <c r="J2725" s="1" t="s">
        <v>3606</v>
      </c>
      <c r="K2725" s="1" t="s">
        <v>11107</v>
      </c>
      <c r="L2725" s="1"/>
      <c r="M2725" s="1"/>
    </row>
    <row x14ac:dyDescent="0.25" r="2726" customHeight="1" ht="18.75">
      <c r="A2726" s="1" t="s">
        <v>3617</v>
      </c>
      <c r="B2726" s="1" t="s">
        <v>3729</v>
      </c>
      <c r="C2726" s="1" t="s">
        <v>3619</v>
      </c>
      <c r="D2726" s="1" t="s">
        <v>3610</v>
      </c>
      <c r="E2726" s="1" t="s">
        <v>3730</v>
      </c>
      <c r="F2726" s="1" t="s">
        <v>11108</v>
      </c>
      <c r="G2726" s="1" t="s">
        <v>11099</v>
      </c>
      <c r="H2726" s="1" t="s">
        <v>3604</v>
      </c>
      <c r="I2726" s="1" t="s">
        <v>11109</v>
      </c>
      <c r="J2726" s="1" t="s">
        <v>3606</v>
      </c>
      <c r="K2726" s="1" t="s">
        <v>11110</v>
      </c>
      <c r="L2726" s="1"/>
      <c r="M2726" s="1"/>
    </row>
    <row x14ac:dyDescent="0.25" r="2727" customHeight="1" ht="18.75">
      <c r="A2727" s="1" t="s">
        <v>3617</v>
      </c>
      <c r="B2727" s="1" t="s">
        <v>3729</v>
      </c>
      <c r="C2727" s="1" t="s">
        <v>3619</v>
      </c>
      <c r="D2727" s="1" t="s">
        <v>533</v>
      </c>
      <c r="E2727" s="1" t="s">
        <v>3893</v>
      </c>
      <c r="F2727" s="1" t="s">
        <v>11111</v>
      </c>
      <c r="G2727" s="1" t="s">
        <v>11112</v>
      </c>
      <c r="H2727" s="1" t="s">
        <v>3604</v>
      </c>
      <c r="I2727" s="1" t="s">
        <v>11113</v>
      </c>
      <c r="J2727" s="1" t="s">
        <v>3606</v>
      </c>
      <c r="K2727" s="1" t="s">
        <v>11114</v>
      </c>
      <c r="L2727" s="1"/>
      <c r="M2727" s="1"/>
    </row>
    <row x14ac:dyDescent="0.25" r="2728" customHeight="1" ht="18.75">
      <c r="A2728" s="1" t="s">
        <v>3617</v>
      </c>
      <c r="B2728" s="1" t="s">
        <v>3729</v>
      </c>
      <c r="C2728" s="1" t="s">
        <v>3619</v>
      </c>
      <c r="D2728" s="1" t="s">
        <v>10630</v>
      </c>
      <c r="E2728" s="1" t="s">
        <v>4590</v>
      </c>
      <c r="F2728" s="1" t="s">
        <v>11115</v>
      </c>
      <c r="G2728" s="1" t="s">
        <v>11116</v>
      </c>
      <c r="H2728" s="1" t="s">
        <v>3604</v>
      </c>
      <c r="I2728" s="1" t="s">
        <v>11117</v>
      </c>
      <c r="J2728" s="1" t="s">
        <v>3606</v>
      </c>
      <c r="K2728" s="1" t="s">
        <v>11118</v>
      </c>
      <c r="L2728" s="1"/>
      <c r="M2728" s="1"/>
    </row>
    <row x14ac:dyDescent="0.25" r="2729" customHeight="1" ht="18.75">
      <c r="A2729" s="1" t="s">
        <v>3617</v>
      </c>
      <c r="B2729" s="1" t="s">
        <v>3729</v>
      </c>
      <c r="C2729" s="1" t="s">
        <v>3619</v>
      </c>
      <c r="D2729" s="1" t="s">
        <v>10630</v>
      </c>
      <c r="E2729" s="1" t="s">
        <v>4590</v>
      </c>
      <c r="F2729" s="1" t="s">
        <v>11119</v>
      </c>
      <c r="G2729" s="1" t="s">
        <v>11116</v>
      </c>
      <c r="H2729" s="1" t="s">
        <v>3604</v>
      </c>
      <c r="I2729" s="1" t="s">
        <v>11120</v>
      </c>
      <c r="J2729" s="1" t="s">
        <v>3606</v>
      </c>
      <c r="K2729" s="1" t="s">
        <v>11121</v>
      </c>
      <c r="L2729" s="1"/>
      <c r="M2729" s="1"/>
    </row>
    <row x14ac:dyDescent="0.25" r="2730" customHeight="1" ht="18.75">
      <c r="A2730" s="1" t="s">
        <v>3617</v>
      </c>
      <c r="B2730" s="1" t="s">
        <v>3729</v>
      </c>
      <c r="C2730" s="1" t="s">
        <v>3619</v>
      </c>
      <c r="D2730" s="1" t="s">
        <v>10630</v>
      </c>
      <c r="E2730" s="1" t="s">
        <v>4590</v>
      </c>
      <c r="F2730" s="1" t="s">
        <v>11122</v>
      </c>
      <c r="G2730" s="1" t="s">
        <v>11116</v>
      </c>
      <c r="H2730" s="1" t="s">
        <v>3604</v>
      </c>
      <c r="I2730" s="1" t="s">
        <v>11123</v>
      </c>
      <c r="J2730" s="1" t="s">
        <v>3606</v>
      </c>
      <c r="K2730" s="1" t="s">
        <v>11124</v>
      </c>
      <c r="L2730" s="1"/>
      <c r="M2730" s="1"/>
    </row>
    <row x14ac:dyDescent="0.25" r="2731" customHeight="1" ht="18.75">
      <c r="A2731" s="1" t="s">
        <v>3617</v>
      </c>
      <c r="B2731" s="1" t="s">
        <v>3729</v>
      </c>
      <c r="C2731" s="1" t="s">
        <v>3619</v>
      </c>
      <c r="D2731" s="1" t="s">
        <v>8116</v>
      </c>
      <c r="E2731" s="1" t="s">
        <v>3730</v>
      </c>
      <c r="F2731" s="1" t="s">
        <v>11125</v>
      </c>
      <c r="G2731" s="1" t="s">
        <v>3758</v>
      </c>
      <c r="H2731" s="1" t="s">
        <v>3604</v>
      </c>
      <c r="I2731" s="1" t="s">
        <v>11126</v>
      </c>
      <c r="J2731" s="1" t="s">
        <v>3606</v>
      </c>
      <c r="K2731" s="1" t="s">
        <v>11127</v>
      </c>
      <c r="L2731" s="1"/>
      <c r="M2731" s="1"/>
    </row>
    <row x14ac:dyDescent="0.25" r="2732" customHeight="1" ht="18.75">
      <c r="A2732" s="1" t="s">
        <v>3617</v>
      </c>
      <c r="B2732" s="1" t="s">
        <v>3729</v>
      </c>
      <c r="C2732" s="1" t="s">
        <v>3619</v>
      </c>
      <c r="D2732" s="1" t="s">
        <v>533</v>
      </c>
      <c r="E2732" s="1" t="s">
        <v>3730</v>
      </c>
      <c r="F2732" s="1" t="s">
        <v>11128</v>
      </c>
      <c r="G2732" s="1" t="s">
        <v>3758</v>
      </c>
      <c r="H2732" s="1" t="s">
        <v>3604</v>
      </c>
      <c r="I2732" s="1" t="s">
        <v>11129</v>
      </c>
      <c r="J2732" s="1" t="s">
        <v>3606</v>
      </c>
      <c r="K2732" s="1" t="s">
        <v>11130</v>
      </c>
      <c r="L2732" s="1"/>
      <c r="M2732" s="1"/>
    </row>
    <row x14ac:dyDescent="0.25" r="2733" customHeight="1" ht="18.75">
      <c r="A2733" s="1" t="s">
        <v>3617</v>
      </c>
      <c r="B2733" s="1" t="s">
        <v>3729</v>
      </c>
      <c r="C2733" s="1" t="s">
        <v>3619</v>
      </c>
      <c r="D2733" s="1" t="s">
        <v>533</v>
      </c>
      <c r="E2733" s="1" t="s">
        <v>3752</v>
      </c>
      <c r="F2733" s="1" t="s">
        <v>11131</v>
      </c>
      <c r="G2733" s="1" t="s">
        <v>3840</v>
      </c>
      <c r="H2733" s="1" t="s">
        <v>3604</v>
      </c>
      <c r="I2733" s="1" t="s">
        <v>11132</v>
      </c>
      <c r="J2733" s="1" t="s">
        <v>3606</v>
      </c>
      <c r="K2733" s="1" t="s">
        <v>11133</v>
      </c>
      <c r="L2733" s="1" t="s">
        <v>3608</v>
      </c>
      <c r="M2733" s="1"/>
    </row>
    <row x14ac:dyDescent="0.25" r="2734" customHeight="1" ht="18.75">
      <c r="A2734" s="1" t="s">
        <v>3617</v>
      </c>
      <c r="B2734" s="1" t="s">
        <v>3729</v>
      </c>
      <c r="C2734" s="1" t="s">
        <v>3619</v>
      </c>
      <c r="D2734" s="1" t="s">
        <v>3601</v>
      </c>
      <c r="E2734" s="1" t="s">
        <v>4478</v>
      </c>
      <c r="F2734" s="1" t="s">
        <v>11134</v>
      </c>
      <c r="G2734" s="1" t="s">
        <v>3840</v>
      </c>
      <c r="H2734" s="1" t="s">
        <v>3604</v>
      </c>
      <c r="I2734" s="1" t="s">
        <v>11135</v>
      </c>
      <c r="J2734" s="1" t="s">
        <v>3606</v>
      </c>
      <c r="K2734" s="1" t="s">
        <v>11136</v>
      </c>
      <c r="L2734" s="1"/>
      <c r="M2734" s="1"/>
    </row>
    <row x14ac:dyDescent="0.25" r="2735" customHeight="1" ht="18.75">
      <c r="A2735" s="1" t="s">
        <v>3617</v>
      </c>
      <c r="B2735" s="1" t="s">
        <v>3729</v>
      </c>
      <c r="C2735" s="1" t="s">
        <v>3619</v>
      </c>
      <c r="D2735" s="1" t="s">
        <v>3601</v>
      </c>
      <c r="E2735" s="1" t="s">
        <v>4478</v>
      </c>
      <c r="F2735" s="1" t="s">
        <v>11137</v>
      </c>
      <c r="G2735" s="1" t="s">
        <v>3840</v>
      </c>
      <c r="H2735" s="1" t="s">
        <v>3604</v>
      </c>
      <c r="I2735" s="1" t="s">
        <v>11138</v>
      </c>
      <c r="J2735" s="1" t="s">
        <v>3606</v>
      </c>
      <c r="K2735" s="1" t="s">
        <v>11139</v>
      </c>
      <c r="L2735" s="1"/>
      <c r="M2735" s="1"/>
    </row>
    <row x14ac:dyDescent="0.25" r="2736" customHeight="1" ht="18.75">
      <c r="A2736" s="1" t="s">
        <v>3617</v>
      </c>
      <c r="B2736" s="1" t="s">
        <v>3729</v>
      </c>
      <c r="C2736" s="1" t="s">
        <v>3619</v>
      </c>
      <c r="D2736" s="1" t="s">
        <v>3601</v>
      </c>
      <c r="E2736" s="1" t="s">
        <v>4478</v>
      </c>
      <c r="F2736" s="1" t="s">
        <v>11140</v>
      </c>
      <c r="G2736" s="1" t="s">
        <v>3840</v>
      </c>
      <c r="H2736" s="1" t="s">
        <v>3604</v>
      </c>
      <c r="I2736" s="1" t="s">
        <v>11141</v>
      </c>
      <c r="J2736" s="1" t="s">
        <v>3606</v>
      </c>
      <c r="K2736" s="1" t="s">
        <v>11142</v>
      </c>
      <c r="L2736" s="1"/>
      <c r="M2736" s="1"/>
    </row>
    <row x14ac:dyDescent="0.25" r="2737" customHeight="1" ht="18.75">
      <c r="A2737" s="1" t="s">
        <v>3617</v>
      </c>
      <c r="B2737" s="1" t="s">
        <v>3729</v>
      </c>
      <c r="C2737" s="1" t="s">
        <v>3619</v>
      </c>
      <c r="D2737" s="1" t="s">
        <v>3601</v>
      </c>
      <c r="E2737" s="1" t="s">
        <v>4478</v>
      </c>
      <c r="F2737" s="1" t="s">
        <v>11143</v>
      </c>
      <c r="G2737" s="1" t="s">
        <v>3840</v>
      </c>
      <c r="H2737" s="1" t="s">
        <v>3604</v>
      </c>
      <c r="I2737" s="1" t="s">
        <v>11144</v>
      </c>
      <c r="J2737" s="1" t="s">
        <v>3606</v>
      </c>
      <c r="K2737" s="1" t="s">
        <v>11145</v>
      </c>
      <c r="L2737" s="1"/>
      <c r="M2737" s="1"/>
    </row>
    <row x14ac:dyDescent="0.25" r="2738" customHeight="1" ht="18.75">
      <c r="A2738" s="1" t="s">
        <v>3617</v>
      </c>
      <c r="B2738" s="1" t="s">
        <v>3729</v>
      </c>
      <c r="C2738" s="1" t="s">
        <v>3619</v>
      </c>
      <c r="D2738" s="1" t="s">
        <v>3601</v>
      </c>
      <c r="E2738" s="1" t="s">
        <v>4478</v>
      </c>
      <c r="F2738" s="1" t="s">
        <v>11146</v>
      </c>
      <c r="G2738" s="1" t="s">
        <v>3840</v>
      </c>
      <c r="H2738" s="1" t="s">
        <v>3604</v>
      </c>
      <c r="I2738" s="1" t="s">
        <v>11147</v>
      </c>
      <c r="J2738" s="1" t="s">
        <v>3606</v>
      </c>
      <c r="K2738" s="1" t="s">
        <v>11148</v>
      </c>
      <c r="L2738" s="1"/>
      <c r="M2738" s="1"/>
    </row>
    <row x14ac:dyDescent="0.25" r="2739" customHeight="1" ht="18.75">
      <c r="A2739" s="1" t="s">
        <v>3617</v>
      </c>
      <c r="B2739" s="1" t="s">
        <v>3729</v>
      </c>
      <c r="C2739" s="1" t="s">
        <v>3619</v>
      </c>
      <c r="D2739" s="1" t="s">
        <v>3601</v>
      </c>
      <c r="E2739" s="1" t="s">
        <v>4478</v>
      </c>
      <c r="F2739" s="1" t="s">
        <v>11149</v>
      </c>
      <c r="G2739" s="1" t="s">
        <v>3840</v>
      </c>
      <c r="H2739" s="1" t="s">
        <v>3604</v>
      </c>
      <c r="I2739" s="1" t="s">
        <v>11150</v>
      </c>
      <c r="J2739" s="1" t="s">
        <v>3606</v>
      </c>
      <c r="K2739" s="1" t="s">
        <v>11151</v>
      </c>
      <c r="L2739" s="1"/>
      <c r="M2739" s="1"/>
    </row>
    <row x14ac:dyDescent="0.25" r="2740" customHeight="1" ht="18.75">
      <c r="A2740" s="1" t="s">
        <v>3617</v>
      </c>
      <c r="B2740" s="1" t="s">
        <v>3729</v>
      </c>
      <c r="C2740" s="1" t="s">
        <v>3619</v>
      </c>
      <c r="D2740" s="1" t="s">
        <v>3601</v>
      </c>
      <c r="E2740" s="1" t="s">
        <v>4478</v>
      </c>
      <c r="F2740" s="1" t="s">
        <v>11152</v>
      </c>
      <c r="G2740" s="1" t="s">
        <v>3840</v>
      </c>
      <c r="H2740" s="1" t="s">
        <v>3604</v>
      </c>
      <c r="I2740" s="1" t="s">
        <v>11153</v>
      </c>
      <c r="J2740" s="1" t="s">
        <v>3606</v>
      </c>
      <c r="K2740" s="1" t="s">
        <v>11154</v>
      </c>
      <c r="L2740" s="1"/>
      <c r="M2740" s="1"/>
    </row>
    <row x14ac:dyDescent="0.25" r="2741" customHeight="1" ht="18.75">
      <c r="A2741" s="1" t="s">
        <v>3617</v>
      </c>
      <c r="B2741" s="1" t="s">
        <v>3729</v>
      </c>
      <c r="C2741" s="1" t="s">
        <v>3619</v>
      </c>
      <c r="D2741" s="1" t="s">
        <v>3601</v>
      </c>
      <c r="E2741" s="1" t="s">
        <v>4478</v>
      </c>
      <c r="F2741" s="1" t="s">
        <v>11155</v>
      </c>
      <c r="G2741" s="1" t="s">
        <v>3840</v>
      </c>
      <c r="H2741" s="1" t="s">
        <v>3604</v>
      </c>
      <c r="I2741" s="1" t="s">
        <v>11156</v>
      </c>
      <c r="J2741" s="1" t="s">
        <v>3606</v>
      </c>
      <c r="K2741" s="1" t="s">
        <v>11157</v>
      </c>
      <c r="L2741" s="1"/>
      <c r="M2741" s="1"/>
    </row>
    <row x14ac:dyDescent="0.25" r="2742" customHeight="1" ht="18.75">
      <c r="A2742" s="1" t="s">
        <v>3617</v>
      </c>
      <c r="B2742" s="1" t="s">
        <v>3729</v>
      </c>
      <c r="C2742" s="1" t="s">
        <v>3619</v>
      </c>
      <c r="D2742" s="1" t="s">
        <v>3601</v>
      </c>
      <c r="E2742" s="1" t="s">
        <v>4478</v>
      </c>
      <c r="F2742" s="1" t="s">
        <v>11158</v>
      </c>
      <c r="G2742" s="1" t="s">
        <v>3840</v>
      </c>
      <c r="H2742" s="1" t="s">
        <v>3604</v>
      </c>
      <c r="I2742" s="1" t="s">
        <v>11159</v>
      </c>
      <c r="J2742" s="1" t="s">
        <v>3606</v>
      </c>
      <c r="K2742" s="1" t="s">
        <v>11160</v>
      </c>
      <c r="L2742" s="1"/>
      <c r="M2742" s="1"/>
    </row>
    <row x14ac:dyDescent="0.25" r="2743" customHeight="1" ht="18.75">
      <c r="A2743" s="1" t="s">
        <v>3617</v>
      </c>
      <c r="B2743" s="1" t="s">
        <v>3729</v>
      </c>
      <c r="C2743" s="1" t="s">
        <v>3619</v>
      </c>
      <c r="D2743" s="1" t="s">
        <v>3601</v>
      </c>
      <c r="E2743" s="1" t="s">
        <v>4478</v>
      </c>
      <c r="F2743" s="1" t="s">
        <v>11161</v>
      </c>
      <c r="G2743" s="1" t="s">
        <v>3840</v>
      </c>
      <c r="H2743" s="1" t="s">
        <v>3604</v>
      </c>
      <c r="I2743" s="1" t="s">
        <v>11162</v>
      </c>
      <c r="J2743" s="1" t="s">
        <v>3606</v>
      </c>
      <c r="K2743" s="1" t="s">
        <v>11163</v>
      </c>
      <c r="L2743" s="1"/>
      <c r="M2743" s="1"/>
    </row>
    <row x14ac:dyDescent="0.25" r="2744" customHeight="1" ht="18.75">
      <c r="A2744" s="1" t="s">
        <v>3617</v>
      </c>
      <c r="B2744" s="1" t="s">
        <v>3729</v>
      </c>
      <c r="C2744" s="1" t="s">
        <v>3619</v>
      </c>
      <c r="D2744" s="1" t="s">
        <v>3601</v>
      </c>
      <c r="E2744" s="1" t="s">
        <v>4478</v>
      </c>
      <c r="F2744" s="1" t="s">
        <v>11164</v>
      </c>
      <c r="G2744" s="1" t="s">
        <v>3840</v>
      </c>
      <c r="H2744" s="1" t="s">
        <v>3604</v>
      </c>
      <c r="I2744" s="1" t="s">
        <v>11165</v>
      </c>
      <c r="J2744" s="1" t="s">
        <v>3606</v>
      </c>
      <c r="K2744" s="1" t="s">
        <v>11166</v>
      </c>
      <c r="L2744" s="1"/>
      <c r="M2744" s="1"/>
    </row>
    <row x14ac:dyDescent="0.25" r="2745" customHeight="1" ht="18.75">
      <c r="A2745" s="1" t="s">
        <v>3617</v>
      </c>
      <c r="B2745" s="1" t="s">
        <v>3729</v>
      </c>
      <c r="C2745" s="1" t="s">
        <v>3619</v>
      </c>
      <c r="D2745" s="1" t="s">
        <v>3601</v>
      </c>
      <c r="E2745" s="1" t="s">
        <v>4478</v>
      </c>
      <c r="F2745" s="1" t="s">
        <v>11167</v>
      </c>
      <c r="G2745" s="1" t="s">
        <v>3840</v>
      </c>
      <c r="H2745" s="1" t="s">
        <v>3604</v>
      </c>
      <c r="I2745" s="1" t="s">
        <v>11168</v>
      </c>
      <c r="J2745" s="1" t="s">
        <v>3606</v>
      </c>
      <c r="K2745" s="1" t="s">
        <v>11169</v>
      </c>
      <c r="L2745" s="1"/>
      <c r="M2745" s="1"/>
    </row>
    <row x14ac:dyDescent="0.25" r="2746" customHeight="1" ht="18.75">
      <c r="A2746" s="1" t="s">
        <v>3617</v>
      </c>
      <c r="B2746" s="1" t="s">
        <v>3729</v>
      </c>
      <c r="C2746" s="1" t="s">
        <v>3619</v>
      </c>
      <c r="D2746" s="1" t="s">
        <v>3601</v>
      </c>
      <c r="E2746" s="1" t="s">
        <v>4478</v>
      </c>
      <c r="F2746" s="1" t="s">
        <v>11170</v>
      </c>
      <c r="G2746" s="1" t="s">
        <v>3840</v>
      </c>
      <c r="H2746" s="1" t="s">
        <v>3604</v>
      </c>
      <c r="I2746" s="1" t="s">
        <v>11171</v>
      </c>
      <c r="J2746" s="1" t="s">
        <v>3606</v>
      </c>
      <c r="K2746" s="1" t="s">
        <v>11172</v>
      </c>
      <c r="L2746" s="1"/>
      <c r="M2746" s="1"/>
    </row>
    <row x14ac:dyDescent="0.25" r="2747" customHeight="1" ht="18.75">
      <c r="A2747" s="1" t="s">
        <v>3617</v>
      </c>
      <c r="B2747" s="1" t="s">
        <v>3729</v>
      </c>
      <c r="C2747" s="1" t="s">
        <v>3619</v>
      </c>
      <c r="D2747" s="1" t="s">
        <v>3601</v>
      </c>
      <c r="E2747" s="1" t="s">
        <v>4478</v>
      </c>
      <c r="F2747" s="1" t="s">
        <v>11173</v>
      </c>
      <c r="G2747" s="1" t="s">
        <v>3840</v>
      </c>
      <c r="H2747" s="1" t="s">
        <v>3604</v>
      </c>
      <c r="I2747" s="1" t="s">
        <v>11174</v>
      </c>
      <c r="J2747" s="1" t="s">
        <v>3606</v>
      </c>
      <c r="K2747" s="1" t="s">
        <v>11175</v>
      </c>
      <c r="L2747" s="1"/>
      <c r="M2747" s="1"/>
    </row>
    <row x14ac:dyDescent="0.25" r="2748" customHeight="1" ht="18.75">
      <c r="A2748" s="1" t="s">
        <v>3617</v>
      </c>
      <c r="B2748" s="1" t="s">
        <v>3729</v>
      </c>
      <c r="C2748" s="1" t="s">
        <v>3619</v>
      </c>
      <c r="D2748" s="1" t="s">
        <v>3601</v>
      </c>
      <c r="E2748" s="1" t="s">
        <v>4478</v>
      </c>
      <c r="F2748" s="1" t="s">
        <v>11176</v>
      </c>
      <c r="G2748" s="1" t="s">
        <v>3840</v>
      </c>
      <c r="H2748" s="1" t="s">
        <v>3604</v>
      </c>
      <c r="I2748" s="1" t="s">
        <v>11177</v>
      </c>
      <c r="J2748" s="1" t="s">
        <v>3606</v>
      </c>
      <c r="K2748" s="1" t="s">
        <v>11178</v>
      </c>
      <c r="L2748" s="1"/>
      <c r="M2748" s="1"/>
    </row>
    <row x14ac:dyDescent="0.25" r="2749" customHeight="1" ht="18.75">
      <c r="A2749" s="1" t="s">
        <v>3617</v>
      </c>
      <c r="B2749" s="1" t="s">
        <v>3729</v>
      </c>
      <c r="C2749" s="1" t="s">
        <v>3619</v>
      </c>
      <c r="D2749" s="1" t="s">
        <v>3601</v>
      </c>
      <c r="E2749" s="1" t="s">
        <v>4478</v>
      </c>
      <c r="F2749" s="1" t="s">
        <v>11179</v>
      </c>
      <c r="G2749" s="1" t="s">
        <v>3840</v>
      </c>
      <c r="H2749" s="1" t="s">
        <v>3604</v>
      </c>
      <c r="I2749" s="1" t="s">
        <v>11180</v>
      </c>
      <c r="J2749" s="1" t="s">
        <v>3606</v>
      </c>
      <c r="K2749" s="1" t="s">
        <v>11181</v>
      </c>
      <c r="L2749" s="1"/>
      <c r="M2749" s="1"/>
    </row>
    <row x14ac:dyDescent="0.25" r="2750" customHeight="1" ht="18.75">
      <c r="A2750" s="1" t="s">
        <v>3617</v>
      </c>
      <c r="B2750" s="1" t="s">
        <v>3729</v>
      </c>
      <c r="C2750" s="1" t="s">
        <v>3619</v>
      </c>
      <c r="D2750" s="1" t="s">
        <v>3601</v>
      </c>
      <c r="E2750" s="1" t="s">
        <v>4478</v>
      </c>
      <c r="F2750" s="1" t="s">
        <v>11182</v>
      </c>
      <c r="G2750" s="1" t="s">
        <v>3840</v>
      </c>
      <c r="H2750" s="1" t="s">
        <v>3604</v>
      </c>
      <c r="I2750" s="1" t="s">
        <v>11183</v>
      </c>
      <c r="J2750" s="1" t="s">
        <v>3606</v>
      </c>
      <c r="K2750" s="1" t="s">
        <v>11184</v>
      </c>
      <c r="L2750" s="1"/>
      <c r="M2750" s="1"/>
    </row>
    <row x14ac:dyDescent="0.25" r="2751" customHeight="1" ht="18.75">
      <c r="A2751" s="1" t="s">
        <v>3617</v>
      </c>
      <c r="B2751" s="1" t="s">
        <v>3729</v>
      </c>
      <c r="C2751" s="1" t="s">
        <v>3619</v>
      </c>
      <c r="D2751" s="1" t="s">
        <v>3601</v>
      </c>
      <c r="E2751" s="1" t="s">
        <v>4478</v>
      </c>
      <c r="F2751" s="1" t="s">
        <v>11185</v>
      </c>
      <c r="G2751" s="1" t="s">
        <v>3840</v>
      </c>
      <c r="H2751" s="1" t="s">
        <v>3604</v>
      </c>
      <c r="I2751" s="1" t="s">
        <v>11186</v>
      </c>
      <c r="J2751" s="1" t="s">
        <v>3606</v>
      </c>
      <c r="K2751" s="1" t="s">
        <v>11187</v>
      </c>
      <c r="L2751" s="1"/>
      <c r="M2751" s="1"/>
    </row>
    <row x14ac:dyDescent="0.25" r="2752" customHeight="1" ht="18.75">
      <c r="A2752" s="1" t="s">
        <v>3617</v>
      </c>
      <c r="B2752" s="1" t="s">
        <v>3729</v>
      </c>
      <c r="C2752" s="1" t="s">
        <v>3619</v>
      </c>
      <c r="D2752" s="1" t="s">
        <v>3601</v>
      </c>
      <c r="E2752" s="1" t="s">
        <v>4478</v>
      </c>
      <c r="F2752" s="1" t="s">
        <v>11188</v>
      </c>
      <c r="G2752" s="1" t="s">
        <v>3840</v>
      </c>
      <c r="H2752" s="1" t="s">
        <v>3604</v>
      </c>
      <c r="I2752" s="1" t="s">
        <v>11189</v>
      </c>
      <c r="J2752" s="1" t="s">
        <v>3606</v>
      </c>
      <c r="K2752" s="1" t="s">
        <v>11190</v>
      </c>
      <c r="L2752" s="1"/>
      <c r="M2752" s="1"/>
    </row>
    <row x14ac:dyDescent="0.25" r="2753" customHeight="1" ht="18.75">
      <c r="A2753" s="1" t="s">
        <v>3617</v>
      </c>
      <c r="B2753" s="1" t="s">
        <v>3729</v>
      </c>
      <c r="C2753" s="1" t="s">
        <v>3619</v>
      </c>
      <c r="D2753" s="1" t="s">
        <v>3601</v>
      </c>
      <c r="E2753" s="1" t="s">
        <v>4478</v>
      </c>
      <c r="F2753" s="1" t="s">
        <v>11191</v>
      </c>
      <c r="G2753" s="1" t="s">
        <v>3840</v>
      </c>
      <c r="H2753" s="1" t="s">
        <v>3604</v>
      </c>
      <c r="I2753" s="1" t="s">
        <v>11192</v>
      </c>
      <c r="J2753" s="1" t="s">
        <v>3606</v>
      </c>
      <c r="K2753" s="1" t="s">
        <v>11193</v>
      </c>
      <c r="L2753" s="1"/>
      <c r="M2753" s="1"/>
    </row>
    <row x14ac:dyDescent="0.25" r="2754" customHeight="1" ht="18.75">
      <c r="A2754" s="1" t="s">
        <v>3617</v>
      </c>
      <c r="B2754" s="1" t="s">
        <v>3729</v>
      </c>
      <c r="C2754" s="1" t="s">
        <v>3619</v>
      </c>
      <c r="D2754" s="1" t="s">
        <v>3601</v>
      </c>
      <c r="E2754" s="1" t="s">
        <v>4478</v>
      </c>
      <c r="F2754" s="1" t="s">
        <v>11194</v>
      </c>
      <c r="G2754" s="1" t="s">
        <v>3840</v>
      </c>
      <c r="H2754" s="1" t="s">
        <v>3604</v>
      </c>
      <c r="I2754" s="1" t="s">
        <v>11195</v>
      </c>
      <c r="J2754" s="1" t="s">
        <v>3606</v>
      </c>
      <c r="K2754" s="1" t="s">
        <v>11196</v>
      </c>
      <c r="L2754" s="1"/>
      <c r="M2754" s="1"/>
    </row>
    <row x14ac:dyDescent="0.25" r="2755" customHeight="1" ht="18.75">
      <c r="A2755" s="1" t="s">
        <v>3617</v>
      </c>
      <c r="B2755" s="1" t="s">
        <v>3729</v>
      </c>
      <c r="C2755" s="1" t="s">
        <v>3619</v>
      </c>
      <c r="D2755" s="1" t="s">
        <v>3601</v>
      </c>
      <c r="E2755" s="1" t="s">
        <v>4478</v>
      </c>
      <c r="F2755" s="1" t="s">
        <v>11197</v>
      </c>
      <c r="G2755" s="1" t="s">
        <v>3840</v>
      </c>
      <c r="H2755" s="1" t="s">
        <v>3604</v>
      </c>
      <c r="I2755" s="1" t="s">
        <v>11198</v>
      </c>
      <c r="J2755" s="1" t="s">
        <v>3606</v>
      </c>
      <c r="K2755" s="1" t="s">
        <v>11199</v>
      </c>
      <c r="L2755" s="1"/>
      <c r="M2755" s="1"/>
    </row>
    <row x14ac:dyDescent="0.25" r="2756" customHeight="1" ht="18.75">
      <c r="A2756" s="1" t="s">
        <v>3617</v>
      </c>
      <c r="B2756" s="1" t="s">
        <v>3729</v>
      </c>
      <c r="C2756" s="1" t="s">
        <v>3619</v>
      </c>
      <c r="D2756" s="1" t="s">
        <v>3601</v>
      </c>
      <c r="E2756" s="1" t="s">
        <v>4478</v>
      </c>
      <c r="F2756" s="1" t="s">
        <v>11200</v>
      </c>
      <c r="G2756" s="1" t="s">
        <v>3840</v>
      </c>
      <c r="H2756" s="1" t="s">
        <v>3604</v>
      </c>
      <c r="I2756" s="1" t="s">
        <v>11201</v>
      </c>
      <c r="J2756" s="1" t="s">
        <v>3606</v>
      </c>
      <c r="K2756" s="1" t="s">
        <v>11202</v>
      </c>
      <c r="L2756" s="1"/>
      <c r="M2756" s="1"/>
    </row>
    <row x14ac:dyDescent="0.25" r="2757" customHeight="1" ht="18.75">
      <c r="A2757" s="1" t="s">
        <v>3617</v>
      </c>
      <c r="B2757" s="1" t="s">
        <v>3729</v>
      </c>
      <c r="C2757" s="1" t="s">
        <v>3619</v>
      </c>
      <c r="D2757" s="1" t="s">
        <v>3601</v>
      </c>
      <c r="E2757" s="1" t="s">
        <v>4478</v>
      </c>
      <c r="F2757" s="1" t="s">
        <v>11203</v>
      </c>
      <c r="G2757" s="1" t="s">
        <v>3840</v>
      </c>
      <c r="H2757" s="1" t="s">
        <v>3604</v>
      </c>
      <c r="I2757" s="1" t="s">
        <v>11204</v>
      </c>
      <c r="J2757" s="1" t="s">
        <v>3606</v>
      </c>
      <c r="K2757" s="1" t="s">
        <v>11205</v>
      </c>
      <c r="L2757" s="1"/>
      <c r="M2757" s="1"/>
    </row>
    <row x14ac:dyDescent="0.25" r="2758" customHeight="1" ht="18.75">
      <c r="A2758" s="1" t="s">
        <v>3617</v>
      </c>
      <c r="B2758" s="1" t="s">
        <v>3729</v>
      </c>
      <c r="C2758" s="1" t="s">
        <v>3619</v>
      </c>
      <c r="D2758" s="1" t="s">
        <v>3601</v>
      </c>
      <c r="E2758" s="1" t="s">
        <v>4478</v>
      </c>
      <c r="F2758" s="1" t="s">
        <v>11206</v>
      </c>
      <c r="G2758" s="1" t="s">
        <v>3840</v>
      </c>
      <c r="H2758" s="1" t="s">
        <v>3604</v>
      </c>
      <c r="I2758" s="1" t="s">
        <v>11207</v>
      </c>
      <c r="J2758" s="1" t="s">
        <v>3606</v>
      </c>
      <c r="K2758" s="1" t="s">
        <v>11208</v>
      </c>
      <c r="L2758" s="1"/>
      <c r="M2758" s="1"/>
    </row>
    <row x14ac:dyDescent="0.25" r="2759" customHeight="1" ht="18.75">
      <c r="A2759" s="1" t="s">
        <v>3617</v>
      </c>
      <c r="B2759" s="1" t="s">
        <v>3729</v>
      </c>
      <c r="C2759" s="1" t="s">
        <v>3619</v>
      </c>
      <c r="D2759" s="1" t="s">
        <v>3601</v>
      </c>
      <c r="E2759" s="1" t="s">
        <v>4478</v>
      </c>
      <c r="F2759" s="1" t="s">
        <v>11209</v>
      </c>
      <c r="G2759" s="1" t="s">
        <v>3840</v>
      </c>
      <c r="H2759" s="1" t="s">
        <v>3604</v>
      </c>
      <c r="I2759" s="1" t="s">
        <v>11210</v>
      </c>
      <c r="J2759" s="1" t="s">
        <v>3606</v>
      </c>
      <c r="K2759" s="1" t="s">
        <v>11211</v>
      </c>
      <c r="L2759" s="1"/>
      <c r="M2759" s="1"/>
    </row>
    <row x14ac:dyDescent="0.25" r="2760" customHeight="1" ht="18.75">
      <c r="A2760" s="1" t="s">
        <v>3617</v>
      </c>
      <c r="B2760" s="1" t="s">
        <v>3729</v>
      </c>
      <c r="C2760" s="1" t="s">
        <v>3619</v>
      </c>
      <c r="D2760" s="1" t="s">
        <v>3601</v>
      </c>
      <c r="E2760" s="1" t="s">
        <v>4478</v>
      </c>
      <c r="F2760" s="1" t="s">
        <v>11212</v>
      </c>
      <c r="G2760" s="1" t="s">
        <v>3840</v>
      </c>
      <c r="H2760" s="1" t="s">
        <v>3604</v>
      </c>
      <c r="I2760" s="1" t="s">
        <v>11213</v>
      </c>
      <c r="J2760" s="1" t="s">
        <v>3606</v>
      </c>
      <c r="K2760" s="1" t="s">
        <v>11214</v>
      </c>
      <c r="L2760" s="1"/>
      <c r="M2760" s="1"/>
    </row>
    <row x14ac:dyDescent="0.25" r="2761" customHeight="1" ht="18.75">
      <c r="A2761" s="1" t="s">
        <v>3617</v>
      </c>
      <c r="B2761" s="1" t="s">
        <v>3729</v>
      </c>
      <c r="C2761" s="1" t="s">
        <v>3619</v>
      </c>
      <c r="D2761" s="1" t="s">
        <v>3601</v>
      </c>
      <c r="E2761" s="1" t="s">
        <v>4478</v>
      </c>
      <c r="F2761" s="1" t="s">
        <v>11215</v>
      </c>
      <c r="G2761" s="1" t="s">
        <v>3840</v>
      </c>
      <c r="H2761" s="1" t="s">
        <v>3604</v>
      </c>
      <c r="I2761" s="1" t="s">
        <v>11216</v>
      </c>
      <c r="J2761" s="1" t="s">
        <v>3606</v>
      </c>
      <c r="K2761" s="1" t="s">
        <v>11217</v>
      </c>
      <c r="L2761" s="1"/>
      <c r="M2761" s="1"/>
    </row>
    <row x14ac:dyDescent="0.25" r="2762" customHeight="1" ht="18.75">
      <c r="A2762" s="1" t="s">
        <v>3617</v>
      </c>
      <c r="B2762" s="1" t="s">
        <v>3729</v>
      </c>
      <c r="C2762" s="1" t="s">
        <v>3619</v>
      </c>
      <c r="D2762" s="1" t="s">
        <v>3601</v>
      </c>
      <c r="E2762" s="1" t="s">
        <v>4478</v>
      </c>
      <c r="F2762" s="1" t="s">
        <v>11218</v>
      </c>
      <c r="G2762" s="1" t="s">
        <v>3840</v>
      </c>
      <c r="H2762" s="1" t="s">
        <v>3604</v>
      </c>
      <c r="I2762" s="1" t="s">
        <v>11219</v>
      </c>
      <c r="J2762" s="1" t="s">
        <v>3606</v>
      </c>
      <c r="K2762" s="1" t="s">
        <v>11220</v>
      </c>
      <c r="L2762" s="1"/>
      <c r="M2762" s="1"/>
    </row>
    <row x14ac:dyDescent="0.25" r="2763" customHeight="1" ht="18.75">
      <c r="A2763" s="1" t="s">
        <v>3617</v>
      </c>
      <c r="B2763" s="1" t="s">
        <v>3729</v>
      </c>
      <c r="C2763" s="1" t="s">
        <v>3619</v>
      </c>
      <c r="D2763" s="1" t="s">
        <v>3601</v>
      </c>
      <c r="E2763" s="1" t="s">
        <v>4478</v>
      </c>
      <c r="F2763" s="1" t="s">
        <v>11221</v>
      </c>
      <c r="G2763" s="1" t="s">
        <v>3840</v>
      </c>
      <c r="H2763" s="1" t="s">
        <v>3604</v>
      </c>
      <c r="I2763" s="1" t="s">
        <v>11222</v>
      </c>
      <c r="J2763" s="1" t="s">
        <v>3606</v>
      </c>
      <c r="K2763" s="1" t="s">
        <v>11223</v>
      </c>
      <c r="L2763" s="1"/>
      <c r="M2763" s="1"/>
    </row>
    <row x14ac:dyDescent="0.25" r="2764" customHeight="1" ht="18.75">
      <c r="A2764" s="1" t="s">
        <v>3617</v>
      </c>
      <c r="B2764" s="1" t="s">
        <v>3729</v>
      </c>
      <c r="C2764" s="1" t="s">
        <v>3619</v>
      </c>
      <c r="D2764" s="1" t="s">
        <v>3601</v>
      </c>
      <c r="E2764" s="1" t="s">
        <v>4478</v>
      </c>
      <c r="F2764" s="1" t="s">
        <v>11224</v>
      </c>
      <c r="G2764" s="1" t="s">
        <v>3840</v>
      </c>
      <c r="H2764" s="1" t="s">
        <v>3604</v>
      </c>
      <c r="I2764" s="1" t="s">
        <v>11225</v>
      </c>
      <c r="J2764" s="1" t="s">
        <v>3606</v>
      </c>
      <c r="K2764" s="1" t="s">
        <v>11226</v>
      </c>
      <c r="L2764" s="1"/>
      <c r="M2764" s="1"/>
    </row>
    <row x14ac:dyDescent="0.25" r="2765" customHeight="1" ht="18.75">
      <c r="A2765" s="1" t="s">
        <v>3617</v>
      </c>
      <c r="B2765" s="1" t="s">
        <v>3729</v>
      </c>
      <c r="C2765" s="1" t="s">
        <v>3619</v>
      </c>
      <c r="D2765" s="1" t="s">
        <v>3601</v>
      </c>
      <c r="E2765" s="1" t="s">
        <v>4478</v>
      </c>
      <c r="F2765" s="1" t="s">
        <v>11227</v>
      </c>
      <c r="G2765" s="1" t="s">
        <v>3840</v>
      </c>
      <c r="H2765" s="1" t="s">
        <v>3604</v>
      </c>
      <c r="I2765" s="1" t="s">
        <v>11228</v>
      </c>
      <c r="J2765" s="1" t="s">
        <v>3606</v>
      </c>
      <c r="K2765" s="1" t="s">
        <v>11229</v>
      </c>
      <c r="L2765" s="1"/>
      <c r="M2765" s="1"/>
    </row>
    <row x14ac:dyDescent="0.25" r="2766" customHeight="1" ht="18.75">
      <c r="A2766" s="1" t="s">
        <v>3617</v>
      </c>
      <c r="B2766" s="1" t="s">
        <v>3729</v>
      </c>
      <c r="C2766" s="1" t="s">
        <v>3619</v>
      </c>
      <c r="D2766" s="1" t="s">
        <v>3601</v>
      </c>
      <c r="E2766" s="1" t="s">
        <v>4478</v>
      </c>
      <c r="F2766" s="1" t="s">
        <v>11230</v>
      </c>
      <c r="G2766" s="1" t="s">
        <v>3840</v>
      </c>
      <c r="H2766" s="1" t="s">
        <v>3604</v>
      </c>
      <c r="I2766" s="1" t="s">
        <v>11231</v>
      </c>
      <c r="J2766" s="1" t="s">
        <v>3606</v>
      </c>
      <c r="K2766" s="1" t="s">
        <v>11232</v>
      </c>
      <c r="L2766" s="1"/>
      <c r="M2766" s="1"/>
    </row>
    <row x14ac:dyDescent="0.25" r="2767" customHeight="1" ht="18.75">
      <c r="A2767" s="1" t="s">
        <v>3617</v>
      </c>
      <c r="B2767" s="1" t="s">
        <v>3729</v>
      </c>
      <c r="C2767" s="1" t="s">
        <v>3619</v>
      </c>
      <c r="D2767" s="1" t="s">
        <v>3601</v>
      </c>
      <c r="E2767" s="1" t="s">
        <v>4478</v>
      </c>
      <c r="F2767" s="1" t="s">
        <v>11233</v>
      </c>
      <c r="G2767" s="1" t="s">
        <v>3840</v>
      </c>
      <c r="H2767" s="1" t="s">
        <v>3604</v>
      </c>
      <c r="I2767" s="1" t="s">
        <v>11234</v>
      </c>
      <c r="J2767" s="1" t="s">
        <v>3606</v>
      </c>
      <c r="K2767" s="1" t="s">
        <v>11235</v>
      </c>
      <c r="L2767" s="1"/>
      <c r="M2767" s="1"/>
    </row>
    <row x14ac:dyDescent="0.25" r="2768" customHeight="1" ht="18.75">
      <c r="A2768" s="1" t="s">
        <v>3617</v>
      </c>
      <c r="B2768" s="1" t="s">
        <v>3729</v>
      </c>
      <c r="C2768" s="1" t="s">
        <v>3619</v>
      </c>
      <c r="D2768" s="1" t="s">
        <v>3601</v>
      </c>
      <c r="E2768" s="1" t="s">
        <v>4478</v>
      </c>
      <c r="F2768" s="1" t="s">
        <v>11236</v>
      </c>
      <c r="G2768" s="1" t="s">
        <v>3840</v>
      </c>
      <c r="H2768" s="1" t="s">
        <v>3604</v>
      </c>
      <c r="I2768" s="1" t="s">
        <v>11237</v>
      </c>
      <c r="J2768" s="1" t="s">
        <v>3606</v>
      </c>
      <c r="K2768" s="1" t="s">
        <v>11238</v>
      </c>
      <c r="L2768" s="1"/>
      <c r="M2768" s="1"/>
    </row>
    <row x14ac:dyDescent="0.25" r="2769" customHeight="1" ht="18.75">
      <c r="A2769" s="1" t="s">
        <v>3617</v>
      </c>
      <c r="B2769" s="1" t="s">
        <v>3729</v>
      </c>
      <c r="C2769" s="1" t="s">
        <v>3619</v>
      </c>
      <c r="D2769" s="1" t="s">
        <v>3601</v>
      </c>
      <c r="E2769" s="1" t="s">
        <v>4478</v>
      </c>
      <c r="F2769" s="1" t="s">
        <v>11239</v>
      </c>
      <c r="G2769" s="1" t="s">
        <v>3840</v>
      </c>
      <c r="H2769" s="1" t="s">
        <v>3604</v>
      </c>
      <c r="I2769" s="1" t="s">
        <v>11240</v>
      </c>
      <c r="J2769" s="1" t="s">
        <v>3606</v>
      </c>
      <c r="K2769" s="1" t="s">
        <v>11241</v>
      </c>
      <c r="L2769" s="1"/>
      <c r="M2769" s="1"/>
    </row>
    <row x14ac:dyDescent="0.25" r="2770" customHeight="1" ht="18.75">
      <c r="A2770" s="1" t="s">
        <v>3617</v>
      </c>
      <c r="B2770" s="1" t="s">
        <v>3729</v>
      </c>
      <c r="C2770" s="1" t="s">
        <v>3619</v>
      </c>
      <c r="D2770" s="1" t="s">
        <v>3601</v>
      </c>
      <c r="E2770" s="1" t="s">
        <v>4478</v>
      </c>
      <c r="F2770" s="1" t="s">
        <v>11242</v>
      </c>
      <c r="G2770" s="1" t="s">
        <v>3840</v>
      </c>
      <c r="H2770" s="1" t="s">
        <v>3604</v>
      </c>
      <c r="I2770" s="1" t="s">
        <v>11243</v>
      </c>
      <c r="J2770" s="1" t="s">
        <v>3606</v>
      </c>
      <c r="K2770" s="1" t="s">
        <v>11244</v>
      </c>
      <c r="L2770" s="1"/>
      <c r="M2770" s="1"/>
    </row>
    <row x14ac:dyDescent="0.25" r="2771" customHeight="1" ht="18.75">
      <c r="A2771" s="1" t="s">
        <v>3617</v>
      </c>
      <c r="B2771" s="1" t="s">
        <v>3729</v>
      </c>
      <c r="C2771" s="1" t="s">
        <v>3619</v>
      </c>
      <c r="D2771" s="1" t="s">
        <v>3601</v>
      </c>
      <c r="E2771" s="1" t="s">
        <v>4478</v>
      </c>
      <c r="F2771" s="1" t="s">
        <v>11245</v>
      </c>
      <c r="G2771" s="1" t="s">
        <v>3840</v>
      </c>
      <c r="H2771" s="1" t="s">
        <v>3604</v>
      </c>
      <c r="I2771" s="1" t="s">
        <v>11246</v>
      </c>
      <c r="J2771" s="1" t="s">
        <v>3606</v>
      </c>
      <c r="K2771" s="1" t="s">
        <v>11247</v>
      </c>
      <c r="L2771" s="1"/>
      <c r="M2771" s="1"/>
    </row>
    <row x14ac:dyDescent="0.25" r="2772" customHeight="1" ht="18.75">
      <c r="A2772" s="1" t="s">
        <v>3617</v>
      </c>
      <c r="B2772" s="1" t="s">
        <v>3729</v>
      </c>
      <c r="C2772" s="1" t="s">
        <v>3619</v>
      </c>
      <c r="D2772" s="1" t="s">
        <v>3601</v>
      </c>
      <c r="E2772" s="1" t="s">
        <v>4478</v>
      </c>
      <c r="F2772" s="1" t="s">
        <v>11248</v>
      </c>
      <c r="G2772" s="1" t="s">
        <v>3840</v>
      </c>
      <c r="H2772" s="1" t="s">
        <v>3604</v>
      </c>
      <c r="I2772" s="1" t="s">
        <v>11249</v>
      </c>
      <c r="J2772" s="1" t="s">
        <v>3606</v>
      </c>
      <c r="K2772" s="1" t="s">
        <v>11250</v>
      </c>
      <c r="L2772" s="1"/>
      <c r="M2772" s="1"/>
    </row>
    <row x14ac:dyDescent="0.25" r="2773" customHeight="1" ht="18.75">
      <c r="A2773" s="1" t="s">
        <v>3617</v>
      </c>
      <c r="B2773" s="1" t="s">
        <v>3729</v>
      </c>
      <c r="C2773" s="1" t="s">
        <v>3619</v>
      </c>
      <c r="D2773" s="1" t="s">
        <v>3601</v>
      </c>
      <c r="E2773" s="1" t="s">
        <v>4478</v>
      </c>
      <c r="F2773" s="1" t="s">
        <v>11251</v>
      </c>
      <c r="G2773" s="1" t="s">
        <v>3840</v>
      </c>
      <c r="H2773" s="1" t="s">
        <v>3604</v>
      </c>
      <c r="I2773" s="1" t="s">
        <v>11252</v>
      </c>
      <c r="J2773" s="1" t="s">
        <v>3606</v>
      </c>
      <c r="K2773" s="1" t="s">
        <v>11253</v>
      </c>
      <c r="L2773" s="1"/>
      <c r="M2773" s="1"/>
    </row>
    <row x14ac:dyDescent="0.25" r="2774" customHeight="1" ht="18.75">
      <c r="A2774" s="1" t="s">
        <v>3617</v>
      </c>
      <c r="B2774" s="1" t="s">
        <v>3729</v>
      </c>
      <c r="C2774" s="1" t="s">
        <v>3619</v>
      </c>
      <c r="D2774" s="1" t="s">
        <v>3601</v>
      </c>
      <c r="E2774" s="1" t="s">
        <v>4478</v>
      </c>
      <c r="F2774" s="1" t="s">
        <v>11254</v>
      </c>
      <c r="G2774" s="1" t="s">
        <v>3840</v>
      </c>
      <c r="H2774" s="1" t="s">
        <v>3604</v>
      </c>
      <c r="I2774" s="1" t="s">
        <v>11255</v>
      </c>
      <c r="J2774" s="1" t="s">
        <v>3606</v>
      </c>
      <c r="K2774" s="1" t="s">
        <v>11256</v>
      </c>
      <c r="L2774" s="1"/>
      <c r="M2774" s="1"/>
    </row>
    <row x14ac:dyDescent="0.25" r="2775" customHeight="1" ht="18.75">
      <c r="A2775" s="1" t="s">
        <v>3617</v>
      </c>
      <c r="B2775" s="1" t="s">
        <v>3729</v>
      </c>
      <c r="C2775" s="1" t="s">
        <v>3619</v>
      </c>
      <c r="D2775" s="1" t="s">
        <v>3601</v>
      </c>
      <c r="E2775" s="1" t="s">
        <v>4478</v>
      </c>
      <c r="F2775" s="1" t="s">
        <v>11257</v>
      </c>
      <c r="G2775" s="1" t="s">
        <v>3840</v>
      </c>
      <c r="H2775" s="1" t="s">
        <v>3604</v>
      </c>
      <c r="I2775" s="1" t="s">
        <v>11258</v>
      </c>
      <c r="J2775" s="1" t="s">
        <v>3606</v>
      </c>
      <c r="K2775" s="1" t="s">
        <v>11259</v>
      </c>
      <c r="L2775" s="1"/>
      <c r="M2775" s="1"/>
    </row>
    <row x14ac:dyDescent="0.25" r="2776" customHeight="1" ht="18.75">
      <c r="A2776" s="1" t="s">
        <v>3617</v>
      </c>
      <c r="B2776" s="1" t="s">
        <v>3729</v>
      </c>
      <c r="C2776" s="1" t="s">
        <v>3619</v>
      </c>
      <c r="D2776" s="1" t="s">
        <v>3601</v>
      </c>
      <c r="E2776" s="1" t="s">
        <v>4478</v>
      </c>
      <c r="F2776" s="1" t="s">
        <v>11260</v>
      </c>
      <c r="G2776" s="1" t="s">
        <v>3840</v>
      </c>
      <c r="H2776" s="1" t="s">
        <v>3604</v>
      </c>
      <c r="I2776" s="1" t="s">
        <v>11261</v>
      </c>
      <c r="J2776" s="1" t="s">
        <v>3606</v>
      </c>
      <c r="K2776" s="1" t="s">
        <v>11262</v>
      </c>
      <c r="L2776" s="1"/>
      <c r="M2776" s="1"/>
    </row>
    <row x14ac:dyDescent="0.25" r="2777" customHeight="1" ht="18.75">
      <c r="A2777" s="1" t="s">
        <v>3617</v>
      </c>
      <c r="B2777" s="1" t="s">
        <v>3729</v>
      </c>
      <c r="C2777" s="1" t="s">
        <v>3619</v>
      </c>
      <c r="D2777" s="1" t="s">
        <v>3601</v>
      </c>
      <c r="E2777" s="1" t="s">
        <v>4478</v>
      </c>
      <c r="F2777" s="1" t="s">
        <v>11263</v>
      </c>
      <c r="G2777" s="1" t="s">
        <v>3840</v>
      </c>
      <c r="H2777" s="1" t="s">
        <v>3604</v>
      </c>
      <c r="I2777" s="1" t="s">
        <v>11264</v>
      </c>
      <c r="J2777" s="1" t="s">
        <v>3606</v>
      </c>
      <c r="K2777" s="1" t="s">
        <v>11265</v>
      </c>
      <c r="L2777" s="1"/>
      <c r="M2777" s="1"/>
    </row>
    <row x14ac:dyDescent="0.25" r="2778" customHeight="1" ht="18.75">
      <c r="A2778" s="1" t="s">
        <v>3617</v>
      </c>
      <c r="B2778" s="1" t="s">
        <v>3729</v>
      </c>
      <c r="C2778" s="1" t="s">
        <v>3619</v>
      </c>
      <c r="D2778" s="1" t="s">
        <v>3601</v>
      </c>
      <c r="E2778" s="1" t="s">
        <v>4478</v>
      </c>
      <c r="F2778" s="1" t="s">
        <v>11266</v>
      </c>
      <c r="G2778" s="1" t="s">
        <v>3840</v>
      </c>
      <c r="H2778" s="1" t="s">
        <v>3604</v>
      </c>
      <c r="I2778" s="1" t="s">
        <v>11267</v>
      </c>
      <c r="J2778" s="1" t="s">
        <v>3606</v>
      </c>
      <c r="K2778" s="1" t="s">
        <v>11268</v>
      </c>
      <c r="L2778" s="1"/>
      <c r="M2778" s="1"/>
    </row>
    <row x14ac:dyDescent="0.25" r="2779" customHeight="1" ht="18.75">
      <c r="A2779" s="1" t="s">
        <v>3617</v>
      </c>
      <c r="B2779" s="1" t="s">
        <v>3729</v>
      </c>
      <c r="C2779" s="1" t="s">
        <v>3619</v>
      </c>
      <c r="D2779" s="1" t="s">
        <v>3601</v>
      </c>
      <c r="E2779" s="1" t="s">
        <v>4478</v>
      </c>
      <c r="F2779" s="1" t="s">
        <v>11269</v>
      </c>
      <c r="G2779" s="1" t="s">
        <v>3840</v>
      </c>
      <c r="H2779" s="1" t="s">
        <v>3604</v>
      </c>
      <c r="I2779" s="1" t="s">
        <v>11270</v>
      </c>
      <c r="J2779" s="1" t="s">
        <v>3606</v>
      </c>
      <c r="K2779" s="1" t="s">
        <v>11271</v>
      </c>
      <c r="L2779" s="1"/>
      <c r="M2779" s="1"/>
    </row>
    <row x14ac:dyDescent="0.25" r="2780" customHeight="1" ht="18.75">
      <c r="A2780" s="1" t="s">
        <v>3617</v>
      </c>
      <c r="B2780" s="1" t="s">
        <v>3729</v>
      </c>
      <c r="C2780" s="1" t="s">
        <v>3619</v>
      </c>
      <c r="D2780" s="1" t="s">
        <v>3601</v>
      </c>
      <c r="E2780" s="1" t="s">
        <v>4478</v>
      </c>
      <c r="F2780" s="1" t="s">
        <v>11272</v>
      </c>
      <c r="G2780" s="1" t="s">
        <v>3840</v>
      </c>
      <c r="H2780" s="1" t="s">
        <v>3604</v>
      </c>
      <c r="I2780" s="1" t="s">
        <v>11273</v>
      </c>
      <c r="J2780" s="1" t="s">
        <v>3606</v>
      </c>
      <c r="K2780" s="1" t="s">
        <v>11274</v>
      </c>
      <c r="L2780" s="1"/>
      <c r="M2780" s="1"/>
    </row>
    <row x14ac:dyDescent="0.25" r="2781" customHeight="1" ht="18.75">
      <c r="A2781" s="1" t="s">
        <v>3617</v>
      </c>
      <c r="B2781" s="1" t="s">
        <v>3729</v>
      </c>
      <c r="C2781" s="1" t="s">
        <v>3619</v>
      </c>
      <c r="D2781" s="1" t="s">
        <v>3601</v>
      </c>
      <c r="E2781" s="1" t="s">
        <v>4478</v>
      </c>
      <c r="F2781" s="1" t="s">
        <v>11275</v>
      </c>
      <c r="G2781" s="1" t="s">
        <v>3840</v>
      </c>
      <c r="H2781" s="1" t="s">
        <v>3604</v>
      </c>
      <c r="I2781" s="1" t="s">
        <v>11276</v>
      </c>
      <c r="J2781" s="1" t="s">
        <v>3606</v>
      </c>
      <c r="K2781" s="1" t="s">
        <v>11277</v>
      </c>
      <c r="L2781" s="1"/>
      <c r="M2781" s="1"/>
    </row>
    <row x14ac:dyDescent="0.25" r="2782" customHeight="1" ht="18.75">
      <c r="A2782" s="1" t="s">
        <v>3617</v>
      </c>
      <c r="B2782" s="1" t="s">
        <v>3729</v>
      </c>
      <c r="C2782" s="1" t="s">
        <v>3619</v>
      </c>
      <c r="D2782" s="1" t="s">
        <v>3601</v>
      </c>
      <c r="E2782" s="1" t="s">
        <v>4478</v>
      </c>
      <c r="F2782" s="1" t="s">
        <v>11278</v>
      </c>
      <c r="G2782" s="1" t="s">
        <v>3840</v>
      </c>
      <c r="H2782" s="1" t="s">
        <v>3604</v>
      </c>
      <c r="I2782" s="1" t="s">
        <v>11279</v>
      </c>
      <c r="J2782" s="1" t="s">
        <v>3606</v>
      </c>
      <c r="K2782" s="1" t="s">
        <v>11280</v>
      </c>
      <c r="L2782" s="1"/>
      <c r="M2782" s="1"/>
    </row>
    <row x14ac:dyDescent="0.25" r="2783" customHeight="1" ht="18.75">
      <c r="A2783" s="1" t="s">
        <v>3617</v>
      </c>
      <c r="B2783" s="1" t="s">
        <v>3729</v>
      </c>
      <c r="C2783" s="1" t="s">
        <v>3619</v>
      </c>
      <c r="D2783" s="1" t="s">
        <v>3601</v>
      </c>
      <c r="E2783" s="1" t="s">
        <v>4478</v>
      </c>
      <c r="F2783" s="1" t="s">
        <v>11281</v>
      </c>
      <c r="G2783" s="1" t="s">
        <v>3840</v>
      </c>
      <c r="H2783" s="1" t="s">
        <v>3604</v>
      </c>
      <c r="I2783" s="1" t="s">
        <v>11282</v>
      </c>
      <c r="J2783" s="1" t="s">
        <v>3606</v>
      </c>
      <c r="K2783" s="1" t="s">
        <v>11283</v>
      </c>
      <c r="L2783" s="1"/>
      <c r="M2783" s="1"/>
    </row>
    <row x14ac:dyDescent="0.25" r="2784" customHeight="1" ht="18.75">
      <c r="A2784" s="1" t="s">
        <v>3617</v>
      </c>
      <c r="B2784" s="1" t="s">
        <v>3729</v>
      </c>
      <c r="C2784" s="1" t="s">
        <v>3619</v>
      </c>
      <c r="D2784" s="1" t="s">
        <v>3601</v>
      </c>
      <c r="E2784" s="1" t="s">
        <v>4478</v>
      </c>
      <c r="F2784" s="1" t="s">
        <v>11284</v>
      </c>
      <c r="G2784" s="1" t="s">
        <v>3840</v>
      </c>
      <c r="H2784" s="1" t="s">
        <v>3604</v>
      </c>
      <c r="I2784" s="1" t="s">
        <v>11285</v>
      </c>
      <c r="J2784" s="1" t="s">
        <v>3606</v>
      </c>
      <c r="K2784" s="1" t="s">
        <v>11286</v>
      </c>
      <c r="L2784" s="1"/>
      <c r="M2784" s="1"/>
    </row>
    <row x14ac:dyDescent="0.25" r="2785" customHeight="1" ht="18.75">
      <c r="A2785" s="1" t="s">
        <v>3617</v>
      </c>
      <c r="B2785" s="1" t="s">
        <v>3729</v>
      </c>
      <c r="C2785" s="1" t="s">
        <v>3619</v>
      </c>
      <c r="D2785" s="1" t="s">
        <v>3601</v>
      </c>
      <c r="E2785" s="1" t="s">
        <v>4478</v>
      </c>
      <c r="F2785" s="1" t="s">
        <v>11287</v>
      </c>
      <c r="G2785" s="1" t="s">
        <v>3840</v>
      </c>
      <c r="H2785" s="1" t="s">
        <v>3604</v>
      </c>
      <c r="I2785" s="1" t="s">
        <v>11288</v>
      </c>
      <c r="J2785" s="1" t="s">
        <v>3606</v>
      </c>
      <c r="K2785" s="1" t="s">
        <v>11289</v>
      </c>
      <c r="L2785" s="1"/>
      <c r="M2785" s="1"/>
    </row>
    <row x14ac:dyDescent="0.25" r="2786" customHeight="1" ht="18.75">
      <c r="A2786" s="1" t="s">
        <v>3617</v>
      </c>
      <c r="B2786" s="1" t="s">
        <v>3729</v>
      </c>
      <c r="C2786" s="1" t="s">
        <v>3619</v>
      </c>
      <c r="D2786" s="1" t="s">
        <v>3601</v>
      </c>
      <c r="E2786" s="1" t="s">
        <v>4478</v>
      </c>
      <c r="F2786" s="1" t="s">
        <v>11290</v>
      </c>
      <c r="G2786" s="1" t="s">
        <v>3840</v>
      </c>
      <c r="H2786" s="1" t="s">
        <v>3604</v>
      </c>
      <c r="I2786" s="1" t="s">
        <v>11291</v>
      </c>
      <c r="J2786" s="1" t="s">
        <v>3606</v>
      </c>
      <c r="K2786" s="1" t="s">
        <v>11292</v>
      </c>
      <c r="L2786" s="1"/>
      <c r="M2786" s="1"/>
    </row>
    <row x14ac:dyDescent="0.25" r="2787" customHeight="1" ht="18.75">
      <c r="A2787" s="1" t="s">
        <v>3617</v>
      </c>
      <c r="B2787" s="1" t="s">
        <v>3729</v>
      </c>
      <c r="C2787" s="1" t="s">
        <v>3619</v>
      </c>
      <c r="D2787" s="1" t="s">
        <v>3601</v>
      </c>
      <c r="E2787" s="1" t="s">
        <v>4478</v>
      </c>
      <c r="F2787" s="1" t="s">
        <v>11293</v>
      </c>
      <c r="G2787" s="1" t="s">
        <v>3840</v>
      </c>
      <c r="H2787" s="1" t="s">
        <v>3604</v>
      </c>
      <c r="I2787" s="1" t="s">
        <v>11294</v>
      </c>
      <c r="J2787" s="1" t="s">
        <v>3606</v>
      </c>
      <c r="K2787" s="1" t="s">
        <v>11295</v>
      </c>
      <c r="L2787" s="1"/>
      <c r="M2787" s="1"/>
    </row>
    <row x14ac:dyDescent="0.25" r="2788" customHeight="1" ht="18.75">
      <c r="A2788" s="1" t="s">
        <v>3617</v>
      </c>
      <c r="B2788" s="1" t="s">
        <v>3729</v>
      </c>
      <c r="C2788" s="1" t="s">
        <v>3619</v>
      </c>
      <c r="D2788" s="1" t="s">
        <v>3601</v>
      </c>
      <c r="E2788" s="1" t="s">
        <v>4478</v>
      </c>
      <c r="F2788" s="1" t="s">
        <v>11296</v>
      </c>
      <c r="G2788" s="1" t="s">
        <v>3840</v>
      </c>
      <c r="H2788" s="1" t="s">
        <v>3604</v>
      </c>
      <c r="I2788" s="1" t="s">
        <v>11297</v>
      </c>
      <c r="J2788" s="1" t="s">
        <v>3606</v>
      </c>
      <c r="K2788" s="1" t="s">
        <v>11298</v>
      </c>
      <c r="L2788" s="1"/>
      <c r="M2788" s="1"/>
    </row>
    <row x14ac:dyDescent="0.25" r="2789" customHeight="1" ht="18.75">
      <c r="A2789" s="1" t="s">
        <v>3617</v>
      </c>
      <c r="B2789" s="1" t="s">
        <v>3729</v>
      </c>
      <c r="C2789" s="1" t="s">
        <v>3619</v>
      </c>
      <c r="D2789" s="1" t="s">
        <v>3601</v>
      </c>
      <c r="E2789" s="1" t="s">
        <v>4478</v>
      </c>
      <c r="F2789" s="1" t="s">
        <v>11299</v>
      </c>
      <c r="G2789" s="1" t="s">
        <v>3840</v>
      </c>
      <c r="H2789" s="1" t="s">
        <v>3604</v>
      </c>
      <c r="I2789" s="1" t="s">
        <v>11300</v>
      </c>
      <c r="J2789" s="1" t="s">
        <v>3606</v>
      </c>
      <c r="K2789" s="1" t="s">
        <v>11301</v>
      </c>
      <c r="L2789" s="1"/>
      <c r="M2789" s="1"/>
    </row>
    <row x14ac:dyDescent="0.25" r="2790" customHeight="1" ht="18.75">
      <c r="A2790" s="1" t="s">
        <v>3617</v>
      </c>
      <c r="B2790" s="1" t="s">
        <v>3729</v>
      </c>
      <c r="C2790" s="1" t="s">
        <v>3619</v>
      </c>
      <c r="D2790" s="1" t="s">
        <v>3601</v>
      </c>
      <c r="E2790" s="1" t="s">
        <v>4478</v>
      </c>
      <c r="F2790" s="1" t="s">
        <v>11302</v>
      </c>
      <c r="G2790" s="1" t="s">
        <v>3840</v>
      </c>
      <c r="H2790" s="1" t="s">
        <v>3604</v>
      </c>
      <c r="I2790" s="1" t="s">
        <v>11303</v>
      </c>
      <c r="J2790" s="1" t="s">
        <v>3606</v>
      </c>
      <c r="K2790" s="1" t="s">
        <v>11304</v>
      </c>
      <c r="L2790" s="1"/>
      <c r="M2790" s="1"/>
    </row>
    <row x14ac:dyDescent="0.25" r="2791" customHeight="1" ht="18.75">
      <c r="A2791" s="1" t="s">
        <v>3617</v>
      </c>
      <c r="B2791" s="1" t="s">
        <v>3729</v>
      </c>
      <c r="C2791" s="1" t="s">
        <v>3619</v>
      </c>
      <c r="D2791" s="1" t="s">
        <v>3601</v>
      </c>
      <c r="E2791" s="1" t="s">
        <v>4478</v>
      </c>
      <c r="F2791" s="1" t="s">
        <v>11305</v>
      </c>
      <c r="G2791" s="1" t="s">
        <v>3840</v>
      </c>
      <c r="H2791" s="1" t="s">
        <v>3604</v>
      </c>
      <c r="I2791" s="1" t="s">
        <v>11306</v>
      </c>
      <c r="J2791" s="1" t="s">
        <v>3606</v>
      </c>
      <c r="K2791" s="1" t="s">
        <v>11307</v>
      </c>
      <c r="L2791" s="1"/>
      <c r="M2791" s="1"/>
    </row>
    <row x14ac:dyDescent="0.25" r="2792" customHeight="1" ht="18.75">
      <c r="A2792" s="1" t="s">
        <v>3617</v>
      </c>
      <c r="B2792" s="1" t="s">
        <v>3729</v>
      </c>
      <c r="C2792" s="1" t="s">
        <v>3619</v>
      </c>
      <c r="D2792" s="1" t="s">
        <v>3601</v>
      </c>
      <c r="E2792" s="1" t="s">
        <v>4478</v>
      </c>
      <c r="F2792" s="1" t="s">
        <v>11308</v>
      </c>
      <c r="G2792" s="1" t="s">
        <v>3840</v>
      </c>
      <c r="H2792" s="1" t="s">
        <v>3604</v>
      </c>
      <c r="I2792" s="1" t="s">
        <v>11309</v>
      </c>
      <c r="J2792" s="1" t="s">
        <v>3606</v>
      </c>
      <c r="K2792" s="1" t="s">
        <v>11310</v>
      </c>
      <c r="L2792" s="1"/>
      <c r="M2792" s="1"/>
    </row>
    <row x14ac:dyDescent="0.25" r="2793" customHeight="1" ht="18.75">
      <c r="A2793" s="1" t="s">
        <v>3617</v>
      </c>
      <c r="B2793" s="1" t="s">
        <v>3729</v>
      </c>
      <c r="C2793" s="1" t="s">
        <v>3619</v>
      </c>
      <c r="D2793" s="1" t="s">
        <v>3601</v>
      </c>
      <c r="E2793" s="1" t="s">
        <v>4478</v>
      </c>
      <c r="F2793" s="1" t="s">
        <v>11311</v>
      </c>
      <c r="G2793" s="1" t="s">
        <v>3840</v>
      </c>
      <c r="H2793" s="1" t="s">
        <v>3604</v>
      </c>
      <c r="I2793" s="1" t="s">
        <v>11312</v>
      </c>
      <c r="J2793" s="1" t="s">
        <v>3606</v>
      </c>
      <c r="K2793" s="1" t="s">
        <v>11313</v>
      </c>
      <c r="L2793" s="1"/>
      <c r="M2793" s="1"/>
    </row>
    <row x14ac:dyDescent="0.25" r="2794" customHeight="1" ht="18.75">
      <c r="A2794" s="1" t="s">
        <v>3617</v>
      </c>
      <c r="B2794" s="1" t="s">
        <v>3729</v>
      </c>
      <c r="C2794" s="1" t="s">
        <v>3619</v>
      </c>
      <c r="D2794" s="1" t="s">
        <v>3601</v>
      </c>
      <c r="E2794" s="1" t="s">
        <v>4478</v>
      </c>
      <c r="F2794" s="1" t="s">
        <v>11314</v>
      </c>
      <c r="G2794" s="1" t="s">
        <v>3840</v>
      </c>
      <c r="H2794" s="1" t="s">
        <v>3604</v>
      </c>
      <c r="I2794" s="1" t="s">
        <v>11315</v>
      </c>
      <c r="J2794" s="1" t="s">
        <v>3606</v>
      </c>
      <c r="K2794" s="1" t="s">
        <v>11316</v>
      </c>
      <c r="L2794" s="1"/>
      <c r="M2794" s="1"/>
    </row>
    <row x14ac:dyDescent="0.25" r="2795" customHeight="1" ht="18.75">
      <c r="A2795" s="1" t="s">
        <v>3617</v>
      </c>
      <c r="B2795" s="1" t="s">
        <v>3729</v>
      </c>
      <c r="C2795" s="1" t="s">
        <v>3619</v>
      </c>
      <c r="D2795" s="1" t="s">
        <v>3601</v>
      </c>
      <c r="E2795" s="1" t="s">
        <v>4478</v>
      </c>
      <c r="F2795" s="1" t="s">
        <v>11317</v>
      </c>
      <c r="G2795" s="1" t="s">
        <v>3840</v>
      </c>
      <c r="H2795" s="1" t="s">
        <v>3604</v>
      </c>
      <c r="I2795" s="1" t="s">
        <v>11318</v>
      </c>
      <c r="J2795" s="1" t="s">
        <v>3606</v>
      </c>
      <c r="K2795" s="1" t="s">
        <v>11319</v>
      </c>
      <c r="L2795" s="1"/>
      <c r="M2795" s="1"/>
    </row>
    <row x14ac:dyDescent="0.25" r="2796" customHeight="1" ht="18.75">
      <c r="A2796" s="1" t="s">
        <v>3617</v>
      </c>
      <c r="B2796" s="1" t="s">
        <v>3729</v>
      </c>
      <c r="C2796" s="1" t="s">
        <v>3619</v>
      </c>
      <c r="D2796" s="1" t="s">
        <v>3601</v>
      </c>
      <c r="E2796" s="1" t="s">
        <v>4478</v>
      </c>
      <c r="F2796" s="1" t="s">
        <v>11320</v>
      </c>
      <c r="G2796" s="1" t="s">
        <v>3840</v>
      </c>
      <c r="H2796" s="1" t="s">
        <v>3604</v>
      </c>
      <c r="I2796" s="1" t="s">
        <v>11321</v>
      </c>
      <c r="J2796" s="1" t="s">
        <v>3606</v>
      </c>
      <c r="K2796" s="1" t="s">
        <v>11322</v>
      </c>
      <c r="L2796" s="1"/>
      <c r="M2796" s="1"/>
    </row>
    <row x14ac:dyDescent="0.25" r="2797" customHeight="1" ht="18.75">
      <c r="A2797" s="1" t="s">
        <v>3617</v>
      </c>
      <c r="B2797" s="1" t="s">
        <v>3729</v>
      </c>
      <c r="C2797" s="1" t="s">
        <v>3619</v>
      </c>
      <c r="D2797" s="1" t="s">
        <v>3601</v>
      </c>
      <c r="E2797" s="1" t="s">
        <v>4478</v>
      </c>
      <c r="F2797" s="1" t="s">
        <v>11323</v>
      </c>
      <c r="G2797" s="1" t="s">
        <v>3840</v>
      </c>
      <c r="H2797" s="1" t="s">
        <v>3604</v>
      </c>
      <c r="I2797" s="1" t="s">
        <v>11324</v>
      </c>
      <c r="J2797" s="1" t="s">
        <v>3606</v>
      </c>
      <c r="K2797" s="1" t="s">
        <v>11325</v>
      </c>
      <c r="L2797" s="1"/>
      <c r="M2797" s="1"/>
    </row>
    <row x14ac:dyDescent="0.25" r="2798" customHeight="1" ht="18.75">
      <c r="A2798" s="1" t="s">
        <v>3617</v>
      </c>
      <c r="B2798" s="1" t="s">
        <v>3729</v>
      </c>
      <c r="C2798" s="1" t="s">
        <v>3619</v>
      </c>
      <c r="D2798" s="1" t="s">
        <v>3601</v>
      </c>
      <c r="E2798" s="1" t="s">
        <v>4478</v>
      </c>
      <c r="F2798" s="1" t="s">
        <v>11326</v>
      </c>
      <c r="G2798" s="1" t="s">
        <v>3840</v>
      </c>
      <c r="H2798" s="1" t="s">
        <v>3604</v>
      </c>
      <c r="I2798" s="1" t="s">
        <v>11327</v>
      </c>
      <c r="J2798" s="1" t="s">
        <v>3606</v>
      </c>
      <c r="K2798" s="1" t="s">
        <v>11328</v>
      </c>
      <c r="L2798" s="1"/>
      <c r="M2798" s="1"/>
    </row>
    <row x14ac:dyDescent="0.25" r="2799" customHeight="1" ht="18.75">
      <c r="A2799" s="1" t="s">
        <v>3617</v>
      </c>
      <c r="B2799" s="1" t="s">
        <v>3729</v>
      </c>
      <c r="C2799" s="1" t="s">
        <v>3619</v>
      </c>
      <c r="D2799" s="1" t="s">
        <v>3601</v>
      </c>
      <c r="E2799" s="1" t="s">
        <v>4478</v>
      </c>
      <c r="F2799" s="1" t="s">
        <v>11329</v>
      </c>
      <c r="G2799" s="1" t="s">
        <v>3840</v>
      </c>
      <c r="H2799" s="1" t="s">
        <v>3604</v>
      </c>
      <c r="I2799" s="1" t="s">
        <v>11330</v>
      </c>
      <c r="J2799" s="1" t="s">
        <v>3606</v>
      </c>
      <c r="K2799" s="1" t="s">
        <v>11331</v>
      </c>
      <c r="L2799" s="1"/>
      <c r="M2799" s="1"/>
    </row>
    <row x14ac:dyDescent="0.25" r="2800" customHeight="1" ht="18.75">
      <c r="A2800" s="1" t="s">
        <v>3617</v>
      </c>
      <c r="B2800" s="1" t="s">
        <v>3729</v>
      </c>
      <c r="C2800" s="1" t="s">
        <v>3619</v>
      </c>
      <c r="D2800" s="1" t="s">
        <v>3601</v>
      </c>
      <c r="E2800" s="1" t="s">
        <v>4478</v>
      </c>
      <c r="F2800" s="1" t="s">
        <v>11332</v>
      </c>
      <c r="G2800" s="1" t="s">
        <v>3840</v>
      </c>
      <c r="H2800" s="1" t="s">
        <v>3604</v>
      </c>
      <c r="I2800" s="1" t="s">
        <v>11333</v>
      </c>
      <c r="J2800" s="1" t="s">
        <v>3606</v>
      </c>
      <c r="K2800" s="1" t="s">
        <v>11334</v>
      </c>
      <c r="L2800" s="1"/>
      <c r="M2800" s="1"/>
    </row>
    <row x14ac:dyDescent="0.25" r="2801" customHeight="1" ht="18.75">
      <c r="A2801" s="1" t="s">
        <v>3617</v>
      </c>
      <c r="B2801" s="1" t="s">
        <v>3729</v>
      </c>
      <c r="C2801" s="1" t="s">
        <v>3619</v>
      </c>
      <c r="D2801" s="1" t="s">
        <v>3601</v>
      </c>
      <c r="E2801" s="1" t="s">
        <v>4478</v>
      </c>
      <c r="F2801" s="1" t="s">
        <v>11335</v>
      </c>
      <c r="G2801" s="1" t="s">
        <v>3840</v>
      </c>
      <c r="H2801" s="1" t="s">
        <v>3604</v>
      </c>
      <c r="I2801" s="1" t="s">
        <v>11336</v>
      </c>
      <c r="J2801" s="1" t="s">
        <v>3606</v>
      </c>
      <c r="K2801" s="1" t="s">
        <v>11337</v>
      </c>
      <c r="L2801" s="1"/>
      <c r="M2801" s="1"/>
    </row>
    <row x14ac:dyDescent="0.25" r="2802" customHeight="1" ht="18.75">
      <c r="A2802" s="1" t="s">
        <v>3617</v>
      </c>
      <c r="B2802" s="1" t="s">
        <v>3729</v>
      </c>
      <c r="C2802" s="1" t="s">
        <v>3619</v>
      </c>
      <c r="D2802" s="1" t="s">
        <v>3601</v>
      </c>
      <c r="E2802" s="1" t="s">
        <v>4478</v>
      </c>
      <c r="F2802" s="1" t="s">
        <v>11338</v>
      </c>
      <c r="G2802" s="1" t="s">
        <v>3840</v>
      </c>
      <c r="H2802" s="1" t="s">
        <v>3604</v>
      </c>
      <c r="I2802" s="1" t="s">
        <v>11339</v>
      </c>
      <c r="J2802" s="1" t="s">
        <v>3606</v>
      </c>
      <c r="K2802" s="1" t="s">
        <v>11340</v>
      </c>
      <c r="L2802" s="1"/>
      <c r="M2802" s="1"/>
    </row>
    <row x14ac:dyDescent="0.25" r="2803" customHeight="1" ht="18.75">
      <c r="A2803" s="1" t="s">
        <v>3617</v>
      </c>
      <c r="B2803" s="1" t="s">
        <v>3729</v>
      </c>
      <c r="C2803" s="1" t="s">
        <v>3619</v>
      </c>
      <c r="D2803" s="1" t="s">
        <v>3601</v>
      </c>
      <c r="E2803" s="1" t="s">
        <v>4478</v>
      </c>
      <c r="F2803" s="1" t="s">
        <v>11341</v>
      </c>
      <c r="G2803" s="1" t="s">
        <v>3840</v>
      </c>
      <c r="H2803" s="1" t="s">
        <v>3604</v>
      </c>
      <c r="I2803" s="1" t="s">
        <v>11342</v>
      </c>
      <c r="J2803" s="1" t="s">
        <v>3606</v>
      </c>
      <c r="K2803" s="1" t="s">
        <v>11343</v>
      </c>
      <c r="L2803" s="1"/>
      <c r="M2803" s="1"/>
    </row>
    <row x14ac:dyDescent="0.25" r="2804" customHeight="1" ht="18.75">
      <c r="A2804" s="1" t="s">
        <v>3617</v>
      </c>
      <c r="B2804" s="1" t="s">
        <v>3729</v>
      </c>
      <c r="C2804" s="1" t="s">
        <v>3619</v>
      </c>
      <c r="D2804" s="1" t="s">
        <v>3601</v>
      </c>
      <c r="E2804" s="1" t="s">
        <v>4478</v>
      </c>
      <c r="F2804" s="1" t="s">
        <v>11344</v>
      </c>
      <c r="G2804" s="1" t="s">
        <v>3840</v>
      </c>
      <c r="H2804" s="1" t="s">
        <v>3604</v>
      </c>
      <c r="I2804" s="1" t="s">
        <v>11345</v>
      </c>
      <c r="J2804" s="1" t="s">
        <v>3606</v>
      </c>
      <c r="K2804" s="1" t="s">
        <v>10824</v>
      </c>
      <c r="L2804" s="1"/>
      <c r="M2804" s="1"/>
    </row>
    <row x14ac:dyDescent="0.25" r="2805" customHeight="1" ht="18.75">
      <c r="A2805" s="1" t="s">
        <v>3617</v>
      </c>
      <c r="B2805" s="1" t="s">
        <v>3729</v>
      </c>
      <c r="C2805" s="1" t="s">
        <v>3619</v>
      </c>
      <c r="D2805" s="1" t="s">
        <v>3601</v>
      </c>
      <c r="E2805" s="1" t="s">
        <v>4478</v>
      </c>
      <c r="F2805" s="1" t="s">
        <v>11346</v>
      </c>
      <c r="G2805" s="1" t="s">
        <v>3840</v>
      </c>
      <c r="H2805" s="1" t="s">
        <v>3604</v>
      </c>
      <c r="I2805" s="1" t="s">
        <v>11347</v>
      </c>
      <c r="J2805" s="1" t="s">
        <v>3606</v>
      </c>
      <c r="K2805" s="1" t="s">
        <v>10827</v>
      </c>
      <c r="L2805" s="1"/>
      <c r="M2805" s="1"/>
    </row>
    <row x14ac:dyDescent="0.25" r="2806" customHeight="1" ht="18.75">
      <c r="A2806" s="1" t="s">
        <v>3617</v>
      </c>
      <c r="B2806" s="1" t="s">
        <v>3729</v>
      </c>
      <c r="C2806" s="1" t="s">
        <v>3619</v>
      </c>
      <c r="D2806" s="1" t="s">
        <v>3601</v>
      </c>
      <c r="E2806" s="1" t="s">
        <v>4478</v>
      </c>
      <c r="F2806" s="1" t="s">
        <v>11348</v>
      </c>
      <c r="G2806" s="1" t="s">
        <v>3840</v>
      </c>
      <c r="H2806" s="1" t="s">
        <v>3604</v>
      </c>
      <c r="I2806" s="1" t="s">
        <v>11349</v>
      </c>
      <c r="J2806" s="1" t="s">
        <v>3606</v>
      </c>
      <c r="K2806" s="1" t="s">
        <v>11350</v>
      </c>
      <c r="L2806" s="1"/>
      <c r="M2806" s="1"/>
    </row>
    <row x14ac:dyDescent="0.25" r="2807" customHeight="1" ht="18.75">
      <c r="A2807" s="1" t="s">
        <v>3617</v>
      </c>
      <c r="B2807" s="1" t="s">
        <v>3729</v>
      </c>
      <c r="C2807" s="1" t="s">
        <v>3619</v>
      </c>
      <c r="D2807" s="1" t="s">
        <v>3601</v>
      </c>
      <c r="E2807" s="1" t="s">
        <v>4478</v>
      </c>
      <c r="F2807" s="1" t="s">
        <v>11351</v>
      </c>
      <c r="G2807" s="1" t="s">
        <v>3840</v>
      </c>
      <c r="H2807" s="1" t="s">
        <v>3604</v>
      </c>
      <c r="I2807" s="1" t="s">
        <v>11352</v>
      </c>
      <c r="J2807" s="1" t="s">
        <v>3606</v>
      </c>
      <c r="K2807" s="1" t="s">
        <v>11353</v>
      </c>
      <c r="L2807" s="1"/>
      <c r="M2807" s="1"/>
    </row>
    <row x14ac:dyDescent="0.25" r="2808" customHeight="1" ht="18.75">
      <c r="A2808" s="1" t="s">
        <v>3617</v>
      </c>
      <c r="B2808" s="1" t="s">
        <v>3729</v>
      </c>
      <c r="C2808" s="1" t="s">
        <v>3619</v>
      </c>
      <c r="D2808" s="1" t="s">
        <v>3601</v>
      </c>
      <c r="E2808" s="1" t="s">
        <v>4478</v>
      </c>
      <c r="F2808" s="1" t="s">
        <v>11354</v>
      </c>
      <c r="G2808" s="1" t="s">
        <v>3840</v>
      </c>
      <c r="H2808" s="1" t="s">
        <v>3604</v>
      </c>
      <c r="I2808" s="1" t="s">
        <v>11355</v>
      </c>
      <c r="J2808" s="1" t="s">
        <v>3606</v>
      </c>
      <c r="K2808" s="1" t="s">
        <v>11356</v>
      </c>
      <c r="L2808" s="1"/>
      <c r="M2808" s="1"/>
    </row>
    <row x14ac:dyDescent="0.25" r="2809" customHeight="1" ht="18.75">
      <c r="A2809" s="1" t="s">
        <v>3617</v>
      </c>
      <c r="B2809" s="1" t="s">
        <v>3729</v>
      </c>
      <c r="C2809" s="1" t="s">
        <v>3619</v>
      </c>
      <c r="D2809" s="1" t="s">
        <v>3601</v>
      </c>
      <c r="E2809" s="1" t="s">
        <v>4478</v>
      </c>
      <c r="F2809" s="1" t="s">
        <v>11357</v>
      </c>
      <c r="G2809" s="1" t="s">
        <v>3840</v>
      </c>
      <c r="H2809" s="1" t="s">
        <v>3604</v>
      </c>
      <c r="I2809" s="1" t="s">
        <v>11358</v>
      </c>
      <c r="J2809" s="1" t="s">
        <v>3606</v>
      </c>
      <c r="K2809" s="1" t="s">
        <v>11359</v>
      </c>
      <c r="L2809" s="1"/>
      <c r="M2809" s="1"/>
    </row>
    <row x14ac:dyDescent="0.25" r="2810" customHeight="1" ht="18.75">
      <c r="A2810" s="1" t="s">
        <v>3617</v>
      </c>
      <c r="B2810" s="1" t="s">
        <v>3729</v>
      </c>
      <c r="C2810" s="1" t="s">
        <v>3619</v>
      </c>
      <c r="D2810" s="1" t="s">
        <v>3601</v>
      </c>
      <c r="E2810" s="1" t="s">
        <v>4478</v>
      </c>
      <c r="F2810" s="1" t="s">
        <v>11360</v>
      </c>
      <c r="G2810" s="1" t="s">
        <v>3840</v>
      </c>
      <c r="H2810" s="1" t="s">
        <v>3604</v>
      </c>
      <c r="I2810" s="1" t="s">
        <v>11361</v>
      </c>
      <c r="J2810" s="1" t="s">
        <v>3606</v>
      </c>
      <c r="K2810" s="1" t="s">
        <v>11362</v>
      </c>
      <c r="L2810" s="1"/>
      <c r="M2810" s="1"/>
    </row>
    <row x14ac:dyDescent="0.25" r="2811" customHeight="1" ht="18.75">
      <c r="A2811" s="1" t="s">
        <v>3617</v>
      </c>
      <c r="B2811" s="1" t="s">
        <v>3729</v>
      </c>
      <c r="C2811" s="1" t="s">
        <v>3619</v>
      </c>
      <c r="D2811" s="1" t="s">
        <v>3601</v>
      </c>
      <c r="E2811" s="1" t="s">
        <v>4478</v>
      </c>
      <c r="F2811" s="1" t="s">
        <v>11363</v>
      </c>
      <c r="G2811" s="1" t="s">
        <v>3840</v>
      </c>
      <c r="H2811" s="1" t="s">
        <v>3604</v>
      </c>
      <c r="I2811" s="1" t="s">
        <v>11364</v>
      </c>
      <c r="J2811" s="1" t="s">
        <v>3606</v>
      </c>
      <c r="K2811" s="1" t="s">
        <v>11365</v>
      </c>
      <c r="L2811" s="1"/>
      <c r="M2811" s="1"/>
    </row>
    <row x14ac:dyDescent="0.25" r="2812" customHeight="1" ht="18.75">
      <c r="A2812" s="1" t="s">
        <v>3617</v>
      </c>
      <c r="B2812" s="1" t="s">
        <v>3729</v>
      </c>
      <c r="C2812" s="1" t="s">
        <v>3619</v>
      </c>
      <c r="D2812" s="1" t="s">
        <v>3601</v>
      </c>
      <c r="E2812" s="1" t="s">
        <v>4478</v>
      </c>
      <c r="F2812" s="1" t="s">
        <v>11366</v>
      </c>
      <c r="G2812" s="1" t="s">
        <v>3840</v>
      </c>
      <c r="H2812" s="1" t="s">
        <v>3604</v>
      </c>
      <c r="I2812" s="1" t="s">
        <v>11367</v>
      </c>
      <c r="J2812" s="1" t="s">
        <v>3606</v>
      </c>
      <c r="K2812" s="1" t="s">
        <v>11368</v>
      </c>
      <c r="L2812" s="1"/>
      <c r="M2812" s="1"/>
    </row>
    <row x14ac:dyDescent="0.25" r="2813" customHeight="1" ht="18.75">
      <c r="A2813" s="1" t="s">
        <v>3617</v>
      </c>
      <c r="B2813" s="1" t="s">
        <v>3729</v>
      </c>
      <c r="C2813" s="1" t="s">
        <v>3619</v>
      </c>
      <c r="D2813" s="1" t="s">
        <v>3601</v>
      </c>
      <c r="E2813" s="1" t="s">
        <v>4478</v>
      </c>
      <c r="F2813" s="1" t="s">
        <v>11369</v>
      </c>
      <c r="G2813" s="1" t="s">
        <v>3840</v>
      </c>
      <c r="H2813" s="1" t="s">
        <v>3604</v>
      </c>
      <c r="I2813" s="1" t="s">
        <v>11370</v>
      </c>
      <c r="J2813" s="1" t="s">
        <v>3606</v>
      </c>
      <c r="K2813" s="1" t="s">
        <v>11371</v>
      </c>
      <c r="L2813" s="1"/>
      <c r="M2813" s="1"/>
    </row>
    <row x14ac:dyDescent="0.25" r="2814" customHeight="1" ht="18.75">
      <c r="A2814" s="1" t="s">
        <v>3617</v>
      </c>
      <c r="B2814" s="1" t="s">
        <v>3729</v>
      </c>
      <c r="C2814" s="1" t="s">
        <v>3619</v>
      </c>
      <c r="D2814" s="1" t="s">
        <v>3601</v>
      </c>
      <c r="E2814" s="1" t="s">
        <v>4478</v>
      </c>
      <c r="F2814" s="1" t="s">
        <v>11372</v>
      </c>
      <c r="G2814" s="1" t="s">
        <v>3840</v>
      </c>
      <c r="H2814" s="1" t="s">
        <v>3604</v>
      </c>
      <c r="I2814" s="1" t="s">
        <v>11373</v>
      </c>
      <c r="J2814" s="1" t="s">
        <v>3606</v>
      </c>
      <c r="K2814" s="1" t="s">
        <v>11374</v>
      </c>
      <c r="L2814" s="1"/>
      <c r="M2814" s="1"/>
    </row>
    <row x14ac:dyDescent="0.25" r="2815" customHeight="1" ht="18.75">
      <c r="A2815" s="1" t="s">
        <v>3617</v>
      </c>
      <c r="B2815" s="1" t="s">
        <v>3729</v>
      </c>
      <c r="C2815" s="1" t="s">
        <v>3619</v>
      </c>
      <c r="D2815" s="1" t="s">
        <v>3601</v>
      </c>
      <c r="E2815" s="1" t="s">
        <v>4478</v>
      </c>
      <c r="F2815" s="1" t="s">
        <v>11375</v>
      </c>
      <c r="G2815" s="1" t="s">
        <v>3840</v>
      </c>
      <c r="H2815" s="1" t="s">
        <v>3604</v>
      </c>
      <c r="I2815" s="1" t="s">
        <v>11376</v>
      </c>
      <c r="J2815" s="1" t="s">
        <v>3606</v>
      </c>
      <c r="K2815" s="1" t="s">
        <v>11377</v>
      </c>
      <c r="L2815" s="1"/>
      <c r="M2815" s="1"/>
    </row>
    <row x14ac:dyDescent="0.25" r="2816" customHeight="1" ht="18.75">
      <c r="A2816" s="1" t="s">
        <v>3617</v>
      </c>
      <c r="B2816" s="1" t="s">
        <v>3729</v>
      </c>
      <c r="C2816" s="1" t="s">
        <v>3619</v>
      </c>
      <c r="D2816" s="1" t="s">
        <v>3601</v>
      </c>
      <c r="E2816" s="1" t="s">
        <v>4478</v>
      </c>
      <c r="F2816" s="1" t="s">
        <v>11378</v>
      </c>
      <c r="G2816" s="1" t="s">
        <v>3840</v>
      </c>
      <c r="H2816" s="1" t="s">
        <v>3604</v>
      </c>
      <c r="I2816" s="1" t="s">
        <v>11379</v>
      </c>
      <c r="J2816" s="1" t="s">
        <v>3606</v>
      </c>
      <c r="K2816" s="1" t="s">
        <v>11380</v>
      </c>
      <c r="L2816" s="1"/>
      <c r="M2816" s="1"/>
    </row>
    <row x14ac:dyDescent="0.25" r="2817" customHeight="1" ht="18.75">
      <c r="A2817" s="1" t="s">
        <v>3617</v>
      </c>
      <c r="B2817" s="1" t="s">
        <v>3729</v>
      </c>
      <c r="C2817" s="1" t="s">
        <v>3619</v>
      </c>
      <c r="D2817" s="1" t="s">
        <v>3601</v>
      </c>
      <c r="E2817" s="1" t="s">
        <v>4478</v>
      </c>
      <c r="F2817" s="1" t="s">
        <v>11381</v>
      </c>
      <c r="G2817" s="1" t="s">
        <v>3840</v>
      </c>
      <c r="H2817" s="1" t="s">
        <v>3604</v>
      </c>
      <c r="I2817" s="1" t="s">
        <v>11382</v>
      </c>
      <c r="J2817" s="1" t="s">
        <v>3606</v>
      </c>
      <c r="K2817" s="1" t="s">
        <v>11383</v>
      </c>
      <c r="L2817" s="1"/>
      <c r="M2817" s="1"/>
    </row>
    <row x14ac:dyDescent="0.25" r="2818" customHeight="1" ht="18.75">
      <c r="A2818" s="1" t="s">
        <v>3617</v>
      </c>
      <c r="B2818" s="1" t="s">
        <v>3729</v>
      </c>
      <c r="C2818" s="1" t="s">
        <v>3619</v>
      </c>
      <c r="D2818" s="1" t="s">
        <v>3601</v>
      </c>
      <c r="E2818" s="1" t="s">
        <v>4478</v>
      </c>
      <c r="F2818" s="1" t="s">
        <v>11384</v>
      </c>
      <c r="G2818" s="1" t="s">
        <v>3840</v>
      </c>
      <c r="H2818" s="1" t="s">
        <v>3604</v>
      </c>
      <c r="I2818" s="1" t="s">
        <v>11385</v>
      </c>
      <c r="J2818" s="1" t="s">
        <v>3606</v>
      </c>
      <c r="K2818" s="1" t="s">
        <v>11386</v>
      </c>
      <c r="L2818" s="1"/>
      <c r="M2818" s="1"/>
    </row>
    <row x14ac:dyDescent="0.25" r="2819" customHeight="1" ht="18.75">
      <c r="A2819" s="1" t="s">
        <v>3617</v>
      </c>
      <c r="B2819" s="1" t="s">
        <v>3729</v>
      </c>
      <c r="C2819" s="1" t="s">
        <v>3619</v>
      </c>
      <c r="D2819" s="1" t="s">
        <v>3601</v>
      </c>
      <c r="E2819" s="1" t="s">
        <v>4478</v>
      </c>
      <c r="F2819" s="1" t="s">
        <v>11387</v>
      </c>
      <c r="G2819" s="1" t="s">
        <v>3840</v>
      </c>
      <c r="H2819" s="1" t="s">
        <v>3604</v>
      </c>
      <c r="I2819" s="1" t="s">
        <v>11388</v>
      </c>
      <c r="J2819" s="1" t="s">
        <v>3606</v>
      </c>
      <c r="K2819" s="1" t="s">
        <v>11389</v>
      </c>
      <c r="L2819" s="1"/>
      <c r="M2819" s="1"/>
    </row>
    <row x14ac:dyDescent="0.25" r="2820" customHeight="1" ht="18.75">
      <c r="A2820" s="1" t="s">
        <v>3617</v>
      </c>
      <c r="B2820" s="1" t="s">
        <v>3729</v>
      </c>
      <c r="C2820" s="1" t="s">
        <v>3619</v>
      </c>
      <c r="D2820" s="1" t="s">
        <v>3601</v>
      </c>
      <c r="E2820" s="1" t="s">
        <v>4478</v>
      </c>
      <c r="F2820" s="1" t="s">
        <v>11390</v>
      </c>
      <c r="G2820" s="1" t="s">
        <v>3840</v>
      </c>
      <c r="H2820" s="1" t="s">
        <v>3604</v>
      </c>
      <c r="I2820" s="1" t="s">
        <v>11391</v>
      </c>
      <c r="J2820" s="1" t="s">
        <v>3606</v>
      </c>
      <c r="K2820" s="1" t="s">
        <v>11392</v>
      </c>
      <c r="L2820" s="1"/>
      <c r="M2820" s="1"/>
    </row>
    <row x14ac:dyDescent="0.25" r="2821" customHeight="1" ht="18.75">
      <c r="A2821" s="1" t="s">
        <v>3617</v>
      </c>
      <c r="B2821" s="1" t="s">
        <v>3729</v>
      </c>
      <c r="C2821" s="1" t="s">
        <v>3619</v>
      </c>
      <c r="D2821" s="1" t="s">
        <v>3601</v>
      </c>
      <c r="E2821" s="1" t="s">
        <v>4478</v>
      </c>
      <c r="F2821" s="1" t="s">
        <v>11393</v>
      </c>
      <c r="G2821" s="1" t="s">
        <v>3840</v>
      </c>
      <c r="H2821" s="1" t="s">
        <v>3604</v>
      </c>
      <c r="I2821" s="1" t="s">
        <v>11394</v>
      </c>
      <c r="J2821" s="1" t="s">
        <v>3606</v>
      </c>
      <c r="K2821" s="1" t="s">
        <v>11395</v>
      </c>
      <c r="L2821" s="1"/>
      <c r="M2821" s="1"/>
    </row>
    <row x14ac:dyDescent="0.25" r="2822" customHeight="1" ht="18.75">
      <c r="A2822" s="1" t="s">
        <v>3617</v>
      </c>
      <c r="B2822" s="1" t="s">
        <v>3729</v>
      </c>
      <c r="C2822" s="1" t="s">
        <v>3619</v>
      </c>
      <c r="D2822" s="1" t="s">
        <v>3601</v>
      </c>
      <c r="E2822" s="1" t="s">
        <v>4478</v>
      </c>
      <c r="F2822" s="1" t="s">
        <v>11396</v>
      </c>
      <c r="G2822" s="1" t="s">
        <v>3840</v>
      </c>
      <c r="H2822" s="1" t="s">
        <v>3604</v>
      </c>
      <c r="I2822" s="1" t="s">
        <v>11397</v>
      </c>
      <c r="J2822" s="1" t="s">
        <v>3606</v>
      </c>
      <c r="K2822" s="1" t="s">
        <v>11398</v>
      </c>
      <c r="L2822" s="1"/>
      <c r="M2822" s="1"/>
    </row>
    <row x14ac:dyDescent="0.25" r="2823" customHeight="1" ht="18.75">
      <c r="A2823" s="1" t="s">
        <v>3617</v>
      </c>
      <c r="B2823" s="1" t="s">
        <v>3729</v>
      </c>
      <c r="C2823" s="1" t="s">
        <v>3619</v>
      </c>
      <c r="D2823" s="1" t="s">
        <v>3601</v>
      </c>
      <c r="E2823" s="1" t="s">
        <v>4478</v>
      </c>
      <c r="F2823" s="1" t="s">
        <v>11399</v>
      </c>
      <c r="G2823" s="1" t="s">
        <v>3840</v>
      </c>
      <c r="H2823" s="1" t="s">
        <v>3604</v>
      </c>
      <c r="I2823" s="1" t="s">
        <v>11400</v>
      </c>
      <c r="J2823" s="1" t="s">
        <v>3606</v>
      </c>
      <c r="K2823" s="1" t="s">
        <v>11401</v>
      </c>
      <c r="L2823" s="1"/>
      <c r="M2823" s="1"/>
    </row>
    <row x14ac:dyDescent="0.25" r="2824" customHeight="1" ht="18.75">
      <c r="A2824" s="1" t="s">
        <v>3617</v>
      </c>
      <c r="B2824" s="1" t="s">
        <v>3729</v>
      </c>
      <c r="C2824" s="1" t="s">
        <v>3619</v>
      </c>
      <c r="D2824" s="1" t="s">
        <v>3601</v>
      </c>
      <c r="E2824" s="1" t="s">
        <v>4478</v>
      </c>
      <c r="F2824" s="1" t="s">
        <v>11402</v>
      </c>
      <c r="G2824" s="1" t="s">
        <v>3840</v>
      </c>
      <c r="H2824" s="1" t="s">
        <v>3604</v>
      </c>
      <c r="I2824" s="1" t="s">
        <v>11403</v>
      </c>
      <c r="J2824" s="1" t="s">
        <v>3606</v>
      </c>
      <c r="K2824" s="1" t="s">
        <v>11404</v>
      </c>
      <c r="L2824" s="1"/>
      <c r="M2824" s="1"/>
    </row>
    <row x14ac:dyDescent="0.25" r="2825" customHeight="1" ht="18.75">
      <c r="A2825" s="1" t="s">
        <v>3617</v>
      </c>
      <c r="B2825" s="1" t="s">
        <v>3729</v>
      </c>
      <c r="C2825" s="1" t="s">
        <v>3619</v>
      </c>
      <c r="D2825" s="1" t="s">
        <v>3601</v>
      </c>
      <c r="E2825" s="1" t="s">
        <v>4478</v>
      </c>
      <c r="F2825" s="1" t="s">
        <v>11405</v>
      </c>
      <c r="G2825" s="1" t="s">
        <v>3840</v>
      </c>
      <c r="H2825" s="1" t="s">
        <v>3604</v>
      </c>
      <c r="I2825" s="1" t="s">
        <v>11406</v>
      </c>
      <c r="J2825" s="1" t="s">
        <v>3606</v>
      </c>
      <c r="K2825" s="1" t="s">
        <v>11407</v>
      </c>
      <c r="L2825" s="1"/>
      <c r="M2825" s="1"/>
    </row>
    <row x14ac:dyDescent="0.25" r="2826" customHeight="1" ht="18.75">
      <c r="A2826" s="1" t="s">
        <v>3617</v>
      </c>
      <c r="B2826" s="1" t="s">
        <v>3729</v>
      </c>
      <c r="C2826" s="1" t="s">
        <v>3619</v>
      </c>
      <c r="D2826" s="1" t="s">
        <v>3601</v>
      </c>
      <c r="E2826" s="1" t="s">
        <v>4478</v>
      </c>
      <c r="F2826" s="1" t="s">
        <v>11408</v>
      </c>
      <c r="G2826" s="1" t="s">
        <v>3840</v>
      </c>
      <c r="H2826" s="1" t="s">
        <v>3604</v>
      </c>
      <c r="I2826" s="1" t="s">
        <v>11409</v>
      </c>
      <c r="J2826" s="1" t="s">
        <v>3606</v>
      </c>
      <c r="K2826" s="1" t="s">
        <v>11410</v>
      </c>
      <c r="L2826" s="1"/>
      <c r="M2826" s="1"/>
    </row>
    <row x14ac:dyDescent="0.25" r="2827" customHeight="1" ht="18.75">
      <c r="A2827" s="1" t="s">
        <v>3617</v>
      </c>
      <c r="B2827" s="1" t="s">
        <v>3729</v>
      </c>
      <c r="C2827" s="1" t="s">
        <v>3619</v>
      </c>
      <c r="D2827" s="1" t="s">
        <v>3601</v>
      </c>
      <c r="E2827" s="1" t="s">
        <v>4478</v>
      </c>
      <c r="F2827" s="1" t="s">
        <v>11411</v>
      </c>
      <c r="G2827" s="1" t="s">
        <v>3840</v>
      </c>
      <c r="H2827" s="1" t="s">
        <v>3604</v>
      </c>
      <c r="I2827" s="1" t="s">
        <v>11412</v>
      </c>
      <c r="J2827" s="1" t="s">
        <v>3606</v>
      </c>
      <c r="K2827" s="1" t="s">
        <v>11413</v>
      </c>
      <c r="L2827" s="1"/>
      <c r="M2827" s="1"/>
    </row>
    <row x14ac:dyDescent="0.25" r="2828" customHeight="1" ht="18.75">
      <c r="A2828" s="1" t="s">
        <v>3617</v>
      </c>
      <c r="B2828" s="1" t="s">
        <v>3729</v>
      </c>
      <c r="C2828" s="1" t="s">
        <v>3619</v>
      </c>
      <c r="D2828" s="1" t="s">
        <v>3601</v>
      </c>
      <c r="E2828" s="1" t="s">
        <v>4478</v>
      </c>
      <c r="F2828" s="1" t="s">
        <v>11414</v>
      </c>
      <c r="G2828" s="1" t="s">
        <v>3840</v>
      </c>
      <c r="H2828" s="1" t="s">
        <v>3604</v>
      </c>
      <c r="I2828" s="1" t="s">
        <v>11415</v>
      </c>
      <c r="J2828" s="1" t="s">
        <v>3606</v>
      </c>
      <c r="K2828" s="1" t="s">
        <v>11416</v>
      </c>
      <c r="L2828" s="1"/>
      <c r="M2828" s="1"/>
    </row>
    <row x14ac:dyDescent="0.25" r="2829" customHeight="1" ht="18.75">
      <c r="A2829" s="1" t="s">
        <v>3617</v>
      </c>
      <c r="B2829" s="1" t="s">
        <v>3729</v>
      </c>
      <c r="C2829" s="1" t="s">
        <v>3619</v>
      </c>
      <c r="D2829" s="1" t="s">
        <v>3601</v>
      </c>
      <c r="E2829" s="1" t="s">
        <v>4478</v>
      </c>
      <c r="F2829" s="1" t="s">
        <v>11417</v>
      </c>
      <c r="G2829" s="1" t="s">
        <v>3840</v>
      </c>
      <c r="H2829" s="1" t="s">
        <v>3604</v>
      </c>
      <c r="I2829" s="1" t="s">
        <v>11418</v>
      </c>
      <c r="J2829" s="1" t="s">
        <v>3606</v>
      </c>
      <c r="K2829" s="1" t="s">
        <v>11419</v>
      </c>
      <c r="L2829" s="1"/>
      <c r="M2829" s="1"/>
    </row>
    <row x14ac:dyDescent="0.25" r="2830" customHeight="1" ht="18.75">
      <c r="A2830" s="1" t="s">
        <v>3617</v>
      </c>
      <c r="B2830" s="1" t="s">
        <v>3729</v>
      </c>
      <c r="C2830" s="1" t="s">
        <v>3619</v>
      </c>
      <c r="D2830" s="1" t="s">
        <v>3601</v>
      </c>
      <c r="E2830" s="1" t="s">
        <v>4478</v>
      </c>
      <c r="F2830" s="1" t="s">
        <v>11420</v>
      </c>
      <c r="G2830" s="1" t="s">
        <v>3840</v>
      </c>
      <c r="H2830" s="1" t="s">
        <v>3604</v>
      </c>
      <c r="I2830" s="1" t="s">
        <v>11421</v>
      </c>
      <c r="J2830" s="1" t="s">
        <v>3606</v>
      </c>
      <c r="K2830" s="1" t="s">
        <v>11422</v>
      </c>
      <c r="L2830" s="1"/>
      <c r="M2830" s="1"/>
    </row>
    <row x14ac:dyDescent="0.25" r="2831" customHeight="1" ht="18.75">
      <c r="A2831" s="1" t="s">
        <v>3617</v>
      </c>
      <c r="B2831" s="1" t="s">
        <v>3729</v>
      </c>
      <c r="C2831" s="1" t="s">
        <v>3619</v>
      </c>
      <c r="D2831" s="1" t="s">
        <v>3601</v>
      </c>
      <c r="E2831" s="1" t="s">
        <v>4478</v>
      </c>
      <c r="F2831" s="1" t="s">
        <v>11423</v>
      </c>
      <c r="G2831" s="1" t="s">
        <v>3840</v>
      </c>
      <c r="H2831" s="1" t="s">
        <v>3604</v>
      </c>
      <c r="I2831" s="1" t="s">
        <v>11424</v>
      </c>
      <c r="J2831" s="1" t="s">
        <v>3606</v>
      </c>
      <c r="K2831" s="1" t="s">
        <v>11425</v>
      </c>
      <c r="L2831" s="1"/>
      <c r="M2831" s="1"/>
    </row>
    <row x14ac:dyDescent="0.25" r="2832" customHeight="1" ht="18.75">
      <c r="A2832" s="1" t="s">
        <v>3617</v>
      </c>
      <c r="B2832" s="1" t="s">
        <v>3729</v>
      </c>
      <c r="C2832" s="1" t="s">
        <v>3619</v>
      </c>
      <c r="D2832" s="1" t="s">
        <v>3601</v>
      </c>
      <c r="E2832" s="1" t="s">
        <v>4478</v>
      </c>
      <c r="F2832" s="1" t="s">
        <v>11426</v>
      </c>
      <c r="G2832" s="1" t="s">
        <v>3840</v>
      </c>
      <c r="H2832" s="1" t="s">
        <v>3604</v>
      </c>
      <c r="I2832" s="1" t="s">
        <v>11427</v>
      </c>
      <c r="J2832" s="1" t="s">
        <v>3606</v>
      </c>
      <c r="K2832" s="1" t="s">
        <v>11428</v>
      </c>
      <c r="L2832" s="1"/>
      <c r="M2832" s="1"/>
    </row>
    <row x14ac:dyDescent="0.25" r="2833" customHeight="1" ht="18.75">
      <c r="A2833" s="1" t="s">
        <v>3617</v>
      </c>
      <c r="B2833" s="1" t="s">
        <v>3729</v>
      </c>
      <c r="C2833" s="1" t="s">
        <v>3619</v>
      </c>
      <c r="D2833" s="1" t="s">
        <v>3601</v>
      </c>
      <c r="E2833" s="1" t="s">
        <v>4478</v>
      </c>
      <c r="F2833" s="1" t="s">
        <v>11429</v>
      </c>
      <c r="G2833" s="1" t="s">
        <v>3840</v>
      </c>
      <c r="H2833" s="1" t="s">
        <v>3604</v>
      </c>
      <c r="I2833" s="1" t="s">
        <v>11430</v>
      </c>
      <c r="J2833" s="1" t="s">
        <v>3606</v>
      </c>
      <c r="K2833" s="1" t="s">
        <v>11431</v>
      </c>
      <c r="L2833" s="1"/>
      <c r="M2833" s="1"/>
    </row>
    <row x14ac:dyDescent="0.25" r="2834" customHeight="1" ht="18.75">
      <c r="A2834" s="1" t="s">
        <v>3617</v>
      </c>
      <c r="B2834" s="1" t="s">
        <v>3729</v>
      </c>
      <c r="C2834" s="1" t="s">
        <v>3619</v>
      </c>
      <c r="D2834" s="1" t="s">
        <v>3601</v>
      </c>
      <c r="E2834" s="1" t="s">
        <v>4478</v>
      </c>
      <c r="F2834" s="1" t="s">
        <v>11432</v>
      </c>
      <c r="G2834" s="1" t="s">
        <v>3840</v>
      </c>
      <c r="H2834" s="1" t="s">
        <v>3604</v>
      </c>
      <c r="I2834" s="1" t="s">
        <v>11433</v>
      </c>
      <c r="J2834" s="1" t="s">
        <v>3606</v>
      </c>
      <c r="K2834" s="1" t="s">
        <v>11434</v>
      </c>
      <c r="L2834" s="1"/>
      <c r="M2834" s="1"/>
    </row>
    <row x14ac:dyDescent="0.25" r="2835" customHeight="1" ht="18.75">
      <c r="A2835" s="1" t="s">
        <v>3617</v>
      </c>
      <c r="B2835" s="1" t="s">
        <v>3729</v>
      </c>
      <c r="C2835" s="1" t="s">
        <v>3619</v>
      </c>
      <c r="D2835" s="1" t="s">
        <v>3601</v>
      </c>
      <c r="E2835" s="1" t="s">
        <v>4478</v>
      </c>
      <c r="F2835" s="1" t="s">
        <v>11435</v>
      </c>
      <c r="G2835" s="1" t="s">
        <v>3840</v>
      </c>
      <c r="H2835" s="1" t="s">
        <v>3604</v>
      </c>
      <c r="I2835" s="1" t="s">
        <v>11436</v>
      </c>
      <c r="J2835" s="1" t="s">
        <v>3606</v>
      </c>
      <c r="K2835" s="1" t="s">
        <v>11437</v>
      </c>
      <c r="L2835" s="1"/>
      <c r="M2835" s="1"/>
    </row>
    <row x14ac:dyDescent="0.25" r="2836" customHeight="1" ht="18.75">
      <c r="A2836" s="1" t="s">
        <v>3617</v>
      </c>
      <c r="B2836" s="1" t="s">
        <v>3729</v>
      </c>
      <c r="C2836" s="1" t="s">
        <v>3619</v>
      </c>
      <c r="D2836" s="1" t="s">
        <v>3601</v>
      </c>
      <c r="E2836" s="1" t="s">
        <v>4478</v>
      </c>
      <c r="F2836" s="1" t="s">
        <v>11438</v>
      </c>
      <c r="G2836" s="1" t="s">
        <v>3840</v>
      </c>
      <c r="H2836" s="1" t="s">
        <v>3604</v>
      </c>
      <c r="I2836" s="1" t="s">
        <v>11439</v>
      </c>
      <c r="J2836" s="1" t="s">
        <v>3606</v>
      </c>
      <c r="K2836" s="1" t="s">
        <v>11440</v>
      </c>
      <c r="L2836" s="1"/>
      <c r="M2836" s="1"/>
    </row>
    <row x14ac:dyDescent="0.25" r="2837" customHeight="1" ht="18.75">
      <c r="A2837" s="1" t="s">
        <v>3617</v>
      </c>
      <c r="B2837" s="1" t="s">
        <v>3729</v>
      </c>
      <c r="C2837" s="1" t="s">
        <v>3619</v>
      </c>
      <c r="D2837" s="1" t="s">
        <v>3601</v>
      </c>
      <c r="E2837" s="1" t="s">
        <v>4478</v>
      </c>
      <c r="F2837" s="1" t="s">
        <v>11441</v>
      </c>
      <c r="G2837" s="1" t="s">
        <v>3840</v>
      </c>
      <c r="H2837" s="1" t="s">
        <v>3604</v>
      </c>
      <c r="I2837" s="1" t="s">
        <v>11442</v>
      </c>
      <c r="J2837" s="1" t="s">
        <v>3606</v>
      </c>
      <c r="K2837" s="1" t="s">
        <v>11443</v>
      </c>
      <c r="L2837" s="1"/>
      <c r="M2837" s="1"/>
    </row>
    <row x14ac:dyDescent="0.25" r="2838" customHeight="1" ht="18.75">
      <c r="A2838" s="1" t="s">
        <v>3617</v>
      </c>
      <c r="B2838" s="1" t="s">
        <v>3729</v>
      </c>
      <c r="C2838" s="1" t="s">
        <v>3619</v>
      </c>
      <c r="D2838" s="1" t="s">
        <v>3601</v>
      </c>
      <c r="E2838" s="1" t="s">
        <v>4478</v>
      </c>
      <c r="F2838" s="1" t="s">
        <v>11444</v>
      </c>
      <c r="G2838" s="1" t="s">
        <v>3840</v>
      </c>
      <c r="H2838" s="1" t="s">
        <v>3604</v>
      </c>
      <c r="I2838" s="1" t="s">
        <v>11445</v>
      </c>
      <c r="J2838" s="1" t="s">
        <v>3615</v>
      </c>
      <c r="K2838" s="1" t="s">
        <v>11446</v>
      </c>
      <c r="L2838" s="1"/>
      <c r="M2838" s="1"/>
    </row>
    <row x14ac:dyDescent="0.25" r="2839" customHeight="1" ht="18.75">
      <c r="A2839" s="1" t="s">
        <v>3617</v>
      </c>
      <c r="B2839" s="1" t="s">
        <v>3729</v>
      </c>
      <c r="C2839" s="1" t="s">
        <v>3619</v>
      </c>
      <c r="D2839" s="1" t="s">
        <v>3601</v>
      </c>
      <c r="E2839" s="1" t="s">
        <v>4478</v>
      </c>
      <c r="F2839" s="1" t="s">
        <v>11447</v>
      </c>
      <c r="G2839" s="1" t="s">
        <v>3840</v>
      </c>
      <c r="H2839" s="1" t="s">
        <v>3604</v>
      </c>
      <c r="I2839" s="1" t="s">
        <v>11448</v>
      </c>
      <c r="J2839" s="1" t="s">
        <v>3606</v>
      </c>
      <c r="K2839" s="1" t="s">
        <v>11449</v>
      </c>
      <c r="L2839" s="1"/>
      <c r="M2839" s="1"/>
    </row>
    <row x14ac:dyDescent="0.25" r="2840" customHeight="1" ht="18.75">
      <c r="A2840" s="1" t="s">
        <v>3617</v>
      </c>
      <c r="B2840" s="1" t="s">
        <v>3729</v>
      </c>
      <c r="C2840" s="1" t="s">
        <v>3619</v>
      </c>
      <c r="D2840" s="1" t="s">
        <v>3601</v>
      </c>
      <c r="E2840" s="1" t="s">
        <v>4478</v>
      </c>
      <c r="F2840" s="1" t="s">
        <v>11450</v>
      </c>
      <c r="G2840" s="1" t="s">
        <v>3840</v>
      </c>
      <c r="H2840" s="1" t="s">
        <v>3604</v>
      </c>
      <c r="I2840" s="1" t="s">
        <v>11451</v>
      </c>
      <c r="J2840" s="1" t="s">
        <v>3606</v>
      </c>
      <c r="K2840" s="1" t="s">
        <v>11452</v>
      </c>
      <c r="L2840" s="1"/>
      <c r="M2840" s="1"/>
    </row>
    <row x14ac:dyDescent="0.25" r="2841" customHeight="1" ht="18.75">
      <c r="A2841" s="1" t="s">
        <v>3617</v>
      </c>
      <c r="B2841" s="1" t="s">
        <v>3729</v>
      </c>
      <c r="C2841" s="1" t="s">
        <v>3619</v>
      </c>
      <c r="D2841" s="1" t="s">
        <v>3601</v>
      </c>
      <c r="E2841" s="1" t="s">
        <v>4478</v>
      </c>
      <c r="F2841" s="1" t="s">
        <v>11453</v>
      </c>
      <c r="G2841" s="1" t="s">
        <v>3840</v>
      </c>
      <c r="H2841" s="1" t="s">
        <v>3604</v>
      </c>
      <c r="I2841" s="1" t="s">
        <v>11454</v>
      </c>
      <c r="J2841" s="1" t="s">
        <v>3606</v>
      </c>
      <c r="K2841" s="1" t="s">
        <v>11455</v>
      </c>
      <c r="L2841" s="1"/>
      <c r="M2841" s="1"/>
    </row>
    <row x14ac:dyDescent="0.25" r="2842" customHeight="1" ht="18.75">
      <c r="A2842" s="1" t="s">
        <v>3617</v>
      </c>
      <c r="B2842" s="1" t="s">
        <v>3729</v>
      </c>
      <c r="C2842" s="1" t="s">
        <v>3619</v>
      </c>
      <c r="D2842" s="1" t="s">
        <v>3601</v>
      </c>
      <c r="E2842" s="1" t="s">
        <v>4478</v>
      </c>
      <c r="F2842" s="1" t="s">
        <v>11456</v>
      </c>
      <c r="G2842" s="1" t="s">
        <v>3840</v>
      </c>
      <c r="H2842" s="1" t="s">
        <v>3604</v>
      </c>
      <c r="I2842" s="1" t="s">
        <v>11457</v>
      </c>
      <c r="J2842" s="1" t="s">
        <v>3606</v>
      </c>
      <c r="K2842" s="1" t="s">
        <v>11458</v>
      </c>
      <c r="L2842" s="1"/>
      <c r="M2842" s="1"/>
    </row>
    <row x14ac:dyDescent="0.25" r="2843" customHeight="1" ht="18.75">
      <c r="A2843" s="1" t="s">
        <v>3617</v>
      </c>
      <c r="B2843" s="1" t="s">
        <v>3729</v>
      </c>
      <c r="C2843" s="1" t="s">
        <v>3619</v>
      </c>
      <c r="D2843" s="1" t="s">
        <v>3601</v>
      </c>
      <c r="E2843" s="1" t="s">
        <v>4478</v>
      </c>
      <c r="F2843" s="1" t="s">
        <v>11459</v>
      </c>
      <c r="G2843" s="1" t="s">
        <v>3840</v>
      </c>
      <c r="H2843" s="1" t="s">
        <v>3604</v>
      </c>
      <c r="I2843" s="1" t="s">
        <v>11460</v>
      </c>
      <c r="J2843" s="1" t="s">
        <v>3606</v>
      </c>
      <c r="K2843" s="1" t="s">
        <v>11461</v>
      </c>
      <c r="L2843" s="1"/>
      <c r="M2843" s="1"/>
    </row>
    <row x14ac:dyDescent="0.25" r="2844" customHeight="1" ht="18.75">
      <c r="A2844" s="1" t="s">
        <v>3617</v>
      </c>
      <c r="B2844" s="1" t="s">
        <v>3729</v>
      </c>
      <c r="C2844" s="1" t="s">
        <v>3619</v>
      </c>
      <c r="D2844" s="1" t="s">
        <v>3601</v>
      </c>
      <c r="E2844" s="1" t="s">
        <v>4478</v>
      </c>
      <c r="F2844" s="1" t="s">
        <v>11462</v>
      </c>
      <c r="G2844" s="1" t="s">
        <v>3840</v>
      </c>
      <c r="H2844" s="1" t="s">
        <v>3604</v>
      </c>
      <c r="I2844" s="1" t="s">
        <v>11463</v>
      </c>
      <c r="J2844" s="1" t="s">
        <v>3606</v>
      </c>
      <c r="K2844" s="1" t="s">
        <v>11464</v>
      </c>
      <c r="L2844" s="1"/>
      <c r="M2844" s="1"/>
    </row>
    <row x14ac:dyDescent="0.25" r="2845" customHeight="1" ht="18.75">
      <c r="A2845" s="1" t="s">
        <v>3617</v>
      </c>
      <c r="B2845" s="1" t="s">
        <v>3729</v>
      </c>
      <c r="C2845" s="1" t="s">
        <v>3619</v>
      </c>
      <c r="D2845" s="1" t="s">
        <v>3601</v>
      </c>
      <c r="E2845" s="1" t="s">
        <v>4478</v>
      </c>
      <c r="F2845" s="1" t="s">
        <v>11465</v>
      </c>
      <c r="G2845" s="1" t="s">
        <v>3840</v>
      </c>
      <c r="H2845" s="1" t="s">
        <v>3604</v>
      </c>
      <c r="I2845" s="1" t="s">
        <v>11466</v>
      </c>
      <c r="J2845" s="1" t="s">
        <v>3606</v>
      </c>
      <c r="K2845" s="1" t="s">
        <v>11467</v>
      </c>
      <c r="L2845" s="1"/>
      <c r="M2845" s="1"/>
    </row>
    <row x14ac:dyDescent="0.25" r="2846" customHeight="1" ht="18.75">
      <c r="A2846" s="1" t="s">
        <v>3617</v>
      </c>
      <c r="B2846" s="1" t="s">
        <v>3729</v>
      </c>
      <c r="C2846" s="1" t="s">
        <v>3619</v>
      </c>
      <c r="D2846" s="1" t="s">
        <v>3601</v>
      </c>
      <c r="E2846" s="1" t="s">
        <v>4478</v>
      </c>
      <c r="F2846" s="1" t="s">
        <v>11468</v>
      </c>
      <c r="G2846" s="1" t="s">
        <v>3840</v>
      </c>
      <c r="H2846" s="1" t="s">
        <v>3604</v>
      </c>
      <c r="I2846" s="1" t="s">
        <v>11469</v>
      </c>
      <c r="J2846" s="1" t="s">
        <v>3606</v>
      </c>
      <c r="K2846" s="1" t="s">
        <v>11470</v>
      </c>
      <c r="L2846" s="1"/>
      <c r="M2846" s="1"/>
    </row>
    <row x14ac:dyDescent="0.25" r="2847" customHeight="1" ht="18.75">
      <c r="A2847" s="1" t="s">
        <v>3617</v>
      </c>
      <c r="B2847" s="1" t="s">
        <v>3729</v>
      </c>
      <c r="C2847" s="1" t="s">
        <v>3619</v>
      </c>
      <c r="D2847" s="1" t="s">
        <v>3601</v>
      </c>
      <c r="E2847" s="1" t="s">
        <v>4478</v>
      </c>
      <c r="F2847" s="1" t="s">
        <v>11471</v>
      </c>
      <c r="G2847" s="1" t="s">
        <v>3840</v>
      </c>
      <c r="H2847" s="1" t="s">
        <v>3604</v>
      </c>
      <c r="I2847" s="1" t="s">
        <v>11472</v>
      </c>
      <c r="J2847" s="1" t="s">
        <v>3606</v>
      </c>
      <c r="K2847" s="1" t="s">
        <v>11473</v>
      </c>
      <c r="L2847" s="1"/>
      <c r="M2847" s="1"/>
    </row>
    <row x14ac:dyDescent="0.25" r="2848" customHeight="1" ht="18.75">
      <c r="A2848" s="1" t="s">
        <v>3617</v>
      </c>
      <c r="B2848" s="1" t="s">
        <v>3729</v>
      </c>
      <c r="C2848" s="1" t="s">
        <v>3619</v>
      </c>
      <c r="D2848" s="1" t="s">
        <v>3601</v>
      </c>
      <c r="E2848" s="1" t="s">
        <v>4478</v>
      </c>
      <c r="F2848" s="1" t="s">
        <v>11474</v>
      </c>
      <c r="G2848" s="1" t="s">
        <v>3840</v>
      </c>
      <c r="H2848" s="1" t="s">
        <v>3604</v>
      </c>
      <c r="I2848" s="1" t="s">
        <v>11475</v>
      </c>
      <c r="J2848" s="1" t="s">
        <v>3606</v>
      </c>
      <c r="K2848" s="1" t="s">
        <v>11476</v>
      </c>
      <c r="L2848" s="1"/>
      <c r="M2848" s="1"/>
    </row>
    <row x14ac:dyDescent="0.25" r="2849" customHeight="1" ht="18.75">
      <c r="A2849" s="1" t="s">
        <v>3617</v>
      </c>
      <c r="B2849" s="1" t="s">
        <v>3729</v>
      </c>
      <c r="C2849" s="1" t="s">
        <v>3619</v>
      </c>
      <c r="D2849" s="1" t="s">
        <v>3601</v>
      </c>
      <c r="E2849" s="1" t="s">
        <v>4478</v>
      </c>
      <c r="F2849" s="1" t="s">
        <v>11477</v>
      </c>
      <c r="G2849" s="1" t="s">
        <v>3840</v>
      </c>
      <c r="H2849" s="1" t="s">
        <v>3604</v>
      </c>
      <c r="I2849" s="1" t="s">
        <v>11478</v>
      </c>
      <c r="J2849" s="1" t="s">
        <v>3606</v>
      </c>
      <c r="K2849" s="1" t="s">
        <v>11479</v>
      </c>
      <c r="L2849" s="1"/>
      <c r="M2849" s="1"/>
    </row>
    <row x14ac:dyDescent="0.25" r="2850" customHeight="1" ht="18.75">
      <c r="A2850" s="1" t="s">
        <v>3617</v>
      </c>
      <c r="B2850" s="1" t="s">
        <v>3729</v>
      </c>
      <c r="C2850" s="1" t="s">
        <v>3619</v>
      </c>
      <c r="D2850" s="1" t="s">
        <v>3601</v>
      </c>
      <c r="E2850" s="1" t="s">
        <v>4478</v>
      </c>
      <c r="F2850" s="1" t="s">
        <v>11480</v>
      </c>
      <c r="G2850" s="1" t="s">
        <v>3840</v>
      </c>
      <c r="H2850" s="1" t="s">
        <v>3604</v>
      </c>
      <c r="I2850" s="1" t="s">
        <v>11481</v>
      </c>
      <c r="J2850" s="1" t="s">
        <v>3606</v>
      </c>
      <c r="K2850" s="1" t="s">
        <v>11482</v>
      </c>
      <c r="L2850" s="1"/>
      <c r="M2850" s="1"/>
    </row>
    <row x14ac:dyDescent="0.25" r="2851" customHeight="1" ht="18.75">
      <c r="A2851" s="1" t="s">
        <v>3617</v>
      </c>
      <c r="B2851" s="1" t="s">
        <v>3729</v>
      </c>
      <c r="C2851" s="1" t="s">
        <v>3619</v>
      </c>
      <c r="D2851" s="1" t="s">
        <v>3601</v>
      </c>
      <c r="E2851" s="1" t="s">
        <v>4478</v>
      </c>
      <c r="F2851" s="1" t="s">
        <v>11480</v>
      </c>
      <c r="G2851" s="1" t="s">
        <v>3840</v>
      </c>
      <c r="H2851" s="1" t="s">
        <v>3604</v>
      </c>
      <c r="I2851" s="1" t="s">
        <v>11483</v>
      </c>
      <c r="J2851" s="1" t="s">
        <v>3606</v>
      </c>
      <c r="K2851" s="1" t="s">
        <v>11484</v>
      </c>
      <c r="L2851" s="1"/>
      <c r="M2851" s="1"/>
    </row>
    <row x14ac:dyDescent="0.25" r="2852" customHeight="1" ht="18.75">
      <c r="A2852" s="1" t="s">
        <v>3617</v>
      </c>
      <c r="B2852" s="1" t="s">
        <v>3729</v>
      </c>
      <c r="C2852" s="1" t="s">
        <v>3619</v>
      </c>
      <c r="D2852" s="1" t="s">
        <v>3601</v>
      </c>
      <c r="E2852" s="1" t="s">
        <v>4478</v>
      </c>
      <c r="F2852" s="1" t="s">
        <v>11485</v>
      </c>
      <c r="G2852" s="1" t="s">
        <v>3840</v>
      </c>
      <c r="H2852" s="1" t="s">
        <v>3604</v>
      </c>
      <c r="I2852" s="1" t="s">
        <v>11486</v>
      </c>
      <c r="J2852" s="1" t="s">
        <v>3606</v>
      </c>
      <c r="K2852" s="1" t="s">
        <v>11487</v>
      </c>
      <c r="L2852" s="1"/>
      <c r="M2852" s="1"/>
    </row>
    <row x14ac:dyDescent="0.25" r="2853" customHeight="1" ht="18.75">
      <c r="A2853" s="1" t="s">
        <v>3617</v>
      </c>
      <c r="B2853" s="1" t="s">
        <v>3729</v>
      </c>
      <c r="C2853" s="1" t="s">
        <v>3619</v>
      </c>
      <c r="D2853" s="1" t="s">
        <v>3601</v>
      </c>
      <c r="E2853" s="1" t="s">
        <v>4478</v>
      </c>
      <c r="F2853" s="1" t="s">
        <v>11488</v>
      </c>
      <c r="G2853" s="1" t="s">
        <v>3840</v>
      </c>
      <c r="H2853" s="1" t="s">
        <v>3604</v>
      </c>
      <c r="I2853" s="1" t="s">
        <v>11489</v>
      </c>
      <c r="J2853" s="1" t="s">
        <v>3606</v>
      </c>
      <c r="K2853" s="1" t="s">
        <v>11490</v>
      </c>
      <c r="L2853" s="1"/>
      <c r="M2853" s="1"/>
    </row>
    <row x14ac:dyDescent="0.25" r="2854" customHeight="1" ht="18.75">
      <c r="A2854" s="1" t="s">
        <v>3617</v>
      </c>
      <c r="B2854" s="1" t="s">
        <v>3729</v>
      </c>
      <c r="C2854" s="1" t="s">
        <v>3619</v>
      </c>
      <c r="D2854" s="1" t="s">
        <v>3601</v>
      </c>
      <c r="E2854" s="1" t="s">
        <v>4478</v>
      </c>
      <c r="F2854" s="1" t="s">
        <v>11491</v>
      </c>
      <c r="G2854" s="1" t="s">
        <v>3840</v>
      </c>
      <c r="H2854" s="1" t="s">
        <v>3604</v>
      </c>
      <c r="I2854" s="1" t="s">
        <v>11492</v>
      </c>
      <c r="J2854" s="1" t="s">
        <v>3606</v>
      </c>
      <c r="K2854" s="1" t="s">
        <v>11493</v>
      </c>
      <c r="L2854" s="1"/>
      <c r="M2854" s="1"/>
    </row>
    <row x14ac:dyDescent="0.25" r="2855" customHeight="1" ht="18.75">
      <c r="A2855" s="1" t="s">
        <v>3617</v>
      </c>
      <c r="B2855" s="1" t="s">
        <v>3729</v>
      </c>
      <c r="C2855" s="1" t="s">
        <v>3619</v>
      </c>
      <c r="D2855" s="1" t="s">
        <v>3601</v>
      </c>
      <c r="E2855" s="1" t="s">
        <v>4478</v>
      </c>
      <c r="F2855" s="1" t="s">
        <v>11494</v>
      </c>
      <c r="G2855" s="1" t="s">
        <v>3840</v>
      </c>
      <c r="H2855" s="1" t="s">
        <v>3604</v>
      </c>
      <c r="I2855" s="1" t="s">
        <v>11495</v>
      </c>
      <c r="J2855" s="1" t="s">
        <v>3606</v>
      </c>
      <c r="K2855" s="1" t="s">
        <v>11496</v>
      </c>
      <c r="L2855" s="1"/>
      <c r="M2855" s="1"/>
    </row>
    <row x14ac:dyDescent="0.25" r="2856" customHeight="1" ht="18.75">
      <c r="A2856" s="1" t="s">
        <v>3617</v>
      </c>
      <c r="B2856" s="1" t="s">
        <v>3729</v>
      </c>
      <c r="C2856" s="1" t="s">
        <v>3619</v>
      </c>
      <c r="D2856" s="1" t="s">
        <v>3601</v>
      </c>
      <c r="E2856" s="1" t="s">
        <v>4478</v>
      </c>
      <c r="F2856" s="1" t="s">
        <v>11497</v>
      </c>
      <c r="G2856" s="1" t="s">
        <v>3840</v>
      </c>
      <c r="H2856" s="1" t="s">
        <v>3604</v>
      </c>
      <c r="I2856" s="1" t="s">
        <v>11498</v>
      </c>
      <c r="J2856" s="1" t="s">
        <v>3606</v>
      </c>
      <c r="K2856" s="1" t="s">
        <v>11499</v>
      </c>
      <c r="L2856" s="1"/>
      <c r="M2856" s="1"/>
    </row>
    <row x14ac:dyDescent="0.25" r="2857" customHeight="1" ht="18.75">
      <c r="A2857" s="1" t="s">
        <v>3617</v>
      </c>
      <c r="B2857" s="1" t="s">
        <v>3729</v>
      </c>
      <c r="C2857" s="1" t="s">
        <v>3619</v>
      </c>
      <c r="D2857" s="1" t="s">
        <v>3601</v>
      </c>
      <c r="E2857" s="1" t="s">
        <v>4478</v>
      </c>
      <c r="F2857" s="1" t="s">
        <v>11500</v>
      </c>
      <c r="G2857" s="1" t="s">
        <v>3840</v>
      </c>
      <c r="H2857" s="1" t="s">
        <v>3604</v>
      </c>
      <c r="I2857" s="1" t="s">
        <v>11501</v>
      </c>
      <c r="J2857" s="1" t="s">
        <v>3606</v>
      </c>
      <c r="K2857" s="1" t="s">
        <v>11502</v>
      </c>
      <c r="L2857" s="1"/>
      <c r="M2857" s="1"/>
    </row>
    <row x14ac:dyDescent="0.25" r="2858" customHeight="1" ht="18.75">
      <c r="A2858" s="1" t="s">
        <v>3617</v>
      </c>
      <c r="B2858" s="1" t="s">
        <v>3729</v>
      </c>
      <c r="C2858" s="1" t="s">
        <v>3619</v>
      </c>
      <c r="D2858" s="1" t="s">
        <v>3601</v>
      </c>
      <c r="E2858" s="1" t="s">
        <v>4478</v>
      </c>
      <c r="F2858" s="1" t="s">
        <v>11503</v>
      </c>
      <c r="G2858" s="1" t="s">
        <v>3840</v>
      </c>
      <c r="H2858" s="1" t="s">
        <v>3604</v>
      </c>
      <c r="I2858" s="1" t="s">
        <v>11504</v>
      </c>
      <c r="J2858" s="1" t="s">
        <v>3606</v>
      </c>
      <c r="K2858" s="1" t="s">
        <v>11505</v>
      </c>
      <c r="L2858" s="1"/>
      <c r="M2858" s="1"/>
    </row>
    <row x14ac:dyDescent="0.25" r="2859" customHeight="1" ht="18.75">
      <c r="A2859" s="1" t="s">
        <v>3617</v>
      </c>
      <c r="B2859" s="1" t="s">
        <v>3729</v>
      </c>
      <c r="C2859" s="1" t="s">
        <v>3619</v>
      </c>
      <c r="D2859" s="1" t="s">
        <v>3601</v>
      </c>
      <c r="E2859" s="1" t="s">
        <v>4478</v>
      </c>
      <c r="F2859" s="1" t="s">
        <v>11506</v>
      </c>
      <c r="G2859" s="1" t="s">
        <v>3840</v>
      </c>
      <c r="H2859" s="1" t="s">
        <v>3604</v>
      </c>
      <c r="I2859" s="1" t="s">
        <v>11507</v>
      </c>
      <c r="J2859" s="1" t="s">
        <v>3606</v>
      </c>
      <c r="K2859" s="1" t="s">
        <v>11508</v>
      </c>
      <c r="L2859" s="1"/>
      <c r="M2859" s="1"/>
    </row>
    <row x14ac:dyDescent="0.25" r="2860" customHeight="1" ht="18.75">
      <c r="A2860" s="1" t="s">
        <v>3617</v>
      </c>
      <c r="B2860" s="1" t="s">
        <v>3729</v>
      </c>
      <c r="C2860" s="1" t="s">
        <v>3619</v>
      </c>
      <c r="D2860" s="1" t="s">
        <v>3601</v>
      </c>
      <c r="E2860" s="1" t="s">
        <v>4478</v>
      </c>
      <c r="F2860" s="1" t="s">
        <v>11509</v>
      </c>
      <c r="G2860" s="1" t="s">
        <v>3840</v>
      </c>
      <c r="H2860" s="1" t="s">
        <v>3604</v>
      </c>
      <c r="I2860" s="1" t="s">
        <v>11510</v>
      </c>
      <c r="J2860" s="1" t="s">
        <v>3606</v>
      </c>
      <c r="K2860" s="1" t="s">
        <v>11511</v>
      </c>
      <c r="L2860" s="1"/>
      <c r="M2860" s="1"/>
    </row>
    <row x14ac:dyDescent="0.25" r="2861" customHeight="1" ht="18.75">
      <c r="A2861" s="1" t="s">
        <v>3617</v>
      </c>
      <c r="B2861" s="1" t="s">
        <v>3729</v>
      </c>
      <c r="C2861" s="1" t="s">
        <v>3619</v>
      </c>
      <c r="D2861" s="1" t="s">
        <v>3601</v>
      </c>
      <c r="E2861" s="1" t="s">
        <v>4478</v>
      </c>
      <c r="F2861" s="1" t="s">
        <v>11512</v>
      </c>
      <c r="G2861" s="1" t="s">
        <v>3840</v>
      </c>
      <c r="H2861" s="1" t="s">
        <v>3604</v>
      </c>
      <c r="I2861" s="1" t="s">
        <v>11513</v>
      </c>
      <c r="J2861" s="1" t="s">
        <v>3606</v>
      </c>
      <c r="K2861" s="1" t="s">
        <v>11514</v>
      </c>
      <c r="L2861" s="1"/>
      <c r="M2861" s="1"/>
    </row>
    <row x14ac:dyDescent="0.25" r="2862" customHeight="1" ht="18.75">
      <c r="A2862" s="1" t="s">
        <v>3617</v>
      </c>
      <c r="B2862" s="1" t="s">
        <v>3729</v>
      </c>
      <c r="C2862" s="1" t="s">
        <v>3619</v>
      </c>
      <c r="D2862" s="1" t="s">
        <v>3601</v>
      </c>
      <c r="E2862" s="1" t="s">
        <v>4478</v>
      </c>
      <c r="F2862" s="1" t="s">
        <v>11515</v>
      </c>
      <c r="G2862" s="1" t="s">
        <v>8544</v>
      </c>
      <c r="H2862" s="1" t="s">
        <v>3604</v>
      </c>
      <c r="I2862" s="1" t="s">
        <v>11516</v>
      </c>
      <c r="J2862" s="1" t="s">
        <v>3606</v>
      </c>
      <c r="K2862" s="1" t="s">
        <v>10921</v>
      </c>
      <c r="L2862" s="1"/>
      <c r="M2862" s="1"/>
    </row>
    <row x14ac:dyDescent="0.25" r="2863" customHeight="1" ht="18.75">
      <c r="A2863" s="1" t="s">
        <v>3617</v>
      </c>
      <c r="B2863" s="1" t="s">
        <v>3729</v>
      </c>
      <c r="C2863" s="1" t="s">
        <v>3619</v>
      </c>
      <c r="D2863" s="1" t="s">
        <v>3601</v>
      </c>
      <c r="E2863" s="1" t="s">
        <v>4478</v>
      </c>
      <c r="F2863" s="1" t="s">
        <v>11517</v>
      </c>
      <c r="G2863" s="1" t="s">
        <v>8544</v>
      </c>
      <c r="H2863" s="1" t="s">
        <v>3604</v>
      </c>
      <c r="I2863" s="1" t="s">
        <v>11518</v>
      </c>
      <c r="J2863" s="1" t="s">
        <v>3606</v>
      </c>
      <c r="K2863" s="1" t="s">
        <v>11519</v>
      </c>
      <c r="L2863" s="1"/>
      <c r="M2863" s="1"/>
    </row>
    <row x14ac:dyDescent="0.25" r="2864" customHeight="1" ht="18.75">
      <c r="A2864" s="1" t="s">
        <v>3617</v>
      </c>
      <c r="B2864" s="1" t="s">
        <v>3729</v>
      </c>
      <c r="C2864" s="1" t="s">
        <v>3619</v>
      </c>
      <c r="D2864" s="1" t="s">
        <v>3601</v>
      </c>
      <c r="E2864" s="1" t="s">
        <v>4478</v>
      </c>
      <c r="F2864" s="1" t="s">
        <v>11520</v>
      </c>
      <c r="G2864" s="1" t="s">
        <v>8534</v>
      </c>
      <c r="H2864" s="1" t="s">
        <v>3604</v>
      </c>
      <c r="I2864" s="1" t="s">
        <v>11521</v>
      </c>
      <c r="J2864" s="1" t="s">
        <v>3606</v>
      </c>
      <c r="K2864" s="1" t="s">
        <v>10915</v>
      </c>
      <c r="L2864" s="1"/>
      <c r="M2864" s="1"/>
    </row>
    <row x14ac:dyDescent="0.25" r="2865" customHeight="1" ht="18.75">
      <c r="A2865" s="1" t="s">
        <v>3617</v>
      </c>
      <c r="B2865" s="1" t="s">
        <v>3729</v>
      </c>
      <c r="C2865" s="1" t="s">
        <v>3619</v>
      </c>
      <c r="D2865" s="1" t="s">
        <v>3601</v>
      </c>
      <c r="E2865" s="1" t="s">
        <v>4478</v>
      </c>
      <c r="F2865" s="1" t="s">
        <v>11522</v>
      </c>
      <c r="G2865" s="1" t="s">
        <v>8534</v>
      </c>
      <c r="H2865" s="1" t="s">
        <v>3604</v>
      </c>
      <c r="I2865" s="1" t="s">
        <v>11523</v>
      </c>
      <c r="J2865" s="1" t="s">
        <v>3606</v>
      </c>
      <c r="K2865" s="1" t="s">
        <v>11524</v>
      </c>
      <c r="L2865" s="1"/>
      <c r="M2865" s="1"/>
    </row>
    <row x14ac:dyDescent="0.25" r="2866" customHeight="1" ht="18.75">
      <c r="A2866" s="1" t="s">
        <v>3617</v>
      </c>
      <c r="B2866" s="1" t="s">
        <v>3729</v>
      </c>
      <c r="C2866" s="1" t="s">
        <v>3619</v>
      </c>
      <c r="D2866" s="1" t="s">
        <v>3601</v>
      </c>
      <c r="E2866" s="1" t="s">
        <v>4590</v>
      </c>
      <c r="F2866" s="1" t="s">
        <v>11525</v>
      </c>
      <c r="G2866" s="1" t="s">
        <v>11526</v>
      </c>
      <c r="H2866" s="1" t="s">
        <v>3604</v>
      </c>
      <c r="I2866" s="1" t="s">
        <v>11527</v>
      </c>
      <c r="J2866" s="1" t="s">
        <v>3606</v>
      </c>
      <c r="K2866" s="1" t="s">
        <v>11528</v>
      </c>
      <c r="L2866" s="1"/>
      <c r="M2866" s="1"/>
    </row>
    <row x14ac:dyDescent="0.25" r="2867" customHeight="1" ht="18.75">
      <c r="A2867" s="1" t="s">
        <v>3617</v>
      </c>
      <c r="B2867" s="1" t="s">
        <v>3729</v>
      </c>
      <c r="C2867" s="1" t="s">
        <v>3619</v>
      </c>
      <c r="D2867" s="1" t="s">
        <v>3601</v>
      </c>
      <c r="E2867" s="1" t="s">
        <v>3730</v>
      </c>
      <c r="F2867" s="1" t="s">
        <v>11529</v>
      </c>
      <c r="G2867" s="1" t="s">
        <v>11530</v>
      </c>
      <c r="H2867" s="1" t="s">
        <v>3604</v>
      </c>
      <c r="I2867" s="1" t="s">
        <v>11531</v>
      </c>
      <c r="J2867" s="1" t="s">
        <v>3606</v>
      </c>
      <c r="K2867" s="1" t="s">
        <v>11532</v>
      </c>
      <c r="L2867" s="1"/>
      <c r="M2867" s="1"/>
    </row>
    <row x14ac:dyDescent="0.25" r="2868" customHeight="1" ht="18.75">
      <c r="A2868" s="1" t="s">
        <v>3617</v>
      </c>
      <c r="B2868" s="1" t="s">
        <v>3729</v>
      </c>
      <c r="C2868" s="1" t="s">
        <v>3619</v>
      </c>
      <c r="D2868" s="1" t="s">
        <v>3601</v>
      </c>
      <c r="E2868" s="1" t="s">
        <v>3730</v>
      </c>
      <c r="F2868" s="1" t="s">
        <v>11533</v>
      </c>
      <c r="G2868" s="1" t="s">
        <v>11534</v>
      </c>
      <c r="H2868" s="1" t="s">
        <v>3604</v>
      </c>
      <c r="I2868" s="1" t="s">
        <v>11535</v>
      </c>
      <c r="J2868" s="1" t="s">
        <v>3606</v>
      </c>
      <c r="K2868" s="1" t="s">
        <v>11536</v>
      </c>
      <c r="L2868" s="1"/>
      <c r="M2868" s="1"/>
    </row>
    <row x14ac:dyDescent="0.25" r="2869" customHeight="1" ht="18.75">
      <c r="A2869" s="1" t="s">
        <v>3617</v>
      </c>
      <c r="B2869" s="1" t="s">
        <v>3729</v>
      </c>
      <c r="C2869" s="1" t="s">
        <v>3619</v>
      </c>
      <c r="D2869" s="1" t="s">
        <v>3601</v>
      </c>
      <c r="E2869" s="1" t="s">
        <v>3730</v>
      </c>
      <c r="F2869" s="1" t="s">
        <v>11537</v>
      </c>
      <c r="G2869" s="1" t="s">
        <v>11538</v>
      </c>
      <c r="H2869" s="1" t="s">
        <v>3604</v>
      </c>
      <c r="I2869" s="1" t="s">
        <v>11539</v>
      </c>
      <c r="J2869" s="1" t="s">
        <v>3606</v>
      </c>
      <c r="K2869" s="1" t="s">
        <v>11540</v>
      </c>
      <c r="L2869" s="1"/>
      <c r="M2869" s="1"/>
    </row>
    <row x14ac:dyDescent="0.25" r="2870" customHeight="1" ht="18.75">
      <c r="A2870" s="1" t="s">
        <v>3617</v>
      </c>
      <c r="B2870" s="1" t="s">
        <v>3729</v>
      </c>
      <c r="C2870" s="1" t="s">
        <v>3619</v>
      </c>
      <c r="D2870" s="1" t="s">
        <v>3601</v>
      </c>
      <c r="E2870" s="1" t="s">
        <v>3730</v>
      </c>
      <c r="F2870" s="1" t="s">
        <v>11541</v>
      </c>
      <c r="G2870" s="1" t="s">
        <v>3840</v>
      </c>
      <c r="H2870" s="1" t="s">
        <v>3604</v>
      </c>
      <c r="I2870" s="1" t="s">
        <v>11542</v>
      </c>
      <c r="J2870" s="1" t="s">
        <v>3606</v>
      </c>
      <c r="K2870" s="1" t="s">
        <v>11543</v>
      </c>
      <c r="L2870" s="1"/>
      <c r="M2870" s="1"/>
    </row>
    <row x14ac:dyDescent="0.25" r="2871" customHeight="1" ht="18.75">
      <c r="A2871" s="1" t="s">
        <v>3617</v>
      </c>
      <c r="B2871" s="1" t="s">
        <v>3729</v>
      </c>
      <c r="C2871" s="1" t="s">
        <v>3619</v>
      </c>
      <c r="D2871" s="1" t="s">
        <v>3601</v>
      </c>
      <c r="E2871" s="1" t="s">
        <v>3730</v>
      </c>
      <c r="F2871" s="1" t="s">
        <v>11544</v>
      </c>
      <c r="G2871" s="1" t="s">
        <v>11545</v>
      </c>
      <c r="H2871" s="1" t="s">
        <v>3604</v>
      </c>
      <c r="I2871" s="1" t="s">
        <v>11546</v>
      </c>
      <c r="J2871" s="1" t="s">
        <v>3606</v>
      </c>
      <c r="K2871" s="1" t="s">
        <v>11547</v>
      </c>
      <c r="L2871" s="1"/>
      <c r="M2871" s="1"/>
    </row>
    <row x14ac:dyDescent="0.25" r="2872" customHeight="1" ht="18.75">
      <c r="A2872" s="1" t="s">
        <v>3617</v>
      </c>
      <c r="B2872" s="1" t="s">
        <v>3729</v>
      </c>
      <c r="C2872" s="1" t="s">
        <v>3619</v>
      </c>
      <c r="D2872" s="1" t="s">
        <v>3601</v>
      </c>
      <c r="E2872" s="1" t="s">
        <v>3730</v>
      </c>
      <c r="F2872" s="1" t="s">
        <v>11548</v>
      </c>
      <c r="G2872" s="1" t="s">
        <v>11549</v>
      </c>
      <c r="H2872" s="1" t="s">
        <v>3604</v>
      </c>
      <c r="I2872" s="1" t="s">
        <v>11550</v>
      </c>
      <c r="J2872" s="1" t="s">
        <v>3606</v>
      </c>
      <c r="K2872" s="1" t="s">
        <v>11551</v>
      </c>
      <c r="L2872" s="1"/>
      <c r="M2872" s="1"/>
    </row>
    <row x14ac:dyDescent="0.25" r="2873" customHeight="1" ht="18.75">
      <c r="A2873" s="1" t="s">
        <v>3617</v>
      </c>
      <c r="B2873" s="1" t="s">
        <v>3729</v>
      </c>
      <c r="C2873" s="1" t="s">
        <v>3619</v>
      </c>
      <c r="D2873" s="1" t="s">
        <v>3601</v>
      </c>
      <c r="E2873" s="1" t="s">
        <v>4478</v>
      </c>
      <c r="F2873" s="1" t="s">
        <v>11552</v>
      </c>
      <c r="G2873" s="1" t="s">
        <v>8544</v>
      </c>
      <c r="H2873" s="1" t="s">
        <v>3604</v>
      </c>
      <c r="I2873" s="1" t="s">
        <v>11553</v>
      </c>
      <c r="J2873" s="1" t="s">
        <v>3606</v>
      </c>
      <c r="K2873" s="1" t="s">
        <v>10924</v>
      </c>
      <c r="L2873" s="1"/>
      <c r="M2873" s="1"/>
    </row>
    <row x14ac:dyDescent="0.25" r="2874" customHeight="1" ht="18.75">
      <c r="A2874" s="1" t="s">
        <v>3617</v>
      </c>
      <c r="B2874" s="1" t="s">
        <v>3729</v>
      </c>
      <c r="C2874" s="1" t="s">
        <v>3619</v>
      </c>
      <c r="D2874" s="1" t="s">
        <v>3601</v>
      </c>
      <c r="E2874" s="1" t="s">
        <v>4478</v>
      </c>
      <c r="F2874" s="1" t="s">
        <v>11554</v>
      </c>
      <c r="G2874" s="1" t="s">
        <v>8544</v>
      </c>
      <c r="H2874" s="1" t="s">
        <v>3604</v>
      </c>
      <c r="I2874" s="1" t="s">
        <v>11555</v>
      </c>
      <c r="J2874" s="1" t="s">
        <v>3606</v>
      </c>
      <c r="K2874" s="1" t="s">
        <v>11556</v>
      </c>
      <c r="L2874" s="1"/>
      <c r="M2874" s="1"/>
    </row>
    <row x14ac:dyDescent="0.25" r="2875" customHeight="1" ht="18.75">
      <c r="A2875" s="1" t="s">
        <v>3617</v>
      </c>
      <c r="B2875" s="1" t="s">
        <v>3729</v>
      </c>
      <c r="C2875" s="1" t="s">
        <v>3619</v>
      </c>
      <c r="D2875" s="1" t="s">
        <v>3601</v>
      </c>
      <c r="E2875" s="1" t="s">
        <v>4478</v>
      </c>
      <c r="F2875" s="1" t="s">
        <v>11557</v>
      </c>
      <c r="G2875" s="1" t="s">
        <v>8534</v>
      </c>
      <c r="H2875" s="1" t="s">
        <v>3604</v>
      </c>
      <c r="I2875" s="1" t="s">
        <v>11558</v>
      </c>
      <c r="J2875" s="1" t="s">
        <v>3606</v>
      </c>
      <c r="K2875" s="1" t="s">
        <v>10918</v>
      </c>
      <c r="L2875" s="1"/>
      <c r="M2875" s="1"/>
    </row>
    <row x14ac:dyDescent="0.25" r="2876" customHeight="1" ht="18.75">
      <c r="A2876" s="1" t="s">
        <v>3617</v>
      </c>
      <c r="B2876" s="1" t="s">
        <v>3729</v>
      </c>
      <c r="C2876" s="1" t="s">
        <v>3619</v>
      </c>
      <c r="D2876" s="1" t="s">
        <v>3601</v>
      </c>
      <c r="E2876" s="1" t="s">
        <v>4590</v>
      </c>
      <c r="F2876" s="1" t="s">
        <v>11559</v>
      </c>
      <c r="G2876" s="1" t="s">
        <v>11526</v>
      </c>
      <c r="H2876" s="1" t="s">
        <v>3604</v>
      </c>
      <c r="I2876" s="1" t="s">
        <v>11560</v>
      </c>
      <c r="J2876" s="1" t="s">
        <v>3606</v>
      </c>
      <c r="K2876" s="1" t="s">
        <v>11561</v>
      </c>
      <c r="L2876" s="1"/>
      <c r="M2876" s="1"/>
    </row>
    <row x14ac:dyDescent="0.25" r="2877" customHeight="1" ht="18.75">
      <c r="A2877" s="1" t="s">
        <v>3617</v>
      </c>
      <c r="B2877" s="1" t="s">
        <v>3729</v>
      </c>
      <c r="C2877" s="1" t="s">
        <v>3619</v>
      </c>
      <c r="D2877" s="1" t="s">
        <v>3601</v>
      </c>
      <c r="E2877" s="1" t="s">
        <v>3730</v>
      </c>
      <c r="F2877" s="1" t="s">
        <v>11562</v>
      </c>
      <c r="G2877" s="1" t="s">
        <v>11563</v>
      </c>
      <c r="H2877" s="1" t="s">
        <v>3604</v>
      </c>
      <c r="I2877" s="1" t="s">
        <v>11564</v>
      </c>
      <c r="J2877" s="1" t="s">
        <v>3606</v>
      </c>
      <c r="K2877" s="1" t="s">
        <v>11565</v>
      </c>
      <c r="L2877" s="1"/>
      <c r="M2877" s="1"/>
    </row>
    <row x14ac:dyDescent="0.25" r="2878" customHeight="1" ht="18.75">
      <c r="A2878" s="1" t="s">
        <v>3617</v>
      </c>
      <c r="B2878" s="1" t="s">
        <v>3729</v>
      </c>
      <c r="C2878" s="1" t="s">
        <v>3619</v>
      </c>
      <c r="D2878" s="1" t="s">
        <v>3601</v>
      </c>
      <c r="E2878" s="1" t="s">
        <v>3730</v>
      </c>
      <c r="F2878" s="1" t="s">
        <v>11566</v>
      </c>
      <c r="G2878" s="1" t="s">
        <v>11567</v>
      </c>
      <c r="H2878" s="1" t="s">
        <v>3604</v>
      </c>
      <c r="I2878" s="1" t="s">
        <v>11568</v>
      </c>
      <c r="J2878" s="1" t="s">
        <v>3606</v>
      </c>
      <c r="K2878" s="1" t="s">
        <v>11569</v>
      </c>
      <c r="L2878" s="1"/>
      <c r="M2878" s="1"/>
    </row>
    <row x14ac:dyDescent="0.25" r="2879" customHeight="1" ht="18.75">
      <c r="A2879" s="1" t="s">
        <v>3617</v>
      </c>
      <c r="B2879" s="1" t="s">
        <v>3729</v>
      </c>
      <c r="C2879" s="1" t="s">
        <v>3619</v>
      </c>
      <c r="D2879" s="1" t="s">
        <v>3601</v>
      </c>
      <c r="E2879" s="1" t="s">
        <v>3730</v>
      </c>
      <c r="F2879" s="1" t="s">
        <v>11570</v>
      </c>
      <c r="G2879" s="1" t="s">
        <v>11538</v>
      </c>
      <c r="H2879" s="1" t="s">
        <v>3604</v>
      </c>
      <c r="I2879" s="1" t="s">
        <v>11571</v>
      </c>
      <c r="J2879" s="1" t="s">
        <v>3606</v>
      </c>
      <c r="K2879" s="1" t="s">
        <v>11572</v>
      </c>
      <c r="L2879" s="1"/>
      <c r="M2879" s="1"/>
    </row>
    <row x14ac:dyDescent="0.25" r="2880" customHeight="1" ht="18.75">
      <c r="A2880" s="1" t="s">
        <v>3617</v>
      </c>
      <c r="B2880" s="1" t="s">
        <v>3729</v>
      </c>
      <c r="C2880" s="1" t="s">
        <v>3619</v>
      </c>
      <c r="D2880" s="1" t="s">
        <v>3601</v>
      </c>
      <c r="E2880" s="1" t="s">
        <v>3730</v>
      </c>
      <c r="F2880" s="1" t="s">
        <v>11573</v>
      </c>
      <c r="G2880" s="1" t="s">
        <v>11545</v>
      </c>
      <c r="H2880" s="1" t="s">
        <v>3604</v>
      </c>
      <c r="I2880" s="1" t="s">
        <v>11574</v>
      </c>
      <c r="J2880" s="1" t="s">
        <v>3606</v>
      </c>
      <c r="K2880" s="1" t="s">
        <v>11575</v>
      </c>
      <c r="L2880" s="1"/>
      <c r="M2880" s="1"/>
    </row>
    <row x14ac:dyDescent="0.25" r="2881" customHeight="1" ht="18.75">
      <c r="A2881" s="1" t="s">
        <v>3617</v>
      </c>
      <c r="B2881" s="1" t="s">
        <v>3729</v>
      </c>
      <c r="C2881" s="1" t="s">
        <v>3619</v>
      </c>
      <c r="D2881" s="1" t="s">
        <v>3601</v>
      </c>
      <c r="E2881" s="1" t="s">
        <v>3730</v>
      </c>
      <c r="F2881" s="1" t="s">
        <v>11576</v>
      </c>
      <c r="G2881" s="1" t="s">
        <v>11549</v>
      </c>
      <c r="H2881" s="1" t="s">
        <v>3604</v>
      </c>
      <c r="I2881" s="1" t="s">
        <v>11577</v>
      </c>
      <c r="J2881" s="1" t="s">
        <v>3606</v>
      </c>
      <c r="K2881" s="1" t="s">
        <v>11578</v>
      </c>
      <c r="L2881" s="1"/>
      <c r="M2881" s="1"/>
    </row>
    <row x14ac:dyDescent="0.25" r="2882" customHeight="1" ht="18.75">
      <c r="A2882" s="1" t="s">
        <v>3617</v>
      </c>
      <c r="B2882" s="1" t="s">
        <v>3729</v>
      </c>
      <c r="C2882" s="1" t="s">
        <v>3619</v>
      </c>
      <c r="D2882" s="1" t="s">
        <v>3601</v>
      </c>
      <c r="E2882" s="1" t="s">
        <v>4478</v>
      </c>
      <c r="F2882" s="1" t="s">
        <v>11579</v>
      </c>
      <c r="G2882" s="1" t="s">
        <v>11580</v>
      </c>
      <c r="H2882" s="1" t="s">
        <v>3604</v>
      </c>
      <c r="I2882" s="1" t="s">
        <v>11581</v>
      </c>
      <c r="J2882" s="1" t="s">
        <v>3606</v>
      </c>
      <c r="K2882" s="1" t="s">
        <v>10928</v>
      </c>
      <c r="L2882" s="1"/>
      <c r="M2882" s="1"/>
    </row>
    <row x14ac:dyDescent="0.25" r="2883" customHeight="1" ht="18.75">
      <c r="A2883" s="1" t="s">
        <v>3617</v>
      </c>
      <c r="B2883" s="1" t="s">
        <v>3729</v>
      </c>
      <c r="C2883" s="1" t="s">
        <v>3619</v>
      </c>
      <c r="D2883" s="1" t="s">
        <v>3601</v>
      </c>
      <c r="E2883" s="1" t="s">
        <v>4478</v>
      </c>
      <c r="F2883" s="1" t="s">
        <v>11582</v>
      </c>
      <c r="G2883" s="1" t="s">
        <v>11580</v>
      </c>
      <c r="H2883" s="1" t="s">
        <v>3604</v>
      </c>
      <c r="I2883" s="1" t="s">
        <v>11583</v>
      </c>
      <c r="J2883" s="1" t="s">
        <v>3606</v>
      </c>
      <c r="K2883" s="1" t="s">
        <v>11584</v>
      </c>
      <c r="L2883" s="1"/>
      <c r="M2883" s="1"/>
    </row>
    <row x14ac:dyDescent="0.25" r="2884" customHeight="1" ht="18.75">
      <c r="A2884" s="1" t="s">
        <v>3617</v>
      </c>
      <c r="B2884" s="1" t="s">
        <v>3729</v>
      </c>
      <c r="C2884" s="1" t="s">
        <v>3619</v>
      </c>
      <c r="D2884" s="1" t="s">
        <v>3601</v>
      </c>
      <c r="E2884" s="1" t="s">
        <v>3893</v>
      </c>
      <c r="F2884" s="1" t="s">
        <v>11585</v>
      </c>
      <c r="G2884" s="1" t="s">
        <v>8490</v>
      </c>
      <c r="H2884" s="1" t="s">
        <v>3604</v>
      </c>
      <c r="I2884" s="1" t="s">
        <v>11586</v>
      </c>
      <c r="J2884" s="1" t="s">
        <v>3606</v>
      </c>
      <c r="K2884" s="1" t="s">
        <v>11587</v>
      </c>
      <c r="L2884" s="1"/>
      <c r="M2884" s="1"/>
    </row>
    <row x14ac:dyDescent="0.25" r="2885" customHeight="1" ht="18.75">
      <c r="A2885" s="1" t="s">
        <v>3617</v>
      </c>
      <c r="B2885" s="1" t="s">
        <v>3729</v>
      </c>
      <c r="C2885" s="1" t="s">
        <v>3619</v>
      </c>
      <c r="D2885" s="1" t="s">
        <v>3601</v>
      </c>
      <c r="E2885" s="1" t="s">
        <v>3893</v>
      </c>
      <c r="F2885" s="1" t="s">
        <v>11588</v>
      </c>
      <c r="G2885" s="1" t="s">
        <v>11112</v>
      </c>
      <c r="H2885" s="1" t="s">
        <v>3604</v>
      </c>
      <c r="I2885" s="1" t="s">
        <v>11589</v>
      </c>
      <c r="J2885" s="1" t="s">
        <v>3606</v>
      </c>
      <c r="K2885" s="1" t="s">
        <v>11590</v>
      </c>
      <c r="L2885" s="1"/>
      <c r="M2885" s="1"/>
    </row>
    <row x14ac:dyDescent="0.25" r="2886" customHeight="1" ht="18.75">
      <c r="A2886" s="1" t="s">
        <v>3617</v>
      </c>
      <c r="B2886" s="1" t="s">
        <v>3729</v>
      </c>
      <c r="C2886" s="1" t="s">
        <v>3619</v>
      </c>
      <c r="D2886" s="1" t="s">
        <v>3601</v>
      </c>
      <c r="E2886" s="1" t="s">
        <v>3730</v>
      </c>
      <c r="F2886" s="1" t="s">
        <v>11591</v>
      </c>
      <c r="G2886" s="1" t="s">
        <v>11592</v>
      </c>
      <c r="H2886" s="1" t="s">
        <v>3604</v>
      </c>
      <c r="I2886" s="1" t="s">
        <v>11593</v>
      </c>
      <c r="J2886" s="1" t="s">
        <v>3606</v>
      </c>
      <c r="K2886" s="1" t="s">
        <v>11594</v>
      </c>
      <c r="L2886" s="1"/>
      <c r="M2886" s="1"/>
    </row>
    <row x14ac:dyDescent="0.25" r="2887" customHeight="1" ht="18.75">
      <c r="A2887" s="1" t="s">
        <v>3617</v>
      </c>
      <c r="B2887" s="1" t="s">
        <v>3729</v>
      </c>
      <c r="C2887" s="1" t="s">
        <v>3619</v>
      </c>
      <c r="D2887" s="1" t="s">
        <v>3601</v>
      </c>
      <c r="E2887" s="1" t="s">
        <v>3730</v>
      </c>
      <c r="F2887" s="1" t="s">
        <v>11595</v>
      </c>
      <c r="G2887" s="1" t="s">
        <v>11596</v>
      </c>
      <c r="H2887" s="1" t="s">
        <v>3604</v>
      </c>
      <c r="I2887" s="1" t="s">
        <v>11597</v>
      </c>
      <c r="J2887" s="1" t="s">
        <v>3606</v>
      </c>
      <c r="K2887" s="1" t="s">
        <v>11598</v>
      </c>
      <c r="L2887" s="1"/>
      <c r="M2887" s="1"/>
    </row>
    <row x14ac:dyDescent="0.25" r="2888" customHeight="1" ht="18.75">
      <c r="A2888" s="1" t="s">
        <v>3617</v>
      </c>
      <c r="B2888" s="1" t="s">
        <v>3729</v>
      </c>
      <c r="C2888" s="1" t="s">
        <v>3619</v>
      </c>
      <c r="D2888" s="1" t="s">
        <v>3601</v>
      </c>
      <c r="E2888" s="1" t="s">
        <v>3730</v>
      </c>
      <c r="F2888" s="1" t="s">
        <v>11599</v>
      </c>
      <c r="G2888" s="1" t="s">
        <v>11600</v>
      </c>
      <c r="H2888" s="1" t="s">
        <v>3604</v>
      </c>
      <c r="I2888" s="1" t="s">
        <v>11601</v>
      </c>
      <c r="J2888" s="1" t="s">
        <v>3606</v>
      </c>
      <c r="K2888" s="1" t="s">
        <v>11602</v>
      </c>
      <c r="L2888" s="1"/>
      <c r="M2888" s="1"/>
    </row>
    <row x14ac:dyDescent="0.25" r="2889" customHeight="1" ht="18.75">
      <c r="A2889" s="1" t="s">
        <v>3617</v>
      </c>
      <c r="B2889" s="1" t="s">
        <v>3729</v>
      </c>
      <c r="C2889" s="1" t="s">
        <v>3619</v>
      </c>
      <c r="D2889" s="1" t="s">
        <v>3601</v>
      </c>
      <c r="E2889" s="1" t="s">
        <v>3730</v>
      </c>
      <c r="F2889" s="1" t="s">
        <v>11603</v>
      </c>
      <c r="G2889" s="1" t="s">
        <v>11099</v>
      </c>
      <c r="H2889" s="1" t="s">
        <v>3604</v>
      </c>
      <c r="I2889" s="1" t="s">
        <v>11604</v>
      </c>
      <c r="J2889" s="1" t="s">
        <v>3606</v>
      </c>
      <c r="K2889" s="1" t="s">
        <v>11605</v>
      </c>
      <c r="L2889" s="1"/>
      <c r="M2889" s="1"/>
    </row>
    <row x14ac:dyDescent="0.25" r="2890" customHeight="1" ht="18.75">
      <c r="A2890" s="1" t="s">
        <v>3617</v>
      </c>
      <c r="B2890" s="1" t="s">
        <v>3729</v>
      </c>
      <c r="C2890" s="1" t="s">
        <v>3619</v>
      </c>
      <c r="D2890" s="1" t="s">
        <v>3601</v>
      </c>
      <c r="E2890" s="1" t="s">
        <v>4590</v>
      </c>
      <c r="F2890" s="1" t="s">
        <v>11606</v>
      </c>
      <c r="G2890" s="1" t="s">
        <v>11526</v>
      </c>
      <c r="H2890" s="1" t="s">
        <v>3604</v>
      </c>
      <c r="I2890" s="1" t="s">
        <v>11607</v>
      </c>
      <c r="J2890" s="1" t="s">
        <v>3615</v>
      </c>
      <c r="K2890" s="1" t="s">
        <v>11608</v>
      </c>
      <c r="L2890" s="1"/>
      <c r="M2890" s="1"/>
    </row>
    <row x14ac:dyDescent="0.25" r="2891" customHeight="1" ht="18.75">
      <c r="A2891" s="1" t="s">
        <v>3617</v>
      </c>
      <c r="B2891" s="1" t="s">
        <v>3729</v>
      </c>
      <c r="C2891" s="1" t="s">
        <v>3619</v>
      </c>
      <c r="D2891" s="1" t="s">
        <v>3601</v>
      </c>
      <c r="E2891" s="1" t="s">
        <v>4478</v>
      </c>
      <c r="F2891" s="1" t="s">
        <v>11609</v>
      </c>
      <c r="G2891" s="1" t="s">
        <v>8544</v>
      </c>
      <c r="H2891" s="1" t="s">
        <v>3604</v>
      </c>
      <c r="I2891" s="1" t="s">
        <v>11610</v>
      </c>
      <c r="J2891" s="1" t="s">
        <v>3606</v>
      </c>
      <c r="K2891" s="1" t="s">
        <v>7997</v>
      </c>
      <c r="L2891" s="1"/>
      <c r="M2891" s="1"/>
    </row>
    <row x14ac:dyDescent="0.25" r="2892" customHeight="1" ht="18.75">
      <c r="A2892" s="1" t="s">
        <v>3617</v>
      </c>
      <c r="B2892" s="1" t="s">
        <v>3729</v>
      </c>
      <c r="C2892" s="1" t="s">
        <v>3619</v>
      </c>
      <c r="D2892" s="1" t="s">
        <v>3601</v>
      </c>
      <c r="E2892" s="1" t="s">
        <v>4478</v>
      </c>
      <c r="F2892" s="1" t="s">
        <v>11611</v>
      </c>
      <c r="G2892" s="1" t="s">
        <v>8544</v>
      </c>
      <c r="H2892" s="1" t="s">
        <v>3604</v>
      </c>
      <c r="I2892" s="1" t="s">
        <v>11612</v>
      </c>
      <c r="J2892" s="1" t="s">
        <v>3615</v>
      </c>
      <c r="K2892" s="1" t="s">
        <v>7997</v>
      </c>
      <c r="L2892" s="1"/>
      <c r="M2892" s="1"/>
    </row>
    <row x14ac:dyDescent="0.25" r="2893" customHeight="1" ht="18.75">
      <c r="A2893" s="1" t="s">
        <v>3617</v>
      </c>
      <c r="B2893" s="1" t="s">
        <v>3729</v>
      </c>
      <c r="C2893" s="1" t="s">
        <v>3619</v>
      </c>
      <c r="D2893" s="1" t="s">
        <v>3601</v>
      </c>
      <c r="E2893" s="1" t="s">
        <v>4478</v>
      </c>
      <c r="F2893" s="1" t="s">
        <v>11613</v>
      </c>
      <c r="G2893" s="1" t="s">
        <v>8534</v>
      </c>
      <c r="H2893" s="1" t="s">
        <v>3604</v>
      </c>
      <c r="I2893" s="1" t="s">
        <v>11614</v>
      </c>
      <c r="J2893" s="1" t="s">
        <v>3606</v>
      </c>
      <c r="K2893" s="1" t="s">
        <v>7997</v>
      </c>
      <c r="L2893" s="1"/>
      <c r="M2893" s="1"/>
    </row>
    <row x14ac:dyDescent="0.25" r="2894" customHeight="1" ht="18.75">
      <c r="A2894" s="1" t="s">
        <v>3617</v>
      </c>
      <c r="B2894" s="1" t="s">
        <v>3729</v>
      </c>
      <c r="C2894" s="1" t="s">
        <v>3619</v>
      </c>
      <c r="D2894" s="1" t="s">
        <v>3601</v>
      </c>
      <c r="E2894" s="1" t="s">
        <v>4478</v>
      </c>
      <c r="F2894" s="1" t="s">
        <v>11615</v>
      </c>
      <c r="G2894" s="1" t="s">
        <v>8534</v>
      </c>
      <c r="H2894" s="1" t="s">
        <v>3604</v>
      </c>
      <c r="I2894" s="1" t="s">
        <v>11616</v>
      </c>
      <c r="J2894" s="1" t="s">
        <v>3615</v>
      </c>
      <c r="K2894" s="1" t="s">
        <v>7997</v>
      </c>
      <c r="L2894" s="1"/>
      <c r="M2894" s="1"/>
    </row>
    <row x14ac:dyDescent="0.25" r="2895" customHeight="1" ht="18.75">
      <c r="A2895" s="1" t="s">
        <v>3617</v>
      </c>
      <c r="B2895" s="1" t="s">
        <v>3729</v>
      </c>
      <c r="C2895" s="1" t="s">
        <v>3619</v>
      </c>
      <c r="D2895" s="1" t="s">
        <v>3601</v>
      </c>
      <c r="E2895" s="1" t="s">
        <v>3730</v>
      </c>
      <c r="F2895" s="1" t="s">
        <v>11617</v>
      </c>
      <c r="G2895" s="1" t="s">
        <v>11530</v>
      </c>
      <c r="H2895" s="1" t="s">
        <v>3604</v>
      </c>
      <c r="I2895" s="1" t="s">
        <v>11618</v>
      </c>
      <c r="J2895" s="1" t="s">
        <v>3606</v>
      </c>
      <c r="K2895" s="1" t="s">
        <v>7997</v>
      </c>
      <c r="L2895" s="1"/>
      <c r="M2895" s="1"/>
    </row>
    <row x14ac:dyDescent="0.25" r="2896" customHeight="1" ht="18.75">
      <c r="A2896" s="1" t="s">
        <v>3617</v>
      </c>
      <c r="B2896" s="1" t="s">
        <v>3729</v>
      </c>
      <c r="C2896" s="1" t="s">
        <v>3619</v>
      </c>
      <c r="D2896" s="1" t="s">
        <v>3601</v>
      </c>
      <c r="E2896" s="1" t="s">
        <v>3730</v>
      </c>
      <c r="F2896" s="1" t="s">
        <v>11619</v>
      </c>
      <c r="G2896" s="1" t="s">
        <v>11563</v>
      </c>
      <c r="H2896" s="1" t="s">
        <v>3604</v>
      </c>
      <c r="I2896" s="1" t="s">
        <v>11620</v>
      </c>
      <c r="J2896" s="1" t="s">
        <v>3606</v>
      </c>
      <c r="K2896" s="1" t="s">
        <v>7997</v>
      </c>
      <c r="L2896" s="1"/>
      <c r="M2896" s="1"/>
    </row>
    <row x14ac:dyDescent="0.25" r="2897" customHeight="1" ht="18.75">
      <c r="A2897" s="1" t="s">
        <v>3617</v>
      </c>
      <c r="B2897" s="1" t="s">
        <v>3729</v>
      </c>
      <c r="C2897" s="1" t="s">
        <v>3619</v>
      </c>
      <c r="D2897" s="1" t="s">
        <v>3601</v>
      </c>
      <c r="E2897" s="1" t="s">
        <v>3730</v>
      </c>
      <c r="F2897" s="1" t="s">
        <v>11621</v>
      </c>
      <c r="G2897" s="1" t="s">
        <v>11534</v>
      </c>
      <c r="H2897" s="1" t="s">
        <v>3604</v>
      </c>
      <c r="I2897" s="1" t="s">
        <v>11622</v>
      </c>
      <c r="J2897" s="1" t="s">
        <v>3606</v>
      </c>
      <c r="K2897" s="1" t="s">
        <v>7997</v>
      </c>
      <c r="L2897" s="1"/>
      <c r="M2897" s="1"/>
    </row>
    <row x14ac:dyDescent="0.25" r="2898" customHeight="1" ht="18.75">
      <c r="A2898" s="1" t="s">
        <v>3617</v>
      </c>
      <c r="B2898" s="1" t="s">
        <v>3729</v>
      </c>
      <c r="C2898" s="1" t="s">
        <v>3619</v>
      </c>
      <c r="D2898" s="1" t="s">
        <v>3601</v>
      </c>
      <c r="E2898" s="1" t="s">
        <v>3730</v>
      </c>
      <c r="F2898" s="1" t="s">
        <v>11623</v>
      </c>
      <c r="G2898" s="1" t="s">
        <v>11567</v>
      </c>
      <c r="H2898" s="1" t="s">
        <v>3604</v>
      </c>
      <c r="I2898" s="1" t="s">
        <v>11624</v>
      </c>
      <c r="J2898" s="1" t="s">
        <v>3606</v>
      </c>
      <c r="K2898" s="1" t="s">
        <v>7997</v>
      </c>
      <c r="L2898" s="1"/>
      <c r="M2898" s="1"/>
    </row>
    <row x14ac:dyDescent="0.25" r="2899" customHeight="1" ht="18.75">
      <c r="A2899" s="1" t="s">
        <v>3617</v>
      </c>
      <c r="B2899" s="1" t="s">
        <v>3729</v>
      </c>
      <c r="C2899" s="1" t="s">
        <v>3619</v>
      </c>
      <c r="D2899" s="1" t="s">
        <v>3601</v>
      </c>
      <c r="E2899" s="1" t="s">
        <v>3730</v>
      </c>
      <c r="F2899" s="1" t="s">
        <v>11625</v>
      </c>
      <c r="G2899" s="1" t="s">
        <v>11626</v>
      </c>
      <c r="H2899" s="1" t="s">
        <v>3604</v>
      </c>
      <c r="I2899" s="1" t="s">
        <v>11627</v>
      </c>
      <c r="J2899" s="1" t="s">
        <v>3606</v>
      </c>
      <c r="K2899" s="1" t="s">
        <v>7997</v>
      </c>
      <c r="L2899" s="1"/>
      <c r="M2899" s="1"/>
    </row>
    <row x14ac:dyDescent="0.25" r="2900" customHeight="1" ht="18.75">
      <c r="A2900" s="1" t="s">
        <v>3617</v>
      </c>
      <c r="B2900" s="1" t="s">
        <v>3729</v>
      </c>
      <c r="C2900" s="1" t="s">
        <v>3619</v>
      </c>
      <c r="D2900" s="1" t="s">
        <v>3601</v>
      </c>
      <c r="E2900" s="1" t="s">
        <v>3730</v>
      </c>
      <c r="F2900" s="1" t="s">
        <v>11628</v>
      </c>
      <c r="G2900" s="1" t="s">
        <v>11629</v>
      </c>
      <c r="H2900" s="1" t="s">
        <v>3604</v>
      </c>
      <c r="I2900" s="1" t="s">
        <v>11630</v>
      </c>
      <c r="J2900" s="1" t="s">
        <v>3606</v>
      </c>
      <c r="K2900" s="1" t="s">
        <v>7997</v>
      </c>
      <c r="L2900" s="1"/>
      <c r="M2900" s="1"/>
    </row>
    <row x14ac:dyDescent="0.25" r="2901" customHeight="1" ht="18.75">
      <c r="A2901" s="1" t="s">
        <v>3617</v>
      </c>
      <c r="B2901" s="1" t="s">
        <v>3729</v>
      </c>
      <c r="C2901" s="1" t="s">
        <v>3619</v>
      </c>
      <c r="D2901" s="1" t="s">
        <v>3601</v>
      </c>
      <c r="E2901" s="1" t="s">
        <v>3730</v>
      </c>
      <c r="F2901" s="1" t="s">
        <v>11631</v>
      </c>
      <c r="G2901" s="1" t="s">
        <v>11632</v>
      </c>
      <c r="H2901" s="1" t="s">
        <v>3604</v>
      </c>
      <c r="I2901" s="1" t="s">
        <v>11633</v>
      </c>
      <c r="J2901" s="1" t="s">
        <v>3606</v>
      </c>
      <c r="K2901" s="1" t="s">
        <v>7997</v>
      </c>
      <c r="L2901" s="1"/>
      <c r="M2901" s="1"/>
    </row>
    <row x14ac:dyDescent="0.25" r="2902" customHeight="1" ht="18.75">
      <c r="A2902" s="1" t="s">
        <v>3617</v>
      </c>
      <c r="B2902" s="1" t="s">
        <v>3729</v>
      </c>
      <c r="C2902" s="1" t="s">
        <v>3619</v>
      </c>
      <c r="D2902" s="1" t="s">
        <v>3601</v>
      </c>
      <c r="E2902" s="1" t="s">
        <v>4478</v>
      </c>
      <c r="F2902" s="1" t="s">
        <v>11634</v>
      </c>
      <c r="G2902" s="1" t="s">
        <v>3840</v>
      </c>
      <c r="H2902" s="1" t="s">
        <v>3604</v>
      </c>
      <c r="I2902" s="1" t="s">
        <v>11635</v>
      </c>
      <c r="J2902" s="1" t="s">
        <v>3606</v>
      </c>
      <c r="K2902" s="1" t="s">
        <v>11636</v>
      </c>
      <c r="L2902" s="1"/>
      <c r="M2902" s="1"/>
    </row>
    <row x14ac:dyDescent="0.25" r="2903" customHeight="1" ht="18.75">
      <c r="A2903" s="1" t="s">
        <v>3617</v>
      </c>
      <c r="B2903" s="1" t="s">
        <v>3729</v>
      </c>
      <c r="C2903" s="1" t="s">
        <v>3619</v>
      </c>
      <c r="D2903" s="1" t="s">
        <v>3601</v>
      </c>
      <c r="E2903" s="1" t="s">
        <v>4478</v>
      </c>
      <c r="F2903" s="1" t="s">
        <v>11637</v>
      </c>
      <c r="G2903" s="1" t="s">
        <v>3840</v>
      </c>
      <c r="H2903" s="1" t="s">
        <v>3604</v>
      </c>
      <c r="I2903" s="1" t="s">
        <v>11638</v>
      </c>
      <c r="J2903" s="1" t="s">
        <v>3606</v>
      </c>
      <c r="K2903" s="1" t="s">
        <v>11639</v>
      </c>
      <c r="L2903" s="1"/>
      <c r="M2903" s="1"/>
    </row>
    <row x14ac:dyDescent="0.25" r="2904" customHeight="1" ht="18.75">
      <c r="A2904" s="1" t="s">
        <v>3617</v>
      </c>
      <c r="B2904" s="1" t="s">
        <v>3729</v>
      </c>
      <c r="C2904" s="1" t="s">
        <v>3619</v>
      </c>
      <c r="D2904" s="1" t="s">
        <v>3601</v>
      </c>
      <c r="E2904" s="1" t="s">
        <v>4478</v>
      </c>
      <c r="F2904" s="1" t="s">
        <v>11640</v>
      </c>
      <c r="G2904" s="1" t="s">
        <v>3840</v>
      </c>
      <c r="H2904" s="1" t="s">
        <v>3604</v>
      </c>
      <c r="I2904" s="1" t="s">
        <v>11641</v>
      </c>
      <c r="J2904" s="1" t="s">
        <v>3606</v>
      </c>
      <c r="K2904" s="1" t="s">
        <v>11642</v>
      </c>
      <c r="L2904" s="1"/>
      <c r="M2904" s="1"/>
    </row>
    <row x14ac:dyDescent="0.25" r="2905" customHeight="1" ht="18.75">
      <c r="A2905" s="1" t="s">
        <v>3617</v>
      </c>
      <c r="B2905" s="1" t="s">
        <v>3729</v>
      </c>
      <c r="C2905" s="1" t="s">
        <v>3619</v>
      </c>
      <c r="D2905" s="1" t="s">
        <v>3601</v>
      </c>
      <c r="E2905" s="1" t="s">
        <v>4478</v>
      </c>
      <c r="F2905" s="1" t="s">
        <v>11643</v>
      </c>
      <c r="G2905" s="1" t="s">
        <v>3840</v>
      </c>
      <c r="H2905" s="1" t="s">
        <v>3604</v>
      </c>
      <c r="I2905" s="1" t="s">
        <v>11644</v>
      </c>
      <c r="J2905" s="1" t="s">
        <v>3606</v>
      </c>
      <c r="K2905" s="1" t="s">
        <v>11645</v>
      </c>
      <c r="L2905" s="1"/>
      <c r="M2905" s="1"/>
    </row>
    <row x14ac:dyDescent="0.25" r="2906" customHeight="1" ht="18.75">
      <c r="A2906" s="1" t="s">
        <v>3617</v>
      </c>
      <c r="B2906" s="1" t="s">
        <v>3729</v>
      </c>
      <c r="C2906" s="1" t="s">
        <v>3619</v>
      </c>
      <c r="D2906" s="1" t="s">
        <v>3601</v>
      </c>
      <c r="E2906" s="1" t="s">
        <v>4478</v>
      </c>
      <c r="F2906" s="1" t="s">
        <v>11646</v>
      </c>
      <c r="G2906" s="1" t="s">
        <v>3840</v>
      </c>
      <c r="H2906" s="1" t="s">
        <v>3604</v>
      </c>
      <c r="I2906" s="1" t="s">
        <v>11647</v>
      </c>
      <c r="J2906" s="1" t="s">
        <v>3606</v>
      </c>
      <c r="K2906" s="1" t="s">
        <v>11648</v>
      </c>
      <c r="L2906" s="1"/>
      <c r="M2906" s="1"/>
    </row>
    <row x14ac:dyDescent="0.25" r="2907" customHeight="1" ht="18.75">
      <c r="A2907" s="1" t="s">
        <v>3617</v>
      </c>
      <c r="B2907" s="1" t="s">
        <v>3729</v>
      </c>
      <c r="C2907" s="1" t="s">
        <v>3619</v>
      </c>
      <c r="D2907" s="1" t="s">
        <v>3601</v>
      </c>
      <c r="E2907" s="1" t="s">
        <v>4478</v>
      </c>
      <c r="F2907" s="1" t="s">
        <v>11649</v>
      </c>
      <c r="G2907" s="1" t="s">
        <v>3840</v>
      </c>
      <c r="H2907" s="1" t="s">
        <v>3604</v>
      </c>
      <c r="I2907" s="1" t="s">
        <v>11650</v>
      </c>
      <c r="J2907" s="1" t="s">
        <v>3606</v>
      </c>
      <c r="K2907" s="1" t="s">
        <v>11651</v>
      </c>
      <c r="L2907" s="1"/>
      <c r="M2907" s="1"/>
    </row>
    <row x14ac:dyDescent="0.25" r="2908" customHeight="1" ht="18.75">
      <c r="A2908" s="1" t="s">
        <v>3617</v>
      </c>
      <c r="B2908" s="1" t="s">
        <v>3729</v>
      </c>
      <c r="C2908" s="1" t="s">
        <v>3619</v>
      </c>
      <c r="D2908" s="1" t="s">
        <v>3601</v>
      </c>
      <c r="E2908" s="1" t="s">
        <v>4478</v>
      </c>
      <c r="F2908" s="1" t="s">
        <v>11652</v>
      </c>
      <c r="G2908" s="1" t="s">
        <v>3840</v>
      </c>
      <c r="H2908" s="1" t="s">
        <v>3604</v>
      </c>
      <c r="I2908" s="1" t="s">
        <v>11653</v>
      </c>
      <c r="J2908" s="1" t="s">
        <v>3606</v>
      </c>
      <c r="K2908" s="1" t="s">
        <v>11654</v>
      </c>
      <c r="L2908" s="1"/>
      <c r="M2908" s="1"/>
    </row>
    <row x14ac:dyDescent="0.25" r="2909" customHeight="1" ht="18.75">
      <c r="A2909" s="1" t="s">
        <v>3617</v>
      </c>
      <c r="B2909" s="1" t="s">
        <v>3729</v>
      </c>
      <c r="C2909" s="1" t="s">
        <v>3619</v>
      </c>
      <c r="D2909" s="1" t="s">
        <v>3601</v>
      </c>
      <c r="E2909" s="1" t="s">
        <v>4478</v>
      </c>
      <c r="F2909" s="1" t="s">
        <v>11655</v>
      </c>
      <c r="G2909" s="1" t="s">
        <v>3840</v>
      </c>
      <c r="H2909" s="1" t="s">
        <v>3604</v>
      </c>
      <c r="I2909" s="1" t="s">
        <v>11656</v>
      </c>
      <c r="J2909" s="1" t="s">
        <v>3606</v>
      </c>
      <c r="K2909" s="1" t="s">
        <v>11657</v>
      </c>
      <c r="L2909" s="1"/>
      <c r="M2909" s="1"/>
    </row>
    <row x14ac:dyDescent="0.25" r="2910" customHeight="1" ht="18.75">
      <c r="A2910" s="1" t="s">
        <v>3617</v>
      </c>
      <c r="B2910" s="1" t="s">
        <v>3729</v>
      </c>
      <c r="C2910" s="1" t="s">
        <v>3619</v>
      </c>
      <c r="D2910" s="1" t="s">
        <v>3601</v>
      </c>
      <c r="E2910" s="1" t="s">
        <v>4478</v>
      </c>
      <c r="F2910" s="1" t="s">
        <v>11658</v>
      </c>
      <c r="G2910" s="1" t="s">
        <v>3840</v>
      </c>
      <c r="H2910" s="1" t="s">
        <v>3604</v>
      </c>
      <c r="I2910" s="1" t="s">
        <v>11659</v>
      </c>
      <c r="J2910" s="1" t="s">
        <v>3606</v>
      </c>
      <c r="K2910" s="1" t="s">
        <v>11660</v>
      </c>
      <c r="L2910" s="1"/>
      <c r="M2910" s="1"/>
    </row>
    <row x14ac:dyDescent="0.25" r="2911" customHeight="1" ht="18.75">
      <c r="A2911" s="1" t="s">
        <v>3617</v>
      </c>
      <c r="B2911" s="1" t="s">
        <v>3729</v>
      </c>
      <c r="C2911" s="1" t="s">
        <v>3619</v>
      </c>
      <c r="D2911" s="1" t="s">
        <v>3601</v>
      </c>
      <c r="E2911" s="1" t="s">
        <v>4478</v>
      </c>
      <c r="F2911" s="1" t="s">
        <v>11661</v>
      </c>
      <c r="G2911" s="1" t="s">
        <v>3840</v>
      </c>
      <c r="H2911" s="1" t="s">
        <v>3604</v>
      </c>
      <c r="I2911" s="1" t="s">
        <v>11662</v>
      </c>
      <c r="J2911" s="1" t="s">
        <v>3606</v>
      </c>
      <c r="K2911" s="1" t="s">
        <v>11663</v>
      </c>
      <c r="L2911" s="1"/>
      <c r="M2911" s="1"/>
    </row>
    <row x14ac:dyDescent="0.25" r="2912" customHeight="1" ht="18.75">
      <c r="A2912" s="1" t="s">
        <v>3617</v>
      </c>
      <c r="B2912" s="1" t="s">
        <v>3729</v>
      </c>
      <c r="C2912" s="1" t="s">
        <v>3619</v>
      </c>
      <c r="D2912" s="1" t="s">
        <v>3601</v>
      </c>
      <c r="E2912" s="1" t="s">
        <v>4478</v>
      </c>
      <c r="F2912" s="1" t="s">
        <v>11664</v>
      </c>
      <c r="G2912" s="1" t="s">
        <v>3840</v>
      </c>
      <c r="H2912" s="1" t="s">
        <v>3604</v>
      </c>
      <c r="I2912" s="1" t="s">
        <v>11665</v>
      </c>
      <c r="J2912" s="1" t="s">
        <v>3606</v>
      </c>
      <c r="K2912" s="1" t="s">
        <v>11666</v>
      </c>
      <c r="L2912" s="1"/>
      <c r="M2912" s="1"/>
    </row>
    <row x14ac:dyDescent="0.25" r="2913" customHeight="1" ht="18.75">
      <c r="A2913" s="1" t="s">
        <v>3617</v>
      </c>
      <c r="B2913" s="1" t="s">
        <v>3729</v>
      </c>
      <c r="C2913" s="1" t="s">
        <v>3619</v>
      </c>
      <c r="D2913" s="1" t="s">
        <v>3601</v>
      </c>
      <c r="E2913" s="1" t="s">
        <v>4478</v>
      </c>
      <c r="F2913" s="1" t="s">
        <v>11667</v>
      </c>
      <c r="G2913" s="1" t="s">
        <v>3840</v>
      </c>
      <c r="H2913" s="1" t="s">
        <v>3604</v>
      </c>
      <c r="I2913" s="1" t="s">
        <v>11668</v>
      </c>
      <c r="J2913" s="1" t="s">
        <v>3606</v>
      </c>
      <c r="K2913" s="1" t="s">
        <v>11669</v>
      </c>
      <c r="L2913" s="1"/>
      <c r="M2913" s="1"/>
    </row>
    <row x14ac:dyDescent="0.25" r="2914" customHeight="1" ht="18.75">
      <c r="A2914" s="1" t="s">
        <v>3617</v>
      </c>
      <c r="B2914" s="1" t="s">
        <v>3729</v>
      </c>
      <c r="C2914" s="1" t="s">
        <v>3619</v>
      </c>
      <c r="D2914" s="1" t="s">
        <v>3601</v>
      </c>
      <c r="E2914" s="1" t="s">
        <v>4478</v>
      </c>
      <c r="F2914" s="1" t="s">
        <v>11670</v>
      </c>
      <c r="G2914" s="1" t="s">
        <v>3840</v>
      </c>
      <c r="H2914" s="1" t="s">
        <v>3604</v>
      </c>
      <c r="I2914" s="1" t="s">
        <v>11671</v>
      </c>
      <c r="J2914" s="1" t="s">
        <v>3606</v>
      </c>
      <c r="K2914" s="1" t="s">
        <v>11672</v>
      </c>
      <c r="L2914" s="1"/>
      <c r="M2914" s="1"/>
    </row>
    <row x14ac:dyDescent="0.25" r="2915" customHeight="1" ht="18.75">
      <c r="A2915" s="1" t="s">
        <v>3617</v>
      </c>
      <c r="B2915" s="1" t="s">
        <v>3729</v>
      </c>
      <c r="C2915" s="1" t="s">
        <v>3619</v>
      </c>
      <c r="D2915" s="1" t="s">
        <v>3601</v>
      </c>
      <c r="E2915" s="1" t="s">
        <v>4478</v>
      </c>
      <c r="F2915" s="1" t="s">
        <v>11673</v>
      </c>
      <c r="G2915" s="1" t="s">
        <v>3840</v>
      </c>
      <c r="H2915" s="1" t="s">
        <v>3604</v>
      </c>
      <c r="I2915" s="1" t="s">
        <v>11674</v>
      </c>
      <c r="J2915" s="1" t="s">
        <v>3606</v>
      </c>
      <c r="K2915" s="1" t="s">
        <v>11675</v>
      </c>
      <c r="L2915" s="1"/>
      <c r="M2915" s="1"/>
    </row>
    <row x14ac:dyDescent="0.25" r="2916" customHeight="1" ht="18.75">
      <c r="A2916" s="1" t="s">
        <v>3617</v>
      </c>
      <c r="B2916" s="1" t="s">
        <v>3729</v>
      </c>
      <c r="C2916" s="1" t="s">
        <v>3619</v>
      </c>
      <c r="D2916" s="1" t="s">
        <v>3601</v>
      </c>
      <c r="E2916" s="1" t="s">
        <v>4478</v>
      </c>
      <c r="F2916" s="1" t="s">
        <v>11676</v>
      </c>
      <c r="G2916" s="1" t="s">
        <v>3840</v>
      </c>
      <c r="H2916" s="1" t="s">
        <v>3604</v>
      </c>
      <c r="I2916" s="1" t="s">
        <v>11677</v>
      </c>
      <c r="J2916" s="1" t="s">
        <v>3606</v>
      </c>
      <c r="K2916" s="1" t="s">
        <v>11678</v>
      </c>
      <c r="L2916" s="1"/>
      <c r="M2916" s="1"/>
    </row>
    <row x14ac:dyDescent="0.25" r="2917" customHeight="1" ht="18.75">
      <c r="A2917" s="1" t="s">
        <v>3617</v>
      </c>
      <c r="B2917" s="1" t="s">
        <v>3729</v>
      </c>
      <c r="C2917" s="1" t="s">
        <v>3619</v>
      </c>
      <c r="D2917" s="1" t="s">
        <v>3601</v>
      </c>
      <c r="E2917" s="1" t="s">
        <v>4478</v>
      </c>
      <c r="F2917" s="1" t="s">
        <v>11679</v>
      </c>
      <c r="G2917" s="1" t="s">
        <v>3840</v>
      </c>
      <c r="H2917" s="1" t="s">
        <v>3604</v>
      </c>
      <c r="I2917" s="1" t="s">
        <v>11680</v>
      </c>
      <c r="J2917" s="1" t="s">
        <v>3606</v>
      </c>
      <c r="K2917" s="1" t="s">
        <v>11681</v>
      </c>
      <c r="L2917" s="1"/>
      <c r="M2917" s="1"/>
    </row>
    <row x14ac:dyDescent="0.25" r="2918" customHeight="1" ht="18.75">
      <c r="A2918" s="1" t="s">
        <v>3617</v>
      </c>
      <c r="B2918" s="1" t="s">
        <v>3729</v>
      </c>
      <c r="C2918" s="1" t="s">
        <v>3619</v>
      </c>
      <c r="D2918" s="1" t="s">
        <v>3601</v>
      </c>
      <c r="E2918" s="1" t="s">
        <v>4478</v>
      </c>
      <c r="F2918" s="1" t="s">
        <v>11682</v>
      </c>
      <c r="G2918" s="1" t="s">
        <v>3840</v>
      </c>
      <c r="H2918" s="1" t="s">
        <v>3604</v>
      </c>
      <c r="I2918" s="1" t="s">
        <v>11683</v>
      </c>
      <c r="J2918" s="1" t="s">
        <v>3606</v>
      </c>
      <c r="K2918" s="1" t="s">
        <v>11684</v>
      </c>
      <c r="L2918" s="1"/>
      <c r="M2918" s="1"/>
    </row>
    <row x14ac:dyDescent="0.25" r="2919" customHeight="1" ht="18.75">
      <c r="A2919" s="1" t="s">
        <v>3617</v>
      </c>
      <c r="B2919" s="1" t="s">
        <v>3729</v>
      </c>
      <c r="C2919" s="1" t="s">
        <v>3619</v>
      </c>
      <c r="D2919" s="1" t="s">
        <v>3601</v>
      </c>
      <c r="E2919" s="1" t="s">
        <v>4478</v>
      </c>
      <c r="F2919" s="1" t="s">
        <v>11685</v>
      </c>
      <c r="G2919" s="1" t="s">
        <v>3840</v>
      </c>
      <c r="H2919" s="1" t="s">
        <v>3604</v>
      </c>
      <c r="I2919" s="1" t="s">
        <v>11686</v>
      </c>
      <c r="J2919" s="1" t="s">
        <v>3606</v>
      </c>
      <c r="K2919" s="1" t="s">
        <v>11687</v>
      </c>
      <c r="L2919" s="1"/>
      <c r="M2919" s="1"/>
    </row>
    <row x14ac:dyDescent="0.25" r="2920" customHeight="1" ht="18.75">
      <c r="A2920" s="1" t="s">
        <v>3617</v>
      </c>
      <c r="B2920" s="1" t="s">
        <v>3729</v>
      </c>
      <c r="C2920" s="1" t="s">
        <v>3619</v>
      </c>
      <c r="D2920" s="1" t="s">
        <v>3601</v>
      </c>
      <c r="E2920" s="1" t="s">
        <v>4478</v>
      </c>
      <c r="F2920" s="1" t="s">
        <v>11688</v>
      </c>
      <c r="G2920" s="1" t="s">
        <v>3840</v>
      </c>
      <c r="H2920" s="1" t="s">
        <v>3604</v>
      </c>
      <c r="I2920" s="1" t="s">
        <v>11689</v>
      </c>
      <c r="J2920" s="1" t="s">
        <v>3606</v>
      </c>
      <c r="K2920" s="1" t="s">
        <v>11690</v>
      </c>
      <c r="L2920" s="1"/>
      <c r="M2920" s="1"/>
    </row>
    <row x14ac:dyDescent="0.25" r="2921" customHeight="1" ht="18.75">
      <c r="A2921" s="1" t="s">
        <v>3617</v>
      </c>
      <c r="B2921" s="1" t="s">
        <v>3729</v>
      </c>
      <c r="C2921" s="1" t="s">
        <v>3619</v>
      </c>
      <c r="D2921" s="1" t="s">
        <v>3601</v>
      </c>
      <c r="E2921" s="1" t="s">
        <v>4478</v>
      </c>
      <c r="F2921" s="1" t="s">
        <v>11691</v>
      </c>
      <c r="G2921" s="1" t="s">
        <v>3840</v>
      </c>
      <c r="H2921" s="1" t="s">
        <v>3604</v>
      </c>
      <c r="I2921" s="1" t="s">
        <v>11692</v>
      </c>
      <c r="J2921" s="1" t="s">
        <v>3606</v>
      </c>
      <c r="K2921" s="1" t="s">
        <v>11693</v>
      </c>
      <c r="L2921" s="1"/>
      <c r="M2921" s="1"/>
    </row>
    <row x14ac:dyDescent="0.25" r="2922" customHeight="1" ht="18.75">
      <c r="A2922" s="1" t="s">
        <v>3617</v>
      </c>
      <c r="B2922" s="1" t="s">
        <v>3729</v>
      </c>
      <c r="C2922" s="1" t="s">
        <v>3619</v>
      </c>
      <c r="D2922" s="1" t="s">
        <v>3601</v>
      </c>
      <c r="E2922" s="1" t="s">
        <v>4478</v>
      </c>
      <c r="F2922" s="1" t="s">
        <v>11694</v>
      </c>
      <c r="G2922" s="1" t="s">
        <v>3840</v>
      </c>
      <c r="H2922" s="1" t="s">
        <v>3604</v>
      </c>
      <c r="I2922" s="1" t="s">
        <v>11695</v>
      </c>
      <c r="J2922" s="1" t="s">
        <v>3606</v>
      </c>
      <c r="K2922" s="1" t="s">
        <v>11696</v>
      </c>
      <c r="L2922" s="1"/>
      <c r="M2922" s="1"/>
    </row>
    <row x14ac:dyDescent="0.25" r="2923" customHeight="1" ht="18.75">
      <c r="A2923" s="1" t="s">
        <v>3617</v>
      </c>
      <c r="B2923" s="1" t="s">
        <v>3729</v>
      </c>
      <c r="C2923" s="1" t="s">
        <v>3619</v>
      </c>
      <c r="D2923" s="1" t="s">
        <v>3601</v>
      </c>
      <c r="E2923" s="1" t="s">
        <v>4478</v>
      </c>
      <c r="F2923" s="1" t="s">
        <v>11697</v>
      </c>
      <c r="G2923" s="1" t="s">
        <v>3840</v>
      </c>
      <c r="H2923" s="1" t="s">
        <v>3604</v>
      </c>
      <c r="I2923" s="1" t="s">
        <v>11698</v>
      </c>
      <c r="J2923" s="1" t="s">
        <v>3606</v>
      </c>
      <c r="K2923" s="1" t="s">
        <v>11699</v>
      </c>
      <c r="L2923" s="1"/>
      <c r="M2923" s="1"/>
    </row>
    <row x14ac:dyDescent="0.25" r="2924" customHeight="1" ht="18.75">
      <c r="A2924" s="1" t="s">
        <v>3617</v>
      </c>
      <c r="B2924" s="1" t="s">
        <v>3729</v>
      </c>
      <c r="C2924" s="1" t="s">
        <v>3619</v>
      </c>
      <c r="D2924" s="1" t="s">
        <v>3601</v>
      </c>
      <c r="E2924" s="1" t="s">
        <v>3730</v>
      </c>
      <c r="F2924" s="1" t="s">
        <v>11700</v>
      </c>
      <c r="G2924" s="1" t="s">
        <v>11530</v>
      </c>
      <c r="H2924" s="1" t="s">
        <v>3604</v>
      </c>
      <c r="I2924" s="1" t="s">
        <v>11701</v>
      </c>
      <c r="J2924" s="1" t="s">
        <v>3606</v>
      </c>
      <c r="K2924" s="1" t="s">
        <v>11702</v>
      </c>
      <c r="L2924" s="1"/>
      <c r="M2924" s="1"/>
    </row>
    <row x14ac:dyDescent="0.25" r="2925" customHeight="1" ht="18.75">
      <c r="A2925" s="1" t="s">
        <v>3617</v>
      </c>
      <c r="B2925" s="1" t="s">
        <v>3729</v>
      </c>
      <c r="C2925" s="1" t="s">
        <v>3619</v>
      </c>
      <c r="D2925" s="1" t="s">
        <v>3601</v>
      </c>
      <c r="E2925" s="1" t="s">
        <v>3730</v>
      </c>
      <c r="F2925" s="1" t="s">
        <v>11703</v>
      </c>
      <c r="G2925" s="1" t="s">
        <v>11563</v>
      </c>
      <c r="H2925" s="1" t="s">
        <v>3604</v>
      </c>
      <c r="I2925" s="1" t="s">
        <v>11704</v>
      </c>
      <c r="J2925" s="1" t="s">
        <v>3606</v>
      </c>
      <c r="K2925" s="1" t="s">
        <v>11705</v>
      </c>
      <c r="L2925" s="1"/>
      <c r="M2925" s="1"/>
    </row>
    <row x14ac:dyDescent="0.25" r="2926" customHeight="1" ht="18.75">
      <c r="A2926" s="1" t="s">
        <v>3617</v>
      </c>
      <c r="B2926" s="1" t="s">
        <v>3729</v>
      </c>
      <c r="C2926" s="1" t="s">
        <v>3619</v>
      </c>
      <c r="D2926" s="1" t="s">
        <v>3601</v>
      </c>
      <c r="E2926" s="1" t="s">
        <v>3730</v>
      </c>
      <c r="F2926" s="1" t="s">
        <v>11706</v>
      </c>
      <c r="G2926" s="1" t="s">
        <v>11534</v>
      </c>
      <c r="H2926" s="1" t="s">
        <v>3604</v>
      </c>
      <c r="I2926" s="1" t="s">
        <v>11707</v>
      </c>
      <c r="J2926" s="1" t="s">
        <v>3606</v>
      </c>
      <c r="K2926" s="1" t="s">
        <v>11708</v>
      </c>
      <c r="L2926" s="1"/>
      <c r="M2926" s="1"/>
    </row>
    <row x14ac:dyDescent="0.25" r="2927" customHeight="1" ht="18.75">
      <c r="A2927" s="1" t="s">
        <v>3617</v>
      </c>
      <c r="B2927" s="1" t="s">
        <v>3729</v>
      </c>
      <c r="C2927" s="1" t="s">
        <v>3619</v>
      </c>
      <c r="D2927" s="1" t="s">
        <v>3601</v>
      </c>
      <c r="E2927" s="1" t="s">
        <v>3730</v>
      </c>
      <c r="F2927" s="1" t="s">
        <v>11709</v>
      </c>
      <c r="G2927" s="1" t="s">
        <v>11567</v>
      </c>
      <c r="H2927" s="1" t="s">
        <v>3604</v>
      </c>
      <c r="I2927" s="1" t="s">
        <v>11710</v>
      </c>
      <c r="J2927" s="1" t="s">
        <v>3606</v>
      </c>
      <c r="K2927" s="1" t="s">
        <v>11711</v>
      </c>
      <c r="L2927" s="1"/>
      <c r="M2927" s="1"/>
    </row>
    <row x14ac:dyDescent="0.25" r="2928" customHeight="1" ht="18.75">
      <c r="A2928" s="1" t="s">
        <v>3617</v>
      </c>
      <c r="B2928" s="1" t="s">
        <v>4582</v>
      </c>
      <c r="C2928" s="1" t="s">
        <v>4488</v>
      </c>
      <c r="D2928" s="1" t="s">
        <v>3610</v>
      </c>
      <c r="E2928" s="1" t="s">
        <v>4478</v>
      </c>
      <c r="F2928" s="1" t="s">
        <v>11712</v>
      </c>
      <c r="G2928" s="1" t="s">
        <v>11713</v>
      </c>
      <c r="H2928" s="1" t="s">
        <v>3604</v>
      </c>
      <c r="I2928" s="1" t="s">
        <v>11714</v>
      </c>
      <c r="J2928" s="1" t="s">
        <v>3606</v>
      </c>
      <c r="K2928" s="1" t="s">
        <v>11715</v>
      </c>
      <c r="L2928" s="1"/>
      <c r="M2928" s="1"/>
    </row>
    <row x14ac:dyDescent="0.25" r="2929" customHeight="1" ht="18.75">
      <c r="A2929" s="1" t="s">
        <v>3617</v>
      </c>
      <c r="B2929" s="1" t="s">
        <v>4582</v>
      </c>
      <c r="C2929" s="1" t="s">
        <v>4488</v>
      </c>
      <c r="D2929" s="1" t="s">
        <v>3610</v>
      </c>
      <c r="E2929" s="1" t="s">
        <v>4478</v>
      </c>
      <c r="F2929" s="1" t="s">
        <v>11716</v>
      </c>
      <c r="G2929" s="1" t="s">
        <v>11717</v>
      </c>
      <c r="H2929" s="1" t="s">
        <v>3604</v>
      </c>
      <c r="I2929" s="1" t="s">
        <v>11718</v>
      </c>
      <c r="J2929" s="1" t="s">
        <v>3606</v>
      </c>
      <c r="K2929" s="1" t="s">
        <v>11719</v>
      </c>
      <c r="L2929" s="1"/>
      <c r="M2929" s="1"/>
    </row>
    <row x14ac:dyDescent="0.25" r="2930" customHeight="1" ht="18.75">
      <c r="A2930" s="1" t="s">
        <v>3617</v>
      </c>
      <c r="B2930" s="1" t="s">
        <v>4582</v>
      </c>
      <c r="C2930" s="1" t="s">
        <v>4488</v>
      </c>
      <c r="D2930" s="1" t="s">
        <v>3610</v>
      </c>
      <c r="E2930" s="1" t="s">
        <v>4478</v>
      </c>
      <c r="F2930" s="1" t="s">
        <v>11720</v>
      </c>
      <c r="G2930" s="1" t="s">
        <v>11721</v>
      </c>
      <c r="H2930" s="1" t="s">
        <v>3604</v>
      </c>
      <c r="I2930" s="1" t="s">
        <v>11722</v>
      </c>
      <c r="J2930" s="1" t="s">
        <v>3606</v>
      </c>
      <c r="K2930" s="1" t="s">
        <v>11723</v>
      </c>
      <c r="L2930" s="1" t="s">
        <v>3616</v>
      </c>
      <c r="M2930" s="1"/>
    </row>
    <row x14ac:dyDescent="0.25" r="2931" customHeight="1" ht="18.75">
      <c r="A2931" s="1" t="s">
        <v>3617</v>
      </c>
      <c r="B2931" s="1" t="s">
        <v>11724</v>
      </c>
      <c r="C2931" s="1" t="s">
        <v>4488</v>
      </c>
      <c r="D2931" s="1" t="s">
        <v>7847</v>
      </c>
      <c r="E2931" s="1" t="s">
        <v>3893</v>
      </c>
      <c r="F2931" s="1" t="s">
        <v>11725</v>
      </c>
      <c r="G2931" s="1" t="s">
        <v>11726</v>
      </c>
      <c r="H2931" s="1" t="s">
        <v>3604</v>
      </c>
      <c r="I2931" s="1" t="s">
        <v>11727</v>
      </c>
      <c r="J2931" s="1" t="s">
        <v>3606</v>
      </c>
      <c r="K2931" s="1" t="s">
        <v>10974</v>
      </c>
      <c r="L2931" s="1"/>
      <c r="M2931" s="1"/>
    </row>
    <row x14ac:dyDescent="0.25" r="2932" customHeight="1" ht="18.75">
      <c r="A2932" s="1" t="s">
        <v>3617</v>
      </c>
      <c r="B2932" s="1" t="s">
        <v>11724</v>
      </c>
      <c r="C2932" s="1" t="s">
        <v>4488</v>
      </c>
      <c r="D2932" s="1" t="s">
        <v>7847</v>
      </c>
      <c r="E2932" s="1" t="s">
        <v>3893</v>
      </c>
      <c r="F2932" s="1" t="s">
        <v>11728</v>
      </c>
      <c r="G2932" s="1" t="s">
        <v>11729</v>
      </c>
      <c r="H2932" s="1" t="s">
        <v>3604</v>
      </c>
      <c r="I2932" s="1" t="s">
        <v>11730</v>
      </c>
      <c r="J2932" s="1" t="s">
        <v>3606</v>
      </c>
      <c r="K2932" s="1" t="s">
        <v>11731</v>
      </c>
      <c r="L2932" s="1"/>
      <c r="M2932" s="1"/>
    </row>
    <row x14ac:dyDescent="0.25" r="2933" customHeight="1" ht="18.75">
      <c r="A2933" s="1" t="s">
        <v>3617</v>
      </c>
      <c r="B2933" s="1" t="s">
        <v>5578</v>
      </c>
      <c r="C2933" s="1" t="s">
        <v>3619</v>
      </c>
      <c r="D2933" s="1" t="s">
        <v>3695</v>
      </c>
      <c r="E2933" s="1" t="s">
        <v>3893</v>
      </c>
      <c r="F2933" s="1" t="s">
        <v>11732</v>
      </c>
      <c r="G2933" s="1" t="s">
        <v>5580</v>
      </c>
      <c r="H2933" s="1" t="s">
        <v>3604</v>
      </c>
      <c r="I2933" s="1" t="s">
        <v>11733</v>
      </c>
      <c r="J2933" s="1" t="s">
        <v>3606</v>
      </c>
      <c r="K2933" s="1" t="s">
        <v>11734</v>
      </c>
      <c r="L2933" s="1"/>
      <c r="M2933" s="1"/>
    </row>
    <row x14ac:dyDescent="0.25" r="2934" customHeight="1" ht="18.75">
      <c r="A2934" s="1" t="s">
        <v>3617</v>
      </c>
      <c r="B2934" s="1" t="s">
        <v>5578</v>
      </c>
      <c r="C2934" s="1" t="s">
        <v>3619</v>
      </c>
      <c r="D2934" s="1" t="s">
        <v>3695</v>
      </c>
      <c r="E2934" s="1" t="s">
        <v>3893</v>
      </c>
      <c r="F2934" s="1" t="s">
        <v>11735</v>
      </c>
      <c r="G2934" s="1" t="s">
        <v>5580</v>
      </c>
      <c r="H2934" s="1" t="s">
        <v>3604</v>
      </c>
      <c r="I2934" s="1" t="s">
        <v>11736</v>
      </c>
      <c r="J2934" s="1" t="s">
        <v>3606</v>
      </c>
      <c r="K2934" s="1" t="s">
        <v>11737</v>
      </c>
      <c r="L2934" s="1"/>
      <c r="M2934" s="1"/>
    </row>
    <row x14ac:dyDescent="0.25" r="2935" customHeight="1" ht="18.75">
      <c r="A2935" s="1" t="s">
        <v>3617</v>
      </c>
      <c r="B2935" s="1" t="s">
        <v>5578</v>
      </c>
      <c r="C2935" s="1" t="s">
        <v>3619</v>
      </c>
      <c r="D2935" s="1" t="s">
        <v>3695</v>
      </c>
      <c r="E2935" s="1" t="s">
        <v>3893</v>
      </c>
      <c r="F2935" s="1" t="s">
        <v>11738</v>
      </c>
      <c r="G2935" s="1" t="s">
        <v>5580</v>
      </c>
      <c r="H2935" s="1" t="s">
        <v>3604</v>
      </c>
      <c r="I2935" s="1" t="s">
        <v>11739</v>
      </c>
      <c r="J2935" s="1" t="s">
        <v>3606</v>
      </c>
      <c r="K2935" s="1" t="s">
        <v>11740</v>
      </c>
      <c r="L2935" s="1"/>
      <c r="M2935" s="1"/>
    </row>
    <row x14ac:dyDescent="0.25" r="2936" customHeight="1" ht="18.75">
      <c r="A2936" s="1" t="s">
        <v>3617</v>
      </c>
      <c r="B2936" s="1" t="s">
        <v>5578</v>
      </c>
      <c r="C2936" s="1" t="s">
        <v>3619</v>
      </c>
      <c r="D2936" s="1" t="s">
        <v>3695</v>
      </c>
      <c r="E2936" s="1" t="s">
        <v>3893</v>
      </c>
      <c r="F2936" s="1" t="s">
        <v>11741</v>
      </c>
      <c r="G2936" s="1" t="s">
        <v>5580</v>
      </c>
      <c r="H2936" s="1" t="s">
        <v>3604</v>
      </c>
      <c r="I2936" s="1" t="s">
        <v>11742</v>
      </c>
      <c r="J2936" s="1" t="s">
        <v>3606</v>
      </c>
      <c r="K2936" s="1" t="s">
        <v>11743</v>
      </c>
      <c r="L2936" s="1"/>
      <c r="M2936" s="1"/>
    </row>
    <row x14ac:dyDescent="0.25" r="2937" customHeight="1" ht="18.75">
      <c r="A2937" s="1" t="s">
        <v>3617</v>
      </c>
      <c r="B2937" s="1" t="s">
        <v>5578</v>
      </c>
      <c r="C2937" s="1" t="s">
        <v>3619</v>
      </c>
      <c r="D2937" s="1" t="s">
        <v>3695</v>
      </c>
      <c r="E2937" s="1" t="s">
        <v>3893</v>
      </c>
      <c r="F2937" s="1" t="s">
        <v>11744</v>
      </c>
      <c r="G2937" s="1" t="s">
        <v>8394</v>
      </c>
      <c r="H2937" s="1" t="s">
        <v>3604</v>
      </c>
      <c r="I2937" s="1" t="s">
        <v>11745</v>
      </c>
      <c r="J2937" s="1" t="s">
        <v>3606</v>
      </c>
      <c r="K2937" s="1" t="s">
        <v>11746</v>
      </c>
      <c r="L2937" s="1"/>
      <c r="M2937" s="1"/>
    </row>
    <row x14ac:dyDescent="0.25" r="2938" customHeight="1" ht="18.75">
      <c r="A2938" s="1" t="s">
        <v>3617</v>
      </c>
      <c r="B2938" s="1" t="s">
        <v>5578</v>
      </c>
      <c r="C2938" s="1" t="s">
        <v>3619</v>
      </c>
      <c r="D2938" s="1" t="s">
        <v>3695</v>
      </c>
      <c r="E2938" s="1" t="s">
        <v>3893</v>
      </c>
      <c r="F2938" s="1" t="s">
        <v>11747</v>
      </c>
      <c r="G2938" s="1" t="s">
        <v>8394</v>
      </c>
      <c r="H2938" s="1" t="s">
        <v>3604</v>
      </c>
      <c r="I2938" s="1" t="s">
        <v>11748</v>
      </c>
      <c r="J2938" s="1" t="s">
        <v>3606</v>
      </c>
      <c r="K2938" s="1" t="s">
        <v>11749</v>
      </c>
      <c r="L2938" s="1"/>
      <c r="M2938" s="1"/>
    </row>
    <row x14ac:dyDescent="0.25" r="2939" customHeight="1" ht="18.75">
      <c r="A2939" s="1" t="s">
        <v>3617</v>
      </c>
      <c r="B2939" s="1" t="s">
        <v>5578</v>
      </c>
      <c r="C2939" s="1" t="s">
        <v>3619</v>
      </c>
      <c r="D2939" s="1" t="s">
        <v>3695</v>
      </c>
      <c r="E2939" s="1" t="s">
        <v>3893</v>
      </c>
      <c r="F2939" s="1" t="s">
        <v>11750</v>
      </c>
      <c r="G2939" s="1" t="s">
        <v>8394</v>
      </c>
      <c r="H2939" s="1" t="s">
        <v>3604</v>
      </c>
      <c r="I2939" s="1" t="s">
        <v>11751</v>
      </c>
      <c r="J2939" s="1" t="s">
        <v>3606</v>
      </c>
      <c r="K2939" s="1" t="s">
        <v>11752</v>
      </c>
      <c r="L2939" s="1"/>
      <c r="M2939" s="1"/>
    </row>
    <row x14ac:dyDescent="0.25" r="2940" customHeight="1" ht="18.75">
      <c r="A2940" s="1" t="s">
        <v>3617</v>
      </c>
      <c r="B2940" s="1" t="s">
        <v>5578</v>
      </c>
      <c r="C2940" s="1" t="s">
        <v>3619</v>
      </c>
      <c r="D2940" s="1" t="s">
        <v>3695</v>
      </c>
      <c r="E2940" s="1" t="s">
        <v>3893</v>
      </c>
      <c r="F2940" s="1" t="s">
        <v>11753</v>
      </c>
      <c r="G2940" s="1" t="s">
        <v>8394</v>
      </c>
      <c r="H2940" s="1" t="s">
        <v>3604</v>
      </c>
      <c r="I2940" s="1" t="s">
        <v>11754</v>
      </c>
      <c r="J2940" s="1" t="s">
        <v>3606</v>
      </c>
      <c r="K2940" s="1" t="s">
        <v>11755</v>
      </c>
      <c r="L2940" s="1"/>
      <c r="M2940" s="1"/>
    </row>
    <row x14ac:dyDescent="0.25" r="2941" customHeight="1" ht="18.75">
      <c r="A2941" s="1" t="s">
        <v>3617</v>
      </c>
      <c r="B2941" s="1" t="s">
        <v>5578</v>
      </c>
      <c r="C2941" s="1" t="s">
        <v>3619</v>
      </c>
      <c r="D2941" s="1" t="s">
        <v>3695</v>
      </c>
      <c r="E2941" s="1" t="s">
        <v>3893</v>
      </c>
      <c r="F2941" s="1" t="s">
        <v>11756</v>
      </c>
      <c r="G2941" s="1" t="s">
        <v>8394</v>
      </c>
      <c r="H2941" s="1" t="s">
        <v>3604</v>
      </c>
      <c r="I2941" s="1" t="s">
        <v>11757</v>
      </c>
      <c r="J2941" s="1" t="s">
        <v>3606</v>
      </c>
      <c r="K2941" s="1" t="s">
        <v>11758</v>
      </c>
      <c r="L2941" s="1"/>
      <c r="M2941" s="1"/>
    </row>
    <row x14ac:dyDescent="0.25" r="2942" customHeight="1" ht="18.75">
      <c r="A2942" s="1" t="s">
        <v>3617</v>
      </c>
      <c r="B2942" s="1" t="s">
        <v>5578</v>
      </c>
      <c r="C2942" s="1" t="s">
        <v>3619</v>
      </c>
      <c r="D2942" s="1" t="s">
        <v>3695</v>
      </c>
      <c r="E2942" s="1" t="s">
        <v>3893</v>
      </c>
      <c r="F2942" s="1" t="s">
        <v>11759</v>
      </c>
      <c r="G2942" s="1" t="s">
        <v>8394</v>
      </c>
      <c r="H2942" s="1" t="s">
        <v>3604</v>
      </c>
      <c r="I2942" s="1" t="s">
        <v>11760</v>
      </c>
      <c r="J2942" s="1" t="s">
        <v>3606</v>
      </c>
      <c r="K2942" s="1" t="s">
        <v>11761</v>
      </c>
      <c r="L2942" s="1"/>
      <c r="M2942" s="1"/>
    </row>
    <row x14ac:dyDescent="0.25" r="2943" customHeight="1" ht="18.75">
      <c r="A2943" s="1" t="s">
        <v>3617</v>
      </c>
      <c r="B2943" s="1" t="s">
        <v>5578</v>
      </c>
      <c r="C2943" s="1" t="s">
        <v>3619</v>
      </c>
      <c r="D2943" s="1" t="s">
        <v>3695</v>
      </c>
      <c r="E2943" s="1" t="s">
        <v>3893</v>
      </c>
      <c r="F2943" s="1" t="s">
        <v>11762</v>
      </c>
      <c r="G2943" s="1" t="s">
        <v>8394</v>
      </c>
      <c r="H2943" s="1" t="s">
        <v>3604</v>
      </c>
      <c r="I2943" s="1" t="s">
        <v>11763</v>
      </c>
      <c r="J2943" s="1" t="s">
        <v>3606</v>
      </c>
      <c r="K2943" s="1" t="s">
        <v>11764</v>
      </c>
      <c r="L2943" s="1"/>
      <c r="M2943" s="1"/>
    </row>
    <row x14ac:dyDescent="0.25" r="2944" customHeight="1" ht="18.75">
      <c r="A2944" s="1" t="s">
        <v>3617</v>
      </c>
      <c r="B2944" s="1" t="s">
        <v>5578</v>
      </c>
      <c r="C2944" s="1" t="s">
        <v>3619</v>
      </c>
      <c r="D2944" s="1" t="s">
        <v>3695</v>
      </c>
      <c r="E2944" s="1" t="s">
        <v>3893</v>
      </c>
      <c r="F2944" s="1" t="s">
        <v>11765</v>
      </c>
      <c r="G2944" s="1" t="s">
        <v>8394</v>
      </c>
      <c r="H2944" s="1" t="s">
        <v>3604</v>
      </c>
      <c r="I2944" s="1" t="s">
        <v>11766</v>
      </c>
      <c r="J2944" s="1" t="s">
        <v>3606</v>
      </c>
      <c r="K2944" s="1" t="s">
        <v>11767</v>
      </c>
      <c r="L2944" s="1"/>
      <c r="M2944" s="1"/>
    </row>
    <row x14ac:dyDescent="0.25" r="2945" customHeight="1" ht="18.75">
      <c r="A2945" s="1" t="s">
        <v>3617</v>
      </c>
      <c r="B2945" s="1" t="s">
        <v>5578</v>
      </c>
      <c r="C2945" s="1" t="s">
        <v>3619</v>
      </c>
      <c r="D2945" s="1" t="s">
        <v>3695</v>
      </c>
      <c r="E2945" s="1" t="s">
        <v>3893</v>
      </c>
      <c r="F2945" s="1" t="s">
        <v>11768</v>
      </c>
      <c r="G2945" s="1" t="s">
        <v>8394</v>
      </c>
      <c r="H2945" s="1" t="s">
        <v>3604</v>
      </c>
      <c r="I2945" s="1" t="s">
        <v>11769</v>
      </c>
      <c r="J2945" s="1" t="s">
        <v>3606</v>
      </c>
      <c r="K2945" s="1" t="s">
        <v>11770</v>
      </c>
      <c r="L2945" s="1"/>
      <c r="M2945" s="1"/>
    </row>
    <row x14ac:dyDescent="0.25" r="2946" customHeight="1" ht="18.75">
      <c r="A2946" s="1" t="s">
        <v>3617</v>
      </c>
      <c r="B2946" s="1" t="s">
        <v>5578</v>
      </c>
      <c r="C2946" s="1" t="s">
        <v>3619</v>
      </c>
      <c r="D2946" s="1" t="s">
        <v>3695</v>
      </c>
      <c r="E2946" s="1" t="s">
        <v>3893</v>
      </c>
      <c r="F2946" s="1" t="s">
        <v>11771</v>
      </c>
      <c r="G2946" s="1" t="s">
        <v>8394</v>
      </c>
      <c r="H2946" s="1" t="s">
        <v>3604</v>
      </c>
      <c r="I2946" s="1" t="s">
        <v>11772</v>
      </c>
      <c r="J2946" s="1" t="s">
        <v>3606</v>
      </c>
      <c r="K2946" s="1" t="s">
        <v>11773</v>
      </c>
      <c r="L2946" s="1"/>
      <c r="M2946" s="1"/>
    </row>
    <row x14ac:dyDescent="0.25" r="2947" customHeight="1" ht="18.75">
      <c r="A2947" s="1" t="s">
        <v>3617</v>
      </c>
      <c r="B2947" s="1" t="s">
        <v>5578</v>
      </c>
      <c r="C2947" s="1" t="s">
        <v>3619</v>
      </c>
      <c r="D2947" s="1" t="s">
        <v>3695</v>
      </c>
      <c r="E2947" s="1" t="s">
        <v>3893</v>
      </c>
      <c r="F2947" s="1" t="s">
        <v>11774</v>
      </c>
      <c r="G2947" s="1" t="s">
        <v>8394</v>
      </c>
      <c r="H2947" s="1" t="s">
        <v>3604</v>
      </c>
      <c r="I2947" s="1" t="s">
        <v>11775</v>
      </c>
      <c r="J2947" s="1" t="s">
        <v>3606</v>
      </c>
      <c r="K2947" s="1" t="s">
        <v>11776</v>
      </c>
      <c r="L2947" s="1"/>
      <c r="M2947" s="1"/>
    </row>
    <row x14ac:dyDescent="0.25" r="2948" customHeight="1" ht="18.75">
      <c r="A2948" s="1" t="s">
        <v>3617</v>
      </c>
      <c r="B2948" s="1" t="s">
        <v>5578</v>
      </c>
      <c r="C2948" s="1" t="s">
        <v>3619</v>
      </c>
      <c r="D2948" s="1" t="s">
        <v>3695</v>
      </c>
      <c r="E2948" s="1" t="s">
        <v>3893</v>
      </c>
      <c r="F2948" s="1" t="s">
        <v>11777</v>
      </c>
      <c r="G2948" s="1" t="s">
        <v>8394</v>
      </c>
      <c r="H2948" s="1" t="s">
        <v>3604</v>
      </c>
      <c r="I2948" s="1" t="s">
        <v>11778</v>
      </c>
      <c r="J2948" s="1" t="s">
        <v>3606</v>
      </c>
      <c r="K2948" s="1" t="s">
        <v>11779</v>
      </c>
      <c r="L2948" s="1"/>
      <c r="M2948" s="1"/>
    </row>
    <row x14ac:dyDescent="0.25" r="2949" customHeight="1" ht="18.75">
      <c r="A2949" s="1" t="s">
        <v>3617</v>
      </c>
      <c r="B2949" s="1" t="s">
        <v>5578</v>
      </c>
      <c r="C2949" s="1" t="s">
        <v>3619</v>
      </c>
      <c r="D2949" s="1" t="s">
        <v>3695</v>
      </c>
      <c r="E2949" s="1" t="s">
        <v>3893</v>
      </c>
      <c r="F2949" s="1" t="s">
        <v>11780</v>
      </c>
      <c r="G2949" s="1" t="s">
        <v>8394</v>
      </c>
      <c r="H2949" s="1" t="s">
        <v>3604</v>
      </c>
      <c r="I2949" s="1" t="s">
        <v>11781</v>
      </c>
      <c r="J2949" s="1" t="s">
        <v>3606</v>
      </c>
      <c r="K2949" s="1" t="s">
        <v>11782</v>
      </c>
      <c r="L2949" s="1"/>
      <c r="M2949" s="1"/>
    </row>
    <row x14ac:dyDescent="0.25" r="2950" customHeight="1" ht="18.75">
      <c r="A2950" s="1" t="s">
        <v>3617</v>
      </c>
      <c r="B2950" s="1" t="s">
        <v>5578</v>
      </c>
      <c r="C2950" s="1" t="s">
        <v>3619</v>
      </c>
      <c r="D2950" s="1" t="s">
        <v>3695</v>
      </c>
      <c r="E2950" s="1" t="s">
        <v>3893</v>
      </c>
      <c r="F2950" s="1" t="s">
        <v>11783</v>
      </c>
      <c r="G2950" s="1" t="s">
        <v>8394</v>
      </c>
      <c r="H2950" s="1" t="s">
        <v>3604</v>
      </c>
      <c r="I2950" s="1" t="s">
        <v>11784</v>
      </c>
      <c r="J2950" s="1" t="s">
        <v>3606</v>
      </c>
      <c r="K2950" s="1" t="s">
        <v>11785</v>
      </c>
      <c r="L2950" s="1"/>
      <c r="M2950" s="1"/>
    </row>
    <row x14ac:dyDescent="0.25" r="2951" customHeight="1" ht="18.75">
      <c r="A2951" s="1" t="s">
        <v>3617</v>
      </c>
      <c r="B2951" s="1" t="s">
        <v>5578</v>
      </c>
      <c r="C2951" s="1" t="s">
        <v>3619</v>
      </c>
      <c r="D2951" s="1" t="s">
        <v>3695</v>
      </c>
      <c r="E2951" s="1" t="s">
        <v>3893</v>
      </c>
      <c r="F2951" s="1" t="s">
        <v>11786</v>
      </c>
      <c r="G2951" s="1" t="s">
        <v>11787</v>
      </c>
      <c r="H2951" s="1" t="s">
        <v>3604</v>
      </c>
      <c r="I2951" s="1" t="s">
        <v>11788</v>
      </c>
      <c r="J2951" s="1" t="s">
        <v>3606</v>
      </c>
      <c r="K2951" s="1" t="s">
        <v>11789</v>
      </c>
      <c r="L2951" s="1"/>
      <c r="M2951" s="1"/>
    </row>
    <row x14ac:dyDescent="0.25" r="2952" customHeight="1" ht="18.75">
      <c r="A2952" s="1" t="s">
        <v>3617</v>
      </c>
      <c r="B2952" s="1" t="s">
        <v>5578</v>
      </c>
      <c r="C2952" s="1" t="s">
        <v>3619</v>
      </c>
      <c r="D2952" s="1" t="s">
        <v>3695</v>
      </c>
      <c r="E2952" s="1" t="s">
        <v>3893</v>
      </c>
      <c r="F2952" s="1" t="s">
        <v>11790</v>
      </c>
      <c r="G2952" s="1" t="s">
        <v>11791</v>
      </c>
      <c r="H2952" s="1" t="s">
        <v>3604</v>
      </c>
      <c r="I2952" s="1" t="s">
        <v>11792</v>
      </c>
      <c r="J2952" s="1" t="s">
        <v>3606</v>
      </c>
      <c r="K2952" s="1" t="s">
        <v>11793</v>
      </c>
      <c r="L2952" s="1"/>
      <c r="M2952" s="1"/>
    </row>
    <row x14ac:dyDescent="0.25" r="2953" customHeight="1" ht="18.75">
      <c r="A2953" s="1" t="s">
        <v>3617</v>
      </c>
      <c r="B2953" s="1" t="s">
        <v>5578</v>
      </c>
      <c r="C2953" s="1" t="s">
        <v>3619</v>
      </c>
      <c r="D2953" s="1" t="s">
        <v>3695</v>
      </c>
      <c r="E2953" s="1" t="s">
        <v>3893</v>
      </c>
      <c r="F2953" s="1" t="s">
        <v>11794</v>
      </c>
      <c r="G2953" s="1" t="s">
        <v>11791</v>
      </c>
      <c r="H2953" s="1" t="s">
        <v>3604</v>
      </c>
      <c r="I2953" s="1" t="s">
        <v>11795</v>
      </c>
      <c r="J2953" s="1" t="s">
        <v>3606</v>
      </c>
      <c r="K2953" s="1" t="s">
        <v>11796</v>
      </c>
      <c r="L2953" s="1"/>
      <c r="M2953" s="1"/>
    </row>
    <row x14ac:dyDescent="0.25" r="2954" customHeight="1" ht="18.75">
      <c r="A2954" s="1" t="s">
        <v>3617</v>
      </c>
      <c r="B2954" s="1" t="s">
        <v>5578</v>
      </c>
      <c r="C2954" s="1" t="s">
        <v>3619</v>
      </c>
      <c r="D2954" s="1" t="s">
        <v>3695</v>
      </c>
      <c r="E2954" s="1" t="s">
        <v>3893</v>
      </c>
      <c r="F2954" s="1" t="s">
        <v>11797</v>
      </c>
      <c r="G2954" s="1" t="s">
        <v>11798</v>
      </c>
      <c r="H2954" s="1" t="s">
        <v>3604</v>
      </c>
      <c r="I2954" s="1" t="s">
        <v>11799</v>
      </c>
      <c r="J2954" s="1" t="s">
        <v>3606</v>
      </c>
      <c r="K2954" s="1" t="s">
        <v>11800</v>
      </c>
      <c r="L2954" s="1"/>
      <c r="M2954" s="1"/>
    </row>
    <row x14ac:dyDescent="0.25" r="2955" customHeight="1" ht="18.75">
      <c r="A2955" s="1" t="s">
        <v>3617</v>
      </c>
      <c r="B2955" s="1" t="s">
        <v>5578</v>
      </c>
      <c r="C2955" s="1" t="s">
        <v>3619</v>
      </c>
      <c r="D2955" s="1" t="s">
        <v>3695</v>
      </c>
      <c r="E2955" s="1" t="s">
        <v>3893</v>
      </c>
      <c r="F2955" s="1" t="s">
        <v>11801</v>
      </c>
      <c r="G2955" s="1" t="s">
        <v>11798</v>
      </c>
      <c r="H2955" s="1" t="s">
        <v>3604</v>
      </c>
      <c r="I2955" s="1" t="s">
        <v>11802</v>
      </c>
      <c r="J2955" s="1" t="s">
        <v>3606</v>
      </c>
      <c r="K2955" s="1" t="s">
        <v>11803</v>
      </c>
      <c r="L2955" s="1"/>
      <c r="M2955" s="1"/>
    </row>
    <row x14ac:dyDescent="0.25" r="2956" customHeight="1" ht="18.75">
      <c r="A2956" s="1" t="s">
        <v>3617</v>
      </c>
      <c r="B2956" s="1" t="s">
        <v>5578</v>
      </c>
      <c r="C2956" s="1" t="s">
        <v>3619</v>
      </c>
      <c r="D2956" s="1" t="s">
        <v>3695</v>
      </c>
      <c r="E2956" s="1" t="s">
        <v>3893</v>
      </c>
      <c r="F2956" s="1" t="s">
        <v>11804</v>
      </c>
      <c r="G2956" s="1" t="s">
        <v>11798</v>
      </c>
      <c r="H2956" s="1" t="s">
        <v>3604</v>
      </c>
      <c r="I2956" s="1" t="s">
        <v>11805</v>
      </c>
      <c r="J2956" s="1" t="s">
        <v>3606</v>
      </c>
      <c r="K2956" s="1" t="s">
        <v>11806</v>
      </c>
      <c r="L2956" s="1"/>
      <c r="M2956" s="1"/>
    </row>
    <row x14ac:dyDescent="0.25" r="2957" customHeight="1" ht="18.75">
      <c r="A2957" s="1" t="s">
        <v>3617</v>
      </c>
      <c r="B2957" s="1" t="s">
        <v>5578</v>
      </c>
      <c r="C2957" s="1" t="s">
        <v>3619</v>
      </c>
      <c r="D2957" s="1" t="s">
        <v>3695</v>
      </c>
      <c r="E2957" s="1" t="s">
        <v>3893</v>
      </c>
      <c r="F2957" s="1" t="s">
        <v>11807</v>
      </c>
      <c r="G2957" s="1" t="s">
        <v>8394</v>
      </c>
      <c r="H2957" s="1" t="s">
        <v>3604</v>
      </c>
      <c r="I2957" s="1" t="s">
        <v>11808</v>
      </c>
      <c r="J2957" s="1" t="s">
        <v>3606</v>
      </c>
      <c r="K2957" s="1" t="s">
        <v>11809</v>
      </c>
      <c r="L2957" s="1"/>
      <c r="M2957" s="1"/>
    </row>
    <row x14ac:dyDescent="0.25" r="2958" customHeight="1" ht="18.75">
      <c r="A2958" s="1" t="s">
        <v>3617</v>
      </c>
      <c r="B2958" s="1" t="s">
        <v>5578</v>
      </c>
      <c r="C2958" s="1" t="s">
        <v>3619</v>
      </c>
      <c r="D2958" s="1" t="s">
        <v>3695</v>
      </c>
      <c r="E2958" s="1" t="s">
        <v>3893</v>
      </c>
      <c r="F2958" s="1" t="s">
        <v>11810</v>
      </c>
      <c r="G2958" s="1" t="s">
        <v>8394</v>
      </c>
      <c r="H2958" s="1" t="s">
        <v>3604</v>
      </c>
      <c r="I2958" s="1" t="s">
        <v>11811</v>
      </c>
      <c r="J2958" s="1" t="s">
        <v>3606</v>
      </c>
      <c r="K2958" s="1" t="s">
        <v>11812</v>
      </c>
      <c r="L2958" s="1"/>
      <c r="M2958" s="1"/>
    </row>
    <row x14ac:dyDescent="0.25" r="2959" customHeight="1" ht="18.75">
      <c r="A2959" s="1" t="s">
        <v>3617</v>
      </c>
      <c r="B2959" s="1" t="s">
        <v>5578</v>
      </c>
      <c r="C2959" s="1" t="s">
        <v>3619</v>
      </c>
      <c r="D2959" s="1" t="s">
        <v>3695</v>
      </c>
      <c r="E2959" s="1" t="s">
        <v>3893</v>
      </c>
      <c r="F2959" s="1" t="s">
        <v>11813</v>
      </c>
      <c r="G2959" s="1" t="s">
        <v>11814</v>
      </c>
      <c r="H2959" s="1" t="s">
        <v>3604</v>
      </c>
      <c r="I2959" s="1" t="s">
        <v>11815</v>
      </c>
      <c r="J2959" s="1" t="s">
        <v>3606</v>
      </c>
      <c r="K2959" s="1" t="s">
        <v>11816</v>
      </c>
      <c r="L2959" s="1"/>
      <c r="M2959" s="1"/>
    </row>
    <row x14ac:dyDescent="0.25" r="2960" customHeight="1" ht="18.75">
      <c r="A2960" s="1" t="s">
        <v>3617</v>
      </c>
      <c r="B2960" s="1" t="s">
        <v>5578</v>
      </c>
      <c r="C2960" s="1" t="s">
        <v>3619</v>
      </c>
      <c r="D2960" s="1" t="s">
        <v>3695</v>
      </c>
      <c r="E2960" s="1" t="s">
        <v>3893</v>
      </c>
      <c r="F2960" s="1" t="s">
        <v>11817</v>
      </c>
      <c r="G2960" s="1" t="s">
        <v>11814</v>
      </c>
      <c r="H2960" s="1" t="s">
        <v>3604</v>
      </c>
      <c r="I2960" s="1" t="s">
        <v>11818</v>
      </c>
      <c r="J2960" s="1" t="s">
        <v>3606</v>
      </c>
      <c r="K2960" s="1" t="s">
        <v>11819</v>
      </c>
      <c r="L2960" s="1"/>
      <c r="M2960" s="1"/>
    </row>
    <row x14ac:dyDescent="0.25" r="2961" customHeight="1" ht="18.75">
      <c r="A2961" s="1" t="s">
        <v>3617</v>
      </c>
      <c r="B2961" s="1" t="s">
        <v>5578</v>
      </c>
      <c r="C2961" s="1" t="s">
        <v>3619</v>
      </c>
      <c r="D2961" s="1" t="s">
        <v>3695</v>
      </c>
      <c r="E2961" s="1" t="s">
        <v>3893</v>
      </c>
      <c r="F2961" s="1" t="s">
        <v>11820</v>
      </c>
      <c r="G2961" s="1" t="s">
        <v>11814</v>
      </c>
      <c r="H2961" s="1" t="s">
        <v>3604</v>
      </c>
      <c r="I2961" s="1" t="s">
        <v>11821</v>
      </c>
      <c r="J2961" s="1" t="s">
        <v>3606</v>
      </c>
      <c r="K2961" s="1" t="s">
        <v>11822</v>
      </c>
      <c r="L2961" s="1"/>
      <c r="M2961" s="1"/>
    </row>
    <row x14ac:dyDescent="0.25" r="2962" customHeight="1" ht="18.75">
      <c r="A2962" s="1" t="s">
        <v>3617</v>
      </c>
      <c r="B2962" s="1" t="s">
        <v>5578</v>
      </c>
      <c r="C2962" s="1" t="s">
        <v>3619</v>
      </c>
      <c r="D2962" s="1" t="s">
        <v>3695</v>
      </c>
      <c r="E2962" s="1" t="s">
        <v>3893</v>
      </c>
      <c r="F2962" s="1" t="s">
        <v>11823</v>
      </c>
      <c r="G2962" s="1" t="s">
        <v>11824</v>
      </c>
      <c r="H2962" s="1" t="s">
        <v>3604</v>
      </c>
      <c r="I2962" s="1" t="s">
        <v>11825</v>
      </c>
      <c r="J2962" s="1" t="s">
        <v>3606</v>
      </c>
      <c r="K2962" s="1" t="s">
        <v>11826</v>
      </c>
      <c r="L2962" s="1"/>
      <c r="M2962" s="1"/>
    </row>
    <row x14ac:dyDescent="0.25" r="2963" customHeight="1" ht="18.75">
      <c r="A2963" s="1" t="s">
        <v>3617</v>
      </c>
      <c r="B2963" s="1" t="s">
        <v>5578</v>
      </c>
      <c r="C2963" s="1" t="s">
        <v>3619</v>
      </c>
      <c r="D2963" s="1" t="s">
        <v>3695</v>
      </c>
      <c r="E2963" s="1" t="s">
        <v>3893</v>
      </c>
      <c r="F2963" s="1" t="s">
        <v>11827</v>
      </c>
      <c r="G2963" s="1" t="s">
        <v>11824</v>
      </c>
      <c r="H2963" s="1" t="s">
        <v>3604</v>
      </c>
      <c r="I2963" s="1" t="s">
        <v>11828</v>
      </c>
      <c r="J2963" s="1" t="s">
        <v>3606</v>
      </c>
      <c r="K2963" s="1" t="s">
        <v>11829</v>
      </c>
      <c r="L2963" s="1"/>
      <c r="M2963" s="1"/>
    </row>
    <row x14ac:dyDescent="0.25" r="2964" customHeight="1" ht="18.75">
      <c r="A2964" s="1" t="s">
        <v>3617</v>
      </c>
      <c r="B2964" s="1" t="s">
        <v>5578</v>
      </c>
      <c r="C2964" s="1" t="s">
        <v>3619</v>
      </c>
      <c r="D2964" s="1" t="s">
        <v>3695</v>
      </c>
      <c r="E2964" s="1" t="s">
        <v>3893</v>
      </c>
      <c r="F2964" s="1" t="s">
        <v>11830</v>
      </c>
      <c r="G2964" s="1" t="s">
        <v>11824</v>
      </c>
      <c r="H2964" s="1" t="s">
        <v>3604</v>
      </c>
      <c r="I2964" s="1" t="s">
        <v>11831</v>
      </c>
      <c r="J2964" s="1" t="s">
        <v>3606</v>
      </c>
      <c r="K2964" s="1" t="s">
        <v>11832</v>
      </c>
      <c r="L2964" s="1"/>
      <c r="M2964" s="1"/>
    </row>
    <row x14ac:dyDescent="0.25" r="2965" customHeight="1" ht="18.75">
      <c r="A2965" s="1" t="s">
        <v>3617</v>
      </c>
      <c r="B2965" s="1" t="s">
        <v>5578</v>
      </c>
      <c r="C2965" s="1" t="s">
        <v>3619</v>
      </c>
      <c r="D2965" s="1" t="s">
        <v>3695</v>
      </c>
      <c r="E2965" s="1" t="s">
        <v>3730</v>
      </c>
      <c r="F2965" s="1" t="s">
        <v>11833</v>
      </c>
      <c r="G2965" s="1" t="s">
        <v>5580</v>
      </c>
      <c r="H2965" s="1" t="s">
        <v>3604</v>
      </c>
      <c r="I2965" s="1" t="s">
        <v>11834</v>
      </c>
      <c r="J2965" s="1" t="s">
        <v>3606</v>
      </c>
      <c r="K2965" s="1" t="s">
        <v>11835</v>
      </c>
      <c r="L2965" s="1"/>
      <c r="M2965" s="1"/>
    </row>
    <row x14ac:dyDescent="0.25" r="2966" customHeight="1" ht="18.75">
      <c r="A2966" s="1" t="s">
        <v>3617</v>
      </c>
      <c r="B2966" s="1" t="s">
        <v>5578</v>
      </c>
      <c r="C2966" s="1" t="s">
        <v>3619</v>
      </c>
      <c r="D2966" s="1" t="s">
        <v>3695</v>
      </c>
      <c r="E2966" s="1" t="s">
        <v>3730</v>
      </c>
      <c r="F2966" s="1" t="s">
        <v>11836</v>
      </c>
      <c r="G2966" s="1" t="s">
        <v>5580</v>
      </c>
      <c r="H2966" s="1" t="s">
        <v>3604</v>
      </c>
      <c r="I2966" s="1" t="s">
        <v>11837</v>
      </c>
      <c r="J2966" s="1" t="s">
        <v>3606</v>
      </c>
      <c r="K2966" s="1" t="s">
        <v>11838</v>
      </c>
      <c r="L2966" s="1"/>
      <c r="M2966" s="1"/>
    </row>
    <row x14ac:dyDescent="0.25" r="2967" customHeight="1" ht="18.75">
      <c r="A2967" s="1" t="s">
        <v>3617</v>
      </c>
      <c r="B2967" s="1" t="s">
        <v>5578</v>
      </c>
      <c r="C2967" s="1" t="s">
        <v>3619</v>
      </c>
      <c r="D2967" s="1" t="s">
        <v>3695</v>
      </c>
      <c r="E2967" s="1" t="s">
        <v>3730</v>
      </c>
      <c r="F2967" s="1" t="s">
        <v>11839</v>
      </c>
      <c r="G2967" s="1" t="s">
        <v>5580</v>
      </c>
      <c r="H2967" s="1" t="s">
        <v>3604</v>
      </c>
      <c r="I2967" s="1" t="s">
        <v>11840</v>
      </c>
      <c r="J2967" s="1" t="s">
        <v>3606</v>
      </c>
      <c r="K2967" s="1" t="s">
        <v>11841</v>
      </c>
      <c r="L2967" s="1"/>
      <c r="M2967" s="1"/>
    </row>
    <row x14ac:dyDescent="0.25" r="2968" customHeight="1" ht="18.75">
      <c r="A2968" s="1" t="s">
        <v>3617</v>
      </c>
      <c r="B2968" s="1" t="s">
        <v>5578</v>
      </c>
      <c r="C2968" s="1" t="s">
        <v>3619</v>
      </c>
      <c r="D2968" s="1" t="s">
        <v>3695</v>
      </c>
      <c r="E2968" s="1" t="s">
        <v>3730</v>
      </c>
      <c r="F2968" s="1" t="s">
        <v>11842</v>
      </c>
      <c r="G2968" s="1" t="s">
        <v>11843</v>
      </c>
      <c r="H2968" s="1" t="s">
        <v>3604</v>
      </c>
      <c r="I2968" s="1" t="s">
        <v>11844</v>
      </c>
      <c r="J2968" s="1" t="s">
        <v>3606</v>
      </c>
      <c r="K2968" s="1" t="s">
        <v>11845</v>
      </c>
      <c r="L2968" s="1"/>
      <c r="M2968" s="1"/>
    </row>
    <row x14ac:dyDescent="0.25" r="2969" customHeight="1" ht="18.75">
      <c r="A2969" s="1" t="s">
        <v>3617</v>
      </c>
      <c r="B2969" s="1" t="s">
        <v>5578</v>
      </c>
      <c r="C2969" s="1" t="s">
        <v>3619</v>
      </c>
      <c r="D2969" s="1" t="s">
        <v>3695</v>
      </c>
      <c r="E2969" s="1" t="s">
        <v>3730</v>
      </c>
      <c r="F2969" s="1" t="s">
        <v>11846</v>
      </c>
      <c r="G2969" s="1" t="s">
        <v>11843</v>
      </c>
      <c r="H2969" s="1" t="s">
        <v>3604</v>
      </c>
      <c r="I2969" s="1" t="s">
        <v>11847</v>
      </c>
      <c r="J2969" s="1" t="s">
        <v>3606</v>
      </c>
      <c r="K2969" s="1" t="s">
        <v>11848</v>
      </c>
      <c r="L2969" s="1"/>
      <c r="M2969" s="1"/>
    </row>
    <row x14ac:dyDescent="0.25" r="2970" customHeight="1" ht="18.75">
      <c r="A2970" s="1" t="s">
        <v>3617</v>
      </c>
      <c r="B2970" s="1" t="s">
        <v>5578</v>
      </c>
      <c r="C2970" s="1" t="s">
        <v>3619</v>
      </c>
      <c r="D2970" s="1" t="s">
        <v>3695</v>
      </c>
      <c r="E2970" s="1" t="s">
        <v>3730</v>
      </c>
      <c r="F2970" s="1" t="s">
        <v>11849</v>
      </c>
      <c r="G2970" s="1" t="s">
        <v>11843</v>
      </c>
      <c r="H2970" s="1" t="s">
        <v>3604</v>
      </c>
      <c r="I2970" s="1" t="s">
        <v>11850</v>
      </c>
      <c r="J2970" s="1" t="s">
        <v>3606</v>
      </c>
      <c r="K2970" s="1" t="s">
        <v>11851</v>
      </c>
      <c r="L2970" s="1"/>
      <c r="M2970" s="1"/>
    </row>
    <row x14ac:dyDescent="0.25" r="2971" customHeight="1" ht="18.75">
      <c r="A2971" s="1" t="s">
        <v>3617</v>
      </c>
      <c r="B2971" s="1" t="s">
        <v>5578</v>
      </c>
      <c r="C2971" s="1" t="s">
        <v>3619</v>
      </c>
      <c r="D2971" s="1" t="s">
        <v>3695</v>
      </c>
      <c r="E2971" s="1" t="s">
        <v>3730</v>
      </c>
      <c r="F2971" s="1" t="s">
        <v>11852</v>
      </c>
      <c r="G2971" s="1" t="s">
        <v>11853</v>
      </c>
      <c r="H2971" s="1" t="s">
        <v>3604</v>
      </c>
      <c r="I2971" s="1" t="s">
        <v>11854</v>
      </c>
      <c r="J2971" s="1" t="s">
        <v>3606</v>
      </c>
      <c r="K2971" s="1" t="s">
        <v>11855</v>
      </c>
      <c r="L2971" s="1"/>
      <c r="M2971" s="1"/>
    </row>
    <row x14ac:dyDescent="0.25" r="2972" customHeight="1" ht="18.75">
      <c r="A2972" s="1" t="s">
        <v>3617</v>
      </c>
      <c r="B2972" s="1" t="s">
        <v>5578</v>
      </c>
      <c r="C2972" s="1" t="s">
        <v>3619</v>
      </c>
      <c r="D2972" s="1" t="s">
        <v>3695</v>
      </c>
      <c r="E2972" s="1" t="s">
        <v>3730</v>
      </c>
      <c r="F2972" s="1" t="s">
        <v>11856</v>
      </c>
      <c r="G2972" s="1" t="s">
        <v>11853</v>
      </c>
      <c r="H2972" s="1" t="s">
        <v>3604</v>
      </c>
      <c r="I2972" s="1" t="s">
        <v>11857</v>
      </c>
      <c r="J2972" s="1" t="s">
        <v>3606</v>
      </c>
      <c r="K2972" s="1" t="s">
        <v>11858</v>
      </c>
      <c r="L2972" s="1"/>
      <c r="M2972" s="1"/>
    </row>
    <row x14ac:dyDescent="0.25" r="2973" customHeight="1" ht="18.75">
      <c r="A2973" s="1" t="s">
        <v>3617</v>
      </c>
      <c r="B2973" s="1" t="s">
        <v>5578</v>
      </c>
      <c r="C2973" s="1" t="s">
        <v>3619</v>
      </c>
      <c r="D2973" s="1" t="s">
        <v>3695</v>
      </c>
      <c r="E2973" s="1" t="s">
        <v>3730</v>
      </c>
      <c r="F2973" s="1" t="s">
        <v>11859</v>
      </c>
      <c r="G2973" s="1" t="s">
        <v>11853</v>
      </c>
      <c r="H2973" s="1" t="s">
        <v>3604</v>
      </c>
      <c r="I2973" s="1" t="s">
        <v>11860</v>
      </c>
      <c r="J2973" s="1" t="s">
        <v>3606</v>
      </c>
      <c r="K2973" s="1" t="s">
        <v>11861</v>
      </c>
      <c r="L2973" s="1"/>
      <c r="M2973" s="1"/>
    </row>
    <row x14ac:dyDescent="0.25" r="2974" customHeight="1" ht="18.75">
      <c r="A2974" s="1" t="s">
        <v>3617</v>
      </c>
      <c r="B2974" s="1" t="s">
        <v>5578</v>
      </c>
      <c r="C2974" s="1" t="s">
        <v>3619</v>
      </c>
      <c r="D2974" s="1" t="s">
        <v>3695</v>
      </c>
      <c r="E2974" s="1" t="s">
        <v>3730</v>
      </c>
      <c r="F2974" s="1" t="s">
        <v>11862</v>
      </c>
      <c r="G2974" s="1" t="s">
        <v>11863</v>
      </c>
      <c r="H2974" s="1" t="s">
        <v>3604</v>
      </c>
      <c r="I2974" s="1" t="s">
        <v>11864</v>
      </c>
      <c r="J2974" s="1" t="s">
        <v>3606</v>
      </c>
      <c r="K2974" s="1" t="s">
        <v>11865</v>
      </c>
      <c r="L2974" s="1"/>
      <c r="M2974" s="1"/>
    </row>
    <row x14ac:dyDescent="0.25" r="2975" customHeight="1" ht="18.75">
      <c r="A2975" s="1" t="s">
        <v>3617</v>
      </c>
      <c r="B2975" s="1" t="s">
        <v>5578</v>
      </c>
      <c r="C2975" s="1" t="s">
        <v>3619</v>
      </c>
      <c r="D2975" s="1" t="s">
        <v>3695</v>
      </c>
      <c r="E2975" s="1" t="s">
        <v>3730</v>
      </c>
      <c r="F2975" s="1" t="s">
        <v>11866</v>
      </c>
      <c r="G2975" s="1" t="s">
        <v>11863</v>
      </c>
      <c r="H2975" s="1" t="s">
        <v>3604</v>
      </c>
      <c r="I2975" s="1" t="s">
        <v>11867</v>
      </c>
      <c r="J2975" s="1" t="s">
        <v>3606</v>
      </c>
      <c r="K2975" s="1" t="s">
        <v>11868</v>
      </c>
      <c r="L2975" s="1"/>
      <c r="M2975" s="1"/>
    </row>
    <row x14ac:dyDescent="0.25" r="2976" customHeight="1" ht="18.75">
      <c r="A2976" s="1" t="s">
        <v>3617</v>
      </c>
      <c r="B2976" s="1" t="s">
        <v>5578</v>
      </c>
      <c r="C2976" s="1" t="s">
        <v>3619</v>
      </c>
      <c r="D2976" s="1" t="s">
        <v>3695</v>
      </c>
      <c r="E2976" s="1" t="s">
        <v>3730</v>
      </c>
      <c r="F2976" s="1" t="s">
        <v>11869</v>
      </c>
      <c r="G2976" s="1" t="s">
        <v>11863</v>
      </c>
      <c r="H2976" s="1" t="s">
        <v>3604</v>
      </c>
      <c r="I2976" s="1" t="s">
        <v>11870</v>
      </c>
      <c r="J2976" s="1" t="s">
        <v>3606</v>
      </c>
      <c r="K2976" s="1" t="s">
        <v>11871</v>
      </c>
      <c r="L2976" s="1"/>
      <c r="M2976" s="1"/>
    </row>
    <row x14ac:dyDescent="0.25" r="2977" customHeight="1" ht="18.75">
      <c r="A2977" s="1" t="s">
        <v>3617</v>
      </c>
      <c r="B2977" s="1" t="s">
        <v>5578</v>
      </c>
      <c r="C2977" s="1" t="s">
        <v>3619</v>
      </c>
      <c r="D2977" s="1" t="s">
        <v>3695</v>
      </c>
      <c r="E2977" s="1" t="s">
        <v>3730</v>
      </c>
      <c r="F2977" s="1" t="s">
        <v>11872</v>
      </c>
      <c r="G2977" s="1" t="s">
        <v>11824</v>
      </c>
      <c r="H2977" s="1" t="s">
        <v>3604</v>
      </c>
      <c r="I2977" s="1" t="s">
        <v>11873</v>
      </c>
      <c r="J2977" s="1" t="s">
        <v>3606</v>
      </c>
      <c r="K2977" s="1" t="s">
        <v>11874</v>
      </c>
      <c r="L2977" s="1"/>
      <c r="M2977" s="1"/>
    </row>
    <row x14ac:dyDescent="0.25" r="2978" customHeight="1" ht="18.75">
      <c r="A2978" s="1" t="s">
        <v>3617</v>
      </c>
      <c r="B2978" s="1" t="s">
        <v>5578</v>
      </c>
      <c r="C2978" s="1" t="s">
        <v>3619</v>
      </c>
      <c r="D2978" s="1" t="s">
        <v>3695</v>
      </c>
      <c r="E2978" s="1" t="s">
        <v>3730</v>
      </c>
      <c r="F2978" s="1" t="s">
        <v>11875</v>
      </c>
      <c r="G2978" s="1" t="s">
        <v>11824</v>
      </c>
      <c r="H2978" s="1" t="s">
        <v>3604</v>
      </c>
      <c r="I2978" s="1" t="s">
        <v>11876</v>
      </c>
      <c r="J2978" s="1" t="s">
        <v>3606</v>
      </c>
      <c r="K2978" s="1" t="s">
        <v>11877</v>
      </c>
      <c r="L2978" s="1"/>
      <c r="M2978" s="1"/>
    </row>
    <row x14ac:dyDescent="0.25" r="2979" customHeight="1" ht="18.75">
      <c r="A2979" s="1" t="s">
        <v>3617</v>
      </c>
      <c r="B2979" s="1" t="s">
        <v>5578</v>
      </c>
      <c r="C2979" s="1" t="s">
        <v>3619</v>
      </c>
      <c r="D2979" s="1" t="s">
        <v>3695</v>
      </c>
      <c r="E2979" s="1" t="s">
        <v>3730</v>
      </c>
      <c r="F2979" s="1" t="s">
        <v>11878</v>
      </c>
      <c r="G2979" s="1" t="s">
        <v>11824</v>
      </c>
      <c r="H2979" s="1" t="s">
        <v>3604</v>
      </c>
      <c r="I2979" s="1" t="s">
        <v>11879</v>
      </c>
      <c r="J2979" s="1" t="s">
        <v>3606</v>
      </c>
      <c r="K2979" s="1" t="s">
        <v>11880</v>
      </c>
      <c r="L2979" s="1"/>
      <c r="M2979" s="1"/>
    </row>
    <row x14ac:dyDescent="0.25" r="2980" customHeight="1" ht="18.75">
      <c r="A2980" s="1" t="s">
        <v>3617</v>
      </c>
      <c r="B2980" s="1" t="s">
        <v>5578</v>
      </c>
      <c r="C2980" s="1" t="s">
        <v>3619</v>
      </c>
      <c r="D2980" s="1" t="s">
        <v>7891</v>
      </c>
      <c r="E2980" s="1" t="s">
        <v>3893</v>
      </c>
      <c r="F2980" s="1" t="s">
        <v>11881</v>
      </c>
      <c r="G2980" s="1" t="s">
        <v>11791</v>
      </c>
      <c r="H2980" s="1" t="s">
        <v>3604</v>
      </c>
      <c r="I2980" s="1" t="s">
        <v>11882</v>
      </c>
      <c r="J2980" s="1" t="s">
        <v>3606</v>
      </c>
      <c r="K2980" s="1" t="s">
        <v>11883</v>
      </c>
      <c r="L2980" s="1"/>
      <c r="M2980" s="1"/>
    </row>
    <row x14ac:dyDescent="0.25" r="2981" customHeight="1" ht="18.75">
      <c r="A2981" s="1" t="s">
        <v>3617</v>
      </c>
      <c r="B2981" s="1" t="s">
        <v>5578</v>
      </c>
      <c r="C2981" s="1" t="s">
        <v>3619</v>
      </c>
      <c r="D2981" s="1" t="s">
        <v>7891</v>
      </c>
      <c r="E2981" s="1" t="s">
        <v>3893</v>
      </c>
      <c r="F2981" s="1" t="s">
        <v>11884</v>
      </c>
      <c r="G2981" s="1" t="s">
        <v>11791</v>
      </c>
      <c r="H2981" s="1" t="s">
        <v>3604</v>
      </c>
      <c r="I2981" s="1" t="s">
        <v>11885</v>
      </c>
      <c r="J2981" s="1" t="s">
        <v>3606</v>
      </c>
      <c r="K2981" s="1" t="s">
        <v>11886</v>
      </c>
      <c r="L2981" s="1"/>
      <c r="M2981" s="1"/>
    </row>
    <row x14ac:dyDescent="0.25" r="2982" customHeight="1" ht="18.75">
      <c r="A2982" s="1" t="s">
        <v>3617</v>
      </c>
      <c r="B2982" s="1" t="s">
        <v>5578</v>
      </c>
      <c r="C2982" s="1" t="s">
        <v>3619</v>
      </c>
      <c r="D2982" s="1" t="s">
        <v>7891</v>
      </c>
      <c r="E2982" s="1" t="s">
        <v>3893</v>
      </c>
      <c r="F2982" s="1" t="s">
        <v>11887</v>
      </c>
      <c r="G2982" s="1" t="s">
        <v>11791</v>
      </c>
      <c r="H2982" s="1" t="s">
        <v>3604</v>
      </c>
      <c r="I2982" s="1" t="s">
        <v>11888</v>
      </c>
      <c r="J2982" s="1" t="s">
        <v>3606</v>
      </c>
      <c r="K2982" s="1" t="s">
        <v>11889</v>
      </c>
      <c r="L2982" s="1"/>
      <c r="M2982" s="1"/>
    </row>
    <row x14ac:dyDescent="0.25" r="2983" customHeight="1" ht="18.75">
      <c r="A2983" s="1" t="s">
        <v>3617</v>
      </c>
      <c r="B2983" s="1" t="s">
        <v>5578</v>
      </c>
      <c r="C2983" s="1" t="s">
        <v>3619</v>
      </c>
      <c r="D2983" s="1" t="s">
        <v>7891</v>
      </c>
      <c r="E2983" s="1" t="s">
        <v>3893</v>
      </c>
      <c r="F2983" s="1" t="s">
        <v>11890</v>
      </c>
      <c r="G2983" s="1" t="s">
        <v>11891</v>
      </c>
      <c r="H2983" s="1" t="s">
        <v>3604</v>
      </c>
      <c r="I2983" s="1" t="s">
        <v>11892</v>
      </c>
      <c r="J2983" s="1" t="s">
        <v>3606</v>
      </c>
      <c r="K2983" s="1" t="s">
        <v>11893</v>
      </c>
      <c r="L2983" s="1"/>
      <c r="M2983" s="1"/>
    </row>
    <row x14ac:dyDescent="0.25" r="2984" customHeight="1" ht="18.75">
      <c r="A2984" s="1" t="s">
        <v>3617</v>
      </c>
      <c r="B2984" s="1" t="s">
        <v>5578</v>
      </c>
      <c r="C2984" s="1" t="s">
        <v>3619</v>
      </c>
      <c r="D2984" s="1" t="s">
        <v>7891</v>
      </c>
      <c r="E2984" s="1" t="s">
        <v>3893</v>
      </c>
      <c r="F2984" s="1" t="s">
        <v>11894</v>
      </c>
      <c r="G2984" s="1" t="s">
        <v>11891</v>
      </c>
      <c r="H2984" s="1" t="s">
        <v>3604</v>
      </c>
      <c r="I2984" s="1" t="s">
        <v>11895</v>
      </c>
      <c r="J2984" s="1" t="s">
        <v>3606</v>
      </c>
      <c r="K2984" s="1" t="s">
        <v>11896</v>
      </c>
      <c r="L2984" s="1"/>
      <c r="M2984" s="1"/>
    </row>
    <row x14ac:dyDescent="0.25" r="2985" customHeight="1" ht="18.75">
      <c r="A2985" s="1" t="s">
        <v>3617</v>
      </c>
      <c r="B2985" s="1" t="s">
        <v>5578</v>
      </c>
      <c r="C2985" s="1" t="s">
        <v>3619</v>
      </c>
      <c r="D2985" s="1" t="s">
        <v>7891</v>
      </c>
      <c r="E2985" s="1" t="s">
        <v>3893</v>
      </c>
      <c r="F2985" s="1" t="s">
        <v>11897</v>
      </c>
      <c r="G2985" s="1" t="s">
        <v>11891</v>
      </c>
      <c r="H2985" s="1" t="s">
        <v>3604</v>
      </c>
      <c r="I2985" s="1" t="s">
        <v>11898</v>
      </c>
      <c r="J2985" s="1" t="s">
        <v>3606</v>
      </c>
      <c r="K2985" s="1" t="s">
        <v>11899</v>
      </c>
      <c r="L2985" s="1"/>
      <c r="M2985" s="1"/>
    </row>
    <row x14ac:dyDescent="0.25" r="2986" customHeight="1" ht="18.75">
      <c r="A2986" s="1" t="s">
        <v>3617</v>
      </c>
      <c r="B2986" s="1" t="s">
        <v>5578</v>
      </c>
      <c r="C2986" s="1" t="s">
        <v>3619</v>
      </c>
      <c r="D2986" s="1" t="s">
        <v>7891</v>
      </c>
      <c r="E2986" s="1" t="s">
        <v>3893</v>
      </c>
      <c r="F2986" s="1" t="s">
        <v>11900</v>
      </c>
      <c r="G2986" s="1" t="s">
        <v>11891</v>
      </c>
      <c r="H2986" s="1" t="s">
        <v>3604</v>
      </c>
      <c r="I2986" s="1" t="s">
        <v>11901</v>
      </c>
      <c r="J2986" s="1" t="s">
        <v>3606</v>
      </c>
      <c r="K2986" s="1" t="s">
        <v>11902</v>
      </c>
      <c r="L2986" s="1"/>
      <c r="M2986" s="1"/>
    </row>
    <row x14ac:dyDescent="0.25" r="2987" customHeight="1" ht="18.75">
      <c r="A2987" s="1" t="s">
        <v>3617</v>
      </c>
      <c r="B2987" s="1" t="s">
        <v>5578</v>
      </c>
      <c r="C2987" s="1" t="s">
        <v>3619</v>
      </c>
      <c r="D2987" s="1" t="s">
        <v>7891</v>
      </c>
      <c r="E2987" s="1" t="s">
        <v>3893</v>
      </c>
      <c r="F2987" s="1" t="s">
        <v>11903</v>
      </c>
      <c r="G2987" s="1" t="s">
        <v>11814</v>
      </c>
      <c r="H2987" s="1" t="s">
        <v>3604</v>
      </c>
      <c r="I2987" s="1" t="s">
        <v>11904</v>
      </c>
      <c r="J2987" s="1" t="s">
        <v>3606</v>
      </c>
      <c r="K2987" s="1" t="s">
        <v>11905</v>
      </c>
      <c r="L2987" s="1"/>
      <c r="M2987" s="1"/>
    </row>
    <row x14ac:dyDescent="0.25" r="2988" customHeight="1" ht="18.75">
      <c r="A2988" s="1" t="s">
        <v>3617</v>
      </c>
      <c r="B2988" s="1" t="s">
        <v>5578</v>
      </c>
      <c r="C2988" s="1" t="s">
        <v>3619</v>
      </c>
      <c r="D2988" s="1" t="s">
        <v>7891</v>
      </c>
      <c r="E2988" s="1" t="s">
        <v>3893</v>
      </c>
      <c r="F2988" s="1" t="s">
        <v>11906</v>
      </c>
      <c r="G2988" s="1" t="s">
        <v>11798</v>
      </c>
      <c r="H2988" s="1" t="s">
        <v>3604</v>
      </c>
      <c r="I2988" s="1" t="s">
        <v>11907</v>
      </c>
      <c r="J2988" s="1" t="s">
        <v>3606</v>
      </c>
      <c r="K2988" s="1" t="s">
        <v>11908</v>
      </c>
      <c r="L2988" s="1"/>
      <c r="M2988" s="1"/>
    </row>
    <row x14ac:dyDescent="0.25" r="2989" customHeight="1" ht="18.75">
      <c r="A2989" s="1" t="s">
        <v>3617</v>
      </c>
      <c r="B2989" s="1" t="s">
        <v>5578</v>
      </c>
      <c r="C2989" s="1" t="s">
        <v>3619</v>
      </c>
      <c r="D2989" s="1" t="s">
        <v>533</v>
      </c>
      <c r="E2989" s="1" t="s">
        <v>3893</v>
      </c>
      <c r="F2989" s="1" t="s">
        <v>11909</v>
      </c>
      <c r="G2989" s="1" t="s">
        <v>5580</v>
      </c>
      <c r="H2989" s="1" t="s">
        <v>3604</v>
      </c>
      <c r="I2989" s="1" t="s">
        <v>11910</v>
      </c>
      <c r="J2989" s="1" t="s">
        <v>3606</v>
      </c>
      <c r="K2989" s="1" t="s">
        <v>11911</v>
      </c>
      <c r="L2989" s="1"/>
      <c r="M2989" s="1"/>
    </row>
    <row x14ac:dyDescent="0.25" r="2990" customHeight="1" ht="18.75">
      <c r="A2990" s="1" t="s">
        <v>3617</v>
      </c>
      <c r="B2990" s="1" t="s">
        <v>5578</v>
      </c>
      <c r="C2990" s="1" t="s">
        <v>3619</v>
      </c>
      <c r="D2990" s="1" t="s">
        <v>533</v>
      </c>
      <c r="E2990" s="1" t="s">
        <v>3893</v>
      </c>
      <c r="F2990" s="1" t="s">
        <v>11912</v>
      </c>
      <c r="G2990" s="1" t="s">
        <v>5580</v>
      </c>
      <c r="H2990" s="1" t="s">
        <v>3604</v>
      </c>
      <c r="I2990" s="1" t="s">
        <v>11913</v>
      </c>
      <c r="J2990" s="1" t="s">
        <v>3606</v>
      </c>
      <c r="K2990" s="1" t="s">
        <v>11914</v>
      </c>
      <c r="L2990" s="1"/>
      <c r="M2990" s="1"/>
    </row>
    <row x14ac:dyDescent="0.25" r="2991" customHeight="1" ht="18.75">
      <c r="A2991" s="1" t="s">
        <v>3617</v>
      </c>
      <c r="B2991" s="1" t="s">
        <v>5578</v>
      </c>
      <c r="C2991" s="1" t="s">
        <v>3619</v>
      </c>
      <c r="D2991" s="1" t="s">
        <v>533</v>
      </c>
      <c r="E2991" s="1" t="s">
        <v>3893</v>
      </c>
      <c r="F2991" s="1" t="s">
        <v>11915</v>
      </c>
      <c r="G2991" s="1" t="s">
        <v>11791</v>
      </c>
      <c r="H2991" s="1" t="s">
        <v>3604</v>
      </c>
      <c r="I2991" s="1" t="s">
        <v>11916</v>
      </c>
      <c r="J2991" s="1" t="s">
        <v>3606</v>
      </c>
      <c r="K2991" s="1" t="s">
        <v>11917</v>
      </c>
      <c r="L2991" s="1"/>
      <c r="M2991" s="1"/>
    </row>
    <row x14ac:dyDescent="0.25" r="2992" customHeight="1" ht="18.75">
      <c r="A2992" s="1" t="s">
        <v>3617</v>
      </c>
      <c r="B2992" s="1" t="s">
        <v>5578</v>
      </c>
      <c r="C2992" s="1" t="s">
        <v>3619</v>
      </c>
      <c r="D2992" s="1" t="s">
        <v>533</v>
      </c>
      <c r="E2992" s="1" t="s">
        <v>3893</v>
      </c>
      <c r="F2992" s="1" t="s">
        <v>11918</v>
      </c>
      <c r="G2992" s="1" t="s">
        <v>8394</v>
      </c>
      <c r="H2992" s="1" t="s">
        <v>3604</v>
      </c>
      <c r="I2992" s="1" t="s">
        <v>11919</v>
      </c>
      <c r="J2992" s="1" t="s">
        <v>3606</v>
      </c>
      <c r="K2992" s="1" t="s">
        <v>11920</v>
      </c>
      <c r="L2992" s="1"/>
      <c r="M2992" s="1"/>
    </row>
    <row x14ac:dyDescent="0.25" r="2993" customHeight="1" ht="18.75">
      <c r="A2993" s="1" t="s">
        <v>3617</v>
      </c>
      <c r="B2993" s="1" t="s">
        <v>5578</v>
      </c>
      <c r="C2993" s="1" t="s">
        <v>3619</v>
      </c>
      <c r="D2993" s="1" t="s">
        <v>533</v>
      </c>
      <c r="E2993" s="1" t="s">
        <v>3893</v>
      </c>
      <c r="F2993" s="1" t="s">
        <v>11921</v>
      </c>
      <c r="G2993" s="1" t="s">
        <v>8394</v>
      </c>
      <c r="H2993" s="1" t="s">
        <v>3604</v>
      </c>
      <c r="I2993" s="1" t="s">
        <v>11922</v>
      </c>
      <c r="J2993" s="1" t="s">
        <v>3606</v>
      </c>
      <c r="K2993" s="1" t="s">
        <v>11923</v>
      </c>
      <c r="L2993" s="1"/>
      <c r="M2993" s="1"/>
    </row>
    <row x14ac:dyDescent="0.25" r="2994" customHeight="1" ht="18.75">
      <c r="A2994" s="1" t="s">
        <v>3617</v>
      </c>
      <c r="B2994" s="1" t="s">
        <v>5578</v>
      </c>
      <c r="C2994" s="1" t="s">
        <v>3619</v>
      </c>
      <c r="D2994" s="1" t="s">
        <v>533</v>
      </c>
      <c r="E2994" s="1" t="s">
        <v>3893</v>
      </c>
      <c r="F2994" s="1" t="s">
        <v>11924</v>
      </c>
      <c r="G2994" s="1" t="s">
        <v>8394</v>
      </c>
      <c r="H2994" s="1" t="s">
        <v>3604</v>
      </c>
      <c r="I2994" s="1" t="s">
        <v>11925</v>
      </c>
      <c r="J2994" s="1" t="s">
        <v>3606</v>
      </c>
      <c r="K2994" s="1" t="s">
        <v>11926</v>
      </c>
      <c r="L2994" s="1"/>
      <c r="M2994" s="1"/>
    </row>
    <row x14ac:dyDescent="0.25" r="2995" customHeight="1" ht="18.75">
      <c r="A2995" s="1" t="s">
        <v>3617</v>
      </c>
      <c r="B2995" s="1" t="s">
        <v>5578</v>
      </c>
      <c r="C2995" s="1" t="s">
        <v>3619</v>
      </c>
      <c r="D2995" s="1" t="s">
        <v>533</v>
      </c>
      <c r="E2995" s="1" t="s">
        <v>3893</v>
      </c>
      <c r="F2995" s="1" t="s">
        <v>11927</v>
      </c>
      <c r="G2995" s="1" t="s">
        <v>11824</v>
      </c>
      <c r="H2995" s="1" t="s">
        <v>3604</v>
      </c>
      <c r="I2995" s="1" t="s">
        <v>11928</v>
      </c>
      <c r="J2995" s="1" t="s">
        <v>3606</v>
      </c>
      <c r="K2995" s="1" t="s">
        <v>11929</v>
      </c>
      <c r="L2995" s="1"/>
      <c r="M2995" s="1"/>
    </row>
    <row x14ac:dyDescent="0.25" r="2996" customHeight="1" ht="18.75">
      <c r="A2996" s="1" t="s">
        <v>3617</v>
      </c>
      <c r="B2996" s="1" t="s">
        <v>5578</v>
      </c>
      <c r="C2996" s="1" t="s">
        <v>3619</v>
      </c>
      <c r="D2996" s="1" t="s">
        <v>3601</v>
      </c>
      <c r="E2996" s="1" t="s">
        <v>3664</v>
      </c>
      <c r="F2996" s="1" t="s">
        <v>11930</v>
      </c>
      <c r="G2996" s="1" t="s">
        <v>11931</v>
      </c>
      <c r="H2996" s="1" t="s">
        <v>3604</v>
      </c>
      <c r="I2996" s="1" t="s">
        <v>11932</v>
      </c>
      <c r="J2996" s="1" t="s">
        <v>3606</v>
      </c>
      <c r="K2996" s="1" t="s">
        <v>11933</v>
      </c>
      <c r="L2996" s="1"/>
      <c r="M2996" s="1"/>
    </row>
    <row x14ac:dyDescent="0.25" r="2997" customHeight="1" ht="18.75">
      <c r="A2997" s="1" t="s">
        <v>3617</v>
      </c>
      <c r="B2997" s="1" t="s">
        <v>5578</v>
      </c>
      <c r="C2997" s="1" t="s">
        <v>3619</v>
      </c>
      <c r="D2997" s="1" t="s">
        <v>3601</v>
      </c>
      <c r="E2997" s="1" t="s">
        <v>3664</v>
      </c>
      <c r="F2997" s="1" t="s">
        <v>11934</v>
      </c>
      <c r="G2997" s="1" t="s">
        <v>11931</v>
      </c>
      <c r="H2997" s="1" t="s">
        <v>3604</v>
      </c>
      <c r="I2997" s="1" t="s">
        <v>11935</v>
      </c>
      <c r="J2997" s="1" t="s">
        <v>3606</v>
      </c>
      <c r="K2997" s="1" t="s">
        <v>11936</v>
      </c>
      <c r="L2997" s="1"/>
      <c r="M2997" s="1"/>
    </row>
    <row x14ac:dyDescent="0.25" r="2998" customHeight="1" ht="18.75">
      <c r="A2998" s="1" t="s">
        <v>3617</v>
      </c>
      <c r="B2998" s="1" t="s">
        <v>5578</v>
      </c>
      <c r="C2998" s="1" t="s">
        <v>3619</v>
      </c>
      <c r="D2998" s="1" t="s">
        <v>3601</v>
      </c>
      <c r="E2998" s="1" t="s">
        <v>3664</v>
      </c>
      <c r="F2998" s="1" t="s">
        <v>11937</v>
      </c>
      <c r="G2998" s="1" t="s">
        <v>11938</v>
      </c>
      <c r="H2998" s="1" t="s">
        <v>3604</v>
      </c>
      <c r="I2998" s="1" t="s">
        <v>11939</v>
      </c>
      <c r="J2998" s="1" t="s">
        <v>3606</v>
      </c>
      <c r="K2998" s="1" t="s">
        <v>11940</v>
      </c>
      <c r="L2998" s="1"/>
      <c r="M2998" s="1"/>
    </row>
    <row x14ac:dyDescent="0.25" r="2999" customHeight="1" ht="18.75">
      <c r="A2999" s="1" t="s">
        <v>3617</v>
      </c>
      <c r="B2999" s="1" t="s">
        <v>5578</v>
      </c>
      <c r="C2999" s="1" t="s">
        <v>3619</v>
      </c>
      <c r="D2999" s="1" t="s">
        <v>3601</v>
      </c>
      <c r="E2999" s="1" t="s">
        <v>3664</v>
      </c>
      <c r="F2999" s="1" t="s">
        <v>11941</v>
      </c>
      <c r="G2999" s="1" t="s">
        <v>11938</v>
      </c>
      <c r="H2999" s="1" t="s">
        <v>3604</v>
      </c>
      <c r="I2999" s="1" t="s">
        <v>11942</v>
      </c>
      <c r="J2999" s="1" t="s">
        <v>3606</v>
      </c>
      <c r="K2999" s="1" t="s">
        <v>11943</v>
      </c>
      <c r="L2999" s="1"/>
      <c r="M2999" s="1"/>
    </row>
    <row x14ac:dyDescent="0.25" r="3000" customHeight="1" ht="18.75">
      <c r="A3000" s="1" t="s">
        <v>3617</v>
      </c>
      <c r="B3000" s="1" t="s">
        <v>5578</v>
      </c>
      <c r="C3000" s="1" t="s">
        <v>3619</v>
      </c>
      <c r="D3000" s="1" t="s">
        <v>3601</v>
      </c>
      <c r="E3000" s="1" t="s">
        <v>3664</v>
      </c>
      <c r="F3000" s="1" t="s">
        <v>11944</v>
      </c>
      <c r="G3000" s="1" t="s">
        <v>11945</v>
      </c>
      <c r="H3000" s="1" t="s">
        <v>3604</v>
      </c>
      <c r="I3000" s="1" t="s">
        <v>11946</v>
      </c>
      <c r="J3000" s="1" t="s">
        <v>3606</v>
      </c>
      <c r="K3000" s="1" t="s">
        <v>11947</v>
      </c>
      <c r="L3000" s="1"/>
      <c r="M3000" s="1"/>
    </row>
    <row x14ac:dyDescent="0.25" r="3001" customHeight="1" ht="18.75">
      <c r="A3001" s="1" t="s">
        <v>3617</v>
      </c>
      <c r="B3001" s="1" t="s">
        <v>5578</v>
      </c>
      <c r="C3001" s="1" t="s">
        <v>3619</v>
      </c>
      <c r="D3001" s="1" t="s">
        <v>3601</v>
      </c>
      <c r="E3001" s="1" t="s">
        <v>3664</v>
      </c>
      <c r="F3001" s="1" t="s">
        <v>11948</v>
      </c>
      <c r="G3001" s="1" t="s">
        <v>11949</v>
      </c>
      <c r="H3001" s="1" t="s">
        <v>3604</v>
      </c>
      <c r="I3001" s="1" t="s">
        <v>11950</v>
      </c>
      <c r="J3001" s="1" t="s">
        <v>3606</v>
      </c>
      <c r="K3001" s="1" t="s">
        <v>11951</v>
      </c>
      <c r="L3001" s="1"/>
      <c r="M3001" s="1"/>
    </row>
    <row x14ac:dyDescent="0.25" r="3002" customHeight="1" ht="18.75">
      <c r="A3002" s="1" t="s">
        <v>3617</v>
      </c>
      <c r="B3002" s="1" t="s">
        <v>4477</v>
      </c>
      <c r="C3002" s="1" t="s">
        <v>3619</v>
      </c>
      <c r="D3002" s="1" t="s">
        <v>3601</v>
      </c>
      <c r="E3002" s="1" t="s">
        <v>4478</v>
      </c>
      <c r="F3002" s="1" t="s">
        <v>11952</v>
      </c>
      <c r="G3002" s="1" t="s">
        <v>10744</v>
      </c>
      <c r="H3002" s="1" t="s">
        <v>3604</v>
      </c>
      <c r="I3002" s="1" t="s">
        <v>11953</v>
      </c>
      <c r="J3002" s="1" t="s">
        <v>3606</v>
      </c>
      <c r="K3002" s="1" t="s">
        <v>11954</v>
      </c>
      <c r="L3002" s="1"/>
      <c r="M3002" s="1"/>
    </row>
    <row x14ac:dyDescent="0.25" r="3003" customHeight="1" ht="18.75">
      <c r="A3003" s="1" t="s">
        <v>3617</v>
      </c>
      <c r="B3003" s="1" t="s">
        <v>3729</v>
      </c>
      <c r="C3003" s="1" t="s">
        <v>3619</v>
      </c>
      <c r="D3003" s="1" t="s">
        <v>3601</v>
      </c>
      <c r="E3003" s="1" t="s">
        <v>4478</v>
      </c>
      <c r="F3003" s="1" t="s">
        <v>11955</v>
      </c>
      <c r="G3003" s="1" t="s">
        <v>3840</v>
      </c>
      <c r="H3003" s="1" t="s">
        <v>3604</v>
      </c>
      <c r="I3003" s="1" t="s">
        <v>11956</v>
      </c>
      <c r="J3003" s="1" t="s">
        <v>3606</v>
      </c>
      <c r="K3003" s="1" t="s">
        <v>11957</v>
      </c>
      <c r="L3003" s="1"/>
      <c r="M3003" s="1"/>
    </row>
    <row x14ac:dyDescent="0.25" r="3004" customHeight="1" ht="18.75">
      <c r="A3004" s="1" t="s">
        <v>3617</v>
      </c>
      <c r="B3004" s="1" t="s">
        <v>11958</v>
      </c>
      <c r="C3004" s="1" t="s">
        <v>3619</v>
      </c>
      <c r="D3004" s="1" t="s">
        <v>3601</v>
      </c>
      <c r="E3004" s="1" t="s">
        <v>3730</v>
      </c>
      <c r="F3004" s="1" t="s">
        <v>11959</v>
      </c>
      <c r="G3004" s="1" t="s">
        <v>11960</v>
      </c>
      <c r="H3004" s="1" t="s">
        <v>3604</v>
      </c>
      <c r="I3004" s="1" t="s">
        <v>11961</v>
      </c>
      <c r="J3004" s="1" t="s">
        <v>3606</v>
      </c>
      <c r="K3004" s="1" t="s">
        <v>7997</v>
      </c>
      <c r="L3004" s="1"/>
      <c r="M3004" s="1"/>
    </row>
    <row x14ac:dyDescent="0.25" r="3005" customHeight="1" ht="18.75">
      <c r="A3005" s="1" t="s">
        <v>3617</v>
      </c>
      <c r="B3005" s="1" t="s">
        <v>11958</v>
      </c>
      <c r="C3005" s="1" t="s">
        <v>3619</v>
      </c>
      <c r="D3005" s="1" t="s">
        <v>3601</v>
      </c>
      <c r="E3005" s="1" t="s">
        <v>3730</v>
      </c>
      <c r="F3005" s="1" t="s">
        <v>11962</v>
      </c>
      <c r="G3005" s="1" t="s">
        <v>11963</v>
      </c>
      <c r="H3005" s="1" t="s">
        <v>3604</v>
      </c>
      <c r="I3005" s="1" t="s">
        <v>11964</v>
      </c>
      <c r="J3005" s="1" t="s">
        <v>3606</v>
      </c>
      <c r="K3005" s="1" t="s">
        <v>7997</v>
      </c>
      <c r="L3005" s="1"/>
      <c r="M3005" s="1"/>
    </row>
    <row x14ac:dyDescent="0.25" r="3006" customHeight="1" ht="18.75">
      <c r="A3006" s="1" t="s">
        <v>3617</v>
      </c>
      <c r="B3006" s="1" t="s">
        <v>5578</v>
      </c>
      <c r="C3006" s="1" t="s">
        <v>3619</v>
      </c>
      <c r="D3006" s="1" t="s">
        <v>3601</v>
      </c>
      <c r="E3006" s="1" t="s">
        <v>3664</v>
      </c>
      <c r="F3006" s="1" t="s">
        <v>11965</v>
      </c>
      <c r="G3006" s="1" t="s">
        <v>11966</v>
      </c>
      <c r="H3006" s="1" t="s">
        <v>3604</v>
      </c>
      <c r="I3006" s="1" t="s">
        <v>11967</v>
      </c>
      <c r="J3006" s="1" t="s">
        <v>3606</v>
      </c>
      <c r="K3006" s="1" t="s">
        <v>11968</v>
      </c>
      <c r="L3006" s="1"/>
      <c r="M3006" s="1"/>
    </row>
    <row x14ac:dyDescent="0.25" r="3007" customHeight="1" ht="18.75">
      <c r="A3007" s="1" t="s">
        <v>3617</v>
      </c>
      <c r="B3007" s="1" t="s">
        <v>5578</v>
      </c>
      <c r="C3007" s="1" t="s">
        <v>3619</v>
      </c>
      <c r="D3007" s="1" t="s">
        <v>3601</v>
      </c>
      <c r="E3007" s="1" t="s">
        <v>3664</v>
      </c>
      <c r="F3007" s="1" t="s">
        <v>11969</v>
      </c>
      <c r="G3007" s="1" t="s">
        <v>11945</v>
      </c>
      <c r="H3007" s="1" t="s">
        <v>3604</v>
      </c>
      <c r="I3007" s="1" t="s">
        <v>11970</v>
      </c>
      <c r="J3007" s="1" t="s">
        <v>3606</v>
      </c>
      <c r="K3007" s="1" t="s">
        <v>11971</v>
      </c>
      <c r="L3007" s="1"/>
      <c r="M3007" s="1"/>
    </row>
    <row x14ac:dyDescent="0.25" r="3008" customHeight="1" ht="18.75">
      <c r="A3008" s="1" t="s">
        <v>3617</v>
      </c>
      <c r="B3008" s="1" t="s">
        <v>5578</v>
      </c>
      <c r="C3008" s="1" t="s">
        <v>3619</v>
      </c>
      <c r="D3008" s="1" t="s">
        <v>3601</v>
      </c>
      <c r="E3008" s="1" t="s">
        <v>3664</v>
      </c>
      <c r="F3008" s="1" t="s">
        <v>11972</v>
      </c>
      <c r="G3008" s="1" t="s">
        <v>11938</v>
      </c>
      <c r="H3008" s="1" t="s">
        <v>3604</v>
      </c>
      <c r="I3008" s="1" t="s">
        <v>11973</v>
      </c>
      <c r="J3008" s="1" t="s">
        <v>3606</v>
      </c>
      <c r="K3008" s="1" t="s">
        <v>11974</v>
      </c>
      <c r="L3008" s="1"/>
      <c r="M3008" s="1"/>
    </row>
    <row x14ac:dyDescent="0.25" r="3009" customHeight="1" ht="18.75">
      <c r="A3009" s="1" t="s">
        <v>3617</v>
      </c>
      <c r="B3009" s="1" t="s">
        <v>5578</v>
      </c>
      <c r="C3009" s="1" t="s">
        <v>3619</v>
      </c>
      <c r="D3009" s="1" t="s">
        <v>3601</v>
      </c>
      <c r="E3009" s="1" t="s">
        <v>3664</v>
      </c>
      <c r="F3009" s="1" t="s">
        <v>11975</v>
      </c>
      <c r="G3009" s="1" t="s">
        <v>11945</v>
      </c>
      <c r="H3009" s="1" t="s">
        <v>3604</v>
      </c>
      <c r="I3009" s="1" t="s">
        <v>11976</v>
      </c>
      <c r="J3009" s="1" t="s">
        <v>3606</v>
      </c>
      <c r="K3009" s="1" t="s">
        <v>11977</v>
      </c>
      <c r="L3009" s="1"/>
      <c r="M3009" s="1"/>
    </row>
    <row x14ac:dyDescent="0.25" r="3010" customHeight="1" ht="18.75">
      <c r="A3010" s="1" t="s">
        <v>3617</v>
      </c>
      <c r="B3010" s="1" t="s">
        <v>5578</v>
      </c>
      <c r="C3010" s="1" t="s">
        <v>3619</v>
      </c>
      <c r="D3010" s="1" t="s">
        <v>3601</v>
      </c>
      <c r="E3010" s="1" t="s">
        <v>3893</v>
      </c>
      <c r="F3010" s="1" t="s">
        <v>11978</v>
      </c>
      <c r="G3010" s="1" t="s">
        <v>5580</v>
      </c>
      <c r="H3010" s="1" t="s">
        <v>3604</v>
      </c>
      <c r="I3010" s="1" t="s">
        <v>11979</v>
      </c>
      <c r="J3010" s="1" t="s">
        <v>3606</v>
      </c>
      <c r="K3010" s="1" t="s">
        <v>11980</v>
      </c>
      <c r="L3010" s="1"/>
      <c r="M3010" s="1"/>
    </row>
    <row x14ac:dyDescent="0.25" r="3011" customHeight="1" ht="18.75">
      <c r="A3011" s="1" t="s">
        <v>3617</v>
      </c>
      <c r="B3011" s="1" t="s">
        <v>5578</v>
      </c>
      <c r="C3011" s="1" t="s">
        <v>3619</v>
      </c>
      <c r="D3011" s="1" t="s">
        <v>3601</v>
      </c>
      <c r="E3011" s="1" t="s">
        <v>3893</v>
      </c>
      <c r="F3011" s="1" t="s">
        <v>11981</v>
      </c>
      <c r="G3011" s="1" t="s">
        <v>5580</v>
      </c>
      <c r="H3011" s="1" t="s">
        <v>3604</v>
      </c>
      <c r="I3011" s="1" t="s">
        <v>11982</v>
      </c>
      <c r="J3011" s="1" t="s">
        <v>3606</v>
      </c>
      <c r="K3011" s="1" t="s">
        <v>11983</v>
      </c>
      <c r="L3011" s="1"/>
      <c r="M3011" s="1"/>
    </row>
    <row x14ac:dyDescent="0.25" r="3012" customHeight="1" ht="18.75">
      <c r="A3012" s="1" t="s">
        <v>3617</v>
      </c>
      <c r="B3012" s="1" t="s">
        <v>5578</v>
      </c>
      <c r="C3012" s="1" t="s">
        <v>3619</v>
      </c>
      <c r="D3012" s="1" t="s">
        <v>3601</v>
      </c>
      <c r="E3012" s="1" t="s">
        <v>3893</v>
      </c>
      <c r="F3012" s="1" t="s">
        <v>11984</v>
      </c>
      <c r="G3012" s="1" t="s">
        <v>5580</v>
      </c>
      <c r="H3012" s="1" t="s">
        <v>3604</v>
      </c>
      <c r="I3012" s="1" t="s">
        <v>11985</v>
      </c>
      <c r="J3012" s="1" t="s">
        <v>3606</v>
      </c>
      <c r="K3012" s="1" t="s">
        <v>11986</v>
      </c>
      <c r="L3012" s="1"/>
      <c r="M3012" s="1"/>
    </row>
    <row x14ac:dyDescent="0.25" r="3013" customHeight="1" ht="18.75">
      <c r="A3013" s="1" t="s">
        <v>3617</v>
      </c>
      <c r="B3013" s="1" t="s">
        <v>5578</v>
      </c>
      <c r="C3013" s="1" t="s">
        <v>3619</v>
      </c>
      <c r="D3013" s="1" t="s">
        <v>3601</v>
      </c>
      <c r="E3013" s="1" t="s">
        <v>3893</v>
      </c>
      <c r="F3013" s="1" t="s">
        <v>11987</v>
      </c>
      <c r="G3013" s="1" t="s">
        <v>5580</v>
      </c>
      <c r="H3013" s="1" t="s">
        <v>3604</v>
      </c>
      <c r="I3013" s="1" t="s">
        <v>11988</v>
      </c>
      <c r="J3013" s="1" t="s">
        <v>3606</v>
      </c>
      <c r="K3013" s="1" t="s">
        <v>11989</v>
      </c>
      <c r="L3013" s="1"/>
      <c r="M3013" s="1"/>
    </row>
    <row x14ac:dyDescent="0.25" r="3014" customHeight="1" ht="18.75">
      <c r="A3014" s="1" t="s">
        <v>3617</v>
      </c>
      <c r="B3014" s="1" t="s">
        <v>5578</v>
      </c>
      <c r="C3014" s="1" t="s">
        <v>3619</v>
      </c>
      <c r="D3014" s="1" t="s">
        <v>3601</v>
      </c>
      <c r="E3014" s="1" t="s">
        <v>3893</v>
      </c>
      <c r="F3014" s="1" t="s">
        <v>11990</v>
      </c>
      <c r="G3014" s="1" t="s">
        <v>5580</v>
      </c>
      <c r="H3014" s="1" t="s">
        <v>3604</v>
      </c>
      <c r="I3014" s="1" t="s">
        <v>11991</v>
      </c>
      <c r="J3014" s="1" t="s">
        <v>3606</v>
      </c>
      <c r="K3014" s="1" t="s">
        <v>11992</v>
      </c>
      <c r="L3014" s="1"/>
      <c r="M3014" s="1"/>
    </row>
    <row x14ac:dyDescent="0.25" r="3015" customHeight="1" ht="18.75">
      <c r="A3015" s="1" t="s">
        <v>3617</v>
      </c>
      <c r="B3015" s="1" t="s">
        <v>5578</v>
      </c>
      <c r="C3015" s="1" t="s">
        <v>3619</v>
      </c>
      <c r="D3015" s="1" t="s">
        <v>3601</v>
      </c>
      <c r="E3015" s="1" t="s">
        <v>3893</v>
      </c>
      <c r="F3015" s="1" t="s">
        <v>11993</v>
      </c>
      <c r="G3015" s="1" t="s">
        <v>5580</v>
      </c>
      <c r="H3015" s="1" t="s">
        <v>3604</v>
      </c>
      <c r="I3015" s="1" t="s">
        <v>11994</v>
      </c>
      <c r="J3015" s="1" t="s">
        <v>3606</v>
      </c>
      <c r="K3015" s="1" t="s">
        <v>11995</v>
      </c>
      <c r="L3015" s="1"/>
      <c r="M3015" s="1"/>
    </row>
    <row x14ac:dyDescent="0.25" r="3016" customHeight="1" ht="18.75">
      <c r="A3016" s="1" t="s">
        <v>3617</v>
      </c>
      <c r="B3016" s="1" t="s">
        <v>5578</v>
      </c>
      <c r="C3016" s="1" t="s">
        <v>3619</v>
      </c>
      <c r="D3016" s="1" t="s">
        <v>3601</v>
      </c>
      <c r="E3016" s="1" t="s">
        <v>3893</v>
      </c>
      <c r="F3016" s="1" t="s">
        <v>11996</v>
      </c>
      <c r="G3016" s="1" t="s">
        <v>5580</v>
      </c>
      <c r="H3016" s="1" t="s">
        <v>3604</v>
      </c>
      <c r="I3016" s="1" t="s">
        <v>11997</v>
      </c>
      <c r="J3016" s="1" t="s">
        <v>3606</v>
      </c>
      <c r="K3016" s="1" t="s">
        <v>11998</v>
      </c>
      <c r="L3016" s="1"/>
      <c r="M3016" s="1"/>
    </row>
    <row x14ac:dyDescent="0.25" r="3017" customHeight="1" ht="18.75">
      <c r="A3017" s="1" t="s">
        <v>3617</v>
      </c>
      <c r="B3017" s="1" t="s">
        <v>5578</v>
      </c>
      <c r="C3017" s="1" t="s">
        <v>3619</v>
      </c>
      <c r="D3017" s="1" t="s">
        <v>3601</v>
      </c>
      <c r="E3017" s="1" t="s">
        <v>3893</v>
      </c>
      <c r="F3017" s="1" t="s">
        <v>11999</v>
      </c>
      <c r="G3017" s="1" t="s">
        <v>5580</v>
      </c>
      <c r="H3017" s="1" t="s">
        <v>3604</v>
      </c>
      <c r="I3017" s="1" t="s">
        <v>12000</v>
      </c>
      <c r="J3017" s="1" t="s">
        <v>3606</v>
      </c>
      <c r="K3017" s="1" t="s">
        <v>12001</v>
      </c>
      <c r="L3017" s="1"/>
      <c r="M3017" s="1"/>
    </row>
    <row x14ac:dyDescent="0.25" r="3018" customHeight="1" ht="18.75">
      <c r="A3018" s="1" t="s">
        <v>3617</v>
      </c>
      <c r="B3018" s="1" t="s">
        <v>5578</v>
      </c>
      <c r="C3018" s="1" t="s">
        <v>3619</v>
      </c>
      <c r="D3018" s="1" t="s">
        <v>3601</v>
      </c>
      <c r="E3018" s="1" t="s">
        <v>3893</v>
      </c>
      <c r="F3018" s="1" t="s">
        <v>12002</v>
      </c>
      <c r="G3018" s="1" t="s">
        <v>5580</v>
      </c>
      <c r="H3018" s="1" t="s">
        <v>3604</v>
      </c>
      <c r="I3018" s="1" t="s">
        <v>12003</v>
      </c>
      <c r="J3018" s="1" t="s">
        <v>3606</v>
      </c>
      <c r="K3018" s="1" t="s">
        <v>12004</v>
      </c>
      <c r="L3018" s="1"/>
      <c r="M3018" s="1"/>
    </row>
    <row x14ac:dyDescent="0.25" r="3019" customHeight="1" ht="18.75">
      <c r="A3019" s="1" t="s">
        <v>3617</v>
      </c>
      <c r="B3019" s="1" t="s">
        <v>5578</v>
      </c>
      <c r="C3019" s="1" t="s">
        <v>3619</v>
      </c>
      <c r="D3019" s="1" t="s">
        <v>3601</v>
      </c>
      <c r="E3019" s="1" t="s">
        <v>3893</v>
      </c>
      <c r="F3019" s="1" t="s">
        <v>12005</v>
      </c>
      <c r="G3019" s="1" t="s">
        <v>5580</v>
      </c>
      <c r="H3019" s="1" t="s">
        <v>3604</v>
      </c>
      <c r="I3019" s="1" t="s">
        <v>12006</v>
      </c>
      <c r="J3019" s="1" t="s">
        <v>3606</v>
      </c>
      <c r="K3019" s="1" t="s">
        <v>12007</v>
      </c>
      <c r="L3019" s="1"/>
      <c r="M3019" s="1"/>
    </row>
    <row x14ac:dyDescent="0.25" r="3020" customHeight="1" ht="18.75">
      <c r="A3020" s="1" t="s">
        <v>3617</v>
      </c>
      <c r="B3020" s="1" t="s">
        <v>5578</v>
      </c>
      <c r="C3020" s="1" t="s">
        <v>3619</v>
      </c>
      <c r="D3020" s="1" t="s">
        <v>3601</v>
      </c>
      <c r="E3020" s="1" t="s">
        <v>3893</v>
      </c>
      <c r="F3020" s="1" t="s">
        <v>12008</v>
      </c>
      <c r="G3020" s="1" t="s">
        <v>5580</v>
      </c>
      <c r="H3020" s="1" t="s">
        <v>3604</v>
      </c>
      <c r="I3020" s="1" t="s">
        <v>12009</v>
      </c>
      <c r="J3020" s="1" t="s">
        <v>3606</v>
      </c>
      <c r="K3020" s="1" t="s">
        <v>12010</v>
      </c>
      <c r="L3020" s="1"/>
      <c r="M3020" s="1"/>
    </row>
    <row x14ac:dyDescent="0.25" r="3021" customHeight="1" ht="18.75">
      <c r="A3021" s="1" t="s">
        <v>3617</v>
      </c>
      <c r="B3021" s="1" t="s">
        <v>5578</v>
      </c>
      <c r="C3021" s="1" t="s">
        <v>3619</v>
      </c>
      <c r="D3021" s="1" t="s">
        <v>3601</v>
      </c>
      <c r="E3021" s="1" t="s">
        <v>3893</v>
      </c>
      <c r="F3021" s="1" t="s">
        <v>12011</v>
      </c>
      <c r="G3021" s="1" t="s">
        <v>5580</v>
      </c>
      <c r="H3021" s="1" t="s">
        <v>3604</v>
      </c>
      <c r="I3021" s="1" t="s">
        <v>12012</v>
      </c>
      <c r="J3021" s="1" t="s">
        <v>3606</v>
      </c>
      <c r="K3021" s="1" t="s">
        <v>12013</v>
      </c>
      <c r="L3021" s="1"/>
      <c r="M3021" s="1"/>
    </row>
    <row x14ac:dyDescent="0.25" r="3022" customHeight="1" ht="18.75">
      <c r="A3022" s="1" t="s">
        <v>3617</v>
      </c>
      <c r="B3022" s="1" t="s">
        <v>5578</v>
      </c>
      <c r="C3022" s="1" t="s">
        <v>3619</v>
      </c>
      <c r="D3022" s="1" t="s">
        <v>3601</v>
      </c>
      <c r="E3022" s="1" t="s">
        <v>3893</v>
      </c>
      <c r="F3022" s="1" t="s">
        <v>12014</v>
      </c>
      <c r="G3022" s="1" t="s">
        <v>5580</v>
      </c>
      <c r="H3022" s="1" t="s">
        <v>3604</v>
      </c>
      <c r="I3022" s="1" t="s">
        <v>12015</v>
      </c>
      <c r="J3022" s="1" t="s">
        <v>3606</v>
      </c>
      <c r="K3022" s="1" t="s">
        <v>12016</v>
      </c>
      <c r="L3022" s="1"/>
      <c r="M3022" s="1"/>
    </row>
    <row x14ac:dyDescent="0.25" r="3023" customHeight="1" ht="18.75">
      <c r="A3023" s="1" t="s">
        <v>3617</v>
      </c>
      <c r="B3023" s="1" t="s">
        <v>5578</v>
      </c>
      <c r="C3023" s="1" t="s">
        <v>3619</v>
      </c>
      <c r="D3023" s="1" t="s">
        <v>3601</v>
      </c>
      <c r="E3023" s="1" t="s">
        <v>3893</v>
      </c>
      <c r="F3023" s="1" t="s">
        <v>12017</v>
      </c>
      <c r="G3023" s="1" t="s">
        <v>5580</v>
      </c>
      <c r="H3023" s="1" t="s">
        <v>3604</v>
      </c>
      <c r="I3023" s="1" t="s">
        <v>12018</v>
      </c>
      <c r="J3023" s="1" t="s">
        <v>3606</v>
      </c>
      <c r="K3023" s="1" t="s">
        <v>12019</v>
      </c>
      <c r="L3023" s="1"/>
      <c r="M3023" s="1"/>
    </row>
    <row x14ac:dyDescent="0.25" r="3024" customHeight="1" ht="18.75">
      <c r="A3024" s="1" t="s">
        <v>3617</v>
      </c>
      <c r="B3024" s="1" t="s">
        <v>5578</v>
      </c>
      <c r="C3024" s="1" t="s">
        <v>3619</v>
      </c>
      <c r="D3024" s="1" t="s">
        <v>3601</v>
      </c>
      <c r="E3024" s="1" t="s">
        <v>3893</v>
      </c>
      <c r="F3024" s="1" t="s">
        <v>12020</v>
      </c>
      <c r="G3024" s="1" t="s">
        <v>5580</v>
      </c>
      <c r="H3024" s="1" t="s">
        <v>3604</v>
      </c>
      <c r="I3024" s="1" t="s">
        <v>12021</v>
      </c>
      <c r="J3024" s="1" t="s">
        <v>3606</v>
      </c>
      <c r="K3024" s="1" t="s">
        <v>12022</v>
      </c>
      <c r="L3024" s="1"/>
      <c r="M3024" s="1"/>
    </row>
    <row x14ac:dyDescent="0.25" r="3025" customHeight="1" ht="18.75">
      <c r="A3025" s="1" t="s">
        <v>3617</v>
      </c>
      <c r="B3025" s="1" t="s">
        <v>5578</v>
      </c>
      <c r="C3025" s="1" t="s">
        <v>3619</v>
      </c>
      <c r="D3025" s="1" t="s">
        <v>3601</v>
      </c>
      <c r="E3025" s="1" t="s">
        <v>3893</v>
      </c>
      <c r="F3025" s="1" t="s">
        <v>12023</v>
      </c>
      <c r="G3025" s="1" t="s">
        <v>5580</v>
      </c>
      <c r="H3025" s="1" t="s">
        <v>3604</v>
      </c>
      <c r="I3025" s="1" t="s">
        <v>12024</v>
      </c>
      <c r="J3025" s="1" t="s">
        <v>3606</v>
      </c>
      <c r="K3025" s="1" t="s">
        <v>12025</v>
      </c>
      <c r="L3025" s="1"/>
      <c r="M3025" s="1"/>
    </row>
    <row x14ac:dyDescent="0.25" r="3026" customHeight="1" ht="18.75">
      <c r="A3026" s="1" t="s">
        <v>3617</v>
      </c>
      <c r="B3026" s="1" t="s">
        <v>5578</v>
      </c>
      <c r="C3026" s="1" t="s">
        <v>3619</v>
      </c>
      <c r="D3026" s="1" t="s">
        <v>3601</v>
      </c>
      <c r="E3026" s="1" t="s">
        <v>3893</v>
      </c>
      <c r="F3026" s="1" t="s">
        <v>12026</v>
      </c>
      <c r="G3026" s="1" t="s">
        <v>5580</v>
      </c>
      <c r="H3026" s="1" t="s">
        <v>3604</v>
      </c>
      <c r="I3026" s="1" t="s">
        <v>12027</v>
      </c>
      <c r="J3026" s="1" t="s">
        <v>3606</v>
      </c>
      <c r="K3026" s="1" t="s">
        <v>12028</v>
      </c>
      <c r="L3026" s="1"/>
      <c r="M3026" s="1"/>
    </row>
    <row x14ac:dyDescent="0.25" r="3027" customHeight="1" ht="18.75">
      <c r="A3027" s="1" t="s">
        <v>3617</v>
      </c>
      <c r="B3027" s="1" t="s">
        <v>5578</v>
      </c>
      <c r="C3027" s="1" t="s">
        <v>3619</v>
      </c>
      <c r="D3027" s="1" t="s">
        <v>3601</v>
      </c>
      <c r="E3027" s="1" t="s">
        <v>3893</v>
      </c>
      <c r="F3027" s="1" t="s">
        <v>12029</v>
      </c>
      <c r="G3027" s="1" t="s">
        <v>5580</v>
      </c>
      <c r="H3027" s="1" t="s">
        <v>3604</v>
      </c>
      <c r="I3027" s="1" t="s">
        <v>12030</v>
      </c>
      <c r="J3027" s="1" t="s">
        <v>3606</v>
      </c>
      <c r="K3027" s="1" t="s">
        <v>12031</v>
      </c>
      <c r="L3027" s="1"/>
      <c r="M3027" s="1"/>
    </row>
    <row x14ac:dyDescent="0.25" r="3028" customHeight="1" ht="18.75">
      <c r="A3028" s="1" t="s">
        <v>3617</v>
      </c>
      <c r="B3028" s="1" t="s">
        <v>5578</v>
      </c>
      <c r="C3028" s="1" t="s">
        <v>3619</v>
      </c>
      <c r="D3028" s="1" t="s">
        <v>3601</v>
      </c>
      <c r="E3028" s="1" t="s">
        <v>3893</v>
      </c>
      <c r="F3028" s="1" t="s">
        <v>12032</v>
      </c>
      <c r="G3028" s="1" t="s">
        <v>5580</v>
      </c>
      <c r="H3028" s="1" t="s">
        <v>3604</v>
      </c>
      <c r="I3028" s="1" t="s">
        <v>12033</v>
      </c>
      <c r="J3028" s="1" t="s">
        <v>3606</v>
      </c>
      <c r="K3028" s="1" t="s">
        <v>12034</v>
      </c>
      <c r="L3028" s="1"/>
      <c r="M3028" s="1"/>
    </row>
    <row x14ac:dyDescent="0.25" r="3029" customHeight="1" ht="18.75">
      <c r="A3029" s="1" t="s">
        <v>3617</v>
      </c>
      <c r="B3029" s="1" t="s">
        <v>5578</v>
      </c>
      <c r="C3029" s="1" t="s">
        <v>3619</v>
      </c>
      <c r="D3029" s="1" t="s">
        <v>3601</v>
      </c>
      <c r="E3029" s="1" t="s">
        <v>3893</v>
      </c>
      <c r="F3029" s="1" t="s">
        <v>12035</v>
      </c>
      <c r="G3029" s="1" t="s">
        <v>5580</v>
      </c>
      <c r="H3029" s="1" t="s">
        <v>3604</v>
      </c>
      <c r="I3029" s="1" t="s">
        <v>12036</v>
      </c>
      <c r="J3029" s="1" t="s">
        <v>3606</v>
      </c>
      <c r="K3029" s="1" t="s">
        <v>12037</v>
      </c>
      <c r="L3029" s="1"/>
      <c r="M3029" s="1"/>
    </row>
    <row x14ac:dyDescent="0.25" r="3030" customHeight="1" ht="18.75">
      <c r="A3030" s="1" t="s">
        <v>3617</v>
      </c>
      <c r="B3030" s="1" t="s">
        <v>5578</v>
      </c>
      <c r="C3030" s="1" t="s">
        <v>3619</v>
      </c>
      <c r="D3030" s="1" t="s">
        <v>3601</v>
      </c>
      <c r="E3030" s="1" t="s">
        <v>3893</v>
      </c>
      <c r="F3030" s="1" t="s">
        <v>12038</v>
      </c>
      <c r="G3030" s="1" t="s">
        <v>5580</v>
      </c>
      <c r="H3030" s="1" t="s">
        <v>3604</v>
      </c>
      <c r="I3030" s="1" t="s">
        <v>12039</v>
      </c>
      <c r="J3030" s="1" t="s">
        <v>3606</v>
      </c>
      <c r="K3030" s="1" t="s">
        <v>12040</v>
      </c>
      <c r="L3030" s="1"/>
      <c r="M3030" s="1"/>
    </row>
    <row x14ac:dyDescent="0.25" r="3031" customHeight="1" ht="18.75">
      <c r="A3031" s="1" t="s">
        <v>3617</v>
      </c>
      <c r="B3031" s="1" t="s">
        <v>4461</v>
      </c>
      <c r="C3031" s="1" t="s">
        <v>3619</v>
      </c>
      <c r="D3031" s="1" t="s">
        <v>3695</v>
      </c>
      <c r="E3031" s="1" t="s">
        <v>3730</v>
      </c>
      <c r="F3031" s="1" t="s">
        <v>12041</v>
      </c>
      <c r="G3031" s="1" t="s">
        <v>12042</v>
      </c>
      <c r="H3031" s="1" t="s">
        <v>3604</v>
      </c>
      <c r="I3031" s="1" t="s">
        <v>12043</v>
      </c>
      <c r="J3031" s="1" t="s">
        <v>3606</v>
      </c>
      <c r="K3031" s="1" t="s">
        <v>12044</v>
      </c>
      <c r="L3031" s="1"/>
      <c r="M3031" s="1"/>
    </row>
    <row x14ac:dyDescent="0.25" r="3032" customHeight="1" ht="18.75">
      <c r="A3032" s="1" t="s">
        <v>3617</v>
      </c>
      <c r="B3032" s="1" t="s">
        <v>4461</v>
      </c>
      <c r="C3032" s="1" t="s">
        <v>3619</v>
      </c>
      <c r="D3032" s="1" t="s">
        <v>3610</v>
      </c>
      <c r="E3032" s="1" t="s">
        <v>3730</v>
      </c>
      <c r="F3032" s="1" t="s">
        <v>12045</v>
      </c>
      <c r="G3032" s="1" t="s">
        <v>12042</v>
      </c>
      <c r="H3032" s="1" t="s">
        <v>3604</v>
      </c>
      <c r="I3032" s="1" t="s">
        <v>12046</v>
      </c>
      <c r="J3032" s="1" t="s">
        <v>3606</v>
      </c>
      <c r="K3032" s="1" t="s">
        <v>12047</v>
      </c>
      <c r="L3032" s="1"/>
      <c r="M3032" s="1"/>
    </row>
    <row x14ac:dyDescent="0.25" r="3033" customHeight="1" ht="18.75">
      <c r="A3033" s="1" t="s">
        <v>3617</v>
      </c>
      <c r="B3033" s="1" t="s">
        <v>4461</v>
      </c>
      <c r="C3033" s="1" t="s">
        <v>3619</v>
      </c>
      <c r="D3033" s="1" t="s">
        <v>8373</v>
      </c>
      <c r="E3033" s="1" t="s">
        <v>3981</v>
      </c>
      <c r="F3033" s="1" t="s">
        <v>12048</v>
      </c>
      <c r="G3033" s="1" t="s">
        <v>12042</v>
      </c>
      <c r="H3033" s="1" t="s">
        <v>3604</v>
      </c>
      <c r="I3033" s="1" t="s">
        <v>12049</v>
      </c>
      <c r="J3033" s="1" t="s">
        <v>3606</v>
      </c>
      <c r="K3033" s="1" t="s">
        <v>12050</v>
      </c>
      <c r="L3033" s="1"/>
      <c r="M3033" s="1"/>
    </row>
    <row x14ac:dyDescent="0.25" r="3034" customHeight="1" ht="18.75">
      <c r="A3034" s="1" t="s">
        <v>3617</v>
      </c>
      <c r="B3034" s="1" t="s">
        <v>4461</v>
      </c>
      <c r="C3034" s="1" t="s">
        <v>3619</v>
      </c>
      <c r="D3034" s="1" t="s">
        <v>8373</v>
      </c>
      <c r="E3034" s="1" t="s">
        <v>3981</v>
      </c>
      <c r="F3034" s="1" t="s">
        <v>12051</v>
      </c>
      <c r="G3034" s="1" t="s">
        <v>12042</v>
      </c>
      <c r="H3034" s="1" t="s">
        <v>3604</v>
      </c>
      <c r="I3034" s="1" t="s">
        <v>12052</v>
      </c>
      <c r="J3034" s="1" t="s">
        <v>3606</v>
      </c>
      <c r="K3034" s="1" t="s">
        <v>12053</v>
      </c>
      <c r="L3034" s="1"/>
      <c r="M3034" s="1"/>
    </row>
    <row x14ac:dyDescent="0.25" r="3035" customHeight="1" ht="18.75">
      <c r="A3035" s="1" t="s">
        <v>3617</v>
      </c>
      <c r="B3035" s="1" t="s">
        <v>4461</v>
      </c>
      <c r="C3035" s="1" t="s">
        <v>3619</v>
      </c>
      <c r="D3035" s="1" t="s">
        <v>8373</v>
      </c>
      <c r="E3035" s="1" t="s">
        <v>3981</v>
      </c>
      <c r="F3035" s="1" t="s">
        <v>12054</v>
      </c>
      <c r="G3035" s="1" t="s">
        <v>12042</v>
      </c>
      <c r="H3035" s="1" t="s">
        <v>3604</v>
      </c>
      <c r="I3035" s="1" t="s">
        <v>12055</v>
      </c>
      <c r="J3035" s="1" t="s">
        <v>3606</v>
      </c>
      <c r="K3035" s="1" t="s">
        <v>12056</v>
      </c>
      <c r="L3035" s="1"/>
      <c r="M3035" s="1"/>
    </row>
    <row x14ac:dyDescent="0.25" r="3036" customHeight="1" ht="18.75">
      <c r="A3036" s="1" t="s">
        <v>3617</v>
      </c>
      <c r="B3036" s="1" t="s">
        <v>4461</v>
      </c>
      <c r="C3036" s="1" t="s">
        <v>3619</v>
      </c>
      <c r="D3036" s="1" t="s">
        <v>3695</v>
      </c>
      <c r="E3036" s="1" t="s">
        <v>3981</v>
      </c>
      <c r="F3036" s="1" t="s">
        <v>12057</v>
      </c>
      <c r="G3036" s="1" t="s">
        <v>12042</v>
      </c>
      <c r="H3036" s="1" t="s">
        <v>3604</v>
      </c>
      <c r="I3036" s="1" t="s">
        <v>12058</v>
      </c>
      <c r="J3036" s="1" t="s">
        <v>3606</v>
      </c>
      <c r="K3036" s="1" t="s">
        <v>12059</v>
      </c>
      <c r="L3036" s="1"/>
      <c r="M3036" s="1"/>
    </row>
    <row x14ac:dyDescent="0.25" r="3037" customHeight="1" ht="18.75">
      <c r="A3037" s="1" t="s">
        <v>3617</v>
      </c>
      <c r="B3037" s="1" t="s">
        <v>4461</v>
      </c>
      <c r="C3037" s="1" t="s">
        <v>3619</v>
      </c>
      <c r="D3037" s="1" t="s">
        <v>3695</v>
      </c>
      <c r="E3037" s="1" t="s">
        <v>3981</v>
      </c>
      <c r="F3037" s="1" t="s">
        <v>12060</v>
      </c>
      <c r="G3037" s="1" t="s">
        <v>12042</v>
      </c>
      <c r="H3037" s="1" t="s">
        <v>3604</v>
      </c>
      <c r="I3037" s="1" t="s">
        <v>12061</v>
      </c>
      <c r="J3037" s="1" t="s">
        <v>3606</v>
      </c>
      <c r="K3037" s="1" t="s">
        <v>12062</v>
      </c>
      <c r="L3037" s="1"/>
      <c r="M3037" s="1"/>
    </row>
    <row x14ac:dyDescent="0.25" r="3038" customHeight="1" ht="18.75">
      <c r="A3038" s="1" t="s">
        <v>3617</v>
      </c>
      <c r="B3038" s="1" t="s">
        <v>4461</v>
      </c>
      <c r="C3038" s="1" t="s">
        <v>3619</v>
      </c>
      <c r="D3038" s="1" t="s">
        <v>3695</v>
      </c>
      <c r="E3038" s="1" t="s">
        <v>3981</v>
      </c>
      <c r="F3038" s="1" t="s">
        <v>12063</v>
      </c>
      <c r="G3038" s="1" t="s">
        <v>12042</v>
      </c>
      <c r="H3038" s="1" t="s">
        <v>3604</v>
      </c>
      <c r="I3038" s="1" t="s">
        <v>12064</v>
      </c>
      <c r="J3038" s="1" t="s">
        <v>3606</v>
      </c>
      <c r="K3038" s="1" t="s">
        <v>12065</v>
      </c>
      <c r="L3038" s="1"/>
      <c r="M3038" s="1"/>
    </row>
    <row x14ac:dyDescent="0.25" r="3039" customHeight="1" ht="18.75">
      <c r="A3039" s="1" t="s">
        <v>3617</v>
      </c>
      <c r="B3039" s="1" t="s">
        <v>4461</v>
      </c>
      <c r="C3039" s="1" t="s">
        <v>3619</v>
      </c>
      <c r="D3039" s="1" t="s">
        <v>3695</v>
      </c>
      <c r="E3039" s="1" t="s">
        <v>3981</v>
      </c>
      <c r="F3039" s="1" t="s">
        <v>12066</v>
      </c>
      <c r="G3039" s="1" t="s">
        <v>12067</v>
      </c>
      <c r="H3039" s="1" t="s">
        <v>3604</v>
      </c>
      <c r="I3039" s="1" t="s">
        <v>12068</v>
      </c>
      <c r="J3039" s="1" t="s">
        <v>3606</v>
      </c>
      <c r="K3039" s="1" t="s">
        <v>12069</v>
      </c>
      <c r="L3039" s="1"/>
      <c r="M3039" s="1"/>
    </row>
    <row x14ac:dyDescent="0.25" r="3040" customHeight="1" ht="18.75">
      <c r="A3040" s="1" t="s">
        <v>3617</v>
      </c>
      <c r="B3040" s="1" t="s">
        <v>4461</v>
      </c>
      <c r="C3040" s="1" t="s">
        <v>3619</v>
      </c>
      <c r="D3040" s="1" t="s">
        <v>3695</v>
      </c>
      <c r="E3040" s="1" t="s">
        <v>3981</v>
      </c>
      <c r="F3040" s="1" t="s">
        <v>12070</v>
      </c>
      <c r="G3040" s="1" t="s">
        <v>12067</v>
      </c>
      <c r="H3040" s="1" t="s">
        <v>3604</v>
      </c>
      <c r="I3040" s="1" t="s">
        <v>12071</v>
      </c>
      <c r="J3040" s="1" t="s">
        <v>3606</v>
      </c>
      <c r="K3040" s="1" t="s">
        <v>12072</v>
      </c>
      <c r="L3040" s="1"/>
      <c r="M3040" s="1"/>
    </row>
    <row x14ac:dyDescent="0.25" r="3041" customHeight="1" ht="18.75">
      <c r="A3041" s="1" t="s">
        <v>3617</v>
      </c>
      <c r="B3041" s="1" t="s">
        <v>4461</v>
      </c>
      <c r="C3041" s="1" t="s">
        <v>3619</v>
      </c>
      <c r="D3041" s="1" t="s">
        <v>3695</v>
      </c>
      <c r="E3041" s="1" t="s">
        <v>3981</v>
      </c>
      <c r="F3041" s="1" t="s">
        <v>12073</v>
      </c>
      <c r="G3041" s="1" t="s">
        <v>12067</v>
      </c>
      <c r="H3041" s="1" t="s">
        <v>3604</v>
      </c>
      <c r="I3041" s="1" t="s">
        <v>12074</v>
      </c>
      <c r="J3041" s="1" t="s">
        <v>3606</v>
      </c>
      <c r="K3041" s="1" t="s">
        <v>12075</v>
      </c>
      <c r="L3041" s="1"/>
      <c r="M3041" s="1"/>
    </row>
    <row x14ac:dyDescent="0.25" r="3042" customHeight="1" ht="18.75">
      <c r="A3042" s="1" t="s">
        <v>3617</v>
      </c>
      <c r="B3042" s="1" t="s">
        <v>4461</v>
      </c>
      <c r="C3042" s="1" t="s">
        <v>3619</v>
      </c>
      <c r="D3042" s="1" t="s">
        <v>3695</v>
      </c>
      <c r="E3042" s="1" t="s">
        <v>3981</v>
      </c>
      <c r="F3042" s="1" t="s">
        <v>12076</v>
      </c>
      <c r="G3042" s="1" t="s">
        <v>12067</v>
      </c>
      <c r="H3042" s="1" t="s">
        <v>3604</v>
      </c>
      <c r="I3042" s="1" t="s">
        <v>12077</v>
      </c>
      <c r="J3042" s="1" t="s">
        <v>3606</v>
      </c>
      <c r="K3042" s="1" t="s">
        <v>12078</v>
      </c>
      <c r="L3042" s="1"/>
      <c r="M3042" s="1"/>
    </row>
    <row x14ac:dyDescent="0.25" r="3043" customHeight="1" ht="18.75">
      <c r="A3043" s="1" t="s">
        <v>3617</v>
      </c>
      <c r="B3043" s="1" t="s">
        <v>4461</v>
      </c>
      <c r="C3043" s="1" t="s">
        <v>3619</v>
      </c>
      <c r="D3043" s="1" t="s">
        <v>3695</v>
      </c>
      <c r="E3043" s="1" t="s">
        <v>3981</v>
      </c>
      <c r="F3043" s="1" t="s">
        <v>12079</v>
      </c>
      <c r="G3043" s="1" t="s">
        <v>12067</v>
      </c>
      <c r="H3043" s="1" t="s">
        <v>3604</v>
      </c>
      <c r="I3043" s="1" t="s">
        <v>12080</v>
      </c>
      <c r="J3043" s="1" t="s">
        <v>3606</v>
      </c>
      <c r="K3043" s="1" t="s">
        <v>12081</v>
      </c>
      <c r="L3043" s="1"/>
      <c r="M3043" s="1"/>
    </row>
    <row x14ac:dyDescent="0.25" r="3044" customHeight="1" ht="18.75">
      <c r="A3044" s="1" t="s">
        <v>3617</v>
      </c>
      <c r="B3044" s="1" t="s">
        <v>4461</v>
      </c>
      <c r="C3044" s="1" t="s">
        <v>3619</v>
      </c>
      <c r="D3044" s="1" t="s">
        <v>3695</v>
      </c>
      <c r="E3044" s="1" t="s">
        <v>3981</v>
      </c>
      <c r="F3044" s="1" t="s">
        <v>12082</v>
      </c>
      <c r="G3044" s="1" t="s">
        <v>12067</v>
      </c>
      <c r="H3044" s="1" t="s">
        <v>3604</v>
      </c>
      <c r="I3044" s="1" t="s">
        <v>12083</v>
      </c>
      <c r="J3044" s="1" t="s">
        <v>3606</v>
      </c>
      <c r="K3044" s="1" t="s">
        <v>12084</v>
      </c>
      <c r="L3044" s="1"/>
      <c r="M3044" s="1"/>
    </row>
    <row x14ac:dyDescent="0.25" r="3045" customHeight="1" ht="18.75">
      <c r="A3045" s="1" t="s">
        <v>3617</v>
      </c>
      <c r="B3045" s="1" t="s">
        <v>4461</v>
      </c>
      <c r="C3045" s="1" t="s">
        <v>3619</v>
      </c>
      <c r="D3045" s="1" t="s">
        <v>8373</v>
      </c>
      <c r="E3045" s="1" t="s">
        <v>3730</v>
      </c>
      <c r="F3045" s="1" t="s">
        <v>12085</v>
      </c>
      <c r="G3045" s="1" t="s">
        <v>12042</v>
      </c>
      <c r="H3045" s="1" t="s">
        <v>3604</v>
      </c>
      <c r="I3045" s="1" t="s">
        <v>12086</v>
      </c>
      <c r="J3045" s="1" t="s">
        <v>3606</v>
      </c>
      <c r="K3045" s="1" t="s">
        <v>12087</v>
      </c>
      <c r="L3045" s="1"/>
      <c r="M3045" s="1"/>
    </row>
    <row x14ac:dyDescent="0.25" r="3046" customHeight="1" ht="18.75">
      <c r="A3046" s="1" t="s">
        <v>3617</v>
      </c>
      <c r="B3046" s="1" t="s">
        <v>4461</v>
      </c>
      <c r="C3046" s="1" t="s">
        <v>3619</v>
      </c>
      <c r="D3046" s="1" t="s">
        <v>8373</v>
      </c>
      <c r="E3046" s="1" t="s">
        <v>3730</v>
      </c>
      <c r="F3046" s="1" t="s">
        <v>12088</v>
      </c>
      <c r="G3046" s="1" t="s">
        <v>12042</v>
      </c>
      <c r="H3046" s="1" t="s">
        <v>3604</v>
      </c>
      <c r="I3046" s="1" t="s">
        <v>12089</v>
      </c>
      <c r="J3046" s="1" t="s">
        <v>3606</v>
      </c>
      <c r="K3046" s="1" t="s">
        <v>12090</v>
      </c>
      <c r="L3046" s="1"/>
      <c r="M3046" s="1"/>
    </row>
    <row x14ac:dyDescent="0.25" r="3047" customHeight="1" ht="18.75">
      <c r="A3047" s="1" t="s">
        <v>3617</v>
      </c>
      <c r="B3047" s="1" t="s">
        <v>4461</v>
      </c>
      <c r="C3047" s="1" t="s">
        <v>3619</v>
      </c>
      <c r="D3047" s="1" t="s">
        <v>8373</v>
      </c>
      <c r="E3047" s="1" t="s">
        <v>3730</v>
      </c>
      <c r="F3047" s="1" t="s">
        <v>12091</v>
      </c>
      <c r="G3047" s="1" t="s">
        <v>12042</v>
      </c>
      <c r="H3047" s="1" t="s">
        <v>3604</v>
      </c>
      <c r="I3047" s="1" t="s">
        <v>12092</v>
      </c>
      <c r="J3047" s="1" t="s">
        <v>3606</v>
      </c>
      <c r="K3047" s="1" t="s">
        <v>12093</v>
      </c>
      <c r="L3047" s="1"/>
      <c r="M3047" s="1"/>
    </row>
    <row x14ac:dyDescent="0.25" r="3048" customHeight="1" ht="18.75">
      <c r="A3048" s="1" t="s">
        <v>3617</v>
      </c>
      <c r="B3048" s="1" t="s">
        <v>4461</v>
      </c>
      <c r="C3048" s="1" t="s">
        <v>3619</v>
      </c>
      <c r="D3048" s="1" t="s">
        <v>3695</v>
      </c>
      <c r="E3048" s="1" t="s">
        <v>3730</v>
      </c>
      <c r="F3048" s="1" t="s">
        <v>12094</v>
      </c>
      <c r="G3048" s="1" t="s">
        <v>12042</v>
      </c>
      <c r="H3048" s="1" t="s">
        <v>3604</v>
      </c>
      <c r="I3048" s="1" t="s">
        <v>12095</v>
      </c>
      <c r="J3048" s="1" t="s">
        <v>3606</v>
      </c>
      <c r="K3048" s="1" t="s">
        <v>12096</v>
      </c>
      <c r="L3048" s="1"/>
      <c r="M3048" s="1"/>
    </row>
    <row x14ac:dyDescent="0.25" r="3049" customHeight="1" ht="18.75">
      <c r="A3049" s="1" t="s">
        <v>3617</v>
      </c>
      <c r="B3049" s="1" t="s">
        <v>4461</v>
      </c>
      <c r="C3049" s="1" t="s">
        <v>3619</v>
      </c>
      <c r="D3049" s="1" t="s">
        <v>3695</v>
      </c>
      <c r="E3049" s="1" t="s">
        <v>3730</v>
      </c>
      <c r="F3049" s="1" t="s">
        <v>12097</v>
      </c>
      <c r="G3049" s="1" t="s">
        <v>12042</v>
      </c>
      <c r="H3049" s="1" t="s">
        <v>3604</v>
      </c>
      <c r="I3049" s="1" t="s">
        <v>12098</v>
      </c>
      <c r="J3049" s="1" t="s">
        <v>3606</v>
      </c>
      <c r="K3049" s="1" t="s">
        <v>12099</v>
      </c>
      <c r="L3049" s="1"/>
      <c r="M3049" s="1"/>
    </row>
    <row x14ac:dyDescent="0.25" r="3050" customHeight="1" ht="18.75">
      <c r="A3050" s="1" t="s">
        <v>3617</v>
      </c>
      <c r="B3050" s="1" t="s">
        <v>4461</v>
      </c>
      <c r="C3050" s="1" t="s">
        <v>3619</v>
      </c>
      <c r="D3050" s="1" t="s">
        <v>3695</v>
      </c>
      <c r="E3050" s="1" t="s">
        <v>3730</v>
      </c>
      <c r="F3050" s="1" t="s">
        <v>12100</v>
      </c>
      <c r="G3050" s="1" t="s">
        <v>12042</v>
      </c>
      <c r="H3050" s="1" t="s">
        <v>3604</v>
      </c>
      <c r="I3050" s="1" t="s">
        <v>12101</v>
      </c>
      <c r="J3050" s="1" t="s">
        <v>3606</v>
      </c>
      <c r="K3050" s="1" t="s">
        <v>12102</v>
      </c>
      <c r="L3050" s="1"/>
      <c r="M3050" s="1"/>
    </row>
    <row x14ac:dyDescent="0.25" r="3051" customHeight="1" ht="18.75">
      <c r="A3051" s="1" t="s">
        <v>3617</v>
      </c>
      <c r="B3051" s="1" t="s">
        <v>4461</v>
      </c>
      <c r="C3051" s="1" t="s">
        <v>3619</v>
      </c>
      <c r="D3051" s="1" t="s">
        <v>3610</v>
      </c>
      <c r="E3051" s="1" t="s">
        <v>3664</v>
      </c>
      <c r="F3051" s="1" t="s">
        <v>12103</v>
      </c>
      <c r="G3051" s="1" t="s">
        <v>12067</v>
      </c>
      <c r="H3051" s="1" t="s">
        <v>3604</v>
      </c>
      <c r="I3051" s="1" t="s">
        <v>12104</v>
      </c>
      <c r="J3051" s="1" t="s">
        <v>3606</v>
      </c>
      <c r="K3051" s="1" t="s">
        <v>12105</v>
      </c>
      <c r="L3051" s="1"/>
      <c r="M3051" s="1"/>
    </row>
    <row x14ac:dyDescent="0.25" r="3052" customHeight="1" ht="18.75">
      <c r="A3052" s="1" t="s">
        <v>3617</v>
      </c>
      <c r="B3052" s="1" t="s">
        <v>4461</v>
      </c>
      <c r="C3052" s="1" t="s">
        <v>3619</v>
      </c>
      <c r="D3052" s="1" t="s">
        <v>3610</v>
      </c>
      <c r="E3052" s="1" t="s">
        <v>3664</v>
      </c>
      <c r="F3052" s="1" t="s">
        <v>12106</v>
      </c>
      <c r="G3052" s="1" t="s">
        <v>12067</v>
      </c>
      <c r="H3052" s="1" t="s">
        <v>3604</v>
      </c>
      <c r="I3052" s="1" t="s">
        <v>12107</v>
      </c>
      <c r="J3052" s="1" t="s">
        <v>3606</v>
      </c>
      <c r="K3052" s="1" t="s">
        <v>12108</v>
      </c>
      <c r="L3052" s="1"/>
      <c r="M3052" s="1"/>
    </row>
    <row x14ac:dyDescent="0.25" r="3053" customHeight="1" ht="18.75">
      <c r="A3053" s="1" t="s">
        <v>3617</v>
      </c>
      <c r="B3053" s="1" t="s">
        <v>4461</v>
      </c>
      <c r="C3053" s="1" t="s">
        <v>3619</v>
      </c>
      <c r="D3053" s="1" t="s">
        <v>3695</v>
      </c>
      <c r="E3053" s="1" t="s">
        <v>3664</v>
      </c>
      <c r="F3053" s="1" t="s">
        <v>12109</v>
      </c>
      <c r="G3053" s="1" t="s">
        <v>12067</v>
      </c>
      <c r="H3053" s="1" t="s">
        <v>3604</v>
      </c>
      <c r="I3053" s="1" t="s">
        <v>12110</v>
      </c>
      <c r="J3053" s="1" t="s">
        <v>3606</v>
      </c>
      <c r="K3053" s="1" t="s">
        <v>12111</v>
      </c>
      <c r="L3053" s="1"/>
      <c r="M3053" s="1"/>
    </row>
    <row x14ac:dyDescent="0.25" r="3054" customHeight="1" ht="18.75">
      <c r="A3054" s="1" t="s">
        <v>3617</v>
      </c>
      <c r="B3054" s="1" t="s">
        <v>4461</v>
      </c>
      <c r="C3054" s="1" t="s">
        <v>3619</v>
      </c>
      <c r="D3054" s="1" t="s">
        <v>3695</v>
      </c>
      <c r="E3054" s="1" t="s">
        <v>3664</v>
      </c>
      <c r="F3054" s="1" t="s">
        <v>12112</v>
      </c>
      <c r="G3054" s="1" t="s">
        <v>12067</v>
      </c>
      <c r="H3054" s="1" t="s">
        <v>3604</v>
      </c>
      <c r="I3054" s="1" t="s">
        <v>12113</v>
      </c>
      <c r="J3054" s="1" t="s">
        <v>3606</v>
      </c>
      <c r="K3054" s="1" t="s">
        <v>12114</v>
      </c>
      <c r="L3054" s="1"/>
      <c r="M3054" s="1"/>
    </row>
    <row x14ac:dyDescent="0.25" r="3055" customHeight="1" ht="18.75">
      <c r="A3055" s="1" t="s">
        <v>3617</v>
      </c>
      <c r="B3055" s="1" t="s">
        <v>4461</v>
      </c>
      <c r="C3055" s="1" t="s">
        <v>3619</v>
      </c>
      <c r="D3055" s="1" t="s">
        <v>3695</v>
      </c>
      <c r="E3055" s="1" t="s">
        <v>3664</v>
      </c>
      <c r="F3055" s="1" t="s">
        <v>12115</v>
      </c>
      <c r="G3055" s="1" t="s">
        <v>12067</v>
      </c>
      <c r="H3055" s="1" t="s">
        <v>3604</v>
      </c>
      <c r="I3055" s="1" t="s">
        <v>12116</v>
      </c>
      <c r="J3055" s="1" t="s">
        <v>3606</v>
      </c>
      <c r="K3055" s="1" t="s">
        <v>12117</v>
      </c>
      <c r="L3055" s="1"/>
      <c r="M3055" s="1"/>
    </row>
    <row x14ac:dyDescent="0.25" r="3056" customHeight="1" ht="18.75">
      <c r="A3056" s="1" t="s">
        <v>3617</v>
      </c>
      <c r="B3056" s="1" t="s">
        <v>4461</v>
      </c>
      <c r="C3056" s="1" t="s">
        <v>3619</v>
      </c>
      <c r="D3056" s="1" t="s">
        <v>3695</v>
      </c>
      <c r="E3056" s="1" t="s">
        <v>3664</v>
      </c>
      <c r="F3056" s="1" t="s">
        <v>12118</v>
      </c>
      <c r="G3056" s="1" t="s">
        <v>12067</v>
      </c>
      <c r="H3056" s="1" t="s">
        <v>3604</v>
      </c>
      <c r="I3056" s="1" t="s">
        <v>12119</v>
      </c>
      <c r="J3056" s="1" t="s">
        <v>3606</v>
      </c>
      <c r="K3056" s="1" t="s">
        <v>12120</v>
      </c>
      <c r="L3056" s="1"/>
      <c r="M3056" s="1"/>
    </row>
    <row x14ac:dyDescent="0.25" r="3057" customHeight="1" ht="18.75">
      <c r="A3057" s="1" t="s">
        <v>3617</v>
      </c>
      <c r="B3057" s="1" t="s">
        <v>4461</v>
      </c>
      <c r="C3057" s="1" t="s">
        <v>3619</v>
      </c>
      <c r="D3057" s="1" t="s">
        <v>3695</v>
      </c>
      <c r="E3057" s="1" t="s">
        <v>3664</v>
      </c>
      <c r="F3057" s="1" t="s">
        <v>12121</v>
      </c>
      <c r="G3057" s="1" t="s">
        <v>12067</v>
      </c>
      <c r="H3057" s="1" t="s">
        <v>3604</v>
      </c>
      <c r="I3057" s="1" t="s">
        <v>12122</v>
      </c>
      <c r="J3057" s="1" t="s">
        <v>3606</v>
      </c>
      <c r="K3057" s="1" t="s">
        <v>12123</v>
      </c>
      <c r="L3057" s="1"/>
      <c r="M3057" s="1"/>
    </row>
    <row x14ac:dyDescent="0.25" r="3058" customHeight="1" ht="18.75">
      <c r="A3058" s="1" t="s">
        <v>3617</v>
      </c>
      <c r="B3058" s="1" t="s">
        <v>4461</v>
      </c>
      <c r="C3058" s="1" t="s">
        <v>3619</v>
      </c>
      <c r="D3058" s="1" t="s">
        <v>3695</v>
      </c>
      <c r="E3058" s="1" t="s">
        <v>3664</v>
      </c>
      <c r="F3058" s="1" t="s">
        <v>12124</v>
      </c>
      <c r="G3058" s="1" t="s">
        <v>12067</v>
      </c>
      <c r="H3058" s="1" t="s">
        <v>3604</v>
      </c>
      <c r="I3058" s="1" t="s">
        <v>12125</v>
      </c>
      <c r="J3058" s="1" t="s">
        <v>3606</v>
      </c>
      <c r="K3058" s="1" t="s">
        <v>12126</v>
      </c>
      <c r="L3058" s="1"/>
      <c r="M3058" s="1"/>
    </row>
    <row x14ac:dyDescent="0.25" r="3059" customHeight="1" ht="18.75">
      <c r="A3059" s="1" t="s">
        <v>3617</v>
      </c>
      <c r="B3059" s="1" t="s">
        <v>4461</v>
      </c>
      <c r="C3059" s="1" t="s">
        <v>3619</v>
      </c>
      <c r="D3059" s="1" t="s">
        <v>8373</v>
      </c>
      <c r="E3059" s="1" t="s">
        <v>3981</v>
      </c>
      <c r="F3059" s="1" t="s">
        <v>12127</v>
      </c>
      <c r="G3059" s="1" t="s">
        <v>12128</v>
      </c>
      <c r="H3059" s="1" t="s">
        <v>3604</v>
      </c>
      <c r="I3059" s="1" t="s">
        <v>12129</v>
      </c>
      <c r="J3059" s="1" t="s">
        <v>3606</v>
      </c>
      <c r="K3059" s="1" t="s">
        <v>12050</v>
      </c>
      <c r="L3059" s="1"/>
      <c r="M3059" s="1"/>
    </row>
    <row x14ac:dyDescent="0.25" r="3060" customHeight="1" ht="18.75">
      <c r="A3060" s="1" t="s">
        <v>3617</v>
      </c>
      <c r="B3060" s="1" t="s">
        <v>4461</v>
      </c>
      <c r="C3060" s="1" t="s">
        <v>3619</v>
      </c>
      <c r="D3060" s="1" t="s">
        <v>8373</v>
      </c>
      <c r="E3060" s="1" t="s">
        <v>3981</v>
      </c>
      <c r="F3060" s="1" t="s">
        <v>12130</v>
      </c>
      <c r="G3060" s="1" t="s">
        <v>12128</v>
      </c>
      <c r="H3060" s="1" t="s">
        <v>3604</v>
      </c>
      <c r="I3060" s="1" t="s">
        <v>12131</v>
      </c>
      <c r="J3060" s="1" t="s">
        <v>3606</v>
      </c>
      <c r="K3060" s="1" t="s">
        <v>12053</v>
      </c>
      <c r="L3060" s="1"/>
      <c r="M3060" s="1"/>
    </row>
    <row x14ac:dyDescent="0.25" r="3061" customHeight="1" ht="18.75">
      <c r="A3061" s="1" t="s">
        <v>3617</v>
      </c>
      <c r="B3061" s="1" t="s">
        <v>4461</v>
      </c>
      <c r="C3061" s="1" t="s">
        <v>3619</v>
      </c>
      <c r="D3061" s="1" t="s">
        <v>8373</v>
      </c>
      <c r="E3061" s="1" t="s">
        <v>3981</v>
      </c>
      <c r="F3061" s="1" t="s">
        <v>12132</v>
      </c>
      <c r="G3061" s="1" t="s">
        <v>12128</v>
      </c>
      <c r="H3061" s="1" t="s">
        <v>3604</v>
      </c>
      <c r="I3061" s="1" t="s">
        <v>12133</v>
      </c>
      <c r="J3061" s="1" t="s">
        <v>3606</v>
      </c>
      <c r="K3061" s="1" t="s">
        <v>12056</v>
      </c>
      <c r="L3061" s="1"/>
      <c r="M3061" s="1"/>
    </row>
    <row x14ac:dyDescent="0.25" r="3062" customHeight="1" ht="18.75">
      <c r="A3062" s="1" t="s">
        <v>3617</v>
      </c>
      <c r="B3062" s="1" t="s">
        <v>4461</v>
      </c>
      <c r="C3062" s="1" t="s">
        <v>3619</v>
      </c>
      <c r="D3062" s="1" t="s">
        <v>8373</v>
      </c>
      <c r="E3062" s="1" t="s">
        <v>3730</v>
      </c>
      <c r="F3062" s="1" t="s">
        <v>12134</v>
      </c>
      <c r="G3062" s="1" t="s">
        <v>12128</v>
      </c>
      <c r="H3062" s="1" t="s">
        <v>3604</v>
      </c>
      <c r="I3062" s="1" t="s">
        <v>12135</v>
      </c>
      <c r="J3062" s="1" t="s">
        <v>3606</v>
      </c>
      <c r="K3062" s="1" t="s">
        <v>12087</v>
      </c>
      <c r="L3062" s="1"/>
      <c r="M3062" s="1"/>
    </row>
    <row x14ac:dyDescent="0.25" r="3063" customHeight="1" ht="18.75">
      <c r="A3063" s="1" t="s">
        <v>3617</v>
      </c>
      <c r="B3063" s="1" t="s">
        <v>4461</v>
      </c>
      <c r="C3063" s="1" t="s">
        <v>3619</v>
      </c>
      <c r="D3063" s="1" t="s">
        <v>8373</v>
      </c>
      <c r="E3063" s="1" t="s">
        <v>3730</v>
      </c>
      <c r="F3063" s="1" t="s">
        <v>12136</v>
      </c>
      <c r="G3063" s="1" t="s">
        <v>12128</v>
      </c>
      <c r="H3063" s="1" t="s">
        <v>3604</v>
      </c>
      <c r="I3063" s="1" t="s">
        <v>12137</v>
      </c>
      <c r="J3063" s="1" t="s">
        <v>3606</v>
      </c>
      <c r="K3063" s="1" t="s">
        <v>12090</v>
      </c>
      <c r="L3063" s="1"/>
      <c r="M3063" s="1"/>
    </row>
    <row x14ac:dyDescent="0.25" r="3064" customHeight="1" ht="18.75">
      <c r="A3064" s="1" t="s">
        <v>3617</v>
      </c>
      <c r="B3064" s="1" t="s">
        <v>4461</v>
      </c>
      <c r="C3064" s="1" t="s">
        <v>3619</v>
      </c>
      <c r="D3064" s="1" t="s">
        <v>8373</v>
      </c>
      <c r="E3064" s="1" t="s">
        <v>3730</v>
      </c>
      <c r="F3064" s="1" t="s">
        <v>12138</v>
      </c>
      <c r="G3064" s="1" t="s">
        <v>12128</v>
      </c>
      <c r="H3064" s="1" t="s">
        <v>3604</v>
      </c>
      <c r="I3064" s="1" t="s">
        <v>12139</v>
      </c>
      <c r="J3064" s="1" t="s">
        <v>3606</v>
      </c>
      <c r="K3064" s="1" t="s">
        <v>12093</v>
      </c>
      <c r="L3064" s="1"/>
      <c r="M3064" s="1"/>
    </row>
    <row x14ac:dyDescent="0.25" r="3065" customHeight="1" ht="18.75">
      <c r="A3065" s="1" t="s">
        <v>3617</v>
      </c>
      <c r="B3065" s="1" t="s">
        <v>4461</v>
      </c>
      <c r="C3065" s="1" t="s">
        <v>3619</v>
      </c>
      <c r="D3065" s="1" t="s">
        <v>3601</v>
      </c>
      <c r="E3065" s="1" t="s">
        <v>3730</v>
      </c>
      <c r="F3065" s="1" t="s">
        <v>12140</v>
      </c>
      <c r="G3065" s="1" t="s">
        <v>12067</v>
      </c>
      <c r="H3065" s="1" t="s">
        <v>3604</v>
      </c>
      <c r="I3065" s="1" t="s">
        <v>12141</v>
      </c>
      <c r="J3065" s="1" t="s">
        <v>3606</v>
      </c>
      <c r="K3065" s="1" t="s">
        <v>12142</v>
      </c>
      <c r="L3065" s="1"/>
      <c r="M3065" s="1"/>
    </row>
    <row x14ac:dyDescent="0.25" r="3066" customHeight="1" ht="18.75">
      <c r="A3066" s="1" t="s">
        <v>3617</v>
      </c>
      <c r="B3066" s="1" t="s">
        <v>4461</v>
      </c>
      <c r="C3066" s="1" t="s">
        <v>3619</v>
      </c>
      <c r="D3066" s="1" t="s">
        <v>3601</v>
      </c>
      <c r="E3066" s="1" t="s">
        <v>3730</v>
      </c>
      <c r="F3066" s="1" t="s">
        <v>12143</v>
      </c>
      <c r="G3066" s="1" t="s">
        <v>12067</v>
      </c>
      <c r="H3066" s="1" t="s">
        <v>3604</v>
      </c>
      <c r="I3066" s="1" t="s">
        <v>12144</v>
      </c>
      <c r="J3066" s="1" t="s">
        <v>3606</v>
      </c>
      <c r="K3066" s="1" t="s">
        <v>12145</v>
      </c>
      <c r="L3066" s="1"/>
      <c r="M3066" s="1"/>
    </row>
    <row x14ac:dyDescent="0.25" r="3067" customHeight="1" ht="18.75">
      <c r="A3067" s="1" t="s">
        <v>3617</v>
      </c>
      <c r="B3067" s="1" t="s">
        <v>4461</v>
      </c>
      <c r="C3067" s="1" t="s">
        <v>3619</v>
      </c>
      <c r="D3067" s="1" t="s">
        <v>3601</v>
      </c>
      <c r="E3067" s="1" t="s">
        <v>3730</v>
      </c>
      <c r="F3067" s="1" t="s">
        <v>12146</v>
      </c>
      <c r="G3067" s="1" t="s">
        <v>12067</v>
      </c>
      <c r="H3067" s="1" t="s">
        <v>3604</v>
      </c>
      <c r="I3067" s="1" t="s">
        <v>12147</v>
      </c>
      <c r="J3067" s="1" t="s">
        <v>3606</v>
      </c>
      <c r="K3067" s="1" t="s">
        <v>12148</v>
      </c>
      <c r="L3067" s="1"/>
      <c r="M3067" s="1"/>
    </row>
    <row x14ac:dyDescent="0.25" r="3068" customHeight="1" ht="18.75">
      <c r="A3068" s="1" t="s">
        <v>3617</v>
      </c>
      <c r="B3068" s="1" t="s">
        <v>4461</v>
      </c>
      <c r="C3068" s="1" t="s">
        <v>3619</v>
      </c>
      <c r="D3068" s="1" t="s">
        <v>3601</v>
      </c>
      <c r="E3068" s="1" t="s">
        <v>3730</v>
      </c>
      <c r="F3068" s="1" t="s">
        <v>12149</v>
      </c>
      <c r="G3068" s="1" t="s">
        <v>12067</v>
      </c>
      <c r="H3068" s="1" t="s">
        <v>3604</v>
      </c>
      <c r="I3068" s="1" t="s">
        <v>12150</v>
      </c>
      <c r="J3068" s="1" t="s">
        <v>3606</v>
      </c>
      <c r="K3068" s="1" t="s">
        <v>12151</v>
      </c>
      <c r="L3068" s="1"/>
      <c r="M3068" s="1"/>
    </row>
    <row x14ac:dyDescent="0.25" r="3069" customHeight="1" ht="18.75">
      <c r="A3069" s="1" t="s">
        <v>3617</v>
      </c>
      <c r="B3069" s="1" t="s">
        <v>4461</v>
      </c>
      <c r="C3069" s="1" t="s">
        <v>3619</v>
      </c>
      <c r="D3069" s="1" t="s">
        <v>3601</v>
      </c>
      <c r="E3069" s="1" t="s">
        <v>3730</v>
      </c>
      <c r="F3069" s="1" t="s">
        <v>12152</v>
      </c>
      <c r="G3069" s="1" t="s">
        <v>12067</v>
      </c>
      <c r="H3069" s="1" t="s">
        <v>3604</v>
      </c>
      <c r="I3069" s="1" t="s">
        <v>12153</v>
      </c>
      <c r="J3069" s="1" t="s">
        <v>3606</v>
      </c>
      <c r="K3069" s="1" t="s">
        <v>12154</v>
      </c>
      <c r="L3069" s="1"/>
      <c r="M3069" s="1"/>
    </row>
    <row x14ac:dyDescent="0.25" r="3070" customHeight="1" ht="18.75">
      <c r="A3070" s="1" t="s">
        <v>3617</v>
      </c>
      <c r="B3070" s="1" t="s">
        <v>4461</v>
      </c>
      <c r="C3070" s="1" t="s">
        <v>3619</v>
      </c>
      <c r="D3070" s="1" t="s">
        <v>3601</v>
      </c>
      <c r="E3070" s="1" t="s">
        <v>3730</v>
      </c>
      <c r="F3070" s="1" t="s">
        <v>12155</v>
      </c>
      <c r="G3070" s="1" t="s">
        <v>12067</v>
      </c>
      <c r="H3070" s="1" t="s">
        <v>3604</v>
      </c>
      <c r="I3070" s="1" t="s">
        <v>12156</v>
      </c>
      <c r="J3070" s="1" t="s">
        <v>3606</v>
      </c>
      <c r="K3070" s="1" t="s">
        <v>12157</v>
      </c>
      <c r="L3070" s="1"/>
      <c r="M3070" s="1"/>
    </row>
    <row x14ac:dyDescent="0.25" r="3071" customHeight="1" ht="18.75">
      <c r="A3071" s="1" t="s">
        <v>3617</v>
      </c>
      <c r="B3071" s="1" t="s">
        <v>4461</v>
      </c>
      <c r="C3071" s="1" t="s">
        <v>3619</v>
      </c>
      <c r="D3071" s="1" t="s">
        <v>3601</v>
      </c>
      <c r="E3071" s="1" t="s">
        <v>3730</v>
      </c>
      <c r="F3071" s="1" t="s">
        <v>12158</v>
      </c>
      <c r="G3071" s="1" t="s">
        <v>12067</v>
      </c>
      <c r="H3071" s="1" t="s">
        <v>3604</v>
      </c>
      <c r="I3071" s="1" t="s">
        <v>12159</v>
      </c>
      <c r="J3071" s="1" t="s">
        <v>3606</v>
      </c>
      <c r="K3071" s="1" t="s">
        <v>12160</v>
      </c>
      <c r="L3071" s="1"/>
      <c r="M3071" s="1"/>
    </row>
    <row x14ac:dyDescent="0.25" r="3072" customHeight="1" ht="18.75">
      <c r="A3072" s="1" t="s">
        <v>3617</v>
      </c>
      <c r="B3072" s="1" t="s">
        <v>4461</v>
      </c>
      <c r="C3072" s="1" t="s">
        <v>3619</v>
      </c>
      <c r="D3072" s="1" t="s">
        <v>3601</v>
      </c>
      <c r="E3072" s="1" t="s">
        <v>3730</v>
      </c>
      <c r="F3072" s="1" t="s">
        <v>12161</v>
      </c>
      <c r="G3072" s="1" t="s">
        <v>12067</v>
      </c>
      <c r="H3072" s="1" t="s">
        <v>3604</v>
      </c>
      <c r="I3072" s="1" t="s">
        <v>12162</v>
      </c>
      <c r="J3072" s="1" t="s">
        <v>3606</v>
      </c>
      <c r="K3072" s="1" t="s">
        <v>12163</v>
      </c>
      <c r="L3072" s="1"/>
      <c r="M3072" s="1"/>
    </row>
    <row x14ac:dyDescent="0.25" r="3073" customHeight="1" ht="18.75">
      <c r="A3073" s="1" t="s">
        <v>3617</v>
      </c>
      <c r="B3073" s="1" t="s">
        <v>4461</v>
      </c>
      <c r="C3073" s="1" t="s">
        <v>3619</v>
      </c>
      <c r="D3073" s="1" t="s">
        <v>3601</v>
      </c>
      <c r="E3073" s="1" t="s">
        <v>3730</v>
      </c>
      <c r="F3073" s="1" t="s">
        <v>12164</v>
      </c>
      <c r="G3073" s="1" t="s">
        <v>12067</v>
      </c>
      <c r="H3073" s="1" t="s">
        <v>3604</v>
      </c>
      <c r="I3073" s="1" t="s">
        <v>12165</v>
      </c>
      <c r="J3073" s="1" t="s">
        <v>3606</v>
      </c>
      <c r="K3073" s="1" t="s">
        <v>12166</v>
      </c>
      <c r="L3073" s="1"/>
      <c r="M3073" s="1"/>
    </row>
    <row x14ac:dyDescent="0.25" r="3074" customHeight="1" ht="18.75">
      <c r="A3074" s="1" t="s">
        <v>3617</v>
      </c>
      <c r="B3074" s="1" t="s">
        <v>4461</v>
      </c>
      <c r="C3074" s="1" t="s">
        <v>3619</v>
      </c>
      <c r="D3074" s="1" t="s">
        <v>3601</v>
      </c>
      <c r="E3074" s="1" t="s">
        <v>3730</v>
      </c>
      <c r="F3074" s="1" t="s">
        <v>12167</v>
      </c>
      <c r="G3074" s="1" t="s">
        <v>12067</v>
      </c>
      <c r="H3074" s="1" t="s">
        <v>3604</v>
      </c>
      <c r="I3074" s="1" t="s">
        <v>12168</v>
      </c>
      <c r="J3074" s="1" t="s">
        <v>3606</v>
      </c>
      <c r="K3074" s="1" t="s">
        <v>12169</v>
      </c>
      <c r="L3074" s="1"/>
      <c r="M3074" s="1"/>
    </row>
    <row x14ac:dyDescent="0.25" r="3075" customHeight="1" ht="18.75">
      <c r="A3075" s="1" t="s">
        <v>3617</v>
      </c>
      <c r="B3075" s="1" t="s">
        <v>4461</v>
      </c>
      <c r="C3075" s="1" t="s">
        <v>3619</v>
      </c>
      <c r="D3075" s="1" t="s">
        <v>3601</v>
      </c>
      <c r="E3075" s="1" t="s">
        <v>3730</v>
      </c>
      <c r="F3075" s="1" t="s">
        <v>12170</v>
      </c>
      <c r="G3075" s="1" t="s">
        <v>12067</v>
      </c>
      <c r="H3075" s="1" t="s">
        <v>3604</v>
      </c>
      <c r="I3075" s="1" t="s">
        <v>12171</v>
      </c>
      <c r="J3075" s="1" t="s">
        <v>3606</v>
      </c>
      <c r="K3075" s="1" t="s">
        <v>12172</v>
      </c>
      <c r="L3075" s="1"/>
      <c r="M3075" s="1"/>
    </row>
    <row x14ac:dyDescent="0.25" r="3076" customHeight="1" ht="18.75">
      <c r="A3076" s="1" t="s">
        <v>3617</v>
      </c>
      <c r="B3076" s="1" t="s">
        <v>4461</v>
      </c>
      <c r="C3076" s="1" t="s">
        <v>3619</v>
      </c>
      <c r="D3076" s="1" t="s">
        <v>3601</v>
      </c>
      <c r="E3076" s="1" t="s">
        <v>3730</v>
      </c>
      <c r="F3076" s="1" t="s">
        <v>12173</v>
      </c>
      <c r="G3076" s="1" t="s">
        <v>12067</v>
      </c>
      <c r="H3076" s="1" t="s">
        <v>3604</v>
      </c>
      <c r="I3076" s="1" t="s">
        <v>12174</v>
      </c>
      <c r="J3076" s="1" t="s">
        <v>3606</v>
      </c>
      <c r="K3076" s="1" t="s">
        <v>12175</v>
      </c>
      <c r="L3076" s="1"/>
      <c r="M3076" s="1"/>
    </row>
    <row x14ac:dyDescent="0.25" r="3077" customHeight="1" ht="18.75">
      <c r="A3077" s="1" t="s">
        <v>3617</v>
      </c>
      <c r="B3077" s="1" t="s">
        <v>4461</v>
      </c>
      <c r="C3077" s="1" t="s">
        <v>3619</v>
      </c>
      <c r="D3077" s="1" t="s">
        <v>3601</v>
      </c>
      <c r="E3077" s="1" t="s">
        <v>3730</v>
      </c>
      <c r="F3077" s="1" t="s">
        <v>12176</v>
      </c>
      <c r="G3077" s="1" t="s">
        <v>12067</v>
      </c>
      <c r="H3077" s="1" t="s">
        <v>3604</v>
      </c>
      <c r="I3077" s="1" t="s">
        <v>12177</v>
      </c>
      <c r="J3077" s="1" t="s">
        <v>3606</v>
      </c>
      <c r="K3077" s="1" t="s">
        <v>12178</v>
      </c>
      <c r="L3077" s="1"/>
      <c r="M3077" s="1"/>
    </row>
    <row x14ac:dyDescent="0.25" r="3078" customHeight="1" ht="18.75">
      <c r="A3078" s="1" t="s">
        <v>3617</v>
      </c>
      <c r="B3078" s="1" t="s">
        <v>4461</v>
      </c>
      <c r="C3078" s="1" t="s">
        <v>3619</v>
      </c>
      <c r="D3078" s="1" t="s">
        <v>3601</v>
      </c>
      <c r="E3078" s="1" t="s">
        <v>3730</v>
      </c>
      <c r="F3078" s="1" t="s">
        <v>12179</v>
      </c>
      <c r="G3078" s="1" t="s">
        <v>12067</v>
      </c>
      <c r="H3078" s="1" t="s">
        <v>3604</v>
      </c>
      <c r="I3078" s="1" t="s">
        <v>12180</v>
      </c>
      <c r="J3078" s="1" t="s">
        <v>3606</v>
      </c>
      <c r="K3078" s="1" t="s">
        <v>12181</v>
      </c>
      <c r="L3078" s="1"/>
      <c r="M3078" s="1"/>
    </row>
    <row x14ac:dyDescent="0.25" r="3079" customHeight="1" ht="18.75">
      <c r="A3079" s="1" t="s">
        <v>3617</v>
      </c>
      <c r="B3079" s="1" t="s">
        <v>4461</v>
      </c>
      <c r="C3079" s="1" t="s">
        <v>3619</v>
      </c>
      <c r="D3079" s="1" t="s">
        <v>3601</v>
      </c>
      <c r="E3079" s="1" t="s">
        <v>3730</v>
      </c>
      <c r="F3079" s="1" t="s">
        <v>12182</v>
      </c>
      <c r="G3079" s="1" t="s">
        <v>12067</v>
      </c>
      <c r="H3079" s="1" t="s">
        <v>3604</v>
      </c>
      <c r="I3079" s="1" t="s">
        <v>12183</v>
      </c>
      <c r="J3079" s="1" t="s">
        <v>3606</v>
      </c>
      <c r="K3079" s="1" t="s">
        <v>12184</v>
      </c>
      <c r="L3079" s="1"/>
      <c r="M3079" s="1"/>
    </row>
    <row x14ac:dyDescent="0.25" r="3080" customHeight="1" ht="18.75">
      <c r="A3080" s="1" t="s">
        <v>3617</v>
      </c>
      <c r="B3080" s="1" t="s">
        <v>4461</v>
      </c>
      <c r="C3080" s="1" t="s">
        <v>3619</v>
      </c>
      <c r="D3080" s="1" t="s">
        <v>3601</v>
      </c>
      <c r="E3080" s="1" t="s">
        <v>3730</v>
      </c>
      <c r="F3080" s="1" t="s">
        <v>12185</v>
      </c>
      <c r="G3080" s="1" t="s">
        <v>12067</v>
      </c>
      <c r="H3080" s="1" t="s">
        <v>3604</v>
      </c>
      <c r="I3080" s="1" t="s">
        <v>12186</v>
      </c>
      <c r="J3080" s="1" t="s">
        <v>3606</v>
      </c>
      <c r="K3080" s="1" t="s">
        <v>12187</v>
      </c>
      <c r="L3080" s="1"/>
      <c r="M3080" s="1"/>
    </row>
    <row x14ac:dyDescent="0.25" r="3081" customHeight="1" ht="18.75">
      <c r="A3081" s="1" t="s">
        <v>3617</v>
      </c>
      <c r="B3081" s="1" t="s">
        <v>4461</v>
      </c>
      <c r="C3081" s="1" t="s">
        <v>3619</v>
      </c>
      <c r="D3081" s="1" t="s">
        <v>3601</v>
      </c>
      <c r="E3081" s="1" t="s">
        <v>3730</v>
      </c>
      <c r="F3081" s="1" t="s">
        <v>12188</v>
      </c>
      <c r="G3081" s="1" t="s">
        <v>12067</v>
      </c>
      <c r="H3081" s="1" t="s">
        <v>3604</v>
      </c>
      <c r="I3081" s="1" t="s">
        <v>12189</v>
      </c>
      <c r="J3081" s="1" t="s">
        <v>3606</v>
      </c>
      <c r="K3081" s="1" t="s">
        <v>12190</v>
      </c>
      <c r="L3081" s="1"/>
      <c r="M3081" s="1"/>
    </row>
    <row x14ac:dyDescent="0.25" r="3082" customHeight="1" ht="18.75">
      <c r="A3082" s="1" t="s">
        <v>3617</v>
      </c>
      <c r="B3082" s="1" t="s">
        <v>4461</v>
      </c>
      <c r="C3082" s="1" t="s">
        <v>3619</v>
      </c>
      <c r="D3082" s="1" t="s">
        <v>3601</v>
      </c>
      <c r="E3082" s="1" t="s">
        <v>3730</v>
      </c>
      <c r="F3082" s="1" t="s">
        <v>12191</v>
      </c>
      <c r="G3082" s="1" t="s">
        <v>12067</v>
      </c>
      <c r="H3082" s="1" t="s">
        <v>3604</v>
      </c>
      <c r="I3082" s="1" t="s">
        <v>12192</v>
      </c>
      <c r="J3082" s="1" t="s">
        <v>3606</v>
      </c>
      <c r="K3082" s="1" t="s">
        <v>12193</v>
      </c>
      <c r="L3082" s="1"/>
      <c r="M3082" s="1"/>
    </row>
    <row x14ac:dyDescent="0.25" r="3083" customHeight="1" ht="18.75">
      <c r="A3083" s="1" t="s">
        <v>3617</v>
      </c>
      <c r="B3083" s="1" t="s">
        <v>4461</v>
      </c>
      <c r="C3083" s="1" t="s">
        <v>3619</v>
      </c>
      <c r="D3083" s="1" t="s">
        <v>3601</v>
      </c>
      <c r="E3083" s="1" t="s">
        <v>3730</v>
      </c>
      <c r="F3083" s="1" t="s">
        <v>12194</v>
      </c>
      <c r="G3083" s="1" t="s">
        <v>12067</v>
      </c>
      <c r="H3083" s="1" t="s">
        <v>3604</v>
      </c>
      <c r="I3083" s="1" t="s">
        <v>12195</v>
      </c>
      <c r="J3083" s="1" t="s">
        <v>3606</v>
      </c>
      <c r="K3083" s="1" t="s">
        <v>12196</v>
      </c>
      <c r="L3083" s="1"/>
      <c r="M3083" s="1"/>
    </row>
    <row x14ac:dyDescent="0.25" r="3084" customHeight="1" ht="18.75">
      <c r="A3084" s="1" t="s">
        <v>3617</v>
      </c>
      <c r="B3084" s="1" t="s">
        <v>4461</v>
      </c>
      <c r="C3084" s="1" t="s">
        <v>3619</v>
      </c>
      <c r="D3084" s="1" t="s">
        <v>3601</v>
      </c>
      <c r="E3084" s="1" t="s">
        <v>3730</v>
      </c>
      <c r="F3084" s="1" t="s">
        <v>12197</v>
      </c>
      <c r="G3084" s="1" t="s">
        <v>12067</v>
      </c>
      <c r="H3084" s="1" t="s">
        <v>3604</v>
      </c>
      <c r="I3084" s="1" t="s">
        <v>12198</v>
      </c>
      <c r="J3084" s="1" t="s">
        <v>3606</v>
      </c>
      <c r="K3084" s="1" t="s">
        <v>12199</v>
      </c>
      <c r="L3084" s="1"/>
      <c r="M3084" s="1"/>
    </row>
    <row x14ac:dyDescent="0.25" r="3085" customHeight="1" ht="18.75">
      <c r="A3085" s="1" t="s">
        <v>3617</v>
      </c>
      <c r="B3085" s="1" t="s">
        <v>4461</v>
      </c>
      <c r="C3085" s="1" t="s">
        <v>3619</v>
      </c>
      <c r="D3085" s="1" t="s">
        <v>3601</v>
      </c>
      <c r="E3085" s="1" t="s">
        <v>3730</v>
      </c>
      <c r="F3085" s="1" t="s">
        <v>12200</v>
      </c>
      <c r="G3085" s="1" t="s">
        <v>12067</v>
      </c>
      <c r="H3085" s="1" t="s">
        <v>3604</v>
      </c>
      <c r="I3085" s="1" t="s">
        <v>12201</v>
      </c>
      <c r="J3085" s="1" t="s">
        <v>3606</v>
      </c>
      <c r="K3085" s="1" t="s">
        <v>12202</v>
      </c>
      <c r="L3085" s="1"/>
      <c r="M3085" s="1"/>
    </row>
    <row x14ac:dyDescent="0.25" r="3086" customHeight="1" ht="18.75">
      <c r="A3086" s="1" t="s">
        <v>3617</v>
      </c>
      <c r="B3086" s="1" t="s">
        <v>4461</v>
      </c>
      <c r="C3086" s="1" t="s">
        <v>3619</v>
      </c>
      <c r="D3086" s="1" t="s">
        <v>3601</v>
      </c>
      <c r="E3086" s="1" t="s">
        <v>3730</v>
      </c>
      <c r="F3086" s="1" t="s">
        <v>12203</v>
      </c>
      <c r="G3086" s="1" t="s">
        <v>12067</v>
      </c>
      <c r="H3086" s="1" t="s">
        <v>3604</v>
      </c>
      <c r="I3086" s="1" t="s">
        <v>12204</v>
      </c>
      <c r="J3086" s="1" t="s">
        <v>3606</v>
      </c>
      <c r="K3086" s="1" t="s">
        <v>12205</v>
      </c>
      <c r="L3086" s="1"/>
      <c r="M3086" s="1"/>
    </row>
    <row x14ac:dyDescent="0.25" r="3087" customHeight="1" ht="18.75">
      <c r="A3087" s="1" t="s">
        <v>3617</v>
      </c>
      <c r="B3087" s="1" t="s">
        <v>4461</v>
      </c>
      <c r="C3087" s="1" t="s">
        <v>3619</v>
      </c>
      <c r="D3087" s="1" t="s">
        <v>3601</v>
      </c>
      <c r="E3087" s="1" t="s">
        <v>3730</v>
      </c>
      <c r="F3087" s="1" t="s">
        <v>12206</v>
      </c>
      <c r="G3087" s="1" t="s">
        <v>12067</v>
      </c>
      <c r="H3087" s="1" t="s">
        <v>3604</v>
      </c>
      <c r="I3087" s="1" t="s">
        <v>12207</v>
      </c>
      <c r="J3087" s="1" t="s">
        <v>3606</v>
      </c>
      <c r="K3087" s="1" t="s">
        <v>12208</v>
      </c>
      <c r="L3087" s="1"/>
      <c r="M3087" s="1"/>
    </row>
    <row x14ac:dyDescent="0.25" r="3088" customHeight="1" ht="18.75">
      <c r="A3088" s="1" t="s">
        <v>3617</v>
      </c>
      <c r="B3088" s="1" t="s">
        <v>4461</v>
      </c>
      <c r="C3088" s="1" t="s">
        <v>3619</v>
      </c>
      <c r="D3088" s="1" t="s">
        <v>3601</v>
      </c>
      <c r="E3088" s="1" t="s">
        <v>3730</v>
      </c>
      <c r="F3088" s="1" t="s">
        <v>12209</v>
      </c>
      <c r="G3088" s="1" t="s">
        <v>12067</v>
      </c>
      <c r="H3088" s="1" t="s">
        <v>3604</v>
      </c>
      <c r="I3088" s="1" t="s">
        <v>12210</v>
      </c>
      <c r="J3088" s="1" t="s">
        <v>3606</v>
      </c>
      <c r="K3088" s="1" t="s">
        <v>12211</v>
      </c>
      <c r="L3088" s="1"/>
      <c r="M3088" s="1"/>
    </row>
    <row x14ac:dyDescent="0.25" r="3089" customHeight="1" ht="18.75">
      <c r="A3089" s="1" t="s">
        <v>3617</v>
      </c>
      <c r="B3089" s="1" t="s">
        <v>4461</v>
      </c>
      <c r="C3089" s="1" t="s">
        <v>3619</v>
      </c>
      <c r="D3089" s="1" t="s">
        <v>3601</v>
      </c>
      <c r="E3089" s="1" t="s">
        <v>3730</v>
      </c>
      <c r="F3089" s="1" t="s">
        <v>12212</v>
      </c>
      <c r="G3089" s="1" t="s">
        <v>12067</v>
      </c>
      <c r="H3089" s="1" t="s">
        <v>3604</v>
      </c>
      <c r="I3089" s="1" t="s">
        <v>12213</v>
      </c>
      <c r="J3089" s="1" t="s">
        <v>3606</v>
      </c>
      <c r="K3089" s="1" t="s">
        <v>12214</v>
      </c>
      <c r="L3089" s="1"/>
      <c r="M3089" s="1"/>
    </row>
    <row x14ac:dyDescent="0.25" r="3090" customHeight="1" ht="18.75">
      <c r="A3090" s="1" t="s">
        <v>3617</v>
      </c>
      <c r="B3090" s="1" t="s">
        <v>4461</v>
      </c>
      <c r="C3090" s="1" t="s">
        <v>3619</v>
      </c>
      <c r="D3090" s="1" t="s">
        <v>3601</v>
      </c>
      <c r="E3090" s="1" t="s">
        <v>3730</v>
      </c>
      <c r="F3090" s="1" t="s">
        <v>12215</v>
      </c>
      <c r="G3090" s="1" t="s">
        <v>12067</v>
      </c>
      <c r="H3090" s="1" t="s">
        <v>3604</v>
      </c>
      <c r="I3090" s="1" t="s">
        <v>12216</v>
      </c>
      <c r="J3090" s="1" t="s">
        <v>3606</v>
      </c>
      <c r="K3090" s="1" t="s">
        <v>12217</v>
      </c>
      <c r="L3090" s="1"/>
      <c r="M3090" s="1"/>
    </row>
    <row x14ac:dyDescent="0.25" r="3091" customHeight="1" ht="18.75">
      <c r="A3091" s="1" t="s">
        <v>3617</v>
      </c>
      <c r="B3091" s="1" t="s">
        <v>4461</v>
      </c>
      <c r="C3091" s="1" t="s">
        <v>3619</v>
      </c>
      <c r="D3091" s="1" t="s">
        <v>3601</v>
      </c>
      <c r="E3091" s="1" t="s">
        <v>3730</v>
      </c>
      <c r="F3091" s="1" t="s">
        <v>12218</v>
      </c>
      <c r="G3091" s="1" t="s">
        <v>12067</v>
      </c>
      <c r="H3091" s="1" t="s">
        <v>3604</v>
      </c>
      <c r="I3091" s="1" t="s">
        <v>12219</v>
      </c>
      <c r="J3091" s="1" t="s">
        <v>3606</v>
      </c>
      <c r="K3091" s="1" t="s">
        <v>12220</v>
      </c>
      <c r="L3091" s="1"/>
      <c r="M3091" s="1"/>
    </row>
    <row x14ac:dyDescent="0.25" r="3092" customHeight="1" ht="18.75">
      <c r="A3092" s="1" t="s">
        <v>3617</v>
      </c>
      <c r="B3092" s="1" t="s">
        <v>4461</v>
      </c>
      <c r="C3092" s="1" t="s">
        <v>3619</v>
      </c>
      <c r="D3092" s="1" t="s">
        <v>3601</v>
      </c>
      <c r="E3092" s="1" t="s">
        <v>3730</v>
      </c>
      <c r="F3092" s="1" t="s">
        <v>12221</v>
      </c>
      <c r="G3092" s="1" t="s">
        <v>12067</v>
      </c>
      <c r="H3092" s="1" t="s">
        <v>3604</v>
      </c>
      <c r="I3092" s="1" t="s">
        <v>12222</v>
      </c>
      <c r="J3092" s="1" t="s">
        <v>3606</v>
      </c>
      <c r="K3092" s="1" t="s">
        <v>12223</v>
      </c>
      <c r="L3092" s="1"/>
      <c r="M3092" s="1"/>
    </row>
    <row x14ac:dyDescent="0.25" r="3093" customHeight="1" ht="18.75">
      <c r="A3093" s="1" t="s">
        <v>3617</v>
      </c>
      <c r="B3093" s="1" t="s">
        <v>4461</v>
      </c>
      <c r="C3093" s="1" t="s">
        <v>3619</v>
      </c>
      <c r="D3093" s="1" t="s">
        <v>3601</v>
      </c>
      <c r="E3093" s="1" t="s">
        <v>3730</v>
      </c>
      <c r="F3093" s="1" t="s">
        <v>12224</v>
      </c>
      <c r="G3093" s="1" t="s">
        <v>12067</v>
      </c>
      <c r="H3093" s="1" t="s">
        <v>3604</v>
      </c>
      <c r="I3093" s="1" t="s">
        <v>12225</v>
      </c>
      <c r="J3093" s="1" t="s">
        <v>3606</v>
      </c>
      <c r="K3093" s="1" t="s">
        <v>12226</v>
      </c>
      <c r="L3093" s="1"/>
      <c r="M3093" s="1"/>
    </row>
    <row x14ac:dyDescent="0.25" r="3094" customHeight="1" ht="18.75">
      <c r="A3094" s="1" t="s">
        <v>3617</v>
      </c>
      <c r="B3094" s="1" t="s">
        <v>4461</v>
      </c>
      <c r="C3094" s="1" t="s">
        <v>3619</v>
      </c>
      <c r="D3094" s="1" t="s">
        <v>3601</v>
      </c>
      <c r="E3094" s="1" t="s">
        <v>3730</v>
      </c>
      <c r="F3094" s="1" t="s">
        <v>12227</v>
      </c>
      <c r="G3094" s="1" t="s">
        <v>12067</v>
      </c>
      <c r="H3094" s="1" t="s">
        <v>3604</v>
      </c>
      <c r="I3094" s="1" t="s">
        <v>12228</v>
      </c>
      <c r="J3094" s="1" t="s">
        <v>3606</v>
      </c>
      <c r="K3094" s="1" t="s">
        <v>12229</v>
      </c>
      <c r="L3094" s="1"/>
      <c r="M3094" s="1"/>
    </row>
    <row x14ac:dyDescent="0.25" r="3095" customHeight="1" ht="18.75">
      <c r="A3095" s="1" t="s">
        <v>3617</v>
      </c>
      <c r="B3095" s="1" t="s">
        <v>4461</v>
      </c>
      <c r="C3095" s="1" t="s">
        <v>3619</v>
      </c>
      <c r="D3095" s="1" t="s">
        <v>3601</v>
      </c>
      <c r="E3095" s="1" t="s">
        <v>3730</v>
      </c>
      <c r="F3095" s="1" t="s">
        <v>12230</v>
      </c>
      <c r="G3095" s="1" t="s">
        <v>12067</v>
      </c>
      <c r="H3095" s="1" t="s">
        <v>3604</v>
      </c>
      <c r="I3095" s="1" t="s">
        <v>12231</v>
      </c>
      <c r="J3095" s="1" t="s">
        <v>3606</v>
      </c>
      <c r="K3095" s="1" t="s">
        <v>12232</v>
      </c>
      <c r="L3095" s="1"/>
      <c r="M3095" s="1"/>
    </row>
    <row x14ac:dyDescent="0.25" r="3096" customHeight="1" ht="18.75">
      <c r="A3096" s="1" t="s">
        <v>3617</v>
      </c>
      <c r="B3096" s="1" t="s">
        <v>4461</v>
      </c>
      <c r="C3096" s="1" t="s">
        <v>3619</v>
      </c>
      <c r="D3096" s="1" t="s">
        <v>3601</v>
      </c>
      <c r="E3096" s="1" t="s">
        <v>3730</v>
      </c>
      <c r="F3096" s="1" t="s">
        <v>12233</v>
      </c>
      <c r="G3096" s="1" t="s">
        <v>12067</v>
      </c>
      <c r="H3096" s="1" t="s">
        <v>3604</v>
      </c>
      <c r="I3096" s="1" t="s">
        <v>12234</v>
      </c>
      <c r="J3096" s="1" t="s">
        <v>3606</v>
      </c>
      <c r="K3096" s="1" t="s">
        <v>12235</v>
      </c>
      <c r="L3096" s="1"/>
      <c r="M3096" s="1"/>
    </row>
    <row x14ac:dyDescent="0.25" r="3097" customHeight="1" ht="18.75">
      <c r="A3097" s="1" t="s">
        <v>3617</v>
      </c>
      <c r="B3097" s="1" t="s">
        <v>4461</v>
      </c>
      <c r="C3097" s="1" t="s">
        <v>3619</v>
      </c>
      <c r="D3097" s="1" t="s">
        <v>3601</v>
      </c>
      <c r="E3097" s="1" t="s">
        <v>3730</v>
      </c>
      <c r="F3097" s="1" t="s">
        <v>12236</v>
      </c>
      <c r="G3097" s="1" t="s">
        <v>12067</v>
      </c>
      <c r="H3097" s="1" t="s">
        <v>3604</v>
      </c>
      <c r="I3097" s="1" t="s">
        <v>12237</v>
      </c>
      <c r="J3097" s="1" t="s">
        <v>3606</v>
      </c>
      <c r="K3097" s="1" t="s">
        <v>12238</v>
      </c>
      <c r="L3097" s="1"/>
      <c r="M3097" s="1"/>
    </row>
    <row x14ac:dyDescent="0.25" r="3098" customHeight="1" ht="18.75">
      <c r="A3098" s="1" t="s">
        <v>3617</v>
      </c>
      <c r="B3098" s="1" t="s">
        <v>4461</v>
      </c>
      <c r="C3098" s="1" t="s">
        <v>3619</v>
      </c>
      <c r="D3098" s="1" t="s">
        <v>3601</v>
      </c>
      <c r="E3098" s="1" t="s">
        <v>3730</v>
      </c>
      <c r="F3098" s="1" t="s">
        <v>12239</v>
      </c>
      <c r="G3098" s="1" t="s">
        <v>12067</v>
      </c>
      <c r="H3098" s="1" t="s">
        <v>3604</v>
      </c>
      <c r="I3098" s="1" t="s">
        <v>12240</v>
      </c>
      <c r="J3098" s="1" t="s">
        <v>3606</v>
      </c>
      <c r="K3098" s="1" t="s">
        <v>12241</v>
      </c>
      <c r="L3098" s="1"/>
      <c r="M3098" s="1"/>
    </row>
    <row x14ac:dyDescent="0.25" r="3099" customHeight="1" ht="18.75">
      <c r="A3099" s="1" t="s">
        <v>3617</v>
      </c>
      <c r="B3099" s="1" t="s">
        <v>4461</v>
      </c>
      <c r="C3099" s="1" t="s">
        <v>3619</v>
      </c>
      <c r="D3099" s="1" t="s">
        <v>3601</v>
      </c>
      <c r="E3099" s="1" t="s">
        <v>3730</v>
      </c>
      <c r="F3099" s="1" t="s">
        <v>12242</v>
      </c>
      <c r="G3099" s="1" t="s">
        <v>12067</v>
      </c>
      <c r="H3099" s="1" t="s">
        <v>3604</v>
      </c>
      <c r="I3099" s="1" t="s">
        <v>12243</v>
      </c>
      <c r="J3099" s="1" t="s">
        <v>3606</v>
      </c>
      <c r="K3099" s="1" t="s">
        <v>12244</v>
      </c>
      <c r="L3099" s="1"/>
      <c r="M3099" s="1"/>
    </row>
    <row x14ac:dyDescent="0.25" r="3100" customHeight="1" ht="18.75">
      <c r="A3100" s="1" t="s">
        <v>3617</v>
      </c>
      <c r="B3100" s="1" t="s">
        <v>4461</v>
      </c>
      <c r="C3100" s="1" t="s">
        <v>3619</v>
      </c>
      <c r="D3100" s="1" t="s">
        <v>3601</v>
      </c>
      <c r="E3100" s="1" t="s">
        <v>3730</v>
      </c>
      <c r="F3100" s="1" t="s">
        <v>12245</v>
      </c>
      <c r="G3100" s="1" t="s">
        <v>12067</v>
      </c>
      <c r="H3100" s="1" t="s">
        <v>3604</v>
      </c>
      <c r="I3100" s="1" t="s">
        <v>12246</v>
      </c>
      <c r="J3100" s="1" t="s">
        <v>3606</v>
      </c>
      <c r="K3100" s="1" t="s">
        <v>12247</v>
      </c>
      <c r="L3100" s="1"/>
      <c r="M3100" s="1"/>
    </row>
    <row x14ac:dyDescent="0.25" r="3101" customHeight="1" ht="18.75">
      <c r="A3101" s="1" t="s">
        <v>3617</v>
      </c>
      <c r="B3101" s="1" t="s">
        <v>4461</v>
      </c>
      <c r="C3101" s="1" t="s">
        <v>3619</v>
      </c>
      <c r="D3101" s="1" t="s">
        <v>3601</v>
      </c>
      <c r="E3101" s="1" t="s">
        <v>3730</v>
      </c>
      <c r="F3101" s="1" t="s">
        <v>12248</v>
      </c>
      <c r="G3101" s="1" t="s">
        <v>12067</v>
      </c>
      <c r="H3101" s="1" t="s">
        <v>3604</v>
      </c>
      <c r="I3101" s="1" t="s">
        <v>12249</v>
      </c>
      <c r="J3101" s="1" t="s">
        <v>3606</v>
      </c>
      <c r="K3101" s="1" t="s">
        <v>12250</v>
      </c>
      <c r="L3101" s="1"/>
      <c r="M3101" s="1"/>
    </row>
    <row x14ac:dyDescent="0.25" r="3102" customHeight="1" ht="18.75">
      <c r="A3102" s="1" t="s">
        <v>3617</v>
      </c>
      <c r="B3102" s="1" t="s">
        <v>4461</v>
      </c>
      <c r="C3102" s="1" t="s">
        <v>3619</v>
      </c>
      <c r="D3102" s="1" t="s">
        <v>3601</v>
      </c>
      <c r="E3102" s="1" t="s">
        <v>3730</v>
      </c>
      <c r="F3102" s="1" t="s">
        <v>12251</v>
      </c>
      <c r="G3102" s="1" t="s">
        <v>12067</v>
      </c>
      <c r="H3102" s="1" t="s">
        <v>3604</v>
      </c>
      <c r="I3102" s="1" t="s">
        <v>12252</v>
      </c>
      <c r="J3102" s="1" t="s">
        <v>3606</v>
      </c>
      <c r="K3102" s="1" t="s">
        <v>12253</v>
      </c>
      <c r="L3102" s="1"/>
      <c r="M3102" s="1"/>
    </row>
    <row x14ac:dyDescent="0.25" r="3103" customHeight="1" ht="18.75">
      <c r="A3103" s="1" t="s">
        <v>3617</v>
      </c>
      <c r="B3103" s="1" t="s">
        <v>4461</v>
      </c>
      <c r="C3103" s="1" t="s">
        <v>3619</v>
      </c>
      <c r="D3103" s="1" t="s">
        <v>3601</v>
      </c>
      <c r="E3103" s="1" t="s">
        <v>3730</v>
      </c>
      <c r="F3103" s="1" t="s">
        <v>12254</v>
      </c>
      <c r="G3103" s="1" t="s">
        <v>12067</v>
      </c>
      <c r="H3103" s="1" t="s">
        <v>3604</v>
      </c>
      <c r="I3103" s="1" t="s">
        <v>12255</v>
      </c>
      <c r="J3103" s="1" t="s">
        <v>3606</v>
      </c>
      <c r="K3103" s="1" t="s">
        <v>12256</v>
      </c>
      <c r="L3103" s="1"/>
      <c r="M3103" s="1"/>
    </row>
    <row x14ac:dyDescent="0.25" r="3104" customHeight="1" ht="18.75">
      <c r="A3104" s="1" t="s">
        <v>3617</v>
      </c>
      <c r="B3104" s="1" t="s">
        <v>4461</v>
      </c>
      <c r="C3104" s="1" t="s">
        <v>3619</v>
      </c>
      <c r="D3104" s="1" t="s">
        <v>3601</v>
      </c>
      <c r="E3104" s="1" t="s">
        <v>3730</v>
      </c>
      <c r="F3104" s="1" t="s">
        <v>12257</v>
      </c>
      <c r="G3104" s="1" t="s">
        <v>12067</v>
      </c>
      <c r="H3104" s="1" t="s">
        <v>3604</v>
      </c>
      <c r="I3104" s="1" t="s">
        <v>12258</v>
      </c>
      <c r="J3104" s="1" t="s">
        <v>3606</v>
      </c>
      <c r="K3104" s="1" t="s">
        <v>12259</v>
      </c>
      <c r="L3104" s="1"/>
      <c r="M3104" s="1"/>
    </row>
    <row x14ac:dyDescent="0.25" r="3105" customHeight="1" ht="18.75">
      <c r="A3105" s="1" t="s">
        <v>3617</v>
      </c>
      <c r="B3105" s="1" t="s">
        <v>4461</v>
      </c>
      <c r="C3105" s="1" t="s">
        <v>3619</v>
      </c>
      <c r="D3105" s="1" t="s">
        <v>3601</v>
      </c>
      <c r="E3105" s="1" t="s">
        <v>3730</v>
      </c>
      <c r="F3105" s="1" t="s">
        <v>12260</v>
      </c>
      <c r="G3105" s="1" t="s">
        <v>12067</v>
      </c>
      <c r="H3105" s="1" t="s">
        <v>3604</v>
      </c>
      <c r="I3105" s="1" t="s">
        <v>12261</v>
      </c>
      <c r="J3105" s="1" t="s">
        <v>3606</v>
      </c>
      <c r="K3105" s="1" t="s">
        <v>12262</v>
      </c>
      <c r="L3105" s="1"/>
      <c r="M3105" s="1"/>
    </row>
    <row x14ac:dyDescent="0.25" r="3106" customHeight="1" ht="18.75">
      <c r="A3106" s="1" t="s">
        <v>3617</v>
      </c>
      <c r="B3106" s="1" t="s">
        <v>4461</v>
      </c>
      <c r="C3106" s="1" t="s">
        <v>3619</v>
      </c>
      <c r="D3106" s="1" t="s">
        <v>3601</v>
      </c>
      <c r="E3106" s="1" t="s">
        <v>3730</v>
      </c>
      <c r="F3106" s="1" t="s">
        <v>12263</v>
      </c>
      <c r="G3106" s="1" t="s">
        <v>12067</v>
      </c>
      <c r="H3106" s="1" t="s">
        <v>3604</v>
      </c>
      <c r="I3106" s="1" t="s">
        <v>12264</v>
      </c>
      <c r="J3106" s="1" t="s">
        <v>3606</v>
      </c>
      <c r="K3106" s="1" t="s">
        <v>12265</v>
      </c>
      <c r="L3106" s="1"/>
      <c r="M3106" s="1"/>
    </row>
    <row x14ac:dyDescent="0.25" r="3107" customHeight="1" ht="18.75">
      <c r="A3107" s="1" t="s">
        <v>3617</v>
      </c>
      <c r="B3107" s="1" t="s">
        <v>4461</v>
      </c>
      <c r="C3107" s="1" t="s">
        <v>3619</v>
      </c>
      <c r="D3107" s="1" t="s">
        <v>3601</v>
      </c>
      <c r="E3107" s="1" t="s">
        <v>3730</v>
      </c>
      <c r="F3107" s="1" t="s">
        <v>12266</v>
      </c>
      <c r="G3107" s="1" t="s">
        <v>12067</v>
      </c>
      <c r="H3107" s="1" t="s">
        <v>3604</v>
      </c>
      <c r="I3107" s="1" t="s">
        <v>12267</v>
      </c>
      <c r="J3107" s="1" t="s">
        <v>3606</v>
      </c>
      <c r="K3107" s="1" t="s">
        <v>12268</v>
      </c>
      <c r="L3107" s="1"/>
      <c r="M3107" s="1"/>
    </row>
    <row x14ac:dyDescent="0.25" r="3108" customHeight="1" ht="18.75">
      <c r="A3108" s="1" t="s">
        <v>3617</v>
      </c>
      <c r="B3108" s="1" t="s">
        <v>4461</v>
      </c>
      <c r="C3108" s="1" t="s">
        <v>3619</v>
      </c>
      <c r="D3108" s="1" t="s">
        <v>3601</v>
      </c>
      <c r="E3108" s="1" t="s">
        <v>3730</v>
      </c>
      <c r="F3108" s="1" t="s">
        <v>12269</v>
      </c>
      <c r="G3108" s="1" t="s">
        <v>12067</v>
      </c>
      <c r="H3108" s="1" t="s">
        <v>3604</v>
      </c>
      <c r="I3108" s="1" t="s">
        <v>12270</v>
      </c>
      <c r="J3108" s="1" t="s">
        <v>3606</v>
      </c>
      <c r="K3108" s="1" t="s">
        <v>12271</v>
      </c>
      <c r="L3108" s="1"/>
      <c r="M3108" s="1"/>
    </row>
    <row x14ac:dyDescent="0.25" r="3109" customHeight="1" ht="18.75">
      <c r="A3109" s="1" t="s">
        <v>3617</v>
      </c>
      <c r="B3109" s="1" t="s">
        <v>4461</v>
      </c>
      <c r="C3109" s="1" t="s">
        <v>3619</v>
      </c>
      <c r="D3109" s="1" t="s">
        <v>3601</v>
      </c>
      <c r="E3109" s="1" t="s">
        <v>3730</v>
      </c>
      <c r="F3109" s="1" t="s">
        <v>12272</v>
      </c>
      <c r="G3109" s="1" t="s">
        <v>12067</v>
      </c>
      <c r="H3109" s="1" t="s">
        <v>3604</v>
      </c>
      <c r="I3109" s="1" t="s">
        <v>12273</v>
      </c>
      <c r="J3109" s="1" t="s">
        <v>3606</v>
      </c>
      <c r="K3109" s="1" t="s">
        <v>12274</v>
      </c>
      <c r="L3109" s="1"/>
      <c r="M3109" s="1"/>
    </row>
    <row x14ac:dyDescent="0.25" r="3110" customHeight="1" ht="18.75">
      <c r="A3110" s="1" t="s">
        <v>3617</v>
      </c>
      <c r="B3110" s="1" t="s">
        <v>4461</v>
      </c>
      <c r="C3110" s="1" t="s">
        <v>3619</v>
      </c>
      <c r="D3110" s="1" t="s">
        <v>3601</v>
      </c>
      <c r="E3110" s="1" t="s">
        <v>3730</v>
      </c>
      <c r="F3110" s="1" t="s">
        <v>12275</v>
      </c>
      <c r="G3110" s="1" t="s">
        <v>12067</v>
      </c>
      <c r="H3110" s="1" t="s">
        <v>3604</v>
      </c>
      <c r="I3110" s="1" t="s">
        <v>12276</v>
      </c>
      <c r="J3110" s="1" t="s">
        <v>3606</v>
      </c>
      <c r="K3110" s="1" t="s">
        <v>12277</v>
      </c>
      <c r="L3110" s="1"/>
      <c r="M3110" s="1"/>
    </row>
    <row x14ac:dyDescent="0.25" r="3111" customHeight="1" ht="18.75">
      <c r="A3111" s="1" t="s">
        <v>3617</v>
      </c>
      <c r="B3111" s="1" t="s">
        <v>4461</v>
      </c>
      <c r="C3111" s="1" t="s">
        <v>3619</v>
      </c>
      <c r="D3111" s="1" t="s">
        <v>3601</v>
      </c>
      <c r="E3111" s="1" t="s">
        <v>3730</v>
      </c>
      <c r="F3111" s="1" t="s">
        <v>12278</v>
      </c>
      <c r="G3111" s="1" t="s">
        <v>12067</v>
      </c>
      <c r="H3111" s="1" t="s">
        <v>3604</v>
      </c>
      <c r="I3111" s="1" t="s">
        <v>12279</v>
      </c>
      <c r="J3111" s="1" t="s">
        <v>3606</v>
      </c>
      <c r="K3111" s="1" t="s">
        <v>12280</v>
      </c>
      <c r="L3111" s="1"/>
      <c r="M3111" s="1"/>
    </row>
    <row x14ac:dyDescent="0.25" r="3112" customHeight="1" ht="18.75">
      <c r="A3112" s="1" t="s">
        <v>3617</v>
      </c>
      <c r="B3112" s="1" t="s">
        <v>4461</v>
      </c>
      <c r="C3112" s="1" t="s">
        <v>3619</v>
      </c>
      <c r="D3112" s="1" t="s">
        <v>3601</v>
      </c>
      <c r="E3112" s="1" t="s">
        <v>3730</v>
      </c>
      <c r="F3112" s="1" t="s">
        <v>12281</v>
      </c>
      <c r="G3112" s="1" t="s">
        <v>12067</v>
      </c>
      <c r="H3112" s="1" t="s">
        <v>3604</v>
      </c>
      <c r="I3112" s="1" t="s">
        <v>12282</v>
      </c>
      <c r="J3112" s="1" t="s">
        <v>3606</v>
      </c>
      <c r="K3112" s="1" t="s">
        <v>12283</v>
      </c>
      <c r="L3112" s="1"/>
      <c r="M3112" s="1"/>
    </row>
    <row x14ac:dyDescent="0.25" r="3113" customHeight="1" ht="18.75">
      <c r="A3113" s="1" t="s">
        <v>3617</v>
      </c>
      <c r="B3113" s="1" t="s">
        <v>4461</v>
      </c>
      <c r="C3113" s="1" t="s">
        <v>3619</v>
      </c>
      <c r="D3113" s="1" t="s">
        <v>3601</v>
      </c>
      <c r="E3113" s="1" t="s">
        <v>3730</v>
      </c>
      <c r="F3113" s="1" t="s">
        <v>12284</v>
      </c>
      <c r="G3113" s="1" t="s">
        <v>12067</v>
      </c>
      <c r="H3113" s="1" t="s">
        <v>3604</v>
      </c>
      <c r="I3113" s="1" t="s">
        <v>12285</v>
      </c>
      <c r="J3113" s="1" t="s">
        <v>3606</v>
      </c>
      <c r="K3113" s="1" t="s">
        <v>12286</v>
      </c>
      <c r="L3113" s="1"/>
      <c r="M3113" s="1"/>
    </row>
    <row x14ac:dyDescent="0.25" r="3114" customHeight="1" ht="18.75">
      <c r="A3114" s="1" t="s">
        <v>3617</v>
      </c>
      <c r="B3114" s="1" t="s">
        <v>4461</v>
      </c>
      <c r="C3114" s="1" t="s">
        <v>3619</v>
      </c>
      <c r="D3114" s="1" t="s">
        <v>3601</v>
      </c>
      <c r="E3114" s="1" t="s">
        <v>3730</v>
      </c>
      <c r="F3114" s="1" t="s">
        <v>12287</v>
      </c>
      <c r="G3114" s="1" t="s">
        <v>12067</v>
      </c>
      <c r="H3114" s="1" t="s">
        <v>3604</v>
      </c>
      <c r="I3114" s="1" t="s">
        <v>12288</v>
      </c>
      <c r="J3114" s="1" t="s">
        <v>3606</v>
      </c>
      <c r="K3114" s="1" t="s">
        <v>12289</v>
      </c>
      <c r="L3114" s="1"/>
      <c r="M3114" s="1"/>
    </row>
    <row x14ac:dyDescent="0.25" r="3115" customHeight="1" ht="18.75">
      <c r="A3115" s="1" t="s">
        <v>3617</v>
      </c>
      <c r="B3115" s="1" t="s">
        <v>4461</v>
      </c>
      <c r="C3115" s="1" t="s">
        <v>3619</v>
      </c>
      <c r="D3115" s="1" t="s">
        <v>3601</v>
      </c>
      <c r="E3115" s="1" t="s">
        <v>3730</v>
      </c>
      <c r="F3115" s="1" t="s">
        <v>12290</v>
      </c>
      <c r="G3115" s="1" t="s">
        <v>12067</v>
      </c>
      <c r="H3115" s="1" t="s">
        <v>3604</v>
      </c>
      <c r="I3115" s="1" t="s">
        <v>12291</v>
      </c>
      <c r="J3115" s="1" t="s">
        <v>3606</v>
      </c>
      <c r="K3115" s="1" t="s">
        <v>12292</v>
      </c>
      <c r="L3115" s="1"/>
      <c r="M3115" s="1"/>
    </row>
    <row x14ac:dyDescent="0.25" r="3116" customHeight="1" ht="18.75">
      <c r="A3116" s="1" t="s">
        <v>3617</v>
      </c>
      <c r="B3116" s="1" t="s">
        <v>4461</v>
      </c>
      <c r="C3116" s="1" t="s">
        <v>3619</v>
      </c>
      <c r="D3116" s="1" t="s">
        <v>3601</v>
      </c>
      <c r="E3116" s="1" t="s">
        <v>3730</v>
      </c>
      <c r="F3116" s="1" t="s">
        <v>12293</v>
      </c>
      <c r="G3116" s="1" t="s">
        <v>12067</v>
      </c>
      <c r="H3116" s="1" t="s">
        <v>3604</v>
      </c>
      <c r="I3116" s="1" t="s">
        <v>12294</v>
      </c>
      <c r="J3116" s="1" t="s">
        <v>3606</v>
      </c>
      <c r="K3116" s="1" t="s">
        <v>12295</v>
      </c>
      <c r="L3116" s="1"/>
      <c r="M3116" s="1"/>
    </row>
    <row x14ac:dyDescent="0.25" r="3117" customHeight="1" ht="18.75">
      <c r="A3117" s="1" t="s">
        <v>3617</v>
      </c>
      <c r="B3117" s="1" t="s">
        <v>4461</v>
      </c>
      <c r="C3117" s="1" t="s">
        <v>3619</v>
      </c>
      <c r="D3117" s="1" t="s">
        <v>3601</v>
      </c>
      <c r="E3117" s="1" t="s">
        <v>3730</v>
      </c>
      <c r="F3117" s="1" t="s">
        <v>12296</v>
      </c>
      <c r="G3117" s="1" t="s">
        <v>12067</v>
      </c>
      <c r="H3117" s="1" t="s">
        <v>3604</v>
      </c>
      <c r="I3117" s="1" t="s">
        <v>12297</v>
      </c>
      <c r="J3117" s="1" t="s">
        <v>3606</v>
      </c>
      <c r="K3117" s="1" t="s">
        <v>12298</v>
      </c>
      <c r="L3117" s="1"/>
      <c r="M3117" s="1"/>
    </row>
    <row x14ac:dyDescent="0.25" r="3118" customHeight="1" ht="18.75">
      <c r="A3118" s="1" t="s">
        <v>3617</v>
      </c>
      <c r="B3118" s="1" t="s">
        <v>4461</v>
      </c>
      <c r="C3118" s="1" t="s">
        <v>3619</v>
      </c>
      <c r="D3118" s="1" t="s">
        <v>3601</v>
      </c>
      <c r="E3118" s="1" t="s">
        <v>3730</v>
      </c>
      <c r="F3118" s="1" t="s">
        <v>12299</v>
      </c>
      <c r="G3118" s="1" t="s">
        <v>12067</v>
      </c>
      <c r="H3118" s="1" t="s">
        <v>3604</v>
      </c>
      <c r="I3118" s="1" t="s">
        <v>12300</v>
      </c>
      <c r="J3118" s="1" t="s">
        <v>3606</v>
      </c>
      <c r="K3118" s="1" t="s">
        <v>12301</v>
      </c>
      <c r="L3118" s="1"/>
      <c r="M3118" s="1"/>
    </row>
    <row x14ac:dyDescent="0.25" r="3119" customHeight="1" ht="18.75">
      <c r="A3119" s="1" t="s">
        <v>3617</v>
      </c>
      <c r="B3119" s="1" t="s">
        <v>4461</v>
      </c>
      <c r="C3119" s="1" t="s">
        <v>3619</v>
      </c>
      <c r="D3119" s="1" t="s">
        <v>3601</v>
      </c>
      <c r="E3119" s="1" t="s">
        <v>3730</v>
      </c>
      <c r="F3119" s="1" t="s">
        <v>12302</v>
      </c>
      <c r="G3119" s="1" t="s">
        <v>12067</v>
      </c>
      <c r="H3119" s="1" t="s">
        <v>3604</v>
      </c>
      <c r="I3119" s="1" t="s">
        <v>12303</v>
      </c>
      <c r="J3119" s="1" t="s">
        <v>3606</v>
      </c>
      <c r="K3119" s="1" t="s">
        <v>12304</v>
      </c>
      <c r="L3119" s="1"/>
      <c r="M3119" s="1"/>
    </row>
    <row x14ac:dyDescent="0.25" r="3120" customHeight="1" ht="18.75">
      <c r="A3120" s="1" t="s">
        <v>3617</v>
      </c>
      <c r="B3120" s="1" t="s">
        <v>4461</v>
      </c>
      <c r="C3120" s="1" t="s">
        <v>3619</v>
      </c>
      <c r="D3120" s="1" t="s">
        <v>3601</v>
      </c>
      <c r="E3120" s="1" t="s">
        <v>3730</v>
      </c>
      <c r="F3120" s="1" t="s">
        <v>12305</v>
      </c>
      <c r="G3120" s="1" t="s">
        <v>12067</v>
      </c>
      <c r="H3120" s="1" t="s">
        <v>3604</v>
      </c>
      <c r="I3120" s="1" t="s">
        <v>12306</v>
      </c>
      <c r="J3120" s="1" t="s">
        <v>3606</v>
      </c>
      <c r="K3120" s="1" t="s">
        <v>12307</v>
      </c>
      <c r="L3120" s="1"/>
      <c r="M3120" s="1"/>
    </row>
    <row x14ac:dyDescent="0.25" r="3121" customHeight="1" ht="18.75">
      <c r="A3121" s="1" t="s">
        <v>3617</v>
      </c>
      <c r="B3121" s="1" t="s">
        <v>4461</v>
      </c>
      <c r="C3121" s="1" t="s">
        <v>3619</v>
      </c>
      <c r="D3121" s="1" t="s">
        <v>3601</v>
      </c>
      <c r="E3121" s="1" t="s">
        <v>3730</v>
      </c>
      <c r="F3121" s="1" t="s">
        <v>12308</v>
      </c>
      <c r="G3121" s="1" t="s">
        <v>12067</v>
      </c>
      <c r="H3121" s="1" t="s">
        <v>3604</v>
      </c>
      <c r="I3121" s="1" t="s">
        <v>12309</v>
      </c>
      <c r="J3121" s="1" t="s">
        <v>3606</v>
      </c>
      <c r="K3121" s="1" t="s">
        <v>12310</v>
      </c>
      <c r="L3121" s="1"/>
      <c r="M3121" s="1"/>
    </row>
    <row x14ac:dyDescent="0.25" r="3122" customHeight="1" ht="18.75">
      <c r="A3122" s="1" t="s">
        <v>3617</v>
      </c>
      <c r="B3122" s="1" t="s">
        <v>4461</v>
      </c>
      <c r="C3122" s="1" t="s">
        <v>3619</v>
      </c>
      <c r="D3122" s="1" t="s">
        <v>3601</v>
      </c>
      <c r="E3122" s="1" t="s">
        <v>3730</v>
      </c>
      <c r="F3122" s="1" t="s">
        <v>12311</v>
      </c>
      <c r="G3122" s="1" t="s">
        <v>12067</v>
      </c>
      <c r="H3122" s="1" t="s">
        <v>3604</v>
      </c>
      <c r="I3122" s="1" t="s">
        <v>12312</v>
      </c>
      <c r="J3122" s="1" t="s">
        <v>3606</v>
      </c>
      <c r="K3122" s="1" t="s">
        <v>12313</v>
      </c>
      <c r="L3122" s="1"/>
      <c r="M3122" s="1"/>
    </row>
    <row x14ac:dyDescent="0.25" r="3123" customHeight="1" ht="18.75">
      <c r="A3123" s="1" t="s">
        <v>3617</v>
      </c>
      <c r="B3123" s="1" t="s">
        <v>4461</v>
      </c>
      <c r="C3123" s="1" t="s">
        <v>3619</v>
      </c>
      <c r="D3123" s="1" t="s">
        <v>3601</v>
      </c>
      <c r="E3123" s="1" t="s">
        <v>3730</v>
      </c>
      <c r="F3123" s="1" t="s">
        <v>12314</v>
      </c>
      <c r="G3123" s="1" t="s">
        <v>12067</v>
      </c>
      <c r="H3123" s="1" t="s">
        <v>3604</v>
      </c>
      <c r="I3123" s="1" t="s">
        <v>12315</v>
      </c>
      <c r="J3123" s="1" t="s">
        <v>3606</v>
      </c>
      <c r="K3123" s="1" t="s">
        <v>12316</v>
      </c>
      <c r="L3123" s="1"/>
      <c r="M3123" s="1"/>
    </row>
    <row x14ac:dyDescent="0.25" r="3124" customHeight="1" ht="18.75">
      <c r="A3124" s="1" t="s">
        <v>3617</v>
      </c>
      <c r="B3124" s="1" t="s">
        <v>4461</v>
      </c>
      <c r="C3124" s="1" t="s">
        <v>3619</v>
      </c>
      <c r="D3124" s="1" t="s">
        <v>3601</v>
      </c>
      <c r="E3124" s="1" t="s">
        <v>3730</v>
      </c>
      <c r="F3124" s="1" t="s">
        <v>12317</v>
      </c>
      <c r="G3124" s="1" t="s">
        <v>12067</v>
      </c>
      <c r="H3124" s="1" t="s">
        <v>3604</v>
      </c>
      <c r="I3124" s="1" t="s">
        <v>12318</v>
      </c>
      <c r="J3124" s="1" t="s">
        <v>3606</v>
      </c>
      <c r="K3124" s="1" t="s">
        <v>12319</v>
      </c>
      <c r="L3124" s="1"/>
      <c r="M3124" s="1"/>
    </row>
    <row x14ac:dyDescent="0.25" r="3125" customHeight="1" ht="18.75">
      <c r="A3125" s="1" t="s">
        <v>3617</v>
      </c>
      <c r="B3125" s="1" t="s">
        <v>4461</v>
      </c>
      <c r="C3125" s="1" t="s">
        <v>3619</v>
      </c>
      <c r="D3125" s="1" t="s">
        <v>3601</v>
      </c>
      <c r="E3125" s="1" t="s">
        <v>3730</v>
      </c>
      <c r="F3125" s="1" t="s">
        <v>12320</v>
      </c>
      <c r="G3125" s="1" t="s">
        <v>12067</v>
      </c>
      <c r="H3125" s="1" t="s">
        <v>3604</v>
      </c>
      <c r="I3125" s="1" t="s">
        <v>12321</v>
      </c>
      <c r="J3125" s="1" t="s">
        <v>3606</v>
      </c>
      <c r="K3125" s="1" t="s">
        <v>12322</v>
      </c>
      <c r="L3125" s="1"/>
      <c r="M3125" s="1"/>
    </row>
    <row x14ac:dyDescent="0.25" r="3126" customHeight="1" ht="18.75">
      <c r="A3126" s="1" t="s">
        <v>3617</v>
      </c>
      <c r="B3126" s="1" t="s">
        <v>4461</v>
      </c>
      <c r="C3126" s="1" t="s">
        <v>3619</v>
      </c>
      <c r="D3126" s="1" t="s">
        <v>3601</v>
      </c>
      <c r="E3126" s="1" t="s">
        <v>3730</v>
      </c>
      <c r="F3126" s="1" t="s">
        <v>12323</v>
      </c>
      <c r="G3126" s="1" t="s">
        <v>12067</v>
      </c>
      <c r="H3126" s="1" t="s">
        <v>3604</v>
      </c>
      <c r="I3126" s="1" t="s">
        <v>12324</v>
      </c>
      <c r="J3126" s="1" t="s">
        <v>3606</v>
      </c>
      <c r="K3126" s="1" t="s">
        <v>12325</v>
      </c>
      <c r="L3126" s="1"/>
      <c r="M3126" s="1"/>
    </row>
    <row x14ac:dyDescent="0.25" r="3127" customHeight="1" ht="18.75">
      <c r="A3127" s="1" t="s">
        <v>3617</v>
      </c>
      <c r="B3127" s="1" t="s">
        <v>4461</v>
      </c>
      <c r="C3127" s="1" t="s">
        <v>3619</v>
      </c>
      <c r="D3127" s="1" t="s">
        <v>3601</v>
      </c>
      <c r="E3127" s="1" t="s">
        <v>3730</v>
      </c>
      <c r="F3127" s="1" t="s">
        <v>12326</v>
      </c>
      <c r="G3127" s="1" t="s">
        <v>12067</v>
      </c>
      <c r="H3127" s="1" t="s">
        <v>3604</v>
      </c>
      <c r="I3127" s="1" t="s">
        <v>12327</v>
      </c>
      <c r="J3127" s="1" t="s">
        <v>3606</v>
      </c>
      <c r="K3127" s="1" t="s">
        <v>12328</v>
      </c>
      <c r="L3127" s="1"/>
      <c r="M3127" s="1"/>
    </row>
    <row x14ac:dyDescent="0.25" r="3128" customHeight="1" ht="18.75">
      <c r="A3128" s="1" t="s">
        <v>3617</v>
      </c>
      <c r="B3128" s="1" t="s">
        <v>4461</v>
      </c>
      <c r="C3128" s="1" t="s">
        <v>3619</v>
      </c>
      <c r="D3128" s="1" t="s">
        <v>3601</v>
      </c>
      <c r="E3128" s="1" t="s">
        <v>3730</v>
      </c>
      <c r="F3128" s="1" t="s">
        <v>12329</v>
      </c>
      <c r="G3128" s="1" t="s">
        <v>12067</v>
      </c>
      <c r="H3128" s="1" t="s">
        <v>3604</v>
      </c>
      <c r="I3128" s="1" t="s">
        <v>12330</v>
      </c>
      <c r="J3128" s="1" t="s">
        <v>3606</v>
      </c>
      <c r="K3128" s="1" t="s">
        <v>12331</v>
      </c>
      <c r="L3128" s="1"/>
      <c r="M3128" s="1"/>
    </row>
    <row x14ac:dyDescent="0.25" r="3129" customHeight="1" ht="18.75">
      <c r="A3129" s="1" t="s">
        <v>3617</v>
      </c>
      <c r="B3129" s="1" t="s">
        <v>4461</v>
      </c>
      <c r="C3129" s="1" t="s">
        <v>3619</v>
      </c>
      <c r="D3129" s="1" t="s">
        <v>3601</v>
      </c>
      <c r="E3129" s="1" t="s">
        <v>3730</v>
      </c>
      <c r="F3129" s="1" t="s">
        <v>12332</v>
      </c>
      <c r="G3129" s="1" t="s">
        <v>12067</v>
      </c>
      <c r="H3129" s="1" t="s">
        <v>3604</v>
      </c>
      <c r="I3129" s="1" t="s">
        <v>12333</v>
      </c>
      <c r="J3129" s="1" t="s">
        <v>3606</v>
      </c>
      <c r="K3129" s="1" t="s">
        <v>12334</v>
      </c>
      <c r="L3129" s="1"/>
      <c r="M3129" s="1"/>
    </row>
    <row x14ac:dyDescent="0.25" r="3130" customHeight="1" ht="18.75">
      <c r="A3130" s="1" t="s">
        <v>3617</v>
      </c>
      <c r="B3130" s="1" t="s">
        <v>4461</v>
      </c>
      <c r="C3130" s="1" t="s">
        <v>3619</v>
      </c>
      <c r="D3130" s="1" t="s">
        <v>3601</v>
      </c>
      <c r="E3130" s="1" t="s">
        <v>3730</v>
      </c>
      <c r="F3130" s="1" t="s">
        <v>12335</v>
      </c>
      <c r="G3130" s="1" t="s">
        <v>12067</v>
      </c>
      <c r="H3130" s="1" t="s">
        <v>3604</v>
      </c>
      <c r="I3130" s="1" t="s">
        <v>12336</v>
      </c>
      <c r="J3130" s="1" t="s">
        <v>3606</v>
      </c>
      <c r="K3130" s="1" t="s">
        <v>12337</v>
      </c>
      <c r="L3130" s="1"/>
      <c r="M3130" s="1"/>
    </row>
    <row x14ac:dyDescent="0.25" r="3131" customHeight="1" ht="18.75">
      <c r="A3131" s="1" t="s">
        <v>3617</v>
      </c>
      <c r="B3131" s="1" t="s">
        <v>4461</v>
      </c>
      <c r="C3131" s="1" t="s">
        <v>3619</v>
      </c>
      <c r="D3131" s="1" t="s">
        <v>3601</v>
      </c>
      <c r="E3131" s="1" t="s">
        <v>3730</v>
      </c>
      <c r="F3131" s="1" t="s">
        <v>12338</v>
      </c>
      <c r="G3131" s="1" t="s">
        <v>12067</v>
      </c>
      <c r="H3131" s="1" t="s">
        <v>3604</v>
      </c>
      <c r="I3131" s="1" t="s">
        <v>12339</v>
      </c>
      <c r="J3131" s="1" t="s">
        <v>3606</v>
      </c>
      <c r="K3131" s="1" t="s">
        <v>12340</v>
      </c>
      <c r="L3131" s="1"/>
      <c r="M3131" s="1"/>
    </row>
    <row x14ac:dyDescent="0.25" r="3132" customHeight="1" ht="18.75">
      <c r="A3132" s="1" t="s">
        <v>3617</v>
      </c>
      <c r="B3132" s="1" t="s">
        <v>4461</v>
      </c>
      <c r="C3132" s="1" t="s">
        <v>3619</v>
      </c>
      <c r="D3132" s="1" t="s">
        <v>3601</v>
      </c>
      <c r="E3132" s="1" t="s">
        <v>3730</v>
      </c>
      <c r="F3132" s="1" t="s">
        <v>12341</v>
      </c>
      <c r="G3132" s="1" t="s">
        <v>12067</v>
      </c>
      <c r="H3132" s="1" t="s">
        <v>3604</v>
      </c>
      <c r="I3132" s="1" t="s">
        <v>12342</v>
      </c>
      <c r="J3132" s="1" t="s">
        <v>3606</v>
      </c>
      <c r="K3132" s="1" t="s">
        <v>12343</v>
      </c>
      <c r="L3132" s="1"/>
      <c r="M3132" s="1"/>
    </row>
    <row x14ac:dyDescent="0.25" r="3133" customHeight="1" ht="18.75">
      <c r="A3133" s="1" t="s">
        <v>3617</v>
      </c>
      <c r="B3133" s="1" t="s">
        <v>4461</v>
      </c>
      <c r="C3133" s="1" t="s">
        <v>3619</v>
      </c>
      <c r="D3133" s="1" t="s">
        <v>3601</v>
      </c>
      <c r="E3133" s="1" t="s">
        <v>3730</v>
      </c>
      <c r="F3133" s="1" t="s">
        <v>12344</v>
      </c>
      <c r="G3133" s="1" t="s">
        <v>12067</v>
      </c>
      <c r="H3133" s="1" t="s">
        <v>3604</v>
      </c>
      <c r="I3133" s="1" t="s">
        <v>12345</v>
      </c>
      <c r="J3133" s="1" t="s">
        <v>3606</v>
      </c>
      <c r="K3133" s="1" t="s">
        <v>12346</v>
      </c>
      <c r="L3133" s="1"/>
      <c r="M3133" s="1"/>
    </row>
    <row x14ac:dyDescent="0.25" r="3134" customHeight="1" ht="18.75">
      <c r="A3134" s="1" t="s">
        <v>3617</v>
      </c>
      <c r="B3134" s="1" t="s">
        <v>4461</v>
      </c>
      <c r="C3134" s="1" t="s">
        <v>3619</v>
      </c>
      <c r="D3134" s="1" t="s">
        <v>3601</v>
      </c>
      <c r="E3134" s="1" t="s">
        <v>3730</v>
      </c>
      <c r="F3134" s="1" t="s">
        <v>12347</v>
      </c>
      <c r="G3134" s="1" t="s">
        <v>12067</v>
      </c>
      <c r="H3134" s="1" t="s">
        <v>3604</v>
      </c>
      <c r="I3134" s="1" t="s">
        <v>12348</v>
      </c>
      <c r="J3134" s="1" t="s">
        <v>3606</v>
      </c>
      <c r="K3134" s="1" t="s">
        <v>12349</v>
      </c>
      <c r="L3134" s="1"/>
      <c r="M3134" s="1"/>
    </row>
    <row x14ac:dyDescent="0.25" r="3135" customHeight="1" ht="18.75">
      <c r="A3135" s="1" t="s">
        <v>3617</v>
      </c>
      <c r="B3135" s="1" t="s">
        <v>4461</v>
      </c>
      <c r="C3135" s="1" t="s">
        <v>3619</v>
      </c>
      <c r="D3135" s="1" t="s">
        <v>3601</v>
      </c>
      <c r="E3135" s="1" t="s">
        <v>3730</v>
      </c>
      <c r="F3135" s="1" t="s">
        <v>12350</v>
      </c>
      <c r="G3135" s="1" t="s">
        <v>12067</v>
      </c>
      <c r="H3135" s="1" t="s">
        <v>3604</v>
      </c>
      <c r="I3135" s="1" t="s">
        <v>12351</v>
      </c>
      <c r="J3135" s="1" t="s">
        <v>3606</v>
      </c>
      <c r="K3135" s="1" t="s">
        <v>12352</v>
      </c>
      <c r="L3135" s="1"/>
      <c r="M3135" s="1"/>
    </row>
    <row x14ac:dyDescent="0.25" r="3136" customHeight="1" ht="18.75">
      <c r="A3136" s="1" t="s">
        <v>3617</v>
      </c>
      <c r="B3136" s="1" t="s">
        <v>4461</v>
      </c>
      <c r="C3136" s="1" t="s">
        <v>3619</v>
      </c>
      <c r="D3136" s="1" t="s">
        <v>3601</v>
      </c>
      <c r="E3136" s="1" t="s">
        <v>3730</v>
      </c>
      <c r="F3136" s="1" t="s">
        <v>12353</v>
      </c>
      <c r="G3136" s="1" t="s">
        <v>12067</v>
      </c>
      <c r="H3136" s="1" t="s">
        <v>3604</v>
      </c>
      <c r="I3136" s="1" t="s">
        <v>12354</v>
      </c>
      <c r="J3136" s="1" t="s">
        <v>3606</v>
      </c>
      <c r="K3136" s="1" t="s">
        <v>12355</v>
      </c>
      <c r="L3136" s="1"/>
      <c r="M3136" s="1"/>
    </row>
    <row x14ac:dyDescent="0.25" r="3137" customHeight="1" ht="18.75">
      <c r="A3137" s="1" t="s">
        <v>3617</v>
      </c>
      <c r="B3137" s="1" t="s">
        <v>4461</v>
      </c>
      <c r="C3137" s="1" t="s">
        <v>3619</v>
      </c>
      <c r="D3137" s="1" t="s">
        <v>3601</v>
      </c>
      <c r="E3137" s="1" t="s">
        <v>3730</v>
      </c>
      <c r="F3137" s="1" t="s">
        <v>12356</v>
      </c>
      <c r="G3137" s="1" t="s">
        <v>12067</v>
      </c>
      <c r="H3137" s="1" t="s">
        <v>3604</v>
      </c>
      <c r="I3137" s="1" t="s">
        <v>12357</v>
      </c>
      <c r="J3137" s="1" t="s">
        <v>3606</v>
      </c>
      <c r="K3137" s="1" t="s">
        <v>12358</v>
      </c>
      <c r="L3137" s="1"/>
      <c r="M3137" s="1"/>
    </row>
    <row x14ac:dyDescent="0.25" r="3138" customHeight="1" ht="18.75">
      <c r="A3138" s="1" t="s">
        <v>3617</v>
      </c>
      <c r="B3138" s="1" t="s">
        <v>4461</v>
      </c>
      <c r="C3138" s="1" t="s">
        <v>3619</v>
      </c>
      <c r="D3138" s="1" t="s">
        <v>3601</v>
      </c>
      <c r="E3138" s="1" t="s">
        <v>3730</v>
      </c>
      <c r="F3138" s="1" t="s">
        <v>12359</v>
      </c>
      <c r="G3138" s="1" t="s">
        <v>12067</v>
      </c>
      <c r="H3138" s="1" t="s">
        <v>3604</v>
      </c>
      <c r="I3138" s="1" t="s">
        <v>12360</v>
      </c>
      <c r="J3138" s="1" t="s">
        <v>3606</v>
      </c>
      <c r="K3138" s="1" t="s">
        <v>12361</v>
      </c>
      <c r="L3138" s="1"/>
      <c r="M3138" s="1"/>
    </row>
    <row x14ac:dyDescent="0.25" r="3139" customHeight="1" ht="18.75">
      <c r="A3139" s="1" t="s">
        <v>3617</v>
      </c>
      <c r="B3139" s="1" t="s">
        <v>4461</v>
      </c>
      <c r="C3139" s="1" t="s">
        <v>3619</v>
      </c>
      <c r="D3139" s="1" t="s">
        <v>3601</v>
      </c>
      <c r="E3139" s="1" t="s">
        <v>3730</v>
      </c>
      <c r="F3139" s="1" t="s">
        <v>12362</v>
      </c>
      <c r="G3139" s="1" t="s">
        <v>12067</v>
      </c>
      <c r="H3139" s="1" t="s">
        <v>3604</v>
      </c>
      <c r="I3139" s="1" t="s">
        <v>12363</v>
      </c>
      <c r="J3139" s="1" t="s">
        <v>3606</v>
      </c>
      <c r="K3139" s="1" t="s">
        <v>12364</v>
      </c>
      <c r="L3139" s="1"/>
      <c r="M3139" s="1"/>
    </row>
    <row x14ac:dyDescent="0.25" r="3140" customHeight="1" ht="18.75">
      <c r="A3140" s="1" t="s">
        <v>3617</v>
      </c>
      <c r="B3140" s="1" t="s">
        <v>4461</v>
      </c>
      <c r="C3140" s="1" t="s">
        <v>3619</v>
      </c>
      <c r="D3140" s="1" t="s">
        <v>3601</v>
      </c>
      <c r="E3140" s="1" t="s">
        <v>3730</v>
      </c>
      <c r="F3140" s="1" t="s">
        <v>11952</v>
      </c>
      <c r="G3140" s="1" t="s">
        <v>12067</v>
      </c>
      <c r="H3140" s="1" t="s">
        <v>3604</v>
      </c>
      <c r="I3140" s="1" t="s">
        <v>12365</v>
      </c>
      <c r="J3140" s="1" t="s">
        <v>3606</v>
      </c>
      <c r="K3140" s="1" t="s">
        <v>11954</v>
      </c>
      <c r="L3140" s="1"/>
      <c r="M3140" s="1"/>
    </row>
    <row x14ac:dyDescent="0.25" r="3141" customHeight="1" ht="18.75">
      <c r="A3141" s="1" t="s">
        <v>3617</v>
      </c>
      <c r="B3141" s="1" t="s">
        <v>4461</v>
      </c>
      <c r="C3141" s="1" t="s">
        <v>3619</v>
      </c>
      <c r="D3141" s="1" t="s">
        <v>3601</v>
      </c>
      <c r="E3141" s="1" t="s">
        <v>3611</v>
      </c>
      <c r="F3141" s="1" t="s">
        <v>12366</v>
      </c>
      <c r="G3141" s="1" t="s">
        <v>12367</v>
      </c>
      <c r="H3141" s="1" t="s">
        <v>3604</v>
      </c>
      <c r="I3141" s="1" t="s">
        <v>12368</v>
      </c>
      <c r="J3141" s="1" t="s">
        <v>3606</v>
      </c>
      <c r="K3141" s="1" t="s">
        <v>12369</v>
      </c>
      <c r="L3141" s="1"/>
      <c r="M3141" s="1"/>
    </row>
    <row x14ac:dyDescent="0.25" r="3142" customHeight="1" ht="18.75">
      <c r="A3142" s="1" t="s">
        <v>3617</v>
      </c>
      <c r="B3142" s="1" t="s">
        <v>4461</v>
      </c>
      <c r="C3142" s="1" t="s">
        <v>3619</v>
      </c>
      <c r="D3142" s="1" t="s">
        <v>3601</v>
      </c>
      <c r="E3142" s="1" t="s">
        <v>3611</v>
      </c>
      <c r="F3142" s="1" t="s">
        <v>12370</v>
      </c>
      <c r="G3142" s="1" t="s">
        <v>12371</v>
      </c>
      <c r="H3142" s="1" t="s">
        <v>3604</v>
      </c>
      <c r="I3142" s="1" t="s">
        <v>12372</v>
      </c>
      <c r="J3142" s="1" t="s">
        <v>3606</v>
      </c>
      <c r="K3142" s="1" t="s">
        <v>12373</v>
      </c>
      <c r="L3142" s="1"/>
      <c r="M3142" s="1"/>
    </row>
    <row x14ac:dyDescent="0.25" r="3143" customHeight="1" ht="18.75">
      <c r="A3143" s="1" t="s">
        <v>3617</v>
      </c>
      <c r="B3143" s="1" t="s">
        <v>4461</v>
      </c>
      <c r="C3143" s="1" t="s">
        <v>3619</v>
      </c>
      <c r="D3143" s="1" t="s">
        <v>3601</v>
      </c>
      <c r="E3143" s="1" t="s">
        <v>3611</v>
      </c>
      <c r="F3143" s="1" t="s">
        <v>12374</v>
      </c>
      <c r="G3143" s="1" t="s">
        <v>12375</v>
      </c>
      <c r="H3143" s="1" t="s">
        <v>3604</v>
      </c>
      <c r="I3143" s="1" t="s">
        <v>12376</v>
      </c>
      <c r="J3143" s="1" t="s">
        <v>3606</v>
      </c>
      <c r="K3143" s="1" t="s">
        <v>12377</v>
      </c>
      <c r="L3143" s="1"/>
      <c r="M3143" s="1"/>
    </row>
    <row x14ac:dyDescent="0.25" r="3144" customHeight="1" ht="18.75">
      <c r="A3144" s="1" t="s">
        <v>3617</v>
      </c>
      <c r="B3144" s="1" t="s">
        <v>4461</v>
      </c>
      <c r="C3144" s="1" t="s">
        <v>3619</v>
      </c>
      <c r="D3144" s="1" t="s">
        <v>3601</v>
      </c>
      <c r="E3144" s="1" t="s">
        <v>3611</v>
      </c>
      <c r="F3144" s="1" t="s">
        <v>12378</v>
      </c>
      <c r="G3144" s="1" t="s">
        <v>12379</v>
      </c>
      <c r="H3144" s="1" t="s">
        <v>3604</v>
      </c>
      <c r="I3144" s="1" t="s">
        <v>12380</v>
      </c>
      <c r="J3144" s="1" t="s">
        <v>3606</v>
      </c>
      <c r="K3144" s="1" t="s">
        <v>12381</v>
      </c>
      <c r="L3144" s="1"/>
      <c r="M3144" s="1"/>
    </row>
    <row x14ac:dyDescent="0.25" r="3145" customHeight="1" ht="18.75">
      <c r="A3145" s="1" t="s">
        <v>3617</v>
      </c>
      <c r="B3145" s="1" t="s">
        <v>4461</v>
      </c>
      <c r="C3145" s="1" t="s">
        <v>3619</v>
      </c>
      <c r="D3145" s="1" t="s">
        <v>3601</v>
      </c>
      <c r="E3145" s="1" t="s">
        <v>3664</v>
      </c>
      <c r="F3145" s="1" t="s">
        <v>12382</v>
      </c>
      <c r="G3145" s="1" t="s">
        <v>12383</v>
      </c>
      <c r="H3145" s="1" t="s">
        <v>3604</v>
      </c>
      <c r="I3145" s="1" t="s">
        <v>12384</v>
      </c>
      <c r="J3145" s="1" t="s">
        <v>3606</v>
      </c>
      <c r="K3145" s="1" t="s">
        <v>12385</v>
      </c>
      <c r="L3145" s="1"/>
      <c r="M3145" s="1"/>
    </row>
    <row x14ac:dyDescent="0.25" r="3146" customHeight="1" ht="18.75">
      <c r="A3146" s="1" t="s">
        <v>3617</v>
      </c>
      <c r="B3146" s="1" t="s">
        <v>12386</v>
      </c>
      <c r="C3146" s="1" t="s">
        <v>3619</v>
      </c>
      <c r="D3146" s="1" t="s">
        <v>3601</v>
      </c>
      <c r="E3146" s="1" t="s">
        <v>3664</v>
      </c>
      <c r="F3146" s="1" t="s">
        <v>12382</v>
      </c>
      <c r="G3146" s="1" t="s">
        <v>12383</v>
      </c>
      <c r="H3146" s="1" t="s">
        <v>3604</v>
      </c>
      <c r="I3146" s="1" t="s">
        <v>12387</v>
      </c>
      <c r="J3146" s="1" t="s">
        <v>3606</v>
      </c>
      <c r="K3146" s="1" t="s">
        <v>12385</v>
      </c>
      <c r="L3146" s="1"/>
      <c r="M3146" s="1"/>
    </row>
    <row x14ac:dyDescent="0.25" r="3147" customHeight="1" ht="18.75">
      <c r="A3147" s="1" t="s">
        <v>3617</v>
      </c>
      <c r="B3147" s="1" t="s">
        <v>4461</v>
      </c>
      <c r="C3147" s="1" t="s">
        <v>3619</v>
      </c>
      <c r="D3147" s="1" t="s">
        <v>3601</v>
      </c>
      <c r="E3147" s="1" t="s">
        <v>3664</v>
      </c>
      <c r="F3147" s="1" t="s">
        <v>12388</v>
      </c>
      <c r="G3147" s="1" t="s">
        <v>12383</v>
      </c>
      <c r="H3147" s="1" t="s">
        <v>3604</v>
      </c>
      <c r="I3147" s="1" t="s">
        <v>12389</v>
      </c>
      <c r="J3147" s="1" t="s">
        <v>3606</v>
      </c>
      <c r="K3147" s="1" t="s">
        <v>12390</v>
      </c>
      <c r="L3147" s="1"/>
      <c r="M3147" s="1"/>
    </row>
    <row x14ac:dyDescent="0.25" r="3148" customHeight="1" ht="18.75">
      <c r="A3148" s="1" t="s">
        <v>3617</v>
      </c>
      <c r="B3148" s="1" t="s">
        <v>4461</v>
      </c>
      <c r="C3148" s="1" t="s">
        <v>3619</v>
      </c>
      <c r="D3148" s="1" t="s">
        <v>3601</v>
      </c>
      <c r="E3148" s="1" t="s">
        <v>3730</v>
      </c>
      <c r="F3148" s="1" t="s">
        <v>12391</v>
      </c>
      <c r="G3148" s="1" t="s">
        <v>12067</v>
      </c>
      <c r="H3148" s="1" t="s">
        <v>3604</v>
      </c>
      <c r="I3148" s="1" t="s">
        <v>12392</v>
      </c>
      <c r="J3148" s="1" t="s">
        <v>3606</v>
      </c>
      <c r="K3148" s="1" t="s">
        <v>12393</v>
      </c>
      <c r="L3148" s="1"/>
      <c r="M3148" s="1"/>
    </row>
    <row x14ac:dyDescent="0.25" r="3149" customHeight="1" ht="18.75">
      <c r="A3149" s="1" t="s">
        <v>3617</v>
      </c>
      <c r="B3149" s="1" t="s">
        <v>4461</v>
      </c>
      <c r="C3149" s="1" t="s">
        <v>3619</v>
      </c>
      <c r="D3149" s="1" t="s">
        <v>3601</v>
      </c>
      <c r="E3149" s="1" t="s">
        <v>3730</v>
      </c>
      <c r="F3149" s="1" t="s">
        <v>12394</v>
      </c>
      <c r="G3149" s="1" t="s">
        <v>12395</v>
      </c>
      <c r="H3149" s="1" t="s">
        <v>3604</v>
      </c>
      <c r="I3149" s="1" t="s">
        <v>12396</v>
      </c>
      <c r="J3149" s="1" t="s">
        <v>3606</v>
      </c>
      <c r="K3149" s="1" t="s">
        <v>12397</v>
      </c>
      <c r="L3149" s="1"/>
      <c r="M3149" s="1"/>
    </row>
    <row x14ac:dyDescent="0.25" r="3150" customHeight="1" ht="18.75">
      <c r="A3150" s="1" t="s">
        <v>3617</v>
      </c>
      <c r="B3150" s="1" t="s">
        <v>4461</v>
      </c>
      <c r="C3150" s="1" t="s">
        <v>3619</v>
      </c>
      <c r="D3150" s="1" t="s">
        <v>3601</v>
      </c>
      <c r="E3150" s="1" t="s">
        <v>3730</v>
      </c>
      <c r="F3150" s="1" t="s">
        <v>12398</v>
      </c>
      <c r="G3150" s="1" t="s">
        <v>12067</v>
      </c>
      <c r="H3150" s="1" t="s">
        <v>3604</v>
      </c>
      <c r="I3150" s="1" t="s">
        <v>12399</v>
      </c>
      <c r="J3150" s="1" t="s">
        <v>3606</v>
      </c>
      <c r="K3150" s="1" t="s">
        <v>12400</v>
      </c>
      <c r="L3150" s="1"/>
      <c r="M3150" s="1"/>
    </row>
    <row x14ac:dyDescent="0.25" r="3151" customHeight="1" ht="18.75">
      <c r="A3151" s="1" t="s">
        <v>3617</v>
      </c>
      <c r="B3151" s="1" t="s">
        <v>4461</v>
      </c>
      <c r="C3151" s="1" t="s">
        <v>3619</v>
      </c>
      <c r="D3151" s="1" t="s">
        <v>3601</v>
      </c>
      <c r="E3151" s="1" t="s">
        <v>3664</v>
      </c>
      <c r="F3151" s="1" t="s">
        <v>12401</v>
      </c>
      <c r="G3151" s="1" t="s">
        <v>12402</v>
      </c>
      <c r="H3151" s="1" t="s">
        <v>3604</v>
      </c>
      <c r="I3151" s="1" t="s">
        <v>12403</v>
      </c>
      <c r="J3151" s="1" t="s">
        <v>3606</v>
      </c>
      <c r="K3151" s="1" t="s">
        <v>12404</v>
      </c>
      <c r="L3151" s="1"/>
      <c r="M3151" s="1"/>
    </row>
    <row x14ac:dyDescent="0.25" r="3152" customHeight="1" ht="18.75">
      <c r="A3152" s="1" t="s">
        <v>3617</v>
      </c>
      <c r="B3152" s="1" t="s">
        <v>4461</v>
      </c>
      <c r="C3152" s="1" t="s">
        <v>3619</v>
      </c>
      <c r="D3152" s="1" t="s">
        <v>3601</v>
      </c>
      <c r="E3152" s="1" t="s">
        <v>3664</v>
      </c>
      <c r="F3152" s="1" t="s">
        <v>12405</v>
      </c>
      <c r="G3152" s="1" t="s">
        <v>12406</v>
      </c>
      <c r="H3152" s="1" t="s">
        <v>3604</v>
      </c>
      <c r="I3152" s="1" t="s">
        <v>12407</v>
      </c>
      <c r="J3152" s="1" t="s">
        <v>3606</v>
      </c>
      <c r="K3152" s="1" t="s">
        <v>12408</v>
      </c>
      <c r="L3152" s="1"/>
      <c r="M3152" s="1"/>
    </row>
    <row x14ac:dyDescent="0.25" r="3153" customHeight="1" ht="18.75">
      <c r="A3153" s="1" t="s">
        <v>3617</v>
      </c>
      <c r="B3153" s="1" t="s">
        <v>4461</v>
      </c>
      <c r="C3153" s="1" t="s">
        <v>3619</v>
      </c>
      <c r="D3153" s="1" t="s">
        <v>3601</v>
      </c>
      <c r="E3153" s="1" t="s">
        <v>3981</v>
      </c>
      <c r="F3153" s="1" t="s">
        <v>12409</v>
      </c>
      <c r="G3153" s="1" t="s">
        <v>12067</v>
      </c>
      <c r="H3153" s="1" t="s">
        <v>3604</v>
      </c>
      <c r="I3153" s="1" t="s">
        <v>12410</v>
      </c>
      <c r="J3153" s="1" t="s">
        <v>3606</v>
      </c>
      <c r="K3153" s="1" t="s">
        <v>12411</v>
      </c>
      <c r="L3153" s="1"/>
      <c r="M3153" s="1"/>
    </row>
    <row x14ac:dyDescent="0.25" r="3154" customHeight="1" ht="18.75">
      <c r="A3154" s="1" t="s">
        <v>3617</v>
      </c>
      <c r="B3154" s="1" t="s">
        <v>4461</v>
      </c>
      <c r="C3154" s="1" t="s">
        <v>3619</v>
      </c>
      <c r="D3154" s="1" t="s">
        <v>3601</v>
      </c>
      <c r="E3154" s="1" t="s">
        <v>3981</v>
      </c>
      <c r="F3154" s="1" t="s">
        <v>12412</v>
      </c>
      <c r="G3154" s="1" t="s">
        <v>12413</v>
      </c>
      <c r="H3154" s="1" t="s">
        <v>3604</v>
      </c>
      <c r="I3154" s="1" t="s">
        <v>12414</v>
      </c>
      <c r="J3154" s="1" t="s">
        <v>3606</v>
      </c>
      <c r="K3154" s="1" t="s">
        <v>12415</v>
      </c>
      <c r="L3154" s="1"/>
      <c r="M3154" s="1"/>
    </row>
    <row x14ac:dyDescent="0.25" r="3155" customHeight="1" ht="18.75">
      <c r="A3155" s="1" t="s">
        <v>3617</v>
      </c>
      <c r="B3155" s="1" t="s">
        <v>4461</v>
      </c>
      <c r="C3155" s="1" t="s">
        <v>3619</v>
      </c>
      <c r="D3155" s="1" t="s">
        <v>3601</v>
      </c>
      <c r="E3155" s="1" t="s">
        <v>3981</v>
      </c>
      <c r="F3155" s="1" t="s">
        <v>12416</v>
      </c>
      <c r="G3155" s="1" t="s">
        <v>12417</v>
      </c>
      <c r="H3155" s="1" t="s">
        <v>3604</v>
      </c>
      <c r="I3155" s="1" t="s">
        <v>12418</v>
      </c>
      <c r="J3155" s="1" t="s">
        <v>3606</v>
      </c>
      <c r="K3155" s="1" t="s">
        <v>12419</v>
      </c>
      <c r="L3155" s="1"/>
      <c r="M3155" s="1"/>
    </row>
    <row x14ac:dyDescent="0.25" r="3156" customHeight="1" ht="18.75">
      <c r="A3156" s="1" t="s">
        <v>3617</v>
      </c>
      <c r="B3156" s="1" t="s">
        <v>4461</v>
      </c>
      <c r="C3156" s="1" t="s">
        <v>3619</v>
      </c>
      <c r="D3156" s="1" t="s">
        <v>3601</v>
      </c>
      <c r="E3156" s="1" t="s">
        <v>3981</v>
      </c>
      <c r="F3156" s="1" t="s">
        <v>12420</v>
      </c>
      <c r="G3156" s="1" t="s">
        <v>12421</v>
      </c>
      <c r="H3156" s="1" t="s">
        <v>3604</v>
      </c>
      <c r="I3156" s="1" t="s">
        <v>12422</v>
      </c>
      <c r="J3156" s="1" t="s">
        <v>3606</v>
      </c>
      <c r="K3156" s="1" t="s">
        <v>12423</v>
      </c>
      <c r="L3156" s="1"/>
      <c r="M3156" s="1"/>
    </row>
    <row x14ac:dyDescent="0.25" r="3157" customHeight="1" ht="18.75">
      <c r="A3157" s="1" t="s">
        <v>3617</v>
      </c>
      <c r="B3157" s="1" t="s">
        <v>4461</v>
      </c>
      <c r="C3157" s="1" t="s">
        <v>3619</v>
      </c>
      <c r="D3157" s="1" t="s">
        <v>3601</v>
      </c>
      <c r="E3157" s="1" t="s">
        <v>3981</v>
      </c>
      <c r="F3157" s="1" t="s">
        <v>12424</v>
      </c>
      <c r="G3157" s="1" t="s">
        <v>12425</v>
      </c>
      <c r="H3157" s="1" t="s">
        <v>3604</v>
      </c>
      <c r="I3157" s="1" t="s">
        <v>12426</v>
      </c>
      <c r="J3157" s="1" t="s">
        <v>3606</v>
      </c>
      <c r="K3157" s="1" t="s">
        <v>12427</v>
      </c>
      <c r="L3157" s="1"/>
      <c r="M3157" s="1"/>
    </row>
    <row x14ac:dyDescent="0.25" r="3158" customHeight="1" ht="18.75">
      <c r="A3158" s="1" t="s">
        <v>3617</v>
      </c>
      <c r="B3158" s="1" t="s">
        <v>4461</v>
      </c>
      <c r="C3158" s="1" t="s">
        <v>3619</v>
      </c>
      <c r="D3158" s="1" t="s">
        <v>3601</v>
      </c>
      <c r="E3158" s="1" t="s">
        <v>3981</v>
      </c>
      <c r="F3158" s="1" t="s">
        <v>12428</v>
      </c>
      <c r="G3158" s="1" t="s">
        <v>12429</v>
      </c>
      <c r="H3158" s="1" t="s">
        <v>3604</v>
      </c>
      <c r="I3158" s="1" t="s">
        <v>12430</v>
      </c>
      <c r="J3158" s="1" t="s">
        <v>3606</v>
      </c>
      <c r="K3158" s="1" t="s">
        <v>12431</v>
      </c>
      <c r="L3158" s="1"/>
      <c r="M3158" s="1"/>
    </row>
    <row x14ac:dyDescent="0.25" r="3159" customHeight="1" ht="18.75">
      <c r="A3159" s="1" t="s">
        <v>3617</v>
      </c>
      <c r="B3159" s="1" t="s">
        <v>4461</v>
      </c>
      <c r="C3159" s="1" t="s">
        <v>3619</v>
      </c>
      <c r="D3159" s="1" t="s">
        <v>3601</v>
      </c>
      <c r="E3159" s="1" t="s">
        <v>3981</v>
      </c>
      <c r="F3159" s="1" t="s">
        <v>12432</v>
      </c>
      <c r="G3159" s="1" t="s">
        <v>12433</v>
      </c>
      <c r="H3159" s="1" t="s">
        <v>3604</v>
      </c>
      <c r="I3159" s="1" t="s">
        <v>12434</v>
      </c>
      <c r="J3159" s="1" t="s">
        <v>3606</v>
      </c>
      <c r="K3159" s="1" t="s">
        <v>12435</v>
      </c>
      <c r="L3159" s="1"/>
      <c r="M3159" s="1"/>
    </row>
    <row x14ac:dyDescent="0.25" r="3160" customHeight="1" ht="18.75">
      <c r="A3160" s="1" t="s">
        <v>3617</v>
      </c>
      <c r="B3160" s="1" t="s">
        <v>4461</v>
      </c>
      <c r="C3160" s="1" t="s">
        <v>3619</v>
      </c>
      <c r="D3160" s="1" t="s">
        <v>3601</v>
      </c>
      <c r="E3160" s="1" t="s">
        <v>3981</v>
      </c>
      <c r="F3160" s="1" t="s">
        <v>12436</v>
      </c>
      <c r="G3160" s="1" t="s">
        <v>12437</v>
      </c>
      <c r="H3160" s="1" t="s">
        <v>3604</v>
      </c>
      <c r="I3160" s="1" t="s">
        <v>12438</v>
      </c>
      <c r="J3160" s="1" t="s">
        <v>3606</v>
      </c>
      <c r="K3160" s="1" t="s">
        <v>12439</v>
      </c>
      <c r="L3160" s="1"/>
      <c r="M3160" s="1"/>
    </row>
    <row x14ac:dyDescent="0.25" r="3161" customHeight="1" ht="18.75">
      <c r="A3161" s="1" t="s">
        <v>3617</v>
      </c>
      <c r="B3161" s="1" t="s">
        <v>4461</v>
      </c>
      <c r="C3161" s="1" t="s">
        <v>3619</v>
      </c>
      <c r="D3161" s="1" t="s">
        <v>3601</v>
      </c>
      <c r="E3161" s="1" t="s">
        <v>3981</v>
      </c>
      <c r="F3161" s="1" t="s">
        <v>12440</v>
      </c>
      <c r="G3161" s="1" t="s">
        <v>12441</v>
      </c>
      <c r="H3161" s="1" t="s">
        <v>3604</v>
      </c>
      <c r="I3161" s="1" t="s">
        <v>12442</v>
      </c>
      <c r="J3161" s="1" t="s">
        <v>3606</v>
      </c>
      <c r="K3161" s="1" t="s">
        <v>12443</v>
      </c>
      <c r="L3161" s="1"/>
      <c r="M3161" s="1"/>
    </row>
    <row x14ac:dyDescent="0.25" r="3162" customHeight="1" ht="18.75">
      <c r="A3162" s="1" t="s">
        <v>3617</v>
      </c>
      <c r="B3162" s="1" t="s">
        <v>4461</v>
      </c>
      <c r="C3162" s="1" t="s">
        <v>3619</v>
      </c>
      <c r="D3162" s="1" t="s">
        <v>3601</v>
      </c>
      <c r="E3162" s="1" t="s">
        <v>3730</v>
      </c>
      <c r="F3162" s="1" t="s">
        <v>12444</v>
      </c>
      <c r="G3162" s="1" t="s">
        <v>12445</v>
      </c>
      <c r="H3162" s="1" t="s">
        <v>3604</v>
      </c>
      <c r="I3162" s="1" t="s">
        <v>12446</v>
      </c>
      <c r="J3162" s="1" t="s">
        <v>3606</v>
      </c>
      <c r="K3162" s="1" t="s">
        <v>12447</v>
      </c>
      <c r="L3162" s="1"/>
      <c r="M3162" s="1"/>
    </row>
    <row x14ac:dyDescent="0.25" r="3163" customHeight="1" ht="18.75">
      <c r="A3163" s="1" t="s">
        <v>3617</v>
      </c>
      <c r="B3163" s="1" t="s">
        <v>4461</v>
      </c>
      <c r="C3163" s="1" t="s">
        <v>3619</v>
      </c>
      <c r="D3163" s="1" t="s">
        <v>3601</v>
      </c>
      <c r="E3163" s="1" t="s">
        <v>3664</v>
      </c>
      <c r="F3163" s="1" t="s">
        <v>12448</v>
      </c>
      <c r="G3163" s="1" t="s">
        <v>12406</v>
      </c>
      <c r="H3163" s="1" t="s">
        <v>3604</v>
      </c>
      <c r="I3163" s="1" t="s">
        <v>12449</v>
      </c>
      <c r="J3163" s="1" t="s">
        <v>3606</v>
      </c>
      <c r="K3163" s="1" t="s">
        <v>11977</v>
      </c>
      <c r="L3163" s="1"/>
      <c r="M3163" s="1"/>
    </row>
    <row x14ac:dyDescent="0.25" r="3164" customHeight="1" ht="18.75">
      <c r="A3164" s="1" t="s">
        <v>3617</v>
      </c>
      <c r="B3164" s="1" t="s">
        <v>4461</v>
      </c>
      <c r="C3164" s="1" t="s">
        <v>3619</v>
      </c>
      <c r="D3164" s="1" t="s">
        <v>3601</v>
      </c>
      <c r="E3164" s="1" t="s">
        <v>3664</v>
      </c>
      <c r="F3164" s="1" t="s">
        <v>12450</v>
      </c>
      <c r="G3164" s="1" t="s">
        <v>12383</v>
      </c>
      <c r="H3164" s="1" t="s">
        <v>3604</v>
      </c>
      <c r="I3164" s="1" t="s">
        <v>12451</v>
      </c>
      <c r="J3164" s="1" t="s">
        <v>3606</v>
      </c>
      <c r="K3164" s="1" t="s">
        <v>11977</v>
      </c>
      <c r="L3164" s="1"/>
      <c r="M3164" s="1"/>
    </row>
    <row x14ac:dyDescent="0.25" r="3165" customHeight="1" ht="18.75">
      <c r="A3165" s="1" t="s">
        <v>3617</v>
      </c>
      <c r="B3165" s="1" t="s">
        <v>4461</v>
      </c>
      <c r="C3165" s="1" t="s">
        <v>3619</v>
      </c>
      <c r="D3165" s="1" t="s">
        <v>3601</v>
      </c>
      <c r="E3165" s="1" t="s">
        <v>3730</v>
      </c>
      <c r="F3165" s="1" t="s">
        <v>12452</v>
      </c>
      <c r="G3165" s="1" t="s">
        <v>12067</v>
      </c>
      <c r="H3165" s="1" t="s">
        <v>3604</v>
      </c>
      <c r="I3165" s="1" t="s">
        <v>12453</v>
      </c>
      <c r="J3165" s="1" t="s">
        <v>3606</v>
      </c>
      <c r="K3165" s="1" t="s">
        <v>12454</v>
      </c>
      <c r="L3165" s="1"/>
      <c r="M3165" s="1"/>
    </row>
    <row x14ac:dyDescent="0.25" r="3166" customHeight="1" ht="18.75">
      <c r="A3166" s="1" t="s">
        <v>3617</v>
      </c>
      <c r="B3166" s="1" t="s">
        <v>4461</v>
      </c>
      <c r="C3166" s="1" t="s">
        <v>3619</v>
      </c>
      <c r="D3166" s="1" t="s">
        <v>3601</v>
      </c>
      <c r="E3166" s="1" t="s">
        <v>3730</v>
      </c>
      <c r="F3166" s="1" t="s">
        <v>12455</v>
      </c>
      <c r="G3166" s="1" t="s">
        <v>12067</v>
      </c>
      <c r="H3166" s="1" t="s">
        <v>3604</v>
      </c>
      <c r="I3166" s="1" t="s">
        <v>12456</v>
      </c>
      <c r="J3166" s="1" t="s">
        <v>3606</v>
      </c>
      <c r="K3166" s="1" t="s">
        <v>12457</v>
      </c>
      <c r="L3166" s="1"/>
      <c r="M3166" s="1"/>
    </row>
    <row x14ac:dyDescent="0.25" r="3167" customHeight="1" ht="18.75">
      <c r="A3167" s="1" t="s">
        <v>3617</v>
      </c>
      <c r="B3167" s="1" t="s">
        <v>4461</v>
      </c>
      <c r="C3167" s="1" t="s">
        <v>3619</v>
      </c>
      <c r="D3167" s="1" t="s">
        <v>3601</v>
      </c>
      <c r="E3167" s="1" t="s">
        <v>3730</v>
      </c>
      <c r="F3167" s="1" t="s">
        <v>12458</v>
      </c>
      <c r="G3167" s="1" t="s">
        <v>12067</v>
      </c>
      <c r="H3167" s="1" t="s">
        <v>3604</v>
      </c>
      <c r="I3167" s="1" t="s">
        <v>12459</v>
      </c>
      <c r="J3167" s="1" t="s">
        <v>3606</v>
      </c>
      <c r="K3167" s="1" t="s">
        <v>12460</v>
      </c>
      <c r="L3167" s="1"/>
      <c r="M3167" s="1"/>
    </row>
    <row x14ac:dyDescent="0.25" r="3168" customHeight="1" ht="18.75">
      <c r="A3168" s="1" t="s">
        <v>3617</v>
      </c>
      <c r="B3168" s="1" t="s">
        <v>4461</v>
      </c>
      <c r="C3168" s="1" t="s">
        <v>3619</v>
      </c>
      <c r="D3168" s="1" t="s">
        <v>3601</v>
      </c>
      <c r="E3168" s="1" t="s">
        <v>3730</v>
      </c>
      <c r="F3168" s="1" t="s">
        <v>12461</v>
      </c>
      <c r="G3168" s="1" t="s">
        <v>12067</v>
      </c>
      <c r="H3168" s="1" t="s">
        <v>3604</v>
      </c>
      <c r="I3168" s="1" t="s">
        <v>12462</v>
      </c>
      <c r="J3168" s="1" t="s">
        <v>3606</v>
      </c>
      <c r="K3168" s="1" t="s">
        <v>12463</v>
      </c>
      <c r="L3168" s="1"/>
      <c r="M3168" s="1"/>
    </row>
    <row x14ac:dyDescent="0.25" r="3169" customHeight="1" ht="18.75">
      <c r="A3169" s="1" t="s">
        <v>3617</v>
      </c>
      <c r="B3169" s="1" t="s">
        <v>4461</v>
      </c>
      <c r="C3169" s="1" t="s">
        <v>3619</v>
      </c>
      <c r="D3169" s="1" t="s">
        <v>3601</v>
      </c>
      <c r="E3169" s="1" t="s">
        <v>3730</v>
      </c>
      <c r="F3169" s="1" t="s">
        <v>12464</v>
      </c>
      <c r="G3169" s="1" t="s">
        <v>12067</v>
      </c>
      <c r="H3169" s="1" t="s">
        <v>3604</v>
      </c>
      <c r="I3169" s="1" t="s">
        <v>12465</v>
      </c>
      <c r="J3169" s="1" t="s">
        <v>3606</v>
      </c>
      <c r="K3169" s="1" t="s">
        <v>12466</v>
      </c>
      <c r="L3169" s="1"/>
      <c r="M3169" s="1"/>
    </row>
    <row x14ac:dyDescent="0.25" r="3170" customHeight="1" ht="18.75">
      <c r="A3170" s="1" t="s">
        <v>3617</v>
      </c>
      <c r="B3170" s="1" t="s">
        <v>4461</v>
      </c>
      <c r="C3170" s="1" t="s">
        <v>3619</v>
      </c>
      <c r="D3170" s="1" t="s">
        <v>3601</v>
      </c>
      <c r="E3170" s="1" t="s">
        <v>3730</v>
      </c>
      <c r="F3170" s="1" t="s">
        <v>12467</v>
      </c>
      <c r="G3170" s="1" t="s">
        <v>12067</v>
      </c>
      <c r="H3170" s="1" t="s">
        <v>3604</v>
      </c>
      <c r="I3170" s="1" t="s">
        <v>12468</v>
      </c>
      <c r="J3170" s="1" t="s">
        <v>3606</v>
      </c>
      <c r="K3170" s="1" t="s">
        <v>12469</v>
      </c>
      <c r="L3170" s="1"/>
      <c r="M3170" s="1"/>
    </row>
    <row x14ac:dyDescent="0.25" r="3171" customHeight="1" ht="18.75">
      <c r="A3171" s="1" t="s">
        <v>3617</v>
      </c>
      <c r="B3171" s="1" t="s">
        <v>4461</v>
      </c>
      <c r="C3171" s="1" t="s">
        <v>3619</v>
      </c>
      <c r="D3171" s="1" t="s">
        <v>3601</v>
      </c>
      <c r="E3171" s="1" t="s">
        <v>3611</v>
      </c>
      <c r="F3171" s="1" t="s">
        <v>12470</v>
      </c>
      <c r="G3171" s="1" t="s">
        <v>12367</v>
      </c>
      <c r="H3171" s="1" t="s">
        <v>3604</v>
      </c>
      <c r="I3171" s="1" t="s">
        <v>12471</v>
      </c>
      <c r="J3171" s="1" t="s">
        <v>3615</v>
      </c>
      <c r="K3171" s="1" t="s">
        <v>7997</v>
      </c>
      <c r="L3171" s="1"/>
      <c r="M3171" s="1"/>
    </row>
    <row x14ac:dyDescent="0.25" r="3172" customHeight="1" ht="18.75">
      <c r="A3172" s="1" t="s">
        <v>3617</v>
      </c>
      <c r="B3172" s="1" t="s">
        <v>4461</v>
      </c>
      <c r="C3172" s="1" t="s">
        <v>3619</v>
      </c>
      <c r="D3172" s="1" t="s">
        <v>3601</v>
      </c>
      <c r="E3172" s="1" t="s">
        <v>3611</v>
      </c>
      <c r="F3172" s="1" t="s">
        <v>12472</v>
      </c>
      <c r="G3172" s="1" t="s">
        <v>12371</v>
      </c>
      <c r="H3172" s="1" t="s">
        <v>3604</v>
      </c>
      <c r="I3172" s="1" t="s">
        <v>12473</v>
      </c>
      <c r="J3172" s="1" t="s">
        <v>3615</v>
      </c>
      <c r="K3172" s="1" t="s">
        <v>7997</v>
      </c>
      <c r="L3172" s="1"/>
      <c r="M3172" s="1"/>
    </row>
    <row x14ac:dyDescent="0.25" r="3173" customHeight="1" ht="18.75">
      <c r="A3173" s="1" t="s">
        <v>3617</v>
      </c>
      <c r="B3173" s="1" t="s">
        <v>4461</v>
      </c>
      <c r="C3173" s="1" t="s">
        <v>3619</v>
      </c>
      <c r="D3173" s="1" t="s">
        <v>3601</v>
      </c>
      <c r="E3173" s="1" t="s">
        <v>3611</v>
      </c>
      <c r="F3173" s="1" t="s">
        <v>12474</v>
      </c>
      <c r="G3173" s="1" t="s">
        <v>12375</v>
      </c>
      <c r="H3173" s="1" t="s">
        <v>3604</v>
      </c>
      <c r="I3173" s="1" t="s">
        <v>12475</v>
      </c>
      <c r="J3173" s="1" t="s">
        <v>3615</v>
      </c>
      <c r="K3173" s="1" t="s">
        <v>7997</v>
      </c>
      <c r="L3173" s="1"/>
      <c r="M3173" s="1"/>
    </row>
    <row x14ac:dyDescent="0.25" r="3174" customHeight="1" ht="18.75">
      <c r="A3174" s="1" t="s">
        <v>3617</v>
      </c>
      <c r="B3174" s="1" t="s">
        <v>4461</v>
      </c>
      <c r="C3174" s="1" t="s">
        <v>3619</v>
      </c>
      <c r="D3174" s="1" t="s">
        <v>3601</v>
      </c>
      <c r="E3174" s="1" t="s">
        <v>3611</v>
      </c>
      <c r="F3174" s="1" t="s">
        <v>12476</v>
      </c>
      <c r="G3174" s="1" t="s">
        <v>12379</v>
      </c>
      <c r="H3174" s="1" t="s">
        <v>3604</v>
      </c>
      <c r="I3174" s="1" t="s">
        <v>12477</v>
      </c>
      <c r="J3174" s="1" t="s">
        <v>3615</v>
      </c>
      <c r="K3174" s="1" t="s">
        <v>7997</v>
      </c>
      <c r="L3174" s="1"/>
      <c r="M3174" s="1"/>
    </row>
    <row x14ac:dyDescent="0.25" r="3175" customHeight="1" ht="18.75">
      <c r="A3175" s="1" t="s">
        <v>3617</v>
      </c>
      <c r="B3175" s="1" t="s">
        <v>4461</v>
      </c>
      <c r="C3175" s="1" t="s">
        <v>3619</v>
      </c>
      <c r="D3175" s="1" t="s">
        <v>3601</v>
      </c>
      <c r="E3175" s="1" t="s">
        <v>3664</v>
      </c>
      <c r="F3175" s="1" t="s">
        <v>12478</v>
      </c>
      <c r="G3175" s="1" t="s">
        <v>12383</v>
      </c>
      <c r="H3175" s="1" t="s">
        <v>3604</v>
      </c>
      <c r="I3175" s="1" t="s">
        <v>12479</v>
      </c>
      <c r="J3175" s="1" t="s">
        <v>3615</v>
      </c>
      <c r="K3175" s="1" t="s">
        <v>7997</v>
      </c>
      <c r="L3175" s="1"/>
      <c r="M3175" s="1"/>
    </row>
    <row x14ac:dyDescent="0.25" r="3176" customHeight="1" ht="18.75">
      <c r="A3176" s="1" t="s">
        <v>3617</v>
      </c>
      <c r="B3176" s="1" t="s">
        <v>11958</v>
      </c>
      <c r="C3176" s="1" t="s">
        <v>3619</v>
      </c>
      <c r="D3176" s="1" t="s">
        <v>3610</v>
      </c>
      <c r="E3176" s="1" t="s">
        <v>3730</v>
      </c>
      <c r="F3176" s="1" t="s">
        <v>12480</v>
      </c>
      <c r="G3176" s="1" t="s">
        <v>5217</v>
      </c>
      <c r="H3176" s="1" t="s">
        <v>3604</v>
      </c>
      <c r="I3176" s="1" t="s">
        <v>12481</v>
      </c>
      <c r="J3176" s="1" t="s">
        <v>3615</v>
      </c>
      <c r="K3176" s="1" t="s">
        <v>3854</v>
      </c>
      <c r="L3176" s="1"/>
      <c r="M3176" s="1"/>
    </row>
    <row x14ac:dyDescent="0.25" r="3177" customHeight="1" ht="18.75">
      <c r="A3177" s="1" t="s">
        <v>3617</v>
      </c>
      <c r="B3177" s="1" t="s">
        <v>11958</v>
      </c>
      <c r="C3177" s="1" t="s">
        <v>3619</v>
      </c>
      <c r="D3177" s="1" t="s">
        <v>3610</v>
      </c>
      <c r="E3177" s="1" t="s">
        <v>3730</v>
      </c>
      <c r="F3177" s="1" t="s">
        <v>12482</v>
      </c>
      <c r="G3177" s="1" t="s">
        <v>5217</v>
      </c>
      <c r="H3177" s="1" t="s">
        <v>3604</v>
      </c>
      <c r="I3177" s="1" t="s">
        <v>12483</v>
      </c>
      <c r="J3177" s="1" t="s">
        <v>3606</v>
      </c>
      <c r="K3177" s="1" t="s">
        <v>3857</v>
      </c>
      <c r="L3177" s="1"/>
      <c r="M3177" s="1"/>
    </row>
    <row x14ac:dyDescent="0.25" r="3178" customHeight="1" ht="18.75">
      <c r="A3178" s="1" t="s">
        <v>3617</v>
      </c>
      <c r="B3178" s="1" t="s">
        <v>11958</v>
      </c>
      <c r="C3178" s="1" t="s">
        <v>3619</v>
      </c>
      <c r="D3178" s="1" t="s">
        <v>3610</v>
      </c>
      <c r="E3178" s="1" t="s">
        <v>3730</v>
      </c>
      <c r="F3178" s="1" t="s">
        <v>12484</v>
      </c>
      <c r="G3178" s="1" t="s">
        <v>5217</v>
      </c>
      <c r="H3178" s="1" t="s">
        <v>3604</v>
      </c>
      <c r="I3178" s="1" t="s">
        <v>12485</v>
      </c>
      <c r="J3178" s="1" t="s">
        <v>3606</v>
      </c>
      <c r="K3178" s="1" t="s">
        <v>3860</v>
      </c>
      <c r="L3178" s="1"/>
      <c r="M3178" s="1"/>
    </row>
    <row x14ac:dyDescent="0.25" r="3179" customHeight="1" ht="18.75">
      <c r="A3179" s="1" t="s">
        <v>3617</v>
      </c>
      <c r="B3179" s="1" t="s">
        <v>11958</v>
      </c>
      <c r="C3179" s="1" t="s">
        <v>3619</v>
      </c>
      <c r="D3179" s="1" t="s">
        <v>3610</v>
      </c>
      <c r="E3179" s="1" t="s">
        <v>3730</v>
      </c>
      <c r="F3179" s="1" t="s">
        <v>12486</v>
      </c>
      <c r="G3179" s="1" t="s">
        <v>5217</v>
      </c>
      <c r="H3179" s="1" t="s">
        <v>3604</v>
      </c>
      <c r="I3179" s="1" t="s">
        <v>12487</v>
      </c>
      <c r="J3179" s="1" t="s">
        <v>3606</v>
      </c>
      <c r="K3179" s="1" t="s">
        <v>12488</v>
      </c>
      <c r="L3179" s="1"/>
      <c r="M3179" s="1"/>
    </row>
    <row x14ac:dyDescent="0.25" r="3180" customHeight="1" ht="18.75">
      <c r="A3180" s="1" t="s">
        <v>3617</v>
      </c>
      <c r="B3180" s="1" t="s">
        <v>11958</v>
      </c>
      <c r="C3180" s="1" t="s">
        <v>3619</v>
      </c>
      <c r="D3180" s="1" t="s">
        <v>3610</v>
      </c>
      <c r="E3180" s="1" t="s">
        <v>3730</v>
      </c>
      <c r="F3180" s="1" t="s">
        <v>12489</v>
      </c>
      <c r="G3180" s="1" t="s">
        <v>5217</v>
      </c>
      <c r="H3180" s="1" t="s">
        <v>3604</v>
      </c>
      <c r="I3180" s="1" t="s">
        <v>12490</v>
      </c>
      <c r="J3180" s="1" t="s">
        <v>3615</v>
      </c>
      <c r="K3180" s="1" t="s">
        <v>12491</v>
      </c>
      <c r="L3180" s="1"/>
      <c r="M3180" s="1"/>
    </row>
    <row x14ac:dyDescent="0.25" r="3181" customHeight="1" ht="18.75">
      <c r="A3181" s="1" t="s">
        <v>3617</v>
      </c>
      <c r="B3181" s="1" t="s">
        <v>11958</v>
      </c>
      <c r="C3181" s="1" t="s">
        <v>3619</v>
      </c>
      <c r="D3181" s="1" t="s">
        <v>3610</v>
      </c>
      <c r="E3181" s="1" t="s">
        <v>3730</v>
      </c>
      <c r="F3181" s="1" t="s">
        <v>12492</v>
      </c>
      <c r="G3181" s="1" t="s">
        <v>5217</v>
      </c>
      <c r="H3181" s="1" t="s">
        <v>3604</v>
      </c>
      <c r="I3181" s="1" t="s">
        <v>12493</v>
      </c>
      <c r="J3181" s="1" t="s">
        <v>3606</v>
      </c>
      <c r="K3181" s="1" t="s">
        <v>12494</v>
      </c>
      <c r="L3181" s="1"/>
      <c r="M3181" s="1"/>
    </row>
    <row x14ac:dyDescent="0.25" r="3182" customHeight="1" ht="18.75">
      <c r="A3182" s="1" t="s">
        <v>3617</v>
      </c>
      <c r="B3182" s="1" t="s">
        <v>11958</v>
      </c>
      <c r="C3182" s="1" t="s">
        <v>3619</v>
      </c>
      <c r="D3182" s="1" t="s">
        <v>7891</v>
      </c>
      <c r="E3182" s="1" t="s">
        <v>3730</v>
      </c>
      <c r="F3182" s="1" t="s">
        <v>12495</v>
      </c>
      <c r="G3182" s="1" t="s">
        <v>5217</v>
      </c>
      <c r="H3182" s="1" t="s">
        <v>3604</v>
      </c>
      <c r="I3182" s="1" t="s">
        <v>12496</v>
      </c>
      <c r="J3182" s="1" t="s">
        <v>3606</v>
      </c>
      <c r="K3182" s="1" t="s">
        <v>12497</v>
      </c>
      <c r="L3182" s="1"/>
      <c r="M3182" s="1"/>
    </row>
    <row x14ac:dyDescent="0.25" r="3183" customHeight="1" ht="18.75">
      <c r="A3183" s="1" t="s">
        <v>3617</v>
      </c>
      <c r="B3183" s="1" t="s">
        <v>11958</v>
      </c>
      <c r="C3183" s="1" t="s">
        <v>3619</v>
      </c>
      <c r="D3183" s="1" t="s">
        <v>7891</v>
      </c>
      <c r="E3183" s="1" t="s">
        <v>3730</v>
      </c>
      <c r="F3183" s="1" t="s">
        <v>12498</v>
      </c>
      <c r="G3183" s="1" t="s">
        <v>5217</v>
      </c>
      <c r="H3183" s="1" t="s">
        <v>3604</v>
      </c>
      <c r="I3183" s="1" t="s">
        <v>12499</v>
      </c>
      <c r="J3183" s="1" t="s">
        <v>3606</v>
      </c>
      <c r="K3183" s="1" t="s">
        <v>12500</v>
      </c>
      <c r="L3183" s="1"/>
      <c r="M3183" s="1"/>
    </row>
    <row x14ac:dyDescent="0.25" r="3184" customHeight="1" ht="18.75">
      <c r="A3184" s="1" t="s">
        <v>3617</v>
      </c>
      <c r="B3184" s="1" t="s">
        <v>11958</v>
      </c>
      <c r="C3184" s="1" t="s">
        <v>3619</v>
      </c>
      <c r="D3184" s="1" t="s">
        <v>7891</v>
      </c>
      <c r="E3184" s="1" t="s">
        <v>3730</v>
      </c>
      <c r="F3184" s="1" t="s">
        <v>12501</v>
      </c>
      <c r="G3184" s="1" t="s">
        <v>5217</v>
      </c>
      <c r="H3184" s="1" t="s">
        <v>3604</v>
      </c>
      <c r="I3184" s="1" t="s">
        <v>12502</v>
      </c>
      <c r="J3184" s="1" t="s">
        <v>3606</v>
      </c>
      <c r="K3184" s="1" t="s">
        <v>12503</v>
      </c>
      <c r="L3184" s="1"/>
      <c r="M3184" s="1"/>
    </row>
    <row x14ac:dyDescent="0.25" r="3185" customHeight="1" ht="18.75">
      <c r="A3185" s="1" t="s">
        <v>3617</v>
      </c>
      <c r="B3185" s="1" t="s">
        <v>11958</v>
      </c>
      <c r="C3185" s="1" t="s">
        <v>3619</v>
      </c>
      <c r="D3185" s="1" t="s">
        <v>7847</v>
      </c>
      <c r="E3185" s="1" t="s">
        <v>3981</v>
      </c>
      <c r="F3185" s="1" t="s">
        <v>12504</v>
      </c>
      <c r="G3185" s="1" t="s">
        <v>12505</v>
      </c>
      <c r="H3185" s="1" t="s">
        <v>3604</v>
      </c>
      <c r="I3185" s="1" t="s">
        <v>12506</v>
      </c>
      <c r="J3185" s="1" t="s">
        <v>3606</v>
      </c>
      <c r="K3185" s="1" t="s">
        <v>12507</v>
      </c>
      <c r="L3185" s="1"/>
      <c r="M3185" s="1"/>
    </row>
    <row x14ac:dyDescent="0.25" r="3186" customHeight="1" ht="18.75">
      <c r="A3186" s="1" t="s">
        <v>3617</v>
      </c>
      <c r="B3186" s="1" t="s">
        <v>11958</v>
      </c>
      <c r="C3186" s="1" t="s">
        <v>3619</v>
      </c>
      <c r="D3186" s="1" t="s">
        <v>3610</v>
      </c>
      <c r="E3186" s="1" t="s">
        <v>3981</v>
      </c>
      <c r="F3186" s="1" t="s">
        <v>12508</v>
      </c>
      <c r="G3186" s="1" t="s">
        <v>8394</v>
      </c>
      <c r="H3186" s="1" t="s">
        <v>3604</v>
      </c>
      <c r="I3186" s="1" t="s">
        <v>12509</v>
      </c>
      <c r="J3186" s="1" t="s">
        <v>3615</v>
      </c>
      <c r="K3186" s="1" t="s">
        <v>12510</v>
      </c>
      <c r="L3186" s="1"/>
      <c r="M3186" s="1"/>
    </row>
    <row x14ac:dyDescent="0.25" r="3187" customHeight="1" ht="18.75">
      <c r="A3187" s="1" t="s">
        <v>3617</v>
      </c>
      <c r="B3187" s="1" t="s">
        <v>11958</v>
      </c>
      <c r="C3187" s="1" t="s">
        <v>3619</v>
      </c>
      <c r="D3187" s="1" t="s">
        <v>3610</v>
      </c>
      <c r="E3187" s="1" t="s">
        <v>3981</v>
      </c>
      <c r="F3187" s="1" t="s">
        <v>12511</v>
      </c>
      <c r="G3187" s="1" t="s">
        <v>8394</v>
      </c>
      <c r="H3187" s="1" t="s">
        <v>3604</v>
      </c>
      <c r="I3187" s="1" t="s">
        <v>12512</v>
      </c>
      <c r="J3187" s="1" t="s">
        <v>3606</v>
      </c>
      <c r="K3187" s="1" t="s">
        <v>12513</v>
      </c>
      <c r="L3187" s="1"/>
      <c r="M3187" s="1"/>
    </row>
    <row x14ac:dyDescent="0.25" r="3188" customHeight="1" ht="18.75">
      <c r="A3188" s="1" t="s">
        <v>3617</v>
      </c>
      <c r="B3188" s="1" t="s">
        <v>11958</v>
      </c>
      <c r="C3188" s="1" t="s">
        <v>3619</v>
      </c>
      <c r="D3188" s="1" t="s">
        <v>3695</v>
      </c>
      <c r="E3188" s="1" t="s">
        <v>3981</v>
      </c>
      <c r="F3188" s="1" t="s">
        <v>12514</v>
      </c>
      <c r="G3188" s="1" t="s">
        <v>8394</v>
      </c>
      <c r="H3188" s="1" t="s">
        <v>3604</v>
      </c>
      <c r="I3188" s="1" t="s">
        <v>12515</v>
      </c>
      <c r="J3188" s="1" t="s">
        <v>3606</v>
      </c>
      <c r="K3188" s="1" t="s">
        <v>12516</v>
      </c>
      <c r="L3188" s="1"/>
      <c r="M3188" s="1"/>
    </row>
    <row x14ac:dyDescent="0.25" r="3189" customHeight="1" ht="18.75">
      <c r="A3189" s="1" t="s">
        <v>3617</v>
      </c>
      <c r="B3189" s="1" t="s">
        <v>11958</v>
      </c>
      <c r="C3189" s="1" t="s">
        <v>3619</v>
      </c>
      <c r="D3189" s="1" t="s">
        <v>3695</v>
      </c>
      <c r="E3189" s="1" t="s">
        <v>3981</v>
      </c>
      <c r="F3189" s="1" t="s">
        <v>12517</v>
      </c>
      <c r="G3189" s="1" t="s">
        <v>8394</v>
      </c>
      <c r="H3189" s="1" t="s">
        <v>3604</v>
      </c>
      <c r="I3189" s="1" t="s">
        <v>12518</v>
      </c>
      <c r="J3189" s="1" t="s">
        <v>3606</v>
      </c>
      <c r="K3189" s="1" t="s">
        <v>12519</v>
      </c>
      <c r="L3189" s="1"/>
      <c r="M3189" s="1"/>
    </row>
    <row x14ac:dyDescent="0.25" r="3190" customHeight="1" ht="18.75">
      <c r="A3190" s="1" t="s">
        <v>3617</v>
      </c>
      <c r="B3190" s="1" t="s">
        <v>11958</v>
      </c>
      <c r="C3190" s="1" t="s">
        <v>3619</v>
      </c>
      <c r="D3190" s="1" t="s">
        <v>3695</v>
      </c>
      <c r="E3190" s="1" t="s">
        <v>3981</v>
      </c>
      <c r="F3190" s="1" t="s">
        <v>12520</v>
      </c>
      <c r="G3190" s="1" t="s">
        <v>8394</v>
      </c>
      <c r="H3190" s="1" t="s">
        <v>3604</v>
      </c>
      <c r="I3190" s="1" t="s">
        <v>12521</v>
      </c>
      <c r="J3190" s="1" t="s">
        <v>3606</v>
      </c>
      <c r="K3190" s="1" t="s">
        <v>12522</v>
      </c>
      <c r="L3190" s="1"/>
      <c r="M3190" s="1"/>
    </row>
    <row x14ac:dyDescent="0.25" r="3191" customHeight="1" ht="18.75">
      <c r="A3191" s="1" t="s">
        <v>3617</v>
      </c>
      <c r="B3191" s="1" t="s">
        <v>11958</v>
      </c>
      <c r="C3191" s="1" t="s">
        <v>3619</v>
      </c>
      <c r="D3191" s="1" t="s">
        <v>3695</v>
      </c>
      <c r="E3191" s="1" t="s">
        <v>3981</v>
      </c>
      <c r="F3191" s="1" t="s">
        <v>12523</v>
      </c>
      <c r="G3191" s="1" t="s">
        <v>8394</v>
      </c>
      <c r="H3191" s="1" t="s">
        <v>3604</v>
      </c>
      <c r="I3191" s="1" t="s">
        <v>12524</v>
      </c>
      <c r="J3191" s="1" t="s">
        <v>3606</v>
      </c>
      <c r="K3191" s="1" t="s">
        <v>12525</v>
      </c>
      <c r="L3191" s="1"/>
      <c r="M3191" s="1"/>
    </row>
    <row x14ac:dyDescent="0.25" r="3192" customHeight="1" ht="18.75">
      <c r="A3192" s="1" t="s">
        <v>3617</v>
      </c>
      <c r="B3192" s="1" t="s">
        <v>11958</v>
      </c>
      <c r="C3192" s="1" t="s">
        <v>3619</v>
      </c>
      <c r="D3192" s="1" t="s">
        <v>3695</v>
      </c>
      <c r="E3192" s="1" t="s">
        <v>3981</v>
      </c>
      <c r="F3192" s="1" t="s">
        <v>12526</v>
      </c>
      <c r="G3192" s="1" t="s">
        <v>8394</v>
      </c>
      <c r="H3192" s="1" t="s">
        <v>3604</v>
      </c>
      <c r="I3192" s="1" t="s">
        <v>12527</v>
      </c>
      <c r="J3192" s="1" t="s">
        <v>3606</v>
      </c>
      <c r="K3192" s="1" t="s">
        <v>12528</v>
      </c>
      <c r="L3192" s="1"/>
      <c r="M3192" s="1"/>
    </row>
    <row x14ac:dyDescent="0.25" r="3193" customHeight="1" ht="18.75">
      <c r="A3193" s="1" t="s">
        <v>3617</v>
      </c>
      <c r="B3193" s="1" t="s">
        <v>11958</v>
      </c>
      <c r="C3193" s="1" t="s">
        <v>3619</v>
      </c>
      <c r="D3193" s="1" t="s">
        <v>3695</v>
      </c>
      <c r="E3193" s="1" t="s">
        <v>3981</v>
      </c>
      <c r="F3193" s="1" t="s">
        <v>12529</v>
      </c>
      <c r="G3193" s="1" t="s">
        <v>8394</v>
      </c>
      <c r="H3193" s="1" t="s">
        <v>3604</v>
      </c>
      <c r="I3193" s="1" t="s">
        <v>12530</v>
      </c>
      <c r="J3193" s="1" t="s">
        <v>3606</v>
      </c>
      <c r="K3193" s="1" t="s">
        <v>12531</v>
      </c>
      <c r="L3193" s="1"/>
      <c r="M3193" s="1"/>
    </row>
    <row x14ac:dyDescent="0.25" r="3194" customHeight="1" ht="18.75">
      <c r="A3194" s="1" t="s">
        <v>3617</v>
      </c>
      <c r="B3194" s="1" t="s">
        <v>11958</v>
      </c>
      <c r="C3194" s="1" t="s">
        <v>3619</v>
      </c>
      <c r="D3194" s="1" t="s">
        <v>3610</v>
      </c>
      <c r="E3194" s="1" t="s">
        <v>3611</v>
      </c>
      <c r="F3194" s="1" t="s">
        <v>12532</v>
      </c>
      <c r="G3194" s="1" t="s">
        <v>8394</v>
      </c>
      <c r="H3194" s="1" t="s">
        <v>3604</v>
      </c>
      <c r="I3194" s="1" t="s">
        <v>12533</v>
      </c>
      <c r="J3194" s="1" t="s">
        <v>3615</v>
      </c>
      <c r="K3194" s="1" t="s">
        <v>12534</v>
      </c>
      <c r="L3194" s="1"/>
      <c r="M3194" s="1"/>
    </row>
    <row x14ac:dyDescent="0.25" r="3195" customHeight="1" ht="18.75">
      <c r="A3195" s="1" t="s">
        <v>3617</v>
      </c>
      <c r="B3195" s="1" t="s">
        <v>11958</v>
      </c>
      <c r="C3195" s="1" t="s">
        <v>3619</v>
      </c>
      <c r="D3195" s="1" t="s">
        <v>3601</v>
      </c>
      <c r="E3195" s="1" t="s">
        <v>3730</v>
      </c>
      <c r="F3195" s="1" t="s">
        <v>12535</v>
      </c>
      <c r="G3195" s="1" t="s">
        <v>12536</v>
      </c>
      <c r="H3195" s="1" t="s">
        <v>3604</v>
      </c>
      <c r="I3195" s="1" t="s">
        <v>12537</v>
      </c>
      <c r="J3195" s="1" t="s">
        <v>3606</v>
      </c>
      <c r="K3195" s="1" t="s">
        <v>12538</v>
      </c>
      <c r="L3195" s="1"/>
      <c r="M3195" s="1"/>
    </row>
    <row x14ac:dyDescent="0.25" r="3196" customHeight="1" ht="18.75">
      <c r="A3196" s="1" t="s">
        <v>3617</v>
      </c>
      <c r="B3196" s="1" t="s">
        <v>11958</v>
      </c>
      <c r="C3196" s="1" t="s">
        <v>3619</v>
      </c>
      <c r="D3196" s="1" t="s">
        <v>3601</v>
      </c>
      <c r="E3196" s="1" t="s">
        <v>3981</v>
      </c>
      <c r="F3196" s="1" t="s">
        <v>12539</v>
      </c>
      <c r="G3196" s="1" t="s">
        <v>12540</v>
      </c>
      <c r="H3196" s="1" t="s">
        <v>3604</v>
      </c>
      <c r="I3196" s="1" t="s">
        <v>12541</v>
      </c>
      <c r="J3196" s="1" t="s">
        <v>3606</v>
      </c>
      <c r="K3196" s="1" t="s">
        <v>12542</v>
      </c>
      <c r="L3196" s="1"/>
      <c r="M3196" s="1"/>
    </row>
    <row x14ac:dyDescent="0.25" r="3197" customHeight="1" ht="18.75">
      <c r="A3197" s="1" t="s">
        <v>3617</v>
      </c>
      <c r="B3197" s="1" t="s">
        <v>11958</v>
      </c>
      <c r="C3197" s="1" t="s">
        <v>3619</v>
      </c>
      <c r="D3197" s="1" t="s">
        <v>3601</v>
      </c>
      <c r="E3197" s="1" t="s">
        <v>3981</v>
      </c>
      <c r="F3197" s="1" t="s">
        <v>12543</v>
      </c>
      <c r="G3197" s="1" t="s">
        <v>12544</v>
      </c>
      <c r="H3197" s="1" t="s">
        <v>3604</v>
      </c>
      <c r="I3197" s="1" t="s">
        <v>12545</v>
      </c>
      <c r="J3197" s="1" t="s">
        <v>3606</v>
      </c>
      <c r="K3197" s="1" t="s">
        <v>12546</v>
      </c>
      <c r="L3197" s="1"/>
      <c r="M3197" s="1"/>
    </row>
    <row x14ac:dyDescent="0.25" r="3198" customHeight="1" ht="18.75">
      <c r="A3198" s="1" t="s">
        <v>3617</v>
      </c>
      <c r="B3198" s="1" t="s">
        <v>11958</v>
      </c>
      <c r="C3198" s="1" t="s">
        <v>3619</v>
      </c>
      <c r="D3198" s="1" t="s">
        <v>3601</v>
      </c>
      <c r="E3198" s="1" t="s">
        <v>3981</v>
      </c>
      <c r="F3198" s="1" t="s">
        <v>12547</v>
      </c>
      <c r="G3198" s="1" t="s">
        <v>12548</v>
      </c>
      <c r="H3198" s="1" t="s">
        <v>3604</v>
      </c>
      <c r="I3198" s="1" t="s">
        <v>12549</v>
      </c>
      <c r="J3198" s="1" t="s">
        <v>3615</v>
      </c>
      <c r="K3198" s="1" t="s">
        <v>12550</v>
      </c>
      <c r="L3198" s="1"/>
      <c r="M3198" s="1"/>
    </row>
    <row x14ac:dyDescent="0.25" r="3199" customHeight="1" ht="18.75">
      <c r="A3199" s="1" t="s">
        <v>3617</v>
      </c>
      <c r="B3199" s="1" t="s">
        <v>11958</v>
      </c>
      <c r="C3199" s="1" t="s">
        <v>3619</v>
      </c>
      <c r="D3199" s="1" t="s">
        <v>3601</v>
      </c>
      <c r="E3199" s="1" t="s">
        <v>3981</v>
      </c>
      <c r="F3199" s="1" t="s">
        <v>12551</v>
      </c>
      <c r="G3199" s="1" t="s">
        <v>12505</v>
      </c>
      <c r="H3199" s="1" t="s">
        <v>3604</v>
      </c>
      <c r="I3199" s="1" t="s">
        <v>12552</v>
      </c>
      <c r="J3199" s="1" t="s">
        <v>3615</v>
      </c>
      <c r="K3199" s="1" t="s">
        <v>12553</v>
      </c>
      <c r="L3199" s="1"/>
      <c r="M3199" s="1"/>
    </row>
    <row x14ac:dyDescent="0.25" r="3200" customHeight="1" ht="18.75">
      <c r="A3200" s="1" t="s">
        <v>3617</v>
      </c>
      <c r="B3200" s="1" t="s">
        <v>11958</v>
      </c>
      <c r="C3200" s="1" t="s">
        <v>3619</v>
      </c>
      <c r="D3200" s="1" t="s">
        <v>3601</v>
      </c>
      <c r="E3200" s="1" t="s">
        <v>3981</v>
      </c>
      <c r="F3200" s="1" t="s">
        <v>12554</v>
      </c>
      <c r="G3200" s="1" t="s">
        <v>12555</v>
      </c>
      <c r="H3200" s="1" t="s">
        <v>3604</v>
      </c>
      <c r="I3200" s="1" t="s">
        <v>12556</v>
      </c>
      <c r="J3200" s="1" t="s">
        <v>3606</v>
      </c>
      <c r="K3200" s="1" t="s">
        <v>12557</v>
      </c>
      <c r="L3200" s="1"/>
      <c r="M3200" s="1"/>
    </row>
    <row x14ac:dyDescent="0.25" r="3201" customHeight="1" ht="18.75">
      <c r="A3201" s="1" t="s">
        <v>3617</v>
      </c>
      <c r="B3201" s="1" t="s">
        <v>11958</v>
      </c>
      <c r="C3201" s="1" t="s">
        <v>3619</v>
      </c>
      <c r="D3201" s="1" t="s">
        <v>3601</v>
      </c>
      <c r="E3201" s="1" t="s">
        <v>3730</v>
      </c>
      <c r="F3201" s="1" t="s">
        <v>12558</v>
      </c>
      <c r="G3201" s="1" t="s">
        <v>12536</v>
      </c>
      <c r="H3201" s="1" t="s">
        <v>3604</v>
      </c>
      <c r="I3201" s="1" t="s">
        <v>12559</v>
      </c>
      <c r="J3201" s="1" t="s">
        <v>3606</v>
      </c>
      <c r="K3201" s="1" t="s">
        <v>12560</v>
      </c>
      <c r="L3201" s="1"/>
      <c r="M3201" s="1"/>
    </row>
    <row x14ac:dyDescent="0.25" r="3202" customHeight="1" ht="18.75">
      <c r="A3202" s="1" t="s">
        <v>3617</v>
      </c>
      <c r="B3202" s="1" t="s">
        <v>11958</v>
      </c>
      <c r="C3202" s="1" t="s">
        <v>3619</v>
      </c>
      <c r="D3202" s="1" t="s">
        <v>3601</v>
      </c>
      <c r="E3202" s="1" t="s">
        <v>3981</v>
      </c>
      <c r="F3202" s="1" t="s">
        <v>12561</v>
      </c>
      <c r="G3202" s="1" t="s">
        <v>12540</v>
      </c>
      <c r="H3202" s="1" t="s">
        <v>3604</v>
      </c>
      <c r="I3202" s="1" t="s">
        <v>12562</v>
      </c>
      <c r="J3202" s="1" t="s">
        <v>3615</v>
      </c>
      <c r="K3202" s="1" t="s">
        <v>12563</v>
      </c>
      <c r="L3202" s="1"/>
      <c r="M3202" s="1"/>
    </row>
    <row x14ac:dyDescent="0.25" r="3203" customHeight="1" ht="18.75">
      <c r="A3203" s="1" t="s">
        <v>3617</v>
      </c>
      <c r="B3203" s="1" t="s">
        <v>11958</v>
      </c>
      <c r="C3203" s="1" t="s">
        <v>3619</v>
      </c>
      <c r="D3203" s="1" t="s">
        <v>3601</v>
      </c>
      <c r="E3203" s="1" t="s">
        <v>3981</v>
      </c>
      <c r="F3203" s="1" t="s">
        <v>12564</v>
      </c>
      <c r="G3203" s="1" t="s">
        <v>12544</v>
      </c>
      <c r="H3203" s="1" t="s">
        <v>3604</v>
      </c>
      <c r="I3203" s="1" t="s">
        <v>12565</v>
      </c>
      <c r="J3203" s="1" t="s">
        <v>3615</v>
      </c>
      <c r="K3203" s="1" t="s">
        <v>12566</v>
      </c>
      <c r="L3203" s="1"/>
      <c r="M3203" s="1"/>
    </row>
    <row x14ac:dyDescent="0.25" r="3204" customHeight="1" ht="18.75">
      <c r="A3204" s="1" t="s">
        <v>3617</v>
      </c>
      <c r="B3204" s="1" t="s">
        <v>11958</v>
      </c>
      <c r="C3204" s="1" t="s">
        <v>3619</v>
      </c>
      <c r="D3204" s="1" t="s">
        <v>3601</v>
      </c>
      <c r="E3204" s="1" t="s">
        <v>3981</v>
      </c>
      <c r="F3204" s="1" t="s">
        <v>12567</v>
      </c>
      <c r="G3204" s="1" t="s">
        <v>12548</v>
      </c>
      <c r="H3204" s="1" t="s">
        <v>3604</v>
      </c>
      <c r="I3204" s="1" t="s">
        <v>12568</v>
      </c>
      <c r="J3204" s="1" t="s">
        <v>3615</v>
      </c>
      <c r="K3204" s="1" t="s">
        <v>12569</v>
      </c>
      <c r="L3204" s="1"/>
      <c r="M3204" s="1"/>
    </row>
    <row x14ac:dyDescent="0.25" r="3205" customHeight="1" ht="18.75">
      <c r="A3205" s="1" t="s">
        <v>3617</v>
      </c>
      <c r="B3205" s="1" t="s">
        <v>11958</v>
      </c>
      <c r="C3205" s="1" t="s">
        <v>3619</v>
      </c>
      <c r="D3205" s="1" t="s">
        <v>3601</v>
      </c>
      <c r="E3205" s="1" t="s">
        <v>3981</v>
      </c>
      <c r="F3205" s="1" t="s">
        <v>12570</v>
      </c>
      <c r="G3205" s="1" t="s">
        <v>12555</v>
      </c>
      <c r="H3205" s="1" t="s">
        <v>3604</v>
      </c>
      <c r="I3205" s="1" t="s">
        <v>12571</v>
      </c>
      <c r="J3205" s="1" t="s">
        <v>3606</v>
      </c>
      <c r="K3205" s="1" t="s">
        <v>12572</v>
      </c>
      <c r="L3205" s="1"/>
      <c r="M3205" s="1"/>
    </row>
    <row x14ac:dyDescent="0.25" r="3206" customHeight="1" ht="18.75">
      <c r="A3206" s="1" t="s">
        <v>3617</v>
      </c>
      <c r="B3206" s="1" t="s">
        <v>11958</v>
      </c>
      <c r="C3206" s="1" t="s">
        <v>3619</v>
      </c>
      <c r="D3206" s="1" t="s">
        <v>3601</v>
      </c>
      <c r="E3206" s="1" t="s">
        <v>3981</v>
      </c>
      <c r="F3206" s="1" t="s">
        <v>12573</v>
      </c>
      <c r="G3206" s="1" t="s">
        <v>11963</v>
      </c>
      <c r="H3206" s="1" t="s">
        <v>3604</v>
      </c>
      <c r="I3206" s="1" t="s">
        <v>12574</v>
      </c>
      <c r="J3206" s="1" t="s">
        <v>3606</v>
      </c>
      <c r="K3206" s="1" t="s">
        <v>12411</v>
      </c>
      <c r="L3206" s="1"/>
      <c r="M3206" s="1"/>
    </row>
    <row x14ac:dyDescent="0.25" r="3207" customHeight="1" ht="18.75">
      <c r="A3207" s="1" t="s">
        <v>3617</v>
      </c>
      <c r="B3207" s="1" t="s">
        <v>11958</v>
      </c>
      <c r="C3207" s="1" t="s">
        <v>3619</v>
      </c>
      <c r="D3207" s="1" t="s">
        <v>3601</v>
      </c>
      <c r="E3207" s="1" t="s">
        <v>3981</v>
      </c>
      <c r="F3207" s="1" t="s">
        <v>12575</v>
      </c>
      <c r="G3207" s="1" t="s">
        <v>11963</v>
      </c>
      <c r="H3207" s="1" t="s">
        <v>3604</v>
      </c>
      <c r="I3207" s="1" t="s">
        <v>12576</v>
      </c>
      <c r="J3207" s="1" t="s">
        <v>3615</v>
      </c>
      <c r="K3207" s="1" t="s">
        <v>12393</v>
      </c>
      <c r="L3207" s="1"/>
      <c r="M3207" s="1"/>
    </row>
    <row x14ac:dyDescent="0.25" r="3208" customHeight="1" ht="18.75">
      <c r="A3208" s="1" t="s">
        <v>3617</v>
      </c>
      <c r="B3208" s="1" t="s">
        <v>11958</v>
      </c>
      <c r="C3208" s="1" t="s">
        <v>3619</v>
      </c>
      <c r="D3208" s="1" t="s">
        <v>3601</v>
      </c>
      <c r="E3208" s="1" t="s">
        <v>3981</v>
      </c>
      <c r="F3208" s="1" t="s">
        <v>12577</v>
      </c>
      <c r="G3208" s="1" t="s">
        <v>12578</v>
      </c>
      <c r="H3208" s="1" t="s">
        <v>3604</v>
      </c>
      <c r="I3208" s="1" t="s">
        <v>12579</v>
      </c>
      <c r="J3208" s="1" t="s">
        <v>3606</v>
      </c>
      <c r="K3208" s="1" t="s">
        <v>12580</v>
      </c>
      <c r="L3208" s="1"/>
      <c r="M3208" s="1"/>
    </row>
    <row x14ac:dyDescent="0.25" r="3209" customHeight="1" ht="18.75">
      <c r="A3209" s="1" t="s">
        <v>3617</v>
      </c>
      <c r="B3209" s="1" t="s">
        <v>11958</v>
      </c>
      <c r="C3209" s="1" t="s">
        <v>3619</v>
      </c>
      <c r="D3209" s="1" t="s">
        <v>3601</v>
      </c>
      <c r="E3209" s="1" t="s">
        <v>3981</v>
      </c>
      <c r="F3209" s="1" t="s">
        <v>12581</v>
      </c>
      <c r="G3209" s="1" t="s">
        <v>5217</v>
      </c>
      <c r="H3209" s="1" t="s">
        <v>3604</v>
      </c>
      <c r="I3209" s="1" t="s">
        <v>12582</v>
      </c>
      <c r="J3209" s="1" t="s">
        <v>3606</v>
      </c>
      <c r="K3209" s="1" t="s">
        <v>12583</v>
      </c>
      <c r="L3209" s="1"/>
      <c r="M3209" s="1"/>
    </row>
    <row x14ac:dyDescent="0.25" r="3210" customHeight="1" ht="18.75">
      <c r="A3210" s="1" t="s">
        <v>3617</v>
      </c>
      <c r="B3210" s="1" t="s">
        <v>11958</v>
      </c>
      <c r="C3210" s="1" t="s">
        <v>3619</v>
      </c>
      <c r="D3210" s="1" t="s">
        <v>3601</v>
      </c>
      <c r="E3210" s="1" t="s">
        <v>3981</v>
      </c>
      <c r="F3210" s="1" t="s">
        <v>12584</v>
      </c>
      <c r="G3210" s="1" t="s">
        <v>11963</v>
      </c>
      <c r="H3210" s="1" t="s">
        <v>3604</v>
      </c>
      <c r="I3210" s="1" t="s">
        <v>12585</v>
      </c>
      <c r="J3210" s="1" t="s">
        <v>3615</v>
      </c>
      <c r="K3210" s="1" t="s">
        <v>10940</v>
      </c>
      <c r="L3210" s="1"/>
      <c r="M3210" s="1"/>
    </row>
    <row x14ac:dyDescent="0.25" r="3211" customHeight="1" ht="18.75">
      <c r="A3211" s="1" t="s">
        <v>3617</v>
      </c>
      <c r="B3211" s="1" t="s">
        <v>11958</v>
      </c>
      <c r="C3211" s="1" t="s">
        <v>3619</v>
      </c>
      <c r="D3211" s="1" t="s">
        <v>3601</v>
      </c>
      <c r="E3211" s="1" t="s">
        <v>3981</v>
      </c>
      <c r="F3211" s="1" t="s">
        <v>12586</v>
      </c>
      <c r="G3211" s="1" t="s">
        <v>11963</v>
      </c>
      <c r="H3211" s="1" t="s">
        <v>3604</v>
      </c>
      <c r="I3211" s="1" t="s">
        <v>12587</v>
      </c>
      <c r="J3211" s="1" t="s">
        <v>3615</v>
      </c>
      <c r="K3211" s="1" t="s">
        <v>10943</v>
      </c>
      <c r="L3211" s="1"/>
      <c r="M3211" s="1"/>
    </row>
    <row x14ac:dyDescent="0.25" r="3212" customHeight="1" ht="18.75">
      <c r="A3212" s="1" t="s">
        <v>3617</v>
      </c>
      <c r="B3212" s="1" t="s">
        <v>11958</v>
      </c>
      <c r="C3212" s="1" t="s">
        <v>3619</v>
      </c>
      <c r="D3212" s="1" t="s">
        <v>3601</v>
      </c>
      <c r="E3212" s="1" t="s">
        <v>3730</v>
      </c>
      <c r="F3212" s="1" t="s">
        <v>12588</v>
      </c>
      <c r="G3212" s="1" t="s">
        <v>12536</v>
      </c>
      <c r="H3212" s="1" t="s">
        <v>3604</v>
      </c>
      <c r="I3212" s="1" t="s">
        <v>12589</v>
      </c>
      <c r="J3212" s="1" t="s">
        <v>3606</v>
      </c>
      <c r="K3212" s="1" t="s">
        <v>7997</v>
      </c>
      <c r="L3212" s="1"/>
      <c r="M3212" s="1"/>
    </row>
    <row x14ac:dyDescent="0.25" r="3213" customHeight="1" ht="18.75">
      <c r="A3213" s="1" t="s">
        <v>3617</v>
      </c>
      <c r="B3213" s="1" t="s">
        <v>11958</v>
      </c>
      <c r="C3213" s="1" t="s">
        <v>3619</v>
      </c>
      <c r="D3213" s="1" t="s">
        <v>3601</v>
      </c>
      <c r="E3213" s="1" t="s">
        <v>3981</v>
      </c>
      <c r="F3213" s="1" t="s">
        <v>12590</v>
      </c>
      <c r="G3213" s="1" t="s">
        <v>12591</v>
      </c>
      <c r="H3213" s="1" t="s">
        <v>3604</v>
      </c>
      <c r="I3213" s="1" t="s">
        <v>12592</v>
      </c>
      <c r="J3213" s="1" t="s">
        <v>3615</v>
      </c>
      <c r="K3213" s="1" t="s">
        <v>7997</v>
      </c>
      <c r="L3213" s="1"/>
      <c r="M3213" s="1"/>
    </row>
    <row x14ac:dyDescent="0.25" r="3214" customHeight="1" ht="18.75">
      <c r="A3214" s="1" t="s">
        <v>3617</v>
      </c>
      <c r="B3214" s="1" t="s">
        <v>11958</v>
      </c>
      <c r="C3214" s="1" t="s">
        <v>3619</v>
      </c>
      <c r="D3214" s="1" t="s">
        <v>3601</v>
      </c>
      <c r="E3214" s="1" t="s">
        <v>3981</v>
      </c>
      <c r="F3214" s="1" t="s">
        <v>12593</v>
      </c>
      <c r="G3214" s="1" t="s">
        <v>12544</v>
      </c>
      <c r="H3214" s="1" t="s">
        <v>3604</v>
      </c>
      <c r="I3214" s="1" t="s">
        <v>12594</v>
      </c>
      <c r="J3214" s="1" t="s">
        <v>3615</v>
      </c>
      <c r="K3214" s="1" t="s">
        <v>7997</v>
      </c>
      <c r="L3214" s="1"/>
      <c r="M3214" s="1"/>
    </row>
    <row x14ac:dyDescent="0.25" r="3215" customHeight="1" ht="18.75">
      <c r="A3215" s="1" t="s">
        <v>3617</v>
      </c>
      <c r="B3215" s="1" t="s">
        <v>11958</v>
      </c>
      <c r="C3215" s="1" t="s">
        <v>3619</v>
      </c>
      <c r="D3215" s="1" t="s">
        <v>3601</v>
      </c>
      <c r="E3215" s="1" t="s">
        <v>3981</v>
      </c>
      <c r="F3215" s="1" t="s">
        <v>12595</v>
      </c>
      <c r="G3215" s="1" t="s">
        <v>12548</v>
      </c>
      <c r="H3215" s="1" t="s">
        <v>3604</v>
      </c>
      <c r="I3215" s="1" t="s">
        <v>12596</v>
      </c>
      <c r="J3215" s="1" t="s">
        <v>3615</v>
      </c>
      <c r="K3215" s="1" t="s">
        <v>7997</v>
      </c>
      <c r="L3215" s="1"/>
      <c r="M3215" s="1"/>
    </row>
    <row x14ac:dyDescent="0.25" r="3216" customHeight="1" ht="18.75">
      <c r="A3216" s="1" t="s">
        <v>3617</v>
      </c>
      <c r="B3216" s="1" t="s">
        <v>11958</v>
      </c>
      <c r="C3216" s="1" t="s">
        <v>3619</v>
      </c>
      <c r="D3216" s="1" t="s">
        <v>3601</v>
      </c>
      <c r="E3216" s="1" t="s">
        <v>3981</v>
      </c>
      <c r="F3216" s="1" t="s">
        <v>12597</v>
      </c>
      <c r="G3216" s="1" t="s">
        <v>12505</v>
      </c>
      <c r="H3216" s="1" t="s">
        <v>3604</v>
      </c>
      <c r="I3216" s="1" t="s">
        <v>12598</v>
      </c>
      <c r="J3216" s="1" t="s">
        <v>3615</v>
      </c>
      <c r="K3216" s="1" t="s">
        <v>7997</v>
      </c>
      <c r="L3216" s="1"/>
      <c r="M3216" s="1"/>
    </row>
    <row x14ac:dyDescent="0.25" r="3217" customHeight="1" ht="18.75">
      <c r="A3217" s="1" t="s">
        <v>3617</v>
      </c>
      <c r="B3217" s="1" t="s">
        <v>11958</v>
      </c>
      <c r="C3217" s="1" t="s">
        <v>3619</v>
      </c>
      <c r="D3217" s="1" t="s">
        <v>3601</v>
      </c>
      <c r="E3217" s="1" t="s">
        <v>3981</v>
      </c>
      <c r="F3217" s="1" t="s">
        <v>12599</v>
      </c>
      <c r="G3217" s="1" t="s">
        <v>12555</v>
      </c>
      <c r="H3217" s="1" t="s">
        <v>3604</v>
      </c>
      <c r="I3217" s="1" t="s">
        <v>12600</v>
      </c>
      <c r="J3217" s="1" t="s">
        <v>3615</v>
      </c>
      <c r="K3217" s="1" t="s">
        <v>7997</v>
      </c>
      <c r="L3217" s="1"/>
      <c r="M3217" s="1"/>
    </row>
    <row x14ac:dyDescent="0.25" r="3218" customHeight="1" ht="18.75">
      <c r="A3218" s="1" t="s">
        <v>3617</v>
      </c>
      <c r="B3218" s="1" t="s">
        <v>11958</v>
      </c>
      <c r="C3218" s="1" t="s">
        <v>3619</v>
      </c>
      <c r="D3218" s="1" t="s">
        <v>3601</v>
      </c>
      <c r="E3218" s="1" t="s">
        <v>3981</v>
      </c>
      <c r="F3218" s="1" t="s">
        <v>12601</v>
      </c>
      <c r="G3218" s="1" t="s">
        <v>11963</v>
      </c>
      <c r="H3218" s="1" t="s">
        <v>3604</v>
      </c>
      <c r="I3218" s="1" t="s">
        <v>12602</v>
      </c>
      <c r="J3218" s="1" t="s">
        <v>3615</v>
      </c>
      <c r="K3218" s="1" t="s">
        <v>7997</v>
      </c>
      <c r="L3218" s="1"/>
      <c r="M3218" s="1"/>
    </row>
    <row x14ac:dyDescent="0.25" r="3219" customHeight="1" ht="18.75">
      <c r="A3219" s="1" t="s">
        <v>3617</v>
      </c>
      <c r="B3219" s="1" t="s">
        <v>3903</v>
      </c>
      <c r="C3219" s="1" t="s">
        <v>3619</v>
      </c>
      <c r="D3219" s="1" t="s">
        <v>7847</v>
      </c>
      <c r="E3219" s="1" t="s">
        <v>3730</v>
      </c>
      <c r="F3219" s="1" t="s">
        <v>12603</v>
      </c>
      <c r="G3219" s="1" t="s">
        <v>12604</v>
      </c>
      <c r="H3219" s="1" t="s">
        <v>3604</v>
      </c>
      <c r="I3219" s="1" t="s">
        <v>12605</v>
      </c>
      <c r="J3219" s="1" t="s">
        <v>3606</v>
      </c>
      <c r="K3219" s="1" t="s">
        <v>12606</v>
      </c>
      <c r="L3219" s="1"/>
      <c r="M3219" s="1"/>
    </row>
    <row x14ac:dyDescent="0.25" r="3220" customHeight="1" ht="18.75">
      <c r="A3220" s="1" t="s">
        <v>3617</v>
      </c>
      <c r="B3220" s="1" t="s">
        <v>11958</v>
      </c>
      <c r="C3220" s="1" t="s">
        <v>3619</v>
      </c>
      <c r="D3220" s="1" t="s">
        <v>3601</v>
      </c>
      <c r="E3220" s="1" t="s">
        <v>3730</v>
      </c>
      <c r="F3220" s="1" t="s">
        <v>12607</v>
      </c>
      <c r="G3220" s="1" t="s">
        <v>12536</v>
      </c>
      <c r="H3220" s="1" t="s">
        <v>3604</v>
      </c>
      <c r="I3220" s="1" t="s">
        <v>12608</v>
      </c>
      <c r="J3220" s="1" t="s">
        <v>3606</v>
      </c>
      <c r="K3220" s="1" t="s">
        <v>11977</v>
      </c>
      <c r="L3220" s="1"/>
      <c r="M3220" s="1"/>
    </row>
    <row x14ac:dyDescent="0.25" r="3221" customHeight="1" ht="18.75">
      <c r="A3221" s="1" t="s">
        <v>3617</v>
      </c>
      <c r="B3221" s="1" t="s">
        <v>11958</v>
      </c>
      <c r="C3221" s="1" t="s">
        <v>3619</v>
      </c>
      <c r="D3221" s="1" t="s">
        <v>3601</v>
      </c>
      <c r="E3221" s="1" t="s">
        <v>3730</v>
      </c>
      <c r="F3221" s="1" t="s">
        <v>12609</v>
      </c>
      <c r="G3221" s="1" t="s">
        <v>11963</v>
      </c>
      <c r="H3221" s="1" t="s">
        <v>3604</v>
      </c>
      <c r="I3221" s="1" t="s">
        <v>12610</v>
      </c>
      <c r="J3221" s="1" t="s">
        <v>3606</v>
      </c>
      <c r="K3221" s="1" t="s">
        <v>12611</v>
      </c>
      <c r="L3221" s="1"/>
      <c r="M3221" s="1"/>
    </row>
    <row x14ac:dyDescent="0.25" r="3222" customHeight="1" ht="18.75">
      <c r="A3222" s="1" t="s">
        <v>3617</v>
      </c>
      <c r="B3222" s="1" t="s">
        <v>11958</v>
      </c>
      <c r="C3222" s="1" t="s">
        <v>3619</v>
      </c>
      <c r="D3222" s="1" t="s">
        <v>3601</v>
      </c>
      <c r="E3222" s="1" t="s">
        <v>3730</v>
      </c>
      <c r="F3222" s="1" t="s">
        <v>12612</v>
      </c>
      <c r="G3222" s="1" t="s">
        <v>11963</v>
      </c>
      <c r="H3222" s="1" t="s">
        <v>3604</v>
      </c>
      <c r="I3222" s="1" t="s">
        <v>12613</v>
      </c>
      <c r="J3222" s="1" t="s">
        <v>3606</v>
      </c>
      <c r="K3222" s="1" t="s">
        <v>12614</v>
      </c>
      <c r="L3222" s="1"/>
      <c r="M3222" s="1"/>
    </row>
    <row x14ac:dyDescent="0.25" r="3223" customHeight="1" ht="18.75">
      <c r="A3223" s="1" t="s">
        <v>3617</v>
      </c>
      <c r="B3223" s="1" t="s">
        <v>11958</v>
      </c>
      <c r="C3223" s="1" t="s">
        <v>3619</v>
      </c>
      <c r="D3223" s="1" t="s">
        <v>3601</v>
      </c>
      <c r="E3223" s="1" t="s">
        <v>3730</v>
      </c>
      <c r="F3223" s="1" t="s">
        <v>12615</v>
      </c>
      <c r="G3223" s="1" t="s">
        <v>11963</v>
      </c>
      <c r="H3223" s="1" t="s">
        <v>3604</v>
      </c>
      <c r="I3223" s="1" t="s">
        <v>12616</v>
      </c>
      <c r="J3223" s="1" t="s">
        <v>3606</v>
      </c>
      <c r="K3223" s="1" t="s">
        <v>12617</v>
      </c>
      <c r="L3223" s="1"/>
      <c r="M3223" s="1"/>
    </row>
    <row x14ac:dyDescent="0.25" r="3224" customHeight="1" ht="18.75">
      <c r="A3224" s="1" t="s">
        <v>3617</v>
      </c>
      <c r="B3224" s="1" t="s">
        <v>11958</v>
      </c>
      <c r="C3224" s="1" t="s">
        <v>3619</v>
      </c>
      <c r="D3224" s="1" t="s">
        <v>3601</v>
      </c>
      <c r="E3224" s="1" t="s">
        <v>3730</v>
      </c>
      <c r="F3224" s="1" t="s">
        <v>12618</v>
      </c>
      <c r="G3224" s="1" t="s">
        <v>11963</v>
      </c>
      <c r="H3224" s="1" t="s">
        <v>3604</v>
      </c>
      <c r="I3224" s="1" t="s">
        <v>12619</v>
      </c>
      <c r="J3224" s="1" t="s">
        <v>3606</v>
      </c>
      <c r="K3224" s="1" t="s">
        <v>12620</v>
      </c>
      <c r="L3224" s="1"/>
      <c r="M3224" s="1"/>
    </row>
    <row x14ac:dyDescent="0.25" r="3225" customHeight="1" ht="18.75">
      <c r="A3225" s="1" t="s">
        <v>3617</v>
      </c>
      <c r="B3225" s="1" t="s">
        <v>11958</v>
      </c>
      <c r="C3225" s="1" t="s">
        <v>3619</v>
      </c>
      <c r="D3225" s="1" t="s">
        <v>3601</v>
      </c>
      <c r="E3225" s="1" t="s">
        <v>3730</v>
      </c>
      <c r="F3225" s="1" t="s">
        <v>12621</v>
      </c>
      <c r="G3225" s="1" t="s">
        <v>11963</v>
      </c>
      <c r="H3225" s="1" t="s">
        <v>3604</v>
      </c>
      <c r="I3225" s="1" t="s">
        <v>12622</v>
      </c>
      <c r="J3225" s="1" t="s">
        <v>3606</v>
      </c>
      <c r="K3225" s="1" t="s">
        <v>12623</v>
      </c>
      <c r="L3225" s="1"/>
      <c r="M3225" s="1"/>
    </row>
    <row x14ac:dyDescent="0.25" r="3226" customHeight="1" ht="18.75">
      <c r="A3226" s="1" t="s">
        <v>3617</v>
      </c>
      <c r="B3226" s="1" t="s">
        <v>11958</v>
      </c>
      <c r="C3226" s="1" t="s">
        <v>3619</v>
      </c>
      <c r="D3226" s="1" t="s">
        <v>3601</v>
      </c>
      <c r="E3226" s="1" t="s">
        <v>3730</v>
      </c>
      <c r="F3226" s="1" t="s">
        <v>12624</v>
      </c>
      <c r="G3226" s="1" t="s">
        <v>11963</v>
      </c>
      <c r="H3226" s="1" t="s">
        <v>3604</v>
      </c>
      <c r="I3226" s="1" t="s">
        <v>12625</v>
      </c>
      <c r="J3226" s="1" t="s">
        <v>3606</v>
      </c>
      <c r="K3226" s="1" t="s">
        <v>12626</v>
      </c>
      <c r="L3226" s="1"/>
      <c r="M3226" s="1"/>
    </row>
    <row x14ac:dyDescent="0.25" r="3227" customHeight="1" ht="18.75">
      <c r="A3227" s="1" t="s">
        <v>3617</v>
      </c>
      <c r="B3227" s="1" t="s">
        <v>11958</v>
      </c>
      <c r="C3227" s="1" t="s">
        <v>3619</v>
      </c>
      <c r="D3227" s="1" t="s">
        <v>3601</v>
      </c>
      <c r="E3227" s="1" t="s">
        <v>3730</v>
      </c>
      <c r="F3227" s="1" t="s">
        <v>12627</v>
      </c>
      <c r="G3227" s="1" t="s">
        <v>11963</v>
      </c>
      <c r="H3227" s="1" t="s">
        <v>3604</v>
      </c>
      <c r="I3227" s="1" t="s">
        <v>12628</v>
      </c>
      <c r="J3227" s="1" t="s">
        <v>3606</v>
      </c>
      <c r="K3227" s="1" t="s">
        <v>12629</v>
      </c>
      <c r="L3227" s="1"/>
      <c r="M3227" s="1"/>
    </row>
    <row x14ac:dyDescent="0.25" r="3228" customHeight="1" ht="18.75">
      <c r="A3228" s="1" t="s">
        <v>3617</v>
      </c>
      <c r="B3228" s="1" t="s">
        <v>11958</v>
      </c>
      <c r="C3228" s="1" t="s">
        <v>3619</v>
      </c>
      <c r="D3228" s="1" t="s">
        <v>3601</v>
      </c>
      <c r="E3228" s="1" t="s">
        <v>3730</v>
      </c>
      <c r="F3228" s="1" t="s">
        <v>12630</v>
      </c>
      <c r="G3228" s="1" t="s">
        <v>11963</v>
      </c>
      <c r="H3228" s="1" t="s">
        <v>3604</v>
      </c>
      <c r="I3228" s="1" t="s">
        <v>12631</v>
      </c>
      <c r="J3228" s="1" t="s">
        <v>3606</v>
      </c>
      <c r="K3228" s="1" t="s">
        <v>12632</v>
      </c>
      <c r="L3228" s="1"/>
      <c r="M3228" s="1"/>
    </row>
    <row x14ac:dyDescent="0.25" r="3229" customHeight="1" ht="18.75">
      <c r="A3229" s="1" t="s">
        <v>3617</v>
      </c>
      <c r="B3229" s="1" t="s">
        <v>11958</v>
      </c>
      <c r="C3229" s="1" t="s">
        <v>3619</v>
      </c>
      <c r="D3229" s="1" t="s">
        <v>3601</v>
      </c>
      <c r="E3229" s="1" t="s">
        <v>3730</v>
      </c>
      <c r="F3229" s="1" t="s">
        <v>12633</v>
      </c>
      <c r="G3229" s="1" t="s">
        <v>11963</v>
      </c>
      <c r="H3229" s="1" t="s">
        <v>3604</v>
      </c>
      <c r="I3229" s="1" t="s">
        <v>12634</v>
      </c>
      <c r="J3229" s="1" t="s">
        <v>3606</v>
      </c>
      <c r="K3229" s="1" t="s">
        <v>12635</v>
      </c>
      <c r="L3229" s="1"/>
      <c r="M3229" s="1"/>
    </row>
    <row x14ac:dyDescent="0.25" r="3230" customHeight="1" ht="18.75">
      <c r="A3230" s="1" t="s">
        <v>3617</v>
      </c>
      <c r="B3230" s="1" t="s">
        <v>11958</v>
      </c>
      <c r="C3230" s="1" t="s">
        <v>3619</v>
      </c>
      <c r="D3230" s="1" t="s">
        <v>3601</v>
      </c>
      <c r="E3230" s="1" t="s">
        <v>3730</v>
      </c>
      <c r="F3230" s="1" t="s">
        <v>12636</v>
      </c>
      <c r="G3230" s="1" t="s">
        <v>11963</v>
      </c>
      <c r="H3230" s="1" t="s">
        <v>3604</v>
      </c>
      <c r="I3230" s="1" t="s">
        <v>12637</v>
      </c>
      <c r="J3230" s="1" t="s">
        <v>3606</v>
      </c>
      <c r="K3230" s="1" t="s">
        <v>12638</v>
      </c>
      <c r="L3230" s="1"/>
      <c r="M3230" s="1"/>
    </row>
    <row x14ac:dyDescent="0.25" r="3231" customHeight="1" ht="18.75">
      <c r="A3231" s="1" t="s">
        <v>3617</v>
      </c>
      <c r="B3231" s="1" t="s">
        <v>11958</v>
      </c>
      <c r="C3231" s="1" t="s">
        <v>3619</v>
      </c>
      <c r="D3231" s="1" t="s">
        <v>3601</v>
      </c>
      <c r="E3231" s="1" t="s">
        <v>3730</v>
      </c>
      <c r="F3231" s="1" t="s">
        <v>12639</v>
      </c>
      <c r="G3231" s="1" t="s">
        <v>11963</v>
      </c>
      <c r="H3231" s="1" t="s">
        <v>3604</v>
      </c>
      <c r="I3231" s="1" t="s">
        <v>12640</v>
      </c>
      <c r="J3231" s="1" t="s">
        <v>3606</v>
      </c>
      <c r="K3231" s="1" t="s">
        <v>12142</v>
      </c>
      <c r="L3231" s="1"/>
      <c r="M3231" s="1"/>
    </row>
    <row x14ac:dyDescent="0.25" r="3232" customHeight="1" ht="18.75">
      <c r="A3232" s="1" t="s">
        <v>3617</v>
      </c>
      <c r="B3232" s="1" t="s">
        <v>11958</v>
      </c>
      <c r="C3232" s="1" t="s">
        <v>3619</v>
      </c>
      <c r="D3232" s="1" t="s">
        <v>3601</v>
      </c>
      <c r="E3232" s="1" t="s">
        <v>3730</v>
      </c>
      <c r="F3232" s="1" t="s">
        <v>12641</v>
      </c>
      <c r="G3232" s="1" t="s">
        <v>11963</v>
      </c>
      <c r="H3232" s="1" t="s">
        <v>3604</v>
      </c>
      <c r="I3232" s="1" t="s">
        <v>12642</v>
      </c>
      <c r="J3232" s="1" t="s">
        <v>3606</v>
      </c>
      <c r="K3232" s="1" t="s">
        <v>12643</v>
      </c>
      <c r="L3232" s="1"/>
      <c r="M3232" s="1"/>
    </row>
    <row x14ac:dyDescent="0.25" r="3233" customHeight="1" ht="18.75">
      <c r="A3233" s="1" t="s">
        <v>3617</v>
      </c>
      <c r="B3233" s="1" t="s">
        <v>11958</v>
      </c>
      <c r="C3233" s="1" t="s">
        <v>3619</v>
      </c>
      <c r="D3233" s="1" t="s">
        <v>3601</v>
      </c>
      <c r="E3233" s="1" t="s">
        <v>3730</v>
      </c>
      <c r="F3233" s="1" t="s">
        <v>12644</v>
      </c>
      <c r="G3233" s="1" t="s">
        <v>11963</v>
      </c>
      <c r="H3233" s="1" t="s">
        <v>3604</v>
      </c>
      <c r="I3233" s="1" t="s">
        <v>12645</v>
      </c>
      <c r="J3233" s="1" t="s">
        <v>3606</v>
      </c>
      <c r="K3233" s="1" t="s">
        <v>12646</v>
      </c>
      <c r="L3233" s="1"/>
      <c r="M3233" s="1"/>
    </row>
    <row x14ac:dyDescent="0.25" r="3234" customHeight="1" ht="18.75">
      <c r="A3234" s="1" t="s">
        <v>3617</v>
      </c>
      <c r="B3234" s="1" t="s">
        <v>11958</v>
      </c>
      <c r="C3234" s="1" t="s">
        <v>3619</v>
      </c>
      <c r="D3234" s="1" t="s">
        <v>3601</v>
      </c>
      <c r="E3234" s="1" t="s">
        <v>3730</v>
      </c>
      <c r="F3234" s="1" t="s">
        <v>12647</v>
      </c>
      <c r="G3234" s="1" t="s">
        <v>11963</v>
      </c>
      <c r="H3234" s="1" t="s">
        <v>3604</v>
      </c>
      <c r="I3234" s="1" t="s">
        <v>12648</v>
      </c>
      <c r="J3234" s="1" t="s">
        <v>3606</v>
      </c>
      <c r="K3234" s="1" t="s">
        <v>12649</v>
      </c>
      <c r="L3234" s="1"/>
      <c r="M3234" s="1"/>
    </row>
    <row x14ac:dyDescent="0.25" r="3235" customHeight="1" ht="18.75">
      <c r="A3235" s="1" t="s">
        <v>3617</v>
      </c>
      <c r="B3235" s="1" t="s">
        <v>11958</v>
      </c>
      <c r="C3235" s="1" t="s">
        <v>3619</v>
      </c>
      <c r="D3235" s="1" t="s">
        <v>3601</v>
      </c>
      <c r="E3235" s="1" t="s">
        <v>3730</v>
      </c>
      <c r="F3235" s="1" t="s">
        <v>12650</v>
      </c>
      <c r="G3235" s="1" t="s">
        <v>11963</v>
      </c>
      <c r="H3235" s="1" t="s">
        <v>3604</v>
      </c>
      <c r="I3235" s="1" t="s">
        <v>12651</v>
      </c>
      <c r="J3235" s="1" t="s">
        <v>3606</v>
      </c>
      <c r="K3235" s="1" t="s">
        <v>12652</v>
      </c>
      <c r="L3235" s="1"/>
      <c r="M3235" s="1"/>
    </row>
    <row x14ac:dyDescent="0.25" r="3236" customHeight="1" ht="18.75">
      <c r="A3236" s="1" t="s">
        <v>3617</v>
      </c>
      <c r="B3236" s="1" t="s">
        <v>11958</v>
      </c>
      <c r="C3236" s="1" t="s">
        <v>3619</v>
      </c>
      <c r="D3236" s="1" t="s">
        <v>3601</v>
      </c>
      <c r="E3236" s="1" t="s">
        <v>3730</v>
      </c>
      <c r="F3236" s="1" t="s">
        <v>12653</v>
      </c>
      <c r="G3236" s="1" t="s">
        <v>11963</v>
      </c>
      <c r="H3236" s="1" t="s">
        <v>3604</v>
      </c>
      <c r="I3236" s="1" t="s">
        <v>12654</v>
      </c>
      <c r="J3236" s="1" t="s">
        <v>3606</v>
      </c>
      <c r="K3236" s="1" t="s">
        <v>12655</v>
      </c>
      <c r="L3236" s="1"/>
      <c r="M3236" s="1"/>
    </row>
    <row x14ac:dyDescent="0.25" r="3237" customHeight="1" ht="18.75">
      <c r="A3237" s="1" t="s">
        <v>3617</v>
      </c>
      <c r="B3237" s="1" t="s">
        <v>11958</v>
      </c>
      <c r="C3237" s="1" t="s">
        <v>3619</v>
      </c>
      <c r="D3237" s="1" t="s">
        <v>3601</v>
      </c>
      <c r="E3237" s="1" t="s">
        <v>3730</v>
      </c>
      <c r="F3237" s="1" t="s">
        <v>12656</v>
      </c>
      <c r="G3237" s="1" t="s">
        <v>11963</v>
      </c>
      <c r="H3237" s="1" t="s">
        <v>3604</v>
      </c>
      <c r="I3237" s="1" t="s">
        <v>12657</v>
      </c>
      <c r="J3237" s="1" t="s">
        <v>3606</v>
      </c>
      <c r="K3237" s="1" t="s">
        <v>12658</v>
      </c>
      <c r="L3237" s="1"/>
      <c r="M3237" s="1"/>
    </row>
    <row x14ac:dyDescent="0.25" r="3238" customHeight="1" ht="18.75">
      <c r="A3238" s="1" t="s">
        <v>3617</v>
      </c>
      <c r="B3238" s="1" t="s">
        <v>11958</v>
      </c>
      <c r="C3238" s="1" t="s">
        <v>3619</v>
      </c>
      <c r="D3238" s="1" t="s">
        <v>3601</v>
      </c>
      <c r="E3238" s="1" t="s">
        <v>3730</v>
      </c>
      <c r="F3238" s="1" t="s">
        <v>12659</v>
      </c>
      <c r="G3238" s="1" t="s">
        <v>11963</v>
      </c>
      <c r="H3238" s="1" t="s">
        <v>3604</v>
      </c>
      <c r="I3238" s="1" t="s">
        <v>12660</v>
      </c>
      <c r="J3238" s="1" t="s">
        <v>3606</v>
      </c>
      <c r="K3238" s="1" t="s">
        <v>12661</v>
      </c>
      <c r="L3238" s="1"/>
      <c r="M3238" s="1"/>
    </row>
    <row x14ac:dyDescent="0.25" r="3239" customHeight="1" ht="18.75">
      <c r="A3239" s="1" t="s">
        <v>3617</v>
      </c>
      <c r="B3239" s="1" t="s">
        <v>11958</v>
      </c>
      <c r="C3239" s="1" t="s">
        <v>3619</v>
      </c>
      <c r="D3239" s="1" t="s">
        <v>3601</v>
      </c>
      <c r="E3239" s="1" t="s">
        <v>3730</v>
      </c>
      <c r="F3239" s="1" t="s">
        <v>12662</v>
      </c>
      <c r="G3239" s="1" t="s">
        <v>11963</v>
      </c>
      <c r="H3239" s="1" t="s">
        <v>3604</v>
      </c>
      <c r="I3239" s="1" t="s">
        <v>12663</v>
      </c>
      <c r="J3239" s="1" t="s">
        <v>3606</v>
      </c>
      <c r="K3239" s="1" t="s">
        <v>12643</v>
      </c>
      <c r="L3239" s="1"/>
      <c r="M3239" s="1"/>
    </row>
    <row x14ac:dyDescent="0.25" r="3240" customHeight="1" ht="18.75">
      <c r="A3240" s="1" t="s">
        <v>3617</v>
      </c>
      <c r="B3240" s="1" t="s">
        <v>11958</v>
      </c>
      <c r="C3240" s="1" t="s">
        <v>3619</v>
      </c>
      <c r="D3240" s="1" t="s">
        <v>3601</v>
      </c>
      <c r="E3240" s="1" t="s">
        <v>3730</v>
      </c>
      <c r="F3240" s="1" t="s">
        <v>12664</v>
      </c>
      <c r="G3240" s="1" t="s">
        <v>11963</v>
      </c>
      <c r="H3240" s="1" t="s">
        <v>3604</v>
      </c>
      <c r="I3240" s="1" t="s">
        <v>12665</v>
      </c>
      <c r="J3240" s="1" t="s">
        <v>3606</v>
      </c>
      <c r="K3240" s="1" t="s">
        <v>12666</v>
      </c>
      <c r="L3240" s="1"/>
      <c r="M3240" s="1"/>
    </row>
    <row x14ac:dyDescent="0.25" r="3241" customHeight="1" ht="18.75">
      <c r="A3241" s="1" t="s">
        <v>3617</v>
      </c>
      <c r="B3241" s="1" t="s">
        <v>11958</v>
      </c>
      <c r="C3241" s="1" t="s">
        <v>3619</v>
      </c>
      <c r="D3241" s="1" t="s">
        <v>3601</v>
      </c>
      <c r="E3241" s="1" t="s">
        <v>3730</v>
      </c>
      <c r="F3241" s="1" t="s">
        <v>12667</v>
      </c>
      <c r="G3241" s="1" t="s">
        <v>11963</v>
      </c>
      <c r="H3241" s="1" t="s">
        <v>3604</v>
      </c>
      <c r="I3241" s="1" t="s">
        <v>12668</v>
      </c>
      <c r="J3241" s="1" t="s">
        <v>3606</v>
      </c>
      <c r="K3241" s="1" t="s">
        <v>12669</v>
      </c>
      <c r="L3241" s="1"/>
      <c r="M3241" s="1"/>
    </row>
    <row x14ac:dyDescent="0.25" r="3242" customHeight="1" ht="18.75">
      <c r="A3242" s="1" t="s">
        <v>3617</v>
      </c>
      <c r="B3242" s="1" t="s">
        <v>11958</v>
      </c>
      <c r="C3242" s="1" t="s">
        <v>3619</v>
      </c>
      <c r="D3242" s="1" t="s">
        <v>3601</v>
      </c>
      <c r="E3242" s="1" t="s">
        <v>3730</v>
      </c>
      <c r="F3242" s="1" t="s">
        <v>12670</v>
      </c>
      <c r="G3242" s="1" t="s">
        <v>11963</v>
      </c>
      <c r="H3242" s="1" t="s">
        <v>3604</v>
      </c>
      <c r="I3242" s="1" t="s">
        <v>12671</v>
      </c>
      <c r="J3242" s="1" t="s">
        <v>3606</v>
      </c>
      <c r="K3242" s="1" t="s">
        <v>12672</v>
      </c>
      <c r="L3242" s="1"/>
      <c r="M3242" s="1"/>
    </row>
    <row x14ac:dyDescent="0.25" r="3243" customHeight="1" ht="18.75">
      <c r="A3243" s="1" t="s">
        <v>3617</v>
      </c>
      <c r="B3243" s="1" t="s">
        <v>11958</v>
      </c>
      <c r="C3243" s="1" t="s">
        <v>3619</v>
      </c>
      <c r="D3243" s="1" t="s">
        <v>3601</v>
      </c>
      <c r="E3243" s="1" t="s">
        <v>3730</v>
      </c>
      <c r="F3243" s="1" t="s">
        <v>12673</v>
      </c>
      <c r="G3243" s="1" t="s">
        <v>11963</v>
      </c>
      <c r="H3243" s="1" t="s">
        <v>3604</v>
      </c>
      <c r="I3243" s="1" t="s">
        <v>12674</v>
      </c>
      <c r="J3243" s="1" t="s">
        <v>3606</v>
      </c>
      <c r="K3243" s="1" t="s">
        <v>12675</v>
      </c>
      <c r="L3243" s="1"/>
      <c r="M3243" s="1"/>
    </row>
    <row x14ac:dyDescent="0.25" r="3244" customHeight="1" ht="18.75">
      <c r="A3244" s="1" t="s">
        <v>3617</v>
      </c>
      <c r="B3244" s="1" t="s">
        <v>11958</v>
      </c>
      <c r="C3244" s="1" t="s">
        <v>3619</v>
      </c>
      <c r="D3244" s="1" t="s">
        <v>3601</v>
      </c>
      <c r="E3244" s="1" t="s">
        <v>3730</v>
      </c>
      <c r="F3244" s="1" t="s">
        <v>12676</v>
      </c>
      <c r="G3244" s="1" t="s">
        <v>11963</v>
      </c>
      <c r="H3244" s="1" t="s">
        <v>3604</v>
      </c>
      <c r="I3244" s="1" t="s">
        <v>12677</v>
      </c>
      <c r="J3244" s="1" t="s">
        <v>3606</v>
      </c>
      <c r="K3244" s="1" t="s">
        <v>12678</v>
      </c>
      <c r="L3244" s="1"/>
      <c r="M3244" s="1"/>
    </row>
    <row x14ac:dyDescent="0.25" r="3245" customHeight="1" ht="18.75">
      <c r="A3245" s="1" t="s">
        <v>3617</v>
      </c>
      <c r="B3245" s="1" t="s">
        <v>11958</v>
      </c>
      <c r="C3245" s="1" t="s">
        <v>3619</v>
      </c>
      <c r="D3245" s="1" t="s">
        <v>3601</v>
      </c>
      <c r="E3245" s="1" t="s">
        <v>3730</v>
      </c>
      <c r="F3245" s="1" t="s">
        <v>12679</v>
      </c>
      <c r="G3245" s="1" t="s">
        <v>11963</v>
      </c>
      <c r="H3245" s="1" t="s">
        <v>3604</v>
      </c>
      <c r="I3245" s="1" t="s">
        <v>12680</v>
      </c>
      <c r="J3245" s="1" t="s">
        <v>3606</v>
      </c>
      <c r="K3245" s="1" t="s">
        <v>12681</v>
      </c>
      <c r="L3245" s="1"/>
      <c r="M3245" s="1"/>
    </row>
    <row x14ac:dyDescent="0.25" r="3246" customHeight="1" ht="18.75">
      <c r="A3246" s="1" t="s">
        <v>3617</v>
      </c>
      <c r="B3246" s="1" t="s">
        <v>11958</v>
      </c>
      <c r="C3246" s="1" t="s">
        <v>3619</v>
      </c>
      <c r="D3246" s="1" t="s">
        <v>3601</v>
      </c>
      <c r="E3246" s="1" t="s">
        <v>3730</v>
      </c>
      <c r="F3246" s="1" t="s">
        <v>12682</v>
      </c>
      <c r="G3246" s="1" t="s">
        <v>11963</v>
      </c>
      <c r="H3246" s="1" t="s">
        <v>3604</v>
      </c>
      <c r="I3246" s="1" t="s">
        <v>12683</v>
      </c>
      <c r="J3246" s="1" t="s">
        <v>3606</v>
      </c>
      <c r="K3246" s="1" t="s">
        <v>12684</v>
      </c>
      <c r="L3246" s="1"/>
      <c r="M3246" s="1"/>
    </row>
    <row x14ac:dyDescent="0.25" r="3247" customHeight="1" ht="18.75">
      <c r="A3247" s="1" t="s">
        <v>3617</v>
      </c>
      <c r="B3247" s="1" t="s">
        <v>11958</v>
      </c>
      <c r="C3247" s="1" t="s">
        <v>3619</v>
      </c>
      <c r="D3247" s="1" t="s">
        <v>3601</v>
      </c>
      <c r="E3247" s="1" t="s">
        <v>3730</v>
      </c>
      <c r="F3247" s="1" t="s">
        <v>12685</v>
      </c>
      <c r="G3247" s="1" t="s">
        <v>11963</v>
      </c>
      <c r="H3247" s="1" t="s">
        <v>3604</v>
      </c>
      <c r="I3247" s="1" t="s">
        <v>12686</v>
      </c>
      <c r="J3247" s="1" t="s">
        <v>3606</v>
      </c>
      <c r="K3247" s="1" t="s">
        <v>12687</v>
      </c>
      <c r="L3247" s="1"/>
      <c r="M3247" s="1"/>
    </row>
    <row x14ac:dyDescent="0.25" r="3248" customHeight="1" ht="18.75">
      <c r="A3248" s="1" t="s">
        <v>3617</v>
      </c>
      <c r="B3248" s="1" t="s">
        <v>4582</v>
      </c>
      <c r="C3248" s="1" t="s">
        <v>4488</v>
      </c>
      <c r="D3248" s="1" t="s">
        <v>8373</v>
      </c>
      <c r="E3248" s="1" t="s">
        <v>4478</v>
      </c>
      <c r="F3248" s="1" t="s">
        <v>12688</v>
      </c>
      <c r="G3248" s="1" t="s">
        <v>12689</v>
      </c>
      <c r="H3248" s="1" t="s">
        <v>3604</v>
      </c>
      <c r="I3248" s="1" t="s">
        <v>12690</v>
      </c>
      <c r="J3248" s="1" t="s">
        <v>3606</v>
      </c>
      <c r="K3248" s="1" t="s">
        <v>12691</v>
      </c>
      <c r="L3248" s="1"/>
      <c r="M3248" s="1"/>
    </row>
    <row x14ac:dyDescent="0.25" r="3249" customHeight="1" ht="18.75">
      <c r="A3249" s="1" t="s">
        <v>3617</v>
      </c>
      <c r="B3249" s="1" t="s">
        <v>4582</v>
      </c>
      <c r="C3249" s="1" t="s">
        <v>4488</v>
      </c>
      <c r="D3249" s="1" t="s">
        <v>8373</v>
      </c>
      <c r="E3249" s="1" t="s">
        <v>4478</v>
      </c>
      <c r="F3249" s="1" t="s">
        <v>12692</v>
      </c>
      <c r="G3249" s="1" t="s">
        <v>12689</v>
      </c>
      <c r="H3249" s="1" t="s">
        <v>3604</v>
      </c>
      <c r="I3249" s="1" t="s">
        <v>12693</v>
      </c>
      <c r="J3249" s="1" t="s">
        <v>3606</v>
      </c>
      <c r="K3249" s="1" t="s">
        <v>12694</v>
      </c>
      <c r="L3249" s="1"/>
      <c r="M3249" s="1"/>
    </row>
    <row x14ac:dyDescent="0.25" r="3250" customHeight="1" ht="18.75">
      <c r="A3250" s="1" t="s">
        <v>3617</v>
      </c>
      <c r="B3250" s="1" t="s">
        <v>4582</v>
      </c>
      <c r="C3250" s="1" t="s">
        <v>4488</v>
      </c>
      <c r="D3250" s="1" t="s">
        <v>8373</v>
      </c>
      <c r="E3250" s="1" t="s">
        <v>4478</v>
      </c>
      <c r="F3250" s="1" t="s">
        <v>12695</v>
      </c>
      <c r="G3250" s="1" t="s">
        <v>12689</v>
      </c>
      <c r="H3250" s="1" t="s">
        <v>3604</v>
      </c>
      <c r="I3250" s="1" t="s">
        <v>12696</v>
      </c>
      <c r="J3250" s="1" t="s">
        <v>3606</v>
      </c>
      <c r="K3250" s="1" t="s">
        <v>12697</v>
      </c>
      <c r="L3250" s="1"/>
      <c r="M3250" s="1"/>
    </row>
    <row x14ac:dyDescent="0.25" r="3251" customHeight="1" ht="18.75">
      <c r="A3251" s="1" t="s">
        <v>3617</v>
      </c>
      <c r="B3251" s="1" t="s">
        <v>4582</v>
      </c>
      <c r="C3251" s="1" t="s">
        <v>4488</v>
      </c>
      <c r="D3251" s="1" t="s">
        <v>3610</v>
      </c>
      <c r="E3251" s="1" t="s">
        <v>4478</v>
      </c>
      <c r="F3251" s="1" t="s">
        <v>12698</v>
      </c>
      <c r="G3251" s="1" t="s">
        <v>12689</v>
      </c>
      <c r="H3251" s="1" t="s">
        <v>3604</v>
      </c>
      <c r="I3251" s="1" t="s">
        <v>12699</v>
      </c>
      <c r="J3251" s="1" t="s">
        <v>3606</v>
      </c>
      <c r="K3251" s="1" t="s">
        <v>10727</v>
      </c>
      <c r="L3251" s="1"/>
      <c r="M3251" s="1"/>
    </row>
    <row x14ac:dyDescent="0.25" r="3252" customHeight="1" ht="18.75">
      <c r="A3252" s="1" t="s">
        <v>3617</v>
      </c>
      <c r="B3252" s="1" t="s">
        <v>4582</v>
      </c>
      <c r="C3252" s="1" t="s">
        <v>4488</v>
      </c>
      <c r="D3252" s="1" t="s">
        <v>3610</v>
      </c>
      <c r="E3252" s="1" t="s">
        <v>4478</v>
      </c>
      <c r="F3252" s="1" t="s">
        <v>12700</v>
      </c>
      <c r="G3252" s="1" t="s">
        <v>12689</v>
      </c>
      <c r="H3252" s="1" t="s">
        <v>3604</v>
      </c>
      <c r="I3252" s="1" t="s">
        <v>12701</v>
      </c>
      <c r="J3252" s="1" t="s">
        <v>3606</v>
      </c>
      <c r="K3252" s="1" t="s">
        <v>12702</v>
      </c>
      <c r="L3252" s="1"/>
      <c r="M3252" s="1"/>
    </row>
    <row x14ac:dyDescent="0.25" r="3253" customHeight="1" ht="18.75">
      <c r="A3253" s="1" t="s">
        <v>3617</v>
      </c>
      <c r="B3253" s="1" t="s">
        <v>4582</v>
      </c>
      <c r="C3253" s="1" t="s">
        <v>4488</v>
      </c>
      <c r="D3253" s="1" t="s">
        <v>3695</v>
      </c>
      <c r="E3253" s="1" t="s">
        <v>4478</v>
      </c>
      <c r="F3253" s="1" t="s">
        <v>12703</v>
      </c>
      <c r="G3253" s="1" t="s">
        <v>12689</v>
      </c>
      <c r="H3253" s="1" t="s">
        <v>3604</v>
      </c>
      <c r="I3253" s="1" t="s">
        <v>12704</v>
      </c>
      <c r="J3253" s="1" t="s">
        <v>3606</v>
      </c>
      <c r="K3253" s="1" t="s">
        <v>12705</v>
      </c>
      <c r="L3253" s="1"/>
      <c r="M3253" s="1"/>
    </row>
    <row x14ac:dyDescent="0.25" r="3254" customHeight="1" ht="18.75">
      <c r="A3254" s="1" t="s">
        <v>3617</v>
      </c>
      <c r="B3254" s="1" t="s">
        <v>4582</v>
      </c>
      <c r="C3254" s="1" t="s">
        <v>4488</v>
      </c>
      <c r="D3254" s="1" t="s">
        <v>3695</v>
      </c>
      <c r="E3254" s="1" t="s">
        <v>4478</v>
      </c>
      <c r="F3254" s="1" t="s">
        <v>12706</v>
      </c>
      <c r="G3254" s="1" t="s">
        <v>12689</v>
      </c>
      <c r="H3254" s="1" t="s">
        <v>3604</v>
      </c>
      <c r="I3254" s="1" t="s">
        <v>12707</v>
      </c>
      <c r="J3254" s="1" t="s">
        <v>3606</v>
      </c>
      <c r="K3254" s="1" t="s">
        <v>12708</v>
      </c>
      <c r="L3254" s="1"/>
      <c r="M3254" s="1"/>
    </row>
    <row x14ac:dyDescent="0.25" r="3255" customHeight="1" ht="18.75">
      <c r="A3255" s="1" t="s">
        <v>3617</v>
      </c>
      <c r="B3255" s="1" t="s">
        <v>4582</v>
      </c>
      <c r="C3255" s="1" t="s">
        <v>4488</v>
      </c>
      <c r="D3255" s="1" t="s">
        <v>3695</v>
      </c>
      <c r="E3255" s="1" t="s">
        <v>4478</v>
      </c>
      <c r="F3255" s="1" t="s">
        <v>12709</v>
      </c>
      <c r="G3255" s="1" t="s">
        <v>12689</v>
      </c>
      <c r="H3255" s="1" t="s">
        <v>3604</v>
      </c>
      <c r="I3255" s="1" t="s">
        <v>12710</v>
      </c>
      <c r="J3255" s="1" t="s">
        <v>3606</v>
      </c>
      <c r="K3255" s="1" t="s">
        <v>12711</v>
      </c>
      <c r="L3255" s="1"/>
      <c r="M3255" s="1"/>
    </row>
    <row x14ac:dyDescent="0.25" r="3256" customHeight="1" ht="18.75">
      <c r="A3256" s="1" t="s">
        <v>3617</v>
      </c>
      <c r="B3256" s="1" t="s">
        <v>4582</v>
      </c>
      <c r="C3256" s="1" t="s">
        <v>4488</v>
      </c>
      <c r="D3256" s="1" t="s">
        <v>3610</v>
      </c>
      <c r="E3256" s="1" t="s">
        <v>4478</v>
      </c>
      <c r="F3256" s="1" t="s">
        <v>12712</v>
      </c>
      <c r="G3256" s="1" t="s">
        <v>12689</v>
      </c>
      <c r="H3256" s="1" t="s">
        <v>3604</v>
      </c>
      <c r="I3256" s="1" t="s">
        <v>12713</v>
      </c>
      <c r="J3256" s="1" t="s">
        <v>3606</v>
      </c>
      <c r="K3256" s="1" t="s">
        <v>10733</v>
      </c>
      <c r="L3256" s="1"/>
      <c r="M3256" s="1"/>
    </row>
    <row x14ac:dyDescent="0.25" r="3257" customHeight="1" ht="18.75">
      <c r="A3257" s="1" t="s">
        <v>3617</v>
      </c>
      <c r="B3257" s="1" t="s">
        <v>4582</v>
      </c>
      <c r="C3257" s="1" t="s">
        <v>4488</v>
      </c>
      <c r="D3257" s="1" t="s">
        <v>3610</v>
      </c>
      <c r="E3257" s="1" t="s">
        <v>4478</v>
      </c>
      <c r="F3257" s="1" t="s">
        <v>12714</v>
      </c>
      <c r="G3257" s="1" t="s">
        <v>12689</v>
      </c>
      <c r="H3257" s="1" t="s">
        <v>3604</v>
      </c>
      <c r="I3257" s="1" t="s">
        <v>12715</v>
      </c>
      <c r="J3257" s="1" t="s">
        <v>3606</v>
      </c>
      <c r="K3257" s="1" t="s">
        <v>12716</v>
      </c>
      <c r="L3257" s="1"/>
      <c r="M3257" s="1"/>
    </row>
    <row x14ac:dyDescent="0.25" r="3258" customHeight="1" ht="18.75">
      <c r="A3258" s="1" t="s">
        <v>3617</v>
      </c>
      <c r="B3258" s="1" t="s">
        <v>4582</v>
      </c>
      <c r="C3258" s="1" t="s">
        <v>4488</v>
      </c>
      <c r="D3258" s="1" t="s">
        <v>3610</v>
      </c>
      <c r="E3258" s="1" t="s">
        <v>4478</v>
      </c>
      <c r="F3258" s="1" t="s">
        <v>12717</v>
      </c>
      <c r="G3258" s="1" t="s">
        <v>10946</v>
      </c>
      <c r="H3258" s="1" t="s">
        <v>3604</v>
      </c>
      <c r="I3258" s="1" t="s">
        <v>12718</v>
      </c>
      <c r="J3258" s="1" t="s">
        <v>3606</v>
      </c>
      <c r="K3258" s="1" t="s">
        <v>12719</v>
      </c>
      <c r="L3258" s="1"/>
      <c r="M3258" s="1"/>
    </row>
    <row x14ac:dyDescent="0.25" r="3259" customHeight="1" ht="18.75">
      <c r="A3259" s="1" t="s">
        <v>3617</v>
      </c>
      <c r="B3259" s="1" t="s">
        <v>4582</v>
      </c>
      <c r="C3259" s="1" t="s">
        <v>4488</v>
      </c>
      <c r="D3259" s="1" t="s">
        <v>3695</v>
      </c>
      <c r="E3259" s="1" t="s">
        <v>4478</v>
      </c>
      <c r="F3259" s="1" t="s">
        <v>12720</v>
      </c>
      <c r="G3259" s="1" t="s">
        <v>10946</v>
      </c>
      <c r="H3259" s="1" t="s">
        <v>3604</v>
      </c>
      <c r="I3259" s="1" t="s">
        <v>12721</v>
      </c>
      <c r="J3259" s="1" t="s">
        <v>3606</v>
      </c>
      <c r="K3259" s="1" t="s">
        <v>12722</v>
      </c>
      <c r="L3259" s="1"/>
      <c r="M3259" s="1"/>
    </row>
    <row x14ac:dyDescent="0.25" r="3260" customHeight="1" ht="18.75">
      <c r="A3260" s="1" t="s">
        <v>3617</v>
      </c>
      <c r="B3260" s="1" t="s">
        <v>4582</v>
      </c>
      <c r="C3260" s="1" t="s">
        <v>4488</v>
      </c>
      <c r="D3260" s="1" t="s">
        <v>3695</v>
      </c>
      <c r="E3260" s="1" t="s">
        <v>4478</v>
      </c>
      <c r="F3260" s="1" t="s">
        <v>12723</v>
      </c>
      <c r="G3260" s="1" t="s">
        <v>10946</v>
      </c>
      <c r="H3260" s="1" t="s">
        <v>3604</v>
      </c>
      <c r="I3260" s="1" t="s">
        <v>12724</v>
      </c>
      <c r="J3260" s="1" t="s">
        <v>3606</v>
      </c>
      <c r="K3260" s="1" t="s">
        <v>12725</v>
      </c>
      <c r="L3260" s="1"/>
      <c r="M3260" s="1"/>
    </row>
    <row x14ac:dyDescent="0.25" r="3261" customHeight="1" ht="18.75">
      <c r="A3261" s="1" t="s">
        <v>3617</v>
      </c>
      <c r="B3261" s="1" t="s">
        <v>4582</v>
      </c>
      <c r="C3261" s="1" t="s">
        <v>4488</v>
      </c>
      <c r="D3261" s="1" t="s">
        <v>3695</v>
      </c>
      <c r="E3261" s="1" t="s">
        <v>4478</v>
      </c>
      <c r="F3261" s="1" t="s">
        <v>12726</v>
      </c>
      <c r="G3261" s="1" t="s">
        <v>10946</v>
      </c>
      <c r="H3261" s="1" t="s">
        <v>3604</v>
      </c>
      <c r="I3261" s="1" t="s">
        <v>12727</v>
      </c>
      <c r="J3261" s="1" t="s">
        <v>3606</v>
      </c>
      <c r="K3261" s="1" t="s">
        <v>12728</v>
      </c>
      <c r="L3261" s="1"/>
      <c r="M3261" s="1"/>
    </row>
    <row x14ac:dyDescent="0.25" r="3262" customHeight="1" ht="18.75">
      <c r="A3262" s="1" t="s">
        <v>3617</v>
      </c>
      <c r="B3262" s="1" t="s">
        <v>4582</v>
      </c>
      <c r="C3262" s="1" t="s">
        <v>4488</v>
      </c>
      <c r="D3262" s="1" t="s">
        <v>3610</v>
      </c>
      <c r="E3262" s="1" t="s">
        <v>4478</v>
      </c>
      <c r="F3262" s="1" t="s">
        <v>12729</v>
      </c>
      <c r="G3262" s="1" t="s">
        <v>10946</v>
      </c>
      <c r="H3262" s="1" t="s">
        <v>3604</v>
      </c>
      <c r="I3262" s="1" t="s">
        <v>12730</v>
      </c>
      <c r="J3262" s="1" t="s">
        <v>3606</v>
      </c>
      <c r="K3262" s="1" t="s">
        <v>12731</v>
      </c>
      <c r="L3262" s="1"/>
      <c r="M3262" s="1"/>
    </row>
    <row x14ac:dyDescent="0.25" r="3263" customHeight="1" ht="18.75">
      <c r="A3263" s="1" t="s">
        <v>3617</v>
      </c>
      <c r="B3263" s="1" t="s">
        <v>4582</v>
      </c>
      <c r="C3263" s="1" t="s">
        <v>4488</v>
      </c>
      <c r="D3263" s="1" t="s">
        <v>8373</v>
      </c>
      <c r="E3263" s="1" t="s">
        <v>8096</v>
      </c>
      <c r="F3263" s="1" t="s">
        <v>12732</v>
      </c>
      <c r="G3263" s="1" t="s">
        <v>12689</v>
      </c>
      <c r="H3263" s="1" t="s">
        <v>3604</v>
      </c>
      <c r="I3263" s="1" t="s">
        <v>12733</v>
      </c>
      <c r="J3263" s="1" t="s">
        <v>3606</v>
      </c>
      <c r="K3263" s="1" t="s">
        <v>12734</v>
      </c>
      <c r="L3263" s="1"/>
      <c r="M3263" s="1"/>
    </row>
    <row x14ac:dyDescent="0.25" r="3264" customHeight="1" ht="18.75">
      <c r="A3264" s="1" t="s">
        <v>3617</v>
      </c>
      <c r="B3264" s="1" t="s">
        <v>4582</v>
      </c>
      <c r="C3264" s="1" t="s">
        <v>4488</v>
      </c>
      <c r="D3264" s="1" t="s">
        <v>8373</v>
      </c>
      <c r="E3264" s="1" t="s">
        <v>8096</v>
      </c>
      <c r="F3264" s="1" t="s">
        <v>12735</v>
      </c>
      <c r="G3264" s="1" t="s">
        <v>12689</v>
      </c>
      <c r="H3264" s="1" t="s">
        <v>3604</v>
      </c>
      <c r="I3264" s="1" t="s">
        <v>12736</v>
      </c>
      <c r="J3264" s="1" t="s">
        <v>3606</v>
      </c>
      <c r="K3264" s="1" t="s">
        <v>12737</v>
      </c>
      <c r="L3264" s="1"/>
      <c r="M3264" s="1"/>
    </row>
    <row x14ac:dyDescent="0.25" r="3265" customHeight="1" ht="18.75">
      <c r="A3265" s="1" t="s">
        <v>3617</v>
      </c>
      <c r="B3265" s="1" t="s">
        <v>4582</v>
      </c>
      <c r="C3265" s="1" t="s">
        <v>4488</v>
      </c>
      <c r="D3265" s="1" t="s">
        <v>8373</v>
      </c>
      <c r="E3265" s="1" t="s">
        <v>8096</v>
      </c>
      <c r="F3265" s="1" t="s">
        <v>12738</v>
      </c>
      <c r="G3265" s="1" t="s">
        <v>12689</v>
      </c>
      <c r="H3265" s="1" t="s">
        <v>3604</v>
      </c>
      <c r="I3265" s="1" t="s">
        <v>12739</v>
      </c>
      <c r="J3265" s="1" t="s">
        <v>3606</v>
      </c>
      <c r="K3265" s="1" t="s">
        <v>12740</v>
      </c>
      <c r="L3265" s="1"/>
      <c r="M3265" s="1"/>
    </row>
    <row x14ac:dyDescent="0.25" r="3266" customHeight="1" ht="18.75">
      <c r="A3266" s="1" t="s">
        <v>3617</v>
      </c>
      <c r="B3266" s="1" t="s">
        <v>4582</v>
      </c>
      <c r="C3266" s="1" t="s">
        <v>4488</v>
      </c>
      <c r="D3266" s="1" t="s">
        <v>7891</v>
      </c>
      <c r="E3266" s="1" t="s">
        <v>3752</v>
      </c>
      <c r="F3266" s="1" t="s">
        <v>12741</v>
      </c>
      <c r="G3266" s="1" t="s">
        <v>10946</v>
      </c>
      <c r="H3266" s="1" t="s">
        <v>3604</v>
      </c>
      <c r="I3266" s="1" t="s">
        <v>12742</v>
      </c>
      <c r="J3266" s="1" t="s">
        <v>3606</v>
      </c>
      <c r="K3266" s="1" t="s">
        <v>12743</v>
      </c>
      <c r="L3266" s="1"/>
      <c r="M3266" s="1"/>
    </row>
    <row x14ac:dyDescent="0.25" r="3267" customHeight="1" ht="18.75">
      <c r="A3267" s="1" t="s">
        <v>3617</v>
      </c>
      <c r="B3267" s="1" t="s">
        <v>4582</v>
      </c>
      <c r="C3267" s="1" t="s">
        <v>4488</v>
      </c>
      <c r="D3267" s="1" t="s">
        <v>7891</v>
      </c>
      <c r="E3267" s="1" t="s">
        <v>3752</v>
      </c>
      <c r="F3267" s="1" t="s">
        <v>12744</v>
      </c>
      <c r="G3267" s="1" t="s">
        <v>10946</v>
      </c>
      <c r="H3267" s="1" t="s">
        <v>3604</v>
      </c>
      <c r="I3267" s="1" t="s">
        <v>12745</v>
      </c>
      <c r="J3267" s="1" t="s">
        <v>3606</v>
      </c>
      <c r="K3267" s="1" t="s">
        <v>12746</v>
      </c>
      <c r="L3267" s="1"/>
      <c r="M3267" s="1"/>
    </row>
    <row x14ac:dyDescent="0.25" r="3268" customHeight="1" ht="18.75">
      <c r="A3268" s="1" t="s">
        <v>3617</v>
      </c>
      <c r="B3268" s="1" t="s">
        <v>4582</v>
      </c>
      <c r="C3268" s="1" t="s">
        <v>4488</v>
      </c>
      <c r="D3268" s="1" t="s">
        <v>7891</v>
      </c>
      <c r="E3268" s="1" t="s">
        <v>3752</v>
      </c>
      <c r="F3268" s="1" t="s">
        <v>12747</v>
      </c>
      <c r="G3268" s="1" t="s">
        <v>10946</v>
      </c>
      <c r="H3268" s="1" t="s">
        <v>3604</v>
      </c>
      <c r="I3268" s="1" t="s">
        <v>12748</v>
      </c>
      <c r="J3268" s="1" t="s">
        <v>3606</v>
      </c>
      <c r="K3268" s="1" t="s">
        <v>12749</v>
      </c>
      <c r="L3268" s="1"/>
      <c r="M3268" s="1"/>
    </row>
    <row x14ac:dyDescent="0.25" r="3269" customHeight="1" ht="18.75">
      <c r="A3269" s="1" t="s">
        <v>3617</v>
      </c>
      <c r="B3269" s="1" t="s">
        <v>4582</v>
      </c>
      <c r="C3269" s="1" t="s">
        <v>4488</v>
      </c>
      <c r="D3269" s="1" t="s">
        <v>3610</v>
      </c>
      <c r="E3269" s="1" t="s">
        <v>3752</v>
      </c>
      <c r="F3269" s="1" t="s">
        <v>12750</v>
      </c>
      <c r="G3269" s="1" t="s">
        <v>10946</v>
      </c>
      <c r="H3269" s="1" t="s">
        <v>3604</v>
      </c>
      <c r="I3269" s="1" t="s">
        <v>12751</v>
      </c>
      <c r="J3269" s="1" t="s">
        <v>3606</v>
      </c>
      <c r="K3269" s="1" t="s">
        <v>12752</v>
      </c>
      <c r="L3269" s="1"/>
      <c r="M3269" s="1"/>
    </row>
    <row x14ac:dyDescent="0.25" r="3270" customHeight="1" ht="18.75">
      <c r="A3270" s="1" t="s">
        <v>3617</v>
      </c>
      <c r="B3270" s="1" t="s">
        <v>4582</v>
      </c>
      <c r="C3270" s="1" t="s">
        <v>4488</v>
      </c>
      <c r="D3270" s="1" t="s">
        <v>3610</v>
      </c>
      <c r="E3270" s="1" t="s">
        <v>3752</v>
      </c>
      <c r="F3270" s="1" t="s">
        <v>12753</v>
      </c>
      <c r="G3270" s="1" t="s">
        <v>12754</v>
      </c>
      <c r="H3270" s="1" t="s">
        <v>3604</v>
      </c>
      <c r="I3270" s="1" t="s">
        <v>12755</v>
      </c>
      <c r="J3270" s="1" t="s">
        <v>3606</v>
      </c>
      <c r="K3270" s="1" t="s">
        <v>12756</v>
      </c>
      <c r="L3270" s="1"/>
      <c r="M3270" s="1"/>
    </row>
    <row x14ac:dyDescent="0.25" r="3271" customHeight="1" ht="18.75">
      <c r="A3271" s="1" t="s">
        <v>3617</v>
      </c>
      <c r="B3271" s="1" t="s">
        <v>4582</v>
      </c>
      <c r="C3271" s="1" t="s">
        <v>4488</v>
      </c>
      <c r="D3271" s="1" t="s">
        <v>3610</v>
      </c>
      <c r="E3271" s="1" t="s">
        <v>3752</v>
      </c>
      <c r="F3271" s="1" t="s">
        <v>12757</v>
      </c>
      <c r="G3271" s="1" t="s">
        <v>12758</v>
      </c>
      <c r="H3271" s="1" t="s">
        <v>3604</v>
      </c>
      <c r="I3271" s="1" t="s">
        <v>12759</v>
      </c>
      <c r="J3271" s="1" t="s">
        <v>3606</v>
      </c>
      <c r="K3271" s="1" t="s">
        <v>12760</v>
      </c>
      <c r="L3271" s="1"/>
      <c r="M3271" s="1"/>
    </row>
    <row x14ac:dyDescent="0.25" r="3272" customHeight="1" ht="18.75">
      <c r="A3272" s="1" t="s">
        <v>3617</v>
      </c>
      <c r="B3272" s="1" t="s">
        <v>4582</v>
      </c>
      <c r="C3272" s="1" t="s">
        <v>4488</v>
      </c>
      <c r="D3272" s="1" t="s">
        <v>3610</v>
      </c>
      <c r="E3272" s="1" t="s">
        <v>3752</v>
      </c>
      <c r="F3272" s="1" t="s">
        <v>12761</v>
      </c>
      <c r="G3272" s="1" t="s">
        <v>12762</v>
      </c>
      <c r="H3272" s="1" t="s">
        <v>3604</v>
      </c>
      <c r="I3272" s="1" t="s">
        <v>12763</v>
      </c>
      <c r="J3272" s="1" t="s">
        <v>3606</v>
      </c>
      <c r="K3272" s="1" t="s">
        <v>12764</v>
      </c>
      <c r="L3272" s="1"/>
      <c r="M3272" s="1"/>
    </row>
    <row x14ac:dyDescent="0.25" r="3273" customHeight="1" ht="18.75">
      <c r="A3273" s="1" t="s">
        <v>3617</v>
      </c>
      <c r="B3273" s="1" t="s">
        <v>4582</v>
      </c>
      <c r="C3273" s="1" t="s">
        <v>4488</v>
      </c>
      <c r="D3273" s="1" t="s">
        <v>3610</v>
      </c>
      <c r="E3273" s="1" t="s">
        <v>3752</v>
      </c>
      <c r="F3273" s="1" t="s">
        <v>12765</v>
      </c>
      <c r="G3273" s="1" t="s">
        <v>10946</v>
      </c>
      <c r="H3273" s="1" t="s">
        <v>3604</v>
      </c>
      <c r="I3273" s="1" t="s">
        <v>12766</v>
      </c>
      <c r="J3273" s="1" t="s">
        <v>3606</v>
      </c>
      <c r="K3273" s="1" t="s">
        <v>12767</v>
      </c>
      <c r="L3273" s="1"/>
      <c r="M3273" s="1"/>
    </row>
    <row x14ac:dyDescent="0.25" r="3274" customHeight="1" ht="18.75">
      <c r="A3274" s="1" t="s">
        <v>3617</v>
      </c>
      <c r="B3274" s="1" t="s">
        <v>4582</v>
      </c>
      <c r="C3274" s="1" t="s">
        <v>4488</v>
      </c>
      <c r="D3274" s="1" t="s">
        <v>8373</v>
      </c>
      <c r="E3274" s="1" t="s">
        <v>4478</v>
      </c>
      <c r="F3274" s="1" t="s">
        <v>12768</v>
      </c>
      <c r="G3274" s="1" t="s">
        <v>12769</v>
      </c>
      <c r="H3274" s="1" t="s">
        <v>3604</v>
      </c>
      <c r="I3274" s="1" t="s">
        <v>12770</v>
      </c>
      <c r="J3274" s="1" t="s">
        <v>3606</v>
      </c>
      <c r="K3274" s="1" t="s">
        <v>12771</v>
      </c>
      <c r="L3274" s="1"/>
      <c r="M3274" s="1"/>
    </row>
    <row x14ac:dyDescent="0.25" r="3275" customHeight="1" ht="18.75">
      <c r="A3275" s="1" t="s">
        <v>3617</v>
      </c>
      <c r="B3275" s="1" t="s">
        <v>4582</v>
      </c>
      <c r="C3275" s="1" t="s">
        <v>4488</v>
      </c>
      <c r="D3275" s="1" t="s">
        <v>8373</v>
      </c>
      <c r="E3275" s="1" t="s">
        <v>8096</v>
      </c>
      <c r="F3275" s="1" t="s">
        <v>12772</v>
      </c>
      <c r="G3275" s="1" t="s">
        <v>12769</v>
      </c>
      <c r="H3275" s="1" t="s">
        <v>3604</v>
      </c>
      <c r="I3275" s="1" t="s">
        <v>12773</v>
      </c>
      <c r="J3275" s="1" t="s">
        <v>3606</v>
      </c>
      <c r="K3275" s="1" t="s">
        <v>12774</v>
      </c>
      <c r="L3275" s="1"/>
      <c r="M3275" s="1"/>
    </row>
    <row x14ac:dyDescent="0.25" r="3276" customHeight="1" ht="18.75">
      <c r="A3276" s="1" t="s">
        <v>3617</v>
      </c>
      <c r="B3276" s="1" t="s">
        <v>4582</v>
      </c>
      <c r="C3276" s="1" t="s">
        <v>4488</v>
      </c>
      <c r="D3276" s="1" t="s">
        <v>3601</v>
      </c>
      <c r="E3276" s="1" t="s">
        <v>4478</v>
      </c>
      <c r="F3276" s="1" t="s">
        <v>12775</v>
      </c>
      <c r="G3276" s="1" t="s">
        <v>10946</v>
      </c>
      <c r="H3276" s="1" t="s">
        <v>3604</v>
      </c>
      <c r="I3276" s="1" t="s">
        <v>12776</v>
      </c>
      <c r="J3276" s="1" t="s">
        <v>3606</v>
      </c>
      <c r="K3276" s="1" t="s">
        <v>12767</v>
      </c>
      <c r="L3276" s="1"/>
      <c r="M3276" s="1"/>
    </row>
    <row x14ac:dyDescent="0.25" r="3277" customHeight="1" ht="18.75">
      <c r="A3277" s="1" t="s">
        <v>3617</v>
      </c>
      <c r="B3277" s="1" t="s">
        <v>4582</v>
      </c>
      <c r="C3277" s="1" t="s">
        <v>4488</v>
      </c>
      <c r="D3277" s="1" t="s">
        <v>3601</v>
      </c>
      <c r="E3277" s="1" t="s">
        <v>4478</v>
      </c>
      <c r="F3277" s="1" t="s">
        <v>12777</v>
      </c>
      <c r="G3277" s="1" t="s">
        <v>10946</v>
      </c>
      <c r="H3277" s="1" t="s">
        <v>3604</v>
      </c>
      <c r="I3277" s="1" t="s">
        <v>12778</v>
      </c>
      <c r="J3277" s="1" t="s">
        <v>3606</v>
      </c>
      <c r="K3277" s="1" t="s">
        <v>12779</v>
      </c>
      <c r="L3277" s="1"/>
      <c r="M3277" s="1"/>
    </row>
    <row x14ac:dyDescent="0.25" r="3278" customHeight="1" ht="18.75">
      <c r="A3278" s="1" t="s">
        <v>3617</v>
      </c>
      <c r="B3278" s="1" t="s">
        <v>4582</v>
      </c>
      <c r="C3278" s="1" t="s">
        <v>4488</v>
      </c>
      <c r="D3278" s="1" t="s">
        <v>3601</v>
      </c>
      <c r="E3278" s="1" t="s">
        <v>4478</v>
      </c>
      <c r="F3278" s="1" t="s">
        <v>10843</v>
      </c>
      <c r="G3278" s="1" t="s">
        <v>10946</v>
      </c>
      <c r="H3278" s="1" t="s">
        <v>3604</v>
      </c>
      <c r="I3278" s="1" t="s">
        <v>12780</v>
      </c>
      <c r="J3278" s="1" t="s">
        <v>3606</v>
      </c>
      <c r="K3278" s="1" t="s">
        <v>10845</v>
      </c>
      <c r="L3278" s="1"/>
      <c r="M3278" s="1"/>
    </row>
    <row x14ac:dyDescent="0.25" r="3279" customHeight="1" ht="18.75">
      <c r="A3279" s="1" t="s">
        <v>3617</v>
      </c>
      <c r="B3279" s="1" t="s">
        <v>4582</v>
      </c>
      <c r="C3279" s="1" t="s">
        <v>4488</v>
      </c>
      <c r="D3279" s="1" t="s">
        <v>3601</v>
      </c>
      <c r="E3279" s="1" t="s">
        <v>4478</v>
      </c>
      <c r="F3279" s="1" t="s">
        <v>12781</v>
      </c>
      <c r="G3279" s="1" t="s">
        <v>10946</v>
      </c>
      <c r="H3279" s="1" t="s">
        <v>3604</v>
      </c>
      <c r="I3279" s="1" t="s">
        <v>12782</v>
      </c>
      <c r="J3279" s="1" t="s">
        <v>3606</v>
      </c>
      <c r="K3279" s="1" t="s">
        <v>12783</v>
      </c>
      <c r="L3279" s="1"/>
      <c r="M3279" s="1"/>
    </row>
    <row x14ac:dyDescent="0.25" r="3280" customHeight="1" ht="18.75">
      <c r="A3280" s="1" t="s">
        <v>3617</v>
      </c>
      <c r="B3280" s="1" t="s">
        <v>4582</v>
      </c>
      <c r="C3280" s="1" t="s">
        <v>4488</v>
      </c>
      <c r="D3280" s="1" t="s">
        <v>3601</v>
      </c>
      <c r="E3280" s="1" t="s">
        <v>4478</v>
      </c>
      <c r="F3280" s="1" t="s">
        <v>10837</v>
      </c>
      <c r="G3280" s="1" t="s">
        <v>10946</v>
      </c>
      <c r="H3280" s="1" t="s">
        <v>3604</v>
      </c>
      <c r="I3280" s="1" t="s">
        <v>12784</v>
      </c>
      <c r="J3280" s="1" t="s">
        <v>3606</v>
      </c>
      <c r="K3280" s="1" t="s">
        <v>10839</v>
      </c>
      <c r="L3280" s="1"/>
      <c r="M3280" s="1"/>
    </row>
    <row x14ac:dyDescent="0.25" r="3281" customHeight="1" ht="18.75">
      <c r="A3281" s="1" t="s">
        <v>3617</v>
      </c>
      <c r="B3281" s="1" t="s">
        <v>4582</v>
      </c>
      <c r="C3281" s="1" t="s">
        <v>4488</v>
      </c>
      <c r="D3281" s="1" t="s">
        <v>3601</v>
      </c>
      <c r="E3281" s="1" t="s">
        <v>4478</v>
      </c>
      <c r="F3281" s="1" t="s">
        <v>12785</v>
      </c>
      <c r="G3281" s="1" t="s">
        <v>10946</v>
      </c>
      <c r="H3281" s="1" t="s">
        <v>3604</v>
      </c>
      <c r="I3281" s="1" t="s">
        <v>12786</v>
      </c>
      <c r="J3281" s="1" t="s">
        <v>3606</v>
      </c>
      <c r="K3281" s="1" t="s">
        <v>12787</v>
      </c>
      <c r="L3281" s="1"/>
      <c r="M3281" s="1"/>
    </row>
    <row x14ac:dyDescent="0.25" r="3282" customHeight="1" ht="18.75">
      <c r="A3282" s="1" t="s">
        <v>3617</v>
      </c>
      <c r="B3282" s="1" t="s">
        <v>4582</v>
      </c>
      <c r="C3282" s="1" t="s">
        <v>4488</v>
      </c>
      <c r="D3282" s="1" t="s">
        <v>3601</v>
      </c>
      <c r="E3282" s="1" t="s">
        <v>4478</v>
      </c>
      <c r="F3282" s="1" t="s">
        <v>10834</v>
      </c>
      <c r="G3282" s="1" t="s">
        <v>10946</v>
      </c>
      <c r="H3282" s="1" t="s">
        <v>3604</v>
      </c>
      <c r="I3282" s="1" t="s">
        <v>12788</v>
      </c>
      <c r="J3282" s="1" t="s">
        <v>3606</v>
      </c>
      <c r="K3282" s="1" t="s">
        <v>10836</v>
      </c>
      <c r="L3282" s="1"/>
      <c r="M3282" s="1"/>
    </row>
    <row x14ac:dyDescent="0.25" r="3283" customHeight="1" ht="18.75">
      <c r="A3283" s="1" t="s">
        <v>3617</v>
      </c>
      <c r="B3283" s="1" t="s">
        <v>4582</v>
      </c>
      <c r="C3283" s="1" t="s">
        <v>4488</v>
      </c>
      <c r="D3283" s="1" t="s">
        <v>3601</v>
      </c>
      <c r="E3283" s="1" t="s">
        <v>4478</v>
      </c>
      <c r="F3283" s="1" t="s">
        <v>12789</v>
      </c>
      <c r="G3283" s="1" t="s">
        <v>10946</v>
      </c>
      <c r="H3283" s="1" t="s">
        <v>3604</v>
      </c>
      <c r="I3283" s="1" t="s">
        <v>12790</v>
      </c>
      <c r="J3283" s="1" t="s">
        <v>3606</v>
      </c>
      <c r="K3283" s="1" t="s">
        <v>12791</v>
      </c>
      <c r="L3283" s="1"/>
      <c r="M3283" s="1"/>
    </row>
    <row x14ac:dyDescent="0.25" r="3284" customHeight="1" ht="18.75">
      <c r="A3284" s="1" t="s">
        <v>3617</v>
      </c>
      <c r="B3284" s="1" t="s">
        <v>4582</v>
      </c>
      <c r="C3284" s="1" t="s">
        <v>4488</v>
      </c>
      <c r="D3284" s="1" t="s">
        <v>3601</v>
      </c>
      <c r="E3284" s="1" t="s">
        <v>4478</v>
      </c>
      <c r="F3284" s="1" t="s">
        <v>12792</v>
      </c>
      <c r="G3284" s="1" t="s">
        <v>10946</v>
      </c>
      <c r="H3284" s="1" t="s">
        <v>3604</v>
      </c>
      <c r="I3284" s="1" t="s">
        <v>12793</v>
      </c>
      <c r="J3284" s="1" t="s">
        <v>3606</v>
      </c>
      <c r="K3284" s="1" t="s">
        <v>12794</v>
      </c>
      <c r="L3284" s="1"/>
      <c r="M3284" s="1"/>
    </row>
    <row x14ac:dyDescent="0.25" r="3285" customHeight="1" ht="18.75">
      <c r="A3285" s="1" t="s">
        <v>3617</v>
      </c>
      <c r="B3285" s="1" t="s">
        <v>4582</v>
      </c>
      <c r="C3285" s="1" t="s">
        <v>4488</v>
      </c>
      <c r="D3285" s="1" t="s">
        <v>3601</v>
      </c>
      <c r="E3285" s="1" t="s">
        <v>4478</v>
      </c>
      <c r="F3285" s="1" t="s">
        <v>12795</v>
      </c>
      <c r="G3285" s="1" t="s">
        <v>10946</v>
      </c>
      <c r="H3285" s="1" t="s">
        <v>3604</v>
      </c>
      <c r="I3285" s="1" t="s">
        <v>12796</v>
      </c>
      <c r="J3285" s="1" t="s">
        <v>3606</v>
      </c>
      <c r="K3285" s="1" t="s">
        <v>12797</v>
      </c>
      <c r="L3285" s="1"/>
      <c r="M3285" s="1"/>
    </row>
    <row x14ac:dyDescent="0.25" r="3286" customHeight="1" ht="18.75">
      <c r="A3286" s="1" t="s">
        <v>3617</v>
      </c>
      <c r="B3286" s="1" t="s">
        <v>4582</v>
      </c>
      <c r="C3286" s="1" t="s">
        <v>4488</v>
      </c>
      <c r="D3286" s="1" t="s">
        <v>3601</v>
      </c>
      <c r="E3286" s="1" t="s">
        <v>4478</v>
      </c>
      <c r="F3286" s="1" t="s">
        <v>12798</v>
      </c>
      <c r="G3286" s="1" t="s">
        <v>10946</v>
      </c>
      <c r="H3286" s="1" t="s">
        <v>3604</v>
      </c>
      <c r="I3286" s="1" t="s">
        <v>12799</v>
      </c>
      <c r="J3286" s="1" t="s">
        <v>3606</v>
      </c>
      <c r="K3286" s="1" t="s">
        <v>12800</v>
      </c>
      <c r="L3286" s="1"/>
      <c r="M3286" s="1"/>
    </row>
    <row x14ac:dyDescent="0.25" r="3287" customHeight="1" ht="18.75">
      <c r="A3287" s="1" t="s">
        <v>3617</v>
      </c>
      <c r="B3287" s="1" t="s">
        <v>4582</v>
      </c>
      <c r="C3287" s="1" t="s">
        <v>4488</v>
      </c>
      <c r="D3287" s="1" t="s">
        <v>3601</v>
      </c>
      <c r="E3287" s="1" t="s">
        <v>4478</v>
      </c>
      <c r="F3287" s="1" t="s">
        <v>12801</v>
      </c>
      <c r="G3287" s="1" t="s">
        <v>10946</v>
      </c>
      <c r="H3287" s="1" t="s">
        <v>3604</v>
      </c>
      <c r="I3287" s="1" t="s">
        <v>12802</v>
      </c>
      <c r="J3287" s="1" t="s">
        <v>3606</v>
      </c>
      <c r="K3287" s="1" t="s">
        <v>12803</v>
      </c>
      <c r="L3287" s="1"/>
      <c r="M3287" s="1"/>
    </row>
    <row x14ac:dyDescent="0.25" r="3288" customHeight="1" ht="18.75">
      <c r="A3288" s="1" t="s">
        <v>3617</v>
      </c>
      <c r="B3288" s="1" t="s">
        <v>4582</v>
      </c>
      <c r="C3288" s="1" t="s">
        <v>4488</v>
      </c>
      <c r="D3288" s="1" t="s">
        <v>3601</v>
      </c>
      <c r="E3288" s="1" t="s">
        <v>4478</v>
      </c>
      <c r="F3288" s="1" t="s">
        <v>12804</v>
      </c>
      <c r="G3288" s="1" t="s">
        <v>10946</v>
      </c>
      <c r="H3288" s="1" t="s">
        <v>3604</v>
      </c>
      <c r="I3288" s="1" t="s">
        <v>12805</v>
      </c>
      <c r="J3288" s="1" t="s">
        <v>3606</v>
      </c>
      <c r="K3288" s="1" t="s">
        <v>12806</v>
      </c>
      <c r="L3288" s="1"/>
      <c r="M3288" s="1"/>
    </row>
    <row x14ac:dyDescent="0.25" r="3289" customHeight="1" ht="18.75">
      <c r="A3289" s="1" t="s">
        <v>3617</v>
      </c>
      <c r="B3289" s="1" t="s">
        <v>4582</v>
      </c>
      <c r="C3289" s="1" t="s">
        <v>4488</v>
      </c>
      <c r="D3289" s="1" t="s">
        <v>3601</v>
      </c>
      <c r="E3289" s="1" t="s">
        <v>4478</v>
      </c>
      <c r="F3289" s="1" t="s">
        <v>12807</v>
      </c>
      <c r="G3289" s="1" t="s">
        <v>10946</v>
      </c>
      <c r="H3289" s="1" t="s">
        <v>3604</v>
      </c>
      <c r="I3289" s="1" t="s">
        <v>12808</v>
      </c>
      <c r="J3289" s="1" t="s">
        <v>3606</v>
      </c>
      <c r="K3289" s="1" t="s">
        <v>12809</v>
      </c>
      <c r="L3289" s="1"/>
      <c r="M3289" s="1"/>
    </row>
    <row x14ac:dyDescent="0.25" r="3290" customHeight="1" ht="18.75">
      <c r="A3290" s="1" t="s">
        <v>3617</v>
      </c>
      <c r="B3290" s="1" t="s">
        <v>4582</v>
      </c>
      <c r="C3290" s="1" t="s">
        <v>4488</v>
      </c>
      <c r="D3290" s="1" t="s">
        <v>3601</v>
      </c>
      <c r="E3290" s="1" t="s">
        <v>4478</v>
      </c>
      <c r="F3290" s="1" t="s">
        <v>10846</v>
      </c>
      <c r="G3290" s="1" t="s">
        <v>10946</v>
      </c>
      <c r="H3290" s="1" t="s">
        <v>3604</v>
      </c>
      <c r="I3290" s="1" t="s">
        <v>12810</v>
      </c>
      <c r="J3290" s="1" t="s">
        <v>3606</v>
      </c>
      <c r="K3290" s="1" t="s">
        <v>10848</v>
      </c>
      <c r="L3290" s="1"/>
      <c r="M3290" s="1"/>
    </row>
    <row x14ac:dyDescent="0.25" r="3291" customHeight="1" ht="18.75">
      <c r="A3291" s="1" t="s">
        <v>3617</v>
      </c>
      <c r="B3291" s="1" t="s">
        <v>4582</v>
      </c>
      <c r="C3291" s="1" t="s">
        <v>4488</v>
      </c>
      <c r="D3291" s="1" t="s">
        <v>3601</v>
      </c>
      <c r="E3291" s="1" t="s">
        <v>4478</v>
      </c>
      <c r="F3291" s="1" t="s">
        <v>12811</v>
      </c>
      <c r="G3291" s="1" t="s">
        <v>10946</v>
      </c>
      <c r="H3291" s="1" t="s">
        <v>3604</v>
      </c>
      <c r="I3291" s="1" t="s">
        <v>12812</v>
      </c>
      <c r="J3291" s="1" t="s">
        <v>3606</v>
      </c>
      <c r="K3291" s="1" t="s">
        <v>12813</v>
      </c>
      <c r="L3291" s="1"/>
      <c r="M3291" s="1"/>
    </row>
    <row x14ac:dyDescent="0.25" r="3292" customHeight="1" ht="18.75">
      <c r="A3292" s="1" t="s">
        <v>3617</v>
      </c>
      <c r="B3292" s="1" t="s">
        <v>4582</v>
      </c>
      <c r="C3292" s="1" t="s">
        <v>4488</v>
      </c>
      <c r="D3292" s="1" t="s">
        <v>3601</v>
      </c>
      <c r="E3292" s="1" t="s">
        <v>4478</v>
      </c>
      <c r="F3292" s="1" t="s">
        <v>10840</v>
      </c>
      <c r="G3292" s="1" t="s">
        <v>10946</v>
      </c>
      <c r="H3292" s="1" t="s">
        <v>3604</v>
      </c>
      <c r="I3292" s="1" t="s">
        <v>12814</v>
      </c>
      <c r="J3292" s="1" t="s">
        <v>3606</v>
      </c>
      <c r="K3292" s="1" t="s">
        <v>10842</v>
      </c>
      <c r="L3292" s="1"/>
      <c r="M3292" s="1"/>
    </row>
    <row x14ac:dyDescent="0.25" r="3293" customHeight="1" ht="18.75">
      <c r="A3293" s="1" t="s">
        <v>3617</v>
      </c>
      <c r="B3293" s="1" t="s">
        <v>4582</v>
      </c>
      <c r="C3293" s="1" t="s">
        <v>4488</v>
      </c>
      <c r="D3293" s="1" t="s">
        <v>3601</v>
      </c>
      <c r="E3293" s="1" t="s">
        <v>4478</v>
      </c>
      <c r="F3293" s="1" t="s">
        <v>12815</v>
      </c>
      <c r="G3293" s="1" t="s">
        <v>10946</v>
      </c>
      <c r="H3293" s="1" t="s">
        <v>3604</v>
      </c>
      <c r="I3293" s="1" t="s">
        <v>12816</v>
      </c>
      <c r="J3293" s="1" t="s">
        <v>3606</v>
      </c>
      <c r="K3293" s="1" t="s">
        <v>12817</v>
      </c>
      <c r="L3293" s="1"/>
      <c r="M3293" s="1"/>
    </row>
    <row x14ac:dyDescent="0.25" r="3294" customHeight="1" ht="18.75">
      <c r="A3294" s="1" t="s">
        <v>3617</v>
      </c>
      <c r="B3294" s="1" t="s">
        <v>4582</v>
      </c>
      <c r="C3294" s="1" t="s">
        <v>4488</v>
      </c>
      <c r="D3294" s="1" t="s">
        <v>3601</v>
      </c>
      <c r="E3294" s="1" t="s">
        <v>4478</v>
      </c>
      <c r="F3294" s="1" t="s">
        <v>12818</v>
      </c>
      <c r="G3294" s="1" t="s">
        <v>10946</v>
      </c>
      <c r="H3294" s="1" t="s">
        <v>3604</v>
      </c>
      <c r="I3294" s="1" t="s">
        <v>12819</v>
      </c>
      <c r="J3294" s="1" t="s">
        <v>3606</v>
      </c>
      <c r="K3294" s="1" t="s">
        <v>12820</v>
      </c>
      <c r="L3294" s="1"/>
      <c r="M3294" s="1"/>
    </row>
    <row x14ac:dyDescent="0.25" r="3295" customHeight="1" ht="18.75">
      <c r="A3295" s="1" t="s">
        <v>3617</v>
      </c>
      <c r="B3295" s="1" t="s">
        <v>4582</v>
      </c>
      <c r="C3295" s="1" t="s">
        <v>4488</v>
      </c>
      <c r="D3295" s="1" t="s">
        <v>3601</v>
      </c>
      <c r="E3295" s="1" t="s">
        <v>4478</v>
      </c>
      <c r="F3295" s="1" t="s">
        <v>12821</v>
      </c>
      <c r="G3295" s="1" t="s">
        <v>10946</v>
      </c>
      <c r="H3295" s="1" t="s">
        <v>3604</v>
      </c>
      <c r="I3295" s="1" t="s">
        <v>12822</v>
      </c>
      <c r="J3295" s="1" t="s">
        <v>3606</v>
      </c>
      <c r="K3295" s="1" t="s">
        <v>12823</v>
      </c>
      <c r="L3295" s="1"/>
      <c r="M3295" s="1"/>
    </row>
    <row x14ac:dyDescent="0.25" r="3296" customHeight="1" ht="18.75">
      <c r="A3296" s="1" t="s">
        <v>3617</v>
      </c>
      <c r="B3296" s="1" t="s">
        <v>4582</v>
      </c>
      <c r="C3296" s="1" t="s">
        <v>4488</v>
      </c>
      <c r="D3296" s="1" t="s">
        <v>3601</v>
      </c>
      <c r="E3296" s="1" t="s">
        <v>4478</v>
      </c>
      <c r="F3296" s="1" t="s">
        <v>12824</v>
      </c>
      <c r="G3296" s="1" t="s">
        <v>10946</v>
      </c>
      <c r="H3296" s="1" t="s">
        <v>3604</v>
      </c>
      <c r="I3296" s="1" t="s">
        <v>12825</v>
      </c>
      <c r="J3296" s="1" t="s">
        <v>3606</v>
      </c>
      <c r="K3296" s="1" t="s">
        <v>12826</v>
      </c>
      <c r="L3296" s="1"/>
      <c r="M3296" s="1"/>
    </row>
    <row x14ac:dyDescent="0.25" r="3297" customHeight="1" ht="18.75">
      <c r="A3297" s="1" t="s">
        <v>3617</v>
      </c>
      <c r="B3297" s="1" t="s">
        <v>4582</v>
      </c>
      <c r="C3297" s="1" t="s">
        <v>4488</v>
      </c>
      <c r="D3297" s="1" t="s">
        <v>3601</v>
      </c>
      <c r="E3297" s="1" t="s">
        <v>4478</v>
      </c>
      <c r="F3297" s="1" t="s">
        <v>12827</v>
      </c>
      <c r="G3297" s="1" t="s">
        <v>10946</v>
      </c>
      <c r="H3297" s="1" t="s">
        <v>3604</v>
      </c>
      <c r="I3297" s="1" t="s">
        <v>12828</v>
      </c>
      <c r="J3297" s="1" t="s">
        <v>3606</v>
      </c>
      <c r="K3297" s="1" t="s">
        <v>12829</v>
      </c>
      <c r="L3297" s="1"/>
      <c r="M3297" s="1"/>
    </row>
    <row x14ac:dyDescent="0.25" r="3298" customHeight="1" ht="18.75">
      <c r="A3298" s="1" t="s">
        <v>3617</v>
      </c>
      <c r="B3298" s="1" t="s">
        <v>4582</v>
      </c>
      <c r="C3298" s="1" t="s">
        <v>4488</v>
      </c>
      <c r="D3298" s="1" t="s">
        <v>3601</v>
      </c>
      <c r="E3298" s="1" t="s">
        <v>4478</v>
      </c>
      <c r="F3298" s="1" t="s">
        <v>12830</v>
      </c>
      <c r="G3298" s="1" t="s">
        <v>10946</v>
      </c>
      <c r="H3298" s="1" t="s">
        <v>3604</v>
      </c>
      <c r="I3298" s="1" t="s">
        <v>12831</v>
      </c>
      <c r="J3298" s="1" t="s">
        <v>3606</v>
      </c>
      <c r="K3298" s="1" t="s">
        <v>12832</v>
      </c>
      <c r="L3298" s="1"/>
      <c r="M3298" s="1"/>
    </row>
    <row x14ac:dyDescent="0.25" r="3299" customHeight="1" ht="18.75">
      <c r="A3299" s="1" t="s">
        <v>3617</v>
      </c>
      <c r="B3299" s="1" t="s">
        <v>4582</v>
      </c>
      <c r="C3299" s="1" t="s">
        <v>4488</v>
      </c>
      <c r="D3299" s="1" t="s">
        <v>3601</v>
      </c>
      <c r="E3299" s="1" t="s">
        <v>4478</v>
      </c>
      <c r="F3299" s="1" t="s">
        <v>12833</v>
      </c>
      <c r="G3299" s="1" t="s">
        <v>10946</v>
      </c>
      <c r="H3299" s="1" t="s">
        <v>3604</v>
      </c>
      <c r="I3299" s="1" t="s">
        <v>12834</v>
      </c>
      <c r="J3299" s="1" t="s">
        <v>3606</v>
      </c>
      <c r="K3299" s="1" t="s">
        <v>12835</v>
      </c>
      <c r="L3299" s="1"/>
      <c r="M3299" s="1"/>
    </row>
    <row x14ac:dyDescent="0.25" r="3300" customHeight="1" ht="18.75">
      <c r="A3300" s="1" t="s">
        <v>3617</v>
      </c>
      <c r="B3300" s="1" t="s">
        <v>4582</v>
      </c>
      <c r="C3300" s="1" t="s">
        <v>4488</v>
      </c>
      <c r="D3300" s="1" t="s">
        <v>3601</v>
      </c>
      <c r="E3300" s="1" t="s">
        <v>4478</v>
      </c>
      <c r="F3300" s="1" t="s">
        <v>12836</v>
      </c>
      <c r="G3300" s="1" t="s">
        <v>10946</v>
      </c>
      <c r="H3300" s="1" t="s">
        <v>3604</v>
      </c>
      <c r="I3300" s="1" t="s">
        <v>12837</v>
      </c>
      <c r="J3300" s="1" t="s">
        <v>3606</v>
      </c>
      <c r="K3300" s="1" t="s">
        <v>12838</v>
      </c>
      <c r="L3300" s="1"/>
      <c r="M3300" s="1"/>
    </row>
    <row x14ac:dyDescent="0.25" r="3301" customHeight="1" ht="18.75">
      <c r="A3301" s="1" t="s">
        <v>3617</v>
      </c>
      <c r="B3301" s="1" t="s">
        <v>4582</v>
      </c>
      <c r="C3301" s="1" t="s">
        <v>4488</v>
      </c>
      <c r="D3301" s="1" t="s">
        <v>3601</v>
      </c>
      <c r="E3301" s="1" t="s">
        <v>4478</v>
      </c>
      <c r="F3301" s="1" t="s">
        <v>12839</v>
      </c>
      <c r="G3301" s="1" t="s">
        <v>10946</v>
      </c>
      <c r="H3301" s="1" t="s">
        <v>3604</v>
      </c>
      <c r="I3301" s="1" t="s">
        <v>12840</v>
      </c>
      <c r="J3301" s="1" t="s">
        <v>3606</v>
      </c>
      <c r="K3301" s="1" t="s">
        <v>12841</v>
      </c>
      <c r="L3301" s="1"/>
      <c r="M3301" s="1"/>
    </row>
    <row x14ac:dyDescent="0.25" r="3302" customHeight="1" ht="18.75">
      <c r="A3302" s="1" t="s">
        <v>3617</v>
      </c>
      <c r="B3302" s="1" t="s">
        <v>4582</v>
      </c>
      <c r="C3302" s="1" t="s">
        <v>4488</v>
      </c>
      <c r="D3302" s="1" t="s">
        <v>3601</v>
      </c>
      <c r="E3302" s="1" t="s">
        <v>4478</v>
      </c>
      <c r="F3302" s="1" t="s">
        <v>12842</v>
      </c>
      <c r="G3302" s="1" t="s">
        <v>10946</v>
      </c>
      <c r="H3302" s="1" t="s">
        <v>3604</v>
      </c>
      <c r="I3302" s="1" t="s">
        <v>12843</v>
      </c>
      <c r="J3302" s="1" t="s">
        <v>3606</v>
      </c>
      <c r="K3302" s="1" t="s">
        <v>12844</v>
      </c>
      <c r="L3302" s="1"/>
      <c r="M3302" s="1"/>
    </row>
    <row x14ac:dyDescent="0.25" r="3303" customHeight="1" ht="18.75">
      <c r="A3303" s="1" t="s">
        <v>3617</v>
      </c>
      <c r="B3303" s="1" t="s">
        <v>4582</v>
      </c>
      <c r="C3303" s="1" t="s">
        <v>4488</v>
      </c>
      <c r="D3303" s="1" t="s">
        <v>3601</v>
      </c>
      <c r="E3303" s="1" t="s">
        <v>4478</v>
      </c>
      <c r="F3303" s="1" t="s">
        <v>12845</v>
      </c>
      <c r="G3303" s="1" t="s">
        <v>10946</v>
      </c>
      <c r="H3303" s="1" t="s">
        <v>3604</v>
      </c>
      <c r="I3303" s="1" t="s">
        <v>12846</v>
      </c>
      <c r="J3303" s="1" t="s">
        <v>3606</v>
      </c>
      <c r="K3303" s="1" t="s">
        <v>12847</v>
      </c>
      <c r="L3303" s="1"/>
      <c r="M3303" s="1"/>
    </row>
    <row x14ac:dyDescent="0.25" r="3304" customHeight="1" ht="18.75">
      <c r="A3304" s="1" t="s">
        <v>3617</v>
      </c>
      <c r="B3304" s="1" t="s">
        <v>4582</v>
      </c>
      <c r="C3304" s="1" t="s">
        <v>4488</v>
      </c>
      <c r="D3304" s="1" t="s">
        <v>3601</v>
      </c>
      <c r="E3304" s="1" t="s">
        <v>4478</v>
      </c>
      <c r="F3304" s="1" t="s">
        <v>12848</v>
      </c>
      <c r="G3304" s="1" t="s">
        <v>10946</v>
      </c>
      <c r="H3304" s="1" t="s">
        <v>3604</v>
      </c>
      <c r="I3304" s="1" t="s">
        <v>12849</v>
      </c>
      <c r="J3304" s="1" t="s">
        <v>3606</v>
      </c>
      <c r="K3304" s="1" t="s">
        <v>12850</v>
      </c>
      <c r="L3304" s="1"/>
      <c r="M3304" s="1"/>
    </row>
    <row x14ac:dyDescent="0.25" r="3305" customHeight="1" ht="18.75">
      <c r="A3305" s="1" t="s">
        <v>3617</v>
      </c>
      <c r="B3305" s="1" t="s">
        <v>4582</v>
      </c>
      <c r="C3305" s="1" t="s">
        <v>4488</v>
      </c>
      <c r="D3305" s="1" t="s">
        <v>3601</v>
      </c>
      <c r="E3305" s="1" t="s">
        <v>4478</v>
      </c>
      <c r="F3305" s="1" t="s">
        <v>12851</v>
      </c>
      <c r="G3305" s="1" t="s">
        <v>10946</v>
      </c>
      <c r="H3305" s="1" t="s">
        <v>3604</v>
      </c>
      <c r="I3305" s="1" t="s">
        <v>12852</v>
      </c>
      <c r="J3305" s="1" t="s">
        <v>3606</v>
      </c>
      <c r="K3305" s="1" t="s">
        <v>12853</v>
      </c>
      <c r="L3305" s="1"/>
      <c r="M3305" s="1"/>
    </row>
    <row x14ac:dyDescent="0.25" r="3306" customHeight="1" ht="18.75">
      <c r="A3306" s="1" t="s">
        <v>3617</v>
      </c>
      <c r="B3306" s="1" t="s">
        <v>4582</v>
      </c>
      <c r="C3306" s="1" t="s">
        <v>4488</v>
      </c>
      <c r="D3306" s="1" t="s">
        <v>3601</v>
      </c>
      <c r="E3306" s="1" t="s">
        <v>4478</v>
      </c>
      <c r="F3306" s="1" t="s">
        <v>12854</v>
      </c>
      <c r="G3306" s="1" t="s">
        <v>10946</v>
      </c>
      <c r="H3306" s="1" t="s">
        <v>3604</v>
      </c>
      <c r="I3306" s="1" t="s">
        <v>12855</v>
      </c>
      <c r="J3306" s="1" t="s">
        <v>3606</v>
      </c>
      <c r="K3306" s="1" t="s">
        <v>12856</v>
      </c>
      <c r="L3306" s="1"/>
      <c r="M3306" s="1"/>
    </row>
    <row x14ac:dyDescent="0.25" r="3307" customHeight="1" ht="18.75">
      <c r="A3307" s="1" t="s">
        <v>3617</v>
      </c>
      <c r="B3307" s="1" t="s">
        <v>4582</v>
      </c>
      <c r="C3307" s="1" t="s">
        <v>4488</v>
      </c>
      <c r="D3307" s="1" t="s">
        <v>3601</v>
      </c>
      <c r="E3307" s="1" t="s">
        <v>4478</v>
      </c>
      <c r="F3307" s="1" t="s">
        <v>12857</v>
      </c>
      <c r="G3307" s="1" t="s">
        <v>10946</v>
      </c>
      <c r="H3307" s="1" t="s">
        <v>3604</v>
      </c>
      <c r="I3307" s="1" t="s">
        <v>12858</v>
      </c>
      <c r="J3307" s="1" t="s">
        <v>3606</v>
      </c>
      <c r="K3307" s="1" t="s">
        <v>12859</v>
      </c>
      <c r="L3307" s="1"/>
      <c r="M3307" s="1"/>
    </row>
    <row x14ac:dyDescent="0.25" r="3308" customHeight="1" ht="18.75">
      <c r="A3308" s="1" t="s">
        <v>3617</v>
      </c>
      <c r="B3308" s="1" t="s">
        <v>4582</v>
      </c>
      <c r="C3308" s="1" t="s">
        <v>4488</v>
      </c>
      <c r="D3308" s="1" t="s">
        <v>3601</v>
      </c>
      <c r="E3308" s="1" t="s">
        <v>4478</v>
      </c>
      <c r="F3308" s="1" t="s">
        <v>12860</v>
      </c>
      <c r="G3308" s="1" t="s">
        <v>10946</v>
      </c>
      <c r="H3308" s="1" t="s">
        <v>3604</v>
      </c>
      <c r="I3308" s="1" t="s">
        <v>12861</v>
      </c>
      <c r="J3308" s="1" t="s">
        <v>3606</v>
      </c>
      <c r="K3308" s="1" t="s">
        <v>12862</v>
      </c>
      <c r="L3308" s="1"/>
      <c r="M3308" s="1"/>
    </row>
    <row x14ac:dyDescent="0.25" r="3309" customHeight="1" ht="18.75">
      <c r="A3309" s="1" t="s">
        <v>3617</v>
      </c>
      <c r="B3309" s="1" t="s">
        <v>4582</v>
      </c>
      <c r="C3309" s="1" t="s">
        <v>4488</v>
      </c>
      <c r="D3309" s="1" t="s">
        <v>3601</v>
      </c>
      <c r="E3309" s="1" t="s">
        <v>4478</v>
      </c>
      <c r="F3309" s="1" t="s">
        <v>12863</v>
      </c>
      <c r="G3309" s="1" t="s">
        <v>10946</v>
      </c>
      <c r="H3309" s="1" t="s">
        <v>3604</v>
      </c>
      <c r="I3309" s="1" t="s">
        <v>12864</v>
      </c>
      <c r="J3309" s="1" t="s">
        <v>3606</v>
      </c>
      <c r="K3309" s="1" t="s">
        <v>12865</v>
      </c>
      <c r="L3309" s="1"/>
      <c r="M3309" s="1"/>
    </row>
    <row x14ac:dyDescent="0.25" r="3310" customHeight="1" ht="18.75">
      <c r="A3310" s="1" t="s">
        <v>3617</v>
      </c>
      <c r="B3310" s="1" t="s">
        <v>4582</v>
      </c>
      <c r="C3310" s="1" t="s">
        <v>4488</v>
      </c>
      <c r="D3310" s="1" t="s">
        <v>3601</v>
      </c>
      <c r="E3310" s="1" t="s">
        <v>4478</v>
      </c>
      <c r="F3310" s="1" t="s">
        <v>12866</v>
      </c>
      <c r="G3310" s="1" t="s">
        <v>10946</v>
      </c>
      <c r="H3310" s="1" t="s">
        <v>3604</v>
      </c>
      <c r="I3310" s="1" t="s">
        <v>12867</v>
      </c>
      <c r="J3310" s="1" t="s">
        <v>3606</v>
      </c>
      <c r="K3310" s="1" t="s">
        <v>12868</v>
      </c>
      <c r="L3310" s="1"/>
      <c r="M3310" s="1"/>
    </row>
    <row x14ac:dyDescent="0.25" r="3311" customHeight="1" ht="18.75">
      <c r="A3311" s="1" t="s">
        <v>3617</v>
      </c>
      <c r="B3311" s="1" t="s">
        <v>4582</v>
      </c>
      <c r="C3311" s="1" t="s">
        <v>4488</v>
      </c>
      <c r="D3311" s="1" t="s">
        <v>3601</v>
      </c>
      <c r="E3311" s="1" t="s">
        <v>4478</v>
      </c>
      <c r="F3311" s="1" t="s">
        <v>12869</v>
      </c>
      <c r="G3311" s="1" t="s">
        <v>10946</v>
      </c>
      <c r="H3311" s="1" t="s">
        <v>3604</v>
      </c>
      <c r="I3311" s="1" t="s">
        <v>12870</v>
      </c>
      <c r="J3311" s="1" t="s">
        <v>3606</v>
      </c>
      <c r="K3311" s="1" t="s">
        <v>12871</v>
      </c>
      <c r="L3311" s="1"/>
      <c r="M3311" s="1"/>
    </row>
    <row x14ac:dyDescent="0.25" r="3312" customHeight="1" ht="18.75">
      <c r="A3312" s="1" t="s">
        <v>3617</v>
      </c>
      <c r="B3312" s="1" t="s">
        <v>4582</v>
      </c>
      <c r="C3312" s="1" t="s">
        <v>4488</v>
      </c>
      <c r="D3312" s="1" t="s">
        <v>3601</v>
      </c>
      <c r="E3312" s="1" t="s">
        <v>4478</v>
      </c>
      <c r="F3312" s="1" t="s">
        <v>12872</v>
      </c>
      <c r="G3312" s="1" t="s">
        <v>10946</v>
      </c>
      <c r="H3312" s="1" t="s">
        <v>3604</v>
      </c>
      <c r="I3312" s="1" t="s">
        <v>12873</v>
      </c>
      <c r="J3312" s="1" t="s">
        <v>3606</v>
      </c>
      <c r="K3312" s="1" t="s">
        <v>10803</v>
      </c>
      <c r="L3312" s="1"/>
      <c r="M3312" s="1"/>
    </row>
    <row x14ac:dyDescent="0.25" r="3313" customHeight="1" ht="18.75">
      <c r="A3313" s="1" t="s">
        <v>3617</v>
      </c>
      <c r="B3313" s="1" t="s">
        <v>4582</v>
      </c>
      <c r="C3313" s="1" t="s">
        <v>4488</v>
      </c>
      <c r="D3313" s="1" t="s">
        <v>3601</v>
      </c>
      <c r="E3313" s="1" t="s">
        <v>4478</v>
      </c>
      <c r="F3313" s="1" t="s">
        <v>10804</v>
      </c>
      <c r="G3313" s="1" t="s">
        <v>10946</v>
      </c>
      <c r="H3313" s="1" t="s">
        <v>3604</v>
      </c>
      <c r="I3313" s="1" t="s">
        <v>12874</v>
      </c>
      <c r="J3313" s="1" t="s">
        <v>3606</v>
      </c>
      <c r="K3313" s="1" t="s">
        <v>10806</v>
      </c>
      <c r="L3313" s="1"/>
      <c r="M3313" s="1"/>
    </row>
    <row x14ac:dyDescent="0.25" r="3314" customHeight="1" ht="18.75">
      <c r="A3314" s="1" t="s">
        <v>3617</v>
      </c>
      <c r="B3314" s="1" t="s">
        <v>4582</v>
      </c>
      <c r="C3314" s="1" t="s">
        <v>4488</v>
      </c>
      <c r="D3314" s="1" t="s">
        <v>3601</v>
      </c>
      <c r="E3314" s="1" t="s">
        <v>4478</v>
      </c>
      <c r="F3314" s="1" t="s">
        <v>10807</v>
      </c>
      <c r="G3314" s="1" t="s">
        <v>10946</v>
      </c>
      <c r="H3314" s="1" t="s">
        <v>3604</v>
      </c>
      <c r="I3314" s="1" t="s">
        <v>12875</v>
      </c>
      <c r="J3314" s="1" t="s">
        <v>3606</v>
      </c>
      <c r="K3314" s="1" t="s">
        <v>10809</v>
      </c>
      <c r="L3314" s="1"/>
      <c r="M3314" s="1"/>
    </row>
    <row x14ac:dyDescent="0.25" r="3315" customHeight="1" ht="18.75">
      <c r="A3315" s="1" t="s">
        <v>3617</v>
      </c>
      <c r="B3315" s="1" t="s">
        <v>4582</v>
      </c>
      <c r="C3315" s="1" t="s">
        <v>4488</v>
      </c>
      <c r="D3315" s="1" t="s">
        <v>3601</v>
      </c>
      <c r="E3315" s="1" t="s">
        <v>4478</v>
      </c>
      <c r="F3315" s="1" t="s">
        <v>12876</v>
      </c>
      <c r="G3315" s="1" t="s">
        <v>10946</v>
      </c>
      <c r="H3315" s="1" t="s">
        <v>3604</v>
      </c>
      <c r="I3315" s="1" t="s">
        <v>12877</v>
      </c>
      <c r="J3315" s="1" t="s">
        <v>3606</v>
      </c>
      <c r="K3315" s="1" t="s">
        <v>12878</v>
      </c>
      <c r="L3315" s="1"/>
      <c r="M3315" s="1"/>
    </row>
    <row x14ac:dyDescent="0.25" r="3316" customHeight="1" ht="18.75">
      <c r="A3316" s="1" t="s">
        <v>3617</v>
      </c>
      <c r="B3316" s="1" t="s">
        <v>4582</v>
      </c>
      <c r="C3316" s="1" t="s">
        <v>4488</v>
      </c>
      <c r="D3316" s="1" t="s">
        <v>3601</v>
      </c>
      <c r="E3316" s="1" t="s">
        <v>4478</v>
      </c>
      <c r="F3316" s="1" t="s">
        <v>10810</v>
      </c>
      <c r="G3316" s="1" t="s">
        <v>10946</v>
      </c>
      <c r="H3316" s="1" t="s">
        <v>3604</v>
      </c>
      <c r="I3316" s="1" t="s">
        <v>12879</v>
      </c>
      <c r="J3316" s="1" t="s">
        <v>3606</v>
      </c>
      <c r="K3316" s="1" t="s">
        <v>10812</v>
      </c>
      <c r="L3316" s="1"/>
      <c r="M3316" s="1"/>
    </row>
    <row x14ac:dyDescent="0.25" r="3317" customHeight="1" ht="18.75">
      <c r="A3317" s="1" t="s">
        <v>3617</v>
      </c>
      <c r="B3317" s="1" t="s">
        <v>4582</v>
      </c>
      <c r="C3317" s="1" t="s">
        <v>4488</v>
      </c>
      <c r="D3317" s="1" t="s">
        <v>3601</v>
      </c>
      <c r="E3317" s="1" t="s">
        <v>4478</v>
      </c>
      <c r="F3317" s="1" t="s">
        <v>12880</v>
      </c>
      <c r="G3317" s="1" t="s">
        <v>10946</v>
      </c>
      <c r="H3317" s="1" t="s">
        <v>3604</v>
      </c>
      <c r="I3317" s="1" t="s">
        <v>12881</v>
      </c>
      <c r="J3317" s="1" t="s">
        <v>3606</v>
      </c>
      <c r="K3317" s="1" t="s">
        <v>12882</v>
      </c>
      <c r="L3317" s="1"/>
      <c r="M3317" s="1"/>
    </row>
    <row x14ac:dyDescent="0.25" r="3318" customHeight="1" ht="18.75">
      <c r="A3318" s="1" t="s">
        <v>3617</v>
      </c>
      <c r="B3318" s="1" t="s">
        <v>4582</v>
      </c>
      <c r="C3318" s="1" t="s">
        <v>4488</v>
      </c>
      <c r="D3318" s="1" t="s">
        <v>3601</v>
      </c>
      <c r="E3318" s="1" t="s">
        <v>4478</v>
      </c>
      <c r="F3318" s="1" t="s">
        <v>12883</v>
      </c>
      <c r="G3318" s="1" t="s">
        <v>10946</v>
      </c>
      <c r="H3318" s="1" t="s">
        <v>3604</v>
      </c>
      <c r="I3318" s="1" t="s">
        <v>12884</v>
      </c>
      <c r="J3318" s="1" t="s">
        <v>3606</v>
      </c>
      <c r="K3318" s="1" t="s">
        <v>12885</v>
      </c>
      <c r="L3318" s="1"/>
      <c r="M3318" s="1"/>
    </row>
    <row x14ac:dyDescent="0.25" r="3319" customHeight="1" ht="18.75">
      <c r="A3319" s="1" t="s">
        <v>3617</v>
      </c>
      <c r="B3319" s="1" t="s">
        <v>4582</v>
      </c>
      <c r="C3319" s="1" t="s">
        <v>4488</v>
      </c>
      <c r="D3319" s="1" t="s">
        <v>3601</v>
      </c>
      <c r="E3319" s="1" t="s">
        <v>4478</v>
      </c>
      <c r="F3319" s="1" t="s">
        <v>12886</v>
      </c>
      <c r="G3319" s="1" t="s">
        <v>10946</v>
      </c>
      <c r="H3319" s="1" t="s">
        <v>3604</v>
      </c>
      <c r="I3319" s="1" t="s">
        <v>12887</v>
      </c>
      <c r="J3319" s="1" t="s">
        <v>3606</v>
      </c>
      <c r="K3319" s="1" t="s">
        <v>12888</v>
      </c>
      <c r="L3319" s="1"/>
      <c r="M3319" s="1"/>
    </row>
    <row x14ac:dyDescent="0.25" r="3320" customHeight="1" ht="18.75">
      <c r="A3320" s="1" t="s">
        <v>3617</v>
      </c>
      <c r="B3320" s="1" t="s">
        <v>4582</v>
      </c>
      <c r="C3320" s="1" t="s">
        <v>4488</v>
      </c>
      <c r="D3320" s="1" t="s">
        <v>3601</v>
      </c>
      <c r="E3320" s="1" t="s">
        <v>4478</v>
      </c>
      <c r="F3320" s="1" t="s">
        <v>12889</v>
      </c>
      <c r="G3320" s="1" t="s">
        <v>10946</v>
      </c>
      <c r="H3320" s="1" t="s">
        <v>3604</v>
      </c>
      <c r="I3320" s="1" t="s">
        <v>12890</v>
      </c>
      <c r="J3320" s="1" t="s">
        <v>3606</v>
      </c>
      <c r="K3320" s="1" t="s">
        <v>12891</v>
      </c>
      <c r="L3320" s="1"/>
      <c r="M3320" s="1"/>
    </row>
    <row x14ac:dyDescent="0.25" r="3321" customHeight="1" ht="18.75">
      <c r="A3321" s="1" t="s">
        <v>3617</v>
      </c>
      <c r="B3321" s="1" t="s">
        <v>4582</v>
      </c>
      <c r="C3321" s="1" t="s">
        <v>4488</v>
      </c>
      <c r="D3321" s="1" t="s">
        <v>3601</v>
      </c>
      <c r="E3321" s="1" t="s">
        <v>4478</v>
      </c>
      <c r="F3321" s="1" t="s">
        <v>12892</v>
      </c>
      <c r="G3321" s="1" t="s">
        <v>10946</v>
      </c>
      <c r="H3321" s="1" t="s">
        <v>3604</v>
      </c>
      <c r="I3321" s="1" t="s">
        <v>12893</v>
      </c>
      <c r="J3321" s="1" t="s">
        <v>3606</v>
      </c>
      <c r="K3321" s="1" t="s">
        <v>12894</v>
      </c>
      <c r="L3321" s="1"/>
      <c r="M3321" s="1"/>
    </row>
    <row x14ac:dyDescent="0.25" r="3322" customHeight="1" ht="18.75">
      <c r="A3322" s="1" t="s">
        <v>3617</v>
      </c>
      <c r="B3322" s="1" t="s">
        <v>4582</v>
      </c>
      <c r="C3322" s="1" t="s">
        <v>4488</v>
      </c>
      <c r="D3322" s="1" t="s">
        <v>3601</v>
      </c>
      <c r="E3322" s="1" t="s">
        <v>4478</v>
      </c>
      <c r="F3322" s="1" t="s">
        <v>12895</v>
      </c>
      <c r="G3322" s="1" t="s">
        <v>10946</v>
      </c>
      <c r="H3322" s="1" t="s">
        <v>3604</v>
      </c>
      <c r="I3322" s="1" t="s">
        <v>12896</v>
      </c>
      <c r="J3322" s="1" t="s">
        <v>3606</v>
      </c>
      <c r="K3322" s="1" t="s">
        <v>12897</v>
      </c>
      <c r="L3322" s="1"/>
      <c r="M3322" s="1"/>
    </row>
    <row x14ac:dyDescent="0.25" r="3323" customHeight="1" ht="18.75">
      <c r="A3323" s="1" t="s">
        <v>3617</v>
      </c>
      <c r="B3323" s="1" t="s">
        <v>4582</v>
      </c>
      <c r="C3323" s="1" t="s">
        <v>4488</v>
      </c>
      <c r="D3323" s="1" t="s">
        <v>3601</v>
      </c>
      <c r="E3323" s="1" t="s">
        <v>4478</v>
      </c>
      <c r="F3323" s="1" t="s">
        <v>10813</v>
      </c>
      <c r="G3323" s="1" t="s">
        <v>10946</v>
      </c>
      <c r="H3323" s="1" t="s">
        <v>3604</v>
      </c>
      <c r="I3323" s="1" t="s">
        <v>12898</v>
      </c>
      <c r="J3323" s="1" t="s">
        <v>3606</v>
      </c>
      <c r="K3323" s="1" t="s">
        <v>10815</v>
      </c>
      <c r="L3323" s="1"/>
      <c r="M3323" s="1"/>
    </row>
    <row x14ac:dyDescent="0.25" r="3324" customHeight="1" ht="18.75">
      <c r="A3324" s="1" t="s">
        <v>3617</v>
      </c>
      <c r="B3324" s="1" t="s">
        <v>4582</v>
      </c>
      <c r="C3324" s="1" t="s">
        <v>4488</v>
      </c>
      <c r="D3324" s="1" t="s">
        <v>3601</v>
      </c>
      <c r="E3324" s="1" t="s">
        <v>4478</v>
      </c>
      <c r="F3324" s="1" t="s">
        <v>10816</v>
      </c>
      <c r="G3324" s="1" t="s">
        <v>10946</v>
      </c>
      <c r="H3324" s="1" t="s">
        <v>3604</v>
      </c>
      <c r="I3324" s="1" t="s">
        <v>12899</v>
      </c>
      <c r="J3324" s="1" t="s">
        <v>3606</v>
      </c>
      <c r="K3324" s="1" t="s">
        <v>10818</v>
      </c>
      <c r="L3324" s="1"/>
      <c r="M3324" s="1"/>
    </row>
    <row x14ac:dyDescent="0.25" r="3325" customHeight="1" ht="18.75">
      <c r="A3325" s="1" t="s">
        <v>3617</v>
      </c>
      <c r="B3325" s="1" t="s">
        <v>4582</v>
      </c>
      <c r="C3325" s="1" t="s">
        <v>4488</v>
      </c>
      <c r="D3325" s="1" t="s">
        <v>3601</v>
      </c>
      <c r="E3325" s="1" t="s">
        <v>4478</v>
      </c>
      <c r="F3325" s="1" t="s">
        <v>10819</v>
      </c>
      <c r="G3325" s="1" t="s">
        <v>10946</v>
      </c>
      <c r="H3325" s="1" t="s">
        <v>3604</v>
      </c>
      <c r="I3325" s="1" t="s">
        <v>12900</v>
      </c>
      <c r="J3325" s="1" t="s">
        <v>3606</v>
      </c>
      <c r="K3325" s="1" t="s">
        <v>10821</v>
      </c>
      <c r="L3325" s="1"/>
      <c r="M3325" s="1"/>
    </row>
    <row x14ac:dyDescent="0.25" r="3326" customHeight="1" ht="18.75">
      <c r="A3326" s="1" t="s">
        <v>3617</v>
      </c>
      <c r="B3326" s="1" t="s">
        <v>4582</v>
      </c>
      <c r="C3326" s="1" t="s">
        <v>4488</v>
      </c>
      <c r="D3326" s="1" t="s">
        <v>3601</v>
      </c>
      <c r="E3326" s="1" t="s">
        <v>4478</v>
      </c>
      <c r="F3326" s="1" t="s">
        <v>10822</v>
      </c>
      <c r="G3326" s="1" t="s">
        <v>10946</v>
      </c>
      <c r="H3326" s="1" t="s">
        <v>3604</v>
      </c>
      <c r="I3326" s="1" t="s">
        <v>12901</v>
      </c>
      <c r="J3326" s="1" t="s">
        <v>3606</v>
      </c>
      <c r="K3326" s="1" t="s">
        <v>10824</v>
      </c>
      <c r="L3326" s="1"/>
      <c r="M3326" s="1"/>
    </row>
    <row x14ac:dyDescent="0.25" r="3327" customHeight="1" ht="18.75">
      <c r="A3327" s="1" t="s">
        <v>3617</v>
      </c>
      <c r="B3327" s="1" t="s">
        <v>4582</v>
      </c>
      <c r="C3327" s="1" t="s">
        <v>4488</v>
      </c>
      <c r="D3327" s="1" t="s">
        <v>3601</v>
      </c>
      <c r="E3327" s="1" t="s">
        <v>4478</v>
      </c>
      <c r="F3327" s="1" t="s">
        <v>10825</v>
      </c>
      <c r="G3327" s="1" t="s">
        <v>10946</v>
      </c>
      <c r="H3327" s="1" t="s">
        <v>3604</v>
      </c>
      <c r="I3327" s="1" t="s">
        <v>12902</v>
      </c>
      <c r="J3327" s="1" t="s">
        <v>3606</v>
      </c>
      <c r="K3327" s="1" t="s">
        <v>10827</v>
      </c>
      <c r="L3327" s="1"/>
      <c r="M3327" s="1"/>
    </row>
    <row x14ac:dyDescent="0.25" r="3328" customHeight="1" ht="18.75">
      <c r="A3328" s="1" t="s">
        <v>3617</v>
      </c>
      <c r="B3328" s="1" t="s">
        <v>4582</v>
      </c>
      <c r="C3328" s="1" t="s">
        <v>4488</v>
      </c>
      <c r="D3328" s="1" t="s">
        <v>3601</v>
      </c>
      <c r="E3328" s="1" t="s">
        <v>4478</v>
      </c>
      <c r="F3328" s="1" t="s">
        <v>10828</v>
      </c>
      <c r="G3328" s="1" t="s">
        <v>10946</v>
      </c>
      <c r="H3328" s="1" t="s">
        <v>3604</v>
      </c>
      <c r="I3328" s="1" t="s">
        <v>12903</v>
      </c>
      <c r="J3328" s="1" t="s">
        <v>3606</v>
      </c>
      <c r="K3328" s="1" t="s">
        <v>10830</v>
      </c>
      <c r="L3328" s="1"/>
      <c r="M3328" s="1"/>
    </row>
    <row x14ac:dyDescent="0.25" r="3329" customHeight="1" ht="18.75">
      <c r="A3329" s="1" t="s">
        <v>3617</v>
      </c>
      <c r="B3329" s="1" t="s">
        <v>4582</v>
      </c>
      <c r="C3329" s="1" t="s">
        <v>4488</v>
      </c>
      <c r="D3329" s="1" t="s">
        <v>3601</v>
      </c>
      <c r="E3329" s="1" t="s">
        <v>4478</v>
      </c>
      <c r="F3329" s="1" t="s">
        <v>10831</v>
      </c>
      <c r="G3329" s="1" t="s">
        <v>10946</v>
      </c>
      <c r="H3329" s="1" t="s">
        <v>3604</v>
      </c>
      <c r="I3329" s="1" t="s">
        <v>12904</v>
      </c>
      <c r="J3329" s="1" t="s">
        <v>3606</v>
      </c>
      <c r="K3329" s="1" t="s">
        <v>10833</v>
      </c>
      <c r="L3329" s="1"/>
      <c r="M3329" s="1"/>
    </row>
    <row x14ac:dyDescent="0.25" r="3330" customHeight="1" ht="18.75">
      <c r="A3330" s="1" t="s">
        <v>3617</v>
      </c>
      <c r="B3330" s="1" t="s">
        <v>4582</v>
      </c>
      <c r="C3330" s="1" t="s">
        <v>4488</v>
      </c>
      <c r="D3330" s="1" t="s">
        <v>3601</v>
      </c>
      <c r="E3330" s="1" t="s">
        <v>4478</v>
      </c>
      <c r="F3330" s="1" t="s">
        <v>10798</v>
      </c>
      <c r="G3330" s="1" t="s">
        <v>10946</v>
      </c>
      <c r="H3330" s="1" t="s">
        <v>3604</v>
      </c>
      <c r="I3330" s="1" t="s">
        <v>12905</v>
      </c>
      <c r="J3330" s="1" t="s">
        <v>3606</v>
      </c>
      <c r="K3330" s="1" t="s">
        <v>10800</v>
      </c>
      <c r="L3330" s="1"/>
      <c r="M3330" s="1"/>
    </row>
    <row x14ac:dyDescent="0.25" r="3331" customHeight="1" ht="18.75">
      <c r="A3331" s="1" t="s">
        <v>3617</v>
      </c>
      <c r="B3331" s="1" t="s">
        <v>4582</v>
      </c>
      <c r="C3331" s="1" t="s">
        <v>4488</v>
      </c>
      <c r="D3331" s="1" t="s">
        <v>3601</v>
      </c>
      <c r="E3331" s="1" t="s">
        <v>4478</v>
      </c>
      <c r="F3331" s="1" t="s">
        <v>10795</v>
      </c>
      <c r="G3331" s="1" t="s">
        <v>10946</v>
      </c>
      <c r="H3331" s="1" t="s">
        <v>3604</v>
      </c>
      <c r="I3331" s="1" t="s">
        <v>12906</v>
      </c>
      <c r="J3331" s="1" t="s">
        <v>3606</v>
      </c>
      <c r="K3331" s="1" t="s">
        <v>10797</v>
      </c>
      <c r="L3331" s="1"/>
      <c r="M3331" s="1"/>
    </row>
    <row x14ac:dyDescent="0.25" r="3332" customHeight="1" ht="18.75">
      <c r="A3332" s="1" t="s">
        <v>3617</v>
      </c>
      <c r="B3332" s="1" t="s">
        <v>4582</v>
      </c>
      <c r="C3332" s="1" t="s">
        <v>4488</v>
      </c>
      <c r="D3332" s="1" t="s">
        <v>3601</v>
      </c>
      <c r="E3332" s="1" t="s">
        <v>4478</v>
      </c>
      <c r="F3332" s="1" t="s">
        <v>12907</v>
      </c>
      <c r="G3332" s="1" t="s">
        <v>10946</v>
      </c>
      <c r="H3332" s="1" t="s">
        <v>3604</v>
      </c>
      <c r="I3332" s="1" t="s">
        <v>12908</v>
      </c>
      <c r="J3332" s="1" t="s">
        <v>3606</v>
      </c>
      <c r="K3332" s="1" t="s">
        <v>12909</v>
      </c>
      <c r="L3332" s="1"/>
      <c r="M3332" s="1"/>
    </row>
    <row x14ac:dyDescent="0.25" r="3333" customHeight="1" ht="18.75">
      <c r="A3333" s="1" t="s">
        <v>3617</v>
      </c>
      <c r="B3333" s="1" t="s">
        <v>4582</v>
      </c>
      <c r="C3333" s="1" t="s">
        <v>4488</v>
      </c>
      <c r="D3333" s="1" t="s">
        <v>3601</v>
      </c>
      <c r="E3333" s="1" t="s">
        <v>4478</v>
      </c>
      <c r="F3333" s="1" t="s">
        <v>12910</v>
      </c>
      <c r="G3333" s="1" t="s">
        <v>10946</v>
      </c>
      <c r="H3333" s="1" t="s">
        <v>3604</v>
      </c>
      <c r="I3333" s="1" t="s">
        <v>12911</v>
      </c>
      <c r="J3333" s="1" t="s">
        <v>3606</v>
      </c>
      <c r="K3333" s="1" t="s">
        <v>12912</v>
      </c>
      <c r="L3333" s="1"/>
      <c r="M3333" s="1"/>
    </row>
    <row x14ac:dyDescent="0.25" r="3334" customHeight="1" ht="18.75">
      <c r="A3334" s="1" t="s">
        <v>3617</v>
      </c>
      <c r="B3334" s="1" t="s">
        <v>4582</v>
      </c>
      <c r="C3334" s="1" t="s">
        <v>4488</v>
      </c>
      <c r="D3334" s="1" t="s">
        <v>3601</v>
      </c>
      <c r="E3334" s="1" t="s">
        <v>4478</v>
      </c>
      <c r="F3334" s="1" t="s">
        <v>12913</v>
      </c>
      <c r="G3334" s="1" t="s">
        <v>10946</v>
      </c>
      <c r="H3334" s="1" t="s">
        <v>3604</v>
      </c>
      <c r="I3334" s="1" t="s">
        <v>12914</v>
      </c>
      <c r="J3334" s="1" t="s">
        <v>3606</v>
      </c>
      <c r="K3334" s="1" t="s">
        <v>12915</v>
      </c>
      <c r="L3334" s="1"/>
      <c r="M3334" s="1"/>
    </row>
    <row x14ac:dyDescent="0.25" r="3335" customHeight="1" ht="18.75">
      <c r="A3335" s="1" t="s">
        <v>3617</v>
      </c>
      <c r="B3335" s="1" t="s">
        <v>4582</v>
      </c>
      <c r="C3335" s="1" t="s">
        <v>4488</v>
      </c>
      <c r="D3335" s="1" t="s">
        <v>3601</v>
      </c>
      <c r="E3335" s="1" t="s">
        <v>4478</v>
      </c>
      <c r="F3335" s="1" t="s">
        <v>12916</v>
      </c>
      <c r="G3335" s="1" t="s">
        <v>10946</v>
      </c>
      <c r="H3335" s="1" t="s">
        <v>3604</v>
      </c>
      <c r="I3335" s="1" t="s">
        <v>12917</v>
      </c>
      <c r="J3335" s="1" t="s">
        <v>3606</v>
      </c>
      <c r="K3335" s="1" t="s">
        <v>12918</v>
      </c>
      <c r="L3335" s="1"/>
      <c r="M3335" s="1"/>
    </row>
    <row x14ac:dyDescent="0.25" r="3336" customHeight="1" ht="18.75">
      <c r="A3336" s="1" t="s">
        <v>3617</v>
      </c>
      <c r="B3336" s="1" t="s">
        <v>4582</v>
      </c>
      <c r="C3336" s="1" t="s">
        <v>4488</v>
      </c>
      <c r="D3336" s="1" t="s">
        <v>3601</v>
      </c>
      <c r="E3336" s="1" t="s">
        <v>4478</v>
      </c>
      <c r="F3336" s="1" t="s">
        <v>12919</v>
      </c>
      <c r="G3336" s="1" t="s">
        <v>10946</v>
      </c>
      <c r="H3336" s="1" t="s">
        <v>3604</v>
      </c>
      <c r="I3336" s="1" t="s">
        <v>12920</v>
      </c>
      <c r="J3336" s="1" t="s">
        <v>3606</v>
      </c>
      <c r="K3336" s="1" t="s">
        <v>12921</v>
      </c>
      <c r="L3336" s="1"/>
      <c r="M3336" s="1"/>
    </row>
    <row x14ac:dyDescent="0.25" r="3337" customHeight="1" ht="18.75">
      <c r="A3337" s="1" t="s">
        <v>3617</v>
      </c>
      <c r="B3337" s="1" t="s">
        <v>4582</v>
      </c>
      <c r="C3337" s="1" t="s">
        <v>4488</v>
      </c>
      <c r="D3337" s="1" t="s">
        <v>3601</v>
      </c>
      <c r="E3337" s="1" t="s">
        <v>4478</v>
      </c>
      <c r="F3337" s="1" t="s">
        <v>12922</v>
      </c>
      <c r="G3337" s="1" t="s">
        <v>10946</v>
      </c>
      <c r="H3337" s="1" t="s">
        <v>3604</v>
      </c>
      <c r="I3337" s="1" t="s">
        <v>12923</v>
      </c>
      <c r="J3337" s="1" t="s">
        <v>3606</v>
      </c>
      <c r="K3337" s="1" t="s">
        <v>12924</v>
      </c>
      <c r="L3337" s="1"/>
      <c r="M3337" s="1"/>
    </row>
    <row x14ac:dyDescent="0.25" r="3338" customHeight="1" ht="18.75">
      <c r="A3338" s="1" t="s">
        <v>3617</v>
      </c>
      <c r="B3338" s="1" t="s">
        <v>4582</v>
      </c>
      <c r="C3338" s="1" t="s">
        <v>4488</v>
      </c>
      <c r="D3338" s="1" t="s">
        <v>3601</v>
      </c>
      <c r="E3338" s="1" t="s">
        <v>4478</v>
      </c>
      <c r="F3338" s="1" t="s">
        <v>12925</v>
      </c>
      <c r="G3338" s="1" t="s">
        <v>10946</v>
      </c>
      <c r="H3338" s="1" t="s">
        <v>3604</v>
      </c>
      <c r="I3338" s="1" t="s">
        <v>12926</v>
      </c>
      <c r="J3338" s="1" t="s">
        <v>3606</v>
      </c>
      <c r="K3338" s="1" t="s">
        <v>12927</v>
      </c>
      <c r="L3338" s="1"/>
      <c r="M3338" s="1"/>
    </row>
    <row x14ac:dyDescent="0.25" r="3339" customHeight="1" ht="18.75">
      <c r="A3339" s="1" t="s">
        <v>3617</v>
      </c>
      <c r="B3339" s="1" t="s">
        <v>4582</v>
      </c>
      <c r="C3339" s="1" t="s">
        <v>4488</v>
      </c>
      <c r="D3339" s="1" t="s">
        <v>3601</v>
      </c>
      <c r="E3339" s="1" t="s">
        <v>4478</v>
      </c>
      <c r="F3339" s="1" t="s">
        <v>12928</v>
      </c>
      <c r="G3339" s="1" t="s">
        <v>10946</v>
      </c>
      <c r="H3339" s="1" t="s">
        <v>3604</v>
      </c>
      <c r="I3339" s="1" t="s">
        <v>12929</v>
      </c>
      <c r="J3339" s="1" t="s">
        <v>3606</v>
      </c>
      <c r="K3339" s="1" t="s">
        <v>12930</v>
      </c>
      <c r="L3339" s="1"/>
      <c r="M3339" s="1"/>
    </row>
    <row x14ac:dyDescent="0.25" r="3340" customHeight="1" ht="18.75">
      <c r="A3340" s="1" t="s">
        <v>3617</v>
      </c>
      <c r="B3340" s="1" t="s">
        <v>4582</v>
      </c>
      <c r="C3340" s="1" t="s">
        <v>4488</v>
      </c>
      <c r="D3340" s="1" t="s">
        <v>3601</v>
      </c>
      <c r="E3340" s="1" t="s">
        <v>4478</v>
      </c>
      <c r="F3340" s="1" t="s">
        <v>12931</v>
      </c>
      <c r="G3340" s="1" t="s">
        <v>10946</v>
      </c>
      <c r="H3340" s="1" t="s">
        <v>3604</v>
      </c>
      <c r="I3340" s="1" t="s">
        <v>12932</v>
      </c>
      <c r="J3340" s="1" t="s">
        <v>3606</v>
      </c>
      <c r="K3340" s="1" t="s">
        <v>10863</v>
      </c>
      <c r="L3340" s="1"/>
      <c r="M3340" s="1"/>
    </row>
    <row x14ac:dyDescent="0.25" r="3341" customHeight="1" ht="18.75">
      <c r="A3341" s="1" t="s">
        <v>3617</v>
      </c>
      <c r="B3341" s="1" t="s">
        <v>4582</v>
      </c>
      <c r="C3341" s="1" t="s">
        <v>4488</v>
      </c>
      <c r="D3341" s="1" t="s">
        <v>3601</v>
      </c>
      <c r="E3341" s="1" t="s">
        <v>4478</v>
      </c>
      <c r="F3341" s="1" t="s">
        <v>12933</v>
      </c>
      <c r="G3341" s="1" t="s">
        <v>10946</v>
      </c>
      <c r="H3341" s="1" t="s">
        <v>3604</v>
      </c>
      <c r="I3341" s="1" t="s">
        <v>12934</v>
      </c>
      <c r="J3341" s="1" t="s">
        <v>3606</v>
      </c>
      <c r="K3341" s="1" t="s">
        <v>10866</v>
      </c>
      <c r="L3341" s="1"/>
      <c r="M3341" s="1"/>
    </row>
    <row x14ac:dyDescent="0.25" r="3342" customHeight="1" ht="18.75">
      <c r="A3342" s="1" t="s">
        <v>3617</v>
      </c>
      <c r="B3342" s="1" t="s">
        <v>4582</v>
      </c>
      <c r="C3342" s="1" t="s">
        <v>4488</v>
      </c>
      <c r="D3342" s="1" t="s">
        <v>3601</v>
      </c>
      <c r="E3342" s="1" t="s">
        <v>4478</v>
      </c>
      <c r="F3342" s="1" t="s">
        <v>12935</v>
      </c>
      <c r="G3342" s="1" t="s">
        <v>10946</v>
      </c>
      <c r="H3342" s="1" t="s">
        <v>3604</v>
      </c>
      <c r="I3342" s="1" t="s">
        <v>12936</v>
      </c>
      <c r="J3342" s="1" t="s">
        <v>3606</v>
      </c>
      <c r="K3342" s="1" t="s">
        <v>10857</v>
      </c>
      <c r="L3342" s="1"/>
      <c r="M3342" s="1"/>
    </row>
    <row x14ac:dyDescent="0.25" r="3343" customHeight="1" ht="18.75">
      <c r="A3343" s="1" t="s">
        <v>7833</v>
      </c>
      <c r="B3343" s="1" t="s">
        <v>8204</v>
      </c>
      <c r="C3343" s="1" t="s">
        <v>4488</v>
      </c>
      <c r="D3343" s="1" t="s">
        <v>3610</v>
      </c>
      <c r="E3343" s="1" t="s">
        <v>3664</v>
      </c>
      <c r="F3343" s="1" t="s">
        <v>12937</v>
      </c>
      <c r="G3343" s="1" t="s">
        <v>12938</v>
      </c>
      <c r="H3343" s="1" t="s">
        <v>3604</v>
      </c>
      <c r="I3343" s="1" t="s">
        <v>12939</v>
      </c>
      <c r="J3343" s="1" t="s">
        <v>3606</v>
      </c>
      <c r="K3343" s="1" t="s">
        <v>12940</v>
      </c>
      <c r="L3343" s="1"/>
      <c r="M3343" s="1"/>
    </row>
    <row x14ac:dyDescent="0.25" r="3344" customHeight="1" ht="18.75">
      <c r="A3344" s="1" t="s">
        <v>7833</v>
      </c>
      <c r="B3344" s="1" t="s">
        <v>8204</v>
      </c>
      <c r="C3344" s="1" t="s">
        <v>4488</v>
      </c>
      <c r="D3344" s="1" t="s">
        <v>3610</v>
      </c>
      <c r="E3344" s="1" t="s">
        <v>3664</v>
      </c>
      <c r="F3344" s="1" t="s">
        <v>12941</v>
      </c>
      <c r="G3344" s="1" t="s">
        <v>8206</v>
      </c>
      <c r="H3344" s="1" t="s">
        <v>3604</v>
      </c>
      <c r="I3344" s="1" t="s">
        <v>12942</v>
      </c>
      <c r="J3344" s="1" t="s">
        <v>3606</v>
      </c>
      <c r="K3344" s="1" t="s">
        <v>12943</v>
      </c>
      <c r="L3344" s="1"/>
      <c r="M3344" s="1"/>
    </row>
    <row x14ac:dyDescent="0.25" r="3345" customHeight="1" ht="18.75">
      <c r="A3345" s="1" t="s">
        <v>3617</v>
      </c>
      <c r="B3345" s="1" t="s">
        <v>4582</v>
      </c>
      <c r="C3345" s="1" t="s">
        <v>4488</v>
      </c>
      <c r="D3345" s="1" t="s">
        <v>3601</v>
      </c>
      <c r="E3345" s="1" t="s">
        <v>4478</v>
      </c>
      <c r="F3345" s="1" t="s">
        <v>12944</v>
      </c>
      <c r="G3345" s="1" t="s">
        <v>10946</v>
      </c>
      <c r="H3345" s="1" t="s">
        <v>3604</v>
      </c>
      <c r="I3345" s="1" t="s">
        <v>12945</v>
      </c>
      <c r="J3345" s="1" t="s">
        <v>3606</v>
      </c>
      <c r="K3345" s="1" t="s">
        <v>10860</v>
      </c>
      <c r="L3345" s="1"/>
      <c r="M3345" s="1"/>
    </row>
    <row x14ac:dyDescent="0.25" r="3346" customHeight="1" ht="18.75">
      <c r="A3346" s="1" t="s">
        <v>3617</v>
      </c>
      <c r="B3346" s="1" t="s">
        <v>4582</v>
      </c>
      <c r="C3346" s="1" t="s">
        <v>4488</v>
      </c>
      <c r="D3346" s="1" t="s">
        <v>3601</v>
      </c>
      <c r="E3346" s="1" t="s">
        <v>4478</v>
      </c>
      <c r="F3346" s="1" t="s">
        <v>12946</v>
      </c>
      <c r="G3346" s="1" t="s">
        <v>10946</v>
      </c>
      <c r="H3346" s="1" t="s">
        <v>3604</v>
      </c>
      <c r="I3346" s="1" t="s">
        <v>12947</v>
      </c>
      <c r="J3346" s="1" t="s">
        <v>3606</v>
      </c>
      <c r="K3346" s="1" t="s">
        <v>12948</v>
      </c>
      <c r="L3346" s="1"/>
      <c r="M3346" s="1"/>
    </row>
    <row x14ac:dyDescent="0.25" r="3347" customHeight="1" ht="18.75">
      <c r="A3347" s="1" t="s">
        <v>3617</v>
      </c>
      <c r="B3347" s="1" t="s">
        <v>4582</v>
      </c>
      <c r="C3347" s="1" t="s">
        <v>4488</v>
      </c>
      <c r="D3347" s="1" t="s">
        <v>3601</v>
      </c>
      <c r="E3347" s="1" t="s">
        <v>4478</v>
      </c>
      <c r="F3347" s="1" t="s">
        <v>12949</v>
      </c>
      <c r="G3347" s="1" t="s">
        <v>10946</v>
      </c>
      <c r="H3347" s="1" t="s">
        <v>3604</v>
      </c>
      <c r="I3347" s="1" t="s">
        <v>12950</v>
      </c>
      <c r="J3347" s="1" t="s">
        <v>3606</v>
      </c>
      <c r="K3347" s="1" t="s">
        <v>12951</v>
      </c>
      <c r="L3347" s="1"/>
      <c r="M3347" s="1"/>
    </row>
    <row x14ac:dyDescent="0.25" r="3348" customHeight="1" ht="18.75">
      <c r="A3348" s="1" t="s">
        <v>7833</v>
      </c>
      <c r="B3348" s="1" t="s">
        <v>8204</v>
      </c>
      <c r="C3348" s="1" t="s">
        <v>4488</v>
      </c>
      <c r="D3348" s="1" t="s">
        <v>3610</v>
      </c>
      <c r="E3348" s="1" t="s">
        <v>3664</v>
      </c>
      <c r="F3348" s="1" t="s">
        <v>12952</v>
      </c>
      <c r="G3348" s="1" t="s">
        <v>8216</v>
      </c>
      <c r="H3348" s="1" t="s">
        <v>3604</v>
      </c>
      <c r="I3348" s="1" t="s">
        <v>12953</v>
      </c>
      <c r="J3348" s="1" t="s">
        <v>3606</v>
      </c>
      <c r="K3348" s="1" t="s">
        <v>12954</v>
      </c>
      <c r="L3348" s="1"/>
      <c r="M3348" s="1"/>
    </row>
    <row x14ac:dyDescent="0.25" r="3349" customHeight="1" ht="18.75">
      <c r="A3349" s="1" t="s">
        <v>3617</v>
      </c>
      <c r="B3349" s="1" t="s">
        <v>4582</v>
      </c>
      <c r="C3349" s="1" t="s">
        <v>4488</v>
      </c>
      <c r="D3349" s="1" t="s">
        <v>3601</v>
      </c>
      <c r="E3349" s="1" t="s">
        <v>4478</v>
      </c>
      <c r="F3349" s="1" t="s">
        <v>12955</v>
      </c>
      <c r="G3349" s="1" t="s">
        <v>10946</v>
      </c>
      <c r="H3349" s="1" t="s">
        <v>3604</v>
      </c>
      <c r="I3349" s="1" t="s">
        <v>12956</v>
      </c>
      <c r="J3349" s="1" t="s">
        <v>3606</v>
      </c>
      <c r="K3349" s="1" t="s">
        <v>12957</v>
      </c>
      <c r="L3349" s="1"/>
      <c r="M3349" s="1"/>
    </row>
    <row x14ac:dyDescent="0.25" r="3350" customHeight="1" ht="18.75">
      <c r="A3350" s="1" t="s">
        <v>3617</v>
      </c>
      <c r="B3350" s="1" t="s">
        <v>4582</v>
      </c>
      <c r="C3350" s="1" t="s">
        <v>4488</v>
      </c>
      <c r="D3350" s="1" t="s">
        <v>3601</v>
      </c>
      <c r="E3350" s="1" t="s">
        <v>4478</v>
      </c>
      <c r="F3350" s="1" t="s">
        <v>12958</v>
      </c>
      <c r="G3350" s="1" t="s">
        <v>10946</v>
      </c>
      <c r="H3350" s="1" t="s">
        <v>3604</v>
      </c>
      <c r="I3350" s="1" t="s">
        <v>12959</v>
      </c>
      <c r="J3350" s="1" t="s">
        <v>3606</v>
      </c>
      <c r="K3350" s="1" t="s">
        <v>12960</v>
      </c>
      <c r="L3350" s="1"/>
      <c r="M3350" s="1"/>
    </row>
    <row x14ac:dyDescent="0.25" r="3351" customHeight="1" ht="18.75">
      <c r="A3351" s="1" t="s">
        <v>3617</v>
      </c>
      <c r="B3351" s="1" t="s">
        <v>4582</v>
      </c>
      <c r="C3351" s="1" t="s">
        <v>4488</v>
      </c>
      <c r="D3351" s="1" t="s">
        <v>3601</v>
      </c>
      <c r="E3351" s="1" t="s">
        <v>4478</v>
      </c>
      <c r="F3351" s="1" t="s">
        <v>12961</v>
      </c>
      <c r="G3351" s="1" t="s">
        <v>10946</v>
      </c>
      <c r="H3351" s="1" t="s">
        <v>3604</v>
      </c>
      <c r="I3351" s="1" t="s">
        <v>12962</v>
      </c>
      <c r="J3351" s="1" t="s">
        <v>3606</v>
      </c>
      <c r="K3351" s="1" t="s">
        <v>12963</v>
      </c>
      <c r="L3351" s="1"/>
      <c r="M3351" s="1"/>
    </row>
    <row x14ac:dyDescent="0.25" r="3352" customHeight="1" ht="18.75">
      <c r="A3352" s="1" t="s">
        <v>3617</v>
      </c>
      <c r="B3352" s="1" t="s">
        <v>4582</v>
      </c>
      <c r="C3352" s="1" t="s">
        <v>4488</v>
      </c>
      <c r="D3352" s="1" t="s">
        <v>3601</v>
      </c>
      <c r="E3352" s="1" t="s">
        <v>4478</v>
      </c>
      <c r="F3352" s="1" t="s">
        <v>12964</v>
      </c>
      <c r="G3352" s="1" t="s">
        <v>10946</v>
      </c>
      <c r="H3352" s="1" t="s">
        <v>3604</v>
      </c>
      <c r="I3352" s="1" t="s">
        <v>12965</v>
      </c>
      <c r="J3352" s="1" t="s">
        <v>3606</v>
      </c>
      <c r="K3352" s="1" t="s">
        <v>12966</v>
      </c>
      <c r="L3352" s="1"/>
      <c r="M3352" s="1"/>
    </row>
    <row x14ac:dyDescent="0.25" r="3353" customHeight="1" ht="18.75">
      <c r="A3353" s="1" t="s">
        <v>3617</v>
      </c>
      <c r="B3353" s="1" t="s">
        <v>4582</v>
      </c>
      <c r="C3353" s="1" t="s">
        <v>4488</v>
      </c>
      <c r="D3353" s="1" t="s">
        <v>3601</v>
      </c>
      <c r="E3353" s="1" t="s">
        <v>4478</v>
      </c>
      <c r="F3353" s="1" t="s">
        <v>12967</v>
      </c>
      <c r="G3353" s="1" t="s">
        <v>10946</v>
      </c>
      <c r="H3353" s="1" t="s">
        <v>3604</v>
      </c>
      <c r="I3353" s="1" t="s">
        <v>12968</v>
      </c>
      <c r="J3353" s="1" t="s">
        <v>3606</v>
      </c>
      <c r="K3353" s="1" t="s">
        <v>12969</v>
      </c>
      <c r="L3353" s="1"/>
      <c r="M3353" s="1"/>
    </row>
    <row x14ac:dyDescent="0.25" r="3354" customHeight="1" ht="18.75">
      <c r="A3354" s="1" t="s">
        <v>3617</v>
      </c>
      <c r="B3354" s="1" t="s">
        <v>4582</v>
      </c>
      <c r="C3354" s="1" t="s">
        <v>4488</v>
      </c>
      <c r="D3354" s="1" t="s">
        <v>3601</v>
      </c>
      <c r="E3354" s="1" t="s">
        <v>4478</v>
      </c>
      <c r="F3354" s="1" t="s">
        <v>12970</v>
      </c>
      <c r="G3354" s="1" t="s">
        <v>10946</v>
      </c>
      <c r="H3354" s="1" t="s">
        <v>3604</v>
      </c>
      <c r="I3354" s="1" t="s">
        <v>12971</v>
      </c>
      <c r="J3354" s="1" t="s">
        <v>3606</v>
      </c>
      <c r="K3354" s="1" t="s">
        <v>12972</v>
      </c>
      <c r="L3354" s="1"/>
      <c r="M3354" s="1"/>
    </row>
    <row x14ac:dyDescent="0.25" r="3355" customHeight="1" ht="18.75">
      <c r="A3355" s="1" t="s">
        <v>3617</v>
      </c>
      <c r="B3355" s="1" t="s">
        <v>4582</v>
      </c>
      <c r="C3355" s="1" t="s">
        <v>4488</v>
      </c>
      <c r="D3355" s="1" t="s">
        <v>3601</v>
      </c>
      <c r="E3355" s="1" t="s">
        <v>4478</v>
      </c>
      <c r="F3355" s="1" t="s">
        <v>12973</v>
      </c>
      <c r="G3355" s="1" t="s">
        <v>10946</v>
      </c>
      <c r="H3355" s="1" t="s">
        <v>3604</v>
      </c>
      <c r="I3355" s="1" t="s">
        <v>12974</v>
      </c>
      <c r="J3355" s="1" t="s">
        <v>3606</v>
      </c>
      <c r="K3355" s="1" t="s">
        <v>12975</v>
      </c>
      <c r="L3355" s="1"/>
      <c r="M3355" s="1"/>
    </row>
    <row x14ac:dyDescent="0.25" r="3356" customHeight="1" ht="18.75">
      <c r="A3356" s="1" t="s">
        <v>3617</v>
      </c>
      <c r="B3356" s="1" t="s">
        <v>4582</v>
      </c>
      <c r="C3356" s="1" t="s">
        <v>4488</v>
      </c>
      <c r="D3356" s="1" t="s">
        <v>3601</v>
      </c>
      <c r="E3356" s="1" t="s">
        <v>4478</v>
      </c>
      <c r="F3356" s="1" t="s">
        <v>12976</v>
      </c>
      <c r="G3356" s="1" t="s">
        <v>10946</v>
      </c>
      <c r="H3356" s="1" t="s">
        <v>3604</v>
      </c>
      <c r="I3356" s="1" t="s">
        <v>12977</v>
      </c>
      <c r="J3356" s="1" t="s">
        <v>3606</v>
      </c>
      <c r="K3356" s="1" t="s">
        <v>12978</v>
      </c>
      <c r="L3356" s="1"/>
      <c r="M3356" s="1"/>
    </row>
    <row x14ac:dyDescent="0.25" r="3357" customHeight="1" ht="18.75">
      <c r="A3357" s="1" t="s">
        <v>3617</v>
      </c>
      <c r="B3357" s="1" t="s">
        <v>4582</v>
      </c>
      <c r="C3357" s="1" t="s">
        <v>4488</v>
      </c>
      <c r="D3357" s="1" t="s">
        <v>3601</v>
      </c>
      <c r="E3357" s="1" t="s">
        <v>4478</v>
      </c>
      <c r="F3357" s="1" t="s">
        <v>12979</v>
      </c>
      <c r="G3357" s="1" t="s">
        <v>10946</v>
      </c>
      <c r="H3357" s="1" t="s">
        <v>3604</v>
      </c>
      <c r="I3357" s="1" t="s">
        <v>12980</v>
      </c>
      <c r="J3357" s="1" t="s">
        <v>3606</v>
      </c>
      <c r="K3357" s="1" t="s">
        <v>12981</v>
      </c>
      <c r="L3357" s="1"/>
      <c r="M3357" s="1"/>
    </row>
    <row x14ac:dyDescent="0.25" r="3358" customHeight="1" ht="18.75">
      <c r="A3358" s="1" t="s">
        <v>3617</v>
      </c>
      <c r="B3358" s="1" t="s">
        <v>4582</v>
      </c>
      <c r="C3358" s="1" t="s">
        <v>4488</v>
      </c>
      <c r="D3358" s="1" t="s">
        <v>3601</v>
      </c>
      <c r="E3358" s="1" t="s">
        <v>4478</v>
      </c>
      <c r="F3358" s="1" t="s">
        <v>12982</v>
      </c>
      <c r="G3358" s="1" t="s">
        <v>10946</v>
      </c>
      <c r="H3358" s="1" t="s">
        <v>3604</v>
      </c>
      <c r="I3358" s="1" t="s">
        <v>12983</v>
      </c>
      <c r="J3358" s="1" t="s">
        <v>3606</v>
      </c>
      <c r="K3358" s="1" t="s">
        <v>12984</v>
      </c>
      <c r="L3358" s="1"/>
      <c r="M3358" s="1"/>
    </row>
    <row x14ac:dyDescent="0.25" r="3359" customHeight="1" ht="18.75">
      <c r="A3359" s="1" t="s">
        <v>3617</v>
      </c>
      <c r="B3359" s="1" t="s">
        <v>4582</v>
      </c>
      <c r="C3359" s="1" t="s">
        <v>4488</v>
      </c>
      <c r="D3359" s="1" t="s">
        <v>3601</v>
      </c>
      <c r="E3359" s="1" t="s">
        <v>4478</v>
      </c>
      <c r="F3359" s="1" t="s">
        <v>12985</v>
      </c>
      <c r="G3359" s="1" t="s">
        <v>10946</v>
      </c>
      <c r="H3359" s="1" t="s">
        <v>3604</v>
      </c>
      <c r="I3359" s="1" t="s">
        <v>12986</v>
      </c>
      <c r="J3359" s="1" t="s">
        <v>3606</v>
      </c>
      <c r="K3359" s="1" t="s">
        <v>12987</v>
      </c>
      <c r="L3359" s="1"/>
      <c r="M3359" s="1"/>
    </row>
    <row x14ac:dyDescent="0.25" r="3360" customHeight="1" ht="18.75">
      <c r="A3360" s="1" t="s">
        <v>3617</v>
      </c>
      <c r="B3360" s="1" t="s">
        <v>4582</v>
      </c>
      <c r="C3360" s="1" t="s">
        <v>4488</v>
      </c>
      <c r="D3360" s="1" t="s">
        <v>3601</v>
      </c>
      <c r="E3360" s="1" t="s">
        <v>4478</v>
      </c>
      <c r="F3360" s="1" t="s">
        <v>12988</v>
      </c>
      <c r="G3360" s="1" t="s">
        <v>10946</v>
      </c>
      <c r="H3360" s="1" t="s">
        <v>3604</v>
      </c>
      <c r="I3360" s="1" t="s">
        <v>12989</v>
      </c>
      <c r="J3360" s="1" t="s">
        <v>3606</v>
      </c>
      <c r="K3360" s="1" t="s">
        <v>12990</v>
      </c>
      <c r="L3360" s="1"/>
      <c r="M3360" s="1"/>
    </row>
    <row x14ac:dyDescent="0.25" r="3361" customHeight="1" ht="18.75">
      <c r="A3361" s="1" t="s">
        <v>3617</v>
      </c>
      <c r="B3361" s="1" t="s">
        <v>4582</v>
      </c>
      <c r="C3361" s="1" t="s">
        <v>4488</v>
      </c>
      <c r="D3361" s="1" t="s">
        <v>3601</v>
      </c>
      <c r="E3361" s="1" t="s">
        <v>4478</v>
      </c>
      <c r="F3361" s="1" t="s">
        <v>12991</v>
      </c>
      <c r="G3361" s="1" t="s">
        <v>10946</v>
      </c>
      <c r="H3361" s="1" t="s">
        <v>3604</v>
      </c>
      <c r="I3361" s="1" t="s">
        <v>12992</v>
      </c>
      <c r="J3361" s="1" t="s">
        <v>3606</v>
      </c>
      <c r="K3361" s="1" t="s">
        <v>12993</v>
      </c>
      <c r="L3361" s="1"/>
      <c r="M3361" s="1"/>
    </row>
    <row x14ac:dyDescent="0.25" r="3362" customHeight="1" ht="18.75">
      <c r="A3362" s="1" t="s">
        <v>3617</v>
      </c>
      <c r="B3362" s="1" t="s">
        <v>4582</v>
      </c>
      <c r="C3362" s="1" t="s">
        <v>4488</v>
      </c>
      <c r="D3362" s="1" t="s">
        <v>3601</v>
      </c>
      <c r="E3362" s="1" t="s">
        <v>4478</v>
      </c>
      <c r="F3362" s="1" t="s">
        <v>12994</v>
      </c>
      <c r="G3362" s="1" t="s">
        <v>10946</v>
      </c>
      <c r="H3362" s="1" t="s">
        <v>3604</v>
      </c>
      <c r="I3362" s="1" t="s">
        <v>12995</v>
      </c>
      <c r="J3362" s="1" t="s">
        <v>3606</v>
      </c>
      <c r="K3362" s="1" t="s">
        <v>12996</v>
      </c>
      <c r="L3362" s="1"/>
      <c r="M3362" s="1"/>
    </row>
    <row x14ac:dyDescent="0.25" r="3363" customHeight="1" ht="18.75">
      <c r="A3363" s="1" t="s">
        <v>3617</v>
      </c>
      <c r="B3363" s="1" t="s">
        <v>4582</v>
      </c>
      <c r="C3363" s="1" t="s">
        <v>4488</v>
      </c>
      <c r="D3363" s="1" t="s">
        <v>3601</v>
      </c>
      <c r="E3363" s="1" t="s">
        <v>4478</v>
      </c>
      <c r="F3363" s="1" t="s">
        <v>12997</v>
      </c>
      <c r="G3363" s="1" t="s">
        <v>10946</v>
      </c>
      <c r="H3363" s="1" t="s">
        <v>3604</v>
      </c>
      <c r="I3363" s="1" t="s">
        <v>12998</v>
      </c>
      <c r="J3363" s="1" t="s">
        <v>3606</v>
      </c>
      <c r="K3363" s="1" t="s">
        <v>12999</v>
      </c>
      <c r="L3363" s="1"/>
      <c r="M3363" s="1"/>
    </row>
    <row x14ac:dyDescent="0.25" r="3364" customHeight="1" ht="18.75">
      <c r="A3364" s="1" t="s">
        <v>3617</v>
      </c>
      <c r="B3364" s="1" t="s">
        <v>4582</v>
      </c>
      <c r="C3364" s="1" t="s">
        <v>4488</v>
      </c>
      <c r="D3364" s="1" t="s">
        <v>3601</v>
      </c>
      <c r="E3364" s="1" t="s">
        <v>4478</v>
      </c>
      <c r="F3364" s="1" t="s">
        <v>13000</v>
      </c>
      <c r="G3364" s="1" t="s">
        <v>10946</v>
      </c>
      <c r="H3364" s="1" t="s">
        <v>3604</v>
      </c>
      <c r="I3364" s="1" t="s">
        <v>13001</v>
      </c>
      <c r="J3364" s="1" t="s">
        <v>3606</v>
      </c>
      <c r="K3364" s="1" t="s">
        <v>13002</v>
      </c>
      <c r="L3364" s="1"/>
      <c r="M3364" s="1"/>
    </row>
    <row x14ac:dyDescent="0.25" r="3365" customHeight="1" ht="18.75">
      <c r="A3365" s="1" t="s">
        <v>3617</v>
      </c>
      <c r="B3365" s="1" t="s">
        <v>4582</v>
      </c>
      <c r="C3365" s="1" t="s">
        <v>4488</v>
      </c>
      <c r="D3365" s="1" t="s">
        <v>3601</v>
      </c>
      <c r="E3365" s="1" t="s">
        <v>4478</v>
      </c>
      <c r="F3365" s="1" t="s">
        <v>13003</v>
      </c>
      <c r="G3365" s="1" t="s">
        <v>10946</v>
      </c>
      <c r="H3365" s="1" t="s">
        <v>3604</v>
      </c>
      <c r="I3365" s="1" t="s">
        <v>13004</v>
      </c>
      <c r="J3365" s="1" t="s">
        <v>3606</v>
      </c>
      <c r="K3365" s="1" t="s">
        <v>13005</v>
      </c>
      <c r="L3365" s="1"/>
      <c r="M3365" s="1"/>
    </row>
    <row x14ac:dyDescent="0.25" r="3366" customHeight="1" ht="18.75">
      <c r="A3366" s="1" t="s">
        <v>3617</v>
      </c>
      <c r="B3366" s="1" t="s">
        <v>4582</v>
      </c>
      <c r="C3366" s="1" t="s">
        <v>4488</v>
      </c>
      <c r="D3366" s="1" t="s">
        <v>3601</v>
      </c>
      <c r="E3366" s="1" t="s">
        <v>4478</v>
      </c>
      <c r="F3366" s="1" t="s">
        <v>13006</v>
      </c>
      <c r="G3366" s="1" t="s">
        <v>10946</v>
      </c>
      <c r="H3366" s="1" t="s">
        <v>3604</v>
      </c>
      <c r="I3366" s="1" t="s">
        <v>13007</v>
      </c>
      <c r="J3366" s="1" t="s">
        <v>3606</v>
      </c>
      <c r="K3366" s="1" t="s">
        <v>13008</v>
      </c>
      <c r="L3366" s="1"/>
      <c r="M3366" s="1"/>
    </row>
    <row x14ac:dyDescent="0.25" r="3367" customHeight="1" ht="18.75">
      <c r="A3367" s="1" t="s">
        <v>3617</v>
      </c>
      <c r="B3367" s="1" t="s">
        <v>4582</v>
      </c>
      <c r="C3367" s="1" t="s">
        <v>4488</v>
      </c>
      <c r="D3367" s="1" t="s">
        <v>3601</v>
      </c>
      <c r="E3367" s="1" t="s">
        <v>4478</v>
      </c>
      <c r="F3367" s="1" t="s">
        <v>13009</v>
      </c>
      <c r="G3367" s="1" t="s">
        <v>10946</v>
      </c>
      <c r="H3367" s="1" t="s">
        <v>3604</v>
      </c>
      <c r="I3367" s="1" t="s">
        <v>13010</v>
      </c>
      <c r="J3367" s="1" t="s">
        <v>3606</v>
      </c>
      <c r="K3367" s="1" t="s">
        <v>13011</v>
      </c>
      <c r="L3367" s="1"/>
      <c r="M3367" s="1"/>
    </row>
    <row x14ac:dyDescent="0.25" r="3368" customHeight="1" ht="18.75">
      <c r="A3368" s="1" t="s">
        <v>3617</v>
      </c>
      <c r="B3368" s="1" t="s">
        <v>4582</v>
      </c>
      <c r="C3368" s="1" t="s">
        <v>4488</v>
      </c>
      <c r="D3368" s="1" t="s">
        <v>3601</v>
      </c>
      <c r="E3368" s="1" t="s">
        <v>4478</v>
      </c>
      <c r="F3368" s="1" t="s">
        <v>13012</v>
      </c>
      <c r="G3368" s="1" t="s">
        <v>10946</v>
      </c>
      <c r="H3368" s="1" t="s">
        <v>3604</v>
      </c>
      <c r="I3368" s="1" t="s">
        <v>13013</v>
      </c>
      <c r="J3368" s="1" t="s">
        <v>3606</v>
      </c>
      <c r="K3368" s="1" t="s">
        <v>13014</v>
      </c>
      <c r="L3368" s="1"/>
      <c r="M3368" s="1"/>
    </row>
    <row x14ac:dyDescent="0.25" r="3369" customHeight="1" ht="18.75">
      <c r="A3369" s="1" t="s">
        <v>3617</v>
      </c>
      <c r="B3369" s="1" t="s">
        <v>4582</v>
      </c>
      <c r="C3369" s="1" t="s">
        <v>4488</v>
      </c>
      <c r="D3369" s="1" t="s">
        <v>3601</v>
      </c>
      <c r="E3369" s="1" t="s">
        <v>4478</v>
      </c>
      <c r="F3369" s="1" t="s">
        <v>13015</v>
      </c>
      <c r="G3369" s="1" t="s">
        <v>10946</v>
      </c>
      <c r="H3369" s="1" t="s">
        <v>3604</v>
      </c>
      <c r="I3369" s="1" t="s">
        <v>13016</v>
      </c>
      <c r="J3369" s="1" t="s">
        <v>3606</v>
      </c>
      <c r="K3369" s="1" t="s">
        <v>12643</v>
      </c>
      <c r="L3369" s="1"/>
      <c r="M3369" s="1"/>
    </row>
    <row x14ac:dyDescent="0.25" r="3370" customHeight="1" ht="18.75">
      <c r="A3370" s="1" t="s">
        <v>3617</v>
      </c>
      <c r="B3370" s="1" t="s">
        <v>4582</v>
      </c>
      <c r="C3370" s="1" t="s">
        <v>4488</v>
      </c>
      <c r="D3370" s="1" t="s">
        <v>3601</v>
      </c>
      <c r="E3370" s="1" t="s">
        <v>4478</v>
      </c>
      <c r="F3370" s="1" t="s">
        <v>13017</v>
      </c>
      <c r="G3370" s="1" t="s">
        <v>10946</v>
      </c>
      <c r="H3370" s="1" t="s">
        <v>3604</v>
      </c>
      <c r="I3370" s="1" t="s">
        <v>13018</v>
      </c>
      <c r="J3370" s="1" t="s">
        <v>3606</v>
      </c>
      <c r="K3370" s="1" t="s">
        <v>13019</v>
      </c>
      <c r="L3370" s="1"/>
      <c r="M3370" s="1"/>
    </row>
    <row x14ac:dyDescent="0.25" r="3371" customHeight="1" ht="18.75">
      <c r="A3371" s="1" t="s">
        <v>3617</v>
      </c>
      <c r="B3371" s="1" t="s">
        <v>4582</v>
      </c>
      <c r="C3371" s="1" t="s">
        <v>4488</v>
      </c>
      <c r="D3371" s="1" t="s">
        <v>3601</v>
      </c>
      <c r="E3371" s="1" t="s">
        <v>4478</v>
      </c>
      <c r="F3371" s="1" t="s">
        <v>13020</v>
      </c>
      <c r="G3371" s="1" t="s">
        <v>10946</v>
      </c>
      <c r="H3371" s="1" t="s">
        <v>3604</v>
      </c>
      <c r="I3371" s="1" t="s">
        <v>13021</v>
      </c>
      <c r="J3371" s="1" t="s">
        <v>3606</v>
      </c>
      <c r="K3371" s="1" t="s">
        <v>13022</v>
      </c>
      <c r="L3371" s="1"/>
      <c r="M3371" s="1"/>
    </row>
    <row x14ac:dyDescent="0.25" r="3372" customHeight="1" ht="18.75">
      <c r="A3372" s="1" t="s">
        <v>3617</v>
      </c>
      <c r="B3372" s="1" t="s">
        <v>4582</v>
      </c>
      <c r="C3372" s="1" t="s">
        <v>4488</v>
      </c>
      <c r="D3372" s="1" t="s">
        <v>3601</v>
      </c>
      <c r="E3372" s="1" t="s">
        <v>4478</v>
      </c>
      <c r="F3372" s="1" t="s">
        <v>13023</v>
      </c>
      <c r="G3372" s="1" t="s">
        <v>10946</v>
      </c>
      <c r="H3372" s="1" t="s">
        <v>3604</v>
      </c>
      <c r="I3372" s="1" t="s">
        <v>13024</v>
      </c>
      <c r="J3372" s="1" t="s">
        <v>3606</v>
      </c>
      <c r="K3372" s="1" t="s">
        <v>12643</v>
      </c>
      <c r="L3372" s="1"/>
      <c r="M3372" s="1"/>
    </row>
    <row x14ac:dyDescent="0.25" r="3373" customHeight="1" ht="18.75">
      <c r="A3373" s="1" t="s">
        <v>3617</v>
      </c>
      <c r="B3373" s="1" t="s">
        <v>4582</v>
      </c>
      <c r="C3373" s="1" t="s">
        <v>4488</v>
      </c>
      <c r="D3373" s="1" t="s">
        <v>3601</v>
      </c>
      <c r="E3373" s="1" t="s">
        <v>4478</v>
      </c>
      <c r="F3373" s="1" t="s">
        <v>13025</v>
      </c>
      <c r="G3373" s="1" t="s">
        <v>10946</v>
      </c>
      <c r="H3373" s="1" t="s">
        <v>3604</v>
      </c>
      <c r="I3373" s="1" t="s">
        <v>13026</v>
      </c>
      <c r="J3373" s="1" t="s">
        <v>3606</v>
      </c>
      <c r="K3373" s="1" t="s">
        <v>13027</v>
      </c>
      <c r="L3373" s="1"/>
      <c r="M3373" s="1"/>
    </row>
    <row x14ac:dyDescent="0.25" r="3374" customHeight="1" ht="18.75">
      <c r="A3374" s="1" t="s">
        <v>3617</v>
      </c>
      <c r="B3374" s="1" t="s">
        <v>4582</v>
      </c>
      <c r="C3374" s="1" t="s">
        <v>4488</v>
      </c>
      <c r="D3374" s="1" t="s">
        <v>3601</v>
      </c>
      <c r="E3374" s="1" t="s">
        <v>4478</v>
      </c>
      <c r="F3374" s="1" t="s">
        <v>13028</v>
      </c>
      <c r="G3374" s="1" t="s">
        <v>13029</v>
      </c>
      <c r="H3374" s="1" t="s">
        <v>3604</v>
      </c>
      <c r="I3374" s="1" t="s">
        <v>13030</v>
      </c>
      <c r="J3374" s="1" t="s">
        <v>3606</v>
      </c>
      <c r="K3374" s="1" t="s">
        <v>13031</v>
      </c>
      <c r="L3374" s="1"/>
      <c r="M3374" s="1"/>
    </row>
    <row x14ac:dyDescent="0.25" r="3375" customHeight="1" ht="18.75">
      <c r="A3375" s="1" t="s">
        <v>3617</v>
      </c>
      <c r="B3375" s="1" t="s">
        <v>4582</v>
      </c>
      <c r="C3375" s="1" t="s">
        <v>4488</v>
      </c>
      <c r="D3375" s="1" t="s">
        <v>3601</v>
      </c>
      <c r="E3375" s="1" t="s">
        <v>4478</v>
      </c>
      <c r="F3375" s="1" t="s">
        <v>13032</v>
      </c>
      <c r="G3375" s="1" t="s">
        <v>13033</v>
      </c>
      <c r="H3375" s="1" t="s">
        <v>3604</v>
      </c>
      <c r="I3375" s="1" t="s">
        <v>13034</v>
      </c>
      <c r="J3375" s="1" t="s">
        <v>3606</v>
      </c>
      <c r="K3375" s="1" t="s">
        <v>13035</v>
      </c>
      <c r="L3375" s="1"/>
      <c r="M3375" s="1"/>
    </row>
    <row x14ac:dyDescent="0.25" r="3376" customHeight="1" ht="18.75">
      <c r="A3376" s="1" t="s">
        <v>3617</v>
      </c>
      <c r="B3376" s="1" t="s">
        <v>4582</v>
      </c>
      <c r="C3376" s="1" t="s">
        <v>4488</v>
      </c>
      <c r="D3376" s="1" t="s">
        <v>3601</v>
      </c>
      <c r="E3376" s="1" t="s">
        <v>4478</v>
      </c>
      <c r="F3376" s="1" t="s">
        <v>13036</v>
      </c>
      <c r="G3376" s="1" t="s">
        <v>10946</v>
      </c>
      <c r="H3376" s="1" t="s">
        <v>3604</v>
      </c>
      <c r="I3376" s="1" t="s">
        <v>13037</v>
      </c>
      <c r="J3376" s="1" t="s">
        <v>3606</v>
      </c>
      <c r="K3376" s="1" t="s">
        <v>13038</v>
      </c>
      <c r="L3376" s="1"/>
      <c r="M3376" s="1"/>
    </row>
    <row x14ac:dyDescent="0.25" r="3377" customHeight="1" ht="18.75">
      <c r="A3377" s="1" t="s">
        <v>3617</v>
      </c>
      <c r="B3377" s="1" t="s">
        <v>4582</v>
      </c>
      <c r="C3377" s="1" t="s">
        <v>4488</v>
      </c>
      <c r="D3377" s="1" t="s">
        <v>3601</v>
      </c>
      <c r="E3377" s="1" t="s">
        <v>4478</v>
      </c>
      <c r="F3377" s="1" t="s">
        <v>13039</v>
      </c>
      <c r="G3377" s="1" t="s">
        <v>13040</v>
      </c>
      <c r="H3377" s="1" t="s">
        <v>3604</v>
      </c>
      <c r="I3377" s="1" t="s">
        <v>13041</v>
      </c>
      <c r="J3377" s="1" t="s">
        <v>3606</v>
      </c>
      <c r="K3377" s="1" t="s">
        <v>13042</v>
      </c>
      <c r="L3377" s="1"/>
      <c r="M3377" s="1"/>
    </row>
    <row x14ac:dyDescent="0.25" r="3378" customHeight="1" ht="18.75">
      <c r="A3378" s="1" t="s">
        <v>3617</v>
      </c>
      <c r="B3378" s="1" t="s">
        <v>4582</v>
      </c>
      <c r="C3378" s="1" t="s">
        <v>4488</v>
      </c>
      <c r="D3378" s="1" t="s">
        <v>3601</v>
      </c>
      <c r="E3378" s="1" t="s">
        <v>4478</v>
      </c>
      <c r="F3378" s="1" t="s">
        <v>13043</v>
      </c>
      <c r="G3378" s="1" t="s">
        <v>13044</v>
      </c>
      <c r="H3378" s="1" t="s">
        <v>3604</v>
      </c>
      <c r="I3378" s="1" t="s">
        <v>13045</v>
      </c>
      <c r="J3378" s="1" t="s">
        <v>3606</v>
      </c>
      <c r="K3378" s="1" t="s">
        <v>13046</v>
      </c>
      <c r="L3378" s="1"/>
      <c r="M3378" s="1"/>
    </row>
    <row x14ac:dyDescent="0.25" r="3379" customHeight="1" ht="18.75">
      <c r="A3379" s="1" t="s">
        <v>3617</v>
      </c>
      <c r="B3379" s="1" t="s">
        <v>4582</v>
      </c>
      <c r="C3379" s="1" t="s">
        <v>4488</v>
      </c>
      <c r="D3379" s="1" t="s">
        <v>3601</v>
      </c>
      <c r="E3379" s="1" t="s">
        <v>4478</v>
      </c>
      <c r="F3379" s="1" t="s">
        <v>13047</v>
      </c>
      <c r="G3379" s="1" t="s">
        <v>13048</v>
      </c>
      <c r="H3379" s="1" t="s">
        <v>3604</v>
      </c>
      <c r="I3379" s="1" t="s">
        <v>13049</v>
      </c>
      <c r="J3379" s="1" t="s">
        <v>3606</v>
      </c>
      <c r="K3379" s="1" t="s">
        <v>13050</v>
      </c>
      <c r="L3379" s="1"/>
      <c r="M3379" s="1"/>
    </row>
    <row x14ac:dyDescent="0.25" r="3380" customHeight="1" ht="18.75">
      <c r="A3380" s="1" t="s">
        <v>3617</v>
      </c>
      <c r="B3380" s="1" t="s">
        <v>4582</v>
      </c>
      <c r="C3380" s="1" t="s">
        <v>4488</v>
      </c>
      <c r="D3380" s="1" t="s">
        <v>3601</v>
      </c>
      <c r="E3380" s="1" t="s">
        <v>4478</v>
      </c>
      <c r="F3380" s="1" t="s">
        <v>13051</v>
      </c>
      <c r="G3380" s="1" t="s">
        <v>13052</v>
      </c>
      <c r="H3380" s="1" t="s">
        <v>3604</v>
      </c>
      <c r="I3380" s="1" t="s">
        <v>13053</v>
      </c>
      <c r="J3380" s="1" t="s">
        <v>3606</v>
      </c>
      <c r="K3380" s="1" t="s">
        <v>13054</v>
      </c>
      <c r="L3380" s="1"/>
      <c r="M3380" s="1"/>
    </row>
    <row x14ac:dyDescent="0.25" r="3381" customHeight="1" ht="18.75">
      <c r="A3381" s="1" t="s">
        <v>3617</v>
      </c>
      <c r="B3381" s="1" t="s">
        <v>4582</v>
      </c>
      <c r="C3381" s="1" t="s">
        <v>4488</v>
      </c>
      <c r="D3381" s="1" t="s">
        <v>3601</v>
      </c>
      <c r="E3381" s="1" t="s">
        <v>4478</v>
      </c>
      <c r="F3381" s="1" t="s">
        <v>13055</v>
      </c>
      <c r="G3381" s="1" t="s">
        <v>13056</v>
      </c>
      <c r="H3381" s="1" t="s">
        <v>3604</v>
      </c>
      <c r="I3381" s="1" t="s">
        <v>13057</v>
      </c>
      <c r="J3381" s="1" t="s">
        <v>3606</v>
      </c>
      <c r="K3381" s="1" t="s">
        <v>10903</v>
      </c>
      <c r="L3381" s="1"/>
      <c r="M3381" s="1"/>
    </row>
    <row x14ac:dyDescent="0.25" r="3382" customHeight="1" ht="18.75">
      <c r="A3382" s="1" t="s">
        <v>3617</v>
      </c>
      <c r="B3382" s="1" t="s">
        <v>4582</v>
      </c>
      <c r="C3382" s="1" t="s">
        <v>4488</v>
      </c>
      <c r="D3382" s="1" t="s">
        <v>3601</v>
      </c>
      <c r="E3382" s="1" t="s">
        <v>4478</v>
      </c>
      <c r="F3382" s="1" t="s">
        <v>13058</v>
      </c>
      <c r="G3382" s="1" t="s">
        <v>10946</v>
      </c>
      <c r="H3382" s="1" t="s">
        <v>3604</v>
      </c>
      <c r="I3382" s="1" t="s">
        <v>13059</v>
      </c>
      <c r="J3382" s="1" t="s">
        <v>3606</v>
      </c>
      <c r="K3382" s="1" t="s">
        <v>13060</v>
      </c>
      <c r="L3382" s="1"/>
      <c r="M3382" s="1"/>
    </row>
    <row x14ac:dyDescent="0.25" r="3383" customHeight="1" ht="18.75">
      <c r="A3383" s="1" t="s">
        <v>3617</v>
      </c>
      <c r="B3383" s="1" t="s">
        <v>4582</v>
      </c>
      <c r="C3383" s="1" t="s">
        <v>4488</v>
      </c>
      <c r="D3383" s="1" t="s">
        <v>3601</v>
      </c>
      <c r="E3383" s="1" t="s">
        <v>4478</v>
      </c>
      <c r="F3383" s="1" t="s">
        <v>13061</v>
      </c>
      <c r="G3383" s="1" t="s">
        <v>13062</v>
      </c>
      <c r="H3383" s="1" t="s">
        <v>3604</v>
      </c>
      <c r="I3383" s="1" t="s">
        <v>13063</v>
      </c>
      <c r="J3383" s="1" t="s">
        <v>3606</v>
      </c>
      <c r="K3383" s="1" t="s">
        <v>13064</v>
      </c>
      <c r="L3383" s="1"/>
      <c r="M3383" s="1"/>
    </row>
    <row x14ac:dyDescent="0.25" r="3384" customHeight="1" ht="18.75">
      <c r="A3384" s="1" t="s">
        <v>3617</v>
      </c>
      <c r="B3384" s="1" t="s">
        <v>4582</v>
      </c>
      <c r="C3384" s="1" t="s">
        <v>4488</v>
      </c>
      <c r="D3384" s="1" t="s">
        <v>3601</v>
      </c>
      <c r="E3384" s="1" t="s">
        <v>4478</v>
      </c>
      <c r="F3384" s="1" t="s">
        <v>13065</v>
      </c>
      <c r="G3384" s="1" t="s">
        <v>13066</v>
      </c>
      <c r="H3384" s="1" t="s">
        <v>3604</v>
      </c>
      <c r="I3384" s="1" t="s">
        <v>13067</v>
      </c>
      <c r="J3384" s="1" t="s">
        <v>3606</v>
      </c>
      <c r="K3384" s="1" t="s">
        <v>10891</v>
      </c>
      <c r="L3384" s="1"/>
      <c r="M3384" s="1"/>
    </row>
    <row x14ac:dyDescent="0.25" r="3385" customHeight="1" ht="18.75">
      <c r="A3385" s="1" t="s">
        <v>3617</v>
      </c>
      <c r="B3385" s="1" t="s">
        <v>4582</v>
      </c>
      <c r="C3385" s="1" t="s">
        <v>4488</v>
      </c>
      <c r="D3385" s="1" t="s">
        <v>3601</v>
      </c>
      <c r="E3385" s="1" t="s">
        <v>4478</v>
      </c>
      <c r="F3385" s="1" t="s">
        <v>13068</v>
      </c>
      <c r="G3385" s="1" t="s">
        <v>10946</v>
      </c>
      <c r="H3385" s="1" t="s">
        <v>3604</v>
      </c>
      <c r="I3385" s="1" t="s">
        <v>13069</v>
      </c>
      <c r="J3385" s="1" t="s">
        <v>3606</v>
      </c>
      <c r="K3385" s="1" t="s">
        <v>13070</v>
      </c>
      <c r="L3385" s="1"/>
      <c r="M3385" s="1"/>
    </row>
    <row x14ac:dyDescent="0.25" r="3386" customHeight="1" ht="18.75">
      <c r="A3386" s="1" t="s">
        <v>3617</v>
      </c>
      <c r="B3386" s="1" t="s">
        <v>4582</v>
      </c>
      <c r="C3386" s="1" t="s">
        <v>4488</v>
      </c>
      <c r="D3386" s="1" t="s">
        <v>3601</v>
      </c>
      <c r="E3386" s="1" t="s">
        <v>4478</v>
      </c>
      <c r="F3386" s="1" t="s">
        <v>13071</v>
      </c>
      <c r="G3386" s="1" t="s">
        <v>13072</v>
      </c>
      <c r="H3386" s="1" t="s">
        <v>3604</v>
      </c>
      <c r="I3386" s="1" t="s">
        <v>13073</v>
      </c>
      <c r="J3386" s="1" t="s">
        <v>3606</v>
      </c>
      <c r="K3386" s="1" t="s">
        <v>13074</v>
      </c>
      <c r="L3386" s="1"/>
      <c r="M3386" s="1"/>
    </row>
    <row x14ac:dyDescent="0.25" r="3387" customHeight="1" ht="18.75">
      <c r="A3387" s="1" t="s">
        <v>3617</v>
      </c>
      <c r="B3387" s="1" t="s">
        <v>4582</v>
      </c>
      <c r="C3387" s="1" t="s">
        <v>4488</v>
      </c>
      <c r="D3387" s="1" t="s">
        <v>3601</v>
      </c>
      <c r="E3387" s="1" t="s">
        <v>4478</v>
      </c>
      <c r="F3387" s="1" t="s">
        <v>13075</v>
      </c>
      <c r="G3387" s="1" t="s">
        <v>13076</v>
      </c>
      <c r="H3387" s="1" t="s">
        <v>3604</v>
      </c>
      <c r="I3387" s="1" t="s">
        <v>13077</v>
      </c>
      <c r="J3387" s="1" t="s">
        <v>3606</v>
      </c>
      <c r="K3387" s="1" t="s">
        <v>10879</v>
      </c>
      <c r="L3387" s="1"/>
      <c r="M3387" s="1"/>
    </row>
    <row x14ac:dyDescent="0.25" r="3388" customHeight="1" ht="18.75">
      <c r="A3388" s="1" t="s">
        <v>3617</v>
      </c>
      <c r="B3388" s="1" t="s">
        <v>4582</v>
      </c>
      <c r="C3388" s="1" t="s">
        <v>4488</v>
      </c>
      <c r="D3388" s="1" t="s">
        <v>3601</v>
      </c>
      <c r="E3388" s="1" t="s">
        <v>4478</v>
      </c>
      <c r="F3388" s="1" t="s">
        <v>13078</v>
      </c>
      <c r="G3388" s="1" t="s">
        <v>13079</v>
      </c>
      <c r="H3388" s="1" t="s">
        <v>3604</v>
      </c>
      <c r="I3388" s="1" t="s">
        <v>13080</v>
      </c>
      <c r="J3388" s="1" t="s">
        <v>3606</v>
      </c>
      <c r="K3388" s="1" t="s">
        <v>13081</v>
      </c>
      <c r="L3388" s="1"/>
      <c r="M3388" s="1"/>
    </row>
    <row x14ac:dyDescent="0.25" r="3389" customHeight="1" ht="18.75">
      <c r="A3389" s="1" t="s">
        <v>3617</v>
      </c>
      <c r="B3389" s="1" t="s">
        <v>4582</v>
      </c>
      <c r="C3389" s="1" t="s">
        <v>4488</v>
      </c>
      <c r="D3389" s="1" t="s">
        <v>3601</v>
      </c>
      <c r="E3389" s="1" t="s">
        <v>3752</v>
      </c>
      <c r="F3389" s="1" t="s">
        <v>13082</v>
      </c>
      <c r="G3389" s="1" t="s">
        <v>12754</v>
      </c>
      <c r="H3389" s="1" t="s">
        <v>3604</v>
      </c>
      <c r="I3389" s="1" t="s">
        <v>13083</v>
      </c>
      <c r="J3389" s="1" t="s">
        <v>3606</v>
      </c>
      <c r="K3389" s="1" t="s">
        <v>13084</v>
      </c>
      <c r="L3389" s="1"/>
      <c r="M3389" s="1"/>
    </row>
    <row x14ac:dyDescent="0.25" r="3390" customHeight="1" ht="18.75">
      <c r="A3390" s="1" t="s">
        <v>3617</v>
      </c>
      <c r="B3390" s="1" t="s">
        <v>4582</v>
      </c>
      <c r="C3390" s="1" t="s">
        <v>4488</v>
      </c>
      <c r="D3390" s="1" t="s">
        <v>3601</v>
      </c>
      <c r="E3390" s="1" t="s">
        <v>3752</v>
      </c>
      <c r="F3390" s="1" t="s">
        <v>13085</v>
      </c>
      <c r="G3390" s="1" t="s">
        <v>12758</v>
      </c>
      <c r="H3390" s="1" t="s">
        <v>3604</v>
      </c>
      <c r="I3390" s="1" t="s">
        <v>13086</v>
      </c>
      <c r="J3390" s="1" t="s">
        <v>3606</v>
      </c>
      <c r="K3390" s="1" t="s">
        <v>13087</v>
      </c>
      <c r="L3390" s="1"/>
      <c r="M3390" s="1"/>
    </row>
    <row x14ac:dyDescent="0.25" r="3391" customHeight="1" ht="18.75">
      <c r="A3391" s="1" t="s">
        <v>3617</v>
      </c>
      <c r="B3391" s="1" t="s">
        <v>4582</v>
      </c>
      <c r="C3391" s="1" t="s">
        <v>4488</v>
      </c>
      <c r="D3391" s="1" t="s">
        <v>3601</v>
      </c>
      <c r="E3391" s="1" t="s">
        <v>3752</v>
      </c>
      <c r="F3391" s="1" t="s">
        <v>13088</v>
      </c>
      <c r="G3391" s="1" t="s">
        <v>12762</v>
      </c>
      <c r="H3391" s="1" t="s">
        <v>3604</v>
      </c>
      <c r="I3391" s="1" t="s">
        <v>13089</v>
      </c>
      <c r="J3391" s="1" t="s">
        <v>3606</v>
      </c>
      <c r="K3391" s="1" t="s">
        <v>13090</v>
      </c>
      <c r="L3391" s="1"/>
      <c r="M3391" s="1"/>
    </row>
    <row x14ac:dyDescent="0.25" r="3392" customHeight="1" ht="18.75">
      <c r="A3392" s="1" t="s">
        <v>3617</v>
      </c>
      <c r="B3392" s="1" t="s">
        <v>4582</v>
      </c>
      <c r="C3392" s="1" t="s">
        <v>4488</v>
      </c>
      <c r="D3392" s="1" t="s">
        <v>3601</v>
      </c>
      <c r="E3392" s="1" t="s">
        <v>4478</v>
      </c>
      <c r="F3392" s="1" t="s">
        <v>13091</v>
      </c>
      <c r="G3392" s="1" t="s">
        <v>13092</v>
      </c>
      <c r="H3392" s="1" t="s">
        <v>3604</v>
      </c>
      <c r="I3392" s="1" t="s">
        <v>13093</v>
      </c>
      <c r="J3392" s="1" t="s">
        <v>3606</v>
      </c>
      <c r="K3392" s="1" t="s">
        <v>13094</v>
      </c>
      <c r="L3392" s="1"/>
      <c r="M3392" s="1"/>
    </row>
    <row x14ac:dyDescent="0.25" r="3393" customHeight="1" ht="18.75">
      <c r="A3393" s="1" t="s">
        <v>3617</v>
      </c>
      <c r="B3393" s="1" t="s">
        <v>4582</v>
      </c>
      <c r="C3393" s="1" t="s">
        <v>4488</v>
      </c>
      <c r="D3393" s="1" t="s">
        <v>3601</v>
      </c>
      <c r="E3393" s="1" t="s">
        <v>8096</v>
      </c>
      <c r="F3393" s="1" t="s">
        <v>13095</v>
      </c>
      <c r="G3393" s="1" t="s">
        <v>13096</v>
      </c>
      <c r="H3393" s="1" t="s">
        <v>3604</v>
      </c>
      <c r="I3393" s="1" t="s">
        <v>13097</v>
      </c>
      <c r="J3393" s="1" t="s">
        <v>3606</v>
      </c>
      <c r="K3393" s="1" t="s">
        <v>13098</v>
      </c>
      <c r="L3393" s="1"/>
      <c r="M3393" s="1"/>
    </row>
    <row x14ac:dyDescent="0.25" r="3394" customHeight="1" ht="18.75">
      <c r="A3394" s="1" t="s">
        <v>3617</v>
      </c>
      <c r="B3394" s="1" t="s">
        <v>4582</v>
      </c>
      <c r="C3394" s="1" t="s">
        <v>4488</v>
      </c>
      <c r="D3394" s="1" t="s">
        <v>3601</v>
      </c>
      <c r="E3394" s="1" t="s">
        <v>4478</v>
      </c>
      <c r="F3394" s="1" t="s">
        <v>13099</v>
      </c>
      <c r="G3394" s="1" t="s">
        <v>13029</v>
      </c>
      <c r="H3394" s="1" t="s">
        <v>3604</v>
      </c>
      <c r="I3394" s="1" t="s">
        <v>13100</v>
      </c>
      <c r="J3394" s="1" t="s">
        <v>3606</v>
      </c>
      <c r="K3394" s="1" t="s">
        <v>13101</v>
      </c>
      <c r="L3394" s="1"/>
      <c r="M3394" s="1"/>
    </row>
    <row x14ac:dyDescent="0.25" r="3395" customHeight="1" ht="18.75">
      <c r="A3395" s="1" t="s">
        <v>3617</v>
      </c>
      <c r="B3395" s="1" t="s">
        <v>4582</v>
      </c>
      <c r="C3395" s="1" t="s">
        <v>4488</v>
      </c>
      <c r="D3395" s="1" t="s">
        <v>3601</v>
      </c>
      <c r="E3395" s="1" t="s">
        <v>4478</v>
      </c>
      <c r="F3395" s="1" t="s">
        <v>13102</v>
      </c>
      <c r="G3395" s="1" t="s">
        <v>13033</v>
      </c>
      <c r="H3395" s="1" t="s">
        <v>3604</v>
      </c>
      <c r="I3395" s="1" t="s">
        <v>13103</v>
      </c>
      <c r="J3395" s="1" t="s">
        <v>3606</v>
      </c>
      <c r="K3395" s="1" t="s">
        <v>13104</v>
      </c>
      <c r="L3395" s="1"/>
      <c r="M3395" s="1"/>
    </row>
    <row x14ac:dyDescent="0.25" r="3396" customHeight="1" ht="18.75">
      <c r="A3396" s="1" t="s">
        <v>3617</v>
      </c>
      <c r="B3396" s="1" t="s">
        <v>4582</v>
      </c>
      <c r="C3396" s="1" t="s">
        <v>4488</v>
      </c>
      <c r="D3396" s="1" t="s">
        <v>3601</v>
      </c>
      <c r="E3396" s="1" t="s">
        <v>4478</v>
      </c>
      <c r="F3396" s="1" t="s">
        <v>13105</v>
      </c>
      <c r="G3396" s="1" t="s">
        <v>13040</v>
      </c>
      <c r="H3396" s="1" t="s">
        <v>3604</v>
      </c>
      <c r="I3396" s="1" t="s">
        <v>13106</v>
      </c>
      <c r="J3396" s="1" t="s">
        <v>3606</v>
      </c>
      <c r="K3396" s="1" t="s">
        <v>13107</v>
      </c>
      <c r="L3396" s="1"/>
      <c r="M3396" s="1"/>
    </row>
    <row x14ac:dyDescent="0.25" r="3397" customHeight="1" ht="18.75">
      <c r="A3397" s="1" t="s">
        <v>3617</v>
      </c>
      <c r="B3397" s="1" t="s">
        <v>4582</v>
      </c>
      <c r="C3397" s="1" t="s">
        <v>4488</v>
      </c>
      <c r="D3397" s="1" t="s">
        <v>3601</v>
      </c>
      <c r="E3397" s="1" t="s">
        <v>4478</v>
      </c>
      <c r="F3397" s="1" t="s">
        <v>13108</v>
      </c>
      <c r="G3397" s="1" t="s">
        <v>13044</v>
      </c>
      <c r="H3397" s="1" t="s">
        <v>3604</v>
      </c>
      <c r="I3397" s="1" t="s">
        <v>13109</v>
      </c>
      <c r="J3397" s="1" t="s">
        <v>3606</v>
      </c>
      <c r="K3397" s="1" t="s">
        <v>13110</v>
      </c>
      <c r="L3397" s="1"/>
      <c r="M3397" s="1"/>
    </row>
    <row x14ac:dyDescent="0.25" r="3398" customHeight="1" ht="18.75">
      <c r="A3398" s="1" t="s">
        <v>3617</v>
      </c>
      <c r="B3398" s="1" t="s">
        <v>4582</v>
      </c>
      <c r="C3398" s="1" t="s">
        <v>4488</v>
      </c>
      <c r="D3398" s="1" t="s">
        <v>3601</v>
      </c>
      <c r="E3398" s="1" t="s">
        <v>4478</v>
      </c>
      <c r="F3398" s="1" t="s">
        <v>13111</v>
      </c>
      <c r="G3398" s="1" t="s">
        <v>13048</v>
      </c>
      <c r="H3398" s="1" t="s">
        <v>3604</v>
      </c>
      <c r="I3398" s="1" t="s">
        <v>13112</v>
      </c>
      <c r="J3398" s="1" t="s">
        <v>3606</v>
      </c>
      <c r="K3398" s="1" t="s">
        <v>13113</v>
      </c>
      <c r="L3398" s="1"/>
      <c r="M3398" s="1"/>
    </row>
    <row x14ac:dyDescent="0.25" r="3399" customHeight="1" ht="18.75">
      <c r="A3399" s="1" t="s">
        <v>3617</v>
      </c>
      <c r="B3399" s="1" t="s">
        <v>4582</v>
      </c>
      <c r="C3399" s="1" t="s">
        <v>4488</v>
      </c>
      <c r="D3399" s="1" t="s">
        <v>3601</v>
      </c>
      <c r="E3399" s="1" t="s">
        <v>4478</v>
      </c>
      <c r="F3399" s="1" t="s">
        <v>13114</v>
      </c>
      <c r="G3399" s="1" t="s">
        <v>13052</v>
      </c>
      <c r="H3399" s="1" t="s">
        <v>3604</v>
      </c>
      <c r="I3399" s="1" t="s">
        <v>13115</v>
      </c>
      <c r="J3399" s="1" t="s">
        <v>3606</v>
      </c>
      <c r="K3399" s="1" t="s">
        <v>13116</v>
      </c>
      <c r="L3399" s="1"/>
      <c r="M3399" s="1"/>
    </row>
    <row x14ac:dyDescent="0.25" r="3400" customHeight="1" ht="18.75">
      <c r="A3400" s="1" t="s">
        <v>3617</v>
      </c>
      <c r="B3400" s="1" t="s">
        <v>4582</v>
      </c>
      <c r="C3400" s="1" t="s">
        <v>4488</v>
      </c>
      <c r="D3400" s="1" t="s">
        <v>3601</v>
      </c>
      <c r="E3400" s="1" t="s">
        <v>4478</v>
      </c>
      <c r="F3400" s="1" t="s">
        <v>13117</v>
      </c>
      <c r="G3400" s="1" t="s">
        <v>13056</v>
      </c>
      <c r="H3400" s="1" t="s">
        <v>3604</v>
      </c>
      <c r="I3400" s="1" t="s">
        <v>13118</v>
      </c>
      <c r="J3400" s="1" t="s">
        <v>3606</v>
      </c>
      <c r="K3400" s="1" t="s">
        <v>13119</v>
      </c>
      <c r="L3400" s="1"/>
      <c r="M3400" s="1"/>
    </row>
    <row x14ac:dyDescent="0.25" r="3401" customHeight="1" ht="18.75">
      <c r="A3401" s="1" t="s">
        <v>3617</v>
      </c>
      <c r="B3401" s="1" t="s">
        <v>4582</v>
      </c>
      <c r="C3401" s="1" t="s">
        <v>4488</v>
      </c>
      <c r="D3401" s="1" t="s">
        <v>3601</v>
      </c>
      <c r="E3401" s="1" t="s">
        <v>4478</v>
      </c>
      <c r="F3401" s="1" t="s">
        <v>13120</v>
      </c>
      <c r="G3401" s="1" t="s">
        <v>13062</v>
      </c>
      <c r="H3401" s="1" t="s">
        <v>3604</v>
      </c>
      <c r="I3401" s="1" t="s">
        <v>13121</v>
      </c>
      <c r="J3401" s="1" t="s">
        <v>3606</v>
      </c>
      <c r="K3401" s="1" t="s">
        <v>13122</v>
      </c>
      <c r="L3401" s="1"/>
      <c r="M3401" s="1"/>
    </row>
    <row x14ac:dyDescent="0.25" r="3402" customHeight="1" ht="18.75">
      <c r="A3402" s="1" t="s">
        <v>3617</v>
      </c>
      <c r="B3402" s="1" t="s">
        <v>4582</v>
      </c>
      <c r="C3402" s="1" t="s">
        <v>4488</v>
      </c>
      <c r="D3402" s="1" t="s">
        <v>3601</v>
      </c>
      <c r="E3402" s="1" t="s">
        <v>4478</v>
      </c>
      <c r="F3402" s="1" t="s">
        <v>13123</v>
      </c>
      <c r="G3402" s="1" t="s">
        <v>13066</v>
      </c>
      <c r="H3402" s="1" t="s">
        <v>3604</v>
      </c>
      <c r="I3402" s="1" t="s">
        <v>13124</v>
      </c>
      <c r="J3402" s="1" t="s">
        <v>3606</v>
      </c>
      <c r="K3402" s="1" t="s">
        <v>13125</v>
      </c>
      <c r="L3402" s="1"/>
      <c r="M3402" s="1"/>
    </row>
    <row x14ac:dyDescent="0.25" r="3403" customHeight="1" ht="18.75">
      <c r="A3403" s="1" t="s">
        <v>3617</v>
      </c>
      <c r="B3403" s="1" t="s">
        <v>4582</v>
      </c>
      <c r="C3403" s="1" t="s">
        <v>4488</v>
      </c>
      <c r="D3403" s="1" t="s">
        <v>3601</v>
      </c>
      <c r="E3403" s="1" t="s">
        <v>4478</v>
      </c>
      <c r="F3403" s="1" t="s">
        <v>13126</v>
      </c>
      <c r="G3403" s="1" t="s">
        <v>13072</v>
      </c>
      <c r="H3403" s="1" t="s">
        <v>3604</v>
      </c>
      <c r="I3403" s="1" t="s">
        <v>13127</v>
      </c>
      <c r="J3403" s="1" t="s">
        <v>3606</v>
      </c>
      <c r="K3403" s="1" t="s">
        <v>13128</v>
      </c>
      <c r="L3403" s="1"/>
      <c r="M3403" s="1"/>
    </row>
    <row x14ac:dyDescent="0.25" r="3404" customHeight="1" ht="18.75">
      <c r="A3404" s="1" t="s">
        <v>3617</v>
      </c>
      <c r="B3404" s="1" t="s">
        <v>4582</v>
      </c>
      <c r="C3404" s="1" t="s">
        <v>4488</v>
      </c>
      <c r="D3404" s="1" t="s">
        <v>3601</v>
      </c>
      <c r="E3404" s="1" t="s">
        <v>4478</v>
      </c>
      <c r="F3404" s="1" t="s">
        <v>13129</v>
      </c>
      <c r="G3404" s="1" t="s">
        <v>13076</v>
      </c>
      <c r="H3404" s="1" t="s">
        <v>3604</v>
      </c>
      <c r="I3404" s="1" t="s">
        <v>13130</v>
      </c>
      <c r="J3404" s="1" t="s">
        <v>3606</v>
      </c>
      <c r="K3404" s="1" t="s">
        <v>13131</v>
      </c>
      <c r="L3404" s="1"/>
      <c r="M3404" s="1"/>
    </row>
    <row x14ac:dyDescent="0.25" r="3405" customHeight="1" ht="18.75">
      <c r="A3405" s="1" t="s">
        <v>3617</v>
      </c>
      <c r="B3405" s="1" t="s">
        <v>4582</v>
      </c>
      <c r="C3405" s="1" t="s">
        <v>4488</v>
      </c>
      <c r="D3405" s="1" t="s">
        <v>3601</v>
      </c>
      <c r="E3405" s="1" t="s">
        <v>4478</v>
      </c>
      <c r="F3405" s="1" t="s">
        <v>13132</v>
      </c>
      <c r="G3405" s="1" t="s">
        <v>13079</v>
      </c>
      <c r="H3405" s="1" t="s">
        <v>3604</v>
      </c>
      <c r="I3405" s="1" t="s">
        <v>13133</v>
      </c>
      <c r="J3405" s="1" t="s">
        <v>3606</v>
      </c>
      <c r="K3405" s="1" t="s">
        <v>13134</v>
      </c>
      <c r="L3405" s="1"/>
      <c r="M3405" s="1"/>
    </row>
    <row x14ac:dyDescent="0.25" r="3406" customHeight="1" ht="18.75">
      <c r="A3406" s="1" t="s">
        <v>3617</v>
      </c>
      <c r="B3406" s="1" t="s">
        <v>13135</v>
      </c>
      <c r="C3406" s="1" t="s">
        <v>4488</v>
      </c>
      <c r="D3406" s="1" t="s">
        <v>3601</v>
      </c>
      <c r="E3406" s="1" t="s">
        <v>4478</v>
      </c>
      <c r="F3406" s="1" t="s">
        <v>13136</v>
      </c>
      <c r="G3406" s="1" t="s">
        <v>13029</v>
      </c>
      <c r="H3406" s="1" t="s">
        <v>3604</v>
      </c>
      <c r="I3406" s="1" t="s">
        <v>13137</v>
      </c>
      <c r="J3406" s="1" t="s">
        <v>3606</v>
      </c>
      <c r="K3406" s="1" t="s">
        <v>13031</v>
      </c>
      <c r="L3406" s="1"/>
      <c r="M3406" s="1"/>
    </row>
    <row x14ac:dyDescent="0.25" r="3407" customHeight="1" ht="18.75">
      <c r="A3407" s="1" t="s">
        <v>3617</v>
      </c>
      <c r="B3407" s="1" t="s">
        <v>13135</v>
      </c>
      <c r="C3407" s="1" t="s">
        <v>4488</v>
      </c>
      <c r="D3407" s="1" t="s">
        <v>3601</v>
      </c>
      <c r="E3407" s="1" t="s">
        <v>4478</v>
      </c>
      <c r="F3407" s="1" t="s">
        <v>13138</v>
      </c>
      <c r="G3407" s="1" t="s">
        <v>13139</v>
      </c>
      <c r="H3407" s="1" t="s">
        <v>3604</v>
      </c>
      <c r="I3407" s="1" t="s">
        <v>13140</v>
      </c>
      <c r="J3407" s="1" t="s">
        <v>3606</v>
      </c>
      <c r="K3407" s="1" t="s">
        <v>13141</v>
      </c>
      <c r="L3407" s="1"/>
      <c r="M3407" s="1"/>
    </row>
    <row x14ac:dyDescent="0.25" r="3408" customHeight="1" ht="18.75">
      <c r="A3408" s="1" t="s">
        <v>3617</v>
      </c>
      <c r="B3408" s="1" t="s">
        <v>13135</v>
      </c>
      <c r="C3408" s="1" t="s">
        <v>4488</v>
      </c>
      <c r="D3408" s="1" t="s">
        <v>3601</v>
      </c>
      <c r="E3408" s="1" t="s">
        <v>4478</v>
      </c>
      <c r="F3408" s="1" t="s">
        <v>13142</v>
      </c>
      <c r="G3408" s="1" t="s">
        <v>13143</v>
      </c>
      <c r="H3408" s="1" t="s">
        <v>3604</v>
      </c>
      <c r="I3408" s="1" t="s">
        <v>13144</v>
      </c>
      <c r="J3408" s="1" t="s">
        <v>3606</v>
      </c>
      <c r="K3408" s="1" t="s">
        <v>13145</v>
      </c>
      <c r="L3408" s="1"/>
      <c r="M3408" s="1"/>
    </row>
    <row x14ac:dyDescent="0.25" r="3409" customHeight="1" ht="18.75">
      <c r="A3409" s="1" t="s">
        <v>3617</v>
      </c>
      <c r="B3409" s="1" t="s">
        <v>13135</v>
      </c>
      <c r="C3409" s="1" t="s">
        <v>4488</v>
      </c>
      <c r="D3409" s="1" t="s">
        <v>3601</v>
      </c>
      <c r="E3409" s="1" t="s">
        <v>4478</v>
      </c>
      <c r="F3409" s="1" t="s">
        <v>13146</v>
      </c>
      <c r="G3409" s="1" t="s">
        <v>13040</v>
      </c>
      <c r="H3409" s="1" t="s">
        <v>3604</v>
      </c>
      <c r="I3409" s="1" t="s">
        <v>13147</v>
      </c>
      <c r="J3409" s="1" t="s">
        <v>3606</v>
      </c>
      <c r="K3409" s="1" t="s">
        <v>13042</v>
      </c>
      <c r="L3409" s="1"/>
      <c r="M3409" s="1"/>
    </row>
    <row x14ac:dyDescent="0.25" r="3410" customHeight="1" ht="18.75">
      <c r="A3410" s="1" t="s">
        <v>3617</v>
      </c>
      <c r="B3410" s="1" t="s">
        <v>13135</v>
      </c>
      <c r="C3410" s="1" t="s">
        <v>4488</v>
      </c>
      <c r="D3410" s="1" t="s">
        <v>3601</v>
      </c>
      <c r="E3410" s="1" t="s">
        <v>4478</v>
      </c>
      <c r="F3410" s="1" t="s">
        <v>13148</v>
      </c>
      <c r="G3410" s="1" t="s">
        <v>13149</v>
      </c>
      <c r="H3410" s="1" t="s">
        <v>3604</v>
      </c>
      <c r="I3410" s="1" t="s">
        <v>13150</v>
      </c>
      <c r="J3410" s="1" t="s">
        <v>3606</v>
      </c>
      <c r="K3410" s="1" t="s">
        <v>13151</v>
      </c>
      <c r="L3410" s="1"/>
      <c r="M3410" s="1"/>
    </row>
    <row x14ac:dyDescent="0.25" r="3411" customHeight="1" ht="18.75">
      <c r="A3411" s="1" t="s">
        <v>3617</v>
      </c>
      <c r="B3411" s="1" t="s">
        <v>13135</v>
      </c>
      <c r="C3411" s="1" t="s">
        <v>4488</v>
      </c>
      <c r="D3411" s="1" t="s">
        <v>3601</v>
      </c>
      <c r="E3411" s="1" t="s">
        <v>4478</v>
      </c>
      <c r="F3411" s="1" t="s">
        <v>13152</v>
      </c>
      <c r="G3411" s="1" t="s">
        <v>13143</v>
      </c>
      <c r="H3411" s="1" t="s">
        <v>3604</v>
      </c>
      <c r="I3411" s="1" t="s">
        <v>13153</v>
      </c>
      <c r="J3411" s="1" t="s">
        <v>3606</v>
      </c>
      <c r="K3411" s="1" t="s">
        <v>13154</v>
      </c>
      <c r="L3411" s="1"/>
      <c r="M3411" s="1"/>
    </row>
    <row x14ac:dyDescent="0.25" r="3412" customHeight="1" ht="18.75">
      <c r="A3412" s="1" t="s">
        <v>3617</v>
      </c>
      <c r="B3412" s="1" t="s">
        <v>13135</v>
      </c>
      <c r="C3412" s="1" t="s">
        <v>4488</v>
      </c>
      <c r="D3412" s="1" t="s">
        <v>3601</v>
      </c>
      <c r="E3412" s="1" t="s">
        <v>4478</v>
      </c>
      <c r="F3412" s="1" t="s">
        <v>13155</v>
      </c>
      <c r="G3412" s="1" t="s">
        <v>13048</v>
      </c>
      <c r="H3412" s="1" t="s">
        <v>3604</v>
      </c>
      <c r="I3412" s="1" t="s">
        <v>13156</v>
      </c>
      <c r="J3412" s="1" t="s">
        <v>3606</v>
      </c>
      <c r="K3412" s="1" t="s">
        <v>13050</v>
      </c>
      <c r="L3412" s="1"/>
      <c r="M3412" s="1"/>
    </row>
    <row x14ac:dyDescent="0.25" r="3413" customHeight="1" ht="18.75">
      <c r="A3413" s="1" t="s">
        <v>3617</v>
      </c>
      <c r="B3413" s="1" t="s">
        <v>13135</v>
      </c>
      <c r="C3413" s="1" t="s">
        <v>4488</v>
      </c>
      <c r="D3413" s="1" t="s">
        <v>3601</v>
      </c>
      <c r="E3413" s="1" t="s">
        <v>4478</v>
      </c>
      <c r="F3413" s="1" t="s">
        <v>13157</v>
      </c>
      <c r="G3413" s="1" t="s">
        <v>13158</v>
      </c>
      <c r="H3413" s="1" t="s">
        <v>3604</v>
      </c>
      <c r="I3413" s="1" t="s">
        <v>13159</v>
      </c>
      <c r="J3413" s="1" t="s">
        <v>3606</v>
      </c>
      <c r="K3413" s="1" t="s">
        <v>13160</v>
      </c>
      <c r="L3413" s="1"/>
      <c r="M3413" s="1"/>
    </row>
    <row x14ac:dyDescent="0.25" r="3414" customHeight="1" ht="18.75">
      <c r="A3414" s="1" t="s">
        <v>3617</v>
      </c>
      <c r="B3414" s="1" t="s">
        <v>13135</v>
      </c>
      <c r="C3414" s="1" t="s">
        <v>4488</v>
      </c>
      <c r="D3414" s="1" t="s">
        <v>3601</v>
      </c>
      <c r="E3414" s="1" t="s">
        <v>4478</v>
      </c>
      <c r="F3414" s="1" t="s">
        <v>13161</v>
      </c>
      <c r="G3414" s="1" t="s">
        <v>13143</v>
      </c>
      <c r="H3414" s="1" t="s">
        <v>3604</v>
      </c>
      <c r="I3414" s="1" t="s">
        <v>13162</v>
      </c>
      <c r="J3414" s="1" t="s">
        <v>3606</v>
      </c>
      <c r="K3414" s="1" t="s">
        <v>13163</v>
      </c>
      <c r="L3414" s="1"/>
      <c r="M3414" s="1"/>
    </row>
    <row x14ac:dyDescent="0.25" r="3415" customHeight="1" ht="18.75">
      <c r="A3415" s="1" t="s">
        <v>3617</v>
      </c>
      <c r="B3415" s="1" t="s">
        <v>13135</v>
      </c>
      <c r="C3415" s="1" t="s">
        <v>4488</v>
      </c>
      <c r="D3415" s="1" t="s">
        <v>3601</v>
      </c>
      <c r="E3415" s="1" t="s">
        <v>4478</v>
      </c>
      <c r="F3415" s="1" t="s">
        <v>13099</v>
      </c>
      <c r="G3415" s="1" t="s">
        <v>13029</v>
      </c>
      <c r="H3415" s="1" t="s">
        <v>3604</v>
      </c>
      <c r="I3415" s="1" t="s">
        <v>13164</v>
      </c>
      <c r="J3415" s="1" t="s">
        <v>3606</v>
      </c>
      <c r="K3415" s="1" t="s">
        <v>13101</v>
      </c>
      <c r="L3415" s="1"/>
      <c r="M3415" s="1"/>
    </row>
    <row x14ac:dyDescent="0.25" r="3416" customHeight="1" ht="18.75">
      <c r="A3416" s="1" t="s">
        <v>3617</v>
      </c>
      <c r="B3416" s="1" t="s">
        <v>13135</v>
      </c>
      <c r="C3416" s="1" t="s">
        <v>4488</v>
      </c>
      <c r="D3416" s="1" t="s">
        <v>3601</v>
      </c>
      <c r="E3416" s="1" t="s">
        <v>4478</v>
      </c>
      <c r="F3416" s="1" t="s">
        <v>13165</v>
      </c>
      <c r="G3416" s="1" t="s">
        <v>13139</v>
      </c>
      <c r="H3416" s="1" t="s">
        <v>3604</v>
      </c>
      <c r="I3416" s="1" t="s">
        <v>13166</v>
      </c>
      <c r="J3416" s="1" t="s">
        <v>3606</v>
      </c>
      <c r="K3416" s="1" t="s">
        <v>13167</v>
      </c>
      <c r="L3416" s="1"/>
      <c r="M3416" s="1"/>
    </row>
    <row x14ac:dyDescent="0.25" r="3417" customHeight="1" ht="18.75">
      <c r="A3417" s="1" t="s">
        <v>3617</v>
      </c>
      <c r="B3417" s="1" t="s">
        <v>13135</v>
      </c>
      <c r="C3417" s="1" t="s">
        <v>4488</v>
      </c>
      <c r="D3417" s="1" t="s">
        <v>3601</v>
      </c>
      <c r="E3417" s="1" t="s">
        <v>4478</v>
      </c>
      <c r="F3417" s="1" t="s">
        <v>13105</v>
      </c>
      <c r="G3417" s="1" t="s">
        <v>13040</v>
      </c>
      <c r="H3417" s="1" t="s">
        <v>3604</v>
      </c>
      <c r="I3417" s="1" t="s">
        <v>13168</v>
      </c>
      <c r="J3417" s="1" t="s">
        <v>3606</v>
      </c>
      <c r="K3417" s="1" t="s">
        <v>13107</v>
      </c>
      <c r="L3417" s="1"/>
      <c r="M3417" s="1"/>
    </row>
    <row x14ac:dyDescent="0.25" r="3418" customHeight="1" ht="18.75">
      <c r="A3418" s="1" t="s">
        <v>3617</v>
      </c>
      <c r="B3418" s="1" t="s">
        <v>13135</v>
      </c>
      <c r="C3418" s="1" t="s">
        <v>4488</v>
      </c>
      <c r="D3418" s="1" t="s">
        <v>3601</v>
      </c>
      <c r="E3418" s="1" t="s">
        <v>4478</v>
      </c>
      <c r="F3418" s="1" t="s">
        <v>13169</v>
      </c>
      <c r="G3418" s="1" t="s">
        <v>13149</v>
      </c>
      <c r="H3418" s="1" t="s">
        <v>3604</v>
      </c>
      <c r="I3418" s="1" t="s">
        <v>13170</v>
      </c>
      <c r="J3418" s="1" t="s">
        <v>3606</v>
      </c>
      <c r="K3418" s="1" t="s">
        <v>13171</v>
      </c>
      <c r="L3418" s="1"/>
      <c r="M3418" s="1"/>
    </row>
    <row x14ac:dyDescent="0.25" r="3419" customHeight="1" ht="18.75">
      <c r="A3419" s="1" t="s">
        <v>3617</v>
      </c>
      <c r="B3419" s="1" t="s">
        <v>13135</v>
      </c>
      <c r="C3419" s="1" t="s">
        <v>4488</v>
      </c>
      <c r="D3419" s="1" t="s">
        <v>3601</v>
      </c>
      <c r="E3419" s="1" t="s">
        <v>4478</v>
      </c>
      <c r="F3419" s="1" t="s">
        <v>13111</v>
      </c>
      <c r="G3419" s="1" t="s">
        <v>13048</v>
      </c>
      <c r="H3419" s="1" t="s">
        <v>3604</v>
      </c>
      <c r="I3419" s="1" t="s">
        <v>13172</v>
      </c>
      <c r="J3419" s="1" t="s">
        <v>3606</v>
      </c>
      <c r="K3419" s="1" t="s">
        <v>13113</v>
      </c>
      <c r="L3419" s="1"/>
      <c r="M3419" s="1"/>
    </row>
    <row x14ac:dyDescent="0.25" r="3420" customHeight="1" ht="18.75">
      <c r="A3420" s="1" t="s">
        <v>3617</v>
      </c>
      <c r="B3420" s="1" t="s">
        <v>13135</v>
      </c>
      <c r="C3420" s="1" t="s">
        <v>4488</v>
      </c>
      <c r="D3420" s="1" t="s">
        <v>3601</v>
      </c>
      <c r="E3420" s="1" t="s">
        <v>4478</v>
      </c>
      <c r="F3420" s="1" t="s">
        <v>13173</v>
      </c>
      <c r="G3420" s="1" t="s">
        <v>13158</v>
      </c>
      <c r="H3420" s="1" t="s">
        <v>3604</v>
      </c>
      <c r="I3420" s="1" t="s">
        <v>13174</v>
      </c>
      <c r="J3420" s="1" t="s">
        <v>3606</v>
      </c>
      <c r="K3420" s="1" t="s">
        <v>13175</v>
      </c>
      <c r="L3420" s="1"/>
      <c r="M3420" s="1"/>
    </row>
    <row x14ac:dyDescent="0.25" r="3421" customHeight="1" ht="18.75">
      <c r="A3421" s="1" t="s">
        <v>3617</v>
      </c>
      <c r="B3421" s="1" t="s">
        <v>4582</v>
      </c>
      <c r="C3421" s="1" t="s">
        <v>4488</v>
      </c>
      <c r="D3421" s="1" t="s">
        <v>3601</v>
      </c>
      <c r="E3421" s="1" t="s">
        <v>4478</v>
      </c>
      <c r="F3421" s="1" t="s">
        <v>13176</v>
      </c>
      <c r="G3421" s="1" t="s">
        <v>13056</v>
      </c>
      <c r="H3421" s="1" t="s">
        <v>3604</v>
      </c>
      <c r="I3421" s="1" t="s">
        <v>13177</v>
      </c>
      <c r="J3421" s="1" t="s">
        <v>3606</v>
      </c>
      <c r="K3421" s="1" t="s">
        <v>7997</v>
      </c>
      <c r="L3421" s="1"/>
      <c r="M3421" s="1"/>
    </row>
    <row x14ac:dyDescent="0.25" r="3422" customHeight="1" ht="18.75">
      <c r="A3422" s="1" t="s">
        <v>3617</v>
      </c>
      <c r="B3422" s="1" t="s">
        <v>4582</v>
      </c>
      <c r="C3422" s="1" t="s">
        <v>4488</v>
      </c>
      <c r="D3422" s="1" t="s">
        <v>3601</v>
      </c>
      <c r="E3422" s="1" t="s">
        <v>4478</v>
      </c>
      <c r="F3422" s="1" t="s">
        <v>13178</v>
      </c>
      <c r="G3422" s="1" t="s">
        <v>13056</v>
      </c>
      <c r="H3422" s="1" t="s">
        <v>3604</v>
      </c>
      <c r="I3422" s="1" t="s">
        <v>13179</v>
      </c>
      <c r="J3422" s="1" t="s">
        <v>3606</v>
      </c>
      <c r="K3422" s="1" t="s">
        <v>7997</v>
      </c>
      <c r="L3422" s="1"/>
      <c r="M3422" s="1"/>
    </row>
    <row x14ac:dyDescent="0.25" r="3423" customHeight="1" ht="18.75">
      <c r="A3423" s="1" t="s">
        <v>3617</v>
      </c>
      <c r="B3423" s="1" t="s">
        <v>4582</v>
      </c>
      <c r="C3423" s="1" t="s">
        <v>4488</v>
      </c>
      <c r="D3423" s="1" t="s">
        <v>3601</v>
      </c>
      <c r="E3423" s="1" t="s">
        <v>4478</v>
      </c>
      <c r="F3423" s="1" t="s">
        <v>13180</v>
      </c>
      <c r="G3423" s="1" t="s">
        <v>13066</v>
      </c>
      <c r="H3423" s="1" t="s">
        <v>3604</v>
      </c>
      <c r="I3423" s="1" t="s">
        <v>13181</v>
      </c>
      <c r="J3423" s="1" t="s">
        <v>3606</v>
      </c>
      <c r="K3423" s="1" t="s">
        <v>7997</v>
      </c>
      <c r="L3423" s="1"/>
      <c r="M3423" s="1"/>
    </row>
    <row x14ac:dyDescent="0.25" r="3424" customHeight="1" ht="18.75">
      <c r="A3424" s="1" t="s">
        <v>3617</v>
      </c>
      <c r="B3424" s="1" t="s">
        <v>4582</v>
      </c>
      <c r="C3424" s="1" t="s">
        <v>4488</v>
      </c>
      <c r="D3424" s="1" t="s">
        <v>3601</v>
      </c>
      <c r="E3424" s="1" t="s">
        <v>4478</v>
      </c>
      <c r="F3424" s="1" t="s">
        <v>13182</v>
      </c>
      <c r="G3424" s="1" t="s">
        <v>13066</v>
      </c>
      <c r="H3424" s="1" t="s">
        <v>3604</v>
      </c>
      <c r="I3424" s="1" t="s">
        <v>13183</v>
      </c>
      <c r="J3424" s="1" t="s">
        <v>3606</v>
      </c>
      <c r="K3424" s="1" t="s">
        <v>7997</v>
      </c>
      <c r="L3424" s="1"/>
      <c r="M3424" s="1"/>
    </row>
    <row x14ac:dyDescent="0.25" r="3425" customHeight="1" ht="18.75">
      <c r="A3425" s="1" t="s">
        <v>3617</v>
      </c>
      <c r="B3425" s="1" t="s">
        <v>4582</v>
      </c>
      <c r="C3425" s="1" t="s">
        <v>4488</v>
      </c>
      <c r="D3425" s="1" t="s">
        <v>3601</v>
      </c>
      <c r="E3425" s="1" t="s">
        <v>4478</v>
      </c>
      <c r="F3425" s="1" t="s">
        <v>13184</v>
      </c>
      <c r="G3425" s="1" t="s">
        <v>13076</v>
      </c>
      <c r="H3425" s="1" t="s">
        <v>3604</v>
      </c>
      <c r="I3425" s="1" t="s">
        <v>13185</v>
      </c>
      <c r="J3425" s="1" t="s">
        <v>3606</v>
      </c>
      <c r="K3425" s="1" t="s">
        <v>7997</v>
      </c>
      <c r="L3425" s="1"/>
      <c r="M3425" s="1"/>
    </row>
    <row x14ac:dyDescent="0.25" r="3426" customHeight="1" ht="18.75">
      <c r="A3426" s="1" t="s">
        <v>3617</v>
      </c>
      <c r="B3426" s="1" t="s">
        <v>4582</v>
      </c>
      <c r="C3426" s="1" t="s">
        <v>4488</v>
      </c>
      <c r="D3426" s="1" t="s">
        <v>3601</v>
      </c>
      <c r="E3426" s="1" t="s">
        <v>4478</v>
      </c>
      <c r="F3426" s="1" t="s">
        <v>13186</v>
      </c>
      <c r="G3426" s="1" t="s">
        <v>13076</v>
      </c>
      <c r="H3426" s="1" t="s">
        <v>3604</v>
      </c>
      <c r="I3426" s="1" t="s">
        <v>13187</v>
      </c>
      <c r="J3426" s="1" t="s">
        <v>3606</v>
      </c>
      <c r="K3426" s="1" t="s">
        <v>7997</v>
      </c>
      <c r="L3426" s="1"/>
      <c r="M3426" s="1"/>
    </row>
    <row x14ac:dyDescent="0.25" r="3427" customHeight="1" ht="18.75">
      <c r="A3427" s="1" t="s">
        <v>3617</v>
      </c>
      <c r="B3427" s="1" t="s">
        <v>4582</v>
      </c>
      <c r="C3427" s="1" t="s">
        <v>4488</v>
      </c>
      <c r="D3427" s="1" t="s">
        <v>3601</v>
      </c>
      <c r="E3427" s="1" t="s">
        <v>4478</v>
      </c>
      <c r="F3427" s="1" t="s">
        <v>13188</v>
      </c>
      <c r="G3427" s="1" t="s">
        <v>8394</v>
      </c>
      <c r="H3427" s="1" t="s">
        <v>3604</v>
      </c>
      <c r="I3427" s="1" t="s">
        <v>13189</v>
      </c>
      <c r="J3427" s="1" t="s">
        <v>3615</v>
      </c>
      <c r="K3427" s="1" t="s">
        <v>7997</v>
      </c>
      <c r="L3427" s="1"/>
      <c r="M3427" s="1"/>
    </row>
    <row x14ac:dyDescent="0.25" r="3428" customHeight="1" ht="18.75">
      <c r="A3428" s="1" t="s">
        <v>3617</v>
      </c>
      <c r="B3428" s="1" t="s">
        <v>4582</v>
      </c>
      <c r="C3428" s="1" t="s">
        <v>4488</v>
      </c>
      <c r="D3428" s="1" t="s">
        <v>3601</v>
      </c>
      <c r="E3428" s="1" t="s">
        <v>4478</v>
      </c>
      <c r="F3428" s="1" t="s">
        <v>13190</v>
      </c>
      <c r="G3428" s="1" t="s">
        <v>8394</v>
      </c>
      <c r="H3428" s="1" t="s">
        <v>3604</v>
      </c>
      <c r="I3428" s="1" t="s">
        <v>13191</v>
      </c>
      <c r="J3428" s="1" t="s">
        <v>3615</v>
      </c>
      <c r="K3428" s="1" t="s">
        <v>7997</v>
      </c>
      <c r="L3428" s="1"/>
      <c r="M3428" s="1"/>
    </row>
    <row x14ac:dyDescent="0.25" r="3429" customHeight="1" ht="18.75">
      <c r="A3429" s="1" t="s">
        <v>3617</v>
      </c>
      <c r="B3429" s="1" t="s">
        <v>4582</v>
      </c>
      <c r="C3429" s="1" t="s">
        <v>4488</v>
      </c>
      <c r="D3429" s="1" t="s">
        <v>3601</v>
      </c>
      <c r="E3429" s="1" t="s">
        <v>4478</v>
      </c>
      <c r="F3429" s="1" t="s">
        <v>13192</v>
      </c>
      <c r="G3429" s="1" t="s">
        <v>8394</v>
      </c>
      <c r="H3429" s="1" t="s">
        <v>3604</v>
      </c>
      <c r="I3429" s="1" t="s">
        <v>13193</v>
      </c>
      <c r="J3429" s="1" t="s">
        <v>3615</v>
      </c>
      <c r="K3429" s="1" t="s">
        <v>7997</v>
      </c>
      <c r="L3429" s="1"/>
      <c r="M3429" s="1"/>
    </row>
    <row x14ac:dyDescent="0.25" r="3430" customHeight="1" ht="18.75">
      <c r="A3430" s="1" t="s">
        <v>3617</v>
      </c>
      <c r="B3430" s="1" t="s">
        <v>4582</v>
      </c>
      <c r="C3430" s="1" t="s">
        <v>4488</v>
      </c>
      <c r="D3430" s="1" t="s">
        <v>3601</v>
      </c>
      <c r="E3430" s="1" t="s">
        <v>4478</v>
      </c>
      <c r="F3430" s="1" t="s">
        <v>13194</v>
      </c>
      <c r="G3430" s="1" t="s">
        <v>8394</v>
      </c>
      <c r="H3430" s="1" t="s">
        <v>3604</v>
      </c>
      <c r="I3430" s="1" t="s">
        <v>13195</v>
      </c>
      <c r="J3430" s="1" t="s">
        <v>3615</v>
      </c>
      <c r="K3430" s="1" t="s">
        <v>7997</v>
      </c>
      <c r="L3430" s="1"/>
      <c r="M3430" s="1"/>
    </row>
    <row x14ac:dyDescent="0.25" r="3431" customHeight="1" ht="18.75">
      <c r="A3431" s="1" t="s">
        <v>3617</v>
      </c>
      <c r="B3431" s="1" t="s">
        <v>4582</v>
      </c>
      <c r="C3431" s="1" t="s">
        <v>4488</v>
      </c>
      <c r="D3431" s="1" t="s">
        <v>3601</v>
      </c>
      <c r="E3431" s="1" t="s">
        <v>4478</v>
      </c>
      <c r="F3431" s="1" t="s">
        <v>13196</v>
      </c>
      <c r="G3431" s="1" t="s">
        <v>8394</v>
      </c>
      <c r="H3431" s="1" t="s">
        <v>3604</v>
      </c>
      <c r="I3431" s="1" t="s">
        <v>13197</v>
      </c>
      <c r="J3431" s="1" t="s">
        <v>3615</v>
      </c>
      <c r="K3431" s="1" t="s">
        <v>7997</v>
      </c>
      <c r="L3431" s="1"/>
      <c r="M3431" s="1"/>
    </row>
    <row x14ac:dyDescent="0.25" r="3432" customHeight="1" ht="18.75">
      <c r="A3432" s="1" t="s">
        <v>3617</v>
      </c>
      <c r="B3432" s="1" t="s">
        <v>4582</v>
      </c>
      <c r="C3432" s="1" t="s">
        <v>4488</v>
      </c>
      <c r="D3432" s="1" t="s">
        <v>3601</v>
      </c>
      <c r="E3432" s="1" t="s">
        <v>4478</v>
      </c>
      <c r="F3432" s="1" t="s">
        <v>13198</v>
      </c>
      <c r="G3432" s="1" t="s">
        <v>8394</v>
      </c>
      <c r="H3432" s="1" t="s">
        <v>3604</v>
      </c>
      <c r="I3432" s="1" t="s">
        <v>13199</v>
      </c>
      <c r="J3432" s="1" t="s">
        <v>3615</v>
      </c>
      <c r="K3432" s="1" t="s">
        <v>7997</v>
      </c>
      <c r="L3432" s="1"/>
      <c r="M3432" s="1"/>
    </row>
    <row x14ac:dyDescent="0.25" r="3433" customHeight="1" ht="18.75">
      <c r="A3433" s="1" t="s">
        <v>3617</v>
      </c>
      <c r="B3433" s="1" t="s">
        <v>4582</v>
      </c>
      <c r="C3433" s="1" t="s">
        <v>4488</v>
      </c>
      <c r="D3433" s="1" t="s">
        <v>3601</v>
      </c>
      <c r="E3433" s="1" t="s">
        <v>4478</v>
      </c>
      <c r="F3433" s="1" t="s">
        <v>13200</v>
      </c>
      <c r="G3433" s="1" t="s">
        <v>10946</v>
      </c>
      <c r="H3433" s="1" t="s">
        <v>3604</v>
      </c>
      <c r="I3433" s="1" t="s">
        <v>13201</v>
      </c>
      <c r="J3433" s="1" t="s">
        <v>3615</v>
      </c>
      <c r="K3433" s="1" t="s">
        <v>7997</v>
      </c>
      <c r="L3433" s="1"/>
      <c r="M3433" s="1"/>
    </row>
    <row x14ac:dyDescent="0.25" r="3434" customHeight="1" ht="18.75">
      <c r="A3434" s="1" t="s">
        <v>3617</v>
      </c>
      <c r="B3434" s="1" t="s">
        <v>4582</v>
      </c>
      <c r="C3434" s="1" t="s">
        <v>4488</v>
      </c>
      <c r="D3434" s="1" t="s">
        <v>3601</v>
      </c>
      <c r="E3434" s="1" t="s">
        <v>4478</v>
      </c>
      <c r="F3434" s="1" t="s">
        <v>13202</v>
      </c>
      <c r="G3434" s="1" t="s">
        <v>13203</v>
      </c>
      <c r="H3434" s="1" t="s">
        <v>3604</v>
      </c>
      <c r="I3434" s="1" t="s">
        <v>13204</v>
      </c>
      <c r="J3434" s="1" t="s">
        <v>3615</v>
      </c>
      <c r="K3434" s="1" t="s">
        <v>7997</v>
      </c>
      <c r="L3434" s="1"/>
      <c r="M3434" s="1"/>
    </row>
    <row x14ac:dyDescent="0.25" r="3435" customHeight="1" ht="18.75">
      <c r="A3435" s="1" t="s">
        <v>3617</v>
      </c>
      <c r="B3435" s="1" t="s">
        <v>4582</v>
      </c>
      <c r="C3435" s="1" t="s">
        <v>4488</v>
      </c>
      <c r="D3435" s="1" t="s">
        <v>3601</v>
      </c>
      <c r="E3435" s="1" t="s">
        <v>4478</v>
      </c>
      <c r="F3435" s="1" t="s">
        <v>13205</v>
      </c>
      <c r="G3435" s="1" t="s">
        <v>12689</v>
      </c>
      <c r="H3435" s="1" t="s">
        <v>3604</v>
      </c>
      <c r="I3435" s="1" t="s">
        <v>13206</v>
      </c>
      <c r="J3435" s="1" t="s">
        <v>3606</v>
      </c>
      <c r="K3435" s="1" t="s">
        <v>7997</v>
      </c>
      <c r="L3435" s="1"/>
      <c r="M3435" s="1"/>
    </row>
    <row x14ac:dyDescent="0.25" r="3436" customHeight="1" ht="18.75">
      <c r="A3436" s="1" t="s">
        <v>3617</v>
      </c>
      <c r="B3436" s="1" t="s">
        <v>4582</v>
      </c>
      <c r="C3436" s="1" t="s">
        <v>4488</v>
      </c>
      <c r="D3436" s="1" t="s">
        <v>3601</v>
      </c>
      <c r="E3436" s="1" t="s">
        <v>8096</v>
      </c>
      <c r="F3436" s="1" t="s">
        <v>13207</v>
      </c>
      <c r="G3436" s="1" t="s">
        <v>12689</v>
      </c>
      <c r="H3436" s="1" t="s">
        <v>3604</v>
      </c>
      <c r="I3436" s="1" t="s">
        <v>13208</v>
      </c>
      <c r="J3436" s="1" t="s">
        <v>3606</v>
      </c>
      <c r="K3436" s="1" t="s">
        <v>7997</v>
      </c>
      <c r="L3436" s="1"/>
      <c r="M3436" s="1"/>
    </row>
    <row x14ac:dyDescent="0.25" r="3437" customHeight="1" ht="18.75">
      <c r="A3437" s="1" t="s">
        <v>3617</v>
      </c>
      <c r="B3437" s="1" t="s">
        <v>4582</v>
      </c>
      <c r="C3437" s="1" t="s">
        <v>4488</v>
      </c>
      <c r="D3437" s="1" t="s">
        <v>3601</v>
      </c>
      <c r="E3437" s="1" t="s">
        <v>4478</v>
      </c>
      <c r="F3437" s="1" t="s">
        <v>13209</v>
      </c>
      <c r="G3437" s="1" t="s">
        <v>10946</v>
      </c>
      <c r="H3437" s="1" t="s">
        <v>3604</v>
      </c>
      <c r="I3437" s="1" t="s">
        <v>13210</v>
      </c>
      <c r="J3437" s="1" t="s">
        <v>3615</v>
      </c>
      <c r="K3437" s="1" t="s">
        <v>7997</v>
      </c>
      <c r="L3437" s="1"/>
      <c r="M3437" s="1"/>
    </row>
    <row x14ac:dyDescent="0.25" r="3438" customHeight="1" ht="18.75">
      <c r="A3438" s="1" t="s">
        <v>3617</v>
      </c>
      <c r="B3438" s="1" t="s">
        <v>4582</v>
      </c>
      <c r="C3438" s="1" t="s">
        <v>4488</v>
      </c>
      <c r="D3438" s="1" t="s">
        <v>3601</v>
      </c>
      <c r="E3438" s="1" t="s">
        <v>3752</v>
      </c>
      <c r="F3438" s="1" t="s">
        <v>13211</v>
      </c>
      <c r="G3438" s="1" t="s">
        <v>12754</v>
      </c>
      <c r="H3438" s="1" t="s">
        <v>3604</v>
      </c>
      <c r="I3438" s="1" t="s">
        <v>13212</v>
      </c>
      <c r="J3438" s="1" t="s">
        <v>3606</v>
      </c>
      <c r="K3438" s="1" t="s">
        <v>7997</v>
      </c>
      <c r="L3438" s="1"/>
      <c r="M3438" s="1"/>
    </row>
    <row x14ac:dyDescent="0.25" r="3439" customHeight="1" ht="18.75">
      <c r="A3439" s="1" t="s">
        <v>3617</v>
      </c>
      <c r="B3439" s="1" t="s">
        <v>4582</v>
      </c>
      <c r="C3439" s="1" t="s">
        <v>4488</v>
      </c>
      <c r="D3439" s="1" t="s">
        <v>3601</v>
      </c>
      <c r="E3439" s="1" t="s">
        <v>3752</v>
      </c>
      <c r="F3439" s="1" t="s">
        <v>13213</v>
      </c>
      <c r="G3439" s="1" t="s">
        <v>12758</v>
      </c>
      <c r="H3439" s="1" t="s">
        <v>3604</v>
      </c>
      <c r="I3439" s="1" t="s">
        <v>13214</v>
      </c>
      <c r="J3439" s="1" t="s">
        <v>3606</v>
      </c>
      <c r="K3439" s="1" t="s">
        <v>7997</v>
      </c>
      <c r="L3439" s="1"/>
      <c r="M3439" s="1"/>
    </row>
    <row x14ac:dyDescent="0.25" r="3440" customHeight="1" ht="18.75">
      <c r="A3440" s="1" t="s">
        <v>3617</v>
      </c>
      <c r="B3440" s="1" t="s">
        <v>4582</v>
      </c>
      <c r="C3440" s="1" t="s">
        <v>4488</v>
      </c>
      <c r="D3440" s="1" t="s">
        <v>3601</v>
      </c>
      <c r="E3440" s="1" t="s">
        <v>3752</v>
      </c>
      <c r="F3440" s="1" t="s">
        <v>13215</v>
      </c>
      <c r="G3440" s="1" t="s">
        <v>12762</v>
      </c>
      <c r="H3440" s="1" t="s">
        <v>3604</v>
      </c>
      <c r="I3440" s="1" t="s">
        <v>13216</v>
      </c>
      <c r="J3440" s="1" t="s">
        <v>3606</v>
      </c>
      <c r="K3440" s="1" t="s">
        <v>7997</v>
      </c>
      <c r="L3440" s="1"/>
      <c r="M3440" s="1"/>
    </row>
    <row x14ac:dyDescent="0.25" r="3441" customHeight="1" ht="18.75">
      <c r="A3441" s="1" t="s">
        <v>3617</v>
      </c>
      <c r="B3441" s="1" t="s">
        <v>4582</v>
      </c>
      <c r="C3441" s="1" t="s">
        <v>4488</v>
      </c>
      <c r="D3441" s="1" t="s">
        <v>3601</v>
      </c>
      <c r="E3441" s="1" t="s">
        <v>4478</v>
      </c>
      <c r="F3441" s="1" t="s">
        <v>13217</v>
      </c>
      <c r="G3441" s="1" t="s">
        <v>13218</v>
      </c>
      <c r="H3441" s="1" t="s">
        <v>3604</v>
      </c>
      <c r="I3441" s="1" t="s">
        <v>13219</v>
      </c>
      <c r="J3441" s="1" t="s">
        <v>3615</v>
      </c>
      <c r="K3441" s="1" t="s">
        <v>7997</v>
      </c>
      <c r="L3441" s="1"/>
      <c r="M3441" s="1"/>
    </row>
    <row x14ac:dyDescent="0.25" r="3442" customHeight="1" ht="18.75">
      <c r="A3442" s="1" t="s">
        <v>3617</v>
      </c>
      <c r="B3442" s="1" t="s">
        <v>4582</v>
      </c>
      <c r="C3442" s="1" t="s">
        <v>4488</v>
      </c>
      <c r="D3442" s="1" t="s">
        <v>3601</v>
      </c>
      <c r="E3442" s="1" t="s">
        <v>4478</v>
      </c>
      <c r="F3442" s="1" t="s">
        <v>13220</v>
      </c>
      <c r="G3442" s="1" t="s">
        <v>13218</v>
      </c>
      <c r="H3442" s="1" t="s">
        <v>3604</v>
      </c>
      <c r="I3442" s="1" t="s">
        <v>13221</v>
      </c>
      <c r="J3442" s="1" t="s">
        <v>3615</v>
      </c>
      <c r="K3442" s="1" t="s">
        <v>7997</v>
      </c>
      <c r="L3442" s="1"/>
      <c r="M3442" s="1"/>
    </row>
    <row x14ac:dyDescent="0.25" r="3443" customHeight="1" ht="18.75">
      <c r="A3443" s="1" t="s">
        <v>3617</v>
      </c>
      <c r="B3443" s="1" t="s">
        <v>4582</v>
      </c>
      <c r="C3443" s="1" t="s">
        <v>4488</v>
      </c>
      <c r="D3443" s="1" t="s">
        <v>3601</v>
      </c>
      <c r="E3443" s="1" t="s">
        <v>4478</v>
      </c>
      <c r="F3443" s="1" t="s">
        <v>13222</v>
      </c>
      <c r="G3443" s="1" t="s">
        <v>10946</v>
      </c>
      <c r="H3443" s="1" t="s">
        <v>3604</v>
      </c>
      <c r="I3443" s="1" t="s">
        <v>13223</v>
      </c>
      <c r="J3443" s="1" t="s">
        <v>3606</v>
      </c>
      <c r="K3443" s="1" t="s">
        <v>7997</v>
      </c>
      <c r="L3443" s="1"/>
      <c r="M3443" s="1"/>
    </row>
    <row x14ac:dyDescent="0.25" r="3444" customHeight="1" ht="18.75">
      <c r="A3444" s="1" t="s">
        <v>3617</v>
      </c>
      <c r="B3444" s="1" t="s">
        <v>4582</v>
      </c>
      <c r="C3444" s="1" t="s">
        <v>4488</v>
      </c>
      <c r="D3444" s="1" t="s">
        <v>3601</v>
      </c>
      <c r="E3444" s="1" t="s">
        <v>3752</v>
      </c>
      <c r="F3444" s="1" t="s">
        <v>13224</v>
      </c>
      <c r="G3444" s="1" t="s">
        <v>13225</v>
      </c>
      <c r="H3444" s="1" t="s">
        <v>3604</v>
      </c>
      <c r="I3444" s="1" t="s">
        <v>13226</v>
      </c>
      <c r="J3444" s="1" t="s">
        <v>3615</v>
      </c>
      <c r="K3444" s="1" t="s">
        <v>7997</v>
      </c>
      <c r="L3444" s="1"/>
      <c r="M3444" s="1"/>
    </row>
    <row x14ac:dyDescent="0.25" r="3445" customHeight="1" ht="18.75">
      <c r="A3445" s="1" t="s">
        <v>3617</v>
      </c>
      <c r="B3445" s="1" t="s">
        <v>4582</v>
      </c>
      <c r="C3445" s="1" t="s">
        <v>4488</v>
      </c>
      <c r="D3445" s="1" t="s">
        <v>3601</v>
      </c>
      <c r="E3445" s="1" t="s">
        <v>3752</v>
      </c>
      <c r="F3445" s="1" t="s">
        <v>13227</v>
      </c>
      <c r="G3445" s="1" t="s">
        <v>13228</v>
      </c>
      <c r="H3445" s="1" t="s">
        <v>3604</v>
      </c>
      <c r="I3445" s="1" t="s">
        <v>13229</v>
      </c>
      <c r="J3445" s="1" t="s">
        <v>3615</v>
      </c>
      <c r="K3445" s="1" t="s">
        <v>7997</v>
      </c>
      <c r="L3445" s="1"/>
      <c r="M3445" s="1"/>
    </row>
    <row x14ac:dyDescent="0.25" r="3446" customHeight="1" ht="18.75">
      <c r="A3446" s="1" t="s">
        <v>3617</v>
      </c>
      <c r="B3446" s="1" t="s">
        <v>4582</v>
      </c>
      <c r="C3446" s="1" t="s">
        <v>4488</v>
      </c>
      <c r="D3446" s="1" t="s">
        <v>3601</v>
      </c>
      <c r="E3446" s="1" t="s">
        <v>3752</v>
      </c>
      <c r="F3446" s="1" t="s">
        <v>13230</v>
      </c>
      <c r="G3446" s="1" t="s">
        <v>13231</v>
      </c>
      <c r="H3446" s="1" t="s">
        <v>3604</v>
      </c>
      <c r="I3446" s="1" t="s">
        <v>13232</v>
      </c>
      <c r="J3446" s="1" t="s">
        <v>3615</v>
      </c>
      <c r="K3446" s="1" t="s">
        <v>7997</v>
      </c>
      <c r="L3446" s="1"/>
      <c r="M3446" s="1"/>
    </row>
    <row x14ac:dyDescent="0.25" r="3447" customHeight="1" ht="18.75">
      <c r="A3447" s="1" t="s">
        <v>3617</v>
      </c>
      <c r="B3447" s="1" t="s">
        <v>4582</v>
      </c>
      <c r="C3447" s="1" t="s">
        <v>4488</v>
      </c>
      <c r="D3447" s="1" t="s">
        <v>3601</v>
      </c>
      <c r="E3447" s="1" t="s">
        <v>4478</v>
      </c>
      <c r="F3447" s="1" t="s">
        <v>13233</v>
      </c>
      <c r="G3447" s="1" t="s">
        <v>13092</v>
      </c>
      <c r="H3447" s="1" t="s">
        <v>3604</v>
      </c>
      <c r="I3447" s="1" t="s">
        <v>13234</v>
      </c>
      <c r="J3447" s="1" t="s">
        <v>3615</v>
      </c>
      <c r="K3447" s="1" t="s">
        <v>7997</v>
      </c>
      <c r="L3447" s="1"/>
      <c r="M3447" s="1"/>
    </row>
    <row x14ac:dyDescent="0.25" r="3448" customHeight="1" ht="18.75">
      <c r="A3448" s="1" t="s">
        <v>3617</v>
      </c>
      <c r="B3448" s="1" t="s">
        <v>4582</v>
      </c>
      <c r="C3448" s="1" t="s">
        <v>4488</v>
      </c>
      <c r="D3448" s="1" t="s">
        <v>3601</v>
      </c>
      <c r="E3448" s="1" t="s">
        <v>8096</v>
      </c>
      <c r="F3448" s="1" t="s">
        <v>13235</v>
      </c>
      <c r="G3448" s="1" t="s">
        <v>13092</v>
      </c>
      <c r="H3448" s="1" t="s">
        <v>3604</v>
      </c>
      <c r="I3448" s="1" t="s">
        <v>13236</v>
      </c>
      <c r="J3448" s="1" t="s">
        <v>3615</v>
      </c>
      <c r="K3448" s="1" t="s">
        <v>7997</v>
      </c>
      <c r="L3448" s="1"/>
      <c r="M3448" s="1"/>
    </row>
    <row x14ac:dyDescent="0.25" r="3449" customHeight="1" ht="18.75">
      <c r="A3449" s="1" t="s">
        <v>3617</v>
      </c>
      <c r="B3449" s="1" t="s">
        <v>4582</v>
      </c>
      <c r="C3449" s="1" t="s">
        <v>4488</v>
      </c>
      <c r="D3449" s="1" t="s">
        <v>3601</v>
      </c>
      <c r="E3449" s="1" t="s">
        <v>3752</v>
      </c>
      <c r="F3449" s="1" t="s">
        <v>13237</v>
      </c>
      <c r="G3449" s="1" t="s">
        <v>13238</v>
      </c>
      <c r="H3449" s="1" t="s">
        <v>3604</v>
      </c>
      <c r="I3449" s="1" t="s">
        <v>13239</v>
      </c>
      <c r="J3449" s="1" t="s">
        <v>3615</v>
      </c>
      <c r="K3449" s="1" t="s">
        <v>7997</v>
      </c>
      <c r="L3449" s="1"/>
      <c r="M3449" s="1"/>
    </row>
    <row x14ac:dyDescent="0.25" r="3450" customHeight="1" ht="18.75">
      <c r="A3450" s="1" t="s">
        <v>3617</v>
      </c>
      <c r="B3450" s="1" t="s">
        <v>4582</v>
      </c>
      <c r="C3450" s="1" t="s">
        <v>4488</v>
      </c>
      <c r="D3450" s="1" t="s">
        <v>3601</v>
      </c>
      <c r="E3450" s="1" t="s">
        <v>3752</v>
      </c>
      <c r="F3450" s="1" t="s">
        <v>13240</v>
      </c>
      <c r="G3450" s="1" t="s">
        <v>13241</v>
      </c>
      <c r="H3450" s="1" t="s">
        <v>3604</v>
      </c>
      <c r="I3450" s="1" t="s">
        <v>13242</v>
      </c>
      <c r="J3450" s="1" t="s">
        <v>3615</v>
      </c>
      <c r="K3450" s="1" t="s">
        <v>7997</v>
      </c>
      <c r="L3450" s="1"/>
      <c r="M3450" s="1"/>
    </row>
    <row x14ac:dyDescent="0.25" r="3451" customHeight="1" ht="18.75">
      <c r="A3451" s="1" t="s">
        <v>3617</v>
      </c>
      <c r="B3451" s="1" t="s">
        <v>4582</v>
      </c>
      <c r="C3451" s="1" t="s">
        <v>4488</v>
      </c>
      <c r="D3451" s="1" t="s">
        <v>3601</v>
      </c>
      <c r="E3451" s="1" t="s">
        <v>4478</v>
      </c>
      <c r="F3451" s="1" t="s">
        <v>13243</v>
      </c>
      <c r="G3451" s="1" t="s">
        <v>10946</v>
      </c>
      <c r="H3451" s="1" t="s">
        <v>3604</v>
      </c>
      <c r="I3451" s="1" t="s">
        <v>13244</v>
      </c>
      <c r="J3451" s="1" t="s">
        <v>3606</v>
      </c>
      <c r="K3451" s="1" t="s">
        <v>13245</v>
      </c>
      <c r="L3451" s="1"/>
      <c r="M3451" s="1"/>
    </row>
    <row x14ac:dyDescent="0.25" r="3452" customHeight="1" ht="18.75">
      <c r="A3452" s="1" t="s">
        <v>3617</v>
      </c>
      <c r="B3452" s="1" t="s">
        <v>4582</v>
      </c>
      <c r="C3452" s="1" t="s">
        <v>4488</v>
      </c>
      <c r="D3452" s="1" t="s">
        <v>3601</v>
      </c>
      <c r="E3452" s="1" t="s">
        <v>4478</v>
      </c>
      <c r="F3452" s="1" t="s">
        <v>13246</v>
      </c>
      <c r="G3452" s="1" t="s">
        <v>10946</v>
      </c>
      <c r="H3452" s="1" t="s">
        <v>3604</v>
      </c>
      <c r="I3452" s="1" t="s">
        <v>13247</v>
      </c>
      <c r="J3452" s="1" t="s">
        <v>3606</v>
      </c>
      <c r="K3452" s="1" t="s">
        <v>13245</v>
      </c>
      <c r="L3452" s="1"/>
      <c r="M3452" s="1"/>
    </row>
    <row x14ac:dyDescent="0.25" r="3453" customHeight="1" ht="18.75">
      <c r="A3453" s="1" t="s">
        <v>3617</v>
      </c>
      <c r="B3453" s="1" t="s">
        <v>4582</v>
      </c>
      <c r="C3453" s="1" t="s">
        <v>4488</v>
      </c>
      <c r="D3453" s="1" t="s">
        <v>3601</v>
      </c>
      <c r="E3453" s="1" t="s">
        <v>4478</v>
      </c>
      <c r="F3453" s="1" t="s">
        <v>13248</v>
      </c>
      <c r="G3453" s="1" t="s">
        <v>10946</v>
      </c>
      <c r="H3453" s="1" t="s">
        <v>3604</v>
      </c>
      <c r="I3453" s="1" t="s">
        <v>13249</v>
      </c>
      <c r="J3453" s="1" t="s">
        <v>3606</v>
      </c>
      <c r="K3453" s="1" t="s">
        <v>13250</v>
      </c>
      <c r="L3453" s="1"/>
      <c r="M3453" s="1"/>
    </row>
    <row x14ac:dyDescent="0.25" r="3454" customHeight="1" ht="18.75">
      <c r="A3454" s="1" t="s">
        <v>3617</v>
      </c>
      <c r="B3454" s="1" t="s">
        <v>4582</v>
      </c>
      <c r="C3454" s="1" t="s">
        <v>4488</v>
      </c>
      <c r="D3454" s="1" t="s">
        <v>3601</v>
      </c>
      <c r="E3454" s="1" t="s">
        <v>4478</v>
      </c>
      <c r="F3454" s="1" t="s">
        <v>13251</v>
      </c>
      <c r="G3454" s="1" t="s">
        <v>10946</v>
      </c>
      <c r="H3454" s="1" t="s">
        <v>3604</v>
      </c>
      <c r="I3454" s="1" t="s">
        <v>13252</v>
      </c>
      <c r="J3454" s="1" t="s">
        <v>3606</v>
      </c>
      <c r="K3454" s="1" t="s">
        <v>13253</v>
      </c>
      <c r="L3454" s="1"/>
      <c r="M3454" s="1"/>
    </row>
    <row x14ac:dyDescent="0.25" r="3455" customHeight="1" ht="18.75">
      <c r="A3455" s="1" t="s">
        <v>3617</v>
      </c>
      <c r="B3455" s="1" t="s">
        <v>4582</v>
      </c>
      <c r="C3455" s="1" t="s">
        <v>4488</v>
      </c>
      <c r="D3455" s="1" t="s">
        <v>3601</v>
      </c>
      <c r="E3455" s="1" t="s">
        <v>4478</v>
      </c>
      <c r="F3455" s="1" t="s">
        <v>13254</v>
      </c>
      <c r="G3455" s="1" t="s">
        <v>10946</v>
      </c>
      <c r="H3455" s="1" t="s">
        <v>3604</v>
      </c>
      <c r="I3455" s="1" t="s">
        <v>13255</v>
      </c>
      <c r="J3455" s="1" t="s">
        <v>3606</v>
      </c>
      <c r="K3455" s="1" t="s">
        <v>13256</v>
      </c>
      <c r="L3455" s="1"/>
      <c r="M3455" s="1"/>
    </row>
    <row x14ac:dyDescent="0.25" r="3456" customHeight="1" ht="18.75">
      <c r="A3456" s="1" t="s">
        <v>3617</v>
      </c>
      <c r="B3456" s="1" t="s">
        <v>4582</v>
      </c>
      <c r="C3456" s="1" t="s">
        <v>4488</v>
      </c>
      <c r="D3456" s="1" t="s">
        <v>3601</v>
      </c>
      <c r="E3456" s="1" t="s">
        <v>4478</v>
      </c>
      <c r="F3456" s="1" t="s">
        <v>13257</v>
      </c>
      <c r="G3456" s="1" t="s">
        <v>10946</v>
      </c>
      <c r="H3456" s="1" t="s">
        <v>3604</v>
      </c>
      <c r="I3456" s="1" t="s">
        <v>13258</v>
      </c>
      <c r="J3456" s="1" t="s">
        <v>3606</v>
      </c>
      <c r="K3456" s="1" t="s">
        <v>13259</v>
      </c>
      <c r="L3456" s="1"/>
      <c r="M3456" s="1"/>
    </row>
    <row x14ac:dyDescent="0.25" r="3457" customHeight="1" ht="18.75">
      <c r="A3457" s="1" t="s">
        <v>3617</v>
      </c>
      <c r="B3457" s="1" t="s">
        <v>4128</v>
      </c>
      <c r="C3457" s="1" t="s">
        <v>3619</v>
      </c>
      <c r="D3457" s="1" t="s">
        <v>7847</v>
      </c>
      <c r="E3457" s="1" t="s">
        <v>3893</v>
      </c>
      <c r="F3457" s="1" t="s">
        <v>13260</v>
      </c>
      <c r="G3457" s="1" t="s">
        <v>13261</v>
      </c>
      <c r="H3457" s="1" t="s">
        <v>3604</v>
      </c>
      <c r="I3457" s="1" t="s">
        <v>13262</v>
      </c>
      <c r="J3457" s="1" t="s">
        <v>3606</v>
      </c>
      <c r="K3457" s="1" t="s">
        <v>13263</v>
      </c>
      <c r="L3457" s="1"/>
      <c r="M3457" s="1"/>
    </row>
    <row x14ac:dyDescent="0.25" r="3458" customHeight="1" ht="18.75">
      <c r="A3458" s="1" t="s">
        <v>3617</v>
      </c>
      <c r="B3458" s="1" t="s">
        <v>4128</v>
      </c>
      <c r="C3458" s="1" t="s">
        <v>3619</v>
      </c>
      <c r="D3458" s="1" t="s">
        <v>7847</v>
      </c>
      <c r="E3458" s="1" t="s">
        <v>3893</v>
      </c>
      <c r="F3458" s="1" t="s">
        <v>13264</v>
      </c>
      <c r="G3458" s="1" t="s">
        <v>13261</v>
      </c>
      <c r="H3458" s="1" t="s">
        <v>3604</v>
      </c>
      <c r="I3458" s="1" t="s">
        <v>13265</v>
      </c>
      <c r="J3458" s="1" t="s">
        <v>3606</v>
      </c>
      <c r="K3458" s="1" t="s">
        <v>13266</v>
      </c>
      <c r="L3458" s="1"/>
      <c r="M3458" s="1"/>
    </row>
    <row x14ac:dyDescent="0.25" r="3459" customHeight="1" ht="18.75">
      <c r="A3459" s="1" t="s">
        <v>3617</v>
      </c>
      <c r="B3459" s="1" t="s">
        <v>4128</v>
      </c>
      <c r="C3459" s="1" t="s">
        <v>3619</v>
      </c>
      <c r="D3459" s="1" t="s">
        <v>7847</v>
      </c>
      <c r="E3459" s="1" t="s">
        <v>3893</v>
      </c>
      <c r="F3459" s="1" t="s">
        <v>13267</v>
      </c>
      <c r="G3459" s="1" t="s">
        <v>13261</v>
      </c>
      <c r="H3459" s="1" t="s">
        <v>3604</v>
      </c>
      <c r="I3459" s="1" t="s">
        <v>13268</v>
      </c>
      <c r="J3459" s="1" t="s">
        <v>3606</v>
      </c>
      <c r="K3459" s="1" t="s">
        <v>13269</v>
      </c>
      <c r="L3459" s="1"/>
      <c r="M3459" s="1"/>
    </row>
    <row x14ac:dyDescent="0.25" r="3460" customHeight="1" ht="18.75">
      <c r="A3460" s="1" t="s">
        <v>3617</v>
      </c>
      <c r="B3460" s="1" t="s">
        <v>4128</v>
      </c>
      <c r="C3460" s="1" t="s">
        <v>3619</v>
      </c>
      <c r="D3460" s="1" t="s">
        <v>7847</v>
      </c>
      <c r="E3460" s="1" t="s">
        <v>3893</v>
      </c>
      <c r="F3460" s="1" t="s">
        <v>13270</v>
      </c>
      <c r="G3460" s="1" t="s">
        <v>13271</v>
      </c>
      <c r="H3460" s="1" t="s">
        <v>3604</v>
      </c>
      <c r="I3460" s="1" t="s">
        <v>13272</v>
      </c>
      <c r="J3460" s="1" t="s">
        <v>3606</v>
      </c>
      <c r="K3460" s="1" t="s">
        <v>13273</v>
      </c>
      <c r="L3460" s="1"/>
      <c r="M3460" s="1"/>
    </row>
    <row x14ac:dyDescent="0.25" r="3461" customHeight="1" ht="18.75">
      <c r="A3461" s="1" t="s">
        <v>3617</v>
      </c>
      <c r="B3461" s="1" t="s">
        <v>4128</v>
      </c>
      <c r="C3461" s="1" t="s">
        <v>3619</v>
      </c>
      <c r="D3461" s="1" t="s">
        <v>3695</v>
      </c>
      <c r="E3461" s="1" t="s">
        <v>3893</v>
      </c>
      <c r="F3461" s="1" t="s">
        <v>13274</v>
      </c>
      <c r="G3461" s="1" t="s">
        <v>13261</v>
      </c>
      <c r="H3461" s="1" t="s">
        <v>3604</v>
      </c>
      <c r="I3461" s="1" t="s">
        <v>13275</v>
      </c>
      <c r="J3461" s="1" t="s">
        <v>3606</v>
      </c>
      <c r="K3461" s="1" t="s">
        <v>13276</v>
      </c>
      <c r="L3461" s="1"/>
      <c r="M3461" s="1"/>
    </row>
    <row x14ac:dyDescent="0.25" r="3462" customHeight="1" ht="18.75">
      <c r="A3462" s="1" t="s">
        <v>3617</v>
      </c>
      <c r="B3462" s="1" t="s">
        <v>4128</v>
      </c>
      <c r="C3462" s="1" t="s">
        <v>3619</v>
      </c>
      <c r="D3462" s="1" t="s">
        <v>3695</v>
      </c>
      <c r="E3462" s="1" t="s">
        <v>3893</v>
      </c>
      <c r="F3462" s="1" t="s">
        <v>13277</v>
      </c>
      <c r="G3462" s="1" t="s">
        <v>13261</v>
      </c>
      <c r="H3462" s="1" t="s">
        <v>3604</v>
      </c>
      <c r="I3462" s="1" t="s">
        <v>13278</v>
      </c>
      <c r="J3462" s="1" t="s">
        <v>3606</v>
      </c>
      <c r="K3462" s="1" t="s">
        <v>13279</v>
      </c>
      <c r="L3462" s="1"/>
      <c r="M3462" s="1"/>
    </row>
    <row x14ac:dyDescent="0.25" r="3463" customHeight="1" ht="18.75">
      <c r="A3463" s="1" t="s">
        <v>3617</v>
      </c>
      <c r="B3463" s="1" t="s">
        <v>4128</v>
      </c>
      <c r="C3463" s="1" t="s">
        <v>3619</v>
      </c>
      <c r="D3463" s="1" t="s">
        <v>3695</v>
      </c>
      <c r="E3463" s="1" t="s">
        <v>3893</v>
      </c>
      <c r="F3463" s="1" t="s">
        <v>13280</v>
      </c>
      <c r="G3463" s="1" t="s">
        <v>13261</v>
      </c>
      <c r="H3463" s="1" t="s">
        <v>3604</v>
      </c>
      <c r="I3463" s="1" t="s">
        <v>13281</v>
      </c>
      <c r="J3463" s="1" t="s">
        <v>3606</v>
      </c>
      <c r="K3463" s="1" t="s">
        <v>13282</v>
      </c>
      <c r="L3463" s="1"/>
      <c r="M3463" s="1"/>
    </row>
    <row x14ac:dyDescent="0.25" r="3464" customHeight="1" ht="18.75">
      <c r="A3464" s="1" t="s">
        <v>3617</v>
      </c>
      <c r="B3464" s="1" t="s">
        <v>4128</v>
      </c>
      <c r="C3464" s="1" t="s">
        <v>3619</v>
      </c>
      <c r="D3464" s="1" t="s">
        <v>3695</v>
      </c>
      <c r="E3464" s="1" t="s">
        <v>3730</v>
      </c>
      <c r="F3464" s="1" t="s">
        <v>13283</v>
      </c>
      <c r="G3464" s="1" t="s">
        <v>13261</v>
      </c>
      <c r="H3464" s="1" t="s">
        <v>3604</v>
      </c>
      <c r="I3464" s="1" t="s">
        <v>13284</v>
      </c>
      <c r="J3464" s="1" t="s">
        <v>3606</v>
      </c>
      <c r="K3464" s="1" t="s">
        <v>13285</v>
      </c>
      <c r="L3464" s="1"/>
      <c r="M3464" s="1"/>
    </row>
    <row x14ac:dyDescent="0.25" r="3465" customHeight="1" ht="18.75">
      <c r="A3465" s="1" t="s">
        <v>3617</v>
      </c>
      <c r="B3465" s="1" t="s">
        <v>4128</v>
      </c>
      <c r="C3465" s="1" t="s">
        <v>3619</v>
      </c>
      <c r="D3465" s="1" t="s">
        <v>3695</v>
      </c>
      <c r="E3465" s="1" t="s">
        <v>3730</v>
      </c>
      <c r="F3465" s="1" t="s">
        <v>13286</v>
      </c>
      <c r="G3465" s="1" t="s">
        <v>13261</v>
      </c>
      <c r="H3465" s="1" t="s">
        <v>3604</v>
      </c>
      <c r="I3465" s="1" t="s">
        <v>13287</v>
      </c>
      <c r="J3465" s="1" t="s">
        <v>3606</v>
      </c>
      <c r="K3465" s="1" t="s">
        <v>13288</v>
      </c>
      <c r="L3465" s="1"/>
      <c r="M3465" s="1"/>
    </row>
    <row x14ac:dyDescent="0.25" r="3466" customHeight="1" ht="18.75">
      <c r="A3466" s="1" t="s">
        <v>3617</v>
      </c>
      <c r="B3466" s="1" t="s">
        <v>4128</v>
      </c>
      <c r="C3466" s="1" t="s">
        <v>3619</v>
      </c>
      <c r="D3466" s="1" t="s">
        <v>3695</v>
      </c>
      <c r="E3466" s="1" t="s">
        <v>3730</v>
      </c>
      <c r="F3466" s="1" t="s">
        <v>13289</v>
      </c>
      <c r="G3466" s="1" t="s">
        <v>13261</v>
      </c>
      <c r="H3466" s="1" t="s">
        <v>3604</v>
      </c>
      <c r="I3466" s="1" t="s">
        <v>13290</v>
      </c>
      <c r="J3466" s="1" t="s">
        <v>3606</v>
      </c>
      <c r="K3466" s="1" t="s">
        <v>13291</v>
      </c>
      <c r="L3466" s="1"/>
      <c r="M3466" s="1"/>
    </row>
    <row x14ac:dyDescent="0.25" r="3467" customHeight="1" ht="18.75">
      <c r="A3467" s="1" t="s">
        <v>3617</v>
      </c>
      <c r="B3467" s="1" t="s">
        <v>4128</v>
      </c>
      <c r="C3467" s="1" t="s">
        <v>3619</v>
      </c>
      <c r="D3467" s="1" t="s">
        <v>7891</v>
      </c>
      <c r="E3467" s="1" t="s">
        <v>3730</v>
      </c>
      <c r="F3467" s="1" t="s">
        <v>13292</v>
      </c>
      <c r="G3467" s="1" t="s">
        <v>13261</v>
      </c>
      <c r="H3467" s="1" t="s">
        <v>3604</v>
      </c>
      <c r="I3467" s="1" t="s">
        <v>13293</v>
      </c>
      <c r="J3467" s="1" t="s">
        <v>3606</v>
      </c>
      <c r="K3467" s="1" t="s">
        <v>13294</v>
      </c>
      <c r="L3467" s="1"/>
      <c r="M3467" s="1"/>
    </row>
    <row x14ac:dyDescent="0.25" r="3468" customHeight="1" ht="18.75">
      <c r="A3468" s="1" t="s">
        <v>3617</v>
      </c>
      <c r="B3468" s="1" t="s">
        <v>4128</v>
      </c>
      <c r="C3468" s="1" t="s">
        <v>3619</v>
      </c>
      <c r="D3468" s="1" t="s">
        <v>7891</v>
      </c>
      <c r="E3468" s="1" t="s">
        <v>3730</v>
      </c>
      <c r="F3468" s="1" t="s">
        <v>13295</v>
      </c>
      <c r="G3468" s="1" t="s">
        <v>13261</v>
      </c>
      <c r="H3468" s="1" t="s">
        <v>3604</v>
      </c>
      <c r="I3468" s="1" t="s">
        <v>13296</v>
      </c>
      <c r="J3468" s="1" t="s">
        <v>3606</v>
      </c>
      <c r="K3468" s="1" t="s">
        <v>13297</v>
      </c>
      <c r="L3468" s="1"/>
      <c r="M3468" s="1"/>
    </row>
    <row x14ac:dyDescent="0.25" r="3469" customHeight="1" ht="18.75">
      <c r="A3469" s="1" t="s">
        <v>3617</v>
      </c>
      <c r="B3469" s="1" t="s">
        <v>4128</v>
      </c>
      <c r="C3469" s="1" t="s">
        <v>3619</v>
      </c>
      <c r="D3469" s="1" t="s">
        <v>7891</v>
      </c>
      <c r="E3469" s="1" t="s">
        <v>3730</v>
      </c>
      <c r="F3469" s="1" t="s">
        <v>13298</v>
      </c>
      <c r="G3469" s="1" t="s">
        <v>13261</v>
      </c>
      <c r="H3469" s="1" t="s">
        <v>3604</v>
      </c>
      <c r="I3469" s="1" t="s">
        <v>13299</v>
      </c>
      <c r="J3469" s="1" t="s">
        <v>3606</v>
      </c>
      <c r="K3469" s="1" t="s">
        <v>13300</v>
      </c>
      <c r="L3469" s="1"/>
      <c r="M3469" s="1"/>
    </row>
    <row x14ac:dyDescent="0.25" r="3470" customHeight="1" ht="18.75">
      <c r="A3470" s="1" t="s">
        <v>3617</v>
      </c>
      <c r="B3470" s="1" t="s">
        <v>4128</v>
      </c>
      <c r="C3470" s="1" t="s">
        <v>3619</v>
      </c>
      <c r="D3470" s="1" t="s">
        <v>3610</v>
      </c>
      <c r="E3470" s="1" t="s">
        <v>3893</v>
      </c>
      <c r="F3470" s="1" t="s">
        <v>13301</v>
      </c>
      <c r="G3470" s="1" t="s">
        <v>13261</v>
      </c>
      <c r="H3470" s="1" t="s">
        <v>3604</v>
      </c>
      <c r="I3470" s="1" t="s">
        <v>13302</v>
      </c>
      <c r="J3470" s="1" t="s">
        <v>3606</v>
      </c>
      <c r="K3470" s="1" t="s">
        <v>13303</v>
      </c>
      <c r="L3470" s="1"/>
      <c r="M3470" s="1"/>
    </row>
    <row x14ac:dyDescent="0.25" r="3471" customHeight="1" ht="18.75">
      <c r="A3471" s="1" t="s">
        <v>3617</v>
      </c>
      <c r="B3471" s="1" t="s">
        <v>4128</v>
      </c>
      <c r="C3471" s="1" t="s">
        <v>3619</v>
      </c>
      <c r="D3471" s="1" t="s">
        <v>8373</v>
      </c>
      <c r="E3471" s="1" t="s">
        <v>3730</v>
      </c>
      <c r="F3471" s="1" t="s">
        <v>13304</v>
      </c>
      <c r="G3471" s="1" t="s">
        <v>13261</v>
      </c>
      <c r="H3471" s="1" t="s">
        <v>3604</v>
      </c>
      <c r="I3471" s="1" t="s">
        <v>13305</v>
      </c>
      <c r="J3471" s="1" t="s">
        <v>3606</v>
      </c>
      <c r="K3471" s="1" t="s">
        <v>13306</v>
      </c>
      <c r="L3471" s="1"/>
      <c r="M3471" s="1"/>
    </row>
    <row x14ac:dyDescent="0.25" r="3472" customHeight="1" ht="18.75">
      <c r="A3472" s="1" t="s">
        <v>3617</v>
      </c>
      <c r="B3472" s="1" t="s">
        <v>4128</v>
      </c>
      <c r="C3472" s="1" t="s">
        <v>3619</v>
      </c>
      <c r="D3472" s="1" t="s">
        <v>8373</v>
      </c>
      <c r="E3472" s="1" t="s">
        <v>3730</v>
      </c>
      <c r="F3472" s="1" t="s">
        <v>13307</v>
      </c>
      <c r="G3472" s="1" t="s">
        <v>13261</v>
      </c>
      <c r="H3472" s="1" t="s">
        <v>3604</v>
      </c>
      <c r="I3472" s="1" t="s">
        <v>13308</v>
      </c>
      <c r="J3472" s="1" t="s">
        <v>3606</v>
      </c>
      <c r="K3472" s="1" t="s">
        <v>13309</v>
      </c>
      <c r="L3472" s="1"/>
      <c r="M3472" s="1"/>
    </row>
    <row x14ac:dyDescent="0.25" r="3473" customHeight="1" ht="18.75">
      <c r="A3473" s="1" t="s">
        <v>3617</v>
      </c>
      <c r="B3473" s="1" t="s">
        <v>4128</v>
      </c>
      <c r="C3473" s="1" t="s">
        <v>3619</v>
      </c>
      <c r="D3473" s="1" t="s">
        <v>8373</v>
      </c>
      <c r="E3473" s="1" t="s">
        <v>3730</v>
      </c>
      <c r="F3473" s="1" t="s">
        <v>13310</v>
      </c>
      <c r="G3473" s="1" t="s">
        <v>13261</v>
      </c>
      <c r="H3473" s="1" t="s">
        <v>3604</v>
      </c>
      <c r="I3473" s="1" t="s">
        <v>13311</v>
      </c>
      <c r="J3473" s="1" t="s">
        <v>3606</v>
      </c>
      <c r="K3473" s="1" t="s">
        <v>13312</v>
      </c>
      <c r="L3473" s="1"/>
      <c r="M3473" s="1"/>
    </row>
    <row x14ac:dyDescent="0.25" r="3474" customHeight="1" ht="18.75">
      <c r="A3474" s="1" t="s">
        <v>3617</v>
      </c>
      <c r="B3474" s="1" t="s">
        <v>4128</v>
      </c>
      <c r="C3474" s="1" t="s">
        <v>3619</v>
      </c>
      <c r="D3474" s="1" t="s">
        <v>3610</v>
      </c>
      <c r="E3474" s="1" t="s">
        <v>3730</v>
      </c>
      <c r="F3474" s="1" t="s">
        <v>13313</v>
      </c>
      <c r="G3474" s="1" t="s">
        <v>13261</v>
      </c>
      <c r="H3474" s="1" t="s">
        <v>3604</v>
      </c>
      <c r="I3474" s="1" t="s">
        <v>13314</v>
      </c>
      <c r="J3474" s="1" t="s">
        <v>3606</v>
      </c>
      <c r="K3474" s="1" t="s">
        <v>12491</v>
      </c>
      <c r="L3474" s="1"/>
      <c r="M3474" s="1"/>
    </row>
    <row x14ac:dyDescent="0.25" r="3475" customHeight="1" ht="18.75">
      <c r="A3475" s="1" t="s">
        <v>3617</v>
      </c>
      <c r="B3475" s="1" t="s">
        <v>4128</v>
      </c>
      <c r="C3475" s="1" t="s">
        <v>3619</v>
      </c>
      <c r="D3475" s="1" t="s">
        <v>3610</v>
      </c>
      <c r="E3475" s="1" t="s">
        <v>3730</v>
      </c>
      <c r="F3475" s="1" t="s">
        <v>13315</v>
      </c>
      <c r="G3475" s="1" t="s">
        <v>13261</v>
      </c>
      <c r="H3475" s="1" t="s">
        <v>3604</v>
      </c>
      <c r="I3475" s="1" t="s">
        <v>13316</v>
      </c>
      <c r="J3475" s="1" t="s">
        <v>3606</v>
      </c>
      <c r="K3475" s="1" t="s">
        <v>12488</v>
      </c>
      <c r="L3475" s="1"/>
      <c r="M3475" s="1"/>
    </row>
    <row x14ac:dyDescent="0.25" r="3476" customHeight="1" ht="18.75">
      <c r="A3476" s="1" t="s">
        <v>3617</v>
      </c>
      <c r="B3476" s="1" t="s">
        <v>4128</v>
      </c>
      <c r="C3476" s="1" t="s">
        <v>3619</v>
      </c>
      <c r="D3476" s="1" t="s">
        <v>3610</v>
      </c>
      <c r="E3476" s="1" t="s">
        <v>3730</v>
      </c>
      <c r="F3476" s="1" t="s">
        <v>13317</v>
      </c>
      <c r="G3476" s="1" t="s">
        <v>13261</v>
      </c>
      <c r="H3476" s="1" t="s">
        <v>3604</v>
      </c>
      <c r="I3476" s="1" t="s">
        <v>13318</v>
      </c>
      <c r="J3476" s="1" t="s">
        <v>3606</v>
      </c>
      <c r="K3476" s="1" t="s">
        <v>12494</v>
      </c>
      <c r="L3476" s="1"/>
      <c r="M3476" s="1"/>
    </row>
    <row x14ac:dyDescent="0.25" r="3477" customHeight="1" ht="18.75">
      <c r="A3477" s="1" t="s">
        <v>3617</v>
      </c>
      <c r="B3477" s="1" t="s">
        <v>4128</v>
      </c>
      <c r="C3477" s="1" t="s">
        <v>3619</v>
      </c>
      <c r="D3477" s="1" t="s">
        <v>533</v>
      </c>
      <c r="E3477" s="1" t="s">
        <v>3730</v>
      </c>
      <c r="F3477" s="1" t="s">
        <v>13319</v>
      </c>
      <c r="G3477" s="1" t="s">
        <v>13261</v>
      </c>
      <c r="H3477" s="1" t="s">
        <v>3604</v>
      </c>
      <c r="I3477" s="1" t="s">
        <v>13320</v>
      </c>
      <c r="J3477" s="1" t="s">
        <v>3606</v>
      </c>
      <c r="K3477" s="1" t="s">
        <v>13321</v>
      </c>
      <c r="L3477" s="1"/>
      <c r="M3477" s="1"/>
    </row>
    <row x14ac:dyDescent="0.25" r="3478" customHeight="1" ht="18.75">
      <c r="A3478" s="1" t="s">
        <v>3617</v>
      </c>
      <c r="B3478" s="1" t="s">
        <v>4128</v>
      </c>
      <c r="C3478" s="1" t="s">
        <v>3619</v>
      </c>
      <c r="D3478" s="1" t="s">
        <v>8373</v>
      </c>
      <c r="E3478" s="1" t="s">
        <v>3730</v>
      </c>
      <c r="F3478" s="1" t="s">
        <v>13322</v>
      </c>
      <c r="G3478" s="1" t="s">
        <v>13261</v>
      </c>
      <c r="H3478" s="1" t="s">
        <v>3604</v>
      </c>
      <c r="I3478" s="1" t="s">
        <v>13323</v>
      </c>
      <c r="J3478" s="1" t="s">
        <v>3606</v>
      </c>
      <c r="K3478" s="1" t="s">
        <v>13324</v>
      </c>
      <c r="L3478" s="1"/>
      <c r="M3478" s="1"/>
    </row>
    <row x14ac:dyDescent="0.25" r="3479" customHeight="1" ht="18.75">
      <c r="A3479" s="1" t="s">
        <v>3617</v>
      </c>
      <c r="B3479" s="1" t="s">
        <v>4128</v>
      </c>
      <c r="C3479" s="1" t="s">
        <v>3619</v>
      </c>
      <c r="D3479" s="1" t="s">
        <v>8373</v>
      </c>
      <c r="E3479" s="1" t="s">
        <v>3730</v>
      </c>
      <c r="F3479" s="1" t="s">
        <v>13325</v>
      </c>
      <c r="G3479" s="1" t="s">
        <v>13261</v>
      </c>
      <c r="H3479" s="1" t="s">
        <v>3604</v>
      </c>
      <c r="I3479" s="1" t="s">
        <v>13326</v>
      </c>
      <c r="J3479" s="1" t="s">
        <v>3606</v>
      </c>
      <c r="K3479" s="1" t="s">
        <v>13327</v>
      </c>
      <c r="L3479" s="1"/>
      <c r="M3479" s="1"/>
    </row>
    <row x14ac:dyDescent="0.25" r="3480" customHeight="1" ht="18.75">
      <c r="A3480" s="1" t="s">
        <v>3617</v>
      </c>
      <c r="B3480" s="1" t="s">
        <v>4128</v>
      </c>
      <c r="C3480" s="1" t="s">
        <v>3619</v>
      </c>
      <c r="D3480" s="1" t="s">
        <v>8373</v>
      </c>
      <c r="E3480" s="1" t="s">
        <v>3730</v>
      </c>
      <c r="F3480" s="1" t="s">
        <v>13328</v>
      </c>
      <c r="G3480" s="1" t="s">
        <v>13261</v>
      </c>
      <c r="H3480" s="1" t="s">
        <v>3604</v>
      </c>
      <c r="I3480" s="1" t="s">
        <v>13329</v>
      </c>
      <c r="J3480" s="1" t="s">
        <v>3606</v>
      </c>
      <c r="K3480" s="1" t="s">
        <v>13330</v>
      </c>
      <c r="L3480" s="1"/>
      <c r="M3480" s="1"/>
    </row>
    <row x14ac:dyDescent="0.25" r="3481" customHeight="1" ht="18.75">
      <c r="A3481" s="1" t="s">
        <v>3617</v>
      </c>
      <c r="B3481" s="1" t="s">
        <v>4128</v>
      </c>
      <c r="C3481" s="1" t="s">
        <v>3619</v>
      </c>
      <c r="D3481" s="1" t="s">
        <v>3695</v>
      </c>
      <c r="E3481" s="1" t="s">
        <v>3893</v>
      </c>
      <c r="F3481" s="1" t="s">
        <v>13331</v>
      </c>
      <c r="G3481" s="1" t="s">
        <v>8394</v>
      </c>
      <c r="H3481" s="1" t="s">
        <v>3604</v>
      </c>
      <c r="I3481" s="1" t="s">
        <v>13332</v>
      </c>
      <c r="J3481" s="1" t="s">
        <v>3606</v>
      </c>
      <c r="K3481" s="1" t="s">
        <v>13333</v>
      </c>
      <c r="L3481" s="1"/>
      <c r="M3481" s="1"/>
    </row>
    <row x14ac:dyDescent="0.25" r="3482" customHeight="1" ht="18.75">
      <c r="A3482" s="1" t="s">
        <v>3617</v>
      </c>
      <c r="B3482" s="1" t="s">
        <v>4128</v>
      </c>
      <c r="C3482" s="1" t="s">
        <v>3619</v>
      </c>
      <c r="D3482" s="1" t="s">
        <v>3695</v>
      </c>
      <c r="E3482" s="1" t="s">
        <v>3893</v>
      </c>
      <c r="F3482" s="1" t="s">
        <v>13334</v>
      </c>
      <c r="G3482" s="1" t="s">
        <v>8394</v>
      </c>
      <c r="H3482" s="1" t="s">
        <v>3604</v>
      </c>
      <c r="I3482" s="1" t="s">
        <v>13335</v>
      </c>
      <c r="J3482" s="1" t="s">
        <v>3606</v>
      </c>
      <c r="K3482" s="1" t="s">
        <v>13336</v>
      </c>
      <c r="L3482" s="1"/>
      <c r="M3482" s="1"/>
    </row>
    <row x14ac:dyDescent="0.25" r="3483" customHeight="1" ht="18.75">
      <c r="A3483" s="1" t="s">
        <v>3617</v>
      </c>
      <c r="B3483" s="1" t="s">
        <v>4128</v>
      </c>
      <c r="C3483" s="1" t="s">
        <v>3619</v>
      </c>
      <c r="D3483" s="1" t="s">
        <v>3695</v>
      </c>
      <c r="E3483" s="1" t="s">
        <v>3893</v>
      </c>
      <c r="F3483" s="1" t="s">
        <v>13337</v>
      </c>
      <c r="G3483" s="1" t="s">
        <v>8394</v>
      </c>
      <c r="H3483" s="1" t="s">
        <v>3604</v>
      </c>
      <c r="I3483" s="1" t="s">
        <v>13338</v>
      </c>
      <c r="J3483" s="1" t="s">
        <v>3606</v>
      </c>
      <c r="K3483" s="1" t="s">
        <v>13339</v>
      </c>
      <c r="L3483" s="1"/>
      <c r="M3483" s="1"/>
    </row>
    <row x14ac:dyDescent="0.25" r="3484" customHeight="1" ht="18.75">
      <c r="A3484" s="1" t="s">
        <v>3617</v>
      </c>
      <c r="B3484" s="1" t="s">
        <v>4128</v>
      </c>
      <c r="C3484" s="1" t="s">
        <v>3619</v>
      </c>
      <c r="D3484" s="1" t="s">
        <v>3601</v>
      </c>
      <c r="E3484" s="1" t="s">
        <v>3893</v>
      </c>
      <c r="F3484" s="1" t="s">
        <v>13340</v>
      </c>
      <c r="G3484" s="1" t="s">
        <v>13341</v>
      </c>
      <c r="H3484" s="1" t="s">
        <v>3604</v>
      </c>
      <c r="I3484" s="1" t="s">
        <v>13342</v>
      </c>
      <c r="J3484" s="1" t="s">
        <v>3606</v>
      </c>
      <c r="K3484" s="1" t="s">
        <v>13343</v>
      </c>
      <c r="L3484" s="1"/>
      <c r="M3484" s="1"/>
    </row>
    <row x14ac:dyDescent="0.25" r="3485" customHeight="1" ht="18.75">
      <c r="A3485" s="1" t="s">
        <v>3617</v>
      </c>
      <c r="B3485" s="1" t="s">
        <v>4128</v>
      </c>
      <c r="C3485" s="1" t="s">
        <v>3619</v>
      </c>
      <c r="D3485" s="1" t="s">
        <v>3601</v>
      </c>
      <c r="E3485" s="1" t="s">
        <v>3893</v>
      </c>
      <c r="F3485" s="1" t="s">
        <v>13344</v>
      </c>
      <c r="G3485" s="1" t="s">
        <v>13341</v>
      </c>
      <c r="H3485" s="1" t="s">
        <v>3604</v>
      </c>
      <c r="I3485" s="1" t="s">
        <v>13345</v>
      </c>
      <c r="J3485" s="1" t="s">
        <v>3606</v>
      </c>
      <c r="K3485" s="1" t="s">
        <v>13346</v>
      </c>
      <c r="L3485" s="1"/>
      <c r="M3485" s="1"/>
    </row>
    <row x14ac:dyDescent="0.25" r="3486" customHeight="1" ht="18.75">
      <c r="A3486" s="1" t="s">
        <v>3617</v>
      </c>
      <c r="B3486" s="1" t="s">
        <v>4128</v>
      </c>
      <c r="C3486" s="1" t="s">
        <v>3619</v>
      </c>
      <c r="D3486" s="1" t="s">
        <v>3601</v>
      </c>
      <c r="E3486" s="1" t="s">
        <v>3893</v>
      </c>
      <c r="F3486" s="1" t="s">
        <v>13347</v>
      </c>
      <c r="G3486" s="1" t="s">
        <v>13341</v>
      </c>
      <c r="H3486" s="1" t="s">
        <v>3604</v>
      </c>
      <c r="I3486" s="1" t="s">
        <v>13348</v>
      </c>
      <c r="J3486" s="1" t="s">
        <v>3606</v>
      </c>
      <c r="K3486" s="1" t="s">
        <v>13349</v>
      </c>
      <c r="L3486" s="1"/>
      <c r="M3486" s="1"/>
    </row>
    <row x14ac:dyDescent="0.25" r="3487" customHeight="1" ht="18.75">
      <c r="A3487" s="1" t="s">
        <v>3617</v>
      </c>
      <c r="B3487" s="1" t="s">
        <v>4128</v>
      </c>
      <c r="C3487" s="1" t="s">
        <v>3619</v>
      </c>
      <c r="D3487" s="1" t="s">
        <v>3601</v>
      </c>
      <c r="E3487" s="1" t="s">
        <v>3893</v>
      </c>
      <c r="F3487" s="1" t="s">
        <v>13350</v>
      </c>
      <c r="G3487" s="1" t="s">
        <v>13341</v>
      </c>
      <c r="H3487" s="1" t="s">
        <v>3604</v>
      </c>
      <c r="I3487" s="1" t="s">
        <v>13351</v>
      </c>
      <c r="J3487" s="1" t="s">
        <v>3606</v>
      </c>
      <c r="K3487" s="1" t="s">
        <v>12145</v>
      </c>
      <c r="L3487" s="1"/>
      <c r="M3487" s="1"/>
    </row>
    <row x14ac:dyDescent="0.25" r="3488" customHeight="1" ht="18.75">
      <c r="A3488" s="1" t="s">
        <v>3617</v>
      </c>
      <c r="B3488" s="1" t="s">
        <v>4128</v>
      </c>
      <c r="C3488" s="1" t="s">
        <v>3619</v>
      </c>
      <c r="D3488" s="1" t="s">
        <v>3601</v>
      </c>
      <c r="E3488" s="1" t="s">
        <v>3893</v>
      </c>
      <c r="F3488" s="1" t="s">
        <v>13352</v>
      </c>
      <c r="G3488" s="1" t="s">
        <v>13341</v>
      </c>
      <c r="H3488" s="1" t="s">
        <v>3604</v>
      </c>
      <c r="I3488" s="1" t="s">
        <v>13353</v>
      </c>
      <c r="J3488" s="1" t="s">
        <v>3606</v>
      </c>
      <c r="K3488" s="1" t="s">
        <v>13354</v>
      </c>
      <c r="L3488" s="1"/>
      <c r="M3488" s="1"/>
    </row>
    <row x14ac:dyDescent="0.25" r="3489" customHeight="1" ht="18.75">
      <c r="A3489" s="1" t="s">
        <v>3617</v>
      </c>
      <c r="B3489" s="1" t="s">
        <v>4128</v>
      </c>
      <c r="C3489" s="1" t="s">
        <v>3619</v>
      </c>
      <c r="D3489" s="1" t="s">
        <v>3601</v>
      </c>
      <c r="E3489" s="1" t="s">
        <v>3893</v>
      </c>
      <c r="F3489" s="1" t="s">
        <v>13355</v>
      </c>
      <c r="G3489" s="1" t="s">
        <v>13341</v>
      </c>
      <c r="H3489" s="1" t="s">
        <v>3604</v>
      </c>
      <c r="I3489" s="1" t="s">
        <v>13356</v>
      </c>
      <c r="J3489" s="1" t="s">
        <v>3606</v>
      </c>
      <c r="K3489" s="1" t="s">
        <v>13357</v>
      </c>
      <c r="L3489" s="1"/>
      <c r="M3489" s="1"/>
    </row>
    <row x14ac:dyDescent="0.25" r="3490" customHeight="1" ht="18.75">
      <c r="A3490" s="1" t="s">
        <v>3617</v>
      </c>
      <c r="B3490" s="1" t="s">
        <v>4128</v>
      </c>
      <c r="C3490" s="1" t="s">
        <v>3619</v>
      </c>
      <c r="D3490" s="1" t="s">
        <v>3601</v>
      </c>
      <c r="E3490" s="1" t="s">
        <v>3893</v>
      </c>
      <c r="F3490" s="1" t="s">
        <v>13358</v>
      </c>
      <c r="G3490" s="1" t="s">
        <v>13341</v>
      </c>
      <c r="H3490" s="1" t="s">
        <v>3604</v>
      </c>
      <c r="I3490" s="1" t="s">
        <v>13359</v>
      </c>
      <c r="J3490" s="1" t="s">
        <v>3606</v>
      </c>
      <c r="K3490" s="1" t="s">
        <v>13360</v>
      </c>
      <c r="L3490" s="1"/>
      <c r="M3490" s="1"/>
    </row>
    <row x14ac:dyDescent="0.25" r="3491" customHeight="1" ht="18.75">
      <c r="A3491" s="1" t="s">
        <v>3617</v>
      </c>
      <c r="B3491" s="1" t="s">
        <v>4128</v>
      </c>
      <c r="C3491" s="1" t="s">
        <v>3619</v>
      </c>
      <c r="D3491" s="1" t="s">
        <v>3601</v>
      </c>
      <c r="E3491" s="1" t="s">
        <v>3893</v>
      </c>
      <c r="F3491" s="1" t="s">
        <v>13361</v>
      </c>
      <c r="G3491" s="1" t="s">
        <v>13341</v>
      </c>
      <c r="H3491" s="1" t="s">
        <v>3604</v>
      </c>
      <c r="I3491" s="1" t="s">
        <v>13362</v>
      </c>
      <c r="J3491" s="1" t="s">
        <v>3606</v>
      </c>
      <c r="K3491" s="1" t="s">
        <v>13363</v>
      </c>
      <c r="L3491" s="1"/>
      <c r="M3491" s="1"/>
    </row>
    <row x14ac:dyDescent="0.25" r="3492" customHeight="1" ht="18.75">
      <c r="A3492" s="1" t="s">
        <v>3617</v>
      </c>
      <c r="B3492" s="1" t="s">
        <v>4128</v>
      </c>
      <c r="C3492" s="1" t="s">
        <v>3619</v>
      </c>
      <c r="D3492" s="1" t="s">
        <v>3601</v>
      </c>
      <c r="E3492" s="1" t="s">
        <v>3893</v>
      </c>
      <c r="F3492" s="1" t="s">
        <v>13364</v>
      </c>
      <c r="G3492" s="1" t="s">
        <v>13341</v>
      </c>
      <c r="H3492" s="1" t="s">
        <v>3604</v>
      </c>
      <c r="I3492" s="1" t="s">
        <v>13365</v>
      </c>
      <c r="J3492" s="1" t="s">
        <v>3606</v>
      </c>
      <c r="K3492" s="1" t="s">
        <v>13366</v>
      </c>
      <c r="L3492" s="1"/>
      <c r="M3492" s="1"/>
    </row>
    <row x14ac:dyDescent="0.25" r="3493" customHeight="1" ht="18.75">
      <c r="A3493" s="1" t="s">
        <v>3617</v>
      </c>
      <c r="B3493" s="1" t="s">
        <v>4128</v>
      </c>
      <c r="C3493" s="1" t="s">
        <v>3619</v>
      </c>
      <c r="D3493" s="1" t="s">
        <v>3601</v>
      </c>
      <c r="E3493" s="1" t="s">
        <v>3893</v>
      </c>
      <c r="F3493" s="1" t="s">
        <v>13367</v>
      </c>
      <c r="G3493" s="1" t="s">
        <v>13341</v>
      </c>
      <c r="H3493" s="1" t="s">
        <v>3604</v>
      </c>
      <c r="I3493" s="1" t="s">
        <v>13368</v>
      </c>
      <c r="J3493" s="1" t="s">
        <v>3606</v>
      </c>
      <c r="K3493" s="1" t="s">
        <v>13369</v>
      </c>
      <c r="L3493" s="1"/>
      <c r="M3493" s="1"/>
    </row>
    <row x14ac:dyDescent="0.25" r="3494" customHeight="1" ht="18.75">
      <c r="A3494" s="1" t="s">
        <v>3617</v>
      </c>
      <c r="B3494" s="1" t="s">
        <v>4128</v>
      </c>
      <c r="C3494" s="1" t="s">
        <v>3619</v>
      </c>
      <c r="D3494" s="1" t="s">
        <v>3601</v>
      </c>
      <c r="E3494" s="1" t="s">
        <v>3893</v>
      </c>
      <c r="F3494" s="1" t="s">
        <v>13370</v>
      </c>
      <c r="G3494" s="1" t="s">
        <v>13341</v>
      </c>
      <c r="H3494" s="1" t="s">
        <v>3604</v>
      </c>
      <c r="I3494" s="1" t="s">
        <v>13371</v>
      </c>
      <c r="J3494" s="1" t="s">
        <v>3606</v>
      </c>
      <c r="K3494" s="1" t="s">
        <v>12643</v>
      </c>
      <c r="L3494" s="1"/>
      <c r="M3494" s="1"/>
    </row>
    <row x14ac:dyDescent="0.25" r="3495" customHeight="1" ht="18.75">
      <c r="A3495" s="1" t="s">
        <v>3617</v>
      </c>
      <c r="B3495" s="1" t="s">
        <v>4128</v>
      </c>
      <c r="C3495" s="1" t="s">
        <v>3619</v>
      </c>
      <c r="D3495" s="1" t="s">
        <v>3601</v>
      </c>
      <c r="E3495" s="1" t="s">
        <v>3893</v>
      </c>
      <c r="F3495" s="1" t="s">
        <v>13372</v>
      </c>
      <c r="G3495" s="1" t="s">
        <v>13341</v>
      </c>
      <c r="H3495" s="1" t="s">
        <v>3604</v>
      </c>
      <c r="I3495" s="1" t="s">
        <v>13373</v>
      </c>
      <c r="J3495" s="1" t="s">
        <v>3606</v>
      </c>
      <c r="K3495" s="1" t="s">
        <v>13374</v>
      </c>
      <c r="L3495" s="1"/>
      <c r="M3495" s="1"/>
    </row>
    <row x14ac:dyDescent="0.25" r="3496" customHeight="1" ht="18.75">
      <c r="A3496" s="1" t="s">
        <v>3617</v>
      </c>
      <c r="B3496" s="1" t="s">
        <v>4128</v>
      </c>
      <c r="C3496" s="1" t="s">
        <v>3619</v>
      </c>
      <c r="D3496" s="1" t="s">
        <v>3601</v>
      </c>
      <c r="E3496" s="1" t="s">
        <v>3893</v>
      </c>
      <c r="F3496" s="1" t="s">
        <v>13375</v>
      </c>
      <c r="G3496" s="1" t="s">
        <v>13341</v>
      </c>
      <c r="H3496" s="1" t="s">
        <v>3604</v>
      </c>
      <c r="I3496" s="1" t="s">
        <v>13376</v>
      </c>
      <c r="J3496" s="1" t="s">
        <v>3606</v>
      </c>
      <c r="K3496" s="1" t="s">
        <v>13377</v>
      </c>
      <c r="L3496" s="1"/>
      <c r="M3496" s="1"/>
    </row>
    <row x14ac:dyDescent="0.25" r="3497" customHeight="1" ht="18.75">
      <c r="A3497" s="1" t="s">
        <v>3617</v>
      </c>
      <c r="B3497" s="1" t="s">
        <v>4128</v>
      </c>
      <c r="C3497" s="1" t="s">
        <v>3619</v>
      </c>
      <c r="D3497" s="1" t="s">
        <v>3601</v>
      </c>
      <c r="E3497" s="1" t="s">
        <v>3893</v>
      </c>
      <c r="F3497" s="1" t="s">
        <v>13378</v>
      </c>
      <c r="G3497" s="1" t="s">
        <v>13341</v>
      </c>
      <c r="H3497" s="1" t="s">
        <v>3604</v>
      </c>
      <c r="I3497" s="1" t="s">
        <v>13379</v>
      </c>
      <c r="J3497" s="1" t="s">
        <v>3606</v>
      </c>
      <c r="K3497" s="1" t="s">
        <v>13380</v>
      </c>
      <c r="L3497" s="1"/>
      <c r="M3497" s="1"/>
    </row>
    <row x14ac:dyDescent="0.25" r="3498" customHeight="1" ht="18.75">
      <c r="A3498" s="1" t="s">
        <v>3617</v>
      </c>
      <c r="B3498" s="1" t="s">
        <v>4128</v>
      </c>
      <c r="C3498" s="1" t="s">
        <v>3619</v>
      </c>
      <c r="D3498" s="1" t="s">
        <v>3601</v>
      </c>
      <c r="E3498" s="1" t="s">
        <v>3893</v>
      </c>
      <c r="F3498" s="1" t="s">
        <v>13381</v>
      </c>
      <c r="G3498" s="1" t="s">
        <v>13341</v>
      </c>
      <c r="H3498" s="1" t="s">
        <v>3604</v>
      </c>
      <c r="I3498" s="1" t="s">
        <v>13382</v>
      </c>
      <c r="J3498" s="1" t="s">
        <v>3606</v>
      </c>
      <c r="K3498" s="1" t="s">
        <v>13383</v>
      </c>
      <c r="L3498" s="1"/>
      <c r="M3498" s="1"/>
    </row>
    <row x14ac:dyDescent="0.25" r="3499" customHeight="1" ht="18.75">
      <c r="A3499" s="1" t="s">
        <v>3617</v>
      </c>
      <c r="B3499" s="1" t="s">
        <v>4128</v>
      </c>
      <c r="C3499" s="1" t="s">
        <v>3619</v>
      </c>
      <c r="D3499" s="1" t="s">
        <v>3601</v>
      </c>
      <c r="E3499" s="1" t="s">
        <v>3893</v>
      </c>
      <c r="F3499" s="1" t="s">
        <v>13384</v>
      </c>
      <c r="G3499" s="1" t="s">
        <v>13341</v>
      </c>
      <c r="H3499" s="1" t="s">
        <v>3604</v>
      </c>
      <c r="I3499" s="1" t="s">
        <v>13385</v>
      </c>
      <c r="J3499" s="1" t="s">
        <v>3606</v>
      </c>
      <c r="K3499" s="1" t="s">
        <v>13386</v>
      </c>
      <c r="L3499" s="1"/>
      <c r="M3499" s="1"/>
    </row>
    <row x14ac:dyDescent="0.25" r="3500" customHeight="1" ht="18.75">
      <c r="A3500" s="1" t="s">
        <v>3617</v>
      </c>
      <c r="B3500" s="1" t="s">
        <v>4128</v>
      </c>
      <c r="C3500" s="1" t="s">
        <v>3619</v>
      </c>
      <c r="D3500" s="1" t="s">
        <v>3601</v>
      </c>
      <c r="E3500" s="1" t="s">
        <v>3893</v>
      </c>
      <c r="F3500" s="1" t="s">
        <v>13387</v>
      </c>
      <c r="G3500" s="1" t="s">
        <v>13341</v>
      </c>
      <c r="H3500" s="1" t="s">
        <v>3604</v>
      </c>
      <c r="I3500" s="1" t="s">
        <v>13388</v>
      </c>
      <c r="J3500" s="1" t="s">
        <v>3606</v>
      </c>
      <c r="K3500" s="1" t="s">
        <v>13389</v>
      </c>
      <c r="L3500" s="1"/>
      <c r="M3500" s="1"/>
    </row>
    <row x14ac:dyDescent="0.25" r="3501" customHeight="1" ht="18.75">
      <c r="A3501" s="1" t="s">
        <v>3617</v>
      </c>
      <c r="B3501" s="1" t="s">
        <v>4128</v>
      </c>
      <c r="C3501" s="1" t="s">
        <v>3619</v>
      </c>
      <c r="D3501" s="1" t="s">
        <v>3601</v>
      </c>
      <c r="E3501" s="1" t="s">
        <v>3893</v>
      </c>
      <c r="F3501" s="1" t="s">
        <v>13390</v>
      </c>
      <c r="G3501" s="1" t="s">
        <v>13341</v>
      </c>
      <c r="H3501" s="1" t="s">
        <v>3604</v>
      </c>
      <c r="I3501" s="1" t="s">
        <v>13391</v>
      </c>
      <c r="J3501" s="1" t="s">
        <v>3606</v>
      </c>
      <c r="K3501" s="1" t="s">
        <v>13392</v>
      </c>
      <c r="L3501" s="1"/>
      <c r="M3501" s="1"/>
    </row>
    <row x14ac:dyDescent="0.25" r="3502" customHeight="1" ht="18.75">
      <c r="A3502" s="1" t="s">
        <v>3617</v>
      </c>
      <c r="B3502" s="1" t="s">
        <v>4128</v>
      </c>
      <c r="C3502" s="1" t="s">
        <v>3619</v>
      </c>
      <c r="D3502" s="1" t="s">
        <v>3601</v>
      </c>
      <c r="E3502" s="1" t="s">
        <v>3893</v>
      </c>
      <c r="F3502" s="1" t="s">
        <v>13393</v>
      </c>
      <c r="G3502" s="1" t="s">
        <v>13341</v>
      </c>
      <c r="H3502" s="1" t="s">
        <v>3604</v>
      </c>
      <c r="I3502" s="1" t="s">
        <v>13394</v>
      </c>
      <c r="J3502" s="1" t="s">
        <v>3606</v>
      </c>
      <c r="K3502" s="1" t="s">
        <v>13395</v>
      </c>
      <c r="L3502" s="1"/>
      <c r="M3502" s="1"/>
    </row>
    <row x14ac:dyDescent="0.25" r="3503" customHeight="1" ht="18.75">
      <c r="A3503" s="1" t="s">
        <v>3617</v>
      </c>
      <c r="B3503" s="1" t="s">
        <v>4128</v>
      </c>
      <c r="C3503" s="1" t="s">
        <v>3619</v>
      </c>
      <c r="D3503" s="1" t="s">
        <v>3601</v>
      </c>
      <c r="E3503" s="1" t="s">
        <v>3893</v>
      </c>
      <c r="F3503" s="1" t="s">
        <v>13396</v>
      </c>
      <c r="G3503" s="1" t="s">
        <v>13341</v>
      </c>
      <c r="H3503" s="1" t="s">
        <v>3604</v>
      </c>
      <c r="I3503" s="1" t="s">
        <v>13397</v>
      </c>
      <c r="J3503" s="1" t="s">
        <v>3606</v>
      </c>
      <c r="K3503" s="1" t="s">
        <v>13398</v>
      </c>
      <c r="L3503" s="1"/>
      <c r="M3503" s="1"/>
    </row>
    <row x14ac:dyDescent="0.25" r="3504" customHeight="1" ht="18.75">
      <c r="A3504" s="1" t="s">
        <v>3617</v>
      </c>
      <c r="B3504" s="1" t="s">
        <v>4128</v>
      </c>
      <c r="C3504" s="1" t="s">
        <v>3619</v>
      </c>
      <c r="D3504" s="1" t="s">
        <v>3601</v>
      </c>
      <c r="E3504" s="1" t="s">
        <v>3893</v>
      </c>
      <c r="F3504" s="1" t="s">
        <v>13399</v>
      </c>
      <c r="G3504" s="1" t="s">
        <v>13341</v>
      </c>
      <c r="H3504" s="1" t="s">
        <v>3604</v>
      </c>
      <c r="I3504" s="1" t="s">
        <v>13400</v>
      </c>
      <c r="J3504" s="1" t="s">
        <v>3606</v>
      </c>
      <c r="K3504" s="1" t="s">
        <v>13401</v>
      </c>
      <c r="L3504" s="1"/>
      <c r="M3504" s="1"/>
    </row>
    <row x14ac:dyDescent="0.25" r="3505" customHeight="1" ht="18.75">
      <c r="A3505" s="1" t="s">
        <v>3617</v>
      </c>
      <c r="B3505" s="1" t="s">
        <v>4128</v>
      </c>
      <c r="C3505" s="1" t="s">
        <v>3619</v>
      </c>
      <c r="D3505" s="1" t="s">
        <v>3601</v>
      </c>
      <c r="E3505" s="1" t="s">
        <v>3893</v>
      </c>
      <c r="F3505" s="1" t="s">
        <v>13402</v>
      </c>
      <c r="G3505" s="1" t="s">
        <v>13341</v>
      </c>
      <c r="H3505" s="1" t="s">
        <v>3604</v>
      </c>
      <c r="I3505" s="1" t="s">
        <v>13403</v>
      </c>
      <c r="J3505" s="1" t="s">
        <v>3606</v>
      </c>
      <c r="K3505" s="1" t="s">
        <v>13404</v>
      </c>
      <c r="L3505" s="1"/>
      <c r="M3505" s="1"/>
    </row>
    <row x14ac:dyDescent="0.25" r="3506" customHeight="1" ht="18.75">
      <c r="A3506" s="1" t="s">
        <v>3617</v>
      </c>
      <c r="B3506" s="1" t="s">
        <v>4128</v>
      </c>
      <c r="C3506" s="1" t="s">
        <v>3619</v>
      </c>
      <c r="D3506" s="1" t="s">
        <v>3601</v>
      </c>
      <c r="E3506" s="1" t="s">
        <v>3893</v>
      </c>
      <c r="F3506" s="1" t="s">
        <v>13405</v>
      </c>
      <c r="G3506" s="1" t="s">
        <v>13341</v>
      </c>
      <c r="H3506" s="1" t="s">
        <v>3604</v>
      </c>
      <c r="I3506" s="1" t="s">
        <v>13406</v>
      </c>
      <c r="J3506" s="1" t="s">
        <v>3606</v>
      </c>
      <c r="K3506" s="1" t="s">
        <v>13407</v>
      </c>
      <c r="L3506" s="1"/>
      <c r="M3506" s="1"/>
    </row>
    <row x14ac:dyDescent="0.25" r="3507" customHeight="1" ht="18.75">
      <c r="A3507" s="1" t="s">
        <v>3617</v>
      </c>
      <c r="B3507" s="1" t="s">
        <v>4128</v>
      </c>
      <c r="C3507" s="1" t="s">
        <v>3619</v>
      </c>
      <c r="D3507" s="1" t="s">
        <v>3601</v>
      </c>
      <c r="E3507" s="1" t="s">
        <v>3893</v>
      </c>
      <c r="F3507" s="1" t="s">
        <v>13408</v>
      </c>
      <c r="G3507" s="1" t="s">
        <v>13341</v>
      </c>
      <c r="H3507" s="1" t="s">
        <v>3604</v>
      </c>
      <c r="I3507" s="1" t="s">
        <v>13409</v>
      </c>
      <c r="J3507" s="1" t="s">
        <v>3606</v>
      </c>
      <c r="K3507" s="1" t="s">
        <v>13410</v>
      </c>
      <c r="L3507" s="1"/>
      <c r="M3507" s="1"/>
    </row>
    <row x14ac:dyDescent="0.25" r="3508" customHeight="1" ht="18.75">
      <c r="A3508" s="1" t="s">
        <v>3617</v>
      </c>
      <c r="B3508" s="1" t="s">
        <v>4128</v>
      </c>
      <c r="C3508" s="1" t="s">
        <v>3619</v>
      </c>
      <c r="D3508" s="1" t="s">
        <v>3601</v>
      </c>
      <c r="E3508" s="1" t="s">
        <v>3893</v>
      </c>
      <c r="F3508" s="1" t="s">
        <v>13411</v>
      </c>
      <c r="G3508" s="1" t="s">
        <v>13341</v>
      </c>
      <c r="H3508" s="1" t="s">
        <v>3604</v>
      </c>
      <c r="I3508" s="1" t="s">
        <v>13412</v>
      </c>
      <c r="J3508" s="1" t="s">
        <v>3606</v>
      </c>
      <c r="K3508" s="1" t="s">
        <v>13413</v>
      </c>
      <c r="L3508" s="1"/>
      <c r="M3508" s="1"/>
    </row>
    <row x14ac:dyDescent="0.25" r="3509" customHeight="1" ht="18.75">
      <c r="A3509" s="1" t="s">
        <v>3617</v>
      </c>
      <c r="B3509" s="1" t="s">
        <v>4128</v>
      </c>
      <c r="C3509" s="1" t="s">
        <v>3619</v>
      </c>
      <c r="D3509" s="1" t="s">
        <v>3601</v>
      </c>
      <c r="E3509" s="1" t="s">
        <v>3893</v>
      </c>
      <c r="F3509" s="1" t="s">
        <v>13414</v>
      </c>
      <c r="G3509" s="1" t="s">
        <v>13341</v>
      </c>
      <c r="H3509" s="1" t="s">
        <v>3604</v>
      </c>
      <c r="I3509" s="1" t="s">
        <v>13415</v>
      </c>
      <c r="J3509" s="1" t="s">
        <v>3606</v>
      </c>
      <c r="K3509" s="1" t="s">
        <v>13416</v>
      </c>
      <c r="L3509" s="1"/>
      <c r="M3509" s="1"/>
    </row>
    <row x14ac:dyDescent="0.25" r="3510" customHeight="1" ht="18.75">
      <c r="A3510" s="1" t="s">
        <v>3617</v>
      </c>
      <c r="B3510" s="1" t="s">
        <v>4128</v>
      </c>
      <c r="C3510" s="1" t="s">
        <v>3619</v>
      </c>
      <c r="D3510" s="1" t="s">
        <v>3601</v>
      </c>
      <c r="E3510" s="1" t="s">
        <v>3893</v>
      </c>
      <c r="F3510" s="1" t="s">
        <v>13417</v>
      </c>
      <c r="G3510" s="1" t="s">
        <v>13341</v>
      </c>
      <c r="H3510" s="1" t="s">
        <v>3604</v>
      </c>
      <c r="I3510" s="1" t="s">
        <v>13418</v>
      </c>
      <c r="J3510" s="1" t="s">
        <v>3606</v>
      </c>
      <c r="K3510" s="1" t="s">
        <v>13419</v>
      </c>
      <c r="L3510" s="1"/>
      <c r="M3510" s="1"/>
    </row>
    <row x14ac:dyDescent="0.25" r="3511" customHeight="1" ht="18.75">
      <c r="A3511" s="1" t="s">
        <v>3617</v>
      </c>
      <c r="B3511" s="1" t="s">
        <v>4128</v>
      </c>
      <c r="C3511" s="1" t="s">
        <v>3619</v>
      </c>
      <c r="D3511" s="1" t="s">
        <v>3601</v>
      </c>
      <c r="E3511" s="1" t="s">
        <v>3893</v>
      </c>
      <c r="F3511" s="1" t="s">
        <v>13420</v>
      </c>
      <c r="G3511" s="1" t="s">
        <v>13341</v>
      </c>
      <c r="H3511" s="1" t="s">
        <v>3604</v>
      </c>
      <c r="I3511" s="1" t="s">
        <v>13421</v>
      </c>
      <c r="J3511" s="1" t="s">
        <v>3606</v>
      </c>
      <c r="K3511" s="1" t="s">
        <v>13422</v>
      </c>
      <c r="L3511" s="1"/>
      <c r="M3511" s="1"/>
    </row>
    <row x14ac:dyDescent="0.25" r="3512" customHeight="1" ht="18.75">
      <c r="A3512" s="1" t="s">
        <v>3617</v>
      </c>
      <c r="B3512" s="1" t="s">
        <v>4128</v>
      </c>
      <c r="C3512" s="1" t="s">
        <v>3619</v>
      </c>
      <c r="D3512" s="1" t="s">
        <v>3601</v>
      </c>
      <c r="E3512" s="1" t="s">
        <v>3893</v>
      </c>
      <c r="F3512" s="1" t="s">
        <v>13423</v>
      </c>
      <c r="G3512" s="1" t="s">
        <v>13341</v>
      </c>
      <c r="H3512" s="1" t="s">
        <v>3604</v>
      </c>
      <c r="I3512" s="1" t="s">
        <v>13424</v>
      </c>
      <c r="J3512" s="1" t="s">
        <v>3606</v>
      </c>
      <c r="K3512" s="1" t="s">
        <v>13425</v>
      </c>
      <c r="L3512" s="1"/>
      <c r="M3512" s="1"/>
    </row>
    <row x14ac:dyDescent="0.25" r="3513" customHeight="1" ht="18.75">
      <c r="A3513" s="1" t="s">
        <v>3617</v>
      </c>
      <c r="B3513" s="1" t="s">
        <v>4128</v>
      </c>
      <c r="C3513" s="1" t="s">
        <v>3619</v>
      </c>
      <c r="D3513" s="1" t="s">
        <v>3601</v>
      </c>
      <c r="E3513" s="1" t="s">
        <v>3893</v>
      </c>
      <c r="F3513" s="1" t="s">
        <v>13426</v>
      </c>
      <c r="G3513" s="1" t="s">
        <v>13341</v>
      </c>
      <c r="H3513" s="1" t="s">
        <v>3604</v>
      </c>
      <c r="I3513" s="1" t="s">
        <v>13427</v>
      </c>
      <c r="J3513" s="1" t="s">
        <v>3606</v>
      </c>
      <c r="K3513" s="1" t="s">
        <v>13428</v>
      </c>
      <c r="L3513" s="1"/>
      <c r="M3513" s="1"/>
    </row>
    <row x14ac:dyDescent="0.25" r="3514" customHeight="1" ht="18.75">
      <c r="A3514" s="1" t="s">
        <v>3617</v>
      </c>
      <c r="B3514" s="1" t="s">
        <v>4128</v>
      </c>
      <c r="C3514" s="1" t="s">
        <v>3619</v>
      </c>
      <c r="D3514" s="1" t="s">
        <v>3601</v>
      </c>
      <c r="E3514" s="1" t="s">
        <v>3893</v>
      </c>
      <c r="F3514" s="1" t="s">
        <v>13429</v>
      </c>
      <c r="G3514" s="1" t="s">
        <v>13430</v>
      </c>
      <c r="H3514" s="1" t="s">
        <v>3604</v>
      </c>
      <c r="I3514" s="1" t="s">
        <v>13431</v>
      </c>
      <c r="J3514" s="1" t="s">
        <v>3606</v>
      </c>
      <c r="K3514" s="1" t="s">
        <v>13432</v>
      </c>
      <c r="L3514" s="1"/>
      <c r="M3514" s="1"/>
    </row>
    <row x14ac:dyDescent="0.25" r="3515" customHeight="1" ht="18.75">
      <c r="A3515" s="1" t="s">
        <v>3617</v>
      </c>
      <c r="B3515" s="1" t="s">
        <v>4128</v>
      </c>
      <c r="C3515" s="1" t="s">
        <v>3619</v>
      </c>
      <c r="D3515" s="1" t="s">
        <v>3601</v>
      </c>
      <c r="E3515" s="1" t="s">
        <v>3893</v>
      </c>
      <c r="F3515" s="1" t="s">
        <v>13433</v>
      </c>
      <c r="G3515" s="1" t="s">
        <v>13430</v>
      </c>
      <c r="H3515" s="1" t="s">
        <v>3604</v>
      </c>
      <c r="I3515" s="1" t="s">
        <v>13434</v>
      </c>
      <c r="J3515" s="1" t="s">
        <v>3606</v>
      </c>
      <c r="K3515" s="1" t="s">
        <v>13435</v>
      </c>
      <c r="L3515" s="1"/>
      <c r="M3515" s="1"/>
    </row>
    <row x14ac:dyDescent="0.25" r="3516" customHeight="1" ht="18.75">
      <c r="A3516" s="1" t="s">
        <v>3617</v>
      </c>
      <c r="B3516" s="1" t="s">
        <v>4128</v>
      </c>
      <c r="C3516" s="1" t="s">
        <v>3619</v>
      </c>
      <c r="D3516" s="1" t="s">
        <v>3601</v>
      </c>
      <c r="E3516" s="1" t="s">
        <v>3893</v>
      </c>
      <c r="F3516" s="1" t="s">
        <v>13436</v>
      </c>
      <c r="G3516" s="1" t="s">
        <v>13430</v>
      </c>
      <c r="H3516" s="1" t="s">
        <v>3604</v>
      </c>
      <c r="I3516" s="1" t="s">
        <v>13437</v>
      </c>
      <c r="J3516" s="1" t="s">
        <v>3606</v>
      </c>
      <c r="K3516" s="1" t="s">
        <v>13432</v>
      </c>
      <c r="L3516" s="1"/>
      <c r="M3516" s="1"/>
    </row>
    <row x14ac:dyDescent="0.25" r="3517" customHeight="1" ht="18.75">
      <c r="A3517" s="1" t="s">
        <v>3617</v>
      </c>
      <c r="B3517" s="1" t="s">
        <v>4128</v>
      </c>
      <c r="C3517" s="1" t="s">
        <v>3619</v>
      </c>
      <c r="D3517" s="1" t="s">
        <v>3601</v>
      </c>
      <c r="E3517" s="1" t="s">
        <v>3893</v>
      </c>
      <c r="F3517" s="1" t="s">
        <v>13438</v>
      </c>
      <c r="G3517" s="1" t="s">
        <v>13439</v>
      </c>
      <c r="H3517" s="1" t="s">
        <v>3604</v>
      </c>
      <c r="I3517" s="1" t="s">
        <v>13440</v>
      </c>
      <c r="J3517" s="1" t="s">
        <v>3606</v>
      </c>
      <c r="K3517" s="1" t="s">
        <v>13441</v>
      </c>
      <c r="L3517" s="1"/>
      <c r="M3517" s="1"/>
    </row>
    <row x14ac:dyDescent="0.25" r="3518" customHeight="1" ht="18.75">
      <c r="A3518" s="1" t="s">
        <v>3617</v>
      </c>
      <c r="B3518" s="1" t="s">
        <v>4128</v>
      </c>
      <c r="C3518" s="1" t="s">
        <v>3619</v>
      </c>
      <c r="D3518" s="1" t="s">
        <v>3601</v>
      </c>
      <c r="E3518" s="1" t="s">
        <v>3893</v>
      </c>
      <c r="F3518" s="1" t="s">
        <v>13442</v>
      </c>
      <c r="G3518" s="1" t="s">
        <v>13439</v>
      </c>
      <c r="H3518" s="1" t="s">
        <v>3604</v>
      </c>
      <c r="I3518" s="1" t="s">
        <v>13443</v>
      </c>
      <c r="J3518" s="1" t="s">
        <v>3606</v>
      </c>
      <c r="K3518" s="1" t="s">
        <v>13444</v>
      </c>
      <c r="L3518" s="1"/>
      <c r="M3518" s="1"/>
    </row>
    <row x14ac:dyDescent="0.25" r="3519" customHeight="1" ht="18.75">
      <c r="A3519" s="1" t="s">
        <v>3617</v>
      </c>
      <c r="B3519" s="1" t="s">
        <v>4128</v>
      </c>
      <c r="C3519" s="1" t="s">
        <v>3619</v>
      </c>
      <c r="D3519" s="1" t="s">
        <v>3601</v>
      </c>
      <c r="E3519" s="1" t="s">
        <v>3893</v>
      </c>
      <c r="F3519" s="1" t="s">
        <v>13445</v>
      </c>
      <c r="G3519" s="1" t="s">
        <v>13430</v>
      </c>
      <c r="H3519" s="1" t="s">
        <v>3604</v>
      </c>
      <c r="I3519" s="1" t="s">
        <v>13446</v>
      </c>
      <c r="J3519" s="1" t="s">
        <v>3606</v>
      </c>
      <c r="K3519" s="1" t="s">
        <v>7997</v>
      </c>
      <c r="L3519" s="1"/>
      <c r="M3519" s="1"/>
    </row>
    <row x14ac:dyDescent="0.25" r="3520" customHeight="1" ht="18.75">
      <c r="A3520" s="1" t="s">
        <v>3617</v>
      </c>
      <c r="B3520" s="1" t="s">
        <v>4128</v>
      </c>
      <c r="C3520" s="1" t="s">
        <v>3619</v>
      </c>
      <c r="D3520" s="1" t="s">
        <v>3601</v>
      </c>
      <c r="E3520" s="1" t="s">
        <v>3893</v>
      </c>
      <c r="F3520" s="1" t="s">
        <v>13447</v>
      </c>
      <c r="G3520" s="1" t="s">
        <v>13439</v>
      </c>
      <c r="H3520" s="1" t="s">
        <v>3604</v>
      </c>
      <c r="I3520" s="1" t="s">
        <v>13448</v>
      </c>
      <c r="J3520" s="1" t="s">
        <v>3606</v>
      </c>
      <c r="K3520" s="1" t="s">
        <v>7997</v>
      </c>
      <c r="L3520" s="1"/>
      <c r="M3520" s="1"/>
    </row>
    <row x14ac:dyDescent="0.25" r="3521" customHeight="1" ht="18.75">
      <c r="A3521" s="1" t="s">
        <v>3617</v>
      </c>
      <c r="B3521" s="1" t="s">
        <v>4128</v>
      </c>
      <c r="C3521" s="1" t="s">
        <v>3619</v>
      </c>
      <c r="D3521" s="1" t="s">
        <v>3601</v>
      </c>
      <c r="E3521" s="1" t="s">
        <v>3893</v>
      </c>
      <c r="F3521" s="1" t="s">
        <v>13449</v>
      </c>
      <c r="G3521" s="1" t="s">
        <v>13341</v>
      </c>
      <c r="H3521" s="1" t="s">
        <v>3604</v>
      </c>
      <c r="I3521" s="1" t="s">
        <v>13450</v>
      </c>
      <c r="J3521" s="1" t="s">
        <v>3606</v>
      </c>
      <c r="K3521" s="1" t="s">
        <v>13451</v>
      </c>
      <c r="L3521" s="1"/>
      <c r="M3521" s="1"/>
    </row>
    <row x14ac:dyDescent="0.25" r="3522" customHeight="1" ht="18.75">
      <c r="A3522" s="1" t="s">
        <v>3617</v>
      </c>
      <c r="B3522" s="1" t="s">
        <v>4128</v>
      </c>
      <c r="C3522" s="1" t="s">
        <v>3619</v>
      </c>
      <c r="D3522" s="1" t="s">
        <v>3601</v>
      </c>
      <c r="E3522" s="1" t="s">
        <v>3893</v>
      </c>
      <c r="F3522" s="1" t="s">
        <v>13452</v>
      </c>
      <c r="G3522" s="1" t="s">
        <v>13341</v>
      </c>
      <c r="H3522" s="1" t="s">
        <v>3604</v>
      </c>
      <c r="I3522" s="1" t="s">
        <v>13453</v>
      </c>
      <c r="J3522" s="1" t="s">
        <v>3606</v>
      </c>
      <c r="K3522" s="1" t="s">
        <v>13454</v>
      </c>
      <c r="L3522" s="1"/>
      <c r="M3522" s="1"/>
    </row>
    <row x14ac:dyDescent="0.25" r="3523" customHeight="1" ht="18.75">
      <c r="A3523" s="1" t="s">
        <v>3617</v>
      </c>
      <c r="B3523" s="1" t="s">
        <v>4128</v>
      </c>
      <c r="C3523" s="1" t="s">
        <v>3619</v>
      </c>
      <c r="D3523" s="1" t="s">
        <v>3601</v>
      </c>
      <c r="E3523" s="1" t="s">
        <v>3893</v>
      </c>
      <c r="F3523" s="1" t="s">
        <v>13455</v>
      </c>
      <c r="G3523" s="1" t="s">
        <v>13341</v>
      </c>
      <c r="H3523" s="1" t="s">
        <v>3604</v>
      </c>
      <c r="I3523" s="1" t="s">
        <v>13456</v>
      </c>
      <c r="J3523" s="1" t="s">
        <v>3606</v>
      </c>
      <c r="K3523" s="1" t="s">
        <v>13457</v>
      </c>
      <c r="L3523" s="1"/>
      <c r="M3523" s="1"/>
    </row>
    <row x14ac:dyDescent="0.25" r="3524" customHeight="1" ht="18.75">
      <c r="A3524" s="1" t="s">
        <v>3617</v>
      </c>
      <c r="B3524" s="1" t="s">
        <v>4128</v>
      </c>
      <c r="C3524" s="1" t="s">
        <v>3619</v>
      </c>
      <c r="D3524" s="1" t="s">
        <v>3601</v>
      </c>
      <c r="E3524" s="1" t="s">
        <v>3893</v>
      </c>
      <c r="F3524" s="1" t="s">
        <v>13458</v>
      </c>
      <c r="G3524" s="1" t="s">
        <v>13341</v>
      </c>
      <c r="H3524" s="1" t="s">
        <v>3604</v>
      </c>
      <c r="I3524" s="1" t="s">
        <v>13459</v>
      </c>
      <c r="J3524" s="1" t="s">
        <v>3606</v>
      </c>
      <c r="K3524" s="1" t="s">
        <v>13460</v>
      </c>
      <c r="L3524" s="1"/>
      <c r="M3524" s="1"/>
    </row>
    <row x14ac:dyDescent="0.25" r="3525" customHeight="1" ht="18.75">
      <c r="A3525" s="1" t="s">
        <v>3617</v>
      </c>
      <c r="B3525" s="1" t="s">
        <v>4128</v>
      </c>
      <c r="C3525" s="1" t="s">
        <v>3619</v>
      </c>
      <c r="D3525" s="1" t="s">
        <v>3601</v>
      </c>
      <c r="E3525" s="1" t="s">
        <v>3893</v>
      </c>
      <c r="F3525" s="1" t="s">
        <v>13461</v>
      </c>
      <c r="G3525" s="1" t="s">
        <v>13341</v>
      </c>
      <c r="H3525" s="1" t="s">
        <v>3604</v>
      </c>
      <c r="I3525" s="1" t="s">
        <v>13462</v>
      </c>
      <c r="J3525" s="1" t="s">
        <v>3606</v>
      </c>
      <c r="K3525" s="1" t="s">
        <v>13463</v>
      </c>
      <c r="L3525" s="1"/>
      <c r="M3525" s="1"/>
    </row>
    <row x14ac:dyDescent="0.25" r="3526" customHeight="1" ht="18.75">
      <c r="A3526" s="1" t="s">
        <v>3617</v>
      </c>
      <c r="B3526" s="1" t="s">
        <v>4128</v>
      </c>
      <c r="C3526" s="1" t="s">
        <v>3619</v>
      </c>
      <c r="D3526" s="1" t="s">
        <v>3601</v>
      </c>
      <c r="E3526" s="1" t="s">
        <v>3893</v>
      </c>
      <c r="F3526" s="1" t="s">
        <v>13464</v>
      </c>
      <c r="G3526" s="1" t="s">
        <v>13341</v>
      </c>
      <c r="H3526" s="1" t="s">
        <v>3604</v>
      </c>
      <c r="I3526" s="1" t="s">
        <v>13465</v>
      </c>
      <c r="J3526" s="1" t="s">
        <v>3606</v>
      </c>
      <c r="K3526" s="1" t="s">
        <v>13466</v>
      </c>
      <c r="L3526" s="1"/>
      <c r="M3526" s="1"/>
    </row>
    <row x14ac:dyDescent="0.25" r="3527" customHeight="1" ht="18.75">
      <c r="A3527" s="1" t="s">
        <v>3617</v>
      </c>
      <c r="B3527" s="1" t="s">
        <v>4128</v>
      </c>
      <c r="C3527" s="1" t="s">
        <v>3619</v>
      </c>
      <c r="D3527" s="1" t="s">
        <v>3601</v>
      </c>
      <c r="E3527" s="1" t="s">
        <v>3893</v>
      </c>
      <c r="F3527" s="1" t="s">
        <v>13467</v>
      </c>
      <c r="G3527" s="1" t="s">
        <v>13341</v>
      </c>
      <c r="H3527" s="1" t="s">
        <v>3604</v>
      </c>
      <c r="I3527" s="1" t="s">
        <v>13468</v>
      </c>
      <c r="J3527" s="1" t="s">
        <v>3606</v>
      </c>
      <c r="K3527" s="1" t="s">
        <v>13469</v>
      </c>
      <c r="L3527" s="1"/>
      <c r="M3527" s="1"/>
    </row>
    <row x14ac:dyDescent="0.25" r="3528" customHeight="1" ht="18.75">
      <c r="A3528" s="1" t="s">
        <v>3617</v>
      </c>
      <c r="B3528" s="1" t="s">
        <v>4128</v>
      </c>
      <c r="C3528" s="1" t="s">
        <v>3619</v>
      </c>
      <c r="D3528" s="1" t="s">
        <v>3601</v>
      </c>
      <c r="E3528" s="1" t="s">
        <v>3893</v>
      </c>
      <c r="F3528" s="1" t="s">
        <v>13470</v>
      </c>
      <c r="G3528" s="1" t="s">
        <v>13341</v>
      </c>
      <c r="H3528" s="1" t="s">
        <v>3604</v>
      </c>
      <c r="I3528" s="1" t="s">
        <v>13471</v>
      </c>
      <c r="J3528" s="1" t="s">
        <v>3606</v>
      </c>
      <c r="K3528" s="1" t="s">
        <v>13472</v>
      </c>
      <c r="L3528" s="1"/>
      <c r="M3528" s="1"/>
    </row>
    <row x14ac:dyDescent="0.25" r="3529" customHeight="1" ht="18.75">
      <c r="A3529" s="1" t="s">
        <v>3617</v>
      </c>
      <c r="B3529" s="1" t="s">
        <v>4582</v>
      </c>
      <c r="C3529" s="1" t="s">
        <v>4488</v>
      </c>
      <c r="D3529" s="1" t="s">
        <v>3695</v>
      </c>
      <c r="E3529" s="1" t="s">
        <v>8096</v>
      </c>
      <c r="F3529" s="1" t="s">
        <v>13473</v>
      </c>
      <c r="G3529" s="1" t="s">
        <v>13474</v>
      </c>
      <c r="H3529" s="1" t="s">
        <v>3604</v>
      </c>
      <c r="I3529" s="1" t="s">
        <v>13475</v>
      </c>
      <c r="J3529" s="1" t="s">
        <v>3606</v>
      </c>
      <c r="K3529" s="1" t="s">
        <v>13476</v>
      </c>
      <c r="L3529" s="1" t="s">
        <v>3608</v>
      </c>
      <c r="M3529" s="1"/>
    </row>
    <row x14ac:dyDescent="0.25" r="3530" customHeight="1" ht="18.75">
      <c r="A3530" s="1" t="s">
        <v>3617</v>
      </c>
      <c r="B3530" s="1" t="s">
        <v>4582</v>
      </c>
      <c r="C3530" s="1" t="s">
        <v>4488</v>
      </c>
      <c r="D3530" s="1" t="s">
        <v>3695</v>
      </c>
      <c r="E3530" s="1" t="s">
        <v>8096</v>
      </c>
      <c r="F3530" s="1" t="s">
        <v>13477</v>
      </c>
      <c r="G3530" s="1" t="s">
        <v>12689</v>
      </c>
      <c r="H3530" s="1" t="s">
        <v>3604</v>
      </c>
      <c r="I3530" s="1" t="s">
        <v>13478</v>
      </c>
      <c r="J3530" s="1" t="s">
        <v>3606</v>
      </c>
      <c r="K3530" s="1" t="s">
        <v>13479</v>
      </c>
      <c r="L3530" s="1" t="s">
        <v>3608</v>
      </c>
      <c r="M3530" s="1"/>
    </row>
    <row x14ac:dyDescent="0.25" r="3531" customHeight="1" ht="18.75">
      <c r="A3531" s="1" t="s">
        <v>3617</v>
      </c>
      <c r="B3531" s="1" t="s">
        <v>4582</v>
      </c>
      <c r="C3531" s="1" t="s">
        <v>4488</v>
      </c>
      <c r="D3531" s="1" t="s">
        <v>3695</v>
      </c>
      <c r="E3531" s="1" t="s">
        <v>8096</v>
      </c>
      <c r="F3531" s="1" t="s">
        <v>13480</v>
      </c>
      <c r="G3531" s="1" t="s">
        <v>12689</v>
      </c>
      <c r="H3531" s="1" t="s">
        <v>3604</v>
      </c>
      <c r="I3531" s="1" t="s">
        <v>13481</v>
      </c>
      <c r="J3531" s="1" t="s">
        <v>3606</v>
      </c>
      <c r="K3531" s="1" t="s">
        <v>13482</v>
      </c>
      <c r="L3531" s="1" t="s">
        <v>3608</v>
      </c>
      <c r="M3531" s="1"/>
    </row>
    <row x14ac:dyDescent="0.25" r="3532" customHeight="1" ht="18.75">
      <c r="A3532" s="1" t="s">
        <v>3617</v>
      </c>
      <c r="B3532" s="1" t="s">
        <v>11958</v>
      </c>
      <c r="C3532" s="1" t="s">
        <v>3619</v>
      </c>
      <c r="D3532" s="1"/>
      <c r="E3532" s="1" t="s">
        <v>3981</v>
      </c>
      <c r="F3532" s="1" t="s">
        <v>13483</v>
      </c>
      <c r="G3532" s="1" t="s">
        <v>8394</v>
      </c>
      <c r="H3532" s="1"/>
      <c r="I3532" s="1" t="s">
        <v>13484</v>
      </c>
      <c r="J3532" s="1" t="s">
        <v>3606</v>
      </c>
      <c r="K3532" s="1"/>
      <c r="L3532" s="1"/>
      <c r="M3532" s="1"/>
    </row>
    <row x14ac:dyDescent="0.25" r="3533" customHeight="1" ht="18.75">
      <c r="A3533" s="1" t="s">
        <v>3617</v>
      </c>
      <c r="B3533" s="1" t="s">
        <v>13485</v>
      </c>
      <c r="C3533" s="1" t="s">
        <v>3619</v>
      </c>
      <c r="D3533" s="1" t="s">
        <v>3695</v>
      </c>
      <c r="E3533" s="1" t="s">
        <v>3664</v>
      </c>
      <c r="F3533" s="1" t="s">
        <v>13486</v>
      </c>
      <c r="G3533" s="1" t="s">
        <v>13487</v>
      </c>
      <c r="H3533" s="1" t="s">
        <v>3604</v>
      </c>
      <c r="I3533" s="1" t="s">
        <v>13488</v>
      </c>
      <c r="J3533" s="1" t="s">
        <v>3606</v>
      </c>
      <c r="K3533" s="1" t="s">
        <v>13489</v>
      </c>
      <c r="L3533" s="1"/>
      <c r="M3533" s="1"/>
    </row>
    <row x14ac:dyDescent="0.25" r="3534" customHeight="1" ht="18.75">
      <c r="A3534" s="1" t="s">
        <v>3617</v>
      </c>
      <c r="B3534" s="1" t="s">
        <v>13485</v>
      </c>
      <c r="C3534" s="1" t="s">
        <v>3619</v>
      </c>
      <c r="D3534" s="1" t="s">
        <v>3695</v>
      </c>
      <c r="E3534" s="1" t="s">
        <v>3664</v>
      </c>
      <c r="F3534" s="1" t="s">
        <v>13490</v>
      </c>
      <c r="G3534" s="1" t="s">
        <v>13487</v>
      </c>
      <c r="H3534" s="1" t="s">
        <v>3604</v>
      </c>
      <c r="I3534" s="1" t="s">
        <v>13491</v>
      </c>
      <c r="J3534" s="1" t="s">
        <v>3606</v>
      </c>
      <c r="K3534" s="1" t="s">
        <v>13492</v>
      </c>
      <c r="L3534" s="1"/>
      <c r="M3534" s="1"/>
    </row>
    <row x14ac:dyDescent="0.25" r="3535" customHeight="1" ht="18.75">
      <c r="A3535" s="1" t="s">
        <v>3617</v>
      </c>
      <c r="B3535" s="1" t="s">
        <v>13485</v>
      </c>
      <c r="C3535" s="1" t="s">
        <v>3619</v>
      </c>
      <c r="D3535" s="1" t="s">
        <v>3695</v>
      </c>
      <c r="E3535" s="1" t="s">
        <v>3664</v>
      </c>
      <c r="F3535" s="1" t="s">
        <v>13493</v>
      </c>
      <c r="G3535" s="1" t="s">
        <v>13487</v>
      </c>
      <c r="H3535" s="1" t="s">
        <v>3604</v>
      </c>
      <c r="I3535" s="1" t="s">
        <v>13494</v>
      </c>
      <c r="J3535" s="1" t="s">
        <v>3606</v>
      </c>
      <c r="K3535" s="1" t="s">
        <v>13495</v>
      </c>
      <c r="L3535" s="1"/>
      <c r="M3535" s="1"/>
    </row>
    <row x14ac:dyDescent="0.25" r="3536" customHeight="1" ht="18.75">
      <c r="A3536" s="1" t="s">
        <v>3617</v>
      </c>
      <c r="B3536" s="1" t="s">
        <v>13485</v>
      </c>
      <c r="C3536" s="1" t="s">
        <v>3619</v>
      </c>
      <c r="D3536" s="1" t="s">
        <v>533</v>
      </c>
      <c r="E3536" s="1" t="s">
        <v>3664</v>
      </c>
      <c r="F3536" s="1" t="s">
        <v>13496</v>
      </c>
      <c r="G3536" s="1" t="s">
        <v>13487</v>
      </c>
      <c r="H3536" s="1" t="s">
        <v>3604</v>
      </c>
      <c r="I3536" s="1" t="s">
        <v>13497</v>
      </c>
      <c r="J3536" s="1" t="s">
        <v>3606</v>
      </c>
      <c r="K3536" s="1" t="s">
        <v>13498</v>
      </c>
      <c r="L3536" s="1"/>
      <c r="M3536" s="1"/>
    </row>
    <row x14ac:dyDescent="0.25" r="3537" customHeight="1" ht="18.75">
      <c r="A3537" s="1" t="s">
        <v>3617</v>
      </c>
      <c r="B3537" s="1" t="s">
        <v>13485</v>
      </c>
      <c r="C3537" s="1" t="s">
        <v>3619</v>
      </c>
      <c r="D3537" s="1" t="s">
        <v>533</v>
      </c>
      <c r="E3537" s="1" t="s">
        <v>3664</v>
      </c>
      <c r="F3537" s="1" t="s">
        <v>13499</v>
      </c>
      <c r="G3537" s="1" t="s">
        <v>13500</v>
      </c>
      <c r="H3537" s="1" t="s">
        <v>3604</v>
      </c>
      <c r="I3537" s="1" t="s">
        <v>13501</v>
      </c>
      <c r="J3537" s="1" t="s">
        <v>3606</v>
      </c>
      <c r="K3537" s="1" t="s">
        <v>8407</v>
      </c>
      <c r="L3537" s="1"/>
      <c r="M3537" s="1"/>
    </row>
    <row x14ac:dyDescent="0.25" r="3538" customHeight="1" ht="18.75">
      <c r="A3538" s="1" t="s">
        <v>3617</v>
      </c>
      <c r="B3538" s="1" t="s">
        <v>13485</v>
      </c>
      <c r="C3538" s="1" t="s">
        <v>3619</v>
      </c>
      <c r="D3538" s="1" t="s">
        <v>3695</v>
      </c>
      <c r="E3538" s="1" t="s">
        <v>3664</v>
      </c>
      <c r="F3538" s="1" t="s">
        <v>13502</v>
      </c>
      <c r="G3538" s="1" t="s">
        <v>13500</v>
      </c>
      <c r="H3538" s="1" t="s">
        <v>3604</v>
      </c>
      <c r="I3538" s="1" t="s">
        <v>13503</v>
      </c>
      <c r="J3538" s="1" t="s">
        <v>3606</v>
      </c>
      <c r="K3538" s="1" t="s">
        <v>13504</v>
      </c>
      <c r="L3538" s="1"/>
      <c r="M3538" s="1"/>
    </row>
    <row x14ac:dyDescent="0.25" r="3539" customHeight="1" ht="18.75">
      <c r="A3539" s="1" t="s">
        <v>3617</v>
      </c>
      <c r="B3539" s="1" t="s">
        <v>13485</v>
      </c>
      <c r="C3539" s="1" t="s">
        <v>3619</v>
      </c>
      <c r="D3539" s="1" t="s">
        <v>3695</v>
      </c>
      <c r="E3539" s="1" t="s">
        <v>3664</v>
      </c>
      <c r="F3539" s="1" t="s">
        <v>13505</v>
      </c>
      <c r="G3539" s="1" t="s">
        <v>13500</v>
      </c>
      <c r="H3539" s="1" t="s">
        <v>3604</v>
      </c>
      <c r="I3539" s="1" t="s">
        <v>13506</v>
      </c>
      <c r="J3539" s="1" t="s">
        <v>3606</v>
      </c>
      <c r="K3539" s="1" t="s">
        <v>13507</v>
      </c>
      <c r="L3539" s="1"/>
      <c r="M3539" s="1"/>
    </row>
    <row x14ac:dyDescent="0.25" r="3540" customHeight="1" ht="18.75">
      <c r="A3540" s="1" t="s">
        <v>3617</v>
      </c>
      <c r="B3540" s="1" t="s">
        <v>13485</v>
      </c>
      <c r="C3540" s="1" t="s">
        <v>3619</v>
      </c>
      <c r="D3540" s="1" t="s">
        <v>3695</v>
      </c>
      <c r="E3540" s="1" t="s">
        <v>3664</v>
      </c>
      <c r="F3540" s="1" t="s">
        <v>13508</v>
      </c>
      <c r="G3540" s="1" t="s">
        <v>13500</v>
      </c>
      <c r="H3540" s="1" t="s">
        <v>3604</v>
      </c>
      <c r="I3540" s="1" t="s">
        <v>13509</v>
      </c>
      <c r="J3540" s="1" t="s">
        <v>3606</v>
      </c>
      <c r="K3540" s="1" t="s">
        <v>13510</v>
      </c>
      <c r="L3540" s="1"/>
      <c r="M3540" s="1"/>
    </row>
    <row x14ac:dyDescent="0.25" r="3541" customHeight="1" ht="18.75">
      <c r="A3541" s="1" t="s">
        <v>3617</v>
      </c>
      <c r="B3541" s="1" t="s">
        <v>13485</v>
      </c>
      <c r="C3541" s="1" t="s">
        <v>3619</v>
      </c>
      <c r="D3541" s="1" t="s">
        <v>3695</v>
      </c>
      <c r="E3541" s="1" t="s">
        <v>3611</v>
      </c>
      <c r="F3541" s="1" t="s">
        <v>13511</v>
      </c>
      <c r="G3541" s="1" t="s">
        <v>13487</v>
      </c>
      <c r="H3541" s="1" t="s">
        <v>3604</v>
      </c>
      <c r="I3541" s="1" t="s">
        <v>13512</v>
      </c>
      <c r="J3541" s="1" t="s">
        <v>3606</v>
      </c>
      <c r="K3541" s="1" t="s">
        <v>13513</v>
      </c>
      <c r="L3541" s="1" t="s">
        <v>3608</v>
      </c>
      <c r="M3541" s="1"/>
    </row>
    <row x14ac:dyDescent="0.25" r="3542" customHeight="1" ht="18.75">
      <c r="A3542" s="1" t="s">
        <v>3617</v>
      </c>
      <c r="B3542" s="1" t="s">
        <v>13485</v>
      </c>
      <c r="C3542" s="1" t="s">
        <v>3619</v>
      </c>
      <c r="D3542" s="1" t="s">
        <v>3695</v>
      </c>
      <c r="E3542" s="1" t="s">
        <v>3611</v>
      </c>
      <c r="F3542" s="1" t="s">
        <v>13514</v>
      </c>
      <c r="G3542" s="1" t="s">
        <v>13487</v>
      </c>
      <c r="H3542" s="1" t="s">
        <v>3604</v>
      </c>
      <c r="I3542" s="1" t="s">
        <v>13515</v>
      </c>
      <c r="J3542" s="1" t="s">
        <v>3606</v>
      </c>
      <c r="K3542" s="1" t="s">
        <v>13516</v>
      </c>
      <c r="L3542" s="1" t="s">
        <v>3608</v>
      </c>
      <c r="M3542" s="1"/>
    </row>
    <row x14ac:dyDescent="0.25" r="3543" customHeight="1" ht="18.75">
      <c r="A3543" s="1" t="s">
        <v>3617</v>
      </c>
      <c r="B3543" s="1" t="s">
        <v>13485</v>
      </c>
      <c r="C3543" s="1" t="s">
        <v>3619</v>
      </c>
      <c r="D3543" s="1" t="s">
        <v>3695</v>
      </c>
      <c r="E3543" s="1" t="s">
        <v>3611</v>
      </c>
      <c r="F3543" s="1" t="s">
        <v>13517</v>
      </c>
      <c r="G3543" s="1" t="s">
        <v>13487</v>
      </c>
      <c r="H3543" s="1" t="s">
        <v>3604</v>
      </c>
      <c r="I3543" s="1" t="s">
        <v>13518</v>
      </c>
      <c r="J3543" s="1" t="s">
        <v>3606</v>
      </c>
      <c r="K3543" s="1" t="s">
        <v>13519</v>
      </c>
      <c r="L3543" s="1" t="s">
        <v>3608</v>
      </c>
      <c r="M3543" s="1"/>
    </row>
    <row x14ac:dyDescent="0.25" r="3544" customHeight="1" ht="18.75">
      <c r="A3544" s="1" t="s">
        <v>3617</v>
      </c>
      <c r="B3544" s="1" t="s">
        <v>13485</v>
      </c>
      <c r="C3544" s="1" t="s">
        <v>3619</v>
      </c>
      <c r="D3544" s="1" t="s">
        <v>3695</v>
      </c>
      <c r="E3544" s="1" t="s">
        <v>3611</v>
      </c>
      <c r="F3544" s="1" t="s">
        <v>13520</v>
      </c>
      <c r="G3544" s="1" t="s">
        <v>13487</v>
      </c>
      <c r="H3544" s="1" t="s">
        <v>3604</v>
      </c>
      <c r="I3544" s="1" t="s">
        <v>13521</v>
      </c>
      <c r="J3544" s="1" t="s">
        <v>3606</v>
      </c>
      <c r="K3544" s="1" t="s">
        <v>13522</v>
      </c>
      <c r="L3544" s="1" t="s">
        <v>3608</v>
      </c>
      <c r="M3544" s="1"/>
    </row>
    <row x14ac:dyDescent="0.25" r="3545" customHeight="1" ht="18.75">
      <c r="A3545" s="1" t="s">
        <v>3617</v>
      </c>
      <c r="B3545" s="1" t="s">
        <v>13485</v>
      </c>
      <c r="C3545" s="1" t="s">
        <v>3619</v>
      </c>
      <c r="D3545" s="1" t="s">
        <v>3695</v>
      </c>
      <c r="E3545" s="1" t="s">
        <v>3611</v>
      </c>
      <c r="F3545" s="1" t="s">
        <v>13523</v>
      </c>
      <c r="G3545" s="1" t="s">
        <v>13487</v>
      </c>
      <c r="H3545" s="1" t="s">
        <v>3604</v>
      </c>
      <c r="I3545" s="1" t="s">
        <v>13524</v>
      </c>
      <c r="J3545" s="1" t="s">
        <v>3606</v>
      </c>
      <c r="K3545" s="1" t="s">
        <v>13525</v>
      </c>
      <c r="L3545" s="1" t="s">
        <v>3608</v>
      </c>
      <c r="M3545" s="1"/>
    </row>
    <row x14ac:dyDescent="0.25" r="3546" customHeight="1" ht="18.75">
      <c r="A3546" s="1" t="s">
        <v>3617</v>
      </c>
      <c r="B3546" s="1" t="s">
        <v>13485</v>
      </c>
      <c r="C3546" s="1" t="s">
        <v>3619</v>
      </c>
      <c r="D3546" s="1" t="s">
        <v>3601</v>
      </c>
      <c r="E3546" s="1" t="s">
        <v>3664</v>
      </c>
      <c r="F3546" s="1" t="s">
        <v>13526</v>
      </c>
      <c r="G3546" s="1" t="s">
        <v>13500</v>
      </c>
      <c r="H3546" s="1" t="s">
        <v>3604</v>
      </c>
      <c r="I3546" s="1" t="s">
        <v>13527</v>
      </c>
      <c r="J3546" s="1" t="s">
        <v>3606</v>
      </c>
      <c r="K3546" s="1" t="s">
        <v>13528</v>
      </c>
      <c r="L3546" s="1"/>
      <c r="M3546" s="1"/>
    </row>
    <row x14ac:dyDescent="0.25" r="3547" customHeight="1" ht="18.75">
      <c r="A3547" s="1" t="s">
        <v>3617</v>
      </c>
      <c r="B3547" s="1" t="s">
        <v>13485</v>
      </c>
      <c r="C3547" s="1" t="s">
        <v>3619</v>
      </c>
      <c r="D3547" s="1" t="s">
        <v>3601</v>
      </c>
      <c r="E3547" s="1" t="s">
        <v>3664</v>
      </c>
      <c r="F3547" s="1" t="s">
        <v>13529</v>
      </c>
      <c r="G3547" s="1" t="s">
        <v>13500</v>
      </c>
      <c r="H3547" s="1" t="s">
        <v>3604</v>
      </c>
      <c r="I3547" s="1" t="s">
        <v>13530</v>
      </c>
      <c r="J3547" s="1" t="s">
        <v>3606</v>
      </c>
      <c r="K3547" s="1"/>
      <c r="L3547" s="1"/>
      <c r="M3547" s="1"/>
    </row>
    <row x14ac:dyDescent="0.25" r="3548" customHeight="1" ht="18.75">
      <c r="A3548" s="1" t="s">
        <v>3617</v>
      </c>
      <c r="B3548" s="1" t="s">
        <v>13485</v>
      </c>
      <c r="C3548" s="1" t="s">
        <v>3619</v>
      </c>
      <c r="D3548" s="1" t="s">
        <v>3601</v>
      </c>
      <c r="E3548" s="1" t="s">
        <v>3664</v>
      </c>
      <c r="F3548" s="1" t="s">
        <v>13531</v>
      </c>
      <c r="G3548" s="1" t="s">
        <v>13500</v>
      </c>
      <c r="H3548" s="1" t="s">
        <v>3604</v>
      </c>
      <c r="I3548" s="1" t="s">
        <v>13532</v>
      </c>
      <c r="J3548" s="1" t="s">
        <v>3606</v>
      </c>
      <c r="K3548" s="1"/>
      <c r="L3548" s="1"/>
      <c r="M3548" s="1"/>
    </row>
    <row x14ac:dyDescent="0.25" r="3549" customHeight="1" ht="18.75">
      <c r="A3549" s="1" t="s">
        <v>3617</v>
      </c>
      <c r="B3549" s="1" t="s">
        <v>13485</v>
      </c>
      <c r="C3549" s="1" t="s">
        <v>3619</v>
      </c>
      <c r="D3549" s="1" t="s">
        <v>3601</v>
      </c>
      <c r="E3549" s="1" t="s">
        <v>3664</v>
      </c>
      <c r="F3549" s="1" t="s">
        <v>13533</v>
      </c>
      <c r="G3549" s="1" t="s">
        <v>13500</v>
      </c>
      <c r="H3549" s="1" t="s">
        <v>3604</v>
      </c>
      <c r="I3549" s="1" t="s">
        <v>13534</v>
      </c>
      <c r="J3549" s="1" t="s">
        <v>3606</v>
      </c>
      <c r="K3549" s="1" t="s">
        <v>13535</v>
      </c>
      <c r="L3549" s="1"/>
      <c r="M3549" s="1"/>
    </row>
    <row x14ac:dyDescent="0.25" r="3550" customHeight="1" ht="18.75">
      <c r="A3550" s="1" t="s">
        <v>3617</v>
      </c>
      <c r="B3550" s="1" t="s">
        <v>13485</v>
      </c>
      <c r="C3550" s="1" t="s">
        <v>3619</v>
      </c>
      <c r="D3550" s="1" t="s">
        <v>3601</v>
      </c>
      <c r="E3550" s="1" t="s">
        <v>3664</v>
      </c>
      <c r="F3550" s="1" t="s">
        <v>13536</v>
      </c>
      <c r="G3550" s="1" t="s">
        <v>13500</v>
      </c>
      <c r="H3550" s="1" t="s">
        <v>3604</v>
      </c>
      <c r="I3550" s="1" t="s">
        <v>13537</v>
      </c>
      <c r="J3550" s="1" t="s">
        <v>3606</v>
      </c>
      <c r="K3550" s="1" t="s">
        <v>12400</v>
      </c>
      <c r="L3550" s="1"/>
      <c r="M3550" s="1"/>
    </row>
    <row x14ac:dyDescent="0.25" r="3551" customHeight="1" ht="18.75">
      <c r="A3551" s="1" t="s">
        <v>3617</v>
      </c>
      <c r="B3551" s="1" t="s">
        <v>13485</v>
      </c>
      <c r="C3551" s="1" t="s">
        <v>3619</v>
      </c>
      <c r="D3551" s="1" t="s">
        <v>3601</v>
      </c>
      <c r="E3551" s="1" t="s">
        <v>3664</v>
      </c>
      <c r="F3551" s="1" t="s">
        <v>13538</v>
      </c>
      <c r="G3551" s="1" t="s">
        <v>13539</v>
      </c>
      <c r="H3551" s="1" t="s">
        <v>3604</v>
      </c>
      <c r="I3551" s="1" t="s">
        <v>13540</v>
      </c>
      <c r="J3551" s="1" t="s">
        <v>3606</v>
      </c>
      <c r="K3551" s="1" t="s">
        <v>13541</v>
      </c>
      <c r="L3551" s="1"/>
      <c r="M3551" s="1"/>
    </row>
    <row x14ac:dyDescent="0.25" r="3552" customHeight="1" ht="18.75">
      <c r="A3552" s="1" t="s">
        <v>3617</v>
      </c>
      <c r="B3552" s="1" t="s">
        <v>13485</v>
      </c>
      <c r="C3552" s="1" t="s">
        <v>3619</v>
      </c>
      <c r="D3552" s="1" t="s">
        <v>3601</v>
      </c>
      <c r="E3552" s="1" t="s">
        <v>3664</v>
      </c>
      <c r="F3552" s="1" t="s">
        <v>13542</v>
      </c>
      <c r="G3552" s="1" t="s">
        <v>13543</v>
      </c>
      <c r="H3552" s="1" t="s">
        <v>3604</v>
      </c>
      <c r="I3552" s="1" t="s">
        <v>13544</v>
      </c>
      <c r="J3552" s="1" t="s">
        <v>3606</v>
      </c>
      <c r="K3552" s="1" t="s">
        <v>13545</v>
      </c>
      <c r="L3552" s="1"/>
      <c r="M3552" s="1"/>
    </row>
    <row x14ac:dyDescent="0.25" r="3553" customHeight="1" ht="18.75">
      <c r="A3553" s="1" t="s">
        <v>3617</v>
      </c>
      <c r="B3553" s="1" t="s">
        <v>13485</v>
      </c>
      <c r="C3553" s="1" t="s">
        <v>3619</v>
      </c>
      <c r="D3553" s="1" t="s">
        <v>3601</v>
      </c>
      <c r="E3553" s="1" t="s">
        <v>3664</v>
      </c>
      <c r="F3553" s="1" t="s">
        <v>13546</v>
      </c>
      <c r="G3553" s="1" t="s">
        <v>13547</v>
      </c>
      <c r="H3553" s="1" t="s">
        <v>3604</v>
      </c>
      <c r="I3553" s="1" t="s">
        <v>13548</v>
      </c>
      <c r="J3553" s="1" t="s">
        <v>3606</v>
      </c>
      <c r="K3553" s="1" t="s">
        <v>13549</v>
      </c>
      <c r="L3553" s="1"/>
      <c r="M3553" s="1"/>
    </row>
    <row x14ac:dyDescent="0.25" r="3554" customHeight="1" ht="18.75">
      <c r="A3554" s="1" t="s">
        <v>3617</v>
      </c>
      <c r="B3554" s="1" t="s">
        <v>13485</v>
      </c>
      <c r="C3554" s="1" t="s">
        <v>3619</v>
      </c>
      <c r="D3554" s="1" t="s">
        <v>3601</v>
      </c>
      <c r="E3554" s="1" t="s">
        <v>3664</v>
      </c>
      <c r="F3554" s="1" t="s">
        <v>13550</v>
      </c>
      <c r="G3554" s="1" t="s">
        <v>13551</v>
      </c>
      <c r="H3554" s="1" t="s">
        <v>3604</v>
      </c>
      <c r="I3554" s="1" t="s">
        <v>13552</v>
      </c>
      <c r="J3554" s="1" t="s">
        <v>3606</v>
      </c>
      <c r="K3554" s="1" t="s">
        <v>13553</v>
      </c>
      <c r="L3554" s="1"/>
      <c r="M3554" s="1"/>
    </row>
    <row x14ac:dyDescent="0.25" r="3555" customHeight="1" ht="18.75">
      <c r="A3555" s="1" t="s">
        <v>3617</v>
      </c>
      <c r="B3555" s="1" t="s">
        <v>13485</v>
      </c>
      <c r="C3555" s="1" t="s">
        <v>3619</v>
      </c>
      <c r="D3555" s="1" t="s">
        <v>3601</v>
      </c>
      <c r="E3555" s="1" t="s">
        <v>3664</v>
      </c>
      <c r="F3555" s="1" t="s">
        <v>13554</v>
      </c>
      <c r="G3555" s="1" t="s">
        <v>13487</v>
      </c>
      <c r="H3555" s="1" t="s">
        <v>3604</v>
      </c>
      <c r="I3555" s="1" t="s">
        <v>13555</v>
      </c>
      <c r="J3555" s="1" t="s">
        <v>3606</v>
      </c>
      <c r="K3555" s="1" t="s">
        <v>13556</v>
      </c>
      <c r="L3555" s="1"/>
      <c r="M3555" s="1"/>
    </row>
    <row x14ac:dyDescent="0.25" r="3556" customHeight="1" ht="18.75">
      <c r="A3556" s="1" t="s">
        <v>3617</v>
      </c>
      <c r="B3556" s="1" t="s">
        <v>13485</v>
      </c>
      <c r="C3556" s="1" t="s">
        <v>3619</v>
      </c>
      <c r="D3556" s="1" t="s">
        <v>3601</v>
      </c>
      <c r="E3556" s="1" t="s">
        <v>3664</v>
      </c>
      <c r="F3556" s="1" t="s">
        <v>13557</v>
      </c>
      <c r="G3556" s="1" t="s">
        <v>13558</v>
      </c>
      <c r="H3556" s="1" t="s">
        <v>3604</v>
      </c>
      <c r="I3556" s="1" t="s">
        <v>13559</v>
      </c>
      <c r="J3556" s="1" t="s">
        <v>3606</v>
      </c>
      <c r="K3556" s="1" t="s">
        <v>13560</v>
      </c>
      <c r="L3556" s="1"/>
      <c r="M3556" s="1"/>
    </row>
    <row x14ac:dyDescent="0.25" r="3557" customHeight="1" ht="18.75">
      <c r="A3557" s="1" t="s">
        <v>3617</v>
      </c>
      <c r="B3557" s="1" t="s">
        <v>13485</v>
      </c>
      <c r="C3557" s="1" t="s">
        <v>3619</v>
      </c>
      <c r="D3557" s="1" t="s">
        <v>3601</v>
      </c>
      <c r="E3557" s="1" t="s">
        <v>3664</v>
      </c>
      <c r="F3557" s="1" t="s">
        <v>13561</v>
      </c>
      <c r="G3557" s="1" t="s">
        <v>13562</v>
      </c>
      <c r="H3557" s="1" t="s">
        <v>3604</v>
      </c>
      <c r="I3557" s="1" t="s">
        <v>13563</v>
      </c>
      <c r="J3557" s="1" t="s">
        <v>3606</v>
      </c>
      <c r="K3557" s="1" t="s">
        <v>13564</v>
      </c>
      <c r="L3557" s="1"/>
      <c r="M3557" s="1"/>
    </row>
    <row x14ac:dyDescent="0.25" r="3558" customHeight="1" ht="18.75">
      <c r="A3558" s="1" t="s">
        <v>3617</v>
      </c>
      <c r="B3558" s="1" t="s">
        <v>13485</v>
      </c>
      <c r="C3558" s="1" t="s">
        <v>3619</v>
      </c>
      <c r="D3558" s="1" t="s">
        <v>3601</v>
      </c>
      <c r="E3558" s="1" t="s">
        <v>3664</v>
      </c>
      <c r="F3558" s="1" t="s">
        <v>13565</v>
      </c>
      <c r="G3558" s="1" t="s">
        <v>13566</v>
      </c>
      <c r="H3558" s="1" t="s">
        <v>3604</v>
      </c>
      <c r="I3558" s="1" t="s">
        <v>13567</v>
      </c>
      <c r="J3558" s="1" t="s">
        <v>3606</v>
      </c>
      <c r="K3558" s="1" t="s">
        <v>13568</v>
      </c>
      <c r="L3558" s="1"/>
      <c r="M3558" s="1"/>
    </row>
    <row x14ac:dyDescent="0.25" r="3559" customHeight="1" ht="18.75">
      <c r="A3559" s="1" t="s">
        <v>3617</v>
      </c>
      <c r="B3559" s="1" t="s">
        <v>13485</v>
      </c>
      <c r="C3559" s="1" t="s">
        <v>3619</v>
      </c>
      <c r="D3559" s="1" t="s">
        <v>3601</v>
      </c>
      <c r="E3559" s="1" t="s">
        <v>3664</v>
      </c>
      <c r="F3559" s="1" t="s">
        <v>13569</v>
      </c>
      <c r="G3559" s="1" t="s">
        <v>11945</v>
      </c>
      <c r="H3559" s="1" t="s">
        <v>3604</v>
      </c>
      <c r="I3559" s="1" t="s">
        <v>13570</v>
      </c>
      <c r="J3559" s="1" t="s">
        <v>3606</v>
      </c>
      <c r="K3559" s="1" t="s">
        <v>13571</v>
      </c>
      <c r="L3559" s="1"/>
      <c r="M3559" s="1"/>
    </row>
    <row x14ac:dyDescent="0.25" r="3560" customHeight="1" ht="18.75">
      <c r="A3560" s="1" t="s">
        <v>3617</v>
      </c>
      <c r="B3560" s="1" t="s">
        <v>13485</v>
      </c>
      <c r="C3560" s="1" t="s">
        <v>3619</v>
      </c>
      <c r="D3560" s="1" t="s">
        <v>3601</v>
      </c>
      <c r="E3560" s="1" t="s">
        <v>3664</v>
      </c>
      <c r="F3560" s="1" t="s">
        <v>13572</v>
      </c>
      <c r="G3560" s="1" t="s">
        <v>11938</v>
      </c>
      <c r="H3560" s="1" t="s">
        <v>3604</v>
      </c>
      <c r="I3560" s="1" t="s">
        <v>13573</v>
      </c>
      <c r="J3560" s="1" t="s">
        <v>3606</v>
      </c>
      <c r="K3560" s="1" t="s">
        <v>13574</v>
      </c>
      <c r="L3560" s="1"/>
      <c r="M3560" s="1"/>
    </row>
    <row x14ac:dyDescent="0.25" r="3561" customHeight="1" ht="18.75">
      <c r="A3561" s="1" t="s">
        <v>3617</v>
      </c>
      <c r="B3561" s="1" t="s">
        <v>13485</v>
      </c>
      <c r="C3561" s="1" t="s">
        <v>3619</v>
      </c>
      <c r="D3561" s="1" t="s">
        <v>3601</v>
      </c>
      <c r="E3561" s="1" t="s">
        <v>3664</v>
      </c>
      <c r="F3561" s="1" t="s">
        <v>13575</v>
      </c>
      <c r="G3561" s="1" t="s">
        <v>13500</v>
      </c>
      <c r="H3561" s="1" t="s">
        <v>3604</v>
      </c>
      <c r="I3561" s="1" t="s">
        <v>13576</v>
      </c>
      <c r="J3561" s="1" t="s">
        <v>3606</v>
      </c>
      <c r="K3561" s="1" t="s">
        <v>13577</v>
      </c>
      <c r="L3561" s="1"/>
      <c r="M3561" s="1"/>
    </row>
    <row x14ac:dyDescent="0.25" r="3562" customHeight="1" ht="18.75">
      <c r="A3562" s="1" t="s">
        <v>3617</v>
      </c>
      <c r="B3562" s="1" t="s">
        <v>13485</v>
      </c>
      <c r="C3562" s="1" t="s">
        <v>3619</v>
      </c>
      <c r="D3562" s="1" t="s">
        <v>3601</v>
      </c>
      <c r="E3562" s="1" t="s">
        <v>3664</v>
      </c>
      <c r="F3562" s="1" t="s">
        <v>11937</v>
      </c>
      <c r="G3562" s="1" t="s">
        <v>11938</v>
      </c>
      <c r="H3562" s="1" t="s">
        <v>3604</v>
      </c>
      <c r="I3562" s="1" t="s">
        <v>13578</v>
      </c>
      <c r="J3562" s="1" t="s">
        <v>3606</v>
      </c>
      <c r="K3562" s="1" t="s">
        <v>11940</v>
      </c>
      <c r="L3562" s="1"/>
      <c r="M3562" s="1"/>
    </row>
    <row x14ac:dyDescent="0.25" r="3563" customHeight="1" ht="18.75">
      <c r="A3563" s="1" t="s">
        <v>3617</v>
      </c>
      <c r="B3563" s="1" t="s">
        <v>13485</v>
      </c>
      <c r="C3563" s="1" t="s">
        <v>3619</v>
      </c>
      <c r="D3563" s="1" t="s">
        <v>3601</v>
      </c>
      <c r="E3563" s="1" t="s">
        <v>3664</v>
      </c>
      <c r="F3563" s="1" t="s">
        <v>11941</v>
      </c>
      <c r="G3563" s="1" t="s">
        <v>11938</v>
      </c>
      <c r="H3563" s="1" t="s">
        <v>3604</v>
      </c>
      <c r="I3563" s="1" t="s">
        <v>13579</v>
      </c>
      <c r="J3563" s="1" t="s">
        <v>3606</v>
      </c>
      <c r="K3563" s="1" t="s">
        <v>11943</v>
      </c>
      <c r="L3563" s="1"/>
      <c r="M3563" s="1"/>
    </row>
    <row x14ac:dyDescent="0.25" r="3564" customHeight="1" ht="18.75">
      <c r="A3564" s="1" t="s">
        <v>3617</v>
      </c>
      <c r="B3564" s="1" t="s">
        <v>13485</v>
      </c>
      <c r="C3564" s="1" t="s">
        <v>3619</v>
      </c>
      <c r="D3564" s="1" t="s">
        <v>3601</v>
      </c>
      <c r="E3564" s="1" t="s">
        <v>3664</v>
      </c>
      <c r="F3564" s="1" t="s">
        <v>13580</v>
      </c>
      <c r="G3564" s="1" t="s">
        <v>13539</v>
      </c>
      <c r="H3564" s="1" t="s">
        <v>3604</v>
      </c>
      <c r="I3564" s="1" t="s">
        <v>13581</v>
      </c>
      <c r="J3564" s="1" t="s">
        <v>3606</v>
      </c>
      <c r="K3564" s="1" t="s">
        <v>13582</v>
      </c>
      <c r="L3564" s="1"/>
      <c r="M3564" s="1"/>
    </row>
    <row x14ac:dyDescent="0.25" r="3565" customHeight="1" ht="18.75">
      <c r="A3565" s="1" t="s">
        <v>3617</v>
      </c>
      <c r="B3565" s="1" t="s">
        <v>13485</v>
      </c>
      <c r="C3565" s="1" t="s">
        <v>3619</v>
      </c>
      <c r="D3565" s="1" t="s">
        <v>3601</v>
      </c>
      <c r="E3565" s="1" t="s">
        <v>3664</v>
      </c>
      <c r="F3565" s="1" t="s">
        <v>13583</v>
      </c>
      <c r="G3565" s="1" t="s">
        <v>13539</v>
      </c>
      <c r="H3565" s="1" t="s">
        <v>3604</v>
      </c>
      <c r="I3565" s="1" t="s">
        <v>13584</v>
      </c>
      <c r="J3565" s="1" t="s">
        <v>3606</v>
      </c>
      <c r="K3565" s="1" t="s">
        <v>13585</v>
      </c>
      <c r="L3565" s="1"/>
      <c r="M3565" s="1"/>
    </row>
    <row x14ac:dyDescent="0.25" r="3566" customHeight="1" ht="18.75">
      <c r="A3566" s="1" t="s">
        <v>3617</v>
      </c>
      <c r="B3566" s="1" t="s">
        <v>13485</v>
      </c>
      <c r="C3566" s="1" t="s">
        <v>3619</v>
      </c>
      <c r="D3566" s="1" t="s">
        <v>3601</v>
      </c>
      <c r="E3566" s="1" t="s">
        <v>3664</v>
      </c>
      <c r="F3566" s="1" t="s">
        <v>13586</v>
      </c>
      <c r="G3566" s="1" t="s">
        <v>13543</v>
      </c>
      <c r="H3566" s="1" t="s">
        <v>3604</v>
      </c>
      <c r="I3566" s="1" t="s">
        <v>13587</v>
      </c>
      <c r="J3566" s="1" t="s">
        <v>3606</v>
      </c>
      <c r="K3566" s="1" t="s">
        <v>13588</v>
      </c>
      <c r="L3566" s="1"/>
      <c r="M3566" s="1"/>
    </row>
    <row x14ac:dyDescent="0.25" r="3567" customHeight="1" ht="18.75">
      <c r="A3567" s="1" t="s">
        <v>3617</v>
      </c>
      <c r="B3567" s="1" t="s">
        <v>13485</v>
      </c>
      <c r="C3567" s="1" t="s">
        <v>3619</v>
      </c>
      <c r="D3567" s="1" t="s">
        <v>3601</v>
      </c>
      <c r="E3567" s="1" t="s">
        <v>3664</v>
      </c>
      <c r="F3567" s="1" t="s">
        <v>13589</v>
      </c>
      <c r="G3567" s="1" t="s">
        <v>13543</v>
      </c>
      <c r="H3567" s="1" t="s">
        <v>3604</v>
      </c>
      <c r="I3567" s="1" t="s">
        <v>13590</v>
      </c>
      <c r="J3567" s="1" t="s">
        <v>3606</v>
      </c>
      <c r="K3567" s="1" t="s">
        <v>13591</v>
      </c>
      <c r="L3567" s="1"/>
      <c r="M3567" s="1"/>
    </row>
    <row x14ac:dyDescent="0.25" r="3568" customHeight="1" ht="18.75">
      <c r="A3568" s="1" t="s">
        <v>3617</v>
      </c>
      <c r="B3568" s="1" t="s">
        <v>13485</v>
      </c>
      <c r="C3568" s="1" t="s">
        <v>3619</v>
      </c>
      <c r="D3568" s="1" t="s">
        <v>3601</v>
      </c>
      <c r="E3568" s="1" t="s">
        <v>3981</v>
      </c>
      <c r="F3568" s="1" t="s">
        <v>13592</v>
      </c>
      <c r="G3568" s="1" t="s">
        <v>13593</v>
      </c>
      <c r="H3568" s="1" t="s">
        <v>3604</v>
      </c>
      <c r="I3568" s="1" t="s">
        <v>13594</v>
      </c>
      <c r="J3568" s="1" t="s">
        <v>3606</v>
      </c>
      <c r="K3568" s="1" t="s">
        <v>13595</v>
      </c>
      <c r="L3568" s="1"/>
      <c r="M3568" s="1"/>
    </row>
    <row x14ac:dyDescent="0.25" r="3569" customHeight="1" ht="18.75">
      <c r="A3569" s="1" t="s">
        <v>3617</v>
      </c>
      <c r="B3569" s="1" t="s">
        <v>13485</v>
      </c>
      <c r="C3569" s="1" t="s">
        <v>3619</v>
      </c>
      <c r="D3569" s="1" t="s">
        <v>3601</v>
      </c>
      <c r="E3569" s="1" t="s">
        <v>3981</v>
      </c>
      <c r="F3569" s="1" t="s">
        <v>13596</v>
      </c>
      <c r="G3569" s="1" t="s">
        <v>13593</v>
      </c>
      <c r="H3569" s="1" t="s">
        <v>3604</v>
      </c>
      <c r="I3569" s="1" t="s">
        <v>13597</v>
      </c>
      <c r="J3569" s="1" t="s">
        <v>3606</v>
      </c>
      <c r="K3569" s="1" t="s">
        <v>13598</v>
      </c>
      <c r="L3569" s="1"/>
      <c r="M3569" s="1"/>
    </row>
    <row x14ac:dyDescent="0.25" r="3570" customHeight="1" ht="18.75">
      <c r="A3570" s="1" t="s">
        <v>3617</v>
      </c>
      <c r="B3570" s="1" t="s">
        <v>13485</v>
      </c>
      <c r="C3570" s="1" t="s">
        <v>3619</v>
      </c>
      <c r="D3570" s="1" t="s">
        <v>3601</v>
      </c>
      <c r="E3570" s="1" t="s">
        <v>3981</v>
      </c>
      <c r="F3570" s="1" t="s">
        <v>13599</v>
      </c>
      <c r="G3570" s="1" t="s">
        <v>13600</v>
      </c>
      <c r="H3570" s="1" t="s">
        <v>3604</v>
      </c>
      <c r="I3570" s="1" t="s">
        <v>13601</v>
      </c>
      <c r="J3570" s="1" t="s">
        <v>3606</v>
      </c>
      <c r="K3570" s="1" t="s">
        <v>13602</v>
      </c>
      <c r="L3570" s="1"/>
      <c r="M3570" s="1"/>
    </row>
    <row x14ac:dyDescent="0.25" r="3571" customHeight="1" ht="18.75">
      <c r="A3571" s="1" t="s">
        <v>3617</v>
      </c>
      <c r="B3571" s="1" t="s">
        <v>13485</v>
      </c>
      <c r="C3571" s="1" t="s">
        <v>3619</v>
      </c>
      <c r="D3571" s="1" t="s">
        <v>3601</v>
      </c>
      <c r="E3571" s="1" t="s">
        <v>3981</v>
      </c>
      <c r="F3571" s="1" t="s">
        <v>13603</v>
      </c>
      <c r="G3571" s="1" t="s">
        <v>13600</v>
      </c>
      <c r="H3571" s="1" t="s">
        <v>3604</v>
      </c>
      <c r="I3571" s="1" t="s">
        <v>13604</v>
      </c>
      <c r="J3571" s="1" t="s">
        <v>3606</v>
      </c>
      <c r="K3571" s="1" t="s">
        <v>13605</v>
      </c>
      <c r="L3571" s="1"/>
      <c r="M3571" s="1"/>
    </row>
    <row x14ac:dyDescent="0.25" r="3572" customHeight="1" ht="18.75">
      <c r="A3572" s="1" t="s">
        <v>3617</v>
      </c>
      <c r="B3572" s="1" t="s">
        <v>13485</v>
      </c>
      <c r="C3572" s="1" t="s">
        <v>3619</v>
      </c>
      <c r="D3572" s="1" t="s">
        <v>3601</v>
      </c>
      <c r="E3572" s="1" t="s">
        <v>3981</v>
      </c>
      <c r="F3572" s="1" t="s">
        <v>13606</v>
      </c>
      <c r="G3572" s="1" t="s">
        <v>13607</v>
      </c>
      <c r="H3572" s="1" t="s">
        <v>3604</v>
      </c>
      <c r="I3572" s="1" t="s">
        <v>13608</v>
      </c>
      <c r="J3572" s="1" t="s">
        <v>3606</v>
      </c>
      <c r="K3572" s="1" t="s">
        <v>13609</v>
      </c>
      <c r="L3572" s="1"/>
      <c r="M3572" s="1"/>
    </row>
    <row x14ac:dyDescent="0.25" r="3573" customHeight="1" ht="18.75">
      <c r="A3573" s="1" t="s">
        <v>3617</v>
      </c>
      <c r="B3573" s="1" t="s">
        <v>13485</v>
      </c>
      <c r="C3573" s="1" t="s">
        <v>3619</v>
      </c>
      <c r="D3573" s="1" t="s">
        <v>3601</v>
      </c>
      <c r="E3573" s="1" t="s">
        <v>3981</v>
      </c>
      <c r="F3573" s="1" t="s">
        <v>13610</v>
      </c>
      <c r="G3573" s="1" t="s">
        <v>13611</v>
      </c>
      <c r="H3573" s="1" t="s">
        <v>3604</v>
      </c>
      <c r="I3573" s="1" t="s">
        <v>13612</v>
      </c>
      <c r="J3573" s="1" t="s">
        <v>3606</v>
      </c>
      <c r="K3573" s="1" t="s">
        <v>13613</v>
      </c>
      <c r="L3573" s="1"/>
      <c r="M3573" s="1"/>
    </row>
    <row x14ac:dyDescent="0.25" r="3574" customHeight="1" ht="18.75">
      <c r="A3574" s="1" t="s">
        <v>3617</v>
      </c>
      <c r="B3574" s="1" t="s">
        <v>13485</v>
      </c>
      <c r="C3574" s="1" t="s">
        <v>3619</v>
      </c>
      <c r="D3574" s="1" t="s">
        <v>3601</v>
      </c>
      <c r="E3574" s="1" t="s">
        <v>3981</v>
      </c>
      <c r="F3574" s="1" t="s">
        <v>13614</v>
      </c>
      <c r="G3574" s="1" t="s">
        <v>13611</v>
      </c>
      <c r="H3574" s="1" t="s">
        <v>3604</v>
      </c>
      <c r="I3574" s="1" t="s">
        <v>13615</v>
      </c>
      <c r="J3574" s="1" t="s">
        <v>3606</v>
      </c>
      <c r="K3574" s="1" t="s">
        <v>13616</v>
      </c>
      <c r="L3574" s="1"/>
      <c r="M3574" s="1"/>
    </row>
    <row x14ac:dyDescent="0.25" r="3575" customHeight="1" ht="18.75">
      <c r="A3575" s="1" t="s">
        <v>3617</v>
      </c>
      <c r="B3575" s="1" t="s">
        <v>13485</v>
      </c>
      <c r="C3575" s="1" t="s">
        <v>3619</v>
      </c>
      <c r="D3575" s="1" t="s">
        <v>3601</v>
      </c>
      <c r="E3575" s="1" t="s">
        <v>3981</v>
      </c>
      <c r="F3575" s="1" t="s">
        <v>13617</v>
      </c>
      <c r="G3575" s="1" t="s">
        <v>13618</v>
      </c>
      <c r="H3575" s="1" t="s">
        <v>3604</v>
      </c>
      <c r="I3575" s="1" t="s">
        <v>13619</v>
      </c>
      <c r="J3575" s="1" t="s">
        <v>3606</v>
      </c>
      <c r="K3575" s="1" t="s">
        <v>13620</v>
      </c>
      <c r="L3575" s="1"/>
      <c r="M3575" s="1"/>
    </row>
    <row x14ac:dyDescent="0.25" r="3576" customHeight="1" ht="18.75">
      <c r="A3576" s="1" t="s">
        <v>3617</v>
      </c>
      <c r="B3576" s="1" t="s">
        <v>13485</v>
      </c>
      <c r="C3576" s="1" t="s">
        <v>3619</v>
      </c>
      <c r="D3576" s="1" t="s">
        <v>3601</v>
      </c>
      <c r="E3576" s="1" t="s">
        <v>3981</v>
      </c>
      <c r="F3576" s="1" t="s">
        <v>13621</v>
      </c>
      <c r="G3576" s="1" t="s">
        <v>13618</v>
      </c>
      <c r="H3576" s="1" t="s">
        <v>3604</v>
      </c>
      <c r="I3576" s="1" t="s">
        <v>13622</v>
      </c>
      <c r="J3576" s="1" t="s">
        <v>3606</v>
      </c>
      <c r="K3576" s="1" t="s">
        <v>13623</v>
      </c>
      <c r="L3576" s="1"/>
      <c r="M3576" s="1"/>
    </row>
    <row x14ac:dyDescent="0.25" r="3577" customHeight="1" ht="18.75">
      <c r="A3577" s="1" t="s">
        <v>3617</v>
      </c>
      <c r="B3577" s="1" t="s">
        <v>13485</v>
      </c>
      <c r="C3577" s="1" t="s">
        <v>3619</v>
      </c>
      <c r="D3577" s="1" t="s">
        <v>3601</v>
      </c>
      <c r="E3577" s="1" t="s">
        <v>3664</v>
      </c>
      <c r="F3577" s="1" t="s">
        <v>13624</v>
      </c>
      <c r="G3577" s="1" t="s">
        <v>13562</v>
      </c>
      <c r="H3577" s="1" t="s">
        <v>3604</v>
      </c>
      <c r="I3577" s="1" t="s">
        <v>13625</v>
      </c>
      <c r="J3577" s="1" t="s">
        <v>3606</v>
      </c>
      <c r="K3577" s="1" t="s">
        <v>13626</v>
      </c>
      <c r="L3577" s="1"/>
      <c r="M3577" s="1"/>
    </row>
    <row x14ac:dyDescent="0.25" r="3578" customHeight="1" ht="18.75">
      <c r="A3578" s="1" t="s">
        <v>3617</v>
      </c>
      <c r="B3578" s="1" t="s">
        <v>13485</v>
      </c>
      <c r="C3578" s="1" t="s">
        <v>3619</v>
      </c>
      <c r="D3578" s="1" t="s">
        <v>3601</v>
      </c>
      <c r="E3578" s="1" t="s">
        <v>3664</v>
      </c>
      <c r="F3578" s="1" t="s">
        <v>11944</v>
      </c>
      <c r="G3578" s="1" t="s">
        <v>11945</v>
      </c>
      <c r="H3578" s="1" t="s">
        <v>3604</v>
      </c>
      <c r="I3578" s="1" t="s">
        <v>13627</v>
      </c>
      <c r="J3578" s="1" t="s">
        <v>3606</v>
      </c>
      <c r="K3578" s="1" t="s">
        <v>11947</v>
      </c>
      <c r="L3578" s="1"/>
      <c r="M3578" s="1"/>
    </row>
    <row x14ac:dyDescent="0.25" r="3579" customHeight="1" ht="18.75">
      <c r="A3579" s="1" t="s">
        <v>3617</v>
      </c>
      <c r="B3579" s="1" t="s">
        <v>13485</v>
      </c>
      <c r="C3579" s="1" t="s">
        <v>3619</v>
      </c>
      <c r="D3579" s="1" t="s">
        <v>3601</v>
      </c>
      <c r="E3579" s="1" t="s">
        <v>3664</v>
      </c>
      <c r="F3579" s="1" t="s">
        <v>13628</v>
      </c>
      <c r="G3579" s="1" t="s">
        <v>13487</v>
      </c>
      <c r="H3579" s="1" t="s">
        <v>3604</v>
      </c>
      <c r="I3579" s="1" t="s">
        <v>13629</v>
      </c>
      <c r="J3579" s="1" t="s">
        <v>3606</v>
      </c>
      <c r="K3579" s="1" t="s">
        <v>13630</v>
      </c>
      <c r="L3579" s="1"/>
      <c r="M3579" s="1"/>
    </row>
    <row x14ac:dyDescent="0.25" r="3580" customHeight="1" ht="18.75">
      <c r="A3580" s="1" t="s">
        <v>3617</v>
      </c>
      <c r="B3580" s="1" t="s">
        <v>13485</v>
      </c>
      <c r="C3580" s="1" t="s">
        <v>3619</v>
      </c>
      <c r="D3580" s="1" t="s">
        <v>3601</v>
      </c>
      <c r="E3580" s="1" t="s">
        <v>3664</v>
      </c>
      <c r="F3580" s="1" t="s">
        <v>13631</v>
      </c>
      <c r="G3580" s="1" t="s">
        <v>13551</v>
      </c>
      <c r="H3580" s="1" t="s">
        <v>3604</v>
      </c>
      <c r="I3580" s="1" t="s">
        <v>13632</v>
      </c>
      <c r="J3580" s="1" t="s">
        <v>3606</v>
      </c>
      <c r="K3580" s="1" t="s">
        <v>13633</v>
      </c>
      <c r="L3580" s="1"/>
      <c r="M3580" s="1"/>
    </row>
    <row x14ac:dyDescent="0.25" r="3581" customHeight="1" ht="18.75">
      <c r="A3581" s="1" t="s">
        <v>3617</v>
      </c>
      <c r="B3581" s="1" t="s">
        <v>13485</v>
      </c>
      <c r="C3581" s="1" t="s">
        <v>3619</v>
      </c>
      <c r="D3581" s="1" t="s">
        <v>3601</v>
      </c>
      <c r="E3581" s="1" t="s">
        <v>3664</v>
      </c>
      <c r="F3581" s="1" t="s">
        <v>13634</v>
      </c>
      <c r="G3581" s="1" t="s">
        <v>13566</v>
      </c>
      <c r="H3581" s="1" t="s">
        <v>3604</v>
      </c>
      <c r="I3581" s="1" t="s">
        <v>13635</v>
      </c>
      <c r="J3581" s="1" t="s">
        <v>3606</v>
      </c>
      <c r="K3581" s="1" t="s">
        <v>13636</v>
      </c>
      <c r="L3581" s="1"/>
      <c r="M3581" s="1"/>
    </row>
    <row x14ac:dyDescent="0.25" r="3582" customHeight="1" ht="18.75">
      <c r="A3582" s="1" t="s">
        <v>3617</v>
      </c>
      <c r="B3582" s="1" t="s">
        <v>13485</v>
      </c>
      <c r="C3582" s="1" t="s">
        <v>3619</v>
      </c>
      <c r="D3582" s="1" t="s">
        <v>3601</v>
      </c>
      <c r="E3582" s="1" t="s">
        <v>3664</v>
      </c>
      <c r="F3582" s="1" t="s">
        <v>13637</v>
      </c>
      <c r="G3582" s="1" t="s">
        <v>13638</v>
      </c>
      <c r="H3582" s="1" t="s">
        <v>3604</v>
      </c>
      <c r="I3582" s="1" t="s">
        <v>13639</v>
      </c>
      <c r="J3582" s="1" t="s">
        <v>3606</v>
      </c>
      <c r="K3582" s="1" t="s">
        <v>13640</v>
      </c>
      <c r="L3582" s="1"/>
      <c r="M3582" s="1"/>
    </row>
    <row x14ac:dyDescent="0.25" r="3583" customHeight="1" ht="18.75">
      <c r="A3583" s="1" t="s">
        <v>3617</v>
      </c>
      <c r="B3583" s="1" t="s">
        <v>13485</v>
      </c>
      <c r="C3583" s="1" t="s">
        <v>3619</v>
      </c>
      <c r="D3583" s="1" t="s">
        <v>3601</v>
      </c>
      <c r="E3583" s="1" t="s">
        <v>3664</v>
      </c>
      <c r="F3583" s="1" t="s">
        <v>13641</v>
      </c>
      <c r="G3583" s="1" t="s">
        <v>13547</v>
      </c>
      <c r="H3583" s="1" t="s">
        <v>3604</v>
      </c>
      <c r="I3583" s="1" t="s">
        <v>13642</v>
      </c>
      <c r="J3583" s="1" t="s">
        <v>3606</v>
      </c>
      <c r="K3583" s="1" t="s">
        <v>13643</v>
      </c>
      <c r="L3583" s="1"/>
      <c r="M3583" s="1"/>
    </row>
    <row x14ac:dyDescent="0.25" r="3584" customHeight="1" ht="18.75">
      <c r="A3584" s="1" t="s">
        <v>3617</v>
      </c>
      <c r="B3584" s="1" t="s">
        <v>13485</v>
      </c>
      <c r="C3584" s="1" t="s">
        <v>3619</v>
      </c>
      <c r="D3584" s="1" t="s">
        <v>3601</v>
      </c>
      <c r="E3584" s="1" t="s">
        <v>3664</v>
      </c>
      <c r="F3584" s="1" t="s">
        <v>12584</v>
      </c>
      <c r="G3584" s="1" t="s">
        <v>13500</v>
      </c>
      <c r="H3584" s="1" t="s">
        <v>3604</v>
      </c>
      <c r="I3584" s="1" t="s">
        <v>13644</v>
      </c>
      <c r="J3584" s="1" t="s">
        <v>3606</v>
      </c>
      <c r="K3584" s="1" t="s">
        <v>10940</v>
      </c>
      <c r="L3584" s="1"/>
      <c r="M3584" s="1"/>
    </row>
    <row x14ac:dyDescent="0.25" r="3585" customHeight="1" ht="18.75">
      <c r="A3585" s="1" t="s">
        <v>3617</v>
      </c>
      <c r="B3585" s="1" t="s">
        <v>13485</v>
      </c>
      <c r="C3585" s="1" t="s">
        <v>3619</v>
      </c>
      <c r="D3585" s="1" t="s">
        <v>3601</v>
      </c>
      <c r="E3585" s="1" t="s">
        <v>3664</v>
      </c>
      <c r="F3585" s="1" t="s">
        <v>12586</v>
      </c>
      <c r="G3585" s="1" t="s">
        <v>13500</v>
      </c>
      <c r="H3585" s="1" t="s">
        <v>3604</v>
      </c>
      <c r="I3585" s="1" t="s">
        <v>13645</v>
      </c>
      <c r="J3585" s="1" t="s">
        <v>3606</v>
      </c>
      <c r="K3585" s="1" t="s">
        <v>10943</v>
      </c>
      <c r="L3585" s="1"/>
      <c r="M3585" s="1"/>
    </row>
    <row x14ac:dyDescent="0.25" r="3586" customHeight="1" ht="18.75">
      <c r="A3586" s="1" t="s">
        <v>3617</v>
      </c>
      <c r="B3586" s="1" t="s">
        <v>13485</v>
      </c>
      <c r="C3586" s="1" t="s">
        <v>3619</v>
      </c>
      <c r="D3586" s="1" t="s">
        <v>3601</v>
      </c>
      <c r="E3586" s="1" t="s">
        <v>3664</v>
      </c>
      <c r="F3586" s="1" t="s">
        <v>13646</v>
      </c>
      <c r="G3586" s="1" t="s">
        <v>13487</v>
      </c>
      <c r="H3586" s="1" t="s">
        <v>3604</v>
      </c>
      <c r="I3586" s="1" t="s">
        <v>13647</v>
      </c>
      <c r="J3586" s="1" t="s">
        <v>3606</v>
      </c>
      <c r="K3586" s="1" t="s">
        <v>13648</v>
      </c>
      <c r="L3586" s="1"/>
      <c r="M3586" s="1"/>
    </row>
    <row x14ac:dyDescent="0.25" r="3587" customHeight="1" ht="18.75">
      <c r="A3587" s="1" t="s">
        <v>3617</v>
      </c>
      <c r="B3587" s="1" t="s">
        <v>13485</v>
      </c>
      <c r="C3587" s="1" t="s">
        <v>3619</v>
      </c>
      <c r="D3587" s="1" t="s">
        <v>3601</v>
      </c>
      <c r="E3587" s="1" t="s">
        <v>3664</v>
      </c>
      <c r="F3587" s="1" t="s">
        <v>13649</v>
      </c>
      <c r="G3587" s="1" t="s">
        <v>13551</v>
      </c>
      <c r="H3587" s="1" t="s">
        <v>3604</v>
      </c>
      <c r="I3587" s="1" t="s">
        <v>13650</v>
      </c>
      <c r="J3587" s="1" t="s">
        <v>3606</v>
      </c>
      <c r="K3587" s="1" t="s">
        <v>13651</v>
      </c>
      <c r="L3587" s="1"/>
      <c r="M3587" s="1"/>
    </row>
    <row x14ac:dyDescent="0.25" r="3588" customHeight="1" ht="18.75">
      <c r="A3588" s="1" t="s">
        <v>3617</v>
      </c>
      <c r="B3588" s="1" t="s">
        <v>13485</v>
      </c>
      <c r="C3588" s="1" t="s">
        <v>3619</v>
      </c>
      <c r="D3588" s="1" t="s">
        <v>3601</v>
      </c>
      <c r="E3588" s="1" t="s">
        <v>3664</v>
      </c>
      <c r="F3588" s="1" t="s">
        <v>13652</v>
      </c>
      <c r="G3588" s="1" t="s">
        <v>13500</v>
      </c>
      <c r="H3588" s="1" t="s">
        <v>3604</v>
      </c>
      <c r="I3588" s="1" t="s">
        <v>13653</v>
      </c>
      <c r="J3588" s="1" t="s">
        <v>3606</v>
      </c>
      <c r="K3588" s="1" t="s">
        <v>13654</v>
      </c>
      <c r="L3588" s="1"/>
      <c r="M3588" s="1"/>
    </row>
    <row x14ac:dyDescent="0.25" r="3589" customHeight="1" ht="18.75">
      <c r="A3589" s="1" t="s">
        <v>3617</v>
      </c>
      <c r="B3589" s="1" t="s">
        <v>13485</v>
      </c>
      <c r="C3589" s="1" t="s">
        <v>3619</v>
      </c>
      <c r="D3589" s="1" t="s">
        <v>3601</v>
      </c>
      <c r="E3589" s="1" t="s">
        <v>3981</v>
      </c>
      <c r="F3589" s="1" t="s">
        <v>13655</v>
      </c>
      <c r="G3589" s="1" t="s">
        <v>13500</v>
      </c>
      <c r="H3589" s="1" t="s">
        <v>3604</v>
      </c>
      <c r="I3589" s="1" t="s">
        <v>13656</v>
      </c>
      <c r="J3589" s="1" t="s">
        <v>3606</v>
      </c>
      <c r="K3589" s="1" t="s">
        <v>13657</v>
      </c>
      <c r="L3589" s="1"/>
      <c r="M3589" s="1"/>
    </row>
    <row x14ac:dyDescent="0.25" r="3590" customHeight="1" ht="18.75">
      <c r="A3590" s="1" t="s">
        <v>3617</v>
      </c>
      <c r="B3590" s="1" t="s">
        <v>13485</v>
      </c>
      <c r="C3590" s="1" t="s">
        <v>3619</v>
      </c>
      <c r="D3590" s="1" t="s">
        <v>3601</v>
      </c>
      <c r="E3590" s="1" t="s">
        <v>3664</v>
      </c>
      <c r="F3590" s="1" t="s">
        <v>13658</v>
      </c>
      <c r="G3590" s="1" t="s">
        <v>13566</v>
      </c>
      <c r="H3590" s="1" t="s">
        <v>3604</v>
      </c>
      <c r="I3590" s="1" t="s">
        <v>13659</v>
      </c>
      <c r="J3590" s="1" t="s">
        <v>3606</v>
      </c>
      <c r="K3590" s="1" t="s">
        <v>13660</v>
      </c>
      <c r="L3590" s="1"/>
      <c r="M3590" s="1"/>
    </row>
    <row x14ac:dyDescent="0.25" r="3591" customHeight="1" ht="18.75">
      <c r="A3591" s="1" t="s">
        <v>3617</v>
      </c>
      <c r="B3591" s="1" t="s">
        <v>13485</v>
      </c>
      <c r="C3591" s="1" t="s">
        <v>3619</v>
      </c>
      <c r="D3591" s="1" t="s">
        <v>3601</v>
      </c>
      <c r="E3591" s="1" t="s">
        <v>3664</v>
      </c>
      <c r="F3591" s="1" t="s">
        <v>13661</v>
      </c>
      <c r="G3591" s="1" t="s">
        <v>13547</v>
      </c>
      <c r="H3591" s="1" t="s">
        <v>3604</v>
      </c>
      <c r="I3591" s="1" t="s">
        <v>13662</v>
      </c>
      <c r="J3591" s="1" t="s">
        <v>3606</v>
      </c>
      <c r="K3591" s="1" t="s">
        <v>13663</v>
      </c>
      <c r="L3591" s="1"/>
      <c r="M3591" s="1"/>
    </row>
    <row x14ac:dyDescent="0.25" r="3592" customHeight="1" ht="18.75">
      <c r="A3592" s="1" t="s">
        <v>3617</v>
      </c>
      <c r="B3592" s="1" t="s">
        <v>13485</v>
      </c>
      <c r="C3592" s="1" t="s">
        <v>3619</v>
      </c>
      <c r="D3592" s="1" t="s">
        <v>3601</v>
      </c>
      <c r="E3592" s="1" t="s">
        <v>3664</v>
      </c>
      <c r="F3592" s="1" t="s">
        <v>13664</v>
      </c>
      <c r="G3592" s="1" t="s">
        <v>13665</v>
      </c>
      <c r="H3592" s="1" t="s">
        <v>3604</v>
      </c>
      <c r="I3592" s="1" t="s">
        <v>13666</v>
      </c>
      <c r="J3592" s="1" t="s">
        <v>3606</v>
      </c>
      <c r="K3592" s="1" t="s">
        <v>13667</v>
      </c>
      <c r="L3592" s="1"/>
      <c r="M3592" s="1"/>
    </row>
    <row x14ac:dyDescent="0.25" r="3593" customHeight="1" ht="18.75">
      <c r="A3593" s="1" t="s">
        <v>3617</v>
      </c>
      <c r="B3593" s="1" t="s">
        <v>13485</v>
      </c>
      <c r="C3593" s="1" t="s">
        <v>3619</v>
      </c>
      <c r="D3593" s="1" t="s">
        <v>3601</v>
      </c>
      <c r="E3593" s="1" t="s">
        <v>3664</v>
      </c>
      <c r="F3593" s="1" t="s">
        <v>13668</v>
      </c>
      <c r="G3593" s="1" t="s">
        <v>13539</v>
      </c>
      <c r="H3593" s="1" t="s">
        <v>3604</v>
      </c>
      <c r="I3593" s="1" t="s">
        <v>13669</v>
      </c>
      <c r="J3593" s="1" t="s">
        <v>3606</v>
      </c>
      <c r="K3593" s="1" t="s">
        <v>13670</v>
      </c>
      <c r="L3593" s="1"/>
      <c r="M3593" s="1"/>
    </row>
    <row x14ac:dyDescent="0.25" r="3594" customHeight="1" ht="18.75">
      <c r="A3594" s="1" t="s">
        <v>3617</v>
      </c>
      <c r="B3594" s="1" t="s">
        <v>13485</v>
      </c>
      <c r="C3594" s="1" t="s">
        <v>3619</v>
      </c>
      <c r="D3594" s="1" t="s">
        <v>3601</v>
      </c>
      <c r="E3594" s="1" t="s">
        <v>3981</v>
      </c>
      <c r="F3594" s="1" t="s">
        <v>13671</v>
      </c>
      <c r="G3594" s="1" t="s">
        <v>13672</v>
      </c>
      <c r="H3594" s="1" t="s">
        <v>3604</v>
      </c>
      <c r="I3594" s="1" t="s">
        <v>13673</v>
      </c>
      <c r="J3594" s="1" t="s">
        <v>3606</v>
      </c>
      <c r="K3594" s="1" t="s">
        <v>13674</v>
      </c>
      <c r="L3594" s="1"/>
      <c r="M3594" s="1"/>
    </row>
    <row x14ac:dyDescent="0.25" r="3595" customHeight="1" ht="18.75">
      <c r="A3595" s="1" t="s">
        <v>3617</v>
      </c>
      <c r="B3595" s="1" t="s">
        <v>13485</v>
      </c>
      <c r="C3595" s="1" t="s">
        <v>3619</v>
      </c>
      <c r="D3595" s="1" t="s">
        <v>3601</v>
      </c>
      <c r="E3595" s="1" t="s">
        <v>3981</v>
      </c>
      <c r="F3595" s="1" t="s">
        <v>13675</v>
      </c>
      <c r="G3595" s="1" t="s">
        <v>13618</v>
      </c>
      <c r="H3595" s="1" t="s">
        <v>3604</v>
      </c>
      <c r="I3595" s="1" t="s">
        <v>13676</v>
      </c>
      <c r="J3595" s="1" t="s">
        <v>3606</v>
      </c>
      <c r="K3595" s="1" t="s">
        <v>13677</v>
      </c>
      <c r="L3595" s="1"/>
      <c r="M3595" s="1"/>
    </row>
    <row x14ac:dyDescent="0.25" r="3596" customHeight="1" ht="18.75">
      <c r="A3596" s="1" t="s">
        <v>3617</v>
      </c>
      <c r="B3596" s="1" t="s">
        <v>13485</v>
      </c>
      <c r="C3596" s="1" t="s">
        <v>3619</v>
      </c>
      <c r="D3596" s="1" t="s">
        <v>3601</v>
      </c>
      <c r="E3596" s="1" t="s">
        <v>3981</v>
      </c>
      <c r="F3596" s="1" t="s">
        <v>13678</v>
      </c>
      <c r="G3596" s="1" t="s">
        <v>13679</v>
      </c>
      <c r="H3596" s="1" t="s">
        <v>3604</v>
      </c>
      <c r="I3596" s="1" t="s">
        <v>13680</v>
      </c>
      <c r="J3596" s="1" t="s">
        <v>3606</v>
      </c>
      <c r="K3596" s="1" t="s">
        <v>13681</v>
      </c>
      <c r="L3596" s="1"/>
      <c r="M3596" s="1"/>
    </row>
    <row x14ac:dyDescent="0.25" r="3597" customHeight="1" ht="18.75">
      <c r="A3597" s="1" t="s">
        <v>3617</v>
      </c>
      <c r="B3597" s="1" t="s">
        <v>13485</v>
      </c>
      <c r="C3597" s="1" t="s">
        <v>3619</v>
      </c>
      <c r="D3597" s="1" t="s">
        <v>3601</v>
      </c>
      <c r="E3597" s="1" t="s">
        <v>3981</v>
      </c>
      <c r="F3597" s="1" t="s">
        <v>13682</v>
      </c>
      <c r="G3597" s="1" t="s">
        <v>13593</v>
      </c>
      <c r="H3597" s="1" t="s">
        <v>3604</v>
      </c>
      <c r="I3597" s="1" t="s">
        <v>13683</v>
      </c>
      <c r="J3597" s="1" t="s">
        <v>3606</v>
      </c>
      <c r="K3597" s="1" t="s">
        <v>13684</v>
      </c>
      <c r="L3597" s="1"/>
      <c r="M3597" s="1"/>
    </row>
    <row x14ac:dyDescent="0.25" r="3598" customHeight="1" ht="18.75">
      <c r="A3598" s="1" t="s">
        <v>3617</v>
      </c>
      <c r="B3598" s="1" t="s">
        <v>13485</v>
      </c>
      <c r="C3598" s="1" t="s">
        <v>3619</v>
      </c>
      <c r="D3598" s="1" t="s">
        <v>3601</v>
      </c>
      <c r="E3598" s="1" t="s">
        <v>3981</v>
      </c>
      <c r="F3598" s="1" t="s">
        <v>13685</v>
      </c>
      <c r="G3598" s="1" t="s">
        <v>13607</v>
      </c>
      <c r="H3598" s="1" t="s">
        <v>3604</v>
      </c>
      <c r="I3598" s="1" t="s">
        <v>13686</v>
      </c>
      <c r="J3598" s="1" t="s">
        <v>3606</v>
      </c>
      <c r="K3598" s="1" t="s">
        <v>13687</v>
      </c>
      <c r="L3598" s="1"/>
      <c r="M3598" s="1"/>
    </row>
    <row x14ac:dyDescent="0.25" r="3599" customHeight="1" ht="18.75">
      <c r="A3599" s="1" t="s">
        <v>3617</v>
      </c>
      <c r="B3599" s="1" t="s">
        <v>13485</v>
      </c>
      <c r="C3599" s="1" t="s">
        <v>3619</v>
      </c>
      <c r="D3599" s="1" t="s">
        <v>3601</v>
      </c>
      <c r="E3599" s="1" t="s">
        <v>3664</v>
      </c>
      <c r="F3599" s="1" t="s">
        <v>13688</v>
      </c>
      <c r="G3599" s="1" t="s">
        <v>11945</v>
      </c>
      <c r="H3599" s="1" t="s">
        <v>3604</v>
      </c>
      <c r="I3599" s="1" t="s">
        <v>13689</v>
      </c>
      <c r="J3599" s="1" t="s">
        <v>3606</v>
      </c>
      <c r="K3599" s="1" t="s">
        <v>13690</v>
      </c>
      <c r="L3599" s="1"/>
      <c r="M3599" s="1"/>
    </row>
    <row x14ac:dyDescent="0.25" r="3600" customHeight="1" ht="18.75">
      <c r="A3600" s="1" t="s">
        <v>3617</v>
      </c>
      <c r="B3600" s="1" t="s">
        <v>13485</v>
      </c>
      <c r="C3600" s="1" t="s">
        <v>3619</v>
      </c>
      <c r="D3600" s="1" t="s">
        <v>3601</v>
      </c>
      <c r="E3600" s="1" t="s">
        <v>3664</v>
      </c>
      <c r="F3600" s="1" t="s">
        <v>13691</v>
      </c>
      <c r="G3600" s="1" t="s">
        <v>11938</v>
      </c>
      <c r="H3600" s="1" t="s">
        <v>3604</v>
      </c>
      <c r="I3600" s="1" t="s">
        <v>13692</v>
      </c>
      <c r="J3600" s="1" t="s">
        <v>3606</v>
      </c>
      <c r="K3600" s="1" t="s">
        <v>13693</v>
      </c>
      <c r="L3600" s="1"/>
      <c r="M3600" s="1"/>
    </row>
    <row x14ac:dyDescent="0.25" r="3601" customHeight="1" ht="18.75">
      <c r="A3601" s="1" t="s">
        <v>3617</v>
      </c>
      <c r="B3601" s="1" t="s">
        <v>13485</v>
      </c>
      <c r="C3601" s="1" t="s">
        <v>3619</v>
      </c>
      <c r="D3601" s="1" t="s">
        <v>3601</v>
      </c>
      <c r="E3601" s="1" t="s">
        <v>3664</v>
      </c>
      <c r="F3601" s="1" t="s">
        <v>13694</v>
      </c>
      <c r="G3601" s="1" t="s">
        <v>13562</v>
      </c>
      <c r="H3601" s="1" t="s">
        <v>3604</v>
      </c>
      <c r="I3601" s="1" t="s">
        <v>13695</v>
      </c>
      <c r="J3601" s="1" t="s">
        <v>3606</v>
      </c>
      <c r="K3601" s="1" t="s">
        <v>13696</v>
      </c>
      <c r="L3601" s="1"/>
      <c r="M3601" s="1"/>
    </row>
    <row x14ac:dyDescent="0.25" r="3602" customHeight="1" ht="18.75">
      <c r="A3602" s="1" t="s">
        <v>3617</v>
      </c>
      <c r="B3602" s="1" t="s">
        <v>13485</v>
      </c>
      <c r="C3602" s="1" t="s">
        <v>3619</v>
      </c>
      <c r="D3602" s="1" t="s">
        <v>3601</v>
      </c>
      <c r="E3602" s="1" t="s">
        <v>3981</v>
      </c>
      <c r="F3602" s="1" t="s">
        <v>13697</v>
      </c>
      <c r="G3602" s="1" t="s">
        <v>13600</v>
      </c>
      <c r="H3602" s="1" t="s">
        <v>3604</v>
      </c>
      <c r="I3602" s="1" t="s">
        <v>13698</v>
      </c>
      <c r="J3602" s="1" t="s">
        <v>3606</v>
      </c>
      <c r="K3602" s="1" t="s">
        <v>13699</v>
      </c>
      <c r="L3602" s="1"/>
      <c r="M3602" s="1"/>
    </row>
    <row x14ac:dyDescent="0.25" r="3603" customHeight="1" ht="18.75">
      <c r="A3603" s="1" t="s">
        <v>3617</v>
      </c>
      <c r="B3603" s="1" t="s">
        <v>13485</v>
      </c>
      <c r="C3603" s="1" t="s">
        <v>3619</v>
      </c>
      <c r="D3603" s="1" t="s">
        <v>3601</v>
      </c>
      <c r="E3603" s="1" t="s">
        <v>3664</v>
      </c>
      <c r="F3603" s="1" t="s">
        <v>13700</v>
      </c>
      <c r="G3603" s="1" t="s">
        <v>13500</v>
      </c>
      <c r="H3603" s="1" t="s">
        <v>3604</v>
      </c>
      <c r="I3603" s="1" t="s">
        <v>13701</v>
      </c>
      <c r="J3603" s="1" t="s">
        <v>3606</v>
      </c>
      <c r="K3603" s="1" t="s">
        <v>7997</v>
      </c>
      <c r="L3603" s="1"/>
      <c r="M3603" s="1"/>
    </row>
    <row x14ac:dyDescent="0.25" r="3604" customHeight="1" ht="18.75">
      <c r="A3604" s="1" t="s">
        <v>3617</v>
      </c>
      <c r="B3604" s="1" t="s">
        <v>13485</v>
      </c>
      <c r="C3604" s="1" t="s">
        <v>3619</v>
      </c>
      <c r="D3604" s="1" t="s">
        <v>3601</v>
      </c>
      <c r="E3604" s="1" t="s">
        <v>3664</v>
      </c>
      <c r="F3604" s="1" t="s">
        <v>13702</v>
      </c>
      <c r="G3604" s="1" t="s">
        <v>13500</v>
      </c>
      <c r="H3604" s="1" t="s">
        <v>3604</v>
      </c>
      <c r="I3604" s="1" t="s">
        <v>13703</v>
      </c>
      <c r="J3604" s="1" t="s">
        <v>3606</v>
      </c>
      <c r="K3604" s="1" t="s">
        <v>7997</v>
      </c>
      <c r="L3604" s="1"/>
      <c r="M3604" s="1"/>
    </row>
    <row x14ac:dyDescent="0.25" r="3605" customHeight="1" ht="18.75">
      <c r="A3605" s="1" t="s">
        <v>3617</v>
      </c>
      <c r="B3605" s="1" t="s">
        <v>13485</v>
      </c>
      <c r="C3605" s="1" t="s">
        <v>3619</v>
      </c>
      <c r="D3605" s="1" t="s">
        <v>3601</v>
      </c>
      <c r="E3605" s="1" t="s">
        <v>3664</v>
      </c>
      <c r="F3605" s="1" t="s">
        <v>13704</v>
      </c>
      <c r="G3605" s="1" t="s">
        <v>13500</v>
      </c>
      <c r="H3605" s="1" t="s">
        <v>3604</v>
      </c>
      <c r="I3605" s="1" t="s">
        <v>13705</v>
      </c>
      <c r="J3605" s="1" t="s">
        <v>3606</v>
      </c>
      <c r="K3605" s="1" t="s">
        <v>7997</v>
      </c>
      <c r="L3605" s="1"/>
      <c r="M3605" s="1"/>
    </row>
    <row x14ac:dyDescent="0.25" r="3606" customHeight="1" ht="18.75">
      <c r="A3606" s="1" t="s">
        <v>3617</v>
      </c>
      <c r="B3606" s="1" t="s">
        <v>13485</v>
      </c>
      <c r="C3606" s="1" t="s">
        <v>3619</v>
      </c>
      <c r="D3606" s="1" t="s">
        <v>3601</v>
      </c>
      <c r="E3606" s="1" t="s">
        <v>3664</v>
      </c>
      <c r="F3606" s="1" t="s">
        <v>13706</v>
      </c>
      <c r="G3606" s="1" t="s">
        <v>11945</v>
      </c>
      <c r="H3606" s="1" t="s">
        <v>3604</v>
      </c>
      <c r="I3606" s="1" t="s">
        <v>13707</v>
      </c>
      <c r="J3606" s="1" t="s">
        <v>3606</v>
      </c>
      <c r="K3606" s="1" t="s">
        <v>11977</v>
      </c>
      <c r="L3606" s="1"/>
      <c r="M3606" s="1"/>
    </row>
    <row x14ac:dyDescent="0.25" r="3607" customHeight="1" ht="18.75">
      <c r="A3607" s="1" t="s">
        <v>3617</v>
      </c>
      <c r="B3607" s="1" t="s">
        <v>13485</v>
      </c>
      <c r="C3607" s="1" t="s">
        <v>3619</v>
      </c>
      <c r="D3607" s="1" t="s">
        <v>3601</v>
      </c>
      <c r="E3607" s="1" t="s">
        <v>3664</v>
      </c>
      <c r="F3607" s="1" t="s">
        <v>13708</v>
      </c>
      <c r="G3607" s="1" t="s">
        <v>13500</v>
      </c>
      <c r="H3607" s="1" t="s">
        <v>3604</v>
      </c>
      <c r="I3607" s="1" t="s">
        <v>13709</v>
      </c>
      <c r="J3607" s="1" t="s">
        <v>3606</v>
      </c>
      <c r="K3607" s="1" t="s">
        <v>13710</v>
      </c>
      <c r="L3607" s="1"/>
      <c r="M3607" s="1"/>
    </row>
    <row x14ac:dyDescent="0.25" r="3608" customHeight="1" ht="18.75">
      <c r="A3608" s="1" t="s">
        <v>3617</v>
      </c>
      <c r="B3608" s="1" t="s">
        <v>13485</v>
      </c>
      <c r="C3608" s="1" t="s">
        <v>3619</v>
      </c>
      <c r="D3608" s="1" t="s">
        <v>3601</v>
      </c>
      <c r="E3608" s="1" t="s">
        <v>3664</v>
      </c>
      <c r="F3608" s="1" t="s">
        <v>13711</v>
      </c>
      <c r="G3608" s="1" t="s">
        <v>13500</v>
      </c>
      <c r="H3608" s="1" t="s">
        <v>3604</v>
      </c>
      <c r="I3608" s="1" t="s">
        <v>13712</v>
      </c>
      <c r="J3608" s="1" t="s">
        <v>3606</v>
      </c>
      <c r="K3608" s="1" t="s">
        <v>13713</v>
      </c>
      <c r="L3608" s="1"/>
      <c r="M3608" s="1"/>
    </row>
    <row x14ac:dyDescent="0.25" r="3609" customHeight="1" ht="18.75">
      <c r="A3609" s="1" t="s">
        <v>3617</v>
      </c>
      <c r="B3609" s="1" t="s">
        <v>13485</v>
      </c>
      <c r="C3609" s="1" t="s">
        <v>3619</v>
      </c>
      <c r="D3609" s="1" t="s">
        <v>3601</v>
      </c>
      <c r="E3609" s="1" t="s">
        <v>3664</v>
      </c>
      <c r="F3609" s="1" t="s">
        <v>13714</v>
      </c>
      <c r="G3609" s="1" t="s">
        <v>13500</v>
      </c>
      <c r="H3609" s="1" t="s">
        <v>3604</v>
      </c>
      <c r="I3609" s="1" t="s">
        <v>13715</v>
      </c>
      <c r="J3609" s="1" t="s">
        <v>3606</v>
      </c>
      <c r="K3609" s="1" t="s">
        <v>13716</v>
      </c>
      <c r="L3609" s="1"/>
      <c r="M3609" s="1"/>
    </row>
    <row x14ac:dyDescent="0.25" r="3610" customHeight="1" ht="18.75">
      <c r="A3610" s="1" t="s">
        <v>3617</v>
      </c>
      <c r="B3610" s="1" t="s">
        <v>13485</v>
      </c>
      <c r="C3610" s="1" t="s">
        <v>3619</v>
      </c>
      <c r="D3610" s="1" t="s">
        <v>3601</v>
      </c>
      <c r="E3610" s="1" t="s">
        <v>3664</v>
      </c>
      <c r="F3610" s="1" t="s">
        <v>13717</v>
      </c>
      <c r="G3610" s="1" t="s">
        <v>13500</v>
      </c>
      <c r="H3610" s="1" t="s">
        <v>3604</v>
      </c>
      <c r="I3610" s="1" t="s">
        <v>13718</v>
      </c>
      <c r="J3610" s="1" t="s">
        <v>3606</v>
      </c>
      <c r="K3610" s="1" t="s">
        <v>13719</v>
      </c>
      <c r="L3610" s="1"/>
      <c r="M3610" s="1"/>
    </row>
    <row x14ac:dyDescent="0.25" r="3611" customHeight="1" ht="18.75">
      <c r="A3611" s="1" t="s">
        <v>3617</v>
      </c>
      <c r="B3611" s="1" t="s">
        <v>13485</v>
      </c>
      <c r="C3611" s="1" t="s">
        <v>3619</v>
      </c>
      <c r="D3611" s="1" t="s">
        <v>3601</v>
      </c>
      <c r="E3611" s="1" t="s">
        <v>3664</v>
      </c>
      <c r="F3611" s="1" t="s">
        <v>13720</v>
      </c>
      <c r="G3611" s="1" t="s">
        <v>13500</v>
      </c>
      <c r="H3611" s="1" t="s">
        <v>3604</v>
      </c>
      <c r="I3611" s="1" t="s">
        <v>13721</v>
      </c>
      <c r="J3611" s="1" t="s">
        <v>3606</v>
      </c>
      <c r="K3611" s="1" t="s">
        <v>13722</v>
      </c>
      <c r="L3611" s="1"/>
      <c r="M3611" s="1"/>
    </row>
    <row x14ac:dyDescent="0.25" r="3612" customHeight="1" ht="18.75">
      <c r="A3612" s="1" t="s">
        <v>3617</v>
      </c>
      <c r="B3612" s="1" t="s">
        <v>13485</v>
      </c>
      <c r="C3612" s="1" t="s">
        <v>3619</v>
      </c>
      <c r="D3612" s="1" t="s">
        <v>3601</v>
      </c>
      <c r="E3612" s="1" t="s">
        <v>3664</v>
      </c>
      <c r="F3612" s="1" t="s">
        <v>13723</v>
      </c>
      <c r="G3612" s="1" t="s">
        <v>13500</v>
      </c>
      <c r="H3612" s="1" t="s">
        <v>3604</v>
      </c>
      <c r="I3612" s="1" t="s">
        <v>13724</v>
      </c>
      <c r="J3612" s="1" t="s">
        <v>3606</v>
      </c>
      <c r="K3612" s="1" t="s">
        <v>13725</v>
      </c>
      <c r="L3612" s="1"/>
      <c r="M3612" s="1"/>
    </row>
    <row x14ac:dyDescent="0.25" r="3613" customHeight="1" ht="18.75">
      <c r="A3613" s="1" t="s">
        <v>3617</v>
      </c>
      <c r="B3613" s="1" t="s">
        <v>5578</v>
      </c>
      <c r="C3613" s="1" t="s">
        <v>3619</v>
      </c>
      <c r="D3613" s="1" t="s">
        <v>7891</v>
      </c>
      <c r="E3613" s="1" t="s">
        <v>3893</v>
      </c>
      <c r="F3613" s="1" t="s">
        <v>13726</v>
      </c>
      <c r="G3613" s="1" t="s">
        <v>11791</v>
      </c>
      <c r="H3613" s="1" t="s">
        <v>3604</v>
      </c>
      <c r="I3613" s="1" t="s">
        <v>13727</v>
      </c>
      <c r="J3613" s="1" t="s">
        <v>3606</v>
      </c>
      <c r="K3613" s="1" t="s">
        <v>13728</v>
      </c>
      <c r="L3613" s="1"/>
      <c r="M3613" s="1"/>
    </row>
    <row x14ac:dyDescent="0.25" r="3614" customHeight="1" ht="18.75">
      <c r="A3614" s="1" t="s">
        <v>3617</v>
      </c>
      <c r="B3614" s="1" t="s">
        <v>4477</v>
      </c>
      <c r="C3614" s="1" t="s">
        <v>3619</v>
      </c>
      <c r="D3614" s="1" t="s">
        <v>3610</v>
      </c>
      <c r="E3614" s="1" t="s">
        <v>4478</v>
      </c>
      <c r="F3614" s="1" t="s">
        <v>13729</v>
      </c>
      <c r="G3614" s="1" t="s">
        <v>4573</v>
      </c>
      <c r="H3614" s="1" t="s">
        <v>3604</v>
      </c>
      <c r="I3614" s="1" t="s">
        <v>13730</v>
      </c>
      <c r="J3614" s="1" t="s">
        <v>3606</v>
      </c>
      <c r="K3614" s="1" t="s">
        <v>13731</v>
      </c>
      <c r="L3614" s="1"/>
      <c r="M3614" s="1"/>
    </row>
    <row x14ac:dyDescent="0.25" r="3615" customHeight="1" ht="18.75">
      <c r="A3615" s="1" t="s">
        <v>3693</v>
      </c>
      <c r="B3615" s="1" t="s">
        <v>10217</v>
      </c>
      <c r="C3615" s="1" t="s">
        <v>3619</v>
      </c>
      <c r="D3615" s="1" t="s">
        <v>7847</v>
      </c>
      <c r="E3615" s="1" t="s">
        <v>3981</v>
      </c>
      <c r="F3615" s="1" t="s">
        <v>13732</v>
      </c>
      <c r="G3615" s="1" t="s">
        <v>13733</v>
      </c>
      <c r="H3615" s="1" t="s">
        <v>3604</v>
      </c>
      <c r="I3615" s="1" t="s">
        <v>13734</v>
      </c>
      <c r="J3615" s="1" t="s">
        <v>3606</v>
      </c>
      <c r="K3615" s="1" t="s">
        <v>13735</v>
      </c>
      <c r="L3615" s="1"/>
      <c r="M3615" s="1"/>
    </row>
    <row x14ac:dyDescent="0.25" r="3616" customHeight="1" ht="18.75">
      <c r="A3616" s="1" t="s">
        <v>3693</v>
      </c>
      <c r="B3616" s="1" t="s">
        <v>4162</v>
      </c>
      <c r="C3616" s="1" t="s">
        <v>3619</v>
      </c>
      <c r="D3616" s="1" t="s">
        <v>8100</v>
      </c>
      <c r="E3616" s="1" t="s">
        <v>3664</v>
      </c>
      <c r="F3616" s="1" t="s">
        <v>13736</v>
      </c>
      <c r="G3616" s="1" t="s">
        <v>13737</v>
      </c>
      <c r="H3616" s="1" t="s">
        <v>3604</v>
      </c>
      <c r="I3616" s="1" t="s">
        <v>13738</v>
      </c>
      <c r="J3616" s="1" t="s">
        <v>3606</v>
      </c>
      <c r="K3616" s="1" t="s">
        <v>13739</v>
      </c>
      <c r="L3616" s="1"/>
      <c r="M3616" s="1"/>
    </row>
    <row x14ac:dyDescent="0.25" r="3617" customHeight="1" ht="18.75">
      <c r="A3617" s="1" t="s">
        <v>3693</v>
      </c>
      <c r="B3617" s="1" t="s">
        <v>4162</v>
      </c>
      <c r="C3617" s="1" t="s">
        <v>3619</v>
      </c>
      <c r="D3617" s="1" t="s">
        <v>8100</v>
      </c>
      <c r="E3617" s="1" t="s">
        <v>3664</v>
      </c>
      <c r="F3617" s="1" t="s">
        <v>13740</v>
      </c>
      <c r="G3617" s="1" t="s">
        <v>9092</v>
      </c>
      <c r="H3617" s="1" t="s">
        <v>3604</v>
      </c>
      <c r="I3617" s="1" t="s">
        <v>13741</v>
      </c>
      <c r="J3617" s="1" t="s">
        <v>3606</v>
      </c>
      <c r="K3617" s="1" t="s">
        <v>13739</v>
      </c>
      <c r="L3617" s="1"/>
      <c r="M3617" s="1"/>
    </row>
    <row x14ac:dyDescent="0.25" r="3618" customHeight="1" ht="18.75">
      <c r="A3618" s="1" t="s">
        <v>3598</v>
      </c>
      <c r="B3618" s="1" t="s">
        <v>13742</v>
      </c>
      <c r="C3618" s="1" t="s">
        <v>3600</v>
      </c>
      <c r="D3618" s="1" t="s">
        <v>8100</v>
      </c>
      <c r="E3618" s="1" t="s">
        <v>3893</v>
      </c>
      <c r="F3618" s="1" t="s">
        <v>13743</v>
      </c>
      <c r="G3618" s="1" t="s">
        <v>13744</v>
      </c>
      <c r="H3618" s="1" t="s">
        <v>3604</v>
      </c>
      <c r="I3618" s="1" t="s">
        <v>13745</v>
      </c>
      <c r="J3618" s="1" t="s">
        <v>3615</v>
      </c>
      <c r="K3618" s="1" t="s">
        <v>13746</v>
      </c>
      <c r="L3618" s="1"/>
      <c r="M3618" s="1"/>
    </row>
    <row x14ac:dyDescent="0.25" r="3619" customHeight="1" ht="18.75">
      <c r="A3619" s="1" t="s">
        <v>3598</v>
      </c>
      <c r="B3619" s="1" t="s">
        <v>13742</v>
      </c>
      <c r="C3619" s="1" t="s">
        <v>3600</v>
      </c>
      <c r="D3619" s="1" t="s">
        <v>8100</v>
      </c>
      <c r="E3619" s="1" t="s">
        <v>3893</v>
      </c>
      <c r="F3619" s="1" t="s">
        <v>13747</v>
      </c>
      <c r="G3619" s="1" t="s">
        <v>8614</v>
      </c>
      <c r="H3619" s="1" t="s">
        <v>3604</v>
      </c>
      <c r="I3619" s="1" t="s">
        <v>13748</v>
      </c>
      <c r="J3619" s="1" t="s">
        <v>3615</v>
      </c>
      <c r="K3619" s="1" t="s">
        <v>13749</v>
      </c>
      <c r="L3619" s="1"/>
      <c r="M3619" s="1"/>
    </row>
    <row x14ac:dyDescent="0.25" r="3620" customHeight="1" ht="18.75">
      <c r="A3620" s="1" t="s">
        <v>3598</v>
      </c>
      <c r="B3620" s="1" t="s">
        <v>13742</v>
      </c>
      <c r="C3620" s="1" t="s">
        <v>3600</v>
      </c>
      <c r="D3620" s="1" t="s">
        <v>8100</v>
      </c>
      <c r="E3620" s="1" t="s">
        <v>3893</v>
      </c>
      <c r="F3620" s="1" t="s">
        <v>13750</v>
      </c>
      <c r="G3620" s="1" t="s">
        <v>13751</v>
      </c>
      <c r="H3620" s="1" t="s">
        <v>3604</v>
      </c>
      <c r="I3620" s="1" t="s">
        <v>13752</v>
      </c>
      <c r="J3620" s="1" t="s">
        <v>3615</v>
      </c>
      <c r="K3620" s="1" t="s">
        <v>13753</v>
      </c>
      <c r="L3620" s="1"/>
      <c r="M3620" s="1"/>
    </row>
    <row x14ac:dyDescent="0.25" r="3621" customHeight="1" ht="18.75">
      <c r="A3621" s="1" t="s">
        <v>7833</v>
      </c>
      <c r="B3621" s="1" t="s">
        <v>13754</v>
      </c>
      <c r="C3621" s="1" t="s">
        <v>3619</v>
      </c>
      <c r="D3621" s="1" t="s">
        <v>8116</v>
      </c>
      <c r="E3621" s="1" t="s">
        <v>3981</v>
      </c>
      <c r="F3621" s="1" t="s">
        <v>13755</v>
      </c>
      <c r="G3621" s="1" t="s">
        <v>13756</v>
      </c>
      <c r="H3621" s="1" t="s">
        <v>3604</v>
      </c>
      <c r="I3621" s="1" t="s">
        <v>13757</v>
      </c>
      <c r="J3621" s="1" t="s">
        <v>3606</v>
      </c>
      <c r="K3621" s="1" t="s">
        <v>8290</v>
      </c>
      <c r="L3621" s="1"/>
      <c r="M3621" s="1"/>
    </row>
    <row x14ac:dyDescent="0.25" r="3622" customHeight="1" ht="18.75">
      <c r="A3622" s="1" t="s">
        <v>3598</v>
      </c>
      <c r="B3622" s="1" t="s">
        <v>13758</v>
      </c>
      <c r="C3622" s="1" t="s">
        <v>3600</v>
      </c>
      <c r="D3622" s="1" t="s">
        <v>8100</v>
      </c>
      <c r="E3622" s="1" t="s">
        <v>3893</v>
      </c>
      <c r="F3622" s="1" t="s">
        <v>13759</v>
      </c>
      <c r="G3622" s="1" t="s">
        <v>3603</v>
      </c>
      <c r="H3622" s="1" t="s">
        <v>3604</v>
      </c>
      <c r="I3622" s="1" t="s">
        <v>13760</v>
      </c>
      <c r="J3622" s="1" t="s">
        <v>3606</v>
      </c>
      <c r="K3622" s="1" t="s">
        <v>13761</v>
      </c>
      <c r="L3622" s="1"/>
      <c r="M3622" s="1"/>
    </row>
    <row x14ac:dyDescent="0.25" r="3623" customHeight="1" ht="18.75">
      <c r="A3623" s="1" t="s">
        <v>7833</v>
      </c>
      <c r="B3623" s="1" t="s">
        <v>8306</v>
      </c>
      <c r="C3623" s="1" t="s">
        <v>4488</v>
      </c>
      <c r="D3623" s="1" t="s">
        <v>7847</v>
      </c>
      <c r="E3623" s="1" t="s">
        <v>8096</v>
      </c>
      <c r="F3623" s="1" t="s">
        <v>13762</v>
      </c>
      <c r="G3623" s="1" t="s">
        <v>13763</v>
      </c>
      <c r="H3623" s="1" t="s">
        <v>3604</v>
      </c>
      <c r="I3623" s="1" t="s">
        <v>13764</v>
      </c>
      <c r="J3623" s="1" t="s">
        <v>3606</v>
      </c>
      <c r="K3623" s="1" t="s">
        <v>8218</v>
      </c>
      <c r="L3623" s="1"/>
      <c r="M3623" s="1"/>
    </row>
    <row x14ac:dyDescent="0.25" r="3624" customHeight="1" ht="18.75">
      <c r="A3624" s="1" t="s">
        <v>3598</v>
      </c>
      <c r="B3624" s="1" t="s">
        <v>13758</v>
      </c>
      <c r="C3624" s="1" t="s">
        <v>3600</v>
      </c>
      <c r="D3624" s="1" t="s">
        <v>8100</v>
      </c>
      <c r="E3624" s="1" t="s">
        <v>3893</v>
      </c>
      <c r="F3624" s="1" t="s">
        <v>13765</v>
      </c>
      <c r="G3624" s="1" t="s">
        <v>13766</v>
      </c>
      <c r="H3624" s="1" t="s">
        <v>3604</v>
      </c>
      <c r="I3624" s="1" t="s">
        <v>13767</v>
      </c>
      <c r="J3624" s="1" t="s">
        <v>3606</v>
      </c>
      <c r="K3624" s="1" t="s">
        <v>13768</v>
      </c>
      <c r="L3624" s="1"/>
      <c r="M3624" s="1"/>
    </row>
    <row x14ac:dyDescent="0.25" r="3625" customHeight="1" ht="18.75">
      <c r="A3625" s="1" t="s">
        <v>7833</v>
      </c>
      <c r="B3625" s="1" t="s">
        <v>8306</v>
      </c>
      <c r="C3625" s="1" t="s">
        <v>4488</v>
      </c>
      <c r="D3625" s="1" t="s">
        <v>7847</v>
      </c>
      <c r="E3625" s="1" t="s">
        <v>8096</v>
      </c>
      <c r="F3625" s="1" t="s">
        <v>13769</v>
      </c>
      <c r="G3625" s="1" t="s">
        <v>13763</v>
      </c>
      <c r="H3625" s="1" t="s">
        <v>3604</v>
      </c>
      <c r="I3625" s="1" t="s">
        <v>13770</v>
      </c>
      <c r="J3625" s="1" t="s">
        <v>3606</v>
      </c>
      <c r="K3625" s="1" t="s">
        <v>8221</v>
      </c>
      <c r="L3625" s="1"/>
      <c r="M3625" s="1"/>
    </row>
    <row x14ac:dyDescent="0.25" r="3626" customHeight="1" ht="18.75">
      <c r="A3626" s="1" t="s">
        <v>7833</v>
      </c>
      <c r="B3626" s="1" t="s">
        <v>8306</v>
      </c>
      <c r="C3626" s="1" t="s">
        <v>4488</v>
      </c>
      <c r="D3626" s="1" t="s">
        <v>7847</v>
      </c>
      <c r="E3626" s="1" t="s">
        <v>8096</v>
      </c>
      <c r="F3626" s="1" t="s">
        <v>13771</v>
      </c>
      <c r="G3626" s="1" t="s">
        <v>13763</v>
      </c>
      <c r="H3626" s="1" t="s">
        <v>3604</v>
      </c>
      <c r="I3626" s="1" t="s">
        <v>13772</v>
      </c>
      <c r="J3626" s="1" t="s">
        <v>3606</v>
      </c>
      <c r="K3626" s="1" t="s">
        <v>8224</v>
      </c>
      <c r="L3626" s="1"/>
      <c r="M3626" s="1"/>
    </row>
    <row x14ac:dyDescent="0.25" r="3627" customHeight="1" ht="18.75">
      <c r="A3627" s="1" t="s">
        <v>7833</v>
      </c>
      <c r="B3627" s="1" t="s">
        <v>8291</v>
      </c>
      <c r="C3627" s="1" t="s">
        <v>4488</v>
      </c>
      <c r="D3627" s="1" t="s">
        <v>8100</v>
      </c>
      <c r="E3627" s="1" t="s">
        <v>8096</v>
      </c>
      <c r="F3627" s="1" t="s">
        <v>13773</v>
      </c>
      <c r="G3627" s="1" t="s">
        <v>13774</v>
      </c>
      <c r="H3627" s="1" t="s">
        <v>3604</v>
      </c>
      <c r="I3627" s="1" t="s">
        <v>13775</v>
      </c>
      <c r="J3627" s="1" t="s">
        <v>3606</v>
      </c>
      <c r="K3627" s="1" t="s">
        <v>8104</v>
      </c>
      <c r="L3627" s="1"/>
      <c r="M3627" s="1"/>
    </row>
    <row x14ac:dyDescent="0.25" r="3628" customHeight="1" ht="18.75">
      <c r="A3628" s="1" t="s">
        <v>7833</v>
      </c>
      <c r="B3628" s="1" t="s">
        <v>8269</v>
      </c>
      <c r="C3628" s="1" t="s">
        <v>4488</v>
      </c>
      <c r="D3628" s="1" t="s">
        <v>7847</v>
      </c>
      <c r="E3628" s="1" t="s">
        <v>8096</v>
      </c>
      <c r="F3628" s="1" t="s">
        <v>13776</v>
      </c>
      <c r="G3628" s="1" t="s">
        <v>13777</v>
      </c>
      <c r="H3628" s="1" t="s">
        <v>3604</v>
      </c>
      <c r="I3628" s="1" t="s">
        <v>13778</v>
      </c>
      <c r="J3628" s="1" t="s">
        <v>3606</v>
      </c>
      <c r="K3628" s="1" t="s">
        <v>13779</v>
      </c>
      <c r="L3628" s="1"/>
      <c r="M3628" s="1"/>
    </row>
    <row x14ac:dyDescent="0.25" r="3629" customHeight="1" ht="18.75">
      <c r="A3629" s="1" t="s">
        <v>3598</v>
      </c>
      <c r="B3629" s="1" t="s">
        <v>6728</v>
      </c>
      <c r="C3629" s="1" t="s">
        <v>3600</v>
      </c>
      <c r="D3629" s="1" t="s">
        <v>3601</v>
      </c>
      <c r="E3629" s="1" t="s">
        <v>3664</v>
      </c>
      <c r="F3629" s="1" t="s">
        <v>13780</v>
      </c>
      <c r="G3629" s="1" t="s">
        <v>13781</v>
      </c>
      <c r="H3629" s="1" t="s">
        <v>3604</v>
      </c>
      <c r="I3629" s="1" t="s">
        <v>13782</v>
      </c>
      <c r="J3629" s="1" t="s">
        <v>3606</v>
      </c>
      <c r="K3629" s="1" t="s">
        <v>13783</v>
      </c>
      <c r="L3629" s="1"/>
      <c r="M3629" s="1"/>
    </row>
    <row x14ac:dyDescent="0.25" r="3630" customHeight="1" ht="18.75">
      <c r="A3630" s="1" t="s">
        <v>3598</v>
      </c>
      <c r="B3630" s="1" t="s">
        <v>6728</v>
      </c>
      <c r="C3630" s="1" t="s">
        <v>3600</v>
      </c>
      <c r="D3630" s="1" t="s">
        <v>3601</v>
      </c>
      <c r="E3630" s="1" t="s">
        <v>3664</v>
      </c>
      <c r="F3630" s="1" t="s">
        <v>13784</v>
      </c>
      <c r="G3630" s="1" t="s">
        <v>13785</v>
      </c>
      <c r="H3630" s="1" t="s">
        <v>3604</v>
      </c>
      <c r="I3630" s="1" t="s">
        <v>13786</v>
      </c>
      <c r="J3630" s="1" t="s">
        <v>3606</v>
      </c>
      <c r="K3630" s="1" t="s">
        <v>13787</v>
      </c>
      <c r="L3630" s="1"/>
      <c r="M3630" s="1"/>
    </row>
    <row x14ac:dyDescent="0.25" r="3631" customHeight="1" ht="18.75">
      <c r="A3631" s="1" t="s">
        <v>3598</v>
      </c>
      <c r="B3631" s="1" t="s">
        <v>5239</v>
      </c>
      <c r="C3631" s="1" t="s">
        <v>3600</v>
      </c>
      <c r="D3631" s="1" t="s">
        <v>3601</v>
      </c>
      <c r="E3631" s="1" t="s">
        <v>3664</v>
      </c>
      <c r="F3631" s="1" t="s">
        <v>13788</v>
      </c>
      <c r="G3631" s="1" t="s">
        <v>13789</v>
      </c>
      <c r="H3631" s="1" t="s">
        <v>3604</v>
      </c>
      <c r="I3631" s="1" t="s">
        <v>13790</v>
      </c>
      <c r="J3631" s="1" t="s">
        <v>3606</v>
      </c>
      <c r="K3631" s="1" t="s">
        <v>13791</v>
      </c>
      <c r="L3631" s="1"/>
      <c r="M3631" s="1"/>
    </row>
    <row x14ac:dyDescent="0.25" r="3632" customHeight="1" ht="18.75">
      <c r="A3632" s="1" t="s">
        <v>3598</v>
      </c>
      <c r="B3632" s="1" t="s">
        <v>5239</v>
      </c>
      <c r="C3632" s="1" t="s">
        <v>3600</v>
      </c>
      <c r="D3632" s="1" t="s">
        <v>3601</v>
      </c>
      <c r="E3632" s="1" t="s">
        <v>3664</v>
      </c>
      <c r="F3632" s="1" t="s">
        <v>13792</v>
      </c>
      <c r="G3632" s="1" t="s">
        <v>13793</v>
      </c>
      <c r="H3632" s="1" t="s">
        <v>3604</v>
      </c>
      <c r="I3632" s="1" t="s">
        <v>13794</v>
      </c>
      <c r="J3632" s="1" t="s">
        <v>3606</v>
      </c>
      <c r="K3632" s="1" t="s">
        <v>13795</v>
      </c>
      <c r="L3632" s="1"/>
      <c r="M3632" s="1"/>
    </row>
    <row x14ac:dyDescent="0.25" r="3633" customHeight="1" ht="18.75">
      <c r="A3633" s="1" t="s">
        <v>3598</v>
      </c>
      <c r="B3633" s="1" t="s">
        <v>5239</v>
      </c>
      <c r="C3633" s="1" t="s">
        <v>3600</v>
      </c>
      <c r="D3633" s="1" t="s">
        <v>3601</v>
      </c>
      <c r="E3633" s="1" t="s">
        <v>3664</v>
      </c>
      <c r="F3633" s="1" t="s">
        <v>13796</v>
      </c>
      <c r="G3633" s="1" t="s">
        <v>13797</v>
      </c>
      <c r="H3633" s="1" t="s">
        <v>3604</v>
      </c>
      <c r="I3633" s="1" t="s">
        <v>13798</v>
      </c>
      <c r="J3633" s="1" t="s">
        <v>3606</v>
      </c>
      <c r="K3633" s="1" t="s">
        <v>13799</v>
      </c>
      <c r="L3633" s="1"/>
      <c r="M3633" s="1"/>
    </row>
    <row x14ac:dyDescent="0.25" r="3634" customHeight="1" ht="18.75">
      <c r="A3634" s="1" t="s">
        <v>3598</v>
      </c>
      <c r="B3634" s="1" t="s">
        <v>5239</v>
      </c>
      <c r="C3634" s="1" t="s">
        <v>3600</v>
      </c>
      <c r="D3634" s="1" t="s">
        <v>3601</v>
      </c>
      <c r="E3634" s="1" t="s">
        <v>3664</v>
      </c>
      <c r="F3634" s="1" t="s">
        <v>13800</v>
      </c>
      <c r="G3634" s="1" t="s">
        <v>13801</v>
      </c>
      <c r="H3634" s="1" t="s">
        <v>3604</v>
      </c>
      <c r="I3634" s="1" t="s">
        <v>13802</v>
      </c>
      <c r="J3634" s="1" t="s">
        <v>3606</v>
      </c>
      <c r="K3634" s="1" t="s">
        <v>13803</v>
      </c>
      <c r="L3634" s="1"/>
      <c r="M3634" s="1"/>
    </row>
    <row x14ac:dyDescent="0.25" r="3635" customHeight="1" ht="18.75">
      <c r="A3635" s="1" t="s">
        <v>3598</v>
      </c>
      <c r="B3635" s="1" t="s">
        <v>5239</v>
      </c>
      <c r="C3635" s="1" t="s">
        <v>3600</v>
      </c>
      <c r="D3635" s="1" t="s">
        <v>3601</v>
      </c>
      <c r="E3635" s="1" t="s">
        <v>3664</v>
      </c>
      <c r="F3635" s="1" t="s">
        <v>13804</v>
      </c>
      <c r="G3635" s="1" t="s">
        <v>13805</v>
      </c>
      <c r="H3635" s="1" t="s">
        <v>3604</v>
      </c>
      <c r="I3635" s="1" t="s">
        <v>13806</v>
      </c>
      <c r="J3635" s="1" t="s">
        <v>3606</v>
      </c>
      <c r="K3635" s="1" t="s">
        <v>13807</v>
      </c>
      <c r="L3635" s="1"/>
      <c r="M3635" s="1"/>
    </row>
    <row x14ac:dyDescent="0.25" r="3636" customHeight="1" ht="18.75">
      <c r="A3636" s="1" t="s">
        <v>3598</v>
      </c>
      <c r="B3636" s="1" t="s">
        <v>5239</v>
      </c>
      <c r="C3636" s="1" t="s">
        <v>3600</v>
      </c>
      <c r="D3636" s="1" t="s">
        <v>3601</v>
      </c>
      <c r="E3636" s="1" t="s">
        <v>3664</v>
      </c>
      <c r="F3636" s="1" t="s">
        <v>13808</v>
      </c>
      <c r="G3636" s="1" t="s">
        <v>13797</v>
      </c>
      <c r="H3636" s="1" t="s">
        <v>3604</v>
      </c>
      <c r="I3636" s="1" t="s">
        <v>13809</v>
      </c>
      <c r="J3636" s="1" t="s">
        <v>3606</v>
      </c>
      <c r="K3636" s="1" t="s">
        <v>13810</v>
      </c>
      <c r="L3636" s="1"/>
      <c r="M3636" s="1"/>
    </row>
    <row x14ac:dyDescent="0.25" r="3637" customHeight="1" ht="18.75">
      <c r="A3637" s="1" t="s">
        <v>3598</v>
      </c>
      <c r="B3637" s="1" t="s">
        <v>5239</v>
      </c>
      <c r="C3637" s="1" t="s">
        <v>3600</v>
      </c>
      <c r="D3637" s="1" t="s">
        <v>3601</v>
      </c>
      <c r="E3637" s="1" t="s">
        <v>3664</v>
      </c>
      <c r="F3637" s="1" t="s">
        <v>13811</v>
      </c>
      <c r="G3637" s="1" t="s">
        <v>13812</v>
      </c>
      <c r="H3637" s="1" t="s">
        <v>3604</v>
      </c>
      <c r="I3637" s="1" t="s">
        <v>13813</v>
      </c>
      <c r="J3637" s="1" t="s">
        <v>3606</v>
      </c>
      <c r="K3637" s="1" t="s">
        <v>13814</v>
      </c>
      <c r="L3637" s="1"/>
      <c r="M3637" s="1"/>
    </row>
    <row x14ac:dyDescent="0.25" r="3638" customHeight="1" ht="18.75">
      <c r="A3638" s="1" t="s">
        <v>3598</v>
      </c>
      <c r="B3638" s="1" t="s">
        <v>5239</v>
      </c>
      <c r="C3638" s="1" t="s">
        <v>3600</v>
      </c>
      <c r="D3638" s="1" t="s">
        <v>3601</v>
      </c>
      <c r="E3638" s="1" t="s">
        <v>3664</v>
      </c>
      <c r="F3638" s="1" t="s">
        <v>13815</v>
      </c>
      <c r="G3638" s="1" t="s">
        <v>13789</v>
      </c>
      <c r="H3638" s="1" t="s">
        <v>3604</v>
      </c>
      <c r="I3638" s="1" t="s">
        <v>13816</v>
      </c>
      <c r="J3638" s="1" t="s">
        <v>3606</v>
      </c>
      <c r="K3638" s="1" t="s">
        <v>13817</v>
      </c>
      <c r="L3638" s="1"/>
      <c r="M3638" s="1"/>
    </row>
    <row x14ac:dyDescent="0.25" r="3639" customHeight="1" ht="18.75">
      <c r="A3639" s="1" t="s">
        <v>3598</v>
      </c>
      <c r="B3639" s="1" t="s">
        <v>5239</v>
      </c>
      <c r="C3639" s="1" t="s">
        <v>3600</v>
      </c>
      <c r="D3639" s="1" t="s">
        <v>3601</v>
      </c>
      <c r="E3639" s="1" t="s">
        <v>3611</v>
      </c>
      <c r="F3639" s="1" t="s">
        <v>13818</v>
      </c>
      <c r="G3639" s="1" t="s">
        <v>9288</v>
      </c>
      <c r="H3639" s="1" t="s">
        <v>3604</v>
      </c>
      <c r="I3639" s="1" t="s">
        <v>13819</v>
      </c>
      <c r="J3639" s="1" t="s">
        <v>3606</v>
      </c>
      <c r="K3639" s="1" t="s">
        <v>13820</v>
      </c>
      <c r="L3639" s="1"/>
      <c r="M3639" s="1"/>
    </row>
    <row x14ac:dyDescent="0.25" r="3640" customHeight="1" ht="18.75">
      <c r="A3640" s="1" t="s">
        <v>3598</v>
      </c>
      <c r="B3640" s="1" t="s">
        <v>5239</v>
      </c>
      <c r="C3640" s="1" t="s">
        <v>3600</v>
      </c>
      <c r="D3640" s="1" t="s">
        <v>3601</v>
      </c>
      <c r="E3640" s="1" t="s">
        <v>3611</v>
      </c>
      <c r="F3640" s="1" t="s">
        <v>13821</v>
      </c>
      <c r="G3640" s="1" t="s">
        <v>9288</v>
      </c>
      <c r="H3640" s="1" t="s">
        <v>3604</v>
      </c>
      <c r="I3640" s="1" t="s">
        <v>13822</v>
      </c>
      <c r="J3640" s="1" t="s">
        <v>3606</v>
      </c>
      <c r="K3640" s="1" t="s">
        <v>13820</v>
      </c>
      <c r="L3640" s="1"/>
      <c r="M3640" s="1"/>
    </row>
    <row x14ac:dyDescent="0.25" r="3641" customHeight="1" ht="18.75">
      <c r="A3641" s="1" t="s">
        <v>3598</v>
      </c>
      <c r="B3641" s="1" t="s">
        <v>5239</v>
      </c>
      <c r="C3641" s="1" t="s">
        <v>3600</v>
      </c>
      <c r="D3641" s="1" t="s">
        <v>3601</v>
      </c>
      <c r="E3641" s="1" t="s">
        <v>3664</v>
      </c>
      <c r="F3641" s="1" t="s">
        <v>13823</v>
      </c>
      <c r="G3641" s="1" t="s">
        <v>9288</v>
      </c>
      <c r="H3641" s="1" t="s">
        <v>3604</v>
      </c>
      <c r="I3641" s="1" t="s">
        <v>13824</v>
      </c>
      <c r="J3641" s="1" t="s">
        <v>3606</v>
      </c>
      <c r="K3641" s="1" t="s">
        <v>13825</v>
      </c>
      <c r="L3641" s="1"/>
      <c r="M3641" s="1"/>
    </row>
    <row x14ac:dyDescent="0.25" r="3642" customHeight="1" ht="18.75">
      <c r="A3642" s="1" t="s">
        <v>3598</v>
      </c>
      <c r="B3642" s="1" t="s">
        <v>5239</v>
      </c>
      <c r="C3642" s="1" t="s">
        <v>3600</v>
      </c>
      <c r="D3642" s="1" t="s">
        <v>3601</v>
      </c>
      <c r="E3642" s="1" t="s">
        <v>3664</v>
      </c>
      <c r="F3642" s="1" t="s">
        <v>13826</v>
      </c>
      <c r="G3642" s="1" t="s">
        <v>13827</v>
      </c>
      <c r="H3642" s="1" t="s">
        <v>3604</v>
      </c>
      <c r="I3642" s="1" t="s">
        <v>13828</v>
      </c>
      <c r="J3642" s="1" t="s">
        <v>3606</v>
      </c>
      <c r="K3642" s="1" t="s">
        <v>13829</v>
      </c>
      <c r="L3642" s="1"/>
      <c r="M3642" s="1"/>
    </row>
    <row x14ac:dyDescent="0.25" r="3643" customHeight="1" ht="18.75">
      <c r="A3643" s="1" t="s">
        <v>3598</v>
      </c>
      <c r="B3643" s="1" t="s">
        <v>4095</v>
      </c>
      <c r="C3643" s="1" t="s">
        <v>3600</v>
      </c>
      <c r="D3643" s="1" t="s">
        <v>3601</v>
      </c>
      <c r="E3643" s="1" t="s">
        <v>3664</v>
      </c>
      <c r="F3643" s="1" t="s">
        <v>13830</v>
      </c>
      <c r="G3643" s="1" t="s">
        <v>13781</v>
      </c>
      <c r="H3643" s="1" t="s">
        <v>3604</v>
      </c>
      <c r="I3643" s="1" t="s">
        <v>13831</v>
      </c>
      <c r="J3643" s="1" t="s">
        <v>3606</v>
      </c>
      <c r="K3643" s="1" t="s">
        <v>13832</v>
      </c>
      <c r="L3643" s="1"/>
      <c r="M3643" s="1"/>
    </row>
    <row x14ac:dyDescent="0.25" r="3644" customHeight="1" ht="18.75">
      <c r="A3644" s="1" t="s">
        <v>3598</v>
      </c>
      <c r="B3644" s="1" t="s">
        <v>4095</v>
      </c>
      <c r="C3644" s="1" t="s">
        <v>3600</v>
      </c>
      <c r="D3644" s="1" t="s">
        <v>3601</v>
      </c>
      <c r="E3644" s="1" t="s">
        <v>3664</v>
      </c>
      <c r="F3644" s="1" t="s">
        <v>13833</v>
      </c>
      <c r="G3644" s="1" t="s">
        <v>13785</v>
      </c>
      <c r="H3644" s="1" t="s">
        <v>3604</v>
      </c>
      <c r="I3644" s="1" t="s">
        <v>13834</v>
      </c>
      <c r="J3644" s="1" t="s">
        <v>3606</v>
      </c>
      <c r="K3644" s="1" t="s">
        <v>13835</v>
      </c>
      <c r="L3644" s="1"/>
      <c r="M3644" s="1"/>
    </row>
    <row x14ac:dyDescent="0.25" r="3645" customHeight="1" ht="18.75">
      <c r="A3645" s="1" t="s">
        <v>3598</v>
      </c>
      <c r="B3645" s="1" t="s">
        <v>4095</v>
      </c>
      <c r="C3645" s="1" t="s">
        <v>3600</v>
      </c>
      <c r="D3645" s="1" t="s">
        <v>3601</v>
      </c>
      <c r="E3645" s="1" t="s">
        <v>3664</v>
      </c>
      <c r="F3645" s="1" t="s">
        <v>13836</v>
      </c>
      <c r="G3645" s="1" t="s">
        <v>13837</v>
      </c>
      <c r="H3645" s="1" t="s">
        <v>3604</v>
      </c>
      <c r="I3645" s="1" t="s">
        <v>13838</v>
      </c>
      <c r="J3645" s="1" t="s">
        <v>3606</v>
      </c>
      <c r="K3645" s="1" t="s">
        <v>13839</v>
      </c>
      <c r="L3645" s="1"/>
      <c r="M3645" s="1"/>
    </row>
    <row x14ac:dyDescent="0.25" r="3646" customHeight="1" ht="18.75">
      <c r="A3646" s="1" t="s">
        <v>3598</v>
      </c>
      <c r="B3646" s="1" t="s">
        <v>4095</v>
      </c>
      <c r="C3646" s="1" t="s">
        <v>3600</v>
      </c>
      <c r="D3646" s="1" t="s">
        <v>3601</v>
      </c>
      <c r="E3646" s="1" t="s">
        <v>3664</v>
      </c>
      <c r="F3646" s="1" t="s">
        <v>13840</v>
      </c>
      <c r="G3646" s="1" t="s">
        <v>8983</v>
      </c>
      <c r="H3646" s="1" t="s">
        <v>3604</v>
      </c>
      <c r="I3646" s="1" t="s">
        <v>13841</v>
      </c>
      <c r="J3646" s="1" t="s">
        <v>3606</v>
      </c>
      <c r="K3646" s="1" t="s">
        <v>13842</v>
      </c>
      <c r="L3646" s="1"/>
      <c r="M3646" s="1"/>
    </row>
    <row x14ac:dyDescent="0.25" r="3647" customHeight="1" ht="18.75">
      <c r="A3647" s="1" t="s">
        <v>3598</v>
      </c>
      <c r="B3647" s="1" t="s">
        <v>4095</v>
      </c>
      <c r="C3647" s="1" t="s">
        <v>3600</v>
      </c>
      <c r="D3647" s="1" t="s">
        <v>3601</v>
      </c>
      <c r="E3647" s="1" t="s">
        <v>3664</v>
      </c>
      <c r="F3647" s="1" t="s">
        <v>13843</v>
      </c>
      <c r="G3647" s="1" t="s">
        <v>5247</v>
      </c>
      <c r="H3647" s="1" t="s">
        <v>3604</v>
      </c>
      <c r="I3647" s="1" t="s">
        <v>13844</v>
      </c>
      <c r="J3647" s="1" t="s">
        <v>3606</v>
      </c>
      <c r="K3647" s="1" t="s">
        <v>13845</v>
      </c>
      <c r="L3647" s="1"/>
      <c r="M3647" s="1"/>
    </row>
    <row x14ac:dyDescent="0.25" r="3648" customHeight="1" ht="18.75">
      <c r="A3648" s="1" t="s">
        <v>3598</v>
      </c>
      <c r="B3648" s="1" t="s">
        <v>4095</v>
      </c>
      <c r="C3648" s="1" t="s">
        <v>3600</v>
      </c>
      <c r="D3648" s="1" t="s">
        <v>3601</v>
      </c>
      <c r="E3648" s="1" t="s">
        <v>3664</v>
      </c>
      <c r="F3648" s="1" t="s">
        <v>13846</v>
      </c>
      <c r="G3648" s="1" t="s">
        <v>8987</v>
      </c>
      <c r="H3648" s="1" t="s">
        <v>3604</v>
      </c>
      <c r="I3648" s="1" t="s">
        <v>13847</v>
      </c>
      <c r="J3648" s="1" t="s">
        <v>3606</v>
      </c>
      <c r="K3648" s="1" t="s">
        <v>13848</v>
      </c>
      <c r="L3648" s="1"/>
      <c r="M3648" s="1"/>
    </row>
    <row x14ac:dyDescent="0.25" r="3649" customHeight="1" ht="18.75">
      <c r="A3649" s="1" t="s">
        <v>3598</v>
      </c>
      <c r="B3649" s="1" t="s">
        <v>4095</v>
      </c>
      <c r="C3649" s="1" t="s">
        <v>3600</v>
      </c>
      <c r="D3649" s="1" t="s">
        <v>3601</v>
      </c>
      <c r="E3649" s="1" t="s">
        <v>3664</v>
      </c>
      <c r="F3649" s="1" t="s">
        <v>13849</v>
      </c>
      <c r="G3649" s="1" t="s">
        <v>9031</v>
      </c>
      <c r="H3649" s="1" t="s">
        <v>3604</v>
      </c>
      <c r="I3649" s="1" t="s">
        <v>13850</v>
      </c>
      <c r="J3649" s="1" t="s">
        <v>3606</v>
      </c>
      <c r="K3649" s="1" t="s">
        <v>13851</v>
      </c>
      <c r="L3649" s="1"/>
      <c r="M3649" s="1"/>
    </row>
    <row x14ac:dyDescent="0.25" r="3650" customHeight="1" ht="18.75">
      <c r="A3650" s="1" t="s">
        <v>3598</v>
      </c>
      <c r="B3650" s="1" t="s">
        <v>4095</v>
      </c>
      <c r="C3650" s="1" t="s">
        <v>3600</v>
      </c>
      <c r="D3650" s="1" t="s">
        <v>3601</v>
      </c>
      <c r="E3650" s="1" t="s">
        <v>3664</v>
      </c>
      <c r="F3650" s="1" t="s">
        <v>13852</v>
      </c>
      <c r="G3650" s="1" t="s">
        <v>9031</v>
      </c>
      <c r="H3650" s="1" t="s">
        <v>3604</v>
      </c>
      <c r="I3650" s="1" t="s">
        <v>13853</v>
      </c>
      <c r="J3650" s="1" t="s">
        <v>3606</v>
      </c>
      <c r="K3650" s="1"/>
      <c r="L3650" s="1"/>
      <c r="M3650" s="1"/>
    </row>
    <row x14ac:dyDescent="0.25" r="3651" customHeight="1" ht="18.75">
      <c r="A3651" s="1" t="s">
        <v>3598</v>
      </c>
      <c r="B3651" s="1" t="s">
        <v>4095</v>
      </c>
      <c r="C3651" s="1" t="s">
        <v>3600</v>
      </c>
      <c r="D3651" s="1" t="s">
        <v>3601</v>
      </c>
      <c r="E3651" s="1" t="s">
        <v>3664</v>
      </c>
      <c r="F3651" s="1" t="s">
        <v>13854</v>
      </c>
      <c r="G3651" s="1" t="s">
        <v>9031</v>
      </c>
      <c r="H3651" s="1" t="s">
        <v>3604</v>
      </c>
      <c r="I3651" s="1" t="s">
        <v>13855</v>
      </c>
      <c r="J3651" s="1" t="s">
        <v>3606</v>
      </c>
      <c r="K3651" s="1" t="s">
        <v>13856</v>
      </c>
      <c r="L3651" s="1"/>
      <c r="M3651" s="1"/>
    </row>
    <row x14ac:dyDescent="0.25" r="3652" customHeight="1" ht="18.75">
      <c r="A3652" s="1" t="s">
        <v>7833</v>
      </c>
      <c r="B3652" s="1" t="s">
        <v>13857</v>
      </c>
      <c r="C3652" s="1" t="s">
        <v>4488</v>
      </c>
      <c r="D3652" s="1" t="s">
        <v>8100</v>
      </c>
      <c r="E3652" s="1" t="s">
        <v>8096</v>
      </c>
      <c r="F3652" s="1" t="s">
        <v>13773</v>
      </c>
      <c r="G3652" s="1" t="s">
        <v>13858</v>
      </c>
      <c r="H3652" s="1" t="s">
        <v>3604</v>
      </c>
      <c r="I3652" s="1" t="s">
        <v>13859</v>
      </c>
      <c r="J3652" s="1" t="s">
        <v>3606</v>
      </c>
      <c r="K3652" s="1" t="s">
        <v>8104</v>
      </c>
      <c r="L3652" s="1"/>
      <c r="M3652" s="1"/>
    </row>
    <row x14ac:dyDescent="0.25" r="3653" customHeight="1" ht="18.75">
      <c r="A3653" s="1" t="s">
        <v>7833</v>
      </c>
      <c r="B3653" s="1" t="s">
        <v>13857</v>
      </c>
      <c r="C3653" s="1" t="s">
        <v>4488</v>
      </c>
      <c r="D3653" s="1" t="s">
        <v>8100</v>
      </c>
      <c r="E3653" s="1" t="s">
        <v>8096</v>
      </c>
      <c r="F3653" s="1" t="s">
        <v>13860</v>
      </c>
      <c r="G3653" s="1" t="s">
        <v>13858</v>
      </c>
      <c r="H3653" s="1" t="s">
        <v>3604</v>
      </c>
      <c r="I3653" s="1" t="s">
        <v>13861</v>
      </c>
      <c r="J3653" s="1" t="s">
        <v>3606</v>
      </c>
      <c r="K3653" s="1" t="s">
        <v>8107</v>
      </c>
      <c r="L3653" s="1"/>
      <c r="M3653" s="1"/>
    </row>
    <row x14ac:dyDescent="0.25" r="3654" customHeight="1" ht="18.75">
      <c r="A3654" s="1" t="s">
        <v>7833</v>
      </c>
      <c r="B3654" s="1" t="s">
        <v>13857</v>
      </c>
      <c r="C3654" s="1" t="s">
        <v>4488</v>
      </c>
      <c r="D3654" s="1" t="s">
        <v>8100</v>
      </c>
      <c r="E3654" s="1" t="s">
        <v>8096</v>
      </c>
      <c r="F3654" s="1" t="s">
        <v>13862</v>
      </c>
      <c r="G3654" s="1" t="s">
        <v>13858</v>
      </c>
      <c r="H3654" s="1" t="s">
        <v>3604</v>
      </c>
      <c r="I3654" s="1" t="s">
        <v>13863</v>
      </c>
      <c r="J3654" s="1" t="s">
        <v>3606</v>
      </c>
      <c r="K3654" s="1" t="s">
        <v>8127</v>
      </c>
      <c r="L3654" s="1"/>
      <c r="M3654" s="1"/>
    </row>
    <row x14ac:dyDescent="0.25" r="3655" customHeight="1" ht="18.75">
      <c r="A3655" s="1" t="s">
        <v>3598</v>
      </c>
      <c r="B3655" s="1" t="s">
        <v>13864</v>
      </c>
      <c r="C3655" s="1" t="s">
        <v>3600</v>
      </c>
      <c r="D3655" s="1" t="s">
        <v>3601</v>
      </c>
      <c r="E3655" s="1" t="s">
        <v>3664</v>
      </c>
      <c r="F3655" s="1" t="s">
        <v>13865</v>
      </c>
      <c r="G3655" s="1" t="s">
        <v>13866</v>
      </c>
      <c r="H3655" s="1" t="s">
        <v>3604</v>
      </c>
      <c r="I3655" s="1" t="s">
        <v>13867</v>
      </c>
      <c r="J3655" s="1" t="s">
        <v>3606</v>
      </c>
      <c r="K3655" s="1" t="s">
        <v>13868</v>
      </c>
      <c r="L3655" s="1"/>
      <c r="M3655" s="1"/>
    </row>
    <row x14ac:dyDescent="0.25" r="3656" customHeight="1" ht="18.75">
      <c r="A3656" s="1" t="s">
        <v>3598</v>
      </c>
      <c r="B3656" s="1" t="s">
        <v>13864</v>
      </c>
      <c r="C3656" s="1" t="s">
        <v>3600</v>
      </c>
      <c r="D3656" s="1" t="s">
        <v>3601</v>
      </c>
      <c r="E3656" s="1" t="s">
        <v>3664</v>
      </c>
      <c r="F3656" s="1" t="s">
        <v>13869</v>
      </c>
      <c r="G3656" s="1" t="s">
        <v>13870</v>
      </c>
      <c r="H3656" s="1" t="s">
        <v>3604</v>
      </c>
      <c r="I3656" s="1" t="s">
        <v>13871</v>
      </c>
      <c r="J3656" s="1" t="s">
        <v>3606</v>
      </c>
      <c r="K3656" s="1" t="s">
        <v>13872</v>
      </c>
      <c r="L3656" s="1"/>
      <c r="M3656" s="1"/>
    </row>
    <row x14ac:dyDescent="0.25" r="3657" customHeight="1" ht="18.75">
      <c r="A3657" s="1" t="s">
        <v>3598</v>
      </c>
      <c r="B3657" s="1" t="s">
        <v>4600</v>
      </c>
      <c r="C3657" s="1" t="s">
        <v>3600</v>
      </c>
      <c r="D3657" s="1" t="s">
        <v>3601</v>
      </c>
      <c r="E3657" s="1" t="s">
        <v>3893</v>
      </c>
      <c r="F3657" s="1" t="s">
        <v>13873</v>
      </c>
      <c r="G3657" s="1" t="s">
        <v>13874</v>
      </c>
      <c r="H3657" s="1" t="s">
        <v>3604</v>
      </c>
      <c r="I3657" s="1" t="s">
        <v>13875</v>
      </c>
      <c r="J3657" s="1" t="s">
        <v>3606</v>
      </c>
      <c r="K3657" s="1" t="s">
        <v>13876</v>
      </c>
      <c r="L3657" s="1"/>
      <c r="M3657" s="1"/>
    </row>
    <row x14ac:dyDescent="0.25" r="3658" customHeight="1" ht="18.75">
      <c r="A3658" s="1" t="s">
        <v>3598</v>
      </c>
      <c r="B3658" s="1" t="s">
        <v>4600</v>
      </c>
      <c r="C3658" s="1" t="s">
        <v>3600</v>
      </c>
      <c r="D3658" s="1" t="s">
        <v>3601</v>
      </c>
      <c r="E3658" s="1" t="s">
        <v>3664</v>
      </c>
      <c r="F3658" s="1" t="s">
        <v>13877</v>
      </c>
      <c r="G3658" s="1" t="s">
        <v>13866</v>
      </c>
      <c r="H3658" s="1" t="s">
        <v>3604</v>
      </c>
      <c r="I3658" s="1" t="s">
        <v>13878</v>
      </c>
      <c r="J3658" s="1" t="s">
        <v>3606</v>
      </c>
      <c r="K3658" s="1" t="s">
        <v>13879</v>
      </c>
      <c r="L3658" s="1"/>
      <c r="M3658" s="1"/>
    </row>
    <row x14ac:dyDescent="0.25" r="3659" customHeight="1" ht="18.75">
      <c r="A3659" s="1" t="s">
        <v>3598</v>
      </c>
      <c r="B3659" s="1" t="s">
        <v>4600</v>
      </c>
      <c r="C3659" s="1" t="s">
        <v>3600</v>
      </c>
      <c r="D3659" s="1" t="s">
        <v>3601</v>
      </c>
      <c r="E3659" s="1" t="s">
        <v>3664</v>
      </c>
      <c r="F3659" s="1" t="s">
        <v>13880</v>
      </c>
      <c r="G3659" s="1" t="s">
        <v>13870</v>
      </c>
      <c r="H3659" s="1" t="s">
        <v>3604</v>
      </c>
      <c r="I3659" s="1" t="s">
        <v>13881</v>
      </c>
      <c r="J3659" s="1" t="s">
        <v>3606</v>
      </c>
      <c r="K3659" s="1" t="s">
        <v>13882</v>
      </c>
      <c r="L3659" s="1"/>
      <c r="M3659" s="1"/>
    </row>
    <row x14ac:dyDescent="0.25" r="3660" customHeight="1" ht="18.75">
      <c r="A3660" s="1" t="s">
        <v>3598</v>
      </c>
      <c r="B3660" s="1" t="s">
        <v>4600</v>
      </c>
      <c r="C3660" s="1" t="s">
        <v>3600</v>
      </c>
      <c r="D3660" s="1" t="s">
        <v>3601</v>
      </c>
      <c r="E3660" s="1" t="s">
        <v>3664</v>
      </c>
      <c r="F3660" s="1" t="s">
        <v>13883</v>
      </c>
      <c r="G3660" s="1" t="s">
        <v>13884</v>
      </c>
      <c r="H3660" s="1" t="s">
        <v>3604</v>
      </c>
      <c r="I3660" s="1" t="s">
        <v>13885</v>
      </c>
      <c r="J3660" s="1" t="s">
        <v>3606</v>
      </c>
      <c r="K3660" s="1" t="s">
        <v>13886</v>
      </c>
      <c r="L3660" s="1"/>
      <c r="M3660" s="1"/>
    </row>
    <row x14ac:dyDescent="0.25" r="3661" customHeight="1" ht="18.75">
      <c r="A3661" s="1" t="s">
        <v>3598</v>
      </c>
      <c r="B3661" s="1" t="s">
        <v>4600</v>
      </c>
      <c r="C3661" s="1" t="s">
        <v>3600</v>
      </c>
      <c r="D3661" s="1" t="s">
        <v>3601</v>
      </c>
      <c r="E3661" s="1" t="s">
        <v>3893</v>
      </c>
      <c r="F3661" s="1" t="s">
        <v>13887</v>
      </c>
      <c r="G3661" s="1" t="s">
        <v>13884</v>
      </c>
      <c r="H3661" s="1" t="s">
        <v>3604</v>
      </c>
      <c r="I3661" s="1" t="s">
        <v>13888</v>
      </c>
      <c r="J3661" s="1" t="s">
        <v>3606</v>
      </c>
      <c r="K3661" s="1" t="s">
        <v>13889</v>
      </c>
      <c r="L3661" s="1"/>
      <c r="M3661" s="1"/>
    </row>
    <row x14ac:dyDescent="0.25" r="3662" customHeight="1" ht="18.75">
      <c r="A3662" s="1" t="s">
        <v>3598</v>
      </c>
      <c r="B3662" s="1" t="s">
        <v>4600</v>
      </c>
      <c r="C3662" s="1" t="s">
        <v>3600</v>
      </c>
      <c r="D3662" s="1" t="s">
        <v>3601</v>
      </c>
      <c r="E3662" s="1" t="s">
        <v>3893</v>
      </c>
      <c r="F3662" s="1" t="s">
        <v>13890</v>
      </c>
      <c r="G3662" s="1" t="s">
        <v>4468</v>
      </c>
      <c r="H3662" s="1" t="s">
        <v>3604</v>
      </c>
      <c r="I3662" s="1" t="s">
        <v>13891</v>
      </c>
      <c r="J3662" s="1" t="s">
        <v>3606</v>
      </c>
      <c r="K3662" s="1" t="s">
        <v>13892</v>
      </c>
      <c r="L3662" s="1"/>
      <c r="M3662" s="1"/>
    </row>
    <row x14ac:dyDescent="0.25" r="3663" customHeight="1" ht="18.75">
      <c r="A3663" s="1" t="s">
        <v>3598</v>
      </c>
      <c r="B3663" s="1" t="s">
        <v>4600</v>
      </c>
      <c r="C3663" s="1" t="s">
        <v>3600</v>
      </c>
      <c r="D3663" s="1" t="s">
        <v>3601</v>
      </c>
      <c r="E3663" s="1" t="s">
        <v>3893</v>
      </c>
      <c r="F3663" s="1" t="s">
        <v>13893</v>
      </c>
      <c r="G3663" s="1" t="s">
        <v>10315</v>
      </c>
      <c r="H3663" s="1" t="s">
        <v>3604</v>
      </c>
      <c r="I3663" s="1" t="s">
        <v>13894</v>
      </c>
      <c r="J3663" s="1" t="s">
        <v>3606</v>
      </c>
      <c r="K3663" s="1" t="s">
        <v>13895</v>
      </c>
      <c r="L3663" s="1"/>
      <c r="M3663" s="1"/>
    </row>
    <row x14ac:dyDescent="0.25" r="3664" customHeight="1" ht="18.75">
      <c r="A3664" s="1" t="s">
        <v>3598</v>
      </c>
      <c r="B3664" s="1" t="s">
        <v>4600</v>
      </c>
      <c r="C3664" s="1" t="s">
        <v>3600</v>
      </c>
      <c r="D3664" s="1" t="s">
        <v>3601</v>
      </c>
      <c r="E3664" s="1" t="s">
        <v>3893</v>
      </c>
      <c r="F3664" s="1" t="s">
        <v>13896</v>
      </c>
      <c r="G3664" s="1" t="s">
        <v>4468</v>
      </c>
      <c r="H3664" s="1" t="s">
        <v>3604</v>
      </c>
      <c r="I3664" s="1" t="s">
        <v>13897</v>
      </c>
      <c r="J3664" s="1" t="s">
        <v>3606</v>
      </c>
      <c r="K3664" s="1" t="s">
        <v>13898</v>
      </c>
      <c r="L3664" s="1"/>
      <c r="M3664" s="1"/>
    </row>
    <row x14ac:dyDescent="0.25" r="3665" customHeight="1" ht="18.75">
      <c r="A3665" s="1" t="s">
        <v>3598</v>
      </c>
      <c r="B3665" s="1" t="s">
        <v>4600</v>
      </c>
      <c r="C3665" s="1" t="s">
        <v>3600</v>
      </c>
      <c r="D3665" s="1" t="s">
        <v>3601</v>
      </c>
      <c r="E3665" s="1" t="s">
        <v>3893</v>
      </c>
      <c r="F3665" s="1" t="s">
        <v>13899</v>
      </c>
      <c r="G3665" s="1" t="s">
        <v>10315</v>
      </c>
      <c r="H3665" s="1" t="s">
        <v>3604</v>
      </c>
      <c r="I3665" s="1" t="s">
        <v>13900</v>
      </c>
      <c r="J3665" s="1" t="s">
        <v>3606</v>
      </c>
      <c r="K3665" s="1" t="s">
        <v>13901</v>
      </c>
      <c r="L3665" s="1"/>
      <c r="M3665" s="1"/>
    </row>
    <row x14ac:dyDescent="0.25" r="3666" customHeight="1" ht="18.75">
      <c r="A3666" s="1" t="s">
        <v>3598</v>
      </c>
      <c r="B3666" s="1" t="s">
        <v>4600</v>
      </c>
      <c r="C3666" s="1" t="s">
        <v>3600</v>
      </c>
      <c r="D3666" s="1" t="s">
        <v>3601</v>
      </c>
      <c r="E3666" s="1" t="s">
        <v>3893</v>
      </c>
      <c r="F3666" s="1" t="s">
        <v>13902</v>
      </c>
      <c r="G3666" s="1" t="s">
        <v>13903</v>
      </c>
      <c r="H3666" s="1" t="s">
        <v>3604</v>
      </c>
      <c r="I3666" s="1" t="s">
        <v>13904</v>
      </c>
      <c r="J3666" s="1" t="s">
        <v>3606</v>
      </c>
      <c r="K3666" s="1" t="s">
        <v>13905</v>
      </c>
      <c r="L3666" s="1"/>
      <c r="M3666" s="1"/>
    </row>
    <row x14ac:dyDescent="0.25" r="3667" customHeight="1" ht="18.75">
      <c r="A3667" s="1" t="s">
        <v>3598</v>
      </c>
      <c r="B3667" s="1" t="s">
        <v>4600</v>
      </c>
      <c r="C3667" s="1" t="s">
        <v>3600</v>
      </c>
      <c r="D3667" s="1" t="s">
        <v>3601</v>
      </c>
      <c r="E3667" s="1" t="s">
        <v>3893</v>
      </c>
      <c r="F3667" s="1" t="s">
        <v>13906</v>
      </c>
      <c r="G3667" s="1" t="s">
        <v>13907</v>
      </c>
      <c r="H3667" s="1" t="s">
        <v>3604</v>
      </c>
      <c r="I3667" s="1" t="s">
        <v>13908</v>
      </c>
      <c r="J3667" s="1" t="s">
        <v>3606</v>
      </c>
      <c r="K3667" s="1" t="s">
        <v>13909</v>
      </c>
      <c r="L3667" s="1"/>
      <c r="M3667" s="1"/>
    </row>
    <row x14ac:dyDescent="0.25" r="3668" customHeight="1" ht="18.75">
      <c r="A3668" s="1" t="s">
        <v>3598</v>
      </c>
      <c r="B3668" s="1" t="s">
        <v>4600</v>
      </c>
      <c r="C3668" s="1" t="s">
        <v>3600</v>
      </c>
      <c r="D3668" s="1" t="s">
        <v>3601</v>
      </c>
      <c r="E3668" s="1" t="s">
        <v>3893</v>
      </c>
      <c r="F3668" s="1" t="s">
        <v>13910</v>
      </c>
      <c r="G3668" s="1" t="s">
        <v>13911</v>
      </c>
      <c r="H3668" s="1" t="s">
        <v>3604</v>
      </c>
      <c r="I3668" s="1" t="s">
        <v>13912</v>
      </c>
      <c r="J3668" s="1" t="s">
        <v>3606</v>
      </c>
      <c r="K3668" s="1" t="s">
        <v>13913</v>
      </c>
      <c r="L3668" s="1"/>
      <c r="M3668" s="1"/>
    </row>
    <row x14ac:dyDescent="0.25" r="3669" customHeight="1" ht="18.75">
      <c r="A3669" s="1" t="s">
        <v>3598</v>
      </c>
      <c r="B3669" s="1" t="s">
        <v>4600</v>
      </c>
      <c r="C3669" s="1" t="s">
        <v>3600</v>
      </c>
      <c r="D3669" s="1" t="s">
        <v>3601</v>
      </c>
      <c r="E3669" s="1" t="s">
        <v>3893</v>
      </c>
      <c r="F3669" s="1" t="s">
        <v>13914</v>
      </c>
      <c r="G3669" s="1" t="s">
        <v>13915</v>
      </c>
      <c r="H3669" s="1" t="s">
        <v>3604</v>
      </c>
      <c r="I3669" s="1" t="s">
        <v>13916</v>
      </c>
      <c r="J3669" s="1" t="s">
        <v>3606</v>
      </c>
      <c r="K3669" s="1" t="s">
        <v>13917</v>
      </c>
      <c r="L3669" s="1"/>
      <c r="M3669" s="1"/>
    </row>
    <row x14ac:dyDescent="0.25" r="3670" customHeight="1" ht="18.75">
      <c r="A3670" s="1" t="s">
        <v>3598</v>
      </c>
      <c r="B3670" s="1" t="s">
        <v>4600</v>
      </c>
      <c r="C3670" s="1" t="s">
        <v>3600</v>
      </c>
      <c r="D3670" s="1" t="s">
        <v>3601</v>
      </c>
      <c r="E3670" s="1" t="s">
        <v>3893</v>
      </c>
      <c r="F3670" s="1" t="s">
        <v>13918</v>
      </c>
      <c r="G3670" s="1" t="s">
        <v>13884</v>
      </c>
      <c r="H3670" s="1" t="s">
        <v>3604</v>
      </c>
      <c r="I3670" s="1" t="s">
        <v>13919</v>
      </c>
      <c r="J3670" s="1" t="s">
        <v>3606</v>
      </c>
      <c r="K3670" s="1" t="s">
        <v>13920</v>
      </c>
      <c r="L3670" s="1"/>
      <c r="M3670" s="1"/>
    </row>
    <row x14ac:dyDescent="0.25" r="3671" customHeight="1" ht="18.75">
      <c r="A3671" s="1" t="s">
        <v>3598</v>
      </c>
      <c r="B3671" s="1" t="s">
        <v>4600</v>
      </c>
      <c r="C3671" s="1" t="s">
        <v>3600</v>
      </c>
      <c r="D3671" s="1" t="s">
        <v>3601</v>
      </c>
      <c r="E3671" s="1" t="s">
        <v>3893</v>
      </c>
      <c r="F3671" s="1" t="s">
        <v>13921</v>
      </c>
      <c r="G3671" s="1" t="s">
        <v>13884</v>
      </c>
      <c r="H3671" s="1" t="s">
        <v>3604</v>
      </c>
      <c r="I3671" s="1" t="s">
        <v>13922</v>
      </c>
      <c r="J3671" s="1" t="s">
        <v>3606</v>
      </c>
      <c r="K3671" s="1" t="s">
        <v>13923</v>
      </c>
      <c r="L3671" s="1"/>
      <c r="M3671" s="1"/>
    </row>
    <row x14ac:dyDescent="0.25" r="3672" customHeight="1" ht="18.75">
      <c r="A3672" s="1" t="s">
        <v>3598</v>
      </c>
      <c r="B3672" s="1" t="s">
        <v>4600</v>
      </c>
      <c r="C3672" s="1" t="s">
        <v>3600</v>
      </c>
      <c r="D3672" s="1" t="s">
        <v>3601</v>
      </c>
      <c r="E3672" s="1" t="s">
        <v>3893</v>
      </c>
      <c r="F3672" s="1" t="s">
        <v>13924</v>
      </c>
      <c r="G3672" s="1" t="s">
        <v>13884</v>
      </c>
      <c r="H3672" s="1" t="s">
        <v>3604</v>
      </c>
      <c r="I3672" s="1" t="s">
        <v>13925</v>
      </c>
      <c r="J3672" s="1" t="s">
        <v>3606</v>
      </c>
      <c r="K3672" s="1" t="s">
        <v>13926</v>
      </c>
      <c r="L3672" s="1"/>
      <c r="M3672" s="1"/>
    </row>
    <row x14ac:dyDescent="0.25" r="3673" customHeight="1" ht="18.75">
      <c r="A3673" s="1" t="s">
        <v>3598</v>
      </c>
      <c r="B3673" s="1" t="s">
        <v>4600</v>
      </c>
      <c r="C3673" s="1" t="s">
        <v>3600</v>
      </c>
      <c r="D3673" s="1" t="s">
        <v>3601</v>
      </c>
      <c r="E3673" s="1" t="s">
        <v>3893</v>
      </c>
      <c r="F3673" s="1" t="s">
        <v>13927</v>
      </c>
      <c r="G3673" s="1" t="s">
        <v>13928</v>
      </c>
      <c r="H3673" s="1" t="s">
        <v>3604</v>
      </c>
      <c r="I3673" s="1" t="s">
        <v>13929</v>
      </c>
      <c r="J3673" s="1" t="s">
        <v>3606</v>
      </c>
      <c r="K3673" s="1" t="s">
        <v>13930</v>
      </c>
      <c r="L3673" s="1"/>
      <c r="M3673" s="1"/>
    </row>
    <row x14ac:dyDescent="0.25" r="3674" customHeight="1" ht="18.75">
      <c r="A3674" s="1" t="s">
        <v>3598</v>
      </c>
      <c r="B3674" s="1" t="s">
        <v>4600</v>
      </c>
      <c r="C3674" s="1" t="s">
        <v>3600</v>
      </c>
      <c r="D3674" s="1" t="s">
        <v>3601</v>
      </c>
      <c r="E3674" s="1" t="s">
        <v>3893</v>
      </c>
      <c r="F3674" s="1" t="s">
        <v>13931</v>
      </c>
      <c r="G3674" s="1" t="s">
        <v>13884</v>
      </c>
      <c r="H3674" s="1" t="s">
        <v>3604</v>
      </c>
      <c r="I3674" s="1" t="s">
        <v>13932</v>
      </c>
      <c r="J3674" s="1" t="s">
        <v>3606</v>
      </c>
      <c r="K3674" s="1" t="s">
        <v>13933</v>
      </c>
      <c r="L3674" s="1"/>
      <c r="M3674" s="1"/>
    </row>
    <row x14ac:dyDescent="0.25" r="3675" customHeight="1" ht="18.75">
      <c r="A3675" s="1" t="s">
        <v>3617</v>
      </c>
      <c r="B3675" s="1" t="s">
        <v>5578</v>
      </c>
      <c r="C3675" s="1" t="s">
        <v>3619</v>
      </c>
      <c r="D3675" s="1" t="s">
        <v>533</v>
      </c>
      <c r="E3675" s="1" t="s">
        <v>3893</v>
      </c>
      <c r="F3675" s="1" t="s">
        <v>13934</v>
      </c>
      <c r="G3675" s="1" t="s">
        <v>11891</v>
      </c>
      <c r="H3675" s="1" t="s">
        <v>3604</v>
      </c>
      <c r="I3675" s="1" t="s">
        <v>13935</v>
      </c>
      <c r="J3675" s="1" t="s">
        <v>3606</v>
      </c>
      <c r="K3675" s="1" t="s">
        <v>13936</v>
      </c>
      <c r="L3675" s="1"/>
      <c r="M3675" s="1"/>
    </row>
    <row x14ac:dyDescent="0.25" r="3676" customHeight="1" ht="18.75">
      <c r="A3676" s="1" t="s">
        <v>3617</v>
      </c>
      <c r="B3676" s="1" t="s">
        <v>5578</v>
      </c>
      <c r="C3676" s="1" t="s">
        <v>3619</v>
      </c>
      <c r="D3676" s="1" t="s">
        <v>533</v>
      </c>
      <c r="E3676" s="1" t="s">
        <v>3893</v>
      </c>
      <c r="F3676" s="1" t="s">
        <v>13937</v>
      </c>
      <c r="G3676" s="1" t="s">
        <v>8394</v>
      </c>
      <c r="H3676" s="1" t="s">
        <v>3604</v>
      </c>
      <c r="I3676" s="1" t="s">
        <v>13938</v>
      </c>
      <c r="J3676" s="1" t="s">
        <v>3606</v>
      </c>
      <c r="K3676" s="1" t="s">
        <v>13939</v>
      </c>
      <c r="L3676" s="1"/>
      <c r="M3676" s="1"/>
    </row>
    <row x14ac:dyDescent="0.25" r="3677" customHeight="1" ht="18.75">
      <c r="A3677" s="1" t="s">
        <v>3598</v>
      </c>
      <c r="B3677" s="1" t="s">
        <v>9020</v>
      </c>
      <c r="C3677" s="1" t="s">
        <v>3600</v>
      </c>
      <c r="D3677" s="1" t="s">
        <v>3601</v>
      </c>
      <c r="E3677" s="1" t="s">
        <v>3893</v>
      </c>
      <c r="F3677" s="1" t="s">
        <v>13940</v>
      </c>
      <c r="G3677" s="1" t="s">
        <v>9022</v>
      </c>
      <c r="H3677" s="1" t="s">
        <v>3604</v>
      </c>
      <c r="I3677" s="1" t="s">
        <v>13941</v>
      </c>
      <c r="J3677" s="1" t="s">
        <v>3606</v>
      </c>
      <c r="K3677" s="1" t="s">
        <v>13942</v>
      </c>
      <c r="L3677" s="1"/>
      <c r="M3677" s="1"/>
    </row>
    <row x14ac:dyDescent="0.25" r="3678" customHeight="1" ht="18.75">
      <c r="A3678" s="1" t="s">
        <v>3598</v>
      </c>
      <c r="B3678" s="1" t="s">
        <v>9020</v>
      </c>
      <c r="C3678" s="1" t="s">
        <v>3600</v>
      </c>
      <c r="D3678" s="1" t="s">
        <v>3601</v>
      </c>
      <c r="E3678" s="1" t="s">
        <v>3893</v>
      </c>
      <c r="F3678" s="1" t="s">
        <v>13943</v>
      </c>
      <c r="G3678" s="1" t="s">
        <v>13944</v>
      </c>
      <c r="H3678" s="1" t="s">
        <v>3604</v>
      </c>
      <c r="I3678" s="1" t="s">
        <v>13945</v>
      </c>
      <c r="J3678" s="1" t="s">
        <v>3606</v>
      </c>
      <c r="K3678" s="1" t="s">
        <v>13946</v>
      </c>
      <c r="L3678" s="1"/>
      <c r="M3678" s="1"/>
    </row>
    <row x14ac:dyDescent="0.25" r="3679" customHeight="1" ht="18.75">
      <c r="A3679" s="1" t="s">
        <v>3598</v>
      </c>
      <c r="B3679" s="1" t="s">
        <v>9020</v>
      </c>
      <c r="C3679" s="1" t="s">
        <v>3600</v>
      </c>
      <c r="D3679" s="1" t="s">
        <v>3601</v>
      </c>
      <c r="E3679" s="1" t="s">
        <v>3893</v>
      </c>
      <c r="F3679" s="1" t="s">
        <v>13947</v>
      </c>
      <c r="G3679" s="1" t="s">
        <v>13948</v>
      </c>
      <c r="H3679" s="1" t="s">
        <v>3604</v>
      </c>
      <c r="I3679" s="1" t="s">
        <v>13949</v>
      </c>
      <c r="J3679" s="1" t="s">
        <v>3606</v>
      </c>
      <c r="K3679" s="1" t="s">
        <v>13950</v>
      </c>
      <c r="L3679" s="1"/>
      <c r="M3679" s="1"/>
    </row>
    <row x14ac:dyDescent="0.25" r="3680" customHeight="1" ht="18.75">
      <c r="A3680" s="1" t="s">
        <v>3598</v>
      </c>
      <c r="B3680" s="1" t="s">
        <v>9020</v>
      </c>
      <c r="C3680" s="1" t="s">
        <v>3600</v>
      </c>
      <c r="D3680" s="1" t="s">
        <v>3601</v>
      </c>
      <c r="E3680" s="1" t="s">
        <v>3664</v>
      </c>
      <c r="F3680" s="1" t="s">
        <v>13951</v>
      </c>
      <c r="G3680" s="1" t="s">
        <v>13952</v>
      </c>
      <c r="H3680" s="1" t="s">
        <v>3604</v>
      </c>
      <c r="I3680" s="1" t="s">
        <v>13953</v>
      </c>
      <c r="J3680" s="1" t="s">
        <v>3606</v>
      </c>
      <c r="K3680" s="1" t="s">
        <v>13954</v>
      </c>
      <c r="L3680" s="1"/>
      <c r="M3680" s="1"/>
    </row>
    <row x14ac:dyDescent="0.25" r="3681" customHeight="1" ht="18.75">
      <c r="A3681" s="1" t="s">
        <v>3598</v>
      </c>
      <c r="B3681" s="1" t="s">
        <v>9020</v>
      </c>
      <c r="C3681" s="1" t="s">
        <v>3600</v>
      </c>
      <c r="D3681" s="1" t="s">
        <v>3601</v>
      </c>
      <c r="E3681" s="1" t="s">
        <v>3664</v>
      </c>
      <c r="F3681" s="1" t="s">
        <v>13955</v>
      </c>
      <c r="G3681" s="1" t="s">
        <v>13956</v>
      </c>
      <c r="H3681" s="1" t="s">
        <v>3604</v>
      </c>
      <c r="I3681" s="1" t="s">
        <v>13957</v>
      </c>
      <c r="J3681" s="1" t="s">
        <v>3606</v>
      </c>
      <c r="K3681" s="1" t="s">
        <v>13958</v>
      </c>
      <c r="L3681" s="1"/>
      <c r="M3681" s="1"/>
    </row>
    <row x14ac:dyDescent="0.25" r="3682" customHeight="1" ht="18.75">
      <c r="A3682" s="1" t="s">
        <v>3598</v>
      </c>
      <c r="B3682" s="1" t="s">
        <v>9020</v>
      </c>
      <c r="C3682" s="1" t="s">
        <v>3600</v>
      </c>
      <c r="D3682" s="1" t="s">
        <v>3601</v>
      </c>
      <c r="E3682" s="1" t="s">
        <v>3664</v>
      </c>
      <c r="F3682" s="1" t="s">
        <v>13959</v>
      </c>
      <c r="G3682" s="1" t="s">
        <v>13960</v>
      </c>
      <c r="H3682" s="1" t="s">
        <v>3604</v>
      </c>
      <c r="I3682" s="1" t="s">
        <v>13961</v>
      </c>
      <c r="J3682" s="1" t="s">
        <v>3606</v>
      </c>
      <c r="K3682" s="1" t="s">
        <v>13962</v>
      </c>
      <c r="L3682" s="1"/>
      <c r="M3682" s="1"/>
    </row>
    <row x14ac:dyDescent="0.25" r="3683" customHeight="1" ht="18.75">
      <c r="A3683" s="1" t="s">
        <v>3598</v>
      </c>
      <c r="B3683" s="1" t="s">
        <v>9020</v>
      </c>
      <c r="C3683" s="1" t="s">
        <v>3600</v>
      </c>
      <c r="D3683" s="1" t="s">
        <v>3601</v>
      </c>
      <c r="E3683" s="1" t="s">
        <v>3664</v>
      </c>
      <c r="F3683" s="1" t="s">
        <v>13963</v>
      </c>
      <c r="G3683" s="1" t="s">
        <v>13964</v>
      </c>
      <c r="H3683" s="1" t="s">
        <v>3604</v>
      </c>
      <c r="I3683" s="1" t="s">
        <v>13965</v>
      </c>
      <c r="J3683" s="1" t="s">
        <v>3606</v>
      </c>
      <c r="K3683" s="1" t="s">
        <v>13966</v>
      </c>
      <c r="L3683" s="1"/>
      <c r="M3683" s="1"/>
    </row>
    <row x14ac:dyDescent="0.25" r="3684" customHeight="1" ht="18.75">
      <c r="A3684" s="1" t="s">
        <v>3598</v>
      </c>
      <c r="B3684" s="1" t="s">
        <v>9020</v>
      </c>
      <c r="C3684" s="1" t="s">
        <v>3600</v>
      </c>
      <c r="D3684" s="1" t="s">
        <v>3601</v>
      </c>
      <c r="E3684" s="1" t="s">
        <v>3664</v>
      </c>
      <c r="F3684" s="1" t="s">
        <v>13967</v>
      </c>
      <c r="G3684" s="1" t="s">
        <v>13968</v>
      </c>
      <c r="H3684" s="1" t="s">
        <v>3604</v>
      </c>
      <c r="I3684" s="1" t="s">
        <v>13969</v>
      </c>
      <c r="J3684" s="1" t="s">
        <v>3606</v>
      </c>
      <c r="K3684" s="1" t="s">
        <v>13970</v>
      </c>
      <c r="L3684" s="1"/>
      <c r="M3684" s="1"/>
    </row>
    <row x14ac:dyDescent="0.25" r="3685" customHeight="1" ht="18.75">
      <c r="A3685" s="1" t="s">
        <v>7833</v>
      </c>
      <c r="B3685" s="1" t="s">
        <v>8291</v>
      </c>
      <c r="C3685" s="1" t="s">
        <v>4488</v>
      </c>
      <c r="D3685" s="1" t="s">
        <v>3610</v>
      </c>
      <c r="E3685" s="1" t="s">
        <v>3664</v>
      </c>
      <c r="F3685" s="1" t="s">
        <v>13971</v>
      </c>
      <c r="G3685" s="1" t="s">
        <v>8299</v>
      </c>
      <c r="H3685" s="1" t="s">
        <v>3604</v>
      </c>
      <c r="I3685" s="1" t="s">
        <v>13972</v>
      </c>
      <c r="J3685" s="1" t="s">
        <v>3606</v>
      </c>
      <c r="K3685" s="1" t="s">
        <v>13973</v>
      </c>
      <c r="L3685" s="1" t="s">
        <v>7868</v>
      </c>
      <c r="M3685" s="1"/>
    </row>
    <row x14ac:dyDescent="0.25" r="3686" customHeight="1" ht="18.75">
      <c r="A3686" s="1" t="s">
        <v>3598</v>
      </c>
      <c r="B3686" s="1" t="s">
        <v>9020</v>
      </c>
      <c r="C3686" s="1" t="s">
        <v>3600</v>
      </c>
      <c r="D3686" s="1" t="s">
        <v>3601</v>
      </c>
      <c r="E3686" s="1" t="s">
        <v>3664</v>
      </c>
      <c r="F3686" s="1" t="s">
        <v>13974</v>
      </c>
      <c r="G3686" s="1" t="s">
        <v>13975</v>
      </c>
      <c r="H3686" s="1" t="s">
        <v>3604</v>
      </c>
      <c r="I3686" s="1" t="s">
        <v>13976</v>
      </c>
      <c r="J3686" s="1" t="s">
        <v>3606</v>
      </c>
      <c r="K3686" s="1" t="s">
        <v>13977</v>
      </c>
      <c r="L3686" s="1"/>
      <c r="M3686" s="1"/>
    </row>
    <row x14ac:dyDescent="0.25" r="3687" customHeight="1" ht="18.75">
      <c r="A3687" s="1" t="s">
        <v>3598</v>
      </c>
      <c r="B3687" s="1" t="s">
        <v>9020</v>
      </c>
      <c r="C3687" s="1" t="s">
        <v>3600</v>
      </c>
      <c r="D3687" s="1" t="s">
        <v>3601</v>
      </c>
      <c r="E3687" s="1" t="s">
        <v>3893</v>
      </c>
      <c r="F3687" s="1" t="s">
        <v>13978</v>
      </c>
      <c r="G3687" s="1" t="s">
        <v>13975</v>
      </c>
      <c r="H3687" s="1" t="s">
        <v>3604</v>
      </c>
      <c r="I3687" s="1" t="s">
        <v>13979</v>
      </c>
      <c r="J3687" s="1" t="s">
        <v>3606</v>
      </c>
      <c r="K3687" s="1" t="s">
        <v>13980</v>
      </c>
      <c r="L3687" s="1"/>
      <c r="M3687" s="1"/>
    </row>
    <row x14ac:dyDescent="0.25" r="3688" customHeight="1" ht="18.75">
      <c r="A3688" s="1" t="s">
        <v>3598</v>
      </c>
      <c r="B3688" s="1" t="s">
        <v>9020</v>
      </c>
      <c r="C3688" s="1" t="s">
        <v>3600</v>
      </c>
      <c r="D3688" s="1" t="s">
        <v>3601</v>
      </c>
      <c r="E3688" s="1" t="s">
        <v>3893</v>
      </c>
      <c r="F3688" s="1" t="s">
        <v>13981</v>
      </c>
      <c r="G3688" s="1" t="s">
        <v>13975</v>
      </c>
      <c r="H3688" s="1" t="s">
        <v>3604</v>
      </c>
      <c r="I3688" s="1" t="s">
        <v>13982</v>
      </c>
      <c r="J3688" s="1" t="s">
        <v>3606</v>
      </c>
      <c r="K3688" s="1" t="s">
        <v>13983</v>
      </c>
      <c r="L3688" s="1"/>
      <c r="M3688" s="1"/>
    </row>
    <row x14ac:dyDescent="0.25" r="3689" customHeight="1" ht="18.75">
      <c r="A3689" s="1" t="s">
        <v>3598</v>
      </c>
      <c r="B3689" s="1" t="s">
        <v>13984</v>
      </c>
      <c r="C3689" s="1" t="s">
        <v>3600</v>
      </c>
      <c r="D3689" s="1" t="s">
        <v>3601</v>
      </c>
      <c r="E3689" s="1" t="s">
        <v>3893</v>
      </c>
      <c r="F3689" s="1" t="s">
        <v>13985</v>
      </c>
      <c r="G3689" s="1" t="s">
        <v>13986</v>
      </c>
      <c r="H3689" s="1" t="s">
        <v>3604</v>
      </c>
      <c r="I3689" s="1" t="s">
        <v>13987</v>
      </c>
      <c r="J3689" s="1" t="s">
        <v>3606</v>
      </c>
      <c r="K3689" s="1" t="s">
        <v>13988</v>
      </c>
      <c r="L3689" s="1"/>
      <c r="M3689" s="1"/>
    </row>
    <row x14ac:dyDescent="0.25" r="3690" customHeight="1" ht="18.75">
      <c r="A3690" s="1" t="s">
        <v>3598</v>
      </c>
      <c r="B3690" s="1" t="s">
        <v>9020</v>
      </c>
      <c r="C3690" s="1" t="s">
        <v>3600</v>
      </c>
      <c r="D3690" s="1" t="s">
        <v>3601</v>
      </c>
      <c r="E3690" s="1" t="s">
        <v>3664</v>
      </c>
      <c r="F3690" s="1" t="s">
        <v>13989</v>
      </c>
      <c r="G3690" s="1" t="s">
        <v>13960</v>
      </c>
      <c r="H3690" s="1" t="s">
        <v>3604</v>
      </c>
      <c r="I3690" s="1" t="s">
        <v>13990</v>
      </c>
      <c r="J3690" s="1" t="s">
        <v>3606</v>
      </c>
      <c r="K3690" s="1" t="s">
        <v>13991</v>
      </c>
      <c r="L3690" s="1"/>
      <c r="M3690" s="1"/>
    </row>
    <row x14ac:dyDescent="0.25" r="3691" customHeight="1" ht="18.75">
      <c r="A3691" s="1" t="s">
        <v>3598</v>
      </c>
      <c r="B3691" s="1" t="s">
        <v>9020</v>
      </c>
      <c r="C3691" s="1" t="s">
        <v>3600</v>
      </c>
      <c r="D3691" s="1" t="s">
        <v>3601</v>
      </c>
      <c r="E3691" s="1" t="s">
        <v>3664</v>
      </c>
      <c r="F3691" s="1" t="s">
        <v>13992</v>
      </c>
      <c r="G3691" s="1" t="s">
        <v>13797</v>
      </c>
      <c r="H3691" s="1" t="s">
        <v>3604</v>
      </c>
      <c r="I3691" s="1" t="s">
        <v>13993</v>
      </c>
      <c r="J3691" s="1" t="s">
        <v>3606</v>
      </c>
      <c r="K3691" s="1" t="s">
        <v>13994</v>
      </c>
      <c r="L3691" s="1"/>
      <c r="M3691" s="1"/>
    </row>
    <row x14ac:dyDescent="0.25" r="3692" customHeight="1" ht="18.75">
      <c r="A3692" s="1" t="s">
        <v>3598</v>
      </c>
      <c r="B3692" s="1" t="s">
        <v>9020</v>
      </c>
      <c r="C3692" s="1" t="s">
        <v>3600</v>
      </c>
      <c r="D3692" s="1" t="s">
        <v>3601</v>
      </c>
      <c r="E3692" s="1" t="s">
        <v>3664</v>
      </c>
      <c r="F3692" s="1" t="s">
        <v>13995</v>
      </c>
      <c r="G3692" s="1" t="s">
        <v>13812</v>
      </c>
      <c r="H3692" s="1" t="s">
        <v>3604</v>
      </c>
      <c r="I3692" s="1" t="s">
        <v>13996</v>
      </c>
      <c r="J3692" s="1" t="s">
        <v>3606</v>
      </c>
      <c r="K3692" s="1" t="s">
        <v>13997</v>
      </c>
      <c r="L3692" s="1"/>
      <c r="M3692" s="1"/>
    </row>
    <row x14ac:dyDescent="0.25" r="3693" customHeight="1" ht="18.75">
      <c r="A3693" s="1" t="s">
        <v>3598</v>
      </c>
      <c r="B3693" s="1" t="s">
        <v>9020</v>
      </c>
      <c r="C3693" s="1" t="s">
        <v>3600</v>
      </c>
      <c r="D3693" s="1" t="s">
        <v>3601</v>
      </c>
      <c r="E3693" s="1" t="s">
        <v>3664</v>
      </c>
      <c r="F3693" s="1" t="s">
        <v>13998</v>
      </c>
      <c r="G3693" s="1" t="s">
        <v>13789</v>
      </c>
      <c r="H3693" s="1" t="s">
        <v>3604</v>
      </c>
      <c r="I3693" s="1" t="s">
        <v>13999</v>
      </c>
      <c r="J3693" s="1" t="s">
        <v>3606</v>
      </c>
      <c r="K3693" s="1" t="s">
        <v>14000</v>
      </c>
      <c r="L3693" s="1"/>
      <c r="M3693" s="1"/>
    </row>
    <row x14ac:dyDescent="0.25" r="3694" customHeight="1" ht="18.75">
      <c r="A3694" s="1" t="s">
        <v>3598</v>
      </c>
      <c r="B3694" s="1" t="s">
        <v>9020</v>
      </c>
      <c r="C3694" s="1" t="s">
        <v>3600</v>
      </c>
      <c r="D3694" s="1" t="s">
        <v>3601</v>
      </c>
      <c r="E3694" s="1" t="s">
        <v>3893</v>
      </c>
      <c r="F3694" s="1" t="s">
        <v>14001</v>
      </c>
      <c r="G3694" s="1" t="s">
        <v>14002</v>
      </c>
      <c r="H3694" s="1" t="s">
        <v>3604</v>
      </c>
      <c r="I3694" s="1" t="s">
        <v>14003</v>
      </c>
      <c r="J3694" s="1" t="s">
        <v>3606</v>
      </c>
      <c r="K3694" s="1" t="s">
        <v>14004</v>
      </c>
      <c r="L3694" s="1"/>
      <c r="M3694" s="1"/>
    </row>
    <row x14ac:dyDescent="0.25" r="3695" customHeight="1" ht="18.75">
      <c r="A3695" s="1" t="s">
        <v>3598</v>
      </c>
      <c r="B3695" s="1" t="s">
        <v>9020</v>
      </c>
      <c r="C3695" s="1" t="s">
        <v>3600</v>
      </c>
      <c r="D3695" s="1" t="s">
        <v>3601</v>
      </c>
      <c r="E3695" s="1" t="s">
        <v>3893</v>
      </c>
      <c r="F3695" s="1" t="s">
        <v>14005</v>
      </c>
      <c r="G3695" s="1" t="s">
        <v>14006</v>
      </c>
      <c r="H3695" s="1" t="s">
        <v>3604</v>
      </c>
      <c r="I3695" s="1" t="s">
        <v>14007</v>
      </c>
      <c r="J3695" s="1" t="s">
        <v>3606</v>
      </c>
      <c r="K3695" s="1" t="s">
        <v>14008</v>
      </c>
      <c r="L3695" s="1"/>
      <c r="M3695" s="1"/>
    </row>
    <row x14ac:dyDescent="0.25" r="3696" customHeight="1" ht="18.75">
      <c r="A3696" s="1" t="s">
        <v>3598</v>
      </c>
      <c r="B3696" s="1" t="s">
        <v>9020</v>
      </c>
      <c r="C3696" s="1" t="s">
        <v>3600</v>
      </c>
      <c r="D3696" s="1" t="s">
        <v>3601</v>
      </c>
      <c r="E3696" s="1" t="s">
        <v>3893</v>
      </c>
      <c r="F3696" s="1" t="s">
        <v>14009</v>
      </c>
      <c r="G3696" s="1" t="s">
        <v>13986</v>
      </c>
      <c r="H3696" s="1" t="s">
        <v>3604</v>
      </c>
      <c r="I3696" s="1" t="s">
        <v>14010</v>
      </c>
      <c r="J3696" s="1" t="s">
        <v>3606</v>
      </c>
      <c r="K3696" s="1" t="s">
        <v>14011</v>
      </c>
      <c r="L3696" s="1"/>
      <c r="M3696" s="1"/>
    </row>
    <row x14ac:dyDescent="0.25" r="3697" customHeight="1" ht="18.75">
      <c r="A3697" s="1" t="s">
        <v>3598</v>
      </c>
      <c r="B3697" s="1" t="s">
        <v>9020</v>
      </c>
      <c r="C3697" s="1" t="s">
        <v>3600</v>
      </c>
      <c r="D3697" s="1" t="s">
        <v>3601</v>
      </c>
      <c r="E3697" s="1" t="s">
        <v>3893</v>
      </c>
      <c r="F3697" s="1" t="s">
        <v>14012</v>
      </c>
      <c r="G3697" s="1" t="s">
        <v>13975</v>
      </c>
      <c r="H3697" s="1" t="s">
        <v>3604</v>
      </c>
      <c r="I3697" s="1" t="s">
        <v>14013</v>
      </c>
      <c r="J3697" s="1" t="s">
        <v>3606</v>
      </c>
      <c r="K3697" s="1" t="s">
        <v>14014</v>
      </c>
      <c r="L3697" s="1"/>
      <c r="M3697" s="1"/>
    </row>
    <row x14ac:dyDescent="0.25" r="3698" customHeight="1" ht="18.75">
      <c r="A3698" s="1" t="s">
        <v>3598</v>
      </c>
      <c r="B3698" s="1" t="s">
        <v>9020</v>
      </c>
      <c r="C3698" s="1" t="s">
        <v>3600</v>
      </c>
      <c r="D3698" s="1" t="s">
        <v>3601</v>
      </c>
      <c r="E3698" s="1" t="s">
        <v>3893</v>
      </c>
      <c r="F3698" s="1" t="s">
        <v>14015</v>
      </c>
      <c r="G3698" s="1" t="s">
        <v>13975</v>
      </c>
      <c r="H3698" s="1" t="s">
        <v>3604</v>
      </c>
      <c r="I3698" s="1" t="s">
        <v>14016</v>
      </c>
      <c r="J3698" s="1" t="s">
        <v>3606</v>
      </c>
      <c r="K3698" s="1" t="s">
        <v>14017</v>
      </c>
      <c r="L3698" s="1"/>
      <c r="M3698" s="1"/>
    </row>
    <row x14ac:dyDescent="0.25" r="3699" customHeight="1" ht="18.75">
      <c r="A3699" s="1" t="s">
        <v>3598</v>
      </c>
      <c r="B3699" s="1" t="s">
        <v>9020</v>
      </c>
      <c r="C3699" s="1" t="s">
        <v>3600</v>
      </c>
      <c r="D3699" s="1" t="s">
        <v>3601</v>
      </c>
      <c r="E3699" s="1" t="s">
        <v>3893</v>
      </c>
      <c r="F3699" s="1" t="s">
        <v>14018</v>
      </c>
      <c r="G3699" s="1" t="s">
        <v>13975</v>
      </c>
      <c r="H3699" s="1" t="s">
        <v>3604</v>
      </c>
      <c r="I3699" s="1" t="s">
        <v>14019</v>
      </c>
      <c r="J3699" s="1" t="s">
        <v>3606</v>
      </c>
      <c r="K3699" s="1" t="s">
        <v>14020</v>
      </c>
      <c r="L3699" s="1"/>
      <c r="M3699" s="1"/>
    </row>
    <row x14ac:dyDescent="0.25" r="3700" customHeight="1" ht="18.75">
      <c r="A3700" s="1" t="s">
        <v>3598</v>
      </c>
      <c r="B3700" s="1" t="s">
        <v>14021</v>
      </c>
      <c r="C3700" s="1" t="s">
        <v>3600</v>
      </c>
      <c r="D3700" s="1" t="s">
        <v>3601</v>
      </c>
      <c r="E3700" s="1" t="s">
        <v>3893</v>
      </c>
      <c r="F3700" s="1" t="s">
        <v>14022</v>
      </c>
      <c r="G3700" s="1" t="s">
        <v>14002</v>
      </c>
      <c r="H3700" s="1" t="s">
        <v>3604</v>
      </c>
      <c r="I3700" s="1" t="s">
        <v>14023</v>
      </c>
      <c r="J3700" s="1" t="s">
        <v>3606</v>
      </c>
      <c r="K3700" s="1" t="s">
        <v>14024</v>
      </c>
      <c r="L3700" s="1"/>
      <c r="M3700" s="1"/>
    </row>
    <row x14ac:dyDescent="0.25" r="3701" customHeight="1" ht="18.75">
      <c r="A3701" s="1" t="s">
        <v>3598</v>
      </c>
      <c r="B3701" s="1" t="s">
        <v>14025</v>
      </c>
      <c r="C3701" s="1" t="s">
        <v>3600</v>
      </c>
      <c r="D3701" s="1" t="s">
        <v>3601</v>
      </c>
      <c r="E3701" s="1" t="s">
        <v>3664</v>
      </c>
      <c r="F3701" s="1" t="s">
        <v>14026</v>
      </c>
      <c r="G3701" s="1" t="s">
        <v>13960</v>
      </c>
      <c r="H3701" s="1" t="s">
        <v>3604</v>
      </c>
      <c r="I3701" s="1" t="s">
        <v>14027</v>
      </c>
      <c r="J3701" s="1" t="s">
        <v>3606</v>
      </c>
      <c r="K3701" s="1" t="s">
        <v>14028</v>
      </c>
      <c r="L3701" s="1"/>
      <c r="M3701" s="1"/>
    </row>
    <row x14ac:dyDescent="0.25" r="3702" customHeight="1" ht="18.75">
      <c r="A3702" s="1" t="s">
        <v>3598</v>
      </c>
      <c r="B3702" s="1" t="s">
        <v>14025</v>
      </c>
      <c r="C3702" s="1" t="s">
        <v>3600</v>
      </c>
      <c r="D3702" s="1" t="s">
        <v>3601</v>
      </c>
      <c r="E3702" s="1" t="s">
        <v>3664</v>
      </c>
      <c r="F3702" s="1" t="s">
        <v>14029</v>
      </c>
      <c r="G3702" s="1" t="s">
        <v>13960</v>
      </c>
      <c r="H3702" s="1" t="s">
        <v>3604</v>
      </c>
      <c r="I3702" s="1" t="s">
        <v>14030</v>
      </c>
      <c r="J3702" s="1" t="s">
        <v>3606</v>
      </c>
      <c r="K3702" s="1" t="s">
        <v>14031</v>
      </c>
      <c r="L3702" s="1"/>
      <c r="M3702" s="1"/>
    </row>
    <row x14ac:dyDescent="0.25" r="3703" customHeight="1" ht="18.75">
      <c r="A3703" s="1" t="s">
        <v>3598</v>
      </c>
      <c r="B3703" s="1" t="s">
        <v>9116</v>
      </c>
      <c r="C3703" s="1" t="s">
        <v>3600</v>
      </c>
      <c r="D3703" s="1" t="s">
        <v>3601</v>
      </c>
      <c r="E3703" s="1" t="s">
        <v>3664</v>
      </c>
      <c r="F3703" s="1" t="s">
        <v>14032</v>
      </c>
      <c r="G3703" s="1" t="s">
        <v>13952</v>
      </c>
      <c r="H3703" s="1" t="s">
        <v>3604</v>
      </c>
      <c r="I3703" s="1" t="s">
        <v>14033</v>
      </c>
      <c r="J3703" s="1" t="s">
        <v>3606</v>
      </c>
      <c r="K3703" s="1" t="s">
        <v>14034</v>
      </c>
      <c r="L3703" s="1"/>
      <c r="M3703" s="1"/>
    </row>
    <row x14ac:dyDescent="0.25" r="3704" customHeight="1" ht="18.75">
      <c r="A3704" s="1" t="s">
        <v>3598</v>
      </c>
      <c r="B3704" s="1" t="s">
        <v>9116</v>
      </c>
      <c r="C3704" s="1" t="s">
        <v>3600</v>
      </c>
      <c r="D3704" s="1" t="s">
        <v>3601</v>
      </c>
      <c r="E3704" s="1" t="s">
        <v>3664</v>
      </c>
      <c r="F3704" s="1" t="s">
        <v>14035</v>
      </c>
      <c r="G3704" s="1" t="s">
        <v>13956</v>
      </c>
      <c r="H3704" s="1" t="s">
        <v>3604</v>
      </c>
      <c r="I3704" s="1" t="s">
        <v>14036</v>
      </c>
      <c r="J3704" s="1" t="s">
        <v>3606</v>
      </c>
      <c r="K3704" s="1" t="s">
        <v>14037</v>
      </c>
      <c r="L3704" s="1"/>
      <c r="M3704" s="1"/>
    </row>
    <row x14ac:dyDescent="0.25" r="3705" customHeight="1" ht="18.75">
      <c r="A3705" s="1" t="s">
        <v>3598</v>
      </c>
      <c r="B3705" s="1" t="s">
        <v>14038</v>
      </c>
      <c r="C3705" s="1" t="s">
        <v>3600</v>
      </c>
      <c r="D3705" s="1" t="s">
        <v>3601</v>
      </c>
      <c r="E3705" s="1" t="s">
        <v>3664</v>
      </c>
      <c r="F3705" s="1" t="s">
        <v>14039</v>
      </c>
      <c r="G3705" s="1" t="s">
        <v>13964</v>
      </c>
      <c r="H3705" s="1" t="s">
        <v>3604</v>
      </c>
      <c r="I3705" s="1" t="s">
        <v>14040</v>
      </c>
      <c r="J3705" s="1" t="s">
        <v>3606</v>
      </c>
      <c r="K3705" s="1" t="s">
        <v>14041</v>
      </c>
      <c r="L3705" s="1"/>
      <c r="M3705" s="1"/>
    </row>
    <row x14ac:dyDescent="0.25" r="3706" customHeight="1" ht="18.75">
      <c r="A3706" s="1" t="s">
        <v>3598</v>
      </c>
      <c r="B3706" s="1" t="s">
        <v>14038</v>
      </c>
      <c r="C3706" s="1" t="s">
        <v>3600</v>
      </c>
      <c r="D3706" s="1" t="s">
        <v>3601</v>
      </c>
      <c r="E3706" s="1" t="s">
        <v>3664</v>
      </c>
      <c r="F3706" s="1" t="s">
        <v>14042</v>
      </c>
      <c r="G3706" s="1" t="s">
        <v>13968</v>
      </c>
      <c r="H3706" s="1" t="s">
        <v>3604</v>
      </c>
      <c r="I3706" s="1" t="s">
        <v>14043</v>
      </c>
      <c r="J3706" s="1" t="s">
        <v>3606</v>
      </c>
      <c r="K3706" s="1" t="s">
        <v>14044</v>
      </c>
      <c r="L3706" s="1"/>
      <c r="M3706" s="1"/>
    </row>
    <row x14ac:dyDescent="0.25" r="3707" customHeight="1" ht="18.75">
      <c r="A3707" s="1" t="s">
        <v>3598</v>
      </c>
      <c r="B3707" s="1" t="s">
        <v>9273</v>
      </c>
      <c r="C3707" s="1" t="s">
        <v>3600</v>
      </c>
      <c r="D3707" s="1" t="s">
        <v>10630</v>
      </c>
      <c r="E3707" s="1" t="s">
        <v>3752</v>
      </c>
      <c r="F3707" s="1" t="s">
        <v>14045</v>
      </c>
      <c r="G3707" s="1" t="s">
        <v>14046</v>
      </c>
      <c r="H3707" s="1" t="s">
        <v>3604</v>
      </c>
      <c r="I3707" s="1" t="s">
        <v>14047</v>
      </c>
      <c r="J3707" s="1" t="s">
        <v>3606</v>
      </c>
      <c r="K3707" s="1" t="s">
        <v>14048</v>
      </c>
      <c r="L3707" s="1" t="s">
        <v>14049</v>
      </c>
      <c r="M3707" s="1"/>
    </row>
    <row x14ac:dyDescent="0.25" r="3708" customHeight="1" ht="18.75">
      <c r="A3708" s="1" t="s">
        <v>3598</v>
      </c>
      <c r="B3708" s="1" t="s">
        <v>9449</v>
      </c>
      <c r="C3708" s="1" t="s">
        <v>3600</v>
      </c>
      <c r="D3708" s="1" t="s">
        <v>10630</v>
      </c>
      <c r="E3708" s="1" t="s">
        <v>3752</v>
      </c>
      <c r="F3708" s="1" t="s">
        <v>14050</v>
      </c>
      <c r="G3708" s="1" t="s">
        <v>14051</v>
      </c>
      <c r="H3708" s="1" t="s">
        <v>3604</v>
      </c>
      <c r="I3708" s="1" t="s">
        <v>14052</v>
      </c>
      <c r="J3708" s="1" t="s">
        <v>3606</v>
      </c>
      <c r="K3708" s="1" t="s">
        <v>14053</v>
      </c>
      <c r="L3708" s="1" t="s">
        <v>14049</v>
      </c>
      <c r="M3708" s="1"/>
    </row>
    <row x14ac:dyDescent="0.25" r="3709" customHeight="1" ht="18.75">
      <c r="A3709" s="1" t="s">
        <v>3598</v>
      </c>
      <c r="B3709" s="1" t="s">
        <v>14054</v>
      </c>
      <c r="C3709" s="1" t="s">
        <v>3600</v>
      </c>
      <c r="D3709" s="1" t="s">
        <v>10630</v>
      </c>
      <c r="E3709" s="1" t="s">
        <v>3752</v>
      </c>
      <c r="F3709" s="1" t="s">
        <v>14055</v>
      </c>
      <c r="G3709" s="1" t="s">
        <v>14056</v>
      </c>
      <c r="H3709" s="1" t="s">
        <v>3604</v>
      </c>
      <c r="I3709" s="1" t="s">
        <v>14057</v>
      </c>
      <c r="J3709" s="1" t="s">
        <v>3606</v>
      </c>
      <c r="K3709" s="1" t="s">
        <v>14058</v>
      </c>
      <c r="L3709" s="1" t="s">
        <v>14049</v>
      </c>
      <c r="M3709" s="1"/>
    </row>
    <row x14ac:dyDescent="0.25" r="3710" customHeight="1" ht="18.75">
      <c r="A3710" s="1" t="s">
        <v>7833</v>
      </c>
      <c r="B3710" s="1" t="s">
        <v>8694</v>
      </c>
      <c r="C3710" s="1" t="s">
        <v>4488</v>
      </c>
      <c r="D3710" s="1" t="s">
        <v>3610</v>
      </c>
      <c r="E3710" s="1" t="s">
        <v>8096</v>
      </c>
      <c r="F3710" s="1" t="s">
        <v>14059</v>
      </c>
      <c r="G3710" s="1" t="s">
        <v>14060</v>
      </c>
      <c r="H3710" s="1" t="s">
        <v>3604</v>
      </c>
      <c r="I3710" s="1" t="s">
        <v>14061</v>
      </c>
      <c r="J3710" s="1" t="s">
        <v>3606</v>
      </c>
      <c r="K3710" s="1" t="s">
        <v>14062</v>
      </c>
      <c r="L3710" s="1" t="s">
        <v>7868</v>
      </c>
      <c r="M3710" s="1"/>
    </row>
    <row x14ac:dyDescent="0.25" r="3711" customHeight="1" ht="18.75">
      <c r="A3711" s="1" t="s">
        <v>7833</v>
      </c>
      <c r="B3711" s="1" t="s">
        <v>14063</v>
      </c>
      <c r="C3711" s="1" t="s">
        <v>4488</v>
      </c>
      <c r="D3711" s="1" t="s">
        <v>3610</v>
      </c>
      <c r="E3711" s="1" t="s">
        <v>3752</v>
      </c>
      <c r="F3711" s="1" t="s">
        <v>14064</v>
      </c>
      <c r="G3711" s="1" t="s">
        <v>14065</v>
      </c>
      <c r="H3711" s="1" t="s">
        <v>3604</v>
      </c>
      <c r="I3711" s="1" t="s">
        <v>14066</v>
      </c>
      <c r="J3711" s="1" t="s">
        <v>3606</v>
      </c>
      <c r="K3711" s="1" t="s">
        <v>14067</v>
      </c>
      <c r="L3711" s="1" t="s">
        <v>7868</v>
      </c>
      <c r="M3711" s="1"/>
    </row>
    <row x14ac:dyDescent="0.25" r="3712" customHeight="1" ht="18.75">
      <c r="A3712" s="1" t="s">
        <v>7833</v>
      </c>
      <c r="B3712" s="1" t="s">
        <v>14063</v>
      </c>
      <c r="C3712" s="1" t="s">
        <v>4488</v>
      </c>
      <c r="D3712" s="1" t="s">
        <v>3610</v>
      </c>
      <c r="E3712" s="1" t="s">
        <v>3981</v>
      </c>
      <c r="F3712" s="1" t="s">
        <v>14068</v>
      </c>
      <c r="G3712" s="1" t="s">
        <v>14069</v>
      </c>
      <c r="H3712" s="1" t="s">
        <v>3604</v>
      </c>
      <c r="I3712" s="1" t="s">
        <v>14070</v>
      </c>
      <c r="J3712" s="1" t="s">
        <v>3606</v>
      </c>
      <c r="K3712" s="1" t="s">
        <v>14071</v>
      </c>
      <c r="L3712" s="1" t="s">
        <v>7868</v>
      </c>
      <c r="M3712" s="1"/>
    </row>
    <row x14ac:dyDescent="0.25" r="3713" customHeight="1" ht="18.75">
      <c r="A3713" s="1" t="s">
        <v>7833</v>
      </c>
      <c r="B3713" s="1" t="s">
        <v>14063</v>
      </c>
      <c r="C3713" s="1" t="s">
        <v>4488</v>
      </c>
      <c r="D3713" s="1" t="s">
        <v>3610</v>
      </c>
      <c r="E3713" s="1" t="s">
        <v>3981</v>
      </c>
      <c r="F3713" s="1" t="s">
        <v>14072</v>
      </c>
      <c r="G3713" s="1" t="s">
        <v>14069</v>
      </c>
      <c r="H3713" s="1" t="s">
        <v>3604</v>
      </c>
      <c r="I3713" s="1" t="s">
        <v>14073</v>
      </c>
      <c r="J3713" s="1" t="s">
        <v>3606</v>
      </c>
      <c r="K3713" s="1" t="s">
        <v>14074</v>
      </c>
      <c r="L3713" s="1" t="s">
        <v>7868</v>
      </c>
      <c r="M3713" s="1"/>
    </row>
    <row x14ac:dyDescent="0.25" r="3714" customHeight="1" ht="18.75">
      <c r="A3714" s="1" t="s">
        <v>7833</v>
      </c>
      <c r="B3714" s="1" t="s">
        <v>14063</v>
      </c>
      <c r="C3714" s="1" t="s">
        <v>4488</v>
      </c>
      <c r="D3714" s="1" t="s">
        <v>3610</v>
      </c>
      <c r="E3714" s="1" t="s">
        <v>3981</v>
      </c>
      <c r="F3714" s="1" t="s">
        <v>14075</v>
      </c>
      <c r="G3714" s="1" t="s">
        <v>14069</v>
      </c>
      <c r="H3714" s="1" t="s">
        <v>3604</v>
      </c>
      <c r="I3714" s="1" t="s">
        <v>14076</v>
      </c>
      <c r="J3714" s="1" t="s">
        <v>3606</v>
      </c>
      <c r="K3714" s="1" t="s">
        <v>14077</v>
      </c>
      <c r="L3714" s="1" t="s">
        <v>7868</v>
      </c>
      <c r="M3714" s="1"/>
    </row>
    <row x14ac:dyDescent="0.25" r="3715" customHeight="1" ht="18.75">
      <c r="A3715" s="1" t="s">
        <v>7833</v>
      </c>
      <c r="B3715" s="1" t="s">
        <v>14063</v>
      </c>
      <c r="C3715" s="1" t="s">
        <v>4488</v>
      </c>
      <c r="D3715" s="1" t="s">
        <v>3610</v>
      </c>
      <c r="E3715" s="1" t="s">
        <v>3981</v>
      </c>
      <c r="F3715" s="1" t="s">
        <v>14078</v>
      </c>
      <c r="G3715" s="1" t="s">
        <v>14079</v>
      </c>
      <c r="H3715" s="1" t="s">
        <v>3604</v>
      </c>
      <c r="I3715" s="1" t="s">
        <v>14080</v>
      </c>
      <c r="J3715" s="1" t="s">
        <v>3606</v>
      </c>
      <c r="K3715" s="1" t="s">
        <v>14081</v>
      </c>
      <c r="L3715" s="1" t="s">
        <v>7868</v>
      </c>
      <c r="M3715" s="1"/>
    </row>
    <row x14ac:dyDescent="0.25" r="3716" customHeight="1" ht="18.75">
      <c r="A3716" s="1" t="s">
        <v>7833</v>
      </c>
      <c r="B3716" s="1" t="s">
        <v>14063</v>
      </c>
      <c r="C3716" s="1" t="s">
        <v>4488</v>
      </c>
      <c r="D3716" s="1" t="s">
        <v>3610</v>
      </c>
      <c r="E3716" s="1" t="s">
        <v>3981</v>
      </c>
      <c r="F3716" s="1" t="s">
        <v>14082</v>
      </c>
      <c r="G3716" s="1" t="s">
        <v>14079</v>
      </c>
      <c r="H3716" s="1" t="s">
        <v>3604</v>
      </c>
      <c r="I3716" s="1" t="s">
        <v>14083</v>
      </c>
      <c r="J3716" s="1" t="s">
        <v>3606</v>
      </c>
      <c r="K3716" s="1" t="s">
        <v>14084</v>
      </c>
      <c r="L3716" s="1" t="s">
        <v>7868</v>
      </c>
      <c r="M3716" s="1"/>
    </row>
    <row x14ac:dyDescent="0.25" r="3717" customHeight="1" ht="18.75">
      <c r="A3717" s="1" t="s">
        <v>7833</v>
      </c>
      <c r="B3717" s="1" t="s">
        <v>14063</v>
      </c>
      <c r="C3717" s="1" t="s">
        <v>4488</v>
      </c>
      <c r="D3717" s="1" t="s">
        <v>3610</v>
      </c>
      <c r="E3717" s="1" t="s">
        <v>3981</v>
      </c>
      <c r="F3717" s="1" t="s">
        <v>14085</v>
      </c>
      <c r="G3717" s="1" t="s">
        <v>14079</v>
      </c>
      <c r="H3717" s="1" t="s">
        <v>3604</v>
      </c>
      <c r="I3717" s="1" t="s">
        <v>14086</v>
      </c>
      <c r="J3717" s="1" t="s">
        <v>3606</v>
      </c>
      <c r="K3717" s="1" t="s">
        <v>14087</v>
      </c>
      <c r="L3717" s="1" t="s">
        <v>7868</v>
      </c>
      <c r="M3717" s="1"/>
    </row>
    <row x14ac:dyDescent="0.25" r="3718" customHeight="1" ht="18.75">
      <c r="A3718" s="1" t="s">
        <v>7833</v>
      </c>
      <c r="B3718" s="1" t="s">
        <v>14063</v>
      </c>
      <c r="C3718" s="1" t="s">
        <v>4488</v>
      </c>
      <c r="D3718" s="1" t="s">
        <v>3610</v>
      </c>
      <c r="E3718" s="1" t="s">
        <v>3981</v>
      </c>
      <c r="F3718" s="1" t="s">
        <v>14088</v>
      </c>
      <c r="G3718" s="1" t="s">
        <v>14089</v>
      </c>
      <c r="H3718" s="1" t="s">
        <v>3604</v>
      </c>
      <c r="I3718" s="1" t="s">
        <v>14090</v>
      </c>
      <c r="J3718" s="1" t="s">
        <v>3606</v>
      </c>
      <c r="K3718" s="1" t="s">
        <v>14091</v>
      </c>
      <c r="L3718" s="1" t="s">
        <v>7868</v>
      </c>
      <c r="M3718" s="1"/>
    </row>
    <row x14ac:dyDescent="0.25" r="3719" customHeight="1" ht="18.75">
      <c r="A3719" s="1" t="s">
        <v>7833</v>
      </c>
      <c r="B3719" s="1" t="s">
        <v>14063</v>
      </c>
      <c r="C3719" s="1" t="s">
        <v>4488</v>
      </c>
      <c r="D3719" s="1" t="s">
        <v>3610</v>
      </c>
      <c r="E3719" s="1" t="s">
        <v>3981</v>
      </c>
      <c r="F3719" s="1" t="s">
        <v>14092</v>
      </c>
      <c r="G3719" s="1" t="s">
        <v>14089</v>
      </c>
      <c r="H3719" s="1" t="s">
        <v>3604</v>
      </c>
      <c r="I3719" s="1" t="s">
        <v>14093</v>
      </c>
      <c r="J3719" s="1" t="s">
        <v>3606</v>
      </c>
      <c r="K3719" s="1" t="s">
        <v>14094</v>
      </c>
      <c r="L3719" s="1" t="s">
        <v>7868</v>
      </c>
      <c r="M3719" s="1"/>
    </row>
    <row x14ac:dyDescent="0.25" r="3720" customHeight="1" ht="18.75">
      <c r="A3720" s="1" t="s">
        <v>3693</v>
      </c>
      <c r="B3720" s="1" t="s">
        <v>6637</v>
      </c>
      <c r="C3720" s="1" t="s">
        <v>3619</v>
      </c>
      <c r="D3720" s="1" t="s">
        <v>533</v>
      </c>
      <c r="E3720" s="1" t="s">
        <v>3893</v>
      </c>
      <c r="F3720" s="1" t="s">
        <v>14095</v>
      </c>
      <c r="G3720" s="1" t="s">
        <v>14096</v>
      </c>
      <c r="H3720" s="1" t="s">
        <v>3604</v>
      </c>
      <c r="I3720" s="1" t="s">
        <v>14097</v>
      </c>
      <c r="J3720" s="1" t="s">
        <v>3606</v>
      </c>
      <c r="K3720" s="1"/>
      <c r="L3720" s="1"/>
      <c r="M3720" s="1"/>
    </row>
    <row x14ac:dyDescent="0.25" r="3721" customHeight="1" ht="18.75">
      <c r="A3721" s="1" t="s">
        <v>7833</v>
      </c>
      <c r="B3721" s="1" t="s">
        <v>14063</v>
      </c>
      <c r="C3721" s="1" t="s">
        <v>4488</v>
      </c>
      <c r="D3721" s="1" t="s">
        <v>3610</v>
      </c>
      <c r="E3721" s="1" t="s">
        <v>3981</v>
      </c>
      <c r="F3721" s="1" t="s">
        <v>14098</v>
      </c>
      <c r="G3721" s="1" t="s">
        <v>14089</v>
      </c>
      <c r="H3721" s="1" t="s">
        <v>3604</v>
      </c>
      <c r="I3721" s="1" t="s">
        <v>14099</v>
      </c>
      <c r="J3721" s="1" t="s">
        <v>3606</v>
      </c>
      <c r="K3721" s="1" t="s">
        <v>14100</v>
      </c>
      <c r="L3721" s="1" t="s">
        <v>7868</v>
      </c>
      <c r="M3721" s="1"/>
    </row>
    <row x14ac:dyDescent="0.25" r="3722" customHeight="1" ht="18.75">
      <c r="A3722" s="1" t="s">
        <v>3598</v>
      </c>
      <c r="B3722" s="1" t="s">
        <v>9012</v>
      </c>
      <c r="C3722" s="1" t="s">
        <v>3600</v>
      </c>
      <c r="D3722" s="1" t="s">
        <v>7891</v>
      </c>
      <c r="E3722" s="1" t="s">
        <v>3893</v>
      </c>
      <c r="F3722" s="1" t="s">
        <v>14101</v>
      </c>
      <c r="G3722" s="1" t="s">
        <v>14102</v>
      </c>
      <c r="H3722" s="1" t="s">
        <v>3606</v>
      </c>
      <c r="I3722" s="1" t="s">
        <v>14103</v>
      </c>
      <c r="J3722" s="1" t="s">
        <v>3615</v>
      </c>
      <c r="K3722" s="1"/>
      <c r="L3722" s="1"/>
      <c r="M3722" s="1"/>
    </row>
    <row x14ac:dyDescent="0.25" r="3723" customHeight="1" ht="18.75">
      <c r="A3723" s="1" t="s">
        <v>3598</v>
      </c>
      <c r="B3723" s="1" t="s">
        <v>14104</v>
      </c>
      <c r="C3723" s="1" t="s">
        <v>3600</v>
      </c>
      <c r="D3723" s="1" t="s">
        <v>7891</v>
      </c>
      <c r="E3723" s="1" t="s">
        <v>3752</v>
      </c>
      <c r="F3723" s="1" t="s">
        <v>14105</v>
      </c>
      <c r="G3723" s="1" t="s">
        <v>14106</v>
      </c>
      <c r="H3723" s="1" t="s">
        <v>3606</v>
      </c>
      <c r="I3723" s="1" t="s">
        <v>14107</v>
      </c>
      <c r="J3723" s="1" t="s">
        <v>3615</v>
      </c>
      <c r="K3723" s="1"/>
      <c r="L3723" s="1"/>
      <c r="M3723" s="1"/>
    </row>
    <row x14ac:dyDescent="0.25" r="3724" customHeight="1" ht="18.75">
      <c r="A3724" s="1" t="s">
        <v>3598</v>
      </c>
      <c r="B3724" s="1" t="s">
        <v>14108</v>
      </c>
      <c r="C3724" s="1" t="s">
        <v>3600</v>
      </c>
      <c r="D3724" s="1" t="s">
        <v>7891</v>
      </c>
      <c r="E3724" s="1" t="s">
        <v>3981</v>
      </c>
      <c r="F3724" s="1" t="s">
        <v>14109</v>
      </c>
      <c r="G3724" s="1" t="s">
        <v>14110</v>
      </c>
      <c r="H3724" s="1" t="s">
        <v>3606</v>
      </c>
      <c r="I3724" s="1" t="s">
        <v>14111</v>
      </c>
      <c r="J3724" s="1" t="s">
        <v>3615</v>
      </c>
      <c r="K3724" s="1"/>
      <c r="L3724" s="1"/>
      <c r="M3724" s="1"/>
    </row>
    <row x14ac:dyDescent="0.25" r="3725" customHeight="1" ht="18.75">
      <c r="A3725" s="1" t="s">
        <v>3598</v>
      </c>
      <c r="B3725" s="1" t="s">
        <v>14038</v>
      </c>
      <c r="C3725" s="1" t="s">
        <v>3600</v>
      </c>
      <c r="D3725" s="1" t="s">
        <v>7891</v>
      </c>
      <c r="E3725" s="1" t="s">
        <v>3752</v>
      </c>
      <c r="F3725" s="1" t="s">
        <v>14112</v>
      </c>
      <c r="G3725" s="1" t="s">
        <v>14113</v>
      </c>
      <c r="H3725" s="1" t="s">
        <v>3606</v>
      </c>
      <c r="I3725" s="1" t="s">
        <v>14114</v>
      </c>
      <c r="J3725" s="1" t="s">
        <v>3615</v>
      </c>
      <c r="K3725" s="1"/>
      <c r="L3725" s="1"/>
      <c r="M3725" s="1"/>
    </row>
    <row x14ac:dyDescent="0.25" r="3726" customHeight="1" ht="18.75">
      <c r="A3726" s="1" t="s">
        <v>3598</v>
      </c>
      <c r="B3726" s="1" t="s">
        <v>14115</v>
      </c>
      <c r="C3726" s="1" t="s">
        <v>3600</v>
      </c>
      <c r="D3726" s="1" t="s">
        <v>7891</v>
      </c>
      <c r="E3726" s="1" t="s">
        <v>3981</v>
      </c>
      <c r="F3726" s="1" t="s">
        <v>14116</v>
      </c>
      <c r="G3726" s="1" t="s">
        <v>14117</v>
      </c>
      <c r="H3726" s="1" t="s">
        <v>3606</v>
      </c>
      <c r="I3726" s="1" t="s">
        <v>14118</v>
      </c>
      <c r="J3726" s="1" t="s">
        <v>3615</v>
      </c>
      <c r="K3726" s="1"/>
      <c r="L3726" s="1"/>
      <c r="M3726" s="1"/>
    </row>
    <row x14ac:dyDescent="0.25" r="3727" customHeight="1" ht="18.75">
      <c r="A3727" s="1" t="s">
        <v>3598</v>
      </c>
      <c r="B3727" s="1" t="s">
        <v>14119</v>
      </c>
      <c r="C3727" s="1" t="s">
        <v>3600</v>
      </c>
      <c r="D3727" s="1" t="s">
        <v>7891</v>
      </c>
      <c r="E3727" s="1" t="s">
        <v>3752</v>
      </c>
      <c r="F3727" s="1" t="s">
        <v>14120</v>
      </c>
      <c r="G3727" s="1" t="s">
        <v>14121</v>
      </c>
      <c r="H3727" s="1" t="s">
        <v>3606</v>
      </c>
      <c r="I3727" s="1" t="s">
        <v>14122</v>
      </c>
      <c r="J3727" s="1" t="s">
        <v>3615</v>
      </c>
      <c r="K3727" s="1"/>
      <c r="L3727" s="1"/>
      <c r="M3727" s="1"/>
    </row>
    <row x14ac:dyDescent="0.25" r="3728" customHeight="1" ht="18.75">
      <c r="A3728" s="1" t="s">
        <v>3598</v>
      </c>
      <c r="B3728" s="1" t="s">
        <v>14123</v>
      </c>
      <c r="C3728" s="1" t="s">
        <v>3600</v>
      </c>
      <c r="D3728" s="1" t="s">
        <v>3601</v>
      </c>
      <c r="E3728" s="1" t="s">
        <v>3893</v>
      </c>
      <c r="F3728" s="1" t="s">
        <v>14124</v>
      </c>
      <c r="G3728" s="1" t="s">
        <v>14125</v>
      </c>
      <c r="H3728" s="1" t="s">
        <v>3606</v>
      </c>
      <c r="I3728" s="1" t="s">
        <v>14126</v>
      </c>
      <c r="J3728" s="1" t="s">
        <v>3615</v>
      </c>
      <c r="K3728" s="1"/>
      <c r="L3728" s="1"/>
      <c r="M3728" s="1"/>
    </row>
    <row x14ac:dyDescent="0.25" r="3729" customHeight="1" ht="18.75">
      <c r="A3729" s="1" t="s">
        <v>3598</v>
      </c>
      <c r="B3729" s="1" t="s">
        <v>9012</v>
      </c>
      <c r="C3729" s="1" t="s">
        <v>3600</v>
      </c>
      <c r="D3729" s="1" t="s">
        <v>3601</v>
      </c>
      <c r="E3729" s="1" t="s">
        <v>3893</v>
      </c>
      <c r="F3729" s="1" t="s">
        <v>14127</v>
      </c>
      <c r="G3729" s="1" t="s">
        <v>14102</v>
      </c>
      <c r="H3729" s="1" t="s">
        <v>3606</v>
      </c>
      <c r="I3729" s="1" t="s">
        <v>14128</v>
      </c>
      <c r="J3729" s="1" t="s">
        <v>3615</v>
      </c>
      <c r="K3729" s="1"/>
      <c r="L3729" s="1"/>
      <c r="M3729" s="1"/>
    </row>
    <row x14ac:dyDescent="0.25" r="3730" customHeight="1" ht="18.75">
      <c r="A3730" s="1" t="s">
        <v>3598</v>
      </c>
      <c r="B3730" s="1" t="s">
        <v>14104</v>
      </c>
      <c r="C3730" s="1" t="s">
        <v>3600</v>
      </c>
      <c r="D3730" s="1" t="s">
        <v>3601</v>
      </c>
      <c r="E3730" s="1" t="s">
        <v>3893</v>
      </c>
      <c r="F3730" s="1" t="s">
        <v>14129</v>
      </c>
      <c r="G3730" s="1" t="s">
        <v>14130</v>
      </c>
      <c r="H3730" s="1" t="s">
        <v>3606</v>
      </c>
      <c r="I3730" s="1" t="s">
        <v>14131</v>
      </c>
      <c r="J3730" s="1" t="s">
        <v>3615</v>
      </c>
      <c r="K3730" s="1"/>
      <c r="L3730" s="1"/>
      <c r="M3730" s="1"/>
    </row>
    <row x14ac:dyDescent="0.25" r="3731" customHeight="1" ht="18.75">
      <c r="A3731" s="1" t="s">
        <v>3598</v>
      </c>
      <c r="B3731" s="1" t="s">
        <v>14132</v>
      </c>
      <c r="C3731" s="1" t="s">
        <v>3600</v>
      </c>
      <c r="D3731" s="1" t="s">
        <v>3601</v>
      </c>
      <c r="E3731" s="1" t="s">
        <v>3664</v>
      </c>
      <c r="F3731" s="1" t="s">
        <v>14133</v>
      </c>
      <c r="G3731" s="1" t="s">
        <v>14134</v>
      </c>
      <c r="H3731" s="1" t="s">
        <v>3606</v>
      </c>
      <c r="I3731" s="1" t="s">
        <v>14135</v>
      </c>
      <c r="J3731" s="1" t="s">
        <v>3615</v>
      </c>
      <c r="K3731" s="1"/>
      <c r="L3731" s="1"/>
      <c r="M3731" s="1"/>
    </row>
    <row x14ac:dyDescent="0.25" r="3732" customHeight="1" ht="18.75">
      <c r="A3732" s="1" t="s">
        <v>3598</v>
      </c>
      <c r="B3732" s="1" t="s">
        <v>14132</v>
      </c>
      <c r="C3732" s="1" t="s">
        <v>3600</v>
      </c>
      <c r="D3732" s="1" t="s">
        <v>3601</v>
      </c>
      <c r="E3732" s="1" t="s">
        <v>3664</v>
      </c>
      <c r="F3732" s="1" t="s">
        <v>14136</v>
      </c>
      <c r="G3732" s="1" t="s">
        <v>14134</v>
      </c>
      <c r="H3732" s="1" t="s">
        <v>3606</v>
      </c>
      <c r="I3732" s="1" t="s">
        <v>14137</v>
      </c>
      <c r="J3732" s="1" t="s">
        <v>3615</v>
      </c>
      <c r="K3732" s="1"/>
      <c r="L3732" s="1"/>
      <c r="M3732" s="1"/>
    </row>
    <row x14ac:dyDescent="0.25" r="3733" customHeight="1" ht="18.75">
      <c r="A3733" s="1" t="s">
        <v>3598</v>
      </c>
      <c r="B3733" s="1" t="s">
        <v>6954</v>
      </c>
      <c r="C3733" s="1" t="s">
        <v>3600</v>
      </c>
      <c r="D3733" s="1" t="s">
        <v>3601</v>
      </c>
      <c r="E3733" s="1" t="s">
        <v>3664</v>
      </c>
      <c r="F3733" s="1" t="s">
        <v>14138</v>
      </c>
      <c r="G3733" s="1" t="s">
        <v>14139</v>
      </c>
      <c r="H3733" s="1" t="s">
        <v>3606</v>
      </c>
      <c r="I3733" s="1" t="s">
        <v>14140</v>
      </c>
      <c r="J3733" s="1" t="s">
        <v>3615</v>
      </c>
      <c r="K3733" s="1"/>
      <c r="L3733" s="1"/>
      <c r="M3733" s="1"/>
    </row>
    <row x14ac:dyDescent="0.25" r="3734" customHeight="1" ht="18.75">
      <c r="A3734" s="1" t="s">
        <v>3598</v>
      </c>
      <c r="B3734" s="1" t="s">
        <v>6954</v>
      </c>
      <c r="C3734" s="1" t="s">
        <v>3600</v>
      </c>
      <c r="D3734" s="1" t="s">
        <v>3601</v>
      </c>
      <c r="E3734" s="1" t="s">
        <v>3893</v>
      </c>
      <c r="F3734" s="1" t="s">
        <v>14141</v>
      </c>
      <c r="G3734" s="1" t="s">
        <v>14139</v>
      </c>
      <c r="H3734" s="1" t="s">
        <v>3606</v>
      </c>
      <c r="I3734" s="1" t="s">
        <v>14142</v>
      </c>
      <c r="J3734" s="1" t="s">
        <v>3615</v>
      </c>
      <c r="K3734" s="1"/>
      <c r="L3734" s="1"/>
      <c r="M3734" s="1"/>
    </row>
    <row x14ac:dyDescent="0.25" r="3735" customHeight="1" ht="18.75">
      <c r="A3735" s="1" t="s">
        <v>3598</v>
      </c>
      <c r="B3735" s="1" t="s">
        <v>6954</v>
      </c>
      <c r="C3735" s="1" t="s">
        <v>3600</v>
      </c>
      <c r="D3735" s="1" t="s">
        <v>3601</v>
      </c>
      <c r="E3735" s="1" t="s">
        <v>3893</v>
      </c>
      <c r="F3735" s="1" t="s">
        <v>14143</v>
      </c>
      <c r="G3735" s="1" t="s">
        <v>14139</v>
      </c>
      <c r="H3735" s="1" t="s">
        <v>3606</v>
      </c>
      <c r="I3735" s="1" t="s">
        <v>14144</v>
      </c>
      <c r="J3735" s="1" t="s">
        <v>3615</v>
      </c>
      <c r="K3735" s="1"/>
      <c r="L3735" s="1"/>
      <c r="M3735" s="1"/>
    </row>
    <row x14ac:dyDescent="0.25" r="3736" customHeight="1" ht="18.75">
      <c r="A3736" s="1" t="s">
        <v>3617</v>
      </c>
      <c r="B3736" s="1" t="s">
        <v>14145</v>
      </c>
      <c r="C3736" s="1" t="s">
        <v>3619</v>
      </c>
      <c r="D3736" s="1" t="s">
        <v>14146</v>
      </c>
      <c r="E3736" s="1"/>
      <c r="F3736" s="1" t="s">
        <v>14147</v>
      </c>
      <c r="G3736" s="1" t="s">
        <v>14145</v>
      </c>
      <c r="H3736" s="1" t="s">
        <v>3604</v>
      </c>
      <c r="I3736" s="1" t="s">
        <v>14148</v>
      </c>
      <c r="J3736" s="1" t="s">
        <v>3606</v>
      </c>
      <c r="K3736" s="1" t="s">
        <v>14149</v>
      </c>
      <c r="L3736" s="1"/>
      <c r="M3736" s="1"/>
    </row>
    <row x14ac:dyDescent="0.25" r="3737" customHeight="1" ht="18.75">
      <c r="A3737" s="1" t="s">
        <v>3617</v>
      </c>
      <c r="B3737" s="1" t="s">
        <v>14150</v>
      </c>
      <c r="C3737" s="1" t="s">
        <v>3619</v>
      </c>
      <c r="D3737" s="1" t="s">
        <v>14146</v>
      </c>
      <c r="E3737" s="1"/>
      <c r="F3737" s="1" t="s">
        <v>14151</v>
      </c>
      <c r="G3737" s="1" t="s">
        <v>14150</v>
      </c>
      <c r="H3737" s="1" t="s">
        <v>3604</v>
      </c>
      <c r="I3737" s="1" t="s">
        <v>14152</v>
      </c>
      <c r="J3737" s="1" t="s">
        <v>3615</v>
      </c>
      <c r="K3737" s="1" t="s">
        <v>14150</v>
      </c>
      <c r="L3737" s="1"/>
      <c r="M3737" s="1"/>
    </row>
    <row x14ac:dyDescent="0.25" r="3738" customHeight="1" ht="18.75">
      <c r="A3738" s="1" t="s">
        <v>3617</v>
      </c>
      <c r="B3738" s="1" t="s">
        <v>14153</v>
      </c>
      <c r="C3738" s="1" t="s">
        <v>3619</v>
      </c>
      <c r="D3738" s="1" t="s">
        <v>14146</v>
      </c>
      <c r="E3738" s="1"/>
      <c r="F3738" s="1" t="s">
        <v>14151</v>
      </c>
      <c r="G3738" s="1" t="s">
        <v>14153</v>
      </c>
      <c r="H3738" s="1" t="s">
        <v>3604</v>
      </c>
      <c r="I3738" s="1" t="s">
        <v>14154</v>
      </c>
      <c r="J3738" s="1" t="s">
        <v>3615</v>
      </c>
      <c r="K3738" s="1" t="s">
        <v>14155</v>
      </c>
      <c r="L3738" s="1"/>
      <c r="M3738" s="1"/>
    </row>
    <row x14ac:dyDescent="0.25" r="3739" customHeight="1" ht="18.75">
      <c r="A3739" s="1" t="s">
        <v>3617</v>
      </c>
      <c r="B3739" s="1" t="s">
        <v>14156</v>
      </c>
      <c r="C3739" s="1" t="s">
        <v>3619</v>
      </c>
      <c r="D3739" s="1" t="s">
        <v>14146</v>
      </c>
      <c r="E3739" s="1"/>
      <c r="F3739" s="1" t="s">
        <v>14157</v>
      </c>
      <c r="G3739" s="1" t="s">
        <v>14156</v>
      </c>
      <c r="H3739" s="1" t="s">
        <v>3604</v>
      </c>
      <c r="I3739" s="1" t="s">
        <v>14158</v>
      </c>
      <c r="J3739" s="1" t="s">
        <v>3615</v>
      </c>
      <c r="K3739" s="1" t="s">
        <v>14159</v>
      </c>
      <c r="L3739" s="1"/>
      <c r="M3739" s="1"/>
    </row>
    <row x14ac:dyDescent="0.25" r="3740" customHeight="1" ht="18.75">
      <c r="A3740" s="1" t="s">
        <v>3617</v>
      </c>
      <c r="B3740" s="1" t="s">
        <v>7345</v>
      </c>
      <c r="C3740" s="1" t="s">
        <v>3619</v>
      </c>
      <c r="D3740" s="1" t="s">
        <v>14146</v>
      </c>
      <c r="E3740" s="1"/>
      <c r="F3740" s="1" t="s">
        <v>14160</v>
      </c>
      <c r="G3740" s="1" t="s">
        <v>7345</v>
      </c>
      <c r="H3740" s="1" t="s">
        <v>3604</v>
      </c>
      <c r="I3740" s="1" t="s">
        <v>14161</v>
      </c>
      <c r="J3740" s="1" t="s">
        <v>3615</v>
      </c>
      <c r="K3740" s="1" t="s">
        <v>14162</v>
      </c>
      <c r="L3740" s="1"/>
      <c r="M3740" s="1"/>
    </row>
    <row x14ac:dyDescent="0.25" r="3741" customHeight="1" ht="18.75">
      <c r="A3741" s="1" t="s">
        <v>3617</v>
      </c>
      <c r="B3741" s="1" t="s">
        <v>14163</v>
      </c>
      <c r="C3741" s="1" t="s">
        <v>3619</v>
      </c>
      <c r="D3741" s="1" t="s">
        <v>14146</v>
      </c>
      <c r="E3741" s="1"/>
      <c r="F3741" s="1" t="s">
        <v>14164</v>
      </c>
      <c r="G3741" s="1" t="s">
        <v>14163</v>
      </c>
      <c r="H3741" s="1" t="s">
        <v>3604</v>
      </c>
      <c r="I3741" s="1" t="s">
        <v>14165</v>
      </c>
      <c r="J3741" s="1" t="s">
        <v>3606</v>
      </c>
      <c r="K3741" s="1" t="s">
        <v>14166</v>
      </c>
      <c r="L3741" s="1"/>
      <c r="M3741" s="1"/>
    </row>
    <row x14ac:dyDescent="0.25" r="3742" customHeight="1" ht="18.75">
      <c r="A3742" s="1" t="s">
        <v>3617</v>
      </c>
      <c r="B3742" s="1" t="s">
        <v>14167</v>
      </c>
      <c r="C3742" s="1" t="s">
        <v>3619</v>
      </c>
      <c r="D3742" s="1" t="s">
        <v>14146</v>
      </c>
      <c r="E3742" s="1"/>
      <c r="F3742" s="1" t="s">
        <v>14168</v>
      </c>
      <c r="G3742" s="1" t="s">
        <v>14167</v>
      </c>
      <c r="H3742" s="1" t="s">
        <v>3604</v>
      </c>
      <c r="I3742" s="1" t="s">
        <v>14169</v>
      </c>
      <c r="J3742" s="1" t="s">
        <v>3606</v>
      </c>
      <c r="K3742" s="1" t="s">
        <v>14170</v>
      </c>
      <c r="L3742" s="1"/>
      <c r="M3742" s="1"/>
    </row>
    <row x14ac:dyDescent="0.25" r="3743" customHeight="1" ht="18.75">
      <c r="A3743" s="1" t="s">
        <v>3617</v>
      </c>
      <c r="B3743" s="1" t="s">
        <v>14171</v>
      </c>
      <c r="C3743" s="1" t="s">
        <v>3619</v>
      </c>
      <c r="D3743" s="1" t="s">
        <v>14146</v>
      </c>
      <c r="E3743" s="1"/>
      <c r="F3743" s="1" t="s">
        <v>14168</v>
      </c>
      <c r="G3743" s="1" t="s">
        <v>14171</v>
      </c>
      <c r="H3743" s="1" t="s">
        <v>3604</v>
      </c>
      <c r="I3743" s="1" t="s">
        <v>14172</v>
      </c>
      <c r="J3743" s="1" t="s">
        <v>3606</v>
      </c>
      <c r="K3743" s="1" t="s">
        <v>14150</v>
      </c>
      <c r="L3743" s="1"/>
      <c r="M3743" s="1"/>
    </row>
    <row x14ac:dyDescent="0.25" r="3744" customHeight="1" ht="18.75">
      <c r="A3744" s="1" t="s">
        <v>3617</v>
      </c>
      <c r="B3744" s="1" t="s">
        <v>14173</v>
      </c>
      <c r="C3744" s="1" t="s">
        <v>3619</v>
      </c>
      <c r="D3744" s="1" t="s">
        <v>14146</v>
      </c>
      <c r="E3744" s="1"/>
      <c r="F3744" s="1" t="s">
        <v>14168</v>
      </c>
      <c r="G3744" s="1" t="s">
        <v>14173</v>
      </c>
      <c r="H3744" s="1" t="s">
        <v>3604</v>
      </c>
      <c r="I3744" s="1" t="s">
        <v>14174</v>
      </c>
      <c r="J3744" s="1" t="s">
        <v>3606</v>
      </c>
      <c r="K3744" s="1" t="s">
        <v>14153</v>
      </c>
      <c r="L3744" s="1"/>
      <c r="M3744" s="1"/>
    </row>
    <row x14ac:dyDescent="0.25" r="3745" customHeight="1" ht="18.75">
      <c r="A3745" s="1" t="s">
        <v>7833</v>
      </c>
      <c r="B3745" s="1" t="s">
        <v>9824</v>
      </c>
      <c r="C3745" s="1" t="s">
        <v>4488</v>
      </c>
      <c r="D3745" s="1" t="s">
        <v>533</v>
      </c>
      <c r="E3745" s="1" t="s">
        <v>8096</v>
      </c>
      <c r="F3745" s="1" t="s">
        <v>14175</v>
      </c>
      <c r="G3745" s="1" t="s">
        <v>9826</v>
      </c>
      <c r="H3745" s="1" t="s">
        <v>3604</v>
      </c>
      <c r="I3745" s="1" t="s">
        <v>14176</v>
      </c>
      <c r="J3745" s="1" t="s">
        <v>3606</v>
      </c>
      <c r="K3745" s="1" t="s">
        <v>14177</v>
      </c>
      <c r="L3745" s="1"/>
      <c r="M3745" s="1"/>
    </row>
    <row x14ac:dyDescent="0.25" r="3746" customHeight="1" ht="18.75">
      <c r="A3746" s="1" t="s">
        <v>7833</v>
      </c>
      <c r="B3746" s="1" t="s">
        <v>9824</v>
      </c>
      <c r="C3746" s="1" t="s">
        <v>4488</v>
      </c>
      <c r="D3746" s="1" t="s">
        <v>3610</v>
      </c>
      <c r="E3746" s="1" t="s">
        <v>8096</v>
      </c>
      <c r="F3746" s="1" t="s">
        <v>14178</v>
      </c>
      <c r="G3746" s="1" t="s">
        <v>9826</v>
      </c>
      <c r="H3746" s="1" t="s">
        <v>3604</v>
      </c>
      <c r="I3746" s="1" t="s">
        <v>14179</v>
      </c>
      <c r="J3746" s="1" t="s">
        <v>3606</v>
      </c>
      <c r="K3746" s="1" t="s">
        <v>14180</v>
      </c>
      <c r="L3746" s="1"/>
      <c r="M3746" s="1"/>
    </row>
    <row x14ac:dyDescent="0.25" r="3747" customHeight="1" ht="18.75">
      <c r="A3747" s="1" t="s">
        <v>7833</v>
      </c>
      <c r="B3747" s="1" t="s">
        <v>9824</v>
      </c>
      <c r="C3747" s="1" t="s">
        <v>4488</v>
      </c>
      <c r="D3747" s="1" t="s">
        <v>3610</v>
      </c>
      <c r="E3747" s="1" t="s">
        <v>8096</v>
      </c>
      <c r="F3747" s="1" t="s">
        <v>14181</v>
      </c>
      <c r="G3747" s="1" t="s">
        <v>9826</v>
      </c>
      <c r="H3747" s="1" t="s">
        <v>3604</v>
      </c>
      <c r="I3747" s="1" t="s">
        <v>14182</v>
      </c>
      <c r="J3747" s="1" t="s">
        <v>3606</v>
      </c>
      <c r="K3747" s="1" t="s">
        <v>14183</v>
      </c>
      <c r="L3747" s="1"/>
      <c r="M3747" s="1"/>
    </row>
    <row x14ac:dyDescent="0.25" r="3748" customHeight="1" ht="18.75">
      <c r="A3748" s="1" t="s">
        <v>7833</v>
      </c>
      <c r="B3748" s="1" t="s">
        <v>9824</v>
      </c>
      <c r="C3748" s="1" t="s">
        <v>4488</v>
      </c>
      <c r="D3748" s="1" t="s">
        <v>3610</v>
      </c>
      <c r="E3748" s="1" t="s">
        <v>8096</v>
      </c>
      <c r="F3748" s="1" t="s">
        <v>14184</v>
      </c>
      <c r="G3748" s="1" t="s">
        <v>9826</v>
      </c>
      <c r="H3748" s="1" t="s">
        <v>3604</v>
      </c>
      <c r="I3748" s="1" t="s">
        <v>14185</v>
      </c>
      <c r="J3748" s="1" t="s">
        <v>3606</v>
      </c>
      <c r="K3748" s="1" t="s">
        <v>14186</v>
      </c>
      <c r="L3748" s="1"/>
      <c r="M3748" s="1"/>
    </row>
    <row x14ac:dyDescent="0.25" r="3749" customHeight="1" ht="18.75">
      <c r="A3749" s="1" t="s">
        <v>7833</v>
      </c>
      <c r="B3749" s="1" t="s">
        <v>9824</v>
      </c>
      <c r="C3749" s="1" t="s">
        <v>4488</v>
      </c>
      <c r="D3749" s="1" t="s">
        <v>3695</v>
      </c>
      <c r="E3749" s="1" t="s">
        <v>8096</v>
      </c>
      <c r="F3749" s="1" t="s">
        <v>14187</v>
      </c>
      <c r="G3749" s="1" t="s">
        <v>9826</v>
      </c>
      <c r="H3749" s="1" t="s">
        <v>3604</v>
      </c>
      <c r="I3749" s="1" t="s">
        <v>14188</v>
      </c>
      <c r="J3749" s="1" t="s">
        <v>3606</v>
      </c>
      <c r="K3749" s="1" t="s">
        <v>14189</v>
      </c>
      <c r="L3749" s="1"/>
      <c r="M3749" s="1"/>
    </row>
    <row x14ac:dyDescent="0.25" r="3750" customHeight="1" ht="18.75">
      <c r="A3750" s="1" t="s">
        <v>7833</v>
      </c>
      <c r="B3750" s="1" t="s">
        <v>9824</v>
      </c>
      <c r="C3750" s="1" t="s">
        <v>4488</v>
      </c>
      <c r="D3750" s="1" t="s">
        <v>533</v>
      </c>
      <c r="E3750" s="1" t="s">
        <v>8096</v>
      </c>
      <c r="F3750" s="1" t="s">
        <v>14190</v>
      </c>
      <c r="G3750" s="1" t="s">
        <v>14191</v>
      </c>
      <c r="H3750" s="1" t="s">
        <v>3604</v>
      </c>
      <c r="I3750" s="1" t="s">
        <v>14192</v>
      </c>
      <c r="J3750" s="1" t="s">
        <v>3606</v>
      </c>
      <c r="K3750" s="1" t="s">
        <v>14193</v>
      </c>
      <c r="L3750" s="1"/>
      <c r="M3750" s="1"/>
    </row>
    <row x14ac:dyDescent="0.25" r="3751" customHeight="1" ht="18.75">
      <c r="A3751" s="1" t="s">
        <v>7833</v>
      </c>
      <c r="B3751" s="1" t="s">
        <v>9824</v>
      </c>
      <c r="C3751" s="1" t="s">
        <v>4488</v>
      </c>
      <c r="D3751" s="1" t="s">
        <v>3610</v>
      </c>
      <c r="E3751" s="1" t="s">
        <v>8096</v>
      </c>
      <c r="F3751" s="1" t="s">
        <v>14194</v>
      </c>
      <c r="G3751" s="1" t="s">
        <v>14191</v>
      </c>
      <c r="H3751" s="1" t="s">
        <v>3604</v>
      </c>
      <c r="I3751" s="1" t="s">
        <v>14195</v>
      </c>
      <c r="J3751" s="1" t="s">
        <v>3606</v>
      </c>
      <c r="K3751" s="1" t="s">
        <v>14196</v>
      </c>
      <c r="L3751" s="1"/>
      <c r="M3751" s="1"/>
    </row>
    <row x14ac:dyDescent="0.25" r="3752" customHeight="1" ht="18.75">
      <c r="A3752" s="1" t="s">
        <v>7833</v>
      </c>
      <c r="B3752" s="1" t="s">
        <v>9824</v>
      </c>
      <c r="C3752" s="1" t="s">
        <v>4488</v>
      </c>
      <c r="D3752" s="1" t="s">
        <v>3610</v>
      </c>
      <c r="E3752" s="1" t="s">
        <v>8096</v>
      </c>
      <c r="F3752" s="1" t="s">
        <v>14197</v>
      </c>
      <c r="G3752" s="1" t="s">
        <v>14191</v>
      </c>
      <c r="H3752" s="1" t="s">
        <v>3604</v>
      </c>
      <c r="I3752" s="1" t="s">
        <v>14198</v>
      </c>
      <c r="J3752" s="1" t="s">
        <v>3606</v>
      </c>
      <c r="K3752" s="1" t="s">
        <v>14199</v>
      </c>
      <c r="L3752" s="1"/>
      <c r="M3752" s="1"/>
    </row>
    <row x14ac:dyDescent="0.25" r="3753" customHeight="1" ht="18.75">
      <c r="A3753" s="1" t="s">
        <v>7833</v>
      </c>
      <c r="B3753" s="1" t="s">
        <v>9824</v>
      </c>
      <c r="C3753" s="1" t="s">
        <v>4488</v>
      </c>
      <c r="D3753" s="1" t="s">
        <v>3610</v>
      </c>
      <c r="E3753" s="1" t="s">
        <v>8096</v>
      </c>
      <c r="F3753" s="1" t="s">
        <v>14200</v>
      </c>
      <c r="G3753" s="1" t="s">
        <v>14191</v>
      </c>
      <c r="H3753" s="1" t="s">
        <v>3604</v>
      </c>
      <c r="I3753" s="1" t="s">
        <v>14201</v>
      </c>
      <c r="J3753" s="1" t="s">
        <v>3606</v>
      </c>
      <c r="K3753" s="1" t="s">
        <v>14202</v>
      </c>
      <c r="L3753" s="1"/>
      <c r="M3753" s="1"/>
    </row>
    <row x14ac:dyDescent="0.25" r="3754" customHeight="1" ht="18.75">
      <c r="A3754" s="1" t="s">
        <v>7833</v>
      </c>
      <c r="B3754" s="1" t="s">
        <v>9824</v>
      </c>
      <c r="C3754" s="1" t="s">
        <v>4488</v>
      </c>
      <c r="D3754" s="1" t="s">
        <v>533</v>
      </c>
      <c r="E3754" s="1" t="s">
        <v>8096</v>
      </c>
      <c r="F3754" s="1" t="s">
        <v>14203</v>
      </c>
      <c r="G3754" s="1" t="s">
        <v>14204</v>
      </c>
      <c r="H3754" s="1" t="s">
        <v>3604</v>
      </c>
      <c r="I3754" s="1" t="s">
        <v>14205</v>
      </c>
      <c r="J3754" s="1" t="s">
        <v>3606</v>
      </c>
      <c r="K3754" s="1" t="s">
        <v>14206</v>
      </c>
      <c r="L3754" s="1"/>
      <c r="M3754" s="1"/>
    </row>
    <row x14ac:dyDescent="0.25" r="3755" customHeight="1" ht="18.75">
      <c r="A3755" s="1" t="s">
        <v>7833</v>
      </c>
      <c r="B3755" s="1" t="s">
        <v>9824</v>
      </c>
      <c r="C3755" s="1" t="s">
        <v>4488</v>
      </c>
      <c r="D3755" s="1" t="s">
        <v>3610</v>
      </c>
      <c r="E3755" s="1" t="s">
        <v>8096</v>
      </c>
      <c r="F3755" s="1" t="s">
        <v>14207</v>
      </c>
      <c r="G3755" s="1" t="s">
        <v>14204</v>
      </c>
      <c r="H3755" s="1" t="s">
        <v>3604</v>
      </c>
      <c r="I3755" s="1" t="s">
        <v>14208</v>
      </c>
      <c r="J3755" s="1" t="s">
        <v>3606</v>
      </c>
      <c r="K3755" s="1" t="s">
        <v>14209</v>
      </c>
      <c r="L3755" s="1"/>
      <c r="M3755" s="1"/>
    </row>
    <row x14ac:dyDescent="0.25" r="3756" customHeight="1" ht="18.75">
      <c r="A3756" s="1" t="s">
        <v>7833</v>
      </c>
      <c r="B3756" s="1" t="s">
        <v>9824</v>
      </c>
      <c r="C3756" s="1" t="s">
        <v>4488</v>
      </c>
      <c r="D3756" s="1" t="s">
        <v>3610</v>
      </c>
      <c r="E3756" s="1" t="s">
        <v>8096</v>
      </c>
      <c r="F3756" s="1" t="s">
        <v>14210</v>
      </c>
      <c r="G3756" s="1" t="s">
        <v>14204</v>
      </c>
      <c r="H3756" s="1" t="s">
        <v>3604</v>
      </c>
      <c r="I3756" s="1" t="s">
        <v>14211</v>
      </c>
      <c r="J3756" s="1" t="s">
        <v>3606</v>
      </c>
      <c r="K3756" s="1" t="s">
        <v>14212</v>
      </c>
      <c r="L3756" s="1"/>
      <c r="M3756" s="1"/>
    </row>
    <row x14ac:dyDescent="0.25" r="3757" customHeight="1" ht="18.75">
      <c r="A3757" s="1" t="s">
        <v>7833</v>
      </c>
      <c r="B3757" s="1" t="s">
        <v>9824</v>
      </c>
      <c r="C3757" s="1" t="s">
        <v>4488</v>
      </c>
      <c r="D3757" s="1" t="s">
        <v>3610</v>
      </c>
      <c r="E3757" s="1" t="s">
        <v>8096</v>
      </c>
      <c r="F3757" s="1" t="s">
        <v>14213</v>
      </c>
      <c r="G3757" s="1" t="s">
        <v>14204</v>
      </c>
      <c r="H3757" s="1" t="s">
        <v>3604</v>
      </c>
      <c r="I3757" s="1" t="s">
        <v>14214</v>
      </c>
      <c r="J3757" s="1" t="s">
        <v>3606</v>
      </c>
      <c r="K3757" s="1" t="s">
        <v>14215</v>
      </c>
      <c r="L3757" s="1"/>
      <c r="M3757" s="1"/>
    </row>
    <row x14ac:dyDescent="0.25" r="3758" customHeight="1" ht="18.75">
      <c r="A3758" s="1" t="s">
        <v>7833</v>
      </c>
      <c r="B3758" s="1" t="s">
        <v>9824</v>
      </c>
      <c r="C3758" s="1" t="s">
        <v>4488</v>
      </c>
      <c r="D3758" s="1" t="s">
        <v>3695</v>
      </c>
      <c r="E3758" s="1" t="s">
        <v>8096</v>
      </c>
      <c r="F3758" s="1" t="s">
        <v>14216</v>
      </c>
      <c r="G3758" s="1" t="s">
        <v>14204</v>
      </c>
      <c r="H3758" s="1" t="s">
        <v>3604</v>
      </c>
      <c r="I3758" s="1" t="s">
        <v>14217</v>
      </c>
      <c r="J3758" s="1" t="s">
        <v>3606</v>
      </c>
      <c r="K3758" s="1" t="s">
        <v>14218</v>
      </c>
      <c r="L3758" s="1"/>
      <c r="M3758" s="1"/>
    </row>
    <row x14ac:dyDescent="0.25" r="3759" customHeight="1" ht="18.75">
      <c r="A3759" s="1" t="s">
        <v>7833</v>
      </c>
      <c r="B3759" s="1" t="s">
        <v>9824</v>
      </c>
      <c r="C3759" s="1" t="s">
        <v>4488</v>
      </c>
      <c r="D3759" s="1" t="s">
        <v>533</v>
      </c>
      <c r="E3759" s="1" t="s">
        <v>8096</v>
      </c>
      <c r="F3759" s="1" t="s">
        <v>14219</v>
      </c>
      <c r="G3759" s="1" t="s">
        <v>14220</v>
      </c>
      <c r="H3759" s="1" t="s">
        <v>3604</v>
      </c>
      <c r="I3759" s="1" t="s">
        <v>14221</v>
      </c>
      <c r="J3759" s="1" t="s">
        <v>3606</v>
      </c>
      <c r="K3759" s="1" t="s">
        <v>14222</v>
      </c>
      <c r="L3759" s="1"/>
      <c r="M3759" s="1"/>
    </row>
    <row x14ac:dyDescent="0.25" r="3760" customHeight="1" ht="18.75">
      <c r="A3760" s="1" t="s">
        <v>7833</v>
      </c>
      <c r="B3760" s="1" t="s">
        <v>9824</v>
      </c>
      <c r="C3760" s="1" t="s">
        <v>4488</v>
      </c>
      <c r="D3760" s="1" t="s">
        <v>3610</v>
      </c>
      <c r="E3760" s="1" t="s">
        <v>8096</v>
      </c>
      <c r="F3760" s="1" t="s">
        <v>14223</v>
      </c>
      <c r="G3760" s="1" t="s">
        <v>14220</v>
      </c>
      <c r="H3760" s="1" t="s">
        <v>3604</v>
      </c>
      <c r="I3760" s="1" t="s">
        <v>14224</v>
      </c>
      <c r="J3760" s="1" t="s">
        <v>3606</v>
      </c>
      <c r="K3760" s="1" t="s">
        <v>14225</v>
      </c>
      <c r="L3760" s="1"/>
      <c r="M3760" s="1"/>
    </row>
    <row x14ac:dyDescent="0.25" r="3761" customHeight="1" ht="18.75">
      <c r="A3761" s="1" t="s">
        <v>7833</v>
      </c>
      <c r="B3761" s="1" t="s">
        <v>9824</v>
      </c>
      <c r="C3761" s="1" t="s">
        <v>4488</v>
      </c>
      <c r="D3761" s="1" t="s">
        <v>3610</v>
      </c>
      <c r="E3761" s="1" t="s">
        <v>8096</v>
      </c>
      <c r="F3761" s="1" t="s">
        <v>14226</v>
      </c>
      <c r="G3761" s="1" t="s">
        <v>14220</v>
      </c>
      <c r="H3761" s="1" t="s">
        <v>3604</v>
      </c>
      <c r="I3761" s="1" t="s">
        <v>14227</v>
      </c>
      <c r="J3761" s="1" t="s">
        <v>3606</v>
      </c>
      <c r="K3761" s="1" t="s">
        <v>14228</v>
      </c>
      <c r="L3761" s="1"/>
      <c r="M3761" s="1"/>
    </row>
    <row x14ac:dyDescent="0.25" r="3762" customHeight="1" ht="18.75">
      <c r="A3762" s="1" t="s">
        <v>7833</v>
      </c>
      <c r="B3762" s="1" t="s">
        <v>9824</v>
      </c>
      <c r="C3762" s="1" t="s">
        <v>4488</v>
      </c>
      <c r="D3762" s="1" t="s">
        <v>3610</v>
      </c>
      <c r="E3762" s="1" t="s">
        <v>8096</v>
      </c>
      <c r="F3762" s="1" t="s">
        <v>14229</v>
      </c>
      <c r="G3762" s="1" t="s">
        <v>14220</v>
      </c>
      <c r="H3762" s="1" t="s">
        <v>3604</v>
      </c>
      <c r="I3762" s="1" t="s">
        <v>14230</v>
      </c>
      <c r="J3762" s="1" t="s">
        <v>3606</v>
      </c>
      <c r="K3762" s="1" t="s">
        <v>14231</v>
      </c>
      <c r="L3762" s="1"/>
      <c r="M3762" s="1"/>
    </row>
    <row x14ac:dyDescent="0.25" r="3763" customHeight="1" ht="18.75">
      <c r="A3763" s="1" t="s">
        <v>7833</v>
      </c>
      <c r="B3763" s="1" t="s">
        <v>9824</v>
      </c>
      <c r="C3763" s="1" t="s">
        <v>4488</v>
      </c>
      <c r="D3763" s="1" t="s">
        <v>3695</v>
      </c>
      <c r="E3763" s="1" t="s">
        <v>8096</v>
      </c>
      <c r="F3763" s="1" t="s">
        <v>14232</v>
      </c>
      <c r="G3763" s="1" t="s">
        <v>14220</v>
      </c>
      <c r="H3763" s="1" t="s">
        <v>3604</v>
      </c>
      <c r="I3763" s="1" t="s">
        <v>14233</v>
      </c>
      <c r="J3763" s="1" t="s">
        <v>3606</v>
      </c>
      <c r="K3763" s="1" t="s">
        <v>14234</v>
      </c>
      <c r="L3763" s="1"/>
      <c r="M3763" s="1"/>
    </row>
    <row x14ac:dyDescent="0.25" r="3764" customHeight="1" ht="18.75">
      <c r="A3764" s="1" t="s">
        <v>7833</v>
      </c>
      <c r="B3764" s="1" t="s">
        <v>9824</v>
      </c>
      <c r="C3764" s="1" t="s">
        <v>4488</v>
      </c>
      <c r="D3764" s="1" t="s">
        <v>533</v>
      </c>
      <c r="E3764" s="1" t="s">
        <v>8096</v>
      </c>
      <c r="F3764" s="1" t="s">
        <v>14235</v>
      </c>
      <c r="G3764" s="1" t="s">
        <v>14236</v>
      </c>
      <c r="H3764" s="1" t="s">
        <v>3604</v>
      </c>
      <c r="I3764" s="1" t="s">
        <v>14237</v>
      </c>
      <c r="J3764" s="1" t="s">
        <v>3606</v>
      </c>
      <c r="K3764" s="1" t="s">
        <v>14238</v>
      </c>
      <c r="L3764" s="1"/>
      <c r="M3764" s="1"/>
    </row>
    <row x14ac:dyDescent="0.25" r="3765" customHeight="1" ht="18.75">
      <c r="A3765" s="1" t="s">
        <v>7833</v>
      </c>
      <c r="B3765" s="1" t="s">
        <v>9824</v>
      </c>
      <c r="C3765" s="1" t="s">
        <v>4488</v>
      </c>
      <c r="D3765" s="1" t="s">
        <v>3610</v>
      </c>
      <c r="E3765" s="1" t="s">
        <v>8096</v>
      </c>
      <c r="F3765" s="1" t="s">
        <v>14239</v>
      </c>
      <c r="G3765" s="1" t="s">
        <v>14236</v>
      </c>
      <c r="H3765" s="1" t="s">
        <v>3604</v>
      </c>
      <c r="I3765" s="1" t="s">
        <v>14240</v>
      </c>
      <c r="J3765" s="1" t="s">
        <v>3606</v>
      </c>
      <c r="K3765" s="1" t="s">
        <v>14241</v>
      </c>
      <c r="L3765" s="1"/>
      <c r="M3765" s="1"/>
    </row>
    <row x14ac:dyDescent="0.25" r="3766" customHeight="1" ht="18.75">
      <c r="A3766" s="1" t="s">
        <v>7833</v>
      </c>
      <c r="B3766" s="1" t="s">
        <v>13857</v>
      </c>
      <c r="C3766" s="1" t="s">
        <v>4488</v>
      </c>
      <c r="D3766" s="1" t="s">
        <v>533</v>
      </c>
      <c r="E3766" s="1" t="s">
        <v>8096</v>
      </c>
      <c r="F3766" s="1" t="s">
        <v>14242</v>
      </c>
      <c r="G3766" s="1" t="s">
        <v>14243</v>
      </c>
      <c r="H3766" s="1" t="s">
        <v>3604</v>
      </c>
      <c r="I3766" s="1" t="s">
        <v>14244</v>
      </c>
      <c r="J3766" s="1" t="s">
        <v>3606</v>
      </c>
      <c r="K3766" s="1" t="s">
        <v>14245</v>
      </c>
      <c r="L3766" s="1"/>
      <c r="M3766" s="1"/>
    </row>
    <row x14ac:dyDescent="0.25" r="3767" customHeight="1" ht="18.75">
      <c r="A3767" s="1" t="s">
        <v>7833</v>
      </c>
      <c r="B3767" s="1" t="s">
        <v>8204</v>
      </c>
      <c r="C3767" s="1" t="s">
        <v>4488</v>
      </c>
      <c r="D3767" s="1" t="s">
        <v>3601</v>
      </c>
      <c r="E3767" s="1" t="s">
        <v>8096</v>
      </c>
      <c r="F3767" s="1" t="s">
        <v>14246</v>
      </c>
      <c r="G3767" s="1" t="s">
        <v>14247</v>
      </c>
      <c r="H3767" s="1" t="s">
        <v>3604</v>
      </c>
      <c r="I3767" s="1" t="s">
        <v>14248</v>
      </c>
      <c r="J3767" s="1" t="s">
        <v>3606</v>
      </c>
      <c r="K3767" s="1" t="s">
        <v>9161</v>
      </c>
      <c r="L3767" s="1"/>
      <c r="M3767" s="1"/>
    </row>
    <row x14ac:dyDescent="0.25" r="3768" customHeight="1" ht="18.75">
      <c r="A3768" s="1" t="s">
        <v>7833</v>
      </c>
      <c r="B3768" s="1" t="s">
        <v>8204</v>
      </c>
      <c r="C3768" s="1" t="s">
        <v>4488</v>
      </c>
      <c r="D3768" s="1" t="s">
        <v>3601</v>
      </c>
      <c r="E3768" s="1" t="s">
        <v>8096</v>
      </c>
      <c r="F3768" s="1" t="s">
        <v>14249</v>
      </c>
      <c r="G3768" s="1" t="s">
        <v>14247</v>
      </c>
      <c r="H3768" s="1" t="s">
        <v>3604</v>
      </c>
      <c r="I3768" s="1" t="s">
        <v>14250</v>
      </c>
      <c r="J3768" s="1" t="s">
        <v>3606</v>
      </c>
      <c r="K3768" s="1" t="s">
        <v>9167</v>
      </c>
      <c r="L3768" s="1"/>
      <c r="M3768" s="1"/>
    </row>
    <row x14ac:dyDescent="0.25" r="3769" customHeight="1" ht="18.75">
      <c r="A3769" s="1" t="s">
        <v>7833</v>
      </c>
      <c r="B3769" s="1" t="s">
        <v>8204</v>
      </c>
      <c r="C3769" s="1" t="s">
        <v>4488</v>
      </c>
      <c r="D3769" s="1" t="s">
        <v>3601</v>
      </c>
      <c r="E3769" s="1" t="s">
        <v>8096</v>
      </c>
      <c r="F3769" s="1" t="s">
        <v>14251</v>
      </c>
      <c r="G3769" s="1" t="s">
        <v>14247</v>
      </c>
      <c r="H3769" s="1" t="s">
        <v>3604</v>
      </c>
      <c r="I3769" s="1" t="s">
        <v>14252</v>
      </c>
      <c r="J3769" s="1" t="s">
        <v>3606</v>
      </c>
      <c r="K3769" s="1" t="s">
        <v>9164</v>
      </c>
      <c r="L3769" s="1"/>
      <c r="M3769" s="1"/>
    </row>
    <row x14ac:dyDescent="0.25" r="3770" customHeight="1" ht="18.75">
      <c r="A3770" s="1" t="s">
        <v>7833</v>
      </c>
      <c r="B3770" s="1" t="s">
        <v>8306</v>
      </c>
      <c r="C3770" s="1" t="s">
        <v>4488</v>
      </c>
      <c r="D3770" s="1" t="s">
        <v>3601</v>
      </c>
      <c r="E3770" s="1" t="s">
        <v>3611</v>
      </c>
      <c r="F3770" s="1" t="s">
        <v>14253</v>
      </c>
      <c r="G3770" s="1" t="s">
        <v>13763</v>
      </c>
      <c r="H3770" s="1" t="s">
        <v>3604</v>
      </c>
      <c r="I3770" s="1" t="s">
        <v>14254</v>
      </c>
      <c r="J3770" s="1" t="s">
        <v>3606</v>
      </c>
      <c r="K3770" s="1" t="s">
        <v>14255</v>
      </c>
      <c r="L3770" s="1"/>
      <c r="M3770" s="1"/>
    </row>
    <row x14ac:dyDescent="0.25" r="3771" customHeight="1" ht="18.75">
      <c r="A3771" s="1" t="s">
        <v>7833</v>
      </c>
      <c r="B3771" s="1" t="s">
        <v>14256</v>
      </c>
      <c r="C3771" s="1" t="s">
        <v>4488</v>
      </c>
      <c r="D3771" s="1" t="s">
        <v>3601</v>
      </c>
      <c r="E3771" s="1" t="s">
        <v>3664</v>
      </c>
      <c r="F3771" s="1" t="s">
        <v>14257</v>
      </c>
      <c r="G3771" s="1" t="s">
        <v>14258</v>
      </c>
      <c r="H3771" s="1" t="s">
        <v>3604</v>
      </c>
      <c r="I3771" s="1" t="s">
        <v>14259</v>
      </c>
      <c r="J3771" s="1" t="s">
        <v>3606</v>
      </c>
      <c r="K3771" s="1" t="s">
        <v>14260</v>
      </c>
      <c r="L3771" s="1"/>
      <c r="M3771" s="1"/>
    </row>
    <row x14ac:dyDescent="0.25" r="3772" customHeight="1" ht="18.75">
      <c r="A3772" s="1" t="s">
        <v>7833</v>
      </c>
      <c r="B3772" s="1" t="s">
        <v>14256</v>
      </c>
      <c r="C3772" s="1" t="s">
        <v>4488</v>
      </c>
      <c r="D3772" s="1" t="s">
        <v>3601</v>
      </c>
      <c r="E3772" s="1" t="s">
        <v>3664</v>
      </c>
      <c r="F3772" s="1" t="s">
        <v>14261</v>
      </c>
      <c r="G3772" s="1" t="s">
        <v>14258</v>
      </c>
      <c r="H3772" s="1" t="s">
        <v>3604</v>
      </c>
      <c r="I3772" s="1" t="s">
        <v>14262</v>
      </c>
      <c r="J3772" s="1" t="s">
        <v>3606</v>
      </c>
      <c r="K3772" s="1" t="s">
        <v>14263</v>
      </c>
      <c r="L3772" s="1"/>
      <c r="M3772" s="1"/>
    </row>
    <row x14ac:dyDescent="0.25" r="3773" customHeight="1" ht="18.75">
      <c r="A3773" s="1" t="s">
        <v>7833</v>
      </c>
      <c r="B3773" s="1" t="s">
        <v>14264</v>
      </c>
      <c r="C3773" s="1" t="s">
        <v>4488</v>
      </c>
      <c r="D3773" s="1" t="s">
        <v>3601</v>
      </c>
      <c r="E3773" s="1" t="s">
        <v>3664</v>
      </c>
      <c r="F3773" s="1" t="s">
        <v>1661</v>
      </c>
      <c r="G3773" s="1" t="s">
        <v>14265</v>
      </c>
      <c r="H3773" s="1" t="s">
        <v>3604</v>
      </c>
      <c r="I3773" s="1" t="s">
        <v>14266</v>
      </c>
      <c r="J3773" s="1" t="s">
        <v>3606</v>
      </c>
      <c r="K3773" s="1" t="s">
        <v>14260</v>
      </c>
      <c r="L3773" s="1"/>
      <c r="M3773" s="1"/>
    </row>
    <row x14ac:dyDescent="0.25" r="3774" customHeight="1" ht="18.75">
      <c r="A3774" s="1" t="s">
        <v>7833</v>
      </c>
      <c r="B3774" s="1" t="s">
        <v>14264</v>
      </c>
      <c r="C3774" s="1" t="s">
        <v>4488</v>
      </c>
      <c r="D3774" s="1" t="s">
        <v>3601</v>
      </c>
      <c r="E3774" s="1" t="s">
        <v>3664</v>
      </c>
      <c r="F3774" s="1" t="s">
        <v>1662</v>
      </c>
      <c r="G3774" s="1" t="s">
        <v>14265</v>
      </c>
      <c r="H3774" s="1" t="s">
        <v>3604</v>
      </c>
      <c r="I3774" s="1" t="s">
        <v>14267</v>
      </c>
      <c r="J3774" s="1" t="s">
        <v>3606</v>
      </c>
      <c r="K3774" s="1" t="s">
        <v>14263</v>
      </c>
      <c r="L3774" s="1"/>
      <c r="M3774" s="1"/>
    </row>
    <row x14ac:dyDescent="0.25" r="3775" customHeight="1" ht="18.75">
      <c r="A3775" s="1" t="s">
        <v>7833</v>
      </c>
      <c r="B3775" s="1" t="s">
        <v>14264</v>
      </c>
      <c r="C3775" s="1" t="s">
        <v>4488</v>
      </c>
      <c r="D3775" s="1" t="s">
        <v>3601</v>
      </c>
      <c r="E3775" s="1" t="s">
        <v>3664</v>
      </c>
      <c r="F3775" s="1" t="s">
        <v>1663</v>
      </c>
      <c r="G3775" s="1" t="s">
        <v>14265</v>
      </c>
      <c r="H3775" s="1" t="s">
        <v>3604</v>
      </c>
      <c r="I3775" s="1" t="s">
        <v>14268</v>
      </c>
      <c r="J3775" s="1" t="s">
        <v>3606</v>
      </c>
      <c r="K3775" s="1" t="s">
        <v>14269</v>
      </c>
      <c r="L3775" s="1"/>
      <c r="M3775" s="1"/>
    </row>
    <row x14ac:dyDescent="0.25" r="3776" customHeight="1" ht="18.75">
      <c r="A3776" s="1" t="s">
        <v>7833</v>
      </c>
      <c r="B3776" s="1" t="s">
        <v>14264</v>
      </c>
      <c r="C3776" s="1" t="s">
        <v>4488</v>
      </c>
      <c r="D3776" s="1" t="s">
        <v>3601</v>
      </c>
      <c r="E3776" s="1" t="s">
        <v>3664</v>
      </c>
      <c r="F3776" s="1" t="s">
        <v>1664</v>
      </c>
      <c r="G3776" s="1" t="s">
        <v>14265</v>
      </c>
      <c r="H3776" s="1" t="s">
        <v>3604</v>
      </c>
      <c r="I3776" s="1" t="s">
        <v>14270</v>
      </c>
      <c r="J3776" s="1" t="s">
        <v>3606</v>
      </c>
      <c r="K3776" s="1" t="s">
        <v>14271</v>
      </c>
      <c r="L3776" s="1"/>
      <c r="M3776" s="1"/>
    </row>
    <row x14ac:dyDescent="0.25" r="3777" customHeight="1" ht="18.75">
      <c r="A3777" s="1" t="s">
        <v>7833</v>
      </c>
      <c r="B3777" s="1" t="s">
        <v>9824</v>
      </c>
      <c r="C3777" s="1" t="s">
        <v>4488</v>
      </c>
      <c r="D3777" s="1" t="s">
        <v>3610</v>
      </c>
      <c r="E3777" s="1" t="s">
        <v>8096</v>
      </c>
      <c r="F3777" s="1" t="s">
        <v>14272</v>
      </c>
      <c r="G3777" s="1" t="s">
        <v>14236</v>
      </c>
      <c r="H3777" s="1" t="s">
        <v>3604</v>
      </c>
      <c r="I3777" s="1" t="s">
        <v>14273</v>
      </c>
      <c r="J3777" s="1" t="s">
        <v>3606</v>
      </c>
      <c r="K3777" s="1" t="s">
        <v>14274</v>
      </c>
      <c r="L3777" s="1"/>
      <c r="M3777" s="1"/>
    </row>
    <row x14ac:dyDescent="0.25" r="3778" customHeight="1" ht="18.75">
      <c r="A3778" s="1" t="s">
        <v>7833</v>
      </c>
      <c r="B3778" s="1" t="s">
        <v>9824</v>
      </c>
      <c r="C3778" s="1" t="s">
        <v>4488</v>
      </c>
      <c r="D3778" s="1" t="s">
        <v>3610</v>
      </c>
      <c r="E3778" s="1" t="s">
        <v>8096</v>
      </c>
      <c r="F3778" s="1" t="s">
        <v>14275</v>
      </c>
      <c r="G3778" s="1" t="s">
        <v>14236</v>
      </c>
      <c r="H3778" s="1" t="s">
        <v>3604</v>
      </c>
      <c r="I3778" s="1" t="s">
        <v>14276</v>
      </c>
      <c r="J3778" s="1" t="s">
        <v>3606</v>
      </c>
      <c r="K3778" s="1" t="s">
        <v>14277</v>
      </c>
      <c r="L3778" s="1"/>
      <c r="M3778" s="1"/>
    </row>
    <row x14ac:dyDescent="0.25" r="3779" customHeight="1" ht="18.75">
      <c r="A3779" s="1" t="s">
        <v>7833</v>
      </c>
      <c r="B3779" s="1" t="s">
        <v>9824</v>
      </c>
      <c r="C3779" s="1" t="s">
        <v>4488</v>
      </c>
      <c r="D3779" s="1" t="s">
        <v>3695</v>
      </c>
      <c r="E3779" s="1" t="s">
        <v>8096</v>
      </c>
      <c r="F3779" s="1" t="s">
        <v>14278</v>
      </c>
      <c r="G3779" s="1" t="s">
        <v>14236</v>
      </c>
      <c r="H3779" s="1" t="s">
        <v>3604</v>
      </c>
      <c r="I3779" s="1" t="s">
        <v>14279</v>
      </c>
      <c r="J3779" s="1" t="s">
        <v>3606</v>
      </c>
      <c r="K3779" s="1" t="s">
        <v>14280</v>
      </c>
      <c r="L3779" s="1"/>
      <c r="M3779" s="1"/>
    </row>
    <row x14ac:dyDescent="0.25" r="3780" customHeight="1" ht="18.75">
      <c r="A3780" s="1" t="s">
        <v>7833</v>
      </c>
      <c r="B3780" s="1" t="s">
        <v>9824</v>
      </c>
      <c r="C3780" s="1" t="s">
        <v>4488</v>
      </c>
      <c r="D3780" s="1" t="s">
        <v>533</v>
      </c>
      <c r="E3780" s="1" t="s">
        <v>8096</v>
      </c>
      <c r="F3780" s="1" t="s">
        <v>14281</v>
      </c>
      <c r="G3780" s="1" t="s">
        <v>14282</v>
      </c>
      <c r="H3780" s="1" t="s">
        <v>3604</v>
      </c>
      <c r="I3780" s="1" t="s">
        <v>14283</v>
      </c>
      <c r="J3780" s="1" t="s">
        <v>3606</v>
      </c>
      <c r="K3780" s="1" t="s">
        <v>14284</v>
      </c>
      <c r="L3780" s="1"/>
      <c r="M3780" s="1"/>
    </row>
    <row x14ac:dyDescent="0.25" r="3781" customHeight="1" ht="18.75">
      <c r="A3781" s="1" t="s">
        <v>7833</v>
      </c>
      <c r="B3781" s="1" t="s">
        <v>9824</v>
      </c>
      <c r="C3781" s="1" t="s">
        <v>4488</v>
      </c>
      <c r="D3781" s="1" t="s">
        <v>3610</v>
      </c>
      <c r="E3781" s="1" t="s">
        <v>8096</v>
      </c>
      <c r="F3781" s="1" t="s">
        <v>14285</v>
      </c>
      <c r="G3781" s="1" t="s">
        <v>14282</v>
      </c>
      <c r="H3781" s="1" t="s">
        <v>3604</v>
      </c>
      <c r="I3781" s="1" t="s">
        <v>14286</v>
      </c>
      <c r="J3781" s="1" t="s">
        <v>3606</v>
      </c>
      <c r="K3781" s="1" t="s">
        <v>14287</v>
      </c>
      <c r="L3781" s="1"/>
      <c r="M3781" s="1"/>
    </row>
    <row x14ac:dyDescent="0.25" r="3782" customHeight="1" ht="18.75">
      <c r="A3782" s="1" t="s">
        <v>7833</v>
      </c>
      <c r="B3782" s="1" t="s">
        <v>9824</v>
      </c>
      <c r="C3782" s="1" t="s">
        <v>4488</v>
      </c>
      <c r="D3782" s="1" t="s">
        <v>3610</v>
      </c>
      <c r="E3782" s="1" t="s">
        <v>8096</v>
      </c>
      <c r="F3782" s="1" t="s">
        <v>14288</v>
      </c>
      <c r="G3782" s="1" t="s">
        <v>14282</v>
      </c>
      <c r="H3782" s="1" t="s">
        <v>3604</v>
      </c>
      <c r="I3782" s="1" t="s">
        <v>14289</v>
      </c>
      <c r="J3782" s="1" t="s">
        <v>3606</v>
      </c>
      <c r="K3782" s="1" t="s">
        <v>14290</v>
      </c>
      <c r="L3782" s="1"/>
      <c r="M3782" s="1"/>
    </row>
    <row x14ac:dyDescent="0.25" r="3783" customHeight="1" ht="18.75">
      <c r="A3783" s="1" t="s">
        <v>7833</v>
      </c>
      <c r="B3783" s="1" t="s">
        <v>9824</v>
      </c>
      <c r="C3783" s="1" t="s">
        <v>4488</v>
      </c>
      <c r="D3783" s="1" t="s">
        <v>3610</v>
      </c>
      <c r="E3783" s="1" t="s">
        <v>8096</v>
      </c>
      <c r="F3783" s="1" t="s">
        <v>14291</v>
      </c>
      <c r="G3783" s="1" t="s">
        <v>14282</v>
      </c>
      <c r="H3783" s="1" t="s">
        <v>3604</v>
      </c>
      <c r="I3783" s="1" t="s">
        <v>14292</v>
      </c>
      <c r="J3783" s="1" t="s">
        <v>3606</v>
      </c>
      <c r="K3783" s="1" t="s">
        <v>14293</v>
      </c>
      <c r="L3783" s="1"/>
      <c r="M3783" s="1"/>
    </row>
    <row x14ac:dyDescent="0.25" r="3784" customHeight="1" ht="18.75">
      <c r="A3784" s="1" t="s">
        <v>7833</v>
      </c>
      <c r="B3784" s="1" t="s">
        <v>9824</v>
      </c>
      <c r="C3784" s="1" t="s">
        <v>4488</v>
      </c>
      <c r="D3784" s="1" t="s">
        <v>3695</v>
      </c>
      <c r="E3784" s="1" t="s">
        <v>8096</v>
      </c>
      <c r="F3784" s="1" t="s">
        <v>14294</v>
      </c>
      <c r="G3784" s="1" t="s">
        <v>14282</v>
      </c>
      <c r="H3784" s="1" t="s">
        <v>3604</v>
      </c>
      <c r="I3784" s="1" t="s">
        <v>14295</v>
      </c>
      <c r="J3784" s="1" t="s">
        <v>3606</v>
      </c>
      <c r="K3784" s="1" t="s">
        <v>14296</v>
      </c>
      <c r="L3784" s="1"/>
      <c r="M3784" s="1"/>
    </row>
    <row x14ac:dyDescent="0.25" r="3785" customHeight="1" ht="18.75">
      <c r="A3785" s="1" t="s">
        <v>7833</v>
      </c>
      <c r="B3785" s="1" t="s">
        <v>9824</v>
      </c>
      <c r="C3785" s="1" t="s">
        <v>4488</v>
      </c>
      <c r="D3785" s="1" t="s">
        <v>533</v>
      </c>
      <c r="E3785" s="1" t="s">
        <v>8096</v>
      </c>
      <c r="F3785" s="1" t="s">
        <v>14297</v>
      </c>
      <c r="G3785" s="1" t="s">
        <v>14298</v>
      </c>
      <c r="H3785" s="1" t="s">
        <v>3604</v>
      </c>
      <c r="I3785" s="1" t="s">
        <v>14299</v>
      </c>
      <c r="J3785" s="1" t="s">
        <v>3606</v>
      </c>
      <c r="K3785" s="1" t="s">
        <v>14300</v>
      </c>
      <c r="L3785" s="1"/>
      <c r="M3785" s="1"/>
    </row>
    <row x14ac:dyDescent="0.25" r="3786" customHeight="1" ht="18.75">
      <c r="A3786" s="1" t="s">
        <v>7833</v>
      </c>
      <c r="B3786" s="1" t="s">
        <v>9824</v>
      </c>
      <c r="C3786" s="1" t="s">
        <v>4488</v>
      </c>
      <c r="D3786" s="1" t="s">
        <v>3610</v>
      </c>
      <c r="E3786" s="1" t="s">
        <v>8096</v>
      </c>
      <c r="F3786" s="1" t="s">
        <v>14301</v>
      </c>
      <c r="G3786" s="1" t="s">
        <v>14298</v>
      </c>
      <c r="H3786" s="1" t="s">
        <v>3604</v>
      </c>
      <c r="I3786" s="1" t="s">
        <v>14302</v>
      </c>
      <c r="J3786" s="1" t="s">
        <v>3606</v>
      </c>
      <c r="K3786" s="1" t="s">
        <v>14303</v>
      </c>
      <c r="L3786" s="1"/>
      <c r="M3786" s="1"/>
    </row>
    <row x14ac:dyDescent="0.25" r="3787" customHeight="1" ht="18.75">
      <c r="A3787" s="1" t="s">
        <v>7833</v>
      </c>
      <c r="B3787" s="1" t="s">
        <v>9824</v>
      </c>
      <c r="C3787" s="1" t="s">
        <v>4488</v>
      </c>
      <c r="D3787" s="1" t="s">
        <v>533</v>
      </c>
      <c r="E3787" s="1" t="s">
        <v>8096</v>
      </c>
      <c r="F3787" s="1" t="s">
        <v>14304</v>
      </c>
      <c r="G3787" s="1" t="s">
        <v>14305</v>
      </c>
      <c r="H3787" s="1" t="s">
        <v>3604</v>
      </c>
      <c r="I3787" s="1" t="s">
        <v>14306</v>
      </c>
      <c r="J3787" s="1" t="s">
        <v>3606</v>
      </c>
      <c r="K3787" s="1" t="s">
        <v>14307</v>
      </c>
      <c r="L3787" s="1"/>
      <c r="M3787" s="1"/>
    </row>
    <row x14ac:dyDescent="0.25" r="3788" customHeight="1" ht="18.75">
      <c r="A3788" s="1" t="s">
        <v>7833</v>
      </c>
      <c r="B3788" s="1" t="s">
        <v>9824</v>
      </c>
      <c r="C3788" s="1" t="s">
        <v>4488</v>
      </c>
      <c r="D3788" s="1" t="s">
        <v>533</v>
      </c>
      <c r="E3788" s="1" t="s">
        <v>8096</v>
      </c>
      <c r="F3788" s="1" t="s">
        <v>14308</v>
      </c>
      <c r="G3788" s="1" t="s">
        <v>14305</v>
      </c>
      <c r="H3788" s="1" t="s">
        <v>3604</v>
      </c>
      <c r="I3788" s="1" t="s">
        <v>14309</v>
      </c>
      <c r="J3788" s="1" t="s">
        <v>3606</v>
      </c>
      <c r="K3788" s="1" t="s">
        <v>14310</v>
      </c>
      <c r="L3788" s="1"/>
      <c r="M3788" s="1"/>
    </row>
    <row x14ac:dyDescent="0.25" r="3789" customHeight="1" ht="18.75">
      <c r="A3789" s="1" t="s">
        <v>7833</v>
      </c>
      <c r="B3789" s="1" t="s">
        <v>9824</v>
      </c>
      <c r="C3789" s="1" t="s">
        <v>4488</v>
      </c>
      <c r="D3789" s="1" t="s">
        <v>533</v>
      </c>
      <c r="E3789" s="1" t="s">
        <v>8096</v>
      </c>
      <c r="F3789" s="1" t="s">
        <v>14311</v>
      </c>
      <c r="G3789" s="1" t="s">
        <v>14305</v>
      </c>
      <c r="H3789" s="1" t="s">
        <v>3604</v>
      </c>
      <c r="I3789" s="1" t="s">
        <v>14312</v>
      </c>
      <c r="J3789" s="1" t="s">
        <v>3606</v>
      </c>
      <c r="K3789" s="1" t="s">
        <v>14313</v>
      </c>
      <c r="L3789" s="1"/>
      <c r="M3789" s="1"/>
    </row>
    <row x14ac:dyDescent="0.25" r="3790" customHeight="1" ht="18.75">
      <c r="A3790" s="1" t="s">
        <v>7833</v>
      </c>
      <c r="B3790" s="1" t="s">
        <v>9824</v>
      </c>
      <c r="C3790" s="1" t="s">
        <v>4488</v>
      </c>
      <c r="D3790" s="1" t="s">
        <v>533</v>
      </c>
      <c r="E3790" s="1" t="s">
        <v>8096</v>
      </c>
      <c r="F3790" s="1" t="s">
        <v>14314</v>
      </c>
      <c r="G3790" s="1" t="s">
        <v>14305</v>
      </c>
      <c r="H3790" s="1" t="s">
        <v>3604</v>
      </c>
      <c r="I3790" s="1" t="s">
        <v>14315</v>
      </c>
      <c r="J3790" s="1" t="s">
        <v>3606</v>
      </c>
      <c r="K3790" s="1" t="s">
        <v>14316</v>
      </c>
      <c r="L3790" s="1"/>
      <c r="M3790" s="1"/>
    </row>
    <row x14ac:dyDescent="0.25" r="3791" customHeight="1" ht="18.75">
      <c r="A3791" s="1" t="s">
        <v>7833</v>
      </c>
      <c r="B3791" s="1" t="s">
        <v>9824</v>
      </c>
      <c r="C3791" s="1" t="s">
        <v>4488</v>
      </c>
      <c r="D3791" s="1" t="s">
        <v>533</v>
      </c>
      <c r="E3791" s="1" t="s">
        <v>8096</v>
      </c>
      <c r="F3791" s="1" t="s">
        <v>14317</v>
      </c>
      <c r="G3791" s="1" t="s">
        <v>14305</v>
      </c>
      <c r="H3791" s="1" t="s">
        <v>3604</v>
      </c>
      <c r="I3791" s="1" t="s">
        <v>14318</v>
      </c>
      <c r="J3791" s="1" t="s">
        <v>3606</v>
      </c>
      <c r="K3791" s="1" t="s">
        <v>14319</v>
      </c>
      <c r="L3791" s="1"/>
      <c r="M3791" s="1"/>
    </row>
    <row x14ac:dyDescent="0.25" r="3792" customHeight="1" ht="18.75">
      <c r="A3792" s="1" t="s">
        <v>7833</v>
      </c>
      <c r="B3792" s="1" t="s">
        <v>9824</v>
      </c>
      <c r="C3792" s="1" t="s">
        <v>4488</v>
      </c>
      <c r="D3792" s="1" t="s">
        <v>3610</v>
      </c>
      <c r="E3792" s="1" t="s">
        <v>8096</v>
      </c>
      <c r="F3792" s="1" t="s">
        <v>14320</v>
      </c>
      <c r="G3792" s="1" t="s">
        <v>14305</v>
      </c>
      <c r="H3792" s="1" t="s">
        <v>3604</v>
      </c>
      <c r="I3792" s="1" t="s">
        <v>14321</v>
      </c>
      <c r="J3792" s="1" t="s">
        <v>3606</v>
      </c>
      <c r="K3792" s="1" t="s">
        <v>14322</v>
      </c>
      <c r="L3792" s="1"/>
      <c r="M3792" s="1"/>
    </row>
    <row x14ac:dyDescent="0.25" r="3793" customHeight="1" ht="18.75">
      <c r="A3793" s="1" t="s">
        <v>7833</v>
      </c>
      <c r="B3793" s="1" t="s">
        <v>9824</v>
      </c>
      <c r="C3793" s="1" t="s">
        <v>4488</v>
      </c>
      <c r="D3793" s="1" t="s">
        <v>3610</v>
      </c>
      <c r="E3793" s="1" t="s">
        <v>8096</v>
      </c>
      <c r="F3793" s="1" t="s">
        <v>14323</v>
      </c>
      <c r="G3793" s="1" t="s">
        <v>14305</v>
      </c>
      <c r="H3793" s="1" t="s">
        <v>3604</v>
      </c>
      <c r="I3793" s="1" t="s">
        <v>14324</v>
      </c>
      <c r="J3793" s="1" t="s">
        <v>3606</v>
      </c>
      <c r="K3793" s="1" t="s">
        <v>14325</v>
      </c>
      <c r="L3793" s="1"/>
      <c r="M3793" s="1"/>
    </row>
    <row x14ac:dyDescent="0.25" r="3794" customHeight="1" ht="18.75">
      <c r="A3794" s="1" t="s">
        <v>7833</v>
      </c>
      <c r="B3794" s="1" t="s">
        <v>9824</v>
      </c>
      <c r="C3794" s="1" t="s">
        <v>4488</v>
      </c>
      <c r="D3794" s="1" t="s">
        <v>3610</v>
      </c>
      <c r="E3794" s="1" t="s">
        <v>8096</v>
      </c>
      <c r="F3794" s="1" t="s">
        <v>14326</v>
      </c>
      <c r="G3794" s="1" t="s">
        <v>14305</v>
      </c>
      <c r="H3794" s="1" t="s">
        <v>3604</v>
      </c>
      <c r="I3794" s="1" t="s">
        <v>14327</v>
      </c>
      <c r="J3794" s="1" t="s">
        <v>3606</v>
      </c>
      <c r="K3794" s="1" t="s">
        <v>14328</v>
      </c>
      <c r="L3794" s="1"/>
      <c r="M3794" s="1"/>
    </row>
    <row x14ac:dyDescent="0.25" r="3795" customHeight="1" ht="18.75">
      <c r="A3795" s="1" t="s">
        <v>7833</v>
      </c>
      <c r="B3795" s="1" t="s">
        <v>9824</v>
      </c>
      <c r="C3795" s="1" t="s">
        <v>4488</v>
      </c>
      <c r="D3795" s="1" t="s">
        <v>3610</v>
      </c>
      <c r="E3795" s="1" t="s">
        <v>8096</v>
      </c>
      <c r="F3795" s="1" t="s">
        <v>14329</v>
      </c>
      <c r="G3795" s="1" t="s">
        <v>14305</v>
      </c>
      <c r="H3795" s="1" t="s">
        <v>3604</v>
      </c>
      <c r="I3795" s="1" t="s">
        <v>14330</v>
      </c>
      <c r="J3795" s="1" t="s">
        <v>3606</v>
      </c>
      <c r="K3795" s="1" t="s">
        <v>14331</v>
      </c>
      <c r="L3795" s="1"/>
      <c r="M3795" s="1"/>
    </row>
    <row x14ac:dyDescent="0.25" r="3796" customHeight="1" ht="18.75">
      <c r="A3796" s="1" t="s">
        <v>7833</v>
      </c>
      <c r="B3796" s="1" t="s">
        <v>14332</v>
      </c>
      <c r="C3796" s="1" t="s">
        <v>3619</v>
      </c>
      <c r="D3796" s="1" t="s">
        <v>533</v>
      </c>
      <c r="E3796" s="1" t="s">
        <v>3664</v>
      </c>
      <c r="F3796" s="1" t="s">
        <v>14333</v>
      </c>
      <c r="G3796" s="1" t="s">
        <v>14334</v>
      </c>
      <c r="H3796" s="1" t="s">
        <v>3604</v>
      </c>
      <c r="I3796" s="1" t="s">
        <v>14335</v>
      </c>
      <c r="J3796" s="1" t="s">
        <v>3606</v>
      </c>
      <c r="K3796" s="1" t="s">
        <v>14336</v>
      </c>
      <c r="L3796" s="1"/>
      <c r="M3796" s="1"/>
    </row>
    <row x14ac:dyDescent="0.25" r="3797" customHeight="1" ht="18.75">
      <c r="A3797" s="1" t="s">
        <v>7833</v>
      </c>
      <c r="B3797" s="1" t="s">
        <v>9824</v>
      </c>
      <c r="C3797" s="1" t="s">
        <v>4488</v>
      </c>
      <c r="D3797" s="1" t="s">
        <v>3610</v>
      </c>
      <c r="E3797" s="1" t="s">
        <v>8096</v>
      </c>
      <c r="F3797" s="1" t="s">
        <v>14337</v>
      </c>
      <c r="G3797" s="1" t="s">
        <v>14305</v>
      </c>
      <c r="H3797" s="1" t="s">
        <v>3604</v>
      </c>
      <c r="I3797" s="1" t="s">
        <v>14338</v>
      </c>
      <c r="J3797" s="1" t="s">
        <v>3606</v>
      </c>
      <c r="K3797" s="1" t="s">
        <v>14339</v>
      </c>
      <c r="L3797" s="1"/>
      <c r="M3797" s="1"/>
    </row>
    <row x14ac:dyDescent="0.25" r="3798" customHeight="1" ht="18.75">
      <c r="A3798" s="1" t="s">
        <v>7833</v>
      </c>
      <c r="B3798" s="1" t="s">
        <v>9824</v>
      </c>
      <c r="C3798" s="1" t="s">
        <v>4488</v>
      </c>
      <c r="D3798" s="1" t="s">
        <v>3610</v>
      </c>
      <c r="E3798" s="1" t="s">
        <v>8096</v>
      </c>
      <c r="F3798" s="1" t="s">
        <v>14340</v>
      </c>
      <c r="G3798" s="1" t="s">
        <v>14305</v>
      </c>
      <c r="H3798" s="1" t="s">
        <v>3604</v>
      </c>
      <c r="I3798" s="1" t="s">
        <v>14341</v>
      </c>
      <c r="J3798" s="1" t="s">
        <v>3606</v>
      </c>
      <c r="K3798" s="1" t="s">
        <v>14342</v>
      </c>
      <c r="L3798" s="1"/>
      <c r="M3798" s="1"/>
    </row>
    <row x14ac:dyDescent="0.25" r="3799" customHeight="1" ht="18.75">
      <c r="A3799" s="1" t="s">
        <v>7833</v>
      </c>
      <c r="B3799" s="1" t="s">
        <v>9824</v>
      </c>
      <c r="C3799" s="1" t="s">
        <v>4488</v>
      </c>
      <c r="D3799" s="1" t="s">
        <v>3610</v>
      </c>
      <c r="E3799" s="1" t="s">
        <v>8096</v>
      </c>
      <c r="F3799" s="1" t="s">
        <v>14343</v>
      </c>
      <c r="G3799" s="1" t="s">
        <v>14305</v>
      </c>
      <c r="H3799" s="1" t="s">
        <v>3604</v>
      </c>
      <c r="I3799" s="1" t="s">
        <v>14344</v>
      </c>
      <c r="J3799" s="1" t="s">
        <v>3606</v>
      </c>
      <c r="K3799" s="1" t="s">
        <v>14345</v>
      </c>
      <c r="L3799" s="1"/>
      <c r="M3799" s="1"/>
    </row>
    <row x14ac:dyDescent="0.25" r="3800" customHeight="1" ht="18.75">
      <c r="A3800" s="1" t="s">
        <v>7833</v>
      </c>
      <c r="B3800" s="1" t="s">
        <v>9824</v>
      </c>
      <c r="C3800" s="1" t="s">
        <v>4488</v>
      </c>
      <c r="D3800" s="1" t="s">
        <v>3610</v>
      </c>
      <c r="E3800" s="1" t="s">
        <v>8096</v>
      </c>
      <c r="F3800" s="1" t="s">
        <v>14346</v>
      </c>
      <c r="G3800" s="1" t="s">
        <v>14305</v>
      </c>
      <c r="H3800" s="1" t="s">
        <v>3604</v>
      </c>
      <c r="I3800" s="1" t="s">
        <v>14347</v>
      </c>
      <c r="J3800" s="1" t="s">
        <v>3606</v>
      </c>
      <c r="K3800" s="1" t="s">
        <v>14348</v>
      </c>
      <c r="L3800" s="1"/>
      <c r="M3800" s="1"/>
    </row>
    <row x14ac:dyDescent="0.25" r="3801" customHeight="1" ht="18.75">
      <c r="A3801" s="1" t="s">
        <v>7833</v>
      </c>
      <c r="B3801" s="1" t="s">
        <v>14332</v>
      </c>
      <c r="C3801" s="1" t="s">
        <v>3619</v>
      </c>
      <c r="D3801" s="1" t="s">
        <v>3610</v>
      </c>
      <c r="E3801" s="1" t="s">
        <v>3664</v>
      </c>
      <c r="F3801" s="1" t="s">
        <v>14349</v>
      </c>
      <c r="G3801" s="1" t="s">
        <v>14334</v>
      </c>
      <c r="H3801" s="1" t="s">
        <v>3604</v>
      </c>
      <c r="I3801" s="1" t="s">
        <v>14350</v>
      </c>
      <c r="J3801" s="1" t="s">
        <v>3606</v>
      </c>
      <c r="K3801" s="1" t="s">
        <v>14351</v>
      </c>
      <c r="L3801" s="1"/>
      <c r="M3801" s="1"/>
    </row>
    <row x14ac:dyDescent="0.25" r="3802" customHeight="1" ht="18.75">
      <c r="A3802" s="1" t="s">
        <v>7833</v>
      </c>
      <c r="B3802" s="1" t="s">
        <v>14332</v>
      </c>
      <c r="C3802" s="1" t="s">
        <v>3619</v>
      </c>
      <c r="D3802" s="1" t="s">
        <v>3610</v>
      </c>
      <c r="E3802" s="1" t="s">
        <v>3664</v>
      </c>
      <c r="F3802" s="1" t="s">
        <v>14352</v>
      </c>
      <c r="G3802" s="1" t="s">
        <v>14334</v>
      </c>
      <c r="H3802" s="1" t="s">
        <v>3604</v>
      </c>
      <c r="I3802" s="1" t="s">
        <v>14353</v>
      </c>
      <c r="J3802" s="1" t="s">
        <v>3606</v>
      </c>
      <c r="K3802" s="1" t="s">
        <v>14354</v>
      </c>
      <c r="L3802" s="1"/>
      <c r="M3802" s="1"/>
    </row>
    <row x14ac:dyDescent="0.25" r="3803" customHeight="1" ht="18.75">
      <c r="A3803" s="1" t="s">
        <v>7833</v>
      </c>
      <c r="B3803" s="1" t="s">
        <v>14332</v>
      </c>
      <c r="C3803" s="1" t="s">
        <v>3619</v>
      </c>
      <c r="D3803" s="1" t="s">
        <v>3695</v>
      </c>
      <c r="E3803" s="1" t="s">
        <v>3664</v>
      </c>
      <c r="F3803" s="1" t="s">
        <v>14355</v>
      </c>
      <c r="G3803" s="1" t="s">
        <v>14334</v>
      </c>
      <c r="H3803" s="1" t="s">
        <v>3604</v>
      </c>
      <c r="I3803" s="1" t="s">
        <v>14356</v>
      </c>
      <c r="J3803" s="1" t="s">
        <v>3606</v>
      </c>
      <c r="K3803" s="1" t="s">
        <v>14357</v>
      </c>
      <c r="L3803" s="1"/>
      <c r="M3803" s="1"/>
    </row>
    <row x14ac:dyDescent="0.25" r="3804" customHeight="1" ht="18.75">
      <c r="A3804" s="1" t="s">
        <v>7833</v>
      </c>
      <c r="B3804" s="1" t="s">
        <v>14332</v>
      </c>
      <c r="C3804" s="1" t="s">
        <v>3619</v>
      </c>
      <c r="D3804" s="1" t="s">
        <v>7891</v>
      </c>
      <c r="E3804" s="1" t="s">
        <v>3664</v>
      </c>
      <c r="F3804" s="1" t="s">
        <v>14358</v>
      </c>
      <c r="G3804" s="1" t="s">
        <v>14334</v>
      </c>
      <c r="H3804" s="1" t="s">
        <v>3604</v>
      </c>
      <c r="I3804" s="1" t="s">
        <v>14359</v>
      </c>
      <c r="J3804" s="1" t="s">
        <v>3606</v>
      </c>
      <c r="K3804" s="1" t="s">
        <v>14360</v>
      </c>
      <c r="L3804" s="1"/>
      <c r="M3804" s="1"/>
    </row>
    <row x14ac:dyDescent="0.25" r="3805" customHeight="1" ht="18.75">
      <c r="A3805" s="1" t="s">
        <v>7833</v>
      </c>
      <c r="B3805" s="1" t="s">
        <v>9824</v>
      </c>
      <c r="C3805" s="1" t="s">
        <v>4488</v>
      </c>
      <c r="D3805" s="1" t="s">
        <v>3610</v>
      </c>
      <c r="E3805" s="1" t="s">
        <v>8096</v>
      </c>
      <c r="F3805" s="1" t="s">
        <v>14361</v>
      </c>
      <c r="G3805" s="1" t="s">
        <v>14305</v>
      </c>
      <c r="H3805" s="1" t="s">
        <v>3604</v>
      </c>
      <c r="I3805" s="1" t="s">
        <v>14362</v>
      </c>
      <c r="J3805" s="1" t="s">
        <v>3606</v>
      </c>
      <c r="K3805" s="1" t="s">
        <v>14363</v>
      </c>
      <c r="L3805" s="1"/>
      <c r="M3805" s="1"/>
    </row>
    <row x14ac:dyDescent="0.25" r="3806" customHeight="1" ht="18.75">
      <c r="A3806" s="1" t="s">
        <v>7833</v>
      </c>
      <c r="B3806" s="1" t="s">
        <v>9824</v>
      </c>
      <c r="C3806" s="1" t="s">
        <v>4488</v>
      </c>
      <c r="D3806" s="1" t="s">
        <v>3610</v>
      </c>
      <c r="E3806" s="1" t="s">
        <v>8096</v>
      </c>
      <c r="F3806" s="1" t="s">
        <v>14364</v>
      </c>
      <c r="G3806" s="1" t="s">
        <v>14305</v>
      </c>
      <c r="H3806" s="1" t="s">
        <v>3604</v>
      </c>
      <c r="I3806" s="1" t="s">
        <v>14365</v>
      </c>
      <c r="J3806" s="1" t="s">
        <v>3606</v>
      </c>
      <c r="K3806" s="1" t="s">
        <v>14366</v>
      </c>
      <c r="L3806" s="1"/>
      <c r="M3806" s="1"/>
    </row>
    <row x14ac:dyDescent="0.25" r="3807" customHeight="1" ht="18.75">
      <c r="A3807" s="1" t="s">
        <v>7833</v>
      </c>
      <c r="B3807" s="1" t="s">
        <v>9824</v>
      </c>
      <c r="C3807" s="1" t="s">
        <v>4488</v>
      </c>
      <c r="D3807" s="1" t="s">
        <v>3695</v>
      </c>
      <c r="E3807" s="1" t="s">
        <v>8096</v>
      </c>
      <c r="F3807" s="1" t="s">
        <v>14367</v>
      </c>
      <c r="G3807" s="1" t="s">
        <v>14305</v>
      </c>
      <c r="H3807" s="1" t="s">
        <v>3604</v>
      </c>
      <c r="I3807" s="1" t="s">
        <v>14368</v>
      </c>
      <c r="J3807" s="1" t="s">
        <v>3606</v>
      </c>
      <c r="K3807" s="1" t="s">
        <v>14369</v>
      </c>
      <c r="L3807" s="1"/>
      <c r="M3807" s="1"/>
    </row>
    <row x14ac:dyDescent="0.25" r="3808" customHeight="1" ht="18.75">
      <c r="A3808" s="1" t="s">
        <v>7833</v>
      </c>
      <c r="B3808" s="1" t="s">
        <v>9824</v>
      </c>
      <c r="C3808" s="1" t="s">
        <v>4488</v>
      </c>
      <c r="D3808" s="1" t="s">
        <v>3695</v>
      </c>
      <c r="E3808" s="1" t="s">
        <v>8096</v>
      </c>
      <c r="F3808" s="1" t="s">
        <v>14370</v>
      </c>
      <c r="G3808" s="1" t="s">
        <v>14305</v>
      </c>
      <c r="H3808" s="1" t="s">
        <v>3604</v>
      </c>
      <c r="I3808" s="1" t="s">
        <v>14371</v>
      </c>
      <c r="J3808" s="1" t="s">
        <v>3606</v>
      </c>
      <c r="K3808" s="1" t="s">
        <v>14372</v>
      </c>
      <c r="L3808" s="1"/>
      <c r="M3808" s="1"/>
    </row>
    <row x14ac:dyDescent="0.25" r="3809" customHeight="1" ht="18.75">
      <c r="A3809" s="1" t="s">
        <v>7833</v>
      </c>
      <c r="B3809" s="1" t="s">
        <v>9824</v>
      </c>
      <c r="C3809" s="1" t="s">
        <v>4488</v>
      </c>
      <c r="D3809" s="1" t="s">
        <v>3695</v>
      </c>
      <c r="E3809" s="1" t="s">
        <v>8096</v>
      </c>
      <c r="F3809" s="1" t="s">
        <v>14373</v>
      </c>
      <c r="G3809" s="1" t="s">
        <v>14305</v>
      </c>
      <c r="H3809" s="1" t="s">
        <v>3604</v>
      </c>
      <c r="I3809" s="1" t="s">
        <v>14374</v>
      </c>
      <c r="J3809" s="1" t="s">
        <v>3606</v>
      </c>
      <c r="K3809" s="1" t="s">
        <v>14375</v>
      </c>
      <c r="L3809" s="1"/>
      <c r="M3809" s="1"/>
    </row>
    <row x14ac:dyDescent="0.25" r="3810" customHeight="1" ht="18.75">
      <c r="A3810" s="1" t="s">
        <v>7833</v>
      </c>
      <c r="B3810" s="1" t="s">
        <v>9824</v>
      </c>
      <c r="C3810" s="1" t="s">
        <v>4488</v>
      </c>
      <c r="D3810" s="1" t="s">
        <v>3695</v>
      </c>
      <c r="E3810" s="1" t="s">
        <v>8096</v>
      </c>
      <c r="F3810" s="1" t="s">
        <v>14376</v>
      </c>
      <c r="G3810" s="1" t="s">
        <v>14305</v>
      </c>
      <c r="H3810" s="1" t="s">
        <v>3604</v>
      </c>
      <c r="I3810" s="1" t="s">
        <v>14377</v>
      </c>
      <c r="J3810" s="1" t="s">
        <v>3606</v>
      </c>
      <c r="K3810" s="1" t="s">
        <v>14378</v>
      </c>
      <c r="L3810" s="1"/>
      <c r="M3810" s="1"/>
    </row>
    <row x14ac:dyDescent="0.25" r="3811" customHeight="1" ht="18.75">
      <c r="A3811" s="1" t="s">
        <v>7833</v>
      </c>
      <c r="B3811" s="1" t="s">
        <v>9824</v>
      </c>
      <c r="C3811" s="1" t="s">
        <v>4488</v>
      </c>
      <c r="D3811" s="1" t="s">
        <v>533</v>
      </c>
      <c r="E3811" s="1" t="s">
        <v>8096</v>
      </c>
      <c r="F3811" s="1" t="s">
        <v>14379</v>
      </c>
      <c r="G3811" s="1" t="s">
        <v>14380</v>
      </c>
      <c r="H3811" s="1" t="s">
        <v>3604</v>
      </c>
      <c r="I3811" s="1" t="s">
        <v>14381</v>
      </c>
      <c r="J3811" s="1" t="s">
        <v>3606</v>
      </c>
      <c r="K3811" s="1" t="s">
        <v>14382</v>
      </c>
      <c r="L3811" s="1"/>
      <c r="M3811" s="1"/>
    </row>
    <row x14ac:dyDescent="0.25" r="3812" customHeight="1" ht="18.75">
      <c r="A3812" s="1" t="s">
        <v>7833</v>
      </c>
      <c r="B3812" s="1" t="s">
        <v>9824</v>
      </c>
      <c r="C3812" s="1" t="s">
        <v>4488</v>
      </c>
      <c r="D3812" s="1" t="s">
        <v>3610</v>
      </c>
      <c r="E3812" s="1" t="s">
        <v>8096</v>
      </c>
      <c r="F3812" s="1" t="s">
        <v>14383</v>
      </c>
      <c r="G3812" s="1" t="s">
        <v>14380</v>
      </c>
      <c r="H3812" s="1" t="s">
        <v>3604</v>
      </c>
      <c r="I3812" s="1" t="s">
        <v>14384</v>
      </c>
      <c r="J3812" s="1" t="s">
        <v>3606</v>
      </c>
      <c r="K3812" s="1" t="s">
        <v>14385</v>
      </c>
      <c r="L3812" s="1"/>
      <c r="M3812" s="1"/>
    </row>
    <row x14ac:dyDescent="0.25" r="3813" customHeight="1" ht="18.75">
      <c r="A3813" s="1" t="s">
        <v>7833</v>
      </c>
      <c r="B3813" s="1" t="s">
        <v>9824</v>
      </c>
      <c r="C3813" s="1" t="s">
        <v>4488</v>
      </c>
      <c r="D3813" s="1" t="s">
        <v>3610</v>
      </c>
      <c r="E3813" s="1" t="s">
        <v>8096</v>
      </c>
      <c r="F3813" s="1" t="s">
        <v>14386</v>
      </c>
      <c r="G3813" s="1" t="s">
        <v>14380</v>
      </c>
      <c r="H3813" s="1" t="s">
        <v>3604</v>
      </c>
      <c r="I3813" s="1" t="s">
        <v>14387</v>
      </c>
      <c r="J3813" s="1" t="s">
        <v>3606</v>
      </c>
      <c r="K3813" s="1" t="s">
        <v>14388</v>
      </c>
      <c r="L3813" s="1"/>
      <c r="M3813" s="1"/>
    </row>
    <row x14ac:dyDescent="0.25" r="3814" customHeight="1" ht="18.75">
      <c r="A3814" s="1" t="s">
        <v>7833</v>
      </c>
      <c r="B3814" s="1" t="s">
        <v>9824</v>
      </c>
      <c r="C3814" s="1" t="s">
        <v>4488</v>
      </c>
      <c r="D3814" s="1" t="s">
        <v>3610</v>
      </c>
      <c r="E3814" s="1" t="s">
        <v>8096</v>
      </c>
      <c r="F3814" s="1" t="s">
        <v>14389</v>
      </c>
      <c r="G3814" s="1" t="s">
        <v>14380</v>
      </c>
      <c r="H3814" s="1" t="s">
        <v>3604</v>
      </c>
      <c r="I3814" s="1" t="s">
        <v>14390</v>
      </c>
      <c r="J3814" s="1" t="s">
        <v>3606</v>
      </c>
      <c r="K3814" s="1" t="s">
        <v>14391</v>
      </c>
      <c r="L3814" s="1"/>
      <c r="M3814" s="1"/>
    </row>
    <row x14ac:dyDescent="0.25" r="3815" customHeight="1" ht="18.75">
      <c r="A3815" s="1" t="s">
        <v>7833</v>
      </c>
      <c r="B3815" s="1" t="s">
        <v>9824</v>
      </c>
      <c r="C3815" s="1" t="s">
        <v>4488</v>
      </c>
      <c r="D3815" s="1" t="s">
        <v>3695</v>
      </c>
      <c r="E3815" s="1" t="s">
        <v>8096</v>
      </c>
      <c r="F3815" s="1" t="s">
        <v>14392</v>
      </c>
      <c r="G3815" s="1" t="s">
        <v>14380</v>
      </c>
      <c r="H3815" s="1" t="s">
        <v>3604</v>
      </c>
      <c r="I3815" s="1" t="s">
        <v>14393</v>
      </c>
      <c r="J3815" s="1" t="s">
        <v>3606</v>
      </c>
      <c r="K3815" s="1" t="s">
        <v>14394</v>
      </c>
      <c r="L3815" s="1"/>
      <c r="M3815" s="1"/>
    </row>
    <row x14ac:dyDescent="0.25" r="3816" customHeight="1" ht="18.75">
      <c r="A3816" s="1" t="s">
        <v>7833</v>
      </c>
      <c r="B3816" s="1" t="s">
        <v>9824</v>
      </c>
      <c r="C3816" s="1" t="s">
        <v>4488</v>
      </c>
      <c r="D3816" s="1" t="s">
        <v>3610</v>
      </c>
      <c r="E3816" s="1" t="s">
        <v>3664</v>
      </c>
      <c r="F3816" s="1" t="s">
        <v>14395</v>
      </c>
      <c r="G3816" s="1" t="s">
        <v>14396</v>
      </c>
      <c r="H3816" s="1" t="s">
        <v>3604</v>
      </c>
      <c r="I3816" s="1" t="s">
        <v>14397</v>
      </c>
      <c r="J3816" s="1" t="s">
        <v>3606</v>
      </c>
      <c r="K3816" s="1" t="s">
        <v>12943</v>
      </c>
      <c r="L3816" s="1"/>
      <c r="M3816" s="1"/>
    </row>
    <row x14ac:dyDescent="0.25" r="3817" customHeight="1" ht="18.75">
      <c r="A3817" s="1" t="s">
        <v>7833</v>
      </c>
      <c r="B3817" s="1" t="s">
        <v>9824</v>
      </c>
      <c r="C3817" s="1" t="s">
        <v>4488</v>
      </c>
      <c r="D3817" s="1" t="s">
        <v>3610</v>
      </c>
      <c r="E3817" s="1" t="s">
        <v>3664</v>
      </c>
      <c r="F3817" s="1" t="s">
        <v>14398</v>
      </c>
      <c r="G3817" s="1" t="s">
        <v>14396</v>
      </c>
      <c r="H3817" s="1" t="s">
        <v>3604</v>
      </c>
      <c r="I3817" s="1" t="s">
        <v>14399</v>
      </c>
      <c r="J3817" s="1" t="s">
        <v>3606</v>
      </c>
      <c r="K3817" s="1" t="s">
        <v>14400</v>
      </c>
      <c r="L3817" s="1"/>
      <c r="M3817" s="1"/>
    </row>
    <row x14ac:dyDescent="0.25" r="3818" customHeight="1" ht="18.75">
      <c r="A3818" s="1" t="s">
        <v>7833</v>
      </c>
      <c r="B3818" s="1" t="s">
        <v>14401</v>
      </c>
      <c r="C3818" s="1" t="s">
        <v>4488</v>
      </c>
      <c r="D3818" s="1" t="s">
        <v>3601</v>
      </c>
      <c r="E3818" s="1" t="s">
        <v>3664</v>
      </c>
      <c r="F3818" s="1" t="s">
        <v>1691</v>
      </c>
      <c r="G3818" s="1" t="s">
        <v>14402</v>
      </c>
      <c r="H3818" s="1" t="s">
        <v>3604</v>
      </c>
      <c r="I3818" s="1" t="s">
        <v>14403</v>
      </c>
      <c r="J3818" s="1" t="s">
        <v>3606</v>
      </c>
      <c r="K3818" s="1" t="s">
        <v>14269</v>
      </c>
      <c r="L3818" s="1"/>
      <c r="M3818" s="1"/>
    </row>
    <row x14ac:dyDescent="0.25" r="3819" customHeight="1" ht="18.75">
      <c r="A3819" s="1" t="s">
        <v>7833</v>
      </c>
      <c r="B3819" s="1" t="s">
        <v>14404</v>
      </c>
      <c r="C3819" s="1" t="s">
        <v>4488</v>
      </c>
      <c r="D3819" s="1" t="s">
        <v>3601</v>
      </c>
      <c r="E3819" s="1" t="s">
        <v>3664</v>
      </c>
      <c r="F3819" s="1" t="s">
        <v>1719</v>
      </c>
      <c r="G3819" s="1" t="s">
        <v>14405</v>
      </c>
      <c r="H3819" s="1" t="s">
        <v>3604</v>
      </c>
      <c r="I3819" s="1" t="s">
        <v>14406</v>
      </c>
      <c r="J3819" s="1" t="s">
        <v>3606</v>
      </c>
      <c r="K3819" s="1" t="s">
        <v>14269</v>
      </c>
      <c r="L3819" s="1"/>
      <c r="M3819" s="1"/>
    </row>
    <row x14ac:dyDescent="0.25" r="3820" customHeight="1" ht="18.75">
      <c r="A3820" s="1" t="s">
        <v>7833</v>
      </c>
      <c r="B3820" s="1" t="s">
        <v>9824</v>
      </c>
      <c r="C3820" s="1" t="s">
        <v>4488</v>
      </c>
      <c r="D3820" s="1" t="s">
        <v>3610</v>
      </c>
      <c r="E3820" s="1" t="s">
        <v>3664</v>
      </c>
      <c r="F3820" s="1" t="s">
        <v>14407</v>
      </c>
      <c r="G3820" s="1" t="s">
        <v>14396</v>
      </c>
      <c r="H3820" s="1" t="s">
        <v>3604</v>
      </c>
      <c r="I3820" s="1" t="s">
        <v>14408</v>
      </c>
      <c r="J3820" s="1" t="s">
        <v>3606</v>
      </c>
      <c r="K3820" s="1" t="s">
        <v>14409</v>
      </c>
      <c r="L3820" s="1"/>
      <c r="M3820" s="1"/>
    </row>
    <row x14ac:dyDescent="0.25" r="3821" customHeight="1" ht="18.75">
      <c r="A3821" s="1" t="s">
        <v>7833</v>
      </c>
      <c r="B3821" s="1" t="s">
        <v>9824</v>
      </c>
      <c r="C3821" s="1" t="s">
        <v>4488</v>
      </c>
      <c r="D3821" s="1" t="s">
        <v>3695</v>
      </c>
      <c r="E3821" s="1" t="s">
        <v>3664</v>
      </c>
      <c r="F3821" s="1" t="s">
        <v>14410</v>
      </c>
      <c r="G3821" s="1" t="s">
        <v>14396</v>
      </c>
      <c r="H3821" s="1" t="s">
        <v>3604</v>
      </c>
      <c r="I3821" s="1" t="s">
        <v>14411</v>
      </c>
      <c r="J3821" s="1" t="s">
        <v>3606</v>
      </c>
      <c r="K3821" s="1" t="s">
        <v>14412</v>
      </c>
      <c r="L3821" s="1"/>
      <c r="M3821" s="1"/>
    </row>
    <row x14ac:dyDescent="0.25" r="3822" customHeight="1" ht="18.75">
      <c r="A3822" s="1" t="s">
        <v>7833</v>
      </c>
      <c r="B3822" s="1" t="s">
        <v>14413</v>
      </c>
      <c r="C3822" s="1" t="s">
        <v>4488</v>
      </c>
      <c r="D3822" s="1" t="s">
        <v>3601</v>
      </c>
      <c r="E3822" s="1" t="s">
        <v>3664</v>
      </c>
      <c r="F3822" s="1" t="s">
        <v>1743</v>
      </c>
      <c r="G3822" s="1" t="s">
        <v>14414</v>
      </c>
      <c r="H3822" s="1" t="s">
        <v>3604</v>
      </c>
      <c r="I3822" s="1" t="s">
        <v>14415</v>
      </c>
      <c r="J3822" s="1" t="s">
        <v>3606</v>
      </c>
      <c r="K3822" s="1" t="s">
        <v>14269</v>
      </c>
      <c r="L3822" s="1"/>
      <c r="M3822" s="1"/>
    </row>
    <row x14ac:dyDescent="0.25" r="3823" customHeight="1" ht="18.75">
      <c r="A3823" s="1" t="s">
        <v>7833</v>
      </c>
      <c r="B3823" s="1" t="s">
        <v>14416</v>
      </c>
      <c r="C3823" s="1" t="s">
        <v>4488</v>
      </c>
      <c r="D3823" s="1" t="s">
        <v>3601</v>
      </c>
      <c r="E3823" s="1" t="s">
        <v>3664</v>
      </c>
      <c r="F3823" s="1" t="s">
        <v>1779</v>
      </c>
      <c r="G3823" s="1" t="s">
        <v>14417</v>
      </c>
      <c r="H3823" s="1" t="s">
        <v>3604</v>
      </c>
      <c r="I3823" s="1" t="s">
        <v>14418</v>
      </c>
      <c r="J3823" s="1" t="s">
        <v>3606</v>
      </c>
      <c r="K3823" s="1" t="s">
        <v>14269</v>
      </c>
      <c r="L3823" s="1"/>
      <c r="M3823" s="1"/>
    </row>
    <row x14ac:dyDescent="0.25" r="3824" customHeight="1" ht="18.75">
      <c r="A3824" s="1" t="s">
        <v>7833</v>
      </c>
      <c r="B3824" s="1" t="s">
        <v>9824</v>
      </c>
      <c r="C3824" s="1" t="s">
        <v>4488</v>
      </c>
      <c r="D3824" s="1" t="s">
        <v>7891</v>
      </c>
      <c r="E3824" s="1" t="s">
        <v>3664</v>
      </c>
      <c r="F3824" s="1" t="s">
        <v>14419</v>
      </c>
      <c r="G3824" s="1" t="s">
        <v>14396</v>
      </c>
      <c r="H3824" s="1" t="s">
        <v>3604</v>
      </c>
      <c r="I3824" s="1" t="s">
        <v>14420</v>
      </c>
      <c r="J3824" s="1" t="s">
        <v>3606</v>
      </c>
      <c r="K3824" s="1" t="s">
        <v>14421</v>
      </c>
      <c r="L3824" s="1"/>
      <c r="M3824" s="1"/>
    </row>
    <row x14ac:dyDescent="0.25" r="3825" customHeight="1" ht="18.75">
      <c r="A3825" s="1" t="s">
        <v>7833</v>
      </c>
      <c r="B3825" s="1" t="s">
        <v>14422</v>
      </c>
      <c r="C3825" s="1" t="s">
        <v>4488</v>
      </c>
      <c r="D3825" s="1" t="s">
        <v>8373</v>
      </c>
      <c r="E3825" s="1" t="s">
        <v>3611</v>
      </c>
      <c r="F3825" s="1" t="s">
        <v>14423</v>
      </c>
      <c r="G3825" s="1" t="s">
        <v>14424</v>
      </c>
      <c r="H3825" s="1" t="s">
        <v>3604</v>
      </c>
      <c r="I3825" s="1" t="s">
        <v>14425</v>
      </c>
      <c r="J3825" s="1" t="s">
        <v>3606</v>
      </c>
      <c r="K3825" s="1" t="s">
        <v>14426</v>
      </c>
      <c r="L3825" s="1"/>
      <c r="M3825" s="1"/>
    </row>
    <row x14ac:dyDescent="0.25" r="3826" customHeight="1" ht="18.75">
      <c r="A3826" s="1" t="s">
        <v>7833</v>
      </c>
      <c r="B3826" s="1" t="s">
        <v>9824</v>
      </c>
      <c r="C3826" s="1" t="s">
        <v>4488</v>
      </c>
      <c r="D3826" s="1" t="s">
        <v>3610</v>
      </c>
      <c r="E3826" s="1" t="s">
        <v>3664</v>
      </c>
      <c r="F3826" s="1" t="s">
        <v>14427</v>
      </c>
      <c r="G3826" s="1" t="s">
        <v>14428</v>
      </c>
      <c r="H3826" s="1" t="s">
        <v>3604</v>
      </c>
      <c r="I3826" s="1" t="s">
        <v>14429</v>
      </c>
      <c r="J3826" s="1" t="s">
        <v>3606</v>
      </c>
      <c r="K3826" s="1" t="s">
        <v>13973</v>
      </c>
      <c r="L3826" s="1"/>
      <c r="M3826" s="1"/>
    </row>
    <row x14ac:dyDescent="0.25" r="3827" customHeight="1" ht="18.75">
      <c r="A3827" s="1" t="s">
        <v>7833</v>
      </c>
      <c r="B3827" s="1" t="s">
        <v>13754</v>
      </c>
      <c r="C3827" s="1" t="s">
        <v>3619</v>
      </c>
      <c r="D3827" s="1" t="s">
        <v>8373</v>
      </c>
      <c r="E3827" s="1" t="s">
        <v>3981</v>
      </c>
      <c r="F3827" s="1" t="s">
        <v>1627</v>
      </c>
      <c r="G3827" s="1" t="s">
        <v>14430</v>
      </c>
      <c r="H3827" s="1" t="s">
        <v>3604</v>
      </c>
      <c r="I3827" s="1" t="s">
        <v>14431</v>
      </c>
      <c r="J3827" s="1" t="s">
        <v>3606</v>
      </c>
      <c r="K3827" s="1" t="s">
        <v>14432</v>
      </c>
      <c r="L3827" s="1"/>
      <c r="M3827" s="1"/>
    </row>
    <row x14ac:dyDescent="0.25" r="3828" customHeight="1" ht="18.75">
      <c r="A3828" s="1" t="s">
        <v>7833</v>
      </c>
      <c r="B3828" s="1" t="s">
        <v>9824</v>
      </c>
      <c r="C3828" s="1" t="s">
        <v>4488</v>
      </c>
      <c r="D3828" s="1" t="s">
        <v>3610</v>
      </c>
      <c r="E3828" s="1" t="s">
        <v>3664</v>
      </c>
      <c r="F3828" s="1" t="s">
        <v>14433</v>
      </c>
      <c r="G3828" s="1" t="s">
        <v>14428</v>
      </c>
      <c r="H3828" s="1" t="s">
        <v>3604</v>
      </c>
      <c r="I3828" s="1" t="s">
        <v>14434</v>
      </c>
      <c r="J3828" s="1" t="s">
        <v>3606</v>
      </c>
      <c r="K3828" s="1" t="s">
        <v>14435</v>
      </c>
      <c r="L3828" s="1"/>
      <c r="M3828" s="1"/>
    </row>
    <row x14ac:dyDescent="0.25" r="3829" customHeight="1" ht="18.75">
      <c r="A3829" s="1" t="s">
        <v>7833</v>
      </c>
      <c r="B3829" s="1" t="s">
        <v>14063</v>
      </c>
      <c r="C3829" s="1" t="s">
        <v>4488</v>
      </c>
      <c r="D3829" s="1" t="s">
        <v>8373</v>
      </c>
      <c r="E3829" s="1" t="s">
        <v>3981</v>
      </c>
      <c r="F3829" s="1" t="s">
        <v>14436</v>
      </c>
      <c r="G3829" s="1" t="s">
        <v>14437</v>
      </c>
      <c r="H3829" s="1" t="s">
        <v>3604</v>
      </c>
      <c r="I3829" s="1" t="s">
        <v>14438</v>
      </c>
      <c r="J3829" s="1" t="s">
        <v>3606</v>
      </c>
      <c r="K3829" s="1" t="s">
        <v>14439</v>
      </c>
      <c r="L3829" s="1"/>
      <c r="M3829" s="1"/>
    </row>
    <row x14ac:dyDescent="0.25" r="3830" customHeight="1" ht="18.75">
      <c r="A3830" s="1" t="s">
        <v>7833</v>
      </c>
      <c r="B3830" s="1" t="s">
        <v>9824</v>
      </c>
      <c r="C3830" s="1" t="s">
        <v>4488</v>
      </c>
      <c r="D3830" s="1" t="s">
        <v>3610</v>
      </c>
      <c r="E3830" s="1" t="s">
        <v>3664</v>
      </c>
      <c r="F3830" s="1" t="s">
        <v>14440</v>
      </c>
      <c r="G3830" s="1" t="s">
        <v>14428</v>
      </c>
      <c r="H3830" s="1" t="s">
        <v>3604</v>
      </c>
      <c r="I3830" s="1" t="s">
        <v>14441</v>
      </c>
      <c r="J3830" s="1" t="s">
        <v>3606</v>
      </c>
      <c r="K3830" s="1" t="s">
        <v>14442</v>
      </c>
      <c r="L3830" s="1"/>
      <c r="M3830" s="1"/>
    </row>
    <row x14ac:dyDescent="0.25" r="3831" customHeight="1" ht="18.75">
      <c r="A3831" s="1" t="s">
        <v>7833</v>
      </c>
      <c r="B3831" s="1" t="s">
        <v>9824</v>
      </c>
      <c r="C3831" s="1" t="s">
        <v>4488</v>
      </c>
      <c r="D3831" s="1" t="s">
        <v>3695</v>
      </c>
      <c r="E3831" s="1" t="s">
        <v>3664</v>
      </c>
      <c r="F3831" s="1" t="s">
        <v>14443</v>
      </c>
      <c r="G3831" s="1" t="s">
        <v>14428</v>
      </c>
      <c r="H3831" s="1" t="s">
        <v>3604</v>
      </c>
      <c r="I3831" s="1" t="s">
        <v>14444</v>
      </c>
      <c r="J3831" s="1" t="s">
        <v>3606</v>
      </c>
      <c r="K3831" s="1" t="s">
        <v>14445</v>
      </c>
      <c r="L3831" s="1"/>
      <c r="M3831" s="1"/>
    </row>
    <row x14ac:dyDescent="0.25" r="3832" customHeight="1" ht="18.75">
      <c r="A3832" s="1" t="s">
        <v>7833</v>
      </c>
      <c r="B3832" s="1" t="s">
        <v>9824</v>
      </c>
      <c r="C3832" s="1" t="s">
        <v>4488</v>
      </c>
      <c r="D3832" s="1" t="s">
        <v>7891</v>
      </c>
      <c r="E3832" s="1" t="s">
        <v>3664</v>
      </c>
      <c r="F3832" s="1" t="s">
        <v>14446</v>
      </c>
      <c r="G3832" s="1" t="s">
        <v>14428</v>
      </c>
      <c r="H3832" s="1" t="s">
        <v>3604</v>
      </c>
      <c r="I3832" s="1" t="s">
        <v>14447</v>
      </c>
      <c r="J3832" s="1" t="s">
        <v>3606</v>
      </c>
      <c r="K3832" s="1" t="s">
        <v>14421</v>
      </c>
      <c r="L3832" s="1"/>
      <c r="M3832" s="1"/>
    </row>
    <row x14ac:dyDescent="0.25" r="3833" customHeight="1" ht="18.75">
      <c r="A3833" s="1" t="s">
        <v>7833</v>
      </c>
      <c r="B3833" s="1" t="s">
        <v>14422</v>
      </c>
      <c r="C3833" s="1" t="s">
        <v>4488</v>
      </c>
      <c r="D3833" s="1" t="s">
        <v>8373</v>
      </c>
      <c r="E3833" s="1" t="s">
        <v>3664</v>
      </c>
      <c r="F3833" s="1" t="s">
        <v>14448</v>
      </c>
      <c r="G3833" s="1" t="s">
        <v>14449</v>
      </c>
      <c r="H3833" s="1" t="s">
        <v>3604</v>
      </c>
      <c r="I3833" s="1" t="s">
        <v>14450</v>
      </c>
      <c r="J3833" s="1" t="s">
        <v>3606</v>
      </c>
      <c r="K3833" s="1" t="s">
        <v>14451</v>
      </c>
      <c r="L3833" s="1"/>
      <c r="M3833" s="1"/>
    </row>
    <row x14ac:dyDescent="0.25" r="3834" customHeight="1" ht="18.75">
      <c r="A3834" s="1" t="s">
        <v>7833</v>
      </c>
      <c r="B3834" s="1" t="s">
        <v>14452</v>
      </c>
      <c r="C3834" s="1" t="s">
        <v>4488</v>
      </c>
      <c r="D3834" s="1" t="s">
        <v>8373</v>
      </c>
      <c r="E3834" s="1" t="s">
        <v>3664</v>
      </c>
      <c r="F3834" s="1" t="s">
        <v>14453</v>
      </c>
      <c r="G3834" s="1" t="s">
        <v>14454</v>
      </c>
      <c r="H3834" s="1" t="s">
        <v>3604</v>
      </c>
      <c r="I3834" s="1" t="s">
        <v>14455</v>
      </c>
      <c r="J3834" s="1" t="s">
        <v>3606</v>
      </c>
      <c r="K3834" s="1" t="s">
        <v>14456</v>
      </c>
      <c r="L3834" s="1"/>
      <c r="M3834" s="1"/>
    </row>
    <row x14ac:dyDescent="0.25" r="3835" customHeight="1" ht="18.75">
      <c r="A3835" s="1" t="s">
        <v>7833</v>
      </c>
      <c r="B3835" s="1" t="s">
        <v>8258</v>
      </c>
      <c r="C3835" s="1" t="s">
        <v>4488</v>
      </c>
      <c r="D3835" s="1" t="s">
        <v>8373</v>
      </c>
      <c r="E3835" s="1" t="s">
        <v>3664</v>
      </c>
      <c r="F3835" s="1" t="s">
        <v>14457</v>
      </c>
      <c r="G3835" s="1" t="s">
        <v>8260</v>
      </c>
      <c r="H3835" s="1" t="s">
        <v>3604</v>
      </c>
      <c r="I3835" s="1" t="s">
        <v>14458</v>
      </c>
      <c r="J3835" s="1" t="s">
        <v>3606</v>
      </c>
      <c r="K3835" s="1" t="s">
        <v>14459</v>
      </c>
      <c r="L3835" s="1"/>
      <c r="M3835" s="1"/>
    </row>
    <row x14ac:dyDescent="0.25" r="3836" customHeight="1" ht="18.75">
      <c r="A3836" s="1" t="s">
        <v>7833</v>
      </c>
      <c r="B3836" s="1" t="s">
        <v>8258</v>
      </c>
      <c r="C3836" s="1" t="s">
        <v>4488</v>
      </c>
      <c r="D3836" s="1" t="s">
        <v>8373</v>
      </c>
      <c r="E3836" s="1" t="s">
        <v>3664</v>
      </c>
      <c r="F3836" s="1" t="s">
        <v>14460</v>
      </c>
      <c r="G3836" s="1" t="s">
        <v>14461</v>
      </c>
      <c r="H3836" s="1" t="s">
        <v>3604</v>
      </c>
      <c r="I3836" s="1" t="s">
        <v>14462</v>
      </c>
      <c r="J3836" s="1" t="s">
        <v>3606</v>
      </c>
      <c r="K3836" s="1" t="s">
        <v>14463</v>
      </c>
      <c r="L3836" s="1"/>
      <c r="M3836" s="1"/>
    </row>
    <row x14ac:dyDescent="0.25" r="3837" customHeight="1" ht="18.75">
      <c r="A3837" s="1" t="s">
        <v>7833</v>
      </c>
      <c r="B3837" s="1" t="s">
        <v>14332</v>
      </c>
      <c r="C3837" s="1" t="s">
        <v>3619</v>
      </c>
      <c r="D3837" s="1" t="s">
        <v>3601</v>
      </c>
      <c r="E3837" s="1" t="s">
        <v>3664</v>
      </c>
      <c r="F3837" s="1" t="s">
        <v>14464</v>
      </c>
      <c r="G3837" s="1" t="s">
        <v>14334</v>
      </c>
      <c r="H3837" s="1" t="s">
        <v>3604</v>
      </c>
      <c r="I3837" s="1" t="s">
        <v>14465</v>
      </c>
      <c r="J3837" s="1" t="s">
        <v>3606</v>
      </c>
      <c r="K3837" s="1" t="s">
        <v>14466</v>
      </c>
      <c r="L3837" s="1"/>
      <c r="M3837" s="1"/>
    </row>
    <row x14ac:dyDescent="0.25" r="3838" customHeight="1" ht="18.75">
      <c r="A3838" s="1" t="s">
        <v>7833</v>
      </c>
      <c r="B3838" s="1" t="s">
        <v>9824</v>
      </c>
      <c r="C3838" s="1" t="s">
        <v>4488</v>
      </c>
      <c r="D3838" s="1" t="s">
        <v>3610</v>
      </c>
      <c r="E3838" s="1" t="s">
        <v>3664</v>
      </c>
      <c r="F3838" s="1" t="s">
        <v>14467</v>
      </c>
      <c r="G3838" s="1" t="s">
        <v>14468</v>
      </c>
      <c r="H3838" s="1" t="s">
        <v>3604</v>
      </c>
      <c r="I3838" s="1" t="s">
        <v>14469</v>
      </c>
      <c r="J3838" s="1" t="s">
        <v>3606</v>
      </c>
      <c r="K3838" s="1" t="s">
        <v>12940</v>
      </c>
      <c r="L3838" s="1"/>
      <c r="M3838" s="1"/>
    </row>
    <row x14ac:dyDescent="0.25" r="3839" customHeight="1" ht="18.75">
      <c r="A3839" s="1" t="s">
        <v>7833</v>
      </c>
      <c r="B3839" s="1" t="s">
        <v>9824</v>
      </c>
      <c r="C3839" s="1" t="s">
        <v>4488</v>
      </c>
      <c r="D3839" s="1" t="s">
        <v>3610</v>
      </c>
      <c r="E3839" s="1" t="s">
        <v>3664</v>
      </c>
      <c r="F3839" s="1" t="s">
        <v>14470</v>
      </c>
      <c r="G3839" s="1" t="s">
        <v>14468</v>
      </c>
      <c r="H3839" s="1" t="s">
        <v>3604</v>
      </c>
      <c r="I3839" s="1" t="s">
        <v>14471</v>
      </c>
      <c r="J3839" s="1" t="s">
        <v>3606</v>
      </c>
      <c r="K3839" s="1" t="s">
        <v>14472</v>
      </c>
      <c r="L3839" s="1"/>
      <c r="M3839" s="1"/>
    </row>
    <row x14ac:dyDescent="0.25" r="3840" customHeight="1" ht="18.75">
      <c r="A3840" s="1" t="s">
        <v>7833</v>
      </c>
      <c r="B3840" s="1" t="s">
        <v>9824</v>
      </c>
      <c r="C3840" s="1" t="s">
        <v>4488</v>
      </c>
      <c r="D3840" s="1" t="s">
        <v>3610</v>
      </c>
      <c r="E3840" s="1" t="s">
        <v>3664</v>
      </c>
      <c r="F3840" s="1" t="s">
        <v>14473</v>
      </c>
      <c r="G3840" s="1" t="s">
        <v>14468</v>
      </c>
      <c r="H3840" s="1" t="s">
        <v>3604</v>
      </c>
      <c r="I3840" s="1" t="s">
        <v>14474</v>
      </c>
      <c r="J3840" s="1" t="s">
        <v>3606</v>
      </c>
      <c r="K3840" s="1" t="s">
        <v>14475</v>
      </c>
      <c r="L3840" s="1"/>
      <c r="M3840" s="1"/>
    </row>
    <row x14ac:dyDescent="0.25" r="3841" customHeight="1" ht="18.75">
      <c r="A3841" s="1" t="s">
        <v>7833</v>
      </c>
      <c r="B3841" s="1" t="s">
        <v>8095</v>
      </c>
      <c r="C3841" s="1" t="s">
        <v>4488</v>
      </c>
      <c r="D3841" s="1" t="s">
        <v>3601</v>
      </c>
      <c r="E3841" s="1" t="s">
        <v>8096</v>
      </c>
      <c r="F3841" s="1" t="s">
        <v>1809</v>
      </c>
      <c r="G3841" s="1" t="s">
        <v>9085</v>
      </c>
      <c r="H3841" s="1" t="s">
        <v>3604</v>
      </c>
      <c r="I3841" s="1" t="s">
        <v>14476</v>
      </c>
      <c r="J3841" s="1" t="s">
        <v>3606</v>
      </c>
      <c r="K3841" s="1" t="s">
        <v>14477</v>
      </c>
      <c r="L3841" s="1"/>
      <c r="M3841" s="1"/>
    </row>
    <row x14ac:dyDescent="0.25" r="3842" customHeight="1" ht="18.75">
      <c r="A3842" s="1" t="s">
        <v>7833</v>
      </c>
      <c r="B3842" s="1" t="s">
        <v>9824</v>
      </c>
      <c r="C3842" s="1" t="s">
        <v>4488</v>
      </c>
      <c r="D3842" s="1" t="s">
        <v>3695</v>
      </c>
      <c r="E3842" s="1" t="s">
        <v>3664</v>
      </c>
      <c r="F3842" s="1" t="s">
        <v>14478</v>
      </c>
      <c r="G3842" s="1" t="s">
        <v>14468</v>
      </c>
      <c r="H3842" s="1" t="s">
        <v>3604</v>
      </c>
      <c r="I3842" s="1" t="s">
        <v>14479</v>
      </c>
      <c r="J3842" s="1" t="s">
        <v>3606</v>
      </c>
      <c r="K3842" s="1" t="s">
        <v>14480</v>
      </c>
      <c r="L3842" s="1"/>
      <c r="M3842" s="1"/>
    </row>
    <row x14ac:dyDescent="0.25" r="3843" customHeight="1" ht="18.75">
      <c r="A3843" s="1" t="s">
        <v>7833</v>
      </c>
      <c r="B3843" s="1" t="s">
        <v>8095</v>
      </c>
      <c r="C3843" s="1" t="s">
        <v>4488</v>
      </c>
      <c r="D3843" s="1" t="s">
        <v>3601</v>
      </c>
      <c r="E3843" s="1" t="s">
        <v>8096</v>
      </c>
      <c r="F3843" s="1" t="s">
        <v>14481</v>
      </c>
      <c r="G3843" s="1" t="s">
        <v>9085</v>
      </c>
      <c r="H3843" s="1" t="s">
        <v>3604</v>
      </c>
      <c r="I3843" s="1" t="s">
        <v>14482</v>
      </c>
      <c r="J3843" s="1" t="s">
        <v>3606</v>
      </c>
      <c r="K3843" s="1" t="s">
        <v>14483</v>
      </c>
      <c r="L3843" s="1"/>
      <c r="M3843" s="1"/>
    </row>
    <row x14ac:dyDescent="0.25" r="3844" customHeight="1" ht="18.75">
      <c r="A3844" s="1" t="s">
        <v>7833</v>
      </c>
      <c r="B3844" s="1" t="s">
        <v>14422</v>
      </c>
      <c r="C3844" s="1" t="s">
        <v>4488</v>
      </c>
      <c r="D3844" s="1" t="s">
        <v>3601</v>
      </c>
      <c r="E3844" s="1" t="s">
        <v>3664</v>
      </c>
      <c r="F3844" s="1" t="s">
        <v>1607</v>
      </c>
      <c r="G3844" s="1" t="s">
        <v>14424</v>
      </c>
      <c r="H3844" s="1" t="s">
        <v>3604</v>
      </c>
      <c r="I3844" s="1" t="s">
        <v>14484</v>
      </c>
      <c r="J3844" s="1" t="s">
        <v>3606</v>
      </c>
      <c r="K3844" s="1" t="s">
        <v>14477</v>
      </c>
      <c r="L3844" s="1"/>
      <c r="M3844" s="1"/>
    </row>
    <row x14ac:dyDescent="0.25" r="3845" customHeight="1" ht="18.75">
      <c r="A3845" s="1" t="s">
        <v>7833</v>
      </c>
      <c r="B3845" s="1" t="s">
        <v>14422</v>
      </c>
      <c r="C3845" s="1" t="s">
        <v>4488</v>
      </c>
      <c r="D3845" s="1" t="s">
        <v>3601</v>
      </c>
      <c r="E3845" s="1" t="s">
        <v>3664</v>
      </c>
      <c r="F3845" s="1" t="s">
        <v>1608</v>
      </c>
      <c r="G3845" s="1" t="s">
        <v>14424</v>
      </c>
      <c r="H3845" s="1" t="s">
        <v>3604</v>
      </c>
      <c r="I3845" s="1" t="s">
        <v>14485</v>
      </c>
      <c r="J3845" s="1" t="s">
        <v>3606</v>
      </c>
      <c r="K3845" s="1" t="s">
        <v>14483</v>
      </c>
      <c r="L3845" s="1"/>
      <c r="M3845" s="1"/>
    </row>
    <row x14ac:dyDescent="0.25" r="3846" customHeight="1" ht="18.75">
      <c r="A3846" s="1" t="s">
        <v>7833</v>
      </c>
      <c r="B3846" s="1" t="s">
        <v>14486</v>
      </c>
      <c r="C3846" s="1" t="s">
        <v>3619</v>
      </c>
      <c r="D3846" s="1" t="s">
        <v>3601</v>
      </c>
      <c r="E3846" s="1" t="s">
        <v>3981</v>
      </c>
      <c r="F3846" s="1" t="s">
        <v>1753</v>
      </c>
      <c r="G3846" s="1" t="s">
        <v>14487</v>
      </c>
      <c r="H3846" s="1" t="s">
        <v>3604</v>
      </c>
      <c r="I3846" s="1" t="s">
        <v>14488</v>
      </c>
      <c r="J3846" s="1" t="s">
        <v>3606</v>
      </c>
      <c r="K3846" s="1" t="s">
        <v>14477</v>
      </c>
      <c r="L3846" s="1"/>
      <c r="M3846" s="1"/>
    </row>
    <row x14ac:dyDescent="0.25" r="3847" customHeight="1" ht="18.75">
      <c r="A3847" s="1" t="s">
        <v>7833</v>
      </c>
      <c r="B3847" s="1" t="s">
        <v>14486</v>
      </c>
      <c r="C3847" s="1" t="s">
        <v>3619</v>
      </c>
      <c r="D3847" s="1" t="s">
        <v>3601</v>
      </c>
      <c r="E3847" s="1" t="s">
        <v>3981</v>
      </c>
      <c r="F3847" s="1" t="s">
        <v>1754</v>
      </c>
      <c r="G3847" s="1" t="s">
        <v>14487</v>
      </c>
      <c r="H3847" s="1" t="s">
        <v>3604</v>
      </c>
      <c r="I3847" s="1" t="s">
        <v>14489</v>
      </c>
      <c r="J3847" s="1" t="s">
        <v>3606</v>
      </c>
      <c r="K3847" s="1" t="s">
        <v>14483</v>
      </c>
      <c r="L3847" s="1"/>
      <c r="M3847" s="1"/>
    </row>
    <row x14ac:dyDescent="0.25" r="3848" customHeight="1" ht="18.75">
      <c r="A3848" s="1" t="s">
        <v>7833</v>
      </c>
      <c r="B3848" s="1" t="s">
        <v>9824</v>
      </c>
      <c r="C3848" s="1" t="s">
        <v>4488</v>
      </c>
      <c r="D3848" s="1" t="s">
        <v>7891</v>
      </c>
      <c r="E3848" s="1" t="s">
        <v>3664</v>
      </c>
      <c r="F3848" s="1" t="s">
        <v>14490</v>
      </c>
      <c r="G3848" s="1" t="s">
        <v>14468</v>
      </c>
      <c r="H3848" s="1" t="s">
        <v>3604</v>
      </c>
      <c r="I3848" s="1" t="s">
        <v>14491</v>
      </c>
      <c r="J3848" s="1" t="s">
        <v>3606</v>
      </c>
      <c r="K3848" s="1" t="s">
        <v>14421</v>
      </c>
      <c r="L3848" s="1"/>
      <c r="M3848" s="1"/>
    </row>
    <row x14ac:dyDescent="0.25" r="3849" customHeight="1" ht="18.75">
      <c r="A3849" s="1" t="s">
        <v>7833</v>
      </c>
      <c r="B3849" s="1" t="s">
        <v>9824</v>
      </c>
      <c r="C3849" s="1" t="s">
        <v>4488</v>
      </c>
      <c r="D3849" s="1" t="s">
        <v>3610</v>
      </c>
      <c r="E3849" s="1" t="s">
        <v>3664</v>
      </c>
      <c r="F3849" s="1" t="s">
        <v>14492</v>
      </c>
      <c r="G3849" s="1" t="s">
        <v>14493</v>
      </c>
      <c r="H3849" s="1" t="s">
        <v>3604</v>
      </c>
      <c r="I3849" s="1" t="s">
        <v>14494</v>
      </c>
      <c r="J3849" s="1" t="s">
        <v>3606</v>
      </c>
      <c r="K3849" s="1" t="s">
        <v>12954</v>
      </c>
      <c r="L3849" s="1"/>
      <c r="M3849" s="1"/>
    </row>
    <row x14ac:dyDescent="0.25" r="3850" customHeight="1" ht="18.75">
      <c r="A3850" s="1" t="s">
        <v>7833</v>
      </c>
      <c r="B3850" s="1" t="s">
        <v>9824</v>
      </c>
      <c r="C3850" s="1" t="s">
        <v>4488</v>
      </c>
      <c r="D3850" s="1" t="s">
        <v>3610</v>
      </c>
      <c r="E3850" s="1" t="s">
        <v>3664</v>
      </c>
      <c r="F3850" s="1" t="s">
        <v>14495</v>
      </c>
      <c r="G3850" s="1" t="s">
        <v>14493</v>
      </c>
      <c r="H3850" s="1" t="s">
        <v>3604</v>
      </c>
      <c r="I3850" s="1" t="s">
        <v>14496</v>
      </c>
      <c r="J3850" s="1" t="s">
        <v>3606</v>
      </c>
      <c r="K3850" s="1" t="s">
        <v>14497</v>
      </c>
      <c r="L3850" s="1"/>
      <c r="M3850" s="1"/>
    </row>
    <row x14ac:dyDescent="0.25" r="3851" customHeight="1" ht="18.75">
      <c r="A3851" s="1" t="s">
        <v>7833</v>
      </c>
      <c r="B3851" s="1" t="s">
        <v>9824</v>
      </c>
      <c r="C3851" s="1" t="s">
        <v>4488</v>
      </c>
      <c r="D3851" s="1" t="s">
        <v>3610</v>
      </c>
      <c r="E3851" s="1" t="s">
        <v>3664</v>
      </c>
      <c r="F3851" s="1" t="s">
        <v>14498</v>
      </c>
      <c r="G3851" s="1" t="s">
        <v>14493</v>
      </c>
      <c r="H3851" s="1" t="s">
        <v>3604</v>
      </c>
      <c r="I3851" s="1" t="s">
        <v>14499</v>
      </c>
      <c r="J3851" s="1" t="s">
        <v>3606</v>
      </c>
      <c r="K3851" s="1" t="s">
        <v>14500</v>
      </c>
      <c r="L3851" s="1"/>
      <c r="M3851" s="1"/>
    </row>
    <row x14ac:dyDescent="0.25" r="3852" customHeight="1" ht="18.75">
      <c r="A3852" s="1" t="s">
        <v>7833</v>
      </c>
      <c r="B3852" s="1" t="s">
        <v>9824</v>
      </c>
      <c r="C3852" s="1" t="s">
        <v>4488</v>
      </c>
      <c r="D3852" s="1" t="s">
        <v>7891</v>
      </c>
      <c r="E3852" s="1" t="s">
        <v>3664</v>
      </c>
      <c r="F3852" s="1" t="s">
        <v>14501</v>
      </c>
      <c r="G3852" s="1" t="s">
        <v>14493</v>
      </c>
      <c r="H3852" s="1" t="s">
        <v>3604</v>
      </c>
      <c r="I3852" s="1" t="s">
        <v>14502</v>
      </c>
      <c r="J3852" s="1" t="s">
        <v>3606</v>
      </c>
      <c r="K3852" s="1" t="s">
        <v>14421</v>
      </c>
      <c r="L3852" s="1"/>
      <c r="M3852" s="1"/>
    </row>
    <row x14ac:dyDescent="0.25" r="3853" customHeight="1" ht="18.75">
      <c r="A3853" s="1" t="s">
        <v>7833</v>
      </c>
      <c r="B3853" s="1" t="s">
        <v>9824</v>
      </c>
      <c r="C3853" s="1" t="s">
        <v>4488</v>
      </c>
      <c r="D3853" s="1" t="s">
        <v>7891</v>
      </c>
      <c r="E3853" s="1" t="s">
        <v>3664</v>
      </c>
      <c r="F3853" s="1" t="s">
        <v>14503</v>
      </c>
      <c r="G3853" s="1" t="s">
        <v>14305</v>
      </c>
      <c r="H3853" s="1" t="s">
        <v>3604</v>
      </c>
      <c r="I3853" s="1" t="s">
        <v>14504</v>
      </c>
      <c r="J3853" s="1" t="s">
        <v>3606</v>
      </c>
      <c r="K3853" s="1" t="s">
        <v>14421</v>
      </c>
      <c r="L3853" s="1"/>
      <c r="M3853" s="1"/>
    </row>
    <row x14ac:dyDescent="0.25" r="3854" customHeight="1" ht="18.75">
      <c r="A3854" s="1" t="s">
        <v>7833</v>
      </c>
      <c r="B3854" s="1" t="s">
        <v>9824</v>
      </c>
      <c r="C3854" s="1" t="s">
        <v>4488</v>
      </c>
      <c r="D3854" s="1" t="s">
        <v>533</v>
      </c>
      <c r="E3854" s="1" t="s">
        <v>3664</v>
      </c>
      <c r="F3854" s="1" t="s">
        <v>14505</v>
      </c>
      <c r="G3854" s="1" t="s">
        <v>14506</v>
      </c>
      <c r="H3854" s="1" t="s">
        <v>3604</v>
      </c>
      <c r="I3854" s="1" t="s">
        <v>14507</v>
      </c>
      <c r="J3854" s="1" t="s">
        <v>3606</v>
      </c>
      <c r="K3854" s="1" t="s">
        <v>14508</v>
      </c>
      <c r="L3854" s="1"/>
      <c r="M3854" s="1"/>
    </row>
    <row x14ac:dyDescent="0.25" r="3855" customHeight="1" ht="18.75">
      <c r="A3855" s="1" t="s">
        <v>7833</v>
      </c>
      <c r="B3855" s="1" t="s">
        <v>9824</v>
      </c>
      <c r="C3855" s="1" t="s">
        <v>4488</v>
      </c>
      <c r="D3855" s="1" t="s">
        <v>3695</v>
      </c>
      <c r="E3855" s="1" t="s">
        <v>3664</v>
      </c>
      <c r="F3855" s="1" t="s">
        <v>14509</v>
      </c>
      <c r="G3855" s="1" t="s">
        <v>14506</v>
      </c>
      <c r="H3855" s="1" t="s">
        <v>3604</v>
      </c>
      <c r="I3855" s="1" t="s">
        <v>14510</v>
      </c>
      <c r="J3855" s="1" t="s">
        <v>3606</v>
      </c>
      <c r="K3855" s="1" t="s">
        <v>14511</v>
      </c>
      <c r="L3855" s="1"/>
      <c r="M3855" s="1"/>
    </row>
    <row x14ac:dyDescent="0.25" r="3856" customHeight="1" ht="18.75">
      <c r="A3856" s="1" t="s">
        <v>7833</v>
      </c>
      <c r="B3856" s="1" t="s">
        <v>9824</v>
      </c>
      <c r="C3856" s="1" t="s">
        <v>4488</v>
      </c>
      <c r="D3856" s="1" t="s">
        <v>533</v>
      </c>
      <c r="E3856" s="1" t="s">
        <v>3664</v>
      </c>
      <c r="F3856" s="1" t="s">
        <v>14512</v>
      </c>
      <c r="G3856" s="1" t="s">
        <v>14513</v>
      </c>
      <c r="H3856" s="1" t="s">
        <v>3604</v>
      </c>
      <c r="I3856" s="1" t="s">
        <v>14514</v>
      </c>
      <c r="J3856" s="1" t="s">
        <v>3606</v>
      </c>
      <c r="K3856" s="1" t="s">
        <v>14515</v>
      </c>
      <c r="L3856" s="1"/>
      <c r="M3856" s="1"/>
    </row>
    <row x14ac:dyDescent="0.25" r="3857" customHeight="1" ht="18.75">
      <c r="A3857" s="1" t="s">
        <v>7833</v>
      </c>
      <c r="B3857" s="1" t="s">
        <v>9824</v>
      </c>
      <c r="C3857" s="1" t="s">
        <v>4488</v>
      </c>
      <c r="D3857" s="1" t="s">
        <v>3610</v>
      </c>
      <c r="E3857" s="1" t="s">
        <v>3664</v>
      </c>
      <c r="F3857" s="1" t="s">
        <v>14516</v>
      </c>
      <c r="G3857" s="1" t="s">
        <v>14513</v>
      </c>
      <c r="H3857" s="1" t="s">
        <v>3604</v>
      </c>
      <c r="I3857" s="1" t="s">
        <v>14517</v>
      </c>
      <c r="J3857" s="1" t="s">
        <v>3606</v>
      </c>
      <c r="K3857" s="1" t="s">
        <v>14518</v>
      </c>
      <c r="L3857" s="1"/>
      <c r="M3857" s="1"/>
    </row>
    <row x14ac:dyDescent="0.25" r="3858" customHeight="1" ht="18.75">
      <c r="A3858" s="1" t="s">
        <v>7833</v>
      </c>
      <c r="B3858" s="1" t="s">
        <v>9824</v>
      </c>
      <c r="C3858" s="1" t="s">
        <v>4488</v>
      </c>
      <c r="D3858" s="1" t="s">
        <v>3610</v>
      </c>
      <c r="E3858" s="1" t="s">
        <v>3664</v>
      </c>
      <c r="F3858" s="1" t="s">
        <v>14519</v>
      </c>
      <c r="G3858" s="1" t="s">
        <v>14513</v>
      </c>
      <c r="H3858" s="1" t="s">
        <v>3604</v>
      </c>
      <c r="I3858" s="1" t="s">
        <v>14520</v>
      </c>
      <c r="J3858" s="1" t="s">
        <v>3606</v>
      </c>
      <c r="K3858" s="1" t="s">
        <v>14521</v>
      </c>
      <c r="L3858" s="1"/>
      <c r="M3858" s="1"/>
    </row>
    <row x14ac:dyDescent="0.25" r="3859" customHeight="1" ht="18.75">
      <c r="A3859" s="1" t="s">
        <v>7833</v>
      </c>
      <c r="B3859" s="1" t="s">
        <v>9824</v>
      </c>
      <c r="C3859" s="1" t="s">
        <v>4488</v>
      </c>
      <c r="D3859" s="1" t="s">
        <v>3610</v>
      </c>
      <c r="E3859" s="1" t="s">
        <v>3664</v>
      </c>
      <c r="F3859" s="1" t="s">
        <v>14522</v>
      </c>
      <c r="G3859" s="1" t="s">
        <v>14513</v>
      </c>
      <c r="H3859" s="1" t="s">
        <v>3604</v>
      </c>
      <c r="I3859" s="1" t="s">
        <v>14523</v>
      </c>
      <c r="J3859" s="1" t="s">
        <v>3606</v>
      </c>
      <c r="K3859" s="1" t="s">
        <v>14524</v>
      </c>
      <c r="L3859" s="1"/>
      <c r="M3859" s="1"/>
    </row>
    <row x14ac:dyDescent="0.25" r="3860" customHeight="1" ht="18.75">
      <c r="A3860" s="1" t="s">
        <v>7833</v>
      </c>
      <c r="B3860" s="1" t="s">
        <v>9824</v>
      </c>
      <c r="C3860" s="1" t="s">
        <v>4488</v>
      </c>
      <c r="D3860" s="1" t="s">
        <v>533</v>
      </c>
      <c r="E3860" s="1" t="s">
        <v>3664</v>
      </c>
      <c r="F3860" s="1" t="s">
        <v>14525</v>
      </c>
      <c r="G3860" s="1" t="s">
        <v>14380</v>
      </c>
      <c r="H3860" s="1" t="s">
        <v>3604</v>
      </c>
      <c r="I3860" s="1" t="s">
        <v>14526</v>
      </c>
      <c r="J3860" s="1" t="s">
        <v>3606</v>
      </c>
      <c r="K3860" s="1" t="s">
        <v>7887</v>
      </c>
      <c r="L3860" s="1"/>
      <c r="M3860" s="1"/>
    </row>
    <row x14ac:dyDescent="0.25" r="3861" customHeight="1" ht="18.75">
      <c r="A3861" s="1" t="s">
        <v>7833</v>
      </c>
      <c r="B3861" s="1" t="s">
        <v>9824</v>
      </c>
      <c r="C3861" s="1" t="s">
        <v>4488</v>
      </c>
      <c r="D3861" s="1" t="s">
        <v>7891</v>
      </c>
      <c r="E3861" s="1" t="s">
        <v>3664</v>
      </c>
      <c r="F3861" s="1" t="s">
        <v>14527</v>
      </c>
      <c r="G3861" s="1" t="s">
        <v>14380</v>
      </c>
      <c r="H3861" s="1" t="s">
        <v>3604</v>
      </c>
      <c r="I3861" s="1" t="s">
        <v>14528</v>
      </c>
      <c r="J3861" s="1" t="s">
        <v>3606</v>
      </c>
      <c r="K3861" s="1" t="s">
        <v>14529</v>
      </c>
      <c r="L3861" s="1"/>
      <c r="M3861" s="1"/>
    </row>
    <row x14ac:dyDescent="0.25" r="3862" customHeight="1" ht="18.75">
      <c r="A3862" s="1" t="s">
        <v>7833</v>
      </c>
      <c r="B3862" s="1" t="s">
        <v>14256</v>
      </c>
      <c r="C3862" s="1" t="s">
        <v>4488</v>
      </c>
      <c r="D3862" s="1" t="s">
        <v>3601</v>
      </c>
      <c r="E3862" s="1" t="s">
        <v>3664</v>
      </c>
      <c r="F3862" s="1" t="s">
        <v>14530</v>
      </c>
      <c r="G3862" s="1" t="s">
        <v>14531</v>
      </c>
      <c r="H3862" s="1" t="s">
        <v>3604</v>
      </c>
      <c r="I3862" s="1" t="s">
        <v>14532</v>
      </c>
      <c r="J3862" s="1" t="s">
        <v>3606</v>
      </c>
      <c r="K3862" s="1" t="s">
        <v>14533</v>
      </c>
      <c r="L3862" s="1"/>
      <c r="M3862" s="1"/>
    </row>
    <row x14ac:dyDescent="0.25" r="3863" customHeight="1" ht="18.75">
      <c r="A3863" s="1" t="s">
        <v>7833</v>
      </c>
      <c r="B3863" s="1" t="s">
        <v>14256</v>
      </c>
      <c r="C3863" s="1" t="s">
        <v>4488</v>
      </c>
      <c r="D3863" s="1" t="s">
        <v>3601</v>
      </c>
      <c r="E3863" s="1" t="s">
        <v>3664</v>
      </c>
      <c r="F3863" s="1" t="s">
        <v>14534</v>
      </c>
      <c r="G3863" s="1" t="s">
        <v>14531</v>
      </c>
      <c r="H3863" s="1" t="s">
        <v>3604</v>
      </c>
      <c r="I3863" s="1" t="s">
        <v>14535</v>
      </c>
      <c r="J3863" s="1" t="s">
        <v>3606</v>
      </c>
      <c r="K3863" s="1" t="s">
        <v>14536</v>
      </c>
      <c r="L3863" s="1"/>
      <c r="M3863" s="1"/>
    </row>
    <row x14ac:dyDescent="0.25" r="3864" customHeight="1" ht="18.75">
      <c r="A3864" s="1" t="s">
        <v>7833</v>
      </c>
      <c r="B3864" s="1" t="s">
        <v>8269</v>
      </c>
      <c r="C3864" s="1" t="s">
        <v>4488</v>
      </c>
      <c r="D3864" s="1" t="s">
        <v>3601</v>
      </c>
      <c r="E3864" s="1" t="s">
        <v>3664</v>
      </c>
      <c r="F3864" s="1" t="s">
        <v>14537</v>
      </c>
      <c r="G3864" s="1" t="s">
        <v>14538</v>
      </c>
      <c r="H3864" s="1" t="s">
        <v>3604</v>
      </c>
      <c r="I3864" s="1" t="s">
        <v>14539</v>
      </c>
      <c r="J3864" s="1" t="s">
        <v>3606</v>
      </c>
      <c r="K3864" s="1" t="s">
        <v>14540</v>
      </c>
      <c r="L3864" s="1"/>
      <c r="M3864" s="1"/>
    </row>
    <row x14ac:dyDescent="0.25" r="3865" customHeight="1" ht="18.75">
      <c r="A3865" s="1" t="s">
        <v>7833</v>
      </c>
      <c r="B3865" s="1" t="s">
        <v>14256</v>
      </c>
      <c r="C3865" s="1" t="s">
        <v>4488</v>
      </c>
      <c r="D3865" s="1" t="s">
        <v>3601</v>
      </c>
      <c r="E3865" s="1" t="s">
        <v>3664</v>
      </c>
      <c r="F3865" s="1" t="s">
        <v>14541</v>
      </c>
      <c r="G3865" s="1" t="s">
        <v>14542</v>
      </c>
      <c r="H3865" s="1" t="s">
        <v>3604</v>
      </c>
      <c r="I3865" s="1" t="s">
        <v>14543</v>
      </c>
      <c r="J3865" s="1" t="s">
        <v>3606</v>
      </c>
      <c r="K3865" s="1" t="s">
        <v>14544</v>
      </c>
      <c r="L3865" s="1"/>
      <c r="M3865" s="1"/>
    </row>
    <row x14ac:dyDescent="0.25" r="3866" customHeight="1" ht="18.75">
      <c r="A3866" s="1" t="s">
        <v>7833</v>
      </c>
      <c r="B3866" s="1" t="s">
        <v>14256</v>
      </c>
      <c r="C3866" s="1" t="s">
        <v>4488</v>
      </c>
      <c r="D3866" s="1" t="s">
        <v>3601</v>
      </c>
      <c r="E3866" s="1" t="s">
        <v>3664</v>
      </c>
      <c r="F3866" s="1" t="s">
        <v>14545</v>
      </c>
      <c r="G3866" s="1" t="s">
        <v>14542</v>
      </c>
      <c r="H3866" s="1" t="s">
        <v>3604</v>
      </c>
      <c r="I3866" s="1" t="s">
        <v>14546</v>
      </c>
      <c r="J3866" s="1" t="s">
        <v>3606</v>
      </c>
      <c r="K3866" s="1" t="s">
        <v>14547</v>
      </c>
      <c r="L3866" s="1"/>
      <c r="M3866" s="1"/>
    </row>
    <row x14ac:dyDescent="0.25" r="3867" customHeight="1" ht="18.75">
      <c r="A3867" s="1" t="s">
        <v>7833</v>
      </c>
      <c r="B3867" s="1" t="s">
        <v>8269</v>
      </c>
      <c r="C3867" s="1" t="s">
        <v>4488</v>
      </c>
      <c r="D3867" s="1" t="s">
        <v>3601</v>
      </c>
      <c r="E3867" s="1" t="s">
        <v>3664</v>
      </c>
      <c r="F3867" s="1" t="s">
        <v>14548</v>
      </c>
      <c r="G3867" s="1" t="s">
        <v>14549</v>
      </c>
      <c r="H3867" s="1" t="s">
        <v>3604</v>
      </c>
      <c r="I3867" s="1" t="s">
        <v>14550</v>
      </c>
      <c r="J3867" s="1" t="s">
        <v>3606</v>
      </c>
      <c r="K3867" s="1" t="s">
        <v>14551</v>
      </c>
      <c r="L3867" s="1"/>
      <c r="M3867" s="1"/>
    </row>
    <row x14ac:dyDescent="0.25" r="3868" customHeight="1" ht="18.75">
      <c r="A3868" s="1" t="s">
        <v>7833</v>
      </c>
      <c r="B3868" s="1" t="s">
        <v>8258</v>
      </c>
      <c r="C3868" s="1" t="s">
        <v>4488</v>
      </c>
      <c r="D3868" s="1" t="s">
        <v>3601</v>
      </c>
      <c r="E3868" s="1" t="s">
        <v>3664</v>
      </c>
      <c r="F3868" s="1" t="s">
        <v>14552</v>
      </c>
      <c r="G3868" s="1" t="s">
        <v>14553</v>
      </c>
      <c r="H3868" s="1" t="s">
        <v>3604</v>
      </c>
      <c r="I3868" s="1" t="s">
        <v>14554</v>
      </c>
      <c r="J3868" s="1" t="s">
        <v>3606</v>
      </c>
      <c r="K3868" s="1" t="s">
        <v>14260</v>
      </c>
      <c r="L3868" s="1"/>
      <c r="M3868" s="1"/>
    </row>
    <row x14ac:dyDescent="0.25" r="3869" customHeight="1" ht="18.75">
      <c r="A3869" s="1" t="s">
        <v>7833</v>
      </c>
      <c r="B3869" s="1" t="s">
        <v>8258</v>
      </c>
      <c r="C3869" s="1" t="s">
        <v>4488</v>
      </c>
      <c r="D3869" s="1" t="s">
        <v>3601</v>
      </c>
      <c r="E3869" s="1" t="s">
        <v>3664</v>
      </c>
      <c r="F3869" s="1" t="s">
        <v>14555</v>
      </c>
      <c r="G3869" s="1" t="s">
        <v>14553</v>
      </c>
      <c r="H3869" s="1" t="s">
        <v>3604</v>
      </c>
      <c r="I3869" s="1" t="s">
        <v>14556</v>
      </c>
      <c r="J3869" s="1" t="s">
        <v>3606</v>
      </c>
      <c r="K3869" s="1" t="s">
        <v>14263</v>
      </c>
      <c r="L3869" s="1"/>
      <c r="M3869" s="1"/>
    </row>
    <row x14ac:dyDescent="0.25" r="3870" customHeight="1" ht="18.75">
      <c r="A3870" s="1" t="s">
        <v>7833</v>
      </c>
      <c r="B3870" s="1" t="s">
        <v>8258</v>
      </c>
      <c r="C3870" s="1" t="s">
        <v>4488</v>
      </c>
      <c r="D3870" s="1" t="s">
        <v>3601</v>
      </c>
      <c r="E3870" s="1" t="s">
        <v>3664</v>
      </c>
      <c r="F3870" s="1" t="s">
        <v>14557</v>
      </c>
      <c r="G3870" s="1" t="s">
        <v>14553</v>
      </c>
      <c r="H3870" s="1" t="s">
        <v>3604</v>
      </c>
      <c r="I3870" s="1" t="s">
        <v>14558</v>
      </c>
      <c r="J3870" s="1" t="s">
        <v>3606</v>
      </c>
      <c r="K3870" s="1" t="s">
        <v>9161</v>
      </c>
      <c r="L3870" s="1"/>
      <c r="M3870" s="1"/>
    </row>
    <row x14ac:dyDescent="0.25" r="3871" customHeight="1" ht="18.75">
      <c r="A3871" s="1" t="s">
        <v>7833</v>
      </c>
      <c r="B3871" s="1" t="s">
        <v>8258</v>
      </c>
      <c r="C3871" s="1" t="s">
        <v>4488</v>
      </c>
      <c r="D3871" s="1" t="s">
        <v>3601</v>
      </c>
      <c r="E3871" s="1" t="s">
        <v>3664</v>
      </c>
      <c r="F3871" s="1" t="s">
        <v>14559</v>
      </c>
      <c r="G3871" s="1" t="s">
        <v>14553</v>
      </c>
      <c r="H3871" s="1" t="s">
        <v>3604</v>
      </c>
      <c r="I3871" s="1" t="s">
        <v>14560</v>
      </c>
      <c r="J3871" s="1" t="s">
        <v>3606</v>
      </c>
      <c r="K3871" s="1" t="s">
        <v>14561</v>
      </c>
      <c r="L3871" s="1"/>
      <c r="M3871" s="1"/>
    </row>
    <row x14ac:dyDescent="0.25" r="3872" customHeight="1" ht="18.75">
      <c r="A3872" s="1" t="s">
        <v>7833</v>
      </c>
      <c r="B3872" s="1" t="s">
        <v>8258</v>
      </c>
      <c r="C3872" s="1" t="s">
        <v>4488</v>
      </c>
      <c r="D3872" s="1" t="s">
        <v>3601</v>
      </c>
      <c r="E3872" s="1" t="s">
        <v>3664</v>
      </c>
      <c r="F3872" s="1" t="s">
        <v>14562</v>
      </c>
      <c r="G3872" s="1" t="s">
        <v>14553</v>
      </c>
      <c r="H3872" s="1" t="s">
        <v>3604</v>
      </c>
      <c r="I3872" s="1" t="s">
        <v>14563</v>
      </c>
      <c r="J3872" s="1" t="s">
        <v>3606</v>
      </c>
      <c r="K3872" s="1" t="s">
        <v>14564</v>
      </c>
      <c r="L3872" s="1"/>
      <c r="M3872" s="1"/>
    </row>
    <row x14ac:dyDescent="0.25" r="3873" customHeight="1" ht="18.75">
      <c r="A3873" s="1" t="s">
        <v>7833</v>
      </c>
      <c r="B3873" s="1" t="s">
        <v>13754</v>
      </c>
      <c r="C3873" s="1" t="s">
        <v>3619</v>
      </c>
      <c r="D3873" s="1" t="s">
        <v>3601</v>
      </c>
      <c r="E3873" s="1" t="s">
        <v>3981</v>
      </c>
      <c r="F3873" s="1" t="s">
        <v>1628</v>
      </c>
      <c r="G3873" s="1" t="s">
        <v>14565</v>
      </c>
      <c r="H3873" s="1" t="s">
        <v>3604</v>
      </c>
      <c r="I3873" s="1" t="s">
        <v>14566</v>
      </c>
      <c r="J3873" s="1" t="s">
        <v>3606</v>
      </c>
      <c r="K3873" s="1" t="s">
        <v>9134</v>
      </c>
      <c r="L3873" s="1"/>
      <c r="M3873" s="1"/>
    </row>
    <row x14ac:dyDescent="0.25" r="3874" customHeight="1" ht="18.75">
      <c r="A3874" s="1" t="s">
        <v>7833</v>
      </c>
      <c r="B3874" s="1" t="s">
        <v>13754</v>
      </c>
      <c r="C3874" s="1" t="s">
        <v>3619</v>
      </c>
      <c r="D3874" s="1" t="s">
        <v>3601</v>
      </c>
      <c r="E3874" s="1" t="s">
        <v>3981</v>
      </c>
      <c r="F3874" s="1" t="s">
        <v>1629</v>
      </c>
      <c r="G3874" s="1" t="s">
        <v>14565</v>
      </c>
      <c r="H3874" s="1" t="s">
        <v>3604</v>
      </c>
      <c r="I3874" s="1" t="s">
        <v>14567</v>
      </c>
      <c r="J3874" s="1" t="s">
        <v>3606</v>
      </c>
      <c r="K3874" s="1" t="s">
        <v>9137</v>
      </c>
      <c r="L3874" s="1"/>
      <c r="M3874" s="1"/>
    </row>
    <row x14ac:dyDescent="0.25" r="3875" customHeight="1" ht="18.75">
      <c r="A3875" s="1" t="s">
        <v>3693</v>
      </c>
      <c r="B3875" s="1" t="s">
        <v>4166</v>
      </c>
      <c r="C3875" s="1" t="s">
        <v>3619</v>
      </c>
      <c r="D3875" s="1" t="s">
        <v>533</v>
      </c>
      <c r="E3875" s="1" t="s">
        <v>3664</v>
      </c>
      <c r="F3875" s="1" t="s">
        <v>14568</v>
      </c>
      <c r="G3875" s="1" t="s">
        <v>10222</v>
      </c>
      <c r="H3875" s="1" t="s">
        <v>3604</v>
      </c>
      <c r="I3875" s="1" t="s">
        <v>14569</v>
      </c>
      <c r="J3875" s="1" t="s">
        <v>3606</v>
      </c>
      <c r="K3875" s="1" t="s">
        <v>14570</v>
      </c>
      <c r="L3875" s="1"/>
      <c r="M3875" s="1"/>
    </row>
    <row x14ac:dyDescent="0.25" r="3876" customHeight="1" ht="18.75">
      <c r="A3876" s="1" t="s">
        <v>7833</v>
      </c>
      <c r="B3876" s="1" t="s">
        <v>14256</v>
      </c>
      <c r="C3876" s="1" t="s">
        <v>4488</v>
      </c>
      <c r="D3876" s="1" t="s">
        <v>3601</v>
      </c>
      <c r="E3876" s="1" t="s">
        <v>3664</v>
      </c>
      <c r="F3876" s="1" t="s">
        <v>14571</v>
      </c>
      <c r="G3876" s="1" t="s">
        <v>14258</v>
      </c>
      <c r="H3876" s="1" t="s">
        <v>3604</v>
      </c>
      <c r="I3876" s="1" t="s">
        <v>14572</v>
      </c>
      <c r="J3876" s="1" t="s">
        <v>3606</v>
      </c>
      <c r="K3876" s="1" t="s">
        <v>14573</v>
      </c>
      <c r="L3876" s="1"/>
      <c r="M3876" s="1"/>
    </row>
    <row x14ac:dyDescent="0.25" r="3877" customHeight="1" ht="18.75">
      <c r="A3877" s="1" t="s">
        <v>7833</v>
      </c>
      <c r="B3877" s="1" t="s">
        <v>14256</v>
      </c>
      <c r="C3877" s="1" t="s">
        <v>4488</v>
      </c>
      <c r="D3877" s="1" t="s">
        <v>3601</v>
      </c>
      <c r="E3877" s="1" t="s">
        <v>3981</v>
      </c>
      <c r="F3877" s="1" t="s">
        <v>14574</v>
      </c>
      <c r="G3877" s="1" t="s">
        <v>14258</v>
      </c>
      <c r="H3877" s="1" t="s">
        <v>3604</v>
      </c>
      <c r="I3877" s="1" t="s">
        <v>14575</v>
      </c>
      <c r="J3877" s="1" t="s">
        <v>3606</v>
      </c>
      <c r="K3877" s="1" t="s">
        <v>14573</v>
      </c>
      <c r="L3877" s="1"/>
      <c r="M3877" s="1"/>
    </row>
    <row x14ac:dyDescent="0.25" r="3878" customHeight="1" ht="18.75">
      <c r="A3878" s="1" t="s">
        <v>7833</v>
      </c>
      <c r="B3878" s="1" t="s">
        <v>8291</v>
      </c>
      <c r="C3878" s="1" t="s">
        <v>4488</v>
      </c>
      <c r="D3878" s="1" t="s">
        <v>533</v>
      </c>
      <c r="E3878" s="1" t="s">
        <v>8096</v>
      </c>
      <c r="F3878" s="1" t="s">
        <v>14576</v>
      </c>
      <c r="G3878" s="1" t="s">
        <v>14577</v>
      </c>
      <c r="H3878" s="1" t="s">
        <v>3604</v>
      </c>
      <c r="I3878" s="1" t="s">
        <v>14578</v>
      </c>
      <c r="J3878" s="1" t="s">
        <v>3606</v>
      </c>
      <c r="K3878" s="1" t="s">
        <v>14245</v>
      </c>
      <c r="L3878" s="1"/>
      <c r="M3878" s="1"/>
    </row>
    <row x14ac:dyDescent="0.25" r="3879" customHeight="1" ht="18.75">
      <c r="A3879" s="1" t="s">
        <v>7833</v>
      </c>
      <c r="B3879" s="1" t="s">
        <v>14256</v>
      </c>
      <c r="C3879" s="1" t="s">
        <v>4488</v>
      </c>
      <c r="D3879" s="1" t="s">
        <v>3601</v>
      </c>
      <c r="E3879" s="1" t="s">
        <v>3981</v>
      </c>
      <c r="F3879" s="1" t="s">
        <v>14579</v>
      </c>
      <c r="G3879" s="1" t="s">
        <v>14580</v>
      </c>
      <c r="H3879" s="1" t="s">
        <v>3604</v>
      </c>
      <c r="I3879" s="1" t="s">
        <v>14581</v>
      </c>
      <c r="J3879" s="1" t="s">
        <v>3606</v>
      </c>
      <c r="K3879" s="1" t="s">
        <v>14582</v>
      </c>
      <c r="L3879" s="1"/>
      <c r="M3879" s="1"/>
    </row>
    <row x14ac:dyDescent="0.25" r="3880" customHeight="1" ht="18.75">
      <c r="A3880" s="1" t="s">
        <v>7833</v>
      </c>
      <c r="B3880" s="1" t="s">
        <v>8291</v>
      </c>
      <c r="C3880" s="1" t="s">
        <v>4488</v>
      </c>
      <c r="D3880" s="1" t="s">
        <v>3610</v>
      </c>
      <c r="E3880" s="1" t="s">
        <v>8096</v>
      </c>
      <c r="F3880" s="1" t="s">
        <v>14583</v>
      </c>
      <c r="G3880" s="1" t="s">
        <v>14577</v>
      </c>
      <c r="H3880" s="1" t="s">
        <v>3604</v>
      </c>
      <c r="I3880" s="1" t="s">
        <v>14584</v>
      </c>
      <c r="J3880" s="1" t="s">
        <v>3606</v>
      </c>
      <c r="K3880" s="1" t="s">
        <v>14585</v>
      </c>
      <c r="L3880" s="1"/>
      <c r="M3880" s="1"/>
    </row>
    <row x14ac:dyDescent="0.25" r="3881" customHeight="1" ht="18.75">
      <c r="A3881" s="1" t="s">
        <v>7833</v>
      </c>
      <c r="B3881" s="1" t="s">
        <v>14256</v>
      </c>
      <c r="C3881" s="1" t="s">
        <v>4488</v>
      </c>
      <c r="D3881" s="1" t="s">
        <v>3601</v>
      </c>
      <c r="E3881" s="1" t="s">
        <v>3981</v>
      </c>
      <c r="F3881" s="1" t="s">
        <v>14586</v>
      </c>
      <c r="G3881" s="1" t="s">
        <v>14580</v>
      </c>
      <c r="H3881" s="1" t="s">
        <v>3604</v>
      </c>
      <c r="I3881" s="1" t="s">
        <v>14587</v>
      </c>
      <c r="J3881" s="1" t="s">
        <v>3606</v>
      </c>
      <c r="K3881" s="1" t="s">
        <v>14588</v>
      </c>
      <c r="L3881" s="1"/>
      <c r="M3881" s="1"/>
    </row>
    <row x14ac:dyDescent="0.25" r="3882" customHeight="1" ht="18.75">
      <c r="A3882" s="1" t="s">
        <v>7833</v>
      </c>
      <c r="B3882" s="1" t="s">
        <v>8291</v>
      </c>
      <c r="C3882" s="1" t="s">
        <v>4488</v>
      </c>
      <c r="D3882" s="1" t="s">
        <v>3610</v>
      </c>
      <c r="E3882" s="1" t="s">
        <v>8096</v>
      </c>
      <c r="F3882" s="1" t="s">
        <v>14589</v>
      </c>
      <c r="G3882" s="1" t="s">
        <v>14577</v>
      </c>
      <c r="H3882" s="1" t="s">
        <v>3604</v>
      </c>
      <c r="I3882" s="1" t="s">
        <v>14590</v>
      </c>
      <c r="J3882" s="1" t="s">
        <v>3606</v>
      </c>
      <c r="K3882" s="1" t="s">
        <v>14591</v>
      </c>
      <c r="L3882" s="1"/>
      <c r="M3882" s="1"/>
    </row>
    <row x14ac:dyDescent="0.25" r="3883" customHeight="1" ht="18.75">
      <c r="A3883" s="1" t="s">
        <v>7833</v>
      </c>
      <c r="B3883" s="1" t="s">
        <v>8291</v>
      </c>
      <c r="C3883" s="1" t="s">
        <v>4488</v>
      </c>
      <c r="D3883" s="1" t="s">
        <v>3610</v>
      </c>
      <c r="E3883" s="1" t="s">
        <v>8096</v>
      </c>
      <c r="F3883" s="1" t="s">
        <v>14592</v>
      </c>
      <c r="G3883" s="1" t="s">
        <v>14577</v>
      </c>
      <c r="H3883" s="1" t="s">
        <v>3604</v>
      </c>
      <c r="I3883" s="1" t="s">
        <v>14593</v>
      </c>
      <c r="J3883" s="1" t="s">
        <v>3606</v>
      </c>
      <c r="K3883" s="1" t="s">
        <v>14594</v>
      </c>
      <c r="L3883" s="1"/>
      <c r="M3883" s="1"/>
    </row>
    <row x14ac:dyDescent="0.25" r="3884" customHeight="1" ht="18.75">
      <c r="A3884" s="1" t="s">
        <v>7833</v>
      </c>
      <c r="B3884" s="1" t="s">
        <v>8291</v>
      </c>
      <c r="C3884" s="1" t="s">
        <v>4488</v>
      </c>
      <c r="D3884" s="1" t="s">
        <v>3695</v>
      </c>
      <c r="E3884" s="1" t="s">
        <v>8096</v>
      </c>
      <c r="F3884" s="1" t="s">
        <v>14595</v>
      </c>
      <c r="G3884" s="1" t="s">
        <v>14577</v>
      </c>
      <c r="H3884" s="1" t="s">
        <v>3604</v>
      </c>
      <c r="I3884" s="1" t="s">
        <v>14596</v>
      </c>
      <c r="J3884" s="1" t="s">
        <v>3606</v>
      </c>
      <c r="K3884" s="1" t="s">
        <v>14597</v>
      </c>
      <c r="L3884" s="1"/>
      <c r="M3884" s="1"/>
    </row>
    <row x14ac:dyDescent="0.25" r="3885" customHeight="1" ht="18.75">
      <c r="A3885" s="1" t="s">
        <v>7833</v>
      </c>
      <c r="B3885" s="1" t="s">
        <v>14256</v>
      </c>
      <c r="C3885" s="1" t="s">
        <v>4488</v>
      </c>
      <c r="D3885" s="1" t="s">
        <v>3601</v>
      </c>
      <c r="E3885" s="1" t="s">
        <v>3981</v>
      </c>
      <c r="F3885" s="1" t="s">
        <v>14598</v>
      </c>
      <c r="G3885" s="1" t="s">
        <v>14599</v>
      </c>
      <c r="H3885" s="1" t="s">
        <v>3604</v>
      </c>
      <c r="I3885" s="1" t="s">
        <v>14600</v>
      </c>
      <c r="J3885" s="1" t="s">
        <v>3606</v>
      </c>
      <c r="K3885" s="1" t="s">
        <v>14601</v>
      </c>
      <c r="L3885" s="1"/>
      <c r="M3885" s="1"/>
    </row>
    <row x14ac:dyDescent="0.25" r="3886" customHeight="1" ht="18.75">
      <c r="A3886" s="1" t="s">
        <v>7833</v>
      </c>
      <c r="B3886" s="1" t="s">
        <v>8291</v>
      </c>
      <c r="C3886" s="1" t="s">
        <v>4488</v>
      </c>
      <c r="D3886" s="1" t="s">
        <v>533</v>
      </c>
      <c r="E3886" s="1" t="s">
        <v>8096</v>
      </c>
      <c r="F3886" s="1" t="s">
        <v>14602</v>
      </c>
      <c r="G3886" s="1" t="s">
        <v>9821</v>
      </c>
      <c r="H3886" s="1" t="s">
        <v>3604</v>
      </c>
      <c r="I3886" s="1" t="s">
        <v>14603</v>
      </c>
      <c r="J3886" s="1" t="s">
        <v>3606</v>
      </c>
      <c r="K3886" s="1" t="s">
        <v>14177</v>
      </c>
      <c r="L3886" s="1"/>
      <c r="M3886" s="1"/>
    </row>
    <row x14ac:dyDescent="0.25" r="3887" customHeight="1" ht="18.75">
      <c r="A3887" s="1" t="s">
        <v>7833</v>
      </c>
      <c r="B3887" s="1" t="s">
        <v>8291</v>
      </c>
      <c r="C3887" s="1" t="s">
        <v>4488</v>
      </c>
      <c r="D3887" s="1" t="s">
        <v>3610</v>
      </c>
      <c r="E3887" s="1" t="s">
        <v>8096</v>
      </c>
      <c r="F3887" s="1" t="s">
        <v>14604</v>
      </c>
      <c r="G3887" s="1" t="s">
        <v>9821</v>
      </c>
      <c r="H3887" s="1" t="s">
        <v>3604</v>
      </c>
      <c r="I3887" s="1" t="s">
        <v>14605</v>
      </c>
      <c r="J3887" s="1" t="s">
        <v>3606</v>
      </c>
      <c r="K3887" s="1" t="s">
        <v>14180</v>
      </c>
      <c r="L3887" s="1"/>
      <c r="M3887" s="1"/>
    </row>
    <row x14ac:dyDescent="0.25" r="3888" customHeight="1" ht="18.75">
      <c r="A3888" s="1" t="s">
        <v>7833</v>
      </c>
      <c r="B3888" s="1" t="s">
        <v>14256</v>
      </c>
      <c r="C3888" s="1" t="s">
        <v>4488</v>
      </c>
      <c r="D3888" s="1" t="s">
        <v>3601</v>
      </c>
      <c r="E3888" s="1" t="s">
        <v>3981</v>
      </c>
      <c r="F3888" s="1" t="s">
        <v>14606</v>
      </c>
      <c r="G3888" s="1" t="s">
        <v>14607</v>
      </c>
      <c r="H3888" s="1" t="s">
        <v>3604</v>
      </c>
      <c r="I3888" s="1" t="s">
        <v>14608</v>
      </c>
      <c r="J3888" s="1" t="s">
        <v>3606</v>
      </c>
      <c r="K3888" s="1" t="s">
        <v>14609</v>
      </c>
      <c r="L3888" s="1"/>
      <c r="M3888" s="1"/>
    </row>
    <row x14ac:dyDescent="0.25" r="3889" customHeight="1" ht="18.75">
      <c r="A3889" s="1" t="s">
        <v>7833</v>
      </c>
      <c r="B3889" s="1" t="s">
        <v>8291</v>
      </c>
      <c r="C3889" s="1" t="s">
        <v>4488</v>
      </c>
      <c r="D3889" s="1" t="s">
        <v>3610</v>
      </c>
      <c r="E3889" s="1" t="s">
        <v>8096</v>
      </c>
      <c r="F3889" s="1" t="s">
        <v>14610</v>
      </c>
      <c r="G3889" s="1" t="s">
        <v>9821</v>
      </c>
      <c r="H3889" s="1" t="s">
        <v>3604</v>
      </c>
      <c r="I3889" s="1" t="s">
        <v>14611</v>
      </c>
      <c r="J3889" s="1" t="s">
        <v>3606</v>
      </c>
      <c r="K3889" s="1" t="s">
        <v>14183</v>
      </c>
      <c r="L3889" s="1"/>
      <c r="M3889" s="1"/>
    </row>
    <row x14ac:dyDescent="0.25" r="3890" customHeight="1" ht="18.75">
      <c r="A3890" s="1" t="s">
        <v>7833</v>
      </c>
      <c r="B3890" s="1" t="s">
        <v>8291</v>
      </c>
      <c r="C3890" s="1" t="s">
        <v>4488</v>
      </c>
      <c r="D3890" s="1" t="s">
        <v>3610</v>
      </c>
      <c r="E3890" s="1" t="s">
        <v>8096</v>
      </c>
      <c r="F3890" s="1" t="s">
        <v>14612</v>
      </c>
      <c r="G3890" s="1" t="s">
        <v>9821</v>
      </c>
      <c r="H3890" s="1" t="s">
        <v>3604</v>
      </c>
      <c r="I3890" s="1" t="s">
        <v>14613</v>
      </c>
      <c r="J3890" s="1" t="s">
        <v>3606</v>
      </c>
      <c r="K3890" s="1" t="s">
        <v>14186</v>
      </c>
      <c r="L3890" s="1"/>
      <c r="M3890" s="1"/>
    </row>
    <row x14ac:dyDescent="0.25" r="3891" customHeight="1" ht="18.75">
      <c r="A3891" s="1" t="s">
        <v>7833</v>
      </c>
      <c r="B3891" s="1" t="s">
        <v>13754</v>
      </c>
      <c r="C3891" s="1" t="s">
        <v>3619</v>
      </c>
      <c r="D3891" s="1" t="s">
        <v>533</v>
      </c>
      <c r="E3891" s="1" t="s">
        <v>3981</v>
      </c>
      <c r="F3891" s="1" t="s">
        <v>1630</v>
      </c>
      <c r="G3891" s="1" t="s">
        <v>14614</v>
      </c>
      <c r="H3891" s="1" t="s">
        <v>3604</v>
      </c>
      <c r="I3891" s="1" t="s">
        <v>14615</v>
      </c>
      <c r="J3891" s="1" t="s">
        <v>3606</v>
      </c>
      <c r="K3891" s="1" t="s">
        <v>14616</v>
      </c>
      <c r="L3891" s="1"/>
      <c r="M3891" s="1"/>
    </row>
    <row x14ac:dyDescent="0.25" r="3892" customHeight="1" ht="18.75">
      <c r="A3892" s="1" t="s">
        <v>7833</v>
      </c>
      <c r="B3892" s="1" t="s">
        <v>8291</v>
      </c>
      <c r="C3892" s="1" t="s">
        <v>4488</v>
      </c>
      <c r="D3892" s="1" t="s">
        <v>533</v>
      </c>
      <c r="E3892" s="1" t="s">
        <v>8096</v>
      </c>
      <c r="F3892" s="1" t="s">
        <v>14617</v>
      </c>
      <c r="G3892" s="1" t="s">
        <v>14618</v>
      </c>
      <c r="H3892" s="1" t="s">
        <v>3604</v>
      </c>
      <c r="I3892" s="1" t="s">
        <v>14619</v>
      </c>
      <c r="J3892" s="1" t="s">
        <v>3606</v>
      </c>
      <c r="K3892" s="1" t="s">
        <v>14620</v>
      </c>
      <c r="L3892" s="1"/>
      <c r="M3892" s="1"/>
    </row>
    <row x14ac:dyDescent="0.25" r="3893" customHeight="1" ht="18.75">
      <c r="A3893" s="1" t="s">
        <v>7833</v>
      </c>
      <c r="B3893" s="1" t="s">
        <v>8291</v>
      </c>
      <c r="C3893" s="1" t="s">
        <v>4488</v>
      </c>
      <c r="D3893" s="1" t="s">
        <v>3610</v>
      </c>
      <c r="E3893" s="1" t="s">
        <v>8096</v>
      </c>
      <c r="F3893" s="1" t="s">
        <v>14621</v>
      </c>
      <c r="G3893" s="1" t="s">
        <v>14618</v>
      </c>
      <c r="H3893" s="1" t="s">
        <v>3604</v>
      </c>
      <c r="I3893" s="1" t="s">
        <v>14622</v>
      </c>
      <c r="J3893" s="1" t="s">
        <v>3606</v>
      </c>
      <c r="K3893" s="1" t="s">
        <v>14623</v>
      </c>
      <c r="L3893" s="1"/>
      <c r="M3893" s="1"/>
    </row>
    <row x14ac:dyDescent="0.25" r="3894" customHeight="1" ht="18.75">
      <c r="A3894" s="1" t="s">
        <v>7833</v>
      </c>
      <c r="B3894" s="1" t="s">
        <v>13754</v>
      </c>
      <c r="C3894" s="1" t="s">
        <v>3619</v>
      </c>
      <c r="D3894" s="1" t="s">
        <v>533</v>
      </c>
      <c r="E3894" s="1" t="s">
        <v>3981</v>
      </c>
      <c r="F3894" s="1" t="s">
        <v>1631</v>
      </c>
      <c r="G3894" s="1" t="s">
        <v>14624</v>
      </c>
      <c r="H3894" s="1" t="s">
        <v>3604</v>
      </c>
      <c r="I3894" s="1" t="s">
        <v>14625</v>
      </c>
      <c r="J3894" s="1" t="s">
        <v>3606</v>
      </c>
      <c r="K3894" s="1" t="s">
        <v>14626</v>
      </c>
      <c r="L3894" s="1"/>
      <c r="M3894" s="1"/>
    </row>
    <row x14ac:dyDescent="0.25" r="3895" customHeight="1" ht="18.75">
      <c r="A3895" s="1" t="s">
        <v>7833</v>
      </c>
      <c r="B3895" s="1" t="s">
        <v>8291</v>
      </c>
      <c r="C3895" s="1" t="s">
        <v>4488</v>
      </c>
      <c r="D3895" s="1" t="s">
        <v>3610</v>
      </c>
      <c r="E3895" s="1" t="s">
        <v>8096</v>
      </c>
      <c r="F3895" s="1" t="s">
        <v>14627</v>
      </c>
      <c r="G3895" s="1" t="s">
        <v>14618</v>
      </c>
      <c r="H3895" s="1" t="s">
        <v>3604</v>
      </c>
      <c r="I3895" s="1" t="s">
        <v>14628</v>
      </c>
      <c r="J3895" s="1" t="s">
        <v>3606</v>
      </c>
      <c r="K3895" s="1" t="s">
        <v>14629</v>
      </c>
      <c r="L3895" s="1"/>
      <c r="M3895" s="1"/>
    </row>
    <row x14ac:dyDescent="0.25" r="3896" customHeight="1" ht="18.75">
      <c r="A3896" s="1" t="s">
        <v>7833</v>
      </c>
      <c r="B3896" s="1" t="s">
        <v>13754</v>
      </c>
      <c r="C3896" s="1" t="s">
        <v>3619</v>
      </c>
      <c r="D3896" s="1" t="s">
        <v>533</v>
      </c>
      <c r="E3896" s="1" t="s">
        <v>3981</v>
      </c>
      <c r="F3896" s="1" t="s">
        <v>1632</v>
      </c>
      <c r="G3896" s="1" t="s">
        <v>14565</v>
      </c>
      <c r="H3896" s="1" t="s">
        <v>3604</v>
      </c>
      <c r="I3896" s="1" t="s">
        <v>14630</v>
      </c>
      <c r="J3896" s="1" t="s">
        <v>3606</v>
      </c>
      <c r="K3896" s="1" t="s">
        <v>14631</v>
      </c>
      <c r="L3896" s="1"/>
      <c r="M3896" s="1"/>
    </row>
    <row x14ac:dyDescent="0.25" r="3897" customHeight="1" ht="18.75">
      <c r="A3897" s="1" t="s">
        <v>7833</v>
      </c>
      <c r="B3897" s="1" t="s">
        <v>8291</v>
      </c>
      <c r="C3897" s="1" t="s">
        <v>4488</v>
      </c>
      <c r="D3897" s="1" t="s">
        <v>3610</v>
      </c>
      <c r="E3897" s="1" t="s">
        <v>8096</v>
      </c>
      <c r="F3897" s="1" t="s">
        <v>14632</v>
      </c>
      <c r="G3897" s="1" t="s">
        <v>14618</v>
      </c>
      <c r="H3897" s="1" t="s">
        <v>3604</v>
      </c>
      <c r="I3897" s="1" t="s">
        <v>14633</v>
      </c>
      <c r="J3897" s="1" t="s">
        <v>3606</v>
      </c>
      <c r="K3897" s="1" t="s">
        <v>14634</v>
      </c>
      <c r="L3897" s="1"/>
      <c r="M3897" s="1"/>
    </row>
    <row x14ac:dyDescent="0.25" r="3898" customHeight="1" ht="18.75">
      <c r="A3898" s="1" t="s">
        <v>7833</v>
      </c>
      <c r="B3898" s="1" t="s">
        <v>8291</v>
      </c>
      <c r="C3898" s="1" t="s">
        <v>4488</v>
      </c>
      <c r="D3898" s="1" t="s">
        <v>533</v>
      </c>
      <c r="E3898" s="1" t="s">
        <v>8096</v>
      </c>
      <c r="F3898" s="1" t="s">
        <v>14635</v>
      </c>
      <c r="G3898" s="1" t="s">
        <v>8299</v>
      </c>
      <c r="H3898" s="1" t="s">
        <v>3604</v>
      </c>
      <c r="I3898" s="1" t="s">
        <v>14636</v>
      </c>
      <c r="J3898" s="1" t="s">
        <v>3606</v>
      </c>
      <c r="K3898" s="1" t="s">
        <v>14637</v>
      </c>
      <c r="L3898" s="1"/>
      <c r="M3898" s="1"/>
    </row>
    <row x14ac:dyDescent="0.25" r="3899" customHeight="1" ht="18.75">
      <c r="A3899" s="1" t="s">
        <v>7833</v>
      </c>
      <c r="B3899" s="1" t="s">
        <v>13754</v>
      </c>
      <c r="C3899" s="1" t="s">
        <v>3619</v>
      </c>
      <c r="D3899" s="1" t="s">
        <v>533</v>
      </c>
      <c r="E3899" s="1" t="s">
        <v>3981</v>
      </c>
      <c r="F3899" s="1" t="s">
        <v>1633</v>
      </c>
      <c r="G3899" s="1" t="s">
        <v>14638</v>
      </c>
      <c r="H3899" s="1" t="s">
        <v>3604</v>
      </c>
      <c r="I3899" s="1" t="s">
        <v>14639</v>
      </c>
      <c r="J3899" s="1" t="s">
        <v>3606</v>
      </c>
      <c r="K3899" s="1" t="s">
        <v>14640</v>
      </c>
      <c r="L3899" s="1"/>
      <c r="M3899" s="1"/>
    </row>
    <row x14ac:dyDescent="0.25" r="3900" customHeight="1" ht="18.75">
      <c r="A3900" s="1" t="s">
        <v>7833</v>
      </c>
      <c r="B3900" s="1" t="s">
        <v>13754</v>
      </c>
      <c r="C3900" s="1" t="s">
        <v>3619</v>
      </c>
      <c r="D3900" s="1" t="s">
        <v>533</v>
      </c>
      <c r="E3900" s="1" t="s">
        <v>3981</v>
      </c>
      <c r="F3900" s="1" t="s">
        <v>1634</v>
      </c>
      <c r="G3900" s="1" t="s">
        <v>14641</v>
      </c>
      <c r="H3900" s="1" t="s">
        <v>3604</v>
      </c>
      <c r="I3900" s="1" t="s">
        <v>14642</v>
      </c>
      <c r="J3900" s="1" t="s">
        <v>3606</v>
      </c>
      <c r="K3900" s="1" t="s">
        <v>14643</v>
      </c>
      <c r="L3900" s="1"/>
      <c r="M3900" s="1"/>
    </row>
    <row x14ac:dyDescent="0.25" r="3901" customHeight="1" ht="18.75">
      <c r="A3901" s="1" t="s">
        <v>7833</v>
      </c>
      <c r="B3901" s="1" t="s">
        <v>13754</v>
      </c>
      <c r="C3901" s="1" t="s">
        <v>3619</v>
      </c>
      <c r="D3901" s="1" t="s">
        <v>533</v>
      </c>
      <c r="E3901" s="1" t="s">
        <v>3981</v>
      </c>
      <c r="F3901" s="1" t="s">
        <v>1635</v>
      </c>
      <c r="G3901" s="1" t="s">
        <v>14644</v>
      </c>
      <c r="H3901" s="1" t="s">
        <v>3604</v>
      </c>
      <c r="I3901" s="1" t="s">
        <v>14645</v>
      </c>
      <c r="J3901" s="1" t="s">
        <v>3606</v>
      </c>
      <c r="K3901" s="1" t="s">
        <v>14646</v>
      </c>
      <c r="L3901" s="1"/>
      <c r="M3901" s="1"/>
    </row>
    <row x14ac:dyDescent="0.25" r="3902" customHeight="1" ht="18.75">
      <c r="A3902" s="1" t="s">
        <v>3693</v>
      </c>
      <c r="B3902" s="1" t="s">
        <v>4083</v>
      </c>
      <c r="C3902" s="1" t="s">
        <v>3600</v>
      </c>
      <c r="D3902" s="1" t="s">
        <v>533</v>
      </c>
      <c r="E3902" s="1" t="s">
        <v>3893</v>
      </c>
      <c r="F3902" s="1" t="s">
        <v>14647</v>
      </c>
      <c r="G3902" s="1" t="s">
        <v>4553</v>
      </c>
      <c r="H3902" s="1" t="s">
        <v>3604</v>
      </c>
      <c r="I3902" s="1" t="s">
        <v>14648</v>
      </c>
      <c r="J3902" s="1" t="s">
        <v>3606</v>
      </c>
      <c r="K3902" s="1" t="s">
        <v>14649</v>
      </c>
      <c r="L3902" s="1"/>
      <c r="M3902" s="1"/>
    </row>
    <row x14ac:dyDescent="0.25" r="3903" customHeight="1" ht="18.75">
      <c r="A3903" s="1" t="s">
        <v>7833</v>
      </c>
      <c r="B3903" s="1" t="s">
        <v>13754</v>
      </c>
      <c r="C3903" s="1" t="s">
        <v>3619</v>
      </c>
      <c r="D3903" s="1" t="s">
        <v>533</v>
      </c>
      <c r="E3903" s="1" t="s">
        <v>3981</v>
      </c>
      <c r="F3903" s="1" t="s">
        <v>1636</v>
      </c>
      <c r="G3903" s="1" t="s">
        <v>14650</v>
      </c>
      <c r="H3903" s="1" t="s">
        <v>3604</v>
      </c>
      <c r="I3903" s="1" t="s">
        <v>14651</v>
      </c>
      <c r="J3903" s="1" t="s">
        <v>3606</v>
      </c>
      <c r="K3903" s="1" t="s">
        <v>7903</v>
      </c>
      <c r="L3903" s="1"/>
      <c r="M3903" s="1"/>
    </row>
    <row x14ac:dyDescent="0.25" r="3904" customHeight="1" ht="18.75">
      <c r="A3904" s="1" t="s">
        <v>7833</v>
      </c>
      <c r="B3904" s="1" t="s">
        <v>13754</v>
      </c>
      <c r="C3904" s="1" t="s">
        <v>3619</v>
      </c>
      <c r="D3904" s="1" t="s">
        <v>533</v>
      </c>
      <c r="E3904" s="1" t="s">
        <v>3981</v>
      </c>
      <c r="F3904" s="1" t="s">
        <v>1637</v>
      </c>
      <c r="G3904" s="1" t="s">
        <v>14652</v>
      </c>
      <c r="H3904" s="1" t="s">
        <v>3604</v>
      </c>
      <c r="I3904" s="1" t="s">
        <v>14653</v>
      </c>
      <c r="J3904" s="1" t="s">
        <v>3606</v>
      </c>
      <c r="K3904" s="1" t="s">
        <v>14654</v>
      </c>
      <c r="L3904" s="1"/>
      <c r="M3904" s="1"/>
    </row>
    <row x14ac:dyDescent="0.25" r="3905" customHeight="1" ht="18.75">
      <c r="A3905" s="1" t="s">
        <v>7833</v>
      </c>
      <c r="B3905" s="1" t="s">
        <v>8291</v>
      </c>
      <c r="C3905" s="1" t="s">
        <v>4488</v>
      </c>
      <c r="D3905" s="1" t="s">
        <v>533</v>
      </c>
      <c r="E3905" s="1" t="s">
        <v>8096</v>
      </c>
      <c r="F3905" s="1" t="s">
        <v>14655</v>
      </c>
      <c r="G3905" s="1" t="s">
        <v>8299</v>
      </c>
      <c r="H3905" s="1" t="s">
        <v>3604</v>
      </c>
      <c r="I3905" s="1" t="s">
        <v>14656</v>
      </c>
      <c r="J3905" s="1" t="s">
        <v>3606</v>
      </c>
      <c r="K3905" s="1" t="s">
        <v>14313</v>
      </c>
      <c r="L3905" s="1"/>
      <c r="M3905" s="1"/>
    </row>
    <row x14ac:dyDescent="0.25" r="3906" customHeight="1" ht="18.75">
      <c r="A3906" s="1" t="s">
        <v>7833</v>
      </c>
      <c r="B3906" s="1" t="s">
        <v>8291</v>
      </c>
      <c r="C3906" s="1" t="s">
        <v>4488</v>
      </c>
      <c r="D3906" s="1" t="s">
        <v>3610</v>
      </c>
      <c r="E3906" s="1" t="s">
        <v>8096</v>
      </c>
      <c r="F3906" s="1" t="s">
        <v>14657</v>
      </c>
      <c r="G3906" s="1" t="s">
        <v>8299</v>
      </c>
      <c r="H3906" s="1" t="s">
        <v>3604</v>
      </c>
      <c r="I3906" s="1" t="s">
        <v>14658</v>
      </c>
      <c r="J3906" s="1" t="s">
        <v>3606</v>
      </c>
      <c r="K3906" s="1" t="s">
        <v>14328</v>
      </c>
      <c r="L3906" s="1"/>
      <c r="M3906" s="1"/>
    </row>
    <row x14ac:dyDescent="0.25" r="3907" customHeight="1" ht="18.75">
      <c r="A3907" s="1" t="s">
        <v>7833</v>
      </c>
      <c r="B3907" s="1" t="s">
        <v>13754</v>
      </c>
      <c r="C3907" s="1" t="s">
        <v>3619</v>
      </c>
      <c r="D3907" s="1" t="s">
        <v>533</v>
      </c>
      <c r="E3907" s="1" t="s">
        <v>3981</v>
      </c>
      <c r="F3907" s="1" t="s">
        <v>1638</v>
      </c>
      <c r="G3907" s="1" t="s">
        <v>14659</v>
      </c>
      <c r="H3907" s="1" t="s">
        <v>3604</v>
      </c>
      <c r="I3907" s="1" t="s">
        <v>14660</v>
      </c>
      <c r="J3907" s="1" t="s">
        <v>3606</v>
      </c>
      <c r="K3907" s="1" t="s">
        <v>14661</v>
      </c>
      <c r="L3907" s="1"/>
      <c r="M3907" s="1"/>
    </row>
    <row x14ac:dyDescent="0.25" r="3908" customHeight="1" ht="18.75">
      <c r="A3908" s="1" t="s">
        <v>7833</v>
      </c>
      <c r="B3908" s="1" t="s">
        <v>8291</v>
      </c>
      <c r="C3908" s="1" t="s">
        <v>4488</v>
      </c>
      <c r="D3908" s="1" t="s">
        <v>3610</v>
      </c>
      <c r="E3908" s="1" t="s">
        <v>8096</v>
      </c>
      <c r="F3908" s="1" t="s">
        <v>14662</v>
      </c>
      <c r="G3908" s="1" t="s">
        <v>8299</v>
      </c>
      <c r="H3908" s="1" t="s">
        <v>3604</v>
      </c>
      <c r="I3908" s="1" t="s">
        <v>14663</v>
      </c>
      <c r="J3908" s="1" t="s">
        <v>3606</v>
      </c>
      <c r="K3908" s="1" t="s">
        <v>14331</v>
      </c>
      <c r="L3908" s="1"/>
      <c r="M3908" s="1"/>
    </row>
    <row x14ac:dyDescent="0.25" r="3909" customHeight="1" ht="18.75">
      <c r="A3909" s="1" t="s">
        <v>7833</v>
      </c>
      <c r="B3909" s="1" t="s">
        <v>8291</v>
      </c>
      <c r="C3909" s="1" t="s">
        <v>4488</v>
      </c>
      <c r="D3909" s="1" t="s">
        <v>3610</v>
      </c>
      <c r="E3909" s="1" t="s">
        <v>8096</v>
      </c>
      <c r="F3909" s="1" t="s">
        <v>14664</v>
      </c>
      <c r="G3909" s="1" t="s">
        <v>8299</v>
      </c>
      <c r="H3909" s="1" t="s">
        <v>3604</v>
      </c>
      <c r="I3909" s="1" t="s">
        <v>14665</v>
      </c>
      <c r="J3909" s="1" t="s">
        <v>3606</v>
      </c>
      <c r="K3909" s="1" t="s">
        <v>14666</v>
      </c>
      <c r="L3909" s="1"/>
      <c r="M3909" s="1"/>
    </row>
    <row x14ac:dyDescent="0.25" r="3910" customHeight="1" ht="18.75">
      <c r="A3910" s="1" t="s">
        <v>7833</v>
      </c>
      <c r="B3910" s="1" t="s">
        <v>8291</v>
      </c>
      <c r="C3910" s="1" t="s">
        <v>4488</v>
      </c>
      <c r="D3910" s="1" t="s">
        <v>3610</v>
      </c>
      <c r="E3910" s="1" t="s">
        <v>8096</v>
      </c>
      <c r="F3910" s="1" t="s">
        <v>14667</v>
      </c>
      <c r="G3910" s="1" t="s">
        <v>8299</v>
      </c>
      <c r="H3910" s="1" t="s">
        <v>3604</v>
      </c>
      <c r="I3910" s="1" t="s">
        <v>14668</v>
      </c>
      <c r="J3910" s="1" t="s">
        <v>3606</v>
      </c>
      <c r="K3910" s="1" t="s">
        <v>14669</v>
      </c>
      <c r="L3910" s="1"/>
      <c r="M3910" s="1"/>
    </row>
    <row x14ac:dyDescent="0.25" r="3911" customHeight="1" ht="18.75">
      <c r="A3911" s="1" t="s">
        <v>7833</v>
      </c>
      <c r="B3911" s="1" t="s">
        <v>8291</v>
      </c>
      <c r="C3911" s="1" t="s">
        <v>4488</v>
      </c>
      <c r="D3911" s="1" t="s">
        <v>3610</v>
      </c>
      <c r="E3911" s="1" t="s">
        <v>8096</v>
      </c>
      <c r="F3911" s="1" t="s">
        <v>14670</v>
      </c>
      <c r="G3911" s="1" t="s">
        <v>8299</v>
      </c>
      <c r="H3911" s="1" t="s">
        <v>3604</v>
      </c>
      <c r="I3911" s="1" t="s">
        <v>14671</v>
      </c>
      <c r="J3911" s="1" t="s">
        <v>3606</v>
      </c>
      <c r="K3911" s="1" t="s">
        <v>14339</v>
      </c>
      <c r="L3911" s="1"/>
      <c r="M3911" s="1"/>
    </row>
    <row x14ac:dyDescent="0.25" r="3912" customHeight="1" ht="18.75">
      <c r="A3912" s="1" t="s">
        <v>7833</v>
      </c>
      <c r="B3912" s="1" t="s">
        <v>8291</v>
      </c>
      <c r="C3912" s="1" t="s">
        <v>4488</v>
      </c>
      <c r="D3912" s="1" t="s">
        <v>3610</v>
      </c>
      <c r="E3912" s="1" t="s">
        <v>8096</v>
      </c>
      <c r="F3912" s="1" t="s">
        <v>14672</v>
      </c>
      <c r="G3912" s="1" t="s">
        <v>8299</v>
      </c>
      <c r="H3912" s="1" t="s">
        <v>3604</v>
      </c>
      <c r="I3912" s="1" t="s">
        <v>14673</v>
      </c>
      <c r="J3912" s="1" t="s">
        <v>3606</v>
      </c>
      <c r="K3912" s="1" t="s">
        <v>14342</v>
      </c>
      <c r="L3912" s="1"/>
      <c r="M3912" s="1"/>
    </row>
    <row x14ac:dyDescent="0.25" r="3913" customHeight="1" ht="18.75">
      <c r="A3913" s="1" t="s">
        <v>7833</v>
      </c>
      <c r="B3913" s="1" t="s">
        <v>8291</v>
      </c>
      <c r="C3913" s="1" t="s">
        <v>4488</v>
      </c>
      <c r="D3913" s="1" t="s">
        <v>3695</v>
      </c>
      <c r="E3913" s="1" t="s">
        <v>8096</v>
      </c>
      <c r="F3913" s="1" t="s">
        <v>14674</v>
      </c>
      <c r="G3913" s="1" t="s">
        <v>8299</v>
      </c>
      <c r="H3913" s="1" t="s">
        <v>3604</v>
      </c>
      <c r="I3913" s="1" t="s">
        <v>14675</v>
      </c>
      <c r="J3913" s="1" t="s">
        <v>3606</v>
      </c>
      <c r="K3913" s="1" t="s">
        <v>14676</v>
      </c>
      <c r="L3913" s="1"/>
      <c r="M3913" s="1"/>
    </row>
    <row x14ac:dyDescent="0.25" r="3914" customHeight="1" ht="18.75">
      <c r="A3914" s="1" t="s">
        <v>7833</v>
      </c>
      <c r="B3914" s="1" t="s">
        <v>13754</v>
      </c>
      <c r="C3914" s="1" t="s">
        <v>3619</v>
      </c>
      <c r="D3914" s="1" t="s">
        <v>3610</v>
      </c>
      <c r="E3914" s="1" t="s">
        <v>3981</v>
      </c>
      <c r="F3914" s="1" t="s">
        <v>1639</v>
      </c>
      <c r="G3914" s="1" t="s">
        <v>14614</v>
      </c>
      <c r="H3914" s="1" t="s">
        <v>3604</v>
      </c>
      <c r="I3914" s="1" t="s">
        <v>14677</v>
      </c>
      <c r="J3914" s="1" t="s">
        <v>3606</v>
      </c>
      <c r="K3914" s="1" t="s">
        <v>14678</v>
      </c>
      <c r="L3914" s="1"/>
      <c r="M3914" s="1"/>
    </row>
    <row x14ac:dyDescent="0.25" r="3915" customHeight="1" ht="18.75">
      <c r="A3915" s="1" t="s">
        <v>7833</v>
      </c>
      <c r="B3915" s="1" t="s">
        <v>14256</v>
      </c>
      <c r="C3915" s="1" t="s">
        <v>4488</v>
      </c>
      <c r="D3915" s="1" t="s">
        <v>3601</v>
      </c>
      <c r="E3915" s="1" t="s">
        <v>3664</v>
      </c>
      <c r="F3915" s="1" t="s">
        <v>14679</v>
      </c>
      <c r="G3915" s="1" t="s">
        <v>14680</v>
      </c>
      <c r="H3915" s="1" t="s">
        <v>3604</v>
      </c>
      <c r="I3915" s="1" t="s">
        <v>14681</v>
      </c>
      <c r="J3915" s="1" t="s">
        <v>3606</v>
      </c>
      <c r="K3915" s="1" t="s">
        <v>14682</v>
      </c>
      <c r="L3915" s="1"/>
      <c r="M3915" s="1"/>
    </row>
    <row x14ac:dyDescent="0.25" r="3916" customHeight="1" ht="18.75">
      <c r="A3916" s="1" t="s">
        <v>3693</v>
      </c>
      <c r="B3916" s="1" t="s">
        <v>4091</v>
      </c>
      <c r="C3916" s="1" t="s">
        <v>3600</v>
      </c>
      <c r="D3916" s="1" t="s">
        <v>533</v>
      </c>
      <c r="E3916" s="1" t="s">
        <v>3893</v>
      </c>
      <c r="F3916" s="1" t="s">
        <v>14683</v>
      </c>
      <c r="G3916" s="1" t="s">
        <v>4099</v>
      </c>
      <c r="H3916" s="1" t="s">
        <v>3604</v>
      </c>
      <c r="I3916" s="1" t="s">
        <v>14684</v>
      </c>
      <c r="J3916" s="1" t="s">
        <v>3606</v>
      </c>
      <c r="K3916" s="1" t="s">
        <v>14685</v>
      </c>
      <c r="L3916" s="1"/>
      <c r="M3916" s="1"/>
    </row>
    <row x14ac:dyDescent="0.25" r="3917" customHeight="1" ht="18.75">
      <c r="A3917" s="1" t="s">
        <v>7833</v>
      </c>
      <c r="B3917" s="1" t="s">
        <v>13754</v>
      </c>
      <c r="C3917" s="1" t="s">
        <v>3619</v>
      </c>
      <c r="D3917" s="1" t="s">
        <v>3610</v>
      </c>
      <c r="E3917" s="1" t="s">
        <v>3981</v>
      </c>
      <c r="F3917" s="1" t="s">
        <v>1640</v>
      </c>
      <c r="G3917" s="1" t="s">
        <v>14614</v>
      </c>
      <c r="H3917" s="1" t="s">
        <v>3604</v>
      </c>
      <c r="I3917" s="1" t="s">
        <v>14686</v>
      </c>
      <c r="J3917" s="1" t="s">
        <v>3606</v>
      </c>
      <c r="K3917" s="1" t="s">
        <v>14687</v>
      </c>
      <c r="L3917" s="1"/>
      <c r="M3917" s="1"/>
    </row>
    <row x14ac:dyDescent="0.25" r="3918" customHeight="1" ht="18.75">
      <c r="A3918" s="1" t="s">
        <v>7833</v>
      </c>
      <c r="B3918" s="1" t="s">
        <v>8291</v>
      </c>
      <c r="C3918" s="1" t="s">
        <v>4488</v>
      </c>
      <c r="D3918" s="1" t="s">
        <v>3695</v>
      </c>
      <c r="E3918" s="1" t="s">
        <v>8096</v>
      </c>
      <c r="F3918" s="1" t="s">
        <v>14688</v>
      </c>
      <c r="G3918" s="1" t="s">
        <v>8299</v>
      </c>
      <c r="H3918" s="1" t="s">
        <v>3604</v>
      </c>
      <c r="I3918" s="1" t="s">
        <v>14689</v>
      </c>
      <c r="J3918" s="1" t="s">
        <v>3606</v>
      </c>
      <c r="K3918" s="1" t="s">
        <v>14375</v>
      </c>
      <c r="L3918" s="1"/>
      <c r="M3918" s="1"/>
    </row>
    <row x14ac:dyDescent="0.25" r="3919" customHeight="1" ht="18.75">
      <c r="A3919" s="1" t="s">
        <v>7833</v>
      </c>
      <c r="B3919" s="1" t="s">
        <v>14256</v>
      </c>
      <c r="C3919" s="1" t="s">
        <v>4488</v>
      </c>
      <c r="D3919" s="1" t="s">
        <v>3601</v>
      </c>
      <c r="E3919" s="1" t="s">
        <v>3664</v>
      </c>
      <c r="F3919" s="1" t="s">
        <v>14690</v>
      </c>
      <c r="G3919" s="1" t="s">
        <v>14680</v>
      </c>
      <c r="H3919" s="1" t="s">
        <v>3604</v>
      </c>
      <c r="I3919" s="1" t="s">
        <v>14691</v>
      </c>
      <c r="J3919" s="1" t="s">
        <v>3606</v>
      </c>
      <c r="K3919" s="1" t="s">
        <v>14692</v>
      </c>
      <c r="L3919" s="1"/>
      <c r="M3919" s="1"/>
    </row>
    <row x14ac:dyDescent="0.25" r="3920" customHeight="1" ht="18.75">
      <c r="A3920" s="1" t="s">
        <v>7833</v>
      </c>
      <c r="B3920" s="1" t="s">
        <v>8291</v>
      </c>
      <c r="C3920" s="1" t="s">
        <v>4488</v>
      </c>
      <c r="D3920" s="1" t="s">
        <v>3610</v>
      </c>
      <c r="E3920" s="1" t="s">
        <v>8096</v>
      </c>
      <c r="F3920" s="1" t="s">
        <v>14693</v>
      </c>
      <c r="G3920" s="1" t="s">
        <v>13774</v>
      </c>
      <c r="H3920" s="1" t="s">
        <v>3604</v>
      </c>
      <c r="I3920" s="1" t="s">
        <v>14694</v>
      </c>
      <c r="J3920" s="1" t="s">
        <v>3606</v>
      </c>
      <c r="K3920" s="1" t="s">
        <v>14695</v>
      </c>
      <c r="L3920" s="1"/>
      <c r="M3920" s="1"/>
    </row>
    <row x14ac:dyDescent="0.25" r="3921" customHeight="1" ht="18.75">
      <c r="A3921" s="1" t="s">
        <v>7833</v>
      </c>
      <c r="B3921" s="1" t="s">
        <v>13754</v>
      </c>
      <c r="C3921" s="1" t="s">
        <v>3619</v>
      </c>
      <c r="D3921" s="1" t="s">
        <v>3610</v>
      </c>
      <c r="E3921" s="1" t="s">
        <v>3981</v>
      </c>
      <c r="F3921" s="1" t="s">
        <v>1641</v>
      </c>
      <c r="G3921" s="1" t="s">
        <v>14624</v>
      </c>
      <c r="H3921" s="1" t="s">
        <v>3604</v>
      </c>
      <c r="I3921" s="1" t="s">
        <v>14696</v>
      </c>
      <c r="J3921" s="1" t="s">
        <v>3606</v>
      </c>
      <c r="K3921" s="1" t="s">
        <v>14697</v>
      </c>
      <c r="L3921" s="1"/>
      <c r="M3921" s="1"/>
    </row>
    <row x14ac:dyDescent="0.25" r="3922" customHeight="1" ht="18.75">
      <c r="A3922" s="1" t="s">
        <v>3693</v>
      </c>
      <c r="B3922" s="1" t="s">
        <v>4091</v>
      </c>
      <c r="C3922" s="1" t="s">
        <v>3600</v>
      </c>
      <c r="D3922" s="1" t="s">
        <v>533</v>
      </c>
      <c r="E3922" s="1" t="s">
        <v>3893</v>
      </c>
      <c r="F3922" s="1" t="s">
        <v>14698</v>
      </c>
      <c r="G3922" s="1" t="s">
        <v>4389</v>
      </c>
      <c r="H3922" s="1" t="s">
        <v>3604</v>
      </c>
      <c r="I3922" s="1" t="s">
        <v>14699</v>
      </c>
      <c r="J3922" s="1" t="s">
        <v>3606</v>
      </c>
      <c r="K3922" s="1" t="s">
        <v>14700</v>
      </c>
      <c r="L3922" s="1"/>
      <c r="M3922" s="1"/>
    </row>
    <row x14ac:dyDescent="0.25" r="3923" customHeight="1" ht="18.75">
      <c r="A3923" s="1" t="s">
        <v>7833</v>
      </c>
      <c r="B3923" s="1" t="s">
        <v>8291</v>
      </c>
      <c r="C3923" s="1" t="s">
        <v>4488</v>
      </c>
      <c r="D3923" s="1" t="s">
        <v>8373</v>
      </c>
      <c r="E3923" s="1" t="s">
        <v>8096</v>
      </c>
      <c r="F3923" s="1" t="s">
        <v>14701</v>
      </c>
      <c r="G3923" s="1" t="s">
        <v>13774</v>
      </c>
      <c r="H3923" s="1" t="s">
        <v>3604</v>
      </c>
      <c r="I3923" s="1" t="s">
        <v>14702</v>
      </c>
      <c r="J3923" s="1" t="s">
        <v>3606</v>
      </c>
      <c r="K3923" s="1" t="s">
        <v>14703</v>
      </c>
      <c r="L3923" s="1"/>
      <c r="M3923" s="1"/>
    </row>
    <row x14ac:dyDescent="0.25" r="3924" customHeight="1" ht="18.75">
      <c r="A3924" s="1" t="s">
        <v>7833</v>
      </c>
      <c r="B3924" s="1" t="s">
        <v>13754</v>
      </c>
      <c r="C3924" s="1" t="s">
        <v>3619</v>
      </c>
      <c r="D3924" s="1" t="s">
        <v>3610</v>
      </c>
      <c r="E3924" s="1" t="s">
        <v>3981</v>
      </c>
      <c r="F3924" s="1" t="s">
        <v>1642</v>
      </c>
      <c r="G3924" s="1" t="s">
        <v>14624</v>
      </c>
      <c r="H3924" s="1" t="s">
        <v>3604</v>
      </c>
      <c r="I3924" s="1" t="s">
        <v>14704</v>
      </c>
      <c r="J3924" s="1" t="s">
        <v>3606</v>
      </c>
      <c r="K3924" s="1" t="s">
        <v>14705</v>
      </c>
      <c r="L3924" s="1"/>
      <c r="M3924" s="1"/>
    </row>
    <row x14ac:dyDescent="0.25" r="3925" customHeight="1" ht="18.75">
      <c r="A3925" s="1" t="s">
        <v>7833</v>
      </c>
      <c r="B3925" s="1" t="s">
        <v>8291</v>
      </c>
      <c r="C3925" s="1" t="s">
        <v>4488</v>
      </c>
      <c r="D3925" s="1" t="s">
        <v>3610</v>
      </c>
      <c r="E3925" s="1" t="s">
        <v>8096</v>
      </c>
      <c r="F3925" s="1" t="s">
        <v>14706</v>
      </c>
      <c r="G3925" s="1" t="s">
        <v>14707</v>
      </c>
      <c r="H3925" s="1" t="s">
        <v>3604</v>
      </c>
      <c r="I3925" s="1" t="s">
        <v>14708</v>
      </c>
      <c r="J3925" s="1" t="s">
        <v>3606</v>
      </c>
      <c r="K3925" s="1" t="s">
        <v>14709</v>
      </c>
      <c r="L3925" s="1"/>
      <c r="M3925" s="1"/>
    </row>
    <row x14ac:dyDescent="0.25" r="3926" customHeight="1" ht="18.75">
      <c r="A3926" s="1" t="s">
        <v>7833</v>
      </c>
      <c r="B3926" s="1" t="s">
        <v>13754</v>
      </c>
      <c r="C3926" s="1" t="s">
        <v>3619</v>
      </c>
      <c r="D3926" s="1" t="s">
        <v>3610</v>
      </c>
      <c r="E3926" s="1" t="s">
        <v>3981</v>
      </c>
      <c r="F3926" s="1" t="s">
        <v>1643</v>
      </c>
      <c r="G3926" s="1" t="s">
        <v>14565</v>
      </c>
      <c r="H3926" s="1" t="s">
        <v>3604</v>
      </c>
      <c r="I3926" s="1" t="s">
        <v>14710</v>
      </c>
      <c r="J3926" s="1" t="s">
        <v>3606</v>
      </c>
      <c r="K3926" s="1" t="s">
        <v>14071</v>
      </c>
      <c r="L3926" s="1"/>
      <c r="M3926" s="1"/>
    </row>
    <row x14ac:dyDescent="0.25" r="3927" customHeight="1" ht="18.75">
      <c r="A3927" s="1" t="s">
        <v>7833</v>
      </c>
      <c r="B3927" s="1" t="s">
        <v>8291</v>
      </c>
      <c r="C3927" s="1" t="s">
        <v>4488</v>
      </c>
      <c r="D3927" s="1" t="s">
        <v>533</v>
      </c>
      <c r="E3927" s="1" t="s">
        <v>8096</v>
      </c>
      <c r="F3927" s="1" t="s">
        <v>14711</v>
      </c>
      <c r="G3927" s="1" t="s">
        <v>14712</v>
      </c>
      <c r="H3927" s="1" t="s">
        <v>3604</v>
      </c>
      <c r="I3927" s="1" t="s">
        <v>14713</v>
      </c>
      <c r="J3927" s="1" t="s">
        <v>3606</v>
      </c>
      <c r="K3927" s="1" t="s">
        <v>14714</v>
      </c>
      <c r="L3927" s="1"/>
      <c r="M3927" s="1"/>
    </row>
    <row x14ac:dyDescent="0.25" r="3928" customHeight="1" ht="18.75">
      <c r="A3928" s="1" t="s">
        <v>7833</v>
      </c>
      <c r="B3928" s="1" t="s">
        <v>13754</v>
      </c>
      <c r="C3928" s="1" t="s">
        <v>3619</v>
      </c>
      <c r="D3928" s="1" t="s">
        <v>3610</v>
      </c>
      <c r="E3928" s="1" t="s">
        <v>3981</v>
      </c>
      <c r="F3928" s="1" t="s">
        <v>1644</v>
      </c>
      <c r="G3928" s="1" t="s">
        <v>14565</v>
      </c>
      <c r="H3928" s="1" t="s">
        <v>3604</v>
      </c>
      <c r="I3928" s="1" t="s">
        <v>14715</v>
      </c>
      <c r="J3928" s="1" t="s">
        <v>3606</v>
      </c>
      <c r="K3928" s="1" t="s">
        <v>14074</v>
      </c>
      <c r="L3928" s="1"/>
      <c r="M3928" s="1"/>
    </row>
    <row x14ac:dyDescent="0.25" r="3929" customHeight="1" ht="18.75">
      <c r="A3929" s="1" t="s">
        <v>7833</v>
      </c>
      <c r="B3929" s="1" t="s">
        <v>8291</v>
      </c>
      <c r="C3929" s="1" t="s">
        <v>4488</v>
      </c>
      <c r="D3929" s="1" t="s">
        <v>3610</v>
      </c>
      <c r="E3929" s="1" t="s">
        <v>8096</v>
      </c>
      <c r="F3929" s="1" t="s">
        <v>14716</v>
      </c>
      <c r="G3929" s="1" t="s">
        <v>14712</v>
      </c>
      <c r="H3929" s="1" t="s">
        <v>3604</v>
      </c>
      <c r="I3929" s="1" t="s">
        <v>14717</v>
      </c>
      <c r="J3929" s="1" t="s">
        <v>3606</v>
      </c>
      <c r="K3929" s="1" t="s">
        <v>14718</v>
      </c>
      <c r="L3929" s="1"/>
      <c r="M3929" s="1"/>
    </row>
    <row x14ac:dyDescent="0.25" r="3930" customHeight="1" ht="18.75">
      <c r="A3930" s="1" t="s">
        <v>7833</v>
      </c>
      <c r="B3930" s="1" t="s">
        <v>13754</v>
      </c>
      <c r="C3930" s="1" t="s">
        <v>3619</v>
      </c>
      <c r="D3930" s="1" t="s">
        <v>3610</v>
      </c>
      <c r="E3930" s="1" t="s">
        <v>3981</v>
      </c>
      <c r="F3930" s="1" t="s">
        <v>1645</v>
      </c>
      <c r="G3930" s="1" t="s">
        <v>14641</v>
      </c>
      <c r="H3930" s="1" t="s">
        <v>3604</v>
      </c>
      <c r="I3930" s="1" t="s">
        <v>14719</v>
      </c>
      <c r="J3930" s="1" t="s">
        <v>3606</v>
      </c>
      <c r="K3930" s="1" t="s">
        <v>14720</v>
      </c>
      <c r="L3930" s="1"/>
      <c r="M3930" s="1"/>
    </row>
    <row x14ac:dyDescent="0.25" r="3931" customHeight="1" ht="18.75">
      <c r="A3931" s="1" t="s">
        <v>7833</v>
      </c>
      <c r="B3931" s="1" t="s">
        <v>8291</v>
      </c>
      <c r="C3931" s="1" t="s">
        <v>4488</v>
      </c>
      <c r="D3931" s="1" t="s">
        <v>3610</v>
      </c>
      <c r="E3931" s="1" t="s">
        <v>8096</v>
      </c>
      <c r="F3931" s="1" t="s">
        <v>14721</v>
      </c>
      <c r="G3931" s="1" t="s">
        <v>14712</v>
      </c>
      <c r="H3931" s="1" t="s">
        <v>3604</v>
      </c>
      <c r="I3931" s="1" t="s">
        <v>14722</v>
      </c>
      <c r="J3931" s="1" t="s">
        <v>3606</v>
      </c>
      <c r="K3931" s="1" t="s">
        <v>14723</v>
      </c>
      <c r="L3931" s="1"/>
      <c r="M3931" s="1"/>
    </row>
    <row x14ac:dyDescent="0.25" r="3932" customHeight="1" ht="18.75">
      <c r="A3932" s="1" t="s">
        <v>7833</v>
      </c>
      <c r="B3932" s="1" t="s">
        <v>8291</v>
      </c>
      <c r="C3932" s="1" t="s">
        <v>4488</v>
      </c>
      <c r="D3932" s="1" t="s">
        <v>3610</v>
      </c>
      <c r="E3932" s="1" t="s">
        <v>8096</v>
      </c>
      <c r="F3932" s="1" t="s">
        <v>14724</v>
      </c>
      <c r="G3932" s="1" t="s">
        <v>14712</v>
      </c>
      <c r="H3932" s="1" t="s">
        <v>3604</v>
      </c>
      <c r="I3932" s="1" t="s">
        <v>14725</v>
      </c>
      <c r="J3932" s="1" t="s">
        <v>3606</v>
      </c>
      <c r="K3932" s="1" t="s">
        <v>14726</v>
      </c>
      <c r="L3932" s="1"/>
      <c r="M3932" s="1"/>
    </row>
    <row x14ac:dyDescent="0.25" r="3933" customHeight="1" ht="18.75">
      <c r="A3933" s="1" t="s">
        <v>7833</v>
      </c>
      <c r="B3933" s="1" t="s">
        <v>8291</v>
      </c>
      <c r="C3933" s="1" t="s">
        <v>4488</v>
      </c>
      <c r="D3933" s="1" t="s">
        <v>3695</v>
      </c>
      <c r="E3933" s="1" t="s">
        <v>8096</v>
      </c>
      <c r="F3933" s="1" t="s">
        <v>14727</v>
      </c>
      <c r="G3933" s="1" t="s">
        <v>14712</v>
      </c>
      <c r="H3933" s="1" t="s">
        <v>3604</v>
      </c>
      <c r="I3933" s="1" t="s">
        <v>14728</v>
      </c>
      <c r="J3933" s="1" t="s">
        <v>3606</v>
      </c>
      <c r="K3933" s="1" t="s">
        <v>14729</v>
      </c>
      <c r="L3933" s="1"/>
      <c r="M3933" s="1"/>
    </row>
    <row x14ac:dyDescent="0.25" r="3934" customHeight="1" ht="18.75">
      <c r="A3934" s="1" t="s">
        <v>7833</v>
      </c>
      <c r="B3934" s="1" t="s">
        <v>8291</v>
      </c>
      <c r="C3934" s="1" t="s">
        <v>4488</v>
      </c>
      <c r="D3934" s="1" t="s">
        <v>533</v>
      </c>
      <c r="E3934" s="1" t="s">
        <v>8096</v>
      </c>
      <c r="F3934" s="1" t="s">
        <v>14730</v>
      </c>
      <c r="G3934" s="1" t="s">
        <v>14731</v>
      </c>
      <c r="H3934" s="1" t="s">
        <v>3604</v>
      </c>
      <c r="I3934" s="1" t="s">
        <v>14732</v>
      </c>
      <c r="J3934" s="1" t="s">
        <v>3606</v>
      </c>
      <c r="K3934" s="1" t="s">
        <v>14238</v>
      </c>
      <c r="L3934" s="1"/>
      <c r="M3934" s="1"/>
    </row>
    <row x14ac:dyDescent="0.25" r="3935" customHeight="1" ht="18.75">
      <c r="A3935" s="1" t="s">
        <v>7833</v>
      </c>
      <c r="B3935" s="1" t="s">
        <v>8291</v>
      </c>
      <c r="C3935" s="1" t="s">
        <v>4488</v>
      </c>
      <c r="D3935" s="1" t="s">
        <v>3610</v>
      </c>
      <c r="E3935" s="1" t="s">
        <v>8096</v>
      </c>
      <c r="F3935" s="1" t="s">
        <v>14733</v>
      </c>
      <c r="G3935" s="1" t="s">
        <v>14731</v>
      </c>
      <c r="H3935" s="1" t="s">
        <v>3604</v>
      </c>
      <c r="I3935" s="1" t="s">
        <v>14734</v>
      </c>
      <c r="J3935" s="1" t="s">
        <v>3606</v>
      </c>
      <c r="K3935" s="1" t="s">
        <v>14241</v>
      </c>
      <c r="L3935" s="1"/>
      <c r="M3935" s="1"/>
    </row>
    <row x14ac:dyDescent="0.25" r="3936" customHeight="1" ht="18.75">
      <c r="A3936" s="1" t="s">
        <v>3693</v>
      </c>
      <c r="B3936" s="1" t="s">
        <v>4091</v>
      </c>
      <c r="C3936" s="1" t="s">
        <v>3600</v>
      </c>
      <c r="D3936" s="1" t="s">
        <v>533</v>
      </c>
      <c r="E3936" s="1" t="s">
        <v>3893</v>
      </c>
      <c r="F3936" s="1" t="s">
        <v>14735</v>
      </c>
      <c r="G3936" s="1" t="s">
        <v>4438</v>
      </c>
      <c r="H3936" s="1" t="s">
        <v>3604</v>
      </c>
      <c r="I3936" s="1" t="s">
        <v>14736</v>
      </c>
      <c r="J3936" s="1" t="s">
        <v>3606</v>
      </c>
      <c r="K3936" s="1" t="s">
        <v>14737</v>
      </c>
      <c r="L3936" s="1"/>
      <c r="M3936" s="1"/>
    </row>
    <row x14ac:dyDescent="0.25" r="3937" customHeight="1" ht="18.75">
      <c r="A3937" s="1" t="s">
        <v>7833</v>
      </c>
      <c r="B3937" s="1" t="s">
        <v>8291</v>
      </c>
      <c r="C3937" s="1" t="s">
        <v>4488</v>
      </c>
      <c r="D3937" s="1" t="s">
        <v>3610</v>
      </c>
      <c r="E3937" s="1" t="s">
        <v>8096</v>
      </c>
      <c r="F3937" s="1" t="s">
        <v>14738</v>
      </c>
      <c r="G3937" s="1" t="s">
        <v>14731</v>
      </c>
      <c r="H3937" s="1" t="s">
        <v>3604</v>
      </c>
      <c r="I3937" s="1" t="s">
        <v>14739</v>
      </c>
      <c r="J3937" s="1" t="s">
        <v>3606</v>
      </c>
      <c r="K3937" s="1" t="s">
        <v>14274</v>
      </c>
      <c r="L3937" s="1"/>
      <c r="M3937" s="1"/>
    </row>
    <row x14ac:dyDescent="0.25" r="3938" customHeight="1" ht="18.75">
      <c r="A3938" s="1" t="s">
        <v>7833</v>
      </c>
      <c r="B3938" s="1" t="s">
        <v>8291</v>
      </c>
      <c r="C3938" s="1" t="s">
        <v>4488</v>
      </c>
      <c r="D3938" s="1" t="s">
        <v>3610</v>
      </c>
      <c r="E3938" s="1" t="s">
        <v>8096</v>
      </c>
      <c r="F3938" s="1" t="s">
        <v>14740</v>
      </c>
      <c r="G3938" s="1" t="s">
        <v>14731</v>
      </c>
      <c r="H3938" s="1" t="s">
        <v>3604</v>
      </c>
      <c r="I3938" s="1" t="s">
        <v>14741</v>
      </c>
      <c r="J3938" s="1" t="s">
        <v>3606</v>
      </c>
      <c r="K3938" s="1" t="s">
        <v>14742</v>
      </c>
      <c r="L3938" s="1"/>
      <c r="M3938" s="1"/>
    </row>
    <row x14ac:dyDescent="0.25" r="3939" customHeight="1" ht="18.75">
      <c r="A3939" s="1" t="s">
        <v>7833</v>
      </c>
      <c r="B3939" s="1" t="s">
        <v>8291</v>
      </c>
      <c r="C3939" s="1" t="s">
        <v>4488</v>
      </c>
      <c r="D3939" s="1" t="s">
        <v>3695</v>
      </c>
      <c r="E3939" s="1" t="s">
        <v>8096</v>
      </c>
      <c r="F3939" s="1" t="s">
        <v>14743</v>
      </c>
      <c r="G3939" s="1" t="s">
        <v>14731</v>
      </c>
      <c r="H3939" s="1" t="s">
        <v>3604</v>
      </c>
      <c r="I3939" s="1" t="s">
        <v>14744</v>
      </c>
      <c r="J3939" s="1" t="s">
        <v>3606</v>
      </c>
      <c r="K3939" s="1" t="s">
        <v>14280</v>
      </c>
      <c r="L3939" s="1"/>
      <c r="M3939" s="1"/>
    </row>
    <row x14ac:dyDescent="0.25" r="3940" customHeight="1" ht="18.75">
      <c r="A3940" s="1" t="s">
        <v>3693</v>
      </c>
      <c r="B3940" s="1" t="s">
        <v>4091</v>
      </c>
      <c r="C3940" s="1" t="s">
        <v>3600</v>
      </c>
      <c r="D3940" s="1" t="s">
        <v>533</v>
      </c>
      <c r="E3940" s="1" t="s">
        <v>3893</v>
      </c>
      <c r="F3940" s="1" t="s">
        <v>14745</v>
      </c>
      <c r="G3940" s="1" t="s">
        <v>5882</v>
      </c>
      <c r="H3940" s="1" t="s">
        <v>3604</v>
      </c>
      <c r="I3940" s="1" t="s">
        <v>14746</v>
      </c>
      <c r="J3940" s="1" t="s">
        <v>3606</v>
      </c>
      <c r="K3940" s="1" t="s">
        <v>14747</v>
      </c>
      <c r="L3940" s="1"/>
      <c r="M3940" s="1"/>
    </row>
    <row x14ac:dyDescent="0.25" r="3941" customHeight="1" ht="18.75">
      <c r="A3941" s="1" t="s">
        <v>7833</v>
      </c>
      <c r="B3941" s="1" t="s">
        <v>8291</v>
      </c>
      <c r="C3941" s="1" t="s">
        <v>4488</v>
      </c>
      <c r="D3941" s="1" t="s">
        <v>7891</v>
      </c>
      <c r="E3941" s="1" t="s">
        <v>3664</v>
      </c>
      <c r="F3941" s="1" t="s">
        <v>14748</v>
      </c>
      <c r="G3941" s="1" t="s">
        <v>8296</v>
      </c>
      <c r="H3941" s="1" t="s">
        <v>3604</v>
      </c>
      <c r="I3941" s="1" t="s">
        <v>14749</v>
      </c>
      <c r="J3941" s="1" t="s">
        <v>3606</v>
      </c>
      <c r="K3941" s="1" t="s">
        <v>14421</v>
      </c>
      <c r="L3941" s="1"/>
      <c r="M3941" s="1"/>
    </row>
    <row x14ac:dyDescent="0.25" r="3942" customHeight="1" ht="18.75">
      <c r="A3942" s="1" t="s">
        <v>7833</v>
      </c>
      <c r="B3942" s="1" t="s">
        <v>8291</v>
      </c>
      <c r="C3942" s="1" t="s">
        <v>4488</v>
      </c>
      <c r="D3942" s="1" t="s">
        <v>7891</v>
      </c>
      <c r="E3942" s="1" t="s">
        <v>3664</v>
      </c>
      <c r="F3942" s="1" t="s">
        <v>14750</v>
      </c>
      <c r="G3942" s="1" t="s">
        <v>8293</v>
      </c>
      <c r="H3942" s="1" t="s">
        <v>3604</v>
      </c>
      <c r="I3942" s="1" t="s">
        <v>14751</v>
      </c>
      <c r="J3942" s="1" t="s">
        <v>3606</v>
      </c>
      <c r="K3942" s="1" t="s">
        <v>14421</v>
      </c>
      <c r="L3942" s="1"/>
      <c r="M3942" s="1"/>
    </row>
    <row x14ac:dyDescent="0.25" r="3943" customHeight="1" ht="18.75">
      <c r="A3943" s="1" t="s">
        <v>3693</v>
      </c>
      <c r="B3943" s="1" t="s">
        <v>3942</v>
      </c>
      <c r="C3943" s="1" t="s">
        <v>3600</v>
      </c>
      <c r="D3943" s="1" t="s">
        <v>533</v>
      </c>
      <c r="E3943" s="1" t="s">
        <v>3664</v>
      </c>
      <c r="F3943" s="1" t="s">
        <v>14752</v>
      </c>
      <c r="G3943" s="1" t="s">
        <v>4212</v>
      </c>
      <c r="H3943" s="1" t="s">
        <v>3604</v>
      </c>
      <c r="I3943" s="1" t="s">
        <v>14753</v>
      </c>
      <c r="J3943" s="1" t="s">
        <v>3606</v>
      </c>
      <c r="K3943" s="1" t="s">
        <v>14754</v>
      </c>
      <c r="L3943" s="1"/>
      <c r="M3943" s="1"/>
    </row>
    <row x14ac:dyDescent="0.25" r="3944" customHeight="1" ht="18.75">
      <c r="A3944" s="1" t="s">
        <v>7833</v>
      </c>
      <c r="B3944" s="1" t="s">
        <v>8291</v>
      </c>
      <c r="C3944" s="1" t="s">
        <v>4488</v>
      </c>
      <c r="D3944" s="1" t="s">
        <v>7891</v>
      </c>
      <c r="E3944" s="1" t="s">
        <v>3664</v>
      </c>
      <c r="F3944" s="1" t="s">
        <v>14755</v>
      </c>
      <c r="G3944" s="1" t="s">
        <v>14712</v>
      </c>
      <c r="H3944" s="1" t="s">
        <v>3604</v>
      </c>
      <c r="I3944" s="1" t="s">
        <v>14756</v>
      </c>
      <c r="J3944" s="1" t="s">
        <v>3606</v>
      </c>
      <c r="K3944" s="1" t="s">
        <v>14529</v>
      </c>
      <c r="L3944" s="1"/>
      <c r="M3944" s="1"/>
    </row>
    <row x14ac:dyDescent="0.25" r="3945" customHeight="1" ht="18.75">
      <c r="A3945" s="1" t="s">
        <v>3693</v>
      </c>
      <c r="B3945" s="1" t="s">
        <v>4091</v>
      </c>
      <c r="C3945" s="1" t="s">
        <v>3600</v>
      </c>
      <c r="D3945" s="1" t="s">
        <v>533</v>
      </c>
      <c r="E3945" s="1" t="s">
        <v>3893</v>
      </c>
      <c r="F3945" s="1" t="s">
        <v>14757</v>
      </c>
      <c r="G3945" s="1" t="s">
        <v>4099</v>
      </c>
      <c r="H3945" s="1" t="s">
        <v>3604</v>
      </c>
      <c r="I3945" s="1" t="s">
        <v>14758</v>
      </c>
      <c r="J3945" s="1" t="s">
        <v>3606</v>
      </c>
      <c r="K3945" s="1" t="s">
        <v>14759</v>
      </c>
      <c r="L3945" s="1"/>
      <c r="M3945" s="1"/>
    </row>
    <row x14ac:dyDescent="0.25" r="3946" customHeight="1" ht="18.75">
      <c r="A3946" s="1" t="s">
        <v>3693</v>
      </c>
      <c r="B3946" s="1" t="s">
        <v>4091</v>
      </c>
      <c r="C3946" s="1" t="s">
        <v>3600</v>
      </c>
      <c r="D3946" s="1" t="s">
        <v>533</v>
      </c>
      <c r="E3946" s="1" t="s">
        <v>3664</v>
      </c>
      <c r="F3946" s="1" t="s">
        <v>14760</v>
      </c>
      <c r="G3946" s="1" t="s">
        <v>5682</v>
      </c>
      <c r="H3946" s="1" t="s">
        <v>3604</v>
      </c>
      <c r="I3946" s="1" t="s">
        <v>14761</v>
      </c>
      <c r="J3946" s="1" t="s">
        <v>3606</v>
      </c>
      <c r="K3946" s="1" t="s">
        <v>14762</v>
      </c>
      <c r="L3946" s="1"/>
      <c r="M3946" s="1"/>
    </row>
    <row x14ac:dyDescent="0.25" r="3947" customHeight="1" ht="18.75">
      <c r="A3947" s="1" t="s">
        <v>7833</v>
      </c>
      <c r="B3947" s="1" t="s">
        <v>14256</v>
      </c>
      <c r="C3947" s="1" t="s">
        <v>4488</v>
      </c>
      <c r="D3947" s="1" t="s">
        <v>3601</v>
      </c>
      <c r="E3947" s="1" t="s">
        <v>3981</v>
      </c>
      <c r="F3947" s="1" t="s">
        <v>14763</v>
      </c>
      <c r="G3947" s="1" t="s">
        <v>14680</v>
      </c>
      <c r="H3947" s="1" t="s">
        <v>3604</v>
      </c>
      <c r="I3947" s="1" t="s">
        <v>14764</v>
      </c>
      <c r="J3947" s="1" t="s">
        <v>3606</v>
      </c>
      <c r="K3947" s="1" t="s">
        <v>14765</v>
      </c>
      <c r="L3947" s="1"/>
      <c r="M3947" s="1"/>
    </row>
    <row x14ac:dyDescent="0.25" r="3948" customHeight="1" ht="18.75">
      <c r="A3948" s="1" t="s">
        <v>3693</v>
      </c>
      <c r="B3948" s="1" t="s">
        <v>4091</v>
      </c>
      <c r="C3948" s="1" t="s">
        <v>3600</v>
      </c>
      <c r="D3948" s="1" t="s">
        <v>533</v>
      </c>
      <c r="E3948" s="1" t="s">
        <v>3664</v>
      </c>
      <c r="F3948" s="1" t="s">
        <v>14766</v>
      </c>
      <c r="G3948" s="1" t="s">
        <v>4706</v>
      </c>
      <c r="H3948" s="1" t="s">
        <v>3604</v>
      </c>
      <c r="I3948" s="1" t="s">
        <v>14767</v>
      </c>
      <c r="J3948" s="1" t="s">
        <v>3606</v>
      </c>
      <c r="K3948" s="1" t="s">
        <v>14768</v>
      </c>
      <c r="L3948" s="1"/>
      <c r="M3948" s="1"/>
    </row>
    <row x14ac:dyDescent="0.25" r="3949" customHeight="1" ht="18.75">
      <c r="A3949" s="1" t="s">
        <v>7833</v>
      </c>
      <c r="B3949" s="1" t="s">
        <v>14256</v>
      </c>
      <c r="C3949" s="1" t="s">
        <v>4488</v>
      </c>
      <c r="D3949" s="1" t="s">
        <v>3601</v>
      </c>
      <c r="E3949" s="1" t="s">
        <v>3981</v>
      </c>
      <c r="F3949" s="1" t="s">
        <v>14769</v>
      </c>
      <c r="G3949" s="1" t="s">
        <v>14680</v>
      </c>
      <c r="H3949" s="1" t="s">
        <v>3604</v>
      </c>
      <c r="I3949" s="1" t="s">
        <v>14770</v>
      </c>
      <c r="J3949" s="1" t="s">
        <v>3606</v>
      </c>
      <c r="K3949" s="1" t="s">
        <v>14771</v>
      </c>
      <c r="L3949" s="1"/>
      <c r="M3949" s="1"/>
    </row>
    <row x14ac:dyDescent="0.25" r="3950" customHeight="1" ht="18.75">
      <c r="A3950" s="1" t="s">
        <v>3693</v>
      </c>
      <c r="B3950" s="1" t="s">
        <v>4247</v>
      </c>
      <c r="C3950" s="1" t="s">
        <v>3600</v>
      </c>
      <c r="D3950" s="1" t="s">
        <v>533</v>
      </c>
      <c r="E3950" s="1" t="s">
        <v>3664</v>
      </c>
      <c r="F3950" s="1" t="s">
        <v>14772</v>
      </c>
      <c r="G3950" s="1" t="s">
        <v>4249</v>
      </c>
      <c r="H3950" s="1" t="s">
        <v>3604</v>
      </c>
      <c r="I3950" s="1" t="s">
        <v>14773</v>
      </c>
      <c r="J3950" s="1" t="s">
        <v>3606</v>
      </c>
      <c r="K3950" s="1" t="s">
        <v>14774</v>
      </c>
      <c r="L3950" s="1"/>
      <c r="M3950" s="1"/>
    </row>
    <row x14ac:dyDescent="0.25" r="3951" customHeight="1" ht="18.75">
      <c r="A3951" s="1" t="s">
        <v>3693</v>
      </c>
      <c r="B3951" s="1" t="s">
        <v>4083</v>
      </c>
      <c r="C3951" s="1" t="s">
        <v>3600</v>
      </c>
      <c r="D3951" s="1" t="s">
        <v>533</v>
      </c>
      <c r="E3951" s="1" t="s">
        <v>3664</v>
      </c>
      <c r="F3951" s="1" t="s">
        <v>14775</v>
      </c>
      <c r="G3951" s="1" t="s">
        <v>5695</v>
      </c>
      <c r="H3951" s="1" t="s">
        <v>3604</v>
      </c>
      <c r="I3951" s="1" t="s">
        <v>14776</v>
      </c>
      <c r="J3951" s="1" t="s">
        <v>3606</v>
      </c>
      <c r="K3951" s="1" t="s">
        <v>14777</v>
      </c>
      <c r="L3951" s="1"/>
      <c r="M3951" s="1"/>
    </row>
    <row x14ac:dyDescent="0.25" r="3952" customHeight="1" ht="18.75">
      <c r="A3952" s="1" t="s">
        <v>3693</v>
      </c>
      <c r="B3952" s="1" t="s">
        <v>5598</v>
      </c>
      <c r="C3952" s="1" t="s">
        <v>3600</v>
      </c>
      <c r="D3952" s="1" t="s">
        <v>533</v>
      </c>
      <c r="E3952" s="1" t="s">
        <v>3981</v>
      </c>
      <c r="F3952" s="1" t="s">
        <v>14778</v>
      </c>
      <c r="G3952" s="1" t="s">
        <v>10230</v>
      </c>
      <c r="H3952" s="1" t="s">
        <v>3604</v>
      </c>
      <c r="I3952" s="1" t="s">
        <v>14779</v>
      </c>
      <c r="J3952" s="1" t="s">
        <v>3615</v>
      </c>
      <c r="K3952" s="1" t="s">
        <v>14780</v>
      </c>
      <c r="L3952" s="1"/>
      <c r="M3952" s="1"/>
    </row>
    <row x14ac:dyDescent="0.25" r="3953" customHeight="1" ht="18.75">
      <c r="A3953" s="1" t="s">
        <v>3693</v>
      </c>
      <c r="B3953" s="1" t="s">
        <v>4083</v>
      </c>
      <c r="C3953" s="1" t="s">
        <v>3600</v>
      </c>
      <c r="D3953" s="1" t="s">
        <v>533</v>
      </c>
      <c r="E3953" s="1" t="s">
        <v>3611</v>
      </c>
      <c r="F3953" s="1" t="s">
        <v>14781</v>
      </c>
      <c r="G3953" s="1" t="s">
        <v>5695</v>
      </c>
      <c r="H3953" s="1" t="s">
        <v>3604</v>
      </c>
      <c r="I3953" s="1" t="s">
        <v>14782</v>
      </c>
      <c r="J3953" s="1" t="s">
        <v>3615</v>
      </c>
      <c r="K3953" s="1" t="s">
        <v>14783</v>
      </c>
      <c r="L3953" s="1"/>
      <c r="M3953" s="1"/>
    </row>
    <row x14ac:dyDescent="0.25" r="3954" customHeight="1" ht="18.75">
      <c r="A3954" s="1" t="s">
        <v>3693</v>
      </c>
      <c r="B3954" s="1" t="s">
        <v>4083</v>
      </c>
      <c r="C3954" s="1" t="s">
        <v>3600</v>
      </c>
      <c r="D3954" s="1" t="s">
        <v>533</v>
      </c>
      <c r="E3954" s="1" t="s">
        <v>3611</v>
      </c>
      <c r="F3954" s="1" t="s">
        <v>14784</v>
      </c>
      <c r="G3954" s="1" t="s">
        <v>5695</v>
      </c>
      <c r="H3954" s="1" t="s">
        <v>3604</v>
      </c>
      <c r="I3954" s="1" t="s">
        <v>14785</v>
      </c>
      <c r="J3954" s="1" t="s">
        <v>3615</v>
      </c>
      <c r="K3954" s="1" t="s">
        <v>14786</v>
      </c>
      <c r="L3954" s="1"/>
      <c r="M3954" s="1"/>
    </row>
    <row x14ac:dyDescent="0.25" r="3955" customHeight="1" ht="18.75">
      <c r="A3955" s="1" t="s">
        <v>3693</v>
      </c>
      <c r="B3955" s="1" t="s">
        <v>4083</v>
      </c>
      <c r="C3955" s="1" t="s">
        <v>3600</v>
      </c>
      <c r="D3955" s="1" t="s">
        <v>533</v>
      </c>
      <c r="E3955" s="1" t="s">
        <v>3611</v>
      </c>
      <c r="F3955" s="1" t="s">
        <v>14787</v>
      </c>
      <c r="G3955" s="1" t="s">
        <v>5204</v>
      </c>
      <c r="H3955" s="1" t="s">
        <v>3604</v>
      </c>
      <c r="I3955" s="1" t="s">
        <v>14788</v>
      </c>
      <c r="J3955" s="1" t="s">
        <v>3615</v>
      </c>
      <c r="K3955" s="1" t="s">
        <v>14789</v>
      </c>
      <c r="L3955" s="1"/>
      <c r="M3955" s="1"/>
    </row>
    <row x14ac:dyDescent="0.25" r="3956" customHeight="1" ht="18.75">
      <c r="A3956" s="1" t="s">
        <v>7833</v>
      </c>
      <c r="B3956" s="1" t="s">
        <v>8269</v>
      </c>
      <c r="C3956" s="1" t="s">
        <v>4488</v>
      </c>
      <c r="D3956" s="1" t="s">
        <v>533</v>
      </c>
      <c r="E3956" s="1" t="s">
        <v>8096</v>
      </c>
      <c r="F3956" s="1" t="s">
        <v>14790</v>
      </c>
      <c r="G3956" s="1" t="s">
        <v>14791</v>
      </c>
      <c r="H3956" s="1" t="s">
        <v>3604</v>
      </c>
      <c r="I3956" s="1" t="s">
        <v>14792</v>
      </c>
      <c r="J3956" s="1" t="s">
        <v>3606</v>
      </c>
      <c r="K3956" s="1" t="s">
        <v>14222</v>
      </c>
      <c r="L3956" s="1"/>
      <c r="M3956" s="1"/>
    </row>
    <row x14ac:dyDescent="0.25" r="3957" customHeight="1" ht="18.75">
      <c r="A3957" s="1" t="s">
        <v>7833</v>
      </c>
      <c r="B3957" s="1" t="s">
        <v>8269</v>
      </c>
      <c r="C3957" s="1" t="s">
        <v>4488</v>
      </c>
      <c r="D3957" s="1" t="s">
        <v>3610</v>
      </c>
      <c r="E3957" s="1" t="s">
        <v>8096</v>
      </c>
      <c r="F3957" s="1" t="s">
        <v>14793</v>
      </c>
      <c r="G3957" s="1" t="s">
        <v>14791</v>
      </c>
      <c r="H3957" s="1" t="s">
        <v>3604</v>
      </c>
      <c r="I3957" s="1" t="s">
        <v>14794</v>
      </c>
      <c r="J3957" s="1" t="s">
        <v>3606</v>
      </c>
      <c r="K3957" s="1" t="s">
        <v>14225</v>
      </c>
      <c r="L3957" s="1"/>
      <c r="M3957" s="1"/>
    </row>
    <row x14ac:dyDescent="0.25" r="3958" customHeight="1" ht="18.75">
      <c r="A3958" s="1" t="s">
        <v>7833</v>
      </c>
      <c r="B3958" s="1" t="s">
        <v>8269</v>
      </c>
      <c r="C3958" s="1" t="s">
        <v>4488</v>
      </c>
      <c r="D3958" s="1" t="s">
        <v>3610</v>
      </c>
      <c r="E3958" s="1" t="s">
        <v>8096</v>
      </c>
      <c r="F3958" s="1" t="s">
        <v>14795</v>
      </c>
      <c r="G3958" s="1" t="s">
        <v>14791</v>
      </c>
      <c r="H3958" s="1" t="s">
        <v>3604</v>
      </c>
      <c r="I3958" s="1" t="s">
        <v>14796</v>
      </c>
      <c r="J3958" s="1" t="s">
        <v>3606</v>
      </c>
      <c r="K3958" s="1" t="s">
        <v>14228</v>
      </c>
      <c r="L3958" s="1"/>
      <c r="M3958" s="1"/>
    </row>
    <row x14ac:dyDescent="0.25" r="3959" customHeight="1" ht="18.75">
      <c r="A3959" s="1" t="s">
        <v>7833</v>
      </c>
      <c r="B3959" s="1" t="s">
        <v>8269</v>
      </c>
      <c r="C3959" s="1" t="s">
        <v>4488</v>
      </c>
      <c r="D3959" s="1" t="s">
        <v>3610</v>
      </c>
      <c r="E3959" s="1" t="s">
        <v>8096</v>
      </c>
      <c r="F3959" s="1" t="s">
        <v>14797</v>
      </c>
      <c r="G3959" s="1" t="s">
        <v>14791</v>
      </c>
      <c r="H3959" s="1" t="s">
        <v>3604</v>
      </c>
      <c r="I3959" s="1" t="s">
        <v>14798</v>
      </c>
      <c r="J3959" s="1" t="s">
        <v>3606</v>
      </c>
      <c r="K3959" s="1" t="s">
        <v>14799</v>
      </c>
      <c r="L3959" s="1"/>
      <c r="M3959" s="1"/>
    </row>
    <row x14ac:dyDescent="0.25" r="3960" customHeight="1" ht="18.75">
      <c r="A3960" s="1" t="s">
        <v>7833</v>
      </c>
      <c r="B3960" s="1" t="s">
        <v>8269</v>
      </c>
      <c r="C3960" s="1" t="s">
        <v>4488</v>
      </c>
      <c r="D3960" s="1" t="s">
        <v>3695</v>
      </c>
      <c r="E3960" s="1" t="s">
        <v>8096</v>
      </c>
      <c r="F3960" s="1" t="s">
        <v>14800</v>
      </c>
      <c r="G3960" s="1" t="s">
        <v>14791</v>
      </c>
      <c r="H3960" s="1" t="s">
        <v>3604</v>
      </c>
      <c r="I3960" s="1" t="s">
        <v>14801</v>
      </c>
      <c r="J3960" s="1" t="s">
        <v>3606</v>
      </c>
      <c r="K3960" s="1" t="s">
        <v>14234</v>
      </c>
      <c r="L3960" s="1"/>
      <c r="M3960" s="1"/>
    </row>
    <row x14ac:dyDescent="0.25" r="3961" customHeight="1" ht="18.75">
      <c r="A3961" s="1" t="s">
        <v>7833</v>
      </c>
      <c r="B3961" s="1" t="s">
        <v>8269</v>
      </c>
      <c r="C3961" s="1" t="s">
        <v>4488</v>
      </c>
      <c r="D3961" s="1" t="s">
        <v>3610</v>
      </c>
      <c r="E3961" s="1" t="s">
        <v>8096</v>
      </c>
      <c r="F3961" s="1" t="s">
        <v>14802</v>
      </c>
      <c r="G3961" s="1" t="s">
        <v>13777</v>
      </c>
      <c r="H3961" s="1" t="s">
        <v>3604</v>
      </c>
      <c r="I3961" s="1" t="s">
        <v>14803</v>
      </c>
      <c r="J3961" s="1" t="s">
        <v>3606</v>
      </c>
      <c r="K3961" s="1" t="s">
        <v>14241</v>
      </c>
      <c r="L3961" s="1"/>
      <c r="M3961" s="1"/>
    </row>
    <row x14ac:dyDescent="0.25" r="3962" customHeight="1" ht="18.75">
      <c r="A3962" s="1" t="s">
        <v>7833</v>
      </c>
      <c r="B3962" s="1" t="s">
        <v>8269</v>
      </c>
      <c r="C3962" s="1" t="s">
        <v>4488</v>
      </c>
      <c r="D3962" s="1" t="s">
        <v>3610</v>
      </c>
      <c r="E3962" s="1" t="s">
        <v>8096</v>
      </c>
      <c r="F3962" s="1" t="s">
        <v>14804</v>
      </c>
      <c r="G3962" s="1" t="s">
        <v>13777</v>
      </c>
      <c r="H3962" s="1" t="s">
        <v>3604</v>
      </c>
      <c r="I3962" s="1" t="s">
        <v>14805</v>
      </c>
      <c r="J3962" s="1" t="s">
        <v>3606</v>
      </c>
      <c r="K3962" s="1" t="s">
        <v>14274</v>
      </c>
      <c r="L3962" s="1"/>
      <c r="M3962" s="1"/>
    </row>
    <row x14ac:dyDescent="0.25" r="3963" customHeight="1" ht="18.75">
      <c r="A3963" s="1" t="s">
        <v>7833</v>
      </c>
      <c r="B3963" s="1" t="s">
        <v>8269</v>
      </c>
      <c r="C3963" s="1" t="s">
        <v>4488</v>
      </c>
      <c r="D3963" s="1" t="s">
        <v>533</v>
      </c>
      <c r="E3963" s="1" t="s">
        <v>3664</v>
      </c>
      <c r="F3963" s="1" t="s">
        <v>14806</v>
      </c>
      <c r="G3963" s="1" t="s">
        <v>14807</v>
      </c>
      <c r="H3963" s="1" t="s">
        <v>3604</v>
      </c>
      <c r="I3963" s="1" t="s">
        <v>14808</v>
      </c>
      <c r="J3963" s="1" t="s">
        <v>3606</v>
      </c>
      <c r="K3963" s="1" t="s">
        <v>14809</v>
      </c>
      <c r="L3963" s="1"/>
      <c r="M3963" s="1"/>
    </row>
    <row x14ac:dyDescent="0.25" r="3964" customHeight="1" ht="18.75">
      <c r="A3964" s="1" t="s">
        <v>7833</v>
      </c>
      <c r="B3964" s="1" t="s">
        <v>8269</v>
      </c>
      <c r="C3964" s="1" t="s">
        <v>4488</v>
      </c>
      <c r="D3964" s="1" t="s">
        <v>7891</v>
      </c>
      <c r="E3964" s="1" t="s">
        <v>3664</v>
      </c>
      <c r="F3964" s="1" t="s">
        <v>14810</v>
      </c>
      <c r="G3964" s="1" t="s">
        <v>14807</v>
      </c>
      <c r="H3964" s="1" t="s">
        <v>3604</v>
      </c>
      <c r="I3964" s="1" t="s">
        <v>14811</v>
      </c>
      <c r="J3964" s="1" t="s">
        <v>3606</v>
      </c>
      <c r="K3964" s="1" t="s">
        <v>14421</v>
      </c>
      <c r="L3964" s="1"/>
      <c r="M3964" s="1"/>
    </row>
    <row x14ac:dyDescent="0.25" r="3965" customHeight="1" ht="18.75">
      <c r="A3965" s="1" t="s">
        <v>7833</v>
      </c>
      <c r="B3965" s="1" t="s">
        <v>8269</v>
      </c>
      <c r="C3965" s="1" t="s">
        <v>4488</v>
      </c>
      <c r="D3965" s="1" t="s">
        <v>533</v>
      </c>
      <c r="E3965" s="1" t="s">
        <v>3664</v>
      </c>
      <c r="F3965" s="1" t="s">
        <v>14812</v>
      </c>
      <c r="G3965" s="1" t="s">
        <v>8279</v>
      </c>
      <c r="H3965" s="1" t="s">
        <v>3604</v>
      </c>
      <c r="I3965" s="1" t="s">
        <v>14813</v>
      </c>
      <c r="J3965" s="1" t="s">
        <v>3606</v>
      </c>
      <c r="K3965" s="1" t="s">
        <v>14814</v>
      </c>
      <c r="L3965" s="1"/>
      <c r="M3965" s="1"/>
    </row>
    <row x14ac:dyDescent="0.25" r="3966" customHeight="1" ht="18.75">
      <c r="A3966" s="1" t="s">
        <v>7833</v>
      </c>
      <c r="B3966" s="1" t="s">
        <v>8269</v>
      </c>
      <c r="C3966" s="1" t="s">
        <v>4488</v>
      </c>
      <c r="D3966" s="1" t="s">
        <v>7891</v>
      </c>
      <c r="E3966" s="1" t="s">
        <v>3664</v>
      </c>
      <c r="F3966" s="1" t="s">
        <v>14815</v>
      </c>
      <c r="G3966" s="1" t="s">
        <v>8279</v>
      </c>
      <c r="H3966" s="1" t="s">
        <v>3604</v>
      </c>
      <c r="I3966" s="1" t="s">
        <v>14816</v>
      </c>
      <c r="J3966" s="1" t="s">
        <v>3606</v>
      </c>
      <c r="K3966" s="1" t="s">
        <v>14421</v>
      </c>
      <c r="L3966" s="1"/>
      <c r="M3966" s="1"/>
    </row>
    <row x14ac:dyDescent="0.25" r="3967" customHeight="1" ht="18.75">
      <c r="A3967" s="1" t="s">
        <v>7833</v>
      </c>
      <c r="B3967" s="1" t="s">
        <v>8269</v>
      </c>
      <c r="C3967" s="1" t="s">
        <v>4488</v>
      </c>
      <c r="D3967" s="1" t="s">
        <v>533</v>
      </c>
      <c r="E3967" s="1" t="s">
        <v>3664</v>
      </c>
      <c r="F3967" s="1" t="s">
        <v>14817</v>
      </c>
      <c r="G3967" s="1" t="s">
        <v>8275</v>
      </c>
      <c r="H3967" s="1" t="s">
        <v>3604</v>
      </c>
      <c r="I3967" s="1" t="s">
        <v>14818</v>
      </c>
      <c r="J3967" s="1" t="s">
        <v>3606</v>
      </c>
      <c r="K3967" s="1" t="s">
        <v>14819</v>
      </c>
      <c r="L3967" s="1"/>
      <c r="M3967" s="1"/>
    </row>
    <row x14ac:dyDescent="0.25" r="3968" customHeight="1" ht="18.75">
      <c r="A3968" s="1" t="s">
        <v>7833</v>
      </c>
      <c r="B3968" s="1" t="s">
        <v>8269</v>
      </c>
      <c r="C3968" s="1" t="s">
        <v>4488</v>
      </c>
      <c r="D3968" s="1" t="s">
        <v>533</v>
      </c>
      <c r="E3968" s="1" t="s">
        <v>3664</v>
      </c>
      <c r="F3968" s="1" t="s">
        <v>14820</v>
      </c>
      <c r="G3968" s="1" t="s">
        <v>8271</v>
      </c>
      <c r="H3968" s="1" t="s">
        <v>3604</v>
      </c>
      <c r="I3968" s="1" t="s">
        <v>14821</v>
      </c>
      <c r="J3968" s="1" t="s">
        <v>3606</v>
      </c>
      <c r="K3968" s="1" t="s">
        <v>14822</v>
      </c>
      <c r="L3968" s="1"/>
      <c r="M3968" s="1"/>
    </row>
    <row x14ac:dyDescent="0.25" r="3969" customHeight="1" ht="18.75">
      <c r="A3969" s="1" t="s">
        <v>7833</v>
      </c>
      <c r="B3969" s="1" t="s">
        <v>8269</v>
      </c>
      <c r="C3969" s="1" t="s">
        <v>4488</v>
      </c>
      <c r="D3969" s="1" t="s">
        <v>3610</v>
      </c>
      <c r="E3969" s="1" t="s">
        <v>3664</v>
      </c>
      <c r="F3969" s="1" t="s">
        <v>14823</v>
      </c>
      <c r="G3969" s="1" t="s">
        <v>14824</v>
      </c>
      <c r="H3969" s="1" t="s">
        <v>3604</v>
      </c>
      <c r="I3969" s="1" t="s">
        <v>14825</v>
      </c>
      <c r="J3969" s="1" t="s">
        <v>3606</v>
      </c>
      <c r="K3969" s="1" t="s">
        <v>14826</v>
      </c>
      <c r="L3969" s="1"/>
      <c r="M3969" s="1"/>
    </row>
    <row x14ac:dyDescent="0.25" r="3970" customHeight="1" ht="18.75">
      <c r="A3970" s="1" t="s">
        <v>7833</v>
      </c>
      <c r="B3970" s="1" t="s">
        <v>14256</v>
      </c>
      <c r="C3970" s="1" t="s">
        <v>4488</v>
      </c>
      <c r="D3970" s="1" t="s">
        <v>3601</v>
      </c>
      <c r="E3970" s="1" t="s">
        <v>3664</v>
      </c>
      <c r="F3970" s="1" t="s">
        <v>14827</v>
      </c>
      <c r="G3970" s="1" t="s">
        <v>14828</v>
      </c>
      <c r="H3970" s="1" t="s">
        <v>3604</v>
      </c>
      <c r="I3970" s="1" t="s">
        <v>14829</v>
      </c>
      <c r="J3970" s="1" t="s">
        <v>3606</v>
      </c>
      <c r="K3970" s="1" t="s">
        <v>14830</v>
      </c>
      <c r="L3970" s="1"/>
      <c r="M3970" s="1"/>
    </row>
    <row x14ac:dyDescent="0.25" r="3971" customHeight="1" ht="18.75">
      <c r="A3971" s="1" t="s">
        <v>7833</v>
      </c>
      <c r="B3971" s="1" t="s">
        <v>8269</v>
      </c>
      <c r="C3971" s="1" t="s">
        <v>4488</v>
      </c>
      <c r="D3971" s="1" t="s">
        <v>3610</v>
      </c>
      <c r="E3971" s="1" t="s">
        <v>3664</v>
      </c>
      <c r="F3971" s="1" t="s">
        <v>14831</v>
      </c>
      <c r="G3971" s="1" t="s">
        <v>14824</v>
      </c>
      <c r="H3971" s="1" t="s">
        <v>3604</v>
      </c>
      <c r="I3971" s="1" t="s">
        <v>14832</v>
      </c>
      <c r="J3971" s="1" t="s">
        <v>3606</v>
      </c>
      <c r="K3971" s="1" t="s">
        <v>14833</v>
      </c>
      <c r="L3971" s="1"/>
      <c r="M3971" s="1"/>
    </row>
    <row x14ac:dyDescent="0.25" r="3972" customHeight="1" ht="18.75">
      <c r="A3972" s="1" t="s">
        <v>7833</v>
      </c>
      <c r="B3972" s="1" t="s">
        <v>8269</v>
      </c>
      <c r="C3972" s="1" t="s">
        <v>4488</v>
      </c>
      <c r="D3972" s="1" t="s">
        <v>3610</v>
      </c>
      <c r="E3972" s="1" t="s">
        <v>3664</v>
      </c>
      <c r="F3972" s="1" t="s">
        <v>14834</v>
      </c>
      <c r="G3972" s="1" t="s">
        <v>14824</v>
      </c>
      <c r="H3972" s="1" t="s">
        <v>3604</v>
      </c>
      <c r="I3972" s="1" t="s">
        <v>14835</v>
      </c>
      <c r="J3972" s="1" t="s">
        <v>3606</v>
      </c>
      <c r="K3972" s="1" t="s">
        <v>14836</v>
      </c>
      <c r="L3972" s="1"/>
      <c r="M3972" s="1"/>
    </row>
    <row x14ac:dyDescent="0.25" r="3973" customHeight="1" ht="18.75">
      <c r="A3973" s="1" t="s">
        <v>7833</v>
      </c>
      <c r="B3973" s="1" t="s">
        <v>8269</v>
      </c>
      <c r="C3973" s="1" t="s">
        <v>4488</v>
      </c>
      <c r="D3973" s="1" t="s">
        <v>3610</v>
      </c>
      <c r="E3973" s="1" t="s">
        <v>3664</v>
      </c>
      <c r="F3973" s="1" t="s">
        <v>14837</v>
      </c>
      <c r="G3973" s="1" t="s">
        <v>14824</v>
      </c>
      <c r="H3973" s="1" t="s">
        <v>3604</v>
      </c>
      <c r="I3973" s="1" t="s">
        <v>14838</v>
      </c>
      <c r="J3973" s="1" t="s">
        <v>3606</v>
      </c>
      <c r="K3973" s="1" t="s">
        <v>14839</v>
      </c>
      <c r="L3973" s="1"/>
      <c r="M3973" s="1"/>
    </row>
    <row x14ac:dyDescent="0.25" r="3974" customHeight="1" ht="18.75">
      <c r="A3974" s="1" t="s">
        <v>7833</v>
      </c>
      <c r="B3974" s="1" t="s">
        <v>8269</v>
      </c>
      <c r="C3974" s="1" t="s">
        <v>4488</v>
      </c>
      <c r="D3974" s="1" t="s">
        <v>533</v>
      </c>
      <c r="E3974" s="1" t="s">
        <v>3664</v>
      </c>
      <c r="F3974" s="1" t="s">
        <v>14840</v>
      </c>
      <c r="G3974" s="1" t="s">
        <v>14841</v>
      </c>
      <c r="H3974" s="1" t="s">
        <v>3604</v>
      </c>
      <c r="I3974" s="1" t="s">
        <v>14842</v>
      </c>
      <c r="J3974" s="1" t="s">
        <v>3606</v>
      </c>
      <c r="K3974" s="1" t="s">
        <v>7884</v>
      </c>
      <c r="L3974" s="1"/>
      <c r="M3974" s="1"/>
    </row>
    <row x14ac:dyDescent="0.25" r="3975" customHeight="1" ht="18.75">
      <c r="A3975" s="1" t="s">
        <v>7833</v>
      </c>
      <c r="B3975" s="1" t="s">
        <v>14422</v>
      </c>
      <c r="C3975" s="1" t="s">
        <v>4488</v>
      </c>
      <c r="D3975" s="1" t="s">
        <v>3601</v>
      </c>
      <c r="E3975" s="1" t="s">
        <v>3664</v>
      </c>
      <c r="F3975" s="1" t="s">
        <v>1610</v>
      </c>
      <c r="G3975" s="1" t="s">
        <v>14424</v>
      </c>
      <c r="H3975" s="1" t="s">
        <v>3604</v>
      </c>
      <c r="I3975" s="1" t="s">
        <v>14843</v>
      </c>
      <c r="J3975" s="1" t="s">
        <v>3606</v>
      </c>
      <c r="K3975" s="1" t="s">
        <v>14844</v>
      </c>
      <c r="L3975" s="1"/>
      <c r="M3975" s="1"/>
    </row>
    <row x14ac:dyDescent="0.25" r="3976" customHeight="1" ht="18.75">
      <c r="A3976" s="1" t="s">
        <v>7833</v>
      </c>
      <c r="B3976" s="1" t="s">
        <v>8269</v>
      </c>
      <c r="C3976" s="1" t="s">
        <v>4488</v>
      </c>
      <c r="D3976" s="1" t="s">
        <v>7891</v>
      </c>
      <c r="E3976" s="1" t="s">
        <v>3664</v>
      </c>
      <c r="F3976" s="1" t="s">
        <v>14845</v>
      </c>
      <c r="G3976" s="1" t="s">
        <v>14841</v>
      </c>
      <c r="H3976" s="1" t="s">
        <v>3604</v>
      </c>
      <c r="I3976" s="1" t="s">
        <v>14846</v>
      </c>
      <c r="J3976" s="1" t="s">
        <v>3606</v>
      </c>
      <c r="K3976" s="1" t="s">
        <v>14529</v>
      </c>
      <c r="L3976" s="1"/>
      <c r="M3976" s="1"/>
    </row>
    <row x14ac:dyDescent="0.25" r="3977" customHeight="1" ht="18.75">
      <c r="A3977" s="1" t="s">
        <v>7833</v>
      </c>
      <c r="B3977" s="1" t="s">
        <v>8269</v>
      </c>
      <c r="C3977" s="1" t="s">
        <v>4488</v>
      </c>
      <c r="D3977" s="1" t="s">
        <v>533</v>
      </c>
      <c r="E3977" s="1" t="s">
        <v>3664</v>
      </c>
      <c r="F3977" s="1" t="s">
        <v>14847</v>
      </c>
      <c r="G3977" s="1" t="s">
        <v>14848</v>
      </c>
      <c r="H3977" s="1" t="s">
        <v>3604</v>
      </c>
      <c r="I3977" s="1" t="s">
        <v>14849</v>
      </c>
      <c r="J3977" s="1" t="s">
        <v>3606</v>
      </c>
      <c r="K3977" s="1" t="s">
        <v>14850</v>
      </c>
      <c r="L3977" s="1"/>
      <c r="M3977" s="1"/>
    </row>
    <row x14ac:dyDescent="0.25" r="3978" customHeight="1" ht="18.75">
      <c r="A3978" s="1" t="s">
        <v>7833</v>
      </c>
      <c r="B3978" s="1" t="s">
        <v>14264</v>
      </c>
      <c r="C3978" s="1" t="s">
        <v>4488</v>
      </c>
      <c r="D3978" s="1" t="s">
        <v>3601</v>
      </c>
      <c r="E3978" s="1" t="s">
        <v>3664</v>
      </c>
      <c r="F3978" s="1" t="s">
        <v>1665</v>
      </c>
      <c r="G3978" s="1" t="s">
        <v>14265</v>
      </c>
      <c r="H3978" s="1" t="s">
        <v>3604</v>
      </c>
      <c r="I3978" s="1" t="s">
        <v>14851</v>
      </c>
      <c r="J3978" s="1" t="s">
        <v>3606</v>
      </c>
      <c r="K3978" s="1" t="s">
        <v>14844</v>
      </c>
      <c r="L3978" s="1"/>
      <c r="M3978" s="1"/>
    </row>
    <row x14ac:dyDescent="0.25" r="3979" customHeight="1" ht="18.75">
      <c r="A3979" s="1" t="s">
        <v>7833</v>
      </c>
      <c r="B3979" s="1" t="s">
        <v>8269</v>
      </c>
      <c r="C3979" s="1" t="s">
        <v>4488</v>
      </c>
      <c r="D3979" s="1" t="s">
        <v>7891</v>
      </c>
      <c r="E3979" s="1" t="s">
        <v>3664</v>
      </c>
      <c r="F3979" s="1" t="s">
        <v>14852</v>
      </c>
      <c r="G3979" s="1" t="s">
        <v>14848</v>
      </c>
      <c r="H3979" s="1" t="s">
        <v>3604</v>
      </c>
      <c r="I3979" s="1" t="s">
        <v>14853</v>
      </c>
      <c r="J3979" s="1" t="s">
        <v>3606</v>
      </c>
      <c r="K3979" s="1" t="s">
        <v>14529</v>
      </c>
      <c r="L3979" s="1"/>
      <c r="M3979" s="1"/>
    </row>
    <row x14ac:dyDescent="0.25" r="3980" customHeight="1" ht="18.75">
      <c r="A3980" s="1" t="s">
        <v>7833</v>
      </c>
      <c r="B3980" s="1" t="s">
        <v>8269</v>
      </c>
      <c r="C3980" s="1" t="s">
        <v>4488</v>
      </c>
      <c r="D3980" s="1" t="s">
        <v>533</v>
      </c>
      <c r="E3980" s="1" t="s">
        <v>3664</v>
      </c>
      <c r="F3980" s="1" t="s">
        <v>14854</v>
      </c>
      <c r="G3980" s="1" t="s">
        <v>14855</v>
      </c>
      <c r="H3980" s="1" t="s">
        <v>3604</v>
      </c>
      <c r="I3980" s="1" t="s">
        <v>14856</v>
      </c>
      <c r="J3980" s="1" t="s">
        <v>3606</v>
      </c>
      <c r="K3980" s="1" t="s">
        <v>14857</v>
      </c>
      <c r="L3980" s="1"/>
      <c r="M3980" s="1"/>
    </row>
    <row x14ac:dyDescent="0.25" r="3981" customHeight="1" ht="18.75">
      <c r="A3981" s="1" t="s">
        <v>7833</v>
      </c>
      <c r="B3981" s="1" t="s">
        <v>8269</v>
      </c>
      <c r="C3981" s="1" t="s">
        <v>4488</v>
      </c>
      <c r="D3981" s="1" t="s">
        <v>7891</v>
      </c>
      <c r="E3981" s="1" t="s">
        <v>3664</v>
      </c>
      <c r="F3981" s="1" t="s">
        <v>14858</v>
      </c>
      <c r="G3981" s="1" t="s">
        <v>14855</v>
      </c>
      <c r="H3981" s="1" t="s">
        <v>3604</v>
      </c>
      <c r="I3981" s="1" t="s">
        <v>14859</v>
      </c>
      <c r="J3981" s="1" t="s">
        <v>3606</v>
      </c>
      <c r="K3981" s="1" t="s">
        <v>14529</v>
      </c>
      <c r="L3981" s="1"/>
      <c r="M3981" s="1"/>
    </row>
    <row x14ac:dyDescent="0.25" r="3982" customHeight="1" ht="18.75">
      <c r="A3982" s="1" t="s">
        <v>7833</v>
      </c>
      <c r="B3982" s="1" t="s">
        <v>8694</v>
      </c>
      <c r="C3982" s="1" t="s">
        <v>4488</v>
      </c>
      <c r="D3982" s="1" t="s">
        <v>3601</v>
      </c>
      <c r="E3982" s="1" t="s">
        <v>8096</v>
      </c>
      <c r="F3982" s="1" t="s">
        <v>1731</v>
      </c>
      <c r="G3982" s="1" t="s">
        <v>8708</v>
      </c>
      <c r="H3982" s="1" t="s">
        <v>3604</v>
      </c>
      <c r="I3982" s="1" t="s">
        <v>14860</v>
      </c>
      <c r="J3982" s="1" t="s">
        <v>3606</v>
      </c>
      <c r="K3982" s="1" t="s">
        <v>14844</v>
      </c>
      <c r="L3982" s="1"/>
      <c r="M3982" s="1"/>
    </row>
    <row x14ac:dyDescent="0.25" r="3983" customHeight="1" ht="18.75">
      <c r="A3983" s="1" t="s">
        <v>7833</v>
      </c>
      <c r="B3983" s="1" t="s">
        <v>13754</v>
      </c>
      <c r="C3983" s="1" t="s">
        <v>3619</v>
      </c>
      <c r="D3983" s="1" t="s">
        <v>3610</v>
      </c>
      <c r="E3983" s="1" t="s">
        <v>3981</v>
      </c>
      <c r="F3983" s="1" t="s">
        <v>1646</v>
      </c>
      <c r="G3983" s="1" t="s">
        <v>14641</v>
      </c>
      <c r="H3983" s="1" t="s">
        <v>3604</v>
      </c>
      <c r="I3983" s="1" t="s">
        <v>14861</v>
      </c>
      <c r="J3983" s="1" t="s">
        <v>3606</v>
      </c>
      <c r="K3983" s="1" t="s">
        <v>14862</v>
      </c>
      <c r="L3983" s="1"/>
      <c r="M3983" s="1"/>
    </row>
    <row x14ac:dyDescent="0.25" r="3984" customHeight="1" ht="18.75">
      <c r="A3984" s="1" t="s">
        <v>7833</v>
      </c>
      <c r="B3984" s="1" t="s">
        <v>8269</v>
      </c>
      <c r="C3984" s="1" t="s">
        <v>4488</v>
      </c>
      <c r="D3984" s="1" t="s">
        <v>533</v>
      </c>
      <c r="E3984" s="1" t="s">
        <v>3664</v>
      </c>
      <c r="F3984" s="1" t="s">
        <v>14863</v>
      </c>
      <c r="G3984" s="1" t="s">
        <v>14864</v>
      </c>
      <c r="H3984" s="1" t="s">
        <v>3604</v>
      </c>
      <c r="I3984" s="1" t="s">
        <v>14865</v>
      </c>
      <c r="J3984" s="1" t="s">
        <v>3606</v>
      </c>
      <c r="K3984" s="1" t="s">
        <v>7887</v>
      </c>
      <c r="L3984" s="1"/>
      <c r="M3984" s="1"/>
    </row>
    <row x14ac:dyDescent="0.25" r="3985" customHeight="1" ht="18.75">
      <c r="A3985" s="1" t="s">
        <v>7833</v>
      </c>
      <c r="B3985" s="1" t="s">
        <v>13754</v>
      </c>
      <c r="C3985" s="1" t="s">
        <v>3619</v>
      </c>
      <c r="D3985" s="1" t="s">
        <v>3610</v>
      </c>
      <c r="E3985" s="1" t="s">
        <v>3981</v>
      </c>
      <c r="F3985" s="1" t="s">
        <v>1647</v>
      </c>
      <c r="G3985" s="1" t="s">
        <v>14644</v>
      </c>
      <c r="H3985" s="1" t="s">
        <v>3604</v>
      </c>
      <c r="I3985" s="1" t="s">
        <v>14866</v>
      </c>
      <c r="J3985" s="1" t="s">
        <v>3606</v>
      </c>
      <c r="K3985" s="1" t="s">
        <v>14867</v>
      </c>
      <c r="L3985" s="1"/>
      <c r="M3985" s="1"/>
    </row>
    <row x14ac:dyDescent="0.25" r="3986" customHeight="1" ht="18.75">
      <c r="A3986" s="1" t="s">
        <v>7833</v>
      </c>
      <c r="B3986" s="1" t="s">
        <v>8269</v>
      </c>
      <c r="C3986" s="1" t="s">
        <v>4488</v>
      </c>
      <c r="D3986" s="1" t="s">
        <v>7891</v>
      </c>
      <c r="E3986" s="1" t="s">
        <v>3664</v>
      </c>
      <c r="F3986" s="1" t="s">
        <v>14868</v>
      </c>
      <c r="G3986" s="1" t="s">
        <v>14864</v>
      </c>
      <c r="H3986" s="1" t="s">
        <v>3604</v>
      </c>
      <c r="I3986" s="1" t="s">
        <v>14869</v>
      </c>
      <c r="J3986" s="1" t="s">
        <v>3606</v>
      </c>
      <c r="K3986" s="1" t="s">
        <v>14529</v>
      </c>
      <c r="L3986" s="1"/>
      <c r="M3986" s="1"/>
    </row>
    <row x14ac:dyDescent="0.25" r="3987" customHeight="1" ht="18.75">
      <c r="A3987" s="1" t="s">
        <v>7833</v>
      </c>
      <c r="B3987" s="1" t="s">
        <v>14870</v>
      </c>
      <c r="C3987" s="1" t="s">
        <v>4488</v>
      </c>
      <c r="D3987" s="1" t="s">
        <v>3601</v>
      </c>
      <c r="E3987" s="1" t="s">
        <v>8096</v>
      </c>
      <c r="F3987" s="1" t="s">
        <v>1599</v>
      </c>
      <c r="G3987" s="1" t="s">
        <v>14871</v>
      </c>
      <c r="H3987" s="1" t="s">
        <v>3604</v>
      </c>
      <c r="I3987" s="1" t="s">
        <v>14872</v>
      </c>
      <c r="J3987" s="1" t="s">
        <v>3606</v>
      </c>
      <c r="K3987" s="1" t="s">
        <v>14844</v>
      </c>
      <c r="L3987" s="1"/>
      <c r="M3987" s="1"/>
    </row>
    <row x14ac:dyDescent="0.25" r="3988" customHeight="1" ht="18.75">
      <c r="A3988" s="1" t="s">
        <v>7833</v>
      </c>
      <c r="B3988" s="1" t="s">
        <v>13754</v>
      </c>
      <c r="C3988" s="1" t="s">
        <v>3619</v>
      </c>
      <c r="D3988" s="1" t="s">
        <v>3610</v>
      </c>
      <c r="E3988" s="1" t="s">
        <v>3981</v>
      </c>
      <c r="F3988" s="1" t="s">
        <v>1648</v>
      </c>
      <c r="G3988" s="1" t="s">
        <v>14644</v>
      </c>
      <c r="H3988" s="1" t="s">
        <v>3604</v>
      </c>
      <c r="I3988" s="1" t="s">
        <v>14873</v>
      </c>
      <c r="J3988" s="1" t="s">
        <v>3606</v>
      </c>
      <c r="K3988" s="1" t="s">
        <v>14874</v>
      </c>
      <c r="L3988" s="1"/>
      <c r="M3988" s="1"/>
    </row>
    <row x14ac:dyDescent="0.25" r="3989" customHeight="1" ht="18.75">
      <c r="A3989" s="1" t="s">
        <v>7833</v>
      </c>
      <c r="B3989" s="1" t="s">
        <v>8269</v>
      </c>
      <c r="C3989" s="1" t="s">
        <v>4488</v>
      </c>
      <c r="D3989" s="1" t="s">
        <v>533</v>
      </c>
      <c r="E3989" s="1" t="s">
        <v>3664</v>
      </c>
      <c r="F3989" s="1" t="s">
        <v>14875</v>
      </c>
      <c r="G3989" s="1" t="s">
        <v>14791</v>
      </c>
      <c r="H3989" s="1" t="s">
        <v>3604</v>
      </c>
      <c r="I3989" s="1" t="s">
        <v>14876</v>
      </c>
      <c r="J3989" s="1" t="s">
        <v>3606</v>
      </c>
      <c r="K3989" s="1" t="s">
        <v>14877</v>
      </c>
      <c r="L3989" s="1"/>
      <c r="M3989" s="1"/>
    </row>
    <row x14ac:dyDescent="0.25" r="3990" customHeight="1" ht="18.75">
      <c r="A3990" s="1" t="s">
        <v>7833</v>
      </c>
      <c r="B3990" s="1" t="s">
        <v>13754</v>
      </c>
      <c r="C3990" s="1" t="s">
        <v>3619</v>
      </c>
      <c r="D3990" s="1" t="s">
        <v>3610</v>
      </c>
      <c r="E3990" s="1" t="s">
        <v>3981</v>
      </c>
      <c r="F3990" s="1" t="s">
        <v>1649</v>
      </c>
      <c r="G3990" s="1" t="s">
        <v>14650</v>
      </c>
      <c r="H3990" s="1" t="s">
        <v>3604</v>
      </c>
      <c r="I3990" s="1" t="s">
        <v>14878</v>
      </c>
      <c r="J3990" s="1" t="s">
        <v>3606</v>
      </c>
      <c r="K3990" s="1" t="s">
        <v>14879</v>
      </c>
      <c r="L3990" s="1"/>
      <c r="M3990" s="1"/>
    </row>
    <row x14ac:dyDescent="0.25" r="3991" customHeight="1" ht="18.75">
      <c r="A3991" s="1" t="s">
        <v>7833</v>
      </c>
      <c r="B3991" s="1" t="s">
        <v>14256</v>
      </c>
      <c r="C3991" s="1" t="s">
        <v>4488</v>
      </c>
      <c r="D3991" s="1" t="s">
        <v>3601</v>
      </c>
      <c r="E3991" s="1" t="s">
        <v>3664</v>
      </c>
      <c r="F3991" s="1" t="s">
        <v>14880</v>
      </c>
      <c r="G3991" s="1" t="s">
        <v>14258</v>
      </c>
      <c r="H3991" s="1" t="s">
        <v>3604</v>
      </c>
      <c r="I3991" s="1" t="s">
        <v>14881</v>
      </c>
      <c r="J3991" s="1" t="s">
        <v>3606</v>
      </c>
      <c r="K3991" s="1" t="s">
        <v>14844</v>
      </c>
      <c r="L3991" s="1"/>
      <c r="M3991" s="1"/>
    </row>
    <row x14ac:dyDescent="0.25" r="3992" customHeight="1" ht="18.75">
      <c r="A3992" s="1" t="s">
        <v>7833</v>
      </c>
      <c r="B3992" s="1" t="s">
        <v>13754</v>
      </c>
      <c r="C3992" s="1" t="s">
        <v>3619</v>
      </c>
      <c r="D3992" s="1" t="s">
        <v>3610</v>
      </c>
      <c r="E3992" s="1" t="s">
        <v>3981</v>
      </c>
      <c r="F3992" s="1" t="s">
        <v>1650</v>
      </c>
      <c r="G3992" s="1" t="s">
        <v>14650</v>
      </c>
      <c r="H3992" s="1" t="s">
        <v>3604</v>
      </c>
      <c r="I3992" s="1" t="s">
        <v>14882</v>
      </c>
      <c r="J3992" s="1" t="s">
        <v>3606</v>
      </c>
      <c r="K3992" s="1" t="s">
        <v>14883</v>
      </c>
      <c r="L3992" s="1"/>
      <c r="M3992" s="1"/>
    </row>
    <row x14ac:dyDescent="0.25" r="3993" customHeight="1" ht="18.75">
      <c r="A3993" s="1" t="s">
        <v>7833</v>
      </c>
      <c r="B3993" s="1" t="s">
        <v>8269</v>
      </c>
      <c r="C3993" s="1" t="s">
        <v>4488</v>
      </c>
      <c r="D3993" s="1" t="s">
        <v>7891</v>
      </c>
      <c r="E3993" s="1" t="s">
        <v>3664</v>
      </c>
      <c r="F3993" s="1" t="s">
        <v>14884</v>
      </c>
      <c r="G3993" s="1" t="s">
        <v>14791</v>
      </c>
      <c r="H3993" s="1" t="s">
        <v>3604</v>
      </c>
      <c r="I3993" s="1" t="s">
        <v>14885</v>
      </c>
      <c r="J3993" s="1" t="s">
        <v>3606</v>
      </c>
      <c r="K3993" s="1" t="s">
        <v>14529</v>
      </c>
      <c r="L3993" s="1"/>
      <c r="M3993" s="1"/>
    </row>
    <row x14ac:dyDescent="0.25" r="3994" customHeight="1" ht="18.75">
      <c r="A3994" s="1" t="s">
        <v>7833</v>
      </c>
      <c r="B3994" s="1" t="s">
        <v>13754</v>
      </c>
      <c r="C3994" s="1" t="s">
        <v>3619</v>
      </c>
      <c r="D3994" s="1" t="s">
        <v>3610</v>
      </c>
      <c r="E3994" s="1" t="s">
        <v>3981</v>
      </c>
      <c r="F3994" s="1" t="s">
        <v>1651</v>
      </c>
      <c r="G3994" s="1" t="s">
        <v>14652</v>
      </c>
      <c r="H3994" s="1" t="s">
        <v>3604</v>
      </c>
      <c r="I3994" s="1" t="s">
        <v>14886</v>
      </c>
      <c r="J3994" s="1" t="s">
        <v>3606</v>
      </c>
      <c r="K3994" s="1" t="s">
        <v>14887</v>
      </c>
      <c r="L3994" s="1"/>
      <c r="M3994" s="1"/>
    </row>
    <row x14ac:dyDescent="0.25" r="3995" customHeight="1" ht="18.75">
      <c r="A3995" s="1" t="s">
        <v>7833</v>
      </c>
      <c r="B3995" s="1" t="s">
        <v>13754</v>
      </c>
      <c r="C3995" s="1" t="s">
        <v>3619</v>
      </c>
      <c r="D3995" s="1" t="s">
        <v>3610</v>
      </c>
      <c r="E3995" s="1" t="s">
        <v>3981</v>
      </c>
      <c r="F3995" s="1" t="s">
        <v>1652</v>
      </c>
      <c r="G3995" s="1" t="s">
        <v>14652</v>
      </c>
      <c r="H3995" s="1" t="s">
        <v>3604</v>
      </c>
      <c r="I3995" s="1" t="s">
        <v>14888</v>
      </c>
      <c r="J3995" s="1" t="s">
        <v>3606</v>
      </c>
      <c r="K3995" s="1" t="s">
        <v>14889</v>
      </c>
      <c r="L3995" s="1"/>
      <c r="M3995" s="1"/>
    </row>
    <row x14ac:dyDescent="0.25" r="3996" customHeight="1" ht="18.75">
      <c r="A3996" s="1" t="s">
        <v>7833</v>
      </c>
      <c r="B3996" s="1" t="s">
        <v>14413</v>
      </c>
      <c r="C3996" s="1" t="s">
        <v>4488</v>
      </c>
      <c r="D3996" s="1" t="s">
        <v>3601</v>
      </c>
      <c r="E3996" s="1" t="s">
        <v>3664</v>
      </c>
      <c r="F3996" s="1" t="s">
        <v>1744</v>
      </c>
      <c r="G3996" s="1" t="s">
        <v>14414</v>
      </c>
      <c r="H3996" s="1" t="s">
        <v>3604</v>
      </c>
      <c r="I3996" s="1" t="s">
        <v>14890</v>
      </c>
      <c r="J3996" s="1" t="s">
        <v>3606</v>
      </c>
      <c r="K3996" s="1" t="s">
        <v>14844</v>
      </c>
      <c r="L3996" s="1"/>
      <c r="M3996" s="1"/>
    </row>
    <row x14ac:dyDescent="0.25" r="3997" customHeight="1" ht="18.75">
      <c r="A3997" s="1" t="s">
        <v>7833</v>
      </c>
      <c r="B3997" s="1" t="s">
        <v>13754</v>
      </c>
      <c r="C3997" s="1" t="s">
        <v>3619</v>
      </c>
      <c r="D3997" s="1" t="s">
        <v>3601</v>
      </c>
      <c r="E3997" s="1" t="s">
        <v>3981</v>
      </c>
      <c r="F3997" s="1" t="s">
        <v>1653</v>
      </c>
      <c r="G3997" s="1" t="s">
        <v>14565</v>
      </c>
      <c r="H3997" s="1" t="s">
        <v>3604</v>
      </c>
      <c r="I3997" s="1" t="s">
        <v>14891</v>
      </c>
      <c r="J3997" s="1" t="s">
        <v>3606</v>
      </c>
      <c r="K3997" s="1" t="s">
        <v>14260</v>
      </c>
      <c r="L3997" s="1"/>
      <c r="M3997" s="1"/>
    </row>
    <row x14ac:dyDescent="0.25" r="3998" customHeight="1" ht="18.75">
      <c r="A3998" s="1" t="s">
        <v>7833</v>
      </c>
      <c r="B3998" s="1" t="s">
        <v>13754</v>
      </c>
      <c r="C3998" s="1" t="s">
        <v>3619</v>
      </c>
      <c r="D3998" s="1" t="s">
        <v>3601</v>
      </c>
      <c r="E3998" s="1" t="s">
        <v>3981</v>
      </c>
      <c r="F3998" s="1" t="s">
        <v>1654</v>
      </c>
      <c r="G3998" s="1" t="s">
        <v>14565</v>
      </c>
      <c r="H3998" s="1" t="s">
        <v>3604</v>
      </c>
      <c r="I3998" s="1" t="s">
        <v>14892</v>
      </c>
      <c r="J3998" s="1" t="s">
        <v>3606</v>
      </c>
      <c r="K3998" s="1" t="s">
        <v>14263</v>
      </c>
      <c r="L3998" s="1"/>
      <c r="M3998" s="1"/>
    </row>
    <row x14ac:dyDescent="0.25" r="3999" customHeight="1" ht="18.75">
      <c r="A3999" s="1" t="s">
        <v>7833</v>
      </c>
      <c r="B3999" s="1" t="s">
        <v>14063</v>
      </c>
      <c r="C3999" s="1" t="s">
        <v>4488</v>
      </c>
      <c r="D3999" s="1" t="s">
        <v>3601</v>
      </c>
      <c r="E3999" s="1" t="s">
        <v>3664</v>
      </c>
      <c r="F3999" s="1" t="s">
        <v>14893</v>
      </c>
      <c r="G3999" s="1" t="s">
        <v>14894</v>
      </c>
      <c r="H3999" s="1" t="s">
        <v>3604</v>
      </c>
      <c r="I3999" s="1" t="s">
        <v>14895</v>
      </c>
      <c r="J3999" s="1" t="s">
        <v>3606</v>
      </c>
      <c r="K3999" s="1" t="s">
        <v>14844</v>
      </c>
      <c r="L3999" s="1"/>
      <c r="M3999" s="1"/>
    </row>
    <row x14ac:dyDescent="0.25" r="4000" customHeight="1" ht="18.75">
      <c r="A4000" s="1" t="s">
        <v>7833</v>
      </c>
      <c r="B4000" s="1" t="s">
        <v>8269</v>
      </c>
      <c r="C4000" s="1" t="s">
        <v>4488</v>
      </c>
      <c r="D4000" s="1" t="s">
        <v>533</v>
      </c>
      <c r="E4000" s="1" t="s">
        <v>3664</v>
      </c>
      <c r="F4000" s="1" t="s">
        <v>14896</v>
      </c>
      <c r="G4000" s="1" t="s">
        <v>13777</v>
      </c>
      <c r="H4000" s="1" t="s">
        <v>3604</v>
      </c>
      <c r="I4000" s="1" t="s">
        <v>14897</v>
      </c>
      <c r="J4000" s="1" t="s">
        <v>3606</v>
      </c>
      <c r="K4000" s="1" t="s">
        <v>14898</v>
      </c>
      <c r="L4000" s="1"/>
      <c r="M4000" s="1"/>
    </row>
    <row x14ac:dyDescent="0.25" r="4001" customHeight="1" ht="18.75">
      <c r="A4001" s="1" t="s">
        <v>7833</v>
      </c>
      <c r="B4001" s="1" t="s">
        <v>8269</v>
      </c>
      <c r="C4001" s="1" t="s">
        <v>4488</v>
      </c>
      <c r="D4001" s="1" t="s">
        <v>3695</v>
      </c>
      <c r="E4001" s="1" t="s">
        <v>3664</v>
      </c>
      <c r="F4001" s="1" t="s">
        <v>14899</v>
      </c>
      <c r="G4001" s="1" t="s">
        <v>13777</v>
      </c>
      <c r="H4001" s="1" t="s">
        <v>3604</v>
      </c>
      <c r="I4001" s="1" t="s">
        <v>14900</v>
      </c>
      <c r="J4001" s="1" t="s">
        <v>3606</v>
      </c>
      <c r="K4001" s="1" t="s">
        <v>14901</v>
      </c>
      <c r="L4001" s="1"/>
      <c r="M4001" s="1"/>
    </row>
    <row x14ac:dyDescent="0.25" r="4002" customHeight="1" ht="18.75">
      <c r="A4002" s="1" t="s">
        <v>7833</v>
      </c>
      <c r="B4002" s="1" t="s">
        <v>8286</v>
      </c>
      <c r="C4002" s="1" t="s">
        <v>4488</v>
      </c>
      <c r="D4002" s="1" t="s">
        <v>3601</v>
      </c>
      <c r="E4002" s="1" t="s">
        <v>3664</v>
      </c>
      <c r="F4002" s="1" t="s">
        <v>14902</v>
      </c>
      <c r="G4002" s="1" t="s">
        <v>14903</v>
      </c>
      <c r="H4002" s="1" t="s">
        <v>3604</v>
      </c>
      <c r="I4002" s="1" t="s">
        <v>14904</v>
      </c>
      <c r="J4002" s="1" t="s">
        <v>3606</v>
      </c>
      <c r="K4002" s="1" t="s">
        <v>14844</v>
      </c>
      <c r="L4002" s="1"/>
      <c r="M4002" s="1"/>
    </row>
    <row x14ac:dyDescent="0.25" r="4003" customHeight="1" ht="18.75">
      <c r="A4003" s="1" t="s">
        <v>7833</v>
      </c>
      <c r="B4003" s="1" t="s">
        <v>8269</v>
      </c>
      <c r="C4003" s="1" t="s">
        <v>4488</v>
      </c>
      <c r="D4003" s="1" t="s">
        <v>7891</v>
      </c>
      <c r="E4003" s="1" t="s">
        <v>3664</v>
      </c>
      <c r="F4003" s="1" t="s">
        <v>14905</v>
      </c>
      <c r="G4003" s="1" t="s">
        <v>13777</v>
      </c>
      <c r="H4003" s="1" t="s">
        <v>3604</v>
      </c>
      <c r="I4003" s="1" t="s">
        <v>14906</v>
      </c>
      <c r="J4003" s="1" t="s">
        <v>3606</v>
      </c>
      <c r="K4003" s="1" t="s">
        <v>14529</v>
      </c>
      <c r="L4003" s="1"/>
      <c r="M4003" s="1"/>
    </row>
    <row x14ac:dyDescent="0.25" r="4004" customHeight="1" ht="18.75">
      <c r="A4004" s="1" t="s">
        <v>7833</v>
      </c>
      <c r="B4004" s="1" t="s">
        <v>8269</v>
      </c>
      <c r="C4004" s="1" t="s">
        <v>4488</v>
      </c>
      <c r="D4004" s="1" t="s">
        <v>3610</v>
      </c>
      <c r="E4004" s="1" t="s">
        <v>3981</v>
      </c>
      <c r="F4004" s="1" t="s">
        <v>14907</v>
      </c>
      <c r="G4004" s="1" t="s">
        <v>14908</v>
      </c>
      <c r="H4004" s="1" t="s">
        <v>3604</v>
      </c>
      <c r="I4004" s="1" t="s">
        <v>14909</v>
      </c>
      <c r="J4004" s="1" t="s">
        <v>3606</v>
      </c>
      <c r="K4004" s="1" t="s">
        <v>14081</v>
      </c>
      <c r="L4004" s="1"/>
      <c r="M4004" s="1"/>
    </row>
    <row x14ac:dyDescent="0.25" r="4005" customHeight="1" ht="18.75">
      <c r="A4005" s="1" t="s">
        <v>7833</v>
      </c>
      <c r="B4005" s="1" t="s">
        <v>13754</v>
      </c>
      <c r="C4005" s="1" t="s">
        <v>3619</v>
      </c>
      <c r="D4005" s="1" t="s">
        <v>3601</v>
      </c>
      <c r="E4005" s="1" t="s">
        <v>3981</v>
      </c>
      <c r="F4005" s="1" t="s">
        <v>1655</v>
      </c>
      <c r="G4005" s="1" t="s">
        <v>14565</v>
      </c>
      <c r="H4005" s="1" t="s">
        <v>3604</v>
      </c>
      <c r="I4005" s="1" t="s">
        <v>14910</v>
      </c>
      <c r="J4005" s="1" t="s">
        <v>3606</v>
      </c>
      <c r="K4005" s="1" t="s">
        <v>14844</v>
      </c>
      <c r="L4005" s="1"/>
      <c r="M4005" s="1"/>
    </row>
    <row x14ac:dyDescent="0.25" r="4006" customHeight="1" ht="18.75">
      <c r="A4006" s="1" t="s">
        <v>7833</v>
      </c>
      <c r="B4006" s="1" t="s">
        <v>8269</v>
      </c>
      <c r="C4006" s="1" t="s">
        <v>4488</v>
      </c>
      <c r="D4006" s="1" t="s">
        <v>3610</v>
      </c>
      <c r="E4006" s="1" t="s">
        <v>3981</v>
      </c>
      <c r="F4006" s="1" t="s">
        <v>14911</v>
      </c>
      <c r="G4006" s="1" t="s">
        <v>14908</v>
      </c>
      <c r="H4006" s="1" t="s">
        <v>3604</v>
      </c>
      <c r="I4006" s="1" t="s">
        <v>14912</v>
      </c>
      <c r="J4006" s="1" t="s">
        <v>3606</v>
      </c>
      <c r="K4006" s="1" t="s">
        <v>14084</v>
      </c>
      <c r="L4006" s="1"/>
      <c r="M4006" s="1"/>
    </row>
    <row x14ac:dyDescent="0.25" r="4007" customHeight="1" ht="18.75">
      <c r="A4007" s="1" t="s">
        <v>7833</v>
      </c>
      <c r="B4007" s="1" t="s">
        <v>8178</v>
      </c>
      <c r="C4007" s="1" t="s">
        <v>3619</v>
      </c>
      <c r="D4007" s="1" t="s">
        <v>3601</v>
      </c>
      <c r="E4007" s="1" t="s">
        <v>3664</v>
      </c>
      <c r="F4007" s="1" t="s">
        <v>1686</v>
      </c>
      <c r="G4007" s="1" t="s">
        <v>14913</v>
      </c>
      <c r="H4007" s="1" t="s">
        <v>3604</v>
      </c>
      <c r="I4007" s="1" t="s">
        <v>14914</v>
      </c>
      <c r="J4007" s="1" t="s">
        <v>3606</v>
      </c>
      <c r="K4007" s="1" t="s">
        <v>14844</v>
      </c>
      <c r="L4007" s="1"/>
      <c r="M4007" s="1"/>
    </row>
    <row x14ac:dyDescent="0.25" r="4008" customHeight="1" ht="18.75">
      <c r="A4008" s="1" t="s">
        <v>7833</v>
      </c>
      <c r="B4008" s="1" t="s">
        <v>8269</v>
      </c>
      <c r="C4008" s="1" t="s">
        <v>4488</v>
      </c>
      <c r="D4008" s="1" t="s">
        <v>3610</v>
      </c>
      <c r="E4008" s="1" t="s">
        <v>3981</v>
      </c>
      <c r="F4008" s="1" t="s">
        <v>14915</v>
      </c>
      <c r="G4008" s="1" t="s">
        <v>14908</v>
      </c>
      <c r="H4008" s="1" t="s">
        <v>3604</v>
      </c>
      <c r="I4008" s="1" t="s">
        <v>14916</v>
      </c>
      <c r="J4008" s="1" t="s">
        <v>3606</v>
      </c>
      <c r="K4008" s="1" t="s">
        <v>14087</v>
      </c>
      <c r="L4008" s="1"/>
      <c r="M4008" s="1"/>
    </row>
    <row x14ac:dyDescent="0.25" r="4009" customHeight="1" ht="18.75">
      <c r="A4009" s="1" t="s">
        <v>7833</v>
      </c>
      <c r="B4009" s="1" t="s">
        <v>8269</v>
      </c>
      <c r="C4009" s="1" t="s">
        <v>4488</v>
      </c>
      <c r="D4009" s="1" t="s">
        <v>7891</v>
      </c>
      <c r="E4009" s="1" t="s">
        <v>3981</v>
      </c>
      <c r="F4009" s="1" t="s">
        <v>14917</v>
      </c>
      <c r="G4009" s="1" t="s">
        <v>14908</v>
      </c>
      <c r="H4009" s="1" t="s">
        <v>3604</v>
      </c>
      <c r="I4009" s="1" t="s">
        <v>14918</v>
      </c>
      <c r="J4009" s="1" t="s">
        <v>3606</v>
      </c>
      <c r="K4009" s="1" t="s">
        <v>14919</v>
      </c>
      <c r="L4009" s="1"/>
      <c r="M4009" s="1"/>
    </row>
    <row x14ac:dyDescent="0.25" r="4010" customHeight="1" ht="18.75">
      <c r="A4010" s="1" t="s">
        <v>7833</v>
      </c>
      <c r="B4010" s="1" t="s">
        <v>7872</v>
      </c>
      <c r="C4010" s="1" t="s">
        <v>4488</v>
      </c>
      <c r="D4010" s="1" t="s">
        <v>3601</v>
      </c>
      <c r="E4010" s="1" t="s">
        <v>8096</v>
      </c>
      <c r="F4010" s="1" t="s">
        <v>14920</v>
      </c>
      <c r="G4010" s="1" t="s">
        <v>7874</v>
      </c>
      <c r="H4010" s="1" t="s">
        <v>3604</v>
      </c>
      <c r="I4010" s="1" t="s">
        <v>14921</v>
      </c>
      <c r="J4010" s="1" t="s">
        <v>3606</v>
      </c>
      <c r="K4010" s="1" t="s">
        <v>14922</v>
      </c>
      <c r="L4010" s="1"/>
      <c r="M4010" s="1"/>
    </row>
    <row x14ac:dyDescent="0.25" r="4011" customHeight="1" ht="18.75">
      <c r="A4011" s="1" t="s">
        <v>7833</v>
      </c>
      <c r="B4011" s="1" t="s">
        <v>8269</v>
      </c>
      <c r="C4011" s="1" t="s">
        <v>4488</v>
      </c>
      <c r="D4011" s="1" t="s">
        <v>8373</v>
      </c>
      <c r="E4011" s="1" t="s">
        <v>3981</v>
      </c>
      <c r="F4011" s="1" t="s">
        <v>14923</v>
      </c>
      <c r="G4011" s="1" t="s">
        <v>14908</v>
      </c>
      <c r="H4011" s="1" t="s">
        <v>3604</v>
      </c>
      <c r="I4011" s="1" t="s">
        <v>14924</v>
      </c>
      <c r="J4011" s="1" t="s">
        <v>3606</v>
      </c>
      <c r="K4011" s="1" t="s">
        <v>14925</v>
      </c>
      <c r="L4011" s="1"/>
      <c r="M4011" s="1"/>
    </row>
    <row x14ac:dyDescent="0.25" r="4012" customHeight="1" ht="18.75">
      <c r="A4012" s="1" t="s">
        <v>7833</v>
      </c>
      <c r="B4012" s="1" t="s">
        <v>13857</v>
      </c>
      <c r="C4012" s="1" t="s">
        <v>4488</v>
      </c>
      <c r="D4012" s="1" t="s">
        <v>3601</v>
      </c>
      <c r="E4012" s="1" t="s">
        <v>8096</v>
      </c>
      <c r="F4012" s="1" t="s">
        <v>14926</v>
      </c>
      <c r="G4012" s="1" t="s">
        <v>14927</v>
      </c>
      <c r="H4012" s="1" t="s">
        <v>3604</v>
      </c>
      <c r="I4012" s="1" t="s">
        <v>14928</v>
      </c>
      <c r="J4012" s="1" t="s">
        <v>3606</v>
      </c>
      <c r="K4012" s="1" t="s">
        <v>14922</v>
      </c>
      <c r="L4012" s="1"/>
      <c r="M4012" s="1"/>
    </row>
    <row x14ac:dyDescent="0.25" r="4013" customHeight="1" ht="18.75">
      <c r="A4013" s="1" t="s">
        <v>7833</v>
      </c>
      <c r="B4013" s="1" t="s">
        <v>8269</v>
      </c>
      <c r="C4013" s="1" t="s">
        <v>4488</v>
      </c>
      <c r="D4013" s="1" t="s">
        <v>533</v>
      </c>
      <c r="E4013" s="1" t="s">
        <v>3981</v>
      </c>
      <c r="F4013" s="1" t="s">
        <v>14929</v>
      </c>
      <c r="G4013" s="1" t="s">
        <v>14930</v>
      </c>
      <c r="H4013" s="1" t="s">
        <v>3604</v>
      </c>
      <c r="I4013" s="1" t="s">
        <v>14931</v>
      </c>
      <c r="J4013" s="1" t="s">
        <v>3606</v>
      </c>
      <c r="K4013" s="1" t="s">
        <v>14631</v>
      </c>
      <c r="L4013" s="1"/>
      <c r="M4013" s="1"/>
    </row>
    <row x14ac:dyDescent="0.25" r="4014" customHeight="1" ht="18.75">
      <c r="A4014" s="1" t="s">
        <v>7833</v>
      </c>
      <c r="B4014" s="1" t="s">
        <v>8269</v>
      </c>
      <c r="C4014" s="1" t="s">
        <v>4488</v>
      </c>
      <c r="D4014" s="1" t="s">
        <v>3610</v>
      </c>
      <c r="E4014" s="1" t="s">
        <v>3981</v>
      </c>
      <c r="F4014" s="1" t="s">
        <v>14932</v>
      </c>
      <c r="G4014" s="1" t="s">
        <v>14930</v>
      </c>
      <c r="H4014" s="1" t="s">
        <v>3604</v>
      </c>
      <c r="I4014" s="1" t="s">
        <v>14933</v>
      </c>
      <c r="J4014" s="1" t="s">
        <v>3606</v>
      </c>
      <c r="K4014" s="1" t="s">
        <v>14071</v>
      </c>
      <c r="L4014" s="1"/>
      <c r="M4014" s="1"/>
    </row>
    <row x14ac:dyDescent="0.25" r="4015" customHeight="1" ht="18.75">
      <c r="A4015" s="1" t="s">
        <v>7833</v>
      </c>
      <c r="B4015" s="1" t="s">
        <v>14934</v>
      </c>
      <c r="C4015" s="1" t="s">
        <v>4488</v>
      </c>
      <c r="D4015" s="1" t="s">
        <v>3601</v>
      </c>
      <c r="E4015" s="1" t="s">
        <v>3664</v>
      </c>
      <c r="F4015" s="1" t="s">
        <v>1799</v>
      </c>
      <c r="G4015" s="1" t="s">
        <v>14935</v>
      </c>
      <c r="H4015" s="1" t="s">
        <v>3604</v>
      </c>
      <c r="I4015" s="1" t="s">
        <v>14936</v>
      </c>
      <c r="J4015" s="1" t="s">
        <v>3606</v>
      </c>
      <c r="K4015" s="1" t="s">
        <v>14922</v>
      </c>
      <c r="L4015" s="1"/>
      <c r="M4015" s="1"/>
    </row>
    <row x14ac:dyDescent="0.25" r="4016" customHeight="1" ht="18.75">
      <c r="A4016" s="1" t="s">
        <v>7833</v>
      </c>
      <c r="B4016" s="1" t="s">
        <v>8269</v>
      </c>
      <c r="C4016" s="1" t="s">
        <v>4488</v>
      </c>
      <c r="D4016" s="1" t="s">
        <v>3610</v>
      </c>
      <c r="E4016" s="1" t="s">
        <v>3981</v>
      </c>
      <c r="F4016" s="1" t="s">
        <v>14937</v>
      </c>
      <c r="G4016" s="1" t="s">
        <v>14930</v>
      </c>
      <c r="H4016" s="1" t="s">
        <v>3604</v>
      </c>
      <c r="I4016" s="1" t="s">
        <v>14938</v>
      </c>
      <c r="J4016" s="1" t="s">
        <v>3606</v>
      </c>
      <c r="K4016" s="1" t="s">
        <v>14074</v>
      </c>
      <c r="L4016" s="1"/>
      <c r="M4016" s="1"/>
    </row>
    <row x14ac:dyDescent="0.25" r="4017" customHeight="1" ht="18.75">
      <c r="A4017" s="1" t="s">
        <v>7833</v>
      </c>
      <c r="B4017" s="1" t="s">
        <v>8291</v>
      </c>
      <c r="C4017" s="1" t="s">
        <v>4488</v>
      </c>
      <c r="D4017" s="1" t="s">
        <v>3601</v>
      </c>
      <c r="E4017" s="1" t="s">
        <v>8096</v>
      </c>
      <c r="F4017" s="1" t="s">
        <v>14939</v>
      </c>
      <c r="G4017" s="1" t="s">
        <v>8299</v>
      </c>
      <c r="H4017" s="1" t="s">
        <v>3604</v>
      </c>
      <c r="I4017" s="1" t="s">
        <v>14940</v>
      </c>
      <c r="J4017" s="1" t="s">
        <v>3606</v>
      </c>
      <c r="K4017" s="1" t="s">
        <v>14922</v>
      </c>
      <c r="L4017" s="1"/>
      <c r="M4017" s="1"/>
    </row>
    <row x14ac:dyDescent="0.25" r="4018" customHeight="1" ht="18.75">
      <c r="A4018" s="1" t="s">
        <v>7833</v>
      </c>
      <c r="B4018" s="1" t="s">
        <v>8269</v>
      </c>
      <c r="C4018" s="1" t="s">
        <v>4488</v>
      </c>
      <c r="D4018" s="1" t="s">
        <v>3610</v>
      </c>
      <c r="E4018" s="1" t="s">
        <v>3981</v>
      </c>
      <c r="F4018" s="1" t="s">
        <v>14941</v>
      </c>
      <c r="G4018" s="1" t="s">
        <v>14930</v>
      </c>
      <c r="H4018" s="1" t="s">
        <v>3604</v>
      </c>
      <c r="I4018" s="1" t="s">
        <v>14942</v>
      </c>
      <c r="J4018" s="1" t="s">
        <v>3606</v>
      </c>
      <c r="K4018" s="1" t="s">
        <v>14077</v>
      </c>
      <c r="L4018" s="1"/>
      <c r="M4018" s="1"/>
    </row>
    <row x14ac:dyDescent="0.25" r="4019" customHeight="1" ht="18.75">
      <c r="A4019" s="1" t="s">
        <v>7833</v>
      </c>
      <c r="B4019" s="1" t="s">
        <v>8694</v>
      </c>
      <c r="C4019" s="1" t="s">
        <v>4488</v>
      </c>
      <c r="D4019" s="1" t="s">
        <v>3601</v>
      </c>
      <c r="E4019" s="1" t="s">
        <v>8096</v>
      </c>
      <c r="F4019" s="1" t="s">
        <v>1732</v>
      </c>
      <c r="G4019" s="1" t="s">
        <v>8708</v>
      </c>
      <c r="H4019" s="1" t="s">
        <v>3604</v>
      </c>
      <c r="I4019" s="1" t="s">
        <v>14943</v>
      </c>
      <c r="J4019" s="1" t="s">
        <v>3606</v>
      </c>
      <c r="K4019" s="1" t="s">
        <v>14922</v>
      </c>
      <c r="L4019" s="1"/>
      <c r="M4019" s="1"/>
    </row>
    <row x14ac:dyDescent="0.25" r="4020" customHeight="1" ht="18.75">
      <c r="A4020" s="1" t="s">
        <v>7833</v>
      </c>
      <c r="B4020" s="1" t="s">
        <v>8269</v>
      </c>
      <c r="C4020" s="1" t="s">
        <v>4488</v>
      </c>
      <c r="D4020" s="1" t="s">
        <v>7891</v>
      </c>
      <c r="E4020" s="1" t="s">
        <v>3981</v>
      </c>
      <c r="F4020" s="1" t="s">
        <v>14944</v>
      </c>
      <c r="G4020" s="1" t="s">
        <v>14930</v>
      </c>
      <c r="H4020" s="1" t="s">
        <v>3604</v>
      </c>
      <c r="I4020" s="1" t="s">
        <v>14945</v>
      </c>
      <c r="J4020" s="1" t="s">
        <v>3606</v>
      </c>
      <c r="K4020" s="1" t="s">
        <v>14529</v>
      </c>
      <c r="L4020" s="1"/>
      <c r="M4020" s="1"/>
    </row>
    <row x14ac:dyDescent="0.25" r="4021" customHeight="1" ht="18.75">
      <c r="A4021" s="1" t="s">
        <v>7833</v>
      </c>
      <c r="B4021" s="1" t="s">
        <v>8269</v>
      </c>
      <c r="C4021" s="1" t="s">
        <v>4488</v>
      </c>
      <c r="D4021" s="1" t="s">
        <v>3601</v>
      </c>
      <c r="E4021" s="1" t="s">
        <v>8096</v>
      </c>
      <c r="F4021" s="1" t="s">
        <v>14946</v>
      </c>
      <c r="G4021" s="1" t="s">
        <v>14824</v>
      </c>
      <c r="H4021" s="1" t="s">
        <v>3604</v>
      </c>
      <c r="I4021" s="1" t="s">
        <v>14947</v>
      </c>
      <c r="J4021" s="1" t="s">
        <v>3606</v>
      </c>
      <c r="K4021" s="1" t="s">
        <v>14922</v>
      </c>
      <c r="L4021" s="1"/>
      <c r="M4021" s="1"/>
    </row>
    <row x14ac:dyDescent="0.25" r="4022" customHeight="1" ht="18.75">
      <c r="A4022" s="1" t="s">
        <v>7833</v>
      </c>
      <c r="B4022" s="1" t="s">
        <v>8269</v>
      </c>
      <c r="C4022" s="1" t="s">
        <v>4488</v>
      </c>
      <c r="D4022" s="1" t="s">
        <v>8373</v>
      </c>
      <c r="E4022" s="1" t="s">
        <v>3981</v>
      </c>
      <c r="F4022" s="1" t="s">
        <v>14948</v>
      </c>
      <c r="G4022" s="1" t="s">
        <v>14930</v>
      </c>
      <c r="H4022" s="1" t="s">
        <v>3604</v>
      </c>
      <c r="I4022" s="1" t="s">
        <v>14949</v>
      </c>
      <c r="J4022" s="1" t="s">
        <v>3606</v>
      </c>
      <c r="K4022" s="1" t="s">
        <v>14925</v>
      </c>
      <c r="L4022" s="1"/>
      <c r="M4022" s="1"/>
    </row>
    <row x14ac:dyDescent="0.25" r="4023" customHeight="1" ht="18.75">
      <c r="A4023" s="1" t="s">
        <v>7833</v>
      </c>
      <c r="B4023" s="1" t="s">
        <v>9216</v>
      </c>
      <c r="C4023" s="1" t="s">
        <v>4488</v>
      </c>
      <c r="D4023" s="1" t="s">
        <v>3601</v>
      </c>
      <c r="E4023" s="1" t="s">
        <v>3664</v>
      </c>
      <c r="F4023" s="1" t="s">
        <v>14950</v>
      </c>
      <c r="G4023" s="1" t="s">
        <v>9218</v>
      </c>
      <c r="H4023" s="1" t="s">
        <v>3604</v>
      </c>
      <c r="I4023" s="1" t="s">
        <v>14951</v>
      </c>
      <c r="J4023" s="1" t="s">
        <v>3606</v>
      </c>
      <c r="K4023" s="1" t="s">
        <v>14922</v>
      </c>
      <c r="L4023" s="1"/>
      <c r="M4023" s="1"/>
    </row>
    <row x14ac:dyDescent="0.25" r="4024" customHeight="1" ht="18.75">
      <c r="A4024" s="1" t="s">
        <v>7833</v>
      </c>
      <c r="B4024" s="1" t="s">
        <v>9121</v>
      </c>
      <c r="C4024" s="1" t="s">
        <v>4488</v>
      </c>
      <c r="D4024" s="1" t="s">
        <v>3601</v>
      </c>
      <c r="E4024" s="1" t="s">
        <v>3664</v>
      </c>
      <c r="F4024" s="1" t="s">
        <v>1735</v>
      </c>
      <c r="G4024" s="1" t="s">
        <v>9189</v>
      </c>
      <c r="H4024" s="1" t="s">
        <v>3604</v>
      </c>
      <c r="I4024" s="1" t="s">
        <v>14952</v>
      </c>
      <c r="J4024" s="1" t="s">
        <v>3606</v>
      </c>
      <c r="K4024" s="1" t="s">
        <v>14922</v>
      </c>
      <c r="L4024" s="1"/>
      <c r="M4024" s="1"/>
    </row>
    <row x14ac:dyDescent="0.25" r="4025" customHeight="1" ht="18.75">
      <c r="A4025" s="1" t="s">
        <v>7833</v>
      </c>
      <c r="B4025" s="1" t="s">
        <v>8269</v>
      </c>
      <c r="C4025" s="1" t="s">
        <v>4488</v>
      </c>
      <c r="D4025" s="1" t="s">
        <v>3610</v>
      </c>
      <c r="E4025" s="1" t="s">
        <v>3981</v>
      </c>
      <c r="F4025" s="1" t="s">
        <v>14953</v>
      </c>
      <c r="G4025" s="1" t="s">
        <v>14954</v>
      </c>
      <c r="H4025" s="1" t="s">
        <v>3604</v>
      </c>
      <c r="I4025" s="1" t="s">
        <v>14955</v>
      </c>
      <c r="J4025" s="1" t="s">
        <v>3606</v>
      </c>
      <c r="K4025" s="1" t="s">
        <v>14956</v>
      </c>
      <c r="L4025" s="1"/>
      <c r="M4025" s="1"/>
    </row>
    <row x14ac:dyDescent="0.25" r="4026" customHeight="1" ht="18.75">
      <c r="A4026" s="1" t="s">
        <v>7833</v>
      </c>
      <c r="B4026" s="1" t="s">
        <v>7877</v>
      </c>
      <c r="C4026" s="1" t="s">
        <v>4488</v>
      </c>
      <c r="D4026" s="1" t="s">
        <v>3601</v>
      </c>
      <c r="E4026" s="1" t="s">
        <v>3664</v>
      </c>
      <c r="F4026" s="1" t="s">
        <v>1782</v>
      </c>
      <c r="G4026" s="1" t="s">
        <v>14957</v>
      </c>
      <c r="H4026" s="1" t="s">
        <v>3604</v>
      </c>
      <c r="I4026" s="1" t="s">
        <v>14958</v>
      </c>
      <c r="J4026" s="1" t="s">
        <v>3606</v>
      </c>
      <c r="K4026" s="1" t="s">
        <v>14922</v>
      </c>
      <c r="L4026" s="1"/>
      <c r="M4026" s="1"/>
    </row>
    <row x14ac:dyDescent="0.25" r="4027" customHeight="1" ht="18.75">
      <c r="A4027" s="1" t="s">
        <v>7833</v>
      </c>
      <c r="B4027" s="1" t="s">
        <v>8269</v>
      </c>
      <c r="C4027" s="1" t="s">
        <v>4488</v>
      </c>
      <c r="D4027" s="1" t="s">
        <v>3610</v>
      </c>
      <c r="E4027" s="1" t="s">
        <v>3981</v>
      </c>
      <c r="F4027" s="1" t="s">
        <v>14959</v>
      </c>
      <c r="G4027" s="1" t="s">
        <v>14954</v>
      </c>
      <c r="H4027" s="1" t="s">
        <v>3604</v>
      </c>
      <c r="I4027" s="1" t="s">
        <v>14960</v>
      </c>
      <c r="J4027" s="1" t="s">
        <v>3606</v>
      </c>
      <c r="K4027" s="1" t="s">
        <v>14961</v>
      </c>
      <c r="L4027" s="1"/>
      <c r="M4027" s="1"/>
    </row>
    <row x14ac:dyDescent="0.25" r="4028" customHeight="1" ht="18.75">
      <c r="A4028" s="1" t="s">
        <v>7833</v>
      </c>
      <c r="B4028" s="1" t="s">
        <v>8269</v>
      </c>
      <c r="C4028" s="1" t="s">
        <v>4488</v>
      </c>
      <c r="D4028" s="1" t="s">
        <v>3610</v>
      </c>
      <c r="E4028" s="1" t="s">
        <v>3981</v>
      </c>
      <c r="F4028" s="1" t="s">
        <v>14962</v>
      </c>
      <c r="G4028" s="1" t="s">
        <v>14954</v>
      </c>
      <c r="H4028" s="1" t="s">
        <v>3604</v>
      </c>
      <c r="I4028" s="1" t="s">
        <v>14963</v>
      </c>
      <c r="J4028" s="1" t="s">
        <v>3606</v>
      </c>
      <c r="K4028" s="1" t="s">
        <v>14964</v>
      </c>
      <c r="L4028" s="1"/>
      <c r="M4028" s="1"/>
    </row>
    <row x14ac:dyDescent="0.25" r="4029" customHeight="1" ht="18.75">
      <c r="A4029" s="1" t="s">
        <v>7833</v>
      </c>
      <c r="B4029" s="1" t="s">
        <v>14486</v>
      </c>
      <c r="C4029" s="1" t="s">
        <v>3619</v>
      </c>
      <c r="D4029" s="1" t="s">
        <v>3601</v>
      </c>
      <c r="E4029" s="1" t="s">
        <v>3981</v>
      </c>
      <c r="F4029" s="1" t="s">
        <v>1755</v>
      </c>
      <c r="G4029" s="1" t="s">
        <v>14965</v>
      </c>
      <c r="H4029" s="1" t="s">
        <v>3604</v>
      </c>
      <c r="I4029" s="1" t="s">
        <v>14966</v>
      </c>
      <c r="J4029" s="1" t="s">
        <v>3606</v>
      </c>
      <c r="K4029" s="1" t="s">
        <v>14922</v>
      </c>
      <c r="L4029" s="1"/>
      <c r="M4029" s="1"/>
    </row>
    <row x14ac:dyDescent="0.25" r="4030" customHeight="1" ht="18.75">
      <c r="A4030" s="1" t="s">
        <v>7833</v>
      </c>
      <c r="B4030" s="1" t="s">
        <v>8269</v>
      </c>
      <c r="C4030" s="1" t="s">
        <v>4488</v>
      </c>
      <c r="D4030" s="1" t="s">
        <v>7891</v>
      </c>
      <c r="E4030" s="1" t="s">
        <v>3981</v>
      </c>
      <c r="F4030" s="1" t="s">
        <v>14967</v>
      </c>
      <c r="G4030" s="1" t="s">
        <v>14954</v>
      </c>
      <c r="H4030" s="1" t="s">
        <v>3604</v>
      </c>
      <c r="I4030" s="1" t="s">
        <v>14968</v>
      </c>
      <c r="J4030" s="1" t="s">
        <v>3606</v>
      </c>
      <c r="K4030" s="1" t="s">
        <v>14919</v>
      </c>
      <c r="L4030" s="1"/>
      <c r="M4030" s="1"/>
    </row>
    <row x14ac:dyDescent="0.25" r="4031" customHeight="1" ht="18.75">
      <c r="A4031" s="1" t="s">
        <v>7833</v>
      </c>
      <c r="B4031" s="1" t="s">
        <v>8269</v>
      </c>
      <c r="C4031" s="1" t="s">
        <v>4488</v>
      </c>
      <c r="D4031" s="1" t="s">
        <v>8373</v>
      </c>
      <c r="E4031" s="1" t="s">
        <v>3981</v>
      </c>
      <c r="F4031" s="1" t="s">
        <v>14969</v>
      </c>
      <c r="G4031" s="1" t="s">
        <v>14954</v>
      </c>
      <c r="H4031" s="1" t="s">
        <v>3604</v>
      </c>
      <c r="I4031" s="1" t="s">
        <v>14970</v>
      </c>
      <c r="J4031" s="1" t="s">
        <v>3606</v>
      </c>
      <c r="K4031" s="1" t="s">
        <v>14925</v>
      </c>
      <c r="L4031" s="1"/>
      <c r="M4031" s="1"/>
    </row>
    <row x14ac:dyDescent="0.25" r="4032" customHeight="1" ht="18.75">
      <c r="A4032" s="1" t="s">
        <v>7833</v>
      </c>
      <c r="B4032" s="1" t="s">
        <v>8269</v>
      </c>
      <c r="C4032" s="1" t="s">
        <v>4488</v>
      </c>
      <c r="D4032" s="1" t="s">
        <v>3610</v>
      </c>
      <c r="E4032" s="1" t="s">
        <v>3981</v>
      </c>
      <c r="F4032" s="1" t="s">
        <v>14971</v>
      </c>
      <c r="G4032" s="1" t="s">
        <v>14972</v>
      </c>
      <c r="H4032" s="1" t="s">
        <v>3604</v>
      </c>
      <c r="I4032" s="1" t="s">
        <v>14973</v>
      </c>
      <c r="J4032" s="1" t="s">
        <v>3606</v>
      </c>
      <c r="K4032" s="1" t="s">
        <v>14974</v>
      </c>
      <c r="L4032" s="1"/>
      <c r="M4032" s="1"/>
    </row>
    <row x14ac:dyDescent="0.25" r="4033" customHeight="1" ht="18.75">
      <c r="A4033" s="1" t="s">
        <v>7833</v>
      </c>
      <c r="B4033" s="1" t="s">
        <v>8269</v>
      </c>
      <c r="C4033" s="1" t="s">
        <v>4488</v>
      </c>
      <c r="D4033" s="1" t="s">
        <v>3610</v>
      </c>
      <c r="E4033" s="1" t="s">
        <v>3981</v>
      </c>
      <c r="F4033" s="1" t="s">
        <v>14975</v>
      </c>
      <c r="G4033" s="1" t="s">
        <v>14972</v>
      </c>
      <c r="H4033" s="1" t="s">
        <v>3604</v>
      </c>
      <c r="I4033" s="1" t="s">
        <v>14976</v>
      </c>
      <c r="J4033" s="1" t="s">
        <v>3606</v>
      </c>
      <c r="K4033" s="1" t="s">
        <v>14977</v>
      </c>
      <c r="L4033" s="1"/>
      <c r="M4033" s="1"/>
    </row>
    <row x14ac:dyDescent="0.25" r="4034" customHeight="1" ht="18.75">
      <c r="A4034" s="1" t="s">
        <v>7833</v>
      </c>
      <c r="B4034" s="1" t="s">
        <v>8269</v>
      </c>
      <c r="C4034" s="1" t="s">
        <v>4488</v>
      </c>
      <c r="D4034" s="1" t="s">
        <v>3610</v>
      </c>
      <c r="E4034" s="1" t="s">
        <v>3981</v>
      </c>
      <c r="F4034" s="1" t="s">
        <v>14978</v>
      </c>
      <c r="G4034" s="1" t="s">
        <v>14972</v>
      </c>
      <c r="H4034" s="1" t="s">
        <v>3604</v>
      </c>
      <c r="I4034" s="1" t="s">
        <v>14979</v>
      </c>
      <c r="J4034" s="1" t="s">
        <v>3606</v>
      </c>
      <c r="K4034" s="1" t="s">
        <v>14980</v>
      </c>
      <c r="L4034" s="1"/>
      <c r="M4034" s="1"/>
    </row>
    <row x14ac:dyDescent="0.25" r="4035" customHeight="1" ht="18.75">
      <c r="A4035" s="1" t="s">
        <v>7833</v>
      </c>
      <c r="B4035" s="1" t="s">
        <v>8269</v>
      </c>
      <c r="C4035" s="1" t="s">
        <v>4488</v>
      </c>
      <c r="D4035" s="1" t="s">
        <v>7891</v>
      </c>
      <c r="E4035" s="1" t="s">
        <v>3981</v>
      </c>
      <c r="F4035" s="1" t="s">
        <v>14981</v>
      </c>
      <c r="G4035" s="1" t="s">
        <v>14972</v>
      </c>
      <c r="H4035" s="1" t="s">
        <v>3604</v>
      </c>
      <c r="I4035" s="1" t="s">
        <v>14982</v>
      </c>
      <c r="J4035" s="1" t="s">
        <v>3606</v>
      </c>
      <c r="K4035" s="1" t="s">
        <v>14919</v>
      </c>
      <c r="L4035" s="1"/>
      <c r="M4035" s="1"/>
    </row>
    <row x14ac:dyDescent="0.25" r="4036" customHeight="1" ht="18.75">
      <c r="A4036" s="1" t="s">
        <v>7833</v>
      </c>
      <c r="B4036" s="1" t="s">
        <v>14256</v>
      </c>
      <c r="C4036" s="1" t="s">
        <v>4488</v>
      </c>
      <c r="D4036" s="1" t="s">
        <v>3601</v>
      </c>
      <c r="E4036" s="1" t="s">
        <v>3664</v>
      </c>
      <c r="F4036" s="1" t="s">
        <v>14983</v>
      </c>
      <c r="G4036" s="1" t="s">
        <v>14828</v>
      </c>
      <c r="H4036" s="1" t="s">
        <v>3604</v>
      </c>
      <c r="I4036" s="1" t="s">
        <v>14984</v>
      </c>
      <c r="J4036" s="1" t="s">
        <v>3606</v>
      </c>
      <c r="K4036" s="1" t="s">
        <v>14985</v>
      </c>
      <c r="L4036" s="1"/>
      <c r="M4036" s="1"/>
    </row>
    <row x14ac:dyDescent="0.25" r="4037" customHeight="1" ht="18.75">
      <c r="A4037" s="1" t="s">
        <v>7833</v>
      </c>
      <c r="B4037" s="1" t="s">
        <v>14256</v>
      </c>
      <c r="C4037" s="1" t="s">
        <v>4488</v>
      </c>
      <c r="D4037" s="1" t="s">
        <v>3601</v>
      </c>
      <c r="E4037" s="1" t="s">
        <v>3981</v>
      </c>
      <c r="F4037" s="1" t="s">
        <v>14986</v>
      </c>
      <c r="G4037" s="1" t="s">
        <v>14828</v>
      </c>
      <c r="H4037" s="1" t="s">
        <v>3604</v>
      </c>
      <c r="I4037" s="1" t="s">
        <v>14987</v>
      </c>
      <c r="J4037" s="1" t="s">
        <v>3606</v>
      </c>
      <c r="K4037" s="1" t="s">
        <v>14988</v>
      </c>
      <c r="L4037" s="1"/>
      <c r="M4037" s="1"/>
    </row>
    <row x14ac:dyDescent="0.25" r="4038" customHeight="1" ht="18.75">
      <c r="A4038" s="1" t="s">
        <v>7833</v>
      </c>
      <c r="B4038" s="1" t="s">
        <v>14256</v>
      </c>
      <c r="C4038" s="1" t="s">
        <v>4488</v>
      </c>
      <c r="D4038" s="1" t="s">
        <v>3601</v>
      </c>
      <c r="E4038" s="1" t="s">
        <v>3981</v>
      </c>
      <c r="F4038" s="1" t="s">
        <v>14989</v>
      </c>
      <c r="G4038" s="1" t="s">
        <v>14828</v>
      </c>
      <c r="H4038" s="1" t="s">
        <v>3604</v>
      </c>
      <c r="I4038" s="1" t="s">
        <v>14990</v>
      </c>
      <c r="J4038" s="1" t="s">
        <v>3606</v>
      </c>
      <c r="K4038" s="1" t="s">
        <v>14991</v>
      </c>
      <c r="L4038" s="1"/>
      <c r="M4038" s="1"/>
    </row>
    <row x14ac:dyDescent="0.25" r="4039" customHeight="1" ht="18.75">
      <c r="A4039" s="1" t="s">
        <v>7833</v>
      </c>
      <c r="B4039" s="1" t="s">
        <v>14256</v>
      </c>
      <c r="C4039" s="1" t="s">
        <v>4488</v>
      </c>
      <c r="D4039" s="1" t="s">
        <v>3601</v>
      </c>
      <c r="E4039" s="1" t="s">
        <v>3664</v>
      </c>
      <c r="F4039" s="1" t="s">
        <v>14992</v>
      </c>
      <c r="G4039" s="1" t="s">
        <v>14993</v>
      </c>
      <c r="H4039" s="1" t="s">
        <v>3604</v>
      </c>
      <c r="I4039" s="1" t="s">
        <v>14994</v>
      </c>
      <c r="J4039" s="1" t="s">
        <v>3606</v>
      </c>
      <c r="K4039" s="1" t="s">
        <v>14995</v>
      </c>
      <c r="L4039" s="1"/>
      <c r="M4039" s="1"/>
    </row>
    <row x14ac:dyDescent="0.25" r="4040" customHeight="1" ht="18.75">
      <c r="A4040" s="1" t="s">
        <v>7833</v>
      </c>
      <c r="B4040" s="1" t="s">
        <v>14256</v>
      </c>
      <c r="C4040" s="1" t="s">
        <v>4488</v>
      </c>
      <c r="D4040" s="1" t="s">
        <v>3601</v>
      </c>
      <c r="E4040" s="1" t="s">
        <v>3664</v>
      </c>
      <c r="F4040" s="1" t="s">
        <v>14996</v>
      </c>
      <c r="G4040" s="1" t="s">
        <v>14993</v>
      </c>
      <c r="H4040" s="1" t="s">
        <v>3604</v>
      </c>
      <c r="I4040" s="1" t="s">
        <v>14997</v>
      </c>
      <c r="J4040" s="1" t="s">
        <v>3606</v>
      </c>
      <c r="K4040" s="1" t="s">
        <v>14998</v>
      </c>
      <c r="L4040" s="1"/>
      <c r="M4040" s="1"/>
    </row>
    <row x14ac:dyDescent="0.25" r="4041" customHeight="1" ht="18.75">
      <c r="A4041" s="1" t="s">
        <v>7833</v>
      </c>
      <c r="B4041" s="1" t="s">
        <v>14256</v>
      </c>
      <c r="C4041" s="1" t="s">
        <v>4488</v>
      </c>
      <c r="D4041" s="1" t="s">
        <v>3601</v>
      </c>
      <c r="E4041" s="1" t="s">
        <v>3981</v>
      </c>
      <c r="F4041" s="1" t="s">
        <v>14999</v>
      </c>
      <c r="G4041" s="1" t="s">
        <v>14993</v>
      </c>
      <c r="H4041" s="1" t="s">
        <v>3604</v>
      </c>
      <c r="I4041" s="1" t="s">
        <v>15000</v>
      </c>
      <c r="J4041" s="1" t="s">
        <v>3606</v>
      </c>
      <c r="K4041" s="1" t="s">
        <v>15001</v>
      </c>
      <c r="L4041" s="1"/>
      <c r="M4041" s="1"/>
    </row>
    <row x14ac:dyDescent="0.25" r="4042" customHeight="1" ht="18.75">
      <c r="A4042" s="1" t="s">
        <v>7833</v>
      </c>
      <c r="B4042" s="1" t="s">
        <v>14256</v>
      </c>
      <c r="C4042" s="1" t="s">
        <v>4488</v>
      </c>
      <c r="D4042" s="1" t="s">
        <v>3601</v>
      </c>
      <c r="E4042" s="1" t="s">
        <v>3981</v>
      </c>
      <c r="F4042" s="1" t="s">
        <v>15002</v>
      </c>
      <c r="G4042" s="1" t="s">
        <v>14993</v>
      </c>
      <c r="H4042" s="1" t="s">
        <v>3604</v>
      </c>
      <c r="I4042" s="1" t="s">
        <v>15003</v>
      </c>
      <c r="J4042" s="1" t="s">
        <v>3606</v>
      </c>
      <c r="K4042" s="1" t="s">
        <v>15004</v>
      </c>
      <c r="L4042" s="1"/>
      <c r="M4042" s="1"/>
    </row>
    <row x14ac:dyDescent="0.25" r="4043" customHeight="1" ht="18.75">
      <c r="A4043" s="1" t="s">
        <v>7833</v>
      </c>
      <c r="B4043" s="1" t="s">
        <v>14256</v>
      </c>
      <c r="C4043" s="1" t="s">
        <v>4488</v>
      </c>
      <c r="D4043" s="1" t="s">
        <v>3601</v>
      </c>
      <c r="E4043" s="1" t="s">
        <v>3664</v>
      </c>
      <c r="F4043" s="1" t="s">
        <v>15005</v>
      </c>
      <c r="G4043" s="1" t="s">
        <v>14258</v>
      </c>
      <c r="H4043" s="1" t="s">
        <v>3604</v>
      </c>
      <c r="I4043" s="1" t="s">
        <v>15006</v>
      </c>
      <c r="J4043" s="1" t="s">
        <v>3606</v>
      </c>
      <c r="K4043" s="1" t="s">
        <v>15007</v>
      </c>
      <c r="L4043" s="1"/>
      <c r="M4043" s="1"/>
    </row>
    <row x14ac:dyDescent="0.25" r="4044" customHeight="1" ht="18.75">
      <c r="A4044" s="1" t="s">
        <v>3598</v>
      </c>
      <c r="B4044" s="1" t="s">
        <v>9007</v>
      </c>
      <c r="C4044" s="1" t="s">
        <v>3600</v>
      </c>
      <c r="D4044" s="1" t="s">
        <v>3601</v>
      </c>
      <c r="E4044" s="1" t="s">
        <v>3893</v>
      </c>
      <c r="F4044" s="1" t="s">
        <v>15008</v>
      </c>
      <c r="G4044" s="1" t="s">
        <v>9009</v>
      </c>
      <c r="H4044" s="1" t="s">
        <v>3604</v>
      </c>
      <c r="I4044" s="1" t="s">
        <v>15009</v>
      </c>
      <c r="J4044" s="1" t="s">
        <v>3606</v>
      </c>
      <c r="K4044" s="1"/>
      <c r="L4044" s="1"/>
      <c r="M4044" s="1"/>
    </row>
    <row x14ac:dyDescent="0.25" r="4045" customHeight="1" ht="18.75">
      <c r="A4045" s="1" t="s">
        <v>3598</v>
      </c>
      <c r="B4045" s="1" t="s">
        <v>9007</v>
      </c>
      <c r="C4045" s="1" t="s">
        <v>3600</v>
      </c>
      <c r="D4045" s="1" t="s">
        <v>3601</v>
      </c>
      <c r="E4045" s="1" t="s">
        <v>3893</v>
      </c>
      <c r="F4045" s="1" t="s">
        <v>15010</v>
      </c>
      <c r="G4045" s="1" t="s">
        <v>15011</v>
      </c>
      <c r="H4045" s="1" t="s">
        <v>3604</v>
      </c>
      <c r="I4045" s="1" t="s">
        <v>15012</v>
      </c>
      <c r="J4045" s="1" t="s">
        <v>3606</v>
      </c>
      <c r="K4045" s="1"/>
      <c r="L4045" s="1"/>
      <c r="M4045" s="1"/>
    </row>
    <row x14ac:dyDescent="0.25" r="4046" customHeight="1" ht="18.75">
      <c r="A4046" s="1" t="s">
        <v>3598</v>
      </c>
      <c r="B4046" s="1" t="s">
        <v>9007</v>
      </c>
      <c r="C4046" s="1" t="s">
        <v>3600</v>
      </c>
      <c r="D4046" s="1" t="s">
        <v>3601</v>
      </c>
      <c r="E4046" s="1" t="s">
        <v>3893</v>
      </c>
      <c r="F4046" s="1" t="s">
        <v>15013</v>
      </c>
      <c r="G4046" s="1" t="s">
        <v>15014</v>
      </c>
      <c r="H4046" s="1" t="s">
        <v>3604</v>
      </c>
      <c r="I4046" s="1" t="s">
        <v>15015</v>
      </c>
      <c r="J4046" s="1" t="s">
        <v>3606</v>
      </c>
      <c r="K4046" s="1"/>
      <c r="L4046" s="1"/>
      <c r="M4046" s="1"/>
    </row>
    <row x14ac:dyDescent="0.25" r="4047" customHeight="1" ht="18.75">
      <c r="A4047" s="1" t="s">
        <v>3598</v>
      </c>
      <c r="B4047" s="1" t="s">
        <v>9007</v>
      </c>
      <c r="C4047" s="1" t="s">
        <v>3600</v>
      </c>
      <c r="D4047" s="1" t="s">
        <v>3601</v>
      </c>
      <c r="E4047" s="1" t="s">
        <v>3893</v>
      </c>
      <c r="F4047" s="1" t="s">
        <v>15016</v>
      </c>
      <c r="G4047" s="1" t="s">
        <v>15017</v>
      </c>
      <c r="H4047" s="1" t="s">
        <v>3604</v>
      </c>
      <c r="I4047" s="1" t="s">
        <v>15018</v>
      </c>
      <c r="J4047" s="1" t="s">
        <v>3606</v>
      </c>
      <c r="K4047" s="1"/>
      <c r="L4047" s="1"/>
      <c r="M4047" s="1"/>
    </row>
    <row x14ac:dyDescent="0.25" r="4048" customHeight="1" ht="18.75">
      <c r="A4048" s="1" t="s">
        <v>3598</v>
      </c>
      <c r="B4048" s="1" t="s">
        <v>9007</v>
      </c>
      <c r="C4048" s="1" t="s">
        <v>3600</v>
      </c>
      <c r="D4048" s="1" t="s">
        <v>3601</v>
      </c>
      <c r="E4048" s="1" t="s">
        <v>3893</v>
      </c>
      <c r="F4048" s="1" t="s">
        <v>15019</v>
      </c>
      <c r="G4048" s="1" t="s">
        <v>15020</v>
      </c>
      <c r="H4048" s="1" t="s">
        <v>3604</v>
      </c>
      <c r="I4048" s="1" t="s">
        <v>15021</v>
      </c>
      <c r="J4048" s="1" t="s">
        <v>3606</v>
      </c>
      <c r="K4048" s="1"/>
      <c r="L4048" s="1"/>
      <c r="M4048" s="1"/>
    </row>
    <row x14ac:dyDescent="0.25" r="4049" customHeight="1" ht="18.75">
      <c r="A4049" s="1" t="s">
        <v>3598</v>
      </c>
      <c r="B4049" s="1" t="s">
        <v>9007</v>
      </c>
      <c r="C4049" s="1" t="s">
        <v>3600</v>
      </c>
      <c r="D4049" s="1" t="s">
        <v>3601</v>
      </c>
      <c r="E4049" s="1" t="s">
        <v>3893</v>
      </c>
      <c r="F4049" s="1" t="s">
        <v>15022</v>
      </c>
      <c r="G4049" s="1" t="s">
        <v>15023</v>
      </c>
      <c r="H4049" s="1" t="s">
        <v>3604</v>
      </c>
      <c r="I4049" s="1" t="s">
        <v>15024</v>
      </c>
      <c r="J4049" s="1" t="s">
        <v>3606</v>
      </c>
      <c r="K4049" s="1"/>
      <c r="L4049" s="1"/>
      <c r="M4049" s="1"/>
    </row>
    <row x14ac:dyDescent="0.25" r="4050" customHeight="1" ht="18.75">
      <c r="A4050" s="1" t="s">
        <v>3598</v>
      </c>
      <c r="B4050" s="1" t="s">
        <v>9007</v>
      </c>
      <c r="C4050" s="1" t="s">
        <v>3600</v>
      </c>
      <c r="D4050" s="1" t="s">
        <v>3601</v>
      </c>
      <c r="E4050" s="1" t="s">
        <v>3893</v>
      </c>
      <c r="F4050" s="1" t="s">
        <v>15025</v>
      </c>
      <c r="G4050" s="1" t="s">
        <v>15026</v>
      </c>
      <c r="H4050" s="1" t="s">
        <v>3604</v>
      </c>
      <c r="I4050" s="1" t="s">
        <v>15027</v>
      </c>
      <c r="J4050" s="1" t="s">
        <v>3606</v>
      </c>
      <c r="K4050" s="1"/>
      <c r="L4050" s="1"/>
      <c r="M4050" s="1"/>
    </row>
    <row x14ac:dyDescent="0.25" r="4051" customHeight="1" ht="18.75">
      <c r="A4051" s="1" t="s">
        <v>3598</v>
      </c>
      <c r="B4051" s="1" t="s">
        <v>9007</v>
      </c>
      <c r="C4051" s="1" t="s">
        <v>3600</v>
      </c>
      <c r="D4051" s="1" t="s">
        <v>3601</v>
      </c>
      <c r="E4051" s="1" t="s">
        <v>3893</v>
      </c>
      <c r="F4051" s="1" t="s">
        <v>15028</v>
      </c>
      <c r="G4051" s="1" t="s">
        <v>15029</v>
      </c>
      <c r="H4051" s="1" t="s">
        <v>3604</v>
      </c>
      <c r="I4051" s="1" t="s">
        <v>15030</v>
      </c>
      <c r="J4051" s="1" t="s">
        <v>3606</v>
      </c>
      <c r="K4051" s="1"/>
      <c r="L4051" s="1"/>
      <c r="M4051" s="1"/>
    </row>
    <row x14ac:dyDescent="0.25" r="4052" customHeight="1" ht="18.75">
      <c r="A4052" s="1" t="s">
        <v>3598</v>
      </c>
      <c r="B4052" s="1" t="s">
        <v>9007</v>
      </c>
      <c r="C4052" s="1" t="s">
        <v>3600</v>
      </c>
      <c r="D4052" s="1" t="s">
        <v>3601</v>
      </c>
      <c r="E4052" s="1" t="s">
        <v>3893</v>
      </c>
      <c r="F4052" s="1" t="s">
        <v>15031</v>
      </c>
      <c r="G4052" s="1" t="s">
        <v>15032</v>
      </c>
      <c r="H4052" s="1" t="s">
        <v>3604</v>
      </c>
      <c r="I4052" s="1" t="s">
        <v>15033</v>
      </c>
      <c r="J4052" s="1" t="s">
        <v>3606</v>
      </c>
      <c r="K4052" s="1"/>
      <c r="L4052" s="1"/>
      <c r="M4052" s="1"/>
    </row>
    <row x14ac:dyDescent="0.25" r="4053" customHeight="1" ht="18.75">
      <c r="A4053" s="1" t="s">
        <v>3598</v>
      </c>
      <c r="B4053" s="1" t="s">
        <v>9007</v>
      </c>
      <c r="C4053" s="1" t="s">
        <v>3600</v>
      </c>
      <c r="D4053" s="1" t="s">
        <v>3601</v>
      </c>
      <c r="E4053" s="1" t="s">
        <v>3893</v>
      </c>
      <c r="F4053" s="1" t="s">
        <v>15034</v>
      </c>
      <c r="G4053" s="1" t="s">
        <v>6409</v>
      </c>
      <c r="H4053" s="1" t="s">
        <v>3604</v>
      </c>
      <c r="I4053" s="1" t="s">
        <v>15035</v>
      </c>
      <c r="J4053" s="1" t="s">
        <v>3606</v>
      </c>
      <c r="K4053" s="1"/>
      <c r="L4053" s="1"/>
      <c r="M4053" s="1"/>
    </row>
    <row x14ac:dyDescent="0.25" r="4054" customHeight="1" ht="18.75">
      <c r="A4054" s="1" t="s">
        <v>3598</v>
      </c>
      <c r="B4054" s="1" t="s">
        <v>9007</v>
      </c>
      <c r="C4054" s="1" t="s">
        <v>3600</v>
      </c>
      <c r="D4054" s="1" t="s">
        <v>3601</v>
      </c>
      <c r="E4054" s="1" t="s">
        <v>3893</v>
      </c>
      <c r="F4054" s="1" t="s">
        <v>15036</v>
      </c>
      <c r="G4054" s="1" t="s">
        <v>8614</v>
      </c>
      <c r="H4054" s="1" t="s">
        <v>3604</v>
      </c>
      <c r="I4054" s="1" t="s">
        <v>15037</v>
      </c>
      <c r="J4054" s="1" t="s">
        <v>3606</v>
      </c>
      <c r="K4054" s="1"/>
      <c r="L4054" s="1"/>
      <c r="M4054" s="1"/>
    </row>
    <row x14ac:dyDescent="0.25" r="4055" customHeight="1" ht="18.75">
      <c r="A4055" s="1" t="s">
        <v>7833</v>
      </c>
      <c r="B4055" s="1" t="s">
        <v>13754</v>
      </c>
      <c r="C4055" s="1" t="s">
        <v>3619</v>
      </c>
      <c r="D4055" s="1" t="s">
        <v>3601</v>
      </c>
      <c r="E4055" s="1" t="s">
        <v>3981</v>
      </c>
      <c r="F4055" s="1" t="s">
        <v>1656</v>
      </c>
      <c r="G4055" s="1" t="s">
        <v>14565</v>
      </c>
      <c r="H4055" s="1" t="s">
        <v>3604</v>
      </c>
      <c r="I4055" s="1" t="s">
        <v>15038</v>
      </c>
      <c r="J4055" s="1" t="s">
        <v>3606</v>
      </c>
      <c r="K4055" s="1" t="s">
        <v>14922</v>
      </c>
      <c r="L4055" s="1"/>
      <c r="M4055" s="1"/>
    </row>
    <row x14ac:dyDescent="0.25" r="4056" customHeight="1" ht="18.75">
      <c r="A4056" s="1" t="s">
        <v>7833</v>
      </c>
      <c r="B4056" s="1" t="s">
        <v>8178</v>
      </c>
      <c r="C4056" s="1" t="s">
        <v>3619</v>
      </c>
      <c r="D4056" s="1" t="s">
        <v>8365</v>
      </c>
      <c r="E4056" s="1" t="s">
        <v>3664</v>
      </c>
      <c r="F4056" s="1" t="s">
        <v>1687</v>
      </c>
      <c r="G4056" s="1" t="s">
        <v>14913</v>
      </c>
      <c r="H4056" s="1" t="s">
        <v>3604</v>
      </c>
      <c r="I4056" s="1" t="s">
        <v>15039</v>
      </c>
      <c r="J4056" s="1" t="s">
        <v>3606</v>
      </c>
      <c r="K4056" s="1" t="s">
        <v>15040</v>
      </c>
      <c r="L4056" s="1"/>
      <c r="M4056" s="1"/>
    </row>
    <row x14ac:dyDescent="0.25" r="4057" customHeight="1" ht="18.75">
      <c r="A4057" s="1" t="s">
        <v>7833</v>
      </c>
      <c r="B4057" s="1" t="s">
        <v>15041</v>
      </c>
      <c r="C4057" s="1" t="s">
        <v>3619</v>
      </c>
      <c r="D4057" s="1" t="s">
        <v>8365</v>
      </c>
      <c r="E4057" s="1" t="s">
        <v>3664</v>
      </c>
      <c r="F4057" s="1" t="s">
        <v>15042</v>
      </c>
      <c r="G4057" s="1" t="s">
        <v>15043</v>
      </c>
      <c r="H4057" s="1" t="s">
        <v>3604</v>
      </c>
      <c r="I4057" s="1" t="s">
        <v>15044</v>
      </c>
      <c r="J4057" s="1" t="s">
        <v>3606</v>
      </c>
      <c r="K4057" s="1" t="s">
        <v>15040</v>
      </c>
      <c r="L4057" s="1"/>
      <c r="M4057" s="1"/>
    </row>
    <row x14ac:dyDescent="0.25" r="4058" customHeight="1" ht="18.75">
      <c r="A4058" s="1" t="s">
        <v>7833</v>
      </c>
      <c r="B4058" s="1" t="s">
        <v>13754</v>
      </c>
      <c r="C4058" s="1" t="s">
        <v>3619</v>
      </c>
      <c r="D4058" s="1" t="s">
        <v>8365</v>
      </c>
      <c r="E4058" s="1" t="s">
        <v>3981</v>
      </c>
      <c r="F4058" s="1" t="s">
        <v>1657</v>
      </c>
      <c r="G4058" s="1" t="s">
        <v>14565</v>
      </c>
      <c r="H4058" s="1" t="s">
        <v>3604</v>
      </c>
      <c r="I4058" s="1" t="s">
        <v>15045</v>
      </c>
      <c r="J4058" s="1" t="s">
        <v>3606</v>
      </c>
      <c r="K4058" s="1" t="s">
        <v>15040</v>
      </c>
      <c r="L4058" s="1"/>
      <c r="M4058" s="1"/>
    </row>
    <row x14ac:dyDescent="0.25" r="4059" customHeight="1" ht="18.75">
      <c r="A4059" s="1" t="s">
        <v>7833</v>
      </c>
      <c r="B4059" s="1" t="s">
        <v>15046</v>
      </c>
      <c r="C4059" s="1" t="s">
        <v>4488</v>
      </c>
      <c r="D4059" s="1" t="s">
        <v>8365</v>
      </c>
      <c r="E4059" s="1" t="s">
        <v>3664</v>
      </c>
      <c r="F4059" s="1" t="s">
        <v>1800</v>
      </c>
      <c r="G4059" s="1" t="s">
        <v>15047</v>
      </c>
      <c r="H4059" s="1" t="s">
        <v>3604</v>
      </c>
      <c r="I4059" s="1" t="s">
        <v>15048</v>
      </c>
      <c r="J4059" s="1" t="s">
        <v>3606</v>
      </c>
      <c r="K4059" s="1" t="s">
        <v>15049</v>
      </c>
      <c r="L4059" s="1"/>
      <c r="M4059" s="1"/>
    </row>
    <row x14ac:dyDescent="0.25" r="4060" customHeight="1" ht="18.75">
      <c r="A4060" s="1" t="s">
        <v>7833</v>
      </c>
      <c r="B4060" s="1" t="s">
        <v>9824</v>
      </c>
      <c r="C4060" s="1" t="s">
        <v>4488</v>
      </c>
      <c r="D4060" s="1" t="s">
        <v>8365</v>
      </c>
      <c r="E4060" s="1" t="s">
        <v>8096</v>
      </c>
      <c r="F4060" s="1" t="s">
        <v>15050</v>
      </c>
      <c r="G4060" s="1" t="s">
        <v>14305</v>
      </c>
      <c r="H4060" s="1" t="s">
        <v>3604</v>
      </c>
      <c r="I4060" s="1" t="s">
        <v>15051</v>
      </c>
      <c r="J4060" s="1" t="s">
        <v>3606</v>
      </c>
      <c r="K4060" s="1" t="s">
        <v>15049</v>
      </c>
      <c r="L4060" s="1"/>
      <c r="M4060" s="1"/>
    </row>
    <row x14ac:dyDescent="0.25" r="4061" customHeight="1" ht="18.75">
      <c r="A4061" s="1" t="s">
        <v>7833</v>
      </c>
      <c r="B4061" s="1" t="s">
        <v>8258</v>
      </c>
      <c r="C4061" s="1" t="s">
        <v>4488</v>
      </c>
      <c r="D4061" s="1" t="s">
        <v>3601</v>
      </c>
      <c r="E4061" s="1" t="s">
        <v>3664</v>
      </c>
      <c r="F4061" s="1" t="s">
        <v>15052</v>
      </c>
      <c r="G4061" s="1" t="s">
        <v>14461</v>
      </c>
      <c r="H4061" s="1" t="s">
        <v>3604</v>
      </c>
      <c r="I4061" s="1" t="s">
        <v>15053</v>
      </c>
      <c r="J4061" s="1" t="s">
        <v>3606</v>
      </c>
      <c r="K4061" s="1" t="s">
        <v>15054</v>
      </c>
      <c r="L4061" s="1"/>
      <c r="M4061" s="1"/>
    </row>
    <row x14ac:dyDescent="0.25" r="4062" customHeight="1" ht="18.75">
      <c r="A4062" s="1" t="s">
        <v>7833</v>
      </c>
      <c r="B4062" s="1" t="s">
        <v>9824</v>
      </c>
      <c r="C4062" s="1" t="s">
        <v>4488</v>
      </c>
      <c r="D4062" s="1" t="s">
        <v>8365</v>
      </c>
      <c r="E4062" s="1" t="s">
        <v>8096</v>
      </c>
      <c r="F4062" s="1" t="s">
        <v>15055</v>
      </c>
      <c r="G4062" s="1" t="s">
        <v>14305</v>
      </c>
      <c r="H4062" s="1" t="s">
        <v>3604</v>
      </c>
      <c r="I4062" s="1" t="s">
        <v>15056</v>
      </c>
      <c r="J4062" s="1" t="s">
        <v>3606</v>
      </c>
      <c r="K4062" s="1" t="s">
        <v>15040</v>
      </c>
      <c r="L4062" s="1"/>
      <c r="M4062" s="1"/>
    </row>
    <row x14ac:dyDescent="0.25" r="4063" customHeight="1" ht="18.75">
      <c r="A4063" s="1" t="s">
        <v>7833</v>
      </c>
      <c r="B4063" s="1" t="s">
        <v>14422</v>
      </c>
      <c r="C4063" s="1" t="s">
        <v>4488</v>
      </c>
      <c r="D4063" s="1" t="s">
        <v>8365</v>
      </c>
      <c r="E4063" s="1" t="s">
        <v>3664</v>
      </c>
      <c r="F4063" s="1" t="s">
        <v>1611</v>
      </c>
      <c r="G4063" s="1" t="s">
        <v>14424</v>
      </c>
      <c r="H4063" s="1" t="s">
        <v>3604</v>
      </c>
      <c r="I4063" s="1" t="s">
        <v>15057</v>
      </c>
      <c r="J4063" s="1" t="s">
        <v>3615</v>
      </c>
      <c r="K4063" s="1" t="s">
        <v>15049</v>
      </c>
      <c r="L4063" s="1"/>
      <c r="M4063" s="1"/>
    </row>
    <row x14ac:dyDescent="0.25" r="4064" customHeight="1" ht="18.75">
      <c r="A4064" s="1" t="s">
        <v>7833</v>
      </c>
      <c r="B4064" s="1" t="s">
        <v>8258</v>
      </c>
      <c r="C4064" s="1" t="s">
        <v>4488</v>
      </c>
      <c r="D4064" s="1" t="s">
        <v>3601</v>
      </c>
      <c r="E4064" s="1" t="s">
        <v>3664</v>
      </c>
      <c r="F4064" s="1" t="s">
        <v>15058</v>
      </c>
      <c r="G4064" s="1" t="s">
        <v>14461</v>
      </c>
      <c r="H4064" s="1" t="s">
        <v>3604</v>
      </c>
      <c r="I4064" s="1" t="s">
        <v>15059</v>
      </c>
      <c r="J4064" s="1" t="s">
        <v>3606</v>
      </c>
      <c r="K4064" s="1" t="s">
        <v>15060</v>
      </c>
      <c r="L4064" s="1"/>
      <c r="M4064" s="1"/>
    </row>
    <row x14ac:dyDescent="0.25" r="4065" customHeight="1" ht="18.75">
      <c r="A4065" s="1" t="s">
        <v>7833</v>
      </c>
      <c r="B4065" s="1" t="s">
        <v>8258</v>
      </c>
      <c r="C4065" s="1" t="s">
        <v>4488</v>
      </c>
      <c r="D4065" s="1" t="s">
        <v>3601</v>
      </c>
      <c r="E4065" s="1" t="s">
        <v>3664</v>
      </c>
      <c r="F4065" s="1" t="s">
        <v>15061</v>
      </c>
      <c r="G4065" s="1" t="s">
        <v>15062</v>
      </c>
      <c r="H4065" s="1" t="s">
        <v>3604</v>
      </c>
      <c r="I4065" s="1" t="s">
        <v>15063</v>
      </c>
      <c r="J4065" s="1" t="s">
        <v>3606</v>
      </c>
      <c r="K4065" s="1" t="s">
        <v>15064</v>
      </c>
      <c r="L4065" s="1"/>
      <c r="M4065" s="1"/>
    </row>
    <row x14ac:dyDescent="0.25" r="4066" customHeight="1" ht="18.75">
      <c r="A4066" s="1" t="s">
        <v>7833</v>
      </c>
      <c r="B4066" s="1" t="s">
        <v>7861</v>
      </c>
      <c r="C4066" s="1" t="s">
        <v>4488</v>
      </c>
      <c r="D4066" s="1" t="s">
        <v>8365</v>
      </c>
      <c r="E4066" s="1" t="s">
        <v>3664</v>
      </c>
      <c r="F4066" s="1" t="s">
        <v>15065</v>
      </c>
      <c r="G4066" s="1" t="s">
        <v>7863</v>
      </c>
      <c r="H4066" s="1" t="s">
        <v>3604</v>
      </c>
      <c r="I4066" s="1" t="s">
        <v>15066</v>
      </c>
      <c r="J4066" s="1" t="s">
        <v>3606</v>
      </c>
      <c r="K4066" s="1" t="s">
        <v>15040</v>
      </c>
      <c r="L4066" s="1"/>
      <c r="M4066" s="1"/>
    </row>
    <row x14ac:dyDescent="0.25" r="4067" customHeight="1" ht="18.75">
      <c r="A4067" s="1" t="s">
        <v>7833</v>
      </c>
      <c r="B4067" s="1" t="s">
        <v>8269</v>
      </c>
      <c r="C4067" s="1" t="s">
        <v>4488</v>
      </c>
      <c r="D4067" s="1" t="s">
        <v>8373</v>
      </c>
      <c r="E4067" s="1" t="s">
        <v>3981</v>
      </c>
      <c r="F4067" s="1" t="s">
        <v>15067</v>
      </c>
      <c r="G4067" s="1" t="s">
        <v>14972</v>
      </c>
      <c r="H4067" s="1" t="s">
        <v>3604</v>
      </c>
      <c r="I4067" s="1" t="s">
        <v>15068</v>
      </c>
      <c r="J4067" s="1" t="s">
        <v>3606</v>
      </c>
      <c r="K4067" s="1" t="s">
        <v>14925</v>
      </c>
      <c r="L4067" s="1"/>
      <c r="M4067" s="1"/>
    </row>
    <row x14ac:dyDescent="0.25" r="4068" customHeight="1" ht="18.75">
      <c r="A4068" s="1" t="s">
        <v>7833</v>
      </c>
      <c r="B4068" s="1" t="s">
        <v>8258</v>
      </c>
      <c r="C4068" s="1" t="s">
        <v>4488</v>
      </c>
      <c r="D4068" s="1" t="s">
        <v>3601</v>
      </c>
      <c r="E4068" s="1" t="s">
        <v>3664</v>
      </c>
      <c r="F4068" s="1" t="s">
        <v>15069</v>
      </c>
      <c r="G4068" s="1" t="s">
        <v>15062</v>
      </c>
      <c r="H4068" s="1" t="s">
        <v>3604</v>
      </c>
      <c r="I4068" s="1" t="s">
        <v>15070</v>
      </c>
      <c r="J4068" s="1" t="s">
        <v>3606</v>
      </c>
      <c r="K4068" s="1" t="s">
        <v>15071</v>
      </c>
      <c r="L4068" s="1"/>
      <c r="M4068" s="1"/>
    </row>
    <row x14ac:dyDescent="0.25" r="4069" customHeight="1" ht="18.75">
      <c r="A4069" s="1" t="s">
        <v>7833</v>
      </c>
      <c r="B4069" s="1" t="s">
        <v>8269</v>
      </c>
      <c r="C4069" s="1" t="s">
        <v>4488</v>
      </c>
      <c r="D4069" s="1" t="s">
        <v>3610</v>
      </c>
      <c r="E4069" s="1" t="s">
        <v>3981</v>
      </c>
      <c r="F4069" s="1" t="s">
        <v>15072</v>
      </c>
      <c r="G4069" s="1" t="s">
        <v>14824</v>
      </c>
      <c r="H4069" s="1" t="s">
        <v>3604</v>
      </c>
      <c r="I4069" s="1" t="s">
        <v>15073</v>
      </c>
      <c r="J4069" s="1" t="s">
        <v>3606</v>
      </c>
      <c r="K4069" s="1" t="s">
        <v>15074</v>
      </c>
      <c r="L4069" s="1"/>
      <c r="M4069" s="1"/>
    </row>
    <row x14ac:dyDescent="0.25" r="4070" customHeight="1" ht="18.75">
      <c r="A4070" s="1" t="s">
        <v>7833</v>
      </c>
      <c r="B4070" s="1" t="s">
        <v>8258</v>
      </c>
      <c r="C4070" s="1" t="s">
        <v>4488</v>
      </c>
      <c r="D4070" s="1" t="s">
        <v>3601</v>
      </c>
      <c r="E4070" s="1" t="s">
        <v>3664</v>
      </c>
      <c r="F4070" s="1" t="s">
        <v>15075</v>
      </c>
      <c r="G4070" s="1" t="s">
        <v>15076</v>
      </c>
      <c r="H4070" s="1" t="s">
        <v>3604</v>
      </c>
      <c r="I4070" s="1" t="s">
        <v>15077</v>
      </c>
      <c r="J4070" s="1" t="s">
        <v>3606</v>
      </c>
      <c r="K4070" s="1" t="s">
        <v>15078</v>
      </c>
      <c r="L4070" s="1"/>
      <c r="M4070" s="1"/>
    </row>
    <row x14ac:dyDescent="0.25" r="4071" customHeight="1" ht="18.75">
      <c r="A4071" s="1" t="s">
        <v>7833</v>
      </c>
      <c r="B4071" s="1" t="s">
        <v>8204</v>
      </c>
      <c r="C4071" s="1" t="s">
        <v>4488</v>
      </c>
      <c r="D4071" s="1" t="s">
        <v>8365</v>
      </c>
      <c r="E4071" s="1" t="s">
        <v>8096</v>
      </c>
      <c r="F4071" s="1" t="s">
        <v>15079</v>
      </c>
      <c r="G4071" s="1" t="s">
        <v>14247</v>
      </c>
      <c r="H4071" s="1" t="s">
        <v>3604</v>
      </c>
      <c r="I4071" s="1" t="s">
        <v>15080</v>
      </c>
      <c r="J4071" s="1" t="s">
        <v>3606</v>
      </c>
      <c r="K4071" s="1" t="s">
        <v>15040</v>
      </c>
      <c r="L4071" s="1"/>
      <c r="M4071" s="1"/>
    </row>
    <row x14ac:dyDescent="0.25" r="4072" customHeight="1" ht="18.75">
      <c r="A4072" s="1" t="s">
        <v>7833</v>
      </c>
      <c r="B4072" s="1" t="s">
        <v>8258</v>
      </c>
      <c r="C4072" s="1" t="s">
        <v>4488</v>
      </c>
      <c r="D4072" s="1" t="s">
        <v>3601</v>
      </c>
      <c r="E4072" s="1" t="s">
        <v>3664</v>
      </c>
      <c r="F4072" s="1" t="s">
        <v>15081</v>
      </c>
      <c r="G4072" s="1" t="s">
        <v>15076</v>
      </c>
      <c r="H4072" s="1" t="s">
        <v>3604</v>
      </c>
      <c r="I4072" s="1" t="s">
        <v>15082</v>
      </c>
      <c r="J4072" s="1" t="s">
        <v>3606</v>
      </c>
      <c r="K4072" s="1" t="s">
        <v>15083</v>
      </c>
      <c r="L4072" s="1"/>
      <c r="M4072" s="1"/>
    </row>
    <row x14ac:dyDescent="0.25" r="4073" customHeight="1" ht="18.75">
      <c r="A4073" s="1" t="s">
        <v>7833</v>
      </c>
      <c r="B4073" s="1" t="s">
        <v>8269</v>
      </c>
      <c r="C4073" s="1" t="s">
        <v>4488</v>
      </c>
      <c r="D4073" s="1" t="s">
        <v>3610</v>
      </c>
      <c r="E4073" s="1" t="s">
        <v>3981</v>
      </c>
      <c r="F4073" s="1" t="s">
        <v>15084</v>
      </c>
      <c r="G4073" s="1" t="s">
        <v>14824</v>
      </c>
      <c r="H4073" s="1" t="s">
        <v>3604</v>
      </c>
      <c r="I4073" s="1" t="s">
        <v>15085</v>
      </c>
      <c r="J4073" s="1" t="s">
        <v>3606</v>
      </c>
      <c r="K4073" s="1" t="s">
        <v>15086</v>
      </c>
      <c r="L4073" s="1"/>
      <c r="M4073" s="1"/>
    </row>
    <row x14ac:dyDescent="0.25" r="4074" customHeight="1" ht="18.75">
      <c r="A4074" s="1" t="s">
        <v>7833</v>
      </c>
      <c r="B4074" s="1" t="s">
        <v>15087</v>
      </c>
      <c r="C4074" s="1" t="s">
        <v>4488</v>
      </c>
      <c r="D4074" s="1" t="s">
        <v>8365</v>
      </c>
      <c r="E4074" s="1" t="s">
        <v>3664</v>
      </c>
      <c r="F4074" s="1" t="s">
        <v>1749</v>
      </c>
      <c r="G4074" s="1" t="s">
        <v>15088</v>
      </c>
      <c r="H4074" s="1" t="s">
        <v>3604</v>
      </c>
      <c r="I4074" s="1" t="s">
        <v>15089</v>
      </c>
      <c r="J4074" s="1" t="s">
        <v>3606</v>
      </c>
      <c r="K4074" s="1" t="s">
        <v>15040</v>
      </c>
      <c r="L4074" s="1"/>
      <c r="M4074" s="1"/>
    </row>
    <row x14ac:dyDescent="0.25" r="4075" customHeight="1" ht="18.75">
      <c r="A4075" s="1" t="s">
        <v>7833</v>
      </c>
      <c r="B4075" s="1" t="s">
        <v>8269</v>
      </c>
      <c r="C4075" s="1" t="s">
        <v>4488</v>
      </c>
      <c r="D4075" s="1" t="s">
        <v>7891</v>
      </c>
      <c r="E4075" s="1" t="s">
        <v>3981</v>
      </c>
      <c r="F4075" s="1" t="s">
        <v>15090</v>
      </c>
      <c r="G4075" s="1" t="s">
        <v>14824</v>
      </c>
      <c r="H4075" s="1" t="s">
        <v>3604</v>
      </c>
      <c r="I4075" s="1" t="s">
        <v>15091</v>
      </c>
      <c r="J4075" s="1" t="s">
        <v>3606</v>
      </c>
      <c r="K4075" s="1" t="s">
        <v>15092</v>
      </c>
      <c r="L4075" s="1"/>
      <c r="M4075" s="1"/>
    </row>
    <row x14ac:dyDescent="0.25" r="4076" customHeight="1" ht="18.75">
      <c r="A4076" s="1" t="s">
        <v>7833</v>
      </c>
      <c r="B4076" s="1" t="s">
        <v>14063</v>
      </c>
      <c r="C4076" s="1" t="s">
        <v>4488</v>
      </c>
      <c r="D4076" s="1" t="s">
        <v>8365</v>
      </c>
      <c r="E4076" s="1" t="s">
        <v>3664</v>
      </c>
      <c r="F4076" s="1" t="s">
        <v>1746</v>
      </c>
      <c r="G4076" s="1" t="s">
        <v>14894</v>
      </c>
      <c r="H4076" s="1" t="s">
        <v>3604</v>
      </c>
      <c r="I4076" s="1" t="s">
        <v>15093</v>
      </c>
      <c r="J4076" s="1" t="s">
        <v>3606</v>
      </c>
      <c r="K4076" s="1" t="s">
        <v>15049</v>
      </c>
      <c r="L4076" s="1"/>
      <c r="M4076" s="1"/>
    </row>
    <row x14ac:dyDescent="0.25" r="4077" customHeight="1" ht="18.75">
      <c r="A4077" s="1" t="s">
        <v>7833</v>
      </c>
      <c r="B4077" s="1" t="s">
        <v>8258</v>
      </c>
      <c r="C4077" s="1" t="s">
        <v>4488</v>
      </c>
      <c r="D4077" s="1" t="s">
        <v>3601</v>
      </c>
      <c r="E4077" s="1" t="s">
        <v>3664</v>
      </c>
      <c r="F4077" s="1" t="s">
        <v>15094</v>
      </c>
      <c r="G4077" s="1" t="s">
        <v>15095</v>
      </c>
      <c r="H4077" s="1" t="s">
        <v>3604</v>
      </c>
      <c r="I4077" s="1" t="s">
        <v>15096</v>
      </c>
      <c r="J4077" s="1" t="s">
        <v>3606</v>
      </c>
      <c r="K4077" s="1" t="s">
        <v>15097</v>
      </c>
      <c r="L4077" s="1"/>
      <c r="M4077" s="1"/>
    </row>
    <row x14ac:dyDescent="0.25" r="4078" customHeight="1" ht="18.75">
      <c r="A4078" s="1" t="s">
        <v>7833</v>
      </c>
      <c r="B4078" s="1" t="s">
        <v>8269</v>
      </c>
      <c r="C4078" s="1" t="s">
        <v>4488</v>
      </c>
      <c r="D4078" s="1" t="s">
        <v>3610</v>
      </c>
      <c r="E4078" s="1" t="s">
        <v>3981</v>
      </c>
      <c r="F4078" s="1" t="s">
        <v>15098</v>
      </c>
      <c r="G4078" s="1" t="s">
        <v>14841</v>
      </c>
      <c r="H4078" s="1" t="s">
        <v>3604</v>
      </c>
      <c r="I4078" s="1" t="s">
        <v>15099</v>
      </c>
      <c r="J4078" s="1" t="s">
        <v>3606</v>
      </c>
      <c r="K4078" s="1" t="s">
        <v>15100</v>
      </c>
      <c r="L4078" s="1"/>
      <c r="M4078" s="1"/>
    </row>
    <row x14ac:dyDescent="0.25" r="4079" customHeight="1" ht="18.75">
      <c r="A4079" s="1" t="s">
        <v>7833</v>
      </c>
      <c r="B4079" s="1" t="s">
        <v>8258</v>
      </c>
      <c r="C4079" s="1" t="s">
        <v>4488</v>
      </c>
      <c r="D4079" s="1" t="s">
        <v>3601</v>
      </c>
      <c r="E4079" s="1" t="s">
        <v>3664</v>
      </c>
      <c r="F4079" s="1" t="s">
        <v>15101</v>
      </c>
      <c r="G4079" s="1" t="s">
        <v>15095</v>
      </c>
      <c r="H4079" s="1" t="s">
        <v>3604</v>
      </c>
      <c r="I4079" s="1" t="s">
        <v>15102</v>
      </c>
      <c r="J4079" s="1" t="s">
        <v>3606</v>
      </c>
      <c r="K4079" s="1" t="s">
        <v>15103</v>
      </c>
      <c r="L4079" s="1"/>
      <c r="M4079" s="1"/>
    </row>
    <row x14ac:dyDescent="0.25" r="4080" customHeight="1" ht="18.75">
      <c r="A4080" s="1" t="s">
        <v>7833</v>
      </c>
      <c r="B4080" s="1" t="s">
        <v>8286</v>
      </c>
      <c r="C4080" s="1" t="s">
        <v>4488</v>
      </c>
      <c r="D4080" s="1" t="s">
        <v>8365</v>
      </c>
      <c r="E4080" s="1" t="s">
        <v>3664</v>
      </c>
      <c r="F4080" s="1" t="s">
        <v>1773</v>
      </c>
      <c r="G4080" s="1" t="s">
        <v>14903</v>
      </c>
      <c r="H4080" s="1" t="s">
        <v>3604</v>
      </c>
      <c r="I4080" s="1" t="s">
        <v>15104</v>
      </c>
      <c r="J4080" s="1" t="s">
        <v>3606</v>
      </c>
      <c r="K4080" s="1" t="s">
        <v>15049</v>
      </c>
      <c r="L4080" s="1"/>
      <c r="M4080" s="1"/>
    </row>
    <row x14ac:dyDescent="0.25" r="4081" customHeight="1" ht="18.75">
      <c r="A4081" s="1" t="s">
        <v>7833</v>
      </c>
      <c r="B4081" s="1" t="s">
        <v>8269</v>
      </c>
      <c r="C4081" s="1" t="s">
        <v>4488</v>
      </c>
      <c r="D4081" s="1" t="s">
        <v>3610</v>
      </c>
      <c r="E4081" s="1" t="s">
        <v>3981</v>
      </c>
      <c r="F4081" s="1" t="s">
        <v>15105</v>
      </c>
      <c r="G4081" s="1" t="s">
        <v>14841</v>
      </c>
      <c r="H4081" s="1" t="s">
        <v>3604</v>
      </c>
      <c r="I4081" s="1" t="s">
        <v>15106</v>
      </c>
      <c r="J4081" s="1" t="s">
        <v>3606</v>
      </c>
      <c r="K4081" s="1" t="s">
        <v>15107</v>
      </c>
      <c r="L4081" s="1"/>
      <c r="M4081" s="1"/>
    </row>
    <row x14ac:dyDescent="0.25" r="4082" customHeight="1" ht="18.75">
      <c r="A4082" s="1" t="s">
        <v>7833</v>
      </c>
      <c r="B4082" s="1" t="s">
        <v>8258</v>
      </c>
      <c r="C4082" s="1" t="s">
        <v>4488</v>
      </c>
      <c r="D4082" s="1" t="s">
        <v>3601</v>
      </c>
      <c r="E4082" s="1" t="s">
        <v>3664</v>
      </c>
      <c r="F4082" s="1" t="s">
        <v>15108</v>
      </c>
      <c r="G4082" s="1" t="s">
        <v>15109</v>
      </c>
      <c r="H4082" s="1" t="s">
        <v>3604</v>
      </c>
      <c r="I4082" s="1" t="s">
        <v>15110</v>
      </c>
      <c r="J4082" s="1" t="s">
        <v>3606</v>
      </c>
      <c r="K4082" s="1" t="s">
        <v>15111</v>
      </c>
      <c r="L4082" s="1"/>
      <c r="M4082" s="1"/>
    </row>
    <row x14ac:dyDescent="0.25" r="4083" customHeight="1" ht="18.75">
      <c r="A4083" s="1" t="s">
        <v>7833</v>
      </c>
      <c r="B4083" s="1" t="s">
        <v>8269</v>
      </c>
      <c r="C4083" s="1" t="s">
        <v>4488</v>
      </c>
      <c r="D4083" s="1" t="s">
        <v>3610</v>
      </c>
      <c r="E4083" s="1" t="s">
        <v>3981</v>
      </c>
      <c r="F4083" s="1" t="s">
        <v>15112</v>
      </c>
      <c r="G4083" s="1" t="s">
        <v>14841</v>
      </c>
      <c r="H4083" s="1" t="s">
        <v>3604</v>
      </c>
      <c r="I4083" s="1" t="s">
        <v>15113</v>
      </c>
      <c r="J4083" s="1" t="s">
        <v>3606</v>
      </c>
      <c r="K4083" s="1" t="s">
        <v>15114</v>
      </c>
      <c r="L4083" s="1"/>
      <c r="M4083" s="1"/>
    </row>
    <row x14ac:dyDescent="0.25" r="4084" customHeight="1" ht="18.75">
      <c r="A4084" s="1" t="s">
        <v>7833</v>
      </c>
      <c r="B4084" s="1" t="s">
        <v>8258</v>
      </c>
      <c r="C4084" s="1" t="s">
        <v>4488</v>
      </c>
      <c r="D4084" s="1" t="s">
        <v>3601</v>
      </c>
      <c r="E4084" s="1" t="s">
        <v>3664</v>
      </c>
      <c r="F4084" s="1" t="s">
        <v>15115</v>
      </c>
      <c r="G4084" s="1" t="s">
        <v>15109</v>
      </c>
      <c r="H4084" s="1" t="s">
        <v>3604</v>
      </c>
      <c r="I4084" s="1" t="s">
        <v>15116</v>
      </c>
      <c r="J4084" s="1" t="s">
        <v>3606</v>
      </c>
      <c r="K4084" s="1" t="s">
        <v>15117</v>
      </c>
      <c r="L4084" s="1"/>
      <c r="M4084" s="1"/>
    </row>
    <row x14ac:dyDescent="0.25" r="4085" customHeight="1" ht="18.75">
      <c r="A4085" s="1" t="s">
        <v>7833</v>
      </c>
      <c r="B4085" s="1" t="s">
        <v>8269</v>
      </c>
      <c r="C4085" s="1" t="s">
        <v>4488</v>
      </c>
      <c r="D4085" s="1" t="s">
        <v>8373</v>
      </c>
      <c r="E4085" s="1" t="s">
        <v>3981</v>
      </c>
      <c r="F4085" s="1" t="s">
        <v>15118</v>
      </c>
      <c r="G4085" s="1" t="s">
        <v>14841</v>
      </c>
      <c r="H4085" s="1" t="s">
        <v>3604</v>
      </c>
      <c r="I4085" s="1" t="s">
        <v>15119</v>
      </c>
      <c r="J4085" s="1" t="s">
        <v>3606</v>
      </c>
      <c r="K4085" s="1" t="s">
        <v>14925</v>
      </c>
      <c r="L4085" s="1"/>
      <c r="M4085" s="1"/>
    </row>
    <row x14ac:dyDescent="0.25" r="4086" customHeight="1" ht="18.75">
      <c r="A4086" s="1" t="s">
        <v>7833</v>
      </c>
      <c r="B4086" s="1" t="s">
        <v>8258</v>
      </c>
      <c r="C4086" s="1" t="s">
        <v>4488</v>
      </c>
      <c r="D4086" s="1" t="s">
        <v>3601</v>
      </c>
      <c r="E4086" s="1" t="s">
        <v>3664</v>
      </c>
      <c r="F4086" s="1" t="s">
        <v>15120</v>
      </c>
      <c r="G4086" s="1" t="s">
        <v>15121</v>
      </c>
      <c r="H4086" s="1" t="s">
        <v>3604</v>
      </c>
      <c r="I4086" s="1" t="s">
        <v>15122</v>
      </c>
      <c r="J4086" s="1" t="s">
        <v>3606</v>
      </c>
      <c r="K4086" s="1" t="s">
        <v>15123</v>
      </c>
      <c r="L4086" s="1"/>
      <c r="M4086" s="1"/>
    </row>
    <row x14ac:dyDescent="0.25" r="4087" customHeight="1" ht="18.75">
      <c r="A4087" s="1" t="s">
        <v>7833</v>
      </c>
      <c r="B4087" s="1" t="s">
        <v>14256</v>
      </c>
      <c r="C4087" s="1" t="s">
        <v>4488</v>
      </c>
      <c r="D4087" s="1" t="s">
        <v>8365</v>
      </c>
      <c r="E4087" s="1" t="s">
        <v>3664</v>
      </c>
      <c r="F4087" s="1" t="s">
        <v>15124</v>
      </c>
      <c r="G4087" s="1" t="s">
        <v>14258</v>
      </c>
      <c r="H4087" s="1" t="s">
        <v>3604</v>
      </c>
      <c r="I4087" s="1" t="s">
        <v>15125</v>
      </c>
      <c r="J4087" s="1" t="s">
        <v>3606</v>
      </c>
      <c r="K4087" s="1" t="s">
        <v>15049</v>
      </c>
      <c r="L4087" s="1"/>
      <c r="M4087" s="1"/>
    </row>
    <row x14ac:dyDescent="0.25" r="4088" customHeight="1" ht="18.75">
      <c r="A4088" s="1" t="s">
        <v>7833</v>
      </c>
      <c r="B4088" s="1" t="s">
        <v>8258</v>
      </c>
      <c r="C4088" s="1" t="s">
        <v>4488</v>
      </c>
      <c r="D4088" s="1" t="s">
        <v>3601</v>
      </c>
      <c r="E4088" s="1" t="s">
        <v>3664</v>
      </c>
      <c r="F4088" s="1" t="s">
        <v>15126</v>
      </c>
      <c r="G4088" s="1" t="s">
        <v>15121</v>
      </c>
      <c r="H4088" s="1" t="s">
        <v>3604</v>
      </c>
      <c r="I4088" s="1" t="s">
        <v>15127</v>
      </c>
      <c r="J4088" s="1" t="s">
        <v>3606</v>
      </c>
      <c r="K4088" s="1" t="s">
        <v>15128</v>
      </c>
      <c r="L4088" s="1"/>
      <c r="M4088" s="1"/>
    </row>
    <row x14ac:dyDescent="0.25" r="4089" customHeight="1" ht="18.75">
      <c r="A4089" s="1" t="s">
        <v>7833</v>
      </c>
      <c r="B4089" s="1" t="s">
        <v>8269</v>
      </c>
      <c r="C4089" s="1" t="s">
        <v>4488</v>
      </c>
      <c r="D4089" s="1" t="s">
        <v>3610</v>
      </c>
      <c r="E4089" s="1" t="s">
        <v>3981</v>
      </c>
      <c r="F4089" s="1" t="s">
        <v>15129</v>
      </c>
      <c r="G4089" s="1" t="s">
        <v>14848</v>
      </c>
      <c r="H4089" s="1" t="s">
        <v>3604</v>
      </c>
      <c r="I4089" s="1" t="s">
        <v>15130</v>
      </c>
      <c r="J4089" s="1" t="s">
        <v>3606</v>
      </c>
      <c r="K4089" s="1" t="s">
        <v>15131</v>
      </c>
      <c r="L4089" s="1"/>
      <c r="M4089" s="1"/>
    </row>
    <row x14ac:dyDescent="0.25" r="4090" customHeight="1" ht="18.75">
      <c r="A4090" s="1" t="s">
        <v>7833</v>
      </c>
      <c r="B4090" s="1" t="s">
        <v>15046</v>
      </c>
      <c r="C4090" s="1" t="s">
        <v>4488</v>
      </c>
      <c r="D4090" s="1" t="s">
        <v>3601</v>
      </c>
      <c r="E4090" s="1" t="s">
        <v>3664</v>
      </c>
      <c r="F4090" s="1" t="s">
        <v>15132</v>
      </c>
      <c r="G4090" s="1" t="s">
        <v>15133</v>
      </c>
      <c r="H4090" s="1" t="s">
        <v>3604</v>
      </c>
      <c r="I4090" s="1" t="s">
        <v>15134</v>
      </c>
      <c r="J4090" s="1" t="s">
        <v>3606</v>
      </c>
      <c r="K4090" s="1" t="s">
        <v>15135</v>
      </c>
      <c r="L4090" s="1"/>
      <c r="M4090" s="1"/>
    </row>
    <row x14ac:dyDescent="0.25" r="4091" customHeight="1" ht="18.75">
      <c r="A4091" s="1" t="s">
        <v>7833</v>
      </c>
      <c r="B4091" s="1" t="s">
        <v>14256</v>
      </c>
      <c r="C4091" s="1" t="s">
        <v>4488</v>
      </c>
      <c r="D4091" s="1" t="s">
        <v>8365</v>
      </c>
      <c r="E4091" s="1" t="s">
        <v>3664</v>
      </c>
      <c r="F4091" s="1" t="s">
        <v>15136</v>
      </c>
      <c r="G4091" s="1" t="s">
        <v>14258</v>
      </c>
      <c r="H4091" s="1" t="s">
        <v>3604</v>
      </c>
      <c r="I4091" s="1" t="s">
        <v>15137</v>
      </c>
      <c r="J4091" s="1" t="s">
        <v>3606</v>
      </c>
      <c r="K4091" s="1" t="s">
        <v>15040</v>
      </c>
      <c r="L4091" s="1"/>
      <c r="M4091" s="1"/>
    </row>
    <row x14ac:dyDescent="0.25" r="4092" customHeight="1" ht="18.75">
      <c r="A4092" s="1" t="s">
        <v>7833</v>
      </c>
      <c r="B4092" s="1" t="s">
        <v>8269</v>
      </c>
      <c r="C4092" s="1" t="s">
        <v>4488</v>
      </c>
      <c r="D4092" s="1" t="s">
        <v>3610</v>
      </c>
      <c r="E4092" s="1" t="s">
        <v>3981</v>
      </c>
      <c r="F4092" s="1" t="s">
        <v>15138</v>
      </c>
      <c r="G4092" s="1" t="s">
        <v>14848</v>
      </c>
      <c r="H4092" s="1" t="s">
        <v>3604</v>
      </c>
      <c r="I4092" s="1" t="s">
        <v>15139</v>
      </c>
      <c r="J4092" s="1" t="s">
        <v>3606</v>
      </c>
      <c r="K4092" s="1" t="s">
        <v>15140</v>
      </c>
      <c r="L4092" s="1"/>
      <c r="M4092" s="1"/>
    </row>
    <row x14ac:dyDescent="0.25" r="4093" customHeight="1" ht="18.75">
      <c r="A4093" s="1" t="s">
        <v>7833</v>
      </c>
      <c r="B4093" s="1" t="s">
        <v>8258</v>
      </c>
      <c r="C4093" s="1" t="s">
        <v>4488</v>
      </c>
      <c r="D4093" s="1" t="s">
        <v>3601</v>
      </c>
      <c r="E4093" s="1" t="s">
        <v>3664</v>
      </c>
      <c r="F4093" s="1" t="s">
        <v>15141</v>
      </c>
      <c r="G4093" s="1" t="s">
        <v>15142</v>
      </c>
      <c r="H4093" s="1" t="s">
        <v>3604</v>
      </c>
      <c r="I4093" s="1" t="s">
        <v>15143</v>
      </c>
      <c r="J4093" s="1" t="s">
        <v>3606</v>
      </c>
      <c r="K4093" s="1" t="s">
        <v>15144</v>
      </c>
      <c r="L4093" s="1"/>
      <c r="M4093" s="1"/>
    </row>
    <row x14ac:dyDescent="0.25" r="4094" customHeight="1" ht="18.75">
      <c r="A4094" s="1" t="s">
        <v>7833</v>
      </c>
      <c r="B4094" s="1" t="s">
        <v>8269</v>
      </c>
      <c r="C4094" s="1" t="s">
        <v>4488</v>
      </c>
      <c r="D4094" s="1" t="s">
        <v>3610</v>
      </c>
      <c r="E4094" s="1" t="s">
        <v>3981</v>
      </c>
      <c r="F4094" s="1" t="s">
        <v>15145</v>
      </c>
      <c r="G4094" s="1" t="s">
        <v>14848</v>
      </c>
      <c r="H4094" s="1" t="s">
        <v>3604</v>
      </c>
      <c r="I4094" s="1" t="s">
        <v>15146</v>
      </c>
      <c r="J4094" s="1" t="s">
        <v>3606</v>
      </c>
      <c r="K4094" s="1" t="s">
        <v>15147</v>
      </c>
      <c r="L4094" s="1"/>
      <c r="M4094" s="1"/>
    </row>
    <row x14ac:dyDescent="0.25" r="4095" customHeight="1" ht="18.75">
      <c r="A4095" s="1" t="s">
        <v>7833</v>
      </c>
      <c r="B4095" s="1" t="s">
        <v>8258</v>
      </c>
      <c r="C4095" s="1" t="s">
        <v>4488</v>
      </c>
      <c r="D4095" s="1" t="s">
        <v>3601</v>
      </c>
      <c r="E4095" s="1" t="s">
        <v>3664</v>
      </c>
      <c r="F4095" s="1" t="s">
        <v>15148</v>
      </c>
      <c r="G4095" s="1" t="s">
        <v>15142</v>
      </c>
      <c r="H4095" s="1" t="s">
        <v>3604</v>
      </c>
      <c r="I4095" s="1" t="s">
        <v>15149</v>
      </c>
      <c r="J4095" s="1" t="s">
        <v>3606</v>
      </c>
      <c r="K4095" s="1" t="s">
        <v>15150</v>
      </c>
      <c r="L4095" s="1"/>
      <c r="M4095" s="1"/>
    </row>
    <row x14ac:dyDescent="0.25" r="4096" customHeight="1" ht="18.75">
      <c r="A4096" s="1" t="s">
        <v>7833</v>
      </c>
      <c r="B4096" s="1" t="s">
        <v>9216</v>
      </c>
      <c r="C4096" s="1" t="s">
        <v>4488</v>
      </c>
      <c r="D4096" s="1" t="s">
        <v>8365</v>
      </c>
      <c r="E4096" s="1" t="s">
        <v>3664</v>
      </c>
      <c r="F4096" s="1" t="s">
        <v>15151</v>
      </c>
      <c r="G4096" s="1" t="s">
        <v>9218</v>
      </c>
      <c r="H4096" s="1" t="s">
        <v>3604</v>
      </c>
      <c r="I4096" s="1" t="s">
        <v>15152</v>
      </c>
      <c r="J4096" s="1" t="s">
        <v>3606</v>
      </c>
      <c r="K4096" s="1" t="s">
        <v>15040</v>
      </c>
      <c r="L4096" s="1"/>
      <c r="M4096" s="1"/>
    </row>
    <row x14ac:dyDescent="0.25" r="4097" customHeight="1" ht="18.75">
      <c r="A4097" s="1" t="s">
        <v>7833</v>
      </c>
      <c r="B4097" s="1" t="s">
        <v>15046</v>
      </c>
      <c r="C4097" s="1" t="s">
        <v>4488</v>
      </c>
      <c r="D4097" s="1" t="s">
        <v>3601</v>
      </c>
      <c r="E4097" s="1" t="s">
        <v>3664</v>
      </c>
      <c r="F4097" s="1" t="s">
        <v>15153</v>
      </c>
      <c r="G4097" s="1" t="s">
        <v>15154</v>
      </c>
      <c r="H4097" s="1" t="s">
        <v>3604</v>
      </c>
      <c r="I4097" s="1" t="s">
        <v>15155</v>
      </c>
      <c r="J4097" s="1" t="s">
        <v>3606</v>
      </c>
      <c r="K4097" s="1" t="s">
        <v>15156</v>
      </c>
      <c r="L4097" s="1"/>
      <c r="M4097" s="1"/>
    </row>
    <row x14ac:dyDescent="0.25" r="4098" customHeight="1" ht="18.75">
      <c r="A4098" s="1" t="s">
        <v>7833</v>
      </c>
      <c r="B4098" s="1" t="s">
        <v>8269</v>
      </c>
      <c r="C4098" s="1" t="s">
        <v>4488</v>
      </c>
      <c r="D4098" s="1" t="s">
        <v>8373</v>
      </c>
      <c r="E4098" s="1" t="s">
        <v>3981</v>
      </c>
      <c r="F4098" s="1" t="s">
        <v>15157</v>
      </c>
      <c r="G4098" s="1" t="s">
        <v>14848</v>
      </c>
      <c r="H4098" s="1" t="s">
        <v>3604</v>
      </c>
      <c r="I4098" s="1" t="s">
        <v>15158</v>
      </c>
      <c r="J4098" s="1" t="s">
        <v>3606</v>
      </c>
      <c r="K4098" s="1" t="s">
        <v>14925</v>
      </c>
      <c r="L4098" s="1"/>
      <c r="M4098" s="1"/>
    </row>
    <row x14ac:dyDescent="0.25" r="4099" customHeight="1" ht="18.75">
      <c r="A4099" s="1" t="s">
        <v>7833</v>
      </c>
      <c r="B4099" s="1" t="s">
        <v>14401</v>
      </c>
      <c r="C4099" s="1" t="s">
        <v>4488</v>
      </c>
      <c r="D4099" s="1" t="s">
        <v>8365</v>
      </c>
      <c r="E4099" s="1" t="s">
        <v>3664</v>
      </c>
      <c r="F4099" s="1" t="s">
        <v>1692</v>
      </c>
      <c r="G4099" s="1" t="s">
        <v>14402</v>
      </c>
      <c r="H4099" s="1" t="s">
        <v>3604</v>
      </c>
      <c r="I4099" s="1" t="s">
        <v>15159</v>
      </c>
      <c r="J4099" s="1" t="s">
        <v>3615</v>
      </c>
      <c r="K4099" s="1" t="s">
        <v>15049</v>
      </c>
      <c r="L4099" s="1"/>
      <c r="M4099" s="1"/>
    </row>
    <row x14ac:dyDescent="0.25" r="4100" customHeight="1" ht="18.75">
      <c r="A4100" s="1" t="s">
        <v>7833</v>
      </c>
      <c r="B4100" s="1" t="s">
        <v>8269</v>
      </c>
      <c r="C4100" s="1" t="s">
        <v>4488</v>
      </c>
      <c r="D4100" s="1" t="s">
        <v>3610</v>
      </c>
      <c r="E4100" s="1" t="s">
        <v>3981</v>
      </c>
      <c r="F4100" s="1" t="s">
        <v>15160</v>
      </c>
      <c r="G4100" s="1" t="s">
        <v>14855</v>
      </c>
      <c r="H4100" s="1" t="s">
        <v>3604</v>
      </c>
      <c r="I4100" s="1" t="s">
        <v>15161</v>
      </c>
      <c r="J4100" s="1" t="s">
        <v>3606</v>
      </c>
      <c r="K4100" s="1" t="s">
        <v>15162</v>
      </c>
      <c r="L4100" s="1"/>
      <c r="M4100" s="1"/>
    </row>
    <row x14ac:dyDescent="0.25" r="4101" customHeight="1" ht="18.75">
      <c r="A4101" s="1" t="s">
        <v>7833</v>
      </c>
      <c r="B4101" s="1" t="s">
        <v>7877</v>
      </c>
      <c r="C4101" s="1" t="s">
        <v>4488</v>
      </c>
      <c r="D4101" s="1" t="s">
        <v>8365</v>
      </c>
      <c r="E4101" s="1" t="s">
        <v>3664</v>
      </c>
      <c r="F4101" s="1" t="s">
        <v>1783</v>
      </c>
      <c r="G4101" s="1" t="s">
        <v>14957</v>
      </c>
      <c r="H4101" s="1" t="s">
        <v>3604</v>
      </c>
      <c r="I4101" s="1" t="s">
        <v>15163</v>
      </c>
      <c r="J4101" s="1" t="s">
        <v>3606</v>
      </c>
      <c r="K4101" s="1" t="s">
        <v>15040</v>
      </c>
      <c r="L4101" s="1"/>
      <c r="M4101" s="1"/>
    </row>
    <row x14ac:dyDescent="0.25" r="4102" customHeight="1" ht="18.75">
      <c r="A4102" s="1" t="s">
        <v>7833</v>
      </c>
      <c r="B4102" s="1" t="s">
        <v>8269</v>
      </c>
      <c r="C4102" s="1" t="s">
        <v>4488</v>
      </c>
      <c r="D4102" s="1" t="s">
        <v>3610</v>
      </c>
      <c r="E4102" s="1" t="s">
        <v>3981</v>
      </c>
      <c r="F4102" s="1" t="s">
        <v>15164</v>
      </c>
      <c r="G4102" s="1" t="s">
        <v>14855</v>
      </c>
      <c r="H4102" s="1" t="s">
        <v>3604</v>
      </c>
      <c r="I4102" s="1" t="s">
        <v>15165</v>
      </c>
      <c r="J4102" s="1" t="s">
        <v>3606</v>
      </c>
      <c r="K4102" s="1" t="s">
        <v>15166</v>
      </c>
      <c r="L4102" s="1"/>
      <c r="M4102" s="1"/>
    </row>
    <row x14ac:dyDescent="0.25" r="4103" customHeight="1" ht="18.75">
      <c r="A4103" s="1" t="s">
        <v>7833</v>
      </c>
      <c r="B4103" s="1" t="s">
        <v>8269</v>
      </c>
      <c r="C4103" s="1" t="s">
        <v>4488</v>
      </c>
      <c r="D4103" s="1" t="s">
        <v>3610</v>
      </c>
      <c r="E4103" s="1" t="s">
        <v>3981</v>
      </c>
      <c r="F4103" s="1" t="s">
        <v>15167</v>
      </c>
      <c r="G4103" s="1" t="s">
        <v>14855</v>
      </c>
      <c r="H4103" s="1" t="s">
        <v>3604</v>
      </c>
      <c r="I4103" s="1" t="s">
        <v>15168</v>
      </c>
      <c r="J4103" s="1" t="s">
        <v>3606</v>
      </c>
      <c r="K4103" s="1" t="s">
        <v>15169</v>
      </c>
      <c r="L4103" s="1"/>
      <c r="M4103" s="1"/>
    </row>
    <row x14ac:dyDescent="0.25" r="4104" customHeight="1" ht="18.75">
      <c r="A4104" s="1" t="s">
        <v>7833</v>
      </c>
      <c r="B4104" s="1" t="s">
        <v>8258</v>
      </c>
      <c r="C4104" s="1" t="s">
        <v>4488</v>
      </c>
      <c r="D4104" s="1" t="s">
        <v>3601</v>
      </c>
      <c r="E4104" s="1" t="s">
        <v>3664</v>
      </c>
      <c r="F4104" s="1" t="s">
        <v>15170</v>
      </c>
      <c r="G4104" s="1" t="s">
        <v>14553</v>
      </c>
      <c r="H4104" s="1" t="s">
        <v>3604</v>
      </c>
      <c r="I4104" s="1" t="s">
        <v>15171</v>
      </c>
      <c r="J4104" s="1" t="s">
        <v>3606</v>
      </c>
      <c r="K4104" s="1" t="s">
        <v>9720</v>
      </c>
      <c r="L4104" s="1"/>
      <c r="M4104" s="1"/>
    </row>
    <row x14ac:dyDescent="0.25" r="4105" customHeight="1" ht="18.75">
      <c r="A4105" s="1" t="s">
        <v>7833</v>
      </c>
      <c r="B4105" s="1" t="s">
        <v>8269</v>
      </c>
      <c r="C4105" s="1" t="s">
        <v>4488</v>
      </c>
      <c r="D4105" s="1" t="s">
        <v>8373</v>
      </c>
      <c r="E4105" s="1" t="s">
        <v>3981</v>
      </c>
      <c r="F4105" s="1" t="s">
        <v>15172</v>
      </c>
      <c r="G4105" s="1" t="s">
        <v>14855</v>
      </c>
      <c r="H4105" s="1" t="s">
        <v>3604</v>
      </c>
      <c r="I4105" s="1" t="s">
        <v>15173</v>
      </c>
      <c r="J4105" s="1" t="s">
        <v>3606</v>
      </c>
      <c r="K4105" s="1" t="s">
        <v>14925</v>
      </c>
      <c r="L4105" s="1"/>
      <c r="M4105" s="1"/>
    </row>
    <row x14ac:dyDescent="0.25" r="4106" customHeight="1" ht="18.75">
      <c r="A4106" s="1" t="s">
        <v>7833</v>
      </c>
      <c r="B4106" s="1" t="s">
        <v>8269</v>
      </c>
      <c r="C4106" s="1" t="s">
        <v>4488</v>
      </c>
      <c r="D4106" s="1" t="s">
        <v>533</v>
      </c>
      <c r="E4106" s="1" t="s">
        <v>3981</v>
      </c>
      <c r="F4106" s="1" t="s">
        <v>15174</v>
      </c>
      <c r="G4106" s="1" t="s">
        <v>14864</v>
      </c>
      <c r="H4106" s="1" t="s">
        <v>3604</v>
      </c>
      <c r="I4106" s="1" t="s">
        <v>15175</v>
      </c>
      <c r="J4106" s="1" t="s">
        <v>3606</v>
      </c>
      <c r="K4106" s="1" t="s">
        <v>7903</v>
      </c>
      <c r="L4106" s="1"/>
      <c r="M4106" s="1"/>
    </row>
    <row x14ac:dyDescent="0.25" r="4107" customHeight="1" ht="18.75">
      <c r="A4107" s="1" t="s">
        <v>7833</v>
      </c>
      <c r="B4107" s="1" t="s">
        <v>8269</v>
      </c>
      <c r="C4107" s="1" t="s">
        <v>4488</v>
      </c>
      <c r="D4107" s="1" t="s">
        <v>3610</v>
      </c>
      <c r="E4107" s="1" t="s">
        <v>3981</v>
      </c>
      <c r="F4107" s="1" t="s">
        <v>15176</v>
      </c>
      <c r="G4107" s="1" t="s">
        <v>14864</v>
      </c>
      <c r="H4107" s="1" t="s">
        <v>3604</v>
      </c>
      <c r="I4107" s="1" t="s">
        <v>15177</v>
      </c>
      <c r="J4107" s="1" t="s">
        <v>3606</v>
      </c>
      <c r="K4107" s="1" t="s">
        <v>15178</v>
      </c>
      <c r="L4107" s="1"/>
      <c r="M4107" s="1"/>
    </row>
    <row x14ac:dyDescent="0.25" r="4108" customHeight="1" ht="18.75">
      <c r="A4108" s="1" t="s">
        <v>7833</v>
      </c>
      <c r="B4108" s="1" t="s">
        <v>8269</v>
      </c>
      <c r="C4108" s="1" t="s">
        <v>4488</v>
      </c>
      <c r="D4108" s="1" t="s">
        <v>3610</v>
      </c>
      <c r="E4108" s="1" t="s">
        <v>3981</v>
      </c>
      <c r="F4108" s="1" t="s">
        <v>15179</v>
      </c>
      <c r="G4108" s="1" t="s">
        <v>14864</v>
      </c>
      <c r="H4108" s="1" t="s">
        <v>3604</v>
      </c>
      <c r="I4108" s="1" t="s">
        <v>15180</v>
      </c>
      <c r="J4108" s="1" t="s">
        <v>3606</v>
      </c>
      <c r="K4108" s="1" t="s">
        <v>15181</v>
      </c>
      <c r="L4108" s="1"/>
      <c r="M4108" s="1"/>
    </row>
    <row x14ac:dyDescent="0.25" r="4109" customHeight="1" ht="18.75">
      <c r="A4109" s="1" t="s">
        <v>7833</v>
      </c>
      <c r="B4109" s="1" t="s">
        <v>8258</v>
      </c>
      <c r="C4109" s="1" t="s">
        <v>4488</v>
      </c>
      <c r="D4109" s="1" t="s">
        <v>3601</v>
      </c>
      <c r="E4109" s="1" t="s">
        <v>3664</v>
      </c>
      <c r="F4109" s="1" t="s">
        <v>15182</v>
      </c>
      <c r="G4109" s="1" t="s">
        <v>8260</v>
      </c>
      <c r="H4109" s="1" t="s">
        <v>3604</v>
      </c>
      <c r="I4109" s="1" t="s">
        <v>15183</v>
      </c>
      <c r="J4109" s="1" t="s">
        <v>3606</v>
      </c>
      <c r="K4109" s="1" t="s">
        <v>14830</v>
      </c>
      <c r="L4109" s="1"/>
      <c r="M4109" s="1"/>
    </row>
    <row x14ac:dyDescent="0.25" r="4110" customHeight="1" ht="18.75">
      <c r="A4110" s="1" t="s">
        <v>7833</v>
      </c>
      <c r="B4110" s="1" t="s">
        <v>8269</v>
      </c>
      <c r="C4110" s="1" t="s">
        <v>4488</v>
      </c>
      <c r="D4110" s="1" t="s">
        <v>3610</v>
      </c>
      <c r="E4110" s="1" t="s">
        <v>3981</v>
      </c>
      <c r="F4110" s="1" t="s">
        <v>15184</v>
      </c>
      <c r="G4110" s="1" t="s">
        <v>14864</v>
      </c>
      <c r="H4110" s="1" t="s">
        <v>3604</v>
      </c>
      <c r="I4110" s="1" t="s">
        <v>15185</v>
      </c>
      <c r="J4110" s="1" t="s">
        <v>3606</v>
      </c>
      <c r="K4110" s="1" t="s">
        <v>15186</v>
      </c>
      <c r="L4110" s="1"/>
      <c r="M4110" s="1"/>
    </row>
    <row x14ac:dyDescent="0.25" r="4111" customHeight="1" ht="18.75">
      <c r="A4111" s="1" t="s">
        <v>3693</v>
      </c>
      <c r="B4111" s="1" t="s">
        <v>4247</v>
      </c>
      <c r="C4111" s="1" t="s">
        <v>3600</v>
      </c>
      <c r="D4111" s="1" t="s">
        <v>533</v>
      </c>
      <c r="E4111" s="1" t="s">
        <v>3664</v>
      </c>
      <c r="F4111" s="1" t="s">
        <v>15187</v>
      </c>
      <c r="G4111" s="1" t="s">
        <v>9786</v>
      </c>
      <c r="H4111" s="1" t="s">
        <v>3604</v>
      </c>
      <c r="I4111" s="1" t="s">
        <v>15188</v>
      </c>
      <c r="J4111" s="1" t="s">
        <v>3606</v>
      </c>
      <c r="K4111" s="1" t="s">
        <v>15189</v>
      </c>
      <c r="L4111" s="1"/>
      <c r="M4111" s="1"/>
    </row>
    <row x14ac:dyDescent="0.25" r="4112" customHeight="1" ht="18.75">
      <c r="A4112" s="1" t="s">
        <v>7833</v>
      </c>
      <c r="B4112" s="1" t="s">
        <v>8258</v>
      </c>
      <c r="C4112" s="1" t="s">
        <v>4488</v>
      </c>
      <c r="D4112" s="1" t="s">
        <v>3601</v>
      </c>
      <c r="E4112" s="1" t="s">
        <v>3664</v>
      </c>
      <c r="F4112" s="1" t="s">
        <v>15190</v>
      </c>
      <c r="G4112" s="1" t="s">
        <v>14553</v>
      </c>
      <c r="H4112" s="1" t="s">
        <v>3604</v>
      </c>
      <c r="I4112" s="1" t="s">
        <v>15191</v>
      </c>
      <c r="J4112" s="1" t="s">
        <v>3606</v>
      </c>
      <c r="K4112" s="1" t="s">
        <v>15192</v>
      </c>
      <c r="L4112" s="1"/>
      <c r="M4112" s="1"/>
    </row>
    <row x14ac:dyDescent="0.25" r="4113" customHeight="1" ht="18.75">
      <c r="A4113" s="1" t="s">
        <v>7833</v>
      </c>
      <c r="B4113" s="1" t="s">
        <v>8258</v>
      </c>
      <c r="C4113" s="1" t="s">
        <v>4488</v>
      </c>
      <c r="D4113" s="1" t="s">
        <v>3601</v>
      </c>
      <c r="E4113" s="1" t="s">
        <v>3664</v>
      </c>
      <c r="F4113" s="1" t="s">
        <v>15193</v>
      </c>
      <c r="G4113" s="1" t="s">
        <v>14553</v>
      </c>
      <c r="H4113" s="1" t="s">
        <v>3604</v>
      </c>
      <c r="I4113" s="1" t="s">
        <v>15194</v>
      </c>
      <c r="J4113" s="1" t="s">
        <v>3606</v>
      </c>
      <c r="K4113" s="1" t="s">
        <v>9194</v>
      </c>
      <c r="L4113" s="1"/>
      <c r="M4113" s="1"/>
    </row>
    <row x14ac:dyDescent="0.25" r="4114" customHeight="1" ht="18.75">
      <c r="A4114" s="1" t="s">
        <v>7833</v>
      </c>
      <c r="B4114" s="1" t="s">
        <v>8258</v>
      </c>
      <c r="C4114" s="1" t="s">
        <v>4488</v>
      </c>
      <c r="D4114" s="1" t="s">
        <v>3601</v>
      </c>
      <c r="E4114" s="1" t="s">
        <v>3664</v>
      </c>
      <c r="F4114" s="1" t="s">
        <v>15195</v>
      </c>
      <c r="G4114" s="1" t="s">
        <v>8260</v>
      </c>
      <c r="H4114" s="1" t="s">
        <v>3604</v>
      </c>
      <c r="I4114" s="1" t="s">
        <v>15196</v>
      </c>
      <c r="J4114" s="1" t="s">
        <v>3606</v>
      </c>
      <c r="K4114" s="1" t="s">
        <v>14985</v>
      </c>
      <c r="L4114" s="1"/>
      <c r="M4114" s="1"/>
    </row>
    <row x14ac:dyDescent="0.25" r="4115" customHeight="1" ht="18.75">
      <c r="A4115" s="1" t="s">
        <v>7833</v>
      </c>
      <c r="B4115" s="1" t="s">
        <v>9216</v>
      </c>
      <c r="C4115" s="1" t="s">
        <v>4488</v>
      </c>
      <c r="D4115" s="1" t="s">
        <v>3610</v>
      </c>
      <c r="E4115" s="1" t="s">
        <v>3664</v>
      </c>
      <c r="F4115" s="1" t="s">
        <v>15197</v>
      </c>
      <c r="G4115" s="1" t="s">
        <v>15198</v>
      </c>
      <c r="H4115" s="1" t="s">
        <v>3604</v>
      </c>
      <c r="I4115" s="1" t="s">
        <v>15199</v>
      </c>
      <c r="J4115" s="1" t="s">
        <v>3606</v>
      </c>
      <c r="K4115" s="1" t="s">
        <v>12954</v>
      </c>
      <c r="L4115" s="1"/>
      <c r="M4115" s="1"/>
    </row>
    <row x14ac:dyDescent="0.25" r="4116" customHeight="1" ht="18.75">
      <c r="A4116" s="1" t="s">
        <v>7833</v>
      </c>
      <c r="B4116" s="1" t="s">
        <v>8258</v>
      </c>
      <c r="C4116" s="1" t="s">
        <v>4488</v>
      </c>
      <c r="D4116" s="1" t="s">
        <v>3601</v>
      </c>
      <c r="E4116" s="1" t="s">
        <v>3981</v>
      </c>
      <c r="F4116" s="1" t="s">
        <v>15200</v>
      </c>
      <c r="G4116" s="1" t="s">
        <v>8260</v>
      </c>
      <c r="H4116" s="1" t="s">
        <v>3604</v>
      </c>
      <c r="I4116" s="1" t="s">
        <v>15201</v>
      </c>
      <c r="J4116" s="1" t="s">
        <v>3606</v>
      </c>
      <c r="K4116" s="1" t="s">
        <v>14991</v>
      </c>
      <c r="L4116" s="1"/>
      <c r="M4116" s="1"/>
    </row>
    <row x14ac:dyDescent="0.25" r="4117" customHeight="1" ht="18.75">
      <c r="A4117" s="1" t="s">
        <v>7833</v>
      </c>
      <c r="B4117" s="1" t="s">
        <v>14401</v>
      </c>
      <c r="C4117" s="1" t="s">
        <v>4488</v>
      </c>
      <c r="D4117" s="1" t="s">
        <v>3601</v>
      </c>
      <c r="E4117" s="1" t="s">
        <v>3664</v>
      </c>
      <c r="F4117" s="1" t="s">
        <v>1693</v>
      </c>
      <c r="G4117" s="1" t="s">
        <v>14402</v>
      </c>
      <c r="H4117" s="1" t="s">
        <v>3604</v>
      </c>
      <c r="I4117" s="1" t="s">
        <v>15202</v>
      </c>
      <c r="J4117" s="1" t="s">
        <v>3606</v>
      </c>
      <c r="K4117" s="1" t="s">
        <v>14844</v>
      </c>
      <c r="L4117" s="1"/>
      <c r="M4117" s="1"/>
    </row>
    <row x14ac:dyDescent="0.25" r="4118" customHeight="1" ht="18.75">
      <c r="A4118" s="1" t="s">
        <v>7833</v>
      </c>
      <c r="B4118" s="1" t="s">
        <v>9216</v>
      </c>
      <c r="C4118" s="1" t="s">
        <v>4488</v>
      </c>
      <c r="D4118" s="1" t="s">
        <v>3610</v>
      </c>
      <c r="E4118" s="1" t="s">
        <v>3664</v>
      </c>
      <c r="F4118" s="1" t="s">
        <v>15203</v>
      </c>
      <c r="G4118" s="1" t="s">
        <v>15198</v>
      </c>
      <c r="H4118" s="1" t="s">
        <v>3604</v>
      </c>
      <c r="I4118" s="1" t="s">
        <v>15204</v>
      </c>
      <c r="J4118" s="1" t="s">
        <v>3606</v>
      </c>
      <c r="K4118" s="1" t="s">
        <v>15205</v>
      </c>
      <c r="L4118" s="1"/>
      <c r="M4118" s="1"/>
    </row>
    <row x14ac:dyDescent="0.25" r="4119" customHeight="1" ht="18.75">
      <c r="A4119" s="1" t="s">
        <v>7833</v>
      </c>
      <c r="B4119" s="1" t="s">
        <v>7877</v>
      </c>
      <c r="C4119" s="1" t="s">
        <v>4488</v>
      </c>
      <c r="D4119" s="1" t="s">
        <v>3601</v>
      </c>
      <c r="E4119" s="1" t="s">
        <v>3664</v>
      </c>
      <c r="F4119" s="1" t="s">
        <v>1784</v>
      </c>
      <c r="G4119" s="1" t="s">
        <v>14957</v>
      </c>
      <c r="H4119" s="1" t="s">
        <v>3604</v>
      </c>
      <c r="I4119" s="1" t="s">
        <v>15206</v>
      </c>
      <c r="J4119" s="1" t="s">
        <v>3606</v>
      </c>
      <c r="K4119" s="1" t="s">
        <v>14844</v>
      </c>
      <c r="L4119" s="1"/>
      <c r="M4119" s="1"/>
    </row>
    <row x14ac:dyDescent="0.25" r="4120" customHeight="1" ht="18.75">
      <c r="A4120" s="1" t="s">
        <v>7833</v>
      </c>
      <c r="B4120" s="1" t="s">
        <v>8258</v>
      </c>
      <c r="C4120" s="1" t="s">
        <v>4488</v>
      </c>
      <c r="D4120" s="1" t="s">
        <v>3601</v>
      </c>
      <c r="E4120" s="1" t="s">
        <v>3981</v>
      </c>
      <c r="F4120" s="1" t="s">
        <v>15207</v>
      </c>
      <c r="G4120" s="1" t="s">
        <v>8260</v>
      </c>
      <c r="H4120" s="1" t="s">
        <v>3604</v>
      </c>
      <c r="I4120" s="1" t="s">
        <v>15208</v>
      </c>
      <c r="J4120" s="1" t="s">
        <v>3606</v>
      </c>
      <c r="K4120" s="1" t="s">
        <v>14988</v>
      </c>
      <c r="L4120" s="1"/>
      <c r="M4120" s="1"/>
    </row>
    <row x14ac:dyDescent="0.25" r="4121" customHeight="1" ht="18.75">
      <c r="A4121" s="1" t="s">
        <v>7833</v>
      </c>
      <c r="B4121" s="1" t="s">
        <v>8258</v>
      </c>
      <c r="C4121" s="1" t="s">
        <v>4488</v>
      </c>
      <c r="D4121" s="1" t="s">
        <v>3601</v>
      </c>
      <c r="E4121" s="1" t="s">
        <v>3664</v>
      </c>
      <c r="F4121" s="1" t="s">
        <v>15209</v>
      </c>
      <c r="G4121" s="1" t="s">
        <v>15210</v>
      </c>
      <c r="H4121" s="1" t="s">
        <v>3604</v>
      </c>
      <c r="I4121" s="1" t="s">
        <v>15211</v>
      </c>
      <c r="J4121" s="1" t="s">
        <v>3606</v>
      </c>
      <c r="K4121" s="1" t="s">
        <v>15212</v>
      </c>
      <c r="L4121" s="1"/>
      <c r="M4121" s="1"/>
    </row>
    <row x14ac:dyDescent="0.25" r="4122" customHeight="1" ht="18.75">
      <c r="A4122" s="1" t="s">
        <v>7833</v>
      </c>
      <c r="B4122" s="1" t="s">
        <v>8286</v>
      </c>
      <c r="C4122" s="1" t="s">
        <v>4488</v>
      </c>
      <c r="D4122" s="1" t="s">
        <v>3601</v>
      </c>
      <c r="E4122" s="1" t="s">
        <v>3664</v>
      </c>
      <c r="F4122" s="1" t="s">
        <v>15213</v>
      </c>
      <c r="G4122" s="1" t="s">
        <v>14903</v>
      </c>
      <c r="H4122" s="1" t="s">
        <v>3604</v>
      </c>
      <c r="I4122" s="1" t="s">
        <v>15214</v>
      </c>
      <c r="J4122" s="1" t="s">
        <v>3606</v>
      </c>
      <c r="K4122" s="1" t="s">
        <v>15215</v>
      </c>
      <c r="L4122" s="1"/>
      <c r="M4122" s="1"/>
    </row>
    <row x14ac:dyDescent="0.25" r="4123" customHeight="1" ht="18.75">
      <c r="A4123" s="1" t="s">
        <v>7833</v>
      </c>
      <c r="B4123" s="1" t="s">
        <v>8258</v>
      </c>
      <c r="C4123" s="1" t="s">
        <v>4488</v>
      </c>
      <c r="D4123" s="1" t="s">
        <v>3601</v>
      </c>
      <c r="E4123" s="1" t="s">
        <v>3664</v>
      </c>
      <c r="F4123" s="1" t="s">
        <v>15216</v>
      </c>
      <c r="G4123" s="1" t="s">
        <v>15210</v>
      </c>
      <c r="H4123" s="1" t="s">
        <v>3604</v>
      </c>
      <c r="I4123" s="1" t="s">
        <v>15217</v>
      </c>
      <c r="J4123" s="1" t="s">
        <v>3606</v>
      </c>
      <c r="K4123" s="1" t="s">
        <v>15218</v>
      </c>
      <c r="L4123" s="1"/>
      <c r="M4123" s="1"/>
    </row>
    <row x14ac:dyDescent="0.25" r="4124" customHeight="1" ht="18.75">
      <c r="A4124" s="1" t="s">
        <v>7833</v>
      </c>
      <c r="B4124" s="1" t="s">
        <v>9216</v>
      </c>
      <c r="C4124" s="1" t="s">
        <v>4488</v>
      </c>
      <c r="D4124" s="1" t="s">
        <v>3610</v>
      </c>
      <c r="E4124" s="1" t="s">
        <v>3664</v>
      </c>
      <c r="F4124" s="1" t="s">
        <v>15219</v>
      </c>
      <c r="G4124" s="1" t="s">
        <v>15198</v>
      </c>
      <c r="H4124" s="1" t="s">
        <v>3604</v>
      </c>
      <c r="I4124" s="1" t="s">
        <v>15220</v>
      </c>
      <c r="J4124" s="1" t="s">
        <v>3606</v>
      </c>
      <c r="K4124" s="1" t="s">
        <v>14497</v>
      </c>
      <c r="L4124" s="1"/>
      <c r="M4124" s="1"/>
    </row>
    <row x14ac:dyDescent="0.25" r="4125" customHeight="1" ht="18.75">
      <c r="A4125" s="1" t="s">
        <v>7833</v>
      </c>
      <c r="B4125" s="1" t="s">
        <v>8258</v>
      </c>
      <c r="C4125" s="1" t="s">
        <v>4488</v>
      </c>
      <c r="D4125" s="1" t="s">
        <v>3601</v>
      </c>
      <c r="E4125" s="1" t="s">
        <v>3981</v>
      </c>
      <c r="F4125" s="1" t="s">
        <v>15221</v>
      </c>
      <c r="G4125" s="1" t="s">
        <v>15210</v>
      </c>
      <c r="H4125" s="1" t="s">
        <v>3604</v>
      </c>
      <c r="I4125" s="1" t="s">
        <v>15222</v>
      </c>
      <c r="J4125" s="1" t="s">
        <v>3606</v>
      </c>
      <c r="K4125" s="1" t="s">
        <v>15223</v>
      </c>
      <c r="L4125" s="1"/>
      <c r="M4125" s="1"/>
    </row>
    <row x14ac:dyDescent="0.25" r="4126" customHeight="1" ht="18.75">
      <c r="A4126" s="1" t="s">
        <v>7833</v>
      </c>
      <c r="B4126" s="1" t="s">
        <v>9216</v>
      </c>
      <c r="C4126" s="1" t="s">
        <v>4488</v>
      </c>
      <c r="D4126" s="1" t="s">
        <v>3610</v>
      </c>
      <c r="E4126" s="1" t="s">
        <v>3664</v>
      </c>
      <c r="F4126" s="1" t="s">
        <v>15224</v>
      </c>
      <c r="G4126" s="1" t="s">
        <v>15198</v>
      </c>
      <c r="H4126" s="1" t="s">
        <v>3604</v>
      </c>
      <c r="I4126" s="1" t="s">
        <v>15225</v>
      </c>
      <c r="J4126" s="1" t="s">
        <v>3606</v>
      </c>
      <c r="K4126" s="1" t="s">
        <v>14500</v>
      </c>
      <c r="L4126" s="1"/>
      <c r="M4126" s="1"/>
    </row>
    <row x14ac:dyDescent="0.25" r="4127" customHeight="1" ht="18.75">
      <c r="A4127" s="1" t="s">
        <v>7833</v>
      </c>
      <c r="B4127" s="1" t="s">
        <v>14413</v>
      </c>
      <c r="C4127" s="1" t="s">
        <v>4488</v>
      </c>
      <c r="D4127" s="1" t="s">
        <v>3601</v>
      </c>
      <c r="E4127" s="1" t="s">
        <v>3664</v>
      </c>
      <c r="F4127" s="1" t="s">
        <v>1745</v>
      </c>
      <c r="G4127" s="1" t="s">
        <v>14414</v>
      </c>
      <c r="H4127" s="1" t="s">
        <v>3604</v>
      </c>
      <c r="I4127" s="1" t="s">
        <v>15226</v>
      </c>
      <c r="J4127" s="1" t="s">
        <v>3606</v>
      </c>
      <c r="K4127" s="1" t="s">
        <v>15215</v>
      </c>
      <c r="L4127" s="1"/>
      <c r="M4127" s="1"/>
    </row>
    <row x14ac:dyDescent="0.25" r="4128" customHeight="1" ht="18.75">
      <c r="A4128" s="1" t="s">
        <v>7833</v>
      </c>
      <c r="B4128" s="1" t="s">
        <v>8258</v>
      </c>
      <c r="C4128" s="1" t="s">
        <v>4488</v>
      </c>
      <c r="D4128" s="1" t="s">
        <v>3601</v>
      </c>
      <c r="E4128" s="1" t="s">
        <v>3981</v>
      </c>
      <c r="F4128" s="1" t="s">
        <v>15227</v>
      </c>
      <c r="G4128" s="1" t="s">
        <v>15210</v>
      </c>
      <c r="H4128" s="1" t="s">
        <v>3604</v>
      </c>
      <c r="I4128" s="1" t="s">
        <v>15228</v>
      </c>
      <c r="J4128" s="1" t="s">
        <v>3606</v>
      </c>
      <c r="K4128" s="1" t="s">
        <v>15229</v>
      </c>
      <c r="L4128" s="1"/>
      <c r="M4128" s="1"/>
    </row>
    <row x14ac:dyDescent="0.25" r="4129" customHeight="1" ht="18.75">
      <c r="A4129" s="1" t="s">
        <v>7833</v>
      </c>
      <c r="B4129" s="1" t="s">
        <v>9216</v>
      </c>
      <c r="C4129" s="1" t="s">
        <v>4488</v>
      </c>
      <c r="D4129" s="1" t="s">
        <v>3695</v>
      </c>
      <c r="E4129" s="1" t="s">
        <v>3664</v>
      </c>
      <c r="F4129" s="1" t="s">
        <v>15230</v>
      </c>
      <c r="G4129" s="1" t="s">
        <v>15198</v>
      </c>
      <c r="H4129" s="1" t="s">
        <v>3604</v>
      </c>
      <c r="I4129" s="1" t="s">
        <v>15231</v>
      </c>
      <c r="J4129" s="1" t="s">
        <v>3606</v>
      </c>
      <c r="K4129" s="1" t="s">
        <v>15232</v>
      </c>
      <c r="L4129" s="1"/>
      <c r="M4129" s="1"/>
    </row>
    <row x14ac:dyDescent="0.25" r="4130" customHeight="1" ht="18.75">
      <c r="A4130" s="1" t="s">
        <v>7833</v>
      </c>
      <c r="B4130" s="1" t="s">
        <v>9216</v>
      </c>
      <c r="C4130" s="1" t="s">
        <v>4488</v>
      </c>
      <c r="D4130" s="1" t="s">
        <v>7891</v>
      </c>
      <c r="E4130" s="1" t="s">
        <v>3664</v>
      </c>
      <c r="F4130" s="1" t="s">
        <v>15233</v>
      </c>
      <c r="G4130" s="1" t="s">
        <v>15198</v>
      </c>
      <c r="H4130" s="1" t="s">
        <v>3604</v>
      </c>
      <c r="I4130" s="1" t="s">
        <v>15234</v>
      </c>
      <c r="J4130" s="1" t="s">
        <v>3606</v>
      </c>
      <c r="K4130" s="1" t="s">
        <v>14421</v>
      </c>
      <c r="L4130" s="1"/>
      <c r="M4130" s="1"/>
    </row>
    <row x14ac:dyDescent="0.25" r="4131" customHeight="1" ht="18.75">
      <c r="A4131" s="1" t="s">
        <v>7833</v>
      </c>
      <c r="B4131" s="1" t="s">
        <v>14422</v>
      </c>
      <c r="C4131" s="1" t="s">
        <v>4488</v>
      </c>
      <c r="D4131" s="1" t="s">
        <v>3601</v>
      </c>
      <c r="E4131" s="1" t="s">
        <v>3664</v>
      </c>
      <c r="F4131" s="1" t="s">
        <v>1612</v>
      </c>
      <c r="G4131" s="1" t="s">
        <v>14424</v>
      </c>
      <c r="H4131" s="1" t="s">
        <v>3604</v>
      </c>
      <c r="I4131" s="1" t="s">
        <v>15235</v>
      </c>
      <c r="J4131" s="1" t="s">
        <v>3606</v>
      </c>
      <c r="K4131" s="1" t="s">
        <v>15236</v>
      </c>
      <c r="L4131" s="1"/>
      <c r="M4131" s="1"/>
    </row>
    <row x14ac:dyDescent="0.25" r="4132" customHeight="1" ht="18.75">
      <c r="A4132" s="1" t="s">
        <v>7833</v>
      </c>
      <c r="B4132" s="1" t="s">
        <v>9216</v>
      </c>
      <c r="C4132" s="1" t="s">
        <v>4488</v>
      </c>
      <c r="D4132" s="1" t="s">
        <v>3610</v>
      </c>
      <c r="E4132" s="1" t="s">
        <v>3664</v>
      </c>
      <c r="F4132" s="1" t="s">
        <v>15237</v>
      </c>
      <c r="G4132" s="1" t="s">
        <v>15238</v>
      </c>
      <c r="H4132" s="1" t="s">
        <v>3604</v>
      </c>
      <c r="I4132" s="1" t="s">
        <v>15239</v>
      </c>
      <c r="J4132" s="1" t="s">
        <v>3606</v>
      </c>
      <c r="K4132" s="1" t="s">
        <v>12943</v>
      </c>
      <c r="L4132" s="1"/>
      <c r="M4132" s="1"/>
    </row>
    <row x14ac:dyDescent="0.25" r="4133" customHeight="1" ht="18.75">
      <c r="A4133" s="1" t="s">
        <v>7833</v>
      </c>
      <c r="B4133" s="1" t="s">
        <v>8258</v>
      </c>
      <c r="C4133" s="1" t="s">
        <v>4488</v>
      </c>
      <c r="D4133" s="1" t="s">
        <v>3601</v>
      </c>
      <c r="E4133" s="1" t="s">
        <v>3981</v>
      </c>
      <c r="F4133" s="1" t="s">
        <v>15240</v>
      </c>
      <c r="G4133" s="1" t="s">
        <v>15241</v>
      </c>
      <c r="H4133" s="1" t="s">
        <v>3604</v>
      </c>
      <c r="I4133" s="1" t="s">
        <v>15242</v>
      </c>
      <c r="J4133" s="1" t="s">
        <v>3606</v>
      </c>
      <c r="K4133" s="1" t="s">
        <v>15243</v>
      </c>
      <c r="L4133" s="1"/>
      <c r="M4133" s="1"/>
    </row>
    <row x14ac:dyDescent="0.25" r="4134" customHeight="1" ht="18.75">
      <c r="A4134" s="1" t="s">
        <v>3693</v>
      </c>
      <c r="B4134" s="1" t="s">
        <v>7026</v>
      </c>
      <c r="C4134" s="1" t="s">
        <v>3600</v>
      </c>
      <c r="D4134" s="1" t="s">
        <v>533</v>
      </c>
      <c r="E4134" s="1" t="s">
        <v>3664</v>
      </c>
      <c r="F4134" s="1" t="s">
        <v>15244</v>
      </c>
      <c r="G4134" s="1" t="s">
        <v>10280</v>
      </c>
      <c r="H4134" s="1" t="s">
        <v>3604</v>
      </c>
      <c r="I4134" s="1" t="s">
        <v>15245</v>
      </c>
      <c r="J4134" s="1" t="s">
        <v>3606</v>
      </c>
      <c r="K4134" s="1" t="s">
        <v>15246</v>
      </c>
      <c r="L4134" s="1"/>
      <c r="M4134" s="1"/>
    </row>
    <row x14ac:dyDescent="0.25" r="4135" customHeight="1" ht="18.75">
      <c r="A4135" s="1" t="s">
        <v>7833</v>
      </c>
      <c r="B4135" s="1" t="s">
        <v>8258</v>
      </c>
      <c r="C4135" s="1" t="s">
        <v>4488</v>
      </c>
      <c r="D4135" s="1" t="s">
        <v>3601</v>
      </c>
      <c r="E4135" s="1" t="s">
        <v>3981</v>
      </c>
      <c r="F4135" s="1" t="s">
        <v>15247</v>
      </c>
      <c r="G4135" s="1" t="s">
        <v>15241</v>
      </c>
      <c r="H4135" s="1" t="s">
        <v>3604</v>
      </c>
      <c r="I4135" s="1" t="s">
        <v>15248</v>
      </c>
      <c r="J4135" s="1" t="s">
        <v>3606</v>
      </c>
      <c r="K4135" s="1" t="s">
        <v>15004</v>
      </c>
      <c r="L4135" s="1"/>
      <c r="M4135" s="1"/>
    </row>
    <row x14ac:dyDescent="0.25" r="4136" customHeight="1" ht="18.75">
      <c r="A4136" s="1" t="s">
        <v>7833</v>
      </c>
      <c r="B4136" s="1" t="s">
        <v>9216</v>
      </c>
      <c r="C4136" s="1" t="s">
        <v>4488</v>
      </c>
      <c r="D4136" s="1" t="s">
        <v>3610</v>
      </c>
      <c r="E4136" s="1" t="s">
        <v>3664</v>
      </c>
      <c r="F4136" s="1" t="s">
        <v>15249</v>
      </c>
      <c r="G4136" s="1" t="s">
        <v>15238</v>
      </c>
      <c r="H4136" s="1" t="s">
        <v>3604</v>
      </c>
      <c r="I4136" s="1" t="s">
        <v>15250</v>
      </c>
      <c r="J4136" s="1" t="s">
        <v>3606</v>
      </c>
      <c r="K4136" s="1" t="s">
        <v>15251</v>
      </c>
      <c r="L4136" s="1"/>
      <c r="M4136" s="1"/>
    </row>
    <row x14ac:dyDescent="0.25" r="4137" customHeight="1" ht="18.75">
      <c r="A4137" s="1" t="s">
        <v>7833</v>
      </c>
      <c r="B4137" s="1" t="s">
        <v>8291</v>
      </c>
      <c r="C4137" s="1" t="s">
        <v>4488</v>
      </c>
      <c r="D4137" s="1" t="s">
        <v>3601</v>
      </c>
      <c r="E4137" s="1" t="s">
        <v>8096</v>
      </c>
      <c r="F4137" s="1" t="s">
        <v>15252</v>
      </c>
      <c r="G4137" s="1" t="s">
        <v>8299</v>
      </c>
      <c r="H4137" s="1" t="s">
        <v>3604</v>
      </c>
      <c r="I4137" s="1" t="s">
        <v>15253</v>
      </c>
      <c r="J4137" s="1" t="s">
        <v>3606</v>
      </c>
      <c r="K4137" s="1" t="s">
        <v>15236</v>
      </c>
      <c r="L4137" s="1"/>
      <c r="M4137" s="1"/>
    </row>
    <row x14ac:dyDescent="0.25" r="4138" customHeight="1" ht="18.75">
      <c r="A4138" s="1" t="s">
        <v>7833</v>
      </c>
      <c r="B4138" s="1" t="s">
        <v>8258</v>
      </c>
      <c r="C4138" s="1" t="s">
        <v>4488</v>
      </c>
      <c r="D4138" s="1" t="s">
        <v>3601</v>
      </c>
      <c r="E4138" s="1" t="s">
        <v>3981</v>
      </c>
      <c r="F4138" s="1" t="s">
        <v>15254</v>
      </c>
      <c r="G4138" s="1" t="s">
        <v>15255</v>
      </c>
      <c r="H4138" s="1" t="s">
        <v>3604</v>
      </c>
      <c r="I4138" s="1" t="s">
        <v>15256</v>
      </c>
      <c r="J4138" s="1" t="s">
        <v>3606</v>
      </c>
      <c r="K4138" s="1" t="s">
        <v>15257</v>
      </c>
      <c r="L4138" s="1"/>
      <c r="M4138" s="1"/>
    </row>
    <row x14ac:dyDescent="0.25" r="4139" customHeight="1" ht="18.75">
      <c r="A4139" s="1" t="s">
        <v>7833</v>
      </c>
      <c r="B4139" s="1" t="s">
        <v>9216</v>
      </c>
      <c r="C4139" s="1" t="s">
        <v>4488</v>
      </c>
      <c r="D4139" s="1" t="s">
        <v>3610</v>
      </c>
      <c r="E4139" s="1" t="s">
        <v>3664</v>
      </c>
      <c r="F4139" s="1" t="s">
        <v>15258</v>
      </c>
      <c r="G4139" s="1" t="s">
        <v>15238</v>
      </c>
      <c r="H4139" s="1" t="s">
        <v>3604</v>
      </c>
      <c r="I4139" s="1" t="s">
        <v>15259</v>
      </c>
      <c r="J4139" s="1" t="s">
        <v>3606</v>
      </c>
      <c r="K4139" s="1" t="s">
        <v>14400</v>
      </c>
      <c r="L4139" s="1"/>
      <c r="M4139" s="1"/>
    </row>
    <row x14ac:dyDescent="0.25" r="4140" customHeight="1" ht="18.75">
      <c r="A4140" s="1" t="s">
        <v>7833</v>
      </c>
      <c r="B4140" s="1" t="s">
        <v>9216</v>
      </c>
      <c r="C4140" s="1" t="s">
        <v>4488</v>
      </c>
      <c r="D4140" s="1" t="s">
        <v>3610</v>
      </c>
      <c r="E4140" s="1" t="s">
        <v>3664</v>
      </c>
      <c r="F4140" s="1" t="s">
        <v>15260</v>
      </c>
      <c r="G4140" s="1" t="s">
        <v>15238</v>
      </c>
      <c r="H4140" s="1" t="s">
        <v>3604</v>
      </c>
      <c r="I4140" s="1" t="s">
        <v>15261</v>
      </c>
      <c r="J4140" s="1" t="s">
        <v>3606</v>
      </c>
      <c r="K4140" s="1" t="s">
        <v>14409</v>
      </c>
      <c r="L4140" s="1"/>
      <c r="M4140" s="1"/>
    </row>
    <row x14ac:dyDescent="0.25" r="4141" customHeight="1" ht="18.75">
      <c r="A4141" s="1" t="s">
        <v>3693</v>
      </c>
      <c r="B4141" s="1" t="s">
        <v>4229</v>
      </c>
      <c r="C4141" s="1" t="s">
        <v>3619</v>
      </c>
      <c r="D4141" s="1" t="s">
        <v>533</v>
      </c>
      <c r="E4141" s="1" t="s">
        <v>3664</v>
      </c>
      <c r="F4141" s="1" t="s">
        <v>15262</v>
      </c>
      <c r="G4141" s="1" t="s">
        <v>4230</v>
      </c>
      <c r="H4141" s="1" t="s">
        <v>3604</v>
      </c>
      <c r="I4141" s="1" t="s">
        <v>15263</v>
      </c>
      <c r="J4141" s="1" t="s">
        <v>3615</v>
      </c>
      <c r="K4141" s="1" t="s">
        <v>15264</v>
      </c>
      <c r="L4141" s="1"/>
      <c r="M4141" s="1"/>
    </row>
    <row x14ac:dyDescent="0.25" r="4142" customHeight="1" ht="18.75">
      <c r="A4142" s="1" t="s">
        <v>7833</v>
      </c>
      <c r="B4142" s="1" t="s">
        <v>9216</v>
      </c>
      <c r="C4142" s="1" t="s">
        <v>4488</v>
      </c>
      <c r="D4142" s="1" t="s">
        <v>3610</v>
      </c>
      <c r="E4142" s="1" t="s">
        <v>3664</v>
      </c>
      <c r="F4142" s="1" t="s">
        <v>15265</v>
      </c>
      <c r="G4142" s="1" t="s">
        <v>15266</v>
      </c>
      <c r="H4142" s="1" t="s">
        <v>3604</v>
      </c>
      <c r="I4142" s="1" t="s">
        <v>15267</v>
      </c>
      <c r="J4142" s="1" t="s">
        <v>3606</v>
      </c>
      <c r="K4142" s="1" t="s">
        <v>13973</v>
      </c>
      <c r="L4142" s="1"/>
      <c r="M4142" s="1"/>
    </row>
    <row x14ac:dyDescent="0.25" r="4143" customHeight="1" ht="18.75">
      <c r="A4143" s="1" t="s">
        <v>7833</v>
      </c>
      <c r="B4143" s="1" t="s">
        <v>9216</v>
      </c>
      <c r="C4143" s="1" t="s">
        <v>4488</v>
      </c>
      <c r="D4143" s="1" t="s">
        <v>3610</v>
      </c>
      <c r="E4143" s="1" t="s">
        <v>3664</v>
      </c>
      <c r="F4143" s="1" t="s">
        <v>15268</v>
      </c>
      <c r="G4143" s="1" t="s">
        <v>15266</v>
      </c>
      <c r="H4143" s="1" t="s">
        <v>3604</v>
      </c>
      <c r="I4143" s="1" t="s">
        <v>15269</v>
      </c>
      <c r="J4143" s="1" t="s">
        <v>3606</v>
      </c>
      <c r="K4143" s="1" t="s">
        <v>15270</v>
      </c>
      <c r="L4143" s="1"/>
      <c r="M4143" s="1"/>
    </row>
    <row x14ac:dyDescent="0.25" r="4144" customHeight="1" ht="18.75">
      <c r="A4144" s="1" t="s">
        <v>7833</v>
      </c>
      <c r="B4144" s="1" t="s">
        <v>9216</v>
      </c>
      <c r="C4144" s="1" t="s">
        <v>4488</v>
      </c>
      <c r="D4144" s="1" t="s">
        <v>3610</v>
      </c>
      <c r="E4144" s="1" t="s">
        <v>3664</v>
      </c>
      <c r="F4144" s="1" t="s">
        <v>15271</v>
      </c>
      <c r="G4144" s="1" t="s">
        <v>15266</v>
      </c>
      <c r="H4144" s="1" t="s">
        <v>3604</v>
      </c>
      <c r="I4144" s="1" t="s">
        <v>15272</v>
      </c>
      <c r="J4144" s="1" t="s">
        <v>3606</v>
      </c>
      <c r="K4144" s="1" t="s">
        <v>14435</v>
      </c>
      <c r="L4144" s="1"/>
      <c r="M4144" s="1"/>
    </row>
    <row x14ac:dyDescent="0.25" r="4145" customHeight="1" ht="18.75">
      <c r="A4145" s="1" t="s">
        <v>7833</v>
      </c>
      <c r="B4145" s="1" t="s">
        <v>14486</v>
      </c>
      <c r="C4145" s="1" t="s">
        <v>3619</v>
      </c>
      <c r="D4145" s="1" t="s">
        <v>533</v>
      </c>
      <c r="E4145" s="1" t="s">
        <v>3981</v>
      </c>
      <c r="F4145" s="1" t="s">
        <v>1756</v>
      </c>
      <c r="G4145" s="1" t="s">
        <v>15273</v>
      </c>
      <c r="H4145" s="1" t="s">
        <v>3604</v>
      </c>
      <c r="I4145" s="1" t="s">
        <v>15274</v>
      </c>
      <c r="J4145" s="1" t="s">
        <v>3606</v>
      </c>
      <c r="K4145" s="1" t="s">
        <v>15275</v>
      </c>
      <c r="L4145" s="1"/>
      <c r="M4145" s="1"/>
    </row>
    <row x14ac:dyDescent="0.25" r="4146" customHeight="1" ht="18.75">
      <c r="A4146" s="1" t="s">
        <v>7833</v>
      </c>
      <c r="B4146" s="1" t="s">
        <v>14486</v>
      </c>
      <c r="C4146" s="1" t="s">
        <v>3619</v>
      </c>
      <c r="D4146" s="1" t="s">
        <v>533</v>
      </c>
      <c r="E4146" s="1" t="s">
        <v>3981</v>
      </c>
      <c r="F4146" s="1" t="s">
        <v>1757</v>
      </c>
      <c r="G4146" s="1" t="s">
        <v>14487</v>
      </c>
      <c r="H4146" s="1" t="s">
        <v>3604</v>
      </c>
      <c r="I4146" s="1" t="s">
        <v>15276</v>
      </c>
      <c r="J4146" s="1" t="s">
        <v>3606</v>
      </c>
      <c r="K4146" s="1" t="s">
        <v>15277</v>
      </c>
      <c r="L4146" s="1"/>
      <c r="M4146" s="1"/>
    </row>
    <row x14ac:dyDescent="0.25" r="4147" customHeight="1" ht="18.75">
      <c r="A4147" s="1" t="s">
        <v>7833</v>
      </c>
      <c r="B4147" s="1" t="s">
        <v>14486</v>
      </c>
      <c r="C4147" s="1" t="s">
        <v>3619</v>
      </c>
      <c r="D4147" s="1" t="s">
        <v>533</v>
      </c>
      <c r="E4147" s="1" t="s">
        <v>3981</v>
      </c>
      <c r="F4147" s="1" t="s">
        <v>1758</v>
      </c>
      <c r="G4147" s="1" t="s">
        <v>14965</v>
      </c>
      <c r="H4147" s="1" t="s">
        <v>3604</v>
      </c>
      <c r="I4147" s="1" t="s">
        <v>15278</v>
      </c>
      <c r="J4147" s="1" t="s">
        <v>3606</v>
      </c>
      <c r="K4147" s="1" t="s">
        <v>15279</v>
      </c>
      <c r="L4147" s="1"/>
      <c r="M4147" s="1"/>
    </row>
    <row x14ac:dyDescent="0.25" r="4148" customHeight="1" ht="18.75">
      <c r="A4148" s="1" t="s">
        <v>7833</v>
      </c>
      <c r="B4148" s="1" t="s">
        <v>14486</v>
      </c>
      <c r="C4148" s="1" t="s">
        <v>3619</v>
      </c>
      <c r="D4148" s="1" t="s">
        <v>533</v>
      </c>
      <c r="E4148" s="1" t="s">
        <v>3981</v>
      </c>
      <c r="F4148" s="1" t="s">
        <v>1759</v>
      </c>
      <c r="G4148" s="1" t="s">
        <v>15280</v>
      </c>
      <c r="H4148" s="1" t="s">
        <v>3604</v>
      </c>
      <c r="I4148" s="1" t="s">
        <v>15281</v>
      </c>
      <c r="J4148" s="1" t="s">
        <v>3606</v>
      </c>
      <c r="K4148" s="1" t="s">
        <v>15282</v>
      </c>
      <c r="L4148" s="1"/>
      <c r="M4148" s="1"/>
    </row>
    <row x14ac:dyDescent="0.25" r="4149" customHeight="1" ht="18.75">
      <c r="A4149" s="1" t="s">
        <v>7833</v>
      </c>
      <c r="B4149" s="1" t="s">
        <v>14486</v>
      </c>
      <c r="C4149" s="1" t="s">
        <v>3619</v>
      </c>
      <c r="D4149" s="1" t="s">
        <v>3610</v>
      </c>
      <c r="E4149" s="1" t="s">
        <v>3981</v>
      </c>
      <c r="F4149" s="1" t="s">
        <v>1760</v>
      </c>
      <c r="G4149" s="1" t="s">
        <v>15280</v>
      </c>
      <c r="H4149" s="1" t="s">
        <v>3604</v>
      </c>
      <c r="I4149" s="1" t="s">
        <v>15283</v>
      </c>
      <c r="J4149" s="1" t="s">
        <v>3606</v>
      </c>
      <c r="K4149" s="1" t="s">
        <v>15284</v>
      </c>
      <c r="L4149" s="1"/>
      <c r="M4149" s="1"/>
    </row>
    <row x14ac:dyDescent="0.25" r="4150" customHeight="1" ht="18.75">
      <c r="A4150" s="1" t="s">
        <v>7833</v>
      </c>
      <c r="B4150" s="1" t="s">
        <v>14486</v>
      </c>
      <c r="C4150" s="1" t="s">
        <v>3619</v>
      </c>
      <c r="D4150" s="1" t="s">
        <v>3610</v>
      </c>
      <c r="E4150" s="1" t="s">
        <v>3981</v>
      </c>
      <c r="F4150" s="1" t="s">
        <v>1761</v>
      </c>
      <c r="G4150" s="1" t="s">
        <v>15280</v>
      </c>
      <c r="H4150" s="1" t="s">
        <v>3604</v>
      </c>
      <c r="I4150" s="1" t="s">
        <v>15285</v>
      </c>
      <c r="J4150" s="1" t="s">
        <v>3606</v>
      </c>
      <c r="K4150" s="1" t="s">
        <v>15286</v>
      </c>
      <c r="L4150" s="1"/>
      <c r="M4150" s="1"/>
    </row>
    <row x14ac:dyDescent="0.25" r="4151" customHeight="1" ht="18.75">
      <c r="A4151" s="1" t="s">
        <v>7833</v>
      </c>
      <c r="B4151" s="1" t="s">
        <v>14486</v>
      </c>
      <c r="C4151" s="1" t="s">
        <v>3619</v>
      </c>
      <c r="D4151" s="1" t="s">
        <v>3610</v>
      </c>
      <c r="E4151" s="1" t="s">
        <v>3981</v>
      </c>
      <c r="F4151" s="1" t="s">
        <v>1762</v>
      </c>
      <c r="G4151" s="1" t="s">
        <v>15273</v>
      </c>
      <c r="H4151" s="1" t="s">
        <v>3604</v>
      </c>
      <c r="I4151" s="1" t="s">
        <v>15287</v>
      </c>
      <c r="J4151" s="1" t="s">
        <v>3606</v>
      </c>
      <c r="K4151" s="1" t="s">
        <v>15288</v>
      </c>
      <c r="L4151" s="1"/>
      <c r="M4151" s="1"/>
    </row>
    <row x14ac:dyDescent="0.25" r="4152" customHeight="1" ht="18.75">
      <c r="A4152" s="1" t="s">
        <v>7833</v>
      </c>
      <c r="B4152" s="1" t="s">
        <v>14486</v>
      </c>
      <c r="C4152" s="1" t="s">
        <v>3619</v>
      </c>
      <c r="D4152" s="1" t="s">
        <v>3610</v>
      </c>
      <c r="E4152" s="1" t="s">
        <v>3981</v>
      </c>
      <c r="F4152" s="1" t="s">
        <v>1763</v>
      </c>
      <c r="G4152" s="1" t="s">
        <v>15273</v>
      </c>
      <c r="H4152" s="1" t="s">
        <v>3604</v>
      </c>
      <c r="I4152" s="1" t="s">
        <v>15289</v>
      </c>
      <c r="J4152" s="1" t="s">
        <v>3606</v>
      </c>
      <c r="K4152" s="1" t="s">
        <v>15290</v>
      </c>
      <c r="L4152" s="1"/>
      <c r="M4152" s="1"/>
    </row>
    <row x14ac:dyDescent="0.25" r="4153" customHeight="1" ht="18.75">
      <c r="A4153" s="1" t="s">
        <v>7833</v>
      </c>
      <c r="B4153" s="1" t="s">
        <v>14486</v>
      </c>
      <c r="C4153" s="1" t="s">
        <v>3619</v>
      </c>
      <c r="D4153" s="1" t="s">
        <v>3610</v>
      </c>
      <c r="E4153" s="1" t="s">
        <v>3981</v>
      </c>
      <c r="F4153" s="1" t="s">
        <v>1764</v>
      </c>
      <c r="G4153" s="1" t="s">
        <v>14487</v>
      </c>
      <c r="H4153" s="1" t="s">
        <v>3604</v>
      </c>
      <c r="I4153" s="1" t="s">
        <v>15291</v>
      </c>
      <c r="J4153" s="1" t="s">
        <v>3606</v>
      </c>
      <c r="K4153" s="1" t="s">
        <v>15292</v>
      </c>
      <c r="L4153" s="1"/>
      <c r="M4153" s="1"/>
    </row>
    <row x14ac:dyDescent="0.25" r="4154" customHeight="1" ht="18.75">
      <c r="A4154" s="1" t="s">
        <v>7833</v>
      </c>
      <c r="B4154" s="1" t="s">
        <v>14486</v>
      </c>
      <c r="C4154" s="1" t="s">
        <v>3619</v>
      </c>
      <c r="D4154" s="1" t="s">
        <v>3610</v>
      </c>
      <c r="E4154" s="1" t="s">
        <v>3981</v>
      </c>
      <c r="F4154" s="1" t="s">
        <v>1765</v>
      </c>
      <c r="G4154" s="1" t="s">
        <v>14487</v>
      </c>
      <c r="H4154" s="1" t="s">
        <v>3604</v>
      </c>
      <c r="I4154" s="1" t="s">
        <v>15293</v>
      </c>
      <c r="J4154" s="1" t="s">
        <v>3606</v>
      </c>
      <c r="K4154" s="1" t="s">
        <v>15294</v>
      </c>
      <c r="L4154" s="1"/>
      <c r="M4154" s="1"/>
    </row>
    <row x14ac:dyDescent="0.25" r="4155" customHeight="1" ht="18.75">
      <c r="A4155" s="1" t="s">
        <v>7833</v>
      </c>
      <c r="B4155" s="1" t="s">
        <v>14486</v>
      </c>
      <c r="C4155" s="1" t="s">
        <v>3619</v>
      </c>
      <c r="D4155" s="1" t="s">
        <v>3610</v>
      </c>
      <c r="E4155" s="1" t="s">
        <v>3981</v>
      </c>
      <c r="F4155" s="1" t="s">
        <v>1766</v>
      </c>
      <c r="G4155" s="1" t="s">
        <v>14965</v>
      </c>
      <c r="H4155" s="1" t="s">
        <v>3604</v>
      </c>
      <c r="I4155" s="1" t="s">
        <v>15295</v>
      </c>
      <c r="J4155" s="1" t="s">
        <v>3606</v>
      </c>
      <c r="K4155" s="1" t="s">
        <v>15296</v>
      </c>
      <c r="L4155" s="1"/>
      <c r="M4155" s="1"/>
    </row>
    <row x14ac:dyDescent="0.25" r="4156" customHeight="1" ht="18.75">
      <c r="A4156" s="1" t="s">
        <v>7833</v>
      </c>
      <c r="B4156" s="1" t="s">
        <v>14486</v>
      </c>
      <c r="C4156" s="1" t="s">
        <v>3619</v>
      </c>
      <c r="D4156" s="1" t="s">
        <v>3610</v>
      </c>
      <c r="E4156" s="1" t="s">
        <v>3981</v>
      </c>
      <c r="F4156" s="1" t="s">
        <v>1767</v>
      </c>
      <c r="G4156" s="1" t="s">
        <v>14965</v>
      </c>
      <c r="H4156" s="1" t="s">
        <v>3604</v>
      </c>
      <c r="I4156" s="1" t="s">
        <v>15297</v>
      </c>
      <c r="J4156" s="1" t="s">
        <v>3606</v>
      </c>
      <c r="K4156" s="1" t="s">
        <v>15298</v>
      </c>
      <c r="L4156" s="1"/>
      <c r="M4156" s="1"/>
    </row>
    <row x14ac:dyDescent="0.25" r="4157" customHeight="1" ht="18.75">
      <c r="A4157" s="1" t="s">
        <v>7833</v>
      </c>
      <c r="B4157" s="1" t="s">
        <v>14486</v>
      </c>
      <c r="C4157" s="1" t="s">
        <v>3619</v>
      </c>
      <c r="D4157" s="1" t="s">
        <v>3601</v>
      </c>
      <c r="E4157" s="1" t="s">
        <v>3981</v>
      </c>
      <c r="F4157" s="1" t="s">
        <v>1768</v>
      </c>
      <c r="G4157" s="1" t="s">
        <v>14965</v>
      </c>
      <c r="H4157" s="1" t="s">
        <v>3604</v>
      </c>
      <c r="I4157" s="1" t="s">
        <v>15299</v>
      </c>
      <c r="J4157" s="1" t="s">
        <v>3606</v>
      </c>
      <c r="K4157" s="1" t="s">
        <v>14260</v>
      </c>
      <c r="L4157" s="1"/>
      <c r="M4157" s="1"/>
    </row>
    <row x14ac:dyDescent="0.25" r="4158" customHeight="1" ht="18.75">
      <c r="A4158" s="1" t="s">
        <v>7833</v>
      </c>
      <c r="B4158" s="1" t="s">
        <v>14486</v>
      </c>
      <c r="C4158" s="1" t="s">
        <v>3619</v>
      </c>
      <c r="D4158" s="1" t="s">
        <v>3601</v>
      </c>
      <c r="E4158" s="1" t="s">
        <v>3981</v>
      </c>
      <c r="F4158" s="1" t="s">
        <v>1769</v>
      </c>
      <c r="G4158" s="1" t="s">
        <v>14965</v>
      </c>
      <c r="H4158" s="1" t="s">
        <v>3604</v>
      </c>
      <c r="I4158" s="1" t="s">
        <v>15300</v>
      </c>
      <c r="J4158" s="1" t="s">
        <v>3606</v>
      </c>
      <c r="K4158" s="1" t="s">
        <v>14263</v>
      </c>
      <c r="L4158" s="1"/>
      <c r="M4158" s="1"/>
    </row>
    <row x14ac:dyDescent="0.25" r="4159" customHeight="1" ht="18.75">
      <c r="A4159" s="1" t="s">
        <v>7833</v>
      </c>
      <c r="B4159" s="1" t="s">
        <v>14264</v>
      </c>
      <c r="C4159" s="1" t="s">
        <v>4488</v>
      </c>
      <c r="D4159" s="1" t="s">
        <v>3601</v>
      </c>
      <c r="E4159" s="1" t="s">
        <v>3664</v>
      </c>
      <c r="F4159" s="1" t="s">
        <v>1666</v>
      </c>
      <c r="G4159" s="1" t="s">
        <v>14265</v>
      </c>
      <c r="H4159" s="1" t="s">
        <v>3604</v>
      </c>
      <c r="I4159" s="1" t="s">
        <v>15301</v>
      </c>
      <c r="J4159" s="1" t="s">
        <v>3606</v>
      </c>
      <c r="K4159" s="1" t="s">
        <v>15236</v>
      </c>
      <c r="L4159" s="1"/>
      <c r="M4159" s="1"/>
    </row>
    <row x14ac:dyDescent="0.25" r="4160" customHeight="1" ht="18.75">
      <c r="A4160" s="1" t="s">
        <v>7833</v>
      </c>
      <c r="B4160" s="1" t="s">
        <v>8694</v>
      </c>
      <c r="C4160" s="1" t="s">
        <v>4488</v>
      </c>
      <c r="D4160" s="1" t="s">
        <v>3601</v>
      </c>
      <c r="E4160" s="1" t="s">
        <v>8096</v>
      </c>
      <c r="F4160" s="1" t="s">
        <v>1733</v>
      </c>
      <c r="G4160" s="1" t="s">
        <v>8708</v>
      </c>
      <c r="H4160" s="1" t="s">
        <v>3604</v>
      </c>
      <c r="I4160" s="1" t="s">
        <v>15302</v>
      </c>
      <c r="J4160" s="1" t="s">
        <v>3606</v>
      </c>
      <c r="K4160" s="1" t="s">
        <v>15236</v>
      </c>
      <c r="L4160" s="1"/>
      <c r="M4160" s="1"/>
    </row>
    <row x14ac:dyDescent="0.25" r="4161" customHeight="1" ht="18.75">
      <c r="A4161" s="1" t="s">
        <v>7833</v>
      </c>
      <c r="B4161" s="1" t="s">
        <v>8306</v>
      </c>
      <c r="C4161" s="1" t="s">
        <v>4488</v>
      </c>
      <c r="D4161" s="1" t="s">
        <v>3601</v>
      </c>
      <c r="E4161" s="1" t="s">
        <v>8096</v>
      </c>
      <c r="F4161" s="1" t="s">
        <v>15303</v>
      </c>
      <c r="G4161" s="1" t="s">
        <v>15304</v>
      </c>
      <c r="H4161" s="1" t="s">
        <v>3604</v>
      </c>
      <c r="I4161" s="1" t="s">
        <v>15305</v>
      </c>
      <c r="J4161" s="1" t="s">
        <v>3606</v>
      </c>
      <c r="K4161" s="1" t="s">
        <v>15236</v>
      </c>
      <c r="L4161" s="1"/>
      <c r="M4161" s="1"/>
    </row>
    <row x14ac:dyDescent="0.25" r="4162" customHeight="1" ht="18.75">
      <c r="A4162" s="1" t="s">
        <v>7833</v>
      </c>
      <c r="B4162" s="1" t="s">
        <v>8258</v>
      </c>
      <c r="C4162" s="1" t="s">
        <v>4488</v>
      </c>
      <c r="D4162" s="1" t="s">
        <v>3601</v>
      </c>
      <c r="E4162" s="1" t="s">
        <v>3981</v>
      </c>
      <c r="F4162" s="1" t="s">
        <v>15306</v>
      </c>
      <c r="G4162" s="1" t="s">
        <v>15255</v>
      </c>
      <c r="H4162" s="1" t="s">
        <v>3604</v>
      </c>
      <c r="I4162" s="1" t="s">
        <v>15307</v>
      </c>
      <c r="J4162" s="1" t="s">
        <v>3606</v>
      </c>
      <c r="K4162" s="1" t="s">
        <v>15308</v>
      </c>
      <c r="L4162" s="1"/>
      <c r="M4162" s="1"/>
    </row>
    <row x14ac:dyDescent="0.25" r="4163" customHeight="1" ht="18.75">
      <c r="A4163" s="1" t="s">
        <v>7833</v>
      </c>
      <c r="B4163" s="1" t="s">
        <v>8258</v>
      </c>
      <c r="C4163" s="1" t="s">
        <v>4488</v>
      </c>
      <c r="D4163" s="1" t="s">
        <v>3601</v>
      </c>
      <c r="E4163" s="1" t="s">
        <v>3981</v>
      </c>
      <c r="F4163" s="1" t="s">
        <v>15309</v>
      </c>
      <c r="G4163" s="1" t="s">
        <v>14553</v>
      </c>
      <c r="H4163" s="1" t="s">
        <v>3604</v>
      </c>
      <c r="I4163" s="1" t="s">
        <v>15310</v>
      </c>
      <c r="J4163" s="1" t="s">
        <v>3606</v>
      </c>
      <c r="K4163" s="1" t="s">
        <v>9737</v>
      </c>
      <c r="L4163" s="1"/>
      <c r="M4163" s="1"/>
    </row>
    <row x14ac:dyDescent="0.25" r="4164" customHeight="1" ht="18.75">
      <c r="A4164" s="1" t="s">
        <v>7833</v>
      </c>
      <c r="B4164" s="1" t="s">
        <v>8258</v>
      </c>
      <c r="C4164" s="1" t="s">
        <v>4488</v>
      </c>
      <c r="D4164" s="1" t="s">
        <v>3601</v>
      </c>
      <c r="E4164" s="1" t="s">
        <v>3981</v>
      </c>
      <c r="F4164" s="1" t="s">
        <v>15311</v>
      </c>
      <c r="G4164" s="1" t="s">
        <v>14553</v>
      </c>
      <c r="H4164" s="1" t="s">
        <v>3604</v>
      </c>
      <c r="I4164" s="1" t="s">
        <v>15312</v>
      </c>
      <c r="J4164" s="1" t="s">
        <v>3606</v>
      </c>
      <c r="K4164" s="1" t="s">
        <v>15313</v>
      </c>
      <c r="L4164" s="1"/>
      <c r="M4164" s="1"/>
    </row>
    <row x14ac:dyDescent="0.25" r="4165" customHeight="1" ht="18.75">
      <c r="A4165" s="1" t="s">
        <v>7833</v>
      </c>
      <c r="B4165" s="1" t="s">
        <v>7861</v>
      </c>
      <c r="C4165" s="1" t="s">
        <v>4488</v>
      </c>
      <c r="D4165" s="1" t="s">
        <v>8365</v>
      </c>
      <c r="E4165" s="1" t="s">
        <v>3664</v>
      </c>
      <c r="F4165" s="1" t="s">
        <v>15314</v>
      </c>
      <c r="G4165" s="1" t="s">
        <v>7863</v>
      </c>
      <c r="H4165" s="1" t="s">
        <v>3604</v>
      </c>
      <c r="I4165" s="1" t="s">
        <v>15315</v>
      </c>
      <c r="J4165" s="1" t="s">
        <v>3606</v>
      </c>
      <c r="K4165" s="1" t="s">
        <v>15316</v>
      </c>
      <c r="L4165" s="1"/>
      <c r="M4165" s="1"/>
    </row>
    <row x14ac:dyDescent="0.25" r="4166" customHeight="1" ht="18.75">
      <c r="A4166" s="1" t="s">
        <v>7833</v>
      </c>
      <c r="B4166" s="1" t="s">
        <v>8258</v>
      </c>
      <c r="C4166" s="1" t="s">
        <v>4488</v>
      </c>
      <c r="D4166" s="1" t="s">
        <v>3601</v>
      </c>
      <c r="E4166" s="1" t="s">
        <v>3981</v>
      </c>
      <c r="F4166" s="1" t="s">
        <v>15317</v>
      </c>
      <c r="G4166" s="1" t="s">
        <v>14553</v>
      </c>
      <c r="H4166" s="1" t="s">
        <v>3604</v>
      </c>
      <c r="I4166" s="1" t="s">
        <v>15318</v>
      </c>
      <c r="J4166" s="1" t="s">
        <v>3606</v>
      </c>
      <c r="K4166" s="1" t="s">
        <v>9740</v>
      </c>
      <c r="L4166" s="1"/>
      <c r="M4166" s="1"/>
    </row>
    <row x14ac:dyDescent="0.25" r="4167" customHeight="1" ht="18.75">
      <c r="A4167" s="1" t="s">
        <v>7833</v>
      </c>
      <c r="B4167" s="1" t="s">
        <v>8258</v>
      </c>
      <c r="C4167" s="1" t="s">
        <v>4488</v>
      </c>
      <c r="D4167" s="1" t="s">
        <v>3601</v>
      </c>
      <c r="E4167" s="1" t="s">
        <v>3664</v>
      </c>
      <c r="F4167" s="1" t="s">
        <v>15319</v>
      </c>
      <c r="G4167" s="1" t="s">
        <v>14553</v>
      </c>
      <c r="H4167" s="1" t="s">
        <v>3604</v>
      </c>
      <c r="I4167" s="1" t="s">
        <v>15320</v>
      </c>
      <c r="J4167" s="1" t="s">
        <v>3606</v>
      </c>
      <c r="K4167" s="1" t="s">
        <v>15007</v>
      </c>
      <c r="L4167" s="1"/>
      <c r="M4167" s="1"/>
    </row>
    <row x14ac:dyDescent="0.25" r="4168" customHeight="1" ht="18.75">
      <c r="A4168" s="1" t="s">
        <v>7833</v>
      </c>
      <c r="B4168" s="1" t="s">
        <v>7861</v>
      </c>
      <c r="C4168" s="1" t="s">
        <v>4488</v>
      </c>
      <c r="D4168" s="1" t="s">
        <v>8365</v>
      </c>
      <c r="E4168" s="1" t="s">
        <v>3664</v>
      </c>
      <c r="F4168" s="1" t="s">
        <v>15321</v>
      </c>
      <c r="G4168" s="1" t="s">
        <v>7863</v>
      </c>
      <c r="H4168" s="1" t="s">
        <v>3604</v>
      </c>
      <c r="I4168" s="1" t="s">
        <v>15322</v>
      </c>
      <c r="J4168" s="1" t="s">
        <v>3606</v>
      </c>
      <c r="K4168" s="1" t="s">
        <v>15323</v>
      </c>
      <c r="L4168" s="1"/>
      <c r="M4168" s="1"/>
    </row>
    <row x14ac:dyDescent="0.25" r="4169" customHeight="1" ht="18.75">
      <c r="A4169" s="1" t="s">
        <v>7833</v>
      </c>
      <c r="B4169" s="1" t="s">
        <v>9216</v>
      </c>
      <c r="C4169" s="1" t="s">
        <v>4488</v>
      </c>
      <c r="D4169" s="1" t="s">
        <v>3610</v>
      </c>
      <c r="E4169" s="1" t="s">
        <v>3664</v>
      </c>
      <c r="F4169" s="1" t="s">
        <v>15324</v>
      </c>
      <c r="G4169" s="1" t="s">
        <v>15266</v>
      </c>
      <c r="H4169" s="1" t="s">
        <v>3604</v>
      </c>
      <c r="I4169" s="1" t="s">
        <v>15325</v>
      </c>
      <c r="J4169" s="1" t="s">
        <v>3606</v>
      </c>
      <c r="K4169" s="1" t="s">
        <v>14442</v>
      </c>
      <c r="L4169" s="1"/>
      <c r="M4169" s="1"/>
    </row>
    <row x14ac:dyDescent="0.25" r="4170" customHeight="1" ht="18.75">
      <c r="A4170" s="1" t="s">
        <v>7833</v>
      </c>
      <c r="B4170" s="1" t="s">
        <v>9216</v>
      </c>
      <c r="C4170" s="1" t="s">
        <v>4488</v>
      </c>
      <c r="D4170" s="1" t="s">
        <v>3695</v>
      </c>
      <c r="E4170" s="1" t="s">
        <v>3664</v>
      </c>
      <c r="F4170" s="1" t="s">
        <v>15326</v>
      </c>
      <c r="G4170" s="1" t="s">
        <v>15266</v>
      </c>
      <c r="H4170" s="1" t="s">
        <v>3604</v>
      </c>
      <c r="I4170" s="1" t="s">
        <v>15327</v>
      </c>
      <c r="J4170" s="1" t="s">
        <v>3606</v>
      </c>
      <c r="K4170" s="1" t="s">
        <v>14445</v>
      </c>
      <c r="L4170" s="1"/>
      <c r="M4170" s="1"/>
    </row>
    <row x14ac:dyDescent="0.25" r="4171" customHeight="1" ht="18.75">
      <c r="A4171" s="1" t="s">
        <v>7833</v>
      </c>
      <c r="B4171" s="1" t="s">
        <v>9216</v>
      </c>
      <c r="C4171" s="1" t="s">
        <v>4488</v>
      </c>
      <c r="D4171" s="1" t="s">
        <v>7891</v>
      </c>
      <c r="E4171" s="1" t="s">
        <v>3664</v>
      </c>
      <c r="F4171" s="1" t="s">
        <v>15328</v>
      </c>
      <c r="G4171" s="1" t="s">
        <v>9218</v>
      </c>
      <c r="H4171" s="1" t="s">
        <v>3604</v>
      </c>
      <c r="I4171" s="1" t="s">
        <v>15329</v>
      </c>
      <c r="J4171" s="1" t="s">
        <v>3606</v>
      </c>
      <c r="K4171" s="1" t="s">
        <v>15092</v>
      </c>
      <c r="L4171" s="1"/>
      <c r="M4171" s="1"/>
    </row>
    <row x14ac:dyDescent="0.25" r="4172" customHeight="1" ht="18.75">
      <c r="A4172" s="1" t="s">
        <v>3598</v>
      </c>
      <c r="B4172" s="1" t="s">
        <v>9251</v>
      </c>
      <c r="C4172" s="1" t="s">
        <v>3600</v>
      </c>
      <c r="D4172" s="1" t="s">
        <v>3601</v>
      </c>
      <c r="E4172" s="1" t="s">
        <v>3893</v>
      </c>
      <c r="F4172" s="1" t="s">
        <v>15330</v>
      </c>
      <c r="G4172" s="1" t="s">
        <v>15331</v>
      </c>
      <c r="H4172" s="1" t="s">
        <v>3604</v>
      </c>
      <c r="I4172" s="1" t="s">
        <v>15332</v>
      </c>
      <c r="J4172" s="1" t="s">
        <v>3606</v>
      </c>
      <c r="K4172" s="1"/>
      <c r="L4172" s="1"/>
      <c r="M4172" s="1"/>
    </row>
    <row x14ac:dyDescent="0.25" r="4173" customHeight="1" ht="18.75">
      <c r="A4173" s="1" t="s">
        <v>3598</v>
      </c>
      <c r="B4173" s="1" t="s">
        <v>9251</v>
      </c>
      <c r="C4173" s="1" t="s">
        <v>3600</v>
      </c>
      <c r="D4173" s="1" t="s">
        <v>3601</v>
      </c>
      <c r="E4173" s="1" t="s">
        <v>3893</v>
      </c>
      <c r="F4173" s="1" t="s">
        <v>15333</v>
      </c>
      <c r="G4173" s="1" t="s">
        <v>15334</v>
      </c>
      <c r="H4173" s="1" t="s">
        <v>3604</v>
      </c>
      <c r="I4173" s="1" t="s">
        <v>15335</v>
      </c>
      <c r="J4173" s="1" t="s">
        <v>3606</v>
      </c>
      <c r="K4173" s="1"/>
      <c r="L4173" s="1"/>
      <c r="M4173" s="1"/>
    </row>
    <row x14ac:dyDescent="0.25" r="4174" customHeight="1" ht="18.75">
      <c r="A4174" s="1" t="s">
        <v>3598</v>
      </c>
      <c r="B4174" s="1" t="s">
        <v>3663</v>
      </c>
      <c r="C4174" s="1" t="s">
        <v>3600</v>
      </c>
      <c r="D4174" s="1" t="s">
        <v>8373</v>
      </c>
      <c r="E4174" s="1" t="s">
        <v>3664</v>
      </c>
      <c r="F4174" s="1" t="s">
        <v>15336</v>
      </c>
      <c r="G4174" s="1" t="s">
        <v>3674</v>
      </c>
      <c r="H4174" s="1" t="s">
        <v>3604</v>
      </c>
      <c r="I4174" s="1" t="s">
        <v>15337</v>
      </c>
      <c r="J4174" s="1" t="s">
        <v>3615</v>
      </c>
      <c r="K4174" s="1" t="s">
        <v>15338</v>
      </c>
      <c r="L4174" s="1"/>
      <c r="M4174" s="1"/>
    </row>
    <row x14ac:dyDescent="0.25" r="4175" customHeight="1" ht="18.75">
      <c r="A4175" s="1" t="s">
        <v>7833</v>
      </c>
      <c r="B4175" s="1" t="s">
        <v>15339</v>
      </c>
      <c r="C4175" s="1" t="s">
        <v>4488</v>
      </c>
      <c r="D4175" s="1" t="s">
        <v>3601</v>
      </c>
      <c r="E4175" s="1" t="s">
        <v>3664</v>
      </c>
      <c r="F4175" s="1" t="s">
        <v>1584</v>
      </c>
      <c r="G4175" s="1" t="s">
        <v>15340</v>
      </c>
      <c r="H4175" s="1" t="s">
        <v>3604</v>
      </c>
      <c r="I4175" s="1" t="s">
        <v>15341</v>
      </c>
      <c r="J4175" s="1" t="s">
        <v>3606</v>
      </c>
      <c r="K4175" s="1" t="s">
        <v>15342</v>
      </c>
      <c r="L4175" s="1"/>
      <c r="M4175" s="1"/>
    </row>
    <row x14ac:dyDescent="0.25" r="4176" customHeight="1" ht="18.75">
      <c r="A4176" s="1" t="s">
        <v>3598</v>
      </c>
      <c r="B4176" s="1" t="s">
        <v>3663</v>
      </c>
      <c r="C4176" s="1" t="s">
        <v>3600</v>
      </c>
      <c r="D4176" s="1" t="s">
        <v>8373</v>
      </c>
      <c r="E4176" s="1" t="s">
        <v>3664</v>
      </c>
      <c r="F4176" s="1" t="s">
        <v>15343</v>
      </c>
      <c r="G4176" s="1" t="s">
        <v>7224</v>
      </c>
      <c r="H4176" s="1" t="s">
        <v>3604</v>
      </c>
      <c r="I4176" s="1" t="s">
        <v>15344</v>
      </c>
      <c r="J4176" s="1" t="s">
        <v>3606</v>
      </c>
      <c r="K4176" s="1" t="s">
        <v>15345</v>
      </c>
      <c r="L4176" s="1"/>
      <c r="M4176" s="1"/>
    </row>
    <row x14ac:dyDescent="0.25" r="4177" customHeight="1" ht="18.75">
      <c r="A4177" s="1" t="s">
        <v>7833</v>
      </c>
      <c r="B4177" s="1" t="s">
        <v>8258</v>
      </c>
      <c r="C4177" s="1" t="s">
        <v>4488</v>
      </c>
      <c r="D4177" s="1" t="s">
        <v>3601</v>
      </c>
      <c r="E4177" s="1" t="s">
        <v>3664</v>
      </c>
      <c r="F4177" s="1" t="s">
        <v>15346</v>
      </c>
      <c r="G4177" s="1" t="s">
        <v>14553</v>
      </c>
      <c r="H4177" s="1" t="s">
        <v>3604</v>
      </c>
      <c r="I4177" s="1" t="s">
        <v>15347</v>
      </c>
      <c r="J4177" s="1" t="s">
        <v>3606</v>
      </c>
      <c r="K4177" s="1" t="s">
        <v>15348</v>
      </c>
      <c r="L4177" s="1"/>
      <c r="M4177" s="1"/>
    </row>
    <row x14ac:dyDescent="0.25" r="4178" customHeight="1" ht="18.75">
      <c r="A4178" s="1" t="s">
        <v>3598</v>
      </c>
      <c r="B4178" s="1" t="s">
        <v>3663</v>
      </c>
      <c r="C4178" s="1" t="s">
        <v>3600</v>
      </c>
      <c r="D4178" s="1" t="s">
        <v>8373</v>
      </c>
      <c r="E4178" s="1" t="s">
        <v>3664</v>
      </c>
      <c r="F4178" s="1" t="s">
        <v>15349</v>
      </c>
      <c r="G4178" s="1" t="s">
        <v>7224</v>
      </c>
      <c r="H4178" s="1" t="s">
        <v>3604</v>
      </c>
      <c r="I4178" s="1" t="s">
        <v>15350</v>
      </c>
      <c r="J4178" s="1" t="s">
        <v>3606</v>
      </c>
      <c r="K4178" s="1" t="s">
        <v>15351</v>
      </c>
      <c r="L4178" s="1"/>
      <c r="M4178" s="1"/>
    </row>
    <row x14ac:dyDescent="0.25" r="4179" customHeight="1" ht="18.75">
      <c r="A4179" s="1" t="s">
        <v>7833</v>
      </c>
      <c r="B4179" s="1" t="s">
        <v>9216</v>
      </c>
      <c r="C4179" s="1" t="s">
        <v>4488</v>
      </c>
      <c r="D4179" s="1" t="s">
        <v>533</v>
      </c>
      <c r="E4179" s="1" t="s">
        <v>3981</v>
      </c>
      <c r="F4179" s="1" t="s">
        <v>15352</v>
      </c>
      <c r="G4179" s="1" t="s">
        <v>15353</v>
      </c>
      <c r="H4179" s="1" t="s">
        <v>3604</v>
      </c>
      <c r="I4179" s="1" t="s">
        <v>15354</v>
      </c>
      <c r="J4179" s="1" t="s">
        <v>3606</v>
      </c>
      <c r="K4179" s="1" t="s">
        <v>14640</v>
      </c>
      <c r="L4179" s="1"/>
      <c r="M4179" s="1"/>
    </row>
    <row x14ac:dyDescent="0.25" r="4180" customHeight="1" ht="18.75">
      <c r="A4180" s="1" t="s">
        <v>7833</v>
      </c>
      <c r="B4180" s="1" t="s">
        <v>14452</v>
      </c>
      <c r="C4180" s="1" t="s">
        <v>4488</v>
      </c>
      <c r="D4180" s="1" t="s">
        <v>3601</v>
      </c>
      <c r="E4180" s="1" t="s">
        <v>3664</v>
      </c>
      <c r="F4180" s="1" t="s">
        <v>15355</v>
      </c>
      <c r="G4180" s="1" t="s">
        <v>15356</v>
      </c>
      <c r="H4180" s="1" t="s">
        <v>3604</v>
      </c>
      <c r="I4180" s="1" t="s">
        <v>15357</v>
      </c>
      <c r="J4180" s="1" t="s">
        <v>3606</v>
      </c>
      <c r="K4180" s="1" t="s">
        <v>15358</v>
      </c>
      <c r="L4180" s="1"/>
      <c r="M4180" s="1"/>
    </row>
    <row x14ac:dyDescent="0.25" r="4181" customHeight="1" ht="18.75">
      <c r="A4181" s="1" t="s">
        <v>3598</v>
      </c>
      <c r="B4181" s="1" t="s">
        <v>3663</v>
      </c>
      <c r="C4181" s="1" t="s">
        <v>3600</v>
      </c>
      <c r="D4181" s="1" t="s">
        <v>8373</v>
      </c>
      <c r="E4181" s="1" t="s">
        <v>3664</v>
      </c>
      <c r="F4181" s="1" t="s">
        <v>15359</v>
      </c>
      <c r="G4181" s="1" t="s">
        <v>7224</v>
      </c>
      <c r="H4181" s="1" t="s">
        <v>3604</v>
      </c>
      <c r="I4181" s="1" t="s">
        <v>15360</v>
      </c>
      <c r="J4181" s="1" t="s">
        <v>3606</v>
      </c>
      <c r="K4181" s="1" t="s">
        <v>15361</v>
      </c>
      <c r="L4181" s="1"/>
      <c r="M4181" s="1"/>
    </row>
    <row x14ac:dyDescent="0.25" r="4182" customHeight="1" ht="18.75">
      <c r="A4182" s="1" t="s">
        <v>7833</v>
      </c>
      <c r="B4182" s="1" t="s">
        <v>15046</v>
      </c>
      <c r="C4182" s="1" t="s">
        <v>4488</v>
      </c>
      <c r="D4182" s="1" t="s">
        <v>3601</v>
      </c>
      <c r="E4182" s="1" t="s">
        <v>3664</v>
      </c>
      <c r="F4182" s="1" t="s">
        <v>1801</v>
      </c>
      <c r="G4182" s="1" t="s">
        <v>15047</v>
      </c>
      <c r="H4182" s="1" t="s">
        <v>3604</v>
      </c>
      <c r="I4182" s="1" t="s">
        <v>15362</v>
      </c>
      <c r="J4182" s="1" t="s">
        <v>3606</v>
      </c>
      <c r="K4182" s="1" t="s">
        <v>15363</v>
      </c>
      <c r="L4182" s="1"/>
      <c r="M4182" s="1"/>
    </row>
    <row x14ac:dyDescent="0.25" r="4183" customHeight="1" ht="18.75">
      <c r="A4183" s="1" t="s">
        <v>7833</v>
      </c>
      <c r="B4183" s="1" t="s">
        <v>9837</v>
      </c>
      <c r="C4183" s="1" t="s">
        <v>4488</v>
      </c>
      <c r="D4183" s="1" t="s">
        <v>3601</v>
      </c>
      <c r="E4183" s="1" t="s">
        <v>3664</v>
      </c>
      <c r="F4183" s="1" t="s">
        <v>1785</v>
      </c>
      <c r="G4183" s="1" t="s">
        <v>15364</v>
      </c>
      <c r="H4183" s="1" t="s">
        <v>3604</v>
      </c>
      <c r="I4183" s="1" t="s">
        <v>15365</v>
      </c>
      <c r="J4183" s="1" t="s">
        <v>3615</v>
      </c>
      <c r="K4183" s="1" t="s">
        <v>15366</v>
      </c>
      <c r="L4183" s="1"/>
      <c r="M4183" s="1"/>
    </row>
    <row x14ac:dyDescent="0.25" r="4184" customHeight="1" ht="18.75">
      <c r="A4184" s="1" t="s">
        <v>7833</v>
      </c>
      <c r="B4184" s="1" t="s">
        <v>8306</v>
      </c>
      <c r="C4184" s="1" t="s">
        <v>4488</v>
      </c>
      <c r="D4184" s="1" t="s">
        <v>3601</v>
      </c>
      <c r="E4184" s="1" t="s">
        <v>8096</v>
      </c>
      <c r="F4184" s="1" t="s">
        <v>15367</v>
      </c>
      <c r="G4184" s="1" t="s">
        <v>15304</v>
      </c>
      <c r="H4184" s="1" t="s">
        <v>3604</v>
      </c>
      <c r="I4184" s="1" t="s">
        <v>15368</v>
      </c>
      <c r="J4184" s="1" t="s">
        <v>3606</v>
      </c>
      <c r="K4184" s="1" t="s">
        <v>15369</v>
      </c>
      <c r="L4184" s="1"/>
      <c r="M4184" s="1"/>
    </row>
    <row x14ac:dyDescent="0.25" r="4185" customHeight="1" ht="18.75">
      <c r="A4185" s="1" t="s">
        <v>7833</v>
      </c>
      <c r="B4185" s="1" t="s">
        <v>13754</v>
      </c>
      <c r="C4185" s="1" t="s">
        <v>3619</v>
      </c>
      <c r="D4185" s="1" t="s">
        <v>3601</v>
      </c>
      <c r="E4185" s="1" t="s">
        <v>3981</v>
      </c>
      <c r="F4185" s="1" t="s">
        <v>1658</v>
      </c>
      <c r="G4185" s="1" t="s">
        <v>14565</v>
      </c>
      <c r="H4185" s="1" t="s">
        <v>3604</v>
      </c>
      <c r="I4185" s="1" t="s">
        <v>15370</v>
      </c>
      <c r="J4185" s="1" t="s">
        <v>3606</v>
      </c>
      <c r="K4185" s="1" t="s">
        <v>15371</v>
      </c>
      <c r="L4185" s="1"/>
      <c r="M4185" s="1"/>
    </row>
    <row x14ac:dyDescent="0.25" r="4186" customHeight="1" ht="18.75">
      <c r="A4186" s="1" t="s">
        <v>3693</v>
      </c>
      <c r="B4186" s="1" t="s">
        <v>4247</v>
      </c>
      <c r="C4186" s="1" t="s">
        <v>3600</v>
      </c>
      <c r="D4186" s="1" t="s">
        <v>533</v>
      </c>
      <c r="E4186" s="1" t="s">
        <v>3664</v>
      </c>
      <c r="F4186" s="1" t="s">
        <v>15372</v>
      </c>
      <c r="G4186" s="1" t="s">
        <v>15373</v>
      </c>
      <c r="H4186" s="1" t="s">
        <v>3604</v>
      </c>
      <c r="I4186" s="1" t="s">
        <v>15374</v>
      </c>
      <c r="J4186" s="1" t="s">
        <v>3606</v>
      </c>
      <c r="K4186" s="1" t="s">
        <v>15375</v>
      </c>
      <c r="L4186" s="1"/>
      <c r="M4186" s="1"/>
    </row>
    <row x14ac:dyDescent="0.25" r="4187" customHeight="1" ht="18.75">
      <c r="A4187" s="1" t="s">
        <v>3598</v>
      </c>
      <c r="B4187" s="1" t="s">
        <v>9020</v>
      </c>
      <c r="C4187" s="1" t="s">
        <v>3600</v>
      </c>
      <c r="D4187" s="1" t="s">
        <v>8373</v>
      </c>
      <c r="E4187" s="1" t="s">
        <v>3664</v>
      </c>
      <c r="F4187" s="1" t="s">
        <v>15376</v>
      </c>
      <c r="G4187" s="1" t="s">
        <v>13944</v>
      </c>
      <c r="H4187" s="1" t="s">
        <v>3604</v>
      </c>
      <c r="I4187" s="1" t="s">
        <v>15377</v>
      </c>
      <c r="J4187" s="1" t="s">
        <v>3606</v>
      </c>
      <c r="K4187" s="1" t="s">
        <v>15378</v>
      </c>
      <c r="L4187" s="1"/>
      <c r="M4187" s="1"/>
    </row>
    <row x14ac:dyDescent="0.25" r="4188" customHeight="1" ht="18.75">
      <c r="A4188" s="1" t="s">
        <v>3598</v>
      </c>
      <c r="B4188" s="1" t="s">
        <v>9116</v>
      </c>
      <c r="C4188" s="1" t="s">
        <v>3600</v>
      </c>
      <c r="D4188" s="1" t="s">
        <v>8373</v>
      </c>
      <c r="E4188" s="1" t="s">
        <v>3664</v>
      </c>
      <c r="F4188" s="1" t="s">
        <v>15379</v>
      </c>
      <c r="G4188" s="1" t="s">
        <v>15380</v>
      </c>
      <c r="H4188" s="1" t="s">
        <v>3604</v>
      </c>
      <c r="I4188" s="1" t="s">
        <v>15381</v>
      </c>
      <c r="J4188" s="1" t="s">
        <v>3606</v>
      </c>
      <c r="K4188" s="1" t="s">
        <v>15382</v>
      </c>
      <c r="L4188" s="1"/>
      <c r="M4188" s="1"/>
    </row>
    <row x14ac:dyDescent="0.25" r="4189" customHeight="1" ht="18.75">
      <c r="A4189" s="1" t="s">
        <v>3598</v>
      </c>
      <c r="B4189" s="1" t="s">
        <v>6811</v>
      </c>
      <c r="C4189" s="1" t="s">
        <v>3600</v>
      </c>
      <c r="D4189" s="1" t="s">
        <v>8373</v>
      </c>
      <c r="E4189" s="1" t="s">
        <v>3752</v>
      </c>
      <c r="F4189" s="1" t="s">
        <v>15383</v>
      </c>
      <c r="G4189" s="1" t="s">
        <v>15384</v>
      </c>
      <c r="H4189" s="1" t="s">
        <v>3604</v>
      </c>
      <c r="I4189" s="1" t="s">
        <v>15385</v>
      </c>
      <c r="J4189" s="1" t="s">
        <v>3606</v>
      </c>
      <c r="K4189" s="1" t="s">
        <v>15386</v>
      </c>
      <c r="L4189" s="1"/>
      <c r="M4189" s="1"/>
    </row>
    <row x14ac:dyDescent="0.25" r="4190" customHeight="1" ht="18.75">
      <c r="A4190" s="1" t="s">
        <v>3598</v>
      </c>
      <c r="B4190" s="1" t="s">
        <v>6811</v>
      </c>
      <c r="C4190" s="1" t="s">
        <v>3600</v>
      </c>
      <c r="D4190" s="1" t="s">
        <v>8373</v>
      </c>
      <c r="E4190" s="1" t="s">
        <v>3752</v>
      </c>
      <c r="F4190" s="1" t="s">
        <v>15387</v>
      </c>
      <c r="G4190" s="1" t="s">
        <v>15384</v>
      </c>
      <c r="H4190" s="1" t="s">
        <v>3604</v>
      </c>
      <c r="I4190" s="1" t="s">
        <v>15388</v>
      </c>
      <c r="J4190" s="1" t="s">
        <v>3606</v>
      </c>
      <c r="K4190" s="1" t="s">
        <v>15389</v>
      </c>
      <c r="L4190" s="1"/>
      <c r="M4190" s="1"/>
    </row>
    <row x14ac:dyDescent="0.25" r="4191" customHeight="1" ht="18.75">
      <c r="A4191" s="1" t="s">
        <v>3598</v>
      </c>
      <c r="B4191" s="1" t="s">
        <v>6811</v>
      </c>
      <c r="C4191" s="1" t="s">
        <v>3600</v>
      </c>
      <c r="D4191" s="1" t="s">
        <v>8373</v>
      </c>
      <c r="E4191" s="1" t="s">
        <v>3752</v>
      </c>
      <c r="F4191" s="1" t="s">
        <v>15390</v>
      </c>
      <c r="G4191" s="1" t="s">
        <v>15384</v>
      </c>
      <c r="H4191" s="1" t="s">
        <v>3604</v>
      </c>
      <c r="I4191" s="1" t="s">
        <v>15391</v>
      </c>
      <c r="J4191" s="1" t="s">
        <v>3606</v>
      </c>
      <c r="K4191" s="1" t="s">
        <v>15392</v>
      </c>
      <c r="L4191" s="1"/>
      <c r="M4191" s="1"/>
    </row>
    <row x14ac:dyDescent="0.25" r="4192" customHeight="1" ht="18.75">
      <c r="A4192" s="1" t="s">
        <v>3598</v>
      </c>
      <c r="B4192" s="1" t="s">
        <v>6954</v>
      </c>
      <c r="C4192" s="1" t="s">
        <v>3600</v>
      </c>
      <c r="D4192" s="1" t="s">
        <v>8373</v>
      </c>
      <c r="E4192" s="1" t="s">
        <v>3752</v>
      </c>
      <c r="F4192" s="1" t="s">
        <v>15393</v>
      </c>
      <c r="G4192" s="1" t="s">
        <v>15394</v>
      </c>
      <c r="H4192" s="1" t="s">
        <v>3604</v>
      </c>
      <c r="I4192" s="1" t="s">
        <v>15395</v>
      </c>
      <c r="J4192" s="1" t="s">
        <v>3606</v>
      </c>
      <c r="K4192" s="1" t="s">
        <v>15396</v>
      </c>
      <c r="L4192" s="1"/>
      <c r="M4192" s="1"/>
    </row>
    <row x14ac:dyDescent="0.25" r="4193" customHeight="1" ht="18.75">
      <c r="A4193" s="1" t="s">
        <v>3598</v>
      </c>
      <c r="B4193" s="1" t="s">
        <v>15397</v>
      </c>
      <c r="C4193" s="1" t="s">
        <v>3600</v>
      </c>
      <c r="D4193" s="1" t="s">
        <v>8373</v>
      </c>
      <c r="E4193" s="1" t="s">
        <v>3664</v>
      </c>
      <c r="F4193" s="1" t="s">
        <v>15398</v>
      </c>
      <c r="G4193" s="1" t="s">
        <v>15399</v>
      </c>
      <c r="H4193" s="1" t="s">
        <v>3604</v>
      </c>
      <c r="I4193" s="1" t="s">
        <v>15400</v>
      </c>
      <c r="J4193" s="1" t="s">
        <v>3606</v>
      </c>
      <c r="K4193" s="1" t="s">
        <v>15401</v>
      </c>
      <c r="L4193" s="1"/>
      <c r="M4193" s="1"/>
    </row>
    <row x14ac:dyDescent="0.25" r="4194" customHeight="1" ht="18.75">
      <c r="A4194" s="1" t="s">
        <v>3598</v>
      </c>
      <c r="B4194" s="1" t="s">
        <v>15397</v>
      </c>
      <c r="C4194" s="1" t="s">
        <v>3600</v>
      </c>
      <c r="D4194" s="1" t="s">
        <v>8373</v>
      </c>
      <c r="E4194" s="1" t="s">
        <v>3664</v>
      </c>
      <c r="F4194" s="1" t="s">
        <v>15402</v>
      </c>
      <c r="G4194" s="1" t="s">
        <v>15399</v>
      </c>
      <c r="H4194" s="1" t="s">
        <v>3604</v>
      </c>
      <c r="I4194" s="1" t="s">
        <v>15403</v>
      </c>
      <c r="J4194" s="1" t="s">
        <v>3606</v>
      </c>
      <c r="K4194" s="1" t="s">
        <v>15404</v>
      </c>
      <c r="L4194" s="1"/>
      <c r="M4194" s="1"/>
    </row>
    <row x14ac:dyDescent="0.25" r="4195" customHeight="1" ht="18.75">
      <c r="A4195" s="1" t="s">
        <v>3598</v>
      </c>
      <c r="B4195" s="1" t="s">
        <v>15397</v>
      </c>
      <c r="C4195" s="1" t="s">
        <v>3600</v>
      </c>
      <c r="D4195" s="1" t="s">
        <v>8373</v>
      </c>
      <c r="E4195" s="1" t="s">
        <v>3664</v>
      </c>
      <c r="F4195" s="1" t="s">
        <v>15405</v>
      </c>
      <c r="G4195" s="1" t="s">
        <v>15399</v>
      </c>
      <c r="H4195" s="1" t="s">
        <v>3604</v>
      </c>
      <c r="I4195" s="1" t="s">
        <v>15406</v>
      </c>
      <c r="J4195" s="1" t="s">
        <v>3606</v>
      </c>
      <c r="K4195" s="1" t="s">
        <v>15407</v>
      </c>
      <c r="L4195" s="1"/>
      <c r="M4195" s="1"/>
    </row>
    <row x14ac:dyDescent="0.25" r="4196" customHeight="1" ht="18.75">
      <c r="A4196" s="1" t="s">
        <v>3598</v>
      </c>
      <c r="B4196" s="1" t="s">
        <v>6728</v>
      </c>
      <c r="C4196" s="1" t="s">
        <v>3600</v>
      </c>
      <c r="D4196" s="1" t="s">
        <v>8373</v>
      </c>
      <c r="E4196" s="1" t="s">
        <v>3664</v>
      </c>
      <c r="F4196" s="1" t="s">
        <v>15408</v>
      </c>
      <c r="G4196" s="1" t="s">
        <v>15409</v>
      </c>
      <c r="H4196" s="1" t="s">
        <v>3604</v>
      </c>
      <c r="I4196" s="1" t="s">
        <v>15410</v>
      </c>
      <c r="J4196" s="1" t="s">
        <v>3606</v>
      </c>
      <c r="K4196" s="1" t="s">
        <v>15411</v>
      </c>
      <c r="L4196" s="1"/>
      <c r="M4196" s="1"/>
    </row>
    <row x14ac:dyDescent="0.25" r="4197" customHeight="1" ht="18.75">
      <c r="A4197" s="1" t="s">
        <v>3598</v>
      </c>
      <c r="B4197" s="1" t="s">
        <v>6728</v>
      </c>
      <c r="C4197" s="1" t="s">
        <v>3600</v>
      </c>
      <c r="D4197" s="1" t="s">
        <v>8373</v>
      </c>
      <c r="E4197" s="1" t="s">
        <v>3664</v>
      </c>
      <c r="F4197" s="1" t="s">
        <v>15412</v>
      </c>
      <c r="G4197" s="1" t="s">
        <v>15409</v>
      </c>
      <c r="H4197" s="1" t="s">
        <v>3604</v>
      </c>
      <c r="I4197" s="1" t="s">
        <v>15413</v>
      </c>
      <c r="J4197" s="1" t="s">
        <v>3606</v>
      </c>
      <c r="K4197" s="1" t="s">
        <v>15414</v>
      </c>
      <c r="L4197" s="1"/>
      <c r="M4197" s="1"/>
    </row>
    <row x14ac:dyDescent="0.25" r="4198" customHeight="1" ht="18.75">
      <c r="A4198" s="1" t="s">
        <v>3598</v>
      </c>
      <c r="B4198" s="1" t="s">
        <v>6728</v>
      </c>
      <c r="C4198" s="1" t="s">
        <v>3600</v>
      </c>
      <c r="D4198" s="1" t="s">
        <v>8373</v>
      </c>
      <c r="E4198" s="1" t="s">
        <v>3664</v>
      </c>
      <c r="F4198" s="1" t="s">
        <v>15415</v>
      </c>
      <c r="G4198" s="1" t="s">
        <v>15409</v>
      </c>
      <c r="H4198" s="1" t="s">
        <v>3604</v>
      </c>
      <c r="I4198" s="1" t="s">
        <v>15416</v>
      </c>
      <c r="J4198" s="1" t="s">
        <v>3606</v>
      </c>
      <c r="K4198" s="1" t="s">
        <v>15417</v>
      </c>
      <c r="L4198" s="1"/>
      <c r="M4198" s="1"/>
    </row>
    <row x14ac:dyDescent="0.25" r="4199" customHeight="1" ht="18.75">
      <c r="A4199" s="1" t="s">
        <v>3598</v>
      </c>
      <c r="B4199" s="1" t="s">
        <v>6728</v>
      </c>
      <c r="C4199" s="1" t="s">
        <v>3600</v>
      </c>
      <c r="D4199" s="1" t="s">
        <v>8373</v>
      </c>
      <c r="E4199" s="1" t="s">
        <v>3664</v>
      </c>
      <c r="F4199" s="1" t="s">
        <v>15418</v>
      </c>
      <c r="G4199" s="1" t="s">
        <v>9514</v>
      </c>
      <c r="H4199" s="1" t="s">
        <v>3604</v>
      </c>
      <c r="I4199" s="1" t="s">
        <v>15419</v>
      </c>
      <c r="J4199" s="1" t="s">
        <v>3606</v>
      </c>
      <c r="K4199" s="1" t="s">
        <v>15420</v>
      </c>
      <c r="L4199" s="1"/>
      <c r="M4199" s="1"/>
    </row>
    <row x14ac:dyDescent="0.25" r="4200" customHeight="1" ht="18.75">
      <c r="A4200" s="1" t="s">
        <v>3598</v>
      </c>
      <c r="B4200" s="1" t="s">
        <v>6728</v>
      </c>
      <c r="C4200" s="1" t="s">
        <v>3600</v>
      </c>
      <c r="D4200" s="1" t="s">
        <v>8373</v>
      </c>
      <c r="E4200" s="1" t="s">
        <v>3664</v>
      </c>
      <c r="F4200" s="1" t="s">
        <v>15421</v>
      </c>
      <c r="G4200" s="1" t="s">
        <v>9514</v>
      </c>
      <c r="H4200" s="1" t="s">
        <v>3604</v>
      </c>
      <c r="I4200" s="1" t="s">
        <v>15422</v>
      </c>
      <c r="J4200" s="1" t="s">
        <v>3606</v>
      </c>
      <c r="K4200" s="1" t="s">
        <v>15423</v>
      </c>
      <c r="L4200" s="1"/>
      <c r="M4200" s="1"/>
    </row>
    <row x14ac:dyDescent="0.25" r="4201" customHeight="1" ht="18.75">
      <c r="A4201" s="1" t="s">
        <v>3598</v>
      </c>
      <c r="B4201" s="1" t="s">
        <v>6728</v>
      </c>
      <c r="C4201" s="1" t="s">
        <v>3600</v>
      </c>
      <c r="D4201" s="1" t="s">
        <v>8373</v>
      </c>
      <c r="E4201" s="1" t="s">
        <v>3664</v>
      </c>
      <c r="F4201" s="1" t="s">
        <v>15424</v>
      </c>
      <c r="G4201" s="1" t="s">
        <v>9514</v>
      </c>
      <c r="H4201" s="1" t="s">
        <v>3604</v>
      </c>
      <c r="I4201" s="1" t="s">
        <v>15425</v>
      </c>
      <c r="J4201" s="1" t="s">
        <v>3606</v>
      </c>
      <c r="K4201" s="1" t="s">
        <v>15426</v>
      </c>
      <c r="L4201" s="1"/>
      <c r="M4201" s="1"/>
    </row>
    <row x14ac:dyDescent="0.25" r="4202" customHeight="1" ht="18.75">
      <c r="A4202" s="1" t="s">
        <v>3693</v>
      </c>
      <c r="B4202" s="1" t="s">
        <v>15427</v>
      </c>
      <c r="C4202" s="1" t="s">
        <v>3600</v>
      </c>
      <c r="D4202" s="1" t="s">
        <v>533</v>
      </c>
      <c r="E4202" s="1" t="s">
        <v>3611</v>
      </c>
      <c r="F4202" s="1" t="s">
        <v>15428</v>
      </c>
      <c r="G4202" s="1" t="s">
        <v>15429</v>
      </c>
      <c r="H4202" s="1" t="s">
        <v>3604</v>
      </c>
      <c r="I4202" s="1" t="s">
        <v>15430</v>
      </c>
      <c r="J4202" s="1" t="s">
        <v>3606</v>
      </c>
      <c r="K4202" s="1" t="s">
        <v>15431</v>
      </c>
      <c r="L4202" s="1"/>
      <c r="M4202" s="1"/>
    </row>
    <row x14ac:dyDescent="0.25" r="4203" customHeight="1" ht="18.75">
      <c r="A4203" s="1" t="s">
        <v>3693</v>
      </c>
      <c r="B4203" s="1" t="s">
        <v>15427</v>
      </c>
      <c r="C4203" s="1" t="s">
        <v>3600</v>
      </c>
      <c r="D4203" s="1" t="s">
        <v>533</v>
      </c>
      <c r="E4203" s="1" t="s">
        <v>3611</v>
      </c>
      <c r="F4203" s="1" t="s">
        <v>15432</v>
      </c>
      <c r="G4203" s="1" t="s">
        <v>15429</v>
      </c>
      <c r="H4203" s="1" t="s">
        <v>3604</v>
      </c>
      <c r="I4203" s="1" t="s">
        <v>15433</v>
      </c>
      <c r="J4203" s="1" t="s">
        <v>3606</v>
      </c>
      <c r="K4203" s="1" t="s">
        <v>15434</v>
      </c>
      <c r="L4203" s="1"/>
      <c r="M4203" s="1"/>
    </row>
    <row x14ac:dyDescent="0.25" r="4204" customHeight="1" ht="18.75">
      <c r="A4204" s="1" t="s">
        <v>3693</v>
      </c>
      <c r="B4204" s="1" t="s">
        <v>15427</v>
      </c>
      <c r="C4204" s="1" t="s">
        <v>3600</v>
      </c>
      <c r="D4204" s="1" t="s">
        <v>533</v>
      </c>
      <c r="E4204" s="1" t="s">
        <v>3611</v>
      </c>
      <c r="F4204" s="1" t="s">
        <v>15435</v>
      </c>
      <c r="G4204" s="1" t="s">
        <v>15429</v>
      </c>
      <c r="H4204" s="1" t="s">
        <v>3604</v>
      </c>
      <c r="I4204" s="1" t="s">
        <v>15436</v>
      </c>
      <c r="J4204" s="1" t="s">
        <v>3606</v>
      </c>
      <c r="K4204" s="1" t="s">
        <v>15437</v>
      </c>
      <c r="L4204" s="1"/>
      <c r="M4204" s="1"/>
    </row>
    <row x14ac:dyDescent="0.25" r="4205" customHeight="1" ht="18.75">
      <c r="A4205" s="1" t="s">
        <v>3617</v>
      </c>
      <c r="B4205" s="1" t="s">
        <v>15438</v>
      </c>
      <c r="C4205" s="1" t="s">
        <v>3619</v>
      </c>
      <c r="D4205" s="1" t="s">
        <v>3695</v>
      </c>
      <c r="E4205" s="1" t="s">
        <v>15439</v>
      </c>
      <c r="F4205" s="1" t="s">
        <v>15440</v>
      </c>
      <c r="G4205" s="1" t="s">
        <v>15441</v>
      </c>
      <c r="H4205" s="1" t="s">
        <v>3604</v>
      </c>
      <c r="I4205" s="1" t="s">
        <v>15442</v>
      </c>
      <c r="J4205" s="1" t="s">
        <v>3606</v>
      </c>
      <c r="K4205" s="1" t="s">
        <v>15443</v>
      </c>
      <c r="L4205" s="1"/>
      <c r="M4205" s="1"/>
    </row>
    <row x14ac:dyDescent="0.25" r="4206" customHeight="1" ht="18.75">
      <c r="A4206" s="1" t="s">
        <v>7833</v>
      </c>
      <c r="B4206" s="1" t="s">
        <v>7861</v>
      </c>
      <c r="C4206" s="1" t="s">
        <v>4488</v>
      </c>
      <c r="D4206" s="1" t="s">
        <v>3601</v>
      </c>
      <c r="E4206" s="1" t="s">
        <v>3664</v>
      </c>
      <c r="F4206" s="1" t="s">
        <v>15444</v>
      </c>
      <c r="G4206" s="1" t="s">
        <v>7863</v>
      </c>
      <c r="H4206" s="1" t="s">
        <v>3604</v>
      </c>
      <c r="I4206" s="1" t="s">
        <v>15445</v>
      </c>
      <c r="J4206" s="1" t="s">
        <v>3606</v>
      </c>
      <c r="K4206" s="1" t="s">
        <v>15446</v>
      </c>
      <c r="L4206" s="1"/>
      <c r="M4206" s="1"/>
    </row>
    <row x14ac:dyDescent="0.25" r="4207" customHeight="1" ht="18.75">
      <c r="A4207" s="1" t="s">
        <v>7833</v>
      </c>
      <c r="B4207" s="1" t="s">
        <v>7861</v>
      </c>
      <c r="C4207" s="1" t="s">
        <v>4488</v>
      </c>
      <c r="D4207" s="1" t="s">
        <v>3601</v>
      </c>
      <c r="E4207" s="1" t="s">
        <v>3664</v>
      </c>
      <c r="F4207" s="1" t="s">
        <v>15447</v>
      </c>
      <c r="G4207" s="1" t="s">
        <v>7863</v>
      </c>
      <c r="H4207" s="1" t="s">
        <v>3604</v>
      </c>
      <c r="I4207" s="1" t="s">
        <v>15448</v>
      </c>
      <c r="J4207" s="1" t="s">
        <v>3606</v>
      </c>
      <c r="K4207" s="1" t="s">
        <v>14260</v>
      </c>
      <c r="L4207" s="1"/>
      <c r="M4207" s="1"/>
    </row>
    <row x14ac:dyDescent="0.25" r="4208" customHeight="1" ht="18.75">
      <c r="A4208" s="1" t="s">
        <v>7833</v>
      </c>
      <c r="B4208" s="1" t="s">
        <v>7861</v>
      </c>
      <c r="C4208" s="1" t="s">
        <v>4488</v>
      </c>
      <c r="D4208" s="1" t="s">
        <v>3601</v>
      </c>
      <c r="E4208" s="1" t="s">
        <v>3664</v>
      </c>
      <c r="F4208" s="1" t="s">
        <v>15449</v>
      </c>
      <c r="G4208" s="1" t="s">
        <v>7863</v>
      </c>
      <c r="H4208" s="1" t="s">
        <v>3604</v>
      </c>
      <c r="I4208" s="1" t="s">
        <v>15450</v>
      </c>
      <c r="J4208" s="1" t="s">
        <v>3606</v>
      </c>
      <c r="K4208" s="1" t="s">
        <v>14263</v>
      </c>
      <c r="L4208" s="1"/>
      <c r="M4208" s="1"/>
    </row>
    <row x14ac:dyDescent="0.25" r="4209" customHeight="1" ht="18.75">
      <c r="A4209" s="1" t="s">
        <v>7833</v>
      </c>
      <c r="B4209" s="1" t="s">
        <v>7861</v>
      </c>
      <c r="C4209" s="1" t="s">
        <v>4488</v>
      </c>
      <c r="D4209" s="1" t="s">
        <v>3601</v>
      </c>
      <c r="E4209" s="1" t="s">
        <v>3664</v>
      </c>
      <c r="F4209" s="1" t="s">
        <v>15451</v>
      </c>
      <c r="G4209" s="1" t="s">
        <v>7863</v>
      </c>
      <c r="H4209" s="1" t="s">
        <v>3604</v>
      </c>
      <c r="I4209" s="1" t="s">
        <v>15452</v>
      </c>
      <c r="J4209" s="1" t="s">
        <v>3606</v>
      </c>
      <c r="K4209" s="1" t="s">
        <v>14269</v>
      </c>
      <c r="L4209" s="1"/>
      <c r="M4209" s="1"/>
    </row>
    <row x14ac:dyDescent="0.25" r="4210" customHeight="1" ht="18.75">
      <c r="A4210" s="1" t="s">
        <v>7833</v>
      </c>
      <c r="B4210" s="1" t="s">
        <v>7861</v>
      </c>
      <c r="C4210" s="1" t="s">
        <v>4488</v>
      </c>
      <c r="D4210" s="1" t="s">
        <v>3601</v>
      </c>
      <c r="E4210" s="1" t="s">
        <v>3664</v>
      </c>
      <c r="F4210" s="1" t="s">
        <v>15453</v>
      </c>
      <c r="G4210" s="1" t="s">
        <v>7863</v>
      </c>
      <c r="H4210" s="1" t="s">
        <v>3604</v>
      </c>
      <c r="I4210" s="1" t="s">
        <v>15454</v>
      </c>
      <c r="J4210" s="1" t="s">
        <v>3606</v>
      </c>
      <c r="K4210" s="1" t="s">
        <v>9161</v>
      </c>
      <c r="L4210" s="1"/>
      <c r="M4210" s="1"/>
    </row>
    <row x14ac:dyDescent="0.25" r="4211" customHeight="1" ht="18.75">
      <c r="A4211" s="1" t="s">
        <v>7833</v>
      </c>
      <c r="B4211" s="1" t="s">
        <v>7861</v>
      </c>
      <c r="C4211" s="1" t="s">
        <v>4488</v>
      </c>
      <c r="D4211" s="1" t="s">
        <v>3601</v>
      </c>
      <c r="E4211" s="1" t="s">
        <v>3664</v>
      </c>
      <c r="F4211" s="1" t="s">
        <v>15455</v>
      </c>
      <c r="G4211" s="1" t="s">
        <v>7863</v>
      </c>
      <c r="H4211" s="1" t="s">
        <v>3604</v>
      </c>
      <c r="I4211" s="1" t="s">
        <v>15456</v>
      </c>
      <c r="J4211" s="1" t="s">
        <v>3606</v>
      </c>
      <c r="K4211" s="1" t="s">
        <v>14561</v>
      </c>
      <c r="L4211" s="1"/>
      <c r="M4211" s="1"/>
    </row>
    <row x14ac:dyDescent="0.25" r="4212" customHeight="1" ht="18.75">
      <c r="A4212" s="1" t="s">
        <v>7833</v>
      </c>
      <c r="B4212" s="1" t="s">
        <v>7872</v>
      </c>
      <c r="C4212" s="1" t="s">
        <v>4488</v>
      </c>
      <c r="D4212" s="1" t="s">
        <v>8365</v>
      </c>
      <c r="E4212" s="1" t="s">
        <v>8096</v>
      </c>
      <c r="F4212" s="1" t="s">
        <v>1671</v>
      </c>
      <c r="G4212" s="1" t="s">
        <v>7874</v>
      </c>
      <c r="H4212" s="1" t="s">
        <v>3604</v>
      </c>
      <c r="I4212" s="1" t="s">
        <v>15457</v>
      </c>
      <c r="J4212" s="1" t="s">
        <v>3615</v>
      </c>
      <c r="K4212" s="1" t="s">
        <v>15458</v>
      </c>
      <c r="L4212" s="1"/>
      <c r="M4212" s="1"/>
    </row>
    <row x14ac:dyDescent="0.25" r="4213" customHeight="1" ht="18.75">
      <c r="A4213" s="1" t="s">
        <v>7833</v>
      </c>
      <c r="B4213" s="1" t="s">
        <v>7872</v>
      </c>
      <c r="C4213" s="1" t="s">
        <v>4488</v>
      </c>
      <c r="D4213" s="1" t="s">
        <v>8365</v>
      </c>
      <c r="E4213" s="1" t="s">
        <v>8096</v>
      </c>
      <c r="F4213" s="1" t="s">
        <v>1672</v>
      </c>
      <c r="G4213" s="1" t="s">
        <v>7874</v>
      </c>
      <c r="H4213" s="1" t="s">
        <v>3604</v>
      </c>
      <c r="I4213" s="1" t="s">
        <v>15459</v>
      </c>
      <c r="J4213" s="1" t="s">
        <v>3615</v>
      </c>
      <c r="K4213" s="1" t="s">
        <v>15460</v>
      </c>
      <c r="L4213" s="1"/>
      <c r="M4213" s="1"/>
    </row>
    <row x14ac:dyDescent="0.25" r="4214" customHeight="1" ht="18.75">
      <c r="A4214" s="1" t="s">
        <v>3598</v>
      </c>
      <c r="B4214" s="1" t="s">
        <v>9116</v>
      </c>
      <c r="C4214" s="1" t="s">
        <v>3600</v>
      </c>
      <c r="D4214" s="1" t="s">
        <v>8373</v>
      </c>
      <c r="E4214" s="1" t="s">
        <v>3664</v>
      </c>
      <c r="F4214" s="1" t="s">
        <v>15461</v>
      </c>
      <c r="G4214" s="1" t="s">
        <v>15380</v>
      </c>
      <c r="H4214" s="1" t="s">
        <v>3604</v>
      </c>
      <c r="I4214" s="1" t="s">
        <v>15462</v>
      </c>
      <c r="J4214" s="1" t="s">
        <v>3606</v>
      </c>
      <c r="K4214" s="1" t="s">
        <v>15463</v>
      </c>
      <c r="L4214" s="1"/>
      <c r="M4214" s="1"/>
    </row>
    <row x14ac:dyDescent="0.25" r="4215" customHeight="1" ht="18.75">
      <c r="A4215" s="1" t="s">
        <v>7833</v>
      </c>
      <c r="B4215" s="1" t="s">
        <v>9216</v>
      </c>
      <c r="C4215" s="1" t="s">
        <v>4488</v>
      </c>
      <c r="D4215" s="1" t="s">
        <v>3610</v>
      </c>
      <c r="E4215" s="1" t="s">
        <v>3981</v>
      </c>
      <c r="F4215" s="1" t="s">
        <v>15464</v>
      </c>
      <c r="G4215" s="1" t="s">
        <v>15353</v>
      </c>
      <c r="H4215" s="1" t="s">
        <v>3604</v>
      </c>
      <c r="I4215" s="1" t="s">
        <v>15465</v>
      </c>
      <c r="J4215" s="1" t="s">
        <v>3606</v>
      </c>
      <c r="K4215" s="1" t="s">
        <v>14081</v>
      </c>
      <c r="L4215" s="1"/>
      <c r="M4215" s="1"/>
    </row>
    <row x14ac:dyDescent="0.25" r="4216" customHeight="1" ht="18.75">
      <c r="A4216" s="1" t="s">
        <v>7833</v>
      </c>
      <c r="B4216" s="1" t="s">
        <v>9216</v>
      </c>
      <c r="C4216" s="1" t="s">
        <v>4488</v>
      </c>
      <c r="D4216" s="1" t="s">
        <v>3610</v>
      </c>
      <c r="E4216" s="1" t="s">
        <v>3981</v>
      </c>
      <c r="F4216" s="1" t="s">
        <v>15466</v>
      </c>
      <c r="G4216" s="1" t="s">
        <v>15353</v>
      </c>
      <c r="H4216" s="1" t="s">
        <v>3604</v>
      </c>
      <c r="I4216" s="1" t="s">
        <v>15467</v>
      </c>
      <c r="J4216" s="1" t="s">
        <v>3606</v>
      </c>
      <c r="K4216" s="1" t="s">
        <v>14084</v>
      </c>
      <c r="L4216" s="1"/>
      <c r="M4216" s="1"/>
    </row>
    <row x14ac:dyDescent="0.25" r="4217" customHeight="1" ht="18.75">
      <c r="A4217" s="1" t="s">
        <v>7833</v>
      </c>
      <c r="B4217" s="1" t="s">
        <v>9216</v>
      </c>
      <c r="C4217" s="1" t="s">
        <v>4488</v>
      </c>
      <c r="D4217" s="1" t="s">
        <v>3610</v>
      </c>
      <c r="E4217" s="1" t="s">
        <v>3981</v>
      </c>
      <c r="F4217" s="1" t="s">
        <v>15468</v>
      </c>
      <c r="G4217" s="1" t="s">
        <v>15353</v>
      </c>
      <c r="H4217" s="1" t="s">
        <v>3604</v>
      </c>
      <c r="I4217" s="1" t="s">
        <v>15469</v>
      </c>
      <c r="J4217" s="1" t="s">
        <v>3606</v>
      </c>
      <c r="K4217" s="1" t="s">
        <v>14087</v>
      </c>
      <c r="L4217" s="1"/>
      <c r="M4217" s="1"/>
    </row>
    <row x14ac:dyDescent="0.25" r="4218" customHeight="1" ht="18.75">
      <c r="A4218" s="1" t="s">
        <v>7833</v>
      </c>
      <c r="B4218" s="1" t="s">
        <v>9216</v>
      </c>
      <c r="C4218" s="1" t="s">
        <v>4488</v>
      </c>
      <c r="D4218" s="1" t="s">
        <v>3695</v>
      </c>
      <c r="E4218" s="1" t="s">
        <v>3981</v>
      </c>
      <c r="F4218" s="1" t="s">
        <v>15470</v>
      </c>
      <c r="G4218" s="1" t="s">
        <v>15353</v>
      </c>
      <c r="H4218" s="1" t="s">
        <v>3604</v>
      </c>
      <c r="I4218" s="1" t="s">
        <v>15471</v>
      </c>
      <c r="J4218" s="1" t="s">
        <v>3606</v>
      </c>
      <c r="K4218" s="1" t="s">
        <v>15472</v>
      </c>
      <c r="L4218" s="1"/>
      <c r="M4218" s="1"/>
    </row>
    <row x14ac:dyDescent="0.25" r="4219" customHeight="1" ht="18.75">
      <c r="A4219" s="1" t="s">
        <v>7833</v>
      </c>
      <c r="B4219" s="1" t="s">
        <v>9216</v>
      </c>
      <c r="C4219" s="1" t="s">
        <v>4488</v>
      </c>
      <c r="D4219" s="1" t="s">
        <v>7891</v>
      </c>
      <c r="E4219" s="1" t="s">
        <v>3981</v>
      </c>
      <c r="F4219" s="1" t="s">
        <v>15473</v>
      </c>
      <c r="G4219" s="1" t="s">
        <v>15353</v>
      </c>
      <c r="H4219" s="1" t="s">
        <v>3604</v>
      </c>
      <c r="I4219" s="1" t="s">
        <v>15474</v>
      </c>
      <c r="J4219" s="1" t="s">
        <v>3606</v>
      </c>
      <c r="K4219" s="1" t="s">
        <v>15092</v>
      </c>
      <c r="L4219" s="1"/>
      <c r="M4219" s="1"/>
    </row>
    <row x14ac:dyDescent="0.25" r="4220" customHeight="1" ht="18.75">
      <c r="A4220" s="1" t="s">
        <v>7833</v>
      </c>
      <c r="B4220" s="1" t="s">
        <v>9216</v>
      </c>
      <c r="C4220" s="1" t="s">
        <v>4488</v>
      </c>
      <c r="D4220" s="1" t="s">
        <v>533</v>
      </c>
      <c r="E4220" s="1" t="s">
        <v>3981</v>
      </c>
      <c r="F4220" s="1" t="s">
        <v>15475</v>
      </c>
      <c r="G4220" s="1" t="s">
        <v>15476</v>
      </c>
      <c r="H4220" s="1" t="s">
        <v>3604</v>
      </c>
      <c r="I4220" s="1" t="s">
        <v>15477</v>
      </c>
      <c r="J4220" s="1" t="s">
        <v>3606</v>
      </c>
      <c r="K4220" s="1" t="s">
        <v>14626</v>
      </c>
      <c r="L4220" s="1"/>
      <c r="M4220" s="1"/>
    </row>
    <row x14ac:dyDescent="0.25" r="4221" customHeight="1" ht="18.75">
      <c r="A4221" s="1" t="s">
        <v>7833</v>
      </c>
      <c r="B4221" s="1" t="s">
        <v>9216</v>
      </c>
      <c r="C4221" s="1" t="s">
        <v>4488</v>
      </c>
      <c r="D4221" s="1" t="s">
        <v>3610</v>
      </c>
      <c r="E4221" s="1" t="s">
        <v>3981</v>
      </c>
      <c r="F4221" s="1" t="s">
        <v>15478</v>
      </c>
      <c r="G4221" s="1" t="s">
        <v>15476</v>
      </c>
      <c r="H4221" s="1" t="s">
        <v>3604</v>
      </c>
      <c r="I4221" s="1" t="s">
        <v>15479</v>
      </c>
      <c r="J4221" s="1" t="s">
        <v>3606</v>
      </c>
      <c r="K4221" s="1" t="s">
        <v>15480</v>
      </c>
      <c r="L4221" s="1"/>
      <c r="M4221" s="1"/>
    </row>
    <row x14ac:dyDescent="0.25" r="4222" customHeight="1" ht="18.75">
      <c r="A4222" s="1" t="s">
        <v>7833</v>
      </c>
      <c r="B4222" s="1" t="s">
        <v>9216</v>
      </c>
      <c r="C4222" s="1" t="s">
        <v>4488</v>
      </c>
      <c r="D4222" s="1" t="s">
        <v>3610</v>
      </c>
      <c r="E4222" s="1" t="s">
        <v>3981</v>
      </c>
      <c r="F4222" s="1" t="s">
        <v>15481</v>
      </c>
      <c r="G4222" s="1" t="s">
        <v>15476</v>
      </c>
      <c r="H4222" s="1" t="s">
        <v>3604</v>
      </c>
      <c r="I4222" s="1" t="s">
        <v>15482</v>
      </c>
      <c r="J4222" s="1" t="s">
        <v>3606</v>
      </c>
      <c r="K4222" s="1" t="s">
        <v>15483</v>
      </c>
      <c r="L4222" s="1"/>
      <c r="M4222" s="1"/>
    </row>
    <row x14ac:dyDescent="0.25" r="4223" customHeight="1" ht="18.75">
      <c r="A4223" s="1" t="s">
        <v>7833</v>
      </c>
      <c r="B4223" s="1" t="s">
        <v>9216</v>
      </c>
      <c r="C4223" s="1" t="s">
        <v>4488</v>
      </c>
      <c r="D4223" s="1" t="s">
        <v>3610</v>
      </c>
      <c r="E4223" s="1" t="s">
        <v>3752</v>
      </c>
      <c r="F4223" s="1" t="s">
        <v>15484</v>
      </c>
      <c r="G4223" s="1" t="s">
        <v>15485</v>
      </c>
      <c r="H4223" s="1" t="s">
        <v>3604</v>
      </c>
      <c r="I4223" s="1" t="s">
        <v>15486</v>
      </c>
      <c r="J4223" s="1" t="s">
        <v>3606</v>
      </c>
      <c r="K4223" s="1" t="s">
        <v>15487</v>
      </c>
      <c r="L4223" s="1"/>
      <c r="M4223" s="1"/>
    </row>
    <row x14ac:dyDescent="0.25" r="4224" customHeight="1" ht="18.75">
      <c r="A4224" s="1" t="s">
        <v>7833</v>
      </c>
      <c r="B4224" s="1" t="s">
        <v>9216</v>
      </c>
      <c r="C4224" s="1" t="s">
        <v>4488</v>
      </c>
      <c r="D4224" s="1" t="s">
        <v>3610</v>
      </c>
      <c r="E4224" s="1" t="s">
        <v>3752</v>
      </c>
      <c r="F4224" s="1" t="s">
        <v>15488</v>
      </c>
      <c r="G4224" s="1" t="s">
        <v>15485</v>
      </c>
      <c r="H4224" s="1" t="s">
        <v>3604</v>
      </c>
      <c r="I4224" s="1" t="s">
        <v>15489</v>
      </c>
      <c r="J4224" s="1" t="s">
        <v>3606</v>
      </c>
      <c r="K4224" s="1" t="s">
        <v>15490</v>
      </c>
      <c r="L4224" s="1"/>
      <c r="M4224" s="1"/>
    </row>
    <row x14ac:dyDescent="0.25" r="4225" customHeight="1" ht="18.75">
      <c r="A4225" s="1" t="s">
        <v>7833</v>
      </c>
      <c r="B4225" s="1" t="s">
        <v>9216</v>
      </c>
      <c r="C4225" s="1" t="s">
        <v>4488</v>
      </c>
      <c r="D4225" s="1" t="s">
        <v>3610</v>
      </c>
      <c r="E4225" s="1" t="s">
        <v>3981</v>
      </c>
      <c r="F4225" s="1" t="s">
        <v>15491</v>
      </c>
      <c r="G4225" s="1" t="s">
        <v>15476</v>
      </c>
      <c r="H4225" s="1" t="s">
        <v>3604</v>
      </c>
      <c r="I4225" s="1" t="s">
        <v>15492</v>
      </c>
      <c r="J4225" s="1" t="s">
        <v>3606</v>
      </c>
      <c r="K4225" s="1" t="s">
        <v>15493</v>
      </c>
      <c r="L4225" s="1"/>
      <c r="M4225" s="1"/>
    </row>
    <row x14ac:dyDescent="0.25" r="4226" customHeight="1" ht="18.75">
      <c r="A4226" s="1" t="s">
        <v>3598</v>
      </c>
      <c r="B4226" s="1" t="s">
        <v>9231</v>
      </c>
      <c r="C4226" s="1" t="s">
        <v>3600</v>
      </c>
      <c r="D4226" s="1" t="s">
        <v>7891</v>
      </c>
      <c r="E4226" s="1" t="s">
        <v>3752</v>
      </c>
      <c r="F4226" s="1" t="s">
        <v>15494</v>
      </c>
      <c r="G4226" s="1" t="s">
        <v>15495</v>
      </c>
      <c r="H4226" s="1" t="s">
        <v>3604</v>
      </c>
      <c r="I4226" s="1" t="s">
        <v>15496</v>
      </c>
      <c r="J4226" s="1" t="s">
        <v>3606</v>
      </c>
      <c r="K4226" s="1" t="s">
        <v>15497</v>
      </c>
      <c r="L4226" s="1"/>
      <c r="M4226" s="1"/>
    </row>
    <row x14ac:dyDescent="0.25" r="4227" customHeight="1" ht="18.75">
      <c r="A4227" s="1" t="s">
        <v>7833</v>
      </c>
      <c r="B4227" s="1" t="s">
        <v>9216</v>
      </c>
      <c r="C4227" s="1" t="s">
        <v>4488</v>
      </c>
      <c r="D4227" s="1" t="s">
        <v>3610</v>
      </c>
      <c r="E4227" s="1" t="s">
        <v>3752</v>
      </c>
      <c r="F4227" s="1" t="s">
        <v>15498</v>
      </c>
      <c r="G4227" s="1" t="s">
        <v>15499</v>
      </c>
      <c r="H4227" s="1" t="s">
        <v>3604</v>
      </c>
      <c r="I4227" s="1" t="s">
        <v>15500</v>
      </c>
      <c r="J4227" s="1" t="s">
        <v>3606</v>
      </c>
      <c r="K4227" s="1" t="s">
        <v>15501</v>
      </c>
      <c r="L4227" s="1"/>
      <c r="M4227" s="1"/>
    </row>
    <row x14ac:dyDescent="0.25" r="4228" customHeight="1" ht="18.75">
      <c r="A4228" s="1" t="s">
        <v>7833</v>
      </c>
      <c r="B4228" s="1" t="s">
        <v>9216</v>
      </c>
      <c r="C4228" s="1" t="s">
        <v>4488</v>
      </c>
      <c r="D4228" s="1" t="s">
        <v>3610</v>
      </c>
      <c r="E4228" s="1" t="s">
        <v>3752</v>
      </c>
      <c r="F4228" s="1" t="s">
        <v>15502</v>
      </c>
      <c r="G4228" s="1" t="s">
        <v>15499</v>
      </c>
      <c r="H4228" s="1" t="s">
        <v>3604</v>
      </c>
      <c r="I4228" s="1" t="s">
        <v>15503</v>
      </c>
      <c r="J4228" s="1" t="s">
        <v>3606</v>
      </c>
      <c r="K4228" s="1" t="s">
        <v>15504</v>
      </c>
      <c r="L4228" s="1"/>
      <c r="M4228" s="1"/>
    </row>
    <row x14ac:dyDescent="0.25" r="4229" customHeight="1" ht="18.75">
      <c r="A4229" s="1" t="s">
        <v>7833</v>
      </c>
      <c r="B4229" s="1" t="s">
        <v>9216</v>
      </c>
      <c r="C4229" s="1" t="s">
        <v>4488</v>
      </c>
      <c r="D4229" s="1" t="s">
        <v>7891</v>
      </c>
      <c r="E4229" s="1" t="s">
        <v>3752</v>
      </c>
      <c r="F4229" s="1" t="s">
        <v>15505</v>
      </c>
      <c r="G4229" s="1" t="s">
        <v>9218</v>
      </c>
      <c r="H4229" s="1" t="s">
        <v>3604</v>
      </c>
      <c r="I4229" s="1" t="s">
        <v>15506</v>
      </c>
      <c r="J4229" s="1" t="s">
        <v>3606</v>
      </c>
      <c r="K4229" s="1" t="s">
        <v>15092</v>
      </c>
      <c r="L4229" s="1"/>
      <c r="M4229" s="1"/>
    </row>
    <row x14ac:dyDescent="0.25" r="4230" customHeight="1" ht="18.75">
      <c r="A4230" s="1" t="s">
        <v>7833</v>
      </c>
      <c r="B4230" s="1" t="s">
        <v>9216</v>
      </c>
      <c r="C4230" s="1" t="s">
        <v>4488</v>
      </c>
      <c r="D4230" s="1" t="s">
        <v>3695</v>
      </c>
      <c r="E4230" s="1" t="s">
        <v>3981</v>
      </c>
      <c r="F4230" s="1" t="s">
        <v>15507</v>
      </c>
      <c r="G4230" s="1" t="s">
        <v>15476</v>
      </c>
      <c r="H4230" s="1" t="s">
        <v>3604</v>
      </c>
      <c r="I4230" s="1" t="s">
        <v>15508</v>
      </c>
      <c r="J4230" s="1" t="s">
        <v>3606</v>
      </c>
      <c r="K4230" s="1" t="s">
        <v>15509</v>
      </c>
      <c r="L4230" s="1"/>
      <c r="M4230" s="1"/>
    </row>
    <row x14ac:dyDescent="0.25" r="4231" customHeight="1" ht="18.75">
      <c r="A4231" s="1" t="s">
        <v>7833</v>
      </c>
      <c r="B4231" s="1" t="s">
        <v>9216</v>
      </c>
      <c r="C4231" s="1" t="s">
        <v>4488</v>
      </c>
      <c r="D4231" s="1" t="s">
        <v>7891</v>
      </c>
      <c r="E4231" s="1" t="s">
        <v>3981</v>
      </c>
      <c r="F4231" s="1" t="s">
        <v>15510</v>
      </c>
      <c r="G4231" s="1" t="s">
        <v>15476</v>
      </c>
      <c r="H4231" s="1" t="s">
        <v>3604</v>
      </c>
      <c r="I4231" s="1" t="s">
        <v>15511</v>
      </c>
      <c r="J4231" s="1" t="s">
        <v>3606</v>
      </c>
      <c r="K4231" s="1" t="s">
        <v>15092</v>
      </c>
      <c r="L4231" s="1"/>
      <c r="M4231" s="1"/>
    </row>
    <row x14ac:dyDescent="0.25" r="4232" customHeight="1" ht="18.75">
      <c r="A4232" s="1" t="s">
        <v>7833</v>
      </c>
      <c r="B4232" s="1" t="s">
        <v>9216</v>
      </c>
      <c r="C4232" s="1" t="s">
        <v>4488</v>
      </c>
      <c r="D4232" s="1" t="s">
        <v>533</v>
      </c>
      <c r="E4232" s="1" t="s">
        <v>3981</v>
      </c>
      <c r="F4232" s="1" t="s">
        <v>15512</v>
      </c>
      <c r="G4232" s="1" t="s">
        <v>15513</v>
      </c>
      <c r="H4232" s="1" t="s">
        <v>3604</v>
      </c>
      <c r="I4232" s="1" t="s">
        <v>15514</v>
      </c>
      <c r="J4232" s="1" t="s">
        <v>3606</v>
      </c>
      <c r="K4232" s="1" t="s">
        <v>14631</v>
      </c>
      <c r="L4232" s="1"/>
      <c r="M4232" s="1"/>
    </row>
    <row x14ac:dyDescent="0.25" r="4233" customHeight="1" ht="18.75">
      <c r="A4233" s="1" t="s">
        <v>7833</v>
      </c>
      <c r="B4233" s="1" t="s">
        <v>9216</v>
      </c>
      <c r="C4233" s="1" t="s">
        <v>4488</v>
      </c>
      <c r="D4233" s="1" t="s">
        <v>3610</v>
      </c>
      <c r="E4233" s="1" t="s">
        <v>3752</v>
      </c>
      <c r="F4233" s="1" t="s">
        <v>15515</v>
      </c>
      <c r="G4233" s="1" t="s">
        <v>15516</v>
      </c>
      <c r="H4233" s="1" t="s">
        <v>3604</v>
      </c>
      <c r="I4233" s="1" t="s">
        <v>15517</v>
      </c>
      <c r="J4233" s="1" t="s">
        <v>3606</v>
      </c>
      <c r="K4233" s="1" t="s">
        <v>15518</v>
      </c>
      <c r="L4233" s="1"/>
      <c r="M4233" s="1"/>
    </row>
    <row x14ac:dyDescent="0.25" r="4234" customHeight="1" ht="18.75">
      <c r="A4234" s="1" t="s">
        <v>7833</v>
      </c>
      <c r="B4234" s="1" t="s">
        <v>9216</v>
      </c>
      <c r="C4234" s="1" t="s">
        <v>4488</v>
      </c>
      <c r="D4234" s="1" t="s">
        <v>3610</v>
      </c>
      <c r="E4234" s="1" t="s">
        <v>3981</v>
      </c>
      <c r="F4234" s="1" t="s">
        <v>15519</v>
      </c>
      <c r="G4234" s="1" t="s">
        <v>15513</v>
      </c>
      <c r="H4234" s="1" t="s">
        <v>3604</v>
      </c>
      <c r="I4234" s="1" t="s">
        <v>15520</v>
      </c>
      <c r="J4234" s="1" t="s">
        <v>3606</v>
      </c>
      <c r="K4234" s="1" t="s">
        <v>14071</v>
      </c>
      <c r="L4234" s="1"/>
      <c r="M4234" s="1"/>
    </row>
    <row x14ac:dyDescent="0.25" r="4235" customHeight="1" ht="18.75">
      <c r="A4235" s="1" t="s">
        <v>7833</v>
      </c>
      <c r="B4235" s="1" t="s">
        <v>9216</v>
      </c>
      <c r="C4235" s="1" t="s">
        <v>4488</v>
      </c>
      <c r="D4235" s="1" t="s">
        <v>3610</v>
      </c>
      <c r="E4235" s="1" t="s">
        <v>3981</v>
      </c>
      <c r="F4235" s="1" t="s">
        <v>15521</v>
      </c>
      <c r="G4235" s="1" t="s">
        <v>15513</v>
      </c>
      <c r="H4235" s="1" t="s">
        <v>3604</v>
      </c>
      <c r="I4235" s="1" t="s">
        <v>15522</v>
      </c>
      <c r="J4235" s="1" t="s">
        <v>3606</v>
      </c>
      <c r="K4235" s="1" t="s">
        <v>14074</v>
      </c>
      <c r="L4235" s="1"/>
      <c r="M4235" s="1"/>
    </row>
    <row x14ac:dyDescent="0.25" r="4236" customHeight="1" ht="18.75">
      <c r="A4236" s="1" t="s">
        <v>3693</v>
      </c>
      <c r="B4236" s="1" t="s">
        <v>7026</v>
      </c>
      <c r="C4236" s="1" t="s">
        <v>3600</v>
      </c>
      <c r="D4236" s="1" t="s">
        <v>533</v>
      </c>
      <c r="E4236" s="1" t="s">
        <v>3664</v>
      </c>
      <c r="F4236" s="1" t="s">
        <v>15523</v>
      </c>
      <c r="G4236" s="1" t="s">
        <v>15524</v>
      </c>
      <c r="H4236" s="1" t="s">
        <v>3604</v>
      </c>
      <c r="I4236" s="1" t="s">
        <v>15525</v>
      </c>
      <c r="J4236" s="1" t="s">
        <v>3606</v>
      </c>
      <c r="K4236" s="1" t="s">
        <v>15526</v>
      </c>
      <c r="L4236" s="1"/>
      <c r="M4236" s="1"/>
    </row>
    <row x14ac:dyDescent="0.25" r="4237" customHeight="1" ht="18.75">
      <c r="A4237" s="1" t="s">
        <v>7833</v>
      </c>
      <c r="B4237" s="1" t="s">
        <v>9216</v>
      </c>
      <c r="C4237" s="1" t="s">
        <v>4488</v>
      </c>
      <c r="D4237" s="1" t="s">
        <v>3695</v>
      </c>
      <c r="E4237" s="1" t="s">
        <v>3981</v>
      </c>
      <c r="F4237" s="1" t="s">
        <v>15527</v>
      </c>
      <c r="G4237" s="1" t="s">
        <v>15513</v>
      </c>
      <c r="H4237" s="1" t="s">
        <v>3604</v>
      </c>
      <c r="I4237" s="1" t="s">
        <v>15528</v>
      </c>
      <c r="J4237" s="1" t="s">
        <v>3606</v>
      </c>
      <c r="K4237" s="1" t="s">
        <v>15529</v>
      </c>
      <c r="L4237" s="1"/>
      <c r="M4237" s="1"/>
    </row>
    <row x14ac:dyDescent="0.25" r="4238" customHeight="1" ht="18.75">
      <c r="A4238" s="1" t="s">
        <v>3598</v>
      </c>
      <c r="B4238" s="1" t="s">
        <v>9116</v>
      </c>
      <c r="C4238" s="1" t="s">
        <v>3600</v>
      </c>
      <c r="D4238" s="1" t="s">
        <v>7891</v>
      </c>
      <c r="E4238" s="1" t="s">
        <v>3664</v>
      </c>
      <c r="F4238" s="1" t="s">
        <v>15530</v>
      </c>
      <c r="G4238" s="1" t="s">
        <v>9118</v>
      </c>
      <c r="H4238" s="1" t="s">
        <v>3604</v>
      </c>
      <c r="I4238" s="1" t="s">
        <v>15531</v>
      </c>
      <c r="J4238" s="1" t="s">
        <v>3606</v>
      </c>
      <c r="K4238" s="1" t="s">
        <v>15532</v>
      </c>
      <c r="L4238" s="1"/>
      <c r="M4238" s="1"/>
    </row>
    <row x14ac:dyDescent="0.25" r="4239" customHeight="1" ht="18.75">
      <c r="A4239" s="1" t="s">
        <v>3598</v>
      </c>
      <c r="B4239" s="1" t="s">
        <v>9116</v>
      </c>
      <c r="C4239" s="1" t="s">
        <v>3600</v>
      </c>
      <c r="D4239" s="1" t="s">
        <v>7891</v>
      </c>
      <c r="E4239" s="1" t="s">
        <v>3664</v>
      </c>
      <c r="F4239" s="1" t="s">
        <v>15533</v>
      </c>
      <c r="G4239" s="1" t="s">
        <v>9118</v>
      </c>
      <c r="H4239" s="1" t="s">
        <v>3604</v>
      </c>
      <c r="I4239" s="1" t="s">
        <v>15534</v>
      </c>
      <c r="J4239" s="1" t="s">
        <v>3606</v>
      </c>
      <c r="K4239" s="1" t="s">
        <v>15535</v>
      </c>
      <c r="L4239" s="1"/>
      <c r="M4239" s="1"/>
    </row>
    <row x14ac:dyDescent="0.25" r="4240" customHeight="1" ht="18.75">
      <c r="A4240" s="1" t="s">
        <v>3598</v>
      </c>
      <c r="B4240" s="1" t="s">
        <v>9116</v>
      </c>
      <c r="C4240" s="1" t="s">
        <v>3600</v>
      </c>
      <c r="D4240" s="1" t="s">
        <v>7891</v>
      </c>
      <c r="E4240" s="1" t="s">
        <v>3664</v>
      </c>
      <c r="F4240" s="1" t="s">
        <v>15536</v>
      </c>
      <c r="G4240" s="1" t="s">
        <v>9118</v>
      </c>
      <c r="H4240" s="1" t="s">
        <v>3604</v>
      </c>
      <c r="I4240" s="1" t="s">
        <v>15537</v>
      </c>
      <c r="J4240" s="1" t="s">
        <v>3606</v>
      </c>
      <c r="K4240" s="1" t="s">
        <v>15538</v>
      </c>
      <c r="L4240" s="1"/>
      <c r="M4240" s="1"/>
    </row>
    <row x14ac:dyDescent="0.25" r="4241" customHeight="1" ht="18.75">
      <c r="A4241" s="1" t="s">
        <v>3598</v>
      </c>
      <c r="B4241" s="1" t="s">
        <v>9116</v>
      </c>
      <c r="C4241" s="1" t="s">
        <v>3600</v>
      </c>
      <c r="D4241" s="1" t="s">
        <v>7891</v>
      </c>
      <c r="E4241" s="1" t="s">
        <v>3664</v>
      </c>
      <c r="F4241" s="1" t="s">
        <v>15539</v>
      </c>
      <c r="G4241" s="1" t="s">
        <v>9118</v>
      </c>
      <c r="H4241" s="1" t="s">
        <v>3604</v>
      </c>
      <c r="I4241" s="1" t="s">
        <v>15540</v>
      </c>
      <c r="J4241" s="1" t="s">
        <v>3606</v>
      </c>
      <c r="K4241" s="1" t="s">
        <v>15541</v>
      </c>
      <c r="L4241" s="1"/>
      <c r="M4241" s="1"/>
    </row>
    <row x14ac:dyDescent="0.25" r="4242" customHeight="1" ht="18.75">
      <c r="A4242" s="1" t="s">
        <v>3598</v>
      </c>
      <c r="B4242" s="1" t="s">
        <v>9116</v>
      </c>
      <c r="C4242" s="1" t="s">
        <v>3600</v>
      </c>
      <c r="D4242" s="1" t="s">
        <v>7891</v>
      </c>
      <c r="E4242" s="1" t="s">
        <v>3664</v>
      </c>
      <c r="F4242" s="1" t="s">
        <v>15542</v>
      </c>
      <c r="G4242" s="1" t="s">
        <v>9118</v>
      </c>
      <c r="H4242" s="1" t="s">
        <v>3604</v>
      </c>
      <c r="I4242" s="1" t="s">
        <v>15543</v>
      </c>
      <c r="J4242" s="1" t="s">
        <v>3606</v>
      </c>
      <c r="K4242" s="1" t="s">
        <v>15544</v>
      </c>
      <c r="L4242" s="1"/>
      <c r="M4242" s="1"/>
    </row>
    <row x14ac:dyDescent="0.25" r="4243" customHeight="1" ht="18.75">
      <c r="A4243" s="1" t="s">
        <v>3598</v>
      </c>
      <c r="B4243" s="1" t="s">
        <v>9116</v>
      </c>
      <c r="C4243" s="1" t="s">
        <v>3600</v>
      </c>
      <c r="D4243" s="1" t="s">
        <v>7891</v>
      </c>
      <c r="E4243" s="1" t="s">
        <v>3664</v>
      </c>
      <c r="F4243" s="1" t="s">
        <v>15545</v>
      </c>
      <c r="G4243" s="1" t="s">
        <v>9118</v>
      </c>
      <c r="H4243" s="1" t="s">
        <v>3604</v>
      </c>
      <c r="I4243" s="1" t="s">
        <v>15546</v>
      </c>
      <c r="J4243" s="1" t="s">
        <v>3606</v>
      </c>
      <c r="K4243" s="1" t="s">
        <v>15547</v>
      </c>
      <c r="L4243" s="1"/>
      <c r="M4243" s="1"/>
    </row>
    <row x14ac:dyDescent="0.25" r="4244" customHeight="1" ht="18.75">
      <c r="A4244" s="1" t="s">
        <v>3598</v>
      </c>
      <c r="B4244" s="1" t="s">
        <v>5239</v>
      </c>
      <c r="C4244" s="1" t="s">
        <v>3600</v>
      </c>
      <c r="D4244" s="1" t="s">
        <v>7891</v>
      </c>
      <c r="E4244" s="1" t="s">
        <v>3664</v>
      </c>
      <c r="F4244" s="1" t="s">
        <v>15548</v>
      </c>
      <c r="G4244" s="1" t="s">
        <v>9288</v>
      </c>
      <c r="H4244" s="1" t="s">
        <v>3604</v>
      </c>
      <c r="I4244" s="1" t="s">
        <v>15549</v>
      </c>
      <c r="J4244" s="1" t="s">
        <v>3606</v>
      </c>
      <c r="K4244" s="1" t="s">
        <v>15550</v>
      </c>
      <c r="L4244" s="1"/>
      <c r="M4244" s="1"/>
    </row>
    <row x14ac:dyDescent="0.25" r="4245" customHeight="1" ht="18.75">
      <c r="A4245" s="1" t="s">
        <v>3598</v>
      </c>
      <c r="B4245" s="1" t="s">
        <v>5239</v>
      </c>
      <c r="C4245" s="1" t="s">
        <v>3600</v>
      </c>
      <c r="D4245" s="1" t="s">
        <v>7891</v>
      </c>
      <c r="E4245" s="1" t="s">
        <v>3664</v>
      </c>
      <c r="F4245" s="1" t="s">
        <v>15551</v>
      </c>
      <c r="G4245" s="1" t="s">
        <v>9288</v>
      </c>
      <c r="H4245" s="1" t="s">
        <v>3604</v>
      </c>
      <c r="I4245" s="1" t="s">
        <v>15552</v>
      </c>
      <c r="J4245" s="1" t="s">
        <v>3606</v>
      </c>
      <c r="K4245" s="1" t="s">
        <v>15553</v>
      </c>
      <c r="L4245" s="1"/>
      <c r="M4245" s="1"/>
    </row>
    <row x14ac:dyDescent="0.25" r="4246" customHeight="1" ht="18.75">
      <c r="A4246" s="1" t="s">
        <v>3598</v>
      </c>
      <c r="B4246" s="1" t="s">
        <v>5239</v>
      </c>
      <c r="C4246" s="1" t="s">
        <v>3600</v>
      </c>
      <c r="D4246" s="1" t="s">
        <v>7891</v>
      </c>
      <c r="E4246" s="1" t="s">
        <v>3664</v>
      </c>
      <c r="F4246" s="1" t="s">
        <v>15554</v>
      </c>
      <c r="G4246" s="1" t="s">
        <v>9288</v>
      </c>
      <c r="H4246" s="1" t="s">
        <v>3604</v>
      </c>
      <c r="I4246" s="1" t="s">
        <v>15555</v>
      </c>
      <c r="J4246" s="1" t="s">
        <v>3606</v>
      </c>
      <c r="K4246" s="1" t="s">
        <v>15556</v>
      </c>
      <c r="L4246" s="1"/>
      <c r="M4246" s="1"/>
    </row>
    <row x14ac:dyDescent="0.25" r="4247" customHeight="1" ht="18.75">
      <c r="A4247" s="1" t="s">
        <v>3598</v>
      </c>
      <c r="B4247" s="1" t="s">
        <v>15557</v>
      </c>
      <c r="C4247" s="1" t="s">
        <v>3600</v>
      </c>
      <c r="D4247" s="1" t="s">
        <v>3610</v>
      </c>
      <c r="E4247" s="1" t="s">
        <v>3981</v>
      </c>
      <c r="F4247" s="1" t="s">
        <v>15558</v>
      </c>
      <c r="G4247" s="1" t="s">
        <v>15559</v>
      </c>
      <c r="H4247" s="1" t="s">
        <v>3604</v>
      </c>
      <c r="I4247" s="1" t="s">
        <v>15560</v>
      </c>
      <c r="J4247" s="1" t="s">
        <v>3606</v>
      </c>
      <c r="K4247" s="1" t="s">
        <v>15561</v>
      </c>
      <c r="L4247" s="1"/>
      <c r="M4247" s="1"/>
    </row>
    <row x14ac:dyDescent="0.25" r="4248" customHeight="1" ht="18.75">
      <c r="A4248" s="1" t="s">
        <v>3598</v>
      </c>
      <c r="B4248" s="1" t="s">
        <v>15557</v>
      </c>
      <c r="C4248" s="1" t="s">
        <v>3600</v>
      </c>
      <c r="D4248" s="1" t="s">
        <v>3610</v>
      </c>
      <c r="E4248" s="1" t="s">
        <v>3981</v>
      </c>
      <c r="F4248" s="1" t="s">
        <v>15562</v>
      </c>
      <c r="G4248" s="1" t="s">
        <v>15559</v>
      </c>
      <c r="H4248" s="1" t="s">
        <v>3604</v>
      </c>
      <c r="I4248" s="1" t="s">
        <v>15563</v>
      </c>
      <c r="J4248" s="1" t="s">
        <v>3606</v>
      </c>
      <c r="K4248" s="1" t="s">
        <v>15564</v>
      </c>
      <c r="L4248" s="1"/>
      <c r="M4248" s="1"/>
    </row>
    <row x14ac:dyDescent="0.25" r="4249" customHeight="1" ht="18.75">
      <c r="A4249" s="1" t="s">
        <v>3598</v>
      </c>
      <c r="B4249" s="1" t="s">
        <v>15557</v>
      </c>
      <c r="C4249" s="1" t="s">
        <v>3600</v>
      </c>
      <c r="D4249" s="1" t="s">
        <v>3610</v>
      </c>
      <c r="E4249" s="1" t="s">
        <v>3664</v>
      </c>
      <c r="F4249" s="1" t="s">
        <v>15565</v>
      </c>
      <c r="G4249" s="1" t="s">
        <v>15566</v>
      </c>
      <c r="H4249" s="1" t="s">
        <v>3604</v>
      </c>
      <c r="I4249" s="1" t="s">
        <v>15567</v>
      </c>
      <c r="J4249" s="1" t="s">
        <v>3606</v>
      </c>
      <c r="K4249" s="1" t="s">
        <v>15568</v>
      </c>
      <c r="L4249" s="1"/>
      <c r="M4249" s="1"/>
    </row>
    <row x14ac:dyDescent="0.25" r="4250" customHeight="1" ht="18.75">
      <c r="A4250" s="1" t="s">
        <v>3598</v>
      </c>
      <c r="B4250" s="1" t="s">
        <v>15569</v>
      </c>
      <c r="C4250" s="1" t="s">
        <v>3600</v>
      </c>
      <c r="D4250" s="1" t="s">
        <v>8373</v>
      </c>
      <c r="E4250" s="1" t="s">
        <v>3664</v>
      </c>
      <c r="F4250" s="1" t="s">
        <v>15570</v>
      </c>
      <c r="G4250" s="1" t="s">
        <v>15571</v>
      </c>
      <c r="H4250" s="1" t="s">
        <v>3604</v>
      </c>
      <c r="I4250" s="1" t="s">
        <v>15572</v>
      </c>
      <c r="J4250" s="1" t="s">
        <v>3606</v>
      </c>
      <c r="K4250" s="1" t="s">
        <v>15573</v>
      </c>
      <c r="L4250" s="1"/>
      <c r="M4250" s="1"/>
    </row>
    <row x14ac:dyDescent="0.25" r="4251" customHeight="1" ht="18.75">
      <c r="A4251" s="1" t="s">
        <v>3598</v>
      </c>
      <c r="B4251" s="1" t="s">
        <v>15569</v>
      </c>
      <c r="C4251" s="1" t="s">
        <v>3600</v>
      </c>
      <c r="D4251" s="1" t="s">
        <v>8373</v>
      </c>
      <c r="E4251" s="1" t="s">
        <v>3664</v>
      </c>
      <c r="F4251" s="1" t="s">
        <v>15574</v>
      </c>
      <c r="G4251" s="1" t="s">
        <v>15571</v>
      </c>
      <c r="H4251" s="1" t="s">
        <v>3604</v>
      </c>
      <c r="I4251" s="1" t="s">
        <v>15575</v>
      </c>
      <c r="J4251" s="1" t="s">
        <v>3606</v>
      </c>
      <c r="K4251" s="1" t="s">
        <v>15576</v>
      </c>
      <c r="L4251" s="1"/>
      <c r="M4251" s="1"/>
    </row>
    <row x14ac:dyDescent="0.25" r="4252" customHeight="1" ht="18.75">
      <c r="A4252" s="1" t="s">
        <v>3598</v>
      </c>
      <c r="B4252" s="1" t="s">
        <v>15569</v>
      </c>
      <c r="C4252" s="1" t="s">
        <v>3600</v>
      </c>
      <c r="D4252" s="1" t="s">
        <v>8373</v>
      </c>
      <c r="E4252" s="1" t="s">
        <v>3664</v>
      </c>
      <c r="F4252" s="1" t="s">
        <v>15577</v>
      </c>
      <c r="G4252" s="1" t="s">
        <v>15571</v>
      </c>
      <c r="H4252" s="1" t="s">
        <v>3604</v>
      </c>
      <c r="I4252" s="1" t="s">
        <v>15578</v>
      </c>
      <c r="J4252" s="1" t="s">
        <v>3606</v>
      </c>
      <c r="K4252" s="1" t="s">
        <v>15579</v>
      </c>
      <c r="L4252" s="1"/>
      <c r="M4252" s="1"/>
    </row>
    <row x14ac:dyDescent="0.25" r="4253" customHeight="1" ht="18.75">
      <c r="A4253" s="1" t="s">
        <v>3598</v>
      </c>
      <c r="B4253" s="1" t="s">
        <v>15557</v>
      </c>
      <c r="C4253" s="1" t="s">
        <v>3600</v>
      </c>
      <c r="D4253" s="1" t="s">
        <v>3610</v>
      </c>
      <c r="E4253" s="1" t="s">
        <v>3664</v>
      </c>
      <c r="F4253" s="1" t="s">
        <v>15580</v>
      </c>
      <c r="G4253" s="1" t="s">
        <v>15566</v>
      </c>
      <c r="H4253" s="1" t="s">
        <v>3604</v>
      </c>
      <c r="I4253" s="1" t="s">
        <v>15581</v>
      </c>
      <c r="J4253" s="1" t="s">
        <v>3606</v>
      </c>
      <c r="K4253" s="1" t="s">
        <v>15582</v>
      </c>
      <c r="L4253" s="1"/>
      <c r="M4253" s="1"/>
    </row>
    <row x14ac:dyDescent="0.25" r="4254" customHeight="1" ht="18.75">
      <c r="A4254" s="1" t="s">
        <v>3598</v>
      </c>
      <c r="B4254" s="1" t="s">
        <v>8082</v>
      </c>
      <c r="C4254" s="1" t="s">
        <v>3600</v>
      </c>
      <c r="D4254" s="1" t="s">
        <v>3610</v>
      </c>
      <c r="E4254" s="1" t="s">
        <v>3664</v>
      </c>
      <c r="F4254" s="1" t="s">
        <v>15583</v>
      </c>
      <c r="G4254" s="1" t="s">
        <v>15584</v>
      </c>
      <c r="H4254" s="1" t="s">
        <v>3604</v>
      </c>
      <c r="I4254" s="1" t="s">
        <v>15585</v>
      </c>
      <c r="J4254" s="1" t="s">
        <v>3606</v>
      </c>
      <c r="K4254" s="1" t="s">
        <v>15586</v>
      </c>
      <c r="L4254" s="1"/>
      <c r="M4254" s="1"/>
    </row>
    <row x14ac:dyDescent="0.25" r="4255" customHeight="1" ht="18.75">
      <c r="A4255" s="1" t="s">
        <v>3598</v>
      </c>
      <c r="B4255" s="1" t="s">
        <v>8082</v>
      </c>
      <c r="C4255" s="1" t="s">
        <v>3600</v>
      </c>
      <c r="D4255" s="1" t="s">
        <v>3610</v>
      </c>
      <c r="E4255" s="1" t="s">
        <v>3664</v>
      </c>
      <c r="F4255" s="1" t="s">
        <v>15587</v>
      </c>
      <c r="G4255" s="1" t="s">
        <v>15584</v>
      </c>
      <c r="H4255" s="1" t="s">
        <v>3604</v>
      </c>
      <c r="I4255" s="1" t="s">
        <v>15588</v>
      </c>
      <c r="J4255" s="1" t="s">
        <v>3606</v>
      </c>
      <c r="K4255" s="1" t="s">
        <v>15589</v>
      </c>
      <c r="L4255" s="1"/>
      <c r="M4255" s="1"/>
    </row>
    <row x14ac:dyDescent="0.25" r="4256" customHeight="1" ht="18.75">
      <c r="A4256" s="1" t="s">
        <v>3598</v>
      </c>
      <c r="B4256" s="1" t="s">
        <v>8082</v>
      </c>
      <c r="C4256" s="1" t="s">
        <v>3600</v>
      </c>
      <c r="D4256" s="1" t="s">
        <v>3610</v>
      </c>
      <c r="E4256" s="1" t="s">
        <v>3664</v>
      </c>
      <c r="F4256" s="1" t="s">
        <v>15590</v>
      </c>
      <c r="G4256" s="1" t="s">
        <v>15584</v>
      </c>
      <c r="H4256" s="1" t="s">
        <v>3604</v>
      </c>
      <c r="I4256" s="1" t="s">
        <v>15591</v>
      </c>
      <c r="J4256" s="1" t="s">
        <v>3606</v>
      </c>
      <c r="K4256" s="1" t="s">
        <v>15592</v>
      </c>
      <c r="L4256" s="1"/>
      <c r="M4256" s="1"/>
    </row>
    <row x14ac:dyDescent="0.25" r="4257" customHeight="1" ht="18.75">
      <c r="A4257" s="1" t="s">
        <v>3598</v>
      </c>
      <c r="B4257" s="1" t="s">
        <v>8082</v>
      </c>
      <c r="C4257" s="1" t="s">
        <v>3600</v>
      </c>
      <c r="D4257" s="1" t="s">
        <v>3610</v>
      </c>
      <c r="E4257" s="1" t="s">
        <v>3664</v>
      </c>
      <c r="F4257" s="1" t="s">
        <v>15593</v>
      </c>
      <c r="G4257" s="1" t="s">
        <v>15594</v>
      </c>
      <c r="H4257" s="1" t="s">
        <v>3604</v>
      </c>
      <c r="I4257" s="1" t="s">
        <v>15595</v>
      </c>
      <c r="J4257" s="1" t="s">
        <v>3606</v>
      </c>
      <c r="K4257" s="1" t="s">
        <v>15596</v>
      </c>
      <c r="L4257" s="1"/>
      <c r="M4257" s="1"/>
    </row>
    <row x14ac:dyDescent="0.25" r="4258" customHeight="1" ht="18.75">
      <c r="A4258" s="1" t="s">
        <v>3598</v>
      </c>
      <c r="B4258" s="1" t="s">
        <v>6728</v>
      </c>
      <c r="C4258" s="1" t="s">
        <v>3600</v>
      </c>
      <c r="D4258" s="1" t="s">
        <v>3695</v>
      </c>
      <c r="E4258" s="1" t="s">
        <v>3893</v>
      </c>
      <c r="F4258" s="1" t="s">
        <v>15597</v>
      </c>
      <c r="G4258" s="1" t="s">
        <v>15409</v>
      </c>
      <c r="H4258" s="1" t="s">
        <v>3604</v>
      </c>
      <c r="I4258" s="1" t="s">
        <v>15598</v>
      </c>
      <c r="J4258" s="1" t="s">
        <v>3606</v>
      </c>
      <c r="K4258" s="1" t="s">
        <v>15599</v>
      </c>
      <c r="L4258" s="1"/>
      <c r="M4258" s="1"/>
    </row>
    <row x14ac:dyDescent="0.25" r="4259" customHeight="1" ht="18.75">
      <c r="A4259" s="1" t="s">
        <v>3598</v>
      </c>
      <c r="B4259" s="1" t="s">
        <v>6728</v>
      </c>
      <c r="C4259" s="1" t="s">
        <v>3600</v>
      </c>
      <c r="D4259" s="1" t="s">
        <v>3695</v>
      </c>
      <c r="E4259" s="1" t="s">
        <v>3893</v>
      </c>
      <c r="F4259" s="1" t="s">
        <v>15600</v>
      </c>
      <c r="G4259" s="1" t="s">
        <v>15409</v>
      </c>
      <c r="H4259" s="1" t="s">
        <v>3604</v>
      </c>
      <c r="I4259" s="1" t="s">
        <v>15601</v>
      </c>
      <c r="J4259" s="1" t="s">
        <v>3606</v>
      </c>
      <c r="K4259" s="1" t="s">
        <v>15602</v>
      </c>
      <c r="L4259" s="1"/>
      <c r="M4259" s="1"/>
    </row>
    <row x14ac:dyDescent="0.25" r="4260" customHeight="1" ht="18.75">
      <c r="A4260" s="1" t="s">
        <v>3598</v>
      </c>
      <c r="B4260" s="1" t="s">
        <v>6728</v>
      </c>
      <c r="C4260" s="1" t="s">
        <v>3600</v>
      </c>
      <c r="D4260" s="1" t="s">
        <v>3695</v>
      </c>
      <c r="E4260" s="1" t="s">
        <v>3893</v>
      </c>
      <c r="F4260" s="1" t="s">
        <v>15603</v>
      </c>
      <c r="G4260" s="1" t="s">
        <v>15409</v>
      </c>
      <c r="H4260" s="1" t="s">
        <v>3604</v>
      </c>
      <c r="I4260" s="1" t="s">
        <v>15604</v>
      </c>
      <c r="J4260" s="1" t="s">
        <v>3606</v>
      </c>
      <c r="K4260" s="1" t="s">
        <v>15605</v>
      </c>
      <c r="L4260" s="1"/>
      <c r="M4260" s="1"/>
    </row>
    <row x14ac:dyDescent="0.25" r="4261" customHeight="1" ht="18.75">
      <c r="A4261" s="1" t="s">
        <v>3598</v>
      </c>
      <c r="B4261" s="1" t="s">
        <v>3663</v>
      </c>
      <c r="C4261" s="1" t="s">
        <v>3600</v>
      </c>
      <c r="D4261" s="1" t="s">
        <v>3695</v>
      </c>
      <c r="E4261" s="1" t="s">
        <v>3752</v>
      </c>
      <c r="F4261" s="1" t="s">
        <v>15606</v>
      </c>
      <c r="G4261" s="1" t="s">
        <v>15607</v>
      </c>
      <c r="H4261" s="1" t="s">
        <v>3604</v>
      </c>
      <c r="I4261" s="1" t="s">
        <v>15608</v>
      </c>
      <c r="J4261" s="1" t="s">
        <v>3615</v>
      </c>
      <c r="K4261" s="1" t="s">
        <v>15609</v>
      </c>
      <c r="L4261" s="1"/>
      <c r="M4261" s="1"/>
    </row>
    <row x14ac:dyDescent="0.25" r="4262" customHeight="1" ht="18.75">
      <c r="A4262" s="1" t="s">
        <v>3598</v>
      </c>
      <c r="B4262" s="1" t="s">
        <v>3663</v>
      </c>
      <c r="C4262" s="1" t="s">
        <v>3600</v>
      </c>
      <c r="D4262" s="1" t="s">
        <v>3695</v>
      </c>
      <c r="E4262" s="1" t="s">
        <v>3752</v>
      </c>
      <c r="F4262" s="1" t="s">
        <v>15610</v>
      </c>
      <c r="G4262" s="1" t="s">
        <v>15607</v>
      </c>
      <c r="H4262" s="1" t="s">
        <v>3604</v>
      </c>
      <c r="I4262" s="1" t="s">
        <v>15611</v>
      </c>
      <c r="J4262" s="1" t="s">
        <v>3615</v>
      </c>
      <c r="K4262" s="1" t="s">
        <v>15612</v>
      </c>
      <c r="L4262" s="1"/>
      <c r="M4262" s="1"/>
    </row>
    <row x14ac:dyDescent="0.25" r="4263" customHeight="1" ht="18.75">
      <c r="A4263" s="1" t="s">
        <v>3598</v>
      </c>
      <c r="B4263" s="1" t="s">
        <v>3663</v>
      </c>
      <c r="C4263" s="1" t="s">
        <v>3600</v>
      </c>
      <c r="D4263" s="1" t="s">
        <v>3695</v>
      </c>
      <c r="E4263" s="1" t="s">
        <v>3752</v>
      </c>
      <c r="F4263" s="1" t="s">
        <v>15613</v>
      </c>
      <c r="G4263" s="1" t="s">
        <v>15607</v>
      </c>
      <c r="H4263" s="1" t="s">
        <v>3604</v>
      </c>
      <c r="I4263" s="1" t="s">
        <v>15614</v>
      </c>
      <c r="J4263" s="1" t="s">
        <v>3615</v>
      </c>
      <c r="K4263" s="1" t="s">
        <v>15615</v>
      </c>
      <c r="L4263" s="1"/>
      <c r="M4263" s="1"/>
    </row>
    <row x14ac:dyDescent="0.25" r="4264" customHeight="1" ht="18.75">
      <c r="A4264" s="1" t="s">
        <v>3598</v>
      </c>
      <c r="B4264" s="1" t="s">
        <v>3663</v>
      </c>
      <c r="C4264" s="1" t="s">
        <v>3600</v>
      </c>
      <c r="D4264" s="1" t="s">
        <v>3695</v>
      </c>
      <c r="E4264" s="1" t="s">
        <v>3752</v>
      </c>
      <c r="F4264" s="1" t="s">
        <v>15616</v>
      </c>
      <c r="G4264" s="1" t="s">
        <v>15617</v>
      </c>
      <c r="H4264" s="1" t="s">
        <v>3604</v>
      </c>
      <c r="I4264" s="1" t="s">
        <v>15618</v>
      </c>
      <c r="J4264" s="1" t="s">
        <v>3615</v>
      </c>
      <c r="K4264" s="1" t="s">
        <v>15619</v>
      </c>
      <c r="L4264" s="1"/>
      <c r="M4264" s="1"/>
    </row>
    <row x14ac:dyDescent="0.25" r="4265" customHeight="1" ht="18.75">
      <c r="A4265" s="1" t="s">
        <v>3598</v>
      </c>
      <c r="B4265" s="1" t="s">
        <v>8191</v>
      </c>
      <c r="C4265" s="1" t="s">
        <v>3600</v>
      </c>
      <c r="D4265" s="1" t="s">
        <v>3695</v>
      </c>
      <c r="E4265" s="1" t="s">
        <v>3752</v>
      </c>
      <c r="F4265" s="1" t="s">
        <v>15620</v>
      </c>
      <c r="G4265" s="1" t="s">
        <v>15621</v>
      </c>
      <c r="H4265" s="1" t="s">
        <v>3604</v>
      </c>
      <c r="I4265" s="1" t="s">
        <v>15622</v>
      </c>
      <c r="J4265" s="1" t="s">
        <v>3615</v>
      </c>
      <c r="K4265" s="1" t="s">
        <v>15623</v>
      </c>
      <c r="L4265" s="1"/>
      <c r="M4265" s="1"/>
    </row>
    <row x14ac:dyDescent="0.25" r="4266" customHeight="1" ht="18.75">
      <c r="A4266" s="1" t="s">
        <v>3598</v>
      </c>
      <c r="B4266" s="1" t="s">
        <v>8191</v>
      </c>
      <c r="C4266" s="1" t="s">
        <v>3600</v>
      </c>
      <c r="D4266" s="1" t="s">
        <v>3695</v>
      </c>
      <c r="E4266" s="1" t="s">
        <v>3752</v>
      </c>
      <c r="F4266" s="1" t="s">
        <v>15624</v>
      </c>
      <c r="G4266" s="1" t="s">
        <v>15625</v>
      </c>
      <c r="H4266" s="1" t="s">
        <v>3604</v>
      </c>
      <c r="I4266" s="1" t="s">
        <v>15626</v>
      </c>
      <c r="J4266" s="1" t="s">
        <v>3615</v>
      </c>
      <c r="K4266" s="1" t="s">
        <v>15627</v>
      </c>
      <c r="L4266" s="1"/>
      <c r="M4266" s="1"/>
    </row>
    <row x14ac:dyDescent="0.25" r="4267" customHeight="1" ht="18.75">
      <c r="A4267" s="1" t="s">
        <v>3598</v>
      </c>
      <c r="B4267" s="1" t="s">
        <v>8082</v>
      </c>
      <c r="C4267" s="1" t="s">
        <v>3600</v>
      </c>
      <c r="D4267" s="1" t="s">
        <v>3610</v>
      </c>
      <c r="E4267" s="1" t="s">
        <v>3664</v>
      </c>
      <c r="F4267" s="1" t="s">
        <v>15628</v>
      </c>
      <c r="G4267" s="1" t="s">
        <v>15594</v>
      </c>
      <c r="H4267" s="1" t="s">
        <v>3604</v>
      </c>
      <c r="I4267" s="1" t="s">
        <v>15629</v>
      </c>
      <c r="J4267" s="1" t="s">
        <v>3606</v>
      </c>
      <c r="K4267" s="1" t="s">
        <v>15630</v>
      </c>
      <c r="L4267" s="1"/>
      <c r="M4267" s="1"/>
    </row>
    <row x14ac:dyDescent="0.25" r="4268" customHeight="1" ht="18.75">
      <c r="A4268" s="1" t="s">
        <v>3598</v>
      </c>
      <c r="B4268" s="1" t="s">
        <v>15557</v>
      </c>
      <c r="C4268" s="1" t="s">
        <v>3600</v>
      </c>
      <c r="D4268" s="1" t="s">
        <v>533</v>
      </c>
      <c r="E4268" s="1" t="s">
        <v>3752</v>
      </c>
      <c r="F4268" s="1" t="s">
        <v>15631</v>
      </c>
      <c r="G4268" s="1" t="s">
        <v>15632</v>
      </c>
      <c r="H4268" s="1" t="s">
        <v>3604</v>
      </c>
      <c r="I4268" s="1" t="s">
        <v>15633</v>
      </c>
      <c r="J4268" s="1" t="s">
        <v>3606</v>
      </c>
      <c r="K4268" s="1" t="s">
        <v>15634</v>
      </c>
      <c r="L4268" s="1"/>
      <c r="M4268" s="1"/>
    </row>
    <row x14ac:dyDescent="0.25" r="4269" customHeight="1" ht="18.75">
      <c r="A4269" s="1" t="s">
        <v>3598</v>
      </c>
      <c r="B4269" s="1" t="s">
        <v>15557</v>
      </c>
      <c r="C4269" s="1" t="s">
        <v>3600</v>
      </c>
      <c r="D4269" s="1" t="s">
        <v>533</v>
      </c>
      <c r="E4269" s="1" t="s">
        <v>3981</v>
      </c>
      <c r="F4269" s="1" t="s">
        <v>15635</v>
      </c>
      <c r="G4269" s="1" t="s">
        <v>15636</v>
      </c>
      <c r="H4269" s="1" t="s">
        <v>3604</v>
      </c>
      <c r="I4269" s="1" t="s">
        <v>15637</v>
      </c>
      <c r="J4269" s="1" t="s">
        <v>3606</v>
      </c>
      <c r="K4269" s="1" t="s">
        <v>15638</v>
      </c>
      <c r="L4269" s="1"/>
      <c r="M4269" s="1"/>
    </row>
    <row x14ac:dyDescent="0.25" r="4270" customHeight="1" ht="18.75">
      <c r="A4270" s="1" t="s">
        <v>3598</v>
      </c>
      <c r="B4270" s="1" t="s">
        <v>15557</v>
      </c>
      <c r="C4270" s="1" t="s">
        <v>3600</v>
      </c>
      <c r="D4270" s="1" t="s">
        <v>533</v>
      </c>
      <c r="E4270" s="1" t="s">
        <v>3981</v>
      </c>
      <c r="F4270" s="1" t="s">
        <v>15639</v>
      </c>
      <c r="G4270" s="1" t="s">
        <v>15559</v>
      </c>
      <c r="H4270" s="1" t="s">
        <v>3604</v>
      </c>
      <c r="I4270" s="1" t="s">
        <v>15640</v>
      </c>
      <c r="J4270" s="1" t="s">
        <v>3606</v>
      </c>
      <c r="K4270" s="1" t="s">
        <v>15641</v>
      </c>
      <c r="L4270" s="1"/>
      <c r="M4270" s="1"/>
    </row>
    <row x14ac:dyDescent="0.25" r="4271" customHeight="1" ht="18.75">
      <c r="A4271" s="1" t="s">
        <v>3598</v>
      </c>
      <c r="B4271" s="1" t="s">
        <v>15557</v>
      </c>
      <c r="C4271" s="1" t="s">
        <v>3600</v>
      </c>
      <c r="D4271" s="1" t="s">
        <v>533</v>
      </c>
      <c r="E4271" s="1" t="s">
        <v>3664</v>
      </c>
      <c r="F4271" s="1" t="s">
        <v>15642</v>
      </c>
      <c r="G4271" s="1" t="s">
        <v>15566</v>
      </c>
      <c r="H4271" s="1" t="s">
        <v>3604</v>
      </c>
      <c r="I4271" s="1" t="s">
        <v>15643</v>
      </c>
      <c r="J4271" s="1" t="s">
        <v>3606</v>
      </c>
      <c r="K4271" s="1" t="s">
        <v>15644</v>
      </c>
      <c r="L4271" s="1"/>
      <c r="M4271" s="1"/>
    </row>
    <row x14ac:dyDescent="0.25" r="4272" customHeight="1" ht="18.75">
      <c r="A4272" s="1" t="s">
        <v>3598</v>
      </c>
      <c r="B4272" s="1" t="s">
        <v>15557</v>
      </c>
      <c r="C4272" s="1" t="s">
        <v>3600</v>
      </c>
      <c r="D4272" s="1" t="s">
        <v>533</v>
      </c>
      <c r="E4272" s="1" t="s">
        <v>3664</v>
      </c>
      <c r="F4272" s="1" t="s">
        <v>15645</v>
      </c>
      <c r="G4272" s="1" t="s">
        <v>15646</v>
      </c>
      <c r="H4272" s="1" t="s">
        <v>3604</v>
      </c>
      <c r="I4272" s="1" t="s">
        <v>15647</v>
      </c>
      <c r="J4272" s="1" t="s">
        <v>3606</v>
      </c>
      <c r="K4272" s="1" t="s">
        <v>15648</v>
      </c>
      <c r="L4272" s="1"/>
      <c r="M4272" s="1"/>
    </row>
    <row x14ac:dyDescent="0.25" r="4273" customHeight="1" ht="18.75">
      <c r="A4273" s="1" t="s">
        <v>3598</v>
      </c>
      <c r="B4273" s="1" t="s">
        <v>15557</v>
      </c>
      <c r="C4273" s="1" t="s">
        <v>3600</v>
      </c>
      <c r="D4273" s="1" t="s">
        <v>533</v>
      </c>
      <c r="E4273" s="1" t="s">
        <v>3664</v>
      </c>
      <c r="F4273" s="1" t="s">
        <v>15649</v>
      </c>
      <c r="G4273" s="1" t="s">
        <v>15559</v>
      </c>
      <c r="H4273" s="1" t="s">
        <v>3604</v>
      </c>
      <c r="I4273" s="1" t="s">
        <v>15650</v>
      </c>
      <c r="J4273" s="1" t="s">
        <v>3606</v>
      </c>
      <c r="K4273" s="1" t="s">
        <v>15651</v>
      </c>
      <c r="L4273" s="1"/>
      <c r="M4273" s="1"/>
    </row>
    <row x14ac:dyDescent="0.25" r="4274" customHeight="1" ht="18.75">
      <c r="A4274" s="1" t="s">
        <v>3598</v>
      </c>
      <c r="B4274" s="1" t="s">
        <v>15557</v>
      </c>
      <c r="C4274" s="1" t="s">
        <v>3600</v>
      </c>
      <c r="D4274" s="1" t="s">
        <v>533</v>
      </c>
      <c r="E4274" s="1" t="s">
        <v>3664</v>
      </c>
      <c r="F4274" s="1" t="s">
        <v>15652</v>
      </c>
      <c r="G4274" s="1" t="s">
        <v>15653</v>
      </c>
      <c r="H4274" s="1" t="s">
        <v>3604</v>
      </c>
      <c r="I4274" s="1" t="s">
        <v>15654</v>
      </c>
      <c r="J4274" s="1" t="s">
        <v>3606</v>
      </c>
      <c r="K4274" s="1" t="s">
        <v>15655</v>
      </c>
      <c r="L4274" s="1"/>
      <c r="M4274" s="1"/>
    </row>
    <row x14ac:dyDescent="0.25" r="4275" customHeight="1" ht="18.75">
      <c r="A4275" s="1" t="s">
        <v>3598</v>
      </c>
      <c r="B4275" s="1" t="s">
        <v>3663</v>
      </c>
      <c r="C4275" s="1" t="s">
        <v>3600</v>
      </c>
      <c r="D4275" s="1" t="s">
        <v>533</v>
      </c>
      <c r="E4275" s="1" t="s">
        <v>3664</v>
      </c>
      <c r="F4275" s="1" t="s">
        <v>15656</v>
      </c>
      <c r="G4275" s="1" t="s">
        <v>8349</v>
      </c>
      <c r="H4275" s="1" t="s">
        <v>3604</v>
      </c>
      <c r="I4275" s="1" t="s">
        <v>15657</v>
      </c>
      <c r="J4275" s="1" t="s">
        <v>3615</v>
      </c>
      <c r="K4275" s="1" t="s">
        <v>15658</v>
      </c>
      <c r="L4275" s="1"/>
      <c r="M4275" s="1"/>
    </row>
    <row x14ac:dyDescent="0.25" r="4276" customHeight="1" ht="18.75">
      <c r="A4276" s="1" t="s">
        <v>3598</v>
      </c>
      <c r="B4276" s="1" t="s">
        <v>15659</v>
      </c>
      <c r="C4276" s="1" t="s">
        <v>3600</v>
      </c>
      <c r="D4276" s="1" t="s">
        <v>3610</v>
      </c>
      <c r="E4276" s="1" t="s">
        <v>3664</v>
      </c>
      <c r="F4276" s="1" t="s">
        <v>15660</v>
      </c>
      <c r="G4276" s="1" t="s">
        <v>15661</v>
      </c>
      <c r="H4276" s="1" t="s">
        <v>3604</v>
      </c>
      <c r="I4276" s="1" t="s">
        <v>15662</v>
      </c>
      <c r="J4276" s="1" t="s">
        <v>3606</v>
      </c>
      <c r="K4276" s="1" t="s">
        <v>15663</v>
      </c>
      <c r="L4276" s="1"/>
      <c r="M4276" s="1"/>
    </row>
    <row x14ac:dyDescent="0.25" r="4277" customHeight="1" ht="18.75">
      <c r="A4277" s="1" t="s">
        <v>3598</v>
      </c>
      <c r="B4277" s="1" t="s">
        <v>13742</v>
      </c>
      <c r="C4277" s="1" t="s">
        <v>3600</v>
      </c>
      <c r="D4277" s="1" t="s">
        <v>3695</v>
      </c>
      <c r="E4277" s="1" t="s">
        <v>3893</v>
      </c>
      <c r="F4277" s="1" t="s">
        <v>15664</v>
      </c>
      <c r="G4277" s="1" t="s">
        <v>15665</v>
      </c>
      <c r="H4277" s="1" t="s">
        <v>3604</v>
      </c>
      <c r="I4277" s="1" t="s">
        <v>15666</v>
      </c>
      <c r="J4277" s="1" t="s">
        <v>3606</v>
      </c>
      <c r="K4277" s="1" t="s">
        <v>15667</v>
      </c>
      <c r="L4277" s="1"/>
      <c r="M4277" s="1"/>
    </row>
    <row x14ac:dyDescent="0.25" r="4278" customHeight="1" ht="18.75">
      <c r="A4278" s="1" t="s">
        <v>3598</v>
      </c>
      <c r="B4278" s="1" t="s">
        <v>13742</v>
      </c>
      <c r="C4278" s="1" t="s">
        <v>3600</v>
      </c>
      <c r="D4278" s="1" t="s">
        <v>3695</v>
      </c>
      <c r="E4278" s="1" t="s">
        <v>3893</v>
      </c>
      <c r="F4278" s="1" t="s">
        <v>15668</v>
      </c>
      <c r="G4278" s="1" t="s">
        <v>15665</v>
      </c>
      <c r="H4278" s="1" t="s">
        <v>3604</v>
      </c>
      <c r="I4278" s="1" t="s">
        <v>15669</v>
      </c>
      <c r="J4278" s="1" t="s">
        <v>3606</v>
      </c>
      <c r="K4278" s="1" t="s">
        <v>15670</v>
      </c>
      <c r="L4278" s="1"/>
      <c r="M4278" s="1"/>
    </row>
    <row x14ac:dyDescent="0.25" r="4279" customHeight="1" ht="18.75">
      <c r="A4279" s="1" t="s">
        <v>3598</v>
      </c>
      <c r="B4279" s="1" t="s">
        <v>13742</v>
      </c>
      <c r="C4279" s="1" t="s">
        <v>3600</v>
      </c>
      <c r="D4279" s="1" t="s">
        <v>3695</v>
      </c>
      <c r="E4279" s="1" t="s">
        <v>3893</v>
      </c>
      <c r="F4279" s="1" t="s">
        <v>15671</v>
      </c>
      <c r="G4279" s="1" t="s">
        <v>15665</v>
      </c>
      <c r="H4279" s="1" t="s">
        <v>3604</v>
      </c>
      <c r="I4279" s="1" t="s">
        <v>15672</v>
      </c>
      <c r="J4279" s="1" t="s">
        <v>3606</v>
      </c>
      <c r="K4279" s="1" t="s">
        <v>15673</v>
      </c>
      <c r="L4279" s="1"/>
      <c r="M4279" s="1"/>
    </row>
    <row x14ac:dyDescent="0.25" r="4280" customHeight="1" ht="18.75">
      <c r="A4280" s="1" t="s">
        <v>3598</v>
      </c>
      <c r="B4280" s="1" t="s">
        <v>13742</v>
      </c>
      <c r="C4280" s="1" t="s">
        <v>3600</v>
      </c>
      <c r="D4280" s="1" t="s">
        <v>3695</v>
      </c>
      <c r="E4280" s="1" t="s">
        <v>3893</v>
      </c>
      <c r="F4280" s="1" t="s">
        <v>15674</v>
      </c>
      <c r="G4280" s="1" t="s">
        <v>15675</v>
      </c>
      <c r="H4280" s="1" t="s">
        <v>3604</v>
      </c>
      <c r="I4280" s="1" t="s">
        <v>15676</v>
      </c>
      <c r="J4280" s="1" t="s">
        <v>3606</v>
      </c>
      <c r="K4280" s="1" t="s">
        <v>15677</v>
      </c>
      <c r="L4280" s="1"/>
      <c r="M4280" s="1"/>
    </row>
    <row x14ac:dyDescent="0.25" r="4281" customHeight="1" ht="18.75">
      <c r="A4281" s="1" t="s">
        <v>3598</v>
      </c>
      <c r="B4281" s="1" t="s">
        <v>15557</v>
      </c>
      <c r="C4281" s="1" t="s">
        <v>3600</v>
      </c>
      <c r="D4281" s="1" t="s">
        <v>3610</v>
      </c>
      <c r="E4281" s="1" t="s">
        <v>3664</v>
      </c>
      <c r="F4281" s="1" t="s">
        <v>15678</v>
      </c>
      <c r="G4281" s="1" t="s">
        <v>15646</v>
      </c>
      <c r="H4281" s="1" t="s">
        <v>3604</v>
      </c>
      <c r="I4281" s="1" t="s">
        <v>15679</v>
      </c>
      <c r="J4281" s="1" t="s">
        <v>3606</v>
      </c>
      <c r="K4281" s="1" t="s">
        <v>15680</v>
      </c>
      <c r="L4281" s="1"/>
      <c r="M4281" s="1"/>
    </row>
    <row x14ac:dyDescent="0.25" r="4282" customHeight="1" ht="18.75">
      <c r="A4282" s="1" t="s">
        <v>3598</v>
      </c>
      <c r="B4282" s="1" t="s">
        <v>13742</v>
      </c>
      <c r="C4282" s="1" t="s">
        <v>3600</v>
      </c>
      <c r="D4282" s="1" t="s">
        <v>3695</v>
      </c>
      <c r="E4282" s="1" t="s">
        <v>3893</v>
      </c>
      <c r="F4282" s="1" t="s">
        <v>15681</v>
      </c>
      <c r="G4282" s="1" t="s">
        <v>15675</v>
      </c>
      <c r="H4282" s="1" t="s">
        <v>3604</v>
      </c>
      <c r="I4282" s="1" t="s">
        <v>15682</v>
      </c>
      <c r="J4282" s="1" t="s">
        <v>3606</v>
      </c>
      <c r="K4282" s="1" t="s">
        <v>15683</v>
      </c>
      <c r="L4282" s="1"/>
      <c r="M4282" s="1"/>
    </row>
    <row x14ac:dyDescent="0.25" r="4283" customHeight="1" ht="18.75">
      <c r="A4283" s="1" t="s">
        <v>3598</v>
      </c>
      <c r="B4283" s="1" t="s">
        <v>13742</v>
      </c>
      <c r="C4283" s="1" t="s">
        <v>3600</v>
      </c>
      <c r="D4283" s="1" t="s">
        <v>3695</v>
      </c>
      <c r="E4283" s="1" t="s">
        <v>3893</v>
      </c>
      <c r="F4283" s="1" t="s">
        <v>15684</v>
      </c>
      <c r="G4283" s="1" t="s">
        <v>15675</v>
      </c>
      <c r="H4283" s="1" t="s">
        <v>3604</v>
      </c>
      <c r="I4283" s="1" t="s">
        <v>15685</v>
      </c>
      <c r="J4283" s="1" t="s">
        <v>3606</v>
      </c>
      <c r="K4283" s="1" t="s">
        <v>15686</v>
      </c>
      <c r="L4283" s="1"/>
      <c r="M4283" s="1"/>
    </row>
    <row x14ac:dyDescent="0.25" r="4284" customHeight="1" ht="18.75">
      <c r="A4284" s="1" t="s">
        <v>3598</v>
      </c>
      <c r="B4284" s="1" t="s">
        <v>15557</v>
      </c>
      <c r="C4284" s="1" t="s">
        <v>3600</v>
      </c>
      <c r="D4284" s="1" t="s">
        <v>3610</v>
      </c>
      <c r="E4284" s="1" t="s">
        <v>3664</v>
      </c>
      <c r="F4284" s="1" t="s">
        <v>15687</v>
      </c>
      <c r="G4284" s="1" t="s">
        <v>15646</v>
      </c>
      <c r="H4284" s="1" t="s">
        <v>3604</v>
      </c>
      <c r="I4284" s="1" t="s">
        <v>15688</v>
      </c>
      <c r="J4284" s="1" t="s">
        <v>3606</v>
      </c>
      <c r="K4284" s="1" t="s">
        <v>15689</v>
      </c>
      <c r="L4284" s="1"/>
      <c r="M4284" s="1"/>
    </row>
    <row x14ac:dyDescent="0.25" r="4285" customHeight="1" ht="18.75">
      <c r="A4285" s="1" t="s">
        <v>3598</v>
      </c>
      <c r="B4285" s="1" t="s">
        <v>8082</v>
      </c>
      <c r="C4285" s="1" t="s">
        <v>3600</v>
      </c>
      <c r="D4285" s="1" t="s">
        <v>533</v>
      </c>
      <c r="E4285" s="1" t="s">
        <v>3752</v>
      </c>
      <c r="F4285" s="1" t="s">
        <v>15690</v>
      </c>
      <c r="G4285" s="1" t="s">
        <v>15691</v>
      </c>
      <c r="H4285" s="1" t="s">
        <v>3604</v>
      </c>
      <c r="I4285" s="1" t="s">
        <v>15692</v>
      </c>
      <c r="J4285" s="1" t="s">
        <v>3606</v>
      </c>
      <c r="K4285" s="1" t="s">
        <v>15693</v>
      </c>
      <c r="L4285" s="1"/>
      <c r="M4285" s="1"/>
    </row>
    <row x14ac:dyDescent="0.25" r="4286" customHeight="1" ht="18.75">
      <c r="A4286" s="1" t="s">
        <v>3598</v>
      </c>
      <c r="B4286" s="1" t="s">
        <v>8082</v>
      </c>
      <c r="C4286" s="1" t="s">
        <v>3600</v>
      </c>
      <c r="D4286" s="1" t="s">
        <v>533</v>
      </c>
      <c r="E4286" s="1" t="s">
        <v>3752</v>
      </c>
      <c r="F4286" s="1" t="s">
        <v>15694</v>
      </c>
      <c r="G4286" s="1" t="s">
        <v>15695</v>
      </c>
      <c r="H4286" s="1" t="s">
        <v>3604</v>
      </c>
      <c r="I4286" s="1" t="s">
        <v>15696</v>
      </c>
      <c r="J4286" s="1" t="s">
        <v>3606</v>
      </c>
      <c r="K4286" s="1" t="s">
        <v>15697</v>
      </c>
      <c r="L4286" s="1"/>
      <c r="M4286" s="1"/>
    </row>
    <row x14ac:dyDescent="0.25" r="4287" customHeight="1" ht="18.75">
      <c r="A4287" s="1" t="s">
        <v>3598</v>
      </c>
      <c r="B4287" s="1" t="s">
        <v>15557</v>
      </c>
      <c r="C4287" s="1" t="s">
        <v>3600</v>
      </c>
      <c r="D4287" s="1" t="s">
        <v>3610</v>
      </c>
      <c r="E4287" s="1" t="s">
        <v>3664</v>
      </c>
      <c r="F4287" s="1" t="s">
        <v>15698</v>
      </c>
      <c r="G4287" s="1" t="s">
        <v>15646</v>
      </c>
      <c r="H4287" s="1" t="s">
        <v>3604</v>
      </c>
      <c r="I4287" s="1" t="s">
        <v>15699</v>
      </c>
      <c r="J4287" s="1" t="s">
        <v>3606</v>
      </c>
      <c r="K4287" s="1" t="s">
        <v>15700</v>
      </c>
      <c r="L4287" s="1"/>
      <c r="M4287" s="1"/>
    </row>
    <row x14ac:dyDescent="0.25" r="4288" customHeight="1" ht="18.75">
      <c r="A4288" s="1" t="s">
        <v>3598</v>
      </c>
      <c r="B4288" s="1" t="s">
        <v>8082</v>
      </c>
      <c r="C4288" s="1" t="s">
        <v>3600</v>
      </c>
      <c r="D4288" s="1" t="s">
        <v>533</v>
      </c>
      <c r="E4288" s="1" t="s">
        <v>3752</v>
      </c>
      <c r="F4288" s="1" t="s">
        <v>15701</v>
      </c>
      <c r="G4288" s="1" t="s">
        <v>15702</v>
      </c>
      <c r="H4288" s="1" t="s">
        <v>3604</v>
      </c>
      <c r="I4288" s="1" t="s">
        <v>15703</v>
      </c>
      <c r="J4288" s="1" t="s">
        <v>3606</v>
      </c>
      <c r="K4288" s="1" t="s">
        <v>15704</v>
      </c>
      <c r="L4288" s="1"/>
      <c r="M4288" s="1"/>
    </row>
    <row x14ac:dyDescent="0.25" r="4289" customHeight="1" ht="18.75">
      <c r="A4289" s="1" t="s">
        <v>3598</v>
      </c>
      <c r="B4289" s="1" t="s">
        <v>8082</v>
      </c>
      <c r="C4289" s="1" t="s">
        <v>3600</v>
      </c>
      <c r="D4289" s="1" t="s">
        <v>533</v>
      </c>
      <c r="E4289" s="1" t="s">
        <v>3664</v>
      </c>
      <c r="F4289" s="1" t="s">
        <v>15705</v>
      </c>
      <c r="G4289" s="1" t="s">
        <v>8092</v>
      </c>
      <c r="H4289" s="1" t="s">
        <v>3604</v>
      </c>
      <c r="I4289" s="1" t="s">
        <v>15706</v>
      </c>
      <c r="J4289" s="1" t="s">
        <v>3606</v>
      </c>
      <c r="K4289" s="1" t="s">
        <v>15707</v>
      </c>
      <c r="L4289" s="1"/>
      <c r="M4289" s="1"/>
    </row>
    <row x14ac:dyDescent="0.25" r="4290" customHeight="1" ht="18.75">
      <c r="A4290" s="1" t="s">
        <v>3598</v>
      </c>
      <c r="B4290" s="1" t="s">
        <v>8082</v>
      </c>
      <c r="C4290" s="1" t="s">
        <v>3600</v>
      </c>
      <c r="D4290" s="1" t="s">
        <v>533</v>
      </c>
      <c r="E4290" s="1" t="s">
        <v>3664</v>
      </c>
      <c r="F4290" s="1" t="s">
        <v>15708</v>
      </c>
      <c r="G4290" s="1" t="s">
        <v>15584</v>
      </c>
      <c r="H4290" s="1" t="s">
        <v>3604</v>
      </c>
      <c r="I4290" s="1" t="s">
        <v>15709</v>
      </c>
      <c r="J4290" s="1" t="s">
        <v>3606</v>
      </c>
      <c r="K4290" s="1" t="s">
        <v>15710</v>
      </c>
      <c r="L4290" s="1"/>
      <c r="M4290" s="1"/>
    </row>
    <row x14ac:dyDescent="0.25" r="4291" customHeight="1" ht="18.75">
      <c r="A4291" s="1" t="s">
        <v>3598</v>
      </c>
      <c r="B4291" s="1" t="s">
        <v>8082</v>
      </c>
      <c r="C4291" s="1" t="s">
        <v>3600</v>
      </c>
      <c r="D4291" s="1" t="s">
        <v>533</v>
      </c>
      <c r="E4291" s="1" t="s">
        <v>3664</v>
      </c>
      <c r="F4291" s="1" t="s">
        <v>15711</v>
      </c>
      <c r="G4291" s="1" t="s">
        <v>15594</v>
      </c>
      <c r="H4291" s="1" t="s">
        <v>3604</v>
      </c>
      <c r="I4291" s="1" t="s">
        <v>15712</v>
      </c>
      <c r="J4291" s="1" t="s">
        <v>3606</v>
      </c>
      <c r="K4291" s="1" t="s">
        <v>15713</v>
      </c>
      <c r="L4291" s="1"/>
      <c r="M4291" s="1"/>
    </row>
    <row x14ac:dyDescent="0.25" r="4292" customHeight="1" ht="18.75">
      <c r="A4292" s="1" t="s">
        <v>3598</v>
      </c>
      <c r="B4292" s="1" t="s">
        <v>8082</v>
      </c>
      <c r="C4292" s="1" t="s">
        <v>3600</v>
      </c>
      <c r="D4292" s="1" t="s">
        <v>533</v>
      </c>
      <c r="E4292" s="1" t="s">
        <v>3664</v>
      </c>
      <c r="F4292" s="1" t="s">
        <v>15714</v>
      </c>
      <c r="G4292" s="1" t="s">
        <v>15695</v>
      </c>
      <c r="H4292" s="1" t="s">
        <v>3604</v>
      </c>
      <c r="I4292" s="1" t="s">
        <v>15715</v>
      </c>
      <c r="J4292" s="1" t="s">
        <v>3606</v>
      </c>
      <c r="K4292" s="1" t="s">
        <v>15716</v>
      </c>
      <c r="L4292" s="1"/>
      <c r="M4292" s="1"/>
    </row>
    <row x14ac:dyDescent="0.25" r="4293" customHeight="1" ht="18.75">
      <c r="A4293" s="1" t="s">
        <v>3598</v>
      </c>
      <c r="B4293" s="1" t="s">
        <v>8082</v>
      </c>
      <c r="C4293" s="1" t="s">
        <v>3600</v>
      </c>
      <c r="D4293" s="1" t="s">
        <v>533</v>
      </c>
      <c r="E4293" s="1" t="s">
        <v>3664</v>
      </c>
      <c r="F4293" s="1" t="s">
        <v>15717</v>
      </c>
      <c r="G4293" s="1" t="s">
        <v>15702</v>
      </c>
      <c r="H4293" s="1" t="s">
        <v>3604</v>
      </c>
      <c r="I4293" s="1" t="s">
        <v>15718</v>
      </c>
      <c r="J4293" s="1" t="s">
        <v>3606</v>
      </c>
      <c r="K4293" s="1" t="s">
        <v>15719</v>
      </c>
      <c r="L4293" s="1"/>
      <c r="M4293" s="1"/>
    </row>
    <row x14ac:dyDescent="0.25" r="4294" customHeight="1" ht="18.75">
      <c r="A4294" s="1" t="s">
        <v>3598</v>
      </c>
      <c r="B4294" s="1" t="s">
        <v>9007</v>
      </c>
      <c r="C4294" s="1" t="s">
        <v>3600</v>
      </c>
      <c r="D4294" s="1" t="s">
        <v>3695</v>
      </c>
      <c r="E4294" s="1" t="s">
        <v>3893</v>
      </c>
      <c r="F4294" s="1" t="s">
        <v>15720</v>
      </c>
      <c r="G4294" s="1" t="s">
        <v>9009</v>
      </c>
      <c r="H4294" s="1" t="s">
        <v>3604</v>
      </c>
      <c r="I4294" s="1" t="s">
        <v>15721</v>
      </c>
      <c r="J4294" s="1" t="s">
        <v>3606</v>
      </c>
      <c r="K4294" s="1" t="s">
        <v>15722</v>
      </c>
      <c r="L4294" s="1"/>
      <c r="M4294" s="1"/>
    </row>
    <row x14ac:dyDescent="0.25" r="4295" customHeight="1" ht="18.75">
      <c r="A4295" s="1" t="s">
        <v>3598</v>
      </c>
      <c r="B4295" s="1" t="s">
        <v>9007</v>
      </c>
      <c r="C4295" s="1" t="s">
        <v>3600</v>
      </c>
      <c r="D4295" s="1" t="s">
        <v>3695</v>
      </c>
      <c r="E4295" s="1" t="s">
        <v>3893</v>
      </c>
      <c r="F4295" s="1" t="s">
        <v>15723</v>
      </c>
      <c r="G4295" s="1" t="s">
        <v>9009</v>
      </c>
      <c r="H4295" s="1" t="s">
        <v>3604</v>
      </c>
      <c r="I4295" s="1" t="s">
        <v>15724</v>
      </c>
      <c r="J4295" s="1" t="s">
        <v>3606</v>
      </c>
      <c r="K4295" s="1" t="s">
        <v>15725</v>
      </c>
      <c r="L4295" s="1"/>
      <c r="M4295" s="1"/>
    </row>
    <row x14ac:dyDescent="0.25" r="4296" customHeight="1" ht="18.75">
      <c r="A4296" s="1" t="s">
        <v>3598</v>
      </c>
      <c r="B4296" s="1" t="s">
        <v>9007</v>
      </c>
      <c r="C4296" s="1" t="s">
        <v>3600</v>
      </c>
      <c r="D4296" s="1" t="s">
        <v>3695</v>
      </c>
      <c r="E4296" s="1" t="s">
        <v>3893</v>
      </c>
      <c r="F4296" s="1" t="s">
        <v>15726</v>
      </c>
      <c r="G4296" s="1" t="s">
        <v>9009</v>
      </c>
      <c r="H4296" s="1" t="s">
        <v>3604</v>
      </c>
      <c r="I4296" s="1" t="s">
        <v>15727</v>
      </c>
      <c r="J4296" s="1" t="s">
        <v>3606</v>
      </c>
      <c r="K4296" s="1" t="s">
        <v>15728</v>
      </c>
      <c r="L4296" s="1"/>
      <c r="M4296" s="1"/>
    </row>
    <row x14ac:dyDescent="0.25" r="4297" customHeight="1" ht="18.75">
      <c r="A4297" s="1" t="s">
        <v>3598</v>
      </c>
      <c r="B4297" s="1" t="s">
        <v>9007</v>
      </c>
      <c r="C4297" s="1" t="s">
        <v>3600</v>
      </c>
      <c r="D4297" s="1" t="s">
        <v>3695</v>
      </c>
      <c r="E4297" s="1" t="s">
        <v>3893</v>
      </c>
      <c r="F4297" s="1" t="s">
        <v>15729</v>
      </c>
      <c r="G4297" s="1" t="s">
        <v>9009</v>
      </c>
      <c r="H4297" s="1" t="s">
        <v>3604</v>
      </c>
      <c r="I4297" s="1" t="s">
        <v>15730</v>
      </c>
      <c r="J4297" s="1" t="s">
        <v>3606</v>
      </c>
      <c r="K4297" s="1" t="s">
        <v>15731</v>
      </c>
      <c r="L4297" s="1"/>
      <c r="M4297" s="1"/>
    </row>
    <row x14ac:dyDescent="0.25" r="4298" customHeight="1" ht="18.75">
      <c r="A4298" s="1" t="s">
        <v>3598</v>
      </c>
      <c r="B4298" s="1" t="s">
        <v>9007</v>
      </c>
      <c r="C4298" s="1" t="s">
        <v>3600</v>
      </c>
      <c r="D4298" s="1" t="s">
        <v>3695</v>
      </c>
      <c r="E4298" s="1" t="s">
        <v>3893</v>
      </c>
      <c r="F4298" s="1" t="s">
        <v>15732</v>
      </c>
      <c r="G4298" s="1" t="s">
        <v>9009</v>
      </c>
      <c r="H4298" s="1" t="s">
        <v>3604</v>
      </c>
      <c r="I4298" s="1" t="s">
        <v>15733</v>
      </c>
      <c r="J4298" s="1" t="s">
        <v>3606</v>
      </c>
      <c r="K4298" s="1" t="s">
        <v>15734</v>
      </c>
      <c r="L4298" s="1"/>
      <c r="M4298" s="1"/>
    </row>
    <row x14ac:dyDescent="0.25" r="4299" customHeight="1" ht="18.75">
      <c r="A4299" s="1" t="s">
        <v>3598</v>
      </c>
      <c r="B4299" s="1" t="s">
        <v>9007</v>
      </c>
      <c r="C4299" s="1" t="s">
        <v>3600</v>
      </c>
      <c r="D4299" s="1" t="s">
        <v>3695</v>
      </c>
      <c r="E4299" s="1" t="s">
        <v>3893</v>
      </c>
      <c r="F4299" s="1" t="s">
        <v>15735</v>
      </c>
      <c r="G4299" s="1" t="s">
        <v>9009</v>
      </c>
      <c r="H4299" s="1" t="s">
        <v>3604</v>
      </c>
      <c r="I4299" s="1" t="s">
        <v>15736</v>
      </c>
      <c r="J4299" s="1" t="s">
        <v>3606</v>
      </c>
      <c r="K4299" s="1" t="s">
        <v>15737</v>
      </c>
      <c r="L4299" s="1"/>
      <c r="M4299" s="1"/>
    </row>
    <row x14ac:dyDescent="0.25" r="4300" customHeight="1" ht="18.75">
      <c r="A4300" s="1" t="s">
        <v>3598</v>
      </c>
      <c r="B4300" s="1" t="s">
        <v>9116</v>
      </c>
      <c r="C4300" s="1" t="s">
        <v>3600</v>
      </c>
      <c r="D4300" s="1" t="s">
        <v>3695</v>
      </c>
      <c r="E4300" s="1" t="s">
        <v>3752</v>
      </c>
      <c r="F4300" s="1" t="s">
        <v>15738</v>
      </c>
      <c r="G4300" s="1" t="s">
        <v>15739</v>
      </c>
      <c r="H4300" s="1" t="s">
        <v>3604</v>
      </c>
      <c r="I4300" s="1" t="s">
        <v>15740</v>
      </c>
      <c r="J4300" s="1" t="s">
        <v>3606</v>
      </c>
      <c r="K4300" s="1" t="s">
        <v>15741</v>
      </c>
      <c r="L4300" s="1"/>
      <c r="M4300" s="1"/>
    </row>
    <row x14ac:dyDescent="0.25" r="4301" customHeight="1" ht="18.75">
      <c r="A4301" s="1" t="s">
        <v>3598</v>
      </c>
      <c r="B4301" s="1" t="s">
        <v>9116</v>
      </c>
      <c r="C4301" s="1" t="s">
        <v>3600</v>
      </c>
      <c r="D4301" s="1" t="s">
        <v>3695</v>
      </c>
      <c r="E4301" s="1" t="s">
        <v>3752</v>
      </c>
      <c r="F4301" s="1" t="s">
        <v>15742</v>
      </c>
      <c r="G4301" s="1" t="s">
        <v>15739</v>
      </c>
      <c r="H4301" s="1" t="s">
        <v>3604</v>
      </c>
      <c r="I4301" s="1" t="s">
        <v>15743</v>
      </c>
      <c r="J4301" s="1" t="s">
        <v>3606</v>
      </c>
      <c r="K4301" s="1" t="s">
        <v>15744</v>
      </c>
      <c r="L4301" s="1"/>
      <c r="M4301" s="1"/>
    </row>
    <row x14ac:dyDescent="0.25" r="4302" customHeight="1" ht="18.75">
      <c r="A4302" s="1" t="s">
        <v>3598</v>
      </c>
      <c r="B4302" s="1" t="s">
        <v>9116</v>
      </c>
      <c r="C4302" s="1" t="s">
        <v>3600</v>
      </c>
      <c r="D4302" s="1" t="s">
        <v>3695</v>
      </c>
      <c r="E4302" s="1" t="s">
        <v>3752</v>
      </c>
      <c r="F4302" s="1" t="s">
        <v>15745</v>
      </c>
      <c r="G4302" s="1" t="s">
        <v>15739</v>
      </c>
      <c r="H4302" s="1" t="s">
        <v>3604</v>
      </c>
      <c r="I4302" s="1" t="s">
        <v>15746</v>
      </c>
      <c r="J4302" s="1" t="s">
        <v>3606</v>
      </c>
      <c r="K4302" s="1" t="s">
        <v>15747</v>
      </c>
      <c r="L4302" s="1"/>
      <c r="M4302" s="1"/>
    </row>
    <row x14ac:dyDescent="0.25" r="4303" customHeight="1" ht="18.75">
      <c r="A4303" s="1" t="s">
        <v>3598</v>
      </c>
      <c r="B4303" s="1" t="s">
        <v>9116</v>
      </c>
      <c r="C4303" s="1" t="s">
        <v>3600</v>
      </c>
      <c r="D4303" s="1" t="s">
        <v>3695</v>
      </c>
      <c r="E4303" s="1" t="s">
        <v>3752</v>
      </c>
      <c r="F4303" s="1" t="s">
        <v>15748</v>
      </c>
      <c r="G4303" s="1" t="s">
        <v>9209</v>
      </c>
      <c r="H4303" s="1" t="s">
        <v>3604</v>
      </c>
      <c r="I4303" s="1" t="s">
        <v>15749</v>
      </c>
      <c r="J4303" s="1" t="s">
        <v>3606</v>
      </c>
      <c r="K4303" s="1" t="s">
        <v>15750</v>
      </c>
      <c r="L4303" s="1"/>
      <c r="M4303" s="1"/>
    </row>
    <row x14ac:dyDescent="0.25" r="4304" customHeight="1" ht="18.75">
      <c r="A4304" s="1" t="s">
        <v>3598</v>
      </c>
      <c r="B4304" s="1" t="s">
        <v>9116</v>
      </c>
      <c r="C4304" s="1" t="s">
        <v>3600</v>
      </c>
      <c r="D4304" s="1" t="s">
        <v>3695</v>
      </c>
      <c r="E4304" s="1" t="s">
        <v>3752</v>
      </c>
      <c r="F4304" s="1" t="s">
        <v>15751</v>
      </c>
      <c r="G4304" s="1" t="s">
        <v>9209</v>
      </c>
      <c r="H4304" s="1" t="s">
        <v>3604</v>
      </c>
      <c r="I4304" s="1" t="s">
        <v>15752</v>
      </c>
      <c r="J4304" s="1" t="s">
        <v>3606</v>
      </c>
      <c r="K4304" s="1" t="s">
        <v>15753</v>
      </c>
      <c r="L4304" s="1"/>
      <c r="M4304" s="1"/>
    </row>
    <row x14ac:dyDescent="0.25" r="4305" customHeight="1" ht="18.75">
      <c r="A4305" s="1" t="s">
        <v>3598</v>
      </c>
      <c r="B4305" s="1" t="s">
        <v>9116</v>
      </c>
      <c r="C4305" s="1" t="s">
        <v>3600</v>
      </c>
      <c r="D4305" s="1" t="s">
        <v>3695</v>
      </c>
      <c r="E4305" s="1" t="s">
        <v>3752</v>
      </c>
      <c r="F4305" s="1" t="s">
        <v>15754</v>
      </c>
      <c r="G4305" s="1" t="s">
        <v>9209</v>
      </c>
      <c r="H4305" s="1" t="s">
        <v>3604</v>
      </c>
      <c r="I4305" s="1" t="s">
        <v>15755</v>
      </c>
      <c r="J4305" s="1" t="s">
        <v>3606</v>
      </c>
      <c r="K4305" s="1" t="s">
        <v>15756</v>
      </c>
      <c r="L4305" s="1"/>
      <c r="M4305" s="1"/>
    </row>
    <row x14ac:dyDescent="0.25" r="4306" customHeight="1" ht="18.75">
      <c r="A4306" s="1" t="s">
        <v>3598</v>
      </c>
      <c r="B4306" s="1" t="s">
        <v>9116</v>
      </c>
      <c r="C4306" s="1" t="s">
        <v>3600</v>
      </c>
      <c r="D4306" s="1" t="s">
        <v>533</v>
      </c>
      <c r="E4306" s="1" t="s">
        <v>3752</v>
      </c>
      <c r="F4306" s="1" t="s">
        <v>15757</v>
      </c>
      <c r="G4306" s="1" t="s">
        <v>9118</v>
      </c>
      <c r="H4306" s="1" t="s">
        <v>3604</v>
      </c>
      <c r="I4306" s="1" t="s">
        <v>15758</v>
      </c>
      <c r="J4306" s="1" t="s">
        <v>3606</v>
      </c>
      <c r="K4306" s="1" t="s">
        <v>15759</v>
      </c>
      <c r="L4306" s="1"/>
      <c r="M4306" s="1"/>
    </row>
    <row x14ac:dyDescent="0.25" r="4307" customHeight="1" ht="18.75">
      <c r="A4307" s="1" t="s">
        <v>3598</v>
      </c>
      <c r="B4307" s="1" t="s">
        <v>9116</v>
      </c>
      <c r="C4307" s="1" t="s">
        <v>3600</v>
      </c>
      <c r="D4307" s="1" t="s">
        <v>533</v>
      </c>
      <c r="E4307" s="1" t="s">
        <v>3664</v>
      </c>
      <c r="F4307" s="1" t="s">
        <v>15760</v>
      </c>
      <c r="G4307" s="1" t="s">
        <v>15739</v>
      </c>
      <c r="H4307" s="1" t="s">
        <v>3604</v>
      </c>
      <c r="I4307" s="1" t="s">
        <v>15761</v>
      </c>
      <c r="J4307" s="1" t="s">
        <v>3606</v>
      </c>
      <c r="K4307" s="1" t="s">
        <v>15762</v>
      </c>
      <c r="L4307" s="1"/>
      <c r="M4307" s="1"/>
    </row>
    <row x14ac:dyDescent="0.25" r="4308" customHeight="1" ht="18.75">
      <c r="A4308" s="1" t="s">
        <v>3598</v>
      </c>
      <c r="B4308" s="1" t="s">
        <v>3778</v>
      </c>
      <c r="C4308" s="1" t="s">
        <v>3600</v>
      </c>
      <c r="D4308" s="1" t="s">
        <v>533</v>
      </c>
      <c r="E4308" s="1" t="s">
        <v>3664</v>
      </c>
      <c r="F4308" s="1" t="s">
        <v>15763</v>
      </c>
      <c r="G4308" s="1" t="s">
        <v>15764</v>
      </c>
      <c r="H4308" s="1" t="s">
        <v>3604</v>
      </c>
      <c r="I4308" s="1" t="s">
        <v>15765</v>
      </c>
      <c r="J4308" s="1" t="s">
        <v>3606</v>
      </c>
      <c r="K4308" s="1" t="s">
        <v>15766</v>
      </c>
      <c r="L4308" s="1"/>
      <c r="M4308" s="1"/>
    </row>
    <row x14ac:dyDescent="0.25" r="4309" customHeight="1" ht="18.75">
      <c r="A4309" s="1" t="s">
        <v>3598</v>
      </c>
      <c r="B4309" s="1" t="s">
        <v>3778</v>
      </c>
      <c r="C4309" s="1" t="s">
        <v>3600</v>
      </c>
      <c r="D4309" s="1" t="s">
        <v>533</v>
      </c>
      <c r="E4309" s="1" t="s">
        <v>3664</v>
      </c>
      <c r="F4309" s="1" t="s">
        <v>15767</v>
      </c>
      <c r="G4309" s="1" t="s">
        <v>15768</v>
      </c>
      <c r="H4309" s="1" t="s">
        <v>3604</v>
      </c>
      <c r="I4309" s="1" t="s">
        <v>15769</v>
      </c>
      <c r="J4309" s="1" t="s">
        <v>3606</v>
      </c>
      <c r="K4309" s="1" t="s">
        <v>15770</v>
      </c>
      <c r="L4309" s="1"/>
      <c r="M4309" s="1"/>
    </row>
    <row x14ac:dyDescent="0.25" r="4310" customHeight="1" ht="18.75">
      <c r="A4310" s="1" t="s">
        <v>3598</v>
      </c>
      <c r="B4310" s="1" t="s">
        <v>9007</v>
      </c>
      <c r="C4310" s="1" t="s">
        <v>3600</v>
      </c>
      <c r="D4310" s="1" t="s">
        <v>3695</v>
      </c>
      <c r="E4310" s="1" t="s">
        <v>3893</v>
      </c>
      <c r="F4310" s="1" t="s">
        <v>15771</v>
      </c>
      <c r="G4310" s="1" t="s">
        <v>9009</v>
      </c>
      <c r="H4310" s="1" t="s">
        <v>3604</v>
      </c>
      <c r="I4310" s="1" t="s">
        <v>15772</v>
      </c>
      <c r="J4310" s="1" t="s">
        <v>3606</v>
      </c>
      <c r="K4310" s="1" t="s">
        <v>15773</v>
      </c>
      <c r="L4310" s="1"/>
      <c r="M4310" s="1"/>
    </row>
    <row x14ac:dyDescent="0.25" r="4311" customHeight="1" ht="18.75">
      <c r="A4311" s="1" t="s">
        <v>3598</v>
      </c>
      <c r="B4311" s="1" t="s">
        <v>9007</v>
      </c>
      <c r="C4311" s="1" t="s">
        <v>3600</v>
      </c>
      <c r="D4311" s="1" t="s">
        <v>3695</v>
      </c>
      <c r="E4311" s="1" t="s">
        <v>3893</v>
      </c>
      <c r="F4311" s="1" t="s">
        <v>15774</v>
      </c>
      <c r="G4311" s="1" t="s">
        <v>9009</v>
      </c>
      <c r="H4311" s="1" t="s">
        <v>3604</v>
      </c>
      <c r="I4311" s="1" t="s">
        <v>15775</v>
      </c>
      <c r="J4311" s="1" t="s">
        <v>3606</v>
      </c>
      <c r="K4311" s="1" t="s">
        <v>15776</v>
      </c>
      <c r="L4311" s="1"/>
      <c r="M4311" s="1"/>
    </row>
    <row x14ac:dyDescent="0.25" r="4312" customHeight="1" ht="18.75">
      <c r="A4312" s="1" t="s">
        <v>3598</v>
      </c>
      <c r="B4312" s="1" t="s">
        <v>9007</v>
      </c>
      <c r="C4312" s="1" t="s">
        <v>3600</v>
      </c>
      <c r="D4312" s="1" t="s">
        <v>3695</v>
      </c>
      <c r="E4312" s="1" t="s">
        <v>3893</v>
      </c>
      <c r="F4312" s="1" t="s">
        <v>15777</v>
      </c>
      <c r="G4312" s="1" t="s">
        <v>9009</v>
      </c>
      <c r="H4312" s="1" t="s">
        <v>3604</v>
      </c>
      <c r="I4312" s="1" t="s">
        <v>15778</v>
      </c>
      <c r="J4312" s="1" t="s">
        <v>3606</v>
      </c>
      <c r="K4312" s="1" t="s">
        <v>15779</v>
      </c>
      <c r="L4312" s="1"/>
      <c r="M4312" s="1"/>
    </row>
    <row x14ac:dyDescent="0.25" r="4313" customHeight="1" ht="18.75">
      <c r="A4313" s="1" t="s">
        <v>3598</v>
      </c>
      <c r="B4313" s="1" t="s">
        <v>15780</v>
      </c>
      <c r="C4313" s="1" t="s">
        <v>3600</v>
      </c>
      <c r="D4313" s="1" t="s">
        <v>533</v>
      </c>
      <c r="E4313" s="1" t="s">
        <v>3664</v>
      </c>
      <c r="F4313" s="1" t="s">
        <v>15781</v>
      </c>
      <c r="G4313" s="1" t="s">
        <v>15782</v>
      </c>
      <c r="H4313" s="1" t="s">
        <v>3604</v>
      </c>
      <c r="I4313" s="1" t="s">
        <v>15783</v>
      </c>
      <c r="J4313" s="1" t="s">
        <v>3606</v>
      </c>
      <c r="K4313" s="1" t="s">
        <v>15784</v>
      </c>
      <c r="L4313" s="1"/>
      <c r="M4313" s="1"/>
    </row>
    <row x14ac:dyDescent="0.25" r="4314" customHeight="1" ht="18.75">
      <c r="A4314" s="1" t="s">
        <v>3598</v>
      </c>
      <c r="B4314" s="1" t="s">
        <v>9007</v>
      </c>
      <c r="C4314" s="1" t="s">
        <v>3600</v>
      </c>
      <c r="D4314" s="1" t="s">
        <v>3695</v>
      </c>
      <c r="E4314" s="1" t="s">
        <v>3893</v>
      </c>
      <c r="F4314" s="1" t="s">
        <v>15785</v>
      </c>
      <c r="G4314" s="1" t="s">
        <v>9009</v>
      </c>
      <c r="H4314" s="1" t="s">
        <v>3604</v>
      </c>
      <c r="I4314" s="1" t="s">
        <v>15786</v>
      </c>
      <c r="J4314" s="1" t="s">
        <v>3606</v>
      </c>
      <c r="K4314" s="1" t="s">
        <v>15787</v>
      </c>
      <c r="L4314" s="1"/>
      <c r="M4314" s="1"/>
    </row>
    <row x14ac:dyDescent="0.25" r="4315" customHeight="1" ht="18.75">
      <c r="A4315" s="1" t="s">
        <v>3598</v>
      </c>
      <c r="B4315" s="1" t="s">
        <v>9007</v>
      </c>
      <c r="C4315" s="1" t="s">
        <v>3600</v>
      </c>
      <c r="D4315" s="1" t="s">
        <v>3695</v>
      </c>
      <c r="E4315" s="1" t="s">
        <v>3893</v>
      </c>
      <c r="F4315" s="1" t="s">
        <v>15788</v>
      </c>
      <c r="G4315" s="1" t="s">
        <v>9009</v>
      </c>
      <c r="H4315" s="1" t="s">
        <v>3604</v>
      </c>
      <c r="I4315" s="1" t="s">
        <v>15789</v>
      </c>
      <c r="J4315" s="1" t="s">
        <v>3606</v>
      </c>
      <c r="K4315" s="1" t="s">
        <v>15790</v>
      </c>
      <c r="L4315" s="1"/>
      <c r="M4315" s="1"/>
    </row>
    <row x14ac:dyDescent="0.25" r="4316" customHeight="1" ht="18.75">
      <c r="A4316" s="1" t="s">
        <v>3598</v>
      </c>
      <c r="B4316" s="1" t="s">
        <v>9007</v>
      </c>
      <c r="C4316" s="1" t="s">
        <v>3600</v>
      </c>
      <c r="D4316" s="1" t="s">
        <v>3695</v>
      </c>
      <c r="E4316" s="1" t="s">
        <v>3893</v>
      </c>
      <c r="F4316" s="1" t="s">
        <v>15791</v>
      </c>
      <c r="G4316" s="1" t="s">
        <v>9009</v>
      </c>
      <c r="H4316" s="1" t="s">
        <v>3604</v>
      </c>
      <c r="I4316" s="1" t="s">
        <v>15792</v>
      </c>
      <c r="J4316" s="1" t="s">
        <v>3606</v>
      </c>
      <c r="K4316" s="1" t="s">
        <v>15793</v>
      </c>
      <c r="L4316" s="1"/>
      <c r="M4316" s="1"/>
    </row>
    <row x14ac:dyDescent="0.25" r="4317" customHeight="1" ht="18.75">
      <c r="A4317" s="1" t="s">
        <v>3598</v>
      </c>
      <c r="B4317" s="1" t="s">
        <v>9007</v>
      </c>
      <c r="C4317" s="1" t="s">
        <v>3600</v>
      </c>
      <c r="D4317" s="1" t="s">
        <v>3695</v>
      </c>
      <c r="E4317" s="1" t="s">
        <v>3893</v>
      </c>
      <c r="F4317" s="1" t="s">
        <v>15794</v>
      </c>
      <c r="G4317" s="1" t="s">
        <v>9009</v>
      </c>
      <c r="H4317" s="1" t="s">
        <v>3604</v>
      </c>
      <c r="I4317" s="1" t="s">
        <v>15795</v>
      </c>
      <c r="J4317" s="1" t="s">
        <v>3606</v>
      </c>
      <c r="K4317" s="1" t="s">
        <v>15796</v>
      </c>
      <c r="L4317" s="1"/>
      <c r="M4317" s="1"/>
    </row>
    <row x14ac:dyDescent="0.25" r="4318" customHeight="1" ht="18.75">
      <c r="A4318" s="1" t="s">
        <v>3598</v>
      </c>
      <c r="B4318" s="1" t="s">
        <v>9007</v>
      </c>
      <c r="C4318" s="1" t="s">
        <v>3600</v>
      </c>
      <c r="D4318" s="1" t="s">
        <v>3695</v>
      </c>
      <c r="E4318" s="1" t="s">
        <v>3893</v>
      </c>
      <c r="F4318" s="1" t="s">
        <v>15797</v>
      </c>
      <c r="G4318" s="1" t="s">
        <v>9009</v>
      </c>
      <c r="H4318" s="1" t="s">
        <v>3604</v>
      </c>
      <c r="I4318" s="1" t="s">
        <v>15798</v>
      </c>
      <c r="J4318" s="1" t="s">
        <v>3606</v>
      </c>
      <c r="K4318" s="1" t="s">
        <v>15799</v>
      </c>
      <c r="L4318" s="1"/>
      <c r="M4318" s="1"/>
    </row>
    <row x14ac:dyDescent="0.25" r="4319" customHeight="1" ht="18.75">
      <c r="A4319" s="1" t="s">
        <v>3598</v>
      </c>
      <c r="B4319" s="1" t="s">
        <v>9007</v>
      </c>
      <c r="C4319" s="1" t="s">
        <v>3600</v>
      </c>
      <c r="D4319" s="1" t="s">
        <v>3695</v>
      </c>
      <c r="E4319" s="1" t="s">
        <v>3893</v>
      </c>
      <c r="F4319" s="1" t="s">
        <v>15800</v>
      </c>
      <c r="G4319" s="1" t="s">
        <v>9009</v>
      </c>
      <c r="H4319" s="1" t="s">
        <v>3604</v>
      </c>
      <c r="I4319" s="1" t="s">
        <v>15801</v>
      </c>
      <c r="J4319" s="1" t="s">
        <v>3606</v>
      </c>
      <c r="K4319" s="1" t="s">
        <v>15802</v>
      </c>
      <c r="L4319" s="1"/>
      <c r="M4319" s="1"/>
    </row>
    <row x14ac:dyDescent="0.25" r="4320" customHeight="1" ht="18.75">
      <c r="A4320" s="1" t="s">
        <v>3598</v>
      </c>
      <c r="B4320" s="1" t="s">
        <v>9007</v>
      </c>
      <c r="C4320" s="1" t="s">
        <v>3600</v>
      </c>
      <c r="D4320" s="1" t="s">
        <v>3695</v>
      </c>
      <c r="E4320" s="1" t="s">
        <v>3893</v>
      </c>
      <c r="F4320" s="1" t="s">
        <v>15803</v>
      </c>
      <c r="G4320" s="1" t="s">
        <v>9009</v>
      </c>
      <c r="H4320" s="1" t="s">
        <v>3604</v>
      </c>
      <c r="I4320" s="1" t="s">
        <v>15804</v>
      </c>
      <c r="J4320" s="1" t="s">
        <v>3606</v>
      </c>
      <c r="K4320" s="1" t="s">
        <v>15805</v>
      </c>
      <c r="L4320" s="1"/>
      <c r="M4320" s="1"/>
    </row>
    <row x14ac:dyDescent="0.25" r="4321" customHeight="1" ht="18.75">
      <c r="A4321" s="1" t="s">
        <v>3598</v>
      </c>
      <c r="B4321" s="1" t="s">
        <v>9007</v>
      </c>
      <c r="C4321" s="1" t="s">
        <v>3600</v>
      </c>
      <c r="D4321" s="1" t="s">
        <v>3695</v>
      </c>
      <c r="E4321" s="1" t="s">
        <v>3893</v>
      </c>
      <c r="F4321" s="1" t="s">
        <v>15806</v>
      </c>
      <c r="G4321" s="1" t="s">
        <v>9009</v>
      </c>
      <c r="H4321" s="1" t="s">
        <v>3604</v>
      </c>
      <c r="I4321" s="1" t="s">
        <v>15807</v>
      </c>
      <c r="J4321" s="1" t="s">
        <v>3606</v>
      </c>
      <c r="K4321" s="1" t="s">
        <v>15808</v>
      </c>
      <c r="L4321" s="1"/>
      <c r="M4321" s="1"/>
    </row>
    <row x14ac:dyDescent="0.25" r="4322" customHeight="1" ht="18.75">
      <c r="A4322" s="1" t="s">
        <v>3598</v>
      </c>
      <c r="B4322" s="1" t="s">
        <v>9007</v>
      </c>
      <c r="C4322" s="1" t="s">
        <v>3600</v>
      </c>
      <c r="D4322" s="1" t="s">
        <v>3695</v>
      </c>
      <c r="E4322" s="1" t="s">
        <v>3893</v>
      </c>
      <c r="F4322" s="1" t="s">
        <v>15809</v>
      </c>
      <c r="G4322" s="1" t="s">
        <v>9009</v>
      </c>
      <c r="H4322" s="1" t="s">
        <v>3604</v>
      </c>
      <c r="I4322" s="1" t="s">
        <v>15810</v>
      </c>
      <c r="J4322" s="1" t="s">
        <v>3606</v>
      </c>
      <c r="K4322" s="1" t="s">
        <v>15811</v>
      </c>
      <c r="L4322" s="1"/>
      <c r="M4322" s="1"/>
    </row>
    <row x14ac:dyDescent="0.25" r="4323" customHeight="1" ht="18.75">
      <c r="A4323" s="1" t="s">
        <v>3598</v>
      </c>
      <c r="B4323" s="1" t="s">
        <v>9007</v>
      </c>
      <c r="C4323" s="1" t="s">
        <v>3600</v>
      </c>
      <c r="D4323" s="1" t="s">
        <v>3695</v>
      </c>
      <c r="E4323" s="1" t="s">
        <v>3893</v>
      </c>
      <c r="F4323" s="1" t="s">
        <v>15812</v>
      </c>
      <c r="G4323" s="1" t="s">
        <v>9009</v>
      </c>
      <c r="H4323" s="1" t="s">
        <v>3604</v>
      </c>
      <c r="I4323" s="1" t="s">
        <v>15813</v>
      </c>
      <c r="J4323" s="1" t="s">
        <v>3606</v>
      </c>
      <c r="K4323" s="1" t="s">
        <v>15814</v>
      </c>
      <c r="L4323" s="1"/>
      <c r="M4323" s="1"/>
    </row>
    <row x14ac:dyDescent="0.25" r="4324" customHeight="1" ht="18.75">
      <c r="A4324" s="1" t="s">
        <v>3598</v>
      </c>
      <c r="B4324" s="1" t="s">
        <v>9007</v>
      </c>
      <c r="C4324" s="1" t="s">
        <v>3600</v>
      </c>
      <c r="D4324" s="1" t="s">
        <v>3695</v>
      </c>
      <c r="E4324" s="1" t="s">
        <v>3893</v>
      </c>
      <c r="F4324" s="1" t="s">
        <v>15815</v>
      </c>
      <c r="G4324" s="1" t="s">
        <v>9009</v>
      </c>
      <c r="H4324" s="1" t="s">
        <v>3604</v>
      </c>
      <c r="I4324" s="1" t="s">
        <v>15816</v>
      </c>
      <c r="J4324" s="1" t="s">
        <v>3606</v>
      </c>
      <c r="K4324" s="1" t="s">
        <v>15817</v>
      </c>
      <c r="L4324" s="1"/>
      <c r="M4324" s="1"/>
    </row>
    <row x14ac:dyDescent="0.25" r="4325" customHeight="1" ht="18.75">
      <c r="A4325" s="1" t="s">
        <v>3598</v>
      </c>
      <c r="B4325" s="1" t="s">
        <v>8082</v>
      </c>
      <c r="C4325" s="1" t="s">
        <v>3600</v>
      </c>
      <c r="D4325" s="1" t="s">
        <v>3610</v>
      </c>
      <c r="E4325" s="1" t="s">
        <v>3664</v>
      </c>
      <c r="F4325" s="1" t="s">
        <v>15818</v>
      </c>
      <c r="G4325" s="1" t="s">
        <v>15695</v>
      </c>
      <c r="H4325" s="1" t="s">
        <v>3604</v>
      </c>
      <c r="I4325" s="1" t="s">
        <v>15819</v>
      </c>
      <c r="J4325" s="1" t="s">
        <v>3606</v>
      </c>
      <c r="K4325" s="1" t="s">
        <v>15820</v>
      </c>
      <c r="L4325" s="1"/>
      <c r="M4325" s="1"/>
    </row>
    <row x14ac:dyDescent="0.25" r="4326" customHeight="1" ht="18.75">
      <c r="A4326" s="1" t="s">
        <v>3598</v>
      </c>
      <c r="B4326" s="1" t="s">
        <v>13758</v>
      </c>
      <c r="C4326" s="1" t="s">
        <v>3600</v>
      </c>
      <c r="D4326" s="1" t="s">
        <v>8365</v>
      </c>
      <c r="E4326" s="1" t="s">
        <v>3893</v>
      </c>
      <c r="F4326" s="1" t="s">
        <v>15821</v>
      </c>
      <c r="G4326" s="1" t="s">
        <v>15822</v>
      </c>
      <c r="H4326" s="1" t="s">
        <v>3604</v>
      </c>
      <c r="I4326" s="1" t="s">
        <v>15823</v>
      </c>
      <c r="J4326" s="1" t="s">
        <v>3606</v>
      </c>
      <c r="K4326" s="1" t="s">
        <v>15824</v>
      </c>
      <c r="L4326" s="1"/>
      <c r="M4326" s="1"/>
    </row>
    <row x14ac:dyDescent="0.25" r="4327" customHeight="1" ht="18.75">
      <c r="A4327" s="1" t="s">
        <v>3598</v>
      </c>
      <c r="B4327" s="1" t="s">
        <v>8082</v>
      </c>
      <c r="C4327" s="1" t="s">
        <v>3600</v>
      </c>
      <c r="D4327" s="1" t="s">
        <v>3610</v>
      </c>
      <c r="E4327" s="1" t="s">
        <v>3664</v>
      </c>
      <c r="F4327" s="1" t="s">
        <v>15825</v>
      </c>
      <c r="G4327" s="1" t="s">
        <v>15695</v>
      </c>
      <c r="H4327" s="1" t="s">
        <v>3604</v>
      </c>
      <c r="I4327" s="1" t="s">
        <v>15826</v>
      </c>
      <c r="J4327" s="1" t="s">
        <v>3606</v>
      </c>
      <c r="K4327" s="1" t="s">
        <v>15827</v>
      </c>
      <c r="L4327" s="1"/>
      <c r="M4327" s="1"/>
    </row>
    <row x14ac:dyDescent="0.25" r="4328" customHeight="1" ht="18.75">
      <c r="A4328" s="1" t="s">
        <v>3598</v>
      </c>
      <c r="B4328" s="1" t="s">
        <v>8082</v>
      </c>
      <c r="C4328" s="1" t="s">
        <v>3600</v>
      </c>
      <c r="D4328" s="1" t="s">
        <v>3610</v>
      </c>
      <c r="E4328" s="1" t="s">
        <v>3664</v>
      </c>
      <c r="F4328" s="1" t="s">
        <v>15828</v>
      </c>
      <c r="G4328" s="1" t="s">
        <v>15695</v>
      </c>
      <c r="H4328" s="1" t="s">
        <v>3604</v>
      </c>
      <c r="I4328" s="1" t="s">
        <v>15829</v>
      </c>
      <c r="J4328" s="1" t="s">
        <v>3606</v>
      </c>
      <c r="K4328" s="1" t="s">
        <v>15830</v>
      </c>
      <c r="L4328" s="1"/>
      <c r="M4328" s="1"/>
    </row>
    <row x14ac:dyDescent="0.25" r="4329" customHeight="1" ht="18.75">
      <c r="A4329" s="1" t="s">
        <v>3598</v>
      </c>
      <c r="B4329" s="1" t="s">
        <v>9236</v>
      </c>
      <c r="C4329" s="1" t="s">
        <v>3600</v>
      </c>
      <c r="D4329" s="1" t="s">
        <v>3601</v>
      </c>
      <c r="E4329" s="1" t="s">
        <v>3664</v>
      </c>
      <c r="F4329" s="1" t="s">
        <v>15831</v>
      </c>
      <c r="G4329" s="1" t="s">
        <v>9238</v>
      </c>
      <c r="H4329" s="1" t="s">
        <v>3604</v>
      </c>
      <c r="I4329" s="1" t="s">
        <v>15832</v>
      </c>
      <c r="J4329" s="1" t="s">
        <v>3606</v>
      </c>
      <c r="K4329" s="1" t="s">
        <v>15833</v>
      </c>
      <c r="L4329" s="1"/>
      <c r="M4329" s="1"/>
    </row>
    <row x14ac:dyDescent="0.25" r="4330" customHeight="1" ht="18.75">
      <c r="A4330" s="1" t="s">
        <v>3598</v>
      </c>
      <c r="B4330" s="1" t="s">
        <v>15557</v>
      </c>
      <c r="C4330" s="1" t="s">
        <v>3600</v>
      </c>
      <c r="D4330" s="1" t="s">
        <v>3610</v>
      </c>
      <c r="E4330" s="1" t="s">
        <v>3664</v>
      </c>
      <c r="F4330" s="1" t="s">
        <v>15834</v>
      </c>
      <c r="G4330" s="1" t="s">
        <v>15559</v>
      </c>
      <c r="H4330" s="1" t="s">
        <v>3604</v>
      </c>
      <c r="I4330" s="1" t="s">
        <v>15835</v>
      </c>
      <c r="J4330" s="1" t="s">
        <v>3606</v>
      </c>
      <c r="K4330" s="1" t="s">
        <v>15836</v>
      </c>
      <c r="L4330" s="1"/>
      <c r="M4330" s="1"/>
    </row>
    <row x14ac:dyDescent="0.25" r="4331" customHeight="1" ht="18.75">
      <c r="A4331" s="1" t="s">
        <v>3598</v>
      </c>
      <c r="B4331" s="1" t="s">
        <v>14123</v>
      </c>
      <c r="C4331" s="1" t="s">
        <v>3600</v>
      </c>
      <c r="D4331" s="1" t="s">
        <v>3601</v>
      </c>
      <c r="E4331" s="1" t="s">
        <v>3893</v>
      </c>
      <c r="F4331" s="1" t="s">
        <v>15837</v>
      </c>
      <c r="G4331" s="1" t="s">
        <v>14125</v>
      </c>
      <c r="H4331" s="1" t="s">
        <v>3604</v>
      </c>
      <c r="I4331" s="1" t="s">
        <v>15838</v>
      </c>
      <c r="J4331" s="1" t="s">
        <v>3606</v>
      </c>
      <c r="K4331" s="1" t="s">
        <v>15839</v>
      </c>
      <c r="L4331" s="1"/>
      <c r="M4331" s="1"/>
    </row>
    <row x14ac:dyDescent="0.25" r="4332" customHeight="1" ht="18.75">
      <c r="A4332" s="1" t="s">
        <v>3598</v>
      </c>
      <c r="B4332" s="1" t="s">
        <v>14123</v>
      </c>
      <c r="C4332" s="1" t="s">
        <v>3600</v>
      </c>
      <c r="D4332" s="1" t="s">
        <v>3601</v>
      </c>
      <c r="E4332" s="1" t="s">
        <v>3893</v>
      </c>
      <c r="F4332" s="1" t="s">
        <v>15840</v>
      </c>
      <c r="G4332" s="1" t="s">
        <v>14125</v>
      </c>
      <c r="H4332" s="1" t="s">
        <v>3604</v>
      </c>
      <c r="I4332" s="1" t="s">
        <v>15841</v>
      </c>
      <c r="J4332" s="1" t="s">
        <v>3606</v>
      </c>
      <c r="K4332" s="1" t="s">
        <v>15842</v>
      </c>
      <c r="L4332" s="1"/>
      <c r="M4332" s="1"/>
    </row>
    <row x14ac:dyDescent="0.25" r="4333" customHeight="1" ht="18.75">
      <c r="A4333" s="1" t="s">
        <v>3598</v>
      </c>
      <c r="B4333" s="1" t="s">
        <v>9007</v>
      </c>
      <c r="C4333" s="1" t="s">
        <v>3600</v>
      </c>
      <c r="D4333" s="1" t="s">
        <v>3695</v>
      </c>
      <c r="E4333" s="1" t="s">
        <v>3893</v>
      </c>
      <c r="F4333" s="1" t="s">
        <v>15843</v>
      </c>
      <c r="G4333" s="1" t="s">
        <v>15844</v>
      </c>
      <c r="H4333" s="1" t="s">
        <v>3604</v>
      </c>
      <c r="I4333" s="1" t="s">
        <v>15845</v>
      </c>
      <c r="J4333" s="1" t="s">
        <v>3606</v>
      </c>
      <c r="K4333" s="1" t="s">
        <v>15846</v>
      </c>
      <c r="L4333" s="1"/>
      <c r="M4333" s="1"/>
    </row>
    <row x14ac:dyDescent="0.25" r="4334" customHeight="1" ht="18.75">
      <c r="A4334" s="1" t="s">
        <v>3598</v>
      </c>
      <c r="B4334" s="1" t="s">
        <v>9007</v>
      </c>
      <c r="C4334" s="1" t="s">
        <v>3600</v>
      </c>
      <c r="D4334" s="1" t="s">
        <v>3695</v>
      </c>
      <c r="E4334" s="1" t="s">
        <v>3893</v>
      </c>
      <c r="F4334" s="1" t="s">
        <v>15847</v>
      </c>
      <c r="G4334" s="1" t="s">
        <v>15844</v>
      </c>
      <c r="H4334" s="1" t="s">
        <v>3604</v>
      </c>
      <c r="I4334" s="1" t="s">
        <v>15848</v>
      </c>
      <c r="J4334" s="1" t="s">
        <v>3606</v>
      </c>
      <c r="K4334" s="1" t="s">
        <v>15849</v>
      </c>
      <c r="L4334" s="1"/>
      <c r="M4334" s="1"/>
    </row>
    <row x14ac:dyDescent="0.25" r="4335" customHeight="1" ht="18.75">
      <c r="A4335" s="1" t="s">
        <v>3598</v>
      </c>
      <c r="B4335" s="1" t="s">
        <v>8082</v>
      </c>
      <c r="C4335" s="1" t="s">
        <v>3600</v>
      </c>
      <c r="D4335" s="1" t="s">
        <v>3610</v>
      </c>
      <c r="E4335" s="1" t="s">
        <v>3664</v>
      </c>
      <c r="F4335" s="1" t="s">
        <v>15850</v>
      </c>
      <c r="G4335" s="1" t="s">
        <v>15702</v>
      </c>
      <c r="H4335" s="1" t="s">
        <v>3604</v>
      </c>
      <c r="I4335" s="1" t="s">
        <v>15851</v>
      </c>
      <c r="J4335" s="1" t="s">
        <v>3606</v>
      </c>
      <c r="K4335" s="1" t="s">
        <v>15852</v>
      </c>
      <c r="L4335" s="1"/>
      <c r="M4335" s="1"/>
    </row>
    <row x14ac:dyDescent="0.25" r="4336" customHeight="1" ht="18.75">
      <c r="A4336" s="1" t="s">
        <v>3598</v>
      </c>
      <c r="B4336" s="1" t="s">
        <v>15557</v>
      </c>
      <c r="C4336" s="1" t="s">
        <v>3600</v>
      </c>
      <c r="D4336" s="1" t="s">
        <v>3610</v>
      </c>
      <c r="E4336" s="1" t="s">
        <v>3664</v>
      </c>
      <c r="F4336" s="1" t="s">
        <v>15853</v>
      </c>
      <c r="G4336" s="1" t="s">
        <v>15559</v>
      </c>
      <c r="H4336" s="1" t="s">
        <v>3604</v>
      </c>
      <c r="I4336" s="1" t="s">
        <v>15854</v>
      </c>
      <c r="J4336" s="1" t="s">
        <v>3606</v>
      </c>
      <c r="K4336" s="1" t="s">
        <v>15855</v>
      </c>
      <c r="L4336" s="1"/>
      <c r="M4336" s="1"/>
    </row>
    <row x14ac:dyDescent="0.25" r="4337" customHeight="1" ht="18.75">
      <c r="A4337" s="1" t="s">
        <v>3598</v>
      </c>
      <c r="B4337" s="1" t="s">
        <v>8191</v>
      </c>
      <c r="C4337" s="1" t="s">
        <v>3600</v>
      </c>
      <c r="D4337" s="1" t="s">
        <v>3610</v>
      </c>
      <c r="E4337" s="1" t="s">
        <v>3752</v>
      </c>
      <c r="F4337" s="1" t="s">
        <v>15856</v>
      </c>
      <c r="G4337" s="1" t="s">
        <v>15857</v>
      </c>
      <c r="H4337" s="1" t="s">
        <v>3604</v>
      </c>
      <c r="I4337" s="1" t="s">
        <v>15858</v>
      </c>
      <c r="J4337" s="1" t="s">
        <v>3615</v>
      </c>
      <c r="K4337" s="1" t="s">
        <v>15859</v>
      </c>
      <c r="L4337" s="1"/>
      <c r="M4337" s="1"/>
    </row>
    <row x14ac:dyDescent="0.25" r="4338" customHeight="1" ht="18.75">
      <c r="A4338" s="1" t="s">
        <v>3598</v>
      </c>
      <c r="B4338" s="1" t="s">
        <v>9007</v>
      </c>
      <c r="C4338" s="1" t="s">
        <v>3600</v>
      </c>
      <c r="D4338" s="1" t="s">
        <v>3695</v>
      </c>
      <c r="E4338" s="1" t="s">
        <v>3893</v>
      </c>
      <c r="F4338" s="1" t="s">
        <v>15860</v>
      </c>
      <c r="G4338" s="1" t="s">
        <v>15844</v>
      </c>
      <c r="H4338" s="1" t="s">
        <v>3604</v>
      </c>
      <c r="I4338" s="1" t="s">
        <v>15861</v>
      </c>
      <c r="J4338" s="1" t="s">
        <v>3606</v>
      </c>
      <c r="K4338" s="1" t="s">
        <v>15862</v>
      </c>
      <c r="L4338" s="1"/>
      <c r="M4338" s="1"/>
    </row>
    <row x14ac:dyDescent="0.25" r="4339" customHeight="1" ht="18.75">
      <c r="A4339" s="1" t="s">
        <v>3598</v>
      </c>
      <c r="B4339" s="1" t="s">
        <v>8191</v>
      </c>
      <c r="C4339" s="1" t="s">
        <v>3600</v>
      </c>
      <c r="D4339" s="1" t="s">
        <v>3610</v>
      </c>
      <c r="E4339" s="1" t="s">
        <v>3752</v>
      </c>
      <c r="F4339" s="1" t="s">
        <v>15863</v>
      </c>
      <c r="G4339" s="1" t="s">
        <v>15864</v>
      </c>
      <c r="H4339" s="1" t="s">
        <v>3604</v>
      </c>
      <c r="I4339" s="1" t="s">
        <v>15865</v>
      </c>
      <c r="J4339" s="1" t="s">
        <v>3615</v>
      </c>
      <c r="K4339" s="1" t="s">
        <v>15866</v>
      </c>
      <c r="L4339" s="1"/>
      <c r="M4339" s="1"/>
    </row>
    <row x14ac:dyDescent="0.25" r="4340" customHeight="1" ht="18.75">
      <c r="A4340" s="1" t="s">
        <v>3598</v>
      </c>
      <c r="B4340" s="1" t="s">
        <v>8082</v>
      </c>
      <c r="C4340" s="1" t="s">
        <v>3600</v>
      </c>
      <c r="D4340" s="1" t="s">
        <v>3610</v>
      </c>
      <c r="E4340" s="1" t="s">
        <v>3664</v>
      </c>
      <c r="F4340" s="1" t="s">
        <v>15867</v>
      </c>
      <c r="G4340" s="1" t="s">
        <v>15702</v>
      </c>
      <c r="H4340" s="1" t="s">
        <v>3604</v>
      </c>
      <c r="I4340" s="1" t="s">
        <v>15868</v>
      </c>
      <c r="J4340" s="1" t="s">
        <v>3606</v>
      </c>
      <c r="K4340" s="1" t="s">
        <v>15869</v>
      </c>
      <c r="L4340" s="1"/>
      <c r="M4340" s="1"/>
    </row>
    <row x14ac:dyDescent="0.25" r="4341" customHeight="1" ht="18.75">
      <c r="A4341" s="1" t="s">
        <v>3598</v>
      </c>
      <c r="B4341" s="1" t="s">
        <v>8191</v>
      </c>
      <c r="C4341" s="1" t="s">
        <v>3600</v>
      </c>
      <c r="D4341" s="1" t="s">
        <v>3610</v>
      </c>
      <c r="E4341" s="1" t="s">
        <v>3752</v>
      </c>
      <c r="F4341" s="1" t="s">
        <v>15870</v>
      </c>
      <c r="G4341" s="1" t="s">
        <v>15864</v>
      </c>
      <c r="H4341" s="1" t="s">
        <v>3604</v>
      </c>
      <c r="I4341" s="1" t="s">
        <v>15871</v>
      </c>
      <c r="J4341" s="1" t="s">
        <v>3615</v>
      </c>
      <c r="K4341" s="1" t="s">
        <v>15872</v>
      </c>
      <c r="L4341" s="1"/>
      <c r="M4341" s="1"/>
    </row>
    <row x14ac:dyDescent="0.25" r="4342" customHeight="1" ht="18.75">
      <c r="A4342" s="1" t="s">
        <v>3598</v>
      </c>
      <c r="B4342" s="1" t="s">
        <v>8191</v>
      </c>
      <c r="C4342" s="1" t="s">
        <v>3600</v>
      </c>
      <c r="D4342" s="1" t="s">
        <v>3610</v>
      </c>
      <c r="E4342" s="1" t="s">
        <v>3752</v>
      </c>
      <c r="F4342" s="1" t="s">
        <v>15873</v>
      </c>
      <c r="G4342" s="1" t="s">
        <v>15864</v>
      </c>
      <c r="H4342" s="1" t="s">
        <v>3604</v>
      </c>
      <c r="I4342" s="1" t="s">
        <v>15874</v>
      </c>
      <c r="J4342" s="1" t="s">
        <v>3615</v>
      </c>
      <c r="K4342" s="1" t="s">
        <v>15875</v>
      </c>
      <c r="L4342" s="1"/>
      <c r="M4342" s="1"/>
    </row>
    <row x14ac:dyDescent="0.25" r="4343" customHeight="1" ht="18.75">
      <c r="A4343" s="1" t="s">
        <v>3598</v>
      </c>
      <c r="B4343" s="1" t="s">
        <v>8082</v>
      </c>
      <c r="C4343" s="1" t="s">
        <v>3600</v>
      </c>
      <c r="D4343" s="1" t="s">
        <v>3610</v>
      </c>
      <c r="E4343" s="1" t="s">
        <v>3752</v>
      </c>
      <c r="F4343" s="1" t="s">
        <v>15876</v>
      </c>
      <c r="G4343" s="1" t="s">
        <v>15877</v>
      </c>
      <c r="H4343" s="1" t="s">
        <v>3604</v>
      </c>
      <c r="I4343" s="1" t="s">
        <v>15878</v>
      </c>
      <c r="J4343" s="1" t="s">
        <v>3606</v>
      </c>
      <c r="K4343" s="1" t="s">
        <v>15879</v>
      </c>
      <c r="L4343" s="1"/>
      <c r="M4343" s="1"/>
    </row>
    <row x14ac:dyDescent="0.25" r="4344" customHeight="1" ht="18.75">
      <c r="A4344" s="1" t="s">
        <v>3598</v>
      </c>
      <c r="B4344" s="1" t="s">
        <v>8082</v>
      </c>
      <c r="C4344" s="1" t="s">
        <v>3600</v>
      </c>
      <c r="D4344" s="1" t="s">
        <v>3610</v>
      </c>
      <c r="E4344" s="1" t="s">
        <v>3664</v>
      </c>
      <c r="F4344" s="1" t="s">
        <v>15880</v>
      </c>
      <c r="G4344" s="1" t="s">
        <v>15702</v>
      </c>
      <c r="H4344" s="1" t="s">
        <v>3604</v>
      </c>
      <c r="I4344" s="1" t="s">
        <v>15881</v>
      </c>
      <c r="J4344" s="1" t="s">
        <v>3606</v>
      </c>
      <c r="K4344" s="1" t="s">
        <v>15882</v>
      </c>
      <c r="L4344" s="1"/>
      <c r="M4344" s="1"/>
    </row>
    <row x14ac:dyDescent="0.25" r="4345" customHeight="1" ht="18.75">
      <c r="A4345" s="1" t="s">
        <v>3598</v>
      </c>
      <c r="B4345" s="1" t="s">
        <v>8082</v>
      </c>
      <c r="C4345" s="1" t="s">
        <v>3600</v>
      </c>
      <c r="D4345" s="1" t="s">
        <v>3610</v>
      </c>
      <c r="E4345" s="1" t="s">
        <v>3664</v>
      </c>
      <c r="F4345" s="1" t="s">
        <v>15883</v>
      </c>
      <c r="G4345" s="1" t="s">
        <v>15884</v>
      </c>
      <c r="H4345" s="1" t="s">
        <v>3604</v>
      </c>
      <c r="I4345" s="1" t="s">
        <v>15885</v>
      </c>
      <c r="J4345" s="1" t="s">
        <v>3606</v>
      </c>
      <c r="K4345" s="1" t="s">
        <v>15886</v>
      </c>
      <c r="L4345" s="1"/>
      <c r="M4345" s="1"/>
    </row>
    <row x14ac:dyDescent="0.25" r="4346" customHeight="1" ht="18.75">
      <c r="A4346" s="1" t="s">
        <v>3598</v>
      </c>
      <c r="B4346" s="1" t="s">
        <v>14123</v>
      </c>
      <c r="C4346" s="1" t="s">
        <v>3600</v>
      </c>
      <c r="D4346" s="1" t="s">
        <v>3601</v>
      </c>
      <c r="E4346" s="1" t="s">
        <v>3893</v>
      </c>
      <c r="F4346" s="1" t="s">
        <v>15887</v>
      </c>
      <c r="G4346" s="1" t="s">
        <v>14125</v>
      </c>
      <c r="H4346" s="1" t="s">
        <v>3604</v>
      </c>
      <c r="I4346" s="1" t="s">
        <v>15888</v>
      </c>
      <c r="J4346" s="1" t="s">
        <v>3606</v>
      </c>
      <c r="K4346" s="1" t="s">
        <v>15889</v>
      </c>
      <c r="L4346" s="1"/>
      <c r="M4346" s="1"/>
    </row>
    <row x14ac:dyDescent="0.25" r="4347" customHeight="1" ht="18.75">
      <c r="A4347" s="1" t="s">
        <v>3598</v>
      </c>
      <c r="B4347" s="1" t="s">
        <v>15557</v>
      </c>
      <c r="C4347" s="1" t="s">
        <v>3600</v>
      </c>
      <c r="D4347" s="1" t="s">
        <v>3610</v>
      </c>
      <c r="E4347" s="1" t="s">
        <v>3664</v>
      </c>
      <c r="F4347" s="1" t="s">
        <v>15890</v>
      </c>
      <c r="G4347" s="1" t="s">
        <v>15632</v>
      </c>
      <c r="H4347" s="1" t="s">
        <v>3604</v>
      </c>
      <c r="I4347" s="1" t="s">
        <v>15891</v>
      </c>
      <c r="J4347" s="1" t="s">
        <v>3606</v>
      </c>
      <c r="K4347" s="1" t="s">
        <v>15892</v>
      </c>
      <c r="L4347" s="1"/>
      <c r="M4347" s="1"/>
    </row>
    <row x14ac:dyDescent="0.25" r="4348" customHeight="1" ht="18.75">
      <c r="A4348" s="1" t="s">
        <v>3598</v>
      </c>
      <c r="B4348" s="1" t="s">
        <v>5260</v>
      </c>
      <c r="C4348" s="1" t="s">
        <v>3600</v>
      </c>
      <c r="D4348" s="1" t="s">
        <v>3601</v>
      </c>
      <c r="E4348" s="1" t="s">
        <v>3893</v>
      </c>
      <c r="F4348" s="1" t="s">
        <v>15893</v>
      </c>
      <c r="G4348" s="1" t="s">
        <v>8818</v>
      </c>
      <c r="H4348" s="1" t="s">
        <v>3604</v>
      </c>
      <c r="I4348" s="1" t="s">
        <v>15894</v>
      </c>
      <c r="J4348" s="1" t="s">
        <v>3606</v>
      </c>
      <c r="K4348" s="1" t="s">
        <v>15895</v>
      </c>
      <c r="L4348" s="1"/>
      <c r="M4348" s="1"/>
    </row>
    <row x14ac:dyDescent="0.25" r="4349" customHeight="1" ht="18.75">
      <c r="A4349" s="1" t="s">
        <v>3598</v>
      </c>
      <c r="B4349" s="1" t="s">
        <v>5260</v>
      </c>
      <c r="C4349" s="1" t="s">
        <v>3600</v>
      </c>
      <c r="D4349" s="1" t="s">
        <v>3601</v>
      </c>
      <c r="E4349" s="1" t="s">
        <v>3893</v>
      </c>
      <c r="F4349" s="1" t="s">
        <v>15896</v>
      </c>
      <c r="G4349" s="1" t="s">
        <v>8818</v>
      </c>
      <c r="H4349" s="1" t="s">
        <v>3604</v>
      </c>
      <c r="I4349" s="1" t="s">
        <v>15897</v>
      </c>
      <c r="J4349" s="1" t="s">
        <v>3606</v>
      </c>
      <c r="K4349" s="1" t="s">
        <v>15898</v>
      </c>
      <c r="L4349" s="1"/>
      <c r="M4349" s="1"/>
    </row>
    <row x14ac:dyDescent="0.25" r="4350" customHeight="1" ht="18.75">
      <c r="A4350" s="1" t="s">
        <v>3598</v>
      </c>
      <c r="B4350" s="1" t="s">
        <v>5239</v>
      </c>
      <c r="C4350" s="1" t="s">
        <v>3600</v>
      </c>
      <c r="D4350" s="1" t="s">
        <v>3601</v>
      </c>
      <c r="E4350" s="1" t="s">
        <v>3664</v>
      </c>
      <c r="F4350" s="1" t="s">
        <v>15899</v>
      </c>
      <c r="G4350" s="1" t="s">
        <v>9288</v>
      </c>
      <c r="H4350" s="1" t="s">
        <v>3604</v>
      </c>
      <c r="I4350" s="1" t="s">
        <v>15900</v>
      </c>
      <c r="J4350" s="1" t="s">
        <v>3606</v>
      </c>
      <c r="K4350" s="1" t="s">
        <v>15901</v>
      </c>
      <c r="L4350" s="1"/>
      <c r="M4350" s="1"/>
    </row>
    <row x14ac:dyDescent="0.25" r="4351" customHeight="1" ht="18.75">
      <c r="A4351" s="1" t="s">
        <v>3598</v>
      </c>
      <c r="B4351" s="1" t="s">
        <v>15557</v>
      </c>
      <c r="C4351" s="1" t="s">
        <v>3600</v>
      </c>
      <c r="D4351" s="1" t="s">
        <v>3610</v>
      </c>
      <c r="E4351" s="1" t="s">
        <v>3664</v>
      </c>
      <c r="F4351" s="1" t="s">
        <v>15902</v>
      </c>
      <c r="G4351" s="1" t="s">
        <v>15632</v>
      </c>
      <c r="H4351" s="1" t="s">
        <v>3604</v>
      </c>
      <c r="I4351" s="1" t="s">
        <v>15903</v>
      </c>
      <c r="J4351" s="1" t="s">
        <v>3606</v>
      </c>
      <c r="K4351" s="1" t="s">
        <v>15904</v>
      </c>
      <c r="L4351" s="1"/>
      <c r="M4351" s="1"/>
    </row>
    <row x14ac:dyDescent="0.25" r="4352" customHeight="1" ht="18.75">
      <c r="A4352" s="1" t="s">
        <v>3598</v>
      </c>
      <c r="B4352" s="1" t="s">
        <v>8082</v>
      </c>
      <c r="C4352" s="1" t="s">
        <v>3600</v>
      </c>
      <c r="D4352" s="1" t="s">
        <v>3610</v>
      </c>
      <c r="E4352" s="1" t="s">
        <v>3752</v>
      </c>
      <c r="F4352" s="1" t="s">
        <v>15905</v>
      </c>
      <c r="G4352" s="1" t="s">
        <v>15691</v>
      </c>
      <c r="H4352" s="1" t="s">
        <v>3604</v>
      </c>
      <c r="I4352" s="1" t="s">
        <v>15906</v>
      </c>
      <c r="J4352" s="1" t="s">
        <v>3606</v>
      </c>
      <c r="K4352" s="1" t="s">
        <v>15907</v>
      </c>
      <c r="L4352" s="1"/>
      <c r="M4352" s="1"/>
    </row>
    <row x14ac:dyDescent="0.25" r="4353" customHeight="1" ht="18.75">
      <c r="A4353" s="1" t="s">
        <v>3598</v>
      </c>
      <c r="B4353" s="1" t="s">
        <v>8082</v>
      </c>
      <c r="C4353" s="1" t="s">
        <v>3600</v>
      </c>
      <c r="D4353" s="1" t="s">
        <v>3610</v>
      </c>
      <c r="E4353" s="1" t="s">
        <v>3752</v>
      </c>
      <c r="F4353" s="1" t="s">
        <v>15908</v>
      </c>
      <c r="G4353" s="1" t="s">
        <v>15691</v>
      </c>
      <c r="H4353" s="1" t="s">
        <v>3604</v>
      </c>
      <c r="I4353" s="1" t="s">
        <v>15909</v>
      </c>
      <c r="J4353" s="1" t="s">
        <v>3606</v>
      </c>
      <c r="K4353" s="1" t="s">
        <v>15910</v>
      </c>
      <c r="L4353" s="1"/>
      <c r="M4353" s="1"/>
    </row>
    <row x14ac:dyDescent="0.25" r="4354" customHeight="1" ht="18.75">
      <c r="A4354" s="1" t="s">
        <v>3598</v>
      </c>
      <c r="B4354" s="1" t="s">
        <v>9311</v>
      </c>
      <c r="C4354" s="1" t="s">
        <v>3600</v>
      </c>
      <c r="D4354" s="1" t="s">
        <v>3610</v>
      </c>
      <c r="E4354" s="1" t="s">
        <v>3752</v>
      </c>
      <c r="F4354" s="1" t="s">
        <v>15911</v>
      </c>
      <c r="G4354" s="1" t="s">
        <v>15912</v>
      </c>
      <c r="H4354" s="1" t="s">
        <v>3604</v>
      </c>
      <c r="I4354" s="1" t="s">
        <v>15913</v>
      </c>
      <c r="J4354" s="1" t="s">
        <v>3606</v>
      </c>
      <c r="K4354" s="1" t="s">
        <v>15914</v>
      </c>
      <c r="L4354" s="1"/>
      <c r="M4354" s="1"/>
    </row>
    <row x14ac:dyDescent="0.25" r="4355" customHeight="1" ht="18.75">
      <c r="A4355" s="1" t="s">
        <v>3598</v>
      </c>
      <c r="B4355" s="1" t="s">
        <v>8082</v>
      </c>
      <c r="C4355" s="1" t="s">
        <v>3600</v>
      </c>
      <c r="D4355" s="1" t="s">
        <v>3610</v>
      </c>
      <c r="E4355" s="1" t="s">
        <v>3752</v>
      </c>
      <c r="F4355" s="1" t="s">
        <v>15915</v>
      </c>
      <c r="G4355" s="1" t="s">
        <v>15695</v>
      </c>
      <c r="H4355" s="1" t="s">
        <v>3604</v>
      </c>
      <c r="I4355" s="1" t="s">
        <v>15916</v>
      </c>
      <c r="J4355" s="1" t="s">
        <v>3606</v>
      </c>
      <c r="K4355" s="1" t="s">
        <v>15917</v>
      </c>
      <c r="L4355" s="1"/>
      <c r="M4355" s="1"/>
    </row>
    <row x14ac:dyDescent="0.25" r="4356" customHeight="1" ht="18.75">
      <c r="A4356" s="1" t="s">
        <v>3598</v>
      </c>
      <c r="B4356" s="1" t="s">
        <v>8082</v>
      </c>
      <c r="C4356" s="1" t="s">
        <v>3600</v>
      </c>
      <c r="D4356" s="1" t="s">
        <v>3610</v>
      </c>
      <c r="E4356" s="1" t="s">
        <v>3752</v>
      </c>
      <c r="F4356" s="1" t="s">
        <v>15918</v>
      </c>
      <c r="G4356" s="1" t="s">
        <v>15695</v>
      </c>
      <c r="H4356" s="1" t="s">
        <v>3604</v>
      </c>
      <c r="I4356" s="1" t="s">
        <v>15919</v>
      </c>
      <c r="J4356" s="1" t="s">
        <v>3606</v>
      </c>
      <c r="K4356" s="1" t="s">
        <v>15920</v>
      </c>
      <c r="L4356" s="1"/>
      <c r="M4356" s="1"/>
    </row>
    <row x14ac:dyDescent="0.25" r="4357" customHeight="1" ht="18.75">
      <c r="A4357" s="1" t="s">
        <v>3598</v>
      </c>
      <c r="B4357" s="1" t="s">
        <v>8082</v>
      </c>
      <c r="C4357" s="1" t="s">
        <v>3600</v>
      </c>
      <c r="D4357" s="1" t="s">
        <v>3610</v>
      </c>
      <c r="E4357" s="1" t="s">
        <v>3752</v>
      </c>
      <c r="F4357" s="1" t="s">
        <v>15921</v>
      </c>
      <c r="G4357" s="1" t="s">
        <v>15702</v>
      </c>
      <c r="H4357" s="1" t="s">
        <v>3604</v>
      </c>
      <c r="I4357" s="1" t="s">
        <v>15922</v>
      </c>
      <c r="J4357" s="1" t="s">
        <v>3606</v>
      </c>
      <c r="K4357" s="1" t="s">
        <v>15923</v>
      </c>
      <c r="L4357" s="1"/>
      <c r="M4357" s="1"/>
    </row>
    <row x14ac:dyDescent="0.25" r="4358" customHeight="1" ht="18.75">
      <c r="A4358" s="1" t="s">
        <v>3598</v>
      </c>
      <c r="B4358" s="1" t="s">
        <v>8082</v>
      </c>
      <c r="C4358" s="1" t="s">
        <v>3600</v>
      </c>
      <c r="D4358" s="1" t="s">
        <v>3610</v>
      </c>
      <c r="E4358" s="1" t="s">
        <v>3752</v>
      </c>
      <c r="F4358" s="1" t="s">
        <v>15924</v>
      </c>
      <c r="G4358" s="1" t="s">
        <v>15702</v>
      </c>
      <c r="H4358" s="1" t="s">
        <v>3604</v>
      </c>
      <c r="I4358" s="1" t="s">
        <v>15925</v>
      </c>
      <c r="J4358" s="1" t="s">
        <v>3606</v>
      </c>
      <c r="K4358" s="1" t="s">
        <v>15926</v>
      </c>
      <c r="L4358" s="1"/>
      <c r="M4358" s="1"/>
    </row>
    <row x14ac:dyDescent="0.25" r="4359" customHeight="1" ht="18.75">
      <c r="A4359" s="1" t="s">
        <v>3598</v>
      </c>
      <c r="B4359" s="1" t="s">
        <v>8082</v>
      </c>
      <c r="C4359" s="1" t="s">
        <v>3600</v>
      </c>
      <c r="D4359" s="1" t="s">
        <v>3610</v>
      </c>
      <c r="E4359" s="1" t="s">
        <v>3752</v>
      </c>
      <c r="F4359" s="1" t="s">
        <v>15927</v>
      </c>
      <c r="G4359" s="1" t="s">
        <v>15702</v>
      </c>
      <c r="H4359" s="1" t="s">
        <v>3604</v>
      </c>
      <c r="I4359" s="1" t="s">
        <v>15928</v>
      </c>
      <c r="J4359" s="1" t="s">
        <v>3606</v>
      </c>
      <c r="K4359" s="1" t="s">
        <v>15929</v>
      </c>
      <c r="L4359" s="1"/>
      <c r="M4359" s="1"/>
    </row>
    <row x14ac:dyDescent="0.25" r="4360" customHeight="1" ht="18.75">
      <c r="A4360" s="1" t="s">
        <v>3598</v>
      </c>
      <c r="B4360" s="1" t="s">
        <v>15557</v>
      </c>
      <c r="C4360" s="1" t="s">
        <v>3600</v>
      </c>
      <c r="D4360" s="1" t="s">
        <v>3610</v>
      </c>
      <c r="E4360" s="1" t="s">
        <v>3752</v>
      </c>
      <c r="F4360" s="1" t="s">
        <v>15930</v>
      </c>
      <c r="G4360" s="1" t="s">
        <v>15632</v>
      </c>
      <c r="H4360" s="1" t="s">
        <v>3604</v>
      </c>
      <c r="I4360" s="1" t="s">
        <v>15931</v>
      </c>
      <c r="J4360" s="1" t="s">
        <v>3606</v>
      </c>
      <c r="K4360" s="1" t="s">
        <v>15932</v>
      </c>
      <c r="L4360" s="1"/>
      <c r="M4360" s="1"/>
    </row>
    <row x14ac:dyDescent="0.25" r="4361" customHeight="1" ht="18.75">
      <c r="A4361" s="1" t="s">
        <v>3598</v>
      </c>
      <c r="B4361" s="1" t="s">
        <v>15557</v>
      </c>
      <c r="C4361" s="1" t="s">
        <v>3600</v>
      </c>
      <c r="D4361" s="1" t="s">
        <v>3610</v>
      </c>
      <c r="E4361" s="1" t="s">
        <v>3752</v>
      </c>
      <c r="F4361" s="1" t="s">
        <v>15933</v>
      </c>
      <c r="G4361" s="1" t="s">
        <v>15632</v>
      </c>
      <c r="H4361" s="1" t="s">
        <v>3604</v>
      </c>
      <c r="I4361" s="1" t="s">
        <v>15934</v>
      </c>
      <c r="J4361" s="1" t="s">
        <v>3606</v>
      </c>
      <c r="K4361" s="1" t="s">
        <v>15935</v>
      </c>
      <c r="L4361" s="1"/>
      <c r="M4361" s="1"/>
    </row>
    <row x14ac:dyDescent="0.25" r="4362" customHeight="1" ht="18.75">
      <c r="A4362" s="1" t="s">
        <v>3598</v>
      </c>
      <c r="B4362" s="1" t="s">
        <v>14123</v>
      </c>
      <c r="C4362" s="1" t="s">
        <v>3600</v>
      </c>
      <c r="D4362" s="1" t="s">
        <v>8373</v>
      </c>
      <c r="E4362" s="1" t="s">
        <v>3893</v>
      </c>
      <c r="F4362" s="1" t="s">
        <v>15936</v>
      </c>
      <c r="G4362" s="1" t="s">
        <v>15937</v>
      </c>
      <c r="H4362" s="1" t="s">
        <v>3604</v>
      </c>
      <c r="I4362" s="1" t="s">
        <v>15938</v>
      </c>
      <c r="J4362" s="1" t="s">
        <v>3606</v>
      </c>
      <c r="K4362" s="1"/>
      <c r="L4362" s="1"/>
      <c r="M4362" s="1"/>
    </row>
    <row x14ac:dyDescent="0.25" r="4363" customHeight="1" ht="18.75">
      <c r="A4363" s="1" t="s">
        <v>3598</v>
      </c>
      <c r="B4363" s="1" t="s">
        <v>14123</v>
      </c>
      <c r="C4363" s="1" t="s">
        <v>3600</v>
      </c>
      <c r="D4363" s="1" t="s">
        <v>8373</v>
      </c>
      <c r="E4363" s="1" t="s">
        <v>3893</v>
      </c>
      <c r="F4363" s="1" t="s">
        <v>15939</v>
      </c>
      <c r="G4363" s="1" t="s">
        <v>15937</v>
      </c>
      <c r="H4363" s="1" t="s">
        <v>3604</v>
      </c>
      <c r="I4363" s="1" t="s">
        <v>15940</v>
      </c>
      <c r="J4363" s="1" t="s">
        <v>3606</v>
      </c>
      <c r="K4363" s="1"/>
      <c r="L4363" s="1"/>
      <c r="M4363" s="1"/>
    </row>
    <row x14ac:dyDescent="0.25" r="4364" customHeight="1" ht="18.75">
      <c r="A4364" s="1" t="s">
        <v>3598</v>
      </c>
      <c r="B4364" s="1" t="s">
        <v>6728</v>
      </c>
      <c r="C4364" s="1" t="s">
        <v>3600</v>
      </c>
      <c r="D4364" s="1" t="s">
        <v>3695</v>
      </c>
      <c r="E4364" s="1" t="s">
        <v>3893</v>
      </c>
      <c r="F4364" s="1" t="s">
        <v>15941</v>
      </c>
      <c r="G4364" s="1" t="s">
        <v>15942</v>
      </c>
      <c r="H4364" s="1" t="s">
        <v>3604</v>
      </c>
      <c r="I4364" s="1" t="s">
        <v>15943</v>
      </c>
      <c r="J4364" s="1" t="s">
        <v>3606</v>
      </c>
      <c r="K4364" s="1" t="s">
        <v>15944</v>
      </c>
      <c r="L4364" s="1"/>
      <c r="M4364" s="1"/>
    </row>
    <row x14ac:dyDescent="0.25" r="4365" customHeight="1" ht="18.75">
      <c r="A4365" s="1" t="s">
        <v>3598</v>
      </c>
      <c r="B4365" s="1" t="s">
        <v>6728</v>
      </c>
      <c r="C4365" s="1" t="s">
        <v>3600</v>
      </c>
      <c r="D4365" s="1" t="s">
        <v>3695</v>
      </c>
      <c r="E4365" s="1" t="s">
        <v>3893</v>
      </c>
      <c r="F4365" s="1" t="s">
        <v>15945</v>
      </c>
      <c r="G4365" s="1" t="s">
        <v>15942</v>
      </c>
      <c r="H4365" s="1" t="s">
        <v>3604</v>
      </c>
      <c r="I4365" s="1" t="s">
        <v>15946</v>
      </c>
      <c r="J4365" s="1" t="s">
        <v>3606</v>
      </c>
      <c r="K4365" s="1" t="s">
        <v>15947</v>
      </c>
      <c r="L4365" s="1"/>
      <c r="M4365" s="1"/>
    </row>
    <row x14ac:dyDescent="0.25" r="4366" customHeight="1" ht="18.75">
      <c r="A4366" s="1" t="s">
        <v>3598</v>
      </c>
      <c r="B4366" s="1" t="s">
        <v>6728</v>
      </c>
      <c r="C4366" s="1" t="s">
        <v>3600</v>
      </c>
      <c r="D4366" s="1" t="s">
        <v>3695</v>
      </c>
      <c r="E4366" s="1" t="s">
        <v>3893</v>
      </c>
      <c r="F4366" s="1" t="s">
        <v>15948</v>
      </c>
      <c r="G4366" s="1" t="s">
        <v>15942</v>
      </c>
      <c r="H4366" s="1" t="s">
        <v>3604</v>
      </c>
      <c r="I4366" s="1" t="s">
        <v>15949</v>
      </c>
      <c r="J4366" s="1" t="s">
        <v>3606</v>
      </c>
      <c r="K4366" s="1" t="s">
        <v>15950</v>
      </c>
      <c r="L4366" s="1"/>
      <c r="M4366" s="1"/>
    </row>
    <row x14ac:dyDescent="0.25" r="4367" customHeight="1" ht="18.75">
      <c r="A4367" s="1" t="s">
        <v>3598</v>
      </c>
      <c r="B4367" s="1" t="s">
        <v>5260</v>
      </c>
      <c r="C4367" s="1" t="s">
        <v>3600</v>
      </c>
      <c r="D4367" s="1" t="s">
        <v>3695</v>
      </c>
      <c r="E4367" s="1" t="s">
        <v>3893</v>
      </c>
      <c r="F4367" s="1" t="s">
        <v>15951</v>
      </c>
      <c r="G4367" s="1" t="s">
        <v>8648</v>
      </c>
      <c r="H4367" s="1" t="s">
        <v>3604</v>
      </c>
      <c r="I4367" s="1" t="s">
        <v>15952</v>
      </c>
      <c r="J4367" s="1" t="s">
        <v>3606</v>
      </c>
      <c r="K4367" s="1" t="s">
        <v>15953</v>
      </c>
      <c r="L4367" s="1"/>
      <c r="M4367" s="1"/>
    </row>
    <row x14ac:dyDescent="0.25" r="4368" customHeight="1" ht="18.75">
      <c r="A4368" s="1" t="s">
        <v>3598</v>
      </c>
      <c r="B4368" s="1" t="s">
        <v>5260</v>
      </c>
      <c r="C4368" s="1" t="s">
        <v>3600</v>
      </c>
      <c r="D4368" s="1" t="s">
        <v>3695</v>
      </c>
      <c r="E4368" s="1" t="s">
        <v>3893</v>
      </c>
      <c r="F4368" s="1" t="s">
        <v>15954</v>
      </c>
      <c r="G4368" s="1" t="s">
        <v>8643</v>
      </c>
      <c r="H4368" s="1" t="s">
        <v>3604</v>
      </c>
      <c r="I4368" s="1" t="s">
        <v>15955</v>
      </c>
      <c r="J4368" s="1" t="s">
        <v>3606</v>
      </c>
      <c r="K4368" s="1" t="s">
        <v>15956</v>
      </c>
      <c r="L4368" s="1"/>
      <c r="M4368" s="1"/>
    </row>
    <row x14ac:dyDescent="0.25" r="4369" customHeight="1" ht="18.75">
      <c r="A4369" s="1" t="s">
        <v>3598</v>
      </c>
      <c r="B4369" s="1" t="s">
        <v>5260</v>
      </c>
      <c r="C4369" s="1" t="s">
        <v>3600</v>
      </c>
      <c r="D4369" s="1" t="s">
        <v>3695</v>
      </c>
      <c r="E4369" s="1" t="s">
        <v>3893</v>
      </c>
      <c r="F4369" s="1" t="s">
        <v>15957</v>
      </c>
      <c r="G4369" s="1" t="s">
        <v>8643</v>
      </c>
      <c r="H4369" s="1" t="s">
        <v>3604</v>
      </c>
      <c r="I4369" s="1" t="s">
        <v>15958</v>
      </c>
      <c r="J4369" s="1" t="s">
        <v>3606</v>
      </c>
      <c r="K4369" s="1" t="s">
        <v>15959</v>
      </c>
      <c r="L4369" s="1"/>
      <c r="M4369" s="1"/>
    </row>
    <row x14ac:dyDescent="0.25" r="4370" customHeight="1" ht="18.75">
      <c r="A4370" s="1" t="s">
        <v>3598</v>
      </c>
      <c r="B4370" s="1" t="s">
        <v>15557</v>
      </c>
      <c r="C4370" s="1" t="s">
        <v>3600</v>
      </c>
      <c r="D4370" s="1" t="s">
        <v>3610</v>
      </c>
      <c r="E4370" s="1" t="s">
        <v>3664</v>
      </c>
      <c r="F4370" s="1" t="s">
        <v>15960</v>
      </c>
      <c r="G4370" s="1" t="s">
        <v>15559</v>
      </c>
      <c r="H4370" s="1" t="s">
        <v>3604</v>
      </c>
      <c r="I4370" s="1" t="s">
        <v>15961</v>
      </c>
      <c r="J4370" s="1" t="s">
        <v>3606</v>
      </c>
      <c r="K4370" s="1" t="s">
        <v>15962</v>
      </c>
      <c r="L4370" s="1"/>
      <c r="M4370" s="1"/>
    </row>
    <row x14ac:dyDescent="0.25" r="4371" customHeight="1" ht="18.75">
      <c r="A4371" s="1" t="s">
        <v>3598</v>
      </c>
      <c r="B4371" s="1" t="s">
        <v>15557</v>
      </c>
      <c r="C4371" s="1" t="s">
        <v>3600</v>
      </c>
      <c r="D4371" s="1" t="s">
        <v>3610</v>
      </c>
      <c r="E4371" s="1" t="s">
        <v>3664</v>
      </c>
      <c r="F4371" s="1" t="s">
        <v>15963</v>
      </c>
      <c r="G4371" s="1" t="s">
        <v>15632</v>
      </c>
      <c r="H4371" s="1" t="s">
        <v>3604</v>
      </c>
      <c r="I4371" s="1" t="s">
        <v>15964</v>
      </c>
      <c r="J4371" s="1" t="s">
        <v>3606</v>
      </c>
      <c r="K4371" s="1" t="s">
        <v>15965</v>
      </c>
      <c r="L4371" s="1"/>
      <c r="M4371" s="1"/>
    </row>
    <row x14ac:dyDescent="0.25" r="4372" customHeight="1" ht="18.75">
      <c r="A4372" s="1" t="s">
        <v>3598</v>
      </c>
      <c r="B4372" s="1" t="s">
        <v>15557</v>
      </c>
      <c r="C4372" s="1" t="s">
        <v>3600</v>
      </c>
      <c r="D4372" s="1" t="s">
        <v>3610</v>
      </c>
      <c r="E4372" s="1" t="s">
        <v>3664</v>
      </c>
      <c r="F4372" s="1" t="s">
        <v>15966</v>
      </c>
      <c r="G4372" s="1" t="s">
        <v>15653</v>
      </c>
      <c r="H4372" s="1" t="s">
        <v>3604</v>
      </c>
      <c r="I4372" s="1" t="s">
        <v>15967</v>
      </c>
      <c r="J4372" s="1" t="s">
        <v>3606</v>
      </c>
      <c r="K4372" s="1" t="s">
        <v>15968</v>
      </c>
      <c r="L4372" s="1"/>
      <c r="M4372" s="1"/>
    </row>
    <row x14ac:dyDescent="0.25" r="4373" customHeight="1" ht="18.75">
      <c r="A4373" s="1" t="s">
        <v>3598</v>
      </c>
      <c r="B4373" s="1" t="s">
        <v>15557</v>
      </c>
      <c r="C4373" s="1" t="s">
        <v>3600</v>
      </c>
      <c r="D4373" s="1" t="s">
        <v>3610</v>
      </c>
      <c r="E4373" s="1" t="s">
        <v>3664</v>
      </c>
      <c r="F4373" s="1" t="s">
        <v>15969</v>
      </c>
      <c r="G4373" s="1" t="s">
        <v>15653</v>
      </c>
      <c r="H4373" s="1" t="s">
        <v>3604</v>
      </c>
      <c r="I4373" s="1" t="s">
        <v>15970</v>
      </c>
      <c r="J4373" s="1" t="s">
        <v>3606</v>
      </c>
      <c r="K4373" s="1" t="s">
        <v>15971</v>
      </c>
      <c r="L4373" s="1"/>
      <c r="M4373" s="1"/>
    </row>
    <row x14ac:dyDescent="0.25" r="4374" customHeight="1" ht="18.75">
      <c r="A4374" s="1" t="s">
        <v>3598</v>
      </c>
      <c r="B4374" s="1" t="s">
        <v>14123</v>
      </c>
      <c r="C4374" s="1" t="s">
        <v>3600</v>
      </c>
      <c r="D4374" s="1" t="s">
        <v>3695</v>
      </c>
      <c r="E4374" s="1" t="s">
        <v>3893</v>
      </c>
      <c r="F4374" s="1" t="s">
        <v>15972</v>
      </c>
      <c r="G4374" s="1" t="s">
        <v>6440</v>
      </c>
      <c r="H4374" s="1" t="s">
        <v>3604</v>
      </c>
      <c r="I4374" s="1" t="s">
        <v>15973</v>
      </c>
      <c r="J4374" s="1" t="s">
        <v>3606</v>
      </c>
      <c r="K4374" s="1" t="s">
        <v>15974</v>
      </c>
      <c r="L4374" s="1"/>
      <c r="M4374" s="1"/>
    </row>
    <row x14ac:dyDescent="0.25" r="4375" customHeight="1" ht="18.75">
      <c r="A4375" s="1" t="s">
        <v>3598</v>
      </c>
      <c r="B4375" s="1" t="s">
        <v>14123</v>
      </c>
      <c r="C4375" s="1" t="s">
        <v>3600</v>
      </c>
      <c r="D4375" s="1" t="s">
        <v>3695</v>
      </c>
      <c r="E4375" s="1" t="s">
        <v>3893</v>
      </c>
      <c r="F4375" s="1" t="s">
        <v>15975</v>
      </c>
      <c r="G4375" s="1" t="s">
        <v>6440</v>
      </c>
      <c r="H4375" s="1" t="s">
        <v>3604</v>
      </c>
      <c r="I4375" s="1" t="s">
        <v>15976</v>
      </c>
      <c r="J4375" s="1" t="s">
        <v>3606</v>
      </c>
      <c r="K4375" s="1" t="s">
        <v>15977</v>
      </c>
      <c r="L4375" s="1"/>
      <c r="M4375" s="1"/>
    </row>
    <row x14ac:dyDescent="0.25" r="4376" customHeight="1" ht="18.75">
      <c r="A4376" s="1" t="s">
        <v>3598</v>
      </c>
      <c r="B4376" s="1" t="s">
        <v>14123</v>
      </c>
      <c r="C4376" s="1" t="s">
        <v>3600</v>
      </c>
      <c r="D4376" s="1" t="s">
        <v>3695</v>
      </c>
      <c r="E4376" s="1" t="s">
        <v>3893</v>
      </c>
      <c r="F4376" s="1" t="s">
        <v>15978</v>
      </c>
      <c r="G4376" s="1" t="s">
        <v>6440</v>
      </c>
      <c r="H4376" s="1" t="s">
        <v>3604</v>
      </c>
      <c r="I4376" s="1" t="s">
        <v>15979</v>
      </c>
      <c r="J4376" s="1" t="s">
        <v>3606</v>
      </c>
      <c r="K4376" s="1" t="s">
        <v>15980</v>
      </c>
      <c r="L4376" s="1"/>
      <c r="M4376" s="1"/>
    </row>
    <row x14ac:dyDescent="0.25" r="4377" customHeight="1" ht="18.75">
      <c r="A4377" s="1" t="s">
        <v>3598</v>
      </c>
      <c r="B4377" s="1" t="s">
        <v>14123</v>
      </c>
      <c r="C4377" s="1" t="s">
        <v>3600</v>
      </c>
      <c r="D4377" s="1" t="s">
        <v>3695</v>
      </c>
      <c r="E4377" s="1" t="s">
        <v>3893</v>
      </c>
      <c r="F4377" s="1" t="s">
        <v>15981</v>
      </c>
      <c r="G4377" s="1" t="s">
        <v>15982</v>
      </c>
      <c r="H4377" s="1" t="s">
        <v>3604</v>
      </c>
      <c r="I4377" s="1" t="s">
        <v>15983</v>
      </c>
      <c r="J4377" s="1" t="s">
        <v>3606</v>
      </c>
      <c r="K4377" s="1" t="s">
        <v>15984</v>
      </c>
      <c r="L4377" s="1"/>
      <c r="M4377" s="1"/>
    </row>
    <row x14ac:dyDescent="0.25" r="4378" customHeight="1" ht="18.75">
      <c r="A4378" s="1" t="s">
        <v>3598</v>
      </c>
      <c r="B4378" s="1" t="s">
        <v>14123</v>
      </c>
      <c r="C4378" s="1" t="s">
        <v>3600</v>
      </c>
      <c r="D4378" s="1" t="s">
        <v>3695</v>
      </c>
      <c r="E4378" s="1" t="s">
        <v>3893</v>
      </c>
      <c r="F4378" s="1" t="s">
        <v>15985</v>
      </c>
      <c r="G4378" s="1" t="s">
        <v>15982</v>
      </c>
      <c r="H4378" s="1" t="s">
        <v>3604</v>
      </c>
      <c r="I4378" s="1" t="s">
        <v>15986</v>
      </c>
      <c r="J4378" s="1" t="s">
        <v>3606</v>
      </c>
      <c r="K4378" s="1" t="s">
        <v>15987</v>
      </c>
      <c r="L4378" s="1"/>
      <c r="M4378" s="1"/>
    </row>
    <row x14ac:dyDescent="0.25" r="4379" customHeight="1" ht="18.75">
      <c r="A4379" s="1" t="s">
        <v>3598</v>
      </c>
      <c r="B4379" s="1" t="s">
        <v>14123</v>
      </c>
      <c r="C4379" s="1" t="s">
        <v>3600</v>
      </c>
      <c r="D4379" s="1" t="s">
        <v>3695</v>
      </c>
      <c r="E4379" s="1" t="s">
        <v>3893</v>
      </c>
      <c r="F4379" s="1" t="s">
        <v>15988</v>
      </c>
      <c r="G4379" s="1" t="s">
        <v>15982</v>
      </c>
      <c r="H4379" s="1" t="s">
        <v>3604</v>
      </c>
      <c r="I4379" s="1" t="s">
        <v>15989</v>
      </c>
      <c r="J4379" s="1" t="s">
        <v>3606</v>
      </c>
      <c r="K4379" s="1" t="s">
        <v>15990</v>
      </c>
      <c r="L4379" s="1"/>
      <c r="M4379" s="1"/>
    </row>
    <row x14ac:dyDescent="0.25" r="4380" customHeight="1" ht="18.75">
      <c r="A4380" s="1" t="s">
        <v>3598</v>
      </c>
      <c r="B4380" s="1" t="s">
        <v>8082</v>
      </c>
      <c r="C4380" s="1" t="s">
        <v>3600</v>
      </c>
      <c r="D4380" s="1" t="s">
        <v>3610</v>
      </c>
      <c r="E4380" s="1" t="s">
        <v>3752</v>
      </c>
      <c r="F4380" s="1" t="s">
        <v>15991</v>
      </c>
      <c r="G4380" s="1" t="s">
        <v>15695</v>
      </c>
      <c r="H4380" s="1" t="s">
        <v>3604</v>
      </c>
      <c r="I4380" s="1" t="s">
        <v>15992</v>
      </c>
      <c r="J4380" s="1" t="s">
        <v>3606</v>
      </c>
      <c r="K4380" s="1" t="s">
        <v>15993</v>
      </c>
      <c r="L4380" s="1"/>
      <c r="M4380" s="1"/>
    </row>
    <row x14ac:dyDescent="0.25" r="4381" customHeight="1" ht="18.75">
      <c r="A4381" s="1" t="s">
        <v>3598</v>
      </c>
      <c r="B4381" s="1" t="s">
        <v>14123</v>
      </c>
      <c r="C4381" s="1" t="s">
        <v>3600</v>
      </c>
      <c r="D4381" s="1" t="s">
        <v>8373</v>
      </c>
      <c r="E4381" s="1" t="s">
        <v>3893</v>
      </c>
      <c r="F4381" s="1" t="s">
        <v>15994</v>
      </c>
      <c r="G4381" s="1" t="s">
        <v>15937</v>
      </c>
      <c r="H4381" s="1" t="s">
        <v>3604</v>
      </c>
      <c r="I4381" s="1" t="s">
        <v>15995</v>
      </c>
      <c r="J4381" s="1" t="s">
        <v>3606</v>
      </c>
      <c r="K4381" s="1"/>
      <c r="L4381" s="1"/>
      <c r="M4381" s="1"/>
    </row>
    <row x14ac:dyDescent="0.25" r="4382" customHeight="1" ht="18.75">
      <c r="A4382" s="1" t="s">
        <v>3598</v>
      </c>
      <c r="B4382" s="1" t="s">
        <v>15557</v>
      </c>
      <c r="C4382" s="1" t="s">
        <v>3600</v>
      </c>
      <c r="D4382" s="1" t="s">
        <v>3610</v>
      </c>
      <c r="E4382" s="1" t="s">
        <v>3981</v>
      </c>
      <c r="F4382" s="1" t="s">
        <v>15996</v>
      </c>
      <c r="G4382" s="1" t="s">
        <v>15636</v>
      </c>
      <c r="H4382" s="1" t="s">
        <v>3604</v>
      </c>
      <c r="I4382" s="1" t="s">
        <v>15997</v>
      </c>
      <c r="J4382" s="1" t="s">
        <v>3606</v>
      </c>
      <c r="K4382" s="1" t="s">
        <v>15998</v>
      </c>
      <c r="L4382" s="1"/>
      <c r="M4382" s="1"/>
    </row>
    <row x14ac:dyDescent="0.25" r="4383" customHeight="1" ht="18.75">
      <c r="A4383" s="1" t="s">
        <v>3598</v>
      </c>
      <c r="B4383" s="1" t="s">
        <v>15557</v>
      </c>
      <c r="C4383" s="1" t="s">
        <v>3600</v>
      </c>
      <c r="D4383" s="1" t="s">
        <v>3610</v>
      </c>
      <c r="E4383" s="1" t="s">
        <v>3981</v>
      </c>
      <c r="F4383" s="1" t="s">
        <v>15999</v>
      </c>
      <c r="G4383" s="1" t="s">
        <v>15636</v>
      </c>
      <c r="H4383" s="1" t="s">
        <v>3604</v>
      </c>
      <c r="I4383" s="1" t="s">
        <v>16000</v>
      </c>
      <c r="J4383" s="1" t="s">
        <v>3606</v>
      </c>
      <c r="K4383" s="1" t="s">
        <v>16001</v>
      </c>
      <c r="L4383" s="1"/>
      <c r="M4383" s="1"/>
    </row>
    <row x14ac:dyDescent="0.25" r="4384" customHeight="1" ht="18.75">
      <c r="A4384" s="1" t="s">
        <v>3598</v>
      </c>
      <c r="B4384" s="1" t="s">
        <v>15557</v>
      </c>
      <c r="C4384" s="1" t="s">
        <v>3600</v>
      </c>
      <c r="D4384" s="1" t="s">
        <v>3610</v>
      </c>
      <c r="E4384" s="1" t="s">
        <v>3664</v>
      </c>
      <c r="F4384" s="1" t="s">
        <v>16002</v>
      </c>
      <c r="G4384" s="1" t="s">
        <v>15653</v>
      </c>
      <c r="H4384" s="1" t="s">
        <v>3604</v>
      </c>
      <c r="I4384" s="1" t="s">
        <v>16003</v>
      </c>
      <c r="J4384" s="1" t="s">
        <v>3606</v>
      </c>
      <c r="K4384" s="1" t="s">
        <v>16004</v>
      </c>
      <c r="L4384" s="1"/>
      <c r="M4384" s="1"/>
    </row>
    <row x14ac:dyDescent="0.25" r="4385" customHeight="1" ht="18.75">
      <c r="A4385" s="1" t="s">
        <v>3598</v>
      </c>
      <c r="B4385" s="1" t="s">
        <v>14123</v>
      </c>
      <c r="C4385" s="1" t="s">
        <v>3600</v>
      </c>
      <c r="D4385" s="1" t="s">
        <v>3695</v>
      </c>
      <c r="E4385" s="1" t="s">
        <v>3893</v>
      </c>
      <c r="F4385" s="1" t="s">
        <v>16005</v>
      </c>
      <c r="G4385" s="1" t="s">
        <v>8609</v>
      </c>
      <c r="H4385" s="1" t="s">
        <v>3604</v>
      </c>
      <c r="I4385" s="1" t="s">
        <v>16006</v>
      </c>
      <c r="J4385" s="1" t="s">
        <v>3606</v>
      </c>
      <c r="K4385" s="1" t="s">
        <v>16007</v>
      </c>
      <c r="L4385" s="1"/>
      <c r="M4385" s="1"/>
    </row>
    <row x14ac:dyDescent="0.25" r="4386" customHeight="1" ht="18.75">
      <c r="A4386" s="1" t="s">
        <v>3598</v>
      </c>
      <c r="B4386" s="1" t="s">
        <v>14123</v>
      </c>
      <c r="C4386" s="1" t="s">
        <v>3600</v>
      </c>
      <c r="D4386" s="1" t="s">
        <v>3695</v>
      </c>
      <c r="E4386" s="1" t="s">
        <v>3893</v>
      </c>
      <c r="F4386" s="1" t="s">
        <v>16008</v>
      </c>
      <c r="G4386" s="1" t="s">
        <v>8609</v>
      </c>
      <c r="H4386" s="1" t="s">
        <v>3604</v>
      </c>
      <c r="I4386" s="1" t="s">
        <v>16009</v>
      </c>
      <c r="J4386" s="1" t="s">
        <v>3606</v>
      </c>
      <c r="K4386" s="1" t="s">
        <v>16010</v>
      </c>
      <c r="L4386" s="1"/>
      <c r="M4386" s="1"/>
    </row>
    <row x14ac:dyDescent="0.25" r="4387" customHeight="1" ht="18.75">
      <c r="A4387" s="1" t="s">
        <v>3598</v>
      </c>
      <c r="B4387" s="1" t="s">
        <v>14123</v>
      </c>
      <c r="C4387" s="1" t="s">
        <v>3600</v>
      </c>
      <c r="D4387" s="1" t="s">
        <v>3695</v>
      </c>
      <c r="E4387" s="1" t="s">
        <v>3893</v>
      </c>
      <c r="F4387" s="1" t="s">
        <v>16011</v>
      </c>
      <c r="G4387" s="1" t="s">
        <v>8609</v>
      </c>
      <c r="H4387" s="1" t="s">
        <v>3604</v>
      </c>
      <c r="I4387" s="1" t="s">
        <v>16012</v>
      </c>
      <c r="J4387" s="1" t="s">
        <v>3606</v>
      </c>
      <c r="K4387" s="1" t="s">
        <v>16013</v>
      </c>
      <c r="L4387" s="1"/>
      <c r="M4387" s="1"/>
    </row>
    <row x14ac:dyDescent="0.25" r="4388" customHeight="1" ht="18.75">
      <c r="A4388" s="1" t="s">
        <v>3598</v>
      </c>
      <c r="B4388" s="1" t="s">
        <v>14123</v>
      </c>
      <c r="C4388" s="1" t="s">
        <v>3600</v>
      </c>
      <c r="D4388" s="1" t="s">
        <v>3695</v>
      </c>
      <c r="E4388" s="1" t="s">
        <v>3893</v>
      </c>
      <c r="F4388" s="1" t="s">
        <v>16014</v>
      </c>
      <c r="G4388" s="1" t="s">
        <v>16015</v>
      </c>
      <c r="H4388" s="1" t="s">
        <v>3604</v>
      </c>
      <c r="I4388" s="1" t="s">
        <v>16016</v>
      </c>
      <c r="J4388" s="1" t="s">
        <v>3606</v>
      </c>
      <c r="K4388" s="1" t="s">
        <v>16017</v>
      </c>
      <c r="L4388" s="1"/>
      <c r="M4388" s="1"/>
    </row>
    <row x14ac:dyDescent="0.25" r="4389" customHeight="1" ht="18.75">
      <c r="A4389" s="1" t="s">
        <v>3598</v>
      </c>
      <c r="B4389" s="1" t="s">
        <v>14123</v>
      </c>
      <c r="C4389" s="1" t="s">
        <v>3600</v>
      </c>
      <c r="D4389" s="1" t="s">
        <v>3695</v>
      </c>
      <c r="E4389" s="1" t="s">
        <v>3893</v>
      </c>
      <c r="F4389" s="1" t="s">
        <v>16018</v>
      </c>
      <c r="G4389" s="1" t="s">
        <v>16015</v>
      </c>
      <c r="H4389" s="1" t="s">
        <v>3604</v>
      </c>
      <c r="I4389" s="1" t="s">
        <v>16019</v>
      </c>
      <c r="J4389" s="1" t="s">
        <v>3606</v>
      </c>
      <c r="K4389" s="1" t="s">
        <v>16020</v>
      </c>
      <c r="L4389" s="1"/>
      <c r="M4389" s="1"/>
    </row>
    <row x14ac:dyDescent="0.25" r="4390" customHeight="1" ht="18.75">
      <c r="A4390" s="1" t="s">
        <v>3598</v>
      </c>
      <c r="B4390" s="1" t="s">
        <v>9007</v>
      </c>
      <c r="C4390" s="1" t="s">
        <v>3600</v>
      </c>
      <c r="D4390" s="1" t="s">
        <v>3695</v>
      </c>
      <c r="E4390" s="1" t="s">
        <v>3893</v>
      </c>
      <c r="F4390" s="1" t="s">
        <v>16021</v>
      </c>
      <c r="G4390" s="1" t="s">
        <v>15011</v>
      </c>
      <c r="H4390" s="1" t="s">
        <v>3604</v>
      </c>
      <c r="I4390" s="1" t="s">
        <v>16022</v>
      </c>
      <c r="J4390" s="1" t="s">
        <v>3606</v>
      </c>
      <c r="K4390" s="1" t="s">
        <v>16023</v>
      </c>
      <c r="L4390" s="1"/>
      <c r="M4390" s="1"/>
    </row>
    <row x14ac:dyDescent="0.25" r="4391" customHeight="1" ht="18.75">
      <c r="A4391" s="1" t="s">
        <v>3598</v>
      </c>
      <c r="B4391" s="1" t="s">
        <v>9007</v>
      </c>
      <c r="C4391" s="1" t="s">
        <v>3600</v>
      </c>
      <c r="D4391" s="1" t="s">
        <v>3695</v>
      </c>
      <c r="E4391" s="1" t="s">
        <v>3893</v>
      </c>
      <c r="F4391" s="1" t="s">
        <v>16024</v>
      </c>
      <c r="G4391" s="1" t="s">
        <v>15011</v>
      </c>
      <c r="H4391" s="1" t="s">
        <v>3604</v>
      </c>
      <c r="I4391" s="1" t="s">
        <v>16025</v>
      </c>
      <c r="J4391" s="1" t="s">
        <v>3606</v>
      </c>
      <c r="K4391" s="1" t="s">
        <v>16026</v>
      </c>
      <c r="L4391" s="1"/>
      <c r="M4391" s="1"/>
    </row>
    <row x14ac:dyDescent="0.25" r="4392" customHeight="1" ht="18.75">
      <c r="A4392" s="1" t="s">
        <v>3598</v>
      </c>
      <c r="B4392" s="1" t="s">
        <v>9007</v>
      </c>
      <c r="C4392" s="1" t="s">
        <v>3600</v>
      </c>
      <c r="D4392" s="1" t="s">
        <v>3695</v>
      </c>
      <c r="E4392" s="1" t="s">
        <v>3893</v>
      </c>
      <c r="F4392" s="1" t="s">
        <v>16027</v>
      </c>
      <c r="G4392" s="1" t="s">
        <v>15011</v>
      </c>
      <c r="H4392" s="1" t="s">
        <v>3604</v>
      </c>
      <c r="I4392" s="1" t="s">
        <v>16028</v>
      </c>
      <c r="J4392" s="1" t="s">
        <v>3606</v>
      </c>
      <c r="K4392" s="1" t="s">
        <v>16029</v>
      </c>
      <c r="L4392" s="1"/>
      <c r="M4392" s="1"/>
    </row>
    <row x14ac:dyDescent="0.25" r="4393" customHeight="1" ht="18.75">
      <c r="A4393" s="1" t="s">
        <v>3598</v>
      </c>
      <c r="B4393" s="1" t="s">
        <v>8082</v>
      </c>
      <c r="C4393" s="1" t="s">
        <v>3600</v>
      </c>
      <c r="D4393" s="1" t="s">
        <v>3610</v>
      </c>
      <c r="E4393" s="1" t="s">
        <v>3752</v>
      </c>
      <c r="F4393" s="1" t="s">
        <v>16030</v>
      </c>
      <c r="G4393" s="1" t="s">
        <v>15691</v>
      </c>
      <c r="H4393" s="1" t="s">
        <v>3604</v>
      </c>
      <c r="I4393" s="1" t="s">
        <v>16031</v>
      </c>
      <c r="J4393" s="1" t="s">
        <v>3606</v>
      </c>
      <c r="K4393" s="1" t="s">
        <v>16032</v>
      </c>
      <c r="L4393" s="1"/>
      <c r="M4393" s="1"/>
    </row>
    <row x14ac:dyDescent="0.25" r="4394" customHeight="1" ht="18.75">
      <c r="A4394" s="1" t="s">
        <v>3598</v>
      </c>
      <c r="B4394" s="1" t="s">
        <v>9007</v>
      </c>
      <c r="C4394" s="1" t="s">
        <v>3600</v>
      </c>
      <c r="D4394" s="1" t="s">
        <v>3695</v>
      </c>
      <c r="E4394" s="1" t="s">
        <v>3893</v>
      </c>
      <c r="F4394" s="1" t="s">
        <v>16033</v>
      </c>
      <c r="G4394" s="1" t="s">
        <v>15023</v>
      </c>
      <c r="H4394" s="1" t="s">
        <v>3604</v>
      </c>
      <c r="I4394" s="1" t="s">
        <v>16034</v>
      </c>
      <c r="J4394" s="1" t="s">
        <v>3606</v>
      </c>
      <c r="K4394" s="1" t="s">
        <v>16035</v>
      </c>
      <c r="L4394" s="1"/>
      <c r="M4394" s="1"/>
    </row>
    <row x14ac:dyDescent="0.25" r="4395" customHeight="1" ht="18.75">
      <c r="A4395" s="1" t="s">
        <v>3598</v>
      </c>
      <c r="B4395" s="1" t="s">
        <v>9007</v>
      </c>
      <c r="C4395" s="1" t="s">
        <v>3600</v>
      </c>
      <c r="D4395" s="1" t="s">
        <v>3695</v>
      </c>
      <c r="E4395" s="1" t="s">
        <v>3893</v>
      </c>
      <c r="F4395" s="1" t="s">
        <v>16036</v>
      </c>
      <c r="G4395" s="1" t="s">
        <v>15023</v>
      </c>
      <c r="H4395" s="1" t="s">
        <v>3604</v>
      </c>
      <c r="I4395" s="1" t="s">
        <v>16037</v>
      </c>
      <c r="J4395" s="1" t="s">
        <v>3606</v>
      </c>
      <c r="K4395" s="1" t="s">
        <v>16038</v>
      </c>
      <c r="L4395" s="1"/>
      <c r="M4395" s="1"/>
    </row>
    <row x14ac:dyDescent="0.25" r="4396" customHeight="1" ht="18.75">
      <c r="A4396" s="1" t="s">
        <v>3598</v>
      </c>
      <c r="B4396" s="1" t="s">
        <v>9007</v>
      </c>
      <c r="C4396" s="1" t="s">
        <v>3600</v>
      </c>
      <c r="D4396" s="1" t="s">
        <v>3695</v>
      </c>
      <c r="E4396" s="1" t="s">
        <v>3893</v>
      </c>
      <c r="F4396" s="1" t="s">
        <v>16039</v>
      </c>
      <c r="G4396" s="1" t="s">
        <v>15026</v>
      </c>
      <c r="H4396" s="1" t="s">
        <v>3604</v>
      </c>
      <c r="I4396" s="1" t="s">
        <v>16040</v>
      </c>
      <c r="J4396" s="1" t="s">
        <v>3606</v>
      </c>
      <c r="K4396" s="1" t="s">
        <v>16041</v>
      </c>
      <c r="L4396" s="1"/>
      <c r="M4396" s="1"/>
    </row>
    <row x14ac:dyDescent="0.25" r="4397" customHeight="1" ht="18.75">
      <c r="A4397" s="1" t="s">
        <v>3598</v>
      </c>
      <c r="B4397" s="1" t="s">
        <v>9007</v>
      </c>
      <c r="C4397" s="1" t="s">
        <v>3600</v>
      </c>
      <c r="D4397" s="1" t="s">
        <v>3695</v>
      </c>
      <c r="E4397" s="1" t="s">
        <v>3893</v>
      </c>
      <c r="F4397" s="1" t="s">
        <v>16042</v>
      </c>
      <c r="G4397" s="1" t="s">
        <v>15026</v>
      </c>
      <c r="H4397" s="1" t="s">
        <v>3604</v>
      </c>
      <c r="I4397" s="1" t="s">
        <v>16043</v>
      </c>
      <c r="J4397" s="1" t="s">
        <v>3606</v>
      </c>
      <c r="K4397" s="1" t="s">
        <v>16044</v>
      </c>
      <c r="L4397" s="1"/>
      <c r="M4397" s="1"/>
    </row>
    <row x14ac:dyDescent="0.25" r="4398" customHeight="1" ht="18.75">
      <c r="A4398" s="1" t="s">
        <v>3598</v>
      </c>
      <c r="B4398" s="1" t="s">
        <v>9007</v>
      </c>
      <c r="C4398" s="1" t="s">
        <v>3600</v>
      </c>
      <c r="D4398" s="1" t="s">
        <v>3695</v>
      </c>
      <c r="E4398" s="1" t="s">
        <v>3893</v>
      </c>
      <c r="F4398" s="1" t="s">
        <v>16045</v>
      </c>
      <c r="G4398" s="1" t="s">
        <v>15026</v>
      </c>
      <c r="H4398" s="1" t="s">
        <v>3604</v>
      </c>
      <c r="I4398" s="1" t="s">
        <v>16046</v>
      </c>
      <c r="J4398" s="1" t="s">
        <v>3606</v>
      </c>
      <c r="K4398" s="1" t="s">
        <v>16047</v>
      </c>
      <c r="L4398" s="1"/>
      <c r="M4398" s="1"/>
    </row>
    <row x14ac:dyDescent="0.25" r="4399" customHeight="1" ht="18.75">
      <c r="A4399" s="1" t="s">
        <v>3598</v>
      </c>
      <c r="B4399" s="1" t="s">
        <v>9007</v>
      </c>
      <c r="C4399" s="1" t="s">
        <v>3600</v>
      </c>
      <c r="D4399" s="1" t="s">
        <v>3695</v>
      </c>
      <c r="E4399" s="1" t="s">
        <v>3893</v>
      </c>
      <c r="F4399" s="1" t="s">
        <v>16048</v>
      </c>
      <c r="G4399" s="1" t="s">
        <v>16049</v>
      </c>
      <c r="H4399" s="1" t="s">
        <v>3604</v>
      </c>
      <c r="I4399" s="1" t="s">
        <v>16050</v>
      </c>
      <c r="J4399" s="1" t="s">
        <v>3606</v>
      </c>
      <c r="K4399" s="1" t="s">
        <v>16051</v>
      </c>
      <c r="L4399" s="1"/>
      <c r="M4399" s="1"/>
    </row>
    <row x14ac:dyDescent="0.25" r="4400" customHeight="1" ht="18.75">
      <c r="A4400" s="1" t="s">
        <v>3598</v>
      </c>
      <c r="B4400" s="1" t="s">
        <v>9007</v>
      </c>
      <c r="C4400" s="1" t="s">
        <v>3600</v>
      </c>
      <c r="D4400" s="1" t="s">
        <v>3695</v>
      </c>
      <c r="E4400" s="1" t="s">
        <v>3893</v>
      </c>
      <c r="F4400" s="1" t="s">
        <v>16052</v>
      </c>
      <c r="G4400" s="1" t="s">
        <v>16049</v>
      </c>
      <c r="H4400" s="1" t="s">
        <v>3604</v>
      </c>
      <c r="I4400" s="1" t="s">
        <v>16053</v>
      </c>
      <c r="J4400" s="1" t="s">
        <v>3606</v>
      </c>
      <c r="K4400" s="1" t="s">
        <v>16054</v>
      </c>
      <c r="L4400" s="1"/>
      <c r="M4400" s="1"/>
    </row>
    <row x14ac:dyDescent="0.25" r="4401" customHeight="1" ht="18.75">
      <c r="A4401" s="1" t="s">
        <v>3598</v>
      </c>
      <c r="B4401" s="1" t="s">
        <v>9007</v>
      </c>
      <c r="C4401" s="1" t="s">
        <v>3600</v>
      </c>
      <c r="D4401" s="1" t="s">
        <v>3695</v>
      </c>
      <c r="E4401" s="1" t="s">
        <v>3893</v>
      </c>
      <c r="F4401" s="1" t="s">
        <v>16055</v>
      </c>
      <c r="G4401" s="1" t="s">
        <v>16049</v>
      </c>
      <c r="H4401" s="1" t="s">
        <v>3604</v>
      </c>
      <c r="I4401" s="1" t="s">
        <v>16056</v>
      </c>
      <c r="J4401" s="1" t="s">
        <v>3606</v>
      </c>
      <c r="K4401" s="1" t="s">
        <v>16057</v>
      </c>
      <c r="L4401" s="1"/>
      <c r="M4401" s="1"/>
    </row>
    <row x14ac:dyDescent="0.25" r="4402" customHeight="1" ht="18.75">
      <c r="A4402" s="1" t="s">
        <v>3598</v>
      </c>
      <c r="B4402" s="1" t="s">
        <v>5260</v>
      </c>
      <c r="C4402" s="1" t="s">
        <v>3600</v>
      </c>
      <c r="D4402" s="1" t="s">
        <v>3695</v>
      </c>
      <c r="E4402" s="1" t="s">
        <v>3893</v>
      </c>
      <c r="F4402" s="1" t="s">
        <v>16058</v>
      </c>
      <c r="G4402" s="1" t="s">
        <v>8643</v>
      </c>
      <c r="H4402" s="1" t="s">
        <v>3604</v>
      </c>
      <c r="I4402" s="1" t="s">
        <v>16059</v>
      </c>
      <c r="J4402" s="1" t="s">
        <v>3606</v>
      </c>
      <c r="K4402" s="1" t="s">
        <v>16060</v>
      </c>
      <c r="L4402" s="1"/>
      <c r="M4402" s="1"/>
    </row>
    <row x14ac:dyDescent="0.25" r="4403" customHeight="1" ht="18.75">
      <c r="A4403" s="1" t="s">
        <v>3598</v>
      </c>
      <c r="B4403" s="1" t="s">
        <v>8651</v>
      </c>
      <c r="C4403" s="1" t="s">
        <v>3600</v>
      </c>
      <c r="D4403" s="1" t="s">
        <v>8365</v>
      </c>
      <c r="E4403" s="1"/>
      <c r="F4403" s="1" t="s">
        <v>16061</v>
      </c>
      <c r="G4403" s="1" t="s">
        <v>8653</v>
      </c>
      <c r="H4403" s="1" t="s">
        <v>3604</v>
      </c>
      <c r="I4403" s="1" t="s">
        <v>16062</v>
      </c>
      <c r="J4403" s="1" t="s">
        <v>3606</v>
      </c>
      <c r="K4403" s="1" t="s">
        <v>16063</v>
      </c>
      <c r="L4403" s="1"/>
      <c r="M4403" s="1"/>
    </row>
    <row x14ac:dyDescent="0.25" r="4404" customHeight="1" ht="18.75">
      <c r="A4404" s="1" t="s">
        <v>3598</v>
      </c>
      <c r="B4404" s="1" t="s">
        <v>16064</v>
      </c>
      <c r="C4404" s="1" t="s">
        <v>3600</v>
      </c>
      <c r="D4404" s="1" t="s">
        <v>8365</v>
      </c>
      <c r="E4404" s="1"/>
      <c r="F4404" s="1" t="s">
        <v>16065</v>
      </c>
      <c r="G4404" s="1" t="s">
        <v>3603</v>
      </c>
      <c r="H4404" s="1" t="s">
        <v>3604</v>
      </c>
      <c r="I4404" s="1" t="s">
        <v>16066</v>
      </c>
      <c r="J4404" s="1" t="s">
        <v>3606</v>
      </c>
      <c r="K4404" s="1" t="s">
        <v>16067</v>
      </c>
      <c r="L4404" s="1"/>
      <c r="M4404" s="1"/>
    </row>
    <row x14ac:dyDescent="0.25" r="4405" customHeight="1" ht="18.75">
      <c r="A4405" s="1" t="s">
        <v>3598</v>
      </c>
      <c r="B4405" s="1" t="s">
        <v>16068</v>
      </c>
      <c r="C4405" s="1" t="s">
        <v>3600</v>
      </c>
      <c r="D4405" s="1" t="s">
        <v>8365</v>
      </c>
      <c r="E4405" s="1"/>
      <c r="F4405" s="1" t="s">
        <v>16069</v>
      </c>
      <c r="G4405" s="1" t="s">
        <v>6471</v>
      </c>
      <c r="H4405" s="1" t="s">
        <v>3604</v>
      </c>
      <c r="I4405" s="1" t="s">
        <v>16070</v>
      </c>
      <c r="J4405" s="1" t="s">
        <v>3606</v>
      </c>
      <c r="K4405" s="1" t="s">
        <v>16071</v>
      </c>
      <c r="L4405" s="1"/>
      <c r="M4405" s="1"/>
    </row>
    <row x14ac:dyDescent="0.25" r="4406" customHeight="1" ht="18.75">
      <c r="A4406" s="1" t="s">
        <v>3598</v>
      </c>
      <c r="B4406" s="1" t="s">
        <v>16068</v>
      </c>
      <c r="C4406" s="1" t="s">
        <v>3600</v>
      </c>
      <c r="D4406" s="1" t="s">
        <v>8365</v>
      </c>
      <c r="E4406" s="1"/>
      <c r="F4406" s="1" t="s">
        <v>16072</v>
      </c>
      <c r="G4406" s="1" t="s">
        <v>6471</v>
      </c>
      <c r="H4406" s="1" t="s">
        <v>3604</v>
      </c>
      <c r="I4406" s="1" t="s">
        <v>16073</v>
      </c>
      <c r="J4406" s="1" t="s">
        <v>3606</v>
      </c>
      <c r="K4406" s="1" t="s">
        <v>16074</v>
      </c>
      <c r="L4406" s="1"/>
      <c r="M4406" s="1"/>
    </row>
    <row x14ac:dyDescent="0.25" r="4407" customHeight="1" ht="18.75">
      <c r="A4407" s="1" t="s">
        <v>3598</v>
      </c>
      <c r="B4407" s="1" t="s">
        <v>16075</v>
      </c>
      <c r="C4407" s="1" t="s">
        <v>3600</v>
      </c>
      <c r="D4407" s="1" t="s">
        <v>8365</v>
      </c>
      <c r="E4407" s="1"/>
      <c r="F4407" s="1" t="s">
        <v>16076</v>
      </c>
      <c r="G4407" s="1" t="s">
        <v>16077</v>
      </c>
      <c r="H4407" s="1" t="s">
        <v>3604</v>
      </c>
      <c r="I4407" s="1" t="s">
        <v>16078</v>
      </c>
      <c r="J4407" s="1" t="s">
        <v>3606</v>
      </c>
      <c r="K4407" s="1" t="s">
        <v>16079</v>
      </c>
      <c r="L4407" s="1"/>
      <c r="M4407" s="1"/>
    </row>
    <row x14ac:dyDescent="0.25" r="4408" customHeight="1" ht="18.75">
      <c r="A4408" s="1" t="s">
        <v>3598</v>
      </c>
      <c r="B4408" s="1" t="s">
        <v>16075</v>
      </c>
      <c r="C4408" s="1" t="s">
        <v>3600</v>
      </c>
      <c r="D4408" s="1" t="s">
        <v>8365</v>
      </c>
      <c r="E4408" s="1"/>
      <c r="F4408" s="1" t="s">
        <v>16080</v>
      </c>
      <c r="G4408" s="1" t="s">
        <v>16077</v>
      </c>
      <c r="H4408" s="1" t="s">
        <v>3604</v>
      </c>
      <c r="I4408" s="1" t="s">
        <v>16081</v>
      </c>
      <c r="J4408" s="1" t="s">
        <v>3606</v>
      </c>
      <c r="K4408" s="1" t="s">
        <v>16082</v>
      </c>
      <c r="L4408" s="1"/>
      <c r="M4408" s="1"/>
    </row>
    <row x14ac:dyDescent="0.25" r="4409" customHeight="1" ht="18.75">
      <c r="A4409" s="1" t="s">
        <v>3598</v>
      </c>
      <c r="B4409" s="1" t="s">
        <v>16075</v>
      </c>
      <c r="C4409" s="1" t="s">
        <v>3600</v>
      </c>
      <c r="D4409" s="1" t="s">
        <v>8365</v>
      </c>
      <c r="E4409" s="1"/>
      <c r="F4409" s="1" t="s">
        <v>16083</v>
      </c>
      <c r="G4409" s="1" t="s">
        <v>16077</v>
      </c>
      <c r="H4409" s="1" t="s">
        <v>3604</v>
      </c>
      <c r="I4409" s="1" t="s">
        <v>16084</v>
      </c>
      <c r="J4409" s="1" t="s">
        <v>3606</v>
      </c>
      <c r="K4409" s="1" t="s">
        <v>16085</v>
      </c>
      <c r="L4409" s="1"/>
      <c r="M4409" s="1"/>
    </row>
    <row x14ac:dyDescent="0.25" r="4410" customHeight="1" ht="18.75">
      <c r="A4410" s="1" t="s">
        <v>3598</v>
      </c>
      <c r="B4410" s="1" t="s">
        <v>16075</v>
      </c>
      <c r="C4410" s="1" t="s">
        <v>3600</v>
      </c>
      <c r="D4410" s="1" t="s">
        <v>8365</v>
      </c>
      <c r="E4410" s="1"/>
      <c r="F4410" s="1" t="s">
        <v>16086</v>
      </c>
      <c r="G4410" s="1" t="s">
        <v>16077</v>
      </c>
      <c r="H4410" s="1" t="s">
        <v>3604</v>
      </c>
      <c r="I4410" s="1" t="s">
        <v>16087</v>
      </c>
      <c r="J4410" s="1" t="s">
        <v>3606</v>
      </c>
      <c r="K4410" s="1" t="s">
        <v>16088</v>
      </c>
      <c r="L4410" s="1"/>
      <c r="M4410" s="1"/>
    </row>
    <row x14ac:dyDescent="0.25" r="4411" customHeight="1" ht="18.75">
      <c r="A4411" s="1" t="s">
        <v>3598</v>
      </c>
      <c r="B4411" s="1" t="s">
        <v>16075</v>
      </c>
      <c r="C4411" s="1" t="s">
        <v>3600</v>
      </c>
      <c r="D4411" s="1" t="s">
        <v>8365</v>
      </c>
      <c r="E4411" s="1"/>
      <c r="F4411" s="1" t="s">
        <v>16089</v>
      </c>
      <c r="G4411" s="1" t="s">
        <v>16077</v>
      </c>
      <c r="H4411" s="1" t="s">
        <v>3604</v>
      </c>
      <c r="I4411" s="1" t="s">
        <v>16090</v>
      </c>
      <c r="J4411" s="1" t="s">
        <v>3606</v>
      </c>
      <c r="K4411" s="1" t="s">
        <v>16091</v>
      </c>
      <c r="L4411" s="1"/>
      <c r="M4411" s="1"/>
    </row>
    <row x14ac:dyDescent="0.25" r="4412" customHeight="1" ht="18.75">
      <c r="A4412" s="1" t="s">
        <v>3598</v>
      </c>
      <c r="B4412" s="1" t="s">
        <v>16092</v>
      </c>
      <c r="C4412" s="1" t="s">
        <v>3600</v>
      </c>
      <c r="D4412" s="1" t="s">
        <v>8365</v>
      </c>
      <c r="E4412" s="1"/>
      <c r="F4412" s="1" t="s">
        <v>16093</v>
      </c>
      <c r="G4412" s="1" t="s">
        <v>16094</v>
      </c>
      <c r="H4412" s="1" t="s">
        <v>3604</v>
      </c>
      <c r="I4412" s="1" t="s">
        <v>16095</v>
      </c>
      <c r="J4412" s="1" t="s">
        <v>3606</v>
      </c>
      <c r="K4412" s="1" t="s">
        <v>16096</v>
      </c>
      <c r="L4412" s="1"/>
      <c r="M4412" s="1"/>
    </row>
    <row x14ac:dyDescent="0.25" r="4413" customHeight="1" ht="18.75">
      <c r="A4413" s="1" t="s">
        <v>3598</v>
      </c>
      <c r="B4413" s="1" t="s">
        <v>16092</v>
      </c>
      <c r="C4413" s="1" t="s">
        <v>3600</v>
      </c>
      <c r="D4413" s="1" t="s">
        <v>8365</v>
      </c>
      <c r="E4413" s="1"/>
      <c r="F4413" s="1" t="s">
        <v>16097</v>
      </c>
      <c r="G4413" s="1" t="s">
        <v>16094</v>
      </c>
      <c r="H4413" s="1" t="s">
        <v>3604</v>
      </c>
      <c r="I4413" s="1" t="s">
        <v>16098</v>
      </c>
      <c r="J4413" s="1" t="s">
        <v>3606</v>
      </c>
      <c r="K4413" s="1" t="s">
        <v>16099</v>
      </c>
      <c r="L4413" s="1"/>
      <c r="M4413" s="1"/>
    </row>
    <row x14ac:dyDescent="0.25" r="4414" customHeight="1" ht="18.75">
      <c r="A4414" s="1" t="s">
        <v>3598</v>
      </c>
      <c r="B4414" s="1" t="s">
        <v>16092</v>
      </c>
      <c r="C4414" s="1" t="s">
        <v>3600</v>
      </c>
      <c r="D4414" s="1" t="s">
        <v>8365</v>
      </c>
      <c r="E4414" s="1"/>
      <c r="F4414" s="1" t="s">
        <v>16100</v>
      </c>
      <c r="G4414" s="1" t="s">
        <v>16094</v>
      </c>
      <c r="H4414" s="1" t="s">
        <v>3604</v>
      </c>
      <c r="I4414" s="1" t="s">
        <v>16101</v>
      </c>
      <c r="J4414" s="1" t="s">
        <v>3606</v>
      </c>
      <c r="K4414" s="1" t="s">
        <v>16102</v>
      </c>
      <c r="L4414" s="1"/>
      <c r="M4414" s="1"/>
    </row>
    <row x14ac:dyDescent="0.25" r="4415" customHeight="1" ht="18.75">
      <c r="A4415" s="1" t="s">
        <v>3598</v>
      </c>
      <c r="B4415" s="1" t="s">
        <v>16092</v>
      </c>
      <c r="C4415" s="1" t="s">
        <v>3600</v>
      </c>
      <c r="D4415" s="1" t="s">
        <v>8365</v>
      </c>
      <c r="E4415" s="1"/>
      <c r="F4415" s="1" t="s">
        <v>16103</v>
      </c>
      <c r="G4415" s="1" t="s">
        <v>16094</v>
      </c>
      <c r="H4415" s="1" t="s">
        <v>3604</v>
      </c>
      <c r="I4415" s="1" t="s">
        <v>16104</v>
      </c>
      <c r="J4415" s="1" t="s">
        <v>3606</v>
      </c>
      <c r="K4415" s="1" t="s">
        <v>16105</v>
      </c>
      <c r="L4415" s="1"/>
      <c r="M4415" s="1"/>
    </row>
    <row x14ac:dyDescent="0.25" r="4416" customHeight="1" ht="18.75">
      <c r="A4416" s="1" t="s">
        <v>3598</v>
      </c>
      <c r="B4416" s="1" t="s">
        <v>16092</v>
      </c>
      <c r="C4416" s="1" t="s">
        <v>3600</v>
      </c>
      <c r="D4416" s="1" t="s">
        <v>8365</v>
      </c>
      <c r="E4416" s="1"/>
      <c r="F4416" s="1" t="s">
        <v>16106</v>
      </c>
      <c r="G4416" s="1" t="s">
        <v>16094</v>
      </c>
      <c r="H4416" s="1" t="s">
        <v>3604</v>
      </c>
      <c r="I4416" s="1" t="s">
        <v>16107</v>
      </c>
      <c r="J4416" s="1" t="s">
        <v>3606</v>
      </c>
      <c r="K4416" s="1" t="s">
        <v>16108</v>
      </c>
      <c r="L4416" s="1"/>
      <c r="M4416" s="1"/>
    </row>
    <row x14ac:dyDescent="0.25" r="4417" customHeight="1" ht="18.75">
      <c r="A4417" s="1" t="s">
        <v>3598</v>
      </c>
      <c r="B4417" s="1" t="s">
        <v>16092</v>
      </c>
      <c r="C4417" s="1" t="s">
        <v>3600</v>
      </c>
      <c r="D4417" s="1" t="s">
        <v>8365</v>
      </c>
      <c r="E4417" s="1"/>
      <c r="F4417" s="1" t="s">
        <v>16109</v>
      </c>
      <c r="G4417" s="1" t="s">
        <v>16094</v>
      </c>
      <c r="H4417" s="1" t="s">
        <v>3604</v>
      </c>
      <c r="I4417" s="1" t="s">
        <v>16110</v>
      </c>
      <c r="J4417" s="1" t="s">
        <v>3606</v>
      </c>
      <c r="K4417" s="1" t="s">
        <v>16111</v>
      </c>
      <c r="L4417" s="1"/>
      <c r="M4417" s="1"/>
    </row>
    <row x14ac:dyDescent="0.25" r="4418" customHeight="1" ht="18.75">
      <c r="A4418" s="1" t="s">
        <v>3598</v>
      </c>
      <c r="B4418" s="1" t="s">
        <v>16092</v>
      </c>
      <c r="C4418" s="1" t="s">
        <v>3600</v>
      </c>
      <c r="D4418" s="1" t="s">
        <v>8365</v>
      </c>
      <c r="E4418" s="1"/>
      <c r="F4418" s="1" t="s">
        <v>16112</v>
      </c>
      <c r="G4418" s="1" t="s">
        <v>16094</v>
      </c>
      <c r="H4418" s="1" t="s">
        <v>3604</v>
      </c>
      <c r="I4418" s="1" t="s">
        <v>16113</v>
      </c>
      <c r="J4418" s="1" t="s">
        <v>3606</v>
      </c>
      <c r="K4418" s="1" t="s">
        <v>16114</v>
      </c>
      <c r="L4418" s="1"/>
      <c r="M4418" s="1"/>
    </row>
    <row x14ac:dyDescent="0.25" r="4419" customHeight="1" ht="18.75">
      <c r="A4419" s="1" t="s">
        <v>3598</v>
      </c>
      <c r="B4419" s="1" t="s">
        <v>16115</v>
      </c>
      <c r="C4419" s="1" t="s">
        <v>3600</v>
      </c>
      <c r="D4419" s="1" t="s">
        <v>8365</v>
      </c>
      <c r="E4419" s="1"/>
      <c r="F4419" s="1" t="s">
        <v>16116</v>
      </c>
      <c r="G4419" s="1" t="s">
        <v>16117</v>
      </c>
      <c r="H4419" s="1" t="s">
        <v>3604</v>
      </c>
      <c r="I4419" s="1" t="s">
        <v>16118</v>
      </c>
      <c r="J4419" s="1" t="s">
        <v>3606</v>
      </c>
      <c r="K4419" s="1" t="s">
        <v>16119</v>
      </c>
      <c r="L4419" s="1"/>
      <c r="M4419" s="1"/>
    </row>
    <row x14ac:dyDescent="0.25" r="4420" customHeight="1" ht="18.75">
      <c r="A4420" s="1" t="s">
        <v>3598</v>
      </c>
      <c r="B4420" s="1" t="s">
        <v>16115</v>
      </c>
      <c r="C4420" s="1" t="s">
        <v>3600</v>
      </c>
      <c r="D4420" s="1" t="s">
        <v>8365</v>
      </c>
      <c r="E4420" s="1"/>
      <c r="F4420" s="1" t="s">
        <v>16120</v>
      </c>
      <c r="G4420" s="1" t="s">
        <v>16117</v>
      </c>
      <c r="H4420" s="1" t="s">
        <v>3604</v>
      </c>
      <c r="I4420" s="1" t="s">
        <v>16121</v>
      </c>
      <c r="J4420" s="1" t="s">
        <v>3606</v>
      </c>
      <c r="K4420" s="1" t="s">
        <v>16122</v>
      </c>
      <c r="L4420" s="1"/>
      <c r="M4420" s="1"/>
    </row>
    <row x14ac:dyDescent="0.25" r="4421" customHeight="1" ht="18.75">
      <c r="A4421" s="1" t="s">
        <v>3598</v>
      </c>
      <c r="B4421" s="1" t="s">
        <v>16115</v>
      </c>
      <c r="C4421" s="1" t="s">
        <v>3600</v>
      </c>
      <c r="D4421" s="1" t="s">
        <v>8365</v>
      </c>
      <c r="E4421" s="1"/>
      <c r="F4421" s="1" t="s">
        <v>16123</v>
      </c>
      <c r="G4421" s="1" t="s">
        <v>16117</v>
      </c>
      <c r="H4421" s="1" t="s">
        <v>3604</v>
      </c>
      <c r="I4421" s="1" t="s">
        <v>16124</v>
      </c>
      <c r="J4421" s="1" t="s">
        <v>3606</v>
      </c>
      <c r="K4421" s="1" t="s">
        <v>16125</v>
      </c>
      <c r="L4421" s="1"/>
      <c r="M4421" s="1"/>
    </row>
    <row x14ac:dyDescent="0.25" r="4422" customHeight="1" ht="18.75">
      <c r="A4422" s="1" t="s">
        <v>3598</v>
      </c>
      <c r="B4422" s="1" t="s">
        <v>16092</v>
      </c>
      <c r="C4422" s="1" t="s">
        <v>3600</v>
      </c>
      <c r="D4422" s="1" t="s">
        <v>8365</v>
      </c>
      <c r="E4422" s="1"/>
      <c r="F4422" s="1" t="s">
        <v>16126</v>
      </c>
      <c r="G4422" s="1" t="s">
        <v>16094</v>
      </c>
      <c r="H4422" s="1" t="s">
        <v>3604</v>
      </c>
      <c r="I4422" s="1" t="s">
        <v>16127</v>
      </c>
      <c r="J4422" s="1" t="s">
        <v>3606</v>
      </c>
      <c r="K4422" s="1" t="s">
        <v>16128</v>
      </c>
      <c r="L4422" s="1"/>
      <c r="M4422" s="1"/>
    </row>
    <row x14ac:dyDescent="0.25" r="4423" customHeight="1" ht="18.75">
      <c r="A4423" s="1" t="s">
        <v>3598</v>
      </c>
      <c r="B4423" s="1" t="s">
        <v>16129</v>
      </c>
      <c r="C4423" s="1" t="s">
        <v>3600</v>
      </c>
      <c r="D4423" s="1" t="s">
        <v>8365</v>
      </c>
      <c r="E4423" s="1"/>
      <c r="F4423" s="1" t="s">
        <v>16130</v>
      </c>
      <c r="G4423" s="1" t="s">
        <v>16131</v>
      </c>
      <c r="H4423" s="1" t="s">
        <v>3604</v>
      </c>
      <c r="I4423" s="1" t="s">
        <v>16132</v>
      </c>
      <c r="J4423" s="1" t="s">
        <v>3606</v>
      </c>
      <c r="K4423" s="1" t="s">
        <v>16133</v>
      </c>
      <c r="L4423" s="1"/>
      <c r="M4423" s="1"/>
    </row>
    <row x14ac:dyDescent="0.25" r="4424" customHeight="1" ht="18.75">
      <c r="A4424" s="1" t="s">
        <v>3598</v>
      </c>
      <c r="B4424" s="1" t="s">
        <v>16134</v>
      </c>
      <c r="C4424" s="1" t="s">
        <v>3600</v>
      </c>
      <c r="D4424" s="1" t="s">
        <v>8365</v>
      </c>
      <c r="E4424" s="1"/>
      <c r="F4424" s="1" t="s">
        <v>16135</v>
      </c>
      <c r="G4424" s="1" t="s">
        <v>9584</v>
      </c>
      <c r="H4424" s="1" t="s">
        <v>3604</v>
      </c>
      <c r="I4424" s="1" t="s">
        <v>16136</v>
      </c>
      <c r="J4424" s="1" t="s">
        <v>3606</v>
      </c>
      <c r="K4424" s="1" t="s">
        <v>16137</v>
      </c>
      <c r="L4424" s="1"/>
      <c r="M4424" s="1"/>
    </row>
    <row x14ac:dyDescent="0.25" r="4425" customHeight="1" ht="18.75">
      <c r="A4425" s="1" t="s">
        <v>3598</v>
      </c>
      <c r="B4425" s="1" t="s">
        <v>16134</v>
      </c>
      <c r="C4425" s="1" t="s">
        <v>3600</v>
      </c>
      <c r="D4425" s="1" t="s">
        <v>8365</v>
      </c>
      <c r="E4425" s="1"/>
      <c r="F4425" s="1" t="s">
        <v>16138</v>
      </c>
      <c r="G4425" s="1" t="s">
        <v>9584</v>
      </c>
      <c r="H4425" s="1" t="s">
        <v>3604</v>
      </c>
      <c r="I4425" s="1" t="s">
        <v>16139</v>
      </c>
      <c r="J4425" s="1" t="s">
        <v>3606</v>
      </c>
      <c r="K4425" s="1" t="s">
        <v>16140</v>
      </c>
      <c r="L4425" s="1"/>
      <c r="M4425" s="1"/>
    </row>
    <row x14ac:dyDescent="0.25" r="4426" customHeight="1" ht="18.75">
      <c r="A4426" s="1" t="s">
        <v>3598</v>
      </c>
      <c r="B4426" s="1" t="s">
        <v>3751</v>
      </c>
      <c r="C4426" s="1" t="s">
        <v>3600</v>
      </c>
      <c r="D4426" s="1" t="s">
        <v>3601</v>
      </c>
      <c r="E4426" s="1" t="s">
        <v>3752</v>
      </c>
      <c r="F4426" s="1" t="s">
        <v>16141</v>
      </c>
      <c r="G4426" s="1" t="s">
        <v>16142</v>
      </c>
      <c r="H4426" s="1" t="s">
        <v>3604</v>
      </c>
      <c r="I4426" s="1" t="s">
        <v>16143</v>
      </c>
      <c r="J4426" s="1" t="s">
        <v>3615</v>
      </c>
      <c r="K4426" s="1" t="s">
        <v>16144</v>
      </c>
      <c r="L4426" s="1"/>
      <c r="M4426" s="1"/>
    </row>
    <row x14ac:dyDescent="0.25" r="4427" customHeight="1" ht="18.75">
      <c r="A4427" s="1" t="s">
        <v>3598</v>
      </c>
      <c r="B4427" s="1" t="s">
        <v>8656</v>
      </c>
      <c r="C4427" s="1" t="s">
        <v>3600</v>
      </c>
      <c r="D4427" s="1" t="s">
        <v>8365</v>
      </c>
      <c r="E4427" s="1"/>
      <c r="F4427" s="1" t="s">
        <v>16145</v>
      </c>
      <c r="G4427" s="1" t="s">
        <v>8658</v>
      </c>
      <c r="H4427" s="1" t="s">
        <v>3604</v>
      </c>
      <c r="I4427" s="1" t="s">
        <v>16146</v>
      </c>
      <c r="J4427" s="1" t="s">
        <v>3606</v>
      </c>
      <c r="K4427" s="1" t="s">
        <v>16147</v>
      </c>
      <c r="L4427" s="1"/>
      <c r="M4427" s="1"/>
    </row>
    <row x14ac:dyDescent="0.25" r="4428" customHeight="1" ht="18.75">
      <c r="A4428" s="1" t="s">
        <v>3598</v>
      </c>
      <c r="B4428" s="1" t="s">
        <v>3751</v>
      </c>
      <c r="C4428" s="1" t="s">
        <v>3600</v>
      </c>
      <c r="D4428" s="1" t="s">
        <v>3601</v>
      </c>
      <c r="E4428" s="1" t="s">
        <v>3752</v>
      </c>
      <c r="F4428" s="1" t="s">
        <v>16148</v>
      </c>
      <c r="G4428" s="1" t="s">
        <v>16149</v>
      </c>
      <c r="H4428" s="1" t="s">
        <v>3604</v>
      </c>
      <c r="I4428" s="1" t="s">
        <v>16150</v>
      </c>
      <c r="J4428" s="1" t="s">
        <v>3615</v>
      </c>
      <c r="K4428" s="1" t="s">
        <v>16151</v>
      </c>
      <c r="L4428" s="1"/>
      <c r="M4428" s="1"/>
    </row>
    <row x14ac:dyDescent="0.25" r="4429" customHeight="1" ht="18.75">
      <c r="A4429" s="1" t="s">
        <v>3598</v>
      </c>
      <c r="B4429" s="1" t="s">
        <v>3751</v>
      </c>
      <c r="C4429" s="1" t="s">
        <v>3600</v>
      </c>
      <c r="D4429" s="1" t="s">
        <v>3601</v>
      </c>
      <c r="E4429" s="1" t="s">
        <v>3752</v>
      </c>
      <c r="F4429" s="1" t="s">
        <v>16152</v>
      </c>
      <c r="G4429" s="1" t="s">
        <v>16153</v>
      </c>
      <c r="H4429" s="1" t="s">
        <v>3604</v>
      </c>
      <c r="I4429" s="1" t="s">
        <v>16154</v>
      </c>
      <c r="J4429" s="1" t="s">
        <v>3615</v>
      </c>
      <c r="K4429" s="1" t="s">
        <v>16155</v>
      </c>
      <c r="L4429" s="1"/>
      <c r="M4429" s="1"/>
    </row>
    <row x14ac:dyDescent="0.25" r="4430" customHeight="1" ht="18.75">
      <c r="A4430" s="1" t="s">
        <v>3598</v>
      </c>
      <c r="B4430" s="1" t="s">
        <v>8656</v>
      </c>
      <c r="C4430" s="1" t="s">
        <v>3600</v>
      </c>
      <c r="D4430" s="1" t="s">
        <v>8365</v>
      </c>
      <c r="E4430" s="1"/>
      <c r="F4430" s="1" t="s">
        <v>16156</v>
      </c>
      <c r="G4430" s="1" t="s">
        <v>8658</v>
      </c>
      <c r="H4430" s="1" t="s">
        <v>3604</v>
      </c>
      <c r="I4430" s="1" t="s">
        <v>16157</v>
      </c>
      <c r="J4430" s="1" t="s">
        <v>3606</v>
      </c>
      <c r="K4430" s="1" t="s">
        <v>16158</v>
      </c>
      <c r="L4430" s="1"/>
      <c r="M4430" s="1"/>
    </row>
    <row x14ac:dyDescent="0.25" r="4431" customHeight="1" ht="18.75">
      <c r="A4431" s="1" t="s">
        <v>3598</v>
      </c>
      <c r="B4431" s="1" t="s">
        <v>8656</v>
      </c>
      <c r="C4431" s="1" t="s">
        <v>3600</v>
      </c>
      <c r="D4431" s="1" t="s">
        <v>8365</v>
      </c>
      <c r="E4431" s="1"/>
      <c r="F4431" s="1" t="s">
        <v>16159</v>
      </c>
      <c r="G4431" s="1" t="s">
        <v>8658</v>
      </c>
      <c r="H4431" s="1" t="s">
        <v>3604</v>
      </c>
      <c r="I4431" s="1" t="s">
        <v>16160</v>
      </c>
      <c r="J4431" s="1" t="s">
        <v>3606</v>
      </c>
      <c r="K4431" s="1" t="s">
        <v>16161</v>
      </c>
      <c r="L4431" s="1"/>
      <c r="M4431" s="1"/>
    </row>
    <row x14ac:dyDescent="0.25" r="4432" customHeight="1" ht="18.75">
      <c r="A4432" s="1" t="s">
        <v>3598</v>
      </c>
      <c r="B4432" s="1" t="s">
        <v>8656</v>
      </c>
      <c r="C4432" s="1" t="s">
        <v>3600</v>
      </c>
      <c r="D4432" s="1" t="s">
        <v>8365</v>
      </c>
      <c r="E4432" s="1"/>
      <c r="F4432" s="1" t="s">
        <v>16162</v>
      </c>
      <c r="G4432" s="1" t="s">
        <v>8658</v>
      </c>
      <c r="H4432" s="1" t="s">
        <v>3604</v>
      </c>
      <c r="I4432" s="1" t="s">
        <v>16163</v>
      </c>
      <c r="J4432" s="1" t="s">
        <v>3615</v>
      </c>
      <c r="K4432" s="1" t="s">
        <v>16164</v>
      </c>
      <c r="L4432" s="1"/>
      <c r="M4432" s="1"/>
    </row>
    <row x14ac:dyDescent="0.25" r="4433" customHeight="1" ht="18.75">
      <c r="A4433" s="1" t="s">
        <v>3598</v>
      </c>
      <c r="B4433" s="1" t="s">
        <v>8191</v>
      </c>
      <c r="C4433" s="1" t="s">
        <v>3600</v>
      </c>
      <c r="D4433" s="1" t="s">
        <v>3601</v>
      </c>
      <c r="E4433" s="1" t="s">
        <v>3664</v>
      </c>
      <c r="F4433" s="1" t="s">
        <v>16165</v>
      </c>
      <c r="G4433" s="1" t="s">
        <v>16166</v>
      </c>
      <c r="H4433" s="1" t="s">
        <v>3604</v>
      </c>
      <c r="I4433" s="1" t="s">
        <v>16167</v>
      </c>
      <c r="J4433" s="1" t="s">
        <v>3615</v>
      </c>
      <c r="K4433" s="1" t="s">
        <v>16168</v>
      </c>
      <c r="L4433" s="1"/>
      <c r="M4433" s="1"/>
    </row>
    <row x14ac:dyDescent="0.25" r="4434" customHeight="1" ht="18.75">
      <c r="A4434" s="1" t="s">
        <v>3598</v>
      </c>
      <c r="B4434" s="1" t="s">
        <v>8656</v>
      </c>
      <c r="C4434" s="1" t="s">
        <v>3600</v>
      </c>
      <c r="D4434" s="1" t="s">
        <v>8365</v>
      </c>
      <c r="E4434" s="1"/>
      <c r="F4434" s="1" t="s">
        <v>16169</v>
      </c>
      <c r="G4434" s="1" t="s">
        <v>8658</v>
      </c>
      <c r="H4434" s="1" t="s">
        <v>3604</v>
      </c>
      <c r="I4434" s="1" t="s">
        <v>16170</v>
      </c>
      <c r="J4434" s="1" t="s">
        <v>3615</v>
      </c>
      <c r="K4434" s="1" t="s">
        <v>16171</v>
      </c>
      <c r="L4434" s="1"/>
      <c r="M4434" s="1"/>
    </row>
    <row x14ac:dyDescent="0.25" r="4435" customHeight="1" ht="18.75">
      <c r="A4435" s="1" t="s">
        <v>3598</v>
      </c>
      <c r="B4435" s="1" t="s">
        <v>8191</v>
      </c>
      <c r="C4435" s="1" t="s">
        <v>3600</v>
      </c>
      <c r="D4435" s="1" t="s">
        <v>3601</v>
      </c>
      <c r="E4435" s="1" t="s">
        <v>3664</v>
      </c>
      <c r="F4435" s="1" t="s">
        <v>16172</v>
      </c>
      <c r="G4435" s="1" t="s">
        <v>16166</v>
      </c>
      <c r="H4435" s="1" t="s">
        <v>3604</v>
      </c>
      <c r="I4435" s="1" t="s">
        <v>16173</v>
      </c>
      <c r="J4435" s="1" t="s">
        <v>3615</v>
      </c>
      <c r="K4435" s="1" t="s">
        <v>16174</v>
      </c>
      <c r="L4435" s="1"/>
      <c r="M4435" s="1"/>
    </row>
    <row x14ac:dyDescent="0.25" r="4436" customHeight="1" ht="18.75">
      <c r="A4436" s="1" t="s">
        <v>3598</v>
      </c>
      <c r="B4436" s="1" t="s">
        <v>8656</v>
      </c>
      <c r="C4436" s="1" t="s">
        <v>3600</v>
      </c>
      <c r="D4436" s="1" t="s">
        <v>8365</v>
      </c>
      <c r="E4436" s="1"/>
      <c r="F4436" s="1" t="s">
        <v>16175</v>
      </c>
      <c r="G4436" s="1" t="s">
        <v>8658</v>
      </c>
      <c r="H4436" s="1" t="s">
        <v>3604</v>
      </c>
      <c r="I4436" s="1" t="s">
        <v>16176</v>
      </c>
      <c r="J4436" s="1" t="s">
        <v>3615</v>
      </c>
      <c r="K4436" s="1" t="s">
        <v>16177</v>
      </c>
      <c r="L4436" s="1"/>
      <c r="M4436" s="1"/>
    </row>
    <row x14ac:dyDescent="0.25" r="4437" customHeight="1" ht="18.75">
      <c r="A4437" s="1" t="s">
        <v>3598</v>
      </c>
      <c r="B4437" s="1" t="s">
        <v>8656</v>
      </c>
      <c r="C4437" s="1" t="s">
        <v>3600</v>
      </c>
      <c r="D4437" s="1" t="s">
        <v>8365</v>
      </c>
      <c r="E4437" s="1"/>
      <c r="F4437" s="1" t="s">
        <v>16178</v>
      </c>
      <c r="G4437" s="1" t="s">
        <v>8658</v>
      </c>
      <c r="H4437" s="1" t="s">
        <v>3604</v>
      </c>
      <c r="I4437" s="1" t="s">
        <v>16179</v>
      </c>
      <c r="J4437" s="1" t="s">
        <v>3615</v>
      </c>
      <c r="K4437" s="1" t="s">
        <v>16180</v>
      </c>
      <c r="L4437" s="1"/>
      <c r="M4437" s="1"/>
    </row>
    <row x14ac:dyDescent="0.25" r="4438" customHeight="1" ht="18.75">
      <c r="A4438" s="1" t="s">
        <v>3598</v>
      </c>
      <c r="B4438" s="1" t="s">
        <v>14123</v>
      </c>
      <c r="C4438" s="1" t="s">
        <v>3600</v>
      </c>
      <c r="D4438" s="1" t="s">
        <v>3695</v>
      </c>
      <c r="E4438" s="1" t="s">
        <v>3893</v>
      </c>
      <c r="F4438" s="1" t="s">
        <v>16181</v>
      </c>
      <c r="G4438" s="1" t="s">
        <v>16015</v>
      </c>
      <c r="H4438" s="1" t="s">
        <v>3604</v>
      </c>
      <c r="I4438" s="1" t="s">
        <v>16182</v>
      </c>
      <c r="J4438" s="1" t="s">
        <v>3606</v>
      </c>
      <c r="K4438" s="1" t="s">
        <v>16183</v>
      </c>
      <c r="L4438" s="1"/>
      <c r="M4438" s="1"/>
    </row>
    <row x14ac:dyDescent="0.25" r="4439" customHeight="1" ht="18.75">
      <c r="A4439" s="1" t="s">
        <v>3598</v>
      </c>
      <c r="B4439" s="1" t="s">
        <v>8656</v>
      </c>
      <c r="C4439" s="1" t="s">
        <v>3600</v>
      </c>
      <c r="D4439" s="1" t="s">
        <v>8365</v>
      </c>
      <c r="E4439" s="1"/>
      <c r="F4439" s="1" t="s">
        <v>16184</v>
      </c>
      <c r="G4439" s="1" t="s">
        <v>8658</v>
      </c>
      <c r="H4439" s="1" t="s">
        <v>3604</v>
      </c>
      <c r="I4439" s="1" t="s">
        <v>16185</v>
      </c>
      <c r="J4439" s="1" t="s">
        <v>3615</v>
      </c>
      <c r="K4439" s="1" t="s">
        <v>16186</v>
      </c>
      <c r="L4439" s="1"/>
      <c r="M4439" s="1"/>
    </row>
    <row x14ac:dyDescent="0.25" r="4440" customHeight="1" ht="18.75">
      <c r="A4440" s="1" t="s">
        <v>3598</v>
      </c>
      <c r="B4440" s="1" t="s">
        <v>8656</v>
      </c>
      <c r="C4440" s="1" t="s">
        <v>3600</v>
      </c>
      <c r="D4440" s="1" t="s">
        <v>8365</v>
      </c>
      <c r="E4440" s="1"/>
      <c r="F4440" s="1" t="s">
        <v>16187</v>
      </c>
      <c r="G4440" s="1" t="s">
        <v>8658</v>
      </c>
      <c r="H4440" s="1" t="s">
        <v>3604</v>
      </c>
      <c r="I4440" s="1" t="s">
        <v>16188</v>
      </c>
      <c r="J4440" s="1" t="s">
        <v>3615</v>
      </c>
      <c r="K4440" s="1" t="s">
        <v>16189</v>
      </c>
      <c r="L4440" s="1"/>
      <c r="M4440" s="1"/>
    </row>
    <row x14ac:dyDescent="0.25" r="4441" customHeight="1" ht="18.75">
      <c r="A4441" s="1" t="s">
        <v>3598</v>
      </c>
      <c r="B4441" s="1" t="s">
        <v>8656</v>
      </c>
      <c r="C4441" s="1" t="s">
        <v>3600</v>
      </c>
      <c r="D4441" s="1" t="s">
        <v>8365</v>
      </c>
      <c r="E4441" s="1"/>
      <c r="F4441" s="1" t="s">
        <v>16190</v>
      </c>
      <c r="G4441" s="1" t="s">
        <v>8658</v>
      </c>
      <c r="H4441" s="1" t="s">
        <v>3604</v>
      </c>
      <c r="I4441" s="1" t="s">
        <v>16191</v>
      </c>
      <c r="J4441" s="1" t="s">
        <v>3615</v>
      </c>
      <c r="K4441" s="1" t="s">
        <v>16192</v>
      </c>
      <c r="L4441" s="1"/>
      <c r="M4441" s="1"/>
    </row>
    <row x14ac:dyDescent="0.25" r="4442" customHeight="1" ht="18.75">
      <c r="A4442" s="1" t="s">
        <v>3598</v>
      </c>
      <c r="B4442" s="1" t="s">
        <v>8656</v>
      </c>
      <c r="C4442" s="1" t="s">
        <v>3600</v>
      </c>
      <c r="D4442" s="1" t="s">
        <v>8365</v>
      </c>
      <c r="E4442" s="1"/>
      <c r="F4442" s="1" t="s">
        <v>16193</v>
      </c>
      <c r="G4442" s="1" t="s">
        <v>8658</v>
      </c>
      <c r="H4442" s="1" t="s">
        <v>3604</v>
      </c>
      <c r="I4442" s="1" t="s">
        <v>16194</v>
      </c>
      <c r="J4442" s="1" t="s">
        <v>3615</v>
      </c>
      <c r="K4442" s="1" t="s">
        <v>16195</v>
      </c>
      <c r="L4442" s="1"/>
      <c r="M4442" s="1"/>
    </row>
    <row x14ac:dyDescent="0.25" r="4443" customHeight="1" ht="18.75">
      <c r="A4443" s="1" t="s">
        <v>3598</v>
      </c>
      <c r="B4443" s="1" t="s">
        <v>8656</v>
      </c>
      <c r="C4443" s="1" t="s">
        <v>3600</v>
      </c>
      <c r="D4443" s="1" t="s">
        <v>8365</v>
      </c>
      <c r="E4443" s="1"/>
      <c r="F4443" s="1" t="s">
        <v>16196</v>
      </c>
      <c r="G4443" s="1" t="s">
        <v>8658</v>
      </c>
      <c r="H4443" s="1" t="s">
        <v>3604</v>
      </c>
      <c r="I4443" s="1" t="s">
        <v>16197</v>
      </c>
      <c r="J4443" s="1" t="s">
        <v>3615</v>
      </c>
      <c r="K4443" s="1" t="s">
        <v>16198</v>
      </c>
      <c r="L4443" s="1"/>
      <c r="M4443" s="1"/>
    </row>
    <row x14ac:dyDescent="0.25" r="4444" customHeight="1" ht="18.75">
      <c r="A4444" s="1" t="s">
        <v>3598</v>
      </c>
      <c r="B4444" s="1" t="s">
        <v>8656</v>
      </c>
      <c r="C4444" s="1" t="s">
        <v>3600</v>
      </c>
      <c r="D4444" s="1" t="s">
        <v>8365</v>
      </c>
      <c r="E4444" s="1"/>
      <c r="F4444" s="1" t="s">
        <v>16199</v>
      </c>
      <c r="G4444" s="1" t="s">
        <v>8658</v>
      </c>
      <c r="H4444" s="1" t="s">
        <v>3604</v>
      </c>
      <c r="I4444" s="1" t="s">
        <v>16200</v>
      </c>
      <c r="J4444" s="1" t="s">
        <v>3615</v>
      </c>
      <c r="K4444" s="1" t="s">
        <v>16201</v>
      </c>
      <c r="L4444" s="1"/>
      <c r="M4444" s="1"/>
    </row>
    <row x14ac:dyDescent="0.25" r="4445" customHeight="1" ht="18.75">
      <c r="A4445" s="1" t="s">
        <v>3598</v>
      </c>
      <c r="B4445" s="1" t="s">
        <v>8656</v>
      </c>
      <c r="C4445" s="1" t="s">
        <v>3600</v>
      </c>
      <c r="D4445" s="1" t="s">
        <v>8365</v>
      </c>
      <c r="E4445" s="1"/>
      <c r="F4445" s="1" t="s">
        <v>16202</v>
      </c>
      <c r="G4445" s="1" t="s">
        <v>8658</v>
      </c>
      <c r="H4445" s="1" t="s">
        <v>3604</v>
      </c>
      <c r="I4445" s="1" t="s">
        <v>16203</v>
      </c>
      <c r="J4445" s="1" t="s">
        <v>3615</v>
      </c>
      <c r="K4445" s="1" t="s">
        <v>16204</v>
      </c>
      <c r="L4445" s="1"/>
      <c r="M4445" s="1"/>
    </row>
    <row x14ac:dyDescent="0.25" r="4446" customHeight="1" ht="18.75">
      <c r="A4446" s="1" t="s">
        <v>3598</v>
      </c>
      <c r="B4446" s="1" t="s">
        <v>16205</v>
      </c>
      <c r="C4446" s="1" t="s">
        <v>3600</v>
      </c>
      <c r="D4446" s="1" t="s">
        <v>8365</v>
      </c>
      <c r="E4446" s="1"/>
      <c r="F4446" s="1" t="s">
        <v>16206</v>
      </c>
      <c r="G4446" s="1" t="s">
        <v>8658</v>
      </c>
      <c r="H4446" s="1" t="s">
        <v>3604</v>
      </c>
      <c r="I4446" s="1" t="s">
        <v>16207</v>
      </c>
      <c r="J4446" s="1" t="s">
        <v>3615</v>
      </c>
      <c r="K4446" s="1" t="s">
        <v>16208</v>
      </c>
      <c r="L4446" s="1"/>
      <c r="M4446" s="1"/>
    </row>
    <row x14ac:dyDescent="0.25" r="4447" customHeight="1" ht="18.75">
      <c r="A4447" s="1" t="s">
        <v>3598</v>
      </c>
      <c r="B4447" s="1" t="s">
        <v>8656</v>
      </c>
      <c r="C4447" s="1" t="s">
        <v>3600</v>
      </c>
      <c r="D4447" s="1" t="s">
        <v>8365</v>
      </c>
      <c r="E4447" s="1"/>
      <c r="F4447" s="1" t="s">
        <v>16209</v>
      </c>
      <c r="G4447" s="1" t="s">
        <v>8658</v>
      </c>
      <c r="H4447" s="1" t="s">
        <v>3604</v>
      </c>
      <c r="I4447" s="1" t="s">
        <v>16210</v>
      </c>
      <c r="J4447" s="1" t="s">
        <v>3615</v>
      </c>
      <c r="K4447" s="1" t="s">
        <v>16211</v>
      </c>
      <c r="L4447" s="1"/>
      <c r="M4447" s="1"/>
    </row>
    <row x14ac:dyDescent="0.25" r="4448" customHeight="1" ht="18.75">
      <c r="A4448" s="1" t="s">
        <v>3598</v>
      </c>
      <c r="B4448" s="1" t="s">
        <v>8656</v>
      </c>
      <c r="C4448" s="1" t="s">
        <v>3600</v>
      </c>
      <c r="D4448" s="1" t="s">
        <v>8365</v>
      </c>
      <c r="E4448" s="1"/>
      <c r="F4448" s="1" t="s">
        <v>16212</v>
      </c>
      <c r="G4448" s="1" t="s">
        <v>8658</v>
      </c>
      <c r="H4448" s="1" t="s">
        <v>3604</v>
      </c>
      <c r="I4448" s="1" t="s">
        <v>16213</v>
      </c>
      <c r="J4448" s="1" t="s">
        <v>3615</v>
      </c>
      <c r="K4448" s="1" t="s">
        <v>16214</v>
      </c>
      <c r="L4448" s="1"/>
      <c r="M4448" s="1"/>
    </row>
    <row x14ac:dyDescent="0.25" r="4449" customHeight="1" ht="18.75">
      <c r="A4449" s="1" t="s">
        <v>3598</v>
      </c>
      <c r="B4449" s="1" t="s">
        <v>8656</v>
      </c>
      <c r="C4449" s="1" t="s">
        <v>3600</v>
      </c>
      <c r="D4449" s="1" t="s">
        <v>8365</v>
      </c>
      <c r="E4449" s="1"/>
      <c r="F4449" s="1" t="s">
        <v>16215</v>
      </c>
      <c r="G4449" s="1" t="s">
        <v>8658</v>
      </c>
      <c r="H4449" s="1" t="s">
        <v>3604</v>
      </c>
      <c r="I4449" s="1" t="s">
        <v>16216</v>
      </c>
      <c r="J4449" s="1" t="s">
        <v>3615</v>
      </c>
      <c r="K4449" s="1" t="s">
        <v>16217</v>
      </c>
      <c r="L4449" s="1"/>
      <c r="M4449" s="1"/>
    </row>
    <row x14ac:dyDescent="0.25" r="4450" customHeight="1" ht="18.75">
      <c r="A4450" s="1" t="s">
        <v>3598</v>
      </c>
      <c r="B4450" s="1" t="s">
        <v>8656</v>
      </c>
      <c r="C4450" s="1" t="s">
        <v>3600</v>
      </c>
      <c r="D4450" s="1" t="s">
        <v>8365</v>
      </c>
      <c r="E4450" s="1"/>
      <c r="F4450" s="1" t="s">
        <v>16218</v>
      </c>
      <c r="G4450" s="1" t="s">
        <v>8658</v>
      </c>
      <c r="H4450" s="1" t="s">
        <v>3604</v>
      </c>
      <c r="I4450" s="1" t="s">
        <v>16219</v>
      </c>
      <c r="J4450" s="1" t="s">
        <v>3615</v>
      </c>
      <c r="K4450" s="1" t="s">
        <v>16220</v>
      </c>
      <c r="L4450" s="1"/>
      <c r="M4450" s="1"/>
    </row>
    <row x14ac:dyDescent="0.25" r="4451" customHeight="1" ht="18.75">
      <c r="A4451" s="1" t="s">
        <v>3598</v>
      </c>
      <c r="B4451" s="1" t="s">
        <v>8656</v>
      </c>
      <c r="C4451" s="1" t="s">
        <v>3600</v>
      </c>
      <c r="D4451" s="1" t="s">
        <v>8365</v>
      </c>
      <c r="E4451" s="1"/>
      <c r="F4451" s="1" t="s">
        <v>16221</v>
      </c>
      <c r="G4451" s="1" t="s">
        <v>8658</v>
      </c>
      <c r="H4451" s="1" t="s">
        <v>3604</v>
      </c>
      <c r="I4451" s="1" t="s">
        <v>16222</v>
      </c>
      <c r="J4451" s="1" t="s">
        <v>3615</v>
      </c>
      <c r="K4451" s="1" t="s">
        <v>16223</v>
      </c>
      <c r="L4451" s="1"/>
      <c r="M4451" s="1"/>
    </row>
    <row x14ac:dyDescent="0.25" r="4452" customHeight="1" ht="18.75">
      <c r="A4452" s="1" t="s">
        <v>3598</v>
      </c>
      <c r="B4452" s="1" t="s">
        <v>8656</v>
      </c>
      <c r="C4452" s="1" t="s">
        <v>3600</v>
      </c>
      <c r="D4452" s="1" t="s">
        <v>8365</v>
      </c>
      <c r="E4452" s="1"/>
      <c r="F4452" s="1" t="s">
        <v>16224</v>
      </c>
      <c r="G4452" s="1" t="s">
        <v>8658</v>
      </c>
      <c r="H4452" s="1" t="s">
        <v>3604</v>
      </c>
      <c r="I4452" s="1" t="s">
        <v>16225</v>
      </c>
      <c r="J4452" s="1" t="s">
        <v>3615</v>
      </c>
      <c r="K4452" s="1" t="s">
        <v>16226</v>
      </c>
      <c r="L4452" s="1"/>
      <c r="M4452" s="1"/>
    </row>
    <row x14ac:dyDescent="0.25" r="4453" customHeight="1" ht="18.75">
      <c r="A4453" s="1" t="s">
        <v>3598</v>
      </c>
      <c r="B4453" s="1" t="s">
        <v>8656</v>
      </c>
      <c r="C4453" s="1" t="s">
        <v>3600</v>
      </c>
      <c r="D4453" s="1" t="s">
        <v>8365</v>
      </c>
      <c r="E4453" s="1"/>
      <c r="F4453" s="1" t="s">
        <v>16227</v>
      </c>
      <c r="G4453" s="1" t="s">
        <v>8658</v>
      </c>
      <c r="H4453" s="1" t="s">
        <v>3604</v>
      </c>
      <c r="I4453" s="1" t="s">
        <v>16228</v>
      </c>
      <c r="J4453" s="1" t="s">
        <v>3615</v>
      </c>
      <c r="K4453" s="1" t="s">
        <v>16229</v>
      </c>
      <c r="L4453" s="1"/>
      <c r="M4453" s="1"/>
    </row>
    <row x14ac:dyDescent="0.25" r="4454" customHeight="1" ht="18.75">
      <c r="A4454" s="1" t="s">
        <v>3598</v>
      </c>
      <c r="B4454" s="1" t="s">
        <v>8656</v>
      </c>
      <c r="C4454" s="1" t="s">
        <v>3600</v>
      </c>
      <c r="D4454" s="1" t="s">
        <v>8365</v>
      </c>
      <c r="E4454" s="1"/>
      <c r="F4454" s="1" t="s">
        <v>16230</v>
      </c>
      <c r="G4454" s="1" t="s">
        <v>8658</v>
      </c>
      <c r="H4454" s="1" t="s">
        <v>3604</v>
      </c>
      <c r="I4454" s="1" t="s">
        <v>16231</v>
      </c>
      <c r="J4454" s="1" t="s">
        <v>3615</v>
      </c>
      <c r="K4454" s="1" t="s">
        <v>16232</v>
      </c>
      <c r="L4454" s="1"/>
      <c r="M4454" s="1"/>
    </row>
    <row x14ac:dyDescent="0.25" r="4455" customHeight="1" ht="18.75">
      <c r="A4455" s="1" t="s">
        <v>3598</v>
      </c>
      <c r="B4455" s="1" t="s">
        <v>8656</v>
      </c>
      <c r="C4455" s="1" t="s">
        <v>3600</v>
      </c>
      <c r="D4455" s="1" t="s">
        <v>8365</v>
      </c>
      <c r="E4455" s="1"/>
      <c r="F4455" s="1" t="s">
        <v>16233</v>
      </c>
      <c r="G4455" s="1" t="s">
        <v>8658</v>
      </c>
      <c r="H4455" s="1" t="s">
        <v>3604</v>
      </c>
      <c r="I4455" s="1" t="s">
        <v>16234</v>
      </c>
      <c r="J4455" s="1" t="s">
        <v>3615</v>
      </c>
      <c r="K4455" s="1" t="s">
        <v>16235</v>
      </c>
      <c r="L4455" s="1"/>
      <c r="M4455" s="1"/>
    </row>
    <row x14ac:dyDescent="0.25" r="4456" customHeight="1" ht="18.75">
      <c r="A4456" s="1" t="s">
        <v>3598</v>
      </c>
      <c r="B4456" s="1" t="s">
        <v>8656</v>
      </c>
      <c r="C4456" s="1" t="s">
        <v>3600</v>
      </c>
      <c r="D4456" s="1" t="s">
        <v>8365</v>
      </c>
      <c r="E4456" s="1"/>
      <c r="F4456" s="1" t="s">
        <v>16236</v>
      </c>
      <c r="G4456" s="1" t="s">
        <v>8658</v>
      </c>
      <c r="H4456" s="1" t="s">
        <v>3604</v>
      </c>
      <c r="I4456" s="1" t="s">
        <v>16237</v>
      </c>
      <c r="J4456" s="1" t="s">
        <v>3615</v>
      </c>
      <c r="K4456" s="1" t="s">
        <v>16238</v>
      </c>
      <c r="L4456" s="1"/>
      <c r="M4456" s="1"/>
    </row>
    <row x14ac:dyDescent="0.25" r="4457" customHeight="1" ht="18.75">
      <c r="A4457" s="1" t="s">
        <v>3598</v>
      </c>
      <c r="B4457" s="1" t="s">
        <v>8656</v>
      </c>
      <c r="C4457" s="1" t="s">
        <v>3600</v>
      </c>
      <c r="D4457" s="1" t="s">
        <v>8365</v>
      </c>
      <c r="E4457" s="1"/>
      <c r="F4457" s="1" t="s">
        <v>16239</v>
      </c>
      <c r="G4457" s="1" t="s">
        <v>8658</v>
      </c>
      <c r="H4457" s="1" t="s">
        <v>3604</v>
      </c>
      <c r="I4457" s="1" t="s">
        <v>16240</v>
      </c>
      <c r="J4457" s="1" t="s">
        <v>3615</v>
      </c>
      <c r="K4457" s="1" t="s">
        <v>16241</v>
      </c>
      <c r="L4457" s="1"/>
      <c r="M4457" s="1"/>
    </row>
    <row x14ac:dyDescent="0.25" r="4458" customHeight="1" ht="18.75">
      <c r="A4458" s="1" t="s">
        <v>3598</v>
      </c>
      <c r="B4458" s="1" t="s">
        <v>8656</v>
      </c>
      <c r="C4458" s="1" t="s">
        <v>3600</v>
      </c>
      <c r="D4458" s="1" t="s">
        <v>8365</v>
      </c>
      <c r="E4458" s="1"/>
      <c r="F4458" s="1" t="s">
        <v>16242</v>
      </c>
      <c r="G4458" s="1" t="s">
        <v>8658</v>
      </c>
      <c r="H4458" s="1" t="s">
        <v>3604</v>
      </c>
      <c r="I4458" s="1" t="s">
        <v>16243</v>
      </c>
      <c r="J4458" s="1" t="s">
        <v>3615</v>
      </c>
      <c r="K4458" s="1" t="s">
        <v>16244</v>
      </c>
      <c r="L4458" s="1"/>
      <c r="M4458" s="1"/>
    </row>
    <row x14ac:dyDescent="0.25" r="4459" customHeight="1" ht="18.75">
      <c r="A4459" s="1" t="s">
        <v>3598</v>
      </c>
      <c r="B4459" s="1" t="s">
        <v>8656</v>
      </c>
      <c r="C4459" s="1" t="s">
        <v>3600</v>
      </c>
      <c r="D4459" s="1" t="s">
        <v>8365</v>
      </c>
      <c r="E4459" s="1"/>
      <c r="F4459" s="1" t="s">
        <v>16245</v>
      </c>
      <c r="G4459" s="1" t="s">
        <v>8658</v>
      </c>
      <c r="H4459" s="1" t="s">
        <v>3604</v>
      </c>
      <c r="I4459" s="1" t="s">
        <v>16246</v>
      </c>
      <c r="J4459" s="1" t="s">
        <v>3615</v>
      </c>
      <c r="K4459" s="1" t="s">
        <v>16247</v>
      </c>
      <c r="L4459" s="1"/>
      <c r="M4459" s="1"/>
    </row>
    <row x14ac:dyDescent="0.25" r="4460" customHeight="1" ht="18.75">
      <c r="A4460" s="1" t="s">
        <v>3598</v>
      </c>
      <c r="B4460" s="1" t="s">
        <v>8656</v>
      </c>
      <c r="C4460" s="1" t="s">
        <v>3600</v>
      </c>
      <c r="D4460" s="1" t="s">
        <v>8365</v>
      </c>
      <c r="E4460" s="1"/>
      <c r="F4460" s="1" t="s">
        <v>16248</v>
      </c>
      <c r="G4460" s="1" t="s">
        <v>8658</v>
      </c>
      <c r="H4460" s="1" t="s">
        <v>3604</v>
      </c>
      <c r="I4460" s="1" t="s">
        <v>16249</v>
      </c>
      <c r="J4460" s="1" t="s">
        <v>3615</v>
      </c>
      <c r="K4460" s="1" t="s">
        <v>16250</v>
      </c>
      <c r="L4460" s="1"/>
      <c r="M4460" s="1"/>
    </row>
    <row x14ac:dyDescent="0.25" r="4461" customHeight="1" ht="18.75">
      <c r="A4461" s="1" t="s">
        <v>3598</v>
      </c>
      <c r="B4461" s="1" t="s">
        <v>8656</v>
      </c>
      <c r="C4461" s="1" t="s">
        <v>3600</v>
      </c>
      <c r="D4461" s="1" t="s">
        <v>8365</v>
      </c>
      <c r="E4461" s="1"/>
      <c r="F4461" s="1" t="s">
        <v>16251</v>
      </c>
      <c r="G4461" s="1" t="s">
        <v>8658</v>
      </c>
      <c r="H4461" s="1" t="s">
        <v>3604</v>
      </c>
      <c r="I4461" s="1" t="s">
        <v>16252</v>
      </c>
      <c r="J4461" s="1" t="s">
        <v>3615</v>
      </c>
      <c r="K4461" s="1" t="s">
        <v>16253</v>
      </c>
      <c r="L4461" s="1"/>
      <c r="M4461" s="1"/>
    </row>
    <row x14ac:dyDescent="0.25" r="4462" customHeight="1" ht="18.75">
      <c r="A4462" s="1" t="s">
        <v>3598</v>
      </c>
      <c r="B4462" s="1" t="s">
        <v>8656</v>
      </c>
      <c r="C4462" s="1" t="s">
        <v>3600</v>
      </c>
      <c r="D4462" s="1" t="s">
        <v>8365</v>
      </c>
      <c r="E4462" s="1"/>
      <c r="F4462" s="1" t="s">
        <v>16254</v>
      </c>
      <c r="G4462" s="1" t="s">
        <v>8658</v>
      </c>
      <c r="H4462" s="1" t="s">
        <v>3604</v>
      </c>
      <c r="I4462" s="1" t="s">
        <v>16255</v>
      </c>
      <c r="J4462" s="1" t="s">
        <v>3615</v>
      </c>
      <c r="K4462" s="1" t="s">
        <v>16256</v>
      </c>
      <c r="L4462" s="1"/>
      <c r="M4462" s="1"/>
    </row>
    <row x14ac:dyDescent="0.25" r="4463" customHeight="1" ht="18.75">
      <c r="A4463" s="1" t="s">
        <v>3598</v>
      </c>
      <c r="B4463" s="1" t="s">
        <v>8656</v>
      </c>
      <c r="C4463" s="1" t="s">
        <v>3600</v>
      </c>
      <c r="D4463" s="1" t="s">
        <v>8365</v>
      </c>
      <c r="E4463" s="1"/>
      <c r="F4463" s="1" t="s">
        <v>16257</v>
      </c>
      <c r="G4463" s="1" t="s">
        <v>8658</v>
      </c>
      <c r="H4463" s="1" t="s">
        <v>3604</v>
      </c>
      <c r="I4463" s="1" t="s">
        <v>16258</v>
      </c>
      <c r="J4463" s="1" t="s">
        <v>3615</v>
      </c>
      <c r="K4463" s="1" t="s">
        <v>16259</v>
      </c>
      <c r="L4463" s="1"/>
      <c r="M4463" s="1"/>
    </row>
    <row x14ac:dyDescent="0.25" r="4464" customHeight="1" ht="18.75">
      <c r="A4464" s="1" t="s">
        <v>3598</v>
      </c>
      <c r="B4464" s="1" t="s">
        <v>8656</v>
      </c>
      <c r="C4464" s="1" t="s">
        <v>3600</v>
      </c>
      <c r="D4464" s="1" t="s">
        <v>8365</v>
      </c>
      <c r="E4464" s="1"/>
      <c r="F4464" s="1" t="s">
        <v>16260</v>
      </c>
      <c r="G4464" s="1" t="s">
        <v>8658</v>
      </c>
      <c r="H4464" s="1" t="s">
        <v>3604</v>
      </c>
      <c r="I4464" s="1" t="s">
        <v>16261</v>
      </c>
      <c r="J4464" s="1" t="s">
        <v>3615</v>
      </c>
      <c r="K4464" s="1" t="s">
        <v>16262</v>
      </c>
      <c r="L4464" s="1"/>
      <c r="M4464" s="1"/>
    </row>
    <row x14ac:dyDescent="0.25" r="4465" customHeight="1" ht="18.75">
      <c r="A4465" s="1" t="s">
        <v>3598</v>
      </c>
      <c r="B4465" s="1" t="s">
        <v>8656</v>
      </c>
      <c r="C4465" s="1" t="s">
        <v>3600</v>
      </c>
      <c r="D4465" s="1" t="s">
        <v>8365</v>
      </c>
      <c r="E4465" s="1"/>
      <c r="F4465" s="1" t="s">
        <v>16263</v>
      </c>
      <c r="G4465" s="1" t="s">
        <v>8658</v>
      </c>
      <c r="H4465" s="1" t="s">
        <v>3604</v>
      </c>
      <c r="I4465" s="1" t="s">
        <v>16264</v>
      </c>
      <c r="J4465" s="1" t="s">
        <v>3615</v>
      </c>
      <c r="K4465" s="1" t="s">
        <v>16265</v>
      </c>
      <c r="L4465" s="1"/>
      <c r="M4465" s="1"/>
    </row>
    <row x14ac:dyDescent="0.25" r="4466" customHeight="1" ht="18.75">
      <c r="A4466" s="1" t="s">
        <v>3598</v>
      </c>
      <c r="B4466" s="1" t="s">
        <v>8656</v>
      </c>
      <c r="C4466" s="1" t="s">
        <v>3600</v>
      </c>
      <c r="D4466" s="1" t="s">
        <v>8365</v>
      </c>
      <c r="E4466" s="1"/>
      <c r="F4466" s="1" t="s">
        <v>16266</v>
      </c>
      <c r="G4466" s="1" t="s">
        <v>8658</v>
      </c>
      <c r="H4466" s="1" t="s">
        <v>3604</v>
      </c>
      <c r="I4466" s="1" t="s">
        <v>16267</v>
      </c>
      <c r="J4466" s="1" t="s">
        <v>3615</v>
      </c>
      <c r="K4466" s="1" t="s">
        <v>16268</v>
      </c>
      <c r="L4466" s="1"/>
      <c r="M4466" s="1"/>
    </row>
    <row x14ac:dyDescent="0.25" r="4467" customHeight="1" ht="18.75">
      <c r="A4467" s="1" t="s">
        <v>3598</v>
      </c>
      <c r="B4467" s="1" t="s">
        <v>8656</v>
      </c>
      <c r="C4467" s="1" t="s">
        <v>3600</v>
      </c>
      <c r="D4467" s="1" t="s">
        <v>8365</v>
      </c>
      <c r="E4467" s="1"/>
      <c r="F4467" s="1" t="s">
        <v>16269</v>
      </c>
      <c r="G4467" s="1" t="s">
        <v>8658</v>
      </c>
      <c r="H4467" s="1" t="s">
        <v>3604</v>
      </c>
      <c r="I4467" s="1" t="s">
        <v>16270</v>
      </c>
      <c r="J4467" s="1" t="s">
        <v>3615</v>
      </c>
      <c r="K4467" s="1" t="s">
        <v>16271</v>
      </c>
      <c r="L4467" s="1"/>
      <c r="M4467" s="1"/>
    </row>
    <row x14ac:dyDescent="0.25" r="4468" customHeight="1" ht="18.75">
      <c r="A4468" s="1" t="s">
        <v>3598</v>
      </c>
      <c r="B4468" s="1" t="s">
        <v>8656</v>
      </c>
      <c r="C4468" s="1" t="s">
        <v>3600</v>
      </c>
      <c r="D4468" s="1" t="s">
        <v>8365</v>
      </c>
      <c r="E4468" s="1"/>
      <c r="F4468" s="1" t="s">
        <v>16272</v>
      </c>
      <c r="G4468" s="1" t="s">
        <v>8658</v>
      </c>
      <c r="H4468" s="1" t="s">
        <v>3604</v>
      </c>
      <c r="I4468" s="1" t="s">
        <v>16273</v>
      </c>
      <c r="J4468" s="1" t="s">
        <v>3615</v>
      </c>
      <c r="K4468" s="1" t="s">
        <v>16274</v>
      </c>
      <c r="L4468" s="1"/>
      <c r="M4468" s="1"/>
    </row>
    <row x14ac:dyDescent="0.25" r="4469" customHeight="1" ht="18.75">
      <c r="A4469" s="1" t="s">
        <v>3598</v>
      </c>
      <c r="B4469" s="1" t="s">
        <v>8656</v>
      </c>
      <c r="C4469" s="1" t="s">
        <v>3600</v>
      </c>
      <c r="D4469" s="1" t="s">
        <v>8365</v>
      </c>
      <c r="E4469" s="1"/>
      <c r="F4469" s="1" t="s">
        <v>16275</v>
      </c>
      <c r="G4469" s="1" t="s">
        <v>8658</v>
      </c>
      <c r="H4469" s="1" t="s">
        <v>3604</v>
      </c>
      <c r="I4469" s="1" t="s">
        <v>16276</v>
      </c>
      <c r="J4469" s="1" t="s">
        <v>3615</v>
      </c>
      <c r="K4469" s="1" t="s">
        <v>16277</v>
      </c>
      <c r="L4469" s="1"/>
      <c r="M4469" s="1"/>
    </row>
    <row x14ac:dyDescent="0.25" r="4470" customHeight="1" ht="18.75">
      <c r="A4470" s="1" t="s">
        <v>3598</v>
      </c>
      <c r="B4470" s="1" t="s">
        <v>8656</v>
      </c>
      <c r="C4470" s="1" t="s">
        <v>3600</v>
      </c>
      <c r="D4470" s="1" t="s">
        <v>8365</v>
      </c>
      <c r="E4470" s="1"/>
      <c r="F4470" s="1" t="s">
        <v>16278</v>
      </c>
      <c r="G4470" s="1" t="s">
        <v>8658</v>
      </c>
      <c r="H4470" s="1" t="s">
        <v>3604</v>
      </c>
      <c r="I4470" s="1" t="s">
        <v>16279</v>
      </c>
      <c r="J4470" s="1" t="s">
        <v>3615</v>
      </c>
      <c r="K4470" s="1" t="s">
        <v>16280</v>
      </c>
      <c r="L4470" s="1"/>
      <c r="M4470" s="1"/>
    </row>
    <row x14ac:dyDescent="0.25" r="4471" customHeight="1" ht="18.75">
      <c r="A4471" s="1" t="s">
        <v>3598</v>
      </c>
      <c r="B4471" s="1" t="s">
        <v>8656</v>
      </c>
      <c r="C4471" s="1" t="s">
        <v>3600</v>
      </c>
      <c r="D4471" s="1" t="s">
        <v>8365</v>
      </c>
      <c r="E4471" s="1"/>
      <c r="F4471" s="1" t="s">
        <v>16281</v>
      </c>
      <c r="G4471" s="1" t="s">
        <v>8658</v>
      </c>
      <c r="H4471" s="1" t="s">
        <v>3604</v>
      </c>
      <c r="I4471" s="1" t="s">
        <v>16282</v>
      </c>
      <c r="J4471" s="1" t="s">
        <v>3615</v>
      </c>
      <c r="K4471" s="1" t="s">
        <v>16283</v>
      </c>
      <c r="L4471" s="1"/>
      <c r="M4471" s="1"/>
    </row>
    <row x14ac:dyDescent="0.25" r="4472" customHeight="1" ht="18.75">
      <c r="A4472" s="1" t="s">
        <v>3598</v>
      </c>
      <c r="B4472" s="1" t="s">
        <v>8656</v>
      </c>
      <c r="C4472" s="1" t="s">
        <v>3600</v>
      </c>
      <c r="D4472" s="1" t="s">
        <v>8365</v>
      </c>
      <c r="E4472" s="1"/>
      <c r="F4472" s="1" t="s">
        <v>16284</v>
      </c>
      <c r="G4472" s="1" t="s">
        <v>8658</v>
      </c>
      <c r="H4472" s="1" t="s">
        <v>3604</v>
      </c>
      <c r="I4472" s="1" t="s">
        <v>16285</v>
      </c>
      <c r="J4472" s="1" t="s">
        <v>3615</v>
      </c>
      <c r="K4472" s="1" t="s">
        <v>16286</v>
      </c>
      <c r="L4472" s="1"/>
      <c r="M4472" s="1"/>
    </row>
    <row x14ac:dyDescent="0.25" r="4473" customHeight="1" ht="18.75">
      <c r="A4473" s="1" t="s">
        <v>3598</v>
      </c>
      <c r="B4473" s="1" t="s">
        <v>8656</v>
      </c>
      <c r="C4473" s="1" t="s">
        <v>3600</v>
      </c>
      <c r="D4473" s="1" t="s">
        <v>8365</v>
      </c>
      <c r="E4473" s="1"/>
      <c r="F4473" s="1" t="s">
        <v>16287</v>
      </c>
      <c r="G4473" s="1" t="s">
        <v>8658</v>
      </c>
      <c r="H4473" s="1" t="s">
        <v>3604</v>
      </c>
      <c r="I4473" s="1" t="s">
        <v>16288</v>
      </c>
      <c r="J4473" s="1" t="s">
        <v>3615</v>
      </c>
      <c r="K4473" s="1" t="s">
        <v>16289</v>
      </c>
      <c r="L4473" s="1"/>
      <c r="M4473" s="1"/>
    </row>
    <row x14ac:dyDescent="0.25" r="4474" customHeight="1" ht="18.75">
      <c r="A4474" s="1" t="s">
        <v>3598</v>
      </c>
      <c r="B4474" s="1" t="s">
        <v>8656</v>
      </c>
      <c r="C4474" s="1" t="s">
        <v>3600</v>
      </c>
      <c r="D4474" s="1" t="s">
        <v>8365</v>
      </c>
      <c r="E4474" s="1"/>
      <c r="F4474" s="1" t="s">
        <v>16290</v>
      </c>
      <c r="G4474" s="1" t="s">
        <v>8658</v>
      </c>
      <c r="H4474" s="1" t="s">
        <v>3604</v>
      </c>
      <c r="I4474" s="1" t="s">
        <v>16291</v>
      </c>
      <c r="J4474" s="1" t="s">
        <v>3615</v>
      </c>
      <c r="K4474" s="1" t="s">
        <v>16292</v>
      </c>
      <c r="L4474" s="1"/>
      <c r="M4474" s="1"/>
    </row>
    <row x14ac:dyDescent="0.25" r="4475" customHeight="1" ht="18.75">
      <c r="A4475" s="1" t="s">
        <v>3598</v>
      </c>
      <c r="B4475" s="1" t="s">
        <v>8656</v>
      </c>
      <c r="C4475" s="1" t="s">
        <v>3600</v>
      </c>
      <c r="D4475" s="1" t="s">
        <v>8365</v>
      </c>
      <c r="E4475" s="1"/>
      <c r="F4475" s="1" t="s">
        <v>16293</v>
      </c>
      <c r="G4475" s="1" t="s">
        <v>8658</v>
      </c>
      <c r="H4475" s="1" t="s">
        <v>3604</v>
      </c>
      <c r="I4475" s="1" t="s">
        <v>16294</v>
      </c>
      <c r="J4475" s="1" t="s">
        <v>3615</v>
      </c>
      <c r="K4475" s="1" t="s">
        <v>16295</v>
      </c>
      <c r="L4475" s="1"/>
      <c r="M4475" s="1"/>
    </row>
    <row x14ac:dyDescent="0.25" r="4476" customHeight="1" ht="18.75">
      <c r="A4476" s="1" t="s">
        <v>3598</v>
      </c>
      <c r="B4476" s="1" t="s">
        <v>8656</v>
      </c>
      <c r="C4476" s="1" t="s">
        <v>3600</v>
      </c>
      <c r="D4476" s="1" t="s">
        <v>8365</v>
      </c>
      <c r="E4476" s="1"/>
      <c r="F4476" s="1" t="s">
        <v>16296</v>
      </c>
      <c r="G4476" s="1" t="s">
        <v>8658</v>
      </c>
      <c r="H4476" s="1" t="s">
        <v>3604</v>
      </c>
      <c r="I4476" s="1" t="s">
        <v>16297</v>
      </c>
      <c r="J4476" s="1" t="s">
        <v>3615</v>
      </c>
      <c r="K4476" s="1" t="s">
        <v>16298</v>
      </c>
      <c r="L4476" s="1"/>
      <c r="M4476" s="1"/>
    </row>
    <row x14ac:dyDescent="0.25" r="4477" customHeight="1" ht="18.75">
      <c r="A4477" s="1" t="s">
        <v>3598</v>
      </c>
      <c r="B4477" s="1" t="s">
        <v>8656</v>
      </c>
      <c r="C4477" s="1" t="s">
        <v>3600</v>
      </c>
      <c r="D4477" s="1" t="s">
        <v>8365</v>
      </c>
      <c r="E4477" s="1"/>
      <c r="F4477" s="1" t="s">
        <v>16299</v>
      </c>
      <c r="G4477" s="1" t="s">
        <v>8658</v>
      </c>
      <c r="H4477" s="1" t="s">
        <v>3604</v>
      </c>
      <c r="I4477" s="1" t="s">
        <v>16300</v>
      </c>
      <c r="J4477" s="1" t="s">
        <v>3615</v>
      </c>
      <c r="K4477" s="1" t="s">
        <v>16301</v>
      </c>
      <c r="L4477" s="1"/>
      <c r="M4477" s="1"/>
    </row>
    <row x14ac:dyDescent="0.25" r="4478" customHeight="1" ht="18.75">
      <c r="A4478" s="1" t="s">
        <v>3598</v>
      </c>
      <c r="B4478" s="1" t="s">
        <v>8656</v>
      </c>
      <c r="C4478" s="1" t="s">
        <v>3600</v>
      </c>
      <c r="D4478" s="1" t="s">
        <v>8365</v>
      </c>
      <c r="E4478" s="1"/>
      <c r="F4478" s="1" t="s">
        <v>16302</v>
      </c>
      <c r="G4478" s="1" t="s">
        <v>8658</v>
      </c>
      <c r="H4478" s="1" t="s">
        <v>3604</v>
      </c>
      <c r="I4478" s="1" t="s">
        <v>16303</v>
      </c>
      <c r="J4478" s="1" t="s">
        <v>3615</v>
      </c>
      <c r="K4478" s="1" t="s">
        <v>16304</v>
      </c>
      <c r="L4478" s="1"/>
      <c r="M4478" s="1"/>
    </row>
    <row x14ac:dyDescent="0.25" r="4479" customHeight="1" ht="18.75">
      <c r="A4479" s="1" t="s">
        <v>3598</v>
      </c>
      <c r="B4479" s="1" t="s">
        <v>8656</v>
      </c>
      <c r="C4479" s="1" t="s">
        <v>3600</v>
      </c>
      <c r="D4479" s="1" t="s">
        <v>8365</v>
      </c>
      <c r="E4479" s="1"/>
      <c r="F4479" s="1" t="s">
        <v>16305</v>
      </c>
      <c r="G4479" s="1" t="s">
        <v>8658</v>
      </c>
      <c r="H4479" s="1" t="s">
        <v>3604</v>
      </c>
      <c r="I4479" s="1" t="s">
        <v>16306</v>
      </c>
      <c r="J4479" s="1" t="s">
        <v>3615</v>
      </c>
      <c r="K4479" s="1" t="s">
        <v>16307</v>
      </c>
      <c r="L4479" s="1"/>
      <c r="M4479" s="1"/>
    </row>
    <row x14ac:dyDescent="0.25" r="4480" customHeight="1" ht="18.75">
      <c r="A4480" s="1" t="s">
        <v>3598</v>
      </c>
      <c r="B4480" s="1" t="s">
        <v>8656</v>
      </c>
      <c r="C4480" s="1" t="s">
        <v>3600</v>
      </c>
      <c r="D4480" s="1" t="s">
        <v>8365</v>
      </c>
      <c r="E4480" s="1"/>
      <c r="F4480" s="1" t="s">
        <v>16308</v>
      </c>
      <c r="G4480" s="1" t="s">
        <v>8658</v>
      </c>
      <c r="H4480" s="1" t="s">
        <v>3604</v>
      </c>
      <c r="I4480" s="1" t="s">
        <v>16309</v>
      </c>
      <c r="J4480" s="1" t="s">
        <v>3615</v>
      </c>
      <c r="K4480" s="1" t="s">
        <v>16310</v>
      </c>
      <c r="L4480" s="1"/>
      <c r="M4480" s="1"/>
    </row>
    <row x14ac:dyDescent="0.25" r="4481" customHeight="1" ht="18.75">
      <c r="A4481" s="1" t="s">
        <v>3598</v>
      </c>
      <c r="B4481" s="1" t="s">
        <v>8656</v>
      </c>
      <c r="C4481" s="1" t="s">
        <v>3600</v>
      </c>
      <c r="D4481" s="1" t="s">
        <v>8365</v>
      </c>
      <c r="E4481" s="1"/>
      <c r="F4481" s="1" t="s">
        <v>16311</v>
      </c>
      <c r="G4481" s="1" t="s">
        <v>8658</v>
      </c>
      <c r="H4481" s="1" t="s">
        <v>3604</v>
      </c>
      <c r="I4481" s="1" t="s">
        <v>16312</v>
      </c>
      <c r="J4481" s="1" t="s">
        <v>3615</v>
      </c>
      <c r="K4481" s="1" t="s">
        <v>16313</v>
      </c>
      <c r="L4481" s="1"/>
      <c r="M4481" s="1"/>
    </row>
    <row x14ac:dyDescent="0.25" r="4482" customHeight="1" ht="18.75">
      <c r="A4482" s="1" t="s">
        <v>3598</v>
      </c>
      <c r="B4482" s="1" t="s">
        <v>8656</v>
      </c>
      <c r="C4482" s="1" t="s">
        <v>3600</v>
      </c>
      <c r="D4482" s="1" t="s">
        <v>8365</v>
      </c>
      <c r="E4482" s="1"/>
      <c r="F4482" s="1" t="s">
        <v>16314</v>
      </c>
      <c r="G4482" s="1" t="s">
        <v>8658</v>
      </c>
      <c r="H4482" s="1" t="s">
        <v>3604</v>
      </c>
      <c r="I4482" s="1" t="s">
        <v>16315</v>
      </c>
      <c r="J4482" s="1" t="s">
        <v>3615</v>
      </c>
      <c r="K4482" s="1" t="s">
        <v>16316</v>
      </c>
      <c r="L4482" s="1"/>
      <c r="M4482" s="1"/>
    </row>
    <row x14ac:dyDescent="0.25" r="4483" customHeight="1" ht="18.75">
      <c r="A4483" s="1" t="s">
        <v>3598</v>
      </c>
      <c r="B4483" s="1" t="s">
        <v>8656</v>
      </c>
      <c r="C4483" s="1" t="s">
        <v>3600</v>
      </c>
      <c r="D4483" s="1" t="s">
        <v>8365</v>
      </c>
      <c r="E4483" s="1"/>
      <c r="F4483" s="1" t="s">
        <v>16317</v>
      </c>
      <c r="G4483" s="1" t="s">
        <v>8658</v>
      </c>
      <c r="H4483" s="1" t="s">
        <v>3604</v>
      </c>
      <c r="I4483" s="1" t="s">
        <v>16318</v>
      </c>
      <c r="J4483" s="1" t="s">
        <v>3615</v>
      </c>
      <c r="K4483" s="1" t="s">
        <v>16319</v>
      </c>
      <c r="L4483" s="1"/>
      <c r="M4483" s="1"/>
    </row>
    <row x14ac:dyDescent="0.25" r="4484" customHeight="1" ht="18.75">
      <c r="A4484" s="1" t="s">
        <v>3598</v>
      </c>
      <c r="B4484" s="1" t="s">
        <v>8656</v>
      </c>
      <c r="C4484" s="1" t="s">
        <v>3600</v>
      </c>
      <c r="D4484" s="1" t="s">
        <v>8365</v>
      </c>
      <c r="E4484" s="1"/>
      <c r="F4484" s="1" t="s">
        <v>16320</v>
      </c>
      <c r="G4484" s="1" t="s">
        <v>8658</v>
      </c>
      <c r="H4484" s="1" t="s">
        <v>3604</v>
      </c>
      <c r="I4484" s="1" t="s">
        <v>16321</v>
      </c>
      <c r="J4484" s="1" t="s">
        <v>3615</v>
      </c>
      <c r="K4484" s="1" t="s">
        <v>16322</v>
      </c>
      <c r="L4484" s="1"/>
      <c r="M4484" s="1"/>
    </row>
    <row x14ac:dyDescent="0.25" r="4485" customHeight="1" ht="18.75">
      <c r="A4485" s="1" t="s">
        <v>3598</v>
      </c>
      <c r="B4485" s="1" t="s">
        <v>8656</v>
      </c>
      <c r="C4485" s="1" t="s">
        <v>3600</v>
      </c>
      <c r="D4485" s="1" t="s">
        <v>8365</v>
      </c>
      <c r="E4485" s="1"/>
      <c r="F4485" s="1" t="s">
        <v>16323</v>
      </c>
      <c r="G4485" s="1" t="s">
        <v>8658</v>
      </c>
      <c r="H4485" s="1" t="s">
        <v>3604</v>
      </c>
      <c r="I4485" s="1" t="s">
        <v>16324</v>
      </c>
      <c r="J4485" s="1" t="s">
        <v>3615</v>
      </c>
      <c r="K4485" s="1" t="s">
        <v>16325</v>
      </c>
      <c r="L4485" s="1"/>
      <c r="M4485" s="1"/>
    </row>
    <row x14ac:dyDescent="0.25" r="4486" customHeight="1" ht="18.75">
      <c r="A4486" s="1" t="s">
        <v>3598</v>
      </c>
      <c r="B4486" s="1" t="s">
        <v>8656</v>
      </c>
      <c r="C4486" s="1" t="s">
        <v>3600</v>
      </c>
      <c r="D4486" s="1" t="s">
        <v>8365</v>
      </c>
      <c r="E4486" s="1"/>
      <c r="F4486" s="1" t="s">
        <v>16326</v>
      </c>
      <c r="G4486" s="1" t="s">
        <v>8658</v>
      </c>
      <c r="H4486" s="1" t="s">
        <v>3604</v>
      </c>
      <c r="I4486" s="1" t="s">
        <v>16327</v>
      </c>
      <c r="J4486" s="1" t="s">
        <v>3615</v>
      </c>
      <c r="K4486" s="1" t="s">
        <v>16328</v>
      </c>
      <c r="L4486" s="1"/>
      <c r="M4486" s="1"/>
    </row>
    <row x14ac:dyDescent="0.25" r="4487" customHeight="1" ht="18.75">
      <c r="A4487" s="1" t="s">
        <v>7833</v>
      </c>
      <c r="B4487" s="1" t="s">
        <v>9216</v>
      </c>
      <c r="C4487" s="1" t="s">
        <v>4488</v>
      </c>
      <c r="D4487" s="1" t="s">
        <v>533</v>
      </c>
      <c r="E4487" s="1" t="s">
        <v>3981</v>
      </c>
      <c r="F4487" s="1" t="s">
        <v>16329</v>
      </c>
      <c r="G4487" s="1" t="s">
        <v>16330</v>
      </c>
      <c r="H4487" s="1" t="s">
        <v>3604</v>
      </c>
      <c r="I4487" s="1" t="s">
        <v>16331</v>
      </c>
      <c r="J4487" s="1" t="s">
        <v>3606</v>
      </c>
      <c r="K4487" s="1" t="s">
        <v>14643</v>
      </c>
      <c r="L4487" s="1"/>
      <c r="M4487" s="1"/>
    </row>
    <row x14ac:dyDescent="0.25" r="4488" customHeight="1" ht="18.75">
      <c r="A4488" s="1" t="s">
        <v>7833</v>
      </c>
      <c r="B4488" s="1" t="s">
        <v>9216</v>
      </c>
      <c r="C4488" s="1" t="s">
        <v>4488</v>
      </c>
      <c r="D4488" s="1" t="s">
        <v>3610</v>
      </c>
      <c r="E4488" s="1" t="s">
        <v>3981</v>
      </c>
      <c r="F4488" s="1" t="s">
        <v>16332</v>
      </c>
      <c r="G4488" s="1" t="s">
        <v>16330</v>
      </c>
      <c r="H4488" s="1" t="s">
        <v>3604</v>
      </c>
      <c r="I4488" s="1" t="s">
        <v>16333</v>
      </c>
      <c r="J4488" s="1" t="s">
        <v>3606</v>
      </c>
      <c r="K4488" s="1" t="s">
        <v>15100</v>
      </c>
      <c r="L4488" s="1"/>
      <c r="M4488" s="1"/>
    </row>
    <row x14ac:dyDescent="0.25" r="4489" customHeight="1" ht="18.75">
      <c r="A4489" s="1" t="s">
        <v>7833</v>
      </c>
      <c r="B4489" s="1" t="s">
        <v>9216</v>
      </c>
      <c r="C4489" s="1" t="s">
        <v>4488</v>
      </c>
      <c r="D4489" s="1" t="s">
        <v>3610</v>
      </c>
      <c r="E4489" s="1" t="s">
        <v>3981</v>
      </c>
      <c r="F4489" s="1" t="s">
        <v>16334</v>
      </c>
      <c r="G4489" s="1" t="s">
        <v>16330</v>
      </c>
      <c r="H4489" s="1" t="s">
        <v>3604</v>
      </c>
      <c r="I4489" s="1" t="s">
        <v>16335</v>
      </c>
      <c r="J4489" s="1" t="s">
        <v>3606</v>
      </c>
      <c r="K4489" s="1" t="s">
        <v>15107</v>
      </c>
      <c r="L4489" s="1"/>
      <c r="M4489" s="1"/>
    </row>
    <row x14ac:dyDescent="0.25" r="4490" customHeight="1" ht="18.75">
      <c r="A4490" s="1" t="s">
        <v>7833</v>
      </c>
      <c r="B4490" s="1" t="s">
        <v>9216</v>
      </c>
      <c r="C4490" s="1" t="s">
        <v>4488</v>
      </c>
      <c r="D4490" s="1" t="s">
        <v>3695</v>
      </c>
      <c r="E4490" s="1" t="s">
        <v>3981</v>
      </c>
      <c r="F4490" s="1" t="s">
        <v>16336</v>
      </c>
      <c r="G4490" s="1" t="s">
        <v>16330</v>
      </c>
      <c r="H4490" s="1" t="s">
        <v>3604</v>
      </c>
      <c r="I4490" s="1" t="s">
        <v>16337</v>
      </c>
      <c r="J4490" s="1" t="s">
        <v>3606</v>
      </c>
      <c r="K4490" s="1" t="s">
        <v>16338</v>
      </c>
      <c r="L4490" s="1"/>
      <c r="M4490" s="1"/>
    </row>
    <row x14ac:dyDescent="0.25" r="4491" customHeight="1" ht="18.75">
      <c r="A4491" s="1" t="s">
        <v>7833</v>
      </c>
      <c r="B4491" s="1" t="s">
        <v>9216</v>
      </c>
      <c r="C4491" s="1" t="s">
        <v>4488</v>
      </c>
      <c r="D4491" s="1" t="s">
        <v>3610</v>
      </c>
      <c r="E4491" s="1" t="s">
        <v>3981</v>
      </c>
      <c r="F4491" s="1" t="s">
        <v>16339</v>
      </c>
      <c r="G4491" s="1" t="s">
        <v>16340</v>
      </c>
      <c r="H4491" s="1" t="s">
        <v>3604</v>
      </c>
      <c r="I4491" s="1" t="s">
        <v>16341</v>
      </c>
      <c r="J4491" s="1" t="s">
        <v>3606</v>
      </c>
      <c r="K4491" s="1" t="s">
        <v>15162</v>
      </c>
      <c r="L4491" s="1"/>
      <c r="M4491" s="1"/>
    </row>
    <row x14ac:dyDescent="0.25" r="4492" customHeight="1" ht="18.75">
      <c r="A4492" s="1" t="s">
        <v>7833</v>
      </c>
      <c r="B4492" s="1" t="s">
        <v>9216</v>
      </c>
      <c r="C4492" s="1" t="s">
        <v>4488</v>
      </c>
      <c r="D4492" s="1" t="s">
        <v>3610</v>
      </c>
      <c r="E4492" s="1" t="s">
        <v>3981</v>
      </c>
      <c r="F4492" s="1" t="s">
        <v>16342</v>
      </c>
      <c r="G4492" s="1" t="s">
        <v>16340</v>
      </c>
      <c r="H4492" s="1" t="s">
        <v>3604</v>
      </c>
      <c r="I4492" s="1" t="s">
        <v>16343</v>
      </c>
      <c r="J4492" s="1" t="s">
        <v>3606</v>
      </c>
      <c r="K4492" s="1" t="s">
        <v>15166</v>
      </c>
      <c r="L4492" s="1"/>
      <c r="M4492" s="1"/>
    </row>
    <row x14ac:dyDescent="0.25" r="4493" customHeight="1" ht="18.75">
      <c r="A4493" s="1" t="s">
        <v>7833</v>
      </c>
      <c r="B4493" s="1" t="s">
        <v>9216</v>
      </c>
      <c r="C4493" s="1" t="s">
        <v>4488</v>
      </c>
      <c r="D4493" s="1" t="s">
        <v>3610</v>
      </c>
      <c r="E4493" s="1" t="s">
        <v>3981</v>
      </c>
      <c r="F4493" s="1" t="s">
        <v>16344</v>
      </c>
      <c r="G4493" s="1" t="s">
        <v>16340</v>
      </c>
      <c r="H4493" s="1" t="s">
        <v>3604</v>
      </c>
      <c r="I4493" s="1" t="s">
        <v>16345</v>
      </c>
      <c r="J4493" s="1" t="s">
        <v>3606</v>
      </c>
      <c r="K4493" s="1" t="s">
        <v>15169</v>
      </c>
      <c r="L4493" s="1"/>
      <c r="M4493" s="1"/>
    </row>
    <row x14ac:dyDescent="0.25" r="4494" customHeight="1" ht="18.75">
      <c r="A4494" s="1" t="s">
        <v>7833</v>
      </c>
      <c r="B4494" s="1" t="s">
        <v>9216</v>
      </c>
      <c r="C4494" s="1" t="s">
        <v>4488</v>
      </c>
      <c r="D4494" s="1" t="s">
        <v>3695</v>
      </c>
      <c r="E4494" s="1" t="s">
        <v>3981</v>
      </c>
      <c r="F4494" s="1" t="s">
        <v>16346</v>
      </c>
      <c r="G4494" s="1" t="s">
        <v>16340</v>
      </c>
      <c r="H4494" s="1" t="s">
        <v>3604</v>
      </c>
      <c r="I4494" s="1" t="s">
        <v>16347</v>
      </c>
      <c r="J4494" s="1" t="s">
        <v>3606</v>
      </c>
      <c r="K4494" s="1" t="s">
        <v>16348</v>
      </c>
      <c r="L4494" s="1"/>
      <c r="M4494" s="1"/>
    </row>
    <row x14ac:dyDescent="0.25" r="4495" customHeight="1" ht="18.75">
      <c r="A4495" s="1" t="s">
        <v>7833</v>
      </c>
      <c r="B4495" s="1" t="s">
        <v>9216</v>
      </c>
      <c r="C4495" s="1" t="s">
        <v>4488</v>
      </c>
      <c r="D4495" s="1" t="s">
        <v>3610</v>
      </c>
      <c r="E4495" s="1" t="s">
        <v>3981</v>
      </c>
      <c r="F4495" s="1" t="s">
        <v>16349</v>
      </c>
      <c r="G4495" s="1" t="s">
        <v>9218</v>
      </c>
      <c r="H4495" s="1" t="s">
        <v>3604</v>
      </c>
      <c r="I4495" s="1" t="s">
        <v>16350</v>
      </c>
      <c r="J4495" s="1" t="s">
        <v>3606</v>
      </c>
      <c r="K4495" s="1" t="s">
        <v>16351</v>
      </c>
      <c r="L4495" s="1"/>
      <c r="M4495" s="1"/>
    </row>
    <row x14ac:dyDescent="0.25" r="4496" customHeight="1" ht="18.75">
      <c r="A4496" s="1" t="s">
        <v>7833</v>
      </c>
      <c r="B4496" s="1" t="s">
        <v>9216</v>
      </c>
      <c r="C4496" s="1" t="s">
        <v>4488</v>
      </c>
      <c r="D4496" s="1" t="s">
        <v>3610</v>
      </c>
      <c r="E4496" s="1" t="s">
        <v>3981</v>
      </c>
      <c r="F4496" s="1" t="s">
        <v>16352</v>
      </c>
      <c r="G4496" s="1" t="s">
        <v>9218</v>
      </c>
      <c r="H4496" s="1" t="s">
        <v>3604</v>
      </c>
      <c r="I4496" s="1" t="s">
        <v>16353</v>
      </c>
      <c r="J4496" s="1" t="s">
        <v>3606</v>
      </c>
      <c r="K4496" s="1" t="s">
        <v>16354</v>
      </c>
      <c r="L4496" s="1"/>
      <c r="M4496" s="1"/>
    </row>
    <row x14ac:dyDescent="0.25" r="4497" customHeight="1" ht="18.75">
      <c r="A4497" s="1" t="s">
        <v>3693</v>
      </c>
      <c r="B4497" s="1" t="s">
        <v>5598</v>
      </c>
      <c r="C4497" s="1" t="s">
        <v>3600</v>
      </c>
      <c r="D4497" s="1" t="s">
        <v>3601</v>
      </c>
      <c r="E4497" s="1" t="s">
        <v>3664</v>
      </c>
      <c r="F4497" s="1" t="s">
        <v>16355</v>
      </c>
      <c r="G4497" s="1" t="s">
        <v>6316</v>
      </c>
      <c r="H4497" s="1" t="s">
        <v>3604</v>
      </c>
      <c r="I4497" s="1" t="s">
        <v>16356</v>
      </c>
      <c r="J4497" s="1" t="s">
        <v>3606</v>
      </c>
      <c r="K4497" s="1" t="s">
        <v>16357</v>
      </c>
      <c r="L4497" s="1"/>
      <c r="M4497" s="1"/>
    </row>
    <row x14ac:dyDescent="0.25" r="4498" customHeight="1" ht="18.75">
      <c r="A4498" s="1" t="s">
        <v>3693</v>
      </c>
      <c r="B4498" s="1" t="s">
        <v>4083</v>
      </c>
      <c r="C4498" s="1" t="s">
        <v>3600</v>
      </c>
      <c r="D4498" s="1" t="s">
        <v>533</v>
      </c>
      <c r="E4498" s="1" t="s">
        <v>3752</v>
      </c>
      <c r="F4498" s="1" t="s">
        <v>16358</v>
      </c>
      <c r="G4498" s="1" t="s">
        <v>16359</v>
      </c>
      <c r="H4498" s="1" t="s">
        <v>3604</v>
      </c>
      <c r="I4498" s="1" t="s">
        <v>16360</v>
      </c>
      <c r="J4498" s="1" t="s">
        <v>3615</v>
      </c>
      <c r="K4498" s="1" t="s">
        <v>16361</v>
      </c>
      <c r="L4498" s="1"/>
      <c r="M4498" s="1"/>
    </row>
    <row x14ac:dyDescent="0.25" r="4499" customHeight="1" ht="18.75">
      <c r="A4499" s="1" t="s">
        <v>3693</v>
      </c>
      <c r="B4499" s="1" t="s">
        <v>4083</v>
      </c>
      <c r="C4499" s="1" t="s">
        <v>3600</v>
      </c>
      <c r="D4499" s="1" t="s">
        <v>533</v>
      </c>
      <c r="E4499" s="1" t="s">
        <v>3752</v>
      </c>
      <c r="F4499" s="1" t="s">
        <v>16362</v>
      </c>
      <c r="G4499" s="1" t="s">
        <v>16363</v>
      </c>
      <c r="H4499" s="1" t="s">
        <v>3604</v>
      </c>
      <c r="I4499" s="1" t="s">
        <v>16364</v>
      </c>
      <c r="J4499" s="1" t="s">
        <v>3615</v>
      </c>
      <c r="K4499" s="1" t="s">
        <v>16365</v>
      </c>
      <c r="L4499" s="1"/>
      <c r="M4499" s="1"/>
    </row>
    <row x14ac:dyDescent="0.25" r="4500" customHeight="1" ht="18.75">
      <c r="A4500" s="1" t="s">
        <v>3693</v>
      </c>
      <c r="B4500" s="1" t="s">
        <v>4091</v>
      </c>
      <c r="C4500" s="1" t="s">
        <v>3600</v>
      </c>
      <c r="D4500" s="1" t="s">
        <v>533</v>
      </c>
      <c r="E4500" s="1" t="s">
        <v>3752</v>
      </c>
      <c r="F4500" s="1" t="s">
        <v>16366</v>
      </c>
      <c r="G4500" s="1" t="s">
        <v>5682</v>
      </c>
      <c r="H4500" s="1" t="s">
        <v>3604</v>
      </c>
      <c r="I4500" s="1" t="s">
        <v>16367</v>
      </c>
      <c r="J4500" s="1" t="s">
        <v>3615</v>
      </c>
      <c r="K4500" s="1" t="s">
        <v>16368</v>
      </c>
      <c r="L4500" s="1"/>
      <c r="M4500" s="1"/>
    </row>
    <row x14ac:dyDescent="0.25" r="4501" customHeight="1" ht="18.75">
      <c r="A4501" s="1" t="s">
        <v>7833</v>
      </c>
      <c r="B4501" s="1" t="s">
        <v>16369</v>
      </c>
      <c r="C4501" s="1" t="s">
        <v>4488</v>
      </c>
      <c r="D4501" s="1" t="s">
        <v>3601</v>
      </c>
      <c r="E4501" s="1" t="s">
        <v>8096</v>
      </c>
      <c r="F4501" s="1" t="s">
        <v>1575</v>
      </c>
      <c r="G4501" s="1" t="s">
        <v>16370</v>
      </c>
      <c r="H4501" s="1" t="s">
        <v>3604</v>
      </c>
      <c r="I4501" s="1" t="s">
        <v>16371</v>
      </c>
      <c r="J4501" s="1" t="s">
        <v>3606</v>
      </c>
      <c r="K4501" s="1" t="s">
        <v>16372</v>
      </c>
      <c r="L4501" s="1"/>
      <c r="M4501" s="1"/>
    </row>
    <row x14ac:dyDescent="0.25" r="4502" customHeight="1" ht="18.75">
      <c r="A4502" s="1" t="s">
        <v>7833</v>
      </c>
      <c r="B4502" s="1" t="s">
        <v>8204</v>
      </c>
      <c r="C4502" s="1" t="s">
        <v>4488</v>
      </c>
      <c r="D4502" s="1" t="s">
        <v>3601</v>
      </c>
      <c r="E4502" s="1" t="s">
        <v>8096</v>
      </c>
      <c r="F4502" s="1" t="s">
        <v>1718</v>
      </c>
      <c r="G4502" s="1" t="s">
        <v>14247</v>
      </c>
      <c r="H4502" s="1" t="s">
        <v>3604</v>
      </c>
      <c r="I4502" s="1" t="s">
        <v>16373</v>
      </c>
      <c r="J4502" s="1" t="s">
        <v>3606</v>
      </c>
      <c r="K4502" s="1" t="s">
        <v>16374</v>
      </c>
      <c r="L4502" s="1"/>
      <c r="M4502" s="1"/>
    </row>
    <row x14ac:dyDescent="0.25" r="4503" customHeight="1" ht="18.75">
      <c r="A4503" s="1" t="s">
        <v>7833</v>
      </c>
      <c r="B4503" s="1" t="s">
        <v>8828</v>
      </c>
      <c r="C4503" s="1" t="s">
        <v>4488</v>
      </c>
      <c r="D4503" s="1" t="s">
        <v>3601</v>
      </c>
      <c r="E4503" s="1" t="s">
        <v>8096</v>
      </c>
      <c r="F4503" s="1" t="s">
        <v>1793</v>
      </c>
      <c r="G4503" s="1" t="s">
        <v>8954</v>
      </c>
      <c r="H4503" s="1" t="s">
        <v>3604</v>
      </c>
      <c r="I4503" s="1" t="s">
        <v>16375</v>
      </c>
      <c r="J4503" s="1" t="s">
        <v>3606</v>
      </c>
      <c r="K4503" s="1" t="s">
        <v>16374</v>
      </c>
      <c r="L4503" s="1"/>
      <c r="M4503" s="1"/>
    </row>
    <row x14ac:dyDescent="0.25" r="4504" customHeight="1" ht="18.75">
      <c r="A4504" s="1" t="s">
        <v>7833</v>
      </c>
      <c r="B4504" s="1" t="s">
        <v>8828</v>
      </c>
      <c r="C4504" s="1" t="s">
        <v>4488</v>
      </c>
      <c r="D4504" s="1" t="s">
        <v>3601</v>
      </c>
      <c r="E4504" s="1" t="s">
        <v>8096</v>
      </c>
      <c r="F4504" s="1" t="s">
        <v>1794</v>
      </c>
      <c r="G4504" s="1" t="s">
        <v>8954</v>
      </c>
      <c r="H4504" s="1" t="s">
        <v>3604</v>
      </c>
      <c r="I4504" s="1" t="s">
        <v>16376</v>
      </c>
      <c r="J4504" s="1" t="s">
        <v>3606</v>
      </c>
      <c r="K4504" s="1" t="s">
        <v>16372</v>
      </c>
      <c r="L4504" s="1"/>
      <c r="M4504" s="1"/>
    </row>
    <row x14ac:dyDescent="0.25" r="4505" customHeight="1" ht="18.75">
      <c r="A4505" s="1" t="s">
        <v>7833</v>
      </c>
      <c r="B4505" s="1" t="s">
        <v>8828</v>
      </c>
      <c r="C4505" s="1" t="s">
        <v>4488</v>
      </c>
      <c r="D4505" s="1" t="s">
        <v>3601</v>
      </c>
      <c r="E4505" s="1" t="s">
        <v>8096</v>
      </c>
      <c r="F4505" s="1" t="s">
        <v>1795</v>
      </c>
      <c r="G4505" s="1" t="s">
        <v>8954</v>
      </c>
      <c r="H4505" s="1" t="s">
        <v>3604</v>
      </c>
      <c r="I4505" s="1" t="s">
        <v>16377</v>
      </c>
      <c r="J4505" s="1" t="s">
        <v>3606</v>
      </c>
      <c r="K4505" s="1" t="s">
        <v>16378</v>
      </c>
      <c r="L4505" s="1"/>
      <c r="M4505" s="1"/>
    </row>
    <row x14ac:dyDescent="0.25" r="4506" customHeight="1" ht="18.75">
      <c r="A4506" s="1" t="s">
        <v>7833</v>
      </c>
      <c r="B4506" s="1" t="s">
        <v>8828</v>
      </c>
      <c r="C4506" s="1" t="s">
        <v>4488</v>
      </c>
      <c r="D4506" s="1" t="s">
        <v>3601</v>
      </c>
      <c r="E4506" s="1" t="s">
        <v>8096</v>
      </c>
      <c r="F4506" s="1" t="s">
        <v>1796</v>
      </c>
      <c r="G4506" s="1" t="s">
        <v>8954</v>
      </c>
      <c r="H4506" s="1" t="s">
        <v>3604</v>
      </c>
      <c r="I4506" s="1" t="s">
        <v>16379</v>
      </c>
      <c r="J4506" s="1" t="s">
        <v>3606</v>
      </c>
      <c r="K4506" s="1" t="s">
        <v>16380</v>
      </c>
      <c r="L4506" s="1"/>
      <c r="M4506" s="1"/>
    </row>
    <row x14ac:dyDescent="0.25" r="4507" customHeight="1" ht="18.75">
      <c r="A4507" s="1" t="s">
        <v>3693</v>
      </c>
      <c r="B4507" s="1" t="s">
        <v>4091</v>
      </c>
      <c r="C4507" s="1" t="s">
        <v>3600</v>
      </c>
      <c r="D4507" s="1" t="s">
        <v>533</v>
      </c>
      <c r="E4507" s="1" t="s">
        <v>3752</v>
      </c>
      <c r="F4507" s="1" t="s">
        <v>16381</v>
      </c>
      <c r="G4507" s="1" t="s">
        <v>16382</v>
      </c>
      <c r="H4507" s="1" t="s">
        <v>3604</v>
      </c>
      <c r="I4507" s="1" t="s">
        <v>16383</v>
      </c>
      <c r="J4507" s="1" t="s">
        <v>3615</v>
      </c>
      <c r="K4507" s="1" t="s">
        <v>16384</v>
      </c>
      <c r="L4507" s="1"/>
      <c r="M4507" s="1"/>
    </row>
    <row x14ac:dyDescent="0.25" r="4508" customHeight="1" ht="18.75">
      <c r="A4508" s="1" t="s">
        <v>7833</v>
      </c>
      <c r="B4508" s="1" t="s">
        <v>16385</v>
      </c>
      <c r="C4508" s="1" t="s">
        <v>4488</v>
      </c>
      <c r="D4508" s="1" t="s">
        <v>3601</v>
      </c>
      <c r="E4508" s="1" t="s">
        <v>3664</v>
      </c>
      <c r="F4508" s="1" t="s">
        <v>1707</v>
      </c>
      <c r="G4508" s="1" t="s">
        <v>16386</v>
      </c>
      <c r="H4508" s="1" t="s">
        <v>3604</v>
      </c>
      <c r="I4508" s="1" t="s">
        <v>16387</v>
      </c>
      <c r="J4508" s="1" t="s">
        <v>3606</v>
      </c>
      <c r="K4508" s="1" t="s">
        <v>16372</v>
      </c>
      <c r="L4508" s="1"/>
      <c r="M4508" s="1"/>
    </row>
    <row x14ac:dyDescent="0.25" r="4509" customHeight="1" ht="18.75">
      <c r="A4509" s="1" t="s">
        <v>3693</v>
      </c>
      <c r="B4509" s="1" t="s">
        <v>4091</v>
      </c>
      <c r="C4509" s="1" t="s">
        <v>3600</v>
      </c>
      <c r="D4509" s="1" t="s">
        <v>533</v>
      </c>
      <c r="E4509" s="1" t="s">
        <v>3752</v>
      </c>
      <c r="F4509" s="1" t="s">
        <v>16388</v>
      </c>
      <c r="G4509" s="1" t="s">
        <v>16389</v>
      </c>
      <c r="H4509" s="1" t="s">
        <v>3604</v>
      </c>
      <c r="I4509" s="1" t="s">
        <v>16390</v>
      </c>
      <c r="J4509" s="1" t="s">
        <v>3615</v>
      </c>
      <c r="K4509" s="1" t="s">
        <v>16384</v>
      </c>
      <c r="L4509" s="1"/>
      <c r="M4509" s="1"/>
    </row>
    <row x14ac:dyDescent="0.25" r="4510" customHeight="1" ht="18.75">
      <c r="A4510" s="1" t="s">
        <v>3693</v>
      </c>
      <c r="B4510" s="1" t="s">
        <v>4091</v>
      </c>
      <c r="C4510" s="1" t="s">
        <v>3600</v>
      </c>
      <c r="D4510" s="1" t="s">
        <v>533</v>
      </c>
      <c r="E4510" s="1" t="s">
        <v>3752</v>
      </c>
      <c r="F4510" s="1" t="s">
        <v>16391</v>
      </c>
      <c r="G4510" s="1" t="s">
        <v>16392</v>
      </c>
      <c r="H4510" s="1" t="s">
        <v>3604</v>
      </c>
      <c r="I4510" s="1" t="s">
        <v>16393</v>
      </c>
      <c r="J4510" s="1" t="s">
        <v>3615</v>
      </c>
      <c r="K4510" s="1" t="s">
        <v>16394</v>
      </c>
      <c r="L4510" s="1"/>
      <c r="M4510" s="1"/>
    </row>
    <row x14ac:dyDescent="0.25" r="4511" customHeight="1" ht="18.75">
      <c r="A4511" s="1" t="s">
        <v>7833</v>
      </c>
      <c r="B4511" s="1" t="s">
        <v>16395</v>
      </c>
      <c r="C4511" s="1" t="s">
        <v>4488</v>
      </c>
      <c r="D4511" s="1" t="s">
        <v>3601</v>
      </c>
      <c r="E4511" s="1" t="s">
        <v>3664</v>
      </c>
      <c r="F4511" s="1" t="s">
        <v>1771</v>
      </c>
      <c r="G4511" s="1" t="s">
        <v>16396</v>
      </c>
      <c r="H4511" s="1" t="s">
        <v>3604</v>
      </c>
      <c r="I4511" s="1" t="s">
        <v>16397</v>
      </c>
      <c r="J4511" s="1" t="s">
        <v>3606</v>
      </c>
      <c r="K4511" s="1" t="s">
        <v>16374</v>
      </c>
      <c r="L4511" s="1"/>
      <c r="M4511" s="1"/>
    </row>
    <row x14ac:dyDescent="0.25" r="4512" customHeight="1" ht="18.75">
      <c r="A4512" s="1" t="s">
        <v>7833</v>
      </c>
      <c r="B4512" s="1" t="s">
        <v>16395</v>
      </c>
      <c r="C4512" s="1" t="s">
        <v>4488</v>
      </c>
      <c r="D4512" s="1" t="s">
        <v>3601</v>
      </c>
      <c r="E4512" s="1" t="s">
        <v>3664</v>
      </c>
      <c r="F4512" s="1" t="s">
        <v>1772</v>
      </c>
      <c r="G4512" s="1" t="s">
        <v>16396</v>
      </c>
      <c r="H4512" s="1" t="s">
        <v>3604</v>
      </c>
      <c r="I4512" s="1" t="s">
        <v>16398</v>
      </c>
      <c r="J4512" s="1" t="s">
        <v>3606</v>
      </c>
      <c r="K4512" s="1" t="s">
        <v>16372</v>
      </c>
      <c r="L4512" s="1"/>
      <c r="M4512" s="1"/>
    </row>
    <row x14ac:dyDescent="0.25" r="4513" customHeight="1" ht="18.75">
      <c r="A4513" s="1" t="s">
        <v>7833</v>
      </c>
      <c r="B4513" s="1" t="s">
        <v>8286</v>
      </c>
      <c r="C4513" s="1" t="s">
        <v>4488</v>
      </c>
      <c r="D4513" s="1" t="s">
        <v>3601</v>
      </c>
      <c r="E4513" s="1" t="s">
        <v>3664</v>
      </c>
      <c r="F4513" s="1" t="s">
        <v>1778</v>
      </c>
      <c r="G4513" s="1" t="s">
        <v>14903</v>
      </c>
      <c r="H4513" s="1" t="s">
        <v>3604</v>
      </c>
      <c r="I4513" s="1" t="s">
        <v>16399</v>
      </c>
      <c r="J4513" s="1" t="s">
        <v>3606</v>
      </c>
      <c r="K4513" s="1" t="s">
        <v>16374</v>
      </c>
      <c r="L4513" s="1"/>
      <c r="M4513" s="1"/>
    </row>
    <row x14ac:dyDescent="0.25" r="4514" customHeight="1" ht="18.75">
      <c r="A4514" s="1" t="s">
        <v>7833</v>
      </c>
      <c r="B4514" s="1" t="s">
        <v>8286</v>
      </c>
      <c r="C4514" s="1" t="s">
        <v>4488</v>
      </c>
      <c r="D4514" s="1" t="s">
        <v>3601</v>
      </c>
      <c r="E4514" s="1" t="s">
        <v>3664</v>
      </c>
      <c r="F4514" s="1" t="s">
        <v>1774</v>
      </c>
      <c r="G4514" s="1" t="s">
        <v>14903</v>
      </c>
      <c r="H4514" s="1" t="s">
        <v>3604</v>
      </c>
      <c r="I4514" s="1" t="s">
        <v>16400</v>
      </c>
      <c r="J4514" s="1" t="s">
        <v>3606</v>
      </c>
      <c r="K4514" s="1" t="s">
        <v>16372</v>
      </c>
      <c r="L4514" s="1"/>
      <c r="M4514" s="1"/>
    </row>
    <row x14ac:dyDescent="0.25" r="4515" customHeight="1" ht="18.75">
      <c r="A4515" s="1" t="s">
        <v>3598</v>
      </c>
      <c r="B4515" s="1" t="s">
        <v>4627</v>
      </c>
      <c r="C4515" s="1" t="s">
        <v>3600</v>
      </c>
      <c r="D4515" s="1" t="s">
        <v>3610</v>
      </c>
      <c r="E4515" s="1" t="s">
        <v>3981</v>
      </c>
      <c r="F4515" s="1" t="s">
        <v>16401</v>
      </c>
      <c r="G4515" s="1" t="s">
        <v>16402</v>
      </c>
      <c r="H4515" s="1" t="s">
        <v>3604</v>
      </c>
      <c r="I4515" s="1" t="s">
        <v>16403</v>
      </c>
      <c r="J4515" s="1" t="s">
        <v>3615</v>
      </c>
      <c r="K4515" s="1" t="s">
        <v>16404</v>
      </c>
      <c r="L4515" s="1"/>
      <c r="M4515" s="1"/>
    </row>
    <row x14ac:dyDescent="0.25" r="4516" customHeight="1" ht="18.75">
      <c r="A4516" s="1" t="s">
        <v>3598</v>
      </c>
      <c r="B4516" s="1" t="s">
        <v>4627</v>
      </c>
      <c r="C4516" s="1" t="s">
        <v>3600</v>
      </c>
      <c r="D4516" s="1" t="s">
        <v>3610</v>
      </c>
      <c r="E4516" s="1" t="s">
        <v>3664</v>
      </c>
      <c r="F4516" s="1" t="s">
        <v>16405</v>
      </c>
      <c r="G4516" s="1" t="s">
        <v>16406</v>
      </c>
      <c r="H4516" s="1" t="s">
        <v>3604</v>
      </c>
      <c r="I4516" s="1" t="s">
        <v>16407</v>
      </c>
      <c r="J4516" s="1" t="s">
        <v>3615</v>
      </c>
      <c r="K4516" s="1" t="s">
        <v>16408</v>
      </c>
      <c r="L4516" s="1"/>
      <c r="M4516" s="1"/>
    </row>
    <row x14ac:dyDescent="0.25" r="4517" customHeight="1" ht="18.75">
      <c r="A4517" s="1" t="s">
        <v>3598</v>
      </c>
      <c r="B4517" s="1" t="s">
        <v>4627</v>
      </c>
      <c r="C4517" s="1" t="s">
        <v>3600</v>
      </c>
      <c r="D4517" s="1" t="s">
        <v>3610</v>
      </c>
      <c r="E4517" s="1" t="s">
        <v>3664</v>
      </c>
      <c r="F4517" s="1" t="s">
        <v>16409</v>
      </c>
      <c r="G4517" s="1" t="s">
        <v>16406</v>
      </c>
      <c r="H4517" s="1" t="s">
        <v>3604</v>
      </c>
      <c r="I4517" s="1" t="s">
        <v>16410</v>
      </c>
      <c r="J4517" s="1" t="s">
        <v>3615</v>
      </c>
      <c r="K4517" s="1" t="s">
        <v>16411</v>
      </c>
      <c r="L4517" s="1"/>
      <c r="M4517" s="1"/>
    </row>
    <row x14ac:dyDescent="0.25" r="4518" customHeight="1" ht="18.75">
      <c r="A4518" s="1" t="s">
        <v>3598</v>
      </c>
      <c r="B4518" s="1" t="s">
        <v>16115</v>
      </c>
      <c r="C4518" s="1" t="s">
        <v>3600</v>
      </c>
      <c r="D4518" s="1" t="s">
        <v>8365</v>
      </c>
      <c r="E4518" s="1"/>
      <c r="F4518" s="1" t="s">
        <v>16412</v>
      </c>
      <c r="G4518" s="1" t="s">
        <v>16117</v>
      </c>
      <c r="H4518" s="1" t="s">
        <v>3604</v>
      </c>
      <c r="I4518" s="1" t="s">
        <v>16413</v>
      </c>
      <c r="J4518" s="1" t="s">
        <v>3606</v>
      </c>
      <c r="K4518" s="1" t="s">
        <v>16414</v>
      </c>
      <c r="L4518" s="1"/>
      <c r="M4518" s="1"/>
    </row>
    <row x14ac:dyDescent="0.25" r="4519" customHeight="1" ht="18.75">
      <c r="A4519" s="1" t="s">
        <v>3598</v>
      </c>
      <c r="B4519" s="1" t="s">
        <v>8191</v>
      </c>
      <c r="C4519" s="1" t="s">
        <v>3600</v>
      </c>
      <c r="D4519" s="1" t="s">
        <v>3610</v>
      </c>
      <c r="E4519" s="1" t="s">
        <v>3664</v>
      </c>
      <c r="F4519" s="1" t="s">
        <v>16415</v>
      </c>
      <c r="G4519" s="1" t="s">
        <v>16416</v>
      </c>
      <c r="H4519" s="1" t="s">
        <v>3604</v>
      </c>
      <c r="I4519" s="1" t="s">
        <v>16417</v>
      </c>
      <c r="J4519" s="1" t="s">
        <v>3615</v>
      </c>
      <c r="K4519" s="1" t="s">
        <v>16418</v>
      </c>
      <c r="L4519" s="1"/>
      <c r="M4519" s="1"/>
    </row>
    <row x14ac:dyDescent="0.25" r="4520" customHeight="1" ht="18.75">
      <c r="A4520" s="1" t="s">
        <v>3598</v>
      </c>
      <c r="B4520" s="1" t="s">
        <v>8191</v>
      </c>
      <c r="C4520" s="1" t="s">
        <v>3600</v>
      </c>
      <c r="D4520" s="1" t="s">
        <v>3610</v>
      </c>
      <c r="E4520" s="1" t="s">
        <v>3664</v>
      </c>
      <c r="F4520" s="1" t="s">
        <v>16419</v>
      </c>
      <c r="G4520" s="1" t="s">
        <v>16420</v>
      </c>
      <c r="H4520" s="1" t="s">
        <v>3604</v>
      </c>
      <c r="I4520" s="1" t="s">
        <v>16421</v>
      </c>
      <c r="J4520" s="1" t="s">
        <v>3615</v>
      </c>
      <c r="K4520" s="1" t="s">
        <v>16422</v>
      </c>
      <c r="L4520" s="1"/>
      <c r="M4520" s="1"/>
    </row>
    <row x14ac:dyDescent="0.25" r="4521" customHeight="1" ht="18.75">
      <c r="A4521" s="1" t="s">
        <v>3598</v>
      </c>
      <c r="B4521" s="1" t="s">
        <v>8191</v>
      </c>
      <c r="C4521" s="1" t="s">
        <v>3600</v>
      </c>
      <c r="D4521" s="1" t="s">
        <v>3610</v>
      </c>
      <c r="E4521" s="1" t="s">
        <v>3664</v>
      </c>
      <c r="F4521" s="1" t="s">
        <v>16423</v>
      </c>
      <c r="G4521" s="1" t="s">
        <v>16424</v>
      </c>
      <c r="H4521" s="1" t="s">
        <v>3604</v>
      </c>
      <c r="I4521" s="1" t="s">
        <v>16425</v>
      </c>
      <c r="J4521" s="1" t="s">
        <v>3615</v>
      </c>
      <c r="K4521" s="1" t="s">
        <v>16426</v>
      </c>
      <c r="L4521" s="1"/>
      <c r="M4521" s="1"/>
    </row>
    <row x14ac:dyDescent="0.25" r="4522" customHeight="1" ht="18.75">
      <c r="A4522" s="1" t="s">
        <v>3598</v>
      </c>
      <c r="B4522" s="1" t="s">
        <v>8191</v>
      </c>
      <c r="C4522" s="1" t="s">
        <v>3600</v>
      </c>
      <c r="D4522" s="1" t="s">
        <v>3610</v>
      </c>
      <c r="E4522" s="1" t="s">
        <v>3664</v>
      </c>
      <c r="F4522" s="1" t="s">
        <v>16427</v>
      </c>
      <c r="G4522" s="1" t="s">
        <v>16424</v>
      </c>
      <c r="H4522" s="1" t="s">
        <v>3604</v>
      </c>
      <c r="I4522" s="1" t="s">
        <v>16428</v>
      </c>
      <c r="J4522" s="1" t="s">
        <v>3615</v>
      </c>
      <c r="K4522" s="1" t="s">
        <v>16429</v>
      </c>
      <c r="L4522" s="1"/>
      <c r="M4522" s="1"/>
    </row>
    <row x14ac:dyDescent="0.25" r="4523" customHeight="1" ht="18.75">
      <c r="A4523" s="1" t="s">
        <v>3598</v>
      </c>
      <c r="B4523" s="1" t="s">
        <v>8191</v>
      </c>
      <c r="C4523" s="1" t="s">
        <v>3600</v>
      </c>
      <c r="D4523" s="1" t="s">
        <v>3610</v>
      </c>
      <c r="E4523" s="1" t="s">
        <v>3664</v>
      </c>
      <c r="F4523" s="1" t="s">
        <v>16430</v>
      </c>
      <c r="G4523" s="1" t="s">
        <v>16424</v>
      </c>
      <c r="H4523" s="1" t="s">
        <v>3604</v>
      </c>
      <c r="I4523" s="1" t="s">
        <v>16431</v>
      </c>
      <c r="J4523" s="1" t="s">
        <v>3615</v>
      </c>
      <c r="K4523" s="1" t="s">
        <v>16432</v>
      </c>
      <c r="L4523" s="1"/>
      <c r="M4523" s="1"/>
    </row>
    <row x14ac:dyDescent="0.25" r="4524" customHeight="1" ht="18.75">
      <c r="A4524" s="1" t="s">
        <v>3598</v>
      </c>
      <c r="B4524" s="1" t="s">
        <v>8191</v>
      </c>
      <c r="C4524" s="1" t="s">
        <v>3600</v>
      </c>
      <c r="D4524" s="1" t="s">
        <v>3610</v>
      </c>
      <c r="E4524" s="1" t="s">
        <v>3664</v>
      </c>
      <c r="F4524" s="1" t="s">
        <v>16433</v>
      </c>
      <c r="G4524" s="1" t="s">
        <v>15864</v>
      </c>
      <c r="H4524" s="1" t="s">
        <v>3604</v>
      </c>
      <c r="I4524" s="1" t="s">
        <v>16434</v>
      </c>
      <c r="J4524" s="1" t="s">
        <v>3615</v>
      </c>
      <c r="K4524" s="1" t="s">
        <v>16435</v>
      </c>
      <c r="L4524" s="1"/>
      <c r="M4524" s="1"/>
    </row>
    <row x14ac:dyDescent="0.25" r="4525" customHeight="1" ht="18.75">
      <c r="A4525" s="1" t="s">
        <v>3598</v>
      </c>
      <c r="B4525" s="1" t="s">
        <v>8191</v>
      </c>
      <c r="C4525" s="1" t="s">
        <v>3600</v>
      </c>
      <c r="D4525" s="1" t="s">
        <v>3610</v>
      </c>
      <c r="E4525" s="1" t="s">
        <v>3664</v>
      </c>
      <c r="F4525" s="1" t="s">
        <v>16436</v>
      </c>
      <c r="G4525" s="1" t="s">
        <v>15864</v>
      </c>
      <c r="H4525" s="1" t="s">
        <v>3604</v>
      </c>
      <c r="I4525" s="1" t="s">
        <v>16437</v>
      </c>
      <c r="J4525" s="1" t="s">
        <v>3615</v>
      </c>
      <c r="K4525" s="1" t="s">
        <v>16438</v>
      </c>
      <c r="L4525" s="1"/>
      <c r="M4525" s="1"/>
    </row>
    <row x14ac:dyDescent="0.25" r="4526" customHeight="1" ht="18.75">
      <c r="A4526" s="1" t="s">
        <v>3598</v>
      </c>
      <c r="B4526" s="1" t="s">
        <v>8191</v>
      </c>
      <c r="C4526" s="1" t="s">
        <v>3600</v>
      </c>
      <c r="D4526" s="1" t="s">
        <v>3610</v>
      </c>
      <c r="E4526" s="1" t="s">
        <v>3664</v>
      </c>
      <c r="F4526" s="1" t="s">
        <v>16439</v>
      </c>
      <c r="G4526" s="1" t="s">
        <v>15864</v>
      </c>
      <c r="H4526" s="1" t="s">
        <v>3604</v>
      </c>
      <c r="I4526" s="1" t="s">
        <v>16440</v>
      </c>
      <c r="J4526" s="1" t="s">
        <v>3615</v>
      </c>
      <c r="K4526" s="1" t="s">
        <v>16441</v>
      </c>
      <c r="L4526" s="1"/>
      <c r="M4526" s="1"/>
    </row>
    <row x14ac:dyDescent="0.25" r="4527" customHeight="1" ht="18.75">
      <c r="A4527" s="1" t="s">
        <v>3598</v>
      </c>
      <c r="B4527" s="1" t="s">
        <v>8656</v>
      </c>
      <c r="C4527" s="1" t="s">
        <v>3600</v>
      </c>
      <c r="D4527" s="1" t="s">
        <v>8365</v>
      </c>
      <c r="E4527" s="1"/>
      <c r="F4527" s="1" t="s">
        <v>16442</v>
      </c>
      <c r="G4527" s="1" t="s">
        <v>8658</v>
      </c>
      <c r="H4527" s="1" t="s">
        <v>3604</v>
      </c>
      <c r="I4527" s="1" t="s">
        <v>16443</v>
      </c>
      <c r="J4527" s="1" t="s">
        <v>3615</v>
      </c>
      <c r="K4527" s="1" t="s">
        <v>16444</v>
      </c>
      <c r="L4527" s="1"/>
      <c r="M4527" s="1"/>
    </row>
    <row x14ac:dyDescent="0.25" r="4528" customHeight="1" ht="18.75">
      <c r="A4528" s="1" t="s">
        <v>3598</v>
      </c>
      <c r="B4528" s="1" t="s">
        <v>8656</v>
      </c>
      <c r="C4528" s="1" t="s">
        <v>3600</v>
      </c>
      <c r="D4528" s="1" t="s">
        <v>8365</v>
      </c>
      <c r="E4528" s="1"/>
      <c r="F4528" s="1" t="s">
        <v>16445</v>
      </c>
      <c r="G4528" s="1" t="s">
        <v>8658</v>
      </c>
      <c r="H4528" s="1" t="s">
        <v>3604</v>
      </c>
      <c r="I4528" s="1" t="s">
        <v>16446</v>
      </c>
      <c r="J4528" s="1" t="s">
        <v>3615</v>
      </c>
      <c r="K4528" s="1" t="s">
        <v>16447</v>
      </c>
      <c r="L4528" s="1"/>
      <c r="M4528" s="1"/>
    </row>
    <row x14ac:dyDescent="0.25" r="4529" customHeight="1" ht="18.75">
      <c r="A4529" s="1" t="s">
        <v>3598</v>
      </c>
      <c r="B4529" s="1" t="s">
        <v>8656</v>
      </c>
      <c r="C4529" s="1" t="s">
        <v>3600</v>
      </c>
      <c r="D4529" s="1" t="s">
        <v>8365</v>
      </c>
      <c r="E4529" s="1"/>
      <c r="F4529" s="1" t="s">
        <v>16448</v>
      </c>
      <c r="G4529" s="1" t="s">
        <v>8658</v>
      </c>
      <c r="H4529" s="1" t="s">
        <v>3604</v>
      </c>
      <c r="I4529" s="1" t="s">
        <v>16449</v>
      </c>
      <c r="J4529" s="1" t="s">
        <v>3615</v>
      </c>
      <c r="K4529" s="1" t="s">
        <v>16450</v>
      </c>
      <c r="L4529" s="1"/>
      <c r="M4529" s="1"/>
    </row>
    <row x14ac:dyDescent="0.25" r="4530" customHeight="1" ht="18.75">
      <c r="A4530" s="1" t="s">
        <v>3598</v>
      </c>
      <c r="B4530" s="1" t="s">
        <v>8656</v>
      </c>
      <c r="C4530" s="1" t="s">
        <v>3600</v>
      </c>
      <c r="D4530" s="1" t="s">
        <v>8365</v>
      </c>
      <c r="E4530" s="1"/>
      <c r="F4530" s="1" t="s">
        <v>16451</v>
      </c>
      <c r="G4530" s="1" t="s">
        <v>8658</v>
      </c>
      <c r="H4530" s="1" t="s">
        <v>3604</v>
      </c>
      <c r="I4530" s="1" t="s">
        <v>16452</v>
      </c>
      <c r="J4530" s="1" t="s">
        <v>3615</v>
      </c>
      <c r="K4530" s="1" t="s">
        <v>16453</v>
      </c>
      <c r="L4530" s="1"/>
      <c r="M4530" s="1"/>
    </row>
    <row x14ac:dyDescent="0.25" r="4531" customHeight="1" ht="18.75">
      <c r="A4531" s="1" t="s">
        <v>3598</v>
      </c>
      <c r="B4531" s="1" t="s">
        <v>8656</v>
      </c>
      <c r="C4531" s="1" t="s">
        <v>3600</v>
      </c>
      <c r="D4531" s="1" t="s">
        <v>8365</v>
      </c>
      <c r="E4531" s="1"/>
      <c r="F4531" s="1" t="s">
        <v>16454</v>
      </c>
      <c r="G4531" s="1" t="s">
        <v>8658</v>
      </c>
      <c r="H4531" s="1" t="s">
        <v>3604</v>
      </c>
      <c r="I4531" s="1" t="s">
        <v>16455</v>
      </c>
      <c r="J4531" s="1" t="s">
        <v>3615</v>
      </c>
      <c r="K4531" s="1" t="s">
        <v>16456</v>
      </c>
      <c r="L4531" s="1"/>
      <c r="M4531" s="1"/>
    </row>
    <row x14ac:dyDescent="0.25" r="4532" customHeight="1" ht="18.75">
      <c r="A4532" s="1" t="s">
        <v>3598</v>
      </c>
      <c r="B4532" s="1" t="s">
        <v>8656</v>
      </c>
      <c r="C4532" s="1" t="s">
        <v>3600</v>
      </c>
      <c r="D4532" s="1" t="s">
        <v>8365</v>
      </c>
      <c r="E4532" s="1"/>
      <c r="F4532" s="1" t="s">
        <v>16457</v>
      </c>
      <c r="G4532" s="1" t="s">
        <v>8658</v>
      </c>
      <c r="H4532" s="1" t="s">
        <v>3604</v>
      </c>
      <c r="I4532" s="1" t="s">
        <v>16458</v>
      </c>
      <c r="J4532" s="1" t="s">
        <v>3615</v>
      </c>
      <c r="K4532" s="1" t="s">
        <v>16459</v>
      </c>
      <c r="L4532" s="1"/>
      <c r="M4532" s="1"/>
    </row>
    <row x14ac:dyDescent="0.25" r="4533" customHeight="1" ht="18.75">
      <c r="A4533" s="1" t="s">
        <v>3598</v>
      </c>
      <c r="B4533" s="1" t="s">
        <v>8656</v>
      </c>
      <c r="C4533" s="1" t="s">
        <v>3600</v>
      </c>
      <c r="D4533" s="1" t="s">
        <v>8365</v>
      </c>
      <c r="E4533" s="1"/>
      <c r="F4533" s="1" t="s">
        <v>16460</v>
      </c>
      <c r="G4533" s="1" t="s">
        <v>8658</v>
      </c>
      <c r="H4533" s="1" t="s">
        <v>3604</v>
      </c>
      <c r="I4533" s="1" t="s">
        <v>16461</v>
      </c>
      <c r="J4533" s="1" t="s">
        <v>3615</v>
      </c>
      <c r="K4533" s="1" t="s">
        <v>16462</v>
      </c>
      <c r="L4533" s="1"/>
      <c r="M4533" s="1"/>
    </row>
    <row x14ac:dyDescent="0.25" r="4534" customHeight="1" ht="18.75">
      <c r="A4534" s="1" t="s">
        <v>3598</v>
      </c>
      <c r="B4534" s="1" t="s">
        <v>8656</v>
      </c>
      <c r="C4534" s="1" t="s">
        <v>3600</v>
      </c>
      <c r="D4534" s="1" t="s">
        <v>8365</v>
      </c>
      <c r="E4534" s="1"/>
      <c r="F4534" s="1" t="s">
        <v>16463</v>
      </c>
      <c r="G4534" s="1" t="s">
        <v>8658</v>
      </c>
      <c r="H4534" s="1" t="s">
        <v>3604</v>
      </c>
      <c r="I4534" s="1" t="s">
        <v>16464</v>
      </c>
      <c r="J4534" s="1" t="s">
        <v>3615</v>
      </c>
      <c r="K4534" s="1" t="s">
        <v>16465</v>
      </c>
      <c r="L4534" s="1"/>
      <c r="M4534" s="1"/>
    </row>
    <row x14ac:dyDescent="0.25" r="4535" customHeight="1" ht="18.75">
      <c r="A4535" s="1" t="s">
        <v>7833</v>
      </c>
      <c r="B4535" s="1" t="s">
        <v>13754</v>
      </c>
      <c r="C4535" s="1" t="s">
        <v>3619</v>
      </c>
      <c r="D4535" s="1" t="s">
        <v>3601</v>
      </c>
      <c r="E4535" s="1" t="s">
        <v>3981</v>
      </c>
      <c r="F4535" s="1" t="s">
        <v>1660</v>
      </c>
      <c r="G4535" s="1" t="s">
        <v>14565</v>
      </c>
      <c r="H4535" s="1" t="s">
        <v>3604</v>
      </c>
      <c r="I4535" s="1" t="s">
        <v>16466</v>
      </c>
      <c r="J4535" s="1" t="s">
        <v>3606</v>
      </c>
      <c r="K4535" s="1" t="s">
        <v>16380</v>
      </c>
      <c r="L4535" s="1"/>
      <c r="M4535" s="1"/>
    </row>
    <row x14ac:dyDescent="0.25" r="4536" customHeight="1" ht="18.75">
      <c r="A4536" s="1" t="s">
        <v>7833</v>
      </c>
      <c r="B4536" s="1" t="s">
        <v>16385</v>
      </c>
      <c r="C4536" s="1" t="s">
        <v>4488</v>
      </c>
      <c r="D4536" s="1" t="s">
        <v>3601</v>
      </c>
      <c r="E4536" s="1" t="s">
        <v>3664</v>
      </c>
      <c r="F4536" s="1" t="s">
        <v>1709</v>
      </c>
      <c r="G4536" s="1" t="s">
        <v>16386</v>
      </c>
      <c r="H4536" s="1" t="s">
        <v>3604</v>
      </c>
      <c r="I4536" s="1" t="s">
        <v>16467</v>
      </c>
      <c r="J4536" s="1" t="s">
        <v>3606</v>
      </c>
      <c r="K4536" s="1" t="s">
        <v>16380</v>
      </c>
      <c r="L4536" s="1"/>
      <c r="M4536" s="1"/>
    </row>
    <row x14ac:dyDescent="0.25" r="4537" customHeight="1" ht="18.75">
      <c r="A4537" s="1" t="s">
        <v>3693</v>
      </c>
      <c r="B4537" s="1" t="s">
        <v>7026</v>
      </c>
      <c r="C4537" s="1" t="s">
        <v>3600</v>
      </c>
      <c r="D4537" s="1" t="s">
        <v>533</v>
      </c>
      <c r="E4537" s="1" t="s">
        <v>3664</v>
      </c>
      <c r="F4537" s="1" t="s">
        <v>16468</v>
      </c>
      <c r="G4537" s="1" t="s">
        <v>10366</v>
      </c>
      <c r="H4537" s="1" t="s">
        <v>3604</v>
      </c>
      <c r="I4537" s="1" t="s">
        <v>16469</v>
      </c>
      <c r="J4537" s="1" t="s">
        <v>3606</v>
      </c>
      <c r="K4537" s="1" t="s">
        <v>16470</v>
      </c>
      <c r="L4537" s="1"/>
      <c r="M4537" s="1"/>
    </row>
    <row x14ac:dyDescent="0.25" r="4538" customHeight="1" ht="18.75">
      <c r="A4538" s="1" t="s">
        <v>3693</v>
      </c>
      <c r="B4538" s="1" t="s">
        <v>7026</v>
      </c>
      <c r="C4538" s="1" t="s">
        <v>3600</v>
      </c>
      <c r="D4538" s="1" t="s">
        <v>533</v>
      </c>
      <c r="E4538" s="1" t="s">
        <v>3664</v>
      </c>
      <c r="F4538" s="1" t="s">
        <v>16471</v>
      </c>
      <c r="G4538" s="1" t="s">
        <v>16472</v>
      </c>
      <c r="H4538" s="1" t="s">
        <v>3604</v>
      </c>
      <c r="I4538" s="1" t="s">
        <v>16473</v>
      </c>
      <c r="J4538" s="1" t="s">
        <v>3606</v>
      </c>
      <c r="K4538" s="1" t="s">
        <v>16474</v>
      </c>
      <c r="L4538" s="1"/>
      <c r="M4538" s="1"/>
    </row>
    <row x14ac:dyDescent="0.25" r="4539" customHeight="1" ht="18.75">
      <c r="A4539" s="1" t="s">
        <v>3598</v>
      </c>
      <c r="B4539" s="1" t="s">
        <v>8612</v>
      </c>
      <c r="C4539" s="1" t="s">
        <v>3600</v>
      </c>
      <c r="D4539" s="1" t="s">
        <v>3601</v>
      </c>
      <c r="E4539" s="1"/>
      <c r="F4539" s="1" t="s">
        <v>16475</v>
      </c>
      <c r="G4539" s="1" t="s">
        <v>8614</v>
      </c>
      <c r="H4539" s="1" t="s">
        <v>3604</v>
      </c>
      <c r="I4539" s="1" t="s">
        <v>16476</v>
      </c>
      <c r="J4539" s="1" t="s">
        <v>3606</v>
      </c>
      <c r="K4539" s="1" t="s">
        <v>16477</v>
      </c>
      <c r="L4539" s="1"/>
      <c r="M4539" s="1"/>
    </row>
    <row x14ac:dyDescent="0.25" r="4540" customHeight="1" ht="18.75">
      <c r="A4540" s="1" t="s">
        <v>3598</v>
      </c>
      <c r="B4540" s="1" t="s">
        <v>8612</v>
      </c>
      <c r="C4540" s="1" t="s">
        <v>3600</v>
      </c>
      <c r="D4540" s="1" t="s">
        <v>3601</v>
      </c>
      <c r="E4540" s="1"/>
      <c r="F4540" s="1" t="s">
        <v>16478</v>
      </c>
      <c r="G4540" s="1" t="s">
        <v>8614</v>
      </c>
      <c r="H4540" s="1" t="s">
        <v>3604</v>
      </c>
      <c r="I4540" s="1" t="s">
        <v>16479</v>
      </c>
      <c r="J4540" s="1" t="s">
        <v>3606</v>
      </c>
      <c r="K4540" s="1" t="s">
        <v>16477</v>
      </c>
      <c r="L4540" s="1"/>
      <c r="M4540" s="1"/>
    </row>
    <row x14ac:dyDescent="0.25" r="4541" customHeight="1" ht="18.75">
      <c r="A4541" s="1" t="s">
        <v>3693</v>
      </c>
      <c r="B4541" s="1" t="s">
        <v>7030</v>
      </c>
      <c r="C4541" s="1" t="s">
        <v>3600</v>
      </c>
      <c r="D4541" s="1" t="s">
        <v>533</v>
      </c>
      <c r="E4541" s="1" t="s">
        <v>3664</v>
      </c>
      <c r="F4541" s="1" t="s">
        <v>16480</v>
      </c>
      <c r="G4541" s="1" t="s">
        <v>10296</v>
      </c>
      <c r="H4541" s="1" t="s">
        <v>3604</v>
      </c>
      <c r="I4541" s="1" t="s">
        <v>16481</v>
      </c>
      <c r="J4541" s="1" t="s">
        <v>3606</v>
      </c>
      <c r="K4541" s="1" t="s">
        <v>16482</v>
      </c>
      <c r="L4541" s="1"/>
      <c r="M4541" s="1"/>
    </row>
    <row x14ac:dyDescent="0.25" r="4542" customHeight="1" ht="18.75">
      <c r="A4542" s="1" t="s">
        <v>3598</v>
      </c>
      <c r="B4542" s="1" t="s">
        <v>8612</v>
      </c>
      <c r="C4542" s="1" t="s">
        <v>3600</v>
      </c>
      <c r="D4542" s="1" t="s">
        <v>3601</v>
      </c>
      <c r="E4542" s="1"/>
      <c r="F4542" s="1" t="s">
        <v>16483</v>
      </c>
      <c r="G4542" s="1" t="s">
        <v>8614</v>
      </c>
      <c r="H4542" s="1" t="s">
        <v>3604</v>
      </c>
      <c r="I4542" s="1" t="s">
        <v>16484</v>
      </c>
      <c r="J4542" s="1" t="s">
        <v>3606</v>
      </c>
      <c r="K4542" s="1" t="s">
        <v>16485</v>
      </c>
      <c r="L4542" s="1"/>
      <c r="M4542" s="1"/>
    </row>
    <row x14ac:dyDescent="0.25" r="4543" customHeight="1" ht="18.75">
      <c r="A4543" s="1" t="s">
        <v>3598</v>
      </c>
      <c r="B4543" s="1" t="s">
        <v>8612</v>
      </c>
      <c r="C4543" s="1" t="s">
        <v>3600</v>
      </c>
      <c r="D4543" s="1" t="s">
        <v>3601</v>
      </c>
      <c r="E4543" s="1"/>
      <c r="F4543" s="1" t="s">
        <v>16486</v>
      </c>
      <c r="G4543" s="1" t="s">
        <v>8614</v>
      </c>
      <c r="H4543" s="1" t="s">
        <v>3604</v>
      </c>
      <c r="I4543" s="1" t="s">
        <v>16487</v>
      </c>
      <c r="J4543" s="1" t="s">
        <v>3606</v>
      </c>
      <c r="K4543" s="1" t="s">
        <v>16488</v>
      </c>
      <c r="L4543" s="1"/>
      <c r="M4543" s="1"/>
    </row>
    <row x14ac:dyDescent="0.25" r="4544" customHeight="1" ht="18.75">
      <c r="A4544" s="1" t="s">
        <v>7833</v>
      </c>
      <c r="B4544" s="1" t="s">
        <v>16489</v>
      </c>
      <c r="C4544" s="1" t="s">
        <v>4488</v>
      </c>
      <c r="D4544" s="1" t="s">
        <v>3601</v>
      </c>
      <c r="E4544" s="1" t="s">
        <v>3664</v>
      </c>
      <c r="F4544" s="1" t="s">
        <v>1725</v>
      </c>
      <c r="G4544" s="1" t="s">
        <v>16490</v>
      </c>
      <c r="H4544" s="1" t="s">
        <v>3604</v>
      </c>
      <c r="I4544" s="1" t="s">
        <v>16491</v>
      </c>
      <c r="J4544" s="1" t="s">
        <v>3606</v>
      </c>
      <c r="K4544" s="1" t="s">
        <v>16378</v>
      </c>
      <c r="L4544" s="1"/>
      <c r="M4544" s="1"/>
    </row>
    <row x14ac:dyDescent="0.25" r="4545" customHeight="1" ht="18.75">
      <c r="A4545" s="1" t="s">
        <v>7833</v>
      </c>
      <c r="B4545" s="1" t="s">
        <v>16489</v>
      </c>
      <c r="C4545" s="1" t="s">
        <v>4488</v>
      </c>
      <c r="D4545" s="1" t="s">
        <v>3601</v>
      </c>
      <c r="E4545" s="1" t="s">
        <v>3664</v>
      </c>
      <c r="F4545" s="1" t="s">
        <v>1726</v>
      </c>
      <c r="G4545" s="1" t="s">
        <v>16490</v>
      </c>
      <c r="H4545" s="1" t="s">
        <v>3604</v>
      </c>
      <c r="I4545" s="1" t="s">
        <v>16492</v>
      </c>
      <c r="J4545" s="1" t="s">
        <v>3606</v>
      </c>
      <c r="K4545" s="1" t="s">
        <v>16380</v>
      </c>
      <c r="L4545" s="1"/>
      <c r="M4545" s="1"/>
    </row>
    <row x14ac:dyDescent="0.25" r="4546" customHeight="1" ht="18.75">
      <c r="A4546" s="1" t="s">
        <v>7833</v>
      </c>
      <c r="B4546" s="1" t="s">
        <v>14063</v>
      </c>
      <c r="C4546" s="1" t="s">
        <v>4488</v>
      </c>
      <c r="D4546" s="1" t="s">
        <v>3601</v>
      </c>
      <c r="E4546" s="1" t="s">
        <v>3664</v>
      </c>
      <c r="F4546" s="1" t="s">
        <v>1747</v>
      </c>
      <c r="G4546" s="1" t="s">
        <v>14894</v>
      </c>
      <c r="H4546" s="1" t="s">
        <v>3604</v>
      </c>
      <c r="I4546" s="1" t="s">
        <v>16493</v>
      </c>
      <c r="J4546" s="1" t="s">
        <v>3606</v>
      </c>
      <c r="K4546" s="1" t="s">
        <v>16378</v>
      </c>
      <c r="L4546" s="1"/>
      <c r="M4546" s="1"/>
    </row>
    <row x14ac:dyDescent="0.25" r="4547" customHeight="1" ht="18.75">
      <c r="A4547" s="1" t="s">
        <v>3598</v>
      </c>
      <c r="B4547" s="1" t="s">
        <v>16494</v>
      </c>
      <c r="C4547" s="1" t="s">
        <v>3600</v>
      </c>
      <c r="D4547" s="1" t="s">
        <v>3601</v>
      </c>
      <c r="E4547" s="1"/>
      <c r="F4547" s="1" t="s">
        <v>16495</v>
      </c>
      <c r="G4547" s="1" t="s">
        <v>16496</v>
      </c>
      <c r="H4547" s="1" t="s">
        <v>3604</v>
      </c>
      <c r="I4547" s="1" t="s">
        <v>16497</v>
      </c>
      <c r="J4547" s="1" t="s">
        <v>3606</v>
      </c>
      <c r="K4547" s="1" t="s">
        <v>16498</v>
      </c>
      <c r="L4547" s="1"/>
      <c r="M4547" s="1"/>
    </row>
    <row x14ac:dyDescent="0.25" r="4548" customHeight="1" ht="18.75">
      <c r="A4548" s="1" t="s">
        <v>3598</v>
      </c>
      <c r="B4548" s="1" t="s">
        <v>16494</v>
      </c>
      <c r="C4548" s="1" t="s">
        <v>3600</v>
      </c>
      <c r="D4548" s="1" t="s">
        <v>3601</v>
      </c>
      <c r="E4548" s="1"/>
      <c r="F4548" s="1" t="s">
        <v>16499</v>
      </c>
      <c r="G4548" s="1" t="s">
        <v>16496</v>
      </c>
      <c r="H4548" s="1" t="s">
        <v>3604</v>
      </c>
      <c r="I4548" s="1" t="s">
        <v>16500</v>
      </c>
      <c r="J4548" s="1" t="s">
        <v>3606</v>
      </c>
      <c r="K4548" s="1" t="s">
        <v>16501</v>
      </c>
      <c r="L4548" s="1"/>
      <c r="M4548" s="1"/>
    </row>
    <row x14ac:dyDescent="0.25" r="4549" customHeight="1" ht="18.75">
      <c r="A4549" s="1" t="s">
        <v>7833</v>
      </c>
      <c r="B4549" s="1" t="s">
        <v>14063</v>
      </c>
      <c r="C4549" s="1" t="s">
        <v>4488</v>
      </c>
      <c r="D4549" s="1" t="s">
        <v>3601</v>
      </c>
      <c r="E4549" s="1" t="s">
        <v>3664</v>
      </c>
      <c r="F4549" s="1" t="s">
        <v>1748</v>
      </c>
      <c r="G4549" s="1" t="s">
        <v>14894</v>
      </c>
      <c r="H4549" s="1" t="s">
        <v>3604</v>
      </c>
      <c r="I4549" s="1" t="s">
        <v>16502</v>
      </c>
      <c r="J4549" s="1" t="s">
        <v>3606</v>
      </c>
      <c r="K4549" s="1" t="s">
        <v>16380</v>
      </c>
      <c r="L4549" s="1"/>
      <c r="M4549" s="1"/>
    </row>
    <row x14ac:dyDescent="0.25" r="4550" customHeight="1" ht="18.75">
      <c r="A4550" s="1" t="s">
        <v>3693</v>
      </c>
      <c r="B4550" s="1" t="s">
        <v>7030</v>
      </c>
      <c r="C4550" s="1" t="s">
        <v>3600</v>
      </c>
      <c r="D4550" s="1" t="s">
        <v>533</v>
      </c>
      <c r="E4550" s="1" t="s">
        <v>3664</v>
      </c>
      <c r="F4550" s="1" t="s">
        <v>16503</v>
      </c>
      <c r="G4550" s="1" t="s">
        <v>10292</v>
      </c>
      <c r="H4550" s="1" t="s">
        <v>3604</v>
      </c>
      <c r="I4550" s="1" t="s">
        <v>16504</v>
      </c>
      <c r="J4550" s="1" t="s">
        <v>3606</v>
      </c>
      <c r="K4550" s="1" t="s">
        <v>16505</v>
      </c>
      <c r="L4550" s="1"/>
      <c r="M4550" s="1"/>
    </row>
    <row x14ac:dyDescent="0.25" r="4551" customHeight="1" ht="18.75">
      <c r="A4551" s="1" t="s">
        <v>3598</v>
      </c>
      <c r="B4551" s="1" t="s">
        <v>16506</v>
      </c>
      <c r="C4551" s="1" t="s">
        <v>3600</v>
      </c>
      <c r="D4551" s="1" t="s">
        <v>3601</v>
      </c>
      <c r="E4551" s="1"/>
      <c r="F4551" s="1" t="s">
        <v>16507</v>
      </c>
      <c r="G4551" s="1" t="s">
        <v>16508</v>
      </c>
      <c r="H4551" s="1" t="s">
        <v>3604</v>
      </c>
      <c r="I4551" s="1" t="s">
        <v>16509</v>
      </c>
      <c r="J4551" s="1" t="s">
        <v>3606</v>
      </c>
      <c r="K4551" s="1" t="s">
        <v>16510</v>
      </c>
      <c r="L4551" s="1"/>
      <c r="M4551" s="1"/>
    </row>
    <row x14ac:dyDescent="0.25" r="4552" customHeight="1" ht="18.75">
      <c r="A4552" s="1" t="s">
        <v>3598</v>
      </c>
      <c r="B4552" s="1" t="s">
        <v>16494</v>
      </c>
      <c r="C4552" s="1" t="s">
        <v>3600</v>
      </c>
      <c r="D4552" s="1" t="s">
        <v>3601</v>
      </c>
      <c r="E4552" s="1"/>
      <c r="F4552" s="1" t="s">
        <v>16511</v>
      </c>
      <c r="G4552" s="1" t="s">
        <v>16496</v>
      </c>
      <c r="H4552" s="1" t="s">
        <v>3604</v>
      </c>
      <c r="I4552" s="1" t="s">
        <v>16512</v>
      </c>
      <c r="J4552" s="1" t="s">
        <v>3606</v>
      </c>
      <c r="K4552" s="1" t="s">
        <v>16513</v>
      </c>
      <c r="L4552" s="1"/>
      <c r="M4552" s="1"/>
    </row>
    <row x14ac:dyDescent="0.25" r="4553" customHeight="1" ht="18.75">
      <c r="A4553" s="1" t="s">
        <v>3598</v>
      </c>
      <c r="B4553" s="1" t="s">
        <v>16494</v>
      </c>
      <c r="C4553" s="1" t="s">
        <v>3600</v>
      </c>
      <c r="D4553" s="1" t="s">
        <v>3601</v>
      </c>
      <c r="E4553" s="1"/>
      <c r="F4553" s="1" t="s">
        <v>16514</v>
      </c>
      <c r="G4553" s="1" t="s">
        <v>16496</v>
      </c>
      <c r="H4553" s="1" t="s">
        <v>3604</v>
      </c>
      <c r="I4553" s="1" t="s">
        <v>16515</v>
      </c>
      <c r="J4553" s="1" t="s">
        <v>3606</v>
      </c>
      <c r="K4553" s="1" t="s">
        <v>16498</v>
      </c>
      <c r="L4553" s="1"/>
      <c r="M4553" s="1"/>
    </row>
    <row x14ac:dyDescent="0.25" r="4554" customHeight="1" ht="18.75">
      <c r="A4554" s="1" t="s">
        <v>7833</v>
      </c>
      <c r="B4554" s="1" t="s">
        <v>8286</v>
      </c>
      <c r="C4554" s="1" t="s">
        <v>4488</v>
      </c>
      <c r="D4554" s="1" t="s">
        <v>3601</v>
      </c>
      <c r="E4554" s="1" t="s">
        <v>3664</v>
      </c>
      <c r="F4554" s="1" t="s">
        <v>1775</v>
      </c>
      <c r="G4554" s="1" t="s">
        <v>14903</v>
      </c>
      <c r="H4554" s="1" t="s">
        <v>3604</v>
      </c>
      <c r="I4554" s="1" t="s">
        <v>16516</v>
      </c>
      <c r="J4554" s="1" t="s">
        <v>3606</v>
      </c>
      <c r="K4554" s="1" t="s">
        <v>16378</v>
      </c>
      <c r="L4554" s="1"/>
      <c r="M4554" s="1"/>
    </row>
    <row x14ac:dyDescent="0.25" r="4555" customHeight="1" ht="18.75">
      <c r="A4555" s="1" t="s">
        <v>3598</v>
      </c>
      <c r="B4555" s="1" t="s">
        <v>16517</v>
      </c>
      <c r="C4555" s="1" t="s">
        <v>3600</v>
      </c>
      <c r="D4555" s="1" t="s">
        <v>3601</v>
      </c>
      <c r="E4555" s="1"/>
      <c r="F4555" s="1" t="s">
        <v>16518</v>
      </c>
      <c r="G4555" s="1" t="s">
        <v>6524</v>
      </c>
      <c r="H4555" s="1" t="s">
        <v>3604</v>
      </c>
      <c r="I4555" s="1" t="s">
        <v>16519</v>
      </c>
      <c r="J4555" s="1" t="s">
        <v>3606</v>
      </c>
      <c r="K4555" s="1" t="s">
        <v>16520</v>
      </c>
      <c r="L4555" s="1"/>
      <c r="M4555" s="1"/>
    </row>
    <row x14ac:dyDescent="0.25" r="4556" customHeight="1" ht="18.75">
      <c r="A4556" s="1" t="s">
        <v>3598</v>
      </c>
      <c r="B4556" s="1" t="s">
        <v>16494</v>
      </c>
      <c r="C4556" s="1" t="s">
        <v>3600</v>
      </c>
      <c r="D4556" s="1" t="s">
        <v>3601</v>
      </c>
      <c r="E4556" s="1"/>
      <c r="F4556" s="1" t="s">
        <v>16521</v>
      </c>
      <c r="G4556" s="1" t="s">
        <v>16496</v>
      </c>
      <c r="H4556" s="1" t="s">
        <v>3604</v>
      </c>
      <c r="I4556" s="1" t="s">
        <v>16522</v>
      </c>
      <c r="J4556" s="1" t="s">
        <v>3606</v>
      </c>
      <c r="K4556" s="1" t="s">
        <v>16501</v>
      </c>
      <c r="L4556" s="1"/>
      <c r="M4556" s="1"/>
    </row>
    <row x14ac:dyDescent="0.25" r="4557" customHeight="1" ht="18.75">
      <c r="A4557" s="1" t="s">
        <v>3598</v>
      </c>
      <c r="B4557" s="1" t="s">
        <v>16494</v>
      </c>
      <c r="C4557" s="1" t="s">
        <v>3600</v>
      </c>
      <c r="D4557" s="1" t="s">
        <v>3601</v>
      </c>
      <c r="E4557" s="1"/>
      <c r="F4557" s="1" t="s">
        <v>16523</v>
      </c>
      <c r="G4557" s="1" t="s">
        <v>16496</v>
      </c>
      <c r="H4557" s="1" t="s">
        <v>3604</v>
      </c>
      <c r="I4557" s="1" t="s">
        <v>16524</v>
      </c>
      <c r="J4557" s="1" t="s">
        <v>3606</v>
      </c>
      <c r="K4557" s="1" t="s">
        <v>16513</v>
      </c>
      <c r="L4557" s="1"/>
      <c r="M4557" s="1"/>
    </row>
    <row x14ac:dyDescent="0.25" r="4558" customHeight="1" ht="18.75">
      <c r="A4558" s="1" t="s">
        <v>7833</v>
      </c>
      <c r="B4558" s="1" t="s">
        <v>8286</v>
      </c>
      <c r="C4558" s="1" t="s">
        <v>4488</v>
      </c>
      <c r="D4558" s="1" t="s">
        <v>3601</v>
      </c>
      <c r="E4558" s="1" t="s">
        <v>3664</v>
      </c>
      <c r="F4558" s="1" t="s">
        <v>1776</v>
      </c>
      <c r="G4558" s="1" t="s">
        <v>14903</v>
      </c>
      <c r="H4558" s="1" t="s">
        <v>3604</v>
      </c>
      <c r="I4558" s="1" t="s">
        <v>16525</v>
      </c>
      <c r="J4558" s="1" t="s">
        <v>3606</v>
      </c>
      <c r="K4558" s="1" t="s">
        <v>16380</v>
      </c>
      <c r="L4558" s="1"/>
      <c r="M4558" s="1"/>
    </row>
    <row x14ac:dyDescent="0.25" r="4559" customHeight="1" ht="18.75">
      <c r="A4559" s="1" t="s">
        <v>3598</v>
      </c>
      <c r="B4559" s="1" t="s">
        <v>16526</v>
      </c>
      <c r="C4559" s="1" t="s">
        <v>3600</v>
      </c>
      <c r="D4559" s="1" t="s">
        <v>3601</v>
      </c>
      <c r="E4559" s="1"/>
      <c r="F4559" s="1" t="s">
        <v>16527</v>
      </c>
      <c r="G4559" s="1" t="s">
        <v>16528</v>
      </c>
      <c r="H4559" s="1" t="s">
        <v>3604</v>
      </c>
      <c r="I4559" s="1" t="s">
        <v>16529</v>
      </c>
      <c r="J4559" s="1" t="s">
        <v>3606</v>
      </c>
      <c r="K4559" s="1" t="s">
        <v>16530</v>
      </c>
      <c r="L4559" s="1"/>
      <c r="M4559" s="1"/>
    </row>
    <row x14ac:dyDescent="0.25" r="4560" customHeight="1" ht="18.75">
      <c r="A4560" s="1" t="s">
        <v>3598</v>
      </c>
      <c r="B4560" s="1" t="s">
        <v>16494</v>
      </c>
      <c r="C4560" s="1" t="s">
        <v>3600</v>
      </c>
      <c r="D4560" s="1" t="s">
        <v>3601</v>
      </c>
      <c r="E4560" s="1"/>
      <c r="F4560" s="1" t="s">
        <v>16531</v>
      </c>
      <c r="G4560" s="1" t="s">
        <v>16496</v>
      </c>
      <c r="H4560" s="1" t="s">
        <v>3604</v>
      </c>
      <c r="I4560" s="1" t="s">
        <v>16532</v>
      </c>
      <c r="J4560" s="1" t="s">
        <v>3606</v>
      </c>
      <c r="K4560" s="1" t="s">
        <v>16533</v>
      </c>
      <c r="L4560" s="1"/>
      <c r="M4560" s="1"/>
    </row>
    <row x14ac:dyDescent="0.25" r="4561" customHeight="1" ht="18.75">
      <c r="A4561" s="1" t="s">
        <v>3598</v>
      </c>
      <c r="B4561" s="1" t="s">
        <v>16534</v>
      </c>
      <c r="C4561" s="1" t="s">
        <v>3600</v>
      </c>
      <c r="D4561" s="1" t="s">
        <v>3601</v>
      </c>
      <c r="E4561" s="1"/>
      <c r="F4561" s="1" t="s">
        <v>16535</v>
      </c>
      <c r="G4561" s="1" t="s">
        <v>13986</v>
      </c>
      <c r="H4561" s="1" t="s">
        <v>3604</v>
      </c>
      <c r="I4561" s="1" t="s">
        <v>16536</v>
      </c>
      <c r="J4561" s="1" t="s">
        <v>3606</v>
      </c>
      <c r="K4561" s="1" t="s">
        <v>16537</v>
      </c>
      <c r="L4561" s="1"/>
      <c r="M4561" s="1"/>
    </row>
    <row x14ac:dyDescent="0.25" r="4562" customHeight="1" ht="18.75">
      <c r="A4562" s="1" t="s">
        <v>7833</v>
      </c>
      <c r="B4562" s="1" t="s">
        <v>8286</v>
      </c>
      <c r="C4562" s="1" t="s">
        <v>4488</v>
      </c>
      <c r="D4562" s="1" t="s">
        <v>3601</v>
      </c>
      <c r="E4562" s="1" t="s">
        <v>3664</v>
      </c>
      <c r="F4562" s="1" t="s">
        <v>1777</v>
      </c>
      <c r="G4562" s="1" t="s">
        <v>14903</v>
      </c>
      <c r="H4562" s="1" t="s">
        <v>3604</v>
      </c>
      <c r="I4562" s="1" t="s">
        <v>16538</v>
      </c>
      <c r="J4562" s="1" t="s">
        <v>3606</v>
      </c>
      <c r="K4562" s="1" t="s">
        <v>16378</v>
      </c>
      <c r="L4562" s="1"/>
      <c r="M4562" s="1"/>
    </row>
    <row x14ac:dyDescent="0.25" r="4563" customHeight="1" ht="18.75">
      <c r="A4563" s="1" t="s">
        <v>3598</v>
      </c>
      <c r="B4563" s="1" t="s">
        <v>16539</v>
      </c>
      <c r="C4563" s="1" t="s">
        <v>3600</v>
      </c>
      <c r="D4563" s="1" t="s">
        <v>3601</v>
      </c>
      <c r="E4563" s="1"/>
      <c r="F4563" s="1" t="s">
        <v>16540</v>
      </c>
      <c r="G4563" s="1" t="s">
        <v>16541</v>
      </c>
      <c r="H4563" s="1" t="s">
        <v>3604</v>
      </c>
      <c r="I4563" s="1" t="s">
        <v>16542</v>
      </c>
      <c r="J4563" s="1" t="s">
        <v>3606</v>
      </c>
      <c r="K4563" s="1" t="s">
        <v>16543</v>
      </c>
      <c r="L4563" s="1"/>
      <c r="M4563" s="1"/>
    </row>
    <row x14ac:dyDescent="0.25" r="4564" customHeight="1" ht="18.75">
      <c r="A4564" s="1" t="s">
        <v>3598</v>
      </c>
      <c r="B4564" s="1" t="s">
        <v>16506</v>
      </c>
      <c r="C4564" s="1" t="s">
        <v>3600</v>
      </c>
      <c r="D4564" s="1" t="s">
        <v>3601</v>
      </c>
      <c r="E4564" s="1"/>
      <c r="F4564" s="1" t="s">
        <v>16544</v>
      </c>
      <c r="G4564" s="1" t="s">
        <v>16508</v>
      </c>
      <c r="H4564" s="1" t="s">
        <v>3604</v>
      </c>
      <c r="I4564" s="1" t="s">
        <v>16545</v>
      </c>
      <c r="J4564" s="1" t="s">
        <v>3606</v>
      </c>
      <c r="K4564" s="1" t="s">
        <v>16546</v>
      </c>
      <c r="L4564" s="1"/>
      <c r="M4564" s="1"/>
    </row>
    <row x14ac:dyDescent="0.25" r="4565" customHeight="1" ht="18.75">
      <c r="A4565" s="1" t="s">
        <v>3598</v>
      </c>
      <c r="B4565" s="1" t="s">
        <v>16539</v>
      </c>
      <c r="C4565" s="1" t="s">
        <v>3600</v>
      </c>
      <c r="D4565" s="1" t="s">
        <v>3601</v>
      </c>
      <c r="E4565" s="1"/>
      <c r="F4565" s="1" t="s">
        <v>16547</v>
      </c>
      <c r="G4565" s="1" t="s">
        <v>16541</v>
      </c>
      <c r="H4565" s="1" t="s">
        <v>3604</v>
      </c>
      <c r="I4565" s="1" t="s">
        <v>16548</v>
      </c>
      <c r="J4565" s="1" t="s">
        <v>3606</v>
      </c>
      <c r="K4565" s="1" t="s">
        <v>16543</v>
      </c>
      <c r="L4565" s="1"/>
      <c r="M4565" s="1"/>
    </row>
    <row x14ac:dyDescent="0.25" r="4566" customHeight="1" ht="18.75">
      <c r="A4566" s="1" t="s">
        <v>3598</v>
      </c>
      <c r="B4566" s="1" t="s">
        <v>16506</v>
      </c>
      <c r="C4566" s="1" t="s">
        <v>3600</v>
      </c>
      <c r="D4566" s="1" t="s">
        <v>3601</v>
      </c>
      <c r="E4566" s="1"/>
      <c r="F4566" s="1" t="s">
        <v>16549</v>
      </c>
      <c r="G4566" s="1" t="s">
        <v>16550</v>
      </c>
      <c r="H4566" s="1" t="s">
        <v>3604</v>
      </c>
      <c r="I4566" s="1" t="s">
        <v>16551</v>
      </c>
      <c r="J4566" s="1" t="s">
        <v>3606</v>
      </c>
      <c r="K4566" s="1" t="s">
        <v>16552</v>
      </c>
      <c r="L4566" s="1"/>
      <c r="M4566" s="1"/>
    </row>
    <row x14ac:dyDescent="0.25" r="4567" customHeight="1" ht="18.75">
      <c r="A4567" s="1" t="s">
        <v>3598</v>
      </c>
      <c r="B4567" s="1" t="s">
        <v>16534</v>
      </c>
      <c r="C4567" s="1" t="s">
        <v>3600</v>
      </c>
      <c r="D4567" s="1" t="s">
        <v>3601</v>
      </c>
      <c r="E4567" s="1"/>
      <c r="F4567" s="1" t="s">
        <v>16553</v>
      </c>
      <c r="G4567" s="1" t="s">
        <v>13986</v>
      </c>
      <c r="H4567" s="1" t="s">
        <v>3604</v>
      </c>
      <c r="I4567" s="1" t="s">
        <v>16554</v>
      </c>
      <c r="J4567" s="1" t="s">
        <v>3606</v>
      </c>
      <c r="K4567" s="1" t="s">
        <v>16555</v>
      </c>
      <c r="L4567" s="1"/>
      <c r="M4567" s="1"/>
    </row>
    <row x14ac:dyDescent="0.25" r="4568" customHeight="1" ht="18.75">
      <c r="A4568" s="1" t="s">
        <v>3598</v>
      </c>
      <c r="B4568" s="1" t="s">
        <v>16539</v>
      </c>
      <c r="C4568" s="1" t="s">
        <v>3600</v>
      </c>
      <c r="D4568" s="1" t="s">
        <v>3601</v>
      </c>
      <c r="E4568" s="1"/>
      <c r="F4568" s="1" t="s">
        <v>16556</v>
      </c>
      <c r="G4568" s="1" t="s">
        <v>16541</v>
      </c>
      <c r="H4568" s="1" t="s">
        <v>3604</v>
      </c>
      <c r="I4568" s="1" t="s">
        <v>16557</v>
      </c>
      <c r="J4568" s="1" t="s">
        <v>3606</v>
      </c>
      <c r="K4568" s="1" t="s">
        <v>16558</v>
      </c>
      <c r="L4568" s="1"/>
      <c r="M4568" s="1"/>
    </row>
    <row x14ac:dyDescent="0.25" r="4569" customHeight="1" ht="18.75">
      <c r="A4569" s="1" t="s">
        <v>3598</v>
      </c>
      <c r="B4569" s="1" t="s">
        <v>16506</v>
      </c>
      <c r="C4569" s="1" t="s">
        <v>3600</v>
      </c>
      <c r="D4569" s="1" t="s">
        <v>3601</v>
      </c>
      <c r="E4569" s="1"/>
      <c r="F4569" s="1" t="s">
        <v>16559</v>
      </c>
      <c r="G4569" s="1" t="s">
        <v>16550</v>
      </c>
      <c r="H4569" s="1" t="s">
        <v>3604</v>
      </c>
      <c r="I4569" s="1" t="s">
        <v>16560</v>
      </c>
      <c r="J4569" s="1" t="s">
        <v>3606</v>
      </c>
      <c r="K4569" s="1" t="s">
        <v>16561</v>
      </c>
      <c r="L4569" s="1"/>
      <c r="M4569" s="1"/>
    </row>
    <row x14ac:dyDescent="0.25" r="4570" customHeight="1" ht="18.75">
      <c r="A4570" s="1" t="s">
        <v>3598</v>
      </c>
      <c r="B4570" s="1" t="s">
        <v>16539</v>
      </c>
      <c r="C4570" s="1" t="s">
        <v>3600</v>
      </c>
      <c r="D4570" s="1" t="s">
        <v>3601</v>
      </c>
      <c r="E4570" s="1"/>
      <c r="F4570" s="1" t="s">
        <v>16562</v>
      </c>
      <c r="G4570" s="1" t="s">
        <v>16541</v>
      </c>
      <c r="H4570" s="1" t="s">
        <v>3604</v>
      </c>
      <c r="I4570" s="1" t="s">
        <v>16563</v>
      </c>
      <c r="J4570" s="1" t="s">
        <v>3606</v>
      </c>
      <c r="K4570" s="1" t="s">
        <v>16564</v>
      </c>
      <c r="L4570" s="1"/>
      <c r="M4570" s="1"/>
    </row>
    <row x14ac:dyDescent="0.25" r="4571" customHeight="1" ht="18.75">
      <c r="A4571" s="1" t="s">
        <v>3598</v>
      </c>
      <c r="B4571" s="1" t="s">
        <v>16506</v>
      </c>
      <c r="C4571" s="1" t="s">
        <v>3600</v>
      </c>
      <c r="D4571" s="1" t="s">
        <v>3601</v>
      </c>
      <c r="E4571" s="1"/>
      <c r="F4571" s="1" t="s">
        <v>16565</v>
      </c>
      <c r="G4571" s="1" t="s">
        <v>16550</v>
      </c>
      <c r="H4571" s="1" t="s">
        <v>3604</v>
      </c>
      <c r="I4571" s="1" t="s">
        <v>16566</v>
      </c>
      <c r="J4571" s="1" t="s">
        <v>3606</v>
      </c>
      <c r="K4571" s="1" t="s">
        <v>16567</v>
      </c>
      <c r="L4571" s="1"/>
      <c r="M4571" s="1"/>
    </row>
    <row x14ac:dyDescent="0.25" r="4572" customHeight="1" ht="18.75">
      <c r="A4572" s="1" t="s">
        <v>3598</v>
      </c>
      <c r="B4572" s="1" t="s">
        <v>16534</v>
      </c>
      <c r="C4572" s="1" t="s">
        <v>3600</v>
      </c>
      <c r="D4572" s="1" t="s">
        <v>3601</v>
      </c>
      <c r="E4572" s="1"/>
      <c r="F4572" s="1" t="s">
        <v>16568</v>
      </c>
      <c r="G4572" s="1" t="s">
        <v>13986</v>
      </c>
      <c r="H4572" s="1" t="s">
        <v>3604</v>
      </c>
      <c r="I4572" s="1" t="s">
        <v>16569</v>
      </c>
      <c r="J4572" s="1" t="s">
        <v>3606</v>
      </c>
      <c r="K4572" s="1" t="s">
        <v>16570</v>
      </c>
      <c r="L4572" s="1"/>
      <c r="M4572" s="1"/>
    </row>
    <row x14ac:dyDescent="0.25" r="4573" customHeight="1" ht="18.75">
      <c r="A4573" s="1" t="s">
        <v>3598</v>
      </c>
      <c r="B4573" s="1" t="s">
        <v>16539</v>
      </c>
      <c r="C4573" s="1" t="s">
        <v>3600</v>
      </c>
      <c r="D4573" s="1" t="s">
        <v>3601</v>
      </c>
      <c r="E4573" s="1"/>
      <c r="F4573" s="1" t="s">
        <v>16571</v>
      </c>
      <c r="G4573" s="1" t="s">
        <v>16541</v>
      </c>
      <c r="H4573" s="1" t="s">
        <v>3604</v>
      </c>
      <c r="I4573" s="1" t="s">
        <v>16572</v>
      </c>
      <c r="J4573" s="1" t="s">
        <v>3606</v>
      </c>
      <c r="K4573" s="1" t="s">
        <v>16573</v>
      </c>
      <c r="L4573" s="1"/>
      <c r="M4573" s="1"/>
    </row>
    <row x14ac:dyDescent="0.25" r="4574" customHeight="1" ht="18.75">
      <c r="A4574" s="1" t="s">
        <v>3598</v>
      </c>
      <c r="B4574" s="1" t="s">
        <v>16506</v>
      </c>
      <c r="C4574" s="1" t="s">
        <v>3600</v>
      </c>
      <c r="D4574" s="1" t="s">
        <v>3601</v>
      </c>
      <c r="E4574" s="1"/>
      <c r="F4574" s="1" t="s">
        <v>16574</v>
      </c>
      <c r="G4574" s="1" t="s">
        <v>16550</v>
      </c>
      <c r="H4574" s="1" t="s">
        <v>3604</v>
      </c>
      <c r="I4574" s="1" t="s">
        <v>16575</v>
      </c>
      <c r="J4574" s="1" t="s">
        <v>3606</v>
      </c>
      <c r="K4574" s="1" t="s">
        <v>16576</v>
      </c>
      <c r="L4574" s="1"/>
      <c r="M4574" s="1"/>
    </row>
    <row x14ac:dyDescent="0.25" r="4575" customHeight="1" ht="18.75">
      <c r="A4575" s="1" t="s">
        <v>3598</v>
      </c>
      <c r="B4575" s="1" t="s">
        <v>16534</v>
      </c>
      <c r="C4575" s="1" t="s">
        <v>3600</v>
      </c>
      <c r="D4575" s="1" t="s">
        <v>3601</v>
      </c>
      <c r="E4575" s="1"/>
      <c r="F4575" s="1" t="s">
        <v>16577</v>
      </c>
      <c r="G4575" s="1" t="s">
        <v>13986</v>
      </c>
      <c r="H4575" s="1" t="s">
        <v>3604</v>
      </c>
      <c r="I4575" s="1" t="s">
        <v>16578</v>
      </c>
      <c r="J4575" s="1" t="s">
        <v>3606</v>
      </c>
      <c r="K4575" s="1" t="s">
        <v>16579</v>
      </c>
      <c r="L4575" s="1"/>
      <c r="M4575" s="1"/>
    </row>
    <row x14ac:dyDescent="0.25" r="4576" customHeight="1" ht="18.75">
      <c r="A4576" s="1" t="s">
        <v>3598</v>
      </c>
      <c r="B4576" s="1" t="s">
        <v>16506</v>
      </c>
      <c r="C4576" s="1" t="s">
        <v>3600</v>
      </c>
      <c r="D4576" s="1" t="s">
        <v>3601</v>
      </c>
      <c r="E4576" s="1"/>
      <c r="F4576" s="1" t="s">
        <v>16580</v>
      </c>
      <c r="G4576" s="1" t="s">
        <v>16550</v>
      </c>
      <c r="H4576" s="1" t="s">
        <v>3604</v>
      </c>
      <c r="I4576" s="1" t="s">
        <v>16581</v>
      </c>
      <c r="J4576" s="1" t="s">
        <v>3606</v>
      </c>
      <c r="K4576" s="1" t="s">
        <v>16582</v>
      </c>
      <c r="L4576" s="1"/>
      <c r="M4576" s="1"/>
    </row>
    <row x14ac:dyDescent="0.25" r="4577" customHeight="1" ht="18.75">
      <c r="A4577" s="1" t="s">
        <v>3598</v>
      </c>
      <c r="B4577" s="1" t="s">
        <v>16534</v>
      </c>
      <c r="C4577" s="1" t="s">
        <v>3600</v>
      </c>
      <c r="D4577" s="1" t="s">
        <v>3601</v>
      </c>
      <c r="E4577" s="1"/>
      <c r="F4577" s="1" t="s">
        <v>16583</v>
      </c>
      <c r="G4577" s="1" t="s">
        <v>13986</v>
      </c>
      <c r="H4577" s="1" t="s">
        <v>3604</v>
      </c>
      <c r="I4577" s="1" t="s">
        <v>16584</v>
      </c>
      <c r="J4577" s="1" t="s">
        <v>3606</v>
      </c>
      <c r="K4577" s="1" t="s">
        <v>16585</v>
      </c>
      <c r="L4577" s="1"/>
      <c r="M4577" s="1"/>
    </row>
    <row x14ac:dyDescent="0.25" r="4578" customHeight="1" ht="18.75">
      <c r="A4578" s="1" t="s">
        <v>3598</v>
      </c>
      <c r="B4578" s="1" t="s">
        <v>16586</v>
      </c>
      <c r="C4578" s="1" t="s">
        <v>3600</v>
      </c>
      <c r="D4578" s="1" t="s">
        <v>3601</v>
      </c>
      <c r="E4578" s="1"/>
      <c r="F4578" s="1" t="s">
        <v>16587</v>
      </c>
      <c r="G4578" s="1" t="s">
        <v>16588</v>
      </c>
      <c r="H4578" s="1" t="s">
        <v>3604</v>
      </c>
      <c r="I4578" s="1" t="s">
        <v>16589</v>
      </c>
      <c r="J4578" s="1" t="s">
        <v>3606</v>
      </c>
      <c r="K4578" s="1" t="s">
        <v>16590</v>
      </c>
      <c r="L4578" s="1"/>
      <c r="M4578" s="1"/>
    </row>
    <row x14ac:dyDescent="0.25" r="4579" customHeight="1" ht="18.75">
      <c r="A4579" s="1" t="s">
        <v>3598</v>
      </c>
      <c r="B4579" s="1" t="s">
        <v>16534</v>
      </c>
      <c r="C4579" s="1" t="s">
        <v>3600</v>
      </c>
      <c r="D4579" s="1" t="s">
        <v>3601</v>
      </c>
      <c r="E4579" s="1"/>
      <c r="F4579" s="1" t="s">
        <v>16591</v>
      </c>
      <c r="G4579" s="1" t="s">
        <v>13986</v>
      </c>
      <c r="H4579" s="1" t="s">
        <v>3604</v>
      </c>
      <c r="I4579" s="1" t="s">
        <v>16592</v>
      </c>
      <c r="J4579" s="1" t="s">
        <v>3606</v>
      </c>
      <c r="K4579" s="1" t="s">
        <v>16593</v>
      </c>
      <c r="L4579" s="1"/>
      <c r="M4579" s="1"/>
    </row>
    <row x14ac:dyDescent="0.25" r="4580" customHeight="1" ht="18.75">
      <c r="A4580" s="1" t="s">
        <v>3598</v>
      </c>
      <c r="B4580" s="1" t="s">
        <v>16586</v>
      </c>
      <c r="C4580" s="1" t="s">
        <v>3600</v>
      </c>
      <c r="D4580" s="1" t="s">
        <v>3601</v>
      </c>
      <c r="E4580" s="1"/>
      <c r="F4580" s="1" t="s">
        <v>16594</v>
      </c>
      <c r="G4580" s="1" t="s">
        <v>16595</v>
      </c>
      <c r="H4580" s="1" t="s">
        <v>3604</v>
      </c>
      <c r="I4580" s="1" t="s">
        <v>16596</v>
      </c>
      <c r="J4580" s="1" t="s">
        <v>3606</v>
      </c>
      <c r="K4580" s="1" t="s">
        <v>16597</v>
      </c>
      <c r="L4580" s="1"/>
      <c r="M4580" s="1"/>
    </row>
    <row x14ac:dyDescent="0.25" r="4581" customHeight="1" ht="18.75">
      <c r="A4581" s="1" t="s">
        <v>3598</v>
      </c>
      <c r="B4581" s="1" t="s">
        <v>16534</v>
      </c>
      <c r="C4581" s="1" t="s">
        <v>3600</v>
      </c>
      <c r="D4581" s="1" t="s">
        <v>3601</v>
      </c>
      <c r="E4581" s="1"/>
      <c r="F4581" s="1" t="s">
        <v>16598</v>
      </c>
      <c r="G4581" s="1" t="s">
        <v>13986</v>
      </c>
      <c r="H4581" s="1" t="s">
        <v>3604</v>
      </c>
      <c r="I4581" s="1" t="s">
        <v>16599</v>
      </c>
      <c r="J4581" s="1" t="s">
        <v>3606</v>
      </c>
      <c r="K4581" s="1" t="s">
        <v>16600</v>
      </c>
      <c r="L4581" s="1"/>
      <c r="M4581" s="1"/>
    </row>
    <row x14ac:dyDescent="0.25" r="4582" customHeight="1" ht="18.75">
      <c r="A4582" s="1" t="s">
        <v>3598</v>
      </c>
      <c r="B4582" s="1" t="s">
        <v>16586</v>
      </c>
      <c r="C4582" s="1" t="s">
        <v>3600</v>
      </c>
      <c r="D4582" s="1" t="s">
        <v>3601</v>
      </c>
      <c r="E4582" s="1"/>
      <c r="F4582" s="1" t="s">
        <v>16601</v>
      </c>
      <c r="G4582" s="1" t="s">
        <v>16602</v>
      </c>
      <c r="H4582" s="1" t="s">
        <v>3604</v>
      </c>
      <c r="I4582" s="1" t="s">
        <v>16603</v>
      </c>
      <c r="J4582" s="1" t="s">
        <v>3606</v>
      </c>
      <c r="K4582" s="1" t="s">
        <v>16604</v>
      </c>
      <c r="L4582" s="1"/>
      <c r="M4582" s="1"/>
    </row>
    <row x14ac:dyDescent="0.25" r="4583" customHeight="1" ht="18.75">
      <c r="A4583" s="1" t="s">
        <v>3598</v>
      </c>
      <c r="B4583" s="1" t="s">
        <v>16605</v>
      </c>
      <c r="C4583" s="1" t="s">
        <v>3600</v>
      </c>
      <c r="D4583" s="1" t="s">
        <v>3601</v>
      </c>
      <c r="E4583" s="1"/>
      <c r="F4583" s="1" t="s">
        <v>16606</v>
      </c>
      <c r="G4583" s="1" t="s">
        <v>16607</v>
      </c>
      <c r="H4583" s="1" t="s">
        <v>3604</v>
      </c>
      <c r="I4583" s="1" t="s">
        <v>16608</v>
      </c>
      <c r="J4583" s="1" t="s">
        <v>3606</v>
      </c>
      <c r="K4583" s="1" t="s">
        <v>16609</v>
      </c>
      <c r="L4583" s="1"/>
      <c r="M4583" s="1"/>
    </row>
    <row x14ac:dyDescent="0.25" r="4584" customHeight="1" ht="18.75">
      <c r="A4584" s="1" t="s">
        <v>3598</v>
      </c>
      <c r="B4584" s="1" t="s">
        <v>16610</v>
      </c>
      <c r="C4584" s="1" t="s">
        <v>3600</v>
      </c>
      <c r="D4584" s="1" t="s">
        <v>3601</v>
      </c>
      <c r="E4584" s="1"/>
      <c r="F4584" s="1" t="s">
        <v>16611</v>
      </c>
      <c r="G4584" s="1" t="s">
        <v>14002</v>
      </c>
      <c r="H4584" s="1" t="s">
        <v>3604</v>
      </c>
      <c r="I4584" s="1" t="s">
        <v>16612</v>
      </c>
      <c r="J4584" s="1" t="s">
        <v>3606</v>
      </c>
      <c r="K4584" s="1" t="s">
        <v>16613</v>
      </c>
      <c r="L4584" s="1"/>
      <c r="M4584" s="1"/>
    </row>
    <row x14ac:dyDescent="0.25" r="4585" customHeight="1" ht="18.75">
      <c r="A4585" s="1" t="s">
        <v>3598</v>
      </c>
      <c r="B4585" s="1" t="s">
        <v>16614</v>
      </c>
      <c r="C4585" s="1" t="s">
        <v>3600</v>
      </c>
      <c r="D4585" s="1" t="s">
        <v>3601</v>
      </c>
      <c r="E4585" s="1"/>
      <c r="F4585" s="1" t="s">
        <v>16615</v>
      </c>
      <c r="G4585" s="1" t="s">
        <v>16616</v>
      </c>
      <c r="H4585" s="1" t="s">
        <v>3604</v>
      </c>
      <c r="I4585" s="1" t="s">
        <v>16617</v>
      </c>
      <c r="J4585" s="1" t="s">
        <v>3606</v>
      </c>
      <c r="K4585" s="1" t="s">
        <v>16618</v>
      </c>
      <c r="L4585" s="1"/>
      <c r="M4585" s="1"/>
    </row>
    <row x14ac:dyDescent="0.25" r="4586" customHeight="1" ht="18.75">
      <c r="A4586" s="1" t="s">
        <v>3598</v>
      </c>
      <c r="B4586" s="1" t="s">
        <v>16605</v>
      </c>
      <c r="C4586" s="1" t="s">
        <v>3600</v>
      </c>
      <c r="D4586" s="1" t="s">
        <v>3601</v>
      </c>
      <c r="E4586" s="1"/>
      <c r="F4586" s="1" t="s">
        <v>16619</v>
      </c>
      <c r="G4586" s="1" t="s">
        <v>16620</v>
      </c>
      <c r="H4586" s="1" t="s">
        <v>3604</v>
      </c>
      <c r="I4586" s="1" t="s">
        <v>16621</v>
      </c>
      <c r="J4586" s="1" t="s">
        <v>3606</v>
      </c>
      <c r="K4586" s="1" t="s">
        <v>16622</v>
      </c>
      <c r="L4586" s="1"/>
      <c r="M4586" s="1"/>
    </row>
    <row x14ac:dyDescent="0.25" r="4587" customHeight="1" ht="18.75">
      <c r="A4587" s="1" t="s">
        <v>3598</v>
      </c>
      <c r="B4587" s="1" t="s">
        <v>16610</v>
      </c>
      <c r="C4587" s="1" t="s">
        <v>3600</v>
      </c>
      <c r="D4587" s="1" t="s">
        <v>3601</v>
      </c>
      <c r="E4587" s="1"/>
      <c r="F4587" s="1" t="s">
        <v>16623</v>
      </c>
      <c r="G4587" s="1" t="s">
        <v>14002</v>
      </c>
      <c r="H4587" s="1" t="s">
        <v>3604</v>
      </c>
      <c r="I4587" s="1" t="s">
        <v>16624</v>
      </c>
      <c r="J4587" s="1" t="s">
        <v>3606</v>
      </c>
      <c r="K4587" s="1" t="s">
        <v>16625</v>
      </c>
      <c r="L4587" s="1"/>
      <c r="M4587" s="1"/>
    </row>
    <row x14ac:dyDescent="0.25" r="4588" customHeight="1" ht="18.75">
      <c r="A4588" s="1" t="s">
        <v>3598</v>
      </c>
      <c r="B4588" s="1" t="s">
        <v>16614</v>
      </c>
      <c r="C4588" s="1" t="s">
        <v>3600</v>
      </c>
      <c r="D4588" s="1" t="s">
        <v>3601</v>
      </c>
      <c r="E4588" s="1"/>
      <c r="F4588" s="1" t="s">
        <v>16626</v>
      </c>
      <c r="G4588" s="1" t="s">
        <v>16627</v>
      </c>
      <c r="H4588" s="1" t="s">
        <v>3604</v>
      </c>
      <c r="I4588" s="1" t="s">
        <v>16628</v>
      </c>
      <c r="J4588" s="1" t="s">
        <v>3606</v>
      </c>
      <c r="K4588" s="1" t="s">
        <v>16629</v>
      </c>
      <c r="L4588" s="1"/>
      <c r="M4588" s="1"/>
    </row>
    <row x14ac:dyDescent="0.25" r="4589" customHeight="1" ht="18.75">
      <c r="A4589" s="1" t="s">
        <v>3598</v>
      </c>
      <c r="B4589" s="1" t="s">
        <v>8678</v>
      </c>
      <c r="C4589" s="1" t="s">
        <v>3600</v>
      </c>
      <c r="D4589" s="1" t="s">
        <v>3601</v>
      </c>
      <c r="E4589" s="1"/>
      <c r="F4589" s="1" t="s">
        <v>16630</v>
      </c>
      <c r="G4589" s="1" t="s">
        <v>8680</v>
      </c>
      <c r="H4589" s="1" t="s">
        <v>3604</v>
      </c>
      <c r="I4589" s="1" t="s">
        <v>16631</v>
      </c>
      <c r="J4589" s="1" t="s">
        <v>3606</v>
      </c>
      <c r="K4589" s="1" t="s">
        <v>16632</v>
      </c>
      <c r="L4589" s="1"/>
      <c r="M4589" s="1"/>
    </row>
    <row x14ac:dyDescent="0.25" r="4590" customHeight="1" ht="18.75">
      <c r="A4590" s="1" t="s">
        <v>3598</v>
      </c>
      <c r="B4590" s="1" t="s">
        <v>16610</v>
      </c>
      <c r="C4590" s="1" t="s">
        <v>3600</v>
      </c>
      <c r="D4590" s="1" t="s">
        <v>3601</v>
      </c>
      <c r="E4590" s="1"/>
      <c r="F4590" s="1" t="s">
        <v>16633</v>
      </c>
      <c r="G4590" s="1" t="s">
        <v>14002</v>
      </c>
      <c r="H4590" s="1" t="s">
        <v>3604</v>
      </c>
      <c r="I4590" s="1" t="s">
        <v>16634</v>
      </c>
      <c r="J4590" s="1" t="s">
        <v>3606</v>
      </c>
      <c r="K4590" s="1" t="s">
        <v>16635</v>
      </c>
      <c r="L4590" s="1"/>
      <c r="M4590" s="1"/>
    </row>
    <row x14ac:dyDescent="0.25" r="4591" customHeight="1" ht="18.75">
      <c r="A4591" s="1" t="s">
        <v>3598</v>
      </c>
      <c r="B4591" s="1" t="s">
        <v>16614</v>
      </c>
      <c r="C4591" s="1" t="s">
        <v>3600</v>
      </c>
      <c r="D4591" s="1" t="s">
        <v>3601</v>
      </c>
      <c r="E4591" s="1"/>
      <c r="F4591" s="1" t="s">
        <v>16636</v>
      </c>
      <c r="G4591" s="1" t="s">
        <v>16637</v>
      </c>
      <c r="H4591" s="1" t="s">
        <v>3604</v>
      </c>
      <c r="I4591" s="1" t="s">
        <v>16638</v>
      </c>
      <c r="J4591" s="1" t="s">
        <v>3606</v>
      </c>
      <c r="K4591" s="1" t="s">
        <v>16639</v>
      </c>
      <c r="L4591" s="1"/>
      <c r="M4591" s="1"/>
    </row>
    <row x14ac:dyDescent="0.25" r="4592" customHeight="1" ht="18.75">
      <c r="A4592" s="1" t="s">
        <v>3598</v>
      </c>
      <c r="B4592" s="1" t="s">
        <v>8678</v>
      </c>
      <c r="C4592" s="1" t="s">
        <v>3600</v>
      </c>
      <c r="D4592" s="1" t="s">
        <v>3601</v>
      </c>
      <c r="E4592" s="1"/>
      <c r="F4592" s="1" t="s">
        <v>16640</v>
      </c>
      <c r="G4592" s="1" t="s">
        <v>16641</v>
      </c>
      <c r="H4592" s="1" t="s">
        <v>3604</v>
      </c>
      <c r="I4592" s="1" t="s">
        <v>16642</v>
      </c>
      <c r="J4592" s="1" t="s">
        <v>3606</v>
      </c>
      <c r="K4592" s="1" t="s">
        <v>16643</v>
      </c>
      <c r="L4592" s="1"/>
      <c r="M4592" s="1"/>
    </row>
    <row x14ac:dyDescent="0.25" r="4593" customHeight="1" ht="18.75">
      <c r="A4593" s="1" t="s">
        <v>3598</v>
      </c>
      <c r="B4593" s="1" t="s">
        <v>8646</v>
      </c>
      <c r="C4593" s="1" t="s">
        <v>3600</v>
      </c>
      <c r="D4593" s="1" t="s">
        <v>3601</v>
      </c>
      <c r="E4593" s="1"/>
      <c r="F4593" s="1" t="s">
        <v>16644</v>
      </c>
      <c r="G4593" s="1" t="s">
        <v>8648</v>
      </c>
      <c r="H4593" s="1" t="s">
        <v>3604</v>
      </c>
      <c r="I4593" s="1" t="s">
        <v>16645</v>
      </c>
      <c r="J4593" s="1" t="s">
        <v>3606</v>
      </c>
      <c r="K4593" s="1" t="s">
        <v>16646</v>
      </c>
      <c r="L4593" s="1"/>
      <c r="M4593" s="1"/>
    </row>
    <row x14ac:dyDescent="0.25" r="4594" customHeight="1" ht="18.75">
      <c r="A4594" s="1" t="s">
        <v>3598</v>
      </c>
      <c r="B4594" s="1" t="s">
        <v>16647</v>
      </c>
      <c r="C4594" s="1" t="s">
        <v>3600</v>
      </c>
      <c r="D4594" s="1" t="s">
        <v>3601</v>
      </c>
      <c r="E4594" s="1"/>
      <c r="F4594" s="1" t="s">
        <v>16648</v>
      </c>
      <c r="G4594" s="1" t="s">
        <v>16649</v>
      </c>
      <c r="H4594" s="1" t="s">
        <v>3604</v>
      </c>
      <c r="I4594" s="1" t="s">
        <v>16650</v>
      </c>
      <c r="J4594" s="1" t="s">
        <v>3606</v>
      </c>
      <c r="K4594" s="1" t="s">
        <v>16651</v>
      </c>
      <c r="L4594" s="1"/>
      <c r="M4594" s="1"/>
    </row>
    <row x14ac:dyDescent="0.25" r="4595" customHeight="1" ht="18.75">
      <c r="A4595" s="1" t="s">
        <v>3598</v>
      </c>
      <c r="B4595" s="1" t="s">
        <v>16647</v>
      </c>
      <c r="C4595" s="1" t="s">
        <v>3600</v>
      </c>
      <c r="D4595" s="1" t="s">
        <v>3601</v>
      </c>
      <c r="E4595" s="1"/>
      <c r="F4595" s="1" t="s">
        <v>16652</v>
      </c>
      <c r="G4595" s="1" t="s">
        <v>16649</v>
      </c>
      <c r="H4595" s="1" t="s">
        <v>3604</v>
      </c>
      <c r="I4595" s="1" t="s">
        <v>16653</v>
      </c>
      <c r="J4595" s="1" t="s">
        <v>3606</v>
      </c>
      <c r="K4595" s="1" t="s">
        <v>16654</v>
      </c>
      <c r="L4595" s="1"/>
      <c r="M4595" s="1"/>
    </row>
    <row x14ac:dyDescent="0.25" r="4596" customHeight="1" ht="18.75">
      <c r="A4596" s="1" t="s">
        <v>3598</v>
      </c>
      <c r="B4596" s="1" t="s">
        <v>8656</v>
      </c>
      <c r="C4596" s="1" t="s">
        <v>3600</v>
      </c>
      <c r="D4596" s="1" t="s">
        <v>3601</v>
      </c>
      <c r="E4596" s="1"/>
      <c r="F4596" s="1" t="s">
        <v>16655</v>
      </c>
      <c r="G4596" s="1" t="s">
        <v>16656</v>
      </c>
      <c r="H4596" s="1" t="s">
        <v>3604</v>
      </c>
      <c r="I4596" s="1" t="s">
        <v>16657</v>
      </c>
      <c r="J4596" s="1" t="s">
        <v>3606</v>
      </c>
      <c r="K4596" s="1" t="s">
        <v>16658</v>
      </c>
      <c r="L4596" s="1"/>
      <c r="M4596" s="1"/>
    </row>
    <row x14ac:dyDescent="0.25" r="4597" customHeight="1" ht="18.75">
      <c r="A4597" s="1" t="s">
        <v>3693</v>
      </c>
      <c r="B4597" s="1" t="s">
        <v>4192</v>
      </c>
      <c r="C4597" s="1" t="s">
        <v>3600</v>
      </c>
      <c r="D4597" s="1" t="s">
        <v>533</v>
      </c>
      <c r="E4597" s="1" t="s">
        <v>3752</v>
      </c>
      <c r="F4597" s="1" t="s">
        <v>16659</v>
      </c>
      <c r="G4597" s="1" t="s">
        <v>16660</v>
      </c>
      <c r="H4597" s="1" t="s">
        <v>3604</v>
      </c>
      <c r="I4597" s="1" t="s">
        <v>16661</v>
      </c>
      <c r="J4597" s="1" t="s">
        <v>3606</v>
      </c>
      <c r="K4597" s="1" t="s">
        <v>16662</v>
      </c>
      <c r="L4597" s="1"/>
      <c r="M4597" s="1"/>
    </row>
    <row x14ac:dyDescent="0.25" r="4598" customHeight="1" ht="18.75">
      <c r="A4598" s="1" t="s">
        <v>3598</v>
      </c>
      <c r="B4598" s="1" t="s">
        <v>16647</v>
      </c>
      <c r="C4598" s="1" t="s">
        <v>3600</v>
      </c>
      <c r="D4598" s="1" t="s">
        <v>3601</v>
      </c>
      <c r="E4598" s="1"/>
      <c r="F4598" s="1" t="s">
        <v>16663</v>
      </c>
      <c r="G4598" s="1" t="s">
        <v>16649</v>
      </c>
      <c r="H4598" s="1" t="s">
        <v>3604</v>
      </c>
      <c r="I4598" s="1" t="s">
        <v>16664</v>
      </c>
      <c r="J4598" s="1" t="s">
        <v>3606</v>
      </c>
      <c r="K4598" s="1" t="s">
        <v>16665</v>
      </c>
      <c r="L4598" s="1"/>
      <c r="M4598" s="1"/>
    </row>
    <row x14ac:dyDescent="0.25" r="4599" customHeight="1" ht="18.75">
      <c r="A4599" s="1" t="s">
        <v>3598</v>
      </c>
      <c r="B4599" s="1" t="s">
        <v>8656</v>
      </c>
      <c r="C4599" s="1" t="s">
        <v>3600</v>
      </c>
      <c r="D4599" s="1" t="s">
        <v>3601</v>
      </c>
      <c r="E4599" s="1"/>
      <c r="F4599" s="1" t="s">
        <v>16666</v>
      </c>
      <c r="G4599" s="1" t="s">
        <v>16656</v>
      </c>
      <c r="H4599" s="1" t="s">
        <v>3604</v>
      </c>
      <c r="I4599" s="1" t="s">
        <v>16667</v>
      </c>
      <c r="J4599" s="1" t="s">
        <v>3606</v>
      </c>
      <c r="K4599" s="1" t="s">
        <v>16668</v>
      </c>
      <c r="L4599" s="1"/>
      <c r="M4599" s="1"/>
    </row>
    <row x14ac:dyDescent="0.25" r="4600" customHeight="1" ht="18.75">
      <c r="A4600" s="1" t="s">
        <v>3598</v>
      </c>
      <c r="B4600" s="1" t="s">
        <v>16647</v>
      </c>
      <c r="C4600" s="1" t="s">
        <v>3600</v>
      </c>
      <c r="D4600" s="1" t="s">
        <v>3601</v>
      </c>
      <c r="E4600" s="1"/>
      <c r="F4600" s="1" t="s">
        <v>16669</v>
      </c>
      <c r="G4600" s="1" t="s">
        <v>16649</v>
      </c>
      <c r="H4600" s="1" t="s">
        <v>3604</v>
      </c>
      <c r="I4600" s="1" t="s">
        <v>16670</v>
      </c>
      <c r="J4600" s="1" t="s">
        <v>3606</v>
      </c>
      <c r="K4600" s="1" t="s">
        <v>16671</v>
      </c>
      <c r="L4600" s="1"/>
      <c r="M4600" s="1"/>
    </row>
    <row x14ac:dyDescent="0.25" r="4601" customHeight="1" ht="18.75">
      <c r="A4601" s="1" t="s">
        <v>3598</v>
      </c>
      <c r="B4601" s="1" t="s">
        <v>8656</v>
      </c>
      <c r="C4601" s="1" t="s">
        <v>3600</v>
      </c>
      <c r="D4601" s="1" t="s">
        <v>3601</v>
      </c>
      <c r="E4601" s="1"/>
      <c r="F4601" s="1" t="s">
        <v>16672</v>
      </c>
      <c r="G4601" s="1" t="s">
        <v>16656</v>
      </c>
      <c r="H4601" s="1" t="s">
        <v>3604</v>
      </c>
      <c r="I4601" s="1" t="s">
        <v>16673</v>
      </c>
      <c r="J4601" s="1" t="s">
        <v>3606</v>
      </c>
      <c r="K4601" s="1" t="s">
        <v>16674</v>
      </c>
      <c r="L4601" s="1"/>
      <c r="M4601" s="1"/>
    </row>
    <row x14ac:dyDescent="0.25" r="4602" customHeight="1" ht="18.75">
      <c r="A4602" s="1" t="s">
        <v>3598</v>
      </c>
      <c r="B4602" s="1" t="s">
        <v>8651</v>
      </c>
      <c r="C4602" s="1" t="s">
        <v>3600</v>
      </c>
      <c r="D4602" s="1" t="s">
        <v>3601</v>
      </c>
      <c r="E4602" s="1"/>
      <c r="F4602" s="1" t="s">
        <v>16675</v>
      </c>
      <c r="G4602" s="1" t="s">
        <v>8653</v>
      </c>
      <c r="H4602" s="1" t="s">
        <v>3604</v>
      </c>
      <c r="I4602" s="1" t="s">
        <v>16676</v>
      </c>
      <c r="J4602" s="1" t="s">
        <v>3606</v>
      </c>
      <c r="K4602" s="1" t="s">
        <v>16677</v>
      </c>
      <c r="L4602" s="1"/>
      <c r="M4602" s="1"/>
    </row>
    <row x14ac:dyDescent="0.25" r="4603" customHeight="1" ht="18.75">
      <c r="A4603" s="1" t="s">
        <v>3598</v>
      </c>
      <c r="B4603" s="1" t="s">
        <v>16647</v>
      </c>
      <c r="C4603" s="1" t="s">
        <v>3600</v>
      </c>
      <c r="D4603" s="1" t="s">
        <v>3601</v>
      </c>
      <c r="E4603" s="1"/>
      <c r="F4603" s="1" t="s">
        <v>16678</v>
      </c>
      <c r="G4603" s="1" t="s">
        <v>16649</v>
      </c>
      <c r="H4603" s="1" t="s">
        <v>3604</v>
      </c>
      <c r="I4603" s="1" t="s">
        <v>16679</v>
      </c>
      <c r="J4603" s="1" t="s">
        <v>3606</v>
      </c>
      <c r="K4603" s="1" t="s">
        <v>16680</v>
      </c>
      <c r="L4603" s="1"/>
      <c r="M4603" s="1"/>
    </row>
    <row x14ac:dyDescent="0.25" r="4604" customHeight="1" ht="18.75">
      <c r="A4604" s="1" t="s">
        <v>3598</v>
      </c>
      <c r="B4604" s="1" t="s">
        <v>8656</v>
      </c>
      <c r="C4604" s="1" t="s">
        <v>3600</v>
      </c>
      <c r="D4604" s="1" t="s">
        <v>3601</v>
      </c>
      <c r="E4604" s="1"/>
      <c r="F4604" s="1" t="s">
        <v>16681</v>
      </c>
      <c r="G4604" s="1" t="s">
        <v>16656</v>
      </c>
      <c r="H4604" s="1" t="s">
        <v>3604</v>
      </c>
      <c r="I4604" s="1" t="s">
        <v>16682</v>
      </c>
      <c r="J4604" s="1" t="s">
        <v>3606</v>
      </c>
      <c r="K4604" s="1" t="s">
        <v>16683</v>
      </c>
      <c r="L4604" s="1"/>
      <c r="M4604" s="1"/>
    </row>
    <row x14ac:dyDescent="0.25" r="4605" customHeight="1" ht="18.75">
      <c r="A4605" s="1" t="s">
        <v>3598</v>
      </c>
      <c r="B4605" s="1" t="s">
        <v>8651</v>
      </c>
      <c r="C4605" s="1" t="s">
        <v>3600</v>
      </c>
      <c r="D4605" s="1" t="s">
        <v>3601</v>
      </c>
      <c r="E4605" s="1"/>
      <c r="F4605" s="1" t="s">
        <v>16684</v>
      </c>
      <c r="G4605" s="1" t="s">
        <v>8653</v>
      </c>
      <c r="H4605" s="1" t="s">
        <v>3604</v>
      </c>
      <c r="I4605" s="1" t="s">
        <v>16685</v>
      </c>
      <c r="J4605" s="1" t="s">
        <v>3606</v>
      </c>
      <c r="K4605" s="1" t="s">
        <v>16677</v>
      </c>
      <c r="L4605" s="1"/>
      <c r="M4605" s="1"/>
    </row>
    <row x14ac:dyDescent="0.25" r="4606" customHeight="1" ht="18.75">
      <c r="A4606" s="1" t="s">
        <v>3598</v>
      </c>
      <c r="B4606" s="1" t="s">
        <v>16647</v>
      </c>
      <c r="C4606" s="1" t="s">
        <v>3600</v>
      </c>
      <c r="D4606" s="1" t="s">
        <v>3601</v>
      </c>
      <c r="E4606" s="1"/>
      <c r="F4606" s="1" t="s">
        <v>16686</v>
      </c>
      <c r="G4606" s="1" t="s">
        <v>16649</v>
      </c>
      <c r="H4606" s="1" t="s">
        <v>3604</v>
      </c>
      <c r="I4606" s="1" t="s">
        <v>16687</v>
      </c>
      <c r="J4606" s="1" t="s">
        <v>3606</v>
      </c>
      <c r="K4606" s="1" t="s">
        <v>16688</v>
      </c>
      <c r="L4606" s="1"/>
      <c r="M4606" s="1"/>
    </row>
    <row x14ac:dyDescent="0.25" r="4607" customHeight="1" ht="18.75">
      <c r="A4607" s="1" t="s">
        <v>3598</v>
      </c>
      <c r="B4607" s="1" t="s">
        <v>16689</v>
      </c>
      <c r="C4607" s="1" t="s">
        <v>3600</v>
      </c>
      <c r="D4607" s="1" t="s">
        <v>3601</v>
      </c>
      <c r="E4607" s="1"/>
      <c r="F4607" s="1" t="s">
        <v>16690</v>
      </c>
      <c r="G4607" s="1" t="s">
        <v>8333</v>
      </c>
      <c r="H4607" s="1" t="s">
        <v>3604</v>
      </c>
      <c r="I4607" s="1" t="s">
        <v>16691</v>
      </c>
      <c r="J4607" s="1" t="s">
        <v>3606</v>
      </c>
      <c r="K4607" s="1" t="s">
        <v>16692</v>
      </c>
      <c r="L4607" s="1"/>
      <c r="M4607" s="1"/>
    </row>
    <row x14ac:dyDescent="0.25" r="4608" customHeight="1" ht="18.75">
      <c r="A4608" s="1" t="s">
        <v>3598</v>
      </c>
      <c r="B4608" s="1" t="s">
        <v>16647</v>
      </c>
      <c r="C4608" s="1" t="s">
        <v>3600</v>
      </c>
      <c r="D4608" s="1" t="s">
        <v>3601</v>
      </c>
      <c r="E4608" s="1"/>
      <c r="F4608" s="1" t="s">
        <v>16693</v>
      </c>
      <c r="G4608" s="1" t="s">
        <v>16649</v>
      </c>
      <c r="H4608" s="1" t="s">
        <v>3604</v>
      </c>
      <c r="I4608" s="1" t="s">
        <v>16694</v>
      </c>
      <c r="J4608" s="1" t="s">
        <v>3606</v>
      </c>
      <c r="K4608" s="1" t="s">
        <v>16695</v>
      </c>
      <c r="L4608" s="1"/>
      <c r="M4608" s="1"/>
    </row>
    <row x14ac:dyDescent="0.25" r="4609" customHeight="1" ht="18.75">
      <c r="A4609" s="1" t="s">
        <v>3598</v>
      </c>
      <c r="B4609" s="1" t="s">
        <v>16689</v>
      </c>
      <c r="C4609" s="1" t="s">
        <v>3600</v>
      </c>
      <c r="D4609" s="1" t="s">
        <v>3601</v>
      </c>
      <c r="E4609" s="1"/>
      <c r="F4609" s="1" t="s">
        <v>16696</v>
      </c>
      <c r="G4609" s="1" t="s">
        <v>8333</v>
      </c>
      <c r="H4609" s="1" t="s">
        <v>3604</v>
      </c>
      <c r="I4609" s="1" t="s">
        <v>16697</v>
      </c>
      <c r="J4609" s="1" t="s">
        <v>3606</v>
      </c>
      <c r="K4609" s="1" t="s">
        <v>16698</v>
      </c>
      <c r="L4609" s="1"/>
      <c r="M4609" s="1"/>
    </row>
    <row x14ac:dyDescent="0.25" r="4610" customHeight="1" ht="18.75">
      <c r="A4610" s="1" t="s">
        <v>3598</v>
      </c>
      <c r="B4610" s="1" t="s">
        <v>16647</v>
      </c>
      <c r="C4610" s="1" t="s">
        <v>3600</v>
      </c>
      <c r="D4610" s="1" t="s">
        <v>3601</v>
      </c>
      <c r="E4610" s="1"/>
      <c r="F4610" s="1" t="s">
        <v>16699</v>
      </c>
      <c r="G4610" s="1" t="s">
        <v>16649</v>
      </c>
      <c r="H4610" s="1" t="s">
        <v>3604</v>
      </c>
      <c r="I4610" s="1" t="s">
        <v>16700</v>
      </c>
      <c r="J4610" s="1" t="s">
        <v>3606</v>
      </c>
      <c r="K4610" s="1" t="s">
        <v>16701</v>
      </c>
      <c r="L4610" s="1"/>
      <c r="M4610" s="1"/>
    </row>
    <row x14ac:dyDescent="0.25" r="4611" customHeight="1" ht="18.75">
      <c r="A4611" s="1" t="s">
        <v>3598</v>
      </c>
      <c r="B4611" s="1" t="s">
        <v>16689</v>
      </c>
      <c r="C4611" s="1" t="s">
        <v>3600</v>
      </c>
      <c r="D4611" s="1" t="s">
        <v>3601</v>
      </c>
      <c r="E4611" s="1"/>
      <c r="F4611" s="1" t="s">
        <v>16702</v>
      </c>
      <c r="G4611" s="1" t="s">
        <v>8333</v>
      </c>
      <c r="H4611" s="1" t="s">
        <v>3604</v>
      </c>
      <c r="I4611" s="1" t="s">
        <v>16703</v>
      </c>
      <c r="J4611" s="1" t="s">
        <v>3606</v>
      </c>
      <c r="K4611" s="1" t="s">
        <v>16704</v>
      </c>
      <c r="L4611" s="1"/>
      <c r="M4611" s="1"/>
    </row>
    <row x14ac:dyDescent="0.25" r="4612" customHeight="1" ht="18.75">
      <c r="A4612" s="1" t="s">
        <v>3598</v>
      </c>
      <c r="B4612" s="1" t="s">
        <v>16647</v>
      </c>
      <c r="C4612" s="1" t="s">
        <v>3600</v>
      </c>
      <c r="D4612" s="1" t="s">
        <v>3601</v>
      </c>
      <c r="E4612" s="1"/>
      <c r="F4612" s="1" t="s">
        <v>16705</v>
      </c>
      <c r="G4612" s="1" t="s">
        <v>16649</v>
      </c>
      <c r="H4612" s="1" t="s">
        <v>3604</v>
      </c>
      <c r="I4612" s="1" t="s">
        <v>16706</v>
      </c>
      <c r="J4612" s="1" t="s">
        <v>3606</v>
      </c>
      <c r="K4612" s="1" t="s">
        <v>16707</v>
      </c>
      <c r="L4612" s="1"/>
      <c r="M4612" s="1"/>
    </row>
    <row x14ac:dyDescent="0.25" r="4613" customHeight="1" ht="18.75">
      <c r="A4613" s="1" t="s">
        <v>3598</v>
      </c>
      <c r="B4613" s="1" t="s">
        <v>16689</v>
      </c>
      <c r="C4613" s="1" t="s">
        <v>3600</v>
      </c>
      <c r="D4613" s="1" t="s">
        <v>3601</v>
      </c>
      <c r="E4613" s="1"/>
      <c r="F4613" s="1" t="s">
        <v>16708</v>
      </c>
      <c r="G4613" s="1" t="s">
        <v>16709</v>
      </c>
      <c r="H4613" s="1" t="s">
        <v>3604</v>
      </c>
      <c r="I4613" s="1" t="s">
        <v>16710</v>
      </c>
      <c r="J4613" s="1" t="s">
        <v>3606</v>
      </c>
      <c r="K4613" s="1" t="s">
        <v>16711</v>
      </c>
      <c r="L4613" s="1"/>
      <c r="M4613" s="1"/>
    </row>
    <row x14ac:dyDescent="0.25" r="4614" customHeight="1" ht="18.75">
      <c r="A4614" s="1" t="s">
        <v>3598</v>
      </c>
      <c r="B4614" s="1" t="s">
        <v>16689</v>
      </c>
      <c r="C4614" s="1" t="s">
        <v>3600</v>
      </c>
      <c r="D4614" s="1" t="s">
        <v>3601</v>
      </c>
      <c r="E4614" s="1"/>
      <c r="F4614" s="1" t="s">
        <v>16712</v>
      </c>
      <c r="G4614" s="1" t="s">
        <v>16709</v>
      </c>
      <c r="H4614" s="1" t="s">
        <v>3604</v>
      </c>
      <c r="I4614" s="1" t="s">
        <v>16713</v>
      </c>
      <c r="J4614" s="1" t="s">
        <v>3606</v>
      </c>
      <c r="K4614" s="1" t="s">
        <v>16714</v>
      </c>
      <c r="L4614" s="1"/>
      <c r="M4614" s="1"/>
    </row>
    <row x14ac:dyDescent="0.25" r="4615" customHeight="1" ht="18.75">
      <c r="A4615" s="1" t="s">
        <v>3598</v>
      </c>
      <c r="B4615" s="1" t="s">
        <v>16715</v>
      </c>
      <c r="C4615" s="1" t="s">
        <v>3600</v>
      </c>
      <c r="D4615" s="1" t="s">
        <v>3601</v>
      </c>
      <c r="E4615" s="1"/>
      <c r="F4615" s="1" t="s">
        <v>16716</v>
      </c>
      <c r="G4615" s="1" t="s">
        <v>16717</v>
      </c>
      <c r="H4615" s="1" t="s">
        <v>3604</v>
      </c>
      <c r="I4615" s="1" t="s">
        <v>16718</v>
      </c>
      <c r="J4615" s="1" t="s">
        <v>3606</v>
      </c>
      <c r="K4615" s="1" t="s">
        <v>16719</v>
      </c>
      <c r="L4615" s="1"/>
      <c r="M4615" s="1"/>
    </row>
    <row x14ac:dyDescent="0.25" r="4616" customHeight="1" ht="18.75">
      <c r="A4616" s="1" t="s">
        <v>3693</v>
      </c>
      <c r="B4616" s="1" t="s">
        <v>4083</v>
      </c>
      <c r="C4616" s="1" t="s">
        <v>3600</v>
      </c>
      <c r="D4616" s="1" t="s">
        <v>3601</v>
      </c>
      <c r="E4616" s="1" t="s">
        <v>3893</v>
      </c>
      <c r="F4616" s="1" t="s">
        <v>16720</v>
      </c>
      <c r="G4616" s="1" t="s">
        <v>4346</v>
      </c>
      <c r="H4616" s="1" t="s">
        <v>3604</v>
      </c>
      <c r="I4616" s="1" t="s">
        <v>16721</v>
      </c>
      <c r="J4616" s="1" t="s">
        <v>3615</v>
      </c>
      <c r="K4616" s="1" t="s">
        <v>16722</v>
      </c>
      <c r="L4616" s="1"/>
      <c r="M4616" s="1"/>
    </row>
    <row x14ac:dyDescent="0.25" r="4617" customHeight="1" ht="18.75">
      <c r="A4617" s="1" t="s">
        <v>3598</v>
      </c>
      <c r="B4617" s="1" t="s">
        <v>16723</v>
      </c>
      <c r="C4617" s="1" t="s">
        <v>3600</v>
      </c>
      <c r="D4617" s="1" t="s">
        <v>3601</v>
      </c>
      <c r="E4617" s="1"/>
      <c r="F4617" s="1" t="s">
        <v>16724</v>
      </c>
      <c r="G4617" s="1" t="s">
        <v>16725</v>
      </c>
      <c r="H4617" s="1" t="s">
        <v>3604</v>
      </c>
      <c r="I4617" s="1" t="s">
        <v>16726</v>
      </c>
      <c r="J4617" s="1" t="s">
        <v>3606</v>
      </c>
      <c r="K4617" s="1" t="s">
        <v>16727</v>
      </c>
      <c r="L4617" s="1"/>
      <c r="M4617" s="1"/>
    </row>
    <row x14ac:dyDescent="0.25" r="4618" customHeight="1" ht="18.75">
      <c r="A4618" s="1" t="s">
        <v>3598</v>
      </c>
      <c r="B4618" s="1" t="s">
        <v>16715</v>
      </c>
      <c r="C4618" s="1" t="s">
        <v>3600</v>
      </c>
      <c r="D4618" s="1" t="s">
        <v>3601</v>
      </c>
      <c r="E4618" s="1"/>
      <c r="F4618" s="1" t="s">
        <v>16728</v>
      </c>
      <c r="G4618" s="1" t="s">
        <v>16717</v>
      </c>
      <c r="H4618" s="1" t="s">
        <v>3604</v>
      </c>
      <c r="I4618" s="1" t="s">
        <v>16729</v>
      </c>
      <c r="J4618" s="1" t="s">
        <v>3606</v>
      </c>
      <c r="K4618" s="1" t="s">
        <v>16730</v>
      </c>
      <c r="L4618" s="1"/>
      <c r="M4618" s="1"/>
    </row>
    <row x14ac:dyDescent="0.25" r="4619" customHeight="1" ht="18.75">
      <c r="A4619" s="1" t="s">
        <v>3598</v>
      </c>
      <c r="B4619" s="1" t="s">
        <v>16715</v>
      </c>
      <c r="C4619" s="1" t="s">
        <v>3600</v>
      </c>
      <c r="D4619" s="1" t="s">
        <v>3601</v>
      </c>
      <c r="E4619" s="1"/>
      <c r="F4619" s="1" t="s">
        <v>16731</v>
      </c>
      <c r="G4619" s="1" t="s">
        <v>16717</v>
      </c>
      <c r="H4619" s="1" t="s">
        <v>3604</v>
      </c>
      <c r="I4619" s="1" t="s">
        <v>16732</v>
      </c>
      <c r="J4619" s="1" t="s">
        <v>3606</v>
      </c>
      <c r="K4619" s="1" t="s">
        <v>16733</v>
      </c>
      <c r="L4619" s="1"/>
      <c r="M4619" s="1"/>
    </row>
    <row x14ac:dyDescent="0.25" r="4620" customHeight="1" ht="18.75">
      <c r="A4620" s="1" t="s">
        <v>3598</v>
      </c>
      <c r="B4620" s="1" t="s">
        <v>8636</v>
      </c>
      <c r="C4620" s="1" t="s">
        <v>3600</v>
      </c>
      <c r="D4620" s="1" t="s">
        <v>3601</v>
      </c>
      <c r="E4620" s="1"/>
      <c r="F4620" s="1" t="s">
        <v>16734</v>
      </c>
      <c r="G4620" s="1" t="s">
        <v>16735</v>
      </c>
      <c r="H4620" s="1" t="s">
        <v>3604</v>
      </c>
      <c r="I4620" s="1" t="s">
        <v>16736</v>
      </c>
      <c r="J4620" s="1" t="s">
        <v>3606</v>
      </c>
      <c r="K4620" s="1" t="s">
        <v>16737</v>
      </c>
      <c r="L4620" s="1"/>
      <c r="M4620" s="1"/>
    </row>
    <row x14ac:dyDescent="0.25" r="4621" customHeight="1" ht="18.75">
      <c r="A4621" s="1" t="s">
        <v>3598</v>
      </c>
      <c r="B4621" s="1" t="s">
        <v>16738</v>
      </c>
      <c r="C4621" s="1" t="s">
        <v>3600</v>
      </c>
      <c r="D4621" s="1" t="s">
        <v>3601</v>
      </c>
      <c r="E4621" s="1"/>
      <c r="F4621" s="1" t="s">
        <v>16739</v>
      </c>
      <c r="G4621" s="1" t="s">
        <v>16740</v>
      </c>
      <c r="H4621" s="1" t="s">
        <v>3604</v>
      </c>
      <c r="I4621" s="1" t="s">
        <v>16741</v>
      </c>
      <c r="J4621" s="1" t="s">
        <v>3606</v>
      </c>
      <c r="K4621" s="1" t="s">
        <v>16742</v>
      </c>
      <c r="L4621" s="1"/>
      <c r="M4621" s="1"/>
    </row>
    <row x14ac:dyDescent="0.25" r="4622" customHeight="1" ht="18.75">
      <c r="A4622" s="1" t="s">
        <v>3598</v>
      </c>
      <c r="B4622" s="1" t="s">
        <v>8636</v>
      </c>
      <c r="C4622" s="1" t="s">
        <v>3600</v>
      </c>
      <c r="D4622" s="1" t="s">
        <v>3601</v>
      </c>
      <c r="E4622" s="1"/>
      <c r="F4622" s="1" t="s">
        <v>16743</v>
      </c>
      <c r="G4622" s="1" t="s">
        <v>16735</v>
      </c>
      <c r="H4622" s="1" t="s">
        <v>3604</v>
      </c>
      <c r="I4622" s="1" t="s">
        <v>16744</v>
      </c>
      <c r="J4622" s="1" t="s">
        <v>3606</v>
      </c>
      <c r="K4622" s="1" t="s">
        <v>16745</v>
      </c>
      <c r="L4622" s="1"/>
      <c r="M4622" s="1"/>
    </row>
    <row x14ac:dyDescent="0.25" r="4623" customHeight="1" ht="18.75">
      <c r="A4623" s="1" t="s">
        <v>3598</v>
      </c>
      <c r="B4623" s="1" t="s">
        <v>16738</v>
      </c>
      <c r="C4623" s="1" t="s">
        <v>3600</v>
      </c>
      <c r="D4623" s="1" t="s">
        <v>3601</v>
      </c>
      <c r="E4623" s="1"/>
      <c r="F4623" s="1" t="s">
        <v>16746</v>
      </c>
      <c r="G4623" s="1" t="s">
        <v>16740</v>
      </c>
      <c r="H4623" s="1" t="s">
        <v>3604</v>
      </c>
      <c r="I4623" s="1" t="s">
        <v>16747</v>
      </c>
      <c r="J4623" s="1" t="s">
        <v>3606</v>
      </c>
      <c r="K4623" s="1" t="s">
        <v>16748</v>
      </c>
      <c r="L4623" s="1"/>
      <c r="M4623" s="1"/>
    </row>
    <row x14ac:dyDescent="0.25" r="4624" customHeight="1" ht="18.75">
      <c r="A4624" s="1" t="s">
        <v>3598</v>
      </c>
      <c r="B4624" s="1" t="s">
        <v>16738</v>
      </c>
      <c r="C4624" s="1" t="s">
        <v>3600</v>
      </c>
      <c r="D4624" s="1" t="s">
        <v>3601</v>
      </c>
      <c r="E4624" s="1"/>
      <c r="F4624" s="1" t="s">
        <v>16749</v>
      </c>
      <c r="G4624" s="1" t="s">
        <v>16740</v>
      </c>
      <c r="H4624" s="1" t="s">
        <v>3604</v>
      </c>
      <c r="I4624" s="1" t="s">
        <v>16750</v>
      </c>
      <c r="J4624" s="1" t="s">
        <v>3606</v>
      </c>
      <c r="K4624" s="1" t="s">
        <v>16751</v>
      </c>
      <c r="L4624" s="1"/>
      <c r="M4624" s="1"/>
    </row>
    <row x14ac:dyDescent="0.25" r="4625" customHeight="1" ht="18.75">
      <c r="A4625" s="1" t="s">
        <v>3598</v>
      </c>
      <c r="B4625" s="1" t="s">
        <v>16752</v>
      </c>
      <c r="C4625" s="1" t="s">
        <v>3600</v>
      </c>
      <c r="D4625" s="1" t="s">
        <v>3601</v>
      </c>
      <c r="E4625" s="1"/>
      <c r="F4625" s="1" t="s">
        <v>16753</v>
      </c>
      <c r="G4625" s="1" t="s">
        <v>8330</v>
      </c>
      <c r="H4625" s="1" t="s">
        <v>3604</v>
      </c>
      <c r="I4625" s="1" t="s">
        <v>16754</v>
      </c>
      <c r="J4625" s="1" t="s">
        <v>3606</v>
      </c>
      <c r="K4625" s="1" t="s">
        <v>16755</v>
      </c>
      <c r="L4625" s="1"/>
      <c r="M4625" s="1"/>
    </row>
    <row x14ac:dyDescent="0.25" r="4626" customHeight="1" ht="18.75">
      <c r="A4626" s="1" t="s">
        <v>3598</v>
      </c>
      <c r="B4626" s="1" t="s">
        <v>16752</v>
      </c>
      <c r="C4626" s="1" t="s">
        <v>3600</v>
      </c>
      <c r="D4626" s="1" t="s">
        <v>3601</v>
      </c>
      <c r="E4626" s="1"/>
      <c r="F4626" s="1" t="s">
        <v>16756</v>
      </c>
      <c r="G4626" s="1" t="s">
        <v>8330</v>
      </c>
      <c r="H4626" s="1" t="s">
        <v>3604</v>
      </c>
      <c r="I4626" s="1" t="s">
        <v>16757</v>
      </c>
      <c r="J4626" s="1" t="s">
        <v>3606</v>
      </c>
      <c r="K4626" s="1" t="s">
        <v>16758</v>
      </c>
      <c r="L4626" s="1"/>
      <c r="M4626" s="1"/>
    </row>
    <row x14ac:dyDescent="0.25" r="4627" customHeight="1" ht="18.75">
      <c r="A4627" s="1" t="s">
        <v>3598</v>
      </c>
      <c r="B4627" s="1" t="s">
        <v>16752</v>
      </c>
      <c r="C4627" s="1" t="s">
        <v>3600</v>
      </c>
      <c r="D4627" s="1" t="s">
        <v>3601</v>
      </c>
      <c r="E4627" s="1"/>
      <c r="F4627" s="1" t="s">
        <v>16759</v>
      </c>
      <c r="G4627" s="1" t="s">
        <v>8330</v>
      </c>
      <c r="H4627" s="1" t="s">
        <v>3604</v>
      </c>
      <c r="I4627" s="1" t="s">
        <v>16760</v>
      </c>
      <c r="J4627" s="1" t="s">
        <v>3606</v>
      </c>
      <c r="K4627" s="1" t="s">
        <v>16761</v>
      </c>
      <c r="L4627" s="1"/>
      <c r="M4627" s="1"/>
    </row>
    <row x14ac:dyDescent="0.25" r="4628" customHeight="1" ht="18.75">
      <c r="A4628" s="1" t="s">
        <v>3598</v>
      </c>
      <c r="B4628" s="1" t="s">
        <v>16752</v>
      </c>
      <c r="C4628" s="1" t="s">
        <v>3600</v>
      </c>
      <c r="D4628" s="1" t="s">
        <v>3601</v>
      </c>
      <c r="E4628" s="1"/>
      <c r="F4628" s="1" t="s">
        <v>16762</v>
      </c>
      <c r="G4628" s="1" t="s">
        <v>8330</v>
      </c>
      <c r="H4628" s="1" t="s">
        <v>3604</v>
      </c>
      <c r="I4628" s="1" t="s">
        <v>16763</v>
      </c>
      <c r="J4628" s="1" t="s">
        <v>3606</v>
      </c>
      <c r="K4628" s="1" t="s">
        <v>16764</v>
      </c>
      <c r="L4628" s="1"/>
      <c r="M4628" s="1"/>
    </row>
    <row x14ac:dyDescent="0.25" r="4629" customHeight="1" ht="18.75">
      <c r="A4629" s="1" t="s">
        <v>3598</v>
      </c>
      <c r="B4629" s="1" t="s">
        <v>8636</v>
      </c>
      <c r="C4629" s="1" t="s">
        <v>3600</v>
      </c>
      <c r="D4629" s="1" t="s">
        <v>3601</v>
      </c>
      <c r="E4629" s="1"/>
      <c r="F4629" s="1" t="s">
        <v>16765</v>
      </c>
      <c r="G4629" s="1" t="s">
        <v>8638</v>
      </c>
      <c r="H4629" s="1" t="s">
        <v>3604</v>
      </c>
      <c r="I4629" s="1" t="s">
        <v>16766</v>
      </c>
      <c r="J4629" s="1" t="s">
        <v>3606</v>
      </c>
      <c r="K4629" s="1" t="s">
        <v>16767</v>
      </c>
      <c r="L4629" s="1"/>
      <c r="M4629" s="1"/>
    </row>
    <row x14ac:dyDescent="0.25" r="4630" customHeight="1" ht="18.75">
      <c r="A4630" s="1" t="s">
        <v>3598</v>
      </c>
      <c r="B4630" s="1" t="s">
        <v>16752</v>
      </c>
      <c r="C4630" s="1" t="s">
        <v>3600</v>
      </c>
      <c r="D4630" s="1" t="s">
        <v>3601</v>
      </c>
      <c r="E4630" s="1"/>
      <c r="F4630" s="1" t="s">
        <v>16768</v>
      </c>
      <c r="G4630" s="1" t="s">
        <v>8330</v>
      </c>
      <c r="H4630" s="1" t="s">
        <v>3604</v>
      </c>
      <c r="I4630" s="1" t="s">
        <v>16769</v>
      </c>
      <c r="J4630" s="1" t="s">
        <v>3606</v>
      </c>
      <c r="K4630" s="1" t="s">
        <v>16770</v>
      </c>
      <c r="L4630" s="1"/>
      <c r="M4630" s="1"/>
    </row>
    <row x14ac:dyDescent="0.25" r="4631" customHeight="1" ht="18.75">
      <c r="A4631" s="1" t="s">
        <v>3598</v>
      </c>
      <c r="B4631" s="1" t="s">
        <v>8636</v>
      </c>
      <c r="C4631" s="1" t="s">
        <v>3600</v>
      </c>
      <c r="D4631" s="1" t="s">
        <v>3601</v>
      </c>
      <c r="E4631" s="1"/>
      <c r="F4631" s="1" t="s">
        <v>16771</v>
      </c>
      <c r="G4631" s="1" t="s">
        <v>8638</v>
      </c>
      <c r="H4631" s="1" t="s">
        <v>3604</v>
      </c>
      <c r="I4631" s="1" t="s">
        <v>16772</v>
      </c>
      <c r="J4631" s="1" t="s">
        <v>3606</v>
      </c>
      <c r="K4631" s="1" t="s">
        <v>16773</v>
      </c>
      <c r="L4631" s="1"/>
      <c r="M4631" s="1"/>
    </row>
    <row x14ac:dyDescent="0.25" r="4632" customHeight="1" ht="18.75">
      <c r="A4632" s="1" t="s">
        <v>3598</v>
      </c>
      <c r="B4632" s="1" t="s">
        <v>16752</v>
      </c>
      <c r="C4632" s="1" t="s">
        <v>3600</v>
      </c>
      <c r="D4632" s="1" t="s">
        <v>3601</v>
      </c>
      <c r="E4632" s="1"/>
      <c r="F4632" s="1" t="s">
        <v>16774</v>
      </c>
      <c r="G4632" s="1" t="s">
        <v>8330</v>
      </c>
      <c r="H4632" s="1" t="s">
        <v>3604</v>
      </c>
      <c r="I4632" s="1" t="s">
        <v>16775</v>
      </c>
      <c r="J4632" s="1" t="s">
        <v>3606</v>
      </c>
      <c r="K4632" s="1" t="s">
        <v>16776</v>
      </c>
      <c r="L4632" s="1"/>
      <c r="M4632" s="1"/>
    </row>
    <row x14ac:dyDescent="0.25" r="4633" customHeight="1" ht="18.75">
      <c r="A4633" s="1" t="s">
        <v>3598</v>
      </c>
      <c r="B4633" s="1" t="s">
        <v>8636</v>
      </c>
      <c r="C4633" s="1" t="s">
        <v>3600</v>
      </c>
      <c r="D4633" s="1" t="s">
        <v>3601</v>
      </c>
      <c r="E4633" s="1"/>
      <c r="F4633" s="1" t="s">
        <v>16777</v>
      </c>
      <c r="G4633" s="1" t="s">
        <v>8638</v>
      </c>
      <c r="H4633" s="1" t="s">
        <v>3604</v>
      </c>
      <c r="I4633" s="1" t="s">
        <v>16778</v>
      </c>
      <c r="J4633" s="1" t="s">
        <v>3606</v>
      </c>
      <c r="K4633" s="1" t="s">
        <v>16779</v>
      </c>
      <c r="L4633" s="1"/>
      <c r="M4633" s="1"/>
    </row>
    <row x14ac:dyDescent="0.25" r="4634" customHeight="1" ht="18.75">
      <c r="A4634" s="1" t="s">
        <v>3598</v>
      </c>
      <c r="B4634" s="1" t="s">
        <v>8641</v>
      </c>
      <c r="C4634" s="1" t="s">
        <v>3600</v>
      </c>
      <c r="D4634" s="1" t="s">
        <v>3601</v>
      </c>
      <c r="E4634" s="1"/>
      <c r="F4634" s="1" t="s">
        <v>16780</v>
      </c>
      <c r="G4634" s="1" t="s">
        <v>8643</v>
      </c>
      <c r="H4634" s="1" t="s">
        <v>3604</v>
      </c>
      <c r="I4634" s="1" t="s">
        <v>16781</v>
      </c>
      <c r="J4634" s="1" t="s">
        <v>3606</v>
      </c>
      <c r="K4634" s="1" t="s">
        <v>16782</v>
      </c>
      <c r="L4634" s="1"/>
      <c r="M4634" s="1"/>
    </row>
    <row x14ac:dyDescent="0.25" r="4635" customHeight="1" ht="18.75">
      <c r="A4635" s="1" t="s">
        <v>3598</v>
      </c>
      <c r="B4635" s="1" t="s">
        <v>8636</v>
      </c>
      <c r="C4635" s="1" t="s">
        <v>3600</v>
      </c>
      <c r="D4635" s="1" t="s">
        <v>3601</v>
      </c>
      <c r="E4635" s="1"/>
      <c r="F4635" s="1" t="s">
        <v>16783</v>
      </c>
      <c r="G4635" s="1" t="s">
        <v>8638</v>
      </c>
      <c r="H4635" s="1" t="s">
        <v>3604</v>
      </c>
      <c r="I4635" s="1" t="s">
        <v>16784</v>
      </c>
      <c r="J4635" s="1" t="s">
        <v>3606</v>
      </c>
      <c r="K4635" s="1" t="s">
        <v>16785</v>
      </c>
      <c r="L4635" s="1"/>
      <c r="M4635" s="1"/>
    </row>
    <row x14ac:dyDescent="0.25" r="4636" customHeight="1" ht="18.75">
      <c r="A4636" s="1" t="s">
        <v>3598</v>
      </c>
      <c r="B4636" s="1" t="s">
        <v>16786</v>
      </c>
      <c r="C4636" s="1" t="s">
        <v>3600</v>
      </c>
      <c r="D4636" s="1" t="s">
        <v>3601</v>
      </c>
      <c r="E4636" s="1"/>
      <c r="F4636" s="1" t="s">
        <v>16787</v>
      </c>
      <c r="G4636" s="1" t="s">
        <v>16788</v>
      </c>
      <c r="H4636" s="1" t="s">
        <v>3604</v>
      </c>
      <c r="I4636" s="1" t="s">
        <v>16789</v>
      </c>
      <c r="J4636" s="1" t="s">
        <v>3606</v>
      </c>
      <c r="K4636" s="1" t="s">
        <v>16790</v>
      </c>
      <c r="L4636" s="1"/>
      <c r="M4636" s="1"/>
    </row>
    <row x14ac:dyDescent="0.25" r="4637" customHeight="1" ht="18.75">
      <c r="A4637" s="1" t="s">
        <v>3598</v>
      </c>
      <c r="B4637" s="1" t="s">
        <v>8636</v>
      </c>
      <c r="C4637" s="1" t="s">
        <v>3600</v>
      </c>
      <c r="D4637" s="1" t="s">
        <v>3601</v>
      </c>
      <c r="E4637" s="1"/>
      <c r="F4637" s="1" t="s">
        <v>16791</v>
      </c>
      <c r="G4637" s="1" t="s">
        <v>8638</v>
      </c>
      <c r="H4637" s="1" t="s">
        <v>3604</v>
      </c>
      <c r="I4637" s="1" t="s">
        <v>16792</v>
      </c>
      <c r="J4637" s="1" t="s">
        <v>3606</v>
      </c>
      <c r="K4637" s="1" t="s">
        <v>16793</v>
      </c>
      <c r="L4637" s="1"/>
      <c r="M4637" s="1"/>
    </row>
    <row x14ac:dyDescent="0.25" r="4638" customHeight="1" ht="18.75">
      <c r="A4638" s="1" t="s">
        <v>3598</v>
      </c>
      <c r="B4638" s="1" t="s">
        <v>16786</v>
      </c>
      <c r="C4638" s="1" t="s">
        <v>3600</v>
      </c>
      <c r="D4638" s="1" t="s">
        <v>3601</v>
      </c>
      <c r="E4638" s="1"/>
      <c r="F4638" s="1" t="s">
        <v>16794</v>
      </c>
      <c r="G4638" s="1" t="s">
        <v>16788</v>
      </c>
      <c r="H4638" s="1" t="s">
        <v>3604</v>
      </c>
      <c r="I4638" s="1" t="s">
        <v>16795</v>
      </c>
      <c r="J4638" s="1" t="s">
        <v>3606</v>
      </c>
      <c r="K4638" s="1" t="s">
        <v>16796</v>
      </c>
      <c r="L4638" s="1"/>
      <c r="M4638" s="1"/>
    </row>
    <row x14ac:dyDescent="0.25" r="4639" customHeight="1" ht="18.75">
      <c r="A4639" s="1" t="s">
        <v>3598</v>
      </c>
      <c r="B4639" s="1" t="s">
        <v>8636</v>
      </c>
      <c r="C4639" s="1" t="s">
        <v>3600</v>
      </c>
      <c r="D4639" s="1" t="s">
        <v>3601</v>
      </c>
      <c r="E4639" s="1"/>
      <c r="F4639" s="1" t="s">
        <v>16797</v>
      </c>
      <c r="G4639" s="1" t="s">
        <v>8638</v>
      </c>
      <c r="H4639" s="1" t="s">
        <v>3604</v>
      </c>
      <c r="I4639" s="1" t="s">
        <v>16798</v>
      </c>
      <c r="J4639" s="1" t="s">
        <v>3606</v>
      </c>
      <c r="K4639" s="1" t="s">
        <v>16799</v>
      </c>
      <c r="L4639" s="1"/>
      <c r="M4639" s="1"/>
    </row>
    <row x14ac:dyDescent="0.25" r="4640" customHeight="1" ht="18.75">
      <c r="A4640" s="1" t="s">
        <v>3598</v>
      </c>
      <c r="B4640" s="1" t="s">
        <v>16786</v>
      </c>
      <c r="C4640" s="1" t="s">
        <v>3600</v>
      </c>
      <c r="D4640" s="1" t="s">
        <v>3601</v>
      </c>
      <c r="E4640" s="1"/>
      <c r="F4640" s="1" t="s">
        <v>16800</v>
      </c>
      <c r="G4640" s="1" t="s">
        <v>16788</v>
      </c>
      <c r="H4640" s="1" t="s">
        <v>3604</v>
      </c>
      <c r="I4640" s="1" t="s">
        <v>16801</v>
      </c>
      <c r="J4640" s="1" t="s">
        <v>3606</v>
      </c>
      <c r="K4640" s="1" t="s">
        <v>16802</v>
      </c>
      <c r="L4640" s="1"/>
      <c r="M4640" s="1"/>
    </row>
    <row x14ac:dyDescent="0.25" r="4641" customHeight="1" ht="18.75">
      <c r="A4641" s="1" t="s">
        <v>3598</v>
      </c>
      <c r="B4641" s="1" t="s">
        <v>8636</v>
      </c>
      <c r="C4641" s="1" t="s">
        <v>3600</v>
      </c>
      <c r="D4641" s="1" t="s">
        <v>3601</v>
      </c>
      <c r="E4641" s="1"/>
      <c r="F4641" s="1" t="s">
        <v>16803</v>
      </c>
      <c r="G4641" s="1" t="s">
        <v>8638</v>
      </c>
      <c r="H4641" s="1" t="s">
        <v>3604</v>
      </c>
      <c r="I4641" s="1" t="s">
        <v>16804</v>
      </c>
      <c r="J4641" s="1" t="s">
        <v>3606</v>
      </c>
      <c r="K4641" s="1" t="s">
        <v>16805</v>
      </c>
      <c r="L4641" s="1"/>
      <c r="M4641" s="1"/>
    </row>
    <row x14ac:dyDescent="0.25" r="4642" customHeight="1" ht="18.75">
      <c r="A4642" s="1" t="s">
        <v>3598</v>
      </c>
      <c r="B4642" s="1" t="s">
        <v>16786</v>
      </c>
      <c r="C4642" s="1" t="s">
        <v>3600</v>
      </c>
      <c r="D4642" s="1" t="s">
        <v>3601</v>
      </c>
      <c r="E4642" s="1"/>
      <c r="F4642" s="1" t="s">
        <v>16806</v>
      </c>
      <c r="G4642" s="1" t="s">
        <v>16788</v>
      </c>
      <c r="H4642" s="1" t="s">
        <v>3604</v>
      </c>
      <c r="I4642" s="1" t="s">
        <v>16807</v>
      </c>
      <c r="J4642" s="1" t="s">
        <v>3606</v>
      </c>
      <c r="K4642" s="1" t="s">
        <v>16808</v>
      </c>
      <c r="L4642" s="1"/>
      <c r="M4642" s="1"/>
    </row>
    <row x14ac:dyDescent="0.25" r="4643" customHeight="1" ht="18.75">
      <c r="A4643" s="1" t="s">
        <v>3598</v>
      </c>
      <c r="B4643" s="1" t="s">
        <v>16068</v>
      </c>
      <c r="C4643" s="1" t="s">
        <v>3600</v>
      </c>
      <c r="D4643" s="1" t="s">
        <v>3601</v>
      </c>
      <c r="E4643" s="1"/>
      <c r="F4643" s="1" t="s">
        <v>16809</v>
      </c>
      <c r="G4643" s="1" t="s">
        <v>6471</v>
      </c>
      <c r="H4643" s="1" t="s">
        <v>3604</v>
      </c>
      <c r="I4643" s="1" t="s">
        <v>16810</v>
      </c>
      <c r="J4643" s="1" t="s">
        <v>3606</v>
      </c>
      <c r="K4643" s="1" t="s">
        <v>16811</v>
      </c>
      <c r="L4643" s="1"/>
      <c r="M4643" s="1"/>
    </row>
    <row x14ac:dyDescent="0.25" r="4644" customHeight="1" ht="18.75">
      <c r="A4644" s="1" t="s">
        <v>3598</v>
      </c>
      <c r="B4644" s="1" t="s">
        <v>16812</v>
      </c>
      <c r="C4644" s="1" t="s">
        <v>3600</v>
      </c>
      <c r="D4644" s="1" t="s">
        <v>3601</v>
      </c>
      <c r="E4644" s="1"/>
      <c r="F4644" s="1" t="s">
        <v>16813</v>
      </c>
      <c r="G4644" s="1" t="s">
        <v>16814</v>
      </c>
      <c r="H4644" s="1" t="s">
        <v>3604</v>
      </c>
      <c r="I4644" s="1" t="s">
        <v>16815</v>
      </c>
      <c r="J4644" s="1" t="s">
        <v>3606</v>
      </c>
      <c r="K4644" s="1" t="s">
        <v>16816</v>
      </c>
      <c r="L4644" s="1"/>
      <c r="M4644" s="1"/>
    </row>
    <row x14ac:dyDescent="0.25" r="4645" customHeight="1" ht="18.75">
      <c r="A4645" s="1" t="s">
        <v>3598</v>
      </c>
      <c r="B4645" s="1" t="s">
        <v>16068</v>
      </c>
      <c r="C4645" s="1" t="s">
        <v>3600</v>
      </c>
      <c r="D4645" s="1" t="s">
        <v>3601</v>
      </c>
      <c r="E4645" s="1"/>
      <c r="F4645" s="1" t="s">
        <v>16817</v>
      </c>
      <c r="G4645" s="1" t="s">
        <v>6471</v>
      </c>
      <c r="H4645" s="1" t="s">
        <v>3604</v>
      </c>
      <c r="I4645" s="1" t="s">
        <v>16818</v>
      </c>
      <c r="J4645" s="1" t="s">
        <v>3606</v>
      </c>
      <c r="K4645" s="1" t="s">
        <v>16819</v>
      </c>
      <c r="L4645" s="1"/>
      <c r="M4645" s="1"/>
    </row>
    <row x14ac:dyDescent="0.25" r="4646" customHeight="1" ht="18.75">
      <c r="A4646" s="1" t="s">
        <v>3598</v>
      </c>
      <c r="B4646" s="1" t="s">
        <v>16068</v>
      </c>
      <c r="C4646" s="1" t="s">
        <v>3600</v>
      </c>
      <c r="D4646" s="1" t="s">
        <v>3601</v>
      </c>
      <c r="E4646" s="1"/>
      <c r="F4646" s="1" t="s">
        <v>16820</v>
      </c>
      <c r="G4646" s="1" t="s">
        <v>6471</v>
      </c>
      <c r="H4646" s="1" t="s">
        <v>3604</v>
      </c>
      <c r="I4646" s="1" t="s">
        <v>16821</v>
      </c>
      <c r="J4646" s="1" t="s">
        <v>3606</v>
      </c>
      <c r="K4646" s="1" t="s">
        <v>16822</v>
      </c>
      <c r="L4646" s="1"/>
      <c r="M4646" s="1"/>
    </row>
    <row x14ac:dyDescent="0.25" r="4647" customHeight="1" ht="18.75">
      <c r="A4647" s="1" t="s">
        <v>3598</v>
      </c>
      <c r="B4647" s="1" t="s">
        <v>16812</v>
      </c>
      <c r="C4647" s="1" t="s">
        <v>3600</v>
      </c>
      <c r="D4647" s="1" t="s">
        <v>3601</v>
      </c>
      <c r="E4647" s="1"/>
      <c r="F4647" s="1" t="s">
        <v>16823</v>
      </c>
      <c r="G4647" s="1" t="s">
        <v>16824</v>
      </c>
      <c r="H4647" s="1" t="s">
        <v>3604</v>
      </c>
      <c r="I4647" s="1" t="s">
        <v>16825</v>
      </c>
      <c r="J4647" s="1" t="s">
        <v>3606</v>
      </c>
      <c r="K4647" s="1" t="s">
        <v>16826</v>
      </c>
      <c r="L4647" s="1"/>
      <c r="M4647" s="1"/>
    </row>
    <row x14ac:dyDescent="0.25" r="4648" customHeight="1" ht="18.75">
      <c r="A4648" s="1" t="s">
        <v>3598</v>
      </c>
      <c r="B4648" s="1" t="s">
        <v>16068</v>
      </c>
      <c r="C4648" s="1" t="s">
        <v>3600</v>
      </c>
      <c r="D4648" s="1" t="s">
        <v>3601</v>
      </c>
      <c r="E4648" s="1"/>
      <c r="F4648" s="1" t="s">
        <v>16827</v>
      </c>
      <c r="G4648" s="1" t="s">
        <v>6471</v>
      </c>
      <c r="H4648" s="1" t="s">
        <v>3604</v>
      </c>
      <c r="I4648" s="1" t="s">
        <v>16828</v>
      </c>
      <c r="J4648" s="1" t="s">
        <v>3606</v>
      </c>
      <c r="K4648" s="1" t="s">
        <v>16829</v>
      </c>
      <c r="L4648" s="1"/>
      <c r="M4648" s="1"/>
    </row>
    <row x14ac:dyDescent="0.25" r="4649" customHeight="1" ht="18.75">
      <c r="A4649" s="1" t="s">
        <v>3598</v>
      </c>
      <c r="B4649" s="1" t="s">
        <v>16068</v>
      </c>
      <c r="C4649" s="1" t="s">
        <v>3600</v>
      </c>
      <c r="D4649" s="1" t="s">
        <v>3601</v>
      </c>
      <c r="E4649" s="1"/>
      <c r="F4649" s="1" t="s">
        <v>16830</v>
      </c>
      <c r="G4649" s="1" t="s">
        <v>6471</v>
      </c>
      <c r="H4649" s="1" t="s">
        <v>3604</v>
      </c>
      <c r="I4649" s="1" t="s">
        <v>16831</v>
      </c>
      <c r="J4649" s="1" t="s">
        <v>3606</v>
      </c>
      <c r="K4649" s="1" t="s">
        <v>16832</v>
      </c>
      <c r="L4649" s="1"/>
      <c r="M4649" s="1"/>
    </row>
    <row x14ac:dyDescent="0.25" r="4650" customHeight="1" ht="18.75">
      <c r="A4650" s="1" t="s">
        <v>3598</v>
      </c>
      <c r="B4650" s="1" t="s">
        <v>16068</v>
      </c>
      <c r="C4650" s="1" t="s">
        <v>3600</v>
      </c>
      <c r="D4650" s="1" t="s">
        <v>3601</v>
      </c>
      <c r="E4650" s="1"/>
      <c r="F4650" s="1" t="s">
        <v>16833</v>
      </c>
      <c r="G4650" s="1" t="s">
        <v>6471</v>
      </c>
      <c r="H4650" s="1" t="s">
        <v>3604</v>
      </c>
      <c r="I4650" s="1" t="s">
        <v>16834</v>
      </c>
      <c r="J4650" s="1" t="s">
        <v>3606</v>
      </c>
      <c r="K4650" s="1" t="s">
        <v>16835</v>
      </c>
      <c r="L4650" s="1"/>
      <c r="M4650" s="1"/>
    </row>
    <row x14ac:dyDescent="0.25" r="4651" customHeight="1" ht="18.75">
      <c r="A4651" s="1" t="s">
        <v>3598</v>
      </c>
      <c r="B4651" s="1" t="s">
        <v>8581</v>
      </c>
      <c r="C4651" s="1" t="s">
        <v>3600</v>
      </c>
      <c r="D4651" s="1" t="s">
        <v>3601</v>
      </c>
      <c r="E4651" s="1"/>
      <c r="F4651" s="1" t="s">
        <v>16836</v>
      </c>
      <c r="G4651" s="1" t="s">
        <v>8583</v>
      </c>
      <c r="H4651" s="1" t="s">
        <v>3604</v>
      </c>
      <c r="I4651" s="1" t="s">
        <v>16837</v>
      </c>
      <c r="J4651" s="1" t="s">
        <v>3606</v>
      </c>
      <c r="K4651" s="1" t="s">
        <v>16838</v>
      </c>
      <c r="L4651" s="1"/>
      <c r="M4651" s="1"/>
    </row>
    <row x14ac:dyDescent="0.25" r="4652" customHeight="1" ht="18.75">
      <c r="A4652" s="1" t="s">
        <v>3598</v>
      </c>
      <c r="B4652" s="1" t="s">
        <v>16068</v>
      </c>
      <c r="C4652" s="1" t="s">
        <v>3600</v>
      </c>
      <c r="D4652" s="1" t="s">
        <v>3601</v>
      </c>
      <c r="E4652" s="1"/>
      <c r="F4652" s="1" t="s">
        <v>16839</v>
      </c>
      <c r="G4652" s="1" t="s">
        <v>6471</v>
      </c>
      <c r="H4652" s="1" t="s">
        <v>3604</v>
      </c>
      <c r="I4652" s="1" t="s">
        <v>16840</v>
      </c>
      <c r="J4652" s="1" t="s">
        <v>3606</v>
      </c>
      <c r="K4652" s="1" t="s">
        <v>16841</v>
      </c>
      <c r="L4652" s="1"/>
      <c r="M4652" s="1"/>
    </row>
    <row x14ac:dyDescent="0.25" r="4653" customHeight="1" ht="18.75">
      <c r="A4653" s="1" t="s">
        <v>3598</v>
      </c>
      <c r="B4653" s="1" t="s">
        <v>16075</v>
      </c>
      <c r="C4653" s="1" t="s">
        <v>3600</v>
      </c>
      <c r="D4653" s="1" t="s">
        <v>3601</v>
      </c>
      <c r="E4653" s="1"/>
      <c r="F4653" s="1" t="s">
        <v>16842</v>
      </c>
      <c r="G4653" s="1" t="s">
        <v>16077</v>
      </c>
      <c r="H4653" s="1" t="s">
        <v>3604</v>
      </c>
      <c r="I4653" s="1" t="s">
        <v>16843</v>
      </c>
      <c r="J4653" s="1" t="s">
        <v>3606</v>
      </c>
      <c r="K4653" s="1" t="s">
        <v>16844</v>
      </c>
      <c r="L4653" s="1"/>
      <c r="M4653" s="1"/>
    </row>
    <row x14ac:dyDescent="0.25" r="4654" customHeight="1" ht="18.75">
      <c r="A4654" s="1" t="s">
        <v>3598</v>
      </c>
      <c r="B4654" s="1" t="s">
        <v>16845</v>
      </c>
      <c r="C4654" s="1" t="s">
        <v>3600</v>
      </c>
      <c r="D4654" s="1" t="s">
        <v>3601</v>
      </c>
      <c r="E4654" s="1"/>
      <c r="F4654" s="1" t="s">
        <v>16846</v>
      </c>
      <c r="G4654" s="1" t="s">
        <v>6440</v>
      </c>
      <c r="H4654" s="1" t="s">
        <v>3604</v>
      </c>
      <c r="I4654" s="1" t="s">
        <v>16847</v>
      </c>
      <c r="J4654" s="1" t="s">
        <v>3606</v>
      </c>
      <c r="K4654" s="1" t="s">
        <v>16848</v>
      </c>
      <c r="L4654" s="1"/>
      <c r="M4654" s="1"/>
    </row>
    <row x14ac:dyDescent="0.25" r="4655" customHeight="1" ht="18.75">
      <c r="A4655" s="1" t="s">
        <v>3598</v>
      </c>
      <c r="B4655" s="1" t="s">
        <v>16849</v>
      </c>
      <c r="C4655" s="1" t="s">
        <v>3600</v>
      </c>
      <c r="D4655" s="1" t="s">
        <v>3601</v>
      </c>
      <c r="E4655" s="1"/>
      <c r="F4655" s="1" t="s">
        <v>16850</v>
      </c>
      <c r="G4655" s="1" t="s">
        <v>8609</v>
      </c>
      <c r="H4655" s="1" t="s">
        <v>3604</v>
      </c>
      <c r="I4655" s="1" t="s">
        <v>16851</v>
      </c>
      <c r="J4655" s="1" t="s">
        <v>3606</v>
      </c>
      <c r="K4655" s="1" t="s">
        <v>16852</v>
      </c>
      <c r="L4655" s="1"/>
      <c r="M4655" s="1"/>
    </row>
    <row x14ac:dyDescent="0.25" r="4656" customHeight="1" ht="18.75">
      <c r="A4656" s="1" t="s">
        <v>3598</v>
      </c>
      <c r="B4656" s="1" t="s">
        <v>8581</v>
      </c>
      <c r="C4656" s="1" t="s">
        <v>3600</v>
      </c>
      <c r="D4656" s="1" t="s">
        <v>3601</v>
      </c>
      <c r="E4656" s="1"/>
      <c r="F4656" s="1" t="s">
        <v>16853</v>
      </c>
      <c r="G4656" s="1" t="s">
        <v>13827</v>
      </c>
      <c r="H4656" s="1" t="s">
        <v>3604</v>
      </c>
      <c r="I4656" s="1" t="s">
        <v>16854</v>
      </c>
      <c r="J4656" s="1" t="s">
        <v>3606</v>
      </c>
      <c r="K4656" s="1" t="s">
        <v>16855</v>
      </c>
      <c r="L4656" s="1"/>
      <c r="M4656" s="1"/>
    </row>
    <row x14ac:dyDescent="0.25" r="4657" customHeight="1" ht="18.75">
      <c r="A4657" s="1" t="s">
        <v>3598</v>
      </c>
      <c r="B4657" s="1" t="s">
        <v>16845</v>
      </c>
      <c r="C4657" s="1" t="s">
        <v>3600</v>
      </c>
      <c r="D4657" s="1" t="s">
        <v>3601</v>
      </c>
      <c r="E4657" s="1"/>
      <c r="F4657" s="1" t="s">
        <v>16856</v>
      </c>
      <c r="G4657" s="1" t="s">
        <v>6440</v>
      </c>
      <c r="H4657" s="1" t="s">
        <v>3604</v>
      </c>
      <c r="I4657" s="1" t="s">
        <v>16857</v>
      </c>
      <c r="J4657" s="1" t="s">
        <v>3606</v>
      </c>
      <c r="K4657" s="1" t="s">
        <v>16858</v>
      </c>
      <c r="L4657" s="1"/>
      <c r="M4657" s="1"/>
    </row>
    <row x14ac:dyDescent="0.25" r="4658" customHeight="1" ht="18.75">
      <c r="A4658" s="1" t="s">
        <v>3598</v>
      </c>
      <c r="B4658" s="1" t="s">
        <v>8629</v>
      </c>
      <c r="C4658" s="1" t="s">
        <v>3600</v>
      </c>
      <c r="D4658" s="1" t="s">
        <v>3601</v>
      </c>
      <c r="E4658" s="1"/>
      <c r="F4658" s="1" t="s">
        <v>16859</v>
      </c>
      <c r="G4658" s="1" t="s">
        <v>8631</v>
      </c>
      <c r="H4658" s="1" t="s">
        <v>3604</v>
      </c>
      <c r="I4658" s="1" t="s">
        <v>16860</v>
      </c>
      <c r="J4658" s="1" t="s">
        <v>3606</v>
      </c>
      <c r="K4658" s="1" t="s">
        <v>16861</v>
      </c>
      <c r="L4658" s="1"/>
      <c r="M4658" s="1"/>
    </row>
    <row x14ac:dyDescent="0.25" r="4659" customHeight="1" ht="18.75">
      <c r="A4659" s="1" t="s">
        <v>3693</v>
      </c>
      <c r="B4659" s="1" t="s">
        <v>4083</v>
      </c>
      <c r="C4659" s="1" t="s">
        <v>3600</v>
      </c>
      <c r="D4659" s="1" t="s">
        <v>3601</v>
      </c>
      <c r="E4659" s="1" t="s">
        <v>3893</v>
      </c>
      <c r="F4659" s="1" t="s">
        <v>16862</v>
      </c>
      <c r="G4659" s="1" t="s">
        <v>4382</v>
      </c>
      <c r="H4659" s="1" t="s">
        <v>3604</v>
      </c>
      <c r="I4659" s="1" t="s">
        <v>16863</v>
      </c>
      <c r="J4659" s="1" t="s">
        <v>3606</v>
      </c>
      <c r="K4659" s="1" t="s">
        <v>16864</v>
      </c>
      <c r="L4659" s="1"/>
      <c r="M4659" s="1"/>
    </row>
    <row x14ac:dyDescent="0.25" r="4660" customHeight="1" ht="18.75">
      <c r="A4660" s="1" t="s">
        <v>3598</v>
      </c>
      <c r="B4660" s="1" t="s">
        <v>8581</v>
      </c>
      <c r="C4660" s="1" t="s">
        <v>3600</v>
      </c>
      <c r="D4660" s="1" t="s">
        <v>3601</v>
      </c>
      <c r="E4660" s="1"/>
      <c r="F4660" s="1" t="s">
        <v>16865</v>
      </c>
      <c r="G4660" s="1" t="s">
        <v>13827</v>
      </c>
      <c r="H4660" s="1" t="s">
        <v>3604</v>
      </c>
      <c r="I4660" s="1" t="s">
        <v>16866</v>
      </c>
      <c r="J4660" s="1" t="s">
        <v>3606</v>
      </c>
      <c r="K4660" s="1" t="s">
        <v>16867</v>
      </c>
      <c r="L4660" s="1"/>
      <c r="M4660" s="1"/>
    </row>
    <row x14ac:dyDescent="0.25" r="4661" customHeight="1" ht="18.75">
      <c r="A4661" s="1" t="s">
        <v>3598</v>
      </c>
      <c r="B4661" s="1" t="s">
        <v>16868</v>
      </c>
      <c r="C4661" s="1" t="s">
        <v>3600</v>
      </c>
      <c r="D4661" s="1" t="s">
        <v>3601</v>
      </c>
      <c r="E4661" s="1"/>
      <c r="F4661" s="1" t="s">
        <v>16869</v>
      </c>
      <c r="G4661" s="1" t="s">
        <v>16870</v>
      </c>
      <c r="H4661" s="1" t="s">
        <v>3604</v>
      </c>
      <c r="I4661" s="1" t="s">
        <v>16871</v>
      </c>
      <c r="J4661" s="1" t="s">
        <v>3606</v>
      </c>
      <c r="K4661" s="1" t="s">
        <v>16872</v>
      </c>
      <c r="L4661" s="1"/>
      <c r="M4661" s="1"/>
    </row>
    <row x14ac:dyDescent="0.25" r="4662" customHeight="1" ht="18.75">
      <c r="A4662" s="1" t="s">
        <v>3598</v>
      </c>
      <c r="B4662" s="1" t="s">
        <v>8589</v>
      </c>
      <c r="C4662" s="1" t="s">
        <v>3600</v>
      </c>
      <c r="D4662" s="1" t="s">
        <v>3601</v>
      </c>
      <c r="E4662" s="1"/>
      <c r="F4662" s="1" t="s">
        <v>16873</v>
      </c>
      <c r="G4662" s="1" t="s">
        <v>6458</v>
      </c>
      <c r="H4662" s="1" t="s">
        <v>3604</v>
      </c>
      <c r="I4662" s="1" t="s">
        <v>16874</v>
      </c>
      <c r="J4662" s="1" t="s">
        <v>3606</v>
      </c>
      <c r="K4662" s="1" t="s">
        <v>16875</v>
      </c>
      <c r="L4662" s="1"/>
      <c r="M4662" s="1"/>
    </row>
    <row x14ac:dyDescent="0.25" r="4663" customHeight="1" ht="18.75">
      <c r="A4663" s="1" t="s">
        <v>3598</v>
      </c>
      <c r="B4663" s="1" t="s">
        <v>16876</v>
      </c>
      <c r="C4663" s="1" t="s">
        <v>3600</v>
      </c>
      <c r="D4663" s="1" t="s">
        <v>3601</v>
      </c>
      <c r="E4663" s="1"/>
      <c r="F4663" s="1" t="s">
        <v>16877</v>
      </c>
      <c r="G4663" s="1" t="s">
        <v>16878</v>
      </c>
      <c r="H4663" s="1" t="s">
        <v>3604</v>
      </c>
      <c r="I4663" s="1" t="s">
        <v>16879</v>
      </c>
      <c r="J4663" s="1" t="s">
        <v>3606</v>
      </c>
      <c r="K4663" s="1" t="s">
        <v>16880</v>
      </c>
      <c r="L4663" s="1"/>
      <c r="M4663" s="1"/>
    </row>
    <row x14ac:dyDescent="0.25" r="4664" customHeight="1" ht="18.75">
      <c r="A4664" s="1" t="s">
        <v>3598</v>
      </c>
      <c r="B4664" s="1" t="s">
        <v>16868</v>
      </c>
      <c r="C4664" s="1" t="s">
        <v>3600</v>
      </c>
      <c r="D4664" s="1" t="s">
        <v>3601</v>
      </c>
      <c r="E4664" s="1"/>
      <c r="F4664" s="1" t="s">
        <v>16881</v>
      </c>
      <c r="G4664" s="1" t="s">
        <v>16870</v>
      </c>
      <c r="H4664" s="1" t="s">
        <v>3604</v>
      </c>
      <c r="I4664" s="1" t="s">
        <v>16882</v>
      </c>
      <c r="J4664" s="1" t="s">
        <v>3606</v>
      </c>
      <c r="K4664" s="1" t="s">
        <v>16883</v>
      </c>
      <c r="L4664" s="1"/>
      <c r="M4664" s="1"/>
    </row>
    <row x14ac:dyDescent="0.25" r="4665" customHeight="1" ht="18.75">
      <c r="A4665" s="1" t="s">
        <v>3598</v>
      </c>
      <c r="B4665" s="1" t="s">
        <v>8589</v>
      </c>
      <c r="C4665" s="1" t="s">
        <v>3600</v>
      </c>
      <c r="D4665" s="1" t="s">
        <v>3601</v>
      </c>
      <c r="E4665" s="1"/>
      <c r="F4665" s="1" t="s">
        <v>16884</v>
      </c>
      <c r="G4665" s="1" t="s">
        <v>6458</v>
      </c>
      <c r="H4665" s="1" t="s">
        <v>3604</v>
      </c>
      <c r="I4665" s="1" t="s">
        <v>16885</v>
      </c>
      <c r="J4665" s="1" t="s">
        <v>3606</v>
      </c>
      <c r="K4665" s="1" t="s">
        <v>16886</v>
      </c>
      <c r="L4665" s="1"/>
      <c r="M4665" s="1"/>
    </row>
    <row x14ac:dyDescent="0.25" r="4666" customHeight="1" ht="18.75">
      <c r="A4666" s="1" t="s">
        <v>3598</v>
      </c>
      <c r="B4666" s="1" t="s">
        <v>16887</v>
      </c>
      <c r="C4666" s="1" t="s">
        <v>3600</v>
      </c>
      <c r="D4666" s="1" t="s">
        <v>3601</v>
      </c>
      <c r="E4666" s="1"/>
      <c r="F4666" s="1" t="s">
        <v>16888</v>
      </c>
      <c r="G4666" s="1" t="s">
        <v>16889</v>
      </c>
      <c r="H4666" s="1" t="s">
        <v>3604</v>
      </c>
      <c r="I4666" s="1" t="s">
        <v>16890</v>
      </c>
      <c r="J4666" s="1" t="s">
        <v>3606</v>
      </c>
      <c r="K4666" s="1" t="s">
        <v>16891</v>
      </c>
      <c r="L4666" s="1"/>
      <c r="M4666" s="1"/>
    </row>
    <row x14ac:dyDescent="0.25" r="4667" customHeight="1" ht="18.75">
      <c r="A4667" s="1" t="s">
        <v>3693</v>
      </c>
      <c r="B4667" s="1" t="s">
        <v>4083</v>
      </c>
      <c r="C4667" s="1" t="s">
        <v>3600</v>
      </c>
      <c r="D4667" s="1" t="s">
        <v>3601</v>
      </c>
      <c r="E4667" s="1" t="s">
        <v>3893</v>
      </c>
      <c r="F4667" s="1" t="s">
        <v>16892</v>
      </c>
      <c r="G4667" s="1" t="s">
        <v>4553</v>
      </c>
      <c r="H4667" s="1" t="s">
        <v>3604</v>
      </c>
      <c r="I4667" s="1" t="s">
        <v>16893</v>
      </c>
      <c r="J4667" s="1" t="s">
        <v>3606</v>
      </c>
      <c r="K4667" s="1" t="s">
        <v>16894</v>
      </c>
      <c r="L4667" s="1"/>
      <c r="M4667" s="1"/>
    </row>
    <row x14ac:dyDescent="0.25" r="4668" customHeight="1" ht="18.75">
      <c r="A4668" s="1" t="s">
        <v>3598</v>
      </c>
      <c r="B4668" s="1" t="s">
        <v>16895</v>
      </c>
      <c r="C4668" s="1" t="s">
        <v>3600</v>
      </c>
      <c r="D4668" s="1" t="s">
        <v>3601</v>
      </c>
      <c r="E4668" s="1"/>
      <c r="F4668" s="1" t="s">
        <v>16896</v>
      </c>
      <c r="G4668" s="1" t="s">
        <v>16424</v>
      </c>
      <c r="H4668" s="1" t="s">
        <v>3604</v>
      </c>
      <c r="I4668" s="1" t="s">
        <v>16897</v>
      </c>
      <c r="J4668" s="1" t="s">
        <v>3606</v>
      </c>
      <c r="K4668" s="1" t="s">
        <v>16898</v>
      </c>
      <c r="L4668" s="1"/>
      <c r="M4668" s="1"/>
    </row>
    <row x14ac:dyDescent="0.25" r="4669" customHeight="1" ht="18.75">
      <c r="A4669" s="1" t="s">
        <v>3598</v>
      </c>
      <c r="B4669" s="1" t="s">
        <v>8683</v>
      </c>
      <c r="C4669" s="1" t="s">
        <v>3600</v>
      </c>
      <c r="D4669" s="1" t="s">
        <v>3601</v>
      </c>
      <c r="E4669" s="1"/>
      <c r="F4669" s="1" t="s">
        <v>16899</v>
      </c>
      <c r="G4669" s="1" t="s">
        <v>6039</v>
      </c>
      <c r="H4669" s="1" t="s">
        <v>3604</v>
      </c>
      <c r="I4669" s="1" t="s">
        <v>16900</v>
      </c>
      <c r="J4669" s="1" t="s">
        <v>3606</v>
      </c>
      <c r="K4669" s="1" t="s">
        <v>16901</v>
      </c>
      <c r="L4669" s="1"/>
      <c r="M4669" s="1"/>
    </row>
    <row x14ac:dyDescent="0.25" r="4670" customHeight="1" ht="18.75">
      <c r="A4670" s="1" t="s">
        <v>3598</v>
      </c>
      <c r="B4670" s="1" t="s">
        <v>16895</v>
      </c>
      <c r="C4670" s="1" t="s">
        <v>3600</v>
      </c>
      <c r="D4670" s="1" t="s">
        <v>3601</v>
      </c>
      <c r="E4670" s="1"/>
      <c r="F4670" s="1" t="s">
        <v>16902</v>
      </c>
      <c r="G4670" s="1" t="s">
        <v>16424</v>
      </c>
      <c r="H4670" s="1" t="s">
        <v>3604</v>
      </c>
      <c r="I4670" s="1" t="s">
        <v>16903</v>
      </c>
      <c r="J4670" s="1" t="s">
        <v>3606</v>
      </c>
      <c r="K4670" s="1" t="s">
        <v>16904</v>
      </c>
      <c r="L4670" s="1"/>
      <c r="M4670" s="1"/>
    </row>
    <row x14ac:dyDescent="0.25" r="4671" customHeight="1" ht="18.75">
      <c r="A4671" s="1" t="s">
        <v>3598</v>
      </c>
      <c r="B4671" s="1" t="s">
        <v>8683</v>
      </c>
      <c r="C4671" s="1" t="s">
        <v>3600</v>
      </c>
      <c r="D4671" s="1" t="s">
        <v>3601</v>
      </c>
      <c r="E4671" s="1"/>
      <c r="F4671" s="1" t="s">
        <v>16905</v>
      </c>
      <c r="G4671" s="1" t="s">
        <v>6039</v>
      </c>
      <c r="H4671" s="1" t="s">
        <v>3604</v>
      </c>
      <c r="I4671" s="1" t="s">
        <v>16906</v>
      </c>
      <c r="J4671" s="1" t="s">
        <v>3606</v>
      </c>
      <c r="K4671" s="1" t="s">
        <v>16907</v>
      </c>
      <c r="L4671" s="1"/>
      <c r="M4671" s="1"/>
    </row>
    <row x14ac:dyDescent="0.25" r="4672" customHeight="1" ht="18.75">
      <c r="A4672" s="1" t="s">
        <v>3598</v>
      </c>
      <c r="B4672" s="1" t="s">
        <v>16908</v>
      </c>
      <c r="C4672" s="1" t="s">
        <v>3600</v>
      </c>
      <c r="D4672" s="1" t="s">
        <v>3601</v>
      </c>
      <c r="E4672" s="1"/>
      <c r="F4672" s="1" t="s">
        <v>16909</v>
      </c>
      <c r="G4672" s="1" t="s">
        <v>16910</v>
      </c>
      <c r="H4672" s="1" t="s">
        <v>3604</v>
      </c>
      <c r="I4672" s="1" t="s">
        <v>16911</v>
      </c>
      <c r="J4672" s="1" t="s">
        <v>3606</v>
      </c>
      <c r="K4672" s="1" t="s">
        <v>16912</v>
      </c>
      <c r="L4672" s="1"/>
      <c r="M4672" s="1"/>
    </row>
    <row x14ac:dyDescent="0.25" r="4673" customHeight="1" ht="18.75">
      <c r="A4673" s="1" t="s">
        <v>3598</v>
      </c>
      <c r="B4673" s="1" t="s">
        <v>8683</v>
      </c>
      <c r="C4673" s="1" t="s">
        <v>3600</v>
      </c>
      <c r="D4673" s="1" t="s">
        <v>3601</v>
      </c>
      <c r="E4673" s="1"/>
      <c r="F4673" s="1" t="s">
        <v>16913</v>
      </c>
      <c r="G4673" s="1" t="s">
        <v>6039</v>
      </c>
      <c r="H4673" s="1" t="s">
        <v>3604</v>
      </c>
      <c r="I4673" s="1" t="s">
        <v>16914</v>
      </c>
      <c r="J4673" s="1" t="s">
        <v>3606</v>
      </c>
      <c r="K4673" s="1" t="s">
        <v>16915</v>
      </c>
      <c r="L4673" s="1"/>
      <c r="M4673" s="1"/>
    </row>
    <row x14ac:dyDescent="0.25" r="4674" customHeight="1" ht="18.75">
      <c r="A4674" s="1" t="s">
        <v>3598</v>
      </c>
      <c r="B4674" s="1" t="s">
        <v>16908</v>
      </c>
      <c r="C4674" s="1" t="s">
        <v>3600</v>
      </c>
      <c r="D4674" s="1" t="s">
        <v>3601</v>
      </c>
      <c r="E4674" s="1"/>
      <c r="F4674" s="1" t="s">
        <v>16916</v>
      </c>
      <c r="G4674" s="1" t="s">
        <v>16910</v>
      </c>
      <c r="H4674" s="1" t="s">
        <v>3604</v>
      </c>
      <c r="I4674" s="1" t="s">
        <v>16917</v>
      </c>
      <c r="J4674" s="1" t="s">
        <v>3606</v>
      </c>
      <c r="K4674" s="1" t="s">
        <v>16918</v>
      </c>
      <c r="L4674" s="1"/>
      <c r="M4674" s="1"/>
    </row>
    <row x14ac:dyDescent="0.25" r="4675" customHeight="1" ht="18.75">
      <c r="A4675" s="1" t="s">
        <v>3693</v>
      </c>
      <c r="B4675" s="1" t="s">
        <v>4083</v>
      </c>
      <c r="C4675" s="1" t="s">
        <v>3600</v>
      </c>
      <c r="D4675" s="1" t="s">
        <v>3601</v>
      </c>
      <c r="E4675" s="1" t="s">
        <v>3893</v>
      </c>
      <c r="F4675" s="1" t="s">
        <v>16919</v>
      </c>
      <c r="G4675" s="1" t="s">
        <v>4116</v>
      </c>
      <c r="H4675" s="1" t="s">
        <v>3604</v>
      </c>
      <c r="I4675" s="1" t="s">
        <v>16920</v>
      </c>
      <c r="J4675" s="1" t="s">
        <v>3615</v>
      </c>
      <c r="K4675" s="1" t="s">
        <v>16921</v>
      </c>
      <c r="L4675" s="1"/>
      <c r="M4675" s="1"/>
    </row>
    <row x14ac:dyDescent="0.25" r="4676" customHeight="1" ht="18.75">
      <c r="A4676" s="1" t="s">
        <v>3598</v>
      </c>
      <c r="B4676" s="1" t="s">
        <v>8683</v>
      </c>
      <c r="C4676" s="1" t="s">
        <v>3600</v>
      </c>
      <c r="D4676" s="1" t="s">
        <v>3601</v>
      </c>
      <c r="E4676" s="1"/>
      <c r="F4676" s="1" t="s">
        <v>16922</v>
      </c>
      <c r="G4676" s="1" t="s">
        <v>6039</v>
      </c>
      <c r="H4676" s="1" t="s">
        <v>3604</v>
      </c>
      <c r="I4676" s="1" t="s">
        <v>16923</v>
      </c>
      <c r="J4676" s="1" t="s">
        <v>3606</v>
      </c>
      <c r="K4676" s="1" t="s">
        <v>16924</v>
      </c>
      <c r="L4676" s="1"/>
      <c r="M4676" s="1"/>
    </row>
    <row x14ac:dyDescent="0.25" r="4677" customHeight="1" ht="18.75">
      <c r="A4677" s="1" t="s">
        <v>3598</v>
      </c>
      <c r="B4677" s="1" t="s">
        <v>16908</v>
      </c>
      <c r="C4677" s="1" t="s">
        <v>3600</v>
      </c>
      <c r="D4677" s="1" t="s">
        <v>3601</v>
      </c>
      <c r="E4677" s="1"/>
      <c r="F4677" s="1" t="s">
        <v>16925</v>
      </c>
      <c r="G4677" s="1" t="s">
        <v>16910</v>
      </c>
      <c r="H4677" s="1" t="s">
        <v>3604</v>
      </c>
      <c r="I4677" s="1" t="s">
        <v>16926</v>
      </c>
      <c r="J4677" s="1" t="s">
        <v>3606</v>
      </c>
      <c r="K4677" s="1" t="s">
        <v>16927</v>
      </c>
      <c r="L4677" s="1"/>
      <c r="M4677" s="1"/>
    </row>
    <row x14ac:dyDescent="0.25" r="4678" customHeight="1" ht="18.75">
      <c r="A4678" s="1" t="s">
        <v>3598</v>
      </c>
      <c r="B4678" s="1" t="s">
        <v>8683</v>
      </c>
      <c r="C4678" s="1" t="s">
        <v>3600</v>
      </c>
      <c r="D4678" s="1" t="s">
        <v>3601</v>
      </c>
      <c r="E4678" s="1"/>
      <c r="F4678" s="1" t="s">
        <v>16928</v>
      </c>
      <c r="G4678" s="1" t="s">
        <v>6039</v>
      </c>
      <c r="H4678" s="1" t="s">
        <v>3604</v>
      </c>
      <c r="I4678" s="1" t="s">
        <v>16929</v>
      </c>
      <c r="J4678" s="1" t="s">
        <v>3606</v>
      </c>
      <c r="K4678" s="1" t="s">
        <v>16930</v>
      </c>
      <c r="L4678" s="1"/>
      <c r="M4678" s="1"/>
    </row>
    <row x14ac:dyDescent="0.25" r="4679" customHeight="1" ht="18.75">
      <c r="A4679" s="1" t="s">
        <v>3598</v>
      </c>
      <c r="B4679" s="1" t="s">
        <v>8683</v>
      </c>
      <c r="C4679" s="1" t="s">
        <v>3600</v>
      </c>
      <c r="D4679" s="1" t="s">
        <v>3601</v>
      </c>
      <c r="E4679" s="1"/>
      <c r="F4679" s="1" t="s">
        <v>16931</v>
      </c>
      <c r="G4679" s="1" t="s">
        <v>6039</v>
      </c>
      <c r="H4679" s="1" t="s">
        <v>3604</v>
      </c>
      <c r="I4679" s="1" t="s">
        <v>16932</v>
      </c>
      <c r="J4679" s="1" t="s">
        <v>3606</v>
      </c>
      <c r="K4679" s="1" t="s">
        <v>16933</v>
      </c>
      <c r="L4679" s="1"/>
      <c r="M4679" s="1"/>
    </row>
    <row x14ac:dyDescent="0.25" r="4680" customHeight="1" ht="18.75">
      <c r="A4680" s="1" t="s">
        <v>3598</v>
      </c>
      <c r="B4680" s="1" t="s">
        <v>16934</v>
      </c>
      <c r="C4680" s="1" t="s">
        <v>3600</v>
      </c>
      <c r="D4680" s="1" t="s">
        <v>3601</v>
      </c>
      <c r="E4680" s="1"/>
      <c r="F4680" s="1" t="s">
        <v>16935</v>
      </c>
      <c r="G4680" s="1" t="s">
        <v>3603</v>
      </c>
      <c r="H4680" s="1" t="s">
        <v>3604</v>
      </c>
      <c r="I4680" s="1" t="s">
        <v>16936</v>
      </c>
      <c r="J4680" s="1" t="s">
        <v>3606</v>
      </c>
      <c r="K4680" s="1" t="s">
        <v>16937</v>
      </c>
      <c r="L4680" s="1"/>
      <c r="M4680" s="1"/>
    </row>
    <row x14ac:dyDescent="0.25" r="4681" customHeight="1" ht="18.75">
      <c r="A4681" s="1" t="s">
        <v>3598</v>
      </c>
      <c r="B4681" s="1" t="s">
        <v>8683</v>
      </c>
      <c r="C4681" s="1" t="s">
        <v>3600</v>
      </c>
      <c r="D4681" s="1" t="s">
        <v>3601</v>
      </c>
      <c r="E4681" s="1"/>
      <c r="F4681" s="1" t="s">
        <v>16938</v>
      </c>
      <c r="G4681" s="1" t="s">
        <v>6039</v>
      </c>
      <c r="H4681" s="1" t="s">
        <v>3604</v>
      </c>
      <c r="I4681" s="1" t="s">
        <v>16939</v>
      </c>
      <c r="J4681" s="1" t="s">
        <v>3606</v>
      </c>
      <c r="K4681" s="1" t="s">
        <v>16940</v>
      </c>
      <c r="L4681" s="1"/>
      <c r="M4681" s="1"/>
    </row>
    <row x14ac:dyDescent="0.25" r="4682" customHeight="1" ht="18.75">
      <c r="A4682" s="1" t="s">
        <v>3598</v>
      </c>
      <c r="B4682" s="1" t="s">
        <v>8683</v>
      </c>
      <c r="C4682" s="1" t="s">
        <v>3600</v>
      </c>
      <c r="D4682" s="1" t="s">
        <v>3601</v>
      </c>
      <c r="E4682" s="1"/>
      <c r="F4682" s="1" t="s">
        <v>16941</v>
      </c>
      <c r="G4682" s="1" t="s">
        <v>6039</v>
      </c>
      <c r="H4682" s="1" t="s">
        <v>3604</v>
      </c>
      <c r="I4682" s="1" t="s">
        <v>16942</v>
      </c>
      <c r="J4682" s="1" t="s">
        <v>3606</v>
      </c>
      <c r="K4682" s="1" t="s">
        <v>16943</v>
      </c>
      <c r="L4682" s="1"/>
      <c r="M4682" s="1"/>
    </row>
    <row x14ac:dyDescent="0.25" r="4683" customHeight="1" ht="18.75">
      <c r="A4683" s="1" t="s">
        <v>3598</v>
      </c>
      <c r="B4683" s="1" t="s">
        <v>16092</v>
      </c>
      <c r="C4683" s="1" t="s">
        <v>3600</v>
      </c>
      <c r="D4683" s="1" t="s">
        <v>3601</v>
      </c>
      <c r="E4683" s="1"/>
      <c r="F4683" s="1" t="s">
        <v>16944</v>
      </c>
      <c r="G4683" s="1" t="s">
        <v>16094</v>
      </c>
      <c r="H4683" s="1" t="s">
        <v>3604</v>
      </c>
      <c r="I4683" s="1" t="s">
        <v>16945</v>
      </c>
      <c r="J4683" s="1" t="s">
        <v>3606</v>
      </c>
      <c r="K4683" s="1" t="s">
        <v>16946</v>
      </c>
      <c r="L4683" s="1"/>
      <c r="M4683" s="1"/>
    </row>
    <row x14ac:dyDescent="0.25" r="4684" customHeight="1" ht="18.75">
      <c r="A4684" s="1" t="s">
        <v>3598</v>
      </c>
      <c r="B4684" s="1" t="s">
        <v>16947</v>
      </c>
      <c r="C4684" s="1" t="s">
        <v>3600</v>
      </c>
      <c r="D4684" s="1" t="s">
        <v>3601</v>
      </c>
      <c r="E4684" s="1"/>
      <c r="F4684" s="1" t="s">
        <v>16948</v>
      </c>
      <c r="G4684" s="1" t="s">
        <v>13952</v>
      </c>
      <c r="H4684" s="1" t="s">
        <v>3604</v>
      </c>
      <c r="I4684" s="1" t="s">
        <v>16949</v>
      </c>
      <c r="J4684" s="1" t="s">
        <v>3606</v>
      </c>
      <c r="K4684" s="1" t="s">
        <v>16950</v>
      </c>
      <c r="L4684" s="1"/>
      <c r="M4684" s="1"/>
    </row>
    <row x14ac:dyDescent="0.25" r="4685" customHeight="1" ht="18.75">
      <c r="A4685" s="1" t="s">
        <v>3598</v>
      </c>
      <c r="B4685" s="1" t="s">
        <v>16129</v>
      </c>
      <c r="C4685" s="1" t="s">
        <v>3600</v>
      </c>
      <c r="D4685" s="1" t="s">
        <v>3601</v>
      </c>
      <c r="E4685" s="1"/>
      <c r="F4685" s="1" t="s">
        <v>16951</v>
      </c>
      <c r="G4685" s="1" t="s">
        <v>16131</v>
      </c>
      <c r="H4685" s="1" t="s">
        <v>3604</v>
      </c>
      <c r="I4685" s="1" t="s">
        <v>16952</v>
      </c>
      <c r="J4685" s="1" t="s">
        <v>3606</v>
      </c>
      <c r="K4685" s="1" t="s">
        <v>16953</v>
      </c>
      <c r="L4685" s="1"/>
      <c r="M4685" s="1"/>
    </row>
    <row x14ac:dyDescent="0.25" r="4686" customHeight="1" ht="18.75">
      <c r="A4686" s="1" t="s">
        <v>3598</v>
      </c>
      <c r="B4686" s="1" t="s">
        <v>16954</v>
      </c>
      <c r="C4686" s="1" t="s">
        <v>3600</v>
      </c>
      <c r="D4686" s="1" t="s">
        <v>3601</v>
      </c>
      <c r="E4686" s="1"/>
      <c r="F4686" s="1" t="s">
        <v>16955</v>
      </c>
      <c r="G4686" s="1" t="s">
        <v>16956</v>
      </c>
      <c r="H4686" s="1" t="s">
        <v>3604</v>
      </c>
      <c r="I4686" s="1" t="s">
        <v>16957</v>
      </c>
      <c r="J4686" s="1" t="s">
        <v>3606</v>
      </c>
      <c r="K4686" s="1" t="s">
        <v>16958</v>
      </c>
      <c r="L4686" s="1"/>
      <c r="M4686" s="1"/>
    </row>
    <row x14ac:dyDescent="0.25" r="4687" customHeight="1" ht="18.75">
      <c r="A4687" s="1" t="s">
        <v>3598</v>
      </c>
      <c r="B4687" s="1" t="s">
        <v>16959</v>
      </c>
      <c r="C4687" s="1" t="s">
        <v>3600</v>
      </c>
      <c r="D4687" s="1" t="s">
        <v>3601</v>
      </c>
      <c r="E4687" s="1"/>
      <c r="F4687" s="1" t="s">
        <v>16960</v>
      </c>
      <c r="G4687" s="1" t="s">
        <v>16961</v>
      </c>
      <c r="H4687" s="1" t="s">
        <v>3604</v>
      </c>
      <c r="I4687" s="1" t="s">
        <v>16962</v>
      </c>
      <c r="J4687" s="1" t="s">
        <v>3606</v>
      </c>
      <c r="K4687" s="1" t="s">
        <v>16963</v>
      </c>
      <c r="L4687" s="1"/>
      <c r="M4687" s="1"/>
    </row>
    <row x14ac:dyDescent="0.25" r="4688" customHeight="1" ht="18.75">
      <c r="A4688" s="1" t="s">
        <v>3598</v>
      </c>
      <c r="B4688" s="1" t="s">
        <v>16115</v>
      </c>
      <c r="C4688" s="1" t="s">
        <v>3600</v>
      </c>
      <c r="D4688" s="1" t="s">
        <v>3601</v>
      </c>
      <c r="E4688" s="1"/>
      <c r="F4688" s="1" t="s">
        <v>16964</v>
      </c>
      <c r="G4688" s="1" t="s">
        <v>16117</v>
      </c>
      <c r="H4688" s="1" t="s">
        <v>3604</v>
      </c>
      <c r="I4688" s="1" t="s">
        <v>16965</v>
      </c>
      <c r="J4688" s="1" t="s">
        <v>3606</v>
      </c>
      <c r="K4688" s="1" t="s">
        <v>16966</v>
      </c>
      <c r="L4688" s="1"/>
      <c r="M4688" s="1"/>
    </row>
    <row x14ac:dyDescent="0.25" r="4689" customHeight="1" ht="18.75">
      <c r="A4689" s="1" t="s">
        <v>3598</v>
      </c>
      <c r="B4689" s="1" t="s">
        <v>16967</v>
      </c>
      <c r="C4689" s="1" t="s">
        <v>3600</v>
      </c>
      <c r="D4689" s="1" t="s">
        <v>3601</v>
      </c>
      <c r="E4689" s="1"/>
      <c r="F4689" s="1" t="s">
        <v>16968</v>
      </c>
      <c r="G4689" s="1" t="s">
        <v>16969</v>
      </c>
      <c r="H4689" s="1" t="s">
        <v>3604</v>
      </c>
      <c r="I4689" s="1" t="s">
        <v>16970</v>
      </c>
      <c r="J4689" s="1" t="s">
        <v>3606</v>
      </c>
      <c r="K4689" s="1" t="s">
        <v>16971</v>
      </c>
      <c r="L4689" s="1"/>
      <c r="M4689" s="1"/>
    </row>
    <row x14ac:dyDescent="0.25" r="4690" customHeight="1" ht="18.75">
      <c r="A4690" s="1" t="s">
        <v>3598</v>
      </c>
      <c r="B4690" s="1" t="s">
        <v>16959</v>
      </c>
      <c r="C4690" s="1" t="s">
        <v>3600</v>
      </c>
      <c r="D4690" s="1" t="s">
        <v>3601</v>
      </c>
      <c r="E4690" s="1"/>
      <c r="F4690" s="1" t="s">
        <v>16972</v>
      </c>
      <c r="G4690" s="1" t="s">
        <v>16961</v>
      </c>
      <c r="H4690" s="1" t="s">
        <v>3604</v>
      </c>
      <c r="I4690" s="1" t="s">
        <v>16973</v>
      </c>
      <c r="J4690" s="1" t="s">
        <v>3606</v>
      </c>
      <c r="K4690" s="1" t="s">
        <v>16974</v>
      </c>
      <c r="L4690" s="1"/>
      <c r="M4690" s="1"/>
    </row>
    <row x14ac:dyDescent="0.25" r="4691" customHeight="1" ht="18.75">
      <c r="A4691" s="1" t="s">
        <v>3598</v>
      </c>
      <c r="B4691" s="1" t="s">
        <v>16959</v>
      </c>
      <c r="C4691" s="1" t="s">
        <v>3600</v>
      </c>
      <c r="D4691" s="1" t="s">
        <v>3601</v>
      </c>
      <c r="E4691" s="1"/>
      <c r="F4691" s="1" t="s">
        <v>16975</v>
      </c>
      <c r="G4691" s="1" t="s">
        <v>16961</v>
      </c>
      <c r="H4691" s="1" t="s">
        <v>3604</v>
      </c>
      <c r="I4691" s="1" t="s">
        <v>16976</v>
      </c>
      <c r="J4691" s="1" t="s">
        <v>3606</v>
      </c>
      <c r="K4691" s="1" t="s">
        <v>16977</v>
      </c>
      <c r="L4691" s="1"/>
      <c r="M4691" s="1"/>
    </row>
    <row x14ac:dyDescent="0.25" r="4692" customHeight="1" ht="18.75">
      <c r="A4692" s="1" t="s">
        <v>3598</v>
      </c>
      <c r="B4692" s="1" t="s">
        <v>8612</v>
      </c>
      <c r="C4692" s="1" t="s">
        <v>3600</v>
      </c>
      <c r="D4692" s="1" t="s">
        <v>3601</v>
      </c>
      <c r="E4692" s="1"/>
      <c r="F4692" s="1" t="s">
        <v>16978</v>
      </c>
      <c r="G4692" s="1" t="s">
        <v>8614</v>
      </c>
      <c r="H4692" s="1" t="s">
        <v>3604</v>
      </c>
      <c r="I4692" s="1" t="s">
        <v>16979</v>
      </c>
      <c r="J4692" s="1" t="s">
        <v>3606</v>
      </c>
      <c r="K4692" s="1" t="s">
        <v>16477</v>
      </c>
      <c r="L4692" s="1"/>
      <c r="M4692" s="1"/>
    </row>
    <row x14ac:dyDescent="0.25" r="4693" customHeight="1" ht="18.75">
      <c r="A4693" s="1" t="s">
        <v>3598</v>
      </c>
      <c r="B4693" s="1" t="s">
        <v>16980</v>
      </c>
      <c r="C4693" s="1" t="s">
        <v>3600</v>
      </c>
      <c r="D4693" s="1" t="s">
        <v>3601</v>
      </c>
      <c r="E4693" s="1"/>
      <c r="F4693" s="1" t="s">
        <v>16981</v>
      </c>
      <c r="G4693" s="1" t="s">
        <v>16982</v>
      </c>
      <c r="H4693" s="1" t="s">
        <v>3604</v>
      </c>
      <c r="I4693" s="1" t="s">
        <v>16983</v>
      </c>
      <c r="J4693" s="1" t="s">
        <v>3606</v>
      </c>
      <c r="K4693" s="1" t="s">
        <v>16984</v>
      </c>
      <c r="L4693" s="1"/>
      <c r="M4693" s="1"/>
    </row>
    <row x14ac:dyDescent="0.25" r="4694" customHeight="1" ht="18.75">
      <c r="A4694" s="1" t="s">
        <v>3598</v>
      </c>
      <c r="B4694" s="1" t="s">
        <v>16980</v>
      </c>
      <c r="C4694" s="1" t="s">
        <v>3600</v>
      </c>
      <c r="D4694" s="1" t="s">
        <v>3601</v>
      </c>
      <c r="E4694" s="1"/>
      <c r="F4694" s="1" t="s">
        <v>16985</v>
      </c>
      <c r="G4694" s="1" t="s">
        <v>16982</v>
      </c>
      <c r="H4694" s="1" t="s">
        <v>3604</v>
      </c>
      <c r="I4694" s="1" t="s">
        <v>16986</v>
      </c>
      <c r="J4694" s="1" t="s">
        <v>3606</v>
      </c>
      <c r="K4694" s="1" t="s">
        <v>16987</v>
      </c>
      <c r="L4694" s="1"/>
      <c r="M4694" s="1"/>
    </row>
    <row x14ac:dyDescent="0.25" r="4695" customHeight="1" ht="18.75">
      <c r="A4695" s="1" t="s">
        <v>3598</v>
      </c>
      <c r="B4695" s="1" t="s">
        <v>16689</v>
      </c>
      <c r="C4695" s="1" t="s">
        <v>3600</v>
      </c>
      <c r="D4695" s="1" t="s">
        <v>3601</v>
      </c>
      <c r="E4695" s="1"/>
      <c r="F4695" s="1" t="s">
        <v>16988</v>
      </c>
      <c r="G4695" s="1" t="s">
        <v>16709</v>
      </c>
      <c r="H4695" s="1" t="s">
        <v>3604</v>
      </c>
      <c r="I4695" s="1" t="s">
        <v>16989</v>
      </c>
      <c r="J4695" s="1" t="s">
        <v>3606</v>
      </c>
      <c r="K4695" s="1" t="s">
        <v>16711</v>
      </c>
      <c r="L4695" s="1"/>
      <c r="M4695" s="1"/>
    </row>
    <row x14ac:dyDescent="0.25" r="4696" customHeight="1" ht="18.75">
      <c r="A4696" s="1" t="s">
        <v>3598</v>
      </c>
      <c r="B4696" s="1" t="s">
        <v>16990</v>
      </c>
      <c r="C4696" s="1" t="s">
        <v>3600</v>
      </c>
      <c r="D4696" s="1" t="s">
        <v>3601</v>
      </c>
      <c r="E4696" s="1"/>
      <c r="F4696" s="1" t="s">
        <v>16991</v>
      </c>
      <c r="G4696" s="1" t="s">
        <v>16992</v>
      </c>
      <c r="H4696" s="1" t="s">
        <v>3604</v>
      </c>
      <c r="I4696" s="1" t="s">
        <v>16993</v>
      </c>
      <c r="J4696" s="1" t="s">
        <v>3606</v>
      </c>
      <c r="K4696" s="1" t="s">
        <v>16994</v>
      </c>
      <c r="L4696" s="1"/>
      <c r="M4696" s="1"/>
    </row>
    <row x14ac:dyDescent="0.25" r="4697" customHeight="1" ht="18.75">
      <c r="A4697" s="1" t="s">
        <v>3598</v>
      </c>
      <c r="B4697" s="1" t="s">
        <v>16980</v>
      </c>
      <c r="C4697" s="1" t="s">
        <v>3600</v>
      </c>
      <c r="D4697" s="1" t="s">
        <v>3601</v>
      </c>
      <c r="E4697" s="1"/>
      <c r="F4697" s="1" t="s">
        <v>16995</v>
      </c>
      <c r="G4697" s="1" t="s">
        <v>16982</v>
      </c>
      <c r="H4697" s="1" t="s">
        <v>3604</v>
      </c>
      <c r="I4697" s="1" t="s">
        <v>16996</v>
      </c>
      <c r="J4697" s="1" t="s">
        <v>3606</v>
      </c>
      <c r="K4697" s="1" t="s">
        <v>16997</v>
      </c>
      <c r="L4697" s="1"/>
      <c r="M4697" s="1"/>
    </row>
    <row x14ac:dyDescent="0.25" r="4698" customHeight="1" ht="18.75">
      <c r="A4698" s="1" t="s">
        <v>3598</v>
      </c>
      <c r="B4698" s="1" t="s">
        <v>16068</v>
      </c>
      <c r="C4698" s="1" t="s">
        <v>3600</v>
      </c>
      <c r="D4698" s="1" t="s">
        <v>3601</v>
      </c>
      <c r="E4698" s="1"/>
      <c r="F4698" s="1" t="s">
        <v>16998</v>
      </c>
      <c r="G4698" s="1" t="s">
        <v>6471</v>
      </c>
      <c r="H4698" s="1" t="s">
        <v>3604</v>
      </c>
      <c r="I4698" s="1" t="s">
        <v>16999</v>
      </c>
      <c r="J4698" s="1" t="s">
        <v>3606</v>
      </c>
      <c r="K4698" s="1" t="s">
        <v>16811</v>
      </c>
      <c r="L4698" s="1"/>
      <c r="M4698" s="1"/>
    </row>
    <row x14ac:dyDescent="0.25" r="4699" customHeight="1" ht="18.75">
      <c r="A4699" s="1" t="s">
        <v>3598</v>
      </c>
      <c r="B4699" s="1" t="s">
        <v>17000</v>
      </c>
      <c r="C4699" s="1" t="s">
        <v>3600</v>
      </c>
      <c r="D4699" s="1" t="s">
        <v>3601</v>
      </c>
      <c r="E4699" s="1"/>
      <c r="F4699" s="1" t="s">
        <v>17001</v>
      </c>
      <c r="G4699" s="1" t="s">
        <v>17002</v>
      </c>
      <c r="H4699" s="1" t="s">
        <v>3604</v>
      </c>
      <c r="I4699" s="1" t="s">
        <v>17003</v>
      </c>
      <c r="J4699" s="1" t="s">
        <v>3606</v>
      </c>
      <c r="K4699" s="1" t="s">
        <v>17004</v>
      </c>
      <c r="L4699" s="1"/>
      <c r="M4699" s="1"/>
    </row>
    <row x14ac:dyDescent="0.25" r="4700" customHeight="1" ht="18.75">
      <c r="A4700" s="1" t="s">
        <v>3598</v>
      </c>
      <c r="B4700" s="1" t="s">
        <v>16980</v>
      </c>
      <c r="C4700" s="1" t="s">
        <v>3600</v>
      </c>
      <c r="D4700" s="1" t="s">
        <v>3601</v>
      </c>
      <c r="E4700" s="1"/>
      <c r="F4700" s="1" t="s">
        <v>17005</v>
      </c>
      <c r="G4700" s="1" t="s">
        <v>16982</v>
      </c>
      <c r="H4700" s="1" t="s">
        <v>3604</v>
      </c>
      <c r="I4700" s="1" t="s">
        <v>17006</v>
      </c>
      <c r="J4700" s="1" t="s">
        <v>3606</v>
      </c>
      <c r="K4700" s="1" t="s">
        <v>17007</v>
      </c>
      <c r="L4700" s="1"/>
      <c r="M4700" s="1"/>
    </row>
    <row x14ac:dyDescent="0.25" r="4701" customHeight="1" ht="18.75">
      <c r="A4701" s="1" t="s">
        <v>3598</v>
      </c>
      <c r="B4701" s="1" t="s">
        <v>17000</v>
      </c>
      <c r="C4701" s="1" t="s">
        <v>3600</v>
      </c>
      <c r="D4701" s="1" t="s">
        <v>3601</v>
      </c>
      <c r="E4701" s="1"/>
      <c r="F4701" s="1" t="s">
        <v>17008</v>
      </c>
      <c r="G4701" s="1" t="s">
        <v>17009</v>
      </c>
      <c r="H4701" s="1" t="s">
        <v>3604</v>
      </c>
      <c r="I4701" s="1" t="s">
        <v>17010</v>
      </c>
      <c r="J4701" s="1" t="s">
        <v>3606</v>
      </c>
      <c r="K4701" s="1" t="s">
        <v>17011</v>
      </c>
      <c r="L4701" s="1"/>
      <c r="M4701" s="1"/>
    </row>
    <row x14ac:dyDescent="0.25" r="4702" customHeight="1" ht="18.75">
      <c r="A4702" s="1" t="s">
        <v>3598</v>
      </c>
      <c r="B4702" s="1" t="s">
        <v>16980</v>
      </c>
      <c r="C4702" s="1" t="s">
        <v>3600</v>
      </c>
      <c r="D4702" s="1" t="s">
        <v>3601</v>
      </c>
      <c r="E4702" s="1"/>
      <c r="F4702" s="1" t="s">
        <v>17012</v>
      </c>
      <c r="G4702" s="1" t="s">
        <v>16982</v>
      </c>
      <c r="H4702" s="1" t="s">
        <v>3604</v>
      </c>
      <c r="I4702" s="1" t="s">
        <v>17013</v>
      </c>
      <c r="J4702" s="1" t="s">
        <v>3606</v>
      </c>
      <c r="K4702" s="1" t="s">
        <v>17014</v>
      </c>
      <c r="L4702" s="1"/>
      <c r="M4702" s="1"/>
    </row>
    <row x14ac:dyDescent="0.25" r="4703" customHeight="1" ht="18.75">
      <c r="A4703" s="1" t="s">
        <v>3598</v>
      </c>
      <c r="B4703" s="1" t="s">
        <v>16506</v>
      </c>
      <c r="C4703" s="1" t="s">
        <v>3600</v>
      </c>
      <c r="D4703" s="1" t="s">
        <v>3601</v>
      </c>
      <c r="E4703" s="1"/>
      <c r="F4703" s="1" t="s">
        <v>17015</v>
      </c>
      <c r="G4703" s="1" t="s">
        <v>16508</v>
      </c>
      <c r="H4703" s="1" t="s">
        <v>3604</v>
      </c>
      <c r="I4703" s="1" t="s">
        <v>17016</v>
      </c>
      <c r="J4703" s="1" t="s">
        <v>3606</v>
      </c>
      <c r="K4703" s="1" t="s">
        <v>17017</v>
      </c>
      <c r="L4703" s="1"/>
      <c r="M4703" s="1"/>
    </row>
    <row x14ac:dyDescent="0.25" r="4704" customHeight="1" ht="18.75">
      <c r="A4704" s="1" t="s">
        <v>3598</v>
      </c>
      <c r="B4704" s="1" t="s">
        <v>16980</v>
      </c>
      <c r="C4704" s="1" t="s">
        <v>3600</v>
      </c>
      <c r="D4704" s="1" t="s">
        <v>3601</v>
      </c>
      <c r="E4704" s="1"/>
      <c r="F4704" s="1" t="s">
        <v>17018</v>
      </c>
      <c r="G4704" s="1" t="s">
        <v>16982</v>
      </c>
      <c r="H4704" s="1" t="s">
        <v>3604</v>
      </c>
      <c r="I4704" s="1" t="s">
        <v>17019</v>
      </c>
      <c r="J4704" s="1" t="s">
        <v>3606</v>
      </c>
      <c r="K4704" s="1" t="s">
        <v>17020</v>
      </c>
      <c r="L4704" s="1"/>
      <c r="M4704" s="1"/>
    </row>
    <row x14ac:dyDescent="0.25" r="4705" customHeight="1" ht="18.75">
      <c r="A4705" s="1" t="s">
        <v>3598</v>
      </c>
      <c r="B4705" s="1" t="s">
        <v>16506</v>
      </c>
      <c r="C4705" s="1" t="s">
        <v>3600</v>
      </c>
      <c r="D4705" s="1" t="s">
        <v>3601</v>
      </c>
      <c r="E4705" s="1"/>
      <c r="F4705" s="1" t="s">
        <v>17021</v>
      </c>
      <c r="G4705" s="1" t="s">
        <v>16508</v>
      </c>
      <c r="H4705" s="1" t="s">
        <v>3604</v>
      </c>
      <c r="I4705" s="1" t="s">
        <v>17022</v>
      </c>
      <c r="J4705" s="1" t="s">
        <v>3606</v>
      </c>
      <c r="K4705" s="1" t="s">
        <v>17023</v>
      </c>
      <c r="L4705" s="1"/>
      <c r="M4705" s="1"/>
    </row>
    <row x14ac:dyDescent="0.25" r="4706" customHeight="1" ht="18.75">
      <c r="A4706" s="1" t="s">
        <v>3598</v>
      </c>
      <c r="B4706" s="1" t="s">
        <v>16980</v>
      </c>
      <c r="C4706" s="1" t="s">
        <v>3600</v>
      </c>
      <c r="D4706" s="1" t="s">
        <v>3601</v>
      </c>
      <c r="E4706" s="1"/>
      <c r="F4706" s="1" t="s">
        <v>17024</v>
      </c>
      <c r="G4706" s="1" t="s">
        <v>16982</v>
      </c>
      <c r="H4706" s="1" t="s">
        <v>3604</v>
      </c>
      <c r="I4706" s="1" t="s">
        <v>17025</v>
      </c>
      <c r="J4706" s="1" t="s">
        <v>3606</v>
      </c>
      <c r="K4706" s="1" t="s">
        <v>17026</v>
      </c>
      <c r="L4706" s="1"/>
      <c r="M4706" s="1"/>
    </row>
    <row x14ac:dyDescent="0.25" r="4707" customHeight="1" ht="18.75">
      <c r="A4707" s="1" t="s">
        <v>3598</v>
      </c>
      <c r="B4707" s="1" t="s">
        <v>16647</v>
      </c>
      <c r="C4707" s="1" t="s">
        <v>3600</v>
      </c>
      <c r="D4707" s="1" t="s">
        <v>3601</v>
      </c>
      <c r="E4707" s="1"/>
      <c r="F4707" s="1" t="s">
        <v>17027</v>
      </c>
      <c r="G4707" s="1" t="s">
        <v>16649</v>
      </c>
      <c r="H4707" s="1" t="s">
        <v>3604</v>
      </c>
      <c r="I4707" s="1" t="s">
        <v>17028</v>
      </c>
      <c r="J4707" s="1" t="s">
        <v>3606</v>
      </c>
      <c r="K4707" s="1" t="s">
        <v>16651</v>
      </c>
      <c r="L4707" s="1"/>
      <c r="M4707" s="1"/>
    </row>
    <row x14ac:dyDescent="0.25" r="4708" customHeight="1" ht="18.75">
      <c r="A4708" s="1" t="s">
        <v>3598</v>
      </c>
      <c r="B4708" s="1" t="s">
        <v>8636</v>
      </c>
      <c r="C4708" s="1" t="s">
        <v>3600</v>
      </c>
      <c r="D4708" s="1" t="s">
        <v>3601</v>
      </c>
      <c r="E4708" s="1"/>
      <c r="F4708" s="1" t="s">
        <v>17029</v>
      </c>
      <c r="G4708" s="1" t="s">
        <v>8638</v>
      </c>
      <c r="H4708" s="1" t="s">
        <v>3604</v>
      </c>
      <c r="I4708" s="1" t="s">
        <v>17030</v>
      </c>
      <c r="J4708" s="1" t="s">
        <v>3606</v>
      </c>
      <c r="K4708" s="1" t="s">
        <v>16767</v>
      </c>
      <c r="L4708" s="1"/>
      <c r="M4708" s="1"/>
    </row>
    <row x14ac:dyDescent="0.25" r="4709" customHeight="1" ht="18.75">
      <c r="A4709" s="1" t="s">
        <v>3598</v>
      </c>
      <c r="B4709" s="1" t="s">
        <v>16134</v>
      </c>
      <c r="C4709" s="1" t="s">
        <v>3600</v>
      </c>
      <c r="D4709" s="1" t="s">
        <v>3601</v>
      </c>
      <c r="E4709" s="1"/>
      <c r="F4709" s="1" t="s">
        <v>17031</v>
      </c>
      <c r="G4709" s="1" t="s">
        <v>9584</v>
      </c>
      <c r="H4709" s="1" t="s">
        <v>3604</v>
      </c>
      <c r="I4709" s="1" t="s">
        <v>17032</v>
      </c>
      <c r="J4709" s="1" t="s">
        <v>3606</v>
      </c>
      <c r="K4709" s="1" t="s">
        <v>17033</v>
      </c>
      <c r="L4709" s="1"/>
      <c r="M4709" s="1"/>
    </row>
    <row x14ac:dyDescent="0.25" r="4710" customHeight="1" ht="18.75">
      <c r="A4710" s="1" t="s">
        <v>3598</v>
      </c>
      <c r="B4710" s="1" t="s">
        <v>8656</v>
      </c>
      <c r="C4710" s="1" t="s">
        <v>3600</v>
      </c>
      <c r="D4710" s="1" t="s">
        <v>3601</v>
      </c>
      <c r="E4710" s="1"/>
      <c r="F4710" s="1" t="s">
        <v>17034</v>
      </c>
      <c r="G4710" s="1" t="s">
        <v>8658</v>
      </c>
      <c r="H4710" s="1" t="s">
        <v>3604</v>
      </c>
      <c r="I4710" s="1" t="s">
        <v>17035</v>
      </c>
      <c r="J4710" s="1" t="s">
        <v>3615</v>
      </c>
      <c r="K4710" s="1" t="s">
        <v>17036</v>
      </c>
      <c r="L4710" s="1"/>
      <c r="M4710" s="1"/>
    </row>
    <row x14ac:dyDescent="0.25" r="4711" customHeight="1" ht="18.75">
      <c r="A4711" s="1" t="s">
        <v>3598</v>
      </c>
      <c r="B4711" s="1" t="s">
        <v>8656</v>
      </c>
      <c r="C4711" s="1" t="s">
        <v>3600</v>
      </c>
      <c r="D4711" s="1" t="s">
        <v>3601</v>
      </c>
      <c r="E4711" s="1"/>
      <c r="F4711" s="1" t="s">
        <v>17037</v>
      </c>
      <c r="G4711" s="1" t="s">
        <v>8658</v>
      </c>
      <c r="H4711" s="1" t="s">
        <v>3604</v>
      </c>
      <c r="I4711" s="1" t="s">
        <v>17038</v>
      </c>
      <c r="J4711" s="1" t="s">
        <v>3615</v>
      </c>
      <c r="K4711" s="1" t="s">
        <v>17039</v>
      </c>
      <c r="L4711" s="1"/>
      <c r="M4711" s="1"/>
    </row>
    <row x14ac:dyDescent="0.25" r="4712" customHeight="1" ht="18.75">
      <c r="A4712" s="1" t="s">
        <v>3598</v>
      </c>
      <c r="B4712" s="1" t="s">
        <v>16134</v>
      </c>
      <c r="C4712" s="1" t="s">
        <v>3600</v>
      </c>
      <c r="D4712" s="1" t="s">
        <v>3601</v>
      </c>
      <c r="E4712" s="1"/>
      <c r="F4712" s="1" t="s">
        <v>17040</v>
      </c>
      <c r="G4712" s="1" t="s">
        <v>9584</v>
      </c>
      <c r="H4712" s="1" t="s">
        <v>3604</v>
      </c>
      <c r="I4712" s="1" t="s">
        <v>17041</v>
      </c>
      <c r="J4712" s="1" t="s">
        <v>3606</v>
      </c>
      <c r="K4712" s="1" t="s">
        <v>17042</v>
      </c>
      <c r="L4712" s="1"/>
      <c r="M4712" s="1"/>
    </row>
    <row x14ac:dyDescent="0.25" r="4713" customHeight="1" ht="18.75">
      <c r="A4713" s="1" t="s">
        <v>3598</v>
      </c>
      <c r="B4713" s="1" t="s">
        <v>16517</v>
      </c>
      <c r="C4713" s="1" t="s">
        <v>3600</v>
      </c>
      <c r="D4713" s="1" t="s">
        <v>3601</v>
      </c>
      <c r="E4713" s="1"/>
      <c r="F4713" s="1" t="s">
        <v>17043</v>
      </c>
      <c r="G4713" s="1" t="s">
        <v>6524</v>
      </c>
      <c r="H4713" s="1" t="s">
        <v>3604</v>
      </c>
      <c r="I4713" s="1" t="s">
        <v>17044</v>
      </c>
      <c r="J4713" s="1" t="s">
        <v>3606</v>
      </c>
      <c r="K4713" s="1" t="s">
        <v>17045</v>
      </c>
      <c r="L4713" s="1"/>
      <c r="M4713" s="1"/>
    </row>
    <row x14ac:dyDescent="0.25" r="4714" customHeight="1" ht="18.75">
      <c r="A4714" s="1" t="s">
        <v>3598</v>
      </c>
      <c r="B4714" s="1" t="s">
        <v>16934</v>
      </c>
      <c r="C4714" s="1" t="s">
        <v>3600</v>
      </c>
      <c r="D4714" s="1" t="s">
        <v>3601</v>
      </c>
      <c r="E4714" s="1"/>
      <c r="F4714" s="1" t="s">
        <v>17046</v>
      </c>
      <c r="G4714" s="1" t="s">
        <v>3603</v>
      </c>
      <c r="H4714" s="1" t="s">
        <v>3604</v>
      </c>
      <c r="I4714" s="1" t="s">
        <v>17047</v>
      </c>
      <c r="J4714" s="1" t="s">
        <v>3606</v>
      </c>
      <c r="K4714" s="1" t="s">
        <v>16937</v>
      </c>
      <c r="L4714" s="1"/>
      <c r="M4714" s="1"/>
    </row>
    <row x14ac:dyDescent="0.25" r="4715" customHeight="1" ht="18.75">
      <c r="A4715" s="1" t="s">
        <v>3598</v>
      </c>
      <c r="B4715" s="1" t="s">
        <v>16517</v>
      </c>
      <c r="C4715" s="1" t="s">
        <v>3600</v>
      </c>
      <c r="D4715" s="1" t="s">
        <v>3601</v>
      </c>
      <c r="E4715" s="1"/>
      <c r="F4715" s="1" t="s">
        <v>17048</v>
      </c>
      <c r="G4715" s="1" t="s">
        <v>6524</v>
      </c>
      <c r="H4715" s="1" t="s">
        <v>3604</v>
      </c>
      <c r="I4715" s="1" t="s">
        <v>17049</v>
      </c>
      <c r="J4715" s="1" t="s">
        <v>3606</v>
      </c>
      <c r="K4715" s="1" t="s">
        <v>17050</v>
      </c>
      <c r="L4715" s="1"/>
      <c r="M4715" s="1"/>
    </row>
    <row x14ac:dyDescent="0.25" r="4716" customHeight="1" ht="18.75">
      <c r="A4716" s="1" t="s">
        <v>3598</v>
      </c>
      <c r="B4716" s="1" t="s">
        <v>16517</v>
      </c>
      <c r="C4716" s="1" t="s">
        <v>3600</v>
      </c>
      <c r="D4716" s="1" t="s">
        <v>3601</v>
      </c>
      <c r="E4716" s="1"/>
      <c r="F4716" s="1" t="s">
        <v>17051</v>
      </c>
      <c r="G4716" s="1" t="s">
        <v>6524</v>
      </c>
      <c r="H4716" s="1" t="s">
        <v>3604</v>
      </c>
      <c r="I4716" s="1" t="s">
        <v>17052</v>
      </c>
      <c r="J4716" s="1" t="s">
        <v>3606</v>
      </c>
      <c r="K4716" s="1" t="s">
        <v>17053</v>
      </c>
      <c r="L4716" s="1"/>
      <c r="M4716" s="1"/>
    </row>
    <row x14ac:dyDescent="0.25" r="4717" customHeight="1" ht="18.75">
      <c r="A4717" s="1" t="s">
        <v>3598</v>
      </c>
      <c r="B4717" s="1" t="s">
        <v>16526</v>
      </c>
      <c r="C4717" s="1" t="s">
        <v>3600</v>
      </c>
      <c r="D4717" s="1" t="s">
        <v>3601</v>
      </c>
      <c r="E4717" s="1"/>
      <c r="F4717" s="1" t="s">
        <v>17054</v>
      </c>
      <c r="G4717" s="1" t="s">
        <v>16528</v>
      </c>
      <c r="H4717" s="1" t="s">
        <v>3604</v>
      </c>
      <c r="I4717" s="1" t="s">
        <v>17055</v>
      </c>
      <c r="J4717" s="1" t="s">
        <v>3606</v>
      </c>
      <c r="K4717" s="1" t="s">
        <v>16530</v>
      </c>
      <c r="L4717" s="1"/>
      <c r="M4717" s="1"/>
    </row>
    <row x14ac:dyDescent="0.25" r="4718" customHeight="1" ht="18.75">
      <c r="A4718" s="1" t="s">
        <v>3598</v>
      </c>
      <c r="B4718" s="1" t="s">
        <v>16517</v>
      </c>
      <c r="C4718" s="1" t="s">
        <v>3600</v>
      </c>
      <c r="D4718" s="1" t="s">
        <v>3601</v>
      </c>
      <c r="E4718" s="1"/>
      <c r="F4718" s="1" t="s">
        <v>17056</v>
      </c>
      <c r="G4718" s="1" t="s">
        <v>6524</v>
      </c>
      <c r="H4718" s="1" t="s">
        <v>3604</v>
      </c>
      <c r="I4718" s="1" t="s">
        <v>17057</v>
      </c>
      <c r="J4718" s="1" t="s">
        <v>3606</v>
      </c>
      <c r="K4718" s="1" t="s">
        <v>17058</v>
      </c>
      <c r="L4718" s="1"/>
      <c r="M4718" s="1"/>
    </row>
    <row x14ac:dyDescent="0.25" r="4719" customHeight="1" ht="18.75">
      <c r="A4719" s="1" t="s">
        <v>3598</v>
      </c>
      <c r="B4719" s="1" t="s">
        <v>16517</v>
      </c>
      <c r="C4719" s="1" t="s">
        <v>3600</v>
      </c>
      <c r="D4719" s="1" t="s">
        <v>3601</v>
      </c>
      <c r="E4719" s="1"/>
      <c r="F4719" s="1" t="s">
        <v>17059</v>
      </c>
      <c r="G4719" s="1" t="s">
        <v>6524</v>
      </c>
      <c r="H4719" s="1" t="s">
        <v>3604</v>
      </c>
      <c r="I4719" s="1" t="s">
        <v>17060</v>
      </c>
      <c r="J4719" s="1" t="s">
        <v>3606</v>
      </c>
      <c r="K4719" s="1" t="s">
        <v>17061</v>
      </c>
      <c r="L4719" s="1"/>
      <c r="M4719" s="1"/>
    </row>
    <row x14ac:dyDescent="0.25" r="4720" customHeight="1" ht="18.75">
      <c r="A4720" s="1" t="s">
        <v>3598</v>
      </c>
      <c r="B4720" s="1" t="s">
        <v>16947</v>
      </c>
      <c r="C4720" s="1" t="s">
        <v>3600</v>
      </c>
      <c r="D4720" s="1" t="s">
        <v>3601</v>
      </c>
      <c r="E4720" s="1"/>
      <c r="F4720" s="1" t="s">
        <v>17062</v>
      </c>
      <c r="G4720" s="1" t="s">
        <v>13956</v>
      </c>
      <c r="H4720" s="1" t="s">
        <v>3604</v>
      </c>
      <c r="I4720" s="1" t="s">
        <v>17063</v>
      </c>
      <c r="J4720" s="1" t="s">
        <v>3606</v>
      </c>
      <c r="K4720" s="1" t="s">
        <v>17064</v>
      </c>
      <c r="L4720" s="1"/>
      <c r="M4720" s="1"/>
    </row>
    <row x14ac:dyDescent="0.25" r="4721" customHeight="1" ht="18.75">
      <c r="A4721" s="1" t="s">
        <v>3598</v>
      </c>
      <c r="B4721" s="1" t="s">
        <v>16812</v>
      </c>
      <c r="C4721" s="1" t="s">
        <v>3600</v>
      </c>
      <c r="D4721" s="1" t="s">
        <v>3601</v>
      </c>
      <c r="E4721" s="1"/>
      <c r="F4721" s="1" t="s">
        <v>17065</v>
      </c>
      <c r="G4721" s="1" t="s">
        <v>16824</v>
      </c>
      <c r="H4721" s="1" t="s">
        <v>3604</v>
      </c>
      <c r="I4721" s="1" t="s">
        <v>17066</v>
      </c>
      <c r="J4721" s="1" t="s">
        <v>3606</v>
      </c>
      <c r="K4721" s="1" t="s">
        <v>17067</v>
      </c>
      <c r="L4721" s="1"/>
      <c r="M4721" s="1"/>
    </row>
    <row x14ac:dyDescent="0.25" r="4722" customHeight="1" ht="18.75">
      <c r="A4722" s="1" t="s">
        <v>3693</v>
      </c>
      <c r="B4722" s="1" t="s">
        <v>4192</v>
      </c>
      <c r="C4722" s="1" t="s">
        <v>3600</v>
      </c>
      <c r="D4722" s="1" t="s">
        <v>3601</v>
      </c>
      <c r="E4722" s="1" t="s">
        <v>3893</v>
      </c>
      <c r="F4722" s="1" t="s">
        <v>17068</v>
      </c>
      <c r="G4722" s="1" t="s">
        <v>4194</v>
      </c>
      <c r="H4722" s="1" t="s">
        <v>3604</v>
      </c>
      <c r="I4722" s="1" t="s">
        <v>17069</v>
      </c>
      <c r="J4722" s="1" t="s">
        <v>3615</v>
      </c>
      <c r="K4722" s="1" t="s">
        <v>17070</v>
      </c>
      <c r="L4722" s="1"/>
      <c r="M4722" s="1"/>
    </row>
    <row x14ac:dyDescent="0.25" r="4723" customHeight="1" ht="18.75">
      <c r="A4723" s="1" t="s">
        <v>7833</v>
      </c>
      <c r="B4723" s="1" t="s">
        <v>14264</v>
      </c>
      <c r="C4723" s="1" t="s">
        <v>4488</v>
      </c>
      <c r="D4723" s="1" t="s">
        <v>3601</v>
      </c>
      <c r="E4723" s="1" t="s">
        <v>3664</v>
      </c>
      <c r="F4723" s="1" t="s">
        <v>1667</v>
      </c>
      <c r="G4723" s="1" t="s">
        <v>14265</v>
      </c>
      <c r="H4723" s="1" t="s">
        <v>3604</v>
      </c>
      <c r="I4723" s="1" t="s">
        <v>17071</v>
      </c>
      <c r="J4723" s="1" t="s">
        <v>3606</v>
      </c>
      <c r="K4723" s="1" t="s">
        <v>16374</v>
      </c>
      <c r="L4723" s="1"/>
      <c r="M4723" s="1"/>
    </row>
    <row x14ac:dyDescent="0.25" r="4724" customHeight="1" ht="18.75">
      <c r="A4724" s="1" t="s">
        <v>7833</v>
      </c>
      <c r="B4724" s="1" t="s">
        <v>14264</v>
      </c>
      <c r="C4724" s="1" t="s">
        <v>4488</v>
      </c>
      <c r="D4724" s="1" t="s">
        <v>3601</v>
      </c>
      <c r="E4724" s="1" t="s">
        <v>3664</v>
      </c>
      <c r="F4724" s="1" t="s">
        <v>1668</v>
      </c>
      <c r="G4724" s="1" t="s">
        <v>14265</v>
      </c>
      <c r="H4724" s="1" t="s">
        <v>3604</v>
      </c>
      <c r="I4724" s="1" t="s">
        <v>17072</v>
      </c>
      <c r="J4724" s="1" t="s">
        <v>3606</v>
      </c>
      <c r="K4724" s="1" t="s">
        <v>16372</v>
      </c>
      <c r="L4724" s="1"/>
      <c r="M4724" s="1"/>
    </row>
    <row x14ac:dyDescent="0.25" r="4725" customHeight="1" ht="18.75">
      <c r="A4725" s="1" t="s">
        <v>7833</v>
      </c>
      <c r="B4725" s="1" t="s">
        <v>14264</v>
      </c>
      <c r="C4725" s="1" t="s">
        <v>4488</v>
      </c>
      <c r="D4725" s="1" t="s">
        <v>3601</v>
      </c>
      <c r="E4725" s="1" t="s">
        <v>3664</v>
      </c>
      <c r="F4725" s="1" t="s">
        <v>1669</v>
      </c>
      <c r="G4725" s="1" t="s">
        <v>14265</v>
      </c>
      <c r="H4725" s="1" t="s">
        <v>3604</v>
      </c>
      <c r="I4725" s="1" t="s">
        <v>17073</v>
      </c>
      <c r="J4725" s="1" t="s">
        <v>3606</v>
      </c>
      <c r="K4725" s="1" t="s">
        <v>16378</v>
      </c>
      <c r="L4725" s="1"/>
      <c r="M4725" s="1"/>
    </row>
    <row x14ac:dyDescent="0.25" r="4726" customHeight="1" ht="18.75">
      <c r="A4726" s="1" t="s">
        <v>7833</v>
      </c>
      <c r="B4726" s="1" t="s">
        <v>14264</v>
      </c>
      <c r="C4726" s="1" t="s">
        <v>4488</v>
      </c>
      <c r="D4726" s="1" t="s">
        <v>3601</v>
      </c>
      <c r="E4726" s="1" t="s">
        <v>3664</v>
      </c>
      <c r="F4726" s="1" t="s">
        <v>1670</v>
      </c>
      <c r="G4726" s="1" t="s">
        <v>14265</v>
      </c>
      <c r="H4726" s="1" t="s">
        <v>3604</v>
      </c>
      <c r="I4726" s="1" t="s">
        <v>17074</v>
      </c>
      <c r="J4726" s="1" t="s">
        <v>3606</v>
      </c>
      <c r="K4726" s="1" t="s">
        <v>16380</v>
      </c>
      <c r="L4726" s="1"/>
      <c r="M4726" s="1"/>
    </row>
    <row x14ac:dyDescent="0.25" r="4727" customHeight="1" ht="18.75">
      <c r="A4727" s="1" t="s">
        <v>3598</v>
      </c>
      <c r="B4727" s="1" t="s">
        <v>17075</v>
      </c>
      <c r="C4727" s="1" t="s">
        <v>3600</v>
      </c>
      <c r="D4727" s="1" t="s">
        <v>3601</v>
      </c>
      <c r="E4727" s="1" t="s">
        <v>3664</v>
      </c>
      <c r="F4727" s="1" t="s">
        <v>17076</v>
      </c>
      <c r="G4727" s="1" t="s">
        <v>17077</v>
      </c>
      <c r="H4727" s="1" t="s">
        <v>3604</v>
      </c>
      <c r="I4727" s="1" t="s">
        <v>17078</v>
      </c>
      <c r="J4727" s="1" t="s">
        <v>3606</v>
      </c>
      <c r="K4727" s="1" t="s">
        <v>17079</v>
      </c>
      <c r="L4727" s="1"/>
      <c r="M4727" s="1"/>
    </row>
    <row x14ac:dyDescent="0.25" r="4728" customHeight="1" ht="18.75">
      <c r="A4728" s="1" t="s">
        <v>3598</v>
      </c>
      <c r="B4728" s="1" t="s">
        <v>3751</v>
      </c>
      <c r="C4728" s="1" t="s">
        <v>3600</v>
      </c>
      <c r="D4728" s="1" t="s">
        <v>3601</v>
      </c>
      <c r="E4728" s="1" t="s">
        <v>3752</v>
      </c>
      <c r="F4728" s="1" t="s">
        <v>17080</v>
      </c>
      <c r="G4728" s="1" t="s">
        <v>17081</v>
      </c>
      <c r="H4728" s="1" t="s">
        <v>3604</v>
      </c>
      <c r="I4728" s="1" t="s">
        <v>17082</v>
      </c>
      <c r="J4728" s="1" t="s">
        <v>3615</v>
      </c>
      <c r="K4728" s="1" t="s">
        <v>17083</v>
      </c>
      <c r="L4728" s="1"/>
      <c r="M4728" s="1"/>
    </row>
    <row x14ac:dyDescent="0.25" r="4729" customHeight="1" ht="18.75">
      <c r="A4729" s="1" t="s">
        <v>3598</v>
      </c>
      <c r="B4729" s="1" t="s">
        <v>3751</v>
      </c>
      <c r="C4729" s="1" t="s">
        <v>3600</v>
      </c>
      <c r="D4729" s="1" t="s">
        <v>3601</v>
      </c>
      <c r="E4729" s="1" t="s">
        <v>3752</v>
      </c>
      <c r="F4729" s="1" t="s">
        <v>17084</v>
      </c>
      <c r="G4729" s="1" t="s">
        <v>17085</v>
      </c>
      <c r="H4729" s="1" t="s">
        <v>3604</v>
      </c>
      <c r="I4729" s="1" t="s">
        <v>17086</v>
      </c>
      <c r="J4729" s="1" t="s">
        <v>3615</v>
      </c>
      <c r="K4729" s="1" t="s">
        <v>17087</v>
      </c>
      <c r="L4729" s="1"/>
      <c r="M4729" s="1"/>
    </row>
    <row x14ac:dyDescent="0.25" r="4730" customHeight="1" ht="18.75">
      <c r="A4730" s="1" t="s">
        <v>3598</v>
      </c>
      <c r="B4730" s="1" t="s">
        <v>3751</v>
      </c>
      <c r="C4730" s="1" t="s">
        <v>3600</v>
      </c>
      <c r="D4730" s="1" t="s">
        <v>3601</v>
      </c>
      <c r="E4730" s="1" t="s">
        <v>3752</v>
      </c>
      <c r="F4730" s="1" t="s">
        <v>17088</v>
      </c>
      <c r="G4730" s="1" t="s">
        <v>17089</v>
      </c>
      <c r="H4730" s="1" t="s">
        <v>3604</v>
      </c>
      <c r="I4730" s="1" t="s">
        <v>17090</v>
      </c>
      <c r="J4730" s="1" t="s">
        <v>3615</v>
      </c>
      <c r="K4730" s="1" t="s">
        <v>17091</v>
      </c>
      <c r="L4730" s="1"/>
      <c r="M4730" s="1"/>
    </row>
    <row x14ac:dyDescent="0.25" r="4731" customHeight="1" ht="18.75">
      <c r="A4731" s="1" t="s">
        <v>3598</v>
      </c>
      <c r="B4731" s="1" t="s">
        <v>3751</v>
      </c>
      <c r="C4731" s="1" t="s">
        <v>3600</v>
      </c>
      <c r="D4731" s="1" t="s">
        <v>3601</v>
      </c>
      <c r="E4731" s="1" t="s">
        <v>3752</v>
      </c>
      <c r="F4731" s="1" t="s">
        <v>17092</v>
      </c>
      <c r="G4731" s="1" t="s">
        <v>17093</v>
      </c>
      <c r="H4731" s="1" t="s">
        <v>3604</v>
      </c>
      <c r="I4731" s="1" t="s">
        <v>17094</v>
      </c>
      <c r="J4731" s="1" t="s">
        <v>3615</v>
      </c>
      <c r="K4731" s="1" t="s">
        <v>17095</v>
      </c>
      <c r="L4731" s="1"/>
      <c r="M4731" s="1"/>
    </row>
    <row x14ac:dyDescent="0.25" r="4732" customHeight="1" ht="18.75">
      <c r="A4732" s="1" t="s">
        <v>3693</v>
      </c>
      <c r="B4732" s="1" t="s">
        <v>4267</v>
      </c>
      <c r="C4732" s="1" t="s">
        <v>3600</v>
      </c>
      <c r="D4732" s="1" t="s">
        <v>533</v>
      </c>
      <c r="E4732" s="1" t="s">
        <v>3664</v>
      </c>
      <c r="F4732" s="1" t="s">
        <v>17096</v>
      </c>
      <c r="G4732" s="1" t="s">
        <v>5651</v>
      </c>
      <c r="H4732" s="1" t="s">
        <v>3604</v>
      </c>
      <c r="I4732" s="1" t="s">
        <v>17097</v>
      </c>
      <c r="J4732" s="1" t="s">
        <v>3606</v>
      </c>
      <c r="K4732" s="1" t="s">
        <v>17098</v>
      </c>
      <c r="L4732" s="1"/>
      <c r="M4732" s="1"/>
    </row>
    <row x14ac:dyDescent="0.25" r="4733" customHeight="1" ht="18.75">
      <c r="A4733" s="1" t="s">
        <v>3693</v>
      </c>
      <c r="B4733" s="1" t="s">
        <v>4267</v>
      </c>
      <c r="C4733" s="1" t="s">
        <v>3600</v>
      </c>
      <c r="D4733" s="1" t="s">
        <v>533</v>
      </c>
      <c r="E4733" s="1" t="s">
        <v>3664</v>
      </c>
      <c r="F4733" s="1" t="s">
        <v>17099</v>
      </c>
      <c r="G4733" s="1" t="s">
        <v>17100</v>
      </c>
      <c r="H4733" s="1" t="s">
        <v>3604</v>
      </c>
      <c r="I4733" s="1" t="s">
        <v>17101</v>
      </c>
      <c r="J4733" s="1" t="s">
        <v>3606</v>
      </c>
      <c r="K4733" s="1" t="s">
        <v>17102</v>
      </c>
      <c r="L4733" s="1"/>
      <c r="M4733" s="1"/>
    </row>
    <row x14ac:dyDescent="0.25" r="4734" customHeight="1" ht="18.75">
      <c r="A4734" s="1" t="s">
        <v>3693</v>
      </c>
      <c r="B4734" s="1" t="s">
        <v>4267</v>
      </c>
      <c r="C4734" s="1" t="s">
        <v>3600</v>
      </c>
      <c r="D4734" s="1" t="s">
        <v>533</v>
      </c>
      <c r="E4734" s="1" t="s">
        <v>3664</v>
      </c>
      <c r="F4734" s="1" t="s">
        <v>17103</v>
      </c>
      <c r="G4734" s="1" t="s">
        <v>5279</v>
      </c>
      <c r="H4734" s="1" t="s">
        <v>3604</v>
      </c>
      <c r="I4734" s="1" t="s">
        <v>17104</v>
      </c>
      <c r="J4734" s="1" t="s">
        <v>3606</v>
      </c>
      <c r="K4734" s="1" t="s">
        <v>17105</v>
      </c>
      <c r="L4734" s="1"/>
      <c r="M4734" s="1"/>
    </row>
    <row x14ac:dyDescent="0.25" r="4735" customHeight="1" ht="18.75">
      <c r="A4735" s="1" t="s">
        <v>3693</v>
      </c>
      <c r="B4735" s="1" t="s">
        <v>4267</v>
      </c>
      <c r="C4735" s="1" t="s">
        <v>3600</v>
      </c>
      <c r="D4735" s="1" t="s">
        <v>533</v>
      </c>
      <c r="E4735" s="1" t="s">
        <v>3664</v>
      </c>
      <c r="F4735" s="1" t="s">
        <v>17106</v>
      </c>
      <c r="G4735" s="1" t="s">
        <v>17107</v>
      </c>
      <c r="H4735" s="1" t="s">
        <v>3604</v>
      </c>
      <c r="I4735" s="1" t="s">
        <v>17108</v>
      </c>
      <c r="J4735" s="1" t="s">
        <v>3606</v>
      </c>
      <c r="K4735" s="1" t="s">
        <v>17109</v>
      </c>
      <c r="L4735" s="1"/>
      <c r="M4735" s="1"/>
    </row>
    <row x14ac:dyDescent="0.25" r="4736" customHeight="1" ht="18.75">
      <c r="A4736" s="1" t="s">
        <v>3693</v>
      </c>
      <c r="B4736" s="1" t="s">
        <v>4247</v>
      </c>
      <c r="C4736" s="1" t="s">
        <v>3600</v>
      </c>
      <c r="D4736" s="1" t="s">
        <v>533</v>
      </c>
      <c r="E4736" s="1" t="s">
        <v>3664</v>
      </c>
      <c r="F4736" s="1" t="s">
        <v>17110</v>
      </c>
      <c r="G4736" s="1" t="s">
        <v>4249</v>
      </c>
      <c r="H4736" s="1" t="s">
        <v>3604</v>
      </c>
      <c r="I4736" s="1" t="s">
        <v>17111</v>
      </c>
      <c r="J4736" s="1" t="s">
        <v>3606</v>
      </c>
      <c r="K4736" s="1" t="s">
        <v>17112</v>
      </c>
      <c r="L4736" s="1"/>
      <c r="M4736" s="1"/>
    </row>
    <row x14ac:dyDescent="0.25" r="4737" customHeight="1" ht="18.75">
      <c r="A4737" s="1" t="s">
        <v>3693</v>
      </c>
      <c r="B4737" s="1" t="s">
        <v>4247</v>
      </c>
      <c r="C4737" s="1" t="s">
        <v>3600</v>
      </c>
      <c r="D4737" s="1" t="s">
        <v>533</v>
      </c>
      <c r="E4737" s="1" t="s">
        <v>3664</v>
      </c>
      <c r="F4737" s="1" t="s">
        <v>17113</v>
      </c>
      <c r="G4737" s="1" t="s">
        <v>4384</v>
      </c>
      <c r="H4737" s="1" t="s">
        <v>3604</v>
      </c>
      <c r="I4737" s="1" t="s">
        <v>17114</v>
      </c>
      <c r="J4737" s="1" t="s">
        <v>3606</v>
      </c>
      <c r="K4737" s="1" t="s">
        <v>17115</v>
      </c>
      <c r="L4737" s="1"/>
      <c r="M4737" s="1"/>
    </row>
    <row x14ac:dyDescent="0.25" r="4738" customHeight="1" ht="18.75">
      <c r="A4738" s="1" t="s">
        <v>3693</v>
      </c>
      <c r="B4738" s="1" t="s">
        <v>4247</v>
      </c>
      <c r="C4738" s="1" t="s">
        <v>3600</v>
      </c>
      <c r="D4738" s="1" t="s">
        <v>533</v>
      </c>
      <c r="E4738" s="1" t="s">
        <v>3664</v>
      </c>
      <c r="F4738" s="1" t="s">
        <v>17116</v>
      </c>
      <c r="G4738" s="1" t="s">
        <v>4386</v>
      </c>
      <c r="H4738" s="1" t="s">
        <v>3604</v>
      </c>
      <c r="I4738" s="1" t="s">
        <v>17117</v>
      </c>
      <c r="J4738" s="1" t="s">
        <v>3606</v>
      </c>
      <c r="K4738" s="1" t="s">
        <v>17118</v>
      </c>
      <c r="L4738" s="1"/>
      <c r="M4738" s="1"/>
    </row>
    <row x14ac:dyDescent="0.25" r="4739" customHeight="1" ht="18.75">
      <c r="A4739" s="1" t="s">
        <v>3693</v>
      </c>
      <c r="B4739" s="1" t="s">
        <v>4247</v>
      </c>
      <c r="C4739" s="1" t="s">
        <v>3600</v>
      </c>
      <c r="D4739" s="1" t="s">
        <v>533</v>
      </c>
      <c r="E4739" s="1" t="s">
        <v>3664</v>
      </c>
      <c r="F4739" s="1" t="s">
        <v>17119</v>
      </c>
      <c r="G4739" s="1" t="s">
        <v>4738</v>
      </c>
      <c r="H4739" s="1" t="s">
        <v>3604</v>
      </c>
      <c r="I4739" s="1" t="s">
        <v>17120</v>
      </c>
      <c r="J4739" s="1" t="s">
        <v>3606</v>
      </c>
      <c r="K4739" s="1" t="s">
        <v>17121</v>
      </c>
      <c r="L4739" s="1"/>
      <c r="M4739" s="1"/>
    </row>
    <row x14ac:dyDescent="0.25" r="4740" customHeight="1" ht="18.75">
      <c r="A4740" s="1" t="s">
        <v>3693</v>
      </c>
      <c r="B4740" s="1" t="s">
        <v>4247</v>
      </c>
      <c r="C4740" s="1" t="s">
        <v>3600</v>
      </c>
      <c r="D4740" s="1" t="s">
        <v>533</v>
      </c>
      <c r="E4740" s="1" t="s">
        <v>3664</v>
      </c>
      <c r="F4740" s="1" t="s">
        <v>17122</v>
      </c>
      <c r="G4740" s="1" t="s">
        <v>4741</v>
      </c>
      <c r="H4740" s="1" t="s">
        <v>3604</v>
      </c>
      <c r="I4740" s="1" t="s">
        <v>17123</v>
      </c>
      <c r="J4740" s="1" t="s">
        <v>3606</v>
      </c>
      <c r="K4740" s="1" t="s">
        <v>17124</v>
      </c>
      <c r="L4740" s="1"/>
      <c r="M4740" s="1"/>
    </row>
    <row x14ac:dyDescent="0.25" r="4741" customHeight="1" ht="18.75">
      <c r="A4741" s="1" t="s">
        <v>3693</v>
      </c>
      <c r="B4741" s="1" t="s">
        <v>4083</v>
      </c>
      <c r="C4741" s="1" t="s">
        <v>3600</v>
      </c>
      <c r="D4741" s="1" t="s">
        <v>533</v>
      </c>
      <c r="E4741" s="1" t="s">
        <v>3664</v>
      </c>
      <c r="F4741" s="1" t="s">
        <v>17125</v>
      </c>
      <c r="G4741" s="1" t="s">
        <v>5204</v>
      </c>
      <c r="H4741" s="1" t="s">
        <v>3604</v>
      </c>
      <c r="I4741" s="1" t="s">
        <v>17126</v>
      </c>
      <c r="J4741" s="1" t="s">
        <v>3606</v>
      </c>
      <c r="K4741" s="1" t="s">
        <v>17127</v>
      </c>
      <c r="L4741" s="1"/>
      <c r="M4741" s="1"/>
    </row>
    <row x14ac:dyDescent="0.25" r="4742" customHeight="1" ht="18.75">
      <c r="A4742" s="1" t="s">
        <v>3693</v>
      </c>
      <c r="B4742" s="1" t="s">
        <v>4267</v>
      </c>
      <c r="C4742" s="1" t="s">
        <v>3600</v>
      </c>
      <c r="D4742" s="1" t="s">
        <v>533</v>
      </c>
      <c r="E4742" s="1" t="s">
        <v>3664</v>
      </c>
      <c r="F4742" s="1" t="s">
        <v>17128</v>
      </c>
      <c r="G4742" s="1" t="s">
        <v>5319</v>
      </c>
      <c r="H4742" s="1" t="s">
        <v>3604</v>
      </c>
      <c r="I4742" s="1" t="s">
        <v>17129</v>
      </c>
      <c r="J4742" s="1" t="s">
        <v>3606</v>
      </c>
      <c r="K4742" s="1" t="s">
        <v>17130</v>
      </c>
      <c r="L4742" s="1"/>
      <c r="M4742" s="1"/>
    </row>
    <row x14ac:dyDescent="0.25" r="4743" customHeight="1" ht="18.75">
      <c r="A4743" s="1" t="s">
        <v>3693</v>
      </c>
      <c r="B4743" s="1" t="s">
        <v>4192</v>
      </c>
      <c r="C4743" s="1" t="s">
        <v>3600</v>
      </c>
      <c r="D4743" s="1" t="s">
        <v>533</v>
      </c>
      <c r="E4743" s="1" t="s">
        <v>3752</v>
      </c>
      <c r="F4743" s="1" t="s">
        <v>17131</v>
      </c>
      <c r="G4743" s="1" t="s">
        <v>17132</v>
      </c>
      <c r="H4743" s="1" t="s">
        <v>3604</v>
      </c>
      <c r="I4743" s="1" t="s">
        <v>17133</v>
      </c>
      <c r="J4743" s="1" t="s">
        <v>3606</v>
      </c>
      <c r="K4743" s="1" t="s">
        <v>17134</v>
      </c>
      <c r="L4743" s="1"/>
      <c r="M4743" s="1"/>
    </row>
    <row x14ac:dyDescent="0.25" r="4744" customHeight="1" ht="18.75">
      <c r="A4744" s="1" t="s">
        <v>3617</v>
      </c>
      <c r="B4744" s="1" t="s">
        <v>5578</v>
      </c>
      <c r="C4744" s="1" t="s">
        <v>3619</v>
      </c>
      <c r="D4744" s="1" t="s">
        <v>3601</v>
      </c>
      <c r="E4744" s="1" t="s">
        <v>3893</v>
      </c>
      <c r="F4744" s="1" t="s">
        <v>17135</v>
      </c>
      <c r="G4744" s="1" t="s">
        <v>5580</v>
      </c>
      <c r="H4744" s="1" t="s">
        <v>3604</v>
      </c>
      <c r="I4744" s="1" t="s">
        <v>17136</v>
      </c>
      <c r="J4744" s="1" t="s">
        <v>3606</v>
      </c>
      <c r="K4744" s="1" t="s">
        <v>12169</v>
      </c>
      <c r="L4744" s="1"/>
      <c r="M4744" s="1"/>
    </row>
    <row x14ac:dyDescent="0.25" r="4745" customHeight="1" ht="18.75">
      <c r="A4745" s="1" t="s">
        <v>3617</v>
      </c>
      <c r="B4745" s="1" t="s">
        <v>5578</v>
      </c>
      <c r="C4745" s="1" t="s">
        <v>3619</v>
      </c>
      <c r="D4745" s="1" t="s">
        <v>3601</v>
      </c>
      <c r="E4745" s="1" t="s">
        <v>3893</v>
      </c>
      <c r="F4745" s="1" t="s">
        <v>17137</v>
      </c>
      <c r="G4745" s="1" t="s">
        <v>5580</v>
      </c>
      <c r="H4745" s="1" t="s">
        <v>3604</v>
      </c>
      <c r="I4745" s="1" t="s">
        <v>17138</v>
      </c>
      <c r="J4745" s="1" t="s">
        <v>3606</v>
      </c>
      <c r="K4745" s="1" t="s">
        <v>17139</v>
      </c>
      <c r="L4745" s="1"/>
      <c r="M4745" s="1"/>
    </row>
    <row x14ac:dyDescent="0.25" r="4746" customHeight="1" ht="18.75">
      <c r="A4746" s="1" t="s">
        <v>3617</v>
      </c>
      <c r="B4746" s="1" t="s">
        <v>5578</v>
      </c>
      <c r="C4746" s="1" t="s">
        <v>3619</v>
      </c>
      <c r="D4746" s="1" t="s">
        <v>3601</v>
      </c>
      <c r="E4746" s="1" t="s">
        <v>3893</v>
      </c>
      <c r="F4746" s="1" t="s">
        <v>17140</v>
      </c>
      <c r="G4746" s="1" t="s">
        <v>5580</v>
      </c>
      <c r="H4746" s="1" t="s">
        <v>3604</v>
      </c>
      <c r="I4746" s="1" t="s">
        <v>17141</v>
      </c>
      <c r="J4746" s="1" t="s">
        <v>3606</v>
      </c>
      <c r="K4746" s="1" t="s">
        <v>17142</v>
      </c>
      <c r="L4746" s="1"/>
      <c r="M4746" s="1"/>
    </row>
    <row x14ac:dyDescent="0.25" r="4747" customHeight="1" ht="18.75">
      <c r="A4747" s="1" t="s">
        <v>3617</v>
      </c>
      <c r="B4747" s="1" t="s">
        <v>5578</v>
      </c>
      <c r="C4747" s="1" t="s">
        <v>3619</v>
      </c>
      <c r="D4747" s="1" t="s">
        <v>3601</v>
      </c>
      <c r="E4747" s="1" t="s">
        <v>3893</v>
      </c>
      <c r="F4747" s="1" t="s">
        <v>17143</v>
      </c>
      <c r="G4747" s="1" t="s">
        <v>5580</v>
      </c>
      <c r="H4747" s="1" t="s">
        <v>3604</v>
      </c>
      <c r="I4747" s="1" t="s">
        <v>17144</v>
      </c>
      <c r="J4747" s="1" t="s">
        <v>3606</v>
      </c>
      <c r="K4747" s="1" t="s">
        <v>17145</v>
      </c>
      <c r="L4747" s="1"/>
      <c r="M4747" s="1"/>
    </row>
    <row x14ac:dyDescent="0.25" r="4748" customHeight="1" ht="18.75">
      <c r="A4748" s="1" t="s">
        <v>3617</v>
      </c>
      <c r="B4748" s="1" t="s">
        <v>5578</v>
      </c>
      <c r="C4748" s="1" t="s">
        <v>3619</v>
      </c>
      <c r="D4748" s="1" t="s">
        <v>3601</v>
      </c>
      <c r="E4748" s="1" t="s">
        <v>3893</v>
      </c>
      <c r="F4748" s="1" t="s">
        <v>17146</v>
      </c>
      <c r="G4748" s="1" t="s">
        <v>5580</v>
      </c>
      <c r="H4748" s="1" t="s">
        <v>3604</v>
      </c>
      <c r="I4748" s="1" t="s">
        <v>17147</v>
      </c>
      <c r="J4748" s="1" t="s">
        <v>3606</v>
      </c>
      <c r="K4748" s="1" t="s">
        <v>12157</v>
      </c>
      <c r="L4748" s="1"/>
      <c r="M4748" s="1"/>
    </row>
    <row x14ac:dyDescent="0.25" r="4749" customHeight="1" ht="18.75">
      <c r="A4749" s="1" t="s">
        <v>3617</v>
      </c>
      <c r="B4749" s="1" t="s">
        <v>5578</v>
      </c>
      <c r="C4749" s="1" t="s">
        <v>3619</v>
      </c>
      <c r="D4749" s="1" t="s">
        <v>3601</v>
      </c>
      <c r="E4749" s="1" t="s">
        <v>3893</v>
      </c>
      <c r="F4749" s="1" t="s">
        <v>17148</v>
      </c>
      <c r="G4749" s="1" t="s">
        <v>5580</v>
      </c>
      <c r="H4749" s="1" t="s">
        <v>3604</v>
      </c>
      <c r="I4749" s="1" t="s">
        <v>17149</v>
      </c>
      <c r="J4749" s="1" t="s">
        <v>3606</v>
      </c>
      <c r="K4749" s="1" t="s">
        <v>17150</v>
      </c>
      <c r="L4749" s="1"/>
      <c r="M4749" s="1"/>
    </row>
    <row x14ac:dyDescent="0.25" r="4750" customHeight="1" ht="18.75">
      <c r="A4750" s="1" t="s">
        <v>3617</v>
      </c>
      <c r="B4750" s="1" t="s">
        <v>5578</v>
      </c>
      <c r="C4750" s="1" t="s">
        <v>3619</v>
      </c>
      <c r="D4750" s="1" t="s">
        <v>3601</v>
      </c>
      <c r="E4750" s="1" t="s">
        <v>3893</v>
      </c>
      <c r="F4750" s="1" t="s">
        <v>17151</v>
      </c>
      <c r="G4750" s="1" t="s">
        <v>5580</v>
      </c>
      <c r="H4750" s="1" t="s">
        <v>3604</v>
      </c>
      <c r="I4750" s="1" t="s">
        <v>17152</v>
      </c>
      <c r="J4750" s="1" t="s">
        <v>3606</v>
      </c>
      <c r="K4750" s="1" t="s">
        <v>17153</v>
      </c>
      <c r="L4750" s="1"/>
      <c r="M4750" s="1"/>
    </row>
    <row x14ac:dyDescent="0.25" r="4751" customHeight="1" ht="18.75">
      <c r="A4751" s="1" t="s">
        <v>3617</v>
      </c>
      <c r="B4751" s="1" t="s">
        <v>5578</v>
      </c>
      <c r="C4751" s="1" t="s">
        <v>3619</v>
      </c>
      <c r="D4751" s="1" t="s">
        <v>3601</v>
      </c>
      <c r="E4751" s="1" t="s">
        <v>3893</v>
      </c>
      <c r="F4751" s="1" t="s">
        <v>17154</v>
      </c>
      <c r="G4751" s="1" t="s">
        <v>5580</v>
      </c>
      <c r="H4751" s="1" t="s">
        <v>3604</v>
      </c>
      <c r="I4751" s="1" t="s">
        <v>17155</v>
      </c>
      <c r="J4751" s="1" t="s">
        <v>3606</v>
      </c>
      <c r="K4751" s="1" t="s">
        <v>17156</v>
      </c>
      <c r="L4751" s="1"/>
      <c r="M4751" s="1"/>
    </row>
    <row x14ac:dyDescent="0.25" r="4752" customHeight="1" ht="18.75">
      <c r="A4752" s="1" t="s">
        <v>3617</v>
      </c>
      <c r="B4752" s="1" t="s">
        <v>5578</v>
      </c>
      <c r="C4752" s="1" t="s">
        <v>3619</v>
      </c>
      <c r="D4752" s="1" t="s">
        <v>3601</v>
      </c>
      <c r="E4752" s="1" t="s">
        <v>3893</v>
      </c>
      <c r="F4752" s="1" t="s">
        <v>17157</v>
      </c>
      <c r="G4752" s="1" t="s">
        <v>5580</v>
      </c>
      <c r="H4752" s="1" t="s">
        <v>3604</v>
      </c>
      <c r="I4752" s="1" t="s">
        <v>17158</v>
      </c>
      <c r="J4752" s="1" t="s">
        <v>3606</v>
      </c>
      <c r="K4752" s="1" t="s">
        <v>17159</v>
      </c>
      <c r="L4752" s="1"/>
      <c r="M4752" s="1"/>
    </row>
    <row x14ac:dyDescent="0.25" r="4753" customHeight="1" ht="18.75">
      <c r="A4753" s="1" t="s">
        <v>3617</v>
      </c>
      <c r="B4753" s="1" t="s">
        <v>5578</v>
      </c>
      <c r="C4753" s="1" t="s">
        <v>3619</v>
      </c>
      <c r="D4753" s="1" t="s">
        <v>3601</v>
      </c>
      <c r="E4753" s="1" t="s">
        <v>3893</v>
      </c>
      <c r="F4753" s="1" t="s">
        <v>17160</v>
      </c>
      <c r="G4753" s="1" t="s">
        <v>5580</v>
      </c>
      <c r="H4753" s="1" t="s">
        <v>3604</v>
      </c>
      <c r="I4753" s="1" t="s">
        <v>17161</v>
      </c>
      <c r="J4753" s="1" t="s">
        <v>3606</v>
      </c>
      <c r="K4753" s="1" t="s">
        <v>17162</v>
      </c>
      <c r="L4753" s="1"/>
      <c r="M4753" s="1"/>
    </row>
    <row x14ac:dyDescent="0.25" r="4754" customHeight="1" ht="18.75">
      <c r="A4754" s="1" t="s">
        <v>3617</v>
      </c>
      <c r="B4754" s="1" t="s">
        <v>5578</v>
      </c>
      <c r="C4754" s="1" t="s">
        <v>3619</v>
      </c>
      <c r="D4754" s="1" t="s">
        <v>3601</v>
      </c>
      <c r="E4754" s="1" t="s">
        <v>3893</v>
      </c>
      <c r="F4754" s="1" t="s">
        <v>17163</v>
      </c>
      <c r="G4754" s="1" t="s">
        <v>5580</v>
      </c>
      <c r="H4754" s="1" t="s">
        <v>3604</v>
      </c>
      <c r="I4754" s="1" t="s">
        <v>17164</v>
      </c>
      <c r="J4754" s="1" t="s">
        <v>3606</v>
      </c>
      <c r="K4754" s="1" t="s">
        <v>17165</v>
      </c>
      <c r="L4754" s="1"/>
      <c r="M4754" s="1"/>
    </row>
    <row x14ac:dyDescent="0.25" r="4755" customHeight="1" ht="18.75">
      <c r="A4755" s="1" t="s">
        <v>3617</v>
      </c>
      <c r="B4755" s="1" t="s">
        <v>5578</v>
      </c>
      <c r="C4755" s="1" t="s">
        <v>3619</v>
      </c>
      <c r="D4755" s="1" t="s">
        <v>3601</v>
      </c>
      <c r="E4755" s="1" t="s">
        <v>3893</v>
      </c>
      <c r="F4755" s="1" t="s">
        <v>17166</v>
      </c>
      <c r="G4755" s="1" t="s">
        <v>5580</v>
      </c>
      <c r="H4755" s="1" t="s">
        <v>3604</v>
      </c>
      <c r="I4755" s="1" t="s">
        <v>17167</v>
      </c>
      <c r="J4755" s="1" t="s">
        <v>3606</v>
      </c>
      <c r="K4755" s="1" t="s">
        <v>17168</v>
      </c>
      <c r="L4755" s="1"/>
      <c r="M4755" s="1"/>
    </row>
    <row x14ac:dyDescent="0.25" r="4756" customHeight="1" ht="18.75">
      <c r="A4756" s="1" t="s">
        <v>3617</v>
      </c>
      <c r="B4756" s="1" t="s">
        <v>5578</v>
      </c>
      <c r="C4756" s="1" t="s">
        <v>3619</v>
      </c>
      <c r="D4756" s="1" t="s">
        <v>3601</v>
      </c>
      <c r="E4756" s="1" t="s">
        <v>3893</v>
      </c>
      <c r="F4756" s="1" t="s">
        <v>17169</v>
      </c>
      <c r="G4756" s="1" t="s">
        <v>5580</v>
      </c>
      <c r="H4756" s="1" t="s">
        <v>3604</v>
      </c>
      <c r="I4756" s="1" t="s">
        <v>17170</v>
      </c>
      <c r="J4756" s="1" t="s">
        <v>3606</v>
      </c>
      <c r="K4756" s="1" t="s">
        <v>12223</v>
      </c>
      <c r="L4756" s="1"/>
      <c r="M4756" s="1"/>
    </row>
    <row x14ac:dyDescent="0.25" r="4757" customHeight="1" ht="18.75">
      <c r="A4757" s="1" t="s">
        <v>3617</v>
      </c>
      <c r="B4757" s="1" t="s">
        <v>5578</v>
      </c>
      <c r="C4757" s="1" t="s">
        <v>3619</v>
      </c>
      <c r="D4757" s="1" t="s">
        <v>3601</v>
      </c>
      <c r="E4757" s="1" t="s">
        <v>3893</v>
      </c>
      <c r="F4757" s="1" t="s">
        <v>17171</v>
      </c>
      <c r="G4757" s="1" t="s">
        <v>5580</v>
      </c>
      <c r="H4757" s="1" t="s">
        <v>3604</v>
      </c>
      <c r="I4757" s="1" t="s">
        <v>17172</v>
      </c>
      <c r="J4757" s="1" t="s">
        <v>3606</v>
      </c>
      <c r="K4757" s="1" t="s">
        <v>17173</v>
      </c>
      <c r="L4757" s="1"/>
      <c r="M4757" s="1"/>
    </row>
    <row x14ac:dyDescent="0.25" r="4758" customHeight="1" ht="18.75">
      <c r="A4758" s="1" t="s">
        <v>3617</v>
      </c>
      <c r="B4758" s="1" t="s">
        <v>5578</v>
      </c>
      <c r="C4758" s="1" t="s">
        <v>3619</v>
      </c>
      <c r="D4758" s="1" t="s">
        <v>3601</v>
      </c>
      <c r="E4758" s="1" t="s">
        <v>3893</v>
      </c>
      <c r="F4758" s="1" t="s">
        <v>17174</v>
      </c>
      <c r="G4758" s="1" t="s">
        <v>5580</v>
      </c>
      <c r="H4758" s="1" t="s">
        <v>3604</v>
      </c>
      <c r="I4758" s="1" t="s">
        <v>17175</v>
      </c>
      <c r="J4758" s="1" t="s">
        <v>3606</v>
      </c>
      <c r="K4758" s="1" t="s">
        <v>17176</v>
      </c>
      <c r="L4758" s="1"/>
      <c r="M4758" s="1"/>
    </row>
    <row x14ac:dyDescent="0.25" r="4759" customHeight="1" ht="18.75">
      <c r="A4759" s="1" t="s">
        <v>3617</v>
      </c>
      <c r="B4759" s="1" t="s">
        <v>5578</v>
      </c>
      <c r="C4759" s="1" t="s">
        <v>3619</v>
      </c>
      <c r="D4759" s="1" t="s">
        <v>3601</v>
      </c>
      <c r="E4759" s="1" t="s">
        <v>3893</v>
      </c>
      <c r="F4759" s="1" t="s">
        <v>17177</v>
      </c>
      <c r="G4759" s="1" t="s">
        <v>5580</v>
      </c>
      <c r="H4759" s="1" t="s">
        <v>3604</v>
      </c>
      <c r="I4759" s="1" t="s">
        <v>17178</v>
      </c>
      <c r="J4759" s="1" t="s">
        <v>3606</v>
      </c>
      <c r="K4759" s="1" t="s">
        <v>17179</v>
      </c>
      <c r="L4759" s="1"/>
      <c r="M4759" s="1"/>
    </row>
    <row x14ac:dyDescent="0.25" r="4760" customHeight="1" ht="18.75">
      <c r="A4760" s="1" t="s">
        <v>3617</v>
      </c>
      <c r="B4760" s="1" t="s">
        <v>5578</v>
      </c>
      <c r="C4760" s="1" t="s">
        <v>3619</v>
      </c>
      <c r="D4760" s="1" t="s">
        <v>3601</v>
      </c>
      <c r="E4760" s="1" t="s">
        <v>3893</v>
      </c>
      <c r="F4760" s="1" t="s">
        <v>17180</v>
      </c>
      <c r="G4760" s="1" t="s">
        <v>5580</v>
      </c>
      <c r="H4760" s="1" t="s">
        <v>3604</v>
      </c>
      <c r="I4760" s="1" t="s">
        <v>17181</v>
      </c>
      <c r="J4760" s="1" t="s">
        <v>3606</v>
      </c>
      <c r="K4760" s="1" t="s">
        <v>17182</v>
      </c>
      <c r="L4760" s="1"/>
      <c r="M4760" s="1"/>
    </row>
    <row x14ac:dyDescent="0.25" r="4761" customHeight="1" ht="18.75">
      <c r="A4761" s="1" t="s">
        <v>3617</v>
      </c>
      <c r="B4761" s="1" t="s">
        <v>5578</v>
      </c>
      <c r="C4761" s="1" t="s">
        <v>3619</v>
      </c>
      <c r="D4761" s="1" t="s">
        <v>3601</v>
      </c>
      <c r="E4761" s="1" t="s">
        <v>3893</v>
      </c>
      <c r="F4761" s="1" t="s">
        <v>17183</v>
      </c>
      <c r="G4761" s="1" t="s">
        <v>5580</v>
      </c>
      <c r="H4761" s="1" t="s">
        <v>3604</v>
      </c>
      <c r="I4761" s="1" t="s">
        <v>17184</v>
      </c>
      <c r="J4761" s="1" t="s">
        <v>3606</v>
      </c>
      <c r="K4761" s="1" t="s">
        <v>17185</v>
      </c>
      <c r="L4761" s="1"/>
      <c r="M4761" s="1"/>
    </row>
    <row x14ac:dyDescent="0.25" r="4762" customHeight="1" ht="18.75">
      <c r="A4762" s="1" t="s">
        <v>3617</v>
      </c>
      <c r="B4762" s="1" t="s">
        <v>5578</v>
      </c>
      <c r="C4762" s="1" t="s">
        <v>3619</v>
      </c>
      <c r="D4762" s="1" t="s">
        <v>3601</v>
      </c>
      <c r="E4762" s="1" t="s">
        <v>3893</v>
      </c>
      <c r="F4762" s="1" t="s">
        <v>17186</v>
      </c>
      <c r="G4762" s="1" t="s">
        <v>5580</v>
      </c>
      <c r="H4762" s="1" t="s">
        <v>3604</v>
      </c>
      <c r="I4762" s="1" t="s">
        <v>17187</v>
      </c>
      <c r="J4762" s="1" t="s">
        <v>3606</v>
      </c>
      <c r="K4762" s="1" t="s">
        <v>17188</v>
      </c>
      <c r="L4762" s="1"/>
      <c r="M4762" s="1"/>
    </row>
    <row x14ac:dyDescent="0.25" r="4763" customHeight="1" ht="18.75">
      <c r="A4763" s="1" t="s">
        <v>3617</v>
      </c>
      <c r="B4763" s="1" t="s">
        <v>5578</v>
      </c>
      <c r="C4763" s="1" t="s">
        <v>3619</v>
      </c>
      <c r="D4763" s="1" t="s">
        <v>3601</v>
      </c>
      <c r="E4763" s="1" t="s">
        <v>3893</v>
      </c>
      <c r="F4763" s="1" t="s">
        <v>17189</v>
      </c>
      <c r="G4763" s="1" t="s">
        <v>5580</v>
      </c>
      <c r="H4763" s="1" t="s">
        <v>3604</v>
      </c>
      <c r="I4763" s="1" t="s">
        <v>17190</v>
      </c>
      <c r="J4763" s="1" t="s">
        <v>3606</v>
      </c>
      <c r="K4763" s="1" t="s">
        <v>17191</v>
      </c>
      <c r="L4763" s="1"/>
      <c r="M4763" s="1"/>
    </row>
    <row x14ac:dyDescent="0.25" r="4764" customHeight="1" ht="18.75">
      <c r="A4764" s="1" t="s">
        <v>3617</v>
      </c>
      <c r="B4764" s="1" t="s">
        <v>5578</v>
      </c>
      <c r="C4764" s="1" t="s">
        <v>3619</v>
      </c>
      <c r="D4764" s="1" t="s">
        <v>3601</v>
      </c>
      <c r="E4764" s="1" t="s">
        <v>3893</v>
      </c>
      <c r="F4764" s="1" t="s">
        <v>17192</v>
      </c>
      <c r="G4764" s="1" t="s">
        <v>5580</v>
      </c>
      <c r="H4764" s="1" t="s">
        <v>3604</v>
      </c>
      <c r="I4764" s="1" t="s">
        <v>17193</v>
      </c>
      <c r="J4764" s="1" t="s">
        <v>3606</v>
      </c>
      <c r="K4764" s="1" t="s">
        <v>17194</v>
      </c>
      <c r="L4764" s="1"/>
      <c r="M4764" s="1"/>
    </row>
    <row x14ac:dyDescent="0.25" r="4765" customHeight="1" ht="18.75">
      <c r="A4765" s="1" t="s">
        <v>3617</v>
      </c>
      <c r="B4765" s="1" t="s">
        <v>5578</v>
      </c>
      <c r="C4765" s="1" t="s">
        <v>3619</v>
      </c>
      <c r="D4765" s="1" t="s">
        <v>3601</v>
      </c>
      <c r="E4765" s="1" t="s">
        <v>3893</v>
      </c>
      <c r="F4765" s="1" t="s">
        <v>17195</v>
      </c>
      <c r="G4765" s="1" t="s">
        <v>5580</v>
      </c>
      <c r="H4765" s="1" t="s">
        <v>3604</v>
      </c>
      <c r="I4765" s="1" t="s">
        <v>17196</v>
      </c>
      <c r="J4765" s="1" t="s">
        <v>3606</v>
      </c>
      <c r="K4765" s="1" t="s">
        <v>17197</v>
      </c>
      <c r="L4765" s="1"/>
      <c r="M4765" s="1"/>
    </row>
    <row x14ac:dyDescent="0.25" r="4766" customHeight="1" ht="18.75">
      <c r="A4766" s="1" t="s">
        <v>3617</v>
      </c>
      <c r="B4766" s="1" t="s">
        <v>5578</v>
      </c>
      <c r="C4766" s="1" t="s">
        <v>3619</v>
      </c>
      <c r="D4766" s="1" t="s">
        <v>3601</v>
      </c>
      <c r="E4766" s="1" t="s">
        <v>3893</v>
      </c>
      <c r="F4766" s="1" t="s">
        <v>17198</v>
      </c>
      <c r="G4766" s="1" t="s">
        <v>5580</v>
      </c>
      <c r="H4766" s="1" t="s">
        <v>3604</v>
      </c>
      <c r="I4766" s="1" t="s">
        <v>17199</v>
      </c>
      <c r="J4766" s="1" t="s">
        <v>3606</v>
      </c>
      <c r="K4766" s="1" t="s">
        <v>17200</v>
      </c>
      <c r="L4766" s="1"/>
      <c r="M4766" s="1"/>
    </row>
    <row x14ac:dyDescent="0.25" r="4767" customHeight="1" ht="18.75">
      <c r="A4767" s="1" t="s">
        <v>3617</v>
      </c>
      <c r="B4767" s="1" t="s">
        <v>5578</v>
      </c>
      <c r="C4767" s="1" t="s">
        <v>3619</v>
      </c>
      <c r="D4767" s="1" t="s">
        <v>3601</v>
      </c>
      <c r="E4767" s="1" t="s">
        <v>3893</v>
      </c>
      <c r="F4767" s="1" t="s">
        <v>17201</v>
      </c>
      <c r="G4767" s="1" t="s">
        <v>5580</v>
      </c>
      <c r="H4767" s="1" t="s">
        <v>3604</v>
      </c>
      <c r="I4767" s="1" t="s">
        <v>17202</v>
      </c>
      <c r="J4767" s="1" t="s">
        <v>3606</v>
      </c>
      <c r="K4767" s="1" t="s">
        <v>17203</v>
      </c>
      <c r="L4767" s="1"/>
      <c r="M4767" s="1"/>
    </row>
    <row x14ac:dyDescent="0.25" r="4768" customHeight="1" ht="18.75">
      <c r="A4768" s="1" t="s">
        <v>3617</v>
      </c>
      <c r="B4768" s="1" t="s">
        <v>5578</v>
      </c>
      <c r="C4768" s="1" t="s">
        <v>3619</v>
      </c>
      <c r="D4768" s="1" t="s">
        <v>3601</v>
      </c>
      <c r="E4768" s="1" t="s">
        <v>3893</v>
      </c>
      <c r="F4768" s="1" t="s">
        <v>17204</v>
      </c>
      <c r="G4768" s="1" t="s">
        <v>5580</v>
      </c>
      <c r="H4768" s="1" t="s">
        <v>3604</v>
      </c>
      <c r="I4768" s="1" t="s">
        <v>17205</v>
      </c>
      <c r="J4768" s="1" t="s">
        <v>3606</v>
      </c>
      <c r="K4768" s="1" t="s">
        <v>17206</v>
      </c>
      <c r="L4768" s="1"/>
      <c r="M4768" s="1"/>
    </row>
    <row x14ac:dyDescent="0.25" r="4769" customHeight="1" ht="18.75">
      <c r="A4769" s="1" t="s">
        <v>3617</v>
      </c>
      <c r="B4769" s="1" t="s">
        <v>5578</v>
      </c>
      <c r="C4769" s="1" t="s">
        <v>3619</v>
      </c>
      <c r="D4769" s="1" t="s">
        <v>3601</v>
      </c>
      <c r="E4769" s="1" t="s">
        <v>3893</v>
      </c>
      <c r="F4769" s="1" t="s">
        <v>17207</v>
      </c>
      <c r="G4769" s="1" t="s">
        <v>5580</v>
      </c>
      <c r="H4769" s="1" t="s">
        <v>3604</v>
      </c>
      <c r="I4769" s="1" t="s">
        <v>17208</v>
      </c>
      <c r="J4769" s="1" t="s">
        <v>3606</v>
      </c>
      <c r="K4769" s="1" t="s">
        <v>17209</v>
      </c>
      <c r="L4769" s="1"/>
      <c r="M4769" s="1"/>
    </row>
    <row x14ac:dyDescent="0.25" r="4770" customHeight="1" ht="18.75">
      <c r="A4770" s="1" t="s">
        <v>3617</v>
      </c>
      <c r="B4770" s="1" t="s">
        <v>5578</v>
      </c>
      <c r="C4770" s="1" t="s">
        <v>3619</v>
      </c>
      <c r="D4770" s="1" t="s">
        <v>3601</v>
      </c>
      <c r="E4770" s="1" t="s">
        <v>3893</v>
      </c>
      <c r="F4770" s="1" t="s">
        <v>17210</v>
      </c>
      <c r="G4770" s="1" t="s">
        <v>5580</v>
      </c>
      <c r="H4770" s="1" t="s">
        <v>3604</v>
      </c>
      <c r="I4770" s="1" t="s">
        <v>17211</v>
      </c>
      <c r="J4770" s="1" t="s">
        <v>3606</v>
      </c>
      <c r="K4770" s="1" t="s">
        <v>17212</v>
      </c>
      <c r="L4770" s="1"/>
      <c r="M4770" s="1"/>
    </row>
    <row x14ac:dyDescent="0.25" r="4771" customHeight="1" ht="18.75">
      <c r="A4771" s="1" t="s">
        <v>3617</v>
      </c>
      <c r="B4771" s="1" t="s">
        <v>5578</v>
      </c>
      <c r="C4771" s="1" t="s">
        <v>3619</v>
      </c>
      <c r="D4771" s="1" t="s">
        <v>3601</v>
      </c>
      <c r="E4771" s="1" t="s">
        <v>3893</v>
      </c>
      <c r="F4771" s="1" t="s">
        <v>17213</v>
      </c>
      <c r="G4771" s="1" t="s">
        <v>5580</v>
      </c>
      <c r="H4771" s="1" t="s">
        <v>3604</v>
      </c>
      <c r="I4771" s="1" t="s">
        <v>17214</v>
      </c>
      <c r="J4771" s="1" t="s">
        <v>3606</v>
      </c>
      <c r="K4771" s="1" t="s">
        <v>17215</v>
      </c>
      <c r="L4771" s="1"/>
      <c r="M4771" s="1"/>
    </row>
    <row x14ac:dyDescent="0.25" r="4772" customHeight="1" ht="18.75">
      <c r="A4772" s="1" t="s">
        <v>3617</v>
      </c>
      <c r="B4772" s="1" t="s">
        <v>5578</v>
      </c>
      <c r="C4772" s="1" t="s">
        <v>3619</v>
      </c>
      <c r="D4772" s="1" t="s">
        <v>3601</v>
      </c>
      <c r="E4772" s="1" t="s">
        <v>3893</v>
      </c>
      <c r="F4772" s="1" t="s">
        <v>17216</v>
      </c>
      <c r="G4772" s="1" t="s">
        <v>5580</v>
      </c>
      <c r="H4772" s="1" t="s">
        <v>3604</v>
      </c>
      <c r="I4772" s="1" t="s">
        <v>17217</v>
      </c>
      <c r="J4772" s="1" t="s">
        <v>3606</v>
      </c>
      <c r="K4772" s="1" t="s">
        <v>17218</v>
      </c>
      <c r="L4772" s="1"/>
      <c r="M4772" s="1"/>
    </row>
    <row x14ac:dyDescent="0.25" r="4773" customHeight="1" ht="18.75">
      <c r="A4773" s="1" t="s">
        <v>3617</v>
      </c>
      <c r="B4773" s="1" t="s">
        <v>5578</v>
      </c>
      <c r="C4773" s="1" t="s">
        <v>3619</v>
      </c>
      <c r="D4773" s="1" t="s">
        <v>3601</v>
      </c>
      <c r="E4773" s="1" t="s">
        <v>3893</v>
      </c>
      <c r="F4773" s="1" t="s">
        <v>17219</v>
      </c>
      <c r="G4773" s="1" t="s">
        <v>5580</v>
      </c>
      <c r="H4773" s="1" t="s">
        <v>3604</v>
      </c>
      <c r="I4773" s="1" t="s">
        <v>17220</v>
      </c>
      <c r="J4773" s="1" t="s">
        <v>3606</v>
      </c>
      <c r="K4773" s="1" t="s">
        <v>17221</v>
      </c>
      <c r="L4773" s="1"/>
      <c r="M4773" s="1"/>
    </row>
    <row x14ac:dyDescent="0.25" r="4774" customHeight="1" ht="18.75">
      <c r="A4774" s="1" t="s">
        <v>3617</v>
      </c>
      <c r="B4774" s="1" t="s">
        <v>5578</v>
      </c>
      <c r="C4774" s="1" t="s">
        <v>3619</v>
      </c>
      <c r="D4774" s="1" t="s">
        <v>3601</v>
      </c>
      <c r="E4774" s="1" t="s">
        <v>3893</v>
      </c>
      <c r="F4774" s="1" t="s">
        <v>17222</v>
      </c>
      <c r="G4774" s="1" t="s">
        <v>5580</v>
      </c>
      <c r="H4774" s="1" t="s">
        <v>3604</v>
      </c>
      <c r="I4774" s="1" t="s">
        <v>17223</v>
      </c>
      <c r="J4774" s="1" t="s">
        <v>3606</v>
      </c>
      <c r="K4774" s="1" t="s">
        <v>17224</v>
      </c>
      <c r="L4774" s="1"/>
      <c r="M4774" s="1"/>
    </row>
    <row x14ac:dyDescent="0.25" r="4775" customHeight="1" ht="18.75">
      <c r="A4775" s="1" t="s">
        <v>3617</v>
      </c>
      <c r="B4775" s="1" t="s">
        <v>5578</v>
      </c>
      <c r="C4775" s="1" t="s">
        <v>3619</v>
      </c>
      <c r="D4775" s="1" t="s">
        <v>3601</v>
      </c>
      <c r="E4775" s="1" t="s">
        <v>3893</v>
      </c>
      <c r="F4775" s="1" t="s">
        <v>17225</v>
      </c>
      <c r="G4775" s="1" t="s">
        <v>5580</v>
      </c>
      <c r="H4775" s="1" t="s">
        <v>3604</v>
      </c>
      <c r="I4775" s="1" t="s">
        <v>17226</v>
      </c>
      <c r="J4775" s="1" t="s">
        <v>3606</v>
      </c>
      <c r="K4775" s="1" t="s">
        <v>17227</v>
      </c>
      <c r="L4775" s="1"/>
      <c r="M4775" s="1"/>
    </row>
    <row x14ac:dyDescent="0.25" r="4776" customHeight="1" ht="18.75">
      <c r="A4776" s="1" t="s">
        <v>3617</v>
      </c>
      <c r="B4776" s="1" t="s">
        <v>5578</v>
      </c>
      <c r="C4776" s="1" t="s">
        <v>3619</v>
      </c>
      <c r="D4776" s="1" t="s">
        <v>3601</v>
      </c>
      <c r="E4776" s="1" t="s">
        <v>3893</v>
      </c>
      <c r="F4776" s="1" t="s">
        <v>17228</v>
      </c>
      <c r="G4776" s="1" t="s">
        <v>5580</v>
      </c>
      <c r="H4776" s="1" t="s">
        <v>3604</v>
      </c>
      <c r="I4776" s="1" t="s">
        <v>17229</v>
      </c>
      <c r="J4776" s="1" t="s">
        <v>3606</v>
      </c>
      <c r="K4776" s="1" t="s">
        <v>17230</v>
      </c>
      <c r="L4776" s="1"/>
      <c r="M4776" s="1"/>
    </row>
    <row x14ac:dyDescent="0.25" r="4777" customHeight="1" ht="18.75">
      <c r="A4777" s="1" t="s">
        <v>3617</v>
      </c>
      <c r="B4777" s="1" t="s">
        <v>5578</v>
      </c>
      <c r="C4777" s="1" t="s">
        <v>3619</v>
      </c>
      <c r="D4777" s="1" t="s">
        <v>3601</v>
      </c>
      <c r="E4777" s="1" t="s">
        <v>3893</v>
      </c>
      <c r="F4777" s="1" t="s">
        <v>17231</v>
      </c>
      <c r="G4777" s="1" t="s">
        <v>5580</v>
      </c>
      <c r="H4777" s="1" t="s">
        <v>3604</v>
      </c>
      <c r="I4777" s="1" t="s">
        <v>17232</v>
      </c>
      <c r="J4777" s="1" t="s">
        <v>3606</v>
      </c>
      <c r="K4777" s="1" t="s">
        <v>17233</v>
      </c>
      <c r="L4777" s="1"/>
      <c r="M4777" s="1"/>
    </row>
    <row x14ac:dyDescent="0.25" r="4778" customHeight="1" ht="18.75">
      <c r="A4778" s="1" t="s">
        <v>3617</v>
      </c>
      <c r="B4778" s="1" t="s">
        <v>5578</v>
      </c>
      <c r="C4778" s="1" t="s">
        <v>3619</v>
      </c>
      <c r="D4778" s="1" t="s">
        <v>3601</v>
      </c>
      <c r="E4778" s="1" t="s">
        <v>3893</v>
      </c>
      <c r="F4778" s="1" t="s">
        <v>17234</v>
      </c>
      <c r="G4778" s="1" t="s">
        <v>5580</v>
      </c>
      <c r="H4778" s="1" t="s">
        <v>3604</v>
      </c>
      <c r="I4778" s="1" t="s">
        <v>17235</v>
      </c>
      <c r="J4778" s="1" t="s">
        <v>3606</v>
      </c>
      <c r="K4778" s="1" t="s">
        <v>17236</v>
      </c>
      <c r="L4778" s="1"/>
      <c r="M4778" s="1"/>
    </row>
    <row x14ac:dyDescent="0.25" r="4779" customHeight="1" ht="18.75">
      <c r="A4779" s="1" t="s">
        <v>3617</v>
      </c>
      <c r="B4779" s="1" t="s">
        <v>5578</v>
      </c>
      <c r="C4779" s="1" t="s">
        <v>3619</v>
      </c>
      <c r="D4779" s="1" t="s">
        <v>3601</v>
      </c>
      <c r="E4779" s="1" t="s">
        <v>3893</v>
      </c>
      <c r="F4779" s="1" t="s">
        <v>17237</v>
      </c>
      <c r="G4779" s="1" t="s">
        <v>5580</v>
      </c>
      <c r="H4779" s="1" t="s">
        <v>3604</v>
      </c>
      <c r="I4779" s="1" t="s">
        <v>17238</v>
      </c>
      <c r="J4779" s="1" t="s">
        <v>3606</v>
      </c>
      <c r="K4779" s="1" t="s">
        <v>17239</v>
      </c>
      <c r="L4779" s="1"/>
      <c r="M4779" s="1"/>
    </row>
    <row x14ac:dyDescent="0.25" r="4780" customHeight="1" ht="18.75">
      <c r="A4780" s="1" t="s">
        <v>3617</v>
      </c>
      <c r="B4780" s="1" t="s">
        <v>5578</v>
      </c>
      <c r="C4780" s="1" t="s">
        <v>3619</v>
      </c>
      <c r="D4780" s="1" t="s">
        <v>3601</v>
      </c>
      <c r="E4780" s="1" t="s">
        <v>3893</v>
      </c>
      <c r="F4780" s="1" t="s">
        <v>17240</v>
      </c>
      <c r="G4780" s="1" t="s">
        <v>5580</v>
      </c>
      <c r="H4780" s="1" t="s">
        <v>3604</v>
      </c>
      <c r="I4780" s="1" t="s">
        <v>17241</v>
      </c>
      <c r="J4780" s="1" t="s">
        <v>3606</v>
      </c>
      <c r="K4780" s="1" t="s">
        <v>17242</v>
      </c>
      <c r="L4780" s="1"/>
      <c r="M4780" s="1"/>
    </row>
    <row x14ac:dyDescent="0.25" r="4781" customHeight="1" ht="18.75">
      <c r="A4781" s="1" t="s">
        <v>3617</v>
      </c>
      <c r="B4781" s="1" t="s">
        <v>5578</v>
      </c>
      <c r="C4781" s="1" t="s">
        <v>3619</v>
      </c>
      <c r="D4781" s="1" t="s">
        <v>3601</v>
      </c>
      <c r="E4781" s="1" t="s">
        <v>3893</v>
      </c>
      <c r="F4781" s="1" t="s">
        <v>17243</v>
      </c>
      <c r="G4781" s="1" t="s">
        <v>5580</v>
      </c>
      <c r="H4781" s="1" t="s">
        <v>3604</v>
      </c>
      <c r="I4781" s="1" t="s">
        <v>17244</v>
      </c>
      <c r="J4781" s="1" t="s">
        <v>3606</v>
      </c>
      <c r="K4781" s="1" t="s">
        <v>12349</v>
      </c>
      <c r="L4781" s="1"/>
      <c r="M4781" s="1"/>
    </row>
    <row x14ac:dyDescent="0.25" r="4782" customHeight="1" ht="18.75">
      <c r="A4782" s="1" t="s">
        <v>3598</v>
      </c>
      <c r="B4782" s="1" t="s">
        <v>5260</v>
      </c>
      <c r="C4782" s="1" t="s">
        <v>3600</v>
      </c>
      <c r="D4782" s="1" t="s">
        <v>3601</v>
      </c>
      <c r="E4782" s="1" t="s">
        <v>3893</v>
      </c>
      <c r="F4782" s="1" t="s">
        <v>17245</v>
      </c>
      <c r="G4782" s="1" t="s">
        <v>17246</v>
      </c>
      <c r="H4782" s="1" t="s">
        <v>3604</v>
      </c>
      <c r="I4782" s="1" t="s">
        <v>17247</v>
      </c>
      <c r="J4782" s="1" t="s">
        <v>3606</v>
      </c>
      <c r="K4782" s="1" t="s">
        <v>17248</v>
      </c>
      <c r="L4782" s="1"/>
      <c r="M4782" s="1"/>
    </row>
    <row x14ac:dyDescent="0.25" r="4783" customHeight="1" ht="18.75">
      <c r="A4783" s="1" t="s">
        <v>3617</v>
      </c>
      <c r="B4783" s="1" t="s">
        <v>5578</v>
      </c>
      <c r="C4783" s="1" t="s">
        <v>3619</v>
      </c>
      <c r="D4783" s="1" t="s">
        <v>3601</v>
      </c>
      <c r="E4783" s="1" t="s">
        <v>3893</v>
      </c>
      <c r="F4783" s="1" t="s">
        <v>17249</v>
      </c>
      <c r="G4783" s="1" t="s">
        <v>5580</v>
      </c>
      <c r="H4783" s="1" t="s">
        <v>3604</v>
      </c>
      <c r="I4783" s="1" t="s">
        <v>17250</v>
      </c>
      <c r="J4783" s="1" t="s">
        <v>3606</v>
      </c>
      <c r="K4783" s="1" t="s">
        <v>17251</v>
      </c>
      <c r="L4783" s="1"/>
      <c r="M4783" s="1"/>
    </row>
    <row x14ac:dyDescent="0.25" r="4784" customHeight="1" ht="18.75">
      <c r="A4784" s="1" t="s">
        <v>3617</v>
      </c>
      <c r="B4784" s="1" t="s">
        <v>5578</v>
      </c>
      <c r="C4784" s="1" t="s">
        <v>3619</v>
      </c>
      <c r="D4784" s="1" t="s">
        <v>3601</v>
      </c>
      <c r="E4784" s="1" t="s">
        <v>3893</v>
      </c>
      <c r="F4784" s="1" t="s">
        <v>17252</v>
      </c>
      <c r="G4784" s="1" t="s">
        <v>5580</v>
      </c>
      <c r="H4784" s="1" t="s">
        <v>3604</v>
      </c>
      <c r="I4784" s="1" t="s">
        <v>17253</v>
      </c>
      <c r="J4784" s="1" t="s">
        <v>3606</v>
      </c>
      <c r="K4784" s="1" t="s">
        <v>17254</v>
      </c>
      <c r="L4784" s="1"/>
      <c r="M4784" s="1"/>
    </row>
    <row x14ac:dyDescent="0.25" r="4785" customHeight="1" ht="18.75">
      <c r="A4785" s="1" t="s">
        <v>3617</v>
      </c>
      <c r="B4785" s="1" t="s">
        <v>5578</v>
      </c>
      <c r="C4785" s="1" t="s">
        <v>3619</v>
      </c>
      <c r="D4785" s="1" t="s">
        <v>3601</v>
      </c>
      <c r="E4785" s="1" t="s">
        <v>3893</v>
      </c>
      <c r="F4785" s="1" t="s">
        <v>17255</v>
      </c>
      <c r="G4785" s="1" t="s">
        <v>5580</v>
      </c>
      <c r="H4785" s="1" t="s">
        <v>3604</v>
      </c>
      <c r="I4785" s="1" t="s">
        <v>17256</v>
      </c>
      <c r="J4785" s="1" t="s">
        <v>3606</v>
      </c>
      <c r="K4785" s="1" t="s">
        <v>17257</v>
      </c>
      <c r="L4785" s="1"/>
      <c r="M4785" s="1"/>
    </row>
    <row x14ac:dyDescent="0.25" r="4786" customHeight="1" ht="18.75">
      <c r="A4786" s="1" t="s">
        <v>3598</v>
      </c>
      <c r="B4786" s="1" t="s">
        <v>17258</v>
      </c>
      <c r="C4786" s="1" t="s">
        <v>3600</v>
      </c>
      <c r="D4786" s="1" t="s">
        <v>3601</v>
      </c>
      <c r="E4786" s="1" t="s">
        <v>3664</v>
      </c>
      <c r="F4786" s="1" t="s">
        <v>17259</v>
      </c>
      <c r="G4786" s="1" t="s">
        <v>17260</v>
      </c>
      <c r="H4786" s="1" t="s">
        <v>3604</v>
      </c>
      <c r="I4786" s="1" t="s">
        <v>17261</v>
      </c>
      <c r="J4786" s="1" t="s">
        <v>3606</v>
      </c>
      <c r="K4786" s="1" t="s">
        <v>17262</v>
      </c>
      <c r="L4786" s="1"/>
      <c r="M4786" s="1"/>
    </row>
    <row x14ac:dyDescent="0.25" r="4787" customHeight="1" ht="18.75">
      <c r="A4787" s="1" t="s">
        <v>3617</v>
      </c>
      <c r="B4787" s="1" t="s">
        <v>5578</v>
      </c>
      <c r="C4787" s="1" t="s">
        <v>3619</v>
      </c>
      <c r="D4787" s="1" t="s">
        <v>3601</v>
      </c>
      <c r="E4787" s="1" t="s">
        <v>3893</v>
      </c>
      <c r="F4787" s="1" t="s">
        <v>17263</v>
      </c>
      <c r="G4787" s="1" t="s">
        <v>5580</v>
      </c>
      <c r="H4787" s="1" t="s">
        <v>3604</v>
      </c>
      <c r="I4787" s="1" t="s">
        <v>17264</v>
      </c>
      <c r="J4787" s="1" t="s">
        <v>3606</v>
      </c>
      <c r="K4787" s="1" t="s">
        <v>17265</v>
      </c>
      <c r="L4787" s="1"/>
      <c r="M4787" s="1"/>
    </row>
    <row x14ac:dyDescent="0.25" r="4788" customHeight="1" ht="18.75">
      <c r="A4788" s="1" t="s">
        <v>3617</v>
      </c>
      <c r="B4788" s="1" t="s">
        <v>5578</v>
      </c>
      <c r="C4788" s="1" t="s">
        <v>3619</v>
      </c>
      <c r="D4788" s="1" t="s">
        <v>3601</v>
      </c>
      <c r="E4788" s="1" t="s">
        <v>3893</v>
      </c>
      <c r="F4788" s="1" t="s">
        <v>17266</v>
      </c>
      <c r="G4788" s="1" t="s">
        <v>5580</v>
      </c>
      <c r="H4788" s="1" t="s">
        <v>3604</v>
      </c>
      <c r="I4788" s="1" t="s">
        <v>17267</v>
      </c>
      <c r="J4788" s="1" t="s">
        <v>3606</v>
      </c>
      <c r="K4788" s="1" t="s">
        <v>17268</v>
      </c>
      <c r="L4788" s="1"/>
      <c r="M4788" s="1"/>
    </row>
    <row x14ac:dyDescent="0.25" r="4789" customHeight="1" ht="18.75">
      <c r="A4789" s="1" t="s">
        <v>3617</v>
      </c>
      <c r="B4789" s="1" t="s">
        <v>5578</v>
      </c>
      <c r="C4789" s="1" t="s">
        <v>3619</v>
      </c>
      <c r="D4789" s="1" t="s">
        <v>3601</v>
      </c>
      <c r="E4789" s="1" t="s">
        <v>3893</v>
      </c>
      <c r="F4789" s="1" t="s">
        <v>17269</v>
      </c>
      <c r="G4789" s="1" t="s">
        <v>5580</v>
      </c>
      <c r="H4789" s="1" t="s">
        <v>3604</v>
      </c>
      <c r="I4789" s="1" t="s">
        <v>17270</v>
      </c>
      <c r="J4789" s="1" t="s">
        <v>3606</v>
      </c>
      <c r="K4789" s="1" t="s">
        <v>17271</v>
      </c>
      <c r="L4789" s="1"/>
      <c r="M4789" s="1"/>
    </row>
    <row x14ac:dyDescent="0.25" r="4790" customHeight="1" ht="18.75">
      <c r="A4790" s="1" t="s">
        <v>3617</v>
      </c>
      <c r="B4790" s="1" t="s">
        <v>5578</v>
      </c>
      <c r="C4790" s="1" t="s">
        <v>3619</v>
      </c>
      <c r="D4790" s="1" t="s">
        <v>3601</v>
      </c>
      <c r="E4790" s="1" t="s">
        <v>3893</v>
      </c>
      <c r="F4790" s="1" t="s">
        <v>17272</v>
      </c>
      <c r="G4790" s="1" t="s">
        <v>5580</v>
      </c>
      <c r="H4790" s="1" t="s">
        <v>3604</v>
      </c>
      <c r="I4790" s="1" t="s">
        <v>17273</v>
      </c>
      <c r="J4790" s="1" t="s">
        <v>3606</v>
      </c>
      <c r="K4790" s="1" t="s">
        <v>17274</v>
      </c>
      <c r="L4790" s="1"/>
      <c r="M4790" s="1"/>
    </row>
    <row x14ac:dyDescent="0.25" r="4791" customHeight="1" ht="18.75">
      <c r="A4791" s="1" t="s">
        <v>3617</v>
      </c>
      <c r="B4791" s="1" t="s">
        <v>5578</v>
      </c>
      <c r="C4791" s="1" t="s">
        <v>3619</v>
      </c>
      <c r="D4791" s="1" t="s">
        <v>3601</v>
      </c>
      <c r="E4791" s="1" t="s">
        <v>3893</v>
      </c>
      <c r="F4791" s="1" t="s">
        <v>17275</v>
      </c>
      <c r="G4791" s="1" t="s">
        <v>5580</v>
      </c>
      <c r="H4791" s="1" t="s">
        <v>3604</v>
      </c>
      <c r="I4791" s="1" t="s">
        <v>17276</v>
      </c>
      <c r="J4791" s="1" t="s">
        <v>3606</v>
      </c>
      <c r="K4791" s="1" t="s">
        <v>17277</v>
      </c>
      <c r="L4791" s="1"/>
      <c r="M4791" s="1"/>
    </row>
    <row x14ac:dyDescent="0.25" r="4792" customHeight="1" ht="18.75">
      <c r="A4792" s="1" t="s">
        <v>3598</v>
      </c>
      <c r="B4792" s="1" t="s">
        <v>3751</v>
      </c>
      <c r="C4792" s="1" t="s">
        <v>3600</v>
      </c>
      <c r="D4792" s="1" t="s">
        <v>3601</v>
      </c>
      <c r="E4792" s="1" t="s">
        <v>3752</v>
      </c>
      <c r="F4792" s="1" t="s">
        <v>17278</v>
      </c>
      <c r="G4792" s="1" t="s">
        <v>17279</v>
      </c>
      <c r="H4792" s="1" t="s">
        <v>3604</v>
      </c>
      <c r="I4792" s="1" t="s">
        <v>17280</v>
      </c>
      <c r="J4792" s="1" t="s">
        <v>3615</v>
      </c>
      <c r="K4792" s="1" t="s">
        <v>17281</v>
      </c>
      <c r="L4792" s="1"/>
      <c r="M4792" s="1"/>
    </row>
    <row x14ac:dyDescent="0.25" r="4793" customHeight="1" ht="18.75">
      <c r="A4793" s="1" t="s">
        <v>3617</v>
      </c>
      <c r="B4793" s="1" t="s">
        <v>5578</v>
      </c>
      <c r="C4793" s="1" t="s">
        <v>3619</v>
      </c>
      <c r="D4793" s="1" t="s">
        <v>3601</v>
      </c>
      <c r="E4793" s="1" t="s">
        <v>3893</v>
      </c>
      <c r="F4793" s="1" t="s">
        <v>17282</v>
      </c>
      <c r="G4793" s="1" t="s">
        <v>5580</v>
      </c>
      <c r="H4793" s="1" t="s">
        <v>3604</v>
      </c>
      <c r="I4793" s="1" t="s">
        <v>17283</v>
      </c>
      <c r="J4793" s="1" t="s">
        <v>3606</v>
      </c>
      <c r="K4793" s="1" t="s">
        <v>17284</v>
      </c>
      <c r="L4793" s="1"/>
      <c r="M4793" s="1"/>
    </row>
    <row x14ac:dyDescent="0.25" r="4794" customHeight="1" ht="18.75">
      <c r="A4794" s="1" t="s">
        <v>3617</v>
      </c>
      <c r="B4794" s="1" t="s">
        <v>5578</v>
      </c>
      <c r="C4794" s="1" t="s">
        <v>3619</v>
      </c>
      <c r="D4794" s="1" t="s">
        <v>3601</v>
      </c>
      <c r="E4794" s="1" t="s">
        <v>3893</v>
      </c>
      <c r="F4794" s="1" t="s">
        <v>17285</v>
      </c>
      <c r="G4794" s="1" t="s">
        <v>5580</v>
      </c>
      <c r="H4794" s="1" t="s">
        <v>3604</v>
      </c>
      <c r="I4794" s="1" t="s">
        <v>17286</v>
      </c>
      <c r="J4794" s="1" t="s">
        <v>3606</v>
      </c>
      <c r="K4794" s="1" t="s">
        <v>17287</v>
      </c>
      <c r="L4794" s="1"/>
      <c r="M4794" s="1"/>
    </row>
    <row x14ac:dyDescent="0.25" r="4795" customHeight="1" ht="18.75">
      <c r="A4795" s="1" t="s">
        <v>3617</v>
      </c>
      <c r="B4795" s="1" t="s">
        <v>5578</v>
      </c>
      <c r="C4795" s="1" t="s">
        <v>3619</v>
      </c>
      <c r="D4795" s="1" t="s">
        <v>3601</v>
      </c>
      <c r="E4795" s="1" t="s">
        <v>3893</v>
      </c>
      <c r="F4795" s="1" t="s">
        <v>17288</v>
      </c>
      <c r="G4795" s="1" t="s">
        <v>5580</v>
      </c>
      <c r="H4795" s="1" t="s">
        <v>3604</v>
      </c>
      <c r="I4795" s="1" t="s">
        <v>17289</v>
      </c>
      <c r="J4795" s="1" t="s">
        <v>3606</v>
      </c>
      <c r="K4795" s="1" t="s">
        <v>17290</v>
      </c>
      <c r="L4795" s="1"/>
      <c r="M4795" s="1"/>
    </row>
    <row x14ac:dyDescent="0.25" r="4796" customHeight="1" ht="18.75">
      <c r="A4796" s="1" t="s">
        <v>3617</v>
      </c>
      <c r="B4796" s="1" t="s">
        <v>5578</v>
      </c>
      <c r="C4796" s="1" t="s">
        <v>3619</v>
      </c>
      <c r="D4796" s="1" t="s">
        <v>3601</v>
      </c>
      <c r="E4796" s="1" t="s">
        <v>3893</v>
      </c>
      <c r="F4796" s="1" t="s">
        <v>17291</v>
      </c>
      <c r="G4796" s="1" t="s">
        <v>5580</v>
      </c>
      <c r="H4796" s="1" t="s">
        <v>3604</v>
      </c>
      <c r="I4796" s="1" t="s">
        <v>17292</v>
      </c>
      <c r="J4796" s="1" t="s">
        <v>3606</v>
      </c>
      <c r="K4796" s="1" t="s">
        <v>17293</v>
      </c>
      <c r="L4796" s="1"/>
      <c r="M4796" s="1"/>
    </row>
    <row x14ac:dyDescent="0.25" r="4797" customHeight="1" ht="18.75">
      <c r="A4797" s="1" t="s">
        <v>3617</v>
      </c>
      <c r="B4797" s="1" t="s">
        <v>5578</v>
      </c>
      <c r="C4797" s="1" t="s">
        <v>3619</v>
      </c>
      <c r="D4797" s="1" t="s">
        <v>3601</v>
      </c>
      <c r="E4797" s="1" t="s">
        <v>3893</v>
      </c>
      <c r="F4797" s="1" t="s">
        <v>17294</v>
      </c>
      <c r="G4797" s="1" t="s">
        <v>5580</v>
      </c>
      <c r="H4797" s="1" t="s">
        <v>3604</v>
      </c>
      <c r="I4797" s="1" t="s">
        <v>17295</v>
      </c>
      <c r="J4797" s="1" t="s">
        <v>3606</v>
      </c>
      <c r="K4797" s="1" t="s">
        <v>17296</v>
      </c>
      <c r="L4797" s="1"/>
      <c r="M4797" s="1"/>
    </row>
    <row x14ac:dyDescent="0.25" r="4798" customHeight="1" ht="18.75">
      <c r="A4798" s="1" t="s">
        <v>3617</v>
      </c>
      <c r="B4798" s="1" t="s">
        <v>5578</v>
      </c>
      <c r="C4798" s="1" t="s">
        <v>3619</v>
      </c>
      <c r="D4798" s="1" t="s">
        <v>3601</v>
      </c>
      <c r="E4798" s="1" t="s">
        <v>3893</v>
      </c>
      <c r="F4798" s="1" t="s">
        <v>17297</v>
      </c>
      <c r="G4798" s="1" t="s">
        <v>5580</v>
      </c>
      <c r="H4798" s="1" t="s">
        <v>3604</v>
      </c>
      <c r="I4798" s="1" t="s">
        <v>17298</v>
      </c>
      <c r="J4798" s="1" t="s">
        <v>3606</v>
      </c>
      <c r="K4798" s="1" t="s">
        <v>17299</v>
      </c>
      <c r="L4798" s="1"/>
      <c r="M4798" s="1"/>
    </row>
    <row x14ac:dyDescent="0.25" r="4799" customHeight="1" ht="18.75">
      <c r="A4799" s="1" t="s">
        <v>3617</v>
      </c>
      <c r="B4799" s="1" t="s">
        <v>5578</v>
      </c>
      <c r="C4799" s="1" t="s">
        <v>3619</v>
      </c>
      <c r="D4799" s="1" t="s">
        <v>3601</v>
      </c>
      <c r="E4799" s="1" t="s">
        <v>3893</v>
      </c>
      <c r="F4799" s="1" t="s">
        <v>17300</v>
      </c>
      <c r="G4799" s="1" t="s">
        <v>5580</v>
      </c>
      <c r="H4799" s="1" t="s">
        <v>3604</v>
      </c>
      <c r="I4799" s="1" t="s">
        <v>17301</v>
      </c>
      <c r="J4799" s="1" t="s">
        <v>3606</v>
      </c>
      <c r="K4799" s="1" t="s">
        <v>17302</v>
      </c>
      <c r="L4799" s="1"/>
      <c r="M4799" s="1"/>
    </row>
    <row x14ac:dyDescent="0.25" r="4800" customHeight="1" ht="18.75">
      <c r="A4800" s="1" t="s">
        <v>3617</v>
      </c>
      <c r="B4800" s="1" t="s">
        <v>5578</v>
      </c>
      <c r="C4800" s="1" t="s">
        <v>3619</v>
      </c>
      <c r="D4800" s="1" t="s">
        <v>3601</v>
      </c>
      <c r="E4800" s="1" t="s">
        <v>3893</v>
      </c>
      <c r="F4800" s="1" t="s">
        <v>17303</v>
      </c>
      <c r="G4800" s="1" t="s">
        <v>5580</v>
      </c>
      <c r="H4800" s="1" t="s">
        <v>3604</v>
      </c>
      <c r="I4800" s="1" t="s">
        <v>17304</v>
      </c>
      <c r="J4800" s="1" t="s">
        <v>3606</v>
      </c>
      <c r="K4800" s="1" t="s">
        <v>17305</v>
      </c>
      <c r="L4800" s="1"/>
      <c r="M4800" s="1"/>
    </row>
    <row x14ac:dyDescent="0.25" r="4801" customHeight="1" ht="18.75">
      <c r="A4801" s="1" t="s">
        <v>3617</v>
      </c>
      <c r="B4801" s="1" t="s">
        <v>5578</v>
      </c>
      <c r="C4801" s="1" t="s">
        <v>3619</v>
      </c>
      <c r="D4801" s="1" t="s">
        <v>3601</v>
      </c>
      <c r="E4801" s="1" t="s">
        <v>3893</v>
      </c>
      <c r="F4801" s="1" t="s">
        <v>17306</v>
      </c>
      <c r="G4801" s="1" t="s">
        <v>5580</v>
      </c>
      <c r="H4801" s="1" t="s">
        <v>3604</v>
      </c>
      <c r="I4801" s="1" t="s">
        <v>17307</v>
      </c>
      <c r="J4801" s="1" t="s">
        <v>3606</v>
      </c>
      <c r="K4801" s="1" t="s">
        <v>17308</v>
      </c>
      <c r="L4801" s="1"/>
      <c r="M4801" s="1"/>
    </row>
    <row x14ac:dyDescent="0.25" r="4802" customHeight="1" ht="18.75">
      <c r="A4802" s="1" t="s">
        <v>3693</v>
      </c>
      <c r="B4802" s="1" t="s">
        <v>4192</v>
      </c>
      <c r="C4802" s="1" t="s">
        <v>3600</v>
      </c>
      <c r="D4802" s="1" t="s">
        <v>533</v>
      </c>
      <c r="E4802" s="1" t="s">
        <v>3611</v>
      </c>
      <c r="F4802" s="1" t="s">
        <v>17309</v>
      </c>
      <c r="G4802" s="1" t="s">
        <v>5284</v>
      </c>
      <c r="H4802" s="1" t="s">
        <v>3604</v>
      </c>
      <c r="I4802" s="1" t="s">
        <v>17310</v>
      </c>
      <c r="J4802" s="1" t="s">
        <v>3615</v>
      </c>
      <c r="K4802" s="1" t="s">
        <v>17311</v>
      </c>
      <c r="L4802" s="1"/>
      <c r="M4802" s="1"/>
    </row>
    <row x14ac:dyDescent="0.25" r="4803" customHeight="1" ht="18.75">
      <c r="A4803" s="1" t="s">
        <v>3693</v>
      </c>
      <c r="B4803" s="1" t="s">
        <v>4192</v>
      </c>
      <c r="C4803" s="1" t="s">
        <v>3600</v>
      </c>
      <c r="D4803" s="1" t="s">
        <v>533</v>
      </c>
      <c r="E4803" s="1" t="s">
        <v>3611</v>
      </c>
      <c r="F4803" s="1" t="s">
        <v>17312</v>
      </c>
      <c r="G4803" s="1" t="s">
        <v>5284</v>
      </c>
      <c r="H4803" s="1" t="s">
        <v>3604</v>
      </c>
      <c r="I4803" s="1" t="s">
        <v>17313</v>
      </c>
      <c r="J4803" s="1" t="s">
        <v>3615</v>
      </c>
      <c r="K4803" s="1" t="s">
        <v>17314</v>
      </c>
      <c r="L4803" s="1"/>
      <c r="M4803" s="1"/>
    </row>
    <row x14ac:dyDescent="0.25" r="4804" customHeight="1" ht="18.75">
      <c r="A4804" s="1" t="s">
        <v>7833</v>
      </c>
      <c r="B4804" s="1" t="s">
        <v>17315</v>
      </c>
      <c r="C4804" s="1" t="s">
        <v>4488</v>
      </c>
      <c r="D4804" s="1" t="s">
        <v>3601</v>
      </c>
      <c r="E4804" s="1"/>
      <c r="F4804" s="1" t="s">
        <v>17316</v>
      </c>
      <c r="G4804" s="1" t="s">
        <v>17315</v>
      </c>
      <c r="H4804" s="1" t="s">
        <v>3604</v>
      </c>
      <c r="I4804" s="1" t="s">
        <v>17317</v>
      </c>
      <c r="J4804" s="1" t="s">
        <v>3606</v>
      </c>
      <c r="K4804" s="1" t="s">
        <v>17318</v>
      </c>
      <c r="L4804" s="1"/>
      <c r="M4804" s="1"/>
    </row>
    <row x14ac:dyDescent="0.25" r="4805" customHeight="1" ht="18.75">
      <c r="A4805" s="1" t="s">
        <v>3693</v>
      </c>
      <c r="B4805" s="1" t="s">
        <v>7026</v>
      </c>
      <c r="C4805" s="1" t="s">
        <v>3600</v>
      </c>
      <c r="D4805" s="1" t="s">
        <v>3695</v>
      </c>
      <c r="E4805" s="1" t="s">
        <v>3611</v>
      </c>
      <c r="F4805" s="1" t="s">
        <v>17319</v>
      </c>
      <c r="G4805" s="1" t="s">
        <v>17320</v>
      </c>
      <c r="H4805" s="1" t="s">
        <v>3604</v>
      </c>
      <c r="I4805" s="1" t="s">
        <v>17321</v>
      </c>
      <c r="J4805" s="1" t="s">
        <v>3615</v>
      </c>
      <c r="K4805" s="1" t="s">
        <v>17322</v>
      </c>
      <c r="L4805" s="1"/>
      <c r="M4805" s="1"/>
    </row>
    <row x14ac:dyDescent="0.25" r="4806" customHeight="1" ht="18.75">
      <c r="A4806" s="1" t="s">
        <v>3617</v>
      </c>
      <c r="B4806" s="1" t="s">
        <v>4582</v>
      </c>
      <c r="C4806" s="1" t="s">
        <v>4488</v>
      </c>
      <c r="D4806" s="1" t="s">
        <v>3601</v>
      </c>
      <c r="E4806" s="1" t="s">
        <v>4478</v>
      </c>
      <c r="F4806" s="1" t="s">
        <v>17323</v>
      </c>
      <c r="G4806" s="1" t="s">
        <v>10946</v>
      </c>
      <c r="H4806" s="1" t="s">
        <v>3604</v>
      </c>
      <c r="I4806" s="1" t="s">
        <v>17324</v>
      </c>
      <c r="J4806" s="1" t="s">
        <v>3606</v>
      </c>
      <c r="K4806" s="1" t="s">
        <v>7997</v>
      </c>
      <c r="L4806" s="1"/>
      <c r="M4806" s="1"/>
    </row>
    <row x14ac:dyDescent="0.25" r="4807" customHeight="1" ht="18.75">
      <c r="A4807" s="1" t="s">
        <v>3617</v>
      </c>
      <c r="B4807" s="1" t="s">
        <v>4477</v>
      </c>
      <c r="C4807" s="1" t="s">
        <v>3619</v>
      </c>
      <c r="D4807" s="1" t="s">
        <v>3601</v>
      </c>
      <c r="E4807" s="1" t="s">
        <v>4478</v>
      </c>
      <c r="F4807" s="1" t="s">
        <v>17323</v>
      </c>
      <c r="G4807" s="1" t="s">
        <v>10744</v>
      </c>
      <c r="H4807" s="1" t="s">
        <v>3604</v>
      </c>
      <c r="I4807" s="1" t="s">
        <v>17325</v>
      </c>
      <c r="J4807" s="1" t="s">
        <v>3606</v>
      </c>
      <c r="K4807" s="1" t="s">
        <v>7997</v>
      </c>
      <c r="L4807" s="1"/>
      <c r="M4807" s="1"/>
    </row>
    <row x14ac:dyDescent="0.25" r="4808" customHeight="1" ht="18.75">
      <c r="A4808" s="1" t="s">
        <v>3693</v>
      </c>
      <c r="B4808" s="1" t="s">
        <v>3957</v>
      </c>
      <c r="C4808" s="1" t="s">
        <v>3600</v>
      </c>
      <c r="D4808" s="1" t="s">
        <v>533</v>
      </c>
      <c r="E4808" s="1" t="s">
        <v>3752</v>
      </c>
      <c r="F4808" s="1" t="s">
        <v>17326</v>
      </c>
      <c r="G4808" s="1" t="s">
        <v>4241</v>
      </c>
      <c r="H4808" s="1" t="s">
        <v>3604</v>
      </c>
      <c r="I4808" s="1" t="s">
        <v>17327</v>
      </c>
      <c r="J4808" s="1" t="s">
        <v>3606</v>
      </c>
      <c r="K4808" s="1" t="s">
        <v>17328</v>
      </c>
      <c r="L4808" s="1"/>
      <c r="M4808" s="1"/>
    </row>
    <row x14ac:dyDescent="0.25" r="4809" customHeight="1" ht="18.75">
      <c r="A4809" s="1" t="s">
        <v>3693</v>
      </c>
      <c r="B4809" s="1" t="s">
        <v>4192</v>
      </c>
      <c r="C4809" s="1" t="s">
        <v>3600</v>
      </c>
      <c r="D4809" s="1" t="s">
        <v>3610</v>
      </c>
      <c r="E4809" s="1" t="s">
        <v>3893</v>
      </c>
      <c r="F4809" s="1" t="s">
        <v>17329</v>
      </c>
      <c r="G4809" s="1" t="s">
        <v>4194</v>
      </c>
      <c r="H4809" s="1" t="s">
        <v>3604</v>
      </c>
      <c r="I4809" s="1" t="s">
        <v>17330</v>
      </c>
      <c r="J4809" s="1" t="s">
        <v>3606</v>
      </c>
      <c r="K4809" s="1" t="s">
        <v>17331</v>
      </c>
      <c r="L4809" s="1"/>
      <c r="M4809" s="1"/>
    </row>
    <row x14ac:dyDescent="0.25" r="4810" customHeight="1" ht="18.75">
      <c r="A4810" s="1" t="s">
        <v>3693</v>
      </c>
      <c r="B4810" s="1" t="s">
        <v>4091</v>
      </c>
      <c r="C4810" s="1" t="s">
        <v>3600</v>
      </c>
      <c r="D4810" s="1" t="s">
        <v>3695</v>
      </c>
      <c r="E4810" s="1" t="s">
        <v>3893</v>
      </c>
      <c r="F4810" s="1" t="s">
        <v>17332</v>
      </c>
      <c r="G4810" s="1" t="s">
        <v>4344</v>
      </c>
      <c r="H4810" s="1" t="s">
        <v>3604</v>
      </c>
      <c r="I4810" s="1" t="s">
        <v>17333</v>
      </c>
      <c r="J4810" s="1" t="s">
        <v>3606</v>
      </c>
      <c r="K4810" s="1" t="s">
        <v>17334</v>
      </c>
      <c r="L4810" s="1"/>
      <c r="M4810" s="1"/>
    </row>
    <row x14ac:dyDescent="0.25" r="4811" customHeight="1" ht="18.75">
      <c r="A4811" s="1" t="s">
        <v>3693</v>
      </c>
      <c r="B4811" s="1" t="s">
        <v>4091</v>
      </c>
      <c r="C4811" s="1" t="s">
        <v>3600</v>
      </c>
      <c r="D4811" s="1" t="s">
        <v>3695</v>
      </c>
      <c r="E4811" s="1" t="s">
        <v>3893</v>
      </c>
      <c r="F4811" s="1" t="s">
        <v>17335</v>
      </c>
      <c r="G4811" s="1" t="s">
        <v>4515</v>
      </c>
      <c r="H4811" s="1" t="s">
        <v>3604</v>
      </c>
      <c r="I4811" s="1" t="s">
        <v>17336</v>
      </c>
      <c r="J4811" s="1" t="s">
        <v>3606</v>
      </c>
      <c r="K4811" s="1" t="s">
        <v>17337</v>
      </c>
      <c r="L4811" s="1"/>
      <c r="M4811" s="1"/>
    </row>
    <row x14ac:dyDescent="0.25" r="4812" customHeight="1" ht="18.75">
      <c r="A4812" s="1" t="s">
        <v>3693</v>
      </c>
      <c r="B4812" s="1" t="s">
        <v>4247</v>
      </c>
      <c r="C4812" s="1" t="s">
        <v>3600</v>
      </c>
      <c r="D4812" s="1" t="s">
        <v>533</v>
      </c>
      <c r="E4812" s="1" t="s">
        <v>3664</v>
      </c>
      <c r="F4812" s="1" t="s">
        <v>17338</v>
      </c>
      <c r="G4812" s="1" t="s">
        <v>9786</v>
      </c>
      <c r="H4812" s="1" t="s">
        <v>3604</v>
      </c>
      <c r="I4812" s="1" t="s">
        <v>17339</v>
      </c>
      <c r="J4812" s="1" t="s">
        <v>3615</v>
      </c>
      <c r="K4812" s="1" t="s">
        <v>17340</v>
      </c>
      <c r="L4812" s="1"/>
      <c r="M4812" s="1"/>
    </row>
    <row x14ac:dyDescent="0.25" r="4813" customHeight="1" ht="18.75">
      <c r="A4813" s="1" t="s">
        <v>3693</v>
      </c>
      <c r="B4813" s="1" t="s">
        <v>3720</v>
      </c>
      <c r="C4813" s="1" t="s">
        <v>3619</v>
      </c>
      <c r="D4813" s="1" t="s">
        <v>14146</v>
      </c>
      <c r="E4813" s="1" t="s">
        <v>3664</v>
      </c>
      <c r="F4813" s="1" t="s">
        <v>17341</v>
      </c>
      <c r="G4813" s="1" t="s">
        <v>17342</v>
      </c>
      <c r="H4813" s="1" t="s">
        <v>3604</v>
      </c>
      <c r="I4813" s="1" t="s">
        <v>17343</v>
      </c>
      <c r="J4813" s="1" t="s">
        <v>3615</v>
      </c>
      <c r="K4813" s="1" t="s">
        <v>17344</v>
      </c>
      <c r="L4813" s="1"/>
      <c r="M4813" s="1"/>
    </row>
    <row x14ac:dyDescent="0.25" r="4814" customHeight="1" ht="18.75">
      <c r="A4814" s="1" t="s">
        <v>3598</v>
      </c>
      <c r="B4814" s="1" t="s">
        <v>8651</v>
      </c>
      <c r="C4814" s="1" t="s">
        <v>3600</v>
      </c>
      <c r="D4814" s="1" t="s">
        <v>3601</v>
      </c>
      <c r="E4814" s="1"/>
      <c r="F4814" s="1" t="s">
        <v>17345</v>
      </c>
      <c r="G4814" s="1" t="s">
        <v>8653</v>
      </c>
      <c r="H4814" s="1" t="s">
        <v>3604</v>
      </c>
      <c r="I4814" s="1" t="s">
        <v>17346</v>
      </c>
      <c r="J4814" s="1" t="s">
        <v>3606</v>
      </c>
      <c r="K4814" s="1" t="s">
        <v>17347</v>
      </c>
      <c r="L4814" s="1"/>
      <c r="M4814" s="1"/>
    </row>
    <row x14ac:dyDescent="0.25" r="4815" customHeight="1" ht="18.75">
      <c r="A4815" s="1" t="s">
        <v>3693</v>
      </c>
      <c r="B4815" s="1" t="s">
        <v>4192</v>
      </c>
      <c r="C4815" s="1" t="s">
        <v>3600</v>
      </c>
      <c r="D4815" s="1" t="s">
        <v>3610</v>
      </c>
      <c r="E4815" s="1" t="s">
        <v>3893</v>
      </c>
      <c r="F4815" s="1" t="s">
        <v>17348</v>
      </c>
      <c r="G4815" s="1" t="s">
        <v>4349</v>
      </c>
      <c r="H4815" s="1" t="s">
        <v>3604</v>
      </c>
      <c r="I4815" s="1" t="s">
        <v>17349</v>
      </c>
      <c r="J4815" s="1" t="s">
        <v>3606</v>
      </c>
      <c r="K4815" s="1" t="s">
        <v>17350</v>
      </c>
      <c r="L4815" s="1"/>
      <c r="M4815" s="1"/>
    </row>
    <row x14ac:dyDescent="0.25" r="4816" customHeight="1" ht="18.75">
      <c r="A4816" s="1" t="s">
        <v>3598</v>
      </c>
      <c r="B4816" s="1" t="s">
        <v>16129</v>
      </c>
      <c r="C4816" s="1" t="s">
        <v>3600</v>
      </c>
      <c r="D4816" s="1" t="s">
        <v>3601</v>
      </c>
      <c r="E4816" s="1"/>
      <c r="F4816" s="1" t="s">
        <v>17351</v>
      </c>
      <c r="G4816" s="1" t="s">
        <v>16131</v>
      </c>
      <c r="H4816" s="1" t="s">
        <v>3604</v>
      </c>
      <c r="I4816" s="1" t="s">
        <v>17352</v>
      </c>
      <c r="J4816" s="1" t="s">
        <v>3606</v>
      </c>
      <c r="K4816" s="1" t="s">
        <v>17353</v>
      </c>
      <c r="L4816" s="1"/>
      <c r="M4816" s="1"/>
    </row>
    <row x14ac:dyDescent="0.25" r="4817" customHeight="1" ht="18.75">
      <c r="A4817" s="1" t="s">
        <v>3693</v>
      </c>
      <c r="B4817" s="1" t="s">
        <v>4192</v>
      </c>
      <c r="C4817" s="1" t="s">
        <v>3600</v>
      </c>
      <c r="D4817" s="1" t="s">
        <v>3610</v>
      </c>
      <c r="E4817" s="1" t="s">
        <v>3893</v>
      </c>
      <c r="F4817" s="1" t="s">
        <v>17354</v>
      </c>
      <c r="G4817" s="1" t="s">
        <v>4349</v>
      </c>
      <c r="H4817" s="1" t="s">
        <v>3604</v>
      </c>
      <c r="I4817" s="1" t="s">
        <v>17355</v>
      </c>
      <c r="J4817" s="1" t="s">
        <v>3606</v>
      </c>
      <c r="K4817" s="1" t="s">
        <v>17356</v>
      </c>
      <c r="L4817" s="1"/>
      <c r="M4817" s="1"/>
    </row>
    <row x14ac:dyDescent="0.25" r="4818" customHeight="1" ht="18.75">
      <c r="A4818" s="1" t="s">
        <v>3598</v>
      </c>
      <c r="B4818" s="1" t="s">
        <v>16075</v>
      </c>
      <c r="C4818" s="1" t="s">
        <v>3600</v>
      </c>
      <c r="D4818" s="1" t="s">
        <v>3601</v>
      </c>
      <c r="E4818" s="1"/>
      <c r="F4818" s="1" t="s">
        <v>17357</v>
      </c>
      <c r="G4818" s="1" t="s">
        <v>16077</v>
      </c>
      <c r="H4818" s="1" t="s">
        <v>3604</v>
      </c>
      <c r="I4818" s="1" t="s">
        <v>17358</v>
      </c>
      <c r="J4818" s="1" t="s">
        <v>3606</v>
      </c>
      <c r="K4818" s="1" t="s">
        <v>17359</v>
      </c>
      <c r="L4818" s="1"/>
      <c r="M4818" s="1"/>
    </row>
    <row x14ac:dyDescent="0.25" r="4819" customHeight="1" ht="18.75">
      <c r="A4819" s="1" t="s">
        <v>3598</v>
      </c>
      <c r="B4819" s="1" t="s">
        <v>16115</v>
      </c>
      <c r="C4819" s="1" t="s">
        <v>3600</v>
      </c>
      <c r="D4819" s="1" t="s">
        <v>3601</v>
      </c>
      <c r="E4819" s="1"/>
      <c r="F4819" s="1" t="s">
        <v>17360</v>
      </c>
      <c r="G4819" s="1" t="s">
        <v>16117</v>
      </c>
      <c r="H4819" s="1" t="s">
        <v>3604</v>
      </c>
      <c r="I4819" s="1" t="s">
        <v>17361</v>
      </c>
      <c r="J4819" s="1" t="s">
        <v>3606</v>
      </c>
      <c r="K4819" s="1" t="s">
        <v>17362</v>
      </c>
      <c r="L4819" s="1"/>
      <c r="M4819" s="1"/>
    </row>
    <row x14ac:dyDescent="0.25" r="4820" customHeight="1" ht="18.75">
      <c r="A4820" s="1" t="s">
        <v>3693</v>
      </c>
      <c r="B4820" s="1" t="s">
        <v>4247</v>
      </c>
      <c r="C4820" s="1" t="s">
        <v>3600</v>
      </c>
      <c r="D4820" s="1" t="s">
        <v>3601</v>
      </c>
      <c r="E4820" s="1" t="s">
        <v>3611</v>
      </c>
      <c r="F4820" s="1" t="s">
        <v>17363</v>
      </c>
      <c r="G4820" s="1" t="s">
        <v>4384</v>
      </c>
      <c r="H4820" s="1" t="s">
        <v>3604</v>
      </c>
      <c r="I4820" s="1" t="s">
        <v>17364</v>
      </c>
      <c r="J4820" s="1" t="s">
        <v>3615</v>
      </c>
      <c r="K4820" s="1" t="s">
        <v>17365</v>
      </c>
      <c r="L4820" s="1"/>
      <c r="M4820" s="1"/>
    </row>
    <row x14ac:dyDescent="0.25" r="4821" customHeight="1" ht="18.75">
      <c r="A4821" s="1" t="s">
        <v>3693</v>
      </c>
      <c r="B4821" s="1" t="s">
        <v>4083</v>
      </c>
      <c r="C4821" s="1" t="s">
        <v>3600</v>
      </c>
      <c r="D4821" s="1" t="s">
        <v>3610</v>
      </c>
      <c r="E4821" s="1" t="s">
        <v>3893</v>
      </c>
      <c r="F4821" s="1" t="s">
        <v>17366</v>
      </c>
      <c r="G4821" s="1" t="s">
        <v>4428</v>
      </c>
      <c r="H4821" s="1" t="s">
        <v>3604</v>
      </c>
      <c r="I4821" s="1" t="s">
        <v>17367</v>
      </c>
      <c r="J4821" s="1" t="s">
        <v>3606</v>
      </c>
      <c r="K4821" s="1" t="s">
        <v>17368</v>
      </c>
      <c r="L4821" s="1"/>
      <c r="M4821" s="1"/>
    </row>
    <row x14ac:dyDescent="0.25" r="4822" customHeight="1" ht="18.75">
      <c r="A4822" s="1" t="s">
        <v>3693</v>
      </c>
      <c r="B4822" s="1" t="s">
        <v>4247</v>
      </c>
      <c r="C4822" s="1" t="s">
        <v>3600</v>
      </c>
      <c r="D4822" s="1" t="s">
        <v>3601</v>
      </c>
      <c r="E4822" s="1" t="s">
        <v>3893</v>
      </c>
      <c r="F4822" s="1" t="s">
        <v>17369</v>
      </c>
      <c r="G4822" s="1" t="s">
        <v>4384</v>
      </c>
      <c r="H4822" s="1" t="s">
        <v>3604</v>
      </c>
      <c r="I4822" s="1" t="s">
        <v>17370</v>
      </c>
      <c r="J4822" s="1" t="s">
        <v>3606</v>
      </c>
      <c r="K4822" s="1" t="s">
        <v>17371</v>
      </c>
      <c r="L4822" s="1"/>
      <c r="M4822" s="1"/>
    </row>
    <row x14ac:dyDescent="0.25" r="4823" customHeight="1" ht="18.75">
      <c r="A4823" s="1" t="s">
        <v>3693</v>
      </c>
      <c r="B4823" s="1" t="s">
        <v>4247</v>
      </c>
      <c r="C4823" s="1" t="s">
        <v>3600</v>
      </c>
      <c r="D4823" s="1" t="s">
        <v>3601</v>
      </c>
      <c r="E4823" s="1" t="s">
        <v>3893</v>
      </c>
      <c r="F4823" s="1" t="s">
        <v>17372</v>
      </c>
      <c r="G4823" s="1" t="s">
        <v>4384</v>
      </c>
      <c r="H4823" s="1" t="s">
        <v>3604</v>
      </c>
      <c r="I4823" s="1" t="s">
        <v>17373</v>
      </c>
      <c r="J4823" s="1" t="s">
        <v>3606</v>
      </c>
      <c r="K4823" s="1"/>
      <c r="L4823" s="1"/>
      <c r="M4823" s="1"/>
    </row>
    <row x14ac:dyDescent="0.25" r="4824" customHeight="1" ht="18.75">
      <c r="A4824" s="1" t="s">
        <v>3693</v>
      </c>
      <c r="B4824" s="1" t="s">
        <v>4247</v>
      </c>
      <c r="C4824" s="1" t="s">
        <v>3600</v>
      </c>
      <c r="D4824" s="1" t="s">
        <v>3601</v>
      </c>
      <c r="E4824" s="1" t="s">
        <v>3893</v>
      </c>
      <c r="F4824" s="1" t="s">
        <v>17374</v>
      </c>
      <c r="G4824" s="1" t="s">
        <v>4384</v>
      </c>
      <c r="H4824" s="1" t="s">
        <v>3604</v>
      </c>
      <c r="I4824" s="1" t="s">
        <v>17375</v>
      </c>
      <c r="J4824" s="1" t="s">
        <v>3606</v>
      </c>
      <c r="K4824" s="1"/>
      <c r="L4824" s="1"/>
      <c r="M4824" s="1"/>
    </row>
    <row x14ac:dyDescent="0.25" r="4825" customHeight="1" ht="18.75">
      <c r="A4825" s="1" t="s">
        <v>3693</v>
      </c>
      <c r="B4825" s="1" t="s">
        <v>4091</v>
      </c>
      <c r="C4825" s="1" t="s">
        <v>3600</v>
      </c>
      <c r="D4825" s="1" t="s">
        <v>3610</v>
      </c>
      <c r="E4825" s="1" t="s">
        <v>3893</v>
      </c>
      <c r="F4825" s="1" t="s">
        <v>17376</v>
      </c>
      <c r="G4825" s="1" t="s">
        <v>17377</v>
      </c>
      <c r="H4825" s="1" t="s">
        <v>3604</v>
      </c>
      <c r="I4825" s="1" t="s">
        <v>17378</v>
      </c>
      <c r="J4825" s="1" t="s">
        <v>3606</v>
      </c>
      <c r="K4825" s="1" t="s">
        <v>17379</v>
      </c>
      <c r="L4825" s="1"/>
      <c r="M4825" s="1"/>
    </row>
    <row x14ac:dyDescent="0.25" r="4826" customHeight="1" ht="18.75">
      <c r="A4826" s="1" t="s">
        <v>3598</v>
      </c>
      <c r="B4826" s="1" t="s">
        <v>4685</v>
      </c>
      <c r="C4826" s="1" t="s">
        <v>3600</v>
      </c>
      <c r="D4826" s="1" t="s">
        <v>3601</v>
      </c>
      <c r="E4826" s="1" t="s">
        <v>3664</v>
      </c>
      <c r="F4826" s="1" t="s">
        <v>17380</v>
      </c>
      <c r="G4826" s="1" t="s">
        <v>17381</v>
      </c>
      <c r="H4826" s="1" t="s">
        <v>3604</v>
      </c>
      <c r="I4826" s="1" t="s">
        <v>17382</v>
      </c>
      <c r="J4826" s="1" t="s">
        <v>3606</v>
      </c>
      <c r="K4826" s="1" t="s">
        <v>17383</v>
      </c>
      <c r="L4826" s="1"/>
      <c r="M4826" s="1"/>
    </row>
    <row x14ac:dyDescent="0.25" r="4827" customHeight="1" ht="18.75">
      <c r="A4827" s="1" t="s">
        <v>3598</v>
      </c>
      <c r="B4827" s="1" t="s">
        <v>4685</v>
      </c>
      <c r="C4827" s="1" t="s">
        <v>3600</v>
      </c>
      <c r="D4827" s="1" t="s">
        <v>3601</v>
      </c>
      <c r="E4827" s="1" t="s">
        <v>3664</v>
      </c>
      <c r="F4827" s="1" t="s">
        <v>17384</v>
      </c>
      <c r="G4827" s="1" t="s">
        <v>17385</v>
      </c>
      <c r="H4827" s="1" t="s">
        <v>3604</v>
      </c>
      <c r="I4827" s="1" t="s">
        <v>17386</v>
      </c>
      <c r="J4827" s="1" t="s">
        <v>3606</v>
      </c>
      <c r="K4827" s="1" t="s">
        <v>17387</v>
      </c>
      <c r="L4827" s="1"/>
      <c r="M4827" s="1"/>
    </row>
    <row x14ac:dyDescent="0.25" r="4828" customHeight="1" ht="18.75">
      <c r="A4828" s="1" t="s">
        <v>3598</v>
      </c>
      <c r="B4828" s="1" t="s">
        <v>16092</v>
      </c>
      <c r="C4828" s="1" t="s">
        <v>3600</v>
      </c>
      <c r="D4828" s="1" t="s">
        <v>3601</v>
      </c>
      <c r="E4828" s="1"/>
      <c r="F4828" s="1" t="s">
        <v>17388</v>
      </c>
      <c r="G4828" s="1" t="s">
        <v>16094</v>
      </c>
      <c r="H4828" s="1" t="s">
        <v>3604</v>
      </c>
      <c r="I4828" s="1" t="s">
        <v>17389</v>
      </c>
      <c r="J4828" s="1" t="s">
        <v>3606</v>
      </c>
      <c r="K4828" s="1" t="s">
        <v>17390</v>
      </c>
      <c r="L4828" s="1"/>
      <c r="M4828" s="1"/>
    </row>
    <row x14ac:dyDescent="0.25" r="4829" customHeight="1" ht="18.75">
      <c r="A4829" s="1" t="s">
        <v>3598</v>
      </c>
      <c r="B4829" s="1" t="s">
        <v>14132</v>
      </c>
      <c r="C4829" s="1" t="s">
        <v>3600</v>
      </c>
      <c r="D4829" s="1" t="s">
        <v>3601</v>
      </c>
      <c r="E4829" s="1" t="s">
        <v>3664</v>
      </c>
      <c r="F4829" s="1" t="s">
        <v>17391</v>
      </c>
      <c r="G4829" s="1" t="s">
        <v>17385</v>
      </c>
      <c r="H4829" s="1" t="s">
        <v>3604</v>
      </c>
      <c r="I4829" s="1" t="s">
        <v>17392</v>
      </c>
      <c r="J4829" s="1" t="s">
        <v>3606</v>
      </c>
      <c r="K4829" s="1" t="s">
        <v>17393</v>
      </c>
      <c r="L4829" s="1"/>
      <c r="M4829" s="1"/>
    </row>
    <row x14ac:dyDescent="0.25" r="4830" customHeight="1" ht="18.75">
      <c r="A4830" s="1" t="s">
        <v>3598</v>
      </c>
      <c r="B4830" s="1" t="s">
        <v>17394</v>
      </c>
      <c r="C4830" s="1" t="s">
        <v>3600</v>
      </c>
      <c r="D4830" s="1" t="s">
        <v>3601</v>
      </c>
      <c r="E4830" s="1" t="s">
        <v>3664</v>
      </c>
      <c r="F4830" s="1" t="s">
        <v>17395</v>
      </c>
      <c r="G4830" s="1" t="s">
        <v>17381</v>
      </c>
      <c r="H4830" s="1" t="s">
        <v>3604</v>
      </c>
      <c r="I4830" s="1" t="s">
        <v>17396</v>
      </c>
      <c r="J4830" s="1" t="s">
        <v>3606</v>
      </c>
      <c r="K4830" s="1" t="s">
        <v>17397</v>
      </c>
      <c r="L4830" s="1"/>
      <c r="M4830" s="1"/>
    </row>
    <row x14ac:dyDescent="0.25" r="4831" customHeight="1" ht="18.75">
      <c r="A4831" s="1" t="s">
        <v>3693</v>
      </c>
      <c r="B4831" s="1" t="s">
        <v>4247</v>
      </c>
      <c r="C4831" s="1" t="s">
        <v>3600</v>
      </c>
      <c r="D4831" s="1" t="s">
        <v>7932</v>
      </c>
      <c r="E4831" s="1" t="s">
        <v>3611</v>
      </c>
      <c r="F4831" s="1" t="s">
        <v>17398</v>
      </c>
      <c r="G4831" s="1" t="s">
        <v>17399</v>
      </c>
      <c r="H4831" s="1" t="s">
        <v>3604</v>
      </c>
      <c r="I4831" s="1" t="s">
        <v>17400</v>
      </c>
      <c r="J4831" s="1" t="s">
        <v>3606</v>
      </c>
      <c r="K4831" s="1" t="s">
        <v>17401</v>
      </c>
      <c r="L4831" s="1"/>
      <c r="M4831" s="1"/>
    </row>
    <row x14ac:dyDescent="0.25" r="4832" customHeight="1" ht="18.75">
      <c r="A4832" s="1" t="s">
        <v>3693</v>
      </c>
      <c r="B4832" s="1" t="s">
        <v>4192</v>
      </c>
      <c r="C4832" s="1" t="s">
        <v>3600</v>
      </c>
      <c r="D4832" s="1" t="s">
        <v>533</v>
      </c>
      <c r="E4832" s="1" t="s">
        <v>3611</v>
      </c>
      <c r="F4832" s="1" t="s">
        <v>17402</v>
      </c>
      <c r="G4832" s="1" t="s">
        <v>5284</v>
      </c>
      <c r="H4832" s="1" t="s">
        <v>3604</v>
      </c>
      <c r="I4832" s="1" t="s">
        <v>17403</v>
      </c>
      <c r="J4832" s="1" t="s">
        <v>3615</v>
      </c>
      <c r="K4832" s="1" t="s">
        <v>17404</v>
      </c>
      <c r="L4832" s="1"/>
      <c r="M4832" s="1"/>
    </row>
    <row x14ac:dyDescent="0.25" r="4833" customHeight="1" ht="18.75">
      <c r="A4833" s="1" t="s">
        <v>3693</v>
      </c>
      <c r="B4833" s="1" t="s">
        <v>4083</v>
      </c>
      <c r="C4833" s="1" t="s">
        <v>3600</v>
      </c>
      <c r="D4833" s="1" t="s">
        <v>3610</v>
      </c>
      <c r="E4833" s="1" t="s">
        <v>3893</v>
      </c>
      <c r="F4833" s="1" t="s">
        <v>17405</v>
      </c>
      <c r="G4833" s="1" t="s">
        <v>4346</v>
      </c>
      <c r="H4833" s="1" t="s">
        <v>3604</v>
      </c>
      <c r="I4833" s="1" t="s">
        <v>17406</v>
      </c>
      <c r="J4833" s="1" t="s">
        <v>3606</v>
      </c>
      <c r="K4833" s="1" t="s">
        <v>17407</v>
      </c>
      <c r="L4833" s="1"/>
      <c r="M4833" s="1"/>
    </row>
    <row x14ac:dyDescent="0.25" r="4834" customHeight="1" ht="18.75">
      <c r="A4834" s="1" t="s">
        <v>3693</v>
      </c>
      <c r="B4834" s="1" t="s">
        <v>4247</v>
      </c>
      <c r="C4834" s="1" t="s">
        <v>3600</v>
      </c>
      <c r="D4834" s="1" t="s">
        <v>3601</v>
      </c>
      <c r="E4834" s="1" t="s">
        <v>3664</v>
      </c>
      <c r="F4834" s="1" t="s">
        <v>17408</v>
      </c>
      <c r="G4834" s="1" t="s">
        <v>4249</v>
      </c>
      <c r="H4834" s="1" t="s">
        <v>3604</v>
      </c>
      <c r="I4834" s="1" t="s">
        <v>17409</v>
      </c>
      <c r="J4834" s="1" t="s">
        <v>3615</v>
      </c>
      <c r="K4834" s="1" t="s">
        <v>17410</v>
      </c>
      <c r="L4834" s="1"/>
      <c r="M4834" s="1"/>
    </row>
    <row x14ac:dyDescent="0.25" r="4835" customHeight="1" ht="18.75">
      <c r="A4835" s="1" t="s">
        <v>3693</v>
      </c>
      <c r="B4835" s="1" t="s">
        <v>4247</v>
      </c>
      <c r="C4835" s="1" t="s">
        <v>3600</v>
      </c>
      <c r="D4835" s="1" t="s">
        <v>3601</v>
      </c>
      <c r="E4835" s="1" t="s">
        <v>3664</v>
      </c>
      <c r="F4835" s="1" t="s">
        <v>17411</v>
      </c>
      <c r="G4835" s="1" t="s">
        <v>4249</v>
      </c>
      <c r="H4835" s="1" t="s">
        <v>3604</v>
      </c>
      <c r="I4835" s="1" t="s">
        <v>17412</v>
      </c>
      <c r="J4835" s="1" t="s">
        <v>3615</v>
      </c>
      <c r="K4835" s="1" t="s">
        <v>17413</v>
      </c>
      <c r="L4835" s="1"/>
      <c r="M4835" s="1"/>
    </row>
    <row x14ac:dyDescent="0.25" r="4836" customHeight="1" ht="18.75">
      <c r="A4836" s="1" t="s">
        <v>3693</v>
      </c>
      <c r="B4836" s="1" t="s">
        <v>4162</v>
      </c>
      <c r="C4836" s="1" t="s">
        <v>3619</v>
      </c>
      <c r="D4836" s="1" t="s">
        <v>3601</v>
      </c>
      <c r="E4836" s="1" t="s">
        <v>3664</v>
      </c>
      <c r="F4836" s="1" t="s">
        <v>17414</v>
      </c>
      <c r="G4836" s="1" t="s">
        <v>9096</v>
      </c>
      <c r="H4836" s="1" t="s">
        <v>3604</v>
      </c>
      <c r="I4836" s="1" t="s">
        <v>17415</v>
      </c>
      <c r="J4836" s="1" t="s">
        <v>3606</v>
      </c>
      <c r="K4836" s="1" t="s">
        <v>17416</v>
      </c>
      <c r="L4836" s="1"/>
      <c r="M4836" s="1"/>
    </row>
    <row x14ac:dyDescent="0.25" r="4837" customHeight="1" ht="18.75">
      <c r="A4837" s="1" t="s">
        <v>3693</v>
      </c>
      <c r="B4837" s="1" t="s">
        <v>4162</v>
      </c>
      <c r="C4837" s="1" t="s">
        <v>3619</v>
      </c>
      <c r="D4837" s="1" t="s">
        <v>3601</v>
      </c>
      <c r="E4837" s="1" t="s">
        <v>3664</v>
      </c>
      <c r="F4837" s="1" t="s">
        <v>17417</v>
      </c>
      <c r="G4837" s="1" t="s">
        <v>17418</v>
      </c>
      <c r="H4837" s="1" t="s">
        <v>3604</v>
      </c>
      <c r="I4837" s="1" t="s">
        <v>17419</v>
      </c>
      <c r="J4837" s="1" t="s">
        <v>3606</v>
      </c>
      <c r="K4837" s="1" t="s">
        <v>17420</v>
      </c>
      <c r="L4837" s="1"/>
      <c r="M4837" s="1"/>
    </row>
    <row x14ac:dyDescent="0.25" r="4838" customHeight="1" ht="18.75">
      <c r="A4838" s="1" t="s">
        <v>3693</v>
      </c>
      <c r="B4838" s="1" t="s">
        <v>4091</v>
      </c>
      <c r="C4838" s="1" t="s">
        <v>3600</v>
      </c>
      <c r="D4838" s="1" t="s">
        <v>3610</v>
      </c>
      <c r="E4838" s="1" t="s">
        <v>3893</v>
      </c>
      <c r="F4838" s="1" t="s">
        <v>17421</v>
      </c>
      <c r="G4838" s="1" t="s">
        <v>4346</v>
      </c>
      <c r="H4838" s="1" t="s">
        <v>3604</v>
      </c>
      <c r="I4838" s="1" t="s">
        <v>17422</v>
      </c>
      <c r="J4838" s="1" t="s">
        <v>3606</v>
      </c>
      <c r="K4838" s="1" t="s">
        <v>17423</v>
      </c>
      <c r="L4838" s="1"/>
      <c r="M4838" s="1"/>
    </row>
    <row x14ac:dyDescent="0.25" r="4839" customHeight="1" ht="18.75">
      <c r="A4839" s="1" t="s">
        <v>3693</v>
      </c>
      <c r="B4839" s="1" t="s">
        <v>4083</v>
      </c>
      <c r="C4839" s="1" t="s">
        <v>3600</v>
      </c>
      <c r="D4839" s="1" t="s">
        <v>3695</v>
      </c>
      <c r="E4839" s="1" t="s">
        <v>3893</v>
      </c>
      <c r="F4839" s="1" t="s">
        <v>17424</v>
      </c>
      <c r="G4839" s="1" t="s">
        <v>4428</v>
      </c>
      <c r="H4839" s="1" t="s">
        <v>3604</v>
      </c>
      <c r="I4839" s="1" t="s">
        <v>17425</v>
      </c>
      <c r="J4839" s="1" t="s">
        <v>3615</v>
      </c>
      <c r="K4839" s="1" t="s">
        <v>17426</v>
      </c>
      <c r="L4839" s="1"/>
      <c r="M4839" s="1"/>
    </row>
    <row x14ac:dyDescent="0.25" r="4840" customHeight="1" ht="18.75">
      <c r="A4840" s="1" t="s">
        <v>3617</v>
      </c>
      <c r="B4840" s="1" t="s">
        <v>4582</v>
      </c>
      <c r="C4840" s="1" t="s">
        <v>4488</v>
      </c>
      <c r="D4840" s="1" t="s">
        <v>3610</v>
      </c>
      <c r="E4840" s="1" t="s">
        <v>4478</v>
      </c>
      <c r="F4840" s="1" t="s">
        <v>17427</v>
      </c>
      <c r="G4840" s="1" t="s">
        <v>5141</v>
      </c>
      <c r="H4840" s="1" t="s">
        <v>3604</v>
      </c>
      <c r="I4840" s="1" t="s">
        <v>17428</v>
      </c>
      <c r="J4840" s="1" t="s">
        <v>3606</v>
      </c>
      <c r="K4840" s="1" t="s">
        <v>17429</v>
      </c>
      <c r="L4840" s="1" t="s">
        <v>3616</v>
      </c>
      <c r="M4840" s="1"/>
    </row>
    <row x14ac:dyDescent="0.25" r="4841" customHeight="1" ht="18.75">
      <c r="A4841" s="1" t="s">
        <v>3617</v>
      </c>
      <c r="B4841" s="1" t="s">
        <v>3729</v>
      </c>
      <c r="C4841" s="1" t="s">
        <v>3619</v>
      </c>
      <c r="D4841" s="1" t="s">
        <v>3610</v>
      </c>
      <c r="E4841" s="1" t="s">
        <v>4478</v>
      </c>
      <c r="F4841" s="1" t="s">
        <v>17430</v>
      </c>
      <c r="G4841" s="1" t="s">
        <v>8534</v>
      </c>
      <c r="H4841" s="1" t="s">
        <v>3604</v>
      </c>
      <c r="I4841" s="1" t="s">
        <v>17431</v>
      </c>
      <c r="J4841" s="1" t="s">
        <v>3606</v>
      </c>
      <c r="K4841" s="1" t="s">
        <v>10727</v>
      </c>
      <c r="L4841" s="1" t="s">
        <v>3616</v>
      </c>
      <c r="M4841" s="1"/>
    </row>
    <row x14ac:dyDescent="0.25" r="4842" customHeight="1" ht="18.75">
      <c r="A4842" s="1" t="s">
        <v>3617</v>
      </c>
      <c r="B4842" s="1" t="s">
        <v>3729</v>
      </c>
      <c r="C4842" s="1" t="s">
        <v>3619</v>
      </c>
      <c r="D4842" s="1" t="s">
        <v>3610</v>
      </c>
      <c r="E4842" s="1" t="s">
        <v>4478</v>
      </c>
      <c r="F4842" s="1" t="s">
        <v>17432</v>
      </c>
      <c r="G4842" s="1" t="s">
        <v>11580</v>
      </c>
      <c r="H4842" s="1" t="s">
        <v>3604</v>
      </c>
      <c r="I4842" s="1" t="s">
        <v>17433</v>
      </c>
      <c r="J4842" s="1" t="s">
        <v>3606</v>
      </c>
      <c r="K4842" s="1" t="s">
        <v>17434</v>
      </c>
      <c r="L4842" s="1" t="s">
        <v>3616</v>
      </c>
      <c r="M4842" s="1"/>
    </row>
    <row x14ac:dyDescent="0.25" r="4843" customHeight="1" ht="18.75">
      <c r="A4843" s="1" t="s">
        <v>3617</v>
      </c>
      <c r="B4843" s="1" t="s">
        <v>4477</v>
      </c>
      <c r="C4843" s="1" t="s">
        <v>3619</v>
      </c>
      <c r="D4843" s="1" t="s">
        <v>3610</v>
      </c>
      <c r="E4843" s="1" t="s">
        <v>4478</v>
      </c>
      <c r="F4843" s="1" t="s">
        <v>17435</v>
      </c>
      <c r="G4843" s="1" t="s">
        <v>10744</v>
      </c>
      <c r="H4843" s="1" t="s">
        <v>3604</v>
      </c>
      <c r="I4843" s="1" t="s">
        <v>17436</v>
      </c>
      <c r="J4843" s="1" t="s">
        <v>3606</v>
      </c>
      <c r="K4843" s="1" t="s">
        <v>17437</v>
      </c>
      <c r="L4843" s="1" t="s">
        <v>3616</v>
      </c>
      <c r="M4843" s="1"/>
    </row>
    <row x14ac:dyDescent="0.25" r="4844" customHeight="1" ht="18.75">
      <c r="A4844" s="1" t="s">
        <v>3617</v>
      </c>
      <c r="B4844" s="1" t="s">
        <v>4477</v>
      </c>
      <c r="C4844" s="1" t="s">
        <v>3619</v>
      </c>
      <c r="D4844" s="1" t="s">
        <v>3610</v>
      </c>
      <c r="E4844" s="1" t="s">
        <v>4478</v>
      </c>
      <c r="F4844" s="1" t="s">
        <v>17438</v>
      </c>
      <c r="G4844" s="1" t="s">
        <v>10744</v>
      </c>
      <c r="H4844" s="1" t="s">
        <v>3604</v>
      </c>
      <c r="I4844" s="1" t="s">
        <v>17439</v>
      </c>
      <c r="J4844" s="1" t="s">
        <v>3606</v>
      </c>
      <c r="K4844" s="1" t="s">
        <v>17440</v>
      </c>
      <c r="L4844" s="1" t="s">
        <v>3616</v>
      </c>
      <c r="M4844" s="1"/>
    </row>
    <row x14ac:dyDescent="0.25" r="4845" customHeight="1" ht="18.75">
      <c r="A4845" s="1" t="s">
        <v>3617</v>
      </c>
      <c r="B4845" s="1" t="s">
        <v>4477</v>
      </c>
      <c r="C4845" s="1" t="s">
        <v>3619</v>
      </c>
      <c r="D4845" s="1" t="s">
        <v>3610</v>
      </c>
      <c r="E4845" s="1" t="s">
        <v>4478</v>
      </c>
      <c r="F4845" s="1" t="s">
        <v>17441</v>
      </c>
      <c r="G4845" s="1" t="s">
        <v>10744</v>
      </c>
      <c r="H4845" s="1" t="s">
        <v>3604</v>
      </c>
      <c r="I4845" s="1" t="s">
        <v>17442</v>
      </c>
      <c r="J4845" s="1" t="s">
        <v>3606</v>
      </c>
      <c r="K4845" s="1" t="s">
        <v>17443</v>
      </c>
      <c r="L4845" s="1" t="s">
        <v>3616</v>
      </c>
      <c r="M4845" s="1"/>
    </row>
    <row x14ac:dyDescent="0.25" r="4846" customHeight="1" ht="18.75">
      <c r="A4846" s="1" t="s">
        <v>3617</v>
      </c>
      <c r="B4846" s="1" t="s">
        <v>4477</v>
      </c>
      <c r="C4846" s="1" t="s">
        <v>3619</v>
      </c>
      <c r="D4846" s="1" t="s">
        <v>3610</v>
      </c>
      <c r="E4846" s="1" t="s">
        <v>4478</v>
      </c>
      <c r="F4846" s="1" t="s">
        <v>17444</v>
      </c>
      <c r="G4846" s="1" t="s">
        <v>10744</v>
      </c>
      <c r="H4846" s="1" t="s">
        <v>3604</v>
      </c>
      <c r="I4846" s="1" t="s">
        <v>17445</v>
      </c>
      <c r="J4846" s="1" t="s">
        <v>3606</v>
      </c>
      <c r="K4846" s="1" t="s">
        <v>17446</v>
      </c>
      <c r="L4846" s="1" t="s">
        <v>3616</v>
      </c>
      <c r="M4846" s="1"/>
    </row>
    <row x14ac:dyDescent="0.25" r="4847" customHeight="1" ht="18.75">
      <c r="A4847" s="1" t="s">
        <v>3617</v>
      </c>
      <c r="B4847" s="1" t="s">
        <v>4477</v>
      </c>
      <c r="C4847" s="1" t="s">
        <v>3619</v>
      </c>
      <c r="D4847" s="1" t="s">
        <v>533</v>
      </c>
      <c r="E4847" s="1" t="s">
        <v>4478</v>
      </c>
      <c r="F4847" s="1" t="s">
        <v>17447</v>
      </c>
      <c r="G4847" s="1" t="s">
        <v>10744</v>
      </c>
      <c r="H4847" s="1" t="s">
        <v>3604</v>
      </c>
      <c r="I4847" s="1" t="s">
        <v>17448</v>
      </c>
      <c r="J4847" s="1" t="s">
        <v>3606</v>
      </c>
      <c r="K4847" s="1" t="s">
        <v>17449</v>
      </c>
      <c r="L4847" s="1" t="s">
        <v>3616</v>
      </c>
      <c r="M4847" s="1"/>
    </row>
    <row x14ac:dyDescent="0.25" r="4848" customHeight="1" ht="18.75">
      <c r="A4848" s="1" t="s">
        <v>3617</v>
      </c>
      <c r="B4848" s="1" t="s">
        <v>4477</v>
      </c>
      <c r="C4848" s="1" t="s">
        <v>3619</v>
      </c>
      <c r="D4848" s="1" t="s">
        <v>533</v>
      </c>
      <c r="E4848" s="1" t="s">
        <v>4478</v>
      </c>
      <c r="F4848" s="1" t="s">
        <v>17450</v>
      </c>
      <c r="G4848" s="1" t="s">
        <v>10744</v>
      </c>
      <c r="H4848" s="1" t="s">
        <v>3604</v>
      </c>
      <c r="I4848" s="1" t="s">
        <v>17451</v>
      </c>
      <c r="J4848" s="1" t="s">
        <v>3606</v>
      </c>
      <c r="K4848" s="1" t="s">
        <v>17452</v>
      </c>
      <c r="L4848" s="1" t="s">
        <v>3616</v>
      </c>
      <c r="M4848" s="1"/>
    </row>
    <row x14ac:dyDescent="0.25" r="4849" customHeight="1" ht="18.75">
      <c r="A4849" s="1" t="s">
        <v>3617</v>
      </c>
      <c r="B4849" s="1" t="s">
        <v>4477</v>
      </c>
      <c r="C4849" s="1" t="s">
        <v>3619</v>
      </c>
      <c r="D4849" s="1" t="s">
        <v>3695</v>
      </c>
      <c r="E4849" s="1" t="s">
        <v>4478</v>
      </c>
      <c r="F4849" s="1" t="s">
        <v>17453</v>
      </c>
      <c r="G4849" s="1" t="s">
        <v>10744</v>
      </c>
      <c r="H4849" s="1" t="s">
        <v>3604</v>
      </c>
      <c r="I4849" s="1" t="s">
        <v>17454</v>
      </c>
      <c r="J4849" s="1" t="s">
        <v>3606</v>
      </c>
      <c r="K4849" s="1" t="s">
        <v>17455</v>
      </c>
      <c r="L4849" s="1" t="s">
        <v>3616</v>
      </c>
      <c r="M4849" s="1"/>
    </row>
    <row x14ac:dyDescent="0.25" r="4850" customHeight="1" ht="18.75">
      <c r="A4850" s="1" t="s">
        <v>3617</v>
      </c>
      <c r="B4850" s="1" t="s">
        <v>4477</v>
      </c>
      <c r="C4850" s="1" t="s">
        <v>3619</v>
      </c>
      <c r="D4850" s="1" t="s">
        <v>3695</v>
      </c>
      <c r="E4850" s="1" t="s">
        <v>4478</v>
      </c>
      <c r="F4850" s="1" t="s">
        <v>17456</v>
      </c>
      <c r="G4850" s="1" t="s">
        <v>10744</v>
      </c>
      <c r="H4850" s="1" t="s">
        <v>3604</v>
      </c>
      <c r="I4850" s="1" t="s">
        <v>17457</v>
      </c>
      <c r="J4850" s="1" t="s">
        <v>3606</v>
      </c>
      <c r="K4850" s="1" t="s">
        <v>17458</v>
      </c>
      <c r="L4850" s="1" t="s">
        <v>3616</v>
      </c>
      <c r="M4850" s="1"/>
    </row>
    <row x14ac:dyDescent="0.25" r="4851" customHeight="1" ht="18.75">
      <c r="A4851" s="1" t="s">
        <v>3617</v>
      </c>
      <c r="B4851" s="1" t="s">
        <v>4477</v>
      </c>
      <c r="C4851" s="1" t="s">
        <v>3619</v>
      </c>
      <c r="D4851" s="1" t="s">
        <v>3695</v>
      </c>
      <c r="E4851" s="1" t="s">
        <v>4478</v>
      </c>
      <c r="F4851" s="1" t="s">
        <v>17459</v>
      </c>
      <c r="G4851" s="1" t="s">
        <v>10744</v>
      </c>
      <c r="H4851" s="1" t="s">
        <v>3604</v>
      </c>
      <c r="I4851" s="1" t="s">
        <v>17460</v>
      </c>
      <c r="J4851" s="1" t="s">
        <v>3606</v>
      </c>
      <c r="K4851" s="1" t="s">
        <v>17461</v>
      </c>
      <c r="L4851" s="1" t="s">
        <v>3616</v>
      </c>
      <c r="M4851" s="1"/>
    </row>
    <row x14ac:dyDescent="0.25" r="4852" customHeight="1" ht="18.75">
      <c r="A4852" s="1" t="s">
        <v>3617</v>
      </c>
      <c r="B4852" s="1" t="s">
        <v>4477</v>
      </c>
      <c r="C4852" s="1" t="s">
        <v>3619</v>
      </c>
      <c r="D4852" s="1" t="s">
        <v>3695</v>
      </c>
      <c r="E4852" s="1" t="s">
        <v>4478</v>
      </c>
      <c r="F4852" s="1" t="s">
        <v>17462</v>
      </c>
      <c r="G4852" s="1" t="s">
        <v>10744</v>
      </c>
      <c r="H4852" s="1" t="s">
        <v>3604</v>
      </c>
      <c r="I4852" s="1" t="s">
        <v>17463</v>
      </c>
      <c r="J4852" s="1" t="s">
        <v>3606</v>
      </c>
      <c r="K4852" s="1" t="s">
        <v>17464</v>
      </c>
      <c r="L4852" s="1" t="s">
        <v>3616</v>
      </c>
      <c r="M4852" s="1"/>
    </row>
    <row x14ac:dyDescent="0.25" r="4853" customHeight="1" ht="18.75">
      <c r="A4853" s="1" t="s">
        <v>3617</v>
      </c>
      <c r="B4853" s="1" t="s">
        <v>4477</v>
      </c>
      <c r="C4853" s="1" t="s">
        <v>3619</v>
      </c>
      <c r="D4853" s="1" t="s">
        <v>3695</v>
      </c>
      <c r="E4853" s="1" t="s">
        <v>4478</v>
      </c>
      <c r="F4853" s="1" t="s">
        <v>17465</v>
      </c>
      <c r="G4853" s="1" t="s">
        <v>10744</v>
      </c>
      <c r="H4853" s="1" t="s">
        <v>3604</v>
      </c>
      <c r="I4853" s="1" t="s">
        <v>17466</v>
      </c>
      <c r="J4853" s="1" t="s">
        <v>3606</v>
      </c>
      <c r="K4853" s="1" t="s">
        <v>17467</v>
      </c>
      <c r="L4853" s="1" t="s">
        <v>3616</v>
      </c>
      <c r="M4853" s="1"/>
    </row>
    <row x14ac:dyDescent="0.25" r="4854" customHeight="1" ht="18.75">
      <c r="A4854" s="1" t="s">
        <v>3617</v>
      </c>
      <c r="B4854" s="1" t="s">
        <v>4477</v>
      </c>
      <c r="C4854" s="1" t="s">
        <v>3619</v>
      </c>
      <c r="D4854" s="1" t="s">
        <v>3695</v>
      </c>
      <c r="E4854" s="1" t="s">
        <v>4478</v>
      </c>
      <c r="F4854" s="1" t="s">
        <v>17468</v>
      </c>
      <c r="G4854" s="1" t="s">
        <v>10744</v>
      </c>
      <c r="H4854" s="1" t="s">
        <v>3604</v>
      </c>
      <c r="I4854" s="1" t="s">
        <v>17469</v>
      </c>
      <c r="J4854" s="1" t="s">
        <v>3606</v>
      </c>
      <c r="K4854" s="1" t="s">
        <v>17470</v>
      </c>
      <c r="L4854" s="1" t="s">
        <v>3616</v>
      </c>
      <c r="M4854" s="1"/>
    </row>
    <row x14ac:dyDescent="0.25" r="4855" customHeight="1" ht="18.75">
      <c r="A4855" s="1" t="s">
        <v>3617</v>
      </c>
      <c r="B4855" s="1" t="s">
        <v>4477</v>
      </c>
      <c r="C4855" s="1" t="s">
        <v>3619</v>
      </c>
      <c r="D4855" s="1" t="s">
        <v>3695</v>
      </c>
      <c r="E4855" s="1" t="s">
        <v>4478</v>
      </c>
      <c r="F4855" s="1" t="s">
        <v>17471</v>
      </c>
      <c r="G4855" s="1" t="s">
        <v>10744</v>
      </c>
      <c r="H4855" s="1" t="s">
        <v>3604</v>
      </c>
      <c r="I4855" s="1" t="s">
        <v>17472</v>
      </c>
      <c r="J4855" s="1" t="s">
        <v>3606</v>
      </c>
      <c r="K4855" s="1" t="s">
        <v>17473</v>
      </c>
      <c r="L4855" s="1" t="s">
        <v>3616</v>
      </c>
      <c r="M4855" s="1"/>
    </row>
    <row x14ac:dyDescent="0.25" r="4856" customHeight="1" ht="18.75">
      <c r="A4856" s="1" t="s">
        <v>3617</v>
      </c>
      <c r="B4856" s="1" t="s">
        <v>4477</v>
      </c>
      <c r="C4856" s="1" t="s">
        <v>3619</v>
      </c>
      <c r="D4856" s="1" t="s">
        <v>3695</v>
      </c>
      <c r="E4856" s="1" t="s">
        <v>4478</v>
      </c>
      <c r="F4856" s="1" t="s">
        <v>17474</v>
      </c>
      <c r="G4856" s="1" t="s">
        <v>10744</v>
      </c>
      <c r="H4856" s="1" t="s">
        <v>3604</v>
      </c>
      <c r="I4856" s="1" t="s">
        <v>17475</v>
      </c>
      <c r="J4856" s="1" t="s">
        <v>3606</v>
      </c>
      <c r="K4856" s="1" t="s">
        <v>17476</v>
      </c>
      <c r="L4856" s="1" t="s">
        <v>3616</v>
      </c>
      <c r="M4856" s="1"/>
    </row>
    <row x14ac:dyDescent="0.25" r="4857" customHeight="1" ht="18.75">
      <c r="A4857" s="1" t="s">
        <v>3617</v>
      </c>
      <c r="B4857" s="1" t="s">
        <v>4477</v>
      </c>
      <c r="C4857" s="1" t="s">
        <v>3619</v>
      </c>
      <c r="D4857" s="1" t="s">
        <v>3695</v>
      </c>
      <c r="E4857" s="1" t="s">
        <v>4478</v>
      </c>
      <c r="F4857" s="1" t="s">
        <v>17477</v>
      </c>
      <c r="G4857" s="1" t="s">
        <v>10744</v>
      </c>
      <c r="H4857" s="1" t="s">
        <v>3604</v>
      </c>
      <c r="I4857" s="1" t="s">
        <v>17478</v>
      </c>
      <c r="J4857" s="1" t="s">
        <v>3606</v>
      </c>
      <c r="K4857" s="1" t="s">
        <v>17479</v>
      </c>
      <c r="L4857" s="1" t="s">
        <v>3616</v>
      </c>
      <c r="M4857" s="1"/>
    </row>
    <row x14ac:dyDescent="0.25" r="4858" customHeight="1" ht="18.75">
      <c r="A4858" s="1" t="s">
        <v>3617</v>
      </c>
      <c r="B4858" s="1" t="s">
        <v>4582</v>
      </c>
      <c r="C4858" s="1" t="s">
        <v>4488</v>
      </c>
      <c r="D4858" s="1" t="s">
        <v>3610</v>
      </c>
      <c r="E4858" s="1" t="s">
        <v>4478</v>
      </c>
      <c r="F4858" s="1" t="s">
        <v>17480</v>
      </c>
      <c r="G4858" s="1" t="s">
        <v>10946</v>
      </c>
      <c r="H4858" s="1" t="s">
        <v>3604</v>
      </c>
      <c r="I4858" s="1" t="s">
        <v>17481</v>
      </c>
      <c r="J4858" s="1" t="s">
        <v>3606</v>
      </c>
      <c r="K4858" s="1" t="s">
        <v>10746</v>
      </c>
      <c r="L4858" s="1" t="s">
        <v>3616</v>
      </c>
      <c r="M4858" s="1"/>
    </row>
    <row x14ac:dyDescent="0.25" r="4859" customHeight="1" ht="18.75">
      <c r="A4859" s="1" t="s">
        <v>3617</v>
      </c>
      <c r="B4859" s="1" t="s">
        <v>4582</v>
      </c>
      <c r="C4859" s="1" t="s">
        <v>4488</v>
      </c>
      <c r="D4859" s="1" t="s">
        <v>3610</v>
      </c>
      <c r="E4859" s="1" t="s">
        <v>4478</v>
      </c>
      <c r="F4859" s="1" t="s">
        <v>17438</v>
      </c>
      <c r="G4859" s="1" t="s">
        <v>10946</v>
      </c>
      <c r="H4859" s="1" t="s">
        <v>3604</v>
      </c>
      <c r="I4859" s="1" t="s">
        <v>17482</v>
      </c>
      <c r="J4859" s="1" t="s">
        <v>3606</v>
      </c>
      <c r="K4859" s="1" t="s">
        <v>17440</v>
      </c>
      <c r="L4859" s="1" t="s">
        <v>3616</v>
      </c>
      <c r="M4859" s="1"/>
    </row>
    <row x14ac:dyDescent="0.25" r="4860" customHeight="1" ht="18.75">
      <c r="A4860" s="1" t="s">
        <v>3617</v>
      </c>
      <c r="B4860" s="1" t="s">
        <v>4582</v>
      </c>
      <c r="C4860" s="1" t="s">
        <v>4488</v>
      </c>
      <c r="D4860" s="1" t="s">
        <v>3610</v>
      </c>
      <c r="E4860" s="1" t="s">
        <v>4478</v>
      </c>
      <c r="F4860" s="1" t="s">
        <v>17435</v>
      </c>
      <c r="G4860" s="1" t="s">
        <v>10946</v>
      </c>
      <c r="H4860" s="1" t="s">
        <v>3604</v>
      </c>
      <c r="I4860" s="1" t="s">
        <v>17483</v>
      </c>
      <c r="J4860" s="1" t="s">
        <v>3606</v>
      </c>
      <c r="K4860" s="1" t="s">
        <v>17437</v>
      </c>
      <c r="L4860" s="1" t="s">
        <v>3616</v>
      </c>
      <c r="M4860" s="1"/>
    </row>
    <row x14ac:dyDescent="0.25" r="4861" customHeight="1" ht="18.75">
      <c r="A4861" s="1" t="s">
        <v>3617</v>
      </c>
      <c r="B4861" s="1" t="s">
        <v>4582</v>
      </c>
      <c r="C4861" s="1" t="s">
        <v>4488</v>
      </c>
      <c r="D4861" s="1" t="s">
        <v>533</v>
      </c>
      <c r="E4861" s="1" t="s">
        <v>4478</v>
      </c>
      <c r="F4861" s="1" t="s">
        <v>17484</v>
      </c>
      <c r="G4861" s="1" t="s">
        <v>10946</v>
      </c>
      <c r="H4861" s="1" t="s">
        <v>3604</v>
      </c>
      <c r="I4861" s="1" t="s">
        <v>17485</v>
      </c>
      <c r="J4861" s="1" t="s">
        <v>3606</v>
      </c>
      <c r="K4861" s="1" t="s">
        <v>17486</v>
      </c>
      <c r="L4861" s="1" t="s">
        <v>3616</v>
      </c>
      <c r="M4861" s="1"/>
    </row>
    <row x14ac:dyDescent="0.25" r="4862" customHeight="1" ht="18.75">
      <c r="A4862" s="1" t="s">
        <v>3617</v>
      </c>
      <c r="B4862" s="1" t="s">
        <v>4582</v>
      </c>
      <c r="C4862" s="1" t="s">
        <v>4488</v>
      </c>
      <c r="D4862" s="1" t="s">
        <v>533</v>
      </c>
      <c r="E4862" s="1" t="s">
        <v>4478</v>
      </c>
      <c r="F4862" s="1" t="s">
        <v>17487</v>
      </c>
      <c r="G4862" s="1" t="s">
        <v>10946</v>
      </c>
      <c r="H4862" s="1" t="s">
        <v>3604</v>
      </c>
      <c r="I4862" s="1" t="s">
        <v>17488</v>
      </c>
      <c r="J4862" s="1" t="s">
        <v>3606</v>
      </c>
      <c r="K4862" s="1" t="s">
        <v>17489</v>
      </c>
      <c r="L4862" s="1" t="s">
        <v>3616</v>
      </c>
      <c r="M4862" s="1"/>
    </row>
    <row x14ac:dyDescent="0.25" r="4863" customHeight="1" ht="18.75">
      <c r="A4863" s="1" t="s">
        <v>3617</v>
      </c>
      <c r="B4863" s="1" t="s">
        <v>4582</v>
      </c>
      <c r="C4863" s="1" t="s">
        <v>4488</v>
      </c>
      <c r="D4863" s="1" t="s">
        <v>3695</v>
      </c>
      <c r="E4863" s="1" t="s">
        <v>4478</v>
      </c>
      <c r="F4863" s="1" t="s">
        <v>17490</v>
      </c>
      <c r="G4863" s="1" t="s">
        <v>10946</v>
      </c>
      <c r="H4863" s="1" t="s">
        <v>3604</v>
      </c>
      <c r="I4863" s="1" t="s">
        <v>17491</v>
      </c>
      <c r="J4863" s="1" t="s">
        <v>3606</v>
      </c>
      <c r="K4863" s="1" t="s">
        <v>17492</v>
      </c>
      <c r="L4863" s="1" t="s">
        <v>3616</v>
      </c>
      <c r="M4863" s="1"/>
    </row>
    <row x14ac:dyDescent="0.25" r="4864" customHeight="1" ht="18.75">
      <c r="A4864" s="1" t="s">
        <v>3617</v>
      </c>
      <c r="B4864" s="1" t="s">
        <v>4582</v>
      </c>
      <c r="C4864" s="1" t="s">
        <v>4488</v>
      </c>
      <c r="D4864" s="1" t="s">
        <v>3695</v>
      </c>
      <c r="E4864" s="1" t="s">
        <v>4478</v>
      </c>
      <c r="F4864" s="1" t="s">
        <v>17493</v>
      </c>
      <c r="G4864" s="1" t="s">
        <v>10946</v>
      </c>
      <c r="H4864" s="1" t="s">
        <v>3604</v>
      </c>
      <c r="I4864" s="1" t="s">
        <v>17494</v>
      </c>
      <c r="J4864" s="1" t="s">
        <v>3606</v>
      </c>
      <c r="K4864" s="1" t="s">
        <v>17495</v>
      </c>
      <c r="L4864" s="1" t="s">
        <v>3616</v>
      </c>
      <c r="M4864" s="1"/>
    </row>
    <row x14ac:dyDescent="0.25" r="4865" customHeight="1" ht="18.75">
      <c r="A4865" s="1" t="s">
        <v>3617</v>
      </c>
      <c r="B4865" s="1" t="s">
        <v>4582</v>
      </c>
      <c r="C4865" s="1" t="s">
        <v>4488</v>
      </c>
      <c r="D4865" s="1" t="s">
        <v>3695</v>
      </c>
      <c r="E4865" s="1" t="s">
        <v>4478</v>
      </c>
      <c r="F4865" s="1" t="s">
        <v>17496</v>
      </c>
      <c r="G4865" s="1" t="s">
        <v>10946</v>
      </c>
      <c r="H4865" s="1" t="s">
        <v>3604</v>
      </c>
      <c r="I4865" s="1" t="s">
        <v>17497</v>
      </c>
      <c r="J4865" s="1" t="s">
        <v>3606</v>
      </c>
      <c r="K4865" s="1" t="s">
        <v>17498</v>
      </c>
      <c r="L4865" s="1" t="s">
        <v>3616</v>
      </c>
      <c r="M4865" s="1"/>
    </row>
    <row x14ac:dyDescent="0.25" r="4866" customHeight="1" ht="18.75">
      <c r="A4866" s="1" t="s">
        <v>3617</v>
      </c>
      <c r="B4866" s="1" t="s">
        <v>4582</v>
      </c>
      <c r="C4866" s="1" t="s">
        <v>4488</v>
      </c>
      <c r="D4866" s="1" t="s">
        <v>3695</v>
      </c>
      <c r="E4866" s="1" t="s">
        <v>4478</v>
      </c>
      <c r="F4866" s="1" t="s">
        <v>17499</v>
      </c>
      <c r="G4866" s="1" t="s">
        <v>10946</v>
      </c>
      <c r="H4866" s="1" t="s">
        <v>3604</v>
      </c>
      <c r="I4866" s="1" t="s">
        <v>17500</v>
      </c>
      <c r="J4866" s="1" t="s">
        <v>3606</v>
      </c>
      <c r="K4866" s="1" t="s">
        <v>17501</v>
      </c>
      <c r="L4866" s="1" t="s">
        <v>3616</v>
      </c>
      <c r="M4866" s="1"/>
    </row>
    <row x14ac:dyDescent="0.25" r="4867" customHeight="1" ht="18.75">
      <c r="A4867" s="1" t="s">
        <v>3617</v>
      </c>
      <c r="B4867" s="1" t="s">
        <v>4582</v>
      </c>
      <c r="C4867" s="1" t="s">
        <v>4488</v>
      </c>
      <c r="D4867" s="1" t="s">
        <v>3695</v>
      </c>
      <c r="E4867" s="1" t="s">
        <v>4478</v>
      </c>
      <c r="F4867" s="1" t="s">
        <v>17502</v>
      </c>
      <c r="G4867" s="1" t="s">
        <v>10946</v>
      </c>
      <c r="H4867" s="1" t="s">
        <v>3604</v>
      </c>
      <c r="I4867" s="1" t="s">
        <v>17503</v>
      </c>
      <c r="J4867" s="1" t="s">
        <v>3606</v>
      </c>
      <c r="K4867" s="1" t="s">
        <v>17504</v>
      </c>
      <c r="L4867" s="1" t="s">
        <v>3616</v>
      </c>
      <c r="M4867" s="1"/>
    </row>
    <row x14ac:dyDescent="0.25" r="4868" customHeight="1" ht="18.75">
      <c r="A4868" s="1" t="s">
        <v>3617</v>
      </c>
      <c r="B4868" s="1" t="s">
        <v>4582</v>
      </c>
      <c r="C4868" s="1" t="s">
        <v>4488</v>
      </c>
      <c r="D4868" s="1" t="s">
        <v>3695</v>
      </c>
      <c r="E4868" s="1" t="s">
        <v>4478</v>
      </c>
      <c r="F4868" s="1" t="s">
        <v>17505</v>
      </c>
      <c r="G4868" s="1" t="s">
        <v>10946</v>
      </c>
      <c r="H4868" s="1" t="s">
        <v>3604</v>
      </c>
      <c r="I4868" s="1" t="s">
        <v>17506</v>
      </c>
      <c r="J4868" s="1" t="s">
        <v>3606</v>
      </c>
      <c r="K4868" s="1" t="s">
        <v>17507</v>
      </c>
      <c r="L4868" s="1" t="s">
        <v>3616</v>
      </c>
      <c r="M4868" s="1"/>
    </row>
    <row x14ac:dyDescent="0.25" r="4869" customHeight="1" ht="18.75">
      <c r="A4869" s="1" t="s">
        <v>3693</v>
      </c>
      <c r="B4869" s="1" t="s">
        <v>4091</v>
      </c>
      <c r="C4869" s="1" t="s">
        <v>3600</v>
      </c>
      <c r="D4869" s="1" t="s">
        <v>3601</v>
      </c>
      <c r="E4869" s="1" t="s">
        <v>3893</v>
      </c>
      <c r="F4869" s="1" t="s">
        <v>17508</v>
      </c>
      <c r="G4869" s="1" t="s">
        <v>5882</v>
      </c>
      <c r="H4869" s="1" t="s">
        <v>3604</v>
      </c>
      <c r="I4869" s="1" t="s">
        <v>17509</v>
      </c>
      <c r="J4869" s="1" t="s">
        <v>3606</v>
      </c>
      <c r="K4869" s="1"/>
      <c r="L4869" s="1"/>
      <c r="M4869" s="1"/>
    </row>
    <row x14ac:dyDescent="0.25" r="4870" customHeight="1" ht="18.75">
      <c r="A4870" s="1" t="s">
        <v>7833</v>
      </c>
      <c r="B4870" s="1" t="s">
        <v>14256</v>
      </c>
      <c r="C4870" s="1" t="s">
        <v>4488</v>
      </c>
      <c r="D4870" s="1" t="s">
        <v>3601</v>
      </c>
      <c r="E4870" s="1" t="s">
        <v>3664</v>
      </c>
      <c r="F4870" s="1" t="s">
        <v>17510</v>
      </c>
      <c r="G4870" s="1" t="s">
        <v>14258</v>
      </c>
      <c r="H4870" s="1" t="s">
        <v>3604</v>
      </c>
      <c r="I4870" s="1" t="s">
        <v>17511</v>
      </c>
      <c r="J4870" s="1" t="s">
        <v>3606</v>
      </c>
      <c r="K4870" s="1" t="s">
        <v>14573</v>
      </c>
      <c r="L4870" s="1"/>
      <c r="M4870" s="1"/>
    </row>
    <row x14ac:dyDescent="0.25" r="4871" customHeight="1" ht="18.75">
      <c r="A4871" s="1" t="s">
        <v>7833</v>
      </c>
      <c r="B4871" s="1" t="s">
        <v>8258</v>
      </c>
      <c r="C4871" s="1" t="s">
        <v>4488</v>
      </c>
      <c r="D4871" s="1" t="s">
        <v>3601</v>
      </c>
      <c r="E4871" s="1" t="s">
        <v>3664</v>
      </c>
      <c r="F4871" s="1" t="s">
        <v>17512</v>
      </c>
      <c r="G4871" s="1" t="s">
        <v>14553</v>
      </c>
      <c r="H4871" s="1" t="s">
        <v>3604</v>
      </c>
      <c r="I4871" s="1" t="s">
        <v>17513</v>
      </c>
      <c r="J4871" s="1" t="s">
        <v>3606</v>
      </c>
      <c r="K4871" s="1" t="s">
        <v>9194</v>
      </c>
      <c r="L4871" s="1"/>
      <c r="M4871" s="1"/>
    </row>
    <row x14ac:dyDescent="0.25" r="4872" customHeight="1" ht="18.75">
      <c r="A4872" s="1" t="s">
        <v>3617</v>
      </c>
      <c r="B4872" s="1" t="s">
        <v>11958</v>
      </c>
      <c r="C4872" s="1" t="s">
        <v>3619</v>
      </c>
      <c r="D4872" s="1" t="s">
        <v>3601</v>
      </c>
      <c r="E4872" s="1" t="s">
        <v>3981</v>
      </c>
      <c r="F4872" s="1" t="s">
        <v>17514</v>
      </c>
      <c r="G4872" s="1" t="s">
        <v>11963</v>
      </c>
      <c r="H4872" s="1" t="s">
        <v>3604</v>
      </c>
      <c r="I4872" s="1" t="s">
        <v>17515</v>
      </c>
      <c r="J4872" s="1" t="s">
        <v>3606</v>
      </c>
      <c r="K4872" s="1" t="s">
        <v>7997</v>
      </c>
      <c r="L4872" s="1"/>
      <c r="M4872" s="1"/>
    </row>
    <row x14ac:dyDescent="0.25" r="4873" customHeight="1" ht="18.75">
      <c r="A4873" s="1" t="s">
        <v>3617</v>
      </c>
      <c r="B4873" s="1" t="s">
        <v>11958</v>
      </c>
      <c r="C4873" s="1" t="s">
        <v>3619</v>
      </c>
      <c r="D4873" s="1" t="s">
        <v>3601</v>
      </c>
      <c r="E4873" s="1" t="s">
        <v>3981</v>
      </c>
      <c r="F4873" s="1" t="s">
        <v>17516</v>
      </c>
      <c r="G4873" s="1" t="s">
        <v>17517</v>
      </c>
      <c r="H4873" s="1" t="s">
        <v>3604</v>
      </c>
      <c r="I4873" s="1" t="s">
        <v>17518</v>
      </c>
      <c r="J4873" s="1" t="s">
        <v>3606</v>
      </c>
      <c r="K4873" s="1" t="s">
        <v>7997</v>
      </c>
      <c r="L4873" s="1"/>
      <c r="M4873" s="1"/>
    </row>
    <row x14ac:dyDescent="0.25" r="4874" customHeight="1" ht="18.75">
      <c r="A4874" s="1" t="s">
        <v>3617</v>
      </c>
      <c r="B4874" s="1" t="s">
        <v>11958</v>
      </c>
      <c r="C4874" s="1" t="s">
        <v>3619</v>
      </c>
      <c r="D4874" s="1" t="s">
        <v>3601</v>
      </c>
      <c r="E4874" s="1" t="s">
        <v>3981</v>
      </c>
      <c r="F4874" s="1" t="s">
        <v>17519</v>
      </c>
      <c r="G4874" s="1" t="s">
        <v>17520</v>
      </c>
      <c r="H4874" s="1" t="s">
        <v>3604</v>
      </c>
      <c r="I4874" s="1" t="s">
        <v>17521</v>
      </c>
      <c r="J4874" s="1" t="s">
        <v>3606</v>
      </c>
      <c r="K4874" s="1" t="s">
        <v>7997</v>
      </c>
      <c r="L4874" s="1"/>
      <c r="M4874" s="1"/>
    </row>
    <row x14ac:dyDescent="0.25" r="4875" customHeight="1" ht="18.75">
      <c r="A4875" s="1" t="s">
        <v>3617</v>
      </c>
      <c r="B4875" s="1" t="s">
        <v>11958</v>
      </c>
      <c r="C4875" s="1" t="s">
        <v>3619</v>
      </c>
      <c r="D4875" s="1" t="s">
        <v>3601</v>
      </c>
      <c r="E4875" s="1" t="s">
        <v>3981</v>
      </c>
      <c r="F4875" s="1" t="s">
        <v>17522</v>
      </c>
      <c r="G4875" s="1" t="s">
        <v>17523</v>
      </c>
      <c r="H4875" s="1" t="s">
        <v>3604</v>
      </c>
      <c r="I4875" s="1" t="s">
        <v>17524</v>
      </c>
      <c r="J4875" s="1" t="s">
        <v>3606</v>
      </c>
      <c r="K4875" s="1" t="s">
        <v>7997</v>
      </c>
      <c r="L4875" s="1"/>
      <c r="M4875" s="1"/>
    </row>
    <row x14ac:dyDescent="0.25" r="4876" customHeight="1" ht="18.75">
      <c r="A4876" s="1" t="s">
        <v>3617</v>
      </c>
      <c r="B4876" s="1" t="s">
        <v>11958</v>
      </c>
      <c r="C4876" s="1" t="s">
        <v>3619</v>
      </c>
      <c r="D4876" s="1" t="s">
        <v>3601</v>
      </c>
      <c r="E4876" s="1" t="s">
        <v>3981</v>
      </c>
      <c r="F4876" s="1" t="s">
        <v>17525</v>
      </c>
      <c r="G4876" s="1" t="s">
        <v>17526</v>
      </c>
      <c r="H4876" s="1" t="s">
        <v>3604</v>
      </c>
      <c r="I4876" s="1" t="s">
        <v>17527</v>
      </c>
      <c r="J4876" s="1" t="s">
        <v>3606</v>
      </c>
      <c r="K4876" s="1" t="s">
        <v>7997</v>
      </c>
      <c r="L4876" s="1"/>
      <c r="M4876" s="1"/>
    </row>
    <row x14ac:dyDescent="0.25" r="4877" customHeight="1" ht="18.75">
      <c r="A4877" s="1" t="s">
        <v>3617</v>
      </c>
      <c r="B4877" s="1" t="s">
        <v>11958</v>
      </c>
      <c r="C4877" s="1" t="s">
        <v>3619</v>
      </c>
      <c r="D4877" s="1" t="s">
        <v>3601</v>
      </c>
      <c r="E4877" s="1" t="s">
        <v>3981</v>
      </c>
      <c r="F4877" s="1" t="s">
        <v>17528</v>
      </c>
      <c r="G4877" s="1" t="s">
        <v>12548</v>
      </c>
      <c r="H4877" s="1" t="s">
        <v>3604</v>
      </c>
      <c r="I4877" s="1" t="s">
        <v>17529</v>
      </c>
      <c r="J4877" s="1" t="s">
        <v>3606</v>
      </c>
      <c r="K4877" s="1" t="s">
        <v>7997</v>
      </c>
      <c r="L4877" s="1"/>
      <c r="M4877" s="1"/>
    </row>
    <row x14ac:dyDescent="0.25" r="4878" customHeight="1" ht="18.75">
      <c r="A4878" s="1" t="s">
        <v>3617</v>
      </c>
      <c r="B4878" s="1" t="s">
        <v>11958</v>
      </c>
      <c r="C4878" s="1" t="s">
        <v>3619</v>
      </c>
      <c r="D4878" s="1" t="s">
        <v>3601</v>
      </c>
      <c r="E4878" s="1" t="s">
        <v>3981</v>
      </c>
      <c r="F4878" s="1" t="s">
        <v>17530</v>
      </c>
      <c r="G4878" s="1" t="s">
        <v>12505</v>
      </c>
      <c r="H4878" s="1" t="s">
        <v>3604</v>
      </c>
      <c r="I4878" s="1" t="s">
        <v>17531</v>
      </c>
      <c r="J4878" s="1" t="s">
        <v>3606</v>
      </c>
      <c r="K4878" s="1" t="s">
        <v>7997</v>
      </c>
      <c r="L4878" s="1"/>
      <c r="M4878" s="1"/>
    </row>
    <row x14ac:dyDescent="0.25" r="4879" customHeight="1" ht="18.75">
      <c r="A4879" s="1" t="s">
        <v>3617</v>
      </c>
      <c r="B4879" s="1" t="s">
        <v>11958</v>
      </c>
      <c r="C4879" s="1" t="s">
        <v>3619</v>
      </c>
      <c r="D4879" s="1" t="s">
        <v>3601</v>
      </c>
      <c r="E4879" s="1" t="s">
        <v>3981</v>
      </c>
      <c r="F4879" s="1" t="s">
        <v>17532</v>
      </c>
      <c r="G4879" s="1" t="s">
        <v>17533</v>
      </c>
      <c r="H4879" s="1" t="s">
        <v>3604</v>
      </c>
      <c r="I4879" s="1" t="s">
        <v>17534</v>
      </c>
      <c r="J4879" s="1" t="s">
        <v>3606</v>
      </c>
      <c r="K4879" s="1" t="s">
        <v>7997</v>
      </c>
      <c r="L4879" s="1"/>
      <c r="M4879" s="1"/>
    </row>
    <row x14ac:dyDescent="0.25" r="4880" customHeight="1" ht="18.75">
      <c r="A4880" s="1" t="s">
        <v>3617</v>
      </c>
      <c r="B4880" s="1" t="s">
        <v>4589</v>
      </c>
      <c r="C4880" s="1" t="s">
        <v>3619</v>
      </c>
      <c r="D4880" s="1" t="s">
        <v>3601</v>
      </c>
      <c r="E4880" s="1" t="s">
        <v>17535</v>
      </c>
      <c r="F4880" s="1" t="s">
        <v>17536</v>
      </c>
      <c r="G4880" s="1" t="s">
        <v>17537</v>
      </c>
      <c r="H4880" s="1" t="s">
        <v>3604</v>
      </c>
      <c r="I4880" s="1" t="s">
        <v>17538</v>
      </c>
      <c r="J4880" s="1" t="s">
        <v>3606</v>
      </c>
      <c r="K4880" s="1"/>
      <c r="L4880" s="1"/>
      <c r="M4880" s="1"/>
    </row>
    <row x14ac:dyDescent="0.25" r="4881" customHeight="1" ht="18.75">
      <c r="A4881" s="1" t="s">
        <v>3617</v>
      </c>
      <c r="B4881" s="1" t="s">
        <v>4589</v>
      </c>
      <c r="C4881" s="1" t="s">
        <v>3619</v>
      </c>
      <c r="D4881" s="1" t="s">
        <v>3601</v>
      </c>
      <c r="E4881" s="1" t="s">
        <v>17535</v>
      </c>
      <c r="F4881" s="1" t="s">
        <v>17539</v>
      </c>
      <c r="G4881" s="1" t="s">
        <v>17540</v>
      </c>
      <c r="H4881" s="1" t="s">
        <v>3604</v>
      </c>
      <c r="I4881" s="1" t="s">
        <v>17541</v>
      </c>
      <c r="J4881" s="1" t="s">
        <v>3606</v>
      </c>
      <c r="K4881" s="1"/>
      <c r="L4881" s="1"/>
      <c r="M4881" s="1"/>
    </row>
    <row x14ac:dyDescent="0.25" r="4882" customHeight="1" ht="18.75">
      <c r="A4882" s="1" t="s">
        <v>3617</v>
      </c>
      <c r="B4882" s="1" t="s">
        <v>4589</v>
      </c>
      <c r="C4882" s="1" t="s">
        <v>3619</v>
      </c>
      <c r="D4882" s="1" t="s">
        <v>3601</v>
      </c>
      <c r="E4882" s="1" t="s">
        <v>17535</v>
      </c>
      <c r="F4882" s="1" t="s">
        <v>17542</v>
      </c>
      <c r="G4882" s="1" t="s">
        <v>17543</v>
      </c>
      <c r="H4882" s="1" t="s">
        <v>3604</v>
      </c>
      <c r="I4882" s="1" t="s">
        <v>17544</v>
      </c>
      <c r="J4882" s="1" t="s">
        <v>3606</v>
      </c>
      <c r="K4882" s="1"/>
      <c r="L4882" s="1"/>
      <c r="M4882" s="1"/>
    </row>
    <row x14ac:dyDescent="0.25" r="4883" customHeight="1" ht="18.75">
      <c r="A4883" s="1" t="s">
        <v>3617</v>
      </c>
      <c r="B4883" s="1" t="s">
        <v>4589</v>
      </c>
      <c r="C4883" s="1" t="s">
        <v>3619</v>
      </c>
      <c r="D4883" s="1" t="s">
        <v>3601</v>
      </c>
      <c r="E4883" s="1" t="s">
        <v>17535</v>
      </c>
      <c r="F4883" s="1" t="s">
        <v>17545</v>
      </c>
      <c r="G4883" s="1" t="s">
        <v>17546</v>
      </c>
      <c r="H4883" s="1" t="s">
        <v>3604</v>
      </c>
      <c r="I4883" s="1" t="s">
        <v>17547</v>
      </c>
      <c r="J4883" s="1" t="s">
        <v>3606</v>
      </c>
      <c r="K4883" s="1"/>
      <c r="L4883" s="1"/>
      <c r="M4883" s="1"/>
    </row>
    <row x14ac:dyDescent="0.25" r="4884" customHeight="1" ht="18.75">
      <c r="A4884" s="1" t="s">
        <v>3617</v>
      </c>
      <c r="B4884" s="1" t="s">
        <v>4589</v>
      </c>
      <c r="C4884" s="1" t="s">
        <v>3619</v>
      </c>
      <c r="D4884" s="1" t="s">
        <v>3601</v>
      </c>
      <c r="E4884" s="1" t="s">
        <v>17535</v>
      </c>
      <c r="F4884" s="1" t="s">
        <v>17548</v>
      </c>
      <c r="G4884" s="1" t="s">
        <v>17549</v>
      </c>
      <c r="H4884" s="1" t="s">
        <v>3604</v>
      </c>
      <c r="I4884" s="1" t="s">
        <v>17550</v>
      </c>
      <c r="J4884" s="1" t="s">
        <v>3606</v>
      </c>
      <c r="K4884" s="1"/>
      <c r="L4884" s="1"/>
      <c r="M4884" s="1"/>
    </row>
    <row x14ac:dyDescent="0.25" r="4885" customHeight="1" ht="18.75">
      <c r="A4885" s="1" t="s">
        <v>3617</v>
      </c>
      <c r="B4885" s="1" t="s">
        <v>4589</v>
      </c>
      <c r="C4885" s="1" t="s">
        <v>3619</v>
      </c>
      <c r="D4885" s="1" t="s">
        <v>3601</v>
      </c>
      <c r="E4885" s="1" t="s">
        <v>17535</v>
      </c>
      <c r="F4885" s="1" t="s">
        <v>17551</v>
      </c>
      <c r="G4885" s="1" t="s">
        <v>17552</v>
      </c>
      <c r="H4885" s="1" t="s">
        <v>3604</v>
      </c>
      <c r="I4885" s="1" t="s">
        <v>17553</v>
      </c>
      <c r="J4885" s="1" t="s">
        <v>3606</v>
      </c>
      <c r="K4885" s="1"/>
      <c r="L4885" s="1"/>
      <c r="M4885" s="1"/>
    </row>
    <row x14ac:dyDescent="0.25" r="4886" customHeight="1" ht="18.75">
      <c r="A4886" s="1" t="s">
        <v>3617</v>
      </c>
      <c r="B4886" s="1" t="s">
        <v>4589</v>
      </c>
      <c r="C4886" s="1" t="s">
        <v>3619</v>
      </c>
      <c r="D4886" s="1" t="s">
        <v>3601</v>
      </c>
      <c r="E4886" s="1" t="s">
        <v>17535</v>
      </c>
      <c r="F4886" s="1" t="s">
        <v>17554</v>
      </c>
      <c r="G4886" s="1" t="s">
        <v>17555</v>
      </c>
      <c r="H4886" s="1" t="s">
        <v>3604</v>
      </c>
      <c r="I4886" s="1" t="s">
        <v>17556</v>
      </c>
      <c r="J4886" s="1" t="s">
        <v>3606</v>
      </c>
      <c r="K4886" s="1"/>
      <c r="L4886" s="1"/>
      <c r="M4886" s="1"/>
    </row>
    <row x14ac:dyDescent="0.25" r="4887" customHeight="1" ht="18.75">
      <c r="A4887" s="1" t="s">
        <v>3617</v>
      </c>
      <c r="B4887" s="1" t="s">
        <v>4589</v>
      </c>
      <c r="C4887" s="1" t="s">
        <v>3619</v>
      </c>
      <c r="D4887" s="1" t="s">
        <v>3601</v>
      </c>
      <c r="E4887" s="1" t="s">
        <v>17535</v>
      </c>
      <c r="F4887" s="1" t="s">
        <v>17557</v>
      </c>
      <c r="G4887" s="1" t="s">
        <v>17558</v>
      </c>
      <c r="H4887" s="1" t="s">
        <v>3604</v>
      </c>
      <c r="I4887" s="1" t="s">
        <v>17559</v>
      </c>
      <c r="J4887" s="1" t="s">
        <v>3606</v>
      </c>
      <c r="K4887" s="1"/>
      <c r="L4887" s="1"/>
      <c r="M4887" s="1"/>
    </row>
    <row x14ac:dyDescent="0.25" r="4888" customHeight="1" ht="18.75">
      <c r="A4888" s="1" t="s">
        <v>3617</v>
      </c>
      <c r="B4888" s="1" t="s">
        <v>11724</v>
      </c>
      <c r="C4888" s="1" t="s">
        <v>4488</v>
      </c>
      <c r="D4888" s="1" t="s">
        <v>3601</v>
      </c>
      <c r="E4888" s="1" t="s">
        <v>17535</v>
      </c>
      <c r="F4888" s="1" t="s">
        <v>17536</v>
      </c>
      <c r="G4888" s="1" t="s">
        <v>17560</v>
      </c>
      <c r="H4888" s="1" t="s">
        <v>3604</v>
      </c>
      <c r="I4888" s="1" t="s">
        <v>17561</v>
      </c>
      <c r="J4888" s="1" t="s">
        <v>3606</v>
      </c>
      <c r="K4888" s="1"/>
      <c r="L4888" s="1"/>
      <c r="M4888" s="1"/>
    </row>
    <row x14ac:dyDescent="0.25" r="4889" customHeight="1" ht="18.75">
      <c r="A4889" s="1" t="s">
        <v>3617</v>
      </c>
      <c r="B4889" s="1" t="s">
        <v>11724</v>
      </c>
      <c r="C4889" s="1" t="s">
        <v>4488</v>
      </c>
      <c r="D4889" s="1" t="s">
        <v>3601</v>
      </c>
      <c r="E4889" s="1" t="s">
        <v>17535</v>
      </c>
      <c r="F4889" s="1" t="s">
        <v>17539</v>
      </c>
      <c r="G4889" s="1" t="s">
        <v>17562</v>
      </c>
      <c r="H4889" s="1" t="s">
        <v>3604</v>
      </c>
      <c r="I4889" s="1" t="s">
        <v>17563</v>
      </c>
      <c r="J4889" s="1" t="s">
        <v>3606</v>
      </c>
      <c r="K4889" s="1"/>
      <c r="L4889" s="1"/>
      <c r="M4889" s="1"/>
    </row>
    <row x14ac:dyDescent="0.25" r="4890" customHeight="1" ht="18.75">
      <c r="A4890" s="1" t="s">
        <v>3617</v>
      </c>
      <c r="B4890" s="1" t="s">
        <v>11724</v>
      </c>
      <c r="C4890" s="1" t="s">
        <v>4488</v>
      </c>
      <c r="D4890" s="1" t="s">
        <v>3601</v>
      </c>
      <c r="E4890" s="1" t="s">
        <v>17535</v>
      </c>
      <c r="F4890" s="1" t="s">
        <v>17564</v>
      </c>
      <c r="G4890" s="1" t="s">
        <v>17565</v>
      </c>
      <c r="H4890" s="1" t="s">
        <v>3604</v>
      </c>
      <c r="I4890" s="1" t="s">
        <v>17566</v>
      </c>
      <c r="J4890" s="1" t="s">
        <v>3606</v>
      </c>
      <c r="K4890" s="1"/>
      <c r="L4890" s="1"/>
      <c r="M4890" s="1"/>
    </row>
    <row x14ac:dyDescent="0.25" r="4891" customHeight="1" ht="18.75">
      <c r="A4891" s="1" t="s">
        <v>3617</v>
      </c>
      <c r="B4891" s="1" t="s">
        <v>11724</v>
      </c>
      <c r="C4891" s="1" t="s">
        <v>4488</v>
      </c>
      <c r="D4891" s="1" t="s">
        <v>3601</v>
      </c>
      <c r="E4891" s="1" t="s">
        <v>17535</v>
      </c>
      <c r="F4891" s="1" t="s">
        <v>17567</v>
      </c>
      <c r="G4891" s="1" t="s">
        <v>17568</v>
      </c>
      <c r="H4891" s="1" t="s">
        <v>3604</v>
      </c>
      <c r="I4891" s="1" t="s">
        <v>17569</v>
      </c>
      <c r="J4891" s="1" t="s">
        <v>3606</v>
      </c>
      <c r="K4891" s="1"/>
      <c r="L4891" s="1"/>
      <c r="M4891" s="1"/>
    </row>
    <row x14ac:dyDescent="0.25" r="4892" customHeight="1" ht="18.75">
      <c r="A4892" s="1" t="s">
        <v>3617</v>
      </c>
      <c r="B4892" s="1" t="s">
        <v>11724</v>
      </c>
      <c r="C4892" s="1" t="s">
        <v>4488</v>
      </c>
      <c r="D4892" s="1" t="s">
        <v>3601</v>
      </c>
      <c r="E4892" s="1" t="s">
        <v>17535</v>
      </c>
      <c r="F4892" s="1" t="s">
        <v>17570</v>
      </c>
      <c r="G4892" s="1" t="s">
        <v>17571</v>
      </c>
      <c r="H4892" s="1" t="s">
        <v>3604</v>
      </c>
      <c r="I4892" s="1" t="s">
        <v>17572</v>
      </c>
      <c r="J4892" s="1" t="s">
        <v>3606</v>
      </c>
      <c r="K4892" s="1"/>
      <c r="L4892" s="1"/>
      <c r="M4892" s="1"/>
    </row>
    <row x14ac:dyDescent="0.25" r="4893" customHeight="1" ht="18.75">
      <c r="A4893" s="1" t="s">
        <v>3617</v>
      </c>
      <c r="B4893" s="1" t="s">
        <v>11724</v>
      </c>
      <c r="C4893" s="1" t="s">
        <v>4488</v>
      </c>
      <c r="D4893" s="1" t="s">
        <v>3601</v>
      </c>
      <c r="E4893" s="1" t="s">
        <v>17535</v>
      </c>
      <c r="F4893" s="1" t="s">
        <v>17551</v>
      </c>
      <c r="G4893" s="1" t="s">
        <v>17573</v>
      </c>
      <c r="H4893" s="1" t="s">
        <v>3604</v>
      </c>
      <c r="I4893" s="1" t="s">
        <v>17574</v>
      </c>
      <c r="J4893" s="1" t="s">
        <v>3606</v>
      </c>
      <c r="K4893" s="1"/>
      <c r="L4893" s="1"/>
      <c r="M4893" s="1"/>
    </row>
    <row x14ac:dyDescent="0.25" r="4894" customHeight="1" ht="18.75">
      <c r="A4894" s="1" t="s">
        <v>3617</v>
      </c>
      <c r="B4894" s="1" t="s">
        <v>11724</v>
      </c>
      <c r="C4894" s="1" t="s">
        <v>4488</v>
      </c>
      <c r="D4894" s="1" t="s">
        <v>3601</v>
      </c>
      <c r="E4894" s="1" t="s">
        <v>17535</v>
      </c>
      <c r="F4894" s="1" t="s">
        <v>17554</v>
      </c>
      <c r="G4894" s="1" t="s">
        <v>17575</v>
      </c>
      <c r="H4894" s="1" t="s">
        <v>3604</v>
      </c>
      <c r="I4894" s="1" t="s">
        <v>17576</v>
      </c>
      <c r="J4894" s="1" t="s">
        <v>3606</v>
      </c>
      <c r="K4894" s="1"/>
      <c r="L4894" s="1"/>
      <c r="M4894" s="1"/>
    </row>
    <row x14ac:dyDescent="0.25" r="4895" customHeight="1" ht="18.75">
      <c r="A4895" s="1" t="s">
        <v>3617</v>
      </c>
      <c r="B4895" s="1" t="s">
        <v>11724</v>
      </c>
      <c r="C4895" s="1" t="s">
        <v>4488</v>
      </c>
      <c r="D4895" s="1" t="s">
        <v>3601</v>
      </c>
      <c r="E4895" s="1" t="s">
        <v>17535</v>
      </c>
      <c r="F4895" s="1" t="s">
        <v>17557</v>
      </c>
      <c r="G4895" s="1" t="s">
        <v>17577</v>
      </c>
      <c r="H4895" s="1" t="s">
        <v>3604</v>
      </c>
      <c r="I4895" s="1" t="s">
        <v>17578</v>
      </c>
      <c r="J4895" s="1" t="s">
        <v>3606</v>
      </c>
      <c r="K4895" s="1"/>
      <c r="L4895" s="1"/>
      <c r="M4895" s="1"/>
    </row>
    <row x14ac:dyDescent="0.25" r="4896" customHeight="1" ht="18.75">
      <c r="A4896" s="1" t="s">
        <v>3617</v>
      </c>
      <c r="B4896" s="1" t="s">
        <v>5108</v>
      </c>
      <c r="C4896" s="1" t="s">
        <v>3619</v>
      </c>
      <c r="D4896" s="1" t="s">
        <v>7847</v>
      </c>
      <c r="E4896" s="1" t="s">
        <v>3730</v>
      </c>
      <c r="F4896" s="1" t="s">
        <v>17579</v>
      </c>
      <c r="G4896" s="1" t="s">
        <v>17580</v>
      </c>
      <c r="H4896" s="1" t="s">
        <v>3604</v>
      </c>
      <c r="I4896" s="1" t="s">
        <v>17581</v>
      </c>
      <c r="J4896" s="1" t="s">
        <v>3606</v>
      </c>
      <c r="K4896" s="1" t="s">
        <v>17582</v>
      </c>
      <c r="L4896" s="1"/>
      <c r="M4896" s="1"/>
    </row>
    <row x14ac:dyDescent="0.25" r="4897" customHeight="1" ht="18.75">
      <c r="A4897" s="1" t="s">
        <v>3617</v>
      </c>
      <c r="B4897" s="1" t="s">
        <v>4582</v>
      </c>
      <c r="C4897" s="1" t="s">
        <v>4488</v>
      </c>
      <c r="D4897" s="1" t="s">
        <v>7847</v>
      </c>
      <c r="E4897" s="1" t="s">
        <v>8096</v>
      </c>
      <c r="F4897" s="1" t="s">
        <v>17583</v>
      </c>
      <c r="G4897" s="1" t="s">
        <v>13092</v>
      </c>
      <c r="H4897" s="1" t="s">
        <v>3604</v>
      </c>
      <c r="I4897" s="1" t="s">
        <v>17584</v>
      </c>
      <c r="J4897" s="1" t="s">
        <v>3606</v>
      </c>
      <c r="K4897" s="1" t="s">
        <v>17585</v>
      </c>
      <c r="L4897" s="1"/>
      <c r="M4897" s="1"/>
    </row>
    <row x14ac:dyDescent="0.25" r="4898" customHeight="1" ht="18.75">
      <c r="A4898" s="1" t="s">
        <v>3617</v>
      </c>
      <c r="B4898" s="1" t="s">
        <v>3729</v>
      </c>
      <c r="C4898" s="1" t="s">
        <v>3619</v>
      </c>
      <c r="D4898" s="1" t="s">
        <v>7847</v>
      </c>
      <c r="E4898" s="1" t="s">
        <v>4478</v>
      </c>
      <c r="F4898" s="1" t="s">
        <v>17586</v>
      </c>
      <c r="G4898" s="1" t="s">
        <v>11116</v>
      </c>
      <c r="H4898" s="1" t="s">
        <v>3604</v>
      </c>
      <c r="I4898" s="1" t="s">
        <v>17587</v>
      </c>
      <c r="J4898" s="1" t="s">
        <v>3606</v>
      </c>
      <c r="K4898" s="1" t="s">
        <v>17588</v>
      </c>
      <c r="L4898" s="1"/>
      <c r="M4898" s="1"/>
    </row>
    <row x14ac:dyDescent="0.25" r="4899" customHeight="1" ht="18.75">
      <c r="A4899" s="1" t="s">
        <v>3617</v>
      </c>
      <c r="B4899" s="1" t="s">
        <v>3729</v>
      </c>
      <c r="C4899" s="1" t="s">
        <v>3619</v>
      </c>
      <c r="D4899" s="1" t="s">
        <v>7847</v>
      </c>
      <c r="E4899" s="1" t="s">
        <v>4478</v>
      </c>
      <c r="F4899" s="1" t="s">
        <v>17589</v>
      </c>
      <c r="G4899" s="1" t="s">
        <v>3811</v>
      </c>
      <c r="H4899" s="1" t="s">
        <v>3604</v>
      </c>
      <c r="I4899" s="1" t="s">
        <v>17590</v>
      </c>
      <c r="J4899" s="1" t="s">
        <v>3606</v>
      </c>
      <c r="K4899" s="1" t="s">
        <v>17591</v>
      </c>
      <c r="L4899" s="1"/>
      <c r="M4899" s="1"/>
    </row>
    <row x14ac:dyDescent="0.25" r="4900" customHeight="1" ht="18.75">
      <c r="A4900" s="1" t="s">
        <v>3617</v>
      </c>
      <c r="B4900" s="1" t="s">
        <v>3729</v>
      </c>
      <c r="C4900" s="1" t="s">
        <v>3619</v>
      </c>
      <c r="D4900" s="1" t="s">
        <v>7847</v>
      </c>
      <c r="E4900" s="1" t="s">
        <v>4478</v>
      </c>
      <c r="F4900" s="1" t="s">
        <v>17592</v>
      </c>
      <c r="G4900" s="1" t="s">
        <v>3732</v>
      </c>
      <c r="H4900" s="1" t="s">
        <v>3604</v>
      </c>
      <c r="I4900" s="1" t="s">
        <v>17593</v>
      </c>
      <c r="J4900" s="1" t="s">
        <v>3606</v>
      </c>
      <c r="K4900" s="1" t="s">
        <v>17594</v>
      </c>
      <c r="L4900" s="1"/>
      <c r="M4900" s="1"/>
    </row>
    <row x14ac:dyDescent="0.25" r="4901" customHeight="1" ht="18.75">
      <c r="A4901" s="1" t="s">
        <v>3617</v>
      </c>
      <c r="B4901" s="1" t="s">
        <v>3729</v>
      </c>
      <c r="C4901" s="1" t="s">
        <v>3619</v>
      </c>
      <c r="D4901" s="1" t="s">
        <v>7847</v>
      </c>
      <c r="E4901" s="1" t="s">
        <v>4478</v>
      </c>
      <c r="F4901" s="1" t="s">
        <v>17595</v>
      </c>
      <c r="G4901" s="1" t="s">
        <v>3736</v>
      </c>
      <c r="H4901" s="1" t="s">
        <v>3604</v>
      </c>
      <c r="I4901" s="1" t="s">
        <v>17596</v>
      </c>
      <c r="J4901" s="1" t="s">
        <v>3606</v>
      </c>
      <c r="K4901" s="1" t="s">
        <v>17597</v>
      </c>
      <c r="L4901" s="1"/>
      <c r="M4901" s="1"/>
    </row>
    <row x14ac:dyDescent="0.25" r="4902" customHeight="1" ht="18.75">
      <c r="A4902" s="1" t="s">
        <v>3617</v>
      </c>
      <c r="B4902" s="1" t="s">
        <v>3729</v>
      </c>
      <c r="C4902" s="1" t="s">
        <v>3619</v>
      </c>
      <c r="D4902" s="1" t="s">
        <v>7847</v>
      </c>
      <c r="E4902" s="1" t="s">
        <v>3893</v>
      </c>
      <c r="F4902" s="1" t="s">
        <v>17598</v>
      </c>
      <c r="G4902" s="1" t="s">
        <v>17599</v>
      </c>
      <c r="H4902" s="1" t="s">
        <v>3604</v>
      </c>
      <c r="I4902" s="1" t="s">
        <v>17600</v>
      </c>
      <c r="J4902" s="1" t="s">
        <v>3606</v>
      </c>
      <c r="K4902" s="1" t="s">
        <v>17601</v>
      </c>
      <c r="L4902" s="1"/>
      <c r="M4902" s="1"/>
    </row>
    <row x14ac:dyDescent="0.25" r="4903" customHeight="1" ht="18.75">
      <c r="A4903" s="1" t="s">
        <v>3617</v>
      </c>
      <c r="B4903" s="1" t="s">
        <v>3729</v>
      </c>
      <c r="C4903" s="1" t="s">
        <v>3619</v>
      </c>
      <c r="D4903" s="1" t="s">
        <v>7847</v>
      </c>
      <c r="E4903" s="1" t="s">
        <v>3893</v>
      </c>
      <c r="F4903" s="1" t="s">
        <v>17602</v>
      </c>
      <c r="G4903" s="1" t="s">
        <v>17599</v>
      </c>
      <c r="H4903" s="1" t="s">
        <v>3604</v>
      </c>
      <c r="I4903" s="1" t="s">
        <v>17603</v>
      </c>
      <c r="J4903" s="1" t="s">
        <v>3606</v>
      </c>
      <c r="K4903" s="1" t="s">
        <v>17604</v>
      </c>
      <c r="L4903" s="1"/>
      <c r="M4903" s="1"/>
    </row>
    <row x14ac:dyDescent="0.25" r="4904" customHeight="1" ht="18.75">
      <c r="A4904" s="1" t="s">
        <v>3617</v>
      </c>
      <c r="B4904" s="1" t="s">
        <v>3729</v>
      </c>
      <c r="C4904" s="1" t="s">
        <v>3619</v>
      </c>
      <c r="D4904" s="1" t="s">
        <v>7847</v>
      </c>
      <c r="E4904" s="1" t="s">
        <v>3893</v>
      </c>
      <c r="F4904" s="1" t="s">
        <v>17605</v>
      </c>
      <c r="G4904" s="1" t="s">
        <v>17599</v>
      </c>
      <c r="H4904" s="1" t="s">
        <v>3604</v>
      </c>
      <c r="I4904" s="1" t="s">
        <v>17606</v>
      </c>
      <c r="J4904" s="1" t="s">
        <v>3606</v>
      </c>
      <c r="K4904" s="1" t="s">
        <v>17607</v>
      </c>
      <c r="L4904" s="1"/>
      <c r="M4904" s="1"/>
    </row>
    <row x14ac:dyDescent="0.25" r="4905" customHeight="1" ht="18.75">
      <c r="A4905" s="1" t="s">
        <v>3617</v>
      </c>
      <c r="B4905" s="1" t="s">
        <v>3729</v>
      </c>
      <c r="C4905" s="1" t="s">
        <v>3619</v>
      </c>
      <c r="D4905" s="1" t="s">
        <v>7847</v>
      </c>
      <c r="E4905" s="1" t="s">
        <v>3893</v>
      </c>
      <c r="F4905" s="1" t="s">
        <v>17608</v>
      </c>
      <c r="G4905" s="1" t="s">
        <v>17609</v>
      </c>
      <c r="H4905" s="1" t="s">
        <v>3604</v>
      </c>
      <c r="I4905" s="1" t="s">
        <v>17610</v>
      </c>
      <c r="J4905" s="1" t="s">
        <v>3606</v>
      </c>
      <c r="K4905" s="1" t="s">
        <v>17611</v>
      </c>
      <c r="L4905" s="1"/>
      <c r="M4905" s="1"/>
    </row>
    <row x14ac:dyDescent="0.25" r="4906" customHeight="1" ht="18.75">
      <c r="A4906" s="1" t="s">
        <v>3617</v>
      </c>
      <c r="B4906" s="1" t="s">
        <v>3729</v>
      </c>
      <c r="C4906" s="1" t="s">
        <v>3619</v>
      </c>
      <c r="D4906" s="1" t="s">
        <v>7847</v>
      </c>
      <c r="E4906" s="1" t="s">
        <v>3893</v>
      </c>
      <c r="F4906" s="1" t="s">
        <v>17612</v>
      </c>
      <c r="G4906" s="1" t="s">
        <v>17609</v>
      </c>
      <c r="H4906" s="1" t="s">
        <v>3604</v>
      </c>
      <c r="I4906" s="1" t="s">
        <v>17613</v>
      </c>
      <c r="J4906" s="1" t="s">
        <v>3606</v>
      </c>
      <c r="K4906" s="1" t="s">
        <v>17614</v>
      </c>
      <c r="L4906" s="1"/>
      <c r="M4906" s="1"/>
    </row>
    <row x14ac:dyDescent="0.25" r="4907" customHeight="1" ht="18.75">
      <c r="A4907" s="1" t="s">
        <v>3617</v>
      </c>
      <c r="B4907" s="1" t="s">
        <v>3729</v>
      </c>
      <c r="C4907" s="1" t="s">
        <v>3619</v>
      </c>
      <c r="D4907" s="1" t="s">
        <v>7847</v>
      </c>
      <c r="E4907" s="1" t="s">
        <v>3893</v>
      </c>
      <c r="F4907" s="1" t="s">
        <v>17615</v>
      </c>
      <c r="G4907" s="1" t="s">
        <v>17609</v>
      </c>
      <c r="H4907" s="1" t="s">
        <v>3604</v>
      </c>
      <c r="I4907" s="1" t="s">
        <v>17616</v>
      </c>
      <c r="J4907" s="1" t="s">
        <v>3606</v>
      </c>
      <c r="K4907" s="1" t="s">
        <v>17617</v>
      </c>
      <c r="L4907" s="1"/>
      <c r="M4907" s="1"/>
    </row>
    <row x14ac:dyDescent="0.25" r="4908" customHeight="1" ht="18.75">
      <c r="A4908" s="1" t="s">
        <v>3617</v>
      </c>
      <c r="B4908" s="1" t="s">
        <v>3729</v>
      </c>
      <c r="C4908" s="1" t="s">
        <v>3619</v>
      </c>
      <c r="D4908" s="1" t="s">
        <v>7847</v>
      </c>
      <c r="E4908" s="1" t="s">
        <v>3893</v>
      </c>
      <c r="F4908" s="1" t="s">
        <v>17618</v>
      </c>
      <c r="G4908" s="1" t="s">
        <v>11011</v>
      </c>
      <c r="H4908" s="1" t="s">
        <v>3604</v>
      </c>
      <c r="I4908" s="1" t="s">
        <v>17619</v>
      </c>
      <c r="J4908" s="1" t="s">
        <v>3606</v>
      </c>
      <c r="K4908" s="1" t="s">
        <v>17620</v>
      </c>
      <c r="L4908" s="1"/>
      <c r="M4908" s="1"/>
    </row>
    <row x14ac:dyDescent="0.25" r="4909" customHeight="1" ht="18.75">
      <c r="A4909" s="1" t="s">
        <v>3617</v>
      </c>
      <c r="B4909" s="1" t="s">
        <v>3729</v>
      </c>
      <c r="C4909" s="1" t="s">
        <v>3619</v>
      </c>
      <c r="D4909" s="1" t="s">
        <v>7847</v>
      </c>
      <c r="E4909" s="1" t="s">
        <v>3893</v>
      </c>
      <c r="F4909" s="1" t="s">
        <v>17621</v>
      </c>
      <c r="G4909" s="1" t="s">
        <v>11011</v>
      </c>
      <c r="H4909" s="1" t="s">
        <v>3604</v>
      </c>
      <c r="I4909" s="1" t="s">
        <v>17622</v>
      </c>
      <c r="J4909" s="1" t="s">
        <v>3606</v>
      </c>
      <c r="K4909" s="1" t="s">
        <v>17623</v>
      </c>
      <c r="L4909" s="1"/>
      <c r="M4909" s="1"/>
    </row>
    <row x14ac:dyDescent="0.25" r="4910" customHeight="1" ht="18.75">
      <c r="A4910" s="1" t="s">
        <v>3617</v>
      </c>
      <c r="B4910" s="1" t="s">
        <v>3729</v>
      </c>
      <c r="C4910" s="1" t="s">
        <v>3619</v>
      </c>
      <c r="D4910" s="1" t="s">
        <v>7847</v>
      </c>
      <c r="E4910" s="1" t="s">
        <v>3893</v>
      </c>
      <c r="F4910" s="1" t="s">
        <v>17624</v>
      </c>
      <c r="G4910" s="1" t="s">
        <v>11011</v>
      </c>
      <c r="H4910" s="1" t="s">
        <v>3604</v>
      </c>
      <c r="I4910" s="1" t="s">
        <v>17625</v>
      </c>
      <c r="J4910" s="1" t="s">
        <v>3606</v>
      </c>
      <c r="K4910" s="1" t="s">
        <v>17626</v>
      </c>
      <c r="L4910" s="1"/>
      <c r="M4910" s="1"/>
    </row>
    <row x14ac:dyDescent="0.25" r="4911" customHeight="1" ht="18.75">
      <c r="A4911" s="1" t="s">
        <v>3617</v>
      </c>
      <c r="B4911" s="1" t="s">
        <v>3729</v>
      </c>
      <c r="C4911" s="1" t="s">
        <v>3619</v>
      </c>
      <c r="D4911" s="1" t="s">
        <v>7847</v>
      </c>
      <c r="E4911" s="1" t="s">
        <v>3893</v>
      </c>
      <c r="F4911" s="1" t="s">
        <v>17627</v>
      </c>
      <c r="G4911" s="1" t="s">
        <v>11011</v>
      </c>
      <c r="H4911" s="1" t="s">
        <v>3604</v>
      </c>
      <c r="I4911" s="1" t="s">
        <v>17628</v>
      </c>
      <c r="J4911" s="1" t="s">
        <v>3606</v>
      </c>
      <c r="K4911" s="1" t="s">
        <v>17629</v>
      </c>
      <c r="L4911" s="1"/>
      <c r="M4911" s="1"/>
    </row>
    <row x14ac:dyDescent="0.25" r="4912" customHeight="1" ht="18.75">
      <c r="A4912" s="1" t="s">
        <v>3693</v>
      </c>
      <c r="B4912" s="1" t="s">
        <v>4267</v>
      </c>
      <c r="C4912" s="1" t="s">
        <v>3600</v>
      </c>
      <c r="D4912" s="1" t="s">
        <v>3601</v>
      </c>
      <c r="E4912" s="1" t="s">
        <v>3664</v>
      </c>
      <c r="F4912" s="1" t="s">
        <v>17630</v>
      </c>
      <c r="G4912" s="1" t="s">
        <v>4268</v>
      </c>
      <c r="H4912" s="1" t="s">
        <v>3604</v>
      </c>
      <c r="I4912" s="1" t="s">
        <v>17631</v>
      </c>
      <c r="J4912" s="1" t="s">
        <v>3606</v>
      </c>
      <c r="K4912" s="1" t="s">
        <v>17632</v>
      </c>
      <c r="L4912" s="1"/>
      <c r="M4912" s="1"/>
    </row>
    <row x14ac:dyDescent="0.25" r="4913" customHeight="1" ht="18.75">
      <c r="A4913" s="1" t="s">
        <v>3693</v>
      </c>
      <c r="B4913" s="1" t="s">
        <v>4267</v>
      </c>
      <c r="C4913" s="1" t="s">
        <v>3600</v>
      </c>
      <c r="D4913" s="1" t="s">
        <v>3601</v>
      </c>
      <c r="E4913" s="1" t="s">
        <v>3664</v>
      </c>
      <c r="F4913" s="1" t="s">
        <v>17633</v>
      </c>
      <c r="G4913" s="1" t="s">
        <v>4268</v>
      </c>
      <c r="H4913" s="1" t="s">
        <v>3604</v>
      </c>
      <c r="I4913" s="1" t="s">
        <v>17634</v>
      </c>
      <c r="J4913" s="1" t="s">
        <v>3606</v>
      </c>
      <c r="K4913" s="1"/>
      <c r="L4913" s="1"/>
      <c r="M4913" s="1"/>
    </row>
    <row x14ac:dyDescent="0.25" r="4914" customHeight="1" ht="18.75">
      <c r="A4914" s="1" t="s">
        <v>3598</v>
      </c>
      <c r="B4914" s="1" t="s">
        <v>14104</v>
      </c>
      <c r="C4914" s="1" t="s">
        <v>3600</v>
      </c>
      <c r="D4914" s="1" t="s">
        <v>7847</v>
      </c>
      <c r="E4914" s="1" t="s">
        <v>3893</v>
      </c>
      <c r="F4914" s="1" t="s">
        <v>17635</v>
      </c>
      <c r="G4914" s="1" t="s">
        <v>17636</v>
      </c>
      <c r="H4914" s="1" t="s">
        <v>3604</v>
      </c>
      <c r="I4914" s="1" t="s">
        <v>17637</v>
      </c>
      <c r="J4914" s="1" t="s">
        <v>3606</v>
      </c>
      <c r="K4914" s="1" t="s">
        <v>17638</v>
      </c>
      <c r="L4914" s="1"/>
      <c r="M4914" s="1"/>
    </row>
    <row x14ac:dyDescent="0.25" r="4915" customHeight="1" ht="18.75">
      <c r="A4915" s="1" t="s">
        <v>3598</v>
      </c>
      <c r="B4915" s="1" t="s">
        <v>14104</v>
      </c>
      <c r="C4915" s="1" t="s">
        <v>3600</v>
      </c>
      <c r="D4915" s="1" t="s">
        <v>7847</v>
      </c>
      <c r="E4915" s="1" t="s">
        <v>3893</v>
      </c>
      <c r="F4915" s="1" t="s">
        <v>17639</v>
      </c>
      <c r="G4915" s="1" t="s">
        <v>17636</v>
      </c>
      <c r="H4915" s="1" t="s">
        <v>3604</v>
      </c>
      <c r="I4915" s="1" t="s">
        <v>17640</v>
      </c>
      <c r="J4915" s="1" t="s">
        <v>3606</v>
      </c>
      <c r="K4915" s="1" t="s">
        <v>17641</v>
      </c>
      <c r="L4915" s="1"/>
      <c r="M4915" s="1"/>
    </row>
    <row x14ac:dyDescent="0.25" r="4916" customHeight="1" ht="18.75">
      <c r="A4916" s="1" t="s">
        <v>3598</v>
      </c>
      <c r="B4916" s="1" t="s">
        <v>14104</v>
      </c>
      <c r="C4916" s="1" t="s">
        <v>3600</v>
      </c>
      <c r="D4916" s="1" t="s">
        <v>7847</v>
      </c>
      <c r="E4916" s="1" t="s">
        <v>3893</v>
      </c>
      <c r="F4916" s="1" t="s">
        <v>17642</v>
      </c>
      <c r="G4916" s="1" t="s">
        <v>17643</v>
      </c>
      <c r="H4916" s="1" t="s">
        <v>3604</v>
      </c>
      <c r="I4916" s="1" t="s">
        <v>17644</v>
      </c>
      <c r="J4916" s="1" t="s">
        <v>3606</v>
      </c>
      <c r="K4916" s="1" t="s">
        <v>17645</v>
      </c>
      <c r="L4916" s="1"/>
      <c r="M4916" s="1"/>
    </row>
    <row x14ac:dyDescent="0.25" r="4917" customHeight="1" ht="18.75">
      <c r="A4917" s="1" t="s">
        <v>3617</v>
      </c>
      <c r="B4917" s="1" t="s">
        <v>13135</v>
      </c>
      <c r="C4917" s="1" t="s">
        <v>4488</v>
      </c>
      <c r="D4917" s="1" t="s">
        <v>7891</v>
      </c>
      <c r="E4917" s="1" t="s">
        <v>4478</v>
      </c>
      <c r="F4917" s="1" t="s">
        <v>17646</v>
      </c>
      <c r="G4917" s="1" t="s">
        <v>8394</v>
      </c>
      <c r="H4917" s="1" t="s">
        <v>3604</v>
      </c>
      <c r="I4917" s="1" t="s">
        <v>17647</v>
      </c>
      <c r="J4917" s="1" t="s">
        <v>3606</v>
      </c>
      <c r="K4917" s="1" t="s">
        <v>17648</v>
      </c>
      <c r="L4917" s="1"/>
      <c r="M4917" s="1"/>
    </row>
    <row x14ac:dyDescent="0.25" r="4918" customHeight="1" ht="18.75">
      <c r="A4918" s="1" t="s">
        <v>3617</v>
      </c>
      <c r="B4918" s="1" t="s">
        <v>13135</v>
      </c>
      <c r="C4918" s="1" t="s">
        <v>4488</v>
      </c>
      <c r="D4918" s="1" t="s">
        <v>7891</v>
      </c>
      <c r="E4918" s="1" t="s">
        <v>4478</v>
      </c>
      <c r="F4918" s="1" t="s">
        <v>17649</v>
      </c>
      <c r="G4918" s="1" t="s">
        <v>8394</v>
      </c>
      <c r="H4918" s="1" t="s">
        <v>3604</v>
      </c>
      <c r="I4918" s="1" t="s">
        <v>17650</v>
      </c>
      <c r="J4918" s="1" t="s">
        <v>3606</v>
      </c>
      <c r="K4918" s="1" t="s">
        <v>17651</v>
      </c>
      <c r="L4918" s="1"/>
      <c r="M4918" s="1"/>
    </row>
    <row x14ac:dyDescent="0.25" r="4919" customHeight="1" ht="18.75">
      <c r="A4919" s="1" t="s">
        <v>3617</v>
      </c>
      <c r="B4919" s="1" t="s">
        <v>13135</v>
      </c>
      <c r="C4919" s="1" t="s">
        <v>4488</v>
      </c>
      <c r="D4919" s="1" t="s">
        <v>7891</v>
      </c>
      <c r="E4919" s="1" t="s">
        <v>4478</v>
      </c>
      <c r="F4919" s="1" t="s">
        <v>17652</v>
      </c>
      <c r="G4919" s="1" t="s">
        <v>8394</v>
      </c>
      <c r="H4919" s="1" t="s">
        <v>3604</v>
      </c>
      <c r="I4919" s="1" t="s">
        <v>17653</v>
      </c>
      <c r="J4919" s="1" t="s">
        <v>3606</v>
      </c>
      <c r="K4919" s="1" t="s">
        <v>17654</v>
      </c>
      <c r="L4919" s="1"/>
      <c r="M4919" s="1"/>
    </row>
    <row x14ac:dyDescent="0.25" r="4920" customHeight="1" ht="18.75">
      <c r="A4920" s="1" t="s">
        <v>3617</v>
      </c>
      <c r="B4920" s="1" t="s">
        <v>13135</v>
      </c>
      <c r="C4920" s="1" t="s">
        <v>4488</v>
      </c>
      <c r="D4920" s="1" t="s">
        <v>7891</v>
      </c>
      <c r="E4920" s="1" t="s">
        <v>4478</v>
      </c>
      <c r="F4920" s="1" t="s">
        <v>17655</v>
      </c>
      <c r="G4920" s="1" t="s">
        <v>8394</v>
      </c>
      <c r="H4920" s="1" t="s">
        <v>3604</v>
      </c>
      <c r="I4920" s="1" t="s">
        <v>17656</v>
      </c>
      <c r="J4920" s="1" t="s">
        <v>3606</v>
      </c>
      <c r="K4920" s="1" t="s">
        <v>17657</v>
      </c>
      <c r="L4920" s="1"/>
      <c r="M4920" s="1"/>
    </row>
    <row x14ac:dyDescent="0.25" r="4921" customHeight="1" ht="18.75">
      <c r="A4921" s="1" t="s">
        <v>3617</v>
      </c>
      <c r="B4921" s="1" t="s">
        <v>13135</v>
      </c>
      <c r="C4921" s="1" t="s">
        <v>4488</v>
      </c>
      <c r="D4921" s="1" t="s">
        <v>7891</v>
      </c>
      <c r="E4921" s="1" t="s">
        <v>4478</v>
      </c>
      <c r="F4921" s="1" t="s">
        <v>17658</v>
      </c>
      <c r="G4921" s="1" t="s">
        <v>8394</v>
      </c>
      <c r="H4921" s="1" t="s">
        <v>3604</v>
      </c>
      <c r="I4921" s="1" t="s">
        <v>17659</v>
      </c>
      <c r="J4921" s="1" t="s">
        <v>3606</v>
      </c>
      <c r="K4921" s="1" t="s">
        <v>17660</v>
      </c>
      <c r="L4921" s="1"/>
      <c r="M4921" s="1"/>
    </row>
    <row x14ac:dyDescent="0.25" r="4922" customHeight="1" ht="18.75">
      <c r="A4922" s="1" t="s">
        <v>3617</v>
      </c>
      <c r="B4922" s="1" t="s">
        <v>13135</v>
      </c>
      <c r="C4922" s="1" t="s">
        <v>4488</v>
      </c>
      <c r="D4922" s="1" t="s">
        <v>7891</v>
      </c>
      <c r="E4922" s="1" t="s">
        <v>4478</v>
      </c>
      <c r="F4922" s="1" t="s">
        <v>17661</v>
      </c>
      <c r="G4922" s="1" t="s">
        <v>8394</v>
      </c>
      <c r="H4922" s="1" t="s">
        <v>3604</v>
      </c>
      <c r="I4922" s="1" t="s">
        <v>17662</v>
      </c>
      <c r="J4922" s="1" t="s">
        <v>3606</v>
      </c>
      <c r="K4922" s="1" t="s">
        <v>17663</v>
      </c>
      <c r="L4922" s="1"/>
      <c r="M4922" s="1"/>
    </row>
    <row x14ac:dyDescent="0.25" r="4923" customHeight="1" ht="18.75">
      <c r="A4923" s="1" t="s">
        <v>3617</v>
      </c>
      <c r="B4923" s="1" t="s">
        <v>13135</v>
      </c>
      <c r="C4923" s="1" t="s">
        <v>4488</v>
      </c>
      <c r="D4923" s="1" t="s">
        <v>7891</v>
      </c>
      <c r="E4923" s="1" t="s">
        <v>4478</v>
      </c>
      <c r="F4923" s="1" t="s">
        <v>17664</v>
      </c>
      <c r="G4923" s="1" t="s">
        <v>8394</v>
      </c>
      <c r="H4923" s="1" t="s">
        <v>3604</v>
      </c>
      <c r="I4923" s="1" t="s">
        <v>17665</v>
      </c>
      <c r="J4923" s="1" t="s">
        <v>3606</v>
      </c>
      <c r="K4923" s="1" t="s">
        <v>17666</v>
      </c>
      <c r="L4923" s="1"/>
      <c r="M4923" s="1"/>
    </row>
    <row x14ac:dyDescent="0.25" r="4924" customHeight="1" ht="18.75">
      <c r="A4924" s="1" t="s">
        <v>3617</v>
      </c>
      <c r="B4924" s="1" t="s">
        <v>13135</v>
      </c>
      <c r="C4924" s="1" t="s">
        <v>4488</v>
      </c>
      <c r="D4924" s="1" t="s">
        <v>7891</v>
      </c>
      <c r="E4924" s="1" t="s">
        <v>4478</v>
      </c>
      <c r="F4924" s="1" t="s">
        <v>17667</v>
      </c>
      <c r="G4924" s="1" t="s">
        <v>8394</v>
      </c>
      <c r="H4924" s="1" t="s">
        <v>3604</v>
      </c>
      <c r="I4924" s="1" t="s">
        <v>17668</v>
      </c>
      <c r="J4924" s="1" t="s">
        <v>3606</v>
      </c>
      <c r="K4924" s="1" t="s">
        <v>17669</v>
      </c>
      <c r="L4924" s="1"/>
      <c r="M4924" s="1"/>
    </row>
    <row x14ac:dyDescent="0.25" r="4925" customHeight="1" ht="18.75">
      <c r="A4925" s="1" t="s">
        <v>3617</v>
      </c>
      <c r="B4925" s="1" t="s">
        <v>13135</v>
      </c>
      <c r="C4925" s="1" t="s">
        <v>4488</v>
      </c>
      <c r="D4925" s="1" t="s">
        <v>7891</v>
      </c>
      <c r="E4925" s="1" t="s">
        <v>4478</v>
      </c>
      <c r="F4925" s="1" t="s">
        <v>17670</v>
      </c>
      <c r="G4925" s="1" t="s">
        <v>8394</v>
      </c>
      <c r="H4925" s="1" t="s">
        <v>3604</v>
      </c>
      <c r="I4925" s="1" t="s">
        <v>17671</v>
      </c>
      <c r="J4925" s="1" t="s">
        <v>3606</v>
      </c>
      <c r="K4925" s="1" t="s">
        <v>17672</v>
      </c>
      <c r="L4925" s="1"/>
      <c r="M4925" s="1"/>
    </row>
    <row x14ac:dyDescent="0.25" r="4926" customHeight="1" ht="18.75">
      <c r="A4926" s="1" t="s">
        <v>3617</v>
      </c>
      <c r="B4926" s="1" t="s">
        <v>13135</v>
      </c>
      <c r="C4926" s="1" t="s">
        <v>4488</v>
      </c>
      <c r="D4926" s="1" t="s">
        <v>7891</v>
      </c>
      <c r="E4926" s="1" t="s">
        <v>4478</v>
      </c>
      <c r="F4926" s="1" t="s">
        <v>17673</v>
      </c>
      <c r="G4926" s="1" t="s">
        <v>8394</v>
      </c>
      <c r="H4926" s="1" t="s">
        <v>3604</v>
      </c>
      <c r="I4926" s="1" t="s">
        <v>17674</v>
      </c>
      <c r="J4926" s="1" t="s">
        <v>3606</v>
      </c>
      <c r="K4926" s="1" t="s">
        <v>17675</v>
      </c>
      <c r="L4926" s="1"/>
      <c r="M4926" s="1"/>
    </row>
    <row x14ac:dyDescent="0.25" r="4927" customHeight="1" ht="18.75">
      <c r="A4927" s="1" t="s">
        <v>3617</v>
      </c>
      <c r="B4927" s="1" t="s">
        <v>13135</v>
      </c>
      <c r="C4927" s="1" t="s">
        <v>4488</v>
      </c>
      <c r="D4927" s="1" t="s">
        <v>7891</v>
      </c>
      <c r="E4927" s="1" t="s">
        <v>4478</v>
      </c>
      <c r="F4927" s="1" t="s">
        <v>17676</v>
      </c>
      <c r="G4927" s="1" t="s">
        <v>8394</v>
      </c>
      <c r="H4927" s="1" t="s">
        <v>3604</v>
      </c>
      <c r="I4927" s="1" t="s">
        <v>17677</v>
      </c>
      <c r="J4927" s="1" t="s">
        <v>3606</v>
      </c>
      <c r="K4927" s="1" t="s">
        <v>17678</v>
      </c>
      <c r="L4927" s="1"/>
      <c r="M4927" s="1"/>
    </row>
    <row x14ac:dyDescent="0.25" r="4928" customHeight="1" ht="18.75">
      <c r="A4928" s="1" t="s">
        <v>3617</v>
      </c>
      <c r="B4928" s="1" t="s">
        <v>13135</v>
      </c>
      <c r="C4928" s="1" t="s">
        <v>4488</v>
      </c>
      <c r="D4928" s="1" t="s">
        <v>7891</v>
      </c>
      <c r="E4928" s="1" t="s">
        <v>4478</v>
      </c>
      <c r="F4928" s="1" t="s">
        <v>17679</v>
      </c>
      <c r="G4928" s="1" t="s">
        <v>8394</v>
      </c>
      <c r="H4928" s="1" t="s">
        <v>3604</v>
      </c>
      <c r="I4928" s="1" t="s">
        <v>17680</v>
      </c>
      <c r="J4928" s="1" t="s">
        <v>3606</v>
      </c>
      <c r="K4928" s="1" t="s">
        <v>17681</v>
      </c>
      <c r="L4928" s="1"/>
      <c r="M4928" s="1"/>
    </row>
    <row x14ac:dyDescent="0.25" r="4929" customHeight="1" ht="18.75">
      <c r="A4929" s="1" t="s">
        <v>3617</v>
      </c>
      <c r="B4929" s="1" t="s">
        <v>3617</v>
      </c>
      <c r="C4929" s="1" t="s">
        <v>3619</v>
      </c>
      <c r="D4929" s="1" t="s">
        <v>3601</v>
      </c>
      <c r="E4929" s="1" t="s">
        <v>3730</v>
      </c>
      <c r="F4929" s="1" t="s">
        <v>17682</v>
      </c>
      <c r="G4929" s="1" t="s">
        <v>17683</v>
      </c>
      <c r="H4929" s="1" t="s">
        <v>3604</v>
      </c>
      <c r="I4929" s="1" t="s">
        <v>17684</v>
      </c>
      <c r="J4929" s="1" t="s">
        <v>3615</v>
      </c>
      <c r="K4929" s="1"/>
      <c r="L4929" s="1"/>
      <c r="M4929" s="1"/>
    </row>
    <row x14ac:dyDescent="0.25" r="4930" customHeight="1" ht="18.75">
      <c r="A4930" s="1" t="s">
        <v>3617</v>
      </c>
      <c r="B4930" s="1" t="s">
        <v>5108</v>
      </c>
      <c r="C4930" s="1" t="s">
        <v>3619</v>
      </c>
      <c r="D4930" s="1" t="s">
        <v>8100</v>
      </c>
      <c r="E4930" s="1" t="s">
        <v>3893</v>
      </c>
      <c r="F4930" s="1" t="s">
        <v>17685</v>
      </c>
      <c r="G4930" s="1" t="s">
        <v>17686</v>
      </c>
      <c r="H4930" s="1" t="s">
        <v>3604</v>
      </c>
      <c r="I4930" s="1" t="s">
        <v>17687</v>
      </c>
      <c r="J4930" s="1" t="s">
        <v>3615</v>
      </c>
      <c r="K4930" s="1" t="s">
        <v>17688</v>
      </c>
      <c r="L4930" s="1"/>
      <c r="M4930" s="1"/>
    </row>
    <row x14ac:dyDescent="0.25" r="4931" customHeight="1" ht="18.75">
      <c r="A4931" s="1" t="s">
        <v>3617</v>
      </c>
      <c r="B4931" s="1" t="s">
        <v>5108</v>
      </c>
      <c r="C4931" s="1" t="s">
        <v>3619</v>
      </c>
      <c r="D4931" s="1" t="s">
        <v>8100</v>
      </c>
      <c r="E4931" s="1" t="s">
        <v>3893</v>
      </c>
      <c r="F4931" s="1" t="s">
        <v>17689</v>
      </c>
      <c r="G4931" s="1" t="s">
        <v>17686</v>
      </c>
      <c r="H4931" s="1" t="s">
        <v>3604</v>
      </c>
      <c r="I4931" s="1" t="s">
        <v>17690</v>
      </c>
      <c r="J4931" s="1" t="s">
        <v>3615</v>
      </c>
      <c r="K4931" s="1" t="s">
        <v>17691</v>
      </c>
      <c r="L4931" s="1"/>
      <c r="M4931" s="1"/>
    </row>
    <row x14ac:dyDescent="0.25" r="4932" customHeight="1" ht="18.75">
      <c r="A4932" s="1" t="s">
        <v>3617</v>
      </c>
      <c r="B4932" s="1" t="s">
        <v>5108</v>
      </c>
      <c r="C4932" s="1" t="s">
        <v>3619</v>
      </c>
      <c r="D4932" s="1" t="s">
        <v>8100</v>
      </c>
      <c r="E4932" s="1" t="s">
        <v>3893</v>
      </c>
      <c r="F4932" s="1" t="s">
        <v>17692</v>
      </c>
      <c r="G4932" s="1" t="s">
        <v>17686</v>
      </c>
      <c r="H4932" s="1" t="s">
        <v>3604</v>
      </c>
      <c r="I4932" s="1" t="s">
        <v>17693</v>
      </c>
      <c r="J4932" s="1" t="s">
        <v>3615</v>
      </c>
      <c r="K4932" s="1" t="s">
        <v>17694</v>
      </c>
      <c r="L4932" s="1"/>
      <c r="M4932" s="1"/>
    </row>
    <row x14ac:dyDescent="0.25" r="4933" customHeight="1" ht="18.75">
      <c r="A4933" s="1" t="s">
        <v>3617</v>
      </c>
      <c r="B4933" s="1" t="s">
        <v>5108</v>
      </c>
      <c r="C4933" s="1" t="s">
        <v>3619</v>
      </c>
      <c r="D4933" s="1" t="s">
        <v>8100</v>
      </c>
      <c r="E4933" s="1" t="s">
        <v>3893</v>
      </c>
      <c r="F4933" s="1" t="s">
        <v>17695</v>
      </c>
      <c r="G4933" s="1" t="s">
        <v>17686</v>
      </c>
      <c r="H4933" s="1" t="s">
        <v>3604</v>
      </c>
      <c r="I4933" s="1" t="s">
        <v>17696</v>
      </c>
      <c r="J4933" s="1" t="s">
        <v>3615</v>
      </c>
      <c r="K4933" s="1" t="s">
        <v>17697</v>
      </c>
      <c r="L4933" s="1"/>
      <c r="M4933" s="1"/>
    </row>
    <row x14ac:dyDescent="0.25" r="4934" customHeight="1" ht="18.75">
      <c r="A4934" s="1" t="s">
        <v>3617</v>
      </c>
      <c r="B4934" s="1" t="s">
        <v>17698</v>
      </c>
      <c r="C4934" s="1" t="s">
        <v>3619</v>
      </c>
      <c r="D4934" s="1" t="s">
        <v>3601</v>
      </c>
      <c r="E4934" s="1" t="s">
        <v>3893</v>
      </c>
      <c r="F4934" s="1" t="s">
        <v>17699</v>
      </c>
      <c r="G4934" s="1" t="s">
        <v>17700</v>
      </c>
      <c r="H4934" s="1" t="s">
        <v>3604</v>
      </c>
      <c r="I4934" s="1" t="s">
        <v>17701</v>
      </c>
      <c r="J4934" s="1" t="s">
        <v>3606</v>
      </c>
      <c r="K4934" s="1"/>
      <c r="L4934" s="1"/>
      <c r="M4934" s="1"/>
    </row>
    <row x14ac:dyDescent="0.25" r="4935" customHeight="1" ht="18.75">
      <c r="A4935" s="1" t="s">
        <v>3617</v>
      </c>
      <c r="B4935" s="1" t="s">
        <v>17702</v>
      </c>
      <c r="C4935" s="1" t="s">
        <v>3619</v>
      </c>
      <c r="D4935" s="1" t="s">
        <v>3601</v>
      </c>
      <c r="E4935" s="1" t="s">
        <v>3730</v>
      </c>
      <c r="F4935" s="1" t="s">
        <v>17703</v>
      </c>
      <c r="G4935" s="1" t="s">
        <v>14156</v>
      </c>
      <c r="H4935" s="1" t="s">
        <v>3604</v>
      </c>
      <c r="I4935" s="1" t="s">
        <v>17704</v>
      </c>
      <c r="J4935" s="1" t="s">
        <v>3606</v>
      </c>
      <c r="K4935" s="1" t="s">
        <v>17705</v>
      </c>
      <c r="L4935" s="1"/>
      <c r="M4935" s="1"/>
    </row>
    <row x14ac:dyDescent="0.25" r="4936" customHeight="1" ht="18.75">
      <c r="A4936" s="1" t="s">
        <v>3617</v>
      </c>
      <c r="B4936" s="1" t="s">
        <v>17702</v>
      </c>
      <c r="C4936" s="1" t="s">
        <v>3619</v>
      </c>
      <c r="D4936" s="1" t="s">
        <v>3601</v>
      </c>
      <c r="E4936" s="1" t="s">
        <v>3730</v>
      </c>
      <c r="F4936" s="1" t="s">
        <v>17706</v>
      </c>
      <c r="G4936" s="1" t="s">
        <v>17707</v>
      </c>
      <c r="H4936" s="1" t="s">
        <v>3604</v>
      </c>
      <c r="I4936" s="1" t="s">
        <v>17708</v>
      </c>
      <c r="J4936" s="1" t="s">
        <v>3606</v>
      </c>
      <c r="K4936" s="1" t="s">
        <v>17709</v>
      </c>
      <c r="L4936" s="1"/>
      <c r="M4936" s="1"/>
    </row>
    <row x14ac:dyDescent="0.25" r="4937" customHeight="1" ht="18.75">
      <c r="A4937" s="1" t="s">
        <v>3617</v>
      </c>
      <c r="B4937" s="1" t="s">
        <v>17702</v>
      </c>
      <c r="C4937" s="1" t="s">
        <v>3619</v>
      </c>
      <c r="D4937" s="1" t="s">
        <v>3601</v>
      </c>
      <c r="E4937" s="1" t="s">
        <v>3730</v>
      </c>
      <c r="F4937" s="1" t="s">
        <v>17710</v>
      </c>
      <c r="G4937" s="1" t="s">
        <v>17711</v>
      </c>
      <c r="H4937" s="1" t="s">
        <v>3604</v>
      </c>
      <c r="I4937" s="1" t="s">
        <v>17712</v>
      </c>
      <c r="J4937" s="1" t="s">
        <v>3606</v>
      </c>
      <c r="K4937" s="1" t="s">
        <v>17713</v>
      </c>
      <c r="L4937" s="1"/>
      <c r="M4937" s="1"/>
    </row>
    <row x14ac:dyDescent="0.25" r="4938" customHeight="1" ht="18.75">
      <c r="A4938" s="1" t="s">
        <v>3617</v>
      </c>
      <c r="B4938" s="1" t="s">
        <v>17702</v>
      </c>
      <c r="C4938" s="1" t="s">
        <v>3619</v>
      </c>
      <c r="D4938" s="1" t="s">
        <v>3601</v>
      </c>
      <c r="E4938" s="1" t="s">
        <v>3730</v>
      </c>
      <c r="F4938" s="1" t="s">
        <v>17714</v>
      </c>
      <c r="G4938" s="1" t="s">
        <v>17711</v>
      </c>
      <c r="H4938" s="1" t="s">
        <v>3604</v>
      </c>
      <c r="I4938" s="1" t="s">
        <v>17715</v>
      </c>
      <c r="J4938" s="1" t="s">
        <v>3606</v>
      </c>
      <c r="K4938" s="1" t="s">
        <v>17716</v>
      </c>
      <c r="L4938" s="1"/>
      <c r="M4938" s="1"/>
    </row>
    <row x14ac:dyDescent="0.25" r="4939" customHeight="1" ht="18.75">
      <c r="A4939" s="1" t="s">
        <v>3617</v>
      </c>
      <c r="B4939" s="1" t="s">
        <v>17702</v>
      </c>
      <c r="C4939" s="1" t="s">
        <v>3619</v>
      </c>
      <c r="D4939" s="1" t="s">
        <v>3601</v>
      </c>
      <c r="E4939" s="1" t="s">
        <v>3730</v>
      </c>
      <c r="F4939" s="1" t="s">
        <v>17717</v>
      </c>
      <c r="G4939" s="1" t="s">
        <v>17718</v>
      </c>
      <c r="H4939" s="1" t="s">
        <v>3604</v>
      </c>
      <c r="I4939" s="1" t="s">
        <v>17719</v>
      </c>
      <c r="J4939" s="1" t="s">
        <v>3606</v>
      </c>
      <c r="K4939" s="1" t="s">
        <v>17720</v>
      </c>
      <c r="L4939" s="1"/>
      <c r="M4939" s="1"/>
    </row>
    <row x14ac:dyDescent="0.25" r="4940" customHeight="1" ht="18.75">
      <c r="A4940" s="1" t="s">
        <v>3693</v>
      </c>
      <c r="B4940" s="1" t="s">
        <v>5615</v>
      </c>
      <c r="C4940" s="1" t="s">
        <v>3600</v>
      </c>
      <c r="D4940" s="1" t="s">
        <v>3601</v>
      </c>
      <c r="E4940" s="1" t="s">
        <v>3611</v>
      </c>
      <c r="F4940" s="1" t="s">
        <v>17721</v>
      </c>
      <c r="G4940" s="1" t="s">
        <v>17722</v>
      </c>
      <c r="H4940" s="1" t="s">
        <v>3604</v>
      </c>
      <c r="I4940" s="1" t="s">
        <v>17723</v>
      </c>
      <c r="J4940" s="1" t="s">
        <v>3615</v>
      </c>
      <c r="K4940" s="1" t="s">
        <v>17724</v>
      </c>
      <c r="L4940" s="1"/>
      <c r="M4940" s="1"/>
    </row>
    <row x14ac:dyDescent="0.25" r="4941" customHeight="1" ht="18.75">
      <c r="A4941" s="1" t="s">
        <v>3693</v>
      </c>
      <c r="B4941" s="1" t="s">
        <v>5615</v>
      </c>
      <c r="C4941" s="1" t="s">
        <v>3600</v>
      </c>
      <c r="D4941" s="1" t="s">
        <v>3601</v>
      </c>
      <c r="E4941" s="1" t="s">
        <v>3611</v>
      </c>
      <c r="F4941" s="1" t="s">
        <v>17725</v>
      </c>
      <c r="G4941" s="1" t="s">
        <v>17726</v>
      </c>
      <c r="H4941" s="1" t="s">
        <v>3604</v>
      </c>
      <c r="I4941" s="1" t="s">
        <v>17727</v>
      </c>
      <c r="J4941" s="1" t="s">
        <v>3615</v>
      </c>
      <c r="K4941" s="1" t="s">
        <v>17728</v>
      </c>
      <c r="L4941" s="1"/>
      <c r="M4941" s="1"/>
    </row>
    <row x14ac:dyDescent="0.25" r="4942" customHeight="1" ht="18.75">
      <c r="A4942" s="1" t="s">
        <v>3693</v>
      </c>
      <c r="B4942" s="1" t="s">
        <v>5615</v>
      </c>
      <c r="C4942" s="1" t="s">
        <v>3600</v>
      </c>
      <c r="D4942" s="1" t="s">
        <v>3601</v>
      </c>
      <c r="E4942" s="1" t="s">
        <v>3611</v>
      </c>
      <c r="F4942" s="1" t="s">
        <v>17729</v>
      </c>
      <c r="G4942" s="1" t="s">
        <v>17730</v>
      </c>
      <c r="H4942" s="1" t="s">
        <v>3604</v>
      </c>
      <c r="I4942" s="1" t="s">
        <v>17731</v>
      </c>
      <c r="J4942" s="1" t="s">
        <v>3615</v>
      </c>
      <c r="K4942" s="1" t="s">
        <v>17732</v>
      </c>
      <c r="L4942" s="1"/>
      <c r="M4942" s="1"/>
    </row>
    <row x14ac:dyDescent="0.25" r="4943" customHeight="1" ht="18.75">
      <c r="A4943" s="1" t="s">
        <v>3693</v>
      </c>
      <c r="B4943" s="1" t="s">
        <v>5615</v>
      </c>
      <c r="C4943" s="1" t="s">
        <v>3600</v>
      </c>
      <c r="D4943" s="1" t="s">
        <v>3601</v>
      </c>
      <c r="E4943" s="1" t="s">
        <v>3611</v>
      </c>
      <c r="F4943" s="1" t="s">
        <v>17733</v>
      </c>
      <c r="G4943" s="1" t="s">
        <v>17734</v>
      </c>
      <c r="H4943" s="1" t="s">
        <v>3604</v>
      </c>
      <c r="I4943" s="1" t="s">
        <v>17735</v>
      </c>
      <c r="J4943" s="1" t="s">
        <v>3615</v>
      </c>
      <c r="K4943" s="1" t="s">
        <v>17736</v>
      </c>
      <c r="L4943" s="1"/>
      <c r="M4943" s="1"/>
    </row>
    <row x14ac:dyDescent="0.25" r="4944" customHeight="1" ht="18.75">
      <c r="A4944" s="1" t="s">
        <v>3693</v>
      </c>
      <c r="B4944" s="1" t="s">
        <v>5615</v>
      </c>
      <c r="C4944" s="1" t="s">
        <v>3600</v>
      </c>
      <c r="D4944" s="1" t="s">
        <v>3601</v>
      </c>
      <c r="E4944" s="1" t="s">
        <v>3611</v>
      </c>
      <c r="F4944" s="1" t="s">
        <v>17737</v>
      </c>
      <c r="G4944" s="1" t="s">
        <v>17738</v>
      </c>
      <c r="H4944" s="1" t="s">
        <v>3604</v>
      </c>
      <c r="I4944" s="1" t="s">
        <v>17739</v>
      </c>
      <c r="J4944" s="1" t="s">
        <v>3615</v>
      </c>
      <c r="K4944" s="1" t="s">
        <v>17740</v>
      </c>
      <c r="L4944" s="1"/>
      <c r="M4944" s="1"/>
    </row>
    <row x14ac:dyDescent="0.25" r="4945" customHeight="1" ht="18.75">
      <c r="A4945" s="1" t="s">
        <v>3693</v>
      </c>
      <c r="B4945" s="1" t="s">
        <v>4083</v>
      </c>
      <c r="C4945" s="1" t="s">
        <v>3600</v>
      </c>
      <c r="D4945" s="1" t="s">
        <v>7847</v>
      </c>
      <c r="E4945" s="1" t="s">
        <v>3664</v>
      </c>
      <c r="F4945" s="1" t="s">
        <v>17741</v>
      </c>
      <c r="G4945" s="1" t="s">
        <v>4483</v>
      </c>
      <c r="H4945" s="1" t="s">
        <v>3604</v>
      </c>
      <c r="I4945" s="1" t="s">
        <v>17742</v>
      </c>
      <c r="J4945" s="1" t="s">
        <v>3606</v>
      </c>
      <c r="K4945" s="1" t="s">
        <v>17743</v>
      </c>
      <c r="L4945" s="1"/>
      <c r="M4945" s="1"/>
    </row>
    <row x14ac:dyDescent="0.25" r="4946" customHeight="1" ht="18.75">
      <c r="A4946" s="1" t="s">
        <v>3617</v>
      </c>
      <c r="B4946" s="1" t="s">
        <v>3729</v>
      </c>
      <c r="C4946" s="1" t="s">
        <v>3619</v>
      </c>
      <c r="D4946" s="1" t="s">
        <v>8100</v>
      </c>
      <c r="E4946" s="1" t="s">
        <v>4478</v>
      </c>
      <c r="F4946" s="1" t="s">
        <v>17744</v>
      </c>
      <c r="G4946" s="1" t="s">
        <v>4573</v>
      </c>
      <c r="H4946" s="1" t="s">
        <v>3604</v>
      </c>
      <c r="I4946" s="1" t="s">
        <v>17745</v>
      </c>
      <c r="J4946" s="1" t="s">
        <v>3606</v>
      </c>
      <c r="K4946" s="1" t="s">
        <v>17746</v>
      </c>
      <c r="L4946" s="1"/>
      <c r="M4946" s="1"/>
    </row>
    <row x14ac:dyDescent="0.25" r="4947" customHeight="1" ht="18.75">
      <c r="A4947" s="1" t="s">
        <v>3617</v>
      </c>
      <c r="B4947" s="1" t="s">
        <v>3729</v>
      </c>
      <c r="C4947" s="1" t="s">
        <v>3619</v>
      </c>
      <c r="D4947" s="1" t="s">
        <v>8100</v>
      </c>
      <c r="E4947" s="1" t="s">
        <v>4478</v>
      </c>
      <c r="F4947" s="1" t="s">
        <v>17747</v>
      </c>
      <c r="G4947" s="1" t="s">
        <v>4573</v>
      </c>
      <c r="H4947" s="1" t="s">
        <v>3604</v>
      </c>
      <c r="I4947" s="1" t="s">
        <v>17748</v>
      </c>
      <c r="J4947" s="1" t="s">
        <v>3606</v>
      </c>
      <c r="K4947" s="1" t="s">
        <v>17749</v>
      </c>
      <c r="L4947" s="1"/>
      <c r="M4947" s="1"/>
    </row>
    <row x14ac:dyDescent="0.25" r="4948" customHeight="1" ht="18.75">
      <c r="A4948" s="1" t="s">
        <v>3617</v>
      </c>
      <c r="B4948" s="1" t="s">
        <v>3729</v>
      </c>
      <c r="C4948" s="1" t="s">
        <v>3619</v>
      </c>
      <c r="D4948" s="1" t="s">
        <v>8100</v>
      </c>
      <c r="E4948" s="1" t="s">
        <v>4478</v>
      </c>
      <c r="F4948" s="1" t="s">
        <v>17750</v>
      </c>
      <c r="G4948" s="1" t="s">
        <v>4573</v>
      </c>
      <c r="H4948" s="1" t="s">
        <v>3604</v>
      </c>
      <c r="I4948" s="1" t="s">
        <v>17751</v>
      </c>
      <c r="J4948" s="1" t="s">
        <v>3606</v>
      </c>
      <c r="K4948" s="1" t="s">
        <v>17752</v>
      </c>
      <c r="L4948" s="1"/>
      <c r="M4948" s="1"/>
    </row>
    <row x14ac:dyDescent="0.25" r="4949" customHeight="1" ht="18.75">
      <c r="A4949" s="1" t="s">
        <v>3617</v>
      </c>
      <c r="B4949" s="1" t="s">
        <v>3729</v>
      </c>
      <c r="C4949" s="1" t="s">
        <v>3619</v>
      </c>
      <c r="D4949" s="1" t="s">
        <v>7847</v>
      </c>
      <c r="E4949" s="1" t="s">
        <v>4478</v>
      </c>
      <c r="F4949" s="1" t="s">
        <v>17753</v>
      </c>
      <c r="G4949" s="1" t="s">
        <v>11011</v>
      </c>
      <c r="H4949" s="1" t="s">
        <v>3604</v>
      </c>
      <c r="I4949" s="1" t="s">
        <v>17754</v>
      </c>
      <c r="J4949" s="1" t="s">
        <v>3606</v>
      </c>
      <c r="K4949" s="1" t="s">
        <v>17755</v>
      </c>
      <c r="L4949" s="1"/>
      <c r="M4949" s="1"/>
    </row>
    <row x14ac:dyDescent="0.25" r="4950" customHeight="1" ht="18.75">
      <c r="A4950" s="1" t="s">
        <v>3617</v>
      </c>
      <c r="B4950" s="1" t="s">
        <v>3729</v>
      </c>
      <c r="C4950" s="1" t="s">
        <v>3619</v>
      </c>
      <c r="D4950" s="1" t="s">
        <v>7847</v>
      </c>
      <c r="E4950" s="1" t="s">
        <v>4478</v>
      </c>
      <c r="F4950" s="1" t="s">
        <v>17756</v>
      </c>
      <c r="G4950" s="1" t="s">
        <v>11011</v>
      </c>
      <c r="H4950" s="1" t="s">
        <v>3604</v>
      </c>
      <c r="I4950" s="1" t="s">
        <v>17757</v>
      </c>
      <c r="J4950" s="1" t="s">
        <v>3606</v>
      </c>
      <c r="K4950" s="1" t="s">
        <v>17758</v>
      </c>
      <c r="L4950" s="1"/>
      <c r="M4950" s="1"/>
    </row>
    <row x14ac:dyDescent="0.25" r="4951" customHeight="1" ht="18.75">
      <c r="A4951" s="1" t="s">
        <v>3617</v>
      </c>
      <c r="B4951" s="1" t="s">
        <v>3729</v>
      </c>
      <c r="C4951" s="1" t="s">
        <v>3619</v>
      </c>
      <c r="D4951" s="1" t="s">
        <v>7847</v>
      </c>
      <c r="E4951" s="1" t="s">
        <v>4478</v>
      </c>
      <c r="F4951" s="1" t="s">
        <v>17759</v>
      </c>
      <c r="G4951" s="1" t="s">
        <v>11011</v>
      </c>
      <c r="H4951" s="1" t="s">
        <v>3604</v>
      </c>
      <c r="I4951" s="1" t="s">
        <v>17760</v>
      </c>
      <c r="J4951" s="1" t="s">
        <v>3606</v>
      </c>
      <c r="K4951" s="1" t="s">
        <v>17761</v>
      </c>
      <c r="L4951" s="1"/>
      <c r="M4951" s="1"/>
    </row>
    <row x14ac:dyDescent="0.25" r="4952" customHeight="1" ht="18.75">
      <c r="A4952" s="1" t="s">
        <v>3617</v>
      </c>
      <c r="B4952" s="1" t="s">
        <v>3729</v>
      </c>
      <c r="C4952" s="1" t="s">
        <v>3619</v>
      </c>
      <c r="D4952" s="1" t="s">
        <v>7847</v>
      </c>
      <c r="E4952" s="1" t="s">
        <v>3893</v>
      </c>
      <c r="F4952" s="1" t="s">
        <v>17762</v>
      </c>
      <c r="G4952" s="1" t="s">
        <v>11011</v>
      </c>
      <c r="H4952" s="1" t="s">
        <v>3604</v>
      </c>
      <c r="I4952" s="1" t="s">
        <v>17763</v>
      </c>
      <c r="J4952" s="1" t="s">
        <v>3606</v>
      </c>
      <c r="K4952" s="1" t="s">
        <v>17764</v>
      </c>
      <c r="L4952" s="1"/>
      <c r="M4952" s="1"/>
    </row>
    <row x14ac:dyDescent="0.25" r="4953" customHeight="1" ht="18.75">
      <c r="A4953" s="1" t="s">
        <v>3617</v>
      </c>
      <c r="B4953" s="1" t="s">
        <v>3729</v>
      </c>
      <c r="C4953" s="1" t="s">
        <v>3619</v>
      </c>
      <c r="D4953" s="1" t="s">
        <v>7847</v>
      </c>
      <c r="E4953" s="1" t="s">
        <v>3893</v>
      </c>
      <c r="F4953" s="1" t="s">
        <v>17765</v>
      </c>
      <c r="G4953" s="1" t="s">
        <v>11011</v>
      </c>
      <c r="H4953" s="1" t="s">
        <v>3604</v>
      </c>
      <c r="I4953" s="1" t="s">
        <v>17766</v>
      </c>
      <c r="J4953" s="1" t="s">
        <v>3606</v>
      </c>
      <c r="K4953" s="1" t="s">
        <v>17767</v>
      </c>
      <c r="L4953" s="1"/>
      <c r="M4953" s="1"/>
    </row>
    <row x14ac:dyDescent="0.25" r="4954" customHeight="1" ht="18.75">
      <c r="A4954" s="1" t="s">
        <v>3617</v>
      </c>
      <c r="B4954" s="1" t="s">
        <v>3729</v>
      </c>
      <c r="C4954" s="1" t="s">
        <v>3619</v>
      </c>
      <c r="D4954" s="1" t="s">
        <v>8100</v>
      </c>
      <c r="E4954" s="1" t="s">
        <v>3752</v>
      </c>
      <c r="F4954" s="1" t="s">
        <v>17768</v>
      </c>
      <c r="G4954" s="1" t="s">
        <v>17769</v>
      </c>
      <c r="H4954" s="1" t="s">
        <v>3604</v>
      </c>
      <c r="I4954" s="1" t="s">
        <v>17770</v>
      </c>
      <c r="J4954" s="1" t="s">
        <v>3606</v>
      </c>
      <c r="K4954" s="1" t="s">
        <v>17771</v>
      </c>
      <c r="L4954" s="1"/>
      <c r="M4954" s="1"/>
    </row>
    <row x14ac:dyDescent="0.25" r="4955" customHeight="1" ht="18.75">
      <c r="A4955" s="1" t="s">
        <v>3617</v>
      </c>
      <c r="B4955" s="1" t="s">
        <v>3729</v>
      </c>
      <c r="C4955" s="1" t="s">
        <v>3619</v>
      </c>
      <c r="D4955" s="1" t="s">
        <v>8100</v>
      </c>
      <c r="E4955" s="1" t="s">
        <v>3752</v>
      </c>
      <c r="F4955" s="1" t="s">
        <v>17772</v>
      </c>
      <c r="G4955" s="1" t="s">
        <v>17769</v>
      </c>
      <c r="H4955" s="1" t="s">
        <v>3604</v>
      </c>
      <c r="I4955" s="1" t="s">
        <v>17773</v>
      </c>
      <c r="J4955" s="1" t="s">
        <v>3606</v>
      </c>
      <c r="K4955" s="1" t="s">
        <v>17774</v>
      </c>
      <c r="L4955" s="1"/>
      <c r="M4955" s="1"/>
    </row>
    <row x14ac:dyDescent="0.25" r="4956" customHeight="1" ht="18.75">
      <c r="A4956" s="1" t="s">
        <v>3617</v>
      </c>
      <c r="B4956" s="1" t="s">
        <v>3729</v>
      </c>
      <c r="C4956" s="1" t="s">
        <v>3619</v>
      </c>
      <c r="D4956" s="1" t="s">
        <v>8100</v>
      </c>
      <c r="E4956" s="1" t="s">
        <v>3752</v>
      </c>
      <c r="F4956" s="1" t="s">
        <v>17775</v>
      </c>
      <c r="G4956" s="1" t="s">
        <v>17769</v>
      </c>
      <c r="H4956" s="1" t="s">
        <v>3604</v>
      </c>
      <c r="I4956" s="1" t="s">
        <v>17776</v>
      </c>
      <c r="J4956" s="1" t="s">
        <v>3606</v>
      </c>
      <c r="K4956" s="1" t="s">
        <v>17777</v>
      </c>
      <c r="L4956" s="1"/>
      <c r="M4956" s="1"/>
    </row>
    <row x14ac:dyDescent="0.25" r="4957" customHeight="1" ht="18.75">
      <c r="A4957" s="1" t="s">
        <v>3617</v>
      </c>
      <c r="B4957" s="1" t="s">
        <v>3729</v>
      </c>
      <c r="C4957" s="1" t="s">
        <v>3619</v>
      </c>
      <c r="D4957" s="1" t="s">
        <v>8100</v>
      </c>
      <c r="E4957" s="1" t="s">
        <v>3752</v>
      </c>
      <c r="F4957" s="1" t="s">
        <v>17778</v>
      </c>
      <c r="G4957" s="1" t="s">
        <v>17779</v>
      </c>
      <c r="H4957" s="1" t="s">
        <v>3604</v>
      </c>
      <c r="I4957" s="1" t="s">
        <v>17780</v>
      </c>
      <c r="J4957" s="1" t="s">
        <v>3606</v>
      </c>
      <c r="K4957" s="1" t="s">
        <v>17781</v>
      </c>
      <c r="L4957" s="1"/>
      <c r="M4957" s="1"/>
    </row>
    <row x14ac:dyDescent="0.25" r="4958" customHeight="1" ht="18.75">
      <c r="A4958" s="1" t="s">
        <v>3617</v>
      </c>
      <c r="B4958" s="1" t="s">
        <v>3729</v>
      </c>
      <c r="C4958" s="1" t="s">
        <v>3619</v>
      </c>
      <c r="D4958" s="1" t="s">
        <v>8100</v>
      </c>
      <c r="E4958" s="1" t="s">
        <v>3752</v>
      </c>
      <c r="F4958" s="1" t="s">
        <v>17782</v>
      </c>
      <c r="G4958" s="1" t="s">
        <v>17779</v>
      </c>
      <c r="H4958" s="1" t="s">
        <v>3604</v>
      </c>
      <c r="I4958" s="1" t="s">
        <v>17783</v>
      </c>
      <c r="J4958" s="1" t="s">
        <v>3606</v>
      </c>
      <c r="K4958" s="1" t="s">
        <v>17784</v>
      </c>
      <c r="L4958" s="1"/>
      <c r="M4958" s="1"/>
    </row>
    <row x14ac:dyDescent="0.25" r="4959" customHeight="1" ht="18.75">
      <c r="A4959" s="1" t="s">
        <v>3693</v>
      </c>
      <c r="B4959" s="1" t="s">
        <v>4091</v>
      </c>
      <c r="C4959" s="1" t="s">
        <v>3600</v>
      </c>
      <c r="D4959" s="1" t="s">
        <v>8100</v>
      </c>
      <c r="E4959" s="1" t="s">
        <v>3893</v>
      </c>
      <c r="F4959" s="1" t="s">
        <v>17785</v>
      </c>
      <c r="G4959" s="1" t="s">
        <v>6539</v>
      </c>
      <c r="H4959" s="1" t="s">
        <v>3604</v>
      </c>
      <c r="I4959" s="1" t="s">
        <v>17786</v>
      </c>
      <c r="J4959" s="1" t="s">
        <v>3606</v>
      </c>
      <c r="K4959" s="1" t="s">
        <v>17787</v>
      </c>
      <c r="L4959" s="1"/>
      <c r="M4959" s="1"/>
    </row>
    <row x14ac:dyDescent="0.25" r="4960" customHeight="1" ht="18.75">
      <c r="A4960" s="1" t="s">
        <v>3617</v>
      </c>
      <c r="B4960" s="1" t="s">
        <v>3729</v>
      </c>
      <c r="C4960" s="1" t="s">
        <v>3619</v>
      </c>
      <c r="D4960" s="1" t="s">
        <v>8100</v>
      </c>
      <c r="E4960" s="1" t="s">
        <v>3752</v>
      </c>
      <c r="F4960" s="1" t="s">
        <v>17788</v>
      </c>
      <c r="G4960" s="1" t="s">
        <v>17779</v>
      </c>
      <c r="H4960" s="1" t="s">
        <v>3604</v>
      </c>
      <c r="I4960" s="1" t="s">
        <v>17789</v>
      </c>
      <c r="J4960" s="1" t="s">
        <v>3606</v>
      </c>
      <c r="K4960" s="1" t="s">
        <v>17790</v>
      </c>
      <c r="L4960" s="1"/>
      <c r="M4960" s="1"/>
    </row>
    <row x14ac:dyDescent="0.25" r="4961" customHeight="1" ht="18.75">
      <c r="A4961" s="1" t="s">
        <v>3617</v>
      </c>
      <c r="B4961" s="1" t="s">
        <v>13485</v>
      </c>
      <c r="C4961" s="1" t="s">
        <v>3619</v>
      </c>
      <c r="D4961" s="1" t="s">
        <v>7847</v>
      </c>
      <c r="E4961" s="1" t="s">
        <v>3664</v>
      </c>
      <c r="F4961" s="1" t="s">
        <v>17791</v>
      </c>
      <c r="G4961" s="1" t="s">
        <v>13487</v>
      </c>
      <c r="H4961" s="1" t="s">
        <v>3604</v>
      </c>
      <c r="I4961" s="1" t="s">
        <v>17792</v>
      </c>
      <c r="J4961" s="1" t="s">
        <v>3606</v>
      </c>
      <c r="K4961" s="1" t="s">
        <v>17793</v>
      </c>
      <c r="L4961" s="1"/>
      <c r="M4961" s="1"/>
    </row>
    <row x14ac:dyDescent="0.25" r="4962" customHeight="1" ht="18.75">
      <c r="A4962" s="1" t="s">
        <v>3617</v>
      </c>
      <c r="B4962" s="1" t="s">
        <v>13485</v>
      </c>
      <c r="C4962" s="1" t="s">
        <v>3619</v>
      </c>
      <c r="D4962" s="1" t="s">
        <v>7847</v>
      </c>
      <c r="E4962" s="1" t="s">
        <v>3664</v>
      </c>
      <c r="F4962" s="1" t="s">
        <v>17794</v>
      </c>
      <c r="G4962" s="1" t="s">
        <v>13487</v>
      </c>
      <c r="H4962" s="1" t="s">
        <v>3604</v>
      </c>
      <c r="I4962" s="1" t="s">
        <v>17795</v>
      </c>
      <c r="J4962" s="1" t="s">
        <v>3606</v>
      </c>
      <c r="K4962" s="1" t="s">
        <v>17796</v>
      </c>
      <c r="L4962" s="1"/>
      <c r="M4962" s="1"/>
    </row>
    <row x14ac:dyDescent="0.25" r="4963" customHeight="1" ht="18.75">
      <c r="A4963" s="1" t="s">
        <v>3617</v>
      </c>
      <c r="B4963" s="1" t="s">
        <v>13485</v>
      </c>
      <c r="C4963" s="1" t="s">
        <v>3619</v>
      </c>
      <c r="D4963" s="1" t="s">
        <v>7847</v>
      </c>
      <c r="E4963" s="1" t="s">
        <v>3664</v>
      </c>
      <c r="F4963" s="1" t="s">
        <v>17797</v>
      </c>
      <c r="G4963" s="1" t="s">
        <v>13487</v>
      </c>
      <c r="H4963" s="1" t="s">
        <v>3604</v>
      </c>
      <c r="I4963" s="1" t="s">
        <v>17798</v>
      </c>
      <c r="J4963" s="1" t="s">
        <v>3606</v>
      </c>
      <c r="K4963" s="1" t="s">
        <v>17799</v>
      </c>
      <c r="L4963" s="1"/>
      <c r="M4963" s="1"/>
    </row>
    <row x14ac:dyDescent="0.25" r="4964" customHeight="1" ht="18.75">
      <c r="A4964" s="1" t="s">
        <v>3617</v>
      </c>
      <c r="B4964" s="1" t="s">
        <v>13485</v>
      </c>
      <c r="C4964" s="1" t="s">
        <v>3619</v>
      </c>
      <c r="D4964" s="1" t="s">
        <v>10630</v>
      </c>
      <c r="E4964" s="1" t="s">
        <v>3611</v>
      </c>
      <c r="F4964" s="1" t="s">
        <v>17800</v>
      </c>
      <c r="G4964" s="1" t="s">
        <v>13487</v>
      </c>
      <c r="H4964" s="1" t="s">
        <v>3604</v>
      </c>
      <c r="I4964" s="1" t="s">
        <v>17801</v>
      </c>
      <c r="J4964" s="1" t="s">
        <v>3606</v>
      </c>
      <c r="K4964" s="1" t="s">
        <v>17802</v>
      </c>
      <c r="L4964" s="1"/>
      <c r="M4964" s="1"/>
    </row>
    <row x14ac:dyDescent="0.25" r="4965" customHeight="1" ht="18.75">
      <c r="A4965" s="1" t="s">
        <v>3617</v>
      </c>
      <c r="B4965" s="1" t="s">
        <v>13485</v>
      </c>
      <c r="C4965" s="1" t="s">
        <v>3619</v>
      </c>
      <c r="D4965" s="1" t="s">
        <v>10630</v>
      </c>
      <c r="E4965" s="1" t="s">
        <v>3611</v>
      </c>
      <c r="F4965" s="1" t="s">
        <v>17803</v>
      </c>
      <c r="G4965" s="1" t="s">
        <v>13487</v>
      </c>
      <c r="H4965" s="1" t="s">
        <v>3604</v>
      </c>
      <c r="I4965" s="1" t="s">
        <v>17804</v>
      </c>
      <c r="J4965" s="1" t="s">
        <v>3606</v>
      </c>
      <c r="K4965" s="1" t="s">
        <v>17805</v>
      </c>
      <c r="L4965" s="1"/>
      <c r="M4965" s="1"/>
    </row>
    <row x14ac:dyDescent="0.25" r="4966" customHeight="1" ht="18.75">
      <c r="A4966" s="1" t="s">
        <v>3617</v>
      </c>
      <c r="B4966" s="1" t="s">
        <v>13485</v>
      </c>
      <c r="C4966" s="1" t="s">
        <v>3619</v>
      </c>
      <c r="D4966" s="1" t="s">
        <v>10630</v>
      </c>
      <c r="E4966" s="1" t="s">
        <v>3611</v>
      </c>
      <c r="F4966" s="1" t="s">
        <v>17806</v>
      </c>
      <c r="G4966" s="1" t="s">
        <v>13487</v>
      </c>
      <c r="H4966" s="1" t="s">
        <v>3604</v>
      </c>
      <c r="I4966" s="1" t="s">
        <v>17807</v>
      </c>
      <c r="J4966" s="1" t="s">
        <v>3606</v>
      </c>
      <c r="K4966" s="1" t="s">
        <v>17808</v>
      </c>
      <c r="L4966" s="1"/>
      <c r="M4966" s="1"/>
    </row>
    <row x14ac:dyDescent="0.25" r="4967" customHeight="1" ht="18.75">
      <c r="A4967" s="1" t="s">
        <v>3617</v>
      </c>
      <c r="B4967" s="1" t="s">
        <v>13485</v>
      </c>
      <c r="C4967" s="1" t="s">
        <v>3619</v>
      </c>
      <c r="D4967" s="1" t="s">
        <v>7847</v>
      </c>
      <c r="E4967" s="1" t="s">
        <v>3664</v>
      </c>
      <c r="F4967" s="1" t="s">
        <v>17809</v>
      </c>
      <c r="G4967" s="1" t="s">
        <v>17810</v>
      </c>
      <c r="H4967" s="1" t="s">
        <v>3604</v>
      </c>
      <c r="I4967" s="1" t="s">
        <v>17811</v>
      </c>
      <c r="J4967" s="1" t="s">
        <v>3606</v>
      </c>
      <c r="K4967" s="1" t="s">
        <v>17812</v>
      </c>
      <c r="L4967" s="1"/>
      <c r="M4967" s="1"/>
    </row>
    <row x14ac:dyDescent="0.25" r="4968" customHeight="1" ht="18.75">
      <c r="A4968" s="1" t="s">
        <v>3617</v>
      </c>
      <c r="B4968" s="1" t="s">
        <v>4582</v>
      </c>
      <c r="C4968" s="1" t="s">
        <v>4488</v>
      </c>
      <c r="D4968" s="1" t="s">
        <v>7847</v>
      </c>
      <c r="E4968" s="1" t="s">
        <v>4478</v>
      </c>
      <c r="F4968" s="1" t="s">
        <v>17813</v>
      </c>
      <c r="G4968" s="1" t="s">
        <v>12689</v>
      </c>
      <c r="H4968" s="1" t="s">
        <v>3604</v>
      </c>
      <c r="I4968" s="1" t="s">
        <v>17814</v>
      </c>
      <c r="J4968" s="1" t="s">
        <v>3606</v>
      </c>
      <c r="K4968" s="1" t="s">
        <v>17793</v>
      </c>
      <c r="L4968" s="1"/>
      <c r="M4968" s="1"/>
    </row>
    <row x14ac:dyDescent="0.25" r="4969" customHeight="1" ht="18.75">
      <c r="A4969" s="1" t="s">
        <v>3617</v>
      </c>
      <c r="B4969" s="1" t="s">
        <v>4582</v>
      </c>
      <c r="C4969" s="1" t="s">
        <v>4488</v>
      </c>
      <c r="D4969" s="1" t="s">
        <v>7847</v>
      </c>
      <c r="E4969" s="1" t="s">
        <v>4478</v>
      </c>
      <c r="F4969" s="1" t="s">
        <v>17815</v>
      </c>
      <c r="G4969" s="1" t="s">
        <v>12689</v>
      </c>
      <c r="H4969" s="1" t="s">
        <v>3604</v>
      </c>
      <c r="I4969" s="1" t="s">
        <v>17816</v>
      </c>
      <c r="J4969" s="1" t="s">
        <v>3606</v>
      </c>
      <c r="K4969" s="1" t="s">
        <v>17799</v>
      </c>
      <c r="L4969" s="1"/>
      <c r="M4969" s="1"/>
    </row>
    <row x14ac:dyDescent="0.25" r="4970" customHeight="1" ht="18.75">
      <c r="A4970" s="1" t="s">
        <v>3617</v>
      </c>
      <c r="B4970" s="1" t="s">
        <v>4582</v>
      </c>
      <c r="C4970" s="1" t="s">
        <v>4488</v>
      </c>
      <c r="D4970" s="1" t="s">
        <v>7847</v>
      </c>
      <c r="E4970" s="1" t="s">
        <v>8096</v>
      </c>
      <c r="F4970" s="1" t="s">
        <v>17817</v>
      </c>
      <c r="G4970" s="1" t="s">
        <v>12689</v>
      </c>
      <c r="H4970" s="1" t="s">
        <v>3604</v>
      </c>
      <c r="I4970" s="1" t="s">
        <v>17818</v>
      </c>
      <c r="J4970" s="1" t="s">
        <v>3606</v>
      </c>
      <c r="K4970" s="1" t="s">
        <v>17819</v>
      </c>
      <c r="L4970" s="1"/>
      <c r="M4970" s="1"/>
    </row>
    <row x14ac:dyDescent="0.25" r="4971" customHeight="1" ht="18.75">
      <c r="A4971" s="1" t="s">
        <v>3617</v>
      </c>
      <c r="B4971" s="1" t="s">
        <v>4582</v>
      </c>
      <c r="C4971" s="1" t="s">
        <v>4488</v>
      </c>
      <c r="D4971" s="1" t="s">
        <v>7847</v>
      </c>
      <c r="E4971" s="1" t="s">
        <v>8096</v>
      </c>
      <c r="F4971" s="1" t="s">
        <v>17820</v>
      </c>
      <c r="G4971" s="1" t="s">
        <v>12689</v>
      </c>
      <c r="H4971" s="1" t="s">
        <v>3604</v>
      </c>
      <c r="I4971" s="1" t="s">
        <v>17821</v>
      </c>
      <c r="J4971" s="1" t="s">
        <v>3606</v>
      </c>
      <c r="K4971" s="1" t="s">
        <v>17822</v>
      </c>
      <c r="L4971" s="1"/>
      <c r="M4971" s="1"/>
    </row>
    <row x14ac:dyDescent="0.25" r="4972" customHeight="1" ht="18.75">
      <c r="A4972" s="1" t="s">
        <v>3617</v>
      </c>
      <c r="B4972" s="1" t="s">
        <v>4582</v>
      </c>
      <c r="C4972" s="1" t="s">
        <v>4488</v>
      </c>
      <c r="D4972" s="1" t="s">
        <v>7847</v>
      </c>
      <c r="E4972" s="1" t="s">
        <v>8096</v>
      </c>
      <c r="F4972" s="1" t="s">
        <v>17823</v>
      </c>
      <c r="G4972" s="1" t="s">
        <v>12689</v>
      </c>
      <c r="H4972" s="1" t="s">
        <v>3604</v>
      </c>
      <c r="I4972" s="1" t="s">
        <v>17824</v>
      </c>
      <c r="J4972" s="1" t="s">
        <v>3606</v>
      </c>
      <c r="K4972" s="1" t="s">
        <v>17825</v>
      </c>
      <c r="L4972" s="1"/>
      <c r="M4972" s="1"/>
    </row>
    <row x14ac:dyDescent="0.25" r="4973" customHeight="1" ht="18.75">
      <c r="A4973" s="1" t="s">
        <v>3617</v>
      </c>
      <c r="B4973" s="1" t="s">
        <v>4582</v>
      </c>
      <c r="C4973" s="1" t="s">
        <v>4488</v>
      </c>
      <c r="D4973" s="1" t="s">
        <v>8100</v>
      </c>
      <c r="E4973" s="1" t="s">
        <v>3752</v>
      </c>
      <c r="F4973" s="1" t="s">
        <v>17826</v>
      </c>
      <c r="G4973" s="1" t="s">
        <v>12754</v>
      </c>
      <c r="H4973" s="1" t="s">
        <v>3604</v>
      </c>
      <c r="I4973" s="1" t="s">
        <v>17827</v>
      </c>
      <c r="J4973" s="1" t="s">
        <v>3606</v>
      </c>
      <c r="K4973" s="1" t="s">
        <v>17828</v>
      </c>
      <c r="L4973" s="1"/>
      <c r="M4973" s="1"/>
    </row>
    <row x14ac:dyDescent="0.25" r="4974" customHeight="1" ht="18.75">
      <c r="A4974" s="1" t="s">
        <v>3617</v>
      </c>
      <c r="B4974" s="1" t="s">
        <v>4582</v>
      </c>
      <c r="C4974" s="1" t="s">
        <v>4488</v>
      </c>
      <c r="D4974" s="1" t="s">
        <v>8100</v>
      </c>
      <c r="E4974" s="1" t="s">
        <v>3752</v>
      </c>
      <c r="F4974" s="1" t="s">
        <v>17829</v>
      </c>
      <c r="G4974" s="1" t="s">
        <v>12754</v>
      </c>
      <c r="H4974" s="1" t="s">
        <v>3604</v>
      </c>
      <c r="I4974" s="1" t="s">
        <v>17830</v>
      </c>
      <c r="J4974" s="1" t="s">
        <v>3606</v>
      </c>
      <c r="K4974" s="1" t="s">
        <v>17831</v>
      </c>
      <c r="L4974" s="1"/>
      <c r="M4974" s="1"/>
    </row>
    <row x14ac:dyDescent="0.25" r="4975" customHeight="1" ht="18.75">
      <c r="A4975" s="1" t="s">
        <v>3617</v>
      </c>
      <c r="B4975" s="1" t="s">
        <v>4582</v>
      </c>
      <c r="C4975" s="1" t="s">
        <v>4488</v>
      </c>
      <c r="D4975" s="1" t="s">
        <v>8100</v>
      </c>
      <c r="E4975" s="1" t="s">
        <v>3752</v>
      </c>
      <c r="F4975" s="1" t="s">
        <v>17832</v>
      </c>
      <c r="G4975" s="1" t="s">
        <v>12754</v>
      </c>
      <c r="H4975" s="1" t="s">
        <v>3604</v>
      </c>
      <c r="I4975" s="1" t="s">
        <v>17833</v>
      </c>
      <c r="J4975" s="1" t="s">
        <v>3606</v>
      </c>
      <c r="K4975" s="1" t="s">
        <v>17834</v>
      </c>
      <c r="L4975" s="1"/>
      <c r="M4975" s="1"/>
    </row>
    <row x14ac:dyDescent="0.25" r="4976" customHeight="1" ht="18.75">
      <c r="A4976" s="1" t="s">
        <v>3617</v>
      </c>
      <c r="B4976" s="1" t="s">
        <v>4582</v>
      </c>
      <c r="C4976" s="1" t="s">
        <v>4488</v>
      </c>
      <c r="D4976" s="1" t="s">
        <v>8100</v>
      </c>
      <c r="E4976" s="1" t="s">
        <v>3752</v>
      </c>
      <c r="F4976" s="1" t="s">
        <v>17835</v>
      </c>
      <c r="G4976" s="1" t="s">
        <v>12758</v>
      </c>
      <c r="H4976" s="1" t="s">
        <v>3604</v>
      </c>
      <c r="I4976" s="1" t="s">
        <v>17836</v>
      </c>
      <c r="J4976" s="1" t="s">
        <v>3606</v>
      </c>
      <c r="K4976" s="1" t="s">
        <v>17837</v>
      </c>
      <c r="L4976" s="1"/>
      <c r="M4976" s="1"/>
    </row>
    <row x14ac:dyDescent="0.25" r="4977" customHeight="1" ht="18.75">
      <c r="A4977" s="1" t="s">
        <v>3617</v>
      </c>
      <c r="B4977" s="1" t="s">
        <v>4582</v>
      </c>
      <c r="C4977" s="1" t="s">
        <v>4488</v>
      </c>
      <c r="D4977" s="1" t="s">
        <v>8100</v>
      </c>
      <c r="E4977" s="1" t="s">
        <v>3752</v>
      </c>
      <c r="F4977" s="1" t="s">
        <v>17838</v>
      </c>
      <c r="G4977" s="1" t="s">
        <v>12758</v>
      </c>
      <c r="H4977" s="1" t="s">
        <v>3604</v>
      </c>
      <c r="I4977" s="1" t="s">
        <v>17839</v>
      </c>
      <c r="J4977" s="1" t="s">
        <v>3606</v>
      </c>
      <c r="K4977" s="1" t="s">
        <v>17840</v>
      </c>
      <c r="L4977" s="1"/>
      <c r="M4977" s="1"/>
    </row>
    <row x14ac:dyDescent="0.25" r="4978" customHeight="1" ht="18.75">
      <c r="A4978" s="1" t="s">
        <v>3617</v>
      </c>
      <c r="B4978" s="1" t="s">
        <v>4582</v>
      </c>
      <c r="C4978" s="1" t="s">
        <v>4488</v>
      </c>
      <c r="D4978" s="1" t="s">
        <v>8100</v>
      </c>
      <c r="E4978" s="1" t="s">
        <v>3752</v>
      </c>
      <c r="F4978" s="1" t="s">
        <v>17841</v>
      </c>
      <c r="G4978" s="1" t="s">
        <v>12758</v>
      </c>
      <c r="H4978" s="1" t="s">
        <v>3604</v>
      </c>
      <c r="I4978" s="1" t="s">
        <v>17842</v>
      </c>
      <c r="J4978" s="1" t="s">
        <v>3606</v>
      </c>
      <c r="K4978" s="1" t="s">
        <v>17843</v>
      </c>
      <c r="L4978" s="1"/>
      <c r="M4978" s="1"/>
    </row>
    <row x14ac:dyDescent="0.25" r="4979" customHeight="1" ht="18.75">
      <c r="A4979" s="1" t="s">
        <v>3617</v>
      </c>
      <c r="B4979" s="1" t="s">
        <v>4582</v>
      </c>
      <c r="C4979" s="1" t="s">
        <v>4488</v>
      </c>
      <c r="D4979" s="1" t="s">
        <v>8100</v>
      </c>
      <c r="E4979" s="1" t="s">
        <v>3752</v>
      </c>
      <c r="F4979" s="1" t="s">
        <v>17844</v>
      </c>
      <c r="G4979" s="1" t="s">
        <v>12762</v>
      </c>
      <c r="H4979" s="1" t="s">
        <v>3604</v>
      </c>
      <c r="I4979" s="1" t="s">
        <v>17845</v>
      </c>
      <c r="J4979" s="1" t="s">
        <v>3606</v>
      </c>
      <c r="K4979" s="1" t="s">
        <v>17846</v>
      </c>
      <c r="L4979" s="1"/>
      <c r="M4979" s="1"/>
    </row>
    <row x14ac:dyDescent="0.25" r="4980" customHeight="1" ht="18.75">
      <c r="A4980" s="1" t="s">
        <v>3617</v>
      </c>
      <c r="B4980" s="1" t="s">
        <v>4582</v>
      </c>
      <c r="C4980" s="1" t="s">
        <v>4488</v>
      </c>
      <c r="D4980" s="1" t="s">
        <v>8100</v>
      </c>
      <c r="E4980" s="1" t="s">
        <v>3752</v>
      </c>
      <c r="F4980" s="1" t="s">
        <v>17847</v>
      </c>
      <c r="G4980" s="1" t="s">
        <v>12762</v>
      </c>
      <c r="H4980" s="1" t="s">
        <v>3604</v>
      </c>
      <c r="I4980" s="1" t="s">
        <v>17848</v>
      </c>
      <c r="J4980" s="1" t="s">
        <v>3606</v>
      </c>
      <c r="K4980" s="1" t="s">
        <v>17849</v>
      </c>
      <c r="L4980" s="1"/>
      <c r="M4980" s="1"/>
    </row>
    <row x14ac:dyDescent="0.25" r="4981" customHeight="1" ht="18.75">
      <c r="A4981" s="1" t="s">
        <v>3617</v>
      </c>
      <c r="B4981" s="1" t="s">
        <v>4582</v>
      </c>
      <c r="C4981" s="1" t="s">
        <v>4488</v>
      </c>
      <c r="D4981" s="1" t="s">
        <v>8100</v>
      </c>
      <c r="E4981" s="1" t="s">
        <v>3752</v>
      </c>
      <c r="F4981" s="1" t="s">
        <v>17850</v>
      </c>
      <c r="G4981" s="1" t="s">
        <v>12762</v>
      </c>
      <c r="H4981" s="1" t="s">
        <v>3604</v>
      </c>
      <c r="I4981" s="1" t="s">
        <v>17851</v>
      </c>
      <c r="J4981" s="1" t="s">
        <v>3606</v>
      </c>
      <c r="K4981" s="1" t="s">
        <v>17852</v>
      </c>
      <c r="L4981" s="1"/>
      <c r="M4981" s="1"/>
    </row>
    <row x14ac:dyDescent="0.25" r="4982" customHeight="1" ht="18.75">
      <c r="A4982" s="1" t="s">
        <v>3617</v>
      </c>
      <c r="B4982" s="1" t="s">
        <v>4582</v>
      </c>
      <c r="C4982" s="1" t="s">
        <v>4488</v>
      </c>
      <c r="D4982" s="1" t="s">
        <v>7847</v>
      </c>
      <c r="E4982" s="1" t="s">
        <v>4478</v>
      </c>
      <c r="F4982" s="1" t="s">
        <v>17853</v>
      </c>
      <c r="G4982" s="1" t="s">
        <v>12769</v>
      </c>
      <c r="H4982" s="1" t="s">
        <v>3604</v>
      </c>
      <c r="I4982" s="1" t="s">
        <v>17854</v>
      </c>
      <c r="J4982" s="1" t="s">
        <v>3606</v>
      </c>
      <c r="K4982" s="1" t="s">
        <v>17855</v>
      </c>
      <c r="L4982" s="1"/>
      <c r="M4982" s="1"/>
    </row>
    <row x14ac:dyDescent="0.25" r="4983" customHeight="1" ht="18.75">
      <c r="A4983" s="1" t="s">
        <v>3617</v>
      </c>
      <c r="B4983" s="1" t="s">
        <v>4582</v>
      </c>
      <c r="C4983" s="1" t="s">
        <v>4488</v>
      </c>
      <c r="D4983" s="1" t="s">
        <v>7847</v>
      </c>
      <c r="E4983" s="1" t="s">
        <v>8096</v>
      </c>
      <c r="F4983" s="1" t="s">
        <v>17856</v>
      </c>
      <c r="G4983" s="1" t="s">
        <v>12769</v>
      </c>
      <c r="H4983" s="1" t="s">
        <v>3604</v>
      </c>
      <c r="I4983" s="1" t="s">
        <v>17857</v>
      </c>
      <c r="J4983" s="1" t="s">
        <v>3606</v>
      </c>
      <c r="K4983" s="1" t="s">
        <v>17858</v>
      </c>
      <c r="L4983" s="1"/>
      <c r="M4983" s="1"/>
    </row>
    <row x14ac:dyDescent="0.25" r="4984" customHeight="1" ht="18.75">
      <c r="A4984" s="1" t="s">
        <v>3617</v>
      </c>
      <c r="B4984" s="1" t="s">
        <v>4461</v>
      </c>
      <c r="C4984" s="1" t="s">
        <v>3619</v>
      </c>
      <c r="D4984" s="1" t="s">
        <v>7847</v>
      </c>
      <c r="E4984" s="1" t="s">
        <v>3730</v>
      </c>
      <c r="F4984" s="1" t="s">
        <v>17859</v>
      </c>
      <c r="G4984" s="1" t="s">
        <v>12042</v>
      </c>
      <c r="H4984" s="1" t="s">
        <v>3604</v>
      </c>
      <c r="I4984" s="1" t="s">
        <v>17860</v>
      </c>
      <c r="J4984" s="1" t="s">
        <v>3606</v>
      </c>
      <c r="K4984" s="1" t="s">
        <v>17861</v>
      </c>
      <c r="L4984" s="1"/>
      <c r="M4984" s="1"/>
    </row>
    <row x14ac:dyDescent="0.25" r="4985" customHeight="1" ht="18.75">
      <c r="A4985" s="1" t="s">
        <v>3617</v>
      </c>
      <c r="B4985" s="1" t="s">
        <v>4461</v>
      </c>
      <c r="C4985" s="1" t="s">
        <v>3619</v>
      </c>
      <c r="D4985" s="1" t="s">
        <v>10630</v>
      </c>
      <c r="E4985" s="1" t="s">
        <v>3611</v>
      </c>
      <c r="F4985" s="1" t="s">
        <v>17862</v>
      </c>
      <c r="G4985" s="1" t="s">
        <v>12042</v>
      </c>
      <c r="H4985" s="1" t="s">
        <v>3604</v>
      </c>
      <c r="I4985" s="1" t="s">
        <v>17863</v>
      </c>
      <c r="J4985" s="1" t="s">
        <v>3606</v>
      </c>
      <c r="K4985" s="1" t="s">
        <v>17864</v>
      </c>
      <c r="L4985" s="1"/>
      <c r="M4985" s="1"/>
    </row>
    <row x14ac:dyDescent="0.25" r="4986" customHeight="1" ht="18.75">
      <c r="A4986" s="1" t="s">
        <v>3617</v>
      </c>
      <c r="B4986" s="1" t="s">
        <v>4461</v>
      </c>
      <c r="C4986" s="1" t="s">
        <v>3619</v>
      </c>
      <c r="D4986" s="1" t="s">
        <v>10630</v>
      </c>
      <c r="E4986" s="1" t="s">
        <v>3611</v>
      </c>
      <c r="F4986" s="1" t="s">
        <v>17865</v>
      </c>
      <c r="G4986" s="1" t="s">
        <v>12042</v>
      </c>
      <c r="H4986" s="1" t="s">
        <v>3604</v>
      </c>
      <c r="I4986" s="1" t="s">
        <v>17866</v>
      </c>
      <c r="J4986" s="1" t="s">
        <v>3606</v>
      </c>
      <c r="K4986" s="1" t="s">
        <v>17867</v>
      </c>
      <c r="L4986" s="1"/>
      <c r="M4986" s="1"/>
    </row>
    <row x14ac:dyDescent="0.25" r="4987" customHeight="1" ht="18.75">
      <c r="A4987" s="1" t="s">
        <v>3617</v>
      </c>
      <c r="B4987" s="1" t="s">
        <v>4461</v>
      </c>
      <c r="C4987" s="1" t="s">
        <v>3619</v>
      </c>
      <c r="D4987" s="1" t="s">
        <v>10630</v>
      </c>
      <c r="E4987" s="1" t="s">
        <v>3611</v>
      </c>
      <c r="F4987" s="1" t="s">
        <v>17868</v>
      </c>
      <c r="G4987" s="1" t="s">
        <v>12042</v>
      </c>
      <c r="H4987" s="1" t="s">
        <v>3604</v>
      </c>
      <c r="I4987" s="1" t="s">
        <v>17869</v>
      </c>
      <c r="J4987" s="1" t="s">
        <v>3606</v>
      </c>
      <c r="K4987" s="1" t="s">
        <v>17870</v>
      </c>
      <c r="L4987" s="1"/>
      <c r="M4987" s="1"/>
    </row>
    <row x14ac:dyDescent="0.25" r="4988" customHeight="1" ht="18.75">
      <c r="A4988" s="1" t="s">
        <v>3617</v>
      </c>
      <c r="B4988" s="1" t="s">
        <v>3825</v>
      </c>
      <c r="C4988" s="1" t="s">
        <v>3619</v>
      </c>
      <c r="D4988" s="1" t="s">
        <v>7847</v>
      </c>
      <c r="E4988" s="1" t="s">
        <v>3664</v>
      </c>
      <c r="F4988" s="1" t="s">
        <v>17871</v>
      </c>
      <c r="G4988" s="1" t="s">
        <v>17872</v>
      </c>
      <c r="H4988" s="1" t="s">
        <v>3604</v>
      </c>
      <c r="I4988" s="1" t="s">
        <v>17873</v>
      </c>
      <c r="J4988" s="1" t="s">
        <v>3606</v>
      </c>
      <c r="K4988" s="1" t="s">
        <v>17874</v>
      </c>
      <c r="L4988" s="1"/>
      <c r="M4988" s="1"/>
    </row>
    <row x14ac:dyDescent="0.25" r="4989" customHeight="1" ht="18.75">
      <c r="A4989" s="1" t="s">
        <v>3617</v>
      </c>
      <c r="B4989" s="1" t="s">
        <v>3825</v>
      </c>
      <c r="C4989" s="1" t="s">
        <v>3619</v>
      </c>
      <c r="D4989" s="1" t="s">
        <v>7847</v>
      </c>
      <c r="E4989" s="1" t="s">
        <v>3664</v>
      </c>
      <c r="F4989" s="1" t="s">
        <v>17875</v>
      </c>
      <c r="G4989" s="1" t="s">
        <v>17872</v>
      </c>
      <c r="H4989" s="1" t="s">
        <v>3604</v>
      </c>
      <c r="I4989" s="1" t="s">
        <v>17876</v>
      </c>
      <c r="J4989" s="1" t="s">
        <v>3606</v>
      </c>
      <c r="K4989" s="1" t="s">
        <v>17877</v>
      </c>
      <c r="L4989" s="1"/>
      <c r="M4989" s="1"/>
    </row>
    <row x14ac:dyDescent="0.25" r="4990" customHeight="1" ht="18.75">
      <c r="A4990" s="1" t="s">
        <v>3617</v>
      </c>
      <c r="B4990" s="1" t="s">
        <v>3825</v>
      </c>
      <c r="C4990" s="1" t="s">
        <v>3619</v>
      </c>
      <c r="D4990" s="1" t="s">
        <v>7847</v>
      </c>
      <c r="E4990" s="1" t="s">
        <v>3664</v>
      </c>
      <c r="F4990" s="1" t="s">
        <v>17878</v>
      </c>
      <c r="G4990" s="1" t="s">
        <v>17872</v>
      </c>
      <c r="H4990" s="1" t="s">
        <v>3604</v>
      </c>
      <c r="I4990" s="1" t="s">
        <v>17879</v>
      </c>
      <c r="J4990" s="1" t="s">
        <v>3606</v>
      </c>
      <c r="K4990" s="1" t="s">
        <v>17880</v>
      </c>
      <c r="L4990" s="1"/>
      <c r="M4990" s="1"/>
    </row>
    <row x14ac:dyDescent="0.25" r="4991" customHeight="1" ht="18.75">
      <c r="A4991" s="1" t="s">
        <v>3617</v>
      </c>
      <c r="B4991" s="1" t="s">
        <v>5222</v>
      </c>
      <c r="C4991" s="1" t="s">
        <v>3619</v>
      </c>
      <c r="D4991" s="1" t="s">
        <v>8100</v>
      </c>
      <c r="E4991" s="1" t="s">
        <v>3730</v>
      </c>
      <c r="F4991" s="1" t="s">
        <v>17881</v>
      </c>
      <c r="G4991" s="1" t="s">
        <v>17882</v>
      </c>
      <c r="H4991" s="1" t="s">
        <v>3604</v>
      </c>
      <c r="I4991" s="1" t="s">
        <v>17883</v>
      </c>
      <c r="J4991" s="1" t="s">
        <v>3606</v>
      </c>
      <c r="K4991" s="1" t="s">
        <v>17884</v>
      </c>
      <c r="L4991" s="1"/>
      <c r="M4991" s="1"/>
    </row>
    <row x14ac:dyDescent="0.25" r="4992" customHeight="1" ht="18.75">
      <c r="A4992" s="1" t="s">
        <v>3617</v>
      </c>
      <c r="B4992" s="1" t="s">
        <v>5222</v>
      </c>
      <c r="C4992" s="1" t="s">
        <v>3619</v>
      </c>
      <c r="D4992" s="1" t="s">
        <v>8100</v>
      </c>
      <c r="E4992" s="1" t="s">
        <v>3730</v>
      </c>
      <c r="F4992" s="1" t="s">
        <v>17885</v>
      </c>
      <c r="G4992" s="1" t="s">
        <v>17882</v>
      </c>
      <c r="H4992" s="1" t="s">
        <v>3604</v>
      </c>
      <c r="I4992" s="1" t="s">
        <v>17886</v>
      </c>
      <c r="J4992" s="1" t="s">
        <v>3606</v>
      </c>
      <c r="K4992" s="1" t="s">
        <v>17887</v>
      </c>
      <c r="L4992" s="1"/>
      <c r="M4992" s="1"/>
    </row>
    <row x14ac:dyDescent="0.25" r="4993" customHeight="1" ht="18.75">
      <c r="A4993" s="1" t="s">
        <v>3617</v>
      </c>
      <c r="B4993" s="1" t="s">
        <v>5222</v>
      </c>
      <c r="C4993" s="1" t="s">
        <v>3619</v>
      </c>
      <c r="D4993" s="1" t="s">
        <v>8100</v>
      </c>
      <c r="E4993" s="1" t="s">
        <v>3730</v>
      </c>
      <c r="F4993" s="1" t="s">
        <v>17888</v>
      </c>
      <c r="G4993" s="1" t="s">
        <v>17882</v>
      </c>
      <c r="H4993" s="1" t="s">
        <v>3604</v>
      </c>
      <c r="I4993" s="1" t="s">
        <v>17889</v>
      </c>
      <c r="J4993" s="1" t="s">
        <v>3606</v>
      </c>
      <c r="K4993" s="1" t="s">
        <v>17890</v>
      </c>
      <c r="L4993" s="1"/>
      <c r="M4993" s="1"/>
    </row>
    <row x14ac:dyDescent="0.25" r="4994" customHeight="1" ht="18.75">
      <c r="A4994" s="1" t="s">
        <v>3617</v>
      </c>
      <c r="B4994" s="1" t="s">
        <v>5222</v>
      </c>
      <c r="C4994" s="1" t="s">
        <v>3619</v>
      </c>
      <c r="D4994" s="1" t="s">
        <v>8100</v>
      </c>
      <c r="E4994" s="1" t="s">
        <v>3730</v>
      </c>
      <c r="F4994" s="1" t="s">
        <v>17891</v>
      </c>
      <c r="G4994" s="1" t="s">
        <v>17892</v>
      </c>
      <c r="H4994" s="1" t="s">
        <v>3604</v>
      </c>
      <c r="I4994" s="1" t="s">
        <v>17893</v>
      </c>
      <c r="J4994" s="1" t="s">
        <v>3606</v>
      </c>
      <c r="K4994" s="1" t="s">
        <v>17894</v>
      </c>
      <c r="L4994" s="1"/>
      <c r="M4994" s="1"/>
    </row>
    <row x14ac:dyDescent="0.25" r="4995" customHeight="1" ht="18.75">
      <c r="A4995" s="1" t="s">
        <v>3617</v>
      </c>
      <c r="B4995" s="1" t="s">
        <v>5222</v>
      </c>
      <c r="C4995" s="1" t="s">
        <v>3619</v>
      </c>
      <c r="D4995" s="1" t="s">
        <v>8100</v>
      </c>
      <c r="E4995" s="1" t="s">
        <v>3730</v>
      </c>
      <c r="F4995" s="1" t="s">
        <v>17895</v>
      </c>
      <c r="G4995" s="1" t="s">
        <v>17892</v>
      </c>
      <c r="H4995" s="1" t="s">
        <v>3604</v>
      </c>
      <c r="I4995" s="1" t="s">
        <v>17896</v>
      </c>
      <c r="J4995" s="1" t="s">
        <v>3606</v>
      </c>
      <c r="K4995" s="1" t="s">
        <v>17897</v>
      </c>
      <c r="L4995" s="1"/>
      <c r="M4995" s="1"/>
    </row>
    <row x14ac:dyDescent="0.25" r="4996" customHeight="1" ht="18.75">
      <c r="A4996" s="1" t="s">
        <v>3617</v>
      </c>
      <c r="B4996" s="1" t="s">
        <v>5222</v>
      </c>
      <c r="C4996" s="1" t="s">
        <v>3619</v>
      </c>
      <c r="D4996" s="1" t="s">
        <v>8100</v>
      </c>
      <c r="E4996" s="1" t="s">
        <v>3730</v>
      </c>
      <c r="F4996" s="1" t="s">
        <v>17898</v>
      </c>
      <c r="G4996" s="1" t="s">
        <v>17892</v>
      </c>
      <c r="H4996" s="1" t="s">
        <v>3604</v>
      </c>
      <c r="I4996" s="1" t="s">
        <v>17899</v>
      </c>
      <c r="J4996" s="1" t="s">
        <v>3606</v>
      </c>
      <c r="K4996" s="1" t="s">
        <v>17900</v>
      </c>
      <c r="L4996" s="1"/>
      <c r="M4996" s="1"/>
    </row>
    <row x14ac:dyDescent="0.25" r="4997" customHeight="1" ht="18.75">
      <c r="A4997" s="1" t="s">
        <v>3617</v>
      </c>
      <c r="B4997" s="1" t="s">
        <v>5222</v>
      </c>
      <c r="C4997" s="1" t="s">
        <v>3619</v>
      </c>
      <c r="D4997" s="1" t="s">
        <v>7847</v>
      </c>
      <c r="E4997" s="1" t="s">
        <v>3730</v>
      </c>
      <c r="F4997" s="1" t="s">
        <v>17901</v>
      </c>
      <c r="G4997" s="1" t="s">
        <v>17902</v>
      </c>
      <c r="H4997" s="1" t="s">
        <v>3604</v>
      </c>
      <c r="I4997" s="1" t="s">
        <v>17903</v>
      </c>
      <c r="J4997" s="1" t="s">
        <v>3606</v>
      </c>
      <c r="K4997" s="1" t="s">
        <v>17904</v>
      </c>
      <c r="L4997" s="1"/>
      <c r="M4997" s="1"/>
    </row>
    <row x14ac:dyDescent="0.25" r="4998" customHeight="1" ht="18.75">
      <c r="A4998" s="1" t="s">
        <v>3693</v>
      </c>
      <c r="B4998" s="1" t="s">
        <v>3957</v>
      </c>
      <c r="C4998" s="1" t="s">
        <v>3600</v>
      </c>
      <c r="D4998" s="1" t="s">
        <v>7847</v>
      </c>
      <c r="E4998" s="1" t="s">
        <v>3664</v>
      </c>
      <c r="F4998" s="1" t="s">
        <v>17905</v>
      </c>
      <c r="G4998" s="1" t="s">
        <v>7420</v>
      </c>
      <c r="H4998" s="1" t="s">
        <v>3604</v>
      </c>
      <c r="I4998" s="1" t="s">
        <v>17906</v>
      </c>
      <c r="J4998" s="1" t="s">
        <v>3606</v>
      </c>
      <c r="K4998" s="1" t="s">
        <v>17907</v>
      </c>
      <c r="L4998" s="1"/>
      <c r="M4998" s="1"/>
    </row>
    <row x14ac:dyDescent="0.25" r="4999" customHeight="1" ht="18.75">
      <c r="A4999" s="1" t="s">
        <v>3693</v>
      </c>
      <c r="B4999" s="1" t="s">
        <v>4091</v>
      </c>
      <c r="C4999" s="1" t="s">
        <v>3600</v>
      </c>
      <c r="D4999" s="1" t="s">
        <v>8100</v>
      </c>
      <c r="E4999" s="1" t="s">
        <v>3893</v>
      </c>
      <c r="F4999" s="1" t="s">
        <v>17908</v>
      </c>
      <c r="G4999" s="1" t="s">
        <v>6539</v>
      </c>
      <c r="H4999" s="1" t="s">
        <v>3604</v>
      </c>
      <c r="I4999" s="1" t="s">
        <v>17909</v>
      </c>
      <c r="J4999" s="1" t="s">
        <v>3606</v>
      </c>
      <c r="K4999" s="1" t="s">
        <v>17910</v>
      </c>
      <c r="L4999" s="1"/>
      <c r="M4999" s="1"/>
    </row>
    <row x14ac:dyDescent="0.25" r="5000" customHeight="1" ht="18.75">
      <c r="A5000" s="1" t="s">
        <v>3693</v>
      </c>
      <c r="B5000" s="1" t="s">
        <v>4091</v>
      </c>
      <c r="C5000" s="1" t="s">
        <v>3600</v>
      </c>
      <c r="D5000" s="1" t="s">
        <v>8100</v>
      </c>
      <c r="E5000" s="1" t="s">
        <v>3893</v>
      </c>
      <c r="F5000" s="1" t="s">
        <v>17911</v>
      </c>
      <c r="G5000" s="1" t="s">
        <v>6539</v>
      </c>
      <c r="H5000" s="1" t="s">
        <v>3604</v>
      </c>
      <c r="I5000" s="1" t="s">
        <v>17912</v>
      </c>
      <c r="J5000" s="1" t="s">
        <v>3606</v>
      </c>
      <c r="K5000" s="1" t="s">
        <v>17913</v>
      </c>
      <c r="L5000" s="1"/>
      <c r="M5000" s="1"/>
    </row>
    <row x14ac:dyDescent="0.25" r="5001" customHeight="1" ht="18.75">
      <c r="A5001" s="1" t="s">
        <v>3693</v>
      </c>
      <c r="B5001" s="1" t="s">
        <v>4091</v>
      </c>
      <c r="C5001" s="1" t="s">
        <v>3600</v>
      </c>
      <c r="D5001" s="1" t="s">
        <v>8100</v>
      </c>
      <c r="E5001" s="1" t="s">
        <v>3893</v>
      </c>
      <c r="F5001" s="1" t="s">
        <v>17914</v>
      </c>
      <c r="G5001" s="1" t="s">
        <v>4434</v>
      </c>
      <c r="H5001" s="1" t="s">
        <v>3604</v>
      </c>
      <c r="I5001" s="1" t="s">
        <v>17915</v>
      </c>
      <c r="J5001" s="1" t="s">
        <v>3606</v>
      </c>
      <c r="K5001" s="1" t="s">
        <v>17916</v>
      </c>
      <c r="L5001" s="1"/>
      <c r="M5001" s="1"/>
    </row>
    <row x14ac:dyDescent="0.25" r="5002" customHeight="1" ht="18.75">
      <c r="A5002" s="1" t="s">
        <v>3693</v>
      </c>
      <c r="B5002" s="1" t="s">
        <v>4091</v>
      </c>
      <c r="C5002" s="1" t="s">
        <v>3600</v>
      </c>
      <c r="D5002" s="1" t="s">
        <v>8100</v>
      </c>
      <c r="E5002" s="1" t="s">
        <v>3893</v>
      </c>
      <c r="F5002" s="1" t="s">
        <v>17917</v>
      </c>
      <c r="G5002" s="1" t="s">
        <v>4434</v>
      </c>
      <c r="H5002" s="1" t="s">
        <v>3604</v>
      </c>
      <c r="I5002" s="1" t="s">
        <v>17918</v>
      </c>
      <c r="J5002" s="1" t="s">
        <v>3606</v>
      </c>
      <c r="K5002" s="1" t="s">
        <v>17919</v>
      </c>
      <c r="L5002" s="1"/>
      <c r="M5002" s="1"/>
    </row>
    <row x14ac:dyDescent="0.25" r="5003" customHeight="1" ht="18.75">
      <c r="A5003" s="1" t="s">
        <v>3693</v>
      </c>
      <c r="B5003" s="1" t="s">
        <v>4091</v>
      </c>
      <c r="C5003" s="1" t="s">
        <v>3600</v>
      </c>
      <c r="D5003" s="1" t="s">
        <v>8100</v>
      </c>
      <c r="E5003" s="1" t="s">
        <v>3893</v>
      </c>
      <c r="F5003" s="1" t="s">
        <v>17920</v>
      </c>
      <c r="G5003" s="1" t="s">
        <v>4434</v>
      </c>
      <c r="H5003" s="1" t="s">
        <v>3604</v>
      </c>
      <c r="I5003" s="1" t="s">
        <v>17921</v>
      </c>
      <c r="J5003" s="1" t="s">
        <v>3606</v>
      </c>
      <c r="K5003" s="1" t="s">
        <v>17922</v>
      </c>
      <c r="L5003" s="1"/>
      <c r="M5003" s="1"/>
    </row>
    <row x14ac:dyDescent="0.25" r="5004" customHeight="1" ht="18.75">
      <c r="A5004" s="1" t="s">
        <v>3693</v>
      </c>
      <c r="B5004" s="1" t="s">
        <v>4091</v>
      </c>
      <c r="C5004" s="1" t="s">
        <v>3600</v>
      </c>
      <c r="D5004" s="1" t="s">
        <v>8100</v>
      </c>
      <c r="E5004" s="1" t="s">
        <v>3893</v>
      </c>
      <c r="F5004" s="1" t="s">
        <v>17923</v>
      </c>
      <c r="G5004" s="1" t="s">
        <v>17924</v>
      </c>
      <c r="H5004" s="1" t="s">
        <v>3604</v>
      </c>
      <c r="I5004" s="1" t="s">
        <v>17925</v>
      </c>
      <c r="J5004" s="1" t="s">
        <v>3606</v>
      </c>
      <c r="K5004" s="1" t="s">
        <v>17926</v>
      </c>
      <c r="L5004" s="1"/>
      <c r="M5004" s="1"/>
    </row>
    <row x14ac:dyDescent="0.25" r="5005" customHeight="1" ht="18.75">
      <c r="A5005" s="1" t="s">
        <v>3598</v>
      </c>
      <c r="B5005" s="1" t="s">
        <v>9273</v>
      </c>
      <c r="C5005" s="1" t="s">
        <v>3600</v>
      </c>
      <c r="D5005" s="1" t="s">
        <v>7847</v>
      </c>
      <c r="E5005" s="1" t="s">
        <v>3664</v>
      </c>
      <c r="F5005" s="1" t="s">
        <v>17927</v>
      </c>
      <c r="G5005" s="1" t="s">
        <v>17928</v>
      </c>
      <c r="H5005" s="1" t="s">
        <v>3604</v>
      </c>
      <c r="I5005" s="1" t="s">
        <v>17929</v>
      </c>
      <c r="J5005" s="1" t="s">
        <v>3606</v>
      </c>
      <c r="K5005" s="1" t="s">
        <v>17930</v>
      </c>
      <c r="L5005" s="1"/>
      <c r="M5005" s="1"/>
    </row>
    <row x14ac:dyDescent="0.25" r="5006" customHeight="1" ht="18.75">
      <c r="A5006" s="1" t="s">
        <v>3598</v>
      </c>
      <c r="B5006" s="1" t="s">
        <v>4273</v>
      </c>
      <c r="C5006" s="1" t="s">
        <v>3600</v>
      </c>
      <c r="D5006" s="1" t="s">
        <v>7847</v>
      </c>
      <c r="E5006" s="1" t="s">
        <v>3664</v>
      </c>
      <c r="F5006" s="1" t="s">
        <v>17931</v>
      </c>
      <c r="G5006" s="1" t="s">
        <v>17932</v>
      </c>
      <c r="H5006" s="1" t="s">
        <v>3604</v>
      </c>
      <c r="I5006" s="1" t="s">
        <v>17933</v>
      </c>
      <c r="J5006" s="1" t="s">
        <v>3606</v>
      </c>
      <c r="K5006" s="1" t="s">
        <v>17934</v>
      </c>
      <c r="L5006" s="1"/>
      <c r="M5006" s="1"/>
    </row>
    <row x14ac:dyDescent="0.25" r="5007" customHeight="1" ht="18.75">
      <c r="A5007" s="1" t="s">
        <v>3598</v>
      </c>
      <c r="B5007" s="1" t="s">
        <v>4273</v>
      </c>
      <c r="C5007" s="1" t="s">
        <v>3600</v>
      </c>
      <c r="D5007" s="1" t="s">
        <v>7847</v>
      </c>
      <c r="E5007" s="1" t="s">
        <v>3664</v>
      </c>
      <c r="F5007" s="1" t="s">
        <v>17935</v>
      </c>
      <c r="G5007" s="1" t="s">
        <v>17936</v>
      </c>
      <c r="H5007" s="1" t="s">
        <v>3604</v>
      </c>
      <c r="I5007" s="1" t="s">
        <v>17937</v>
      </c>
      <c r="J5007" s="1" t="s">
        <v>3606</v>
      </c>
      <c r="K5007" s="1" t="s">
        <v>17938</v>
      </c>
      <c r="L5007" s="1"/>
      <c r="M5007" s="1"/>
    </row>
    <row x14ac:dyDescent="0.25" r="5008" customHeight="1" ht="18.75">
      <c r="A5008" s="1" t="s">
        <v>7833</v>
      </c>
      <c r="B5008" s="1" t="s">
        <v>7856</v>
      </c>
      <c r="C5008" s="1" t="s">
        <v>4488</v>
      </c>
      <c r="D5008" s="1" t="s">
        <v>8116</v>
      </c>
      <c r="E5008" s="1" t="s">
        <v>3611</v>
      </c>
      <c r="F5008" s="1" t="s">
        <v>17939</v>
      </c>
      <c r="G5008" s="1" t="s">
        <v>17940</v>
      </c>
      <c r="H5008" s="1" t="s">
        <v>3604</v>
      </c>
      <c r="I5008" s="1" t="s">
        <v>17941</v>
      </c>
      <c r="J5008" s="1" t="s">
        <v>3606</v>
      </c>
      <c r="K5008" s="1" t="s">
        <v>8290</v>
      </c>
      <c r="L5008" s="1"/>
      <c r="M5008" s="1"/>
    </row>
    <row x14ac:dyDescent="0.25" r="5009" customHeight="1" ht="18.75">
      <c r="A5009" s="1" t="s">
        <v>7833</v>
      </c>
      <c r="B5009" s="1" t="s">
        <v>7856</v>
      </c>
      <c r="C5009" s="1" t="s">
        <v>4488</v>
      </c>
      <c r="D5009" s="1" t="s">
        <v>8116</v>
      </c>
      <c r="E5009" s="1" t="s">
        <v>3611</v>
      </c>
      <c r="F5009" s="1" t="s">
        <v>17942</v>
      </c>
      <c r="G5009" s="1" t="s">
        <v>17943</v>
      </c>
      <c r="H5009" s="1" t="s">
        <v>3604</v>
      </c>
      <c r="I5009" s="1" t="s">
        <v>17944</v>
      </c>
      <c r="J5009" s="1" t="s">
        <v>3606</v>
      </c>
      <c r="K5009" s="1" t="s">
        <v>17945</v>
      </c>
      <c r="L5009" s="1"/>
      <c r="M5009" s="1"/>
    </row>
    <row x14ac:dyDescent="0.25" r="5010" customHeight="1" ht="18.75">
      <c r="A5010" s="1" t="s">
        <v>7833</v>
      </c>
      <c r="B5010" s="1" t="s">
        <v>7856</v>
      </c>
      <c r="C5010" s="1" t="s">
        <v>4488</v>
      </c>
      <c r="D5010" s="1" t="s">
        <v>8116</v>
      </c>
      <c r="E5010" s="1" t="s">
        <v>3611</v>
      </c>
      <c r="F5010" s="1" t="s">
        <v>17946</v>
      </c>
      <c r="G5010" s="1" t="s">
        <v>17947</v>
      </c>
      <c r="H5010" s="1" t="s">
        <v>3604</v>
      </c>
      <c r="I5010" s="1" t="s">
        <v>17948</v>
      </c>
      <c r="J5010" s="1" t="s">
        <v>3606</v>
      </c>
      <c r="K5010" s="1" t="s">
        <v>17949</v>
      </c>
      <c r="L5010" s="1"/>
      <c r="M5010" s="1"/>
    </row>
    <row x14ac:dyDescent="0.25" r="5011" customHeight="1" ht="18.75">
      <c r="A5011" s="1" t="s">
        <v>7833</v>
      </c>
      <c r="B5011" s="1" t="s">
        <v>7856</v>
      </c>
      <c r="C5011" s="1" t="s">
        <v>4488</v>
      </c>
      <c r="D5011" s="1" t="s">
        <v>8116</v>
      </c>
      <c r="E5011" s="1" t="s">
        <v>3611</v>
      </c>
      <c r="F5011" s="1" t="s">
        <v>17950</v>
      </c>
      <c r="G5011" s="1" t="s">
        <v>17951</v>
      </c>
      <c r="H5011" s="1" t="s">
        <v>3604</v>
      </c>
      <c r="I5011" s="1" t="s">
        <v>17952</v>
      </c>
      <c r="J5011" s="1" t="s">
        <v>3606</v>
      </c>
      <c r="K5011" s="1" t="s">
        <v>8253</v>
      </c>
      <c r="L5011" s="1"/>
      <c r="M5011" s="1"/>
    </row>
    <row x14ac:dyDescent="0.25" r="5012" customHeight="1" ht="18.75">
      <c r="A5012" s="1" t="s">
        <v>3617</v>
      </c>
      <c r="B5012" s="1" t="s">
        <v>17953</v>
      </c>
      <c r="C5012" s="1" t="s">
        <v>3619</v>
      </c>
      <c r="D5012" s="1" t="s">
        <v>14146</v>
      </c>
      <c r="E5012" s="1" t="s">
        <v>3730</v>
      </c>
      <c r="F5012" s="1" t="s">
        <v>17954</v>
      </c>
      <c r="G5012" s="1" t="s">
        <v>17953</v>
      </c>
      <c r="H5012" s="1" t="s">
        <v>3604</v>
      </c>
      <c r="I5012" s="1" t="s">
        <v>17955</v>
      </c>
      <c r="J5012" s="1" t="s">
        <v>3615</v>
      </c>
      <c r="K5012" s="1" t="s">
        <v>17956</v>
      </c>
      <c r="L5012" s="1"/>
      <c r="M5012" s="1"/>
    </row>
    <row x14ac:dyDescent="0.25" r="5013" customHeight="1" ht="18.75">
      <c r="A5013" s="1" t="s">
        <v>3617</v>
      </c>
      <c r="B5013" s="1" t="s">
        <v>17957</v>
      </c>
      <c r="C5013" s="1" t="s">
        <v>3619</v>
      </c>
      <c r="D5013" s="1" t="s">
        <v>14146</v>
      </c>
      <c r="E5013" s="1" t="s">
        <v>3730</v>
      </c>
      <c r="F5013" s="1" t="s">
        <v>17958</v>
      </c>
      <c r="G5013" s="1" t="s">
        <v>17957</v>
      </c>
      <c r="H5013" s="1" t="s">
        <v>3604</v>
      </c>
      <c r="I5013" s="1" t="s">
        <v>17959</v>
      </c>
      <c r="J5013" s="1" t="s">
        <v>3615</v>
      </c>
      <c r="K5013" s="1" t="s">
        <v>17960</v>
      </c>
      <c r="L5013" s="1"/>
      <c r="M5013" s="1"/>
    </row>
    <row x14ac:dyDescent="0.25" r="5014" customHeight="1" ht="18.75">
      <c r="A5014" s="1" t="s">
        <v>3617</v>
      </c>
      <c r="B5014" s="1" t="s">
        <v>17961</v>
      </c>
      <c r="C5014" s="1" t="s">
        <v>3619</v>
      </c>
      <c r="D5014" s="1" t="s">
        <v>14146</v>
      </c>
      <c r="E5014" s="1" t="s">
        <v>3981</v>
      </c>
      <c r="F5014" s="1" t="s">
        <v>17962</v>
      </c>
      <c r="G5014" s="1" t="s">
        <v>17961</v>
      </c>
      <c r="H5014" s="1" t="s">
        <v>3604</v>
      </c>
      <c r="I5014" s="1" t="s">
        <v>17963</v>
      </c>
      <c r="J5014" s="1" t="s">
        <v>3606</v>
      </c>
      <c r="K5014" s="1" t="s">
        <v>17964</v>
      </c>
      <c r="L5014" s="1"/>
      <c r="M5014" s="1"/>
    </row>
    <row x14ac:dyDescent="0.25" r="5015" customHeight="1" ht="18.75">
      <c r="A5015" s="1" t="s">
        <v>3617</v>
      </c>
      <c r="B5015" s="1" t="s">
        <v>17965</v>
      </c>
      <c r="C5015" s="1" t="s">
        <v>3619</v>
      </c>
      <c r="D5015" s="1" t="s">
        <v>14146</v>
      </c>
      <c r="E5015" s="1" t="s">
        <v>3981</v>
      </c>
      <c r="F5015" s="1" t="s">
        <v>17966</v>
      </c>
      <c r="G5015" s="1" t="s">
        <v>17965</v>
      </c>
      <c r="H5015" s="1" t="s">
        <v>3604</v>
      </c>
      <c r="I5015" s="1" t="s">
        <v>17967</v>
      </c>
      <c r="J5015" s="1" t="s">
        <v>3606</v>
      </c>
      <c r="K5015" s="1" t="s">
        <v>17968</v>
      </c>
      <c r="L5015" s="1"/>
      <c r="M5015" s="1"/>
    </row>
    <row x14ac:dyDescent="0.25" r="5016" customHeight="1" ht="18.75">
      <c r="A5016" s="1" t="s">
        <v>3617</v>
      </c>
      <c r="B5016" s="1" t="s">
        <v>17969</v>
      </c>
      <c r="C5016" s="1" t="s">
        <v>3619</v>
      </c>
      <c r="D5016" s="1" t="s">
        <v>14146</v>
      </c>
      <c r="E5016" s="1" t="s">
        <v>3981</v>
      </c>
      <c r="F5016" s="1" t="s">
        <v>17970</v>
      </c>
      <c r="G5016" s="1" t="s">
        <v>17969</v>
      </c>
      <c r="H5016" s="1" t="s">
        <v>3604</v>
      </c>
      <c r="I5016" s="1" t="s">
        <v>17971</v>
      </c>
      <c r="J5016" s="1" t="s">
        <v>3606</v>
      </c>
      <c r="K5016" s="1" t="s">
        <v>17972</v>
      </c>
      <c r="L5016" s="1"/>
      <c r="M5016" s="1"/>
    </row>
    <row x14ac:dyDescent="0.25" r="5017" customHeight="1" ht="18.75">
      <c r="A5017" s="1" t="s">
        <v>3617</v>
      </c>
      <c r="B5017" s="1" t="s">
        <v>17973</v>
      </c>
      <c r="C5017" s="1" t="s">
        <v>3619</v>
      </c>
      <c r="D5017" s="1" t="s">
        <v>14146</v>
      </c>
      <c r="E5017" s="1" t="s">
        <v>3730</v>
      </c>
      <c r="F5017" s="1" t="s">
        <v>17974</v>
      </c>
      <c r="G5017" s="1" t="s">
        <v>17973</v>
      </c>
      <c r="H5017" s="1" t="s">
        <v>3604</v>
      </c>
      <c r="I5017" s="1" t="s">
        <v>17975</v>
      </c>
      <c r="J5017" s="1" t="s">
        <v>3606</v>
      </c>
      <c r="K5017" s="1" t="s">
        <v>17976</v>
      </c>
      <c r="L5017" s="1"/>
      <c r="M5017" s="1"/>
    </row>
    <row x14ac:dyDescent="0.25" r="5018" customHeight="1" ht="18.75">
      <c r="A5018" s="1" t="s">
        <v>3617</v>
      </c>
      <c r="B5018" s="1" t="s">
        <v>6364</v>
      </c>
      <c r="C5018" s="1" t="s">
        <v>3619</v>
      </c>
      <c r="D5018" s="1" t="s">
        <v>14146</v>
      </c>
      <c r="E5018" s="1" t="s">
        <v>3730</v>
      </c>
      <c r="F5018" s="1" t="s">
        <v>17977</v>
      </c>
      <c r="G5018" s="1" t="s">
        <v>6364</v>
      </c>
      <c r="H5018" s="1" t="s">
        <v>3604</v>
      </c>
      <c r="I5018" s="1" t="s">
        <v>17978</v>
      </c>
      <c r="J5018" s="1" t="s">
        <v>3606</v>
      </c>
      <c r="K5018" s="1" t="s">
        <v>17979</v>
      </c>
      <c r="L5018" s="1"/>
      <c r="M5018" s="1"/>
    </row>
    <row x14ac:dyDescent="0.25" r="5019" customHeight="1" ht="18.75">
      <c r="A5019" s="1" t="s">
        <v>3617</v>
      </c>
      <c r="B5019" s="1" t="s">
        <v>17980</v>
      </c>
      <c r="C5019" s="1" t="s">
        <v>3619</v>
      </c>
      <c r="D5019" s="1" t="s">
        <v>14146</v>
      </c>
      <c r="E5019" s="1" t="s">
        <v>3730</v>
      </c>
      <c r="F5019" s="1" t="s">
        <v>17970</v>
      </c>
      <c r="G5019" s="1" t="s">
        <v>17980</v>
      </c>
      <c r="H5019" s="1" t="s">
        <v>3604</v>
      </c>
      <c r="I5019" s="1" t="s">
        <v>17981</v>
      </c>
      <c r="J5019" s="1" t="s">
        <v>3606</v>
      </c>
      <c r="K5019" s="1" t="s">
        <v>17982</v>
      </c>
      <c r="L5019" s="1"/>
      <c r="M5019" s="1"/>
    </row>
    <row x14ac:dyDescent="0.25" r="5020" customHeight="1" ht="18.75">
      <c r="A5020" s="1" t="s">
        <v>3617</v>
      </c>
      <c r="B5020" s="1" t="s">
        <v>17983</v>
      </c>
      <c r="C5020" s="1" t="s">
        <v>3619</v>
      </c>
      <c r="D5020" s="1" t="s">
        <v>14146</v>
      </c>
      <c r="E5020" s="1" t="s">
        <v>3730</v>
      </c>
      <c r="F5020" s="1" t="s">
        <v>17984</v>
      </c>
      <c r="G5020" s="1" t="s">
        <v>17983</v>
      </c>
      <c r="H5020" s="1" t="s">
        <v>3604</v>
      </c>
      <c r="I5020" s="1" t="s">
        <v>17985</v>
      </c>
      <c r="J5020" s="1" t="s">
        <v>3606</v>
      </c>
      <c r="K5020" s="1" t="s">
        <v>17986</v>
      </c>
      <c r="L5020" s="1"/>
      <c r="M5020" s="1"/>
    </row>
    <row x14ac:dyDescent="0.25" r="5021" customHeight="1" ht="18.75">
      <c r="A5021" s="1" t="s">
        <v>3617</v>
      </c>
      <c r="B5021" s="1" t="s">
        <v>6372</v>
      </c>
      <c r="C5021" s="1" t="s">
        <v>3619</v>
      </c>
      <c r="D5021" s="1" t="s">
        <v>14146</v>
      </c>
      <c r="E5021" s="1" t="s">
        <v>3730</v>
      </c>
      <c r="F5021" s="1" t="s">
        <v>17987</v>
      </c>
      <c r="G5021" s="1" t="s">
        <v>6372</v>
      </c>
      <c r="H5021" s="1" t="s">
        <v>3604</v>
      </c>
      <c r="I5021" s="1" t="s">
        <v>17988</v>
      </c>
      <c r="J5021" s="1" t="s">
        <v>3606</v>
      </c>
      <c r="K5021" s="1" t="s">
        <v>17989</v>
      </c>
      <c r="L5021" s="1"/>
      <c r="M5021" s="1"/>
    </row>
    <row x14ac:dyDescent="0.25" r="5022" customHeight="1" ht="18.75">
      <c r="A5022" s="1" t="s">
        <v>3617</v>
      </c>
      <c r="B5022" s="1" t="s">
        <v>17990</v>
      </c>
      <c r="C5022" s="1" t="s">
        <v>3619</v>
      </c>
      <c r="D5022" s="1" t="s">
        <v>14146</v>
      </c>
      <c r="E5022" s="1" t="s">
        <v>3730</v>
      </c>
      <c r="F5022" s="1" t="s">
        <v>17991</v>
      </c>
      <c r="G5022" s="1" t="s">
        <v>17990</v>
      </c>
      <c r="H5022" s="1" t="s">
        <v>3604</v>
      </c>
      <c r="I5022" s="1" t="s">
        <v>17992</v>
      </c>
      <c r="J5022" s="1" t="s">
        <v>3606</v>
      </c>
      <c r="K5022" s="1" t="s">
        <v>17993</v>
      </c>
      <c r="L5022" s="1"/>
      <c r="M5022" s="1"/>
    </row>
    <row x14ac:dyDescent="0.25" r="5023" customHeight="1" ht="18.75">
      <c r="A5023" s="1" t="s">
        <v>3617</v>
      </c>
      <c r="B5023" s="1" t="s">
        <v>17994</v>
      </c>
      <c r="C5023" s="1" t="s">
        <v>3619</v>
      </c>
      <c r="D5023" s="1" t="s">
        <v>14146</v>
      </c>
      <c r="E5023" s="1" t="s">
        <v>3730</v>
      </c>
      <c r="F5023" s="1" t="s">
        <v>17987</v>
      </c>
      <c r="G5023" s="1" t="s">
        <v>17994</v>
      </c>
      <c r="H5023" s="1" t="s">
        <v>3604</v>
      </c>
      <c r="I5023" s="1" t="s">
        <v>17995</v>
      </c>
      <c r="J5023" s="1" t="s">
        <v>3606</v>
      </c>
      <c r="K5023" s="1" t="s">
        <v>17996</v>
      </c>
      <c r="L5023" s="1"/>
      <c r="M5023" s="1"/>
    </row>
    <row x14ac:dyDescent="0.25" r="5024" customHeight="1" ht="18.75">
      <c r="A5024" s="1" t="s">
        <v>3617</v>
      </c>
      <c r="B5024" s="1" t="s">
        <v>17997</v>
      </c>
      <c r="C5024" s="1" t="s">
        <v>3619</v>
      </c>
      <c r="D5024" s="1" t="s">
        <v>14146</v>
      </c>
      <c r="E5024" s="1" t="s">
        <v>3730</v>
      </c>
      <c r="F5024" s="1" t="s">
        <v>17998</v>
      </c>
      <c r="G5024" s="1" t="s">
        <v>17997</v>
      </c>
      <c r="H5024" s="1" t="s">
        <v>3604</v>
      </c>
      <c r="I5024" s="1" t="s">
        <v>17999</v>
      </c>
      <c r="J5024" s="1" t="s">
        <v>3606</v>
      </c>
      <c r="K5024" s="1" t="s">
        <v>18000</v>
      </c>
      <c r="L5024" s="1"/>
      <c r="M5024" s="1"/>
    </row>
    <row x14ac:dyDescent="0.25" r="5025" customHeight="1" ht="18.75">
      <c r="A5025" s="1" t="s">
        <v>3617</v>
      </c>
      <c r="B5025" s="1" t="s">
        <v>18001</v>
      </c>
      <c r="C5025" s="1" t="s">
        <v>3619</v>
      </c>
      <c r="D5025" s="1" t="s">
        <v>14146</v>
      </c>
      <c r="E5025" s="1" t="s">
        <v>3730</v>
      </c>
      <c r="F5025" s="1" t="s">
        <v>17987</v>
      </c>
      <c r="G5025" s="1" t="s">
        <v>18001</v>
      </c>
      <c r="H5025" s="1" t="s">
        <v>3604</v>
      </c>
      <c r="I5025" s="1" t="s">
        <v>18002</v>
      </c>
      <c r="J5025" s="1" t="s">
        <v>3606</v>
      </c>
      <c r="K5025" s="1" t="s">
        <v>18003</v>
      </c>
      <c r="L5025" s="1"/>
      <c r="M5025" s="1"/>
    </row>
    <row x14ac:dyDescent="0.25" r="5026" customHeight="1" ht="18.75">
      <c r="A5026" s="1" t="s">
        <v>3617</v>
      </c>
      <c r="B5026" s="1" t="s">
        <v>18004</v>
      </c>
      <c r="C5026" s="1" t="s">
        <v>3619</v>
      </c>
      <c r="D5026" s="1" t="s">
        <v>14146</v>
      </c>
      <c r="E5026" s="1" t="s">
        <v>3730</v>
      </c>
      <c r="F5026" s="1" t="s">
        <v>18005</v>
      </c>
      <c r="G5026" s="1" t="s">
        <v>18004</v>
      </c>
      <c r="H5026" s="1" t="s">
        <v>3604</v>
      </c>
      <c r="I5026" s="1" t="s">
        <v>18006</v>
      </c>
      <c r="J5026" s="1" t="s">
        <v>3606</v>
      </c>
      <c r="K5026" s="1" t="s">
        <v>18007</v>
      </c>
      <c r="L5026" s="1"/>
      <c r="M5026" s="1"/>
    </row>
    <row x14ac:dyDescent="0.25" r="5027" customHeight="1" ht="18.75">
      <c r="A5027" s="1" t="s">
        <v>3617</v>
      </c>
      <c r="B5027" s="1" t="s">
        <v>5570</v>
      </c>
      <c r="C5027" s="1" t="s">
        <v>3619</v>
      </c>
      <c r="D5027" s="1" t="s">
        <v>3695</v>
      </c>
      <c r="E5027" s="1" t="s">
        <v>3893</v>
      </c>
      <c r="F5027" s="1" t="s">
        <v>18008</v>
      </c>
      <c r="G5027" s="1" t="s">
        <v>18009</v>
      </c>
      <c r="H5027" s="1" t="s">
        <v>3604</v>
      </c>
      <c r="I5027" s="1" t="s">
        <v>18010</v>
      </c>
      <c r="J5027" s="1" t="s">
        <v>3606</v>
      </c>
      <c r="K5027" s="1" t="s">
        <v>18011</v>
      </c>
      <c r="L5027" s="1"/>
      <c r="M5027" s="1"/>
    </row>
    <row x14ac:dyDescent="0.25" r="5028" customHeight="1" ht="18.75">
      <c r="A5028" s="1" t="s">
        <v>3693</v>
      </c>
      <c r="B5028" s="1" t="s">
        <v>4267</v>
      </c>
      <c r="C5028" s="1" t="s">
        <v>3600</v>
      </c>
      <c r="D5028" s="1" t="s">
        <v>533</v>
      </c>
      <c r="E5028" s="1" t="s">
        <v>3664</v>
      </c>
      <c r="F5028" s="1" t="s">
        <v>18012</v>
      </c>
      <c r="G5028" s="1" t="s">
        <v>4268</v>
      </c>
      <c r="H5028" s="1" t="s">
        <v>3604</v>
      </c>
      <c r="I5028" s="1" t="s">
        <v>18013</v>
      </c>
      <c r="J5028" s="1" t="s">
        <v>3615</v>
      </c>
      <c r="K5028" s="1" t="s">
        <v>18014</v>
      </c>
      <c r="L5028" s="1"/>
      <c r="M5028" s="1"/>
    </row>
    <row x14ac:dyDescent="0.25" r="5029" customHeight="1" ht="18.75">
      <c r="A5029" s="1" t="s">
        <v>3598</v>
      </c>
      <c r="B5029" s="1" t="s">
        <v>4689</v>
      </c>
      <c r="C5029" s="1" t="s">
        <v>3600</v>
      </c>
      <c r="D5029" s="1" t="s">
        <v>7847</v>
      </c>
      <c r="E5029" s="1" t="s">
        <v>3664</v>
      </c>
      <c r="F5029" s="1" t="s">
        <v>18015</v>
      </c>
      <c r="G5029" s="1" t="s">
        <v>18016</v>
      </c>
      <c r="H5029" s="1" t="s">
        <v>3604</v>
      </c>
      <c r="I5029" s="1" t="s">
        <v>18017</v>
      </c>
      <c r="J5029" s="1" t="s">
        <v>3615</v>
      </c>
      <c r="K5029" s="1" t="s">
        <v>18018</v>
      </c>
      <c r="L5029" s="1"/>
      <c r="M5029" s="1"/>
    </row>
    <row x14ac:dyDescent="0.25" r="5030" customHeight="1" ht="18.75">
      <c r="A5030" s="1" t="s">
        <v>7833</v>
      </c>
      <c r="B5030" s="1" t="s">
        <v>8306</v>
      </c>
      <c r="C5030" s="1" t="s">
        <v>4488</v>
      </c>
      <c r="D5030" s="1" t="s">
        <v>533</v>
      </c>
      <c r="E5030" s="1" t="s">
        <v>3664</v>
      </c>
      <c r="F5030" s="1" t="s">
        <v>18019</v>
      </c>
      <c r="G5030" s="1" t="s">
        <v>13763</v>
      </c>
      <c r="H5030" s="1" t="s">
        <v>3604</v>
      </c>
      <c r="I5030" s="1" t="s">
        <v>18020</v>
      </c>
      <c r="J5030" s="1" t="s">
        <v>3606</v>
      </c>
      <c r="K5030" s="1" t="s">
        <v>18021</v>
      </c>
      <c r="L5030" s="1"/>
      <c r="M5030" s="1"/>
    </row>
    <row x14ac:dyDescent="0.25" r="5031" customHeight="1" ht="18.75">
      <c r="A5031" s="1" t="s">
        <v>7833</v>
      </c>
      <c r="B5031" s="1" t="s">
        <v>8306</v>
      </c>
      <c r="C5031" s="1" t="s">
        <v>4488</v>
      </c>
      <c r="D5031" s="1" t="s">
        <v>3610</v>
      </c>
      <c r="E5031" s="1" t="s">
        <v>3664</v>
      </c>
      <c r="F5031" s="1" t="s">
        <v>18022</v>
      </c>
      <c r="G5031" s="1" t="s">
        <v>13763</v>
      </c>
      <c r="H5031" s="1" t="s">
        <v>3604</v>
      </c>
      <c r="I5031" s="1" t="s">
        <v>18023</v>
      </c>
      <c r="J5031" s="1" t="s">
        <v>3606</v>
      </c>
      <c r="K5031" s="1" t="s">
        <v>18024</v>
      </c>
      <c r="L5031" s="1"/>
      <c r="M5031" s="1"/>
    </row>
    <row x14ac:dyDescent="0.25" r="5032" customHeight="1" ht="18.75">
      <c r="A5032" s="1" t="s">
        <v>7833</v>
      </c>
      <c r="B5032" s="1" t="s">
        <v>8306</v>
      </c>
      <c r="C5032" s="1" t="s">
        <v>4488</v>
      </c>
      <c r="D5032" s="1" t="s">
        <v>3610</v>
      </c>
      <c r="E5032" s="1" t="s">
        <v>3664</v>
      </c>
      <c r="F5032" s="1" t="s">
        <v>18025</v>
      </c>
      <c r="G5032" s="1" t="s">
        <v>13763</v>
      </c>
      <c r="H5032" s="1" t="s">
        <v>3604</v>
      </c>
      <c r="I5032" s="1" t="s">
        <v>18026</v>
      </c>
      <c r="J5032" s="1" t="s">
        <v>3606</v>
      </c>
      <c r="K5032" s="1" t="s">
        <v>18027</v>
      </c>
      <c r="L5032" s="1"/>
      <c r="M5032" s="1"/>
    </row>
    <row x14ac:dyDescent="0.25" r="5033" customHeight="1" ht="18.75">
      <c r="A5033" s="1" t="s">
        <v>7833</v>
      </c>
      <c r="B5033" s="1" t="s">
        <v>8306</v>
      </c>
      <c r="C5033" s="1" t="s">
        <v>4488</v>
      </c>
      <c r="D5033" s="1" t="s">
        <v>3610</v>
      </c>
      <c r="E5033" s="1" t="s">
        <v>3664</v>
      </c>
      <c r="F5033" s="1" t="s">
        <v>18028</v>
      </c>
      <c r="G5033" s="1" t="s">
        <v>13763</v>
      </c>
      <c r="H5033" s="1" t="s">
        <v>3604</v>
      </c>
      <c r="I5033" s="1" t="s">
        <v>18029</v>
      </c>
      <c r="J5033" s="1" t="s">
        <v>3606</v>
      </c>
      <c r="K5033" s="1" t="s">
        <v>18030</v>
      </c>
      <c r="L5033" s="1"/>
      <c r="M5033" s="1"/>
    </row>
    <row x14ac:dyDescent="0.25" r="5034" customHeight="1" ht="18.75">
      <c r="A5034" s="1" t="s">
        <v>7833</v>
      </c>
      <c r="B5034" s="1" t="s">
        <v>8306</v>
      </c>
      <c r="C5034" s="1" t="s">
        <v>4488</v>
      </c>
      <c r="D5034" s="1" t="s">
        <v>3610</v>
      </c>
      <c r="E5034" s="1" t="s">
        <v>3664</v>
      </c>
      <c r="F5034" s="1" t="s">
        <v>18031</v>
      </c>
      <c r="G5034" s="1" t="s">
        <v>13763</v>
      </c>
      <c r="H5034" s="1" t="s">
        <v>3604</v>
      </c>
      <c r="I5034" s="1" t="s">
        <v>18032</v>
      </c>
      <c r="J5034" s="1" t="s">
        <v>3606</v>
      </c>
      <c r="K5034" s="1" t="s">
        <v>18033</v>
      </c>
      <c r="L5034" s="1"/>
      <c r="M5034" s="1"/>
    </row>
    <row x14ac:dyDescent="0.25" r="5035" customHeight="1" ht="18.75">
      <c r="A5035" s="1" t="s">
        <v>7833</v>
      </c>
      <c r="B5035" s="1" t="s">
        <v>8306</v>
      </c>
      <c r="C5035" s="1" t="s">
        <v>4488</v>
      </c>
      <c r="D5035" s="1" t="s">
        <v>533</v>
      </c>
      <c r="E5035" s="1" t="s">
        <v>3664</v>
      </c>
      <c r="F5035" s="1" t="s">
        <v>18034</v>
      </c>
      <c r="G5035" s="1" t="s">
        <v>15304</v>
      </c>
      <c r="H5035" s="1" t="s">
        <v>3604</v>
      </c>
      <c r="I5035" s="1" t="s">
        <v>18035</v>
      </c>
      <c r="J5035" s="1" t="s">
        <v>3606</v>
      </c>
      <c r="K5035" s="1" t="s">
        <v>7884</v>
      </c>
      <c r="L5035" s="1"/>
      <c r="M5035" s="1"/>
    </row>
    <row x14ac:dyDescent="0.25" r="5036" customHeight="1" ht="18.75">
      <c r="A5036" s="1" t="s">
        <v>3598</v>
      </c>
      <c r="B5036" s="1" t="s">
        <v>5256</v>
      </c>
      <c r="C5036" s="1" t="s">
        <v>3600</v>
      </c>
      <c r="D5036" s="1" t="s">
        <v>3601</v>
      </c>
      <c r="E5036" s="1" t="s">
        <v>3664</v>
      </c>
      <c r="F5036" s="1" t="s">
        <v>18036</v>
      </c>
      <c r="G5036" s="1" t="s">
        <v>18037</v>
      </c>
      <c r="H5036" s="1" t="s">
        <v>3604</v>
      </c>
      <c r="I5036" s="1" t="s">
        <v>18038</v>
      </c>
      <c r="J5036" s="1" t="s">
        <v>3606</v>
      </c>
      <c r="K5036" s="1"/>
      <c r="L5036" s="1"/>
      <c r="M5036" s="1"/>
    </row>
    <row x14ac:dyDescent="0.25" r="5037" customHeight="1" ht="18.75">
      <c r="A5037" s="1" t="s">
        <v>3598</v>
      </c>
      <c r="B5037" s="1" t="s">
        <v>18039</v>
      </c>
      <c r="C5037" s="1" t="s">
        <v>3600</v>
      </c>
      <c r="D5037" s="1" t="s">
        <v>3601</v>
      </c>
      <c r="E5037" s="1" t="s">
        <v>3664</v>
      </c>
      <c r="F5037" s="1" t="s">
        <v>18040</v>
      </c>
      <c r="G5037" s="1" t="s">
        <v>18041</v>
      </c>
      <c r="H5037" s="1" t="s">
        <v>3604</v>
      </c>
      <c r="I5037" s="1" t="s">
        <v>18042</v>
      </c>
      <c r="J5037" s="1" t="s">
        <v>3606</v>
      </c>
      <c r="K5037" s="1"/>
      <c r="L5037" s="1"/>
      <c r="M5037" s="1"/>
    </row>
    <row x14ac:dyDescent="0.25" r="5038" customHeight="1" ht="18.75">
      <c r="A5038" s="1" t="s">
        <v>3598</v>
      </c>
      <c r="B5038" s="1" t="s">
        <v>18043</v>
      </c>
      <c r="C5038" s="1" t="s">
        <v>3600</v>
      </c>
      <c r="D5038" s="1" t="s">
        <v>3601</v>
      </c>
      <c r="E5038" s="1" t="s">
        <v>3664</v>
      </c>
      <c r="F5038" s="1" t="s">
        <v>18044</v>
      </c>
      <c r="G5038" s="1" t="s">
        <v>18045</v>
      </c>
      <c r="H5038" s="1" t="s">
        <v>3604</v>
      </c>
      <c r="I5038" s="1" t="s">
        <v>18046</v>
      </c>
      <c r="J5038" s="1" t="s">
        <v>3606</v>
      </c>
      <c r="K5038" s="1"/>
      <c r="L5038" s="1"/>
      <c r="M5038" s="1"/>
    </row>
    <row x14ac:dyDescent="0.25" r="5039" customHeight="1" ht="18.75">
      <c r="A5039" s="1" t="s">
        <v>3598</v>
      </c>
      <c r="B5039" s="1" t="s">
        <v>14038</v>
      </c>
      <c r="C5039" s="1" t="s">
        <v>3600</v>
      </c>
      <c r="D5039" s="1" t="s">
        <v>3601</v>
      </c>
      <c r="E5039" s="1" t="s">
        <v>3664</v>
      </c>
      <c r="F5039" s="1" t="s">
        <v>18047</v>
      </c>
      <c r="G5039" s="1" t="s">
        <v>18048</v>
      </c>
      <c r="H5039" s="1" t="s">
        <v>3604</v>
      </c>
      <c r="I5039" s="1" t="s">
        <v>18049</v>
      </c>
      <c r="J5039" s="1" t="s">
        <v>3606</v>
      </c>
      <c r="K5039" s="1"/>
      <c r="L5039" s="1"/>
      <c r="M5039" s="1"/>
    </row>
    <row x14ac:dyDescent="0.25" r="5040" customHeight="1" ht="18.75">
      <c r="A5040" s="1" t="s">
        <v>3598</v>
      </c>
      <c r="B5040" s="1" t="s">
        <v>14115</v>
      </c>
      <c r="C5040" s="1" t="s">
        <v>3600</v>
      </c>
      <c r="D5040" s="1" t="s">
        <v>3601</v>
      </c>
      <c r="E5040" s="1" t="s">
        <v>3664</v>
      </c>
      <c r="F5040" s="1" t="s">
        <v>18050</v>
      </c>
      <c r="G5040" s="1" t="s">
        <v>18051</v>
      </c>
      <c r="H5040" s="1" t="s">
        <v>3604</v>
      </c>
      <c r="I5040" s="1" t="s">
        <v>18052</v>
      </c>
      <c r="J5040" s="1" t="s">
        <v>3606</v>
      </c>
      <c r="K5040" s="1"/>
      <c r="L5040" s="1"/>
      <c r="M5040" s="1"/>
    </row>
    <row x14ac:dyDescent="0.25" r="5041" customHeight="1" ht="18.75">
      <c r="A5041" s="1" t="s">
        <v>3598</v>
      </c>
      <c r="B5041" s="1" t="s">
        <v>14119</v>
      </c>
      <c r="C5041" s="1" t="s">
        <v>3600</v>
      </c>
      <c r="D5041" s="1" t="s">
        <v>3601</v>
      </c>
      <c r="E5041" s="1" t="s">
        <v>3664</v>
      </c>
      <c r="F5041" s="1" t="s">
        <v>18053</v>
      </c>
      <c r="G5041" s="1" t="s">
        <v>18054</v>
      </c>
      <c r="H5041" s="1" t="s">
        <v>3604</v>
      </c>
      <c r="I5041" s="1" t="s">
        <v>18055</v>
      </c>
      <c r="J5041" s="1" t="s">
        <v>3606</v>
      </c>
      <c r="K5041" s="1"/>
      <c r="L5041" s="1"/>
      <c r="M5041" s="1"/>
    </row>
    <row x14ac:dyDescent="0.25" r="5042" customHeight="1" ht="18.75">
      <c r="A5042" s="1" t="s">
        <v>3598</v>
      </c>
      <c r="B5042" s="1" t="s">
        <v>8191</v>
      </c>
      <c r="C5042" s="1" t="s">
        <v>3600</v>
      </c>
      <c r="D5042" s="1" t="s">
        <v>3601</v>
      </c>
      <c r="E5042" s="1" t="s">
        <v>3664</v>
      </c>
      <c r="F5042" s="1" t="s">
        <v>18056</v>
      </c>
      <c r="G5042" s="1" t="s">
        <v>16166</v>
      </c>
      <c r="H5042" s="1" t="s">
        <v>3604</v>
      </c>
      <c r="I5042" s="1" t="s">
        <v>18057</v>
      </c>
      <c r="J5042" s="1" t="s">
        <v>3606</v>
      </c>
      <c r="K5042" s="1"/>
      <c r="L5042" s="1"/>
      <c r="M5042" s="1"/>
    </row>
    <row x14ac:dyDescent="0.25" r="5043" customHeight="1" ht="18.75">
      <c r="A5043" s="1" t="s">
        <v>3598</v>
      </c>
      <c r="B5043" s="1" t="s">
        <v>18058</v>
      </c>
      <c r="C5043" s="1" t="s">
        <v>3600</v>
      </c>
      <c r="D5043" s="1" t="s">
        <v>3601</v>
      </c>
      <c r="E5043" s="1" t="s">
        <v>3664</v>
      </c>
      <c r="F5043" s="1" t="s">
        <v>18059</v>
      </c>
      <c r="G5043" s="1" t="s">
        <v>18060</v>
      </c>
      <c r="H5043" s="1" t="s">
        <v>3604</v>
      </c>
      <c r="I5043" s="1" t="s">
        <v>18061</v>
      </c>
      <c r="J5043" s="1" t="s">
        <v>3606</v>
      </c>
      <c r="K5043" s="1"/>
      <c r="L5043" s="1"/>
      <c r="M5043" s="1"/>
    </row>
    <row x14ac:dyDescent="0.25" r="5044" customHeight="1" ht="18.75">
      <c r="A5044" s="1" t="s">
        <v>3598</v>
      </c>
      <c r="B5044" s="1" t="s">
        <v>18062</v>
      </c>
      <c r="C5044" s="1" t="s">
        <v>3600</v>
      </c>
      <c r="D5044" s="1" t="s">
        <v>3601</v>
      </c>
      <c r="E5044" s="1" t="s">
        <v>3664</v>
      </c>
      <c r="F5044" s="1" t="s">
        <v>18063</v>
      </c>
      <c r="G5044" s="1" t="s">
        <v>18064</v>
      </c>
      <c r="H5044" s="1" t="s">
        <v>3604</v>
      </c>
      <c r="I5044" s="1" t="s">
        <v>18065</v>
      </c>
      <c r="J5044" s="1" t="s">
        <v>3606</v>
      </c>
      <c r="K5044" s="1"/>
      <c r="L5044" s="1"/>
      <c r="M5044" s="1"/>
    </row>
    <row x14ac:dyDescent="0.25" r="5045" customHeight="1" ht="18.75">
      <c r="A5045" s="1" t="s">
        <v>3598</v>
      </c>
      <c r="B5045" s="1" t="s">
        <v>18066</v>
      </c>
      <c r="C5045" s="1" t="s">
        <v>3600</v>
      </c>
      <c r="D5045" s="1" t="s">
        <v>3601</v>
      </c>
      <c r="E5045" s="1" t="s">
        <v>3664</v>
      </c>
      <c r="F5045" s="1" t="s">
        <v>18067</v>
      </c>
      <c r="G5045" s="1" t="s">
        <v>18068</v>
      </c>
      <c r="H5045" s="1" t="s">
        <v>3604</v>
      </c>
      <c r="I5045" s="1" t="s">
        <v>18069</v>
      </c>
      <c r="J5045" s="1" t="s">
        <v>3606</v>
      </c>
      <c r="K5045" s="1"/>
      <c r="L5045" s="1"/>
      <c r="M5045" s="1"/>
    </row>
    <row x14ac:dyDescent="0.25" r="5046" customHeight="1" ht="18.75">
      <c r="A5046" s="1" t="s">
        <v>3598</v>
      </c>
      <c r="B5046" s="1" t="s">
        <v>9582</v>
      </c>
      <c r="C5046" s="1" t="s">
        <v>3600</v>
      </c>
      <c r="D5046" s="1" t="s">
        <v>3601</v>
      </c>
      <c r="E5046" s="1" t="s">
        <v>3664</v>
      </c>
      <c r="F5046" s="1" t="s">
        <v>18070</v>
      </c>
      <c r="G5046" s="1" t="s">
        <v>18071</v>
      </c>
      <c r="H5046" s="1" t="s">
        <v>3604</v>
      </c>
      <c r="I5046" s="1" t="s">
        <v>18072</v>
      </c>
      <c r="J5046" s="1" t="s">
        <v>3606</v>
      </c>
      <c r="K5046" s="1"/>
      <c r="L5046" s="1"/>
      <c r="M5046" s="1"/>
    </row>
    <row x14ac:dyDescent="0.25" r="5047" customHeight="1" ht="18.75">
      <c r="A5047" s="1" t="s">
        <v>3598</v>
      </c>
      <c r="B5047" s="1" t="s">
        <v>14025</v>
      </c>
      <c r="C5047" s="1" t="s">
        <v>3600</v>
      </c>
      <c r="D5047" s="1" t="s">
        <v>3601</v>
      </c>
      <c r="E5047" s="1" t="s">
        <v>3664</v>
      </c>
      <c r="F5047" s="1" t="s">
        <v>18073</v>
      </c>
      <c r="G5047" s="1" t="s">
        <v>18074</v>
      </c>
      <c r="H5047" s="1" t="s">
        <v>3604</v>
      </c>
      <c r="I5047" s="1" t="s">
        <v>18075</v>
      </c>
      <c r="J5047" s="1" t="s">
        <v>3606</v>
      </c>
      <c r="K5047" s="1"/>
      <c r="L5047" s="1"/>
      <c r="M5047" s="1"/>
    </row>
    <row x14ac:dyDescent="0.25" r="5048" customHeight="1" ht="18.75">
      <c r="A5048" s="1" t="s">
        <v>3598</v>
      </c>
      <c r="B5048" s="1" t="s">
        <v>15397</v>
      </c>
      <c r="C5048" s="1" t="s">
        <v>3600</v>
      </c>
      <c r="D5048" s="1" t="s">
        <v>3601</v>
      </c>
      <c r="E5048" s="1" t="s">
        <v>3664</v>
      </c>
      <c r="F5048" s="1" t="s">
        <v>18076</v>
      </c>
      <c r="G5048" s="1" t="s">
        <v>18077</v>
      </c>
      <c r="H5048" s="1" t="s">
        <v>3604</v>
      </c>
      <c r="I5048" s="1" t="s">
        <v>18078</v>
      </c>
      <c r="J5048" s="1" t="s">
        <v>3606</v>
      </c>
      <c r="K5048" s="1"/>
      <c r="L5048" s="1"/>
      <c r="M5048" s="1"/>
    </row>
    <row x14ac:dyDescent="0.25" r="5049" customHeight="1" ht="18.75">
      <c r="A5049" s="1" t="s">
        <v>3598</v>
      </c>
      <c r="B5049" s="1" t="s">
        <v>18079</v>
      </c>
      <c r="C5049" s="1" t="s">
        <v>3600</v>
      </c>
      <c r="D5049" s="1" t="s">
        <v>3601</v>
      </c>
      <c r="E5049" s="1" t="s">
        <v>3664</v>
      </c>
      <c r="F5049" s="1" t="s">
        <v>18080</v>
      </c>
      <c r="G5049" s="1" t="s">
        <v>18081</v>
      </c>
      <c r="H5049" s="1" t="s">
        <v>3604</v>
      </c>
      <c r="I5049" s="1" t="s">
        <v>18082</v>
      </c>
      <c r="J5049" s="1" t="s">
        <v>3606</v>
      </c>
      <c r="K5049" s="1"/>
      <c r="L5049" s="1"/>
      <c r="M5049" s="1"/>
    </row>
    <row x14ac:dyDescent="0.25" r="5050" customHeight="1" ht="18.75">
      <c r="A5050" s="1" t="s">
        <v>3598</v>
      </c>
      <c r="B5050" s="1" t="s">
        <v>9246</v>
      </c>
      <c r="C5050" s="1" t="s">
        <v>3600</v>
      </c>
      <c r="D5050" s="1" t="s">
        <v>3601</v>
      </c>
      <c r="E5050" s="1" t="s">
        <v>3664</v>
      </c>
      <c r="F5050" s="1" t="s">
        <v>18083</v>
      </c>
      <c r="G5050" s="1" t="s">
        <v>9248</v>
      </c>
      <c r="H5050" s="1" t="s">
        <v>3604</v>
      </c>
      <c r="I5050" s="1" t="s">
        <v>18084</v>
      </c>
      <c r="J5050" s="1" t="s">
        <v>3606</v>
      </c>
      <c r="K5050" s="1"/>
      <c r="L5050" s="1"/>
      <c r="M5050" s="1"/>
    </row>
    <row x14ac:dyDescent="0.25" r="5051" customHeight="1" ht="18.75">
      <c r="A5051" s="1" t="s">
        <v>3598</v>
      </c>
      <c r="B5051" s="1" t="s">
        <v>9449</v>
      </c>
      <c r="C5051" s="1" t="s">
        <v>3600</v>
      </c>
      <c r="D5051" s="1" t="s">
        <v>3601</v>
      </c>
      <c r="E5051" s="1" t="s">
        <v>3664</v>
      </c>
      <c r="F5051" s="1" t="s">
        <v>18085</v>
      </c>
      <c r="G5051" s="1" t="s">
        <v>18086</v>
      </c>
      <c r="H5051" s="1" t="s">
        <v>3604</v>
      </c>
      <c r="I5051" s="1" t="s">
        <v>18087</v>
      </c>
      <c r="J5051" s="1" t="s">
        <v>3606</v>
      </c>
      <c r="K5051" s="1"/>
      <c r="L5051" s="1"/>
      <c r="M5051" s="1"/>
    </row>
    <row x14ac:dyDescent="0.25" r="5052" customHeight="1" ht="18.75">
      <c r="A5052" s="1" t="s">
        <v>3598</v>
      </c>
      <c r="B5052" s="1" t="s">
        <v>18088</v>
      </c>
      <c r="C5052" s="1" t="s">
        <v>3600</v>
      </c>
      <c r="D5052" s="1" t="s">
        <v>3601</v>
      </c>
      <c r="E5052" s="1" t="s">
        <v>3664</v>
      </c>
      <c r="F5052" s="1" t="s">
        <v>18089</v>
      </c>
      <c r="G5052" s="1" t="s">
        <v>18090</v>
      </c>
      <c r="H5052" s="1" t="s">
        <v>3604</v>
      </c>
      <c r="I5052" s="1" t="s">
        <v>18091</v>
      </c>
      <c r="J5052" s="1" t="s">
        <v>3606</v>
      </c>
      <c r="K5052" s="1"/>
      <c r="L5052" s="1"/>
      <c r="M5052" s="1"/>
    </row>
    <row x14ac:dyDescent="0.25" r="5053" customHeight="1" ht="18.75">
      <c r="A5053" s="1" t="s">
        <v>3598</v>
      </c>
      <c r="B5053" s="1" t="s">
        <v>18092</v>
      </c>
      <c r="C5053" s="1" t="s">
        <v>3600</v>
      </c>
      <c r="D5053" s="1" t="s">
        <v>3601</v>
      </c>
      <c r="E5053" s="1" t="s">
        <v>3893</v>
      </c>
      <c r="F5053" s="1" t="s">
        <v>18093</v>
      </c>
      <c r="G5053" s="1" t="s">
        <v>18094</v>
      </c>
      <c r="H5053" s="1" t="s">
        <v>3604</v>
      </c>
      <c r="I5053" s="1" t="s">
        <v>18095</v>
      </c>
      <c r="J5053" s="1" t="s">
        <v>3606</v>
      </c>
      <c r="K5053" s="1"/>
      <c r="L5053" s="1"/>
      <c r="M5053" s="1"/>
    </row>
    <row x14ac:dyDescent="0.25" r="5054" customHeight="1" ht="18.75">
      <c r="A5054" s="1" t="s">
        <v>3598</v>
      </c>
      <c r="B5054" s="1" t="s">
        <v>18096</v>
      </c>
      <c r="C5054" s="1" t="s">
        <v>3600</v>
      </c>
      <c r="D5054" s="1" t="s">
        <v>3601</v>
      </c>
      <c r="E5054" s="1" t="s">
        <v>3893</v>
      </c>
      <c r="F5054" s="1" t="s">
        <v>18097</v>
      </c>
      <c r="G5054" s="1" t="s">
        <v>18098</v>
      </c>
      <c r="H5054" s="1" t="s">
        <v>3604</v>
      </c>
      <c r="I5054" s="1" t="s">
        <v>18099</v>
      </c>
      <c r="J5054" s="1" t="s">
        <v>3606</v>
      </c>
      <c r="K5054" s="1"/>
      <c r="L5054" s="1"/>
      <c r="M5054" s="1"/>
    </row>
    <row x14ac:dyDescent="0.25" r="5055" customHeight="1" ht="18.75">
      <c r="A5055" s="1" t="s">
        <v>3598</v>
      </c>
      <c r="B5055" s="1" t="s">
        <v>9116</v>
      </c>
      <c r="C5055" s="1" t="s">
        <v>3600</v>
      </c>
      <c r="D5055" s="1" t="s">
        <v>3601</v>
      </c>
      <c r="E5055" s="1" t="s">
        <v>3752</v>
      </c>
      <c r="F5055" s="1" t="s">
        <v>18100</v>
      </c>
      <c r="G5055" s="1" t="s">
        <v>18101</v>
      </c>
      <c r="H5055" s="1" t="s">
        <v>3604</v>
      </c>
      <c r="I5055" s="1" t="s">
        <v>18102</v>
      </c>
      <c r="J5055" s="1" t="s">
        <v>3606</v>
      </c>
      <c r="K5055" s="1"/>
      <c r="L5055" s="1"/>
      <c r="M5055" s="1"/>
    </row>
    <row x14ac:dyDescent="0.25" r="5056" customHeight="1" ht="18.75">
      <c r="A5056" s="1" t="s">
        <v>3598</v>
      </c>
      <c r="B5056" s="1" t="s">
        <v>4627</v>
      </c>
      <c r="C5056" s="1" t="s">
        <v>3600</v>
      </c>
      <c r="D5056" s="1" t="s">
        <v>3601</v>
      </c>
      <c r="E5056" s="1" t="s">
        <v>3664</v>
      </c>
      <c r="F5056" s="1" t="s">
        <v>18103</v>
      </c>
      <c r="G5056" s="1" t="s">
        <v>18104</v>
      </c>
      <c r="H5056" s="1" t="s">
        <v>3604</v>
      </c>
      <c r="I5056" s="1" t="s">
        <v>18105</v>
      </c>
      <c r="J5056" s="1" t="s">
        <v>3606</v>
      </c>
      <c r="K5056" s="1"/>
      <c r="L5056" s="1"/>
      <c r="M5056" s="1"/>
    </row>
    <row x14ac:dyDescent="0.25" r="5057" customHeight="1" ht="18.75">
      <c r="A5057" s="1" t="s">
        <v>3598</v>
      </c>
      <c r="B5057" s="1" t="s">
        <v>9449</v>
      </c>
      <c r="C5057" s="1" t="s">
        <v>3600</v>
      </c>
      <c r="D5057" s="1" t="s">
        <v>3601</v>
      </c>
      <c r="E5057" s="1" t="s">
        <v>3664</v>
      </c>
      <c r="F5057" s="1" t="s">
        <v>18106</v>
      </c>
      <c r="G5057" s="1" t="s">
        <v>18086</v>
      </c>
      <c r="H5057" s="1" t="s">
        <v>3604</v>
      </c>
      <c r="I5057" s="1" t="s">
        <v>18107</v>
      </c>
      <c r="J5057" s="1" t="s">
        <v>3606</v>
      </c>
      <c r="K5057" s="1"/>
      <c r="L5057" s="1"/>
      <c r="M5057" s="1"/>
    </row>
    <row x14ac:dyDescent="0.25" r="5058" customHeight="1" ht="18.75">
      <c r="A5058" s="1" t="s">
        <v>3598</v>
      </c>
      <c r="B5058" s="1" t="s">
        <v>14025</v>
      </c>
      <c r="C5058" s="1" t="s">
        <v>3600</v>
      </c>
      <c r="D5058" s="1" t="s">
        <v>3601</v>
      </c>
      <c r="E5058" s="1" t="s">
        <v>3664</v>
      </c>
      <c r="F5058" s="1" t="s">
        <v>18108</v>
      </c>
      <c r="G5058" s="1" t="s">
        <v>18074</v>
      </c>
      <c r="H5058" s="1" t="s">
        <v>3604</v>
      </c>
      <c r="I5058" s="1" t="s">
        <v>18109</v>
      </c>
      <c r="J5058" s="1" t="s">
        <v>3606</v>
      </c>
      <c r="K5058" s="1"/>
      <c r="L5058" s="1"/>
      <c r="M5058" s="1"/>
    </row>
    <row x14ac:dyDescent="0.25" r="5059" customHeight="1" ht="18.75">
      <c r="A5059" s="1" t="s">
        <v>3598</v>
      </c>
      <c r="B5059" s="1" t="s">
        <v>9246</v>
      </c>
      <c r="C5059" s="1" t="s">
        <v>3600</v>
      </c>
      <c r="D5059" s="1" t="s">
        <v>3601</v>
      </c>
      <c r="E5059" s="1" t="s">
        <v>3664</v>
      </c>
      <c r="F5059" s="1" t="s">
        <v>18110</v>
      </c>
      <c r="G5059" s="1" t="s">
        <v>9248</v>
      </c>
      <c r="H5059" s="1" t="s">
        <v>3604</v>
      </c>
      <c r="I5059" s="1" t="s">
        <v>18111</v>
      </c>
      <c r="J5059" s="1" t="s">
        <v>3606</v>
      </c>
      <c r="K5059" s="1"/>
      <c r="L5059" s="1"/>
      <c r="M5059" s="1"/>
    </row>
    <row x14ac:dyDescent="0.25" r="5060" customHeight="1" ht="18.75">
      <c r="A5060" s="1" t="s">
        <v>3598</v>
      </c>
      <c r="B5060" s="1" t="s">
        <v>5252</v>
      </c>
      <c r="C5060" s="1" t="s">
        <v>3600</v>
      </c>
      <c r="D5060" s="1" t="s">
        <v>3601</v>
      </c>
      <c r="E5060" s="1" t="s">
        <v>3893</v>
      </c>
      <c r="F5060" s="1" t="s">
        <v>18112</v>
      </c>
      <c r="G5060" s="1" t="s">
        <v>16725</v>
      </c>
      <c r="H5060" s="1" t="s">
        <v>3604</v>
      </c>
      <c r="I5060" s="1" t="s">
        <v>18113</v>
      </c>
      <c r="J5060" s="1" t="s">
        <v>3606</v>
      </c>
      <c r="K5060" s="1"/>
      <c r="L5060" s="1"/>
      <c r="M5060" s="1"/>
    </row>
    <row x14ac:dyDescent="0.25" r="5061" customHeight="1" ht="18.75">
      <c r="A5061" s="1" t="s">
        <v>3598</v>
      </c>
      <c r="B5061" s="1" t="s">
        <v>13984</v>
      </c>
      <c r="C5061" s="1" t="s">
        <v>3600</v>
      </c>
      <c r="D5061" s="1" t="s">
        <v>3601</v>
      </c>
      <c r="E5061" s="1" t="s">
        <v>3893</v>
      </c>
      <c r="F5061" s="1" t="s">
        <v>18114</v>
      </c>
      <c r="G5061" s="1" t="s">
        <v>18115</v>
      </c>
      <c r="H5061" s="1" t="s">
        <v>3604</v>
      </c>
      <c r="I5061" s="1" t="s">
        <v>18116</v>
      </c>
      <c r="J5061" s="1" t="s">
        <v>3606</v>
      </c>
      <c r="K5061" s="1"/>
      <c r="L5061" s="1"/>
      <c r="M5061" s="1"/>
    </row>
    <row x14ac:dyDescent="0.25" r="5062" customHeight="1" ht="18.75">
      <c r="A5062" s="1" t="s">
        <v>3598</v>
      </c>
      <c r="B5062" s="1" t="s">
        <v>18117</v>
      </c>
      <c r="C5062" s="1" t="s">
        <v>3600</v>
      </c>
      <c r="D5062" s="1" t="s">
        <v>3601</v>
      </c>
      <c r="E5062" s="1" t="s">
        <v>3664</v>
      </c>
      <c r="F5062" s="1" t="s">
        <v>18118</v>
      </c>
      <c r="G5062" s="1" t="s">
        <v>18119</v>
      </c>
      <c r="H5062" s="1" t="s">
        <v>3604</v>
      </c>
      <c r="I5062" s="1" t="s">
        <v>18120</v>
      </c>
      <c r="J5062" s="1" t="s">
        <v>3606</v>
      </c>
      <c r="K5062" s="1"/>
      <c r="L5062" s="1"/>
      <c r="M5062" s="1"/>
    </row>
    <row x14ac:dyDescent="0.25" r="5063" customHeight="1" ht="18.75">
      <c r="A5063" s="1" t="s">
        <v>3598</v>
      </c>
      <c r="B5063" s="1" t="s">
        <v>5260</v>
      </c>
      <c r="C5063" s="1" t="s">
        <v>3600</v>
      </c>
      <c r="D5063" s="1" t="s">
        <v>3601</v>
      </c>
      <c r="E5063" s="1" t="s">
        <v>3893</v>
      </c>
      <c r="F5063" s="1" t="s">
        <v>18121</v>
      </c>
      <c r="G5063" s="1" t="s">
        <v>17246</v>
      </c>
      <c r="H5063" s="1" t="s">
        <v>3604</v>
      </c>
      <c r="I5063" s="1" t="s">
        <v>18122</v>
      </c>
      <c r="J5063" s="1" t="s">
        <v>3606</v>
      </c>
      <c r="K5063" s="1"/>
      <c r="L5063" s="1"/>
      <c r="M5063" s="1"/>
    </row>
    <row x14ac:dyDescent="0.25" r="5064" customHeight="1" ht="18.75">
      <c r="A5064" s="1" t="s">
        <v>3598</v>
      </c>
      <c r="B5064" s="1" t="s">
        <v>13742</v>
      </c>
      <c r="C5064" s="1" t="s">
        <v>3600</v>
      </c>
      <c r="D5064" s="1" t="s">
        <v>3601</v>
      </c>
      <c r="E5064" s="1" t="s">
        <v>3893</v>
      </c>
      <c r="F5064" s="1" t="s">
        <v>18123</v>
      </c>
      <c r="G5064" s="1" t="s">
        <v>15665</v>
      </c>
      <c r="H5064" s="1" t="s">
        <v>3604</v>
      </c>
      <c r="I5064" s="1" t="s">
        <v>18124</v>
      </c>
      <c r="J5064" s="1" t="s">
        <v>3606</v>
      </c>
      <c r="K5064" s="1"/>
      <c r="L5064" s="1"/>
      <c r="M5064" s="1"/>
    </row>
    <row x14ac:dyDescent="0.25" r="5065" customHeight="1" ht="18.75">
      <c r="A5065" s="1" t="s">
        <v>3598</v>
      </c>
      <c r="B5065" s="1" t="s">
        <v>18125</v>
      </c>
      <c r="C5065" s="1" t="s">
        <v>3600</v>
      </c>
      <c r="D5065" s="1" t="s">
        <v>3601</v>
      </c>
      <c r="E5065" s="1" t="s">
        <v>3664</v>
      </c>
      <c r="F5065" s="1" t="s">
        <v>18126</v>
      </c>
      <c r="G5065" s="1" t="s">
        <v>18127</v>
      </c>
      <c r="H5065" s="1" t="s">
        <v>3604</v>
      </c>
      <c r="I5065" s="1" t="s">
        <v>18128</v>
      </c>
      <c r="J5065" s="1" t="s">
        <v>3606</v>
      </c>
      <c r="K5065" s="1"/>
      <c r="L5065" s="1"/>
      <c r="M5065" s="1"/>
    </row>
    <row x14ac:dyDescent="0.25" r="5066" customHeight="1" ht="18.75">
      <c r="A5066" s="1" t="s">
        <v>3598</v>
      </c>
      <c r="B5066" s="1" t="s">
        <v>9311</v>
      </c>
      <c r="C5066" s="1" t="s">
        <v>3600</v>
      </c>
      <c r="D5066" s="1" t="s">
        <v>3601</v>
      </c>
      <c r="E5066" s="1" t="s">
        <v>3664</v>
      </c>
      <c r="F5066" s="1" t="s">
        <v>18129</v>
      </c>
      <c r="G5066" s="1" t="s">
        <v>9313</v>
      </c>
      <c r="H5066" s="1" t="s">
        <v>3604</v>
      </c>
      <c r="I5066" s="1" t="s">
        <v>18130</v>
      </c>
      <c r="J5066" s="1" t="s">
        <v>3606</v>
      </c>
      <c r="K5066" s="1"/>
      <c r="L5066" s="1"/>
      <c r="M5066" s="1"/>
    </row>
    <row x14ac:dyDescent="0.25" r="5067" customHeight="1" ht="18.75">
      <c r="A5067" s="1" t="s">
        <v>3598</v>
      </c>
      <c r="B5067" s="1" t="s">
        <v>18092</v>
      </c>
      <c r="C5067" s="1" t="s">
        <v>3600</v>
      </c>
      <c r="D5067" s="1" t="s">
        <v>3601</v>
      </c>
      <c r="E5067" s="1" t="s">
        <v>3893</v>
      </c>
      <c r="F5067" s="1" t="s">
        <v>18131</v>
      </c>
      <c r="G5067" s="1" t="s">
        <v>16725</v>
      </c>
      <c r="H5067" s="1" t="s">
        <v>3604</v>
      </c>
      <c r="I5067" s="1" t="s">
        <v>18132</v>
      </c>
      <c r="J5067" s="1" t="s">
        <v>3606</v>
      </c>
      <c r="K5067" s="1"/>
      <c r="L5067" s="1"/>
      <c r="M5067" s="1"/>
    </row>
    <row x14ac:dyDescent="0.25" r="5068" customHeight="1" ht="18.75">
      <c r="A5068" s="1" t="s">
        <v>3598</v>
      </c>
      <c r="B5068" s="1" t="s">
        <v>9116</v>
      </c>
      <c r="C5068" s="1" t="s">
        <v>3600</v>
      </c>
      <c r="D5068" s="1" t="s">
        <v>10609</v>
      </c>
      <c r="E5068" s="1" t="s">
        <v>3664</v>
      </c>
      <c r="F5068" s="1" t="s">
        <v>18133</v>
      </c>
      <c r="G5068" s="1" t="s">
        <v>13952</v>
      </c>
      <c r="H5068" s="1" t="s">
        <v>3604</v>
      </c>
      <c r="I5068" s="1" t="s">
        <v>18134</v>
      </c>
      <c r="J5068" s="1" t="s">
        <v>3615</v>
      </c>
      <c r="K5068" s="1"/>
      <c r="L5068" s="1"/>
      <c r="M5068" s="1"/>
    </row>
    <row x14ac:dyDescent="0.25" r="5069" customHeight="1" ht="18.75">
      <c r="A5069" s="1" t="s">
        <v>3598</v>
      </c>
      <c r="B5069" s="1" t="s">
        <v>9116</v>
      </c>
      <c r="C5069" s="1" t="s">
        <v>3600</v>
      </c>
      <c r="D5069" s="1" t="s">
        <v>10609</v>
      </c>
      <c r="E5069" s="1" t="s">
        <v>3664</v>
      </c>
      <c r="F5069" s="1" t="s">
        <v>18135</v>
      </c>
      <c r="G5069" s="1" t="s">
        <v>13956</v>
      </c>
      <c r="H5069" s="1" t="s">
        <v>3604</v>
      </c>
      <c r="I5069" s="1" t="s">
        <v>18136</v>
      </c>
      <c r="J5069" s="1" t="s">
        <v>3615</v>
      </c>
      <c r="K5069" s="1"/>
      <c r="L5069" s="1"/>
      <c r="M5069" s="1"/>
    </row>
    <row x14ac:dyDescent="0.25" r="5070" customHeight="1" ht="18.75">
      <c r="A5070" s="1" t="s">
        <v>3598</v>
      </c>
      <c r="B5070" s="1" t="s">
        <v>9020</v>
      </c>
      <c r="C5070" s="1" t="s">
        <v>3600</v>
      </c>
      <c r="D5070" s="1" t="s">
        <v>10609</v>
      </c>
      <c r="E5070" s="1" t="s">
        <v>3664</v>
      </c>
      <c r="F5070" s="1" t="s">
        <v>18137</v>
      </c>
      <c r="G5070" s="1" t="s">
        <v>13964</v>
      </c>
      <c r="H5070" s="1" t="s">
        <v>3604</v>
      </c>
      <c r="I5070" s="1" t="s">
        <v>18138</v>
      </c>
      <c r="J5070" s="1" t="s">
        <v>3615</v>
      </c>
      <c r="K5070" s="1"/>
      <c r="L5070" s="1"/>
      <c r="M5070" s="1"/>
    </row>
    <row x14ac:dyDescent="0.25" r="5071" customHeight="1" ht="18.75">
      <c r="A5071" s="1" t="s">
        <v>3598</v>
      </c>
      <c r="B5071" s="1" t="s">
        <v>9020</v>
      </c>
      <c r="C5071" s="1" t="s">
        <v>3600</v>
      </c>
      <c r="D5071" s="1" t="s">
        <v>10609</v>
      </c>
      <c r="E5071" s="1" t="s">
        <v>3664</v>
      </c>
      <c r="F5071" s="1" t="s">
        <v>18139</v>
      </c>
      <c r="G5071" s="1" t="s">
        <v>13968</v>
      </c>
      <c r="H5071" s="1" t="s">
        <v>3604</v>
      </c>
      <c r="I5071" s="1" t="s">
        <v>18140</v>
      </c>
      <c r="J5071" s="1" t="s">
        <v>3615</v>
      </c>
      <c r="K5071" s="1"/>
      <c r="L5071" s="1"/>
      <c r="M5071" s="1"/>
    </row>
    <row x14ac:dyDescent="0.25" r="5072" customHeight="1" ht="18.75">
      <c r="A5072" s="1" t="s">
        <v>3598</v>
      </c>
      <c r="B5072" s="1" t="s">
        <v>9020</v>
      </c>
      <c r="C5072" s="1" t="s">
        <v>3600</v>
      </c>
      <c r="D5072" s="1" t="s">
        <v>10609</v>
      </c>
      <c r="E5072" s="1" t="s">
        <v>3664</v>
      </c>
      <c r="F5072" s="1" t="s">
        <v>18141</v>
      </c>
      <c r="G5072" s="1" t="s">
        <v>13952</v>
      </c>
      <c r="H5072" s="1" t="s">
        <v>3604</v>
      </c>
      <c r="I5072" s="1" t="s">
        <v>18142</v>
      </c>
      <c r="J5072" s="1" t="s">
        <v>3615</v>
      </c>
      <c r="K5072" s="1"/>
      <c r="L5072" s="1"/>
      <c r="M5072" s="1"/>
    </row>
    <row x14ac:dyDescent="0.25" r="5073" customHeight="1" ht="18.75">
      <c r="A5073" s="1" t="s">
        <v>3598</v>
      </c>
      <c r="B5073" s="1" t="s">
        <v>9020</v>
      </c>
      <c r="C5073" s="1" t="s">
        <v>3600</v>
      </c>
      <c r="D5073" s="1" t="s">
        <v>10609</v>
      </c>
      <c r="E5073" s="1" t="s">
        <v>3664</v>
      </c>
      <c r="F5073" s="1" t="s">
        <v>18143</v>
      </c>
      <c r="G5073" s="1" t="s">
        <v>13956</v>
      </c>
      <c r="H5073" s="1" t="s">
        <v>3604</v>
      </c>
      <c r="I5073" s="1" t="s">
        <v>18144</v>
      </c>
      <c r="J5073" s="1" t="s">
        <v>3615</v>
      </c>
      <c r="K5073" s="1"/>
      <c r="L5073" s="1"/>
      <c r="M5073" s="1"/>
    </row>
    <row x14ac:dyDescent="0.25" r="5074" customHeight="1" ht="18.75">
      <c r="A5074" s="1" t="s">
        <v>3598</v>
      </c>
      <c r="B5074" s="1" t="s">
        <v>13864</v>
      </c>
      <c r="C5074" s="1" t="s">
        <v>3600</v>
      </c>
      <c r="D5074" s="1" t="s">
        <v>10609</v>
      </c>
      <c r="E5074" s="1" t="s">
        <v>3664</v>
      </c>
      <c r="F5074" s="1" t="s">
        <v>18145</v>
      </c>
      <c r="G5074" s="1" t="s">
        <v>13866</v>
      </c>
      <c r="H5074" s="1" t="s">
        <v>3604</v>
      </c>
      <c r="I5074" s="1" t="s">
        <v>18146</v>
      </c>
      <c r="J5074" s="1" t="s">
        <v>3615</v>
      </c>
      <c r="K5074" s="1"/>
      <c r="L5074" s="1"/>
      <c r="M5074" s="1"/>
    </row>
    <row x14ac:dyDescent="0.25" r="5075" customHeight="1" ht="18.75">
      <c r="A5075" s="1" t="s">
        <v>3598</v>
      </c>
      <c r="B5075" s="1" t="s">
        <v>13864</v>
      </c>
      <c r="C5075" s="1" t="s">
        <v>3600</v>
      </c>
      <c r="D5075" s="1" t="s">
        <v>10609</v>
      </c>
      <c r="E5075" s="1" t="s">
        <v>3664</v>
      </c>
      <c r="F5075" s="1" t="s">
        <v>18147</v>
      </c>
      <c r="G5075" s="1" t="s">
        <v>13870</v>
      </c>
      <c r="H5075" s="1" t="s">
        <v>3604</v>
      </c>
      <c r="I5075" s="1" t="s">
        <v>18148</v>
      </c>
      <c r="J5075" s="1" t="s">
        <v>3615</v>
      </c>
      <c r="K5075" s="1"/>
      <c r="L5075" s="1"/>
      <c r="M5075" s="1"/>
    </row>
    <row x14ac:dyDescent="0.25" r="5076" customHeight="1" ht="18.75">
      <c r="A5076" s="1" t="s">
        <v>3598</v>
      </c>
      <c r="B5076" s="1" t="s">
        <v>4600</v>
      </c>
      <c r="C5076" s="1" t="s">
        <v>3600</v>
      </c>
      <c r="D5076" s="1" t="s">
        <v>10609</v>
      </c>
      <c r="E5076" s="1" t="s">
        <v>3664</v>
      </c>
      <c r="F5076" s="1" t="s">
        <v>18149</v>
      </c>
      <c r="G5076" s="1" t="s">
        <v>13866</v>
      </c>
      <c r="H5076" s="1" t="s">
        <v>3604</v>
      </c>
      <c r="I5076" s="1" t="s">
        <v>18150</v>
      </c>
      <c r="J5076" s="1" t="s">
        <v>3615</v>
      </c>
      <c r="K5076" s="1"/>
      <c r="L5076" s="1"/>
      <c r="M5076" s="1"/>
    </row>
    <row x14ac:dyDescent="0.25" r="5077" customHeight="1" ht="18.75">
      <c r="A5077" s="1" t="s">
        <v>3598</v>
      </c>
      <c r="B5077" s="1" t="s">
        <v>4600</v>
      </c>
      <c r="C5077" s="1" t="s">
        <v>3600</v>
      </c>
      <c r="D5077" s="1" t="s">
        <v>10609</v>
      </c>
      <c r="E5077" s="1" t="s">
        <v>3664</v>
      </c>
      <c r="F5077" s="1" t="s">
        <v>18151</v>
      </c>
      <c r="G5077" s="1" t="s">
        <v>13870</v>
      </c>
      <c r="H5077" s="1" t="s">
        <v>3604</v>
      </c>
      <c r="I5077" s="1" t="s">
        <v>18152</v>
      </c>
      <c r="J5077" s="1" t="s">
        <v>3615</v>
      </c>
      <c r="K5077" s="1"/>
      <c r="L5077" s="1"/>
      <c r="M5077" s="1"/>
    </row>
    <row x14ac:dyDescent="0.25" r="5078" customHeight="1" ht="18.75">
      <c r="A5078" s="1" t="s">
        <v>3598</v>
      </c>
      <c r="B5078" s="1" t="s">
        <v>4095</v>
      </c>
      <c r="C5078" s="1" t="s">
        <v>3600</v>
      </c>
      <c r="D5078" s="1" t="s">
        <v>10609</v>
      </c>
      <c r="E5078" s="1" t="s">
        <v>3664</v>
      </c>
      <c r="F5078" s="1" t="s">
        <v>18153</v>
      </c>
      <c r="G5078" s="1" t="s">
        <v>13781</v>
      </c>
      <c r="H5078" s="1" t="s">
        <v>3604</v>
      </c>
      <c r="I5078" s="1" t="s">
        <v>18154</v>
      </c>
      <c r="J5078" s="1" t="s">
        <v>3615</v>
      </c>
      <c r="K5078" s="1"/>
      <c r="L5078" s="1"/>
      <c r="M5078" s="1"/>
    </row>
    <row x14ac:dyDescent="0.25" r="5079" customHeight="1" ht="18.75">
      <c r="A5079" s="1" t="s">
        <v>3598</v>
      </c>
      <c r="B5079" s="1" t="s">
        <v>4095</v>
      </c>
      <c r="C5079" s="1" t="s">
        <v>3600</v>
      </c>
      <c r="D5079" s="1" t="s">
        <v>10609</v>
      </c>
      <c r="E5079" s="1" t="s">
        <v>3664</v>
      </c>
      <c r="F5079" s="1" t="s">
        <v>18155</v>
      </c>
      <c r="G5079" s="1" t="s">
        <v>13785</v>
      </c>
      <c r="H5079" s="1" t="s">
        <v>3604</v>
      </c>
      <c r="I5079" s="1" t="s">
        <v>18156</v>
      </c>
      <c r="J5079" s="1" t="s">
        <v>3615</v>
      </c>
      <c r="K5079" s="1"/>
      <c r="L5079" s="1"/>
      <c r="M5079" s="1"/>
    </row>
    <row x14ac:dyDescent="0.25" r="5080" customHeight="1" ht="18.75">
      <c r="A5080" s="1" t="s">
        <v>7833</v>
      </c>
      <c r="B5080" s="1" t="s">
        <v>7861</v>
      </c>
      <c r="C5080" s="1" t="s">
        <v>4488</v>
      </c>
      <c r="D5080" s="1" t="s">
        <v>3601</v>
      </c>
      <c r="E5080" s="1" t="s">
        <v>3664</v>
      </c>
      <c r="F5080" s="1" t="s">
        <v>18157</v>
      </c>
      <c r="G5080" s="1" t="s">
        <v>7863</v>
      </c>
      <c r="H5080" s="1" t="s">
        <v>3604</v>
      </c>
      <c r="I5080" s="1" t="s">
        <v>18158</v>
      </c>
      <c r="J5080" s="1" t="s">
        <v>3606</v>
      </c>
      <c r="K5080" s="1" t="s">
        <v>14271</v>
      </c>
      <c r="L5080" s="1"/>
      <c r="M5080" s="1"/>
    </row>
    <row x14ac:dyDescent="0.25" r="5081" customHeight="1" ht="18.75">
      <c r="A5081" s="1" t="s">
        <v>7833</v>
      </c>
      <c r="B5081" s="1" t="s">
        <v>14063</v>
      </c>
      <c r="C5081" s="1" t="s">
        <v>4488</v>
      </c>
      <c r="D5081" s="1" t="s">
        <v>3601</v>
      </c>
      <c r="E5081" s="1" t="s">
        <v>3981</v>
      </c>
      <c r="F5081" s="1" t="s">
        <v>18159</v>
      </c>
      <c r="G5081" s="1" t="s">
        <v>18160</v>
      </c>
      <c r="H5081" s="1" t="s">
        <v>3604</v>
      </c>
      <c r="I5081" s="1" t="s">
        <v>18161</v>
      </c>
      <c r="J5081" s="1" t="s">
        <v>3606</v>
      </c>
      <c r="K5081" s="1" t="s">
        <v>18162</v>
      </c>
      <c r="L5081" s="1"/>
      <c r="M5081" s="1"/>
    </row>
    <row x14ac:dyDescent="0.25" r="5082" customHeight="1" ht="18.75">
      <c r="A5082" s="1" t="s">
        <v>3598</v>
      </c>
      <c r="B5082" s="1" t="s">
        <v>6728</v>
      </c>
      <c r="C5082" s="1" t="s">
        <v>3600</v>
      </c>
      <c r="D5082" s="1" t="s">
        <v>10609</v>
      </c>
      <c r="E5082" s="1" t="s">
        <v>3664</v>
      </c>
      <c r="F5082" s="1" t="s">
        <v>18163</v>
      </c>
      <c r="G5082" s="1" t="s">
        <v>13781</v>
      </c>
      <c r="H5082" s="1" t="s">
        <v>3604</v>
      </c>
      <c r="I5082" s="1" t="s">
        <v>18164</v>
      </c>
      <c r="J5082" s="1" t="s">
        <v>3615</v>
      </c>
      <c r="K5082" s="1"/>
      <c r="L5082" s="1"/>
      <c r="M5082" s="1"/>
    </row>
    <row x14ac:dyDescent="0.25" r="5083" customHeight="1" ht="18.75">
      <c r="A5083" s="1" t="s">
        <v>3598</v>
      </c>
      <c r="B5083" s="1" t="s">
        <v>6728</v>
      </c>
      <c r="C5083" s="1" t="s">
        <v>3600</v>
      </c>
      <c r="D5083" s="1" t="s">
        <v>10609</v>
      </c>
      <c r="E5083" s="1" t="s">
        <v>3664</v>
      </c>
      <c r="F5083" s="1" t="s">
        <v>18165</v>
      </c>
      <c r="G5083" s="1" t="s">
        <v>13785</v>
      </c>
      <c r="H5083" s="1" t="s">
        <v>3604</v>
      </c>
      <c r="I5083" s="1" t="s">
        <v>18166</v>
      </c>
      <c r="J5083" s="1" t="s">
        <v>3615</v>
      </c>
      <c r="K5083" s="1"/>
      <c r="L5083" s="1"/>
      <c r="M5083" s="1"/>
    </row>
    <row x14ac:dyDescent="0.25" r="5084" customHeight="1" ht="18.75">
      <c r="A5084" s="1" t="s">
        <v>3598</v>
      </c>
      <c r="B5084" s="1" t="s">
        <v>9020</v>
      </c>
      <c r="C5084" s="1" t="s">
        <v>3600</v>
      </c>
      <c r="D5084" s="1" t="s">
        <v>10609</v>
      </c>
      <c r="E5084" s="1" t="s">
        <v>3893</v>
      </c>
      <c r="F5084" s="1" t="s">
        <v>18167</v>
      </c>
      <c r="G5084" s="1" t="s">
        <v>14002</v>
      </c>
      <c r="H5084" s="1" t="s">
        <v>3604</v>
      </c>
      <c r="I5084" s="1" t="s">
        <v>18168</v>
      </c>
      <c r="J5084" s="1" t="s">
        <v>3615</v>
      </c>
      <c r="K5084" s="1"/>
      <c r="L5084" s="1"/>
      <c r="M5084" s="1"/>
    </row>
    <row x14ac:dyDescent="0.25" r="5085" customHeight="1" ht="18.75">
      <c r="A5085" s="1" t="s">
        <v>3598</v>
      </c>
      <c r="B5085" s="1" t="s">
        <v>14038</v>
      </c>
      <c r="C5085" s="1" t="s">
        <v>3600</v>
      </c>
      <c r="D5085" s="1" t="s">
        <v>10609</v>
      </c>
      <c r="E5085" s="1" t="s">
        <v>3664</v>
      </c>
      <c r="F5085" s="1" t="s">
        <v>18169</v>
      </c>
      <c r="G5085" s="1" t="s">
        <v>13964</v>
      </c>
      <c r="H5085" s="1" t="s">
        <v>3604</v>
      </c>
      <c r="I5085" s="1" t="s">
        <v>18170</v>
      </c>
      <c r="J5085" s="1" t="s">
        <v>3615</v>
      </c>
      <c r="K5085" s="1"/>
      <c r="L5085" s="1"/>
      <c r="M5085" s="1"/>
    </row>
    <row x14ac:dyDescent="0.25" r="5086" customHeight="1" ht="18.75">
      <c r="A5086" s="1" t="s">
        <v>3598</v>
      </c>
      <c r="B5086" s="1" t="s">
        <v>14038</v>
      </c>
      <c r="C5086" s="1" t="s">
        <v>3600</v>
      </c>
      <c r="D5086" s="1" t="s">
        <v>10609</v>
      </c>
      <c r="E5086" s="1" t="s">
        <v>3664</v>
      </c>
      <c r="F5086" s="1" t="s">
        <v>18171</v>
      </c>
      <c r="G5086" s="1" t="s">
        <v>13968</v>
      </c>
      <c r="H5086" s="1" t="s">
        <v>3604</v>
      </c>
      <c r="I5086" s="1" t="s">
        <v>18172</v>
      </c>
      <c r="J5086" s="1" t="s">
        <v>3615</v>
      </c>
      <c r="K5086" s="1"/>
      <c r="L5086" s="1"/>
      <c r="M5086" s="1"/>
    </row>
    <row x14ac:dyDescent="0.25" r="5087" customHeight="1" ht="18.75">
      <c r="A5087" s="1" t="s">
        <v>7833</v>
      </c>
      <c r="B5087" s="1" t="s">
        <v>18173</v>
      </c>
      <c r="C5087" s="1" t="s">
        <v>4488</v>
      </c>
      <c r="D5087" s="1" t="s">
        <v>3601</v>
      </c>
      <c r="E5087" s="1" t="s">
        <v>3981</v>
      </c>
      <c r="F5087" s="1" t="s">
        <v>1352</v>
      </c>
      <c r="G5087" s="1" t="s">
        <v>18174</v>
      </c>
      <c r="H5087" s="1" t="s">
        <v>3604</v>
      </c>
      <c r="I5087" s="1" t="s">
        <v>18175</v>
      </c>
      <c r="J5087" s="1" t="s">
        <v>3606</v>
      </c>
      <c r="K5087" s="1" t="s">
        <v>18176</v>
      </c>
      <c r="L5087" s="1"/>
      <c r="M5087" s="1"/>
    </row>
    <row x14ac:dyDescent="0.25" r="5088" customHeight="1" ht="18.75">
      <c r="A5088" s="1" t="s">
        <v>3598</v>
      </c>
      <c r="B5088" s="1" t="s">
        <v>14021</v>
      </c>
      <c r="C5088" s="1" t="s">
        <v>3600</v>
      </c>
      <c r="D5088" s="1" t="s">
        <v>10609</v>
      </c>
      <c r="E5088" s="1" t="s">
        <v>3893</v>
      </c>
      <c r="F5088" s="1" t="s">
        <v>18177</v>
      </c>
      <c r="G5088" s="1" t="s">
        <v>14002</v>
      </c>
      <c r="H5088" s="1" t="s">
        <v>3604</v>
      </c>
      <c r="I5088" s="1" t="s">
        <v>18178</v>
      </c>
      <c r="J5088" s="1" t="s">
        <v>3615</v>
      </c>
      <c r="K5088" s="1"/>
      <c r="L5088" s="1"/>
      <c r="M5088" s="1"/>
    </row>
    <row x14ac:dyDescent="0.25" r="5089" customHeight="1" ht="18.75">
      <c r="A5089" s="1" t="s">
        <v>7833</v>
      </c>
      <c r="B5089" s="1" t="s">
        <v>14063</v>
      </c>
      <c r="C5089" s="1" t="s">
        <v>4488</v>
      </c>
      <c r="D5089" s="1" t="s">
        <v>3601</v>
      </c>
      <c r="E5089" s="1" t="s">
        <v>3981</v>
      </c>
      <c r="F5089" s="1" t="s">
        <v>18179</v>
      </c>
      <c r="G5089" s="1" t="s">
        <v>14089</v>
      </c>
      <c r="H5089" s="1" t="s">
        <v>3604</v>
      </c>
      <c r="I5089" s="1" t="s">
        <v>18180</v>
      </c>
      <c r="J5089" s="1" t="s">
        <v>3606</v>
      </c>
      <c r="K5089" s="1" t="s">
        <v>18181</v>
      </c>
      <c r="L5089" s="1"/>
      <c r="M5089" s="1"/>
    </row>
    <row x14ac:dyDescent="0.25" r="5090" customHeight="1" ht="18.75">
      <c r="A5090" s="1" t="s">
        <v>7833</v>
      </c>
      <c r="B5090" s="1" t="s">
        <v>9824</v>
      </c>
      <c r="C5090" s="1" t="s">
        <v>4488</v>
      </c>
      <c r="D5090" s="1" t="s">
        <v>3601</v>
      </c>
      <c r="E5090" s="1" t="s">
        <v>8096</v>
      </c>
      <c r="F5090" s="1" t="s">
        <v>18182</v>
      </c>
      <c r="G5090" s="1" t="s">
        <v>14305</v>
      </c>
      <c r="H5090" s="1" t="s">
        <v>3604</v>
      </c>
      <c r="I5090" s="1" t="s">
        <v>18183</v>
      </c>
      <c r="J5090" s="1" t="s">
        <v>3606</v>
      </c>
      <c r="K5090" s="1" t="s">
        <v>9194</v>
      </c>
      <c r="L5090" s="1"/>
      <c r="M5090" s="1"/>
    </row>
    <row x14ac:dyDescent="0.25" r="5091" customHeight="1" ht="18.75">
      <c r="A5091" s="1" t="s">
        <v>3598</v>
      </c>
      <c r="B5091" s="1" t="s">
        <v>15557</v>
      </c>
      <c r="C5091" s="1" t="s">
        <v>3600</v>
      </c>
      <c r="D5091" s="1" t="s">
        <v>10630</v>
      </c>
      <c r="E5091" s="1" t="s">
        <v>3752</v>
      </c>
      <c r="F5091" s="1" t="s">
        <v>18184</v>
      </c>
      <c r="G5091" s="1" t="s">
        <v>18185</v>
      </c>
      <c r="H5091" s="1" t="s">
        <v>3604</v>
      </c>
      <c r="I5091" s="1" t="s">
        <v>18186</v>
      </c>
      <c r="J5091" s="1" t="s">
        <v>3606</v>
      </c>
      <c r="K5091" s="1"/>
      <c r="L5091" s="1" t="s">
        <v>14049</v>
      </c>
      <c r="M5091" s="1"/>
    </row>
    <row x14ac:dyDescent="0.25" r="5092" customHeight="1" ht="18.75">
      <c r="A5092" s="1" t="s">
        <v>3598</v>
      </c>
      <c r="B5092" s="1" t="s">
        <v>4627</v>
      </c>
      <c r="C5092" s="1" t="s">
        <v>3600</v>
      </c>
      <c r="D5092" s="1" t="s">
        <v>10630</v>
      </c>
      <c r="E5092" s="1" t="s">
        <v>3752</v>
      </c>
      <c r="F5092" s="1" t="s">
        <v>18187</v>
      </c>
      <c r="G5092" s="1" t="s">
        <v>18188</v>
      </c>
      <c r="H5092" s="1" t="s">
        <v>3604</v>
      </c>
      <c r="I5092" s="1" t="s">
        <v>18189</v>
      </c>
      <c r="J5092" s="1" t="s">
        <v>3606</v>
      </c>
      <c r="K5092" s="1"/>
      <c r="L5092" s="1" t="s">
        <v>14049</v>
      </c>
      <c r="M5092" s="1"/>
    </row>
    <row x14ac:dyDescent="0.25" r="5093" customHeight="1" ht="18.75">
      <c r="A5093" s="1" t="s">
        <v>3598</v>
      </c>
      <c r="B5093" s="1" t="s">
        <v>14104</v>
      </c>
      <c r="C5093" s="1" t="s">
        <v>3600</v>
      </c>
      <c r="D5093" s="1" t="s">
        <v>10630</v>
      </c>
      <c r="E5093" s="1" t="s">
        <v>3752</v>
      </c>
      <c r="F5093" s="1" t="s">
        <v>18190</v>
      </c>
      <c r="G5093" s="1" t="s">
        <v>18191</v>
      </c>
      <c r="H5093" s="1" t="s">
        <v>3604</v>
      </c>
      <c r="I5093" s="1" t="s">
        <v>18192</v>
      </c>
      <c r="J5093" s="1" t="s">
        <v>3606</v>
      </c>
      <c r="K5093" s="1"/>
      <c r="L5093" s="1" t="s">
        <v>14049</v>
      </c>
      <c r="M5093" s="1"/>
    </row>
    <row x14ac:dyDescent="0.25" r="5094" customHeight="1" ht="18.75">
      <c r="A5094" s="1" t="s">
        <v>3598</v>
      </c>
      <c r="B5094" s="1" t="s">
        <v>18125</v>
      </c>
      <c r="C5094" s="1" t="s">
        <v>3600</v>
      </c>
      <c r="D5094" s="1" t="s">
        <v>10630</v>
      </c>
      <c r="E5094" s="1" t="s">
        <v>3752</v>
      </c>
      <c r="F5094" s="1" t="s">
        <v>18193</v>
      </c>
      <c r="G5094" s="1" t="s">
        <v>18194</v>
      </c>
      <c r="H5094" s="1" t="s">
        <v>3604</v>
      </c>
      <c r="I5094" s="1" t="s">
        <v>18195</v>
      </c>
      <c r="J5094" s="1" t="s">
        <v>3606</v>
      </c>
      <c r="K5094" s="1"/>
      <c r="L5094" s="1" t="s">
        <v>14049</v>
      </c>
      <c r="M5094" s="1"/>
    </row>
    <row x14ac:dyDescent="0.25" r="5095" customHeight="1" ht="18.75">
      <c r="A5095" s="1" t="s">
        <v>3598</v>
      </c>
      <c r="B5095" s="1" t="s">
        <v>6811</v>
      </c>
      <c r="C5095" s="1" t="s">
        <v>3600</v>
      </c>
      <c r="D5095" s="1" t="s">
        <v>10630</v>
      </c>
      <c r="E5095" s="1" t="s">
        <v>3752</v>
      </c>
      <c r="F5095" s="1" t="s">
        <v>18196</v>
      </c>
      <c r="G5095" s="1" t="s">
        <v>18197</v>
      </c>
      <c r="H5095" s="1" t="s">
        <v>3604</v>
      </c>
      <c r="I5095" s="1" t="s">
        <v>18198</v>
      </c>
      <c r="J5095" s="1" t="s">
        <v>3606</v>
      </c>
      <c r="K5095" s="1"/>
      <c r="L5095" s="1" t="s">
        <v>14049</v>
      </c>
      <c r="M5095" s="1"/>
    </row>
    <row x14ac:dyDescent="0.25" r="5096" customHeight="1" ht="18.75">
      <c r="A5096" s="1" t="s">
        <v>3598</v>
      </c>
      <c r="B5096" s="1" t="s">
        <v>6811</v>
      </c>
      <c r="C5096" s="1" t="s">
        <v>3600</v>
      </c>
      <c r="D5096" s="1" t="s">
        <v>3601</v>
      </c>
      <c r="E5096" s="1" t="s">
        <v>3752</v>
      </c>
      <c r="F5096" s="1" t="s">
        <v>18199</v>
      </c>
      <c r="G5096" s="1" t="s">
        <v>18200</v>
      </c>
      <c r="H5096" s="1" t="s">
        <v>3604</v>
      </c>
      <c r="I5096" s="1" t="s">
        <v>18201</v>
      </c>
      <c r="J5096" s="1" t="s">
        <v>3606</v>
      </c>
      <c r="K5096" s="1"/>
      <c r="L5096" s="1" t="s">
        <v>18202</v>
      </c>
      <c r="M5096" s="1"/>
    </row>
    <row x14ac:dyDescent="0.25" r="5097" customHeight="1" ht="18.75">
      <c r="A5097" s="1" t="s">
        <v>3598</v>
      </c>
      <c r="B5097" s="1" t="s">
        <v>14104</v>
      </c>
      <c r="C5097" s="1" t="s">
        <v>3600</v>
      </c>
      <c r="D5097" s="1" t="s">
        <v>3601</v>
      </c>
      <c r="E5097" s="1" t="s">
        <v>3752</v>
      </c>
      <c r="F5097" s="1" t="s">
        <v>18203</v>
      </c>
      <c r="G5097" s="1" t="s">
        <v>18204</v>
      </c>
      <c r="H5097" s="1" t="s">
        <v>3604</v>
      </c>
      <c r="I5097" s="1" t="s">
        <v>18205</v>
      </c>
      <c r="J5097" s="1" t="s">
        <v>3606</v>
      </c>
      <c r="K5097" s="1"/>
      <c r="L5097" s="1" t="s">
        <v>18202</v>
      </c>
      <c r="M5097" s="1"/>
    </row>
    <row x14ac:dyDescent="0.25" r="5098" customHeight="1" ht="18.75">
      <c r="A5098" s="1" t="s">
        <v>3598</v>
      </c>
      <c r="B5098" s="1" t="s">
        <v>15557</v>
      </c>
      <c r="C5098" s="1" t="s">
        <v>3600</v>
      </c>
      <c r="D5098" s="1" t="s">
        <v>3601</v>
      </c>
      <c r="E5098" s="1" t="s">
        <v>3752</v>
      </c>
      <c r="F5098" s="1" t="s">
        <v>18206</v>
      </c>
      <c r="G5098" s="1" t="s">
        <v>18207</v>
      </c>
      <c r="H5098" s="1" t="s">
        <v>3604</v>
      </c>
      <c r="I5098" s="1" t="s">
        <v>18208</v>
      </c>
      <c r="J5098" s="1" t="s">
        <v>3606</v>
      </c>
      <c r="K5098" s="1"/>
      <c r="L5098" s="1" t="s">
        <v>18202</v>
      </c>
      <c r="M5098" s="1"/>
    </row>
    <row x14ac:dyDescent="0.25" r="5099" customHeight="1" ht="18.75">
      <c r="A5099" s="1" t="s">
        <v>3598</v>
      </c>
      <c r="B5099" s="1" t="s">
        <v>4627</v>
      </c>
      <c r="C5099" s="1" t="s">
        <v>3600</v>
      </c>
      <c r="D5099" s="1" t="s">
        <v>3601</v>
      </c>
      <c r="E5099" s="1" t="s">
        <v>3752</v>
      </c>
      <c r="F5099" s="1" t="s">
        <v>18209</v>
      </c>
      <c r="G5099" s="1" t="s">
        <v>18210</v>
      </c>
      <c r="H5099" s="1" t="s">
        <v>3604</v>
      </c>
      <c r="I5099" s="1" t="s">
        <v>18211</v>
      </c>
      <c r="J5099" s="1" t="s">
        <v>3606</v>
      </c>
      <c r="K5099" s="1"/>
      <c r="L5099" s="1" t="s">
        <v>18202</v>
      </c>
      <c r="M5099" s="1"/>
    </row>
    <row x14ac:dyDescent="0.25" r="5100" customHeight="1" ht="18.75">
      <c r="A5100" s="1" t="s">
        <v>3598</v>
      </c>
      <c r="B5100" s="1" t="s">
        <v>18125</v>
      </c>
      <c r="C5100" s="1" t="s">
        <v>3600</v>
      </c>
      <c r="D5100" s="1" t="s">
        <v>3601</v>
      </c>
      <c r="E5100" s="1" t="s">
        <v>3752</v>
      </c>
      <c r="F5100" s="1" t="s">
        <v>18212</v>
      </c>
      <c r="G5100" s="1" t="s">
        <v>18213</v>
      </c>
      <c r="H5100" s="1" t="s">
        <v>3604</v>
      </c>
      <c r="I5100" s="1" t="s">
        <v>18214</v>
      </c>
      <c r="J5100" s="1" t="s">
        <v>3606</v>
      </c>
      <c r="K5100" s="1"/>
      <c r="L5100" s="1" t="s">
        <v>18202</v>
      </c>
      <c r="M5100" s="1"/>
    </row>
    <row x14ac:dyDescent="0.25" r="5101" customHeight="1" ht="18.75">
      <c r="A5101" s="1" t="s">
        <v>3598</v>
      </c>
      <c r="B5101" s="1" t="s">
        <v>18215</v>
      </c>
      <c r="C5101" s="1" t="s">
        <v>3600</v>
      </c>
      <c r="D5101" s="1" t="s">
        <v>7994</v>
      </c>
      <c r="E5101" s="1" t="s">
        <v>3664</v>
      </c>
      <c r="F5101" s="1" t="s">
        <v>18216</v>
      </c>
      <c r="G5101" s="1" t="s">
        <v>18217</v>
      </c>
      <c r="H5101" s="1" t="s">
        <v>3604</v>
      </c>
      <c r="I5101" s="1" t="s">
        <v>18218</v>
      </c>
      <c r="J5101" s="1" t="s">
        <v>3606</v>
      </c>
      <c r="K5101" s="1" t="s">
        <v>18219</v>
      </c>
      <c r="L5101" s="1"/>
      <c r="M5101" s="1"/>
    </row>
    <row x14ac:dyDescent="0.25" r="5102" customHeight="1" ht="18.75">
      <c r="A5102" s="1" t="s">
        <v>3598</v>
      </c>
      <c r="B5102" s="1" t="s">
        <v>6954</v>
      </c>
      <c r="C5102" s="1" t="s">
        <v>3600</v>
      </c>
      <c r="D5102" s="1" t="s">
        <v>3601</v>
      </c>
      <c r="E5102" s="1" t="s">
        <v>3893</v>
      </c>
      <c r="F5102" s="1" t="s">
        <v>18220</v>
      </c>
      <c r="G5102" s="1" t="s">
        <v>14139</v>
      </c>
      <c r="H5102" s="1" t="s">
        <v>3604</v>
      </c>
      <c r="I5102" s="1" t="s">
        <v>18221</v>
      </c>
      <c r="J5102" s="1" t="s">
        <v>3606</v>
      </c>
      <c r="K5102" s="1" t="s">
        <v>18222</v>
      </c>
      <c r="L5102" s="1"/>
      <c r="M5102" s="1"/>
    </row>
    <row x14ac:dyDescent="0.25" r="5103" customHeight="1" ht="18.75">
      <c r="A5103" s="1" t="s">
        <v>3598</v>
      </c>
      <c r="B5103" s="1" t="s">
        <v>4781</v>
      </c>
      <c r="C5103" s="1" t="s">
        <v>3600</v>
      </c>
      <c r="D5103" s="1" t="s">
        <v>3601</v>
      </c>
      <c r="E5103" s="1" t="s">
        <v>3664</v>
      </c>
      <c r="F5103" s="1" t="s">
        <v>18223</v>
      </c>
      <c r="G5103" s="1" t="s">
        <v>18224</v>
      </c>
      <c r="H5103" s="1" t="s">
        <v>3604</v>
      </c>
      <c r="I5103" s="1" t="s">
        <v>18225</v>
      </c>
      <c r="J5103" s="1" t="s">
        <v>3606</v>
      </c>
      <c r="K5103" s="1" t="s">
        <v>18226</v>
      </c>
      <c r="L5103" s="1"/>
      <c r="M5103" s="1"/>
    </row>
    <row x14ac:dyDescent="0.25" r="5104" customHeight="1" ht="18.75">
      <c r="A5104" s="1" t="s">
        <v>3598</v>
      </c>
      <c r="B5104" s="1" t="s">
        <v>18227</v>
      </c>
      <c r="C5104" s="1" t="s">
        <v>3600</v>
      </c>
      <c r="D5104" s="1" t="s">
        <v>3601</v>
      </c>
      <c r="E5104" s="1" t="s">
        <v>3664</v>
      </c>
      <c r="F5104" s="1" t="s">
        <v>18228</v>
      </c>
      <c r="G5104" s="1" t="s">
        <v>18229</v>
      </c>
      <c r="H5104" s="1" t="s">
        <v>3604</v>
      </c>
      <c r="I5104" s="1" t="s">
        <v>18230</v>
      </c>
      <c r="J5104" s="1" t="s">
        <v>3606</v>
      </c>
      <c r="K5104" s="1" t="s">
        <v>18231</v>
      </c>
      <c r="L5104" s="1"/>
      <c r="M5104" s="1"/>
    </row>
    <row x14ac:dyDescent="0.25" r="5105" customHeight="1" ht="18.75">
      <c r="A5105" s="1" t="s">
        <v>3598</v>
      </c>
      <c r="B5105" s="1" t="s">
        <v>6811</v>
      </c>
      <c r="C5105" s="1" t="s">
        <v>3600</v>
      </c>
      <c r="D5105" s="1" t="s">
        <v>3601</v>
      </c>
      <c r="E5105" s="1" t="s">
        <v>3664</v>
      </c>
      <c r="F5105" s="1" t="s">
        <v>18232</v>
      </c>
      <c r="G5105" s="1" t="s">
        <v>18233</v>
      </c>
      <c r="H5105" s="1" t="s">
        <v>3604</v>
      </c>
      <c r="I5105" s="1" t="s">
        <v>18234</v>
      </c>
      <c r="J5105" s="1" t="s">
        <v>3606</v>
      </c>
      <c r="K5105" s="1" t="s">
        <v>18235</v>
      </c>
      <c r="L5105" s="1"/>
      <c r="M5105" s="1"/>
    </row>
    <row x14ac:dyDescent="0.25" r="5106" customHeight="1" ht="18.75">
      <c r="A5106" s="1" t="s">
        <v>3598</v>
      </c>
      <c r="B5106" s="1" t="s">
        <v>14025</v>
      </c>
      <c r="C5106" s="1" t="s">
        <v>3600</v>
      </c>
      <c r="D5106" s="1" t="s">
        <v>3601</v>
      </c>
      <c r="E5106" s="1" t="s">
        <v>3664</v>
      </c>
      <c r="F5106" s="1" t="s">
        <v>18236</v>
      </c>
      <c r="G5106" s="1" t="s">
        <v>6471</v>
      </c>
      <c r="H5106" s="1" t="s">
        <v>3604</v>
      </c>
      <c r="I5106" s="1" t="s">
        <v>18237</v>
      </c>
      <c r="J5106" s="1" t="s">
        <v>3606</v>
      </c>
      <c r="K5106" s="1" t="s">
        <v>18238</v>
      </c>
      <c r="L5106" s="1"/>
      <c r="M5106" s="1"/>
    </row>
    <row x14ac:dyDescent="0.25" r="5107" customHeight="1" ht="18.75">
      <c r="A5107" s="1" t="s">
        <v>3598</v>
      </c>
      <c r="B5107" s="1" t="s">
        <v>9582</v>
      </c>
      <c r="C5107" s="1" t="s">
        <v>3600</v>
      </c>
      <c r="D5107" s="1" t="s">
        <v>3601</v>
      </c>
      <c r="E5107" s="1" t="s">
        <v>3664</v>
      </c>
      <c r="F5107" s="1" t="s">
        <v>18239</v>
      </c>
      <c r="G5107" s="1" t="s">
        <v>6471</v>
      </c>
      <c r="H5107" s="1" t="s">
        <v>3604</v>
      </c>
      <c r="I5107" s="1" t="s">
        <v>18240</v>
      </c>
      <c r="J5107" s="1" t="s">
        <v>3606</v>
      </c>
      <c r="K5107" s="1" t="s">
        <v>18241</v>
      </c>
      <c r="L5107" s="1"/>
      <c r="M5107" s="1"/>
    </row>
    <row x14ac:dyDescent="0.25" r="5108" customHeight="1" ht="18.75">
      <c r="A5108" s="1" t="s">
        <v>3598</v>
      </c>
      <c r="B5108" s="1" t="s">
        <v>9449</v>
      </c>
      <c r="C5108" s="1" t="s">
        <v>3600</v>
      </c>
      <c r="D5108" s="1" t="s">
        <v>3601</v>
      </c>
      <c r="E5108" s="1" t="s">
        <v>3664</v>
      </c>
      <c r="F5108" s="1" t="s">
        <v>18242</v>
      </c>
      <c r="G5108" s="1" t="s">
        <v>8578</v>
      </c>
      <c r="H5108" s="1" t="s">
        <v>3604</v>
      </c>
      <c r="I5108" s="1" t="s">
        <v>18243</v>
      </c>
      <c r="J5108" s="1" t="s">
        <v>3606</v>
      </c>
      <c r="K5108" s="1" t="s">
        <v>18244</v>
      </c>
      <c r="L5108" s="1"/>
      <c r="M5108" s="1"/>
    </row>
    <row x14ac:dyDescent="0.25" r="5109" customHeight="1" ht="18.75">
      <c r="A5109" s="1" t="s">
        <v>3598</v>
      </c>
      <c r="B5109" s="1" t="s">
        <v>9449</v>
      </c>
      <c r="C5109" s="1" t="s">
        <v>3600</v>
      </c>
      <c r="D5109" s="1" t="s">
        <v>3601</v>
      </c>
      <c r="E5109" s="1" t="s">
        <v>3664</v>
      </c>
      <c r="F5109" s="1" t="s">
        <v>18245</v>
      </c>
      <c r="G5109" s="1" t="s">
        <v>18246</v>
      </c>
      <c r="H5109" s="1" t="s">
        <v>3604</v>
      </c>
      <c r="I5109" s="1" t="s">
        <v>18247</v>
      </c>
      <c r="J5109" s="1" t="s">
        <v>3606</v>
      </c>
      <c r="K5109" s="1" t="s">
        <v>18248</v>
      </c>
      <c r="L5109" s="1"/>
      <c r="M5109" s="1"/>
    </row>
    <row x14ac:dyDescent="0.25" r="5110" customHeight="1" ht="18.75">
      <c r="A5110" s="1" t="s">
        <v>3598</v>
      </c>
      <c r="B5110" s="1" t="s">
        <v>9311</v>
      </c>
      <c r="C5110" s="1" t="s">
        <v>3600</v>
      </c>
      <c r="D5110" s="1" t="s">
        <v>3601</v>
      </c>
      <c r="E5110" s="1" t="s">
        <v>3664</v>
      </c>
      <c r="F5110" s="1" t="s">
        <v>18249</v>
      </c>
      <c r="G5110" s="1" t="s">
        <v>8578</v>
      </c>
      <c r="H5110" s="1" t="s">
        <v>3604</v>
      </c>
      <c r="I5110" s="1" t="s">
        <v>18250</v>
      </c>
      <c r="J5110" s="1" t="s">
        <v>3606</v>
      </c>
      <c r="K5110" s="1" t="s">
        <v>18251</v>
      </c>
      <c r="L5110" s="1"/>
      <c r="M5110" s="1"/>
    </row>
    <row x14ac:dyDescent="0.25" r="5111" customHeight="1" ht="18.75">
      <c r="A5111" s="1" t="s">
        <v>3598</v>
      </c>
      <c r="B5111" s="1" t="s">
        <v>15397</v>
      </c>
      <c r="C5111" s="1" t="s">
        <v>3600</v>
      </c>
      <c r="D5111" s="1" t="s">
        <v>3601</v>
      </c>
      <c r="E5111" s="1" t="s">
        <v>3664</v>
      </c>
      <c r="F5111" s="1" t="s">
        <v>18252</v>
      </c>
      <c r="G5111" s="1" t="s">
        <v>18246</v>
      </c>
      <c r="H5111" s="1" t="s">
        <v>3604</v>
      </c>
      <c r="I5111" s="1" t="s">
        <v>18253</v>
      </c>
      <c r="J5111" s="1" t="s">
        <v>3606</v>
      </c>
      <c r="K5111" s="1" t="s">
        <v>18254</v>
      </c>
      <c r="L5111" s="1"/>
      <c r="M5111" s="1"/>
    </row>
    <row x14ac:dyDescent="0.25" r="5112" customHeight="1" ht="18.75">
      <c r="A5112" s="1" t="s">
        <v>3598</v>
      </c>
      <c r="B5112" s="1" t="s">
        <v>5260</v>
      </c>
      <c r="C5112" s="1" t="s">
        <v>3600</v>
      </c>
      <c r="D5112" s="1" t="s">
        <v>3601</v>
      </c>
      <c r="E5112" s="1" t="s">
        <v>3664</v>
      </c>
      <c r="F5112" s="1" t="s">
        <v>18255</v>
      </c>
      <c r="G5112" s="1" t="s">
        <v>18256</v>
      </c>
      <c r="H5112" s="1" t="s">
        <v>3604</v>
      </c>
      <c r="I5112" s="1" t="s">
        <v>18257</v>
      </c>
      <c r="J5112" s="1" t="s">
        <v>3606</v>
      </c>
      <c r="K5112" s="1" t="s">
        <v>18258</v>
      </c>
      <c r="L5112" s="1"/>
      <c r="M5112" s="1"/>
    </row>
    <row x14ac:dyDescent="0.25" r="5113" customHeight="1" ht="18.75">
      <c r="A5113" s="1" t="s">
        <v>3598</v>
      </c>
      <c r="B5113" s="1" t="s">
        <v>9246</v>
      </c>
      <c r="C5113" s="1" t="s">
        <v>3600</v>
      </c>
      <c r="D5113" s="1" t="s">
        <v>3601</v>
      </c>
      <c r="E5113" s="1" t="s">
        <v>3664</v>
      </c>
      <c r="F5113" s="1" t="s">
        <v>18259</v>
      </c>
      <c r="G5113" s="1" t="s">
        <v>16788</v>
      </c>
      <c r="H5113" s="1" t="s">
        <v>3604</v>
      </c>
      <c r="I5113" s="1" t="s">
        <v>18260</v>
      </c>
      <c r="J5113" s="1" t="s">
        <v>3606</v>
      </c>
      <c r="K5113" s="1" t="s">
        <v>18261</v>
      </c>
      <c r="L5113" s="1"/>
      <c r="M5113" s="1"/>
    </row>
    <row x14ac:dyDescent="0.25" r="5114" customHeight="1" ht="18.75">
      <c r="A5114" s="1" t="s">
        <v>3598</v>
      </c>
      <c r="B5114" s="1" t="s">
        <v>9246</v>
      </c>
      <c r="C5114" s="1" t="s">
        <v>3600</v>
      </c>
      <c r="D5114" s="1" t="s">
        <v>3601</v>
      </c>
      <c r="E5114" s="1" t="s">
        <v>3664</v>
      </c>
      <c r="F5114" s="1" t="s">
        <v>18262</v>
      </c>
      <c r="G5114" s="1" t="s">
        <v>18256</v>
      </c>
      <c r="H5114" s="1" t="s">
        <v>3604</v>
      </c>
      <c r="I5114" s="1" t="s">
        <v>18263</v>
      </c>
      <c r="J5114" s="1" t="s">
        <v>3606</v>
      </c>
      <c r="K5114" s="1" t="s">
        <v>18264</v>
      </c>
      <c r="L5114" s="1"/>
      <c r="M5114" s="1"/>
    </row>
    <row x14ac:dyDescent="0.25" r="5115" customHeight="1" ht="18.75">
      <c r="A5115" s="1" t="s">
        <v>3598</v>
      </c>
      <c r="B5115" s="1" t="s">
        <v>9246</v>
      </c>
      <c r="C5115" s="1" t="s">
        <v>3600</v>
      </c>
      <c r="D5115" s="1" t="s">
        <v>3601</v>
      </c>
      <c r="E5115" s="1" t="s">
        <v>3664</v>
      </c>
      <c r="F5115" s="1" t="s">
        <v>18265</v>
      </c>
      <c r="G5115" s="1" t="s">
        <v>18266</v>
      </c>
      <c r="H5115" s="1" t="s">
        <v>3604</v>
      </c>
      <c r="I5115" s="1" t="s">
        <v>18267</v>
      </c>
      <c r="J5115" s="1" t="s">
        <v>3606</v>
      </c>
      <c r="K5115" s="1" t="s">
        <v>18268</v>
      </c>
      <c r="L5115" s="1"/>
      <c r="M5115" s="1"/>
    </row>
    <row x14ac:dyDescent="0.25" r="5116" customHeight="1" ht="18.75">
      <c r="A5116" s="1" t="s">
        <v>3598</v>
      </c>
      <c r="B5116" s="1" t="s">
        <v>4273</v>
      </c>
      <c r="C5116" s="1" t="s">
        <v>3600</v>
      </c>
      <c r="D5116" s="1" t="s">
        <v>3601</v>
      </c>
      <c r="E5116" s="1" t="s">
        <v>3664</v>
      </c>
      <c r="F5116" s="1" t="s">
        <v>18269</v>
      </c>
      <c r="G5116" s="1" t="s">
        <v>16788</v>
      </c>
      <c r="H5116" s="1" t="s">
        <v>3604</v>
      </c>
      <c r="I5116" s="1" t="s">
        <v>18270</v>
      </c>
      <c r="J5116" s="1" t="s">
        <v>3606</v>
      </c>
      <c r="K5116" s="1" t="s">
        <v>18271</v>
      </c>
      <c r="L5116" s="1"/>
      <c r="M5116" s="1"/>
    </row>
    <row x14ac:dyDescent="0.25" r="5117" customHeight="1" ht="18.75">
      <c r="A5117" s="1" t="s">
        <v>3598</v>
      </c>
      <c r="B5117" s="1" t="s">
        <v>5260</v>
      </c>
      <c r="C5117" s="1" t="s">
        <v>3600</v>
      </c>
      <c r="D5117" s="1" t="s">
        <v>3601</v>
      </c>
      <c r="E5117" s="1" t="s">
        <v>3664</v>
      </c>
      <c r="F5117" s="1" t="s">
        <v>18272</v>
      </c>
      <c r="G5117" s="1" t="s">
        <v>18266</v>
      </c>
      <c r="H5117" s="1" t="s">
        <v>3604</v>
      </c>
      <c r="I5117" s="1" t="s">
        <v>18273</v>
      </c>
      <c r="J5117" s="1" t="s">
        <v>3606</v>
      </c>
      <c r="K5117" s="1" t="s">
        <v>18274</v>
      </c>
      <c r="L5117" s="1"/>
      <c r="M5117" s="1"/>
    </row>
    <row x14ac:dyDescent="0.25" r="5118" customHeight="1" ht="18.75">
      <c r="A5118" s="1" t="s">
        <v>3598</v>
      </c>
      <c r="B5118" s="1" t="s">
        <v>9505</v>
      </c>
      <c r="C5118" s="1" t="s">
        <v>3600</v>
      </c>
      <c r="D5118" s="1" t="s">
        <v>3601</v>
      </c>
      <c r="E5118" s="1" t="s">
        <v>3664</v>
      </c>
      <c r="F5118" s="1" t="s">
        <v>18275</v>
      </c>
      <c r="G5118" s="1" t="s">
        <v>18276</v>
      </c>
      <c r="H5118" s="1" t="s">
        <v>3604</v>
      </c>
      <c r="I5118" s="1" t="s">
        <v>18277</v>
      </c>
      <c r="J5118" s="1" t="s">
        <v>3606</v>
      </c>
      <c r="K5118" s="1" t="s">
        <v>18278</v>
      </c>
      <c r="L5118" s="1"/>
      <c r="M5118" s="1"/>
    </row>
    <row x14ac:dyDescent="0.25" r="5119" customHeight="1" ht="18.75">
      <c r="A5119" s="1" t="s">
        <v>3598</v>
      </c>
      <c r="B5119" s="1" t="s">
        <v>9344</v>
      </c>
      <c r="C5119" s="1" t="s">
        <v>3600</v>
      </c>
      <c r="D5119" s="1" t="s">
        <v>3601</v>
      </c>
      <c r="E5119" s="1" t="s">
        <v>3664</v>
      </c>
      <c r="F5119" s="1" t="s">
        <v>18279</v>
      </c>
      <c r="G5119" s="1" t="s">
        <v>9346</v>
      </c>
      <c r="H5119" s="1" t="s">
        <v>3604</v>
      </c>
      <c r="I5119" s="1" t="s">
        <v>18280</v>
      </c>
      <c r="J5119" s="1" t="s">
        <v>3606</v>
      </c>
      <c r="K5119" s="1" t="s">
        <v>18281</v>
      </c>
      <c r="L5119" s="1"/>
      <c r="M5119" s="1"/>
    </row>
    <row x14ac:dyDescent="0.25" r="5120" customHeight="1" ht="18.75">
      <c r="A5120" s="1" t="s">
        <v>3598</v>
      </c>
      <c r="B5120" s="1" t="s">
        <v>15397</v>
      </c>
      <c r="C5120" s="1" t="s">
        <v>3600</v>
      </c>
      <c r="D5120" s="1" t="s">
        <v>3601</v>
      </c>
      <c r="E5120" s="1" t="s">
        <v>3664</v>
      </c>
      <c r="F5120" s="1" t="s">
        <v>18282</v>
      </c>
      <c r="G5120" s="1" t="s">
        <v>18246</v>
      </c>
      <c r="H5120" s="1" t="s">
        <v>3604</v>
      </c>
      <c r="I5120" s="1" t="s">
        <v>18283</v>
      </c>
      <c r="J5120" s="1" t="s">
        <v>3606</v>
      </c>
      <c r="K5120" s="1" t="s">
        <v>18284</v>
      </c>
      <c r="L5120" s="1"/>
      <c r="M5120" s="1"/>
    </row>
    <row x14ac:dyDescent="0.25" r="5121" customHeight="1" ht="18.75">
      <c r="A5121" s="1" t="s">
        <v>3598</v>
      </c>
      <c r="B5121" s="1" t="s">
        <v>4627</v>
      </c>
      <c r="C5121" s="1" t="s">
        <v>3600</v>
      </c>
      <c r="D5121" s="1" t="s">
        <v>3601</v>
      </c>
      <c r="E5121" s="1" t="s">
        <v>3664</v>
      </c>
      <c r="F5121" s="1" t="s">
        <v>18285</v>
      </c>
      <c r="G5121" s="1" t="s">
        <v>18286</v>
      </c>
      <c r="H5121" s="1" t="s">
        <v>3604</v>
      </c>
      <c r="I5121" s="1" t="s">
        <v>18287</v>
      </c>
      <c r="J5121" s="1" t="s">
        <v>3606</v>
      </c>
      <c r="K5121" s="1" t="s">
        <v>18288</v>
      </c>
      <c r="L5121" s="1"/>
      <c r="M5121" s="1"/>
    </row>
    <row x14ac:dyDescent="0.25" r="5122" customHeight="1" ht="18.75">
      <c r="A5122" s="1" t="s">
        <v>3598</v>
      </c>
      <c r="B5122" s="1" t="s">
        <v>4627</v>
      </c>
      <c r="C5122" s="1" t="s">
        <v>3600</v>
      </c>
      <c r="D5122" s="1" t="s">
        <v>3601</v>
      </c>
      <c r="E5122" s="1" t="s">
        <v>3664</v>
      </c>
      <c r="F5122" s="1" t="s">
        <v>18289</v>
      </c>
      <c r="G5122" s="1" t="s">
        <v>18290</v>
      </c>
      <c r="H5122" s="1" t="s">
        <v>3604</v>
      </c>
      <c r="I5122" s="1" t="s">
        <v>18291</v>
      </c>
      <c r="J5122" s="1" t="s">
        <v>3606</v>
      </c>
      <c r="K5122" s="1" t="s">
        <v>18292</v>
      </c>
      <c r="L5122" s="1"/>
      <c r="M5122" s="1"/>
    </row>
    <row x14ac:dyDescent="0.25" r="5123" customHeight="1" ht="18.75">
      <c r="A5123" s="1" t="s">
        <v>3598</v>
      </c>
      <c r="B5123" s="1" t="s">
        <v>4627</v>
      </c>
      <c r="C5123" s="1" t="s">
        <v>3600</v>
      </c>
      <c r="D5123" s="1" t="s">
        <v>3601</v>
      </c>
      <c r="E5123" s="1" t="s">
        <v>3664</v>
      </c>
      <c r="F5123" s="1" t="s">
        <v>18293</v>
      </c>
      <c r="G5123" s="1" t="s">
        <v>18294</v>
      </c>
      <c r="H5123" s="1" t="s">
        <v>3604</v>
      </c>
      <c r="I5123" s="1" t="s">
        <v>18295</v>
      </c>
      <c r="J5123" s="1" t="s">
        <v>3606</v>
      </c>
      <c r="K5123" s="1" t="s">
        <v>18296</v>
      </c>
      <c r="L5123" s="1"/>
      <c r="M5123" s="1"/>
    </row>
    <row x14ac:dyDescent="0.25" r="5124" customHeight="1" ht="18.75">
      <c r="A5124" s="1" t="s">
        <v>3598</v>
      </c>
      <c r="B5124" s="1" t="s">
        <v>4627</v>
      </c>
      <c r="C5124" s="1" t="s">
        <v>3600</v>
      </c>
      <c r="D5124" s="1" t="s">
        <v>3601</v>
      </c>
      <c r="E5124" s="1" t="s">
        <v>3664</v>
      </c>
      <c r="F5124" s="1" t="s">
        <v>18297</v>
      </c>
      <c r="G5124" s="1" t="s">
        <v>16406</v>
      </c>
      <c r="H5124" s="1" t="s">
        <v>3604</v>
      </c>
      <c r="I5124" s="1" t="s">
        <v>18298</v>
      </c>
      <c r="J5124" s="1" t="s">
        <v>3606</v>
      </c>
      <c r="K5124" s="1" t="s">
        <v>18299</v>
      </c>
      <c r="L5124" s="1"/>
      <c r="M5124" s="1"/>
    </row>
    <row x14ac:dyDescent="0.25" r="5125" customHeight="1" ht="18.75">
      <c r="A5125" s="1" t="s">
        <v>3598</v>
      </c>
      <c r="B5125" s="1" t="s">
        <v>4627</v>
      </c>
      <c r="C5125" s="1" t="s">
        <v>3600</v>
      </c>
      <c r="D5125" s="1" t="s">
        <v>3601</v>
      </c>
      <c r="E5125" s="1" t="s">
        <v>3664</v>
      </c>
      <c r="F5125" s="1" t="s">
        <v>18300</v>
      </c>
      <c r="G5125" s="1" t="s">
        <v>18301</v>
      </c>
      <c r="H5125" s="1" t="s">
        <v>3604</v>
      </c>
      <c r="I5125" s="1" t="s">
        <v>18302</v>
      </c>
      <c r="J5125" s="1" t="s">
        <v>3606</v>
      </c>
      <c r="K5125" s="1" t="s">
        <v>18303</v>
      </c>
      <c r="L5125" s="1"/>
      <c r="M5125" s="1"/>
    </row>
    <row x14ac:dyDescent="0.25" r="5126" customHeight="1" ht="18.75">
      <c r="A5126" s="1" t="s">
        <v>3598</v>
      </c>
      <c r="B5126" s="1" t="s">
        <v>4627</v>
      </c>
      <c r="C5126" s="1" t="s">
        <v>3600</v>
      </c>
      <c r="D5126" s="1" t="s">
        <v>3601</v>
      </c>
      <c r="E5126" s="1" t="s">
        <v>3664</v>
      </c>
      <c r="F5126" s="1" t="s">
        <v>18304</v>
      </c>
      <c r="G5126" s="1" t="s">
        <v>18104</v>
      </c>
      <c r="H5126" s="1" t="s">
        <v>3604</v>
      </c>
      <c r="I5126" s="1" t="s">
        <v>18305</v>
      </c>
      <c r="J5126" s="1" t="s">
        <v>3606</v>
      </c>
      <c r="K5126" s="1" t="s">
        <v>18306</v>
      </c>
      <c r="L5126" s="1"/>
      <c r="M5126" s="1"/>
    </row>
    <row x14ac:dyDescent="0.25" r="5127" customHeight="1" ht="18.75">
      <c r="A5127" s="1" t="s">
        <v>3598</v>
      </c>
      <c r="B5127" s="1" t="s">
        <v>9311</v>
      </c>
      <c r="C5127" s="1" t="s">
        <v>3600</v>
      </c>
      <c r="D5127" s="1" t="s">
        <v>3601</v>
      </c>
      <c r="E5127" s="1" t="s">
        <v>3664</v>
      </c>
      <c r="F5127" s="1" t="s">
        <v>18307</v>
      </c>
      <c r="G5127" s="1" t="s">
        <v>8578</v>
      </c>
      <c r="H5127" s="1" t="s">
        <v>3604</v>
      </c>
      <c r="I5127" s="1" t="s">
        <v>18308</v>
      </c>
      <c r="J5127" s="1" t="s">
        <v>3606</v>
      </c>
      <c r="K5127" s="1" t="s">
        <v>18309</v>
      </c>
      <c r="L5127" s="1"/>
      <c r="M5127" s="1"/>
    </row>
    <row x14ac:dyDescent="0.25" r="5128" customHeight="1" ht="18.75">
      <c r="A5128" s="1" t="s">
        <v>3598</v>
      </c>
      <c r="B5128" s="1" t="s">
        <v>9449</v>
      </c>
      <c r="C5128" s="1" t="s">
        <v>3600</v>
      </c>
      <c r="D5128" s="1" t="s">
        <v>3601</v>
      </c>
      <c r="E5128" s="1" t="s">
        <v>3664</v>
      </c>
      <c r="F5128" s="1" t="s">
        <v>18310</v>
      </c>
      <c r="G5128" s="1" t="s">
        <v>18311</v>
      </c>
      <c r="H5128" s="1" t="s">
        <v>3604</v>
      </c>
      <c r="I5128" s="1" t="s">
        <v>18312</v>
      </c>
      <c r="J5128" s="1" t="s">
        <v>3606</v>
      </c>
      <c r="K5128" s="1" t="s">
        <v>18313</v>
      </c>
      <c r="L5128" s="1"/>
      <c r="M5128" s="1"/>
    </row>
    <row x14ac:dyDescent="0.25" r="5129" customHeight="1" ht="18.75">
      <c r="A5129" s="1" t="s">
        <v>3598</v>
      </c>
      <c r="B5129" s="1" t="s">
        <v>9449</v>
      </c>
      <c r="C5129" s="1" t="s">
        <v>3600</v>
      </c>
      <c r="D5129" s="1" t="s">
        <v>3601</v>
      </c>
      <c r="E5129" s="1" t="s">
        <v>3664</v>
      </c>
      <c r="F5129" s="1" t="s">
        <v>18314</v>
      </c>
      <c r="G5129" s="1" t="s">
        <v>8578</v>
      </c>
      <c r="H5129" s="1" t="s">
        <v>3604</v>
      </c>
      <c r="I5129" s="1" t="s">
        <v>18315</v>
      </c>
      <c r="J5129" s="1" t="s">
        <v>3606</v>
      </c>
      <c r="K5129" s="1" t="s">
        <v>18316</v>
      </c>
      <c r="L5129" s="1"/>
      <c r="M5129" s="1"/>
    </row>
    <row x14ac:dyDescent="0.25" r="5130" customHeight="1" ht="18.75">
      <c r="A5130" s="1" t="s">
        <v>3598</v>
      </c>
      <c r="B5130" s="1" t="s">
        <v>9449</v>
      </c>
      <c r="C5130" s="1" t="s">
        <v>3600</v>
      </c>
      <c r="D5130" s="1" t="s">
        <v>3601</v>
      </c>
      <c r="E5130" s="1" t="s">
        <v>3664</v>
      </c>
      <c r="F5130" s="1" t="s">
        <v>18317</v>
      </c>
      <c r="G5130" s="1" t="s">
        <v>18246</v>
      </c>
      <c r="H5130" s="1" t="s">
        <v>3604</v>
      </c>
      <c r="I5130" s="1" t="s">
        <v>18318</v>
      </c>
      <c r="J5130" s="1" t="s">
        <v>3606</v>
      </c>
      <c r="K5130" s="1" t="s">
        <v>18319</v>
      </c>
      <c r="L5130" s="1"/>
      <c r="M5130" s="1"/>
    </row>
    <row x14ac:dyDescent="0.25" r="5131" customHeight="1" ht="18.75">
      <c r="A5131" s="1" t="s">
        <v>3598</v>
      </c>
      <c r="B5131" s="1" t="s">
        <v>9449</v>
      </c>
      <c r="C5131" s="1" t="s">
        <v>3600</v>
      </c>
      <c r="D5131" s="1" t="s">
        <v>3601</v>
      </c>
      <c r="E5131" s="1" t="s">
        <v>3664</v>
      </c>
      <c r="F5131" s="1" t="s">
        <v>18320</v>
      </c>
      <c r="G5131" s="1" t="s">
        <v>18321</v>
      </c>
      <c r="H5131" s="1" t="s">
        <v>3604</v>
      </c>
      <c r="I5131" s="1" t="s">
        <v>18322</v>
      </c>
      <c r="J5131" s="1" t="s">
        <v>3606</v>
      </c>
      <c r="K5131" s="1" t="s">
        <v>18323</v>
      </c>
      <c r="L5131" s="1"/>
      <c r="M5131" s="1"/>
    </row>
    <row x14ac:dyDescent="0.25" r="5132" customHeight="1" ht="18.75">
      <c r="A5132" s="1" t="s">
        <v>3598</v>
      </c>
      <c r="B5132" s="1" t="s">
        <v>9449</v>
      </c>
      <c r="C5132" s="1" t="s">
        <v>3600</v>
      </c>
      <c r="D5132" s="1" t="s">
        <v>3601</v>
      </c>
      <c r="E5132" s="1" t="s">
        <v>3664</v>
      </c>
      <c r="F5132" s="1" t="s">
        <v>18324</v>
      </c>
      <c r="G5132" s="1" t="s">
        <v>18086</v>
      </c>
      <c r="H5132" s="1" t="s">
        <v>3604</v>
      </c>
      <c r="I5132" s="1" t="s">
        <v>18325</v>
      </c>
      <c r="J5132" s="1" t="s">
        <v>3606</v>
      </c>
      <c r="K5132" s="1" t="s">
        <v>18326</v>
      </c>
      <c r="L5132" s="1"/>
      <c r="M5132" s="1"/>
    </row>
    <row x14ac:dyDescent="0.25" r="5133" customHeight="1" ht="18.75">
      <c r="A5133" s="1" t="s">
        <v>3598</v>
      </c>
      <c r="B5133" s="1" t="s">
        <v>9449</v>
      </c>
      <c r="C5133" s="1" t="s">
        <v>3600</v>
      </c>
      <c r="D5133" s="1" t="s">
        <v>3601</v>
      </c>
      <c r="E5133" s="1" t="s">
        <v>3664</v>
      </c>
      <c r="F5133" s="1" t="s">
        <v>18327</v>
      </c>
      <c r="G5133" s="1" t="s">
        <v>9451</v>
      </c>
      <c r="H5133" s="1" t="s">
        <v>3604</v>
      </c>
      <c r="I5133" s="1" t="s">
        <v>18328</v>
      </c>
      <c r="J5133" s="1" t="s">
        <v>3606</v>
      </c>
      <c r="K5133" s="1" t="s">
        <v>18329</v>
      </c>
      <c r="L5133" s="1"/>
      <c r="M5133" s="1"/>
    </row>
    <row x14ac:dyDescent="0.25" r="5134" customHeight="1" ht="18.75">
      <c r="A5134" s="1" t="s">
        <v>3598</v>
      </c>
      <c r="B5134" s="1" t="s">
        <v>9449</v>
      </c>
      <c r="C5134" s="1" t="s">
        <v>3600</v>
      </c>
      <c r="D5134" s="1" t="s">
        <v>3601</v>
      </c>
      <c r="E5134" s="1" t="s">
        <v>3664</v>
      </c>
      <c r="F5134" s="1" t="s">
        <v>18330</v>
      </c>
      <c r="G5134" s="1" t="s">
        <v>9461</v>
      </c>
      <c r="H5134" s="1" t="s">
        <v>3604</v>
      </c>
      <c r="I5134" s="1" t="s">
        <v>18331</v>
      </c>
      <c r="J5134" s="1" t="s">
        <v>3606</v>
      </c>
      <c r="K5134" s="1" t="s">
        <v>18332</v>
      </c>
      <c r="L5134" s="1"/>
      <c r="M5134" s="1"/>
    </row>
    <row x14ac:dyDescent="0.25" r="5135" customHeight="1" ht="18.75">
      <c r="A5135" s="1" t="s">
        <v>3598</v>
      </c>
      <c r="B5135" s="1" t="s">
        <v>9449</v>
      </c>
      <c r="C5135" s="1" t="s">
        <v>3600</v>
      </c>
      <c r="D5135" s="1" t="s">
        <v>3601</v>
      </c>
      <c r="E5135" s="1" t="s">
        <v>3664</v>
      </c>
      <c r="F5135" s="1" t="s">
        <v>18333</v>
      </c>
      <c r="G5135" s="1" t="s">
        <v>18334</v>
      </c>
      <c r="H5135" s="1" t="s">
        <v>3604</v>
      </c>
      <c r="I5135" s="1" t="s">
        <v>18335</v>
      </c>
      <c r="J5135" s="1" t="s">
        <v>3606</v>
      </c>
      <c r="K5135" s="1" t="s">
        <v>18336</v>
      </c>
      <c r="L5135" s="1"/>
      <c r="M5135" s="1"/>
    </row>
    <row x14ac:dyDescent="0.25" r="5136" customHeight="1" ht="18.75">
      <c r="A5136" s="1" t="s">
        <v>3598</v>
      </c>
      <c r="B5136" s="1" t="s">
        <v>4273</v>
      </c>
      <c r="C5136" s="1" t="s">
        <v>3600</v>
      </c>
      <c r="D5136" s="1" t="s">
        <v>3601</v>
      </c>
      <c r="E5136" s="1" t="s">
        <v>3664</v>
      </c>
      <c r="F5136" s="1" t="s">
        <v>18337</v>
      </c>
      <c r="G5136" s="1" t="s">
        <v>16788</v>
      </c>
      <c r="H5136" s="1" t="s">
        <v>3604</v>
      </c>
      <c r="I5136" s="1" t="s">
        <v>18338</v>
      </c>
      <c r="J5136" s="1" t="s">
        <v>3606</v>
      </c>
      <c r="K5136" s="1" t="s">
        <v>18339</v>
      </c>
      <c r="L5136" s="1"/>
      <c r="M5136" s="1"/>
    </row>
    <row x14ac:dyDescent="0.25" r="5137" customHeight="1" ht="18.75">
      <c r="A5137" s="1" t="s">
        <v>3598</v>
      </c>
      <c r="B5137" s="1" t="s">
        <v>14025</v>
      </c>
      <c r="C5137" s="1" t="s">
        <v>3600</v>
      </c>
      <c r="D5137" s="1" t="s">
        <v>3601</v>
      </c>
      <c r="E5137" s="1" t="s">
        <v>3664</v>
      </c>
      <c r="F5137" s="1" t="s">
        <v>18340</v>
      </c>
      <c r="G5137" s="1" t="s">
        <v>6471</v>
      </c>
      <c r="H5137" s="1" t="s">
        <v>3604</v>
      </c>
      <c r="I5137" s="1" t="s">
        <v>18341</v>
      </c>
      <c r="J5137" s="1" t="s">
        <v>3606</v>
      </c>
      <c r="K5137" s="1" t="s">
        <v>18342</v>
      </c>
      <c r="L5137" s="1"/>
      <c r="M5137" s="1"/>
    </row>
    <row x14ac:dyDescent="0.25" r="5138" customHeight="1" ht="18.75">
      <c r="A5138" s="1" t="s">
        <v>3598</v>
      </c>
      <c r="B5138" s="1" t="s">
        <v>14025</v>
      </c>
      <c r="C5138" s="1" t="s">
        <v>3600</v>
      </c>
      <c r="D5138" s="1" t="s">
        <v>3601</v>
      </c>
      <c r="E5138" s="1" t="s">
        <v>3664</v>
      </c>
      <c r="F5138" s="1" t="s">
        <v>18343</v>
      </c>
      <c r="G5138" s="1" t="s">
        <v>18074</v>
      </c>
      <c r="H5138" s="1" t="s">
        <v>3604</v>
      </c>
      <c r="I5138" s="1" t="s">
        <v>18344</v>
      </c>
      <c r="J5138" s="1" t="s">
        <v>3606</v>
      </c>
      <c r="K5138" s="1" t="s">
        <v>18345</v>
      </c>
      <c r="L5138" s="1"/>
      <c r="M5138" s="1"/>
    </row>
    <row x14ac:dyDescent="0.25" r="5139" customHeight="1" ht="18.75">
      <c r="A5139" s="1" t="s">
        <v>3598</v>
      </c>
      <c r="B5139" s="1" t="s">
        <v>14025</v>
      </c>
      <c r="C5139" s="1" t="s">
        <v>3600</v>
      </c>
      <c r="D5139" s="1" t="s">
        <v>3601</v>
      </c>
      <c r="E5139" s="1" t="s">
        <v>3664</v>
      </c>
      <c r="F5139" s="1" t="s">
        <v>18346</v>
      </c>
      <c r="G5139" s="1" t="s">
        <v>18347</v>
      </c>
      <c r="H5139" s="1" t="s">
        <v>3604</v>
      </c>
      <c r="I5139" s="1" t="s">
        <v>18348</v>
      </c>
      <c r="J5139" s="1" t="s">
        <v>3606</v>
      </c>
      <c r="K5139" s="1" t="s">
        <v>18349</v>
      </c>
      <c r="L5139" s="1"/>
      <c r="M5139" s="1"/>
    </row>
    <row x14ac:dyDescent="0.25" r="5140" customHeight="1" ht="18.75">
      <c r="A5140" s="1" t="s">
        <v>3598</v>
      </c>
      <c r="B5140" s="1" t="s">
        <v>14025</v>
      </c>
      <c r="C5140" s="1" t="s">
        <v>3600</v>
      </c>
      <c r="D5140" s="1" t="s">
        <v>3601</v>
      </c>
      <c r="E5140" s="1" t="s">
        <v>3664</v>
      </c>
      <c r="F5140" s="1" t="s">
        <v>18350</v>
      </c>
      <c r="G5140" s="1" t="s">
        <v>18351</v>
      </c>
      <c r="H5140" s="1" t="s">
        <v>3604</v>
      </c>
      <c r="I5140" s="1" t="s">
        <v>18352</v>
      </c>
      <c r="J5140" s="1" t="s">
        <v>3606</v>
      </c>
      <c r="K5140" s="1" t="s">
        <v>18353</v>
      </c>
      <c r="L5140" s="1"/>
      <c r="M5140" s="1"/>
    </row>
    <row x14ac:dyDescent="0.25" r="5141" customHeight="1" ht="18.75">
      <c r="A5141" s="1" t="s">
        <v>3598</v>
      </c>
      <c r="B5141" s="1" t="s">
        <v>18125</v>
      </c>
      <c r="C5141" s="1" t="s">
        <v>3600</v>
      </c>
      <c r="D5141" s="1" t="s">
        <v>3601</v>
      </c>
      <c r="E5141" s="1" t="s">
        <v>3664</v>
      </c>
      <c r="F5141" s="1" t="s">
        <v>18354</v>
      </c>
      <c r="G5141" s="1" t="s">
        <v>18311</v>
      </c>
      <c r="H5141" s="1" t="s">
        <v>3604</v>
      </c>
      <c r="I5141" s="1" t="s">
        <v>18355</v>
      </c>
      <c r="J5141" s="1" t="s">
        <v>3606</v>
      </c>
      <c r="K5141" s="1" t="s">
        <v>18356</v>
      </c>
      <c r="L5141" s="1"/>
      <c r="M5141" s="1"/>
    </row>
    <row x14ac:dyDescent="0.25" r="5142" customHeight="1" ht="18.75">
      <c r="A5142" s="1" t="s">
        <v>3598</v>
      </c>
      <c r="B5142" s="1" t="s">
        <v>9246</v>
      </c>
      <c r="C5142" s="1" t="s">
        <v>3600</v>
      </c>
      <c r="D5142" s="1" t="s">
        <v>3601</v>
      </c>
      <c r="E5142" s="1" t="s">
        <v>3664</v>
      </c>
      <c r="F5142" s="1" t="s">
        <v>18357</v>
      </c>
      <c r="G5142" s="1" t="s">
        <v>16788</v>
      </c>
      <c r="H5142" s="1" t="s">
        <v>3604</v>
      </c>
      <c r="I5142" s="1" t="s">
        <v>18358</v>
      </c>
      <c r="J5142" s="1" t="s">
        <v>3606</v>
      </c>
      <c r="K5142" s="1" t="s">
        <v>18359</v>
      </c>
      <c r="L5142" s="1"/>
      <c r="M5142" s="1"/>
    </row>
    <row x14ac:dyDescent="0.25" r="5143" customHeight="1" ht="18.75">
      <c r="A5143" s="1" t="s">
        <v>3598</v>
      </c>
      <c r="B5143" s="1" t="s">
        <v>9246</v>
      </c>
      <c r="C5143" s="1" t="s">
        <v>3600</v>
      </c>
      <c r="D5143" s="1" t="s">
        <v>3601</v>
      </c>
      <c r="E5143" s="1" t="s">
        <v>3664</v>
      </c>
      <c r="F5143" s="1" t="s">
        <v>18360</v>
      </c>
      <c r="G5143" s="1" t="s">
        <v>18256</v>
      </c>
      <c r="H5143" s="1" t="s">
        <v>3604</v>
      </c>
      <c r="I5143" s="1" t="s">
        <v>18361</v>
      </c>
      <c r="J5143" s="1" t="s">
        <v>3606</v>
      </c>
      <c r="K5143" s="1" t="s">
        <v>18362</v>
      </c>
      <c r="L5143" s="1"/>
      <c r="M5143" s="1"/>
    </row>
    <row x14ac:dyDescent="0.25" r="5144" customHeight="1" ht="18.75">
      <c r="A5144" s="1" t="s">
        <v>3598</v>
      </c>
      <c r="B5144" s="1" t="s">
        <v>9246</v>
      </c>
      <c r="C5144" s="1" t="s">
        <v>3600</v>
      </c>
      <c r="D5144" s="1" t="s">
        <v>3601</v>
      </c>
      <c r="E5144" s="1" t="s">
        <v>3664</v>
      </c>
      <c r="F5144" s="1" t="s">
        <v>18363</v>
      </c>
      <c r="G5144" s="1" t="s">
        <v>18266</v>
      </c>
      <c r="H5144" s="1" t="s">
        <v>3604</v>
      </c>
      <c r="I5144" s="1" t="s">
        <v>18364</v>
      </c>
      <c r="J5144" s="1" t="s">
        <v>3606</v>
      </c>
      <c r="K5144" s="1" t="s">
        <v>18365</v>
      </c>
      <c r="L5144" s="1"/>
      <c r="M5144" s="1"/>
    </row>
    <row x14ac:dyDescent="0.25" r="5145" customHeight="1" ht="18.75">
      <c r="A5145" s="1" t="s">
        <v>3598</v>
      </c>
      <c r="B5145" s="1" t="s">
        <v>9246</v>
      </c>
      <c r="C5145" s="1" t="s">
        <v>3600</v>
      </c>
      <c r="D5145" s="1" t="s">
        <v>3601</v>
      </c>
      <c r="E5145" s="1" t="s">
        <v>3664</v>
      </c>
      <c r="F5145" s="1" t="s">
        <v>18366</v>
      </c>
      <c r="G5145" s="1" t="s">
        <v>18367</v>
      </c>
      <c r="H5145" s="1" t="s">
        <v>3604</v>
      </c>
      <c r="I5145" s="1" t="s">
        <v>18368</v>
      </c>
      <c r="J5145" s="1" t="s">
        <v>3606</v>
      </c>
      <c r="K5145" s="1" t="s">
        <v>18369</v>
      </c>
      <c r="L5145" s="1"/>
      <c r="M5145" s="1"/>
    </row>
    <row x14ac:dyDescent="0.25" r="5146" customHeight="1" ht="18.75">
      <c r="A5146" s="1" t="s">
        <v>3598</v>
      </c>
      <c r="B5146" s="1" t="s">
        <v>9246</v>
      </c>
      <c r="C5146" s="1" t="s">
        <v>3600</v>
      </c>
      <c r="D5146" s="1" t="s">
        <v>3601</v>
      </c>
      <c r="E5146" s="1" t="s">
        <v>3664</v>
      </c>
      <c r="F5146" s="1" t="s">
        <v>18370</v>
      </c>
      <c r="G5146" s="1" t="s">
        <v>18371</v>
      </c>
      <c r="H5146" s="1" t="s">
        <v>3604</v>
      </c>
      <c r="I5146" s="1" t="s">
        <v>18372</v>
      </c>
      <c r="J5146" s="1" t="s">
        <v>3606</v>
      </c>
      <c r="K5146" s="1" t="s">
        <v>18373</v>
      </c>
      <c r="L5146" s="1"/>
      <c r="M5146" s="1"/>
    </row>
    <row x14ac:dyDescent="0.25" r="5147" customHeight="1" ht="18.75">
      <c r="A5147" s="1" t="s">
        <v>3598</v>
      </c>
      <c r="B5147" s="1" t="s">
        <v>9246</v>
      </c>
      <c r="C5147" s="1" t="s">
        <v>3600</v>
      </c>
      <c r="D5147" s="1" t="s">
        <v>3601</v>
      </c>
      <c r="E5147" s="1" t="s">
        <v>3664</v>
      </c>
      <c r="F5147" s="1" t="s">
        <v>18374</v>
      </c>
      <c r="G5147" s="1" t="s">
        <v>18375</v>
      </c>
      <c r="H5147" s="1" t="s">
        <v>3604</v>
      </c>
      <c r="I5147" s="1" t="s">
        <v>18376</v>
      </c>
      <c r="J5147" s="1" t="s">
        <v>3606</v>
      </c>
      <c r="K5147" s="1" t="s">
        <v>18377</v>
      </c>
      <c r="L5147" s="1"/>
      <c r="M5147" s="1"/>
    </row>
    <row x14ac:dyDescent="0.25" r="5148" customHeight="1" ht="18.75">
      <c r="A5148" s="1" t="s">
        <v>3598</v>
      </c>
      <c r="B5148" s="1" t="s">
        <v>18117</v>
      </c>
      <c r="C5148" s="1" t="s">
        <v>3600</v>
      </c>
      <c r="D5148" s="1" t="s">
        <v>3601</v>
      </c>
      <c r="E5148" s="1" t="s">
        <v>3664</v>
      </c>
      <c r="F5148" s="1" t="s">
        <v>18378</v>
      </c>
      <c r="G5148" s="1" t="s">
        <v>18286</v>
      </c>
      <c r="H5148" s="1" t="s">
        <v>3604</v>
      </c>
      <c r="I5148" s="1" t="s">
        <v>18379</v>
      </c>
      <c r="J5148" s="1" t="s">
        <v>3606</v>
      </c>
      <c r="K5148" s="1" t="s">
        <v>18380</v>
      </c>
      <c r="L5148" s="1"/>
      <c r="M5148" s="1"/>
    </row>
    <row x14ac:dyDescent="0.25" r="5149" customHeight="1" ht="18.75">
      <c r="A5149" s="1" t="s">
        <v>3598</v>
      </c>
      <c r="B5149" s="1" t="s">
        <v>18092</v>
      </c>
      <c r="C5149" s="1" t="s">
        <v>3600</v>
      </c>
      <c r="D5149" s="1" t="s">
        <v>3601</v>
      </c>
      <c r="E5149" s="1" t="s">
        <v>3893</v>
      </c>
      <c r="F5149" s="1" t="s">
        <v>18381</v>
      </c>
      <c r="G5149" s="1" t="s">
        <v>16725</v>
      </c>
      <c r="H5149" s="1" t="s">
        <v>3604</v>
      </c>
      <c r="I5149" s="1" t="s">
        <v>18382</v>
      </c>
      <c r="J5149" s="1" t="s">
        <v>3606</v>
      </c>
      <c r="K5149" s="1" t="s">
        <v>18383</v>
      </c>
      <c r="L5149" s="1"/>
      <c r="M5149" s="1"/>
    </row>
    <row x14ac:dyDescent="0.25" r="5150" customHeight="1" ht="18.75">
      <c r="A5150" s="1" t="s">
        <v>3598</v>
      </c>
      <c r="B5150" s="1" t="s">
        <v>5260</v>
      </c>
      <c r="C5150" s="1" t="s">
        <v>3600</v>
      </c>
      <c r="D5150" s="1" t="s">
        <v>3601</v>
      </c>
      <c r="E5150" s="1" t="s">
        <v>3664</v>
      </c>
      <c r="F5150" s="1" t="s">
        <v>18384</v>
      </c>
      <c r="G5150" s="1" t="s">
        <v>18256</v>
      </c>
      <c r="H5150" s="1" t="s">
        <v>3604</v>
      </c>
      <c r="I5150" s="1" t="s">
        <v>18385</v>
      </c>
      <c r="J5150" s="1" t="s">
        <v>3606</v>
      </c>
      <c r="K5150" s="1" t="s">
        <v>18386</v>
      </c>
      <c r="L5150" s="1"/>
      <c r="M5150" s="1"/>
    </row>
    <row x14ac:dyDescent="0.25" r="5151" customHeight="1" ht="18.75">
      <c r="A5151" s="1" t="s">
        <v>3598</v>
      </c>
      <c r="B5151" s="1" t="s">
        <v>5260</v>
      </c>
      <c r="C5151" s="1" t="s">
        <v>3600</v>
      </c>
      <c r="D5151" s="1" t="s">
        <v>3601</v>
      </c>
      <c r="E5151" s="1" t="s">
        <v>3664</v>
      </c>
      <c r="F5151" s="1" t="s">
        <v>18387</v>
      </c>
      <c r="G5151" s="1" t="s">
        <v>18266</v>
      </c>
      <c r="H5151" s="1" t="s">
        <v>3604</v>
      </c>
      <c r="I5151" s="1" t="s">
        <v>18388</v>
      </c>
      <c r="J5151" s="1" t="s">
        <v>3606</v>
      </c>
      <c r="K5151" s="1" t="s">
        <v>18389</v>
      </c>
      <c r="L5151" s="1"/>
      <c r="M5151" s="1"/>
    </row>
    <row x14ac:dyDescent="0.25" r="5152" customHeight="1" ht="18.75">
      <c r="A5152" s="1" t="s">
        <v>3598</v>
      </c>
      <c r="B5152" s="1" t="s">
        <v>5252</v>
      </c>
      <c r="C5152" s="1" t="s">
        <v>3600</v>
      </c>
      <c r="D5152" s="1" t="s">
        <v>3601</v>
      </c>
      <c r="E5152" s="1" t="s">
        <v>3893</v>
      </c>
      <c r="F5152" s="1" t="s">
        <v>18390</v>
      </c>
      <c r="G5152" s="1" t="s">
        <v>8604</v>
      </c>
      <c r="H5152" s="1" t="s">
        <v>3604</v>
      </c>
      <c r="I5152" s="1" t="s">
        <v>18391</v>
      </c>
      <c r="J5152" s="1" t="s">
        <v>3606</v>
      </c>
      <c r="K5152" s="1" t="s">
        <v>18392</v>
      </c>
      <c r="L5152" s="1"/>
      <c r="M5152" s="1"/>
    </row>
    <row x14ac:dyDescent="0.25" r="5153" customHeight="1" ht="18.75">
      <c r="A5153" s="1" t="s">
        <v>3598</v>
      </c>
      <c r="B5153" s="1" t="s">
        <v>5252</v>
      </c>
      <c r="C5153" s="1" t="s">
        <v>3600</v>
      </c>
      <c r="D5153" s="1" t="s">
        <v>3601</v>
      </c>
      <c r="E5153" s="1" t="s">
        <v>3893</v>
      </c>
      <c r="F5153" s="1" t="s">
        <v>18393</v>
      </c>
      <c r="G5153" s="1" t="s">
        <v>8604</v>
      </c>
      <c r="H5153" s="1" t="s">
        <v>3604</v>
      </c>
      <c r="I5153" s="1" t="s">
        <v>18394</v>
      </c>
      <c r="J5153" s="1" t="s">
        <v>3606</v>
      </c>
      <c r="K5153" s="1" t="s">
        <v>18395</v>
      </c>
      <c r="L5153" s="1"/>
      <c r="M5153" s="1"/>
    </row>
    <row x14ac:dyDescent="0.25" r="5154" customHeight="1" ht="18.75">
      <c r="A5154" s="1" t="s">
        <v>3598</v>
      </c>
      <c r="B5154" s="1" t="s">
        <v>5252</v>
      </c>
      <c r="C5154" s="1" t="s">
        <v>3600</v>
      </c>
      <c r="D5154" s="1" t="s">
        <v>3601</v>
      </c>
      <c r="E5154" s="1" t="s">
        <v>3893</v>
      </c>
      <c r="F5154" s="1" t="s">
        <v>18396</v>
      </c>
      <c r="G5154" s="1" t="s">
        <v>16725</v>
      </c>
      <c r="H5154" s="1" t="s">
        <v>3604</v>
      </c>
      <c r="I5154" s="1" t="s">
        <v>18397</v>
      </c>
      <c r="J5154" s="1" t="s">
        <v>3606</v>
      </c>
      <c r="K5154" s="1" t="s">
        <v>18398</v>
      </c>
      <c r="L5154" s="1"/>
      <c r="M5154" s="1"/>
    </row>
    <row x14ac:dyDescent="0.25" r="5155" customHeight="1" ht="18.75">
      <c r="A5155" s="1" t="s">
        <v>3598</v>
      </c>
      <c r="B5155" s="1" t="s">
        <v>5252</v>
      </c>
      <c r="C5155" s="1" t="s">
        <v>3600</v>
      </c>
      <c r="D5155" s="1" t="s">
        <v>3601</v>
      </c>
      <c r="E5155" s="1" t="s">
        <v>3893</v>
      </c>
      <c r="F5155" s="1" t="s">
        <v>18399</v>
      </c>
      <c r="G5155" s="1" t="s">
        <v>18400</v>
      </c>
      <c r="H5155" s="1" t="s">
        <v>3604</v>
      </c>
      <c r="I5155" s="1" t="s">
        <v>18401</v>
      </c>
      <c r="J5155" s="1" t="s">
        <v>3606</v>
      </c>
      <c r="K5155" s="1" t="s">
        <v>18402</v>
      </c>
      <c r="L5155" s="1"/>
      <c r="M5155" s="1"/>
    </row>
    <row x14ac:dyDescent="0.25" r="5156" customHeight="1" ht="18.75">
      <c r="A5156" s="1" t="s">
        <v>3598</v>
      </c>
      <c r="B5156" s="1" t="s">
        <v>5252</v>
      </c>
      <c r="C5156" s="1" t="s">
        <v>3600</v>
      </c>
      <c r="D5156" s="1" t="s">
        <v>3601</v>
      </c>
      <c r="E5156" s="1" t="s">
        <v>3893</v>
      </c>
      <c r="F5156" s="1" t="s">
        <v>18403</v>
      </c>
      <c r="G5156" s="1" t="s">
        <v>18400</v>
      </c>
      <c r="H5156" s="1" t="s">
        <v>3604</v>
      </c>
      <c r="I5156" s="1" t="s">
        <v>18404</v>
      </c>
      <c r="J5156" s="1" t="s">
        <v>3606</v>
      </c>
      <c r="K5156" s="1" t="s">
        <v>18405</v>
      </c>
      <c r="L5156" s="1"/>
      <c r="M5156" s="1"/>
    </row>
    <row x14ac:dyDescent="0.25" r="5157" customHeight="1" ht="18.75">
      <c r="A5157" s="1" t="s">
        <v>3598</v>
      </c>
      <c r="B5157" s="1" t="s">
        <v>5252</v>
      </c>
      <c r="C5157" s="1" t="s">
        <v>3600</v>
      </c>
      <c r="D5157" s="1" t="s">
        <v>3601</v>
      </c>
      <c r="E5157" s="1" t="s">
        <v>3893</v>
      </c>
      <c r="F5157" s="1" t="s">
        <v>18406</v>
      </c>
      <c r="G5157" s="1" t="s">
        <v>18407</v>
      </c>
      <c r="H5157" s="1" t="s">
        <v>3604</v>
      </c>
      <c r="I5157" s="1" t="s">
        <v>18408</v>
      </c>
      <c r="J5157" s="1" t="s">
        <v>3606</v>
      </c>
      <c r="K5157" s="1" t="s">
        <v>18409</v>
      </c>
      <c r="L5157" s="1"/>
      <c r="M5157" s="1"/>
    </row>
    <row x14ac:dyDescent="0.25" r="5158" customHeight="1" ht="18.75">
      <c r="A5158" s="1" t="s">
        <v>3598</v>
      </c>
      <c r="B5158" s="1" t="s">
        <v>18410</v>
      </c>
      <c r="C5158" s="1" t="s">
        <v>3600</v>
      </c>
      <c r="D5158" s="1" t="s">
        <v>3601</v>
      </c>
      <c r="E5158" s="1" t="s">
        <v>3664</v>
      </c>
      <c r="F5158" s="1" t="s">
        <v>18411</v>
      </c>
      <c r="G5158" s="1" t="s">
        <v>18412</v>
      </c>
      <c r="H5158" s="1" t="s">
        <v>3604</v>
      </c>
      <c r="I5158" s="1" t="s">
        <v>18413</v>
      </c>
      <c r="J5158" s="1" t="s">
        <v>3606</v>
      </c>
      <c r="K5158" s="1" t="s">
        <v>18414</v>
      </c>
      <c r="L5158" s="1"/>
      <c r="M5158" s="1"/>
    </row>
    <row x14ac:dyDescent="0.25" r="5159" customHeight="1" ht="18.75">
      <c r="A5159" s="1" t="s">
        <v>3598</v>
      </c>
      <c r="B5159" s="1" t="s">
        <v>18410</v>
      </c>
      <c r="C5159" s="1" t="s">
        <v>3600</v>
      </c>
      <c r="D5159" s="1" t="s">
        <v>3601</v>
      </c>
      <c r="E5159" s="1" t="s">
        <v>3664</v>
      </c>
      <c r="F5159" s="1" t="s">
        <v>18415</v>
      </c>
      <c r="G5159" s="1" t="s">
        <v>18416</v>
      </c>
      <c r="H5159" s="1" t="s">
        <v>3604</v>
      </c>
      <c r="I5159" s="1" t="s">
        <v>18417</v>
      </c>
      <c r="J5159" s="1" t="s">
        <v>3606</v>
      </c>
      <c r="K5159" s="1" t="s">
        <v>18418</v>
      </c>
      <c r="L5159" s="1"/>
      <c r="M5159" s="1"/>
    </row>
    <row x14ac:dyDescent="0.25" r="5160" customHeight="1" ht="18.75">
      <c r="A5160" s="1" t="s">
        <v>3598</v>
      </c>
      <c r="B5160" s="1" t="s">
        <v>8572</v>
      </c>
      <c r="C5160" s="1" t="s">
        <v>3600</v>
      </c>
      <c r="D5160" s="1" t="s">
        <v>3601</v>
      </c>
      <c r="E5160" s="1" t="s">
        <v>3893</v>
      </c>
      <c r="F5160" s="1" t="s">
        <v>18419</v>
      </c>
      <c r="G5160" s="1" t="s">
        <v>8604</v>
      </c>
      <c r="H5160" s="1" t="s">
        <v>3604</v>
      </c>
      <c r="I5160" s="1" t="s">
        <v>18420</v>
      </c>
      <c r="J5160" s="1" t="s">
        <v>3606</v>
      </c>
      <c r="K5160" s="1" t="s">
        <v>18421</v>
      </c>
      <c r="L5160" s="1"/>
      <c r="M5160" s="1"/>
    </row>
    <row x14ac:dyDescent="0.25" r="5161" customHeight="1" ht="18.75">
      <c r="A5161" s="1" t="s">
        <v>3693</v>
      </c>
      <c r="B5161" s="1" t="s">
        <v>4091</v>
      </c>
      <c r="C5161" s="1" t="s">
        <v>3600</v>
      </c>
      <c r="D5161" s="1" t="s">
        <v>3601</v>
      </c>
      <c r="E5161" s="1" t="s">
        <v>3893</v>
      </c>
      <c r="F5161" s="1" t="s">
        <v>18422</v>
      </c>
      <c r="G5161" s="1" t="s">
        <v>4099</v>
      </c>
      <c r="H5161" s="1" t="s">
        <v>3604</v>
      </c>
      <c r="I5161" s="1" t="s">
        <v>18423</v>
      </c>
      <c r="J5161" s="1" t="s">
        <v>3615</v>
      </c>
      <c r="K5161" s="1" t="s">
        <v>18424</v>
      </c>
      <c r="L5161" s="1"/>
      <c r="M5161" s="1"/>
    </row>
    <row x14ac:dyDescent="0.25" r="5162" customHeight="1" ht="18.75">
      <c r="A5162" s="1" t="s">
        <v>3693</v>
      </c>
      <c r="B5162" s="1" t="s">
        <v>4091</v>
      </c>
      <c r="C5162" s="1" t="s">
        <v>3600</v>
      </c>
      <c r="D5162" s="1" t="s">
        <v>3601</v>
      </c>
      <c r="E5162" s="1" t="s">
        <v>3893</v>
      </c>
      <c r="F5162" s="1" t="s">
        <v>18425</v>
      </c>
      <c r="G5162" s="1" t="s">
        <v>4099</v>
      </c>
      <c r="H5162" s="1" t="s">
        <v>3604</v>
      </c>
      <c r="I5162" s="1" t="s">
        <v>18426</v>
      </c>
      <c r="J5162" s="1" t="s">
        <v>3615</v>
      </c>
      <c r="K5162" s="1" t="s">
        <v>18424</v>
      </c>
      <c r="L5162" s="1"/>
      <c r="M5162" s="1"/>
    </row>
    <row x14ac:dyDescent="0.25" r="5163" customHeight="1" ht="18.75">
      <c r="A5163" s="1" t="s">
        <v>3693</v>
      </c>
      <c r="B5163" s="1" t="s">
        <v>4091</v>
      </c>
      <c r="C5163" s="1" t="s">
        <v>3600</v>
      </c>
      <c r="D5163" s="1" t="s">
        <v>3601</v>
      </c>
      <c r="E5163" s="1" t="s">
        <v>3893</v>
      </c>
      <c r="F5163" s="1" t="s">
        <v>18427</v>
      </c>
      <c r="G5163" s="1" t="s">
        <v>4515</v>
      </c>
      <c r="H5163" s="1" t="s">
        <v>3604</v>
      </c>
      <c r="I5163" s="1" t="s">
        <v>18428</v>
      </c>
      <c r="J5163" s="1" t="s">
        <v>3615</v>
      </c>
      <c r="K5163" s="1" t="s">
        <v>18424</v>
      </c>
      <c r="L5163" s="1"/>
      <c r="M5163" s="1"/>
    </row>
    <row x14ac:dyDescent="0.25" r="5164" customHeight="1" ht="18.75">
      <c r="A5164" s="1" t="s">
        <v>3693</v>
      </c>
      <c r="B5164" s="1" t="s">
        <v>4267</v>
      </c>
      <c r="C5164" s="1" t="s">
        <v>3600</v>
      </c>
      <c r="D5164" s="1" t="s">
        <v>10609</v>
      </c>
      <c r="E5164" s="1" t="s">
        <v>3893</v>
      </c>
      <c r="F5164" s="1" t="s">
        <v>18429</v>
      </c>
      <c r="G5164" s="1" t="s">
        <v>4268</v>
      </c>
      <c r="H5164" s="1" t="s">
        <v>3604</v>
      </c>
      <c r="I5164" s="1" t="s">
        <v>18430</v>
      </c>
      <c r="J5164" s="1" t="s">
        <v>3615</v>
      </c>
      <c r="K5164" s="1" t="s">
        <v>18424</v>
      </c>
      <c r="L5164" s="1"/>
      <c r="M5164" s="1"/>
    </row>
    <row x14ac:dyDescent="0.25" r="5165" customHeight="1" ht="18.75">
      <c r="A5165" s="1" t="s">
        <v>3693</v>
      </c>
      <c r="B5165" s="1" t="s">
        <v>4192</v>
      </c>
      <c r="C5165" s="1" t="s">
        <v>3600</v>
      </c>
      <c r="D5165" s="1" t="s">
        <v>10609</v>
      </c>
      <c r="E5165" s="1" t="s">
        <v>3893</v>
      </c>
      <c r="F5165" s="1" t="s">
        <v>18431</v>
      </c>
      <c r="G5165" s="1" t="s">
        <v>4194</v>
      </c>
      <c r="H5165" s="1" t="s">
        <v>3604</v>
      </c>
      <c r="I5165" s="1" t="s">
        <v>18432</v>
      </c>
      <c r="J5165" s="1" t="s">
        <v>3615</v>
      </c>
      <c r="K5165" s="1" t="s">
        <v>18424</v>
      </c>
      <c r="L5165" s="1"/>
      <c r="M5165" s="1"/>
    </row>
    <row x14ac:dyDescent="0.25" r="5166" customHeight="1" ht="18.75">
      <c r="A5166" s="1" t="s">
        <v>3693</v>
      </c>
      <c r="B5166" s="1" t="s">
        <v>4091</v>
      </c>
      <c r="C5166" s="1" t="s">
        <v>3600</v>
      </c>
      <c r="D5166" s="1" t="s">
        <v>10609</v>
      </c>
      <c r="E5166" s="1" t="s">
        <v>3893</v>
      </c>
      <c r="F5166" s="1" t="s">
        <v>18433</v>
      </c>
      <c r="G5166" s="1" t="s">
        <v>4099</v>
      </c>
      <c r="H5166" s="1" t="s">
        <v>3604</v>
      </c>
      <c r="I5166" s="1" t="s">
        <v>18434</v>
      </c>
      <c r="J5166" s="1" t="s">
        <v>3615</v>
      </c>
      <c r="K5166" s="1" t="s">
        <v>18424</v>
      </c>
      <c r="L5166" s="1"/>
      <c r="M5166" s="1"/>
    </row>
    <row x14ac:dyDescent="0.25" r="5167" customHeight="1" ht="18.75">
      <c r="A5167" s="1" t="s">
        <v>3693</v>
      </c>
      <c r="B5167" s="1" t="s">
        <v>4247</v>
      </c>
      <c r="C5167" s="1" t="s">
        <v>3600</v>
      </c>
      <c r="D5167" s="1" t="s">
        <v>10609</v>
      </c>
      <c r="E5167" s="1" t="s">
        <v>3893</v>
      </c>
      <c r="F5167" s="1" t="s">
        <v>18435</v>
      </c>
      <c r="G5167" s="1" t="s">
        <v>4249</v>
      </c>
      <c r="H5167" s="1" t="s">
        <v>3604</v>
      </c>
      <c r="I5167" s="1" t="s">
        <v>18436</v>
      </c>
      <c r="J5167" s="1" t="s">
        <v>3615</v>
      </c>
      <c r="K5167" s="1" t="s">
        <v>18424</v>
      </c>
      <c r="L5167" s="1"/>
      <c r="M5167" s="1"/>
    </row>
    <row x14ac:dyDescent="0.25" r="5168" customHeight="1" ht="18.75">
      <c r="A5168" s="1" t="s">
        <v>7833</v>
      </c>
      <c r="B5168" s="1" t="s">
        <v>8291</v>
      </c>
      <c r="C5168" s="1" t="s">
        <v>4488</v>
      </c>
      <c r="D5168" s="1" t="s">
        <v>3601</v>
      </c>
      <c r="E5168" s="1" t="s">
        <v>8096</v>
      </c>
      <c r="F5168" s="1" t="s">
        <v>18437</v>
      </c>
      <c r="G5168" s="1" t="s">
        <v>8299</v>
      </c>
      <c r="H5168" s="1" t="s">
        <v>3604</v>
      </c>
      <c r="I5168" s="1" t="s">
        <v>18438</v>
      </c>
      <c r="J5168" s="1" t="s">
        <v>3606</v>
      </c>
      <c r="K5168" s="1" t="s">
        <v>9194</v>
      </c>
      <c r="L5168" s="1"/>
      <c r="M5168" s="1"/>
    </row>
    <row x14ac:dyDescent="0.25" r="5169" customHeight="1" ht="18.75">
      <c r="A5169" s="1" t="s">
        <v>7833</v>
      </c>
      <c r="B5169" s="1" t="s">
        <v>8291</v>
      </c>
      <c r="C5169" s="1" t="s">
        <v>4488</v>
      </c>
      <c r="D5169" s="1" t="s">
        <v>3601</v>
      </c>
      <c r="E5169" s="1" t="s">
        <v>3664</v>
      </c>
      <c r="F5169" s="1" t="s">
        <v>18439</v>
      </c>
      <c r="G5169" s="1" t="s">
        <v>8299</v>
      </c>
      <c r="H5169" s="1" t="s">
        <v>3604</v>
      </c>
      <c r="I5169" s="1" t="s">
        <v>18440</v>
      </c>
      <c r="J5169" s="1" t="s">
        <v>3606</v>
      </c>
      <c r="K5169" s="1" t="s">
        <v>18441</v>
      </c>
      <c r="L5169" s="1"/>
      <c r="M5169" s="1"/>
    </row>
    <row x14ac:dyDescent="0.25" r="5170" customHeight="1" ht="18.75">
      <c r="A5170" s="1" t="s">
        <v>3598</v>
      </c>
      <c r="B5170" s="1" t="s">
        <v>9582</v>
      </c>
      <c r="C5170" s="1" t="s">
        <v>3600</v>
      </c>
      <c r="D5170" s="1" t="s">
        <v>3601</v>
      </c>
      <c r="E5170" s="1" t="s">
        <v>3664</v>
      </c>
      <c r="F5170" s="1" t="s">
        <v>18442</v>
      </c>
      <c r="G5170" s="1" t="s">
        <v>6471</v>
      </c>
      <c r="H5170" s="1" t="s">
        <v>3604</v>
      </c>
      <c r="I5170" s="1" t="s">
        <v>18443</v>
      </c>
      <c r="J5170" s="1" t="s">
        <v>3606</v>
      </c>
      <c r="K5170" s="1" t="s">
        <v>18444</v>
      </c>
      <c r="L5170" s="1"/>
      <c r="M5170" s="1"/>
    </row>
    <row x14ac:dyDescent="0.25" r="5171" customHeight="1" ht="18.75">
      <c r="A5171" s="1" t="s">
        <v>3598</v>
      </c>
      <c r="B5171" s="1" t="s">
        <v>5252</v>
      </c>
      <c r="C5171" s="1" t="s">
        <v>3600</v>
      </c>
      <c r="D5171" s="1" t="s">
        <v>3601</v>
      </c>
      <c r="E5171" s="1" t="s">
        <v>3664</v>
      </c>
      <c r="F5171" s="1" t="s">
        <v>18445</v>
      </c>
      <c r="G5171" s="1" t="s">
        <v>18412</v>
      </c>
      <c r="H5171" s="1" t="s">
        <v>3604</v>
      </c>
      <c r="I5171" s="1" t="s">
        <v>18446</v>
      </c>
      <c r="J5171" s="1" t="s">
        <v>3606</v>
      </c>
      <c r="K5171" s="1" t="s">
        <v>18447</v>
      </c>
      <c r="L5171" s="1"/>
      <c r="M5171" s="1"/>
    </row>
    <row x14ac:dyDescent="0.25" r="5172" customHeight="1" ht="18.75">
      <c r="A5172" s="1" t="s">
        <v>3598</v>
      </c>
      <c r="B5172" s="1" t="s">
        <v>5252</v>
      </c>
      <c r="C5172" s="1" t="s">
        <v>3600</v>
      </c>
      <c r="D5172" s="1" t="s">
        <v>3601</v>
      </c>
      <c r="E5172" s="1" t="s">
        <v>3664</v>
      </c>
      <c r="F5172" s="1" t="s">
        <v>18448</v>
      </c>
      <c r="G5172" s="1" t="s">
        <v>18416</v>
      </c>
      <c r="H5172" s="1" t="s">
        <v>3604</v>
      </c>
      <c r="I5172" s="1" t="s">
        <v>18449</v>
      </c>
      <c r="J5172" s="1" t="s">
        <v>3606</v>
      </c>
      <c r="K5172" s="1" t="s">
        <v>18450</v>
      </c>
      <c r="L5172" s="1"/>
      <c r="M5172" s="1"/>
    </row>
    <row x14ac:dyDescent="0.25" r="5173" customHeight="1" ht="18.75">
      <c r="A5173" s="1" t="s">
        <v>3598</v>
      </c>
      <c r="B5173" s="1" t="s">
        <v>5252</v>
      </c>
      <c r="C5173" s="1" t="s">
        <v>3600</v>
      </c>
      <c r="D5173" s="1" t="s">
        <v>3601</v>
      </c>
      <c r="E5173" s="1" t="s">
        <v>3664</v>
      </c>
      <c r="F5173" s="1" t="s">
        <v>18451</v>
      </c>
      <c r="G5173" s="1" t="s">
        <v>18452</v>
      </c>
      <c r="H5173" s="1" t="s">
        <v>3604</v>
      </c>
      <c r="I5173" s="1" t="s">
        <v>18453</v>
      </c>
      <c r="J5173" s="1" t="s">
        <v>3606</v>
      </c>
      <c r="K5173" s="1" t="s">
        <v>18454</v>
      </c>
      <c r="L5173" s="1"/>
      <c r="M5173" s="1"/>
    </row>
    <row x14ac:dyDescent="0.25" r="5174" customHeight="1" ht="18.75">
      <c r="A5174" s="1" t="s">
        <v>3598</v>
      </c>
      <c r="B5174" s="1" t="s">
        <v>5252</v>
      </c>
      <c r="C5174" s="1" t="s">
        <v>3600</v>
      </c>
      <c r="D5174" s="1" t="s">
        <v>3601</v>
      </c>
      <c r="E5174" s="1" t="s">
        <v>3664</v>
      </c>
      <c r="F5174" s="1" t="s">
        <v>18455</v>
      </c>
      <c r="G5174" s="1" t="s">
        <v>18400</v>
      </c>
      <c r="H5174" s="1" t="s">
        <v>3604</v>
      </c>
      <c r="I5174" s="1" t="s">
        <v>18456</v>
      </c>
      <c r="J5174" s="1" t="s">
        <v>3606</v>
      </c>
      <c r="K5174" s="1" t="s">
        <v>18457</v>
      </c>
      <c r="L5174" s="1"/>
      <c r="M5174" s="1"/>
    </row>
    <row x14ac:dyDescent="0.25" r="5175" customHeight="1" ht="18.75">
      <c r="A5175" s="1" t="s">
        <v>3598</v>
      </c>
      <c r="B5175" s="1" t="s">
        <v>5252</v>
      </c>
      <c r="C5175" s="1" t="s">
        <v>3600</v>
      </c>
      <c r="D5175" s="1" t="s">
        <v>3601</v>
      </c>
      <c r="E5175" s="1" t="s">
        <v>3664</v>
      </c>
      <c r="F5175" s="1" t="s">
        <v>18458</v>
      </c>
      <c r="G5175" s="1" t="s">
        <v>18459</v>
      </c>
      <c r="H5175" s="1" t="s">
        <v>3604</v>
      </c>
      <c r="I5175" s="1" t="s">
        <v>18460</v>
      </c>
      <c r="J5175" s="1" t="s">
        <v>3606</v>
      </c>
      <c r="K5175" s="1" t="s">
        <v>18461</v>
      </c>
      <c r="L5175" s="1"/>
      <c r="M5175" s="1"/>
    </row>
    <row x14ac:dyDescent="0.25" r="5176" customHeight="1" ht="18.75">
      <c r="A5176" s="1" t="s">
        <v>3598</v>
      </c>
      <c r="B5176" s="1" t="s">
        <v>4627</v>
      </c>
      <c r="C5176" s="1" t="s">
        <v>3600</v>
      </c>
      <c r="D5176" s="1" t="s">
        <v>3601</v>
      </c>
      <c r="E5176" s="1" t="s">
        <v>3664</v>
      </c>
      <c r="F5176" s="1" t="s">
        <v>18462</v>
      </c>
      <c r="G5176" s="1" t="s">
        <v>18463</v>
      </c>
      <c r="H5176" s="1" t="s">
        <v>3604</v>
      </c>
      <c r="I5176" s="1" t="s">
        <v>18464</v>
      </c>
      <c r="J5176" s="1" t="s">
        <v>3606</v>
      </c>
      <c r="K5176" s="1" t="s">
        <v>18465</v>
      </c>
      <c r="L5176" s="1"/>
      <c r="M5176" s="1"/>
    </row>
    <row x14ac:dyDescent="0.25" r="5177" customHeight="1" ht="18.75">
      <c r="A5177" s="1" t="s">
        <v>3598</v>
      </c>
      <c r="B5177" s="1" t="s">
        <v>18466</v>
      </c>
      <c r="C5177" s="1" t="s">
        <v>3600</v>
      </c>
      <c r="D5177" s="1" t="s">
        <v>7994</v>
      </c>
      <c r="E5177" s="1" t="s">
        <v>3893</v>
      </c>
      <c r="F5177" s="1" t="s">
        <v>18467</v>
      </c>
      <c r="G5177" s="1" t="s">
        <v>18468</v>
      </c>
      <c r="H5177" s="1" t="s">
        <v>3604</v>
      </c>
      <c r="I5177" s="1" t="s">
        <v>18469</v>
      </c>
      <c r="J5177" s="1" t="s">
        <v>3606</v>
      </c>
      <c r="K5177" s="1" t="s">
        <v>18470</v>
      </c>
      <c r="L5177" s="1"/>
      <c r="M5177" s="1"/>
    </row>
    <row x14ac:dyDescent="0.25" r="5178" customHeight="1" ht="18.75">
      <c r="A5178" s="1" t="s">
        <v>3598</v>
      </c>
      <c r="B5178" s="1" t="s">
        <v>18466</v>
      </c>
      <c r="C5178" s="1" t="s">
        <v>3600</v>
      </c>
      <c r="D5178" s="1" t="s">
        <v>7994</v>
      </c>
      <c r="E5178" s="1" t="s">
        <v>3893</v>
      </c>
      <c r="F5178" s="1" t="s">
        <v>18471</v>
      </c>
      <c r="G5178" s="1" t="s">
        <v>18472</v>
      </c>
      <c r="H5178" s="1" t="s">
        <v>3604</v>
      </c>
      <c r="I5178" s="1" t="s">
        <v>18473</v>
      </c>
      <c r="J5178" s="1" t="s">
        <v>3606</v>
      </c>
      <c r="K5178" s="1" t="s">
        <v>18474</v>
      </c>
      <c r="L5178" s="1"/>
      <c r="M5178" s="1"/>
    </row>
    <row x14ac:dyDescent="0.25" r="5179" customHeight="1" ht="18.75">
      <c r="A5179" s="1" t="s">
        <v>3598</v>
      </c>
      <c r="B5179" s="1" t="s">
        <v>18475</v>
      </c>
      <c r="C5179" s="1" t="s">
        <v>3600</v>
      </c>
      <c r="D5179" s="1" t="s">
        <v>7994</v>
      </c>
      <c r="E5179" s="1" t="s">
        <v>3664</v>
      </c>
      <c r="F5179" s="1" t="s">
        <v>18476</v>
      </c>
      <c r="G5179" s="1" t="s">
        <v>18477</v>
      </c>
      <c r="H5179" s="1" t="s">
        <v>3604</v>
      </c>
      <c r="I5179" s="1" t="s">
        <v>18478</v>
      </c>
      <c r="J5179" s="1" t="s">
        <v>3606</v>
      </c>
      <c r="K5179" s="1" t="s">
        <v>18479</v>
      </c>
      <c r="L5179" s="1"/>
      <c r="M5179" s="1"/>
    </row>
    <row x14ac:dyDescent="0.25" r="5180" customHeight="1" ht="18.75">
      <c r="A5180" s="1" t="s">
        <v>3598</v>
      </c>
      <c r="B5180" s="1" t="s">
        <v>18480</v>
      </c>
      <c r="C5180" s="1" t="s">
        <v>3600</v>
      </c>
      <c r="D5180" s="1" t="s">
        <v>7994</v>
      </c>
      <c r="E5180" s="1" t="s">
        <v>3664</v>
      </c>
      <c r="F5180" s="1" t="s">
        <v>18481</v>
      </c>
      <c r="G5180" s="1" t="s">
        <v>18482</v>
      </c>
      <c r="H5180" s="1" t="s">
        <v>3604</v>
      </c>
      <c r="I5180" s="1" t="s">
        <v>18483</v>
      </c>
      <c r="J5180" s="1" t="s">
        <v>3606</v>
      </c>
      <c r="K5180" s="1" t="s">
        <v>18484</v>
      </c>
      <c r="L5180" s="1"/>
      <c r="M5180" s="1"/>
    </row>
    <row x14ac:dyDescent="0.25" r="5181" customHeight="1" ht="18.75">
      <c r="A5181" s="1" t="s">
        <v>3598</v>
      </c>
      <c r="B5181" s="1" t="s">
        <v>18485</v>
      </c>
      <c r="C5181" s="1" t="s">
        <v>3600</v>
      </c>
      <c r="D5181" s="1" t="s">
        <v>7994</v>
      </c>
      <c r="E5181" s="1" t="s">
        <v>3664</v>
      </c>
      <c r="F5181" s="1" t="s">
        <v>18486</v>
      </c>
      <c r="G5181" s="1" t="s">
        <v>18487</v>
      </c>
      <c r="H5181" s="1" t="s">
        <v>3604</v>
      </c>
      <c r="I5181" s="1" t="s">
        <v>18488</v>
      </c>
      <c r="J5181" s="1" t="s">
        <v>3606</v>
      </c>
      <c r="K5181" s="1" t="s">
        <v>18489</v>
      </c>
      <c r="L5181" s="1"/>
      <c r="M5181" s="1"/>
    </row>
    <row x14ac:dyDescent="0.25" r="5182" customHeight="1" ht="18.75">
      <c r="A5182" s="1" t="s">
        <v>3598</v>
      </c>
      <c r="B5182" s="1" t="s">
        <v>18490</v>
      </c>
      <c r="C5182" s="1" t="s">
        <v>3600</v>
      </c>
      <c r="D5182" s="1" t="s">
        <v>7994</v>
      </c>
      <c r="E5182" s="1" t="s">
        <v>3664</v>
      </c>
      <c r="F5182" s="1" t="s">
        <v>18491</v>
      </c>
      <c r="G5182" s="1" t="s">
        <v>18246</v>
      </c>
      <c r="H5182" s="1" t="s">
        <v>3604</v>
      </c>
      <c r="I5182" s="1" t="s">
        <v>18492</v>
      </c>
      <c r="J5182" s="1" t="s">
        <v>3606</v>
      </c>
      <c r="K5182" s="1" t="s">
        <v>18493</v>
      </c>
      <c r="L5182" s="1"/>
      <c r="M5182" s="1"/>
    </row>
    <row x14ac:dyDescent="0.25" r="5183" customHeight="1" ht="18.75">
      <c r="A5183" s="1" t="s">
        <v>3598</v>
      </c>
      <c r="B5183" s="1" t="s">
        <v>16068</v>
      </c>
      <c r="C5183" s="1" t="s">
        <v>3600</v>
      </c>
      <c r="D5183" s="1" t="s">
        <v>7994</v>
      </c>
      <c r="E5183" s="1" t="s">
        <v>3664</v>
      </c>
      <c r="F5183" s="1" t="s">
        <v>18494</v>
      </c>
      <c r="G5183" s="1" t="s">
        <v>6471</v>
      </c>
      <c r="H5183" s="1" t="s">
        <v>3604</v>
      </c>
      <c r="I5183" s="1" t="s">
        <v>18495</v>
      </c>
      <c r="J5183" s="1" t="s">
        <v>3606</v>
      </c>
      <c r="K5183" s="1" t="s">
        <v>18496</v>
      </c>
      <c r="L5183" s="1"/>
      <c r="M5183" s="1"/>
    </row>
    <row x14ac:dyDescent="0.25" r="5184" customHeight="1" ht="18.75">
      <c r="A5184" s="1" t="s">
        <v>7833</v>
      </c>
      <c r="B5184" s="1" t="s">
        <v>8269</v>
      </c>
      <c r="C5184" s="1" t="s">
        <v>4488</v>
      </c>
      <c r="D5184" s="1" t="s">
        <v>3601</v>
      </c>
      <c r="E5184" s="1" t="s">
        <v>8096</v>
      </c>
      <c r="F5184" s="1" t="s">
        <v>18497</v>
      </c>
      <c r="G5184" s="1" t="s">
        <v>14824</v>
      </c>
      <c r="H5184" s="1" t="s">
        <v>3604</v>
      </c>
      <c r="I5184" s="1" t="s">
        <v>18498</v>
      </c>
      <c r="J5184" s="1" t="s">
        <v>3606</v>
      </c>
      <c r="K5184" s="1" t="s">
        <v>9194</v>
      </c>
      <c r="L5184" s="1"/>
      <c r="M5184" s="1"/>
    </row>
    <row x14ac:dyDescent="0.25" r="5185" customHeight="1" ht="18.75">
      <c r="A5185" s="1" t="s">
        <v>7833</v>
      </c>
      <c r="B5185" s="1" t="s">
        <v>8269</v>
      </c>
      <c r="C5185" s="1" t="s">
        <v>4488</v>
      </c>
      <c r="D5185" s="1" t="s">
        <v>3601</v>
      </c>
      <c r="E5185" s="1" t="s">
        <v>3664</v>
      </c>
      <c r="F5185" s="1" t="s">
        <v>18499</v>
      </c>
      <c r="G5185" s="1" t="s">
        <v>14824</v>
      </c>
      <c r="H5185" s="1" t="s">
        <v>3604</v>
      </c>
      <c r="I5185" s="1" t="s">
        <v>18500</v>
      </c>
      <c r="J5185" s="1" t="s">
        <v>3606</v>
      </c>
      <c r="K5185" s="1" t="s">
        <v>18441</v>
      </c>
      <c r="L5185" s="1"/>
      <c r="M5185" s="1"/>
    </row>
    <row x14ac:dyDescent="0.25" r="5186" customHeight="1" ht="18.75">
      <c r="A5186" s="1" t="s">
        <v>3598</v>
      </c>
      <c r="B5186" s="1" t="s">
        <v>15397</v>
      </c>
      <c r="C5186" s="1" t="s">
        <v>3600</v>
      </c>
      <c r="D5186" s="1"/>
      <c r="E5186" s="1" t="s">
        <v>3752</v>
      </c>
      <c r="F5186" s="1" t="s">
        <v>18501</v>
      </c>
      <c r="G5186" s="1" t="s">
        <v>18502</v>
      </c>
      <c r="H5186" s="1"/>
      <c r="I5186" s="1" t="s">
        <v>18503</v>
      </c>
      <c r="J5186" s="1" t="s">
        <v>3615</v>
      </c>
      <c r="K5186" s="1"/>
      <c r="L5186" s="1"/>
      <c r="M5186" s="1"/>
    </row>
    <row x14ac:dyDescent="0.25" r="5187" customHeight="1" ht="18.75">
      <c r="A5187" s="1" t="s">
        <v>3598</v>
      </c>
      <c r="B5187" s="1" t="s">
        <v>3751</v>
      </c>
      <c r="C5187" s="1" t="s">
        <v>3600</v>
      </c>
      <c r="D5187" s="1"/>
      <c r="E5187" s="1" t="s">
        <v>3752</v>
      </c>
      <c r="F5187" s="1" t="s">
        <v>18504</v>
      </c>
      <c r="G5187" s="1" t="s">
        <v>18505</v>
      </c>
      <c r="H5187" s="1"/>
      <c r="I5187" s="1" t="s">
        <v>18506</v>
      </c>
      <c r="J5187" s="1" t="s">
        <v>3615</v>
      </c>
      <c r="K5187" s="1"/>
      <c r="L5187" s="1"/>
      <c r="M5187" s="1"/>
    </row>
    <row x14ac:dyDescent="0.25" r="5188" customHeight="1" ht="18.75">
      <c r="A5188" s="1" t="s">
        <v>3598</v>
      </c>
      <c r="B5188" s="1" t="s">
        <v>3751</v>
      </c>
      <c r="C5188" s="1" t="s">
        <v>3600</v>
      </c>
      <c r="D5188" s="1"/>
      <c r="E5188" s="1" t="s">
        <v>3752</v>
      </c>
      <c r="F5188" s="1" t="s">
        <v>18507</v>
      </c>
      <c r="G5188" s="1" t="s">
        <v>18508</v>
      </c>
      <c r="H5188" s="1"/>
      <c r="I5188" s="1" t="s">
        <v>18509</v>
      </c>
      <c r="J5188" s="1" t="s">
        <v>3606</v>
      </c>
      <c r="K5188" s="1"/>
      <c r="L5188" s="1"/>
      <c r="M5188" s="1"/>
    </row>
    <row x14ac:dyDescent="0.25" r="5189" customHeight="1" ht="18.75">
      <c r="A5189" s="1" t="s">
        <v>3598</v>
      </c>
      <c r="B5189" s="1" t="s">
        <v>18510</v>
      </c>
      <c r="C5189" s="1" t="s">
        <v>3600</v>
      </c>
      <c r="D5189" s="1"/>
      <c r="E5189" s="1" t="s">
        <v>3752</v>
      </c>
      <c r="F5189" s="1" t="s">
        <v>18511</v>
      </c>
      <c r="G5189" s="1" t="s">
        <v>18512</v>
      </c>
      <c r="H5189" s="1"/>
      <c r="I5189" s="1" t="s">
        <v>18513</v>
      </c>
      <c r="J5189" s="1" t="s">
        <v>3606</v>
      </c>
      <c r="K5189" s="1"/>
      <c r="L5189" s="1"/>
      <c r="M5189" s="1"/>
    </row>
    <row x14ac:dyDescent="0.25" r="5190" customHeight="1" ht="18.75">
      <c r="A5190" s="1" t="s">
        <v>3598</v>
      </c>
      <c r="B5190" s="1" t="s">
        <v>18514</v>
      </c>
      <c r="C5190" s="1" t="s">
        <v>3600</v>
      </c>
      <c r="D5190" s="1"/>
      <c r="E5190" s="1" t="s">
        <v>3752</v>
      </c>
      <c r="F5190" s="1" t="s">
        <v>18515</v>
      </c>
      <c r="G5190" s="1" t="s">
        <v>18516</v>
      </c>
      <c r="H5190" s="1"/>
      <c r="I5190" s="1" t="s">
        <v>18517</v>
      </c>
      <c r="J5190" s="1" t="s">
        <v>3606</v>
      </c>
      <c r="K5190" s="1"/>
      <c r="L5190" s="1"/>
      <c r="M5190" s="1"/>
    </row>
    <row x14ac:dyDescent="0.25" r="5191" customHeight="1" ht="18.75">
      <c r="A5191" s="1" t="s">
        <v>3598</v>
      </c>
      <c r="B5191" s="1" t="s">
        <v>18514</v>
      </c>
      <c r="C5191" s="1" t="s">
        <v>3600</v>
      </c>
      <c r="D5191" s="1"/>
      <c r="E5191" s="1" t="s">
        <v>3752</v>
      </c>
      <c r="F5191" s="1" t="s">
        <v>18518</v>
      </c>
      <c r="G5191" s="1" t="s">
        <v>18519</v>
      </c>
      <c r="H5191" s="1"/>
      <c r="I5191" s="1" t="s">
        <v>18520</v>
      </c>
      <c r="J5191" s="1" t="s">
        <v>3606</v>
      </c>
      <c r="K5191" s="1"/>
      <c r="L5191" s="1"/>
      <c r="M5191" s="1"/>
    </row>
    <row x14ac:dyDescent="0.25" r="5192" customHeight="1" ht="18.75">
      <c r="A5192" s="1" t="s">
        <v>3598</v>
      </c>
      <c r="B5192" s="1" t="s">
        <v>14025</v>
      </c>
      <c r="C5192" s="1" t="s">
        <v>3600</v>
      </c>
      <c r="D5192" s="1"/>
      <c r="E5192" s="1" t="s">
        <v>3752</v>
      </c>
      <c r="F5192" s="1" t="s">
        <v>18521</v>
      </c>
      <c r="G5192" s="1" t="s">
        <v>18522</v>
      </c>
      <c r="H5192" s="1"/>
      <c r="I5192" s="1" t="s">
        <v>18523</v>
      </c>
      <c r="J5192" s="1" t="s">
        <v>3606</v>
      </c>
      <c r="K5192" s="1"/>
      <c r="L5192" s="1"/>
      <c r="M5192" s="1"/>
    </row>
    <row x14ac:dyDescent="0.25" r="5193" customHeight="1" ht="18.75">
      <c r="A5193" s="1" t="s">
        <v>3598</v>
      </c>
      <c r="B5193" s="1" t="s">
        <v>14025</v>
      </c>
      <c r="C5193" s="1" t="s">
        <v>3600</v>
      </c>
      <c r="D5193" s="1"/>
      <c r="E5193" s="1" t="s">
        <v>3752</v>
      </c>
      <c r="F5193" s="1" t="s">
        <v>18524</v>
      </c>
      <c r="G5193" s="1" t="s">
        <v>18525</v>
      </c>
      <c r="H5193" s="1"/>
      <c r="I5193" s="1" t="s">
        <v>18526</v>
      </c>
      <c r="J5193" s="1" t="s">
        <v>3606</v>
      </c>
      <c r="K5193" s="1"/>
      <c r="L5193" s="1"/>
      <c r="M5193" s="1"/>
    </row>
    <row x14ac:dyDescent="0.25" r="5194" customHeight="1" ht="18.75">
      <c r="A5194" s="1" t="s">
        <v>3598</v>
      </c>
      <c r="B5194" s="1" t="s">
        <v>14025</v>
      </c>
      <c r="C5194" s="1" t="s">
        <v>3600</v>
      </c>
      <c r="D5194" s="1"/>
      <c r="E5194" s="1" t="s">
        <v>3752</v>
      </c>
      <c r="F5194" s="1" t="s">
        <v>18527</v>
      </c>
      <c r="G5194" s="1" t="s">
        <v>18528</v>
      </c>
      <c r="H5194" s="1"/>
      <c r="I5194" s="1" t="s">
        <v>18529</v>
      </c>
      <c r="J5194" s="1" t="s">
        <v>3606</v>
      </c>
      <c r="K5194" s="1"/>
      <c r="L5194" s="1"/>
      <c r="M5194" s="1"/>
    </row>
    <row x14ac:dyDescent="0.25" r="5195" customHeight="1" ht="18.75">
      <c r="A5195" s="1" t="s">
        <v>3598</v>
      </c>
      <c r="B5195" s="1" t="s">
        <v>18530</v>
      </c>
      <c r="C5195" s="1" t="s">
        <v>3600</v>
      </c>
      <c r="D5195" s="1"/>
      <c r="E5195" s="1" t="s">
        <v>3752</v>
      </c>
      <c r="F5195" s="1" t="s">
        <v>18531</v>
      </c>
      <c r="G5195" s="1" t="s">
        <v>18532</v>
      </c>
      <c r="H5195" s="1"/>
      <c r="I5195" s="1" t="s">
        <v>18533</v>
      </c>
      <c r="J5195" s="1" t="s">
        <v>3606</v>
      </c>
      <c r="K5195" s="1"/>
      <c r="L5195" s="1"/>
      <c r="M5195" s="1"/>
    </row>
    <row x14ac:dyDescent="0.25" r="5196" customHeight="1" ht="18.75">
      <c r="A5196" s="1" t="s">
        <v>3598</v>
      </c>
      <c r="B5196" s="1" t="s">
        <v>14054</v>
      </c>
      <c r="C5196" s="1" t="s">
        <v>3600</v>
      </c>
      <c r="D5196" s="1"/>
      <c r="E5196" s="1" t="s">
        <v>3752</v>
      </c>
      <c r="F5196" s="1" t="s">
        <v>18534</v>
      </c>
      <c r="G5196" s="1" t="s">
        <v>18535</v>
      </c>
      <c r="H5196" s="1"/>
      <c r="I5196" s="1" t="s">
        <v>18536</v>
      </c>
      <c r="J5196" s="1" t="s">
        <v>3606</v>
      </c>
      <c r="K5196" s="1"/>
      <c r="L5196" s="1"/>
      <c r="M5196" s="1"/>
    </row>
    <row x14ac:dyDescent="0.25" r="5197" customHeight="1" ht="18.75">
      <c r="A5197" s="1" t="s">
        <v>3598</v>
      </c>
      <c r="B5197" s="1" t="s">
        <v>18043</v>
      </c>
      <c r="C5197" s="1" t="s">
        <v>3600</v>
      </c>
      <c r="D5197" s="1" t="s">
        <v>10630</v>
      </c>
      <c r="E5197" s="1" t="s">
        <v>3752</v>
      </c>
      <c r="F5197" s="1" t="s">
        <v>18537</v>
      </c>
      <c r="G5197" s="1" t="s">
        <v>18538</v>
      </c>
      <c r="H5197" s="1" t="s">
        <v>3604</v>
      </c>
      <c r="I5197" s="1" t="s">
        <v>18539</v>
      </c>
      <c r="J5197" s="1" t="s">
        <v>3615</v>
      </c>
      <c r="K5197" s="1" t="s">
        <v>18540</v>
      </c>
      <c r="L5197" s="1" t="s">
        <v>14049</v>
      </c>
      <c r="M5197" s="1"/>
    </row>
    <row x14ac:dyDescent="0.25" r="5198" customHeight="1" ht="18.75">
      <c r="A5198" s="1" t="s">
        <v>7833</v>
      </c>
      <c r="B5198" s="1" t="s">
        <v>16395</v>
      </c>
      <c r="C5198" s="1" t="s">
        <v>4488</v>
      </c>
      <c r="D5198" s="1" t="s">
        <v>3601</v>
      </c>
      <c r="E5198" s="1" t="s">
        <v>3664</v>
      </c>
      <c r="F5198" s="1" t="s">
        <v>18541</v>
      </c>
      <c r="G5198" s="1" t="s">
        <v>16396</v>
      </c>
      <c r="H5198" s="1" t="s">
        <v>3604</v>
      </c>
      <c r="I5198" s="1" t="s">
        <v>18542</v>
      </c>
      <c r="J5198" s="1" t="s">
        <v>3606</v>
      </c>
      <c r="K5198" s="1"/>
      <c r="L5198" s="1"/>
      <c r="M5198" s="1"/>
    </row>
    <row x14ac:dyDescent="0.25" r="5199" customHeight="1" ht="18.75">
      <c r="A5199" s="1" t="s">
        <v>7833</v>
      </c>
      <c r="B5199" s="1" t="s">
        <v>18543</v>
      </c>
      <c r="C5199" s="1" t="s">
        <v>4488</v>
      </c>
      <c r="D5199" s="1" t="s">
        <v>3601</v>
      </c>
      <c r="E5199" s="1" t="s">
        <v>3664</v>
      </c>
      <c r="F5199" s="1" t="s">
        <v>1351</v>
      </c>
      <c r="G5199" s="1" t="s">
        <v>14417</v>
      </c>
      <c r="H5199" s="1" t="s">
        <v>3604</v>
      </c>
      <c r="I5199" s="1" t="s">
        <v>18544</v>
      </c>
      <c r="J5199" s="1" t="s">
        <v>3606</v>
      </c>
      <c r="K5199" s="1"/>
      <c r="L5199" s="1"/>
      <c r="M5199" s="1"/>
    </row>
    <row x14ac:dyDescent="0.25" r="5200" customHeight="1" ht="18.75">
      <c r="A5200" s="1" t="s">
        <v>7833</v>
      </c>
      <c r="B5200" s="1" t="s">
        <v>8258</v>
      </c>
      <c r="C5200" s="1" t="s">
        <v>4488</v>
      </c>
      <c r="D5200" s="1" t="s">
        <v>3601</v>
      </c>
      <c r="E5200" s="1" t="s">
        <v>3664</v>
      </c>
      <c r="F5200" s="1" t="s">
        <v>18545</v>
      </c>
      <c r="G5200" s="1" t="s">
        <v>14553</v>
      </c>
      <c r="H5200" s="1" t="s">
        <v>3604</v>
      </c>
      <c r="I5200" s="1" t="s">
        <v>18546</v>
      </c>
      <c r="J5200" s="1" t="s">
        <v>3606</v>
      </c>
      <c r="K5200" s="1"/>
      <c r="L5200" s="1"/>
      <c r="M5200" s="1"/>
    </row>
    <row x14ac:dyDescent="0.25" r="5201" customHeight="1" ht="18.75">
      <c r="A5201" s="1" t="s">
        <v>3693</v>
      </c>
      <c r="B5201" s="1" t="s">
        <v>4267</v>
      </c>
      <c r="C5201" s="1" t="s">
        <v>3600</v>
      </c>
      <c r="D5201" s="1" t="s">
        <v>3610</v>
      </c>
      <c r="E5201" s="1" t="s">
        <v>3664</v>
      </c>
      <c r="F5201" s="1" t="s">
        <v>18547</v>
      </c>
      <c r="G5201" s="1" t="s">
        <v>18548</v>
      </c>
      <c r="H5201" s="1" t="s">
        <v>3604</v>
      </c>
      <c r="I5201" s="1" t="s">
        <v>18549</v>
      </c>
      <c r="J5201" s="1" t="s">
        <v>3615</v>
      </c>
      <c r="K5201" s="1" t="s">
        <v>18550</v>
      </c>
      <c r="L5201" s="1" t="s">
        <v>3616</v>
      </c>
      <c r="M5201" s="1"/>
    </row>
    <row x14ac:dyDescent="0.25" r="5202" customHeight="1" ht="18.75">
      <c r="A5202" s="1" t="s">
        <v>3693</v>
      </c>
      <c r="B5202" s="1" t="s">
        <v>4267</v>
      </c>
      <c r="C5202" s="1" t="s">
        <v>3600</v>
      </c>
      <c r="D5202" s="1" t="s">
        <v>3610</v>
      </c>
      <c r="E5202" s="1" t="s">
        <v>3664</v>
      </c>
      <c r="F5202" s="1" t="s">
        <v>18551</v>
      </c>
      <c r="G5202" s="1" t="s">
        <v>18552</v>
      </c>
      <c r="H5202" s="1" t="s">
        <v>3604</v>
      </c>
      <c r="I5202" s="1" t="s">
        <v>18553</v>
      </c>
      <c r="J5202" s="1" t="s">
        <v>3615</v>
      </c>
      <c r="K5202" s="1" t="s">
        <v>18554</v>
      </c>
      <c r="L5202" s="1" t="s">
        <v>3616</v>
      </c>
      <c r="M5202" s="1"/>
    </row>
    <row x14ac:dyDescent="0.25" r="5203" customHeight="1" ht="18.75">
      <c r="A5203" s="1" t="s">
        <v>3693</v>
      </c>
      <c r="B5203" s="1" t="s">
        <v>6637</v>
      </c>
      <c r="C5203" s="1" t="s">
        <v>3619</v>
      </c>
      <c r="D5203" s="1" t="s">
        <v>3601</v>
      </c>
      <c r="E5203" s="1" t="s">
        <v>17535</v>
      </c>
      <c r="F5203" s="1" t="s">
        <v>18555</v>
      </c>
      <c r="G5203" s="1" t="s">
        <v>18556</v>
      </c>
      <c r="H5203" s="1" t="s">
        <v>3604</v>
      </c>
      <c r="I5203" s="1" t="s">
        <v>18557</v>
      </c>
      <c r="J5203" s="1" t="s">
        <v>3606</v>
      </c>
      <c r="K5203" s="1"/>
      <c r="L5203" s="1"/>
      <c r="M5203" s="1"/>
    </row>
    <row x14ac:dyDescent="0.25" r="5204" customHeight="1" ht="18.75">
      <c r="A5204" s="1" t="s">
        <v>3693</v>
      </c>
      <c r="B5204" s="1" t="s">
        <v>3957</v>
      </c>
      <c r="C5204" s="1" t="s">
        <v>3600</v>
      </c>
      <c r="D5204" s="1" t="s">
        <v>533</v>
      </c>
      <c r="E5204" s="1" t="s">
        <v>3752</v>
      </c>
      <c r="F5204" s="1" t="s">
        <v>18558</v>
      </c>
      <c r="G5204" s="1" t="s">
        <v>6096</v>
      </c>
      <c r="H5204" s="1" t="s">
        <v>3604</v>
      </c>
      <c r="I5204" s="1" t="s">
        <v>18559</v>
      </c>
      <c r="J5204" s="1" t="s">
        <v>3615</v>
      </c>
      <c r="K5204" s="1" t="s">
        <v>18560</v>
      </c>
      <c r="L5204" s="1" t="s">
        <v>18561</v>
      </c>
      <c r="M5204" s="1"/>
    </row>
    <row x14ac:dyDescent="0.25" r="5205" customHeight="1" ht="18.75">
      <c r="A5205" s="1" t="s">
        <v>3693</v>
      </c>
      <c r="B5205" s="1" t="s">
        <v>3957</v>
      </c>
      <c r="C5205" s="1" t="s">
        <v>3600</v>
      </c>
      <c r="D5205" s="1" t="s">
        <v>533</v>
      </c>
      <c r="E5205" s="1" t="s">
        <v>3752</v>
      </c>
      <c r="F5205" s="1" t="s">
        <v>18562</v>
      </c>
      <c r="G5205" s="1" t="s">
        <v>18563</v>
      </c>
      <c r="H5205" s="1" t="s">
        <v>3604</v>
      </c>
      <c r="I5205" s="1" t="s">
        <v>18564</v>
      </c>
      <c r="J5205" s="1" t="s">
        <v>3615</v>
      </c>
      <c r="K5205" s="1" t="s">
        <v>18565</v>
      </c>
      <c r="L5205" s="1" t="s">
        <v>18561</v>
      </c>
      <c r="M5205" s="1"/>
    </row>
    <row x14ac:dyDescent="0.25" r="5206" customHeight="1" ht="18.75">
      <c r="A5206" s="1" t="s">
        <v>3693</v>
      </c>
      <c r="B5206" s="1" t="s">
        <v>3957</v>
      </c>
      <c r="C5206" s="1" t="s">
        <v>3600</v>
      </c>
      <c r="D5206" s="1" t="s">
        <v>533</v>
      </c>
      <c r="E5206" s="1" t="s">
        <v>3752</v>
      </c>
      <c r="F5206" s="1" t="s">
        <v>18562</v>
      </c>
      <c r="G5206" s="1" t="s">
        <v>6090</v>
      </c>
      <c r="H5206" s="1" t="s">
        <v>3604</v>
      </c>
      <c r="I5206" s="1" t="s">
        <v>18566</v>
      </c>
      <c r="J5206" s="1" t="s">
        <v>3615</v>
      </c>
      <c r="K5206" s="1" t="s">
        <v>18567</v>
      </c>
      <c r="L5206" s="1" t="s">
        <v>18561</v>
      </c>
      <c r="M5206" s="1"/>
    </row>
    <row x14ac:dyDescent="0.25" r="5207" customHeight="1" ht="18.75">
      <c r="A5207" s="1" t="s">
        <v>3693</v>
      </c>
      <c r="B5207" s="1" t="s">
        <v>3957</v>
      </c>
      <c r="C5207" s="1" t="s">
        <v>3600</v>
      </c>
      <c r="D5207" s="1" t="s">
        <v>533</v>
      </c>
      <c r="E5207" s="1" t="s">
        <v>3752</v>
      </c>
      <c r="F5207" s="1" t="s">
        <v>18562</v>
      </c>
      <c r="G5207" s="1" t="s">
        <v>6084</v>
      </c>
      <c r="H5207" s="1" t="s">
        <v>3604</v>
      </c>
      <c r="I5207" s="1" t="s">
        <v>18568</v>
      </c>
      <c r="J5207" s="1" t="s">
        <v>3615</v>
      </c>
      <c r="K5207" s="1" t="s">
        <v>18569</v>
      </c>
      <c r="L5207" s="1" t="s">
        <v>18561</v>
      </c>
      <c r="M5207" s="1"/>
    </row>
    <row x14ac:dyDescent="0.25" r="5208" customHeight="1" ht="18.75">
      <c r="A5208" s="1" t="s">
        <v>3693</v>
      </c>
      <c r="B5208" s="1" t="s">
        <v>3957</v>
      </c>
      <c r="C5208" s="1" t="s">
        <v>3600</v>
      </c>
      <c r="D5208" s="1" t="s">
        <v>533</v>
      </c>
      <c r="E5208" s="1" t="s">
        <v>3752</v>
      </c>
      <c r="F5208" s="1" t="s">
        <v>18562</v>
      </c>
      <c r="G5208" s="1" t="s">
        <v>18570</v>
      </c>
      <c r="H5208" s="1" t="s">
        <v>3604</v>
      </c>
      <c r="I5208" s="1" t="s">
        <v>18571</v>
      </c>
      <c r="J5208" s="1" t="s">
        <v>3615</v>
      </c>
      <c r="K5208" s="1" t="s">
        <v>18572</v>
      </c>
      <c r="L5208" s="1" t="s">
        <v>18561</v>
      </c>
      <c r="M5208" s="1"/>
    </row>
    <row x14ac:dyDescent="0.25" r="5209" customHeight="1" ht="18.75">
      <c r="A5209" s="1" t="s">
        <v>3693</v>
      </c>
      <c r="B5209" s="1" t="s">
        <v>3957</v>
      </c>
      <c r="C5209" s="1" t="s">
        <v>3600</v>
      </c>
      <c r="D5209" s="1" t="s">
        <v>533</v>
      </c>
      <c r="E5209" s="1" t="s">
        <v>3752</v>
      </c>
      <c r="F5209" s="1" t="s">
        <v>18562</v>
      </c>
      <c r="G5209" s="1" t="s">
        <v>6119</v>
      </c>
      <c r="H5209" s="1" t="s">
        <v>3604</v>
      </c>
      <c r="I5209" s="1" t="s">
        <v>18573</v>
      </c>
      <c r="J5209" s="1" t="s">
        <v>3615</v>
      </c>
      <c r="K5209" s="1" t="s">
        <v>18574</v>
      </c>
      <c r="L5209" s="1" t="s">
        <v>18561</v>
      </c>
      <c r="M5209" s="1"/>
    </row>
    <row x14ac:dyDescent="0.25" r="5210" customHeight="1" ht="18.75">
      <c r="A5210" s="1" t="s">
        <v>3693</v>
      </c>
      <c r="B5210" s="1" t="s">
        <v>3957</v>
      </c>
      <c r="C5210" s="1" t="s">
        <v>3600</v>
      </c>
      <c r="D5210" s="1" t="s">
        <v>533</v>
      </c>
      <c r="E5210" s="1" t="s">
        <v>3752</v>
      </c>
      <c r="F5210" s="1" t="s">
        <v>18562</v>
      </c>
      <c r="G5210" s="1" t="s">
        <v>6111</v>
      </c>
      <c r="H5210" s="1" t="s">
        <v>3604</v>
      </c>
      <c r="I5210" s="1" t="s">
        <v>18575</v>
      </c>
      <c r="J5210" s="1" t="s">
        <v>3615</v>
      </c>
      <c r="K5210" s="1" t="s">
        <v>18576</v>
      </c>
      <c r="L5210" s="1" t="s">
        <v>18561</v>
      </c>
      <c r="M5210" s="1"/>
    </row>
    <row x14ac:dyDescent="0.25" r="5211" customHeight="1" ht="18.75">
      <c r="A5211" s="1" t="s">
        <v>3693</v>
      </c>
      <c r="B5211" s="1" t="s">
        <v>3957</v>
      </c>
      <c r="C5211" s="1" t="s">
        <v>3600</v>
      </c>
      <c r="D5211" s="1" t="s">
        <v>533</v>
      </c>
      <c r="E5211" s="1" t="s">
        <v>3752</v>
      </c>
      <c r="F5211" s="1" t="s">
        <v>18562</v>
      </c>
      <c r="G5211" s="1" t="s">
        <v>6106</v>
      </c>
      <c r="H5211" s="1" t="s">
        <v>3604</v>
      </c>
      <c r="I5211" s="1" t="s">
        <v>18577</v>
      </c>
      <c r="J5211" s="1" t="s">
        <v>3615</v>
      </c>
      <c r="K5211" s="1" t="s">
        <v>18578</v>
      </c>
      <c r="L5211" s="1" t="s">
        <v>18561</v>
      </c>
      <c r="M5211" s="1"/>
    </row>
    <row x14ac:dyDescent="0.25" r="5212" customHeight="1" ht="18.75">
      <c r="A5212" s="1" t="s">
        <v>3693</v>
      </c>
      <c r="B5212" s="1" t="s">
        <v>3957</v>
      </c>
      <c r="C5212" s="1" t="s">
        <v>3600</v>
      </c>
      <c r="D5212" s="1" t="s">
        <v>533</v>
      </c>
      <c r="E5212" s="1" t="s">
        <v>3752</v>
      </c>
      <c r="F5212" s="1" t="s">
        <v>18562</v>
      </c>
      <c r="G5212" s="1" t="s">
        <v>18579</v>
      </c>
      <c r="H5212" s="1" t="s">
        <v>3604</v>
      </c>
      <c r="I5212" s="1" t="s">
        <v>18580</v>
      </c>
      <c r="J5212" s="1" t="s">
        <v>3615</v>
      </c>
      <c r="K5212" s="1" t="s">
        <v>18581</v>
      </c>
      <c r="L5212" s="1" t="s">
        <v>18561</v>
      </c>
      <c r="M5212" s="1"/>
    </row>
    <row x14ac:dyDescent="0.25" r="5213" customHeight="1" ht="18.75">
      <c r="A5213" s="1" t="s">
        <v>3693</v>
      </c>
      <c r="B5213" s="1" t="s">
        <v>3957</v>
      </c>
      <c r="C5213" s="1" t="s">
        <v>3600</v>
      </c>
      <c r="D5213" s="1" t="s">
        <v>533</v>
      </c>
      <c r="E5213" s="1" t="s">
        <v>3752</v>
      </c>
      <c r="F5213" s="1" t="s">
        <v>18562</v>
      </c>
      <c r="G5213" s="1" t="s">
        <v>18582</v>
      </c>
      <c r="H5213" s="1" t="s">
        <v>3604</v>
      </c>
      <c r="I5213" s="1" t="s">
        <v>18583</v>
      </c>
      <c r="J5213" s="1" t="s">
        <v>3615</v>
      </c>
      <c r="K5213" s="1" t="s">
        <v>18584</v>
      </c>
      <c r="L5213" s="1" t="s">
        <v>18561</v>
      </c>
      <c r="M5213" s="1"/>
    </row>
    <row x14ac:dyDescent="0.25" r="5214" customHeight="1" ht="18.75">
      <c r="A5214" s="1" t="s">
        <v>3693</v>
      </c>
      <c r="B5214" s="1" t="s">
        <v>4332</v>
      </c>
      <c r="C5214" s="1" t="s">
        <v>3600</v>
      </c>
      <c r="D5214" s="1" t="s">
        <v>533</v>
      </c>
      <c r="E5214" s="1" t="s">
        <v>3893</v>
      </c>
      <c r="F5214" s="1" t="s">
        <v>18585</v>
      </c>
      <c r="G5214" s="1" t="s">
        <v>18586</v>
      </c>
      <c r="H5214" s="1" t="s">
        <v>3604</v>
      </c>
      <c r="I5214" s="1" t="s">
        <v>18587</v>
      </c>
      <c r="J5214" s="1" t="s">
        <v>3606</v>
      </c>
      <c r="K5214" s="1" t="s">
        <v>18588</v>
      </c>
      <c r="L5214" s="1" t="s">
        <v>18589</v>
      </c>
      <c r="M5214" s="1"/>
    </row>
    <row x14ac:dyDescent="0.25" r="5215" customHeight="1" ht="18.75">
      <c r="A5215" s="1" t="s">
        <v>3693</v>
      </c>
      <c r="B5215" s="1" t="s">
        <v>4332</v>
      </c>
      <c r="C5215" s="1" t="s">
        <v>3600</v>
      </c>
      <c r="D5215" s="1" t="s">
        <v>3695</v>
      </c>
      <c r="E5215" s="1" t="s">
        <v>3893</v>
      </c>
      <c r="F5215" s="1" t="s">
        <v>18590</v>
      </c>
      <c r="G5215" s="1" t="s">
        <v>5644</v>
      </c>
      <c r="H5215" s="1" t="s">
        <v>3604</v>
      </c>
      <c r="I5215" s="1" t="s">
        <v>18591</v>
      </c>
      <c r="J5215" s="1" t="s">
        <v>3606</v>
      </c>
      <c r="K5215" s="1" t="s">
        <v>18592</v>
      </c>
      <c r="L5215" s="1" t="s">
        <v>3608</v>
      </c>
      <c r="M5215" s="1"/>
    </row>
    <row x14ac:dyDescent="0.25" r="5216" customHeight="1" ht="18.75">
      <c r="A5216" s="1" t="s">
        <v>3693</v>
      </c>
      <c r="B5216" s="1" t="s">
        <v>4332</v>
      </c>
      <c r="C5216" s="1" t="s">
        <v>3600</v>
      </c>
      <c r="D5216" s="1" t="s">
        <v>3695</v>
      </c>
      <c r="E5216" s="1" t="s">
        <v>3893</v>
      </c>
      <c r="F5216" s="1" t="s">
        <v>18593</v>
      </c>
      <c r="G5216" s="1" t="s">
        <v>18594</v>
      </c>
      <c r="H5216" s="1" t="s">
        <v>3604</v>
      </c>
      <c r="I5216" s="1" t="s">
        <v>18595</v>
      </c>
      <c r="J5216" s="1" t="s">
        <v>3606</v>
      </c>
      <c r="K5216" s="1" t="s">
        <v>18596</v>
      </c>
      <c r="L5216" s="1" t="s">
        <v>7868</v>
      </c>
      <c r="M5216" s="1"/>
    </row>
    <row x14ac:dyDescent="0.25" r="5217" customHeight="1" ht="18.75">
      <c r="A5217" s="1" t="s">
        <v>3693</v>
      </c>
      <c r="B5217" s="1" t="s">
        <v>4332</v>
      </c>
      <c r="C5217" s="1" t="s">
        <v>3600</v>
      </c>
      <c r="D5217" s="1" t="s">
        <v>3695</v>
      </c>
      <c r="E5217" s="1" t="s">
        <v>3893</v>
      </c>
      <c r="F5217" s="1" t="s">
        <v>18597</v>
      </c>
      <c r="G5217" s="1" t="s">
        <v>5644</v>
      </c>
      <c r="H5217" s="1" t="s">
        <v>3604</v>
      </c>
      <c r="I5217" s="1" t="s">
        <v>18598</v>
      </c>
      <c r="J5217" s="1" t="s">
        <v>3606</v>
      </c>
      <c r="K5217" s="1" t="s">
        <v>18599</v>
      </c>
      <c r="L5217" s="1" t="s">
        <v>7868</v>
      </c>
      <c r="M5217" s="1"/>
    </row>
    <row x14ac:dyDescent="0.25" r="5218" customHeight="1" ht="18.75">
      <c r="A5218" s="1" t="s">
        <v>3693</v>
      </c>
      <c r="B5218" s="1" t="s">
        <v>4332</v>
      </c>
      <c r="C5218" s="1" t="s">
        <v>3600</v>
      </c>
      <c r="D5218" s="1" t="s">
        <v>3610</v>
      </c>
      <c r="E5218" s="1" t="s">
        <v>3893</v>
      </c>
      <c r="F5218" s="1" t="s">
        <v>18600</v>
      </c>
      <c r="G5218" s="1" t="s">
        <v>18601</v>
      </c>
      <c r="H5218" s="1" t="s">
        <v>3604</v>
      </c>
      <c r="I5218" s="1" t="s">
        <v>18602</v>
      </c>
      <c r="J5218" s="1" t="s">
        <v>3606</v>
      </c>
      <c r="K5218" s="1" t="s">
        <v>18603</v>
      </c>
      <c r="L5218" s="1" t="s">
        <v>7868</v>
      </c>
      <c r="M5218" s="1"/>
    </row>
    <row x14ac:dyDescent="0.25" r="5219" customHeight="1" ht="18.75">
      <c r="A5219" s="1" t="s">
        <v>3693</v>
      </c>
      <c r="B5219" s="1" t="s">
        <v>4332</v>
      </c>
      <c r="C5219" s="1" t="s">
        <v>3600</v>
      </c>
      <c r="D5219" s="1" t="s">
        <v>3610</v>
      </c>
      <c r="E5219" s="1" t="s">
        <v>3893</v>
      </c>
      <c r="F5219" s="1" t="s">
        <v>18604</v>
      </c>
      <c r="G5219" s="1" t="s">
        <v>18605</v>
      </c>
      <c r="H5219" s="1" t="s">
        <v>3604</v>
      </c>
      <c r="I5219" s="1" t="s">
        <v>18606</v>
      </c>
      <c r="J5219" s="1" t="s">
        <v>3606</v>
      </c>
      <c r="K5219" s="1" t="s">
        <v>18607</v>
      </c>
      <c r="L5219" s="1" t="s">
        <v>3608</v>
      </c>
      <c r="M5219" s="1"/>
    </row>
    <row x14ac:dyDescent="0.25" r="5220" customHeight="1" ht="18.75">
      <c r="A5220" s="1" t="s">
        <v>3693</v>
      </c>
      <c r="B5220" s="1" t="s">
        <v>4332</v>
      </c>
      <c r="C5220" s="1" t="s">
        <v>3600</v>
      </c>
      <c r="D5220" s="1" t="s">
        <v>3721</v>
      </c>
      <c r="E5220" s="1" t="s">
        <v>3893</v>
      </c>
      <c r="F5220" s="1" t="s">
        <v>18608</v>
      </c>
      <c r="G5220" s="1" t="s">
        <v>5644</v>
      </c>
      <c r="H5220" s="1" t="s">
        <v>3604</v>
      </c>
      <c r="I5220" s="1" t="s">
        <v>18609</v>
      </c>
      <c r="J5220" s="1" t="s">
        <v>3606</v>
      </c>
      <c r="K5220" s="1" t="s">
        <v>18610</v>
      </c>
      <c r="L5220" s="1" t="s">
        <v>7868</v>
      </c>
      <c r="M5220" s="1"/>
    </row>
    <row x14ac:dyDescent="0.25" r="5221" customHeight="1" ht="18.75">
      <c r="A5221" s="1" t="s">
        <v>3693</v>
      </c>
      <c r="B5221" s="1" t="s">
        <v>4332</v>
      </c>
      <c r="C5221" s="1" t="s">
        <v>3600</v>
      </c>
      <c r="D5221" s="1" t="s">
        <v>3610</v>
      </c>
      <c r="E5221" s="1" t="s">
        <v>3893</v>
      </c>
      <c r="F5221" s="1" t="s">
        <v>18611</v>
      </c>
      <c r="G5221" s="1" t="s">
        <v>18612</v>
      </c>
      <c r="H5221" s="1" t="s">
        <v>3604</v>
      </c>
      <c r="I5221" s="1" t="s">
        <v>18613</v>
      </c>
      <c r="J5221" s="1" t="s">
        <v>3606</v>
      </c>
      <c r="K5221" s="1" t="s">
        <v>18614</v>
      </c>
      <c r="L5221" s="1" t="s">
        <v>3608</v>
      </c>
      <c r="M5221" s="1"/>
    </row>
    <row x14ac:dyDescent="0.25" r="5222" customHeight="1" ht="18.75">
      <c r="A5222" s="1" t="s">
        <v>3693</v>
      </c>
      <c r="B5222" s="1" t="s">
        <v>4332</v>
      </c>
      <c r="C5222" s="1" t="s">
        <v>3600</v>
      </c>
      <c r="D5222" s="1" t="s">
        <v>3610</v>
      </c>
      <c r="E5222" s="1" t="s">
        <v>3893</v>
      </c>
      <c r="F5222" s="1" t="s">
        <v>18615</v>
      </c>
      <c r="G5222" s="1" t="s">
        <v>18616</v>
      </c>
      <c r="H5222" s="1" t="s">
        <v>3604</v>
      </c>
      <c r="I5222" s="1" t="s">
        <v>18617</v>
      </c>
      <c r="J5222" s="1" t="s">
        <v>3606</v>
      </c>
      <c r="K5222" s="1" t="s">
        <v>18618</v>
      </c>
      <c r="L5222" s="1" t="s">
        <v>7868</v>
      </c>
      <c r="M5222" s="1"/>
    </row>
    <row x14ac:dyDescent="0.25" r="5223" customHeight="1" ht="18.75">
      <c r="A5223" s="1" t="s">
        <v>3693</v>
      </c>
      <c r="B5223" s="1" t="s">
        <v>4332</v>
      </c>
      <c r="C5223" s="1" t="s">
        <v>3600</v>
      </c>
      <c r="D5223" s="1" t="s">
        <v>3610</v>
      </c>
      <c r="E5223" s="1" t="s">
        <v>3893</v>
      </c>
      <c r="F5223" s="1" t="s">
        <v>18619</v>
      </c>
      <c r="G5223" s="1" t="s">
        <v>18620</v>
      </c>
      <c r="H5223" s="1" t="s">
        <v>3604</v>
      </c>
      <c r="I5223" s="1" t="s">
        <v>18621</v>
      </c>
      <c r="J5223" s="1" t="s">
        <v>3606</v>
      </c>
      <c r="K5223" s="1" t="s">
        <v>18622</v>
      </c>
      <c r="L5223" s="1" t="s">
        <v>7868</v>
      </c>
      <c r="M5223" s="1"/>
    </row>
    <row x14ac:dyDescent="0.25" r="5224" customHeight="1" ht="18.75">
      <c r="A5224" s="1" t="s">
        <v>3693</v>
      </c>
      <c r="B5224" s="1" t="s">
        <v>4332</v>
      </c>
      <c r="C5224" s="1" t="s">
        <v>3600</v>
      </c>
      <c r="D5224" s="1" t="s">
        <v>3610</v>
      </c>
      <c r="E5224" s="1" t="s">
        <v>3893</v>
      </c>
      <c r="F5224" s="1" t="s">
        <v>18623</v>
      </c>
      <c r="G5224" s="1" t="s">
        <v>4349</v>
      </c>
      <c r="H5224" s="1" t="s">
        <v>3604</v>
      </c>
      <c r="I5224" s="1" t="s">
        <v>18624</v>
      </c>
      <c r="J5224" s="1" t="s">
        <v>3606</v>
      </c>
      <c r="K5224" s="1" t="s">
        <v>18625</v>
      </c>
      <c r="L5224" s="1" t="s">
        <v>7868</v>
      </c>
      <c r="M5224" s="1"/>
    </row>
    <row x14ac:dyDescent="0.25" r="5225" customHeight="1" ht="18.75">
      <c r="A5225" s="1" t="s">
        <v>3693</v>
      </c>
      <c r="B5225" s="1" t="s">
        <v>4332</v>
      </c>
      <c r="C5225" s="1" t="s">
        <v>3600</v>
      </c>
      <c r="D5225" s="1" t="s">
        <v>3610</v>
      </c>
      <c r="E5225" s="1" t="s">
        <v>3893</v>
      </c>
      <c r="F5225" s="1" t="s">
        <v>18626</v>
      </c>
      <c r="G5225" s="1" t="s">
        <v>18627</v>
      </c>
      <c r="H5225" s="1" t="s">
        <v>3604</v>
      </c>
      <c r="I5225" s="1" t="s">
        <v>18628</v>
      </c>
      <c r="J5225" s="1" t="s">
        <v>3606</v>
      </c>
      <c r="K5225" s="1" t="s">
        <v>18629</v>
      </c>
      <c r="L5225" s="1" t="s">
        <v>7868</v>
      </c>
      <c r="M5225" s="1"/>
    </row>
    <row x14ac:dyDescent="0.25" r="5226" customHeight="1" ht="18.75">
      <c r="A5226" s="1" t="s">
        <v>3693</v>
      </c>
      <c r="B5226" s="1" t="s">
        <v>4332</v>
      </c>
      <c r="C5226" s="1" t="s">
        <v>3600</v>
      </c>
      <c r="D5226" s="1" t="s">
        <v>3610</v>
      </c>
      <c r="E5226" s="1" t="s">
        <v>3893</v>
      </c>
      <c r="F5226" s="1" t="s">
        <v>18630</v>
      </c>
      <c r="G5226" s="1" t="s">
        <v>18620</v>
      </c>
      <c r="H5226" s="1" t="s">
        <v>3604</v>
      </c>
      <c r="I5226" s="1" t="s">
        <v>18631</v>
      </c>
      <c r="J5226" s="1" t="s">
        <v>3606</v>
      </c>
      <c r="K5226" s="1" t="s">
        <v>18632</v>
      </c>
      <c r="L5226" s="1" t="s">
        <v>7868</v>
      </c>
      <c r="M5226" s="1"/>
    </row>
    <row x14ac:dyDescent="0.25" r="5227" customHeight="1" ht="18.75">
      <c r="A5227" s="1" t="s">
        <v>3693</v>
      </c>
      <c r="B5227" s="1" t="s">
        <v>4332</v>
      </c>
      <c r="C5227" s="1" t="s">
        <v>3600</v>
      </c>
      <c r="D5227" s="1" t="s">
        <v>3610</v>
      </c>
      <c r="E5227" s="1" t="s">
        <v>3893</v>
      </c>
      <c r="F5227" s="1" t="s">
        <v>18633</v>
      </c>
      <c r="G5227" s="1" t="s">
        <v>4342</v>
      </c>
      <c r="H5227" s="1" t="s">
        <v>3604</v>
      </c>
      <c r="I5227" s="1" t="s">
        <v>18634</v>
      </c>
      <c r="J5227" s="1" t="s">
        <v>3606</v>
      </c>
      <c r="K5227" s="1" t="s">
        <v>18635</v>
      </c>
      <c r="L5227" s="1" t="s">
        <v>7868</v>
      </c>
      <c r="M5227" s="1"/>
    </row>
    <row x14ac:dyDescent="0.25" r="5228" customHeight="1" ht="18.75">
      <c r="A5228" s="1" t="s">
        <v>3693</v>
      </c>
      <c r="B5228" s="1" t="s">
        <v>4332</v>
      </c>
      <c r="C5228" s="1" t="s">
        <v>3600</v>
      </c>
      <c r="D5228" s="1" t="s">
        <v>8373</v>
      </c>
      <c r="E5228" s="1" t="s">
        <v>3893</v>
      </c>
      <c r="F5228" s="1" t="s">
        <v>18636</v>
      </c>
      <c r="G5228" s="1" t="s">
        <v>18637</v>
      </c>
      <c r="H5228" s="1" t="s">
        <v>3604</v>
      </c>
      <c r="I5228" s="1" t="s">
        <v>18638</v>
      </c>
      <c r="J5228" s="1" t="s">
        <v>3606</v>
      </c>
      <c r="K5228" s="1" t="s">
        <v>18639</v>
      </c>
      <c r="L5228" s="1"/>
      <c r="M5228" s="1"/>
    </row>
    <row x14ac:dyDescent="0.25" r="5229" customHeight="1" ht="18.75">
      <c r="A5229" s="1" t="s">
        <v>3693</v>
      </c>
      <c r="B5229" s="1" t="s">
        <v>4332</v>
      </c>
      <c r="C5229" s="1" t="s">
        <v>3600</v>
      </c>
      <c r="D5229" s="1" t="s">
        <v>3610</v>
      </c>
      <c r="E5229" s="1" t="s">
        <v>3893</v>
      </c>
      <c r="F5229" s="1" t="s">
        <v>18640</v>
      </c>
      <c r="G5229" s="1" t="s">
        <v>5609</v>
      </c>
      <c r="H5229" s="1" t="s">
        <v>3604</v>
      </c>
      <c r="I5229" s="1" t="s">
        <v>18641</v>
      </c>
      <c r="J5229" s="1" t="s">
        <v>3606</v>
      </c>
      <c r="K5229" s="1" t="s">
        <v>18642</v>
      </c>
      <c r="L5229" s="1" t="s">
        <v>7868</v>
      </c>
      <c r="M5229" s="1"/>
    </row>
    <row x14ac:dyDescent="0.25" r="5230" customHeight="1" ht="18.75">
      <c r="A5230" s="1" t="s">
        <v>3693</v>
      </c>
      <c r="B5230" s="1" t="s">
        <v>4332</v>
      </c>
      <c r="C5230" s="1" t="s">
        <v>3600</v>
      </c>
      <c r="D5230" s="1" t="s">
        <v>3610</v>
      </c>
      <c r="E5230" s="1" t="s">
        <v>3893</v>
      </c>
      <c r="F5230" s="1" t="s">
        <v>18643</v>
      </c>
      <c r="G5230" s="1" t="s">
        <v>18620</v>
      </c>
      <c r="H5230" s="1" t="s">
        <v>3604</v>
      </c>
      <c r="I5230" s="1" t="s">
        <v>18644</v>
      </c>
      <c r="J5230" s="1" t="s">
        <v>3606</v>
      </c>
      <c r="K5230" s="1" t="s">
        <v>18645</v>
      </c>
      <c r="L5230" s="1" t="s">
        <v>3608</v>
      </c>
      <c r="M5230" s="1"/>
    </row>
    <row x14ac:dyDescent="0.25" r="5231" customHeight="1" ht="18.75">
      <c r="A5231" s="1" t="s">
        <v>3693</v>
      </c>
      <c r="B5231" s="1" t="s">
        <v>4332</v>
      </c>
      <c r="C5231" s="1" t="s">
        <v>3600</v>
      </c>
      <c r="D5231" s="1" t="s">
        <v>8373</v>
      </c>
      <c r="E5231" s="1" t="s">
        <v>3893</v>
      </c>
      <c r="F5231" s="1" t="s">
        <v>18646</v>
      </c>
      <c r="G5231" s="1" t="s">
        <v>18647</v>
      </c>
      <c r="H5231" s="1" t="s">
        <v>3604</v>
      </c>
      <c r="I5231" s="1" t="s">
        <v>18648</v>
      </c>
      <c r="J5231" s="1" t="s">
        <v>3606</v>
      </c>
      <c r="K5231" s="1" t="s">
        <v>18649</v>
      </c>
      <c r="L5231" s="1"/>
      <c r="M5231" s="1"/>
    </row>
    <row x14ac:dyDescent="0.25" r="5232" customHeight="1" ht="18.75">
      <c r="A5232" s="1" t="s">
        <v>3693</v>
      </c>
      <c r="B5232" s="1" t="s">
        <v>4332</v>
      </c>
      <c r="C5232" s="1" t="s">
        <v>3600</v>
      </c>
      <c r="D5232" s="1" t="s">
        <v>3610</v>
      </c>
      <c r="E5232" s="1" t="s">
        <v>3893</v>
      </c>
      <c r="F5232" s="1" t="s">
        <v>18650</v>
      </c>
      <c r="G5232" s="1" t="s">
        <v>18651</v>
      </c>
      <c r="H5232" s="1" t="s">
        <v>3604</v>
      </c>
      <c r="I5232" s="1" t="s">
        <v>18652</v>
      </c>
      <c r="J5232" s="1" t="s">
        <v>3606</v>
      </c>
      <c r="K5232" s="1" t="s">
        <v>18653</v>
      </c>
      <c r="L5232" s="1" t="s">
        <v>3608</v>
      </c>
      <c r="M5232" s="1"/>
    </row>
    <row x14ac:dyDescent="0.25" r="5233" customHeight="1" ht="18.75">
      <c r="A5233" s="1" t="s">
        <v>3693</v>
      </c>
      <c r="B5233" s="1" t="s">
        <v>4332</v>
      </c>
      <c r="C5233" s="1" t="s">
        <v>3600</v>
      </c>
      <c r="D5233" s="1" t="s">
        <v>3610</v>
      </c>
      <c r="E5233" s="1" t="s">
        <v>3893</v>
      </c>
      <c r="F5233" s="1" t="s">
        <v>18654</v>
      </c>
      <c r="G5233" s="1" t="s">
        <v>18655</v>
      </c>
      <c r="H5233" s="1" t="s">
        <v>3604</v>
      </c>
      <c r="I5233" s="1" t="s">
        <v>18656</v>
      </c>
      <c r="J5233" s="1" t="s">
        <v>3606</v>
      </c>
      <c r="K5233" s="1" t="s">
        <v>18657</v>
      </c>
      <c r="L5233" s="1" t="s">
        <v>7868</v>
      </c>
      <c r="M5233" s="1"/>
    </row>
    <row x14ac:dyDescent="0.25" r="5234" customHeight="1" ht="18.75">
      <c r="A5234" s="1" t="s">
        <v>3693</v>
      </c>
      <c r="B5234" s="1" t="s">
        <v>4332</v>
      </c>
      <c r="C5234" s="1" t="s">
        <v>3600</v>
      </c>
      <c r="D5234" s="1" t="s">
        <v>8373</v>
      </c>
      <c r="E5234" s="1" t="s">
        <v>3893</v>
      </c>
      <c r="F5234" s="1" t="s">
        <v>18658</v>
      </c>
      <c r="G5234" s="1" t="s">
        <v>4349</v>
      </c>
      <c r="H5234" s="1" t="s">
        <v>3604</v>
      </c>
      <c r="I5234" s="1" t="s">
        <v>18659</v>
      </c>
      <c r="J5234" s="1" t="s">
        <v>3606</v>
      </c>
      <c r="K5234" s="1" t="s">
        <v>18660</v>
      </c>
      <c r="L5234" s="1"/>
      <c r="M5234" s="1"/>
    </row>
    <row x14ac:dyDescent="0.25" r="5235" customHeight="1" ht="18.75">
      <c r="A5235" s="1" t="s">
        <v>3693</v>
      </c>
      <c r="B5235" s="1" t="s">
        <v>4332</v>
      </c>
      <c r="C5235" s="1" t="s">
        <v>3600</v>
      </c>
      <c r="D5235" s="1" t="s">
        <v>3610</v>
      </c>
      <c r="E5235" s="1" t="s">
        <v>3893</v>
      </c>
      <c r="F5235" s="1" t="s">
        <v>18661</v>
      </c>
      <c r="G5235" s="1" t="s">
        <v>18620</v>
      </c>
      <c r="H5235" s="1" t="s">
        <v>3604</v>
      </c>
      <c r="I5235" s="1" t="s">
        <v>18662</v>
      </c>
      <c r="J5235" s="1" t="s">
        <v>3606</v>
      </c>
      <c r="K5235" s="1" t="s">
        <v>18663</v>
      </c>
      <c r="L5235" s="1" t="s">
        <v>3608</v>
      </c>
      <c r="M5235" s="1"/>
    </row>
    <row x14ac:dyDescent="0.25" r="5236" customHeight="1" ht="18.75">
      <c r="A5236" s="1" t="s">
        <v>3693</v>
      </c>
      <c r="B5236" s="1" t="s">
        <v>4332</v>
      </c>
      <c r="C5236" s="1" t="s">
        <v>3600</v>
      </c>
      <c r="D5236" s="1" t="s">
        <v>3610</v>
      </c>
      <c r="E5236" s="1" t="s">
        <v>3893</v>
      </c>
      <c r="F5236" s="1" t="s">
        <v>18664</v>
      </c>
      <c r="G5236" s="1" t="s">
        <v>18665</v>
      </c>
      <c r="H5236" s="1" t="s">
        <v>3604</v>
      </c>
      <c r="I5236" s="1" t="s">
        <v>18666</v>
      </c>
      <c r="J5236" s="1" t="s">
        <v>3606</v>
      </c>
      <c r="K5236" s="1" t="s">
        <v>18667</v>
      </c>
      <c r="L5236" s="1" t="s">
        <v>7868</v>
      </c>
      <c r="M5236" s="1"/>
    </row>
    <row x14ac:dyDescent="0.25" r="5237" customHeight="1" ht="18.75">
      <c r="A5237" s="1" t="s">
        <v>3693</v>
      </c>
      <c r="B5237" s="1" t="s">
        <v>4332</v>
      </c>
      <c r="C5237" s="1" t="s">
        <v>3600</v>
      </c>
      <c r="D5237" s="1" t="s">
        <v>8373</v>
      </c>
      <c r="E5237" s="1" t="s">
        <v>3893</v>
      </c>
      <c r="F5237" s="1" t="s">
        <v>18668</v>
      </c>
      <c r="G5237" s="1" t="s">
        <v>18669</v>
      </c>
      <c r="H5237" s="1" t="s">
        <v>3604</v>
      </c>
      <c r="I5237" s="1" t="s">
        <v>18670</v>
      </c>
      <c r="J5237" s="1" t="s">
        <v>3606</v>
      </c>
      <c r="K5237" s="1" t="s">
        <v>18671</v>
      </c>
      <c r="L5237" s="1"/>
      <c r="M5237" s="1"/>
    </row>
    <row x14ac:dyDescent="0.25" r="5238" customHeight="1" ht="18.75">
      <c r="A5238" s="1" t="s">
        <v>3693</v>
      </c>
      <c r="B5238" s="1" t="s">
        <v>4332</v>
      </c>
      <c r="C5238" s="1" t="s">
        <v>3600</v>
      </c>
      <c r="D5238" s="1" t="s">
        <v>3610</v>
      </c>
      <c r="E5238" s="1" t="s">
        <v>3893</v>
      </c>
      <c r="F5238" s="1" t="s">
        <v>18672</v>
      </c>
      <c r="G5238" s="1" t="s">
        <v>18620</v>
      </c>
      <c r="H5238" s="1" t="s">
        <v>3604</v>
      </c>
      <c r="I5238" s="1" t="s">
        <v>18673</v>
      </c>
      <c r="J5238" s="1" t="s">
        <v>3606</v>
      </c>
      <c r="K5238" s="1" t="s">
        <v>18674</v>
      </c>
      <c r="L5238" s="1" t="s">
        <v>7868</v>
      </c>
      <c r="M5238" s="1"/>
    </row>
    <row x14ac:dyDescent="0.25" r="5239" customHeight="1" ht="18.75">
      <c r="A5239" s="1" t="s">
        <v>3693</v>
      </c>
      <c r="B5239" s="1" t="s">
        <v>4332</v>
      </c>
      <c r="C5239" s="1" t="s">
        <v>3600</v>
      </c>
      <c r="D5239" s="1" t="s">
        <v>3610</v>
      </c>
      <c r="E5239" s="1" t="s">
        <v>3893</v>
      </c>
      <c r="F5239" s="1" t="s">
        <v>18675</v>
      </c>
      <c r="G5239" s="1" t="s">
        <v>5609</v>
      </c>
      <c r="H5239" s="1" t="s">
        <v>3604</v>
      </c>
      <c r="I5239" s="1" t="s">
        <v>18676</v>
      </c>
      <c r="J5239" s="1" t="s">
        <v>3606</v>
      </c>
      <c r="K5239" s="1" t="s">
        <v>18677</v>
      </c>
      <c r="L5239" s="1" t="s">
        <v>7868</v>
      </c>
      <c r="M5239" s="1"/>
    </row>
    <row x14ac:dyDescent="0.25" r="5240" customHeight="1" ht="18.75">
      <c r="A5240" s="1" t="s">
        <v>3693</v>
      </c>
      <c r="B5240" s="1" t="s">
        <v>4332</v>
      </c>
      <c r="C5240" s="1" t="s">
        <v>3600</v>
      </c>
      <c r="D5240" s="1" t="s">
        <v>8373</v>
      </c>
      <c r="E5240" s="1" t="s">
        <v>3893</v>
      </c>
      <c r="F5240" s="1" t="s">
        <v>18678</v>
      </c>
      <c r="G5240" s="1" t="s">
        <v>18679</v>
      </c>
      <c r="H5240" s="1" t="s">
        <v>3604</v>
      </c>
      <c r="I5240" s="1" t="s">
        <v>18680</v>
      </c>
      <c r="J5240" s="1" t="s">
        <v>3606</v>
      </c>
      <c r="K5240" s="1" t="s">
        <v>18681</v>
      </c>
      <c r="L5240" s="1"/>
      <c r="M5240" s="1"/>
    </row>
    <row x14ac:dyDescent="0.25" r="5241" customHeight="1" ht="18.75">
      <c r="A5241" s="1" t="s">
        <v>3693</v>
      </c>
      <c r="B5241" s="1" t="s">
        <v>4332</v>
      </c>
      <c r="C5241" s="1" t="s">
        <v>3600</v>
      </c>
      <c r="D5241" s="1" t="s">
        <v>8373</v>
      </c>
      <c r="E5241" s="1" t="s">
        <v>3893</v>
      </c>
      <c r="F5241" s="1" t="s">
        <v>18682</v>
      </c>
      <c r="G5241" s="1" t="s">
        <v>18683</v>
      </c>
      <c r="H5241" s="1" t="s">
        <v>3604</v>
      </c>
      <c r="I5241" s="1" t="s">
        <v>18684</v>
      </c>
      <c r="J5241" s="1" t="s">
        <v>3606</v>
      </c>
      <c r="K5241" s="1" t="s">
        <v>18685</v>
      </c>
      <c r="L5241" s="1"/>
      <c r="M5241" s="1"/>
    </row>
    <row x14ac:dyDescent="0.25" r="5242" customHeight="1" ht="18.75">
      <c r="A5242" s="1" t="s">
        <v>3693</v>
      </c>
      <c r="B5242" s="1" t="s">
        <v>4332</v>
      </c>
      <c r="C5242" s="1" t="s">
        <v>3600</v>
      </c>
      <c r="D5242" s="1" t="s">
        <v>3610</v>
      </c>
      <c r="E5242" s="1" t="s">
        <v>3893</v>
      </c>
      <c r="F5242" s="1" t="s">
        <v>18686</v>
      </c>
      <c r="G5242" s="1" t="s">
        <v>18687</v>
      </c>
      <c r="H5242" s="1" t="s">
        <v>3604</v>
      </c>
      <c r="I5242" s="1" t="s">
        <v>18688</v>
      </c>
      <c r="J5242" s="1" t="s">
        <v>3606</v>
      </c>
      <c r="K5242" s="1" t="s">
        <v>18689</v>
      </c>
      <c r="L5242" s="1" t="s">
        <v>3608</v>
      </c>
      <c r="M5242" s="1"/>
    </row>
    <row x14ac:dyDescent="0.25" r="5243" customHeight="1" ht="18.75">
      <c r="A5243" s="1" t="s">
        <v>3693</v>
      </c>
      <c r="B5243" s="1" t="s">
        <v>4332</v>
      </c>
      <c r="C5243" s="1" t="s">
        <v>3600</v>
      </c>
      <c r="D5243" s="1" t="s">
        <v>7891</v>
      </c>
      <c r="E5243" s="1" t="s">
        <v>3893</v>
      </c>
      <c r="F5243" s="1" t="s">
        <v>18690</v>
      </c>
      <c r="G5243" s="1" t="s">
        <v>4349</v>
      </c>
      <c r="H5243" s="1" t="s">
        <v>3604</v>
      </c>
      <c r="I5243" s="1" t="s">
        <v>18691</v>
      </c>
      <c r="J5243" s="1" t="s">
        <v>3606</v>
      </c>
      <c r="K5243" s="1" t="s">
        <v>18692</v>
      </c>
      <c r="L5243" s="1"/>
      <c r="M5243" s="1"/>
    </row>
    <row x14ac:dyDescent="0.25" r="5244" customHeight="1" ht="18.75">
      <c r="A5244" s="1" t="s">
        <v>3693</v>
      </c>
      <c r="B5244" s="1" t="s">
        <v>4332</v>
      </c>
      <c r="C5244" s="1" t="s">
        <v>3600</v>
      </c>
      <c r="D5244" s="1" t="s">
        <v>3610</v>
      </c>
      <c r="E5244" s="1" t="s">
        <v>3893</v>
      </c>
      <c r="F5244" s="1" t="s">
        <v>18693</v>
      </c>
      <c r="G5244" s="1" t="s">
        <v>18694</v>
      </c>
      <c r="H5244" s="1" t="s">
        <v>3604</v>
      </c>
      <c r="I5244" s="1" t="s">
        <v>18695</v>
      </c>
      <c r="J5244" s="1" t="s">
        <v>3606</v>
      </c>
      <c r="K5244" s="1" t="s">
        <v>18696</v>
      </c>
      <c r="L5244" s="1" t="s">
        <v>7868</v>
      </c>
      <c r="M5244" s="1"/>
    </row>
    <row x14ac:dyDescent="0.25" r="5245" customHeight="1" ht="18.75">
      <c r="A5245" s="1" t="s">
        <v>3693</v>
      </c>
      <c r="B5245" s="1" t="s">
        <v>4332</v>
      </c>
      <c r="C5245" s="1" t="s">
        <v>3600</v>
      </c>
      <c r="D5245" s="1" t="s">
        <v>3610</v>
      </c>
      <c r="E5245" s="1" t="s">
        <v>3893</v>
      </c>
      <c r="F5245" s="1" t="s">
        <v>18697</v>
      </c>
      <c r="G5245" s="1" t="s">
        <v>4349</v>
      </c>
      <c r="H5245" s="1" t="s">
        <v>3604</v>
      </c>
      <c r="I5245" s="1" t="s">
        <v>18698</v>
      </c>
      <c r="J5245" s="1" t="s">
        <v>3606</v>
      </c>
      <c r="K5245" s="1" t="s">
        <v>18699</v>
      </c>
      <c r="L5245" s="1" t="s">
        <v>7868</v>
      </c>
      <c r="M5245" s="1"/>
    </row>
    <row x14ac:dyDescent="0.25" r="5246" customHeight="1" ht="18.75">
      <c r="A5246" s="1" t="s">
        <v>3693</v>
      </c>
      <c r="B5246" s="1" t="s">
        <v>4332</v>
      </c>
      <c r="C5246" s="1" t="s">
        <v>3600</v>
      </c>
      <c r="D5246" s="1" t="s">
        <v>3610</v>
      </c>
      <c r="E5246" s="1" t="s">
        <v>3893</v>
      </c>
      <c r="F5246" s="1" t="s">
        <v>18700</v>
      </c>
      <c r="G5246" s="1" t="s">
        <v>18701</v>
      </c>
      <c r="H5246" s="1" t="s">
        <v>3604</v>
      </c>
      <c r="I5246" s="1" t="s">
        <v>18702</v>
      </c>
      <c r="J5246" s="1" t="s">
        <v>3606</v>
      </c>
      <c r="K5246" s="1" t="s">
        <v>18703</v>
      </c>
      <c r="L5246" s="1" t="s">
        <v>7868</v>
      </c>
      <c r="M5246" s="1"/>
    </row>
    <row x14ac:dyDescent="0.25" r="5247" customHeight="1" ht="18.75">
      <c r="A5247" s="1" t="s">
        <v>3693</v>
      </c>
      <c r="B5247" s="1" t="s">
        <v>4332</v>
      </c>
      <c r="C5247" s="1" t="s">
        <v>3600</v>
      </c>
      <c r="D5247" s="1" t="s">
        <v>533</v>
      </c>
      <c r="E5247" s="1" t="s">
        <v>3893</v>
      </c>
      <c r="F5247" s="1" t="s">
        <v>18704</v>
      </c>
      <c r="G5247" s="1" t="s">
        <v>18705</v>
      </c>
      <c r="H5247" s="1" t="s">
        <v>3604</v>
      </c>
      <c r="I5247" s="1" t="s">
        <v>18706</v>
      </c>
      <c r="J5247" s="1" t="s">
        <v>3606</v>
      </c>
      <c r="K5247" s="1" t="s">
        <v>18707</v>
      </c>
      <c r="L5247" s="1" t="s">
        <v>3608</v>
      </c>
      <c r="M5247" s="1"/>
    </row>
    <row x14ac:dyDescent="0.25" r="5248" customHeight="1" ht="18.75">
      <c r="A5248" s="1" t="s">
        <v>3693</v>
      </c>
      <c r="B5248" s="1" t="s">
        <v>4332</v>
      </c>
      <c r="C5248" s="1" t="s">
        <v>3600</v>
      </c>
      <c r="D5248" s="1" t="s">
        <v>3610</v>
      </c>
      <c r="E5248" s="1" t="s">
        <v>3893</v>
      </c>
      <c r="F5248" s="1" t="s">
        <v>18708</v>
      </c>
      <c r="G5248" s="1" t="s">
        <v>4342</v>
      </c>
      <c r="H5248" s="1" t="s">
        <v>3604</v>
      </c>
      <c r="I5248" s="1" t="s">
        <v>18709</v>
      </c>
      <c r="J5248" s="1" t="s">
        <v>3606</v>
      </c>
      <c r="K5248" s="1" t="s">
        <v>18710</v>
      </c>
      <c r="L5248" s="1" t="s">
        <v>7868</v>
      </c>
      <c r="M5248" s="1"/>
    </row>
    <row x14ac:dyDescent="0.25" r="5249" customHeight="1" ht="18.75">
      <c r="A5249" s="1" t="s">
        <v>3693</v>
      </c>
      <c r="B5249" s="1" t="s">
        <v>4332</v>
      </c>
      <c r="C5249" s="1" t="s">
        <v>3600</v>
      </c>
      <c r="D5249" s="1" t="s">
        <v>3610</v>
      </c>
      <c r="E5249" s="1" t="s">
        <v>3893</v>
      </c>
      <c r="F5249" s="1" t="s">
        <v>18711</v>
      </c>
      <c r="G5249" s="1" t="s">
        <v>18712</v>
      </c>
      <c r="H5249" s="1" t="s">
        <v>3604</v>
      </c>
      <c r="I5249" s="1" t="s">
        <v>18713</v>
      </c>
      <c r="J5249" s="1" t="s">
        <v>3606</v>
      </c>
      <c r="K5249" s="1" t="s">
        <v>18714</v>
      </c>
      <c r="L5249" s="1" t="s">
        <v>7868</v>
      </c>
      <c r="M5249" s="1"/>
    </row>
    <row x14ac:dyDescent="0.25" r="5250" customHeight="1" ht="18.75">
      <c r="A5250" s="1" t="s">
        <v>3693</v>
      </c>
      <c r="B5250" s="1" t="s">
        <v>4332</v>
      </c>
      <c r="C5250" s="1" t="s">
        <v>3600</v>
      </c>
      <c r="D5250" s="1" t="s">
        <v>533</v>
      </c>
      <c r="E5250" s="1" t="s">
        <v>3893</v>
      </c>
      <c r="F5250" s="1" t="s">
        <v>18715</v>
      </c>
      <c r="G5250" s="1" t="s">
        <v>18716</v>
      </c>
      <c r="H5250" s="1" t="s">
        <v>3604</v>
      </c>
      <c r="I5250" s="1" t="s">
        <v>18717</v>
      </c>
      <c r="J5250" s="1" t="s">
        <v>3606</v>
      </c>
      <c r="K5250" s="1" t="s">
        <v>18718</v>
      </c>
      <c r="L5250" s="1" t="s">
        <v>18589</v>
      </c>
      <c r="M5250" s="1"/>
    </row>
    <row x14ac:dyDescent="0.25" r="5251" customHeight="1" ht="18.75">
      <c r="A5251" s="1" t="s">
        <v>3693</v>
      </c>
      <c r="B5251" s="1" t="s">
        <v>4332</v>
      </c>
      <c r="C5251" s="1" t="s">
        <v>3600</v>
      </c>
      <c r="D5251" s="1" t="s">
        <v>3610</v>
      </c>
      <c r="E5251" s="1" t="s">
        <v>3893</v>
      </c>
      <c r="F5251" s="1" t="s">
        <v>18719</v>
      </c>
      <c r="G5251" s="1" t="s">
        <v>18720</v>
      </c>
      <c r="H5251" s="1" t="s">
        <v>3604</v>
      </c>
      <c r="I5251" s="1" t="s">
        <v>18721</v>
      </c>
      <c r="J5251" s="1" t="s">
        <v>3606</v>
      </c>
      <c r="K5251" s="1" t="s">
        <v>18722</v>
      </c>
      <c r="L5251" s="1" t="s">
        <v>7868</v>
      </c>
      <c r="M5251" s="1"/>
    </row>
    <row x14ac:dyDescent="0.25" r="5252" customHeight="1" ht="18.75">
      <c r="A5252" s="1" t="s">
        <v>3693</v>
      </c>
      <c r="B5252" s="1" t="s">
        <v>4332</v>
      </c>
      <c r="C5252" s="1" t="s">
        <v>3600</v>
      </c>
      <c r="D5252" s="1" t="s">
        <v>533</v>
      </c>
      <c r="E5252" s="1" t="s">
        <v>3893</v>
      </c>
      <c r="F5252" s="1" t="s">
        <v>18723</v>
      </c>
      <c r="G5252" s="1" t="s">
        <v>5644</v>
      </c>
      <c r="H5252" s="1" t="s">
        <v>3604</v>
      </c>
      <c r="I5252" s="1" t="s">
        <v>18724</v>
      </c>
      <c r="J5252" s="1" t="s">
        <v>3606</v>
      </c>
      <c r="K5252" s="1" t="s">
        <v>18725</v>
      </c>
      <c r="L5252" s="1" t="s">
        <v>18589</v>
      </c>
      <c r="M5252" s="1"/>
    </row>
    <row x14ac:dyDescent="0.25" r="5253" customHeight="1" ht="18.75">
      <c r="A5253" s="1" t="s">
        <v>3693</v>
      </c>
      <c r="B5253" s="1" t="s">
        <v>4332</v>
      </c>
      <c r="C5253" s="1" t="s">
        <v>3600</v>
      </c>
      <c r="D5253" s="1" t="s">
        <v>3610</v>
      </c>
      <c r="E5253" s="1" t="s">
        <v>3893</v>
      </c>
      <c r="F5253" s="1" t="s">
        <v>18726</v>
      </c>
      <c r="G5253" s="1" t="s">
        <v>18727</v>
      </c>
      <c r="H5253" s="1" t="s">
        <v>3604</v>
      </c>
      <c r="I5253" s="1" t="s">
        <v>18728</v>
      </c>
      <c r="J5253" s="1" t="s">
        <v>3606</v>
      </c>
      <c r="K5253" s="1" t="s">
        <v>18729</v>
      </c>
      <c r="L5253" s="1" t="s">
        <v>7868</v>
      </c>
      <c r="M5253" s="1"/>
    </row>
    <row x14ac:dyDescent="0.25" r="5254" customHeight="1" ht="18.75">
      <c r="A5254" s="1" t="s">
        <v>3693</v>
      </c>
      <c r="B5254" s="1" t="s">
        <v>4332</v>
      </c>
      <c r="C5254" s="1" t="s">
        <v>3600</v>
      </c>
      <c r="D5254" s="1" t="s">
        <v>533</v>
      </c>
      <c r="E5254" s="1" t="s">
        <v>3893</v>
      </c>
      <c r="F5254" s="1" t="s">
        <v>18730</v>
      </c>
      <c r="G5254" s="1" t="s">
        <v>4349</v>
      </c>
      <c r="H5254" s="1" t="s">
        <v>3604</v>
      </c>
      <c r="I5254" s="1" t="s">
        <v>18731</v>
      </c>
      <c r="J5254" s="1" t="s">
        <v>3606</v>
      </c>
      <c r="K5254" s="1" t="s">
        <v>18732</v>
      </c>
      <c r="L5254" s="1" t="s">
        <v>18589</v>
      </c>
      <c r="M5254" s="1"/>
    </row>
    <row x14ac:dyDescent="0.25" r="5255" customHeight="1" ht="18.75">
      <c r="A5255" s="1" t="s">
        <v>3693</v>
      </c>
      <c r="B5255" s="1" t="s">
        <v>4192</v>
      </c>
      <c r="C5255" s="1" t="s">
        <v>3600</v>
      </c>
      <c r="D5255" s="1" t="s">
        <v>8373</v>
      </c>
      <c r="E5255" s="1" t="s">
        <v>3893</v>
      </c>
      <c r="F5255" s="1" t="s">
        <v>18733</v>
      </c>
      <c r="G5255" s="1" t="s">
        <v>4428</v>
      </c>
      <c r="H5255" s="1" t="s">
        <v>3604</v>
      </c>
      <c r="I5255" s="1" t="s">
        <v>18734</v>
      </c>
      <c r="J5255" s="1" t="s">
        <v>3606</v>
      </c>
      <c r="K5255" s="1" t="s">
        <v>18735</v>
      </c>
      <c r="L5255" s="1"/>
      <c r="M5255" s="1"/>
    </row>
    <row x14ac:dyDescent="0.25" r="5256" customHeight="1" ht="18.75">
      <c r="A5256" s="1" t="s">
        <v>3693</v>
      </c>
      <c r="B5256" s="1" t="s">
        <v>4332</v>
      </c>
      <c r="C5256" s="1" t="s">
        <v>3600</v>
      </c>
      <c r="D5256" s="1" t="s">
        <v>533</v>
      </c>
      <c r="E5256" s="1" t="s">
        <v>3893</v>
      </c>
      <c r="F5256" s="1" t="s">
        <v>18736</v>
      </c>
      <c r="G5256" s="1" t="s">
        <v>18737</v>
      </c>
      <c r="H5256" s="1" t="s">
        <v>3604</v>
      </c>
      <c r="I5256" s="1" t="s">
        <v>18738</v>
      </c>
      <c r="J5256" s="1" t="s">
        <v>3606</v>
      </c>
      <c r="K5256" s="1" t="s">
        <v>18739</v>
      </c>
      <c r="L5256" s="1" t="s">
        <v>18589</v>
      </c>
      <c r="M5256" s="1"/>
    </row>
    <row x14ac:dyDescent="0.25" r="5257" customHeight="1" ht="18.75">
      <c r="A5257" s="1" t="s">
        <v>3693</v>
      </c>
      <c r="B5257" s="1" t="s">
        <v>4332</v>
      </c>
      <c r="C5257" s="1" t="s">
        <v>3600</v>
      </c>
      <c r="D5257" s="1" t="s">
        <v>533</v>
      </c>
      <c r="E5257" s="1" t="s">
        <v>3893</v>
      </c>
      <c r="F5257" s="1" t="s">
        <v>18740</v>
      </c>
      <c r="G5257" s="1" t="s">
        <v>5644</v>
      </c>
      <c r="H5257" s="1" t="s">
        <v>3604</v>
      </c>
      <c r="I5257" s="1" t="s">
        <v>18741</v>
      </c>
      <c r="J5257" s="1" t="s">
        <v>3606</v>
      </c>
      <c r="K5257" s="1" t="s">
        <v>18742</v>
      </c>
      <c r="L5257" s="1" t="s">
        <v>18589</v>
      </c>
      <c r="M5257" s="1"/>
    </row>
    <row x14ac:dyDescent="0.25" r="5258" customHeight="1" ht="18.75">
      <c r="A5258" s="1" t="s">
        <v>3693</v>
      </c>
      <c r="B5258" s="1" t="s">
        <v>4332</v>
      </c>
      <c r="C5258" s="1" t="s">
        <v>3600</v>
      </c>
      <c r="D5258" s="1" t="s">
        <v>533</v>
      </c>
      <c r="E5258" s="1" t="s">
        <v>3893</v>
      </c>
      <c r="F5258" s="1" t="s">
        <v>18743</v>
      </c>
      <c r="G5258" s="1" t="s">
        <v>18744</v>
      </c>
      <c r="H5258" s="1" t="s">
        <v>3604</v>
      </c>
      <c r="I5258" s="1" t="s">
        <v>18745</v>
      </c>
      <c r="J5258" s="1" t="s">
        <v>3606</v>
      </c>
      <c r="K5258" s="1" t="s">
        <v>18746</v>
      </c>
      <c r="L5258" s="1" t="s">
        <v>18589</v>
      </c>
      <c r="M5258" s="1"/>
    </row>
    <row x14ac:dyDescent="0.25" r="5259" customHeight="1" ht="18.75">
      <c r="A5259" s="1" t="s">
        <v>3693</v>
      </c>
      <c r="B5259" s="1" t="s">
        <v>4332</v>
      </c>
      <c r="C5259" s="1" t="s">
        <v>3600</v>
      </c>
      <c r="D5259" s="1" t="s">
        <v>3610</v>
      </c>
      <c r="E5259" s="1" t="s">
        <v>3893</v>
      </c>
      <c r="F5259" s="1" t="s">
        <v>18747</v>
      </c>
      <c r="G5259" s="1" t="s">
        <v>18748</v>
      </c>
      <c r="H5259" s="1" t="s">
        <v>3604</v>
      </c>
      <c r="I5259" s="1" t="s">
        <v>18749</v>
      </c>
      <c r="J5259" s="1" t="s">
        <v>3606</v>
      </c>
      <c r="K5259" s="1" t="s">
        <v>18750</v>
      </c>
      <c r="L5259" s="1" t="s">
        <v>7868</v>
      </c>
      <c r="M5259" s="1"/>
    </row>
    <row x14ac:dyDescent="0.25" r="5260" customHeight="1" ht="18.75">
      <c r="A5260" s="1" t="s">
        <v>3693</v>
      </c>
      <c r="B5260" s="1" t="s">
        <v>4332</v>
      </c>
      <c r="C5260" s="1" t="s">
        <v>3600</v>
      </c>
      <c r="D5260" s="1" t="s">
        <v>533</v>
      </c>
      <c r="E5260" s="1" t="s">
        <v>3893</v>
      </c>
      <c r="F5260" s="1" t="s">
        <v>18751</v>
      </c>
      <c r="G5260" s="1" t="s">
        <v>18752</v>
      </c>
      <c r="H5260" s="1" t="s">
        <v>3604</v>
      </c>
      <c r="I5260" s="1" t="s">
        <v>18753</v>
      </c>
      <c r="J5260" s="1" t="s">
        <v>3606</v>
      </c>
      <c r="K5260" s="1" t="s">
        <v>18754</v>
      </c>
      <c r="L5260" s="1" t="s">
        <v>3608</v>
      </c>
      <c r="M5260" s="1"/>
    </row>
    <row x14ac:dyDescent="0.25" r="5261" customHeight="1" ht="18.75">
      <c r="A5261" s="1" t="s">
        <v>3693</v>
      </c>
      <c r="B5261" s="1" t="s">
        <v>4332</v>
      </c>
      <c r="C5261" s="1" t="s">
        <v>3600</v>
      </c>
      <c r="D5261" s="1" t="s">
        <v>533</v>
      </c>
      <c r="E5261" s="1" t="s">
        <v>3893</v>
      </c>
      <c r="F5261" s="1" t="s">
        <v>18755</v>
      </c>
      <c r="G5261" s="1" t="s">
        <v>18756</v>
      </c>
      <c r="H5261" s="1" t="s">
        <v>3604</v>
      </c>
      <c r="I5261" s="1" t="s">
        <v>18757</v>
      </c>
      <c r="J5261" s="1" t="s">
        <v>3606</v>
      </c>
      <c r="K5261" s="1" t="s">
        <v>18758</v>
      </c>
      <c r="L5261" s="1" t="s">
        <v>18589</v>
      </c>
      <c r="M5261" s="1"/>
    </row>
    <row x14ac:dyDescent="0.25" r="5262" customHeight="1" ht="18.75">
      <c r="A5262" s="1" t="s">
        <v>3693</v>
      </c>
      <c r="B5262" s="1" t="s">
        <v>4332</v>
      </c>
      <c r="C5262" s="1" t="s">
        <v>3600</v>
      </c>
      <c r="D5262" s="1" t="s">
        <v>3610</v>
      </c>
      <c r="E5262" s="1" t="s">
        <v>3893</v>
      </c>
      <c r="F5262" s="1" t="s">
        <v>18759</v>
      </c>
      <c r="G5262" s="1" t="s">
        <v>18705</v>
      </c>
      <c r="H5262" s="1" t="s">
        <v>3604</v>
      </c>
      <c r="I5262" s="1" t="s">
        <v>18760</v>
      </c>
      <c r="J5262" s="1" t="s">
        <v>3606</v>
      </c>
      <c r="K5262" s="1" t="s">
        <v>18761</v>
      </c>
      <c r="L5262" s="1" t="s">
        <v>7868</v>
      </c>
      <c r="M5262" s="1"/>
    </row>
    <row x14ac:dyDescent="0.25" r="5263" customHeight="1" ht="18.75">
      <c r="A5263" s="1" t="s">
        <v>3693</v>
      </c>
      <c r="B5263" s="1" t="s">
        <v>4332</v>
      </c>
      <c r="C5263" s="1" t="s">
        <v>3600</v>
      </c>
      <c r="D5263" s="1" t="s">
        <v>3610</v>
      </c>
      <c r="E5263" s="1" t="s">
        <v>3893</v>
      </c>
      <c r="F5263" s="1" t="s">
        <v>18762</v>
      </c>
      <c r="G5263" s="1" t="s">
        <v>18763</v>
      </c>
      <c r="H5263" s="1" t="s">
        <v>3604</v>
      </c>
      <c r="I5263" s="1" t="s">
        <v>18764</v>
      </c>
      <c r="J5263" s="1" t="s">
        <v>3606</v>
      </c>
      <c r="K5263" s="1" t="s">
        <v>18765</v>
      </c>
      <c r="L5263" s="1" t="s">
        <v>7868</v>
      </c>
      <c r="M5263" s="1"/>
    </row>
    <row x14ac:dyDescent="0.25" r="5264" customHeight="1" ht="18.75">
      <c r="A5264" s="1" t="s">
        <v>3693</v>
      </c>
      <c r="B5264" s="1" t="s">
        <v>4332</v>
      </c>
      <c r="C5264" s="1" t="s">
        <v>3600</v>
      </c>
      <c r="D5264" s="1" t="s">
        <v>3610</v>
      </c>
      <c r="E5264" s="1" t="s">
        <v>3893</v>
      </c>
      <c r="F5264" s="1" t="s">
        <v>18766</v>
      </c>
      <c r="G5264" s="1" t="s">
        <v>18767</v>
      </c>
      <c r="H5264" s="1" t="s">
        <v>3604</v>
      </c>
      <c r="I5264" s="1" t="s">
        <v>18768</v>
      </c>
      <c r="J5264" s="1" t="s">
        <v>3606</v>
      </c>
      <c r="K5264" s="1" t="s">
        <v>18769</v>
      </c>
      <c r="L5264" s="1" t="s">
        <v>7868</v>
      </c>
      <c r="M5264" s="1"/>
    </row>
    <row x14ac:dyDescent="0.25" r="5265" customHeight="1" ht="18.75">
      <c r="A5265" s="1" t="s">
        <v>3693</v>
      </c>
      <c r="B5265" s="1" t="s">
        <v>4332</v>
      </c>
      <c r="C5265" s="1" t="s">
        <v>3600</v>
      </c>
      <c r="D5265" s="1" t="s">
        <v>3610</v>
      </c>
      <c r="E5265" s="1" t="s">
        <v>3893</v>
      </c>
      <c r="F5265" s="1" t="s">
        <v>18770</v>
      </c>
      <c r="G5265" s="1" t="s">
        <v>18705</v>
      </c>
      <c r="H5265" s="1" t="s">
        <v>3604</v>
      </c>
      <c r="I5265" s="1" t="s">
        <v>18771</v>
      </c>
      <c r="J5265" s="1" t="s">
        <v>3606</v>
      </c>
      <c r="K5265" s="1" t="s">
        <v>18772</v>
      </c>
      <c r="L5265" s="1" t="s">
        <v>3608</v>
      </c>
      <c r="M5265" s="1"/>
    </row>
    <row x14ac:dyDescent="0.25" r="5266" customHeight="1" ht="18.75">
      <c r="A5266" s="1" t="s">
        <v>3693</v>
      </c>
      <c r="B5266" s="1" t="s">
        <v>4332</v>
      </c>
      <c r="C5266" s="1" t="s">
        <v>3600</v>
      </c>
      <c r="D5266" s="1" t="s">
        <v>3610</v>
      </c>
      <c r="E5266" s="1" t="s">
        <v>3893</v>
      </c>
      <c r="F5266" s="1" t="s">
        <v>18773</v>
      </c>
      <c r="G5266" s="1" t="s">
        <v>18774</v>
      </c>
      <c r="H5266" s="1" t="s">
        <v>3604</v>
      </c>
      <c r="I5266" s="1" t="s">
        <v>18775</v>
      </c>
      <c r="J5266" s="1" t="s">
        <v>3606</v>
      </c>
      <c r="K5266" s="1" t="s">
        <v>18776</v>
      </c>
      <c r="L5266" s="1" t="s">
        <v>3608</v>
      </c>
      <c r="M5266" s="1"/>
    </row>
    <row x14ac:dyDescent="0.25" r="5267" customHeight="1" ht="18.75">
      <c r="A5267" s="1" t="s">
        <v>3693</v>
      </c>
      <c r="B5267" s="1" t="s">
        <v>4332</v>
      </c>
      <c r="C5267" s="1" t="s">
        <v>3600</v>
      </c>
      <c r="D5267" s="1" t="s">
        <v>3610</v>
      </c>
      <c r="E5267" s="1" t="s">
        <v>3893</v>
      </c>
      <c r="F5267" s="1" t="s">
        <v>18777</v>
      </c>
      <c r="G5267" s="1" t="s">
        <v>18778</v>
      </c>
      <c r="H5267" s="1" t="s">
        <v>3604</v>
      </c>
      <c r="I5267" s="1" t="s">
        <v>18779</v>
      </c>
      <c r="J5267" s="1" t="s">
        <v>3606</v>
      </c>
      <c r="K5267" s="1" t="s">
        <v>18780</v>
      </c>
      <c r="L5267" s="1" t="s">
        <v>7868</v>
      </c>
      <c r="M5267" s="1"/>
    </row>
    <row x14ac:dyDescent="0.25" r="5268" customHeight="1" ht="18.75">
      <c r="A5268" s="1" t="s">
        <v>3693</v>
      </c>
      <c r="B5268" s="1" t="s">
        <v>4332</v>
      </c>
      <c r="C5268" s="1" t="s">
        <v>3600</v>
      </c>
      <c r="D5268" s="1" t="s">
        <v>3610</v>
      </c>
      <c r="E5268" s="1" t="s">
        <v>3893</v>
      </c>
      <c r="F5268" s="1" t="s">
        <v>18781</v>
      </c>
      <c r="G5268" s="1" t="s">
        <v>18782</v>
      </c>
      <c r="H5268" s="1" t="s">
        <v>3604</v>
      </c>
      <c r="I5268" s="1" t="s">
        <v>18783</v>
      </c>
      <c r="J5268" s="1" t="s">
        <v>3606</v>
      </c>
      <c r="K5268" s="1" t="s">
        <v>18784</v>
      </c>
      <c r="L5268" s="1" t="s">
        <v>7868</v>
      </c>
      <c r="M5268" s="1"/>
    </row>
    <row x14ac:dyDescent="0.25" r="5269" customHeight="1" ht="18.75">
      <c r="A5269" s="1" t="s">
        <v>3693</v>
      </c>
      <c r="B5269" s="1" t="s">
        <v>4332</v>
      </c>
      <c r="C5269" s="1" t="s">
        <v>3600</v>
      </c>
      <c r="D5269" s="1" t="s">
        <v>3610</v>
      </c>
      <c r="E5269" s="1" t="s">
        <v>3893</v>
      </c>
      <c r="F5269" s="1" t="s">
        <v>18785</v>
      </c>
      <c r="G5269" s="1" t="s">
        <v>18705</v>
      </c>
      <c r="H5269" s="1" t="s">
        <v>3604</v>
      </c>
      <c r="I5269" s="1" t="s">
        <v>18786</v>
      </c>
      <c r="J5269" s="1" t="s">
        <v>3606</v>
      </c>
      <c r="K5269" s="1" t="s">
        <v>18787</v>
      </c>
      <c r="L5269" s="1" t="s">
        <v>3608</v>
      </c>
      <c r="M5269" s="1"/>
    </row>
    <row x14ac:dyDescent="0.25" r="5270" customHeight="1" ht="18.75">
      <c r="A5270" s="1" t="s">
        <v>3693</v>
      </c>
      <c r="B5270" s="1" t="s">
        <v>4332</v>
      </c>
      <c r="C5270" s="1" t="s">
        <v>3600</v>
      </c>
      <c r="D5270" s="1" t="s">
        <v>3610</v>
      </c>
      <c r="E5270" s="1" t="s">
        <v>3893</v>
      </c>
      <c r="F5270" s="1" t="s">
        <v>18788</v>
      </c>
      <c r="G5270" s="1" t="s">
        <v>18705</v>
      </c>
      <c r="H5270" s="1" t="s">
        <v>3604</v>
      </c>
      <c r="I5270" s="1" t="s">
        <v>18789</v>
      </c>
      <c r="J5270" s="1" t="s">
        <v>3606</v>
      </c>
      <c r="K5270" s="1" t="s">
        <v>18790</v>
      </c>
      <c r="L5270" s="1" t="s">
        <v>7868</v>
      </c>
      <c r="M5270" s="1"/>
    </row>
    <row x14ac:dyDescent="0.25" r="5271" customHeight="1" ht="18.75">
      <c r="A5271" s="1" t="s">
        <v>3693</v>
      </c>
      <c r="B5271" s="1" t="s">
        <v>4332</v>
      </c>
      <c r="C5271" s="1" t="s">
        <v>3600</v>
      </c>
      <c r="D5271" s="1" t="s">
        <v>3610</v>
      </c>
      <c r="E5271" s="1" t="s">
        <v>3893</v>
      </c>
      <c r="F5271" s="1" t="s">
        <v>18791</v>
      </c>
      <c r="G5271" s="1" t="s">
        <v>18792</v>
      </c>
      <c r="H5271" s="1" t="s">
        <v>3604</v>
      </c>
      <c r="I5271" s="1" t="s">
        <v>18793</v>
      </c>
      <c r="J5271" s="1" t="s">
        <v>3606</v>
      </c>
      <c r="K5271" s="1" t="s">
        <v>18794</v>
      </c>
      <c r="L5271" s="1" t="s">
        <v>7868</v>
      </c>
      <c r="M5271" s="1"/>
    </row>
    <row x14ac:dyDescent="0.25" r="5272" customHeight="1" ht="18.75">
      <c r="A5272" s="1" t="s">
        <v>3693</v>
      </c>
      <c r="B5272" s="1" t="s">
        <v>4332</v>
      </c>
      <c r="C5272" s="1" t="s">
        <v>3600</v>
      </c>
      <c r="D5272" s="1" t="s">
        <v>3610</v>
      </c>
      <c r="E5272" s="1" t="s">
        <v>3893</v>
      </c>
      <c r="F5272" s="1" t="s">
        <v>18795</v>
      </c>
      <c r="G5272" s="1" t="s">
        <v>18796</v>
      </c>
      <c r="H5272" s="1" t="s">
        <v>3604</v>
      </c>
      <c r="I5272" s="1" t="s">
        <v>18797</v>
      </c>
      <c r="J5272" s="1" t="s">
        <v>3606</v>
      </c>
      <c r="K5272" s="1" t="s">
        <v>18798</v>
      </c>
      <c r="L5272" s="1" t="s">
        <v>7868</v>
      </c>
      <c r="M5272" s="1"/>
    </row>
    <row x14ac:dyDescent="0.25" r="5273" customHeight="1" ht="18.75">
      <c r="A5273" s="1" t="s">
        <v>3693</v>
      </c>
      <c r="B5273" s="1" t="s">
        <v>4332</v>
      </c>
      <c r="C5273" s="1" t="s">
        <v>3600</v>
      </c>
      <c r="D5273" s="1" t="s">
        <v>3610</v>
      </c>
      <c r="E5273" s="1" t="s">
        <v>3893</v>
      </c>
      <c r="F5273" s="1" t="s">
        <v>18799</v>
      </c>
      <c r="G5273" s="1" t="s">
        <v>18800</v>
      </c>
      <c r="H5273" s="1" t="s">
        <v>3604</v>
      </c>
      <c r="I5273" s="1" t="s">
        <v>18801</v>
      </c>
      <c r="J5273" s="1" t="s">
        <v>3606</v>
      </c>
      <c r="K5273" s="1" t="s">
        <v>18802</v>
      </c>
      <c r="L5273" s="1" t="s">
        <v>7868</v>
      </c>
      <c r="M5273" s="1"/>
    </row>
    <row x14ac:dyDescent="0.25" r="5274" customHeight="1" ht="18.75">
      <c r="A5274" s="1" t="s">
        <v>3693</v>
      </c>
      <c r="B5274" s="1" t="s">
        <v>4332</v>
      </c>
      <c r="C5274" s="1" t="s">
        <v>3600</v>
      </c>
      <c r="D5274" s="1" t="s">
        <v>3610</v>
      </c>
      <c r="E5274" s="1" t="s">
        <v>3893</v>
      </c>
      <c r="F5274" s="1" t="s">
        <v>18803</v>
      </c>
      <c r="G5274" s="1" t="s">
        <v>6678</v>
      </c>
      <c r="H5274" s="1" t="s">
        <v>3604</v>
      </c>
      <c r="I5274" s="1" t="s">
        <v>18804</v>
      </c>
      <c r="J5274" s="1" t="s">
        <v>3606</v>
      </c>
      <c r="K5274" s="1" t="s">
        <v>18805</v>
      </c>
      <c r="L5274" s="1" t="s">
        <v>3608</v>
      </c>
      <c r="M5274" s="1"/>
    </row>
    <row x14ac:dyDescent="0.25" r="5275" customHeight="1" ht="18.75">
      <c r="A5275" s="1" t="s">
        <v>3693</v>
      </c>
      <c r="B5275" s="1" t="s">
        <v>4332</v>
      </c>
      <c r="C5275" s="1" t="s">
        <v>3600</v>
      </c>
      <c r="D5275" s="1" t="s">
        <v>3610</v>
      </c>
      <c r="E5275" s="1" t="s">
        <v>3893</v>
      </c>
      <c r="F5275" s="1" t="s">
        <v>18806</v>
      </c>
      <c r="G5275" s="1" t="s">
        <v>18807</v>
      </c>
      <c r="H5275" s="1" t="s">
        <v>3604</v>
      </c>
      <c r="I5275" s="1" t="s">
        <v>18808</v>
      </c>
      <c r="J5275" s="1" t="s">
        <v>3606</v>
      </c>
      <c r="K5275" s="1" t="s">
        <v>18809</v>
      </c>
      <c r="L5275" s="1" t="s">
        <v>3608</v>
      </c>
      <c r="M5275" s="1"/>
    </row>
    <row x14ac:dyDescent="0.25" r="5276" customHeight="1" ht="18.75">
      <c r="A5276" s="1" t="s">
        <v>3693</v>
      </c>
      <c r="B5276" s="1" t="s">
        <v>4332</v>
      </c>
      <c r="C5276" s="1" t="s">
        <v>3600</v>
      </c>
      <c r="D5276" s="1" t="s">
        <v>3610</v>
      </c>
      <c r="E5276" s="1" t="s">
        <v>3893</v>
      </c>
      <c r="F5276" s="1" t="s">
        <v>18810</v>
      </c>
      <c r="G5276" s="1" t="s">
        <v>18811</v>
      </c>
      <c r="H5276" s="1" t="s">
        <v>3604</v>
      </c>
      <c r="I5276" s="1" t="s">
        <v>18812</v>
      </c>
      <c r="J5276" s="1" t="s">
        <v>3606</v>
      </c>
      <c r="K5276" s="1" t="s">
        <v>18813</v>
      </c>
      <c r="L5276" s="1" t="s">
        <v>7868</v>
      </c>
      <c r="M5276" s="1"/>
    </row>
    <row x14ac:dyDescent="0.25" r="5277" customHeight="1" ht="18.75">
      <c r="A5277" s="1" t="s">
        <v>3693</v>
      </c>
      <c r="B5277" s="1" t="s">
        <v>4332</v>
      </c>
      <c r="C5277" s="1" t="s">
        <v>3600</v>
      </c>
      <c r="D5277" s="1" t="s">
        <v>10609</v>
      </c>
      <c r="E5277" s="1" t="s">
        <v>3893</v>
      </c>
      <c r="F5277" s="1" t="s">
        <v>18814</v>
      </c>
      <c r="G5277" s="1" t="s">
        <v>6678</v>
      </c>
      <c r="H5277" s="1" t="s">
        <v>3604</v>
      </c>
      <c r="I5277" s="1" t="s">
        <v>18815</v>
      </c>
      <c r="J5277" s="1" t="s">
        <v>3606</v>
      </c>
      <c r="K5277" s="1" t="s">
        <v>18816</v>
      </c>
      <c r="L5277" s="1" t="s">
        <v>3608</v>
      </c>
      <c r="M5277" s="1"/>
    </row>
    <row x14ac:dyDescent="0.25" r="5278" customHeight="1" ht="18.75">
      <c r="A5278" s="1" t="s">
        <v>3693</v>
      </c>
      <c r="B5278" s="1" t="s">
        <v>4267</v>
      </c>
      <c r="C5278" s="1" t="s">
        <v>3600</v>
      </c>
      <c r="D5278" s="1" t="s">
        <v>10609</v>
      </c>
      <c r="E5278" s="1" t="s">
        <v>3893</v>
      </c>
      <c r="F5278" s="1" t="s">
        <v>18817</v>
      </c>
      <c r="G5278" s="1" t="s">
        <v>6678</v>
      </c>
      <c r="H5278" s="1" t="s">
        <v>3604</v>
      </c>
      <c r="I5278" s="1" t="s">
        <v>18818</v>
      </c>
      <c r="J5278" s="1" t="s">
        <v>3606</v>
      </c>
      <c r="K5278" s="1" t="s">
        <v>18816</v>
      </c>
      <c r="L5278" s="1" t="s">
        <v>18202</v>
      </c>
      <c r="M5278" s="1"/>
    </row>
    <row x14ac:dyDescent="0.25" r="5279" customHeight="1" ht="18.75">
      <c r="A5279" s="1" t="s">
        <v>3693</v>
      </c>
      <c r="B5279" s="1" t="s">
        <v>4332</v>
      </c>
      <c r="C5279" s="1" t="s">
        <v>3600</v>
      </c>
      <c r="D5279" s="1" t="s">
        <v>10609</v>
      </c>
      <c r="E5279" s="1" t="s">
        <v>3893</v>
      </c>
      <c r="F5279" s="1" t="s">
        <v>18819</v>
      </c>
      <c r="G5279" s="1" t="s">
        <v>4342</v>
      </c>
      <c r="H5279" s="1" t="s">
        <v>3604</v>
      </c>
      <c r="I5279" s="1" t="s">
        <v>18820</v>
      </c>
      <c r="J5279" s="1" t="s">
        <v>3606</v>
      </c>
      <c r="K5279" s="1" t="s">
        <v>18821</v>
      </c>
      <c r="L5279" s="1" t="s">
        <v>3608</v>
      </c>
      <c r="M5279" s="1"/>
    </row>
    <row x14ac:dyDescent="0.25" r="5280" customHeight="1" ht="18.75">
      <c r="A5280" s="1" t="s">
        <v>3693</v>
      </c>
      <c r="B5280" s="1" t="s">
        <v>4192</v>
      </c>
      <c r="C5280" s="1" t="s">
        <v>3600</v>
      </c>
      <c r="D5280" s="1" t="s">
        <v>10609</v>
      </c>
      <c r="E5280" s="1" t="s">
        <v>3893</v>
      </c>
      <c r="F5280" s="1" t="s">
        <v>18822</v>
      </c>
      <c r="G5280" s="1" t="s">
        <v>4342</v>
      </c>
      <c r="H5280" s="1" t="s">
        <v>3604</v>
      </c>
      <c r="I5280" s="1" t="s">
        <v>18823</v>
      </c>
      <c r="J5280" s="1" t="s">
        <v>3606</v>
      </c>
      <c r="K5280" s="1" t="s">
        <v>18824</v>
      </c>
      <c r="L5280" s="1" t="s">
        <v>18202</v>
      </c>
      <c r="M5280" s="1"/>
    </row>
    <row x14ac:dyDescent="0.25" r="5281" customHeight="1" ht="18.75">
      <c r="A5281" s="1" t="s">
        <v>3693</v>
      </c>
      <c r="B5281" s="1" t="s">
        <v>4332</v>
      </c>
      <c r="C5281" s="1" t="s">
        <v>3600</v>
      </c>
      <c r="D5281" s="1" t="s">
        <v>7891</v>
      </c>
      <c r="E5281" s="1" t="s">
        <v>3893</v>
      </c>
      <c r="F5281" s="1" t="s">
        <v>18825</v>
      </c>
      <c r="G5281" s="1" t="s">
        <v>6678</v>
      </c>
      <c r="H5281" s="1" t="s">
        <v>3604</v>
      </c>
      <c r="I5281" s="1" t="s">
        <v>18826</v>
      </c>
      <c r="J5281" s="1" t="s">
        <v>3606</v>
      </c>
      <c r="K5281" s="1" t="s">
        <v>18827</v>
      </c>
      <c r="L5281" s="1"/>
      <c r="M5281" s="1"/>
    </row>
    <row x14ac:dyDescent="0.25" r="5282" customHeight="1" ht="18.75">
      <c r="A5282" s="1" t="s">
        <v>3693</v>
      </c>
      <c r="B5282" s="1" t="s">
        <v>5615</v>
      </c>
      <c r="C5282" s="1" t="s">
        <v>3600</v>
      </c>
      <c r="D5282" s="1" t="s">
        <v>8373</v>
      </c>
      <c r="E5282" s="1" t="s">
        <v>3893</v>
      </c>
      <c r="F5282" s="1" t="s">
        <v>18828</v>
      </c>
      <c r="G5282" s="1" t="s">
        <v>18829</v>
      </c>
      <c r="H5282" s="1" t="s">
        <v>3604</v>
      </c>
      <c r="I5282" s="1" t="s">
        <v>18830</v>
      </c>
      <c r="J5282" s="1" t="s">
        <v>3606</v>
      </c>
      <c r="K5282" s="1"/>
      <c r="L5282" s="1"/>
      <c r="M5282" s="1"/>
    </row>
    <row x14ac:dyDescent="0.25" r="5283" customHeight="1" ht="18.75">
      <c r="A5283" s="1" t="s">
        <v>3693</v>
      </c>
      <c r="B5283" s="1" t="s">
        <v>5615</v>
      </c>
      <c r="C5283" s="1" t="s">
        <v>3600</v>
      </c>
      <c r="D5283" s="1" t="s">
        <v>8373</v>
      </c>
      <c r="E5283" s="1" t="s">
        <v>3893</v>
      </c>
      <c r="F5283" s="1" t="s">
        <v>18831</v>
      </c>
      <c r="G5283" s="1" t="s">
        <v>18832</v>
      </c>
      <c r="H5283" s="1" t="s">
        <v>3604</v>
      </c>
      <c r="I5283" s="1" t="s">
        <v>18833</v>
      </c>
      <c r="J5283" s="1" t="s">
        <v>3606</v>
      </c>
      <c r="K5283" s="1"/>
      <c r="L5283" s="1"/>
      <c r="M5283" s="1"/>
    </row>
    <row x14ac:dyDescent="0.25" r="5284" customHeight="1" ht="18.75">
      <c r="A5284" s="1" t="s">
        <v>3693</v>
      </c>
      <c r="B5284" s="1" t="s">
        <v>5615</v>
      </c>
      <c r="C5284" s="1" t="s">
        <v>3600</v>
      </c>
      <c r="D5284" s="1" t="s">
        <v>7891</v>
      </c>
      <c r="E5284" s="1" t="s">
        <v>3893</v>
      </c>
      <c r="F5284" s="1" t="s">
        <v>18834</v>
      </c>
      <c r="G5284" s="1" t="s">
        <v>18832</v>
      </c>
      <c r="H5284" s="1" t="s">
        <v>3604</v>
      </c>
      <c r="I5284" s="1" t="s">
        <v>18835</v>
      </c>
      <c r="J5284" s="1" t="s">
        <v>3606</v>
      </c>
      <c r="K5284" s="1"/>
      <c r="L5284" s="1"/>
      <c r="M5284" s="1"/>
    </row>
    <row x14ac:dyDescent="0.25" r="5285" customHeight="1" ht="18.75">
      <c r="A5285" s="1" t="s">
        <v>3693</v>
      </c>
      <c r="B5285" s="1" t="s">
        <v>5615</v>
      </c>
      <c r="C5285" s="1" t="s">
        <v>3600</v>
      </c>
      <c r="D5285" s="1" t="s">
        <v>3601</v>
      </c>
      <c r="E5285" s="1" t="s">
        <v>3893</v>
      </c>
      <c r="F5285" s="1" t="s">
        <v>18836</v>
      </c>
      <c r="G5285" s="1" t="s">
        <v>18837</v>
      </c>
      <c r="H5285" s="1" t="s">
        <v>3604</v>
      </c>
      <c r="I5285" s="1" t="s">
        <v>18838</v>
      </c>
      <c r="J5285" s="1" t="s">
        <v>3606</v>
      </c>
      <c r="K5285" s="1"/>
      <c r="L5285" s="1" t="s">
        <v>3608</v>
      </c>
      <c r="M5285" s="1"/>
    </row>
    <row x14ac:dyDescent="0.25" r="5286" customHeight="1" ht="18.75">
      <c r="A5286" s="1" t="s">
        <v>3693</v>
      </c>
      <c r="B5286" s="1" t="s">
        <v>5615</v>
      </c>
      <c r="C5286" s="1" t="s">
        <v>3600</v>
      </c>
      <c r="D5286" s="1" t="s">
        <v>3601</v>
      </c>
      <c r="E5286" s="1" t="s">
        <v>3893</v>
      </c>
      <c r="F5286" s="1" t="s">
        <v>18839</v>
      </c>
      <c r="G5286" s="1" t="s">
        <v>18840</v>
      </c>
      <c r="H5286" s="1" t="s">
        <v>3604</v>
      </c>
      <c r="I5286" s="1" t="s">
        <v>18841</v>
      </c>
      <c r="J5286" s="1" t="s">
        <v>3606</v>
      </c>
      <c r="K5286" s="1"/>
      <c r="L5286" s="1" t="s">
        <v>3608</v>
      </c>
      <c r="M5286" s="1"/>
    </row>
    <row x14ac:dyDescent="0.25" r="5287" customHeight="1" ht="18.75">
      <c r="A5287" s="1" t="s">
        <v>3693</v>
      </c>
      <c r="B5287" s="1" t="s">
        <v>5615</v>
      </c>
      <c r="C5287" s="1" t="s">
        <v>3600</v>
      </c>
      <c r="D5287" s="1" t="s">
        <v>7847</v>
      </c>
      <c r="E5287" s="1" t="s">
        <v>3893</v>
      </c>
      <c r="F5287" s="1" t="s">
        <v>18842</v>
      </c>
      <c r="G5287" s="1" t="s">
        <v>18843</v>
      </c>
      <c r="H5287" s="1" t="s">
        <v>3604</v>
      </c>
      <c r="I5287" s="1" t="s">
        <v>18844</v>
      </c>
      <c r="J5287" s="1" t="s">
        <v>3615</v>
      </c>
      <c r="K5287" s="1" t="s">
        <v>18845</v>
      </c>
      <c r="L5287" s="1" t="s">
        <v>10634</v>
      </c>
      <c r="M5287" s="1"/>
    </row>
    <row x14ac:dyDescent="0.25" r="5288" customHeight="1" ht="18.75">
      <c r="A5288" s="1" t="s">
        <v>3693</v>
      </c>
      <c r="B5288" s="1" t="s">
        <v>5615</v>
      </c>
      <c r="C5288" s="1" t="s">
        <v>3600</v>
      </c>
      <c r="D5288" s="1" t="s">
        <v>7847</v>
      </c>
      <c r="E5288" s="1" t="s">
        <v>3893</v>
      </c>
      <c r="F5288" s="1" t="s">
        <v>18846</v>
      </c>
      <c r="G5288" s="1" t="s">
        <v>18847</v>
      </c>
      <c r="H5288" s="1" t="s">
        <v>3604</v>
      </c>
      <c r="I5288" s="1" t="s">
        <v>18848</v>
      </c>
      <c r="J5288" s="1" t="s">
        <v>3615</v>
      </c>
      <c r="K5288" s="1" t="s">
        <v>18849</v>
      </c>
      <c r="L5288" s="1" t="s">
        <v>10634</v>
      </c>
      <c r="M5288" s="1"/>
    </row>
    <row x14ac:dyDescent="0.25" r="5289" customHeight="1" ht="18.75">
      <c r="A5289" s="1" t="s">
        <v>3693</v>
      </c>
      <c r="B5289" s="1" t="s">
        <v>5615</v>
      </c>
      <c r="C5289" s="1" t="s">
        <v>3600</v>
      </c>
      <c r="D5289" s="1" t="s">
        <v>3601</v>
      </c>
      <c r="E5289" s="1" t="s">
        <v>3893</v>
      </c>
      <c r="F5289" s="1" t="s">
        <v>18850</v>
      </c>
      <c r="G5289" s="1" t="s">
        <v>18851</v>
      </c>
      <c r="H5289" s="1" t="s">
        <v>3604</v>
      </c>
      <c r="I5289" s="1" t="s">
        <v>18852</v>
      </c>
      <c r="J5289" s="1" t="s">
        <v>3606</v>
      </c>
      <c r="K5289" s="1"/>
      <c r="L5289" s="1" t="s">
        <v>3608</v>
      </c>
      <c r="M5289" s="1"/>
    </row>
    <row x14ac:dyDescent="0.25" r="5290" customHeight="1" ht="18.75">
      <c r="A5290" s="1" t="s">
        <v>3693</v>
      </c>
      <c r="B5290" s="1" t="s">
        <v>5615</v>
      </c>
      <c r="C5290" s="1" t="s">
        <v>3600</v>
      </c>
      <c r="D5290" s="1" t="s">
        <v>3601</v>
      </c>
      <c r="E5290" s="1" t="s">
        <v>3893</v>
      </c>
      <c r="F5290" s="1" t="s">
        <v>18853</v>
      </c>
      <c r="G5290" s="1" t="s">
        <v>18854</v>
      </c>
      <c r="H5290" s="1" t="s">
        <v>3604</v>
      </c>
      <c r="I5290" s="1" t="s">
        <v>18855</v>
      </c>
      <c r="J5290" s="1" t="s">
        <v>3606</v>
      </c>
      <c r="K5290" s="1"/>
      <c r="L5290" s="1" t="s">
        <v>3608</v>
      </c>
      <c r="M5290" s="1"/>
    </row>
    <row x14ac:dyDescent="0.25" r="5291" customHeight="1" ht="18.75">
      <c r="A5291" s="1" t="s">
        <v>3693</v>
      </c>
      <c r="B5291" s="1" t="s">
        <v>5615</v>
      </c>
      <c r="C5291" s="1" t="s">
        <v>3600</v>
      </c>
      <c r="D5291" s="1" t="s">
        <v>7847</v>
      </c>
      <c r="E5291" s="1" t="s">
        <v>3893</v>
      </c>
      <c r="F5291" s="1" t="s">
        <v>18856</v>
      </c>
      <c r="G5291" s="1" t="s">
        <v>18857</v>
      </c>
      <c r="H5291" s="1" t="s">
        <v>3604</v>
      </c>
      <c r="I5291" s="1" t="s">
        <v>18858</v>
      </c>
      <c r="J5291" s="1" t="s">
        <v>3615</v>
      </c>
      <c r="K5291" s="1" t="s">
        <v>18859</v>
      </c>
      <c r="L5291" s="1" t="s">
        <v>10634</v>
      </c>
      <c r="M5291" s="1"/>
    </row>
    <row x14ac:dyDescent="0.25" r="5292" customHeight="1" ht="18.75">
      <c r="A5292" s="1" t="s">
        <v>3693</v>
      </c>
      <c r="B5292" s="1" t="s">
        <v>5615</v>
      </c>
      <c r="C5292" s="1" t="s">
        <v>3600</v>
      </c>
      <c r="D5292" s="1" t="s">
        <v>3601</v>
      </c>
      <c r="E5292" s="1" t="s">
        <v>3893</v>
      </c>
      <c r="F5292" s="1" t="s">
        <v>18860</v>
      </c>
      <c r="G5292" s="1" t="s">
        <v>18861</v>
      </c>
      <c r="H5292" s="1" t="s">
        <v>3604</v>
      </c>
      <c r="I5292" s="1" t="s">
        <v>18862</v>
      </c>
      <c r="J5292" s="1" t="s">
        <v>3606</v>
      </c>
      <c r="K5292" s="1"/>
      <c r="L5292" s="1" t="s">
        <v>3608</v>
      </c>
      <c r="M5292" s="1"/>
    </row>
    <row x14ac:dyDescent="0.25" r="5293" customHeight="1" ht="18.75">
      <c r="A5293" s="1" t="s">
        <v>3693</v>
      </c>
      <c r="B5293" s="1" t="s">
        <v>5615</v>
      </c>
      <c r="C5293" s="1" t="s">
        <v>3600</v>
      </c>
      <c r="D5293" s="1" t="s">
        <v>7847</v>
      </c>
      <c r="E5293" s="1" t="s">
        <v>3893</v>
      </c>
      <c r="F5293" s="1" t="s">
        <v>18863</v>
      </c>
      <c r="G5293" s="1" t="s">
        <v>18864</v>
      </c>
      <c r="H5293" s="1" t="s">
        <v>3604</v>
      </c>
      <c r="I5293" s="1" t="s">
        <v>18865</v>
      </c>
      <c r="J5293" s="1" t="s">
        <v>3615</v>
      </c>
      <c r="K5293" s="1" t="s">
        <v>18866</v>
      </c>
      <c r="L5293" s="1" t="s">
        <v>10634</v>
      </c>
      <c r="M5293" s="1"/>
    </row>
    <row x14ac:dyDescent="0.25" r="5294" customHeight="1" ht="18.75">
      <c r="A5294" s="1" t="s">
        <v>3693</v>
      </c>
      <c r="B5294" s="1" t="s">
        <v>5615</v>
      </c>
      <c r="C5294" s="1" t="s">
        <v>3600</v>
      </c>
      <c r="D5294" s="1" t="s">
        <v>7847</v>
      </c>
      <c r="E5294" s="1" t="s">
        <v>3893</v>
      </c>
      <c r="F5294" s="1" t="s">
        <v>18867</v>
      </c>
      <c r="G5294" s="1" t="s">
        <v>18868</v>
      </c>
      <c r="H5294" s="1" t="s">
        <v>3604</v>
      </c>
      <c r="I5294" s="1" t="s">
        <v>18869</v>
      </c>
      <c r="J5294" s="1" t="s">
        <v>3615</v>
      </c>
      <c r="K5294" s="1" t="s">
        <v>18870</v>
      </c>
      <c r="L5294" s="1" t="s">
        <v>10634</v>
      </c>
      <c r="M5294" s="1"/>
    </row>
    <row x14ac:dyDescent="0.25" r="5295" customHeight="1" ht="18.75">
      <c r="A5295" s="1" t="s">
        <v>3693</v>
      </c>
      <c r="B5295" s="1" t="s">
        <v>5615</v>
      </c>
      <c r="C5295" s="1" t="s">
        <v>3600</v>
      </c>
      <c r="D5295" s="1" t="s">
        <v>7847</v>
      </c>
      <c r="E5295" s="1" t="s">
        <v>3893</v>
      </c>
      <c r="F5295" s="1" t="s">
        <v>18871</v>
      </c>
      <c r="G5295" s="1" t="s">
        <v>18872</v>
      </c>
      <c r="H5295" s="1" t="s">
        <v>3604</v>
      </c>
      <c r="I5295" s="1" t="s">
        <v>18873</v>
      </c>
      <c r="J5295" s="1" t="s">
        <v>3615</v>
      </c>
      <c r="K5295" s="1" t="s">
        <v>18874</v>
      </c>
      <c r="L5295" s="1" t="s">
        <v>10634</v>
      </c>
      <c r="M5295" s="1"/>
    </row>
    <row x14ac:dyDescent="0.25" r="5296" customHeight="1" ht="18.75">
      <c r="A5296" s="1" t="s">
        <v>3693</v>
      </c>
      <c r="B5296" s="1" t="s">
        <v>5615</v>
      </c>
      <c r="C5296" s="1" t="s">
        <v>3600</v>
      </c>
      <c r="D5296" s="1" t="s">
        <v>7847</v>
      </c>
      <c r="E5296" s="1" t="s">
        <v>3893</v>
      </c>
      <c r="F5296" s="1" t="s">
        <v>18875</v>
      </c>
      <c r="G5296" s="1" t="s">
        <v>18876</v>
      </c>
      <c r="H5296" s="1" t="s">
        <v>3604</v>
      </c>
      <c r="I5296" s="1" t="s">
        <v>18877</v>
      </c>
      <c r="J5296" s="1" t="s">
        <v>3615</v>
      </c>
      <c r="K5296" s="1" t="s">
        <v>18878</v>
      </c>
      <c r="L5296" s="1" t="s">
        <v>10634</v>
      </c>
      <c r="M5296" s="1"/>
    </row>
    <row x14ac:dyDescent="0.25" r="5297" customHeight="1" ht="18.75">
      <c r="A5297" s="1" t="s">
        <v>3693</v>
      </c>
      <c r="B5297" s="1" t="s">
        <v>5615</v>
      </c>
      <c r="C5297" s="1" t="s">
        <v>3600</v>
      </c>
      <c r="D5297" s="1" t="s">
        <v>7847</v>
      </c>
      <c r="E5297" s="1" t="s">
        <v>3893</v>
      </c>
      <c r="F5297" s="1" t="s">
        <v>18879</v>
      </c>
      <c r="G5297" s="1" t="s">
        <v>18880</v>
      </c>
      <c r="H5297" s="1" t="s">
        <v>3604</v>
      </c>
      <c r="I5297" s="1" t="s">
        <v>18881</v>
      </c>
      <c r="J5297" s="1" t="s">
        <v>3615</v>
      </c>
      <c r="K5297" s="1" t="s">
        <v>18882</v>
      </c>
      <c r="L5297" s="1" t="s">
        <v>10634</v>
      </c>
      <c r="M5297" s="1"/>
    </row>
    <row x14ac:dyDescent="0.25" r="5298" customHeight="1" ht="18.75">
      <c r="A5298" s="1" t="s">
        <v>3598</v>
      </c>
      <c r="B5298" s="1" t="s">
        <v>5239</v>
      </c>
      <c r="C5298" s="1" t="s">
        <v>3600</v>
      </c>
      <c r="D5298" s="1" t="s">
        <v>3601</v>
      </c>
      <c r="E5298" s="1" t="s">
        <v>3664</v>
      </c>
      <c r="F5298" s="1" t="s">
        <v>18883</v>
      </c>
      <c r="G5298" s="1" t="s">
        <v>13797</v>
      </c>
      <c r="H5298" s="1" t="s">
        <v>3604</v>
      </c>
      <c r="I5298" s="1" t="s">
        <v>18884</v>
      </c>
      <c r="J5298" s="1" t="s">
        <v>3606</v>
      </c>
      <c r="K5298" s="1" t="s">
        <v>18885</v>
      </c>
      <c r="L5298" s="1"/>
      <c r="M5298" s="1"/>
    </row>
    <row x14ac:dyDescent="0.25" r="5299" customHeight="1" ht="18.75">
      <c r="A5299" s="1" t="s">
        <v>3598</v>
      </c>
      <c r="B5299" s="1" t="s">
        <v>5239</v>
      </c>
      <c r="C5299" s="1" t="s">
        <v>3600</v>
      </c>
      <c r="D5299" s="1" t="s">
        <v>3601</v>
      </c>
      <c r="E5299" s="1" t="s">
        <v>3664</v>
      </c>
      <c r="F5299" s="1" t="s">
        <v>18886</v>
      </c>
      <c r="G5299" s="1" t="s">
        <v>13797</v>
      </c>
      <c r="H5299" s="1" t="s">
        <v>3604</v>
      </c>
      <c r="I5299" s="1" t="s">
        <v>18887</v>
      </c>
      <c r="J5299" s="1" t="s">
        <v>3606</v>
      </c>
      <c r="K5299" s="1" t="s">
        <v>13810</v>
      </c>
      <c r="L5299" s="1"/>
      <c r="M5299" s="1"/>
    </row>
    <row x14ac:dyDescent="0.25" r="5300" customHeight="1" ht="18.75">
      <c r="A5300" s="1" t="s">
        <v>3598</v>
      </c>
      <c r="B5300" s="1" t="s">
        <v>5239</v>
      </c>
      <c r="C5300" s="1" t="s">
        <v>3600</v>
      </c>
      <c r="D5300" s="1" t="s">
        <v>3601</v>
      </c>
      <c r="E5300" s="1" t="s">
        <v>3664</v>
      </c>
      <c r="F5300" s="1" t="s">
        <v>18888</v>
      </c>
      <c r="G5300" s="1" t="s">
        <v>13812</v>
      </c>
      <c r="H5300" s="1" t="s">
        <v>3604</v>
      </c>
      <c r="I5300" s="1" t="s">
        <v>18889</v>
      </c>
      <c r="J5300" s="1" t="s">
        <v>3606</v>
      </c>
      <c r="K5300" s="1" t="s">
        <v>18890</v>
      </c>
      <c r="L5300" s="1"/>
      <c r="M5300" s="1"/>
    </row>
    <row x14ac:dyDescent="0.25" r="5301" customHeight="1" ht="18.75">
      <c r="A5301" s="1" t="s">
        <v>3598</v>
      </c>
      <c r="B5301" s="1" t="s">
        <v>5239</v>
      </c>
      <c r="C5301" s="1" t="s">
        <v>3600</v>
      </c>
      <c r="D5301" s="1" t="s">
        <v>3601</v>
      </c>
      <c r="E5301" s="1" t="s">
        <v>3664</v>
      </c>
      <c r="F5301" s="1" t="s">
        <v>18891</v>
      </c>
      <c r="G5301" s="1" t="s">
        <v>13812</v>
      </c>
      <c r="H5301" s="1" t="s">
        <v>3604</v>
      </c>
      <c r="I5301" s="1" t="s">
        <v>18892</v>
      </c>
      <c r="J5301" s="1" t="s">
        <v>3606</v>
      </c>
      <c r="K5301" s="1" t="s">
        <v>13814</v>
      </c>
      <c r="L5301" s="1"/>
      <c r="M5301" s="1"/>
    </row>
    <row x14ac:dyDescent="0.25" r="5302" customHeight="1" ht="18.75">
      <c r="A5302" s="1" t="s">
        <v>3598</v>
      </c>
      <c r="B5302" s="1" t="s">
        <v>5239</v>
      </c>
      <c r="C5302" s="1" t="s">
        <v>3600</v>
      </c>
      <c r="D5302" s="1" t="s">
        <v>3601</v>
      </c>
      <c r="E5302" s="1" t="s">
        <v>3664</v>
      </c>
      <c r="F5302" s="1" t="s">
        <v>18893</v>
      </c>
      <c r="G5302" s="1" t="s">
        <v>13789</v>
      </c>
      <c r="H5302" s="1" t="s">
        <v>3604</v>
      </c>
      <c r="I5302" s="1" t="s">
        <v>18894</v>
      </c>
      <c r="J5302" s="1" t="s">
        <v>3606</v>
      </c>
      <c r="K5302" s="1" t="s">
        <v>18895</v>
      </c>
      <c r="L5302" s="1"/>
      <c r="M5302" s="1"/>
    </row>
    <row x14ac:dyDescent="0.25" r="5303" customHeight="1" ht="18.75">
      <c r="A5303" s="1" t="s">
        <v>3598</v>
      </c>
      <c r="B5303" s="1" t="s">
        <v>5239</v>
      </c>
      <c r="C5303" s="1" t="s">
        <v>3600</v>
      </c>
      <c r="D5303" s="1" t="s">
        <v>3601</v>
      </c>
      <c r="E5303" s="1" t="s">
        <v>3664</v>
      </c>
      <c r="F5303" s="1" t="s">
        <v>18896</v>
      </c>
      <c r="G5303" s="1" t="s">
        <v>13789</v>
      </c>
      <c r="H5303" s="1" t="s">
        <v>3604</v>
      </c>
      <c r="I5303" s="1" t="s">
        <v>18897</v>
      </c>
      <c r="J5303" s="1" t="s">
        <v>3606</v>
      </c>
      <c r="K5303" s="1" t="s">
        <v>13817</v>
      </c>
      <c r="L5303" s="1"/>
      <c r="M5303" s="1"/>
    </row>
    <row x14ac:dyDescent="0.25" r="5304" customHeight="1" ht="18.75">
      <c r="A5304" s="1" t="s">
        <v>3598</v>
      </c>
      <c r="B5304" s="1" t="s">
        <v>5239</v>
      </c>
      <c r="C5304" s="1" t="s">
        <v>3600</v>
      </c>
      <c r="D5304" s="1" t="s">
        <v>3601</v>
      </c>
      <c r="E5304" s="1" t="s">
        <v>3664</v>
      </c>
      <c r="F5304" s="1" t="s">
        <v>18898</v>
      </c>
      <c r="G5304" s="1" t="s">
        <v>13797</v>
      </c>
      <c r="H5304" s="1" t="s">
        <v>3604</v>
      </c>
      <c r="I5304" s="1" t="s">
        <v>18899</v>
      </c>
      <c r="J5304" s="1" t="s">
        <v>3606</v>
      </c>
      <c r="K5304" s="1"/>
      <c r="L5304" s="1"/>
      <c r="M5304" s="1"/>
    </row>
    <row x14ac:dyDescent="0.25" r="5305" customHeight="1" ht="18.75">
      <c r="A5305" s="1" t="s">
        <v>3598</v>
      </c>
      <c r="B5305" s="1" t="s">
        <v>5239</v>
      </c>
      <c r="C5305" s="1" t="s">
        <v>3600</v>
      </c>
      <c r="D5305" s="1" t="s">
        <v>3601</v>
      </c>
      <c r="E5305" s="1" t="s">
        <v>3664</v>
      </c>
      <c r="F5305" s="1" t="s">
        <v>18900</v>
      </c>
      <c r="G5305" s="1" t="s">
        <v>13812</v>
      </c>
      <c r="H5305" s="1" t="s">
        <v>3604</v>
      </c>
      <c r="I5305" s="1" t="s">
        <v>18901</v>
      </c>
      <c r="J5305" s="1" t="s">
        <v>3606</v>
      </c>
      <c r="K5305" s="1"/>
      <c r="L5305" s="1"/>
      <c r="M5305" s="1"/>
    </row>
    <row x14ac:dyDescent="0.25" r="5306" customHeight="1" ht="18.75">
      <c r="A5306" s="1" t="s">
        <v>3598</v>
      </c>
      <c r="B5306" s="1" t="s">
        <v>6728</v>
      </c>
      <c r="C5306" s="1" t="s">
        <v>3600</v>
      </c>
      <c r="D5306" s="1" t="s">
        <v>3601</v>
      </c>
      <c r="E5306" s="1" t="s">
        <v>3664</v>
      </c>
      <c r="F5306" s="1" t="s">
        <v>18902</v>
      </c>
      <c r="G5306" s="1" t="s">
        <v>13781</v>
      </c>
      <c r="H5306" s="1" t="s">
        <v>3604</v>
      </c>
      <c r="I5306" s="1" t="s">
        <v>18903</v>
      </c>
      <c r="J5306" s="1" t="s">
        <v>3606</v>
      </c>
      <c r="K5306" s="1" t="s">
        <v>18904</v>
      </c>
      <c r="L5306" s="1"/>
      <c r="M5306" s="1"/>
    </row>
    <row x14ac:dyDescent="0.25" r="5307" customHeight="1" ht="18.75">
      <c r="A5307" s="1" t="s">
        <v>3598</v>
      </c>
      <c r="B5307" s="1" t="s">
        <v>6728</v>
      </c>
      <c r="C5307" s="1" t="s">
        <v>3600</v>
      </c>
      <c r="D5307" s="1" t="s">
        <v>3601</v>
      </c>
      <c r="E5307" s="1" t="s">
        <v>3664</v>
      </c>
      <c r="F5307" s="1" t="s">
        <v>18905</v>
      </c>
      <c r="G5307" s="1" t="s">
        <v>13781</v>
      </c>
      <c r="H5307" s="1" t="s">
        <v>3604</v>
      </c>
      <c r="I5307" s="1" t="s">
        <v>18906</v>
      </c>
      <c r="J5307" s="1" t="s">
        <v>3606</v>
      </c>
      <c r="K5307" s="1" t="s">
        <v>18907</v>
      </c>
      <c r="L5307" s="1"/>
      <c r="M5307" s="1"/>
    </row>
    <row x14ac:dyDescent="0.25" r="5308" customHeight="1" ht="18.75">
      <c r="A5308" s="1" t="s">
        <v>3598</v>
      </c>
      <c r="B5308" s="1" t="s">
        <v>6728</v>
      </c>
      <c r="C5308" s="1" t="s">
        <v>3600</v>
      </c>
      <c r="D5308" s="1" t="s">
        <v>3601</v>
      </c>
      <c r="E5308" s="1" t="s">
        <v>3664</v>
      </c>
      <c r="F5308" s="1" t="s">
        <v>18908</v>
      </c>
      <c r="G5308" s="1" t="s">
        <v>13785</v>
      </c>
      <c r="H5308" s="1" t="s">
        <v>3604</v>
      </c>
      <c r="I5308" s="1" t="s">
        <v>18909</v>
      </c>
      <c r="J5308" s="1" t="s">
        <v>3606</v>
      </c>
      <c r="K5308" s="1" t="s">
        <v>18910</v>
      </c>
      <c r="L5308" s="1"/>
      <c r="M5308" s="1"/>
    </row>
    <row x14ac:dyDescent="0.25" r="5309" customHeight="1" ht="18.75">
      <c r="A5309" s="1" t="s">
        <v>3598</v>
      </c>
      <c r="B5309" s="1" t="s">
        <v>6728</v>
      </c>
      <c r="C5309" s="1" t="s">
        <v>3600</v>
      </c>
      <c r="D5309" s="1" t="s">
        <v>3601</v>
      </c>
      <c r="E5309" s="1" t="s">
        <v>3664</v>
      </c>
      <c r="F5309" s="1" t="s">
        <v>18911</v>
      </c>
      <c r="G5309" s="1" t="s">
        <v>13785</v>
      </c>
      <c r="H5309" s="1" t="s">
        <v>3604</v>
      </c>
      <c r="I5309" s="1" t="s">
        <v>18912</v>
      </c>
      <c r="J5309" s="1" t="s">
        <v>3606</v>
      </c>
      <c r="K5309" s="1"/>
      <c r="L5309" s="1"/>
      <c r="M5309" s="1"/>
    </row>
    <row x14ac:dyDescent="0.25" r="5310" customHeight="1" ht="18.75">
      <c r="A5310" s="1" t="s">
        <v>3598</v>
      </c>
      <c r="B5310" s="1" t="s">
        <v>6728</v>
      </c>
      <c r="C5310" s="1" t="s">
        <v>3600</v>
      </c>
      <c r="D5310" s="1" t="s">
        <v>3601</v>
      </c>
      <c r="E5310" s="1" t="s">
        <v>3664</v>
      </c>
      <c r="F5310" s="1" t="s">
        <v>18913</v>
      </c>
      <c r="G5310" s="1" t="s">
        <v>13781</v>
      </c>
      <c r="H5310" s="1" t="s">
        <v>3604</v>
      </c>
      <c r="I5310" s="1" t="s">
        <v>18914</v>
      </c>
      <c r="J5310" s="1" t="s">
        <v>3606</v>
      </c>
      <c r="K5310" s="1"/>
      <c r="L5310" s="1"/>
      <c r="M5310" s="1"/>
    </row>
    <row x14ac:dyDescent="0.25" r="5311" customHeight="1" ht="18.75">
      <c r="A5311" s="1" t="s">
        <v>3598</v>
      </c>
      <c r="B5311" s="1" t="s">
        <v>6728</v>
      </c>
      <c r="C5311" s="1" t="s">
        <v>3600</v>
      </c>
      <c r="D5311" s="1" t="s">
        <v>3601</v>
      </c>
      <c r="E5311" s="1" t="s">
        <v>3664</v>
      </c>
      <c r="F5311" s="1" t="s">
        <v>18915</v>
      </c>
      <c r="G5311" s="1" t="s">
        <v>13785</v>
      </c>
      <c r="H5311" s="1" t="s">
        <v>3604</v>
      </c>
      <c r="I5311" s="1" t="s">
        <v>18916</v>
      </c>
      <c r="J5311" s="1" t="s">
        <v>3606</v>
      </c>
      <c r="K5311" s="1"/>
      <c r="L5311" s="1"/>
      <c r="M5311" s="1"/>
    </row>
    <row x14ac:dyDescent="0.25" r="5312" customHeight="1" ht="18.75">
      <c r="A5312" s="1" t="s">
        <v>3598</v>
      </c>
      <c r="B5312" s="1" t="s">
        <v>9020</v>
      </c>
      <c r="C5312" s="1" t="s">
        <v>3600</v>
      </c>
      <c r="D5312" s="1" t="s">
        <v>3601</v>
      </c>
      <c r="E5312" s="1" t="s">
        <v>3893</v>
      </c>
      <c r="F5312" s="1" t="s">
        <v>18917</v>
      </c>
      <c r="G5312" s="1" t="s">
        <v>9022</v>
      </c>
      <c r="H5312" s="1" t="s">
        <v>3604</v>
      </c>
      <c r="I5312" s="1" t="s">
        <v>18918</v>
      </c>
      <c r="J5312" s="1" t="s">
        <v>3606</v>
      </c>
      <c r="K5312" s="1" t="s">
        <v>18919</v>
      </c>
      <c r="L5312" s="1"/>
      <c r="M5312" s="1"/>
    </row>
    <row x14ac:dyDescent="0.25" r="5313" customHeight="1" ht="18.75">
      <c r="A5313" s="1" t="s">
        <v>3598</v>
      </c>
      <c r="B5313" s="1" t="s">
        <v>9020</v>
      </c>
      <c r="C5313" s="1" t="s">
        <v>3600</v>
      </c>
      <c r="D5313" s="1" t="s">
        <v>3601</v>
      </c>
      <c r="E5313" s="1" t="s">
        <v>3893</v>
      </c>
      <c r="F5313" s="1" t="s">
        <v>18920</v>
      </c>
      <c r="G5313" s="1" t="s">
        <v>13944</v>
      </c>
      <c r="H5313" s="1" t="s">
        <v>3604</v>
      </c>
      <c r="I5313" s="1" t="s">
        <v>18921</v>
      </c>
      <c r="J5313" s="1" t="s">
        <v>3606</v>
      </c>
      <c r="K5313" s="1" t="s">
        <v>18922</v>
      </c>
      <c r="L5313" s="1"/>
      <c r="M5313" s="1"/>
    </row>
    <row x14ac:dyDescent="0.25" r="5314" customHeight="1" ht="18.75">
      <c r="A5314" s="1" t="s">
        <v>3598</v>
      </c>
      <c r="B5314" s="1" t="s">
        <v>9020</v>
      </c>
      <c r="C5314" s="1" t="s">
        <v>3600</v>
      </c>
      <c r="D5314" s="1" t="s">
        <v>3601</v>
      </c>
      <c r="E5314" s="1" t="s">
        <v>3893</v>
      </c>
      <c r="F5314" s="1" t="s">
        <v>18923</v>
      </c>
      <c r="G5314" s="1" t="s">
        <v>13948</v>
      </c>
      <c r="H5314" s="1" t="s">
        <v>3604</v>
      </c>
      <c r="I5314" s="1" t="s">
        <v>18924</v>
      </c>
      <c r="J5314" s="1" t="s">
        <v>3606</v>
      </c>
      <c r="K5314" s="1" t="s">
        <v>18925</v>
      </c>
      <c r="L5314" s="1"/>
      <c r="M5314" s="1"/>
    </row>
    <row x14ac:dyDescent="0.25" r="5315" customHeight="1" ht="18.75">
      <c r="A5315" s="1" t="s">
        <v>3598</v>
      </c>
      <c r="B5315" s="1" t="s">
        <v>9020</v>
      </c>
      <c r="C5315" s="1" t="s">
        <v>3600</v>
      </c>
      <c r="D5315" s="1" t="s">
        <v>3601</v>
      </c>
      <c r="E5315" s="1" t="s">
        <v>3664</v>
      </c>
      <c r="F5315" s="1" t="s">
        <v>18926</v>
      </c>
      <c r="G5315" s="1" t="s">
        <v>13952</v>
      </c>
      <c r="H5315" s="1" t="s">
        <v>3604</v>
      </c>
      <c r="I5315" s="1" t="s">
        <v>18927</v>
      </c>
      <c r="J5315" s="1" t="s">
        <v>3606</v>
      </c>
      <c r="K5315" s="1" t="s">
        <v>18928</v>
      </c>
      <c r="L5315" s="1"/>
      <c r="M5315" s="1"/>
    </row>
    <row x14ac:dyDescent="0.25" r="5316" customHeight="1" ht="18.75">
      <c r="A5316" s="1" t="s">
        <v>3598</v>
      </c>
      <c r="B5316" s="1" t="s">
        <v>9020</v>
      </c>
      <c r="C5316" s="1" t="s">
        <v>3600</v>
      </c>
      <c r="D5316" s="1" t="s">
        <v>3601</v>
      </c>
      <c r="E5316" s="1" t="s">
        <v>3664</v>
      </c>
      <c r="F5316" s="1" t="s">
        <v>18929</v>
      </c>
      <c r="G5316" s="1" t="s">
        <v>13952</v>
      </c>
      <c r="H5316" s="1" t="s">
        <v>3604</v>
      </c>
      <c r="I5316" s="1" t="s">
        <v>18930</v>
      </c>
      <c r="J5316" s="1" t="s">
        <v>3606</v>
      </c>
      <c r="K5316" s="1" t="s">
        <v>18931</v>
      </c>
      <c r="L5316" s="1"/>
      <c r="M5316" s="1"/>
    </row>
    <row x14ac:dyDescent="0.25" r="5317" customHeight="1" ht="18.75">
      <c r="A5317" s="1" t="s">
        <v>3598</v>
      </c>
      <c r="B5317" s="1" t="s">
        <v>9020</v>
      </c>
      <c r="C5317" s="1" t="s">
        <v>3600</v>
      </c>
      <c r="D5317" s="1" t="s">
        <v>3601</v>
      </c>
      <c r="E5317" s="1" t="s">
        <v>3664</v>
      </c>
      <c r="F5317" s="1" t="s">
        <v>18932</v>
      </c>
      <c r="G5317" s="1" t="s">
        <v>13956</v>
      </c>
      <c r="H5317" s="1" t="s">
        <v>3604</v>
      </c>
      <c r="I5317" s="1" t="s">
        <v>18933</v>
      </c>
      <c r="J5317" s="1" t="s">
        <v>3606</v>
      </c>
      <c r="K5317" s="1" t="s">
        <v>18934</v>
      </c>
      <c r="L5317" s="1"/>
      <c r="M5317" s="1"/>
    </row>
    <row x14ac:dyDescent="0.25" r="5318" customHeight="1" ht="18.75">
      <c r="A5318" s="1" t="s">
        <v>3598</v>
      </c>
      <c r="B5318" s="1" t="s">
        <v>9020</v>
      </c>
      <c r="C5318" s="1" t="s">
        <v>3600</v>
      </c>
      <c r="D5318" s="1" t="s">
        <v>3601</v>
      </c>
      <c r="E5318" s="1" t="s">
        <v>3664</v>
      </c>
      <c r="F5318" s="1" t="s">
        <v>18935</v>
      </c>
      <c r="G5318" s="1" t="s">
        <v>13956</v>
      </c>
      <c r="H5318" s="1" t="s">
        <v>3604</v>
      </c>
      <c r="I5318" s="1" t="s">
        <v>18936</v>
      </c>
      <c r="J5318" s="1" t="s">
        <v>3606</v>
      </c>
      <c r="K5318" s="1" t="s">
        <v>18937</v>
      </c>
      <c r="L5318" s="1"/>
      <c r="M5318" s="1"/>
    </row>
    <row x14ac:dyDescent="0.25" r="5319" customHeight="1" ht="18.75">
      <c r="A5319" s="1" t="s">
        <v>3598</v>
      </c>
      <c r="B5319" s="1" t="s">
        <v>9020</v>
      </c>
      <c r="C5319" s="1" t="s">
        <v>3600</v>
      </c>
      <c r="D5319" s="1" t="s">
        <v>3601</v>
      </c>
      <c r="E5319" s="1" t="s">
        <v>3664</v>
      </c>
      <c r="F5319" s="1" t="s">
        <v>18938</v>
      </c>
      <c r="G5319" s="1" t="s">
        <v>18939</v>
      </c>
      <c r="H5319" s="1" t="s">
        <v>3604</v>
      </c>
      <c r="I5319" s="1" t="s">
        <v>18940</v>
      </c>
      <c r="J5319" s="1" t="s">
        <v>3606</v>
      </c>
      <c r="K5319" s="1" t="s">
        <v>18941</v>
      </c>
      <c r="L5319" s="1"/>
      <c r="M5319" s="1"/>
    </row>
    <row x14ac:dyDescent="0.25" r="5320" customHeight="1" ht="18.75">
      <c r="A5320" s="1" t="s">
        <v>3598</v>
      </c>
      <c r="B5320" s="1" t="s">
        <v>9020</v>
      </c>
      <c r="C5320" s="1" t="s">
        <v>3600</v>
      </c>
      <c r="D5320" s="1" t="s">
        <v>3601</v>
      </c>
      <c r="E5320" s="1" t="s">
        <v>3664</v>
      </c>
      <c r="F5320" s="1" t="s">
        <v>18942</v>
      </c>
      <c r="G5320" s="1" t="s">
        <v>18943</v>
      </c>
      <c r="H5320" s="1" t="s">
        <v>3604</v>
      </c>
      <c r="I5320" s="1" t="s">
        <v>18944</v>
      </c>
      <c r="J5320" s="1" t="s">
        <v>3606</v>
      </c>
      <c r="K5320" s="1" t="s">
        <v>18945</v>
      </c>
      <c r="L5320" s="1"/>
      <c r="M5320" s="1"/>
    </row>
    <row x14ac:dyDescent="0.25" r="5321" customHeight="1" ht="18.75">
      <c r="A5321" s="1" t="s">
        <v>3598</v>
      </c>
      <c r="B5321" s="1" t="s">
        <v>9020</v>
      </c>
      <c r="C5321" s="1" t="s">
        <v>3600</v>
      </c>
      <c r="D5321" s="1" t="s">
        <v>3601</v>
      </c>
      <c r="E5321" s="1" t="s">
        <v>3664</v>
      </c>
      <c r="F5321" s="1" t="s">
        <v>18946</v>
      </c>
      <c r="G5321" s="1" t="s">
        <v>13960</v>
      </c>
      <c r="H5321" s="1" t="s">
        <v>3604</v>
      </c>
      <c r="I5321" s="1" t="s">
        <v>18947</v>
      </c>
      <c r="J5321" s="1" t="s">
        <v>3606</v>
      </c>
      <c r="K5321" s="1" t="s">
        <v>18948</v>
      </c>
      <c r="L5321" s="1"/>
      <c r="M5321" s="1"/>
    </row>
    <row x14ac:dyDescent="0.25" r="5322" customHeight="1" ht="18.75">
      <c r="A5322" s="1" t="s">
        <v>3598</v>
      </c>
      <c r="B5322" s="1" t="s">
        <v>9020</v>
      </c>
      <c r="C5322" s="1" t="s">
        <v>3600</v>
      </c>
      <c r="D5322" s="1" t="s">
        <v>3601</v>
      </c>
      <c r="E5322" s="1" t="s">
        <v>3664</v>
      </c>
      <c r="F5322" s="1" t="s">
        <v>18949</v>
      </c>
      <c r="G5322" s="1" t="s">
        <v>13960</v>
      </c>
      <c r="H5322" s="1" t="s">
        <v>3604</v>
      </c>
      <c r="I5322" s="1" t="s">
        <v>18950</v>
      </c>
      <c r="J5322" s="1" t="s">
        <v>3606</v>
      </c>
      <c r="K5322" s="1" t="s">
        <v>18951</v>
      </c>
      <c r="L5322" s="1"/>
      <c r="M5322" s="1"/>
    </row>
    <row x14ac:dyDescent="0.25" r="5323" customHeight="1" ht="18.75">
      <c r="A5323" s="1" t="s">
        <v>3598</v>
      </c>
      <c r="B5323" s="1" t="s">
        <v>9020</v>
      </c>
      <c r="C5323" s="1" t="s">
        <v>3600</v>
      </c>
      <c r="D5323" s="1" t="s">
        <v>3601</v>
      </c>
      <c r="E5323" s="1" t="s">
        <v>3664</v>
      </c>
      <c r="F5323" s="1" t="s">
        <v>18952</v>
      </c>
      <c r="G5323" s="1" t="s">
        <v>13964</v>
      </c>
      <c r="H5323" s="1" t="s">
        <v>3604</v>
      </c>
      <c r="I5323" s="1" t="s">
        <v>18953</v>
      </c>
      <c r="J5323" s="1" t="s">
        <v>3606</v>
      </c>
      <c r="K5323" s="1" t="s">
        <v>18954</v>
      </c>
      <c r="L5323" s="1"/>
      <c r="M5323" s="1"/>
    </row>
    <row x14ac:dyDescent="0.25" r="5324" customHeight="1" ht="18.75">
      <c r="A5324" s="1" t="s">
        <v>3598</v>
      </c>
      <c r="B5324" s="1" t="s">
        <v>9020</v>
      </c>
      <c r="C5324" s="1" t="s">
        <v>3600</v>
      </c>
      <c r="D5324" s="1" t="s">
        <v>3601</v>
      </c>
      <c r="E5324" s="1" t="s">
        <v>3664</v>
      </c>
      <c r="F5324" s="1" t="s">
        <v>18955</v>
      </c>
      <c r="G5324" s="1" t="s">
        <v>13964</v>
      </c>
      <c r="H5324" s="1" t="s">
        <v>3604</v>
      </c>
      <c r="I5324" s="1" t="s">
        <v>18956</v>
      </c>
      <c r="J5324" s="1" t="s">
        <v>3606</v>
      </c>
      <c r="K5324" s="1" t="s">
        <v>18957</v>
      </c>
      <c r="L5324" s="1"/>
      <c r="M5324" s="1"/>
    </row>
    <row x14ac:dyDescent="0.25" r="5325" customHeight="1" ht="18.75">
      <c r="A5325" s="1" t="s">
        <v>3598</v>
      </c>
      <c r="B5325" s="1" t="s">
        <v>9020</v>
      </c>
      <c r="C5325" s="1" t="s">
        <v>3600</v>
      </c>
      <c r="D5325" s="1" t="s">
        <v>3601</v>
      </c>
      <c r="E5325" s="1" t="s">
        <v>3664</v>
      </c>
      <c r="F5325" s="1" t="s">
        <v>18958</v>
      </c>
      <c r="G5325" s="1" t="s">
        <v>13968</v>
      </c>
      <c r="H5325" s="1" t="s">
        <v>3604</v>
      </c>
      <c r="I5325" s="1" t="s">
        <v>18959</v>
      </c>
      <c r="J5325" s="1" t="s">
        <v>3606</v>
      </c>
      <c r="K5325" s="1" t="s">
        <v>18960</v>
      </c>
      <c r="L5325" s="1"/>
      <c r="M5325" s="1"/>
    </row>
    <row x14ac:dyDescent="0.25" r="5326" customHeight="1" ht="18.75">
      <c r="A5326" s="1" t="s">
        <v>3598</v>
      </c>
      <c r="B5326" s="1" t="s">
        <v>9020</v>
      </c>
      <c r="C5326" s="1" t="s">
        <v>3600</v>
      </c>
      <c r="D5326" s="1" t="s">
        <v>3601</v>
      </c>
      <c r="E5326" s="1" t="s">
        <v>3664</v>
      </c>
      <c r="F5326" s="1" t="s">
        <v>18961</v>
      </c>
      <c r="G5326" s="1" t="s">
        <v>13797</v>
      </c>
      <c r="H5326" s="1" t="s">
        <v>3604</v>
      </c>
      <c r="I5326" s="1" t="s">
        <v>18962</v>
      </c>
      <c r="J5326" s="1" t="s">
        <v>3606</v>
      </c>
      <c r="K5326" s="1" t="s">
        <v>18963</v>
      </c>
      <c r="L5326" s="1"/>
      <c r="M5326" s="1"/>
    </row>
    <row x14ac:dyDescent="0.25" r="5327" customHeight="1" ht="18.75">
      <c r="A5327" s="1" t="s">
        <v>3598</v>
      </c>
      <c r="B5327" s="1" t="s">
        <v>9020</v>
      </c>
      <c r="C5327" s="1" t="s">
        <v>3600</v>
      </c>
      <c r="D5327" s="1" t="s">
        <v>3601</v>
      </c>
      <c r="E5327" s="1" t="s">
        <v>3664</v>
      </c>
      <c r="F5327" s="1" t="s">
        <v>18964</v>
      </c>
      <c r="G5327" s="1" t="s">
        <v>13797</v>
      </c>
      <c r="H5327" s="1" t="s">
        <v>3604</v>
      </c>
      <c r="I5327" s="1" t="s">
        <v>18965</v>
      </c>
      <c r="J5327" s="1" t="s">
        <v>3606</v>
      </c>
      <c r="K5327" s="1" t="s">
        <v>13994</v>
      </c>
      <c r="L5327" s="1"/>
      <c r="M5327" s="1"/>
    </row>
    <row x14ac:dyDescent="0.25" r="5328" customHeight="1" ht="18.75">
      <c r="A5328" s="1" t="s">
        <v>3598</v>
      </c>
      <c r="B5328" s="1" t="s">
        <v>9020</v>
      </c>
      <c r="C5328" s="1" t="s">
        <v>3600</v>
      </c>
      <c r="D5328" s="1" t="s">
        <v>3601</v>
      </c>
      <c r="E5328" s="1" t="s">
        <v>3664</v>
      </c>
      <c r="F5328" s="1" t="s">
        <v>18966</v>
      </c>
      <c r="G5328" s="1" t="s">
        <v>13812</v>
      </c>
      <c r="H5328" s="1" t="s">
        <v>3604</v>
      </c>
      <c r="I5328" s="1" t="s">
        <v>18967</v>
      </c>
      <c r="J5328" s="1" t="s">
        <v>3606</v>
      </c>
      <c r="K5328" s="1" t="s">
        <v>18968</v>
      </c>
      <c r="L5328" s="1"/>
      <c r="M5328" s="1"/>
    </row>
    <row x14ac:dyDescent="0.25" r="5329" customHeight="1" ht="18.75">
      <c r="A5329" s="1" t="s">
        <v>3598</v>
      </c>
      <c r="B5329" s="1" t="s">
        <v>9020</v>
      </c>
      <c r="C5329" s="1" t="s">
        <v>3600</v>
      </c>
      <c r="D5329" s="1" t="s">
        <v>3601</v>
      </c>
      <c r="E5329" s="1" t="s">
        <v>3664</v>
      </c>
      <c r="F5329" s="1" t="s">
        <v>18969</v>
      </c>
      <c r="G5329" s="1" t="s">
        <v>13789</v>
      </c>
      <c r="H5329" s="1" t="s">
        <v>3604</v>
      </c>
      <c r="I5329" s="1" t="s">
        <v>18970</v>
      </c>
      <c r="J5329" s="1" t="s">
        <v>3606</v>
      </c>
      <c r="K5329" s="1" t="s">
        <v>18971</v>
      </c>
      <c r="L5329" s="1"/>
      <c r="M5329" s="1"/>
    </row>
    <row x14ac:dyDescent="0.25" r="5330" customHeight="1" ht="18.75">
      <c r="A5330" s="1" t="s">
        <v>3598</v>
      </c>
      <c r="B5330" s="1" t="s">
        <v>9020</v>
      </c>
      <c r="C5330" s="1" t="s">
        <v>3600</v>
      </c>
      <c r="D5330" s="1" t="s">
        <v>3601</v>
      </c>
      <c r="E5330" s="1" t="s">
        <v>3664</v>
      </c>
      <c r="F5330" s="1" t="s">
        <v>18972</v>
      </c>
      <c r="G5330" s="1" t="s">
        <v>13789</v>
      </c>
      <c r="H5330" s="1" t="s">
        <v>3604</v>
      </c>
      <c r="I5330" s="1" t="s">
        <v>18973</v>
      </c>
      <c r="J5330" s="1" t="s">
        <v>3606</v>
      </c>
      <c r="K5330" s="1" t="s">
        <v>14000</v>
      </c>
      <c r="L5330" s="1"/>
      <c r="M5330" s="1"/>
    </row>
    <row x14ac:dyDescent="0.25" r="5331" customHeight="1" ht="18.75">
      <c r="A5331" s="1" t="s">
        <v>3598</v>
      </c>
      <c r="B5331" s="1" t="s">
        <v>9020</v>
      </c>
      <c r="C5331" s="1" t="s">
        <v>3600</v>
      </c>
      <c r="D5331" s="1" t="s">
        <v>3601</v>
      </c>
      <c r="E5331" s="1" t="s">
        <v>3893</v>
      </c>
      <c r="F5331" s="1" t="s">
        <v>18974</v>
      </c>
      <c r="G5331" s="1" t="s">
        <v>14002</v>
      </c>
      <c r="H5331" s="1" t="s">
        <v>3604</v>
      </c>
      <c r="I5331" s="1" t="s">
        <v>18975</v>
      </c>
      <c r="J5331" s="1" t="s">
        <v>3606</v>
      </c>
      <c r="K5331" s="1" t="s">
        <v>18976</v>
      </c>
      <c r="L5331" s="1"/>
      <c r="M5331" s="1"/>
    </row>
    <row x14ac:dyDescent="0.25" r="5332" customHeight="1" ht="18.75">
      <c r="A5332" s="1" t="s">
        <v>3598</v>
      </c>
      <c r="B5332" s="1" t="s">
        <v>9020</v>
      </c>
      <c r="C5332" s="1" t="s">
        <v>3600</v>
      </c>
      <c r="D5332" s="1" t="s">
        <v>3601</v>
      </c>
      <c r="E5332" s="1" t="s">
        <v>3893</v>
      </c>
      <c r="F5332" s="1" t="s">
        <v>18977</v>
      </c>
      <c r="G5332" s="1" t="s">
        <v>14002</v>
      </c>
      <c r="H5332" s="1" t="s">
        <v>3604</v>
      </c>
      <c r="I5332" s="1" t="s">
        <v>18978</v>
      </c>
      <c r="J5332" s="1" t="s">
        <v>3606</v>
      </c>
      <c r="K5332" s="1" t="s">
        <v>18979</v>
      </c>
      <c r="L5332" s="1"/>
      <c r="M5332" s="1"/>
    </row>
    <row x14ac:dyDescent="0.25" r="5333" customHeight="1" ht="18.75">
      <c r="A5333" s="1" t="s">
        <v>3598</v>
      </c>
      <c r="B5333" s="1" t="s">
        <v>9020</v>
      </c>
      <c r="C5333" s="1" t="s">
        <v>3600</v>
      </c>
      <c r="D5333" s="1" t="s">
        <v>3601</v>
      </c>
      <c r="E5333" s="1" t="s">
        <v>3893</v>
      </c>
      <c r="F5333" s="1" t="s">
        <v>18980</v>
      </c>
      <c r="G5333" s="1" t="s">
        <v>14006</v>
      </c>
      <c r="H5333" s="1" t="s">
        <v>3604</v>
      </c>
      <c r="I5333" s="1" t="s">
        <v>18981</v>
      </c>
      <c r="J5333" s="1" t="s">
        <v>3606</v>
      </c>
      <c r="K5333" s="1" t="s">
        <v>18982</v>
      </c>
      <c r="L5333" s="1"/>
      <c r="M5333" s="1"/>
    </row>
    <row x14ac:dyDescent="0.25" r="5334" customHeight="1" ht="18.75">
      <c r="A5334" s="1" t="s">
        <v>3598</v>
      </c>
      <c r="B5334" s="1" t="s">
        <v>9020</v>
      </c>
      <c r="C5334" s="1" t="s">
        <v>3600</v>
      </c>
      <c r="D5334" s="1" t="s">
        <v>3601</v>
      </c>
      <c r="E5334" s="1" t="s">
        <v>3893</v>
      </c>
      <c r="F5334" s="1" t="s">
        <v>18983</v>
      </c>
      <c r="G5334" s="1" t="s">
        <v>13986</v>
      </c>
      <c r="H5334" s="1" t="s">
        <v>3604</v>
      </c>
      <c r="I5334" s="1" t="s">
        <v>18984</v>
      </c>
      <c r="J5334" s="1" t="s">
        <v>3606</v>
      </c>
      <c r="K5334" s="1" t="s">
        <v>18985</v>
      </c>
      <c r="L5334" s="1"/>
      <c r="M5334" s="1"/>
    </row>
    <row x14ac:dyDescent="0.25" r="5335" customHeight="1" ht="18.75">
      <c r="A5335" s="1" t="s">
        <v>3598</v>
      </c>
      <c r="B5335" s="1" t="s">
        <v>9020</v>
      </c>
      <c r="C5335" s="1" t="s">
        <v>3600</v>
      </c>
      <c r="D5335" s="1" t="s">
        <v>3601</v>
      </c>
      <c r="E5335" s="1" t="s">
        <v>3893</v>
      </c>
      <c r="F5335" s="1" t="s">
        <v>18986</v>
      </c>
      <c r="G5335" s="1" t="s">
        <v>13986</v>
      </c>
      <c r="H5335" s="1" t="s">
        <v>3604</v>
      </c>
      <c r="I5335" s="1" t="s">
        <v>18987</v>
      </c>
      <c r="J5335" s="1" t="s">
        <v>3606</v>
      </c>
      <c r="K5335" s="1" t="s">
        <v>18988</v>
      </c>
      <c r="L5335" s="1"/>
      <c r="M5335" s="1"/>
    </row>
    <row x14ac:dyDescent="0.25" r="5336" customHeight="1" ht="18.75">
      <c r="A5336" s="1" t="s">
        <v>3598</v>
      </c>
      <c r="B5336" s="1" t="s">
        <v>9020</v>
      </c>
      <c r="C5336" s="1" t="s">
        <v>3600</v>
      </c>
      <c r="D5336" s="1" t="s">
        <v>3601</v>
      </c>
      <c r="E5336" s="1" t="s">
        <v>3893</v>
      </c>
      <c r="F5336" s="1" t="s">
        <v>18989</v>
      </c>
      <c r="G5336" s="1" t="s">
        <v>13975</v>
      </c>
      <c r="H5336" s="1" t="s">
        <v>3604</v>
      </c>
      <c r="I5336" s="1" t="s">
        <v>18990</v>
      </c>
      <c r="J5336" s="1" t="s">
        <v>3606</v>
      </c>
      <c r="K5336" s="1"/>
      <c r="L5336" s="1"/>
      <c r="M5336" s="1"/>
    </row>
    <row x14ac:dyDescent="0.25" r="5337" customHeight="1" ht="18.75">
      <c r="A5337" s="1" t="s">
        <v>3598</v>
      </c>
      <c r="B5337" s="1" t="s">
        <v>9020</v>
      </c>
      <c r="C5337" s="1" t="s">
        <v>3600</v>
      </c>
      <c r="D5337" s="1" t="s">
        <v>3601</v>
      </c>
      <c r="E5337" s="1" t="s">
        <v>3664</v>
      </c>
      <c r="F5337" s="1" t="s">
        <v>18991</v>
      </c>
      <c r="G5337" s="1" t="s">
        <v>13812</v>
      </c>
      <c r="H5337" s="1" t="s">
        <v>3604</v>
      </c>
      <c r="I5337" s="1" t="s">
        <v>18992</v>
      </c>
      <c r="J5337" s="1" t="s">
        <v>3606</v>
      </c>
      <c r="K5337" s="1" t="s">
        <v>13997</v>
      </c>
      <c r="L5337" s="1"/>
      <c r="M5337" s="1"/>
    </row>
    <row x14ac:dyDescent="0.25" r="5338" customHeight="1" ht="18.75">
      <c r="A5338" s="1" t="s">
        <v>3598</v>
      </c>
      <c r="B5338" s="1" t="s">
        <v>9020</v>
      </c>
      <c r="C5338" s="1" t="s">
        <v>3600</v>
      </c>
      <c r="D5338" s="1" t="s">
        <v>3601</v>
      </c>
      <c r="E5338" s="1" t="s">
        <v>3664</v>
      </c>
      <c r="F5338" s="1" t="s">
        <v>18993</v>
      </c>
      <c r="G5338" s="1" t="s">
        <v>18943</v>
      </c>
      <c r="H5338" s="1" t="s">
        <v>3604</v>
      </c>
      <c r="I5338" s="1" t="s">
        <v>18994</v>
      </c>
      <c r="J5338" s="1" t="s">
        <v>3606</v>
      </c>
      <c r="K5338" s="1"/>
      <c r="L5338" s="1"/>
      <c r="M5338" s="1"/>
    </row>
    <row x14ac:dyDescent="0.25" r="5339" customHeight="1" ht="18.75">
      <c r="A5339" s="1" t="s">
        <v>3598</v>
      </c>
      <c r="B5339" s="1" t="s">
        <v>9020</v>
      </c>
      <c r="C5339" s="1" t="s">
        <v>3600</v>
      </c>
      <c r="D5339" s="1" t="s">
        <v>3601</v>
      </c>
      <c r="E5339" s="1" t="s">
        <v>3664</v>
      </c>
      <c r="F5339" s="1" t="s">
        <v>18995</v>
      </c>
      <c r="G5339" s="1" t="s">
        <v>13960</v>
      </c>
      <c r="H5339" s="1" t="s">
        <v>3604</v>
      </c>
      <c r="I5339" s="1" t="s">
        <v>18996</v>
      </c>
      <c r="J5339" s="1" t="s">
        <v>3606</v>
      </c>
      <c r="K5339" s="1"/>
      <c r="L5339" s="1"/>
      <c r="M5339" s="1"/>
    </row>
    <row x14ac:dyDescent="0.25" r="5340" customHeight="1" ht="18.75">
      <c r="A5340" s="1" t="s">
        <v>3598</v>
      </c>
      <c r="B5340" s="1" t="s">
        <v>9020</v>
      </c>
      <c r="C5340" s="1" t="s">
        <v>3600</v>
      </c>
      <c r="D5340" s="1" t="s">
        <v>3601</v>
      </c>
      <c r="E5340" s="1" t="s">
        <v>3664</v>
      </c>
      <c r="F5340" s="1" t="s">
        <v>18997</v>
      </c>
      <c r="G5340" s="1" t="s">
        <v>13964</v>
      </c>
      <c r="H5340" s="1" t="s">
        <v>3604</v>
      </c>
      <c r="I5340" s="1" t="s">
        <v>18998</v>
      </c>
      <c r="J5340" s="1" t="s">
        <v>3606</v>
      </c>
      <c r="K5340" s="1"/>
      <c r="L5340" s="1"/>
      <c r="M5340" s="1"/>
    </row>
    <row x14ac:dyDescent="0.25" r="5341" customHeight="1" ht="18.75">
      <c r="A5341" s="1" t="s">
        <v>3598</v>
      </c>
      <c r="B5341" s="1" t="s">
        <v>9020</v>
      </c>
      <c r="C5341" s="1" t="s">
        <v>3600</v>
      </c>
      <c r="D5341" s="1" t="s">
        <v>3601</v>
      </c>
      <c r="E5341" s="1" t="s">
        <v>3664</v>
      </c>
      <c r="F5341" s="1" t="s">
        <v>18999</v>
      </c>
      <c r="G5341" s="1" t="s">
        <v>13968</v>
      </c>
      <c r="H5341" s="1" t="s">
        <v>3604</v>
      </c>
      <c r="I5341" s="1" t="s">
        <v>19000</v>
      </c>
      <c r="J5341" s="1" t="s">
        <v>3606</v>
      </c>
      <c r="K5341" s="1"/>
      <c r="L5341" s="1"/>
      <c r="M5341" s="1"/>
    </row>
    <row x14ac:dyDescent="0.25" r="5342" customHeight="1" ht="18.75">
      <c r="A5342" s="1" t="s">
        <v>3598</v>
      </c>
      <c r="B5342" s="1" t="s">
        <v>9020</v>
      </c>
      <c r="C5342" s="1" t="s">
        <v>3600</v>
      </c>
      <c r="D5342" s="1" t="s">
        <v>3601</v>
      </c>
      <c r="E5342" s="1" t="s">
        <v>3664</v>
      </c>
      <c r="F5342" s="1" t="s">
        <v>19001</v>
      </c>
      <c r="G5342" s="1" t="s">
        <v>13797</v>
      </c>
      <c r="H5342" s="1" t="s">
        <v>3604</v>
      </c>
      <c r="I5342" s="1" t="s">
        <v>19002</v>
      </c>
      <c r="J5342" s="1" t="s">
        <v>3606</v>
      </c>
      <c r="K5342" s="1"/>
      <c r="L5342" s="1"/>
      <c r="M5342" s="1"/>
    </row>
    <row x14ac:dyDescent="0.25" r="5343" customHeight="1" ht="18.75">
      <c r="A5343" s="1" t="s">
        <v>3598</v>
      </c>
      <c r="B5343" s="1" t="s">
        <v>9020</v>
      </c>
      <c r="C5343" s="1" t="s">
        <v>3600</v>
      </c>
      <c r="D5343" s="1" t="s">
        <v>3601</v>
      </c>
      <c r="E5343" s="1" t="s">
        <v>3664</v>
      </c>
      <c r="F5343" s="1" t="s">
        <v>19003</v>
      </c>
      <c r="G5343" s="1" t="s">
        <v>13812</v>
      </c>
      <c r="H5343" s="1" t="s">
        <v>3604</v>
      </c>
      <c r="I5343" s="1" t="s">
        <v>19004</v>
      </c>
      <c r="J5343" s="1" t="s">
        <v>3606</v>
      </c>
      <c r="K5343" s="1"/>
      <c r="L5343" s="1"/>
      <c r="M5343" s="1"/>
    </row>
    <row x14ac:dyDescent="0.25" r="5344" customHeight="1" ht="18.75">
      <c r="A5344" s="1" t="s">
        <v>3598</v>
      </c>
      <c r="B5344" s="1" t="s">
        <v>9020</v>
      </c>
      <c r="C5344" s="1" t="s">
        <v>3600</v>
      </c>
      <c r="D5344" s="1" t="s">
        <v>3601</v>
      </c>
      <c r="E5344" s="1" t="s">
        <v>3664</v>
      </c>
      <c r="F5344" s="1" t="s">
        <v>19005</v>
      </c>
      <c r="G5344" s="1" t="s">
        <v>13968</v>
      </c>
      <c r="H5344" s="1" t="s">
        <v>3604</v>
      </c>
      <c r="I5344" s="1" t="s">
        <v>19006</v>
      </c>
      <c r="J5344" s="1" t="s">
        <v>3606</v>
      </c>
      <c r="K5344" s="1" t="s">
        <v>19007</v>
      </c>
      <c r="L5344" s="1"/>
      <c r="M5344" s="1"/>
    </row>
    <row x14ac:dyDescent="0.25" r="5345" customHeight="1" ht="18.75">
      <c r="A5345" s="1" t="s">
        <v>3598</v>
      </c>
      <c r="B5345" s="1" t="s">
        <v>13984</v>
      </c>
      <c r="C5345" s="1" t="s">
        <v>3600</v>
      </c>
      <c r="D5345" s="1" t="s">
        <v>3601</v>
      </c>
      <c r="E5345" s="1" t="s">
        <v>3893</v>
      </c>
      <c r="F5345" s="1" t="s">
        <v>19008</v>
      </c>
      <c r="G5345" s="1" t="s">
        <v>13986</v>
      </c>
      <c r="H5345" s="1" t="s">
        <v>3604</v>
      </c>
      <c r="I5345" s="1" t="s">
        <v>19009</v>
      </c>
      <c r="J5345" s="1" t="s">
        <v>3606</v>
      </c>
      <c r="K5345" s="1" t="s">
        <v>19010</v>
      </c>
      <c r="L5345" s="1"/>
      <c r="M5345" s="1"/>
    </row>
    <row x14ac:dyDescent="0.25" r="5346" customHeight="1" ht="18.75">
      <c r="A5346" s="1" t="s">
        <v>3598</v>
      </c>
      <c r="B5346" s="1" t="s">
        <v>13984</v>
      </c>
      <c r="C5346" s="1" t="s">
        <v>3600</v>
      </c>
      <c r="D5346" s="1" t="s">
        <v>3601</v>
      </c>
      <c r="E5346" s="1" t="s">
        <v>3893</v>
      </c>
      <c r="F5346" s="1" t="s">
        <v>19011</v>
      </c>
      <c r="G5346" s="1" t="s">
        <v>13986</v>
      </c>
      <c r="H5346" s="1" t="s">
        <v>3604</v>
      </c>
      <c r="I5346" s="1" t="s">
        <v>19012</v>
      </c>
      <c r="J5346" s="1" t="s">
        <v>3606</v>
      </c>
      <c r="K5346" s="1" t="s">
        <v>19013</v>
      </c>
      <c r="L5346" s="1"/>
      <c r="M5346" s="1"/>
    </row>
    <row x14ac:dyDescent="0.25" r="5347" customHeight="1" ht="18.75">
      <c r="A5347" s="1" t="s">
        <v>3598</v>
      </c>
      <c r="B5347" s="1" t="s">
        <v>13864</v>
      </c>
      <c r="C5347" s="1" t="s">
        <v>3600</v>
      </c>
      <c r="D5347" s="1" t="s">
        <v>3601</v>
      </c>
      <c r="E5347" s="1" t="s">
        <v>3664</v>
      </c>
      <c r="F5347" s="1" t="s">
        <v>19014</v>
      </c>
      <c r="G5347" s="1" t="s">
        <v>13866</v>
      </c>
      <c r="H5347" s="1" t="s">
        <v>3604</v>
      </c>
      <c r="I5347" s="1" t="s">
        <v>19015</v>
      </c>
      <c r="J5347" s="1" t="s">
        <v>3606</v>
      </c>
      <c r="K5347" s="1" t="s">
        <v>19016</v>
      </c>
      <c r="L5347" s="1"/>
      <c r="M5347" s="1"/>
    </row>
    <row x14ac:dyDescent="0.25" r="5348" customHeight="1" ht="18.75">
      <c r="A5348" s="1" t="s">
        <v>3598</v>
      </c>
      <c r="B5348" s="1" t="s">
        <v>13864</v>
      </c>
      <c r="C5348" s="1" t="s">
        <v>3600</v>
      </c>
      <c r="D5348" s="1" t="s">
        <v>3601</v>
      </c>
      <c r="E5348" s="1" t="s">
        <v>3664</v>
      </c>
      <c r="F5348" s="1" t="s">
        <v>19017</v>
      </c>
      <c r="G5348" s="1" t="s">
        <v>13866</v>
      </c>
      <c r="H5348" s="1" t="s">
        <v>3604</v>
      </c>
      <c r="I5348" s="1" t="s">
        <v>19018</v>
      </c>
      <c r="J5348" s="1" t="s">
        <v>3606</v>
      </c>
      <c r="K5348" s="1" t="s">
        <v>19019</v>
      </c>
      <c r="L5348" s="1"/>
      <c r="M5348" s="1"/>
    </row>
    <row x14ac:dyDescent="0.25" r="5349" customHeight="1" ht="18.75">
      <c r="A5349" s="1" t="s">
        <v>3598</v>
      </c>
      <c r="B5349" s="1" t="s">
        <v>13864</v>
      </c>
      <c r="C5349" s="1" t="s">
        <v>3600</v>
      </c>
      <c r="D5349" s="1" t="s">
        <v>3601</v>
      </c>
      <c r="E5349" s="1" t="s">
        <v>3664</v>
      </c>
      <c r="F5349" s="1" t="s">
        <v>19020</v>
      </c>
      <c r="G5349" s="1" t="s">
        <v>13870</v>
      </c>
      <c r="H5349" s="1" t="s">
        <v>3604</v>
      </c>
      <c r="I5349" s="1" t="s">
        <v>19021</v>
      </c>
      <c r="J5349" s="1" t="s">
        <v>3606</v>
      </c>
      <c r="K5349" s="1" t="s">
        <v>19022</v>
      </c>
      <c r="L5349" s="1"/>
      <c r="M5349" s="1"/>
    </row>
    <row x14ac:dyDescent="0.25" r="5350" customHeight="1" ht="18.75">
      <c r="A5350" s="1" t="s">
        <v>3598</v>
      </c>
      <c r="B5350" s="1" t="s">
        <v>13864</v>
      </c>
      <c r="C5350" s="1" t="s">
        <v>3600</v>
      </c>
      <c r="D5350" s="1" t="s">
        <v>3601</v>
      </c>
      <c r="E5350" s="1" t="s">
        <v>3664</v>
      </c>
      <c r="F5350" s="1" t="s">
        <v>19023</v>
      </c>
      <c r="G5350" s="1" t="s">
        <v>13870</v>
      </c>
      <c r="H5350" s="1" t="s">
        <v>3604</v>
      </c>
      <c r="I5350" s="1" t="s">
        <v>19024</v>
      </c>
      <c r="J5350" s="1" t="s">
        <v>3606</v>
      </c>
      <c r="K5350" s="1"/>
      <c r="L5350" s="1"/>
      <c r="M5350" s="1"/>
    </row>
    <row x14ac:dyDescent="0.25" r="5351" customHeight="1" ht="18.75">
      <c r="A5351" s="1" t="s">
        <v>3598</v>
      </c>
      <c r="B5351" s="1" t="s">
        <v>14021</v>
      </c>
      <c r="C5351" s="1" t="s">
        <v>3600</v>
      </c>
      <c r="D5351" s="1" t="s">
        <v>3601</v>
      </c>
      <c r="E5351" s="1" t="s">
        <v>3893</v>
      </c>
      <c r="F5351" s="1" t="s">
        <v>19025</v>
      </c>
      <c r="G5351" s="1" t="s">
        <v>14002</v>
      </c>
      <c r="H5351" s="1" t="s">
        <v>3604</v>
      </c>
      <c r="I5351" s="1" t="s">
        <v>19026</v>
      </c>
      <c r="J5351" s="1" t="s">
        <v>3606</v>
      </c>
      <c r="K5351" s="1" t="s">
        <v>19027</v>
      </c>
      <c r="L5351" s="1"/>
      <c r="M5351" s="1"/>
    </row>
    <row x14ac:dyDescent="0.25" r="5352" customHeight="1" ht="18.75">
      <c r="A5352" s="1" t="s">
        <v>3598</v>
      </c>
      <c r="B5352" s="1" t="s">
        <v>14021</v>
      </c>
      <c r="C5352" s="1" t="s">
        <v>3600</v>
      </c>
      <c r="D5352" s="1" t="s">
        <v>3601</v>
      </c>
      <c r="E5352" s="1" t="s">
        <v>3893</v>
      </c>
      <c r="F5352" s="1" t="s">
        <v>19028</v>
      </c>
      <c r="G5352" s="1" t="s">
        <v>14002</v>
      </c>
      <c r="H5352" s="1" t="s">
        <v>3604</v>
      </c>
      <c r="I5352" s="1" t="s">
        <v>19029</v>
      </c>
      <c r="J5352" s="1" t="s">
        <v>3606</v>
      </c>
      <c r="K5352" s="1"/>
      <c r="L5352" s="1"/>
      <c r="M5352" s="1"/>
    </row>
    <row x14ac:dyDescent="0.25" r="5353" customHeight="1" ht="18.75">
      <c r="A5353" s="1" t="s">
        <v>3598</v>
      </c>
      <c r="B5353" s="1" t="s">
        <v>9116</v>
      </c>
      <c r="C5353" s="1" t="s">
        <v>3600</v>
      </c>
      <c r="D5353" s="1" t="s">
        <v>3601</v>
      </c>
      <c r="E5353" s="1" t="s">
        <v>3664</v>
      </c>
      <c r="F5353" s="1" t="s">
        <v>19030</v>
      </c>
      <c r="G5353" s="1" t="s">
        <v>13952</v>
      </c>
      <c r="H5353" s="1" t="s">
        <v>3604</v>
      </c>
      <c r="I5353" s="1" t="s">
        <v>19031</v>
      </c>
      <c r="J5353" s="1" t="s">
        <v>3606</v>
      </c>
      <c r="K5353" s="1" t="s">
        <v>19032</v>
      </c>
      <c r="L5353" s="1"/>
      <c r="M5353" s="1"/>
    </row>
    <row x14ac:dyDescent="0.25" r="5354" customHeight="1" ht="18.75">
      <c r="A5354" s="1" t="s">
        <v>3598</v>
      </c>
      <c r="B5354" s="1" t="s">
        <v>9116</v>
      </c>
      <c r="C5354" s="1" t="s">
        <v>3600</v>
      </c>
      <c r="D5354" s="1" t="s">
        <v>3601</v>
      </c>
      <c r="E5354" s="1" t="s">
        <v>3664</v>
      </c>
      <c r="F5354" s="1" t="s">
        <v>19033</v>
      </c>
      <c r="G5354" s="1" t="s">
        <v>13952</v>
      </c>
      <c r="H5354" s="1" t="s">
        <v>3604</v>
      </c>
      <c r="I5354" s="1" t="s">
        <v>19034</v>
      </c>
      <c r="J5354" s="1" t="s">
        <v>3606</v>
      </c>
      <c r="K5354" s="1" t="s">
        <v>19035</v>
      </c>
      <c r="L5354" s="1"/>
      <c r="M5354" s="1"/>
    </row>
    <row x14ac:dyDescent="0.25" r="5355" customHeight="1" ht="18.75">
      <c r="A5355" s="1" t="s">
        <v>3598</v>
      </c>
      <c r="B5355" s="1" t="s">
        <v>9116</v>
      </c>
      <c r="C5355" s="1" t="s">
        <v>3600</v>
      </c>
      <c r="D5355" s="1" t="s">
        <v>3601</v>
      </c>
      <c r="E5355" s="1" t="s">
        <v>3664</v>
      </c>
      <c r="F5355" s="1" t="s">
        <v>19036</v>
      </c>
      <c r="G5355" s="1" t="s">
        <v>13956</v>
      </c>
      <c r="H5355" s="1" t="s">
        <v>3604</v>
      </c>
      <c r="I5355" s="1" t="s">
        <v>19037</v>
      </c>
      <c r="J5355" s="1" t="s">
        <v>3606</v>
      </c>
      <c r="K5355" s="1" t="s">
        <v>19038</v>
      </c>
      <c r="L5355" s="1"/>
      <c r="M5355" s="1"/>
    </row>
    <row x14ac:dyDescent="0.25" r="5356" customHeight="1" ht="18.75">
      <c r="A5356" s="1" t="s">
        <v>3598</v>
      </c>
      <c r="B5356" s="1" t="s">
        <v>9116</v>
      </c>
      <c r="C5356" s="1" t="s">
        <v>3600</v>
      </c>
      <c r="D5356" s="1" t="s">
        <v>3601</v>
      </c>
      <c r="E5356" s="1" t="s">
        <v>3664</v>
      </c>
      <c r="F5356" s="1" t="s">
        <v>19039</v>
      </c>
      <c r="G5356" s="1" t="s">
        <v>13956</v>
      </c>
      <c r="H5356" s="1" t="s">
        <v>3604</v>
      </c>
      <c r="I5356" s="1" t="s">
        <v>19040</v>
      </c>
      <c r="J5356" s="1" t="s">
        <v>3606</v>
      </c>
      <c r="K5356" s="1" t="s">
        <v>19041</v>
      </c>
      <c r="L5356" s="1"/>
      <c r="M5356" s="1"/>
    </row>
    <row x14ac:dyDescent="0.25" r="5357" customHeight="1" ht="18.75">
      <c r="A5357" s="1" t="s">
        <v>3598</v>
      </c>
      <c r="B5357" s="1" t="s">
        <v>14025</v>
      </c>
      <c r="C5357" s="1" t="s">
        <v>3600</v>
      </c>
      <c r="D5357" s="1" t="s">
        <v>3601</v>
      </c>
      <c r="E5357" s="1" t="s">
        <v>3664</v>
      </c>
      <c r="F5357" s="1" t="s">
        <v>19042</v>
      </c>
      <c r="G5357" s="1" t="s">
        <v>13960</v>
      </c>
      <c r="H5357" s="1" t="s">
        <v>3604</v>
      </c>
      <c r="I5357" s="1" t="s">
        <v>19043</v>
      </c>
      <c r="J5357" s="1" t="s">
        <v>3606</v>
      </c>
      <c r="K5357" s="1" t="s">
        <v>19044</v>
      </c>
      <c r="L5357" s="1"/>
      <c r="M5357" s="1"/>
    </row>
    <row x14ac:dyDescent="0.25" r="5358" customHeight="1" ht="18.75">
      <c r="A5358" s="1" t="s">
        <v>3598</v>
      </c>
      <c r="B5358" s="1" t="s">
        <v>14025</v>
      </c>
      <c r="C5358" s="1" t="s">
        <v>3600</v>
      </c>
      <c r="D5358" s="1" t="s">
        <v>3601</v>
      </c>
      <c r="E5358" s="1" t="s">
        <v>3664</v>
      </c>
      <c r="F5358" s="1" t="s">
        <v>19045</v>
      </c>
      <c r="G5358" s="1" t="s">
        <v>19046</v>
      </c>
      <c r="H5358" s="1" t="s">
        <v>3604</v>
      </c>
      <c r="I5358" s="1" t="s">
        <v>19047</v>
      </c>
      <c r="J5358" s="1" t="s">
        <v>3606</v>
      </c>
      <c r="K5358" s="1" t="s">
        <v>19048</v>
      </c>
      <c r="L5358" s="1"/>
      <c r="M5358" s="1"/>
    </row>
    <row x14ac:dyDescent="0.25" r="5359" customHeight="1" ht="18.75">
      <c r="A5359" s="1" t="s">
        <v>3598</v>
      </c>
      <c r="B5359" s="1" t="s">
        <v>14025</v>
      </c>
      <c r="C5359" s="1" t="s">
        <v>3600</v>
      </c>
      <c r="D5359" s="1" t="s">
        <v>3601</v>
      </c>
      <c r="E5359" s="1" t="s">
        <v>3664</v>
      </c>
      <c r="F5359" s="1" t="s">
        <v>19049</v>
      </c>
      <c r="G5359" s="1" t="s">
        <v>18943</v>
      </c>
      <c r="H5359" s="1" t="s">
        <v>3604</v>
      </c>
      <c r="I5359" s="1" t="s">
        <v>19050</v>
      </c>
      <c r="J5359" s="1" t="s">
        <v>3606</v>
      </c>
      <c r="K5359" s="1" t="s">
        <v>19051</v>
      </c>
      <c r="L5359" s="1"/>
      <c r="M5359" s="1"/>
    </row>
    <row x14ac:dyDescent="0.25" r="5360" customHeight="1" ht="18.75">
      <c r="A5360" s="1" t="s">
        <v>3598</v>
      </c>
      <c r="B5360" s="1" t="s">
        <v>14025</v>
      </c>
      <c r="C5360" s="1" t="s">
        <v>3600</v>
      </c>
      <c r="D5360" s="1" t="s">
        <v>3601</v>
      </c>
      <c r="E5360" s="1" t="s">
        <v>3664</v>
      </c>
      <c r="F5360" s="1" t="s">
        <v>19052</v>
      </c>
      <c r="G5360" s="1" t="s">
        <v>13960</v>
      </c>
      <c r="H5360" s="1" t="s">
        <v>3604</v>
      </c>
      <c r="I5360" s="1" t="s">
        <v>19053</v>
      </c>
      <c r="J5360" s="1" t="s">
        <v>3606</v>
      </c>
      <c r="K5360" s="1"/>
      <c r="L5360" s="1"/>
      <c r="M5360" s="1"/>
    </row>
    <row x14ac:dyDescent="0.25" r="5361" customHeight="1" ht="18.75">
      <c r="A5361" s="1" t="s">
        <v>3598</v>
      </c>
      <c r="B5361" s="1" t="s">
        <v>14025</v>
      </c>
      <c r="C5361" s="1" t="s">
        <v>3600</v>
      </c>
      <c r="D5361" s="1" t="s">
        <v>3601</v>
      </c>
      <c r="E5361" s="1" t="s">
        <v>3664</v>
      </c>
      <c r="F5361" s="1" t="s">
        <v>19054</v>
      </c>
      <c r="G5361" s="1" t="s">
        <v>13960</v>
      </c>
      <c r="H5361" s="1" t="s">
        <v>3604</v>
      </c>
      <c r="I5361" s="1" t="s">
        <v>19055</v>
      </c>
      <c r="J5361" s="1" t="s">
        <v>3606</v>
      </c>
      <c r="K5361" s="1"/>
      <c r="L5361" s="1"/>
      <c r="M5361" s="1"/>
    </row>
    <row x14ac:dyDescent="0.25" r="5362" customHeight="1" ht="18.75">
      <c r="A5362" s="1" t="s">
        <v>3598</v>
      </c>
      <c r="B5362" s="1" t="s">
        <v>14025</v>
      </c>
      <c r="C5362" s="1" t="s">
        <v>3600</v>
      </c>
      <c r="D5362" s="1" t="s">
        <v>3601</v>
      </c>
      <c r="E5362" s="1" t="s">
        <v>3664</v>
      </c>
      <c r="F5362" s="1" t="s">
        <v>19056</v>
      </c>
      <c r="G5362" s="1" t="s">
        <v>18943</v>
      </c>
      <c r="H5362" s="1" t="s">
        <v>3604</v>
      </c>
      <c r="I5362" s="1" t="s">
        <v>19057</v>
      </c>
      <c r="J5362" s="1" t="s">
        <v>3606</v>
      </c>
      <c r="K5362" s="1"/>
      <c r="L5362" s="1"/>
      <c r="M5362" s="1"/>
    </row>
    <row x14ac:dyDescent="0.25" r="5363" customHeight="1" ht="18.75">
      <c r="A5363" s="1" t="s">
        <v>3598</v>
      </c>
      <c r="B5363" s="1" t="s">
        <v>14038</v>
      </c>
      <c r="C5363" s="1" t="s">
        <v>3600</v>
      </c>
      <c r="D5363" s="1" t="s">
        <v>3601</v>
      </c>
      <c r="E5363" s="1" t="s">
        <v>3664</v>
      </c>
      <c r="F5363" s="1" t="s">
        <v>19058</v>
      </c>
      <c r="G5363" s="1" t="s">
        <v>13964</v>
      </c>
      <c r="H5363" s="1" t="s">
        <v>3604</v>
      </c>
      <c r="I5363" s="1" t="s">
        <v>19059</v>
      </c>
      <c r="J5363" s="1" t="s">
        <v>3606</v>
      </c>
      <c r="K5363" s="1" t="s">
        <v>19060</v>
      </c>
      <c r="L5363" s="1"/>
      <c r="M5363" s="1"/>
    </row>
    <row x14ac:dyDescent="0.25" r="5364" customHeight="1" ht="18.75">
      <c r="A5364" s="1" t="s">
        <v>3598</v>
      </c>
      <c r="B5364" s="1" t="s">
        <v>14038</v>
      </c>
      <c r="C5364" s="1" t="s">
        <v>3600</v>
      </c>
      <c r="D5364" s="1" t="s">
        <v>3601</v>
      </c>
      <c r="E5364" s="1" t="s">
        <v>3664</v>
      </c>
      <c r="F5364" s="1" t="s">
        <v>19061</v>
      </c>
      <c r="G5364" s="1" t="s">
        <v>13964</v>
      </c>
      <c r="H5364" s="1" t="s">
        <v>3604</v>
      </c>
      <c r="I5364" s="1" t="s">
        <v>19062</v>
      </c>
      <c r="J5364" s="1" t="s">
        <v>3606</v>
      </c>
      <c r="K5364" s="1" t="s">
        <v>19063</v>
      </c>
      <c r="L5364" s="1"/>
      <c r="M5364" s="1"/>
    </row>
    <row x14ac:dyDescent="0.25" r="5365" customHeight="1" ht="18.75">
      <c r="A5365" s="1" t="s">
        <v>3598</v>
      </c>
      <c r="B5365" s="1" t="s">
        <v>14038</v>
      </c>
      <c r="C5365" s="1" t="s">
        <v>3600</v>
      </c>
      <c r="D5365" s="1" t="s">
        <v>3601</v>
      </c>
      <c r="E5365" s="1" t="s">
        <v>3664</v>
      </c>
      <c r="F5365" s="1" t="s">
        <v>19064</v>
      </c>
      <c r="G5365" s="1" t="s">
        <v>13968</v>
      </c>
      <c r="H5365" s="1" t="s">
        <v>3604</v>
      </c>
      <c r="I5365" s="1" t="s">
        <v>19065</v>
      </c>
      <c r="J5365" s="1" t="s">
        <v>3606</v>
      </c>
      <c r="K5365" s="1" t="s">
        <v>19066</v>
      </c>
      <c r="L5365" s="1"/>
      <c r="M5365" s="1"/>
    </row>
    <row x14ac:dyDescent="0.25" r="5366" customHeight="1" ht="18.75">
      <c r="A5366" s="1" t="s">
        <v>3598</v>
      </c>
      <c r="B5366" s="1" t="s">
        <v>14038</v>
      </c>
      <c r="C5366" s="1" t="s">
        <v>3600</v>
      </c>
      <c r="D5366" s="1" t="s">
        <v>3601</v>
      </c>
      <c r="E5366" s="1" t="s">
        <v>3664</v>
      </c>
      <c r="F5366" s="1" t="s">
        <v>19067</v>
      </c>
      <c r="G5366" s="1" t="s">
        <v>13968</v>
      </c>
      <c r="H5366" s="1" t="s">
        <v>3604</v>
      </c>
      <c r="I5366" s="1" t="s">
        <v>19068</v>
      </c>
      <c r="J5366" s="1" t="s">
        <v>3606</v>
      </c>
      <c r="K5366" s="1" t="s">
        <v>19069</v>
      </c>
      <c r="L5366" s="1"/>
      <c r="M5366" s="1"/>
    </row>
    <row x14ac:dyDescent="0.25" r="5367" customHeight="1" ht="18.75">
      <c r="A5367" s="1" t="s">
        <v>3598</v>
      </c>
      <c r="B5367" s="1" t="s">
        <v>14038</v>
      </c>
      <c r="C5367" s="1" t="s">
        <v>3600</v>
      </c>
      <c r="D5367" s="1" t="s">
        <v>3601</v>
      </c>
      <c r="E5367" s="1" t="s">
        <v>3664</v>
      </c>
      <c r="F5367" s="1" t="s">
        <v>19070</v>
      </c>
      <c r="G5367" s="1" t="s">
        <v>13964</v>
      </c>
      <c r="H5367" s="1" t="s">
        <v>3604</v>
      </c>
      <c r="I5367" s="1" t="s">
        <v>19071</v>
      </c>
      <c r="J5367" s="1" t="s">
        <v>3606</v>
      </c>
      <c r="K5367" s="1"/>
      <c r="L5367" s="1"/>
      <c r="M5367" s="1"/>
    </row>
    <row x14ac:dyDescent="0.25" r="5368" customHeight="1" ht="18.75">
      <c r="A5368" s="1" t="s">
        <v>3598</v>
      </c>
      <c r="B5368" s="1" t="s">
        <v>14038</v>
      </c>
      <c r="C5368" s="1" t="s">
        <v>3600</v>
      </c>
      <c r="D5368" s="1" t="s">
        <v>3601</v>
      </c>
      <c r="E5368" s="1" t="s">
        <v>3664</v>
      </c>
      <c r="F5368" s="1" t="s">
        <v>19072</v>
      </c>
      <c r="G5368" s="1" t="s">
        <v>13968</v>
      </c>
      <c r="H5368" s="1" t="s">
        <v>3604</v>
      </c>
      <c r="I5368" s="1" t="s">
        <v>19073</v>
      </c>
      <c r="J5368" s="1" t="s">
        <v>3606</v>
      </c>
      <c r="K5368" s="1"/>
      <c r="L5368" s="1"/>
      <c r="M5368" s="1"/>
    </row>
    <row x14ac:dyDescent="0.25" r="5369" customHeight="1" ht="18.75">
      <c r="A5369" s="1" t="s">
        <v>3598</v>
      </c>
      <c r="B5369" s="1" t="s">
        <v>4600</v>
      </c>
      <c r="C5369" s="1" t="s">
        <v>3600</v>
      </c>
      <c r="D5369" s="1" t="s">
        <v>3601</v>
      </c>
      <c r="E5369" s="1" t="s">
        <v>3893</v>
      </c>
      <c r="F5369" s="1" t="s">
        <v>19074</v>
      </c>
      <c r="G5369" s="1" t="s">
        <v>13874</v>
      </c>
      <c r="H5369" s="1" t="s">
        <v>3604</v>
      </c>
      <c r="I5369" s="1" t="s">
        <v>19075</v>
      </c>
      <c r="J5369" s="1" t="s">
        <v>3606</v>
      </c>
      <c r="K5369" s="1" t="s">
        <v>19076</v>
      </c>
      <c r="L5369" s="1"/>
      <c r="M5369" s="1"/>
    </row>
    <row x14ac:dyDescent="0.25" r="5370" customHeight="1" ht="18.75">
      <c r="A5370" s="1" t="s">
        <v>3598</v>
      </c>
      <c r="B5370" s="1" t="s">
        <v>4600</v>
      </c>
      <c r="C5370" s="1" t="s">
        <v>3600</v>
      </c>
      <c r="D5370" s="1" t="s">
        <v>3601</v>
      </c>
      <c r="E5370" s="1" t="s">
        <v>3664</v>
      </c>
      <c r="F5370" s="1" t="s">
        <v>19077</v>
      </c>
      <c r="G5370" s="1" t="s">
        <v>13866</v>
      </c>
      <c r="H5370" s="1" t="s">
        <v>3604</v>
      </c>
      <c r="I5370" s="1" t="s">
        <v>19078</v>
      </c>
      <c r="J5370" s="1" t="s">
        <v>3606</v>
      </c>
      <c r="K5370" s="1" t="s">
        <v>19079</v>
      </c>
      <c r="L5370" s="1"/>
      <c r="M5370" s="1"/>
    </row>
    <row x14ac:dyDescent="0.25" r="5371" customHeight="1" ht="18.75">
      <c r="A5371" s="1" t="s">
        <v>3598</v>
      </c>
      <c r="B5371" s="1" t="s">
        <v>4600</v>
      </c>
      <c r="C5371" s="1" t="s">
        <v>3600</v>
      </c>
      <c r="D5371" s="1" t="s">
        <v>3601</v>
      </c>
      <c r="E5371" s="1" t="s">
        <v>3664</v>
      </c>
      <c r="F5371" s="1" t="s">
        <v>19080</v>
      </c>
      <c r="G5371" s="1" t="s">
        <v>13866</v>
      </c>
      <c r="H5371" s="1" t="s">
        <v>3604</v>
      </c>
      <c r="I5371" s="1" t="s">
        <v>19081</v>
      </c>
      <c r="J5371" s="1" t="s">
        <v>3606</v>
      </c>
      <c r="K5371" s="1" t="s">
        <v>19082</v>
      </c>
      <c r="L5371" s="1"/>
      <c r="M5371" s="1"/>
    </row>
    <row x14ac:dyDescent="0.25" r="5372" customHeight="1" ht="18.75">
      <c r="A5372" s="1" t="s">
        <v>3598</v>
      </c>
      <c r="B5372" s="1" t="s">
        <v>4600</v>
      </c>
      <c r="C5372" s="1" t="s">
        <v>3600</v>
      </c>
      <c r="D5372" s="1" t="s">
        <v>3601</v>
      </c>
      <c r="E5372" s="1" t="s">
        <v>3664</v>
      </c>
      <c r="F5372" s="1" t="s">
        <v>19083</v>
      </c>
      <c r="G5372" s="1" t="s">
        <v>13870</v>
      </c>
      <c r="H5372" s="1" t="s">
        <v>3604</v>
      </c>
      <c r="I5372" s="1" t="s">
        <v>19084</v>
      </c>
      <c r="J5372" s="1" t="s">
        <v>3606</v>
      </c>
      <c r="K5372" s="1" t="s">
        <v>19085</v>
      </c>
      <c r="L5372" s="1"/>
      <c r="M5372" s="1"/>
    </row>
    <row x14ac:dyDescent="0.25" r="5373" customHeight="1" ht="18.75">
      <c r="A5373" s="1" t="s">
        <v>3598</v>
      </c>
      <c r="B5373" s="1" t="s">
        <v>4600</v>
      </c>
      <c r="C5373" s="1" t="s">
        <v>3600</v>
      </c>
      <c r="D5373" s="1" t="s">
        <v>3601</v>
      </c>
      <c r="E5373" s="1" t="s">
        <v>3664</v>
      </c>
      <c r="F5373" s="1" t="s">
        <v>19086</v>
      </c>
      <c r="G5373" s="1" t="s">
        <v>13870</v>
      </c>
      <c r="H5373" s="1" t="s">
        <v>3604</v>
      </c>
      <c r="I5373" s="1" t="s">
        <v>19087</v>
      </c>
      <c r="J5373" s="1" t="s">
        <v>3606</v>
      </c>
      <c r="K5373" s="1" t="s">
        <v>19088</v>
      </c>
      <c r="L5373" s="1"/>
      <c r="M5373" s="1"/>
    </row>
    <row x14ac:dyDescent="0.25" r="5374" customHeight="1" ht="18.75">
      <c r="A5374" s="1" t="s">
        <v>3598</v>
      </c>
      <c r="B5374" s="1" t="s">
        <v>4600</v>
      </c>
      <c r="C5374" s="1" t="s">
        <v>3600</v>
      </c>
      <c r="D5374" s="1" t="s">
        <v>3601</v>
      </c>
      <c r="E5374" s="1" t="s">
        <v>3893</v>
      </c>
      <c r="F5374" s="1" t="s">
        <v>19089</v>
      </c>
      <c r="G5374" s="1" t="s">
        <v>4468</v>
      </c>
      <c r="H5374" s="1" t="s">
        <v>3604</v>
      </c>
      <c r="I5374" s="1" t="s">
        <v>19090</v>
      </c>
      <c r="J5374" s="1" t="s">
        <v>3606</v>
      </c>
      <c r="K5374" s="1" t="s">
        <v>19091</v>
      </c>
      <c r="L5374" s="1"/>
      <c r="M5374" s="1"/>
    </row>
    <row x14ac:dyDescent="0.25" r="5375" customHeight="1" ht="18.75">
      <c r="A5375" s="1" t="s">
        <v>3598</v>
      </c>
      <c r="B5375" s="1" t="s">
        <v>4600</v>
      </c>
      <c r="C5375" s="1" t="s">
        <v>3600</v>
      </c>
      <c r="D5375" s="1" t="s">
        <v>3601</v>
      </c>
      <c r="E5375" s="1" t="s">
        <v>3893</v>
      </c>
      <c r="F5375" s="1" t="s">
        <v>19092</v>
      </c>
      <c r="G5375" s="1" t="s">
        <v>4468</v>
      </c>
      <c r="H5375" s="1" t="s">
        <v>3604</v>
      </c>
      <c r="I5375" s="1" t="s">
        <v>19093</v>
      </c>
      <c r="J5375" s="1" t="s">
        <v>3606</v>
      </c>
      <c r="K5375" s="1" t="s">
        <v>19094</v>
      </c>
      <c r="L5375" s="1"/>
      <c r="M5375" s="1"/>
    </row>
    <row x14ac:dyDescent="0.25" r="5376" customHeight="1" ht="18.75">
      <c r="A5376" s="1" t="s">
        <v>3598</v>
      </c>
      <c r="B5376" s="1" t="s">
        <v>4600</v>
      </c>
      <c r="C5376" s="1" t="s">
        <v>3600</v>
      </c>
      <c r="D5376" s="1" t="s">
        <v>3601</v>
      </c>
      <c r="E5376" s="1" t="s">
        <v>3893</v>
      </c>
      <c r="F5376" s="1" t="s">
        <v>19095</v>
      </c>
      <c r="G5376" s="1" t="s">
        <v>10315</v>
      </c>
      <c r="H5376" s="1" t="s">
        <v>3604</v>
      </c>
      <c r="I5376" s="1" t="s">
        <v>19096</v>
      </c>
      <c r="J5376" s="1" t="s">
        <v>3606</v>
      </c>
      <c r="K5376" s="1" t="s">
        <v>19097</v>
      </c>
      <c r="L5376" s="1"/>
      <c r="M5376" s="1"/>
    </row>
    <row x14ac:dyDescent="0.25" r="5377" customHeight="1" ht="18.75">
      <c r="A5377" s="1" t="s">
        <v>3598</v>
      </c>
      <c r="B5377" s="1" t="s">
        <v>4600</v>
      </c>
      <c r="C5377" s="1" t="s">
        <v>3600</v>
      </c>
      <c r="D5377" s="1" t="s">
        <v>3601</v>
      </c>
      <c r="E5377" s="1" t="s">
        <v>3893</v>
      </c>
      <c r="F5377" s="1" t="s">
        <v>19098</v>
      </c>
      <c r="G5377" s="1" t="s">
        <v>10315</v>
      </c>
      <c r="H5377" s="1" t="s">
        <v>3604</v>
      </c>
      <c r="I5377" s="1" t="s">
        <v>19099</v>
      </c>
      <c r="J5377" s="1" t="s">
        <v>3606</v>
      </c>
      <c r="K5377" s="1" t="s">
        <v>19100</v>
      </c>
      <c r="L5377" s="1"/>
      <c r="M5377" s="1"/>
    </row>
    <row x14ac:dyDescent="0.25" r="5378" customHeight="1" ht="18.75">
      <c r="A5378" s="1" t="s">
        <v>3598</v>
      </c>
      <c r="B5378" s="1" t="s">
        <v>4600</v>
      </c>
      <c r="C5378" s="1" t="s">
        <v>3600</v>
      </c>
      <c r="D5378" s="1" t="s">
        <v>3601</v>
      </c>
      <c r="E5378" s="1" t="s">
        <v>3893</v>
      </c>
      <c r="F5378" s="1" t="s">
        <v>19101</v>
      </c>
      <c r="G5378" s="1" t="s">
        <v>13911</v>
      </c>
      <c r="H5378" s="1" t="s">
        <v>3604</v>
      </c>
      <c r="I5378" s="1" t="s">
        <v>19102</v>
      </c>
      <c r="J5378" s="1" t="s">
        <v>3606</v>
      </c>
      <c r="K5378" s="1" t="s">
        <v>19103</v>
      </c>
      <c r="L5378" s="1"/>
      <c r="M5378" s="1"/>
    </row>
    <row x14ac:dyDescent="0.25" r="5379" customHeight="1" ht="18.75">
      <c r="A5379" s="1" t="s">
        <v>3598</v>
      </c>
      <c r="B5379" s="1" t="s">
        <v>4600</v>
      </c>
      <c r="C5379" s="1" t="s">
        <v>3600</v>
      </c>
      <c r="D5379" s="1" t="s">
        <v>3601</v>
      </c>
      <c r="E5379" s="1" t="s">
        <v>3893</v>
      </c>
      <c r="F5379" s="1" t="s">
        <v>19104</v>
      </c>
      <c r="G5379" s="1" t="s">
        <v>13903</v>
      </c>
      <c r="H5379" s="1" t="s">
        <v>3604</v>
      </c>
      <c r="I5379" s="1" t="s">
        <v>19105</v>
      </c>
      <c r="J5379" s="1" t="s">
        <v>3606</v>
      </c>
      <c r="K5379" s="1" t="s">
        <v>19106</v>
      </c>
      <c r="L5379" s="1"/>
      <c r="M5379" s="1"/>
    </row>
    <row x14ac:dyDescent="0.25" r="5380" customHeight="1" ht="18.75">
      <c r="A5380" s="1" t="s">
        <v>3598</v>
      </c>
      <c r="B5380" s="1" t="s">
        <v>4600</v>
      </c>
      <c r="C5380" s="1" t="s">
        <v>3600</v>
      </c>
      <c r="D5380" s="1" t="s">
        <v>3601</v>
      </c>
      <c r="E5380" s="1" t="s">
        <v>3893</v>
      </c>
      <c r="F5380" s="1" t="s">
        <v>19107</v>
      </c>
      <c r="G5380" s="1" t="s">
        <v>13928</v>
      </c>
      <c r="H5380" s="1" t="s">
        <v>3604</v>
      </c>
      <c r="I5380" s="1" t="s">
        <v>19108</v>
      </c>
      <c r="J5380" s="1" t="s">
        <v>3606</v>
      </c>
      <c r="K5380" s="1" t="s">
        <v>19109</v>
      </c>
      <c r="L5380" s="1"/>
      <c r="M5380" s="1"/>
    </row>
    <row x14ac:dyDescent="0.25" r="5381" customHeight="1" ht="18.75">
      <c r="A5381" s="1" t="s">
        <v>3598</v>
      </c>
      <c r="B5381" s="1" t="s">
        <v>4600</v>
      </c>
      <c r="C5381" s="1" t="s">
        <v>3600</v>
      </c>
      <c r="D5381" s="1" t="s">
        <v>3601</v>
      </c>
      <c r="E5381" s="1" t="s">
        <v>3893</v>
      </c>
      <c r="F5381" s="1" t="s">
        <v>19110</v>
      </c>
      <c r="G5381" s="1" t="s">
        <v>13884</v>
      </c>
      <c r="H5381" s="1" t="s">
        <v>3604</v>
      </c>
      <c r="I5381" s="1" t="s">
        <v>19111</v>
      </c>
      <c r="J5381" s="1" t="s">
        <v>3606</v>
      </c>
      <c r="K5381" s="1"/>
      <c r="L5381" s="1"/>
      <c r="M5381" s="1"/>
    </row>
    <row x14ac:dyDescent="0.25" r="5382" customHeight="1" ht="18.75">
      <c r="A5382" s="1" t="s">
        <v>3598</v>
      </c>
      <c r="B5382" s="1" t="s">
        <v>4095</v>
      </c>
      <c r="C5382" s="1" t="s">
        <v>3600</v>
      </c>
      <c r="D5382" s="1" t="s">
        <v>3601</v>
      </c>
      <c r="E5382" s="1" t="s">
        <v>3664</v>
      </c>
      <c r="F5382" s="1" t="s">
        <v>19112</v>
      </c>
      <c r="G5382" s="1" t="s">
        <v>13781</v>
      </c>
      <c r="H5382" s="1" t="s">
        <v>3604</v>
      </c>
      <c r="I5382" s="1" t="s">
        <v>19113</v>
      </c>
      <c r="J5382" s="1" t="s">
        <v>3606</v>
      </c>
      <c r="K5382" s="1" t="s">
        <v>19114</v>
      </c>
      <c r="L5382" s="1"/>
      <c r="M5382" s="1"/>
    </row>
    <row x14ac:dyDescent="0.25" r="5383" customHeight="1" ht="18.75">
      <c r="A5383" s="1" t="s">
        <v>3598</v>
      </c>
      <c r="B5383" s="1" t="s">
        <v>4095</v>
      </c>
      <c r="C5383" s="1" t="s">
        <v>3600</v>
      </c>
      <c r="D5383" s="1" t="s">
        <v>3601</v>
      </c>
      <c r="E5383" s="1" t="s">
        <v>3664</v>
      </c>
      <c r="F5383" s="1" t="s">
        <v>19115</v>
      </c>
      <c r="G5383" s="1" t="s">
        <v>13781</v>
      </c>
      <c r="H5383" s="1" t="s">
        <v>3604</v>
      </c>
      <c r="I5383" s="1" t="s">
        <v>19116</v>
      </c>
      <c r="J5383" s="1" t="s">
        <v>3606</v>
      </c>
      <c r="K5383" s="1" t="s">
        <v>19117</v>
      </c>
      <c r="L5383" s="1"/>
      <c r="M5383" s="1"/>
    </row>
    <row x14ac:dyDescent="0.25" r="5384" customHeight="1" ht="18.75">
      <c r="A5384" s="1" t="s">
        <v>3598</v>
      </c>
      <c r="B5384" s="1" t="s">
        <v>4095</v>
      </c>
      <c r="C5384" s="1" t="s">
        <v>3600</v>
      </c>
      <c r="D5384" s="1" t="s">
        <v>3601</v>
      </c>
      <c r="E5384" s="1" t="s">
        <v>3664</v>
      </c>
      <c r="F5384" s="1" t="s">
        <v>19118</v>
      </c>
      <c r="G5384" s="1" t="s">
        <v>13785</v>
      </c>
      <c r="H5384" s="1" t="s">
        <v>3604</v>
      </c>
      <c r="I5384" s="1" t="s">
        <v>19119</v>
      </c>
      <c r="J5384" s="1" t="s">
        <v>3606</v>
      </c>
      <c r="K5384" s="1" t="s">
        <v>19120</v>
      </c>
      <c r="L5384" s="1"/>
      <c r="M5384" s="1"/>
    </row>
    <row x14ac:dyDescent="0.25" r="5385" customHeight="1" ht="18.75">
      <c r="A5385" s="1" t="s">
        <v>3598</v>
      </c>
      <c r="B5385" s="1" t="s">
        <v>4095</v>
      </c>
      <c r="C5385" s="1" t="s">
        <v>3600</v>
      </c>
      <c r="D5385" s="1" t="s">
        <v>3601</v>
      </c>
      <c r="E5385" s="1" t="s">
        <v>3664</v>
      </c>
      <c r="F5385" s="1" t="s">
        <v>19121</v>
      </c>
      <c r="G5385" s="1" t="s">
        <v>13785</v>
      </c>
      <c r="H5385" s="1" t="s">
        <v>3604</v>
      </c>
      <c r="I5385" s="1" t="s">
        <v>19122</v>
      </c>
      <c r="J5385" s="1" t="s">
        <v>3606</v>
      </c>
      <c r="K5385" s="1" t="s">
        <v>19123</v>
      </c>
      <c r="L5385" s="1"/>
      <c r="M5385" s="1"/>
    </row>
    <row x14ac:dyDescent="0.25" r="5386" customHeight="1" ht="18.75">
      <c r="A5386" s="1" t="s">
        <v>3598</v>
      </c>
      <c r="B5386" s="1" t="s">
        <v>4095</v>
      </c>
      <c r="C5386" s="1" t="s">
        <v>3600</v>
      </c>
      <c r="D5386" s="1" t="s">
        <v>3601</v>
      </c>
      <c r="E5386" s="1" t="s">
        <v>3664</v>
      </c>
      <c r="F5386" s="1" t="s">
        <v>19124</v>
      </c>
      <c r="G5386" s="1" t="s">
        <v>13837</v>
      </c>
      <c r="H5386" s="1" t="s">
        <v>3604</v>
      </c>
      <c r="I5386" s="1" t="s">
        <v>19125</v>
      </c>
      <c r="J5386" s="1" t="s">
        <v>3606</v>
      </c>
      <c r="K5386" s="1" t="s">
        <v>19126</v>
      </c>
      <c r="L5386" s="1"/>
      <c r="M5386" s="1"/>
    </row>
    <row x14ac:dyDescent="0.25" r="5387" customHeight="1" ht="18.75">
      <c r="A5387" s="1" t="s">
        <v>3598</v>
      </c>
      <c r="B5387" s="1" t="s">
        <v>4095</v>
      </c>
      <c r="C5387" s="1" t="s">
        <v>3600</v>
      </c>
      <c r="D5387" s="1" t="s">
        <v>3601</v>
      </c>
      <c r="E5387" s="1" t="s">
        <v>3664</v>
      </c>
      <c r="F5387" s="1" t="s">
        <v>19127</v>
      </c>
      <c r="G5387" s="1" t="s">
        <v>8983</v>
      </c>
      <c r="H5387" s="1" t="s">
        <v>3604</v>
      </c>
      <c r="I5387" s="1" t="s">
        <v>19128</v>
      </c>
      <c r="J5387" s="1" t="s">
        <v>3606</v>
      </c>
      <c r="K5387" s="1" t="s">
        <v>19129</v>
      </c>
      <c r="L5387" s="1"/>
      <c r="M5387" s="1"/>
    </row>
    <row x14ac:dyDescent="0.25" r="5388" customHeight="1" ht="18.75">
      <c r="A5388" s="1" t="s">
        <v>3598</v>
      </c>
      <c r="B5388" s="1" t="s">
        <v>4095</v>
      </c>
      <c r="C5388" s="1" t="s">
        <v>3600</v>
      </c>
      <c r="D5388" s="1" t="s">
        <v>3601</v>
      </c>
      <c r="E5388" s="1" t="s">
        <v>3664</v>
      </c>
      <c r="F5388" s="1" t="s">
        <v>19130</v>
      </c>
      <c r="G5388" s="1" t="s">
        <v>5247</v>
      </c>
      <c r="H5388" s="1" t="s">
        <v>3604</v>
      </c>
      <c r="I5388" s="1" t="s">
        <v>19131</v>
      </c>
      <c r="J5388" s="1" t="s">
        <v>3606</v>
      </c>
      <c r="K5388" s="1" t="s">
        <v>19132</v>
      </c>
      <c r="L5388" s="1"/>
      <c r="M5388" s="1"/>
    </row>
    <row x14ac:dyDescent="0.25" r="5389" customHeight="1" ht="18.75">
      <c r="A5389" s="1" t="s">
        <v>3598</v>
      </c>
      <c r="B5389" s="1" t="s">
        <v>4095</v>
      </c>
      <c r="C5389" s="1" t="s">
        <v>3600</v>
      </c>
      <c r="D5389" s="1" t="s">
        <v>3601</v>
      </c>
      <c r="E5389" s="1" t="s">
        <v>3664</v>
      </c>
      <c r="F5389" s="1" t="s">
        <v>19133</v>
      </c>
      <c r="G5389" s="1" t="s">
        <v>8987</v>
      </c>
      <c r="H5389" s="1" t="s">
        <v>3604</v>
      </c>
      <c r="I5389" s="1" t="s">
        <v>19134</v>
      </c>
      <c r="J5389" s="1" t="s">
        <v>3606</v>
      </c>
      <c r="K5389" s="1" t="s">
        <v>19135</v>
      </c>
      <c r="L5389" s="1"/>
      <c r="M5389" s="1"/>
    </row>
    <row x14ac:dyDescent="0.25" r="5390" customHeight="1" ht="18.75">
      <c r="A5390" s="1" t="s">
        <v>3598</v>
      </c>
      <c r="B5390" s="1" t="s">
        <v>4095</v>
      </c>
      <c r="C5390" s="1" t="s">
        <v>3600</v>
      </c>
      <c r="D5390" s="1" t="s">
        <v>3601</v>
      </c>
      <c r="E5390" s="1" t="s">
        <v>3664</v>
      </c>
      <c r="F5390" s="1" t="s">
        <v>19136</v>
      </c>
      <c r="G5390" s="1" t="s">
        <v>13781</v>
      </c>
      <c r="H5390" s="1" t="s">
        <v>3604</v>
      </c>
      <c r="I5390" s="1" t="s">
        <v>19137</v>
      </c>
      <c r="J5390" s="1" t="s">
        <v>3606</v>
      </c>
      <c r="K5390" s="1"/>
      <c r="L5390" s="1"/>
      <c r="M5390" s="1"/>
    </row>
    <row x14ac:dyDescent="0.25" r="5391" customHeight="1" ht="18.75">
      <c r="A5391" s="1" t="s">
        <v>3598</v>
      </c>
      <c r="B5391" s="1" t="s">
        <v>4095</v>
      </c>
      <c r="C5391" s="1" t="s">
        <v>3600</v>
      </c>
      <c r="D5391" s="1" t="s">
        <v>3601</v>
      </c>
      <c r="E5391" s="1" t="s">
        <v>3664</v>
      </c>
      <c r="F5391" s="1" t="s">
        <v>19138</v>
      </c>
      <c r="G5391" s="1" t="s">
        <v>13785</v>
      </c>
      <c r="H5391" s="1" t="s">
        <v>3604</v>
      </c>
      <c r="I5391" s="1" t="s">
        <v>19139</v>
      </c>
      <c r="J5391" s="1" t="s">
        <v>3606</v>
      </c>
      <c r="K5391" s="1"/>
      <c r="L5391" s="1"/>
      <c r="M5391" s="1"/>
    </row>
    <row x14ac:dyDescent="0.25" r="5392" customHeight="1" ht="18.75">
      <c r="A5392" s="1" t="s">
        <v>3598</v>
      </c>
      <c r="B5392" s="1" t="s">
        <v>4627</v>
      </c>
      <c r="C5392" s="1" t="s">
        <v>3600</v>
      </c>
      <c r="D5392" s="1" t="s">
        <v>3601</v>
      </c>
      <c r="E5392" s="1" t="s">
        <v>3664</v>
      </c>
      <c r="F5392" s="1" t="s">
        <v>19140</v>
      </c>
      <c r="G5392" s="1" t="s">
        <v>18286</v>
      </c>
      <c r="H5392" s="1" t="s">
        <v>3604</v>
      </c>
      <c r="I5392" s="1" t="s">
        <v>19141</v>
      </c>
      <c r="J5392" s="1" t="s">
        <v>3606</v>
      </c>
      <c r="K5392" s="1" t="s">
        <v>19142</v>
      </c>
      <c r="L5392" s="1"/>
      <c r="M5392" s="1"/>
    </row>
    <row x14ac:dyDescent="0.25" r="5393" customHeight="1" ht="18.75">
      <c r="A5393" s="1" t="s">
        <v>3598</v>
      </c>
      <c r="B5393" s="1" t="s">
        <v>4627</v>
      </c>
      <c r="C5393" s="1" t="s">
        <v>3600</v>
      </c>
      <c r="D5393" s="1" t="s">
        <v>3601</v>
      </c>
      <c r="E5393" s="1" t="s">
        <v>3981</v>
      </c>
      <c r="F5393" s="1" t="s">
        <v>19143</v>
      </c>
      <c r="G5393" s="1" t="s">
        <v>16402</v>
      </c>
      <c r="H5393" s="1" t="s">
        <v>3604</v>
      </c>
      <c r="I5393" s="1" t="s">
        <v>19144</v>
      </c>
      <c r="J5393" s="1" t="s">
        <v>3606</v>
      </c>
      <c r="K5393" s="1" t="s">
        <v>19145</v>
      </c>
      <c r="L5393" s="1"/>
      <c r="M5393" s="1"/>
    </row>
    <row x14ac:dyDescent="0.25" r="5394" customHeight="1" ht="18.75">
      <c r="A5394" s="1" t="s">
        <v>3598</v>
      </c>
      <c r="B5394" s="1" t="s">
        <v>4627</v>
      </c>
      <c r="C5394" s="1" t="s">
        <v>3600</v>
      </c>
      <c r="D5394" s="1" t="s">
        <v>3601</v>
      </c>
      <c r="E5394" s="1" t="s">
        <v>3981</v>
      </c>
      <c r="F5394" s="1" t="s">
        <v>19146</v>
      </c>
      <c r="G5394" s="1" t="s">
        <v>19147</v>
      </c>
      <c r="H5394" s="1" t="s">
        <v>3604</v>
      </c>
      <c r="I5394" s="1" t="s">
        <v>19148</v>
      </c>
      <c r="J5394" s="1" t="s">
        <v>3606</v>
      </c>
      <c r="K5394" s="1" t="s">
        <v>19149</v>
      </c>
      <c r="L5394" s="1"/>
      <c r="M5394" s="1"/>
    </row>
    <row x14ac:dyDescent="0.25" r="5395" customHeight="1" ht="18.75">
      <c r="A5395" s="1" t="s">
        <v>3598</v>
      </c>
      <c r="B5395" s="1" t="s">
        <v>4627</v>
      </c>
      <c r="C5395" s="1" t="s">
        <v>3600</v>
      </c>
      <c r="D5395" s="1" t="s">
        <v>3601</v>
      </c>
      <c r="E5395" s="1" t="s">
        <v>3981</v>
      </c>
      <c r="F5395" s="1" t="s">
        <v>19150</v>
      </c>
      <c r="G5395" s="1" t="s">
        <v>19151</v>
      </c>
      <c r="H5395" s="1" t="s">
        <v>3604</v>
      </c>
      <c r="I5395" s="1" t="s">
        <v>19152</v>
      </c>
      <c r="J5395" s="1" t="s">
        <v>3606</v>
      </c>
      <c r="K5395" s="1" t="s">
        <v>19153</v>
      </c>
      <c r="L5395" s="1"/>
      <c r="M5395" s="1"/>
    </row>
    <row x14ac:dyDescent="0.25" r="5396" customHeight="1" ht="18.75">
      <c r="A5396" s="1" t="s">
        <v>3598</v>
      </c>
      <c r="B5396" s="1" t="s">
        <v>4627</v>
      </c>
      <c r="C5396" s="1" t="s">
        <v>3600</v>
      </c>
      <c r="D5396" s="1" t="s">
        <v>3601</v>
      </c>
      <c r="E5396" s="1" t="s">
        <v>3981</v>
      </c>
      <c r="F5396" s="1" t="s">
        <v>19154</v>
      </c>
      <c r="G5396" s="1" t="s">
        <v>19155</v>
      </c>
      <c r="H5396" s="1" t="s">
        <v>3604</v>
      </c>
      <c r="I5396" s="1" t="s">
        <v>19156</v>
      </c>
      <c r="J5396" s="1" t="s">
        <v>3606</v>
      </c>
      <c r="K5396" s="1" t="s">
        <v>19157</v>
      </c>
      <c r="L5396" s="1"/>
      <c r="M5396" s="1"/>
    </row>
    <row x14ac:dyDescent="0.25" r="5397" customHeight="1" ht="18.75">
      <c r="A5397" s="1" t="s">
        <v>3598</v>
      </c>
      <c r="B5397" s="1" t="s">
        <v>3663</v>
      </c>
      <c r="C5397" s="1" t="s">
        <v>3600</v>
      </c>
      <c r="D5397" s="1" t="s">
        <v>3601</v>
      </c>
      <c r="E5397" s="1" t="s">
        <v>3611</v>
      </c>
      <c r="F5397" s="1" t="s">
        <v>19158</v>
      </c>
      <c r="G5397" s="1" t="s">
        <v>19159</v>
      </c>
      <c r="H5397" s="1" t="s">
        <v>3604</v>
      </c>
      <c r="I5397" s="1" t="s">
        <v>19160</v>
      </c>
      <c r="J5397" s="1" t="s">
        <v>3606</v>
      </c>
      <c r="K5397" s="1" t="s">
        <v>19161</v>
      </c>
      <c r="L5397" s="1"/>
      <c r="M5397" s="1"/>
    </row>
    <row x14ac:dyDescent="0.25" r="5398" customHeight="1" ht="18.75">
      <c r="A5398" s="1" t="s">
        <v>3598</v>
      </c>
      <c r="B5398" s="1" t="s">
        <v>3663</v>
      </c>
      <c r="C5398" s="1" t="s">
        <v>3600</v>
      </c>
      <c r="D5398" s="1" t="s">
        <v>3601</v>
      </c>
      <c r="E5398" s="1" t="s">
        <v>3611</v>
      </c>
      <c r="F5398" s="1" t="s">
        <v>19162</v>
      </c>
      <c r="G5398" s="1" t="s">
        <v>19159</v>
      </c>
      <c r="H5398" s="1" t="s">
        <v>3604</v>
      </c>
      <c r="I5398" s="1" t="s">
        <v>19163</v>
      </c>
      <c r="J5398" s="1" t="s">
        <v>3606</v>
      </c>
      <c r="K5398" s="1" t="s">
        <v>19164</v>
      </c>
      <c r="L5398" s="1"/>
      <c r="M5398" s="1"/>
    </row>
    <row x14ac:dyDescent="0.25" r="5399" customHeight="1" ht="18.75">
      <c r="A5399" s="1" t="s">
        <v>3598</v>
      </c>
      <c r="B5399" s="1" t="s">
        <v>3663</v>
      </c>
      <c r="C5399" s="1" t="s">
        <v>3600</v>
      </c>
      <c r="D5399" s="1" t="s">
        <v>3601</v>
      </c>
      <c r="E5399" s="1" t="s">
        <v>3664</v>
      </c>
      <c r="F5399" s="1" t="s">
        <v>19165</v>
      </c>
      <c r="G5399" s="1" t="s">
        <v>7224</v>
      </c>
      <c r="H5399" s="1" t="s">
        <v>3604</v>
      </c>
      <c r="I5399" s="1" t="s">
        <v>19166</v>
      </c>
      <c r="J5399" s="1" t="s">
        <v>3606</v>
      </c>
      <c r="K5399" s="1" t="s">
        <v>19167</v>
      </c>
      <c r="L5399" s="1"/>
      <c r="M5399" s="1"/>
    </row>
    <row x14ac:dyDescent="0.25" r="5400" customHeight="1" ht="18.75">
      <c r="A5400" s="1" t="s">
        <v>3598</v>
      </c>
      <c r="B5400" s="1" t="s">
        <v>3663</v>
      </c>
      <c r="C5400" s="1" t="s">
        <v>3600</v>
      </c>
      <c r="D5400" s="1" t="s">
        <v>3601</v>
      </c>
      <c r="E5400" s="1" t="s">
        <v>3664</v>
      </c>
      <c r="F5400" s="1" t="s">
        <v>19168</v>
      </c>
      <c r="G5400" s="1" t="s">
        <v>7224</v>
      </c>
      <c r="H5400" s="1" t="s">
        <v>3604</v>
      </c>
      <c r="I5400" s="1" t="s">
        <v>19169</v>
      </c>
      <c r="J5400" s="1" t="s">
        <v>3606</v>
      </c>
      <c r="K5400" s="1" t="s">
        <v>19170</v>
      </c>
      <c r="L5400" s="1"/>
      <c r="M5400" s="1"/>
    </row>
    <row x14ac:dyDescent="0.25" r="5401" customHeight="1" ht="18.75">
      <c r="A5401" s="1" t="s">
        <v>3598</v>
      </c>
      <c r="B5401" s="1" t="s">
        <v>3663</v>
      </c>
      <c r="C5401" s="1" t="s">
        <v>3600</v>
      </c>
      <c r="D5401" s="1" t="s">
        <v>3601</v>
      </c>
      <c r="E5401" s="1" t="s">
        <v>3752</v>
      </c>
      <c r="F5401" s="1" t="s">
        <v>19171</v>
      </c>
      <c r="G5401" s="1" t="s">
        <v>19172</v>
      </c>
      <c r="H5401" s="1" t="s">
        <v>3604</v>
      </c>
      <c r="I5401" s="1" t="s">
        <v>19173</v>
      </c>
      <c r="J5401" s="1" t="s">
        <v>3606</v>
      </c>
      <c r="K5401" s="1" t="s">
        <v>19174</v>
      </c>
      <c r="L5401" s="1"/>
      <c r="M5401" s="1"/>
    </row>
    <row x14ac:dyDescent="0.25" r="5402" customHeight="1" ht="18.75">
      <c r="A5402" s="1" t="s">
        <v>3598</v>
      </c>
      <c r="B5402" s="1" t="s">
        <v>3663</v>
      </c>
      <c r="C5402" s="1" t="s">
        <v>3600</v>
      </c>
      <c r="D5402" s="1" t="s">
        <v>3601</v>
      </c>
      <c r="E5402" s="1" t="s">
        <v>3752</v>
      </c>
      <c r="F5402" s="1" t="s">
        <v>19175</v>
      </c>
      <c r="G5402" s="1" t="s">
        <v>19176</v>
      </c>
      <c r="H5402" s="1" t="s">
        <v>3604</v>
      </c>
      <c r="I5402" s="1" t="s">
        <v>19177</v>
      </c>
      <c r="J5402" s="1" t="s">
        <v>3606</v>
      </c>
      <c r="K5402" s="1" t="s">
        <v>19178</v>
      </c>
      <c r="L5402" s="1"/>
      <c r="M5402" s="1"/>
    </row>
    <row x14ac:dyDescent="0.25" r="5403" customHeight="1" ht="18.75">
      <c r="A5403" s="1" t="s">
        <v>3598</v>
      </c>
      <c r="B5403" s="1" t="s">
        <v>3663</v>
      </c>
      <c r="C5403" s="1" t="s">
        <v>3600</v>
      </c>
      <c r="D5403" s="1" t="s">
        <v>3601</v>
      </c>
      <c r="E5403" s="1" t="s">
        <v>3752</v>
      </c>
      <c r="F5403" s="1" t="s">
        <v>19179</v>
      </c>
      <c r="G5403" s="1" t="s">
        <v>19180</v>
      </c>
      <c r="H5403" s="1" t="s">
        <v>3604</v>
      </c>
      <c r="I5403" s="1" t="s">
        <v>19181</v>
      </c>
      <c r="J5403" s="1" t="s">
        <v>3606</v>
      </c>
      <c r="K5403" s="1" t="s">
        <v>19182</v>
      </c>
      <c r="L5403" s="1"/>
      <c r="M5403" s="1"/>
    </row>
    <row x14ac:dyDescent="0.25" r="5404" customHeight="1" ht="18.75">
      <c r="A5404" s="1" t="s">
        <v>3598</v>
      </c>
      <c r="B5404" s="1" t="s">
        <v>3663</v>
      </c>
      <c r="C5404" s="1" t="s">
        <v>3600</v>
      </c>
      <c r="D5404" s="1" t="s">
        <v>3601</v>
      </c>
      <c r="E5404" s="1" t="s">
        <v>3752</v>
      </c>
      <c r="F5404" s="1" t="s">
        <v>19183</v>
      </c>
      <c r="G5404" s="1" t="s">
        <v>19184</v>
      </c>
      <c r="H5404" s="1" t="s">
        <v>3604</v>
      </c>
      <c r="I5404" s="1" t="s">
        <v>19185</v>
      </c>
      <c r="J5404" s="1" t="s">
        <v>3606</v>
      </c>
      <c r="K5404" s="1" t="s">
        <v>19186</v>
      </c>
      <c r="L5404" s="1"/>
      <c r="M5404" s="1"/>
    </row>
    <row x14ac:dyDescent="0.25" r="5405" customHeight="1" ht="18.75">
      <c r="A5405" s="1" t="s">
        <v>3598</v>
      </c>
      <c r="B5405" s="1" t="s">
        <v>3663</v>
      </c>
      <c r="C5405" s="1" t="s">
        <v>3600</v>
      </c>
      <c r="D5405" s="1" t="s">
        <v>3601</v>
      </c>
      <c r="E5405" s="1" t="s">
        <v>3752</v>
      </c>
      <c r="F5405" s="1" t="s">
        <v>19187</v>
      </c>
      <c r="G5405" s="1" t="s">
        <v>19188</v>
      </c>
      <c r="H5405" s="1" t="s">
        <v>3604</v>
      </c>
      <c r="I5405" s="1" t="s">
        <v>19189</v>
      </c>
      <c r="J5405" s="1" t="s">
        <v>3606</v>
      </c>
      <c r="K5405" s="1" t="s">
        <v>19190</v>
      </c>
      <c r="L5405" s="1"/>
      <c r="M5405" s="1"/>
    </row>
    <row x14ac:dyDescent="0.25" r="5406" customHeight="1" ht="18.75">
      <c r="A5406" s="1" t="s">
        <v>3598</v>
      </c>
      <c r="B5406" s="1" t="s">
        <v>3663</v>
      </c>
      <c r="C5406" s="1" t="s">
        <v>3600</v>
      </c>
      <c r="D5406" s="1" t="s">
        <v>3601</v>
      </c>
      <c r="E5406" s="1" t="s">
        <v>3752</v>
      </c>
      <c r="F5406" s="1" t="s">
        <v>19191</v>
      </c>
      <c r="G5406" s="1" t="s">
        <v>19192</v>
      </c>
      <c r="H5406" s="1" t="s">
        <v>3604</v>
      </c>
      <c r="I5406" s="1" t="s">
        <v>19193</v>
      </c>
      <c r="J5406" s="1" t="s">
        <v>3606</v>
      </c>
      <c r="K5406" s="1" t="s">
        <v>19194</v>
      </c>
      <c r="L5406" s="1"/>
      <c r="M5406" s="1"/>
    </row>
    <row x14ac:dyDescent="0.25" r="5407" customHeight="1" ht="18.75">
      <c r="A5407" s="1" t="s">
        <v>3598</v>
      </c>
      <c r="B5407" s="1" t="s">
        <v>3663</v>
      </c>
      <c r="C5407" s="1" t="s">
        <v>3600</v>
      </c>
      <c r="D5407" s="1" t="s">
        <v>3601</v>
      </c>
      <c r="E5407" s="1" t="s">
        <v>3752</v>
      </c>
      <c r="F5407" s="1" t="s">
        <v>19195</v>
      </c>
      <c r="G5407" s="1" t="s">
        <v>19196</v>
      </c>
      <c r="H5407" s="1" t="s">
        <v>3604</v>
      </c>
      <c r="I5407" s="1" t="s">
        <v>19197</v>
      </c>
      <c r="J5407" s="1" t="s">
        <v>3606</v>
      </c>
      <c r="K5407" s="1" t="s">
        <v>19198</v>
      </c>
      <c r="L5407" s="1"/>
      <c r="M5407" s="1"/>
    </row>
    <row x14ac:dyDescent="0.25" r="5408" customHeight="1" ht="18.75">
      <c r="A5408" s="1" t="s">
        <v>3598</v>
      </c>
      <c r="B5408" s="1" t="s">
        <v>3663</v>
      </c>
      <c r="C5408" s="1" t="s">
        <v>3600</v>
      </c>
      <c r="D5408" s="1" t="s">
        <v>3601</v>
      </c>
      <c r="E5408" s="1" t="s">
        <v>3752</v>
      </c>
      <c r="F5408" s="1" t="s">
        <v>19199</v>
      </c>
      <c r="G5408" s="1" t="s">
        <v>19200</v>
      </c>
      <c r="H5408" s="1" t="s">
        <v>3604</v>
      </c>
      <c r="I5408" s="1" t="s">
        <v>19201</v>
      </c>
      <c r="J5408" s="1" t="s">
        <v>3606</v>
      </c>
      <c r="K5408" s="1" t="s">
        <v>19202</v>
      </c>
      <c r="L5408" s="1"/>
      <c r="M5408" s="1"/>
    </row>
    <row x14ac:dyDescent="0.25" r="5409" customHeight="1" ht="18.75">
      <c r="A5409" s="1" t="s">
        <v>3598</v>
      </c>
      <c r="B5409" s="1" t="s">
        <v>3663</v>
      </c>
      <c r="C5409" s="1" t="s">
        <v>3600</v>
      </c>
      <c r="D5409" s="1" t="s">
        <v>3601</v>
      </c>
      <c r="E5409" s="1" t="s">
        <v>3752</v>
      </c>
      <c r="F5409" s="1" t="s">
        <v>19203</v>
      </c>
      <c r="G5409" s="1" t="s">
        <v>19204</v>
      </c>
      <c r="H5409" s="1" t="s">
        <v>3604</v>
      </c>
      <c r="I5409" s="1" t="s">
        <v>19205</v>
      </c>
      <c r="J5409" s="1" t="s">
        <v>3606</v>
      </c>
      <c r="K5409" s="1" t="s">
        <v>19206</v>
      </c>
      <c r="L5409" s="1"/>
      <c r="M5409" s="1"/>
    </row>
    <row x14ac:dyDescent="0.25" r="5410" customHeight="1" ht="18.75">
      <c r="A5410" s="1" t="s">
        <v>3598</v>
      </c>
      <c r="B5410" s="1" t="s">
        <v>3663</v>
      </c>
      <c r="C5410" s="1" t="s">
        <v>3600</v>
      </c>
      <c r="D5410" s="1" t="s">
        <v>3601</v>
      </c>
      <c r="E5410" s="1" t="s">
        <v>3752</v>
      </c>
      <c r="F5410" s="1" t="s">
        <v>19207</v>
      </c>
      <c r="G5410" s="1" t="s">
        <v>19208</v>
      </c>
      <c r="H5410" s="1" t="s">
        <v>3604</v>
      </c>
      <c r="I5410" s="1" t="s">
        <v>19209</v>
      </c>
      <c r="J5410" s="1" t="s">
        <v>3606</v>
      </c>
      <c r="K5410" s="1" t="s">
        <v>19210</v>
      </c>
      <c r="L5410" s="1"/>
      <c r="M5410" s="1"/>
    </row>
    <row x14ac:dyDescent="0.25" r="5411" customHeight="1" ht="18.75">
      <c r="A5411" s="1" t="s">
        <v>3598</v>
      </c>
      <c r="B5411" s="1" t="s">
        <v>3663</v>
      </c>
      <c r="C5411" s="1" t="s">
        <v>3600</v>
      </c>
      <c r="D5411" s="1" t="s">
        <v>3601</v>
      </c>
      <c r="E5411" s="1" t="s">
        <v>3752</v>
      </c>
      <c r="F5411" s="1" t="s">
        <v>19211</v>
      </c>
      <c r="G5411" s="1" t="s">
        <v>19212</v>
      </c>
      <c r="H5411" s="1" t="s">
        <v>3604</v>
      </c>
      <c r="I5411" s="1" t="s">
        <v>19213</v>
      </c>
      <c r="J5411" s="1" t="s">
        <v>3606</v>
      </c>
      <c r="K5411" s="1" t="s">
        <v>19214</v>
      </c>
      <c r="L5411" s="1"/>
      <c r="M5411" s="1"/>
    </row>
    <row x14ac:dyDescent="0.25" r="5412" customHeight="1" ht="18.75">
      <c r="A5412" s="1" t="s">
        <v>3598</v>
      </c>
      <c r="B5412" s="1" t="s">
        <v>3663</v>
      </c>
      <c r="C5412" s="1" t="s">
        <v>3600</v>
      </c>
      <c r="D5412" s="1" t="s">
        <v>3601</v>
      </c>
      <c r="E5412" s="1" t="s">
        <v>3752</v>
      </c>
      <c r="F5412" s="1" t="s">
        <v>19215</v>
      </c>
      <c r="G5412" s="1" t="s">
        <v>19216</v>
      </c>
      <c r="H5412" s="1" t="s">
        <v>3604</v>
      </c>
      <c r="I5412" s="1" t="s">
        <v>19217</v>
      </c>
      <c r="J5412" s="1" t="s">
        <v>3606</v>
      </c>
      <c r="K5412" s="1" t="s">
        <v>19218</v>
      </c>
      <c r="L5412" s="1"/>
      <c r="M5412" s="1"/>
    </row>
    <row x14ac:dyDescent="0.25" r="5413" customHeight="1" ht="18.75">
      <c r="A5413" s="1" t="s">
        <v>3598</v>
      </c>
      <c r="B5413" s="1" t="s">
        <v>14025</v>
      </c>
      <c r="C5413" s="1" t="s">
        <v>3600</v>
      </c>
      <c r="D5413" s="1" t="s">
        <v>3601</v>
      </c>
      <c r="E5413" s="1" t="s">
        <v>3664</v>
      </c>
      <c r="F5413" s="1" t="s">
        <v>19219</v>
      </c>
      <c r="G5413" s="1" t="s">
        <v>6471</v>
      </c>
      <c r="H5413" s="1" t="s">
        <v>3604</v>
      </c>
      <c r="I5413" s="1" t="s">
        <v>19220</v>
      </c>
      <c r="J5413" s="1" t="s">
        <v>3606</v>
      </c>
      <c r="K5413" s="1" t="s">
        <v>19221</v>
      </c>
      <c r="L5413" s="1"/>
      <c r="M5413" s="1"/>
    </row>
    <row x14ac:dyDescent="0.25" r="5414" customHeight="1" ht="18.75">
      <c r="A5414" s="1" t="s">
        <v>3598</v>
      </c>
      <c r="B5414" s="1" t="s">
        <v>14025</v>
      </c>
      <c r="C5414" s="1" t="s">
        <v>3600</v>
      </c>
      <c r="D5414" s="1" t="s">
        <v>3601</v>
      </c>
      <c r="E5414" s="1" t="s">
        <v>3664</v>
      </c>
      <c r="F5414" s="1" t="s">
        <v>19222</v>
      </c>
      <c r="G5414" s="1" t="s">
        <v>18347</v>
      </c>
      <c r="H5414" s="1" t="s">
        <v>3604</v>
      </c>
      <c r="I5414" s="1" t="s">
        <v>19223</v>
      </c>
      <c r="J5414" s="1" t="s">
        <v>3606</v>
      </c>
      <c r="K5414" s="1" t="s">
        <v>19224</v>
      </c>
      <c r="L5414" s="1"/>
      <c r="M5414" s="1"/>
    </row>
    <row x14ac:dyDescent="0.25" r="5415" customHeight="1" ht="18.75">
      <c r="A5415" s="1" t="s">
        <v>3598</v>
      </c>
      <c r="B5415" s="1" t="s">
        <v>14025</v>
      </c>
      <c r="C5415" s="1" t="s">
        <v>3600</v>
      </c>
      <c r="D5415" s="1" t="s">
        <v>3601</v>
      </c>
      <c r="E5415" s="1" t="s">
        <v>3664</v>
      </c>
      <c r="F5415" s="1" t="s">
        <v>19225</v>
      </c>
      <c r="G5415" s="1" t="s">
        <v>18351</v>
      </c>
      <c r="H5415" s="1" t="s">
        <v>3604</v>
      </c>
      <c r="I5415" s="1" t="s">
        <v>19226</v>
      </c>
      <c r="J5415" s="1" t="s">
        <v>3606</v>
      </c>
      <c r="K5415" s="1" t="s">
        <v>19227</v>
      </c>
      <c r="L5415" s="1"/>
      <c r="M5415" s="1"/>
    </row>
    <row x14ac:dyDescent="0.25" r="5416" customHeight="1" ht="18.75">
      <c r="A5416" s="1" t="s">
        <v>3598</v>
      </c>
      <c r="B5416" s="1" t="s">
        <v>14025</v>
      </c>
      <c r="C5416" s="1" t="s">
        <v>3600</v>
      </c>
      <c r="D5416" s="1" t="s">
        <v>3601</v>
      </c>
      <c r="E5416" s="1" t="s">
        <v>3752</v>
      </c>
      <c r="F5416" s="1" t="s">
        <v>19228</v>
      </c>
      <c r="G5416" s="1" t="s">
        <v>19229</v>
      </c>
      <c r="H5416" s="1" t="s">
        <v>3604</v>
      </c>
      <c r="I5416" s="1" t="s">
        <v>19230</v>
      </c>
      <c r="J5416" s="1" t="s">
        <v>3606</v>
      </c>
      <c r="K5416" s="1" t="s">
        <v>19231</v>
      </c>
      <c r="L5416" s="1"/>
      <c r="M5416" s="1"/>
    </row>
    <row x14ac:dyDescent="0.25" r="5417" customHeight="1" ht="18.75">
      <c r="A5417" s="1" t="s">
        <v>3598</v>
      </c>
      <c r="B5417" s="1" t="s">
        <v>14025</v>
      </c>
      <c r="C5417" s="1" t="s">
        <v>3600</v>
      </c>
      <c r="D5417" s="1" t="s">
        <v>3601</v>
      </c>
      <c r="E5417" s="1" t="s">
        <v>3752</v>
      </c>
      <c r="F5417" s="1" t="s">
        <v>19232</v>
      </c>
      <c r="G5417" s="1" t="s">
        <v>19233</v>
      </c>
      <c r="H5417" s="1" t="s">
        <v>3604</v>
      </c>
      <c r="I5417" s="1" t="s">
        <v>19234</v>
      </c>
      <c r="J5417" s="1" t="s">
        <v>3606</v>
      </c>
      <c r="K5417" s="1" t="s">
        <v>19235</v>
      </c>
      <c r="L5417" s="1"/>
      <c r="M5417" s="1"/>
    </row>
    <row x14ac:dyDescent="0.25" r="5418" customHeight="1" ht="18.75">
      <c r="A5418" s="1" t="s">
        <v>3598</v>
      </c>
      <c r="B5418" s="1" t="s">
        <v>14025</v>
      </c>
      <c r="C5418" s="1" t="s">
        <v>3600</v>
      </c>
      <c r="D5418" s="1" t="s">
        <v>3601</v>
      </c>
      <c r="E5418" s="1" t="s">
        <v>3752</v>
      </c>
      <c r="F5418" s="1" t="s">
        <v>19236</v>
      </c>
      <c r="G5418" s="1" t="s">
        <v>19237</v>
      </c>
      <c r="H5418" s="1" t="s">
        <v>3604</v>
      </c>
      <c r="I5418" s="1" t="s">
        <v>19238</v>
      </c>
      <c r="J5418" s="1" t="s">
        <v>3606</v>
      </c>
      <c r="K5418" s="1" t="s">
        <v>19239</v>
      </c>
      <c r="L5418" s="1"/>
      <c r="M5418" s="1"/>
    </row>
    <row x14ac:dyDescent="0.25" r="5419" customHeight="1" ht="18.75">
      <c r="A5419" s="1" t="s">
        <v>3598</v>
      </c>
      <c r="B5419" s="1" t="s">
        <v>14025</v>
      </c>
      <c r="C5419" s="1" t="s">
        <v>3600</v>
      </c>
      <c r="D5419" s="1" t="s">
        <v>3601</v>
      </c>
      <c r="E5419" s="1" t="s">
        <v>3752</v>
      </c>
      <c r="F5419" s="1" t="s">
        <v>19240</v>
      </c>
      <c r="G5419" s="1" t="s">
        <v>19241</v>
      </c>
      <c r="H5419" s="1" t="s">
        <v>3604</v>
      </c>
      <c r="I5419" s="1" t="s">
        <v>19242</v>
      </c>
      <c r="J5419" s="1" t="s">
        <v>3606</v>
      </c>
      <c r="K5419" s="1" t="s">
        <v>19243</v>
      </c>
      <c r="L5419" s="1"/>
      <c r="M5419" s="1"/>
    </row>
    <row x14ac:dyDescent="0.25" r="5420" customHeight="1" ht="18.75">
      <c r="A5420" s="1" t="s">
        <v>3598</v>
      </c>
      <c r="B5420" s="1" t="s">
        <v>14025</v>
      </c>
      <c r="C5420" s="1" t="s">
        <v>3600</v>
      </c>
      <c r="D5420" s="1" t="s">
        <v>3601</v>
      </c>
      <c r="E5420" s="1" t="s">
        <v>3752</v>
      </c>
      <c r="F5420" s="1" t="s">
        <v>19244</v>
      </c>
      <c r="G5420" s="1" t="s">
        <v>19245</v>
      </c>
      <c r="H5420" s="1" t="s">
        <v>3604</v>
      </c>
      <c r="I5420" s="1" t="s">
        <v>19246</v>
      </c>
      <c r="J5420" s="1" t="s">
        <v>3606</v>
      </c>
      <c r="K5420" s="1" t="s">
        <v>19247</v>
      </c>
      <c r="L5420" s="1"/>
      <c r="M5420" s="1"/>
    </row>
    <row x14ac:dyDescent="0.25" r="5421" customHeight="1" ht="18.75">
      <c r="A5421" s="1" t="s">
        <v>3598</v>
      </c>
      <c r="B5421" s="1" t="s">
        <v>14025</v>
      </c>
      <c r="C5421" s="1" t="s">
        <v>3600</v>
      </c>
      <c r="D5421" s="1" t="s">
        <v>3601</v>
      </c>
      <c r="E5421" s="1" t="s">
        <v>3752</v>
      </c>
      <c r="F5421" s="1" t="s">
        <v>19248</v>
      </c>
      <c r="G5421" s="1" t="s">
        <v>19249</v>
      </c>
      <c r="H5421" s="1" t="s">
        <v>3604</v>
      </c>
      <c r="I5421" s="1" t="s">
        <v>19250</v>
      </c>
      <c r="J5421" s="1" t="s">
        <v>3606</v>
      </c>
      <c r="K5421" s="1" t="s">
        <v>19251</v>
      </c>
      <c r="L5421" s="1"/>
      <c r="M5421" s="1"/>
    </row>
    <row x14ac:dyDescent="0.25" r="5422" customHeight="1" ht="18.75">
      <c r="A5422" s="1" t="s">
        <v>3598</v>
      </c>
      <c r="B5422" s="1" t="s">
        <v>14025</v>
      </c>
      <c r="C5422" s="1" t="s">
        <v>3600</v>
      </c>
      <c r="D5422" s="1" t="s">
        <v>3601</v>
      </c>
      <c r="E5422" s="1" t="s">
        <v>3752</v>
      </c>
      <c r="F5422" s="1" t="s">
        <v>19252</v>
      </c>
      <c r="G5422" s="1" t="s">
        <v>19253</v>
      </c>
      <c r="H5422" s="1" t="s">
        <v>3604</v>
      </c>
      <c r="I5422" s="1" t="s">
        <v>19254</v>
      </c>
      <c r="J5422" s="1" t="s">
        <v>3606</v>
      </c>
      <c r="K5422" s="1" t="s">
        <v>19255</v>
      </c>
      <c r="L5422" s="1"/>
      <c r="M5422" s="1"/>
    </row>
    <row x14ac:dyDescent="0.25" r="5423" customHeight="1" ht="18.75">
      <c r="A5423" s="1" t="s">
        <v>3598</v>
      </c>
      <c r="B5423" s="1" t="s">
        <v>14025</v>
      </c>
      <c r="C5423" s="1" t="s">
        <v>3600</v>
      </c>
      <c r="D5423" s="1" t="s">
        <v>3601</v>
      </c>
      <c r="E5423" s="1" t="s">
        <v>3752</v>
      </c>
      <c r="F5423" s="1" t="s">
        <v>19256</v>
      </c>
      <c r="G5423" s="1" t="s">
        <v>19257</v>
      </c>
      <c r="H5423" s="1" t="s">
        <v>3604</v>
      </c>
      <c r="I5423" s="1" t="s">
        <v>19258</v>
      </c>
      <c r="J5423" s="1" t="s">
        <v>3606</v>
      </c>
      <c r="K5423" s="1" t="s">
        <v>19259</v>
      </c>
      <c r="L5423" s="1"/>
      <c r="M5423" s="1"/>
    </row>
    <row x14ac:dyDescent="0.25" r="5424" customHeight="1" ht="18.75">
      <c r="A5424" s="1" t="s">
        <v>3598</v>
      </c>
      <c r="B5424" s="1" t="s">
        <v>14025</v>
      </c>
      <c r="C5424" s="1" t="s">
        <v>3600</v>
      </c>
      <c r="D5424" s="1" t="s">
        <v>3601</v>
      </c>
      <c r="E5424" s="1" t="s">
        <v>3752</v>
      </c>
      <c r="F5424" s="1" t="s">
        <v>19260</v>
      </c>
      <c r="G5424" s="1" t="s">
        <v>18074</v>
      </c>
      <c r="H5424" s="1" t="s">
        <v>3604</v>
      </c>
      <c r="I5424" s="1" t="s">
        <v>19261</v>
      </c>
      <c r="J5424" s="1" t="s">
        <v>3606</v>
      </c>
      <c r="K5424" s="1" t="s">
        <v>19262</v>
      </c>
      <c r="L5424" s="1"/>
      <c r="M5424" s="1"/>
    </row>
    <row x14ac:dyDescent="0.25" r="5425" customHeight="1" ht="18.75">
      <c r="A5425" s="1" t="s">
        <v>3598</v>
      </c>
      <c r="B5425" s="1" t="s">
        <v>9582</v>
      </c>
      <c r="C5425" s="1" t="s">
        <v>3600</v>
      </c>
      <c r="D5425" s="1" t="s">
        <v>3601</v>
      </c>
      <c r="E5425" s="1" t="s">
        <v>3664</v>
      </c>
      <c r="F5425" s="1" t="s">
        <v>19263</v>
      </c>
      <c r="G5425" s="1" t="s">
        <v>6471</v>
      </c>
      <c r="H5425" s="1" t="s">
        <v>3604</v>
      </c>
      <c r="I5425" s="1" t="s">
        <v>19264</v>
      </c>
      <c r="J5425" s="1" t="s">
        <v>3606</v>
      </c>
      <c r="K5425" s="1" t="s">
        <v>19265</v>
      </c>
      <c r="L5425" s="1"/>
      <c r="M5425" s="1"/>
    </row>
    <row x14ac:dyDescent="0.25" r="5426" customHeight="1" ht="18.75">
      <c r="A5426" s="1" t="s">
        <v>3598</v>
      </c>
      <c r="B5426" s="1" t="s">
        <v>9449</v>
      </c>
      <c r="C5426" s="1" t="s">
        <v>3600</v>
      </c>
      <c r="D5426" s="1" t="s">
        <v>3601</v>
      </c>
      <c r="E5426" s="1" t="s">
        <v>3664</v>
      </c>
      <c r="F5426" s="1" t="s">
        <v>19266</v>
      </c>
      <c r="G5426" s="1" t="s">
        <v>18311</v>
      </c>
      <c r="H5426" s="1" t="s">
        <v>3604</v>
      </c>
      <c r="I5426" s="1" t="s">
        <v>19267</v>
      </c>
      <c r="J5426" s="1" t="s">
        <v>3606</v>
      </c>
      <c r="K5426" s="1" t="s">
        <v>19268</v>
      </c>
      <c r="L5426" s="1"/>
      <c r="M5426" s="1"/>
    </row>
    <row x14ac:dyDescent="0.25" r="5427" customHeight="1" ht="18.75">
      <c r="A5427" s="1" t="s">
        <v>3598</v>
      </c>
      <c r="B5427" s="1" t="s">
        <v>9449</v>
      </c>
      <c r="C5427" s="1" t="s">
        <v>3600</v>
      </c>
      <c r="D5427" s="1" t="s">
        <v>3601</v>
      </c>
      <c r="E5427" s="1" t="s">
        <v>3664</v>
      </c>
      <c r="F5427" s="1" t="s">
        <v>19269</v>
      </c>
      <c r="G5427" s="1" t="s">
        <v>8578</v>
      </c>
      <c r="H5427" s="1" t="s">
        <v>3604</v>
      </c>
      <c r="I5427" s="1" t="s">
        <v>19270</v>
      </c>
      <c r="J5427" s="1" t="s">
        <v>3606</v>
      </c>
      <c r="K5427" s="1" t="s">
        <v>19271</v>
      </c>
      <c r="L5427" s="1"/>
      <c r="M5427" s="1"/>
    </row>
    <row x14ac:dyDescent="0.25" r="5428" customHeight="1" ht="18.75">
      <c r="A5428" s="1" t="s">
        <v>3598</v>
      </c>
      <c r="B5428" s="1" t="s">
        <v>9449</v>
      </c>
      <c r="C5428" s="1" t="s">
        <v>3600</v>
      </c>
      <c r="D5428" s="1" t="s">
        <v>3601</v>
      </c>
      <c r="E5428" s="1" t="s">
        <v>3664</v>
      </c>
      <c r="F5428" s="1" t="s">
        <v>19272</v>
      </c>
      <c r="G5428" s="1" t="s">
        <v>8578</v>
      </c>
      <c r="H5428" s="1" t="s">
        <v>3604</v>
      </c>
      <c r="I5428" s="1" t="s">
        <v>19273</v>
      </c>
      <c r="J5428" s="1" t="s">
        <v>3606</v>
      </c>
      <c r="K5428" s="1"/>
      <c r="L5428" s="1"/>
      <c r="M5428" s="1"/>
    </row>
    <row x14ac:dyDescent="0.25" r="5429" customHeight="1" ht="18.75">
      <c r="A5429" s="1" t="s">
        <v>3598</v>
      </c>
      <c r="B5429" s="1" t="s">
        <v>9449</v>
      </c>
      <c r="C5429" s="1" t="s">
        <v>3600</v>
      </c>
      <c r="D5429" s="1" t="s">
        <v>3601</v>
      </c>
      <c r="E5429" s="1" t="s">
        <v>3664</v>
      </c>
      <c r="F5429" s="1" t="s">
        <v>19274</v>
      </c>
      <c r="G5429" s="1" t="s">
        <v>18246</v>
      </c>
      <c r="H5429" s="1" t="s">
        <v>3604</v>
      </c>
      <c r="I5429" s="1" t="s">
        <v>19275</v>
      </c>
      <c r="J5429" s="1" t="s">
        <v>3606</v>
      </c>
      <c r="K5429" s="1" t="s">
        <v>19276</v>
      </c>
      <c r="L5429" s="1"/>
      <c r="M5429" s="1"/>
    </row>
    <row x14ac:dyDescent="0.25" r="5430" customHeight="1" ht="18.75">
      <c r="A5430" s="1" t="s">
        <v>3598</v>
      </c>
      <c r="B5430" s="1" t="s">
        <v>9449</v>
      </c>
      <c r="C5430" s="1" t="s">
        <v>3600</v>
      </c>
      <c r="D5430" s="1" t="s">
        <v>3601</v>
      </c>
      <c r="E5430" s="1" t="s">
        <v>3664</v>
      </c>
      <c r="F5430" s="1" t="s">
        <v>19277</v>
      </c>
      <c r="G5430" s="1" t="s">
        <v>18246</v>
      </c>
      <c r="H5430" s="1" t="s">
        <v>3604</v>
      </c>
      <c r="I5430" s="1" t="s">
        <v>19278</v>
      </c>
      <c r="J5430" s="1" t="s">
        <v>3606</v>
      </c>
      <c r="K5430" s="1"/>
      <c r="L5430" s="1"/>
      <c r="M5430" s="1"/>
    </row>
    <row x14ac:dyDescent="0.25" r="5431" customHeight="1" ht="18.75">
      <c r="A5431" s="1" t="s">
        <v>3598</v>
      </c>
      <c r="B5431" s="1" t="s">
        <v>9449</v>
      </c>
      <c r="C5431" s="1" t="s">
        <v>3600</v>
      </c>
      <c r="D5431" s="1" t="s">
        <v>3601</v>
      </c>
      <c r="E5431" s="1" t="s">
        <v>3664</v>
      </c>
      <c r="F5431" s="1" t="s">
        <v>19279</v>
      </c>
      <c r="G5431" s="1" t="s">
        <v>18321</v>
      </c>
      <c r="H5431" s="1" t="s">
        <v>3604</v>
      </c>
      <c r="I5431" s="1" t="s">
        <v>19280</v>
      </c>
      <c r="J5431" s="1" t="s">
        <v>3606</v>
      </c>
      <c r="K5431" s="1" t="s">
        <v>19281</v>
      </c>
      <c r="L5431" s="1"/>
      <c r="M5431" s="1"/>
    </row>
    <row x14ac:dyDescent="0.25" r="5432" customHeight="1" ht="18.75">
      <c r="A5432" s="1" t="s">
        <v>3598</v>
      </c>
      <c r="B5432" s="1" t="s">
        <v>9449</v>
      </c>
      <c r="C5432" s="1" t="s">
        <v>3600</v>
      </c>
      <c r="D5432" s="1" t="s">
        <v>3601</v>
      </c>
      <c r="E5432" s="1" t="s">
        <v>3664</v>
      </c>
      <c r="F5432" s="1" t="s">
        <v>19282</v>
      </c>
      <c r="G5432" s="1" t="s">
        <v>9461</v>
      </c>
      <c r="H5432" s="1" t="s">
        <v>3604</v>
      </c>
      <c r="I5432" s="1" t="s">
        <v>19283</v>
      </c>
      <c r="J5432" s="1" t="s">
        <v>3606</v>
      </c>
      <c r="K5432" s="1" t="s">
        <v>19284</v>
      </c>
      <c r="L5432" s="1"/>
      <c r="M5432" s="1"/>
    </row>
    <row x14ac:dyDescent="0.25" r="5433" customHeight="1" ht="18.75">
      <c r="A5433" s="1" t="s">
        <v>3598</v>
      </c>
      <c r="B5433" s="1" t="s">
        <v>9449</v>
      </c>
      <c r="C5433" s="1" t="s">
        <v>3600</v>
      </c>
      <c r="D5433" s="1" t="s">
        <v>3601</v>
      </c>
      <c r="E5433" s="1" t="s">
        <v>3611</v>
      </c>
      <c r="F5433" s="1" t="s">
        <v>19285</v>
      </c>
      <c r="G5433" s="1" t="s">
        <v>19286</v>
      </c>
      <c r="H5433" s="1" t="s">
        <v>3604</v>
      </c>
      <c r="I5433" s="1" t="s">
        <v>19287</v>
      </c>
      <c r="J5433" s="1" t="s">
        <v>3606</v>
      </c>
      <c r="K5433" s="1" t="s">
        <v>19288</v>
      </c>
      <c r="L5433" s="1"/>
      <c r="M5433" s="1"/>
    </row>
    <row x14ac:dyDescent="0.25" r="5434" customHeight="1" ht="18.75">
      <c r="A5434" s="1" t="s">
        <v>3598</v>
      </c>
      <c r="B5434" s="1" t="s">
        <v>9449</v>
      </c>
      <c r="C5434" s="1" t="s">
        <v>3600</v>
      </c>
      <c r="D5434" s="1" t="s">
        <v>3601</v>
      </c>
      <c r="E5434" s="1" t="s">
        <v>3611</v>
      </c>
      <c r="F5434" s="1" t="s">
        <v>19289</v>
      </c>
      <c r="G5434" s="1" t="s">
        <v>19290</v>
      </c>
      <c r="H5434" s="1" t="s">
        <v>3604</v>
      </c>
      <c r="I5434" s="1" t="s">
        <v>19291</v>
      </c>
      <c r="J5434" s="1" t="s">
        <v>3606</v>
      </c>
      <c r="K5434" s="1" t="s">
        <v>19292</v>
      </c>
      <c r="L5434" s="1"/>
      <c r="M5434" s="1"/>
    </row>
    <row x14ac:dyDescent="0.25" r="5435" customHeight="1" ht="18.75">
      <c r="A5435" s="1" t="s">
        <v>3598</v>
      </c>
      <c r="B5435" s="1" t="s">
        <v>9449</v>
      </c>
      <c r="C5435" s="1" t="s">
        <v>3600</v>
      </c>
      <c r="D5435" s="1" t="s">
        <v>3601</v>
      </c>
      <c r="E5435" s="1" t="s">
        <v>3664</v>
      </c>
      <c r="F5435" s="1" t="s">
        <v>19293</v>
      </c>
      <c r="G5435" s="1" t="s">
        <v>18086</v>
      </c>
      <c r="H5435" s="1" t="s">
        <v>3604</v>
      </c>
      <c r="I5435" s="1" t="s">
        <v>19294</v>
      </c>
      <c r="J5435" s="1" t="s">
        <v>3606</v>
      </c>
      <c r="K5435" s="1" t="s">
        <v>19295</v>
      </c>
      <c r="L5435" s="1"/>
      <c r="M5435" s="1"/>
    </row>
    <row x14ac:dyDescent="0.25" r="5436" customHeight="1" ht="18.75">
      <c r="A5436" s="1" t="s">
        <v>3598</v>
      </c>
      <c r="B5436" s="1" t="s">
        <v>9449</v>
      </c>
      <c r="C5436" s="1" t="s">
        <v>3600</v>
      </c>
      <c r="D5436" s="1" t="s">
        <v>3601</v>
      </c>
      <c r="E5436" s="1" t="s">
        <v>3752</v>
      </c>
      <c r="F5436" s="1" t="s">
        <v>19296</v>
      </c>
      <c r="G5436" s="1" t="s">
        <v>19297</v>
      </c>
      <c r="H5436" s="1" t="s">
        <v>3604</v>
      </c>
      <c r="I5436" s="1" t="s">
        <v>19298</v>
      </c>
      <c r="J5436" s="1" t="s">
        <v>3606</v>
      </c>
      <c r="K5436" s="1" t="s">
        <v>19299</v>
      </c>
      <c r="L5436" s="1"/>
      <c r="M5436" s="1"/>
    </row>
    <row x14ac:dyDescent="0.25" r="5437" customHeight="1" ht="18.75">
      <c r="A5437" s="1" t="s">
        <v>3598</v>
      </c>
      <c r="B5437" s="1" t="s">
        <v>9449</v>
      </c>
      <c r="C5437" s="1" t="s">
        <v>3600</v>
      </c>
      <c r="D5437" s="1" t="s">
        <v>3601</v>
      </c>
      <c r="E5437" s="1" t="s">
        <v>3752</v>
      </c>
      <c r="F5437" s="1" t="s">
        <v>19300</v>
      </c>
      <c r="G5437" s="1" t="s">
        <v>19301</v>
      </c>
      <c r="H5437" s="1" t="s">
        <v>3604</v>
      </c>
      <c r="I5437" s="1" t="s">
        <v>19302</v>
      </c>
      <c r="J5437" s="1" t="s">
        <v>3606</v>
      </c>
      <c r="K5437" s="1" t="s">
        <v>19303</v>
      </c>
      <c r="L5437" s="1"/>
      <c r="M5437" s="1"/>
    </row>
    <row x14ac:dyDescent="0.25" r="5438" customHeight="1" ht="18.75">
      <c r="A5438" s="1" t="s">
        <v>3598</v>
      </c>
      <c r="B5438" s="1" t="s">
        <v>9449</v>
      </c>
      <c r="C5438" s="1" t="s">
        <v>3600</v>
      </c>
      <c r="D5438" s="1" t="s">
        <v>3601</v>
      </c>
      <c r="E5438" s="1" t="s">
        <v>3752</v>
      </c>
      <c r="F5438" s="1" t="s">
        <v>19304</v>
      </c>
      <c r="G5438" s="1" t="s">
        <v>19305</v>
      </c>
      <c r="H5438" s="1" t="s">
        <v>3604</v>
      </c>
      <c r="I5438" s="1" t="s">
        <v>19306</v>
      </c>
      <c r="J5438" s="1" t="s">
        <v>3606</v>
      </c>
      <c r="K5438" s="1" t="s">
        <v>19307</v>
      </c>
      <c r="L5438" s="1"/>
      <c r="M5438" s="1"/>
    </row>
    <row x14ac:dyDescent="0.25" r="5439" customHeight="1" ht="18.75">
      <c r="A5439" s="1" t="s">
        <v>3598</v>
      </c>
      <c r="B5439" s="1" t="s">
        <v>9449</v>
      </c>
      <c r="C5439" s="1" t="s">
        <v>3600</v>
      </c>
      <c r="D5439" s="1" t="s">
        <v>3601</v>
      </c>
      <c r="E5439" s="1" t="s">
        <v>3752</v>
      </c>
      <c r="F5439" s="1" t="s">
        <v>19308</v>
      </c>
      <c r="G5439" s="1" t="s">
        <v>19309</v>
      </c>
      <c r="H5439" s="1" t="s">
        <v>3604</v>
      </c>
      <c r="I5439" s="1" t="s">
        <v>19310</v>
      </c>
      <c r="J5439" s="1" t="s">
        <v>3606</v>
      </c>
      <c r="K5439" s="1" t="s">
        <v>19311</v>
      </c>
      <c r="L5439" s="1"/>
      <c r="M5439" s="1"/>
    </row>
    <row x14ac:dyDescent="0.25" r="5440" customHeight="1" ht="18.75">
      <c r="A5440" s="1" t="s">
        <v>3598</v>
      </c>
      <c r="B5440" s="1" t="s">
        <v>9449</v>
      </c>
      <c r="C5440" s="1" t="s">
        <v>3600</v>
      </c>
      <c r="D5440" s="1" t="s">
        <v>3601</v>
      </c>
      <c r="E5440" s="1" t="s">
        <v>3752</v>
      </c>
      <c r="F5440" s="1" t="s">
        <v>19312</v>
      </c>
      <c r="G5440" s="1" t="s">
        <v>19313</v>
      </c>
      <c r="H5440" s="1" t="s">
        <v>3604</v>
      </c>
      <c r="I5440" s="1" t="s">
        <v>19314</v>
      </c>
      <c r="J5440" s="1" t="s">
        <v>3606</v>
      </c>
      <c r="K5440" s="1" t="s">
        <v>19315</v>
      </c>
      <c r="L5440" s="1"/>
      <c r="M5440" s="1"/>
    </row>
    <row x14ac:dyDescent="0.25" r="5441" customHeight="1" ht="18.75">
      <c r="A5441" s="1" t="s">
        <v>3598</v>
      </c>
      <c r="B5441" s="1" t="s">
        <v>9449</v>
      </c>
      <c r="C5441" s="1" t="s">
        <v>3600</v>
      </c>
      <c r="D5441" s="1" t="s">
        <v>3601</v>
      </c>
      <c r="E5441" s="1" t="s">
        <v>3752</v>
      </c>
      <c r="F5441" s="1" t="s">
        <v>19316</v>
      </c>
      <c r="G5441" s="1" t="s">
        <v>19317</v>
      </c>
      <c r="H5441" s="1" t="s">
        <v>3604</v>
      </c>
      <c r="I5441" s="1" t="s">
        <v>19318</v>
      </c>
      <c r="J5441" s="1" t="s">
        <v>3606</v>
      </c>
      <c r="K5441" s="1" t="s">
        <v>19319</v>
      </c>
      <c r="L5441" s="1"/>
      <c r="M5441" s="1"/>
    </row>
    <row x14ac:dyDescent="0.25" r="5442" customHeight="1" ht="18.75">
      <c r="A5442" s="1" t="s">
        <v>3598</v>
      </c>
      <c r="B5442" s="1" t="s">
        <v>9449</v>
      </c>
      <c r="C5442" s="1" t="s">
        <v>3600</v>
      </c>
      <c r="D5442" s="1" t="s">
        <v>3601</v>
      </c>
      <c r="E5442" s="1" t="s">
        <v>3752</v>
      </c>
      <c r="F5442" s="1" t="s">
        <v>19320</v>
      </c>
      <c r="G5442" s="1" t="s">
        <v>19321</v>
      </c>
      <c r="H5442" s="1" t="s">
        <v>3604</v>
      </c>
      <c r="I5442" s="1" t="s">
        <v>19322</v>
      </c>
      <c r="J5442" s="1" t="s">
        <v>3606</v>
      </c>
      <c r="K5442" s="1" t="s">
        <v>19323</v>
      </c>
      <c r="L5442" s="1"/>
      <c r="M5442" s="1"/>
    </row>
    <row x14ac:dyDescent="0.25" r="5443" customHeight="1" ht="18.75">
      <c r="A5443" s="1" t="s">
        <v>3598</v>
      </c>
      <c r="B5443" s="1" t="s">
        <v>9449</v>
      </c>
      <c r="C5443" s="1" t="s">
        <v>3600</v>
      </c>
      <c r="D5443" s="1" t="s">
        <v>3601</v>
      </c>
      <c r="E5443" s="1" t="s">
        <v>3752</v>
      </c>
      <c r="F5443" s="1" t="s">
        <v>19324</v>
      </c>
      <c r="G5443" s="1" t="s">
        <v>19325</v>
      </c>
      <c r="H5443" s="1" t="s">
        <v>3604</v>
      </c>
      <c r="I5443" s="1" t="s">
        <v>19326</v>
      </c>
      <c r="J5443" s="1" t="s">
        <v>3606</v>
      </c>
      <c r="K5443" s="1" t="s">
        <v>19327</v>
      </c>
      <c r="L5443" s="1"/>
      <c r="M5443" s="1"/>
    </row>
    <row x14ac:dyDescent="0.25" r="5444" customHeight="1" ht="18.75">
      <c r="A5444" s="1" t="s">
        <v>3598</v>
      </c>
      <c r="B5444" s="1" t="s">
        <v>9449</v>
      </c>
      <c r="C5444" s="1" t="s">
        <v>3600</v>
      </c>
      <c r="D5444" s="1" t="s">
        <v>3601</v>
      </c>
      <c r="E5444" s="1" t="s">
        <v>3752</v>
      </c>
      <c r="F5444" s="1" t="s">
        <v>19328</v>
      </c>
      <c r="G5444" s="1" t="s">
        <v>19329</v>
      </c>
      <c r="H5444" s="1" t="s">
        <v>3604</v>
      </c>
      <c r="I5444" s="1" t="s">
        <v>19330</v>
      </c>
      <c r="J5444" s="1" t="s">
        <v>3606</v>
      </c>
      <c r="K5444" s="1" t="s">
        <v>19331</v>
      </c>
      <c r="L5444" s="1"/>
      <c r="M5444" s="1"/>
    </row>
    <row x14ac:dyDescent="0.25" r="5445" customHeight="1" ht="18.75">
      <c r="A5445" s="1" t="s">
        <v>3598</v>
      </c>
      <c r="B5445" s="1" t="s">
        <v>9449</v>
      </c>
      <c r="C5445" s="1" t="s">
        <v>3600</v>
      </c>
      <c r="D5445" s="1" t="s">
        <v>3601</v>
      </c>
      <c r="E5445" s="1" t="s">
        <v>3752</v>
      </c>
      <c r="F5445" s="1" t="s">
        <v>19332</v>
      </c>
      <c r="G5445" s="1" t="s">
        <v>19333</v>
      </c>
      <c r="H5445" s="1" t="s">
        <v>3604</v>
      </c>
      <c r="I5445" s="1" t="s">
        <v>19334</v>
      </c>
      <c r="J5445" s="1" t="s">
        <v>3606</v>
      </c>
      <c r="K5445" s="1" t="s">
        <v>19335</v>
      </c>
      <c r="L5445" s="1"/>
      <c r="M5445" s="1"/>
    </row>
    <row x14ac:dyDescent="0.25" r="5446" customHeight="1" ht="18.75">
      <c r="A5446" s="1" t="s">
        <v>3598</v>
      </c>
      <c r="B5446" s="1" t="s">
        <v>9449</v>
      </c>
      <c r="C5446" s="1" t="s">
        <v>3600</v>
      </c>
      <c r="D5446" s="1" t="s">
        <v>3601</v>
      </c>
      <c r="E5446" s="1" t="s">
        <v>3752</v>
      </c>
      <c r="F5446" s="1" t="s">
        <v>19336</v>
      </c>
      <c r="G5446" s="1" t="s">
        <v>19337</v>
      </c>
      <c r="H5446" s="1" t="s">
        <v>3604</v>
      </c>
      <c r="I5446" s="1" t="s">
        <v>19338</v>
      </c>
      <c r="J5446" s="1" t="s">
        <v>3606</v>
      </c>
      <c r="K5446" s="1" t="s">
        <v>19339</v>
      </c>
      <c r="L5446" s="1"/>
      <c r="M5446" s="1"/>
    </row>
    <row x14ac:dyDescent="0.25" r="5447" customHeight="1" ht="18.75">
      <c r="A5447" s="1" t="s">
        <v>3598</v>
      </c>
      <c r="B5447" s="1" t="s">
        <v>4273</v>
      </c>
      <c r="C5447" s="1" t="s">
        <v>3600</v>
      </c>
      <c r="D5447" s="1" t="s">
        <v>3601</v>
      </c>
      <c r="E5447" s="1" t="s">
        <v>3664</v>
      </c>
      <c r="F5447" s="1" t="s">
        <v>19340</v>
      </c>
      <c r="G5447" s="1" t="s">
        <v>16788</v>
      </c>
      <c r="H5447" s="1" t="s">
        <v>3604</v>
      </c>
      <c r="I5447" s="1" t="s">
        <v>19341</v>
      </c>
      <c r="J5447" s="1" t="s">
        <v>3606</v>
      </c>
      <c r="K5447" s="1" t="s">
        <v>19342</v>
      </c>
      <c r="L5447" s="1"/>
      <c r="M5447" s="1"/>
    </row>
    <row x14ac:dyDescent="0.25" r="5448" customHeight="1" ht="18.75">
      <c r="A5448" s="1" t="s">
        <v>3598</v>
      </c>
      <c r="B5448" s="1" t="s">
        <v>4273</v>
      </c>
      <c r="C5448" s="1" t="s">
        <v>3600</v>
      </c>
      <c r="D5448" s="1" t="s">
        <v>3601</v>
      </c>
      <c r="E5448" s="1" t="s">
        <v>3664</v>
      </c>
      <c r="F5448" s="1" t="s">
        <v>19343</v>
      </c>
      <c r="G5448" s="1" t="s">
        <v>16788</v>
      </c>
      <c r="H5448" s="1" t="s">
        <v>3604</v>
      </c>
      <c r="I5448" s="1" t="s">
        <v>19344</v>
      </c>
      <c r="J5448" s="1" t="s">
        <v>3606</v>
      </c>
      <c r="K5448" s="1"/>
      <c r="L5448" s="1"/>
      <c r="M5448" s="1"/>
    </row>
    <row x14ac:dyDescent="0.25" r="5449" customHeight="1" ht="18.75">
      <c r="A5449" s="1" t="s">
        <v>3598</v>
      </c>
      <c r="B5449" s="1" t="s">
        <v>9311</v>
      </c>
      <c r="C5449" s="1" t="s">
        <v>3600</v>
      </c>
      <c r="D5449" s="1" t="s">
        <v>3601</v>
      </c>
      <c r="E5449" s="1" t="s">
        <v>3664</v>
      </c>
      <c r="F5449" s="1" t="s">
        <v>19345</v>
      </c>
      <c r="G5449" s="1" t="s">
        <v>8578</v>
      </c>
      <c r="H5449" s="1" t="s">
        <v>3604</v>
      </c>
      <c r="I5449" s="1" t="s">
        <v>19346</v>
      </c>
      <c r="J5449" s="1" t="s">
        <v>3606</v>
      </c>
      <c r="K5449" s="1" t="s">
        <v>19347</v>
      </c>
      <c r="L5449" s="1"/>
      <c r="M5449" s="1"/>
    </row>
    <row x14ac:dyDescent="0.25" r="5450" customHeight="1" ht="18.75">
      <c r="A5450" s="1" t="s">
        <v>3598</v>
      </c>
      <c r="B5450" s="1" t="s">
        <v>18410</v>
      </c>
      <c r="C5450" s="1" t="s">
        <v>3600</v>
      </c>
      <c r="D5450" s="1" t="s">
        <v>3601</v>
      </c>
      <c r="E5450" s="1" t="s">
        <v>3664</v>
      </c>
      <c r="F5450" s="1" t="s">
        <v>19348</v>
      </c>
      <c r="G5450" s="1" t="s">
        <v>18412</v>
      </c>
      <c r="H5450" s="1" t="s">
        <v>3604</v>
      </c>
      <c r="I5450" s="1" t="s">
        <v>19349</v>
      </c>
      <c r="J5450" s="1" t="s">
        <v>3606</v>
      </c>
      <c r="K5450" s="1" t="s">
        <v>19350</v>
      </c>
      <c r="L5450" s="1"/>
      <c r="M5450" s="1"/>
    </row>
    <row x14ac:dyDescent="0.25" r="5451" customHeight="1" ht="18.75">
      <c r="A5451" s="1" t="s">
        <v>3598</v>
      </c>
      <c r="B5451" s="1" t="s">
        <v>18410</v>
      </c>
      <c r="C5451" s="1" t="s">
        <v>3600</v>
      </c>
      <c r="D5451" s="1" t="s">
        <v>3601</v>
      </c>
      <c r="E5451" s="1" t="s">
        <v>3664</v>
      </c>
      <c r="F5451" s="1" t="s">
        <v>19351</v>
      </c>
      <c r="G5451" s="1" t="s">
        <v>18416</v>
      </c>
      <c r="H5451" s="1" t="s">
        <v>3604</v>
      </c>
      <c r="I5451" s="1" t="s">
        <v>19352</v>
      </c>
      <c r="J5451" s="1" t="s">
        <v>3606</v>
      </c>
      <c r="K5451" s="1" t="s">
        <v>19353</v>
      </c>
      <c r="L5451" s="1"/>
      <c r="M5451" s="1"/>
    </row>
    <row x14ac:dyDescent="0.25" r="5452" customHeight="1" ht="18.75">
      <c r="A5452" s="1" t="s">
        <v>3598</v>
      </c>
      <c r="B5452" s="1" t="s">
        <v>18092</v>
      </c>
      <c r="C5452" s="1" t="s">
        <v>3600</v>
      </c>
      <c r="D5452" s="1" t="s">
        <v>3601</v>
      </c>
      <c r="E5452" s="1" t="s">
        <v>3893</v>
      </c>
      <c r="F5452" s="1" t="s">
        <v>19354</v>
      </c>
      <c r="G5452" s="1" t="s">
        <v>16725</v>
      </c>
      <c r="H5452" s="1" t="s">
        <v>3604</v>
      </c>
      <c r="I5452" s="1" t="s">
        <v>19355</v>
      </c>
      <c r="J5452" s="1" t="s">
        <v>3606</v>
      </c>
      <c r="K5452" s="1"/>
      <c r="L5452" s="1"/>
      <c r="M5452" s="1"/>
    </row>
    <row x14ac:dyDescent="0.25" r="5453" customHeight="1" ht="18.75">
      <c r="A5453" s="1" t="s">
        <v>3598</v>
      </c>
      <c r="B5453" s="1" t="s">
        <v>9246</v>
      </c>
      <c r="C5453" s="1" t="s">
        <v>3600</v>
      </c>
      <c r="D5453" s="1" t="s">
        <v>3601</v>
      </c>
      <c r="E5453" s="1" t="s">
        <v>3664</v>
      </c>
      <c r="F5453" s="1" t="s">
        <v>19356</v>
      </c>
      <c r="G5453" s="1" t="s">
        <v>16788</v>
      </c>
      <c r="H5453" s="1" t="s">
        <v>3604</v>
      </c>
      <c r="I5453" s="1" t="s">
        <v>19357</v>
      </c>
      <c r="J5453" s="1" t="s">
        <v>3606</v>
      </c>
      <c r="K5453" s="1" t="s">
        <v>19358</v>
      </c>
      <c r="L5453" s="1"/>
      <c r="M5453" s="1"/>
    </row>
    <row x14ac:dyDescent="0.25" r="5454" customHeight="1" ht="18.75">
      <c r="A5454" s="1" t="s">
        <v>3598</v>
      </c>
      <c r="B5454" s="1" t="s">
        <v>9246</v>
      </c>
      <c r="C5454" s="1" t="s">
        <v>3600</v>
      </c>
      <c r="D5454" s="1" t="s">
        <v>3601</v>
      </c>
      <c r="E5454" s="1" t="s">
        <v>3664</v>
      </c>
      <c r="F5454" s="1" t="s">
        <v>19359</v>
      </c>
      <c r="G5454" s="1" t="s">
        <v>16788</v>
      </c>
      <c r="H5454" s="1" t="s">
        <v>3604</v>
      </c>
      <c r="I5454" s="1" t="s">
        <v>19360</v>
      </c>
      <c r="J5454" s="1" t="s">
        <v>3606</v>
      </c>
      <c r="K5454" s="1"/>
      <c r="L5454" s="1"/>
      <c r="M5454" s="1"/>
    </row>
    <row x14ac:dyDescent="0.25" r="5455" customHeight="1" ht="18.75">
      <c r="A5455" s="1" t="s">
        <v>3598</v>
      </c>
      <c r="B5455" s="1" t="s">
        <v>9246</v>
      </c>
      <c r="C5455" s="1" t="s">
        <v>3600</v>
      </c>
      <c r="D5455" s="1" t="s">
        <v>3601</v>
      </c>
      <c r="E5455" s="1" t="s">
        <v>3664</v>
      </c>
      <c r="F5455" s="1" t="s">
        <v>19361</v>
      </c>
      <c r="G5455" s="1" t="s">
        <v>18256</v>
      </c>
      <c r="H5455" s="1" t="s">
        <v>3604</v>
      </c>
      <c r="I5455" s="1" t="s">
        <v>19362</v>
      </c>
      <c r="J5455" s="1" t="s">
        <v>3606</v>
      </c>
      <c r="K5455" s="1" t="s">
        <v>19363</v>
      </c>
      <c r="L5455" s="1"/>
      <c r="M5455" s="1"/>
    </row>
    <row x14ac:dyDescent="0.25" r="5456" customHeight="1" ht="18.75">
      <c r="A5456" s="1" t="s">
        <v>3598</v>
      </c>
      <c r="B5456" s="1" t="s">
        <v>9246</v>
      </c>
      <c r="C5456" s="1" t="s">
        <v>3600</v>
      </c>
      <c r="D5456" s="1" t="s">
        <v>3601</v>
      </c>
      <c r="E5456" s="1" t="s">
        <v>3664</v>
      </c>
      <c r="F5456" s="1" t="s">
        <v>19364</v>
      </c>
      <c r="G5456" s="1" t="s">
        <v>18256</v>
      </c>
      <c r="H5456" s="1" t="s">
        <v>3604</v>
      </c>
      <c r="I5456" s="1" t="s">
        <v>19365</v>
      </c>
      <c r="J5456" s="1" t="s">
        <v>3606</v>
      </c>
      <c r="K5456" s="1"/>
      <c r="L5456" s="1"/>
      <c r="M5456" s="1"/>
    </row>
    <row x14ac:dyDescent="0.25" r="5457" customHeight="1" ht="18.75">
      <c r="A5457" s="1" t="s">
        <v>3598</v>
      </c>
      <c r="B5457" s="1" t="s">
        <v>9246</v>
      </c>
      <c r="C5457" s="1" t="s">
        <v>3600</v>
      </c>
      <c r="D5457" s="1" t="s">
        <v>3601</v>
      </c>
      <c r="E5457" s="1" t="s">
        <v>3664</v>
      </c>
      <c r="F5457" s="1" t="s">
        <v>19366</v>
      </c>
      <c r="G5457" s="1" t="s">
        <v>18266</v>
      </c>
      <c r="H5457" s="1" t="s">
        <v>3604</v>
      </c>
      <c r="I5457" s="1" t="s">
        <v>19367</v>
      </c>
      <c r="J5457" s="1" t="s">
        <v>3606</v>
      </c>
      <c r="K5457" s="1" t="s">
        <v>19368</v>
      </c>
      <c r="L5457" s="1"/>
      <c r="M5457" s="1"/>
    </row>
    <row x14ac:dyDescent="0.25" r="5458" customHeight="1" ht="18.75">
      <c r="A5458" s="1" t="s">
        <v>3598</v>
      </c>
      <c r="B5458" s="1" t="s">
        <v>9246</v>
      </c>
      <c r="C5458" s="1" t="s">
        <v>3600</v>
      </c>
      <c r="D5458" s="1" t="s">
        <v>3601</v>
      </c>
      <c r="E5458" s="1" t="s">
        <v>3664</v>
      </c>
      <c r="F5458" s="1" t="s">
        <v>19369</v>
      </c>
      <c r="G5458" s="1" t="s">
        <v>18266</v>
      </c>
      <c r="H5458" s="1" t="s">
        <v>3604</v>
      </c>
      <c r="I5458" s="1" t="s">
        <v>19370</v>
      </c>
      <c r="J5458" s="1" t="s">
        <v>3606</v>
      </c>
      <c r="K5458" s="1"/>
      <c r="L5458" s="1"/>
      <c r="M5458" s="1"/>
    </row>
    <row x14ac:dyDescent="0.25" r="5459" customHeight="1" ht="18.75">
      <c r="A5459" s="1" t="s">
        <v>3598</v>
      </c>
      <c r="B5459" s="1" t="s">
        <v>9246</v>
      </c>
      <c r="C5459" s="1" t="s">
        <v>3600</v>
      </c>
      <c r="D5459" s="1" t="s">
        <v>3601</v>
      </c>
      <c r="E5459" s="1" t="s">
        <v>3664</v>
      </c>
      <c r="F5459" s="1" t="s">
        <v>19371</v>
      </c>
      <c r="G5459" s="1" t="s">
        <v>18367</v>
      </c>
      <c r="H5459" s="1" t="s">
        <v>3604</v>
      </c>
      <c r="I5459" s="1" t="s">
        <v>19372</v>
      </c>
      <c r="J5459" s="1" t="s">
        <v>3606</v>
      </c>
      <c r="K5459" s="1" t="s">
        <v>19373</v>
      </c>
      <c r="L5459" s="1"/>
      <c r="M5459" s="1"/>
    </row>
    <row x14ac:dyDescent="0.25" r="5460" customHeight="1" ht="18.75">
      <c r="A5460" s="1" t="s">
        <v>3598</v>
      </c>
      <c r="B5460" s="1" t="s">
        <v>9246</v>
      </c>
      <c r="C5460" s="1" t="s">
        <v>3600</v>
      </c>
      <c r="D5460" s="1" t="s">
        <v>3601</v>
      </c>
      <c r="E5460" s="1" t="s">
        <v>3752</v>
      </c>
      <c r="F5460" s="1" t="s">
        <v>19374</v>
      </c>
      <c r="G5460" s="1" t="s">
        <v>19375</v>
      </c>
      <c r="H5460" s="1" t="s">
        <v>3604</v>
      </c>
      <c r="I5460" s="1" t="s">
        <v>19376</v>
      </c>
      <c r="J5460" s="1" t="s">
        <v>3606</v>
      </c>
      <c r="K5460" s="1" t="s">
        <v>19377</v>
      </c>
      <c r="L5460" s="1"/>
      <c r="M5460" s="1"/>
    </row>
    <row x14ac:dyDescent="0.25" r="5461" customHeight="1" ht="18.75">
      <c r="A5461" s="1" t="s">
        <v>3598</v>
      </c>
      <c r="B5461" s="1" t="s">
        <v>9246</v>
      </c>
      <c r="C5461" s="1" t="s">
        <v>3600</v>
      </c>
      <c r="D5461" s="1" t="s">
        <v>3601</v>
      </c>
      <c r="E5461" s="1" t="s">
        <v>3752</v>
      </c>
      <c r="F5461" s="1" t="s">
        <v>19378</v>
      </c>
      <c r="G5461" s="1" t="s">
        <v>19379</v>
      </c>
      <c r="H5461" s="1" t="s">
        <v>3604</v>
      </c>
      <c r="I5461" s="1" t="s">
        <v>19380</v>
      </c>
      <c r="J5461" s="1" t="s">
        <v>3606</v>
      </c>
      <c r="K5461" s="1" t="s">
        <v>19381</v>
      </c>
      <c r="L5461" s="1"/>
      <c r="M5461" s="1"/>
    </row>
    <row x14ac:dyDescent="0.25" r="5462" customHeight="1" ht="18.75">
      <c r="A5462" s="1" t="s">
        <v>3598</v>
      </c>
      <c r="B5462" s="1" t="s">
        <v>9246</v>
      </c>
      <c r="C5462" s="1" t="s">
        <v>3600</v>
      </c>
      <c r="D5462" s="1" t="s">
        <v>3601</v>
      </c>
      <c r="E5462" s="1" t="s">
        <v>3752</v>
      </c>
      <c r="F5462" s="1" t="s">
        <v>19382</v>
      </c>
      <c r="G5462" s="1" t="s">
        <v>19383</v>
      </c>
      <c r="H5462" s="1" t="s">
        <v>3604</v>
      </c>
      <c r="I5462" s="1" t="s">
        <v>19384</v>
      </c>
      <c r="J5462" s="1" t="s">
        <v>3606</v>
      </c>
      <c r="K5462" s="1" t="s">
        <v>19385</v>
      </c>
      <c r="L5462" s="1"/>
      <c r="M5462" s="1"/>
    </row>
    <row x14ac:dyDescent="0.25" r="5463" customHeight="1" ht="18.75">
      <c r="A5463" s="1" t="s">
        <v>3598</v>
      </c>
      <c r="B5463" s="1" t="s">
        <v>9246</v>
      </c>
      <c r="C5463" s="1" t="s">
        <v>3600</v>
      </c>
      <c r="D5463" s="1" t="s">
        <v>3601</v>
      </c>
      <c r="E5463" s="1" t="s">
        <v>3752</v>
      </c>
      <c r="F5463" s="1" t="s">
        <v>19386</v>
      </c>
      <c r="G5463" s="1" t="s">
        <v>19387</v>
      </c>
      <c r="H5463" s="1" t="s">
        <v>3604</v>
      </c>
      <c r="I5463" s="1" t="s">
        <v>19388</v>
      </c>
      <c r="J5463" s="1" t="s">
        <v>3606</v>
      </c>
      <c r="K5463" s="1" t="s">
        <v>19389</v>
      </c>
      <c r="L5463" s="1"/>
      <c r="M5463" s="1"/>
    </row>
    <row x14ac:dyDescent="0.25" r="5464" customHeight="1" ht="18.75">
      <c r="A5464" s="1" t="s">
        <v>3598</v>
      </c>
      <c r="B5464" s="1" t="s">
        <v>9246</v>
      </c>
      <c r="C5464" s="1" t="s">
        <v>3600</v>
      </c>
      <c r="D5464" s="1" t="s">
        <v>3601</v>
      </c>
      <c r="E5464" s="1" t="s">
        <v>3752</v>
      </c>
      <c r="F5464" s="1" t="s">
        <v>19390</v>
      </c>
      <c r="G5464" s="1" t="s">
        <v>19391</v>
      </c>
      <c r="H5464" s="1" t="s">
        <v>3604</v>
      </c>
      <c r="I5464" s="1" t="s">
        <v>19392</v>
      </c>
      <c r="J5464" s="1" t="s">
        <v>3606</v>
      </c>
      <c r="K5464" s="1" t="s">
        <v>19393</v>
      </c>
      <c r="L5464" s="1"/>
      <c r="M5464" s="1"/>
    </row>
    <row x14ac:dyDescent="0.25" r="5465" customHeight="1" ht="18.75">
      <c r="A5465" s="1" t="s">
        <v>3598</v>
      </c>
      <c r="B5465" s="1" t="s">
        <v>9246</v>
      </c>
      <c r="C5465" s="1" t="s">
        <v>3600</v>
      </c>
      <c r="D5465" s="1" t="s">
        <v>3601</v>
      </c>
      <c r="E5465" s="1" t="s">
        <v>3752</v>
      </c>
      <c r="F5465" s="1" t="s">
        <v>19394</v>
      </c>
      <c r="G5465" s="1" t="s">
        <v>19395</v>
      </c>
      <c r="H5465" s="1" t="s">
        <v>3604</v>
      </c>
      <c r="I5465" s="1" t="s">
        <v>19396</v>
      </c>
      <c r="J5465" s="1" t="s">
        <v>3606</v>
      </c>
      <c r="K5465" s="1" t="s">
        <v>19397</v>
      </c>
      <c r="L5465" s="1"/>
      <c r="M5465" s="1"/>
    </row>
    <row x14ac:dyDescent="0.25" r="5466" customHeight="1" ht="18.75">
      <c r="A5466" s="1" t="s">
        <v>3598</v>
      </c>
      <c r="B5466" s="1" t="s">
        <v>9246</v>
      </c>
      <c r="C5466" s="1" t="s">
        <v>3600</v>
      </c>
      <c r="D5466" s="1" t="s">
        <v>3601</v>
      </c>
      <c r="E5466" s="1" t="s">
        <v>3752</v>
      </c>
      <c r="F5466" s="1" t="s">
        <v>19398</v>
      </c>
      <c r="G5466" s="1" t="s">
        <v>9248</v>
      </c>
      <c r="H5466" s="1" t="s">
        <v>3604</v>
      </c>
      <c r="I5466" s="1" t="s">
        <v>19399</v>
      </c>
      <c r="J5466" s="1" t="s">
        <v>3606</v>
      </c>
      <c r="K5466" s="1" t="s">
        <v>19400</v>
      </c>
      <c r="L5466" s="1"/>
      <c r="M5466" s="1"/>
    </row>
    <row x14ac:dyDescent="0.25" r="5467" customHeight="1" ht="18.75">
      <c r="A5467" s="1" t="s">
        <v>3598</v>
      </c>
      <c r="B5467" s="1" t="s">
        <v>5260</v>
      </c>
      <c r="C5467" s="1" t="s">
        <v>3600</v>
      </c>
      <c r="D5467" s="1" t="s">
        <v>3601</v>
      </c>
      <c r="E5467" s="1" t="s">
        <v>3664</v>
      </c>
      <c r="F5467" s="1" t="s">
        <v>19401</v>
      </c>
      <c r="G5467" s="1" t="s">
        <v>18256</v>
      </c>
      <c r="H5467" s="1" t="s">
        <v>3604</v>
      </c>
      <c r="I5467" s="1" t="s">
        <v>19402</v>
      </c>
      <c r="J5467" s="1" t="s">
        <v>3606</v>
      </c>
      <c r="K5467" s="1" t="s">
        <v>19403</v>
      </c>
      <c r="L5467" s="1"/>
      <c r="M5467" s="1"/>
    </row>
    <row x14ac:dyDescent="0.25" r="5468" customHeight="1" ht="18.75">
      <c r="A5468" s="1" t="s">
        <v>3598</v>
      </c>
      <c r="B5468" s="1" t="s">
        <v>5260</v>
      </c>
      <c r="C5468" s="1" t="s">
        <v>3600</v>
      </c>
      <c r="D5468" s="1" t="s">
        <v>3601</v>
      </c>
      <c r="E5468" s="1" t="s">
        <v>3664</v>
      </c>
      <c r="F5468" s="1" t="s">
        <v>19404</v>
      </c>
      <c r="G5468" s="1" t="s">
        <v>18256</v>
      </c>
      <c r="H5468" s="1" t="s">
        <v>3604</v>
      </c>
      <c r="I5468" s="1" t="s">
        <v>19405</v>
      </c>
      <c r="J5468" s="1" t="s">
        <v>3606</v>
      </c>
      <c r="K5468" s="1"/>
      <c r="L5468" s="1"/>
      <c r="M5468" s="1"/>
    </row>
    <row x14ac:dyDescent="0.25" r="5469" customHeight="1" ht="18.75">
      <c r="A5469" s="1" t="s">
        <v>3598</v>
      </c>
      <c r="B5469" s="1" t="s">
        <v>5260</v>
      </c>
      <c r="C5469" s="1" t="s">
        <v>3600</v>
      </c>
      <c r="D5469" s="1" t="s">
        <v>3601</v>
      </c>
      <c r="E5469" s="1" t="s">
        <v>3664</v>
      </c>
      <c r="F5469" s="1" t="s">
        <v>19406</v>
      </c>
      <c r="G5469" s="1" t="s">
        <v>18266</v>
      </c>
      <c r="H5469" s="1" t="s">
        <v>3604</v>
      </c>
      <c r="I5469" s="1" t="s">
        <v>19407</v>
      </c>
      <c r="J5469" s="1" t="s">
        <v>3606</v>
      </c>
      <c r="K5469" s="1" t="s">
        <v>19408</v>
      </c>
      <c r="L5469" s="1"/>
      <c r="M5469" s="1"/>
    </row>
    <row x14ac:dyDescent="0.25" r="5470" customHeight="1" ht="18.75">
      <c r="A5470" s="1" t="s">
        <v>3598</v>
      </c>
      <c r="B5470" s="1" t="s">
        <v>5260</v>
      </c>
      <c r="C5470" s="1" t="s">
        <v>3600</v>
      </c>
      <c r="D5470" s="1" t="s">
        <v>3601</v>
      </c>
      <c r="E5470" s="1" t="s">
        <v>3664</v>
      </c>
      <c r="F5470" s="1" t="s">
        <v>19409</v>
      </c>
      <c r="G5470" s="1" t="s">
        <v>18266</v>
      </c>
      <c r="H5470" s="1" t="s">
        <v>3604</v>
      </c>
      <c r="I5470" s="1" t="s">
        <v>19410</v>
      </c>
      <c r="J5470" s="1" t="s">
        <v>3606</v>
      </c>
      <c r="K5470" s="1"/>
      <c r="L5470" s="1"/>
      <c r="M5470" s="1"/>
    </row>
    <row x14ac:dyDescent="0.25" r="5471" customHeight="1" ht="18.75">
      <c r="A5471" s="1" t="s">
        <v>3598</v>
      </c>
      <c r="B5471" s="1" t="s">
        <v>18117</v>
      </c>
      <c r="C5471" s="1" t="s">
        <v>3600</v>
      </c>
      <c r="D5471" s="1" t="s">
        <v>3601</v>
      </c>
      <c r="E5471" s="1" t="s">
        <v>3664</v>
      </c>
      <c r="F5471" s="1" t="s">
        <v>19411</v>
      </c>
      <c r="G5471" s="1" t="s">
        <v>18286</v>
      </c>
      <c r="H5471" s="1" t="s">
        <v>3604</v>
      </c>
      <c r="I5471" s="1" t="s">
        <v>19412</v>
      </c>
      <c r="J5471" s="1" t="s">
        <v>3606</v>
      </c>
      <c r="K5471" s="1" t="s">
        <v>19413</v>
      </c>
      <c r="L5471" s="1"/>
      <c r="M5471" s="1"/>
    </row>
    <row x14ac:dyDescent="0.25" r="5472" customHeight="1" ht="18.75">
      <c r="A5472" s="1" t="s">
        <v>3598</v>
      </c>
      <c r="B5472" s="1" t="s">
        <v>18125</v>
      </c>
      <c r="C5472" s="1" t="s">
        <v>3600</v>
      </c>
      <c r="D5472" s="1" t="s">
        <v>3601</v>
      </c>
      <c r="E5472" s="1" t="s">
        <v>3664</v>
      </c>
      <c r="F5472" s="1" t="s">
        <v>19414</v>
      </c>
      <c r="G5472" s="1" t="s">
        <v>18311</v>
      </c>
      <c r="H5472" s="1" t="s">
        <v>3604</v>
      </c>
      <c r="I5472" s="1" t="s">
        <v>19415</v>
      </c>
      <c r="J5472" s="1" t="s">
        <v>3606</v>
      </c>
      <c r="K5472" s="1" t="s">
        <v>19416</v>
      </c>
      <c r="L5472" s="1"/>
      <c r="M5472" s="1"/>
    </row>
    <row x14ac:dyDescent="0.25" r="5473" customHeight="1" ht="18.75">
      <c r="A5473" s="1" t="s">
        <v>3598</v>
      </c>
      <c r="B5473" s="1" t="s">
        <v>15397</v>
      </c>
      <c r="C5473" s="1" t="s">
        <v>3600</v>
      </c>
      <c r="D5473" s="1" t="s">
        <v>3601</v>
      </c>
      <c r="E5473" s="1" t="s">
        <v>3664</v>
      </c>
      <c r="F5473" s="1" t="s">
        <v>19417</v>
      </c>
      <c r="G5473" s="1" t="s">
        <v>18246</v>
      </c>
      <c r="H5473" s="1" t="s">
        <v>3604</v>
      </c>
      <c r="I5473" s="1" t="s">
        <v>19418</v>
      </c>
      <c r="J5473" s="1" t="s">
        <v>3606</v>
      </c>
      <c r="K5473" s="1" t="s">
        <v>19419</v>
      </c>
      <c r="L5473" s="1"/>
      <c r="M5473" s="1"/>
    </row>
    <row x14ac:dyDescent="0.25" r="5474" customHeight="1" ht="18.75">
      <c r="A5474" s="1" t="s">
        <v>3598</v>
      </c>
      <c r="B5474" s="1" t="s">
        <v>15397</v>
      </c>
      <c r="C5474" s="1" t="s">
        <v>3600</v>
      </c>
      <c r="D5474" s="1" t="s">
        <v>3601</v>
      </c>
      <c r="E5474" s="1" t="s">
        <v>3664</v>
      </c>
      <c r="F5474" s="1" t="s">
        <v>19420</v>
      </c>
      <c r="G5474" s="1" t="s">
        <v>18246</v>
      </c>
      <c r="H5474" s="1" t="s">
        <v>3604</v>
      </c>
      <c r="I5474" s="1" t="s">
        <v>19421</v>
      </c>
      <c r="J5474" s="1" t="s">
        <v>3606</v>
      </c>
      <c r="K5474" s="1"/>
      <c r="L5474" s="1"/>
      <c r="M5474" s="1"/>
    </row>
    <row x14ac:dyDescent="0.25" r="5475" customHeight="1" ht="18.75">
      <c r="A5475" s="1" t="s">
        <v>3598</v>
      </c>
      <c r="B5475" s="1" t="s">
        <v>5252</v>
      </c>
      <c r="C5475" s="1" t="s">
        <v>3600</v>
      </c>
      <c r="D5475" s="1" t="s">
        <v>3601</v>
      </c>
      <c r="E5475" s="1" t="s">
        <v>3664</v>
      </c>
      <c r="F5475" s="1" t="s">
        <v>19422</v>
      </c>
      <c r="G5475" s="1" t="s">
        <v>18412</v>
      </c>
      <c r="H5475" s="1" t="s">
        <v>3604</v>
      </c>
      <c r="I5475" s="1" t="s">
        <v>19423</v>
      </c>
      <c r="J5475" s="1" t="s">
        <v>3606</v>
      </c>
      <c r="K5475" s="1" t="s">
        <v>19424</v>
      </c>
      <c r="L5475" s="1"/>
      <c r="M5475" s="1"/>
    </row>
    <row x14ac:dyDescent="0.25" r="5476" customHeight="1" ht="18.75">
      <c r="A5476" s="1" t="s">
        <v>3598</v>
      </c>
      <c r="B5476" s="1" t="s">
        <v>5252</v>
      </c>
      <c r="C5476" s="1" t="s">
        <v>3600</v>
      </c>
      <c r="D5476" s="1" t="s">
        <v>3601</v>
      </c>
      <c r="E5476" s="1" t="s">
        <v>3664</v>
      </c>
      <c r="F5476" s="1" t="s">
        <v>19425</v>
      </c>
      <c r="G5476" s="1" t="s">
        <v>18416</v>
      </c>
      <c r="H5476" s="1" t="s">
        <v>3604</v>
      </c>
      <c r="I5476" s="1" t="s">
        <v>19426</v>
      </c>
      <c r="J5476" s="1" t="s">
        <v>3606</v>
      </c>
      <c r="K5476" s="1" t="s">
        <v>19427</v>
      </c>
      <c r="L5476" s="1"/>
      <c r="M5476" s="1"/>
    </row>
    <row x14ac:dyDescent="0.25" r="5477" customHeight="1" ht="18.75">
      <c r="A5477" s="1" t="s">
        <v>3598</v>
      </c>
      <c r="B5477" s="1" t="s">
        <v>5252</v>
      </c>
      <c r="C5477" s="1" t="s">
        <v>3600</v>
      </c>
      <c r="D5477" s="1" t="s">
        <v>3601</v>
      </c>
      <c r="E5477" s="1" t="s">
        <v>3664</v>
      </c>
      <c r="F5477" s="1" t="s">
        <v>19428</v>
      </c>
      <c r="G5477" s="1" t="s">
        <v>18452</v>
      </c>
      <c r="H5477" s="1" t="s">
        <v>3604</v>
      </c>
      <c r="I5477" s="1" t="s">
        <v>19429</v>
      </c>
      <c r="J5477" s="1" t="s">
        <v>3606</v>
      </c>
      <c r="K5477" s="1" t="s">
        <v>19430</v>
      </c>
      <c r="L5477" s="1"/>
      <c r="M5477" s="1"/>
    </row>
    <row x14ac:dyDescent="0.25" r="5478" customHeight="1" ht="18.75">
      <c r="A5478" s="1" t="s">
        <v>3598</v>
      </c>
      <c r="B5478" s="1" t="s">
        <v>5252</v>
      </c>
      <c r="C5478" s="1" t="s">
        <v>3600</v>
      </c>
      <c r="D5478" s="1" t="s">
        <v>3601</v>
      </c>
      <c r="E5478" s="1" t="s">
        <v>3893</v>
      </c>
      <c r="F5478" s="1" t="s">
        <v>19431</v>
      </c>
      <c r="G5478" s="1" t="s">
        <v>8604</v>
      </c>
      <c r="H5478" s="1" t="s">
        <v>3604</v>
      </c>
      <c r="I5478" s="1" t="s">
        <v>19432</v>
      </c>
      <c r="J5478" s="1" t="s">
        <v>3606</v>
      </c>
      <c r="K5478" s="1" t="s">
        <v>19433</v>
      </c>
      <c r="L5478" s="1"/>
      <c r="M5478" s="1"/>
    </row>
    <row x14ac:dyDescent="0.25" r="5479" customHeight="1" ht="18.75">
      <c r="A5479" s="1" t="s">
        <v>3598</v>
      </c>
      <c r="B5479" s="1" t="s">
        <v>5252</v>
      </c>
      <c r="C5479" s="1" t="s">
        <v>3600</v>
      </c>
      <c r="D5479" s="1" t="s">
        <v>3601</v>
      </c>
      <c r="E5479" s="1" t="s">
        <v>3893</v>
      </c>
      <c r="F5479" s="1" t="s">
        <v>19434</v>
      </c>
      <c r="G5479" s="1" t="s">
        <v>18407</v>
      </c>
      <c r="H5479" s="1" t="s">
        <v>3604</v>
      </c>
      <c r="I5479" s="1" t="s">
        <v>19435</v>
      </c>
      <c r="J5479" s="1" t="s">
        <v>3606</v>
      </c>
      <c r="K5479" s="1"/>
      <c r="L5479" s="1"/>
      <c r="M5479" s="1"/>
    </row>
    <row x14ac:dyDescent="0.25" r="5480" customHeight="1" ht="18.75">
      <c r="A5480" s="1" t="s">
        <v>3598</v>
      </c>
      <c r="B5480" s="1" t="s">
        <v>8572</v>
      </c>
      <c r="C5480" s="1" t="s">
        <v>3600</v>
      </c>
      <c r="D5480" s="1" t="s">
        <v>3601</v>
      </c>
      <c r="E5480" s="1" t="s">
        <v>3893</v>
      </c>
      <c r="F5480" s="1" t="s">
        <v>19436</v>
      </c>
      <c r="G5480" s="1" t="s">
        <v>8604</v>
      </c>
      <c r="H5480" s="1" t="s">
        <v>3604</v>
      </c>
      <c r="I5480" s="1" t="s">
        <v>19437</v>
      </c>
      <c r="J5480" s="1" t="s">
        <v>3606</v>
      </c>
      <c r="K5480" s="1" t="s">
        <v>19438</v>
      </c>
      <c r="L5480" s="1"/>
      <c r="M5480" s="1"/>
    </row>
    <row x14ac:dyDescent="0.25" r="5481" customHeight="1" ht="18.75">
      <c r="A5481" s="1" t="s">
        <v>3693</v>
      </c>
      <c r="B5481" s="1" t="s">
        <v>6637</v>
      </c>
      <c r="C5481" s="1" t="s">
        <v>3619</v>
      </c>
      <c r="D5481" s="1" t="s">
        <v>3601</v>
      </c>
      <c r="E5481" s="1" t="s">
        <v>17535</v>
      </c>
      <c r="F5481" s="1" t="s">
        <v>19439</v>
      </c>
      <c r="G5481" s="1" t="s">
        <v>19440</v>
      </c>
      <c r="H5481" s="1" t="s">
        <v>3604</v>
      </c>
      <c r="I5481" s="1" t="s">
        <v>19441</v>
      </c>
      <c r="J5481" s="1" t="s">
        <v>3606</v>
      </c>
      <c r="K5481" s="1" t="s">
        <v>19442</v>
      </c>
      <c r="L5481" s="1"/>
      <c r="M5481" s="1"/>
    </row>
    <row x14ac:dyDescent="0.25" r="5482" customHeight="1" ht="18.75">
      <c r="A5482" s="1" t="s">
        <v>3693</v>
      </c>
      <c r="B5482" s="1" t="s">
        <v>4144</v>
      </c>
      <c r="C5482" s="1" t="s">
        <v>3619</v>
      </c>
      <c r="D5482" s="1" t="s">
        <v>3695</v>
      </c>
      <c r="E5482" s="1" t="s">
        <v>3664</v>
      </c>
      <c r="F5482" s="1" t="s">
        <v>19443</v>
      </c>
      <c r="G5482" s="1" t="s">
        <v>9049</v>
      </c>
      <c r="H5482" s="1" t="s">
        <v>3604</v>
      </c>
      <c r="I5482" s="1" t="s">
        <v>19444</v>
      </c>
      <c r="J5482" s="1" t="s">
        <v>3606</v>
      </c>
      <c r="K5482" s="1" t="s">
        <v>19445</v>
      </c>
      <c r="L5482" s="1"/>
      <c r="M5482" s="1"/>
    </row>
    <row x14ac:dyDescent="0.25" r="5483" customHeight="1" ht="18.75">
      <c r="A5483" s="1" t="s">
        <v>7833</v>
      </c>
      <c r="B5483" s="1" t="s">
        <v>14934</v>
      </c>
      <c r="C5483" s="1" t="s">
        <v>4488</v>
      </c>
      <c r="D5483" s="1" t="s">
        <v>3601</v>
      </c>
      <c r="E5483" s="1" t="s">
        <v>3664</v>
      </c>
      <c r="F5483" s="1" t="s">
        <v>19446</v>
      </c>
      <c r="G5483" s="1" t="s">
        <v>19447</v>
      </c>
      <c r="H5483" s="1" t="s">
        <v>3604</v>
      </c>
      <c r="I5483" s="1" t="s">
        <v>19448</v>
      </c>
      <c r="J5483" s="1" t="s">
        <v>3606</v>
      </c>
      <c r="K5483" s="1" t="s">
        <v>19449</v>
      </c>
      <c r="L5483" s="1"/>
      <c r="M5483" s="1"/>
    </row>
    <row x14ac:dyDescent="0.25" r="5484" customHeight="1" ht="18.75">
      <c r="A5484" s="1" t="s">
        <v>7833</v>
      </c>
      <c r="B5484" s="1" t="s">
        <v>14934</v>
      </c>
      <c r="C5484" s="1" t="s">
        <v>4488</v>
      </c>
      <c r="D5484" s="1" t="s">
        <v>3601</v>
      </c>
      <c r="E5484" s="1" t="s">
        <v>3664</v>
      </c>
      <c r="F5484" s="1" t="s">
        <v>19450</v>
      </c>
      <c r="G5484" s="1" t="s">
        <v>19451</v>
      </c>
      <c r="H5484" s="1" t="s">
        <v>3604</v>
      </c>
      <c r="I5484" s="1" t="s">
        <v>19452</v>
      </c>
      <c r="J5484" s="1" t="s">
        <v>3606</v>
      </c>
      <c r="K5484" s="1" t="s">
        <v>19453</v>
      </c>
      <c r="L5484" s="1"/>
      <c r="M5484" s="1"/>
    </row>
    <row x14ac:dyDescent="0.25" r="5485" customHeight="1" ht="18.75">
      <c r="A5485" s="1" t="s">
        <v>3693</v>
      </c>
      <c r="B5485" s="1" t="s">
        <v>4181</v>
      </c>
      <c r="C5485" s="1" t="s">
        <v>3619</v>
      </c>
      <c r="D5485" s="1" t="s">
        <v>3610</v>
      </c>
      <c r="E5485" s="1" t="s">
        <v>3664</v>
      </c>
      <c r="F5485" s="1" t="s">
        <v>19454</v>
      </c>
      <c r="G5485" s="1" t="s">
        <v>19455</v>
      </c>
      <c r="H5485" s="1" t="s">
        <v>3604</v>
      </c>
      <c r="I5485" s="1" t="s">
        <v>19456</v>
      </c>
      <c r="J5485" s="1" t="s">
        <v>3615</v>
      </c>
      <c r="K5485" s="1" t="s">
        <v>19457</v>
      </c>
      <c r="L5485" s="1"/>
      <c r="M5485" s="1"/>
    </row>
    <row x14ac:dyDescent="0.25" r="5486" customHeight="1" ht="18.75">
      <c r="A5486" s="1" t="s">
        <v>7833</v>
      </c>
      <c r="B5486" s="1" t="s">
        <v>9837</v>
      </c>
      <c r="C5486" s="1" t="s">
        <v>4488</v>
      </c>
      <c r="D5486" s="1" t="s">
        <v>3601</v>
      </c>
      <c r="E5486" s="1" t="s">
        <v>3664</v>
      </c>
      <c r="F5486" s="1" t="s">
        <v>19458</v>
      </c>
      <c r="G5486" s="1" t="s">
        <v>15364</v>
      </c>
      <c r="H5486" s="1" t="s">
        <v>3604</v>
      </c>
      <c r="I5486" s="1" t="s">
        <v>19459</v>
      </c>
      <c r="J5486" s="1" t="s">
        <v>3606</v>
      </c>
      <c r="K5486" s="1" t="s">
        <v>14573</v>
      </c>
      <c r="L5486" s="1"/>
      <c r="M5486" s="1"/>
    </row>
    <row x14ac:dyDescent="0.25" r="5487" customHeight="1" ht="18.75">
      <c r="A5487" s="1" t="s">
        <v>7833</v>
      </c>
      <c r="B5487" s="1" t="s">
        <v>9837</v>
      </c>
      <c r="C5487" s="1" t="s">
        <v>4488</v>
      </c>
      <c r="D5487" s="1" t="s">
        <v>3601</v>
      </c>
      <c r="E5487" s="1" t="s">
        <v>3664</v>
      </c>
      <c r="F5487" s="1" t="s">
        <v>1492</v>
      </c>
      <c r="G5487" s="1" t="s">
        <v>19460</v>
      </c>
      <c r="H5487" s="1" t="s">
        <v>3604</v>
      </c>
      <c r="I5487" s="1" t="s">
        <v>19461</v>
      </c>
      <c r="J5487" s="1" t="s">
        <v>3606</v>
      </c>
      <c r="K5487" s="1" t="s">
        <v>19462</v>
      </c>
      <c r="L5487" s="1"/>
      <c r="M5487" s="1"/>
    </row>
    <row x14ac:dyDescent="0.25" r="5488" customHeight="1" ht="18.75">
      <c r="A5488" s="1" t="s">
        <v>7833</v>
      </c>
      <c r="B5488" s="1" t="s">
        <v>9837</v>
      </c>
      <c r="C5488" s="1" t="s">
        <v>4488</v>
      </c>
      <c r="D5488" s="1" t="s">
        <v>3601</v>
      </c>
      <c r="E5488" s="1" t="s">
        <v>3664</v>
      </c>
      <c r="F5488" s="1" t="s">
        <v>1493</v>
      </c>
      <c r="G5488" s="1" t="s">
        <v>19463</v>
      </c>
      <c r="H5488" s="1" t="s">
        <v>3604</v>
      </c>
      <c r="I5488" s="1" t="s">
        <v>19464</v>
      </c>
      <c r="J5488" s="1" t="s">
        <v>3606</v>
      </c>
      <c r="K5488" s="1" t="s">
        <v>19465</v>
      </c>
      <c r="L5488" s="1"/>
      <c r="M5488" s="1"/>
    </row>
    <row x14ac:dyDescent="0.25" r="5489" customHeight="1" ht="18.75">
      <c r="A5489" s="1" t="s">
        <v>7833</v>
      </c>
      <c r="B5489" s="1" t="s">
        <v>9837</v>
      </c>
      <c r="C5489" s="1" t="s">
        <v>4488</v>
      </c>
      <c r="D5489" s="1" t="s">
        <v>3601</v>
      </c>
      <c r="E5489" s="1" t="s">
        <v>3752</v>
      </c>
      <c r="F5489" s="1" t="s">
        <v>1494</v>
      </c>
      <c r="G5489" s="1" t="s">
        <v>19466</v>
      </c>
      <c r="H5489" s="1" t="s">
        <v>3604</v>
      </c>
      <c r="I5489" s="1" t="s">
        <v>19467</v>
      </c>
      <c r="J5489" s="1" t="s">
        <v>3606</v>
      </c>
      <c r="K5489" s="1" t="s">
        <v>8869</v>
      </c>
      <c r="L5489" s="1"/>
      <c r="M5489" s="1"/>
    </row>
    <row x14ac:dyDescent="0.25" r="5490" customHeight="1" ht="18.75">
      <c r="A5490" s="1" t="s">
        <v>7833</v>
      </c>
      <c r="B5490" s="1" t="s">
        <v>13857</v>
      </c>
      <c r="C5490" s="1" t="s">
        <v>4488</v>
      </c>
      <c r="D5490" s="1" t="s">
        <v>3610</v>
      </c>
      <c r="E5490" s="1" t="s">
        <v>8096</v>
      </c>
      <c r="F5490" s="1" t="s">
        <v>1495</v>
      </c>
      <c r="G5490" s="1" t="s">
        <v>14927</v>
      </c>
      <c r="H5490" s="1" t="s">
        <v>3604</v>
      </c>
      <c r="I5490" s="1" t="s">
        <v>19468</v>
      </c>
      <c r="J5490" s="1" t="s">
        <v>3606</v>
      </c>
      <c r="K5490" s="1" t="s">
        <v>14666</v>
      </c>
      <c r="L5490" s="1"/>
      <c r="M5490" s="1"/>
    </row>
    <row x14ac:dyDescent="0.25" r="5491" customHeight="1" ht="18.75">
      <c r="A5491" s="1" t="s">
        <v>7833</v>
      </c>
      <c r="B5491" s="1" t="s">
        <v>13857</v>
      </c>
      <c r="C5491" s="1" t="s">
        <v>4488</v>
      </c>
      <c r="D5491" s="1" t="s">
        <v>3610</v>
      </c>
      <c r="E5491" s="1" t="s">
        <v>8096</v>
      </c>
      <c r="F5491" s="1" t="s">
        <v>1496</v>
      </c>
      <c r="G5491" s="1" t="s">
        <v>14927</v>
      </c>
      <c r="H5491" s="1" t="s">
        <v>3604</v>
      </c>
      <c r="I5491" s="1" t="s">
        <v>19469</v>
      </c>
      <c r="J5491" s="1" t="s">
        <v>3606</v>
      </c>
      <c r="K5491" s="1" t="s">
        <v>14328</v>
      </c>
      <c r="L5491" s="1"/>
      <c r="M5491" s="1"/>
    </row>
    <row x14ac:dyDescent="0.25" r="5492" customHeight="1" ht="18.75">
      <c r="A5492" s="1" t="s">
        <v>7833</v>
      </c>
      <c r="B5492" s="1" t="s">
        <v>13857</v>
      </c>
      <c r="C5492" s="1" t="s">
        <v>4488</v>
      </c>
      <c r="D5492" s="1" t="s">
        <v>3610</v>
      </c>
      <c r="E5492" s="1" t="s">
        <v>8096</v>
      </c>
      <c r="F5492" s="1" t="s">
        <v>1497</v>
      </c>
      <c r="G5492" s="1" t="s">
        <v>19470</v>
      </c>
      <c r="H5492" s="1" t="s">
        <v>3604</v>
      </c>
      <c r="I5492" s="1" t="s">
        <v>19471</v>
      </c>
      <c r="J5492" s="1" t="s">
        <v>3606</v>
      </c>
      <c r="K5492" s="1" t="s">
        <v>14287</v>
      </c>
      <c r="L5492" s="1"/>
      <c r="M5492" s="1"/>
    </row>
    <row x14ac:dyDescent="0.25" r="5493" customHeight="1" ht="18.75">
      <c r="A5493" s="1" t="s">
        <v>7833</v>
      </c>
      <c r="B5493" s="1" t="s">
        <v>19472</v>
      </c>
      <c r="C5493" s="1" t="s">
        <v>4488</v>
      </c>
      <c r="D5493" s="1" t="s">
        <v>3601</v>
      </c>
      <c r="E5493" s="1" t="s">
        <v>3664</v>
      </c>
      <c r="F5493" s="1" t="s">
        <v>19473</v>
      </c>
      <c r="G5493" s="1" t="s">
        <v>19472</v>
      </c>
      <c r="H5493" s="1" t="s">
        <v>3604</v>
      </c>
      <c r="I5493" s="1" t="s">
        <v>19474</v>
      </c>
      <c r="J5493" s="1" t="s">
        <v>3606</v>
      </c>
      <c r="K5493" s="1" t="s">
        <v>17318</v>
      </c>
      <c r="L5493" s="1"/>
      <c r="M5493" s="1"/>
    </row>
    <row x14ac:dyDescent="0.25" r="5494" customHeight="1" ht="18.75">
      <c r="A5494" s="1" t="s">
        <v>7833</v>
      </c>
      <c r="B5494" s="1" t="s">
        <v>19472</v>
      </c>
      <c r="C5494" s="1" t="s">
        <v>4488</v>
      </c>
      <c r="D5494" s="1" t="s">
        <v>3601</v>
      </c>
      <c r="E5494" s="1" t="s">
        <v>3664</v>
      </c>
      <c r="F5494" s="1" t="s">
        <v>19475</v>
      </c>
      <c r="G5494" s="1" t="s">
        <v>19472</v>
      </c>
      <c r="H5494" s="1" t="s">
        <v>3604</v>
      </c>
      <c r="I5494" s="1" t="s">
        <v>19476</v>
      </c>
      <c r="J5494" s="1" t="s">
        <v>3606</v>
      </c>
      <c r="K5494" s="1" t="s">
        <v>19477</v>
      </c>
      <c r="L5494" s="1"/>
      <c r="M5494" s="1"/>
    </row>
    <row x14ac:dyDescent="0.25" r="5495" customHeight="1" ht="18.75">
      <c r="A5495" s="1" t="s">
        <v>7833</v>
      </c>
      <c r="B5495" s="1" t="s">
        <v>19472</v>
      </c>
      <c r="C5495" s="1" t="s">
        <v>4488</v>
      </c>
      <c r="D5495" s="1" t="s">
        <v>3601</v>
      </c>
      <c r="E5495" s="1" t="s">
        <v>3664</v>
      </c>
      <c r="F5495" s="1" t="s">
        <v>19478</v>
      </c>
      <c r="G5495" s="1" t="s">
        <v>19472</v>
      </c>
      <c r="H5495" s="1" t="s">
        <v>3604</v>
      </c>
      <c r="I5495" s="1" t="s">
        <v>19479</v>
      </c>
      <c r="J5495" s="1" t="s">
        <v>3606</v>
      </c>
      <c r="K5495" s="1" t="s">
        <v>19480</v>
      </c>
      <c r="L5495" s="1"/>
      <c r="M5495" s="1"/>
    </row>
    <row x14ac:dyDescent="0.25" r="5496" customHeight="1" ht="18.75">
      <c r="A5496" s="1" t="s">
        <v>7833</v>
      </c>
      <c r="B5496" s="1" t="s">
        <v>19481</v>
      </c>
      <c r="C5496" s="1" t="s">
        <v>4488</v>
      </c>
      <c r="D5496" s="1" t="s">
        <v>3601</v>
      </c>
      <c r="E5496" s="1" t="s">
        <v>3664</v>
      </c>
      <c r="F5496" s="1" t="s">
        <v>19482</v>
      </c>
      <c r="G5496" s="1" t="s">
        <v>19481</v>
      </c>
      <c r="H5496" s="1" t="s">
        <v>3604</v>
      </c>
      <c r="I5496" s="1" t="s">
        <v>19483</v>
      </c>
      <c r="J5496" s="1" t="s">
        <v>3606</v>
      </c>
      <c r="K5496" s="1" t="s">
        <v>17318</v>
      </c>
      <c r="L5496" s="1"/>
      <c r="M5496" s="1"/>
    </row>
    <row x14ac:dyDescent="0.25" r="5497" customHeight="1" ht="18.75">
      <c r="A5497" s="1" t="s">
        <v>7833</v>
      </c>
      <c r="B5497" s="1" t="s">
        <v>19481</v>
      </c>
      <c r="C5497" s="1" t="s">
        <v>4488</v>
      </c>
      <c r="D5497" s="1" t="s">
        <v>3601</v>
      </c>
      <c r="E5497" s="1" t="s">
        <v>3664</v>
      </c>
      <c r="F5497" s="1" t="s">
        <v>19484</v>
      </c>
      <c r="G5497" s="1" t="s">
        <v>19481</v>
      </c>
      <c r="H5497" s="1" t="s">
        <v>3604</v>
      </c>
      <c r="I5497" s="1" t="s">
        <v>19485</v>
      </c>
      <c r="J5497" s="1" t="s">
        <v>3606</v>
      </c>
      <c r="K5497" s="1" t="s">
        <v>19477</v>
      </c>
      <c r="L5497" s="1"/>
      <c r="M5497" s="1"/>
    </row>
    <row x14ac:dyDescent="0.25" r="5498" customHeight="1" ht="18.75">
      <c r="A5498" s="1" t="s">
        <v>7833</v>
      </c>
      <c r="B5498" s="1" t="s">
        <v>19481</v>
      </c>
      <c r="C5498" s="1" t="s">
        <v>4488</v>
      </c>
      <c r="D5498" s="1" t="s">
        <v>3601</v>
      </c>
      <c r="E5498" s="1" t="s">
        <v>3664</v>
      </c>
      <c r="F5498" s="1" t="s">
        <v>19486</v>
      </c>
      <c r="G5498" s="1" t="s">
        <v>19481</v>
      </c>
      <c r="H5498" s="1" t="s">
        <v>3604</v>
      </c>
      <c r="I5498" s="1" t="s">
        <v>19487</v>
      </c>
      <c r="J5498" s="1" t="s">
        <v>3606</v>
      </c>
      <c r="K5498" s="1" t="s">
        <v>19480</v>
      </c>
      <c r="L5498" s="1"/>
      <c r="M5498" s="1"/>
    </row>
    <row x14ac:dyDescent="0.25" r="5499" customHeight="1" ht="18.75">
      <c r="A5499" s="1" t="s">
        <v>7833</v>
      </c>
      <c r="B5499" s="1" t="s">
        <v>19488</v>
      </c>
      <c r="C5499" s="1" t="s">
        <v>4488</v>
      </c>
      <c r="D5499" s="1" t="s">
        <v>3601</v>
      </c>
      <c r="E5499" s="1" t="s">
        <v>8096</v>
      </c>
      <c r="F5499" s="1" t="s">
        <v>19489</v>
      </c>
      <c r="G5499" s="1" t="s">
        <v>19488</v>
      </c>
      <c r="H5499" s="1" t="s">
        <v>3604</v>
      </c>
      <c r="I5499" s="1" t="s">
        <v>19490</v>
      </c>
      <c r="J5499" s="1" t="s">
        <v>3606</v>
      </c>
      <c r="K5499" s="1" t="s">
        <v>19477</v>
      </c>
      <c r="L5499" s="1"/>
      <c r="M5499" s="1"/>
    </row>
    <row x14ac:dyDescent="0.25" r="5500" customHeight="1" ht="18.75">
      <c r="A5500" s="1" t="s">
        <v>7833</v>
      </c>
      <c r="B5500" s="1" t="s">
        <v>19488</v>
      </c>
      <c r="C5500" s="1" t="s">
        <v>4488</v>
      </c>
      <c r="D5500" s="1" t="s">
        <v>3601</v>
      </c>
      <c r="E5500" s="1" t="s">
        <v>8096</v>
      </c>
      <c r="F5500" s="1" t="s">
        <v>19491</v>
      </c>
      <c r="G5500" s="1" t="s">
        <v>19488</v>
      </c>
      <c r="H5500" s="1" t="s">
        <v>3604</v>
      </c>
      <c r="I5500" s="1" t="s">
        <v>19492</v>
      </c>
      <c r="J5500" s="1" t="s">
        <v>3606</v>
      </c>
      <c r="K5500" s="1" t="s">
        <v>19480</v>
      </c>
      <c r="L5500" s="1"/>
      <c r="M5500" s="1"/>
    </row>
    <row x14ac:dyDescent="0.25" r="5501" customHeight="1" ht="18.75">
      <c r="A5501" s="1" t="s">
        <v>7833</v>
      </c>
      <c r="B5501" s="1" t="s">
        <v>19493</v>
      </c>
      <c r="C5501" s="1" t="s">
        <v>4488</v>
      </c>
      <c r="D5501" s="1" t="s">
        <v>3601</v>
      </c>
      <c r="E5501" s="1" t="s">
        <v>8096</v>
      </c>
      <c r="F5501" s="1" t="s">
        <v>19494</v>
      </c>
      <c r="G5501" s="1" t="s">
        <v>19493</v>
      </c>
      <c r="H5501" s="1" t="s">
        <v>3604</v>
      </c>
      <c r="I5501" s="1" t="s">
        <v>19495</v>
      </c>
      <c r="J5501" s="1" t="s">
        <v>3606</v>
      </c>
      <c r="K5501" s="1" t="s">
        <v>19477</v>
      </c>
      <c r="L5501" s="1"/>
      <c r="M5501" s="1"/>
    </row>
    <row x14ac:dyDescent="0.25" r="5502" customHeight="1" ht="18.75">
      <c r="A5502" s="1" t="s">
        <v>7833</v>
      </c>
      <c r="B5502" s="1" t="s">
        <v>19493</v>
      </c>
      <c r="C5502" s="1" t="s">
        <v>4488</v>
      </c>
      <c r="D5502" s="1" t="s">
        <v>3601</v>
      </c>
      <c r="E5502" s="1" t="s">
        <v>8096</v>
      </c>
      <c r="F5502" s="1" t="s">
        <v>19496</v>
      </c>
      <c r="G5502" s="1" t="s">
        <v>19493</v>
      </c>
      <c r="H5502" s="1" t="s">
        <v>3604</v>
      </c>
      <c r="I5502" s="1" t="s">
        <v>19497</v>
      </c>
      <c r="J5502" s="1" t="s">
        <v>3606</v>
      </c>
      <c r="K5502" s="1" t="s">
        <v>19480</v>
      </c>
      <c r="L5502" s="1"/>
      <c r="M5502" s="1"/>
    </row>
    <row x14ac:dyDescent="0.25" r="5503" customHeight="1" ht="18.75">
      <c r="A5503" s="1" t="s">
        <v>3693</v>
      </c>
      <c r="B5503" s="1" t="s">
        <v>4181</v>
      </c>
      <c r="C5503" s="1" t="s">
        <v>3619</v>
      </c>
      <c r="D5503" s="1" t="s">
        <v>3610</v>
      </c>
      <c r="E5503" s="1" t="s">
        <v>3664</v>
      </c>
      <c r="F5503" s="1" t="s">
        <v>19498</v>
      </c>
      <c r="G5503" s="1" t="s">
        <v>19455</v>
      </c>
      <c r="H5503" s="1" t="s">
        <v>3604</v>
      </c>
      <c r="I5503" s="1" t="s">
        <v>19499</v>
      </c>
      <c r="J5503" s="1" t="s">
        <v>3615</v>
      </c>
      <c r="K5503" s="1" t="s">
        <v>19500</v>
      </c>
      <c r="L5503" s="1"/>
      <c r="M5503" s="1"/>
    </row>
    <row x14ac:dyDescent="0.25" r="5504" customHeight="1" ht="18.75">
      <c r="A5504" s="1" t="s">
        <v>3693</v>
      </c>
      <c r="B5504" s="1" t="s">
        <v>4181</v>
      </c>
      <c r="C5504" s="1" t="s">
        <v>3619</v>
      </c>
      <c r="D5504" s="1" t="s">
        <v>7891</v>
      </c>
      <c r="E5504" s="1" t="s">
        <v>3664</v>
      </c>
      <c r="F5504" s="1" t="s">
        <v>19501</v>
      </c>
      <c r="G5504" s="1" t="s">
        <v>10138</v>
      </c>
      <c r="H5504" s="1" t="s">
        <v>3604</v>
      </c>
      <c r="I5504" s="1" t="s">
        <v>19502</v>
      </c>
      <c r="J5504" s="1" t="s">
        <v>3615</v>
      </c>
      <c r="K5504" s="1" t="s">
        <v>19503</v>
      </c>
      <c r="L5504" s="1"/>
      <c r="M5504" s="1"/>
    </row>
    <row x14ac:dyDescent="0.25" r="5505" customHeight="1" ht="18.75">
      <c r="A5505" s="1" t="s">
        <v>3693</v>
      </c>
      <c r="B5505" s="1" t="s">
        <v>4181</v>
      </c>
      <c r="C5505" s="1" t="s">
        <v>3619</v>
      </c>
      <c r="D5505" s="1" t="s">
        <v>7891</v>
      </c>
      <c r="E5505" s="1" t="s">
        <v>3664</v>
      </c>
      <c r="F5505" s="1" t="s">
        <v>19504</v>
      </c>
      <c r="G5505" s="1" t="s">
        <v>10138</v>
      </c>
      <c r="H5505" s="1" t="s">
        <v>3604</v>
      </c>
      <c r="I5505" s="1" t="s">
        <v>19505</v>
      </c>
      <c r="J5505" s="1" t="s">
        <v>3615</v>
      </c>
      <c r="K5505" s="1" t="s">
        <v>19503</v>
      </c>
      <c r="L5505" s="1"/>
      <c r="M5505" s="1"/>
    </row>
    <row x14ac:dyDescent="0.25" r="5506" customHeight="1" ht="18.75">
      <c r="A5506" s="1" t="s">
        <v>3693</v>
      </c>
      <c r="B5506" s="1" t="s">
        <v>4181</v>
      </c>
      <c r="C5506" s="1" t="s">
        <v>3619</v>
      </c>
      <c r="D5506" s="1" t="s">
        <v>7891</v>
      </c>
      <c r="E5506" s="1" t="s">
        <v>3664</v>
      </c>
      <c r="F5506" s="1" t="s">
        <v>19506</v>
      </c>
      <c r="G5506" s="1" t="s">
        <v>10138</v>
      </c>
      <c r="H5506" s="1" t="s">
        <v>3604</v>
      </c>
      <c r="I5506" s="1" t="s">
        <v>19507</v>
      </c>
      <c r="J5506" s="1" t="s">
        <v>3615</v>
      </c>
      <c r="K5506" s="1" t="s">
        <v>19503</v>
      </c>
      <c r="L5506" s="1"/>
      <c r="M5506" s="1"/>
    </row>
    <row x14ac:dyDescent="0.25" r="5507" customHeight="1" ht="18.75">
      <c r="A5507" s="1" t="s">
        <v>3693</v>
      </c>
      <c r="B5507" s="1" t="s">
        <v>4091</v>
      </c>
      <c r="C5507" s="1" t="s">
        <v>3600</v>
      </c>
      <c r="D5507" s="1" t="s">
        <v>3695</v>
      </c>
      <c r="E5507" s="1" t="s">
        <v>3893</v>
      </c>
      <c r="F5507" s="1" t="s">
        <v>19508</v>
      </c>
      <c r="G5507" s="1" t="s">
        <v>5882</v>
      </c>
      <c r="H5507" s="1" t="s">
        <v>3604</v>
      </c>
      <c r="I5507" s="1" t="s">
        <v>19509</v>
      </c>
      <c r="J5507" s="1" t="s">
        <v>3615</v>
      </c>
      <c r="K5507" s="1" t="s">
        <v>19510</v>
      </c>
      <c r="L5507" s="1"/>
      <c r="M5507" s="1"/>
    </row>
    <row x14ac:dyDescent="0.25" r="5508" customHeight="1" ht="18.75">
      <c r="A5508" s="1" t="s">
        <v>3693</v>
      </c>
      <c r="B5508" s="1" t="s">
        <v>7030</v>
      </c>
      <c r="C5508" s="1" t="s">
        <v>3600</v>
      </c>
      <c r="D5508" s="1" t="s">
        <v>533</v>
      </c>
      <c r="E5508" s="1" t="s">
        <v>3664</v>
      </c>
      <c r="F5508" s="1" t="s">
        <v>19511</v>
      </c>
      <c r="G5508" s="1" t="s">
        <v>19512</v>
      </c>
      <c r="H5508" s="1" t="s">
        <v>3604</v>
      </c>
      <c r="I5508" s="1" t="s">
        <v>19513</v>
      </c>
      <c r="J5508" s="1" t="s">
        <v>3615</v>
      </c>
      <c r="K5508" s="1" t="s">
        <v>19514</v>
      </c>
      <c r="L5508" s="1"/>
      <c r="M5508" s="1"/>
    </row>
    <row x14ac:dyDescent="0.25" r="5509" customHeight="1" ht="18.75">
      <c r="A5509" s="1" t="s">
        <v>3693</v>
      </c>
      <c r="B5509" s="1" t="s">
        <v>4091</v>
      </c>
      <c r="C5509" s="1" t="s">
        <v>3600</v>
      </c>
      <c r="D5509" s="1" t="s">
        <v>3695</v>
      </c>
      <c r="E5509" s="1" t="s">
        <v>3893</v>
      </c>
      <c r="F5509" s="1" t="s">
        <v>19515</v>
      </c>
      <c r="G5509" s="1" t="s">
        <v>4356</v>
      </c>
      <c r="H5509" s="1" t="s">
        <v>3604</v>
      </c>
      <c r="I5509" s="1" t="s">
        <v>19516</v>
      </c>
      <c r="J5509" s="1" t="s">
        <v>3615</v>
      </c>
      <c r="K5509" s="1" t="s">
        <v>19517</v>
      </c>
      <c r="L5509" s="1"/>
      <c r="M5509" s="1"/>
    </row>
    <row x14ac:dyDescent="0.25" r="5510" customHeight="1" ht="18.75">
      <c r="A5510" s="1" t="s">
        <v>3693</v>
      </c>
      <c r="B5510" s="1" t="s">
        <v>4225</v>
      </c>
      <c r="C5510" s="1" t="s">
        <v>3619</v>
      </c>
      <c r="D5510" s="1" t="s">
        <v>3610</v>
      </c>
      <c r="E5510" s="1" t="s">
        <v>3664</v>
      </c>
      <c r="F5510" s="1" t="s">
        <v>19518</v>
      </c>
      <c r="G5510" s="1"/>
      <c r="H5510" s="1" t="s">
        <v>3604</v>
      </c>
      <c r="I5510" s="1" t="s">
        <v>19519</v>
      </c>
      <c r="J5510" s="1" t="s">
        <v>3615</v>
      </c>
      <c r="K5510" s="1" t="s">
        <v>19520</v>
      </c>
      <c r="L5510" s="1"/>
      <c r="M5510" s="1"/>
    </row>
    <row x14ac:dyDescent="0.25" r="5511" customHeight="1" ht="18.75">
      <c r="A5511" s="1" t="s">
        <v>3598</v>
      </c>
      <c r="B5511" s="1" t="s">
        <v>4627</v>
      </c>
      <c r="C5511" s="1" t="s">
        <v>3600</v>
      </c>
      <c r="D5511" s="1" t="s">
        <v>3601</v>
      </c>
      <c r="E5511" s="1" t="s">
        <v>3611</v>
      </c>
      <c r="F5511" s="1" t="s">
        <v>19521</v>
      </c>
      <c r="G5511" s="1" t="s">
        <v>19522</v>
      </c>
      <c r="H5511" s="1" t="s">
        <v>3604</v>
      </c>
      <c r="I5511" s="1" t="s">
        <v>19523</v>
      </c>
      <c r="J5511" s="1" t="s">
        <v>3606</v>
      </c>
      <c r="K5511" s="1" t="s">
        <v>19524</v>
      </c>
      <c r="L5511" s="1"/>
      <c r="M5511" s="1"/>
    </row>
    <row x14ac:dyDescent="0.25" r="5512" customHeight="1" ht="18.75">
      <c r="A5512" s="1" t="s">
        <v>3598</v>
      </c>
      <c r="B5512" s="1" t="s">
        <v>4627</v>
      </c>
      <c r="C5512" s="1" t="s">
        <v>3600</v>
      </c>
      <c r="D5512" s="1" t="s">
        <v>3601</v>
      </c>
      <c r="E5512" s="1" t="s">
        <v>3611</v>
      </c>
      <c r="F5512" s="1" t="s">
        <v>19525</v>
      </c>
      <c r="G5512" s="1" t="s">
        <v>19526</v>
      </c>
      <c r="H5512" s="1" t="s">
        <v>3604</v>
      </c>
      <c r="I5512" s="1" t="s">
        <v>19527</v>
      </c>
      <c r="J5512" s="1" t="s">
        <v>3606</v>
      </c>
      <c r="K5512" s="1" t="s">
        <v>19528</v>
      </c>
      <c r="L5512" s="1"/>
      <c r="M5512" s="1"/>
    </row>
    <row x14ac:dyDescent="0.25" r="5513" customHeight="1" ht="18.75">
      <c r="A5513" s="1" t="s">
        <v>3598</v>
      </c>
      <c r="B5513" s="1" t="s">
        <v>6954</v>
      </c>
      <c r="C5513" s="1" t="s">
        <v>3600</v>
      </c>
      <c r="D5513" s="1" t="s">
        <v>7891</v>
      </c>
      <c r="E5513" s="1" t="s">
        <v>3664</v>
      </c>
      <c r="F5513" s="1" t="s">
        <v>19529</v>
      </c>
      <c r="G5513" s="1" t="s">
        <v>19530</v>
      </c>
      <c r="H5513" s="1" t="s">
        <v>3604</v>
      </c>
      <c r="I5513" s="1" t="s">
        <v>19531</v>
      </c>
      <c r="J5513" s="1" t="s">
        <v>3606</v>
      </c>
      <c r="K5513" s="1" t="s">
        <v>19532</v>
      </c>
      <c r="L5513" s="1"/>
      <c r="M5513" s="1"/>
    </row>
    <row x14ac:dyDescent="0.25" r="5514" customHeight="1" ht="18.75">
      <c r="A5514" s="1" t="s">
        <v>3598</v>
      </c>
      <c r="B5514" s="1" t="s">
        <v>6954</v>
      </c>
      <c r="C5514" s="1" t="s">
        <v>3600</v>
      </c>
      <c r="D5514" s="1" t="s">
        <v>7891</v>
      </c>
      <c r="E5514" s="1" t="s">
        <v>3664</v>
      </c>
      <c r="F5514" s="1" t="s">
        <v>19533</v>
      </c>
      <c r="G5514" s="1" t="s">
        <v>19530</v>
      </c>
      <c r="H5514" s="1" t="s">
        <v>3604</v>
      </c>
      <c r="I5514" s="1" t="s">
        <v>19534</v>
      </c>
      <c r="J5514" s="1" t="s">
        <v>3606</v>
      </c>
      <c r="K5514" s="1" t="s">
        <v>19535</v>
      </c>
      <c r="L5514" s="1"/>
      <c r="M5514" s="1"/>
    </row>
    <row x14ac:dyDescent="0.25" r="5515" customHeight="1" ht="18.75">
      <c r="A5515" s="1" t="s">
        <v>3598</v>
      </c>
      <c r="B5515" s="1" t="s">
        <v>6954</v>
      </c>
      <c r="C5515" s="1" t="s">
        <v>3600</v>
      </c>
      <c r="D5515" s="1" t="s">
        <v>7891</v>
      </c>
      <c r="E5515" s="1" t="s">
        <v>3664</v>
      </c>
      <c r="F5515" s="1" t="s">
        <v>19536</v>
      </c>
      <c r="G5515" s="1" t="s">
        <v>19530</v>
      </c>
      <c r="H5515" s="1" t="s">
        <v>3604</v>
      </c>
      <c r="I5515" s="1" t="s">
        <v>19537</v>
      </c>
      <c r="J5515" s="1" t="s">
        <v>3606</v>
      </c>
      <c r="K5515" s="1" t="s">
        <v>19538</v>
      </c>
      <c r="L5515" s="1"/>
      <c r="M5515" s="1"/>
    </row>
    <row x14ac:dyDescent="0.25" r="5516" customHeight="1" ht="18.75">
      <c r="A5516" s="1" t="s">
        <v>3598</v>
      </c>
      <c r="B5516" s="1" t="s">
        <v>15659</v>
      </c>
      <c r="C5516" s="1" t="s">
        <v>3600</v>
      </c>
      <c r="D5516" s="1" t="s">
        <v>7891</v>
      </c>
      <c r="E5516" s="1" t="s">
        <v>3664</v>
      </c>
      <c r="F5516" s="1" t="s">
        <v>19539</v>
      </c>
      <c r="G5516" s="1" t="s">
        <v>15661</v>
      </c>
      <c r="H5516" s="1" t="s">
        <v>3604</v>
      </c>
      <c r="I5516" s="1" t="s">
        <v>19540</v>
      </c>
      <c r="J5516" s="1" t="s">
        <v>3606</v>
      </c>
      <c r="K5516" s="1" t="s">
        <v>19541</v>
      </c>
      <c r="L5516" s="1"/>
      <c r="M5516" s="1"/>
    </row>
    <row x14ac:dyDescent="0.25" r="5517" customHeight="1" ht="18.75">
      <c r="A5517" s="1" t="s">
        <v>3598</v>
      </c>
      <c r="B5517" s="1" t="s">
        <v>15659</v>
      </c>
      <c r="C5517" s="1" t="s">
        <v>3600</v>
      </c>
      <c r="D5517" s="1" t="s">
        <v>7891</v>
      </c>
      <c r="E5517" s="1" t="s">
        <v>3664</v>
      </c>
      <c r="F5517" s="1" t="s">
        <v>19542</v>
      </c>
      <c r="G5517" s="1" t="s">
        <v>15661</v>
      </c>
      <c r="H5517" s="1" t="s">
        <v>3604</v>
      </c>
      <c r="I5517" s="1" t="s">
        <v>19543</v>
      </c>
      <c r="J5517" s="1" t="s">
        <v>3606</v>
      </c>
      <c r="K5517" s="1" t="s">
        <v>19544</v>
      </c>
      <c r="L5517" s="1"/>
      <c r="M5517" s="1"/>
    </row>
    <row x14ac:dyDescent="0.25" r="5518" customHeight="1" ht="18.75">
      <c r="A5518" s="1" t="s">
        <v>3598</v>
      </c>
      <c r="B5518" s="1" t="s">
        <v>15659</v>
      </c>
      <c r="C5518" s="1" t="s">
        <v>3600</v>
      </c>
      <c r="D5518" s="1" t="s">
        <v>7891</v>
      </c>
      <c r="E5518" s="1" t="s">
        <v>3664</v>
      </c>
      <c r="F5518" s="1" t="s">
        <v>19545</v>
      </c>
      <c r="G5518" s="1" t="s">
        <v>15661</v>
      </c>
      <c r="H5518" s="1" t="s">
        <v>3604</v>
      </c>
      <c r="I5518" s="1" t="s">
        <v>19546</v>
      </c>
      <c r="J5518" s="1" t="s">
        <v>3606</v>
      </c>
      <c r="K5518" s="1" t="s">
        <v>19547</v>
      </c>
      <c r="L5518" s="1"/>
      <c r="M5518" s="1"/>
    </row>
    <row x14ac:dyDescent="0.25" r="5519" customHeight="1" ht="18.75">
      <c r="A5519" s="1" t="s">
        <v>3598</v>
      </c>
      <c r="B5519" s="1" t="s">
        <v>3751</v>
      </c>
      <c r="C5519" s="1" t="s">
        <v>3600</v>
      </c>
      <c r="D5519" s="1" t="s">
        <v>7891</v>
      </c>
      <c r="E5519" s="1" t="s">
        <v>3664</v>
      </c>
      <c r="F5519" s="1" t="s">
        <v>19548</v>
      </c>
      <c r="G5519" s="1" t="s">
        <v>19549</v>
      </c>
      <c r="H5519" s="1" t="s">
        <v>3604</v>
      </c>
      <c r="I5519" s="1" t="s">
        <v>19550</v>
      </c>
      <c r="J5519" s="1" t="s">
        <v>3606</v>
      </c>
      <c r="K5519" s="1" t="s">
        <v>19551</v>
      </c>
      <c r="L5519" s="1"/>
      <c r="M5519" s="1"/>
    </row>
    <row x14ac:dyDescent="0.25" r="5520" customHeight="1" ht="18.75">
      <c r="A5520" s="1" t="s">
        <v>3598</v>
      </c>
      <c r="B5520" s="1" t="s">
        <v>3751</v>
      </c>
      <c r="C5520" s="1" t="s">
        <v>3600</v>
      </c>
      <c r="D5520" s="1" t="s">
        <v>7891</v>
      </c>
      <c r="E5520" s="1" t="s">
        <v>3664</v>
      </c>
      <c r="F5520" s="1" t="s">
        <v>19552</v>
      </c>
      <c r="G5520" s="1" t="s">
        <v>19549</v>
      </c>
      <c r="H5520" s="1" t="s">
        <v>3604</v>
      </c>
      <c r="I5520" s="1" t="s">
        <v>19553</v>
      </c>
      <c r="J5520" s="1" t="s">
        <v>3606</v>
      </c>
      <c r="K5520" s="1" t="s">
        <v>19554</v>
      </c>
      <c r="L5520" s="1"/>
      <c r="M5520" s="1"/>
    </row>
    <row x14ac:dyDescent="0.25" r="5521" customHeight="1" ht="18.75">
      <c r="A5521" s="1" t="s">
        <v>3598</v>
      </c>
      <c r="B5521" s="1" t="s">
        <v>3751</v>
      </c>
      <c r="C5521" s="1" t="s">
        <v>3600</v>
      </c>
      <c r="D5521" s="1" t="s">
        <v>7891</v>
      </c>
      <c r="E5521" s="1" t="s">
        <v>3664</v>
      </c>
      <c r="F5521" s="1" t="s">
        <v>19555</v>
      </c>
      <c r="G5521" s="1" t="s">
        <v>19549</v>
      </c>
      <c r="H5521" s="1" t="s">
        <v>3604</v>
      </c>
      <c r="I5521" s="1" t="s">
        <v>19556</v>
      </c>
      <c r="J5521" s="1" t="s">
        <v>3606</v>
      </c>
      <c r="K5521" s="1" t="s">
        <v>19557</v>
      </c>
      <c r="L5521" s="1"/>
      <c r="M5521" s="1"/>
    </row>
    <row x14ac:dyDescent="0.25" r="5522" customHeight="1" ht="18.75">
      <c r="A5522" s="1" t="s">
        <v>3598</v>
      </c>
      <c r="B5522" s="1" t="s">
        <v>9311</v>
      </c>
      <c r="C5522" s="1" t="s">
        <v>3600</v>
      </c>
      <c r="D5522" s="1" t="s">
        <v>7891</v>
      </c>
      <c r="E5522" s="1" t="s">
        <v>3664</v>
      </c>
      <c r="F5522" s="1" t="s">
        <v>19558</v>
      </c>
      <c r="G5522" s="1" t="s">
        <v>9313</v>
      </c>
      <c r="H5522" s="1" t="s">
        <v>3604</v>
      </c>
      <c r="I5522" s="1" t="s">
        <v>19559</v>
      </c>
      <c r="J5522" s="1" t="s">
        <v>3606</v>
      </c>
      <c r="K5522" s="1" t="s">
        <v>19560</v>
      </c>
      <c r="L5522" s="1"/>
      <c r="M5522" s="1"/>
    </row>
    <row x14ac:dyDescent="0.25" r="5523" customHeight="1" ht="18.75">
      <c r="A5523" s="1" t="s">
        <v>3598</v>
      </c>
      <c r="B5523" s="1" t="s">
        <v>9311</v>
      </c>
      <c r="C5523" s="1" t="s">
        <v>3600</v>
      </c>
      <c r="D5523" s="1" t="s">
        <v>7891</v>
      </c>
      <c r="E5523" s="1" t="s">
        <v>3664</v>
      </c>
      <c r="F5523" s="1" t="s">
        <v>19561</v>
      </c>
      <c r="G5523" s="1" t="s">
        <v>9313</v>
      </c>
      <c r="H5523" s="1" t="s">
        <v>3604</v>
      </c>
      <c r="I5523" s="1" t="s">
        <v>19562</v>
      </c>
      <c r="J5523" s="1" t="s">
        <v>3606</v>
      </c>
      <c r="K5523" s="1" t="s">
        <v>19563</v>
      </c>
      <c r="L5523" s="1"/>
      <c r="M5523" s="1"/>
    </row>
    <row x14ac:dyDescent="0.25" r="5524" customHeight="1" ht="18.75">
      <c r="A5524" s="1" t="s">
        <v>3598</v>
      </c>
      <c r="B5524" s="1" t="s">
        <v>9311</v>
      </c>
      <c r="C5524" s="1" t="s">
        <v>3600</v>
      </c>
      <c r="D5524" s="1" t="s">
        <v>7891</v>
      </c>
      <c r="E5524" s="1" t="s">
        <v>3664</v>
      </c>
      <c r="F5524" s="1" t="s">
        <v>19564</v>
      </c>
      <c r="G5524" s="1" t="s">
        <v>9313</v>
      </c>
      <c r="H5524" s="1" t="s">
        <v>3604</v>
      </c>
      <c r="I5524" s="1" t="s">
        <v>19565</v>
      </c>
      <c r="J5524" s="1" t="s">
        <v>3606</v>
      </c>
      <c r="K5524" s="1" t="s">
        <v>19566</v>
      </c>
      <c r="L5524" s="1"/>
      <c r="M5524" s="1"/>
    </row>
    <row x14ac:dyDescent="0.25" r="5525" customHeight="1" ht="18.75">
      <c r="A5525" s="1" t="s">
        <v>3598</v>
      </c>
      <c r="B5525" s="1" t="s">
        <v>6811</v>
      </c>
      <c r="C5525" s="1" t="s">
        <v>3600</v>
      </c>
      <c r="D5525" s="1" t="s">
        <v>7891</v>
      </c>
      <c r="E5525" s="1" t="s">
        <v>3664</v>
      </c>
      <c r="F5525" s="1" t="s">
        <v>19567</v>
      </c>
      <c r="G5525" s="1" t="s">
        <v>18233</v>
      </c>
      <c r="H5525" s="1" t="s">
        <v>3604</v>
      </c>
      <c r="I5525" s="1" t="s">
        <v>19568</v>
      </c>
      <c r="J5525" s="1" t="s">
        <v>3606</v>
      </c>
      <c r="K5525" s="1" t="s">
        <v>19569</v>
      </c>
      <c r="L5525" s="1"/>
      <c r="M5525" s="1"/>
    </row>
    <row x14ac:dyDescent="0.25" r="5526" customHeight="1" ht="18.75">
      <c r="A5526" s="1" t="s">
        <v>3598</v>
      </c>
      <c r="B5526" s="1" t="s">
        <v>6811</v>
      </c>
      <c r="C5526" s="1" t="s">
        <v>3600</v>
      </c>
      <c r="D5526" s="1" t="s">
        <v>7891</v>
      </c>
      <c r="E5526" s="1" t="s">
        <v>3664</v>
      </c>
      <c r="F5526" s="1" t="s">
        <v>19570</v>
      </c>
      <c r="G5526" s="1" t="s">
        <v>18233</v>
      </c>
      <c r="H5526" s="1" t="s">
        <v>3604</v>
      </c>
      <c r="I5526" s="1" t="s">
        <v>19571</v>
      </c>
      <c r="J5526" s="1" t="s">
        <v>3606</v>
      </c>
      <c r="K5526" s="1" t="s">
        <v>19572</v>
      </c>
      <c r="L5526" s="1"/>
      <c r="M5526" s="1"/>
    </row>
    <row x14ac:dyDescent="0.25" r="5527" customHeight="1" ht="18.75">
      <c r="A5527" s="1" t="s">
        <v>3598</v>
      </c>
      <c r="B5527" s="1" t="s">
        <v>6811</v>
      </c>
      <c r="C5527" s="1" t="s">
        <v>3600</v>
      </c>
      <c r="D5527" s="1" t="s">
        <v>7891</v>
      </c>
      <c r="E5527" s="1" t="s">
        <v>3664</v>
      </c>
      <c r="F5527" s="1" t="s">
        <v>19573</v>
      </c>
      <c r="G5527" s="1" t="s">
        <v>18233</v>
      </c>
      <c r="H5527" s="1" t="s">
        <v>3604</v>
      </c>
      <c r="I5527" s="1" t="s">
        <v>19574</v>
      </c>
      <c r="J5527" s="1" t="s">
        <v>3606</v>
      </c>
      <c r="K5527" s="1" t="s">
        <v>19575</v>
      </c>
      <c r="L5527" s="1"/>
      <c r="M5527" s="1"/>
    </row>
    <row x14ac:dyDescent="0.25" r="5528" customHeight="1" ht="18.75">
      <c r="A5528" s="1" t="s">
        <v>3598</v>
      </c>
      <c r="B5528" s="1" t="s">
        <v>9116</v>
      </c>
      <c r="C5528" s="1" t="s">
        <v>3600</v>
      </c>
      <c r="D5528" s="1" t="s">
        <v>7891</v>
      </c>
      <c r="E5528" s="1" t="s">
        <v>3752</v>
      </c>
      <c r="F5528" s="1" t="s">
        <v>19576</v>
      </c>
      <c r="G5528" s="1" t="s">
        <v>15739</v>
      </c>
      <c r="H5528" s="1" t="s">
        <v>3604</v>
      </c>
      <c r="I5528" s="1" t="s">
        <v>19577</v>
      </c>
      <c r="J5528" s="1" t="s">
        <v>3606</v>
      </c>
      <c r="K5528" s="1" t="s">
        <v>19578</v>
      </c>
      <c r="L5528" s="1"/>
      <c r="M5528" s="1"/>
    </row>
    <row x14ac:dyDescent="0.25" r="5529" customHeight="1" ht="18.75">
      <c r="A5529" s="1" t="s">
        <v>3598</v>
      </c>
      <c r="B5529" s="1" t="s">
        <v>9116</v>
      </c>
      <c r="C5529" s="1" t="s">
        <v>3600</v>
      </c>
      <c r="D5529" s="1" t="s">
        <v>7891</v>
      </c>
      <c r="E5529" s="1" t="s">
        <v>3752</v>
      </c>
      <c r="F5529" s="1" t="s">
        <v>19579</v>
      </c>
      <c r="G5529" s="1" t="s">
        <v>15739</v>
      </c>
      <c r="H5529" s="1" t="s">
        <v>3604</v>
      </c>
      <c r="I5529" s="1" t="s">
        <v>19580</v>
      </c>
      <c r="J5529" s="1" t="s">
        <v>3606</v>
      </c>
      <c r="K5529" s="1" t="s">
        <v>19581</v>
      </c>
      <c r="L5529" s="1"/>
      <c r="M5529" s="1"/>
    </row>
    <row x14ac:dyDescent="0.25" r="5530" customHeight="1" ht="18.75">
      <c r="A5530" s="1" t="s">
        <v>3598</v>
      </c>
      <c r="B5530" s="1" t="s">
        <v>9116</v>
      </c>
      <c r="C5530" s="1" t="s">
        <v>3600</v>
      </c>
      <c r="D5530" s="1" t="s">
        <v>7891</v>
      </c>
      <c r="E5530" s="1" t="s">
        <v>3752</v>
      </c>
      <c r="F5530" s="1" t="s">
        <v>19582</v>
      </c>
      <c r="G5530" s="1" t="s">
        <v>15739</v>
      </c>
      <c r="H5530" s="1" t="s">
        <v>3604</v>
      </c>
      <c r="I5530" s="1" t="s">
        <v>19583</v>
      </c>
      <c r="J5530" s="1" t="s">
        <v>3606</v>
      </c>
      <c r="K5530" s="1" t="s">
        <v>19584</v>
      </c>
      <c r="L5530" s="1"/>
      <c r="M5530" s="1"/>
    </row>
    <row x14ac:dyDescent="0.25" r="5531" customHeight="1" ht="18.75">
      <c r="A5531" s="1" t="s">
        <v>3598</v>
      </c>
      <c r="B5531" s="1" t="s">
        <v>9116</v>
      </c>
      <c r="C5531" s="1" t="s">
        <v>3600</v>
      </c>
      <c r="D5531" s="1" t="s">
        <v>7891</v>
      </c>
      <c r="E5531" s="1" t="s">
        <v>3752</v>
      </c>
      <c r="F5531" s="1" t="s">
        <v>19585</v>
      </c>
      <c r="G5531" s="1" t="s">
        <v>9209</v>
      </c>
      <c r="H5531" s="1" t="s">
        <v>3604</v>
      </c>
      <c r="I5531" s="1" t="s">
        <v>19586</v>
      </c>
      <c r="J5531" s="1" t="s">
        <v>3606</v>
      </c>
      <c r="K5531" s="1" t="s">
        <v>19587</v>
      </c>
      <c r="L5531" s="1"/>
      <c r="M5531" s="1"/>
    </row>
    <row x14ac:dyDescent="0.25" r="5532" customHeight="1" ht="18.75">
      <c r="A5532" s="1" t="s">
        <v>3598</v>
      </c>
      <c r="B5532" s="1" t="s">
        <v>9116</v>
      </c>
      <c r="C5532" s="1" t="s">
        <v>3600</v>
      </c>
      <c r="D5532" s="1" t="s">
        <v>7891</v>
      </c>
      <c r="E5532" s="1" t="s">
        <v>3752</v>
      </c>
      <c r="F5532" s="1" t="s">
        <v>19588</v>
      </c>
      <c r="G5532" s="1" t="s">
        <v>9209</v>
      </c>
      <c r="H5532" s="1" t="s">
        <v>3604</v>
      </c>
      <c r="I5532" s="1" t="s">
        <v>19589</v>
      </c>
      <c r="J5532" s="1" t="s">
        <v>3606</v>
      </c>
      <c r="K5532" s="1" t="s">
        <v>19590</v>
      </c>
      <c r="L5532" s="1"/>
      <c r="M5532" s="1"/>
    </row>
    <row x14ac:dyDescent="0.25" r="5533" customHeight="1" ht="18.75">
      <c r="A5533" s="1" t="s">
        <v>3598</v>
      </c>
      <c r="B5533" s="1" t="s">
        <v>9116</v>
      </c>
      <c r="C5533" s="1" t="s">
        <v>3600</v>
      </c>
      <c r="D5533" s="1" t="s">
        <v>7891</v>
      </c>
      <c r="E5533" s="1" t="s">
        <v>3752</v>
      </c>
      <c r="F5533" s="1" t="s">
        <v>19591</v>
      </c>
      <c r="G5533" s="1" t="s">
        <v>9209</v>
      </c>
      <c r="H5533" s="1" t="s">
        <v>3604</v>
      </c>
      <c r="I5533" s="1" t="s">
        <v>19592</v>
      </c>
      <c r="J5533" s="1" t="s">
        <v>3606</v>
      </c>
      <c r="K5533" s="1" t="s">
        <v>19593</v>
      </c>
      <c r="L5533" s="1"/>
      <c r="M5533" s="1"/>
    </row>
    <row x14ac:dyDescent="0.25" r="5534" customHeight="1" ht="18.75">
      <c r="A5534" s="1" t="s">
        <v>3598</v>
      </c>
      <c r="B5534" s="1" t="s">
        <v>9025</v>
      </c>
      <c r="C5534" s="1" t="s">
        <v>3600</v>
      </c>
      <c r="D5534" s="1" t="s">
        <v>7891</v>
      </c>
      <c r="E5534" s="1" t="s">
        <v>3664</v>
      </c>
      <c r="F5534" s="1" t="s">
        <v>19594</v>
      </c>
      <c r="G5534" s="1" t="s">
        <v>19595</v>
      </c>
      <c r="H5534" s="1" t="s">
        <v>3604</v>
      </c>
      <c r="I5534" s="1" t="s">
        <v>19596</v>
      </c>
      <c r="J5534" s="1" t="s">
        <v>3606</v>
      </c>
      <c r="K5534" s="1" t="s">
        <v>19597</v>
      </c>
      <c r="L5534" s="1"/>
      <c r="M5534" s="1"/>
    </row>
    <row x14ac:dyDescent="0.25" r="5535" customHeight="1" ht="18.75">
      <c r="A5535" s="1" t="s">
        <v>3598</v>
      </c>
      <c r="B5535" s="1" t="s">
        <v>9025</v>
      </c>
      <c r="C5535" s="1" t="s">
        <v>3600</v>
      </c>
      <c r="D5535" s="1" t="s">
        <v>7891</v>
      </c>
      <c r="E5535" s="1" t="s">
        <v>3664</v>
      </c>
      <c r="F5535" s="1" t="s">
        <v>19598</v>
      </c>
      <c r="G5535" s="1" t="s">
        <v>19595</v>
      </c>
      <c r="H5535" s="1" t="s">
        <v>3604</v>
      </c>
      <c r="I5535" s="1" t="s">
        <v>19599</v>
      </c>
      <c r="J5535" s="1" t="s">
        <v>3606</v>
      </c>
      <c r="K5535" s="1" t="s">
        <v>19600</v>
      </c>
      <c r="L5535" s="1"/>
      <c r="M5535" s="1"/>
    </row>
    <row x14ac:dyDescent="0.25" r="5536" customHeight="1" ht="18.75">
      <c r="A5536" s="1" t="s">
        <v>3598</v>
      </c>
      <c r="B5536" s="1" t="s">
        <v>9025</v>
      </c>
      <c r="C5536" s="1" t="s">
        <v>3600</v>
      </c>
      <c r="D5536" s="1" t="s">
        <v>7891</v>
      </c>
      <c r="E5536" s="1" t="s">
        <v>3664</v>
      </c>
      <c r="F5536" s="1" t="s">
        <v>19601</v>
      </c>
      <c r="G5536" s="1" t="s">
        <v>19595</v>
      </c>
      <c r="H5536" s="1" t="s">
        <v>3604</v>
      </c>
      <c r="I5536" s="1" t="s">
        <v>19602</v>
      </c>
      <c r="J5536" s="1" t="s">
        <v>3606</v>
      </c>
      <c r="K5536" s="1" t="s">
        <v>19603</v>
      </c>
      <c r="L5536" s="1"/>
      <c r="M5536" s="1"/>
    </row>
    <row x14ac:dyDescent="0.25" r="5537" customHeight="1" ht="18.75">
      <c r="A5537" s="1" t="s">
        <v>3598</v>
      </c>
      <c r="B5537" s="1" t="s">
        <v>8191</v>
      </c>
      <c r="C5537" s="1" t="s">
        <v>3600</v>
      </c>
      <c r="D5537" s="1" t="s">
        <v>7891</v>
      </c>
      <c r="E5537" s="1" t="s">
        <v>3664</v>
      </c>
      <c r="F5537" s="1" t="s">
        <v>19604</v>
      </c>
      <c r="G5537" s="1" t="s">
        <v>16424</v>
      </c>
      <c r="H5537" s="1" t="s">
        <v>3604</v>
      </c>
      <c r="I5537" s="1" t="s">
        <v>19605</v>
      </c>
      <c r="J5537" s="1" t="s">
        <v>3606</v>
      </c>
      <c r="K5537" s="1" t="s">
        <v>19606</v>
      </c>
      <c r="L5537" s="1"/>
      <c r="M5537" s="1"/>
    </row>
    <row x14ac:dyDescent="0.25" r="5538" customHeight="1" ht="18.75">
      <c r="A5538" s="1" t="s">
        <v>3598</v>
      </c>
      <c r="B5538" s="1" t="s">
        <v>18410</v>
      </c>
      <c r="C5538" s="1" t="s">
        <v>3600</v>
      </c>
      <c r="D5538" s="1" t="s">
        <v>7891</v>
      </c>
      <c r="E5538" s="1" t="s">
        <v>3664</v>
      </c>
      <c r="F5538" s="1" t="s">
        <v>19607</v>
      </c>
      <c r="G5538" s="1" t="s">
        <v>19608</v>
      </c>
      <c r="H5538" s="1" t="s">
        <v>3604</v>
      </c>
      <c r="I5538" s="1" t="s">
        <v>19609</v>
      </c>
      <c r="J5538" s="1" t="s">
        <v>3606</v>
      </c>
      <c r="K5538" s="1" t="s">
        <v>19610</v>
      </c>
      <c r="L5538" s="1"/>
      <c r="M5538" s="1"/>
    </row>
    <row x14ac:dyDescent="0.25" r="5539" customHeight="1" ht="18.75">
      <c r="A5539" s="1" t="s">
        <v>3598</v>
      </c>
      <c r="B5539" s="1" t="s">
        <v>6954</v>
      </c>
      <c r="C5539" s="1" t="s">
        <v>3600</v>
      </c>
      <c r="D5539" s="1" t="s">
        <v>7891</v>
      </c>
      <c r="E5539" s="1" t="s">
        <v>3752</v>
      </c>
      <c r="F5539" s="1" t="s">
        <v>19611</v>
      </c>
      <c r="G5539" s="1" t="s">
        <v>19612</v>
      </c>
      <c r="H5539" s="1" t="s">
        <v>3604</v>
      </c>
      <c r="I5539" s="1" t="s">
        <v>19613</v>
      </c>
      <c r="J5539" s="1" t="s">
        <v>3606</v>
      </c>
      <c r="K5539" s="1" t="s">
        <v>19614</v>
      </c>
      <c r="L5539" s="1"/>
      <c r="M5539" s="1"/>
    </row>
    <row x14ac:dyDescent="0.25" r="5540" customHeight="1" ht="18.75">
      <c r="A5540" s="1" t="s">
        <v>3598</v>
      </c>
      <c r="B5540" s="1" t="s">
        <v>19615</v>
      </c>
      <c r="C5540" s="1" t="s">
        <v>3600</v>
      </c>
      <c r="D5540" s="1" t="s">
        <v>7891</v>
      </c>
      <c r="E5540" s="1" t="s">
        <v>3664</v>
      </c>
      <c r="F5540" s="1" t="s">
        <v>19616</v>
      </c>
      <c r="G5540" s="1" t="s">
        <v>19617</v>
      </c>
      <c r="H5540" s="1" t="s">
        <v>3604</v>
      </c>
      <c r="I5540" s="1" t="s">
        <v>19618</v>
      </c>
      <c r="J5540" s="1" t="s">
        <v>3606</v>
      </c>
      <c r="K5540" s="1" t="s">
        <v>19619</v>
      </c>
      <c r="L5540" s="1"/>
      <c r="M5540" s="1"/>
    </row>
    <row x14ac:dyDescent="0.25" r="5541" customHeight="1" ht="18.75">
      <c r="A5541" s="1" t="s">
        <v>3598</v>
      </c>
      <c r="B5541" s="1" t="s">
        <v>19615</v>
      </c>
      <c r="C5541" s="1" t="s">
        <v>3600</v>
      </c>
      <c r="D5541" s="1" t="s">
        <v>7891</v>
      </c>
      <c r="E5541" s="1" t="s">
        <v>3664</v>
      </c>
      <c r="F5541" s="1" t="s">
        <v>19620</v>
      </c>
      <c r="G5541" s="1" t="s">
        <v>19617</v>
      </c>
      <c r="H5541" s="1" t="s">
        <v>3604</v>
      </c>
      <c r="I5541" s="1" t="s">
        <v>19621</v>
      </c>
      <c r="J5541" s="1" t="s">
        <v>3606</v>
      </c>
      <c r="K5541" s="1" t="s">
        <v>19622</v>
      </c>
      <c r="L5541" s="1"/>
      <c r="M5541" s="1"/>
    </row>
    <row x14ac:dyDescent="0.25" r="5542" customHeight="1" ht="18.75">
      <c r="A5542" s="1" t="s">
        <v>3598</v>
      </c>
      <c r="B5542" s="1" t="s">
        <v>19615</v>
      </c>
      <c r="C5542" s="1" t="s">
        <v>3600</v>
      </c>
      <c r="D5542" s="1" t="s">
        <v>7891</v>
      </c>
      <c r="E5542" s="1" t="s">
        <v>3664</v>
      </c>
      <c r="F5542" s="1" t="s">
        <v>19623</v>
      </c>
      <c r="G5542" s="1" t="s">
        <v>19617</v>
      </c>
      <c r="H5542" s="1" t="s">
        <v>3604</v>
      </c>
      <c r="I5542" s="1" t="s">
        <v>19624</v>
      </c>
      <c r="J5542" s="1" t="s">
        <v>3606</v>
      </c>
      <c r="K5542" s="1" t="s">
        <v>19625</v>
      </c>
      <c r="L5542" s="1"/>
      <c r="M5542" s="1"/>
    </row>
    <row x14ac:dyDescent="0.25" r="5543" customHeight="1" ht="18.75">
      <c r="A5543" s="1" t="s">
        <v>3598</v>
      </c>
      <c r="B5543" s="1" t="s">
        <v>6954</v>
      </c>
      <c r="C5543" s="1" t="s">
        <v>3600</v>
      </c>
      <c r="D5543" s="1" t="s">
        <v>7891</v>
      </c>
      <c r="E5543" s="1" t="s">
        <v>3893</v>
      </c>
      <c r="F5543" s="1" t="s">
        <v>19626</v>
      </c>
      <c r="G5543" s="1" t="s">
        <v>14139</v>
      </c>
      <c r="H5543" s="1" t="s">
        <v>3604</v>
      </c>
      <c r="I5543" s="1" t="s">
        <v>19627</v>
      </c>
      <c r="J5543" s="1" t="s">
        <v>3606</v>
      </c>
      <c r="K5543" s="1" t="s">
        <v>19628</v>
      </c>
      <c r="L5543" s="1"/>
      <c r="M5543" s="1"/>
    </row>
    <row x14ac:dyDescent="0.25" r="5544" customHeight="1" ht="18.75">
      <c r="A5544" s="1" t="s">
        <v>3598</v>
      </c>
      <c r="B5544" s="1" t="s">
        <v>6954</v>
      </c>
      <c r="C5544" s="1" t="s">
        <v>3600</v>
      </c>
      <c r="D5544" s="1" t="s">
        <v>7891</v>
      </c>
      <c r="E5544" s="1" t="s">
        <v>3893</v>
      </c>
      <c r="F5544" s="1" t="s">
        <v>19629</v>
      </c>
      <c r="G5544" s="1" t="s">
        <v>14139</v>
      </c>
      <c r="H5544" s="1" t="s">
        <v>3604</v>
      </c>
      <c r="I5544" s="1" t="s">
        <v>19630</v>
      </c>
      <c r="J5544" s="1" t="s">
        <v>3606</v>
      </c>
      <c r="K5544" s="1" t="s">
        <v>19631</v>
      </c>
      <c r="L5544" s="1"/>
      <c r="M5544" s="1"/>
    </row>
    <row x14ac:dyDescent="0.25" r="5545" customHeight="1" ht="18.75">
      <c r="A5545" s="1" t="s">
        <v>3598</v>
      </c>
      <c r="B5545" s="1" t="s">
        <v>6954</v>
      </c>
      <c r="C5545" s="1" t="s">
        <v>3600</v>
      </c>
      <c r="D5545" s="1" t="s">
        <v>7891</v>
      </c>
      <c r="E5545" s="1" t="s">
        <v>3893</v>
      </c>
      <c r="F5545" s="1" t="s">
        <v>19632</v>
      </c>
      <c r="G5545" s="1" t="s">
        <v>14139</v>
      </c>
      <c r="H5545" s="1" t="s">
        <v>3604</v>
      </c>
      <c r="I5545" s="1" t="s">
        <v>19633</v>
      </c>
      <c r="J5545" s="1" t="s">
        <v>3606</v>
      </c>
      <c r="K5545" s="1" t="s">
        <v>19634</v>
      </c>
      <c r="L5545" s="1"/>
      <c r="M5545" s="1"/>
    </row>
    <row x14ac:dyDescent="0.25" r="5546" customHeight="1" ht="18.75">
      <c r="A5546" s="1" t="s">
        <v>3598</v>
      </c>
      <c r="B5546" s="1" t="s">
        <v>9344</v>
      </c>
      <c r="C5546" s="1" t="s">
        <v>3600</v>
      </c>
      <c r="D5546" s="1" t="s">
        <v>7891</v>
      </c>
      <c r="E5546" s="1" t="s">
        <v>3664</v>
      </c>
      <c r="F5546" s="1" t="s">
        <v>19635</v>
      </c>
      <c r="G5546" s="1" t="s">
        <v>19636</v>
      </c>
      <c r="H5546" s="1" t="s">
        <v>3604</v>
      </c>
      <c r="I5546" s="1" t="s">
        <v>19637</v>
      </c>
      <c r="J5546" s="1" t="s">
        <v>3606</v>
      </c>
      <c r="K5546" s="1" t="s">
        <v>19638</v>
      </c>
      <c r="L5546" s="1"/>
      <c r="M5546" s="1"/>
    </row>
    <row x14ac:dyDescent="0.25" r="5547" customHeight="1" ht="18.75">
      <c r="A5547" s="1" t="s">
        <v>3598</v>
      </c>
      <c r="B5547" s="1" t="s">
        <v>9344</v>
      </c>
      <c r="C5547" s="1" t="s">
        <v>3600</v>
      </c>
      <c r="D5547" s="1" t="s">
        <v>7891</v>
      </c>
      <c r="E5547" s="1" t="s">
        <v>3664</v>
      </c>
      <c r="F5547" s="1" t="s">
        <v>19639</v>
      </c>
      <c r="G5547" s="1" t="s">
        <v>19636</v>
      </c>
      <c r="H5547" s="1" t="s">
        <v>3604</v>
      </c>
      <c r="I5547" s="1" t="s">
        <v>19640</v>
      </c>
      <c r="J5547" s="1" t="s">
        <v>3606</v>
      </c>
      <c r="K5547" s="1" t="s">
        <v>19641</v>
      </c>
      <c r="L5547" s="1"/>
      <c r="M5547" s="1"/>
    </row>
    <row x14ac:dyDescent="0.25" r="5548" customHeight="1" ht="18.75">
      <c r="A5548" s="1" t="s">
        <v>3598</v>
      </c>
      <c r="B5548" s="1" t="s">
        <v>19642</v>
      </c>
      <c r="C5548" s="1" t="s">
        <v>3600</v>
      </c>
      <c r="D5548" s="1" t="s">
        <v>7891</v>
      </c>
      <c r="E5548" s="1" t="s">
        <v>3752</v>
      </c>
      <c r="F5548" s="1" t="s">
        <v>19643</v>
      </c>
      <c r="G5548" s="1" t="s">
        <v>19644</v>
      </c>
      <c r="H5548" s="1" t="s">
        <v>3604</v>
      </c>
      <c r="I5548" s="1" t="s">
        <v>19645</v>
      </c>
      <c r="J5548" s="1" t="s">
        <v>3606</v>
      </c>
      <c r="K5548" s="1" t="s">
        <v>19646</v>
      </c>
      <c r="L5548" s="1"/>
      <c r="M5548" s="1"/>
    </row>
    <row x14ac:dyDescent="0.25" r="5549" customHeight="1" ht="18.75">
      <c r="A5549" s="1" t="s">
        <v>3598</v>
      </c>
      <c r="B5549" s="1" t="s">
        <v>19642</v>
      </c>
      <c r="C5549" s="1" t="s">
        <v>3600</v>
      </c>
      <c r="D5549" s="1" t="s">
        <v>7891</v>
      </c>
      <c r="E5549" s="1" t="s">
        <v>3752</v>
      </c>
      <c r="F5549" s="1" t="s">
        <v>19647</v>
      </c>
      <c r="G5549" s="1" t="s">
        <v>19644</v>
      </c>
      <c r="H5549" s="1" t="s">
        <v>3604</v>
      </c>
      <c r="I5549" s="1" t="s">
        <v>19648</v>
      </c>
      <c r="J5549" s="1" t="s">
        <v>3606</v>
      </c>
      <c r="K5549" s="1" t="s">
        <v>19649</v>
      </c>
      <c r="L5549" s="1"/>
      <c r="M5549" s="1"/>
    </row>
    <row x14ac:dyDescent="0.25" r="5550" customHeight="1" ht="18.75">
      <c r="A5550" s="1" t="s">
        <v>3598</v>
      </c>
      <c r="B5550" s="1" t="s">
        <v>19642</v>
      </c>
      <c r="C5550" s="1" t="s">
        <v>3600</v>
      </c>
      <c r="D5550" s="1" t="s">
        <v>7891</v>
      </c>
      <c r="E5550" s="1" t="s">
        <v>3752</v>
      </c>
      <c r="F5550" s="1" t="s">
        <v>19650</v>
      </c>
      <c r="G5550" s="1" t="s">
        <v>19644</v>
      </c>
      <c r="H5550" s="1" t="s">
        <v>3604</v>
      </c>
      <c r="I5550" s="1" t="s">
        <v>19651</v>
      </c>
      <c r="J5550" s="1" t="s">
        <v>3606</v>
      </c>
      <c r="K5550" s="1" t="s">
        <v>19652</v>
      </c>
      <c r="L5550" s="1"/>
      <c r="M5550" s="1"/>
    </row>
    <row x14ac:dyDescent="0.25" r="5551" customHeight="1" ht="18.75">
      <c r="A5551" s="1" t="s">
        <v>3598</v>
      </c>
      <c r="B5551" s="1" t="s">
        <v>14054</v>
      </c>
      <c r="C5551" s="1" t="s">
        <v>3600</v>
      </c>
      <c r="D5551" s="1" t="s">
        <v>7891</v>
      </c>
      <c r="E5551" s="1" t="s">
        <v>3664</v>
      </c>
      <c r="F5551" s="1" t="s">
        <v>19653</v>
      </c>
      <c r="G5551" s="1" t="s">
        <v>19654</v>
      </c>
      <c r="H5551" s="1" t="s">
        <v>3604</v>
      </c>
      <c r="I5551" s="1" t="s">
        <v>19655</v>
      </c>
      <c r="J5551" s="1" t="s">
        <v>3606</v>
      </c>
      <c r="K5551" s="1" t="s">
        <v>19656</v>
      </c>
      <c r="L5551" s="1"/>
      <c r="M5551" s="1"/>
    </row>
    <row x14ac:dyDescent="0.25" r="5552" customHeight="1" ht="18.75">
      <c r="A5552" s="1" t="s">
        <v>3598</v>
      </c>
      <c r="B5552" s="1" t="s">
        <v>14054</v>
      </c>
      <c r="C5552" s="1" t="s">
        <v>3600</v>
      </c>
      <c r="D5552" s="1" t="s">
        <v>7891</v>
      </c>
      <c r="E5552" s="1" t="s">
        <v>3664</v>
      </c>
      <c r="F5552" s="1" t="s">
        <v>19657</v>
      </c>
      <c r="G5552" s="1" t="s">
        <v>19654</v>
      </c>
      <c r="H5552" s="1" t="s">
        <v>3604</v>
      </c>
      <c r="I5552" s="1" t="s">
        <v>19658</v>
      </c>
      <c r="J5552" s="1" t="s">
        <v>3606</v>
      </c>
      <c r="K5552" s="1" t="s">
        <v>19659</v>
      </c>
      <c r="L5552" s="1"/>
      <c r="M5552" s="1"/>
    </row>
    <row x14ac:dyDescent="0.25" r="5553" customHeight="1" ht="18.75">
      <c r="A5553" s="1" t="s">
        <v>3598</v>
      </c>
      <c r="B5553" s="1" t="s">
        <v>14054</v>
      </c>
      <c r="C5553" s="1" t="s">
        <v>3600</v>
      </c>
      <c r="D5553" s="1" t="s">
        <v>7891</v>
      </c>
      <c r="E5553" s="1" t="s">
        <v>3664</v>
      </c>
      <c r="F5553" s="1" t="s">
        <v>19660</v>
      </c>
      <c r="G5553" s="1" t="s">
        <v>19654</v>
      </c>
      <c r="H5553" s="1" t="s">
        <v>3604</v>
      </c>
      <c r="I5553" s="1" t="s">
        <v>19661</v>
      </c>
      <c r="J5553" s="1" t="s">
        <v>3606</v>
      </c>
      <c r="K5553" s="1" t="s">
        <v>19662</v>
      </c>
      <c r="L5553" s="1"/>
      <c r="M5553" s="1"/>
    </row>
    <row x14ac:dyDescent="0.25" r="5554" customHeight="1" ht="18.75">
      <c r="A5554" s="1" t="s">
        <v>3598</v>
      </c>
      <c r="B5554" s="1" t="s">
        <v>9582</v>
      </c>
      <c r="C5554" s="1" t="s">
        <v>3600</v>
      </c>
      <c r="D5554" s="1" t="s">
        <v>7891</v>
      </c>
      <c r="E5554" s="1" t="s">
        <v>3752</v>
      </c>
      <c r="F5554" s="1" t="s">
        <v>19663</v>
      </c>
      <c r="G5554" s="1" t="s">
        <v>19664</v>
      </c>
      <c r="H5554" s="1" t="s">
        <v>3604</v>
      </c>
      <c r="I5554" s="1" t="s">
        <v>19665</v>
      </c>
      <c r="J5554" s="1" t="s">
        <v>3606</v>
      </c>
      <c r="K5554" s="1" t="s">
        <v>19666</v>
      </c>
      <c r="L5554" s="1"/>
      <c r="M5554" s="1"/>
    </row>
    <row x14ac:dyDescent="0.25" r="5555" customHeight="1" ht="18.75">
      <c r="A5555" s="1" t="s">
        <v>3598</v>
      </c>
      <c r="B5555" s="1" t="s">
        <v>9582</v>
      </c>
      <c r="C5555" s="1" t="s">
        <v>3600</v>
      </c>
      <c r="D5555" s="1" t="s">
        <v>7891</v>
      </c>
      <c r="E5555" s="1" t="s">
        <v>3752</v>
      </c>
      <c r="F5555" s="1" t="s">
        <v>19667</v>
      </c>
      <c r="G5555" s="1" t="s">
        <v>19664</v>
      </c>
      <c r="H5555" s="1" t="s">
        <v>3604</v>
      </c>
      <c r="I5555" s="1" t="s">
        <v>19668</v>
      </c>
      <c r="J5555" s="1" t="s">
        <v>3606</v>
      </c>
      <c r="K5555" s="1" t="s">
        <v>19669</v>
      </c>
      <c r="L5555" s="1"/>
      <c r="M5555" s="1"/>
    </row>
    <row x14ac:dyDescent="0.25" r="5556" customHeight="1" ht="18.75">
      <c r="A5556" s="1" t="s">
        <v>3598</v>
      </c>
      <c r="B5556" s="1" t="s">
        <v>9582</v>
      </c>
      <c r="C5556" s="1" t="s">
        <v>3600</v>
      </c>
      <c r="D5556" s="1" t="s">
        <v>7891</v>
      </c>
      <c r="E5556" s="1" t="s">
        <v>3752</v>
      </c>
      <c r="F5556" s="1" t="s">
        <v>19670</v>
      </c>
      <c r="G5556" s="1" t="s">
        <v>19664</v>
      </c>
      <c r="H5556" s="1" t="s">
        <v>3604</v>
      </c>
      <c r="I5556" s="1" t="s">
        <v>19671</v>
      </c>
      <c r="J5556" s="1" t="s">
        <v>3606</v>
      </c>
      <c r="K5556" s="1" t="s">
        <v>19672</v>
      </c>
      <c r="L5556" s="1"/>
      <c r="M5556" s="1"/>
    </row>
    <row x14ac:dyDescent="0.25" r="5557" customHeight="1" ht="18.75">
      <c r="A5557" s="1" t="s">
        <v>3598</v>
      </c>
      <c r="B5557" s="1" t="s">
        <v>9582</v>
      </c>
      <c r="C5557" s="1" t="s">
        <v>3600</v>
      </c>
      <c r="D5557" s="1" t="s">
        <v>7891</v>
      </c>
      <c r="E5557" s="1" t="s">
        <v>3752</v>
      </c>
      <c r="F5557" s="1" t="s">
        <v>19673</v>
      </c>
      <c r="G5557" s="1" t="s">
        <v>19674</v>
      </c>
      <c r="H5557" s="1" t="s">
        <v>3604</v>
      </c>
      <c r="I5557" s="1" t="s">
        <v>19675</v>
      </c>
      <c r="J5557" s="1" t="s">
        <v>3606</v>
      </c>
      <c r="K5557" s="1" t="s">
        <v>19676</v>
      </c>
      <c r="L5557" s="1"/>
      <c r="M5557" s="1"/>
    </row>
    <row x14ac:dyDescent="0.25" r="5558" customHeight="1" ht="18.75">
      <c r="A5558" s="1" t="s">
        <v>3598</v>
      </c>
      <c r="B5558" s="1" t="s">
        <v>9582</v>
      </c>
      <c r="C5558" s="1" t="s">
        <v>3600</v>
      </c>
      <c r="D5558" s="1" t="s">
        <v>7891</v>
      </c>
      <c r="E5558" s="1" t="s">
        <v>3752</v>
      </c>
      <c r="F5558" s="1" t="s">
        <v>19677</v>
      </c>
      <c r="G5558" s="1" t="s">
        <v>19674</v>
      </c>
      <c r="H5558" s="1" t="s">
        <v>3604</v>
      </c>
      <c r="I5558" s="1" t="s">
        <v>19678</v>
      </c>
      <c r="J5558" s="1" t="s">
        <v>3606</v>
      </c>
      <c r="K5558" s="1" t="s">
        <v>19679</v>
      </c>
      <c r="L5558" s="1"/>
      <c r="M5558" s="1"/>
    </row>
    <row x14ac:dyDescent="0.25" r="5559" customHeight="1" ht="18.75">
      <c r="A5559" s="1" t="s">
        <v>3598</v>
      </c>
      <c r="B5559" s="1" t="s">
        <v>9582</v>
      </c>
      <c r="C5559" s="1" t="s">
        <v>3600</v>
      </c>
      <c r="D5559" s="1" t="s">
        <v>7891</v>
      </c>
      <c r="E5559" s="1" t="s">
        <v>3752</v>
      </c>
      <c r="F5559" s="1" t="s">
        <v>19680</v>
      </c>
      <c r="G5559" s="1" t="s">
        <v>19674</v>
      </c>
      <c r="H5559" s="1" t="s">
        <v>3604</v>
      </c>
      <c r="I5559" s="1" t="s">
        <v>19681</v>
      </c>
      <c r="J5559" s="1" t="s">
        <v>3606</v>
      </c>
      <c r="K5559" s="1" t="s">
        <v>19682</v>
      </c>
      <c r="L5559" s="1"/>
      <c r="M5559" s="1"/>
    </row>
    <row x14ac:dyDescent="0.25" r="5560" customHeight="1" ht="18.75">
      <c r="A5560" s="1" t="s">
        <v>3598</v>
      </c>
      <c r="B5560" s="1" t="s">
        <v>14115</v>
      </c>
      <c r="C5560" s="1" t="s">
        <v>3600</v>
      </c>
      <c r="D5560" s="1" t="s">
        <v>7891</v>
      </c>
      <c r="E5560" s="1" t="s">
        <v>3664</v>
      </c>
      <c r="F5560" s="1" t="s">
        <v>19683</v>
      </c>
      <c r="G5560" s="1" t="s">
        <v>18051</v>
      </c>
      <c r="H5560" s="1" t="s">
        <v>3604</v>
      </c>
      <c r="I5560" s="1" t="s">
        <v>19684</v>
      </c>
      <c r="J5560" s="1" t="s">
        <v>3606</v>
      </c>
      <c r="K5560" s="1" t="s">
        <v>19685</v>
      </c>
      <c r="L5560" s="1"/>
      <c r="M5560" s="1"/>
    </row>
    <row x14ac:dyDescent="0.25" r="5561" customHeight="1" ht="18.75">
      <c r="A5561" s="1" t="s">
        <v>3598</v>
      </c>
      <c r="B5561" s="1" t="s">
        <v>14115</v>
      </c>
      <c r="C5561" s="1" t="s">
        <v>3600</v>
      </c>
      <c r="D5561" s="1" t="s">
        <v>7891</v>
      </c>
      <c r="E5561" s="1" t="s">
        <v>3664</v>
      </c>
      <c r="F5561" s="1" t="s">
        <v>19686</v>
      </c>
      <c r="G5561" s="1" t="s">
        <v>18051</v>
      </c>
      <c r="H5561" s="1" t="s">
        <v>3604</v>
      </c>
      <c r="I5561" s="1" t="s">
        <v>19687</v>
      </c>
      <c r="J5561" s="1" t="s">
        <v>3606</v>
      </c>
      <c r="K5561" s="1" t="s">
        <v>19688</v>
      </c>
      <c r="L5561" s="1"/>
      <c r="M5561" s="1"/>
    </row>
    <row x14ac:dyDescent="0.25" r="5562" customHeight="1" ht="18.75">
      <c r="A5562" s="1" t="s">
        <v>3598</v>
      </c>
      <c r="B5562" s="1" t="s">
        <v>14115</v>
      </c>
      <c r="C5562" s="1" t="s">
        <v>3600</v>
      </c>
      <c r="D5562" s="1" t="s">
        <v>7891</v>
      </c>
      <c r="E5562" s="1" t="s">
        <v>3664</v>
      </c>
      <c r="F5562" s="1" t="s">
        <v>19689</v>
      </c>
      <c r="G5562" s="1" t="s">
        <v>18051</v>
      </c>
      <c r="H5562" s="1" t="s">
        <v>3604</v>
      </c>
      <c r="I5562" s="1" t="s">
        <v>19690</v>
      </c>
      <c r="J5562" s="1" t="s">
        <v>3606</v>
      </c>
      <c r="K5562" s="1" t="s">
        <v>19691</v>
      </c>
      <c r="L5562" s="1"/>
      <c r="M5562" s="1"/>
    </row>
    <row x14ac:dyDescent="0.25" r="5563" customHeight="1" ht="18.75">
      <c r="A5563" s="1" t="s">
        <v>3598</v>
      </c>
      <c r="B5563" s="1" t="s">
        <v>3778</v>
      </c>
      <c r="C5563" s="1" t="s">
        <v>3600</v>
      </c>
      <c r="D5563" s="1" t="s">
        <v>7891</v>
      </c>
      <c r="E5563" s="1" t="s">
        <v>3664</v>
      </c>
      <c r="F5563" s="1" t="s">
        <v>19692</v>
      </c>
      <c r="G5563" s="1" t="s">
        <v>8653</v>
      </c>
      <c r="H5563" s="1" t="s">
        <v>3604</v>
      </c>
      <c r="I5563" s="1" t="s">
        <v>19693</v>
      </c>
      <c r="J5563" s="1" t="s">
        <v>3606</v>
      </c>
      <c r="K5563" s="1" t="s">
        <v>19694</v>
      </c>
      <c r="L5563" s="1"/>
      <c r="M5563" s="1"/>
    </row>
    <row x14ac:dyDescent="0.25" r="5564" customHeight="1" ht="18.75">
      <c r="A5564" s="1" t="s">
        <v>3598</v>
      </c>
      <c r="B5564" s="1" t="s">
        <v>3778</v>
      </c>
      <c r="C5564" s="1" t="s">
        <v>3600</v>
      </c>
      <c r="D5564" s="1" t="s">
        <v>7891</v>
      </c>
      <c r="E5564" s="1" t="s">
        <v>3664</v>
      </c>
      <c r="F5564" s="1" t="s">
        <v>19695</v>
      </c>
      <c r="G5564" s="1" t="s">
        <v>8653</v>
      </c>
      <c r="H5564" s="1" t="s">
        <v>3604</v>
      </c>
      <c r="I5564" s="1" t="s">
        <v>19696</v>
      </c>
      <c r="J5564" s="1" t="s">
        <v>3606</v>
      </c>
      <c r="K5564" s="1" t="s">
        <v>19697</v>
      </c>
      <c r="L5564" s="1"/>
      <c r="M5564" s="1"/>
    </row>
    <row x14ac:dyDescent="0.25" r="5565" customHeight="1" ht="18.75">
      <c r="A5565" s="1" t="s">
        <v>3598</v>
      </c>
      <c r="B5565" s="1" t="s">
        <v>3778</v>
      </c>
      <c r="C5565" s="1" t="s">
        <v>3600</v>
      </c>
      <c r="D5565" s="1" t="s">
        <v>7891</v>
      </c>
      <c r="E5565" s="1" t="s">
        <v>3664</v>
      </c>
      <c r="F5565" s="1" t="s">
        <v>19698</v>
      </c>
      <c r="G5565" s="1" t="s">
        <v>19699</v>
      </c>
      <c r="H5565" s="1" t="s">
        <v>3604</v>
      </c>
      <c r="I5565" s="1" t="s">
        <v>19700</v>
      </c>
      <c r="J5565" s="1" t="s">
        <v>3606</v>
      </c>
      <c r="K5565" s="1" t="s">
        <v>19701</v>
      </c>
      <c r="L5565" s="1"/>
      <c r="M5565" s="1"/>
    </row>
    <row x14ac:dyDescent="0.25" r="5566" customHeight="1" ht="18.75">
      <c r="A5566" s="1" t="s">
        <v>3598</v>
      </c>
      <c r="B5566" s="1" t="s">
        <v>3778</v>
      </c>
      <c r="C5566" s="1" t="s">
        <v>3600</v>
      </c>
      <c r="D5566" s="1" t="s">
        <v>7891</v>
      </c>
      <c r="E5566" s="1" t="s">
        <v>3664</v>
      </c>
      <c r="F5566" s="1" t="s">
        <v>19702</v>
      </c>
      <c r="G5566" s="1" t="s">
        <v>19703</v>
      </c>
      <c r="H5566" s="1" t="s">
        <v>3604</v>
      </c>
      <c r="I5566" s="1" t="s">
        <v>19704</v>
      </c>
      <c r="J5566" s="1" t="s">
        <v>3606</v>
      </c>
      <c r="K5566" s="1" t="s">
        <v>19705</v>
      </c>
      <c r="L5566" s="1"/>
      <c r="M5566" s="1"/>
    </row>
    <row x14ac:dyDescent="0.25" r="5567" customHeight="1" ht="18.75">
      <c r="A5567" s="1" t="s">
        <v>3598</v>
      </c>
      <c r="B5567" s="1" t="s">
        <v>3778</v>
      </c>
      <c r="C5567" s="1" t="s">
        <v>3600</v>
      </c>
      <c r="D5567" s="1" t="s">
        <v>7891</v>
      </c>
      <c r="E5567" s="1" t="s">
        <v>3664</v>
      </c>
      <c r="F5567" s="1" t="s">
        <v>19706</v>
      </c>
      <c r="G5567" s="1" t="s">
        <v>19703</v>
      </c>
      <c r="H5567" s="1" t="s">
        <v>3604</v>
      </c>
      <c r="I5567" s="1" t="s">
        <v>19707</v>
      </c>
      <c r="J5567" s="1" t="s">
        <v>3606</v>
      </c>
      <c r="K5567" s="1" t="s">
        <v>19708</v>
      </c>
      <c r="L5567" s="1"/>
      <c r="M5567" s="1"/>
    </row>
    <row x14ac:dyDescent="0.25" r="5568" customHeight="1" ht="18.75">
      <c r="A5568" s="1" t="s">
        <v>3598</v>
      </c>
      <c r="B5568" s="1" t="s">
        <v>9020</v>
      </c>
      <c r="C5568" s="1" t="s">
        <v>3600</v>
      </c>
      <c r="D5568" s="1" t="s">
        <v>7891</v>
      </c>
      <c r="E5568" s="1" t="s">
        <v>3664</v>
      </c>
      <c r="F5568" s="1" t="s">
        <v>19709</v>
      </c>
      <c r="G5568" s="1" t="s">
        <v>13944</v>
      </c>
      <c r="H5568" s="1" t="s">
        <v>3604</v>
      </c>
      <c r="I5568" s="1" t="s">
        <v>19710</v>
      </c>
      <c r="J5568" s="1" t="s">
        <v>3606</v>
      </c>
      <c r="K5568" s="1" t="s">
        <v>19711</v>
      </c>
      <c r="L5568" s="1"/>
      <c r="M5568" s="1"/>
    </row>
    <row x14ac:dyDescent="0.25" r="5569" customHeight="1" ht="18.75">
      <c r="A5569" s="1" t="s">
        <v>3598</v>
      </c>
      <c r="B5569" s="1" t="s">
        <v>9020</v>
      </c>
      <c r="C5569" s="1" t="s">
        <v>3600</v>
      </c>
      <c r="D5569" s="1" t="s">
        <v>7891</v>
      </c>
      <c r="E5569" s="1" t="s">
        <v>3664</v>
      </c>
      <c r="F5569" s="1" t="s">
        <v>19712</v>
      </c>
      <c r="G5569" s="1" t="s">
        <v>13944</v>
      </c>
      <c r="H5569" s="1" t="s">
        <v>3604</v>
      </c>
      <c r="I5569" s="1" t="s">
        <v>19713</v>
      </c>
      <c r="J5569" s="1" t="s">
        <v>3606</v>
      </c>
      <c r="K5569" s="1" t="s">
        <v>19714</v>
      </c>
      <c r="L5569" s="1"/>
      <c r="M5569" s="1"/>
    </row>
    <row x14ac:dyDescent="0.25" r="5570" customHeight="1" ht="18.75">
      <c r="A5570" s="1" t="s">
        <v>3598</v>
      </c>
      <c r="B5570" s="1" t="s">
        <v>9020</v>
      </c>
      <c r="C5570" s="1" t="s">
        <v>3600</v>
      </c>
      <c r="D5570" s="1" t="s">
        <v>7891</v>
      </c>
      <c r="E5570" s="1" t="s">
        <v>3664</v>
      </c>
      <c r="F5570" s="1" t="s">
        <v>19715</v>
      </c>
      <c r="G5570" s="1" t="s">
        <v>13944</v>
      </c>
      <c r="H5570" s="1" t="s">
        <v>3604</v>
      </c>
      <c r="I5570" s="1" t="s">
        <v>19716</v>
      </c>
      <c r="J5570" s="1" t="s">
        <v>3606</v>
      </c>
      <c r="K5570" s="1" t="s">
        <v>19717</v>
      </c>
      <c r="L5570" s="1"/>
      <c r="M5570" s="1"/>
    </row>
    <row x14ac:dyDescent="0.25" r="5571" customHeight="1" ht="18.75">
      <c r="A5571" s="1" t="s">
        <v>3598</v>
      </c>
      <c r="B5571" s="1" t="s">
        <v>5252</v>
      </c>
      <c r="C5571" s="1" t="s">
        <v>3600</v>
      </c>
      <c r="D5571" s="1" t="s">
        <v>7891</v>
      </c>
      <c r="E5571" s="1" t="s">
        <v>3664</v>
      </c>
      <c r="F5571" s="1" t="s">
        <v>19718</v>
      </c>
      <c r="G5571" s="1" t="s">
        <v>19719</v>
      </c>
      <c r="H5571" s="1" t="s">
        <v>3604</v>
      </c>
      <c r="I5571" s="1" t="s">
        <v>19720</v>
      </c>
      <c r="J5571" s="1" t="s">
        <v>3606</v>
      </c>
      <c r="K5571" s="1" t="s">
        <v>19721</v>
      </c>
      <c r="L5571" s="1"/>
      <c r="M5571" s="1"/>
    </row>
    <row x14ac:dyDescent="0.25" r="5572" customHeight="1" ht="18.75">
      <c r="A5572" s="1" t="s">
        <v>3598</v>
      </c>
      <c r="B5572" s="1" t="s">
        <v>5252</v>
      </c>
      <c r="C5572" s="1" t="s">
        <v>3600</v>
      </c>
      <c r="D5572" s="1" t="s">
        <v>7891</v>
      </c>
      <c r="E5572" s="1" t="s">
        <v>3664</v>
      </c>
      <c r="F5572" s="1" t="s">
        <v>19722</v>
      </c>
      <c r="G5572" s="1" t="s">
        <v>19719</v>
      </c>
      <c r="H5572" s="1" t="s">
        <v>3604</v>
      </c>
      <c r="I5572" s="1" t="s">
        <v>19723</v>
      </c>
      <c r="J5572" s="1" t="s">
        <v>3606</v>
      </c>
      <c r="K5572" s="1" t="s">
        <v>19724</v>
      </c>
      <c r="L5572" s="1"/>
      <c r="M5572" s="1"/>
    </row>
    <row x14ac:dyDescent="0.25" r="5573" customHeight="1" ht="18.75">
      <c r="A5573" s="1" t="s">
        <v>3598</v>
      </c>
      <c r="B5573" s="1" t="s">
        <v>5252</v>
      </c>
      <c r="C5573" s="1" t="s">
        <v>3600</v>
      </c>
      <c r="D5573" s="1" t="s">
        <v>7891</v>
      </c>
      <c r="E5573" s="1" t="s">
        <v>3664</v>
      </c>
      <c r="F5573" s="1" t="s">
        <v>19725</v>
      </c>
      <c r="G5573" s="1" t="s">
        <v>19719</v>
      </c>
      <c r="H5573" s="1" t="s">
        <v>3604</v>
      </c>
      <c r="I5573" s="1" t="s">
        <v>19726</v>
      </c>
      <c r="J5573" s="1" t="s">
        <v>3606</v>
      </c>
      <c r="K5573" s="1" t="s">
        <v>19727</v>
      </c>
      <c r="L5573" s="1"/>
      <c r="M5573" s="1"/>
    </row>
    <row x14ac:dyDescent="0.25" r="5574" customHeight="1" ht="18.75">
      <c r="A5574" s="1" t="s">
        <v>3598</v>
      </c>
      <c r="B5574" s="1" t="s">
        <v>6728</v>
      </c>
      <c r="C5574" s="1" t="s">
        <v>3600</v>
      </c>
      <c r="D5574" s="1" t="s">
        <v>7891</v>
      </c>
      <c r="E5574" s="1" t="s">
        <v>3664</v>
      </c>
      <c r="F5574" s="1" t="s">
        <v>19728</v>
      </c>
      <c r="G5574" s="1" t="s">
        <v>3686</v>
      </c>
      <c r="H5574" s="1" t="s">
        <v>3604</v>
      </c>
      <c r="I5574" s="1" t="s">
        <v>19729</v>
      </c>
      <c r="J5574" s="1" t="s">
        <v>3606</v>
      </c>
      <c r="K5574" s="1" t="s">
        <v>19730</v>
      </c>
      <c r="L5574" s="1"/>
      <c r="M5574" s="1"/>
    </row>
    <row x14ac:dyDescent="0.25" r="5575" customHeight="1" ht="18.75">
      <c r="A5575" s="1" t="s">
        <v>3598</v>
      </c>
      <c r="B5575" s="1" t="s">
        <v>6728</v>
      </c>
      <c r="C5575" s="1" t="s">
        <v>3600</v>
      </c>
      <c r="D5575" s="1" t="s">
        <v>7891</v>
      </c>
      <c r="E5575" s="1" t="s">
        <v>3664</v>
      </c>
      <c r="F5575" s="1" t="s">
        <v>19731</v>
      </c>
      <c r="G5575" s="1" t="s">
        <v>3686</v>
      </c>
      <c r="H5575" s="1" t="s">
        <v>3604</v>
      </c>
      <c r="I5575" s="1" t="s">
        <v>19732</v>
      </c>
      <c r="J5575" s="1" t="s">
        <v>3606</v>
      </c>
      <c r="K5575" s="1" t="s">
        <v>19733</v>
      </c>
      <c r="L5575" s="1"/>
      <c r="M5575" s="1"/>
    </row>
    <row x14ac:dyDescent="0.25" r="5576" customHeight="1" ht="18.75">
      <c r="A5576" s="1" t="s">
        <v>3598</v>
      </c>
      <c r="B5576" s="1" t="s">
        <v>6728</v>
      </c>
      <c r="C5576" s="1" t="s">
        <v>3600</v>
      </c>
      <c r="D5576" s="1" t="s">
        <v>7891</v>
      </c>
      <c r="E5576" s="1" t="s">
        <v>3664</v>
      </c>
      <c r="F5576" s="1" t="s">
        <v>19734</v>
      </c>
      <c r="G5576" s="1" t="s">
        <v>3686</v>
      </c>
      <c r="H5576" s="1" t="s">
        <v>3604</v>
      </c>
      <c r="I5576" s="1" t="s">
        <v>19735</v>
      </c>
      <c r="J5576" s="1" t="s">
        <v>3606</v>
      </c>
      <c r="K5576" s="1" t="s">
        <v>19736</v>
      </c>
      <c r="L5576" s="1"/>
      <c r="M5576" s="1"/>
    </row>
    <row x14ac:dyDescent="0.25" r="5577" customHeight="1" ht="18.75">
      <c r="A5577" s="1" t="s">
        <v>3598</v>
      </c>
      <c r="B5577" s="1" t="s">
        <v>17394</v>
      </c>
      <c r="C5577" s="1" t="s">
        <v>3600</v>
      </c>
      <c r="D5577" s="1" t="s">
        <v>7891</v>
      </c>
      <c r="E5577" s="1" t="s">
        <v>3664</v>
      </c>
      <c r="F5577" s="1" t="s">
        <v>19737</v>
      </c>
      <c r="G5577" s="1" t="s">
        <v>19738</v>
      </c>
      <c r="H5577" s="1" t="s">
        <v>3604</v>
      </c>
      <c r="I5577" s="1" t="s">
        <v>19739</v>
      </c>
      <c r="J5577" s="1" t="s">
        <v>3606</v>
      </c>
      <c r="K5577" s="1" t="s">
        <v>19740</v>
      </c>
      <c r="L5577" s="1"/>
      <c r="M5577" s="1"/>
    </row>
    <row x14ac:dyDescent="0.25" r="5578" customHeight="1" ht="18.75">
      <c r="A5578" s="1" t="s">
        <v>3598</v>
      </c>
      <c r="B5578" s="1" t="s">
        <v>5260</v>
      </c>
      <c r="C5578" s="1" t="s">
        <v>3600</v>
      </c>
      <c r="D5578" s="1" t="s">
        <v>7891</v>
      </c>
      <c r="E5578" s="1" t="s">
        <v>3611</v>
      </c>
      <c r="F5578" s="1" t="s">
        <v>19741</v>
      </c>
      <c r="G5578" s="1" t="s">
        <v>9107</v>
      </c>
      <c r="H5578" s="1" t="s">
        <v>3604</v>
      </c>
      <c r="I5578" s="1" t="s">
        <v>19742</v>
      </c>
      <c r="J5578" s="1" t="s">
        <v>3606</v>
      </c>
      <c r="K5578" s="1" t="s">
        <v>19743</v>
      </c>
      <c r="L5578" s="1"/>
      <c r="M5578" s="1"/>
    </row>
    <row x14ac:dyDescent="0.25" r="5579" customHeight="1" ht="18.75">
      <c r="A5579" s="1" t="s">
        <v>3598</v>
      </c>
      <c r="B5579" s="1" t="s">
        <v>5260</v>
      </c>
      <c r="C5579" s="1" t="s">
        <v>3600</v>
      </c>
      <c r="D5579" s="1" t="s">
        <v>7891</v>
      </c>
      <c r="E5579" s="1" t="s">
        <v>3611</v>
      </c>
      <c r="F5579" s="1" t="s">
        <v>19744</v>
      </c>
      <c r="G5579" s="1" t="s">
        <v>9107</v>
      </c>
      <c r="H5579" s="1" t="s">
        <v>3604</v>
      </c>
      <c r="I5579" s="1" t="s">
        <v>19745</v>
      </c>
      <c r="J5579" s="1" t="s">
        <v>3606</v>
      </c>
      <c r="K5579" s="1" t="s">
        <v>19746</v>
      </c>
      <c r="L5579" s="1"/>
      <c r="M5579" s="1"/>
    </row>
    <row x14ac:dyDescent="0.25" r="5580" customHeight="1" ht="18.75">
      <c r="A5580" s="1" t="s">
        <v>3598</v>
      </c>
      <c r="B5580" s="1" t="s">
        <v>5260</v>
      </c>
      <c r="C5580" s="1" t="s">
        <v>3600</v>
      </c>
      <c r="D5580" s="1" t="s">
        <v>7891</v>
      </c>
      <c r="E5580" s="1" t="s">
        <v>3611</v>
      </c>
      <c r="F5580" s="1" t="s">
        <v>19747</v>
      </c>
      <c r="G5580" s="1" t="s">
        <v>9107</v>
      </c>
      <c r="H5580" s="1" t="s">
        <v>3604</v>
      </c>
      <c r="I5580" s="1" t="s">
        <v>19748</v>
      </c>
      <c r="J5580" s="1" t="s">
        <v>3606</v>
      </c>
      <c r="K5580" s="1" t="s">
        <v>19749</v>
      </c>
      <c r="L5580" s="1"/>
      <c r="M5580" s="1"/>
    </row>
    <row x14ac:dyDescent="0.25" r="5581" customHeight="1" ht="18.75">
      <c r="A5581" s="1" t="s">
        <v>3598</v>
      </c>
      <c r="B5581" s="1" t="s">
        <v>5260</v>
      </c>
      <c r="C5581" s="1" t="s">
        <v>3600</v>
      </c>
      <c r="D5581" s="1" t="s">
        <v>7891</v>
      </c>
      <c r="E5581" s="1" t="s">
        <v>3611</v>
      </c>
      <c r="F5581" s="1" t="s">
        <v>19750</v>
      </c>
      <c r="G5581" s="1" t="s">
        <v>9107</v>
      </c>
      <c r="H5581" s="1" t="s">
        <v>3604</v>
      </c>
      <c r="I5581" s="1" t="s">
        <v>19751</v>
      </c>
      <c r="J5581" s="1" t="s">
        <v>3606</v>
      </c>
      <c r="K5581" s="1" t="s">
        <v>19752</v>
      </c>
      <c r="L5581" s="1"/>
      <c r="M5581" s="1"/>
    </row>
    <row x14ac:dyDescent="0.25" r="5582" customHeight="1" ht="18.75">
      <c r="A5582" s="1" t="s">
        <v>3598</v>
      </c>
      <c r="B5582" s="1" t="s">
        <v>6811</v>
      </c>
      <c r="C5582" s="1" t="s">
        <v>3600</v>
      </c>
      <c r="D5582" s="1" t="s">
        <v>8373</v>
      </c>
      <c r="E5582" s="1" t="s">
        <v>3752</v>
      </c>
      <c r="F5582" s="1" t="s">
        <v>19753</v>
      </c>
      <c r="G5582" s="1" t="s">
        <v>19754</v>
      </c>
      <c r="H5582" s="1" t="s">
        <v>3604</v>
      </c>
      <c r="I5582" s="1" t="s">
        <v>19755</v>
      </c>
      <c r="J5582" s="1" t="s">
        <v>3606</v>
      </c>
      <c r="K5582" s="1" t="s">
        <v>19756</v>
      </c>
      <c r="L5582" s="1"/>
      <c r="M5582" s="1"/>
    </row>
    <row x14ac:dyDescent="0.25" r="5583" customHeight="1" ht="18.75">
      <c r="A5583" s="1" t="s">
        <v>3598</v>
      </c>
      <c r="B5583" s="1" t="s">
        <v>6811</v>
      </c>
      <c r="C5583" s="1" t="s">
        <v>3600</v>
      </c>
      <c r="D5583" s="1" t="s">
        <v>8373</v>
      </c>
      <c r="E5583" s="1" t="s">
        <v>3752</v>
      </c>
      <c r="F5583" s="1" t="s">
        <v>19757</v>
      </c>
      <c r="G5583" s="1" t="s">
        <v>19754</v>
      </c>
      <c r="H5583" s="1" t="s">
        <v>3604</v>
      </c>
      <c r="I5583" s="1" t="s">
        <v>19758</v>
      </c>
      <c r="J5583" s="1" t="s">
        <v>3606</v>
      </c>
      <c r="K5583" s="1" t="s">
        <v>19759</v>
      </c>
      <c r="L5583" s="1"/>
      <c r="M5583" s="1"/>
    </row>
    <row x14ac:dyDescent="0.25" r="5584" customHeight="1" ht="18.75">
      <c r="A5584" s="1" t="s">
        <v>3598</v>
      </c>
      <c r="B5584" s="1" t="s">
        <v>6811</v>
      </c>
      <c r="C5584" s="1" t="s">
        <v>3600</v>
      </c>
      <c r="D5584" s="1" t="s">
        <v>8373</v>
      </c>
      <c r="E5584" s="1" t="s">
        <v>3752</v>
      </c>
      <c r="F5584" s="1" t="s">
        <v>19760</v>
      </c>
      <c r="G5584" s="1" t="s">
        <v>19754</v>
      </c>
      <c r="H5584" s="1" t="s">
        <v>3604</v>
      </c>
      <c r="I5584" s="1" t="s">
        <v>19761</v>
      </c>
      <c r="J5584" s="1" t="s">
        <v>3606</v>
      </c>
      <c r="K5584" s="1" t="s">
        <v>19762</v>
      </c>
      <c r="L5584" s="1"/>
      <c r="M5584" s="1"/>
    </row>
    <row x14ac:dyDescent="0.25" r="5585" customHeight="1" ht="18.75">
      <c r="A5585" s="1" t="s">
        <v>3598</v>
      </c>
      <c r="B5585" s="1" t="s">
        <v>6954</v>
      </c>
      <c r="C5585" s="1" t="s">
        <v>3600</v>
      </c>
      <c r="D5585" s="1" t="s">
        <v>8373</v>
      </c>
      <c r="E5585" s="1" t="s">
        <v>3893</v>
      </c>
      <c r="F5585" s="1" t="s">
        <v>19763</v>
      </c>
      <c r="G5585" s="1" t="s">
        <v>14139</v>
      </c>
      <c r="H5585" s="1" t="s">
        <v>3604</v>
      </c>
      <c r="I5585" s="1" t="s">
        <v>19764</v>
      </c>
      <c r="J5585" s="1" t="s">
        <v>3606</v>
      </c>
      <c r="K5585" s="1" t="s">
        <v>19765</v>
      </c>
      <c r="L5585" s="1"/>
      <c r="M5585" s="1"/>
    </row>
    <row x14ac:dyDescent="0.25" r="5586" customHeight="1" ht="18.75">
      <c r="A5586" s="1" t="s">
        <v>3598</v>
      </c>
      <c r="B5586" s="1" t="s">
        <v>6954</v>
      </c>
      <c r="C5586" s="1" t="s">
        <v>3600</v>
      </c>
      <c r="D5586" s="1" t="s">
        <v>8373</v>
      </c>
      <c r="E5586" s="1" t="s">
        <v>3893</v>
      </c>
      <c r="F5586" s="1" t="s">
        <v>19766</v>
      </c>
      <c r="G5586" s="1" t="s">
        <v>14139</v>
      </c>
      <c r="H5586" s="1" t="s">
        <v>3604</v>
      </c>
      <c r="I5586" s="1" t="s">
        <v>19767</v>
      </c>
      <c r="J5586" s="1" t="s">
        <v>3606</v>
      </c>
      <c r="K5586" s="1" t="s">
        <v>19768</v>
      </c>
      <c r="L5586" s="1"/>
      <c r="M5586" s="1"/>
    </row>
    <row x14ac:dyDescent="0.25" r="5587" customHeight="1" ht="18.75">
      <c r="A5587" s="1" t="s">
        <v>3598</v>
      </c>
      <c r="B5587" s="1" t="s">
        <v>6954</v>
      </c>
      <c r="C5587" s="1" t="s">
        <v>3600</v>
      </c>
      <c r="D5587" s="1" t="s">
        <v>8373</v>
      </c>
      <c r="E5587" s="1" t="s">
        <v>3893</v>
      </c>
      <c r="F5587" s="1" t="s">
        <v>19769</v>
      </c>
      <c r="G5587" s="1" t="s">
        <v>14139</v>
      </c>
      <c r="H5587" s="1" t="s">
        <v>3604</v>
      </c>
      <c r="I5587" s="1" t="s">
        <v>19770</v>
      </c>
      <c r="J5587" s="1" t="s">
        <v>3606</v>
      </c>
      <c r="K5587" s="1" t="s">
        <v>19771</v>
      </c>
      <c r="L5587" s="1"/>
      <c r="M5587" s="1"/>
    </row>
    <row x14ac:dyDescent="0.25" r="5588" customHeight="1" ht="18.75">
      <c r="A5588" s="1" t="s">
        <v>3598</v>
      </c>
      <c r="B5588" s="1" t="s">
        <v>6728</v>
      </c>
      <c r="C5588" s="1" t="s">
        <v>3600</v>
      </c>
      <c r="D5588" s="1" t="s">
        <v>8373</v>
      </c>
      <c r="E5588" s="1" t="s">
        <v>3893</v>
      </c>
      <c r="F5588" s="1" t="s">
        <v>19772</v>
      </c>
      <c r="G5588" s="1" t="s">
        <v>6169</v>
      </c>
      <c r="H5588" s="1" t="s">
        <v>3604</v>
      </c>
      <c r="I5588" s="1" t="s">
        <v>19773</v>
      </c>
      <c r="J5588" s="1" t="s">
        <v>3606</v>
      </c>
      <c r="K5588" s="1" t="s">
        <v>19774</v>
      </c>
      <c r="L5588" s="1"/>
      <c r="M5588" s="1"/>
    </row>
    <row x14ac:dyDescent="0.25" r="5589" customHeight="1" ht="18.75">
      <c r="A5589" s="1" t="s">
        <v>3598</v>
      </c>
      <c r="B5589" s="1" t="s">
        <v>6728</v>
      </c>
      <c r="C5589" s="1" t="s">
        <v>3600</v>
      </c>
      <c r="D5589" s="1" t="s">
        <v>8373</v>
      </c>
      <c r="E5589" s="1" t="s">
        <v>3893</v>
      </c>
      <c r="F5589" s="1" t="s">
        <v>19775</v>
      </c>
      <c r="G5589" s="1" t="s">
        <v>6169</v>
      </c>
      <c r="H5589" s="1" t="s">
        <v>3604</v>
      </c>
      <c r="I5589" s="1" t="s">
        <v>19776</v>
      </c>
      <c r="J5589" s="1" t="s">
        <v>3606</v>
      </c>
      <c r="K5589" s="1" t="s">
        <v>19777</v>
      </c>
      <c r="L5589" s="1"/>
      <c r="M5589" s="1"/>
    </row>
    <row x14ac:dyDescent="0.25" r="5590" customHeight="1" ht="18.75">
      <c r="A5590" s="1" t="s">
        <v>3598</v>
      </c>
      <c r="B5590" s="1" t="s">
        <v>6728</v>
      </c>
      <c r="C5590" s="1" t="s">
        <v>3600</v>
      </c>
      <c r="D5590" s="1" t="s">
        <v>8373</v>
      </c>
      <c r="E5590" s="1" t="s">
        <v>3893</v>
      </c>
      <c r="F5590" s="1" t="s">
        <v>19778</v>
      </c>
      <c r="G5590" s="1" t="s">
        <v>6169</v>
      </c>
      <c r="H5590" s="1" t="s">
        <v>3604</v>
      </c>
      <c r="I5590" s="1" t="s">
        <v>19779</v>
      </c>
      <c r="J5590" s="1" t="s">
        <v>3606</v>
      </c>
      <c r="K5590" s="1" t="s">
        <v>19780</v>
      </c>
      <c r="L5590" s="1"/>
      <c r="M5590" s="1"/>
    </row>
    <row x14ac:dyDescent="0.25" r="5591" customHeight="1" ht="18.75">
      <c r="A5591" s="1" t="s">
        <v>3598</v>
      </c>
      <c r="B5591" s="1" t="s">
        <v>6728</v>
      </c>
      <c r="C5591" s="1" t="s">
        <v>3600</v>
      </c>
      <c r="D5591" s="1" t="s">
        <v>8373</v>
      </c>
      <c r="E5591" s="1" t="s">
        <v>3893</v>
      </c>
      <c r="F5591" s="1" t="s">
        <v>19781</v>
      </c>
      <c r="G5591" s="1" t="s">
        <v>19782</v>
      </c>
      <c r="H5591" s="1" t="s">
        <v>3604</v>
      </c>
      <c r="I5591" s="1" t="s">
        <v>19783</v>
      </c>
      <c r="J5591" s="1" t="s">
        <v>3606</v>
      </c>
      <c r="K5591" s="1" t="s">
        <v>19784</v>
      </c>
      <c r="L5591" s="1"/>
      <c r="M5591" s="1"/>
    </row>
    <row x14ac:dyDescent="0.25" r="5592" customHeight="1" ht="18.75">
      <c r="A5592" s="1" t="s">
        <v>3598</v>
      </c>
      <c r="B5592" s="1" t="s">
        <v>6728</v>
      </c>
      <c r="C5592" s="1" t="s">
        <v>3600</v>
      </c>
      <c r="D5592" s="1" t="s">
        <v>8373</v>
      </c>
      <c r="E5592" s="1" t="s">
        <v>3893</v>
      </c>
      <c r="F5592" s="1" t="s">
        <v>19785</v>
      </c>
      <c r="G5592" s="1" t="s">
        <v>15409</v>
      </c>
      <c r="H5592" s="1" t="s">
        <v>3604</v>
      </c>
      <c r="I5592" s="1" t="s">
        <v>19786</v>
      </c>
      <c r="J5592" s="1" t="s">
        <v>3606</v>
      </c>
      <c r="K5592" s="1" t="s">
        <v>19787</v>
      </c>
      <c r="L5592" s="1"/>
      <c r="M5592" s="1"/>
    </row>
    <row x14ac:dyDescent="0.25" r="5593" customHeight="1" ht="18.75">
      <c r="A5593" s="1" t="s">
        <v>3598</v>
      </c>
      <c r="B5593" s="1" t="s">
        <v>6728</v>
      </c>
      <c r="C5593" s="1" t="s">
        <v>3600</v>
      </c>
      <c r="D5593" s="1" t="s">
        <v>8373</v>
      </c>
      <c r="E5593" s="1" t="s">
        <v>3893</v>
      </c>
      <c r="F5593" s="1" t="s">
        <v>19788</v>
      </c>
      <c r="G5593" s="1" t="s">
        <v>15409</v>
      </c>
      <c r="H5593" s="1" t="s">
        <v>3604</v>
      </c>
      <c r="I5593" s="1" t="s">
        <v>19789</v>
      </c>
      <c r="J5593" s="1" t="s">
        <v>3606</v>
      </c>
      <c r="K5593" s="1" t="s">
        <v>19790</v>
      </c>
      <c r="L5593" s="1"/>
      <c r="M5593" s="1"/>
    </row>
    <row x14ac:dyDescent="0.25" r="5594" customHeight="1" ht="18.75">
      <c r="A5594" s="1" t="s">
        <v>3598</v>
      </c>
      <c r="B5594" s="1" t="s">
        <v>6728</v>
      </c>
      <c r="C5594" s="1" t="s">
        <v>3600</v>
      </c>
      <c r="D5594" s="1" t="s">
        <v>8373</v>
      </c>
      <c r="E5594" s="1" t="s">
        <v>3893</v>
      </c>
      <c r="F5594" s="1" t="s">
        <v>19791</v>
      </c>
      <c r="G5594" s="1" t="s">
        <v>15409</v>
      </c>
      <c r="H5594" s="1" t="s">
        <v>3604</v>
      </c>
      <c r="I5594" s="1" t="s">
        <v>19792</v>
      </c>
      <c r="J5594" s="1" t="s">
        <v>3606</v>
      </c>
      <c r="K5594" s="1" t="s">
        <v>19793</v>
      </c>
      <c r="L5594" s="1"/>
      <c r="M5594" s="1"/>
    </row>
    <row x14ac:dyDescent="0.25" r="5595" customHeight="1" ht="18.75">
      <c r="A5595" s="1" t="s">
        <v>3598</v>
      </c>
      <c r="B5595" s="1" t="s">
        <v>6728</v>
      </c>
      <c r="C5595" s="1" t="s">
        <v>3600</v>
      </c>
      <c r="D5595" s="1" t="s">
        <v>8373</v>
      </c>
      <c r="E5595" s="1" t="s">
        <v>3893</v>
      </c>
      <c r="F5595" s="1" t="s">
        <v>19794</v>
      </c>
      <c r="G5595" s="1" t="s">
        <v>9514</v>
      </c>
      <c r="H5595" s="1" t="s">
        <v>3604</v>
      </c>
      <c r="I5595" s="1" t="s">
        <v>19795</v>
      </c>
      <c r="J5595" s="1" t="s">
        <v>3606</v>
      </c>
      <c r="K5595" s="1" t="s">
        <v>19796</v>
      </c>
      <c r="L5595" s="1"/>
      <c r="M5595" s="1"/>
    </row>
    <row x14ac:dyDescent="0.25" r="5596" customHeight="1" ht="18.75">
      <c r="A5596" s="1" t="s">
        <v>3598</v>
      </c>
      <c r="B5596" s="1" t="s">
        <v>6728</v>
      </c>
      <c r="C5596" s="1" t="s">
        <v>3600</v>
      </c>
      <c r="D5596" s="1" t="s">
        <v>8373</v>
      </c>
      <c r="E5596" s="1" t="s">
        <v>3893</v>
      </c>
      <c r="F5596" s="1" t="s">
        <v>19797</v>
      </c>
      <c r="G5596" s="1" t="s">
        <v>9514</v>
      </c>
      <c r="H5596" s="1" t="s">
        <v>3604</v>
      </c>
      <c r="I5596" s="1" t="s">
        <v>19798</v>
      </c>
      <c r="J5596" s="1" t="s">
        <v>3606</v>
      </c>
      <c r="K5596" s="1" t="s">
        <v>19799</v>
      </c>
      <c r="L5596" s="1"/>
      <c r="M5596" s="1"/>
    </row>
    <row x14ac:dyDescent="0.25" r="5597" customHeight="1" ht="18.75">
      <c r="A5597" s="1" t="s">
        <v>3598</v>
      </c>
      <c r="B5597" s="1" t="s">
        <v>6728</v>
      </c>
      <c r="C5597" s="1" t="s">
        <v>3600</v>
      </c>
      <c r="D5597" s="1" t="s">
        <v>8373</v>
      </c>
      <c r="E5597" s="1" t="s">
        <v>3893</v>
      </c>
      <c r="F5597" s="1" t="s">
        <v>19800</v>
      </c>
      <c r="G5597" s="1" t="s">
        <v>9514</v>
      </c>
      <c r="H5597" s="1" t="s">
        <v>3604</v>
      </c>
      <c r="I5597" s="1" t="s">
        <v>19801</v>
      </c>
      <c r="J5597" s="1" t="s">
        <v>3606</v>
      </c>
      <c r="K5597" s="1" t="s">
        <v>19802</v>
      </c>
      <c r="L5597" s="1"/>
      <c r="M5597" s="1"/>
    </row>
    <row x14ac:dyDescent="0.25" r="5598" customHeight="1" ht="18.75">
      <c r="A5598" s="1" t="s">
        <v>3598</v>
      </c>
      <c r="B5598" s="1" t="s">
        <v>6717</v>
      </c>
      <c r="C5598" s="1" t="s">
        <v>3600</v>
      </c>
      <c r="D5598" s="1" t="s">
        <v>8373</v>
      </c>
      <c r="E5598" s="1" t="s">
        <v>3752</v>
      </c>
      <c r="F5598" s="1" t="s">
        <v>19803</v>
      </c>
      <c r="G5598" s="1" t="s">
        <v>19804</v>
      </c>
      <c r="H5598" s="1" t="s">
        <v>3604</v>
      </c>
      <c r="I5598" s="1" t="s">
        <v>19805</v>
      </c>
      <c r="J5598" s="1" t="s">
        <v>3606</v>
      </c>
      <c r="K5598" s="1" t="s">
        <v>19806</v>
      </c>
      <c r="L5598" s="1"/>
      <c r="M5598" s="1"/>
    </row>
    <row x14ac:dyDescent="0.25" r="5599" customHeight="1" ht="18.75">
      <c r="A5599" s="1" t="s">
        <v>3598</v>
      </c>
      <c r="B5599" s="1" t="s">
        <v>6717</v>
      </c>
      <c r="C5599" s="1" t="s">
        <v>3600</v>
      </c>
      <c r="D5599" s="1" t="s">
        <v>8373</v>
      </c>
      <c r="E5599" s="1" t="s">
        <v>3752</v>
      </c>
      <c r="F5599" s="1" t="s">
        <v>19807</v>
      </c>
      <c r="G5599" s="1" t="s">
        <v>19804</v>
      </c>
      <c r="H5599" s="1" t="s">
        <v>3604</v>
      </c>
      <c r="I5599" s="1" t="s">
        <v>19808</v>
      </c>
      <c r="J5599" s="1" t="s">
        <v>3606</v>
      </c>
      <c r="K5599" s="1" t="s">
        <v>19809</v>
      </c>
      <c r="L5599" s="1"/>
      <c r="M5599" s="1"/>
    </row>
    <row x14ac:dyDescent="0.25" r="5600" customHeight="1" ht="18.75">
      <c r="A5600" s="1" t="s">
        <v>3598</v>
      </c>
      <c r="B5600" s="1" t="s">
        <v>6717</v>
      </c>
      <c r="C5600" s="1" t="s">
        <v>3600</v>
      </c>
      <c r="D5600" s="1" t="s">
        <v>8373</v>
      </c>
      <c r="E5600" s="1" t="s">
        <v>3752</v>
      </c>
      <c r="F5600" s="1" t="s">
        <v>19810</v>
      </c>
      <c r="G5600" s="1" t="s">
        <v>19804</v>
      </c>
      <c r="H5600" s="1" t="s">
        <v>3604</v>
      </c>
      <c r="I5600" s="1" t="s">
        <v>19811</v>
      </c>
      <c r="J5600" s="1" t="s">
        <v>3606</v>
      </c>
      <c r="K5600" s="1" t="s">
        <v>19812</v>
      </c>
      <c r="L5600" s="1"/>
      <c r="M5600" s="1"/>
    </row>
    <row x14ac:dyDescent="0.25" r="5601" customHeight="1" ht="18.75">
      <c r="A5601" s="1" t="s">
        <v>3598</v>
      </c>
      <c r="B5601" s="1" t="s">
        <v>8572</v>
      </c>
      <c r="C5601" s="1" t="s">
        <v>3600</v>
      </c>
      <c r="D5601" s="1" t="s">
        <v>8373</v>
      </c>
      <c r="E5601" s="1" t="s">
        <v>3893</v>
      </c>
      <c r="F5601" s="1" t="s">
        <v>19813</v>
      </c>
      <c r="G5601" s="1" t="s">
        <v>19814</v>
      </c>
      <c r="H5601" s="1" t="s">
        <v>3604</v>
      </c>
      <c r="I5601" s="1" t="s">
        <v>19815</v>
      </c>
      <c r="J5601" s="1" t="s">
        <v>3606</v>
      </c>
      <c r="K5601" s="1" t="s">
        <v>19816</v>
      </c>
      <c r="L5601" s="1"/>
      <c r="M5601" s="1"/>
    </row>
    <row x14ac:dyDescent="0.25" r="5602" customHeight="1" ht="18.75">
      <c r="A5602" s="1" t="s">
        <v>3598</v>
      </c>
      <c r="B5602" s="1" t="s">
        <v>8572</v>
      </c>
      <c r="C5602" s="1" t="s">
        <v>3600</v>
      </c>
      <c r="D5602" s="1" t="s">
        <v>8373</v>
      </c>
      <c r="E5602" s="1" t="s">
        <v>3893</v>
      </c>
      <c r="F5602" s="1" t="s">
        <v>19817</v>
      </c>
      <c r="G5602" s="1" t="s">
        <v>19814</v>
      </c>
      <c r="H5602" s="1" t="s">
        <v>3604</v>
      </c>
      <c r="I5602" s="1" t="s">
        <v>19818</v>
      </c>
      <c r="J5602" s="1" t="s">
        <v>3606</v>
      </c>
      <c r="K5602" s="1" t="s">
        <v>19819</v>
      </c>
      <c r="L5602" s="1"/>
      <c r="M5602" s="1"/>
    </row>
    <row x14ac:dyDescent="0.25" r="5603" customHeight="1" ht="18.75">
      <c r="A5603" s="1" t="s">
        <v>3598</v>
      </c>
      <c r="B5603" s="1" t="s">
        <v>8572</v>
      </c>
      <c r="C5603" s="1" t="s">
        <v>3600</v>
      </c>
      <c r="D5603" s="1" t="s">
        <v>8373</v>
      </c>
      <c r="E5603" s="1" t="s">
        <v>3893</v>
      </c>
      <c r="F5603" s="1" t="s">
        <v>19820</v>
      </c>
      <c r="G5603" s="1" t="s">
        <v>19814</v>
      </c>
      <c r="H5603" s="1" t="s">
        <v>3604</v>
      </c>
      <c r="I5603" s="1" t="s">
        <v>19821</v>
      </c>
      <c r="J5603" s="1" t="s">
        <v>3606</v>
      </c>
      <c r="K5603" s="1" t="s">
        <v>19822</v>
      </c>
      <c r="L5603" s="1"/>
      <c r="M5603" s="1"/>
    </row>
    <row x14ac:dyDescent="0.25" r="5604" customHeight="1" ht="18.75">
      <c r="A5604" s="1" t="s">
        <v>3598</v>
      </c>
      <c r="B5604" s="1" t="s">
        <v>8572</v>
      </c>
      <c r="C5604" s="1" t="s">
        <v>3600</v>
      </c>
      <c r="D5604" s="1" t="s">
        <v>8373</v>
      </c>
      <c r="E5604" s="1" t="s">
        <v>3893</v>
      </c>
      <c r="F5604" s="1" t="s">
        <v>19823</v>
      </c>
      <c r="G5604" s="1" t="s">
        <v>19824</v>
      </c>
      <c r="H5604" s="1" t="s">
        <v>3604</v>
      </c>
      <c r="I5604" s="1" t="s">
        <v>19825</v>
      </c>
      <c r="J5604" s="1" t="s">
        <v>3606</v>
      </c>
      <c r="K5604" s="1" t="s">
        <v>19826</v>
      </c>
      <c r="L5604" s="1"/>
      <c r="M5604" s="1"/>
    </row>
    <row x14ac:dyDescent="0.25" r="5605" customHeight="1" ht="18.75">
      <c r="A5605" s="1" t="s">
        <v>3598</v>
      </c>
      <c r="B5605" s="1" t="s">
        <v>8572</v>
      </c>
      <c r="C5605" s="1" t="s">
        <v>3600</v>
      </c>
      <c r="D5605" s="1" t="s">
        <v>8373</v>
      </c>
      <c r="E5605" s="1" t="s">
        <v>3893</v>
      </c>
      <c r="F5605" s="1" t="s">
        <v>19827</v>
      </c>
      <c r="G5605" s="1" t="s">
        <v>19824</v>
      </c>
      <c r="H5605" s="1" t="s">
        <v>3604</v>
      </c>
      <c r="I5605" s="1" t="s">
        <v>19828</v>
      </c>
      <c r="J5605" s="1" t="s">
        <v>3606</v>
      </c>
      <c r="K5605" s="1" t="s">
        <v>19829</v>
      </c>
      <c r="L5605" s="1"/>
      <c r="M5605" s="1"/>
    </row>
    <row x14ac:dyDescent="0.25" r="5606" customHeight="1" ht="18.75">
      <c r="A5606" s="1" t="s">
        <v>3598</v>
      </c>
      <c r="B5606" s="1" t="s">
        <v>8572</v>
      </c>
      <c r="C5606" s="1" t="s">
        <v>3600</v>
      </c>
      <c r="D5606" s="1" t="s">
        <v>8373</v>
      </c>
      <c r="E5606" s="1" t="s">
        <v>3893</v>
      </c>
      <c r="F5606" s="1" t="s">
        <v>19830</v>
      </c>
      <c r="G5606" s="1" t="s">
        <v>19824</v>
      </c>
      <c r="H5606" s="1" t="s">
        <v>3604</v>
      </c>
      <c r="I5606" s="1" t="s">
        <v>19831</v>
      </c>
      <c r="J5606" s="1" t="s">
        <v>3606</v>
      </c>
      <c r="K5606" s="1" t="s">
        <v>19832</v>
      </c>
      <c r="L5606" s="1"/>
      <c r="M5606" s="1"/>
    </row>
    <row x14ac:dyDescent="0.25" r="5607" customHeight="1" ht="18.75">
      <c r="A5607" s="1" t="s">
        <v>3598</v>
      </c>
      <c r="B5607" s="1" t="s">
        <v>6728</v>
      </c>
      <c r="C5607" s="1" t="s">
        <v>3600</v>
      </c>
      <c r="D5607" s="1" t="s">
        <v>8373</v>
      </c>
      <c r="E5607" s="1" t="s">
        <v>3893</v>
      </c>
      <c r="F5607" s="1" t="s">
        <v>19833</v>
      </c>
      <c r="G5607" s="1" t="s">
        <v>16496</v>
      </c>
      <c r="H5607" s="1" t="s">
        <v>3604</v>
      </c>
      <c r="I5607" s="1" t="s">
        <v>19834</v>
      </c>
      <c r="J5607" s="1" t="s">
        <v>3606</v>
      </c>
      <c r="K5607" s="1" t="s">
        <v>19835</v>
      </c>
      <c r="L5607" s="1"/>
      <c r="M5607" s="1"/>
    </row>
    <row x14ac:dyDescent="0.25" r="5608" customHeight="1" ht="18.75">
      <c r="A5608" s="1" t="s">
        <v>3598</v>
      </c>
      <c r="B5608" s="1" t="s">
        <v>9582</v>
      </c>
      <c r="C5608" s="1" t="s">
        <v>3600</v>
      </c>
      <c r="D5608" s="1" t="s">
        <v>8373</v>
      </c>
      <c r="E5608" s="1" t="s">
        <v>3664</v>
      </c>
      <c r="F5608" s="1" t="s">
        <v>19836</v>
      </c>
      <c r="G5608" s="1" t="s">
        <v>6471</v>
      </c>
      <c r="H5608" s="1" t="s">
        <v>3604</v>
      </c>
      <c r="I5608" s="1" t="s">
        <v>19837</v>
      </c>
      <c r="J5608" s="1" t="s">
        <v>3606</v>
      </c>
      <c r="K5608" s="1" t="s">
        <v>19838</v>
      </c>
      <c r="L5608" s="1"/>
      <c r="M5608" s="1"/>
    </row>
    <row x14ac:dyDescent="0.25" r="5609" customHeight="1" ht="18.75">
      <c r="A5609" s="1" t="s">
        <v>3598</v>
      </c>
      <c r="B5609" s="1" t="s">
        <v>9582</v>
      </c>
      <c r="C5609" s="1" t="s">
        <v>3600</v>
      </c>
      <c r="D5609" s="1" t="s">
        <v>8373</v>
      </c>
      <c r="E5609" s="1" t="s">
        <v>3664</v>
      </c>
      <c r="F5609" s="1" t="s">
        <v>19839</v>
      </c>
      <c r="G5609" s="1" t="s">
        <v>6471</v>
      </c>
      <c r="H5609" s="1" t="s">
        <v>3604</v>
      </c>
      <c r="I5609" s="1" t="s">
        <v>19840</v>
      </c>
      <c r="J5609" s="1" t="s">
        <v>3606</v>
      </c>
      <c r="K5609" s="1" t="s">
        <v>19841</v>
      </c>
      <c r="L5609" s="1"/>
      <c r="M5609" s="1"/>
    </row>
    <row x14ac:dyDescent="0.25" r="5610" customHeight="1" ht="18.75">
      <c r="A5610" s="1" t="s">
        <v>3598</v>
      </c>
      <c r="B5610" s="1" t="s">
        <v>5239</v>
      </c>
      <c r="C5610" s="1" t="s">
        <v>3600</v>
      </c>
      <c r="D5610" s="1" t="s">
        <v>3601</v>
      </c>
      <c r="E5610" s="1" t="s">
        <v>3664</v>
      </c>
      <c r="F5610" s="1" t="s">
        <v>19842</v>
      </c>
      <c r="G5610" s="1" t="s">
        <v>19843</v>
      </c>
      <c r="H5610" s="1" t="s">
        <v>3604</v>
      </c>
      <c r="I5610" s="1" t="s">
        <v>19844</v>
      </c>
      <c r="J5610" s="1" t="s">
        <v>3606</v>
      </c>
      <c r="K5610" s="1" t="s">
        <v>19845</v>
      </c>
      <c r="L5610" s="1"/>
      <c r="M5610" s="1"/>
    </row>
    <row x14ac:dyDescent="0.25" r="5611" customHeight="1" ht="18.75">
      <c r="A5611" s="1" t="s">
        <v>3598</v>
      </c>
      <c r="B5611" s="1" t="s">
        <v>8082</v>
      </c>
      <c r="C5611" s="1" t="s">
        <v>3600</v>
      </c>
      <c r="D5611" s="1" t="s">
        <v>3601</v>
      </c>
      <c r="E5611" s="1" t="s">
        <v>3664</v>
      </c>
      <c r="F5611" s="1" t="s">
        <v>19846</v>
      </c>
      <c r="G5611" s="1" t="s">
        <v>15695</v>
      </c>
      <c r="H5611" s="1" t="s">
        <v>3604</v>
      </c>
      <c r="I5611" s="1" t="s">
        <v>19847</v>
      </c>
      <c r="J5611" s="1" t="s">
        <v>3606</v>
      </c>
      <c r="K5611" s="1" t="s">
        <v>19848</v>
      </c>
      <c r="L5611" s="1"/>
      <c r="M5611" s="1"/>
    </row>
    <row x14ac:dyDescent="0.25" r="5612" customHeight="1" ht="18.75">
      <c r="A5612" s="1" t="s">
        <v>3598</v>
      </c>
      <c r="B5612" s="1" t="s">
        <v>8082</v>
      </c>
      <c r="C5612" s="1" t="s">
        <v>3600</v>
      </c>
      <c r="D5612" s="1" t="s">
        <v>3601</v>
      </c>
      <c r="E5612" s="1" t="s">
        <v>3664</v>
      </c>
      <c r="F5612" s="1" t="s">
        <v>19849</v>
      </c>
      <c r="G5612" s="1" t="s">
        <v>15884</v>
      </c>
      <c r="H5612" s="1" t="s">
        <v>3604</v>
      </c>
      <c r="I5612" s="1" t="s">
        <v>19850</v>
      </c>
      <c r="J5612" s="1" t="s">
        <v>3606</v>
      </c>
      <c r="K5612" s="1" t="s">
        <v>19851</v>
      </c>
      <c r="L5612" s="1"/>
      <c r="M5612" s="1"/>
    </row>
    <row x14ac:dyDescent="0.25" r="5613" customHeight="1" ht="18.75">
      <c r="A5613" s="1" t="s">
        <v>3598</v>
      </c>
      <c r="B5613" s="1" t="s">
        <v>19642</v>
      </c>
      <c r="C5613" s="1" t="s">
        <v>3600</v>
      </c>
      <c r="D5613" s="1" t="s">
        <v>3601</v>
      </c>
      <c r="E5613" s="1" t="s">
        <v>3752</v>
      </c>
      <c r="F5613" s="1" t="s">
        <v>19852</v>
      </c>
      <c r="G5613" s="1" t="s">
        <v>19853</v>
      </c>
      <c r="H5613" s="1" t="s">
        <v>3604</v>
      </c>
      <c r="I5613" s="1" t="s">
        <v>19854</v>
      </c>
      <c r="J5613" s="1" t="s">
        <v>3606</v>
      </c>
      <c r="K5613" s="1" t="s">
        <v>19855</v>
      </c>
      <c r="L5613" s="1"/>
      <c r="M5613" s="1"/>
    </row>
    <row x14ac:dyDescent="0.25" r="5614" customHeight="1" ht="18.75">
      <c r="A5614" s="1" t="s">
        <v>3598</v>
      </c>
      <c r="B5614" s="1" t="s">
        <v>19642</v>
      </c>
      <c r="C5614" s="1" t="s">
        <v>3600</v>
      </c>
      <c r="D5614" s="1" t="s">
        <v>3601</v>
      </c>
      <c r="E5614" s="1" t="s">
        <v>3752</v>
      </c>
      <c r="F5614" s="1" t="s">
        <v>19856</v>
      </c>
      <c r="G5614" s="1" t="s">
        <v>19857</v>
      </c>
      <c r="H5614" s="1" t="s">
        <v>3604</v>
      </c>
      <c r="I5614" s="1" t="s">
        <v>19858</v>
      </c>
      <c r="J5614" s="1" t="s">
        <v>3606</v>
      </c>
      <c r="K5614" s="1" t="s">
        <v>19859</v>
      </c>
      <c r="L5614" s="1"/>
      <c r="M5614" s="1"/>
    </row>
    <row x14ac:dyDescent="0.25" r="5615" customHeight="1" ht="18.75">
      <c r="A5615" s="1" t="s">
        <v>3598</v>
      </c>
      <c r="B5615" s="1" t="s">
        <v>19642</v>
      </c>
      <c r="C5615" s="1" t="s">
        <v>3600</v>
      </c>
      <c r="D5615" s="1" t="s">
        <v>3601</v>
      </c>
      <c r="E5615" s="1" t="s">
        <v>3752</v>
      </c>
      <c r="F5615" s="1" t="s">
        <v>19860</v>
      </c>
      <c r="G5615" s="1" t="s">
        <v>19861</v>
      </c>
      <c r="H5615" s="1" t="s">
        <v>3604</v>
      </c>
      <c r="I5615" s="1" t="s">
        <v>19862</v>
      </c>
      <c r="J5615" s="1" t="s">
        <v>3606</v>
      </c>
      <c r="K5615" s="1" t="s">
        <v>19863</v>
      </c>
      <c r="L5615" s="1"/>
      <c r="M5615" s="1"/>
    </row>
    <row x14ac:dyDescent="0.25" r="5616" customHeight="1" ht="18.75">
      <c r="A5616" s="1" t="s">
        <v>3598</v>
      </c>
      <c r="B5616" s="1" t="s">
        <v>19642</v>
      </c>
      <c r="C5616" s="1" t="s">
        <v>3600</v>
      </c>
      <c r="D5616" s="1" t="s">
        <v>3601</v>
      </c>
      <c r="E5616" s="1" t="s">
        <v>3664</v>
      </c>
      <c r="F5616" s="1" t="s">
        <v>19864</v>
      </c>
      <c r="G5616" s="1" t="s">
        <v>19865</v>
      </c>
      <c r="H5616" s="1" t="s">
        <v>3604</v>
      </c>
      <c r="I5616" s="1" t="s">
        <v>19866</v>
      </c>
      <c r="J5616" s="1" t="s">
        <v>3606</v>
      </c>
      <c r="K5616" s="1" t="s">
        <v>19867</v>
      </c>
      <c r="L5616" s="1"/>
      <c r="M5616" s="1"/>
    </row>
    <row x14ac:dyDescent="0.25" r="5617" customHeight="1" ht="18.75">
      <c r="A5617" s="1" t="s">
        <v>3598</v>
      </c>
      <c r="B5617" s="1" t="s">
        <v>19642</v>
      </c>
      <c r="C5617" s="1" t="s">
        <v>3600</v>
      </c>
      <c r="D5617" s="1" t="s">
        <v>3601</v>
      </c>
      <c r="E5617" s="1" t="s">
        <v>3664</v>
      </c>
      <c r="F5617" s="1" t="s">
        <v>19868</v>
      </c>
      <c r="G5617" s="1" t="s">
        <v>19865</v>
      </c>
      <c r="H5617" s="1" t="s">
        <v>3604</v>
      </c>
      <c r="I5617" s="1" t="s">
        <v>19869</v>
      </c>
      <c r="J5617" s="1" t="s">
        <v>3606</v>
      </c>
      <c r="K5617" s="1" t="s">
        <v>19870</v>
      </c>
      <c r="L5617" s="1"/>
      <c r="M5617" s="1"/>
    </row>
    <row x14ac:dyDescent="0.25" r="5618" customHeight="1" ht="18.75">
      <c r="A5618" s="1" t="s">
        <v>3598</v>
      </c>
      <c r="B5618" s="1" t="s">
        <v>19642</v>
      </c>
      <c r="C5618" s="1" t="s">
        <v>3600</v>
      </c>
      <c r="D5618" s="1" t="s">
        <v>3601</v>
      </c>
      <c r="E5618" s="1" t="s">
        <v>3664</v>
      </c>
      <c r="F5618" s="1" t="s">
        <v>19871</v>
      </c>
      <c r="G5618" s="1" t="s">
        <v>19872</v>
      </c>
      <c r="H5618" s="1" t="s">
        <v>3604</v>
      </c>
      <c r="I5618" s="1" t="s">
        <v>19873</v>
      </c>
      <c r="J5618" s="1" t="s">
        <v>3606</v>
      </c>
      <c r="K5618" s="1" t="s">
        <v>19874</v>
      </c>
      <c r="L5618" s="1"/>
      <c r="M5618" s="1"/>
    </row>
    <row x14ac:dyDescent="0.25" r="5619" customHeight="1" ht="18.75">
      <c r="A5619" s="1" t="s">
        <v>3598</v>
      </c>
      <c r="B5619" s="1" t="s">
        <v>19642</v>
      </c>
      <c r="C5619" s="1" t="s">
        <v>3600</v>
      </c>
      <c r="D5619" s="1" t="s">
        <v>3601</v>
      </c>
      <c r="E5619" s="1" t="s">
        <v>3664</v>
      </c>
      <c r="F5619" s="1" t="s">
        <v>19875</v>
      </c>
      <c r="G5619" s="1" t="s">
        <v>19876</v>
      </c>
      <c r="H5619" s="1" t="s">
        <v>3604</v>
      </c>
      <c r="I5619" s="1" t="s">
        <v>19877</v>
      </c>
      <c r="J5619" s="1" t="s">
        <v>3606</v>
      </c>
      <c r="K5619" s="1" t="s">
        <v>19878</v>
      </c>
      <c r="L5619" s="1"/>
      <c r="M5619" s="1"/>
    </row>
    <row x14ac:dyDescent="0.25" r="5620" customHeight="1" ht="18.75">
      <c r="A5620" s="1" t="s">
        <v>3598</v>
      </c>
      <c r="B5620" s="1" t="s">
        <v>19642</v>
      </c>
      <c r="C5620" s="1" t="s">
        <v>3600</v>
      </c>
      <c r="D5620" s="1" t="s">
        <v>3601</v>
      </c>
      <c r="E5620" s="1" t="s">
        <v>3664</v>
      </c>
      <c r="F5620" s="1" t="s">
        <v>19879</v>
      </c>
      <c r="G5620" s="1" t="s">
        <v>19876</v>
      </c>
      <c r="H5620" s="1" t="s">
        <v>3604</v>
      </c>
      <c r="I5620" s="1" t="s">
        <v>19880</v>
      </c>
      <c r="J5620" s="1" t="s">
        <v>3606</v>
      </c>
      <c r="K5620" s="1" t="s">
        <v>19881</v>
      </c>
      <c r="L5620" s="1"/>
      <c r="M5620" s="1"/>
    </row>
    <row x14ac:dyDescent="0.25" r="5621" customHeight="1" ht="18.75">
      <c r="A5621" s="1" t="s">
        <v>3598</v>
      </c>
      <c r="B5621" s="1" t="s">
        <v>5260</v>
      </c>
      <c r="C5621" s="1" t="s">
        <v>3600</v>
      </c>
      <c r="D5621" s="1" t="s">
        <v>3601</v>
      </c>
      <c r="E5621" s="1" t="s">
        <v>3893</v>
      </c>
      <c r="F5621" s="1" t="s">
        <v>19882</v>
      </c>
      <c r="G5621" s="1" t="s">
        <v>19883</v>
      </c>
      <c r="H5621" s="1" t="s">
        <v>3604</v>
      </c>
      <c r="I5621" s="1" t="s">
        <v>19884</v>
      </c>
      <c r="J5621" s="1" t="s">
        <v>3606</v>
      </c>
      <c r="K5621" s="1" t="s">
        <v>19885</v>
      </c>
      <c r="L5621" s="1"/>
      <c r="M5621" s="1"/>
    </row>
    <row x14ac:dyDescent="0.25" r="5622" customHeight="1" ht="18.75">
      <c r="A5622" s="1" t="s">
        <v>3598</v>
      </c>
      <c r="B5622" s="1" t="s">
        <v>5260</v>
      </c>
      <c r="C5622" s="1" t="s">
        <v>3600</v>
      </c>
      <c r="D5622" s="1" t="s">
        <v>3601</v>
      </c>
      <c r="E5622" s="1" t="s">
        <v>3893</v>
      </c>
      <c r="F5622" s="1" t="s">
        <v>19886</v>
      </c>
      <c r="G5622" s="1" t="s">
        <v>19887</v>
      </c>
      <c r="H5622" s="1" t="s">
        <v>3604</v>
      </c>
      <c r="I5622" s="1" t="s">
        <v>19888</v>
      </c>
      <c r="J5622" s="1" t="s">
        <v>3606</v>
      </c>
      <c r="K5622" s="1" t="s">
        <v>19889</v>
      </c>
      <c r="L5622" s="1"/>
      <c r="M5622" s="1"/>
    </row>
    <row x14ac:dyDescent="0.25" r="5623" customHeight="1" ht="18.75">
      <c r="A5623" s="1" t="s">
        <v>3598</v>
      </c>
      <c r="B5623" s="1" t="s">
        <v>5260</v>
      </c>
      <c r="C5623" s="1" t="s">
        <v>3600</v>
      </c>
      <c r="D5623" s="1" t="s">
        <v>3601</v>
      </c>
      <c r="E5623" s="1" t="s">
        <v>3893</v>
      </c>
      <c r="F5623" s="1" t="s">
        <v>19890</v>
      </c>
      <c r="G5623" s="1" t="s">
        <v>19887</v>
      </c>
      <c r="H5623" s="1" t="s">
        <v>3604</v>
      </c>
      <c r="I5623" s="1" t="s">
        <v>19891</v>
      </c>
      <c r="J5623" s="1" t="s">
        <v>3606</v>
      </c>
      <c r="K5623" s="1" t="s">
        <v>19892</v>
      </c>
      <c r="L5623" s="1"/>
      <c r="M5623" s="1"/>
    </row>
    <row x14ac:dyDescent="0.25" r="5624" customHeight="1" ht="18.75">
      <c r="A5624" s="1" t="s">
        <v>3598</v>
      </c>
      <c r="B5624" s="1" t="s">
        <v>5260</v>
      </c>
      <c r="C5624" s="1" t="s">
        <v>3600</v>
      </c>
      <c r="D5624" s="1" t="s">
        <v>3601</v>
      </c>
      <c r="E5624" s="1" t="s">
        <v>3893</v>
      </c>
      <c r="F5624" s="1" t="s">
        <v>19893</v>
      </c>
      <c r="G5624" s="1" t="s">
        <v>19887</v>
      </c>
      <c r="H5624" s="1" t="s">
        <v>3604</v>
      </c>
      <c r="I5624" s="1" t="s">
        <v>19894</v>
      </c>
      <c r="J5624" s="1" t="s">
        <v>3606</v>
      </c>
      <c r="K5624" s="1" t="s">
        <v>19895</v>
      </c>
      <c r="L5624" s="1"/>
      <c r="M5624" s="1"/>
    </row>
    <row x14ac:dyDescent="0.25" r="5625" customHeight="1" ht="18.75">
      <c r="A5625" s="1" t="s">
        <v>3598</v>
      </c>
      <c r="B5625" s="1" t="s">
        <v>9251</v>
      </c>
      <c r="C5625" s="1" t="s">
        <v>3600</v>
      </c>
      <c r="D5625" s="1" t="s">
        <v>3601</v>
      </c>
      <c r="E5625" s="1" t="s">
        <v>3893</v>
      </c>
      <c r="F5625" s="1" t="s">
        <v>19896</v>
      </c>
      <c r="G5625" s="1" t="s">
        <v>19897</v>
      </c>
      <c r="H5625" s="1" t="s">
        <v>3604</v>
      </c>
      <c r="I5625" s="1" t="s">
        <v>19898</v>
      </c>
      <c r="J5625" s="1" t="s">
        <v>3606</v>
      </c>
      <c r="K5625" s="1" t="s">
        <v>19899</v>
      </c>
      <c r="L5625" s="1"/>
      <c r="M5625" s="1"/>
    </row>
    <row x14ac:dyDescent="0.25" r="5626" customHeight="1" ht="18.75">
      <c r="A5626" s="1" t="s">
        <v>3598</v>
      </c>
      <c r="B5626" s="1" t="s">
        <v>19900</v>
      </c>
      <c r="C5626" s="1" t="s">
        <v>3600</v>
      </c>
      <c r="D5626" s="1" t="s">
        <v>3601</v>
      </c>
      <c r="E5626" s="1" t="s">
        <v>3664</v>
      </c>
      <c r="F5626" s="1" t="s">
        <v>19901</v>
      </c>
      <c r="G5626" s="1" t="s">
        <v>19902</v>
      </c>
      <c r="H5626" s="1" t="s">
        <v>3604</v>
      </c>
      <c r="I5626" s="1" t="s">
        <v>19903</v>
      </c>
      <c r="J5626" s="1" t="s">
        <v>3606</v>
      </c>
      <c r="K5626" s="1" t="s">
        <v>19904</v>
      </c>
      <c r="L5626" s="1"/>
      <c r="M5626" s="1"/>
    </row>
    <row x14ac:dyDescent="0.25" r="5627" customHeight="1" ht="18.75">
      <c r="A5627" s="1" t="s">
        <v>3598</v>
      </c>
      <c r="B5627" s="1" t="s">
        <v>14104</v>
      </c>
      <c r="C5627" s="1" t="s">
        <v>3600</v>
      </c>
      <c r="D5627" s="1" t="s">
        <v>3601</v>
      </c>
      <c r="E5627" s="1" t="s">
        <v>3893</v>
      </c>
      <c r="F5627" s="1" t="s">
        <v>19905</v>
      </c>
      <c r="G5627" s="1" t="s">
        <v>19906</v>
      </c>
      <c r="H5627" s="1" t="s">
        <v>3604</v>
      </c>
      <c r="I5627" s="1" t="s">
        <v>19907</v>
      </c>
      <c r="J5627" s="1" t="s">
        <v>3606</v>
      </c>
      <c r="K5627" s="1" t="s">
        <v>19908</v>
      </c>
      <c r="L5627" s="1"/>
      <c r="M5627" s="1"/>
    </row>
    <row x14ac:dyDescent="0.25" r="5628" customHeight="1" ht="18.75">
      <c r="A5628" s="1" t="s">
        <v>3598</v>
      </c>
      <c r="B5628" s="1" t="s">
        <v>19909</v>
      </c>
      <c r="C5628" s="1" t="s">
        <v>3600</v>
      </c>
      <c r="D5628" s="1" t="s">
        <v>3601</v>
      </c>
      <c r="E5628" s="1" t="s">
        <v>3664</v>
      </c>
      <c r="F5628" s="1" t="s">
        <v>19910</v>
      </c>
      <c r="G5628" s="1" t="s">
        <v>19911</v>
      </c>
      <c r="H5628" s="1" t="s">
        <v>3604</v>
      </c>
      <c r="I5628" s="1" t="s">
        <v>19912</v>
      </c>
      <c r="J5628" s="1" t="s">
        <v>3606</v>
      </c>
      <c r="K5628" s="1" t="s">
        <v>19913</v>
      </c>
      <c r="L5628" s="1"/>
      <c r="M5628" s="1"/>
    </row>
    <row x14ac:dyDescent="0.25" r="5629" customHeight="1" ht="18.75">
      <c r="A5629" s="1" t="s">
        <v>3598</v>
      </c>
      <c r="B5629" s="1" t="s">
        <v>19909</v>
      </c>
      <c r="C5629" s="1" t="s">
        <v>3600</v>
      </c>
      <c r="D5629" s="1" t="s">
        <v>3601</v>
      </c>
      <c r="E5629" s="1" t="s">
        <v>3664</v>
      </c>
      <c r="F5629" s="1" t="s">
        <v>19914</v>
      </c>
      <c r="G5629" s="1" t="s">
        <v>19915</v>
      </c>
      <c r="H5629" s="1" t="s">
        <v>3604</v>
      </c>
      <c r="I5629" s="1" t="s">
        <v>19916</v>
      </c>
      <c r="J5629" s="1" t="s">
        <v>3606</v>
      </c>
      <c r="K5629" s="1" t="s">
        <v>19917</v>
      </c>
      <c r="L5629" s="1"/>
      <c r="M5629" s="1"/>
    </row>
    <row x14ac:dyDescent="0.25" r="5630" customHeight="1" ht="18.75">
      <c r="A5630" s="1" t="s">
        <v>3598</v>
      </c>
      <c r="B5630" s="1" t="s">
        <v>19918</v>
      </c>
      <c r="C5630" s="1" t="s">
        <v>3600</v>
      </c>
      <c r="D5630" s="1" t="s">
        <v>3601</v>
      </c>
      <c r="E5630" s="1" t="s">
        <v>3893</v>
      </c>
      <c r="F5630" s="1" t="s">
        <v>19919</v>
      </c>
      <c r="G5630" s="1" t="s">
        <v>19920</v>
      </c>
      <c r="H5630" s="1" t="s">
        <v>3604</v>
      </c>
      <c r="I5630" s="1" t="s">
        <v>19921</v>
      </c>
      <c r="J5630" s="1" t="s">
        <v>3606</v>
      </c>
      <c r="K5630" s="1" t="s">
        <v>19922</v>
      </c>
      <c r="L5630" s="1"/>
      <c r="M5630" s="1"/>
    </row>
    <row x14ac:dyDescent="0.25" r="5631" customHeight="1" ht="18.75">
      <c r="A5631" s="1" t="s">
        <v>3598</v>
      </c>
      <c r="B5631" s="1" t="s">
        <v>9007</v>
      </c>
      <c r="C5631" s="1" t="s">
        <v>3600</v>
      </c>
      <c r="D5631" s="1" t="s">
        <v>3601</v>
      </c>
      <c r="E5631" s="1" t="s">
        <v>3893</v>
      </c>
      <c r="F5631" s="1" t="s">
        <v>19923</v>
      </c>
      <c r="G5631" s="1" t="s">
        <v>15844</v>
      </c>
      <c r="H5631" s="1" t="s">
        <v>3604</v>
      </c>
      <c r="I5631" s="1" t="s">
        <v>19924</v>
      </c>
      <c r="J5631" s="1" t="s">
        <v>3606</v>
      </c>
      <c r="K5631" s="1" t="s">
        <v>19925</v>
      </c>
      <c r="L5631" s="1"/>
      <c r="M5631" s="1"/>
    </row>
    <row x14ac:dyDescent="0.25" r="5632" customHeight="1" ht="18.75">
      <c r="A5632" s="1" t="s">
        <v>3598</v>
      </c>
      <c r="B5632" s="1" t="s">
        <v>9007</v>
      </c>
      <c r="C5632" s="1" t="s">
        <v>3600</v>
      </c>
      <c r="D5632" s="1" t="s">
        <v>3601</v>
      </c>
      <c r="E5632" s="1" t="s">
        <v>3893</v>
      </c>
      <c r="F5632" s="1" t="s">
        <v>19926</v>
      </c>
      <c r="G5632" s="1" t="s">
        <v>15844</v>
      </c>
      <c r="H5632" s="1" t="s">
        <v>3604</v>
      </c>
      <c r="I5632" s="1" t="s">
        <v>19927</v>
      </c>
      <c r="J5632" s="1" t="s">
        <v>3606</v>
      </c>
      <c r="K5632" s="1" t="s">
        <v>19928</v>
      </c>
      <c r="L5632" s="1"/>
      <c r="M5632" s="1"/>
    </row>
    <row x14ac:dyDescent="0.25" r="5633" customHeight="1" ht="18.75">
      <c r="A5633" s="1" t="s">
        <v>3598</v>
      </c>
      <c r="B5633" s="1" t="s">
        <v>9007</v>
      </c>
      <c r="C5633" s="1" t="s">
        <v>3600</v>
      </c>
      <c r="D5633" s="1" t="s">
        <v>3601</v>
      </c>
      <c r="E5633" s="1" t="s">
        <v>3893</v>
      </c>
      <c r="F5633" s="1" t="s">
        <v>19929</v>
      </c>
      <c r="G5633" s="1" t="s">
        <v>15844</v>
      </c>
      <c r="H5633" s="1" t="s">
        <v>3604</v>
      </c>
      <c r="I5633" s="1" t="s">
        <v>19930</v>
      </c>
      <c r="J5633" s="1" t="s">
        <v>3606</v>
      </c>
      <c r="K5633" s="1" t="s">
        <v>19931</v>
      </c>
      <c r="L5633" s="1"/>
      <c r="M5633" s="1"/>
    </row>
    <row x14ac:dyDescent="0.25" r="5634" customHeight="1" ht="18.75">
      <c r="A5634" s="1" t="s">
        <v>3598</v>
      </c>
      <c r="B5634" s="1" t="s">
        <v>9007</v>
      </c>
      <c r="C5634" s="1" t="s">
        <v>3600</v>
      </c>
      <c r="D5634" s="1" t="s">
        <v>3601</v>
      </c>
      <c r="E5634" s="1" t="s">
        <v>3893</v>
      </c>
      <c r="F5634" s="1" t="s">
        <v>19932</v>
      </c>
      <c r="G5634" s="1" t="s">
        <v>16049</v>
      </c>
      <c r="H5634" s="1" t="s">
        <v>3604</v>
      </c>
      <c r="I5634" s="1" t="s">
        <v>19933</v>
      </c>
      <c r="J5634" s="1" t="s">
        <v>3606</v>
      </c>
      <c r="K5634" s="1" t="s">
        <v>19934</v>
      </c>
      <c r="L5634" s="1"/>
      <c r="M5634" s="1"/>
    </row>
    <row x14ac:dyDescent="0.25" r="5635" customHeight="1" ht="18.75">
      <c r="A5635" s="1" t="s">
        <v>3598</v>
      </c>
      <c r="B5635" s="1" t="s">
        <v>9007</v>
      </c>
      <c r="C5635" s="1" t="s">
        <v>3600</v>
      </c>
      <c r="D5635" s="1" t="s">
        <v>3601</v>
      </c>
      <c r="E5635" s="1" t="s">
        <v>3893</v>
      </c>
      <c r="F5635" s="1" t="s">
        <v>19935</v>
      </c>
      <c r="G5635" s="1" t="s">
        <v>16049</v>
      </c>
      <c r="H5635" s="1" t="s">
        <v>3604</v>
      </c>
      <c r="I5635" s="1" t="s">
        <v>19936</v>
      </c>
      <c r="J5635" s="1" t="s">
        <v>3606</v>
      </c>
      <c r="K5635" s="1" t="s">
        <v>19937</v>
      </c>
      <c r="L5635" s="1"/>
      <c r="M5635" s="1"/>
    </row>
    <row x14ac:dyDescent="0.25" r="5636" customHeight="1" ht="18.75">
      <c r="A5636" s="1" t="s">
        <v>3598</v>
      </c>
      <c r="B5636" s="1" t="s">
        <v>9007</v>
      </c>
      <c r="C5636" s="1" t="s">
        <v>3600</v>
      </c>
      <c r="D5636" s="1" t="s">
        <v>3601</v>
      </c>
      <c r="E5636" s="1" t="s">
        <v>3893</v>
      </c>
      <c r="F5636" s="1" t="s">
        <v>19938</v>
      </c>
      <c r="G5636" s="1" t="s">
        <v>16049</v>
      </c>
      <c r="H5636" s="1" t="s">
        <v>3604</v>
      </c>
      <c r="I5636" s="1" t="s">
        <v>19939</v>
      </c>
      <c r="J5636" s="1" t="s">
        <v>3606</v>
      </c>
      <c r="K5636" s="1" t="s">
        <v>19940</v>
      </c>
      <c r="L5636" s="1"/>
      <c r="M5636" s="1"/>
    </row>
    <row x14ac:dyDescent="0.25" r="5637" customHeight="1" ht="18.75">
      <c r="A5637" s="1" t="s">
        <v>3598</v>
      </c>
      <c r="B5637" s="1" t="s">
        <v>9007</v>
      </c>
      <c r="C5637" s="1" t="s">
        <v>3600</v>
      </c>
      <c r="D5637" s="1" t="s">
        <v>3601</v>
      </c>
      <c r="E5637" s="1" t="s">
        <v>3893</v>
      </c>
      <c r="F5637" s="1" t="s">
        <v>19941</v>
      </c>
      <c r="G5637" s="1" t="s">
        <v>19942</v>
      </c>
      <c r="H5637" s="1" t="s">
        <v>3604</v>
      </c>
      <c r="I5637" s="1" t="s">
        <v>19943</v>
      </c>
      <c r="J5637" s="1" t="s">
        <v>3606</v>
      </c>
      <c r="K5637" s="1" t="s">
        <v>19944</v>
      </c>
      <c r="L5637" s="1"/>
      <c r="M5637" s="1"/>
    </row>
    <row x14ac:dyDescent="0.25" r="5638" customHeight="1" ht="18.75">
      <c r="A5638" s="1" t="s">
        <v>3598</v>
      </c>
      <c r="B5638" s="1" t="s">
        <v>15659</v>
      </c>
      <c r="C5638" s="1" t="s">
        <v>3600</v>
      </c>
      <c r="D5638" s="1" t="s">
        <v>3601</v>
      </c>
      <c r="E5638" s="1" t="s">
        <v>3664</v>
      </c>
      <c r="F5638" s="1" t="s">
        <v>19945</v>
      </c>
      <c r="G5638" s="1" t="s">
        <v>19946</v>
      </c>
      <c r="H5638" s="1" t="s">
        <v>3604</v>
      </c>
      <c r="I5638" s="1" t="s">
        <v>19947</v>
      </c>
      <c r="J5638" s="1" t="s">
        <v>3606</v>
      </c>
      <c r="K5638" s="1" t="s">
        <v>19948</v>
      </c>
      <c r="L5638" s="1"/>
      <c r="M5638" s="1"/>
    </row>
    <row x14ac:dyDescent="0.25" r="5639" customHeight="1" ht="18.75">
      <c r="A5639" s="1" t="s">
        <v>3598</v>
      </c>
      <c r="B5639" s="1" t="s">
        <v>18092</v>
      </c>
      <c r="C5639" s="1" t="s">
        <v>3600</v>
      </c>
      <c r="D5639" s="1" t="s">
        <v>3601</v>
      </c>
      <c r="E5639" s="1" t="s">
        <v>3893</v>
      </c>
      <c r="F5639" s="1" t="s">
        <v>19949</v>
      </c>
      <c r="G5639" s="1" t="s">
        <v>19950</v>
      </c>
      <c r="H5639" s="1" t="s">
        <v>3604</v>
      </c>
      <c r="I5639" s="1" t="s">
        <v>19951</v>
      </c>
      <c r="J5639" s="1" t="s">
        <v>3606</v>
      </c>
      <c r="K5639" s="1" t="s">
        <v>19952</v>
      </c>
      <c r="L5639" s="1"/>
      <c r="M5639" s="1"/>
    </row>
    <row x14ac:dyDescent="0.25" r="5640" customHeight="1" ht="18.75">
      <c r="A5640" s="1" t="s">
        <v>3598</v>
      </c>
      <c r="B5640" s="1" t="s">
        <v>4689</v>
      </c>
      <c r="C5640" s="1" t="s">
        <v>3600</v>
      </c>
      <c r="D5640" s="1" t="s">
        <v>3601</v>
      </c>
      <c r="E5640" s="1" t="s">
        <v>3893</v>
      </c>
      <c r="F5640" s="1" t="s">
        <v>19953</v>
      </c>
      <c r="G5640" s="1" t="s">
        <v>19954</v>
      </c>
      <c r="H5640" s="1" t="s">
        <v>3604</v>
      </c>
      <c r="I5640" s="1" t="s">
        <v>19955</v>
      </c>
      <c r="J5640" s="1" t="s">
        <v>3606</v>
      </c>
      <c r="K5640" s="1" t="s">
        <v>19956</v>
      </c>
      <c r="L5640" s="1"/>
      <c r="M5640" s="1"/>
    </row>
    <row x14ac:dyDescent="0.25" r="5641" customHeight="1" ht="18.75">
      <c r="A5641" s="1" t="s">
        <v>3598</v>
      </c>
      <c r="B5641" s="1" t="s">
        <v>4689</v>
      </c>
      <c r="C5641" s="1" t="s">
        <v>3600</v>
      </c>
      <c r="D5641" s="1" t="s">
        <v>3601</v>
      </c>
      <c r="E5641" s="1" t="s">
        <v>3893</v>
      </c>
      <c r="F5641" s="1" t="s">
        <v>19957</v>
      </c>
      <c r="G5641" s="1" t="s">
        <v>19958</v>
      </c>
      <c r="H5641" s="1" t="s">
        <v>3604</v>
      </c>
      <c r="I5641" s="1" t="s">
        <v>19959</v>
      </c>
      <c r="J5641" s="1" t="s">
        <v>3606</v>
      </c>
      <c r="K5641" s="1" t="s">
        <v>19960</v>
      </c>
      <c r="L5641" s="1"/>
      <c r="M5641" s="1"/>
    </row>
    <row x14ac:dyDescent="0.25" r="5642" customHeight="1" ht="18.75">
      <c r="A5642" s="1" t="s">
        <v>3598</v>
      </c>
      <c r="B5642" s="1" t="s">
        <v>4689</v>
      </c>
      <c r="C5642" s="1" t="s">
        <v>3600</v>
      </c>
      <c r="D5642" s="1" t="s">
        <v>3601</v>
      </c>
      <c r="E5642" s="1" t="s">
        <v>3664</v>
      </c>
      <c r="F5642" s="1" t="s">
        <v>19961</v>
      </c>
      <c r="G5642" s="1" t="s">
        <v>19962</v>
      </c>
      <c r="H5642" s="1" t="s">
        <v>3604</v>
      </c>
      <c r="I5642" s="1" t="s">
        <v>19963</v>
      </c>
      <c r="J5642" s="1" t="s">
        <v>3606</v>
      </c>
      <c r="K5642" s="1" t="s">
        <v>19964</v>
      </c>
      <c r="L5642" s="1"/>
      <c r="M5642" s="1"/>
    </row>
    <row x14ac:dyDescent="0.25" r="5643" customHeight="1" ht="18.75">
      <c r="A5643" s="1" t="s">
        <v>3598</v>
      </c>
      <c r="B5643" s="1" t="s">
        <v>15780</v>
      </c>
      <c r="C5643" s="1" t="s">
        <v>3600</v>
      </c>
      <c r="D5643" s="1" t="s">
        <v>3601</v>
      </c>
      <c r="E5643" s="1" t="s">
        <v>3664</v>
      </c>
      <c r="F5643" s="1" t="s">
        <v>19965</v>
      </c>
      <c r="G5643" s="1" t="s">
        <v>15782</v>
      </c>
      <c r="H5643" s="1" t="s">
        <v>3604</v>
      </c>
      <c r="I5643" s="1" t="s">
        <v>19966</v>
      </c>
      <c r="J5643" s="1" t="s">
        <v>3606</v>
      </c>
      <c r="K5643" s="1" t="s">
        <v>19967</v>
      </c>
      <c r="L5643" s="1"/>
      <c r="M5643" s="1"/>
    </row>
    <row x14ac:dyDescent="0.25" r="5644" customHeight="1" ht="18.75">
      <c r="A5644" s="1" t="s">
        <v>3598</v>
      </c>
      <c r="B5644" s="1" t="s">
        <v>14119</v>
      </c>
      <c r="C5644" s="1" t="s">
        <v>3600</v>
      </c>
      <c r="D5644" s="1" t="s">
        <v>3601</v>
      </c>
      <c r="E5644" s="1" t="s">
        <v>3664</v>
      </c>
      <c r="F5644" s="1" t="s">
        <v>19968</v>
      </c>
      <c r="G5644" s="1" t="s">
        <v>14121</v>
      </c>
      <c r="H5644" s="1" t="s">
        <v>3604</v>
      </c>
      <c r="I5644" s="1" t="s">
        <v>19969</v>
      </c>
      <c r="J5644" s="1" t="s">
        <v>3606</v>
      </c>
      <c r="K5644" s="1" t="s">
        <v>19970</v>
      </c>
      <c r="L5644" s="1"/>
      <c r="M5644" s="1"/>
    </row>
    <row x14ac:dyDescent="0.25" r="5645" customHeight="1" ht="18.75">
      <c r="A5645" s="1" t="s">
        <v>3598</v>
      </c>
      <c r="B5645" s="1" t="s">
        <v>3814</v>
      </c>
      <c r="C5645" s="1" t="s">
        <v>3600</v>
      </c>
      <c r="D5645" s="1" t="s">
        <v>3601</v>
      </c>
      <c r="E5645" s="1" t="s">
        <v>3664</v>
      </c>
      <c r="F5645" s="1" t="s">
        <v>19971</v>
      </c>
      <c r="G5645" s="1" t="s">
        <v>19972</v>
      </c>
      <c r="H5645" s="1" t="s">
        <v>3604</v>
      </c>
      <c r="I5645" s="1" t="s">
        <v>19973</v>
      </c>
      <c r="J5645" s="1" t="s">
        <v>3606</v>
      </c>
      <c r="K5645" s="1" t="s">
        <v>19974</v>
      </c>
      <c r="L5645" s="1"/>
      <c r="M5645" s="1"/>
    </row>
    <row x14ac:dyDescent="0.25" r="5646" customHeight="1" ht="18.75">
      <c r="A5646" s="1" t="s">
        <v>3598</v>
      </c>
      <c r="B5646" s="1" t="s">
        <v>19975</v>
      </c>
      <c r="C5646" s="1" t="s">
        <v>3600</v>
      </c>
      <c r="D5646" s="1" t="s">
        <v>3601</v>
      </c>
      <c r="E5646" s="1" t="s">
        <v>3664</v>
      </c>
      <c r="F5646" s="1" t="s">
        <v>19976</v>
      </c>
      <c r="G5646" s="1" t="s">
        <v>19977</v>
      </c>
      <c r="H5646" s="1" t="s">
        <v>3604</v>
      </c>
      <c r="I5646" s="1" t="s">
        <v>19978</v>
      </c>
      <c r="J5646" s="1" t="s">
        <v>3606</v>
      </c>
      <c r="K5646" s="1" t="s">
        <v>19979</v>
      </c>
      <c r="L5646" s="1"/>
      <c r="M5646" s="1"/>
    </row>
    <row x14ac:dyDescent="0.25" r="5647" customHeight="1" ht="18.75">
      <c r="A5647" s="1" t="s">
        <v>3598</v>
      </c>
      <c r="B5647" s="1" t="s">
        <v>19975</v>
      </c>
      <c r="C5647" s="1" t="s">
        <v>3600</v>
      </c>
      <c r="D5647" s="1" t="s">
        <v>3601</v>
      </c>
      <c r="E5647" s="1" t="s">
        <v>3664</v>
      </c>
      <c r="F5647" s="1" t="s">
        <v>19980</v>
      </c>
      <c r="G5647" s="1" t="s">
        <v>19981</v>
      </c>
      <c r="H5647" s="1" t="s">
        <v>3604</v>
      </c>
      <c r="I5647" s="1" t="s">
        <v>19982</v>
      </c>
      <c r="J5647" s="1" t="s">
        <v>3606</v>
      </c>
      <c r="K5647" s="1" t="s">
        <v>19983</v>
      </c>
      <c r="L5647" s="1"/>
      <c r="M5647" s="1"/>
    </row>
    <row x14ac:dyDescent="0.25" r="5648" customHeight="1" ht="18.75">
      <c r="A5648" s="1" t="s">
        <v>3598</v>
      </c>
      <c r="B5648" s="1" t="s">
        <v>4781</v>
      </c>
      <c r="C5648" s="1" t="s">
        <v>3600</v>
      </c>
      <c r="D5648" s="1" t="s">
        <v>3601</v>
      </c>
      <c r="E5648" s="1" t="s">
        <v>3664</v>
      </c>
      <c r="F5648" s="1" t="s">
        <v>19984</v>
      </c>
      <c r="G5648" s="1" t="s">
        <v>19985</v>
      </c>
      <c r="H5648" s="1" t="s">
        <v>3604</v>
      </c>
      <c r="I5648" s="1" t="s">
        <v>19986</v>
      </c>
      <c r="J5648" s="1" t="s">
        <v>3606</v>
      </c>
      <c r="K5648" s="1" t="s">
        <v>19987</v>
      </c>
      <c r="L5648" s="1"/>
      <c r="M5648" s="1"/>
    </row>
    <row x14ac:dyDescent="0.25" r="5649" customHeight="1" ht="18.75">
      <c r="A5649" s="1" t="s">
        <v>3598</v>
      </c>
      <c r="B5649" s="1" t="s">
        <v>5239</v>
      </c>
      <c r="C5649" s="1" t="s">
        <v>3600</v>
      </c>
      <c r="D5649" s="1" t="s">
        <v>3601</v>
      </c>
      <c r="E5649" s="1" t="s">
        <v>3664</v>
      </c>
      <c r="F5649" s="1" t="s">
        <v>19988</v>
      </c>
      <c r="G5649" s="1" t="s">
        <v>19989</v>
      </c>
      <c r="H5649" s="1" t="s">
        <v>3604</v>
      </c>
      <c r="I5649" s="1" t="s">
        <v>19990</v>
      </c>
      <c r="J5649" s="1" t="s">
        <v>3606</v>
      </c>
      <c r="K5649" s="1" t="s">
        <v>19991</v>
      </c>
      <c r="L5649" s="1"/>
      <c r="M5649" s="1"/>
    </row>
    <row x14ac:dyDescent="0.25" r="5650" customHeight="1" ht="18.75">
      <c r="A5650" s="1" t="s">
        <v>3598</v>
      </c>
      <c r="B5650" s="1" t="s">
        <v>5239</v>
      </c>
      <c r="C5650" s="1" t="s">
        <v>3600</v>
      </c>
      <c r="D5650" s="1" t="s">
        <v>3601</v>
      </c>
      <c r="E5650" s="1" t="s">
        <v>3664</v>
      </c>
      <c r="F5650" s="1" t="s">
        <v>19992</v>
      </c>
      <c r="G5650" s="1" t="s">
        <v>19989</v>
      </c>
      <c r="H5650" s="1" t="s">
        <v>3604</v>
      </c>
      <c r="I5650" s="1" t="s">
        <v>19993</v>
      </c>
      <c r="J5650" s="1" t="s">
        <v>3606</v>
      </c>
      <c r="K5650" s="1" t="s">
        <v>19994</v>
      </c>
      <c r="L5650" s="1"/>
      <c r="M5650" s="1"/>
    </row>
    <row x14ac:dyDescent="0.25" r="5651" customHeight="1" ht="18.75">
      <c r="A5651" s="1" t="s">
        <v>3598</v>
      </c>
      <c r="B5651" s="1" t="s">
        <v>9020</v>
      </c>
      <c r="C5651" s="1" t="s">
        <v>3600</v>
      </c>
      <c r="D5651" s="1" t="s">
        <v>3601</v>
      </c>
      <c r="E5651" s="1" t="s">
        <v>3893</v>
      </c>
      <c r="F5651" s="1" t="s">
        <v>19995</v>
      </c>
      <c r="G5651" s="1" t="s">
        <v>19996</v>
      </c>
      <c r="H5651" s="1" t="s">
        <v>3604</v>
      </c>
      <c r="I5651" s="1" t="s">
        <v>19997</v>
      </c>
      <c r="J5651" s="1" t="s">
        <v>3606</v>
      </c>
      <c r="K5651" s="1" t="s">
        <v>19998</v>
      </c>
      <c r="L5651" s="1"/>
      <c r="M5651" s="1"/>
    </row>
    <row x14ac:dyDescent="0.25" r="5652" customHeight="1" ht="18.75">
      <c r="A5652" s="1" t="s">
        <v>3598</v>
      </c>
      <c r="B5652" s="1" t="s">
        <v>9020</v>
      </c>
      <c r="C5652" s="1" t="s">
        <v>3600</v>
      </c>
      <c r="D5652" s="1" t="s">
        <v>3601</v>
      </c>
      <c r="E5652" s="1" t="s">
        <v>3893</v>
      </c>
      <c r="F5652" s="1" t="s">
        <v>19999</v>
      </c>
      <c r="G5652" s="1" t="s">
        <v>19996</v>
      </c>
      <c r="H5652" s="1" t="s">
        <v>3604</v>
      </c>
      <c r="I5652" s="1" t="s">
        <v>20000</v>
      </c>
      <c r="J5652" s="1" t="s">
        <v>3606</v>
      </c>
      <c r="K5652" s="1" t="s">
        <v>20001</v>
      </c>
      <c r="L5652" s="1"/>
      <c r="M5652" s="1"/>
    </row>
    <row x14ac:dyDescent="0.25" r="5653" customHeight="1" ht="18.75">
      <c r="A5653" s="1" t="s">
        <v>3598</v>
      </c>
      <c r="B5653" s="1" t="s">
        <v>9020</v>
      </c>
      <c r="C5653" s="1" t="s">
        <v>3600</v>
      </c>
      <c r="D5653" s="1" t="s">
        <v>3601</v>
      </c>
      <c r="E5653" s="1" t="s">
        <v>3893</v>
      </c>
      <c r="F5653" s="1" t="s">
        <v>20002</v>
      </c>
      <c r="G5653" s="1" t="s">
        <v>19996</v>
      </c>
      <c r="H5653" s="1" t="s">
        <v>3604</v>
      </c>
      <c r="I5653" s="1" t="s">
        <v>20003</v>
      </c>
      <c r="J5653" s="1" t="s">
        <v>3606</v>
      </c>
      <c r="K5653" s="1" t="s">
        <v>20004</v>
      </c>
      <c r="L5653" s="1"/>
      <c r="M5653" s="1"/>
    </row>
    <row x14ac:dyDescent="0.25" r="5654" customHeight="1" ht="18.75">
      <c r="A5654" s="1" t="s">
        <v>3598</v>
      </c>
      <c r="B5654" s="1" t="s">
        <v>14038</v>
      </c>
      <c r="C5654" s="1" t="s">
        <v>3600</v>
      </c>
      <c r="D5654" s="1" t="s">
        <v>3601</v>
      </c>
      <c r="E5654" s="1" t="s">
        <v>3664</v>
      </c>
      <c r="F5654" s="1" t="s">
        <v>20005</v>
      </c>
      <c r="G5654" s="1" t="s">
        <v>20006</v>
      </c>
      <c r="H5654" s="1" t="s">
        <v>3604</v>
      </c>
      <c r="I5654" s="1" t="s">
        <v>20007</v>
      </c>
      <c r="J5654" s="1" t="s">
        <v>3606</v>
      </c>
      <c r="K5654" s="1" t="s">
        <v>20008</v>
      </c>
      <c r="L5654" s="1"/>
      <c r="M5654" s="1"/>
    </row>
    <row x14ac:dyDescent="0.25" r="5655" customHeight="1" ht="18.75">
      <c r="A5655" s="1" t="s">
        <v>3598</v>
      </c>
      <c r="B5655" s="1" t="s">
        <v>14021</v>
      </c>
      <c r="C5655" s="1" t="s">
        <v>3600</v>
      </c>
      <c r="D5655" s="1" t="s">
        <v>3601</v>
      </c>
      <c r="E5655" s="1" t="s">
        <v>3893</v>
      </c>
      <c r="F5655" s="1" t="s">
        <v>20009</v>
      </c>
      <c r="G5655" s="1" t="s">
        <v>20010</v>
      </c>
      <c r="H5655" s="1" t="s">
        <v>3604</v>
      </c>
      <c r="I5655" s="1" t="s">
        <v>20011</v>
      </c>
      <c r="J5655" s="1" t="s">
        <v>3606</v>
      </c>
      <c r="K5655" s="1" t="s">
        <v>20012</v>
      </c>
      <c r="L5655" s="1"/>
      <c r="M5655" s="1"/>
    </row>
    <row x14ac:dyDescent="0.25" r="5656" customHeight="1" ht="18.75">
      <c r="A5656" s="1" t="s">
        <v>3598</v>
      </c>
      <c r="B5656" s="1" t="s">
        <v>14021</v>
      </c>
      <c r="C5656" s="1" t="s">
        <v>3600</v>
      </c>
      <c r="D5656" s="1" t="s">
        <v>3601</v>
      </c>
      <c r="E5656" s="1" t="s">
        <v>3893</v>
      </c>
      <c r="F5656" s="1" t="s">
        <v>20013</v>
      </c>
      <c r="G5656" s="1" t="s">
        <v>20014</v>
      </c>
      <c r="H5656" s="1" t="s">
        <v>3604</v>
      </c>
      <c r="I5656" s="1" t="s">
        <v>20015</v>
      </c>
      <c r="J5656" s="1" t="s">
        <v>3606</v>
      </c>
      <c r="K5656" s="1" t="s">
        <v>20016</v>
      </c>
      <c r="L5656" s="1"/>
      <c r="M5656" s="1"/>
    </row>
    <row x14ac:dyDescent="0.25" r="5657" customHeight="1" ht="18.75">
      <c r="A5657" s="1" t="s">
        <v>3598</v>
      </c>
      <c r="B5657" s="1" t="s">
        <v>14021</v>
      </c>
      <c r="C5657" s="1" t="s">
        <v>3600</v>
      </c>
      <c r="D5657" s="1" t="s">
        <v>3601</v>
      </c>
      <c r="E5657" s="1" t="s">
        <v>3893</v>
      </c>
      <c r="F5657" s="1" t="s">
        <v>20017</v>
      </c>
      <c r="G5657" s="1" t="s">
        <v>20014</v>
      </c>
      <c r="H5657" s="1" t="s">
        <v>3604</v>
      </c>
      <c r="I5657" s="1" t="s">
        <v>20018</v>
      </c>
      <c r="J5657" s="1" t="s">
        <v>3606</v>
      </c>
      <c r="K5657" s="1" t="s">
        <v>20019</v>
      </c>
      <c r="L5657" s="1"/>
      <c r="M5657" s="1"/>
    </row>
    <row x14ac:dyDescent="0.25" r="5658" customHeight="1" ht="18.75">
      <c r="A5658" s="1" t="s">
        <v>3598</v>
      </c>
      <c r="B5658" s="1" t="s">
        <v>14054</v>
      </c>
      <c r="C5658" s="1" t="s">
        <v>3600</v>
      </c>
      <c r="D5658" s="1" t="s">
        <v>3601</v>
      </c>
      <c r="E5658" s="1" t="s">
        <v>3664</v>
      </c>
      <c r="F5658" s="1" t="s">
        <v>20020</v>
      </c>
      <c r="G5658" s="1" t="s">
        <v>20021</v>
      </c>
      <c r="H5658" s="1" t="s">
        <v>3604</v>
      </c>
      <c r="I5658" s="1" t="s">
        <v>20022</v>
      </c>
      <c r="J5658" s="1" t="s">
        <v>3606</v>
      </c>
      <c r="K5658" s="1" t="s">
        <v>20023</v>
      </c>
      <c r="L5658" s="1"/>
      <c r="M5658" s="1"/>
    </row>
    <row x14ac:dyDescent="0.25" r="5659" customHeight="1" ht="18.75">
      <c r="A5659" s="1" t="s">
        <v>3598</v>
      </c>
      <c r="B5659" s="1" t="s">
        <v>9116</v>
      </c>
      <c r="C5659" s="1" t="s">
        <v>3600</v>
      </c>
      <c r="D5659" s="1" t="s">
        <v>3601</v>
      </c>
      <c r="E5659" s="1" t="s">
        <v>3664</v>
      </c>
      <c r="F5659" s="1" t="s">
        <v>20024</v>
      </c>
      <c r="G5659" s="1" t="s">
        <v>9209</v>
      </c>
      <c r="H5659" s="1" t="s">
        <v>3604</v>
      </c>
      <c r="I5659" s="1" t="s">
        <v>20025</v>
      </c>
      <c r="J5659" s="1" t="s">
        <v>3606</v>
      </c>
      <c r="K5659" s="1" t="s">
        <v>20026</v>
      </c>
      <c r="L5659" s="1"/>
      <c r="M5659" s="1"/>
    </row>
    <row x14ac:dyDescent="0.25" r="5660" customHeight="1" ht="18.75">
      <c r="A5660" s="1" t="s">
        <v>3598</v>
      </c>
      <c r="B5660" s="1" t="s">
        <v>9020</v>
      </c>
      <c r="C5660" s="1" t="s">
        <v>3600</v>
      </c>
      <c r="D5660" s="1" t="s">
        <v>3601</v>
      </c>
      <c r="E5660" s="1" t="s">
        <v>3893</v>
      </c>
      <c r="F5660" s="1" t="s">
        <v>20027</v>
      </c>
      <c r="G5660" s="1" t="s">
        <v>13944</v>
      </c>
      <c r="H5660" s="1" t="s">
        <v>3604</v>
      </c>
      <c r="I5660" s="1" t="s">
        <v>20028</v>
      </c>
      <c r="J5660" s="1" t="s">
        <v>3606</v>
      </c>
      <c r="K5660" s="1" t="s">
        <v>20029</v>
      </c>
      <c r="L5660" s="1"/>
      <c r="M5660" s="1"/>
    </row>
    <row x14ac:dyDescent="0.25" r="5661" customHeight="1" ht="18.75">
      <c r="A5661" s="1" t="s">
        <v>3598</v>
      </c>
      <c r="B5661" s="1" t="s">
        <v>14038</v>
      </c>
      <c r="C5661" s="1" t="s">
        <v>3600</v>
      </c>
      <c r="D5661" s="1" t="s">
        <v>3601</v>
      </c>
      <c r="E5661" s="1" t="s">
        <v>3664</v>
      </c>
      <c r="F5661" s="1" t="s">
        <v>20030</v>
      </c>
      <c r="G5661" s="1" t="s">
        <v>20031</v>
      </c>
      <c r="H5661" s="1" t="s">
        <v>3604</v>
      </c>
      <c r="I5661" s="1" t="s">
        <v>20032</v>
      </c>
      <c r="J5661" s="1" t="s">
        <v>3606</v>
      </c>
      <c r="K5661" s="1" t="s">
        <v>20033</v>
      </c>
      <c r="L5661" s="1"/>
      <c r="M5661" s="1"/>
    </row>
    <row x14ac:dyDescent="0.25" r="5662" customHeight="1" ht="18.75">
      <c r="A5662" s="1" t="s">
        <v>3598</v>
      </c>
      <c r="B5662" s="1" t="s">
        <v>14038</v>
      </c>
      <c r="C5662" s="1" t="s">
        <v>3600</v>
      </c>
      <c r="D5662" s="1" t="s">
        <v>3601</v>
      </c>
      <c r="E5662" s="1" t="s">
        <v>3664</v>
      </c>
      <c r="F5662" s="1" t="s">
        <v>20034</v>
      </c>
      <c r="G5662" s="1" t="s">
        <v>20035</v>
      </c>
      <c r="H5662" s="1" t="s">
        <v>3604</v>
      </c>
      <c r="I5662" s="1" t="s">
        <v>20036</v>
      </c>
      <c r="J5662" s="1" t="s">
        <v>3606</v>
      </c>
      <c r="K5662" s="1" t="s">
        <v>20037</v>
      </c>
      <c r="L5662" s="1"/>
      <c r="M5662" s="1"/>
    </row>
    <row x14ac:dyDescent="0.25" r="5663" customHeight="1" ht="18.75">
      <c r="A5663" s="1" t="s">
        <v>3598</v>
      </c>
      <c r="B5663" s="1" t="s">
        <v>3778</v>
      </c>
      <c r="C5663" s="1" t="s">
        <v>3600</v>
      </c>
      <c r="D5663" s="1" t="s">
        <v>3601</v>
      </c>
      <c r="E5663" s="1" t="s">
        <v>3664</v>
      </c>
      <c r="F5663" s="1" t="s">
        <v>20038</v>
      </c>
      <c r="G5663" s="1" t="s">
        <v>8961</v>
      </c>
      <c r="H5663" s="1" t="s">
        <v>3604</v>
      </c>
      <c r="I5663" s="1" t="s">
        <v>20039</v>
      </c>
      <c r="J5663" s="1" t="s">
        <v>3606</v>
      </c>
      <c r="K5663" s="1" t="s">
        <v>20040</v>
      </c>
      <c r="L5663" s="1"/>
      <c r="M5663" s="1"/>
    </row>
    <row x14ac:dyDescent="0.25" r="5664" customHeight="1" ht="18.75">
      <c r="A5664" s="1" t="s">
        <v>3598</v>
      </c>
      <c r="B5664" s="1" t="s">
        <v>4600</v>
      </c>
      <c r="C5664" s="1" t="s">
        <v>3600</v>
      </c>
      <c r="D5664" s="1" t="s">
        <v>3601</v>
      </c>
      <c r="E5664" s="1" t="s">
        <v>3893</v>
      </c>
      <c r="F5664" s="1" t="s">
        <v>20041</v>
      </c>
      <c r="G5664" s="1" t="s">
        <v>10315</v>
      </c>
      <c r="H5664" s="1" t="s">
        <v>3604</v>
      </c>
      <c r="I5664" s="1" t="s">
        <v>20042</v>
      </c>
      <c r="J5664" s="1" t="s">
        <v>3606</v>
      </c>
      <c r="K5664" s="1" t="s">
        <v>20043</v>
      </c>
      <c r="L5664" s="1"/>
      <c r="M5664" s="1"/>
    </row>
    <row x14ac:dyDescent="0.25" r="5665" customHeight="1" ht="18.75">
      <c r="A5665" s="1" t="s">
        <v>3598</v>
      </c>
      <c r="B5665" s="1" t="s">
        <v>9273</v>
      </c>
      <c r="C5665" s="1" t="s">
        <v>3600</v>
      </c>
      <c r="D5665" s="1" t="s">
        <v>3601</v>
      </c>
      <c r="E5665" s="1" t="s">
        <v>3664</v>
      </c>
      <c r="F5665" s="1" t="s">
        <v>20044</v>
      </c>
      <c r="G5665" s="1" t="s">
        <v>20045</v>
      </c>
      <c r="H5665" s="1" t="s">
        <v>3604</v>
      </c>
      <c r="I5665" s="1" t="s">
        <v>20046</v>
      </c>
      <c r="J5665" s="1" t="s">
        <v>3606</v>
      </c>
      <c r="K5665" s="1" t="s">
        <v>20047</v>
      </c>
      <c r="L5665" s="1"/>
      <c r="M5665" s="1"/>
    </row>
    <row x14ac:dyDescent="0.25" r="5666" customHeight="1" ht="18.75">
      <c r="A5666" s="1" t="s">
        <v>3598</v>
      </c>
      <c r="B5666" s="1" t="s">
        <v>3778</v>
      </c>
      <c r="C5666" s="1" t="s">
        <v>3600</v>
      </c>
      <c r="D5666" s="1" t="s">
        <v>3601</v>
      </c>
      <c r="E5666" s="1" t="s">
        <v>3664</v>
      </c>
      <c r="F5666" s="1" t="s">
        <v>20048</v>
      </c>
      <c r="G5666" s="1" t="s">
        <v>20049</v>
      </c>
      <c r="H5666" s="1" t="s">
        <v>3604</v>
      </c>
      <c r="I5666" s="1" t="s">
        <v>20050</v>
      </c>
      <c r="J5666" s="1" t="s">
        <v>3606</v>
      </c>
      <c r="K5666" s="1" t="s">
        <v>20051</v>
      </c>
      <c r="L5666" s="1"/>
      <c r="M5666" s="1"/>
    </row>
    <row x14ac:dyDescent="0.25" r="5667" customHeight="1" ht="18.75">
      <c r="A5667" s="1" t="s">
        <v>3598</v>
      </c>
      <c r="B5667" s="1" t="s">
        <v>3778</v>
      </c>
      <c r="C5667" s="1" t="s">
        <v>3600</v>
      </c>
      <c r="D5667" s="1" t="s">
        <v>3601</v>
      </c>
      <c r="E5667" s="1" t="s">
        <v>3664</v>
      </c>
      <c r="F5667" s="1" t="s">
        <v>20052</v>
      </c>
      <c r="G5667" s="1" t="s">
        <v>20053</v>
      </c>
      <c r="H5667" s="1" t="s">
        <v>3604</v>
      </c>
      <c r="I5667" s="1" t="s">
        <v>20054</v>
      </c>
      <c r="J5667" s="1" t="s">
        <v>3606</v>
      </c>
      <c r="K5667" s="1" t="s">
        <v>20055</v>
      </c>
      <c r="L5667" s="1"/>
      <c r="M5667" s="1"/>
    </row>
    <row x14ac:dyDescent="0.25" r="5668" customHeight="1" ht="18.75">
      <c r="A5668" s="1" t="s">
        <v>3598</v>
      </c>
      <c r="B5668" s="1" t="s">
        <v>3751</v>
      </c>
      <c r="C5668" s="1" t="s">
        <v>3600</v>
      </c>
      <c r="D5668" s="1" t="s">
        <v>3601</v>
      </c>
      <c r="E5668" s="1" t="s">
        <v>3664</v>
      </c>
      <c r="F5668" s="1" t="s">
        <v>20056</v>
      </c>
      <c r="G5668" s="1" t="s">
        <v>20057</v>
      </c>
      <c r="H5668" s="1" t="s">
        <v>3604</v>
      </c>
      <c r="I5668" s="1" t="s">
        <v>20058</v>
      </c>
      <c r="J5668" s="1" t="s">
        <v>3606</v>
      </c>
      <c r="K5668" s="1" t="s">
        <v>20059</v>
      </c>
      <c r="L5668" s="1"/>
      <c r="M5668" s="1"/>
    </row>
    <row x14ac:dyDescent="0.25" r="5669" customHeight="1" ht="18.75">
      <c r="A5669" s="1" t="s">
        <v>3598</v>
      </c>
      <c r="B5669" s="1" t="s">
        <v>9020</v>
      </c>
      <c r="C5669" s="1" t="s">
        <v>3600</v>
      </c>
      <c r="D5669" s="1" t="s">
        <v>3601</v>
      </c>
      <c r="E5669" s="1" t="s">
        <v>3893</v>
      </c>
      <c r="F5669" s="1" t="s">
        <v>20060</v>
      </c>
      <c r="G5669" s="1" t="s">
        <v>13986</v>
      </c>
      <c r="H5669" s="1" t="s">
        <v>3604</v>
      </c>
      <c r="I5669" s="1" t="s">
        <v>20061</v>
      </c>
      <c r="J5669" s="1" t="s">
        <v>3606</v>
      </c>
      <c r="K5669" s="1" t="s">
        <v>20062</v>
      </c>
      <c r="L5669" s="1"/>
      <c r="M5669" s="1"/>
    </row>
    <row x14ac:dyDescent="0.25" r="5670" customHeight="1" ht="18.75">
      <c r="A5670" s="1" t="s">
        <v>3598</v>
      </c>
      <c r="B5670" s="1" t="s">
        <v>9020</v>
      </c>
      <c r="C5670" s="1" t="s">
        <v>3600</v>
      </c>
      <c r="D5670" s="1" t="s">
        <v>3601</v>
      </c>
      <c r="E5670" s="1" t="s">
        <v>3893</v>
      </c>
      <c r="F5670" s="1" t="s">
        <v>20063</v>
      </c>
      <c r="G5670" s="1" t="s">
        <v>13986</v>
      </c>
      <c r="H5670" s="1" t="s">
        <v>3604</v>
      </c>
      <c r="I5670" s="1" t="s">
        <v>20064</v>
      </c>
      <c r="J5670" s="1" t="s">
        <v>3606</v>
      </c>
      <c r="K5670" s="1" t="s">
        <v>20065</v>
      </c>
      <c r="L5670" s="1"/>
      <c r="M5670" s="1"/>
    </row>
    <row x14ac:dyDescent="0.25" r="5671" customHeight="1" ht="18.75">
      <c r="A5671" s="1" t="s">
        <v>3598</v>
      </c>
      <c r="B5671" s="1" t="s">
        <v>9020</v>
      </c>
      <c r="C5671" s="1" t="s">
        <v>3600</v>
      </c>
      <c r="D5671" s="1" t="s">
        <v>3601</v>
      </c>
      <c r="E5671" s="1" t="s">
        <v>3893</v>
      </c>
      <c r="F5671" s="1" t="s">
        <v>20066</v>
      </c>
      <c r="G5671" s="1" t="s">
        <v>13986</v>
      </c>
      <c r="H5671" s="1" t="s">
        <v>3604</v>
      </c>
      <c r="I5671" s="1" t="s">
        <v>20067</v>
      </c>
      <c r="J5671" s="1" t="s">
        <v>3606</v>
      </c>
      <c r="K5671" s="1" t="s">
        <v>20068</v>
      </c>
      <c r="L5671" s="1"/>
      <c r="M5671" s="1"/>
    </row>
    <row x14ac:dyDescent="0.25" r="5672" customHeight="1" ht="18.75">
      <c r="A5672" s="1" t="s">
        <v>3598</v>
      </c>
      <c r="B5672" s="1" t="s">
        <v>9012</v>
      </c>
      <c r="C5672" s="1" t="s">
        <v>3600</v>
      </c>
      <c r="D5672" s="1" t="s">
        <v>3601</v>
      </c>
      <c r="E5672" s="1" t="s">
        <v>3893</v>
      </c>
      <c r="F5672" s="1" t="s">
        <v>20069</v>
      </c>
      <c r="G5672" s="1" t="s">
        <v>20070</v>
      </c>
      <c r="H5672" s="1" t="s">
        <v>3604</v>
      </c>
      <c r="I5672" s="1" t="s">
        <v>20071</v>
      </c>
      <c r="J5672" s="1" t="s">
        <v>3606</v>
      </c>
      <c r="K5672" s="1" t="s">
        <v>20072</v>
      </c>
      <c r="L5672" s="1"/>
      <c r="M5672" s="1"/>
    </row>
    <row x14ac:dyDescent="0.25" r="5673" customHeight="1" ht="18.75">
      <c r="A5673" s="1" t="s">
        <v>3598</v>
      </c>
      <c r="B5673" s="1" t="s">
        <v>9012</v>
      </c>
      <c r="C5673" s="1" t="s">
        <v>3600</v>
      </c>
      <c r="D5673" s="1" t="s">
        <v>3601</v>
      </c>
      <c r="E5673" s="1" t="s">
        <v>3893</v>
      </c>
      <c r="F5673" s="1" t="s">
        <v>20073</v>
      </c>
      <c r="G5673" s="1" t="s">
        <v>20074</v>
      </c>
      <c r="H5673" s="1" t="s">
        <v>3604</v>
      </c>
      <c r="I5673" s="1" t="s">
        <v>20075</v>
      </c>
      <c r="J5673" s="1" t="s">
        <v>3606</v>
      </c>
      <c r="K5673" s="1" t="s">
        <v>20076</v>
      </c>
      <c r="L5673" s="1"/>
      <c r="M5673" s="1"/>
    </row>
    <row x14ac:dyDescent="0.25" r="5674" customHeight="1" ht="18.75">
      <c r="A5674" s="1" t="s">
        <v>3598</v>
      </c>
      <c r="B5674" s="1" t="s">
        <v>9012</v>
      </c>
      <c r="C5674" s="1" t="s">
        <v>3600</v>
      </c>
      <c r="D5674" s="1" t="s">
        <v>3601</v>
      </c>
      <c r="E5674" s="1" t="s">
        <v>3893</v>
      </c>
      <c r="F5674" s="1" t="s">
        <v>20077</v>
      </c>
      <c r="G5674" s="1" t="s">
        <v>20074</v>
      </c>
      <c r="H5674" s="1" t="s">
        <v>3604</v>
      </c>
      <c r="I5674" s="1" t="s">
        <v>20078</v>
      </c>
      <c r="J5674" s="1" t="s">
        <v>3606</v>
      </c>
      <c r="K5674" s="1" t="s">
        <v>20079</v>
      </c>
      <c r="L5674" s="1"/>
      <c r="M5674" s="1"/>
    </row>
    <row x14ac:dyDescent="0.25" r="5675" customHeight="1" ht="18.75">
      <c r="A5675" s="1" t="s">
        <v>3598</v>
      </c>
      <c r="B5675" s="1" t="s">
        <v>13984</v>
      </c>
      <c r="C5675" s="1" t="s">
        <v>3600</v>
      </c>
      <c r="D5675" s="1" t="s">
        <v>3601</v>
      </c>
      <c r="E5675" s="1" t="s">
        <v>3893</v>
      </c>
      <c r="F5675" s="1" t="s">
        <v>20080</v>
      </c>
      <c r="G5675" s="1" t="s">
        <v>6524</v>
      </c>
      <c r="H5675" s="1" t="s">
        <v>3604</v>
      </c>
      <c r="I5675" s="1" t="s">
        <v>20081</v>
      </c>
      <c r="J5675" s="1" t="s">
        <v>3606</v>
      </c>
      <c r="K5675" s="1" t="s">
        <v>20082</v>
      </c>
      <c r="L5675" s="1"/>
      <c r="M5675" s="1"/>
    </row>
    <row x14ac:dyDescent="0.25" r="5676" customHeight="1" ht="18.75">
      <c r="A5676" s="1" t="s">
        <v>3598</v>
      </c>
      <c r="B5676" s="1" t="s">
        <v>13984</v>
      </c>
      <c r="C5676" s="1" t="s">
        <v>3600</v>
      </c>
      <c r="D5676" s="1" t="s">
        <v>3601</v>
      </c>
      <c r="E5676" s="1" t="s">
        <v>3893</v>
      </c>
      <c r="F5676" s="1" t="s">
        <v>20083</v>
      </c>
      <c r="G5676" s="1" t="s">
        <v>6524</v>
      </c>
      <c r="H5676" s="1" t="s">
        <v>3604</v>
      </c>
      <c r="I5676" s="1" t="s">
        <v>20084</v>
      </c>
      <c r="J5676" s="1" t="s">
        <v>3606</v>
      </c>
      <c r="K5676" s="1" t="s">
        <v>20085</v>
      </c>
      <c r="L5676" s="1"/>
      <c r="M5676" s="1"/>
    </row>
    <row x14ac:dyDescent="0.25" r="5677" customHeight="1" ht="18.75">
      <c r="A5677" s="1" t="s">
        <v>3598</v>
      </c>
      <c r="B5677" s="1" t="s">
        <v>13984</v>
      </c>
      <c r="C5677" s="1" t="s">
        <v>3600</v>
      </c>
      <c r="D5677" s="1" t="s">
        <v>3601</v>
      </c>
      <c r="E5677" s="1" t="s">
        <v>3893</v>
      </c>
      <c r="F5677" s="1" t="s">
        <v>20086</v>
      </c>
      <c r="G5677" s="1" t="s">
        <v>6524</v>
      </c>
      <c r="H5677" s="1" t="s">
        <v>3604</v>
      </c>
      <c r="I5677" s="1" t="s">
        <v>20087</v>
      </c>
      <c r="J5677" s="1" t="s">
        <v>3606</v>
      </c>
      <c r="K5677" s="1" t="s">
        <v>20088</v>
      </c>
      <c r="L5677" s="1"/>
      <c r="M5677" s="1"/>
    </row>
    <row x14ac:dyDescent="0.25" r="5678" customHeight="1" ht="18.75">
      <c r="A5678" s="1" t="s">
        <v>3598</v>
      </c>
      <c r="B5678" s="1" t="s">
        <v>13984</v>
      </c>
      <c r="C5678" s="1" t="s">
        <v>3600</v>
      </c>
      <c r="D5678" s="1" t="s">
        <v>3601</v>
      </c>
      <c r="E5678" s="1" t="s">
        <v>3893</v>
      </c>
      <c r="F5678" s="1" t="s">
        <v>20089</v>
      </c>
      <c r="G5678" s="1" t="s">
        <v>20090</v>
      </c>
      <c r="H5678" s="1" t="s">
        <v>3604</v>
      </c>
      <c r="I5678" s="1" t="s">
        <v>20091</v>
      </c>
      <c r="J5678" s="1" t="s">
        <v>3606</v>
      </c>
      <c r="K5678" s="1" t="s">
        <v>20092</v>
      </c>
      <c r="L5678" s="1"/>
      <c r="M5678" s="1"/>
    </row>
    <row x14ac:dyDescent="0.25" r="5679" customHeight="1" ht="18.75">
      <c r="A5679" s="1" t="s">
        <v>3598</v>
      </c>
      <c r="B5679" s="1" t="s">
        <v>4273</v>
      </c>
      <c r="C5679" s="1" t="s">
        <v>3600</v>
      </c>
      <c r="D5679" s="1" t="s">
        <v>3601</v>
      </c>
      <c r="E5679" s="1" t="s">
        <v>3664</v>
      </c>
      <c r="F5679" s="1" t="s">
        <v>20093</v>
      </c>
      <c r="G5679" s="1" t="s">
        <v>20094</v>
      </c>
      <c r="H5679" s="1" t="s">
        <v>3604</v>
      </c>
      <c r="I5679" s="1" t="s">
        <v>20095</v>
      </c>
      <c r="J5679" s="1" t="s">
        <v>3606</v>
      </c>
      <c r="K5679" s="1" t="s">
        <v>20096</v>
      </c>
      <c r="L5679" s="1"/>
      <c r="M5679" s="1"/>
    </row>
    <row x14ac:dyDescent="0.25" r="5680" customHeight="1" ht="18.75">
      <c r="A5680" s="1" t="s">
        <v>3598</v>
      </c>
      <c r="B5680" s="1" t="s">
        <v>4273</v>
      </c>
      <c r="C5680" s="1" t="s">
        <v>3600</v>
      </c>
      <c r="D5680" s="1" t="s">
        <v>3601</v>
      </c>
      <c r="E5680" s="1" t="s">
        <v>3664</v>
      </c>
      <c r="F5680" s="1" t="s">
        <v>20097</v>
      </c>
      <c r="G5680" s="1" t="s">
        <v>20098</v>
      </c>
      <c r="H5680" s="1" t="s">
        <v>3604</v>
      </c>
      <c r="I5680" s="1" t="s">
        <v>20099</v>
      </c>
      <c r="J5680" s="1" t="s">
        <v>3606</v>
      </c>
      <c r="K5680" s="1" t="s">
        <v>20100</v>
      </c>
      <c r="L5680" s="1"/>
      <c r="M5680" s="1"/>
    </row>
    <row x14ac:dyDescent="0.25" r="5681" customHeight="1" ht="18.75">
      <c r="A5681" s="1" t="s">
        <v>3598</v>
      </c>
      <c r="B5681" s="1" t="s">
        <v>9020</v>
      </c>
      <c r="C5681" s="1" t="s">
        <v>3600</v>
      </c>
      <c r="D5681" s="1" t="s">
        <v>3601</v>
      </c>
      <c r="E5681" s="1" t="s">
        <v>3893</v>
      </c>
      <c r="F5681" s="1" t="s">
        <v>20101</v>
      </c>
      <c r="G5681" s="1" t="s">
        <v>20102</v>
      </c>
      <c r="H5681" s="1" t="s">
        <v>3604</v>
      </c>
      <c r="I5681" s="1" t="s">
        <v>20103</v>
      </c>
      <c r="J5681" s="1" t="s">
        <v>3606</v>
      </c>
      <c r="K5681" s="1" t="s">
        <v>20104</v>
      </c>
      <c r="L5681" s="1"/>
      <c r="M5681" s="1"/>
    </row>
    <row x14ac:dyDescent="0.25" r="5682" customHeight="1" ht="18.75">
      <c r="A5682" s="1" t="s">
        <v>3598</v>
      </c>
      <c r="B5682" s="1" t="s">
        <v>9012</v>
      </c>
      <c r="C5682" s="1" t="s">
        <v>3600</v>
      </c>
      <c r="D5682" s="1" t="s">
        <v>3601</v>
      </c>
      <c r="E5682" s="1" t="s">
        <v>3893</v>
      </c>
      <c r="F5682" s="1" t="s">
        <v>20105</v>
      </c>
      <c r="G5682" s="1" t="s">
        <v>20074</v>
      </c>
      <c r="H5682" s="1" t="s">
        <v>3604</v>
      </c>
      <c r="I5682" s="1" t="s">
        <v>20106</v>
      </c>
      <c r="J5682" s="1" t="s">
        <v>3606</v>
      </c>
      <c r="K5682" s="1" t="s">
        <v>20107</v>
      </c>
      <c r="L5682" s="1"/>
      <c r="M5682" s="1"/>
    </row>
    <row x14ac:dyDescent="0.25" r="5683" customHeight="1" ht="18.75">
      <c r="A5683" s="1" t="s">
        <v>3598</v>
      </c>
      <c r="B5683" s="1" t="s">
        <v>4273</v>
      </c>
      <c r="C5683" s="1" t="s">
        <v>3600</v>
      </c>
      <c r="D5683" s="1" t="s">
        <v>3601</v>
      </c>
      <c r="E5683" s="1" t="s">
        <v>3664</v>
      </c>
      <c r="F5683" s="1" t="s">
        <v>20108</v>
      </c>
      <c r="G5683" s="1" t="s">
        <v>17932</v>
      </c>
      <c r="H5683" s="1" t="s">
        <v>3604</v>
      </c>
      <c r="I5683" s="1" t="s">
        <v>20109</v>
      </c>
      <c r="J5683" s="1" t="s">
        <v>3606</v>
      </c>
      <c r="K5683" s="1" t="s">
        <v>20110</v>
      </c>
      <c r="L5683" s="1"/>
      <c r="M5683" s="1"/>
    </row>
    <row x14ac:dyDescent="0.25" r="5684" customHeight="1" ht="18.75">
      <c r="A5684" s="1" t="s">
        <v>3598</v>
      </c>
      <c r="B5684" s="1" t="s">
        <v>20111</v>
      </c>
      <c r="C5684" s="1" t="s">
        <v>3600</v>
      </c>
      <c r="D5684" s="1" t="s">
        <v>3601</v>
      </c>
      <c r="E5684" s="1" t="s">
        <v>3664</v>
      </c>
      <c r="F5684" s="1" t="s">
        <v>20112</v>
      </c>
      <c r="G5684" s="1" t="s">
        <v>20113</v>
      </c>
      <c r="H5684" s="1" t="s">
        <v>3604</v>
      </c>
      <c r="I5684" s="1" t="s">
        <v>20114</v>
      </c>
      <c r="J5684" s="1" t="s">
        <v>3606</v>
      </c>
      <c r="K5684" s="1" t="s">
        <v>20115</v>
      </c>
      <c r="L5684" s="1"/>
      <c r="M5684" s="1"/>
    </row>
    <row x14ac:dyDescent="0.25" r="5685" customHeight="1" ht="18.75">
      <c r="A5685" s="1" t="s">
        <v>3598</v>
      </c>
      <c r="B5685" s="1" t="s">
        <v>8082</v>
      </c>
      <c r="C5685" s="1" t="s">
        <v>3600</v>
      </c>
      <c r="D5685" s="1" t="s">
        <v>3601</v>
      </c>
      <c r="E5685" s="1" t="s">
        <v>3664</v>
      </c>
      <c r="F5685" s="1" t="s">
        <v>20116</v>
      </c>
      <c r="G5685" s="1" t="s">
        <v>15702</v>
      </c>
      <c r="H5685" s="1" t="s">
        <v>3604</v>
      </c>
      <c r="I5685" s="1" t="s">
        <v>20117</v>
      </c>
      <c r="J5685" s="1" t="s">
        <v>3606</v>
      </c>
      <c r="K5685" s="1" t="s">
        <v>20118</v>
      </c>
      <c r="L5685" s="1"/>
      <c r="M5685" s="1"/>
    </row>
    <row x14ac:dyDescent="0.25" r="5686" customHeight="1" ht="18.75">
      <c r="A5686" s="1" t="s">
        <v>3598</v>
      </c>
      <c r="B5686" s="1" t="s">
        <v>20111</v>
      </c>
      <c r="C5686" s="1" t="s">
        <v>3600</v>
      </c>
      <c r="D5686" s="1" t="s">
        <v>3601</v>
      </c>
      <c r="E5686" s="1" t="s">
        <v>3752</v>
      </c>
      <c r="F5686" s="1" t="s">
        <v>20119</v>
      </c>
      <c r="G5686" s="1" t="s">
        <v>20120</v>
      </c>
      <c r="H5686" s="1" t="s">
        <v>3604</v>
      </c>
      <c r="I5686" s="1" t="s">
        <v>20121</v>
      </c>
      <c r="J5686" s="1" t="s">
        <v>3606</v>
      </c>
      <c r="K5686" s="1" t="s">
        <v>20122</v>
      </c>
      <c r="L5686" s="1"/>
      <c r="M5686" s="1"/>
    </row>
    <row x14ac:dyDescent="0.25" r="5687" customHeight="1" ht="18.75">
      <c r="A5687" s="1" t="s">
        <v>3598</v>
      </c>
      <c r="B5687" s="1" t="s">
        <v>20123</v>
      </c>
      <c r="C5687" s="1" t="s">
        <v>3600</v>
      </c>
      <c r="D5687" s="1" t="s">
        <v>3601</v>
      </c>
      <c r="E5687" s="1" t="s">
        <v>3893</v>
      </c>
      <c r="F5687" s="1" t="s">
        <v>20124</v>
      </c>
      <c r="G5687" s="1" t="s">
        <v>20125</v>
      </c>
      <c r="H5687" s="1" t="s">
        <v>3604</v>
      </c>
      <c r="I5687" s="1" t="s">
        <v>20126</v>
      </c>
      <c r="J5687" s="1" t="s">
        <v>3606</v>
      </c>
      <c r="K5687" s="1" t="s">
        <v>20127</v>
      </c>
      <c r="L5687" s="1"/>
      <c r="M5687" s="1"/>
    </row>
    <row x14ac:dyDescent="0.25" r="5688" customHeight="1" ht="18.75">
      <c r="A5688" s="1" t="s">
        <v>3598</v>
      </c>
      <c r="B5688" s="1" t="s">
        <v>20123</v>
      </c>
      <c r="C5688" s="1" t="s">
        <v>3600</v>
      </c>
      <c r="D5688" s="1" t="s">
        <v>3601</v>
      </c>
      <c r="E5688" s="1" t="s">
        <v>3893</v>
      </c>
      <c r="F5688" s="1" t="s">
        <v>20128</v>
      </c>
      <c r="G5688" s="1" t="s">
        <v>20125</v>
      </c>
      <c r="H5688" s="1" t="s">
        <v>3604</v>
      </c>
      <c r="I5688" s="1" t="s">
        <v>20129</v>
      </c>
      <c r="J5688" s="1" t="s">
        <v>3606</v>
      </c>
      <c r="K5688" s="1" t="s">
        <v>20130</v>
      </c>
      <c r="L5688" s="1"/>
      <c r="M5688" s="1"/>
    </row>
    <row x14ac:dyDescent="0.25" r="5689" customHeight="1" ht="18.75">
      <c r="A5689" s="1" t="s">
        <v>3598</v>
      </c>
      <c r="B5689" s="1" t="s">
        <v>20123</v>
      </c>
      <c r="C5689" s="1" t="s">
        <v>3600</v>
      </c>
      <c r="D5689" s="1" t="s">
        <v>3601</v>
      </c>
      <c r="E5689" s="1" t="s">
        <v>3893</v>
      </c>
      <c r="F5689" s="1" t="s">
        <v>20131</v>
      </c>
      <c r="G5689" s="1" t="s">
        <v>20125</v>
      </c>
      <c r="H5689" s="1" t="s">
        <v>3604</v>
      </c>
      <c r="I5689" s="1" t="s">
        <v>20132</v>
      </c>
      <c r="J5689" s="1" t="s">
        <v>3606</v>
      </c>
      <c r="K5689" s="1" t="s">
        <v>20133</v>
      </c>
      <c r="L5689" s="1"/>
      <c r="M5689" s="1"/>
    </row>
    <row x14ac:dyDescent="0.25" r="5690" customHeight="1" ht="18.75">
      <c r="A5690" s="1" t="s">
        <v>3598</v>
      </c>
      <c r="B5690" s="1" t="s">
        <v>20123</v>
      </c>
      <c r="C5690" s="1" t="s">
        <v>3600</v>
      </c>
      <c r="D5690" s="1" t="s">
        <v>3601</v>
      </c>
      <c r="E5690" s="1" t="s">
        <v>3893</v>
      </c>
      <c r="F5690" s="1" t="s">
        <v>20134</v>
      </c>
      <c r="G5690" s="1" t="s">
        <v>20125</v>
      </c>
      <c r="H5690" s="1" t="s">
        <v>3604</v>
      </c>
      <c r="I5690" s="1" t="s">
        <v>20135</v>
      </c>
      <c r="J5690" s="1" t="s">
        <v>3606</v>
      </c>
      <c r="K5690" s="1" t="s">
        <v>20136</v>
      </c>
      <c r="L5690" s="1"/>
      <c r="M5690" s="1"/>
    </row>
    <row x14ac:dyDescent="0.25" r="5691" customHeight="1" ht="18.75">
      <c r="A5691" s="1" t="s">
        <v>3598</v>
      </c>
      <c r="B5691" s="1" t="s">
        <v>20123</v>
      </c>
      <c r="C5691" s="1" t="s">
        <v>3600</v>
      </c>
      <c r="D5691" s="1" t="s">
        <v>3601</v>
      </c>
      <c r="E5691" s="1" t="s">
        <v>3893</v>
      </c>
      <c r="F5691" s="1" t="s">
        <v>20137</v>
      </c>
      <c r="G5691" s="1" t="s">
        <v>20125</v>
      </c>
      <c r="H5691" s="1" t="s">
        <v>3604</v>
      </c>
      <c r="I5691" s="1" t="s">
        <v>20138</v>
      </c>
      <c r="J5691" s="1" t="s">
        <v>3606</v>
      </c>
      <c r="K5691" s="1" t="s">
        <v>20139</v>
      </c>
      <c r="L5691" s="1"/>
      <c r="M5691" s="1"/>
    </row>
    <row x14ac:dyDescent="0.25" r="5692" customHeight="1" ht="18.75">
      <c r="A5692" s="1" t="s">
        <v>3598</v>
      </c>
      <c r="B5692" s="1" t="s">
        <v>4095</v>
      </c>
      <c r="C5692" s="1" t="s">
        <v>3600</v>
      </c>
      <c r="D5692" s="1" t="s">
        <v>3601</v>
      </c>
      <c r="E5692" s="1" t="s">
        <v>3664</v>
      </c>
      <c r="F5692" s="1" t="s">
        <v>20140</v>
      </c>
      <c r="G5692" s="1" t="s">
        <v>13837</v>
      </c>
      <c r="H5692" s="1" t="s">
        <v>3604</v>
      </c>
      <c r="I5692" s="1" t="s">
        <v>20141</v>
      </c>
      <c r="J5692" s="1" t="s">
        <v>3606</v>
      </c>
      <c r="K5692" s="1" t="s">
        <v>20142</v>
      </c>
      <c r="L5692" s="1"/>
      <c r="M5692" s="1"/>
    </row>
    <row x14ac:dyDescent="0.25" r="5693" customHeight="1" ht="18.75">
      <c r="A5693" s="1" t="s">
        <v>3598</v>
      </c>
      <c r="B5693" s="1" t="s">
        <v>4095</v>
      </c>
      <c r="C5693" s="1" t="s">
        <v>3600</v>
      </c>
      <c r="D5693" s="1" t="s">
        <v>3601</v>
      </c>
      <c r="E5693" s="1" t="s">
        <v>3664</v>
      </c>
      <c r="F5693" s="1" t="s">
        <v>20143</v>
      </c>
      <c r="G5693" s="1" t="s">
        <v>8983</v>
      </c>
      <c r="H5693" s="1" t="s">
        <v>3604</v>
      </c>
      <c r="I5693" s="1" t="s">
        <v>20144</v>
      </c>
      <c r="J5693" s="1" t="s">
        <v>3606</v>
      </c>
      <c r="K5693" s="1" t="s">
        <v>20145</v>
      </c>
      <c r="L5693" s="1"/>
      <c r="M5693" s="1"/>
    </row>
    <row x14ac:dyDescent="0.25" r="5694" customHeight="1" ht="18.75">
      <c r="A5694" s="1" t="s">
        <v>3598</v>
      </c>
      <c r="B5694" s="1" t="s">
        <v>6728</v>
      </c>
      <c r="C5694" s="1" t="s">
        <v>3600</v>
      </c>
      <c r="D5694" s="1" t="s">
        <v>3601</v>
      </c>
      <c r="E5694" s="1" t="s">
        <v>3893</v>
      </c>
      <c r="F5694" s="1" t="s">
        <v>20146</v>
      </c>
      <c r="G5694" s="1" t="s">
        <v>6169</v>
      </c>
      <c r="H5694" s="1" t="s">
        <v>3604</v>
      </c>
      <c r="I5694" s="1" t="s">
        <v>20147</v>
      </c>
      <c r="J5694" s="1" t="s">
        <v>3606</v>
      </c>
      <c r="K5694" s="1" t="s">
        <v>20148</v>
      </c>
      <c r="L5694" s="1"/>
      <c r="M5694" s="1"/>
    </row>
    <row x14ac:dyDescent="0.25" r="5695" customHeight="1" ht="18.75">
      <c r="A5695" s="1" t="s">
        <v>3598</v>
      </c>
      <c r="B5695" s="1" t="s">
        <v>6728</v>
      </c>
      <c r="C5695" s="1" t="s">
        <v>3600</v>
      </c>
      <c r="D5695" s="1" t="s">
        <v>3601</v>
      </c>
      <c r="E5695" s="1" t="s">
        <v>3893</v>
      </c>
      <c r="F5695" s="1" t="s">
        <v>20149</v>
      </c>
      <c r="G5695" s="1" t="s">
        <v>6169</v>
      </c>
      <c r="H5695" s="1" t="s">
        <v>3604</v>
      </c>
      <c r="I5695" s="1" t="s">
        <v>20150</v>
      </c>
      <c r="J5695" s="1" t="s">
        <v>3606</v>
      </c>
      <c r="K5695" s="1" t="s">
        <v>20151</v>
      </c>
      <c r="L5695" s="1"/>
      <c r="M5695" s="1"/>
    </row>
    <row x14ac:dyDescent="0.25" r="5696" customHeight="1" ht="18.75">
      <c r="A5696" s="1" t="s">
        <v>3598</v>
      </c>
      <c r="B5696" s="1" t="s">
        <v>17394</v>
      </c>
      <c r="C5696" s="1" t="s">
        <v>3600</v>
      </c>
      <c r="D5696" s="1" t="s">
        <v>3601</v>
      </c>
      <c r="E5696" s="1" t="s">
        <v>3664</v>
      </c>
      <c r="F5696" s="1" t="s">
        <v>20152</v>
      </c>
      <c r="G5696" s="1" t="s">
        <v>20153</v>
      </c>
      <c r="H5696" s="1" t="s">
        <v>3604</v>
      </c>
      <c r="I5696" s="1" t="s">
        <v>20154</v>
      </c>
      <c r="J5696" s="1" t="s">
        <v>3606</v>
      </c>
      <c r="K5696" s="1" t="s">
        <v>20155</v>
      </c>
      <c r="L5696" s="1"/>
      <c r="M5696" s="1"/>
    </row>
    <row x14ac:dyDescent="0.25" r="5697" customHeight="1" ht="18.75">
      <c r="A5697" s="1" t="s">
        <v>3598</v>
      </c>
      <c r="B5697" s="1" t="s">
        <v>9261</v>
      </c>
      <c r="C5697" s="1" t="s">
        <v>3600</v>
      </c>
      <c r="D5697" s="1" t="s">
        <v>3601</v>
      </c>
      <c r="E5697" s="1" t="s">
        <v>3664</v>
      </c>
      <c r="F5697" s="1" t="s">
        <v>20156</v>
      </c>
      <c r="G5697" s="1" t="s">
        <v>20157</v>
      </c>
      <c r="H5697" s="1" t="s">
        <v>3604</v>
      </c>
      <c r="I5697" s="1" t="s">
        <v>20158</v>
      </c>
      <c r="J5697" s="1" t="s">
        <v>3606</v>
      </c>
      <c r="K5697" s="1" t="s">
        <v>20159</v>
      </c>
      <c r="L5697" s="1"/>
      <c r="M5697" s="1"/>
    </row>
    <row x14ac:dyDescent="0.25" r="5698" customHeight="1" ht="18.75">
      <c r="A5698" s="1" t="s">
        <v>3598</v>
      </c>
      <c r="B5698" s="1" t="s">
        <v>9273</v>
      </c>
      <c r="C5698" s="1" t="s">
        <v>3600</v>
      </c>
      <c r="D5698" s="1" t="s">
        <v>3601</v>
      </c>
      <c r="E5698" s="1" t="s">
        <v>3664</v>
      </c>
      <c r="F5698" s="1" t="s">
        <v>20160</v>
      </c>
      <c r="G5698" s="1" t="s">
        <v>17928</v>
      </c>
      <c r="H5698" s="1" t="s">
        <v>3604</v>
      </c>
      <c r="I5698" s="1" t="s">
        <v>20161</v>
      </c>
      <c r="J5698" s="1" t="s">
        <v>3606</v>
      </c>
      <c r="K5698" s="1" t="s">
        <v>20162</v>
      </c>
      <c r="L5698" s="1"/>
      <c r="M5698" s="1"/>
    </row>
    <row x14ac:dyDescent="0.25" r="5699" customHeight="1" ht="18.75">
      <c r="A5699" s="1" t="s">
        <v>3598</v>
      </c>
      <c r="B5699" s="1" t="s">
        <v>9273</v>
      </c>
      <c r="C5699" s="1" t="s">
        <v>3600</v>
      </c>
      <c r="D5699" s="1" t="s">
        <v>3601</v>
      </c>
      <c r="E5699" s="1" t="s">
        <v>3664</v>
      </c>
      <c r="F5699" s="1" t="s">
        <v>20163</v>
      </c>
      <c r="G5699" s="1" t="s">
        <v>20164</v>
      </c>
      <c r="H5699" s="1" t="s">
        <v>3604</v>
      </c>
      <c r="I5699" s="1" t="s">
        <v>20165</v>
      </c>
      <c r="J5699" s="1" t="s">
        <v>3606</v>
      </c>
      <c r="K5699" s="1" t="s">
        <v>20166</v>
      </c>
      <c r="L5699" s="1"/>
      <c r="M5699" s="1"/>
    </row>
    <row x14ac:dyDescent="0.25" r="5700" customHeight="1" ht="18.75">
      <c r="A5700" s="1" t="s">
        <v>3598</v>
      </c>
      <c r="B5700" s="1" t="s">
        <v>9273</v>
      </c>
      <c r="C5700" s="1" t="s">
        <v>3600</v>
      </c>
      <c r="D5700" s="1" t="s">
        <v>3601</v>
      </c>
      <c r="E5700" s="1" t="s">
        <v>3664</v>
      </c>
      <c r="F5700" s="1" t="s">
        <v>20167</v>
      </c>
      <c r="G5700" s="1" t="s">
        <v>20168</v>
      </c>
      <c r="H5700" s="1" t="s">
        <v>3604</v>
      </c>
      <c r="I5700" s="1" t="s">
        <v>20169</v>
      </c>
      <c r="J5700" s="1" t="s">
        <v>3606</v>
      </c>
      <c r="K5700" s="1" t="s">
        <v>20170</v>
      </c>
      <c r="L5700" s="1"/>
      <c r="M5700" s="1"/>
    </row>
    <row x14ac:dyDescent="0.25" r="5701" customHeight="1" ht="18.75">
      <c r="A5701" s="1" t="s">
        <v>3598</v>
      </c>
      <c r="B5701" s="1" t="s">
        <v>9273</v>
      </c>
      <c r="C5701" s="1" t="s">
        <v>3600</v>
      </c>
      <c r="D5701" s="1" t="s">
        <v>3601</v>
      </c>
      <c r="E5701" s="1" t="s">
        <v>3664</v>
      </c>
      <c r="F5701" s="1" t="s">
        <v>20171</v>
      </c>
      <c r="G5701" s="1" t="s">
        <v>20045</v>
      </c>
      <c r="H5701" s="1" t="s">
        <v>3604</v>
      </c>
      <c r="I5701" s="1" t="s">
        <v>20172</v>
      </c>
      <c r="J5701" s="1" t="s">
        <v>3606</v>
      </c>
      <c r="K5701" s="1" t="s">
        <v>20173</v>
      </c>
      <c r="L5701" s="1"/>
      <c r="M5701" s="1"/>
    </row>
    <row x14ac:dyDescent="0.25" r="5702" customHeight="1" ht="18.75">
      <c r="A5702" s="1" t="s">
        <v>3598</v>
      </c>
      <c r="B5702" s="1" t="s">
        <v>6732</v>
      </c>
      <c r="C5702" s="1" t="s">
        <v>3600</v>
      </c>
      <c r="D5702" s="1" t="s">
        <v>3601</v>
      </c>
      <c r="E5702" s="1" t="s">
        <v>3664</v>
      </c>
      <c r="F5702" s="1" t="s">
        <v>20174</v>
      </c>
      <c r="G5702" s="1" t="s">
        <v>20175</v>
      </c>
      <c r="H5702" s="1" t="s">
        <v>3604</v>
      </c>
      <c r="I5702" s="1" t="s">
        <v>20176</v>
      </c>
      <c r="J5702" s="1" t="s">
        <v>3606</v>
      </c>
      <c r="K5702" s="1" t="s">
        <v>20177</v>
      </c>
      <c r="L5702" s="1"/>
      <c r="M5702" s="1"/>
    </row>
    <row x14ac:dyDescent="0.25" r="5703" customHeight="1" ht="18.75">
      <c r="A5703" s="1" t="s">
        <v>3598</v>
      </c>
      <c r="B5703" s="1" t="s">
        <v>6732</v>
      </c>
      <c r="C5703" s="1" t="s">
        <v>3600</v>
      </c>
      <c r="D5703" s="1" t="s">
        <v>3601</v>
      </c>
      <c r="E5703" s="1" t="s">
        <v>3664</v>
      </c>
      <c r="F5703" s="1" t="s">
        <v>20178</v>
      </c>
      <c r="G5703" s="1" t="s">
        <v>20175</v>
      </c>
      <c r="H5703" s="1" t="s">
        <v>3604</v>
      </c>
      <c r="I5703" s="1" t="s">
        <v>20179</v>
      </c>
      <c r="J5703" s="1" t="s">
        <v>3606</v>
      </c>
      <c r="K5703" s="1" t="s">
        <v>20180</v>
      </c>
      <c r="L5703" s="1"/>
      <c r="M5703" s="1"/>
    </row>
    <row x14ac:dyDescent="0.25" r="5704" customHeight="1" ht="18.75">
      <c r="A5704" s="1" t="s">
        <v>3598</v>
      </c>
      <c r="B5704" s="1" t="s">
        <v>5260</v>
      </c>
      <c r="C5704" s="1" t="s">
        <v>3600</v>
      </c>
      <c r="D5704" s="1" t="s">
        <v>3601</v>
      </c>
      <c r="E5704" s="1" t="s">
        <v>3893</v>
      </c>
      <c r="F5704" s="1" t="s">
        <v>20181</v>
      </c>
      <c r="G5704" s="1" t="s">
        <v>19883</v>
      </c>
      <c r="H5704" s="1" t="s">
        <v>3604</v>
      </c>
      <c r="I5704" s="1" t="s">
        <v>20182</v>
      </c>
      <c r="J5704" s="1" t="s">
        <v>3606</v>
      </c>
      <c r="K5704" s="1" t="s">
        <v>20183</v>
      </c>
      <c r="L5704" s="1"/>
      <c r="M5704" s="1"/>
    </row>
    <row x14ac:dyDescent="0.25" r="5705" customHeight="1" ht="18.75">
      <c r="A5705" s="1" t="s">
        <v>3598</v>
      </c>
      <c r="B5705" s="1" t="s">
        <v>5260</v>
      </c>
      <c r="C5705" s="1" t="s">
        <v>3600</v>
      </c>
      <c r="D5705" s="1" t="s">
        <v>3601</v>
      </c>
      <c r="E5705" s="1" t="s">
        <v>3893</v>
      </c>
      <c r="F5705" s="1" t="s">
        <v>20184</v>
      </c>
      <c r="G5705" s="1" t="s">
        <v>19883</v>
      </c>
      <c r="H5705" s="1" t="s">
        <v>3604</v>
      </c>
      <c r="I5705" s="1" t="s">
        <v>20185</v>
      </c>
      <c r="J5705" s="1" t="s">
        <v>3606</v>
      </c>
      <c r="K5705" s="1" t="s">
        <v>20186</v>
      </c>
      <c r="L5705" s="1"/>
      <c r="M5705" s="1"/>
    </row>
    <row x14ac:dyDescent="0.25" r="5706" customHeight="1" ht="18.75">
      <c r="A5706" s="1" t="s">
        <v>3598</v>
      </c>
      <c r="B5706" s="1" t="s">
        <v>9256</v>
      </c>
      <c r="C5706" s="1" t="s">
        <v>3600</v>
      </c>
      <c r="D5706" s="1" t="s">
        <v>3601</v>
      </c>
      <c r="E5706" s="1" t="s">
        <v>3664</v>
      </c>
      <c r="F5706" s="1" t="s">
        <v>20187</v>
      </c>
      <c r="G5706" s="1" t="s">
        <v>20188</v>
      </c>
      <c r="H5706" s="1" t="s">
        <v>3604</v>
      </c>
      <c r="I5706" s="1" t="s">
        <v>20189</v>
      </c>
      <c r="J5706" s="1" t="s">
        <v>3606</v>
      </c>
      <c r="K5706" s="1" t="s">
        <v>20190</v>
      </c>
      <c r="L5706" s="1"/>
      <c r="M5706" s="1"/>
    </row>
    <row x14ac:dyDescent="0.25" r="5707" customHeight="1" ht="18.75">
      <c r="A5707" s="1" t="s">
        <v>3598</v>
      </c>
      <c r="B5707" s="1" t="s">
        <v>9251</v>
      </c>
      <c r="C5707" s="1" t="s">
        <v>3600</v>
      </c>
      <c r="D5707" s="1" t="s">
        <v>3601</v>
      </c>
      <c r="E5707" s="1" t="s">
        <v>3893</v>
      </c>
      <c r="F5707" s="1" t="s">
        <v>20191</v>
      </c>
      <c r="G5707" s="1" t="s">
        <v>20192</v>
      </c>
      <c r="H5707" s="1" t="s">
        <v>3604</v>
      </c>
      <c r="I5707" s="1" t="s">
        <v>20193</v>
      </c>
      <c r="J5707" s="1" t="s">
        <v>3606</v>
      </c>
      <c r="K5707" s="1" t="s">
        <v>20194</v>
      </c>
      <c r="L5707" s="1"/>
      <c r="M5707" s="1"/>
    </row>
    <row x14ac:dyDescent="0.25" r="5708" customHeight="1" ht="18.75">
      <c r="A5708" s="1" t="s">
        <v>3598</v>
      </c>
      <c r="B5708" s="1" t="s">
        <v>9251</v>
      </c>
      <c r="C5708" s="1" t="s">
        <v>3600</v>
      </c>
      <c r="D5708" s="1" t="s">
        <v>3601</v>
      </c>
      <c r="E5708" s="1" t="s">
        <v>3893</v>
      </c>
      <c r="F5708" s="1" t="s">
        <v>20195</v>
      </c>
      <c r="G5708" s="1" t="s">
        <v>20196</v>
      </c>
      <c r="H5708" s="1" t="s">
        <v>3604</v>
      </c>
      <c r="I5708" s="1" t="s">
        <v>20197</v>
      </c>
      <c r="J5708" s="1" t="s">
        <v>3606</v>
      </c>
      <c r="K5708" s="1" t="s">
        <v>20198</v>
      </c>
      <c r="L5708" s="1"/>
      <c r="M5708" s="1"/>
    </row>
    <row x14ac:dyDescent="0.25" r="5709" customHeight="1" ht="18.75">
      <c r="A5709" s="1" t="s">
        <v>3598</v>
      </c>
      <c r="B5709" s="1" t="s">
        <v>9251</v>
      </c>
      <c r="C5709" s="1" t="s">
        <v>3600</v>
      </c>
      <c r="D5709" s="1" t="s">
        <v>3601</v>
      </c>
      <c r="E5709" s="1" t="s">
        <v>3893</v>
      </c>
      <c r="F5709" s="1" t="s">
        <v>20199</v>
      </c>
      <c r="G5709" s="1" t="s">
        <v>20192</v>
      </c>
      <c r="H5709" s="1" t="s">
        <v>3604</v>
      </c>
      <c r="I5709" s="1" t="s">
        <v>20200</v>
      </c>
      <c r="J5709" s="1" t="s">
        <v>3606</v>
      </c>
      <c r="K5709" s="1" t="s">
        <v>20201</v>
      </c>
      <c r="L5709" s="1"/>
      <c r="M5709" s="1"/>
    </row>
    <row x14ac:dyDescent="0.25" r="5710" customHeight="1" ht="18.75">
      <c r="A5710" s="1" t="s">
        <v>3598</v>
      </c>
      <c r="B5710" s="1" t="s">
        <v>17258</v>
      </c>
      <c r="C5710" s="1" t="s">
        <v>3600</v>
      </c>
      <c r="D5710" s="1" t="s">
        <v>3601</v>
      </c>
      <c r="E5710" s="1" t="s">
        <v>3664</v>
      </c>
      <c r="F5710" s="1" t="s">
        <v>20202</v>
      </c>
      <c r="G5710" s="1" t="s">
        <v>20203</v>
      </c>
      <c r="H5710" s="1" t="s">
        <v>3604</v>
      </c>
      <c r="I5710" s="1" t="s">
        <v>20204</v>
      </c>
      <c r="J5710" s="1" t="s">
        <v>3606</v>
      </c>
      <c r="K5710" s="1" t="s">
        <v>20205</v>
      </c>
      <c r="L5710" s="1"/>
      <c r="M5710" s="1"/>
    </row>
    <row x14ac:dyDescent="0.25" r="5711" customHeight="1" ht="18.75">
      <c r="A5711" s="1" t="s">
        <v>3598</v>
      </c>
      <c r="B5711" s="1" t="s">
        <v>17258</v>
      </c>
      <c r="C5711" s="1" t="s">
        <v>3600</v>
      </c>
      <c r="D5711" s="1" t="s">
        <v>3601</v>
      </c>
      <c r="E5711" s="1" t="s">
        <v>3664</v>
      </c>
      <c r="F5711" s="1" t="s">
        <v>20206</v>
      </c>
      <c r="G5711" s="1" t="s">
        <v>20207</v>
      </c>
      <c r="H5711" s="1" t="s">
        <v>3604</v>
      </c>
      <c r="I5711" s="1" t="s">
        <v>20208</v>
      </c>
      <c r="J5711" s="1" t="s">
        <v>3606</v>
      </c>
      <c r="K5711" s="1" t="s">
        <v>20209</v>
      </c>
      <c r="L5711" s="1"/>
      <c r="M5711" s="1"/>
    </row>
    <row x14ac:dyDescent="0.25" r="5712" customHeight="1" ht="18.75">
      <c r="A5712" s="1" t="s">
        <v>3598</v>
      </c>
      <c r="B5712" s="1" t="s">
        <v>19642</v>
      </c>
      <c r="C5712" s="1" t="s">
        <v>3600</v>
      </c>
      <c r="D5712" s="1" t="s">
        <v>3601</v>
      </c>
      <c r="E5712" s="1" t="s">
        <v>3664</v>
      </c>
      <c r="F5712" s="1" t="s">
        <v>20210</v>
      </c>
      <c r="G5712" s="1" t="s">
        <v>20211</v>
      </c>
      <c r="H5712" s="1" t="s">
        <v>3604</v>
      </c>
      <c r="I5712" s="1" t="s">
        <v>20212</v>
      </c>
      <c r="J5712" s="1" t="s">
        <v>3606</v>
      </c>
      <c r="K5712" s="1" t="s">
        <v>20213</v>
      </c>
      <c r="L5712" s="1"/>
      <c r="M5712" s="1"/>
    </row>
    <row x14ac:dyDescent="0.25" r="5713" customHeight="1" ht="18.75">
      <c r="A5713" s="1" t="s">
        <v>3598</v>
      </c>
      <c r="B5713" s="1" t="s">
        <v>14123</v>
      </c>
      <c r="C5713" s="1" t="s">
        <v>3600</v>
      </c>
      <c r="D5713" s="1" t="s">
        <v>3601</v>
      </c>
      <c r="E5713" s="1" t="s">
        <v>3893</v>
      </c>
      <c r="F5713" s="1" t="s">
        <v>20214</v>
      </c>
      <c r="G5713" s="1" t="s">
        <v>6440</v>
      </c>
      <c r="H5713" s="1" t="s">
        <v>3604</v>
      </c>
      <c r="I5713" s="1" t="s">
        <v>20215</v>
      </c>
      <c r="J5713" s="1" t="s">
        <v>3606</v>
      </c>
      <c r="K5713" s="1" t="s">
        <v>20216</v>
      </c>
      <c r="L5713" s="1"/>
      <c r="M5713" s="1"/>
    </row>
    <row x14ac:dyDescent="0.25" r="5714" customHeight="1" ht="18.75">
      <c r="A5714" s="1" t="s">
        <v>3598</v>
      </c>
      <c r="B5714" s="1" t="s">
        <v>18043</v>
      </c>
      <c r="C5714" s="1" t="s">
        <v>3600</v>
      </c>
      <c r="D5714" s="1" t="s">
        <v>3601</v>
      </c>
      <c r="E5714" s="1" t="s">
        <v>3752</v>
      </c>
      <c r="F5714" s="1" t="s">
        <v>20217</v>
      </c>
      <c r="G5714" s="1" t="s">
        <v>20218</v>
      </c>
      <c r="H5714" s="1" t="s">
        <v>3604</v>
      </c>
      <c r="I5714" s="1" t="s">
        <v>20219</v>
      </c>
      <c r="J5714" s="1" t="s">
        <v>3606</v>
      </c>
      <c r="K5714" s="1" t="s">
        <v>20220</v>
      </c>
      <c r="L5714" s="1"/>
      <c r="M5714" s="1"/>
    </row>
    <row x14ac:dyDescent="0.25" r="5715" customHeight="1" ht="18.75">
      <c r="A5715" s="1" t="s">
        <v>3598</v>
      </c>
      <c r="B5715" s="1" t="s">
        <v>20221</v>
      </c>
      <c r="C5715" s="1" t="s">
        <v>3600</v>
      </c>
      <c r="D5715" s="1" t="s">
        <v>3601</v>
      </c>
      <c r="E5715" s="1" t="s">
        <v>3664</v>
      </c>
      <c r="F5715" s="1" t="s">
        <v>20222</v>
      </c>
      <c r="G5715" s="1" t="s">
        <v>20223</v>
      </c>
      <c r="H5715" s="1" t="s">
        <v>3604</v>
      </c>
      <c r="I5715" s="1" t="s">
        <v>20224</v>
      </c>
      <c r="J5715" s="1" t="s">
        <v>3606</v>
      </c>
      <c r="K5715" s="1" t="s">
        <v>20225</v>
      </c>
      <c r="L5715" s="1"/>
      <c r="M5715" s="1"/>
    </row>
    <row x14ac:dyDescent="0.25" r="5716" customHeight="1" ht="18.75">
      <c r="A5716" s="1" t="s">
        <v>3598</v>
      </c>
      <c r="B5716" s="1" t="s">
        <v>5252</v>
      </c>
      <c r="C5716" s="1" t="s">
        <v>3600</v>
      </c>
      <c r="D5716" s="1" t="s">
        <v>3601</v>
      </c>
      <c r="E5716" s="1" t="s">
        <v>3664</v>
      </c>
      <c r="F5716" s="1" t="s">
        <v>20226</v>
      </c>
      <c r="G5716" s="1" t="s">
        <v>18459</v>
      </c>
      <c r="H5716" s="1" t="s">
        <v>3604</v>
      </c>
      <c r="I5716" s="1" t="s">
        <v>20227</v>
      </c>
      <c r="J5716" s="1" t="s">
        <v>3606</v>
      </c>
      <c r="K5716" s="1" t="s">
        <v>20228</v>
      </c>
      <c r="L5716" s="1"/>
      <c r="M5716" s="1"/>
    </row>
    <row x14ac:dyDescent="0.25" r="5717" customHeight="1" ht="18.75">
      <c r="A5717" s="1" t="s">
        <v>3598</v>
      </c>
      <c r="B5717" s="1" t="s">
        <v>5252</v>
      </c>
      <c r="C5717" s="1" t="s">
        <v>3600</v>
      </c>
      <c r="D5717" s="1" t="s">
        <v>3601</v>
      </c>
      <c r="E5717" s="1" t="s">
        <v>3664</v>
      </c>
      <c r="F5717" s="1" t="s">
        <v>20229</v>
      </c>
      <c r="G5717" s="1" t="s">
        <v>18459</v>
      </c>
      <c r="H5717" s="1" t="s">
        <v>3604</v>
      </c>
      <c r="I5717" s="1" t="s">
        <v>20230</v>
      </c>
      <c r="J5717" s="1" t="s">
        <v>3606</v>
      </c>
      <c r="K5717" s="1" t="s">
        <v>20231</v>
      </c>
      <c r="L5717" s="1"/>
      <c r="M5717" s="1"/>
    </row>
    <row x14ac:dyDescent="0.25" r="5718" customHeight="1" ht="18.75">
      <c r="A5718" s="1" t="s">
        <v>3598</v>
      </c>
      <c r="B5718" s="1" t="s">
        <v>5252</v>
      </c>
      <c r="C5718" s="1" t="s">
        <v>3600</v>
      </c>
      <c r="D5718" s="1" t="s">
        <v>3601</v>
      </c>
      <c r="E5718" s="1" t="s">
        <v>3664</v>
      </c>
      <c r="F5718" s="1" t="s">
        <v>20232</v>
      </c>
      <c r="G5718" s="1" t="s">
        <v>20233</v>
      </c>
      <c r="H5718" s="1" t="s">
        <v>3604</v>
      </c>
      <c r="I5718" s="1" t="s">
        <v>20234</v>
      </c>
      <c r="J5718" s="1" t="s">
        <v>3606</v>
      </c>
      <c r="K5718" s="1" t="s">
        <v>20235</v>
      </c>
      <c r="L5718" s="1"/>
      <c r="M5718" s="1"/>
    </row>
    <row x14ac:dyDescent="0.25" r="5719" customHeight="1" ht="18.75">
      <c r="A5719" s="1" t="s">
        <v>3598</v>
      </c>
      <c r="B5719" s="1" t="s">
        <v>5252</v>
      </c>
      <c r="C5719" s="1" t="s">
        <v>3600</v>
      </c>
      <c r="D5719" s="1" t="s">
        <v>3601</v>
      </c>
      <c r="E5719" s="1" t="s">
        <v>3664</v>
      </c>
      <c r="F5719" s="1" t="s">
        <v>20236</v>
      </c>
      <c r="G5719" s="1" t="s">
        <v>20237</v>
      </c>
      <c r="H5719" s="1" t="s">
        <v>3604</v>
      </c>
      <c r="I5719" s="1" t="s">
        <v>20238</v>
      </c>
      <c r="J5719" s="1" t="s">
        <v>3606</v>
      </c>
      <c r="K5719" s="1" t="s">
        <v>20239</v>
      </c>
      <c r="L5719" s="1"/>
      <c r="M5719" s="1"/>
    </row>
    <row x14ac:dyDescent="0.25" r="5720" customHeight="1" ht="18.75">
      <c r="A5720" s="1" t="s">
        <v>3598</v>
      </c>
      <c r="B5720" s="1" t="s">
        <v>5252</v>
      </c>
      <c r="C5720" s="1" t="s">
        <v>3600</v>
      </c>
      <c r="D5720" s="1" t="s">
        <v>3601</v>
      </c>
      <c r="E5720" s="1" t="s">
        <v>3893</v>
      </c>
      <c r="F5720" s="1" t="s">
        <v>20240</v>
      </c>
      <c r="G5720" s="1" t="s">
        <v>18407</v>
      </c>
      <c r="H5720" s="1" t="s">
        <v>3604</v>
      </c>
      <c r="I5720" s="1" t="s">
        <v>20241</v>
      </c>
      <c r="J5720" s="1" t="s">
        <v>3606</v>
      </c>
      <c r="K5720" s="1" t="s">
        <v>20242</v>
      </c>
      <c r="L5720" s="1"/>
      <c r="M5720" s="1"/>
    </row>
    <row x14ac:dyDescent="0.25" r="5721" customHeight="1" ht="18.75">
      <c r="A5721" s="1" t="s">
        <v>3598</v>
      </c>
      <c r="B5721" s="1" t="s">
        <v>5252</v>
      </c>
      <c r="C5721" s="1" t="s">
        <v>3600</v>
      </c>
      <c r="D5721" s="1" t="s">
        <v>3601</v>
      </c>
      <c r="E5721" s="1" t="s">
        <v>3893</v>
      </c>
      <c r="F5721" s="1" t="s">
        <v>20243</v>
      </c>
      <c r="G5721" s="1" t="s">
        <v>18407</v>
      </c>
      <c r="H5721" s="1" t="s">
        <v>3604</v>
      </c>
      <c r="I5721" s="1" t="s">
        <v>20244</v>
      </c>
      <c r="J5721" s="1" t="s">
        <v>3606</v>
      </c>
      <c r="K5721" s="1" t="s">
        <v>20245</v>
      </c>
      <c r="L5721" s="1"/>
      <c r="M5721" s="1"/>
    </row>
    <row x14ac:dyDescent="0.25" r="5722" customHeight="1" ht="18.75">
      <c r="A5722" s="1" t="s">
        <v>3598</v>
      </c>
      <c r="B5722" s="1" t="s">
        <v>5252</v>
      </c>
      <c r="C5722" s="1" t="s">
        <v>3600</v>
      </c>
      <c r="D5722" s="1" t="s">
        <v>3601</v>
      </c>
      <c r="E5722" s="1" t="s">
        <v>3893</v>
      </c>
      <c r="F5722" s="1" t="s">
        <v>20246</v>
      </c>
      <c r="G5722" s="1" t="s">
        <v>18407</v>
      </c>
      <c r="H5722" s="1" t="s">
        <v>3604</v>
      </c>
      <c r="I5722" s="1" t="s">
        <v>20247</v>
      </c>
      <c r="J5722" s="1" t="s">
        <v>3606</v>
      </c>
      <c r="K5722" s="1" t="s">
        <v>20248</v>
      </c>
      <c r="L5722" s="1"/>
      <c r="M5722" s="1"/>
    </row>
    <row x14ac:dyDescent="0.25" r="5723" customHeight="1" ht="18.75">
      <c r="A5723" s="1" t="s">
        <v>3598</v>
      </c>
      <c r="B5723" s="1" t="s">
        <v>5252</v>
      </c>
      <c r="C5723" s="1" t="s">
        <v>3600</v>
      </c>
      <c r="D5723" s="1" t="s">
        <v>3601</v>
      </c>
      <c r="E5723" s="1" t="s">
        <v>3893</v>
      </c>
      <c r="F5723" s="1" t="s">
        <v>20249</v>
      </c>
      <c r="G5723" s="1" t="s">
        <v>20250</v>
      </c>
      <c r="H5723" s="1" t="s">
        <v>3604</v>
      </c>
      <c r="I5723" s="1" t="s">
        <v>20251</v>
      </c>
      <c r="J5723" s="1" t="s">
        <v>3606</v>
      </c>
      <c r="K5723" s="1" t="s">
        <v>20252</v>
      </c>
      <c r="L5723" s="1"/>
      <c r="M5723" s="1"/>
    </row>
    <row x14ac:dyDescent="0.25" r="5724" customHeight="1" ht="18.75">
      <c r="A5724" s="1" t="s">
        <v>3598</v>
      </c>
      <c r="B5724" s="1" t="s">
        <v>5252</v>
      </c>
      <c r="C5724" s="1" t="s">
        <v>3600</v>
      </c>
      <c r="D5724" s="1" t="s">
        <v>3601</v>
      </c>
      <c r="E5724" s="1" t="s">
        <v>3893</v>
      </c>
      <c r="F5724" s="1" t="s">
        <v>20253</v>
      </c>
      <c r="G5724" s="1" t="s">
        <v>20250</v>
      </c>
      <c r="H5724" s="1" t="s">
        <v>3604</v>
      </c>
      <c r="I5724" s="1" t="s">
        <v>20254</v>
      </c>
      <c r="J5724" s="1" t="s">
        <v>3606</v>
      </c>
      <c r="K5724" s="1" t="s">
        <v>20255</v>
      </c>
      <c r="L5724" s="1"/>
      <c r="M5724" s="1"/>
    </row>
    <row x14ac:dyDescent="0.25" r="5725" customHeight="1" ht="18.75">
      <c r="A5725" s="1" t="s">
        <v>3598</v>
      </c>
      <c r="B5725" s="1" t="s">
        <v>5252</v>
      </c>
      <c r="C5725" s="1" t="s">
        <v>3600</v>
      </c>
      <c r="D5725" s="1" t="s">
        <v>3601</v>
      </c>
      <c r="E5725" s="1" t="s">
        <v>3893</v>
      </c>
      <c r="F5725" s="1" t="s">
        <v>20256</v>
      </c>
      <c r="G5725" s="1" t="s">
        <v>20250</v>
      </c>
      <c r="H5725" s="1" t="s">
        <v>3604</v>
      </c>
      <c r="I5725" s="1" t="s">
        <v>20257</v>
      </c>
      <c r="J5725" s="1" t="s">
        <v>3606</v>
      </c>
      <c r="K5725" s="1" t="s">
        <v>20258</v>
      </c>
      <c r="L5725" s="1"/>
      <c r="M5725" s="1"/>
    </row>
    <row x14ac:dyDescent="0.25" r="5726" customHeight="1" ht="18.75">
      <c r="A5726" s="1" t="s">
        <v>3598</v>
      </c>
      <c r="B5726" s="1" t="s">
        <v>5252</v>
      </c>
      <c r="C5726" s="1" t="s">
        <v>3600</v>
      </c>
      <c r="D5726" s="1" t="s">
        <v>3601</v>
      </c>
      <c r="E5726" s="1" t="s">
        <v>3893</v>
      </c>
      <c r="F5726" s="1" t="s">
        <v>20259</v>
      </c>
      <c r="G5726" s="1" t="s">
        <v>20250</v>
      </c>
      <c r="H5726" s="1" t="s">
        <v>3604</v>
      </c>
      <c r="I5726" s="1" t="s">
        <v>20260</v>
      </c>
      <c r="J5726" s="1" t="s">
        <v>3606</v>
      </c>
      <c r="K5726" s="1" t="s">
        <v>20261</v>
      </c>
      <c r="L5726" s="1"/>
      <c r="M5726" s="1"/>
    </row>
    <row x14ac:dyDescent="0.25" r="5727" customHeight="1" ht="18.75">
      <c r="A5727" s="1" t="s">
        <v>3598</v>
      </c>
      <c r="B5727" s="1" t="s">
        <v>18125</v>
      </c>
      <c r="C5727" s="1" t="s">
        <v>3600</v>
      </c>
      <c r="D5727" s="1" t="s">
        <v>3601</v>
      </c>
      <c r="E5727" s="1" t="s">
        <v>3664</v>
      </c>
      <c r="F5727" s="1" t="s">
        <v>20262</v>
      </c>
      <c r="G5727" s="1" t="s">
        <v>20263</v>
      </c>
      <c r="H5727" s="1" t="s">
        <v>3604</v>
      </c>
      <c r="I5727" s="1" t="s">
        <v>20264</v>
      </c>
      <c r="J5727" s="1" t="s">
        <v>3606</v>
      </c>
      <c r="K5727" s="1" t="s">
        <v>20265</v>
      </c>
      <c r="L5727" s="1"/>
      <c r="M5727" s="1"/>
    </row>
    <row x14ac:dyDescent="0.25" r="5728" customHeight="1" ht="18.75">
      <c r="A5728" s="1" t="s">
        <v>3598</v>
      </c>
      <c r="B5728" s="1" t="s">
        <v>18088</v>
      </c>
      <c r="C5728" s="1" t="s">
        <v>3600</v>
      </c>
      <c r="D5728" s="1" t="s">
        <v>3601</v>
      </c>
      <c r="E5728" s="1" t="s">
        <v>3664</v>
      </c>
      <c r="F5728" s="1" t="s">
        <v>20266</v>
      </c>
      <c r="G5728" s="1" t="s">
        <v>20267</v>
      </c>
      <c r="H5728" s="1" t="s">
        <v>3604</v>
      </c>
      <c r="I5728" s="1" t="s">
        <v>20268</v>
      </c>
      <c r="J5728" s="1" t="s">
        <v>3606</v>
      </c>
      <c r="K5728" s="1" t="s">
        <v>20269</v>
      </c>
      <c r="L5728" s="1"/>
      <c r="M5728" s="1"/>
    </row>
    <row x14ac:dyDescent="0.25" r="5729" customHeight="1" ht="18.75">
      <c r="A5729" s="1" t="s">
        <v>3598</v>
      </c>
      <c r="B5729" s="1" t="s">
        <v>18088</v>
      </c>
      <c r="C5729" s="1" t="s">
        <v>3600</v>
      </c>
      <c r="D5729" s="1" t="s">
        <v>3601</v>
      </c>
      <c r="E5729" s="1" t="s">
        <v>3664</v>
      </c>
      <c r="F5729" s="1" t="s">
        <v>20270</v>
      </c>
      <c r="G5729" s="1" t="s">
        <v>20271</v>
      </c>
      <c r="H5729" s="1" t="s">
        <v>3604</v>
      </c>
      <c r="I5729" s="1" t="s">
        <v>20272</v>
      </c>
      <c r="J5729" s="1" t="s">
        <v>3606</v>
      </c>
      <c r="K5729" s="1" t="s">
        <v>20273</v>
      </c>
      <c r="L5729" s="1"/>
      <c r="M5729" s="1"/>
    </row>
    <row x14ac:dyDescent="0.25" r="5730" customHeight="1" ht="18.75">
      <c r="A5730" s="1" t="s">
        <v>3598</v>
      </c>
      <c r="B5730" s="1" t="s">
        <v>13758</v>
      </c>
      <c r="C5730" s="1" t="s">
        <v>3600</v>
      </c>
      <c r="D5730" s="1" t="s">
        <v>3601</v>
      </c>
      <c r="E5730" s="1" t="s">
        <v>3664</v>
      </c>
      <c r="F5730" s="1" t="s">
        <v>20274</v>
      </c>
      <c r="G5730" s="1" t="s">
        <v>20275</v>
      </c>
      <c r="H5730" s="1" t="s">
        <v>3604</v>
      </c>
      <c r="I5730" s="1" t="s">
        <v>20276</v>
      </c>
      <c r="J5730" s="1" t="s">
        <v>3606</v>
      </c>
      <c r="K5730" s="1" t="s">
        <v>20277</v>
      </c>
      <c r="L5730" s="1"/>
      <c r="M5730" s="1"/>
    </row>
    <row x14ac:dyDescent="0.25" r="5731" customHeight="1" ht="18.75">
      <c r="A5731" s="1" t="s">
        <v>3598</v>
      </c>
      <c r="B5731" s="1" t="s">
        <v>13758</v>
      </c>
      <c r="C5731" s="1" t="s">
        <v>3600</v>
      </c>
      <c r="D5731" s="1" t="s">
        <v>3601</v>
      </c>
      <c r="E5731" s="1" t="s">
        <v>3664</v>
      </c>
      <c r="F5731" s="1" t="s">
        <v>20278</v>
      </c>
      <c r="G5731" s="1" t="s">
        <v>20279</v>
      </c>
      <c r="H5731" s="1" t="s">
        <v>3604</v>
      </c>
      <c r="I5731" s="1" t="s">
        <v>20280</v>
      </c>
      <c r="J5731" s="1" t="s">
        <v>3606</v>
      </c>
      <c r="K5731" s="1" t="s">
        <v>20281</v>
      </c>
      <c r="L5731" s="1"/>
      <c r="M5731" s="1"/>
    </row>
    <row x14ac:dyDescent="0.25" r="5732" customHeight="1" ht="18.75">
      <c r="A5732" s="1" t="s">
        <v>3598</v>
      </c>
      <c r="B5732" s="1" t="s">
        <v>13758</v>
      </c>
      <c r="C5732" s="1" t="s">
        <v>3600</v>
      </c>
      <c r="D5732" s="1" t="s">
        <v>3601</v>
      </c>
      <c r="E5732" s="1" t="s">
        <v>3664</v>
      </c>
      <c r="F5732" s="1" t="s">
        <v>20282</v>
      </c>
      <c r="G5732" s="1" t="s">
        <v>20279</v>
      </c>
      <c r="H5732" s="1" t="s">
        <v>3604</v>
      </c>
      <c r="I5732" s="1" t="s">
        <v>20283</v>
      </c>
      <c r="J5732" s="1" t="s">
        <v>3606</v>
      </c>
      <c r="K5732" s="1" t="s">
        <v>20284</v>
      </c>
      <c r="L5732" s="1"/>
      <c r="M5732" s="1"/>
    </row>
    <row x14ac:dyDescent="0.25" r="5733" customHeight="1" ht="18.75">
      <c r="A5733" s="1" t="s">
        <v>3598</v>
      </c>
      <c r="B5733" s="1" t="s">
        <v>3778</v>
      </c>
      <c r="C5733" s="1" t="s">
        <v>3600</v>
      </c>
      <c r="D5733" s="1" t="s">
        <v>3601</v>
      </c>
      <c r="E5733" s="1" t="s">
        <v>3664</v>
      </c>
      <c r="F5733" s="1" t="s">
        <v>20285</v>
      </c>
      <c r="G5733" s="1" t="s">
        <v>15768</v>
      </c>
      <c r="H5733" s="1" t="s">
        <v>3604</v>
      </c>
      <c r="I5733" s="1" t="s">
        <v>20286</v>
      </c>
      <c r="J5733" s="1" t="s">
        <v>3606</v>
      </c>
      <c r="K5733" s="1" t="s">
        <v>20287</v>
      </c>
      <c r="L5733" s="1"/>
      <c r="M5733" s="1"/>
    </row>
    <row x14ac:dyDescent="0.25" r="5734" customHeight="1" ht="18.75">
      <c r="A5734" s="1" t="s">
        <v>3598</v>
      </c>
      <c r="B5734" s="1" t="s">
        <v>15780</v>
      </c>
      <c r="C5734" s="1" t="s">
        <v>3600</v>
      </c>
      <c r="D5734" s="1" t="s">
        <v>3601</v>
      </c>
      <c r="E5734" s="1" t="s">
        <v>3664</v>
      </c>
      <c r="F5734" s="1" t="s">
        <v>20288</v>
      </c>
      <c r="G5734" s="1" t="s">
        <v>20289</v>
      </c>
      <c r="H5734" s="1" t="s">
        <v>3604</v>
      </c>
      <c r="I5734" s="1" t="s">
        <v>20290</v>
      </c>
      <c r="J5734" s="1" t="s">
        <v>3606</v>
      </c>
      <c r="K5734" s="1" t="s">
        <v>20291</v>
      </c>
      <c r="L5734" s="1"/>
      <c r="M5734" s="1"/>
    </row>
    <row x14ac:dyDescent="0.25" r="5735" customHeight="1" ht="18.75">
      <c r="A5735" s="1" t="s">
        <v>3598</v>
      </c>
      <c r="B5735" s="1" t="s">
        <v>3778</v>
      </c>
      <c r="C5735" s="1" t="s">
        <v>3600</v>
      </c>
      <c r="D5735" s="1" t="s">
        <v>3601</v>
      </c>
      <c r="E5735" s="1" t="s">
        <v>3664</v>
      </c>
      <c r="F5735" s="1" t="s">
        <v>20292</v>
      </c>
      <c r="G5735" s="1" t="s">
        <v>20049</v>
      </c>
      <c r="H5735" s="1" t="s">
        <v>3604</v>
      </c>
      <c r="I5735" s="1" t="s">
        <v>20293</v>
      </c>
      <c r="J5735" s="1" t="s">
        <v>3606</v>
      </c>
      <c r="K5735" s="1" t="s">
        <v>20294</v>
      </c>
      <c r="L5735" s="1"/>
      <c r="M5735" s="1"/>
    </row>
    <row x14ac:dyDescent="0.25" r="5736" customHeight="1" ht="18.75">
      <c r="A5736" s="1" t="s">
        <v>3598</v>
      </c>
      <c r="B5736" s="1" t="s">
        <v>3778</v>
      </c>
      <c r="C5736" s="1" t="s">
        <v>3600</v>
      </c>
      <c r="D5736" s="1" t="s">
        <v>3601</v>
      </c>
      <c r="E5736" s="1" t="s">
        <v>3664</v>
      </c>
      <c r="F5736" s="1" t="s">
        <v>20295</v>
      </c>
      <c r="G5736" s="1" t="s">
        <v>20053</v>
      </c>
      <c r="H5736" s="1" t="s">
        <v>3604</v>
      </c>
      <c r="I5736" s="1" t="s">
        <v>20296</v>
      </c>
      <c r="J5736" s="1" t="s">
        <v>3606</v>
      </c>
      <c r="K5736" s="1" t="s">
        <v>20297</v>
      </c>
      <c r="L5736" s="1"/>
      <c r="M5736" s="1"/>
    </row>
    <row x14ac:dyDescent="0.25" r="5737" customHeight="1" ht="18.75">
      <c r="A5737" s="1" t="s">
        <v>3598</v>
      </c>
      <c r="B5737" s="1" t="s">
        <v>3778</v>
      </c>
      <c r="C5737" s="1" t="s">
        <v>3600</v>
      </c>
      <c r="D5737" s="1" t="s">
        <v>3601</v>
      </c>
      <c r="E5737" s="1" t="s">
        <v>3664</v>
      </c>
      <c r="F5737" s="1" t="s">
        <v>20298</v>
      </c>
      <c r="G5737" s="1" t="s">
        <v>20299</v>
      </c>
      <c r="H5737" s="1" t="s">
        <v>3604</v>
      </c>
      <c r="I5737" s="1" t="s">
        <v>20300</v>
      </c>
      <c r="J5737" s="1" t="s">
        <v>3606</v>
      </c>
      <c r="K5737" s="1" t="s">
        <v>20301</v>
      </c>
      <c r="L5737" s="1"/>
      <c r="M5737" s="1"/>
    </row>
    <row x14ac:dyDescent="0.25" r="5738" customHeight="1" ht="18.75">
      <c r="A5738" s="1" t="s">
        <v>3598</v>
      </c>
      <c r="B5738" s="1" t="s">
        <v>3814</v>
      </c>
      <c r="C5738" s="1" t="s">
        <v>3600</v>
      </c>
      <c r="D5738" s="1" t="s">
        <v>3601</v>
      </c>
      <c r="E5738" s="1" t="s">
        <v>3664</v>
      </c>
      <c r="F5738" s="1" t="s">
        <v>20302</v>
      </c>
      <c r="G5738" s="1" t="s">
        <v>20303</v>
      </c>
      <c r="H5738" s="1" t="s">
        <v>3604</v>
      </c>
      <c r="I5738" s="1" t="s">
        <v>20304</v>
      </c>
      <c r="J5738" s="1" t="s">
        <v>3606</v>
      </c>
      <c r="K5738" s="1" t="s">
        <v>20305</v>
      </c>
      <c r="L5738" s="1"/>
      <c r="M5738" s="1"/>
    </row>
    <row x14ac:dyDescent="0.25" r="5739" customHeight="1" ht="18.75">
      <c r="A5739" s="1" t="s">
        <v>3598</v>
      </c>
      <c r="B5739" s="1" t="s">
        <v>19975</v>
      </c>
      <c r="C5739" s="1" t="s">
        <v>3600</v>
      </c>
      <c r="D5739" s="1" t="s">
        <v>3601</v>
      </c>
      <c r="E5739" s="1" t="s">
        <v>3664</v>
      </c>
      <c r="F5739" s="1" t="s">
        <v>20306</v>
      </c>
      <c r="G5739" s="1" t="s">
        <v>19981</v>
      </c>
      <c r="H5739" s="1" t="s">
        <v>3604</v>
      </c>
      <c r="I5739" s="1" t="s">
        <v>20307</v>
      </c>
      <c r="J5739" s="1" t="s">
        <v>3606</v>
      </c>
      <c r="K5739" s="1" t="s">
        <v>20308</v>
      </c>
      <c r="L5739" s="1"/>
      <c r="M5739" s="1"/>
    </row>
    <row x14ac:dyDescent="0.25" r="5740" customHeight="1" ht="18.75">
      <c r="A5740" s="1" t="s">
        <v>3598</v>
      </c>
      <c r="B5740" s="1" t="s">
        <v>19975</v>
      </c>
      <c r="C5740" s="1" t="s">
        <v>3600</v>
      </c>
      <c r="D5740" s="1" t="s">
        <v>3601</v>
      </c>
      <c r="E5740" s="1" t="s">
        <v>3664</v>
      </c>
      <c r="F5740" s="1" t="s">
        <v>20309</v>
      </c>
      <c r="G5740" s="1" t="s">
        <v>20310</v>
      </c>
      <c r="H5740" s="1" t="s">
        <v>3604</v>
      </c>
      <c r="I5740" s="1" t="s">
        <v>20311</v>
      </c>
      <c r="J5740" s="1" t="s">
        <v>3606</v>
      </c>
      <c r="K5740" s="1" t="s">
        <v>20312</v>
      </c>
      <c r="L5740" s="1"/>
      <c r="M5740" s="1"/>
    </row>
    <row x14ac:dyDescent="0.25" r="5741" customHeight="1" ht="18.75">
      <c r="A5741" s="1" t="s">
        <v>3598</v>
      </c>
      <c r="B5741" s="1" t="s">
        <v>14119</v>
      </c>
      <c r="C5741" s="1" t="s">
        <v>3600</v>
      </c>
      <c r="D5741" s="1" t="s">
        <v>3601</v>
      </c>
      <c r="E5741" s="1" t="s">
        <v>3664</v>
      </c>
      <c r="F5741" s="1" t="s">
        <v>20313</v>
      </c>
      <c r="G5741" s="1" t="s">
        <v>20314</v>
      </c>
      <c r="H5741" s="1" t="s">
        <v>3604</v>
      </c>
      <c r="I5741" s="1" t="s">
        <v>20315</v>
      </c>
      <c r="J5741" s="1" t="s">
        <v>3606</v>
      </c>
      <c r="K5741" s="1" t="s">
        <v>20316</v>
      </c>
      <c r="L5741" s="1"/>
      <c r="M5741" s="1"/>
    </row>
    <row x14ac:dyDescent="0.25" r="5742" customHeight="1" ht="18.75">
      <c r="A5742" s="1" t="s">
        <v>3598</v>
      </c>
      <c r="B5742" s="1" t="s">
        <v>14119</v>
      </c>
      <c r="C5742" s="1" t="s">
        <v>3600</v>
      </c>
      <c r="D5742" s="1" t="s">
        <v>3601</v>
      </c>
      <c r="E5742" s="1" t="s">
        <v>3664</v>
      </c>
      <c r="F5742" s="1" t="s">
        <v>20317</v>
      </c>
      <c r="G5742" s="1" t="s">
        <v>20318</v>
      </c>
      <c r="H5742" s="1" t="s">
        <v>3604</v>
      </c>
      <c r="I5742" s="1" t="s">
        <v>20319</v>
      </c>
      <c r="J5742" s="1" t="s">
        <v>3606</v>
      </c>
      <c r="K5742" s="1" t="s">
        <v>20320</v>
      </c>
      <c r="L5742" s="1"/>
      <c r="M5742" s="1"/>
    </row>
    <row x14ac:dyDescent="0.25" r="5743" customHeight="1" ht="18.75">
      <c r="A5743" s="1" t="s">
        <v>3598</v>
      </c>
      <c r="B5743" s="1" t="s">
        <v>14119</v>
      </c>
      <c r="C5743" s="1" t="s">
        <v>3600</v>
      </c>
      <c r="D5743" s="1" t="s">
        <v>3601</v>
      </c>
      <c r="E5743" s="1" t="s">
        <v>3664</v>
      </c>
      <c r="F5743" s="1" t="s">
        <v>20321</v>
      </c>
      <c r="G5743" s="1" t="s">
        <v>14121</v>
      </c>
      <c r="H5743" s="1" t="s">
        <v>3604</v>
      </c>
      <c r="I5743" s="1" t="s">
        <v>20322</v>
      </c>
      <c r="J5743" s="1" t="s">
        <v>3606</v>
      </c>
      <c r="K5743" s="1" t="s">
        <v>20323</v>
      </c>
      <c r="L5743" s="1"/>
      <c r="M5743" s="1"/>
    </row>
    <row x14ac:dyDescent="0.25" r="5744" customHeight="1" ht="18.75">
      <c r="A5744" s="1" t="s">
        <v>3598</v>
      </c>
      <c r="B5744" s="1" t="s">
        <v>4781</v>
      </c>
      <c r="C5744" s="1" t="s">
        <v>3600</v>
      </c>
      <c r="D5744" s="1" t="s">
        <v>3601</v>
      </c>
      <c r="E5744" s="1" t="s">
        <v>3664</v>
      </c>
      <c r="F5744" s="1" t="s">
        <v>20324</v>
      </c>
      <c r="G5744" s="1" t="s">
        <v>20325</v>
      </c>
      <c r="H5744" s="1" t="s">
        <v>3604</v>
      </c>
      <c r="I5744" s="1" t="s">
        <v>20326</v>
      </c>
      <c r="J5744" s="1" t="s">
        <v>3606</v>
      </c>
      <c r="K5744" s="1" t="s">
        <v>20327</v>
      </c>
      <c r="L5744" s="1"/>
      <c r="M5744" s="1"/>
    </row>
    <row x14ac:dyDescent="0.25" r="5745" customHeight="1" ht="18.75">
      <c r="A5745" s="1" t="s">
        <v>3598</v>
      </c>
      <c r="B5745" s="1" t="s">
        <v>4781</v>
      </c>
      <c r="C5745" s="1" t="s">
        <v>3600</v>
      </c>
      <c r="D5745" s="1" t="s">
        <v>3601</v>
      </c>
      <c r="E5745" s="1" t="s">
        <v>3664</v>
      </c>
      <c r="F5745" s="1" t="s">
        <v>20328</v>
      </c>
      <c r="G5745" s="1" t="s">
        <v>20329</v>
      </c>
      <c r="H5745" s="1" t="s">
        <v>3604</v>
      </c>
      <c r="I5745" s="1" t="s">
        <v>20330</v>
      </c>
      <c r="J5745" s="1" t="s">
        <v>3606</v>
      </c>
      <c r="K5745" s="1" t="s">
        <v>20331</v>
      </c>
      <c r="L5745" s="1"/>
      <c r="M5745" s="1"/>
    </row>
    <row x14ac:dyDescent="0.25" r="5746" customHeight="1" ht="18.75">
      <c r="A5746" s="1" t="s">
        <v>3598</v>
      </c>
      <c r="B5746" s="1" t="s">
        <v>19975</v>
      </c>
      <c r="C5746" s="1" t="s">
        <v>3600</v>
      </c>
      <c r="D5746" s="1" t="s">
        <v>3601</v>
      </c>
      <c r="E5746" s="1" t="s">
        <v>3664</v>
      </c>
      <c r="F5746" s="1" t="s">
        <v>20332</v>
      </c>
      <c r="G5746" s="1" t="s">
        <v>20333</v>
      </c>
      <c r="H5746" s="1" t="s">
        <v>3604</v>
      </c>
      <c r="I5746" s="1" t="s">
        <v>20334</v>
      </c>
      <c r="J5746" s="1" t="s">
        <v>3606</v>
      </c>
      <c r="K5746" s="1" t="s">
        <v>20335</v>
      </c>
      <c r="L5746" s="1"/>
      <c r="M5746" s="1"/>
    </row>
    <row x14ac:dyDescent="0.25" r="5747" customHeight="1" ht="18.75">
      <c r="A5747" s="1" t="s">
        <v>3598</v>
      </c>
      <c r="B5747" s="1" t="s">
        <v>17258</v>
      </c>
      <c r="C5747" s="1" t="s">
        <v>3600</v>
      </c>
      <c r="D5747" s="1" t="s">
        <v>3601</v>
      </c>
      <c r="E5747" s="1" t="s">
        <v>3664</v>
      </c>
      <c r="F5747" s="1" t="s">
        <v>20336</v>
      </c>
      <c r="G5747" s="1" t="s">
        <v>20337</v>
      </c>
      <c r="H5747" s="1" t="s">
        <v>3604</v>
      </c>
      <c r="I5747" s="1" t="s">
        <v>20338</v>
      </c>
      <c r="J5747" s="1" t="s">
        <v>3606</v>
      </c>
      <c r="K5747" s="1" t="s">
        <v>20339</v>
      </c>
      <c r="L5747" s="1"/>
      <c r="M5747" s="1"/>
    </row>
    <row x14ac:dyDescent="0.25" r="5748" customHeight="1" ht="18.75">
      <c r="A5748" s="1" t="s">
        <v>3598</v>
      </c>
      <c r="B5748" s="1" t="s">
        <v>16610</v>
      </c>
      <c r="C5748" s="1" t="s">
        <v>3600</v>
      </c>
      <c r="D5748" s="1" t="s">
        <v>7994</v>
      </c>
      <c r="E5748" s="1" t="s">
        <v>3893</v>
      </c>
      <c r="F5748" s="1" t="s">
        <v>20340</v>
      </c>
      <c r="G5748" s="1" t="s">
        <v>14002</v>
      </c>
      <c r="H5748" s="1" t="s">
        <v>3604</v>
      </c>
      <c r="I5748" s="1" t="s">
        <v>20341</v>
      </c>
      <c r="J5748" s="1" t="s">
        <v>3606</v>
      </c>
      <c r="K5748" s="1" t="s">
        <v>20342</v>
      </c>
      <c r="L5748" s="1"/>
      <c r="M5748" s="1"/>
    </row>
    <row x14ac:dyDescent="0.25" r="5749" customHeight="1" ht="18.75">
      <c r="A5749" s="1" t="s">
        <v>3598</v>
      </c>
      <c r="B5749" s="1" t="s">
        <v>20343</v>
      </c>
      <c r="C5749" s="1" t="s">
        <v>3600</v>
      </c>
      <c r="D5749" s="1" t="s">
        <v>8373</v>
      </c>
      <c r="E5749" s="1" t="s">
        <v>3893</v>
      </c>
      <c r="F5749" s="1" t="s">
        <v>20344</v>
      </c>
      <c r="G5749" s="1" t="s">
        <v>20345</v>
      </c>
      <c r="H5749" s="1" t="s">
        <v>3604</v>
      </c>
      <c r="I5749" s="1" t="s">
        <v>20346</v>
      </c>
      <c r="J5749" s="1" t="s">
        <v>3606</v>
      </c>
      <c r="K5749" s="1"/>
      <c r="L5749" s="1"/>
      <c r="M5749" s="1"/>
    </row>
    <row x14ac:dyDescent="0.25" r="5750" customHeight="1" ht="18.75">
      <c r="A5750" s="1" t="s">
        <v>3598</v>
      </c>
      <c r="B5750" s="1" t="s">
        <v>20343</v>
      </c>
      <c r="C5750" s="1" t="s">
        <v>3600</v>
      </c>
      <c r="D5750" s="1" t="s">
        <v>8373</v>
      </c>
      <c r="E5750" s="1" t="s">
        <v>3893</v>
      </c>
      <c r="F5750" s="1" t="s">
        <v>20347</v>
      </c>
      <c r="G5750" s="1" t="s">
        <v>20345</v>
      </c>
      <c r="H5750" s="1" t="s">
        <v>3604</v>
      </c>
      <c r="I5750" s="1" t="s">
        <v>20348</v>
      </c>
      <c r="J5750" s="1" t="s">
        <v>3606</v>
      </c>
      <c r="K5750" s="1"/>
      <c r="L5750" s="1"/>
      <c r="M5750" s="1"/>
    </row>
    <row x14ac:dyDescent="0.25" r="5751" customHeight="1" ht="18.75">
      <c r="A5751" s="1" t="s">
        <v>3598</v>
      </c>
      <c r="B5751" s="1" t="s">
        <v>20343</v>
      </c>
      <c r="C5751" s="1" t="s">
        <v>3600</v>
      </c>
      <c r="D5751" s="1" t="s">
        <v>8373</v>
      </c>
      <c r="E5751" s="1" t="s">
        <v>3893</v>
      </c>
      <c r="F5751" s="1" t="s">
        <v>20349</v>
      </c>
      <c r="G5751" s="1" t="s">
        <v>20345</v>
      </c>
      <c r="H5751" s="1" t="s">
        <v>3604</v>
      </c>
      <c r="I5751" s="1" t="s">
        <v>20350</v>
      </c>
      <c r="J5751" s="1" t="s">
        <v>3606</v>
      </c>
      <c r="K5751" s="1"/>
      <c r="L5751" s="1"/>
      <c r="M5751" s="1"/>
    </row>
    <row x14ac:dyDescent="0.25" r="5752" customHeight="1" ht="18.75">
      <c r="A5752" s="1" t="s">
        <v>3598</v>
      </c>
      <c r="B5752" s="1" t="s">
        <v>20343</v>
      </c>
      <c r="C5752" s="1" t="s">
        <v>3600</v>
      </c>
      <c r="D5752" s="1" t="s">
        <v>8373</v>
      </c>
      <c r="E5752" s="1" t="s">
        <v>3893</v>
      </c>
      <c r="F5752" s="1" t="s">
        <v>20351</v>
      </c>
      <c r="G5752" s="1" t="s">
        <v>20345</v>
      </c>
      <c r="H5752" s="1" t="s">
        <v>3604</v>
      </c>
      <c r="I5752" s="1" t="s">
        <v>20352</v>
      </c>
      <c r="J5752" s="1" t="s">
        <v>3606</v>
      </c>
      <c r="K5752" s="1"/>
      <c r="L5752" s="1"/>
      <c r="M5752" s="1"/>
    </row>
    <row x14ac:dyDescent="0.25" r="5753" customHeight="1" ht="18.75">
      <c r="A5753" s="1" t="s">
        <v>3598</v>
      </c>
      <c r="B5753" s="1" t="s">
        <v>20343</v>
      </c>
      <c r="C5753" s="1" t="s">
        <v>3600</v>
      </c>
      <c r="D5753" s="1" t="s">
        <v>8373</v>
      </c>
      <c r="E5753" s="1" t="s">
        <v>3893</v>
      </c>
      <c r="F5753" s="1" t="s">
        <v>20353</v>
      </c>
      <c r="G5753" s="1" t="s">
        <v>20345</v>
      </c>
      <c r="H5753" s="1" t="s">
        <v>3604</v>
      </c>
      <c r="I5753" s="1" t="s">
        <v>20354</v>
      </c>
      <c r="J5753" s="1" t="s">
        <v>3606</v>
      </c>
      <c r="K5753" s="1"/>
      <c r="L5753" s="1"/>
      <c r="M5753" s="1"/>
    </row>
    <row x14ac:dyDescent="0.25" r="5754" customHeight="1" ht="18.75">
      <c r="A5754" s="1" t="s">
        <v>3598</v>
      </c>
      <c r="B5754" s="1" t="s">
        <v>20343</v>
      </c>
      <c r="C5754" s="1" t="s">
        <v>3600</v>
      </c>
      <c r="D5754" s="1" t="s">
        <v>8373</v>
      </c>
      <c r="E5754" s="1" t="s">
        <v>3893</v>
      </c>
      <c r="F5754" s="1" t="s">
        <v>20355</v>
      </c>
      <c r="G5754" s="1" t="s">
        <v>20345</v>
      </c>
      <c r="H5754" s="1" t="s">
        <v>3604</v>
      </c>
      <c r="I5754" s="1" t="s">
        <v>20356</v>
      </c>
      <c r="J5754" s="1" t="s">
        <v>3606</v>
      </c>
      <c r="K5754" s="1"/>
      <c r="L5754" s="1"/>
      <c r="M5754" s="1"/>
    </row>
    <row x14ac:dyDescent="0.25" r="5755" customHeight="1" ht="18.75">
      <c r="A5755" s="1" t="s">
        <v>3598</v>
      </c>
      <c r="B5755" s="1" t="s">
        <v>3751</v>
      </c>
      <c r="C5755" s="1" t="s">
        <v>3600</v>
      </c>
      <c r="D5755" s="1" t="s">
        <v>3601</v>
      </c>
      <c r="E5755" s="1" t="s">
        <v>3664</v>
      </c>
      <c r="F5755" s="1" t="s">
        <v>20357</v>
      </c>
      <c r="G5755" s="1" t="s">
        <v>20358</v>
      </c>
      <c r="H5755" s="1" t="s">
        <v>3604</v>
      </c>
      <c r="I5755" s="1" t="s">
        <v>20359</v>
      </c>
      <c r="J5755" s="1" t="s">
        <v>3615</v>
      </c>
      <c r="K5755" s="1" t="s">
        <v>20360</v>
      </c>
      <c r="L5755" s="1"/>
      <c r="M5755" s="1"/>
    </row>
    <row x14ac:dyDescent="0.25" r="5756" customHeight="1" ht="18.75">
      <c r="A5756" s="1" t="s">
        <v>3598</v>
      </c>
      <c r="B5756" s="1" t="s">
        <v>3751</v>
      </c>
      <c r="C5756" s="1" t="s">
        <v>3600</v>
      </c>
      <c r="D5756" s="1" t="s">
        <v>3601</v>
      </c>
      <c r="E5756" s="1" t="s">
        <v>3664</v>
      </c>
      <c r="F5756" s="1" t="s">
        <v>20361</v>
      </c>
      <c r="G5756" s="1" t="s">
        <v>20362</v>
      </c>
      <c r="H5756" s="1" t="s">
        <v>3604</v>
      </c>
      <c r="I5756" s="1" t="s">
        <v>20363</v>
      </c>
      <c r="J5756" s="1" t="s">
        <v>3615</v>
      </c>
      <c r="K5756" s="1" t="s">
        <v>20364</v>
      </c>
      <c r="L5756" s="1"/>
      <c r="M5756" s="1"/>
    </row>
    <row x14ac:dyDescent="0.25" r="5757" customHeight="1" ht="18.75">
      <c r="A5757" s="1" t="s">
        <v>3598</v>
      </c>
      <c r="B5757" s="1" t="s">
        <v>18062</v>
      </c>
      <c r="C5757" s="1" t="s">
        <v>3600</v>
      </c>
      <c r="D5757" s="1" t="s">
        <v>3601</v>
      </c>
      <c r="E5757" s="1" t="s">
        <v>3893</v>
      </c>
      <c r="F5757" s="1" t="s">
        <v>20365</v>
      </c>
      <c r="G5757" s="1" t="s">
        <v>20366</v>
      </c>
      <c r="H5757" s="1" t="s">
        <v>3604</v>
      </c>
      <c r="I5757" s="1" t="s">
        <v>20367</v>
      </c>
      <c r="J5757" s="1" t="s">
        <v>3606</v>
      </c>
      <c r="K5757" s="1" t="s">
        <v>20368</v>
      </c>
      <c r="L5757" s="1"/>
      <c r="M5757" s="1"/>
    </row>
    <row x14ac:dyDescent="0.25" r="5758" customHeight="1" ht="18.75">
      <c r="A5758" s="1" t="s">
        <v>3598</v>
      </c>
      <c r="B5758" s="1" t="s">
        <v>18096</v>
      </c>
      <c r="C5758" s="1" t="s">
        <v>3600</v>
      </c>
      <c r="D5758" s="1" t="s">
        <v>3601</v>
      </c>
      <c r="E5758" s="1" t="s">
        <v>3893</v>
      </c>
      <c r="F5758" s="1" t="s">
        <v>20369</v>
      </c>
      <c r="G5758" s="1" t="s">
        <v>20370</v>
      </c>
      <c r="H5758" s="1" t="s">
        <v>3604</v>
      </c>
      <c r="I5758" s="1" t="s">
        <v>20371</v>
      </c>
      <c r="J5758" s="1" t="s">
        <v>3606</v>
      </c>
      <c r="K5758" s="1" t="s">
        <v>20372</v>
      </c>
      <c r="L5758" s="1"/>
      <c r="M5758" s="1"/>
    </row>
    <row x14ac:dyDescent="0.25" r="5759" customHeight="1" ht="18.75">
      <c r="A5759" s="1" t="s">
        <v>3598</v>
      </c>
      <c r="B5759" s="1" t="s">
        <v>19642</v>
      </c>
      <c r="C5759" s="1" t="s">
        <v>3600</v>
      </c>
      <c r="D5759" s="1" t="s">
        <v>3601</v>
      </c>
      <c r="E5759" s="1" t="s">
        <v>3752</v>
      </c>
      <c r="F5759" s="1" t="s">
        <v>20373</v>
      </c>
      <c r="G5759" s="1" t="s">
        <v>19853</v>
      </c>
      <c r="H5759" s="1" t="s">
        <v>3604</v>
      </c>
      <c r="I5759" s="1" t="s">
        <v>20374</v>
      </c>
      <c r="J5759" s="1" t="s">
        <v>3606</v>
      </c>
      <c r="K5759" s="1" t="s">
        <v>20375</v>
      </c>
      <c r="L5759" s="1"/>
      <c r="M5759" s="1"/>
    </row>
    <row x14ac:dyDescent="0.25" r="5760" customHeight="1" ht="18.75">
      <c r="A5760" s="1" t="s">
        <v>3598</v>
      </c>
      <c r="B5760" s="1" t="s">
        <v>19642</v>
      </c>
      <c r="C5760" s="1" t="s">
        <v>3600</v>
      </c>
      <c r="D5760" s="1" t="s">
        <v>3601</v>
      </c>
      <c r="E5760" s="1" t="s">
        <v>3752</v>
      </c>
      <c r="F5760" s="1" t="s">
        <v>20376</v>
      </c>
      <c r="G5760" s="1" t="s">
        <v>19857</v>
      </c>
      <c r="H5760" s="1" t="s">
        <v>3604</v>
      </c>
      <c r="I5760" s="1" t="s">
        <v>20377</v>
      </c>
      <c r="J5760" s="1" t="s">
        <v>3606</v>
      </c>
      <c r="K5760" s="1" t="s">
        <v>20378</v>
      </c>
      <c r="L5760" s="1"/>
      <c r="M5760" s="1"/>
    </row>
    <row x14ac:dyDescent="0.25" r="5761" customHeight="1" ht="18.75">
      <c r="A5761" s="1" t="s">
        <v>3598</v>
      </c>
      <c r="B5761" s="1" t="s">
        <v>19642</v>
      </c>
      <c r="C5761" s="1" t="s">
        <v>3600</v>
      </c>
      <c r="D5761" s="1" t="s">
        <v>3601</v>
      </c>
      <c r="E5761" s="1" t="s">
        <v>3752</v>
      </c>
      <c r="F5761" s="1" t="s">
        <v>20379</v>
      </c>
      <c r="G5761" s="1" t="s">
        <v>19861</v>
      </c>
      <c r="H5761" s="1" t="s">
        <v>3604</v>
      </c>
      <c r="I5761" s="1" t="s">
        <v>20380</v>
      </c>
      <c r="J5761" s="1" t="s">
        <v>3606</v>
      </c>
      <c r="K5761" s="1" t="s">
        <v>20381</v>
      </c>
      <c r="L5761" s="1"/>
      <c r="M5761" s="1"/>
    </row>
    <row x14ac:dyDescent="0.25" r="5762" customHeight="1" ht="18.75">
      <c r="A5762" s="1" t="s">
        <v>3598</v>
      </c>
      <c r="B5762" s="1" t="s">
        <v>19642</v>
      </c>
      <c r="C5762" s="1" t="s">
        <v>3600</v>
      </c>
      <c r="D5762" s="1" t="s">
        <v>3601</v>
      </c>
      <c r="E5762" s="1" t="s">
        <v>3752</v>
      </c>
      <c r="F5762" s="1" t="s">
        <v>20382</v>
      </c>
      <c r="G5762" s="1" t="s">
        <v>20383</v>
      </c>
      <c r="H5762" s="1" t="s">
        <v>3604</v>
      </c>
      <c r="I5762" s="1" t="s">
        <v>20384</v>
      </c>
      <c r="J5762" s="1" t="s">
        <v>3606</v>
      </c>
      <c r="K5762" s="1" t="s">
        <v>20385</v>
      </c>
      <c r="L5762" s="1"/>
      <c r="M5762" s="1"/>
    </row>
    <row x14ac:dyDescent="0.25" r="5763" customHeight="1" ht="18.75">
      <c r="A5763" s="1" t="s">
        <v>3598</v>
      </c>
      <c r="B5763" s="1" t="s">
        <v>19642</v>
      </c>
      <c r="C5763" s="1" t="s">
        <v>3600</v>
      </c>
      <c r="D5763" s="1" t="s">
        <v>3601</v>
      </c>
      <c r="E5763" s="1" t="s">
        <v>3664</v>
      </c>
      <c r="F5763" s="1" t="s">
        <v>20386</v>
      </c>
      <c r="G5763" s="1" t="s">
        <v>19865</v>
      </c>
      <c r="H5763" s="1" t="s">
        <v>3604</v>
      </c>
      <c r="I5763" s="1" t="s">
        <v>20387</v>
      </c>
      <c r="J5763" s="1" t="s">
        <v>3606</v>
      </c>
      <c r="K5763" s="1" t="s">
        <v>20388</v>
      </c>
      <c r="L5763" s="1"/>
      <c r="M5763" s="1"/>
    </row>
    <row x14ac:dyDescent="0.25" r="5764" customHeight="1" ht="18.75">
      <c r="A5764" s="1" t="s">
        <v>3598</v>
      </c>
      <c r="B5764" s="1" t="s">
        <v>19642</v>
      </c>
      <c r="C5764" s="1" t="s">
        <v>3600</v>
      </c>
      <c r="D5764" s="1" t="s">
        <v>3601</v>
      </c>
      <c r="E5764" s="1" t="s">
        <v>3664</v>
      </c>
      <c r="F5764" s="1" t="s">
        <v>20389</v>
      </c>
      <c r="G5764" s="1" t="s">
        <v>19872</v>
      </c>
      <c r="H5764" s="1" t="s">
        <v>3604</v>
      </c>
      <c r="I5764" s="1" t="s">
        <v>20390</v>
      </c>
      <c r="J5764" s="1" t="s">
        <v>3606</v>
      </c>
      <c r="K5764" s="1" t="s">
        <v>20391</v>
      </c>
      <c r="L5764" s="1"/>
      <c r="M5764" s="1"/>
    </row>
    <row x14ac:dyDescent="0.25" r="5765" customHeight="1" ht="18.75">
      <c r="A5765" s="1" t="s">
        <v>3598</v>
      </c>
      <c r="B5765" s="1" t="s">
        <v>19642</v>
      </c>
      <c r="C5765" s="1" t="s">
        <v>3600</v>
      </c>
      <c r="D5765" s="1" t="s">
        <v>3601</v>
      </c>
      <c r="E5765" s="1" t="s">
        <v>3664</v>
      </c>
      <c r="F5765" s="1" t="s">
        <v>20392</v>
      </c>
      <c r="G5765" s="1" t="s">
        <v>19876</v>
      </c>
      <c r="H5765" s="1" t="s">
        <v>3604</v>
      </c>
      <c r="I5765" s="1" t="s">
        <v>20393</v>
      </c>
      <c r="J5765" s="1" t="s">
        <v>3606</v>
      </c>
      <c r="K5765" s="1" t="s">
        <v>20394</v>
      </c>
      <c r="L5765" s="1"/>
      <c r="M5765" s="1"/>
    </row>
    <row x14ac:dyDescent="0.25" r="5766" customHeight="1" ht="18.75">
      <c r="A5766" s="1" t="s">
        <v>3598</v>
      </c>
      <c r="B5766" s="1" t="s">
        <v>14132</v>
      </c>
      <c r="C5766" s="1" t="s">
        <v>3600</v>
      </c>
      <c r="D5766" s="1" t="s">
        <v>3601</v>
      </c>
      <c r="E5766" s="1" t="s">
        <v>3664</v>
      </c>
      <c r="F5766" s="1" t="s">
        <v>20395</v>
      </c>
      <c r="G5766" s="1" t="s">
        <v>20396</v>
      </c>
      <c r="H5766" s="1" t="s">
        <v>3604</v>
      </c>
      <c r="I5766" s="1" t="s">
        <v>20397</v>
      </c>
      <c r="J5766" s="1" t="s">
        <v>3606</v>
      </c>
      <c r="K5766" s="1" t="s">
        <v>20398</v>
      </c>
      <c r="L5766" s="1"/>
      <c r="M5766" s="1"/>
    </row>
    <row x14ac:dyDescent="0.25" r="5767" customHeight="1" ht="18.75">
      <c r="A5767" s="1" t="s">
        <v>3598</v>
      </c>
      <c r="B5767" s="1" t="s">
        <v>17394</v>
      </c>
      <c r="C5767" s="1" t="s">
        <v>3600</v>
      </c>
      <c r="D5767" s="1" t="s">
        <v>3601</v>
      </c>
      <c r="E5767" s="1" t="s">
        <v>3664</v>
      </c>
      <c r="F5767" s="1" t="s">
        <v>20399</v>
      </c>
      <c r="G5767" s="1" t="s">
        <v>20400</v>
      </c>
      <c r="H5767" s="1" t="s">
        <v>3604</v>
      </c>
      <c r="I5767" s="1" t="s">
        <v>20401</v>
      </c>
      <c r="J5767" s="1" t="s">
        <v>3606</v>
      </c>
      <c r="K5767" s="1" t="s">
        <v>20402</v>
      </c>
      <c r="L5767" s="1"/>
      <c r="M5767" s="1"/>
    </row>
    <row x14ac:dyDescent="0.25" r="5768" customHeight="1" ht="18.75">
      <c r="A5768" s="1" t="s">
        <v>3598</v>
      </c>
      <c r="B5768" s="1" t="s">
        <v>6717</v>
      </c>
      <c r="C5768" s="1" t="s">
        <v>3600</v>
      </c>
      <c r="D5768" s="1" t="s">
        <v>3601</v>
      </c>
      <c r="E5768" s="1" t="s">
        <v>3664</v>
      </c>
      <c r="F5768" s="1" t="s">
        <v>20403</v>
      </c>
      <c r="G5768" s="1" t="s">
        <v>20404</v>
      </c>
      <c r="H5768" s="1" t="s">
        <v>3604</v>
      </c>
      <c r="I5768" s="1" t="s">
        <v>20405</v>
      </c>
      <c r="J5768" s="1" t="s">
        <v>3606</v>
      </c>
      <c r="K5768" s="1" t="s">
        <v>20406</v>
      </c>
      <c r="L5768" s="1"/>
      <c r="M5768" s="1"/>
    </row>
    <row x14ac:dyDescent="0.25" r="5769" customHeight="1" ht="18.75">
      <c r="A5769" s="1" t="s">
        <v>3598</v>
      </c>
      <c r="B5769" s="1" t="s">
        <v>3663</v>
      </c>
      <c r="C5769" s="1" t="s">
        <v>3600</v>
      </c>
      <c r="D5769" s="1" t="s">
        <v>3601</v>
      </c>
      <c r="E5769" s="1" t="s">
        <v>3752</v>
      </c>
      <c r="F5769" s="1" t="s">
        <v>20407</v>
      </c>
      <c r="G5769" s="1" t="s">
        <v>20408</v>
      </c>
      <c r="H5769" s="1" t="s">
        <v>3604</v>
      </c>
      <c r="I5769" s="1" t="s">
        <v>20409</v>
      </c>
      <c r="J5769" s="1" t="s">
        <v>3606</v>
      </c>
      <c r="K5769" s="1" t="s">
        <v>20410</v>
      </c>
      <c r="L5769" s="1"/>
      <c r="M5769" s="1"/>
    </row>
    <row x14ac:dyDescent="0.25" r="5770" customHeight="1" ht="18.75">
      <c r="A5770" s="1" t="s">
        <v>3598</v>
      </c>
      <c r="B5770" s="1" t="s">
        <v>3663</v>
      </c>
      <c r="C5770" s="1" t="s">
        <v>3600</v>
      </c>
      <c r="D5770" s="1" t="s">
        <v>3601</v>
      </c>
      <c r="E5770" s="1" t="s">
        <v>3752</v>
      </c>
      <c r="F5770" s="1" t="s">
        <v>20411</v>
      </c>
      <c r="G5770" s="1" t="s">
        <v>20408</v>
      </c>
      <c r="H5770" s="1" t="s">
        <v>3604</v>
      </c>
      <c r="I5770" s="1" t="s">
        <v>20412</v>
      </c>
      <c r="J5770" s="1" t="s">
        <v>3606</v>
      </c>
      <c r="K5770" s="1" t="s">
        <v>20413</v>
      </c>
      <c r="L5770" s="1"/>
      <c r="M5770" s="1"/>
    </row>
    <row x14ac:dyDescent="0.25" r="5771" customHeight="1" ht="18.75">
      <c r="A5771" s="1" t="s">
        <v>3598</v>
      </c>
      <c r="B5771" s="1" t="s">
        <v>5260</v>
      </c>
      <c r="C5771" s="1" t="s">
        <v>3600</v>
      </c>
      <c r="D5771" s="1" t="s">
        <v>3601</v>
      </c>
      <c r="E5771" s="1" t="s">
        <v>3893</v>
      </c>
      <c r="F5771" s="1" t="s">
        <v>20414</v>
      </c>
      <c r="G5771" s="1" t="s">
        <v>20415</v>
      </c>
      <c r="H5771" s="1" t="s">
        <v>3604</v>
      </c>
      <c r="I5771" s="1" t="s">
        <v>20416</v>
      </c>
      <c r="J5771" s="1" t="s">
        <v>3606</v>
      </c>
      <c r="K5771" s="1" t="s">
        <v>20417</v>
      </c>
      <c r="L5771" s="1"/>
      <c r="M5771" s="1"/>
    </row>
    <row x14ac:dyDescent="0.25" r="5772" customHeight="1" ht="18.75">
      <c r="A5772" s="1" t="s">
        <v>3598</v>
      </c>
      <c r="B5772" s="1" t="s">
        <v>5260</v>
      </c>
      <c r="C5772" s="1" t="s">
        <v>3600</v>
      </c>
      <c r="D5772" s="1" t="s">
        <v>3601</v>
      </c>
      <c r="E5772" s="1" t="s">
        <v>3893</v>
      </c>
      <c r="F5772" s="1" t="s">
        <v>20418</v>
      </c>
      <c r="G5772" s="1" t="s">
        <v>20419</v>
      </c>
      <c r="H5772" s="1" t="s">
        <v>3604</v>
      </c>
      <c r="I5772" s="1" t="s">
        <v>20420</v>
      </c>
      <c r="J5772" s="1" t="s">
        <v>3606</v>
      </c>
      <c r="K5772" s="1" t="s">
        <v>20421</v>
      </c>
      <c r="L5772" s="1"/>
      <c r="M5772" s="1"/>
    </row>
    <row x14ac:dyDescent="0.25" r="5773" customHeight="1" ht="18.75">
      <c r="A5773" s="1" t="s">
        <v>3598</v>
      </c>
      <c r="B5773" s="1" t="s">
        <v>5260</v>
      </c>
      <c r="C5773" s="1" t="s">
        <v>3600</v>
      </c>
      <c r="D5773" s="1" t="s">
        <v>3601</v>
      </c>
      <c r="E5773" s="1" t="s">
        <v>3893</v>
      </c>
      <c r="F5773" s="1" t="s">
        <v>20422</v>
      </c>
      <c r="G5773" s="1" t="s">
        <v>19887</v>
      </c>
      <c r="H5773" s="1" t="s">
        <v>3604</v>
      </c>
      <c r="I5773" s="1" t="s">
        <v>20423</v>
      </c>
      <c r="J5773" s="1" t="s">
        <v>3606</v>
      </c>
      <c r="K5773" s="1" t="s">
        <v>20424</v>
      </c>
      <c r="L5773" s="1"/>
      <c r="M5773" s="1"/>
    </row>
    <row x14ac:dyDescent="0.25" r="5774" customHeight="1" ht="18.75">
      <c r="A5774" s="1" t="s">
        <v>3598</v>
      </c>
      <c r="B5774" s="1" t="s">
        <v>8191</v>
      </c>
      <c r="C5774" s="1" t="s">
        <v>3600</v>
      </c>
      <c r="D5774" s="1" t="s">
        <v>3601</v>
      </c>
      <c r="E5774" s="1" t="s">
        <v>3664</v>
      </c>
      <c r="F5774" s="1" t="s">
        <v>20425</v>
      </c>
      <c r="G5774" s="1" t="s">
        <v>15864</v>
      </c>
      <c r="H5774" s="1" t="s">
        <v>3604</v>
      </c>
      <c r="I5774" s="1" t="s">
        <v>20426</v>
      </c>
      <c r="J5774" s="1" t="s">
        <v>3606</v>
      </c>
      <c r="K5774" s="1" t="s">
        <v>20427</v>
      </c>
      <c r="L5774" s="1"/>
      <c r="M5774" s="1"/>
    </row>
    <row x14ac:dyDescent="0.25" r="5775" customHeight="1" ht="18.75">
      <c r="A5775" s="1" t="s">
        <v>3598</v>
      </c>
      <c r="B5775" s="1" t="s">
        <v>14115</v>
      </c>
      <c r="C5775" s="1" t="s">
        <v>3600</v>
      </c>
      <c r="D5775" s="1" t="s">
        <v>3601</v>
      </c>
      <c r="E5775" s="1" t="s">
        <v>3664</v>
      </c>
      <c r="F5775" s="1" t="s">
        <v>20428</v>
      </c>
      <c r="G5775" s="1" t="s">
        <v>20429</v>
      </c>
      <c r="H5775" s="1" t="s">
        <v>3604</v>
      </c>
      <c r="I5775" s="1" t="s">
        <v>20430</v>
      </c>
      <c r="J5775" s="1" t="s">
        <v>3606</v>
      </c>
      <c r="K5775" s="1" t="s">
        <v>20431</v>
      </c>
      <c r="L5775" s="1"/>
      <c r="M5775" s="1"/>
    </row>
    <row x14ac:dyDescent="0.25" r="5776" customHeight="1" ht="18.75">
      <c r="A5776" s="1" t="s">
        <v>3598</v>
      </c>
      <c r="B5776" s="1" t="s">
        <v>19615</v>
      </c>
      <c r="C5776" s="1" t="s">
        <v>3600</v>
      </c>
      <c r="D5776" s="1" t="s">
        <v>3601</v>
      </c>
      <c r="E5776" s="1" t="s">
        <v>3664</v>
      </c>
      <c r="F5776" s="1" t="s">
        <v>20432</v>
      </c>
      <c r="G5776" s="1" t="s">
        <v>20433</v>
      </c>
      <c r="H5776" s="1" t="s">
        <v>3604</v>
      </c>
      <c r="I5776" s="1" t="s">
        <v>20434</v>
      </c>
      <c r="J5776" s="1" t="s">
        <v>3606</v>
      </c>
      <c r="K5776" s="1" t="s">
        <v>20435</v>
      </c>
      <c r="L5776" s="1"/>
      <c r="M5776" s="1"/>
    </row>
    <row x14ac:dyDescent="0.25" r="5777" customHeight="1" ht="18.75">
      <c r="A5777" s="1" t="s">
        <v>3598</v>
      </c>
      <c r="B5777" s="1" t="s">
        <v>9007</v>
      </c>
      <c r="C5777" s="1" t="s">
        <v>3600</v>
      </c>
      <c r="D5777" s="1" t="s">
        <v>3601</v>
      </c>
      <c r="E5777" s="1" t="s">
        <v>3893</v>
      </c>
      <c r="F5777" s="1" t="s">
        <v>20436</v>
      </c>
      <c r="G5777" s="1" t="s">
        <v>15844</v>
      </c>
      <c r="H5777" s="1" t="s">
        <v>3604</v>
      </c>
      <c r="I5777" s="1" t="s">
        <v>20437</v>
      </c>
      <c r="J5777" s="1" t="s">
        <v>3606</v>
      </c>
      <c r="K5777" s="1" t="s">
        <v>20438</v>
      </c>
      <c r="L5777" s="1"/>
      <c r="M5777" s="1"/>
    </row>
    <row x14ac:dyDescent="0.25" r="5778" customHeight="1" ht="18.75">
      <c r="A5778" s="1" t="s">
        <v>3598</v>
      </c>
      <c r="B5778" s="1" t="s">
        <v>9007</v>
      </c>
      <c r="C5778" s="1" t="s">
        <v>3600</v>
      </c>
      <c r="D5778" s="1" t="s">
        <v>3601</v>
      </c>
      <c r="E5778" s="1" t="s">
        <v>3893</v>
      </c>
      <c r="F5778" s="1" t="s">
        <v>20439</v>
      </c>
      <c r="G5778" s="1" t="s">
        <v>15844</v>
      </c>
      <c r="H5778" s="1" t="s">
        <v>3604</v>
      </c>
      <c r="I5778" s="1" t="s">
        <v>20440</v>
      </c>
      <c r="J5778" s="1" t="s">
        <v>3606</v>
      </c>
      <c r="K5778" s="1" t="s">
        <v>20441</v>
      </c>
      <c r="L5778" s="1"/>
      <c r="M5778" s="1"/>
    </row>
    <row x14ac:dyDescent="0.25" r="5779" customHeight="1" ht="18.75">
      <c r="A5779" s="1" t="s">
        <v>3598</v>
      </c>
      <c r="B5779" s="1" t="s">
        <v>9007</v>
      </c>
      <c r="C5779" s="1" t="s">
        <v>3600</v>
      </c>
      <c r="D5779" s="1" t="s">
        <v>3601</v>
      </c>
      <c r="E5779" s="1" t="s">
        <v>3893</v>
      </c>
      <c r="F5779" s="1" t="s">
        <v>20442</v>
      </c>
      <c r="G5779" s="1" t="s">
        <v>15844</v>
      </c>
      <c r="H5779" s="1" t="s">
        <v>3604</v>
      </c>
      <c r="I5779" s="1" t="s">
        <v>20443</v>
      </c>
      <c r="J5779" s="1" t="s">
        <v>3606</v>
      </c>
      <c r="K5779" s="1" t="s">
        <v>20444</v>
      </c>
      <c r="L5779" s="1"/>
      <c r="M5779" s="1"/>
    </row>
    <row x14ac:dyDescent="0.25" r="5780" customHeight="1" ht="18.75">
      <c r="A5780" s="1" t="s">
        <v>3598</v>
      </c>
      <c r="B5780" s="1" t="s">
        <v>9007</v>
      </c>
      <c r="C5780" s="1" t="s">
        <v>3600</v>
      </c>
      <c r="D5780" s="1" t="s">
        <v>3601</v>
      </c>
      <c r="E5780" s="1" t="s">
        <v>3893</v>
      </c>
      <c r="F5780" s="1" t="s">
        <v>20445</v>
      </c>
      <c r="G5780" s="1" t="s">
        <v>16049</v>
      </c>
      <c r="H5780" s="1" t="s">
        <v>3604</v>
      </c>
      <c r="I5780" s="1" t="s">
        <v>20446</v>
      </c>
      <c r="J5780" s="1" t="s">
        <v>3606</v>
      </c>
      <c r="K5780" s="1" t="s">
        <v>20447</v>
      </c>
      <c r="L5780" s="1"/>
      <c r="M5780" s="1"/>
    </row>
    <row x14ac:dyDescent="0.25" r="5781" customHeight="1" ht="18.75">
      <c r="A5781" s="1" t="s">
        <v>3598</v>
      </c>
      <c r="B5781" s="1" t="s">
        <v>9007</v>
      </c>
      <c r="C5781" s="1" t="s">
        <v>3600</v>
      </c>
      <c r="D5781" s="1" t="s">
        <v>3601</v>
      </c>
      <c r="E5781" s="1" t="s">
        <v>3893</v>
      </c>
      <c r="F5781" s="1" t="s">
        <v>20448</v>
      </c>
      <c r="G5781" s="1" t="s">
        <v>16049</v>
      </c>
      <c r="H5781" s="1" t="s">
        <v>3604</v>
      </c>
      <c r="I5781" s="1" t="s">
        <v>20449</v>
      </c>
      <c r="J5781" s="1" t="s">
        <v>3606</v>
      </c>
      <c r="K5781" s="1" t="s">
        <v>20450</v>
      </c>
      <c r="L5781" s="1"/>
      <c r="M5781" s="1"/>
    </row>
    <row x14ac:dyDescent="0.25" r="5782" customHeight="1" ht="18.75">
      <c r="A5782" s="1" t="s">
        <v>3598</v>
      </c>
      <c r="B5782" s="1" t="s">
        <v>9007</v>
      </c>
      <c r="C5782" s="1" t="s">
        <v>3600</v>
      </c>
      <c r="D5782" s="1" t="s">
        <v>3601</v>
      </c>
      <c r="E5782" s="1" t="s">
        <v>3893</v>
      </c>
      <c r="F5782" s="1" t="s">
        <v>20451</v>
      </c>
      <c r="G5782" s="1" t="s">
        <v>16049</v>
      </c>
      <c r="H5782" s="1" t="s">
        <v>3604</v>
      </c>
      <c r="I5782" s="1" t="s">
        <v>20452</v>
      </c>
      <c r="J5782" s="1" t="s">
        <v>3606</v>
      </c>
      <c r="K5782" s="1" t="s">
        <v>20453</v>
      </c>
      <c r="L5782" s="1"/>
      <c r="M5782" s="1"/>
    </row>
    <row x14ac:dyDescent="0.25" r="5783" customHeight="1" ht="18.75">
      <c r="A5783" s="1" t="s">
        <v>3598</v>
      </c>
      <c r="B5783" s="1" t="s">
        <v>9007</v>
      </c>
      <c r="C5783" s="1" t="s">
        <v>3600</v>
      </c>
      <c r="D5783" s="1" t="s">
        <v>3601</v>
      </c>
      <c r="E5783" s="1" t="s">
        <v>3893</v>
      </c>
      <c r="F5783" s="1" t="s">
        <v>20454</v>
      </c>
      <c r="G5783" s="1" t="s">
        <v>19942</v>
      </c>
      <c r="H5783" s="1" t="s">
        <v>3604</v>
      </c>
      <c r="I5783" s="1" t="s">
        <v>20455</v>
      </c>
      <c r="J5783" s="1" t="s">
        <v>3606</v>
      </c>
      <c r="K5783" s="1" t="s">
        <v>20456</v>
      </c>
      <c r="L5783" s="1"/>
      <c r="M5783" s="1"/>
    </row>
    <row x14ac:dyDescent="0.25" r="5784" customHeight="1" ht="18.75">
      <c r="A5784" s="1" t="s">
        <v>3598</v>
      </c>
      <c r="B5784" s="1" t="s">
        <v>4627</v>
      </c>
      <c r="C5784" s="1" t="s">
        <v>3600</v>
      </c>
      <c r="D5784" s="1" t="s">
        <v>3601</v>
      </c>
      <c r="E5784" s="1" t="s">
        <v>3664</v>
      </c>
      <c r="F5784" s="1" t="s">
        <v>20457</v>
      </c>
      <c r="G5784" s="1" t="s">
        <v>16406</v>
      </c>
      <c r="H5784" s="1" t="s">
        <v>3604</v>
      </c>
      <c r="I5784" s="1" t="s">
        <v>20458</v>
      </c>
      <c r="J5784" s="1" t="s">
        <v>3606</v>
      </c>
      <c r="K5784" s="1" t="s">
        <v>20459</v>
      </c>
      <c r="L5784" s="1"/>
      <c r="M5784" s="1"/>
    </row>
    <row x14ac:dyDescent="0.25" r="5785" customHeight="1" ht="18.75">
      <c r="A5785" s="1" t="s">
        <v>3598</v>
      </c>
      <c r="B5785" s="1" t="s">
        <v>4627</v>
      </c>
      <c r="C5785" s="1" t="s">
        <v>3600</v>
      </c>
      <c r="D5785" s="1" t="s">
        <v>3601</v>
      </c>
      <c r="E5785" s="1" t="s">
        <v>3664</v>
      </c>
      <c r="F5785" s="1" t="s">
        <v>20460</v>
      </c>
      <c r="G5785" s="1" t="s">
        <v>18463</v>
      </c>
      <c r="H5785" s="1" t="s">
        <v>3604</v>
      </c>
      <c r="I5785" s="1" t="s">
        <v>20461</v>
      </c>
      <c r="J5785" s="1" t="s">
        <v>3606</v>
      </c>
      <c r="K5785" s="1" t="s">
        <v>20462</v>
      </c>
      <c r="L5785" s="1"/>
      <c r="M5785" s="1"/>
    </row>
    <row x14ac:dyDescent="0.25" r="5786" customHeight="1" ht="18.75">
      <c r="A5786" s="1" t="s">
        <v>3598</v>
      </c>
      <c r="B5786" s="1" t="s">
        <v>4627</v>
      </c>
      <c r="C5786" s="1" t="s">
        <v>3600</v>
      </c>
      <c r="D5786" s="1" t="s">
        <v>3601</v>
      </c>
      <c r="E5786" s="1" t="s">
        <v>3664</v>
      </c>
      <c r="F5786" s="1" t="s">
        <v>20463</v>
      </c>
      <c r="G5786" s="1" t="s">
        <v>18301</v>
      </c>
      <c r="H5786" s="1" t="s">
        <v>3604</v>
      </c>
      <c r="I5786" s="1" t="s">
        <v>20464</v>
      </c>
      <c r="J5786" s="1" t="s">
        <v>3606</v>
      </c>
      <c r="K5786" s="1" t="s">
        <v>20465</v>
      </c>
      <c r="L5786" s="1"/>
      <c r="M5786" s="1"/>
    </row>
    <row x14ac:dyDescent="0.25" r="5787" customHeight="1" ht="18.75">
      <c r="A5787" s="1" t="s">
        <v>3598</v>
      </c>
      <c r="B5787" s="1" t="s">
        <v>15659</v>
      </c>
      <c r="C5787" s="1" t="s">
        <v>3600</v>
      </c>
      <c r="D5787" s="1" t="s">
        <v>3601</v>
      </c>
      <c r="E5787" s="1" t="s">
        <v>3664</v>
      </c>
      <c r="F5787" s="1" t="s">
        <v>20466</v>
      </c>
      <c r="G5787" s="1" t="s">
        <v>19946</v>
      </c>
      <c r="H5787" s="1" t="s">
        <v>3604</v>
      </c>
      <c r="I5787" s="1" t="s">
        <v>20467</v>
      </c>
      <c r="J5787" s="1" t="s">
        <v>3606</v>
      </c>
      <c r="K5787" s="1" t="s">
        <v>20468</v>
      </c>
      <c r="L5787" s="1"/>
      <c r="M5787" s="1"/>
    </row>
    <row x14ac:dyDescent="0.25" r="5788" customHeight="1" ht="18.75">
      <c r="A5788" s="1" t="s">
        <v>3598</v>
      </c>
      <c r="B5788" s="1" t="s">
        <v>9505</v>
      </c>
      <c r="C5788" s="1" t="s">
        <v>3600</v>
      </c>
      <c r="D5788" s="1" t="s">
        <v>3601</v>
      </c>
      <c r="E5788" s="1" t="s">
        <v>3664</v>
      </c>
      <c r="F5788" s="1" t="s">
        <v>20469</v>
      </c>
      <c r="G5788" s="1" t="s">
        <v>20470</v>
      </c>
      <c r="H5788" s="1" t="s">
        <v>3604</v>
      </c>
      <c r="I5788" s="1" t="s">
        <v>20471</v>
      </c>
      <c r="J5788" s="1" t="s">
        <v>3606</v>
      </c>
      <c r="K5788" s="1" t="s">
        <v>20472</v>
      </c>
      <c r="L5788" s="1"/>
      <c r="M5788" s="1"/>
    </row>
    <row x14ac:dyDescent="0.25" r="5789" customHeight="1" ht="18.75">
      <c r="A5789" s="1" t="s">
        <v>3598</v>
      </c>
      <c r="B5789" s="1" t="s">
        <v>9505</v>
      </c>
      <c r="C5789" s="1" t="s">
        <v>3600</v>
      </c>
      <c r="D5789" s="1" t="s">
        <v>3601</v>
      </c>
      <c r="E5789" s="1" t="s">
        <v>3664</v>
      </c>
      <c r="F5789" s="1" t="s">
        <v>20473</v>
      </c>
      <c r="G5789" s="1" t="s">
        <v>20474</v>
      </c>
      <c r="H5789" s="1" t="s">
        <v>3604</v>
      </c>
      <c r="I5789" s="1" t="s">
        <v>20475</v>
      </c>
      <c r="J5789" s="1" t="s">
        <v>3606</v>
      </c>
      <c r="K5789" s="1" t="s">
        <v>20476</v>
      </c>
      <c r="L5789" s="1"/>
      <c r="M5789" s="1"/>
    </row>
    <row x14ac:dyDescent="0.25" r="5790" customHeight="1" ht="18.75">
      <c r="A5790" s="1" t="s">
        <v>3598</v>
      </c>
      <c r="B5790" s="1" t="s">
        <v>9311</v>
      </c>
      <c r="C5790" s="1" t="s">
        <v>3600</v>
      </c>
      <c r="D5790" s="1" t="s">
        <v>3601</v>
      </c>
      <c r="E5790" s="1" t="s">
        <v>3664</v>
      </c>
      <c r="F5790" s="1" t="s">
        <v>20477</v>
      </c>
      <c r="G5790" s="1" t="s">
        <v>9320</v>
      </c>
      <c r="H5790" s="1" t="s">
        <v>3604</v>
      </c>
      <c r="I5790" s="1" t="s">
        <v>20478</v>
      </c>
      <c r="J5790" s="1" t="s">
        <v>3606</v>
      </c>
      <c r="K5790" s="1" t="s">
        <v>20479</v>
      </c>
      <c r="L5790" s="1"/>
      <c r="M5790" s="1"/>
    </row>
    <row x14ac:dyDescent="0.25" r="5791" customHeight="1" ht="18.75">
      <c r="A5791" s="1" t="s">
        <v>3598</v>
      </c>
      <c r="B5791" s="1" t="s">
        <v>9311</v>
      </c>
      <c r="C5791" s="1" t="s">
        <v>3600</v>
      </c>
      <c r="D5791" s="1" t="s">
        <v>3601</v>
      </c>
      <c r="E5791" s="1" t="s">
        <v>3664</v>
      </c>
      <c r="F5791" s="1" t="s">
        <v>20480</v>
      </c>
      <c r="G5791" s="1" t="s">
        <v>20481</v>
      </c>
      <c r="H5791" s="1" t="s">
        <v>3604</v>
      </c>
      <c r="I5791" s="1" t="s">
        <v>20482</v>
      </c>
      <c r="J5791" s="1" t="s">
        <v>3606</v>
      </c>
      <c r="K5791" s="1" t="s">
        <v>20483</v>
      </c>
      <c r="L5791" s="1"/>
      <c r="M5791" s="1"/>
    </row>
    <row x14ac:dyDescent="0.25" r="5792" customHeight="1" ht="18.75">
      <c r="A5792" s="1" t="s">
        <v>3598</v>
      </c>
      <c r="B5792" s="1" t="s">
        <v>9311</v>
      </c>
      <c r="C5792" s="1" t="s">
        <v>3600</v>
      </c>
      <c r="D5792" s="1" t="s">
        <v>3601</v>
      </c>
      <c r="E5792" s="1" t="s">
        <v>3664</v>
      </c>
      <c r="F5792" s="1" t="s">
        <v>20484</v>
      </c>
      <c r="G5792" s="1" t="s">
        <v>20485</v>
      </c>
      <c r="H5792" s="1" t="s">
        <v>3604</v>
      </c>
      <c r="I5792" s="1" t="s">
        <v>20486</v>
      </c>
      <c r="J5792" s="1" t="s">
        <v>3606</v>
      </c>
      <c r="K5792" s="1" t="s">
        <v>20487</v>
      </c>
      <c r="L5792" s="1"/>
      <c r="M5792" s="1"/>
    </row>
    <row x14ac:dyDescent="0.25" r="5793" customHeight="1" ht="18.75">
      <c r="A5793" s="1" t="s">
        <v>3598</v>
      </c>
      <c r="B5793" s="1" t="s">
        <v>4689</v>
      </c>
      <c r="C5793" s="1" t="s">
        <v>3600</v>
      </c>
      <c r="D5793" s="1" t="s">
        <v>3601</v>
      </c>
      <c r="E5793" s="1" t="s">
        <v>3893</v>
      </c>
      <c r="F5793" s="1" t="s">
        <v>20488</v>
      </c>
      <c r="G5793" s="1" t="s">
        <v>19954</v>
      </c>
      <c r="H5793" s="1" t="s">
        <v>3604</v>
      </c>
      <c r="I5793" s="1" t="s">
        <v>20489</v>
      </c>
      <c r="J5793" s="1" t="s">
        <v>3606</v>
      </c>
      <c r="K5793" s="1" t="s">
        <v>20490</v>
      </c>
      <c r="L5793" s="1"/>
      <c r="M5793" s="1"/>
    </row>
    <row x14ac:dyDescent="0.25" r="5794" customHeight="1" ht="18.75">
      <c r="A5794" s="1" t="s">
        <v>3598</v>
      </c>
      <c r="B5794" s="1" t="s">
        <v>4689</v>
      </c>
      <c r="C5794" s="1" t="s">
        <v>3600</v>
      </c>
      <c r="D5794" s="1" t="s">
        <v>3601</v>
      </c>
      <c r="E5794" s="1" t="s">
        <v>3893</v>
      </c>
      <c r="F5794" s="1" t="s">
        <v>20491</v>
      </c>
      <c r="G5794" s="1" t="s">
        <v>19954</v>
      </c>
      <c r="H5794" s="1" t="s">
        <v>3604</v>
      </c>
      <c r="I5794" s="1" t="s">
        <v>20492</v>
      </c>
      <c r="J5794" s="1" t="s">
        <v>3606</v>
      </c>
      <c r="K5794" s="1" t="s">
        <v>20493</v>
      </c>
      <c r="L5794" s="1"/>
      <c r="M5794" s="1"/>
    </row>
    <row x14ac:dyDescent="0.25" r="5795" customHeight="1" ht="18.75">
      <c r="A5795" s="1" t="s">
        <v>3598</v>
      </c>
      <c r="B5795" s="1" t="s">
        <v>4689</v>
      </c>
      <c r="C5795" s="1" t="s">
        <v>3600</v>
      </c>
      <c r="D5795" s="1" t="s">
        <v>3601</v>
      </c>
      <c r="E5795" s="1" t="s">
        <v>3893</v>
      </c>
      <c r="F5795" s="1" t="s">
        <v>20494</v>
      </c>
      <c r="G5795" s="1" t="s">
        <v>19954</v>
      </c>
      <c r="H5795" s="1" t="s">
        <v>3604</v>
      </c>
      <c r="I5795" s="1" t="s">
        <v>20495</v>
      </c>
      <c r="J5795" s="1" t="s">
        <v>3606</v>
      </c>
      <c r="K5795" s="1" t="s">
        <v>20496</v>
      </c>
      <c r="L5795" s="1"/>
      <c r="M5795" s="1"/>
    </row>
    <row x14ac:dyDescent="0.25" r="5796" customHeight="1" ht="18.75">
      <c r="A5796" s="1" t="s">
        <v>3598</v>
      </c>
      <c r="B5796" s="1" t="s">
        <v>4689</v>
      </c>
      <c r="C5796" s="1" t="s">
        <v>3600</v>
      </c>
      <c r="D5796" s="1" t="s">
        <v>3601</v>
      </c>
      <c r="E5796" s="1" t="s">
        <v>3893</v>
      </c>
      <c r="F5796" s="1" t="s">
        <v>20497</v>
      </c>
      <c r="G5796" s="1" t="s">
        <v>19958</v>
      </c>
      <c r="H5796" s="1" t="s">
        <v>3604</v>
      </c>
      <c r="I5796" s="1" t="s">
        <v>20498</v>
      </c>
      <c r="J5796" s="1" t="s">
        <v>3606</v>
      </c>
      <c r="K5796" s="1" t="s">
        <v>20499</v>
      </c>
      <c r="L5796" s="1"/>
      <c r="M5796" s="1"/>
    </row>
    <row x14ac:dyDescent="0.25" r="5797" customHeight="1" ht="18.75">
      <c r="A5797" s="1" t="s">
        <v>3598</v>
      </c>
      <c r="B5797" s="1" t="s">
        <v>4689</v>
      </c>
      <c r="C5797" s="1" t="s">
        <v>3600</v>
      </c>
      <c r="D5797" s="1" t="s">
        <v>3601</v>
      </c>
      <c r="E5797" s="1" t="s">
        <v>3893</v>
      </c>
      <c r="F5797" s="1" t="s">
        <v>20500</v>
      </c>
      <c r="G5797" s="1" t="s">
        <v>20501</v>
      </c>
      <c r="H5797" s="1" t="s">
        <v>3604</v>
      </c>
      <c r="I5797" s="1" t="s">
        <v>20502</v>
      </c>
      <c r="J5797" s="1" t="s">
        <v>3606</v>
      </c>
      <c r="K5797" s="1" t="s">
        <v>20503</v>
      </c>
      <c r="L5797" s="1"/>
      <c r="M5797" s="1"/>
    </row>
    <row x14ac:dyDescent="0.25" r="5798" customHeight="1" ht="18.75">
      <c r="A5798" s="1" t="s">
        <v>3598</v>
      </c>
      <c r="B5798" s="1" t="s">
        <v>4689</v>
      </c>
      <c r="C5798" s="1" t="s">
        <v>3600</v>
      </c>
      <c r="D5798" s="1" t="s">
        <v>3601</v>
      </c>
      <c r="E5798" s="1" t="s">
        <v>3893</v>
      </c>
      <c r="F5798" s="1" t="s">
        <v>20504</v>
      </c>
      <c r="G5798" s="1" t="s">
        <v>20501</v>
      </c>
      <c r="H5798" s="1" t="s">
        <v>3604</v>
      </c>
      <c r="I5798" s="1" t="s">
        <v>20505</v>
      </c>
      <c r="J5798" s="1" t="s">
        <v>3606</v>
      </c>
      <c r="K5798" s="1" t="s">
        <v>20506</v>
      </c>
      <c r="L5798" s="1"/>
      <c r="M5798" s="1"/>
    </row>
    <row x14ac:dyDescent="0.25" r="5799" customHeight="1" ht="18.75">
      <c r="A5799" s="1" t="s">
        <v>3598</v>
      </c>
      <c r="B5799" s="1" t="s">
        <v>4689</v>
      </c>
      <c r="C5799" s="1" t="s">
        <v>3600</v>
      </c>
      <c r="D5799" s="1" t="s">
        <v>3601</v>
      </c>
      <c r="E5799" s="1" t="s">
        <v>3893</v>
      </c>
      <c r="F5799" s="1" t="s">
        <v>20507</v>
      </c>
      <c r="G5799" s="1" t="s">
        <v>20501</v>
      </c>
      <c r="H5799" s="1" t="s">
        <v>3604</v>
      </c>
      <c r="I5799" s="1" t="s">
        <v>20508</v>
      </c>
      <c r="J5799" s="1" t="s">
        <v>3606</v>
      </c>
      <c r="K5799" s="1" t="s">
        <v>20509</v>
      </c>
      <c r="L5799" s="1"/>
      <c r="M5799" s="1"/>
    </row>
    <row x14ac:dyDescent="0.25" r="5800" customHeight="1" ht="18.75">
      <c r="A5800" s="1" t="s">
        <v>3598</v>
      </c>
      <c r="B5800" s="1" t="s">
        <v>4689</v>
      </c>
      <c r="C5800" s="1" t="s">
        <v>3600</v>
      </c>
      <c r="D5800" s="1" t="s">
        <v>3601</v>
      </c>
      <c r="E5800" s="1" t="s">
        <v>3893</v>
      </c>
      <c r="F5800" s="1" t="s">
        <v>20510</v>
      </c>
      <c r="G5800" s="1" t="s">
        <v>20511</v>
      </c>
      <c r="H5800" s="1" t="s">
        <v>3604</v>
      </c>
      <c r="I5800" s="1" t="s">
        <v>20512</v>
      </c>
      <c r="J5800" s="1" t="s">
        <v>3606</v>
      </c>
      <c r="K5800" s="1" t="s">
        <v>20513</v>
      </c>
      <c r="L5800" s="1"/>
      <c r="M5800" s="1"/>
    </row>
    <row x14ac:dyDescent="0.25" r="5801" customHeight="1" ht="18.75">
      <c r="A5801" s="1" t="s">
        <v>3598</v>
      </c>
      <c r="B5801" s="1" t="s">
        <v>4689</v>
      </c>
      <c r="C5801" s="1" t="s">
        <v>3600</v>
      </c>
      <c r="D5801" s="1" t="s">
        <v>3601</v>
      </c>
      <c r="E5801" s="1" t="s">
        <v>3893</v>
      </c>
      <c r="F5801" s="1" t="s">
        <v>20514</v>
      </c>
      <c r="G5801" s="1" t="s">
        <v>20511</v>
      </c>
      <c r="H5801" s="1" t="s">
        <v>3604</v>
      </c>
      <c r="I5801" s="1" t="s">
        <v>20515</v>
      </c>
      <c r="J5801" s="1" t="s">
        <v>3606</v>
      </c>
      <c r="K5801" s="1" t="s">
        <v>20516</v>
      </c>
      <c r="L5801" s="1"/>
      <c r="M5801" s="1"/>
    </row>
    <row x14ac:dyDescent="0.25" r="5802" customHeight="1" ht="18.75">
      <c r="A5802" s="1" t="s">
        <v>3598</v>
      </c>
      <c r="B5802" s="1" t="s">
        <v>4689</v>
      </c>
      <c r="C5802" s="1" t="s">
        <v>3600</v>
      </c>
      <c r="D5802" s="1" t="s">
        <v>3601</v>
      </c>
      <c r="E5802" s="1" t="s">
        <v>3893</v>
      </c>
      <c r="F5802" s="1" t="s">
        <v>20517</v>
      </c>
      <c r="G5802" s="1" t="s">
        <v>20518</v>
      </c>
      <c r="H5802" s="1" t="s">
        <v>3604</v>
      </c>
      <c r="I5802" s="1" t="s">
        <v>20519</v>
      </c>
      <c r="J5802" s="1" t="s">
        <v>3606</v>
      </c>
      <c r="K5802" s="1" t="s">
        <v>20520</v>
      </c>
      <c r="L5802" s="1"/>
      <c r="M5802" s="1"/>
    </row>
    <row x14ac:dyDescent="0.25" r="5803" customHeight="1" ht="18.75">
      <c r="A5803" s="1" t="s">
        <v>3598</v>
      </c>
      <c r="B5803" s="1" t="s">
        <v>4689</v>
      </c>
      <c r="C5803" s="1" t="s">
        <v>3600</v>
      </c>
      <c r="D5803" s="1" t="s">
        <v>3601</v>
      </c>
      <c r="E5803" s="1" t="s">
        <v>3893</v>
      </c>
      <c r="F5803" s="1" t="s">
        <v>20521</v>
      </c>
      <c r="G5803" s="1" t="s">
        <v>20518</v>
      </c>
      <c r="H5803" s="1" t="s">
        <v>3604</v>
      </c>
      <c r="I5803" s="1" t="s">
        <v>20522</v>
      </c>
      <c r="J5803" s="1" t="s">
        <v>3606</v>
      </c>
      <c r="K5803" s="1" t="s">
        <v>20523</v>
      </c>
      <c r="L5803" s="1"/>
      <c r="M5803" s="1"/>
    </row>
    <row x14ac:dyDescent="0.25" r="5804" customHeight="1" ht="18.75">
      <c r="A5804" s="1" t="s">
        <v>3598</v>
      </c>
      <c r="B5804" s="1" t="s">
        <v>4689</v>
      </c>
      <c r="C5804" s="1" t="s">
        <v>3600</v>
      </c>
      <c r="D5804" s="1" t="s">
        <v>3601</v>
      </c>
      <c r="E5804" s="1" t="s">
        <v>3893</v>
      </c>
      <c r="F5804" s="1" t="s">
        <v>20524</v>
      </c>
      <c r="G5804" s="1" t="s">
        <v>20518</v>
      </c>
      <c r="H5804" s="1" t="s">
        <v>3604</v>
      </c>
      <c r="I5804" s="1" t="s">
        <v>20525</v>
      </c>
      <c r="J5804" s="1" t="s">
        <v>3606</v>
      </c>
      <c r="K5804" s="1" t="s">
        <v>20526</v>
      </c>
      <c r="L5804" s="1"/>
      <c r="M5804" s="1"/>
    </row>
    <row x14ac:dyDescent="0.25" r="5805" customHeight="1" ht="18.75">
      <c r="A5805" s="1" t="s">
        <v>3598</v>
      </c>
      <c r="B5805" s="1" t="s">
        <v>9449</v>
      </c>
      <c r="C5805" s="1" t="s">
        <v>3600</v>
      </c>
      <c r="D5805" s="1" t="s">
        <v>3601</v>
      </c>
      <c r="E5805" s="1" t="s">
        <v>3664</v>
      </c>
      <c r="F5805" s="1" t="s">
        <v>20527</v>
      </c>
      <c r="G5805" s="1" t="s">
        <v>9451</v>
      </c>
      <c r="H5805" s="1" t="s">
        <v>3604</v>
      </c>
      <c r="I5805" s="1" t="s">
        <v>20528</v>
      </c>
      <c r="J5805" s="1" t="s">
        <v>3606</v>
      </c>
      <c r="K5805" s="1" t="s">
        <v>20529</v>
      </c>
      <c r="L5805" s="1"/>
      <c r="M5805" s="1"/>
    </row>
    <row x14ac:dyDescent="0.25" r="5806" customHeight="1" ht="18.75">
      <c r="A5806" s="1" t="s">
        <v>3598</v>
      </c>
      <c r="B5806" s="1" t="s">
        <v>9449</v>
      </c>
      <c r="C5806" s="1" t="s">
        <v>3600</v>
      </c>
      <c r="D5806" s="1" t="s">
        <v>3601</v>
      </c>
      <c r="E5806" s="1" t="s">
        <v>3664</v>
      </c>
      <c r="F5806" s="1" t="s">
        <v>20530</v>
      </c>
      <c r="G5806" s="1" t="s">
        <v>9461</v>
      </c>
      <c r="H5806" s="1" t="s">
        <v>3604</v>
      </c>
      <c r="I5806" s="1" t="s">
        <v>20531</v>
      </c>
      <c r="J5806" s="1" t="s">
        <v>3606</v>
      </c>
      <c r="K5806" s="1" t="s">
        <v>20532</v>
      </c>
      <c r="L5806" s="1"/>
      <c r="M5806" s="1"/>
    </row>
    <row x14ac:dyDescent="0.25" r="5807" customHeight="1" ht="18.75">
      <c r="A5807" s="1" t="s">
        <v>3598</v>
      </c>
      <c r="B5807" s="1" t="s">
        <v>9449</v>
      </c>
      <c r="C5807" s="1" t="s">
        <v>3600</v>
      </c>
      <c r="D5807" s="1" t="s">
        <v>3601</v>
      </c>
      <c r="E5807" s="1" t="s">
        <v>3664</v>
      </c>
      <c r="F5807" s="1" t="s">
        <v>20533</v>
      </c>
      <c r="G5807" s="1" t="s">
        <v>18334</v>
      </c>
      <c r="H5807" s="1" t="s">
        <v>3604</v>
      </c>
      <c r="I5807" s="1" t="s">
        <v>20534</v>
      </c>
      <c r="J5807" s="1" t="s">
        <v>3606</v>
      </c>
      <c r="K5807" s="1" t="s">
        <v>20535</v>
      </c>
      <c r="L5807" s="1"/>
      <c r="M5807" s="1"/>
    </row>
    <row x14ac:dyDescent="0.25" r="5808" customHeight="1" ht="18.75">
      <c r="A5808" s="1" t="s">
        <v>3598</v>
      </c>
      <c r="B5808" s="1" t="s">
        <v>15780</v>
      </c>
      <c r="C5808" s="1" t="s">
        <v>3600</v>
      </c>
      <c r="D5808" s="1" t="s">
        <v>3601</v>
      </c>
      <c r="E5808" s="1" t="s">
        <v>3664</v>
      </c>
      <c r="F5808" s="1" t="s">
        <v>20536</v>
      </c>
      <c r="G5808" s="1" t="s">
        <v>20537</v>
      </c>
      <c r="H5808" s="1" t="s">
        <v>3604</v>
      </c>
      <c r="I5808" s="1" t="s">
        <v>20538</v>
      </c>
      <c r="J5808" s="1" t="s">
        <v>3606</v>
      </c>
      <c r="K5808" s="1" t="s">
        <v>20539</v>
      </c>
      <c r="L5808" s="1"/>
      <c r="M5808" s="1"/>
    </row>
    <row x14ac:dyDescent="0.25" r="5809" customHeight="1" ht="18.75">
      <c r="A5809" s="1" t="s">
        <v>3598</v>
      </c>
      <c r="B5809" s="1" t="s">
        <v>18096</v>
      </c>
      <c r="C5809" s="1" t="s">
        <v>3600</v>
      </c>
      <c r="D5809" s="1" t="s">
        <v>3601</v>
      </c>
      <c r="E5809" s="1" t="s">
        <v>3664</v>
      </c>
      <c r="F5809" s="1" t="s">
        <v>20540</v>
      </c>
      <c r="G5809" s="1" t="s">
        <v>20541</v>
      </c>
      <c r="H5809" s="1" t="s">
        <v>3604</v>
      </c>
      <c r="I5809" s="1" t="s">
        <v>20542</v>
      </c>
      <c r="J5809" s="1" t="s">
        <v>3606</v>
      </c>
      <c r="K5809" s="1" t="s">
        <v>20543</v>
      </c>
      <c r="L5809" s="1"/>
      <c r="M5809" s="1"/>
    </row>
    <row x14ac:dyDescent="0.25" r="5810" customHeight="1" ht="18.75">
      <c r="A5810" s="1" t="s">
        <v>3598</v>
      </c>
      <c r="B5810" s="1" t="s">
        <v>18096</v>
      </c>
      <c r="C5810" s="1" t="s">
        <v>3600</v>
      </c>
      <c r="D5810" s="1" t="s">
        <v>3601</v>
      </c>
      <c r="E5810" s="1" t="s">
        <v>3664</v>
      </c>
      <c r="F5810" s="1" t="s">
        <v>20544</v>
      </c>
      <c r="G5810" s="1" t="s">
        <v>20545</v>
      </c>
      <c r="H5810" s="1" t="s">
        <v>3604</v>
      </c>
      <c r="I5810" s="1" t="s">
        <v>20546</v>
      </c>
      <c r="J5810" s="1" t="s">
        <v>3606</v>
      </c>
      <c r="K5810" s="1" t="s">
        <v>20547</v>
      </c>
      <c r="L5810" s="1"/>
      <c r="M5810" s="1"/>
    </row>
    <row x14ac:dyDescent="0.25" r="5811" customHeight="1" ht="18.75">
      <c r="A5811" s="1" t="s">
        <v>3598</v>
      </c>
      <c r="B5811" s="1" t="s">
        <v>4781</v>
      </c>
      <c r="C5811" s="1" t="s">
        <v>3600</v>
      </c>
      <c r="D5811" s="1" t="s">
        <v>3601</v>
      </c>
      <c r="E5811" s="1" t="s">
        <v>3664</v>
      </c>
      <c r="F5811" s="1" t="s">
        <v>20548</v>
      </c>
      <c r="G5811" s="1" t="s">
        <v>20329</v>
      </c>
      <c r="H5811" s="1" t="s">
        <v>3604</v>
      </c>
      <c r="I5811" s="1" t="s">
        <v>20549</v>
      </c>
      <c r="J5811" s="1" t="s">
        <v>3606</v>
      </c>
      <c r="K5811" s="1" t="s">
        <v>20550</v>
      </c>
      <c r="L5811" s="1"/>
      <c r="M5811" s="1"/>
    </row>
    <row x14ac:dyDescent="0.25" r="5812" customHeight="1" ht="18.75">
      <c r="A5812" s="1" t="s">
        <v>3598</v>
      </c>
      <c r="B5812" s="1" t="s">
        <v>3814</v>
      </c>
      <c r="C5812" s="1" t="s">
        <v>3600</v>
      </c>
      <c r="D5812" s="1" t="s">
        <v>3601</v>
      </c>
      <c r="E5812" s="1" t="s">
        <v>3664</v>
      </c>
      <c r="F5812" s="1" t="s">
        <v>20551</v>
      </c>
      <c r="G5812" s="1" t="s">
        <v>20303</v>
      </c>
      <c r="H5812" s="1" t="s">
        <v>3604</v>
      </c>
      <c r="I5812" s="1" t="s">
        <v>20552</v>
      </c>
      <c r="J5812" s="1" t="s">
        <v>3606</v>
      </c>
      <c r="K5812" s="1" t="s">
        <v>20553</v>
      </c>
      <c r="L5812" s="1"/>
      <c r="M5812" s="1"/>
    </row>
    <row x14ac:dyDescent="0.25" r="5813" customHeight="1" ht="18.75">
      <c r="A5813" s="1" t="s">
        <v>3598</v>
      </c>
      <c r="B5813" s="1" t="s">
        <v>9116</v>
      </c>
      <c r="C5813" s="1" t="s">
        <v>3600</v>
      </c>
      <c r="D5813" s="1" t="s">
        <v>3601</v>
      </c>
      <c r="E5813" s="1" t="s">
        <v>3664</v>
      </c>
      <c r="F5813" s="1" t="s">
        <v>20554</v>
      </c>
      <c r="G5813" s="1" t="s">
        <v>9118</v>
      </c>
      <c r="H5813" s="1" t="s">
        <v>3604</v>
      </c>
      <c r="I5813" s="1" t="s">
        <v>20555</v>
      </c>
      <c r="J5813" s="1" t="s">
        <v>3606</v>
      </c>
      <c r="K5813" s="1" t="s">
        <v>20556</v>
      </c>
      <c r="L5813" s="1"/>
      <c r="M5813" s="1"/>
    </row>
    <row x14ac:dyDescent="0.25" r="5814" customHeight="1" ht="18.75">
      <c r="A5814" s="1" t="s">
        <v>3598</v>
      </c>
      <c r="B5814" s="1" t="s">
        <v>20557</v>
      </c>
      <c r="C5814" s="1" t="s">
        <v>3600</v>
      </c>
      <c r="D5814" s="1" t="s">
        <v>3601</v>
      </c>
      <c r="E5814" s="1" t="s">
        <v>3893</v>
      </c>
      <c r="F5814" s="1" t="s">
        <v>20558</v>
      </c>
      <c r="G5814" s="1" t="s">
        <v>20559</v>
      </c>
      <c r="H5814" s="1" t="s">
        <v>3604</v>
      </c>
      <c r="I5814" s="1" t="s">
        <v>20560</v>
      </c>
      <c r="J5814" s="1" t="s">
        <v>3606</v>
      </c>
      <c r="K5814" s="1" t="s">
        <v>20561</v>
      </c>
      <c r="L5814" s="1"/>
      <c r="M5814" s="1"/>
    </row>
    <row x14ac:dyDescent="0.25" r="5815" customHeight="1" ht="18.75">
      <c r="A5815" s="1" t="s">
        <v>3598</v>
      </c>
      <c r="B5815" s="1" t="s">
        <v>8572</v>
      </c>
      <c r="C5815" s="1" t="s">
        <v>3600</v>
      </c>
      <c r="D5815" s="1" t="s">
        <v>3601</v>
      </c>
      <c r="E5815" s="1" t="s">
        <v>3893</v>
      </c>
      <c r="F5815" s="1" t="s">
        <v>20562</v>
      </c>
      <c r="G5815" s="1" t="s">
        <v>20563</v>
      </c>
      <c r="H5815" s="1" t="s">
        <v>3604</v>
      </c>
      <c r="I5815" s="1" t="s">
        <v>20564</v>
      </c>
      <c r="J5815" s="1" t="s">
        <v>3606</v>
      </c>
      <c r="K5815" s="1" t="s">
        <v>20565</v>
      </c>
      <c r="L5815" s="1"/>
      <c r="M5815" s="1"/>
    </row>
    <row x14ac:dyDescent="0.25" r="5816" customHeight="1" ht="18.75">
      <c r="A5816" s="1" t="s">
        <v>3598</v>
      </c>
      <c r="B5816" s="1" t="s">
        <v>8572</v>
      </c>
      <c r="C5816" s="1" t="s">
        <v>3600</v>
      </c>
      <c r="D5816" s="1" t="s">
        <v>3601</v>
      </c>
      <c r="E5816" s="1" t="s">
        <v>3893</v>
      </c>
      <c r="F5816" s="1" t="s">
        <v>20566</v>
      </c>
      <c r="G5816" s="1" t="s">
        <v>20563</v>
      </c>
      <c r="H5816" s="1" t="s">
        <v>3604</v>
      </c>
      <c r="I5816" s="1" t="s">
        <v>20567</v>
      </c>
      <c r="J5816" s="1" t="s">
        <v>3606</v>
      </c>
      <c r="K5816" s="1" t="s">
        <v>20568</v>
      </c>
      <c r="L5816" s="1"/>
      <c r="M5816" s="1"/>
    </row>
    <row x14ac:dyDescent="0.25" r="5817" customHeight="1" ht="18.75">
      <c r="A5817" s="1" t="s">
        <v>3598</v>
      </c>
      <c r="B5817" s="1" t="s">
        <v>8572</v>
      </c>
      <c r="C5817" s="1" t="s">
        <v>3600</v>
      </c>
      <c r="D5817" s="1" t="s">
        <v>3601</v>
      </c>
      <c r="E5817" s="1" t="s">
        <v>3893</v>
      </c>
      <c r="F5817" s="1" t="s">
        <v>20569</v>
      </c>
      <c r="G5817" s="1" t="s">
        <v>20563</v>
      </c>
      <c r="H5817" s="1" t="s">
        <v>3604</v>
      </c>
      <c r="I5817" s="1" t="s">
        <v>20570</v>
      </c>
      <c r="J5817" s="1" t="s">
        <v>3606</v>
      </c>
      <c r="K5817" s="1" t="s">
        <v>20571</v>
      </c>
      <c r="L5817" s="1"/>
      <c r="M5817" s="1"/>
    </row>
    <row x14ac:dyDescent="0.25" r="5818" customHeight="1" ht="18.75">
      <c r="A5818" s="1" t="s">
        <v>3598</v>
      </c>
      <c r="B5818" s="1" t="s">
        <v>8572</v>
      </c>
      <c r="C5818" s="1" t="s">
        <v>3600</v>
      </c>
      <c r="D5818" s="1" t="s">
        <v>3601</v>
      </c>
      <c r="E5818" s="1" t="s">
        <v>3893</v>
      </c>
      <c r="F5818" s="1" t="s">
        <v>20572</v>
      </c>
      <c r="G5818" s="1" t="s">
        <v>20563</v>
      </c>
      <c r="H5818" s="1" t="s">
        <v>3604</v>
      </c>
      <c r="I5818" s="1" t="s">
        <v>20573</v>
      </c>
      <c r="J5818" s="1" t="s">
        <v>3606</v>
      </c>
      <c r="K5818" s="1" t="s">
        <v>20574</v>
      </c>
      <c r="L5818" s="1"/>
      <c r="M5818" s="1"/>
    </row>
    <row x14ac:dyDescent="0.25" r="5819" customHeight="1" ht="18.75">
      <c r="A5819" s="1" t="s">
        <v>3598</v>
      </c>
      <c r="B5819" s="1" t="s">
        <v>8572</v>
      </c>
      <c r="C5819" s="1" t="s">
        <v>3600</v>
      </c>
      <c r="D5819" s="1" t="s">
        <v>3601</v>
      </c>
      <c r="E5819" s="1" t="s">
        <v>3893</v>
      </c>
      <c r="F5819" s="1" t="s">
        <v>20575</v>
      </c>
      <c r="G5819" s="1" t="s">
        <v>20563</v>
      </c>
      <c r="H5819" s="1" t="s">
        <v>3604</v>
      </c>
      <c r="I5819" s="1" t="s">
        <v>20576</v>
      </c>
      <c r="J5819" s="1" t="s">
        <v>3606</v>
      </c>
      <c r="K5819" s="1" t="s">
        <v>20577</v>
      </c>
      <c r="L5819" s="1"/>
      <c r="M5819" s="1"/>
    </row>
    <row x14ac:dyDescent="0.25" r="5820" customHeight="1" ht="18.75">
      <c r="A5820" s="1" t="s">
        <v>3598</v>
      </c>
      <c r="B5820" s="1" t="s">
        <v>8572</v>
      </c>
      <c r="C5820" s="1" t="s">
        <v>3600</v>
      </c>
      <c r="D5820" s="1" t="s">
        <v>3601</v>
      </c>
      <c r="E5820" s="1" t="s">
        <v>3893</v>
      </c>
      <c r="F5820" s="1" t="s">
        <v>20578</v>
      </c>
      <c r="G5820" s="1" t="s">
        <v>20563</v>
      </c>
      <c r="H5820" s="1" t="s">
        <v>3604</v>
      </c>
      <c r="I5820" s="1" t="s">
        <v>20579</v>
      </c>
      <c r="J5820" s="1" t="s">
        <v>3606</v>
      </c>
      <c r="K5820" s="1" t="s">
        <v>20580</v>
      </c>
      <c r="L5820" s="1"/>
      <c r="M5820" s="1"/>
    </row>
    <row x14ac:dyDescent="0.25" r="5821" customHeight="1" ht="18.75">
      <c r="A5821" s="1" t="s">
        <v>3598</v>
      </c>
      <c r="B5821" s="1" t="s">
        <v>8572</v>
      </c>
      <c r="C5821" s="1" t="s">
        <v>3600</v>
      </c>
      <c r="D5821" s="1" t="s">
        <v>3601</v>
      </c>
      <c r="E5821" s="1" t="s">
        <v>3893</v>
      </c>
      <c r="F5821" s="1" t="s">
        <v>20581</v>
      </c>
      <c r="G5821" s="1" t="s">
        <v>20563</v>
      </c>
      <c r="H5821" s="1" t="s">
        <v>3604</v>
      </c>
      <c r="I5821" s="1" t="s">
        <v>20582</v>
      </c>
      <c r="J5821" s="1" t="s">
        <v>3606</v>
      </c>
      <c r="K5821" s="1" t="s">
        <v>20583</v>
      </c>
      <c r="L5821" s="1"/>
      <c r="M5821" s="1"/>
    </row>
    <row x14ac:dyDescent="0.25" r="5822" customHeight="1" ht="18.75">
      <c r="A5822" s="1" t="s">
        <v>3598</v>
      </c>
      <c r="B5822" s="1" t="s">
        <v>4689</v>
      </c>
      <c r="C5822" s="1" t="s">
        <v>3600</v>
      </c>
      <c r="D5822" s="1" t="s">
        <v>3601</v>
      </c>
      <c r="E5822" s="1" t="s">
        <v>3611</v>
      </c>
      <c r="F5822" s="1" t="s">
        <v>20584</v>
      </c>
      <c r="G5822" s="1" t="s">
        <v>18016</v>
      </c>
      <c r="H5822" s="1" t="s">
        <v>3604</v>
      </c>
      <c r="I5822" s="1" t="s">
        <v>20585</v>
      </c>
      <c r="J5822" s="1" t="s">
        <v>3606</v>
      </c>
      <c r="K5822" s="1" t="s">
        <v>20586</v>
      </c>
      <c r="L5822" s="1"/>
      <c r="M5822" s="1"/>
    </row>
    <row x14ac:dyDescent="0.25" r="5823" customHeight="1" ht="18.75">
      <c r="A5823" s="1" t="s">
        <v>3598</v>
      </c>
      <c r="B5823" s="1" t="s">
        <v>4689</v>
      </c>
      <c r="C5823" s="1" t="s">
        <v>3600</v>
      </c>
      <c r="D5823" s="1" t="s">
        <v>3601</v>
      </c>
      <c r="E5823" s="1" t="s">
        <v>3611</v>
      </c>
      <c r="F5823" s="1" t="s">
        <v>20587</v>
      </c>
      <c r="G5823" s="1" t="s">
        <v>18016</v>
      </c>
      <c r="H5823" s="1" t="s">
        <v>3604</v>
      </c>
      <c r="I5823" s="1" t="s">
        <v>20588</v>
      </c>
      <c r="J5823" s="1" t="s">
        <v>3606</v>
      </c>
      <c r="K5823" s="1" t="s">
        <v>20589</v>
      </c>
      <c r="L5823" s="1"/>
      <c r="M5823" s="1"/>
    </row>
    <row x14ac:dyDescent="0.25" r="5824" customHeight="1" ht="18.75">
      <c r="A5824" s="1" t="s">
        <v>3598</v>
      </c>
      <c r="B5824" s="1" t="s">
        <v>8191</v>
      </c>
      <c r="C5824" s="1" t="s">
        <v>3600</v>
      </c>
      <c r="D5824" s="1" t="s">
        <v>3601</v>
      </c>
      <c r="E5824" s="1" t="s">
        <v>3611</v>
      </c>
      <c r="F5824" s="1" t="s">
        <v>20590</v>
      </c>
      <c r="G5824" s="1" t="s">
        <v>20591</v>
      </c>
      <c r="H5824" s="1" t="s">
        <v>3604</v>
      </c>
      <c r="I5824" s="1" t="s">
        <v>20592</v>
      </c>
      <c r="J5824" s="1" t="s">
        <v>3606</v>
      </c>
      <c r="K5824" s="1" t="s">
        <v>20593</v>
      </c>
      <c r="L5824" s="1"/>
      <c r="M5824" s="1"/>
    </row>
    <row x14ac:dyDescent="0.25" r="5825" customHeight="1" ht="18.75">
      <c r="A5825" s="1" t="s">
        <v>3598</v>
      </c>
      <c r="B5825" s="1" t="s">
        <v>5260</v>
      </c>
      <c r="C5825" s="1" t="s">
        <v>3600</v>
      </c>
      <c r="D5825" s="1" t="s">
        <v>3601</v>
      </c>
      <c r="E5825" s="1" t="s">
        <v>3611</v>
      </c>
      <c r="F5825" s="1" t="s">
        <v>20594</v>
      </c>
      <c r="G5825" s="1" t="s">
        <v>9107</v>
      </c>
      <c r="H5825" s="1" t="s">
        <v>3604</v>
      </c>
      <c r="I5825" s="1" t="s">
        <v>20595</v>
      </c>
      <c r="J5825" s="1" t="s">
        <v>3606</v>
      </c>
      <c r="K5825" s="1" t="s">
        <v>20596</v>
      </c>
      <c r="L5825" s="1"/>
      <c r="M5825" s="1"/>
    </row>
    <row x14ac:dyDescent="0.25" r="5826" customHeight="1" ht="18.75">
      <c r="A5826" s="1" t="s">
        <v>3598</v>
      </c>
      <c r="B5826" s="1" t="s">
        <v>5260</v>
      </c>
      <c r="C5826" s="1" t="s">
        <v>3600</v>
      </c>
      <c r="D5826" s="1" t="s">
        <v>3601</v>
      </c>
      <c r="E5826" s="1" t="s">
        <v>3611</v>
      </c>
      <c r="F5826" s="1" t="s">
        <v>20597</v>
      </c>
      <c r="G5826" s="1" t="s">
        <v>9107</v>
      </c>
      <c r="H5826" s="1" t="s">
        <v>3604</v>
      </c>
      <c r="I5826" s="1" t="s">
        <v>20598</v>
      </c>
      <c r="J5826" s="1" t="s">
        <v>3606</v>
      </c>
      <c r="K5826" s="1" t="s">
        <v>20599</v>
      </c>
      <c r="L5826" s="1"/>
      <c r="M5826" s="1"/>
    </row>
    <row x14ac:dyDescent="0.25" r="5827" customHeight="1" ht="18.75">
      <c r="A5827" s="1" t="s">
        <v>3598</v>
      </c>
      <c r="B5827" s="1" t="s">
        <v>5260</v>
      </c>
      <c r="C5827" s="1" t="s">
        <v>3600</v>
      </c>
      <c r="D5827" s="1" t="s">
        <v>3601</v>
      </c>
      <c r="E5827" s="1" t="s">
        <v>3611</v>
      </c>
      <c r="F5827" s="1" t="s">
        <v>20600</v>
      </c>
      <c r="G5827" s="1" t="s">
        <v>9107</v>
      </c>
      <c r="H5827" s="1" t="s">
        <v>3604</v>
      </c>
      <c r="I5827" s="1" t="s">
        <v>20601</v>
      </c>
      <c r="J5827" s="1" t="s">
        <v>3606</v>
      </c>
      <c r="K5827" s="1" t="s">
        <v>20602</v>
      </c>
      <c r="L5827" s="1"/>
      <c r="M5827" s="1"/>
    </row>
    <row x14ac:dyDescent="0.25" r="5828" customHeight="1" ht="18.75">
      <c r="A5828" s="1" t="s">
        <v>3598</v>
      </c>
      <c r="B5828" s="1" t="s">
        <v>5260</v>
      </c>
      <c r="C5828" s="1" t="s">
        <v>3600</v>
      </c>
      <c r="D5828" s="1" t="s">
        <v>3601</v>
      </c>
      <c r="E5828" s="1" t="s">
        <v>3611</v>
      </c>
      <c r="F5828" s="1" t="s">
        <v>20603</v>
      </c>
      <c r="G5828" s="1" t="s">
        <v>9107</v>
      </c>
      <c r="H5828" s="1" t="s">
        <v>3604</v>
      </c>
      <c r="I5828" s="1" t="s">
        <v>20604</v>
      </c>
      <c r="J5828" s="1" t="s">
        <v>3606</v>
      </c>
      <c r="K5828" s="1" t="s">
        <v>20605</v>
      </c>
      <c r="L5828" s="1"/>
      <c r="M5828" s="1"/>
    </row>
    <row x14ac:dyDescent="0.25" r="5829" customHeight="1" ht="18.75">
      <c r="A5829" s="1" t="s">
        <v>3598</v>
      </c>
      <c r="B5829" s="1" t="s">
        <v>5260</v>
      </c>
      <c r="C5829" s="1" t="s">
        <v>3600</v>
      </c>
      <c r="D5829" s="1" t="s">
        <v>3601</v>
      </c>
      <c r="E5829" s="1" t="s">
        <v>3611</v>
      </c>
      <c r="F5829" s="1" t="s">
        <v>20606</v>
      </c>
      <c r="G5829" s="1" t="s">
        <v>9107</v>
      </c>
      <c r="H5829" s="1" t="s">
        <v>3604</v>
      </c>
      <c r="I5829" s="1" t="s">
        <v>20607</v>
      </c>
      <c r="J5829" s="1" t="s">
        <v>3606</v>
      </c>
      <c r="K5829" s="1" t="s">
        <v>20608</v>
      </c>
      <c r="L5829" s="1"/>
      <c r="M5829" s="1"/>
    </row>
    <row x14ac:dyDescent="0.25" r="5830" customHeight="1" ht="18.75">
      <c r="A5830" s="1" t="s">
        <v>3598</v>
      </c>
      <c r="B5830" s="1" t="s">
        <v>5260</v>
      </c>
      <c r="C5830" s="1" t="s">
        <v>3600</v>
      </c>
      <c r="D5830" s="1" t="s">
        <v>3601</v>
      </c>
      <c r="E5830" s="1" t="s">
        <v>3611</v>
      </c>
      <c r="F5830" s="1" t="s">
        <v>20609</v>
      </c>
      <c r="G5830" s="1" t="s">
        <v>9107</v>
      </c>
      <c r="H5830" s="1" t="s">
        <v>3604</v>
      </c>
      <c r="I5830" s="1" t="s">
        <v>20610</v>
      </c>
      <c r="J5830" s="1" t="s">
        <v>3606</v>
      </c>
      <c r="K5830" s="1" t="s">
        <v>20611</v>
      </c>
      <c r="L5830" s="1"/>
      <c r="M5830" s="1"/>
    </row>
    <row x14ac:dyDescent="0.25" r="5831" customHeight="1" ht="18.75">
      <c r="A5831" s="1" t="s">
        <v>3598</v>
      </c>
      <c r="B5831" s="1" t="s">
        <v>5260</v>
      </c>
      <c r="C5831" s="1" t="s">
        <v>3600</v>
      </c>
      <c r="D5831" s="1" t="s">
        <v>3601</v>
      </c>
      <c r="E5831" s="1" t="s">
        <v>3611</v>
      </c>
      <c r="F5831" s="1" t="s">
        <v>20612</v>
      </c>
      <c r="G5831" s="1" t="s">
        <v>9107</v>
      </c>
      <c r="H5831" s="1" t="s">
        <v>3604</v>
      </c>
      <c r="I5831" s="1" t="s">
        <v>20613</v>
      </c>
      <c r="J5831" s="1" t="s">
        <v>3606</v>
      </c>
      <c r="K5831" s="1" t="s">
        <v>20614</v>
      </c>
      <c r="L5831" s="1"/>
      <c r="M5831" s="1"/>
    </row>
    <row x14ac:dyDescent="0.25" r="5832" customHeight="1" ht="18.75">
      <c r="A5832" s="1" t="s">
        <v>3598</v>
      </c>
      <c r="B5832" s="1" t="s">
        <v>5260</v>
      </c>
      <c r="C5832" s="1" t="s">
        <v>3600</v>
      </c>
      <c r="D5832" s="1" t="s">
        <v>3601</v>
      </c>
      <c r="E5832" s="1" t="s">
        <v>3611</v>
      </c>
      <c r="F5832" s="1" t="s">
        <v>20615</v>
      </c>
      <c r="G5832" s="1" t="s">
        <v>9107</v>
      </c>
      <c r="H5832" s="1" t="s">
        <v>3604</v>
      </c>
      <c r="I5832" s="1" t="s">
        <v>20616</v>
      </c>
      <c r="J5832" s="1" t="s">
        <v>3606</v>
      </c>
      <c r="K5832" s="1" t="s">
        <v>20617</v>
      </c>
      <c r="L5832" s="1"/>
      <c r="M5832" s="1"/>
    </row>
    <row x14ac:dyDescent="0.25" r="5833" customHeight="1" ht="18.75">
      <c r="A5833" s="1" t="s">
        <v>3598</v>
      </c>
      <c r="B5833" s="1" t="s">
        <v>5260</v>
      </c>
      <c r="C5833" s="1" t="s">
        <v>3600</v>
      </c>
      <c r="D5833" s="1" t="s">
        <v>3601</v>
      </c>
      <c r="E5833" s="1" t="s">
        <v>3611</v>
      </c>
      <c r="F5833" s="1" t="s">
        <v>20618</v>
      </c>
      <c r="G5833" s="1" t="s">
        <v>9107</v>
      </c>
      <c r="H5833" s="1" t="s">
        <v>3604</v>
      </c>
      <c r="I5833" s="1" t="s">
        <v>20619</v>
      </c>
      <c r="J5833" s="1" t="s">
        <v>3606</v>
      </c>
      <c r="K5833" s="1" t="s">
        <v>20620</v>
      </c>
      <c r="L5833" s="1"/>
      <c r="M5833" s="1"/>
    </row>
    <row x14ac:dyDescent="0.25" r="5834" customHeight="1" ht="18.75">
      <c r="A5834" s="1" t="s">
        <v>3598</v>
      </c>
      <c r="B5834" s="1" t="s">
        <v>5260</v>
      </c>
      <c r="C5834" s="1" t="s">
        <v>3600</v>
      </c>
      <c r="D5834" s="1" t="s">
        <v>3601</v>
      </c>
      <c r="E5834" s="1" t="s">
        <v>3611</v>
      </c>
      <c r="F5834" s="1" t="s">
        <v>20621</v>
      </c>
      <c r="G5834" s="1" t="s">
        <v>9107</v>
      </c>
      <c r="H5834" s="1" t="s">
        <v>3604</v>
      </c>
      <c r="I5834" s="1" t="s">
        <v>20622</v>
      </c>
      <c r="J5834" s="1" t="s">
        <v>3606</v>
      </c>
      <c r="K5834" s="1" t="s">
        <v>20623</v>
      </c>
      <c r="L5834" s="1"/>
      <c r="M5834" s="1"/>
    </row>
    <row x14ac:dyDescent="0.25" r="5835" customHeight="1" ht="18.75">
      <c r="A5835" s="1" t="s">
        <v>3598</v>
      </c>
      <c r="B5835" s="1" t="s">
        <v>5260</v>
      </c>
      <c r="C5835" s="1" t="s">
        <v>3600</v>
      </c>
      <c r="D5835" s="1" t="s">
        <v>3601</v>
      </c>
      <c r="E5835" s="1" t="s">
        <v>3611</v>
      </c>
      <c r="F5835" s="1" t="s">
        <v>20624</v>
      </c>
      <c r="G5835" s="1" t="s">
        <v>9107</v>
      </c>
      <c r="H5835" s="1" t="s">
        <v>3604</v>
      </c>
      <c r="I5835" s="1" t="s">
        <v>20625</v>
      </c>
      <c r="J5835" s="1" t="s">
        <v>3606</v>
      </c>
      <c r="K5835" s="1" t="s">
        <v>20626</v>
      </c>
      <c r="L5835" s="1"/>
      <c r="M5835" s="1"/>
    </row>
    <row x14ac:dyDescent="0.25" r="5836" customHeight="1" ht="18.75">
      <c r="A5836" s="1" t="s">
        <v>3598</v>
      </c>
      <c r="B5836" s="1" t="s">
        <v>5260</v>
      </c>
      <c r="C5836" s="1" t="s">
        <v>3600</v>
      </c>
      <c r="D5836" s="1" t="s">
        <v>3601</v>
      </c>
      <c r="E5836" s="1" t="s">
        <v>3611</v>
      </c>
      <c r="F5836" s="1" t="s">
        <v>20627</v>
      </c>
      <c r="G5836" s="1" t="s">
        <v>9107</v>
      </c>
      <c r="H5836" s="1" t="s">
        <v>3604</v>
      </c>
      <c r="I5836" s="1" t="s">
        <v>20628</v>
      </c>
      <c r="J5836" s="1" t="s">
        <v>3606</v>
      </c>
      <c r="K5836" s="1" t="s">
        <v>20629</v>
      </c>
      <c r="L5836" s="1"/>
      <c r="M5836" s="1"/>
    </row>
    <row x14ac:dyDescent="0.25" r="5837" customHeight="1" ht="18.75">
      <c r="A5837" s="1" t="s">
        <v>3598</v>
      </c>
      <c r="B5837" s="1" t="s">
        <v>5260</v>
      </c>
      <c r="C5837" s="1" t="s">
        <v>3600</v>
      </c>
      <c r="D5837" s="1" t="s">
        <v>3601</v>
      </c>
      <c r="E5837" s="1" t="s">
        <v>3611</v>
      </c>
      <c r="F5837" s="1" t="s">
        <v>20630</v>
      </c>
      <c r="G5837" s="1" t="s">
        <v>9107</v>
      </c>
      <c r="H5837" s="1" t="s">
        <v>3604</v>
      </c>
      <c r="I5837" s="1" t="s">
        <v>20631</v>
      </c>
      <c r="J5837" s="1" t="s">
        <v>3606</v>
      </c>
      <c r="K5837" s="1" t="s">
        <v>20632</v>
      </c>
      <c r="L5837" s="1"/>
      <c r="M5837" s="1"/>
    </row>
    <row x14ac:dyDescent="0.25" r="5838" customHeight="1" ht="18.75">
      <c r="A5838" s="1" t="s">
        <v>3598</v>
      </c>
      <c r="B5838" s="1" t="s">
        <v>5260</v>
      </c>
      <c r="C5838" s="1" t="s">
        <v>3600</v>
      </c>
      <c r="D5838" s="1" t="s">
        <v>3601</v>
      </c>
      <c r="E5838" s="1" t="s">
        <v>3611</v>
      </c>
      <c r="F5838" s="1" t="s">
        <v>20633</v>
      </c>
      <c r="G5838" s="1" t="s">
        <v>9107</v>
      </c>
      <c r="H5838" s="1" t="s">
        <v>3604</v>
      </c>
      <c r="I5838" s="1" t="s">
        <v>20634</v>
      </c>
      <c r="J5838" s="1" t="s">
        <v>3606</v>
      </c>
      <c r="K5838" s="1" t="s">
        <v>20635</v>
      </c>
      <c r="L5838" s="1"/>
      <c r="M5838" s="1"/>
    </row>
    <row x14ac:dyDescent="0.25" r="5839" customHeight="1" ht="18.75">
      <c r="A5839" s="1" t="s">
        <v>3598</v>
      </c>
      <c r="B5839" s="1" t="s">
        <v>5260</v>
      </c>
      <c r="C5839" s="1" t="s">
        <v>3600</v>
      </c>
      <c r="D5839" s="1" t="s">
        <v>3601</v>
      </c>
      <c r="E5839" s="1" t="s">
        <v>3611</v>
      </c>
      <c r="F5839" s="1" t="s">
        <v>20636</v>
      </c>
      <c r="G5839" s="1" t="s">
        <v>9107</v>
      </c>
      <c r="H5839" s="1" t="s">
        <v>3604</v>
      </c>
      <c r="I5839" s="1" t="s">
        <v>20637</v>
      </c>
      <c r="J5839" s="1" t="s">
        <v>3606</v>
      </c>
      <c r="K5839" s="1" t="s">
        <v>20638</v>
      </c>
      <c r="L5839" s="1"/>
      <c r="M5839" s="1"/>
    </row>
    <row x14ac:dyDescent="0.25" r="5840" customHeight="1" ht="18.75">
      <c r="A5840" s="1" t="s">
        <v>3598</v>
      </c>
      <c r="B5840" s="1" t="s">
        <v>5260</v>
      </c>
      <c r="C5840" s="1" t="s">
        <v>3600</v>
      </c>
      <c r="D5840" s="1" t="s">
        <v>3601</v>
      </c>
      <c r="E5840" s="1" t="s">
        <v>3611</v>
      </c>
      <c r="F5840" s="1" t="s">
        <v>20639</v>
      </c>
      <c r="G5840" s="1" t="s">
        <v>9107</v>
      </c>
      <c r="H5840" s="1" t="s">
        <v>3604</v>
      </c>
      <c r="I5840" s="1" t="s">
        <v>20640</v>
      </c>
      <c r="J5840" s="1" t="s">
        <v>3606</v>
      </c>
      <c r="K5840" s="1" t="s">
        <v>20641</v>
      </c>
      <c r="L5840" s="1"/>
      <c r="M5840" s="1"/>
    </row>
    <row x14ac:dyDescent="0.25" r="5841" customHeight="1" ht="18.75">
      <c r="A5841" s="1" t="s">
        <v>3598</v>
      </c>
      <c r="B5841" s="1" t="s">
        <v>5260</v>
      </c>
      <c r="C5841" s="1" t="s">
        <v>3600</v>
      </c>
      <c r="D5841" s="1" t="s">
        <v>3601</v>
      </c>
      <c r="E5841" s="1" t="s">
        <v>3611</v>
      </c>
      <c r="F5841" s="1" t="s">
        <v>20642</v>
      </c>
      <c r="G5841" s="1" t="s">
        <v>9107</v>
      </c>
      <c r="H5841" s="1" t="s">
        <v>3604</v>
      </c>
      <c r="I5841" s="1" t="s">
        <v>20643</v>
      </c>
      <c r="J5841" s="1" t="s">
        <v>3606</v>
      </c>
      <c r="K5841" s="1" t="s">
        <v>20644</v>
      </c>
      <c r="L5841" s="1"/>
      <c r="M5841" s="1"/>
    </row>
    <row x14ac:dyDescent="0.25" r="5842" customHeight="1" ht="18.75">
      <c r="A5842" s="1" t="s">
        <v>3598</v>
      </c>
      <c r="B5842" s="1" t="s">
        <v>5260</v>
      </c>
      <c r="C5842" s="1" t="s">
        <v>3600</v>
      </c>
      <c r="D5842" s="1" t="s">
        <v>3601</v>
      </c>
      <c r="E5842" s="1" t="s">
        <v>3611</v>
      </c>
      <c r="F5842" s="1" t="s">
        <v>20645</v>
      </c>
      <c r="G5842" s="1" t="s">
        <v>9107</v>
      </c>
      <c r="H5842" s="1" t="s">
        <v>3604</v>
      </c>
      <c r="I5842" s="1" t="s">
        <v>20646</v>
      </c>
      <c r="J5842" s="1" t="s">
        <v>3606</v>
      </c>
      <c r="K5842" s="1" t="s">
        <v>20647</v>
      </c>
      <c r="L5842" s="1"/>
      <c r="M5842" s="1"/>
    </row>
    <row x14ac:dyDescent="0.25" r="5843" customHeight="1" ht="18.75">
      <c r="A5843" s="1" t="s">
        <v>3598</v>
      </c>
      <c r="B5843" s="1" t="s">
        <v>5260</v>
      </c>
      <c r="C5843" s="1" t="s">
        <v>3600</v>
      </c>
      <c r="D5843" s="1" t="s">
        <v>3601</v>
      </c>
      <c r="E5843" s="1" t="s">
        <v>3611</v>
      </c>
      <c r="F5843" s="1" t="s">
        <v>20648</v>
      </c>
      <c r="G5843" s="1" t="s">
        <v>9107</v>
      </c>
      <c r="H5843" s="1" t="s">
        <v>3604</v>
      </c>
      <c r="I5843" s="1" t="s">
        <v>20649</v>
      </c>
      <c r="J5843" s="1" t="s">
        <v>3606</v>
      </c>
      <c r="K5843" s="1" t="s">
        <v>20650</v>
      </c>
      <c r="L5843" s="1"/>
      <c r="M5843" s="1"/>
    </row>
    <row x14ac:dyDescent="0.25" r="5844" customHeight="1" ht="18.75">
      <c r="A5844" s="1" t="s">
        <v>3598</v>
      </c>
      <c r="B5844" s="1" t="s">
        <v>5260</v>
      </c>
      <c r="C5844" s="1" t="s">
        <v>3600</v>
      </c>
      <c r="D5844" s="1" t="s">
        <v>3601</v>
      </c>
      <c r="E5844" s="1" t="s">
        <v>3611</v>
      </c>
      <c r="F5844" s="1" t="s">
        <v>20651</v>
      </c>
      <c r="G5844" s="1" t="s">
        <v>9107</v>
      </c>
      <c r="H5844" s="1" t="s">
        <v>3604</v>
      </c>
      <c r="I5844" s="1" t="s">
        <v>20652</v>
      </c>
      <c r="J5844" s="1" t="s">
        <v>3606</v>
      </c>
      <c r="K5844" s="1" t="s">
        <v>20653</v>
      </c>
      <c r="L5844" s="1"/>
      <c r="M5844" s="1"/>
    </row>
    <row x14ac:dyDescent="0.25" r="5845" customHeight="1" ht="18.75">
      <c r="A5845" s="1" t="s">
        <v>3598</v>
      </c>
      <c r="B5845" s="1" t="s">
        <v>5260</v>
      </c>
      <c r="C5845" s="1" t="s">
        <v>3600</v>
      </c>
      <c r="D5845" s="1" t="s">
        <v>3601</v>
      </c>
      <c r="E5845" s="1" t="s">
        <v>3611</v>
      </c>
      <c r="F5845" s="1" t="s">
        <v>20654</v>
      </c>
      <c r="G5845" s="1" t="s">
        <v>9107</v>
      </c>
      <c r="H5845" s="1" t="s">
        <v>3604</v>
      </c>
      <c r="I5845" s="1" t="s">
        <v>20655</v>
      </c>
      <c r="J5845" s="1" t="s">
        <v>3606</v>
      </c>
      <c r="K5845" s="1" t="s">
        <v>20656</v>
      </c>
      <c r="L5845" s="1"/>
      <c r="M5845" s="1"/>
    </row>
    <row x14ac:dyDescent="0.25" r="5846" customHeight="1" ht="18.75">
      <c r="A5846" s="1" t="s">
        <v>3598</v>
      </c>
      <c r="B5846" s="1" t="s">
        <v>5260</v>
      </c>
      <c r="C5846" s="1" t="s">
        <v>3600</v>
      </c>
      <c r="D5846" s="1" t="s">
        <v>3601</v>
      </c>
      <c r="E5846" s="1" t="s">
        <v>3611</v>
      </c>
      <c r="F5846" s="1" t="s">
        <v>20657</v>
      </c>
      <c r="G5846" s="1" t="s">
        <v>9107</v>
      </c>
      <c r="H5846" s="1" t="s">
        <v>3604</v>
      </c>
      <c r="I5846" s="1" t="s">
        <v>20658</v>
      </c>
      <c r="J5846" s="1" t="s">
        <v>3606</v>
      </c>
      <c r="K5846" s="1" t="s">
        <v>20659</v>
      </c>
      <c r="L5846" s="1"/>
      <c r="M5846" s="1"/>
    </row>
    <row x14ac:dyDescent="0.25" r="5847" customHeight="1" ht="18.75">
      <c r="A5847" s="1" t="s">
        <v>3598</v>
      </c>
      <c r="B5847" s="1" t="s">
        <v>5260</v>
      </c>
      <c r="C5847" s="1" t="s">
        <v>3600</v>
      </c>
      <c r="D5847" s="1" t="s">
        <v>3601</v>
      </c>
      <c r="E5847" s="1" t="s">
        <v>3611</v>
      </c>
      <c r="F5847" s="1" t="s">
        <v>20660</v>
      </c>
      <c r="G5847" s="1" t="s">
        <v>9107</v>
      </c>
      <c r="H5847" s="1" t="s">
        <v>3604</v>
      </c>
      <c r="I5847" s="1" t="s">
        <v>20661</v>
      </c>
      <c r="J5847" s="1" t="s">
        <v>3606</v>
      </c>
      <c r="K5847" s="1" t="s">
        <v>20662</v>
      </c>
      <c r="L5847" s="1"/>
      <c r="M5847" s="1"/>
    </row>
    <row x14ac:dyDescent="0.25" r="5848" customHeight="1" ht="18.75">
      <c r="A5848" s="1" t="s">
        <v>3598</v>
      </c>
      <c r="B5848" s="1" t="s">
        <v>5260</v>
      </c>
      <c r="C5848" s="1" t="s">
        <v>3600</v>
      </c>
      <c r="D5848" s="1" t="s">
        <v>3601</v>
      </c>
      <c r="E5848" s="1" t="s">
        <v>3611</v>
      </c>
      <c r="F5848" s="1" t="s">
        <v>20663</v>
      </c>
      <c r="G5848" s="1" t="s">
        <v>9107</v>
      </c>
      <c r="H5848" s="1" t="s">
        <v>3604</v>
      </c>
      <c r="I5848" s="1" t="s">
        <v>20664</v>
      </c>
      <c r="J5848" s="1" t="s">
        <v>3606</v>
      </c>
      <c r="K5848" s="1" t="s">
        <v>20665</v>
      </c>
      <c r="L5848" s="1"/>
      <c r="M5848" s="1"/>
    </row>
    <row x14ac:dyDescent="0.25" r="5849" customHeight="1" ht="18.75">
      <c r="A5849" s="1" t="s">
        <v>3598</v>
      </c>
      <c r="B5849" s="1" t="s">
        <v>5260</v>
      </c>
      <c r="C5849" s="1" t="s">
        <v>3600</v>
      </c>
      <c r="D5849" s="1" t="s">
        <v>3601</v>
      </c>
      <c r="E5849" s="1" t="s">
        <v>3611</v>
      </c>
      <c r="F5849" s="1" t="s">
        <v>20666</v>
      </c>
      <c r="G5849" s="1" t="s">
        <v>9107</v>
      </c>
      <c r="H5849" s="1" t="s">
        <v>3604</v>
      </c>
      <c r="I5849" s="1" t="s">
        <v>20667</v>
      </c>
      <c r="J5849" s="1" t="s">
        <v>3606</v>
      </c>
      <c r="K5849" s="1" t="s">
        <v>20668</v>
      </c>
      <c r="L5849" s="1"/>
      <c r="M5849" s="1"/>
    </row>
    <row x14ac:dyDescent="0.25" r="5850" customHeight="1" ht="18.75">
      <c r="A5850" s="1" t="s">
        <v>3598</v>
      </c>
      <c r="B5850" s="1" t="s">
        <v>5260</v>
      </c>
      <c r="C5850" s="1" t="s">
        <v>3600</v>
      </c>
      <c r="D5850" s="1" t="s">
        <v>3601</v>
      </c>
      <c r="E5850" s="1" t="s">
        <v>3611</v>
      </c>
      <c r="F5850" s="1" t="s">
        <v>20669</v>
      </c>
      <c r="G5850" s="1" t="s">
        <v>9107</v>
      </c>
      <c r="H5850" s="1" t="s">
        <v>3604</v>
      </c>
      <c r="I5850" s="1" t="s">
        <v>20670</v>
      </c>
      <c r="J5850" s="1" t="s">
        <v>3606</v>
      </c>
      <c r="K5850" s="1" t="s">
        <v>20671</v>
      </c>
      <c r="L5850" s="1"/>
      <c r="M5850" s="1"/>
    </row>
    <row x14ac:dyDescent="0.25" r="5851" customHeight="1" ht="18.75">
      <c r="A5851" s="1" t="s">
        <v>3598</v>
      </c>
      <c r="B5851" s="1" t="s">
        <v>5260</v>
      </c>
      <c r="C5851" s="1" t="s">
        <v>3600</v>
      </c>
      <c r="D5851" s="1" t="s">
        <v>3601</v>
      </c>
      <c r="E5851" s="1" t="s">
        <v>3611</v>
      </c>
      <c r="F5851" s="1" t="s">
        <v>20672</v>
      </c>
      <c r="G5851" s="1" t="s">
        <v>9107</v>
      </c>
      <c r="H5851" s="1" t="s">
        <v>3604</v>
      </c>
      <c r="I5851" s="1" t="s">
        <v>20673</v>
      </c>
      <c r="J5851" s="1" t="s">
        <v>3606</v>
      </c>
      <c r="K5851" s="1" t="s">
        <v>20674</v>
      </c>
      <c r="L5851" s="1"/>
      <c r="M5851" s="1"/>
    </row>
    <row x14ac:dyDescent="0.25" r="5852" customHeight="1" ht="18.75">
      <c r="A5852" s="1" t="s">
        <v>3598</v>
      </c>
      <c r="B5852" s="1" t="s">
        <v>5260</v>
      </c>
      <c r="C5852" s="1" t="s">
        <v>3600</v>
      </c>
      <c r="D5852" s="1" t="s">
        <v>3601</v>
      </c>
      <c r="E5852" s="1" t="s">
        <v>3611</v>
      </c>
      <c r="F5852" s="1" t="s">
        <v>20675</v>
      </c>
      <c r="G5852" s="1" t="s">
        <v>9107</v>
      </c>
      <c r="H5852" s="1" t="s">
        <v>3604</v>
      </c>
      <c r="I5852" s="1" t="s">
        <v>20676</v>
      </c>
      <c r="J5852" s="1" t="s">
        <v>3606</v>
      </c>
      <c r="K5852" s="1" t="s">
        <v>20677</v>
      </c>
      <c r="L5852" s="1"/>
      <c r="M5852" s="1"/>
    </row>
    <row x14ac:dyDescent="0.25" r="5853" customHeight="1" ht="18.75">
      <c r="A5853" s="1" t="s">
        <v>3598</v>
      </c>
      <c r="B5853" s="1" t="s">
        <v>20111</v>
      </c>
      <c r="C5853" s="1" t="s">
        <v>3600</v>
      </c>
      <c r="D5853" s="1" t="s">
        <v>3601</v>
      </c>
      <c r="E5853" s="1" t="s">
        <v>3664</v>
      </c>
      <c r="F5853" s="1" t="s">
        <v>20678</v>
      </c>
      <c r="G5853" s="1" t="s">
        <v>20679</v>
      </c>
      <c r="H5853" s="1" t="s">
        <v>3604</v>
      </c>
      <c r="I5853" s="1" t="s">
        <v>20680</v>
      </c>
      <c r="J5853" s="1" t="s">
        <v>3606</v>
      </c>
      <c r="K5853" s="1" t="s">
        <v>20681</v>
      </c>
      <c r="L5853" s="1"/>
      <c r="M5853" s="1"/>
    </row>
    <row x14ac:dyDescent="0.25" r="5854" customHeight="1" ht="18.75">
      <c r="A5854" s="1" t="s">
        <v>3598</v>
      </c>
      <c r="B5854" s="1" t="s">
        <v>4095</v>
      </c>
      <c r="C5854" s="1" t="s">
        <v>3600</v>
      </c>
      <c r="D5854" s="1" t="s">
        <v>3601</v>
      </c>
      <c r="E5854" s="1" t="s">
        <v>3664</v>
      </c>
      <c r="F5854" s="1" t="s">
        <v>20682</v>
      </c>
      <c r="G5854" s="1" t="s">
        <v>8987</v>
      </c>
      <c r="H5854" s="1" t="s">
        <v>3604</v>
      </c>
      <c r="I5854" s="1" t="s">
        <v>20683</v>
      </c>
      <c r="J5854" s="1" t="s">
        <v>3606</v>
      </c>
      <c r="K5854" s="1" t="s">
        <v>20684</v>
      </c>
      <c r="L5854" s="1"/>
      <c r="M5854" s="1"/>
    </row>
    <row x14ac:dyDescent="0.25" r="5855" customHeight="1" ht="18.75">
      <c r="A5855" s="1" t="s">
        <v>3598</v>
      </c>
      <c r="B5855" s="1" t="s">
        <v>6732</v>
      </c>
      <c r="C5855" s="1" t="s">
        <v>3600</v>
      </c>
      <c r="D5855" s="1" t="s">
        <v>3601</v>
      </c>
      <c r="E5855" s="1" t="s">
        <v>3664</v>
      </c>
      <c r="F5855" s="1" t="s">
        <v>20685</v>
      </c>
      <c r="G5855" s="1" t="s">
        <v>9712</v>
      </c>
      <c r="H5855" s="1" t="s">
        <v>3604</v>
      </c>
      <c r="I5855" s="1" t="s">
        <v>20686</v>
      </c>
      <c r="J5855" s="1" t="s">
        <v>3606</v>
      </c>
      <c r="K5855" s="1" t="s">
        <v>20687</v>
      </c>
      <c r="L5855" s="1"/>
      <c r="M5855" s="1"/>
    </row>
    <row x14ac:dyDescent="0.25" r="5856" customHeight="1" ht="18.75">
      <c r="A5856" s="1" t="s">
        <v>3598</v>
      </c>
      <c r="B5856" s="1" t="s">
        <v>6732</v>
      </c>
      <c r="C5856" s="1" t="s">
        <v>3600</v>
      </c>
      <c r="D5856" s="1" t="s">
        <v>3601</v>
      </c>
      <c r="E5856" s="1" t="s">
        <v>3664</v>
      </c>
      <c r="F5856" s="1" t="s">
        <v>20688</v>
      </c>
      <c r="G5856" s="1" t="s">
        <v>20175</v>
      </c>
      <c r="H5856" s="1" t="s">
        <v>3604</v>
      </c>
      <c r="I5856" s="1" t="s">
        <v>20689</v>
      </c>
      <c r="J5856" s="1" t="s">
        <v>3606</v>
      </c>
      <c r="K5856" s="1" t="s">
        <v>20690</v>
      </c>
      <c r="L5856" s="1"/>
      <c r="M5856" s="1"/>
    </row>
    <row x14ac:dyDescent="0.25" r="5857" customHeight="1" ht="18.75">
      <c r="A5857" s="1" t="s">
        <v>3598</v>
      </c>
      <c r="B5857" s="1" t="s">
        <v>5260</v>
      </c>
      <c r="C5857" s="1" t="s">
        <v>3600</v>
      </c>
      <c r="D5857" s="1" t="s">
        <v>3601</v>
      </c>
      <c r="E5857" s="1" t="s">
        <v>3893</v>
      </c>
      <c r="F5857" s="1" t="s">
        <v>20691</v>
      </c>
      <c r="G5857" s="1" t="s">
        <v>20415</v>
      </c>
      <c r="H5857" s="1" t="s">
        <v>3604</v>
      </c>
      <c r="I5857" s="1" t="s">
        <v>20692</v>
      </c>
      <c r="J5857" s="1" t="s">
        <v>3606</v>
      </c>
      <c r="K5857" s="1" t="s">
        <v>20693</v>
      </c>
      <c r="L5857" s="1"/>
      <c r="M5857" s="1"/>
    </row>
    <row x14ac:dyDescent="0.25" r="5858" customHeight="1" ht="18.75">
      <c r="A5858" s="1" t="s">
        <v>3598</v>
      </c>
      <c r="B5858" s="1" t="s">
        <v>5260</v>
      </c>
      <c r="C5858" s="1" t="s">
        <v>3600</v>
      </c>
      <c r="D5858" s="1" t="s">
        <v>3601</v>
      </c>
      <c r="E5858" s="1" t="s">
        <v>3893</v>
      </c>
      <c r="F5858" s="1" t="s">
        <v>20694</v>
      </c>
      <c r="G5858" s="1" t="s">
        <v>20415</v>
      </c>
      <c r="H5858" s="1" t="s">
        <v>3604</v>
      </c>
      <c r="I5858" s="1" t="s">
        <v>20695</v>
      </c>
      <c r="J5858" s="1" t="s">
        <v>3606</v>
      </c>
      <c r="K5858" s="1" t="s">
        <v>20696</v>
      </c>
      <c r="L5858" s="1"/>
      <c r="M5858" s="1"/>
    </row>
    <row x14ac:dyDescent="0.25" r="5859" customHeight="1" ht="18.75">
      <c r="A5859" s="1" t="s">
        <v>3598</v>
      </c>
      <c r="B5859" s="1" t="s">
        <v>5260</v>
      </c>
      <c r="C5859" s="1" t="s">
        <v>3600</v>
      </c>
      <c r="D5859" s="1" t="s">
        <v>3601</v>
      </c>
      <c r="E5859" s="1" t="s">
        <v>3893</v>
      </c>
      <c r="F5859" s="1" t="s">
        <v>20697</v>
      </c>
      <c r="G5859" s="1" t="s">
        <v>20419</v>
      </c>
      <c r="H5859" s="1" t="s">
        <v>3604</v>
      </c>
      <c r="I5859" s="1" t="s">
        <v>20698</v>
      </c>
      <c r="J5859" s="1" t="s">
        <v>3606</v>
      </c>
      <c r="K5859" s="1" t="s">
        <v>20699</v>
      </c>
      <c r="L5859" s="1"/>
      <c r="M5859" s="1"/>
    </row>
    <row x14ac:dyDescent="0.25" r="5860" customHeight="1" ht="18.75">
      <c r="A5860" s="1" t="s">
        <v>3598</v>
      </c>
      <c r="B5860" s="1" t="s">
        <v>5260</v>
      </c>
      <c r="C5860" s="1" t="s">
        <v>3600</v>
      </c>
      <c r="D5860" s="1" t="s">
        <v>3601</v>
      </c>
      <c r="E5860" s="1" t="s">
        <v>3893</v>
      </c>
      <c r="F5860" s="1" t="s">
        <v>20700</v>
      </c>
      <c r="G5860" s="1" t="s">
        <v>20419</v>
      </c>
      <c r="H5860" s="1" t="s">
        <v>3604</v>
      </c>
      <c r="I5860" s="1" t="s">
        <v>20701</v>
      </c>
      <c r="J5860" s="1" t="s">
        <v>3606</v>
      </c>
      <c r="K5860" s="1" t="s">
        <v>20702</v>
      </c>
      <c r="L5860" s="1"/>
      <c r="M5860" s="1"/>
    </row>
    <row x14ac:dyDescent="0.25" r="5861" customHeight="1" ht="18.75">
      <c r="A5861" s="1" t="s">
        <v>3598</v>
      </c>
      <c r="B5861" s="1" t="s">
        <v>5260</v>
      </c>
      <c r="C5861" s="1" t="s">
        <v>3600</v>
      </c>
      <c r="D5861" s="1" t="s">
        <v>3601</v>
      </c>
      <c r="E5861" s="1" t="s">
        <v>3893</v>
      </c>
      <c r="F5861" s="1" t="s">
        <v>20703</v>
      </c>
      <c r="G5861" s="1" t="s">
        <v>19887</v>
      </c>
      <c r="H5861" s="1" t="s">
        <v>3604</v>
      </c>
      <c r="I5861" s="1" t="s">
        <v>20704</v>
      </c>
      <c r="J5861" s="1" t="s">
        <v>3606</v>
      </c>
      <c r="K5861" s="1" t="s">
        <v>20705</v>
      </c>
      <c r="L5861" s="1"/>
      <c r="M5861" s="1"/>
    </row>
    <row x14ac:dyDescent="0.25" r="5862" customHeight="1" ht="18.75">
      <c r="A5862" s="1" t="s">
        <v>3598</v>
      </c>
      <c r="B5862" s="1" t="s">
        <v>4781</v>
      </c>
      <c r="C5862" s="1" t="s">
        <v>3600</v>
      </c>
      <c r="D5862" s="1" t="s">
        <v>3601</v>
      </c>
      <c r="E5862" s="1" t="s">
        <v>3664</v>
      </c>
      <c r="F5862" s="1" t="s">
        <v>20706</v>
      </c>
      <c r="G5862" s="1" t="s">
        <v>19985</v>
      </c>
      <c r="H5862" s="1" t="s">
        <v>3604</v>
      </c>
      <c r="I5862" s="1" t="s">
        <v>20707</v>
      </c>
      <c r="J5862" s="1" t="s">
        <v>3606</v>
      </c>
      <c r="K5862" s="1" t="s">
        <v>20708</v>
      </c>
      <c r="L5862" s="1"/>
      <c r="M5862" s="1"/>
    </row>
    <row x14ac:dyDescent="0.25" r="5863" customHeight="1" ht="18.75">
      <c r="A5863" s="1" t="s">
        <v>3598</v>
      </c>
      <c r="B5863" s="1" t="s">
        <v>5260</v>
      </c>
      <c r="C5863" s="1" t="s">
        <v>3600</v>
      </c>
      <c r="D5863" s="1" t="s">
        <v>3601</v>
      </c>
      <c r="E5863" s="1" t="s">
        <v>3611</v>
      </c>
      <c r="F5863" s="1" t="s">
        <v>20709</v>
      </c>
      <c r="G5863" s="1" t="s">
        <v>9107</v>
      </c>
      <c r="H5863" s="1" t="s">
        <v>3604</v>
      </c>
      <c r="I5863" s="1" t="s">
        <v>20710</v>
      </c>
      <c r="J5863" s="1" t="s">
        <v>3606</v>
      </c>
      <c r="K5863" s="1" t="s">
        <v>20711</v>
      </c>
      <c r="L5863" s="1"/>
      <c r="M5863" s="1"/>
    </row>
    <row x14ac:dyDescent="0.25" r="5864" customHeight="1" ht="18.75">
      <c r="A5864" s="1" t="s">
        <v>3598</v>
      </c>
      <c r="B5864" s="1" t="s">
        <v>5260</v>
      </c>
      <c r="C5864" s="1" t="s">
        <v>3600</v>
      </c>
      <c r="D5864" s="1" t="s">
        <v>3601</v>
      </c>
      <c r="E5864" s="1" t="s">
        <v>3611</v>
      </c>
      <c r="F5864" s="1" t="s">
        <v>20712</v>
      </c>
      <c r="G5864" s="1" t="s">
        <v>9107</v>
      </c>
      <c r="H5864" s="1" t="s">
        <v>3604</v>
      </c>
      <c r="I5864" s="1" t="s">
        <v>20713</v>
      </c>
      <c r="J5864" s="1" t="s">
        <v>3606</v>
      </c>
      <c r="K5864" s="1" t="s">
        <v>20714</v>
      </c>
      <c r="L5864" s="1"/>
      <c r="M5864" s="1"/>
    </row>
    <row x14ac:dyDescent="0.25" r="5865" customHeight="1" ht="18.75">
      <c r="A5865" s="1" t="s">
        <v>3598</v>
      </c>
      <c r="B5865" s="1" t="s">
        <v>5260</v>
      </c>
      <c r="C5865" s="1" t="s">
        <v>3600</v>
      </c>
      <c r="D5865" s="1" t="s">
        <v>3601</v>
      </c>
      <c r="E5865" s="1" t="s">
        <v>3611</v>
      </c>
      <c r="F5865" s="1" t="s">
        <v>20715</v>
      </c>
      <c r="G5865" s="1" t="s">
        <v>9107</v>
      </c>
      <c r="H5865" s="1" t="s">
        <v>3604</v>
      </c>
      <c r="I5865" s="1" t="s">
        <v>20716</v>
      </c>
      <c r="J5865" s="1" t="s">
        <v>3606</v>
      </c>
      <c r="K5865" s="1" t="s">
        <v>20717</v>
      </c>
      <c r="L5865" s="1"/>
      <c r="M5865" s="1"/>
    </row>
    <row x14ac:dyDescent="0.25" r="5866" customHeight="1" ht="18.75">
      <c r="A5866" s="1" t="s">
        <v>3693</v>
      </c>
      <c r="B5866" s="1" t="s">
        <v>4192</v>
      </c>
      <c r="C5866" s="1" t="s">
        <v>3600</v>
      </c>
      <c r="D5866" s="1" t="s">
        <v>3601</v>
      </c>
      <c r="E5866" s="1" t="s">
        <v>3893</v>
      </c>
      <c r="F5866" s="1" t="s">
        <v>20718</v>
      </c>
      <c r="G5866" s="1" t="s">
        <v>4349</v>
      </c>
      <c r="H5866" s="1" t="s">
        <v>3604</v>
      </c>
      <c r="I5866" s="1" t="s">
        <v>20719</v>
      </c>
      <c r="J5866" s="1" t="s">
        <v>3606</v>
      </c>
      <c r="K5866" s="1" t="s">
        <v>20720</v>
      </c>
      <c r="L5866" s="1"/>
      <c r="M5866" s="1"/>
    </row>
    <row x14ac:dyDescent="0.25" r="5867" customHeight="1" ht="18.75">
      <c r="A5867" s="1" t="s">
        <v>7833</v>
      </c>
      <c r="B5867" s="1" t="s">
        <v>20721</v>
      </c>
      <c r="C5867" s="1" t="s">
        <v>4488</v>
      </c>
      <c r="D5867" s="1" t="s">
        <v>3601</v>
      </c>
      <c r="E5867" s="1" t="s">
        <v>3664</v>
      </c>
      <c r="F5867" s="1" t="s">
        <v>20722</v>
      </c>
      <c r="G5867" s="1" t="s">
        <v>20721</v>
      </c>
      <c r="H5867" s="1" t="s">
        <v>3604</v>
      </c>
      <c r="I5867" s="1" t="s">
        <v>20723</v>
      </c>
      <c r="J5867" s="1" t="s">
        <v>3606</v>
      </c>
      <c r="K5867" s="1" t="s">
        <v>19477</v>
      </c>
      <c r="L5867" s="1"/>
      <c r="M5867" s="1"/>
    </row>
    <row x14ac:dyDescent="0.25" r="5868" customHeight="1" ht="18.75">
      <c r="A5868" s="1" t="s">
        <v>7833</v>
      </c>
      <c r="B5868" s="1" t="s">
        <v>20721</v>
      </c>
      <c r="C5868" s="1" t="s">
        <v>4488</v>
      </c>
      <c r="D5868" s="1" t="s">
        <v>3601</v>
      </c>
      <c r="E5868" s="1" t="s">
        <v>3664</v>
      </c>
      <c r="F5868" s="1" t="s">
        <v>20724</v>
      </c>
      <c r="G5868" s="1" t="s">
        <v>20721</v>
      </c>
      <c r="H5868" s="1" t="s">
        <v>3604</v>
      </c>
      <c r="I5868" s="1" t="s">
        <v>20725</v>
      </c>
      <c r="J5868" s="1" t="s">
        <v>3606</v>
      </c>
      <c r="K5868" s="1" t="s">
        <v>19480</v>
      </c>
      <c r="L5868" s="1"/>
      <c r="M5868" s="1"/>
    </row>
    <row x14ac:dyDescent="0.25" r="5869" customHeight="1" ht="18.75">
      <c r="A5869" s="1" t="s">
        <v>7833</v>
      </c>
      <c r="B5869" s="1" t="s">
        <v>20726</v>
      </c>
      <c r="C5869" s="1" t="s">
        <v>4488</v>
      </c>
      <c r="D5869" s="1" t="s">
        <v>3601</v>
      </c>
      <c r="E5869" s="1" t="s">
        <v>3664</v>
      </c>
      <c r="F5869" s="1" t="s">
        <v>20727</v>
      </c>
      <c r="G5869" s="1" t="s">
        <v>20726</v>
      </c>
      <c r="H5869" s="1" t="s">
        <v>3604</v>
      </c>
      <c r="I5869" s="1" t="s">
        <v>20728</v>
      </c>
      <c r="J5869" s="1" t="s">
        <v>3606</v>
      </c>
      <c r="K5869" s="1" t="s">
        <v>19477</v>
      </c>
      <c r="L5869" s="1"/>
      <c r="M5869" s="1"/>
    </row>
    <row x14ac:dyDescent="0.25" r="5870" customHeight="1" ht="18.75">
      <c r="A5870" s="1" t="s">
        <v>7833</v>
      </c>
      <c r="B5870" s="1" t="s">
        <v>20726</v>
      </c>
      <c r="C5870" s="1" t="s">
        <v>4488</v>
      </c>
      <c r="D5870" s="1" t="s">
        <v>3601</v>
      </c>
      <c r="E5870" s="1" t="s">
        <v>3664</v>
      </c>
      <c r="F5870" s="1" t="s">
        <v>20729</v>
      </c>
      <c r="G5870" s="1" t="s">
        <v>20726</v>
      </c>
      <c r="H5870" s="1" t="s">
        <v>3604</v>
      </c>
      <c r="I5870" s="1" t="s">
        <v>20730</v>
      </c>
      <c r="J5870" s="1" t="s">
        <v>3606</v>
      </c>
      <c r="K5870" s="1" t="s">
        <v>19480</v>
      </c>
      <c r="L5870" s="1"/>
      <c r="M5870" s="1"/>
    </row>
    <row x14ac:dyDescent="0.25" r="5871" customHeight="1" ht="18.75">
      <c r="A5871" s="1" t="s">
        <v>3693</v>
      </c>
      <c r="B5871" s="1" t="s">
        <v>20731</v>
      </c>
      <c r="C5871" s="1" t="s">
        <v>3619</v>
      </c>
      <c r="D5871" s="1" t="s">
        <v>3601</v>
      </c>
      <c r="E5871" s="1" t="s">
        <v>3664</v>
      </c>
      <c r="F5871" s="1" t="s">
        <v>20732</v>
      </c>
      <c r="G5871" s="1" t="s">
        <v>20733</v>
      </c>
      <c r="H5871" s="1" t="s">
        <v>3604</v>
      </c>
      <c r="I5871" s="1" t="s">
        <v>20734</v>
      </c>
      <c r="J5871" s="1" t="s">
        <v>3615</v>
      </c>
      <c r="K5871" s="1" t="s">
        <v>20735</v>
      </c>
      <c r="L5871" s="1"/>
      <c r="M5871" s="1"/>
    </row>
    <row x14ac:dyDescent="0.25" r="5872" customHeight="1" ht="18.75">
      <c r="A5872" s="1" t="s">
        <v>7833</v>
      </c>
      <c r="B5872" s="1" t="s">
        <v>20736</v>
      </c>
      <c r="C5872" s="1" t="s">
        <v>4488</v>
      </c>
      <c r="D5872" s="1" t="s">
        <v>3601</v>
      </c>
      <c r="E5872" s="1" t="s">
        <v>3664</v>
      </c>
      <c r="F5872" s="1" t="s">
        <v>20737</v>
      </c>
      <c r="G5872" s="1" t="s">
        <v>20736</v>
      </c>
      <c r="H5872" s="1" t="s">
        <v>3604</v>
      </c>
      <c r="I5872" s="1" t="s">
        <v>20738</v>
      </c>
      <c r="J5872" s="1" t="s">
        <v>3606</v>
      </c>
      <c r="K5872" s="1" t="s">
        <v>19477</v>
      </c>
      <c r="L5872" s="1"/>
      <c r="M5872" s="1"/>
    </row>
    <row x14ac:dyDescent="0.25" r="5873" customHeight="1" ht="18.75">
      <c r="A5873" s="1" t="s">
        <v>3693</v>
      </c>
      <c r="B5873" s="1" t="s">
        <v>3720</v>
      </c>
      <c r="C5873" s="1" t="s">
        <v>3619</v>
      </c>
      <c r="D5873" s="1" t="s">
        <v>3601</v>
      </c>
      <c r="E5873" s="1" t="s">
        <v>3664</v>
      </c>
      <c r="F5873" s="1" t="s">
        <v>20732</v>
      </c>
      <c r="G5873" s="1" t="s">
        <v>5815</v>
      </c>
      <c r="H5873" s="1" t="s">
        <v>3604</v>
      </c>
      <c r="I5873" s="1" t="s">
        <v>20739</v>
      </c>
      <c r="J5873" s="1" t="s">
        <v>3615</v>
      </c>
      <c r="K5873" s="1" t="s">
        <v>20740</v>
      </c>
      <c r="L5873" s="1"/>
      <c r="M5873" s="1"/>
    </row>
    <row x14ac:dyDescent="0.25" r="5874" customHeight="1" ht="18.75">
      <c r="A5874" s="1" t="s">
        <v>7833</v>
      </c>
      <c r="B5874" s="1" t="s">
        <v>20736</v>
      </c>
      <c r="C5874" s="1" t="s">
        <v>4488</v>
      </c>
      <c r="D5874" s="1" t="s">
        <v>3601</v>
      </c>
      <c r="E5874" s="1" t="s">
        <v>3664</v>
      </c>
      <c r="F5874" s="1" t="s">
        <v>20741</v>
      </c>
      <c r="G5874" s="1" t="s">
        <v>20736</v>
      </c>
      <c r="H5874" s="1" t="s">
        <v>3604</v>
      </c>
      <c r="I5874" s="1" t="s">
        <v>20742</v>
      </c>
      <c r="J5874" s="1" t="s">
        <v>3606</v>
      </c>
      <c r="K5874" s="1" t="s">
        <v>19480</v>
      </c>
      <c r="L5874" s="1"/>
      <c r="M5874" s="1"/>
    </row>
    <row x14ac:dyDescent="0.25" r="5875" customHeight="1" ht="18.75">
      <c r="A5875" s="1" t="s">
        <v>3693</v>
      </c>
      <c r="B5875" s="1" t="s">
        <v>6216</v>
      </c>
      <c r="C5875" s="1" t="s">
        <v>3619</v>
      </c>
      <c r="D5875" s="1" t="s">
        <v>3601</v>
      </c>
      <c r="E5875" s="1" t="s">
        <v>3664</v>
      </c>
      <c r="F5875" s="1" t="s">
        <v>20743</v>
      </c>
      <c r="G5875" s="1" t="s">
        <v>20744</v>
      </c>
      <c r="H5875" s="1" t="s">
        <v>3604</v>
      </c>
      <c r="I5875" s="1" t="s">
        <v>20745</v>
      </c>
      <c r="J5875" s="1" t="s">
        <v>3615</v>
      </c>
      <c r="K5875" s="1" t="s">
        <v>20746</v>
      </c>
      <c r="L5875" s="1"/>
      <c r="M5875" s="1"/>
    </row>
    <row x14ac:dyDescent="0.25" r="5876" customHeight="1" ht="18.75">
      <c r="A5876" s="1" t="s">
        <v>7833</v>
      </c>
      <c r="B5876" s="1" t="s">
        <v>20747</v>
      </c>
      <c r="C5876" s="1" t="s">
        <v>4488</v>
      </c>
      <c r="D5876" s="1" t="s">
        <v>3601</v>
      </c>
      <c r="E5876" s="1" t="s">
        <v>3664</v>
      </c>
      <c r="F5876" s="1" t="s">
        <v>20748</v>
      </c>
      <c r="G5876" s="1" t="s">
        <v>20747</v>
      </c>
      <c r="H5876" s="1" t="s">
        <v>3604</v>
      </c>
      <c r="I5876" s="1" t="s">
        <v>20749</v>
      </c>
      <c r="J5876" s="1" t="s">
        <v>3606</v>
      </c>
      <c r="K5876" s="1" t="s">
        <v>19477</v>
      </c>
      <c r="L5876" s="1"/>
      <c r="M5876" s="1"/>
    </row>
    <row x14ac:dyDescent="0.25" r="5877" customHeight="1" ht="18.75">
      <c r="A5877" s="1" t="s">
        <v>7833</v>
      </c>
      <c r="B5877" s="1" t="s">
        <v>20747</v>
      </c>
      <c r="C5877" s="1" t="s">
        <v>4488</v>
      </c>
      <c r="D5877" s="1" t="s">
        <v>3601</v>
      </c>
      <c r="E5877" s="1" t="s">
        <v>3664</v>
      </c>
      <c r="F5877" s="1" t="s">
        <v>20750</v>
      </c>
      <c r="G5877" s="1" t="s">
        <v>20747</v>
      </c>
      <c r="H5877" s="1" t="s">
        <v>3604</v>
      </c>
      <c r="I5877" s="1" t="s">
        <v>20751</v>
      </c>
      <c r="J5877" s="1" t="s">
        <v>3606</v>
      </c>
      <c r="K5877" s="1" t="s">
        <v>19480</v>
      </c>
      <c r="L5877" s="1"/>
      <c r="M5877" s="1"/>
    </row>
    <row x14ac:dyDescent="0.25" r="5878" customHeight="1" ht="18.75">
      <c r="A5878" s="1" t="s">
        <v>3693</v>
      </c>
      <c r="B5878" s="1" t="s">
        <v>4181</v>
      </c>
      <c r="C5878" s="1" t="s">
        <v>3619</v>
      </c>
      <c r="D5878" s="1" t="s">
        <v>533</v>
      </c>
      <c r="E5878" s="1" t="s">
        <v>3664</v>
      </c>
      <c r="F5878" s="1" t="s">
        <v>20752</v>
      </c>
      <c r="G5878" s="1" t="s">
        <v>9565</v>
      </c>
      <c r="H5878" s="1" t="s">
        <v>3604</v>
      </c>
      <c r="I5878" s="1" t="s">
        <v>20753</v>
      </c>
      <c r="J5878" s="1" t="s">
        <v>3615</v>
      </c>
      <c r="K5878" s="1" t="s">
        <v>20754</v>
      </c>
      <c r="L5878" s="1"/>
      <c r="M5878" s="1"/>
    </row>
    <row x14ac:dyDescent="0.25" r="5879" customHeight="1" ht="18.75">
      <c r="A5879" s="1" t="s">
        <v>3693</v>
      </c>
      <c r="B5879" s="1" t="s">
        <v>4181</v>
      </c>
      <c r="C5879" s="1" t="s">
        <v>3619</v>
      </c>
      <c r="D5879" s="1" t="s">
        <v>533</v>
      </c>
      <c r="E5879" s="1" t="s">
        <v>3664</v>
      </c>
      <c r="F5879" s="1" t="s">
        <v>20755</v>
      </c>
      <c r="G5879" s="1" t="s">
        <v>20756</v>
      </c>
      <c r="H5879" s="1" t="s">
        <v>3604</v>
      </c>
      <c r="I5879" s="1" t="s">
        <v>20757</v>
      </c>
      <c r="J5879" s="1" t="s">
        <v>3615</v>
      </c>
      <c r="K5879" s="1" t="s">
        <v>20758</v>
      </c>
      <c r="L5879" s="1"/>
      <c r="M5879" s="1"/>
    </row>
    <row x14ac:dyDescent="0.25" r="5880" customHeight="1" ht="18.75">
      <c r="A5880" s="1" t="s">
        <v>7833</v>
      </c>
      <c r="B5880" s="1" t="s">
        <v>20759</v>
      </c>
      <c r="C5880" s="1" t="s">
        <v>4488</v>
      </c>
      <c r="D5880" s="1" t="s">
        <v>3601</v>
      </c>
      <c r="E5880" s="1" t="s">
        <v>3664</v>
      </c>
      <c r="F5880" s="1" t="s">
        <v>20760</v>
      </c>
      <c r="G5880" s="1" t="s">
        <v>20759</v>
      </c>
      <c r="H5880" s="1" t="s">
        <v>3604</v>
      </c>
      <c r="I5880" s="1" t="s">
        <v>20761</v>
      </c>
      <c r="J5880" s="1" t="s">
        <v>3606</v>
      </c>
      <c r="K5880" s="1" t="s">
        <v>17318</v>
      </c>
      <c r="L5880" s="1"/>
      <c r="M5880" s="1"/>
    </row>
    <row x14ac:dyDescent="0.25" r="5881" customHeight="1" ht="18.75">
      <c r="A5881" s="1" t="s">
        <v>7833</v>
      </c>
      <c r="B5881" s="1" t="s">
        <v>20759</v>
      </c>
      <c r="C5881" s="1" t="s">
        <v>4488</v>
      </c>
      <c r="D5881" s="1" t="s">
        <v>3601</v>
      </c>
      <c r="E5881" s="1" t="s">
        <v>3664</v>
      </c>
      <c r="F5881" s="1" t="s">
        <v>20762</v>
      </c>
      <c r="G5881" s="1" t="s">
        <v>20759</v>
      </c>
      <c r="H5881" s="1" t="s">
        <v>3604</v>
      </c>
      <c r="I5881" s="1" t="s">
        <v>20763</v>
      </c>
      <c r="J5881" s="1" t="s">
        <v>3606</v>
      </c>
      <c r="K5881" s="1" t="s">
        <v>19480</v>
      </c>
      <c r="L5881" s="1"/>
      <c r="M5881" s="1"/>
    </row>
    <row x14ac:dyDescent="0.25" r="5882" customHeight="1" ht="18.75">
      <c r="A5882" s="1" t="s">
        <v>7833</v>
      </c>
      <c r="B5882" s="1" t="s">
        <v>9824</v>
      </c>
      <c r="C5882" s="1" t="s">
        <v>4488</v>
      </c>
      <c r="D5882" s="1" t="s">
        <v>3601</v>
      </c>
      <c r="E5882" s="1" t="s">
        <v>8096</v>
      </c>
      <c r="F5882" s="1" t="s">
        <v>20764</v>
      </c>
      <c r="G5882" s="1" t="s">
        <v>14305</v>
      </c>
      <c r="H5882" s="1" t="s">
        <v>3604</v>
      </c>
      <c r="I5882" s="1" t="s">
        <v>20765</v>
      </c>
      <c r="J5882" s="1" t="s">
        <v>3606</v>
      </c>
      <c r="K5882" s="1" t="s">
        <v>9194</v>
      </c>
      <c r="L5882" s="1"/>
      <c r="M5882" s="1"/>
    </row>
    <row x14ac:dyDescent="0.25" r="5883" customHeight="1" ht="18.75">
      <c r="A5883" s="1" t="s">
        <v>3598</v>
      </c>
      <c r="B5883" s="1" t="s">
        <v>16647</v>
      </c>
      <c r="C5883" s="1" t="s">
        <v>3600</v>
      </c>
      <c r="D5883" s="1" t="s">
        <v>7994</v>
      </c>
      <c r="E5883" s="1" t="s">
        <v>3893</v>
      </c>
      <c r="F5883" s="1" t="s">
        <v>20766</v>
      </c>
      <c r="G5883" s="1" t="s">
        <v>16649</v>
      </c>
      <c r="H5883" s="1" t="s">
        <v>3604</v>
      </c>
      <c r="I5883" s="1" t="s">
        <v>20767</v>
      </c>
      <c r="J5883" s="1" t="s">
        <v>3606</v>
      </c>
      <c r="K5883" s="1" t="s">
        <v>20768</v>
      </c>
      <c r="L5883" s="1"/>
      <c r="M5883" s="1"/>
    </row>
    <row x14ac:dyDescent="0.25" r="5884" customHeight="1" ht="18.75">
      <c r="A5884" s="1" t="s">
        <v>7833</v>
      </c>
      <c r="B5884" s="1" t="s">
        <v>9824</v>
      </c>
      <c r="C5884" s="1" t="s">
        <v>4488</v>
      </c>
      <c r="D5884" s="1" t="s">
        <v>3601</v>
      </c>
      <c r="E5884" s="1" t="s">
        <v>8096</v>
      </c>
      <c r="F5884" s="1" t="s">
        <v>20769</v>
      </c>
      <c r="G5884" s="1" t="s">
        <v>14305</v>
      </c>
      <c r="H5884" s="1" t="s">
        <v>3604</v>
      </c>
      <c r="I5884" s="1" t="s">
        <v>20770</v>
      </c>
      <c r="J5884" s="1" t="s">
        <v>3606</v>
      </c>
      <c r="K5884" s="1" t="s">
        <v>20771</v>
      </c>
      <c r="L5884" s="1"/>
      <c r="M5884" s="1"/>
    </row>
    <row x14ac:dyDescent="0.25" r="5885" customHeight="1" ht="18.75">
      <c r="A5885" s="1" t="s">
        <v>7833</v>
      </c>
      <c r="B5885" s="1" t="s">
        <v>9824</v>
      </c>
      <c r="C5885" s="1" t="s">
        <v>4488</v>
      </c>
      <c r="D5885" s="1" t="s">
        <v>3601</v>
      </c>
      <c r="E5885" s="1" t="s">
        <v>8096</v>
      </c>
      <c r="F5885" s="1" t="s">
        <v>20772</v>
      </c>
      <c r="G5885" s="1" t="s">
        <v>14282</v>
      </c>
      <c r="H5885" s="1" t="s">
        <v>3604</v>
      </c>
      <c r="I5885" s="1" t="s">
        <v>20773</v>
      </c>
      <c r="J5885" s="1" t="s">
        <v>3606</v>
      </c>
      <c r="K5885" s="1" t="s">
        <v>8992</v>
      </c>
      <c r="L5885" s="1"/>
      <c r="M5885" s="1"/>
    </row>
    <row x14ac:dyDescent="0.25" r="5886" customHeight="1" ht="18.75">
      <c r="A5886" s="1" t="s">
        <v>7833</v>
      </c>
      <c r="B5886" s="1" t="s">
        <v>9824</v>
      </c>
      <c r="C5886" s="1" t="s">
        <v>4488</v>
      </c>
      <c r="D5886" s="1" t="s">
        <v>3601</v>
      </c>
      <c r="E5886" s="1" t="s">
        <v>8096</v>
      </c>
      <c r="F5886" s="1" t="s">
        <v>20774</v>
      </c>
      <c r="G5886" s="1" t="s">
        <v>9826</v>
      </c>
      <c r="H5886" s="1" t="s">
        <v>3604</v>
      </c>
      <c r="I5886" s="1" t="s">
        <v>20775</v>
      </c>
      <c r="J5886" s="1" t="s">
        <v>3606</v>
      </c>
      <c r="K5886" s="1" t="s">
        <v>20776</v>
      </c>
      <c r="L5886" s="1"/>
      <c r="M5886" s="1"/>
    </row>
    <row x14ac:dyDescent="0.25" r="5887" customHeight="1" ht="18.75">
      <c r="A5887" s="1" t="s">
        <v>7833</v>
      </c>
      <c r="B5887" s="1" t="s">
        <v>14264</v>
      </c>
      <c r="C5887" s="1" t="s">
        <v>4488</v>
      </c>
      <c r="D5887" s="1" t="s">
        <v>3695</v>
      </c>
      <c r="E5887" s="1" t="s">
        <v>3664</v>
      </c>
      <c r="F5887" s="1" t="s">
        <v>1398</v>
      </c>
      <c r="G5887" s="1" t="s">
        <v>20777</v>
      </c>
      <c r="H5887" s="1" t="s">
        <v>3604</v>
      </c>
      <c r="I5887" s="1" t="s">
        <v>20778</v>
      </c>
      <c r="J5887" s="1" t="s">
        <v>3606</v>
      </c>
      <c r="K5887" s="1" t="s">
        <v>14445</v>
      </c>
      <c r="L5887" s="1"/>
      <c r="M5887" s="1"/>
    </row>
    <row x14ac:dyDescent="0.25" r="5888" customHeight="1" ht="18.75">
      <c r="A5888" s="1" t="s">
        <v>7833</v>
      </c>
      <c r="B5888" s="1" t="s">
        <v>8306</v>
      </c>
      <c r="C5888" s="1" t="s">
        <v>4488</v>
      </c>
      <c r="D5888" s="1" t="s">
        <v>3601</v>
      </c>
      <c r="E5888" s="1" t="s">
        <v>8096</v>
      </c>
      <c r="F5888" s="1" t="s">
        <v>20779</v>
      </c>
      <c r="G5888" s="1" t="s">
        <v>15304</v>
      </c>
      <c r="H5888" s="1" t="s">
        <v>3604</v>
      </c>
      <c r="I5888" s="1" t="s">
        <v>20780</v>
      </c>
      <c r="J5888" s="1" t="s">
        <v>3606</v>
      </c>
      <c r="K5888" s="1" t="s">
        <v>20781</v>
      </c>
      <c r="L5888" s="1"/>
      <c r="M5888" s="1"/>
    </row>
    <row x14ac:dyDescent="0.25" r="5889" customHeight="1" ht="18.75">
      <c r="A5889" s="1" t="s">
        <v>7833</v>
      </c>
      <c r="B5889" s="1" t="s">
        <v>14264</v>
      </c>
      <c r="C5889" s="1" t="s">
        <v>4488</v>
      </c>
      <c r="D5889" s="1" t="s">
        <v>3695</v>
      </c>
      <c r="E5889" s="1" t="s">
        <v>3664</v>
      </c>
      <c r="F5889" s="1" t="s">
        <v>1399</v>
      </c>
      <c r="G5889" s="1" t="s">
        <v>14265</v>
      </c>
      <c r="H5889" s="1" t="s">
        <v>3604</v>
      </c>
      <c r="I5889" s="1" t="s">
        <v>20782</v>
      </c>
      <c r="J5889" s="1" t="s">
        <v>3606</v>
      </c>
      <c r="K5889" s="1" t="s">
        <v>20783</v>
      </c>
      <c r="L5889" s="1"/>
      <c r="M5889" s="1"/>
    </row>
    <row x14ac:dyDescent="0.25" r="5890" customHeight="1" ht="18.75">
      <c r="A5890" s="1" t="s">
        <v>7833</v>
      </c>
      <c r="B5890" s="1" t="s">
        <v>9824</v>
      </c>
      <c r="C5890" s="1" t="s">
        <v>4488</v>
      </c>
      <c r="D5890" s="1" t="s">
        <v>3601</v>
      </c>
      <c r="E5890" s="1" t="s">
        <v>8096</v>
      </c>
      <c r="F5890" s="1" t="s">
        <v>20784</v>
      </c>
      <c r="G5890" s="1" t="s">
        <v>14204</v>
      </c>
      <c r="H5890" s="1" t="s">
        <v>3604</v>
      </c>
      <c r="I5890" s="1" t="s">
        <v>20785</v>
      </c>
      <c r="J5890" s="1" t="s">
        <v>3606</v>
      </c>
      <c r="K5890" s="1" t="s">
        <v>20786</v>
      </c>
      <c r="L5890" s="1"/>
      <c r="M5890" s="1"/>
    </row>
    <row x14ac:dyDescent="0.25" r="5891" customHeight="1" ht="18.75">
      <c r="A5891" s="1" t="s">
        <v>7833</v>
      </c>
      <c r="B5891" s="1" t="s">
        <v>9824</v>
      </c>
      <c r="C5891" s="1" t="s">
        <v>4488</v>
      </c>
      <c r="D5891" s="1" t="s">
        <v>3601</v>
      </c>
      <c r="E5891" s="1" t="s">
        <v>8096</v>
      </c>
      <c r="F5891" s="1" t="s">
        <v>20787</v>
      </c>
      <c r="G5891" s="1" t="s">
        <v>14298</v>
      </c>
      <c r="H5891" s="1" t="s">
        <v>3604</v>
      </c>
      <c r="I5891" s="1" t="s">
        <v>20788</v>
      </c>
      <c r="J5891" s="1" t="s">
        <v>3606</v>
      </c>
      <c r="K5891" s="1" t="s">
        <v>20789</v>
      </c>
      <c r="L5891" s="1"/>
      <c r="M5891" s="1"/>
    </row>
    <row x14ac:dyDescent="0.25" r="5892" customHeight="1" ht="18.75">
      <c r="A5892" s="1" t="s">
        <v>7833</v>
      </c>
      <c r="B5892" s="1" t="s">
        <v>9824</v>
      </c>
      <c r="C5892" s="1" t="s">
        <v>4488</v>
      </c>
      <c r="D5892" s="1" t="s">
        <v>3601</v>
      </c>
      <c r="E5892" s="1" t="s">
        <v>8096</v>
      </c>
      <c r="F5892" s="1" t="s">
        <v>20790</v>
      </c>
      <c r="G5892" s="1" t="s">
        <v>14298</v>
      </c>
      <c r="H5892" s="1" t="s">
        <v>3604</v>
      </c>
      <c r="I5892" s="1" t="s">
        <v>20791</v>
      </c>
      <c r="J5892" s="1" t="s">
        <v>3606</v>
      </c>
      <c r="K5892" s="1" t="s">
        <v>8975</v>
      </c>
      <c r="L5892" s="1"/>
      <c r="M5892" s="1"/>
    </row>
    <row x14ac:dyDescent="0.25" r="5893" customHeight="1" ht="18.75">
      <c r="A5893" s="1" t="s">
        <v>7833</v>
      </c>
      <c r="B5893" s="1" t="s">
        <v>9824</v>
      </c>
      <c r="C5893" s="1" t="s">
        <v>4488</v>
      </c>
      <c r="D5893" s="1" t="s">
        <v>3601</v>
      </c>
      <c r="E5893" s="1" t="s">
        <v>8096</v>
      </c>
      <c r="F5893" s="1" t="s">
        <v>20792</v>
      </c>
      <c r="G5893" s="1" t="s">
        <v>14220</v>
      </c>
      <c r="H5893" s="1" t="s">
        <v>3604</v>
      </c>
      <c r="I5893" s="1" t="s">
        <v>20793</v>
      </c>
      <c r="J5893" s="1" t="s">
        <v>3606</v>
      </c>
      <c r="K5893" s="1" t="s">
        <v>20794</v>
      </c>
      <c r="L5893" s="1"/>
      <c r="M5893" s="1"/>
    </row>
    <row x14ac:dyDescent="0.25" r="5894" customHeight="1" ht="18.75">
      <c r="A5894" s="1" t="s">
        <v>7833</v>
      </c>
      <c r="B5894" s="1" t="s">
        <v>9824</v>
      </c>
      <c r="C5894" s="1" t="s">
        <v>4488</v>
      </c>
      <c r="D5894" s="1" t="s">
        <v>3601</v>
      </c>
      <c r="E5894" s="1" t="s">
        <v>8096</v>
      </c>
      <c r="F5894" s="1" t="s">
        <v>20795</v>
      </c>
      <c r="G5894" s="1" t="s">
        <v>14220</v>
      </c>
      <c r="H5894" s="1" t="s">
        <v>3604</v>
      </c>
      <c r="I5894" s="1" t="s">
        <v>20796</v>
      </c>
      <c r="J5894" s="1" t="s">
        <v>3606</v>
      </c>
      <c r="K5894" s="1" t="s">
        <v>20797</v>
      </c>
      <c r="L5894" s="1"/>
      <c r="M5894" s="1"/>
    </row>
    <row x14ac:dyDescent="0.25" r="5895" customHeight="1" ht="18.75">
      <c r="A5895" s="1" t="s">
        <v>7833</v>
      </c>
      <c r="B5895" s="1" t="s">
        <v>14264</v>
      </c>
      <c r="C5895" s="1" t="s">
        <v>4488</v>
      </c>
      <c r="D5895" s="1" t="s">
        <v>3695</v>
      </c>
      <c r="E5895" s="1" t="s">
        <v>3664</v>
      </c>
      <c r="F5895" s="1" t="s">
        <v>1400</v>
      </c>
      <c r="G5895" s="1" t="s">
        <v>20798</v>
      </c>
      <c r="H5895" s="1" t="s">
        <v>3604</v>
      </c>
      <c r="I5895" s="1" t="s">
        <v>20799</v>
      </c>
      <c r="J5895" s="1" t="s">
        <v>3606</v>
      </c>
      <c r="K5895" s="1" t="s">
        <v>7838</v>
      </c>
      <c r="L5895" s="1"/>
      <c r="M5895" s="1"/>
    </row>
    <row x14ac:dyDescent="0.25" r="5896" customHeight="1" ht="18.75">
      <c r="A5896" s="1" t="s">
        <v>7833</v>
      </c>
      <c r="B5896" s="1" t="s">
        <v>9824</v>
      </c>
      <c r="C5896" s="1" t="s">
        <v>4488</v>
      </c>
      <c r="D5896" s="1" t="s">
        <v>3601</v>
      </c>
      <c r="E5896" s="1" t="s">
        <v>8096</v>
      </c>
      <c r="F5896" s="1" t="s">
        <v>20800</v>
      </c>
      <c r="G5896" s="1" t="s">
        <v>14236</v>
      </c>
      <c r="H5896" s="1" t="s">
        <v>3604</v>
      </c>
      <c r="I5896" s="1" t="s">
        <v>20801</v>
      </c>
      <c r="J5896" s="1" t="s">
        <v>3606</v>
      </c>
      <c r="K5896" s="1" t="s">
        <v>20802</v>
      </c>
      <c r="L5896" s="1"/>
      <c r="M5896" s="1"/>
    </row>
    <row x14ac:dyDescent="0.25" r="5897" customHeight="1" ht="18.75">
      <c r="A5897" s="1" t="s">
        <v>7833</v>
      </c>
      <c r="B5897" s="1" t="s">
        <v>9824</v>
      </c>
      <c r="C5897" s="1" t="s">
        <v>4488</v>
      </c>
      <c r="D5897" s="1" t="s">
        <v>3601</v>
      </c>
      <c r="E5897" s="1" t="s">
        <v>8096</v>
      </c>
      <c r="F5897" s="1" t="s">
        <v>20803</v>
      </c>
      <c r="G5897" s="1" t="s">
        <v>14236</v>
      </c>
      <c r="H5897" s="1" t="s">
        <v>3604</v>
      </c>
      <c r="I5897" s="1" t="s">
        <v>20804</v>
      </c>
      <c r="J5897" s="1" t="s">
        <v>3606</v>
      </c>
      <c r="K5897" s="1" t="s">
        <v>20805</v>
      </c>
      <c r="L5897" s="1"/>
      <c r="M5897" s="1"/>
    </row>
    <row x14ac:dyDescent="0.25" r="5898" customHeight="1" ht="18.75">
      <c r="A5898" s="1" t="s">
        <v>7833</v>
      </c>
      <c r="B5898" s="1" t="s">
        <v>14264</v>
      </c>
      <c r="C5898" s="1" t="s">
        <v>4488</v>
      </c>
      <c r="D5898" s="1" t="s">
        <v>3695</v>
      </c>
      <c r="E5898" s="1" t="s">
        <v>3664</v>
      </c>
      <c r="F5898" s="1" t="s">
        <v>1401</v>
      </c>
      <c r="G5898" s="1" t="s">
        <v>20806</v>
      </c>
      <c r="H5898" s="1" t="s">
        <v>3604</v>
      </c>
      <c r="I5898" s="1" t="s">
        <v>20807</v>
      </c>
      <c r="J5898" s="1" t="s">
        <v>3606</v>
      </c>
      <c r="K5898" s="1" t="s">
        <v>15232</v>
      </c>
      <c r="L5898" s="1"/>
      <c r="M5898" s="1"/>
    </row>
    <row x14ac:dyDescent="0.25" r="5899" customHeight="1" ht="18.75">
      <c r="A5899" s="1" t="s">
        <v>7833</v>
      </c>
      <c r="B5899" s="1" t="s">
        <v>14264</v>
      </c>
      <c r="C5899" s="1" t="s">
        <v>4488</v>
      </c>
      <c r="D5899" s="1" t="s">
        <v>3695</v>
      </c>
      <c r="E5899" s="1" t="s">
        <v>3664</v>
      </c>
      <c r="F5899" s="1" t="s">
        <v>1402</v>
      </c>
      <c r="G5899" s="1" t="s">
        <v>20808</v>
      </c>
      <c r="H5899" s="1" t="s">
        <v>3604</v>
      </c>
      <c r="I5899" s="1" t="s">
        <v>20809</v>
      </c>
      <c r="J5899" s="1" t="s">
        <v>3606</v>
      </c>
      <c r="K5899" s="1" t="s">
        <v>14511</v>
      </c>
      <c r="L5899" s="1"/>
      <c r="M5899" s="1"/>
    </row>
    <row x14ac:dyDescent="0.25" r="5900" customHeight="1" ht="18.75">
      <c r="A5900" s="1" t="s">
        <v>7833</v>
      </c>
      <c r="B5900" s="1" t="s">
        <v>9824</v>
      </c>
      <c r="C5900" s="1" t="s">
        <v>4488</v>
      </c>
      <c r="D5900" s="1" t="s">
        <v>3601</v>
      </c>
      <c r="E5900" s="1" t="s">
        <v>8096</v>
      </c>
      <c r="F5900" s="1" t="s">
        <v>20810</v>
      </c>
      <c r="G5900" s="1" t="s">
        <v>14191</v>
      </c>
      <c r="H5900" s="1" t="s">
        <v>3604</v>
      </c>
      <c r="I5900" s="1" t="s">
        <v>20811</v>
      </c>
      <c r="J5900" s="1" t="s">
        <v>3606</v>
      </c>
      <c r="K5900" s="1" t="s">
        <v>20812</v>
      </c>
      <c r="L5900" s="1"/>
      <c r="M5900" s="1"/>
    </row>
    <row x14ac:dyDescent="0.25" r="5901" customHeight="1" ht="18.75">
      <c r="A5901" s="1" t="s">
        <v>7833</v>
      </c>
      <c r="B5901" s="1" t="s">
        <v>9824</v>
      </c>
      <c r="C5901" s="1" t="s">
        <v>4488</v>
      </c>
      <c r="D5901" s="1" t="s">
        <v>3601</v>
      </c>
      <c r="E5901" s="1" t="s">
        <v>8096</v>
      </c>
      <c r="F5901" s="1" t="s">
        <v>20813</v>
      </c>
      <c r="G5901" s="1" t="s">
        <v>14305</v>
      </c>
      <c r="H5901" s="1" t="s">
        <v>3604</v>
      </c>
      <c r="I5901" s="1" t="s">
        <v>20814</v>
      </c>
      <c r="J5901" s="1" t="s">
        <v>3606</v>
      </c>
      <c r="K5901" s="1" t="s">
        <v>8746</v>
      </c>
      <c r="L5901" s="1"/>
      <c r="M5901" s="1"/>
    </row>
    <row x14ac:dyDescent="0.25" r="5902" customHeight="1" ht="18.75">
      <c r="A5902" s="1" t="s">
        <v>7833</v>
      </c>
      <c r="B5902" s="1" t="s">
        <v>9824</v>
      </c>
      <c r="C5902" s="1" t="s">
        <v>4488</v>
      </c>
      <c r="D5902" s="1" t="s">
        <v>3601</v>
      </c>
      <c r="E5902" s="1" t="s">
        <v>8096</v>
      </c>
      <c r="F5902" s="1" t="s">
        <v>20815</v>
      </c>
      <c r="G5902" s="1" t="s">
        <v>14305</v>
      </c>
      <c r="H5902" s="1" t="s">
        <v>3604</v>
      </c>
      <c r="I5902" s="1" t="s">
        <v>20816</v>
      </c>
      <c r="J5902" s="1" t="s">
        <v>3606</v>
      </c>
      <c r="K5902" s="1" t="s">
        <v>8755</v>
      </c>
      <c r="L5902" s="1"/>
      <c r="M5902" s="1"/>
    </row>
    <row x14ac:dyDescent="0.25" r="5903" customHeight="1" ht="18.75">
      <c r="A5903" s="1" t="s">
        <v>7833</v>
      </c>
      <c r="B5903" s="1" t="s">
        <v>9824</v>
      </c>
      <c r="C5903" s="1" t="s">
        <v>4488</v>
      </c>
      <c r="D5903" s="1" t="s">
        <v>3601</v>
      </c>
      <c r="E5903" s="1" t="s">
        <v>8096</v>
      </c>
      <c r="F5903" s="1" t="s">
        <v>20817</v>
      </c>
      <c r="G5903" s="1" t="s">
        <v>14305</v>
      </c>
      <c r="H5903" s="1" t="s">
        <v>3604</v>
      </c>
      <c r="I5903" s="1" t="s">
        <v>20818</v>
      </c>
      <c r="J5903" s="1" t="s">
        <v>3606</v>
      </c>
      <c r="K5903" s="1" t="s">
        <v>8966</v>
      </c>
      <c r="L5903" s="1"/>
      <c r="M5903" s="1"/>
    </row>
    <row x14ac:dyDescent="0.25" r="5904" customHeight="1" ht="18.75">
      <c r="A5904" s="1" t="s">
        <v>7833</v>
      </c>
      <c r="B5904" s="1" t="s">
        <v>9824</v>
      </c>
      <c r="C5904" s="1" t="s">
        <v>4488</v>
      </c>
      <c r="D5904" s="1" t="s">
        <v>3601</v>
      </c>
      <c r="E5904" s="1" t="s">
        <v>8096</v>
      </c>
      <c r="F5904" s="1" t="s">
        <v>20819</v>
      </c>
      <c r="G5904" s="1" t="s">
        <v>14305</v>
      </c>
      <c r="H5904" s="1" t="s">
        <v>3604</v>
      </c>
      <c r="I5904" s="1" t="s">
        <v>20820</v>
      </c>
      <c r="J5904" s="1" t="s">
        <v>3606</v>
      </c>
      <c r="K5904" s="1" t="s">
        <v>9003</v>
      </c>
      <c r="L5904" s="1"/>
      <c r="M5904" s="1"/>
    </row>
    <row x14ac:dyDescent="0.25" r="5905" customHeight="1" ht="18.75">
      <c r="A5905" s="1" t="s">
        <v>7833</v>
      </c>
      <c r="B5905" s="1" t="s">
        <v>9824</v>
      </c>
      <c r="C5905" s="1" t="s">
        <v>4488</v>
      </c>
      <c r="D5905" s="1" t="s">
        <v>3601</v>
      </c>
      <c r="E5905" s="1" t="s">
        <v>8096</v>
      </c>
      <c r="F5905" s="1" t="s">
        <v>20821</v>
      </c>
      <c r="G5905" s="1" t="s">
        <v>14305</v>
      </c>
      <c r="H5905" s="1" t="s">
        <v>3604</v>
      </c>
      <c r="I5905" s="1" t="s">
        <v>20822</v>
      </c>
      <c r="J5905" s="1" t="s">
        <v>3606</v>
      </c>
      <c r="K5905" s="1" t="s">
        <v>20823</v>
      </c>
      <c r="L5905" s="1"/>
      <c r="M5905" s="1"/>
    </row>
    <row x14ac:dyDescent="0.25" r="5906" customHeight="1" ht="18.75">
      <c r="A5906" s="1" t="s">
        <v>7833</v>
      </c>
      <c r="B5906" s="1" t="s">
        <v>9824</v>
      </c>
      <c r="C5906" s="1" t="s">
        <v>4488</v>
      </c>
      <c r="D5906" s="1" t="s">
        <v>3601</v>
      </c>
      <c r="E5906" s="1" t="s">
        <v>8096</v>
      </c>
      <c r="F5906" s="1" t="s">
        <v>20824</v>
      </c>
      <c r="G5906" s="1" t="s">
        <v>14305</v>
      </c>
      <c r="H5906" s="1" t="s">
        <v>3604</v>
      </c>
      <c r="I5906" s="1" t="s">
        <v>20825</v>
      </c>
      <c r="J5906" s="1" t="s">
        <v>3606</v>
      </c>
      <c r="K5906" s="1" t="s">
        <v>9075</v>
      </c>
      <c r="L5906" s="1"/>
      <c r="M5906" s="1"/>
    </row>
    <row x14ac:dyDescent="0.25" r="5907" customHeight="1" ht="18.75">
      <c r="A5907" s="1" t="s">
        <v>7833</v>
      </c>
      <c r="B5907" s="1" t="s">
        <v>9824</v>
      </c>
      <c r="C5907" s="1" t="s">
        <v>4488</v>
      </c>
      <c r="D5907" s="1" t="s">
        <v>3601</v>
      </c>
      <c r="E5907" s="1" t="s">
        <v>8096</v>
      </c>
      <c r="F5907" s="1" t="s">
        <v>20826</v>
      </c>
      <c r="G5907" s="1" t="s">
        <v>14305</v>
      </c>
      <c r="H5907" s="1" t="s">
        <v>3604</v>
      </c>
      <c r="I5907" s="1" t="s">
        <v>20827</v>
      </c>
      <c r="J5907" s="1" t="s">
        <v>3606</v>
      </c>
      <c r="K5907" s="1" t="s">
        <v>20828</v>
      </c>
      <c r="L5907" s="1"/>
      <c r="M5907" s="1"/>
    </row>
    <row x14ac:dyDescent="0.25" r="5908" customHeight="1" ht="18.75">
      <c r="A5908" s="1" t="s">
        <v>7833</v>
      </c>
      <c r="B5908" s="1" t="s">
        <v>9824</v>
      </c>
      <c r="C5908" s="1" t="s">
        <v>4488</v>
      </c>
      <c r="D5908" s="1" t="s">
        <v>3601</v>
      </c>
      <c r="E5908" s="1" t="s">
        <v>8096</v>
      </c>
      <c r="F5908" s="1" t="s">
        <v>20829</v>
      </c>
      <c r="G5908" s="1" t="s">
        <v>14305</v>
      </c>
      <c r="H5908" s="1" t="s">
        <v>3604</v>
      </c>
      <c r="I5908" s="1" t="s">
        <v>20830</v>
      </c>
      <c r="J5908" s="1" t="s">
        <v>3606</v>
      </c>
      <c r="K5908" s="1" t="s">
        <v>20831</v>
      </c>
      <c r="L5908" s="1"/>
      <c r="M5908" s="1"/>
    </row>
    <row x14ac:dyDescent="0.25" r="5909" customHeight="1" ht="18.75">
      <c r="A5909" s="1" t="s">
        <v>7833</v>
      </c>
      <c r="B5909" s="1" t="s">
        <v>9824</v>
      </c>
      <c r="C5909" s="1" t="s">
        <v>4488</v>
      </c>
      <c r="D5909" s="1" t="s">
        <v>3601</v>
      </c>
      <c r="E5909" s="1" t="s">
        <v>3664</v>
      </c>
      <c r="F5909" s="1" t="s">
        <v>20832</v>
      </c>
      <c r="G5909" s="1" t="s">
        <v>14493</v>
      </c>
      <c r="H5909" s="1" t="s">
        <v>3604</v>
      </c>
      <c r="I5909" s="1" t="s">
        <v>20833</v>
      </c>
      <c r="J5909" s="1" t="s">
        <v>3606</v>
      </c>
      <c r="K5909" s="1" t="s">
        <v>20834</v>
      </c>
      <c r="L5909" s="1"/>
      <c r="M5909" s="1"/>
    </row>
    <row x14ac:dyDescent="0.25" r="5910" customHeight="1" ht="18.75">
      <c r="A5910" s="1" t="s">
        <v>7833</v>
      </c>
      <c r="B5910" s="1" t="s">
        <v>9824</v>
      </c>
      <c r="C5910" s="1" t="s">
        <v>4488</v>
      </c>
      <c r="D5910" s="1" t="s">
        <v>3601</v>
      </c>
      <c r="E5910" s="1" t="s">
        <v>8096</v>
      </c>
      <c r="F5910" s="1" t="s">
        <v>20835</v>
      </c>
      <c r="G5910" s="1" t="s">
        <v>14380</v>
      </c>
      <c r="H5910" s="1" t="s">
        <v>3604</v>
      </c>
      <c r="I5910" s="1" t="s">
        <v>20836</v>
      </c>
      <c r="J5910" s="1" t="s">
        <v>3606</v>
      </c>
      <c r="K5910" s="1" t="s">
        <v>20837</v>
      </c>
      <c r="L5910" s="1"/>
      <c r="M5910" s="1"/>
    </row>
    <row x14ac:dyDescent="0.25" r="5911" customHeight="1" ht="18.75">
      <c r="A5911" s="1" t="s">
        <v>7833</v>
      </c>
      <c r="B5911" s="1" t="s">
        <v>14256</v>
      </c>
      <c r="C5911" s="1" t="s">
        <v>4488</v>
      </c>
      <c r="D5911" s="1" t="s">
        <v>3610</v>
      </c>
      <c r="E5911" s="1" t="s">
        <v>3981</v>
      </c>
      <c r="F5911" s="1" t="s">
        <v>20838</v>
      </c>
      <c r="G5911" s="1" t="s">
        <v>14828</v>
      </c>
      <c r="H5911" s="1" t="s">
        <v>3604</v>
      </c>
      <c r="I5911" s="1" t="s">
        <v>20839</v>
      </c>
      <c r="J5911" s="1" t="s">
        <v>3606</v>
      </c>
      <c r="K5911" s="1" t="s">
        <v>14961</v>
      </c>
      <c r="L5911" s="1"/>
      <c r="M5911" s="1"/>
    </row>
    <row x14ac:dyDescent="0.25" r="5912" customHeight="1" ht="18.75">
      <c r="A5912" s="1" t="s">
        <v>3598</v>
      </c>
      <c r="B5912" s="1" t="s">
        <v>4689</v>
      </c>
      <c r="C5912" s="1" t="s">
        <v>3600</v>
      </c>
      <c r="D5912" s="1" t="s">
        <v>3610</v>
      </c>
      <c r="E5912" s="1" t="s">
        <v>3664</v>
      </c>
      <c r="F5912" s="1" t="s">
        <v>20840</v>
      </c>
      <c r="G5912" s="1" t="s">
        <v>20841</v>
      </c>
      <c r="H5912" s="1" t="s">
        <v>3604</v>
      </c>
      <c r="I5912" s="1" t="s">
        <v>20842</v>
      </c>
      <c r="J5912" s="1" t="s">
        <v>3606</v>
      </c>
      <c r="K5912" s="1" t="s">
        <v>20843</v>
      </c>
      <c r="L5912" s="1"/>
      <c r="M5912" s="1"/>
    </row>
    <row x14ac:dyDescent="0.25" r="5913" customHeight="1" ht="18.75">
      <c r="A5913" s="1" t="s">
        <v>3598</v>
      </c>
      <c r="B5913" s="1" t="s">
        <v>4689</v>
      </c>
      <c r="C5913" s="1" t="s">
        <v>3600</v>
      </c>
      <c r="D5913" s="1" t="s">
        <v>3610</v>
      </c>
      <c r="E5913" s="1" t="s">
        <v>3664</v>
      </c>
      <c r="F5913" s="1" t="s">
        <v>20844</v>
      </c>
      <c r="G5913" s="1" t="s">
        <v>20841</v>
      </c>
      <c r="H5913" s="1" t="s">
        <v>3604</v>
      </c>
      <c r="I5913" s="1" t="s">
        <v>20845</v>
      </c>
      <c r="J5913" s="1" t="s">
        <v>3606</v>
      </c>
      <c r="K5913" s="1" t="s">
        <v>20846</v>
      </c>
      <c r="L5913" s="1"/>
      <c r="M5913" s="1"/>
    </row>
    <row x14ac:dyDescent="0.25" r="5914" customHeight="1" ht="18.75">
      <c r="A5914" s="1" t="s">
        <v>3598</v>
      </c>
      <c r="B5914" s="1" t="s">
        <v>4689</v>
      </c>
      <c r="C5914" s="1" t="s">
        <v>3600</v>
      </c>
      <c r="D5914" s="1" t="s">
        <v>3610</v>
      </c>
      <c r="E5914" s="1" t="s">
        <v>3664</v>
      </c>
      <c r="F5914" s="1" t="s">
        <v>20847</v>
      </c>
      <c r="G5914" s="1" t="s">
        <v>20841</v>
      </c>
      <c r="H5914" s="1" t="s">
        <v>3604</v>
      </c>
      <c r="I5914" s="1" t="s">
        <v>20848</v>
      </c>
      <c r="J5914" s="1" t="s">
        <v>3606</v>
      </c>
      <c r="K5914" s="1" t="s">
        <v>20849</v>
      </c>
      <c r="L5914" s="1"/>
      <c r="M5914" s="1"/>
    </row>
    <row x14ac:dyDescent="0.25" r="5915" customHeight="1" ht="18.75">
      <c r="A5915" s="1" t="s">
        <v>3598</v>
      </c>
      <c r="B5915" s="1" t="s">
        <v>4689</v>
      </c>
      <c r="C5915" s="1" t="s">
        <v>3600</v>
      </c>
      <c r="D5915" s="1" t="s">
        <v>3610</v>
      </c>
      <c r="E5915" s="1" t="s">
        <v>3664</v>
      </c>
      <c r="F5915" s="1" t="s">
        <v>20850</v>
      </c>
      <c r="G5915" s="1" t="s">
        <v>20841</v>
      </c>
      <c r="H5915" s="1" t="s">
        <v>3604</v>
      </c>
      <c r="I5915" s="1" t="s">
        <v>20851</v>
      </c>
      <c r="J5915" s="1" t="s">
        <v>3606</v>
      </c>
      <c r="K5915" s="1" t="s">
        <v>20852</v>
      </c>
      <c r="L5915" s="1"/>
      <c r="M5915" s="1"/>
    </row>
    <row x14ac:dyDescent="0.25" r="5916" customHeight="1" ht="18.75">
      <c r="A5916" s="1" t="s">
        <v>3598</v>
      </c>
      <c r="B5916" s="1" t="s">
        <v>4689</v>
      </c>
      <c r="C5916" s="1" t="s">
        <v>3600</v>
      </c>
      <c r="D5916" s="1" t="s">
        <v>3610</v>
      </c>
      <c r="E5916" s="1" t="s">
        <v>3664</v>
      </c>
      <c r="F5916" s="1" t="s">
        <v>20853</v>
      </c>
      <c r="G5916" s="1" t="s">
        <v>20841</v>
      </c>
      <c r="H5916" s="1" t="s">
        <v>3604</v>
      </c>
      <c r="I5916" s="1" t="s">
        <v>20854</v>
      </c>
      <c r="J5916" s="1" t="s">
        <v>3606</v>
      </c>
      <c r="K5916" s="1" t="s">
        <v>20855</v>
      </c>
      <c r="L5916" s="1"/>
      <c r="M5916" s="1"/>
    </row>
    <row x14ac:dyDescent="0.25" r="5917" customHeight="1" ht="18.75">
      <c r="A5917" s="1" t="s">
        <v>3598</v>
      </c>
      <c r="B5917" s="1" t="s">
        <v>4689</v>
      </c>
      <c r="C5917" s="1" t="s">
        <v>3600</v>
      </c>
      <c r="D5917" s="1" t="s">
        <v>3610</v>
      </c>
      <c r="E5917" s="1" t="s">
        <v>3664</v>
      </c>
      <c r="F5917" s="1" t="s">
        <v>20856</v>
      </c>
      <c r="G5917" s="1" t="s">
        <v>7853</v>
      </c>
      <c r="H5917" s="1" t="s">
        <v>3604</v>
      </c>
      <c r="I5917" s="1" t="s">
        <v>20857</v>
      </c>
      <c r="J5917" s="1" t="s">
        <v>3606</v>
      </c>
      <c r="K5917" s="1" t="s">
        <v>20858</v>
      </c>
      <c r="L5917" s="1"/>
      <c r="M5917" s="1"/>
    </row>
    <row x14ac:dyDescent="0.25" r="5918" customHeight="1" ht="18.75">
      <c r="A5918" s="1" t="s">
        <v>3598</v>
      </c>
      <c r="B5918" s="1" t="s">
        <v>4689</v>
      </c>
      <c r="C5918" s="1" t="s">
        <v>3600</v>
      </c>
      <c r="D5918" s="1" t="s">
        <v>3610</v>
      </c>
      <c r="E5918" s="1" t="s">
        <v>3664</v>
      </c>
      <c r="F5918" s="1" t="s">
        <v>20859</v>
      </c>
      <c r="G5918" s="1" t="s">
        <v>7853</v>
      </c>
      <c r="H5918" s="1" t="s">
        <v>3604</v>
      </c>
      <c r="I5918" s="1" t="s">
        <v>20860</v>
      </c>
      <c r="J5918" s="1" t="s">
        <v>3606</v>
      </c>
      <c r="K5918" s="1" t="s">
        <v>20861</v>
      </c>
      <c r="L5918" s="1"/>
      <c r="M5918" s="1"/>
    </row>
    <row x14ac:dyDescent="0.25" r="5919" customHeight="1" ht="18.75">
      <c r="A5919" s="1" t="s">
        <v>3598</v>
      </c>
      <c r="B5919" s="1" t="s">
        <v>4689</v>
      </c>
      <c r="C5919" s="1" t="s">
        <v>3600</v>
      </c>
      <c r="D5919" s="1" t="s">
        <v>3610</v>
      </c>
      <c r="E5919" s="1" t="s">
        <v>3664</v>
      </c>
      <c r="F5919" s="1" t="s">
        <v>20862</v>
      </c>
      <c r="G5919" s="1" t="s">
        <v>16131</v>
      </c>
      <c r="H5919" s="1" t="s">
        <v>3604</v>
      </c>
      <c r="I5919" s="1" t="s">
        <v>20863</v>
      </c>
      <c r="J5919" s="1" t="s">
        <v>3606</v>
      </c>
      <c r="K5919" s="1" t="s">
        <v>20864</v>
      </c>
      <c r="L5919" s="1"/>
      <c r="M5919" s="1"/>
    </row>
    <row x14ac:dyDescent="0.25" r="5920" customHeight="1" ht="18.75">
      <c r="A5920" s="1" t="s">
        <v>3598</v>
      </c>
      <c r="B5920" s="1" t="s">
        <v>4689</v>
      </c>
      <c r="C5920" s="1" t="s">
        <v>3600</v>
      </c>
      <c r="D5920" s="1" t="s">
        <v>3610</v>
      </c>
      <c r="E5920" s="1" t="s">
        <v>3664</v>
      </c>
      <c r="F5920" s="1" t="s">
        <v>20865</v>
      </c>
      <c r="G5920" s="1" t="s">
        <v>16131</v>
      </c>
      <c r="H5920" s="1" t="s">
        <v>3604</v>
      </c>
      <c r="I5920" s="1" t="s">
        <v>20866</v>
      </c>
      <c r="J5920" s="1" t="s">
        <v>3606</v>
      </c>
      <c r="K5920" s="1" t="s">
        <v>20867</v>
      </c>
      <c r="L5920" s="1"/>
      <c r="M5920" s="1"/>
    </row>
    <row x14ac:dyDescent="0.25" r="5921" customHeight="1" ht="18.75">
      <c r="A5921" s="1" t="s">
        <v>3598</v>
      </c>
      <c r="B5921" s="1" t="s">
        <v>4689</v>
      </c>
      <c r="C5921" s="1" t="s">
        <v>3600</v>
      </c>
      <c r="D5921" s="1" t="s">
        <v>3610</v>
      </c>
      <c r="E5921" s="1" t="s">
        <v>3664</v>
      </c>
      <c r="F5921" s="1" t="s">
        <v>20868</v>
      </c>
      <c r="G5921" s="1" t="s">
        <v>16131</v>
      </c>
      <c r="H5921" s="1" t="s">
        <v>3604</v>
      </c>
      <c r="I5921" s="1" t="s">
        <v>20869</v>
      </c>
      <c r="J5921" s="1" t="s">
        <v>3606</v>
      </c>
      <c r="K5921" s="1" t="s">
        <v>20870</v>
      </c>
      <c r="L5921" s="1"/>
      <c r="M5921" s="1"/>
    </row>
    <row x14ac:dyDescent="0.25" r="5922" customHeight="1" ht="18.75">
      <c r="A5922" s="1" t="s">
        <v>3598</v>
      </c>
      <c r="B5922" s="1" t="s">
        <v>4689</v>
      </c>
      <c r="C5922" s="1" t="s">
        <v>3600</v>
      </c>
      <c r="D5922" s="1" t="s">
        <v>3610</v>
      </c>
      <c r="E5922" s="1" t="s">
        <v>3664</v>
      </c>
      <c r="F5922" s="1" t="s">
        <v>20871</v>
      </c>
      <c r="G5922" s="1" t="s">
        <v>16131</v>
      </c>
      <c r="H5922" s="1" t="s">
        <v>3604</v>
      </c>
      <c r="I5922" s="1" t="s">
        <v>20872</v>
      </c>
      <c r="J5922" s="1" t="s">
        <v>3606</v>
      </c>
      <c r="K5922" s="1" t="s">
        <v>20873</v>
      </c>
      <c r="L5922" s="1"/>
      <c r="M5922" s="1"/>
    </row>
    <row x14ac:dyDescent="0.25" r="5923" customHeight="1" ht="18.75">
      <c r="A5923" s="1" t="s">
        <v>3598</v>
      </c>
      <c r="B5923" s="1" t="s">
        <v>4689</v>
      </c>
      <c r="C5923" s="1" t="s">
        <v>3600</v>
      </c>
      <c r="D5923" s="1" t="s">
        <v>3610</v>
      </c>
      <c r="E5923" s="1" t="s">
        <v>3664</v>
      </c>
      <c r="F5923" s="1" t="s">
        <v>20874</v>
      </c>
      <c r="G5923" s="1" t="s">
        <v>16131</v>
      </c>
      <c r="H5923" s="1" t="s">
        <v>3604</v>
      </c>
      <c r="I5923" s="1" t="s">
        <v>20875</v>
      </c>
      <c r="J5923" s="1" t="s">
        <v>3606</v>
      </c>
      <c r="K5923" s="1" t="s">
        <v>20876</v>
      </c>
      <c r="L5923" s="1"/>
      <c r="M5923" s="1"/>
    </row>
    <row x14ac:dyDescent="0.25" r="5924" customHeight="1" ht="18.75">
      <c r="A5924" s="1" t="s">
        <v>3598</v>
      </c>
      <c r="B5924" s="1" t="s">
        <v>4689</v>
      </c>
      <c r="C5924" s="1" t="s">
        <v>3600</v>
      </c>
      <c r="D5924" s="1" t="s">
        <v>3610</v>
      </c>
      <c r="E5924" s="1" t="s">
        <v>3664</v>
      </c>
      <c r="F5924" s="1" t="s">
        <v>20877</v>
      </c>
      <c r="G5924" s="1" t="s">
        <v>20878</v>
      </c>
      <c r="H5924" s="1" t="s">
        <v>3604</v>
      </c>
      <c r="I5924" s="1" t="s">
        <v>20879</v>
      </c>
      <c r="J5924" s="1" t="s">
        <v>3606</v>
      </c>
      <c r="K5924" s="1" t="s">
        <v>20880</v>
      </c>
      <c r="L5924" s="1"/>
      <c r="M5924" s="1"/>
    </row>
    <row x14ac:dyDescent="0.25" r="5925" customHeight="1" ht="18.75">
      <c r="A5925" s="1" t="s">
        <v>3598</v>
      </c>
      <c r="B5925" s="1" t="s">
        <v>4689</v>
      </c>
      <c r="C5925" s="1" t="s">
        <v>3600</v>
      </c>
      <c r="D5925" s="1" t="s">
        <v>3610</v>
      </c>
      <c r="E5925" s="1" t="s">
        <v>3664</v>
      </c>
      <c r="F5925" s="1" t="s">
        <v>20881</v>
      </c>
      <c r="G5925" s="1" t="s">
        <v>20878</v>
      </c>
      <c r="H5925" s="1" t="s">
        <v>3604</v>
      </c>
      <c r="I5925" s="1" t="s">
        <v>20882</v>
      </c>
      <c r="J5925" s="1" t="s">
        <v>3606</v>
      </c>
      <c r="K5925" s="1" t="s">
        <v>20883</v>
      </c>
      <c r="L5925" s="1"/>
      <c r="M5925" s="1"/>
    </row>
    <row x14ac:dyDescent="0.25" r="5926" customHeight="1" ht="18.75">
      <c r="A5926" s="1" t="s">
        <v>3598</v>
      </c>
      <c r="B5926" s="1" t="s">
        <v>4689</v>
      </c>
      <c r="C5926" s="1" t="s">
        <v>3600</v>
      </c>
      <c r="D5926" s="1" t="s">
        <v>3610</v>
      </c>
      <c r="E5926" s="1" t="s">
        <v>3664</v>
      </c>
      <c r="F5926" s="1" t="s">
        <v>20884</v>
      </c>
      <c r="G5926" s="1" t="s">
        <v>20878</v>
      </c>
      <c r="H5926" s="1" t="s">
        <v>3604</v>
      </c>
      <c r="I5926" s="1" t="s">
        <v>20885</v>
      </c>
      <c r="J5926" s="1" t="s">
        <v>3606</v>
      </c>
      <c r="K5926" s="1" t="s">
        <v>20886</v>
      </c>
      <c r="L5926" s="1"/>
      <c r="M5926" s="1"/>
    </row>
    <row x14ac:dyDescent="0.25" r="5927" customHeight="1" ht="18.75">
      <c r="A5927" s="1" t="s">
        <v>3598</v>
      </c>
      <c r="B5927" s="1" t="s">
        <v>4689</v>
      </c>
      <c r="C5927" s="1" t="s">
        <v>3600</v>
      </c>
      <c r="D5927" s="1" t="s">
        <v>3610</v>
      </c>
      <c r="E5927" s="1" t="s">
        <v>3664</v>
      </c>
      <c r="F5927" s="1" t="s">
        <v>20887</v>
      </c>
      <c r="G5927" s="1" t="s">
        <v>20878</v>
      </c>
      <c r="H5927" s="1" t="s">
        <v>3604</v>
      </c>
      <c r="I5927" s="1" t="s">
        <v>20888</v>
      </c>
      <c r="J5927" s="1" t="s">
        <v>3606</v>
      </c>
      <c r="K5927" s="1" t="s">
        <v>20889</v>
      </c>
      <c r="L5927" s="1"/>
      <c r="M5927" s="1"/>
    </row>
    <row x14ac:dyDescent="0.25" r="5928" customHeight="1" ht="18.75">
      <c r="A5928" s="1" t="s">
        <v>3598</v>
      </c>
      <c r="B5928" s="1" t="s">
        <v>4689</v>
      </c>
      <c r="C5928" s="1" t="s">
        <v>3600</v>
      </c>
      <c r="D5928" s="1" t="s">
        <v>3610</v>
      </c>
      <c r="E5928" s="1" t="s">
        <v>3664</v>
      </c>
      <c r="F5928" s="1" t="s">
        <v>20890</v>
      </c>
      <c r="G5928" s="1" t="s">
        <v>20878</v>
      </c>
      <c r="H5928" s="1" t="s">
        <v>3604</v>
      </c>
      <c r="I5928" s="1" t="s">
        <v>20891</v>
      </c>
      <c r="J5928" s="1" t="s">
        <v>3606</v>
      </c>
      <c r="K5928" s="1" t="s">
        <v>20892</v>
      </c>
      <c r="L5928" s="1"/>
      <c r="M5928" s="1"/>
    </row>
    <row x14ac:dyDescent="0.25" r="5929" customHeight="1" ht="18.75">
      <c r="A5929" s="1" t="s">
        <v>3598</v>
      </c>
      <c r="B5929" s="1" t="s">
        <v>4689</v>
      </c>
      <c r="C5929" s="1" t="s">
        <v>3600</v>
      </c>
      <c r="D5929" s="1" t="s">
        <v>3610</v>
      </c>
      <c r="E5929" s="1" t="s">
        <v>3664</v>
      </c>
      <c r="F5929" s="1" t="s">
        <v>20893</v>
      </c>
      <c r="G5929" s="1" t="s">
        <v>19954</v>
      </c>
      <c r="H5929" s="1" t="s">
        <v>3604</v>
      </c>
      <c r="I5929" s="1" t="s">
        <v>20894</v>
      </c>
      <c r="J5929" s="1" t="s">
        <v>3606</v>
      </c>
      <c r="K5929" s="1" t="s">
        <v>20895</v>
      </c>
      <c r="L5929" s="1"/>
      <c r="M5929" s="1"/>
    </row>
    <row x14ac:dyDescent="0.25" r="5930" customHeight="1" ht="18.75">
      <c r="A5930" s="1" t="s">
        <v>3598</v>
      </c>
      <c r="B5930" s="1" t="s">
        <v>4689</v>
      </c>
      <c r="C5930" s="1" t="s">
        <v>3600</v>
      </c>
      <c r="D5930" s="1" t="s">
        <v>3610</v>
      </c>
      <c r="E5930" s="1" t="s">
        <v>3664</v>
      </c>
      <c r="F5930" s="1" t="s">
        <v>20896</v>
      </c>
      <c r="G5930" s="1" t="s">
        <v>19954</v>
      </c>
      <c r="H5930" s="1" t="s">
        <v>3604</v>
      </c>
      <c r="I5930" s="1" t="s">
        <v>20897</v>
      </c>
      <c r="J5930" s="1" t="s">
        <v>3606</v>
      </c>
      <c r="K5930" s="1" t="s">
        <v>20898</v>
      </c>
      <c r="L5930" s="1"/>
      <c r="M5930" s="1"/>
    </row>
    <row x14ac:dyDescent="0.25" r="5931" customHeight="1" ht="18.75">
      <c r="A5931" s="1" t="s">
        <v>3598</v>
      </c>
      <c r="B5931" s="1" t="s">
        <v>4689</v>
      </c>
      <c r="C5931" s="1" t="s">
        <v>3600</v>
      </c>
      <c r="D5931" s="1" t="s">
        <v>3610</v>
      </c>
      <c r="E5931" s="1" t="s">
        <v>3664</v>
      </c>
      <c r="F5931" s="1" t="s">
        <v>20899</v>
      </c>
      <c r="G5931" s="1" t="s">
        <v>19954</v>
      </c>
      <c r="H5931" s="1" t="s">
        <v>3604</v>
      </c>
      <c r="I5931" s="1" t="s">
        <v>20900</v>
      </c>
      <c r="J5931" s="1" t="s">
        <v>3606</v>
      </c>
      <c r="K5931" s="1" t="s">
        <v>20901</v>
      </c>
      <c r="L5931" s="1"/>
      <c r="M5931" s="1"/>
    </row>
    <row x14ac:dyDescent="0.25" r="5932" customHeight="1" ht="18.75">
      <c r="A5932" s="1" t="s">
        <v>3598</v>
      </c>
      <c r="B5932" s="1" t="s">
        <v>4689</v>
      </c>
      <c r="C5932" s="1" t="s">
        <v>3600</v>
      </c>
      <c r="D5932" s="1" t="s">
        <v>3610</v>
      </c>
      <c r="E5932" s="1" t="s">
        <v>3664</v>
      </c>
      <c r="F5932" s="1" t="s">
        <v>20902</v>
      </c>
      <c r="G5932" s="1" t="s">
        <v>19954</v>
      </c>
      <c r="H5932" s="1" t="s">
        <v>3604</v>
      </c>
      <c r="I5932" s="1" t="s">
        <v>20903</v>
      </c>
      <c r="J5932" s="1" t="s">
        <v>3606</v>
      </c>
      <c r="K5932" s="1" t="s">
        <v>20904</v>
      </c>
      <c r="L5932" s="1"/>
      <c r="M5932" s="1"/>
    </row>
    <row x14ac:dyDescent="0.25" r="5933" customHeight="1" ht="18.75">
      <c r="A5933" s="1" t="s">
        <v>3598</v>
      </c>
      <c r="B5933" s="1" t="s">
        <v>4689</v>
      </c>
      <c r="C5933" s="1" t="s">
        <v>3600</v>
      </c>
      <c r="D5933" s="1" t="s">
        <v>3610</v>
      </c>
      <c r="E5933" s="1" t="s">
        <v>3664</v>
      </c>
      <c r="F5933" s="1" t="s">
        <v>20905</v>
      </c>
      <c r="G5933" s="1" t="s">
        <v>19954</v>
      </c>
      <c r="H5933" s="1" t="s">
        <v>3604</v>
      </c>
      <c r="I5933" s="1" t="s">
        <v>20906</v>
      </c>
      <c r="J5933" s="1" t="s">
        <v>3606</v>
      </c>
      <c r="K5933" s="1" t="s">
        <v>20907</v>
      </c>
      <c r="L5933" s="1"/>
      <c r="M5933" s="1"/>
    </row>
    <row x14ac:dyDescent="0.25" r="5934" customHeight="1" ht="18.75">
      <c r="A5934" s="1" t="s">
        <v>3598</v>
      </c>
      <c r="B5934" s="1" t="s">
        <v>4689</v>
      </c>
      <c r="C5934" s="1" t="s">
        <v>3600</v>
      </c>
      <c r="D5934" s="1" t="s">
        <v>3610</v>
      </c>
      <c r="E5934" s="1" t="s">
        <v>3664</v>
      </c>
      <c r="F5934" s="1" t="s">
        <v>20908</v>
      </c>
      <c r="G5934" s="1" t="s">
        <v>19954</v>
      </c>
      <c r="H5934" s="1" t="s">
        <v>3604</v>
      </c>
      <c r="I5934" s="1" t="s">
        <v>20909</v>
      </c>
      <c r="J5934" s="1" t="s">
        <v>3606</v>
      </c>
      <c r="K5934" s="1" t="s">
        <v>20910</v>
      </c>
      <c r="L5934" s="1"/>
      <c r="M5934" s="1"/>
    </row>
    <row x14ac:dyDescent="0.25" r="5935" customHeight="1" ht="18.75">
      <c r="A5935" s="1" t="s">
        <v>3598</v>
      </c>
      <c r="B5935" s="1" t="s">
        <v>4689</v>
      </c>
      <c r="C5935" s="1" t="s">
        <v>3600</v>
      </c>
      <c r="D5935" s="1" t="s">
        <v>3610</v>
      </c>
      <c r="E5935" s="1" t="s">
        <v>3664</v>
      </c>
      <c r="F5935" s="1" t="s">
        <v>20911</v>
      </c>
      <c r="G5935" s="1" t="s">
        <v>20501</v>
      </c>
      <c r="H5935" s="1" t="s">
        <v>3604</v>
      </c>
      <c r="I5935" s="1" t="s">
        <v>20912</v>
      </c>
      <c r="J5935" s="1" t="s">
        <v>3606</v>
      </c>
      <c r="K5935" s="1" t="s">
        <v>20913</v>
      </c>
      <c r="L5935" s="1"/>
      <c r="M5935" s="1"/>
    </row>
    <row x14ac:dyDescent="0.25" r="5936" customHeight="1" ht="18.75">
      <c r="A5936" s="1" t="s">
        <v>3598</v>
      </c>
      <c r="B5936" s="1" t="s">
        <v>4689</v>
      </c>
      <c r="C5936" s="1" t="s">
        <v>3600</v>
      </c>
      <c r="D5936" s="1" t="s">
        <v>3610</v>
      </c>
      <c r="E5936" s="1" t="s">
        <v>3664</v>
      </c>
      <c r="F5936" s="1" t="s">
        <v>20914</v>
      </c>
      <c r="G5936" s="1" t="s">
        <v>20501</v>
      </c>
      <c r="H5936" s="1" t="s">
        <v>3604</v>
      </c>
      <c r="I5936" s="1" t="s">
        <v>20915</v>
      </c>
      <c r="J5936" s="1" t="s">
        <v>3606</v>
      </c>
      <c r="K5936" s="1" t="s">
        <v>20916</v>
      </c>
      <c r="L5936" s="1"/>
      <c r="M5936" s="1"/>
    </row>
    <row x14ac:dyDescent="0.25" r="5937" customHeight="1" ht="18.75">
      <c r="A5937" s="1" t="s">
        <v>3598</v>
      </c>
      <c r="B5937" s="1" t="s">
        <v>4689</v>
      </c>
      <c r="C5937" s="1" t="s">
        <v>3600</v>
      </c>
      <c r="D5937" s="1" t="s">
        <v>3610</v>
      </c>
      <c r="E5937" s="1" t="s">
        <v>3664</v>
      </c>
      <c r="F5937" s="1" t="s">
        <v>20917</v>
      </c>
      <c r="G5937" s="1" t="s">
        <v>20501</v>
      </c>
      <c r="H5937" s="1" t="s">
        <v>3604</v>
      </c>
      <c r="I5937" s="1" t="s">
        <v>20918</v>
      </c>
      <c r="J5937" s="1" t="s">
        <v>3606</v>
      </c>
      <c r="K5937" s="1" t="s">
        <v>20919</v>
      </c>
      <c r="L5937" s="1"/>
      <c r="M5937" s="1"/>
    </row>
    <row x14ac:dyDescent="0.25" r="5938" customHeight="1" ht="18.75">
      <c r="A5938" s="1" t="s">
        <v>3598</v>
      </c>
      <c r="B5938" s="1" t="s">
        <v>4689</v>
      </c>
      <c r="C5938" s="1" t="s">
        <v>3600</v>
      </c>
      <c r="D5938" s="1" t="s">
        <v>3610</v>
      </c>
      <c r="E5938" s="1" t="s">
        <v>3664</v>
      </c>
      <c r="F5938" s="1" t="s">
        <v>20920</v>
      </c>
      <c r="G5938" s="1" t="s">
        <v>20501</v>
      </c>
      <c r="H5938" s="1" t="s">
        <v>3604</v>
      </c>
      <c r="I5938" s="1" t="s">
        <v>20921</v>
      </c>
      <c r="J5938" s="1" t="s">
        <v>3606</v>
      </c>
      <c r="K5938" s="1" t="s">
        <v>20922</v>
      </c>
      <c r="L5938" s="1"/>
      <c r="M5938" s="1"/>
    </row>
    <row x14ac:dyDescent="0.25" r="5939" customHeight="1" ht="18.75">
      <c r="A5939" s="1" t="s">
        <v>3598</v>
      </c>
      <c r="B5939" s="1" t="s">
        <v>4689</v>
      </c>
      <c r="C5939" s="1" t="s">
        <v>3600</v>
      </c>
      <c r="D5939" s="1" t="s">
        <v>3610</v>
      </c>
      <c r="E5939" s="1" t="s">
        <v>3664</v>
      </c>
      <c r="F5939" s="1" t="s">
        <v>20923</v>
      </c>
      <c r="G5939" s="1" t="s">
        <v>20501</v>
      </c>
      <c r="H5939" s="1" t="s">
        <v>3604</v>
      </c>
      <c r="I5939" s="1" t="s">
        <v>20924</v>
      </c>
      <c r="J5939" s="1" t="s">
        <v>3606</v>
      </c>
      <c r="K5939" s="1" t="s">
        <v>20925</v>
      </c>
      <c r="L5939" s="1"/>
      <c r="M5939" s="1"/>
    </row>
    <row x14ac:dyDescent="0.25" r="5940" customHeight="1" ht="18.75">
      <c r="A5940" s="1" t="s">
        <v>3598</v>
      </c>
      <c r="B5940" s="1" t="s">
        <v>4689</v>
      </c>
      <c r="C5940" s="1" t="s">
        <v>3600</v>
      </c>
      <c r="D5940" s="1" t="s">
        <v>3610</v>
      </c>
      <c r="E5940" s="1" t="s">
        <v>3664</v>
      </c>
      <c r="F5940" s="1" t="s">
        <v>20926</v>
      </c>
      <c r="G5940" s="1" t="s">
        <v>20501</v>
      </c>
      <c r="H5940" s="1" t="s">
        <v>3604</v>
      </c>
      <c r="I5940" s="1" t="s">
        <v>20927</v>
      </c>
      <c r="J5940" s="1" t="s">
        <v>3606</v>
      </c>
      <c r="K5940" s="1" t="s">
        <v>20928</v>
      </c>
      <c r="L5940" s="1"/>
      <c r="M5940" s="1"/>
    </row>
    <row x14ac:dyDescent="0.25" r="5941" customHeight="1" ht="18.75">
      <c r="A5941" s="1" t="s">
        <v>3598</v>
      </c>
      <c r="B5941" s="1" t="s">
        <v>4689</v>
      </c>
      <c r="C5941" s="1" t="s">
        <v>3600</v>
      </c>
      <c r="D5941" s="1" t="s">
        <v>3610</v>
      </c>
      <c r="E5941" s="1" t="s">
        <v>3664</v>
      </c>
      <c r="F5941" s="1" t="s">
        <v>20929</v>
      </c>
      <c r="G5941" s="1" t="s">
        <v>20511</v>
      </c>
      <c r="H5941" s="1" t="s">
        <v>3604</v>
      </c>
      <c r="I5941" s="1" t="s">
        <v>20930</v>
      </c>
      <c r="J5941" s="1" t="s">
        <v>3606</v>
      </c>
      <c r="K5941" s="1" t="s">
        <v>20931</v>
      </c>
      <c r="L5941" s="1"/>
      <c r="M5941" s="1"/>
    </row>
    <row x14ac:dyDescent="0.25" r="5942" customHeight="1" ht="18.75">
      <c r="A5942" s="1" t="s">
        <v>3598</v>
      </c>
      <c r="B5942" s="1" t="s">
        <v>4689</v>
      </c>
      <c r="C5942" s="1" t="s">
        <v>3600</v>
      </c>
      <c r="D5942" s="1" t="s">
        <v>3610</v>
      </c>
      <c r="E5942" s="1" t="s">
        <v>3664</v>
      </c>
      <c r="F5942" s="1" t="s">
        <v>20932</v>
      </c>
      <c r="G5942" s="1" t="s">
        <v>20511</v>
      </c>
      <c r="H5942" s="1" t="s">
        <v>3604</v>
      </c>
      <c r="I5942" s="1" t="s">
        <v>20933</v>
      </c>
      <c r="J5942" s="1" t="s">
        <v>3606</v>
      </c>
      <c r="K5942" s="1" t="s">
        <v>20934</v>
      </c>
      <c r="L5942" s="1"/>
      <c r="M5942" s="1"/>
    </row>
    <row x14ac:dyDescent="0.25" r="5943" customHeight="1" ht="18.75">
      <c r="A5943" s="1" t="s">
        <v>3598</v>
      </c>
      <c r="B5943" s="1" t="s">
        <v>4689</v>
      </c>
      <c r="C5943" s="1" t="s">
        <v>3600</v>
      </c>
      <c r="D5943" s="1" t="s">
        <v>3610</v>
      </c>
      <c r="E5943" s="1" t="s">
        <v>3664</v>
      </c>
      <c r="F5943" s="1" t="s">
        <v>20935</v>
      </c>
      <c r="G5943" s="1" t="s">
        <v>20511</v>
      </c>
      <c r="H5943" s="1" t="s">
        <v>3604</v>
      </c>
      <c r="I5943" s="1" t="s">
        <v>20936</v>
      </c>
      <c r="J5943" s="1" t="s">
        <v>3606</v>
      </c>
      <c r="K5943" s="1" t="s">
        <v>20937</v>
      </c>
      <c r="L5943" s="1"/>
      <c r="M5943" s="1"/>
    </row>
    <row x14ac:dyDescent="0.25" r="5944" customHeight="1" ht="18.75">
      <c r="A5944" s="1" t="s">
        <v>3598</v>
      </c>
      <c r="B5944" s="1" t="s">
        <v>4689</v>
      </c>
      <c r="C5944" s="1" t="s">
        <v>3600</v>
      </c>
      <c r="D5944" s="1" t="s">
        <v>3610</v>
      </c>
      <c r="E5944" s="1" t="s">
        <v>3664</v>
      </c>
      <c r="F5944" s="1" t="s">
        <v>20938</v>
      </c>
      <c r="G5944" s="1" t="s">
        <v>20511</v>
      </c>
      <c r="H5944" s="1" t="s">
        <v>3604</v>
      </c>
      <c r="I5944" s="1" t="s">
        <v>20939</v>
      </c>
      <c r="J5944" s="1" t="s">
        <v>3606</v>
      </c>
      <c r="K5944" s="1" t="s">
        <v>20940</v>
      </c>
      <c r="L5944" s="1"/>
      <c r="M5944" s="1"/>
    </row>
    <row x14ac:dyDescent="0.25" r="5945" customHeight="1" ht="18.75">
      <c r="A5945" s="1" t="s">
        <v>3598</v>
      </c>
      <c r="B5945" s="1" t="s">
        <v>4689</v>
      </c>
      <c r="C5945" s="1" t="s">
        <v>3600</v>
      </c>
      <c r="D5945" s="1" t="s">
        <v>3610</v>
      </c>
      <c r="E5945" s="1" t="s">
        <v>3664</v>
      </c>
      <c r="F5945" s="1" t="s">
        <v>20941</v>
      </c>
      <c r="G5945" s="1" t="s">
        <v>20511</v>
      </c>
      <c r="H5945" s="1" t="s">
        <v>3604</v>
      </c>
      <c r="I5945" s="1" t="s">
        <v>20942</v>
      </c>
      <c r="J5945" s="1" t="s">
        <v>3606</v>
      </c>
      <c r="K5945" s="1" t="s">
        <v>20943</v>
      </c>
      <c r="L5945" s="1"/>
      <c r="M5945" s="1"/>
    </row>
    <row x14ac:dyDescent="0.25" r="5946" customHeight="1" ht="18.75">
      <c r="A5946" s="1" t="s">
        <v>3598</v>
      </c>
      <c r="B5946" s="1" t="s">
        <v>4689</v>
      </c>
      <c r="C5946" s="1" t="s">
        <v>3600</v>
      </c>
      <c r="D5946" s="1" t="s">
        <v>3610</v>
      </c>
      <c r="E5946" s="1" t="s">
        <v>3664</v>
      </c>
      <c r="F5946" s="1" t="s">
        <v>20944</v>
      </c>
      <c r="G5946" s="1" t="s">
        <v>20945</v>
      </c>
      <c r="H5946" s="1" t="s">
        <v>3604</v>
      </c>
      <c r="I5946" s="1" t="s">
        <v>20946</v>
      </c>
      <c r="J5946" s="1" t="s">
        <v>3606</v>
      </c>
      <c r="K5946" s="1" t="s">
        <v>20947</v>
      </c>
      <c r="L5946" s="1"/>
      <c r="M5946" s="1"/>
    </row>
    <row x14ac:dyDescent="0.25" r="5947" customHeight="1" ht="18.75">
      <c r="A5947" s="1" t="s">
        <v>3598</v>
      </c>
      <c r="B5947" s="1" t="s">
        <v>4689</v>
      </c>
      <c r="C5947" s="1" t="s">
        <v>3600</v>
      </c>
      <c r="D5947" s="1" t="s">
        <v>3610</v>
      </c>
      <c r="E5947" s="1" t="s">
        <v>3664</v>
      </c>
      <c r="F5947" s="1" t="s">
        <v>20948</v>
      </c>
      <c r="G5947" s="1" t="s">
        <v>20945</v>
      </c>
      <c r="H5947" s="1" t="s">
        <v>3604</v>
      </c>
      <c r="I5947" s="1" t="s">
        <v>20949</v>
      </c>
      <c r="J5947" s="1" t="s">
        <v>3606</v>
      </c>
      <c r="K5947" s="1" t="s">
        <v>20950</v>
      </c>
      <c r="L5947" s="1"/>
      <c r="M5947" s="1"/>
    </row>
    <row x14ac:dyDescent="0.25" r="5948" customHeight="1" ht="18.75">
      <c r="A5948" s="1" t="s">
        <v>3598</v>
      </c>
      <c r="B5948" s="1" t="s">
        <v>4689</v>
      </c>
      <c r="C5948" s="1" t="s">
        <v>3600</v>
      </c>
      <c r="D5948" s="1" t="s">
        <v>3610</v>
      </c>
      <c r="E5948" s="1" t="s">
        <v>3664</v>
      </c>
      <c r="F5948" s="1" t="s">
        <v>20951</v>
      </c>
      <c r="G5948" s="1" t="s">
        <v>20945</v>
      </c>
      <c r="H5948" s="1" t="s">
        <v>3604</v>
      </c>
      <c r="I5948" s="1" t="s">
        <v>20952</v>
      </c>
      <c r="J5948" s="1" t="s">
        <v>3606</v>
      </c>
      <c r="K5948" s="1" t="s">
        <v>20953</v>
      </c>
      <c r="L5948" s="1"/>
      <c r="M5948" s="1"/>
    </row>
    <row x14ac:dyDescent="0.25" r="5949" customHeight="1" ht="18.75">
      <c r="A5949" s="1" t="s">
        <v>3598</v>
      </c>
      <c r="B5949" s="1" t="s">
        <v>4689</v>
      </c>
      <c r="C5949" s="1" t="s">
        <v>3600</v>
      </c>
      <c r="D5949" s="1" t="s">
        <v>3610</v>
      </c>
      <c r="E5949" s="1" t="s">
        <v>3664</v>
      </c>
      <c r="F5949" s="1" t="s">
        <v>20954</v>
      </c>
      <c r="G5949" s="1" t="s">
        <v>20945</v>
      </c>
      <c r="H5949" s="1" t="s">
        <v>3604</v>
      </c>
      <c r="I5949" s="1" t="s">
        <v>20955</v>
      </c>
      <c r="J5949" s="1" t="s">
        <v>3606</v>
      </c>
      <c r="K5949" s="1" t="s">
        <v>20956</v>
      </c>
      <c r="L5949" s="1"/>
      <c r="M5949" s="1"/>
    </row>
    <row x14ac:dyDescent="0.25" r="5950" customHeight="1" ht="18.75">
      <c r="A5950" s="1" t="s">
        <v>3598</v>
      </c>
      <c r="B5950" s="1" t="s">
        <v>4689</v>
      </c>
      <c r="C5950" s="1" t="s">
        <v>3600</v>
      </c>
      <c r="D5950" s="1" t="s">
        <v>3610</v>
      </c>
      <c r="E5950" s="1" t="s">
        <v>3664</v>
      </c>
      <c r="F5950" s="1" t="s">
        <v>20957</v>
      </c>
      <c r="G5950" s="1" t="s">
        <v>20945</v>
      </c>
      <c r="H5950" s="1" t="s">
        <v>3604</v>
      </c>
      <c r="I5950" s="1" t="s">
        <v>20958</v>
      </c>
      <c r="J5950" s="1" t="s">
        <v>3606</v>
      </c>
      <c r="K5950" s="1" t="s">
        <v>20959</v>
      </c>
      <c r="L5950" s="1"/>
      <c r="M5950" s="1"/>
    </row>
    <row x14ac:dyDescent="0.25" r="5951" customHeight="1" ht="18.75">
      <c r="A5951" s="1" t="s">
        <v>3598</v>
      </c>
      <c r="B5951" s="1" t="s">
        <v>4781</v>
      </c>
      <c r="C5951" s="1" t="s">
        <v>3600</v>
      </c>
      <c r="D5951" s="1" t="s">
        <v>3610</v>
      </c>
      <c r="E5951" s="1" t="s">
        <v>3664</v>
      </c>
      <c r="F5951" s="1" t="s">
        <v>20960</v>
      </c>
      <c r="G5951" s="1" t="s">
        <v>18224</v>
      </c>
      <c r="H5951" s="1" t="s">
        <v>3604</v>
      </c>
      <c r="I5951" s="1" t="s">
        <v>20961</v>
      </c>
      <c r="J5951" s="1" t="s">
        <v>3606</v>
      </c>
      <c r="K5951" s="1" t="s">
        <v>20962</v>
      </c>
      <c r="L5951" s="1"/>
      <c r="M5951" s="1"/>
    </row>
    <row x14ac:dyDescent="0.25" r="5952" customHeight="1" ht="18.75">
      <c r="A5952" s="1" t="s">
        <v>3598</v>
      </c>
      <c r="B5952" s="1" t="s">
        <v>4781</v>
      </c>
      <c r="C5952" s="1" t="s">
        <v>3600</v>
      </c>
      <c r="D5952" s="1" t="s">
        <v>3610</v>
      </c>
      <c r="E5952" s="1" t="s">
        <v>3752</v>
      </c>
      <c r="F5952" s="1" t="s">
        <v>20963</v>
      </c>
      <c r="G5952" s="1" t="s">
        <v>20964</v>
      </c>
      <c r="H5952" s="1" t="s">
        <v>3604</v>
      </c>
      <c r="I5952" s="1" t="s">
        <v>20965</v>
      </c>
      <c r="J5952" s="1" t="s">
        <v>3606</v>
      </c>
      <c r="K5952" s="1" t="s">
        <v>20966</v>
      </c>
      <c r="L5952" s="1"/>
      <c r="M5952" s="1"/>
    </row>
    <row x14ac:dyDescent="0.25" r="5953" customHeight="1" ht="18.75">
      <c r="A5953" s="1" t="s">
        <v>3598</v>
      </c>
      <c r="B5953" s="1" t="s">
        <v>4781</v>
      </c>
      <c r="C5953" s="1" t="s">
        <v>3600</v>
      </c>
      <c r="D5953" s="1" t="s">
        <v>3610</v>
      </c>
      <c r="E5953" s="1" t="s">
        <v>3752</v>
      </c>
      <c r="F5953" s="1" t="s">
        <v>20967</v>
      </c>
      <c r="G5953" s="1" t="s">
        <v>20964</v>
      </c>
      <c r="H5953" s="1" t="s">
        <v>3604</v>
      </c>
      <c r="I5953" s="1" t="s">
        <v>20968</v>
      </c>
      <c r="J5953" s="1" t="s">
        <v>3606</v>
      </c>
      <c r="K5953" s="1" t="s">
        <v>20969</v>
      </c>
      <c r="L5953" s="1"/>
      <c r="M5953" s="1"/>
    </row>
    <row x14ac:dyDescent="0.25" r="5954" customHeight="1" ht="18.75">
      <c r="A5954" s="1" t="s">
        <v>3598</v>
      </c>
      <c r="B5954" s="1" t="s">
        <v>4781</v>
      </c>
      <c r="C5954" s="1" t="s">
        <v>3600</v>
      </c>
      <c r="D5954" s="1" t="s">
        <v>3610</v>
      </c>
      <c r="E5954" s="1" t="s">
        <v>3752</v>
      </c>
      <c r="F5954" s="1" t="s">
        <v>20970</v>
      </c>
      <c r="G5954" s="1" t="s">
        <v>20964</v>
      </c>
      <c r="H5954" s="1" t="s">
        <v>3604</v>
      </c>
      <c r="I5954" s="1" t="s">
        <v>20971</v>
      </c>
      <c r="J5954" s="1" t="s">
        <v>3606</v>
      </c>
      <c r="K5954" s="1" t="s">
        <v>20972</v>
      </c>
      <c r="L5954" s="1"/>
      <c r="M5954" s="1"/>
    </row>
    <row x14ac:dyDescent="0.25" r="5955" customHeight="1" ht="18.75">
      <c r="A5955" s="1" t="s">
        <v>3598</v>
      </c>
      <c r="B5955" s="1" t="s">
        <v>4781</v>
      </c>
      <c r="C5955" s="1" t="s">
        <v>3600</v>
      </c>
      <c r="D5955" s="1" t="s">
        <v>3610</v>
      </c>
      <c r="E5955" s="1" t="s">
        <v>3752</v>
      </c>
      <c r="F5955" s="1" t="s">
        <v>20973</v>
      </c>
      <c r="G5955" s="1" t="s">
        <v>20974</v>
      </c>
      <c r="H5955" s="1" t="s">
        <v>3604</v>
      </c>
      <c r="I5955" s="1" t="s">
        <v>20975</v>
      </c>
      <c r="J5955" s="1" t="s">
        <v>3606</v>
      </c>
      <c r="K5955" s="1" t="s">
        <v>20976</v>
      </c>
      <c r="L5955" s="1"/>
      <c r="M5955" s="1"/>
    </row>
    <row x14ac:dyDescent="0.25" r="5956" customHeight="1" ht="18.75">
      <c r="A5956" s="1" t="s">
        <v>3598</v>
      </c>
      <c r="B5956" s="1" t="s">
        <v>4781</v>
      </c>
      <c r="C5956" s="1" t="s">
        <v>3600</v>
      </c>
      <c r="D5956" s="1" t="s">
        <v>3610</v>
      </c>
      <c r="E5956" s="1" t="s">
        <v>3752</v>
      </c>
      <c r="F5956" s="1" t="s">
        <v>20977</v>
      </c>
      <c r="G5956" s="1" t="s">
        <v>20974</v>
      </c>
      <c r="H5956" s="1" t="s">
        <v>3604</v>
      </c>
      <c r="I5956" s="1" t="s">
        <v>20978</v>
      </c>
      <c r="J5956" s="1" t="s">
        <v>3606</v>
      </c>
      <c r="K5956" s="1" t="s">
        <v>20979</v>
      </c>
      <c r="L5956" s="1"/>
      <c r="M5956" s="1"/>
    </row>
    <row x14ac:dyDescent="0.25" r="5957" customHeight="1" ht="18.75">
      <c r="A5957" s="1" t="s">
        <v>3598</v>
      </c>
      <c r="B5957" s="1" t="s">
        <v>4781</v>
      </c>
      <c r="C5957" s="1" t="s">
        <v>3600</v>
      </c>
      <c r="D5957" s="1" t="s">
        <v>3610</v>
      </c>
      <c r="E5957" s="1" t="s">
        <v>3752</v>
      </c>
      <c r="F5957" s="1" t="s">
        <v>20980</v>
      </c>
      <c r="G5957" s="1" t="s">
        <v>20974</v>
      </c>
      <c r="H5957" s="1" t="s">
        <v>3604</v>
      </c>
      <c r="I5957" s="1" t="s">
        <v>20981</v>
      </c>
      <c r="J5957" s="1" t="s">
        <v>3606</v>
      </c>
      <c r="K5957" s="1" t="s">
        <v>20982</v>
      </c>
      <c r="L5957" s="1"/>
      <c r="M5957" s="1"/>
    </row>
    <row x14ac:dyDescent="0.25" r="5958" customHeight="1" ht="18.75">
      <c r="A5958" s="1" t="s">
        <v>3598</v>
      </c>
      <c r="B5958" s="1" t="s">
        <v>4781</v>
      </c>
      <c r="C5958" s="1" t="s">
        <v>3600</v>
      </c>
      <c r="D5958" s="1" t="s">
        <v>3610</v>
      </c>
      <c r="E5958" s="1" t="s">
        <v>3752</v>
      </c>
      <c r="F5958" s="1" t="s">
        <v>20983</v>
      </c>
      <c r="G5958" s="1" t="s">
        <v>20984</v>
      </c>
      <c r="H5958" s="1" t="s">
        <v>3604</v>
      </c>
      <c r="I5958" s="1" t="s">
        <v>20985</v>
      </c>
      <c r="J5958" s="1" t="s">
        <v>3606</v>
      </c>
      <c r="K5958" s="1" t="s">
        <v>20986</v>
      </c>
      <c r="L5958" s="1"/>
      <c r="M5958" s="1"/>
    </row>
    <row x14ac:dyDescent="0.25" r="5959" customHeight="1" ht="18.75">
      <c r="A5959" s="1" t="s">
        <v>3598</v>
      </c>
      <c r="B5959" s="1" t="s">
        <v>4781</v>
      </c>
      <c r="C5959" s="1" t="s">
        <v>3600</v>
      </c>
      <c r="D5959" s="1" t="s">
        <v>3610</v>
      </c>
      <c r="E5959" s="1" t="s">
        <v>3752</v>
      </c>
      <c r="F5959" s="1" t="s">
        <v>20987</v>
      </c>
      <c r="G5959" s="1" t="s">
        <v>20984</v>
      </c>
      <c r="H5959" s="1" t="s">
        <v>3604</v>
      </c>
      <c r="I5959" s="1" t="s">
        <v>20988</v>
      </c>
      <c r="J5959" s="1" t="s">
        <v>3606</v>
      </c>
      <c r="K5959" s="1" t="s">
        <v>20989</v>
      </c>
      <c r="L5959" s="1"/>
      <c r="M5959" s="1"/>
    </row>
    <row x14ac:dyDescent="0.25" r="5960" customHeight="1" ht="18.75">
      <c r="A5960" s="1" t="s">
        <v>3598</v>
      </c>
      <c r="B5960" s="1" t="s">
        <v>4781</v>
      </c>
      <c r="C5960" s="1" t="s">
        <v>3600</v>
      </c>
      <c r="D5960" s="1" t="s">
        <v>3610</v>
      </c>
      <c r="E5960" s="1" t="s">
        <v>3752</v>
      </c>
      <c r="F5960" s="1" t="s">
        <v>20990</v>
      </c>
      <c r="G5960" s="1" t="s">
        <v>20991</v>
      </c>
      <c r="H5960" s="1" t="s">
        <v>3604</v>
      </c>
      <c r="I5960" s="1" t="s">
        <v>20992</v>
      </c>
      <c r="J5960" s="1" t="s">
        <v>3606</v>
      </c>
      <c r="K5960" s="1" t="s">
        <v>20993</v>
      </c>
      <c r="L5960" s="1"/>
      <c r="M5960" s="1"/>
    </row>
    <row x14ac:dyDescent="0.25" r="5961" customHeight="1" ht="18.75">
      <c r="A5961" s="1" t="s">
        <v>3598</v>
      </c>
      <c r="B5961" s="1" t="s">
        <v>4781</v>
      </c>
      <c r="C5961" s="1" t="s">
        <v>3600</v>
      </c>
      <c r="D5961" s="1" t="s">
        <v>3610</v>
      </c>
      <c r="E5961" s="1" t="s">
        <v>3752</v>
      </c>
      <c r="F5961" s="1" t="s">
        <v>20994</v>
      </c>
      <c r="G5961" s="1" t="s">
        <v>20991</v>
      </c>
      <c r="H5961" s="1" t="s">
        <v>3604</v>
      </c>
      <c r="I5961" s="1" t="s">
        <v>20995</v>
      </c>
      <c r="J5961" s="1" t="s">
        <v>3606</v>
      </c>
      <c r="K5961" s="1" t="s">
        <v>20996</v>
      </c>
      <c r="L5961" s="1"/>
      <c r="M5961" s="1"/>
    </row>
    <row x14ac:dyDescent="0.25" r="5962" customHeight="1" ht="18.75">
      <c r="A5962" s="1" t="s">
        <v>3598</v>
      </c>
      <c r="B5962" s="1" t="s">
        <v>4781</v>
      </c>
      <c r="C5962" s="1" t="s">
        <v>3600</v>
      </c>
      <c r="D5962" s="1" t="s">
        <v>3610</v>
      </c>
      <c r="E5962" s="1" t="s">
        <v>3752</v>
      </c>
      <c r="F5962" s="1" t="s">
        <v>20997</v>
      </c>
      <c r="G5962" s="1" t="s">
        <v>20998</v>
      </c>
      <c r="H5962" s="1" t="s">
        <v>3604</v>
      </c>
      <c r="I5962" s="1" t="s">
        <v>20999</v>
      </c>
      <c r="J5962" s="1" t="s">
        <v>3606</v>
      </c>
      <c r="K5962" s="1" t="s">
        <v>21000</v>
      </c>
      <c r="L5962" s="1"/>
      <c r="M5962" s="1"/>
    </row>
    <row x14ac:dyDescent="0.25" r="5963" customHeight="1" ht="18.75">
      <c r="A5963" s="1" t="s">
        <v>3598</v>
      </c>
      <c r="B5963" s="1" t="s">
        <v>4781</v>
      </c>
      <c r="C5963" s="1" t="s">
        <v>3600</v>
      </c>
      <c r="D5963" s="1" t="s">
        <v>3610</v>
      </c>
      <c r="E5963" s="1" t="s">
        <v>3752</v>
      </c>
      <c r="F5963" s="1" t="s">
        <v>21001</v>
      </c>
      <c r="G5963" s="1" t="s">
        <v>20998</v>
      </c>
      <c r="H5963" s="1" t="s">
        <v>3604</v>
      </c>
      <c r="I5963" s="1" t="s">
        <v>21002</v>
      </c>
      <c r="J5963" s="1" t="s">
        <v>3606</v>
      </c>
      <c r="K5963" s="1" t="s">
        <v>21003</v>
      </c>
      <c r="L5963" s="1"/>
      <c r="M5963" s="1"/>
    </row>
    <row x14ac:dyDescent="0.25" r="5964" customHeight="1" ht="18.75">
      <c r="A5964" s="1" t="s">
        <v>3598</v>
      </c>
      <c r="B5964" s="1" t="s">
        <v>4781</v>
      </c>
      <c r="C5964" s="1" t="s">
        <v>3600</v>
      </c>
      <c r="D5964" s="1" t="s">
        <v>3610</v>
      </c>
      <c r="E5964" s="1" t="s">
        <v>3752</v>
      </c>
      <c r="F5964" s="1" t="s">
        <v>21004</v>
      </c>
      <c r="G5964" s="1" t="s">
        <v>21005</v>
      </c>
      <c r="H5964" s="1" t="s">
        <v>3604</v>
      </c>
      <c r="I5964" s="1" t="s">
        <v>21006</v>
      </c>
      <c r="J5964" s="1" t="s">
        <v>3606</v>
      </c>
      <c r="K5964" s="1" t="s">
        <v>21007</v>
      </c>
      <c r="L5964" s="1"/>
      <c r="M5964" s="1"/>
    </row>
    <row x14ac:dyDescent="0.25" r="5965" customHeight="1" ht="18.75">
      <c r="A5965" s="1" t="s">
        <v>3598</v>
      </c>
      <c r="B5965" s="1" t="s">
        <v>4781</v>
      </c>
      <c r="C5965" s="1" t="s">
        <v>3600</v>
      </c>
      <c r="D5965" s="1" t="s">
        <v>3610</v>
      </c>
      <c r="E5965" s="1" t="s">
        <v>3752</v>
      </c>
      <c r="F5965" s="1" t="s">
        <v>21008</v>
      </c>
      <c r="G5965" s="1" t="s">
        <v>21005</v>
      </c>
      <c r="H5965" s="1" t="s">
        <v>3604</v>
      </c>
      <c r="I5965" s="1" t="s">
        <v>21009</v>
      </c>
      <c r="J5965" s="1" t="s">
        <v>3606</v>
      </c>
      <c r="K5965" s="1" t="s">
        <v>21010</v>
      </c>
      <c r="L5965" s="1"/>
      <c r="M5965" s="1"/>
    </row>
    <row x14ac:dyDescent="0.25" r="5966" customHeight="1" ht="18.75">
      <c r="A5966" s="1" t="s">
        <v>3598</v>
      </c>
      <c r="B5966" s="1" t="s">
        <v>4781</v>
      </c>
      <c r="C5966" s="1" t="s">
        <v>3600</v>
      </c>
      <c r="D5966" s="1" t="s">
        <v>3610</v>
      </c>
      <c r="E5966" s="1" t="s">
        <v>3752</v>
      </c>
      <c r="F5966" s="1" t="s">
        <v>21011</v>
      </c>
      <c r="G5966" s="1" t="s">
        <v>21005</v>
      </c>
      <c r="H5966" s="1" t="s">
        <v>3604</v>
      </c>
      <c r="I5966" s="1" t="s">
        <v>21012</v>
      </c>
      <c r="J5966" s="1" t="s">
        <v>3606</v>
      </c>
      <c r="K5966" s="1" t="s">
        <v>21013</v>
      </c>
      <c r="L5966" s="1"/>
      <c r="M5966" s="1"/>
    </row>
    <row x14ac:dyDescent="0.25" r="5967" customHeight="1" ht="18.75">
      <c r="A5967" s="1" t="s">
        <v>3598</v>
      </c>
      <c r="B5967" s="1" t="s">
        <v>4781</v>
      </c>
      <c r="C5967" s="1" t="s">
        <v>3600</v>
      </c>
      <c r="D5967" s="1" t="s">
        <v>3610</v>
      </c>
      <c r="E5967" s="1" t="s">
        <v>3752</v>
      </c>
      <c r="F5967" s="1" t="s">
        <v>21014</v>
      </c>
      <c r="G5967" s="1" t="s">
        <v>21015</v>
      </c>
      <c r="H5967" s="1" t="s">
        <v>3604</v>
      </c>
      <c r="I5967" s="1" t="s">
        <v>21016</v>
      </c>
      <c r="J5967" s="1" t="s">
        <v>3606</v>
      </c>
      <c r="K5967" s="1" t="s">
        <v>21017</v>
      </c>
      <c r="L5967" s="1"/>
      <c r="M5967" s="1"/>
    </row>
    <row x14ac:dyDescent="0.25" r="5968" customHeight="1" ht="18.75">
      <c r="A5968" s="1" t="s">
        <v>3598</v>
      </c>
      <c r="B5968" s="1" t="s">
        <v>4781</v>
      </c>
      <c r="C5968" s="1" t="s">
        <v>3600</v>
      </c>
      <c r="D5968" s="1" t="s">
        <v>3610</v>
      </c>
      <c r="E5968" s="1" t="s">
        <v>3752</v>
      </c>
      <c r="F5968" s="1" t="s">
        <v>21018</v>
      </c>
      <c r="G5968" s="1" t="s">
        <v>21015</v>
      </c>
      <c r="H5968" s="1" t="s">
        <v>3604</v>
      </c>
      <c r="I5968" s="1" t="s">
        <v>21019</v>
      </c>
      <c r="J5968" s="1" t="s">
        <v>3606</v>
      </c>
      <c r="K5968" s="1" t="s">
        <v>21020</v>
      </c>
      <c r="L5968" s="1"/>
      <c r="M5968" s="1"/>
    </row>
    <row x14ac:dyDescent="0.25" r="5969" customHeight="1" ht="18.75">
      <c r="A5969" s="1" t="s">
        <v>3598</v>
      </c>
      <c r="B5969" s="1" t="s">
        <v>4781</v>
      </c>
      <c r="C5969" s="1" t="s">
        <v>3600</v>
      </c>
      <c r="D5969" s="1" t="s">
        <v>3610</v>
      </c>
      <c r="E5969" s="1" t="s">
        <v>3752</v>
      </c>
      <c r="F5969" s="1" t="s">
        <v>21021</v>
      </c>
      <c r="G5969" s="1" t="s">
        <v>21015</v>
      </c>
      <c r="H5969" s="1" t="s">
        <v>3604</v>
      </c>
      <c r="I5969" s="1" t="s">
        <v>21022</v>
      </c>
      <c r="J5969" s="1" t="s">
        <v>3606</v>
      </c>
      <c r="K5969" s="1" t="s">
        <v>21023</v>
      </c>
      <c r="L5969" s="1"/>
      <c r="M5969" s="1"/>
    </row>
    <row x14ac:dyDescent="0.25" r="5970" customHeight="1" ht="18.75">
      <c r="A5970" s="1" t="s">
        <v>3598</v>
      </c>
      <c r="B5970" s="1" t="s">
        <v>4781</v>
      </c>
      <c r="C5970" s="1" t="s">
        <v>3600</v>
      </c>
      <c r="D5970" s="1" t="s">
        <v>3610</v>
      </c>
      <c r="E5970" s="1" t="s">
        <v>3752</v>
      </c>
      <c r="F5970" s="1" t="s">
        <v>21024</v>
      </c>
      <c r="G5970" s="1" t="s">
        <v>21025</v>
      </c>
      <c r="H5970" s="1" t="s">
        <v>3604</v>
      </c>
      <c r="I5970" s="1" t="s">
        <v>21026</v>
      </c>
      <c r="J5970" s="1" t="s">
        <v>3606</v>
      </c>
      <c r="K5970" s="1" t="s">
        <v>21027</v>
      </c>
      <c r="L5970" s="1"/>
      <c r="M5970" s="1"/>
    </row>
    <row x14ac:dyDescent="0.25" r="5971" customHeight="1" ht="18.75">
      <c r="A5971" s="1" t="s">
        <v>3598</v>
      </c>
      <c r="B5971" s="1" t="s">
        <v>4781</v>
      </c>
      <c r="C5971" s="1" t="s">
        <v>3600</v>
      </c>
      <c r="D5971" s="1" t="s">
        <v>3610</v>
      </c>
      <c r="E5971" s="1" t="s">
        <v>3752</v>
      </c>
      <c r="F5971" s="1" t="s">
        <v>21028</v>
      </c>
      <c r="G5971" s="1" t="s">
        <v>21025</v>
      </c>
      <c r="H5971" s="1" t="s">
        <v>3604</v>
      </c>
      <c r="I5971" s="1" t="s">
        <v>21029</v>
      </c>
      <c r="J5971" s="1" t="s">
        <v>3606</v>
      </c>
      <c r="K5971" s="1" t="s">
        <v>21030</v>
      </c>
      <c r="L5971" s="1"/>
      <c r="M5971" s="1"/>
    </row>
    <row x14ac:dyDescent="0.25" r="5972" customHeight="1" ht="18.75">
      <c r="A5972" s="1" t="s">
        <v>3598</v>
      </c>
      <c r="B5972" s="1" t="s">
        <v>4781</v>
      </c>
      <c r="C5972" s="1" t="s">
        <v>3600</v>
      </c>
      <c r="D5972" s="1" t="s">
        <v>3610</v>
      </c>
      <c r="E5972" s="1" t="s">
        <v>3752</v>
      </c>
      <c r="F5972" s="1" t="s">
        <v>21031</v>
      </c>
      <c r="G5972" s="1" t="s">
        <v>21025</v>
      </c>
      <c r="H5972" s="1" t="s">
        <v>3604</v>
      </c>
      <c r="I5972" s="1" t="s">
        <v>21032</v>
      </c>
      <c r="J5972" s="1" t="s">
        <v>3606</v>
      </c>
      <c r="K5972" s="1" t="s">
        <v>21033</v>
      </c>
      <c r="L5972" s="1"/>
      <c r="M5972" s="1"/>
    </row>
    <row x14ac:dyDescent="0.25" r="5973" customHeight="1" ht="18.75">
      <c r="A5973" s="1" t="s">
        <v>3598</v>
      </c>
      <c r="B5973" s="1" t="s">
        <v>4781</v>
      </c>
      <c r="C5973" s="1" t="s">
        <v>3600</v>
      </c>
      <c r="D5973" s="1" t="s">
        <v>3610</v>
      </c>
      <c r="E5973" s="1" t="s">
        <v>3752</v>
      </c>
      <c r="F5973" s="1" t="s">
        <v>21034</v>
      </c>
      <c r="G5973" s="1" t="s">
        <v>21035</v>
      </c>
      <c r="H5973" s="1" t="s">
        <v>3604</v>
      </c>
      <c r="I5973" s="1" t="s">
        <v>21036</v>
      </c>
      <c r="J5973" s="1" t="s">
        <v>3606</v>
      </c>
      <c r="K5973" s="1" t="s">
        <v>21037</v>
      </c>
      <c r="L5973" s="1"/>
      <c r="M5973" s="1"/>
    </row>
    <row x14ac:dyDescent="0.25" r="5974" customHeight="1" ht="18.75">
      <c r="A5974" s="1" t="s">
        <v>3598</v>
      </c>
      <c r="B5974" s="1" t="s">
        <v>4781</v>
      </c>
      <c r="C5974" s="1" t="s">
        <v>3600</v>
      </c>
      <c r="D5974" s="1" t="s">
        <v>3610</v>
      </c>
      <c r="E5974" s="1" t="s">
        <v>3752</v>
      </c>
      <c r="F5974" s="1" t="s">
        <v>21038</v>
      </c>
      <c r="G5974" s="1" t="s">
        <v>21039</v>
      </c>
      <c r="H5974" s="1" t="s">
        <v>3604</v>
      </c>
      <c r="I5974" s="1" t="s">
        <v>21040</v>
      </c>
      <c r="J5974" s="1" t="s">
        <v>3606</v>
      </c>
      <c r="K5974" s="1" t="s">
        <v>21041</v>
      </c>
      <c r="L5974" s="1"/>
      <c r="M5974" s="1"/>
    </row>
    <row x14ac:dyDescent="0.25" r="5975" customHeight="1" ht="18.75">
      <c r="A5975" s="1" t="s">
        <v>3598</v>
      </c>
      <c r="B5975" s="1" t="s">
        <v>4781</v>
      </c>
      <c r="C5975" s="1" t="s">
        <v>3600</v>
      </c>
      <c r="D5975" s="1" t="s">
        <v>3610</v>
      </c>
      <c r="E5975" s="1" t="s">
        <v>3752</v>
      </c>
      <c r="F5975" s="1" t="s">
        <v>21042</v>
      </c>
      <c r="G5975" s="1" t="s">
        <v>21043</v>
      </c>
      <c r="H5975" s="1" t="s">
        <v>3604</v>
      </c>
      <c r="I5975" s="1" t="s">
        <v>21044</v>
      </c>
      <c r="J5975" s="1" t="s">
        <v>3606</v>
      </c>
      <c r="K5975" s="1" t="s">
        <v>21045</v>
      </c>
      <c r="L5975" s="1"/>
      <c r="M5975" s="1"/>
    </row>
    <row x14ac:dyDescent="0.25" r="5976" customHeight="1" ht="18.75">
      <c r="A5976" s="1" t="s">
        <v>3598</v>
      </c>
      <c r="B5976" s="1" t="s">
        <v>4781</v>
      </c>
      <c r="C5976" s="1" t="s">
        <v>3600</v>
      </c>
      <c r="D5976" s="1" t="s">
        <v>3610</v>
      </c>
      <c r="E5976" s="1" t="s">
        <v>3752</v>
      </c>
      <c r="F5976" s="1" t="s">
        <v>21046</v>
      </c>
      <c r="G5976" s="1" t="s">
        <v>21043</v>
      </c>
      <c r="H5976" s="1" t="s">
        <v>3604</v>
      </c>
      <c r="I5976" s="1" t="s">
        <v>21047</v>
      </c>
      <c r="J5976" s="1" t="s">
        <v>3606</v>
      </c>
      <c r="K5976" s="1" t="s">
        <v>21048</v>
      </c>
      <c r="L5976" s="1"/>
      <c r="M5976" s="1"/>
    </row>
    <row x14ac:dyDescent="0.25" r="5977" customHeight="1" ht="18.75">
      <c r="A5977" s="1" t="s">
        <v>3598</v>
      </c>
      <c r="B5977" s="1" t="s">
        <v>4781</v>
      </c>
      <c r="C5977" s="1" t="s">
        <v>3600</v>
      </c>
      <c r="D5977" s="1" t="s">
        <v>3610</v>
      </c>
      <c r="E5977" s="1" t="s">
        <v>3752</v>
      </c>
      <c r="F5977" s="1" t="s">
        <v>21049</v>
      </c>
      <c r="G5977" s="1" t="s">
        <v>20329</v>
      </c>
      <c r="H5977" s="1" t="s">
        <v>3604</v>
      </c>
      <c r="I5977" s="1" t="s">
        <v>21050</v>
      </c>
      <c r="J5977" s="1" t="s">
        <v>3606</v>
      </c>
      <c r="K5977" s="1" t="s">
        <v>21051</v>
      </c>
      <c r="L5977" s="1"/>
      <c r="M5977" s="1"/>
    </row>
    <row x14ac:dyDescent="0.25" r="5978" customHeight="1" ht="18.75">
      <c r="A5978" s="1" t="s">
        <v>3598</v>
      </c>
      <c r="B5978" s="1" t="s">
        <v>4781</v>
      </c>
      <c r="C5978" s="1" t="s">
        <v>3600</v>
      </c>
      <c r="D5978" s="1" t="s">
        <v>3610</v>
      </c>
      <c r="E5978" s="1" t="s">
        <v>3752</v>
      </c>
      <c r="F5978" s="1" t="s">
        <v>21052</v>
      </c>
      <c r="G5978" s="1" t="s">
        <v>20329</v>
      </c>
      <c r="H5978" s="1" t="s">
        <v>3604</v>
      </c>
      <c r="I5978" s="1" t="s">
        <v>21053</v>
      </c>
      <c r="J5978" s="1" t="s">
        <v>3606</v>
      </c>
      <c r="K5978" s="1" t="s">
        <v>21054</v>
      </c>
      <c r="L5978" s="1"/>
      <c r="M5978" s="1"/>
    </row>
    <row x14ac:dyDescent="0.25" r="5979" customHeight="1" ht="18.75">
      <c r="A5979" s="1" t="s">
        <v>3598</v>
      </c>
      <c r="B5979" s="1" t="s">
        <v>4781</v>
      </c>
      <c r="C5979" s="1" t="s">
        <v>3600</v>
      </c>
      <c r="D5979" s="1" t="s">
        <v>3610</v>
      </c>
      <c r="E5979" s="1" t="s">
        <v>3752</v>
      </c>
      <c r="F5979" s="1" t="s">
        <v>21055</v>
      </c>
      <c r="G5979" s="1" t="s">
        <v>20329</v>
      </c>
      <c r="H5979" s="1" t="s">
        <v>3604</v>
      </c>
      <c r="I5979" s="1" t="s">
        <v>21056</v>
      </c>
      <c r="J5979" s="1" t="s">
        <v>3606</v>
      </c>
      <c r="K5979" s="1" t="s">
        <v>21057</v>
      </c>
      <c r="L5979" s="1"/>
      <c r="M5979" s="1"/>
    </row>
    <row x14ac:dyDescent="0.25" r="5980" customHeight="1" ht="18.75">
      <c r="A5980" s="1" t="s">
        <v>3598</v>
      </c>
      <c r="B5980" s="1" t="s">
        <v>4781</v>
      </c>
      <c r="C5980" s="1" t="s">
        <v>3600</v>
      </c>
      <c r="D5980" s="1" t="s">
        <v>3610</v>
      </c>
      <c r="E5980" s="1" t="s">
        <v>3752</v>
      </c>
      <c r="F5980" s="1" t="s">
        <v>21058</v>
      </c>
      <c r="G5980" s="1" t="s">
        <v>18224</v>
      </c>
      <c r="H5980" s="1" t="s">
        <v>3604</v>
      </c>
      <c r="I5980" s="1" t="s">
        <v>21059</v>
      </c>
      <c r="J5980" s="1" t="s">
        <v>3606</v>
      </c>
      <c r="K5980" s="1" t="s">
        <v>21060</v>
      </c>
      <c r="L5980" s="1"/>
      <c r="M5980" s="1"/>
    </row>
    <row x14ac:dyDescent="0.25" r="5981" customHeight="1" ht="18.75">
      <c r="A5981" s="1" t="s">
        <v>3598</v>
      </c>
      <c r="B5981" s="1" t="s">
        <v>4781</v>
      </c>
      <c r="C5981" s="1" t="s">
        <v>3600</v>
      </c>
      <c r="D5981" s="1" t="s">
        <v>3610</v>
      </c>
      <c r="E5981" s="1" t="s">
        <v>3752</v>
      </c>
      <c r="F5981" s="1" t="s">
        <v>21061</v>
      </c>
      <c r="G5981" s="1" t="s">
        <v>18224</v>
      </c>
      <c r="H5981" s="1" t="s">
        <v>3604</v>
      </c>
      <c r="I5981" s="1" t="s">
        <v>21062</v>
      </c>
      <c r="J5981" s="1" t="s">
        <v>3606</v>
      </c>
      <c r="K5981" s="1" t="s">
        <v>21063</v>
      </c>
      <c r="L5981" s="1"/>
      <c r="M5981" s="1"/>
    </row>
    <row x14ac:dyDescent="0.25" r="5982" customHeight="1" ht="18.75">
      <c r="A5982" s="1" t="s">
        <v>3598</v>
      </c>
      <c r="B5982" s="1" t="s">
        <v>4781</v>
      </c>
      <c r="C5982" s="1" t="s">
        <v>3600</v>
      </c>
      <c r="D5982" s="1" t="s">
        <v>3610</v>
      </c>
      <c r="E5982" s="1" t="s">
        <v>3752</v>
      </c>
      <c r="F5982" s="1" t="s">
        <v>21064</v>
      </c>
      <c r="G5982" s="1" t="s">
        <v>18224</v>
      </c>
      <c r="H5982" s="1" t="s">
        <v>3604</v>
      </c>
      <c r="I5982" s="1" t="s">
        <v>21065</v>
      </c>
      <c r="J5982" s="1" t="s">
        <v>3606</v>
      </c>
      <c r="K5982" s="1" t="s">
        <v>21066</v>
      </c>
      <c r="L5982" s="1"/>
      <c r="M5982" s="1"/>
    </row>
    <row x14ac:dyDescent="0.25" r="5983" customHeight="1" ht="18.75">
      <c r="A5983" s="1" t="s">
        <v>3598</v>
      </c>
      <c r="B5983" s="1" t="s">
        <v>9449</v>
      </c>
      <c r="C5983" s="1" t="s">
        <v>3600</v>
      </c>
      <c r="D5983" s="1" t="s">
        <v>3610</v>
      </c>
      <c r="E5983" s="1" t="s">
        <v>3752</v>
      </c>
      <c r="F5983" s="1" t="s">
        <v>21067</v>
      </c>
      <c r="G5983" s="1" t="s">
        <v>19297</v>
      </c>
      <c r="H5983" s="1" t="s">
        <v>3604</v>
      </c>
      <c r="I5983" s="1" t="s">
        <v>21068</v>
      </c>
      <c r="J5983" s="1" t="s">
        <v>3606</v>
      </c>
      <c r="K5983" s="1" t="s">
        <v>21069</v>
      </c>
      <c r="L5983" s="1"/>
      <c r="M5983" s="1"/>
    </row>
    <row x14ac:dyDescent="0.25" r="5984" customHeight="1" ht="18.75">
      <c r="A5984" s="1" t="s">
        <v>3598</v>
      </c>
      <c r="B5984" s="1" t="s">
        <v>9449</v>
      </c>
      <c r="C5984" s="1" t="s">
        <v>3600</v>
      </c>
      <c r="D5984" s="1" t="s">
        <v>3610</v>
      </c>
      <c r="E5984" s="1" t="s">
        <v>3752</v>
      </c>
      <c r="F5984" s="1" t="s">
        <v>21070</v>
      </c>
      <c r="G5984" s="1" t="s">
        <v>19301</v>
      </c>
      <c r="H5984" s="1" t="s">
        <v>3604</v>
      </c>
      <c r="I5984" s="1" t="s">
        <v>21071</v>
      </c>
      <c r="J5984" s="1" t="s">
        <v>3606</v>
      </c>
      <c r="K5984" s="1" t="s">
        <v>21072</v>
      </c>
      <c r="L5984" s="1"/>
      <c r="M5984" s="1"/>
    </row>
    <row x14ac:dyDescent="0.25" r="5985" customHeight="1" ht="18.75">
      <c r="A5985" s="1" t="s">
        <v>3598</v>
      </c>
      <c r="B5985" s="1" t="s">
        <v>9449</v>
      </c>
      <c r="C5985" s="1" t="s">
        <v>3600</v>
      </c>
      <c r="D5985" s="1" t="s">
        <v>3610</v>
      </c>
      <c r="E5985" s="1" t="s">
        <v>3752</v>
      </c>
      <c r="F5985" s="1" t="s">
        <v>21073</v>
      </c>
      <c r="G5985" s="1" t="s">
        <v>19305</v>
      </c>
      <c r="H5985" s="1" t="s">
        <v>3604</v>
      </c>
      <c r="I5985" s="1" t="s">
        <v>21074</v>
      </c>
      <c r="J5985" s="1" t="s">
        <v>3606</v>
      </c>
      <c r="K5985" s="1" t="s">
        <v>21075</v>
      </c>
      <c r="L5985" s="1"/>
      <c r="M5985" s="1"/>
    </row>
    <row x14ac:dyDescent="0.25" r="5986" customHeight="1" ht="18.75">
      <c r="A5986" s="1" t="s">
        <v>3598</v>
      </c>
      <c r="B5986" s="1" t="s">
        <v>9449</v>
      </c>
      <c r="C5986" s="1" t="s">
        <v>3600</v>
      </c>
      <c r="D5986" s="1" t="s">
        <v>3610</v>
      </c>
      <c r="E5986" s="1" t="s">
        <v>3752</v>
      </c>
      <c r="F5986" s="1" t="s">
        <v>21076</v>
      </c>
      <c r="G5986" s="1" t="s">
        <v>19305</v>
      </c>
      <c r="H5986" s="1" t="s">
        <v>3604</v>
      </c>
      <c r="I5986" s="1" t="s">
        <v>21077</v>
      </c>
      <c r="J5986" s="1" t="s">
        <v>3606</v>
      </c>
      <c r="K5986" s="1" t="s">
        <v>21078</v>
      </c>
      <c r="L5986" s="1"/>
      <c r="M5986" s="1"/>
    </row>
    <row x14ac:dyDescent="0.25" r="5987" customHeight="1" ht="18.75">
      <c r="A5987" s="1" t="s">
        <v>3598</v>
      </c>
      <c r="B5987" s="1" t="s">
        <v>9449</v>
      </c>
      <c r="C5987" s="1" t="s">
        <v>3600</v>
      </c>
      <c r="D5987" s="1" t="s">
        <v>3610</v>
      </c>
      <c r="E5987" s="1" t="s">
        <v>3752</v>
      </c>
      <c r="F5987" s="1" t="s">
        <v>21079</v>
      </c>
      <c r="G5987" s="1" t="s">
        <v>19309</v>
      </c>
      <c r="H5987" s="1" t="s">
        <v>3604</v>
      </c>
      <c r="I5987" s="1" t="s">
        <v>21080</v>
      </c>
      <c r="J5987" s="1" t="s">
        <v>3606</v>
      </c>
      <c r="K5987" s="1" t="s">
        <v>21081</v>
      </c>
      <c r="L5987" s="1"/>
      <c r="M5987" s="1"/>
    </row>
    <row x14ac:dyDescent="0.25" r="5988" customHeight="1" ht="18.75">
      <c r="A5988" s="1" t="s">
        <v>3598</v>
      </c>
      <c r="B5988" s="1" t="s">
        <v>9449</v>
      </c>
      <c r="C5988" s="1" t="s">
        <v>3600</v>
      </c>
      <c r="D5988" s="1" t="s">
        <v>3610</v>
      </c>
      <c r="E5988" s="1" t="s">
        <v>3752</v>
      </c>
      <c r="F5988" s="1" t="s">
        <v>21082</v>
      </c>
      <c r="G5988" s="1" t="s">
        <v>19309</v>
      </c>
      <c r="H5988" s="1" t="s">
        <v>3604</v>
      </c>
      <c r="I5988" s="1" t="s">
        <v>21083</v>
      </c>
      <c r="J5988" s="1" t="s">
        <v>3606</v>
      </c>
      <c r="K5988" s="1" t="s">
        <v>21084</v>
      </c>
      <c r="L5988" s="1"/>
      <c r="M5988" s="1"/>
    </row>
    <row x14ac:dyDescent="0.25" r="5989" customHeight="1" ht="18.75">
      <c r="A5989" s="1" t="s">
        <v>3598</v>
      </c>
      <c r="B5989" s="1" t="s">
        <v>9449</v>
      </c>
      <c r="C5989" s="1" t="s">
        <v>3600</v>
      </c>
      <c r="D5989" s="1" t="s">
        <v>3610</v>
      </c>
      <c r="E5989" s="1" t="s">
        <v>3752</v>
      </c>
      <c r="F5989" s="1" t="s">
        <v>21085</v>
      </c>
      <c r="G5989" s="1" t="s">
        <v>19317</v>
      </c>
      <c r="H5989" s="1" t="s">
        <v>3604</v>
      </c>
      <c r="I5989" s="1" t="s">
        <v>21086</v>
      </c>
      <c r="J5989" s="1" t="s">
        <v>3606</v>
      </c>
      <c r="K5989" s="1" t="s">
        <v>21087</v>
      </c>
      <c r="L5989" s="1"/>
      <c r="M5989" s="1"/>
    </row>
    <row x14ac:dyDescent="0.25" r="5990" customHeight="1" ht="18.75">
      <c r="A5990" s="1" t="s">
        <v>3598</v>
      </c>
      <c r="B5990" s="1" t="s">
        <v>9449</v>
      </c>
      <c r="C5990" s="1" t="s">
        <v>3600</v>
      </c>
      <c r="D5990" s="1" t="s">
        <v>3610</v>
      </c>
      <c r="E5990" s="1" t="s">
        <v>3752</v>
      </c>
      <c r="F5990" s="1" t="s">
        <v>21088</v>
      </c>
      <c r="G5990" s="1" t="s">
        <v>19317</v>
      </c>
      <c r="H5990" s="1" t="s">
        <v>3604</v>
      </c>
      <c r="I5990" s="1" t="s">
        <v>21089</v>
      </c>
      <c r="J5990" s="1" t="s">
        <v>3606</v>
      </c>
      <c r="K5990" s="1" t="s">
        <v>21090</v>
      </c>
      <c r="L5990" s="1"/>
      <c r="M5990" s="1"/>
    </row>
    <row x14ac:dyDescent="0.25" r="5991" customHeight="1" ht="18.75">
      <c r="A5991" s="1" t="s">
        <v>3598</v>
      </c>
      <c r="B5991" s="1" t="s">
        <v>9449</v>
      </c>
      <c r="C5991" s="1" t="s">
        <v>3600</v>
      </c>
      <c r="D5991" s="1" t="s">
        <v>3610</v>
      </c>
      <c r="E5991" s="1" t="s">
        <v>3752</v>
      </c>
      <c r="F5991" s="1" t="s">
        <v>21091</v>
      </c>
      <c r="G5991" s="1" t="s">
        <v>19321</v>
      </c>
      <c r="H5991" s="1" t="s">
        <v>3604</v>
      </c>
      <c r="I5991" s="1" t="s">
        <v>21092</v>
      </c>
      <c r="J5991" s="1" t="s">
        <v>3606</v>
      </c>
      <c r="K5991" s="1" t="s">
        <v>21093</v>
      </c>
      <c r="L5991" s="1"/>
      <c r="M5991" s="1"/>
    </row>
    <row x14ac:dyDescent="0.25" r="5992" customHeight="1" ht="18.75">
      <c r="A5992" s="1" t="s">
        <v>3598</v>
      </c>
      <c r="B5992" s="1" t="s">
        <v>9449</v>
      </c>
      <c r="C5992" s="1" t="s">
        <v>3600</v>
      </c>
      <c r="D5992" s="1" t="s">
        <v>3610</v>
      </c>
      <c r="E5992" s="1" t="s">
        <v>3752</v>
      </c>
      <c r="F5992" s="1" t="s">
        <v>21094</v>
      </c>
      <c r="G5992" s="1" t="s">
        <v>19321</v>
      </c>
      <c r="H5992" s="1" t="s">
        <v>3604</v>
      </c>
      <c r="I5992" s="1" t="s">
        <v>21095</v>
      </c>
      <c r="J5992" s="1" t="s">
        <v>3606</v>
      </c>
      <c r="K5992" s="1" t="s">
        <v>21096</v>
      </c>
      <c r="L5992" s="1"/>
      <c r="M5992" s="1"/>
    </row>
    <row x14ac:dyDescent="0.25" r="5993" customHeight="1" ht="18.75">
      <c r="A5993" s="1" t="s">
        <v>3598</v>
      </c>
      <c r="B5993" s="1" t="s">
        <v>9449</v>
      </c>
      <c r="C5993" s="1" t="s">
        <v>3600</v>
      </c>
      <c r="D5993" s="1" t="s">
        <v>3610</v>
      </c>
      <c r="E5993" s="1" t="s">
        <v>3752</v>
      </c>
      <c r="F5993" s="1" t="s">
        <v>21097</v>
      </c>
      <c r="G5993" s="1" t="s">
        <v>19325</v>
      </c>
      <c r="H5993" s="1" t="s">
        <v>3604</v>
      </c>
      <c r="I5993" s="1" t="s">
        <v>21098</v>
      </c>
      <c r="J5993" s="1" t="s">
        <v>3606</v>
      </c>
      <c r="K5993" s="1" t="s">
        <v>21099</v>
      </c>
      <c r="L5993" s="1"/>
      <c r="M5993" s="1"/>
    </row>
    <row x14ac:dyDescent="0.25" r="5994" customHeight="1" ht="18.75">
      <c r="A5994" s="1" t="s">
        <v>3598</v>
      </c>
      <c r="B5994" s="1" t="s">
        <v>9449</v>
      </c>
      <c r="C5994" s="1" t="s">
        <v>3600</v>
      </c>
      <c r="D5994" s="1" t="s">
        <v>3610</v>
      </c>
      <c r="E5994" s="1" t="s">
        <v>3752</v>
      </c>
      <c r="F5994" s="1" t="s">
        <v>21100</v>
      </c>
      <c r="G5994" s="1" t="s">
        <v>19325</v>
      </c>
      <c r="H5994" s="1" t="s">
        <v>3604</v>
      </c>
      <c r="I5994" s="1" t="s">
        <v>21101</v>
      </c>
      <c r="J5994" s="1" t="s">
        <v>3606</v>
      </c>
      <c r="K5994" s="1" t="s">
        <v>21102</v>
      </c>
      <c r="L5994" s="1"/>
      <c r="M5994" s="1"/>
    </row>
    <row x14ac:dyDescent="0.25" r="5995" customHeight="1" ht="18.75">
      <c r="A5995" s="1" t="s">
        <v>3598</v>
      </c>
      <c r="B5995" s="1" t="s">
        <v>9449</v>
      </c>
      <c r="C5995" s="1" t="s">
        <v>3600</v>
      </c>
      <c r="D5995" s="1" t="s">
        <v>3610</v>
      </c>
      <c r="E5995" s="1" t="s">
        <v>3752</v>
      </c>
      <c r="F5995" s="1" t="s">
        <v>21103</v>
      </c>
      <c r="G5995" s="1" t="s">
        <v>19329</v>
      </c>
      <c r="H5995" s="1" t="s">
        <v>3604</v>
      </c>
      <c r="I5995" s="1" t="s">
        <v>21104</v>
      </c>
      <c r="J5995" s="1" t="s">
        <v>3606</v>
      </c>
      <c r="K5995" s="1" t="s">
        <v>21105</v>
      </c>
      <c r="L5995" s="1"/>
      <c r="M5995" s="1"/>
    </row>
    <row x14ac:dyDescent="0.25" r="5996" customHeight="1" ht="18.75">
      <c r="A5996" s="1" t="s">
        <v>3598</v>
      </c>
      <c r="B5996" s="1" t="s">
        <v>9449</v>
      </c>
      <c r="C5996" s="1" t="s">
        <v>3600</v>
      </c>
      <c r="D5996" s="1" t="s">
        <v>3610</v>
      </c>
      <c r="E5996" s="1" t="s">
        <v>3752</v>
      </c>
      <c r="F5996" s="1" t="s">
        <v>21106</v>
      </c>
      <c r="G5996" s="1" t="s">
        <v>19329</v>
      </c>
      <c r="H5996" s="1" t="s">
        <v>3604</v>
      </c>
      <c r="I5996" s="1" t="s">
        <v>21107</v>
      </c>
      <c r="J5996" s="1" t="s">
        <v>3606</v>
      </c>
      <c r="K5996" s="1" t="s">
        <v>21108</v>
      </c>
      <c r="L5996" s="1"/>
      <c r="M5996" s="1"/>
    </row>
    <row x14ac:dyDescent="0.25" r="5997" customHeight="1" ht="18.75">
      <c r="A5997" s="1" t="s">
        <v>3598</v>
      </c>
      <c r="B5997" s="1" t="s">
        <v>9449</v>
      </c>
      <c r="C5997" s="1" t="s">
        <v>3600</v>
      </c>
      <c r="D5997" s="1" t="s">
        <v>3610</v>
      </c>
      <c r="E5997" s="1" t="s">
        <v>3752</v>
      </c>
      <c r="F5997" s="1" t="s">
        <v>21109</v>
      </c>
      <c r="G5997" s="1" t="s">
        <v>19333</v>
      </c>
      <c r="H5997" s="1" t="s">
        <v>3604</v>
      </c>
      <c r="I5997" s="1" t="s">
        <v>21110</v>
      </c>
      <c r="J5997" s="1" t="s">
        <v>3606</v>
      </c>
      <c r="K5997" s="1" t="s">
        <v>21111</v>
      </c>
      <c r="L5997" s="1"/>
      <c r="M5997" s="1"/>
    </row>
    <row x14ac:dyDescent="0.25" r="5998" customHeight="1" ht="18.75">
      <c r="A5998" s="1" t="s">
        <v>3598</v>
      </c>
      <c r="B5998" s="1" t="s">
        <v>9449</v>
      </c>
      <c r="C5998" s="1" t="s">
        <v>3600</v>
      </c>
      <c r="D5998" s="1" t="s">
        <v>3610</v>
      </c>
      <c r="E5998" s="1" t="s">
        <v>3752</v>
      </c>
      <c r="F5998" s="1" t="s">
        <v>21112</v>
      </c>
      <c r="G5998" s="1" t="s">
        <v>19333</v>
      </c>
      <c r="H5998" s="1" t="s">
        <v>3604</v>
      </c>
      <c r="I5998" s="1" t="s">
        <v>21113</v>
      </c>
      <c r="J5998" s="1" t="s">
        <v>3606</v>
      </c>
      <c r="K5998" s="1" t="s">
        <v>21114</v>
      </c>
      <c r="L5998" s="1"/>
      <c r="M5998" s="1"/>
    </row>
    <row x14ac:dyDescent="0.25" r="5999" customHeight="1" ht="18.75">
      <c r="A5999" s="1" t="s">
        <v>3598</v>
      </c>
      <c r="B5999" s="1" t="s">
        <v>3814</v>
      </c>
      <c r="C5999" s="1" t="s">
        <v>3600</v>
      </c>
      <c r="D5999" s="1" t="s">
        <v>3610</v>
      </c>
      <c r="E5999" s="1" t="s">
        <v>3664</v>
      </c>
      <c r="F5999" s="1" t="s">
        <v>21115</v>
      </c>
      <c r="G5999" s="1" t="s">
        <v>16117</v>
      </c>
      <c r="H5999" s="1" t="s">
        <v>3604</v>
      </c>
      <c r="I5999" s="1" t="s">
        <v>21116</v>
      </c>
      <c r="J5999" s="1" t="s">
        <v>3606</v>
      </c>
      <c r="K5999" s="1" t="s">
        <v>21117</v>
      </c>
      <c r="L5999" s="1"/>
      <c r="M5999" s="1"/>
    </row>
    <row x14ac:dyDescent="0.25" r="6000" customHeight="1" ht="18.75">
      <c r="A6000" s="1" t="s">
        <v>3598</v>
      </c>
      <c r="B6000" s="1" t="s">
        <v>3814</v>
      </c>
      <c r="C6000" s="1" t="s">
        <v>3600</v>
      </c>
      <c r="D6000" s="1" t="s">
        <v>3610</v>
      </c>
      <c r="E6000" s="1" t="s">
        <v>3664</v>
      </c>
      <c r="F6000" s="1" t="s">
        <v>21118</v>
      </c>
      <c r="G6000" s="1" t="s">
        <v>16117</v>
      </c>
      <c r="H6000" s="1" t="s">
        <v>3604</v>
      </c>
      <c r="I6000" s="1" t="s">
        <v>21119</v>
      </c>
      <c r="J6000" s="1" t="s">
        <v>3606</v>
      </c>
      <c r="K6000" s="1" t="s">
        <v>21120</v>
      </c>
      <c r="L6000" s="1"/>
      <c r="M6000" s="1"/>
    </row>
    <row x14ac:dyDescent="0.25" r="6001" customHeight="1" ht="18.75">
      <c r="A6001" s="1" t="s">
        <v>3598</v>
      </c>
      <c r="B6001" s="1" t="s">
        <v>3814</v>
      </c>
      <c r="C6001" s="1" t="s">
        <v>3600</v>
      </c>
      <c r="D6001" s="1" t="s">
        <v>3610</v>
      </c>
      <c r="E6001" s="1" t="s">
        <v>3664</v>
      </c>
      <c r="F6001" s="1" t="s">
        <v>21121</v>
      </c>
      <c r="G6001" s="1" t="s">
        <v>16117</v>
      </c>
      <c r="H6001" s="1" t="s">
        <v>3604</v>
      </c>
      <c r="I6001" s="1" t="s">
        <v>21122</v>
      </c>
      <c r="J6001" s="1" t="s">
        <v>3606</v>
      </c>
      <c r="K6001" s="1" t="s">
        <v>21123</v>
      </c>
      <c r="L6001" s="1"/>
      <c r="M6001" s="1"/>
    </row>
    <row x14ac:dyDescent="0.25" r="6002" customHeight="1" ht="18.75">
      <c r="A6002" s="1" t="s">
        <v>3598</v>
      </c>
      <c r="B6002" s="1" t="s">
        <v>3814</v>
      </c>
      <c r="C6002" s="1" t="s">
        <v>3600</v>
      </c>
      <c r="D6002" s="1" t="s">
        <v>3610</v>
      </c>
      <c r="E6002" s="1" t="s">
        <v>3664</v>
      </c>
      <c r="F6002" s="1" t="s">
        <v>21124</v>
      </c>
      <c r="G6002" s="1" t="s">
        <v>16131</v>
      </c>
      <c r="H6002" s="1" t="s">
        <v>3604</v>
      </c>
      <c r="I6002" s="1" t="s">
        <v>21125</v>
      </c>
      <c r="J6002" s="1" t="s">
        <v>3606</v>
      </c>
      <c r="K6002" s="1" t="s">
        <v>21126</v>
      </c>
      <c r="L6002" s="1"/>
      <c r="M6002" s="1"/>
    </row>
    <row x14ac:dyDescent="0.25" r="6003" customHeight="1" ht="18.75">
      <c r="A6003" s="1" t="s">
        <v>3598</v>
      </c>
      <c r="B6003" s="1" t="s">
        <v>3814</v>
      </c>
      <c r="C6003" s="1" t="s">
        <v>3600</v>
      </c>
      <c r="D6003" s="1" t="s">
        <v>3610</v>
      </c>
      <c r="E6003" s="1" t="s">
        <v>3664</v>
      </c>
      <c r="F6003" s="1" t="s">
        <v>21127</v>
      </c>
      <c r="G6003" s="1" t="s">
        <v>16131</v>
      </c>
      <c r="H6003" s="1" t="s">
        <v>3604</v>
      </c>
      <c r="I6003" s="1" t="s">
        <v>21128</v>
      </c>
      <c r="J6003" s="1" t="s">
        <v>3606</v>
      </c>
      <c r="K6003" s="1" t="s">
        <v>21129</v>
      </c>
      <c r="L6003" s="1"/>
      <c r="M6003" s="1"/>
    </row>
    <row x14ac:dyDescent="0.25" r="6004" customHeight="1" ht="18.75">
      <c r="A6004" s="1" t="s">
        <v>3598</v>
      </c>
      <c r="B6004" s="1" t="s">
        <v>3814</v>
      </c>
      <c r="C6004" s="1" t="s">
        <v>3600</v>
      </c>
      <c r="D6004" s="1" t="s">
        <v>3610</v>
      </c>
      <c r="E6004" s="1" t="s">
        <v>3664</v>
      </c>
      <c r="F6004" s="1" t="s">
        <v>21130</v>
      </c>
      <c r="G6004" s="1" t="s">
        <v>16131</v>
      </c>
      <c r="H6004" s="1" t="s">
        <v>3604</v>
      </c>
      <c r="I6004" s="1" t="s">
        <v>21131</v>
      </c>
      <c r="J6004" s="1" t="s">
        <v>3606</v>
      </c>
      <c r="K6004" s="1" t="s">
        <v>21132</v>
      </c>
      <c r="L6004" s="1"/>
      <c r="M6004" s="1"/>
    </row>
    <row x14ac:dyDescent="0.25" r="6005" customHeight="1" ht="18.75">
      <c r="A6005" s="1" t="s">
        <v>3598</v>
      </c>
      <c r="B6005" s="1" t="s">
        <v>9273</v>
      </c>
      <c r="C6005" s="1" t="s">
        <v>3600</v>
      </c>
      <c r="D6005" s="1" t="s">
        <v>3610</v>
      </c>
      <c r="E6005" s="1" t="s">
        <v>3664</v>
      </c>
      <c r="F6005" s="1" t="s">
        <v>21133</v>
      </c>
      <c r="G6005" s="1" t="s">
        <v>21134</v>
      </c>
      <c r="H6005" s="1" t="s">
        <v>3604</v>
      </c>
      <c r="I6005" s="1" t="s">
        <v>21135</v>
      </c>
      <c r="J6005" s="1" t="s">
        <v>3606</v>
      </c>
      <c r="K6005" s="1" t="s">
        <v>21136</v>
      </c>
      <c r="L6005" s="1"/>
      <c r="M6005" s="1"/>
    </row>
    <row x14ac:dyDescent="0.25" r="6006" customHeight="1" ht="18.75">
      <c r="A6006" s="1" t="s">
        <v>3598</v>
      </c>
      <c r="B6006" s="1" t="s">
        <v>9273</v>
      </c>
      <c r="C6006" s="1" t="s">
        <v>3600</v>
      </c>
      <c r="D6006" s="1" t="s">
        <v>3610</v>
      </c>
      <c r="E6006" s="1" t="s">
        <v>3664</v>
      </c>
      <c r="F6006" s="1" t="s">
        <v>21137</v>
      </c>
      <c r="G6006" s="1" t="s">
        <v>21134</v>
      </c>
      <c r="H6006" s="1" t="s">
        <v>3604</v>
      </c>
      <c r="I6006" s="1" t="s">
        <v>21138</v>
      </c>
      <c r="J6006" s="1" t="s">
        <v>3606</v>
      </c>
      <c r="K6006" s="1" t="s">
        <v>21139</v>
      </c>
      <c r="L6006" s="1"/>
      <c r="M6006" s="1"/>
    </row>
    <row x14ac:dyDescent="0.25" r="6007" customHeight="1" ht="18.75">
      <c r="A6007" s="1" t="s">
        <v>3598</v>
      </c>
      <c r="B6007" s="1" t="s">
        <v>9273</v>
      </c>
      <c r="C6007" s="1" t="s">
        <v>3600</v>
      </c>
      <c r="D6007" s="1" t="s">
        <v>3610</v>
      </c>
      <c r="E6007" s="1" t="s">
        <v>3664</v>
      </c>
      <c r="F6007" s="1" t="s">
        <v>21140</v>
      </c>
      <c r="G6007" s="1" t="s">
        <v>21134</v>
      </c>
      <c r="H6007" s="1" t="s">
        <v>3604</v>
      </c>
      <c r="I6007" s="1" t="s">
        <v>21141</v>
      </c>
      <c r="J6007" s="1" t="s">
        <v>3606</v>
      </c>
      <c r="K6007" s="1" t="s">
        <v>21142</v>
      </c>
      <c r="L6007" s="1"/>
      <c r="M6007" s="1"/>
    </row>
    <row x14ac:dyDescent="0.25" r="6008" customHeight="1" ht="18.75">
      <c r="A6008" s="1" t="s">
        <v>3598</v>
      </c>
      <c r="B6008" s="1" t="s">
        <v>9273</v>
      </c>
      <c r="C6008" s="1" t="s">
        <v>3600</v>
      </c>
      <c r="D6008" s="1" t="s">
        <v>3610</v>
      </c>
      <c r="E6008" s="1" t="s">
        <v>3664</v>
      </c>
      <c r="F6008" s="1" t="s">
        <v>21143</v>
      </c>
      <c r="G6008" s="1" t="s">
        <v>9275</v>
      </c>
      <c r="H6008" s="1" t="s">
        <v>3604</v>
      </c>
      <c r="I6008" s="1" t="s">
        <v>21144</v>
      </c>
      <c r="J6008" s="1" t="s">
        <v>3606</v>
      </c>
      <c r="K6008" s="1" t="s">
        <v>21145</v>
      </c>
      <c r="L6008" s="1"/>
      <c r="M6008" s="1"/>
    </row>
    <row x14ac:dyDescent="0.25" r="6009" customHeight="1" ht="18.75">
      <c r="A6009" s="1" t="s">
        <v>3598</v>
      </c>
      <c r="B6009" s="1" t="s">
        <v>9273</v>
      </c>
      <c r="C6009" s="1" t="s">
        <v>3600</v>
      </c>
      <c r="D6009" s="1" t="s">
        <v>3610</v>
      </c>
      <c r="E6009" s="1" t="s">
        <v>3664</v>
      </c>
      <c r="F6009" s="1" t="s">
        <v>21146</v>
      </c>
      <c r="G6009" s="1" t="s">
        <v>21147</v>
      </c>
      <c r="H6009" s="1" t="s">
        <v>3604</v>
      </c>
      <c r="I6009" s="1" t="s">
        <v>21148</v>
      </c>
      <c r="J6009" s="1" t="s">
        <v>3606</v>
      </c>
      <c r="K6009" s="1" t="s">
        <v>21149</v>
      </c>
      <c r="L6009" s="1"/>
      <c r="M6009" s="1"/>
    </row>
    <row x14ac:dyDescent="0.25" r="6010" customHeight="1" ht="18.75">
      <c r="A6010" s="1" t="s">
        <v>3598</v>
      </c>
      <c r="B6010" s="1" t="s">
        <v>9273</v>
      </c>
      <c r="C6010" s="1" t="s">
        <v>3600</v>
      </c>
      <c r="D6010" s="1" t="s">
        <v>3610</v>
      </c>
      <c r="E6010" s="1" t="s">
        <v>3664</v>
      </c>
      <c r="F6010" s="1" t="s">
        <v>21150</v>
      </c>
      <c r="G6010" s="1" t="s">
        <v>21147</v>
      </c>
      <c r="H6010" s="1" t="s">
        <v>3604</v>
      </c>
      <c r="I6010" s="1" t="s">
        <v>21151</v>
      </c>
      <c r="J6010" s="1" t="s">
        <v>3606</v>
      </c>
      <c r="K6010" s="1" t="s">
        <v>21152</v>
      </c>
      <c r="L6010" s="1"/>
      <c r="M6010" s="1"/>
    </row>
    <row x14ac:dyDescent="0.25" r="6011" customHeight="1" ht="18.75">
      <c r="A6011" s="1" t="s">
        <v>3598</v>
      </c>
      <c r="B6011" s="1" t="s">
        <v>9273</v>
      </c>
      <c r="C6011" s="1" t="s">
        <v>3600</v>
      </c>
      <c r="D6011" s="1" t="s">
        <v>3610</v>
      </c>
      <c r="E6011" s="1" t="s">
        <v>3664</v>
      </c>
      <c r="F6011" s="1" t="s">
        <v>21153</v>
      </c>
      <c r="G6011" s="1" t="s">
        <v>21147</v>
      </c>
      <c r="H6011" s="1" t="s">
        <v>3604</v>
      </c>
      <c r="I6011" s="1" t="s">
        <v>21154</v>
      </c>
      <c r="J6011" s="1" t="s">
        <v>3606</v>
      </c>
      <c r="K6011" s="1" t="s">
        <v>21155</v>
      </c>
      <c r="L6011" s="1"/>
      <c r="M6011" s="1"/>
    </row>
    <row x14ac:dyDescent="0.25" r="6012" customHeight="1" ht="18.75">
      <c r="A6012" s="1" t="s">
        <v>3598</v>
      </c>
      <c r="B6012" s="1" t="s">
        <v>9273</v>
      </c>
      <c r="C6012" s="1" t="s">
        <v>3600</v>
      </c>
      <c r="D6012" s="1" t="s">
        <v>3610</v>
      </c>
      <c r="E6012" s="1" t="s">
        <v>3664</v>
      </c>
      <c r="F6012" s="1" t="s">
        <v>21156</v>
      </c>
      <c r="G6012" s="1" t="s">
        <v>21157</v>
      </c>
      <c r="H6012" s="1" t="s">
        <v>3604</v>
      </c>
      <c r="I6012" s="1" t="s">
        <v>21158</v>
      </c>
      <c r="J6012" s="1" t="s">
        <v>3606</v>
      </c>
      <c r="K6012" s="1" t="s">
        <v>21159</v>
      </c>
      <c r="L6012" s="1"/>
      <c r="M6012" s="1"/>
    </row>
    <row x14ac:dyDescent="0.25" r="6013" customHeight="1" ht="18.75">
      <c r="A6013" s="1" t="s">
        <v>3598</v>
      </c>
      <c r="B6013" s="1" t="s">
        <v>9273</v>
      </c>
      <c r="C6013" s="1" t="s">
        <v>3600</v>
      </c>
      <c r="D6013" s="1" t="s">
        <v>3610</v>
      </c>
      <c r="E6013" s="1" t="s">
        <v>3664</v>
      </c>
      <c r="F6013" s="1" t="s">
        <v>21160</v>
      </c>
      <c r="G6013" s="1" t="s">
        <v>21157</v>
      </c>
      <c r="H6013" s="1" t="s">
        <v>3604</v>
      </c>
      <c r="I6013" s="1" t="s">
        <v>21161</v>
      </c>
      <c r="J6013" s="1" t="s">
        <v>3606</v>
      </c>
      <c r="K6013" s="1" t="s">
        <v>21162</v>
      </c>
      <c r="L6013" s="1"/>
      <c r="M6013" s="1"/>
    </row>
    <row x14ac:dyDescent="0.25" r="6014" customHeight="1" ht="18.75">
      <c r="A6014" s="1" t="s">
        <v>3598</v>
      </c>
      <c r="B6014" s="1" t="s">
        <v>9273</v>
      </c>
      <c r="C6014" s="1" t="s">
        <v>3600</v>
      </c>
      <c r="D6014" s="1" t="s">
        <v>3610</v>
      </c>
      <c r="E6014" s="1" t="s">
        <v>3664</v>
      </c>
      <c r="F6014" s="1" t="s">
        <v>21163</v>
      </c>
      <c r="G6014" s="1" t="s">
        <v>17928</v>
      </c>
      <c r="H6014" s="1" t="s">
        <v>3604</v>
      </c>
      <c r="I6014" s="1" t="s">
        <v>21164</v>
      </c>
      <c r="J6014" s="1" t="s">
        <v>3606</v>
      </c>
      <c r="K6014" s="1" t="s">
        <v>21165</v>
      </c>
      <c r="L6014" s="1"/>
      <c r="M6014" s="1"/>
    </row>
    <row x14ac:dyDescent="0.25" r="6015" customHeight="1" ht="18.75">
      <c r="A6015" s="1" t="s">
        <v>3598</v>
      </c>
      <c r="B6015" s="1" t="s">
        <v>9273</v>
      </c>
      <c r="C6015" s="1" t="s">
        <v>3600</v>
      </c>
      <c r="D6015" s="1" t="s">
        <v>3610</v>
      </c>
      <c r="E6015" s="1" t="s">
        <v>3664</v>
      </c>
      <c r="F6015" s="1" t="s">
        <v>21166</v>
      </c>
      <c r="G6015" s="1" t="s">
        <v>17928</v>
      </c>
      <c r="H6015" s="1" t="s">
        <v>3604</v>
      </c>
      <c r="I6015" s="1" t="s">
        <v>21167</v>
      </c>
      <c r="J6015" s="1" t="s">
        <v>3606</v>
      </c>
      <c r="K6015" s="1" t="s">
        <v>21168</v>
      </c>
      <c r="L6015" s="1"/>
      <c r="M6015" s="1"/>
    </row>
    <row x14ac:dyDescent="0.25" r="6016" customHeight="1" ht="18.75">
      <c r="A6016" s="1" t="s">
        <v>3598</v>
      </c>
      <c r="B6016" s="1" t="s">
        <v>9273</v>
      </c>
      <c r="C6016" s="1" t="s">
        <v>3600</v>
      </c>
      <c r="D6016" s="1" t="s">
        <v>3610</v>
      </c>
      <c r="E6016" s="1" t="s">
        <v>3664</v>
      </c>
      <c r="F6016" s="1" t="s">
        <v>21169</v>
      </c>
      <c r="G6016" s="1" t="s">
        <v>17928</v>
      </c>
      <c r="H6016" s="1" t="s">
        <v>3604</v>
      </c>
      <c r="I6016" s="1" t="s">
        <v>21170</v>
      </c>
      <c r="J6016" s="1" t="s">
        <v>3606</v>
      </c>
      <c r="K6016" s="1" t="s">
        <v>21171</v>
      </c>
      <c r="L6016" s="1"/>
      <c r="M6016" s="1"/>
    </row>
    <row x14ac:dyDescent="0.25" r="6017" customHeight="1" ht="18.75">
      <c r="A6017" s="1" t="s">
        <v>3598</v>
      </c>
      <c r="B6017" s="1" t="s">
        <v>9273</v>
      </c>
      <c r="C6017" s="1" t="s">
        <v>3600</v>
      </c>
      <c r="D6017" s="1" t="s">
        <v>3610</v>
      </c>
      <c r="E6017" s="1" t="s">
        <v>3664</v>
      </c>
      <c r="F6017" s="1" t="s">
        <v>21172</v>
      </c>
      <c r="G6017" s="1" t="s">
        <v>20164</v>
      </c>
      <c r="H6017" s="1" t="s">
        <v>3604</v>
      </c>
      <c r="I6017" s="1" t="s">
        <v>21173</v>
      </c>
      <c r="J6017" s="1" t="s">
        <v>3606</v>
      </c>
      <c r="K6017" s="1" t="s">
        <v>21174</v>
      </c>
      <c r="L6017" s="1"/>
      <c r="M6017" s="1"/>
    </row>
    <row x14ac:dyDescent="0.25" r="6018" customHeight="1" ht="18.75">
      <c r="A6018" s="1" t="s">
        <v>3598</v>
      </c>
      <c r="B6018" s="1" t="s">
        <v>9273</v>
      </c>
      <c r="C6018" s="1" t="s">
        <v>3600</v>
      </c>
      <c r="D6018" s="1" t="s">
        <v>3610</v>
      </c>
      <c r="E6018" s="1" t="s">
        <v>3664</v>
      </c>
      <c r="F6018" s="1" t="s">
        <v>21175</v>
      </c>
      <c r="G6018" s="1" t="s">
        <v>20164</v>
      </c>
      <c r="H6018" s="1" t="s">
        <v>3604</v>
      </c>
      <c r="I6018" s="1" t="s">
        <v>21176</v>
      </c>
      <c r="J6018" s="1" t="s">
        <v>3606</v>
      </c>
      <c r="K6018" s="1" t="s">
        <v>21177</v>
      </c>
      <c r="L6018" s="1"/>
      <c r="M6018" s="1"/>
    </row>
    <row x14ac:dyDescent="0.25" r="6019" customHeight="1" ht="18.75">
      <c r="A6019" s="1" t="s">
        <v>3598</v>
      </c>
      <c r="B6019" s="1" t="s">
        <v>9273</v>
      </c>
      <c r="C6019" s="1" t="s">
        <v>3600</v>
      </c>
      <c r="D6019" s="1" t="s">
        <v>3610</v>
      </c>
      <c r="E6019" s="1" t="s">
        <v>3664</v>
      </c>
      <c r="F6019" s="1" t="s">
        <v>21178</v>
      </c>
      <c r="G6019" s="1" t="s">
        <v>20168</v>
      </c>
      <c r="H6019" s="1" t="s">
        <v>3604</v>
      </c>
      <c r="I6019" s="1" t="s">
        <v>21179</v>
      </c>
      <c r="J6019" s="1" t="s">
        <v>3606</v>
      </c>
      <c r="K6019" s="1" t="s">
        <v>21180</v>
      </c>
      <c r="L6019" s="1"/>
      <c r="M6019" s="1"/>
    </row>
    <row x14ac:dyDescent="0.25" r="6020" customHeight="1" ht="18.75">
      <c r="A6020" s="1" t="s">
        <v>3598</v>
      </c>
      <c r="B6020" s="1" t="s">
        <v>9273</v>
      </c>
      <c r="C6020" s="1" t="s">
        <v>3600</v>
      </c>
      <c r="D6020" s="1" t="s">
        <v>3610</v>
      </c>
      <c r="E6020" s="1" t="s">
        <v>3664</v>
      </c>
      <c r="F6020" s="1" t="s">
        <v>21181</v>
      </c>
      <c r="G6020" s="1" t="s">
        <v>20168</v>
      </c>
      <c r="H6020" s="1" t="s">
        <v>3604</v>
      </c>
      <c r="I6020" s="1" t="s">
        <v>21182</v>
      </c>
      <c r="J6020" s="1" t="s">
        <v>3606</v>
      </c>
      <c r="K6020" s="1" t="s">
        <v>21183</v>
      </c>
      <c r="L6020" s="1"/>
      <c r="M6020" s="1"/>
    </row>
    <row x14ac:dyDescent="0.25" r="6021" customHeight="1" ht="18.75">
      <c r="A6021" s="1" t="s">
        <v>3598</v>
      </c>
      <c r="B6021" s="1" t="s">
        <v>9273</v>
      </c>
      <c r="C6021" s="1" t="s">
        <v>3600</v>
      </c>
      <c r="D6021" s="1" t="s">
        <v>3610</v>
      </c>
      <c r="E6021" s="1" t="s">
        <v>3664</v>
      </c>
      <c r="F6021" s="1" t="s">
        <v>21184</v>
      </c>
      <c r="G6021" s="1" t="s">
        <v>20168</v>
      </c>
      <c r="H6021" s="1" t="s">
        <v>3604</v>
      </c>
      <c r="I6021" s="1" t="s">
        <v>21185</v>
      </c>
      <c r="J6021" s="1" t="s">
        <v>3606</v>
      </c>
      <c r="K6021" s="1" t="s">
        <v>21186</v>
      </c>
      <c r="L6021" s="1"/>
      <c r="M6021" s="1"/>
    </row>
    <row x14ac:dyDescent="0.25" r="6022" customHeight="1" ht="18.75">
      <c r="A6022" s="1" t="s">
        <v>3598</v>
      </c>
      <c r="B6022" s="1" t="s">
        <v>5260</v>
      </c>
      <c r="C6022" s="1" t="s">
        <v>3600</v>
      </c>
      <c r="D6022" s="1" t="s">
        <v>3610</v>
      </c>
      <c r="E6022" s="1" t="s">
        <v>3611</v>
      </c>
      <c r="F6022" s="1" t="s">
        <v>21187</v>
      </c>
      <c r="G6022" s="1" t="s">
        <v>9107</v>
      </c>
      <c r="H6022" s="1" t="s">
        <v>3604</v>
      </c>
      <c r="I6022" s="1" t="s">
        <v>21188</v>
      </c>
      <c r="J6022" s="1" t="s">
        <v>3606</v>
      </c>
      <c r="K6022" s="1" t="s">
        <v>21189</v>
      </c>
      <c r="L6022" s="1"/>
      <c r="M6022" s="1"/>
    </row>
    <row x14ac:dyDescent="0.25" r="6023" customHeight="1" ht="18.75">
      <c r="A6023" s="1" t="s">
        <v>3598</v>
      </c>
      <c r="B6023" s="1" t="s">
        <v>5260</v>
      </c>
      <c r="C6023" s="1" t="s">
        <v>3600</v>
      </c>
      <c r="D6023" s="1" t="s">
        <v>3610</v>
      </c>
      <c r="E6023" s="1" t="s">
        <v>3611</v>
      </c>
      <c r="F6023" s="1" t="s">
        <v>21190</v>
      </c>
      <c r="G6023" s="1" t="s">
        <v>9107</v>
      </c>
      <c r="H6023" s="1" t="s">
        <v>3604</v>
      </c>
      <c r="I6023" s="1" t="s">
        <v>21191</v>
      </c>
      <c r="J6023" s="1" t="s">
        <v>3606</v>
      </c>
      <c r="K6023" s="1" t="s">
        <v>21192</v>
      </c>
      <c r="L6023" s="1"/>
      <c r="M6023" s="1"/>
    </row>
    <row x14ac:dyDescent="0.25" r="6024" customHeight="1" ht="18.75">
      <c r="A6024" s="1" t="s">
        <v>3598</v>
      </c>
      <c r="B6024" s="1" t="s">
        <v>5260</v>
      </c>
      <c r="C6024" s="1" t="s">
        <v>3600</v>
      </c>
      <c r="D6024" s="1" t="s">
        <v>3610</v>
      </c>
      <c r="E6024" s="1" t="s">
        <v>3611</v>
      </c>
      <c r="F6024" s="1" t="s">
        <v>21193</v>
      </c>
      <c r="G6024" s="1" t="s">
        <v>9107</v>
      </c>
      <c r="H6024" s="1" t="s">
        <v>3604</v>
      </c>
      <c r="I6024" s="1" t="s">
        <v>21194</v>
      </c>
      <c r="J6024" s="1" t="s">
        <v>3606</v>
      </c>
      <c r="K6024" s="1" t="s">
        <v>21195</v>
      </c>
      <c r="L6024" s="1"/>
      <c r="M6024" s="1"/>
    </row>
    <row x14ac:dyDescent="0.25" r="6025" customHeight="1" ht="18.75">
      <c r="A6025" s="1" t="s">
        <v>3598</v>
      </c>
      <c r="B6025" s="1" t="s">
        <v>5260</v>
      </c>
      <c r="C6025" s="1" t="s">
        <v>3600</v>
      </c>
      <c r="D6025" s="1" t="s">
        <v>3610</v>
      </c>
      <c r="E6025" s="1" t="s">
        <v>3664</v>
      </c>
      <c r="F6025" s="1" t="s">
        <v>21196</v>
      </c>
      <c r="G6025" s="1" t="s">
        <v>21134</v>
      </c>
      <c r="H6025" s="1" t="s">
        <v>3604</v>
      </c>
      <c r="I6025" s="1" t="s">
        <v>21197</v>
      </c>
      <c r="J6025" s="1" t="s">
        <v>3606</v>
      </c>
      <c r="K6025" s="1" t="s">
        <v>21198</v>
      </c>
      <c r="L6025" s="1"/>
      <c r="M6025" s="1"/>
    </row>
    <row x14ac:dyDescent="0.25" r="6026" customHeight="1" ht="18.75">
      <c r="A6026" s="1" t="s">
        <v>3598</v>
      </c>
      <c r="B6026" s="1" t="s">
        <v>5260</v>
      </c>
      <c r="C6026" s="1" t="s">
        <v>3600</v>
      </c>
      <c r="D6026" s="1" t="s">
        <v>3610</v>
      </c>
      <c r="E6026" s="1" t="s">
        <v>3664</v>
      </c>
      <c r="F6026" s="1" t="s">
        <v>21199</v>
      </c>
      <c r="G6026" s="1" t="s">
        <v>21134</v>
      </c>
      <c r="H6026" s="1" t="s">
        <v>3604</v>
      </c>
      <c r="I6026" s="1" t="s">
        <v>21200</v>
      </c>
      <c r="J6026" s="1" t="s">
        <v>3606</v>
      </c>
      <c r="K6026" s="1" t="s">
        <v>21201</v>
      </c>
      <c r="L6026" s="1"/>
      <c r="M6026" s="1"/>
    </row>
    <row x14ac:dyDescent="0.25" r="6027" customHeight="1" ht="18.75">
      <c r="A6027" s="1" t="s">
        <v>3598</v>
      </c>
      <c r="B6027" s="1" t="s">
        <v>5260</v>
      </c>
      <c r="C6027" s="1" t="s">
        <v>3600</v>
      </c>
      <c r="D6027" s="1" t="s">
        <v>3610</v>
      </c>
      <c r="E6027" s="1" t="s">
        <v>3664</v>
      </c>
      <c r="F6027" s="1" t="s">
        <v>21202</v>
      </c>
      <c r="G6027" s="1" t="s">
        <v>21134</v>
      </c>
      <c r="H6027" s="1" t="s">
        <v>3604</v>
      </c>
      <c r="I6027" s="1" t="s">
        <v>21203</v>
      </c>
      <c r="J6027" s="1" t="s">
        <v>3606</v>
      </c>
      <c r="K6027" s="1" t="s">
        <v>21204</v>
      </c>
      <c r="L6027" s="1"/>
      <c r="M6027" s="1"/>
    </row>
    <row x14ac:dyDescent="0.25" r="6028" customHeight="1" ht="18.75">
      <c r="A6028" s="1" t="s">
        <v>3598</v>
      </c>
      <c r="B6028" s="1" t="s">
        <v>5260</v>
      </c>
      <c r="C6028" s="1" t="s">
        <v>3600</v>
      </c>
      <c r="D6028" s="1" t="s">
        <v>3610</v>
      </c>
      <c r="E6028" s="1" t="s">
        <v>3664</v>
      </c>
      <c r="F6028" s="1" t="s">
        <v>21205</v>
      </c>
      <c r="G6028" s="1" t="s">
        <v>21134</v>
      </c>
      <c r="H6028" s="1" t="s">
        <v>3604</v>
      </c>
      <c r="I6028" s="1" t="s">
        <v>21206</v>
      </c>
      <c r="J6028" s="1" t="s">
        <v>3606</v>
      </c>
      <c r="K6028" s="1" t="s">
        <v>21207</v>
      </c>
      <c r="L6028" s="1"/>
      <c r="M6028" s="1"/>
    </row>
    <row x14ac:dyDescent="0.25" r="6029" customHeight="1" ht="18.75">
      <c r="A6029" s="1" t="s">
        <v>3598</v>
      </c>
      <c r="B6029" s="1" t="s">
        <v>5260</v>
      </c>
      <c r="C6029" s="1" t="s">
        <v>3600</v>
      </c>
      <c r="D6029" s="1" t="s">
        <v>3610</v>
      </c>
      <c r="E6029" s="1" t="s">
        <v>3664</v>
      </c>
      <c r="F6029" s="1" t="s">
        <v>21208</v>
      </c>
      <c r="G6029" s="1" t="s">
        <v>21134</v>
      </c>
      <c r="H6029" s="1" t="s">
        <v>3604</v>
      </c>
      <c r="I6029" s="1" t="s">
        <v>21209</v>
      </c>
      <c r="J6029" s="1" t="s">
        <v>3606</v>
      </c>
      <c r="K6029" s="1" t="s">
        <v>21210</v>
      </c>
      <c r="L6029" s="1"/>
      <c r="M6029" s="1"/>
    </row>
    <row x14ac:dyDescent="0.25" r="6030" customHeight="1" ht="18.75">
      <c r="A6030" s="1" t="s">
        <v>3598</v>
      </c>
      <c r="B6030" s="1" t="s">
        <v>5260</v>
      </c>
      <c r="C6030" s="1" t="s">
        <v>3600</v>
      </c>
      <c r="D6030" s="1" t="s">
        <v>3610</v>
      </c>
      <c r="E6030" s="1" t="s">
        <v>3664</v>
      </c>
      <c r="F6030" s="1" t="s">
        <v>21211</v>
      </c>
      <c r="G6030" s="1" t="s">
        <v>21212</v>
      </c>
      <c r="H6030" s="1" t="s">
        <v>3604</v>
      </c>
      <c r="I6030" s="1" t="s">
        <v>21213</v>
      </c>
      <c r="J6030" s="1" t="s">
        <v>3606</v>
      </c>
      <c r="K6030" s="1" t="s">
        <v>21214</v>
      </c>
      <c r="L6030" s="1"/>
      <c r="M6030" s="1"/>
    </row>
    <row x14ac:dyDescent="0.25" r="6031" customHeight="1" ht="18.75">
      <c r="A6031" s="1" t="s">
        <v>3598</v>
      </c>
      <c r="B6031" s="1" t="s">
        <v>5260</v>
      </c>
      <c r="C6031" s="1" t="s">
        <v>3600</v>
      </c>
      <c r="D6031" s="1" t="s">
        <v>3610</v>
      </c>
      <c r="E6031" s="1" t="s">
        <v>3664</v>
      </c>
      <c r="F6031" s="1" t="s">
        <v>21215</v>
      </c>
      <c r="G6031" s="1" t="s">
        <v>21212</v>
      </c>
      <c r="H6031" s="1" t="s">
        <v>3604</v>
      </c>
      <c r="I6031" s="1" t="s">
        <v>21216</v>
      </c>
      <c r="J6031" s="1" t="s">
        <v>3606</v>
      </c>
      <c r="K6031" s="1" t="s">
        <v>21217</v>
      </c>
      <c r="L6031" s="1"/>
      <c r="M6031" s="1"/>
    </row>
    <row x14ac:dyDescent="0.25" r="6032" customHeight="1" ht="18.75">
      <c r="A6032" s="1" t="s">
        <v>3598</v>
      </c>
      <c r="B6032" s="1" t="s">
        <v>5260</v>
      </c>
      <c r="C6032" s="1" t="s">
        <v>3600</v>
      </c>
      <c r="D6032" s="1" t="s">
        <v>3610</v>
      </c>
      <c r="E6032" s="1" t="s">
        <v>3664</v>
      </c>
      <c r="F6032" s="1" t="s">
        <v>21218</v>
      </c>
      <c r="G6032" s="1" t="s">
        <v>21212</v>
      </c>
      <c r="H6032" s="1" t="s">
        <v>3604</v>
      </c>
      <c r="I6032" s="1" t="s">
        <v>21219</v>
      </c>
      <c r="J6032" s="1" t="s">
        <v>3606</v>
      </c>
      <c r="K6032" s="1" t="s">
        <v>21220</v>
      </c>
      <c r="L6032" s="1"/>
      <c r="M6032" s="1"/>
    </row>
    <row x14ac:dyDescent="0.25" r="6033" customHeight="1" ht="18.75">
      <c r="A6033" s="1" t="s">
        <v>3598</v>
      </c>
      <c r="B6033" s="1" t="s">
        <v>5260</v>
      </c>
      <c r="C6033" s="1" t="s">
        <v>3600</v>
      </c>
      <c r="D6033" s="1" t="s">
        <v>3610</v>
      </c>
      <c r="E6033" s="1" t="s">
        <v>3664</v>
      </c>
      <c r="F6033" s="1" t="s">
        <v>21221</v>
      </c>
      <c r="G6033" s="1" t="s">
        <v>21212</v>
      </c>
      <c r="H6033" s="1" t="s">
        <v>3604</v>
      </c>
      <c r="I6033" s="1" t="s">
        <v>21222</v>
      </c>
      <c r="J6033" s="1" t="s">
        <v>3606</v>
      </c>
      <c r="K6033" s="1" t="s">
        <v>21223</v>
      </c>
      <c r="L6033" s="1"/>
      <c r="M6033" s="1"/>
    </row>
    <row x14ac:dyDescent="0.25" r="6034" customHeight="1" ht="18.75">
      <c r="A6034" s="1" t="s">
        <v>3598</v>
      </c>
      <c r="B6034" s="1" t="s">
        <v>5260</v>
      </c>
      <c r="C6034" s="1" t="s">
        <v>3600</v>
      </c>
      <c r="D6034" s="1" t="s">
        <v>3610</v>
      </c>
      <c r="E6034" s="1" t="s">
        <v>3664</v>
      </c>
      <c r="F6034" s="1" t="s">
        <v>21224</v>
      </c>
      <c r="G6034" s="1" t="s">
        <v>21212</v>
      </c>
      <c r="H6034" s="1" t="s">
        <v>3604</v>
      </c>
      <c r="I6034" s="1" t="s">
        <v>21225</v>
      </c>
      <c r="J6034" s="1" t="s">
        <v>3606</v>
      </c>
      <c r="K6034" s="1" t="s">
        <v>21226</v>
      </c>
      <c r="L6034" s="1"/>
      <c r="M6034" s="1"/>
    </row>
    <row x14ac:dyDescent="0.25" r="6035" customHeight="1" ht="18.75">
      <c r="A6035" s="1" t="s">
        <v>3598</v>
      </c>
      <c r="B6035" s="1" t="s">
        <v>5260</v>
      </c>
      <c r="C6035" s="1" t="s">
        <v>3600</v>
      </c>
      <c r="D6035" s="1" t="s">
        <v>3610</v>
      </c>
      <c r="E6035" s="1" t="s">
        <v>3664</v>
      </c>
      <c r="F6035" s="1" t="s">
        <v>21227</v>
      </c>
      <c r="G6035" s="1" t="s">
        <v>21228</v>
      </c>
      <c r="H6035" s="1" t="s">
        <v>3604</v>
      </c>
      <c r="I6035" s="1" t="s">
        <v>21229</v>
      </c>
      <c r="J6035" s="1" t="s">
        <v>3606</v>
      </c>
      <c r="K6035" s="1" t="s">
        <v>21230</v>
      </c>
      <c r="L6035" s="1"/>
      <c r="M6035" s="1"/>
    </row>
    <row x14ac:dyDescent="0.25" r="6036" customHeight="1" ht="18.75">
      <c r="A6036" s="1" t="s">
        <v>3598</v>
      </c>
      <c r="B6036" s="1" t="s">
        <v>5260</v>
      </c>
      <c r="C6036" s="1" t="s">
        <v>3600</v>
      </c>
      <c r="D6036" s="1" t="s">
        <v>3610</v>
      </c>
      <c r="E6036" s="1" t="s">
        <v>3664</v>
      </c>
      <c r="F6036" s="1" t="s">
        <v>21231</v>
      </c>
      <c r="G6036" s="1" t="s">
        <v>21228</v>
      </c>
      <c r="H6036" s="1" t="s">
        <v>3604</v>
      </c>
      <c r="I6036" s="1" t="s">
        <v>21232</v>
      </c>
      <c r="J6036" s="1" t="s">
        <v>3606</v>
      </c>
      <c r="K6036" s="1" t="s">
        <v>21233</v>
      </c>
      <c r="L6036" s="1"/>
      <c r="M6036" s="1"/>
    </row>
    <row x14ac:dyDescent="0.25" r="6037" customHeight="1" ht="18.75">
      <c r="A6037" s="1" t="s">
        <v>3598</v>
      </c>
      <c r="B6037" s="1" t="s">
        <v>5260</v>
      </c>
      <c r="C6037" s="1" t="s">
        <v>3600</v>
      </c>
      <c r="D6037" s="1" t="s">
        <v>3610</v>
      </c>
      <c r="E6037" s="1" t="s">
        <v>3664</v>
      </c>
      <c r="F6037" s="1" t="s">
        <v>21234</v>
      </c>
      <c r="G6037" s="1" t="s">
        <v>21228</v>
      </c>
      <c r="H6037" s="1" t="s">
        <v>3604</v>
      </c>
      <c r="I6037" s="1" t="s">
        <v>21235</v>
      </c>
      <c r="J6037" s="1" t="s">
        <v>3606</v>
      </c>
      <c r="K6037" s="1" t="s">
        <v>21236</v>
      </c>
      <c r="L6037" s="1"/>
      <c r="M6037" s="1"/>
    </row>
    <row x14ac:dyDescent="0.25" r="6038" customHeight="1" ht="18.75">
      <c r="A6038" s="1" t="s">
        <v>3598</v>
      </c>
      <c r="B6038" s="1" t="s">
        <v>5260</v>
      </c>
      <c r="C6038" s="1" t="s">
        <v>3600</v>
      </c>
      <c r="D6038" s="1" t="s">
        <v>3610</v>
      </c>
      <c r="E6038" s="1" t="s">
        <v>3664</v>
      </c>
      <c r="F6038" s="1" t="s">
        <v>21237</v>
      </c>
      <c r="G6038" s="1" t="s">
        <v>21228</v>
      </c>
      <c r="H6038" s="1" t="s">
        <v>3604</v>
      </c>
      <c r="I6038" s="1" t="s">
        <v>21238</v>
      </c>
      <c r="J6038" s="1" t="s">
        <v>3606</v>
      </c>
      <c r="K6038" s="1" t="s">
        <v>21239</v>
      </c>
      <c r="L6038" s="1"/>
      <c r="M6038" s="1"/>
    </row>
    <row x14ac:dyDescent="0.25" r="6039" customHeight="1" ht="18.75">
      <c r="A6039" s="1" t="s">
        <v>3598</v>
      </c>
      <c r="B6039" s="1" t="s">
        <v>5260</v>
      </c>
      <c r="C6039" s="1" t="s">
        <v>3600</v>
      </c>
      <c r="D6039" s="1" t="s">
        <v>3610</v>
      </c>
      <c r="E6039" s="1" t="s">
        <v>3664</v>
      </c>
      <c r="F6039" s="1" t="s">
        <v>21240</v>
      </c>
      <c r="G6039" s="1" t="s">
        <v>21228</v>
      </c>
      <c r="H6039" s="1" t="s">
        <v>3604</v>
      </c>
      <c r="I6039" s="1" t="s">
        <v>21241</v>
      </c>
      <c r="J6039" s="1" t="s">
        <v>3606</v>
      </c>
      <c r="K6039" s="1" t="s">
        <v>21242</v>
      </c>
      <c r="L6039" s="1"/>
      <c r="M6039" s="1"/>
    </row>
    <row x14ac:dyDescent="0.25" r="6040" customHeight="1" ht="18.75">
      <c r="A6040" s="1" t="s">
        <v>3598</v>
      </c>
      <c r="B6040" s="1" t="s">
        <v>5260</v>
      </c>
      <c r="C6040" s="1" t="s">
        <v>3600</v>
      </c>
      <c r="D6040" s="1" t="s">
        <v>3610</v>
      </c>
      <c r="E6040" s="1" t="s">
        <v>3664</v>
      </c>
      <c r="F6040" s="1" t="s">
        <v>21243</v>
      </c>
      <c r="G6040" s="1" t="s">
        <v>21244</v>
      </c>
      <c r="H6040" s="1" t="s">
        <v>3604</v>
      </c>
      <c r="I6040" s="1" t="s">
        <v>21245</v>
      </c>
      <c r="J6040" s="1" t="s">
        <v>3606</v>
      </c>
      <c r="K6040" s="1" t="s">
        <v>21246</v>
      </c>
      <c r="L6040" s="1"/>
      <c r="M6040" s="1"/>
    </row>
    <row x14ac:dyDescent="0.25" r="6041" customHeight="1" ht="18.75">
      <c r="A6041" s="1" t="s">
        <v>3598</v>
      </c>
      <c r="B6041" s="1" t="s">
        <v>5260</v>
      </c>
      <c r="C6041" s="1" t="s">
        <v>3600</v>
      </c>
      <c r="D6041" s="1" t="s">
        <v>3610</v>
      </c>
      <c r="E6041" s="1" t="s">
        <v>3664</v>
      </c>
      <c r="F6041" s="1" t="s">
        <v>21247</v>
      </c>
      <c r="G6041" s="1" t="s">
        <v>21244</v>
      </c>
      <c r="H6041" s="1" t="s">
        <v>3604</v>
      </c>
      <c r="I6041" s="1" t="s">
        <v>21248</v>
      </c>
      <c r="J6041" s="1" t="s">
        <v>3606</v>
      </c>
      <c r="K6041" s="1" t="s">
        <v>21249</v>
      </c>
      <c r="L6041" s="1"/>
      <c r="M6041" s="1"/>
    </row>
    <row x14ac:dyDescent="0.25" r="6042" customHeight="1" ht="18.75">
      <c r="A6042" s="1" t="s">
        <v>3598</v>
      </c>
      <c r="B6042" s="1" t="s">
        <v>5260</v>
      </c>
      <c r="C6042" s="1" t="s">
        <v>3600</v>
      </c>
      <c r="D6042" s="1" t="s">
        <v>3610</v>
      </c>
      <c r="E6042" s="1" t="s">
        <v>3664</v>
      </c>
      <c r="F6042" s="1" t="s">
        <v>21250</v>
      </c>
      <c r="G6042" s="1" t="s">
        <v>21244</v>
      </c>
      <c r="H6042" s="1" t="s">
        <v>3604</v>
      </c>
      <c r="I6042" s="1" t="s">
        <v>21251</v>
      </c>
      <c r="J6042" s="1" t="s">
        <v>3606</v>
      </c>
      <c r="K6042" s="1" t="s">
        <v>21252</v>
      </c>
      <c r="L6042" s="1"/>
      <c r="M6042" s="1"/>
    </row>
    <row x14ac:dyDescent="0.25" r="6043" customHeight="1" ht="18.75">
      <c r="A6043" s="1" t="s">
        <v>3598</v>
      </c>
      <c r="B6043" s="1" t="s">
        <v>5260</v>
      </c>
      <c r="C6043" s="1" t="s">
        <v>3600</v>
      </c>
      <c r="D6043" s="1" t="s">
        <v>3610</v>
      </c>
      <c r="E6043" s="1" t="s">
        <v>3664</v>
      </c>
      <c r="F6043" s="1" t="s">
        <v>21253</v>
      </c>
      <c r="G6043" s="1" t="s">
        <v>21244</v>
      </c>
      <c r="H6043" s="1" t="s">
        <v>3604</v>
      </c>
      <c r="I6043" s="1" t="s">
        <v>21254</v>
      </c>
      <c r="J6043" s="1" t="s">
        <v>3606</v>
      </c>
      <c r="K6043" s="1" t="s">
        <v>21255</v>
      </c>
      <c r="L6043" s="1"/>
      <c r="M6043" s="1"/>
    </row>
    <row x14ac:dyDescent="0.25" r="6044" customHeight="1" ht="18.75">
      <c r="A6044" s="1" t="s">
        <v>3598</v>
      </c>
      <c r="B6044" s="1" t="s">
        <v>5260</v>
      </c>
      <c r="C6044" s="1" t="s">
        <v>3600</v>
      </c>
      <c r="D6044" s="1" t="s">
        <v>3610</v>
      </c>
      <c r="E6044" s="1" t="s">
        <v>3664</v>
      </c>
      <c r="F6044" s="1" t="s">
        <v>21256</v>
      </c>
      <c r="G6044" s="1" t="s">
        <v>21244</v>
      </c>
      <c r="H6044" s="1" t="s">
        <v>3604</v>
      </c>
      <c r="I6044" s="1" t="s">
        <v>21257</v>
      </c>
      <c r="J6044" s="1" t="s">
        <v>3606</v>
      </c>
      <c r="K6044" s="1" t="s">
        <v>21258</v>
      </c>
      <c r="L6044" s="1"/>
      <c r="M6044" s="1"/>
    </row>
    <row x14ac:dyDescent="0.25" r="6045" customHeight="1" ht="18.75">
      <c r="A6045" s="1" t="s">
        <v>3598</v>
      </c>
      <c r="B6045" s="1" t="s">
        <v>5260</v>
      </c>
      <c r="C6045" s="1" t="s">
        <v>3600</v>
      </c>
      <c r="D6045" s="1" t="s">
        <v>3610</v>
      </c>
      <c r="E6045" s="1" t="s">
        <v>3664</v>
      </c>
      <c r="F6045" s="1" t="s">
        <v>21259</v>
      </c>
      <c r="G6045" s="1" t="s">
        <v>21260</v>
      </c>
      <c r="H6045" s="1" t="s">
        <v>3604</v>
      </c>
      <c r="I6045" s="1" t="s">
        <v>21261</v>
      </c>
      <c r="J6045" s="1" t="s">
        <v>3606</v>
      </c>
      <c r="K6045" s="1" t="s">
        <v>21262</v>
      </c>
      <c r="L6045" s="1"/>
      <c r="M6045" s="1"/>
    </row>
    <row x14ac:dyDescent="0.25" r="6046" customHeight="1" ht="18.75">
      <c r="A6046" s="1" t="s">
        <v>3598</v>
      </c>
      <c r="B6046" s="1" t="s">
        <v>5260</v>
      </c>
      <c r="C6046" s="1" t="s">
        <v>3600</v>
      </c>
      <c r="D6046" s="1" t="s">
        <v>3610</v>
      </c>
      <c r="E6046" s="1" t="s">
        <v>3664</v>
      </c>
      <c r="F6046" s="1" t="s">
        <v>21263</v>
      </c>
      <c r="G6046" s="1" t="s">
        <v>21260</v>
      </c>
      <c r="H6046" s="1" t="s">
        <v>3604</v>
      </c>
      <c r="I6046" s="1" t="s">
        <v>21264</v>
      </c>
      <c r="J6046" s="1" t="s">
        <v>3606</v>
      </c>
      <c r="K6046" s="1" t="s">
        <v>21265</v>
      </c>
      <c r="L6046" s="1"/>
      <c r="M6046" s="1"/>
    </row>
    <row x14ac:dyDescent="0.25" r="6047" customHeight="1" ht="18.75">
      <c r="A6047" s="1" t="s">
        <v>3598</v>
      </c>
      <c r="B6047" s="1" t="s">
        <v>5260</v>
      </c>
      <c r="C6047" s="1" t="s">
        <v>3600</v>
      </c>
      <c r="D6047" s="1" t="s">
        <v>3610</v>
      </c>
      <c r="E6047" s="1" t="s">
        <v>3664</v>
      </c>
      <c r="F6047" s="1" t="s">
        <v>21266</v>
      </c>
      <c r="G6047" s="1" t="s">
        <v>21260</v>
      </c>
      <c r="H6047" s="1" t="s">
        <v>3604</v>
      </c>
      <c r="I6047" s="1" t="s">
        <v>21267</v>
      </c>
      <c r="J6047" s="1" t="s">
        <v>3606</v>
      </c>
      <c r="K6047" s="1" t="s">
        <v>21268</v>
      </c>
      <c r="L6047" s="1"/>
      <c r="M6047" s="1"/>
    </row>
    <row x14ac:dyDescent="0.25" r="6048" customHeight="1" ht="18.75">
      <c r="A6048" s="1" t="s">
        <v>3598</v>
      </c>
      <c r="B6048" s="1" t="s">
        <v>5260</v>
      </c>
      <c r="C6048" s="1" t="s">
        <v>3600</v>
      </c>
      <c r="D6048" s="1" t="s">
        <v>3610</v>
      </c>
      <c r="E6048" s="1" t="s">
        <v>3664</v>
      </c>
      <c r="F6048" s="1" t="s">
        <v>21269</v>
      </c>
      <c r="G6048" s="1" t="s">
        <v>21260</v>
      </c>
      <c r="H6048" s="1" t="s">
        <v>3604</v>
      </c>
      <c r="I6048" s="1" t="s">
        <v>21270</v>
      </c>
      <c r="J6048" s="1" t="s">
        <v>3606</v>
      </c>
      <c r="K6048" s="1" t="s">
        <v>21271</v>
      </c>
      <c r="L6048" s="1"/>
      <c r="M6048" s="1"/>
    </row>
    <row x14ac:dyDescent="0.25" r="6049" customHeight="1" ht="18.75">
      <c r="A6049" s="1" t="s">
        <v>3598</v>
      </c>
      <c r="B6049" s="1" t="s">
        <v>5260</v>
      </c>
      <c r="C6049" s="1" t="s">
        <v>3600</v>
      </c>
      <c r="D6049" s="1" t="s">
        <v>3610</v>
      </c>
      <c r="E6049" s="1" t="s">
        <v>3664</v>
      </c>
      <c r="F6049" s="1" t="s">
        <v>21272</v>
      </c>
      <c r="G6049" s="1" t="s">
        <v>21260</v>
      </c>
      <c r="H6049" s="1" t="s">
        <v>3604</v>
      </c>
      <c r="I6049" s="1" t="s">
        <v>21273</v>
      </c>
      <c r="J6049" s="1" t="s">
        <v>3606</v>
      </c>
      <c r="K6049" s="1" t="s">
        <v>21274</v>
      </c>
      <c r="L6049" s="1"/>
      <c r="M6049" s="1"/>
    </row>
    <row x14ac:dyDescent="0.25" r="6050" customHeight="1" ht="18.75">
      <c r="A6050" s="1" t="s">
        <v>3598</v>
      </c>
      <c r="B6050" s="1" t="s">
        <v>5260</v>
      </c>
      <c r="C6050" s="1" t="s">
        <v>3600</v>
      </c>
      <c r="D6050" s="1" t="s">
        <v>3610</v>
      </c>
      <c r="E6050" s="1" t="s">
        <v>3664</v>
      </c>
      <c r="F6050" s="1" t="s">
        <v>21275</v>
      </c>
      <c r="G6050" s="1" t="s">
        <v>17246</v>
      </c>
      <c r="H6050" s="1" t="s">
        <v>3604</v>
      </c>
      <c r="I6050" s="1" t="s">
        <v>21276</v>
      </c>
      <c r="J6050" s="1" t="s">
        <v>3606</v>
      </c>
      <c r="K6050" s="1" t="s">
        <v>21277</v>
      </c>
      <c r="L6050" s="1"/>
      <c r="M6050" s="1"/>
    </row>
    <row x14ac:dyDescent="0.25" r="6051" customHeight="1" ht="18.75">
      <c r="A6051" s="1" t="s">
        <v>3598</v>
      </c>
      <c r="B6051" s="1" t="s">
        <v>5260</v>
      </c>
      <c r="C6051" s="1" t="s">
        <v>3600</v>
      </c>
      <c r="D6051" s="1" t="s">
        <v>3610</v>
      </c>
      <c r="E6051" s="1" t="s">
        <v>3664</v>
      </c>
      <c r="F6051" s="1" t="s">
        <v>21278</v>
      </c>
      <c r="G6051" s="1" t="s">
        <v>21279</v>
      </c>
      <c r="H6051" s="1" t="s">
        <v>3604</v>
      </c>
      <c r="I6051" s="1" t="s">
        <v>21280</v>
      </c>
      <c r="J6051" s="1" t="s">
        <v>3606</v>
      </c>
      <c r="K6051" s="1" t="s">
        <v>21281</v>
      </c>
      <c r="L6051" s="1"/>
      <c r="M6051" s="1"/>
    </row>
    <row x14ac:dyDescent="0.25" r="6052" customHeight="1" ht="18.75">
      <c r="A6052" s="1" t="s">
        <v>3598</v>
      </c>
      <c r="B6052" s="1" t="s">
        <v>5260</v>
      </c>
      <c r="C6052" s="1" t="s">
        <v>3600</v>
      </c>
      <c r="D6052" s="1" t="s">
        <v>3610</v>
      </c>
      <c r="E6052" s="1" t="s">
        <v>3664</v>
      </c>
      <c r="F6052" s="1" t="s">
        <v>21282</v>
      </c>
      <c r="G6052" s="1" t="s">
        <v>21279</v>
      </c>
      <c r="H6052" s="1" t="s">
        <v>3604</v>
      </c>
      <c r="I6052" s="1" t="s">
        <v>21283</v>
      </c>
      <c r="J6052" s="1" t="s">
        <v>3606</v>
      </c>
      <c r="K6052" s="1" t="s">
        <v>21284</v>
      </c>
      <c r="L6052" s="1"/>
      <c r="M6052" s="1"/>
    </row>
    <row x14ac:dyDescent="0.25" r="6053" customHeight="1" ht="18.75">
      <c r="A6053" s="1" t="s">
        <v>3598</v>
      </c>
      <c r="B6053" s="1" t="s">
        <v>5260</v>
      </c>
      <c r="C6053" s="1" t="s">
        <v>3600</v>
      </c>
      <c r="D6053" s="1" t="s">
        <v>3610</v>
      </c>
      <c r="E6053" s="1" t="s">
        <v>3664</v>
      </c>
      <c r="F6053" s="1" t="s">
        <v>21285</v>
      </c>
      <c r="G6053" s="1" t="s">
        <v>21279</v>
      </c>
      <c r="H6053" s="1" t="s">
        <v>3604</v>
      </c>
      <c r="I6053" s="1" t="s">
        <v>21286</v>
      </c>
      <c r="J6053" s="1" t="s">
        <v>3606</v>
      </c>
      <c r="K6053" s="1" t="s">
        <v>21287</v>
      </c>
      <c r="L6053" s="1"/>
      <c r="M6053" s="1"/>
    </row>
    <row x14ac:dyDescent="0.25" r="6054" customHeight="1" ht="18.75">
      <c r="A6054" s="1" t="s">
        <v>3598</v>
      </c>
      <c r="B6054" s="1" t="s">
        <v>5260</v>
      </c>
      <c r="C6054" s="1" t="s">
        <v>3600</v>
      </c>
      <c r="D6054" s="1" t="s">
        <v>3610</v>
      </c>
      <c r="E6054" s="1" t="s">
        <v>3664</v>
      </c>
      <c r="F6054" s="1" t="s">
        <v>21288</v>
      </c>
      <c r="G6054" s="1" t="s">
        <v>21279</v>
      </c>
      <c r="H6054" s="1" t="s">
        <v>3604</v>
      </c>
      <c r="I6054" s="1" t="s">
        <v>21289</v>
      </c>
      <c r="J6054" s="1" t="s">
        <v>3606</v>
      </c>
      <c r="K6054" s="1" t="s">
        <v>21290</v>
      </c>
      <c r="L6054" s="1"/>
      <c r="M6054" s="1"/>
    </row>
    <row x14ac:dyDescent="0.25" r="6055" customHeight="1" ht="18.75">
      <c r="A6055" s="1" t="s">
        <v>3598</v>
      </c>
      <c r="B6055" s="1" t="s">
        <v>5260</v>
      </c>
      <c r="C6055" s="1" t="s">
        <v>3600</v>
      </c>
      <c r="D6055" s="1" t="s">
        <v>3610</v>
      </c>
      <c r="E6055" s="1" t="s">
        <v>3664</v>
      </c>
      <c r="F6055" s="1" t="s">
        <v>21291</v>
      </c>
      <c r="G6055" s="1" t="s">
        <v>21279</v>
      </c>
      <c r="H6055" s="1" t="s">
        <v>3604</v>
      </c>
      <c r="I6055" s="1" t="s">
        <v>21292</v>
      </c>
      <c r="J6055" s="1" t="s">
        <v>3606</v>
      </c>
      <c r="K6055" s="1" t="s">
        <v>21293</v>
      </c>
      <c r="L6055" s="1"/>
      <c r="M6055" s="1"/>
    </row>
    <row x14ac:dyDescent="0.25" r="6056" customHeight="1" ht="18.75">
      <c r="A6056" s="1" t="s">
        <v>3598</v>
      </c>
      <c r="B6056" s="1" t="s">
        <v>5260</v>
      </c>
      <c r="C6056" s="1" t="s">
        <v>3600</v>
      </c>
      <c r="D6056" s="1" t="s">
        <v>3610</v>
      </c>
      <c r="E6056" s="1" t="s">
        <v>3664</v>
      </c>
      <c r="F6056" s="1" t="s">
        <v>21294</v>
      </c>
      <c r="G6056" s="1" t="s">
        <v>8658</v>
      </c>
      <c r="H6056" s="1" t="s">
        <v>3604</v>
      </c>
      <c r="I6056" s="1" t="s">
        <v>21295</v>
      </c>
      <c r="J6056" s="1" t="s">
        <v>3606</v>
      </c>
      <c r="K6056" s="1" t="s">
        <v>21296</v>
      </c>
      <c r="L6056" s="1"/>
      <c r="M6056" s="1"/>
    </row>
    <row x14ac:dyDescent="0.25" r="6057" customHeight="1" ht="18.75">
      <c r="A6057" s="1" t="s">
        <v>3598</v>
      </c>
      <c r="B6057" s="1" t="s">
        <v>5260</v>
      </c>
      <c r="C6057" s="1" t="s">
        <v>3600</v>
      </c>
      <c r="D6057" s="1" t="s">
        <v>3610</v>
      </c>
      <c r="E6057" s="1" t="s">
        <v>3664</v>
      </c>
      <c r="F6057" s="1" t="s">
        <v>21297</v>
      </c>
      <c r="G6057" s="1" t="s">
        <v>8658</v>
      </c>
      <c r="H6057" s="1" t="s">
        <v>3604</v>
      </c>
      <c r="I6057" s="1" t="s">
        <v>21298</v>
      </c>
      <c r="J6057" s="1" t="s">
        <v>3606</v>
      </c>
      <c r="K6057" s="1" t="s">
        <v>21299</v>
      </c>
      <c r="L6057" s="1"/>
      <c r="M6057" s="1"/>
    </row>
    <row x14ac:dyDescent="0.25" r="6058" customHeight="1" ht="18.75">
      <c r="A6058" s="1" t="s">
        <v>3598</v>
      </c>
      <c r="B6058" s="1" t="s">
        <v>5260</v>
      </c>
      <c r="C6058" s="1" t="s">
        <v>3600</v>
      </c>
      <c r="D6058" s="1" t="s">
        <v>3610</v>
      </c>
      <c r="E6058" s="1" t="s">
        <v>3664</v>
      </c>
      <c r="F6058" s="1" t="s">
        <v>21300</v>
      </c>
      <c r="G6058" s="1" t="s">
        <v>8658</v>
      </c>
      <c r="H6058" s="1" t="s">
        <v>3604</v>
      </c>
      <c r="I6058" s="1" t="s">
        <v>21301</v>
      </c>
      <c r="J6058" s="1" t="s">
        <v>3606</v>
      </c>
      <c r="K6058" s="1" t="s">
        <v>21302</v>
      </c>
      <c r="L6058" s="1"/>
      <c r="M6058" s="1"/>
    </row>
    <row x14ac:dyDescent="0.25" r="6059" customHeight="1" ht="18.75">
      <c r="A6059" s="1" t="s">
        <v>3598</v>
      </c>
      <c r="B6059" s="1" t="s">
        <v>5260</v>
      </c>
      <c r="C6059" s="1" t="s">
        <v>3600</v>
      </c>
      <c r="D6059" s="1" t="s">
        <v>3610</v>
      </c>
      <c r="E6059" s="1" t="s">
        <v>3664</v>
      </c>
      <c r="F6059" s="1" t="s">
        <v>21303</v>
      </c>
      <c r="G6059" s="1" t="s">
        <v>8658</v>
      </c>
      <c r="H6059" s="1" t="s">
        <v>3604</v>
      </c>
      <c r="I6059" s="1" t="s">
        <v>21304</v>
      </c>
      <c r="J6059" s="1" t="s">
        <v>3606</v>
      </c>
      <c r="K6059" s="1" t="s">
        <v>21305</v>
      </c>
      <c r="L6059" s="1"/>
      <c r="M6059" s="1"/>
    </row>
    <row x14ac:dyDescent="0.25" r="6060" customHeight="1" ht="18.75">
      <c r="A6060" s="1" t="s">
        <v>3598</v>
      </c>
      <c r="B6060" s="1" t="s">
        <v>5260</v>
      </c>
      <c r="C6060" s="1" t="s">
        <v>3600</v>
      </c>
      <c r="D6060" s="1" t="s">
        <v>3610</v>
      </c>
      <c r="E6060" s="1" t="s">
        <v>3664</v>
      </c>
      <c r="F6060" s="1" t="s">
        <v>21306</v>
      </c>
      <c r="G6060" s="1" t="s">
        <v>8658</v>
      </c>
      <c r="H6060" s="1" t="s">
        <v>3604</v>
      </c>
      <c r="I6060" s="1" t="s">
        <v>21307</v>
      </c>
      <c r="J6060" s="1" t="s">
        <v>3606</v>
      </c>
      <c r="K6060" s="1" t="s">
        <v>21308</v>
      </c>
      <c r="L6060" s="1"/>
      <c r="M6060" s="1"/>
    </row>
    <row x14ac:dyDescent="0.25" r="6061" customHeight="1" ht="18.75">
      <c r="A6061" s="1" t="s">
        <v>3598</v>
      </c>
      <c r="B6061" s="1" t="s">
        <v>5260</v>
      </c>
      <c r="C6061" s="1" t="s">
        <v>3600</v>
      </c>
      <c r="D6061" s="1" t="s">
        <v>3610</v>
      </c>
      <c r="E6061" s="1" t="s">
        <v>3664</v>
      </c>
      <c r="F6061" s="1" t="s">
        <v>21309</v>
      </c>
      <c r="G6061" s="1" t="s">
        <v>16656</v>
      </c>
      <c r="H6061" s="1" t="s">
        <v>3604</v>
      </c>
      <c r="I6061" s="1" t="s">
        <v>21310</v>
      </c>
      <c r="J6061" s="1" t="s">
        <v>3606</v>
      </c>
      <c r="K6061" s="1" t="s">
        <v>21311</v>
      </c>
      <c r="L6061" s="1"/>
      <c r="M6061" s="1"/>
    </row>
    <row x14ac:dyDescent="0.25" r="6062" customHeight="1" ht="18.75">
      <c r="A6062" s="1" t="s">
        <v>3598</v>
      </c>
      <c r="B6062" s="1" t="s">
        <v>5260</v>
      </c>
      <c r="C6062" s="1" t="s">
        <v>3600</v>
      </c>
      <c r="D6062" s="1" t="s">
        <v>3610</v>
      </c>
      <c r="E6062" s="1" t="s">
        <v>3664</v>
      </c>
      <c r="F6062" s="1" t="s">
        <v>21312</v>
      </c>
      <c r="G6062" s="1" t="s">
        <v>16656</v>
      </c>
      <c r="H6062" s="1" t="s">
        <v>3604</v>
      </c>
      <c r="I6062" s="1" t="s">
        <v>21313</v>
      </c>
      <c r="J6062" s="1" t="s">
        <v>3606</v>
      </c>
      <c r="K6062" s="1" t="s">
        <v>21314</v>
      </c>
      <c r="L6062" s="1"/>
      <c r="M6062" s="1"/>
    </row>
    <row x14ac:dyDescent="0.25" r="6063" customHeight="1" ht="18.75">
      <c r="A6063" s="1" t="s">
        <v>3598</v>
      </c>
      <c r="B6063" s="1" t="s">
        <v>5260</v>
      </c>
      <c r="C6063" s="1" t="s">
        <v>3600</v>
      </c>
      <c r="D6063" s="1" t="s">
        <v>3610</v>
      </c>
      <c r="E6063" s="1" t="s">
        <v>3664</v>
      </c>
      <c r="F6063" s="1" t="s">
        <v>21315</v>
      </c>
      <c r="G6063" s="1" t="s">
        <v>16656</v>
      </c>
      <c r="H6063" s="1" t="s">
        <v>3604</v>
      </c>
      <c r="I6063" s="1" t="s">
        <v>21316</v>
      </c>
      <c r="J6063" s="1" t="s">
        <v>3606</v>
      </c>
      <c r="K6063" s="1" t="s">
        <v>21317</v>
      </c>
      <c r="L6063" s="1"/>
      <c r="M6063" s="1"/>
    </row>
    <row x14ac:dyDescent="0.25" r="6064" customHeight="1" ht="18.75">
      <c r="A6064" s="1" t="s">
        <v>3598</v>
      </c>
      <c r="B6064" s="1" t="s">
        <v>5260</v>
      </c>
      <c r="C6064" s="1" t="s">
        <v>3600</v>
      </c>
      <c r="D6064" s="1" t="s">
        <v>3610</v>
      </c>
      <c r="E6064" s="1" t="s">
        <v>3664</v>
      </c>
      <c r="F6064" s="1" t="s">
        <v>21318</v>
      </c>
      <c r="G6064" s="1" t="s">
        <v>16656</v>
      </c>
      <c r="H6064" s="1" t="s">
        <v>3604</v>
      </c>
      <c r="I6064" s="1" t="s">
        <v>21319</v>
      </c>
      <c r="J6064" s="1" t="s">
        <v>3606</v>
      </c>
      <c r="K6064" s="1" t="s">
        <v>21320</v>
      </c>
      <c r="L6064" s="1"/>
      <c r="M6064" s="1"/>
    </row>
    <row x14ac:dyDescent="0.25" r="6065" customHeight="1" ht="18.75">
      <c r="A6065" s="1" t="s">
        <v>3598</v>
      </c>
      <c r="B6065" s="1" t="s">
        <v>5260</v>
      </c>
      <c r="C6065" s="1" t="s">
        <v>3600</v>
      </c>
      <c r="D6065" s="1" t="s">
        <v>3610</v>
      </c>
      <c r="E6065" s="1" t="s">
        <v>3664</v>
      </c>
      <c r="F6065" s="1" t="s">
        <v>21321</v>
      </c>
      <c r="G6065" s="1" t="s">
        <v>8330</v>
      </c>
      <c r="H6065" s="1" t="s">
        <v>3604</v>
      </c>
      <c r="I6065" s="1" t="s">
        <v>21322</v>
      </c>
      <c r="J6065" s="1" t="s">
        <v>3606</v>
      </c>
      <c r="K6065" s="1" t="s">
        <v>21323</v>
      </c>
      <c r="L6065" s="1"/>
      <c r="M6065" s="1"/>
    </row>
    <row x14ac:dyDescent="0.25" r="6066" customHeight="1" ht="18.75">
      <c r="A6066" s="1" t="s">
        <v>3598</v>
      </c>
      <c r="B6066" s="1" t="s">
        <v>5260</v>
      </c>
      <c r="C6066" s="1" t="s">
        <v>3600</v>
      </c>
      <c r="D6066" s="1" t="s">
        <v>3610</v>
      </c>
      <c r="E6066" s="1" t="s">
        <v>3664</v>
      </c>
      <c r="F6066" s="1" t="s">
        <v>21324</v>
      </c>
      <c r="G6066" s="1" t="s">
        <v>8330</v>
      </c>
      <c r="H6066" s="1" t="s">
        <v>3604</v>
      </c>
      <c r="I6066" s="1" t="s">
        <v>21325</v>
      </c>
      <c r="J6066" s="1" t="s">
        <v>3606</v>
      </c>
      <c r="K6066" s="1" t="s">
        <v>21326</v>
      </c>
      <c r="L6066" s="1"/>
      <c r="M6066" s="1"/>
    </row>
    <row x14ac:dyDescent="0.25" r="6067" customHeight="1" ht="18.75">
      <c r="A6067" s="1" t="s">
        <v>3598</v>
      </c>
      <c r="B6067" s="1" t="s">
        <v>5260</v>
      </c>
      <c r="C6067" s="1" t="s">
        <v>3600</v>
      </c>
      <c r="D6067" s="1" t="s">
        <v>3610</v>
      </c>
      <c r="E6067" s="1" t="s">
        <v>3664</v>
      </c>
      <c r="F6067" s="1" t="s">
        <v>21327</v>
      </c>
      <c r="G6067" s="1" t="s">
        <v>8330</v>
      </c>
      <c r="H6067" s="1" t="s">
        <v>3604</v>
      </c>
      <c r="I6067" s="1" t="s">
        <v>21328</v>
      </c>
      <c r="J6067" s="1" t="s">
        <v>3606</v>
      </c>
      <c r="K6067" s="1" t="s">
        <v>21329</v>
      </c>
      <c r="L6067" s="1"/>
      <c r="M6067" s="1"/>
    </row>
    <row x14ac:dyDescent="0.25" r="6068" customHeight="1" ht="18.75">
      <c r="A6068" s="1" t="s">
        <v>3598</v>
      </c>
      <c r="B6068" s="1" t="s">
        <v>5260</v>
      </c>
      <c r="C6068" s="1" t="s">
        <v>3600</v>
      </c>
      <c r="D6068" s="1" t="s">
        <v>3610</v>
      </c>
      <c r="E6068" s="1" t="s">
        <v>3664</v>
      </c>
      <c r="F6068" s="1" t="s">
        <v>21330</v>
      </c>
      <c r="G6068" s="1" t="s">
        <v>8330</v>
      </c>
      <c r="H6068" s="1" t="s">
        <v>3604</v>
      </c>
      <c r="I6068" s="1" t="s">
        <v>21331</v>
      </c>
      <c r="J6068" s="1" t="s">
        <v>3606</v>
      </c>
      <c r="K6068" s="1" t="s">
        <v>21332</v>
      </c>
      <c r="L6068" s="1"/>
      <c r="M6068" s="1"/>
    </row>
    <row x14ac:dyDescent="0.25" r="6069" customHeight="1" ht="18.75">
      <c r="A6069" s="1" t="s">
        <v>3598</v>
      </c>
      <c r="B6069" s="1" t="s">
        <v>5260</v>
      </c>
      <c r="C6069" s="1" t="s">
        <v>3600</v>
      </c>
      <c r="D6069" s="1" t="s">
        <v>3610</v>
      </c>
      <c r="E6069" s="1" t="s">
        <v>3664</v>
      </c>
      <c r="F6069" s="1" t="s">
        <v>21333</v>
      </c>
      <c r="G6069" s="1" t="s">
        <v>8330</v>
      </c>
      <c r="H6069" s="1" t="s">
        <v>3604</v>
      </c>
      <c r="I6069" s="1" t="s">
        <v>21334</v>
      </c>
      <c r="J6069" s="1" t="s">
        <v>3606</v>
      </c>
      <c r="K6069" s="1" t="s">
        <v>21335</v>
      </c>
      <c r="L6069" s="1"/>
      <c r="M6069" s="1"/>
    </row>
    <row x14ac:dyDescent="0.25" r="6070" customHeight="1" ht="18.75">
      <c r="A6070" s="1" t="s">
        <v>3598</v>
      </c>
      <c r="B6070" s="1" t="s">
        <v>5260</v>
      </c>
      <c r="C6070" s="1" t="s">
        <v>3600</v>
      </c>
      <c r="D6070" s="1" t="s">
        <v>3610</v>
      </c>
      <c r="E6070" s="1" t="s">
        <v>3664</v>
      </c>
      <c r="F6070" s="1" t="s">
        <v>21336</v>
      </c>
      <c r="G6070" s="1" t="s">
        <v>20415</v>
      </c>
      <c r="H6070" s="1" t="s">
        <v>3604</v>
      </c>
      <c r="I6070" s="1" t="s">
        <v>21337</v>
      </c>
      <c r="J6070" s="1" t="s">
        <v>3606</v>
      </c>
      <c r="K6070" s="1" t="s">
        <v>21338</v>
      </c>
      <c r="L6070" s="1"/>
      <c r="M6070" s="1"/>
    </row>
    <row x14ac:dyDescent="0.25" r="6071" customHeight="1" ht="18.75">
      <c r="A6071" s="1" t="s">
        <v>3598</v>
      </c>
      <c r="B6071" s="1" t="s">
        <v>5260</v>
      </c>
      <c r="C6071" s="1" t="s">
        <v>3600</v>
      </c>
      <c r="D6071" s="1" t="s">
        <v>3610</v>
      </c>
      <c r="E6071" s="1" t="s">
        <v>3664</v>
      </c>
      <c r="F6071" s="1" t="s">
        <v>21339</v>
      </c>
      <c r="G6071" s="1" t="s">
        <v>20415</v>
      </c>
      <c r="H6071" s="1" t="s">
        <v>3604</v>
      </c>
      <c r="I6071" s="1" t="s">
        <v>21340</v>
      </c>
      <c r="J6071" s="1" t="s">
        <v>3606</v>
      </c>
      <c r="K6071" s="1" t="s">
        <v>21341</v>
      </c>
      <c r="L6071" s="1"/>
      <c r="M6071" s="1"/>
    </row>
    <row x14ac:dyDescent="0.25" r="6072" customHeight="1" ht="18.75">
      <c r="A6072" s="1" t="s">
        <v>3598</v>
      </c>
      <c r="B6072" s="1" t="s">
        <v>5260</v>
      </c>
      <c r="C6072" s="1" t="s">
        <v>3600</v>
      </c>
      <c r="D6072" s="1" t="s">
        <v>3610</v>
      </c>
      <c r="E6072" s="1" t="s">
        <v>3664</v>
      </c>
      <c r="F6072" s="1" t="s">
        <v>21342</v>
      </c>
      <c r="G6072" s="1" t="s">
        <v>20415</v>
      </c>
      <c r="H6072" s="1" t="s">
        <v>3604</v>
      </c>
      <c r="I6072" s="1" t="s">
        <v>21343</v>
      </c>
      <c r="J6072" s="1" t="s">
        <v>3606</v>
      </c>
      <c r="K6072" s="1" t="s">
        <v>21344</v>
      </c>
      <c r="L6072" s="1"/>
      <c r="M6072" s="1"/>
    </row>
    <row x14ac:dyDescent="0.25" r="6073" customHeight="1" ht="18.75">
      <c r="A6073" s="1" t="s">
        <v>3598</v>
      </c>
      <c r="B6073" s="1" t="s">
        <v>5260</v>
      </c>
      <c r="C6073" s="1" t="s">
        <v>3600</v>
      </c>
      <c r="D6073" s="1" t="s">
        <v>3610</v>
      </c>
      <c r="E6073" s="1" t="s">
        <v>3664</v>
      </c>
      <c r="F6073" s="1" t="s">
        <v>21345</v>
      </c>
      <c r="G6073" s="1" t="s">
        <v>20419</v>
      </c>
      <c r="H6073" s="1" t="s">
        <v>3604</v>
      </c>
      <c r="I6073" s="1" t="s">
        <v>21346</v>
      </c>
      <c r="J6073" s="1" t="s">
        <v>3606</v>
      </c>
      <c r="K6073" s="1" t="s">
        <v>21347</v>
      </c>
      <c r="L6073" s="1"/>
      <c r="M6073" s="1"/>
    </row>
    <row x14ac:dyDescent="0.25" r="6074" customHeight="1" ht="18.75">
      <c r="A6074" s="1" t="s">
        <v>3598</v>
      </c>
      <c r="B6074" s="1" t="s">
        <v>5260</v>
      </c>
      <c r="C6074" s="1" t="s">
        <v>3600</v>
      </c>
      <c r="D6074" s="1" t="s">
        <v>3610</v>
      </c>
      <c r="E6074" s="1" t="s">
        <v>3664</v>
      </c>
      <c r="F6074" s="1" t="s">
        <v>21348</v>
      </c>
      <c r="G6074" s="1" t="s">
        <v>20419</v>
      </c>
      <c r="H6074" s="1" t="s">
        <v>3604</v>
      </c>
      <c r="I6074" s="1" t="s">
        <v>21349</v>
      </c>
      <c r="J6074" s="1" t="s">
        <v>3606</v>
      </c>
      <c r="K6074" s="1" t="s">
        <v>21350</v>
      </c>
      <c r="L6074" s="1"/>
      <c r="M6074" s="1"/>
    </row>
    <row x14ac:dyDescent="0.25" r="6075" customHeight="1" ht="18.75">
      <c r="A6075" s="1" t="s">
        <v>3598</v>
      </c>
      <c r="B6075" s="1" t="s">
        <v>5260</v>
      </c>
      <c r="C6075" s="1" t="s">
        <v>3600</v>
      </c>
      <c r="D6075" s="1" t="s">
        <v>3610</v>
      </c>
      <c r="E6075" s="1" t="s">
        <v>3664</v>
      </c>
      <c r="F6075" s="1" t="s">
        <v>21351</v>
      </c>
      <c r="G6075" s="1" t="s">
        <v>20419</v>
      </c>
      <c r="H6075" s="1" t="s">
        <v>3604</v>
      </c>
      <c r="I6075" s="1" t="s">
        <v>21352</v>
      </c>
      <c r="J6075" s="1" t="s">
        <v>3606</v>
      </c>
      <c r="K6075" s="1" t="s">
        <v>21353</v>
      </c>
      <c r="L6075" s="1"/>
      <c r="M6075" s="1"/>
    </row>
    <row x14ac:dyDescent="0.25" r="6076" customHeight="1" ht="18.75">
      <c r="A6076" s="1" t="s">
        <v>3598</v>
      </c>
      <c r="B6076" s="1" t="s">
        <v>5260</v>
      </c>
      <c r="C6076" s="1" t="s">
        <v>3600</v>
      </c>
      <c r="D6076" s="1" t="s">
        <v>3610</v>
      </c>
      <c r="E6076" s="1" t="s">
        <v>3664</v>
      </c>
      <c r="F6076" s="1" t="s">
        <v>21354</v>
      </c>
      <c r="G6076" s="1" t="s">
        <v>20419</v>
      </c>
      <c r="H6076" s="1" t="s">
        <v>3604</v>
      </c>
      <c r="I6076" s="1" t="s">
        <v>21355</v>
      </c>
      <c r="J6076" s="1" t="s">
        <v>3606</v>
      </c>
      <c r="K6076" s="1" t="s">
        <v>21356</v>
      </c>
      <c r="L6076" s="1"/>
      <c r="M6076" s="1"/>
    </row>
    <row x14ac:dyDescent="0.25" r="6077" customHeight="1" ht="18.75">
      <c r="A6077" s="1" t="s">
        <v>3598</v>
      </c>
      <c r="B6077" s="1" t="s">
        <v>5260</v>
      </c>
      <c r="C6077" s="1" t="s">
        <v>3600</v>
      </c>
      <c r="D6077" s="1" t="s">
        <v>3610</v>
      </c>
      <c r="E6077" s="1" t="s">
        <v>3664</v>
      </c>
      <c r="F6077" s="1" t="s">
        <v>21357</v>
      </c>
      <c r="G6077" s="1" t="s">
        <v>20419</v>
      </c>
      <c r="H6077" s="1" t="s">
        <v>3604</v>
      </c>
      <c r="I6077" s="1" t="s">
        <v>21358</v>
      </c>
      <c r="J6077" s="1" t="s">
        <v>3606</v>
      </c>
      <c r="K6077" s="1" t="s">
        <v>21359</v>
      </c>
      <c r="L6077" s="1"/>
      <c r="M6077" s="1"/>
    </row>
    <row x14ac:dyDescent="0.25" r="6078" customHeight="1" ht="18.75">
      <c r="A6078" s="1" t="s">
        <v>3598</v>
      </c>
      <c r="B6078" s="1" t="s">
        <v>5260</v>
      </c>
      <c r="C6078" s="1" t="s">
        <v>3600</v>
      </c>
      <c r="D6078" s="1" t="s">
        <v>3610</v>
      </c>
      <c r="E6078" s="1" t="s">
        <v>3664</v>
      </c>
      <c r="F6078" s="1" t="s">
        <v>21360</v>
      </c>
      <c r="G6078" s="1" t="s">
        <v>20419</v>
      </c>
      <c r="H6078" s="1" t="s">
        <v>3604</v>
      </c>
      <c r="I6078" s="1" t="s">
        <v>21361</v>
      </c>
      <c r="J6078" s="1" t="s">
        <v>3606</v>
      </c>
      <c r="K6078" s="1" t="s">
        <v>21362</v>
      </c>
      <c r="L6078" s="1"/>
      <c r="M6078" s="1"/>
    </row>
    <row x14ac:dyDescent="0.25" r="6079" customHeight="1" ht="18.75">
      <c r="A6079" s="1" t="s">
        <v>3598</v>
      </c>
      <c r="B6079" s="1" t="s">
        <v>5260</v>
      </c>
      <c r="C6079" s="1" t="s">
        <v>3600</v>
      </c>
      <c r="D6079" s="1" t="s">
        <v>3610</v>
      </c>
      <c r="E6079" s="1" t="s">
        <v>3664</v>
      </c>
      <c r="F6079" s="1" t="s">
        <v>21363</v>
      </c>
      <c r="G6079" s="1" t="s">
        <v>19887</v>
      </c>
      <c r="H6079" s="1" t="s">
        <v>3604</v>
      </c>
      <c r="I6079" s="1" t="s">
        <v>21364</v>
      </c>
      <c r="J6079" s="1" t="s">
        <v>3606</v>
      </c>
      <c r="K6079" s="1" t="s">
        <v>21365</v>
      </c>
      <c r="L6079" s="1"/>
      <c r="M6079" s="1"/>
    </row>
    <row x14ac:dyDescent="0.25" r="6080" customHeight="1" ht="18.75">
      <c r="A6080" s="1" t="s">
        <v>3598</v>
      </c>
      <c r="B6080" s="1" t="s">
        <v>5260</v>
      </c>
      <c r="C6080" s="1" t="s">
        <v>3600</v>
      </c>
      <c r="D6080" s="1" t="s">
        <v>3610</v>
      </c>
      <c r="E6080" s="1" t="s">
        <v>3664</v>
      </c>
      <c r="F6080" s="1" t="s">
        <v>21366</v>
      </c>
      <c r="G6080" s="1" t="s">
        <v>19887</v>
      </c>
      <c r="H6080" s="1" t="s">
        <v>3604</v>
      </c>
      <c r="I6080" s="1" t="s">
        <v>21367</v>
      </c>
      <c r="J6080" s="1" t="s">
        <v>3606</v>
      </c>
      <c r="K6080" s="1" t="s">
        <v>21368</v>
      </c>
      <c r="L6080" s="1"/>
      <c r="M6080" s="1"/>
    </row>
    <row x14ac:dyDescent="0.25" r="6081" customHeight="1" ht="18.75">
      <c r="A6081" s="1" t="s">
        <v>3598</v>
      </c>
      <c r="B6081" s="1" t="s">
        <v>5260</v>
      </c>
      <c r="C6081" s="1" t="s">
        <v>3600</v>
      </c>
      <c r="D6081" s="1" t="s">
        <v>3610</v>
      </c>
      <c r="E6081" s="1" t="s">
        <v>3664</v>
      </c>
      <c r="F6081" s="1" t="s">
        <v>21369</v>
      </c>
      <c r="G6081" s="1" t="s">
        <v>19887</v>
      </c>
      <c r="H6081" s="1" t="s">
        <v>3604</v>
      </c>
      <c r="I6081" s="1" t="s">
        <v>21370</v>
      </c>
      <c r="J6081" s="1" t="s">
        <v>3606</v>
      </c>
      <c r="K6081" s="1" t="s">
        <v>21371</v>
      </c>
      <c r="L6081" s="1"/>
      <c r="M6081" s="1"/>
    </row>
    <row x14ac:dyDescent="0.25" r="6082" customHeight="1" ht="18.75">
      <c r="A6082" s="1" t="s">
        <v>3598</v>
      </c>
      <c r="B6082" s="1" t="s">
        <v>5260</v>
      </c>
      <c r="C6082" s="1" t="s">
        <v>3600</v>
      </c>
      <c r="D6082" s="1" t="s">
        <v>3610</v>
      </c>
      <c r="E6082" s="1" t="s">
        <v>3664</v>
      </c>
      <c r="F6082" s="1" t="s">
        <v>21372</v>
      </c>
      <c r="G6082" s="1" t="s">
        <v>16627</v>
      </c>
      <c r="H6082" s="1" t="s">
        <v>3604</v>
      </c>
      <c r="I6082" s="1" t="s">
        <v>21373</v>
      </c>
      <c r="J6082" s="1" t="s">
        <v>3606</v>
      </c>
      <c r="K6082" s="1" t="s">
        <v>21374</v>
      </c>
      <c r="L6082" s="1"/>
      <c r="M6082" s="1"/>
    </row>
    <row x14ac:dyDescent="0.25" r="6083" customHeight="1" ht="18.75">
      <c r="A6083" s="1" t="s">
        <v>3598</v>
      </c>
      <c r="B6083" s="1" t="s">
        <v>5260</v>
      </c>
      <c r="C6083" s="1" t="s">
        <v>3600</v>
      </c>
      <c r="D6083" s="1" t="s">
        <v>3610</v>
      </c>
      <c r="E6083" s="1" t="s">
        <v>3664</v>
      </c>
      <c r="F6083" s="1" t="s">
        <v>21375</v>
      </c>
      <c r="G6083" s="1" t="s">
        <v>16627</v>
      </c>
      <c r="H6083" s="1" t="s">
        <v>3604</v>
      </c>
      <c r="I6083" s="1" t="s">
        <v>21376</v>
      </c>
      <c r="J6083" s="1" t="s">
        <v>3606</v>
      </c>
      <c r="K6083" s="1" t="s">
        <v>21377</v>
      </c>
      <c r="L6083" s="1"/>
      <c r="M6083" s="1"/>
    </row>
    <row x14ac:dyDescent="0.25" r="6084" customHeight="1" ht="18.75">
      <c r="A6084" s="1" t="s">
        <v>3598</v>
      </c>
      <c r="B6084" s="1" t="s">
        <v>5260</v>
      </c>
      <c r="C6084" s="1" t="s">
        <v>3600</v>
      </c>
      <c r="D6084" s="1" t="s">
        <v>3610</v>
      </c>
      <c r="E6084" s="1" t="s">
        <v>3664</v>
      </c>
      <c r="F6084" s="1" t="s">
        <v>21378</v>
      </c>
      <c r="G6084" s="1" t="s">
        <v>16627</v>
      </c>
      <c r="H6084" s="1" t="s">
        <v>3604</v>
      </c>
      <c r="I6084" s="1" t="s">
        <v>21379</v>
      </c>
      <c r="J6084" s="1" t="s">
        <v>3606</v>
      </c>
      <c r="K6084" s="1" t="s">
        <v>21380</v>
      </c>
      <c r="L6084" s="1"/>
      <c r="M6084" s="1"/>
    </row>
    <row x14ac:dyDescent="0.25" r="6085" customHeight="1" ht="18.75">
      <c r="A6085" s="1" t="s">
        <v>3598</v>
      </c>
      <c r="B6085" s="1" t="s">
        <v>5260</v>
      </c>
      <c r="C6085" s="1" t="s">
        <v>3600</v>
      </c>
      <c r="D6085" s="1" t="s">
        <v>3610</v>
      </c>
      <c r="E6085" s="1" t="s">
        <v>3664</v>
      </c>
      <c r="F6085" s="1" t="s">
        <v>21381</v>
      </c>
      <c r="G6085" s="1" t="s">
        <v>16627</v>
      </c>
      <c r="H6085" s="1" t="s">
        <v>3604</v>
      </c>
      <c r="I6085" s="1" t="s">
        <v>21382</v>
      </c>
      <c r="J6085" s="1" t="s">
        <v>3606</v>
      </c>
      <c r="K6085" s="1" t="s">
        <v>21383</v>
      </c>
      <c r="L6085" s="1"/>
      <c r="M6085" s="1"/>
    </row>
    <row x14ac:dyDescent="0.25" r="6086" customHeight="1" ht="18.75">
      <c r="A6086" s="1" t="s">
        <v>3598</v>
      </c>
      <c r="B6086" s="1" t="s">
        <v>5260</v>
      </c>
      <c r="C6086" s="1" t="s">
        <v>3600</v>
      </c>
      <c r="D6086" s="1" t="s">
        <v>3610</v>
      </c>
      <c r="E6086" s="1" t="s">
        <v>3664</v>
      </c>
      <c r="F6086" s="1" t="s">
        <v>21384</v>
      </c>
      <c r="G6086" s="1" t="s">
        <v>16627</v>
      </c>
      <c r="H6086" s="1" t="s">
        <v>3604</v>
      </c>
      <c r="I6086" s="1" t="s">
        <v>21385</v>
      </c>
      <c r="J6086" s="1" t="s">
        <v>3606</v>
      </c>
      <c r="K6086" s="1" t="s">
        <v>21386</v>
      </c>
      <c r="L6086" s="1"/>
      <c r="M6086" s="1"/>
    </row>
    <row x14ac:dyDescent="0.25" r="6087" customHeight="1" ht="18.75">
      <c r="A6087" s="1" t="s">
        <v>3598</v>
      </c>
      <c r="B6087" s="1" t="s">
        <v>5260</v>
      </c>
      <c r="C6087" s="1" t="s">
        <v>3600</v>
      </c>
      <c r="D6087" s="1" t="s">
        <v>3610</v>
      </c>
      <c r="E6087" s="1" t="s">
        <v>3664</v>
      </c>
      <c r="F6087" s="1" t="s">
        <v>21387</v>
      </c>
      <c r="G6087" s="1" t="s">
        <v>16637</v>
      </c>
      <c r="H6087" s="1" t="s">
        <v>3604</v>
      </c>
      <c r="I6087" s="1" t="s">
        <v>21388</v>
      </c>
      <c r="J6087" s="1" t="s">
        <v>3606</v>
      </c>
      <c r="K6087" s="1" t="s">
        <v>21389</v>
      </c>
      <c r="L6087" s="1"/>
      <c r="M6087" s="1"/>
    </row>
    <row x14ac:dyDescent="0.25" r="6088" customHeight="1" ht="18.75">
      <c r="A6088" s="1" t="s">
        <v>3598</v>
      </c>
      <c r="B6088" s="1" t="s">
        <v>5260</v>
      </c>
      <c r="C6088" s="1" t="s">
        <v>3600</v>
      </c>
      <c r="D6088" s="1" t="s">
        <v>3610</v>
      </c>
      <c r="E6088" s="1" t="s">
        <v>3664</v>
      </c>
      <c r="F6088" s="1" t="s">
        <v>21390</v>
      </c>
      <c r="G6088" s="1" t="s">
        <v>16637</v>
      </c>
      <c r="H6088" s="1" t="s">
        <v>3604</v>
      </c>
      <c r="I6088" s="1" t="s">
        <v>21391</v>
      </c>
      <c r="J6088" s="1" t="s">
        <v>3606</v>
      </c>
      <c r="K6088" s="1" t="s">
        <v>21392</v>
      </c>
      <c r="L6088" s="1"/>
      <c r="M6088" s="1"/>
    </row>
    <row x14ac:dyDescent="0.25" r="6089" customHeight="1" ht="18.75">
      <c r="A6089" s="1" t="s">
        <v>3598</v>
      </c>
      <c r="B6089" s="1" t="s">
        <v>5260</v>
      </c>
      <c r="C6089" s="1" t="s">
        <v>3600</v>
      </c>
      <c r="D6089" s="1" t="s">
        <v>3610</v>
      </c>
      <c r="E6089" s="1" t="s">
        <v>3664</v>
      </c>
      <c r="F6089" s="1" t="s">
        <v>21393</v>
      </c>
      <c r="G6089" s="1" t="s">
        <v>16637</v>
      </c>
      <c r="H6089" s="1" t="s">
        <v>3604</v>
      </c>
      <c r="I6089" s="1" t="s">
        <v>21394</v>
      </c>
      <c r="J6089" s="1" t="s">
        <v>3606</v>
      </c>
      <c r="K6089" s="1" t="s">
        <v>21395</v>
      </c>
      <c r="L6089" s="1"/>
      <c r="M6089" s="1"/>
    </row>
    <row x14ac:dyDescent="0.25" r="6090" customHeight="1" ht="18.75">
      <c r="A6090" s="1" t="s">
        <v>3598</v>
      </c>
      <c r="B6090" s="1" t="s">
        <v>14104</v>
      </c>
      <c r="C6090" s="1" t="s">
        <v>3600</v>
      </c>
      <c r="D6090" s="1" t="s">
        <v>3610</v>
      </c>
      <c r="E6090" s="1" t="s">
        <v>3893</v>
      </c>
      <c r="F6090" s="1" t="s">
        <v>21396</v>
      </c>
      <c r="G6090" s="1" t="s">
        <v>14130</v>
      </c>
      <c r="H6090" s="1" t="s">
        <v>3604</v>
      </c>
      <c r="I6090" s="1" t="s">
        <v>21397</v>
      </c>
      <c r="J6090" s="1" t="s">
        <v>3606</v>
      </c>
      <c r="K6090" s="1" t="s">
        <v>21398</v>
      </c>
      <c r="L6090" s="1"/>
      <c r="M6090" s="1"/>
    </row>
    <row x14ac:dyDescent="0.25" r="6091" customHeight="1" ht="18.75">
      <c r="A6091" s="1" t="s">
        <v>3598</v>
      </c>
      <c r="B6091" s="1" t="s">
        <v>14104</v>
      </c>
      <c r="C6091" s="1" t="s">
        <v>3600</v>
      </c>
      <c r="D6091" s="1" t="s">
        <v>3610</v>
      </c>
      <c r="E6091" s="1" t="s">
        <v>3752</v>
      </c>
      <c r="F6091" s="1" t="s">
        <v>21399</v>
      </c>
      <c r="G6091" s="1" t="s">
        <v>14130</v>
      </c>
      <c r="H6091" s="1" t="s">
        <v>3604</v>
      </c>
      <c r="I6091" s="1" t="s">
        <v>21400</v>
      </c>
      <c r="J6091" s="1" t="s">
        <v>3606</v>
      </c>
      <c r="K6091" s="1" t="s">
        <v>21401</v>
      </c>
      <c r="L6091" s="1"/>
      <c r="M6091" s="1"/>
    </row>
    <row x14ac:dyDescent="0.25" r="6092" customHeight="1" ht="18.75">
      <c r="A6092" s="1" t="s">
        <v>3598</v>
      </c>
      <c r="B6092" s="1" t="s">
        <v>5260</v>
      </c>
      <c r="C6092" s="1" t="s">
        <v>3600</v>
      </c>
      <c r="D6092" s="1" t="s">
        <v>3610</v>
      </c>
      <c r="E6092" s="1" t="s">
        <v>3611</v>
      </c>
      <c r="F6092" s="1" t="s">
        <v>21402</v>
      </c>
      <c r="G6092" s="1" t="s">
        <v>9107</v>
      </c>
      <c r="H6092" s="1" t="s">
        <v>3604</v>
      </c>
      <c r="I6092" s="1" t="s">
        <v>21403</v>
      </c>
      <c r="J6092" s="1" t="s">
        <v>3606</v>
      </c>
      <c r="K6092" s="1" t="s">
        <v>21404</v>
      </c>
      <c r="L6092" s="1"/>
      <c r="M6092" s="1"/>
    </row>
    <row x14ac:dyDescent="0.25" r="6093" customHeight="1" ht="18.75">
      <c r="A6093" s="1" t="s">
        <v>3598</v>
      </c>
      <c r="B6093" s="1" t="s">
        <v>4689</v>
      </c>
      <c r="C6093" s="1" t="s">
        <v>3600</v>
      </c>
      <c r="D6093" s="1" t="s">
        <v>3610</v>
      </c>
      <c r="E6093" s="1" t="s">
        <v>3664</v>
      </c>
      <c r="F6093" s="1" t="s">
        <v>21405</v>
      </c>
      <c r="G6093" s="1" t="s">
        <v>19962</v>
      </c>
      <c r="H6093" s="1" t="s">
        <v>3604</v>
      </c>
      <c r="I6093" s="1" t="s">
        <v>21406</v>
      </c>
      <c r="J6093" s="1" t="s">
        <v>3606</v>
      </c>
      <c r="K6093" s="1" t="s">
        <v>21407</v>
      </c>
      <c r="L6093" s="1"/>
      <c r="M6093" s="1"/>
    </row>
    <row x14ac:dyDescent="0.25" r="6094" customHeight="1" ht="18.75">
      <c r="A6094" s="1" t="s">
        <v>3598</v>
      </c>
      <c r="B6094" s="1" t="s">
        <v>4689</v>
      </c>
      <c r="C6094" s="1" t="s">
        <v>3600</v>
      </c>
      <c r="D6094" s="1" t="s">
        <v>3610</v>
      </c>
      <c r="E6094" s="1" t="s">
        <v>3664</v>
      </c>
      <c r="F6094" s="1" t="s">
        <v>21408</v>
      </c>
      <c r="G6094" s="1" t="s">
        <v>19962</v>
      </c>
      <c r="H6094" s="1" t="s">
        <v>3604</v>
      </c>
      <c r="I6094" s="1" t="s">
        <v>21409</v>
      </c>
      <c r="J6094" s="1" t="s">
        <v>3606</v>
      </c>
      <c r="K6094" s="1" t="s">
        <v>21410</v>
      </c>
      <c r="L6094" s="1"/>
      <c r="M6094" s="1"/>
    </row>
    <row x14ac:dyDescent="0.25" r="6095" customHeight="1" ht="18.75">
      <c r="A6095" s="1" t="s">
        <v>3598</v>
      </c>
      <c r="B6095" s="1" t="s">
        <v>4689</v>
      </c>
      <c r="C6095" s="1" t="s">
        <v>3600</v>
      </c>
      <c r="D6095" s="1" t="s">
        <v>3610</v>
      </c>
      <c r="E6095" s="1" t="s">
        <v>3664</v>
      </c>
      <c r="F6095" s="1" t="s">
        <v>21411</v>
      </c>
      <c r="G6095" s="1" t="s">
        <v>19962</v>
      </c>
      <c r="H6095" s="1" t="s">
        <v>3604</v>
      </c>
      <c r="I6095" s="1" t="s">
        <v>21412</v>
      </c>
      <c r="J6095" s="1" t="s">
        <v>3606</v>
      </c>
      <c r="K6095" s="1" t="s">
        <v>21413</v>
      </c>
      <c r="L6095" s="1"/>
      <c r="M6095" s="1"/>
    </row>
    <row x14ac:dyDescent="0.25" r="6096" customHeight="1" ht="18.75">
      <c r="A6096" s="1" t="s">
        <v>3598</v>
      </c>
      <c r="B6096" s="1" t="s">
        <v>4689</v>
      </c>
      <c r="C6096" s="1" t="s">
        <v>3600</v>
      </c>
      <c r="D6096" s="1" t="s">
        <v>3610</v>
      </c>
      <c r="E6096" s="1" t="s">
        <v>3664</v>
      </c>
      <c r="F6096" s="1" t="s">
        <v>21414</v>
      </c>
      <c r="G6096" s="1" t="s">
        <v>19962</v>
      </c>
      <c r="H6096" s="1" t="s">
        <v>3604</v>
      </c>
      <c r="I6096" s="1" t="s">
        <v>21415</v>
      </c>
      <c r="J6096" s="1" t="s">
        <v>3606</v>
      </c>
      <c r="K6096" s="1" t="s">
        <v>21416</v>
      </c>
      <c r="L6096" s="1"/>
      <c r="M6096" s="1"/>
    </row>
    <row x14ac:dyDescent="0.25" r="6097" customHeight="1" ht="18.75">
      <c r="A6097" s="1" t="s">
        <v>3598</v>
      </c>
      <c r="B6097" s="1" t="s">
        <v>4689</v>
      </c>
      <c r="C6097" s="1" t="s">
        <v>3600</v>
      </c>
      <c r="D6097" s="1" t="s">
        <v>3610</v>
      </c>
      <c r="E6097" s="1" t="s">
        <v>3664</v>
      </c>
      <c r="F6097" s="1" t="s">
        <v>21417</v>
      </c>
      <c r="G6097" s="1" t="s">
        <v>19962</v>
      </c>
      <c r="H6097" s="1" t="s">
        <v>3604</v>
      </c>
      <c r="I6097" s="1" t="s">
        <v>21418</v>
      </c>
      <c r="J6097" s="1" t="s">
        <v>3606</v>
      </c>
      <c r="K6097" s="1" t="s">
        <v>21419</v>
      </c>
      <c r="L6097" s="1"/>
      <c r="M6097" s="1"/>
    </row>
    <row x14ac:dyDescent="0.25" r="6098" customHeight="1" ht="18.75">
      <c r="A6098" s="1" t="s">
        <v>3598</v>
      </c>
      <c r="B6098" s="1" t="s">
        <v>4689</v>
      </c>
      <c r="C6098" s="1" t="s">
        <v>3600</v>
      </c>
      <c r="D6098" s="1" t="s">
        <v>3610</v>
      </c>
      <c r="E6098" s="1" t="s">
        <v>3664</v>
      </c>
      <c r="F6098" s="1" t="s">
        <v>21420</v>
      </c>
      <c r="G6098" s="1" t="s">
        <v>21421</v>
      </c>
      <c r="H6098" s="1" t="s">
        <v>3604</v>
      </c>
      <c r="I6098" s="1" t="s">
        <v>21422</v>
      </c>
      <c r="J6098" s="1" t="s">
        <v>3606</v>
      </c>
      <c r="K6098" s="1" t="s">
        <v>21423</v>
      </c>
      <c r="L6098" s="1"/>
      <c r="M6098" s="1"/>
    </row>
    <row x14ac:dyDescent="0.25" r="6099" customHeight="1" ht="18.75">
      <c r="A6099" s="1" t="s">
        <v>3598</v>
      </c>
      <c r="B6099" s="1" t="s">
        <v>4689</v>
      </c>
      <c r="C6099" s="1" t="s">
        <v>3600</v>
      </c>
      <c r="D6099" s="1" t="s">
        <v>3610</v>
      </c>
      <c r="E6099" s="1" t="s">
        <v>3664</v>
      </c>
      <c r="F6099" s="1" t="s">
        <v>21424</v>
      </c>
      <c r="G6099" s="1" t="s">
        <v>21421</v>
      </c>
      <c r="H6099" s="1" t="s">
        <v>3604</v>
      </c>
      <c r="I6099" s="1" t="s">
        <v>21425</v>
      </c>
      <c r="J6099" s="1" t="s">
        <v>3606</v>
      </c>
      <c r="K6099" s="1" t="s">
        <v>21426</v>
      </c>
      <c r="L6099" s="1"/>
      <c r="M6099" s="1"/>
    </row>
    <row x14ac:dyDescent="0.25" r="6100" customHeight="1" ht="18.75">
      <c r="A6100" s="1" t="s">
        <v>3598</v>
      </c>
      <c r="B6100" s="1" t="s">
        <v>4689</v>
      </c>
      <c r="C6100" s="1" t="s">
        <v>3600</v>
      </c>
      <c r="D6100" s="1" t="s">
        <v>3610</v>
      </c>
      <c r="E6100" s="1" t="s">
        <v>3664</v>
      </c>
      <c r="F6100" s="1" t="s">
        <v>21427</v>
      </c>
      <c r="G6100" s="1" t="s">
        <v>21421</v>
      </c>
      <c r="H6100" s="1" t="s">
        <v>3604</v>
      </c>
      <c r="I6100" s="1" t="s">
        <v>21428</v>
      </c>
      <c r="J6100" s="1" t="s">
        <v>3606</v>
      </c>
      <c r="K6100" s="1" t="s">
        <v>21429</v>
      </c>
      <c r="L6100" s="1"/>
      <c r="M6100" s="1"/>
    </row>
    <row x14ac:dyDescent="0.25" r="6101" customHeight="1" ht="18.75">
      <c r="A6101" s="1" t="s">
        <v>3598</v>
      </c>
      <c r="B6101" s="1" t="s">
        <v>4689</v>
      </c>
      <c r="C6101" s="1" t="s">
        <v>3600</v>
      </c>
      <c r="D6101" s="1" t="s">
        <v>3610</v>
      </c>
      <c r="E6101" s="1" t="s">
        <v>3664</v>
      </c>
      <c r="F6101" s="1" t="s">
        <v>21430</v>
      </c>
      <c r="G6101" s="1" t="s">
        <v>21421</v>
      </c>
      <c r="H6101" s="1" t="s">
        <v>3604</v>
      </c>
      <c r="I6101" s="1" t="s">
        <v>21431</v>
      </c>
      <c r="J6101" s="1" t="s">
        <v>3606</v>
      </c>
      <c r="K6101" s="1" t="s">
        <v>21432</v>
      </c>
      <c r="L6101" s="1"/>
      <c r="M6101" s="1"/>
    </row>
    <row x14ac:dyDescent="0.25" r="6102" customHeight="1" ht="18.75">
      <c r="A6102" s="1" t="s">
        <v>3598</v>
      </c>
      <c r="B6102" s="1" t="s">
        <v>4689</v>
      </c>
      <c r="C6102" s="1" t="s">
        <v>3600</v>
      </c>
      <c r="D6102" s="1" t="s">
        <v>3610</v>
      </c>
      <c r="E6102" s="1" t="s">
        <v>3664</v>
      </c>
      <c r="F6102" s="1" t="s">
        <v>21433</v>
      </c>
      <c r="G6102" s="1" t="s">
        <v>21421</v>
      </c>
      <c r="H6102" s="1" t="s">
        <v>3604</v>
      </c>
      <c r="I6102" s="1" t="s">
        <v>21434</v>
      </c>
      <c r="J6102" s="1" t="s">
        <v>3606</v>
      </c>
      <c r="K6102" s="1" t="s">
        <v>21435</v>
      </c>
      <c r="L6102" s="1"/>
      <c r="M6102" s="1"/>
    </row>
    <row x14ac:dyDescent="0.25" r="6103" customHeight="1" ht="18.75">
      <c r="A6103" s="1" t="s">
        <v>3598</v>
      </c>
      <c r="B6103" s="1" t="s">
        <v>3663</v>
      </c>
      <c r="C6103" s="1" t="s">
        <v>3600</v>
      </c>
      <c r="D6103" s="1" t="s">
        <v>3695</v>
      </c>
      <c r="E6103" s="1" t="s">
        <v>3752</v>
      </c>
      <c r="F6103" s="1" t="s">
        <v>21436</v>
      </c>
      <c r="G6103" s="1" t="s">
        <v>19200</v>
      </c>
      <c r="H6103" s="1" t="s">
        <v>3604</v>
      </c>
      <c r="I6103" s="1" t="s">
        <v>21437</v>
      </c>
      <c r="J6103" s="1" t="s">
        <v>3606</v>
      </c>
      <c r="K6103" s="1" t="s">
        <v>21438</v>
      </c>
      <c r="L6103" s="1"/>
      <c r="M6103" s="1"/>
    </row>
    <row x14ac:dyDescent="0.25" r="6104" customHeight="1" ht="18.75">
      <c r="A6104" s="1" t="s">
        <v>3598</v>
      </c>
      <c r="B6104" s="1" t="s">
        <v>3663</v>
      </c>
      <c r="C6104" s="1" t="s">
        <v>3600</v>
      </c>
      <c r="D6104" s="1" t="s">
        <v>3695</v>
      </c>
      <c r="E6104" s="1" t="s">
        <v>3752</v>
      </c>
      <c r="F6104" s="1" t="s">
        <v>21439</v>
      </c>
      <c r="G6104" s="1" t="s">
        <v>19200</v>
      </c>
      <c r="H6104" s="1" t="s">
        <v>3604</v>
      </c>
      <c r="I6104" s="1" t="s">
        <v>21440</v>
      </c>
      <c r="J6104" s="1" t="s">
        <v>3606</v>
      </c>
      <c r="K6104" s="1" t="s">
        <v>21441</v>
      </c>
      <c r="L6104" s="1"/>
      <c r="M6104" s="1"/>
    </row>
    <row x14ac:dyDescent="0.25" r="6105" customHeight="1" ht="18.75">
      <c r="A6105" s="1" t="s">
        <v>3598</v>
      </c>
      <c r="B6105" s="1" t="s">
        <v>3751</v>
      </c>
      <c r="C6105" s="1" t="s">
        <v>3600</v>
      </c>
      <c r="D6105" s="1" t="s">
        <v>3695</v>
      </c>
      <c r="E6105" s="1" t="s">
        <v>3752</v>
      </c>
      <c r="F6105" s="1" t="s">
        <v>21442</v>
      </c>
      <c r="G6105" s="1" t="s">
        <v>21443</v>
      </c>
      <c r="H6105" s="1" t="s">
        <v>3604</v>
      </c>
      <c r="I6105" s="1" t="s">
        <v>21444</v>
      </c>
      <c r="J6105" s="1" t="s">
        <v>3606</v>
      </c>
      <c r="K6105" s="1" t="s">
        <v>21445</v>
      </c>
      <c r="L6105" s="1"/>
      <c r="M6105" s="1"/>
    </row>
    <row x14ac:dyDescent="0.25" r="6106" customHeight="1" ht="18.75">
      <c r="A6106" s="1" t="s">
        <v>3598</v>
      </c>
      <c r="B6106" s="1" t="s">
        <v>3751</v>
      </c>
      <c r="C6106" s="1" t="s">
        <v>3600</v>
      </c>
      <c r="D6106" s="1" t="s">
        <v>3695</v>
      </c>
      <c r="E6106" s="1" t="s">
        <v>3752</v>
      </c>
      <c r="F6106" s="1" t="s">
        <v>21446</v>
      </c>
      <c r="G6106" s="1" t="s">
        <v>21443</v>
      </c>
      <c r="H6106" s="1" t="s">
        <v>3604</v>
      </c>
      <c r="I6106" s="1" t="s">
        <v>21447</v>
      </c>
      <c r="J6106" s="1" t="s">
        <v>3606</v>
      </c>
      <c r="K6106" s="1" t="s">
        <v>21448</v>
      </c>
      <c r="L6106" s="1"/>
      <c r="M6106" s="1"/>
    </row>
    <row x14ac:dyDescent="0.25" r="6107" customHeight="1" ht="18.75">
      <c r="A6107" s="1" t="s">
        <v>3598</v>
      </c>
      <c r="B6107" s="1" t="s">
        <v>4273</v>
      </c>
      <c r="C6107" s="1" t="s">
        <v>3600</v>
      </c>
      <c r="D6107" s="1" t="s">
        <v>3695</v>
      </c>
      <c r="E6107" s="1" t="s">
        <v>3752</v>
      </c>
      <c r="F6107" s="1" t="s">
        <v>21449</v>
      </c>
      <c r="G6107" s="1" t="s">
        <v>21450</v>
      </c>
      <c r="H6107" s="1" t="s">
        <v>3604</v>
      </c>
      <c r="I6107" s="1" t="s">
        <v>21451</v>
      </c>
      <c r="J6107" s="1" t="s">
        <v>3606</v>
      </c>
      <c r="K6107" s="1" t="s">
        <v>21452</v>
      </c>
      <c r="L6107" s="1"/>
      <c r="M6107" s="1"/>
    </row>
    <row x14ac:dyDescent="0.25" r="6108" customHeight="1" ht="18.75">
      <c r="A6108" s="1" t="s">
        <v>3598</v>
      </c>
      <c r="B6108" s="1" t="s">
        <v>4273</v>
      </c>
      <c r="C6108" s="1" t="s">
        <v>3600</v>
      </c>
      <c r="D6108" s="1" t="s">
        <v>3695</v>
      </c>
      <c r="E6108" s="1" t="s">
        <v>3752</v>
      </c>
      <c r="F6108" s="1" t="s">
        <v>21453</v>
      </c>
      <c r="G6108" s="1" t="s">
        <v>21450</v>
      </c>
      <c r="H6108" s="1" t="s">
        <v>3604</v>
      </c>
      <c r="I6108" s="1" t="s">
        <v>21454</v>
      </c>
      <c r="J6108" s="1" t="s">
        <v>3606</v>
      </c>
      <c r="K6108" s="1" t="s">
        <v>21455</v>
      </c>
      <c r="L6108" s="1"/>
      <c r="M6108" s="1"/>
    </row>
    <row x14ac:dyDescent="0.25" r="6109" customHeight="1" ht="18.75">
      <c r="A6109" s="1" t="s">
        <v>3598</v>
      </c>
      <c r="B6109" s="1" t="s">
        <v>6811</v>
      </c>
      <c r="C6109" s="1" t="s">
        <v>3600</v>
      </c>
      <c r="D6109" s="1" t="s">
        <v>3695</v>
      </c>
      <c r="E6109" s="1" t="s">
        <v>3752</v>
      </c>
      <c r="F6109" s="1" t="s">
        <v>21456</v>
      </c>
      <c r="G6109" s="1" t="s">
        <v>21457</v>
      </c>
      <c r="H6109" s="1" t="s">
        <v>3604</v>
      </c>
      <c r="I6109" s="1" t="s">
        <v>21458</v>
      </c>
      <c r="J6109" s="1" t="s">
        <v>3606</v>
      </c>
      <c r="K6109" s="1" t="s">
        <v>21459</v>
      </c>
      <c r="L6109" s="1"/>
      <c r="M6109" s="1"/>
    </row>
    <row x14ac:dyDescent="0.25" r="6110" customHeight="1" ht="18.75">
      <c r="A6110" s="1" t="s">
        <v>3598</v>
      </c>
      <c r="B6110" s="1" t="s">
        <v>6811</v>
      </c>
      <c r="C6110" s="1" t="s">
        <v>3600</v>
      </c>
      <c r="D6110" s="1" t="s">
        <v>3695</v>
      </c>
      <c r="E6110" s="1" t="s">
        <v>3752</v>
      </c>
      <c r="F6110" s="1" t="s">
        <v>21460</v>
      </c>
      <c r="G6110" s="1" t="s">
        <v>19754</v>
      </c>
      <c r="H6110" s="1" t="s">
        <v>3604</v>
      </c>
      <c r="I6110" s="1" t="s">
        <v>21461</v>
      </c>
      <c r="J6110" s="1" t="s">
        <v>3606</v>
      </c>
      <c r="K6110" s="1" t="s">
        <v>21462</v>
      </c>
      <c r="L6110" s="1"/>
      <c r="M6110" s="1"/>
    </row>
    <row x14ac:dyDescent="0.25" r="6111" customHeight="1" ht="18.75">
      <c r="A6111" s="1" t="s">
        <v>3598</v>
      </c>
      <c r="B6111" s="1" t="s">
        <v>6811</v>
      </c>
      <c r="C6111" s="1" t="s">
        <v>3600</v>
      </c>
      <c r="D6111" s="1" t="s">
        <v>3695</v>
      </c>
      <c r="E6111" s="1" t="s">
        <v>3752</v>
      </c>
      <c r="F6111" s="1" t="s">
        <v>21463</v>
      </c>
      <c r="G6111" s="1" t="s">
        <v>19754</v>
      </c>
      <c r="H6111" s="1" t="s">
        <v>3604</v>
      </c>
      <c r="I6111" s="1" t="s">
        <v>21464</v>
      </c>
      <c r="J6111" s="1" t="s">
        <v>3606</v>
      </c>
      <c r="K6111" s="1" t="s">
        <v>21465</v>
      </c>
      <c r="L6111" s="1"/>
      <c r="M6111" s="1"/>
    </row>
    <row x14ac:dyDescent="0.25" r="6112" customHeight="1" ht="18.75">
      <c r="A6112" s="1" t="s">
        <v>3598</v>
      </c>
      <c r="B6112" s="1" t="s">
        <v>6811</v>
      </c>
      <c r="C6112" s="1" t="s">
        <v>3600</v>
      </c>
      <c r="D6112" s="1" t="s">
        <v>3695</v>
      </c>
      <c r="E6112" s="1" t="s">
        <v>3752</v>
      </c>
      <c r="F6112" s="1" t="s">
        <v>21466</v>
      </c>
      <c r="G6112" s="1" t="s">
        <v>19754</v>
      </c>
      <c r="H6112" s="1" t="s">
        <v>3604</v>
      </c>
      <c r="I6112" s="1" t="s">
        <v>21467</v>
      </c>
      <c r="J6112" s="1" t="s">
        <v>3606</v>
      </c>
      <c r="K6112" s="1" t="s">
        <v>21468</v>
      </c>
      <c r="L6112" s="1"/>
      <c r="M6112" s="1"/>
    </row>
    <row x14ac:dyDescent="0.25" r="6113" customHeight="1" ht="18.75">
      <c r="A6113" s="1" t="s">
        <v>3598</v>
      </c>
      <c r="B6113" s="1" t="s">
        <v>5239</v>
      </c>
      <c r="C6113" s="1" t="s">
        <v>3600</v>
      </c>
      <c r="D6113" s="1" t="s">
        <v>3695</v>
      </c>
      <c r="E6113" s="1" t="s">
        <v>3752</v>
      </c>
      <c r="F6113" s="1" t="s">
        <v>21469</v>
      </c>
      <c r="G6113" s="1" t="s">
        <v>21470</v>
      </c>
      <c r="H6113" s="1" t="s">
        <v>3604</v>
      </c>
      <c r="I6113" s="1" t="s">
        <v>21471</v>
      </c>
      <c r="J6113" s="1" t="s">
        <v>3606</v>
      </c>
      <c r="K6113" s="1" t="s">
        <v>21472</v>
      </c>
      <c r="L6113" s="1"/>
      <c r="M6113" s="1"/>
    </row>
    <row x14ac:dyDescent="0.25" r="6114" customHeight="1" ht="18.75">
      <c r="A6114" s="1" t="s">
        <v>3598</v>
      </c>
      <c r="B6114" s="1" t="s">
        <v>5239</v>
      </c>
      <c r="C6114" s="1" t="s">
        <v>3600</v>
      </c>
      <c r="D6114" s="1" t="s">
        <v>3695</v>
      </c>
      <c r="E6114" s="1" t="s">
        <v>3752</v>
      </c>
      <c r="F6114" s="1" t="s">
        <v>21473</v>
      </c>
      <c r="G6114" s="1" t="s">
        <v>21474</v>
      </c>
      <c r="H6114" s="1" t="s">
        <v>3604</v>
      </c>
      <c r="I6114" s="1" t="s">
        <v>21475</v>
      </c>
      <c r="J6114" s="1" t="s">
        <v>3606</v>
      </c>
      <c r="K6114" s="1" t="s">
        <v>21476</v>
      </c>
      <c r="L6114" s="1"/>
      <c r="M6114" s="1"/>
    </row>
    <row x14ac:dyDescent="0.25" r="6115" customHeight="1" ht="18.75">
      <c r="A6115" s="1" t="s">
        <v>3598</v>
      </c>
      <c r="B6115" s="1" t="s">
        <v>5239</v>
      </c>
      <c r="C6115" s="1" t="s">
        <v>3600</v>
      </c>
      <c r="D6115" s="1" t="s">
        <v>3695</v>
      </c>
      <c r="E6115" s="1" t="s">
        <v>3752</v>
      </c>
      <c r="F6115" s="1" t="s">
        <v>21477</v>
      </c>
      <c r="G6115" s="1" t="s">
        <v>21474</v>
      </c>
      <c r="H6115" s="1" t="s">
        <v>3604</v>
      </c>
      <c r="I6115" s="1" t="s">
        <v>21478</v>
      </c>
      <c r="J6115" s="1" t="s">
        <v>3606</v>
      </c>
      <c r="K6115" s="1" t="s">
        <v>21479</v>
      </c>
      <c r="L6115" s="1"/>
      <c r="M6115" s="1"/>
    </row>
    <row x14ac:dyDescent="0.25" r="6116" customHeight="1" ht="18.75">
      <c r="A6116" s="1" t="s">
        <v>3598</v>
      </c>
      <c r="B6116" s="1" t="s">
        <v>15397</v>
      </c>
      <c r="C6116" s="1" t="s">
        <v>3600</v>
      </c>
      <c r="D6116" s="1" t="s">
        <v>3695</v>
      </c>
      <c r="E6116" s="1" t="s">
        <v>3752</v>
      </c>
      <c r="F6116" s="1" t="s">
        <v>21480</v>
      </c>
      <c r="G6116" s="1" t="s">
        <v>21481</v>
      </c>
      <c r="H6116" s="1" t="s">
        <v>3604</v>
      </c>
      <c r="I6116" s="1" t="s">
        <v>21482</v>
      </c>
      <c r="J6116" s="1" t="s">
        <v>3606</v>
      </c>
      <c r="K6116" s="1" t="s">
        <v>21483</v>
      </c>
      <c r="L6116" s="1"/>
      <c r="M6116" s="1"/>
    </row>
    <row x14ac:dyDescent="0.25" r="6117" customHeight="1" ht="18.75">
      <c r="A6117" s="1" t="s">
        <v>3598</v>
      </c>
      <c r="B6117" s="1" t="s">
        <v>8191</v>
      </c>
      <c r="C6117" s="1" t="s">
        <v>3600</v>
      </c>
      <c r="D6117" s="1" t="s">
        <v>3695</v>
      </c>
      <c r="E6117" s="1" t="s">
        <v>3752</v>
      </c>
      <c r="F6117" s="1" t="s">
        <v>21484</v>
      </c>
      <c r="G6117" s="1" t="s">
        <v>21485</v>
      </c>
      <c r="H6117" s="1" t="s">
        <v>3604</v>
      </c>
      <c r="I6117" s="1" t="s">
        <v>21486</v>
      </c>
      <c r="J6117" s="1" t="s">
        <v>3606</v>
      </c>
      <c r="K6117" s="1" t="s">
        <v>21487</v>
      </c>
      <c r="L6117" s="1"/>
      <c r="M6117" s="1"/>
    </row>
    <row x14ac:dyDescent="0.25" r="6118" customHeight="1" ht="18.75">
      <c r="A6118" s="1" t="s">
        <v>3598</v>
      </c>
      <c r="B6118" s="1" t="s">
        <v>8191</v>
      </c>
      <c r="C6118" s="1" t="s">
        <v>3600</v>
      </c>
      <c r="D6118" s="1" t="s">
        <v>3695</v>
      </c>
      <c r="E6118" s="1" t="s">
        <v>3752</v>
      </c>
      <c r="F6118" s="1" t="s">
        <v>21488</v>
      </c>
      <c r="G6118" s="1" t="s">
        <v>21485</v>
      </c>
      <c r="H6118" s="1" t="s">
        <v>3604</v>
      </c>
      <c r="I6118" s="1" t="s">
        <v>21489</v>
      </c>
      <c r="J6118" s="1" t="s">
        <v>3606</v>
      </c>
      <c r="K6118" s="1" t="s">
        <v>21490</v>
      </c>
      <c r="L6118" s="1"/>
      <c r="M6118" s="1"/>
    </row>
    <row x14ac:dyDescent="0.25" r="6119" customHeight="1" ht="18.75">
      <c r="A6119" s="1" t="s">
        <v>3598</v>
      </c>
      <c r="B6119" s="1" t="s">
        <v>8191</v>
      </c>
      <c r="C6119" s="1" t="s">
        <v>3600</v>
      </c>
      <c r="D6119" s="1" t="s">
        <v>3695</v>
      </c>
      <c r="E6119" s="1" t="s">
        <v>3752</v>
      </c>
      <c r="F6119" s="1" t="s">
        <v>21491</v>
      </c>
      <c r="G6119" s="1" t="s">
        <v>21485</v>
      </c>
      <c r="H6119" s="1" t="s">
        <v>3604</v>
      </c>
      <c r="I6119" s="1" t="s">
        <v>21492</v>
      </c>
      <c r="J6119" s="1" t="s">
        <v>3606</v>
      </c>
      <c r="K6119" s="1" t="s">
        <v>21493</v>
      </c>
      <c r="L6119" s="1"/>
      <c r="M6119" s="1"/>
    </row>
    <row x14ac:dyDescent="0.25" r="6120" customHeight="1" ht="18.75">
      <c r="A6120" s="1" t="s">
        <v>7833</v>
      </c>
      <c r="B6120" s="1" t="s">
        <v>8291</v>
      </c>
      <c r="C6120" s="1" t="s">
        <v>4488</v>
      </c>
      <c r="D6120" s="1" t="s">
        <v>3601</v>
      </c>
      <c r="E6120" s="1" t="s">
        <v>8096</v>
      </c>
      <c r="F6120" s="1" t="s">
        <v>21494</v>
      </c>
      <c r="G6120" s="1" t="s">
        <v>8299</v>
      </c>
      <c r="H6120" s="1" t="s">
        <v>3604</v>
      </c>
      <c r="I6120" s="1" t="s">
        <v>21495</v>
      </c>
      <c r="J6120" s="1" t="s">
        <v>3606</v>
      </c>
      <c r="K6120" s="1" t="s">
        <v>9194</v>
      </c>
      <c r="L6120" s="1"/>
      <c r="M6120" s="1"/>
    </row>
    <row x14ac:dyDescent="0.25" r="6121" customHeight="1" ht="18.75">
      <c r="A6121" s="1" t="s">
        <v>7833</v>
      </c>
      <c r="B6121" s="1" t="s">
        <v>8291</v>
      </c>
      <c r="C6121" s="1" t="s">
        <v>4488</v>
      </c>
      <c r="D6121" s="1" t="s">
        <v>3601</v>
      </c>
      <c r="E6121" s="1" t="s">
        <v>3664</v>
      </c>
      <c r="F6121" s="1" t="s">
        <v>21496</v>
      </c>
      <c r="G6121" s="1" t="s">
        <v>8299</v>
      </c>
      <c r="H6121" s="1" t="s">
        <v>3604</v>
      </c>
      <c r="I6121" s="1" t="s">
        <v>21497</v>
      </c>
      <c r="J6121" s="1" t="s">
        <v>3606</v>
      </c>
      <c r="K6121" s="1" t="s">
        <v>18441</v>
      </c>
      <c r="L6121" s="1"/>
      <c r="M6121" s="1"/>
    </row>
    <row x14ac:dyDescent="0.25" r="6122" customHeight="1" ht="18.75">
      <c r="A6122" s="1" t="s">
        <v>7833</v>
      </c>
      <c r="B6122" s="1" t="s">
        <v>8291</v>
      </c>
      <c r="C6122" s="1" t="s">
        <v>4488</v>
      </c>
      <c r="D6122" s="1" t="s">
        <v>3601</v>
      </c>
      <c r="E6122" s="1" t="s">
        <v>8096</v>
      </c>
      <c r="F6122" s="1" t="s">
        <v>21498</v>
      </c>
      <c r="G6122" s="1" t="s">
        <v>14204</v>
      </c>
      <c r="H6122" s="1" t="s">
        <v>3604</v>
      </c>
      <c r="I6122" s="1" t="s">
        <v>21499</v>
      </c>
      <c r="J6122" s="1" t="s">
        <v>3606</v>
      </c>
      <c r="K6122" s="1" t="s">
        <v>21500</v>
      </c>
      <c r="L6122" s="1"/>
      <c r="M6122" s="1"/>
    </row>
    <row x14ac:dyDescent="0.25" r="6123" customHeight="1" ht="18.75">
      <c r="A6123" s="1" t="s">
        <v>3598</v>
      </c>
      <c r="B6123" s="1" t="s">
        <v>9236</v>
      </c>
      <c r="C6123" s="1" t="s">
        <v>3600</v>
      </c>
      <c r="D6123" s="1" t="s">
        <v>3695</v>
      </c>
      <c r="E6123" s="1" t="s">
        <v>3752</v>
      </c>
      <c r="F6123" s="1" t="s">
        <v>21501</v>
      </c>
      <c r="G6123" s="1" t="s">
        <v>21502</v>
      </c>
      <c r="H6123" s="1" t="s">
        <v>3604</v>
      </c>
      <c r="I6123" s="1" t="s">
        <v>21503</v>
      </c>
      <c r="J6123" s="1" t="s">
        <v>3606</v>
      </c>
      <c r="K6123" s="1" t="s">
        <v>21504</v>
      </c>
      <c r="L6123" s="1"/>
      <c r="M6123" s="1"/>
    </row>
    <row x14ac:dyDescent="0.25" r="6124" customHeight="1" ht="18.75">
      <c r="A6124" s="1" t="s">
        <v>3598</v>
      </c>
      <c r="B6124" s="1" t="s">
        <v>9236</v>
      </c>
      <c r="C6124" s="1" t="s">
        <v>3600</v>
      </c>
      <c r="D6124" s="1" t="s">
        <v>3695</v>
      </c>
      <c r="E6124" s="1" t="s">
        <v>3752</v>
      </c>
      <c r="F6124" s="1" t="s">
        <v>21505</v>
      </c>
      <c r="G6124" s="1" t="s">
        <v>21502</v>
      </c>
      <c r="H6124" s="1" t="s">
        <v>3604</v>
      </c>
      <c r="I6124" s="1" t="s">
        <v>21506</v>
      </c>
      <c r="J6124" s="1" t="s">
        <v>3606</v>
      </c>
      <c r="K6124" s="1" t="s">
        <v>21507</v>
      </c>
      <c r="L6124" s="1"/>
      <c r="M6124" s="1"/>
    </row>
    <row x14ac:dyDescent="0.25" r="6125" customHeight="1" ht="18.75">
      <c r="A6125" s="1" t="s">
        <v>7833</v>
      </c>
      <c r="B6125" s="1" t="s">
        <v>8291</v>
      </c>
      <c r="C6125" s="1" t="s">
        <v>4488</v>
      </c>
      <c r="D6125" s="1" t="s">
        <v>3601</v>
      </c>
      <c r="E6125" s="1" t="s">
        <v>8096</v>
      </c>
      <c r="F6125" s="1" t="s">
        <v>21508</v>
      </c>
      <c r="G6125" s="1" t="s">
        <v>9821</v>
      </c>
      <c r="H6125" s="1" t="s">
        <v>3604</v>
      </c>
      <c r="I6125" s="1" t="s">
        <v>21509</v>
      </c>
      <c r="J6125" s="1" t="s">
        <v>3606</v>
      </c>
      <c r="K6125" s="1" t="s">
        <v>20776</v>
      </c>
      <c r="L6125" s="1"/>
      <c r="M6125" s="1"/>
    </row>
    <row x14ac:dyDescent="0.25" r="6126" customHeight="1" ht="18.75">
      <c r="A6126" s="1" t="s">
        <v>3598</v>
      </c>
      <c r="B6126" s="1" t="s">
        <v>9236</v>
      </c>
      <c r="C6126" s="1" t="s">
        <v>3600</v>
      </c>
      <c r="D6126" s="1" t="s">
        <v>3695</v>
      </c>
      <c r="E6126" s="1" t="s">
        <v>3752</v>
      </c>
      <c r="F6126" s="1" t="s">
        <v>21510</v>
      </c>
      <c r="G6126" s="1" t="s">
        <v>21502</v>
      </c>
      <c r="H6126" s="1" t="s">
        <v>3604</v>
      </c>
      <c r="I6126" s="1" t="s">
        <v>21511</v>
      </c>
      <c r="J6126" s="1" t="s">
        <v>3606</v>
      </c>
      <c r="K6126" s="1" t="s">
        <v>21512</v>
      </c>
      <c r="L6126" s="1"/>
      <c r="M6126" s="1"/>
    </row>
    <row x14ac:dyDescent="0.25" r="6127" customHeight="1" ht="18.75">
      <c r="A6127" s="1" t="s">
        <v>3598</v>
      </c>
      <c r="B6127" s="1" t="s">
        <v>9236</v>
      </c>
      <c r="C6127" s="1" t="s">
        <v>3600</v>
      </c>
      <c r="D6127" s="1" t="s">
        <v>3695</v>
      </c>
      <c r="E6127" s="1" t="s">
        <v>3752</v>
      </c>
      <c r="F6127" s="1" t="s">
        <v>21513</v>
      </c>
      <c r="G6127" s="1" t="s">
        <v>21514</v>
      </c>
      <c r="H6127" s="1" t="s">
        <v>3604</v>
      </c>
      <c r="I6127" s="1" t="s">
        <v>21515</v>
      </c>
      <c r="J6127" s="1" t="s">
        <v>3606</v>
      </c>
      <c r="K6127" s="1" t="s">
        <v>21516</v>
      </c>
      <c r="L6127" s="1"/>
      <c r="M6127" s="1"/>
    </row>
    <row x14ac:dyDescent="0.25" r="6128" customHeight="1" ht="18.75">
      <c r="A6128" s="1" t="s">
        <v>7833</v>
      </c>
      <c r="B6128" s="1" t="s">
        <v>8291</v>
      </c>
      <c r="C6128" s="1" t="s">
        <v>4488</v>
      </c>
      <c r="D6128" s="1" t="s">
        <v>3601</v>
      </c>
      <c r="E6128" s="1" t="s">
        <v>8096</v>
      </c>
      <c r="F6128" s="1" t="s">
        <v>21517</v>
      </c>
      <c r="G6128" s="1" t="s">
        <v>21518</v>
      </c>
      <c r="H6128" s="1" t="s">
        <v>3604</v>
      </c>
      <c r="I6128" s="1" t="s">
        <v>21519</v>
      </c>
      <c r="J6128" s="1" t="s">
        <v>3606</v>
      </c>
      <c r="K6128" s="1" t="s">
        <v>14536</v>
      </c>
      <c r="L6128" s="1"/>
      <c r="M6128" s="1"/>
    </row>
    <row x14ac:dyDescent="0.25" r="6129" customHeight="1" ht="18.75">
      <c r="A6129" s="1" t="s">
        <v>3693</v>
      </c>
      <c r="B6129" s="1" t="s">
        <v>4267</v>
      </c>
      <c r="C6129" s="1" t="s">
        <v>3600</v>
      </c>
      <c r="D6129" s="1" t="s">
        <v>3601</v>
      </c>
      <c r="E6129" s="1" t="s">
        <v>3893</v>
      </c>
      <c r="F6129" s="1" t="s">
        <v>21520</v>
      </c>
      <c r="G6129" s="1" t="s">
        <v>4268</v>
      </c>
      <c r="H6129" s="1" t="s">
        <v>3604</v>
      </c>
      <c r="I6129" s="1" t="s">
        <v>21521</v>
      </c>
      <c r="J6129" s="1" t="s">
        <v>3606</v>
      </c>
      <c r="K6129" s="1" t="s">
        <v>21522</v>
      </c>
      <c r="L6129" s="1"/>
      <c r="M6129" s="1"/>
    </row>
    <row x14ac:dyDescent="0.25" r="6130" customHeight="1" ht="18.75">
      <c r="A6130" s="1" t="s">
        <v>7833</v>
      </c>
      <c r="B6130" s="1" t="s">
        <v>8291</v>
      </c>
      <c r="C6130" s="1" t="s">
        <v>4488</v>
      </c>
      <c r="D6130" s="1" t="s">
        <v>3601</v>
      </c>
      <c r="E6130" s="1" t="s">
        <v>8096</v>
      </c>
      <c r="F6130" s="1" t="s">
        <v>21523</v>
      </c>
      <c r="G6130" s="1" t="s">
        <v>13774</v>
      </c>
      <c r="H6130" s="1" t="s">
        <v>3604</v>
      </c>
      <c r="I6130" s="1" t="s">
        <v>21524</v>
      </c>
      <c r="J6130" s="1" t="s">
        <v>3606</v>
      </c>
      <c r="K6130" s="1" t="s">
        <v>21525</v>
      </c>
      <c r="L6130" s="1"/>
      <c r="M6130" s="1"/>
    </row>
    <row x14ac:dyDescent="0.25" r="6131" customHeight="1" ht="18.75">
      <c r="A6131" s="1" t="s">
        <v>7833</v>
      </c>
      <c r="B6131" s="1" t="s">
        <v>8291</v>
      </c>
      <c r="C6131" s="1" t="s">
        <v>4488</v>
      </c>
      <c r="D6131" s="1" t="s">
        <v>3601</v>
      </c>
      <c r="E6131" s="1" t="s">
        <v>8096</v>
      </c>
      <c r="F6131" s="1" t="s">
        <v>21526</v>
      </c>
      <c r="G6131" s="1" t="s">
        <v>13774</v>
      </c>
      <c r="H6131" s="1" t="s">
        <v>3604</v>
      </c>
      <c r="I6131" s="1" t="s">
        <v>21527</v>
      </c>
      <c r="J6131" s="1" t="s">
        <v>3606</v>
      </c>
      <c r="K6131" s="1" t="s">
        <v>21528</v>
      </c>
      <c r="L6131" s="1"/>
      <c r="M6131" s="1"/>
    </row>
    <row x14ac:dyDescent="0.25" r="6132" customHeight="1" ht="18.75">
      <c r="A6132" s="1" t="s">
        <v>7833</v>
      </c>
      <c r="B6132" s="1" t="s">
        <v>8291</v>
      </c>
      <c r="C6132" s="1" t="s">
        <v>4488</v>
      </c>
      <c r="D6132" s="1" t="s">
        <v>3601</v>
      </c>
      <c r="E6132" s="1" t="s">
        <v>8096</v>
      </c>
      <c r="F6132" s="1" t="s">
        <v>21529</v>
      </c>
      <c r="G6132" s="1" t="s">
        <v>14707</v>
      </c>
      <c r="H6132" s="1" t="s">
        <v>3604</v>
      </c>
      <c r="I6132" s="1" t="s">
        <v>21530</v>
      </c>
      <c r="J6132" s="1" t="s">
        <v>3606</v>
      </c>
      <c r="K6132" s="1" t="s">
        <v>21531</v>
      </c>
      <c r="L6132" s="1"/>
      <c r="M6132" s="1"/>
    </row>
    <row x14ac:dyDescent="0.25" r="6133" customHeight="1" ht="18.75">
      <c r="A6133" s="1" t="s">
        <v>7833</v>
      </c>
      <c r="B6133" s="1" t="s">
        <v>8291</v>
      </c>
      <c r="C6133" s="1" t="s">
        <v>4488</v>
      </c>
      <c r="D6133" s="1" t="s">
        <v>3601</v>
      </c>
      <c r="E6133" s="1" t="s">
        <v>8096</v>
      </c>
      <c r="F6133" s="1" t="s">
        <v>21532</v>
      </c>
      <c r="G6133" s="1" t="s">
        <v>14707</v>
      </c>
      <c r="H6133" s="1" t="s">
        <v>3604</v>
      </c>
      <c r="I6133" s="1" t="s">
        <v>21533</v>
      </c>
      <c r="J6133" s="1" t="s">
        <v>3606</v>
      </c>
      <c r="K6133" s="1" t="s">
        <v>21534</v>
      </c>
      <c r="L6133" s="1"/>
      <c r="M6133" s="1"/>
    </row>
    <row x14ac:dyDescent="0.25" r="6134" customHeight="1" ht="18.75">
      <c r="A6134" s="1" t="s">
        <v>7833</v>
      </c>
      <c r="B6134" s="1" t="s">
        <v>8291</v>
      </c>
      <c r="C6134" s="1" t="s">
        <v>4488</v>
      </c>
      <c r="D6134" s="1" t="s">
        <v>3601</v>
      </c>
      <c r="E6134" s="1" t="s">
        <v>8096</v>
      </c>
      <c r="F6134" s="1" t="s">
        <v>21535</v>
      </c>
      <c r="G6134" s="1" t="s">
        <v>14712</v>
      </c>
      <c r="H6134" s="1" t="s">
        <v>3604</v>
      </c>
      <c r="I6134" s="1" t="s">
        <v>21536</v>
      </c>
      <c r="J6134" s="1" t="s">
        <v>3606</v>
      </c>
      <c r="K6134" s="1" t="s">
        <v>21537</v>
      </c>
      <c r="L6134" s="1"/>
      <c r="M6134" s="1"/>
    </row>
    <row x14ac:dyDescent="0.25" r="6135" customHeight="1" ht="18.75">
      <c r="A6135" s="1" t="s">
        <v>7833</v>
      </c>
      <c r="B6135" s="1" t="s">
        <v>8291</v>
      </c>
      <c r="C6135" s="1" t="s">
        <v>4488</v>
      </c>
      <c r="D6135" s="1" t="s">
        <v>3601</v>
      </c>
      <c r="E6135" s="1" t="s">
        <v>8096</v>
      </c>
      <c r="F6135" s="1" t="s">
        <v>21538</v>
      </c>
      <c r="G6135" s="1" t="s">
        <v>14712</v>
      </c>
      <c r="H6135" s="1" t="s">
        <v>3604</v>
      </c>
      <c r="I6135" s="1" t="s">
        <v>21539</v>
      </c>
      <c r="J6135" s="1" t="s">
        <v>3606</v>
      </c>
      <c r="K6135" s="1" t="s">
        <v>21540</v>
      </c>
      <c r="L6135" s="1"/>
      <c r="M6135" s="1"/>
    </row>
    <row x14ac:dyDescent="0.25" r="6136" customHeight="1" ht="18.75">
      <c r="A6136" s="1" t="s">
        <v>7833</v>
      </c>
      <c r="B6136" s="1" t="s">
        <v>8291</v>
      </c>
      <c r="C6136" s="1" t="s">
        <v>4488</v>
      </c>
      <c r="D6136" s="1" t="s">
        <v>3601</v>
      </c>
      <c r="E6136" s="1" t="s">
        <v>8096</v>
      </c>
      <c r="F6136" s="1" t="s">
        <v>21541</v>
      </c>
      <c r="G6136" s="1" t="s">
        <v>14731</v>
      </c>
      <c r="H6136" s="1" t="s">
        <v>3604</v>
      </c>
      <c r="I6136" s="1" t="s">
        <v>21542</v>
      </c>
      <c r="J6136" s="1" t="s">
        <v>3606</v>
      </c>
      <c r="K6136" s="1" t="s">
        <v>21543</v>
      </c>
      <c r="L6136" s="1"/>
      <c r="M6136" s="1"/>
    </row>
    <row x14ac:dyDescent="0.25" r="6137" customHeight="1" ht="18.75">
      <c r="A6137" s="1" t="s">
        <v>7833</v>
      </c>
      <c r="B6137" s="1" t="s">
        <v>8291</v>
      </c>
      <c r="C6137" s="1" t="s">
        <v>4488</v>
      </c>
      <c r="D6137" s="1" t="s">
        <v>3601</v>
      </c>
      <c r="E6137" s="1" t="s">
        <v>8096</v>
      </c>
      <c r="F6137" s="1" t="s">
        <v>21544</v>
      </c>
      <c r="G6137" s="1" t="s">
        <v>14731</v>
      </c>
      <c r="H6137" s="1" t="s">
        <v>3604</v>
      </c>
      <c r="I6137" s="1" t="s">
        <v>21545</v>
      </c>
      <c r="J6137" s="1" t="s">
        <v>3606</v>
      </c>
      <c r="K6137" s="1" t="s">
        <v>20837</v>
      </c>
      <c r="L6137" s="1"/>
      <c r="M6137" s="1"/>
    </row>
    <row x14ac:dyDescent="0.25" r="6138" customHeight="1" ht="18.75">
      <c r="A6138" s="1" t="s">
        <v>7833</v>
      </c>
      <c r="B6138" s="1" t="s">
        <v>8306</v>
      </c>
      <c r="C6138" s="1" t="s">
        <v>4488</v>
      </c>
      <c r="D6138" s="1" t="s">
        <v>3601</v>
      </c>
      <c r="E6138" s="1" t="s">
        <v>8096</v>
      </c>
      <c r="F6138" s="1" t="s">
        <v>21546</v>
      </c>
      <c r="G6138" s="1" t="s">
        <v>15304</v>
      </c>
      <c r="H6138" s="1" t="s">
        <v>3604</v>
      </c>
      <c r="I6138" s="1" t="s">
        <v>21547</v>
      </c>
      <c r="J6138" s="1" t="s">
        <v>3606</v>
      </c>
      <c r="K6138" s="1" t="s">
        <v>21548</v>
      </c>
      <c r="L6138" s="1"/>
      <c r="M6138" s="1"/>
    </row>
    <row x14ac:dyDescent="0.25" r="6139" customHeight="1" ht="18.75">
      <c r="A6139" s="1" t="s">
        <v>7833</v>
      </c>
      <c r="B6139" s="1" t="s">
        <v>8291</v>
      </c>
      <c r="C6139" s="1" t="s">
        <v>4488</v>
      </c>
      <c r="D6139" s="1" t="s">
        <v>3601</v>
      </c>
      <c r="E6139" s="1" t="s">
        <v>8096</v>
      </c>
      <c r="F6139" s="1" t="s">
        <v>21549</v>
      </c>
      <c r="G6139" s="1" t="s">
        <v>8299</v>
      </c>
      <c r="H6139" s="1" t="s">
        <v>3604</v>
      </c>
      <c r="I6139" s="1" t="s">
        <v>21550</v>
      </c>
      <c r="J6139" s="1" t="s">
        <v>3606</v>
      </c>
      <c r="K6139" s="1" t="s">
        <v>8959</v>
      </c>
      <c r="L6139" s="1"/>
      <c r="M6139" s="1"/>
    </row>
    <row x14ac:dyDescent="0.25" r="6140" customHeight="1" ht="18.75">
      <c r="A6140" s="1" t="s">
        <v>7833</v>
      </c>
      <c r="B6140" s="1" t="s">
        <v>8291</v>
      </c>
      <c r="C6140" s="1" t="s">
        <v>4488</v>
      </c>
      <c r="D6140" s="1" t="s">
        <v>3601</v>
      </c>
      <c r="E6140" s="1" t="s">
        <v>8096</v>
      </c>
      <c r="F6140" s="1" t="s">
        <v>21551</v>
      </c>
      <c r="G6140" s="1" t="s">
        <v>8299</v>
      </c>
      <c r="H6140" s="1" t="s">
        <v>3604</v>
      </c>
      <c r="I6140" s="1" t="s">
        <v>21552</v>
      </c>
      <c r="J6140" s="1" t="s">
        <v>3606</v>
      </c>
      <c r="K6140" s="1" t="s">
        <v>8755</v>
      </c>
      <c r="L6140" s="1"/>
      <c r="M6140" s="1"/>
    </row>
    <row x14ac:dyDescent="0.25" r="6141" customHeight="1" ht="18.75">
      <c r="A6141" s="1" t="s">
        <v>7833</v>
      </c>
      <c r="B6141" s="1" t="s">
        <v>8291</v>
      </c>
      <c r="C6141" s="1" t="s">
        <v>4488</v>
      </c>
      <c r="D6141" s="1" t="s">
        <v>3601</v>
      </c>
      <c r="E6141" s="1" t="s">
        <v>8096</v>
      </c>
      <c r="F6141" s="1" t="s">
        <v>21553</v>
      </c>
      <c r="G6141" s="1" t="s">
        <v>8299</v>
      </c>
      <c r="H6141" s="1" t="s">
        <v>3604</v>
      </c>
      <c r="I6141" s="1" t="s">
        <v>21554</v>
      </c>
      <c r="J6141" s="1" t="s">
        <v>3606</v>
      </c>
      <c r="K6141" s="1" t="s">
        <v>8713</v>
      </c>
      <c r="L6141" s="1"/>
      <c r="M6141" s="1"/>
    </row>
    <row x14ac:dyDescent="0.25" r="6142" customHeight="1" ht="18.75">
      <c r="A6142" s="1" t="s">
        <v>7833</v>
      </c>
      <c r="B6142" s="1" t="s">
        <v>8291</v>
      </c>
      <c r="C6142" s="1" t="s">
        <v>4488</v>
      </c>
      <c r="D6142" s="1" t="s">
        <v>3601</v>
      </c>
      <c r="E6142" s="1" t="s">
        <v>8096</v>
      </c>
      <c r="F6142" s="1" t="s">
        <v>21555</v>
      </c>
      <c r="G6142" s="1" t="s">
        <v>8299</v>
      </c>
      <c r="H6142" s="1" t="s">
        <v>3604</v>
      </c>
      <c r="I6142" s="1" t="s">
        <v>21556</v>
      </c>
      <c r="J6142" s="1" t="s">
        <v>3606</v>
      </c>
      <c r="K6142" s="1" t="s">
        <v>8758</v>
      </c>
      <c r="L6142" s="1"/>
      <c r="M6142" s="1"/>
    </row>
    <row x14ac:dyDescent="0.25" r="6143" customHeight="1" ht="18.75">
      <c r="A6143" s="1" t="s">
        <v>7833</v>
      </c>
      <c r="B6143" s="1" t="s">
        <v>8291</v>
      </c>
      <c r="C6143" s="1" t="s">
        <v>4488</v>
      </c>
      <c r="D6143" s="1" t="s">
        <v>3601</v>
      </c>
      <c r="E6143" s="1" t="s">
        <v>8096</v>
      </c>
      <c r="F6143" s="1" t="s">
        <v>21557</v>
      </c>
      <c r="G6143" s="1" t="s">
        <v>8299</v>
      </c>
      <c r="H6143" s="1" t="s">
        <v>3604</v>
      </c>
      <c r="I6143" s="1" t="s">
        <v>21558</v>
      </c>
      <c r="J6143" s="1" t="s">
        <v>3606</v>
      </c>
      <c r="K6143" s="1" t="s">
        <v>8966</v>
      </c>
      <c r="L6143" s="1"/>
      <c r="M6143" s="1"/>
    </row>
    <row x14ac:dyDescent="0.25" r="6144" customHeight="1" ht="18.75">
      <c r="A6144" s="1" t="s">
        <v>7833</v>
      </c>
      <c r="B6144" s="1" t="s">
        <v>8291</v>
      </c>
      <c r="C6144" s="1" t="s">
        <v>4488</v>
      </c>
      <c r="D6144" s="1" t="s">
        <v>3601</v>
      </c>
      <c r="E6144" s="1" t="s">
        <v>8096</v>
      </c>
      <c r="F6144" s="1" t="s">
        <v>21559</v>
      </c>
      <c r="G6144" s="1" t="s">
        <v>8299</v>
      </c>
      <c r="H6144" s="1" t="s">
        <v>3604</v>
      </c>
      <c r="I6144" s="1" t="s">
        <v>21560</v>
      </c>
      <c r="J6144" s="1" t="s">
        <v>3606</v>
      </c>
      <c r="K6144" s="1" t="s">
        <v>9003</v>
      </c>
      <c r="L6144" s="1"/>
      <c r="M6144" s="1"/>
    </row>
    <row x14ac:dyDescent="0.25" r="6145" customHeight="1" ht="18.75">
      <c r="A6145" s="1" t="s">
        <v>3598</v>
      </c>
      <c r="B6145" s="1" t="s">
        <v>5239</v>
      </c>
      <c r="C6145" s="1" t="s">
        <v>3600</v>
      </c>
      <c r="D6145" s="1" t="s">
        <v>3695</v>
      </c>
      <c r="E6145" s="1" t="s">
        <v>3752</v>
      </c>
      <c r="F6145" s="1" t="s">
        <v>21561</v>
      </c>
      <c r="G6145" s="1" t="s">
        <v>21470</v>
      </c>
      <c r="H6145" s="1" t="s">
        <v>3604</v>
      </c>
      <c r="I6145" s="1" t="s">
        <v>21562</v>
      </c>
      <c r="J6145" s="1" t="s">
        <v>3606</v>
      </c>
      <c r="K6145" s="1" t="s">
        <v>21563</v>
      </c>
      <c r="L6145" s="1"/>
      <c r="M6145" s="1"/>
    </row>
    <row x14ac:dyDescent="0.25" r="6146" customHeight="1" ht="18.75">
      <c r="A6146" s="1" t="s">
        <v>7833</v>
      </c>
      <c r="B6146" s="1" t="s">
        <v>8291</v>
      </c>
      <c r="C6146" s="1" t="s">
        <v>4488</v>
      </c>
      <c r="D6146" s="1" t="s">
        <v>3601</v>
      </c>
      <c r="E6146" s="1" t="s">
        <v>3664</v>
      </c>
      <c r="F6146" s="1" t="s">
        <v>21564</v>
      </c>
      <c r="G6146" s="1" t="s">
        <v>8303</v>
      </c>
      <c r="H6146" s="1" t="s">
        <v>3604</v>
      </c>
      <c r="I6146" s="1" t="s">
        <v>21565</v>
      </c>
      <c r="J6146" s="1" t="s">
        <v>3606</v>
      </c>
      <c r="K6146" s="1" t="s">
        <v>21566</v>
      </c>
      <c r="L6146" s="1"/>
      <c r="M6146" s="1"/>
    </row>
    <row x14ac:dyDescent="0.25" r="6147" customHeight="1" ht="18.75">
      <c r="A6147" s="1" t="s">
        <v>7833</v>
      </c>
      <c r="B6147" s="1" t="s">
        <v>8291</v>
      </c>
      <c r="C6147" s="1" t="s">
        <v>4488</v>
      </c>
      <c r="D6147" s="1" t="s">
        <v>3601</v>
      </c>
      <c r="E6147" s="1" t="s">
        <v>3664</v>
      </c>
      <c r="F6147" s="1" t="s">
        <v>21567</v>
      </c>
      <c r="G6147" s="1" t="s">
        <v>8303</v>
      </c>
      <c r="H6147" s="1" t="s">
        <v>3604</v>
      </c>
      <c r="I6147" s="1" t="s">
        <v>21568</v>
      </c>
      <c r="J6147" s="1" t="s">
        <v>3606</v>
      </c>
      <c r="K6147" s="1" t="s">
        <v>21569</v>
      </c>
      <c r="L6147" s="1"/>
      <c r="M6147" s="1"/>
    </row>
    <row x14ac:dyDescent="0.25" r="6148" customHeight="1" ht="18.75">
      <c r="A6148" s="1" t="s">
        <v>7833</v>
      </c>
      <c r="B6148" s="1" t="s">
        <v>8291</v>
      </c>
      <c r="C6148" s="1" t="s">
        <v>4488</v>
      </c>
      <c r="D6148" s="1" t="s">
        <v>3601</v>
      </c>
      <c r="E6148" s="1" t="s">
        <v>3664</v>
      </c>
      <c r="F6148" s="1" t="s">
        <v>21570</v>
      </c>
      <c r="G6148" s="1" t="s">
        <v>8296</v>
      </c>
      <c r="H6148" s="1" t="s">
        <v>3604</v>
      </c>
      <c r="I6148" s="1" t="s">
        <v>21571</v>
      </c>
      <c r="J6148" s="1" t="s">
        <v>3606</v>
      </c>
      <c r="K6148" s="1" t="s">
        <v>21572</v>
      </c>
      <c r="L6148" s="1"/>
      <c r="M6148" s="1"/>
    </row>
    <row x14ac:dyDescent="0.25" r="6149" customHeight="1" ht="18.75">
      <c r="A6149" s="1" t="s">
        <v>7833</v>
      </c>
      <c r="B6149" s="1" t="s">
        <v>8291</v>
      </c>
      <c r="C6149" s="1" t="s">
        <v>4488</v>
      </c>
      <c r="D6149" s="1" t="s">
        <v>3601</v>
      </c>
      <c r="E6149" s="1" t="s">
        <v>3664</v>
      </c>
      <c r="F6149" s="1" t="s">
        <v>21573</v>
      </c>
      <c r="G6149" s="1" t="s">
        <v>8293</v>
      </c>
      <c r="H6149" s="1" t="s">
        <v>3604</v>
      </c>
      <c r="I6149" s="1" t="s">
        <v>21574</v>
      </c>
      <c r="J6149" s="1" t="s">
        <v>3606</v>
      </c>
      <c r="K6149" s="1" t="s">
        <v>21575</v>
      </c>
      <c r="L6149" s="1"/>
      <c r="M6149" s="1"/>
    </row>
    <row x14ac:dyDescent="0.25" r="6150" customHeight="1" ht="18.75">
      <c r="A6150" s="1" t="s">
        <v>7833</v>
      </c>
      <c r="B6150" s="1" t="s">
        <v>8291</v>
      </c>
      <c r="C6150" s="1" t="s">
        <v>4488</v>
      </c>
      <c r="D6150" s="1" t="s">
        <v>3601</v>
      </c>
      <c r="E6150" s="1" t="s">
        <v>3664</v>
      </c>
      <c r="F6150" s="1" t="s">
        <v>21576</v>
      </c>
      <c r="G6150" s="1" t="s">
        <v>8293</v>
      </c>
      <c r="H6150" s="1" t="s">
        <v>3604</v>
      </c>
      <c r="I6150" s="1" t="s">
        <v>21577</v>
      </c>
      <c r="J6150" s="1" t="s">
        <v>3606</v>
      </c>
      <c r="K6150" s="1" t="s">
        <v>21578</v>
      </c>
      <c r="L6150" s="1"/>
      <c r="M6150" s="1"/>
    </row>
    <row x14ac:dyDescent="0.25" r="6151" customHeight="1" ht="18.75">
      <c r="A6151" s="1" t="s">
        <v>7833</v>
      </c>
      <c r="B6151" s="1" t="s">
        <v>8291</v>
      </c>
      <c r="C6151" s="1" t="s">
        <v>4488</v>
      </c>
      <c r="D6151" s="1" t="s">
        <v>3601</v>
      </c>
      <c r="E6151" s="1" t="s">
        <v>3664</v>
      </c>
      <c r="F6151" s="1" t="s">
        <v>21579</v>
      </c>
      <c r="G6151" s="1" t="s">
        <v>8299</v>
      </c>
      <c r="H6151" s="1" t="s">
        <v>3604</v>
      </c>
      <c r="I6151" s="1" t="s">
        <v>21580</v>
      </c>
      <c r="J6151" s="1" t="s">
        <v>3606</v>
      </c>
      <c r="K6151" s="1" t="s">
        <v>21581</v>
      </c>
      <c r="L6151" s="1"/>
      <c r="M6151" s="1"/>
    </row>
    <row x14ac:dyDescent="0.25" r="6152" customHeight="1" ht="18.75">
      <c r="A6152" s="1" t="s">
        <v>7833</v>
      </c>
      <c r="B6152" s="1" t="s">
        <v>8291</v>
      </c>
      <c r="C6152" s="1" t="s">
        <v>4488</v>
      </c>
      <c r="D6152" s="1" t="s">
        <v>3601</v>
      </c>
      <c r="E6152" s="1" t="s">
        <v>3664</v>
      </c>
      <c r="F6152" s="1" t="s">
        <v>21582</v>
      </c>
      <c r="G6152" s="1" t="s">
        <v>8299</v>
      </c>
      <c r="H6152" s="1" t="s">
        <v>3604</v>
      </c>
      <c r="I6152" s="1" t="s">
        <v>21583</v>
      </c>
      <c r="J6152" s="1" t="s">
        <v>3606</v>
      </c>
      <c r="K6152" s="1" t="s">
        <v>21584</v>
      </c>
      <c r="L6152" s="1"/>
      <c r="M6152" s="1"/>
    </row>
    <row x14ac:dyDescent="0.25" r="6153" customHeight="1" ht="18.75">
      <c r="A6153" s="1" t="s">
        <v>7833</v>
      </c>
      <c r="B6153" s="1" t="s">
        <v>8291</v>
      </c>
      <c r="C6153" s="1" t="s">
        <v>4488</v>
      </c>
      <c r="D6153" s="1" t="s">
        <v>3601</v>
      </c>
      <c r="E6153" s="1" t="s">
        <v>8096</v>
      </c>
      <c r="F6153" s="1" t="s">
        <v>21585</v>
      </c>
      <c r="G6153" s="1" t="s">
        <v>8299</v>
      </c>
      <c r="H6153" s="1" t="s">
        <v>3604</v>
      </c>
      <c r="I6153" s="1" t="s">
        <v>21586</v>
      </c>
      <c r="J6153" s="1" t="s">
        <v>3606</v>
      </c>
      <c r="K6153" s="1" t="s">
        <v>20771</v>
      </c>
      <c r="L6153" s="1"/>
      <c r="M6153" s="1"/>
    </row>
    <row x14ac:dyDescent="0.25" r="6154" customHeight="1" ht="18.75">
      <c r="A6154" s="1" t="s">
        <v>7833</v>
      </c>
      <c r="B6154" s="1" t="s">
        <v>8269</v>
      </c>
      <c r="C6154" s="1" t="s">
        <v>4488</v>
      </c>
      <c r="D6154" s="1" t="s">
        <v>3601</v>
      </c>
      <c r="E6154" s="1" t="s">
        <v>8096</v>
      </c>
      <c r="F6154" s="1" t="s">
        <v>21587</v>
      </c>
      <c r="G6154" s="1" t="s">
        <v>14824</v>
      </c>
      <c r="H6154" s="1" t="s">
        <v>3604</v>
      </c>
      <c r="I6154" s="1" t="s">
        <v>21588</v>
      </c>
      <c r="J6154" s="1" t="s">
        <v>3606</v>
      </c>
      <c r="K6154" s="1" t="s">
        <v>9194</v>
      </c>
      <c r="L6154" s="1"/>
      <c r="M6154" s="1"/>
    </row>
    <row x14ac:dyDescent="0.25" r="6155" customHeight="1" ht="18.75">
      <c r="A6155" s="1" t="s">
        <v>7833</v>
      </c>
      <c r="B6155" s="1" t="s">
        <v>8269</v>
      </c>
      <c r="C6155" s="1" t="s">
        <v>4488</v>
      </c>
      <c r="D6155" s="1" t="s">
        <v>3601</v>
      </c>
      <c r="E6155" s="1" t="s">
        <v>3664</v>
      </c>
      <c r="F6155" s="1" t="s">
        <v>21589</v>
      </c>
      <c r="G6155" s="1" t="s">
        <v>14824</v>
      </c>
      <c r="H6155" s="1" t="s">
        <v>3604</v>
      </c>
      <c r="I6155" s="1" t="s">
        <v>21590</v>
      </c>
      <c r="J6155" s="1" t="s">
        <v>3606</v>
      </c>
      <c r="K6155" s="1" t="s">
        <v>18441</v>
      </c>
      <c r="L6155" s="1"/>
      <c r="M6155" s="1"/>
    </row>
    <row x14ac:dyDescent="0.25" r="6156" customHeight="1" ht="18.75">
      <c r="A6156" s="1" t="s">
        <v>7833</v>
      </c>
      <c r="B6156" s="1" t="s">
        <v>8269</v>
      </c>
      <c r="C6156" s="1" t="s">
        <v>4488</v>
      </c>
      <c r="D6156" s="1" t="s">
        <v>3601</v>
      </c>
      <c r="E6156" s="1" t="s">
        <v>3981</v>
      </c>
      <c r="F6156" s="1" t="s">
        <v>21591</v>
      </c>
      <c r="G6156" s="1" t="s">
        <v>14824</v>
      </c>
      <c r="H6156" s="1" t="s">
        <v>3604</v>
      </c>
      <c r="I6156" s="1" t="s">
        <v>21592</v>
      </c>
      <c r="J6156" s="1" t="s">
        <v>3606</v>
      </c>
      <c r="K6156" s="1" t="s">
        <v>21593</v>
      </c>
      <c r="L6156" s="1"/>
      <c r="M6156" s="1"/>
    </row>
    <row x14ac:dyDescent="0.25" r="6157" customHeight="1" ht="18.75">
      <c r="A6157" s="1" t="s">
        <v>7833</v>
      </c>
      <c r="B6157" s="1" t="s">
        <v>8269</v>
      </c>
      <c r="C6157" s="1" t="s">
        <v>4488</v>
      </c>
      <c r="D6157" s="1" t="s">
        <v>3601</v>
      </c>
      <c r="E6157" s="1" t="s">
        <v>8096</v>
      </c>
      <c r="F6157" s="1" t="s">
        <v>21594</v>
      </c>
      <c r="G6157" s="1" t="s">
        <v>21518</v>
      </c>
      <c r="H6157" s="1" t="s">
        <v>3604</v>
      </c>
      <c r="I6157" s="1" t="s">
        <v>21595</v>
      </c>
      <c r="J6157" s="1" t="s">
        <v>3606</v>
      </c>
      <c r="K6157" s="1" t="s">
        <v>20786</v>
      </c>
      <c r="L6157" s="1"/>
      <c r="M6157" s="1"/>
    </row>
    <row x14ac:dyDescent="0.25" r="6158" customHeight="1" ht="18.75">
      <c r="A6158" s="1" t="s">
        <v>7833</v>
      </c>
      <c r="B6158" s="1" t="s">
        <v>8269</v>
      </c>
      <c r="C6158" s="1" t="s">
        <v>4488</v>
      </c>
      <c r="D6158" s="1" t="s">
        <v>3601</v>
      </c>
      <c r="E6158" s="1" t="s">
        <v>8096</v>
      </c>
      <c r="F6158" s="1" t="s">
        <v>21596</v>
      </c>
      <c r="G6158" s="1" t="s">
        <v>21597</v>
      </c>
      <c r="H6158" s="1" t="s">
        <v>3604</v>
      </c>
      <c r="I6158" s="1" t="s">
        <v>21598</v>
      </c>
      <c r="J6158" s="1" t="s">
        <v>3606</v>
      </c>
      <c r="K6158" s="1" t="s">
        <v>21525</v>
      </c>
      <c r="L6158" s="1"/>
      <c r="M6158" s="1"/>
    </row>
    <row x14ac:dyDescent="0.25" r="6159" customHeight="1" ht="18.75">
      <c r="A6159" s="1" t="s">
        <v>7833</v>
      </c>
      <c r="B6159" s="1" t="s">
        <v>8269</v>
      </c>
      <c r="C6159" s="1" t="s">
        <v>4488</v>
      </c>
      <c r="D6159" s="1" t="s">
        <v>3601</v>
      </c>
      <c r="E6159" s="1" t="s">
        <v>8096</v>
      </c>
      <c r="F6159" s="1" t="s">
        <v>21599</v>
      </c>
      <c r="G6159" s="1" t="s">
        <v>21597</v>
      </c>
      <c r="H6159" s="1" t="s">
        <v>3604</v>
      </c>
      <c r="I6159" s="1" t="s">
        <v>21600</v>
      </c>
      <c r="J6159" s="1" t="s">
        <v>3606</v>
      </c>
      <c r="K6159" s="1" t="s">
        <v>21528</v>
      </c>
      <c r="L6159" s="1"/>
      <c r="M6159" s="1"/>
    </row>
    <row x14ac:dyDescent="0.25" r="6160" customHeight="1" ht="18.75">
      <c r="A6160" s="1" t="s">
        <v>7833</v>
      </c>
      <c r="B6160" s="1" t="s">
        <v>8269</v>
      </c>
      <c r="C6160" s="1" t="s">
        <v>4488</v>
      </c>
      <c r="D6160" s="1" t="s">
        <v>3601</v>
      </c>
      <c r="E6160" s="1" t="s">
        <v>8096</v>
      </c>
      <c r="F6160" s="1" t="s">
        <v>21601</v>
      </c>
      <c r="G6160" s="1" t="s">
        <v>14791</v>
      </c>
      <c r="H6160" s="1" t="s">
        <v>3604</v>
      </c>
      <c r="I6160" s="1" t="s">
        <v>21602</v>
      </c>
      <c r="J6160" s="1" t="s">
        <v>3606</v>
      </c>
      <c r="K6160" s="1" t="s">
        <v>21603</v>
      </c>
      <c r="L6160" s="1"/>
      <c r="M6160" s="1"/>
    </row>
    <row x14ac:dyDescent="0.25" r="6161" customHeight="1" ht="18.75">
      <c r="A6161" s="1" t="s">
        <v>7833</v>
      </c>
      <c r="B6161" s="1" t="s">
        <v>8269</v>
      </c>
      <c r="C6161" s="1" t="s">
        <v>4488</v>
      </c>
      <c r="D6161" s="1" t="s">
        <v>3601</v>
      </c>
      <c r="E6161" s="1" t="s">
        <v>8096</v>
      </c>
      <c r="F6161" s="1" t="s">
        <v>21604</v>
      </c>
      <c r="G6161" s="1" t="s">
        <v>14791</v>
      </c>
      <c r="H6161" s="1" t="s">
        <v>3604</v>
      </c>
      <c r="I6161" s="1" t="s">
        <v>21605</v>
      </c>
      <c r="J6161" s="1" t="s">
        <v>3606</v>
      </c>
      <c r="K6161" s="1" t="s">
        <v>21606</v>
      </c>
      <c r="L6161" s="1"/>
      <c r="M6161" s="1"/>
    </row>
    <row x14ac:dyDescent="0.25" r="6162" customHeight="1" ht="18.75">
      <c r="A6162" s="1" t="s">
        <v>7833</v>
      </c>
      <c r="B6162" s="1" t="s">
        <v>8269</v>
      </c>
      <c r="C6162" s="1" t="s">
        <v>4488</v>
      </c>
      <c r="D6162" s="1" t="s">
        <v>3601</v>
      </c>
      <c r="E6162" s="1" t="s">
        <v>8096</v>
      </c>
      <c r="F6162" s="1" t="s">
        <v>21607</v>
      </c>
      <c r="G6162" s="1" t="s">
        <v>13777</v>
      </c>
      <c r="H6162" s="1" t="s">
        <v>3604</v>
      </c>
      <c r="I6162" s="1" t="s">
        <v>21608</v>
      </c>
      <c r="J6162" s="1" t="s">
        <v>3606</v>
      </c>
      <c r="K6162" s="1" t="s">
        <v>21609</v>
      </c>
      <c r="L6162" s="1"/>
      <c r="M6162" s="1"/>
    </row>
    <row x14ac:dyDescent="0.25" r="6163" customHeight="1" ht="18.75">
      <c r="A6163" s="1" t="s">
        <v>7833</v>
      </c>
      <c r="B6163" s="1" t="s">
        <v>8269</v>
      </c>
      <c r="C6163" s="1" t="s">
        <v>4488</v>
      </c>
      <c r="D6163" s="1" t="s">
        <v>3601</v>
      </c>
      <c r="E6163" s="1" t="s">
        <v>8096</v>
      </c>
      <c r="F6163" s="1" t="s">
        <v>21610</v>
      </c>
      <c r="G6163" s="1" t="s">
        <v>13777</v>
      </c>
      <c r="H6163" s="1" t="s">
        <v>3604</v>
      </c>
      <c r="I6163" s="1" t="s">
        <v>21611</v>
      </c>
      <c r="J6163" s="1" t="s">
        <v>3606</v>
      </c>
      <c r="K6163" s="1" t="s">
        <v>21612</v>
      </c>
      <c r="L6163" s="1"/>
      <c r="M6163" s="1"/>
    </row>
    <row x14ac:dyDescent="0.25" r="6164" customHeight="1" ht="18.75">
      <c r="A6164" s="1" t="s">
        <v>7833</v>
      </c>
      <c r="B6164" s="1" t="s">
        <v>8269</v>
      </c>
      <c r="C6164" s="1" t="s">
        <v>4488</v>
      </c>
      <c r="D6164" s="1" t="s">
        <v>3601</v>
      </c>
      <c r="E6164" s="1" t="s">
        <v>8096</v>
      </c>
      <c r="F6164" s="1" t="s">
        <v>21613</v>
      </c>
      <c r="G6164" s="1" t="s">
        <v>14824</v>
      </c>
      <c r="H6164" s="1" t="s">
        <v>3604</v>
      </c>
      <c r="I6164" s="1" t="s">
        <v>21614</v>
      </c>
      <c r="J6164" s="1" t="s">
        <v>3606</v>
      </c>
      <c r="K6164" s="1" t="s">
        <v>8755</v>
      </c>
      <c r="L6164" s="1"/>
      <c r="M6164" s="1"/>
    </row>
    <row x14ac:dyDescent="0.25" r="6165" customHeight="1" ht="18.75">
      <c r="A6165" s="1" t="s">
        <v>7833</v>
      </c>
      <c r="B6165" s="1" t="s">
        <v>8269</v>
      </c>
      <c r="C6165" s="1" t="s">
        <v>4488</v>
      </c>
      <c r="D6165" s="1" t="s">
        <v>3601</v>
      </c>
      <c r="E6165" s="1" t="s">
        <v>8096</v>
      </c>
      <c r="F6165" s="1" t="s">
        <v>21615</v>
      </c>
      <c r="G6165" s="1" t="s">
        <v>14824</v>
      </c>
      <c r="H6165" s="1" t="s">
        <v>3604</v>
      </c>
      <c r="I6165" s="1" t="s">
        <v>21616</v>
      </c>
      <c r="J6165" s="1" t="s">
        <v>3606</v>
      </c>
      <c r="K6165" s="1" t="s">
        <v>8966</v>
      </c>
      <c r="L6165" s="1"/>
      <c r="M6165" s="1"/>
    </row>
    <row x14ac:dyDescent="0.25" r="6166" customHeight="1" ht="18.75">
      <c r="A6166" s="1" t="s">
        <v>7833</v>
      </c>
      <c r="B6166" s="1" t="s">
        <v>8269</v>
      </c>
      <c r="C6166" s="1" t="s">
        <v>4488</v>
      </c>
      <c r="D6166" s="1" t="s">
        <v>3601</v>
      </c>
      <c r="E6166" s="1" t="s">
        <v>8096</v>
      </c>
      <c r="F6166" s="1" t="s">
        <v>21617</v>
      </c>
      <c r="G6166" s="1" t="s">
        <v>14824</v>
      </c>
      <c r="H6166" s="1" t="s">
        <v>3604</v>
      </c>
      <c r="I6166" s="1" t="s">
        <v>21618</v>
      </c>
      <c r="J6166" s="1" t="s">
        <v>3606</v>
      </c>
      <c r="K6166" s="1" t="s">
        <v>9003</v>
      </c>
      <c r="L6166" s="1"/>
      <c r="M6166" s="1"/>
    </row>
    <row x14ac:dyDescent="0.25" r="6167" customHeight="1" ht="18.75">
      <c r="A6167" s="1" t="s">
        <v>7833</v>
      </c>
      <c r="B6167" s="1" t="s">
        <v>8258</v>
      </c>
      <c r="C6167" s="1" t="s">
        <v>4488</v>
      </c>
      <c r="D6167" s="1" t="s">
        <v>3695</v>
      </c>
      <c r="E6167" s="1" t="s">
        <v>3664</v>
      </c>
      <c r="F6167" s="1" t="s">
        <v>21619</v>
      </c>
      <c r="G6167" s="1" t="s">
        <v>15121</v>
      </c>
      <c r="H6167" s="1" t="s">
        <v>3604</v>
      </c>
      <c r="I6167" s="1" t="s">
        <v>21620</v>
      </c>
      <c r="J6167" s="1" t="s">
        <v>3606</v>
      </c>
      <c r="K6167" s="1" t="s">
        <v>7842</v>
      </c>
      <c r="L6167" s="1"/>
      <c r="M6167" s="1"/>
    </row>
    <row x14ac:dyDescent="0.25" r="6168" customHeight="1" ht="18.75">
      <c r="A6168" s="1" t="s">
        <v>3693</v>
      </c>
      <c r="B6168" s="1" t="s">
        <v>4247</v>
      </c>
      <c r="C6168" s="1" t="s">
        <v>3600</v>
      </c>
      <c r="D6168" s="1" t="s">
        <v>3601</v>
      </c>
      <c r="E6168" s="1" t="s">
        <v>3664</v>
      </c>
      <c r="F6168" s="1" t="s">
        <v>21621</v>
      </c>
      <c r="G6168" s="1" t="s">
        <v>4738</v>
      </c>
      <c r="H6168" s="1" t="s">
        <v>3604</v>
      </c>
      <c r="I6168" s="1" t="s">
        <v>21622</v>
      </c>
      <c r="J6168" s="1" t="s">
        <v>3615</v>
      </c>
      <c r="K6168" s="1" t="s">
        <v>21623</v>
      </c>
      <c r="L6168" s="1"/>
      <c r="M6168" s="1"/>
    </row>
    <row x14ac:dyDescent="0.25" r="6169" customHeight="1" ht="18.75">
      <c r="A6169" s="1" t="s">
        <v>3693</v>
      </c>
      <c r="B6169" s="1" t="s">
        <v>4247</v>
      </c>
      <c r="C6169" s="1" t="s">
        <v>3600</v>
      </c>
      <c r="D6169" s="1" t="s">
        <v>3601</v>
      </c>
      <c r="E6169" s="1" t="s">
        <v>3664</v>
      </c>
      <c r="F6169" s="1" t="s">
        <v>21624</v>
      </c>
      <c r="G6169" s="1" t="s">
        <v>4735</v>
      </c>
      <c r="H6169" s="1" t="s">
        <v>3604</v>
      </c>
      <c r="I6169" s="1" t="s">
        <v>21625</v>
      </c>
      <c r="J6169" s="1" t="s">
        <v>3615</v>
      </c>
      <c r="K6169" s="1" t="s">
        <v>21623</v>
      </c>
      <c r="L6169" s="1"/>
      <c r="M6169" s="1"/>
    </row>
    <row x14ac:dyDescent="0.25" r="6170" customHeight="1" ht="18.75">
      <c r="A6170" s="1" t="s">
        <v>7833</v>
      </c>
      <c r="B6170" s="1" t="s">
        <v>9837</v>
      </c>
      <c r="C6170" s="1" t="s">
        <v>4488</v>
      </c>
      <c r="D6170" s="1" t="s">
        <v>3695</v>
      </c>
      <c r="E6170" s="1" t="s">
        <v>3664</v>
      </c>
      <c r="F6170" s="1" t="s">
        <v>1405</v>
      </c>
      <c r="G6170" s="1" t="s">
        <v>19463</v>
      </c>
      <c r="H6170" s="1" t="s">
        <v>3604</v>
      </c>
      <c r="I6170" s="1" t="s">
        <v>21626</v>
      </c>
      <c r="J6170" s="1" t="s">
        <v>3606</v>
      </c>
      <c r="K6170" s="1" t="s">
        <v>21627</v>
      </c>
      <c r="L6170" s="1"/>
      <c r="M6170" s="1"/>
    </row>
    <row x14ac:dyDescent="0.25" r="6171" customHeight="1" ht="18.75">
      <c r="A6171" s="1" t="s">
        <v>3693</v>
      </c>
      <c r="B6171" s="1" t="s">
        <v>4247</v>
      </c>
      <c r="C6171" s="1" t="s">
        <v>3600</v>
      </c>
      <c r="D6171" s="1" t="s">
        <v>3601</v>
      </c>
      <c r="E6171" s="1" t="s">
        <v>3664</v>
      </c>
      <c r="F6171" s="1" t="s">
        <v>21628</v>
      </c>
      <c r="G6171" s="1" t="s">
        <v>9778</v>
      </c>
      <c r="H6171" s="1" t="s">
        <v>3604</v>
      </c>
      <c r="I6171" s="1" t="s">
        <v>21629</v>
      </c>
      <c r="J6171" s="1" t="s">
        <v>3606</v>
      </c>
      <c r="K6171" s="1" t="s">
        <v>21630</v>
      </c>
      <c r="L6171" s="1"/>
      <c r="M6171" s="1"/>
    </row>
    <row x14ac:dyDescent="0.25" r="6172" customHeight="1" ht="18.75">
      <c r="A6172" s="1" t="s">
        <v>7833</v>
      </c>
      <c r="B6172" s="1" t="s">
        <v>9837</v>
      </c>
      <c r="C6172" s="1" t="s">
        <v>4488</v>
      </c>
      <c r="D6172" s="1" t="s">
        <v>3695</v>
      </c>
      <c r="E6172" s="1" t="s">
        <v>3664</v>
      </c>
      <c r="F6172" s="1" t="s">
        <v>1406</v>
      </c>
      <c r="G6172" s="1" t="s">
        <v>20806</v>
      </c>
      <c r="H6172" s="1" t="s">
        <v>3604</v>
      </c>
      <c r="I6172" s="1" t="s">
        <v>21631</v>
      </c>
      <c r="J6172" s="1" t="s">
        <v>3606</v>
      </c>
      <c r="K6172" s="1" t="s">
        <v>21632</v>
      </c>
      <c r="L6172" s="1"/>
      <c r="M6172" s="1"/>
    </row>
    <row x14ac:dyDescent="0.25" r="6173" customHeight="1" ht="18.75">
      <c r="A6173" s="1" t="s">
        <v>3693</v>
      </c>
      <c r="B6173" s="1" t="s">
        <v>4247</v>
      </c>
      <c r="C6173" s="1" t="s">
        <v>3600</v>
      </c>
      <c r="D6173" s="1" t="s">
        <v>3601</v>
      </c>
      <c r="E6173" s="1" t="s">
        <v>3664</v>
      </c>
      <c r="F6173" s="1" t="s">
        <v>21633</v>
      </c>
      <c r="G6173" s="1" t="s">
        <v>9786</v>
      </c>
      <c r="H6173" s="1" t="s">
        <v>3604</v>
      </c>
      <c r="I6173" s="1" t="s">
        <v>21634</v>
      </c>
      <c r="J6173" s="1" t="s">
        <v>3606</v>
      </c>
      <c r="K6173" s="1" t="s">
        <v>21630</v>
      </c>
      <c r="L6173" s="1"/>
      <c r="M6173" s="1"/>
    </row>
    <row x14ac:dyDescent="0.25" r="6174" customHeight="1" ht="18.75">
      <c r="A6174" s="1" t="s">
        <v>7833</v>
      </c>
      <c r="B6174" s="1" t="s">
        <v>9837</v>
      </c>
      <c r="C6174" s="1" t="s">
        <v>4488</v>
      </c>
      <c r="D6174" s="1" t="s">
        <v>3695</v>
      </c>
      <c r="E6174" s="1" t="s">
        <v>3664</v>
      </c>
      <c r="F6174" s="1" t="s">
        <v>1407</v>
      </c>
      <c r="G6174" s="1" t="s">
        <v>20808</v>
      </c>
      <c r="H6174" s="1" t="s">
        <v>3604</v>
      </c>
      <c r="I6174" s="1" t="s">
        <v>21635</v>
      </c>
      <c r="J6174" s="1" t="s">
        <v>3606</v>
      </c>
      <c r="K6174" s="1" t="s">
        <v>7842</v>
      </c>
      <c r="L6174" s="1"/>
      <c r="M6174" s="1"/>
    </row>
    <row x14ac:dyDescent="0.25" r="6175" customHeight="1" ht="18.75">
      <c r="A6175" s="1" t="s">
        <v>3693</v>
      </c>
      <c r="B6175" s="1" t="s">
        <v>3957</v>
      </c>
      <c r="C6175" s="1" t="s">
        <v>3600</v>
      </c>
      <c r="D6175" s="1" t="s">
        <v>3601</v>
      </c>
      <c r="E6175" s="1" t="s">
        <v>3664</v>
      </c>
      <c r="F6175" s="1" t="s">
        <v>21636</v>
      </c>
      <c r="G6175" s="1" t="s">
        <v>4741</v>
      </c>
      <c r="H6175" s="1" t="s">
        <v>3604</v>
      </c>
      <c r="I6175" s="1" t="s">
        <v>21637</v>
      </c>
      <c r="J6175" s="1" t="s">
        <v>3615</v>
      </c>
      <c r="K6175" s="1" t="s">
        <v>21638</v>
      </c>
      <c r="L6175" s="1"/>
      <c r="M6175" s="1"/>
    </row>
    <row x14ac:dyDescent="0.25" r="6176" customHeight="1" ht="18.75">
      <c r="A6176" s="1" t="s">
        <v>7833</v>
      </c>
      <c r="B6176" s="1" t="s">
        <v>9837</v>
      </c>
      <c r="C6176" s="1" t="s">
        <v>4488</v>
      </c>
      <c r="D6176" s="1" t="s">
        <v>3695</v>
      </c>
      <c r="E6176" s="1" t="s">
        <v>3664</v>
      </c>
      <c r="F6176" s="1" t="s">
        <v>1408</v>
      </c>
      <c r="G6176" s="1" t="s">
        <v>21639</v>
      </c>
      <c r="H6176" s="1" t="s">
        <v>3604</v>
      </c>
      <c r="I6176" s="1" t="s">
        <v>21640</v>
      </c>
      <c r="J6176" s="1" t="s">
        <v>3606</v>
      </c>
      <c r="K6176" s="1" t="s">
        <v>21641</v>
      </c>
      <c r="L6176" s="1"/>
      <c r="M6176" s="1"/>
    </row>
    <row x14ac:dyDescent="0.25" r="6177" customHeight="1" ht="18.75">
      <c r="A6177" s="1" t="s">
        <v>7833</v>
      </c>
      <c r="B6177" s="1" t="s">
        <v>9837</v>
      </c>
      <c r="C6177" s="1" t="s">
        <v>4488</v>
      </c>
      <c r="D6177" s="1" t="s">
        <v>3695</v>
      </c>
      <c r="E6177" s="1" t="s">
        <v>3664</v>
      </c>
      <c r="F6177" s="1" t="s">
        <v>1409</v>
      </c>
      <c r="G6177" s="1" t="s">
        <v>21642</v>
      </c>
      <c r="H6177" s="1" t="s">
        <v>3604</v>
      </c>
      <c r="I6177" s="1" t="s">
        <v>21643</v>
      </c>
      <c r="J6177" s="1" t="s">
        <v>3606</v>
      </c>
      <c r="K6177" s="1" t="s">
        <v>14480</v>
      </c>
      <c r="L6177" s="1"/>
      <c r="M6177" s="1"/>
    </row>
    <row x14ac:dyDescent="0.25" r="6178" customHeight="1" ht="18.75">
      <c r="A6178" s="1" t="s">
        <v>7833</v>
      </c>
      <c r="B6178" s="1" t="s">
        <v>9837</v>
      </c>
      <c r="C6178" s="1" t="s">
        <v>4488</v>
      </c>
      <c r="D6178" s="1" t="s">
        <v>3695</v>
      </c>
      <c r="E6178" s="1" t="s">
        <v>3664</v>
      </c>
      <c r="F6178" s="1" t="s">
        <v>1410</v>
      </c>
      <c r="G6178" s="1" t="s">
        <v>21644</v>
      </c>
      <c r="H6178" s="1" t="s">
        <v>3604</v>
      </c>
      <c r="I6178" s="1" t="s">
        <v>21645</v>
      </c>
      <c r="J6178" s="1" t="s">
        <v>3606</v>
      </c>
      <c r="K6178" s="1" t="s">
        <v>15232</v>
      </c>
      <c r="L6178" s="1"/>
      <c r="M6178" s="1"/>
    </row>
    <row x14ac:dyDescent="0.25" r="6179" customHeight="1" ht="18.75">
      <c r="A6179" s="1" t="s">
        <v>3693</v>
      </c>
      <c r="B6179" s="1" t="s">
        <v>5598</v>
      </c>
      <c r="C6179" s="1" t="s">
        <v>3600</v>
      </c>
      <c r="D6179" s="1" t="s">
        <v>3601</v>
      </c>
      <c r="E6179" s="1" t="s">
        <v>3664</v>
      </c>
      <c r="F6179" s="1" t="s">
        <v>21646</v>
      </c>
      <c r="G6179" s="1" t="s">
        <v>4735</v>
      </c>
      <c r="H6179" s="1" t="s">
        <v>3604</v>
      </c>
      <c r="I6179" s="1" t="s">
        <v>21647</v>
      </c>
      <c r="J6179" s="1" t="s">
        <v>3615</v>
      </c>
      <c r="K6179" s="1" t="s">
        <v>21648</v>
      </c>
      <c r="L6179" s="1"/>
      <c r="M6179" s="1"/>
    </row>
    <row x14ac:dyDescent="0.25" r="6180" customHeight="1" ht="18.75">
      <c r="A6180" s="1" t="s">
        <v>7833</v>
      </c>
      <c r="B6180" s="1" t="s">
        <v>9837</v>
      </c>
      <c r="C6180" s="1" t="s">
        <v>4488</v>
      </c>
      <c r="D6180" s="1" t="s">
        <v>3695</v>
      </c>
      <c r="E6180" s="1" t="s">
        <v>3664</v>
      </c>
      <c r="F6180" s="1" t="s">
        <v>1411</v>
      </c>
      <c r="G6180" s="1" t="s">
        <v>21649</v>
      </c>
      <c r="H6180" s="1" t="s">
        <v>3604</v>
      </c>
      <c r="I6180" s="1" t="s">
        <v>21650</v>
      </c>
      <c r="J6180" s="1" t="s">
        <v>3606</v>
      </c>
      <c r="K6180" s="1" t="s">
        <v>14445</v>
      </c>
      <c r="L6180" s="1"/>
      <c r="M6180" s="1"/>
    </row>
    <row x14ac:dyDescent="0.25" r="6181" customHeight="1" ht="18.75">
      <c r="A6181" s="1" t="s">
        <v>3693</v>
      </c>
      <c r="B6181" s="1" t="s">
        <v>3942</v>
      </c>
      <c r="C6181" s="1" t="s">
        <v>3600</v>
      </c>
      <c r="D6181" s="1" t="s">
        <v>3601</v>
      </c>
      <c r="E6181" s="1" t="s">
        <v>3664</v>
      </c>
      <c r="F6181" s="1" t="s">
        <v>21651</v>
      </c>
      <c r="G6181" s="1" t="s">
        <v>21652</v>
      </c>
      <c r="H6181" s="1" t="s">
        <v>3604</v>
      </c>
      <c r="I6181" s="1" t="s">
        <v>21653</v>
      </c>
      <c r="J6181" s="1" t="s">
        <v>3615</v>
      </c>
      <c r="K6181" s="1" t="s">
        <v>21654</v>
      </c>
      <c r="L6181" s="1"/>
      <c r="M6181" s="1"/>
    </row>
    <row x14ac:dyDescent="0.25" r="6182" customHeight="1" ht="18.75">
      <c r="A6182" s="1" t="s">
        <v>7833</v>
      </c>
      <c r="B6182" s="1" t="s">
        <v>9837</v>
      </c>
      <c r="C6182" s="1" t="s">
        <v>4488</v>
      </c>
      <c r="D6182" s="1" t="s">
        <v>3695</v>
      </c>
      <c r="E6182" s="1" t="s">
        <v>3664</v>
      </c>
      <c r="F6182" s="1" t="s">
        <v>1412</v>
      </c>
      <c r="G6182" s="1" t="s">
        <v>21655</v>
      </c>
      <c r="H6182" s="1" t="s">
        <v>3604</v>
      </c>
      <c r="I6182" s="1" t="s">
        <v>21656</v>
      </c>
      <c r="J6182" s="1" t="s">
        <v>3606</v>
      </c>
      <c r="K6182" s="1" t="s">
        <v>14511</v>
      </c>
      <c r="L6182" s="1"/>
      <c r="M6182" s="1"/>
    </row>
    <row x14ac:dyDescent="0.25" r="6183" customHeight="1" ht="18.75">
      <c r="A6183" s="1" t="s">
        <v>3693</v>
      </c>
      <c r="B6183" s="1" t="s">
        <v>4091</v>
      </c>
      <c r="C6183" s="1" t="s">
        <v>3600</v>
      </c>
      <c r="D6183" s="1" t="s">
        <v>3601</v>
      </c>
      <c r="E6183" s="1" t="s">
        <v>3664</v>
      </c>
      <c r="F6183" s="1" t="s">
        <v>21657</v>
      </c>
      <c r="G6183" s="1" t="s">
        <v>21652</v>
      </c>
      <c r="H6183" s="1" t="s">
        <v>3604</v>
      </c>
      <c r="I6183" s="1" t="s">
        <v>21658</v>
      </c>
      <c r="J6183" s="1" t="s">
        <v>3615</v>
      </c>
      <c r="K6183" s="1" t="s">
        <v>21659</v>
      </c>
      <c r="L6183" s="1"/>
      <c r="M6183" s="1"/>
    </row>
    <row x14ac:dyDescent="0.25" r="6184" customHeight="1" ht="18.75">
      <c r="A6184" s="1" t="s">
        <v>3693</v>
      </c>
      <c r="B6184" s="1" t="s">
        <v>4091</v>
      </c>
      <c r="C6184" s="1" t="s">
        <v>3600</v>
      </c>
      <c r="D6184" s="1" t="s">
        <v>3601</v>
      </c>
      <c r="E6184" s="1" t="s">
        <v>3664</v>
      </c>
      <c r="F6184" s="1" t="s">
        <v>21660</v>
      </c>
      <c r="G6184" s="1" t="s">
        <v>21661</v>
      </c>
      <c r="H6184" s="1" t="s">
        <v>3604</v>
      </c>
      <c r="I6184" s="1" t="s">
        <v>21662</v>
      </c>
      <c r="J6184" s="1" t="s">
        <v>3615</v>
      </c>
      <c r="K6184" s="1" t="s">
        <v>21663</v>
      </c>
      <c r="L6184" s="1"/>
      <c r="M6184" s="1"/>
    </row>
    <row x14ac:dyDescent="0.25" r="6185" customHeight="1" ht="18.75">
      <c r="A6185" s="1" t="s">
        <v>7833</v>
      </c>
      <c r="B6185" s="1" t="s">
        <v>15046</v>
      </c>
      <c r="C6185" s="1" t="s">
        <v>4488</v>
      </c>
      <c r="D6185" s="1" t="s">
        <v>3695</v>
      </c>
      <c r="E6185" s="1" t="s">
        <v>3664</v>
      </c>
      <c r="F6185" s="1" t="s">
        <v>1413</v>
      </c>
      <c r="G6185" s="1" t="s">
        <v>15121</v>
      </c>
      <c r="H6185" s="1" t="s">
        <v>3604</v>
      </c>
      <c r="I6185" s="1" t="s">
        <v>21664</v>
      </c>
      <c r="J6185" s="1" t="s">
        <v>3606</v>
      </c>
      <c r="K6185" s="1" t="s">
        <v>20783</v>
      </c>
      <c r="L6185" s="1"/>
      <c r="M6185" s="1"/>
    </row>
    <row x14ac:dyDescent="0.25" r="6186" customHeight="1" ht="18.75">
      <c r="A6186" s="1" t="s">
        <v>3693</v>
      </c>
      <c r="B6186" s="1" t="s">
        <v>4091</v>
      </c>
      <c r="C6186" s="1" t="s">
        <v>3600</v>
      </c>
      <c r="D6186" s="1" t="s">
        <v>3601</v>
      </c>
      <c r="E6186" s="1" t="s">
        <v>3664</v>
      </c>
      <c r="F6186" s="1" t="s">
        <v>21665</v>
      </c>
      <c r="G6186" s="1" t="s">
        <v>21666</v>
      </c>
      <c r="H6186" s="1" t="s">
        <v>3604</v>
      </c>
      <c r="I6186" s="1" t="s">
        <v>21667</v>
      </c>
      <c r="J6186" s="1" t="s">
        <v>3615</v>
      </c>
      <c r="K6186" s="1" t="s">
        <v>21659</v>
      </c>
      <c r="L6186" s="1"/>
      <c r="M6186" s="1"/>
    </row>
    <row x14ac:dyDescent="0.25" r="6187" customHeight="1" ht="18.75">
      <c r="A6187" s="1" t="s">
        <v>3693</v>
      </c>
      <c r="B6187" s="1" t="s">
        <v>4091</v>
      </c>
      <c r="C6187" s="1" t="s">
        <v>3600</v>
      </c>
      <c r="D6187" s="1" t="s">
        <v>3601</v>
      </c>
      <c r="E6187" s="1" t="s">
        <v>3664</v>
      </c>
      <c r="F6187" s="1" t="s">
        <v>21668</v>
      </c>
      <c r="G6187" s="1" t="s">
        <v>5682</v>
      </c>
      <c r="H6187" s="1" t="s">
        <v>3604</v>
      </c>
      <c r="I6187" s="1" t="s">
        <v>21669</v>
      </c>
      <c r="J6187" s="1" t="s">
        <v>3615</v>
      </c>
      <c r="K6187" s="1" t="s">
        <v>21659</v>
      </c>
      <c r="L6187" s="1"/>
      <c r="M6187" s="1"/>
    </row>
    <row x14ac:dyDescent="0.25" r="6188" customHeight="1" ht="18.75">
      <c r="A6188" s="1" t="s">
        <v>7833</v>
      </c>
      <c r="B6188" s="1" t="s">
        <v>15046</v>
      </c>
      <c r="C6188" s="1" t="s">
        <v>4488</v>
      </c>
      <c r="D6188" s="1" t="s">
        <v>3695</v>
      </c>
      <c r="E6188" s="1" t="s">
        <v>3664</v>
      </c>
      <c r="F6188" s="1" t="s">
        <v>1414</v>
      </c>
      <c r="G6188" s="1" t="s">
        <v>21670</v>
      </c>
      <c r="H6188" s="1" t="s">
        <v>3604</v>
      </c>
      <c r="I6188" s="1" t="s">
        <v>21671</v>
      </c>
      <c r="J6188" s="1" t="s">
        <v>3606</v>
      </c>
      <c r="K6188" s="1" t="s">
        <v>14511</v>
      </c>
      <c r="L6188" s="1"/>
      <c r="M6188" s="1"/>
    </row>
    <row x14ac:dyDescent="0.25" r="6189" customHeight="1" ht="18.75">
      <c r="A6189" s="1" t="s">
        <v>3598</v>
      </c>
      <c r="B6189" s="1" t="s">
        <v>21672</v>
      </c>
      <c r="C6189" s="1" t="s">
        <v>3600</v>
      </c>
      <c r="D6189" s="1" t="s">
        <v>8365</v>
      </c>
      <c r="E6189" s="1" t="s">
        <v>3664</v>
      </c>
      <c r="F6189" s="1" t="s">
        <v>21673</v>
      </c>
      <c r="G6189" s="1" t="s">
        <v>21674</v>
      </c>
      <c r="H6189" s="1" t="s">
        <v>3604</v>
      </c>
      <c r="I6189" s="1" t="s">
        <v>21675</v>
      </c>
      <c r="J6189" s="1" t="s">
        <v>3606</v>
      </c>
      <c r="K6189" s="1" t="s">
        <v>21676</v>
      </c>
      <c r="L6189" s="1"/>
      <c r="M6189" s="1"/>
    </row>
    <row x14ac:dyDescent="0.25" r="6190" customHeight="1" ht="18.75">
      <c r="A6190" s="1" t="s">
        <v>3598</v>
      </c>
      <c r="B6190" s="1" t="s">
        <v>4273</v>
      </c>
      <c r="C6190" s="1" t="s">
        <v>3600</v>
      </c>
      <c r="D6190" s="1" t="s">
        <v>533</v>
      </c>
      <c r="E6190" s="1" t="s">
        <v>3664</v>
      </c>
      <c r="F6190" s="1" t="s">
        <v>21677</v>
      </c>
      <c r="G6190" s="1" t="s">
        <v>21678</v>
      </c>
      <c r="H6190" s="1" t="s">
        <v>3604</v>
      </c>
      <c r="I6190" s="1" t="s">
        <v>21679</v>
      </c>
      <c r="J6190" s="1" t="s">
        <v>3606</v>
      </c>
      <c r="K6190" s="1" t="s">
        <v>21680</v>
      </c>
      <c r="L6190" s="1"/>
      <c r="M6190" s="1"/>
    </row>
    <row x14ac:dyDescent="0.25" r="6191" customHeight="1" ht="18.75">
      <c r="A6191" s="1" t="s">
        <v>3598</v>
      </c>
      <c r="B6191" s="1" t="s">
        <v>4273</v>
      </c>
      <c r="C6191" s="1" t="s">
        <v>3600</v>
      </c>
      <c r="D6191" s="1" t="s">
        <v>533</v>
      </c>
      <c r="E6191" s="1" t="s">
        <v>3664</v>
      </c>
      <c r="F6191" s="1" t="s">
        <v>21681</v>
      </c>
      <c r="G6191" s="1" t="s">
        <v>20094</v>
      </c>
      <c r="H6191" s="1" t="s">
        <v>3604</v>
      </c>
      <c r="I6191" s="1" t="s">
        <v>21682</v>
      </c>
      <c r="J6191" s="1" t="s">
        <v>3606</v>
      </c>
      <c r="K6191" s="1" t="s">
        <v>21683</v>
      </c>
      <c r="L6191" s="1"/>
      <c r="M6191" s="1"/>
    </row>
    <row x14ac:dyDescent="0.25" r="6192" customHeight="1" ht="18.75">
      <c r="A6192" s="1" t="s">
        <v>3598</v>
      </c>
      <c r="B6192" s="1" t="s">
        <v>4689</v>
      </c>
      <c r="C6192" s="1" t="s">
        <v>3600</v>
      </c>
      <c r="D6192" s="1" t="s">
        <v>533</v>
      </c>
      <c r="E6192" s="1" t="s">
        <v>3664</v>
      </c>
      <c r="F6192" s="1" t="s">
        <v>21684</v>
      </c>
      <c r="G6192" s="1" t="s">
        <v>20945</v>
      </c>
      <c r="H6192" s="1" t="s">
        <v>3604</v>
      </c>
      <c r="I6192" s="1" t="s">
        <v>21685</v>
      </c>
      <c r="J6192" s="1" t="s">
        <v>3606</v>
      </c>
      <c r="K6192" s="1" t="s">
        <v>21686</v>
      </c>
      <c r="L6192" s="1"/>
      <c r="M6192" s="1"/>
    </row>
    <row x14ac:dyDescent="0.25" r="6193" customHeight="1" ht="18.75">
      <c r="A6193" s="1" t="s">
        <v>3598</v>
      </c>
      <c r="B6193" s="1" t="s">
        <v>9007</v>
      </c>
      <c r="C6193" s="1" t="s">
        <v>3600</v>
      </c>
      <c r="D6193" s="1" t="s">
        <v>533</v>
      </c>
      <c r="E6193" s="1" t="s">
        <v>3893</v>
      </c>
      <c r="F6193" s="1" t="s">
        <v>21687</v>
      </c>
      <c r="G6193" s="1" t="s">
        <v>9009</v>
      </c>
      <c r="H6193" s="1" t="s">
        <v>3604</v>
      </c>
      <c r="I6193" s="1" t="s">
        <v>21688</v>
      </c>
      <c r="J6193" s="1" t="s">
        <v>3606</v>
      </c>
      <c r="K6193" s="1" t="s">
        <v>21689</v>
      </c>
      <c r="L6193" s="1"/>
      <c r="M6193" s="1"/>
    </row>
    <row x14ac:dyDescent="0.25" r="6194" customHeight="1" ht="18.75">
      <c r="A6194" s="1" t="s">
        <v>3598</v>
      </c>
      <c r="B6194" s="1" t="s">
        <v>9007</v>
      </c>
      <c r="C6194" s="1" t="s">
        <v>3600</v>
      </c>
      <c r="D6194" s="1" t="s">
        <v>533</v>
      </c>
      <c r="E6194" s="1" t="s">
        <v>3893</v>
      </c>
      <c r="F6194" s="1" t="s">
        <v>21690</v>
      </c>
      <c r="G6194" s="1" t="s">
        <v>9009</v>
      </c>
      <c r="H6194" s="1" t="s">
        <v>3604</v>
      </c>
      <c r="I6194" s="1" t="s">
        <v>21691</v>
      </c>
      <c r="J6194" s="1" t="s">
        <v>3606</v>
      </c>
      <c r="K6194" s="1" t="s">
        <v>21692</v>
      </c>
      <c r="L6194" s="1"/>
      <c r="M6194" s="1"/>
    </row>
    <row x14ac:dyDescent="0.25" r="6195" customHeight="1" ht="18.75">
      <c r="A6195" s="1" t="s">
        <v>3598</v>
      </c>
      <c r="B6195" s="1" t="s">
        <v>5260</v>
      </c>
      <c r="C6195" s="1" t="s">
        <v>3600</v>
      </c>
      <c r="D6195" s="1" t="s">
        <v>533</v>
      </c>
      <c r="E6195" s="1" t="s">
        <v>3611</v>
      </c>
      <c r="F6195" s="1" t="s">
        <v>21693</v>
      </c>
      <c r="G6195" s="1" t="s">
        <v>9107</v>
      </c>
      <c r="H6195" s="1" t="s">
        <v>3604</v>
      </c>
      <c r="I6195" s="1" t="s">
        <v>21694</v>
      </c>
      <c r="J6195" s="1" t="s">
        <v>3606</v>
      </c>
      <c r="K6195" s="1" t="s">
        <v>21695</v>
      </c>
      <c r="L6195" s="1"/>
      <c r="M6195" s="1"/>
    </row>
    <row x14ac:dyDescent="0.25" r="6196" customHeight="1" ht="18.75">
      <c r="A6196" s="1" t="s">
        <v>3598</v>
      </c>
      <c r="B6196" s="1" t="s">
        <v>5260</v>
      </c>
      <c r="C6196" s="1" t="s">
        <v>3600</v>
      </c>
      <c r="D6196" s="1" t="s">
        <v>533</v>
      </c>
      <c r="E6196" s="1" t="s">
        <v>3611</v>
      </c>
      <c r="F6196" s="1" t="s">
        <v>21696</v>
      </c>
      <c r="G6196" s="1" t="s">
        <v>9107</v>
      </c>
      <c r="H6196" s="1" t="s">
        <v>3604</v>
      </c>
      <c r="I6196" s="1" t="s">
        <v>21697</v>
      </c>
      <c r="J6196" s="1" t="s">
        <v>3606</v>
      </c>
      <c r="K6196" s="1" t="s">
        <v>21698</v>
      </c>
      <c r="L6196" s="1"/>
      <c r="M6196" s="1"/>
    </row>
    <row x14ac:dyDescent="0.25" r="6197" customHeight="1" ht="18.75">
      <c r="A6197" s="1" t="s">
        <v>3598</v>
      </c>
      <c r="B6197" s="1" t="s">
        <v>5260</v>
      </c>
      <c r="C6197" s="1" t="s">
        <v>3600</v>
      </c>
      <c r="D6197" s="1" t="s">
        <v>533</v>
      </c>
      <c r="E6197" s="1" t="s">
        <v>3611</v>
      </c>
      <c r="F6197" s="1" t="s">
        <v>21699</v>
      </c>
      <c r="G6197" s="1" t="s">
        <v>9107</v>
      </c>
      <c r="H6197" s="1" t="s">
        <v>3604</v>
      </c>
      <c r="I6197" s="1" t="s">
        <v>21700</v>
      </c>
      <c r="J6197" s="1" t="s">
        <v>3606</v>
      </c>
      <c r="K6197" s="1" t="s">
        <v>21701</v>
      </c>
      <c r="L6197" s="1"/>
      <c r="M6197" s="1"/>
    </row>
    <row x14ac:dyDescent="0.25" r="6198" customHeight="1" ht="18.75">
      <c r="A6198" s="1" t="s">
        <v>3598</v>
      </c>
      <c r="B6198" s="1" t="s">
        <v>5260</v>
      </c>
      <c r="C6198" s="1" t="s">
        <v>3600</v>
      </c>
      <c r="D6198" s="1" t="s">
        <v>533</v>
      </c>
      <c r="E6198" s="1" t="s">
        <v>3611</v>
      </c>
      <c r="F6198" s="1" t="s">
        <v>21702</v>
      </c>
      <c r="G6198" s="1" t="s">
        <v>9107</v>
      </c>
      <c r="H6198" s="1" t="s">
        <v>3604</v>
      </c>
      <c r="I6198" s="1" t="s">
        <v>21703</v>
      </c>
      <c r="J6198" s="1" t="s">
        <v>3606</v>
      </c>
      <c r="K6198" s="1" t="s">
        <v>21704</v>
      </c>
      <c r="L6198" s="1"/>
      <c r="M6198" s="1"/>
    </row>
    <row x14ac:dyDescent="0.25" r="6199" customHeight="1" ht="18.75">
      <c r="A6199" s="1" t="s">
        <v>3598</v>
      </c>
      <c r="B6199" s="1" t="s">
        <v>5260</v>
      </c>
      <c r="C6199" s="1" t="s">
        <v>3600</v>
      </c>
      <c r="D6199" s="1" t="s">
        <v>533</v>
      </c>
      <c r="E6199" s="1" t="s">
        <v>3611</v>
      </c>
      <c r="F6199" s="1" t="s">
        <v>21705</v>
      </c>
      <c r="G6199" s="1" t="s">
        <v>9107</v>
      </c>
      <c r="H6199" s="1" t="s">
        <v>3604</v>
      </c>
      <c r="I6199" s="1" t="s">
        <v>21706</v>
      </c>
      <c r="J6199" s="1" t="s">
        <v>3606</v>
      </c>
      <c r="K6199" s="1" t="s">
        <v>21707</v>
      </c>
      <c r="L6199" s="1"/>
      <c r="M6199" s="1"/>
    </row>
    <row x14ac:dyDescent="0.25" r="6200" customHeight="1" ht="18.75">
      <c r="A6200" s="1" t="s">
        <v>3598</v>
      </c>
      <c r="B6200" s="1" t="s">
        <v>5260</v>
      </c>
      <c r="C6200" s="1" t="s">
        <v>3600</v>
      </c>
      <c r="D6200" s="1" t="s">
        <v>533</v>
      </c>
      <c r="E6200" s="1" t="s">
        <v>3611</v>
      </c>
      <c r="F6200" s="1" t="s">
        <v>21708</v>
      </c>
      <c r="G6200" s="1" t="s">
        <v>9107</v>
      </c>
      <c r="H6200" s="1" t="s">
        <v>3604</v>
      </c>
      <c r="I6200" s="1" t="s">
        <v>21709</v>
      </c>
      <c r="J6200" s="1" t="s">
        <v>3606</v>
      </c>
      <c r="K6200" s="1" t="s">
        <v>21710</v>
      </c>
      <c r="L6200" s="1"/>
      <c r="M6200" s="1"/>
    </row>
    <row x14ac:dyDescent="0.25" r="6201" customHeight="1" ht="18.75">
      <c r="A6201" s="1" t="s">
        <v>3598</v>
      </c>
      <c r="B6201" s="1" t="s">
        <v>5260</v>
      </c>
      <c r="C6201" s="1" t="s">
        <v>3600</v>
      </c>
      <c r="D6201" s="1" t="s">
        <v>533</v>
      </c>
      <c r="E6201" s="1" t="s">
        <v>3611</v>
      </c>
      <c r="F6201" s="1" t="s">
        <v>21711</v>
      </c>
      <c r="G6201" s="1" t="s">
        <v>9107</v>
      </c>
      <c r="H6201" s="1" t="s">
        <v>3604</v>
      </c>
      <c r="I6201" s="1" t="s">
        <v>21712</v>
      </c>
      <c r="J6201" s="1" t="s">
        <v>3606</v>
      </c>
      <c r="K6201" s="1" t="s">
        <v>21713</v>
      </c>
      <c r="L6201" s="1"/>
      <c r="M6201" s="1"/>
    </row>
    <row x14ac:dyDescent="0.25" r="6202" customHeight="1" ht="18.75">
      <c r="A6202" s="1" t="s">
        <v>3598</v>
      </c>
      <c r="B6202" s="1" t="s">
        <v>5260</v>
      </c>
      <c r="C6202" s="1" t="s">
        <v>3600</v>
      </c>
      <c r="D6202" s="1" t="s">
        <v>533</v>
      </c>
      <c r="E6202" s="1" t="s">
        <v>3611</v>
      </c>
      <c r="F6202" s="1" t="s">
        <v>21714</v>
      </c>
      <c r="G6202" s="1" t="s">
        <v>9107</v>
      </c>
      <c r="H6202" s="1" t="s">
        <v>3604</v>
      </c>
      <c r="I6202" s="1" t="s">
        <v>21715</v>
      </c>
      <c r="J6202" s="1" t="s">
        <v>3606</v>
      </c>
      <c r="K6202" s="1" t="s">
        <v>21716</v>
      </c>
      <c r="L6202" s="1"/>
      <c r="M6202" s="1"/>
    </row>
    <row x14ac:dyDescent="0.25" r="6203" customHeight="1" ht="18.75">
      <c r="A6203" s="1" t="s">
        <v>3598</v>
      </c>
      <c r="B6203" s="1" t="s">
        <v>5260</v>
      </c>
      <c r="C6203" s="1" t="s">
        <v>3600</v>
      </c>
      <c r="D6203" s="1" t="s">
        <v>533</v>
      </c>
      <c r="E6203" s="1" t="s">
        <v>3664</v>
      </c>
      <c r="F6203" s="1" t="s">
        <v>21717</v>
      </c>
      <c r="G6203" s="1" t="s">
        <v>9107</v>
      </c>
      <c r="H6203" s="1" t="s">
        <v>3604</v>
      </c>
      <c r="I6203" s="1" t="s">
        <v>21718</v>
      </c>
      <c r="J6203" s="1" t="s">
        <v>3606</v>
      </c>
      <c r="K6203" s="1" t="s">
        <v>21719</v>
      </c>
      <c r="L6203" s="1"/>
      <c r="M6203" s="1"/>
    </row>
    <row x14ac:dyDescent="0.25" r="6204" customHeight="1" ht="18.75">
      <c r="A6204" s="1" t="s">
        <v>3598</v>
      </c>
      <c r="B6204" s="1" t="s">
        <v>5260</v>
      </c>
      <c r="C6204" s="1" t="s">
        <v>3600</v>
      </c>
      <c r="D6204" s="1" t="s">
        <v>533</v>
      </c>
      <c r="E6204" s="1" t="s">
        <v>3893</v>
      </c>
      <c r="F6204" s="1" t="s">
        <v>21720</v>
      </c>
      <c r="G6204" s="1" t="s">
        <v>8818</v>
      </c>
      <c r="H6204" s="1" t="s">
        <v>3604</v>
      </c>
      <c r="I6204" s="1" t="s">
        <v>21721</v>
      </c>
      <c r="J6204" s="1" t="s">
        <v>3606</v>
      </c>
      <c r="K6204" s="1" t="s">
        <v>21722</v>
      </c>
      <c r="L6204" s="1"/>
      <c r="M6204" s="1"/>
    </row>
    <row x14ac:dyDescent="0.25" r="6205" customHeight="1" ht="18.75">
      <c r="A6205" s="1" t="s">
        <v>3598</v>
      </c>
      <c r="B6205" s="1" t="s">
        <v>5260</v>
      </c>
      <c r="C6205" s="1" t="s">
        <v>3600</v>
      </c>
      <c r="D6205" s="1" t="s">
        <v>533</v>
      </c>
      <c r="E6205" s="1" t="s">
        <v>3611</v>
      </c>
      <c r="F6205" s="1" t="s">
        <v>21723</v>
      </c>
      <c r="G6205" s="1" t="s">
        <v>9107</v>
      </c>
      <c r="H6205" s="1" t="s">
        <v>3604</v>
      </c>
      <c r="I6205" s="1" t="s">
        <v>21724</v>
      </c>
      <c r="J6205" s="1" t="s">
        <v>3606</v>
      </c>
      <c r="K6205" s="1" t="s">
        <v>21725</v>
      </c>
      <c r="L6205" s="1"/>
      <c r="M6205" s="1"/>
    </row>
    <row x14ac:dyDescent="0.25" r="6206" customHeight="1" ht="18.75">
      <c r="A6206" s="1" t="s">
        <v>3598</v>
      </c>
      <c r="B6206" s="1" t="s">
        <v>5260</v>
      </c>
      <c r="C6206" s="1" t="s">
        <v>3600</v>
      </c>
      <c r="D6206" s="1" t="s">
        <v>533</v>
      </c>
      <c r="E6206" s="1" t="s">
        <v>3893</v>
      </c>
      <c r="F6206" s="1" t="s">
        <v>21726</v>
      </c>
      <c r="G6206" s="1" t="s">
        <v>8818</v>
      </c>
      <c r="H6206" s="1" t="s">
        <v>3604</v>
      </c>
      <c r="I6206" s="1" t="s">
        <v>21727</v>
      </c>
      <c r="J6206" s="1" t="s">
        <v>3606</v>
      </c>
      <c r="K6206" s="1" t="s">
        <v>21728</v>
      </c>
      <c r="L6206" s="1"/>
      <c r="M6206" s="1"/>
    </row>
    <row x14ac:dyDescent="0.25" r="6207" customHeight="1" ht="18.75">
      <c r="A6207" s="1" t="s">
        <v>3598</v>
      </c>
      <c r="B6207" s="1" t="s">
        <v>5260</v>
      </c>
      <c r="C6207" s="1" t="s">
        <v>3600</v>
      </c>
      <c r="D6207" s="1" t="s">
        <v>533</v>
      </c>
      <c r="E6207" s="1" t="s">
        <v>3893</v>
      </c>
      <c r="F6207" s="1" t="s">
        <v>21729</v>
      </c>
      <c r="G6207" s="1" t="s">
        <v>8818</v>
      </c>
      <c r="H6207" s="1" t="s">
        <v>3604</v>
      </c>
      <c r="I6207" s="1" t="s">
        <v>21730</v>
      </c>
      <c r="J6207" s="1" t="s">
        <v>3606</v>
      </c>
      <c r="K6207" s="1" t="s">
        <v>21731</v>
      </c>
      <c r="L6207" s="1"/>
      <c r="M6207" s="1"/>
    </row>
    <row x14ac:dyDescent="0.25" r="6208" customHeight="1" ht="18.75">
      <c r="A6208" s="1" t="s">
        <v>3598</v>
      </c>
      <c r="B6208" s="1" t="s">
        <v>5260</v>
      </c>
      <c r="C6208" s="1" t="s">
        <v>3600</v>
      </c>
      <c r="D6208" s="1" t="s">
        <v>533</v>
      </c>
      <c r="E6208" s="1" t="s">
        <v>3893</v>
      </c>
      <c r="F6208" s="1" t="s">
        <v>21732</v>
      </c>
      <c r="G6208" s="1" t="s">
        <v>8818</v>
      </c>
      <c r="H6208" s="1" t="s">
        <v>3604</v>
      </c>
      <c r="I6208" s="1" t="s">
        <v>21733</v>
      </c>
      <c r="J6208" s="1" t="s">
        <v>3606</v>
      </c>
      <c r="K6208" s="1" t="s">
        <v>21734</v>
      </c>
      <c r="L6208" s="1"/>
      <c r="M6208" s="1"/>
    </row>
    <row x14ac:dyDescent="0.25" r="6209" customHeight="1" ht="18.75">
      <c r="A6209" s="1" t="s">
        <v>3598</v>
      </c>
      <c r="B6209" s="1" t="s">
        <v>5260</v>
      </c>
      <c r="C6209" s="1" t="s">
        <v>3600</v>
      </c>
      <c r="D6209" s="1" t="s">
        <v>533</v>
      </c>
      <c r="E6209" s="1" t="s">
        <v>3893</v>
      </c>
      <c r="F6209" s="1" t="s">
        <v>21735</v>
      </c>
      <c r="G6209" s="1" t="s">
        <v>8818</v>
      </c>
      <c r="H6209" s="1" t="s">
        <v>3604</v>
      </c>
      <c r="I6209" s="1" t="s">
        <v>21736</v>
      </c>
      <c r="J6209" s="1" t="s">
        <v>3606</v>
      </c>
      <c r="K6209" s="1" t="s">
        <v>21737</v>
      </c>
      <c r="L6209" s="1"/>
      <c r="M6209" s="1"/>
    </row>
    <row x14ac:dyDescent="0.25" r="6210" customHeight="1" ht="18.75">
      <c r="A6210" s="1" t="s">
        <v>3598</v>
      </c>
      <c r="B6210" s="1" t="s">
        <v>4689</v>
      </c>
      <c r="C6210" s="1" t="s">
        <v>3600</v>
      </c>
      <c r="D6210" s="1" t="s">
        <v>533</v>
      </c>
      <c r="E6210" s="1" t="s">
        <v>3611</v>
      </c>
      <c r="F6210" s="1" t="s">
        <v>21738</v>
      </c>
      <c r="G6210" s="1" t="s">
        <v>7853</v>
      </c>
      <c r="H6210" s="1" t="s">
        <v>3604</v>
      </c>
      <c r="I6210" s="1" t="s">
        <v>21739</v>
      </c>
      <c r="J6210" s="1" t="s">
        <v>3606</v>
      </c>
      <c r="K6210" s="1" t="s">
        <v>21740</v>
      </c>
      <c r="L6210" s="1"/>
      <c r="M6210" s="1"/>
    </row>
    <row x14ac:dyDescent="0.25" r="6211" customHeight="1" ht="18.75">
      <c r="A6211" s="1" t="s">
        <v>3598</v>
      </c>
      <c r="B6211" s="1" t="s">
        <v>13742</v>
      </c>
      <c r="C6211" s="1" t="s">
        <v>3600</v>
      </c>
      <c r="D6211" s="1" t="s">
        <v>533</v>
      </c>
      <c r="E6211" s="1" t="s">
        <v>3893</v>
      </c>
      <c r="F6211" s="1" t="s">
        <v>21741</v>
      </c>
      <c r="G6211" s="1" t="s">
        <v>15665</v>
      </c>
      <c r="H6211" s="1" t="s">
        <v>3604</v>
      </c>
      <c r="I6211" s="1" t="s">
        <v>21742</v>
      </c>
      <c r="J6211" s="1" t="s">
        <v>3606</v>
      </c>
      <c r="K6211" s="1" t="s">
        <v>21743</v>
      </c>
      <c r="L6211" s="1"/>
      <c r="M6211" s="1"/>
    </row>
    <row x14ac:dyDescent="0.25" r="6212" customHeight="1" ht="18.75">
      <c r="A6212" s="1" t="s">
        <v>3598</v>
      </c>
      <c r="B6212" s="1" t="s">
        <v>13742</v>
      </c>
      <c r="C6212" s="1" t="s">
        <v>3600</v>
      </c>
      <c r="D6212" s="1" t="s">
        <v>533</v>
      </c>
      <c r="E6212" s="1" t="s">
        <v>3893</v>
      </c>
      <c r="F6212" s="1" t="s">
        <v>21744</v>
      </c>
      <c r="G6212" s="1" t="s">
        <v>15665</v>
      </c>
      <c r="H6212" s="1" t="s">
        <v>3604</v>
      </c>
      <c r="I6212" s="1" t="s">
        <v>21745</v>
      </c>
      <c r="J6212" s="1" t="s">
        <v>3606</v>
      </c>
      <c r="K6212" s="1" t="s">
        <v>21746</v>
      </c>
      <c r="L6212" s="1"/>
      <c r="M6212" s="1"/>
    </row>
    <row x14ac:dyDescent="0.25" r="6213" customHeight="1" ht="18.75">
      <c r="A6213" s="1" t="s">
        <v>3598</v>
      </c>
      <c r="B6213" s="1" t="s">
        <v>5260</v>
      </c>
      <c r="C6213" s="1" t="s">
        <v>3600</v>
      </c>
      <c r="D6213" s="1" t="s">
        <v>533</v>
      </c>
      <c r="E6213" s="1" t="s">
        <v>3893</v>
      </c>
      <c r="F6213" s="1" t="s">
        <v>21747</v>
      </c>
      <c r="G6213" s="1" t="s">
        <v>17246</v>
      </c>
      <c r="H6213" s="1" t="s">
        <v>3604</v>
      </c>
      <c r="I6213" s="1" t="s">
        <v>21748</v>
      </c>
      <c r="J6213" s="1" t="s">
        <v>3606</v>
      </c>
      <c r="K6213" s="1" t="s">
        <v>21749</v>
      </c>
      <c r="L6213" s="1"/>
      <c r="M6213" s="1"/>
    </row>
    <row x14ac:dyDescent="0.25" r="6214" customHeight="1" ht="18.75">
      <c r="A6214" s="1" t="s">
        <v>3598</v>
      </c>
      <c r="B6214" s="1" t="s">
        <v>5260</v>
      </c>
      <c r="C6214" s="1" t="s">
        <v>3600</v>
      </c>
      <c r="D6214" s="1" t="s">
        <v>533</v>
      </c>
      <c r="E6214" s="1" t="s">
        <v>3893</v>
      </c>
      <c r="F6214" s="1" t="s">
        <v>21750</v>
      </c>
      <c r="G6214" s="1" t="s">
        <v>17246</v>
      </c>
      <c r="H6214" s="1" t="s">
        <v>3604</v>
      </c>
      <c r="I6214" s="1" t="s">
        <v>21751</v>
      </c>
      <c r="J6214" s="1" t="s">
        <v>3606</v>
      </c>
      <c r="K6214" s="1" t="s">
        <v>21752</v>
      </c>
      <c r="L6214" s="1"/>
      <c r="M6214" s="1"/>
    </row>
    <row x14ac:dyDescent="0.25" r="6215" customHeight="1" ht="18.75">
      <c r="A6215" s="1" t="s">
        <v>3598</v>
      </c>
      <c r="B6215" s="1" t="s">
        <v>21753</v>
      </c>
      <c r="C6215" s="1" t="s">
        <v>3600</v>
      </c>
      <c r="D6215" s="1" t="s">
        <v>7994</v>
      </c>
      <c r="E6215" s="1" t="s">
        <v>3893</v>
      </c>
      <c r="F6215" s="1" t="s">
        <v>21754</v>
      </c>
      <c r="G6215" s="1" t="s">
        <v>21755</v>
      </c>
      <c r="H6215" s="1" t="s">
        <v>3604</v>
      </c>
      <c r="I6215" s="1" t="s">
        <v>21756</v>
      </c>
      <c r="J6215" s="1" t="s">
        <v>3606</v>
      </c>
      <c r="K6215" s="1" t="s">
        <v>21757</v>
      </c>
      <c r="L6215" s="1"/>
      <c r="M6215" s="1"/>
    </row>
    <row x14ac:dyDescent="0.25" r="6216" customHeight="1" ht="18.75">
      <c r="A6216" s="1" t="s">
        <v>3598</v>
      </c>
      <c r="B6216" s="1" t="s">
        <v>8656</v>
      </c>
      <c r="C6216" s="1" t="s">
        <v>3600</v>
      </c>
      <c r="D6216" s="1" t="s">
        <v>8365</v>
      </c>
      <c r="E6216" s="1" t="s">
        <v>3664</v>
      </c>
      <c r="F6216" s="1" t="s">
        <v>21758</v>
      </c>
      <c r="G6216" s="1" t="s">
        <v>8658</v>
      </c>
      <c r="H6216" s="1" t="s">
        <v>3604</v>
      </c>
      <c r="I6216" s="1" t="s">
        <v>21759</v>
      </c>
      <c r="J6216" s="1" t="s">
        <v>3615</v>
      </c>
      <c r="K6216" s="1" t="s">
        <v>21760</v>
      </c>
      <c r="L6216" s="1"/>
      <c r="M6216" s="1"/>
    </row>
    <row x14ac:dyDescent="0.25" r="6217" customHeight="1" ht="18.75">
      <c r="A6217" s="1" t="s">
        <v>3598</v>
      </c>
      <c r="B6217" s="1" t="s">
        <v>16868</v>
      </c>
      <c r="C6217" s="1" t="s">
        <v>3600</v>
      </c>
      <c r="D6217" s="1" t="s">
        <v>8365</v>
      </c>
      <c r="E6217" s="1" t="s">
        <v>3664</v>
      </c>
      <c r="F6217" s="1" t="s">
        <v>21761</v>
      </c>
      <c r="G6217" s="1" t="s">
        <v>16870</v>
      </c>
      <c r="H6217" s="1" t="s">
        <v>3604</v>
      </c>
      <c r="I6217" s="1" t="s">
        <v>21762</v>
      </c>
      <c r="J6217" s="1" t="s">
        <v>3606</v>
      </c>
      <c r="K6217" s="1" t="s">
        <v>21763</v>
      </c>
      <c r="L6217" s="1"/>
      <c r="M6217" s="1"/>
    </row>
    <row x14ac:dyDescent="0.25" r="6218" customHeight="1" ht="18.75">
      <c r="A6218" s="1" t="s">
        <v>3598</v>
      </c>
      <c r="B6218" s="1" t="s">
        <v>8656</v>
      </c>
      <c r="C6218" s="1" t="s">
        <v>3600</v>
      </c>
      <c r="D6218" s="1" t="s">
        <v>8365</v>
      </c>
      <c r="E6218" s="1" t="s">
        <v>3664</v>
      </c>
      <c r="F6218" s="1" t="s">
        <v>21764</v>
      </c>
      <c r="G6218" s="1" t="s">
        <v>8658</v>
      </c>
      <c r="H6218" s="1" t="s">
        <v>3604</v>
      </c>
      <c r="I6218" s="1" t="s">
        <v>21765</v>
      </c>
      <c r="J6218" s="1" t="s">
        <v>3615</v>
      </c>
      <c r="K6218" s="1" t="s">
        <v>21766</v>
      </c>
      <c r="L6218" s="1"/>
      <c r="M6218" s="1"/>
    </row>
    <row x14ac:dyDescent="0.25" r="6219" customHeight="1" ht="18.75">
      <c r="A6219" s="1" t="s">
        <v>3598</v>
      </c>
      <c r="B6219" s="1" t="s">
        <v>21767</v>
      </c>
      <c r="C6219" s="1" t="s">
        <v>3600</v>
      </c>
      <c r="D6219" s="1" t="s">
        <v>8365</v>
      </c>
      <c r="E6219" s="1" t="s">
        <v>3664</v>
      </c>
      <c r="F6219" s="1" t="s">
        <v>21768</v>
      </c>
      <c r="G6219" s="1" t="s">
        <v>21769</v>
      </c>
      <c r="H6219" s="1" t="s">
        <v>3604</v>
      </c>
      <c r="I6219" s="1" t="s">
        <v>21770</v>
      </c>
      <c r="J6219" s="1" t="s">
        <v>3606</v>
      </c>
      <c r="K6219" s="1" t="s">
        <v>21771</v>
      </c>
      <c r="L6219" s="1"/>
      <c r="M6219" s="1"/>
    </row>
    <row x14ac:dyDescent="0.25" r="6220" customHeight="1" ht="18.75">
      <c r="A6220" s="1" t="s">
        <v>3598</v>
      </c>
      <c r="B6220" s="1" t="s">
        <v>21772</v>
      </c>
      <c r="C6220" s="1" t="s">
        <v>3600</v>
      </c>
      <c r="D6220" s="1" t="s">
        <v>8365</v>
      </c>
      <c r="E6220" s="1" t="s">
        <v>3664</v>
      </c>
      <c r="F6220" s="1" t="s">
        <v>21773</v>
      </c>
      <c r="G6220" s="1" t="s">
        <v>21774</v>
      </c>
      <c r="H6220" s="1" t="s">
        <v>3604</v>
      </c>
      <c r="I6220" s="1" t="s">
        <v>21775</v>
      </c>
      <c r="J6220" s="1" t="s">
        <v>3606</v>
      </c>
      <c r="K6220" s="1" t="s">
        <v>21776</v>
      </c>
      <c r="L6220" s="1"/>
      <c r="M6220" s="1"/>
    </row>
    <row x14ac:dyDescent="0.25" r="6221" customHeight="1" ht="18.75">
      <c r="A6221" s="1" t="s">
        <v>3598</v>
      </c>
      <c r="B6221" s="1" t="s">
        <v>21777</v>
      </c>
      <c r="C6221" s="1" t="s">
        <v>3600</v>
      </c>
      <c r="D6221" s="1" t="s">
        <v>8365</v>
      </c>
      <c r="E6221" s="1" t="s">
        <v>3664</v>
      </c>
      <c r="F6221" s="1" t="s">
        <v>21778</v>
      </c>
      <c r="G6221" s="1" t="s">
        <v>21779</v>
      </c>
      <c r="H6221" s="1" t="s">
        <v>3604</v>
      </c>
      <c r="I6221" s="1" t="s">
        <v>21780</v>
      </c>
      <c r="J6221" s="1" t="s">
        <v>3606</v>
      </c>
      <c r="K6221" s="1" t="s">
        <v>21781</v>
      </c>
      <c r="L6221" s="1"/>
      <c r="M6221" s="1"/>
    </row>
    <row x14ac:dyDescent="0.25" r="6222" customHeight="1" ht="18.75">
      <c r="A6222" s="1" t="s">
        <v>3598</v>
      </c>
      <c r="B6222" s="1" t="s">
        <v>21753</v>
      </c>
      <c r="C6222" s="1" t="s">
        <v>3600</v>
      </c>
      <c r="D6222" s="1" t="s">
        <v>8365</v>
      </c>
      <c r="E6222" s="1" t="s">
        <v>3893</v>
      </c>
      <c r="F6222" s="1" t="s">
        <v>21782</v>
      </c>
      <c r="G6222" s="1" t="s">
        <v>21755</v>
      </c>
      <c r="H6222" s="1" t="s">
        <v>3604</v>
      </c>
      <c r="I6222" s="1" t="s">
        <v>21783</v>
      </c>
      <c r="J6222" s="1" t="s">
        <v>3606</v>
      </c>
      <c r="K6222" s="1" t="s">
        <v>21784</v>
      </c>
      <c r="L6222" s="1"/>
      <c r="M6222" s="1"/>
    </row>
    <row x14ac:dyDescent="0.25" r="6223" customHeight="1" ht="18.75">
      <c r="A6223" s="1" t="s">
        <v>3598</v>
      </c>
      <c r="B6223" s="1" t="s">
        <v>16506</v>
      </c>
      <c r="C6223" s="1" t="s">
        <v>3600</v>
      </c>
      <c r="D6223" s="1" t="s">
        <v>8365</v>
      </c>
      <c r="E6223" s="1" t="s">
        <v>3664</v>
      </c>
      <c r="F6223" s="1" t="s">
        <v>21785</v>
      </c>
      <c r="G6223" s="1" t="s">
        <v>16508</v>
      </c>
      <c r="H6223" s="1" t="s">
        <v>3604</v>
      </c>
      <c r="I6223" s="1" t="s">
        <v>21786</v>
      </c>
      <c r="J6223" s="1" t="s">
        <v>3606</v>
      </c>
      <c r="K6223" s="1" t="s">
        <v>21787</v>
      </c>
      <c r="L6223" s="1"/>
      <c r="M6223" s="1"/>
    </row>
    <row x14ac:dyDescent="0.25" r="6224" customHeight="1" ht="18.75">
      <c r="A6224" s="1" t="s">
        <v>3598</v>
      </c>
      <c r="B6224" s="1" t="s">
        <v>16506</v>
      </c>
      <c r="C6224" s="1" t="s">
        <v>3600</v>
      </c>
      <c r="D6224" s="1" t="s">
        <v>8365</v>
      </c>
      <c r="E6224" s="1" t="s">
        <v>3664</v>
      </c>
      <c r="F6224" s="1" t="s">
        <v>21788</v>
      </c>
      <c r="G6224" s="1" t="s">
        <v>16550</v>
      </c>
      <c r="H6224" s="1" t="s">
        <v>3604</v>
      </c>
      <c r="I6224" s="1" t="s">
        <v>21789</v>
      </c>
      <c r="J6224" s="1" t="s">
        <v>3606</v>
      </c>
      <c r="K6224" s="1" t="s">
        <v>21790</v>
      </c>
      <c r="L6224" s="1"/>
      <c r="M6224" s="1"/>
    </row>
    <row x14ac:dyDescent="0.25" r="6225" customHeight="1" ht="18.75">
      <c r="A6225" s="1" t="s">
        <v>3598</v>
      </c>
      <c r="B6225" s="1" t="s">
        <v>16605</v>
      </c>
      <c r="C6225" s="1" t="s">
        <v>3600</v>
      </c>
      <c r="D6225" s="1" t="s">
        <v>8365</v>
      </c>
      <c r="E6225" s="1" t="s">
        <v>3664</v>
      </c>
      <c r="F6225" s="1" t="s">
        <v>21791</v>
      </c>
      <c r="G6225" s="1" t="s">
        <v>16620</v>
      </c>
      <c r="H6225" s="1" t="s">
        <v>3604</v>
      </c>
      <c r="I6225" s="1" t="s">
        <v>21792</v>
      </c>
      <c r="J6225" s="1" t="s">
        <v>3606</v>
      </c>
      <c r="K6225" s="1" t="s">
        <v>21793</v>
      </c>
      <c r="L6225" s="1"/>
      <c r="M6225" s="1"/>
    </row>
    <row x14ac:dyDescent="0.25" r="6226" customHeight="1" ht="18.75">
      <c r="A6226" s="1" t="s">
        <v>3598</v>
      </c>
      <c r="B6226" s="1" t="s">
        <v>21794</v>
      </c>
      <c r="C6226" s="1" t="s">
        <v>3600</v>
      </c>
      <c r="D6226" s="1" t="s">
        <v>8365</v>
      </c>
      <c r="E6226" s="1" t="s">
        <v>3664</v>
      </c>
      <c r="F6226" s="1" t="s">
        <v>21795</v>
      </c>
      <c r="G6226" s="1" t="s">
        <v>21796</v>
      </c>
      <c r="H6226" s="1" t="s">
        <v>3604</v>
      </c>
      <c r="I6226" s="1" t="s">
        <v>21797</v>
      </c>
      <c r="J6226" s="1" t="s">
        <v>3606</v>
      </c>
      <c r="K6226" s="1" t="s">
        <v>21798</v>
      </c>
      <c r="L6226" s="1"/>
      <c r="M6226" s="1"/>
    </row>
    <row x14ac:dyDescent="0.25" r="6227" customHeight="1" ht="18.75">
      <c r="A6227" s="1" t="s">
        <v>3598</v>
      </c>
      <c r="B6227" s="1" t="s">
        <v>16715</v>
      </c>
      <c r="C6227" s="1" t="s">
        <v>3600</v>
      </c>
      <c r="D6227" s="1" t="s">
        <v>8365</v>
      </c>
      <c r="E6227" s="1" t="s">
        <v>3893</v>
      </c>
      <c r="F6227" s="1" t="s">
        <v>21799</v>
      </c>
      <c r="G6227" s="1" t="s">
        <v>16717</v>
      </c>
      <c r="H6227" s="1" t="s">
        <v>3604</v>
      </c>
      <c r="I6227" s="1" t="s">
        <v>21800</v>
      </c>
      <c r="J6227" s="1" t="s">
        <v>3606</v>
      </c>
      <c r="K6227" s="1" t="s">
        <v>21801</v>
      </c>
      <c r="L6227" s="1"/>
      <c r="M6227" s="1"/>
    </row>
    <row x14ac:dyDescent="0.25" r="6228" customHeight="1" ht="18.75">
      <c r="A6228" s="1" t="s">
        <v>3598</v>
      </c>
      <c r="B6228" s="1" t="s">
        <v>16738</v>
      </c>
      <c r="C6228" s="1" t="s">
        <v>3600</v>
      </c>
      <c r="D6228" s="1" t="s">
        <v>8365</v>
      </c>
      <c r="E6228" s="1" t="s">
        <v>3893</v>
      </c>
      <c r="F6228" s="1" t="s">
        <v>21802</v>
      </c>
      <c r="G6228" s="1" t="s">
        <v>16740</v>
      </c>
      <c r="H6228" s="1" t="s">
        <v>3604</v>
      </c>
      <c r="I6228" s="1" t="s">
        <v>21803</v>
      </c>
      <c r="J6228" s="1" t="s">
        <v>3606</v>
      </c>
      <c r="K6228" s="1" t="s">
        <v>21804</v>
      </c>
      <c r="L6228" s="1"/>
      <c r="M6228" s="1"/>
    </row>
    <row x14ac:dyDescent="0.25" r="6229" customHeight="1" ht="18.75">
      <c r="A6229" s="1" t="s">
        <v>3598</v>
      </c>
      <c r="B6229" s="1" t="s">
        <v>16526</v>
      </c>
      <c r="C6229" s="1" t="s">
        <v>3600</v>
      </c>
      <c r="D6229" s="1" t="s">
        <v>8365</v>
      </c>
      <c r="E6229" s="1" t="s">
        <v>3664</v>
      </c>
      <c r="F6229" s="1" t="s">
        <v>21805</v>
      </c>
      <c r="G6229" s="1" t="s">
        <v>16528</v>
      </c>
      <c r="H6229" s="1" t="s">
        <v>3604</v>
      </c>
      <c r="I6229" s="1" t="s">
        <v>21806</v>
      </c>
      <c r="J6229" s="1" t="s">
        <v>3606</v>
      </c>
      <c r="K6229" s="1" t="s">
        <v>21807</v>
      </c>
      <c r="L6229" s="1"/>
      <c r="M6229" s="1"/>
    </row>
    <row x14ac:dyDescent="0.25" r="6230" customHeight="1" ht="18.75">
      <c r="A6230" s="1" t="s">
        <v>3598</v>
      </c>
      <c r="B6230" s="1" t="s">
        <v>16506</v>
      </c>
      <c r="C6230" s="1" t="s">
        <v>3600</v>
      </c>
      <c r="D6230" s="1" t="s">
        <v>8365</v>
      </c>
      <c r="E6230" s="1" t="s">
        <v>3664</v>
      </c>
      <c r="F6230" s="1" t="s">
        <v>21808</v>
      </c>
      <c r="G6230" s="1" t="s">
        <v>16508</v>
      </c>
      <c r="H6230" s="1" t="s">
        <v>3604</v>
      </c>
      <c r="I6230" s="1" t="s">
        <v>21809</v>
      </c>
      <c r="J6230" s="1" t="s">
        <v>3606</v>
      </c>
      <c r="K6230" s="1" t="s">
        <v>21810</v>
      </c>
      <c r="L6230" s="1"/>
      <c r="M6230" s="1"/>
    </row>
    <row x14ac:dyDescent="0.25" r="6231" customHeight="1" ht="18.75">
      <c r="A6231" s="1" t="s">
        <v>3598</v>
      </c>
      <c r="B6231" s="1" t="s">
        <v>16506</v>
      </c>
      <c r="C6231" s="1" t="s">
        <v>3600</v>
      </c>
      <c r="D6231" s="1" t="s">
        <v>8365</v>
      </c>
      <c r="E6231" s="1" t="s">
        <v>3664</v>
      </c>
      <c r="F6231" s="1" t="s">
        <v>21811</v>
      </c>
      <c r="G6231" s="1" t="s">
        <v>16550</v>
      </c>
      <c r="H6231" s="1" t="s">
        <v>3604</v>
      </c>
      <c r="I6231" s="1" t="s">
        <v>21812</v>
      </c>
      <c r="J6231" s="1" t="s">
        <v>3606</v>
      </c>
      <c r="K6231" s="1" t="s">
        <v>21813</v>
      </c>
      <c r="L6231" s="1"/>
      <c r="M6231" s="1"/>
    </row>
    <row x14ac:dyDescent="0.25" r="6232" customHeight="1" ht="18.75">
      <c r="A6232" s="1" t="s">
        <v>3598</v>
      </c>
      <c r="B6232" s="1" t="s">
        <v>8593</v>
      </c>
      <c r="C6232" s="1" t="s">
        <v>3600</v>
      </c>
      <c r="D6232" s="1" t="s">
        <v>8365</v>
      </c>
      <c r="E6232" s="1" t="s">
        <v>3893</v>
      </c>
      <c r="F6232" s="1" t="s">
        <v>21814</v>
      </c>
      <c r="G6232" s="1" t="s">
        <v>6169</v>
      </c>
      <c r="H6232" s="1" t="s">
        <v>3604</v>
      </c>
      <c r="I6232" s="1" t="s">
        <v>21815</v>
      </c>
      <c r="J6232" s="1" t="s">
        <v>3606</v>
      </c>
      <c r="K6232" s="1" t="s">
        <v>21816</v>
      </c>
      <c r="L6232" s="1"/>
      <c r="M6232" s="1"/>
    </row>
    <row x14ac:dyDescent="0.25" r="6233" customHeight="1" ht="18.75">
      <c r="A6233" s="1" t="s">
        <v>3598</v>
      </c>
      <c r="B6233" s="1" t="s">
        <v>16715</v>
      </c>
      <c r="C6233" s="1" t="s">
        <v>3600</v>
      </c>
      <c r="D6233" s="1" t="s">
        <v>8365</v>
      </c>
      <c r="E6233" s="1" t="s">
        <v>3893</v>
      </c>
      <c r="F6233" s="1" t="s">
        <v>21817</v>
      </c>
      <c r="G6233" s="1" t="s">
        <v>16717</v>
      </c>
      <c r="H6233" s="1" t="s">
        <v>3604</v>
      </c>
      <c r="I6233" s="1" t="s">
        <v>21818</v>
      </c>
      <c r="J6233" s="1" t="s">
        <v>3606</v>
      </c>
      <c r="K6233" s="1" t="s">
        <v>21819</v>
      </c>
      <c r="L6233" s="1"/>
      <c r="M6233" s="1"/>
    </row>
    <row x14ac:dyDescent="0.25" r="6234" customHeight="1" ht="18.75">
      <c r="A6234" s="1" t="s">
        <v>3598</v>
      </c>
      <c r="B6234" s="1" t="s">
        <v>16738</v>
      </c>
      <c r="C6234" s="1" t="s">
        <v>3600</v>
      </c>
      <c r="D6234" s="1" t="s">
        <v>8365</v>
      </c>
      <c r="E6234" s="1" t="s">
        <v>3893</v>
      </c>
      <c r="F6234" s="1" t="s">
        <v>21820</v>
      </c>
      <c r="G6234" s="1" t="s">
        <v>16740</v>
      </c>
      <c r="H6234" s="1" t="s">
        <v>3604</v>
      </c>
      <c r="I6234" s="1" t="s">
        <v>21821</v>
      </c>
      <c r="J6234" s="1" t="s">
        <v>3606</v>
      </c>
      <c r="K6234" s="1" t="s">
        <v>21822</v>
      </c>
      <c r="L6234" s="1"/>
      <c r="M6234" s="1"/>
    </row>
    <row x14ac:dyDescent="0.25" r="6235" customHeight="1" ht="18.75">
      <c r="A6235" s="1" t="s">
        <v>3598</v>
      </c>
      <c r="B6235" s="1" t="s">
        <v>21823</v>
      </c>
      <c r="C6235" s="1" t="s">
        <v>3600</v>
      </c>
      <c r="D6235" s="1" t="s">
        <v>8365</v>
      </c>
      <c r="E6235" s="1" t="s">
        <v>3664</v>
      </c>
      <c r="F6235" s="1" t="s">
        <v>21824</v>
      </c>
      <c r="G6235" s="1" t="s">
        <v>21825</v>
      </c>
      <c r="H6235" s="1" t="s">
        <v>3604</v>
      </c>
      <c r="I6235" s="1" t="s">
        <v>21826</v>
      </c>
      <c r="J6235" s="1" t="s">
        <v>3606</v>
      </c>
      <c r="K6235" s="1" t="s">
        <v>21827</v>
      </c>
      <c r="L6235" s="1"/>
      <c r="M6235" s="1"/>
    </row>
    <row x14ac:dyDescent="0.25" r="6236" customHeight="1" ht="18.75">
      <c r="A6236" s="1" t="s">
        <v>3598</v>
      </c>
      <c r="B6236" s="1" t="s">
        <v>16586</v>
      </c>
      <c r="C6236" s="1" t="s">
        <v>3600</v>
      </c>
      <c r="D6236" s="1" t="s">
        <v>8365</v>
      </c>
      <c r="E6236" s="1" t="s">
        <v>3664</v>
      </c>
      <c r="F6236" s="1" t="s">
        <v>21828</v>
      </c>
      <c r="G6236" s="1" t="s">
        <v>16588</v>
      </c>
      <c r="H6236" s="1" t="s">
        <v>3604</v>
      </c>
      <c r="I6236" s="1" t="s">
        <v>21829</v>
      </c>
      <c r="J6236" s="1" t="s">
        <v>3606</v>
      </c>
      <c r="K6236" s="1" t="s">
        <v>21830</v>
      </c>
      <c r="L6236" s="1"/>
      <c r="M6236" s="1"/>
    </row>
    <row x14ac:dyDescent="0.25" r="6237" customHeight="1" ht="18.75">
      <c r="A6237" s="1" t="s">
        <v>3598</v>
      </c>
      <c r="B6237" s="1" t="s">
        <v>16586</v>
      </c>
      <c r="C6237" s="1" t="s">
        <v>3600</v>
      </c>
      <c r="D6237" s="1" t="s">
        <v>8365</v>
      </c>
      <c r="E6237" s="1" t="s">
        <v>3664</v>
      </c>
      <c r="F6237" s="1" t="s">
        <v>21831</v>
      </c>
      <c r="G6237" s="1" t="s">
        <v>16595</v>
      </c>
      <c r="H6237" s="1" t="s">
        <v>3604</v>
      </c>
      <c r="I6237" s="1" t="s">
        <v>21832</v>
      </c>
      <c r="J6237" s="1" t="s">
        <v>3606</v>
      </c>
      <c r="K6237" s="1" t="s">
        <v>21833</v>
      </c>
      <c r="L6237" s="1"/>
      <c r="M6237" s="1"/>
    </row>
    <row x14ac:dyDescent="0.25" r="6238" customHeight="1" ht="18.75">
      <c r="A6238" s="1" t="s">
        <v>3598</v>
      </c>
      <c r="B6238" s="1" t="s">
        <v>16586</v>
      </c>
      <c r="C6238" s="1" t="s">
        <v>3600</v>
      </c>
      <c r="D6238" s="1" t="s">
        <v>8365</v>
      </c>
      <c r="E6238" s="1" t="s">
        <v>3664</v>
      </c>
      <c r="F6238" s="1" t="s">
        <v>21834</v>
      </c>
      <c r="G6238" s="1" t="s">
        <v>16602</v>
      </c>
      <c r="H6238" s="1" t="s">
        <v>3604</v>
      </c>
      <c r="I6238" s="1" t="s">
        <v>21835</v>
      </c>
      <c r="J6238" s="1" t="s">
        <v>3606</v>
      </c>
      <c r="K6238" s="1" t="s">
        <v>21836</v>
      </c>
      <c r="L6238" s="1"/>
      <c r="M6238" s="1"/>
    </row>
    <row x14ac:dyDescent="0.25" r="6239" customHeight="1" ht="18.75">
      <c r="A6239" s="1" t="s">
        <v>3598</v>
      </c>
      <c r="B6239" s="1" t="s">
        <v>21837</v>
      </c>
      <c r="C6239" s="1" t="s">
        <v>3600</v>
      </c>
      <c r="D6239" s="1" t="s">
        <v>8365</v>
      </c>
      <c r="E6239" s="1" t="s">
        <v>3664</v>
      </c>
      <c r="F6239" s="1" t="s">
        <v>21838</v>
      </c>
      <c r="G6239" s="1" t="s">
        <v>21839</v>
      </c>
      <c r="H6239" s="1" t="s">
        <v>3604</v>
      </c>
      <c r="I6239" s="1" t="s">
        <v>21840</v>
      </c>
      <c r="J6239" s="1" t="s">
        <v>3606</v>
      </c>
      <c r="K6239" s="1" t="s">
        <v>21841</v>
      </c>
      <c r="L6239" s="1"/>
      <c r="M6239" s="1"/>
    </row>
    <row x14ac:dyDescent="0.25" r="6240" customHeight="1" ht="18.75">
      <c r="A6240" s="1" t="s">
        <v>3598</v>
      </c>
      <c r="B6240" s="1" t="s">
        <v>16494</v>
      </c>
      <c r="C6240" s="1" t="s">
        <v>3600</v>
      </c>
      <c r="D6240" s="1" t="s">
        <v>8365</v>
      </c>
      <c r="E6240" s="1" t="s">
        <v>3893</v>
      </c>
      <c r="F6240" s="1" t="s">
        <v>21842</v>
      </c>
      <c r="G6240" s="1" t="s">
        <v>16496</v>
      </c>
      <c r="H6240" s="1" t="s">
        <v>3604</v>
      </c>
      <c r="I6240" s="1" t="s">
        <v>21843</v>
      </c>
      <c r="J6240" s="1" t="s">
        <v>3606</v>
      </c>
      <c r="K6240" s="1" t="s">
        <v>21844</v>
      </c>
      <c r="L6240" s="1"/>
      <c r="M6240" s="1"/>
    </row>
    <row x14ac:dyDescent="0.25" r="6241" customHeight="1" ht="18.75">
      <c r="A6241" s="1" t="s">
        <v>3598</v>
      </c>
      <c r="B6241" s="1" t="s">
        <v>21845</v>
      </c>
      <c r="C6241" s="1" t="s">
        <v>3600</v>
      </c>
      <c r="D6241" s="1" t="s">
        <v>8365</v>
      </c>
      <c r="E6241" s="1" t="s">
        <v>3664</v>
      </c>
      <c r="F6241" s="1" t="s">
        <v>21846</v>
      </c>
      <c r="G6241" s="1" t="s">
        <v>21847</v>
      </c>
      <c r="H6241" s="1" t="s">
        <v>3604</v>
      </c>
      <c r="I6241" s="1" t="s">
        <v>21848</v>
      </c>
      <c r="J6241" s="1" t="s">
        <v>3606</v>
      </c>
      <c r="K6241" s="1" t="s">
        <v>21849</v>
      </c>
      <c r="L6241" s="1"/>
      <c r="M6241" s="1"/>
    </row>
    <row x14ac:dyDescent="0.25" r="6242" customHeight="1" ht="18.75">
      <c r="A6242" s="1" t="s">
        <v>3598</v>
      </c>
      <c r="B6242" s="1" t="s">
        <v>21850</v>
      </c>
      <c r="C6242" s="1" t="s">
        <v>3600</v>
      </c>
      <c r="D6242" s="1" t="s">
        <v>8365</v>
      </c>
      <c r="E6242" s="1" t="s">
        <v>3664</v>
      </c>
      <c r="F6242" s="1" t="s">
        <v>21851</v>
      </c>
      <c r="G6242" s="1" t="s">
        <v>21244</v>
      </c>
      <c r="H6242" s="1" t="s">
        <v>3604</v>
      </c>
      <c r="I6242" s="1" t="s">
        <v>21852</v>
      </c>
      <c r="J6242" s="1" t="s">
        <v>3606</v>
      </c>
      <c r="K6242" s="1" t="s">
        <v>21853</v>
      </c>
      <c r="L6242" s="1"/>
      <c r="M6242" s="1"/>
    </row>
    <row x14ac:dyDescent="0.25" r="6243" customHeight="1" ht="18.75">
      <c r="A6243" s="1" t="s">
        <v>3598</v>
      </c>
      <c r="B6243" s="1" t="s">
        <v>21854</v>
      </c>
      <c r="C6243" s="1" t="s">
        <v>3600</v>
      </c>
      <c r="D6243" s="1" t="s">
        <v>8365</v>
      </c>
      <c r="E6243" s="1" t="s">
        <v>3664</v>
      </c>
      <c r="F6243" s="1" t="s">
        <v>21855</v>
      </c>
      <c r="G6243" s="1" t="s">
        <v>21279</v>
      </c>
      <c r="H6243" s="1" t="s">
        <v>3604</v>
      </c>
      <c r="I6243" s="1" t="s">
        <v>21856</v>
      </c>
      <c r="J6243" s="1" t="s">
        <v>3606</v>
      </c>
      <c r="K6243" s="1" t="s">
        <v>21857</v>
      </c>
      <c r="L6243" s="1"/>
      <c r="M6243" s="1"/>
    </row>
    <row x14ac:dyDescent="0.25" r="6244" customHeight="1" ht="18.75">
      <c r="A6244" s="1" t="s">
        <v>3598</v>
      </c>
      <c r="B6244" s="1" t="s">
        <v>16614</v>
      </c>
      <c r="C6244" s="1" t="s">
        <v>3600</v>
      </c>
      <c r="D6244" s="1" t="s">
        <v>8365</v>
      </c>
      <c r="E6244" s="1" t="s">
        <v>3664</v>
      </c>
      <c r="F6244" s="1" t="s">
        <v>21858</v>
      </c>
      <c r="G6244" s="1" t="s">
        <v>16616</v>
      </c>
      <c r="H6244" s="1" t="s">
        <v>3604</v>
      </c>
      <c r="I6244" s="1" t="s">
        <v>21859</v>
      </c>
      <c r="J6244" s="1" t="s">
        <v>3606</v>
      </c>
      <c r="K6244" s="1" t="s">
        <v>21860</v>
      </c>
      <c r="L6244" s="1"/>
      <c r="M6244" s="1"/>
    </row>
    <row x14ac:dyDescent="0.25" r="6245" customHeight="1" ht="18.75">
      <c r="A6245" s="1" t="s">
        <v>3598</v>
      </c>
      <c r="B6245" s="1" t="s">
        <v>16614</v>
      </c>
      <c r="C6245" s="1" t="s">
        <v>3600</v>
      </c>
      <c r="D6245" s="1" t="s">
        <v>8365</v>
      </c>
      <c r="E6245" s="1" t="s">
        <v>3664</v>
      </c>
      <c r="F6245" s="1" t="s">
        <v>21861</v>
      </c>
      <c r="G6245" s="1" t="s">
        <v>16637</v>
      </c>
      <c r="H6245" s="1" t="s">
        <v>3604</v>
      </c>
      <c r="I6245" s="1" t="s">
        <v>21862</v>
      </c>
      <c r="J6245" s="1" t="s">
        <v>3606</v>
      </c>
      <c r="K6245" s="1" t="s">
        <v>21863</v>
      </c>
      <c r="L6245" s="1"/>
      <c r="M6245" s="1"/>
    </row>
    <row x14ac:dyDescent="0.25" r="6246" customHeight="1" ht="18.75">
      <c r="A6246" s="1" t="s">
        <v>3598</v>
      </c>
      <c r="B6246" s="1" t="s">
        <v>21864</v>
      </c>
      <c r="C6246" s="1" t="s">
        <v>3600</v>
      </c>
      <c r="D6246" s="1" t="s">
        <v>8365</v>
      </c>
      <c r="E6246" s="1" t="s">
        <v>3664</v>
      </c>
      <c r="F6246" s="1" t="s">
        <v>21865</v>
      </c>
      <c r="G6246" s="1" t="s">
        <v>21866</v>
      </c>
      <c r="H6246" s="1" t="s">
        <v>3604</v>
      </c>
      <c r="I6246" s="1" t="s">
        <v>21867</v>
      </c>
      <c r="J6246" s="1" t="s">
        <v>3606</v>
      </c>
      <c r="K6246" s="1" t="s">
        <v>21868</v>
      </c>
      <c r="L6246" s="1"/>
      <c r="M6246" s="1"/>
    </row>
    <row x14ac:dyDescent="0.25" r="6247" customHeight="1" ht="18.75">
      <c r="A6247" s="1" t="s">
        <v>3598</v>
      </c>
      <c r="B6247" s="1" t="s">
        <v>21869</v>
      </c>
      <c r="C6247" s="1" t="s">
        <v>3600</v>
      </c>
      <c r="D6247" s="1" t="s">
        <v>8365</v>
      </c>
      <c r="E6247" s="1" t="s">
        <v>3664</v>
      </c>
      <c r="F6247" s="1" t="s">
        <v>21870</v>
      </c>
      <c r="G6247" s="1" t="s">
        <v>18256</v>
      </c>
      <c r="H6247" s="1" t="s">
        <v>3604</v>
      </c>
      <c r="I6247" s="1" t="s">
        <v>21871</v>
      </c>
      <c r="J6247" s="1" t="s">
        <v>3606</v>
      </c>
      <c r="K6247" s="1" t="s">
        <v>21872</v>
      </c>
      <c r="L6247" s="1"/>
      <c r="M6247" s="1"/>
    </row>
    <row x14ac:dyDescent="0.25" r="6248" customHeight="1" ht="18.75">
      <c r="A6248" s="1" t="s">
        <v>3598</v>
      </c>
      <c r="B6248" s="1" t="s">
        <v>8641</v>
      </c>
      <c r="C6248" s="1" t="s">
        <v>3600</v>
      </c>
      <c r="D6248" s="1" t="s">
        <v>8365</v>
      </c>
      <c r="E6248" s="1" t="s">
        <v>3893</v>
      </c>
      <c r="F6248" s="1" t="s">
        <v>21873</v>
      </c>
      <c r="G6248" s="1" t="s">
        <v>8643</v>
      </c>
      <c r="H6248" s="1" t="s">
        <v>3604</v>
      </c>
      <c r="I6248" s="1" t="s">
        <v>21874</v>
      </c>
      <c r="J6248" s="1" t="s">
        <v>3606</v>
      </c>
      <c r="K6248" s="1" t="s">
        <v>21875</v>
      </c>
      <c r="L6248" s="1"/>
      <c r="M6248" s="1"/>
    </row>
    <row x14ac:dyDescent="0.25" r="6249" customHeight="1" ht="18.75">
      <c r="A6249" s="1" t="s">
        <v>3598</v>
      </c>
      <c r="B6249" s="1" t="s">
        <v>21876</v>
      </c>
      <c r="C6249" s="1" t="s">
        <v>3600</v>
      </c>
      <c r="D6249" s="1" t="s">
        <v>8365</v>
      </c>
      <c r="E6249" s="1" t="s">
        <v>3664</v>
      </c>
      <c r="F6249" s="1" t="s">
        <v>21877</v>
      </c>
      <c r="G6249" s="1" t="s">
        <v>21134</v>
      </c>
      <c r="H6249" s="1" t="s">
        <v>3604</v>
      </c>
      <c r="I6249" s="1" t="s">
        <v>21878</v>
      </c>
      <c r="J6249" s="1" t="s">
        <v>3606</v>
      </c>
      <c r="K6249" s="1" t="s">
        <v>21879</v>
      </c>
      <c r="L6249" s="1"/>
      <c r="M6249" s="1"/>
    </row>
    <row x14ac:dyDescent="0.25" r="6250" customHeight="1" ht="18.75">
      <c r="A6250" s="1" t="s">
        <v>3598</v>
      </c>
      <c r="B6250" s="1" t="s">
        <v>8656</v>
      </c>
      <c r="C6250" s="1" t="s">
        <v>3600</v>
      </c>
      <c r="D6250" s="1" t="s">
        <v>8365</v>
      </c>
      <c r="E6250" s="1" t="s">
        <v>3664</v>
      </c>
      <c r="F6250" s="1" t="s">
        <v>21880</v>
      </c>
      <c r="G6250" s="1" t="s">
        <v>8658</v>
      </c>
      <c r="H6250" s="1" t="s">
        <v>3604</v>
      </c>
      <c r="I6250" s="1" t="s">
        <v>21881</v>
      </c>
      <c r="J6250" s="1" t="s">
        <v>3606</v>
      </c>
      <c r="K6250" s="1" t="s">
        <v>21882</v>
      </c>
      <c r="L6250" s="1"/>
      <c r="M6250" s="1"/>
    </row>
    <row x14ac:dyDescent="0.25" r="6251" customHeight="1" ht="18.75">
      <c r="A6251" s="1" t="s">
        <v>3598</v>
      </c>
      <c r="B6251" s="1" t="s">
        <v>21883</v>
      </c>
      <c r="C6251" s="1" t="s">
        <v>3600</v>
      </c>
      <c r="D6251" s="1" t="s">
        <v>8365</v>
      </c>
      <c r="E6251" s="1" t="s">
        <v>3893</v>
      </c>
      <c r="F6251" s="1" t="s">
        <v>21884</v>
      </c>
      <c r="G6251" s="1" t="s">
        <v>10315</v>
      </c>
      <c r="H6251" s="1" t="s">
        <v>3604</v>
      </c>
      <c r="I6251" s="1" t="s">
        <v>21885</v>
      </c>
      <c r="J6251" s="1" t="s">
        <v>3606</v>
      </c>
      <c r="K6251" s="1" t="s">
        <v>21886</v>
      </c>
      <c r="L6251" s="1"/>
      <c r="M6251" s="1"/>
    </row>
    <row x14ac:dyDescent="0.25" r="6252" customHeight="1" ht="18.75">
      <c r="A6252" s="1" t="s">
        <v>3598</v>
      </c>
      <c r="B6252" s="1" t="s">
        <v>18475</v>
      </c>
      <c r="C6252" s="1" t="s">
        <v>3600</v>
      </c>
      <c r="D6252" s="1" t="s">
        <v>8365</v>
      </c>
      <c r="E6252" s="1" t="s">
        <v>3664</v>
      </c>
      <c r="F6252" s="1" t="s">
        <v>21887</v>
      </c>
      <c r="G6252" s="1" t="s">
        <v>18477</v>
      </c>
      <c r="H6252" s="1" t="s">
        <v>3604</v>
      </c>
      <c r="I6252" s="1" t="s">
        <v>21888</v>
      </c>
      <c r="J6252" s="1" t="s">
        <v>3606</v>
      </c>
      <c r="K6252" s="1" t="s">
        <v>21889</v>
      </c>
      <c r="L6252" s="1"/>
      <c r="M6252" s="1"/>
    </row>
    <row x14ac:dyDescent="0.25" r="6253" customHeight="1" ht="18.75">
      <c r="A6253" s="1" t="s">
        <v>3598</v>
      </c>
      <c r="B6253" s="1" t="s">
        <v>18475</v>
      </c>
      <c r="C6253" s="1" t="s">
        <v>3600</v>
      </c>
      <c r="D6253" s="1" t="s">
        <v>8365</v>
      </c>
      <c r="E6253" s="1" t="s">
        <v>3664</v>
      </c>
      <c r="F6253" s="1" t="s">
        <v>21890</v>
      </c>
      <c r="G6253" s="1" t="s">
        <v>21891</v>
      </c>
      <c r="H6253" s="1" t="s">
        <v>3604</v>
      </c>
      <c r="I6253" s="1" t="s">
        <v>21892</v>
      </c>
      <c r="J6253" s="1" t="s">
        <v>3606</v>
      </c>
      <c r="K6253" s="1" t="s">
        <v>21893</v>
      </c>
      <c r="L6253" s="1"/>
      <c r="M6253" s="1"/>
    </row>
    <row x14ac:dyDescent="0.25" r="6254" customHeight="1" ht="18.75">
      <c r="A6254" s="1" t="s">
        <v>3598</v>
      </c>
      <c r="B6254" s="1" t="s">
        <v>21894</v>
      </c>
      <c r="C6254" s="1" t="s">
        <v>3600</v>
      </c>
      <c r="D6254" s="1" t="s">
        <v>8365</v>
      </c>
      <c r="E6254" s="1" t="s">
        <v>3981</v>
      </c>
      <c r="F6254" s="1" t="s">
        <v>21895</v>
      </c>
      <c r="G6254" s="1" t="s">
        <v>21896</v>
      </c>
      <c r="H6254" s="1" t="s">
        <v>3604</v>
      </c>
      <c r="I6254" s="1" t="s">
        <v>21897</v>
      </c>
      <c r="J6254" s="1" t="s">
        <v>3606</v>
      </c>
      <c r="K6254" s="1" t="s">
        <v>21898</v>
      </c>
      <c r="L6254" s="1"/>
      <c r="M6254" s="1"/>
    </row>
    <row x14ac:dyDescent="0.25" r="6255" customHeight="1" ht="18.75">
      <c r="A6255" s="1" t="s">
        <v>3598</v>
      </c>
      <c r="B6255" s="1" t="s">
        <v>21899</v>
      </c>
      <c r="C6255" s="1" t="s">
        <v>3600</v>
      </c>
      <c r="D6255" s="1" t="s">
        <v>8365</v>
      </c>
      <c r="E6255" s="1" t="s">
        <v>3752</v>
      </c>
      <c r="F6255" s="1" t="s">
        <v>21900</v>
      </c>
      <c r="G6255" s="1" t="s">
        <v>21901</v>
      </c>
      <c r="H6255" s="1" t="s">
        <v>3604</v>
      </c>
      <c r="I6255" s="1" t="s">
        <v>21902</v>
      </c>
      <c r="J6255" s="1" t="s">
        <v>3606</v>
      </c>
      <c r="K6255" s="1" t="s">
        <v>21903</v>
      </c>
      <c r="L6255" s="1"/>
      <c r="M6255" s="1"/>
    </row>
    <row x14ac:dyDescent="0.25" r="6256" customHeight="1" ht="18.75">
      <c r="A6256" s="1" t="s">
        <v>3598</v>
      </c>
      <c r="B6256" s="1" t="s">
        <v>21904</v>
      </c>
      <c r="C6256" s="1" t="s">
        <v>3600</v>
      </c>
      <c r="D6256" s="1" t="s">
        <v>8365</v>
      </c>
      <c r="E6256" s="1" t="s">
        <v>3752</v>
      </c>
      <c r="F6256" s="1" t="s">
        <v>21905</v>
      </c>
      <c r="G6256" s="1" t="s">
        <v>21906</v>
      </c>
      <c r="H6256" s="1" t="s">
        <v>3604</v>
      </c>
      <c r="I6256" s="1" t="s">
        <v>21907</v>
      </c>
      <c r="J6256" s="1" t="s">
        <v>3606</v>
      </c>
      <c r="K6256" s="1" t="s">
        <v>21908</v>
      </c>
      <c r="L6256" s="1"/>
      <c r="M6256" s="1"/>
    </row>
    <row x14ac:dyDescent="0.25" r="6257" customHeight="1" ht="18.75">
      <c r="A6257" s="1" t="s">
        <v>3598</v>
      </c>
      <c r="B6257" s="1" t="s">
        <v>16539</v>
      </c>
      <c r="C6257" s="1" t="s">
        <v>3600</v>
      </c>
      <c r="D6257" s="1" t="s">
        <v>8365</v>
      </c>
      <c r="E6257" s="1" t="s">
        <v>3893</v>
      </c>
      <c r="F6257" s="1" t="s">
        <v>21909</v>
      </c>
      <c r="G6257" s="1" t="s">
        <v>16541</v>
      </c>
      <c r="H6257" s="1" t="s">
        <v>3604</v>
      </c>
      <c r="I6257" s="1" t="s">
        <v>21910</v>
      </c>
      <c r="J6257" s="1" t="s">
        <v>3606</v>
      </c>
      <c r="K6257" s="1" t="s">
        <v>21911</v>
      </c>
      <c r="L6257" s="1"/>
      <c r="M6257" s="1"/>
    </row>
    <row x14ac:dyDescent="0.25" r="6258" customHeight="1" ht="18.75">
      <c r="A6258" s="1" t="s">
        <v>3598</v>
      </c>
      <c r="B6258" s="1" t="s">
        <v>8597</v>
      </c>
      <c r="C6258" s="1" t="s">
        <v>3600</v>
      </c>
      <c r="D6258" s="1" t="s">
        <v>8365</v>
      </c>
      <c r="E6258" s="1" t="s">
        <v>3893</v>
      </c>
      <c r="F6258" s="1" t="s">
        <v>21912</v>
      </c>
      <c r="G6258" s="1" t="s">
        <v>8599</v>
      </c>
      <c r="H6258" s="1" t="s">
        <v>3604</v>
      </c>
      <c r="I6258" s="1" t="s">
        <v>21913</v>
      </c>
      <c r="J6258" s="1" t="s">
        <v>3606</v>
      </c>
      <c r="K6258" s="1" t="s">
        <v>21914</v>
      </c>
      <c r="L6258" s="1"/>
      <c r="M6258" s="1"/>
    </row>
    <row x14ac:dyDescent="0.25" r="6259" customHeight="1" ht="18.75">
      <c r="A6259" s="1" t="s">
        <v>3598</v>
      </c>
      <c r="B6259" s="1" t="s">
        <v>16934</v>
      </c>
      <c r="C6259" s="1" t="s">
        <v>3600</v>
      </c>
      <c r="D6259" s="1" t="s">
        <v>8365</v>
      </c>
      <c r="E6259" s="1" t="s">
        <v>3893</v>
      </c>
      <c r="F6259" s="1" t="s">
        <v>21915</v>
      </c>
      <c r="G6259" s="1" t="s">
        <v>3603</v>
      </c>
      <c r="H6259" s="1" t="s">
        <v>3604</v>
      </c>
      <c r="I6259" s="1" t="s">
        <v>21916</v>
      </c>
      <c r="J6259" s="1" t="s">
        <v>3606</v>
      </c>
      <c r="K6259" s="1" t="s">
        <v>21917</v>
      </c>
      <c r="L6259" s="1"/>
      <c r="M6259" s="1"/>
    </row>
    <row x14ac:dyDescent="0.25" r="6260" customHeight="1" ht="18.75">
      <c r="A6260" s="1" t="s">
        <v>3598</v>
      </c>
      <c r="B6260" s="1" t="s">
        <v>8624</v>
      </c>
      <c r="C6260" s="1" t="s">
        <v>3600</v>
      </c>
      <c r="D6260" s="1" t="s">
        <v>8365</v>
      </c>
      <c r="E6260" s="1" t="s">
        <v>3664</v>
      </c>
      <c r="F6260" s="1" t="s">
        <v>21918</v>
      </c>
      <c r="G6260" s="1" t="s">
        <v>8626</v>
      </c>
      <c r="H6260" s="1" t="s">
        <v>3604</v>
      </c>
      <c r="I6260" s="1" t="s">
        <v>21919</v>
      </c>
      <c r="J6260" s="1" t="s">
        <v>3606</v>
      </c>
      <c r="K6260" s="1" t="s">
        <v>21920</v>
      </c>
      <c r="L6260" s="1"/>
      <c r="M6260" s="1"/>
    </row>
    <row x14ac:dyDescent="0.25" r="6261" customHeight="1" ht="18.75">
      <c r="A6261" s="1" t="s">
        <v>3598</v>
      </c>
      <c r="B6261" s="1" t="s">
        <v>21921</v>
      </c>
      <c r="C6261" s="1" t="s">
        <v>3600</v>
      </c>
      <c r="D6261" s="1" t="s">
        <v>8365</v>
      </c>
      <c r="E6261" s="1" t="s">
        <v>3664</v>
      </c>
      <c r="F6261" s="1" t="s">
        <v>21922</v>
      </c>
      <c r="G6261" s="1" t="s">
        <v>21923</v>
      </c>
      <c r="H6261" s="1" t="s">
        <v>3604</v>
      </c>
      <c r="I6261" s="1" t="s">
        <v>21924</v>
      </c>
      <c r="J6261" s="1" t="s">
        <v>3606</v>
      </c>
      <c r="K6261" s="1" t="s">
        <v>21925</v>
      </c>
      <c r="L6261" s="1"/>
      <c r="M6261" s="1"/>
    </row>
    <row x14ac:dyDescent="0.25" r="6262" customHeight="1" ht="18.75">
      <c r="A6262" s="1" t="s">
        <v>3598</v>
      </c>
      <c r="B6262" s="1" t="s">
        <v>21926</v>
      </c>
      <c r="C6262" s="1" t="s">
        <v>3600</v>
      </c>
      <c r="D6262" s="1" t="s">
        <v>8365</v>
      </c>
      <c r="E6262" s="1" t="s">
        <v>3664</v>
      </c>
      <c r="F6262" s="1" t="s">
        <v>21927</v>
      </c>
      <c r="G6262" s="1" t="s">
        <v>21928</v>
      </c>
      <c r="H6262" s="1" t="s">
        <v>3604</v>
      </c>
      <c r="I6262" s="1" t="s">
        <v>21929</v>
      </c>
      <c r="J6262" s="1" t="s">
        <v>3606</v>
      </c>
      <c r="K6262" s="1" t="s">
        <v>21930</v>
      </c>
      <c r="L6262" s="1"/>
      <c r="M6262" s="1"/>
    </row>
    <row x14ac:dyDescent="0.25" r="6263" customHeight="1" ht="18.75">
      <c r="A6263" s="1" t="s">
        <v>3598</v>
      </c>
      <c r="B6263" s="1" t="s">
        <v>21931</v>
      </c>
      <c r="C6263" s="1" t="s">
        <v>3600</v>
      </c>
      <c r="D6263" s="1" t="s">
        <v>8365</v>
      </c>
      <c r="E6263" s="1" t="s">
        <v>3664</v>
      </c>
      <c r="F6263" s="1" t="s">
        <v>21932</v>
      </c>
      <c r="G6263" s="1" t="s">
        <v>21933</v>
      </c>
      <c r="H6263" s="1" t="s">
        <v>3604</v>
      </c>
      <c r="I6263" s="1" t="s">
        <v>21934</v>
      </c>
      <c r="J6263" s="1" t="s">
        <v>3606</v>
      </c>
      <c r="K6263" s="1" t="s">
        <v>21935</v>
      </c>
      <c r="L6263" s="1"/>
      <c r="M6263" s="1"/>
    </row>
    <row x14ac:dyDescent="0.25" r="6264" customHeight="1" ht="18.75">
      <c r="A6264" s="1" t="s">
        <v>3598</v>
      </c>
      <c r="B6264" s="1" t="s">
        <v>21931</v>
      </c>
      <c r="C6264" s="1" t="s">
        <v>3600</v>
      </c>
      <c r="D6264" s="1" t="s">
        <v>8365</v>
      </c>
      <c r="E6264" s="1" t="s">
        <v>3664</v>
      </c>
      <c r="F6264" s="1" t="s">
        <v>21936</v>
      </c>
      <c r="G6264" s="1" t="s">
        <v>21937</v>
      </c>
      <c r="H6264" s="1" t="s">
        <v>3604</v>
      </c>
      <c r="I6264" s="1" t="s">
        <v>21938</v>
      </c>
      <c r="J6264" s="1" t="s">
        <v>3606</v>
      </c>
      <c r="K6264" s="1" t="s">
        <v>21939</v>
      </c>
      <c r="L6264" s="1"/>
      <c r="M6264" s="1"/>
    </row>
    <row x14ac:dyDescent="0.25" r="6265" customHeight="1" ht="18.75">
      <c r="A6265" s="1" t="s">
        <v>3598</v>
      </c>
      <c r="B6265" s="1" t="s">
        <v>8619</v>
      </c>
      <c r="C6265" s="1" t="s">
        <v>3600</v>
      </c>
      <c r="D6265" s="1" t="s">
        <v>8365</v>
      </c>
      <c r="E6265" s="1" t="s">
        <v>3664</v>
      </c>
      <c r="F6265" s="1" t="s">
        <v>21940</v>
      </c>
      <c r="G6265" s="1" t="s">
        <v>8621</v>
      </c>
      <c r="H6265" s="1" t="s">
        <v>3604</v>
      </c>
      <c r="I6265" s="1" t="s">
        <v>21941</v>
      </c>
      <c r="J6265" s="1" t="s">
        <v>3606</v>
      </c>
      <c r="K6265" s="1" t="s">
        <v>21942</v>
      </c>
      <c r="L6265" s="1"/>
      <c r="M6265" s="1"/>
    </row>
    <row x14ac:dyDescent="0.25" r="6266" customHeight="1" ht="18.75">
      <c r="A6266" s="1" t="s">
        <v>3598</v>
      </c>
      <c r="B6266" s="1" t="s">
        <v>16887</v>
      </c>
      <c r="C6266" s="1" t="s">
        <v>3600</v>
      </c>
      <c r="D6266" s="1" t="s">
        <v>8365</v>
      </c>
      <c r="E6266" s="1" t="s">
        <v>3664</v>
      </c>
      <c r="F6266" s="1" t="s">
        <v>21943</v>
      </c>
      <c r="G6266" s="1" t="s">
        <v>16889</v>
      </c>
      <c r="H6266" s="1" t="s">
        <v>3604</v>
      </c>
      <c r="I6266" s="1" t="s">
        <v>21944</v>
      </c>
      <c r="J6266" s="1" t="s">
        <v>3606</v>
      </c>
      <c r="K6266" s="1" t="s">
        <v>21945</v>
      </c>
      <c r="L6266" s="1"/>
      <c r="M6266" s="1"/>
    </row>
    <row x14ac:dyDescent="0.25" r="6267" customHeight="1" ht="18.75">
      <c r="A6267" s="1" t="s">
        <v>3598</v>
      </c>
      <c r="B6267" s="1" t="s">
        <v>21946</v>
      </c>
      <c r="C6267" s="1" t="s">
        <v>3600</v>
      </c>
      <c r="D6267" s="1" t="s">
        <v>8365</v>
      </c>
      <c r="E6267" s="1" t="s">
        <v>3664</v>
      </c>
      <c r="F6267" s="1" t="s">
        <v>21947</v>
      </c>
      <c r="G6267" s="1" t="s">
        <v>21948</v>
      </c>
      <c r="H6267" s="1" t="s">
        <v>3604</v>
      </c>
      <c r="I6267" s="1" t="s">
        <v>21949</v>
      </c>
      <c r="J6267" s="1" t="s">
        <v>3606</v>
      </c>
      <c r="K6267" s="1" t="s">
        <v>21950</v>
      </c>
      <c r="L6267" s="1"/>
      <c r="M6267" s="1"/>
    </row>
    <row x14ac:dyDescent="0.25" r="6268" customHeight="1" ht="18.75">
      <c r="A6268" s="1" t="s">
        <v>3598</v>
      </c>
      <c r="B6268" s="1" t="s">
        <v>8612</v>
      </c>
      <c r="C6268" s="1" t="s">
        <v>3600</v>
      </c>
      <c r="D6268" s="1" t="s">
        <v>8365</v>
      </c>
      <c r="E6268" s="1" t="s">
        <v>3893</v>
      </c>
      <c r="F6268" s="1" t="s">
        <v>21951</v>
      </c>
      <c r="G6268" s="1" t="s">
        <v>8614</v>
      </c>
      <c r="H6268" s="1" t="s">
        <v>3604</v>
      </c>
      <c r="I6268" s="1" t="s">
        <v>21952</v>
      </c>
      <c r="J6268" s="1" t="s">
        <v>3606</v>
      </c>
      <c r="K6268" s="1" t="s">
        <v>21953</v>
      </c>
      <c r="L6268" s="1"/>
      <c r="M6268" s="1"/>
    </row>
    <row x14ac:dyDescent="0.25" r="6269" customHeight="1" ht="18.75">
      <c r="A6269" s="1" t="s">
        <v>3598</v>
      </c>
      <c r="B6269" s="1" t="s">
        <v>21954</v>
      </c>
      <c r="C6269" s="1" t="s">
        <v>3600</v>
      </c>
      <c r="D6269" s="1" t="s">
        <v>8365</v>
      </c>
      <c r="E6269" s="1" t="s">
        <v>3893</v>
      </c>
      <c r="F6269" s="1" t="s">
        <v>21955</v>
      </c>
      <c r="G6269" s="1" t="s">
        <v>15029</v>
      </c>
      <c r="H6269" s="1" t="s">
        <v>3604</v>
      </c>
      <c r="I6269" s="1" t="s">
        <v>21956</v>
      </c>
      <c r="J6269" s="1" t="s">
        <v>3606</v>
      </c>
      <c r="K6269" s="1" t="s">
        <v>21957</v>
      </c>
      <c r="L6269" s="1"/>
      <c r="M6269" s="1"/>
    </row>
    <row x14ac:dyDescent="0.25" r="6270" customHeight="1" ht="18.75">
      <c r="A6270" s="1" t="s">
        <v>3598</v>
      </c>
      <c r="B6270" s="1" t="s">
        <v>21958</v>
      </c>
      <c r="C6270" s="1" t="s">
        <v>3600</v>
      </c>
      <c r="D6270" s="1" t="s">
        <v>8365</v>
      </c>
      <c r="E6270" s="1" t="s">
        <v>3893</v>
      </c>
      <c r="F6270" s="1" t="s">
        <v>21959</v>
      </c>
      <c r="G6270" s="1" t="s">
        <v>21960</v>
      </c>
      <c r="H6270" s="1" t="s">
        <v>3604</v>
      </c>
      <c r="I6270" s="1" t="s">
        <v>21961</v>
      </c>
      <c r="J6270" s="1" t="s">
        <v>3606</v>
      </c>
      <c r="K6270" s="1" t="s">
        <v>21962</v>
      </c>
      <c r="L6270" s="1"/>
      <c r="M6270" s="1"/>
    </row>
    <row x14ac:dyDescent="0.25" r="6271" customHeight="1" ht="18.75">
      <c r="A6271" s="1" t="s">
        <v>3598</v>
      </c>
      <c r="B6271" s="1" t="s">
        <v>21963</v>
      </c>
      <c r="C6271" s="1" t="s">
        <v>3600</v>
      </c>
      <c r="D6271" s="1" t="s">
        <v>8365</v>
      </c>
      <c r="E6271" s="1" t="s">
        <v>3893</v>
      </c>
      <c r="F6271" s="1" t="s">
        <v>21964</v>
      </c>
      <c r="G6271" s="1" t="s">
        <v>15032</v>
      </c>
      <c r="H6271" s="1" t="s">
        <v>3604</v>
      </c>
      <c r="I6271" s="1" t="s">
        <v>21965</v>
      </c>
      <c r="J6271" s="1" t="s">
        <v>3606</v>
      </c>
      <c r="K6271" s="1" t="s">
        <v>21966</v>
      </c>
      <c r="L6271" s="1"/>
      <c r="M6271" s="1"/>
    </row>
    <row x14ac:dyDescent="0.25" r="6272" customHeight="1" ht="18.75">
      <c r="A6272" s="1" t="s">
        <v>3598</v>
      </c>
      <c r="B6272" s="1" t="s">
        <v>21967</v>
      </c>
      <c r="C6272" s="1" t="s">
        <v>3600</v>
      </c>
      <c r="D6272" s="1" t="s">
        <v>8365</v>
      </c>
      <c r="E6272" s="1" t="s">
        <v>3664</v>
      </c>
      <c r="F6272" s="1" t="s">
        <v>21968</v>
      </c>
      <c r="G6272" s="1" t="s">
        <v>21969</v>
      </c>
      <c r="H6272" s="1" t="s">
        <v>3604</v>
      </c>
      <c r="I6272" s="1" t="s">
        <v>21970</v>
      </c>
      <c r="J6272" s="1" t="s">
        <v>3606</v>
      </c>
      <c r="K6272" s="1" t="s">
        <v>21971</v>
      </c>
      <c r="L6272" s="1"/>
      <c r="M6272" s="1"/>
    </row>
    <row x14ac:dyDescent="0.25" r="6273" customHeight="1" ht="18.75">
      <c r="A6273" s="1" t="s">
        <v>3598</v>
      </c>
      <c r="B6273" s="1" t="s">
        <v>16075</v>
      </c>
      <c r="C6273" s="1" t="s">
        <v>3600</v>
      </c>
      <c r="D6273" s="1" t="s">
        <v>8365</v>
      </c>
      <c r="E6273" s="1" t="s">
        <v>3664</v>
      </c>
      <c r="F6273" s="1" t="s">
        <v>21972</v>
      </c>
      <c r="G6273" s="1" t="s">
        <v>16077</v>
      </c>
      <c r="H6273" s="1" t="s">
        <v>3604</v>
      </c>
      <c r="I6273" s="1" t="s">
        <v>21973</v>
      </c>
      <c r="J6273" s="1" t="s">
        <v>3606</v>
      </c>
      <c r="K6273" s="1" t="s">
        <v>21974</v>
      </c>
      <c r="L6273" s="1"/>
      <c r="M6273" s="1"/>
    </row>
    <row x14ac:dyDescent="0.25" r="6274" customHeight="1" ht="18.75">
      <c r="A6274" s="1" t="s">
        <v>3598</v>
      </c>
      <c r="B6274" s="1" t="s">
        <v>16129</v>
      </c>
      <c r="C6274" s="1" t="s">
        <v>3600</v>
      </c>
      <c r="D6274" s="1" t="s">
        <v>8365</v>
      </c>
      <c r="E6274" s="1" t="s">
        <v>3664</v>
      </c>
      <c r="F6274" s="1" t="s">
        <v>21975</v>
      </c>
      <c r="G6274" s="1" t="s">
        <v>16131</v>
      </c>
      <c r="H6274" s="1" t="s">
        <v>3604</v>
      </c>
      <c r="I6274" s="1" t="s">
        <v>21976</v>
      </c>
      <c r="J6274" s="1" t="s">
        <v>3606</v>
      </c>
      <c r="K6274" s="1" t="s">
        <v>21977</v>
      </c>
      <c r="L6274" s="1"/>
      <c r="M6274" s="1"/>
    </row>
    <row x14ac:dyDescent="0.25" r="6275" customHeight="1" ht="18.75">
      <c r="A6275" s="1" t="s">
        <v>3598</v>
      </c>
      <c r="B6275" s="1" t="s">
        <v>21978</v>
      </c>
      <c r="C6275" s="1" t="s">
        <v>3600</v>
      </c>
      <c r="D6275" s="1" t="s">
        <v>8365</v>
      </c>
      <c r="E6275" s="1" t="s">
        <v>3664</v>
      </c>
      <c r="F6275" s="1" t="s">
        <v>21979</v>
      </c>
      <c r="G6275" s="1" t="s">
        <v>21980</v>
      </c>
      <c r="H6275" s="1" t="s">
        <v>3604</v>
      </c>
      <c r="I6275" s="1" t="s">
        <v>21981</v>
      </c>
      <c r="J6275" s="1" t="s">
        <v>3606</v>
      </c>
      <c r="K6275" s="1" t="s">
        <v>21982</v>
      </c>
      <c r="L6275" s="1"/>
      <c r="M6275" s="1"/>
    </row>
    <row x14ac:dyDescent="0.25" r="6276" customHeight="1" ht="18.75">
      <c r="A6276" s="1" t="s">
        <v>3598</v>
      </c>
      <c r="B6276" s="1" t="s">
        <v>18480</v>
      </c>
      <c r="C6276" s="1" t="s">
        <v>3600</v>
      </c>
      <c r="D6276" s="1" t="s">
        <v>8365</v>
      </c>
      <c r="E6276" s="1" t="s">
        <v>3664</v>
      </c>
      <c r="F6276" s="1" t="s">
        <v>21983</v>
      </c>
      <c r="G6276" s="1" t="s">
        <v>18482</v>
      </c>
      <c r="H6276" s="1" t="s">
        <v>3604</v>
      </c>
      <c r="I6276" s="1" t="s">
        <v>21984</v>
      </c>
      <c r="J6276" s="1" t="s">
        <v>3606</v>
      </c>
      <c r="K6276" s="1" t="s">
        <v>21985</v>
      </c>
      <c r="L6276" s="1"/>
      <c r="M6276" s="1"/>
    </row>
    <row x14ac:dyDescent="0.25" r="6277" customHeight="1" ht="18.75">
      <c r="A6277" s="1" t="s">
        <v>3598</v>
      </c>
      <c r="B6277" s="1" t="s">
        <v>16115</v>
      </c>
      <c r="C6277" s="1" t="s">
        <v>3600</v>
      </c>
      <c r="D6277" s="1" t="s">
        <v>8365</v>
      </c>
      <c r="E6277" s="1" t="s">
        <v>3664</v>
      </c>
      <c r="F6277" s="1" t="s">
        <v>21986</v>
      </c>
      <c r="G6277" s="1" t="s">
        <v>16117</v>
      </c>
      <c r="H6277" s="1" t="s">
        <v>3604</v>
      </c>
      <c r="I6277" s="1" t="s">
        <v>21987</v>
      </c>
      <c r="J6277" s="1" t="s">
        <v>3606</v>
      </c>
      <c r="K6277" s="1" t="s">
        <v>21988</v>
      </c>
      <c r="L6277" s="1"/>
      <c r="M6277" s="1"/>
    </row>
    <row x14ac:dyDescent="0.25" r="6278" customHeight="1" ht="18.75">
      <c r="A6278" s="1" t="s">
        <v>3598</v>
      </c>
      <c r="B6278" s="1" t="s">
        <v>18490</v>
      </c>
      <c r="C6278" s="1" t="s">
        <v>3600</v>
      </c>
      <c r="D6278" s="1" t="s">
        <v>8365</v>
      </c>
      <c r="E6278" s="1" t="s">
        <v>3664</v>
      </c>
      <c r="F6278" s="1" t="s">
        <v>21989</v>
      </c>
      <c r="G6278" s="1" t="s">
        <v>18246</v>
      </c>
      <c r="H6278" s="1" t="s">
        <v>3604</v>
      </c>
      <c r="I6278" s="1" t="s">
        <v>21990</v>
      </c>
      <c r="J6278" s="1" t="s">
        <v>3606</v>
      </c>
      <c r="K6278" s="1" t="s">
        <v>21991</v>
      </c>
      <c r="L6278" s="1"/>
      <c r="M6278" s="1"/>
    </row>
    <row x14ac:dyDescent="0.25" r="6279" customHeight="1" ht="18.75">
      <c r="A6279" s="1" t="s">
        <v>3598</v>
      </c>
      <c r="B6279" s="1" t="s">
        <v>21992</v>
      </c>
      <c r="C6279" s="1" t="s">
        <v>3600</v>
      </c>
      <c r="D6279" s="1" t="s">
        <v>8365</v>
      </c>
      <c r="E6279" s="1" t="s">
        <v>3664</v>
      </c>
      <c r="F6279" s="1" t="s">
        <v>21993</v>
      </c>
      <c r="G6279" s="1" t="s">
        <v>15399</v>
      </c>
      <c r="H6279" s="1" t="s">
        <v>3604</v>
      </c>
      <c r="I6279" s="1" t="s">
        <v>21994</v>
      </c>
      <c r="J6279" s="1" t="s">
        <v>3606</v>
      </c>
      <c r="K6279" s="1" t="s">
        <v>21995</v>
      </c>
      <c r="L6279" s="1"/>
      <c r="M6279" s="1"/>
    </row>
    <row x14ac:dyDescent="0.25" r="6280" customHeight="1" ht="18.75">
      <c r="A6280" s="1" t="s">
        <v>3598</v>
      </c>
      <c r="B6280" s="1" t="s">
        <v>21996</v>
      </c>
      <c r="C6280" s="1" t="s">
        <v>3600</v>
      </c>
      <c r="D6280" s="1" t="s">
        <v>8365</v>
      </c>
      <c r="E6280" s="1" t="s">
        <v>3664</v>
      </c>
      <c r="F6280" s="1" t="s">
        <v>21997</v>
      </c>
      <c r="G6280" s="1" t="s">
        <v>21998</v>
      </c>
      <c r="H6280" s="1" t="s">
        <v>3604</v>
      </c>
      <c r="I6280" s="1" t="s">
        <v>21999</v>
      </c>
      <c r="J6280" s="1" t="s">
        <v>3606</v>
      </c>
      <c r="K6280" s="1" t="s">
        <v>22000</v>
      </c>
      <c r="L6280" s="1"/>
      <c r="M6280" s="1"/>
    </row>
    <row x14ac:dyDescent="0.25" r="6281" customHeight="1" ht="18.75">
      <c r="A6281" s="1" t="s">
        <v>3598</v>
      </c>
      <c r="B6281" s="1" t="s">
        <v>22001</v>
      </c>
      <c r="C6281" s="1" t="s">
        <v>3600</v>
      </c>
      <c r="D6281" s="1" t="s">
        <v>8365</v>
      </c>
      <c r="E6281" s="1" t="s">
        <v>3664</v>
      </c>
      <c r="F6281" s="1" t="s">
        <v>22002</v>
      </c>
      <c r="G6281" s="1" t="s">
        <v>22003</v>
      </c>
      <c r="H6281" s="1" t="s">
        <v>3604</v>
      </c>
      <c r="I6281" s="1" t="s">
        <v>22004</v>
      </c>
      <c r="J6281" s="1" t="s">
        <v>3606</v>
      </c>
      <c r="K6281" s="1" t="s">
        <v>22005</v>
      </c>
      <c r="L6281" s="1"/>
      <c r="M6281" s="1"/>
    </row>
    <row x14ac:dyDescent="0.25" r="6282" customHeight="1" ht="18.75">
      <c r="A6282" s="1" t="s">
        <v>3598</v>
      </c>
      <c r="B6282" s="1" t="s">
        <v>21672</v>
      </c>
      <c r="C6282" s="1" t="s">
        <v>3600</v>
      </c>
      <c r="D6282" s="1" t="s">
        <v>8365</v>
      </c>
      <c r="E6282" s="1" t="s">
        <v>3664</v>
      </c>
      <c r="F6282" s="1" t="s">
        <v>22006</v>
      </c>
      <c r="G6282" s="1" t="s">
        <v>21674</v>
      </c>
      <c r="H6282" s="1" t="s">
        <v>3604</v>
      </c>
      <c r="I6282" s="1" t="s">
        <v>22007</v>
      </c>
      <c r="J6282" s="1" t="s">
        <v>3606</v>
      </c>
      <c r="K6282" s="1" t="s">
        <v>22008</v>
      </c>
      <c r="L6282" s="1"/>
      <c r="M6282" s="1"/>
    </row>
    <row x14ac:dyDescent="0.25" r="6283" customHeight="1" ht="18.75">
      <c r="A6283" s="1" t="s">
        <v>3598</v>
      </c>
      <c r="B6283" s="1" t="s">
        <v>22009</v>
      </c>
      <c r="C6283" s="1" t="s">
        <v>3600</v>
      </c>
      <c r="D6283" s="1" t="s">
        <v>8365</v>
      </c>
      <c r="E6283" s="1" t="s">
        <v>3893</v>
      </c>
      <c r="F6283" s="1" t="s">
        <v>22010</v>
      </c>
      <c r="G6283" s="1" t="s">
        <v>20366</v>
      </c>
      <c r="H6283" s="1" t="s">
        <v>3604</v>
      </c>
      <c r="I6283" s="1" t="s">
        <v>22011</v>
      </c>
      <c r="J6283" s="1" t="s">
        <v>3606</v>
      </c>
      <c r="K6283" s="1" t="s">
        <v>22012</v>
      </c>
      <c r="L6283" s="1"/>
      <c r="M6283" s="1"/>
    </row>
    <row x14ac:dyDescent="0.25" r="6284" customHeight="1" ht="18.75">
      <c r="A6284" s="1" t="s">
        <v>3598</v>
      </c>
      <c r="B6284" s="1" t="s">
        <v>16526</v>
      </c>
      <c r="C6284" s="1" t="s">
        <v>3600</v>
      </c>
      <c r="D6284" s="1" t="s">
        <v>8365</v>
      </c>
      <c r="E6284" s="1" t="s">
        <v>3664</v>
      </c>
      <c r="F6284" s="1" t="s">
        <v>22013</v>
      </c>
      <c r="G6284" s="1" t="s">
        <v>16528</v>
      </c>
      <c r="H6284" s="1" t="s">
        <v>3604</v>
      </c>
      <c r="I6284" s="1" t="s">
        <v>22014</v>
      </c>
      <c r="J6284" s="1" t="s">
        <v>3606</v>
      </c>
      <c r="K6284" s="1" t="s">
        <v>22015</v>
      </c>
      <c r="L6284" s="1"/>
      <c r="M6284" s="1"/>
    </row>
    <row x14ac:dyDescent="0.25" r="6285" customHeight="1" ht="18.75">
      <c r="A6285" s="1" t="s">
        <v>3598</v>
      </c>
      <c r="B6285" s="1" t="s">
        <v>18410</v>
      </c>
      <c r="C6285" s="1" t="s">
        <v>3600</v>
      </c>
      <c r="D6285" s="1" t="s">
        <v>8365</v>
      </c>
      <c r="E6285" s="1" t="s">
        <v>3664</v>
      </c>
      <c r="F6285" s="1" t="s">
        <v>22016</v>
      </c>
      <c r="G6285" s="1" t="s">
        <v>19608</v>
      </c>
      <c r="H6285" s="1" t="s">
        <v>3604</v>
      </c>
      <c r="I6285" s="1" t="s">
        <v>22017</v>
      </c>
      <c r="J6285" s="1" t="s">
        <v>3606</v>
      </c>
      <c r="K6285" s="1" t="s">
        <v>22018</v>
      </c>
      <c r="L6285" s="1"/>
      <c r="M6285" s="1"/>
    </row>
    <row x14ac:dyDescent="0.25" r="6286" customHeight="1" ht="18.75">
      <c r="A6286" s="1" t="s">
        <v>3598</v>
      </c>
      <c r="B6286" s="1" t="s">
        <v>18410</v>
      </c>
      <c r="C6286" s="1" t="s">
        <v>3600</v>
      </c>
      <c r="D6286" s="1" t="s">
        <v>8365</v>
      </c>
      <c r="E6286" s="1" t="s">
        <v>3664</v>
      </c>
      <c r="F6286" s="1" t="s">
        <v>22019</v>
      </c>
      <c r="G6286" s="1" t="s">
        <v>19608</v>
      </c>
      <c r="H6286" s="1" t="s">
        <v>3604</v>
      </c>
      <c r="I6286" s="1" t="s">
        <v>22020</v>
      </c>
      <c r="J6286" s="1" t="s">
        <v>3606</v>
      </c>
      <c r="K6286" s="1" t="s">
        <v>22021</v>
      </c>
      <c r="L6286" s="1"/>
      <c r="M6286" s="1"/>
    </row>
    <row x14ac:dyDescent="0.25" r="6287" customHeight="1" ht="18.75">
      <c r="A6287" s="1" t="s">
        <v>3598</v>
      </c>
      <c r="B6287" s="1" t="s">
        <v>8593</v>
      </c>
      <c r="C6287" s="1" t="s">
        <v>3600</v>
      </c>
      <c r="D6287" s="1" t="s">
        <v>3601</v>
      </c>
      <c r="E6287" s="1" t="s">
        <v>3893</v>
      </c>
      <c r="F6287" s="1" t="s">
        <v>22022</v>
      </c>
      <c r="G6287" s="1" t="s">
        <v>6169</v>
      </c>
      <c r="H6287" s="1" t="s">
        <v>3604</v>
      </c>
      <c r="I6287" s="1" t="s">
        <v>22023</v>
      </c>
      <c r="J6287" s="1" t="s">
        <v>3606</v>
      </c>
      <c r="K6287" s="1" t="s">
        <v>22024</v>
      </c>
      <c r="L6287" s="1"/>
      <c r="M6287" s="1"/>
    </row>
    <row x14ac:dyDescent="0.25" r="6288" customHeight="1" ht="18.75">
      <c r="A6288" s="1" t="s">
        <v>3598</v>
      </c>
      <c r="B6288" s="1" t="s">
        <v>8593</v>
      </c>
      <c r="C6288" s="1" t="s">
        <v>3600</v>
      </c>
      <c r="D6288" s="1" t="s">
        <v>3601</v>
      </c>
      <c r="E6288" s="1" t="s">
        <v>3893</v>
      </c>
      <c r="F6288" s="1" t="s">
        <v>22025</v>
      </c>
      <c r="G6288" s="1" t="s">
        <v>6169</v>
      </c>
      <c r="H6288" s="1" t="s">
        <v>3604</v>
      </c>
      <c r="I6288" s="1" t="s">
        <v>22026</v>
      </c>
      <c r="J6288" s="1" t="s">
        <v>3606</v>
      </c>
      <c r="K6288" s="1" t="s">
        <v>22027</v>
      </c>
      <c r="L6288" s="1"/>
      <c r="M6288" s="1"/>
    </row>
    <row x14ac:dyDescent="0.25" r="6289" customHeight="1" ht="18.75">
      <c r="A6289" s="1" t="s">
        <v>3598</v>
      </c>
      <c r="B6289" s="1" t="s">
        <v>8593</v>
      </c>
      <c r="C6289" s="1" t="s">
        <v>3600</v>
      </c>
      <c r="D6289" s="1" t="s">
        <v>3601</v>
      </c>
      <c r="E6289" s="1" t="s">
        <v>3893</v>
      </c>
      <c r="F6289" s="1" t="s">
        <v>22028</v>
      </c>
      <c r="G6289" s="1" t="s">
        <v>6169</v>
      </c>
      <c r="H6289" s="1" t="s">
        <v>3604</v>
      </c>
      <c r="I6289" s="1" t="s">
        <v>22029</v>
      </c>
      <c r="J6289" s="1" t="s">
        <v>3606</v>
      </c>
      <c r="K6289" s="1" t="s">
        <v>22030</v>
      </c>
      <c r="L6289" s="1"/>
      <c r="M6289" s="1"/>
    </row>
    <row x14ac:dyDescent="0.25" r="6290" customHeight="1" ht="18.75">
      <c r="A6290" s="1" t="s">
        <v>3598</v>
      </c>
      <c r="B6290" s="1" t="s">
        <v>22031</v>
      </c>
      <c r="C6290" s="1" t="s">
        <v>3600</v>
      </c>
      <c r="D6290" s="1" t="s">
        <v>3601</v>
      </c>
      <c r="E6290" s="1" t="s">
        <v>3893</v>
      </c>
      <c r="F6290" s="1" t="s">
        <v>22032</v>
      </c>
      <c r="G6290" s="1" t="s">
        <v>15675</v>
      </c>
      <c r="H6290" s="1" t="s">
        <v>3604</v>
      </c>
      <c r="I6290" s="1" t="s">
        <v>22033</v>
      </c>
      <c r="J6290" s="1" t="s">
        <v>3606</v>
      </c>
      <c r="K6290" s="1" t="s">
        <v>22034</v>
      </c>
      <c r="L6290" s="1"/>
      <c r="M6290" s="1"/>
    </row>
    <row x14ac:dyDescent="0.25" r="6291" customHeight="1" ht="18.75">
      <c r="A6291" s="1" t="s">
        <v>3598</v>
      </c>
      <c r="B6291" s="1" t="s">
        <v>16738</v>
      </c>
      <c r="C6291" s="1" t="s">
        <v>3600</v>
      </c>
      <c r="D6291" s="1" t="s">
        <v>3601</v>
      </c>
      <c r="E6291" s="1" t="s">
        <v>3893</v>
      </c>
      <c r="F6291" s="1" t="s">
        <v>22035</v>
      </c>
      <c r="G6291" s="1" t="s">
        <v>16740</v>
      </c>
      <c r="H6291" s="1" t="s">
        <v>3604</v>
      </c>
      <c r="I6291" s="1" t="s">
        <v>22036</v>
      </c>
      <c r="J6291" s="1" t="s">
        <v>3606</v>
      </c>
      <c r="K6291" s="1" t="s">
        <v>22037</v>
      </c>
      <c r="L6291" s="1"/>
      <c r="M6291" s="1"/>
    </row>
    <row x14ac:dyDescent="0.25" r="6292" customHeight="1" ht="18.75">
      <c r="A6292" s="1" t="s">
        <v>3598</v>
      </c>
      <c r="B6292" s="1" t="s">
        <v>16738</v>
      </c>
      <c r="C6292" s="1" t="s">
        <v>3600</v>
      </c>
      <c r="D6292" s="1" t="s">
        <v>3601</v>
      </c>
      <c r="E6292" s="1" t="s">
        <v>3893</v>
      </c>
      <c r="F6292" s="1" t="s">
        <v>22038</v>
      </c>
      <c r="G6292" s="1" t="s">
        <v>16740</v>
      </c>
      <c r="H6292" s="1" t="s">
        <v>3604</v>
      </c>
      <c r="I6292" s="1" t="s">
        <v>22039</v>
      </c>
      <c r="J6292" s="1" t="s">
        <v>3606</v>
      </c>
      <c r="K6292" s="1" t="s">
        <v>22040</v>
      </c>
      <c r="L6292" s="1"/>
      <c r="M6292" s="1"/>
    </row>
    <row x14ac:dyDescent="0.25" r="6293" customHeight="1" ht="18.75">
      <c r="A6293" s="1" t="s">
        <v>3598</v>
      </c>
      <c r="B6293" s="1" t="s">
        <v>16715</v>
      </c>
      <c r="C6293" s="1" t="s">
        <v>3600</v>
      </c>
      <c r="D6293" s="1" t="s">
        <v>3601</v>
      </c>
      <c r="E6293" s="1" t="s">
        <v>3893</v>
      </c>
      <c r="F6293" s="1" t="s">
        <v>22041</v>
      </c>
      <c r="G6293" s="1" t="s">
        <v>16717</v>
      </c>
      <c r="H6293" s="1" t="s">
        <v>3604</v>
      </c>
      <c r="I6293" s="1" t="s">
        <v>22042</v>
      </c>
      <c r="J6293" s="1" t="s">
        <v>3606</v>
      </c>
      <c r="K6293" s="1" t="s">
        <v>22043</v>
      </c>
      <c r="L6293" s="1"/>
      <c r="M6293" s="1"/>
    </row>
    <row x14ac:dyDescent="0.25" r="6294" customHeight="1" ht="18.75">
      <c r="A6294" s="1" t="s">
        <v>3598</v>
      </c>
      <c r="B6294" s="1" t="s">
        <v>16715</v>
      </c>
      <c r="C6294" s="1" t="s">
        <v>3600</v>
      </c>
      <c r="D6294" s="1" t="s">
        <v>3601</v>
      </c>
      <c r="E6294" s="1" t="s">
        <v>3893</v>
      </c>
      <c r="F6294" s="1" t="s">
        <v>22044</v>
      </c>
      <c r="G6294" s="1" t="s">
        <v>16717</v>
      </c>
      <c r="H6294" s="1" t="s">
        <v>3604</v>
      </c>
      <c r="I6294" s="1" t="s">
        <v>22045</v>
      </c>
      <c r="J6294" s="1" t="s">
        <v>3606</v>
      </c>
      <c r="K6294" s="1" t="s">
        <v>22046</v>
      </c>
      <c r="L6294" s="1"/>
      <c r="M6294" s="1"/>
    </row>
    <row x14ac:dyDescent="0.25" r="6295" customHeight="1" ht="18.75">
      <c r="A6295" s="1" t="s">
        <v>3598</v>
      </c>
      <c r="B6295" s="1" t="s">
        <v>22047</v>
      </c>
      <c r="C6295" s="1" t="s">
        <v>3600</v>
      </c>
      <c r="D6295" s="1" t="s">
        <v>3601</v>
      </c>
      <c r="E6295" s="1" t="s">
        <v>3664</v>
      </c>
      <c r="F6295" s="1" t="s">
        <v>22048</v>
      </c>
      <c r="G6295" s="1" t="s">
        <v>22049</v>
      </c>
      <c r="H6295" s="1" t="s">
        <v>3604</v>
      </c>
      <c r="I6295" s="1" t="s">
        <v>22050</v>
      </c>
      <c r="J6295" s="1" t="s">
        <v>3606</v>
      </c>
      <c r="K6295" s="1" t="s">
        <v>22051</v>
      </c>
      <c r="L6295" s="1"/>
      <c r="M6295" s="1"/>
    </row>
    <row x14ac:dyDescent="0.25" r="6296" customHeight="1" ht="18.75">
      <c r="A6296" s="1" t="s">
        <v>3598</v>
      </c>
      <c r="B6296" s="1" t="s">
        <v>22047</v>
      </c>
      <c r="C6296" s="1" t="s">
        <v>3600</v>
      </c>
      <c r="D6296" s="1" t="s">
        <v>3601</v>
      </c>
      <c r="E6296" s="1" t="s">
        <v>3664</v>
      </c>
      <c r="F6296" s="1" t="s">
        <v>22052</v>
      </c>
      <c r="G6296" s="1" t="s">
        <v>22053</v>
      </c>
      <c r="H6296" s="1" t="s">
        <v>3604</v>
      </c>
      <c r="I6296" s="1" t="s">
        <v>22054</v>
      </c>
      <c r="J6296" s="1" t="s">
        <v>3606</v>
      </c>
      <c r="K6296" s="1" t="s">
        <v>22055</v>
      </c>
      <c r="L6296" s="1"/>
      <c r="M6296" s="1"/>
    </row>
    <row x14ac:dyDescent="0.25" r="6297" customHeight="1" ht="18.75">
      <c r="A6297" s="1" t="s">
        <v>3598</v>
      </c>
      <c r="B6297" s="1" t="s">
        <v>8673</v>
      </c>
      <c r="C6297" s="1" t="s">
        <v>3600</v>
      </c>
      <c r="D6297" s="1" t="s">
        <v>3601</v>
      </c>
      <c r="E6297" s="1" t="s">
        <v>3981</v>
      </c>
      <c r="F6297" s="1" t="s">
        <v>22056</v>
      </c>
      <c r="G6297" s="1" t="s">
        <v>8675</v>
      </c>
      <c r="H6297" s="1" t="s">
        <v>3604</v>
      </c>
      <c r="I6297" s="1" t="s">
        <v>22057</v>
      </c>
      <c r="J6297" s="1" t="s">
        <v>3606</v>
      </c>
      <c r="K6297" s="1" t="s">
        <v>22058</v>
      </c>
      <c r="L6297" s="1"/>
      <c r="M6297" s="1"/>
    </row>
    <row x14ac:dyDescent="0.25" r="6298" customHeight="1" ht="18.75">
      <c r="A6298" s="1" t="s">
        <v>3598</v>
      </c>
      <c r="B6298" s="1" t="s">
        <v>8668</v>
      </c>
      <c r="C6298" s="1" t="s">
        <v>3600</v>
      </c>
      <c r="D6298" s="1" t="s">
        <v>3601</v>
      </c>
      <c r="E6298" s="1" t="s">
        <v>3981</v>
      </c>
      <c r="F6298" s="1" t="s">
        <v>22059</v>
      </c>
      <c r="G6298" s="1" t="s">
        <v>8670</v>
      </c>
      <c r="H6298" s="1" t="s">
        <v>3604</v>
      </c>
      <c r="I6298" s="1" t="s">
        <v>22060</v>
      </c>
      <c r="J6298" s="1" t="s">
        <v>3606</v>
      </c>
      <c r="K6298" s="1" t="s">
        <v>22061</v>
      </c>
      <c r="L6298" s="1"/>
      <c r="M6298" s="1"/>
    </row>
    <row x14ac:dyDescent="0.25" r="6299" customHeight="1" ht="18.75">
      <c r="A6299" s="1" t="s">
        <v>3598</v>
      </c>
      <c r="B6299" s="1" t="s">
        <v>8668</v>
      </c>
      <c r="C6299" s="1" t="s">
        <v>3600</v>
      </c>
      <c r="D6299" s="1" t="s">
        <v>3601</v>
      </c>
      <c r="E6299" s="1" t="s">
        <v>3981</v>
      </c>
      <c r="F6299" s="1" t="s">
        <v>22062</v>
      </c>
      <c r="G6299" s="1" t="s">
        <v>8670</v>
      </c>
      <c r="H6299" s="1" t="s">
        <v>3604</v>
      </c>
      <c r="I6299" s="1" t="s">
        <v>22063</v>
      </c>
      <c r="J6299" s="1" t="s">
        <v>3606</v>
      </c>
      <c r="K6299" s="1" t="s">
        <v>22064</v>
      </c>
      <c r="L6299" s="1"/>
      <c r="M6299" s="1"/>
    </row>
    <row x14ac:dyDescent="0.25" r="6300" customHeight="1" ht="18.75">
      <c r="A6300" s="1" t="s">
        <v>3598</v>
      </c>
      <c r="B6300" s="1" t="s">
        <v>8683</v>
      </c>
      <c r="C6300" s="1" t="s">
        <v>3600</v>
      </c>
      <c r="D6300" s="1" t="s">
        <v>3601</v>
      </c>
      <c r="E6300" s="1" t="s">
        <v>3981</v>
      </c>
      <c r="F6300" s="1" t="s">
        <v>22065</v>
      </c>
      <c r="G6300" s="1" t="s">
        <v>6039</v>
      </c>
      <c r="H6300" s="1" t="s">
        <v>3604</v>
      </c>
      <c r="I6300" s="1" t="s">
        <v>22066</v>
      </c>
      <c r="J6300" s="1" t="s">
        <v>3606</v>
      </c>
      <c r="K6300" s="1" t="s">
        <v>22067</v>
      </c>
      <c r="L6300" s="1"/>
      <c r="M6300" s="1"/>
    </row>
    <row x14ac:dyDescent="0.25" r="6301" customHeight="1" ht="18.75">
      <c r="A6301" s="1" t="s">
        <v>3598</v>
      </c>
      <c r="B6301" s="1" t="s">
        <v>22068</v>
      </c>
      <c r="C6301" s="1" t="s">
        <v>3600</v>
      </c>
      <c r="D6301" s="1" t="s">
        <v>3601</v>
      </c>
      <c r="E6301" s="1" t="s">
        <v>3664</v>
      </c>
      <c r="F6301" s="1" t="s">
        <v>22069</v>
      </c>
      <c r="G6301" s="1" t="s">
        <v>22070</v>
      </c>
      <c r="H6301" s="1" t="s">
        <v>3604</v>
      </c>
      <c r="I6301" s="1" t="s">
        <v>22071</v>
      </c>
      <c r="J6301" s="1" t="s">
        <v>3606</v>
      </c>
      <c r="K6301" s="1" t="s">
        <v>22072</v>
      </c>
      <c r="L6301" s="1"/>
      <c r="M6301" s="1"/>
    </row>
    <row x14ac:dyDescent="0.25" r="6302" customHeight="1" ht="18.75">
      <c r="A6302" s="1" t="s">
        <v>3598</v>
      </c>
      <c r="B6302" s="1" t="s">
        <v>16723</v>
      </c>
      <c r="C6302" s="1" t="s">
        <v>3600</v>
      </c>
      <c r="D6302" s="1" t="s">
        <v>3601</v>
      </c>
      <c r="E6302" s="1" t="s">
        <v>3893</v>
      </c>
      <c r="F6302" s="1" t="s">
        <v>22073</v>
      </c>
      <c r="G6302" s="1" t="s">
        <v>16725</v>
      </c>
      <c r="H6302" s="1" t="s">
        <v>3604</v>
      </c>
      <c r="I6302" s="1" t="s">
        <v>22074</v>
      </c>
      <c r="J6302" s="1" t="s">
        <v>3606</v>
      </c>
      <c r="K6302" s="1" t="s">
        <v>22075</v>
      </c>
      <c r="L6302" s="1"/>
      <c r="M6302" s="1"/>
    </row>
    <row x14ac:dyDescent="0.25" r="6303" customHeight="1" ht="18.75">
      <c r="A6303" s="1" t="s">
        <v>3598</v>
      </c>
      <c r="B6303" s="1" t="s">
        <v>16723</v>
      </c>
      <c r="C6303" s="1" t="s">
        <v>3600</v>
      </c>
      <c r="D6303" s="1" t="s">
        <v>3601</v>
      </c>
      <c r="E6303" s="1" t="s">
        <v>3893</v>
      </c>
      <c r="F6303" s="1" t="s">
        <v>22076</v>
      </c>
      <c r="G6303" s="1" t="s">
        <v>16725</v>
      </c>
      <c r="H6303" s="1" t="s">
        <v>3604</v>
      </c>
      <c r="I6303" s="1" t="s">
        <v>22077</v>
      </c>
      <c r="J6303" s="1" t="s">
        <v>3606</v>
      </c>
      <c r="K6303" s="1" t="s">
        <v>22078</v>
      </c>
      <c r="L6303" s="1"/>
      <c r="M6303" s="1"/>
    </row>
    <row x14ac:dyDescent="0.25" r="6304" customHeight="1" ht="18.75">
      <c r="A6304" s="1" t="s">
        <v>3598</v>
      </c>
      <c r="B6304" s="1" t="s">
        <v>8602</v>
      </c>
      <c r="C6304" s="1" t="s">
        <v>3600</v>
      </c>
      <c r="D6304" s="1" t="s">
        <v>3601</v>
      </c>
      <c r="E6304" s="1" t="s">
        <v>3893</v>
      </c>
      <c r="F6304" s="1" t="s">
        <v>22079</v>
      </c>
      <c r="G6304" s="1" t="s">
        <v>8604</v>
      </c>
      <c r="H6304" s="1" t="s">
        <v>3604</v>
      </c>
      <c r="I6304" s="1" t="s">
        <v>22080</v>
      </c>
      <c r="J6304" s="1" t="s">
        <v>3606</v>
      </c>
      <c r="K6304" s="1" t="s">
        <v>22081</v>
      </c>
      <c r="L6304" s="1"/>
      <c r="M6304" s="1"/>
    </row>
    <row x14ac:dyDescent="0.25" r="6305" customHeight="1" ht="18.75">
      <c r="A6305" s="1" t="s">
        <v>3598</v>
      </c>
      <c r="B6305" s="1" t="s">
        <v>22082</v>
      </c>
      <c r="C6305" s="1" t="s">
        <v>3600</v>
      </c>
      <c r="D6305" s="1" t="s">
        <v>3601</v>
      </c>
      <c r="E6305" s="1" t="s">
        <v>3981</v>
      </c>
      <c r="F6305" s="1" t="s">
        <v>22083</v>
      </c>
      <c r="G6305" s="1" t="s">
        <v>22084</v>
      </c>
      <c r="H6305" s="1" t="s">
        <v>3604</v>
      </c>
      <c r="I6305" s="1" t="s">
        <v>22085</v>
      </c>
      <c r="J6305" s="1" t="s">
        <v>3606</v>
      </c>
      <c r="K6305" s="1" t="s">
        <v>22086</v>
      </c>
      <c r="L6305" s="1"/>
      <c r="M6305" s="1"/>
    </row>
    <row x14ac:dyDescent="0.25" r="6306" customHeight="1" ht="18.75">
      <c r="A6306" s="1" t="s">
        <v>3598</v>
      </c>
      <c r="B6306" s="1" t="s">
        <v>22082</v>
      </c>
      <c r="C6306" s="1" t="s">
        <v>3600</v>
      </c>
      <c r="D6306" s="1" t="s">
        <v>3601</v>
      </c>
      <c r="E6306" s="1" t="s">
        <v>3981</v>
      </c>
      <c r="F6306" s="1" t="s">
        <v>22087</v>
      </c>
      <c r="G6306" s="1" t="s">
        <v>22084</v>
      </c>
      <c r="H6306" s="1" t="s">
        <v>3604</v>
      </c>
      <c r="I6306" s="1" t="s">
        <v>22088</v>
      </c>
      <c r="J6306" s="1" t="s">
        <v>3606</v>
      </c>
      <c r="K6306" s="1" t="s">
        <v>22089</v>
      </c>
      <c r="L6306" s="1"/>
      <c r="M6306" s="1"/>
    </row>
    <row x14ac:dyDescent="0.25" r="6307" customHeight="1" ht="18.75">
      <c r="A6307" s="1" t="s">
        <v>3598</v>
      </c>
      <c r="B6307" s="1" t="s">
        <v>22082</v>
      </c>
      <c r="C6307" s="1" t="s">
        <v>3600</v>
      </c>
      <c r="D6307" s="1" t="s">
        <v>3601</v>
      </c>
      <c r="E6307" s="1" t="s">
        <v>3981</v>
      </c>
      <c r="F6307" s="1" t="s">
        <v>22090</v>
      </c>
      <c r="G6307" s="1" t="s">
        <v>22084</v>
      </c>
      <c r="H6307" s="1" t="s">
        <v>3604</v>
      </c>
      <c r="I6307" s="1" t="s">
        <v>22091</v>
      </c>
      <c r="J6307" s="1" t="s">
        <v>3606</v>
      </c>
      <c r="K6307" s="1" t="s">
        <v>22092</v>
      </c>
      <c r="L6307" s="1"/>
      <c r="M6307" s="1"/>
    </row>
    <row x14ac:dyDescent="0.25" r="6308" customHeight="1" ht="18.75">
      <c r="A6308" s="1" t="s">
        <v>3598</v>
      </c>
      <c r="B6308" s="1" t="s">
        <v>22082</v>
      </c>
      <c r="C6308" s="1" t="s">
        <v>3600</v>
      </c>
      <c r="D6308" s="1" t="s">
        <v>3601</v>
      </c>
      <c r="E6308" s="1" t="s">
        <v>3981</v>
      </c>
      <c r="F6308" s="1" t="s">
        <v>22093</v>
      </c>
      <c r="G6308" s="1" t="s">
        <v>22084</v>
      </c>
      <c r="H6308" s="1" t="s">
        <v>3604</v>
      </c>
      <c r="I6308" s="1" t="s">
        <v>22094</v>
      </c>
      <c r="J6308" s="1" t="s">
        <v>3606</v>
      </c>
      <c r="K6308" s="1" t="s">
        <v>22095</v>
      </c>
      <c r="L6308" s="1"/>
      <c r="M6308" s="1"/>
    </row>
    <row x14ac:dyDescent="0.25" r="6309" customHeight="1" ht="18.75">
      <c r="A6309" s="1" t="s">
        <v>3598</v>
      </c>
      <c r="B6309" s="1" t="s">
        <v>22082</v>
      </c>
      <c r="C6309" s="1" t="s">
        <v>3600</v>
      </c>
      <c r="D6309" s="1" t="s">
        <v>3601</v>
      </c>
      <c r="E6309" s="1" t="s">
        <v>3981</v>
      </c>
      <c r="F6309" s="1" t="s">
        <v>22096</v>
      </c>
      <c r="G6309" s="1" t="s">
        <v>22084</v>
      </c>
      <c r="H6309" s="1" t="s">
        <v>3604</v>
      </c>
      <c r="I6309" s="1" t="s">
        <v>22097</v>
      </c>
      <c r="J6309" s="1" t="s">
        <v>3606</v>
      </c>
      <c r="K6309" s="1" t="s">
        <v>22098</v>
      </c>
      <c r="L6309" s="1"/>
      <c r="M6309" s="1"/>
    </row>
    <row x14ac:dyDescent="0.25" r="6310" customHeight="1" ht="18.75">
      <c r="A6310" s="1" t="s">
        <v>3598</v>
      </c>
      <c r="B6310" s="1" t="s">
        <v>22082</v>
      </c>
      <c r="C6310" s="1" t="s">
        <v>3600</v>
      </c>
      <c r="D6310" s="1" t="s">
        <v>3601</v>
      </c>
      <c r="E6310" s="1" t="s">
        <v>3981</v>
      </c>
      <c r="F6310" s="1" t="s">
        <v>22099</v>
      </c>
      <c r="G6310" s="1" t="s">
        <v>22084</v>
      </c>
      <c r="H6310" s="1" t="s">
        <v>3604</v>
      </c>
      <c r="I6310" s="1" t="s">
        <v>22100</v>
      </c>
      <c r="J6310" s="1" t="s">
        <v>3606</v>
      </c>
      <c r="K6310" s="1" t="s">
        <v>22101</v>
      </c>
      <c r="L6310" s="1"/>
      <c r="M6310" s="1"/>
    </row>
    <row x14ac:dyDescent="0.25" r="6311" customHeight="1" ht="18.75">
      <c r="A6311" s="1" t="s">
        <v>3598</v>
      </c>
      <c r="B6311" s="1" t="s">
        <v>22082</v>
      </c>
      <c r="C6311" s="1" t="s">
        <v>3600</v>
      </c>
      <c r="D6311" s="1" t="s">
        <v>3601</v>
      </c>
      <c r="E6311" s="1" t="s">
        <v>3981</v>
      </c>
      <c r="F6311" s="1" t="s">
        <v>22102</v>
      </c>
      <c r="G6311" s="1" t="s">
        <v>22084</v>
      </c>
      <c r="H6311" s="1" t="s">
        <v>3604</v>
      </c>
      <c r="I6311" s="1" t="s">
        <v>22103</v>
      </c>
      <c r="J6311" s="1" t="s">
        <v>3606</v>
      </c>
      <c r="K6311" s="1" t="s">
        <v>22104</v>
      </c>
      <c r="L6311" s="1"/>
      <c r="M6311" s="1"/>
    </row>
    <row x14ac:dyDescent="0.25" r="6312" customHeight="1" ht="18.75">
      <c r="A6312" s="1" t="s">
        <v>3598</v>
      </c>
      <c r="B6312" s="1" t="s">
        <v>22082</v>
      </c>
      <c r="C6312" s="1" t="s">
        <v>3600</v>
      </c>
      <c r="D6312" s="1" t="s">
        <v>3601</v>
      </c>
      <c r="E6312" s="1" t="s">
        <v>3981</v>
      </c>
      <c r="F6312" s="1" t="s">
        <v>22105</v>
      </c>
      <c r="G6312" s="1" t="s">
        <v>22084</v>
      </c>
      <c r="H6312" s="1" t="s">
        <v>3604</v>
      </c>
      <c r="I6312" s="1" t="s">
        <v>22106</v>
      </c>
      <c r="J6312" s="1" t="s">
        <v>3606</v>
      </c>
      <c r="K6312" s="1" t="s">
        <v>22107</v>
      </c>
      <c r="L6312" s="1"/>
      <c r="M6312" s="1"/>
    </row>
    <row x14ac:dyDescent="0.25" r="6313" customHeight="1" ht="18.75">
      <c r="A6313" s="1" t="s">
        <v>3598</v>
      </c>
      <c r="B6313" s="1" t="s">
        <v>22082</v>
      </c>
      <c r="C6313" s="1" t="s">
        <v>3600</v>
      </c>
      <c r="D6313" s="1" t="s">
        <v>3601</v>
      </c>
      <c r="E6313" s="1" t="s">
        <v>3981</v>
      </c>
      <c r="F6313" s="1" t="s">
        <v>22108</v>
      </c>
      <c r="G6313" s="1" t="s">
        <v>22084</v>
      </c>
      <c r="H6313" s="1" t="s">
        <v>3604</v>
      </c>
      <c r="I6313" s="1" t="s">
        <v>22109</v>
      </c>
      <c r="J6313" s="1" t="s">
        <v>3606</v>
      </c>
      <c r="K6313" s="1" t="s">
        <v>22110</v>
      </c>
      <c r="L6313" s="1"/>
      <c r="M6313" s="1"/>
    </row>
    <row x14ac:dyDescent="0.25" r="6314" customHeight="1" ht="18.75">
      <c r="A6314" s="1" t="s">
        <v>3598</v>
      </c>
      <c r="B6314" s="1" t="s">
        <v>22082</v>
      </c>
      <c r="C6314" s="1" t="s">
        <v>3600</v>
      </c>
      <c r="D6314" s="1" t="s">
        <v>3601</v>
      </c>
      <c r="E6314" s="1" t="s">
        <v>3981</v>
      </c>
      <c r="F6314" s="1" t="s">
        <v>22111</v>
      </c>
      <c r="G6314" s="1" t="s">
        <v>22084</v>
      </c>
      <c r="H6314" s="1" t="s">
        <v>3604</v>
      </c>
      <c r="I6314" s="1" t="s">
        <v>22112</v>
      </c>
      <c r="J6314" s="1" t="s">
        <v>3606</v>
      </c>
      <c r="K6314" s="1" t="s">
        <v>22113</v>
      </c>
      <c r="L6314" s="1"/>
      <c r="M6314" s="1"/>
    </row>
    <row x14ac:dyDescent="0.25" r="6315" customHeight="1" ht="18.75">
      <c r="A6315" s="1" t="s">
        <v>3598</v>
      </c>
      <c r="B6315" s="1" t="s">
        <v>22082</v>
      </c>
      <c r="C6315" s="1" t="s">
        <v>3600</v>
      </c>
      <c r="D6315" s="1" t="s">
        <v>3601</v>
      </c>
      <c r="E6315" s="1" t="s">
        <v>3981</v>
      </c>
      <c r="F6315" s="1" t="s">
        <v>22114</v>
      </c>
      <c r="G6315" s="1" t="s">
        <v>22084</v>
      </c>
      <c r="H6315" s="1" t="s">
        <v>3604</v>
      </c>
      <c r="I6315" s="1" t="s">
        <v>22115</v>
      </c>
      <c r="J6315" s="1" t="s">
        <v>3606</v>
      </c>
      <c r="K6315" s="1" t="s">
        <v>22116</v>
      </c>
      <c r="L6315" s="1"/>
      <c r="M6315" s="1"/>
    </row>
    <row x14ac:dyDescent="0.25" r="6316" customHeight="1" ht="18.75">
      <c r="A6316" s="1" t="s">
        <v>3598</v>
      </c>
      <c r="B6316" s="1" t="s">
        <v>22082</v>
      </c>
      <c r="C6316" s="1" t="s">
        <v>3600</v>
      </c>
      <c r="D6316" s="1" t="s">
        <v>3601</v>
      </c>
      <c r="E6316" s="1" t="s">
        <v>3981</v>
      </c>
      <c r="F6316" s="1" t="s">
        <v>22117</v>
      </c>
      <c r="G6316" s="1" t="s">
        <v>22084</v>
      </c>
      <c r="H6316" s="1" t="s">
        <v>3604</v>
      </c>
      <c r="I6316" s="1" t="s">
        <v>22118</v>
      </c>
      <c r="J6316" s="1" t="s">
        <v>3606</v>
      </c>
      <c r="K6316" s="1" t="s">
        <v>22119</v>
      </c>
      <c r="L6316" s="1"/>
      <c r="M6316" s="1"/>
    </row>
    <row x14ac:dyDescent="0.25" r="6317" customHeight="1" ht="18.75">
      <c r="A6317" s="1" t="s">
        <v>3598</v>
      </c>
      <c r="B6317" s="1" t="s">
        <v>22082</v>
      </c>
      <c r="C6317" s="1" t="s">
        <v>3600</v>
      </c>
      <c r="D6317" s="1" t="s">
        <v>3601</v>
      </c>
      <c r="E6317" s="1" t="s">
        <v>3981</v>
      </c>
      <c r="F6317" s="1" t="s">
        <v>22120</v>
      </c>
      <c r="G6317" s="1" t="s">
        <v>22084</v>
      </c>
      <c r="H6317" s="1" t="s">
        <v>3604</v>
      </c>
      <c r="I6317" s="1" t="s">
        <v>22121</v>
      </c>
      <c r="J6317" s="1" t="s">
        <v>3606</v>
      </c>
      <c r="K6317" s="1" t="s">
        <v>22122</v>
      </c>
      <c r="L6317" s="1"/>
      <c r="M6317" s="1"/>
    </row>
    <row x14ac:dyDescent="0.25" r="6318" customHeight="1" ht="18.75">
      <c r="A6318" s="1" t="s">
        <v>3598</v>
      </c>
      <c r="B6318" s="1" t="s">
        <v>8683</v>
      </c>
      <c r="C6318" s="1" t="s">
        <v>3600</v>
      </c>
      <c r="D6318" s="1" t="s">
        <v>3601</v>
      </c>
      <c r="E6318" s="1" t="s">
        <v>3981</v>
      </c>
      <c r="F6318" s="1" t="s">
        <v>22123</v>
      </c>
      <c r="G6318" s="1" t="s">
        <v>6039</v>
      </c>
      <c r="H6318" s="1" t="s">
        <v>3604</v>
      </c>
      <c r="I6318" s="1" t="s">
        <v>22124</v>
      </c>
      <c r="J6318" s="1" t="s">
        <v>3606</v>
      </c>
      <c r="K6318" s="1" t="s">
        <v>22125</v>
      </c>
      <c r="L6318" s="1"/>
      <c r="M6318" s="1"/>
    </row>
    <row x14ac:dyDescent="0.25" r="6319" customHeight="1" ht="18.75">
      <c r="A6319" s="1" t="s">
        <v>3598</v>
      </c>
      <c r="B6319" s="1" t="s">
        <v>8683</v>
      </c>
      <c r="C6319" s="1" t="s">
        <v>3600</v>
      </c>
      <c r="D6319" s="1" t="s">
        <v>3601</v>
      </c>
      <c r="E6319" s="1" t="s">
        <v>3981</v>
      </c>
      <c r="F6319" s="1" t="s">
        <v>22126</v>
      </c>
      <c r="G6319" s="1" t="s">
        <v>6039</v>
      </c>
      <c r="H6319" s="1" t="s">
        <v>3604</v>
      </c>
      <c r="I6319" s="1" t="s">
        <v>22127</v>
      </c>
      <c r="J6319" s="1" t="s">
        <v>3606</v>
      </c>
      <c r="K6319" s="1" t="s">
        <v>22128</v>
      </c>
      <c r="L6319" s="1"/>
      <c r="M6319" s="1"/>
    </row>
    <row x14ac:dyDescent="0.25" r="6320" customHeight="1" ht="18.75">
      <c r="A6320" s="1" t="s">
        <v>3598</v>
      </c>
      <c r="B6320" s="1" t="s">
        <v>8683</v>
      </c>
      <c r="C6320" s="1" t="s">
        <v>3600</v>
      </c>
      <c r="D6320" s="1" t="s">
        <v>3601</v>
      </c>
      <c r="E6320" s="1" t="s">
        <v>3981</v>
      </c>
      <c r="F6320" s="1" t="s">
        <v>22129</v>
      </c>
      <c r="G6320" s="1" t="s">
        <v>6039</v>
      </c>
      <c r="H6320" s="1" t="s">
        <v>3604</v>
      </c>
      <c r="I6320" s="1" t="s">
        <v>22130</v>
      </c>
      <c r="J6320" s="1" t="s">
        <v>3606</v>
      </c>
      <c r="K6320" s="1" t="s">
        <v>22131</v>
      </c>
      <c r="L6320" s="1"/>
      <c r="M6320" s="1"/>
    </row>
    <row x14ac:dyDescent="0.25" r="6321" customHeight="1" ht="18.75">
      <c r="A6321" s="1" t="s">
        <v>3598</v>
      </c>
      <c r="B6321" s="1" t="s">
        <v>8683</v>
      </c>
      <c r="C6321" s="1" t="s">
        <v>3600</v>
      </c>
      <c r="D6321" s="1" t="s">
        <v>3601</v>
      </c>
      <c r="E6321" s="1" t="s">
        <v>3981</v>
      </c>
      <c r="F6321" s="1" t="s">
        <v>22132</v>
      </c>
      <c r="G6321" s="1" t="s">
        <v>6039</v>
      </c>
      <c r="H6321" s="1" t="s">
        <v>3604</v>
      </c>
      <c r="I6321" s="1" t="s">
        <v>22133</v>
      </c>
      <c r="J6321" s="1" t="s">
        <v>3606</v>
      </c>
      <c r="K6321" s="1" t="s">
        <v>22134</v>
      </c>
      <c r="L6321" s="1"/>
      <c r="M6321" s="1"/>
    </row>
    <row x14ac:dyDescent="0.25" r="6322" customHeight="1" ht="18.75">
      <c r="A6322" s="1" t="s">
        <v>3598</v>
      </c>
      <c r="B6322" s="1" t="s">
        <v>8683</v>
      </c>
      <c r="C6322" s="1" t="s">
        <v>3600</v>
      </c>
      <c r="D6322" s="1" t="s">
        <v>3601</v>
      </c>
      <c r="E6322" s="1" t="s">
        <v>3981</v>
      </c>
      <c r="F6322" s="1" t="s">
        <v>22135</v>
      </c>
      <c r="G6322" s="1" t="s">
        <v>6039</v>
      </c>
      <c r="H6322" s="1" t="s">
        <v>3604</v>
      </c>
      <c r="I6322" s="1" t="s">
        <v>22136</v>
      </c>
      <c r="J6322" s="1" t="s">
        <v>3606</v>
      </c>
      <c r="K6322" s="1" t="s">
        <v>22137</v>
      </c>
      <c r="L6322" s="1"/>
      <c r="M6322" s="1"/>
    </row>
    <row x14ac:dyDescent="0.25" r="6323" customHeight="1" ht="18.75">
      <c r="A6323" s="1" t="s">
        <v>3598</v>
      </c>
      <c r="B6323" s="1" t="s">
        <v>8683</v>
      </c>
      <c r="C6323" s="1" t="s">
        <v>3600</v>
      </c>
      <c r="D6323" s="1" t="s">
        <v>3601</v>
      </c>
      <c r="E6323" s="1" t="s">
        <v>3981</v>
      </c>
      <c r="F6323" s="1" t="s">
        <v>22138</v>
      </c>
      <c r="G6323" s="1" t="s">
        <v>6039</v>
      </c>
      <c r="H6323" s="1" t="s">
        <v>3604</v>
      </c>
      <c r="I6323" s="1" t="s">
        <v>22139</v>
      </c>
      <c r="J6323" s="1" t="s">
        <v>3606</v>
      </c>
      <c r="K6323" s="1" t="s">
        <v>22140</v>
      </c>
      <c r="L6323" s="1"/>
      <c r="M6323" s="1"/>
    </row>
    <row x14ac:dyDescent="0.25" r="6324" customHeight="1" ht="18.75">
      <c r="A6324" s="1" t="s">
        <v>3598</v>
      </c>
      <c r="B6324" s="1" t="s">
        <v>8683</v>
      </c>
      <c r="C6324" s="1" t="s">
        <v>3600</v>
      </c>
      <c r="D6324" s="1" t="s">
        <v>3601</v>
      </c>
      <c r="E6324" s="1" t="s">
        <v>3981</v>
      </c>
      <c r="F6324" s="1" t="s">
        <v>22141</v>
      </c>
      <c r="G6324" s="1" t="s">
        <v>6039</v>
      </c>
      <c r="H6324" s="1" t="s">
        <v>3604</v>
      </c>
      <c r="I6324" s="1" t="s">
        <v>22142</v>
      </c>
      <c r="J6324" s="1" t="s">
        <v>3606</v>
      </c>
      <c r="K6324" s="1" t="s">
        <v>22143</v>
      </c>
      <c r="L6324" s="1"/>
      <c r="M6324" s="1"/>
    </row>
    <row x14ac:dyDescent="0.25" r="6325" customHeight="1" ht="18.75">
      <c r="A6325" s="1" t="s">
        <v>3598</v>
      </c>
      <c r="B6325" s="1" t="s">
        <v>22144</v>
      </c>
      <c r="C6325" s="1" t="s">
        <v>3600</v>
      </c>
      <c r="D6325" s="1" t="s">
        <v>3601</v>
      </c>
      <c r="E6325" s="1" t="s">
        <v>3664</v>
      </c>
      <c r="F6325" s="1" t="s">
        <v>22145</v>
      </c>
      <c r="G6325" s="1" t="s">
        <v>22146</v>
      </c>
      <c r="H6325" s="1" t="s">
        <v>3604</v>
      </c>
      <c r="I6325" s="1" t="s">
        <v>22147</v>
      </c>
      <c r="J6325" s="1" t="s">
        <v>3606</v>
      </c>
      <c r="K6325" s="1" t="s">
        <v>22148</v>
      </c>
      <c r="L6325" s="1"/>
      <c r="M6325" s="1"/>
    </row>
    <row x14ac:dyDescent="0.25" r="6326" customHeight="1" ht="18.75">
      <c r="A6326" s="1" t="s">
        <v>3598</v>
      </c>
      <c r="B6326" s="1" t="s">
        <v>16959</v>
      </c>
      <c r="C6326" s="1" t="s">
        <v>3600</v>
      </c>
      <c r="D6326" s="1" t="s">
        <v>3601</v>
      </c>
      <c r="E6326" s="1" t="s">
        <v>3981</v>
      </c>
      <c r="F6326" s="1" t="s">
        <v>22149</v>
      </c>
      <c r="G6326" s="1" t="s">
        <v>16961</v>
      </c>
      <c r="H6326" s="1" t="s">
        <v>3604</v>
      </c>
      <c r="I6326" s="1" t="s">
        <v>22150</v>
      </c>
      <c r="J6326" s="1" t="s">
        <v>3606</v>
      </c>
      <c r="K6326" s="1" t="s">
        <v>22151</v>
      </c>
      <c r="L6326" s="1"/>
      <c r="M6326" s="1"/>
    </row>
    <row x14ac:dyDescent="0.25" r="6327" customHeight="1" ht="18.75">
      <c r="A6327" s="1" t="s">
        <v>3598</v>
      </c>
      <c r="B6327" s="1" t="s">
        <v>16959</v>
      </c>
      <c r="C6327" s="1" t="s">
        <v>3600</v>
      </c>
      <c r="D6327" s="1" t="s">
        <v>3601</v>
      </c>
      <c r="E6327" s="1" t="s">
        <v>3981</v>
      </c>
      <c r="F6327" s="1" t="s">
        <v>22152</v>
      </c>
      <c r="G6327" s="1" t="s">
        <v>16961</v>
      </c>
      <c r="H6327" s="1" t="s">
        <v>3604</v>
      </c>
      <c r="I6327" s="1" t="s">
        <v>22153</v>
      </c>
      <c r="J6327" s="1" t="s">
        <v>3606</v>
      </c>
      <c r="K6327" s="1" t="s">
        <v>22154</v>
      </c>
      <c r="L6327" s="1"/>
      <c r="M6327" s="1"/>
    </row>
    <row x14ac:dyDescent="0.25" r="6328" customHeight="1" ht="18.75">
      <c r="A6328" s="1" t="s">
        <v>3598</v>
      </c>
      <c r="B6328" s="1" t="s">
        <v>16959</v>
      </c>
      <c r="C6328" s="1" t="s">
        <v>3600</v>
      </c>
      <c r="D6328" s="1" t="s">
        <v>3601</v>
      </c>
      <c r="E6328" s="1" t="s">
        <v>3981</v>
      </c>
      <c r="F6328" s="1" t="s">
        <v>22155</v>
      </c>
      <c r="G6328" s="1" t="s">
        <v>16961</v>
      </c>
      <c r="H6328" s="1" t="s">
        <v>3604</v>
      </c>
      <c r="I6328" s="1" t="s">
        <v>22156</v>
      </c>
      <c r="J6328" s="1" t="s">
        <v>3606</v>
      </c>
      <c r="K6328" s="1" t="s">
        <v>22157</v>
      </c>
      <c r="L6328" s="1"/>
      <c r="M6328" s="1"/>
    </row>
    <row x14ac:dyDescent="0.25" r="6329" customHeight="1" ht="18.75">
      <c r="A6329" s="1" t="s">
        <v>3598</v>
      </c>
      <c r="B6329" s="1" t="s">
        <v>16959</v>
      </c>
      <c r="C6329" s="1" t="s">
        <v>3600</v>
      </c>
      <c r="D6329" s="1" t="s">
        <v>3601</v>
      </c>
      <c r="E6329" s="1" t="s">
        <v>3981</v>
      </c>
      <c r="F6329" s="1" t="s">
        <v>22158</v>
      </c>
      <c r="G6329" s="1" t="s">
        <v>16961</v>
      </c>
      <c r="H6329" s="1" t="s">
        <v>3604</v>
      </c>
      <c r="I6329" s="1" t="s">
        <v>22159</v>
      </c>
      <c r="J6329" s="1" t="s">
        <v>3606</v>
      </c>
      <c r="K6329" s="1" t="s">
        <v>22160</v>
      </c>
      <c r="L6329" s="1"/>
      <c r="M6329" s="1"/>
    </row>
    <row x14ac:dyDescent="0.25" r="6330" customHeight="1" ht="18.75">
      <c r="A6330" s="1" t="s">
        <v>3598</v>
      </c>
      <c r="B6330" s="1" t="s">
        <v>16959</v>
      </c>
      <c r="C6330" s="1" t="s">
        <v>3600</v>
      </c>
      <c r="D6330" s="1" t="s">
        <v>3601</v>
      </c>
      <c r="E6330" s="1" t="s">
        <v>3981</v>
      </c>
      <c r="F6330" s="1" t="s">
        <v>22161</v>
      </c>
      <c r="G6330" s="1" t="s">
        <v>16961</v>
      </c>
      <c r="H6330" s="1" t="s">
        <v>3604</v>
      </c>
      <c r="I6330" s="1" t="s">
        <v>22162</v>
      </c>
      <c r="J6330" s="1" t="s">
        <v>3606</v>
      </c>
      <c r="K6330" s="1" t="s">
        <v>22163</v>
      </c>
      <c r="L6330" s="1"/>
      <c r="M6330" s="1"/>
    </row>
    <row x14ac:dyDescent="0.25" r="6331" customHeight="1" ht="18.75">
      <c r="A6331" s="1" t="s">
        <v>3598</v>
      </c>
      <c r="B6331" s="1" t="s">
        <v>16959</v>
      </c>
      <c r="C6331" s="1" t="s">
        <v>3600</v>
      </c>
      <c r="D6331" s="1" t="s">
        <v>3601</v>
      </c>
      <c r="E6331" s="1" t="s">
        <v>3981</v>
      </c>
      <c r="F6331" s="1" t="s">
        <v>22164</v>
      </c>
      <c r="G6331" s="1" t="s">
        <v>16961</v>
      </c>
      <c r="H6331" s="1" t="s">
        <v>3604</v>
      </c>
      <c r="I6331" s="1" t="s">
        <v>22165</v>
      </c>
      <c r="J6331" s="1" t="s">
        <v>3606</v>
      </c>
      <c r="K6331" s="1" t="s">
        <v>22166</v>
      </c>
      <c r="L6331" s="1"/>
      <c r="M6331" s="1"/>
    </row>
    <row x14ac:dyDescent="0.25" r="6332" customHeight="1" ht="18.75">
      <c r="A6332" s="1" t="s">
        <v>3598</v>
      </c>
      <c r="B6332" s="1" t="s">
        <v>16959</v>
      </c>
      <c r="C6332" s="1" t="s">
        <v>3600</v>
      </c>
      <c r="D6332" s="1" t="s">
        <v>3601</v>
      </c>
      <c r="E6332" s="1" t="s">
        <v>3981</v>
      </c>
      <c r="F6332" s="1" t="s">
        <v>22167</v>
      </c>
      <c r="G6332" s="1" t="s">
        <v>16961</v>
      </c>
      <c r="H6332" s="1" t="s">
        <v>3604</v>
      </c>
      <c r="I6332" s="1" t="s">
        <v>22168</v>
      </c>
      <c r="J6332" s="1" t="s">
        <v>3606</v>
      </c>
      <c r="K6332" s="1" t="s">
        <v>22169</v>
      </c>
      <c r="L6332" s="1"/>
      <c r="M6332" s="1"/>
    </row>
    <row x14ac:dyDescent="0.25" r="6333" customHeight="1" ht="18.75">
      <c r="A6333" s="1" t="s">
        <v>3598</v>
      </c>
      <c r="B6333" s="1" t="s">
        <v>16959</v>
      </c>
      <c r="C6333" s="1" t="s">
        <v>3600</v>
      </c>
      <c r="D6333" s="1" t="s">
        <v>3601</v>
      </c>
      <c r="E6333" s="1" t="s">
        <v>3981</v>
      </c>
      <c r="F6333" s="1" t="s">
        <v>22170</v>
      </c>
      <c r="G6333" s="1" t="s">
        <v>16961</v>
      </c>
      <c r="H6333" s="1" t="s">
        <v>3604</v>
      </c>
      <c r="I6333" s="1" t="s">
        <v>22171</v>
      </c>
      <c r="J6333" s="1" t="s">
        <v>3606</v>
      </c>
      <c r="K6333" s="1" t="s">
        <v>22172</v>
      </c>
      <c r="L6333" s="1"/>
      <c r="M6333" s="1"/>
    </row>
    <row x14ac:dyDescent="0.25" r="6334" customHeight="1" ht="18.75">
      <c r="A6334" s="1" t="s">
        <v>3598</v>
      </c>
      <c r="B6334" s="1" t="s">
        <v>16959</v>
      </c>
      <c r="C6334" s="1" t="s">
        <v>3600</v>
      </c>
      <c r="D6334" s="1" t="s">
        <v>3601</v>
      </c>
      <c r="E6334" s="1" t="s">
        <v>3981</v>
      </c>
      <c r="F6334" s="1" t="s">
        <v>22173</v>
      </c>
      <c r="G6334" s="1" t="s">
        <v>16961</v>
      </c>
      <c r="H6334" s="1" t="s">
        <v>3604</v>
      </c>
      <c r="I6334" s="1" t="s">
        <v>22174</v>
      </c>
      <c r="J6334" s="1" t="s">
        <v>3606</v>
      </c>
      <c r="K6334" s="1" t="s">
        <v>22175</v>
      </c>
      <c r="L6334" s="1"/>
      <c r="M6334" s="1"/>
    </row>
    <row x14ac:dyDescent="0.25" r="6335" customHeight="1" ht="18.75">
      <c r="A6335" s="1" t="s">
        <v>3598</v>
      </c>
      <c r="B6335" s="1" t="s">
        <v>16959</v>
      </c>
      <c r="C6335" s="1" t="s">
        <v>3600</v>
      </c>
      <c r="D6335" s="1" t="s">
        <v>3601</v>
      </c>
      <c r="E6335" s="1" t="s">
        <v>3981</v>
      </c>
      <c r="F6335" s="1" t="s">
        <v>22176</v>
      </c>
      <c r="G6335" s="1" t="s">
        <v>16961</v>
      </c>
      <c r="H6335" s="1" t="s">
        <v>3604</v>
      </c>
      <c r="I6335" s="1" t="s">
        <v>22177</v>
      </c>
      <c r="J6335" s="1" t="s">
        <v>3606</v>
      </c>
      <c r="K6335" s="1" t="s">
        <v>22178</v>
      </c>
      <c r="L6335" s="1"/>
      <c r="M6335" s="1"/>
    </row>
    <row x14ac:dyDescent="0.25" r="6336" customHeight="1" ht="18.75">
      <c r="A6336" s="1" t="s">
        <v>3598</v>
      </c>
      <c r="B6336" s="1" t="s">
        <v>22031</v>
      </c>
      <c r="C6336" s="1" t="s">
        <v>3600</v>
      </c>
      <c r="D6336" s="1" t="s">
        <v>3601</v>
      </c>
      <c r="E6336" s="1" t="s">
        <v>3893</v>
      </c>
      <c r="F6336" s="1" t="s">
        <v>22179</v>
      </c>
      <c r="G6336" s="1" t="s">
        <v>15675</v>
      </c>
      <c r="H6336" s="1" t="s">
        <v>3604</v>
      </c>
      <c r="I6336" s="1" t="s">
        <v>22180</v>
      </c>
      <c r="J6336" s="1" t="s">
        <v>3606</v>
      </c>
      <c r="K6336" s="1" t="s">
        <v>22181</v>
      </c>
      <c r="L6336" s="1"/>
      <c r="M6336" s="1"/>
    </row>
    <row x14ac:dyDescent="0.25" r="6337" customHeight="1" ht="18.75">
      <c r="A6337" s="1" t="s">
        <v>3598</v>
      </c>
      <c r="B6337" s="1" t="s">
        <v>8593</v>
      </c>
      <c r="C6337" s="1" t="s">
        <v>3600</v>
      </c>
      <c r="D6337" s="1" t="s">
        <v>3601</v>
      </c>
      <c r="E6337" s="1" t="s">
        <v>3893</v>
      </c>
      <c r="F6337" s="1" t="s">
        <v>22182</v>
      </c>
      <c r="G6337" s="1" t="s">
        <v>6169</v>
      </c>
      <c r="H6337" s="1" t="s">
        <v>3604</v>
      </c>
      <c r="I6337" s="1" t="s">
        <v>22183</v>
      </c>
      <c r="J6337" s="1" t="s">
        <v>3606</v>
      </c>
      <c r="K6337" s="1" t="s">
        <v>22184</v>
      </c>
      <c r="L6337" s="1"/>
      <c r="M6337" s="1"/>
    </row>
    <row x14ac:dyDescent="0.25" r="6338" customHeight="1" ht="18.75">
      <c r="A6338" s="1" t="s">
        <v>3598</v>
      </c>
      <c r="B6338" s="1" t="s">
        <v>16715</v>
      </c>
      <c r="C6338" s="1" t="s">
        <v>3600</v>
      </c>
      <c r="D6338" s="1" t="s">
        <v>3601</v>
      </c>
      <c r="E6338" s="1" t="s">
        <v>3893</v>
      </c>
      <c r="F6338" s="1" t="s">
        <v>22185</v>
      </c>
      <c r="G6338" s="1" t="s">
        <v>16717</v>
      </c>
      <c r="H6338" s="1" t="s">
        <v>3604</v>
      </c>
      <c r="I6338" s="1" t="s">
        <v>22186</v>
      </c>
      <c r="J6338" s="1" t="s">
        <v>3606</v>
      </c>
      <c r="K6338" s="1" t="s">
        <v>22187</v>
      </c>
      <c r="L6338" s="1"/>
      <c r="M6338" s="1"/>
    </row>
    <row x14ac:dyDescent="0.25" r="6339" customHeight="1" ht="18.75">
      <c r="A6339" s="1" t="s">
        <v>3598</v>
      </c>
      <c r="B6339" s="1" t="s">
        <v>22188</v>
      </c>
      <c r="C6339" s="1" t="s">
        <v>3600</v>
      </c>
      <c r="D6339" s="1" t="s">
        <v>3601</v>
      </c>
      <c r="E6339" s="1" t="s">
        <v>3664</v>
      </c>
      <c r="F6339" s="1" t="s">
        <v>22189</v>
      </c>
      <c r="G6339" s="1" t="s">
        <v>22190</v>
      </c>
      <c r="H6339" s="1" t="s">
        <v>3604</v>
      </c>
      <c r="I6339" s="1" t="s">
        <v>22191</v>
      </c>
      <c r="J6339" s="1" t="s">
        <v>3606</v>
      </c>
      <c r="K6339" s="1" t="s">
        <v>22192</v>
      </c>
      <c r="L6339" s="1"/>
      <c r="M6339" s="1"/>
    </row>
    <row x14ac:dyDescent="0.25" r="6340" customHeight="1" ht="18.75">
      <c r="A6340" s="1" t="s">
        <v>3598</v>
      </c>
      <c r="B6340" s="1" t="s">
        <v>22188</v>
      </c>
      <c r="C6340" s="1" t="s">
        <v>3600</v>
      </c>
      <c r="D6340" s="1" t="s">
        <v>3601</v>
      </c>
      <c r="E6340" s="1" t="s">
        <v>3664</v>
      </c>
      <c r="F6340" s="1" t="s">
        <v>22193</v>
      </c>
      <c r="G6340" s="1" t="s">
        <v>22190</v>
      </c>
      <c r="H6340" s="1" t="s">
        <v>3604</v>
      </c>
      <c r="I6340" s="1" t="s">
        <v>22194</v>
      </c>
      <c r="J6340" s="1" t="s">
        <v>3606</v>
      </c>
      <c r="K6340" s="1" t="s">
        <v>22195</v>
      </c>
      <c r="L6340" s="1"/>
      <c r="M6340" s="1"/>
    </row>
    <row x14ac:dyDescent="0.25" r="6341" customHeight="1" ht="18.75">
      <c r="A6341" s="1" t="s">
        <v>3598</v>
      </c>
      <c r="B6341" s="1" t="s">
        <v>22188</v>
      </c>
      <c r="C6341" s="1" t="s">
        <v>3600</v>
      </c>
      <c r="D6341" s="1" t="s">
        <v>3601</v>
      </c>
      <c r="E6341" s="1" t="s">
        <v>3664</v>
      </c>
      <c r="F6341" s="1" t="s">
        <v>22196</v>
      </c>
      <c r="G6341" s="1" t="s">
        <v>22190</v>
      </c>
      <c r="H6341" s="1" t="s">
        <v>3604</v>
      </c>
      <c r="I6341" s="1" t="s">
        <v>22197</v>
      </c>
      <c r="J6341" s="1" t="s">
        <v>3606</v>
      </c>
      <c r="K6341" s="1" t="s">
        <v>22198</v>
      </c>
      <c r="L6341" s="1"/>
      <c r="M6341" s="1"/>
    </row>
    <row x14ac:dyDescent="0.25" r="6342" customHeight="1" ht="18.75">
      <c r="A6342" s="1" t="s">
        <v>3598</v>
      </c>
      <c r="B6342" s="1" t="s">
        <v>22199</v>
      </c>
      <c r="C6342" s="1" t="s">
        <v>3600</v>
      </c>
      <c r="D6342" s="1" t="s">
        <v>3601</v>
      </c>
      <c r="E6342" s="1" t="s">
        <v>3893</v>
      </c>
      <c r="F6342" s="1" t="s">
        <v>22200</v>
      </c>
      <c r="G6342" s="1" t="s">
        <v>22201</v>
      </c>
      <c r="H6342" s="1" t="s">
        <v>3604</v>
      </c>
      <c r="I6342" s="1" t="s">
        <v>22202</v>
      </c>
      <c r="J6342" s="1" t="s">
        <v>3606</v>
      </c>
      <c r="K6342" s="1" t="s">
        <v>22203</v>
      </c>
      <c r="L6342" s="1"/>
      <c r="M6342" s="1"/>
    </row>
    <row x14ac:dyDescent="0.25" r="6343" customHeight="1" ht="18.75">
      <c r="A6343" s="1" t="s">
        <v>3598</v>
      </c>
      <c r="B6343" s="1" t="s">
        <v>16934</v>
      </c>
      <c r="C6343" s="1" t="s">
        <v>3600</v>
      </c>
      <c r="D6343" s="1" t="s">
        <v>3601</v>
      </c>
      <c r="E6343" s="1" t="s">
        <v>3893</v>
      </c>
      <c r="F6343" s="1" t="s">
        <v>22204</v>
      </c>
      <c r="G6343" s="1" t="s">
        <v>3603</v>
      </c>
      <c r="H6343" s="1" t="s">
        <v>3604</v>
      </c>
      <c r="I6343" s="1" t="s">
        <v>22205</v>
      </c>
      <c r="J6343" s="1" t="s">
        <v>3606</v>
      </c>
      <c r="K6343" s="1" t="s">
        <v>22206</v>
      </c>
      <c r="L6343" s="1"/>
      <c r="M6343" s="1"/>
    </row>
    <row x14ac:dyDescent="0.25" r="6344" customHeight="1" ht="18.75">
      <c r="A6344" s="1" t="s">
        <v>3598</v>
      </c>
      <c r="B6344" s="1" t="s">
        <v>16934</v>
      </c>
      <c r="C6344" s="1" t="s">
        <v>3600</v>
      </c>
      <c r="D6344" s="1" t="s">
        <v>3601</v>
      </c>
      <c r="E6344" s="1" t="s">
        <v>3893</v>
      </c>
      <c r="F6344" s="1" t="s">
        <v>22207</v>
      </c>
      <c r="G6344" s="1" t="s">
        <v>3603</v>
      </c>
      <c r="H6344" s="1" t="s">
        <v>3604</v>
      </c>
      <c r="I6344" s="1" t="s">
        <v>22208</v>
      </c>
      <c r="J6344" s="1" t="s">
        <v>3606</v>
      </c>
      <c r="K6344" s="1" t="s">
        <v>22209</v>
      </c>
      <c r="L6344" s="1"/>
      <c r="M6344" s="1"/>
    </row>
    <row x14ac:dyDescent="0.25" r="6345" customHeight="1" ht="18.75">
      <c r="A6345" s="1" t="s">
        <v>3598</v>
      </c>
      <c r="B6345" s="1" t="s">
        <v>16934</v>
      </c>
      <c r="C6345" s="1" t="s">
        <v>3600</v>
      </c>
      <c r="D6345" s="1" t="s">
        <v>3601</v>
      </c>
      <c r="E6345" s="1" t="s">
        <v>3893</v>
      </c>
      <c r="F6345" s="1" t="s">
        <v>22210</v>
      </c>
      <c r="G6345" s="1" t="s">
        <v>3603</v>
      </c>
      <c r="H6345" s="1" t="s">
        <v>3604</v>
      </c>
      <c r="I6345" s="1" t="s">
        <v>22211</v>
      </c>
      <c r="J6345" s="1" t="s">
        <v>3606</v>
      </c>
      <c r="K6345" s="1" t="s">
        <v>22212</v>
      </c>
      <c r="L6345" s="1"/>
      <c r="M6345" s="1"/>
    </row>
    <row x14ac:dyDescent="0.25" r="6346" customHeight="1" ht="18.75">
      <c r="A6346" s="1" t="s">
        <v>3598</v>
      </c>
      <c r="B6346" s="1" t="s">
        <v>16934</v>
      </c>
      <c r="C6346" s="1" t="s">
        <v>3600</v>
      </c>
      <c r="D6346" s="1" t="s">
        <v>3601</v>
      </c>
      <c r="E6346" s="1" t="s">
        <v>3893</v>
      </c>
      <c r="F6346" s="1" t="s">
        <v>22213</v>
      </c>
      <c r="G6346" s="1" t="s">
        <v>3603</v>
      </c>
      <c r="H6346" s="1" t="s">
        <v>3604</v>
      </c>
      <c r="I6346" s="1" t="s">
        <v>22214</v>
      </c>
      <c r="J6346" s="1" t="s">
        <v>3606</v>
      </c>
      <c r="K6346" s="1" t="s">
        <v>22215</v>
      </c>
      <c r="L6346" s="1"/>
      <c r="M6346" s="1"/>
    </row>
    <row x14ac:dyDescent="0.25" r="6347" customHeight="1" ht="18.75">
      <c r="A6347" s="1" t="s">
        <v>3598</v>
      </c>
      <c r="B6347" s="1" t="s">
        <v>16934</v>
      </c>
      <c r="C6347" s="1" t="s">
        <v>3600</v>
      </c>
      <c r="D6347" s="1" t="s">
        <v>3601</v>
      </c>
      <c r="E6347" s="1" t="s">
        <v>3893</v>
      </c>
      <c r="F6347" s="1" t="s">
        <v>22216</v>
      </c>
      <c r="G6347" s="1" t="s">
        <v>3603</v>
      </c>
      <c r="H6347" s="1" t="s">
        <v>3604</v>
      </c>
      <c r="I6347" s="1" t="s">
        <v>22217</v>
      </c>
      <c r="J6347" s="1" t="s">
        <v>3606</v>
      </c>
      <c r="K6347" s="1" t="s">
        <v>22218</v>
      </c>
      <c r="L6347" s="1"/>
      <c r="M6347" s="1"/>
    </row>
    <row x14ac:dyDescent="0.25" r="6348" customHeight="1" ht="18.75">
      <c r="A6348" s="1" t="s">
        <v>3598</v>
      </c>
      <c r="B6348" s="1" t="s">
        <v>16934</v>
      </c>
      <c r="C6348" s="1" t="s">
        <v>3600</v>
      </c>
      <c r="D6348" s="1" t="s">
        <v>3601</v>
      </c>
      <c r="E6348" s="1" t="s">
        <v>3893</v>
      </c>
      <c r="F6348" s="1" t="s">
        <v>22219</v>
      </c>
      <c r="G6348" s="1" t="s">
        <v>3603</v>
      </c>
      <c r="H6348" s="1" t="s">
        <v>3604</v>
      </c>
      <c r="I6348" s="1" t="s">
        <v>22220</v>
      </c>
      <c r="J6348" s="1" t="s">
        <v>3606</v>
      </c>
      <c r="K6348" s="1" t="s">
        <v>22221</v>
      </c>
      <c r="L6348" s="1"/>
      <c r="M6348" s="1"/>
    </row>
    <row x14ac:dyDescent="0.25" r="6349" customHeight="1" ht="18.75">
      <c r="A6349" s="1" t="s">
        <v>3598</v>
      </c>
      <c r="B6349" s="1" t="s">
        <v>16934</v>
      </c>
      <c r="C6349" s="1" t="s">
        <v>3600</v>
      </c>
      <c r="D6349" s="1" t="s">
        <v>3601</v>
      </c>
      <c r="E6349" s="1" t="s">
        <v>3893</v>
      </c>
      <c r="F6349" s="1" t="s">
        <v>22222</v>
      </c>
      <c r="G6349" s="1" t="s">
        <v>3603</v>
      </c>
      <c r="H6349" s="1" t="s">
        <v>3604</v>
      </c>
      <c r="I6349" s="1" t="s">
        <v>22223</v>
      </c>
      <c r="J6349" s="1" t="s">
        <v>3606</v>
      </c>
      <c r="K6349" s="1" t="s">
        <v>22224</v>
      </c>
      <c r="L6349" s="1"/>
      <c r="M6349" s="1"/>
    </row>
    <row x14ac:dyDescent="0.25" r="6350" customHeight="1" ht="18.75">
      <c r="A6350" s="1" t="s">
        <v>3598</v>
      </c>
      <c r="B6350" s="1" t="s">
        <v>16934</v>
      </c>
      <c r="C6350" s="1" t="s">
        <v>3600</v>
      </c>
      <c r="D6350" s="1" t="s">
        <v>3601</v>
      </c>
      <c r="E6350" s="1" t="s">
        <v>3893</v>
      </c>
      <c r="F6350" s="1" t="s">
        <v>22225</v>
      </c>
      <c r="G6350" s="1" t="s">
        <v>3603</v>
      </c>
      <c r="H6350" s="1" t="s">
        <v>3604</v>
      </c>
      <c r="I6350" s="1" t="s">
        <v>22226</v>
      </c>
      <c r="J6350" s="1" t="s">
        <v>3606</v>
      </c>
      <c r="K6350" s="1" t="s">
        <v>22227</v>
      </c>
      <c r="L6350" s="1"/>
      <c r="M6350" s="1"/>
    </row>
    <row x14ac:dyDescent="0.25" r="6351" customHeight="1" ht="18.75">
      <c r="A6351" s="1" t="s">
        <v>3598</v>
      </c>
      <c r="B6351" s="1" t="s">
        <v>16934</v>
      </c>
      <c r="C6351" s="1" t="s">
        <v>3600</v>
      </c>
      <c r="D6351" s="1" t="s">
        <v>3601</v>
      </c>
      <c r="E6351" s="1" t="s">
        <v>3893</v>
      </c>
      <c r="F6351" s="1" t="s">
        <v>22228</v>
      </c>
      <c r="G6351" s="1" t="s">
        <v>3603</v>
      </c>
      <c r="H6351" s="1" t="s">
        <v>3604</v>
      </c>
      <c r="I6351" s="1" t="s">
        <v>22229</v>
      </c>
      <c r="J6351" s="1" t="s">
        <v>3606</v>
      </c>
      <c r="K6351" s="1" t="s">
        <v>22230</v>
      </c>
      <c r="L6351" s="1"/>
      <c r="M6351" s="1"/>
    </row>
    <row x14ac:dyDescent="0.25" r="6352" customHeight="1" ht="18.75">
      <c r="A6352" s="1" t="s">
        <v>3598</v>
      </c>
      <c r="B6352" s="1" t="s">
        <v>8593</v>
      </c>
      <c r="C6352" s="1" t="s">
        <v>3600</v>
      </c>
      <c r="D6352" s="1" t="s">
        <v>3601</v>
      </c>
      <c r="E6352" s="1" t="s">
        <v>3893</v>
      </c>
      <c r="F6352" s="1" t="s">
        <v>22231</v>
      </c>
      <c r="G6352" s="1" t="s">
        <v>6169</v>
      </c>
      <c r="H6352" s="1" t="s">
        <v>3604</v>
      </c>
      <c r="I6352" s="1" t="s">
        <v>22232</v>
      </c>
      <c r="J6352" s="1" t="s">
        <v>3606</v>
      </c>
      <c r="K6352" s="1" t="s">
        <v>22233</v>
      </c>
      <c r="L6352" s="1"/>
      <c r="M6352" s="1"/>
    </row>
    <row x14ac:dyDescent="0.25" r="6353" customHeight="1" ht="18.75">
      <c r="A6353" s="1" t="s">
        <v>3598</v>
      </c>
      <c r="B6353" s="1" t="s">
        <v>8593</v>
      </c>
      <c r="C6353" s="1" t="s">
        <v>3600</v>
      </c>
      <c r="D6353" s="1" t="s">
        <v>3601</v>
      </c>
      <c r="E6353" s="1" t="s">
        <v>3893</v>
      </c>
      <c r="F6353" s="1" t="s">
        <v>22234</v>
      </c>
      <c r="G6353" s="1" t="s">
        <v>6169</v>
      </c>
      <c r="H6353" s="1" t="s">
        <v>3604</v>
      </c>
      <c r="I6353" s="1" t="s">
        <v>22235</v>
      </c>
      <c r="J6353" s="1" t="s">
        <v>3606</v>
      </c>
      <c r="K6353" s="1" t="s">
        <v>22236</v>
      </c>
      <c r="L6353" s="1"/>
      <c r="M6353" s="1"/>
    </row>
    <row x14ac:dyDescent="0.25" r="6354" customHeight="1" ht="18.75">
      <c r="A6354" s="1" t="s">
        <v>3598</v>
      </c>
      <c r="B6354" s="1" t="s">
        <v>8593</v>
      </c>
      <c r="C6354" s="1" t="s">
        <v>3600</v>
      </c>
      <c r="D6354" s="1" t="s">
        <v>3601</v>
      </c>
      <c r="E6354" s="1" t="s">
        <v>3893</v>
      </c>
      <c r="F6354" s="1" t="s">
        <v>22237</v>
      </c>
      <c r="G6354" s="1" t="s">
        <v>6169</v>
      </c>
      <c r="H6354" s="1" t="s">
        <v>3604</v>
      </c>
      <c r="I6354" s="1" t="s">
        <v>22238</v>
      </c>
      <c r="J6354" s="1" t="s">
        <v>3606</v>
      </c>
      <c r="K6354" s="1" t="s">
        <v>22239</v>
      </c>
      <c r="L6354" s="1"/>
      <c r="M6354" s="1"/>
    </row>
    <row x14ac:dyDescent="0.25" r="6355" customHeight="1" ht="18.75">
      <c r="A6355" s="1" t="s">
        <v>3598</v>
      </c>
      <c r="B6355" s="1" t="s">
        <v>8593</v>
      </c>
      <c r="C6355" s="1" t="s">
        <v>3600</v>
      </c>
      <c r="D6355" s="1" t="s">
        <v>3601</v>
      </c>
      <c r="E6355" s="1" t="s">
        <v>3893</v>
      </c>
      <c r="F6355" s="1" t="s">
        <v>22240</v>
      </c>
      <c r="G6355" s="1" t="s">
        <v>6169</v>
      </c>
      <c r="H6355" s="1" t="s">
        <v>3604</v>
      </c>
      <c r="I6355" s="1" t="s">
        <v>22241</v>
      </c>
      <c r="J6355" s="1" t="s">
        <v>3606</v>
      </c>
      <c r="K6355" s="1" t="s">
        <v>22242</v>
      </c>
      <c r="L6355" s="1"/>
      <c r="M6355" s="1"/>
    </row>
    <row x14ac:dyDescent="0.25" r="6356" customHeight="1" ht="18.75">
      <c r="A6356" s="1" t="s">
        <v>3598</v>
      </c>
      <c r="B6356" s="1" t="s">
        <v>21931</v>
      </c>
      <c r="C6356" s="1" t="s">
        <v>3600</v>
      </c>
      <c r="D6356" s="1" t="s">
        <v>3601</v>
      </c>
      <c r="E6356" s="1" t="s">
        <v>3664</v>
      </c>
      <c r="F6356" s="1" t="s">
        <v>22243</v>
      </c>
      <c r="G6356" s="1" t="s">
        <v>21937</v>
      </c>
      <c r="H6356" s="1" t="s">
        <v>3604</v>
      </c>
      <c r="I6356" s="1" t="s">
        <v>22244</v>
      </c>
      <c r="J6356" s="1" t="s">
        <v>3606</v>
      </c>
      <c r="K6356" s="1" t="s">
        <v>22245</v>
      </c>
      <c r="L6356" s="1"/>
      <c r="M6356" s="1"/>
    </row>
    <row x14ac:dyDescent="0.25" r="6357" customHeight="1" ht="18.75">
      <c r="A6357" s="1" t="s">
        <v>3598</v>
      </c>
      <c r="B6357" s="1" t="s">
        <v>21931</v>
      </c>
      <c r="C6357" s="1" t="s">
        <v>3600</v>
      </c>
      <c r="D6357" s="1" t="s">
        <v>3601</v>
      </c>
      <c r="E6357" s="1" t="s">
        <v>3664</v>
      </c>
      <c r="F6357" s="1" t="s">
        <v>22246</v>
      </c>
      <c r="G6357" s="1" t="s">
        <v>21937</v>
      </c>
      <c r="H6357" s="1" t="s">
        <v>3604</v>
      </c>
      <c r="I6357" s="1" t="s">
        <v>22247</v>
      </c>
      <c r="J6357" s="1" t="s">
        <v>3606</v>
      </c>
      <c r="K6357" s="1" t="s">
        <v>22248</v>
      </c>
      <c r="L6357" s="1"/>
      <c r="M6357" s="1"/>
    </row>
    <row x14ac:dyDescent="0.25" r="6358" customHeight="1" ht="18.75">
      <c r="A6358" s="1" t="s">
        <v>3598</v>
      </c>
      <c r="B6358" s="1" t="s">
        <v>21931</v>
      </c>
      <c r="C6358" s="1" t="s">
        <v>3600</v>
      </c>
      <c r="D6358" s="1" t="s">
        <v>3601</v>
      </c>
      <c r="E6358" s="1" t="s">
        <v>3664</v>
      </c>
      <c r="F6358" s="1" t="s">
        <v>22249</v>
      </c>
      <c r="G6358" s="1" t="s">
        <v>21937</v>
      </c>
      <c r="H6358" s="1" t="s">
        <v>3604</v>
      </c>
      <c r="I6358" s="1" t="s">
        <v>22250</v>
      </c>
      <c r="J6358" s="1" t="s">
        <v>3606</v>
      </c>
      <c r="K6358" s="1" t="s">
        <v>22251</v>
      </c>
      <c r="L6358" s="1"/>
      <c r="M6358" s="1"/>
    </row>
    <row x14ac:dyDescent="0.25" r="6359" customHeight="1" ht="18.75">
      <c r="A6359" s="1" t="s">
        <v>3598</v>
      </c>
      <c r="B6359" s="1" t="s">
        <v>21931</v>
      </c>
      <c r="C6359" s="1" t="s">
        <v>3600</v>
      </c>
      <c r="D6359" s="1" t="s">
        <v>3601</v>
      </c>
      <c r="E6359" s="1" t="s">
        <v>3664</v>
      </c>
      <c r="F6359" s="1" t="s">
        <v>22252</v>
      </c>
      <c r="G6359" s="1" t="s">
        <v>21937</v>
      </c>
      <c r="H6359" s="1" t="s">
        <v>3604</v>
      </c>
      <c r="I6359" s="1" t="s">
        <v>22253</v>
      </c>
      <c r="J6359" s="1" t="s">
        <v>3606</v>
      </c>
      <c r="K6359" s="1" t="s">
        <v>22254</v>
      </c>
      <c r="L6359" s="1"/>
      <c r="M6359" s="1"/>
    </row>
    <row x14ac:dyDescent="0.25" r="6360" customHeight="1" ht="18.75">
      <c r="A6360" s="1" t="s">
        <v>3598</v>
      </c>
      <c r="B6360" s="1" t="s">
        <v>21931</v>
      </c>
      <c r="C6360" s="1" t="s">
        <v>3600</v>
      </c>
      <c r="D6360" s="1" t="s">
        <v>3601</v>
      </c>
      <c r="E6360" s="1" t="s">
        <v>3664</v>
      </c>
      <c r="F6360" s="1" t="s">
        <v>22255</v>
      </c>
      <c r="G6360" s="1" t="s">
        <v>21937</v>
      </c>
      <c r="H6360" s="1" t="s">
        <v>3604</v>
      </c>
      <c r="I6360" s="1" t="s">
        <v>22256</v>
      </c>
      <c r="J6360" s="1" t="s">
        <v>3606</v>
      </c>
      <c r="K6360" s="1" t="s">
        <v>22257</v>
      </c>
      <c r="L6360" s="1"/>
      <c r="M6360" s="1"/>
    </row>
    <row x14ac:dyDescent="0.25" r="6361" customHeight="1" ht="18.75">
      <c r="A6361" s="1" t="s">
        <v>3598</v>
      </c>
      <c r="B6361" s="1" t="s">
        <v>21931</v>
      </c>
      <c r="C6361" s="1" t="s">
        <v>3600</v>
      </c>
      <c r="D6361" s="1" t="s">
        <v>3601</v>
      </c>
      <c r="E6361" s="1" t="s">
        <v>3664</v>
      </c>
      <c r="F6361" s="1" t="s">
        <v>22258</v>
      </c>
      <c r="G6361" s="1" t="s">
        <v>21937</v>
      </c>
      <c r="H6361" s="1" t="s">
        <v>3604</v>
      </c>
      <c r="I6361" s="1" t="s">
        <v>22259</v>
      </c>
      <c r="J6361" s="1" t="s">
        <v>3606</v>
      </c>
      <c r="K6361" s="1" t="s">
        <v>22260</v>
      </c>
      <c r="L6361" s="1"/>
      <c r="M6361" s="1"/>
    </row>
    <row x14ac:dyDescent="0.25" r="6362" customHeight="1" ht="18.75">
      <c r="A6362" s="1" t="s">
        <v>3598</v>
      </c>
      <c r="B6362" s="1" t="s">
        <v>21931</v>
      </c>
      <c r="C6362" s="1" t="s">
        <v>3600</v>
      </c>
      <c r="D6362" s="1" t="s">
        <v>3601</v>
      </c>
      <c r="E6362" s="1" t="s">
        <v>3664</v>
      </c>
      <c r="F6362" s="1" t="s">
        <v>22261</v>
      </c>
      <c r="G6362" s="1" t="s">
        <v>21937</v>
      </c>
      <c r="H6362" s="1" t="s">
        <v>3604</v>
      </c>
      <c r="I6362" s="1" t="s">
        <v>22262</v>
      </c>
      <c r="J6362" s="1" t="s">
        <v>3606</v>
      </c>
      <c r="K6362" s="1" t="s">
        <v>22263</v>
      </c>
      <c r="L6362" s="1"/>
      <c r="M6362" s="1"/>
    </row>
    <row x14ac:dyDescent="0.25" r="6363" customHeight="1" ht="18.75">
      <c r="A6363" s="1" t="s">
        <v>3598</v>
      </c>
      <c r="B6363" s="1" t="s">
        <v>21931</v>
      </c>
      <c r="C6363" s="1" t="s">
        <v>3600</v>
      </c>
      <c r="D6363" s="1" t="s">
        <v>3601</v>
      </c>
      <c r="E6363" s="1" t="s">
        <v>3664</v>
      </c>
      <c r="F6363" s="1" t="s">
        <v>22264</v>
      </c>
      <c r="G6363" s="1" t="s">
        <v>21937</v>
      </c>
      <c r="H6363" s="1" t="s">
        <v>3604</v>
      </c>
      <c r="I6363" s="1" t="s">
        <v>22265</v>
      </c>
      <c r="J6363" s="1" t="s">
        <v>3606</v>
      </c>
      <c r="K6363" s="1" t="s">
        <v>22266</v>
      </c>
      <c r="L6363" s="1"/>
      <c r="M6363" s="1"/>
    </row>
    <row x14ac:dyDescent="0.25" r="6364" customHeight="1" ht="18.75">
      <c r="A6364" s="1" t="s">
        <v>3598</v>
      </c>
      <c r="B6364" s="1" t="s">
        <v>21931</v>
      </c>
      <c r="C6364" s="1" t="s">
        <v>3600</v>
      </c>
      <c r="D6364" s="1" t="s">
        <v>3601</v>
      </c>
      <c r="E6364" s="1" t="s">
        <v>3664</v>
      </c>
      <c r="F6364" s="1" t="s">
        <v>22267</v>
      </c>
      <c r="G6364" s="1" t="s">
        <v>21937</v>
      </c>
      <c r="H6364" s="1" t="s">
        <v>3604</v>
      </c>
      <c r="I6364" s="1" t="s">
        <v>22268</v>
      </c>
      <c r="J6364" s="1" t="s">
        <v>3606</v>
      </c>
      <c r="K6364" s="1" t="s">
        <v>22269</v>
      </c>
      <c r="L6364" s="1"/>
      <c r="M6364" s="1"/>
    </row>
    <row x14ac:dyDescent="0.25" r="6365" customHeight="1" ht="18.75">
      <c r="A6365" s="1" t="s">
        <v>3598</v>
      </c>
      <c r="B6365" s="1" t="s">
        <v>21931</v>
      </c>
      <c r="C6365" s="1" t="s">
        <v>3600</v>
      </c>
      <c r="D6365" s="1" t="s">
        <v>3601</v>
      </c>
      <c r="E6365" s="1" t="s">
        <v>3664</v>
      </c>
      <c r="F6365" s="1" t="s">
        <v>22270</v>
      </c>
      <c r="G6365" s="1" t="s">
        <v>21937</v>
      </c>
      <c r="H6365" s="1" t="s">
        <v>3604</v>
      </c>
      <c r="I6365" s="1" t="s">
        <v>22271</v>
      </c>
      <c r="J6365" s="1" t="s">
        <v>3606</v>
      </c>
      <c r="K6365" s="1" t="s">
        <v>22272</v>
      </c>
      <c r="L6365" s="1"/>
      <c r="M6365" s="1"/>
    </row>
    <row x14ac:dyDescent="0.25" r="6366" customHeight="1" ht="18.75">
      <c r="A6366" s="1" t="s">
        <v>3598</v>
      </c>
      <c r="B6366" s="1" t="s">
        <v>21931</v>
      </c>
      <c r="C6366" s="1" t="s">
        <v>3600</v>
      </c>
      <c r="D6366" s="1" t="s">
        <v>3601</v>
      </c>
      <c r="E6366" s="1" t="s">
        <v>3664</v>
      </c>
      <c r="F6366" s="1" t="s">
        <v>22273</v>
      </c>
      <c r="G6366" s="1" t="s">
        <v>21937</v>
      </c>
      <c r="H6366" s="1" t="s">
        <v>3604</v>
      </c>
      <c r="I6366" s="1" t="s">
        <v>22274</v>
      </c>
      <c r="J6366" s="1" t="s">
        <v>3606</v>
      </c>
      <c r="K6366" s="1" t="s">
        <v>22275</v>
      </c>
      <c r="L6366" s="1"/>
      <c r="M6366" s="1"/>
    </row>
    <row x14ac:dyDescent="0.25" r="6367" customHeight="1" ht="18.75">
      <c r="A6367" s="1" t="s">
        <v>3598</v>
      </c>
      <c r="B6367" s="1" t="s">
        <v>21931</v>
      </c>
      <c r="C6367" s="1" t="s">
        <v>3600</v>
      </c>
      <c r="D6367" s="1" t="s">
        <v>3601</v>
      </c>
      <c r="E6367" s="1" t="s">
        <v>3664</v>
      </c>
      <c r="F6367" s="1" t="s">
        <v>22276</v>
      </c>
      <c r="G6367" s="1" t="s">
        <v>21937</v>
      </c>
      <c r="H6367" s="1" t="s">
        <v>3604</v>
      </c>
      <c r="I6367" s="1" t="s">
        <v>22277</v>
      </c>
      <c r="J6367" s="1" t="s">
        <v>3606</v>
      </c>
      <c r="K6367" s="1" t="s">
        <v>22278</v>
      </c>
      <c r="L6367" s="1"/>
      <c r="M6367" s="1"/>
    </row>
    <row x14ac:dyDescent="0.25" r="6368" customHeight="1" ht="18.75">
      <c r="A6368" s="1" t="s">
        <v>3598</v>
      </c>
      <c r="B6368" s="1" t="s">
        <v>21931</v>
      </c>
      <c r="C6368" s="1" t="s">
        <v>3600</v>
      </c>
      <c r="D6368" s="1" t="s">
        <v>3601</v>
      </c>
      <c r="E6368" s="1" t="s">
        <v>3664</v>
      </c>
      <c r="F6368" s="1" t="s">
        <v>22279</v>
      </c>
      <c r="G6368" s="1" t="s">
        <v>21937</v>
      </c>
      <c r="H6368" s="1" t="s">
        <v>3604</v>
      </c>
      <c r="I6368" s="1" t="s">
        <v>22280</v>
      </c>
      <c r="J6368" s="1" t="s">
        <v>3606</v>
      </c>
      <c r="K6368" s="1" t="s">
        <v>22281</v>
      </c>
      <c r="L6368" s="1"/>
      <c r="M6368" s="1"/>
    </row>
    <row x14ac:dyDescent="0.25" r="6369" customHeight="1" ht="18.75">
      <c r="A6369" s="1" t="s">
        <v>3598</v>
      </c>
      <c r="B6369" s="1" t="s">
        <v>21931</v>
      </c>
      <c r="C6369" s="1" t="s">
        <v>3600</v>
      </c>
      <c r="D6369" s="1" t="s">
        <v>3601</v>
      </c>
      <c r="E6369" s="1" t="s">
        <v>3664</v>
      </c>
      <c r="F6369" s="1" t="s">
        <v>22282</v>
      </c>
      <c r="G6369" s="1" t="s">
        <v>21937</v>
      </c>
      <c r="H6369" s="1" t="s">
        <v>3604</v>
      </c>
      <c r="I6369" s="1" t="s">
        <v>22283</v>
      </c>
      <c r="J6369" s="1" t="s">
        <v>3606</v>
      </c>
      <c r="K6369" s="1" t="s">
        <v>22284</v>
      </c>
      <c r="L6369" s="1"/>
      <c r="M6369" s="1"/>
    </row>
    <row x14ac:dyDescent="0.25" r="6370" customHeight="1" ht="18.75">
      <c r="A6370" s="1" t="s">
        <v>3598</v>
      </c>
      <c r="B6370" s="1" t="s">
        <v>22285</v>
      </c>
      <c r="C6370" s="1" t="s">
        <v>3600</v>
      </c>
      <c r="D6370" s="1" t="s">
        <v>3601</v>
      </c>
      <c r="E6370" s="1" t="s">
        <v>3664</v>
      </c>
      <c r="F6370" s="1" t="s">
        <v>22286</v>
      </c>
      <c r="G6370" s="1" t="s">
        <v>22287</v>
      </c>
      <c r="H6370" s="1" t="s">
        <v>3604</v>
      </c>
      <c r="I6370" s="1" t="s">
        <v>22288</v>
      </c>
      <c r="J6370" s="1" t="s">
        <v>3606</v>
      </c>
      <c r="K6370" s="1" t="s">
        <v>22289</v>
      </c>
      <c r="L6370" s="1"/>
      <c r="M6370" s="1"/>
    </row>
    <row x14ac:dyDescent="0.25" r="6371" customHeight="1" ht="18.75">
      <c r="A6371" s="1" t="s">
        <v>3598</v>
      </c>
      <c r="B6371" s="1" t="s">
        <v>22285</v>
      </c>
      <c r="C6371" s="1" t="s">
        <v>3600</v>
      </c>
      <c r="D6371" s="1" t="s">
        <v>3601</v>
      </c>
      <c r="E6371" s="1" t="s">
        <v>3664</v>
      </c>
      <c r="F6371" s="1" t="s">
        <v>22290</v>
      </c>
      <c r="G6371" s="1" t="s">
        <v>22291</v>
      </c>
      <c r="H6371" s="1" t="s">
        <v>3604</v>
      </c>
      <c r="I6371" s="1" t="s">
        <v>22292</v>
      </c>
      <c r="J6371" s="1" t="s">
        <v>3606</v>
      </c>
      <c r="K6371" s="1" t="s">
        <v>22293</v>
      </c>
      <c r="L6371" s="1"/>
      <c r="M6371" s="1"/>
    </row>
    <row x14ac:dyDescent="0.25" r="6372" customHeight="1" ht="18.75">
      <c r="A6372" s="1" t="s">
        <v>3598</v>
      </c>
      <c r="B6372" s="1" t="s">
        <v>22294</v>
      </c>
      <c r="C6372" s="1" t="s">
        <v>3600</v>
      </c>
      <c r="D6372" s="1" t="s">
        <v>3601</v>
      </c>
      <c r="E6372" s="1" t="s">
        <v>3664</v>
      </c>
      <c r="F6372" s="1" t="s">
        <v>22295</v>
      </c>
      <c r="G6372" s="1" t="s">
        <v>22296</v>
      </c>
      <c r="H6372" s="1" t="s">
        <v>3604</v>
      </c>
      <c r="I6372" s="1" t="s">
        <v>22297</v>
      </c>
      <c r="J6372" s="1" t="s">
        <v>3606</v>
      </c>
      <c r="K6372" s="1" t="s">
        <v>22298</v>
      </c>
      <c r="L6372" s="1"/>
      <c r="M6372" s="1"/>
    </row>
    <row x14ac:dyDescent="0.25" r="6373" customHeight="1" ht="18.75">
      <c r="A6373" s="1" t="s">
        <v>3598</v>
      </c>
      <c r="B6373" s="1" t="s">
        <v>22294</v>
      </c>
      <c r="C6373" s="1" t="s">
        <v>3600</v>
      </c>
      <c r="D6373" s="1" t="s">
        <v>3601</v>
      </c>
      <c r="E6373" s="1" t="s">
        <v>3664</v>
      </c>
      <c r="F6373" s="1" t="s">
        <v>22299</v>
      </c>
      <c r="G6373" s="1" t="s">
        <v>22296</v>
      </c>
      <c r="H6373" s="1" t="s">
        <v>3604</v>
      </c>
      <c r="I6373" s="1" t="s">
        <v>22300</v>
      </c>
      <c r="J6373" s="1" t="s">
        <v>3606</v>
      </c>
      <c r="K6373" s="1" t="s">
        <v>22301</v>
      </c>
      <c r="L6373" s="1"/>
      <c r="M6373" s="1"/>
    </row>
    <row x14ac:dyDescent="0.25" r="6374" customHeight="1" ht="18.75">
      <c r="A6374" s="1" t="s">
        <v>3598</v>
      </c>
      <c r="B6374" s="1" t="s">
        <v>22294</v>
      </c>
      <c r="C6374" s="1" t="s">
        <v>3600</v>
      </c>
      <c r="D6374" s="1" t="s">
        <v>3601</v>
      </c>
      <c r="E6374" s="1" t="s">
        <v>3664</v>
      </c>
      <c r="F6374" s="1" t="s">
        <v>22302</v>
      </c>
      <c r="G6374" s="1" t="s">
        <v>22296</v>
      </c>
      <c r="H6374" s="1" t="s">
        <v>3604</v>
      </c>
      <c r="I6374" s="1" t="s">
        <v>22303</v>
      </c>
      <c r="J6374" s="1" t="s">
        <v>3606</v>
      </c>
      <c r="K6374" s="1" t="s">
        <v>22304</v>
      </c>
      <c r="L6374" s="1"/>
      <c r="M6374" s="1"/>
    </row>
    <row x14ac:dyDescent="0.25" r="6375" customHeight="1" ht="18.75">
      <c r="A6375" s="1" t="s">
        <v>3598</v>
      </c>
      <c r="B6375" s="1" t="s">
        <v>22294</v>
      </c>
      <c r="C6375" s="1" t="s">
        <v>3600</v>
      </c>
      <c r="D6375" s="1" t="s">
        <v>3601</v>
      </c>
      <c r="E6375" s="1" t="s">
        <v>3664</v>
      </c>
      <c r="F6375" s="1" t="s">
        <v>22305</v>
      </c>
      <c r="G6375" s="1" t="s">
        <v>22296</v>
      </c>
      <c r="H6375" s="1" t="s">
        <v>3604</v>
      </c>
      <c r="I6375" s="1" t="s">
        <v>22306</v>
      </c>
      <c r="J6375" s="1" t="s">
        <v>3606</v>
      </c>
      <c r="K6375" s="1" t="s">
        <v>22307</v>
      </c>
      <c r="L6375" s="1"/>
      <c r="M6375" s="1"/>
    </row>
    <row x14ac:dyDescent="0.25" r="6376" customHeight="1" ht="18.75">
      <c r="A6376" s="1" t="s">
        <v>3598</v>
      </c>
      <c r="B6376" s="1" t="s">
        <v>22294</v>
      </c>
      <c r="C6376" s="1" t="s">
        <v>3600</v>
      </c>
      <c r="D6376" s="1" t="s">
        <v>3601</v>
      </c>
      <c r="E6376" s="1" t="s">
        <v>3664</v>
      </c>
      <c r="F6376" s="1" t="s">
        <v>22308</v>
      </c>
      <c r="G6376" s="1" t="s">
        <v>22296</v>
      </c>
      <c r="H6376" s="1" t="s">
        <v>3604</v>
      </c>
      <c r="I6376" s="1" t="s">
        <v>22309</v>
      </c>
      <c r="J6376" s="1" t="s">
        <v>3606</v>
      </c>
      <c r="K6376" s="1" t="s">
        <v>22310</v>
      </c>
      <c r="L6376" s="1"/>
      <c r="M6376" s="1"/>
    </row>
    <row x14ac:dyDescent="0.25" r="6377" customHeight="1" ht="18.75">
      <c r="A6377" s="1" t="s">
        <v>3598</v>
      </c>
      <c r="B6377" s="1" t="s">
        <v>22294</v>
      </c>
      <c r="C6377" s="1" t="s">
        <v>3600</v>
      </c>
      <c r="D6377" s="1" t="s">
        <v>3601</v>
      </c>
      <c r="E6377" s="1" t="s">
        <v>3664</v>
      </c>
      <c r="F6377" s="1" t="s">
        <v>22311</v>
      </c>
      <c r="G6377" s="1" t="s">
        <v>22296</v>
      </c>
      <c r="H6377" s="1" t="s">
        <v>3604</v>
      </c>
      <c r="I6377" s="1" t="s">
        <v>22312</v>
      </c>
      <c r="J6377" s="1" t="s">
        <v>3606</v>
      </c>
      <c r="K6377" s="1" t="s">
        <v>22313</v>
      </c>
      <c r="L6377" s="1"/>
      <c r="M6377" s="1"/>
    </row>
    <row x14ac:dyDescent="0.25" r="6378" customHeight="1" ht="18.75">
      <c r="A6378" s="1" t="s">
        <v>3598</v>
      </c>
      <c r="B6378" s="1" t="s">
        <v>22314</v>
      </c>
      <c r="C6378" s="1" t="s">
        <v>3600</v>
      </c>
      <c r="D6378" s="1" t="s">
        <v>3601</v>
      </c>
      <c r="E6378" s="1" t="s">
        <v>3664</v>
      </c>
      <c r="F6378" s="1" t="s">
        <v>22315</v>
      </c>
      <c r="G6378" s="1" t="s">
        <v>22316</v>
      </c>
      <c r="H6378" s="1" t="s">
        <v>3604</v>
      </c>
      <c r="I6378" s="1" t="s">
        <v>22317</v>
      </c>
      <c r="J6378" s="1" t="s">
        <v>3606</v>
      </c>
      <c r="K6378" s="1" t="s">
        <v>22318</v>
      </c>
      <c r="L6378" s="1"/>
      <c r="M6378" s="1"/>
    </row>
    <row x14ac:dyDescent="0.25" r="6379" customHeight="1" ht="18.75">
      <c r="A6379" s="1" t="s">
        <v>3598</v>
      </c>
      <c r="B6379" s="1" t="s">
        <v>22314</v>
      </c>
      <c r="C6379" s="1" t="s">
        <v>3600</v>
      </c>
      <c r="D6379" s="1" t="s">
        <v>3601</v>
      </c>
      <c r="E6379" s="1" t="s">
        <v>3664</v>
      </c>
      <c r="F6379" s="1" t="s">
        <v>22319</v>
      </c>
      <c r="G6379" s="1" t="s">
        <v>22316</v>
      </c>
      <c r="H6379" s="1" t="s">
        <v>3604</v>
      </c>
      <c r="I6379" s="1" t="s">
        <v>22320</v>
      </c>
      <c r="J6379" s="1" t="s">
        <v>3606</v>
      </c>
      <c r="K6379" s="1" t="s">
        <v>22321</v>
      </c>
      <c r="L6379" s="1"/>
      <c r="M6379" s="1"/>
    </row>
    <row x14ac:dyDescent="0.25" r="6380" customHeight="1" ht="18.75">
      <c r="A6380" s="1" t="s">
        <v>3598</v>
      </c>
      <c r="B6380" s="1" t="s">
        <v>22314</v>
      </c>
      <c r="C6380" s="1" t="s">
        <v>3600</v>
      </c>
      <c r="D6380" s="1" t="s">
        <v>3601</v>
      </c>
      <c r="E6380" s="1" t="s">
        <v>3664</v>
      </c>
      <c r="F6380" s="1" t="s">
        <v>22322</v>
      </c>
      <c r="G6380" s="1" t="s">
        <v>22316</v>
      </c>
      <c r="H6380" s="1" t="s">
        <v>3604</v>
      </c>
      <c r="I6380" s="1" t="s">
        <v>22323</v>
      </c>
      <c r="J6380" s="1" t="s">
        <v>3606</v>
      </c>
      <c r="K6380" s="1" t="s">
        <v>22324</v>
      </c>
      <c r="L6380" s="1"/>
      <c r="M6380" s="1"/>
    </row>
    <row x14ac:dyDescent="0.25" r="6381" customHeight="1" ht="18.75">
      <c r="A6381" s="1" t="s">
        <v>3598</v>
      </c>
      <c r="B6381" s="1" t="s">
        <v>22325</v>
      </c>
      <c r="C6381" s="1" t="s">
        <v>3600</v>
      </c>
      <c r="D6381" s="1" t="s">
        <v>3601</v>
      </c>
      <c r="E6381" s="1" t="s">
        <v>3664</v>
      </c>
      <c r="F6381" s="1" t="s">
        <v>22326</v>
      </c>
      <c r="G6381" s="1" t="s">
        <v>22327</v>
      </c>
      <c r="H6381" s="1" t="s">
        <v>3604</v>
      </c>
      <c r="I6381" s="1" t="s">
        <v>22328</v>
      </c>
      <c r="J6381" s="1" t="s">
        <v>3606</v>
      </c>
      <c r="K6381" s="1" t="s">
        <v>22329</v>
      </c>
      <c r="L6381" s="1"/>
      <c r="M6381" s="1"/>
    </row>
    <row x14ac:dyDescent="0.25" r="6382" customHeight="1" ht="18.75">
      <c r="A6382" s="1" t="s">
        <v>3598</v>
      </c>
      <c r="B6382" s="1" t="s">
        <v>22325</v>
      </c>
      <c r="C6382" s="1" t="s">
        <v>3600</v>
      </c>
      <c r="D6382" s="1" t="s">
        <v>3601</v>
      </c>
      <c r="E6382" s="1" t="s">
        <v>3664</v>
      </c>
      <c r="F6382" s="1" t="s">
        <v>22330</v>
      </c>
      <c r="G6382" s="1" t="s">
        <v>22327</v>
      </c>
      <c r="H6382" s="1" t="s">
        <v>3604</v>
      </c>
      <c r="I6382" s="1" t="s">
        <v>22331</v>
      </c>
      <c r="J6382" s="1" t="s">
        <v>3606</v>
      </c>
      <c r="K6382" s="1" t="s">
        <v>22332</v>
      </c>
      <c r="L6382" s="1"/>
      <c r="M6382" s="1"/>
    </row>
    <row x14ac:dyDescent="0.25" r="6383" customHeight="1" ht="18.75">
      <c r="A6383" s="1" t="s">
        <v>3598</v>
      </c>
      <c r="B6383" s="1" t="s">
        <v>22325</v>
      </c>
      <c r="C6383" s="1" t="s">
        <v>3600</v>
      </c>
      <c r="D6383" s="1" t="s">
        <v>3601</v>
      </c>
      <c r="E6383" s="1" t="s">
        <v>3664</v>
      </c>
      <c r="F6383" s="1" t="s">
        <v>22333</v>
      </c>
      <c r="G6383" s="1" t="s">
        <v>22327</v>
      </c>
      <c r="H6383" s="1" t="s">
        <v>3604</v>
      </c>
      <c r="I6383" s="1" t="s">
        <v>22334</v>
      </c>
      <c r="J6383" s="1" t="s">
        <v>3606</v>
      </c>
      <c r="K6383" s="1" t="s">
        <v>22335</v>
      </c>
      <c r="L6383" s="1"/>
      <c r="M6383" s="1"/>
    </row>
    <row x14ac:dyDescent="0.25" r="6384" customHeight="1" ht="18.75">
      <c r="A6384" s="1" t="s">
        <v>3598</v>
      </c>
      <c r="B6384" s="1" t="s">
        <v>22325</v>
      </c>
      <c r="C6384" s="1" t="s">
        <v>3600</v>
      </c>
      <c r="D6384" s="1" t="s">
        <v>3601</v>
      </c>
      <c r="E6384" s="1" t="s">
        <v>3664</v>
      </c>
      <c r="F6384" s="1" t="s">
        <v>22336</v>
      </c>
      <c r="G6384" s="1" t="s">
        <v>22327</v>
      </c>
      <c r="H6384" s="1" t="s">
        <v>3604</v>
      </c>
      <c r="I6384" s="1" t="s">
        <v>22337</v>
      </c>
      <c r="J6384" s="1" t="s">
        <v>3606</v>
      </c>
      <c r="K6384" s="1" t="s">
        <v>22338</v>
      </c>
      <c r="L6384" s="1"/>
      <c r="M6384" s="1"/>
    </row>
    <row x14ac:dyDescent="0.25" r="6385" customHeight="1" ht="18.75">
      <c r="A6385" s="1" t="s">
        <v>3598</v>
      </c>
      <c r="B6385" s="1" t="s">
        <v>22339</v>
      </c>
      <c r="C6385" s="1" t="s">
        <v>3600</v>
      </c>
      <c r="D6385" s="1" t="s">
        <v>3601</v>
      </c>
      <c r="E6385" s="1" t="s">
        <v>3664</v>
      </c>
      <c r="F6385" s="1" t="s">
        <v>22340</v>
      </c>
      <c r="G6385" s="1" t="s">
        <v>22341</v>
      </c>
      <c r="H6385" s="1" t="s">
        <v>3604</v>
      </c>
      <c r="I6385" s="1" t="s">
        <v>22342</v>
      </c>
      <c r="J6385" s="1" t="s">
        <v>3606</v>
      </c>
      <c r="K6385" s="1" t="s">
        <v>22343</v>
      </c>
      <c r="L6385" s="1"/>
      <c r="M6385" s="1"/>
    </row>
    <row x14ac:dyDescent="0.25" r="6386" customHeight="1" ht="18.75">
      <c r="A6386" s="1" t="s">
        <v>3598</v>
      </c>
      <c r="B6386" s="1" t="s">
        <v>22339</v>
      </c>
      <c r="C6386" s="1" t="s">
        <v>3600</v>
      </c>
      <c r="D6386" s="1" t="s">
        <v>3601</v>
      </c>
      <c r="E6386" s="1" t="s">
        <v>3664</v>
      </c>
      <c r="F6386" s="1" t="s">
        <v>22344</v>
      </c>
      <c r="G6386" s="1" t="s">
        <v>22341</v>
      </c>
      <c r="H6386" s="1" t="s">
        <v>3604</v>
      </c>
      <c r="I6386" s="1" t="s">
        <v>22345</v>
      </c>
      <c r="J6386" s="1" t="s">
        <v>3606</v>
      </c>
      <c r="K6386" s="1" t="s">
        <v>22346</v>
      </c>
      <c r="L6386" s="1"/>
      <c r="M6386" s="1"/>
    </row>
    <row x14ac:dyDescent="0.25" r="6387" customHeight="1" ht="18.75">
      <c r="A6387" s="1" t="s">
        <v>3598</v>
      </c>
      <c r="B6387" s="1" t="s">
        <v>22339</v>
      </c>
      <c r="C6387" s="1" t="s">
        <v>3600</v>
      </c>
      <c r="D6387" s="1" t="s">
        <v>3601</v>
      </c>
      <c r="E6387" s="1" t="s">
        <v>3664</v>
      </c>
      <c r="F6387" s="1" t="s">
        <v>22347</v>
      </c>
      <c r="G6387" s="1" t="s">
        <v>22341</v>
      </c>
      <c r="H6387" s="1" t="s">
        <v>3604</v>
      </c>
      <c r="I6387" s="1" t="s">
        <v>22348</v>
      </c>
      <c r="J6387" s="1" t="s">
        <v>3606</v>
      </c>
      <c r="K6387" s="1" t="s">
        <v>22349</v>
      </c>
      <c r="L6387" s="1"/>
      <c r="M6387" s="1"/>
    </row>
    <row x14ac:dyDescent="0.25" r="6388" customHeight="1" ht="18.75">
      <c r="A6388" s="1" t="s">
        <v>3598</v>
      </c>
      <c r="B6388" s="1" t="s">
        <v>16868</v>
      </c>
      <c r="C6388" s="1" t="s">
        <v>3600</v>
      </c>
      <c r="D6388" s="1" t="s">
        <v>3601</v>
      </c>
      <c r="E6388" s="1" t="s">
        <v>3664</v>
      </c>
      <c r="F6388" s="1" t="s">
        <v>22350</v>
      </c>
      <c r="G6388" s="1" t="s">
        <v>16870</v>
      </c>
      <c r="H6388" s="1" t="s">
        <v>3604</v>
      </c>
      <c r="I6388" s="1" t="s">
        <v>22351</v>
      </c>
      <c r="J6388" s="1" t="s">
        <v>3606</v>
      </c>
      <c r="K6388" s="1" t="s">
        <v>22352</v>
      </c>
      <c r="L6388" s="1"/>
      <c r="M6388" s="1"/>
    </row>
    <row x14ac:dyDescent="0.25" r="6389" customHeight="1" ht="18.75">
      <c r="A6389" s="1" t="s">
        <v>3598</v>
      </c>
      <c r="B6389" s="1" t="s">
        <v>21767</v>
      </c>
      <c r="C6389" s="1" t="s">
        <v>3600</v>
      </c>
      <c r="D6389" s="1" t="s">
        <v>3601</v>
      </c>
      <c r="E6389" s="1" t="s">
        <v>3664</v>
      </c>
      <c r="F6389" s="1" t="s">
        <v>22353</v>
      </c>
      <c r="G6389" s="1" t="s">
        <v>21769</v>
      </c>
      <c r="H6389" s="1" t="s">
        <v>3604</v>
      </c>
      <c r="I6389" s="1" t="s">
        <v>22354</v>
      </c>
      <c r="J6389" s="1" t="s">
        <v>3606</v>
      </c>
      <c r="K6389" s="1" t="s">
        <v>22355</v>
      </c>
      <c r="L6389" s="1"/>
      <c r="M6389" s="1"/>
    </row>
    <row x14ac:dyDescent="0.25" r="6390" customHeight="1" ht="18.75">
      <c r="A6390" s="1" t="s">
        <v>3598</v>
      </c>
      <c r="B6390" s="1" t="s">
        <v>21672</v>
      </c>
      <c r="C6390" s="1" t="s">
        <v>3600</v>
      </c>
      <c r="D6390" s="1" t="s">
        <v>3601</v>
      </c>
      <c r="E6390" s="1" t="s">
        <v>3664</v>
      </c>
      <c r="F6390" s="1" t="s">
        <v>22356</v>
      </c>
      <c r="G6390" s="1" t="s">
        <v>21674</v>
      </c>
      <c r="H6390" s="1" t="s">
        <v>3604</v>
      </c>
      <c r="I6390" s="1" t="s">
        <v>22357</v>
      </c>
      <c r="J6390" s="1" t="s">
        <v>3606</v>
      </c>
      <c r="K6390" s="1" t="s">
        <v>22358</v>
      </c>
      <c r="L6390" s="1"/>
      <c r="M6390" s="1"/>
    </row>
    <row x14ac:dyDescent="0.25" r="6391" customHeight="1" ht="18.75">
      <c r="A6391" s="1" t="s">
        <v>3598</v>
      </c>
      <c r="B6391" s="1" t="s">
        <v>16526</v>
      </c>
      <c r="C6391" s="1" t="s">
        <v>3600</v>
      </c>
      <c r="D6391" s="1" t="s">
        <v>3601</v>
      </c>
      <c r="E6391" s="1" t="s">
        <v>3664</v>
      </c>
      <c r="F6391" s="1" t="s">
        <v>22359</v>
      </c>
      <c r="G6391" s="1" t="s">
        <v>16528</v>
      </c>
      <c r="H6391" s="1" t="s">
        <v>3604</v>
      </c>
      <c r="I6391" s="1" t="s">
        <v>22360</v>
      </c>
      <c r="J6391" s="1" t="s">
        <v>3606</v>
      </c>
      <c r="K6391" s="1" t="s">
        <v>22361</v>
      </c>
      <c r="L6391" s="1"/>
      <c r="M6391" s="1"/>
    </row>
    <row x14ac:dyDescent="0.25" r="6392" customHeight="1" ht="18.75">
      <c r="A6392" s="1" t="s">
        <v>3598</v>
      </c>
      <c r="B6392" s="1" t="s">
        <v>22362</v>
      </c>
      <c r="C6392" s="1" t="s">
        <v>3600</v>
      </c>
      <c r="D6392" s="1" t="s">
        <v>3601</v>
      </c>
      <c r="E6392" s="1" t="s">
        <v>3664</v>
      </c>
      <c r="F6392" s="1" t="s">
        <v>22363</v>
      </c>
      <c r="G6392" s="1" t="s">
        <v>22364</v>
      </c>
      <c r="H6392" s="1" t="s">
        <v>3604</v>
      </c>
      <c r="I6392" s="1" t="s">
        <v>22365</v>
      </c>
      <c r="J6392" s="1" t="s">
        <v>3606</v>
      </c>
      <c r="K6392" s="1" t="s">
        <v>22366</v>
      </c>
      <c r="L6392" s="1"/>
      <c r="M6392" s="1"/>
    </row>
    <row x14ac:dyDescent="0.25" r="6393" customHeight="1" ht="18.75">
      <c r="A6393" s="1" t="s">
        <v>3598</v>
      </c>
      <c r="B6393" s="1" t="s">
        <v>22367</v>
      </c>
      <c r="C6393" s="1" t="s">
        <v>3600</v>
      </c>
      <c r="D6393" s="1" t="s">
        <v>3601</v>
      </c>
      <c r="E6393" s="1" t="s">
        <v>3664</v>
      </c>
      <c r="F6393" s="1" t="s">
        <v>22368</v>
      </c>
      <c r="G6393" s="1" t="s">
        <v>22369</v>
      </c>
      <c r="H6393" s="1" t="s">
        <v>3604</v>
      </c>
      <c r="I6393" s="1" t="s">
        <v>22370</v>
      </c>
      <c r="J6393" s="1" t="s">
        <v>3606</v>
      </c>
      <c r="K6393" s="1" t="s">
        <v>22371</v>
      </c>
      <c r="L6393" s="1"/>
      <c r="M6393" s="1"/>
    </row>
    <row x14ac:dyDescent="0.25" r="6394" customHeight="1" ht="18.75">
      <c r="A6394" s="1" t="s">
        <v>3598</v>
      </c>
      <c r="B6394" s="1" t="s">
        <v>16092</v>
      </c>
      <c r="C6394" s="1" t="s">
        <v>3600</v>
      </c>
      <c r="D6394" s="1" t="s">
        <v>3601</v>
      </c>
      <c r="E6394" s="1" t="s">
        <v>3664</v>
      </c>
      <c r="F6394" s="1" t="s">
        <v>22372</v>
      </c>
      <c r="G6394" s="1" t="s">
        <v>16094</v>
      </c>
      <c r="H6394" s="1" t="s">
        <v>3604</v>
      </c>
      <c r="I6394" s="1" t="s">
        <v>22373</v>
      </c>
      <c r="J6394" s="1" t="s">
        <v>3606</v>
      </c>
      <c r="K6394" s="1" t="s">
        <v>22374</v>
      </c>
      <c r="L6394" s="1"/>
      <c r="M6394" s="1"/>
    </row>
    <row x14ac:dyDescent="0.25" r="6395" customHeight="1" ht="18.75">
      <c r="A6395" s="1" t="s">
        <v>3598</v>
      </c>
      <c r="B6395" s="1" t="s">
        <v>16129</v>
      </c>
      <c r="C6395" s="1" t="s">
        <v>3600</v>
      </c>
      <c r="D6395" s="1" t="s">
        <v>3601</v>
      </c>
      <c r="E6395" s="1" t="s">
        <v>3664</v>
      </c>
      <c r="F6395" s="1" t="s">
        <v>22375</v>
      </c>
      <c r="G6395" s="1" t="s">
        <v>16131</v>
      </c>
      <c r="H6395" s="1" t="s">
        <v>3604</v>
      </c>
      <c r="I6395" s="1" t="s">
        <v>22376</v>
      </c>
      <c r="J6395" s="1" t="s">
        <v>3606</v>
      </c>
      <c r="K6395" s="1" t="s">
        <v>22377</v>
      </c>
      <c r="L6395" s="1"/>
      <c r="M6395" s="1"/>
    </row>
    <row x14ac:dyDescent="0.25" r="6396" customHeight="1" ht="18.75">
      <c r="A6396" s="1" t="s">
        <v>3598</v>
      </c>
      <c r="B6396" s="1" t="s">
        <v>22378</v>
      </c>
      <c r="C6396" s="1" t="s">
        <v>3600</v>
      </c>
      <c r="D6396" s="1" t="s">
        <v>3601</v>
      </c>
      <c r="E6396" s="1" t="s">
        <v>3664</v>
      </c>
      <c r="F6396" s="1" t="s">
        <v>22379</v>
      </c>
      <c r="G6396" s="1" t="s">
        <v>22380</v>
      </c>
      <c r="H6396" s="1" t="s">
        <v>3604</v>
      </c>
      <c r="I6396" s="1" t="s">
        <v>22381</v>
      </c>
      <c r="J6396" s="1" t="s">
        <v>3606</v>
      </c>
      <c r="K6396" s="1" t="s">
        <v>22382</v>
      </c>
      <c r="L6396" s="1"/>
      <c r="M6396" s="1"/>
    </row>
    <row x14ac:dyDescent="0.25" r="6397" customHeight="1" ht="18.75">
      <c r="A6397" s="1" t="s">
        <v>3598</v>
      </c>
      <c r="B6397" s="1" t="s">
        <v>22383</v>
      </c>
      <c r="C6397" s="1" t="s">
        <v>3600</v>
      </c>
      <c r="D6397" s="1" t="s">
        <v>3601</v>
      </c>
      <c r="E6397" s="1" t="s">
        <v>3664</v>
      </c>
      <c r="F6397" s="1" t="s">
        <v>22384</v>
      </c>
      <c r="G6397" s="1" t="s">
        <v>22385</v>
      </c>
      <c r="H6397" s="1" t="s">
        <v>3604</v>
      </c>
      <c r="I6397" s="1" t="s">
        <v>22386</v>
      </c>
      <c r="J6397" s="1" t="s">
        <v>3606</v>
      </c>
      <c r="K6397" s="1" t="s">
        <v>22387</v>
      </c>
      <c r="L6397" s="1"/>
      <c r="M6397" s="1"/>
    </row>
    <row x14ac:dyDescent="0.25" r="6398" customHeight="1" ht="18.75">
      <c r="A6398" s="1" t="s">
        <v>3598</v>
      </c>
      <c r="B6398" s="1" t="s">
        <v>16115</v>
      </c>
      <c r="C6398" s="1" t="s">
        <v>3600</v>
      </c>
      <c r="D6398" s="1" t="s">
        <v>3601</v>
      </c>
      <c r="E6398" s="1" t="s">
        <v>3664</v>
      </c>
      <c r="F6398" s="1" t="s">
        <v>22388</v>
      </c>
      <c r="G6398" s="1" t="s">
        <v>16117</v>
      </c>
      <c r="H6398" s="1" t="s">
        <v>3604</v>
      </c>
      <c r="I6398" s="1" t="s">
        <v>22389</v>
      </c>
      <c r="J6398" s="1" t="s">
        <v>3606</v>
      </c>
      <c r="K6398" s="1" t="s">
        <v>22390</v>
      </c>
      <c r="L6398" s="1"/>
      <c r="M6398" s="1"/>
    </row>
    <row x14ac:dyDescent="0.25" r="6399" customHeight="1" ht="18.75">
      <c r="A6399" s="1" t="s">
        <v>3598</v>
      </c>
      <c r="B6399" s="1" t="s">
        <v>18490</v>
      </c>
      <c r="C6399" s="1" t="s">
        <v>3600</v>
      </c>
      <c r="D6399" s="1" t="s">
        <v>3601</v>
      </c>
      <c r="E6399" s="1" t="s">
        <v>3664</v>
      </c>
      <c r="F6399" s="1" t="s">
        <v>22391</v>
      </c>
      <c r="G6399" s="1" t="s">
        <v>18246</v>
      </c>
      <c r="H6399" s="1" t="s">
        <v>3604</v>
      </c>
      <c r="I6399" s="1" t="s">
        <v>22392</v>
      </c>
      <c r="J6399" s="1" t="s">
        <v>3606</v>
      </c>
      <c r="K6399" s="1" t="s">
        <v>22393</v>
      </c>
      <c r="L6399" s="1"/>
      <c r="M6399" s="1"/>
    </row>
    <row x14ac:dyDescent="0.25" r="6400" customHeight="1" ht="18.75">
      <c r="A6400" s="1" t="s">
        <v>3598</v>
      </c>
      <c r="B6400" s="1" t="s">
        <v>22394</v>
      </c>
      <c r="C6400" s="1" t="s">
        <v>3600</v>
      </c>
      <c r="D6400" s="1" t="s">
        <v>3601</v>
      </c>
      <c r="E6400" s="1" t="s">
        <v>3664</v>
      </c>
      <c r="F6400" s="1" t="s">
        <v>22395</v>
      </c>
      <c r="G6400" s="1" t="s">
        <v>22396</v>
      </c>
      <c r="H6400" s="1" t="s">
        <v>3604</v>
      </c>
      <c r="I6400" s="1" t="s">
        <v>22397</v>
      </c>
      <c r="J6400" s="1" t="s">
        <v>3606</v>
      </c>
      <c r="K6400" s="1" t="s">
        <v>22398</v>
      </c>
      <c r="L6400" s="1"/>
      <c r="M6400" s="1"/>
    </row>
    <row x14ac:dyDescent="0.25" r="6401" customHeight="1" ht="18.75">
      <c r="A6401" s="1" t="s">
        <v>3598</v>
      </c>
      <c r="B6401" s="1" t="s">
        <v>8651</v>
      </c>
      <c r="C6401" s="1" t="s">
        <v>3600</v>
      </c>
      <c r="D6401" s="1" t="s">
        <v>3601</v>
      </c>
      <c r="E6401" s="1" t="s">
        <v>3664</v>
      </c>
      <c r="F6401" s="1" t="s">
        <v>22399</v>
      </c>
      <c r="G6401" s="1" t="s">
        <v>8653</v>
      </c>
      <c r="H6401" s="1" t="s">
        <v>3604</v>
      </c>
      <c r="I6401" s="1" t="s">
        <v>22400</v>
      </c>
      <c r="J6401" s="1" t="s">
        <v>3606</v>
      </c>
      <c r="K6401" s="1" t="s">
        <v>22401</v>
      </c>
      <c r="L6401" s="1"/>
      <c r="M6401" s="1"/>
    </row>
    <row x14ac:dyDescent="0.25" r="6402" customHeight="1" ht="18.75">
      <c r="A6402" s="1" t="s">
        <v>3598</v>
      </c>
      <c r="B6402" s="1" t="s">
        <v>22402</v>
      </c>
      <c r="C6402" s="1" t="s">
        <v>3600</v>
      </c>
      <c r="D6402" s="1" t="s">
        <v>3601</v>
      </c>
      <c r="E6402" s="1" t="s">
        <v>3664</v>
      </c>
      <c r="F6402" s="1" t="s">
        <v>22403</v>
      </c>
      <c r="G6402" s="1" t="s">
        <v>22404</v>
      </c>
      <c r="H6402" s="1" t="s">
        <v>3604</v>
      </c>
      <c r="I6402" s="1" t="s">
        <v>22405</v>
      </c>
      <c r="J6402" s="1" t="s">
        <v>3606</v>
      </c>
      <c r="K6402" s="1" t="s">
        <v>22406</v>
      </c>
      <c r="L6402" s="1"/>
      <c r="M6402" s="1"/>
    </row>
    <row x14ac:dyDescent="0.25" r="6403" customHeight="1" ht="18.75">
      <c r="A6403" s="1" t="s">
        <v>3598</v>
      </c>
      <c r="B6403" s="1" t="s">
        <v>22407</v>
      </c>
      <c r="C6403" s="1" t="s">
        <v>3600</v>
      </c>
      <c r="D6403" s="1" t="s">
        <v>3601</v>
      </c>
      <c r="E6403" s="1" t="s">
        <v>3664</v>
      </c>
      <c r="F6403" s="1" t="s">
        <v>22408</v>
      </c>
      <c r="G6403" s="1" t="s">
        <v>22409</v>
      </c>
      <c r="H6403" s="1" t="s">
        <v>3604</v>
      </c>
      <c r="I6403" s="1" t="s">
        <v>22410</v>
      </c>
      <c r="J6403" s="1" t="s">
        <v>3606</v>
      </c>
      <c r="K6403" s="1" t="s">
        <v>22411</v>
      </c>
      <c r="L6403" s="1"/>
      <c r="M6403" s="1"/>
    </row>
    <row x14ac:dyDescent="0.25" r="6404" customHeight="1" ht="18.75">
      <c r="A6404" s="1" t="s">
        <v>3598</v>
      </c>
      <c r="B6404" s="1" t="s">
        <v>8576</v>
      </c>
      <c r="C6404" s="1" t="s">
        <v>3600</v>
      </c>
      <c r="D6404" s="1" t="s">
        <v>3601</v>
      </c>
      <c r="E6404" s="1" t="s">
        <v>3664</v>
      </c>
      <c r="F6404" s="1" t="s">
        <v>22412</v>
      </c>
      <c r="G6404" s="1" t="s">
        <v>8578</v>
      </c>
      <c r="H6404" s="1" t="s">
        <v>3604</v>
      </c>
      <c r="I6404" s="1" t="s">
        <v>22413</v>
      </c>
      <c r="J6404" s="1" t="s">
        <v>3606</v>
      </c>
      <c r="K6404" s="1" t="s">
        <v>22414</v>
      </c>
      <c r="L6404" s="1"/>
      <c r="M6404" s="1"/>
    </row>
    <row x14ac:dyDescent="0.25" r="6405" customHeight="1" ht="18.75">
      <c r="A6405" s="1" t="s">
        <v>3598</v>
      </c>
      <c r="B6405" s="1" t="s">
        <v>22415</v>
      </c>
      <c r="C6405" s="1" t="s">
        <v>3600</v>
      </c>
      <c r="D6405" s="1" t="s">
        <v>3601</v>
      </c>
      <c r="E6405" s="1" t="s">
        <v>3664</v>
      </c>
      <c r="F6405" s="1" t="s">
        <v>22416</v>
      </c>
      <c r="G6405" s="1" t="s">
        <v>22417</v>
      </c>
      <c r="H6405" s="1" t="s">
        <v>3604</v>
      </c>
      <c r="I6405" s="1" t="s">
        <v>22418</v>
      </c>
      <c r="J6405" s="1" t="s">
        <v>3606</v>
      </c>
      <c r="K6405" s="1" t="s">
        <v>22419</v>
      </c>
      <c r="L6405" s="1"/>
      <c r="M6405" s="1"/>
    </row>
    <row x14ac:dyDescent="0.25" r="6406" customHeight="1" ht="18.75">
      <c r="A6406" s="1" t="s">
        <v>3598</v>
      </c>
      <c r="B6406" s="1" t="s">
        <v>22420</v>
      </c>
      <c r="C6406" s="1" t="s">
        <v>3600</v>
      </c>
      <c r="D6406" s="1" t="s">
        <v>3601</v>
      </c>
      <c r="E6406" s="1" t="s">
        <v>3664</v>
      </c>
      <c r="F6406" s="1" t="s">
        <v>22421</v>
      </c>
      <c r="G6406" s="1" t="s">
        <v>22422</v>
      </c>
      <c r="H6406" s="1" t="s">
        <v>3604</v>
      </c>
      <c r="I6406" s="1" t="s">
        <v>22423</v>
      </c>
      <c r="J6406" s="1" t="s">
        <v>3606</v>
      </c>
      <c r="K6406" s="1" t="s">
        <v>22424</v>
      </c>
      <c r="L6406" s="1"/>
      <c r="M6406" s="1"/>
    </row>
    <row x14ac:dyDescent="0.25" r="6407" customHeight="1" ht="18.75">
      <c r="A6407" s="1" t="s">
        <v>3598</v>
      </c>
      <c r="B6407" s="1" t="s">
        <v>22420</v>
      </c>
      <c r="C6407" s="1" t="s">
        <v>3600</v>
      </c>
      <c r="D6407" s="1" t="s">
        <v>3601</v>
      </c>
      <c r="E6407" s="1" t="s">
        <v>3664</v>
      </c>
      <c r="F6407" s="1" t="s">
        <v>22425</v>
      </c>
      <c r="G6407" s="1" t="s">
        <v>22426</v>
      </c>
      <c r="H6407" s="1" t="s">
        <v>3604</v>
      </c>
      <c r="I6407" s="1" t="s">
        <v>22427</v>
      </c>
      <c r="J6407" s="1" t="s">
        <v>3606</v>
      </c>
      <c r="K6407" s="1" t="s">
        <v>22428</v>
      </c>
      <c r="L6407" s="1"/>
      <c r="M6407" s="1"/>
    </row>
    <row x14ac:dyDescent="0.25" r="6408" customHeight="1" ht="18.75">
      <c r="A6408" s="1" t="s">
        <v>3598</v>
      </c>
      <c r="B6408" s="1" t="s">
        <v>22407</v>
      </c>
      <c r="C6408" s="1" t="s">
        <v>3600</v>
      </c>
      <c r="D6408" s="1" t="s">
        <v>3601</v>
      </c>
      <c r="E6408" s="1" t="s">
        <v>3664</v>
      </c>
      <c r="F6408" s="1" t="s">
        <v>22429</v>
      </c>
      <c r="G6408" s="1" t="s">
        <v>22409</v>
      </c>
      <c r="H6408" s="1" t="s">
        <v>3604</v>
      </c>
      <c r="I6408" s="1" t="s">
        <v>22430</v>
      </c>
      <c r="J6408" s="1" t="s">
        <v>3606</v>
      </c>
      <c r="K6408" s="1" t="s">
        <v>22431</v>
      </c>
      <c r="L6408" s="1"/>
      <c r="M6408" s="1"/>
    </row>
    <row x14ac:dyDescent="0.25" r="6409" customHeight="1" ht="18.75">
      <c r="A6409" s="1" t="s">
        <v>3598</v>
      </c>
      <c r="B6409" s="1" t="s">
        <v>22407</v>
      </c>
      <c r="C6409" s="1" t="s">
        <v>3600</v>
      </c>
      <c r="D6409" s="1" t="s">
        <v>3601</v>
      </c>
      <c r="E6409" s="1" t="s">
        <v>3664</v>
      </c>
      <c r="F6409" s="1" t="s">
        <v>22432</v>
      </c>
      <c r="G6409" s="1" t="s">
        <v>22409</v>
      </c>
      <c r="H6409" s="1" t="s">
        <v>3604</v>
      </c>
      <c r="I6409" s="1" t="s">
        <v>22433</v>
      </c>
      <c r="J6409" s="1" t="s">
        <v>3606</v>
      </c>
      <c r="K6409" s="1" t="s">
        <v>22434</v>
      </c>
      <c r="L6409" s="1"/>
      <c r="M6409" s="1"/>
    </row>
    <row x14ac:dyDescent="0.25" r="6410" customHeight="1" ht="18.75">
      <c r="A6410" s="1" t="s">
        <v>3598</v>
      </c>
      <c r="B6410" s="1" t="s">
        <v>22407</v>
      </c>
      <c r="C6410" s="1" t="s">
        <v>3600</v>
      </c>
      <c r="D6410" s="1" t="s">
        <v>3601</v>
      </c>
      <c r="E6410" s="1" t="s">
        <v>3664</v>
      </c>
      <c r="F6410" s="1" t="s">
        <v>22435</v>
      </c>
      <c r="G6410" s="1" t="s">
        <v>22409</v>
      </c>
      <c r="H6410" s="1" t="s">
        <v>3604</v>
      </c>
      <c r="I6410" s="1" t="s">
        <v>22436</v>
      </c>
      <c r="J6410" s="1" t="s">
        <v>3606</v>
      </c>
      <c r="K6410" s="1" t="s">
        <v>22437</v>
      </c>
      <c r="L6410" s="1"/>
      <c r="M6410" s="1"/>
    </row>
    <row x14ac:dyDescent="0.25" r="6411" customHeight="1" ht="18.75">
      <c r="A6411" s="1" t="s">
        <v>3598</v>
      </c>
      <c r="B6411" s="1" t="s">
        <v>8576</v>
      </c>
      <c r="C6411" s="1" t="s">
        <v>3600</v>
      </c>
      <c r="D6411" s="1" t="s">
        <v>3601</v>
      </c>
      <c r="E6411" s="1" t="s">
        <v>3664</v>
      </c>
      <c r="F6411" s="1" t="s">
        <v>22438</v>
      </c>
      <c r="G6411" s="1" t="s">
        <v>8578</v>
      </c>
      <c r="H6411" s="1" t="s">
        <v>3604</v>
      </c>
      <c r="I6411" s="1" t="s">
        <v>22439</v>
      </c>
      <c r="J6411" s="1" t="s">
        <v>3606</v>
      </c>
      <c r="K6411" s="1" t="s">
        <v>22440</v>
      </c>
      <c r="L6411" s="1"/>
      <c r="M6411" s="1"/>
    </row>
    <row x14ac:dyDescent="0.25" r="6412" customHeight="1" ht="18.75">
      <c r="A6412" s="1" t="s">
        <v>3598</v>
      </c>
      <c r="B6412" s="1" t="s">
        <v>8576</v>
      </c>
      <c r="C6412" s="1" t="s">
        <v>3600</v>
      </c>
      <c r="D6412" s="1" t="s">
        <v>3601</v>
      </c>
      <c r="E6412" s="1" t="s">
        <v>3664</v>
      </c>
      <c r="F6412" s="1" t="s">
        <v>22441</v>
      </c>
      <c r="G6412" s="1" t="s">
        <v>8578</v>
      </c>
      <c r="H6412" s="1" t="s">
        <v>3604</v>
      </c>
      <c r="I6412" s="1" t="s">
        <v>22442</v>
      </c>
      <c r="J6412" s="1" t="s">
        <v>3606</v>
      </c>
      <c r="K6412" s="1" t="s">
        <v>22443</v>
      </c>
      <c r="L6412" s="1"/>
      <c r="M6412" s="1"/>
    </row>
    <row x14ac:dyDescent="0.25" r="6413" customHeight="1" ht="18.75">
      <c r="A6413" s="1" t="s">
        <v>3598</v>
      </c>
      <c r="B6413" s="1" t="s">
        <v>8576</v>
      </c>
      <c r="C6413" s="1" t="s">
        <v>3600</v>
      </c>
      <c r="D6413" s="1" t="s">
        <v>3601</v>
      </c>
      <c r="E6413" s="1" t="s">
        <v>3664</v>
      </c>
      <c r="F6413" s="1" t="s">
        <v>22444</v>
      </c>
      <c r="G6413" s="1" t="s">
        <v>8578</v>
      </c>
      <c r="H6413" s="1" t="s">
        <v>3604</v>
      </c>
      <c r="I6413" s="1" t="s">
        <v>22445</v>
      </c>
      <c r="J6413" s="1" t="s">
        <v>3606</v>
      </c>
      <c r="K6413" s="1" t="s">
        <v>22446</v>
      </c>
      <c r="L6413" s="1"/>
      <c r="M6413" s="1"/>
    </row>
    <row x14ac:dyDescent="0.25" r="6414" customHeight="1" ht="18.75">
      <c r="A6414" s="1" t="s">
        <v>3598</v>
      </c>
      <c r="B6414" s="1" t="s">
        <v>8576</v>
      </c>
      <c r="C6414" s="1" t="s">
        <v>3600</v>
      </c>
      <c r="D6414" s="1" t="s">
        <v>3601</v>
      </c>
      <c r="E6414" s="1" t="s">
        <v>3664</v>
      </c>
      <c r="F6414" s="1" t="s">
        <v>22447</v>
      </c>
      <c r="G6414" s="1" t="s">
        <v>8578</v>
      </c>
      <c r="H6414" s="1" t="s">
        <v>3604</v>
      </c>
      <c r="I6414" s="1" t="s">
        <v>22448</v>
      </c>
      <c r="J6414" s="1" t="s">
        <v>3606</v>
      </c>
      <c r="K6414" s="1" t="s">
        <v>22449</v>
      </c>
      <c r="L6414" s="1"/>
      <c r="M6414" s="1"/>
    </row>
    <row x14ac:dyDescent="0.25" r="6415" customHeight="1" ht="18.75">
      <c r="A6415" s="1" t="s">
        <v>3598</v>
      </c>
      <c r="B6415" s="1" t="s">
        <v>16723</v>
      </c>
      <c r="C6415" s="1" t="s">
        <v>3600</v>
      </c>
      <c r="D6415" s="1" t="s">
        <v>3601</v>
      </c>
      <c r="E6415" s="1" t="s">
        <v>3893</v>
      </c>
      <c r="F6415" s="1" t="s">
        <v>22450</v>
      </c>
      <c r="G6415" s="1" t="s">
        <v>16725</v>
      </c>
      <c r="H6415" s="1" t="s">
        <v>3604</v>
      </c>
      <c r="I6415" s="1" t="s">
        <v>22451</v>
      </c>
      <c r="J6415" s="1" t="s">
        <v>3606</v>
      </c>
      <c r="K6415" s="1" t="s">
        <v>22452</v>
      </c>
      <c r="L6415" s="1"/>
      <c r="M6415" s="1"/>
    </row>
    <row x14ac:dyDescent="0.25" r="6416" customHeight="1" ht="18.75">
      <c r="A6416" s="1" t="s">
        <v>3598</v>
      </c>
      <c r="B6416" s="1" t="s">
        <v>16723</v>
      </c>
      <c r="C6416" s="1" t="s">
        <v>3600</v>
      </c>
      <c r="D6416" s="1" t="s">
        <v>3601</v>
      </c>
      <c r="E6416" s="1" t="s">
        <v>3893</v>
      </c>
      <c r="F6416" s="1" t="s">
        <v>22453</v>
      </c>
      <c r="G6416" s="1" t="s">
        <v>16725</v>
      </c>
      <c r="H6416" s="1" t="s">
        <v>3604</v>
      </c>
      <c r="I6416" s="1" t="s">
        <v>22454</v>
      </c>
      <c r="J6416" s="1" t="s">
        <v>3606</v>
      </c>
      <c r="K6416" s="1" t="s">
        <v>22455</v>
      </c>
      <c r="L6416" s="1"/>
      <c r="M6416" s="1"/>
    </row>
    <row x14ac:dyDescent="0.25" r="6417" customHeight="1" ht="18.75">
      <c r="A6417" s="1" t="s">
        <v>3598</v>
      </c>
      <c r="B6417" s="1" t="s">
        <v>16723</v>
      </c>
      <c r="C6417" s="1" t="s">
        <v>3600</v>
      </c>
      <c r="D6417" s="1" t="s">
        <v>3601</v>
      </c>
      <c r="E6417" s="1" t="s">
        <v>3893</v>
      </c>
      <c r="F6417" s="1" t="s">
        <v>22456</v>
      </c>
      <c r="G6417" s="1" t="s">
        <v>16725</v>
      </c>
      <c r="H6417" s="1" t="s">
        <v>3604</v>
      </c>
      <c r="I6417" s="1" t="s">
        <v>22457</v>
      </c>
      <c r="J6417" s="1" t="s">
        <v>3606</v>
      </c>
      <c r="K6417" s="1" t="s">
        <v>22458</v>
      </c>
      <c r="L6417" s="1"/>
      <c r="M6417" s="1"/>
    </row>
    <row x14ac:dyDescent="0.25" r="6418" customHeight="1" ht="18.75">
      <c r="A6418" s="1" t="s">
        <v>3598</v>
      </c>
      <c r="B6418" s="1" t="s">
        <v>8619</v>
      </c>
      <c r="C6418" s="1" t="s">
        <v>3600</v>
      </c>
      <c r="D6418" s="1" t="s">
        <v>3601</v>
      </c>
      <c r="E6418" s="1" t="s">
        <v>3664</v>
      </c>
      <c r="F6418" s="1" t="s">
        <v>22459</v>
      </c>
      <c r="G6418" s="1" t="s">
        <v>9845</v>
      </c>
      <c r="H6418" s="1" t="s">
        <v>3604</v>
      </c>
      <c r="I6418" s="1" t="s">
        <v>22460</v>
      </c>
      <c r="J6418" s="1" t="s">
        <v>3606</v>
      </c>
      <c r="K6418" s="1" t="s">
        <v>22461</v>
      </c>
      <c r="L6418" s="1"/>
      <c r="M6418" s="1"/>
    </row>
    <row x14ac:dyDescent="0.25" r="6419" customHeight="1" ht="18.75">
      <c r="A6419" s="1" t="s">
        <v>3598</v>
      </c>
      <c r="B6419" s="1" t="s">
        <v>8619</v>
      </c>
      <c r="C6419" s="1" t="s">
        <v>3600</v>
      </c>
      <c r="D6419" s="1" t="s">
        <v>3601</v>
      </c>
      <c r="E6419" s="1" t="s">
        <v>3664</v>
      </c>
      <c r="F6419" s="1" t="s">
        <v>22462</v>
      </c>
      <c r="G6419" s="1" t="s">
        <v>9845</v>
      </c>
      <c r="H6419" s="1" t="s">
        <v>3604</v>
      </c>
      <c r="I6419" s="1" t="s">
        <v>22463</v>
      </c>
      <c r="J6419" s="1" t="s">
        <v>3606</v>
      </c>
      <c r="K6419" s="1" t="s">
        <v>22464</v>
      </c>
      <c r="L6419" s="1"/>
      <c r="M6419" s="1"/>
    </row>
    <row x14ac:dyDescent="0.25" r="6420" customHeight="1" ht="18.75">
      <c r="A6420" s="1" t="s">
        <v>3598</v>
      </c>
      <c r="B6420" s="1" t="s">
        <v>8619</v>
      </c>
      <c r="C6420" s="1" t="s">
        <v>3600</v>
      </c>
      <c r="D6420" s="1" t="s">
        <v>3601</v>
      </c>
      <c r="E6420" s="1" t="s">
        <v>3664</v>
      </c>
      <c r="F6420" s="1" t="s">
        <v>22465</v>
      </c>
      <c r="G6420" s="1" t="s">
        <v>9845</v>
      </c>
      <c r="H6420" s="1" t="s">
        <v>3604</v>
      </c>
      <c r="I6420" s="1" t="s">
        <v>22466</v>
      </c>
      <c r="J6420" s="1" t="s">
        <v>3606</v>
      </c>
      <c r="K6420" s="1" t="s">
        <v>22467</v>
      </c>
      <c r="L6420" s="1"/>
      <c r="M6420" s="1"/>
    </row>
    <row x14ac:dyDescent="0.25" r="6421" customHeight="1" ht="18.75">
      <c r="A6421" s="1" t="s">
        <v>3598</v>
      </c>
      <c r="B6421" s="1" t="s">
        <v>8619</v>
      </c>
      <c r="C6421" s="1" t="s">
        <v>3600</v>
      </c>
      <c r="D6421" s="1" t="s">
        <v>3601</v>
      </c>
      <c r="E6421" s="1" t="s">
        <v>3664</v>
      </c>
      <c r="F6421" s="1" t="s">
        <v>22468</v>
      </c>
      <c r="G6421" s="1" t="s">
        <v>8621</v>
      </c>
      <c r="H6421" s="1" t="s">
        <v>3604</v>
      </c>
      <c r="I6421" s="1" t="s">
        <v>22469</v>
      </c>
      <c r="J6421" s="1" t="s">
        <v>3606</v>
      </c>
      <c r="K6421" s="1" t="s">
        <v>22470</v>
      </c>
      <c r="L6421" s="1"/>
      <c r="M6421" s="1"/>
    </row>
    <row x14ac:dyDescent="0.25" r="6422" customHeight="1" ht="18.75">
      <c r="A6422" s="1" t="s">
        <v>3598</v>
      </c>
      <c r="B6422" s="1" t="s">
        <v>8619</v>
      </c>
      <c r="C6422" s="1" t="s">
        <v>3600</v>
      </c>
      <c r="D6422" s="1" t="s">
        <v>3601</v>
      </c>
      <c r="E6422" s="1" t="s">
        <v>3664</v>
      </c>
      <c r="F6422" s="1" t="s">
        <v>22471</v>
      </c>
      <c r="G6422" s="1" t="s">
        <v>8621</v>
      </c>
      <c r="H6422" s="1" t="s">
        <v>3604</v>
      </c>
      <c r="I6422" s="1" t="s">
        <v>22472</v>
      </c>
      <c r="J6422" s="1" t="s">
        <v>3606</v>
      </c>
      <c r="K6422" s="1" t="s">
        <v>22473</v>
      </c>
      <c r="L6422" s="1"/>
      <c r="M6422" s="1"/>
    </row>
    <row x14ac:dyDescent="0.25" r="6423" customHeight="1" ht="18.75">
      <c r="A6423" s="1" t="s">
        <v>3598</v>
      </c>
      <c r="B6423" s="1" t="s">
        <v>8619</v>
      </c>
      <c r="C6423" s="1" t="s">
        <v>3600</v>
      </c>
      <c r="D6423" s="1" t="s">
        <v>3601</v>
      </c>
      <c r="E6423" s="1" t="s">
        <v>3664</v>
      </c>
      <c r="F6423" s="1" t="s">
        <v>22474</v>
      </c>
      <c r="G6423" s="1" t="s">
        <v>8621</v>
      </c>
      <c r="H6423" s="1" t="s">
        <v>3604</v>
      </c>
      <c r="I6423" s="1" t="s">
        <v>22475</v>
      </c>
      <c r="J6423" s="1" t="s">
        <v>3606</v>
      </c>
      <c r="K6423" s="1" t="s">
        <v>22476</v>
      </c>
      <c r="L6423" s="1"/>
      <c r="M6423" s="1"/>
    </row>
    <row x14ac:dyDescent="0.25" r="6424" customHeight="1" ht="18.75">
      <c r="A6424" s="1" t="s">
        <v>7833</v>
      </c>
      <c r="B6424" s="1" t="s">
        <v>8269</v>
      </c>
      <c r="C6424" s="1" t="s">
        <v>4488</v>
      </c>
      <c r="D6424" s="1" t="s">
        <v>3601</v>
      </c>
      <c r="E6424" s="1" t="s">
        <v>8096</v>
      </c>
      <c r="F6424" s="1" t="s">
        <v>22477</v>
      </c>
      <c r="G6424" s="1" t="s">
        <v>14824</v>
      </c>
      <c r="H6424" s="1" t="s">
        <v>3604</v>
      </c>
      <c r="I6424" s="1" t="s">
        <v>22478</v>
      </c>
      <c r="J6424" s="1" t="s">
        <v>3606</v>
      </c>
      <c r="K6424" s="1" t="s">
        <v>20823</v>
      </c>
      <c r="L6424" s="1"/>
      <c r="M6424" s="1"/>
    </row>
    <row x14ac:dyDescent="0.25" r="6425" customHeight="1" ht="18.75">
      <c r="A6425" s="1" t="s">
        <v>7833</v>
      </c>
      <c r="B6425" s="1" t="s">
        <v>8269</v>
      </c>
      <c r="C6425" s="1" t="s">
        <v>4488</v>
      </c>
      <c r="D6425" s="1" t="s">
        <v>3601</v>
      </c>
      <c r="E6425" s="1" t="s">
        <v>8096</v>
      </c>
      <c r="F6425" s="1" t="s">
        <v>22479</v>
      </c>
      <c r="G6425" s="1" t="s">
        <v>14824</v>
      </c>
      <c r="H6425" s="1" t="s">
        <v>3604</v>
      </c>
      <c r="I6425" s="1" t="s">
        <v>22480</v>
      </c>
      <c r="J6425" s="1" t="s">
        <v>3606</v>
      </c>
      <c r="K6425" s="1" t="s">
        <v>9075</v>
      </c>
      <c r="L6425" s="1"/>
      <c r="M6425" s="1"/>
    </row>
    <row x14ac:dyDescent="0.25" r="6426" customHeight="1" ht="18.75">
      <c r="A6426" s="1" t="s">
        <v>7833</v>
      </c>
      <c r="B6426" s="1" t="s">
        <v>8269</v>
      </c>
      <c r="C6426" s="1" t="s">
        <v>4488</v>
      </c>
      <c r="D6426" s="1" t="s">
        <v>3601</v>
      </c>
      <c r="E6426" s="1" t="s">
        <v>3664</v>
      </c>
      <c r="F6426" s="1" t="s">
        <v>22481</v>
      </c>
      <c r="G6426" s="1" t="s">
        <v>8271</v>
      </c>
      <c r="H6426" s="1" t="s">
        <v>3604</v>
      </c>
      <c r="I6426" s="1" t="s">
        <v>22482</v>
      </c>
      <c r="J6426" s="1" t="s">
        <v>3606</v>
      </c>
      <c r="K6426" s="1" t="s">
        <v>21566</v>
      </c>
      <c r="L6426" s="1"/>
      <c r="M6426" s="1"/>
    </row>
    <row x14ac:dyDescent="0.25" r="6427" customHeight="1" ht="18.75">
      <c r="A6427" s="1" t="s">
        <v>7833</v>
      </c>
      <c r="B6427" s="1" t="s">
        <v>8269</v>
      </c>
      <c r="C6427" s="1" t="s">
        <v>4488</v>
      </c>
      <c r="D6427" s="1" t="s">
        <v>3601</v>
      </c>
      <c r="E6427" s="1" t="s">
        <v>3664</v>
      </c>
      <c r="F6427" s="1" t="s">
        <v>22483</v>
      </c>
      <c r="G6427" s="1" t="s">
        <v>8271</v>
      </c>
      <c r="H6427" s="1" t="s">
        <v>3604</v>
      </c>
      <c r="I6427" s="1" t="s">
        <v>22484</v>
      </c>
      <c r="J6427" s="1" t="s">
        <v>3606</v>
      </c>
      <c r="K6427" s="1" t="s">
        <v>21569</v>
      </c>
      <c r="L6427" s="1"/>
      <c r="M6427" s="1"/>
    </row>
    <row x14ac:dyDescent="0.25" r="6428" customHeight="1" ht="18.75">
      <c r="A6428" s="1" t="s">
        <v>7833</v>
      </c>
      <c r="B6428" s="1" t="s">
        <v>8269</v>
      </c>
      <c r="C6428" s="1" t="s">
        <v>4488</v>
      </c>
      <c r="D6428" s="1" t="s">
        <v>3601</v>
      </c>
      <c r="E6428" s="1" t="s">
        <v>3664</v>
      </c>
      <c r="F6428" s="1" t="s">
        <v>22485</v>
      </c>
      <c r="G6428" s="1" t="s">
        <v>8275</v>
      </c>
      <c r="H6428" s="1" t="s">
        <v>3604</v>
      </c>
      <c r="I6428" s="1" t="s">
        <v>22486</v>
      </c>
      <c r="J6428" s="1" t="s">
        <v>3606</v>
      </c>
      <c r="K6428" s="1" t="s">
        <v>22487</v>
      </c>
      <c r="L6428" s="1"/>
      <c r="M6428" s="1"/>
    </row>
    <row x14ac:dyDescent="0.25" r="6429" customHeight="1" ht="18.75">
      <c r="A6429" s="1" t="s">
        <v>7833</v>
      </c>
      <c r="B6429" s="1" t="s">
        <v>8269</v>
      </c>
      <c r="C6429" s="1" t="s">
        <v>4488</v>
      </c>
      <c r="D6429" s="1" t="s">
        <v>3601</v>
      </c>
      <c r="E6429" s="1" t="s">
        <v>3664</v>
      </c>
      <c r="F6429" s="1" t="s">
        <v>22488</v>
      </c>
      <c r="G6429" s="1" t="s">
        <v>8275</v>
      </c>
      <c r="H6429" s="1" t="s">
        <v>3604</v>
      </c>
      <c r="I6429" s="1" t="s">
        <v>22489</v>
      </c>
      <c r="J6429" s="1" t="s">
        <v>3606</v>
      </c>
      <c r="K6429" s="1" t="s">
        <v>21572</v>
      </c>
      <c r="L6429" s="1"/>
      <c r="M6429" s="1"/>
    </row>
    <row x14ac:dyDescent="0.25" r="6430" customHeight="1" ht="18.75">
      <c r="A6430" s="1" t="s">
        <v>7833</v>
      </c>
      <c r="B6430" s="1" t="s">
        <v>8269</v>
      </c>
      <c r="C6430" s="1" t="s">
        <v>4488</v>
      </c>
      <c r="D6430" s="1" t="s">
        <v>3601</v>
      </c>
      <c r="E6430" s="1" t="s">
        <v>3664</v>
      </c>
      <c r="F6430" s="1" t="s">
        <v>22490</v>
      </c>
      <c r="G6430" s="1" t="s">
        <v>22491</v>
      </c>
      <c r="H6430" s="1" t="s">
        <v>3604</v>
      </c>
      <c r="I6430" s="1" t="s">
        <v>22492</v>
      </c>
      <c r="J6430" s="1" t="s">
        <v>3606</v>
      </c>
      <c r="K6430" s="1" t="s">
        <v>22493</v>
      </c>
      <c r="L6430" s="1"/>
      <c r="M6430" s="1"/>
    </row>
    <row x14ac:dyDescent="0.25" r="6431" customHeight="1" ht="18.75">
      <c r="A6431" s="1" t="s">
        <v>3617</v>
      </c>
      <c r="B6431" s="1" t="s">
        <v>5222</v>
      </c>
      <c r="C6431" s="1" t="s">
        <v>3619</v>
      </c>
      <c r="D6431" s="1" t="s">
        <v>3601</v>
      </c>
      <c r="E6431" s="1" t="s">
        <v>3664</v>
      </c>
      <c r="F6431" s="1" t="s">
        <v>22494</v>
      </c>
      <c r="G6431" s="1" t="s">
        <v>22495</v>
      </c>
      <c r="H6431" s="1" t="s">
        <v>3604</v>
      </c>
      <c r="I6431" s="1" t="s">
        <v>22496</v>
      </c>
      <c r="J6431" s="1" t="s">
        <v>3606</v>
      </c>
      <c r="K6431" s="1" t="s">
        <v>22497</v>
      </c>
      <c r="L6431" s="1"/>
      <c r="M6431" s="1"/>
    </row>
    <row x14ac:dyDescent="0.25" r="6432" customHeight="1" ht="18.75">
      <c r="A6432" s="1" t="s">
        <v>3617</v>
      </c>
      <c r="B6432" s="1" t="s">
        <v>5222</v>
      </c>
      <c r="C6432" s="1" t="s">
        <v>3619</v>
      </c>
      <c r="D6432" s="1" t="s">
        <v>3601</v>
      </c>
      <c r="E6432" s="1" t="s">
        <v>3664</v>
      </c>
      <c r="F6432" s="1" t="s">
        <v>22498</v>
      </c>
      <c r="G6432" s="1" t="s">
        <v>22495</v>
      </c>
      <c r="H6432" s="1" t="s">
        <v>3604</v>
      </c>
      <c r="I6432" s="1" t="s">
        <v>22499</v>
      </c>
      <c r="J6432" s="1" t="s">
        <v>3606</v>
      </c>
      <c r="K6432" s="1" t="s">
        <v>22500</v>
      </c>
      <c r="L6432" s="1"/>
      <c r="M6432" s="1"/>
    </row>
    <row x14ac:dyDescent="0.25" r="6433" customHeight="1" ht="18.75">
      <c r="A6433" s="1" t="s">
        <v>7833</v>
      </c>
      <c r="B6433" s="1" t="s">
        <v>8269</v>
      </c>
      <c r="C6433" s="1" t="s">
        <v>4488</v>
      </c>
      <c r="D6433" s="1" t="s">
        <v>3601</v>
      </c>
      <c r="E6433" s="1" t="s">
        <v>3664</v>
      </c>
      <c r="F6433" s="1" t="s">
        <v>22501</v>
      </c>
      <c r="G6433" s="1" t="s">
        <v>8279</v>
      </c>
      <c r="H6433" s="1" t="s">
        <v>3604</v>
      </c>
      <c r="I6433" s="1" t="s">
        <v>22502</v>
      </c>
      <c r="J6433" s="1" t="s">
        <v>3606</v>
      </c>
      <c r="K6433" s="1" t="s">
        <v>22503</v>
      </c>
      <c r="L6433" s="1"/>
      <c r="M6433" s="1"/>
    </row>
    <row x14ac:dyDescent="0.25" r="6434" customHeight="1" ht="18.75">
      <c r="A6434" s="1" t="s">
        <v>3598</v>
      </c>
      <c r="B6434" s="1" t="s">
        <v>4689</v>
      </c>
      <c r="C6434" s="1" t="s">
        <v>3600</v>
      </c>
      <c r="D6434" s="1" t="s">
        <v>533</v>
      </c>
      <c r="E6434" s="1" t="s">
        <v>3752</v>
      </c>
      <c r="F6434" s="1" t="s">
        <v>22504</v>
      </c>
      <c r="G6434" s="1" t="s">
        <v>22505</v>
      </c>
      <c r="H6434" s="1" t="s">
        <v>3604</v>
      </c>
      <c r="I6434" s="1" t="s">
        <v>22506</v>
      </c>
      <c r="J6434" s="1" t="s">
        <v>3606</v>
      </c>
      <c r="K6434" s="1" t="s">
        <v>22507</v>
      </c>
      <c r="L6434" s="1"/>
      <c r="M6434" s="1"/>
    </row>
    <row x14ac:dyDescent="0.25" r="6435" customHeight="1" ht="18.75">
      <c r="A6435" s="1" t="s">
        <v>3598</v>
      </c>
      <c r="B6435" s="1" t="s">
        <v>4689</v>
      </c>
      <c r="C6435" s="1" t="s">
        <v>3600</v>
      </c>
      <c r="D6435" s="1" t="s">
        <v>533</v>
      </c>
      <c r="E6435" s="1" t="s">
        <v>3752</v>
      </c>
      <c r="F6435" s="1" t="s">
        <v>22508</v>
      </c>
      <c r="G6435" s="1" t="s">
        <v>19962</v>
      </c>
      <c r="H6435" s="1" t="s">
        <v>3604</v>
      </c>
      <c r="I6435" s="1" t="s">
        <v>22509</v>
      </c>
      <c r="J6435" s="1" t="s">
        <v>3606</v>
      </c>
      <c r="K6435" s="1" t="s">
        <v>22510</v>
      </c>
      <c r="L6435" s="1"/>
      <c r="M6435" s="1"/>
    </row>
    <row x14ac:dyDescent="0.25" r="6436" customHeight="1" ht="18.75">
      <c r="A6436" s="1" t="s">
        <v>3598</v>
      </c>
      <c r="B6436" s="1" t="s">
        <v>4689</v>
      </c>
      <c r="C6436" s="1" t="s">
        <v>3600</v>
      </c>
      <c r="D6436" s="1" t="s">
        <v>3610</v>
      </c>
      <c r="E6436" s="1" t="s">
        <v>3752</v>
      </c>
      <c r="F6436" s="1" t="s">
        <v>22511</v>
      </c>
      <c r="G6436" s="1" t="s">
        <v>22512</v>
      </c>
      <c r="H6436" s="1" t="s">
        <v>3604</v>
      </c>
      <c r="I6436" s="1" t="s">
        <v>22513</v>
      </c>
      <c r="J6436" s="1" t="s">
        <v>3606</v>
      </c>
      <c r="K6436" s="1" t="s">
        <v>22514</v>
      </c>
      <c r="L6436" s="1"/>
      <c r="M6436" s="1"/>
    </row>
    <row x14ac:dyDescent="0.25" r="6437" customHeight="1" ht="18.75">
      <c r="A6437" s="1" t="s">
        <v>3598</v>
      </c>
      <c r="B6437" s="1" t="s">
        <v>4689</v>
      </c>
      <c r="C6437" s="1" t="s">
        <v>3600</v>
      </c>
      <c r="D6437" s="1" t="s">
        <v>3610</v>
      </c>
      <c r="E6437" s="1" t="s">
        <v>3752</v>
      </c>
      <c r="F6437" s="1" t="s">
        <v>22515</v>
      </c>
      <c r="G6437" s="1" t="s">
        <v>22516</v>
      </c>
      <c r="H6437" s="1" t="s">
        <v>3604</v>
      </c>
      <c r="I6437" s="1" t="s">
        <v>22517</v>
      </c>
      <c r="J6437" s="1" t="s">
        <v>3606</v>
      </c>
      <c r="K6437" s="1" t="s">
        <v>22518</v>
      </c>
      <c r="L6437" s="1"/>
      <c r="M6437" s="1"/>
    </row>
    <row x14ac:dyDescent="0.25" r="6438" customHeight="1" ht="18.75">
      <c r="A6438" s="1" t="s">
        <v>3598</v>
      </c>
      <c r="B6438" s="1" t="s">
        <v>4689</v>
      </c>
      <c r="C6438" s="1" t="s">
        <v>3600</v>
      </c>
      <c r="D6438" s="1" t="s">
        <v>3610</v>
      </c>
      <c r="E6438" s="1" t="s">
        <v>3752</v>
      </c>
      <c r="F6438" s="1" t="s">
        <v>22519</v>
      </c>
      <c r="G6438" s="1" t="s">
        <v>22505</v>
      </c>
      <c r="H6438" s="1" t="s">
        <v>3604</v>
      </c>
      <c r="I6438" s="1" t="s">
        <v>22520</v>
      </c>
      <c r="J6438" s="1" t="s">
        <v>3606</v>
      </c>
      <c r="K6438" s="1" t="s">
        <v>22521</v>
      </c>
      <c r="L6438" s="1"/>
      <c r="M6438" s="1"/>
    </row>
    <row x14ac:dyDescent="0.25" r="6439" customHeight="1" ht="18.75">
      <c r="A6439" s="1" t="s">
        <v>3598</v>
      </c>
      <c r="B6439" s="1" t="s">
        <v>4689</v>
      </c>
      <c r="C6439" s="1" t="s">
        <v>3600</v>
      </c>
      <c r="D6439" s="1" t="s">
        <v>3610</v>
      </c>
      <c r="E6439" s="1" t="s">
        <v>3752</v>
      </c>
      <c r="F6439" s="1" t="s">
        <v>22522</v>
      </c>
      <c r="G6439" s="1" t="s">
        <v>22505</v>
      </c>
      <c r="H6439" s="1" t="s">
        <v>3604</v>
      </c>
      <c r="I6439" s="1" t="s">
        <v>22523</v>
      </c>
      <c r="J6439" s="1" t="s">
        <v>3606</v>
      </c>
      <c r="K6439" s="1" t="s">
        <v>22524</v>
      </c>
      <c r="L6439" s="1"/>
      <c r="M6439" s="1"/>
    </row>
    <row x14ac:dyDescent="0.25" r="6440" customHeight="1" ht="18.75">
      <c r="A6440" s="1" t="s">
        <v>3598</v>
      </c>
      <c r="B6440" s="1" t="s">
        <v>4689</v>
      </c>
      <c r="C6440" s="1" t="s">
        <v>3600</v>
      </c>
      <c r="D6440" s="1" t="s">
        <v>3610</v>
      </c>
      <c r="E6440" s="1" t="s">
        <v>3752</v>
      </c>
      <c r="F6440" s="1" t="s">
        <v>22525</v>
      </c>
      <c r="G6440" s="1" t="s">
        <v>22505</v>
      </c>
      <c r="H6440" s="1" t="s">
        <v>3604</v>
      </c>
      <c r="I6440" s="1" t="s">
        <v>22526</v>
      </c>
      <c r="J6440" s="1" t="s">
        <v>3606</v>
      </c>
      <c r="K6440" s="1" t="s">
        <v>22527</v>
      </c>
      <c r="L6440" s="1"/>
      <c r="M6440" s="1"/>
    </row>
    <row x14ac:dyDescent="0.25" r="6441" customHeight="1" ht="18.75">
      <c r="A6441" s="1" t="s">
        <v>3598</v>
      </c>
      <c r="B6441" s="1" t="s">
        <v>4689</v>
      </c>
      <c r="C6441" s="1" t="s">
        <v>3600</v>
      </c>
      <c r="D6441" s="1" t="s">
        <v>3610</v>
      </c>
      <c r="E6441" s="1" t="s">
        <v>3752</v>
      </c>
      <c r="F6441" s="1" t="s">
        <v>22528</v>
      </c>
      <c r="G6441" s="1" t="s">
        <v>22529</v>
      </c>
      <c r="H6441" s="1" t="s">
        <v>3604</v>
      </c>
      <c r="I6441" s="1" t="s">
        <v>22530</v>
      </c>
      <c r="J6441" s="1" t="s">
        <v>3606</v>
      </c>
      <c r="K6441" s="1" t="s">
        <v>22531</v>
      </c>
      <c r="L6441" s="1"/>
      <c r="M6441" s="1"/>
    </row>
    <row x14ac:dyDescent="0.25" r="6442" customHeight="1" ht="18.75">
      <c r="A6442" s="1" t="s">
        <v>3617</v>
      </c>
      <c r="B6442" s="1" t="s">
        <v>3825</v>
      </c>
      <c r="C6442" s="1" t="s">
        <v>3619</v>
      </c>
      <c r="D6442" s="1" t="s">
        <v>533</v>
      </c>
      <c r="E6442" s="1" t="s">
        <v>3664</v>
      </c>
      <c r="F6442" s="1" t="s">
        <v>22532</v>
      </c>
      <c r="G6442" s="1" t="s">
        <v>17872</v>
      </c>
      <c r="H6442" s="1" t="s">
        <v>3604</v>
      </c>
      <c r="I6442" s="1" t="s">
        <v>22533</v>
      </c>
      <c r="J6442" s="1" t="s">
        <v>3606</v>
      </c>
      <c r="K6442" s="1" t="s">
        <v>22534</v>
      </c>
      <c r="L6442" s="1"/>
      <c r="M6442" s="1"/>
    </row>
    <row x14ac:dyDescent="0.25" r="6443" customHeight="1" ht="18.75">
      <c r="A6443" s="1" t="s">
        <v>3598</v>
      </c>
      <c r="B6443" s="1" t="s">
        <v>4689</v>
      </c>
      <c r="C6443" s="1" t="s">
        <v>3600</v>
      </c>
      <c r="D6443" s="1" t="s">
        <v>3610</v>
      </c>
      <c r="E6443" s="1" t="s">
        <v>3752</v>
      </c>
      <c r="F6443" s="1" t="s">
        <v>22535</v>
      </c>
      <c r="G6443" s="1" t="s">
        <v>19962</v>
      </c>
      <c r="H6443" s="1" t="s">
        <v>3604</v>
      </c>
      <c r="I6443" s="1" t="s">
        <v>22536</v>
      </c>
      <c r="J6443" s="1" t="s">
        <v>3606</v>
      </c>
      <c r="K6443" s="1" t="s">
        <v>22537</v>
      </c>
      <c r="L6443" s="1"/>
      <c r="M6443" s="1"/>
    </row>
    <row x14ac:dyDescent="0.25" r="6444" customHeight="1" ht="18.75">
      <c r="A6444" s="1" t="s">
        <v>3617</v>
      </c>
      <c r="B6444" s="1" t="s">
        <v>3825</v>
      </c>
      <c r="C6444" s="1" t="s">
        <v>3619</v>
      </c>
      <c r="D6444" s="1" t="s">
        <v>533</v>
      </c>
      <c r="E6444" s="1" t="s">
        <v>3752</v>
      </c>
      <c r="F6444" s="1" t="s">
        <v>22538</v>
      </c>
      <c r="G6444" s="1" t="s">
        <v>17872</v>
      </c>
      <c r="H6444" s="1" t="s">
        <v>3604</v>
      </c>
      <c r="I6444" s="1" t="s">
        <v>22539</v>
      </c>
      <c r="J6444" s="1" t="s">
        <v>3606</v>
      </c>
      <c r="K6444" s="1" t="s">
        <v>22540</v>
      </c>
      <c r="L6444" s="1"/>
      <c r="M6444" s="1"/>
    </row>
    <row x14ac:dyDescent="0.25" r="6445" customHeight="1" ht="18.75">
      <c r="A6445" s="1" t="s">
        <v>3598</v>
      </c>
      <c r="B6445" s="1" t="s">
        <v>4689</v>
      </c>
      <c r="C6445" s="1" t="s">
        <v>3600</v>
      </c>
      <c r="D6445" s="1" t="s">
        <v>3610</v>
      </c>
      <c r="E6445" s="1" t="s">
        <v>3752</v>
      </c>
      <c r="F6445" s="1" t="s">
        <v>22541</v>
      </c>
      <c r="G6445" s="1" t="s">
        <v>19962</v>
      </c>
      <c r="H6445" s="1" t="s">
        <v>3604</v>
      </c>
      <c r="I6445" s="1" t="s">
        <v>22542</v>
      </c>
      <c r="J6445" s="1" t="s">
        <v>3606</v>
      </c>
      <c r="K6445" s="1" t="s">
        <v>22543</v>
      </c>
      <c r="L6445" s="1"/>
      <c r="M6445" s="1"/>
    </row>
    <row x14ac:dyDescent="0.25" r="6446" customHeight="1" ht="18.75">
      <c r="A6446" s="1" t="s">
        <v>3598</v>
      </c>
      <c r="B6446" s="1" t="s">
        <v>4689</v>
      </c>
      <c r="C6446" s="1" t="s">
        <v>3600</v>
      </c>
      <c r="D6446" s="1" t="s">
        <v>3610</v>
      </c>
      <c r="E6446" s="1" t="s">
        <v>3752</v>
      </c>
      <c r="F6446" s="1" t="s">
        <v>22544</v>
      </c>
      <c r="G6446" s="1" t="s">
        <v>19962</v>
      </c>
      <c r="H6446" s="1" t="s">
        <v>3604</v>
      </c>
      <c r="I6446" s="1" t="s">
        <v>22545</v>
      </c>
      <c r="J6446" s="1" t="s">
        <v>3606</v>
      </c>
      <c r="K6446" s="1" t="s">
        <v>22546</v>
      </c>
      <c r="L6446" s="1"/>
      <c r="M6446" s="1"/>
    </row>
    <row x14ac:dyDescent="0.25" r="6447" customHeight="1" ht="18.75">
      <c r="A6447" s="1" t="s">
        <v>3598</v>
      </c>
      <c r="B6447" s="1" t="s">
        <v>4689</v>
      </c>
      <c r="C6447" s="1" t="s">
        <v>3600</v>
      </c>
      <c r="D6447" s="1" t="s">
        <v>3610</v>
      </c>
      <c r="E6447" s="1" t="s">
        <v>3752</v>
      </c>
      <c r="F6447" s="1" t="s">
        <v>22547</v>
      </c>
      <c r="G6447" s="1" t="s">
        <v>20945</v>
      </c>
      <c r="H6447" s="1" t="s">
        <v>3604</v>
      </c>
      <c r="I6447" s="1" t="s">
        <v>22548</v>
      </c>
      <c r="J6447" s="1" t="s">
        <v>3606</v>
      </c>
      <c r="K6447" s="1" t="s">
        <v>22549</v>
      </c>
      <c r="L6447" s="1"/>
      <c r="M6447" s="1"/>
    </row>
    <row x14ac:dyDescent="0.25" r="6448" customHeight="1" ht="18.75">
      <c r="A6448" s="1" t="s">
        <v>3598</v>
      </c>
      <c r="B6448" s="1" t="s">
        <v>4689</v>
      </c>
      <c r="C6448" s="1" t="s">
        <v>3600</v>
      </c>
      <c r="D6448" s="1" t="s">
        <v>3610</v>
      </c>
      <c r="E6448" s="1" t="s">
        <v>3752</v>
      </c>
      <c r="F6448" s="1" t="s">
        <v>22550</v>
      </c>
      <c r="G6448" s="1" t="s">
        <v>20945</v>
      </c>
      <c r="H6448" s="1" t="s">
        <v>3604</v>
      </c>
      <c r="I6448" s="1" t="s">
        <v>22551</v>
      </c>
      <c r="J6448" s="1" t="s">
        <v>3606</v>
      </c>
      <c r="K6448" s="1" t="s">
        <v>22552</v>
      </c>
      <c r="L6448" s="1"/>
      <c r="M6448" s="1"/>
    </row>
    <row x14ac:dyDescent="0.25" r="6449" customHeight="1" ht="18.75">
      <c r="A6449" s="1" t="s">
        <v>3598</v>
      </c>
      <c r="B6449" s="1" t="s">
        <v>4689</v>
      </c>
      <c r="C6449" s="1" t="s">
        <v>3600</v>
      </c>
      <c r="D6449" s="1" t="s">
        <v>3610</v>
      </c>
      <c r="E6449" s="1" t="s">
        <v>3752</v>
      </c>
      <c r="F6449" s="1" t="s">
        <v>22553</v>
      </c>
      <c r="G6449" s="1" t="s">
        <v>20945</v>
      </c>
      <c r="H6449" s="1" t="s">
        <v>3604</v>
      </c>
      <c r="I6449" s="1" t="s">
        <v>22554</v>
      </c>
      <c r="J6449" s="1" t="s">
        <v>3606</v>
      </c>
      <c r="K6449" s="1" t="s">
        <v>22555</v>
      </c>
      <c r="L6449" s="1"/>
      <c r="M6449" s="1"/>
    </row>
    <row x14ac:dyDescent="0.25" r="6450" customHeight="1" ht="18.75">
      <c r="A6450" s="1" t="s">
        <v>3598</v>
      </c>
      <c r="B6450" s="1" t="s">
        <v>5260</v>
      </c>
      <c r="C6450" s="1" t="s">
        <v>3600</v>
      </c>
      <c r="D6450" s="1" t="s">
        <v>3610</v>
      </c>
      <c r="E6450" s="1" t="s">
        <v>3664</v>
      </c>
      <c r="F6450" s="1" t="s">
        <v>22556</v>
      </c>
      <c r="G6450" s="1" t="s">
        <v>16656</v>
      </c>
      <c r="H6450" s="1" t="s">
        <v>3604</v>
      </c>
      <c r="I6450" s="1" t="s">
        <v>22557</v>
      </c>
      <c r="J6450" s="1" t="s">
        <v>3606</v>
      </c>
      <c r="K6450" s="1" t="s">
        <v>22558</v>
      </c>
      <c r="L6450" s="1"/>
      <c r="M6450" s="1"/>
    </row>
    <row x14ac:dyDescent="0.25" r="6451" customHeight="1" ht="18.75">
      <c r="A6451" s="1" t="s">
        <v>3617</v>
      </c>
      <c r="B6451" s="1" t="s">
        <v>5544</v>
      </c>
      <c r="C6451" s="1" t="s">
        <v>3619</v>
      </c>
      <c r="D6451" s="1" t="s">
        <v>533</v>
      </c>
      <c r="E6451" s="1" t="s">
        <v>3611</v>
      </c>
      <c r="F6451" s="1" t="s">
        <v>22559</v>
      </c>
      <c r="G6451" s="1" t="s">
        <v>8512</v>
      </c>
      <c r="H6451" s="1" t="s">
        <v>3604</v>
      </c>
      <c r="I6451" s="1" t="s">
        <v>22560</v>
      </c>
      <c r="J6451" s="1" t="s">
        <v>3606</v>
      </c>
      <c r="K6451" s="1" t="s">
        <v>22561</v>
      </c>
      <c r="L6451" s="1"/>
      <c r="M6451" s="1"/>
    </row>
    <row x14ac:dyDescent="0.25" r="6452" customHeight="1" ht="18.75">
      <c r="A6452" s="1" t="s">
        <v>3617</v>
      </c>
      <c r="B6452" s="1" t="s">
        <v>5544</v>
      </c>
      <c r="C6452" s="1" t="s">
        <v>3619</v>
      </c>
      <c r="D6452" s="1" t="s">
        <v>533</v>
      </c>
      <c r="E6452" s="1" t="s">
        <v>3611</v>
      </c>
      <c r="F6452" s="1" t="s">
        <v>22562</v>
      </c>
      <c r="G6452" s="1" t="s">
        <v>8512</v>
      </c>
      <c r="H6452" s="1" t="s">
        <v>3604</v>
      </c>
      <c r="I6452" s="1" t="s">
        <v>22563</v>
      </c>
      <c r="J6452" s="1" t="s">
        <v>3606</v>
      </c>
      <c r="K6452" s="1" t="s">
        <v>22564</v>
      </c>
      <c r="L6452" s="1"/>
      <c r="M6452" s="1"/>
    </row>
    <row x14ac:dyDescent="0.25" r="6453" customHeight="1" ht="18.75">
      <c r="A6453" s="1" t="s">
        <v>7833</v>
      </c>
      <c r="B6453" s="1" t="s">
        <v>8269</v>
      </c>
      <c r="C6453" s="1" t="s">
        <v>4488</v>
      </c>
      <c r="D6453" s="1" t="s">
        <v>3601</v>
      </c>
      <c r="E6453" s="1" t="s">
        <v>3664</v>
      </c>
      <c r="F6453" s="1" t="s">
        <v>22565</v>
      </c>
      <c r="G6453" s="1" t="s">
        <v>14538</v>
      </c>
      <c r="H6453" s="1" t="s">
        <v>3604</v>
      </c>
      <c r="I6453" s="1" t="s">
        <v>22566</v>
      </c>
      <c r="J6453" s="1" t="s">
        <v>3606</v>
      </c>
      <c r="K6453" s="1" t="s">
        <v>22567</v>
      </c>
      <c r="L6453" s="1"/>
      <c r="M6453" s="1"/>
    </row>
    <row x14ac:dyDescent="0.25" r="6454" customHeight="1" ht="18.75">
      <c r="A6454" s="1" t="s">
        <v>7833</v>
      </c>
      <c r="B6454" s="1" t="s">
        <v>8269</v>
      </c>
      <c r="C6454" s="1" t="s">
        <v>4488</v>
      </c>
      <c r="D6454" s="1" t="s">
        <v>3601</v>
      </c>
      <c r="E6454" s="1" t="s">
        <v>3664</v>
      </c>
      <c r="F6454" s="1" t="s">
        <v>22568</v>
      </c>
      <c r="G6454" s="1" t="s">
        <v>14549</v>
      </c>
      <c r="H6454" s="1" t="s">
        <v>3604</v>
      </c>
      <c r="I6454" s="1" t="s">
        <v>22569</v>
      </c>
      <c r="J6454" s="1" t="s">
        <v>3606</v>
      </c>
      <c r="K6454" s="1" t="s">
        <v>22570</v>
      </c>
      <c r="L6454" s="1"/>
      <c r="M6454" s="1"/>
    </row>
    <row x14ac:dyDescent="0.25" r="6455" customHeight="1" ht="18.75">
      <c r="A6455" s="1" t="s">
        <v>3617</v>
      </c>
      <c r="B6455" s="1" t="s">
        <v>5544</v>
      </c>
      <c r="C6455" s="1" t="s">
        <v>3619</v>
      </c>
      <c r="D6455" s="1" t="s">
        <v>8100</v>
      </c>
      <c r="E6455" s="1" t="s">
        <v>3611</v>
      </c>
      <c r="F6455" s="1" t="s">
        <v>22571</v>
      </c>
      <c r="G6455" s="1" t="s">
        <v>8512</v>
      </c>
      <c r="H6455" s="1" t="s">
        <v>3604</v>
      </c>
      <c r="I6455" s="1" t="s">
        <v>22572</v>
      </c>
      <c r="J6455" s="1" t="s">
        <v>3606</v>
      </c>
      <c r="K6455" s="1" t="s">
        <v>22573</v>
      </c>
      <c r="L6455" s="1"/>
      <c r="M6455" s="1"/>
    </row>
    <row x14ac:dyDescent="0.25" r="6456" customHeight="1" ht="18.75">
      <c r="A6456" s="1" t="s">
        <v>3617</v>
      </c>
      <c r="B6456" s="1" t="s">
        <v>5544</v>
      </c>
      <c r="C6456" s="1" t="s">
        <v>3619</v>
      </c>
      <c r="D6456" s="1" t="s">
        <v>8100</v>
      </c>
      <c r="E6456" s="1" t="s">
        <v>3611</v>
      </c>
      <c r="F6456" s="1" t="s">
        <v>22574</v>
      </c>
      <c r="G6456" s="1" t="s">
        <v>8512</v>
      </c>
      <c r="H6456" s="1" t="s">
        <v>3604</v>
      </c>
      <c r="I6456" s="1" t="s">
        <v>22575</v>
      </c>
      <c r="J6456" s="1" t="s">
        <v>3606</v>
      </c>
      <c r="K6456" s="1" t="s">
        <v>22576</v>
      </c>
      <c r="L6456" s="1"/>
      <c r="M6456" s="1"/>
    </row>
    <row x14ac:dyDescent="0.25" r="6457" customHeight="1" ht="18.75">
      <c r="A6457" s="1" t="s">
        <v>3617</v>
      </c>
      <c r="B6457" s="1" t="s">
        <v>5544</v>
      </c>
      <c r="C6457" s="1" t="s">
        <v>3619</v>
      </c>
      <c r="D6457" s="1" t="s">
        <v>8100</v>
      </c>
      <c r="E6457" s="1" t="s">
        <v>3611</v>
      </c>
      <c r="F6457" s="1" t="s">
        <v>22577</v>
      </c>
      <c r="G6457" s="1" t="s">
        <v>8512</v>
      </c>
      <c r="H6457" s="1" t="s">
        <v>3604</v>
      </c>
      <c r="I6457" s="1" t="s">
        <v>22578</v>
      </c>
      <c r="J6457" s="1" t="s">
        <v>3606</v>
      </c>
      <c r="K6457" s="1" t="s">
        <v>22579</v>
      </c>
      <c r="L6457" s="1"/>
      <c r="M6457" s="1"/>
    </row>
    <row x14ac:dyDescent="0.25" r="6458" customHeight="1" ht="18.75">
      <c r="A6458" s="1" t="s">
        <v>3617</v>
      </c>
      <c r="B6458" s="1" t="s">
        <v>5544</v>
      </c>
      <c r="C6458" s="1" t="s">
        <v>3619</v>
      </c>
      <c r="D6458" s="1" t="s">
        <v>8100</v>
      </c>
      <c r="E6458" s="1" t="s">
        <v>3611</v>
      </c>
      <c r="F6458" s="1" t="s">
        <v>22580</v>
      </c>
      <c r="G6458" s="1" t="s">
        <v>8512</v>
      </c>
      <c r="H6458" s="1" t="s">
        <v>3604</v>
      </c>
      <c r="I6458" s="1" t="s">
        <v>22581</v>
      </c>
      <c r="J6458" s="1" t="s">
        <v>3606</v>
      </c>
      <c r="K6458" s="1" t="s">
        <v>22582</v>
      </c>
      <c r="L6458" s="1"/>
      <c r="M6458" s="1"/>
    </row>
    <row x14ac:dyDescent="0.25" r="6459" customHeight="1" ht="18.75">
      <c r="A6459" s="1" t="s">
        <v>3617</v>
      </c>
      <c r="B6459" s="1" t="s">
        <v>5544</v>
      </c>
      <c r="C6459" s="1" t="s">
        <v>3619</v>
      </c>
      <c r="D6459" s="1" t="s">
        <v>8100</v>
      </c>
      <c r="E6459" s="1" t="s">
        <v>3611</v>
      </c>
      <c r="F6459" s="1" t="s">
        <v>22583</v>
      </c>
      <c r="G6459" s="1" t="s">
        <v>8512</v>
      </c>
      <c r="H6459" s="1" t="s">
        <v>3604</v>
      </c>
      <c r="I6459" s="1" t="s">
        <v>22584</v>
      </c>
      <c r="J6459" s="1" t="s">
        <v>3606</v>
      </c>
      <c r="K6459" s="1" t="s">
        <v>22585</v>
      </c>
      <c r="L6459" s="1"/>
      <c r="M6459" s="1"/>
    </row>
    <row x14ac:dyDescent="0.25" r="6460" customHeight="1" ht="18.75">
      <c r="A6460" s="1" t="s">
        <v>3617</v>
      </c>
      <c r="B6460" s="1" t="s">
        <v>5544</v>
      </c>
      <c r="C6460" s="1" t="s">
        <v>3619</v>
      </c>
      <c r="D6460" s="1" t="s">
        <v>8100</v>
      </c>
      <c r="E6460" s="1" t="s">
        <v>3611</v>
      </c>
      <c r="F6460" s="1" t="s">
        <v>22586</v>
      </c>
      <c r="G6460" s="1" t="s">
        <v>8512</v>
      </c>
      <c r="H6460" s="1" t="s">
        <v>3604</v>
      </c>
      <c r="I6460" s="1" t="s">
        <v>22587</v>
      </c>
      <c r="J6460" s="1" t="s">
        <v>3606</v>
      </c>
      <c r="K6460" s="1" t="s">
        <v>22588</v>
      </c>
      <c r="L6460" s="1"/>
      <c r="M6460" s="1"/>
    </row>
    <row x14ac:dyDescent="0.25" r="6461" customHeight="1" ht="18.75">
      <c r="A6461" s="1" t="s">
        <v>7833</v>
      </c>
      <c r="B6461" s="1" t="s">
        <v>8269</v>
      </c>
      <c r="C6461" s="1" t="s">
        <v>4488</v>
      </c>
      <c r="D6461" s="1" t="s">
        <v>3601</v>
      </c>
      <c r="E6461" s="1" t="s">
        <v>3664</v>
      </c>
      <c r="F6461" s="1" t="s">
        <v>22589</v>
      </c>
      <c r="G6461" s="1" t="s">
        <v>22590</v>
      </c>
      <c r="H6461" s="1" t="s">
        <v>3604</v>
      </c>
      <c r="I6461" s="1" t="s">
        <v>22591</v>
      </c>
      <c r="J6461" s="1" t="s">
        <v>3606</v>
      </c>
      <c r="K6461" s="1" t="s">
        <v>22592</v>
      </c>
      <c r="L6461" s="1"/>
      <c r="M6461" s="1"/>
    </row>
    <row x14ac:dyDescent="0.25" r="6462" customHeight="1" ht="18.75">
      <c r="A6462" s="1" t="s">
        <v>3617</v>
      </c>
      <c r="B6462" s="1" t="s">
        <v>5544</v>
      </c>
      <c r="C6462" s="1" t="s">
        <v>3619</v>
      </c>
      <c r="D6462" s="1" t="s">
        <v>3610</v>
      </c>
      <c r="E6462" s="1" t="s">
        <v>3893</v>
      </c>
      <c r="F6462" s="1" t="s">
        <v>22593</v>
      </c>
      <c r="G6462" s="1" t="s">
        <v>8448</v>
      </c>
      <c r="H6462" s="1" t="s">
        <v>3604</v>
      </c>
      <c r="I6462" s="1" t="s">
        <v>22594</v>
      </c>
      <c r="J6462" s="1" t="s">
        <v>3606</v>
      </c>
      <c r="K6462" s="1" t="s">
        <v>22595</v>
      </c>
      <c r="L6462" s="1"/>
      <c r="M6462" s="1"/>
    </row>
    <row x14ac:dyDescent="0.25" r="6463" customHeight="1" ht="18.75">
      <c r="A6463" s="1" t="s">
        <v>3617</v>
      </c>
      <c r="B6463" s="1" t="s">
        <v>5544</v>
      </c>
      <c r="C6463" s="1" t="s">
        <v>3619</v>
      </c>
      <c r="D6463" s="1" t="s">
        <v>3610</v>
      </c>
      <c r="E6463" s="1" t="s">
        <v>3893</v>
      </c>
      <c r="F6463" s="1" t="s">
        <v>22596</v>
      </c>
      <c r="G6463" s="1" t="s">
        <v>8448</v>
      </c>
      <c r="H6463" s="1" t="s">
        <v>3604</v>
      </c>
      <c r="I6463" s="1" t="s">
        <v>22597</v>
      </c>
      <c r="J6463" s="1" t="s">
        <v>3606</v>
      </c>
      <c r="K6463" s="1" t="s">
        <v>22598</v>
      </c>
      <c r="L6463" s="1"/>
      <c r="M6463" s="1"/>
    </row>
    <row x14ac:dyDescent="0.25" r="6464" customHeight="1" ht="18.75">
      <c r="A6464" s="1" t="s">
        <v>3617</v>
      </c>
      <c r="B6464" s="1" t="s">
        <v>5544</v>
      </c>
      <c r="C6464" s="1" t="s">
        <v>3619</v>
      </c>
      <c r="D6464" s="1" t="s">
        <v>3610</v>
      </c>
      <c r="E6464" s="1" t="s">
        <v>3893</v>
      </c>
      <c r="F6464" s="1" t="s">
        <v>22599</v>
      </c>
      <c r="G6464" s="1" t="s">
        <v>22600</v>
      </c>
      <c r="H6464" s="1" t="s">
        <v>3604</v>
      </c>
      <c r="I6464" s="1" t="s">
        <v>22601</v>
      </c>
      <c r="J6464" s="1" t="s">
        <v>3606</v>
      </c>
      <c r="K6464" s="1" t="s">
        <v>22602</v>
      </c>
      <c r="L6464" s="1"/>
      <c r="M6464" s="1"/>
    </row>
    <row x14ac:dyDescent="0.25" r="6465" customHeight="1" ht="18.75">
      <c r="A6465" s="1" t="s">
        <v>7833</v>
      </c>
      <c r="B6465" s="1" t="s">
        <v>8269</v>
      </c>
      <c r="C6465" s="1" t="s">
        <v>4488</v>
      </c>
      <c r="D6465" s="1" t="s">
        <v>3601</v>
      </c>
      <c r="E6465" s="1" t="s">
        <v>3664</v>
      </c>
      <c r="F6465" s="1" t="s">
        <v>22603</v>
      </c>
      <c r="G6465" s="1" t="s">
        <v>22590</v>
      </c>
      <c r="H6465" s="1" t="s">
        <v>3604</v>
      </c>
      <c r="I6465" s="1" t="s">
        <v>22604</v>
      </c>
      <c r="J6465" s="1" t="s">
        <v>3606</v>
      </c>
      <c r="K6465" s="1" t="s">
        <v>22605</v>
      </c>
      <c r="L6465" s="1"/>
      <c r="M6465" s="1"/>
    </row>
    <row x14ac:dyDescent="0.25" r="6466" customHeight="1" ht="18.75">
      <c r="A6466" s="1" t="s">
        <v>3617</v>
      </c>
      <c r="B6466" s="1" t="s">
        <v>5544</v>
      </c>
      <c r="C6466" s="1" t="s">
        <v>3619</v>
      </c>
      <c r="D6466" s="1" t="s">
        <v>3610</v>
      </c>
      <c r="E6466" s="1" t="s">
        <v>3893</v>
      </c>
      <c r="F6466" s="1" t="s">
        <v>22606</v>
      </c>
      <c r="G6466" s="1" t="s">
        <v>22600</v>
      </c>
      <c r="H6466" s="1" t="s">
        <v>3604</v>
      </c>
      <c r="I6466" s="1" t="s">
        <v>22607</v>
      </c>
      <c r="J6466" s="1" t="s">
        <v>3606</v>
      </c>
      <c r="K6466" s="1" t="s">
        <v>22608</v>
      </c>
      <c r="L6466" s="1"/>
      <c r="M6466" s="1"/>
    </row>
    <row x14ac:dyDescent="0.25" r="6467" customHeight="1" ht="18.75">
      <c r="A6467" s="1" t="s">
        <v>7833</v>
      </c>
      <c r="B6467" s="1" t="s">
        <v>8269</v>
      </c>
      <c r="C6467" s="1" t="s">
        <v>4488</v>
      </c>
      <c r="D6467" s="1" t="s">
        <v>3601</v>
      </c>
      <c r="E6467" s="1" t="s">
        <v>3664</v>
      </c>
      <c r="F6467" s="1" t="s">
        <v>22609</v>
      </c>
      <c r="G6467" s="1" t="s">
        <v>22610</v>
      </c>
      <c r="H6467" s="1" t="s">
        <v>3604</v>
      </c>
      <c r="I6467" s="1" t="s">
        <v>22611</v>
      </c>
      <c r="J6467" s="1" t="s">
        <v>3606</v>
      </c>
      <c r="K6467" s="1" t="s">
        <v>22612</v>
      </c>
      <c r="L6467" s="1"/>
      <c r="M6467" s="1"/>
    </row>
    <row x14ac:dyDescent="0.25" r="6468" customHeight="1" ht="18.75">
      <c r="A6468" s="1" t="s">
        <v>3617</v>
      </c>
      <c r="B6468" s="1" t="s">
        <v>5544</v>
      </c>
      <c r="C6468" s="1" t="s">
        <v>3619</v>
      </c>
      <c r="D6468" s="1" t="s">
        <v>3610</v>
      </c>
      <c r="E6468" s="1" t="s">
        <v>3893</v>
      </c>
      <c r="F6468" s="1" t="s">
        <v>22613</v>
      </c>
      <c r="G6468" s="1" t="s">
        <v>8512</v>
      </c>
      <c r="H6468" s="1" t="s">
        <v>3604</v>
      </c>
      <c r="I6468" s="1" t="s">
        <v>22614</v>
      </c>
      <c r="J6468" s="1" t="s">
        <v>3606</v>
      </c>
      <c r="K6468" s="1" t="s">
        <v>22615</v>
      </c>
      <c r="L6468" s="1"/>
      <c r="M6468" s="1"/>
    </row>
    <row x14ac:dyDescent="0.25" r="6469" customHeight="1" ht="18.75">
      <c r="A6469" s="1" t="s">
        <v>7833</v>
      </c>
      <c r="B6469" s="1" t="s">
        <v>8269</v>
      </c>
      <c r="C6469" s="1" t="s">
        <v>4488</v>
      </c>
      <c r="D6469" s="1" t="s">
        <v>3601</v>
      </c>
      <c r="E6469" s="1" t="s">
        <v>3664</v>
      </c>
      <c r="F6469" s="1" t="s">
        <v>22616</v>
      </c>
      <c r="G6469" s="1" t="s">
        <v>22610</v>
      </c>
      <c r="H6469" s="1" t="s">
        <v>3604</v>
      </c>
      <c r="I6469" s="1" t="s">
        <v>22617</v>
      </c>
      <c r="J6469" s="1" t="s">
        <v>3606</v>
      </c>
      <c r="K6469" s="1" t="s">
        <v>22618</v>
      </c>
      <c r="L6469" s="1"/>
      <c r="M6469" s="1"/>
    </row>
    <row x14ac:dyDescent="0.25" r="6470" customHeight="1" ht="18.75">
      <c r="A6470" s="1" t="s">
        <v>3617</v>
      </c>
      <c r="B6470" s="1" t="s">
        <v>5544</v>
      </c>
      <c r="C6470" s="1" t="s">
        <v>3619</v>
      </c>
      <c r="D6470" s="1" t="s">
        <v>3610</v>
      </c>
      <c r="E6470" s="1" t="s">
        <v>3893</v>
      </c>
      <c r="F6470" s="1" t="s">
        <v>22619</v>
      </c>
      <c r="G6470" s="1" t="s">
        <v>8512</v>
      </c>
      <c r="H6470" s="1" t="s">
        <v>3604</v>
      </c>
      <c r="I6470" s="1" t="s">
        <v>22620</v>
      </c>
      <c r="J6470" s="1" t="s">
        <v>3606</v>
      </c>
      <c r="K6470" s="1" t="s">
        <v>22621</v>
      </c>
      <c r="L6470" s="1"/>
      <c r="M6470" s="1"/>
    </row>
    <row x14ac:dyDescent="0.25" r="6471" customHeight="1" ht="18.75">
      <c r="A6471" s="1" t="s">
        <v>7833</v>
      </c>
      <c r="B6471" s="1" t="s">
        <v>8269</v>
      </c>
      <c r="C6471" s="1" t="s">
        <v>4488</v>
      </c>
      <c r="D6471" s="1" t="s">
        <v>3601</v>
      </c>
      <c r="E6471" s="1" t="s">
        <v>3664</v>
      </c>
      <c r="F6471" s="1" t="s">
        <v>22622</v>
      </c>
      <c r="G6471" s="1" t="s">
        <v>14841</v>
      </c>
      <c r="H6471" s="1" t="s">
        <v>3604</v>
      </c>
      <c r="I6471" s="1" t="s">
        <v>22623</v>
      </c>
      <c r="J6471" s="1" t="s">
        <v>3606</v>
      </c>
      <c r="K6471" s="1" t="s">
        <v>19449</v>
      </c>
      <c r="L6471" s="1"/>
      <c r="M6471" s="1"/>
    </row>
    <row x14ac:dyDescent="0.25" r="6472" customHeight="1" ht="18.75">
      <c r="A6472" s="1" t="s">
        <v>7833</v>
      </c>
      <c r="B6472" s="1" t="s">
        <v>8269</v>
      </c>
      <c r="C6472" s="1" t="s">
        <v>4488</v>
      </c>
      <c r="D6472" s="1" t="s">
        <v>3601</v>
      </c>
      <c r="E6472" s="1" t="s">
        <v>3664</v>
      </c>
      <c r="F6472" s="1" t="s">
        <v>22624</v>
      </c>
      <c r="G6472" s="1" t="s">
        <v>14841</v>
      </c>
      <c r="H6472" s="1" t="s">
        <v>3604</v>
      </c>
      <c r="I6472" s="1" t="s">
        <v>22625</v>
      </c>
      <c r="J6472" s="1" t="s">
        <v>3606</v>
      </c>
      <c r="K6472" s="1" t="s">
        <v>22626</v>
      </c>
      <c r="L6472" s="1"/>
      <c r="M6472" s="1"/>
    </row>
    <row x14ac:dyDescent="0.25" r="6473" customHeight="1" ht="18.75">
      <c r="A6473" s="1" t="s">
        <v>7833</v>
      </c>
      <c r="B6473" s="1" t="s">
        <v>8269</v>
      </c>
      <c r="C6473" s="1" t="s">
        <v>4488</v>
      </c>
      <c r="D6473" s="1" t="s">
        <v>3601</v>
      </c>
      <c r="E6473" s="1" t="s">
        <v>3664</v>
      </c>
      <c r="F6473" s="1" t="s">
        <v>22627</v>
      </c>
      <c r="G6473" s="1" t="s">
        <v>14848</v>
      </c>
      <c r="H6473" s="1" t="s">
        <v>3604</v>
      </c>
      <c r="I6473" s="1" t="s">
        <v>22628</v>
      </c>
      <c r="J6473" s="1" t="s">
        <v>3606</v>
      </c>
      <c r="K6473" s="1" t="s">
        <v>19453</v>
      </c>
      <c r="L6473" s="1"/>
      <c r="M6473" s="1"/>
    </row>
    <row x14ac:dyDescent="0.25" r="6474" customHeight="1" ht="18.75">
      <c r="A6474" s="1" t="s">
        <v>7833</v>
      </c>
      <c r="B6474" s="1" t="s">
        <v>8269</v>
      </c>
      <c r="C6474" s="1" t="s">
        <v>4488</v>
      </c>
      <c r="D6474" s="1" t="s">
        <v>3601</v>
      </c>
      <c r="E6474" s="1" t="s">
        <v>3664</v>
      </c>
      <c r="F6474" s="1" t="s">
        <v>22629</v>
      </c>
      <c r="G6474" s="1" t="s">
        <v>14848</v>
      </c>
      <c r="H6474" s="1" t="s">
        <v>3604</v>
      </c>
      <c r="I6474" s="1" t="s">
        <v>22630</v>
      </c>
      <c r="J6474" s="1" t="s">
        <v>3606</v>
      </c>
      <c r="K6474" s="1" t="s">
        <v>22631</v>
      </c>
      <c r="L6474" s="1"/>
      <c r="M6474" s="1"/>
    </row>
    <row x14ac:dyDescent="0.25" r="6475" customHeight="1" ht="18.75">
      <c r="A6475" s="1" t="s">
        <v>7833</v>
      </c>
      <c r="B6475" s="1" t="s">
        <v>8269</v>
      </c>
      <c r="C6475" s="1" t="s">
        <v>4488</v>
      </c>
      <c r="D6475" s="1" t="s">
        <v>3601</v>
      </c>
      <c r="E6475" s="1" t="s">
        <v>3664</v>
      </c>
      <c r="F6475" s="1" t="s">
        <v>22632</v>
      </c>
      <c r="G6475" s="1" t="s">
        <v>14855</v>
      </c>
      <c r="H6475" s="1" t="s">
        <v>3604</v>
      </c>
      <c r="I6475" s="1" t="s">
        <v>22633</v>
      </c>
      <c r="J6475" s="1" t="s">
        <v>3606</v>
      </c>
      <c r="K6475" s="1" t="s">
        <v>22634</v>
      </c>
      <c r="L6475" s="1"/>
      <c r="M6475" s="1"/>
    </row>
    <row x14ac:dyDescent="0.25" r="6476" customHeight="1" ht="18.75">
      <c r="A6476" s="1" t="s">
        <v>7833</v>
      </c>
      <c r="B6476" s="1" t="s">
        <v>8269</v>
      </c>
      <c r="C6476" s="1" t="s">
        <v>4488</v>
      </c>
      <c r="D6476" s="1" t="s">
        <v>3601</v>
      </c>
      <c r="E6476" s="1" t="s">
        <v>3664</v>
      </c>
      <c r="F6476" s="1" t="s">
        <v>22635</v>
      </c>
      <c r="G6476" s="1" t="s">
        <v>14855</v>
      </c>
      <c r="H6476" s="1" t="s">
        <v>3604</v>
      </c>
      <c r="I6476" s="1" t="s">
        <v>22636</v>
      </c>
      <c r="J6476" s="1" t="s">
        <v>3606</v>
      </c>
      <c r="K6476" s="1" t="s">
        <v>22637</v>
      </c>
      <c r="L6476" s="1"/>
      <c r="M6476" s="1"/>
    </row>
    <row x14ac:dyDescent="0.25" r="6477" customHeight="1" ht="18.75">
      <c r="A6477" s="1" t="s">
        <v>7833</v>
      </c>
      <c r="B6477" s="1" t="s">
        <v>14264</v>
      </c>
      <c r="C6477" s="1" t="s">
        <v>4488</v>
      </c>
      <c r="D6477" s="1" t="s">
        <v>3601</v>
      </c>
      <c r="E6477" s="1" t="s">
        <v>3664</v>
      </c>
      <c r="F6477" s="1" t="s">
        <v>22638</v>
      </c>
      <c r="G6477" s="1" t="s">
        <v>14265</v>
      </c>
      <c r="H6477" s="1" t="s">
        <v>3604</v>
      </c>
      <c r="I6477" s="1" t="s">
        <v>22639</v>
      </c>
      <c r="J6477" s="1" t="s">
        <v>3606</v>
      </c>
      <c r="K6477" s="1" t="s">
        <v>9161</v>
      </c>
      <c r="L6477" s="1"/>
      <c r="M6477" s="1"/>
    </row>
    <row x14ac:dyDescent="0.25" r="6478" customHeight="1" ht="18.75">
      <c r="A6478" s="1" t="s">
        <v>7833</v>
      </c>
      <c r="B6478" s="1" t="s">
        <v>8269</v>
      </c>
      <c r="C6478" s="1" t="s">
        <v>4488</v>
      </c>
      <c r="D6478" s="1" t="s">
        <v>3601</v>
      </c>
      <c r="E6478" s="1" t="s">
        <v>3664</v>
      </c>
      <c r="F6478" s="1" t="s">
        <v>22640</v>
      </c>
      <c r="G6478" s="1" t="s">
        <v>14864</v>
      </c>
      <c r="H6478" s="1" t="s">
        <v>3604</v>
      </c>
      <c r="I6478" s="1" t="s">
        <v>22641</v>
      </c>
      <c r="J6478" s="1" t="s">
        <v>3606</v>
      </c>
      <c r="K6478" s="1" t="s">
        <v>22642</v>
      </c>
      <c r="L6478" s="1"/>
      <c r="M6478" s="1"/>
    </row>
    <row x14ac:dyDescent="0.25" r="6479" customHeight="1" ht="18.75">
      <c r="A6479" s="1" t="s">
        <v>7833</v>
      </c>
      <c r="B6479" s="1" t="s">
        <v>14264</v>
      </c>
      <c r="C6479" s="1" t="s">
        <v>4488</v>
      </c>
      <c r="D6479" s="1" t="s">
        <v>3601</v>
      </c>
      <c r="E6479" s="1" t="s">
        <v>3664</v>
      </c>
      <c r="F6479" s="1" t="s">
        <v>1416</v>
      </c>
      <c r="G6479" s="1" t="s">
        <v>14265</v>
      </c>
      <c r="H6479" s="1" t="s">
        <v>3604</v>
      </c>
      <c r="I6479" s="1" t="s">
        <v>22643</v>
      </c>
      <c r="J6479" s="1" t="s">
        <v>3606</v>
      </c>
      <c r="K6479" s="1" t="s">
        <v>9158</v>
      </c>
      <c r="L6479" s="1"/>
      <c r="M6479" s="1"/>
    </row>
    <row x14ac:dyDescent="0.25" r="6480" customHeight="1" ht="18.75">
      <c r="A6480" s="1" t="s">
        <v>7833</v>
      </c>
      <c r="B6480" s="1" t="s">
        <v>8269</v>
      </c>
      <c r="C6480" s="1" t="s">
        <v>4488</v>
      </c>
      <c r="D6480" s="1" t="s">
        <v>3601</v>
      </c>
      <c r="E6480" s="1" t="s">
        <v>3664</v>
      </c>
      <c r="F6480" s="1" t="s">
        <v>22644</v>
      </c>
      <c r="G6480" s="1" t="s">
        <v>14864</v>
      </c>
      <c r="H6480" s="1" t="s">
        <v>3604</v>
      </c>
      <c r="I6480" s="1" t="s">
        <v>22645</v>
      </c>
      <c r="J6480" s="1" t="s">
        <v>3606</v>
      </c>
      <c r="K6480" s="1" t="s">
        <v>22646</v>
      </c>
      <c r="L6480" s="1"/>
      <c r="M6480" s="1"/>
    </row>
    <row x14ac:dyDescent="0.25" r="6481" customHeight="1" ht="18.75">
      <c r="A6481" s="1" t="s">
        <v>7833</v>
      </c>
      <c r="B6481" s="1" t="s">
        <v>14264</v>
      </c>
      <c r="C6481" s="1" t="s">
        <v>4488</v>
      </c>
      <c r="D6481" s="1" t="s">
        <v>3601</v>
      </c>
      <c r="E6481" s="1" t="s">
        <v>3664</v>
      </c>
      <c r="F6481" s="1" t="s">
        <v>22647</v>
      </c>
      <c r="G6481" s="1" t="s">
        <v>14265</v>
      </c>
      <c r="H6481" s="1" t="s">
        <v>3604</v>
      </c>
      <c r="I6481" s="1" t="s">
        <v>22648</v>
      </c>
      <c r="J6481" s="1" t="s">
        <v>3606</v>
      </c>
      <c r="K6481" s="1" t="s">
        <v>22649</v>
      </c>
      <c r="L6481" s="1"/>
      <c r="M6481" s="1"/>
    </row>
    <row x14ac:dyDescent="0.25" r="6482" customHeight="1" ht="18.75">
      <c r="A6482" s="1" t="s">
        <v>7833</v>
      </c>
      <c r="B6482" s="1" t="s">
        <v>14264</v>
      </c>
      <c r="C6482" s="1" t="s">
        <v>4488</v>
      </c>
      <c r="D6482" s="1" t="s">
        <v>3601</v>
      </c>
      <c r="E6482" s="1" t="s">
        <v>3664</v>
      </c>
      <c r="F6482" s="1" t="s">
        <v>1418</v>
      </c>
      <c r="G6482" s="1" t="s">
        <v>14265</v>
      </c>
      <c r="H6482" s="1" t="s">
        <v>3604</v>
      </c>
      <c r="I6482" s="1" t="s">
        <v>22650</v>
      </c>
      <c r="J6482" s="1" t="s">
        <v>3606</v>
      </c>
      <c r="K6482" s="1" t="s">
        <v>14564</v>
      </c>
      <c r="L6482" s="1"/>
      <c r="M6482" s="1"/>
    </row>
    <row x14ac:dyDescent="0.25" r="6483" customHeight="1" ht="18.75">
      <c r="A6483" s="1" t="s">
        <v>7833</v>
      </c>
      <c r="B6483" s="1" t="s">
        <v>14264</v>
      </c>
      <c r="C6483" s="1" t="s">
        <v>4488</v>
      </c>
      <c r="D6483" s="1" t="s">
        <v>3601</v>
      </c>
      <c r="E6483" s="1" t="s">
        <v>3664</v>
      </c>
      <c r="F6483" s="1" t="s">
        <v>1419</v>
      </c>
      <c r="G6483" s="1" t="s">
        <v>14265</v>
      </c>
      <c r="H6483" s="1" t="s">
        <v>3604</v>
      </c>
      <c r="I6483" s="1" t="s">
        <v>22651</v>
      </c>
      <c r="J6483" s="1" t="s">
        <v>3606</v>
      </c>
      <c r="K6483" s="1" t="s">
        <v>22652</v>
      </c>
      <c r="L6483" s="1"/>
      <c r="M6483" s="1"/>
    </row>
    <row x14ac:dyDescent="0.25" r="6484" customHeight="1" ht="18.75">
      <c r="A6484" s="1" t="s">
        <v>7833</v>
      </c>
      <c r="B6484" s="1" t="s">
        <v>8269</v>
      </c>
      <c r="C6484" s="1" t="s">
        <v>4488</v>
      </c>
      <c r="D6484" s="1" t="s">
        <v>3601</v>
      </c>
      <c r="E6484" s="1" t="s">
        <v>3664</v>
      </c>
      <c r="F6484" s="1" t="s">
        <v>22653</v>
      </c>
      <c r="G6484" s="1" t="s">
        <v>14824</v>
      </c>
      <c r="H6484" s="1" t="s">
        <v>3604</v>
      </c>
      <c r="I6484" s="1" t="s">
        <v>22654</v>
      </c>
      <c r="J6484" s="1" t="s">
        <v>3606</v>
      </c>
      <c r="K6484" s="1" t="s">
        <v>22655</v>
      </c>
      <c r="L6484" s="1"/>
      <c r="M6484" s="1"/>
    </row>
    <row x14ac:dyDescent="0.25" r="6485" customHeight="1" ht="18.75">
      <c r="A6485" s="1" t="s">
        <v>7833</v>
      </c>
      <c r="B6485" s="1" t="s">
        <v>8269</v>
      </c>
      <c r="C6485" s="1" t="s">
        <v>4488</v>
      </c>
      <c r="D6485" s="1" t="s">
        <v>3601</v>
      </c>
      <c r="E6485" s="1" t="s">
        <v>3664</v>
      </c>
      <c r="F6485" s="1" t="s">
        <v>22656</v>
      </c>
      <c r="G6485" s="1" t="s">
        <v>14824</v>
      </c>
      <c r="H6485" s="1" t="s">
        <v>3604</v>
      </c>
      <c r="I6485" s="1" t="s">
        <v>22657</v>
      </c>
      <c r="J6485" s="1" t="s">
        <v>3606</v>
      </c>
      <c r="K6485" s="1" t="s">
        <v>22658</v>
      </c>
      <c r="L6485" s="1"/>
      <c r="M6485" s="1"/>
    </row>
    <row x14ac:dyDescent="0.25" r="6486" customHeight="1" ht="18.75">
      <c r="A6486" s="1" t="s">
        <v>7833</v>
      </c>
      <c r="B6486" s="1" t="s">
        <v>8269</v>
      </c>
      <c r="C6486" s="1" t="s">
        <v>4488</v>
      </c>
      <c r="D6486" s="1" t="s">
        <v>3601</v>
      </c>
      <c r="E6486" s="1" t="s">
        <v>3981</v>
      </c>
      <c r="F6486" s="1" t="s">
        <v>22659</v>
      </c>
      <c r="G6486" s="1" t="s">
        <v>14908</v>
      </c>
      <c r="H6486" s="1" t="s">
        <v>3604</v>
      </c>
      <c r="I6486" s="1" t="s">
        <v>22660</v>
      </c>
      <c r="J6486" s="1" t="s">
        <v>3606</v>
      </c>
      <c r="K6486" s="1" t="s">
        <v>22661</v>
      </c>
      <c r="L6486" s="1"/>
      <c r="M6486" s="1"/>
    </row>
    <row x14ac:dyDescent="0.25" r="6487" customHeight="1" ht="18.75">
      <c r="A6487" s="1" t="s">
        <v>7833</v>
      </c>
      <c r="B6487" s="1" t="s">
        <v>8269</v>
      </c>
      <c r="C6487" s="1" t="s">
        <v>4488</v>
      </c>
      <c r="D6487" s="1" t="s">
        <v>3601</v>
      </c>
      <c r="E6487" s="1" t="s">
        <v>3981</v>
      </c>
      <c r="F6487" s="1" t="s">
        <v>22662</v>
      </c>
      <c r="G6487" s="1" t="s">
        <v>14908</v>
      </c>
      <c r="H6487" s="1" t="s">
        <v>3604</v>
      </c>
      <c r="I6487" s="1" t="s">
        <v>22663</v>
      </c>
      <c r="J6487" s="1" t="s">
        <v>3606</v>
      </c>
      <c r="K6487" s="1" t="s">
        <v>22664</v>
      </c>
      <c r="L6487" s="1"/>
      <c r="M6487" s="1"/>
    </row>
    <row x14ac:dyDescent="0.25" r="6488" customHeight="1" ht="18.75">
      <c r="A6488" s="1" t="s">
        <v>7833</v>
      </c>
      <c r="B6488" s="1" t="s">
        <v>8204</v>
      </c>
      <c r="C6488" s="1" t="s">
        <v>4488</v>
      </c>
      <c r="D6488" s="1" t="s">
        <v>533</v>
      </c>
      <c r="E6488" s="1" t="s">
        <v>8096</v>
      </c>
      <c r="F6488" s="1" t="s">
        <v>22665</v>
      </c>
      <c r="G6488" s="1" t="s">
        <v>14247</v>
      </c>
      <c r="H6488" s="1" t="s">
        <v>3604</v>
      </c>
      <c r="I6488" s="1" t="s">
        <v>22666</v>
      </c>
      <c r="J6488" s="1" t="s">
        <v>3606</v>
      </c>
      <c r="K6488" s="1" t="s">
        <v>14637</v>
      </c>
      <c r="L6488" s="1"/>
      <c r="M6488" s="1"/>
    </row>
    <row x14ac:dyDescent="0.25" r="6489" customHeight="1" ht="18.75">
      <c r="A6489" s="1" t="s">
        <v>7833</v>
      </c>
      <c r="B6489" s="1" t="s">
        <v>8269</v>
      </c>
      <c r="C6489" s="1" t="s">
        <v>4488</v>
      </c>
      <c r="D6489" s="1" t="s">
        <v>3601</v>
      </c>
      <c r="E6489" s="1" t="s">
        <v>3981</v>
      </c>
      <c r="F6489" s="1" t="s">
        <v>22667</v>
      </c>
      <c r="G6489" s="1" t="s">
        <v>14930</v>
      </c>
      <c r="H6489" s="1" t="s">
        <v>3604</v>
      </c>
      <c r="I6489" s="1" t="s">
        <v>22668</v>
      </c>
      <c r="J6489" s="1" t="s">
        <v>3606</v>
      </c>
      <c r="K6489" s="1" t="s">
        <v>22669</v>
      </c>
      <c r="L6489" s="1"/>
      <c r="M6489" s="1"/>
    </row>
    <row x14ac:dyDescent="0.25" r="6490" customHeight="1" ht="18.75">
      <c r="A6490" s="1" t="s">
        <v>7833</v>
      </c>
      <c r="B6490" s="1" t="s">
        <v>8269</v>
      </c>
      <c r="C6490" s="1" t="s">
        <v>4488</v>
      </c>
      <c r="D6490" s="1" t="s">
        <v>3601</v>
      </c>
      <c r="E6490" s="1" t="s">
        <v>3981</v>
      </c>
      <c r="F6490" s="1" t="s">
        <v>22670</v>
      </c>
      <c r="G6490" s="1" t="s">
        <v>14930</v>
      </c>
      <c r="H6490" s="1" t="s">
        <v>3604</v>
      </c>
      <c r="I6490" s="1" t="s">
        <v>22671</v>
      </c>
      <c r="J6490" s="1" t="s">
        <v>3606</v>
      </c>
      <c r="K6490" s="1" t="s">
        <v>22672</v>
      </c>
      <c r="L6490" s="1"/>
      <c r="M6490" s="1"/>
    </row>
    <row x14ac:dyDescent="0.25" r="6491" customHeight="1" ht="18.75">
      <c r="A6491" s="1" t="s">
        <v>7833</v>
      </c>
      <c r="B6491" s="1" t="s">
        <v>8204</v>
      </c>
      <c r="C6491" s="1" t="s">
        <v>4488</v>
      </c>
      <c r="D6491" s="1" t="s">
        <v>3610</v>
      </c>
      <c r="E6491" s="1" t="s">
        <v>8096</v>
      </c>
      <c r="F6491" s="1" t="s">
        <v>22673</v>
      </c>
      <c r="G6491" s="1" t="s">
        <v>8245</v>
      </c>
      <c r="H6491" s="1" t="s">
        <v>3604</v>
      </c>
      <c r="I6491" s="1" t="s">
        <v>22674</v>
      </c>
      <c r="J6491" s="1" t="s">
        <v>3606</v>
      </c>
      <c r="K6491" s="1" t="s">
        <v>14695</v>
      </c>
      <c r="L6491" s="1"/>
      <c r="M6491" s="1"/>
    </row>
    <row x14ac:dyDescent="0.25" r="6492" customHeight="1" ht="18.75">
      <c r="A6492" s="1" t="s">
        <v>7833</v>
      </c>
      <c r="B6492" s="1" t="s">
        <v>8269</v>
      </c>
      <c r="C6492" s="1" t="s">
        <v>4488</v>
      </c>
      <c r="D6492" s="1" t="s">
        <v>3601</v>
      </c>
      <c r="E6492" s="1" t="s">
        <v>3981</v>
      </c>
      <c r="F6492" s="1" t="s">
        <v>22675</v>
      </c>
      <c r="G6492" s="1" t="s">
        <v>14972</v>
      </c>
      <c r="H6492" s="1" t="s">
        <v>3604</v>
      </c>
      <c r="I6492" s="1" t="s">
        <v>22676</v>
      </c>
      <c r="J6492" s="1" t="s">
        <v>3606</v>
      </c>
      <c r="K6492" s="1" t="s">
        <v>22677</v>
      </c>
      <c r="L6492" s="1"/>
      <c r="M6492" s="1"/>
    </row>
    <row x14ac:dyDescent="0.25" r="6493" customHeight="1" ht="18.75">
      <c r="A6493" s="1" t="s">
        <v>3617</v>
      </c>
      <c r="B6493" s="1" t="s">
        <v>5544</v>
      </c>
      <c r="C6493" s="1" t="s">
        <v>3619</v>
      </c>
      <c r="D6493" s="1" t="s">
        <v>3695</v>
      </c>
      <c r="E6493" s="1" t="s">
        <v>3611</v>
      </c>
      <c r="F6493" s="1" t="s">
        <v>22678</v>
      </c>
      <c r="G6493" s="1" t="s">
        <v>8512</v>
      </c>
      <c r="H6493" s="1" t="s">
        <v>3604</v>
      </c>
      <c r="I6493" s="1" t="s">
        <v>22679</v>
      </c>
      <c r="J6493" s="1" t="s">
        <v>3606</v>
      </c>
      <c r="K6493" s="1" t="s">
        <v>22680</v>
      </c>
      <c r="L6493" s="1" t="s">
        <v>3608</v>
      </c>
      <c r="M6493" s="1"/>
    </row>
    <row x14ac:dyDescent="0.25" r="6494" customHeight="1" ht="18.75">
      <c r="A6494" s="1" t="s">
        <v>7833</v>
      </c>
      <c r="B6494" s="1" t="s">
        <v>8269</v>
      </c>
      <c r="C6494" s="1" t="s">
        <v>4488</v>
      </c>
      <c r="D6494" s="1" t="s">
        <v>3601</v>
      </c>
      <c r="E6494" s="1" t="s">
        <v>3981</v>
      </c>
      <c r="F6494" s="1" t="s">
        <v>22681</v>
      </c>
      <c r="G6494" s="1" t="s">
        <v>14972</v>
      </c>
      <c r="H6494" s="1" t="s">
        <v>3604</v>
      </c>
      <c r="I6494" s="1" t="s">
        <v>22682</v>
      </c>
      <c r="J6494" s="1" t="s">
        <v>3606</v>
      </c>
      <c r="K6494" s="1" t="s">
        <v>22683</v>
      </c>
      <c r="L6494" s="1"/>
      <c r="M6494" s="1"/>
    </row>
    <row x14ac:dyDescent="0.25" r="6495" customHeight="1" ht="18.75">
      <c r="A6495" s="1" t="s">
        <v>7833</v>
      </c>
      <c r="B6495" s="1" t="s">
        <v>8269</v>
      </c>
      <c r="C6495" s="1" t="s">
        <v>4488</v>
      </c>
      <c r="D6495" s="1" t="s">
        <v>3601</v>
      </c>
      <c r="E6495" s="1" t="s">
        <v>3981</v>
      </c>
      <c r="F6495" s="1" t="s">
        <v>22684</v>
      </c>
      <c r="G6495" s="1" t="s">
        <v>14954</v>
      </c>
      <c r="H6495" s="1" t="s">
        <v>3604</v>
      </c>
      <c r="I6495" s="1" t="s">
        <v>22685</v>
      </c>
      <c r="J6495" s="1" t="s">
        <v>3606</v>
      </c>
      <c r="K6495" s="1" t="s">
        <v>22686</v>
      </c>
      <c r="L6495" s="1"/>
      <c r="M6495" s="1"/>
    </row>
    <row x14ac:dyDescent="0.25" r="6496" customHeight="1" ht="18.75">
      <c r="A6496" s="1" t="s">
        <v>7833</v>
      </c>
      <c r="B6496" s="1" t="s">
        <v>8269</v>
      </c>
      <c r="C6496" s="1" t="s">
        <v>4488</v>
      </c>
      <c r="D6496" s="1" t="s">
        <v>3601</v>
      </c>
      <c r="E6496" s="1" t="s">
        <v>3981</v>
      </c>
      <c r="F6496" s="1" t="s">
        <v>22687</v>
      </c>
      <c r="G6496" s="1" t="s">
        <v>14954</v>
      </c>
      <c r="H6496" s="1" t="s">
        <v>3604</v>
      </c>
      <c r="I6496" s="1" t="s">
        <v>22688</v>
      </c>
      <c r="J6496" s="1" t="s">
        <v>3606</v>
      </c>
      <c r="K6496" s="1" t="s">
        <v>22689</v>
      </c>
      <c r="L6496" s="1"/>
      <c r="M6496" s="1"/>
    </row>
    <row x14ac:dyDescent="0.25" r="6497" customHeight="1" ht="18.75">
      <c r="A6497" s="1" t="s">
        <v>7833</v>
      </c>
      <c r="B6497" s="1" t="s">
        <v>8204</v>
      </c>
      <c r="C6497" s="1" t="s">
        <v>4488</v>
      </c>
      <c r="D6497" s="1" t="s">
        <v>3610</v>
      </c>
      <c r="E6497" s="1" t="s">
        <v>8096</v>
      </c>
      <c r="F6497" s="1" t="s">
        <v>22690</v>
      </c>
      <c r="G6497" s="1" t="s">
        <v>8230</v>
      </c>
      <c r="H6497" s="1" t="s">
        <v>3604</v>
      </c>
      <c r="I6497" s="1" t="s">
        <v>22691</v>
      </c>
      <c r="J6497" s="1" t="s">
        <v>3606</v>
      </c>
      <c r="K6497" s="1" t="s">
        <v>14709</v>
      </c>
      <c r="L6497" s="1"/>
      <c r="M6497" s="1"/>
    </row>
    <row x14ac:dyDescent="0.25" r="6498" customHeight="1" ht="18.75">
      <c r="A6498" s="1" t="s">
        <v>3617</v>
      </c>
      <c r="B6498" s="1" t="s">
        <v>5544</v>
      </c>
      <c r="C6498" s="1" t="s">
        <v>3619</v>
      </c>
      <c r="D6498" s="1" t="s">
        <v>3695</v>
      </c>
      <c r="E6498" s="1" t="s">
        <v>3611</v>
      </c>
      <c r="F6498" s="1" t="s">
        <v>22692</v>
      </c>
      <c r="G6498" s="1" t="s">
        <v>8512</v>
      </c>
      <c r="H6498" s="1" t="s">
        <v>3604</v>
      </c>
      <c r="I6498" s="1" t="s">
        <v>22693</v>
      </c>
      <c r="J6498" s="1" t="s">
        <v>3606</v>
      </c>
      <c r="K6498" s="1" t="s">
        <v>22694</v>
      </c>
      <c r="L6498" s="1" t="s">
        <v>3608</v>
      </c>
      <c r="M6498" s="1"/>
    </row>
    <row x14ac:dyDescent="0.25" r="6499" customHeight="1" ht="18.75">
      <c r="A6499" s="1" t="s">
        <v>3617</v>
      </c>
      <c r="B6499" s="1" t="s">
        <v>5544</v>
      </c>
      <c r="C6499" s="1" t="s">
        <v>3619</v>
      </c>
      <c r="D6499" s="1" t="s">
        <v>3695</v>
      </c>
      <c r="E6499" s="1" t="s">
        <v>3611</v>
      </c>
      <c r="F6499" s="1" t="s">
        <v>22695</v>
      </c>
      <c r="G6499" s="1" t="s">
        <v>8512</v>
      </c>
      <c r="H6499" s="1" t="s">
        <v>3604</v>
      </c>
      <c r="I6499" s="1" t="s">
        <v>22696</v>
      </c>
      <c r="J6499" s="1" t="s">
        <v>3606</v>
      </c>
      <c r="K6499" s="1" t="s">
        <v>22697</v>
      </c>
      <c r="L6499" s="1" t="s">
        <v>3608</v>
      </c>
      <c r="M6499" s="1"/>
    </row>
    <row x14ac:dyDescent="0.25" r="6500" customHeight="1" ht="18.75">
      <c r="A6500" s="1" t="s">
        <v>7833</v>
      </c>
      <c r="B6500" s="1" t="s">
        <v>8306</v>
      </c>
      <c r="C6500" s="1" t="s">
        <v>4488</v>
      </c>
      <c r="D6500" s="1" t="s">
        <v>3610</v>
      </c>
      <c r="E6500" s="1" t="s">
        <v>3664</v>
      </c>
      <c r="F6500" s="1" t="s">
        <v>22698</v>
      </c>
      <c r="G6500" s="1" t="s">
        <v>15304</v>
      </c>
      <c r="H6500" s="1" t="s">
        <v>3604</v>
      </c>
      <c r="I6500" s="1" t="s">
        <v>22699</v>
      </c>
      <c r="J6500" s="1" t="s">
        <v>3606</v>
      </c>
      <c r="K6500" s="1" t="s">
        <v>22700</v>
      </c>
      <c r="L6500" s="1"/>
      <c r="M6500" s="1"/>
    </row>
    <row x14ac:dyDescent="0.25" r="6501" customHeight="1" ht="18.75">
      <c r="A6501" s="1" t="s">
        <v>3617</v>
      </c>
      <c r="B6501" s="1" t="s">
        <v>5544</v>
      </c>
      <c r="C6501" s="1" t="s">
        <v>3619</v>
      </c>
      <c r="D6501" s="1" t="s">
        <v>3695</v>
      </c>
      <c r="E6501" s="1" t="s">
        <v>3611</v>
      </c>
      <c r="F6501" s="1" t="s">
        <v>22701</v>
      </c>
      <c r="G6501" s="1" t="s">
        <v>8512</v>
      </c>
      <c r="H6501" s="1" t="s">
        <v>3604</v>
      </c>
      <c r="I6501" s="1" t="s">
        <v>22702</v>
      </c>
      <c r="J6501" s="1" t="s">
        <v>3606</v>
      </c>
      <c r="K6501" s="1" t="s">
        <v>22703</v>
      </c>
      <c r="L6501" s="1" t="s">
        <v>3608</v>
      </c>
      <c r="M6501" s="1"/>
    </row>
    <row x14ac:dyDescent="0.25" r="6502" customHeight="1" ht="18.75">
      <c r="A6502" s="1" t="s">
        <v>3617</v>
      </c>
      <c r="B6502" s="1" t="s">
        <v>5544</v>
      </c>
      <c r="C6502" s="1" t="s">
        <v>3619</v>
      </c>
      <c r="D6502" s="1" t="s">
        <v>3695</v>
      </c>
      <c r="E6502" s="1" t="s">
        <v>3611</v>
      </c>
      <c r="F6502" s="1" t="s">
        <v>22704</v>
      </c>
      <c r="G6502" s="1" t="s">
        <v>8512</v>
      </c>
      <c r="H6502" s="1" t="s">
        <v>3604</v>
      </c>
      <c r="I6502" s="1" t="s">
        <v>22705</v>
      </c>
      <c r="J6502" s="1" t="s">
        <v>3606</v>
      </c>
      <c r="K6502" s="1" t="s">
        <v>22706</v>
      </c>
      <c r="L6502" s="1" t="s">
        <v>3608</v>
      </c>
      <c r="M6502" s="1"/>
    </row>
    <row x14ac:dyDescent="0.25" r="6503" customHeight="1" ht="18.75">
      <c r="A6503" s="1" t="s">
        <v>7833</v>
      </c>
      <c r="B6503" s="1" t="s">
        <v>8306</v>
      </c>
      <c r="C6503" s="1" t="s">
        <v>4488</v>
      </c>
      <c r="D6503" s="1" t="s">
        <v>3610</v>
      </c>
      <c r="E6503" s="1" t="s">
        <v>3664</v>
      </c>
      <c r="F6503" s="1" t="s">
        <v>22707</v>
      </c>
      <c r="G6503" s="1" t="s">
        <v>15304</v>
      </c>
      <c r="H6503" s="1" t="s">
        <v>3604</v>
      </c>
      <c r="I6503" s="1" t="s">
        <v>22708</v>
      </c>
      <c r="J6503" s="1" t="s">
        <v>3606</v>
      </c>
      <c r="K6503" s="1" t="s">
        <v>22709</v>
      </c>
      <c r="L6503" s="1"/>
      <c r="M6503" s="1"/>
    </row>
    <row x14ac:dyDescent="0.25" r="6504" customHeight="1" ht="18.75">
      <c r="A6504" s="1" t="s">
        <v>3617</v>
      </c>
      <c r="B6504" s="1" t="s">
        <v>5544</v>
      </c>
      <c r="C6504" s="1" t="s">
        <v>3619</v>
      </c>
      <c r="D6504" s="1" t="s">
        <v>3695</v>
      </c>
      <c r="E6504" s="1" t="s">
        <v>3611</v>
      </c>
      <c r="F6504" s="1" t="s">
        <v>22710</v>
      </c>
      <c r="G6504" s="1" t="s">
        <v>8512</v>
      </c>
      <c r="H6504" s="1" t="s">
        <v>3604</v>
      </c>
      <c r="I6504" s="1" t="s">
        <v>22711</v>
      </c>
      <c r="J6504" s="1" t="s">
        <v>3606</v>
      </c>
      <c r="K6504" s="1" t="s">
        <v>22712</v>
      </c>
      <c r="L6504" s="1" t="s">
        <v>3608</v>
      </c>
      <c r="M6504" s="1"/>
    </row>
    <row x14ac:dyDescent="0.25" r="6505" customHeight="1" ht="18.75">
      <c r="A6505" s="1" t="s">
        <v>3617</v>
      </c>
      <c r="B6505" s="1" t="s">
        <v>5544</v>
      </c>
      <c r="C6505" s="1" t="s">
        <v>3619</v>
      </c>
      <c r="D6505" s="1" t="s">
        <v>3695</v>
      </c>
      <c r="E6505" s="1" t="s">
        <v>3611</v>
      </c>
      <c r="F6505" s="1" t="s">
        <v>22713</v>
      </c>
      <c r="G6505" s="1" t="s">
        <v>8512</v>
      </c>
      <c r="H6505" s="1" t="s">
        <v>3604</v>
      </c>
      <c r="I6505" s="1" t="s">
        <v>22714</v>
      </c>
      <c r="J6505" s="1" t="s">
        <v>3606</v>
      </c>
      <c r="K6505" s="1" t="s">
        <v>22715</v>
      </c>
      <c r="L6505" s="1" t="s">
        <v>3608</v>
      </c>
      <c r="M6505" s="1"/>
    </row>
    <row x14ac:dyDescent="0.25" r="6506" customHeight="1" ht="18.75">
      <c r="A6506" s="1" t="s">
        <v>3617</v>
      </c>
      <c r="B6506" s="1" t="s">
        <v>5544</v>
      </c>
      <c r="C6506" s="1" t="s">
        <v>3619</v>
      </c>
      <c r="D6506" s="1" t="s">
        <v>3695</v>
      </c>
      <c r="E6506" s="1" t="s">
        <v>3611</v>
      </c>
      <c r="F6506" s="1" t="s">
        <v>22716</v>
      </c>
      <c r="G6506" s="1" t="s">
        <v>8512</v>
      </c>
      <c r="H6506" s="1" t="s">
        <v>3604</v>
      </c>
      <c r="I6506" s="1" t="s">
        <v>22717</v>
      </c>
      <c r="J6506" s="1" t="s">
        <v>3606</v>
      </c>
      <c r="K6506" s="1" t="s">
        <v>22718</v>
      </c>
      <c r="L6506" s="1" t="s">
        <v>3608</v>
      </c>
      <c r="M6506" s="1"/>
    </row>
    <row x14ac:dyDescent="0.25" r="6507" customHeight="1" ht="18.75">
      <c r="A6507" s="1" t="s">
        <v>3617</v>
      </c>
      <c r="B6507" s="1" t="s">
        <v>5544</v>
      </c>
      <c r="C6507" s="1" t="s">
        <v>3619</v>
      </c>
      <c r="D6507" s="1" t="s">
        <v>3695</v>
      </c>
      <c r="E6507" s="1" t="s">
        <v>3611</v>
      </c>
      <c r="F6507" s="1" t="s">
        <v>22719</v>
      </c>
      <c r="G6507" s="1" t="s">
        <v>8512</v>
      </c>
      <c r="H6507" s="1" t="s">
        <v>3604</v>
      </c>
      <c r="I6507" s="1" t="s">
        <v>22720</v>
      </c>
      <c r="J6507" s="1" t="s">
        <v>3606</v>
      </c>
      <c r="K6507" s="1" t="s">
        <v>22721</v>
      </c>
      <c r="L6507" s="1" t="s">
        <v>3608</v>
      </c>
      <c r="M6507" s="1"/>
    </row>
    <row x14ac:dyDescent="0.25" r="6508" customHeight="1" ht="18.75">
      <c r="A6508" s="1" t="s">
        <v>3617</v>
      </c>
      <c r="B6508" s="1" t="s">
        <v>5544</v>
      </c>
      <c r="C6508" s="1" t="s">
        <v>3619</v>
      </c>
      <c r="D6508" s="1" t="s">
        <v>3695</v>
      </c>
      <c r="E6508" s="1" t="s">
        <v>3611</v>
      </c>
      <c r="F6508" s="1" t="s">
        <v>22722</v>
      </c>
      <c r="G6508" s="1" t="s">
        <v>8512</v>
      </c>
      <c r="H6508" s="1" t="s">
        <v>3604</v>
      </c>
      <c r="I6508" s="1" t="s">
        <v>22723</v>
      </c>
      <c r="J6508" s="1" t="s">
        <v>3606</v>
      </c>
      <c r="K6508" s="1" t="s">
        <v>22724</v>
      </c>
      <c r="L6508" s="1" t="s">
        <v>3608</v>
      </c>
      <c r="M6508" s="1"/>
    </row>
    <row x14ac:dyDescent="0.25" r="6509" customHeight="1" ht="18.75">
      <c r="A6509" s="1" t="s">
        <v>3617</v>
      </c>
      <c r="B6509" s="1" t="s">
        <v>5544</v>
      </c>
      <c r="C6509" s="1" t="s">
        <v>3619</v>
      </c>
      <c r="D6509" s="1" t="s">
        <v>3695</v>
      </c>
      <c r="E6509" s="1" t="s">
        <v>3611</v>
      </c>
      <c r="F6509" s="1" t="s">
        <v>22725</v>
      </c>
      <c r="G6509" s="1" t="s">
        <v>8512</v>
      </c>
      <c r="H6509" s="1" t="s">
        <v>3604</v>
      </c>
      <c r="I6509" s="1" t="s">
        <v>22726</v>
      </c>
      <c r="J6509" s="1" t="s">
        <v>3606</v>
      </c>
      <c r="K6509" s="1" t="s">
        <v>22727</v>
      </c>
      <c r="L6509" s="1" t="s">
        <v>3608</v>
      </c>
      <c r="M6509" s="1"/>
    </row>
    <row x14ac:dyDescent="0.25" r="6510" customHeight="1" ht="18.75">
      <c r="A6510" s="1" t="s">
        <v>3617</v>
      </c>
      <c r="B6510" s="1" t="s">
        <v>5544</v>
      </c>
      <c r="C6510" s="1" t="s">
        <v>3619</v>
      </c>
      <c r="D6510" s="1" t="s">
        <v>3695</v>
      </c>
      <c r="E6510" s="1" t="s">
        <v>3611</v>
      </c>
      <c r="F6510" s="1" t="s">
        <v>22728</v>
      </c>
      <c r="G6510" s="1" t="s">
        <v>8512</v>
      </c>
      <c r="H6510" s="1" t="s">
        <v>3604</v>
      </c>
      <c r="I6510" s="1" t="s">
        <v>22729</v>
      </c>
      <c r="J6510" s="1" t="s">
        <v>3606</v>
      </c>
      <c r="K6510" s="1" t="s">
        <v>22730</v>
      </c>
      <c r="L6510" s="1" t="s">
        <v>3608</v>
      </c>
      <c r="M6510" s="1"/>
    </row>
    <row x14ac:dyDescent="0.25" r="6511" customHeight="1" ht="18.75">
      <c r="A6511" s="1" t="s">
        <v>3617</v>
      </c>
      <c r="B6511" s="1" t="s">
        <v>5222</v>
      </c>
      <c r="C6511" s="1" t="s">
        <v>3619</v>
      </c>
      <c r="D6511" s="1" t="s">
        <v>3601</v>
      </c>
      <c r="E6511" s="1" t="s">
        <v>3664</v>
      </c>
      <c r="F6511" s="1" t="s">
        <v>22731</v>
      </c>
      <c r="G6511" s="1" t="s">
        <v>22732</v>
      </c>
      <c r="H6511" s="1" t="s">
        <v>3604</v>
      </c>
      <c r="I6511" s="1" t="s">
        <v>22733</v>
      </c>
      <c r="J6511" s="1" t="s">
        <v>3606</v>
      </c>
      <c r="K6511" s="1" t="s">
        <v>22734</v>
      </c>
      <c r="L6511" s="1"/>
      <c r="M6511" s="1"/>
    </row>
    <row x14ac:dyDescent="0.25" r="6512" customHeight="1" ht="18.75">
      <c r="A6512" s="1" t="s">
        <v>3617</v>
      </c>
      <c r="B6512" s="1" t="s">
        <v>5222</v>
      </c>
      <c r="C6512" s="1" t="s">
        <v>3619</v>
      </c>
      <c r="D6512" s="1" t="s">
        <v>3601</v>
      </c>
      <c r="E6512" s="1" t="s">
        <v>3664</v>
      </c>
      <c r="F6512" s="1" t="s">
        <v>22735</v>
      </c>
      <c r="G6512" s="1" t="s">
        <v>22736</v>
      </c>
      <c r="H6512" s="1" t="s">
        <v>3604</v>
      </c>
      <c r="I6512" s="1" t="s">
        <v>22737</v>
      </c>
      <c r="J6512" s="1" t="s">
        <v>3606</v>
      </c>
      <c r="K6512" s="1" t="s">
        <v>22738</v>
      </c>
      <c r="L6512" s="1"/>
      <c r="M6512" s="1"/>
    </row>
    <row x14ac:dyDescent="0.25" r="6513" customHeight="1" ht="18.75">
      <c r="A6513" s="1" t="s">
        <v>3617</v>
      </c>
      <c r="B6513" s="1" t="s">
        <v>5222</v>
      </c>
      <c r="C6513" s="1" t="s">
        <v>3619</v>
      </c>
      <c r="D6513" s="1" t="s">
        <v>3601</v>
      </c>
      <c r="E6513" s="1" t="s">
        <v>3664</v>
      </c>
      <c r="F6513" s="1" t="s">
        <v>22739</v>
      </c>
      <c r="G6513" s="1" t="s">
        <v>22740</v>
      </c>
      <c r="H6513" s="1" t="s">
        <v>3604</v>
      </c>
      <c r="I6513" s="1" t="s">
        <v>22741</v>
      </c>
      <c r="J6513" s="1" t="s">
        <v>3606</v>
      </c>
      <c r="K6513" s="1" t="s">
        <v>22742</v>
      </c>
      <c r="L6513" s="1"/>
      <c r="M6513" s="1"/>
    </row>
    <row x14ac:dyDescent="0.25" r="6514" customHeight="1" ht="18.75">
      <c r="A6514" s="1" t="s">
        <v>3617</v>
      </c>
      <c r="B6514" s="1" t="s">
        <v>5222</v>
      </c>
      <c r="C6514" s="1" t="s">
        <v>3619</v>
      </c>
      <c r="D6514" s="1" t="s">
        <v>3601</v>
      </c>
      <c r="E6514" s="1" t="s">
        <v>3664</v>
      </c>
      <c r="F6514" s="1" t="s">
        <v>22743</v>
      </c>
      <c r="G6514" s="1" t="s">
        <v>22740</v>
      </c>
      <c r="H6514" s="1" t="s">
        <v>3604</v>
      </c>
      <c r="I6514" s="1" t="s">
        <v>22744</v>
      </c>
      <c r="J6514" s="1" t="s">
        <v>3606</v>
      </c>
      <c r="K6514" s="1" t="s">
        <v>22745</v>
      </c>
      <c r="L6514" s="1"/>
      <c r="M6514" s="1"/>
    </row>
    <row x14ac:dyDescent="0.25" r="6515" customHeight="1" ht="18.75">
      <c r="A6515" s="1" t="s">
        <v>3617</v>
      </c>
      <c r="B6515" s="1" t="s">
        <v>5222</v>
      </c>
      <c r="C6515" s="1" t="s">
        <v>3619</v>
      </c>
      <c r="D6515" s="1" t="s">
        <v>3601</v>
      </c>
      <c r="E6515" s="1" t="s">
        <v>3730</v>
      </c>
      <c r="F6515" s="1" t="s">
        <v>22746</v>
      </c>
      <c r="G6515" s="1" t="s">
        <v>22747</v>
      </c>
      <c r="H6515" s="1" t="s">
        <v>3604</v>
      </c>
      <c r="I6515" s="1" t="s">
        <v>22748</v>
      </c>
      <c r="J6515" s="1" t="s">
        <v>3606</v>
      </c>
      <c r="K6515" s="1" t="s">
        <v>22749</v>
      </c>
      <c r="L6515" s="1"/>
      <c r="M6515" s="1"/>
    </row>
    <row x14ac:dyDescent="0.25" r="6516" customHeight="1" ht="18.75">
      <c r="A6516" s="1" t="s">
        <v>3617</v>
      </c>
      <c r="B6516" s="1" t="s">
        <v>5222</v>
      </c>
      <c r="C6516" s="1" t="s">
        <v>3619</v>
      </c>
      <c r="D6516" s="1" t="s">
        <v>3601</v>
      </c>
      <c r="E6516" s="1" t="s">
        <v>3730</v>
      </c>
      <c r="F6516" s="1" t="s">
        <v>22750</v>
      </c>
      <c r="G6516" s="1" t="s">
        <v>22747</v>
      </c>
      <c r="H6516" s="1" t="s">
        <v>3604</v>
      </c>
      <c r="I6516" s="1" t="s">
        <v>22751</v>
      </c>
      <c r="J6516" s="1" t="s">
        <v>3606</v>
      </c>
      <c r="K6516" s="1" t="s">
        <v>22752</v>
      </c>
      <c r="L6516" s="1"/>
      <c r="M6516" s="1"/>
    </row>
    <row x14ac:dyDescent="0.25" r="6517" customHeight="1" ht="18.75">
      <c r="A6517" s="1" t="s">
        <v>3617</v>
      </c>
      <c r="B6517" s="1" t="s">
        <v>5222</v>
      </c>
      <c r="C6517" s="1" t="s">
        <v>3619</v>
      </c>
      <c r="D6517" s="1" t="s">
        <v>3601</v>
      </c>
      <c r="E6517" s="1" t="s">
        <v>3730</v>
      </c>
      <c r="F6517" s="1" t="s">
        <v>22753</v>
      </c>
      <c r="G6517" s="1" t="s">
        <v>22754</v>
      </c>
      <c r="H6517" s="1" t="s">
        <v>3604</v>
      </c>
      <c r="I6517" s="1" t="s">
        <v>22755</v>
      </c>
      <c r="J6517" s="1" t="s">
        <v>3606</v>
      </c>
      <c r="K6517" s="1" t="s">
        <v>22756</v>
      </c>
      <c r="L6517" s="1"/>
      <c r="M6517" s="1"/>
    </row>
    <row x14ac:dyDescent="0.25" r="6518" customHeight="1" ht="18.75">
      <c r="A6518" s="1" t="s">
        <v>3617</v>
      </c>
      <c r="B6518" s="1" t="s">
        <v>5222</v>
      </c>
      <c r="C6518" s="1" t="s">
        <v>3619</v>
      </c>
      <c r="D6518" s="1" t="s">
        <v>3601</v>
      </c>
      <c r="E6518" s="1" t="s">
        <v>3730</v>
      </c>
      <c r="F6518" s="1" t="s">
        <v>22757</v>
      </c>
      <c r="G6518" s="1" t="s">
        <v>22754</v>
      </c>
      <c r="H6518" s="1" t="s">
        <v>3604</v>
      </c>
      <c r="I6518" s="1" t="s">
        <v>22758</v>
      </c>
      <c r="J6518" s="1" t="s">
        <v>3606</v>
      </c>
      <c r="K6518" s="1" t="s">
        <v>22759</v>
      </c>
      <c r="L6518" s="1"/>
      <c r="M6518" s="1"/>
    </row>
    <row x14ac:dyDescent="0.25" r="6519" customHeight="1" ht="18.75">
      <c r="A6519" s="1" t="s">
        <v>3617</v>
      </c>
      <c r="B6519" s="1" t="s">
        <v>5222</v>
      </c>
      <c r="C6519" s="1" t="s">
        <v>3619</v>
      </c>
      <c r="D6519" s="1" t="s">
        <v>3601</v>
      </c>
      <c r="E6519" s="1" t="s">
        <v>3730</v>
      </c>
      <c r="F6519" s="1" t="s">
        <v>22760</v>
      </c>
      <c r="G6519" s="1" t="s">
        <v>22761</v>
      </c>
      <c r="H6519" s="1" t="s">
        <v>3604</v>
      </c>
      <c r="I6519" s="1" t="s">
        <v>22762</v>
      </c>
      <c r="J6519" s="1" t="s">
        <v>3606</v>
      </c>
      <c r="K6519" s="1" t="s">
        <v>22763</v>
      </c>
      <c r="L6519" s="1"/>
      <c r="M6519" s="1"/>
    </row>
    <row x14ac:dyDescent="0.25" r="6520" customHeight="1" ht="18.75">
      <c r="A6520" s="1" t="s">
        <v>3617</v>
      </c>
      <c r="B6520" s="1" t="s">
        <v>5222</v>
      </c>
      <c r="C6520" s="1" t="s">
        <v>3619</v>
      </c>
      <c r="D6520" s="1" t="s">
        <v>3601</v>
      </c>
      <c r="E6520" s="1" t="s">
        <v>3730</v>
      </c>
      <c r="F6520" s="1" t="s">
        <v>22764</v>
      </c>
      <c r="G6520" s="1" t="s">
        <v>22761</v>
      </c>
      <c r="H6520" s="1" t="s">
        <v>3604</v>
      </c>
      <c r="I6520" s="1" t="s">
        <v>22765</v>
      </c>
      <c r="J6520" s="1" t="s">
        <v>3606</v>
      </c>
      <c r="K6520" s="1" t="s">
        <v>22766</v>
      </c>
      <c r="L6520" s="1"/>
      <c r="M6520" s="1"/>
    </row>
    <row x14ac:dyDescent="0.25" r="6521" customHeight="1" ht="18.75">
      <c r="A6521" s="1" t="s">
        <v>3617</v>
      </c>
      <c r="B6521" s="1" t="s">
        <v>5222</v>
      </c>
      <c r="C6521" s="1" t="s">
        <v>3619</v>
      </c>
      <c r="D6521" s="1" t="s">
        <v>3601</v>
      </c>
      <c r="E6521" s="1" t="s">
        <v>3730</v>
      </c>
      <c r="F6521" s="1" t="s">
        <v>22767</v>
      </c>
      <c r="G6521" s="1" t="s">
        <v>9642</v>
      </c>
      <c r="H6521" s="1" t="s">
        <v>3604</v>
      </c>
      <c r="I6521" s="1" t="s">
        <v>22768</v>
      </c>
      <c r="J6521" s="1" t="s">
        <v>3606</v>
      </c>
      <c r="K6521" s="1" t="s">
        <v>22769</v>
      </c>
      <c r="L6521" s="1"/>
      <c r="M6521" s="1"/>
    </row>
    <row x14ac:dyDescent="0.25" r="6522" customHeight="1" ht="18.75">
      <c r="A6522" s="1" t="s">
        <v>3617</v>
      </c>
      <c r="B6522" s="1" t="s">
        <v>5222</v>
      </c>
      <c r="C6522" s="1" t="s">
        <v>3619</v>
      </c>
      <c r="D6522" s="1" t="s">
        <v>3601</v>
      </c>
      <c r="E6522" s="1" t="s">
        <v>3730</v>
      </c>
      <c r="F6522" s="1" t="s">
        <v>22770</v>
      </c>
      <c r="G6522" s="1" t="s">
        <v>9642</v>
      </c>
      <c r="H6522" s="1" t="s">
        <v>3604</v>
      </c>
      <c r="I6522" s="1" t="s">
        <v>22771</v>
      </c>
      <c r="J6522" s="1" t="s">
        <v>3606</v>
      </c>
      <c r="K6522" s="1" t="s">
        <v>22772</v>
      </c>
      <c r="L6522" s="1"/>
      <c r="M6522" s="1"/>
    </row>
    <row x14ac:dyDescent="0.25" r="6523" customHeight="1" ht="18.75">
      <c r="A6523" s="1" t="s">
        <v>3617</v>
      </c>
      <c r="B6523" s="1" t="s">
        <v>5222</v>
      </c>
      <c r="C6523" s="1" t="s">
        <v>3619</v>
      </c>
      <c r="D6523" s="1" t="s">
        <v>3601</v>
      </c>
      <c r="E6523" s="1" t="s">
        <v>3664</v>
      </c>
      <c r="F6523" s="1" t="s">
        <v>22773</v>
      </c>
      <c r="G6523" s="1" t="s">
        <v>22774</v>
      </c>
      <c r="H6523" s="1" t="s">
        <v>3604</v>
      </c>
      <c r="I6523" s="1" t="s">
        <v>22775</v>
      </c>
      <c r="J6523" s="1" t="s">
        <v>3606</v>
      </c>
      <c r="K6523" s="1" t="s">
        <v>22776</v>
      </c>
      <c r="L6523" s="1"/>
      <c r="M6523" s="1"/>
    </row>
    <row x14ac:dyDescent="0.25" r="6524" customHeight="1" ht="18.75">
      <c r="A6524" s="1" t="s">
        <v>3598</v>
      </c>
      <c r="B6524" s="1" t="s">
        <v>18043</v>
      </c>
      <c r="C6524" s="1" t="s">
        <v>3600</v>
      </c>
      <c r="D6524" s="1" t="s">
        <v>3610</v>
      </c>
      <c r="E6524" s="1" t="s">
        <v>3752</v>
      </c>
      <c r="F6524" s="1" t="s">
        <v>22777</v>
      </c>
      <c r="G6524" s="1" t="s">
        <v>22778</v>
      </c>
      <c r="H6524" s="1" t="s">
        <v>3604</v>
      </c>
      <c r="I6524" s="1" t="s">
        <v>22779</v>
      </c>
      <c r="J6524" s="1" t="s">
        <v>3615</v>
      </c>
      <c r="K6524" s="1" t="s">
        <v>22780</v>
      </c>
      <c r="L6524" s="1"/>
      <c r="M6524" s="1"/>
    </row>
    <row x14ac:dyDescent="0.25" r="6525" customHeight="1" ht="18.75">
      <c r="A6525" s="1" t="s">
        <v>3617</v>
      </c>
      <c r="B6525" s="1" t="s">
        <v>4128</v>
      </c>
      <c r="C6525" s="1" t="s">
        <v>3619</v>
      </c>
      <c r="D6525" s="1" t="s">
        <v>8373</v>
      </c>
      <c r="E6525" s="1" t="s">
        <v>3893</v>
      </c>
      <c r="F6525" s="1" t="s">
        <v>22781</v>
      </c>
      <c r="G6525" s="1" t="s">
        <v>13261</v>
      </c>
      <c r="H6525" s="1" t="s">
        <v>3604</v>
      </c>
      <c r="I6525" s="1" t="s">
        <v>22782</v>
      </c>
      <c r="J6525" s="1" t="s">
        <v>3606</v>
      </c>
      <c r="K6525" s="1" t="s">
        <v>22783</v>
      </c>
      <c r="L6525" s="1"/>
      <c r="M6525" s="1"/>
    </row>
    <row x14ac:dyDescent="0.25" r="6526" customHeight="1" ht="18.75">
      <c r="A6526" s="1" t="s">
        <v>3617</v>
      </c>
      <c r="B6526" s="1" t="s">
        <v>4128</v>
      </c>
      <c r="C6526" s="1" t="s">
        <v>3619</v>
      </c>
      <c r="D6526" s="1" t="s">
        <v>8373</v>
      </c>
      <c r="E6526" s="1" t="s">
        <v>3893</v>
      </c>
      <c r="F6526" s="1" t="s">
        <v>22784</v>
      </c>
      <c r="G6526" s="1" t="s">
        <v>13261</v>
      </c>
      <c r="H6526" s="1" t="s">
        <v>3604</v>
      </c>
      <c r="I6526" s="1" t="s">
        <v>22785</v>
      </c>
      <c r="J6526" s="1" t="s">
        <v>3606</v>
      </c>
      <c r="K6526" s="1" t="s">
        <v>22786</v>
      </c>
      <c r="L6526" s="1"/>
      <c r="M6526" s="1"/>
    </row>
    <row x14ac:dyDescent="0.25" r="6527" customHeight="1" ht="18.75">
      <c r="A6527" s="1" t="s">
        <v>3617</v>
      </c>
      <c r="B6527" s="1" t="s">
        <v>4128</v>
      </c>
      <c r="C6527" s="1" t="s">
        <v>3619</v>
      </c>
      <c r="D6527" s="1" t="s">
        <v>8373</v>
      </c>
      <c r="E6527" s="1" t="s">
        <v>3893</v>
      </c>
      <c r="F6527" s="1" t="s">
        <v>22787</v>
      </c>
      <c r="G6527" s="1" t="s">
        <v>13261</v>
      </c>
      <c r="H6527" s="1" t="s">
        <v>3604</v>
      </c>
      <c r="I6527" s="1" t="s">
        <v>22788</v>
      </c>
      <c r="J6527" s="1" t="s">
        <v>3606</v>
      </c>
      <c r="K6527" s="1" t="s">
        <v>22789</v>
      </c>
      <c r="L6527" s="1"/>
      <c r="M6527" s="1"/>
    </row>
    <row x14ac:dyDescent="0.25" r="6528" customHeight="1" ht="18.75">
      <c r="A6528" s="1" t="s">
        <v>3617</v>
      </c>
      <c r="B6528" s="1" t="s">
        <v>13485</v>
      </c>
      <c r="C6528" s="1" t="s">
        <v>3619</v>
      </c>
      <c r="D6528" s="1" t="s">
        <v>533</v>
      </c>
      <c r="E6528" s="1" t="s">
        <v>3981</v>
      </c>
      <c r="F6528" s="1" t="s">
        <v>22790</v>
      </c>
      <c r="G6528" s="1" t="s">
        <v>13487</v>
      </c>
      <c r="H6528" s="1" t="s">
        <v>3604</v>
      </c>
      <c r="I6528" s="1" t="s">
        <v>22791</v>
      </c>
      <c r="J6528" s="1" t="s">
        <v>3606</v>
      </c>
      <c r="K6528" s="1" t="s">
        <v>22792</v>
      </c>
      <c r="L6528" s="1"/>
      <c r="M6528" s="1"/>
    </row>
    <row x14ac:dyDescent="0.25" r="6529" customHeight="1" ht="18.75">
      <c r="A6529" s="1" t="s">
        <v>3598</v>
      </c>
      <c r="B6529" s="1" t="s">
        <v>9273</v>
      </c>
      <c r="C6529" s="1" t="s">
        <v>3600</v>
      </c>
      <c r="D6529" s="1" t="s">
        <v>8365</v>
      </c>
      <c r="E6529" s="1" t="s">
        <v>3664</v>
      </c>
      <c r="F6529" s="1" t="s">
        <v>22793</v>
      </c>
      <c r="G6529" s="1" t="s">
        <v>9275</v>
      </c>
      <c r="H6529" s="1" t="s">
        <v>3604</v>
      </c>
      <c r="I6529" s="1" t="s">
        <v>22794</v>
      </c>
      <c r="J6529" s="1" t="s">
        <v>3606</v>
      </c>
      <c r="K6529" s="1" t="s">
        <v>22795</v>
      </c>
      <c r="L6529" s="1"/>
      <c r="M6529" s="1"/>
    </row>
    <row x14ac:dyDescent="0.25" r="6530" customHeight="1" ht="18.75">
      <c r="A6530" s="1" t="s">
        <v>3617</v>
      </c>
      <c r="B6530" s="1" t="s">
        <v>5222</v>
      </c>
      <c r="C6530" s="1" t="s">
        <v>3619</v>
      </c>
      <c r="D6530" s="1" t="s">
        <v>533</v>
      </c>
      <c r="E6530" s="1" t="s">
        <v>3730</v>
      </c>
      <c r="F6530" s="1" t="s">
        <v>22796</v>
      </c>
      <c r="G6530" s="1" t="s">
        <v>11853</v>
      </c>
      <c r="H6530" s="1" t="s">
        <v>3604</v>
      </c>
      <c r="I6530" s="1" t="s">
        <v>22797</v>
      </c>
      <c r="J6530" s="1" t="s">
        <v>3606</v>
      </c>
      <c r="K6530" s="1" t="s">
        <v>22798</v>
      </c>
      <c r="L6530" s="1"/>
      <c r="M6530" s="1"/>
    </row>
    <row x14ac:dyDescent="0.25" r="6531" customHeight="1" ht="18.75">
      <c r="A6531" s="1" t="s">
        <v>3598</v>
      </c>
      <c r="B6531" s="1" t="s">
        <v>22799</v>
      </c>
      <c r="C6531" s="1" t="s">
        <v>3600</v>
      </c>
      <c r="D6531" s="1" t="s">
        <v>3601</v>
      </c>
      <c r="E6531" s="1" t="s">
        <v>3664</v>
      </c>
      <c r="F6531" s="1" t="s">
        <v>22800</v>
      </c>
      <c r="G6531" s="1" t="s">
        <v>22801</v>
      </c>
      <c r="H6531" s="1" t="s">
        <v>3604</v>
      </c>
      <c r="I6531" s="1" t="s">
        <v>22802</v>
      </c>
      <c r="J6531" s="1" t="s">
        <v>3606</v>
      </c>
      <c r="K6531" s="1"/>
      <c r="L6531" s="1"/>
      <c r="M6531" s="1"/>
    </row>
    <row x14ac:dyDescent="0.25" r="6532" customHeight="1" ht="18.75">
      <c r="A6532" s="1" t="s">
        <v>3617</v>
      </c>
      <c r="B6532" s="1" t="s">
        <v>5222</v>
      </c>
      <c r="C6532" s="1" t="s">
        <v>3619</v>
      </c>
      <c r="D6532" s="1" t="s">
        <v>3610</v>
      </c>
      <c r="E6532" s="1" t="s">
        <v>3730</v>
      </c>
      <c r="F6532" s="1" t="s">
        <v>22803</v>
      </c>
      <c r="G6532" s="1" t="s">
        <v>17882</v>
      </c>
      <c r="H6532" s="1" t="s">
        <v>3604</v>
      </c>
      <c r="I6532" s="1" t="s">
        <v>22804</v>
      </c>
      <c r="J6532" s="1" t="s">
        <v>3606</v>
      </c>
      <c r="K6532" s="1" t="s">
        <v>22805</v>
      </c>
      <c r="L6532" s="1"/>
      <c r="M6532" s="1"/>
    </row>
    <row x14ac:dyDescent="0.25" r="6533" customHeight="1" ht="18.75">
      <c r="A6533" s="1" t="s">
        <v>3617</v>
      </c>
      <c r="B6533" s="1" t="s">
        <v>5222</v>
      </c>
      <c r="C6533" s="1" t="s">
        <v>3619</v>
      </c>
      <c r="D6533" s="1" t="s">
        <v>3610</v>
      </c>
      <c r="E6533" s="1" t="s">
        <v>3730</v>
      </c>
      <c r="F6533" s="1" t="s">
        <v>22806</v>
      </c>
      <c r="G6533" s="1" t="s">
        <v>22807</v>
      </c>
      <c r="H6533" s="1" t="s">
        <v>3604</v>
      </c>
      <c r="I6533" s="1" t="s">
        <v>22808</v>
      </c>
      <c r="J6533" s="1" t="s">
        <v>3606</v>
      </c>
      <c r="K6533" s="1" t="s">
        <v>22809</v>
      </c>
      <c r="L6533" s="1"/>
      <c r="M6533" s="1"/>
    </row>
    <row x14ac:dyDescent="0.25" r="6534" customHeight="1" ht="18.75">
      <c r="A6534" s="1" t="s">
        <v>3617</v>
      </c>
      <c r="B6534" s="1" t="s">
        <v>5222</v>
      </c>
      <c r="C6534" s="1" t="s">
        <v>3619</v>
      </c>
      <c r="D6534" s="1" t="s">
        <v>3610</v>
      </c>
      <c r="E6534" s="1" t="s">
        <v>3730</v>
      </c>
      <c r="F6534" s="1" t="s">
        <v>22810</v>
      </c>
      <c r="G6534" s="1" t="s">
        <v>22807</v>
      </c>
      <c r="H6534" s="1" t="s">
        <v>3604</v>
      </c>
      <c r="I6534" s="1" t="s">
        <v>22811</v>
      </c>
      <c r="J6534" s="1" t="s">
        <v>3606</v>
      </c>
      <c r="K6534" s="1" t="s">
        <v>22812</v>
      </c>
      <c r="L6534" s="1"/>
      <c r="M6534" s="1"/>
    </row>
    <row x14ac:dyDescent="0.25" r="6535" customHeight="1" ht="18.75">
      <c r="A6535" s="1" t="s">
        <v>3617</v>
      </c>
      <c r="B6535" s="1" t="s">
        <v>5222</v>
      </c>
      <c r="C6535" s="1" t="s">
        <v>3619</v>
      </c>
      <c r="D6535" s="1" t="s">
        <v>3610</v>
      </c>
      <c r="E6535" s="1" t="s">
        <v>3730</v>
      </c>
      <c r="F6535" s="1" t="s">
        <v>22813</v>
      </c>
      <c r="G6535" s="1" t="s">
        <v>22807</v>
      </c>
      <c r="H6535" s="1" t="s">
        <v>3604</v>
      </c>
      <c r="I6535" s="1" t="s">
        <v>22814</v>
      </c>
      <c r="J6535" s="1" t="s">
        <v>3606</v>
      </c>
      <c r="K6535" s="1" t="s">
        <v>22815</v>
      </c>
      <c r="L6535" s="1"/>
      <c r="M6535" s="1"/>
    </row>
    <row x14ac:dyDescent="0.25" r="6536" customHeight="1" ht="18.75">
      <c r="A6536" s="1" t="s">
        <v>3617</v>
      </c>
      <c r="B6536" s="1" t="s">
        <v>5222</v>
      </c>
      <c r="C6536" s="1" t="s">
        <v>3619</v>
      </c>
      <c r="D6536" s="1" t="s">
        <v>3610</v>
      </c>
      <c r="E6536" s="1" t="s">
        <v>3730</v>
      </c>
      <c r="F6536" s="1" t="s">
        <v>22816</v>
      </c>
      <c r="G6536" s="1" t="s">
        <v>22807</v>
      </c>
      <c r="H6536" s="1" t="s">
        <v>3604</v>
      </c>
      <c r="I6536" s="1" t="s">
        <v>22817</v>
      </c>
      <c r="J6536" s="1" t="s">
        <v>3606</v>
      </c>
      <c r="K6536" s="1" t="s">
        <v>22818</v>
      </c>
      <c r="L6536" s="1"/>
      <c r="M6536" s="1"/>
    </row>
    <row x14ac:dyDescent="0.25" r="6537" customHeight="1" ht="18.75">
      <c r="A6537" s="1" t="s">
        <v>3617</v>
      </c>
      <c r="B6537" s="1" t="s">
        <v>5222</v>
      </c>
      <c r="C6537" s="1" t="s">
        <v>3619</v>
      </c>
      <c r="D6537" s="1" t="s">
        <v>3610</v>
      </c>
      <c r="E6537" s="1" t="s">
        <v>3730</v>
      </c>
      <c r="F6537" s="1" t="s">
        <v>22819</v>
      </c>
      <c r="G6537" s="1" t="s">
        <v>22807</v>
      </c>
      <c r="H6537" s="1" t="s">
        <v>3604</v>
      </c>
      <c r="I6537" s="1" t="s">
        <v>22820</v>
      </c>
      <c r="J6537" s="1" t="s">
        <v>3606</v>
      </c>
      <c r="K6537" s="1" t="s">
        <v>22821</v>
      </c>
      <c r="L6537" s="1"/>
      <c r="M6537" s="1"/>
    </row>
    <row x14ac:dyDescent="0.25" r="6538" customHeight="1" ht="18.75">
      <c r="A6538" s="1" t="s">
        <v>3617</v>
      </c>
      <c r="B6538" s="1" t="s">
        <v>5222</v>
      </c>
      <c r="C6538" s="1" t="s">
        <v>3619</v>
      </c>
      <c r="D6538" s="1" t="s">
        <v>3610</v>
      </c>
      <c r="E6538" s="1" t="s">
        <v>3730</v>
      </c>
      <c r="F6538" s="1" t="s">
        <v>22822</v>
      </c>
      <c r="G6538" s="1" t="s">
        <v>22807</v>
      </c>
      <c r="H6538" s="1" t="s">
        <v>3604</v>
      </c>
      <c r="I6538" s="1" t="s">
        <v>22823</v>
      </c>
      <c r="J6538" s="1" t="s">
        <v>3606</v>
      </c>
      <c r="K6538" s="1" t="s">
        <v>22824</v>
      </c>
      <c r="L6538" s="1"/>
      <c r="M6538" s="1"/>
    </row>
    <row x14ac:dyDescent="0.25" r="6539" customHeight="1" ht="18.75">
      <c r="A6539" s="1" t="s">
        <v>3617</v>
      </c>
      <c r="B6539" s="1" t="s">
        <v>5222</v>
      </c>
      <c r="C6539" s="1" t="s">
        <v>3619</v>
      </c>
      <c r="D6539" s="1" t="s">
        <v>3610</v>
      </c>
      <c r="E6539" s="1" t="s">
        <v>3730</v>
      </c>
      <c r="F6539" s="1" t="s">
        <v>22825</v>
      </c>
      <c r="G6539" s="1" t="s">
        <v>17892</v>
      </c>
      <c r="H6539" s="1" t="s">
        <v>3604</v>
      </c>
      <c r="I6539" s="1" t="s">
        <v>22826</v>
      </c>
      <c r="J6539" s="1" t="s">
        <v>3606</v>
      </c>
      <c r="K6539" s="1" t="s">
        <v>22827</v>
      </c>
      <c r="L6539" s="1"/>
      <c r="M6539" s="1"/>
    </row>
    <row x14ac:dyDescent="0.25" r="6540" customHeight="1" ht="18.75">
      <c r="A6540" s="1" t="s">
        <v>3617</v>
      </c>
      <c r="B6540" s="1" t="s">
        <v>5222</v>
      </c>
      <c r="C6540" s="1" t="s">
        <v>3619</v>
      </c>
      <c r="D6540" s="1" t="s">
        <v>3610</v>
      </c>
      <c r="E6540" s="1" t="s">
        <v>3730</v>
      </c>
      <c r="F6540" s="1" t="s">
        <v>22828</v>
      </c>
      <c r="G6540" s="1" t="s">
        <v>11853</v>
      </c>
      <c r="H6540" s="1" t="s">
        <v>3604</v>
      </c>
      <c r="I6540" s="1" t="s">
        <v>22829</v>
      </c>
      <c r="J6540" s="1" t="s">
        <v>3606</v>
      </c>
      <c r="K6540" s="1" t="s">
        <v>22830</v>
      </c>
      <c r="L6540" s="1"/>
      <c r="M6540" s="1"/>
    </row>
    <row x14ac:dyDescent="0.25" r="6541" customHeight="1" ht="18.75">
      <c r="A6541" s="1" t="s">
        <v>3617</v>
      </c>
      <c r="B6541" s="1" t="s">
        <v>5222</v>
      </c>
      <c r="C6541" s="1" t="s">
        <v>3619</v>
      </c>
      <c r="D6541" s="1" t="s">
        <v>3610</v>
      </c>
      <c r="E6541" s="1" t="s">
        <v>3730</v>
      </c>
      <c r="F6541" s="1" t="s">
        <v>22831</v>
      </c>
      <c r="G6541" s="1" t="s">
        <v>11853</v>
      </c>
      <c r="H6541" s="1" t="s">
        <v>3604</v>
      </c>
      <c r="I6541" s="1" t="s">
        <v>22832</v>
      </c>
      <c r="J6541" s="1" t="s">
        <v>3606</v>
      </c>
      <c r="K6541" s="1" t="s">
        <v>22833</v>
      </c>
      <c r="L6541" s="1"/>
      <c r="M6541" s="1"/>
    </row>
    <row x14ac:dyDescent="0.25" r="6542" customHeight="1" ht="18.75">
      <c r="A6542" s="1" t="s">
        <v>3617</v>
      </c>
      <c r="B6542" s="1" t="s">
        <v>5222</v>
      </c>
      <c r="C6542" s="1" t="s">
        <v>3619</v>
      </c>
      <c r="D6542" s="1" t="s">
        <v>3610</v>
      </c>
      <c r="E6542" s="1" t="s">
        <v>3730</v>
      </c>
      <c r="F6542" s="1" t="s">
        <v>22834</v>
      </c>
      <c r="G6542" s="1" t="s">
        <v>11853</v>
      </c>
      <c r="H6542" s="1" t="s">
        <v>3604</v>
      </c>
      <c r="I6542" s="1" t="s">
        <v>22835</v>
      </c>
      <c r="J6542" s="1" t="s">
        <v>3606</v>
      </c>
      <c r="K6542" s="1" t="s">
        <v>22836</v>
      </c>
      <c r="L6542" s="1"/>
      <c r="M6542" s="1"/>
    </row>
    <row x14ac:dyDescent="0.25" r="6543" customHeight="1" ht="18.75">
      <c r="A6543" s="1" t="s">
        <v>3617</v>
      </c>
      <c r="B6543" s="1" t="s">
        <v>5222</v>
      </c>
      <c r="C6543" s="1" t="s">
        <v>3619</v>
      </c>
      <c r="D6543" s="1" t="s">
        <v>3610</v>
      </c>
      <c r="E6543" s="1" t="s">
        <v>3730</v>
      </c>
      <c r="F6543" s="1" t="s">
        <v>22837</v>
      </c>
      <c r="G6543" s="1" t="s">
        <v>11853</v>
      </c>
      <c r="H6543" s="1" t="s">
        <v>3604</v>
      </c>
      <c r="I6543" s="1" t="s">
        <v>22838</v>
      </c>
      <c r="J6543" s="1" t="s">
        <v>3606</v>
      </c>
      <c r="K6543" s="1" t="s">
        <v>22839</v>
      </c>
      <c r="L6543" s="1"/>
      <c r="M6543" s="1"/>
    </row>
    <row x14ac:dyDescent="0.25" r="6544" customHeight="1" ht="18.75">
      <c r="A6544" s="1" t="s">
        <v>3617</v>
      </c>
      <c r="B6544" s="1" t="s">
        <v>5222</v>
      </c>
      <c r="C6544" s="1" t="s">
        <v>3619</v>
      </c>
      <c r="D6544" s="1" t="s">
        <v>3610</v>
      </c>
      <c r="E6544" s="1" t="s">
        <v>3730</v>
      </c>
      <c r="F6544" s="1" t="s">
        <v>22840</v>
      </c>
      <c r="G6544" s="1" t="s">
        <v>11853</v>
      </c>
      <c r="H6544" s="1" t="s">
        <v>3604</v>
      </c>
      <c r="I6544" s="1" t="s">
        <v>22841</v>
      </c>
      <c r="J6544" s="1" t="s">
        <v>3606</v>
      </c>
      <c r="K6544" s="1" t="s">
        <v>22842</v>
      </c>
      <c r="L6544" s="1"/>
      <c r="M6544" s="1"/>
    </row>
    <row x14ac:dyDescent="0.25" r="6545" customHeight="1" ht="18.75">
      <c r="A6545" s="1" t="s">
        <v>3617</v>
      </c>
      <c r="B6545" s="1" t="s">
        <v>5222</v>
      </c>
      <c r="C6545" s="1" t="s">
        <v>3619</v>
      </c>
      <c r="D6545" s="1" t="s">
        <v>3610</v>
      </c>
      <c r="E6545" s="1" t="s">
        <v>3730</v>
      </c>
      <c r="F6545" s="1" t="s">
        <v>22843</v>
      </c>
      <c r="G6545" s="1" t="s">
        <v>11853</v>
      </c>
      <c r="H6545" s="1" t="s">
        <v>3604</v>
      </c>
      <c r="I6545" s="1" t="s">
        <v>22844</v>
      </c>
      <c r="J6545" s="1" t="s">
        <v>3606</v>
      </c>
      <c r="K6545" s="1" t="s">
        <v>22845</v>
      </c>
      <c r="L6545" s="1"/>
      <c r="M6545" s="1"/>
    </row>
    <row x14ac:dyDescent="0.25" r="6546" customHeight="1" ht="18.75">
      <c r="A6546" s="1" t="s">
        <v>3617</v>
      </c>
      <c r="B6546" s="1" t="s">
        <v>5222</v>
      </c>
      <c r="C6546" s="1" t="s">
        <v>3619</v>
      </c>
      <c r="D6546" s="1" t="s">
        <v>7891</v>
      </c>
      <c r="E6546" s="1" t="s">
        <v>3730</v>
      </c>
      <c r="F6546" s="1" t="s">
        <v>22846</v>
      </c>
      <c r="G6546" s="1" t="s">
        <v>22807</v>
      </c>
      <c r="H6546" s="1" t="s">
        <v>3604</v>
      </c>
      <c r="I6546" s="1" t="s">
        <v>22847</v>
      </c>
      <c r="J6546" s="1" t="s">
        <v>3606</v>
      </c>
      <c r="K6546" s="1" t="s">
        <v>22848</v>
      </c>
      <c r="L6546" s="1"/>
      <c r="M6546" s="1"/>
    </row>
    <row x14ac:dyDescent="0.25" r="6547" customHeight="1" ht="18.75">
      <c r="A6547" s="1" t="s">
        <v>3617</v>
      </c>
      <c r="B6547" s="1" t="s">
        <v>5222</v>
      </c>
      <c r="C6547" s="1" t="s">
        <v>3619</v>
      </c>
      <c r="D6547" s="1" t="s">
        <v>7891</v>
      </c>
      <c r="E6547" s="1" t="s">
        <v>3730</v>
      </c>
      <c r="F6547" s="1" t="s">
        <v>22849</v>
      </c>
      <c r="G6547" s="1" t="s">
        <v>11853</v>
      </c>
      <c r="H6547" s="1" t="s">
        <v>3604</v>
      </c>
      <c r="I6547" s="1" t="s">
        <v>22850</v>
      </c>
      <c r="J6547" s="1" t="s">
        <v>3606</v>
      </c>
      <c r="K6547" s="1" t="s">
        <v>22851</v>
      </c>
      <c r="L6547" s="1"/>
      <c r="M6547" s="1"/>
    </row>
    <row x14ac:dyDescent="0.25" r="6548" customHeight="1" ht="18.75">
      <c r="A6548" s="1" t="s">
        <v>3617</v>
      </c>
      <c r="B6548" s="1" t="s">
        <v>5222</v>
      </c>
      <c r="C6548" s="1" t="s">
        <v>3619</v>
      </c>
      <c r="D6548" s="1" t="s">
        <v>7891</v>
      </c>
      <c r="E6548" s="1" t="s">
        <v>3730</v>
      </c>
      <c r="F6548" s="1" t="s">
        <v>22852</v>
      </c>
      <c r="G6548" s="1" t="s">
        <v>11853</v>
      </c>
      <c r="H6548" s="1" t="s">
        <v>3604</v>
      </c>
      <c r="I6548" s="1" t="s">
        <v>22853</v>
      </c>
      <c r="J6548" s="1" t="s">
        <v>3606</v>
      </c>
      <c r="K6548" s="1" t="s">
        <v>22854</v>
      </c>
      <c r="L6548" s="1"/>
      <c r="M6548" s="1"/>
    </row>
    <row x14ac:dyDescent="0.25" r="6549" customHeight="1" ht="18.75">
      <c r="A6549" s="1" t="s">
        <v>3617</v>
      </c>
      <c r="B6549" s="1" t="s">
        <v>5222</v>
      </c>
      <c r="C6549" s="1" t="s">
        <v>3619</v>
      </c>
      <c r="D6549" s="1" t="s">
        <v>7891</v>
      </c>
      <c r="E6549" s="1" t="s">
        <v>3730</v>
      </c>
      <c r="F6549" s="1" t="s">
        <v>22855</v>
      </c>
      <c r="G6549" s="1" t="s">
        <v>11853</v>
      </c>
      <c r="H6549" s="1" t="s">
        <v>3604</v>
      </c>
      <c r="I6549" s="1" t="s">
        <v>22856</v>
      </c>
      <c r="J6549" s="1" t="s">
        <v>3606</v>
      </c>
      <c r="K6549" s="1" t="s">
        <v>22857</v>
      </c>
      <c r="L6549" s="1"/>
      <c r="M6549" s="1"/>
    </row>
    <row x14ac:dyDescent="0.25" r="6550" customHeight="1" ht="18.75">
      <c r="A6550" s="1" t="s">
        <v>3617</v>
      </c>
      <c r="B6550" s="1" t="s">
        <v>3825</v>
      </c>
      <c r="C6550" s="1" t="s">
        <v>3619</v>
      </c>
      <c r="D6550" s="1" t="s">
        <v>8373</v>
      </c>
      <c r="E6550" s="1" t="s">
        <v>3752</v>
      </c>
      <c r="F6550" s="1" t="s">
        <v>22858</v>
      </c>
      <c r="G6550" s="1" t="s">
        <v>17872</v>
      </c>
      <c r="H6550" s="1" t="s">
        <v>3604</v>
      </c>
      <c r="I6550" s="1" t="s">
        <v>22859</v>
      </c>
      <c r="J6550" s="1" t="s">
        <v>3606</v>
      </c>
      <c r="K6550" s="1" t="s">
        <v>22860</v>
      </c>
      <c r="L6550" s="1"/>
      <c r="M6550" s="1"/>
    </row>
    <row x14ac:dyDescent="0.25" r="6551" customHeight="1" ht="18.75">
      <c r="A6551" s="1" t="s">
        <v>3617</v>
      </c>
      <c r="B6551" s="1" t="s">
        <v>3825</v>
      </c>
      <c r="C6551" s="1" t="s">
        <v>3619</v>
      </c>
      <c r="D6551" s="1" t="s">
        <v>8373</v>
      </c>
      <c r="E6551" s="1" t="s">
        <v>3752</v>
      </c>
      <c r="F6551" s="1" t="s">
        <v>22861</v>
      </c>
      <c r="G6551" s="1" t="s">
        <v>17872</v>
      </c>
      <c r="H6551" s="1" t="s">
        <v>3604</v>
      </c>
      <c r="I6551" s="1" t="s">
        <v>22862</v>
      </c>
      <c r="J6551" s="1" t="s">
        <v>3606</v>
      </c>
      <c r="K6551" s="1" t="s">
        <v>22863</v>
      </c>
      <c r="L6551" s="1"/>
      <c r="M6551" s="1"/>
    </row>
    <row x14ac:dyDescent="0.25" r="6552" customHeight="1" ht="18.75">
      <c r="A6552" s="1" t="s">
        <v>3617</v>
      </c>
      <c r="B6552" s="1" t="s">
        <v>3825</v>
      </c>
      <c r="C6552" s="1" t="s">
        <v>3619</v>
      </c>
      <c r="D6552" s="1" t="s">
        <v>8373</v>
      </c>
      <c r="E6552" s="1" t="s">
        <v>3752</v>
      </c>
      <c r="F6552" s="1" t="s">
        <v>22864</v>
      </c>
      <c r="G6552" s="1" t="s">
        <v>17872</v>
      </c>
      <c r="H6552" s="1" t="s">
        <v>3604</v>
      </c>
      <c r="I6552" s="1" t="s">
        <v>22865</v>
      </c>
      <c r="J6552" s="1" t="s">
        <v>3606</v>
      </c>
      <c r="K6552" s="1" t="s">
        <v>22866</v>
      </c>
      <c r="L6552" s="1"/>
      <c r="M6552" s="1"/>
    </row>
    <row x14ac:dyDescent="0.25" r="6553" customHeight="1" ht="18.75">
      <c r="A6553" s="1" t="s">
        <v>3617</v>
      </c>
      <c r="B6553" s="1" t="s">
        <v>3825</v>
      </c>
      <c r="C6553" s="1" t="s">
        <v>3619</v>
      </c>
      <c r="D6553" s="1" t="s">
        <v>8373</v>
      </c>
      <c r="E6553" s="1" t="s">
        <v>3664</v>
      </c>
      <c r="F6553" s="1" t="s">
        <v>22867</v>
      </c>
      <c r="G6553" s="1" t="s">
        <v>8402</v>
      </c>
      <c r="H6553" s="1" t="s">
        <v>3604</v>
      </c>
      <c r="I6553" s="1" t="s">
        <v>22868</v>
      </c>
      <c r="J6553" s="1" t="s">
        <v>3606</v>
      </c>
      <c r="K6553" s="1" t="s">
        <v>22869</v>
      </c>
      <c r="L6553" s="1"/>
      <c r="M6553" s="1"/>
    </row>
    <row x14ac:dyDescent="0.25" r="6554" customHeight="1" ht="18.75">
      <c r="A6554" s="1" t="s">
        <v>3617</v>
      </c>
      <c r="B6554" s="1" t="s">
        <v>3825</v>
      </c>
      <c r="C6554" s="1" t="s">
        <v>3619</v>
      </c>
      <c r="D6554" s="1" t="s">
        <v>8373</v>
      </c>
      <c r="E6554" s="1" t="s">
        <v>3664</v>
      </c>
      <c r="F6554" s="1" t="s">
        <v>22870</v>
      </c>
      <c r="G6554" s="1" t="s">
        <v>8402</v>
      </c>
      <c r="H6554" s="1" t="s">
        <v>3604</v>
      </c>
      <c r="I6554" s="1" t="s">
        <v>22871</v>
      </c>
      <c r="J6554" s="1" t="s">
        <v>3606</v>
      </c>
      <c r="K6554" s="1" t="s">
        <v>22872</v>
      </c>
      <c r="L6554" s="1"/>
      <c r="M6554" s="1"/>
    </row>
    <row x14ac:dyDescent="0.25" r="6555" customHeight="1" ht="18.75">
      <c r="A6555" s="1" t="s">
        <v>3617</v>
      </c>
      <c r="B6555" s="1" t="s">
        <v>3825</v>
      </c>
      <c r="C6555" s="1" t="s">
        <v>3619</v>
      </c>
      <c r="D6555" s="1" t="s">
        <v>8373</v>
      </c>
      <c r="E6555" s="1" t="s">
        <v>3664</v>
      </c>
      <c r="F6555" s="1" t="s">
        <v>22873</v>
      </c>
      <c r="G6555" s="1" t="s">
        <v>8402</v>
      </c>
      <c r="H6555" s="1" t="s">
        <v>3604</v>
      </c>
      <c r="I6555" s="1" t="s">
        <v>22874</v>
      </c>
      <c r="J6555" s="1" t="s">
        <v>3606</v>
      </c>
      <c r="K6555" s="1" t="s">
        <v>22875</v>
      </c>
      <c r="L6555" s="1"/>
      <c r="M6555" s="1"/>
    </row>
    <row x14ac:dyDescent="0.25" r="6556" customHeight="1" ht="18.75">
      <c r="A6556" s="1" t="s">
        <v>3617</v>
      </c>
      <c r="B6556" s="1" t="s">
        <v>3825</v>
      </c>
      <c r="C6556" s="1" t="s">
        <v>3619</v>
      </c>
      <c r="D6556" s="1" t="s">
        <v>8373</v>
      </c>
      <c r="E6556" s="1" t="s">
        <v>3664</v>
      </c>
      <c r="F6556" s="1" t="s">
        <v>22876</v>
      </c>
      <c r="G6556" s="1" t="s">
        <v>22877</v>
      </c>
      <c r="H6556" s="1" t="s">
        <v>3604</v>
      </c>
      <c r="I6556" s="1" t="s">
        <v>22878</v>
      </c>
      <c r="J6556" s="1" t="s">
        <v>3606</v>
      </c>
      <c r="K6556" s="1" t="s">
        <v>22879</v>
      </c>
      <c r="L6556" s="1"/>
      <c r="M6556" s="1"/>
    </row>
    <row x14ac:dyDescent="0.25" r="6557" customHeight="1" ht="18.75">
      <c r="A6557" s="1" t="s">
        <v>3617</v>
      </c>
      <c r="B6557" s="1" t="s">
        <v>3825</v>
      </c>
      <c r="C6557" s="1" t="s">
        <v>3619</v>
      </c>
      <c r="D6557" s="1" t="s">
        <v>8373</v>
      </c>
      <c r="E6557" s="1" t="s">
        <v>3664</v>
      </c>
      <c r="F6557" s="1" t="s">
        <v>22880</v>
      </c>
      <c r="G6557" s="1" t="s">
        <v>22877</v>
      </c>
      <c r="H6557" s="1" t="s">
        <v>3604</v>
      </c>
      <c r="I6557" s="1" t="s">
        <v>22881</v>
      </c>
      <c r="J6557" s="1" t="s">
        <v>3606</v>
      </c>
      <c r="K6557" s="1" t="s">
        <v>22882</v>
      </c>
      <c r="L6557" s="1"/>
      <c r="M6557" s="1"/>
    </row>
    <row x14ac:dyDescent="0.25" r="6558" customHeight="1" ht="18.75">
      <c r="A6558" s="1" t="s">
        <v>3617</v>
      </c>
      <c r="B6558" s="1" t="s">
        <v>3825</v>
      </c>
      <c r="C6558" s="1" t="s">
        <v>3619</v>
      </c>
      <c r="D6558" s="1" t="s">
        <v>8373</v>
      </c>
      <c r="E6558" s="1" t="s">
        <v>3664</v>
      </c>
      <c r="F6558" s="1" t="s">
        <v>22883</v>
      </c>
      <c r="G6558" s="1" t="s">
        <v>22877</v>
      </c>
      <c r="H6558" s="1" t="s">
        <v>3604</v>
      </c>
      <c r="I6558" s="1" t="s">
        <v>22884</v>
      </c>
      <c r="J6558" s="1" t="s">
        <v>3606</v>
      </c>
      <c r="K6558" s="1" t="s">
        <v>22885</v>
      </c>
      <c r="L6558" s="1"/>
      <c r="M6558" s="1"/>
    </row>
    <row x14ac:dyDescent="0.25" r="6559" customHeight="1" ht="18.75">
      <c r="A6559" s="1" t="s">
        <v>3617</v>
      </c>
      <c r="B6559" s="1" t="s">
        <v>3825</v>
      </c>
      <c r="C6559" s="1" t="s">
        <v>3619</v>
      </c>
      <c r="D6559" s="1" t="s">
        <v>3610</v>
      </c>
      <c r="E6559" s="1" t="s">
        <v>3664</v>
      </c>
      <c r="F6559" s="1" t="s">
        <v>22886</v>
      </c>
      <c r="G6559" s="1" t="s">
        <v>8402</v>
      </c>
      <c r="H6559" s="1" t="s">
        <v>3604</v>
      </c>
      <c r="I6559" s="1" t="s">
        <v>22887</v>
      </c>
      <c r="J6559" s="1" t="s">
        <v>3606</v>
      </c>
      <c r="K6559" s="1" t="s">
        <v>22888</v>
      </c>
      <c r="L6559" s="1"/>
      <c r="M6559" s="1"/>
    </row>
    <row x14ac:dyDescent="0.25" r="6560" customHeight="1" ht="18.75">
      <c r="A6560" s="1" t="s">
        <v>3617</v>
      </c>
      <c r="B6560" s="1" t="s">
        <v>3825</v>
      </c>
      <c r="C6560" s="1" t="s">
        <v>3619</v>
      </c>
      <c r="D6560" s="1" t="s">
        <v>3610</v>
      </c>
      <c r="E6560" s="1" t="s">
        <v>3664</v>
      </c>
      <c r="F6560" s="1" t="s">
        <v>22889</v>
      </c>
      <c r="G6560" s="1" t="s">
        <v>8402</v>
      </c>
      <c r="H6560" s="1" t="s">
        <v>3604</v>
      </c>
      <c r="I6560" s="1" t="s">
        <v>22890</v>
      </c>
      <c r="J6560" s="1" t="s">
        <v>3606</v>
      </c>
      <c r="K6560" s="1" t="s">
        <v>22891</v>
      </c>
      <c r="L6560" s="1"/>
      <c r="M6560" s="1"/>
    </row>
    <row x14ac:dyDescent="0.25" r="6561" customHeight="1" ht="18.75">
      <c r="A6561" s="1" t="s">
        <v>3617</v>
      </c>
      <c r="B6561" s="1" t="s">
        <v>3825</v>
      </c>
      <c r="C6561" s="1" t="s">
        <v>3619</v>
      </c>
      <c r="D6561" s="1" t="s">
        <v>3695</v>
      </c>
      <c r="E6561" s="1" t="s">
        <v>3664</v>
      </c>
      <c r="F6561" s="1" t="s">
        <v>22892</v>
      </c>
      <c r="G6561" s="1" t="s">
        <v>17872</v>
      </c>
      <c r="H6561" s="1" t="s">
        <v>3604</v>
      </c>
      <c r="I6561" s="1" t="s">
        <v>22893</v>
      </c>
      <c r="J6561" s="1" t="s">
        <v>3606</v>
      </c>
      <c r="K6561" s="1" t="s">
        <v>22894</v>
      </c>
      <c r="L6561" s="1"/>
      <c r="M6561" s="1"/>
    </row>
    <row x14ac:dyDescent="0.25" r="6562" customHeight="1" ht="18.75">
      <c r="A6562" s="1" t="s">
        <v>3617</v>
      </c>
      <c r="B6562" s="1" t="s">
        <v>3825</v>
      </c>
      <c r="C6562" s="1" t="s">
        <v>3619</v>
      </c>
      <c r="D6562" s="1" t="s">
        <v>3695</v>
      </c>
      <c r="E6562" s="1" t="s">
        <v>3664</v>
      </c>
      <c r="F6562" s="1" t="s">
        <v>22895</v>
      </c>
      <c r="G6562" s="1" t="s">
        <v>17872</v>
      </c>
      <c r="H6562" s="1" t="s">
        <v>3604</v>
      </c>
      <c r="I6562" s="1" t="s">
        <v>22896</v>
      </c>
      <c r="J6562" s="1" t="s">
        <v>3606</v>
      </c>
      <c r="K6562" s="1" t="s">
        <v>22897</v>
      </c>
      <c r="L6562" s="1"/>
      <c r="M6562" s="1"/>
    </row>
    <row x14ac:dyDescent="0.25" r="6563" customHeight="1" ht="18.75">
      <c r="A6563" s="1" t="s">
        <v>3617</v>
      </c>
      <c r="B6563" s="1" t="s">
        <v>3825</v>
      </c>
      <c r="C6563" s="1" t="s">
        <v>3619</v>
      </c>
      <c r="D6563" s="1" t="s">
        <v>3695</v>
      </c>
      <c r="E6563" s="1" t="s">
        <v>3664</v>
      </c>
      <c r="F6563" s="1" t="s">
        <v>22898</v>
      </c>
      <c r="G6563" s="1" t="s">
        <v>17872</v>
      </c>
      <c r="H6563" s="1" t="s">
        <v>3604</v>
      </c>
      <c r="I6563" s="1" t="s">
        <v>22899</v>
      </c>
      <c r="J6563" s="1" t="s">
        <v>3606</v>
      </c>
      <c r="K6563" s="1" t="s">
        <v>22900</v>
      </c>
      <c r="L6563" s="1"/>
      <c r="M6563" s="1"/>
    </row>
    <row x14ac:dyDescent="0.25" r="6564" customHeight="1" ht="18.75">
      <c r="A6564" s="1" t="s">
        <v>3617</v>
      </c>
      <c r="B6564" s="1" t="s">
        <v>3825</v>
      </c>
      <c r="C6564" s="1" t="s">
        <v>3619</v>
      </c>
      <c r="D6564" s="1" t="s">
        <v>3695</v>
      </c>
      <c r="E6564" s="1" t="s">
        <v>3752</v>
      </c>
      <c r="F6564" s="1" t="s">
        <v>22901</v>
      </c>
      <c r="G6564" s="1" t="s">
        <v>17872</v>
      </c>
      <c r="H6564" s="1" t="s">
        <v>3604</v>
      </c>
      <c r="I6564" s="1" t="s">
        <v>22902</v>
      </c>
      <c r="J6564" s="1" t="s">
        <v>3606</v>
      </c>
      <c r="K6564" s="1" t="s">
        <v>22903</v>
      </c>
      <c r="L6564" s="1"/>
      <c r="M6564" s="1"/>
    </row>
    <row x14ac:dyDescent="0.25" r="6565" customHeight="1" ht="18.75">
      <c r="A6565" s="1" t="s">
        <v>3617</v>
      </c>
      <c r="B6565" s="1" t="s">
        <v>3825</v>
      </c>
      <c r="C6565" s="1" t="s">
        <v>3619</v>
      </c>
      <c r="D6565" s="1" t="s">
        <v>3695</v>
      </c>
      <c r="E6565" s="1" t="s">
        <v>3752</v>
      </c>
      <c r="F6565" s="1" t="s">
        <v>22904</v>
      </c>
      <c r="G6565" s="1" t="s">
        <v>17872</v>
      </c>
      <c r="H6565" s="1" t="s">
        <v>3604</v>
      </c>
      <c r="I6565" s="1" t="s">
        <v>22905</v>
      </c>
      <c r="J6565" s="1" t="s">
        <v>3606</v>
      </c>
      <c r="K6565" s="1" t="s">
        <v>22906</v>
      </c>
      <c r="L6565" s="1"/>
      <c r="M6565" s="1"/>
    </row>
    <row x14ac:dyDescent="0.25" r="6566" customHeight="1" ht="18.75">
      <c r="A6566" s="1" t="s">
        <v>3617</v>
      </c>
      <c r="B6566" s="1" t="s">
        <v>3825</v>
      </c>
      <c r="C6566" s="1" t="s">
        <v>3619</v>
      </c>
      <c r="D6566" s="1" t="s">
        <v>3695</v>
      </c>
      <c r="E6566" s="1" t="s">
        <v>3752</v>
      </c>
      <c r="F6566" s="1" t="s">
        <v>22907</v>
      </c>
      <c r="G6566" s="1" t="s">
        <v>17872</v>
      </c>
      <c r="H6566" s="1" t="s">
        <v>3604</v>
      </c>
      <c r="I6566" s="1" t="s">
        <v>22908</v>
      </c>
      <c r="J6566" s="1" t="s">
        <v>3606</v>
      </c>
      <c r="K6566" s="1" t="s">
        <v>22909</v>
      </c>
      <c r="L6566" s="1"/>
      <c r="M6566" s="1"/>
    </row>
    <row x14ac:dyDescent="0.25" r="6567" customHeight="1" ht="18.75">
      <c r="A6567" s="1" t="s">
        <v>3617</v>
      </c>
      <c r="B6567" s="1" t="s">
        <v>3825</v>
      </c>
      <c r="C6567" s="1" t="s">
        <v>3619</v>
      </c>
      <c r="D6567" s="1" t="s">
        <v>3695</v>
      </c>
      <c r="E6567" s="1" t="s">
        <v>3664</v>
      </c>
      <c r="F6567" s="1" t="s">
        <v>22910</v>
      </c>
      <c r="G6567" s="1" t="s">
        <v>8402</v>
      </c>
      <c r="H6567" s="1" t="s">
        <v>3604</v>
      </c>
      <c r="I6567" s="1" t="s">
        <v>22911</v>
      </c>
      <c r="J6567" s="1" t="s">
        <v>3606</v>
      </c>
      <c r="K6567" s="1" t="s">
        <v>22912</v>
      </c>
      <c r="L6567" s="1"/>
      <c r="M6567" s="1"/>
    </row>
    <row x14ac:dyDescent="0.25" r="6568" customHeight="1" ht="18.75">
      <c r="A6568" s="1" t="s">
        <v>3617</v>
      </c>
      <c r="B6568" s="1" t="s">
        <v>3825</v>
      </c>
      <c r="C6568" s="1" t="s">
        <v>3619</v>
      </c>
      <c r="D6568" s="1" t="s">
        <v>3695</v>
      </c>
      <c r="E6568" s="1" t="s">
        <v>3664</v>
      </c>
      <c r="F6568" s="1" t="s">
        <v>22913</v>
      </c>
      <c r="G6568" s="1" t="s">
        <v>22877</v>
      </c>
      <c r="H6568" s="1" t="s">
        <v>3604</v>
      </c>
      <c r="I6568" s="1" t="s">
        <v>22914</v>
      </c>
      <c r="J6568" s="1" t="s">
        <v>3606</v>
      </c>
      <c r="K6568" s="1" t="s">
        <v>22915</v>
      </c>
      <c r="L6568" s="1"/>
      <c r="M6568" s="1"/>
    </row>
    <row x14ac:dyDescent="0.25" r="6569" customHeight="1" ht="18.75">
      <c r="A6569" s="1" t="s">
        <v>3617</v>
      </c>
      <c r="B6569" s="1" t="s">
        <v>3825</v>
      </c>
      <c r="C6569" s="1" t="s">
        <v>3619</v>
      </c>
      <c r="D6569" s="1" t="s">
        <v>3695</v>
      </c>
      <c r="E6569" s="1" t="s">
        <v>3664</v>
      </c>
      <c r="F6569" s="1" t="s">
        <v>22916</v>
      </c>
      <c r="G6569" s="1" t="s">
        <v>8402</v>
      </c>
      <c r="H6569" s="1" t="s">
        <v>3604</v>
      </c>
      <c r="I6569" s="1" t="s">
        <v>22917</v>
      </c>
      <c r="J6569" s="1" t="s">
        <v>3606</v>
      </c>
      <c r="K6569" s="1" t="s">
        <v>22918</v>
      </c>
      <c r="L6569" s="1"/>
      <c r="M6569" s="1"/>
    </row>
    <row x14ac:dyDescent="0.25" r="6570" customHeight="1" ht="18.75">
      <c r="A6570" s="1" t="s">
        <v>3617</v>
      </c>
      <c r="B6570" s="1" t="s">
        <v>3825</v>
      </c>
      <c r="C6570" s="1" t="s">
        <v>3619</v>
      </c>
      <c r="D6570" s="1" t="s">
        <v>3695</v>
      </c>
      <c r="E6570" s="1" t="s">
        <v>3664</v>
      </c>
      <c r="F6570" s="1" t="s">
        <v>22919</v>
      </c>
      <c r="G6570" s="1" t="s">
        <v>8402</v>
      </c>
      <c r="H6570" s="1" t="s">
        <v>3604</v>
      </c>
      <c r="I6570" s="1" t="s">
        <v>22920</v>
      </c>
      <c r="J6570" s="1" t="s">
        <v>3606</v>
      </c>
      <c r="K6570" s="1" t="s">
        <v>22921</v>
      </c>
      <c r="L6570" s="1"/>
      <c r="M6570" s="1"/>
    </row>
    <row x14ac:dyDescent="0.25" r="6571" customHeight="1" ht="18.75">
      <c r="A6571" s="1" t="s">
        <v>3598</v>
      </c>
      <c r="B6571" s="1" t="s">
        <v>9246</v>
      </c>
      <c r="C6571" s="1" t="s">
        <v>3600</v>
      </c>
      <c r="D6571" s="1" t="s">
        <v>3601</v>
      </c>
      <c r="E6571" s="1" t="s">
        <v>3664</v>
      </c>
      <c r="F6571" s="1" t="s">
        <v>22922</v>
      </c>
      <c r="G6571" s="1" t="s">
        <v>9248</v>
      </c>
      <c r="H6571" s="1" t="s">
        <v>3604</v>
      </c>
      <c r="I6571" s="1" t="s">
        <v>22923</v>
      </c>
      <c r="J6571" s="1" t="s">
        <v>3606</v>
      </c>
      <c r="K6571" s="1" t="s">
        <v>22924</v>
      </c>
      <c r="L6571" s="1"/>
      <c r="M6571" s="1"/>
    </row>
    <row x14ac:dyDescent="0.25" r="6572" customHeight="1" ht="18.75">
      <c r="A6572" s="1" t="s">
        <v>3598</v>
      </c>
      <c r="B6572" s="1" t="s">
        <v>4273</v>
      </c>
      <c r="C6572" s="1" t="s">
        <v>3600</v>
      </c>
      <c r="D6572" s="1" t="s">
        <v>3601</v>
      </c>
      <c r="E6572" s="1" t="s">
        <v>3664</v>
      </c>
      <c r="F6572" s="1" t="s">
        <v>22925</v>
      </c>
      <c r="G6572" s="1" t="s">
        <v>22926</v>
      </c>
      <c r="H6572" s="1" t="s">
        <v>3604</v>
      </c>
      <c r="I6572" s="1" t="s">
        <v>22927</v>
      </c>
      <c r="J6572" s="1" t="s">
        <v>3606</v>
      </c>
      <c r="K6572" s="1" t="s">
        <v>22928</v>
      </c>
      <c r="L6572" s="1"/>
      <c r="M6572" s="1"/>
    </row>
    <row x14ac:dyDescent="0.25" r="6573" customHeight="1" ht="18.75">
      <c r="A6573" s="1" t="s">
        <v>3598</v>
      </c>
      <c r="B6573" s="1" t="s">
        <v>5252</v>
      </c>
      <c r="C6573" s="1" t="s">
        <v>3600</v>
      </c>
      <c r="D6573" s="1" t="s">
        <v>3601</v>
      </c>
      <c r="E6573" s="1" t="s">
        <v>3893</v>
      </c>
      <c r="F6573" s="1" t="s">
        <v>22929</v>
      </c>
      <c r="G6573" s="1" t="s">
        <v>18400</v>
      </c>
      <c r="H6573" s="1" t="s">
        <v>3604</v>
      </c>
      <c r="I6573" s="1" t="s">
        <v>22930</v>
      </c>
      <c r="J6573" s="1" t="s">
        <v>3606</v>
      </c>
      <c r="K6573" s="1" t="s">
        <v>22931</v>
      </c>
      <c r="L6573" s="1"/>
      <c r="M6573" s="1"/>
    </row>
    <row x14ac:dyDescent="0.25" r="6574" customHeight="1" ht="18.75">
      <c r="A6574" s="1" t="s">
        <v>3598</v>
      </c>
      <c r="B6574" s="1" t="s">
        <v>20343</v>
      </c>
      <c r="C6574" s="1" t="s">
        <v>3600</v>
      </c>
      <c r="D6574" s="1" t="s">
        <v>3601</v>
      </c>
      <c r="E6574" s="1" t="s">
        <v>3893</v>
      </c>
      <c r="F6574" s="1" t="s">
        <v>22932</v>
      </c>
      <c r="G6574" s="1" t="s">
        <v>20345</v>
      </c>
      <c r="H6574" s="1" t="s">
        <v>3604</v>
      </c>
      <c r="I6574" s="1" t="s">
        <v>22933</v>
      </c>
      <c r="J6574" s="1" t="s">
        <v>3606</v>
      </c>
      <c r="K6574" s="1"/>
      <c r="L6574" s="1"/>
      <c r="M6574" s="1"/>
    </row>
    <row x14ac:dyDescent="0.25" r="6575" customHeight="1" ht="18.75">
      <c r="A6575" s="1" t="s">
        <v>3598</v>
      </c>
      <c r="B6575" s="1" t="s">
        <v>15557</v>
      </c>
      <c r="C6575" s="1" t="s">
        <v>3600</v>
      </c>
      <c r="D6575" s="1" t="s">
        <v>3601</v>
      </c>
      <c r="E6575" s="1" t="s">
        <v>3664</v>
      </c>
      <c r="F6575" s="1" t="s">
        <v>22934</v>
      </c>
      <c r="G6575" s="1" t="s">
        <v>15566</v>
      </c>
      <c r="H6575" s="1" t="s">
        <v>3604</v>
      </c>
      <c r="I6575" s="1" t="s">
        <v>22935</v>
      </c>
      <c r="J6575" s="1" t="s">
        <v>3606</v>
      </c>
      <c r="K6575" s="1" t="s">
        <v>22936</v>
      </c>
      <c r="L6575" s="1"/>
      <c r="M6575" s="1"/>
    </row>
    <row x14ac:dyDescent="0.25" r="6576" customHeight="1" ht="18.75">
      <c r="A6576" s="1" t="s">
        <v>3598</v>
      </c>
      <c r="B6576" s="1" t="s">
        <v>15557</v>
      </c>
      <c r="C6576" s="1" t="s">
        <v>3600</v>
      </c>
      <c r="D6576" s="1" t="s">
        <v>3601</v>
      </c>
      <c r="E6576" s="1" t="s">
        <v>3664</v>
      </c>
      <c r="F6576" s="1" t="s">
        <v>22937</v>
      </c>
      <c r="G6576" s="1" t="s">
        <v>15566</v>
      </c>
      <c r="H6576" s="1" t="s">
        <v>3604</v>
      </c>
      <c r="I6576" s="1" t="s">
        <v>22938</v>
      </c>
      <c r="J6576" s="1" t="s">
        <v>3606</v>
      </c>
      <c r="K6576" s="1" t="s">
        <v>22939</v>
      </c>
      <c r="L6576" s="1"/>
      <c r="M6576" s="1"/>
    </row>
    <row x14ac:dyDescent="0.25" r="6577" customHeight="1" ht="18.75">
      <c r="A6577" s="1" t="s">
        <v>3598</v>
      </c>
      <c r="B6577" s="1" t="s">
        <v>13742</v>
      </c>
      <c r="C6577" s="1" t="s">
        <v>3600</v>
      </c>
      <c r="D6577" s="1" t="s">
        <v>3601</v>
      </c>
      <c r="E6577" s="1" t="s">
        <v>3893</v>
      </c>
      <c r="F6577" s="1" t="s">
        <v>22940</v>
      </c>
      <c r="G6577" s="1" t="s">
        <v>15665</v>
      </c>
      <c r="H6577" s="1" t="s">
        <v>3604</v>
      </c>
      <c r="I6577" s="1" t="s">
        <v>22941</v>
      </c>
      <c r="J6577" s="1" t="s">
        <v>3606</v>
      </c>
      <c r="K6577" s="1" t="s">
        <v>22942</v>
      </c>
      <c r="L6577" s="1"/>
      <c r="M6577" s="1"/>
    </row>
    <row x14ac:dyDescent="0.25" r="6578" customHeight="1" ht="18.75">
      <c r="A6578" s="1" t="s">
        <v>3598</v>
      </c>
      <c r="B6578" s="1" t="s">
        <v>13742</v>
      </c>
      <c r="C6578" s="1" t="s">
        <v>3600</v>
      </c>
      <c r="D6578" s="1" t="s">
        <v>3601</v>
      </c>
      <c r="E6578" s="1" t="s">
        <v>3893</v>
      </c>
      <c r="F6578" s="1" t="s">
        <v>22943</v>
      </c>
      <c r="G6578" s="1" t="s">
        <v>15665</v>
      </c>
      <c r="H6578" s="1" t="s">
        <v>3604</v>
      </c>
      <c r="I6578" s="1" t="s">
        <v>22944</v>
      </c>
      <c r="J6578" s="1" t="s">
        <v>3606</v>
      </c>
      <c r="K6578" s="1" t="s">
        <v>22945</v>
      </c>
      <c r="L6578" s="1"/>
      <c r="M6578" s="1"/>
    </row>
    <row x14ac:dyDescent="0.25" r="6579" customHeight="1" ht="18.75">
      <c r="A6579" s="1" t="s">
        <v>3598</v>
      </c>
      <c r="B6579" s="1" t="s">
        <v>13742</v>
      </c>
      <c r="C6579" s="1" t="s">
        <v>3600</v>
      </c>
      <c r="D6579" s="1" t="s">
        <v>3601</v>
      </c>
      <c r="E6579" s="1" t="s">
        <v>3893</v>
      </c>
      <c r="F6579" s="1" t="s">
        <v>22946</v>
      </c>
      <c r="G6579" s="1" t="s">
        <v>15665</v>
      </c>
      <c r="H6579" s="1" t="s">
        <v>3604</v>
      </c>
      <c r="I6579" s="1" t="s">
        <v>22947</v>
      </c>
      <c r="J6579" s="1" t="s">
        <v>3606</v>
      </c>
      <c r="K6579" s="1" t="s">
        <v>22948</v>
      </c>
      <c r="L6579" s="1"/>
      <c r="M6579" s="1"/>
    </row>
    <row x14ac:dyDescent="0.25" r="6580" customHeight="1" ht="18.75">
      <c r="A6580" s="1" t="s">
        <v>3598</v>
      </c>
      <c r="B6580" s="1" t="s">
        <v>13742</v>
      </c>
      <c r="C6580" s="1" t="s">
        <v>3600</v>
      </c>
      <c r="D6580" s="1" t="s">
        <v>3601</v>
      </c>
      <c r="E6580" s="1" t="s">
        <v>3893</v>
      </c>
      <c r="F6580" s="1" t="s">
        <v>22949</v>
      </c>
      <c r="G6580" s="1" t="s">
        <v>15665</v>
      </c>
      <c r="H6580" s="1" t="s">
        <v>3604</v>
      </c>
      <c r="I6580" s="1" t="s">
        <v>22950</v>
      </c>
      <c r="J6580" s="1" t="s">
        <v>3606</v>
      </c>
      <c r="K6580" s="1" t="s">
        <v>22951</v>
      </c>
      <c r="L6580" s="1"/>
      <c r="M6580" s="1"/>
    </row>
    <row x14ac:dyDescent="0.25" r="6581" customHeight="1" ht="18.75">
      <c r="A6581" s="1" t="s">
        <v>3598</v>
      </c>
      <c r="B6581" s="1" t="s">
        <v>22952</v>
      </c>
      <c r="C6581" s="1" t="s">
        <v>3600</v>
      </c>
      <c r="D6581" s="1" t="s">
        <v>3601</v>
      </c>
      <c r="E6581" s="1" t="s">
        <v>3664</v>
      </c>
      <c r="F6581" s="1" t="s">
        <v>22953</v>
      </c>
      <c r="G6581" s="1" t="s">
        <v>22954</v>
      </c>
      <c r="H6581" s="1" t="s">
        <v>3604</v>
      </c>
      <c r="I6581" s="1" t="s">
        <v>22955</v>
      </c>
      <c r="J6581" s="1" t="s">
        <v>3606</v>
      </c>
      <c r="K6581" s="1" t="s">
        <v>22956</v>
      </c>
      <c r="L6581" s="1"/>
      <c r="M6581" s="1"/>
    </row>
    <row x14ac:dyDescent="0.25" r="6582" customHeight="1" ht="18.75">
      <c r="A6582" s="1" t="s">
        <v>3598</v>
      </c>
      <c r="B6582" s="1" t="s">
        <v>22952</v>
      </c>
      <c r="C6582" s="1" t="s">
        <v>3600</v>
      </c>
      <c r="D6582" s="1" t="s">
        <v>3601</v>
      </c>
      <c r="E6582" s="1" t="s">
        <v>3664</v>
      </c>
      <c r="F6582" s="1" t="s">
        <v>22957</v>
      </c>
      <c r="G6582" s="1" t="s">
        <v>22954</v>
      </c>
      <c r="H6582" s="1" t="s">
        <v>3604</v>
      </c>
      <c r="I6582" s="1" t="s">
        <v>22958</v>
      </c>
      <c r="J6582" s="1" t="s">
        <v>3606</v>
      </c>
      <c r="K6582" s="1" t="s">
        <v>22959</v>
      </c>
      <c r="L6582" s="1"/>
      <c r="M6582" s="1"/>
    </row>
    <row x14ac:dyDescent="0.25" r="6583" customHeight="1" ht="18.75">
      <c r="A6583" s="1" t="s">
        <v>3598</v>
      </c>
      <c r="B6583" s="1" t="s">
        <v>18510</v>
      </c>
      <c r="C6583" s="1" t="s">
        <v>3600</v>
      </c>
      <c r="D6583" s="1" t="s">
        <v>3601</v>
      </c>
      <c r="E6583" s="1" t="s">
        <v>3664</v>
      </c>
      <c r="F6583" s="1" t="s">
        <v>22960</v>
      </c>
      <c r="G6583" s="1" t="s">
        <v>22961</v>
      </c>
      <c r="H6583" s="1" t="s">
        <v>3604</v>
      </c>
      <c r="I6583" s="1" t="s">
        <v>22962</v>
      </c>
      <c r="J6583" s="1" t="s">
        <v>3606</v>
      </c>
      <c r="K6583" s="1" t="s">
        <v>22963</v>
      </c>
      <c r="L6583" s="1"/>
      <c r="M6583" s="1"/>
    </row>
    <row x14ac:dyDescent="0.25" r="6584" customHeight="1" ht="18.75">
      <c r="A6584" s="1" t="s">
        <v>3598</v>
      </c>
      <c r="B6584" s="1" t="s">
        <v>18510</v>
      </c>
      <c r="C6584" s="1" t="s">
        <v>3600</v>
      </c>
      <c r="D6584" s="1" t="s">
        <v>3601</v>
      </c>
      <c r="E6584" s="1" t="s">
        <v>3664</v>
      </c>
      <c r="F6584" s="1" t="s">
        <v>22964</v>
      </c>
      <c r="G6584" s="1" t="s">
        <v>22961</v>
      </c>
      <c r="H6584" s="1" t="s">
        <v>3604</v>
      </c>
      <c r="I6584" s="1" t="s">
        <v>22965</v>
      </c>
      <c r="J6584" s="1" t="s">
        <v>3606</v>
      </c>
      <c r="K6584" s="1" t="s">
        <v>22966</v>
      </c>
      <c r="L6584" s="1"/>
      <c r="M6584" s="1"/>
    </row>
    <row x14ac:dyDescent="0.25" r="6585" customHeight="1" ht="18.75">
      <c r="A6585" s="1" t="s">
        <v>3598</v>
      </c>
      <c r="B6585" s="1" t="s">
        <v>18043</v>
      </c>
      <c r="C6585" s="1" t="s">
        <v>3600</v>
      </c>
      <c r="D6585" s="1" t="s">
        <v>3601</v>
      </c>
      <c r="E6585" s="1" t="s">
        <v>3664</v>
      </c>
      <c r="F6585" s="1" t="s">
        <v>22967</v>
      </c>
      <c r="G6585" s="1" t="s">
        <v>18045</v>
      </c>
      <c r="H6585" s="1" t="s">
        <v>3604</v>
      </c>
      <c r="I6585" s="1" t="s">
        <v>22968</v>
      </c>
      <c r="J6585" s="1" t="s">
        <v>3606</v>
      </c>
      <c r="K6585" s="1" t="s">
        <v>22969</v>
      </c>
      <c r="L6585" s="1"/>
      <c r="M6585" s="1"/>
    </row>
    <row x14ac:dyDescent="0.25" r="6586" customHeight="1" ht="18.75">
      <c r="A6586" s="1" t="s">
        <v>3598</v>
      </c>
      <c r="B6586" s="1" t="s">
        <v>18043</v>
      </c>
      <c r="C6586" s="1" t="s">
        <v>3600</v>
      </c>
      <c r="D6586" s="1" t="s">
        <v>3601</v>
      </c>
      <c r="E6586" s="1" t="s">
        <v>3664</v>
      </c>
      <c r="F6586" s="1" t="s">
        <v>22970</v>
      </c>
      <c r="G6586" s="1" t="s">
        <v>18045</v>
      </c>
      <c r="H6586" s="1" t="s">
        <v>3604</v>
      </c>
      <c r="I6586" s="1" t="s">
        <v>22971</v>
      </c>
      <c r="J6586" s="1" t="s">
        <v>3606</v>
      </c>
      <c r="K6586" s="1" t="s">
        <v>22972</v>
      </c>
      <c r="L6586" s="1"/>
      <c r="M6586" s="1"/>
    </row>
    <row x14ac:dyDescent="0.25" r="6587" customHeight="1" ht="18.75">
      <c r="A6587" s="1" t="s">
        <v>3598</v>
      </c>
      <c r="B6587" s="1" t="s">
        <v>22973</v>
      </c>
      <c r="C6587" s="1" t="s">
        <v>3600</v>
      </c>
      <c r="D6587" s="1" t="s">
        <v>3601</v>
      </c>
      <c r="E6587" s="1" t="s">
        <v>3664</v>
      </c>
      <c r="F6587" s="1" t="s">
        <v>22974</v>
      </c>
      <c r="G6587" s="1" t="s">
        <v>22975</v>
      </c>
      <c r="H6587" s="1" t="s">
        <v>3604</v>
      </c>
      <c r="I6587" s="1" t="s">
        <v>22976</v>
      </c>
      <c r="J6587" s="1" t="s">
        <v>3606</v>
      </c>
      <c r="K6587" s="1" t="s">
        <v>22977</v>
      </c>
      <c r="L6587" s="1"/>
      <c r="M6587" s="1"/>
    </row>
    <row x14ac:dyDescent="0.25" r="6588" customHeight="1" ht="18.75">
      <c r="A6588" s="1" t="s">
        <v>3598</v>
      </c>
      <c r="B6588" s="1" t="s">
        <v>22973</v>
      </c>
      <c r="C6588" s="1" t="s">
        <v>3600</v>
      </c>
      <c r="D6588" s="1" t="s">
        <v>3601</v>
      </c>
      <c r="E6588" s="1" t="s">
        <v>3664</v>
      </c>
      <c r="F6588" s="1" t="s">
        <v>22978</v>
      </c>
      <c r="G6588" s="1" t="s">
        <v>22975</v>
      </c>
      <c r="H6588" s="1" t="s">
        <v>3604</v>
      </c>
      <c r="I6588" s="1" t="s">
        <v>22979</v>
      </c>
      <c r="J6588" s="1" t="s">
        <v>3606</v>
      </c>
      <c r="K6588" s="1" t="s">
        <v>22980</v>
      </c>
      <c r="L6588" s="1"/>
      <c r="M6588" s="1"/>
    </row>
    <row x14ac:dyDescent="0.25" r="6589" customHeight="1" ht="18.75">
      <c r="A6589" s="1" t="s">
        <v>3598</v>
      </c>
      <c r="B6589" s="1" t="s">
        <v>18062</v>
      </c>
      <c r="C6589" s="1" t="s">
        <v>3600</v>
      </c>
      <c r="D6589" s="1" t="s">
        <v>3601</v>
      </c>
      <c r="E6589" s="1" t="s">
        <v>3893</v>
      </c>
      <c r="F6589" s="1" t="s">
        <v>22981</v>
      </c>
      <c r="G6589" s="1" t="s">
        <v>22982</v>
      </c>
      <c r="H6589" s="1" t="s">
        <v>3604</v>
      </c>
      <c r="I6589" s="1" t="s">
        <v>22983</v>
      </c>
      <c r="J6589" s="1" t="s">
        <v>3606</v>
      </c>
      <c r="K6589" s="1" t="s">
        <v>22984</v>
      </c>
      <c r="L6589" s="1"/>
      <c r="M6589" s="1"/>
    </row>
    <row x14ac:dyDescent="0.25" r="6590" customHeight="1" ht="18.75">
      <c r="A6590" s="1" t="s">
        <v>3598</v>
      </c>
      <c r="B6590" s="1" t="s">
        <v>18062</v>
      </c>
      <c r="C6590" s="1" t="s">
        <v>3600</v>
      </c>
      <c r="D6590" s="1" t="s">
        <v>3601</v>
      </c>
      <c r="E6590" s="1" t="s">
        <v>3893</v>
      </c>
      <c r="F6590" s="1" t="s">
        <v>22985</v>
      </c>
      <c r="G6590" s="1" t="s">
        <v>22982</v>
      </c>
      <c r="H6590" s="1" t="s">
        <v>3604</v>
      </c>
      <c r="I6590" s="1" t="s">
        <v>22986</v>
      </c>
      <c r="J6590" s="1" t="s">
        <v>3606</v>
      </c>
      <c r="K6590" s="1" t="s">
        <v>22987</v>
      </c>
      <c r="L6590" s="1"/>
      <c r="M6590" s="1"/>
    </row>
    <row x14ac:dyDescent="0.25" r="6591" customHeight="1" ht="18.75">
      <c r="A6591" s="1" t="s">
        <v>3598</v>
      </c>
      <c r="B6591" s="1" t="s">
        <v>6811</v>
      </c>
      <c r="C6591" s="1" t="s">
        <v>3600</v>
      </c>
      <c r="D6591" s="1" t="s">
        <v>3601</v>
      </c>
      <c r="E6591" s="1" t="s">
        <v>3664</v>
      </c>
      <c r="F6591" s="1" t="s">
        <v>22988</v>
      </c>
      <c r="G6591" s="1" t="s">
        <v>18233</v>
      </c>
      <c r="H6591" s="1" t="s">
        <v>3604</v>
      </c>
      <c r="I6591" s="1" t="s">
        <v>22989</v>
      </c>
      <c r="J6591" s="1" t="s">
        <v>3606</v>
      </c>
      <c r="K6591" s="1" t="s">
        <v>22990</v>
      </c>
      <c r="L6591" s="1"/>
      <c r="M6591" s="1"/>
    </row>
    <row x14ac:dyDescent="0.25" r="6592" customHeight="1" ht="18.75">
      <c r="A6592" s="1" t="s">
        <v>3598</v>
      </c>
      <c r="B6592" s="1" t="s">
        <v>6811</v>
      </c>
      <c r="C6592" s="1" t="s">
        <v>3600</v>
      </c>
      <c r="D6592" s="1" t="s">
        <v>3601</v>
      </c>
      <c r="E6592" s="1" t="s">
        <v>3664</v>
      </c>
      <c r="F6592" s="1" t="s">
        <v>22991</v>
      </c>
      <c r="G6592" s="1" t="s">
        <v>18233</v>
      </c>
      <c r="H6592" s="1" t="s">
        <v>3604</v>
      </c>
      <c r="I6592" s="1" t="s">
        <v>22992</v>
      </c>
      <c r="J6592" s="1" t="s">
        <v>3606</v>
      </c>
      <c r="K6592" s="1" t="s">
        <v>22993</v>
      </c>
      <c r="L6592" s="1"/>
      <c r="M6592" s="1"/>
    </row>
    <row x14ac:dyDescent="0.25" r="6593" customHeight="1" ht="18.75">
      <c r="A6593" s="1" t="s">
        <v>3598</v>
      </c>
      <c r="B6593" s="1" t="s">
        <v>14025</v>
      </c>
      <c r="C6593" s="1" t="s">
        <v>3600</v>
      </c>
      <c r="D6593" s="1" t="s">
        <v>3601</v>
      </c>
      <c r="E6593" s="1" t="s">
        <v>3664</v>
      </c>
      <c r="F6593" s="1" t="s">
        <v>22994</v>
      </c>
      <c r="G6593" s="1" t="s">
        <v>18074</v>
      </c>
      <c r="H6593" s="1" t="s">
        <v>3604</v>
      </c>
      <c r="I6593" s="1" t="s">
        <v>22995</v>
      </c>
      <c r="J6593" s="1" t="s">
        <v>3606</v>
      </c>
      <c r="K6593" s="1" t="s">
        <v>22996</v>
      </c>
      <c r="L6593" s="1"/>
      <c r="M6593" s="1"/>
    </row>
    <row x14ac:dyDescent="0.25" r="6594" customHeight="1" ht="18.75">
      <c r="A6594" s="1" t="s">
        <v>3598</v>
      </c>
      <c r="B6594" s="1" t="s">
        <v>14025</v>
      </c>
      <c r="C6594" s="1" t="s">
        <v>3600</v>
      </c>
      <c r="D6594" s="1" t="s">
        <v>3601</v>
      </c>
      <c r="E6594" s="1" t="s">
        <v>3664</v>
      </c>
      <c r="F6594" s="1" t="s">
        <v>22997</v>
      </c>
      <c r="G6594" s="1" t="s">
        <v>18074</v>
      </c>
      <c r="H6594" s="1" t="s">
        <v>3604</v>
      </c>
      <c r="I6594" s="1" t="s">
        <v>22998</v>
      </c>
      <c r="J6594" s="1" t="s">
        <v>3606</v>
      </c>
      <c r="K6594" s="1" t="s">
        <v>22999</v>
      </c>
      <c r="L6594" s="1"/>
      <c r="M6594" s="1"/>
    </row>
    <row x14ac:dyDescent="0.25" r="6595" customHeight="1" ht="18.75">
      <c r="A6595" s="1" t="s">
        <v>3598</v>
      </c>
      <c r="B6595" s="1" t="s">
        <v>9116</v>
      </c>
      <c r="C6595" s="1" t="s">
        <v>3600</v>
      </c>
      <c r="D6595" s="1" t="s">
        <v>3601</v>
      </c>
      <c r="E6595" s="1" t="s">
        <v>3664</v>
      </c>
      <c r="F6595" s="1" t="s">
        <v>23000</v>
      </c>
      <c r="G6595" s="1" t="s">
        <v>9118</v>
      </c>
      <c r="H6595" s="1" t="s">
        <v>3604</v>
      </c>
      <c r="I6595" s="1" t="s">
        <v>23001</v>
      </c>
      <c r="J6595" s="1" t="s">
        <v>3606</v>
      </c>
      <c r="K6595" s="1" t="s">
        <v>23002</v>
      </c>
      <c r="L6595" s="1"/>
      <c r="M6595" s="1"/>
    </row>
    <row x14ac:dyDescent="0.25" r="6596" customHeight="1" ht="18.75">
      <c r="A6596" s="1" t="s">
        <v>3598</v>
      </c>
      <c r="B6596" s="1" t="s">
        <v>9116</v>
      </c>
      <c r="C6596" s="1" t="s">
        <v>3600</v>
      </c>
      <c r="D6596" s="1" t="s">
        <v>3601</v>
      </c>
      <c r="E6596" s="1" t="s">
        <v>3664</v>
      </c>
      <c r="F6596" s="1" t="s">
        <v>23003</v>
      </c>
      <c r="G6596" s="1" t="s">
        <v>9118</v>
      </c>
      <c r="H6596" s="1" t="s">
        <v>3604</v>
      </c>
      <c r="I6596" s="1" t="s">
        <v>23004</v>
      </c>
      <c r="J6596" s="1" t="s">
        <v>3606</v>
      </c>
      <c r="K6596" s="1" t="s">
        <v>23005</v>
      </c>
      <c r="L6596" s="1"/>
      <c r="M6596" s="1"/>
    </row>
    <row x14ac:dyDescent="0.25" r="6597" customHeight="1" ht="18.75">
      <c r="A6597" s="1" t="s">
        <v>3598</v>
      </c>
      <c r="B6597" s="1" t="s">
        <v>23006</v>
      </c>
      <c r="C6597" s="1" t="s">
        <v>3600</v>
      </c>
      <c r="D6597" s="1" t="s">
        <v>3601</v>
      </c>
      <c r="E6597" s="1" t="s">
        <v>3664</v>
      </c>
      <c r="F6597" s="1" t="s">
        <v>23007</v>
      </c>
      <c r="G6597" s="1" t="s">
        <v>23008</v>
      </c>
      <c r="H6597" s="1" t="s">
        <v>3604</v>
      </c>
      <c r="I6597" s="1" t="s">
        <v>23009</v>
      </c>
      <c r="J6597" s="1" t="s">
        <v>3606</v>
      </c>
      <c r="K6597" s="1" t="s">
        <v>23010</v>
      </c>
      <c r="L6597" s="1"/>
      <c r="M6597" s="1"/>
    </row>
    <row x14ac:dyDescent="0.25" r="6598" customHeight="1" ht="18.75">
      <c r="A6598" s="1" t="s">
        <v>3598</v>
      </c>
      <c r="B6598" s="1" t="s">
        <v>23006</v>
      </c>
      <c r="C6598" s="1" t="s">
        <v>3600</v>
      </c>
      <c r="D6598" s="1" t="s">
        <v>3601</v>
      </c>
      <c r="E6598" s="1" t="s">
        <v>3664</v>
      </c>
      <c r="F6598" s="1" t="s">
        <v>23011</v>
      </c>
      <c r="G6598" s="1" t="s">
        <v>23008</v>
      </c>
      <c r="H6598" s="1" t="s">
        <v>3604</v>
      </c>
      <c r="I6598" s="1" t="s">
        <v>23012</v>
      </c>
      <c r="J6598" s="1" t="s">
        <v>3606</v>
      </c>
      <c r="K6598" s="1" t="s">
        <v>23013</v>
      </c>
      <c r="L6598" s="1"/>
      <c r="M6598" s="1"/>
    </row>
    <row x14ac:dyDescent="0.25" r="6599" customHeight="1" ht="18.75">
      <c r="A6599" s="1" t="s">
        <v>3598</v>
      </c>
      <c r="B6599" s="1" t="s">
        <v>9025</v>
      </c>
      <c r="C6599" s="1" t="s">
        <v>3600</v>
      </c>
      <c r="D6599" s="1" t="s">
        <v>3601</v>
      </c>
      <c r="E6599" s="1" t="s">
        <v>3664</v>
      </c>
      <c r="F6599" s="1" t="s">
        <v>23014</v>
      </c>
      <c r="G6599" s="1" t="s">
        <v>9027</v>
      </c>
      <c r="H6599" s="1" t="s">
        <v>3604</v>
      </c>
      <c r="I6599" s="1" t="s">
        <v>23015</v>
      </c>
      <c r="J6599" s="1" t="s">
        <v>3606</v>
      </c>
      <c r="K6599" s="1" t="s">
        <v>23016</v>
      </c>
      <c r="L6599" s="1"/>
      <c r="M6599" s="1"/>
    </row>
    <row x14ac:dyDescent="0.25" r="6600" customHeight="1" ht="18.75">
      <c r="A6600" s="1" t="s">
        <v>3598</v>
      </c>
      <c r="B6600" s="1" t="s">
        <v>9025</v>
      </c>
      <c r="C6600" s="1" t="s">
        <v>3600</v>
      </c>
      <c r="D6600" s="1" t="s">
        <v>3601</v>
      </c>
      <c r="E6600" s="1" t="s">
        <v>3664</v>
      </c>
      <c r="F6600" s="1" t="s">
        <v>23017</v>
      </c>
      <c r="G6600" s="1" t="s">
        <v>9027</v>
      </c>
      <c r="H6600" s="1" t="s">
        <v>3604</v>
      </c>
      <c r="I6600" s="1" t="s">
        <v>23018</v>
      </c>
      <c r="J6600" s="1" t="s">
        <v>3606</v>
      </c>
      <c r="K6600" s="1" t="s">
        <v>23019</v>
      </c>
      <c r="L6600" s="1"/>
      <c r="M6600" s="1"/>
    </row>
    <row x14ac:dyDescent="0.25" r="6601" customHeight="1" ht="18.75">
      <c r="A6601" s="1" t="s">
        <v>3598</v>
      </c>
      <c r="B6601" s="1" t="s">
        <v>15397</v>
      </c>
      <c r="C6601" s="1" t="s">
        <v>3600</v>
      </c>
      <c r="D6601" s="1" t="s">
        <v>3601</v>
      </c>
      <c r="E6601" s="1" t="s">
        <v>3664</v>
      </c>
      <c r="F6601" s="1" t="s">
        <v>23020</v>
      </c>
      <c r="G6601" s="1" t="s">
        <v>18077</v>
      </c>
      <c r="H6601" s="1" t="s">
        <v>3604</v>
      </c>
      <c r="I6601" s="1" t="s">
        <v>23021</v>
      </c>
      <c r="J6601" s="1" t="s">
        <v>3606</v>
      </c>
      <c r="K6601" s="1" t="s">
        <v>23022</v>
      </c>
      <c r="L6601" s="1"/>
      <c r="M6601" s="1"/>
    </row>
    <row x14ac:dyDescent="0.25" r="6602" customHeight="1" ht="18.75">
      <c r="A6602" s="1" t="s">
        <v>3598</v>
      </c>
      <c r="B6602" s="1" t="s">
        <v>15397</v>
      </c>
      <c r="C6602" s="1" t="s">
        <v>3600</v>
      </c>
      <c r="D6602" s="1" t="s">
        <v>3601</v>
      </c>
      <c r="E6602" s="1" t="s">
        <v>3664</v>
      </c>
      <c r="F6602" s="1" t="s">
        <v>23023</v>
      </c>
      <c r="G6602" s="1" t="s">
        <v>18077</v>
      </c>
      <c r="H6602" s="1" t="s">
        <v>3604</v>
      </c>
      <c r="I6602" s="1" t="s">
        <v>23024</v>
      </c>
      <c r="J6602" s="1" t="s">
        <v>3606</v>
      </c>
      <c r="K6602" s="1" t="s">
        <v>23025</v>
      </c>
      <c r="L6602" s="1"/>
      <c r="M6602" s="1"/>
    </row>
    <row x14ac:dyDescent="0.25" r="6603" customHeight="1" ht="18.75">
      <c r="A6603" s="1" t="s">
        <v>3598</v>
      </c>
      <c r="B6603" s="1" t="s">
        <v>18039</v>
      </c>
      <c r="C6603" s="1" t="s">
        <v>3600</v>
      </c>
      <c r="D6603" s="1" t="s">
        <v>3601</v>
      </c>
      <c r="E6603" s="1" t="s">
        <v>3664</v>
      </c>
      <c r="F6603" s="1" t="s">
        <v>23026</v>
      </c>
      <c r="G6603" s="1" t="s">
        <v>18041</v>
      </c>
      <c r="H6603" s="1" t="s">
        <v>3604</v>
      </c>
      <c r="I6603" s="1" t="s">
        <v>23027</v>
      </c>
      <c r="J6603" s="1" t="s">
        <v>3606</v>
      </c>
      <c r="K6603" s="1" t="s">
        <v>23028</v>
      </c>
      <c r="L6603" s="1"/>
      <c r="M6603" s="1"/>
    </row>
    <row x14ac:dyDescent="0.25" r="6604" customHeight="1" ht="18.75">
      <c r="A6604" s="1" t="s">
        <v>3598</v>
      </c>
      <c r="B6604" s="1" t="s">
        <v>18039</v>
      </c>
      <c r="C6604" s="1" t="s">
        <v>3600</v>
      </c>
      <c r="D6604" s="1" t="s">
        <v>3601</v>
      </c>
      <c r="E6604" s="1" t="s">
        <v>3664</v>
      </c>
      <c r="F6604" s="1" t="s">
        <v>23029</v>
      </c>
      <c r="G6604" s="1" t="s">
        <v>18041</v>
      </c>
      <c r="H6604" s="1" t="s">
        <v>3604</v>
      </c>
      <c r="I6604" s="1" t="s">
        <v>23030</v>
      </c>
      <c r="J6604" s="1" t="s">
        <v>3606</v>
      </c>
      <c r="K6604" s="1" t="s">
        <v>23031</v>
      </c>
      <c r="L6604" s="1"/>
      <c r="M6604" s="1"/>
    </row>
    <row x14ac:dyDescent="0.25" r="6605" customHeight="1" ht="18.75">
      <c r="A6605" s="1" t="s">
        <v>3598</v>
      </c>
      <c r="B6605" s="1" t="s">
        <v>23032</v>
      </c>
      <c r="C6605" s="1" t="s">
        <v>3600</v>
      </c>
      <c r="D6605" s="1" t="s">
        <v>3601</v>
      </c>
      <c r="E6605" s="1" t="s">
        <v>3664</v>
      </c>
      <c r="F6605" s="1" t="s">
        <v>23033</v>
      </c>
      <c r="G6605" s="1" t="s">
        <v>23034</v>
      </c>
      <c r="H6605" s="1" t="s">
        <v>3604</v>
      </c>
      <c r="I6605" s="1" t="s">
        <v>23035</v>
      </c>
      <c r="J6605" s="1" t="s">
        <v>3606</v>
      </c>
      <c r="K6605" s="1" t="s">
        <v>23036</v>
      </c>
      <c r="L6605" s="1"/>
      <c r="M6605" s="1"/>
    </row>
    <row x14ac:dyDescent="0.25" r="6606" customHeight="1" ht="18.75">
      <c r="A6606" s="1" t="s">
        <v>3598</v>
      </c>
      <c r="B6606" s="1" t="s">
        <v>23032</v>
      </c>
      <c r="C6606" s="1" t="s">
        <v>3600</v>
      </c>
      <c r="D6606" s="1" t="s">
        <v>3601</v>
      </c>
      <c r="E6606" s="1" t="s">
        <v>3664</v>
      </c>
      <c r="F6606" s="1" t="s">
        <v>23037</v>
      </c>
      <c r="G6606" s="1" t="s">
        <v>23034</v>
      </c>
      <c r="H6606" s="1" t="s">
        <v>3604</v>
      </c>
      <c r="I6606" s="1" t="s">
        <v>23038</v>
      </c>
      <c r="J6606" s="1" t="s">
        <v>3606</v>
      </c>
      <c r="K6606" s="1" t="s">
        <v>23039</v>
      </c>
      <c r="L6606" s="1"/>
      <c r="M6606" s="1"/>
    </row>
    <row x14ac:dyDescent="0.25" r="6607" customHeight="1" ht="18.75">
      <c r="A6607" s="1" t="s">
        <v>3598</v>
      </c>
      <c r="B6607" s="1" t="s">
        <v>23040</v>
      </c>
      <c r="C6607" s="1" t="s">
        <v>3600</v>
      </c>
      <c r="D6607" s="1" t="s">
        <v>3601</v>
      </c>
      <c r="E6607" s="1" t="s">
        <v>3893</v>
      </c>
      <c r="F6607" s="1" t="s">
        <v>23041</v>
      </c>
      <c r="G6607" s="1" t="s">
        <v>23042</v>
      </c>
      <c r="H6607" s="1" t="s">
        <v>3604</v>
      </c>
      <c r="I6607" s="1" t="s">
        <v>23043</v>
      </c>
      <c r="J6607" s="1" t="s">
        <v>3606</v>
      </c>
      <c r="K6607" s="1" t="s">
        <v>23044</v>
      </c>
      <c r="L6607" s="1"/>
      <c r="M6607" s="1"/>
    </row>
    <row x14ac:dyDescent="0.25" r="6608" customHeight="1" ht="18.75">
      <c r="A6608" s="1" t="s">
        <v>3598</v>
      </c>
      <c r="B6608" s="1" t="s">
        <v>23040</v>
      </c>
      <c r="C6608" s="1" t="s">
        <v>3600</v>
      </c>
      <c r="D6608" s="1" t="s">
        <v>3601</v>
      </c>
      <c r="E6608" s="1" t="s">
        <v>3893</v>
      </c>
      <c r="F6608" s="1" t="s">
        <v>23045</v>
      </c>
      <c r="G6608" s="1" t="s">
        <v>23042</v>
      </c>
      <c r="H6608" s="1" t="s">
        <v>3604</v>
      </c>
      <c r="I6608" s="1" t="s">
        <v>23046</v>
      </c>
      <c r="J6608" s="1" t="s">
        <v>3606</v>
      </c>
      <c r="K6608" s="1" t="s">
        <v>23047</v>
      </c>
      <c r="L6608" s="1"/>
      <c r="M6608" s="1"/>
    </row>
    <row x14ac:dyDescent="0.25" r="6609" customHeight="1" ht="18.75">
      <c r="A6609" s="1" t="s">
        <v>3598</v>
      </c>
      <c r="B6609" s="1" t="s">
        <v>17258</v>
      </c>
      <c r="C6609" s="1" t="s">
        <v>3600</v>
      </c>
      <c r="D6609" s="1" t="s">
        <v>3601</v>
      </c>
      <c r="E6609" s="1" t="s">
        <v>3664</v>
      </c>
      <c r="F6609" s="1" t="s">
        <v>23048</v>
      </c>
      <c r="G6609" s="1" t="s">
        <v>17260</v>
      </c>
      <c r="H6609" s="1" t="s">
        <v>3604</v>
      </c>
      <c r="I6609" s="1" t="s">
        <v>23049</v>
      </c>
      <c r="J6609" s="1" t="s">
        <v>3606</v>
      </c>
      <c r="K6609" s="1" t="s">
        <v>23050</v>
      </c>
      <c r="L6609" s="1"/>
      <c r="M6609" s="1"/>
    </row>
    <row x14ac:dyDescent="0.25" r="6610" customHeight="1" ht="18.75">
      <c r="A6610" s="1" t="s">
        <v>3598</v>
      </c>
      <c r="B6610" s="1" t="s">
        <v>17258</v>
      </c>
      <c r="C6610" s="1" t="s">
        <v>3600</v>
      </c>
      <c r="D6610" s="1" t="s">
        <v>3601</v>
      </c>
      <c r="E6610" s="1" t="s">
        <v>3664</v>
      </c>
      <c r="F6610" s="1" t="s">
        <v>23051</v>
      </c>
      <c r="G6610" s="1" t="s">
        <v>17260</v>
      </c>
      <c r="H6610" s="1" t="s">
        <v>3604</v>
      </c>
      <c r="I6610" s="1" t="s">
        <v>23052</v>
      </c>
      <c r="J6610" s="1" t="s">
        <v>3606</v>
      </c>
      <c r="K6610" s="1" t="s">
        <v>23053</v>
      </c>
      <c r="L6610" s="1"/>
      <c r="M6610" s="1"/>
    </row>
    <row x14ac:dyDescent="0.25" r="6611" customHeight="1" ht="18.75">
      <c r="A6611" s="1" t="s">
        <v>3598</v>
      </c>
      <c r="B6611" s="1" t="s">
        <v>13758</v>
      </c>
      <c r="C6611" s="1" t="s">
        <v>3600</v>
      </c>
      <c r="D6611" s="1" t="s">
        <v>3601</v>
      </c>
      <c r="E6611" s="1" t="s">
        <v>3893</v>
      </c>
      <c r="F6611" s="1" t="s">
        <v>23054</v>
      </c>
      <c r="G6611" s="1" t="s">
        <v>15822</v>
      </c>
      <c r="H6611" s="1" t="s">
        <v>3604</v>
      </c>
      <c r="I6611" s="1" t="s">
        <v>23055</v>
      </c>
      <c r="J6611" s="1" t="s">
        <v>3606</v>
      </c>
      <c r="K6611" s="1" t="s">
        <v>23056</v>
      </c>
      <c r="L6611" s="1"/>
      <c r="M6611" s="1"/>
    </row>
    <row x14ac:dyDescent="0.25" r="6612" customHeight="1" ht="18.75">
      <c r="A6612" s="1" t="s">
        <v>3598</v>
      </c>
      <c r="B6612" s="1" t="s">
        <v>13758</v>
      </c>
      <c r="C6612" s="1" t="s">
        <v>3600</v>
      </c>
      <c r="D6612" s="1" t="s">
        <v>3601</v>
      </c>
      <c r="E6612" s="1" t="s">
        <v>3893</v>
      </c>
      <c r="F6612" s="1" t="s">
        <v>23057</v>
      </c>
      <c r="G6612" s="1" t="s">
        <v>15822</v>
      </c>
      <c r="H6612" s="1" t="s">
        <v>3604</v>
      </c>
      <c r="I6612" s="1" t="s">
        <v>23058</v>
      </c>
      <c r="J6612" s="1" t="s">
        <v>3606</v>
      </c>
      <c r="K6612" s="1" t="s">
        <v>23059</v>
      </c>
      <c r="L6612" s="1"/>
      <c r="M6612" s="1"/>
    </row>
    <row x14ac:dyDescent="0.25" r="6613" customHeight="1" ht="18.75">
      <c r="A6613" s="1" t="s">
        <v>3598</v>
      </c>
      <c r="B6613" s="1" t="s">
        <v>9344</v>
      </c>
      <c r="C6613" s="1" t="s">
        <v>3600</v>
      </c>
      <c r="D6613" s="1" t="s">
        <v>3601</v>
      </c>
      <c r="E6613" s="1" t="s">
        <v>3664</v>
      </c>
      <c r="F6613" s="1" t="s">
        <v>23060</v>
      </c>
      <c r="G6613" s="1" t="s">
        <v>9346</v>
      </c>
      <c r="H6613" s="1" t="s">
        <v>3604</v>
      </c>
      <c r="I6613" s="1" t="s">
        <v>23061</v>
      </c>
      <c r="J6613" s="1" t="s">
        <v>3606</v>
      </c>
      <c r="K6613" s="1" t="s">
        <v>23062</v>
      </c>
      <c r="L6613" s="1"/>
      <c r="M6613" s="1"/>
    </row>
    <row x14ac:dyDescent="0.25" r="6614" customHeight="1" ht="18.75">
      <c r="A6614" s="1" t="s">
        <v>3598</v>
      </c>
      <c r="B6614" s="1" t="s">
        <v>9344</v>
      </c>
      <c r="C6614" s="1" t="s">
        <v>3600</v>
      </c>
      <c r="D6614" s="1" t="s">
        <v>3601</v>
      </c>
      <c r="E6614" s="1" t="s">
        <v>3664</v>
      </c>
      <c r="F6614" s="1" t="s">
        <v>23063</v>
      </c>
      <c r="G6614" s="1" t="s">
        <v>9346</v>
      </c>
      <c r="H6614" s="1" t="s">
        <v>3604</v>
      </c>
      <c r="I6614" s="1" t="s">
        <v>23064</v>
      </c>
      <c r="J6614" s="1" t="s">
        <v>3606</v>
      </c>
      <c r="K6614" s="1" t="s">
        <v>23065</v>
      </c>
      <c r="L6614" s="1"/>
      <c r="M6614" s="1"/>
    </row>
    <row x14ac:dyDescent="0.25" r="6615" customHeight="1" ht="18.75">
      <c r="A6615" s="1" t="s">
        <v>3598</v>
      </c>
      <c r="B6615" s="1" t="s">
        <v>14021</v>
      </c>
      <c r="C6615" s="1" t="s">
        <v>3600</v>
      </c>
      <c r="D6615" s="1" t="s">
        <v>3601</v>
      </c>
      <c r="E6615" s="1" t="s">
        <v>3893</v>
      </c>
      <c r="F6615" s="1" t="s">
        <v>23066</v>
      </c>
      <c r="G6615" s="1" t="s">
        <v>23067</v>
      </c>
      <c r="H6615" s="1" t="s">
        <v>3604</v>
      </c>
      <c r="I6615" s="1" t="s">
        <v>23068</v>
      </c>
      <c r="J6615" s="1" t="s">
        <v>3606</v>
      </c>
      <c r="K6615" s="1" t="s">
        <v>23069</v>
      </c>
      <c r="L6615" s="1"/>
      <c r="M6615" s="1"/>
    </row>
    <row x14ac:dyDescent="0.25" r="6616" customHeight="1" ht="18.75">
      <c r="A6616" s="1" t="s">
        <v>3598</v>
      </c>
      <c r="B6616" s="1" t="s">
        <v>14021</v>
      </c>
      <c r="C6616" s="1" t="s">
        <v>3600</v>
      </c>
      <c r="D6616" s="1" t="s">
        <v>3601</v>
      </c>
      <c r="E6616" s="1" t="s">
        <v>3893</v>
      </c>
      <c r="F6616" s="1" t="s">
        <v>23070</v>
      </c>
      <c r="G6616" s="1" t="s">
        <v>23067</v>
      </c>
      <c r="H6616" s="1" t="s">
        <v>3604</v>
      </c>
      <c r="I6616" s="1" t="s">
        <v>23071</v>
      </c>
      <c r="J6616" s="1" t="s">
        <v>3606</v>
      </c>
      <c r="K6616" s="1" t="s">
        <v>23072</v>
      </c>
      <c r="L6616" s="1"/>
      <c r="M6616" s="1"/>
    </row>
    <row x14ac:dyDescent="0.25" r="6617" customHeight="1" ht="18.75">
      <c r="A6617" s="1" t="s">
        <v>3598</v>
      </c>
      <c r="B6617" s="1" t="s">
        <v>8191</v>
      </c>
      <c r="C6617" s="1" t="s">
        <v>3600</v>
      </c>
      <c r="D6617" s="1" t="s">
        <v>3601</v>
      </c>
      <c r="E6617" s="1" t="s">
        <v>3664</v>
      </c>
      <c r="F6617" s="1" t="s">
        <v>23073</v>
      </c>
      <c r="G6617" s="1" t="s">
        <v>23074</v>
      </c>
      <c r="H6617" s="1" t="s">
        <v>3604</v>
      </c>
      <c r="I6617" s="1" t="s">
        <v>23075</v>
      </c>
      <c r="J6617" s="1" t="s">
        <v>3606</v>
      </c>
      <c r="K6617" s="1" t="s">
        <v>23076</v>
      </c>
      <c r="L6617" s="1"/>
      <c r="M6617" s="1"/>
    </row>
    <row x14ac:dyDescent="0.25" r="6618" customHeight="1" ht="18.75">
      <c r="A6618" s="1" t="s">
        <v>3598</v>
      </c>
      <c r="B6618" s="1" t="s">
        <v>23077</v>
      </c>
      <c r="C6618" s="1" t="s">
        <v>3600</v>
      </c>
      <c r="D6618" s="1" t="s">
        <v>3601</v>
      </c>
      <c r="E6618" s="1" t="s">
        <v>3664</v>
      </c>
      <c r="F6618" s="1" t="s">
        <v>23078</v>
      </c>
      <c r="G6618" s="1" t="s">
        <v>23079</v>
      </c>
      <c r="H6618" s="1" t="s">
        <v>3604</v>
      </c>
      <c r="I6618" s="1" t="s">
        <v>23080</v>
      </c>
      <c r="J6618" s="1" t="s">
        <v>3606</v>
      </c>
      <c r="K6618" s="1" t="s">
        <v>23081</v>
      </c>
      <c r="L6618" s="1"/>
      <c r="M6618" s="1"/>
    </row>
    <row x14ac:dyDescent="0.25" r="6619" customHeight="1" ht="18.75">
      <c r="A6619" s="1" t="s">
        <v>3598</v>
      </c>
      <c r="B6619" s="1" t="s">
        <v>23077</v>
      </c>
      <c r="C6619" s="1" t="s">
        <v>3600</v>
      </c>
      <c r="D6619" s="1" t="s">
        <v>3601</v>
      </c>
      <c r="E6619" s="1" t="s">
        <v>3664</v>
      </c>
      <c r="F6619" s="1" t="s">
        <v>23082</v>
      </c>
      <c r="G6619" s="1" t="s">
        <v>23079</v>
      </c>
      <c r="H6619" s="1" t="s">
        <v>3604</v>
      </c>
      <c r="I6619" s="1" t="s">
        <v>23083</v>
      </c>
      <c r="J6619" s="1" t="s">
        <v>3606</v>
      </c>
      <c r="K6619" s="1" t="s">
        <v>23084</v>
      </c>
      <c r="L6619" s="1"/>
      <c r="M6619" s="1"/>
    </row>
    <row x14ac:dyDescent="0.25" r="6620" customHeight="1" ht="18.75">
      <c r="A6620" s="1" t="s">
        <v>3598</v>
      </c>
      <c r="B6620" s="1" t="s">
        <v>5260</v>
      </c>
      <c r="C6620" s="1" t="s">
        <v>3600</v>
      </c>
      <c r="D6620" s="1" t="s">
        <v>3601</v>
      </c>
      <c r="E6620" s="1" t="s">
        <v>3893</v>
      </c>
      <c r="F6620" s="1" t="s">
        <v>23085</v>
      </c>
      <c r="G6620" s="1" t="s">
        <v>17246</v>
      </c>
      <c r="H6620" s="1" t="s">
        <v>3604</v>
      </c>
      <c r="I6620" s="1" t="s">
        <v>23086</v>
      </c>
      <c r="J6620" s="1" t="s">
        <v>3606</v>
      </c>
      <c r="K6620" s="1" t="s">
        <v>23087</v>
      </c>
      <c r="L6620" s="1"/>
      <c r="M6620" s="1"/>
    </row>
    <row x14ac:dyDescent="0.25" r="6621" customHeight="1" ht="18.75">
      <c r="A6621" s="1" t="s">
        <v>3598</v>
      </c>
      <c r="B6621" s="1" t="s">
        <v>17394</v>
      </c>
      <c r="C6621" s="1" t="s">
        <v>3600</v>
      </c>
      <c r="D6621" s="1" t="s">
        <v>3601</v>
      </c>
      <c r="E6621" s="1" t="s">
        <v>3664</v>
      </c>
      <c r="F6621" s="1" t="s">
        <v>23088</v>
      </c>
      <c r="G6621" s="1" t="s">
        <v>23089</v>
      </c>
      <c r="H6621" s="1" t="s">
        <v>3604</v>
      </c>
      <c r="I6621" s="1" t="s">
        <v>23090</v>
      </c>
      <c r="J6621" s="1" t="s">
        <v>3615</v>
      </c>
      <c r="K6621" s="1" t="s">
        <v>23091</v>
      </c>
      <c r="L6621" s="1"/>
      <c r="M6621" s="1"/>
    </row>
    <row x14ac:dyDescent="0.25" r="6622" customHeight="1" ht="18.75">
      <c r="A6622" s="1" t="s">
        <v>3598</v>
      </c>
      <c r="B6622" s="1" t="s">
        <v>9012</v>
      </c>
      <c r="C6622" s="1" t="s">
        <v>3600</v>
      </c>
      <c r="D6622" s="1" t="s">
        <v>3601</v>
      </c>
      <c r="E6622" s="1" t="s">
        <v>3893</v>
      </c>
      <c r="F6622" s="1" t="s">
        <v>23092</v>
      </c>
      <c r="G6622" s="1" t="s">
        <v>9014</v>
      </c>
      <c r="H6622" s="1" t="s">
        <v>3604</v>
      </c>
      <c r="I6622" s="1" t="s">
        <v>23093</v>
      </c>
      <c r="J6622" s="1" t="s">
        <v>3606</v>
      </c>
      <c r="K6622" s="1" t="s">
        <v>23094</v>
      </c>
      <c r="L6622" s="1"/>
      <c r="M6622" s="1"/>
    </row>
    <row x14ac:dyDescent="0.25" r="6623" customHeight="1" ht="18.75">
      <c r="A6623" s="1" t="s">
        <v>3598</v>
      </c>
      <c r="B6623" s="1" t="s">
        <v>9012</v>
      </c>
      <c r="C6623" s="1" t="s">
        <v>3600</v>
      </c>
      <c r="D6623" s="1" t="s">
        <v>3601</v>
      </c>
      <c r="E6623" s="1" t="s">
        <v>3893</v>
      </c>
      <c r="F6623" s="1" t="s">
        <v>23095</v>
      </c>
      <c r="G6623" s="1" t="s">
        <v>9014</v>
      </c>
      <c r="H6623" s="1" t="s">
        <v>3604</v>
      </c>
      <c r="I6623" s="1" t="s">
        <v>23096</v>
      </c>
      <c r="J6623" s="1" t="s">
        <v>3606</v>
      </c>
      <c r="K6623" s="1" t="s">
        <v>23097</v>
      </c>
      <c r="L6623" s="1"/>
      <c r="M6623" s="1"/>
    </row>
    <row x14ac:dyDescent="0.25" r="6624" customHeight="1" ht="18.75">
      <c r="A6624" s="1" t="s">
        <v>3598</v>
      </c>
      <c r="B6624" s="1" t="s">
        <v>14123</v>
      </c>
      <c r="C6624" s="1" t="s">
        <v>3600</v>
      </c>
      <c r="D6624" s="1" t="s">
        <v>3601</v>
      </c>
      <c r="E6624" s="1" t="s">
        <v>3893</v>
      </c>
      <c r="F6624" s="1" t="s">
        <v>23098</v>
      </c>
      <c r="G6624" s="1" t="s">
        <v>14125</v>
      </c>
      <c r="H6624" s="1" t="s">
        <v>3604</v>
      </c>
      <c r="I6624" s="1" t="s">
        <v>23099</v>
      </c>
      <c r="J6624" s="1" t="s">
        <v>3606</v>
      </c>
      <c r="K6624" s="1" t="s">
        <v>23100</v>
      </c>
      <c r="L6624" s="1"/>
      <c r="M6624" s="1"/>
    </row>
    <row x14ac:dyDescent="0.25" r="6625" customHeight="1" ht="18.75">
      <c r="A6625" s="1" t="s">
        <v>3598</v>
      </c>
      <c r="B6625" s="1" t="s">
        <v>14123</v>
      </c>
      <c r="C6625" s="1" t="s">
        <v>3600</v>
      </c>
      <c r="D6625" s="1" t="s">
        <v>3601</v>
      </c>
      <c r="E6625" s="1" t="s">
        <v>3893</v>
      </c>
      <c r="F6625" s="1" t="s">
        <v>23101</v>
      </c>
      <c r="G6625" s="1" t="s">
        <v>14125</v>
      </c>
      <c r="H6625" s="1" t="s">
        <v>3604</v>
      </c>
      <c r="I6625" s="1" t="s">
        <v>23102</v>
      </c>
      <c r="J6625" s="1" t="s">
        <v>3606</v>
      </c>
      <c r="K6625" s="1" t="s">
        <v>23103</v>
      </c>
      <c r="L6625" s="1"/>
      <c r="M6625" s="1"/>
    </row>
    <row x14ac:dyDescent="0.25" r="6626" customHeight="1" ht="18.75">
      <c r="A6626" s="1" t="s">
        <v>3598</v>
      </c>
      <c r="B6626" s="1" t="s">
        <v>14104</v>
      </c>
      <c r="C6626" s="1" t="s">
        <v>3600</v>
      </c>
      <c r="D6626" s="1" t="s">
        <v>3601</v>
      </c>
      <c r="E6626" s="1" t="s">
        <v>3893</v>
      </c>
      <c r="F6626" s="1" t="s">
        <v>23104</v>
      </c>
      <c r="G6626" s="1" t="s">
        <v>14130</v>
      </c>
      <c r="H6626" s="1" t="s">
        <v>3604</v>
      </c>
      <c r="I6626" s="1" t="s">
        <v>23105</v>
      </c>
      <c r="J6626" s="1" t="s">
        <v>3606</v>
      </c>
      <c r="K6626" s="1" t="s">
        <v>23106</v>
      </c>
      <c r="L6626" s="1"/>
      <c r="M6626" s="1"/>
    </row>
    <row x14ac:dyDescent="0.25" r="6627" customHeight="1" ht="18.75">
      <c r="A6627" s="1" t="s">
        <v>3598</v>
      </c>
      <c r="B6627" s="1" t="s">
        <v>5252</v>
      </c>
      <c r="C6627" s="1" t="s">
        <v>3600</v>
      </c>
      <c r="D6627" s="1" t="s">
        <v>3601</v>
      </c>
      <c r="E6627" s="1" t="s">
        <v>3893</v>
      </c>
      <c r="F6627" s="1" t="s">
        <v>23107</v>
      </c>
      <c r="G6627" s="1" t="s">
        <v>18400</v>
      </c>
      <c r="H6627" s="1" t="s">
        <v>3604</v>
      </c>
      <c r="I6627" s="1" t="s">
        <v>23108</v>
      </c>
      <c r="J6627" s="1" t="s">
        <v>3606</v>
      </c>
      <c r="K6627" s="1" t="s">
        <v>23109</v>
      </c>
      <c r="L6627" s="1"/>
      <c r="M6627" s="1"/>
    </row>
    <row x14ac:dyDescent="0.25" r="6628" customHeight="1" ht="18.75">
      <c r="A6628" s="1" t="s">
        <v>3598</v>
      </c>
      <c r="B6628" s="1" t="s">
        <v>5252</v>
      </c>
      <c r="C6628" s="1" t="s">
        <v>3600</v>
      </c>
      <c r="D6628" s="1" t="s">
        <v>3601</v>
      </c>
      <c r="E6628" s="1" t="s">
        <v>3893</v>
      </c>
      <c r="F6628" s="1" t="s">
        <v>23110</v>
      </c>
      <c r="G6628" s="1" t="s">
        <v>18400</v>
      </c>
      <c r="H6628" s="1" t="s">
        <v>3604</v>
      </c>
      <c r="I6628" s="1" t="s">
        <v>23111</v>
      </c>
      <c r="J6628" s="1" t="s">
        <v>3606</v>
      </c>
      <c r="K6628" s="1" t="s">
        <v>23112</v>
      </c>
      <c r="L6628" s="1"/>
      <c r="M6628" s="1"/>
    </row>
    <row x14ac:dyDescent="0.25" r="6629" customHeight="1" ht="18.75">
      <c r="A6629" s="1" t="s">
        <v>3598</v>
      </c>
      <c r="B6629" s="1" t="s">
        <v>18043</v>
      </c>
      <c r="C6629" s="1" t="s">
        <v>3600</v>
      </c>
      <c r="D6629" s="1" t="s">
        <v>3601</v>
      </c>
      <c r="E6629" s="1" t="s">
        <v>3664</v>
      </c>
      <c r="F6629" s="1" t="s">
        <v>23113</v>
      </c>
      <c r="G6629" s="1" t="s">
        <v>18045</v>
      </c>
      <c r="H6629" s="1" t="s">
        <v>3604</v>
      </c>
      <c r="I6629" s="1" t="s">
        <v>23114</v>
      </c>
      <c r="J6629" s="1" t="s">
        <v>3606</v>
      </c>
      <c r="K6629" s="1" t="s">
        <v>23115</v>
      </c>
      <c r="L6629" s="1"/>
      <c r="M6629" s="1"/>
    </row>
    <row x14ac:dyDescent="0.25" r="6630" customHeight="1" ht="18.75">
      <c r="A6630" s="1" t="s">
        <v>3598</v>
      </c>
      <c r="B6630" s="1" t="s">
        <v>18227</v>
      </c>
      <c r="C6630" s="1" t="s">
        <v>3600</v>
      </c>
      <c r="D6630" s="1" t="s">
        <v>3601</v>
      </c>
      <c r="E6630" s="1" t="s">
        <v>3664</v>
      </c>
      <c r="F6630" s="1" t="s">
        <v>23116</v>
      </c>
      <c r="G6630" s="1" t="s">
        <v>18229</v>
      </c>
      <c r="H6630" s="1" t="s">
        <v>3604</v>
      </c>
      <c r="I6630" s="1" t="s">
        <v>23117</v>
      </c>
      <c r="J6630" s="1" t="s">
        <v>3606</v>
      </c>
      <c r="K6630" s="1" t="s">
        <v>23118</v>
      </c>
      <c r="L6630" s="1"/>
      <c r="M6630" s="1"/>
    </row>
    <row x14ac:dyDescent="0.25" r="6631" customHeight="1" ht="18.75">
      <c r="A6631" s="1" t="s">
        <v>3598</v>
      </c>
      <c r="B6631" s="1" t="s">
        <v>22973</v>
      </c>
      <c r="C6631" s="1" t="s">
        <v>3600</v>
      </c>
      <c r="D6631" s="1" t="s">
        <v>3601</v>
      </c>
      <c r="E6631" s="1" t="s">
        <v>3664</v>
      </c>
      <c r="F6631" s="1" t="s">
        <v>23119</v>
      </c>
      <c r="G6631" s="1" t="s">
        <v>22975</v>
      </c>
      <c r="H6631" s="1" t="s">
        <v>3604</v>
      </c>
      <c r="I6631" s="1" t="s">
        <v>23120</v>
      </c>
      <c r="J6631" s="1" t="s">
        <v>3606</v>
      </c>
      <c r="K6631" s="1" t="s">
        <v>23121</v>
      </c>
      <c r="L6631" s="1"/>
      <c r="M6631" s="1"/>
    </row>
    <row x14ac:dyDescent="0.25" r="6632" customHeight="1" ht="18.75">
      <c r="A6632" s="1" t="s">
        <v>3598</v>
      </c>
      <c r="B6632" s="1" t="s">
        <v>18066</v>
      </c>
      <c r="C6632" s="1" t="s">
        <v>3600</v>
      </c>
      <c r="D6632" s="1" t="s">
        <v>3601</v>
      </c>
      <c r="E6632" s="1" t="s">
        <v>3664</v>
      </c>
      <c r="F6632" s="1" t="s">
        <v>23122</v>
      </c>
      <c r="G6632" s="1" t="s">
        <v>18068</v>
      </c>
      <c r="H6632" s="1" t="s">
        <v>3604</v>
      </c>
      <c r="I6632" s="1" t="s">
        <v>23123</v>
      </c>
      <c r="J6632" s="1" t="s">
        <v>3606</v>
      </c>
      <c r="K6632" s="1" t="s">
        <v>23124</v>
      </c>
      <c r="L6632" s="1"/>
      <c r="M6632" s="1"/>
    </row>
    <row x14ac:dyDescent="0.25" r="6633" customHeight="1" ht="18.75">
      <c r="A6633" s="1" t="s">
        <v>3598</v>
      </c>
      <c r="B6633" s="1" t="s">
        <v>15780</v>
      </c>
      <c r="C6633" s="1" t="s">
        <v>3600</v>
      </c>
      <c r="D6633" s="1" t="s">
        <v>3601</v>
      </c>
      <c r="E6633" s="1" t="s">
        <v>3664</v>
      </c>
      <c r="F6633" s="1" t="s">
        <v>23125</v>
      </c>
      <c r="G6633" s="1" t="s">
        <v>23126</v>
      </c>
      <c r="H6633" s="1" t="s">
        <v>3604</v>
      </c>
      <c r="I6633" s="1" t="s">
        <v>23127</v>
      </c>
      <c r="J6633" s="1" t="s">
        <v>3606</v>
      </c>
      <c r="K6633" s="1" t="s">
        <v>23128</v>
      </c>
      <c r="L6633" s="1"/>
      <c r="M6633" s="1"/>
    </row>
    <row x14ac:dyDescent="0.25" r="6634" customHeight="1" ht="18.75">
      <c r="A6634" s="1" t="s">
        <v>3617</v>
      </c>
      <c r="B6634" s="1" t="s">
        <v>3825</v>
      </c>
      <c r="C6634" s="1" t="s">
        <v>3619</v>
      </c>
      <c r="D6634" s="1" t="s">
        <v>3695</v>
      </c>
      <c r="E6634" s="1" t="s">
        <v>3664</v>
      </c>
      <c r="F6634" s="1" t="s">
        <v>23129</v>
      </c>
      <c r="G6634" s="1" t="s">
        <v>22877</v>
      </c>
      <c r="H6634" s="1" t="s">
        <v>3604</v>
      </c>
      <c r="I6634" s="1" t="s">
        <v>23130</v>
      </c>
      <c r="J6634" s="1" t="s">
        <v>3606</v>
      </c>
      <c r="K6634" s="1" t="s">
        <v>23131</v>
      </c>
      <c r="L6634" s="1"/>
      <c r="M6634" s="1"/>
    </row>
    <row x14ac:dyDescent="0.25" r="6635" customHeight="1" ht="18.75">
      <c r="A6635" s="1" t="s">
        <v>3617</v>
      </c>
      <c r="B6635" s="1" t="s">
        <v>3825</v>
      </c>
      <c r="C6635" s="1" t="s">
        <v>3619</v>
      </c>
      <c r="D6635" s="1" t="s">
        <v>3695</v>
      </c>
      <c r="E6635" s="1" t="s">
        <v>3664</v>
      </c>
      <c r="F6635" s="1" t="s">
        <v>23132</v>
      </c>
      <c r="G6635" s="1" t="s">
        <v>22877</v>
      </c>
      <c r="H6635" s="1" t="s">
        <v>3604</v>
      </c>
      <c r="I6635" s="1" t="s">
        <v>23133</v>
      </c>
      <c r="J6635" s="1" t="s">
        <v>3606</v>
      </c>
      <c r="K6635" s="1" t="s">
        <v>23134</v>
      </c>
      <c r="L6635" s="1"/>
      <c r="M6635" s="1"/>
    </row>
    <row x14ac:dyDescent="0.25" r="6636" customHeight="1" ht="18.75">
      <c r="A6636" s="1" t="s">
        <v>3617</v>
      </c>
      <c r="B6636" s="1" t="s">
        <v>3825</v>
      </c>
      <c r="C6636" s="1" t="s">
        <v>3619</v>
      </c>
      <c r="D6636" s="1" t="s">
        <v>3695</v>
      </c>
      <c r="E6636" s="1" t="s">
        <v>3752</v>
      </c>
      <c r="F6636" s="1" t="s">
        <v>23135</v>
      </c>
      <c r="G6636" s="1" t="s">
        <v>8394</v>
      </c>
      <c r="H6636" s="1" t="s">
        <v>3604</v>
      </c>
      <c r="I6636" s="1" t="s">
        <v>23136</v>
      </c>
      <c r="J6636" s="1" t="s">
        <v>3606</v>
      </c>
      <c r="K6636" s="1" t="s">
        <v>23137</v>
      </c>
      <c r="L6636" s="1"/>
      <c r="M6636" s="1"/>
    </row>
    <row x14ac:dyDescent="0.25" r="6637" customHeight="1" ht="18.75">
      <c r="A6637" s="1" t="s">
        <v>7833</v>
      </c>
      <c r="B6637" s="1" t="s">
        <v>8095</v>
      </c>
      <c r="C6637" s="1" t="s">
        <v>4488</v>
      </c>
      <c r="D6637" s="1" t="s">
        <v>3601</v>
      </c>
      <c r="E6637" s="1" t="s">
        <v>8096</v>
      </c>
      <c r="F6637" s="1" t="s">
        <v>23138</v>
      </c>
      <c r="G6637" s="1" t="s">
        <v>9085</v>
      </c>
      <c r="H6637" s="1" t="s">
        <v>3604</v>
      </c>
      <c r="I6637" s="1" t="s">
        <v>23139</v>
      </c>
      <c r="J6637" s="1" t="s">
        <v>3606</v>
      </c>
      <c r="K6637" s="1" t="s">
        <v>23140</v>
      </c>
      <c r="L6637" s="1"/>
      <c r="M6637" s="1"/>
    </row>
    <row x14ac:dyDescent="0.25" r="6638" customHeight="1" ht="18.75">
      <c r="A6638" s="1" t="s">
        <v>3617</v>
      </c>
      <c r="B6638" s="1" t="s">
        <v>3825</v>
      </c>
      <c r="C6638" s="1" t="s">
        <v>3619</v>
      </c>
      <c r="D6638" s="1" t="s">
        <v>3695</v>
      </c>
      <c r="E6638" s="1" t="s">
        <v>3752</v>
      </c>
      <c r="F6638" s="1" t="s">
        <v>23141</v>
      </c>
      <c r="G6638" s="1" t="s">
        <v>8394</v>
      </c>
      <c r="H6638" s="1" t="s">
        <v>3604</v>
      </c>
      <c r="I6638" s="1" t="s">
        <v>23142</v>
      </c>
      <c r="J6638" s="1" t="s">
        <v>3606</v>
      </c>
      <c r="K6638" s="1" t="s">
        <v>23143</v>
      </c>
      <c r="L6638" s="1"/>
      <c r="M6638" s="1"/>
    </row>
    <row x14ac:dyDescent="0.25" r="6639" customHeight="1" ht="18.75">
      <c r="A6639" s="1" t="s">
        <v>3617</v>
      </c>
      <c r="B6639" s="1" t="s">
        <v>3825</v>
      </c>
      <c r="C6639" s="1" t="s">
        <v>3619</v>
      </c>
      <c r="D6639" s="1" t="s">
        <v>3695</v>
      </c>
      <c r="E6639" s="1" t="s">
        <v>3752</v>
      </c>
      <c r="F6639" s="1" t="s">
        <v>23144</v>
      </c>
      <c r="G6639" s="1" t="s">
        <v>8394</v>
      </c>
      <c r="H6639" s="1" t="s">
        <v>3604</v>
      </c>
      <c r="I6639" s="1" t="s">
        <v>23145</v>
      </c>
      <c r="J6639" s="1" t="s">
        <v>3606</v>
      </c>
      <c r="K6639" s="1" t="s">
        <v>23146</v>
      </c>
      <c r="L6639" s="1"/>
      <c r="M6639" s="1"/>
    </row>
    <row x14ac:dyDescent="0.25" r="6640" customHeight="1" ht="18.75">
      <c r="A6640" s="1" t="s">
        <v>7833</v>
      </c>
      <c r="B6640" s="1" t="s">
        <v>14452</v>
      </c>
      <c r="C6640" s="1" t="s">
        <v>4488</v>
      </c>
      <c r="D6640" s="1" t="s">
        <v>3601</v>
      </c>
      <c r="E6640" s="1" t="s">
        <v>3664</v>
      </c>
      <c r="F6640" s="1" t="s">
        <v>23147</v>
      </c>
      <c r="G6640" s="1" t="s">
        <v>15356</v>
      </c>
      <c r="H6640" s="1" t="s">
        <v>3604</v>
      </c>
      <c r="I6640" s="1" t="s">
        <v>23148</v>
      </c>
      <c r="J6640" s="1" t="s">
        <v>3606</v>
      </c>
      <c r="K6640" s="1" t="s">
        <v>14561</v>
      </c>
      <c r="L6640" s="1"/>
      <c r="M6640" s="1"/>
    </row>
    <row x14ac:dyDescent="0.25" r="6641" customHeight="1" ht="18.75">
      <c r="A6641" s="1" t="s">
        <v>7833</v>
      </c>
      <c r="B6641" s="1" t="s">
        <v>8269</v>
      </c>
      <c r="C6641" s="1" t="s">
        <v>4488</v>
      </c>
      <c r="D6641" s="1" t="s">
        <v>3601</v>
      </c>
      <c r="E6641" s="1" t="s">
        <v>3981</v>
      </c>
      <c r="F6641" s="1" t="s">
        <v>23149</v>
      </c>
      <c r="G6641" s="1" t="s">
        <v>14824</v>
      </c>
      <c r="H6641" s="1" t="s">
        <v>3604</v>
      </c>
      <c r="I6641" s="1" t="s">
        <v>23150</v>
      </c>
      <c r="J6641" s="1" t="s">
        <v>3606</v>
      </c>
      <c r="K6641" s="1" t="s">
        <v>23151</v>
      </c>
      <c r="L6641" s="1"/>
      <c r="M6641" s="1"/>
    </row>
    <row x14ac:dyDescent="0.25" r="6642" customHeight="1" ht="18.75">
      <c r="A6642" s="1" t="s">
        <v>3617</v>
      </c>
      <c r="B6642" s="1" t="s">
        <v>3825</v>
      </c>
      <c r="C6642" s="1" t="s">
        <v>3619</v>
      </c>
      <c r="D6642" s="1" t="s">
        <v>3695</v>
      </c>
      <c r="E6642" s="1" t="s">
        <v>3752</v>
      </c>
      <c r="F6642" s="1" t="s">
        <v>23152</v>
      </c>
      <c r="G6642" s="1" t="s">
        <v>8394</v>
      </c>
      <c r="H6642" s="1" t="s">
        <v>3604</v>
      </c>
      <c r="I6642" s="1" t="s">
        <v>23153</v>
      </c>
      <c r="J6642" s="1" t="s">
        <v>3606</v>
      </c>
      <c r="K6642" s="1" t="s">
        <v>23154</v>
      </c>
      <c r="L6642" s="1"/>
      <c r="M6642" s="1"/>
    </row>
    <row x14ac:dyDescent="0.25" r="6643" customHeight="1" ht="18.75">
      <c r="A6643" s="1" t="s">
        <v>3617</v>
      </c>
      <c r="B6643" s="1" t="s">
        <v>3825</v>
      </c>
      <c r="C6643" s="1" t="s">
        <v>3619</v>
      </c>
      <c r="D6643" s="1" t="s">
        <v>3695</v>
      </c>
      <c r="E6643" s="1" t="s">
        <v>3752</v>
      </c>
      <c r="F6643" s="1" t="s">
        <v>23155</v>
      </c>
      <c r="G6643" s="1" t="s">
        <v>8394</v>
      </c>
      <c r="H6643" s="1" t="s">
        <v>3604</v>
      </c>
      <c r="I6643" s="1" t="s">
        <v>23156</v>
      </c>
      <c r="J6643" s="1" t="s">
        <v>3606</v>
      </c>
      <c r="K6643" s="1" t="s">
        <v>23157</v>
      </c>
      <c r="L6643" s="1"/>
      <c r="M6643" s="1"/>
    </row>
    <row x14ac:dyDescent="0.25" r="6644" customHeight="1" ht="18.75">
      <c r="A6644" s="1" t="s">
        <v>7833</v>
      </c>
      <c r="B6644" s="1" t="s">
        <v>8269</v>
      </c>
      <c r="C6644" s="1" t="s">
        <v>4488</v>
      </c>
      <c r="D6644" s="1" t="s">
        <v>3601</v>
      </c>
      <c r="E6644" s="1" t="s">
        <v>3981</v>
      </c>
      <c r="F6644" s="1" t="s">
        <v>23158</v>
      </c>
      <c r="G6644" s="1" t="s">
        <v>14824</v>
      </c>
      <c r="H6644" s="1" t="s">
        <v>3604</v>
      </c>
      <c r="I6644" s="1" t="s">
        <v>23159</v>
      </c>
      <c r="J6644" s="1" t="s">
        <v>3606</v>
      </c>
      <c r="K6644" s="1" t="s">
        <v>23160</v>
      </c>
      <c r="L6644" s="1"/>
      <c r="M6644" s="1"/>
    </row>
    <row x14ac:dyDescent="0.25" r="6645" customHeight="1" ht="18.75">
      <c r="A6645" s="1" t="s">
        <v>3617</v>
      </c>
      <c r="B6645" s="1" t="s">
        <v>3825</v>
      </c>
      <c r="C6645" s="1" t="s">
        <v>3619</v>
      </c>
      <c r="D6645" s="1" t="s">
        <v>3695</v>
      </c>
      <c r="E6645" s="1" t="s">
        <v>3752</v>
      </c>
      <c r="F6645" s="1" t="s">
        <v>23161</v>
      </c>
      <c r="G6645" s="1" t="s">
        <v>8394</v>
      </c>
      <c r="H6645" s="1" t="s">
        <v>3604</v>
      </c>
      <c r="I6645" s="1" t="s">
        <v>23162</v>
      </c>
      <c r="J6645" s="1" t="s">
        <v>3606</v>
      </c>
      <c r="K6645" s="1" t="s">
        <v>23163</v>
      </c>
      <c r="L6645" s="1"/>
      <c r="M6645" s="1"/>
    </row>
    <row x14ac:dyDescent="0.25" r="6646" customHeight="1" ht="18.75">
      <c r="A6646" s="1" t="s">
        <v>7833</v>
      </c>
      <c r="B6646" s="1" t="s">
        <v>8269</v>
      </c>
      <c r="C6646" s="1" t="s">
        <v>4488</v>
      </c>
      <c r="D6646" s="1" t="s">
        <v>3601</v>
      </c>
      <c r="E6646" s="1" t="s">
        <v>8096</v>
      </c>
      <c r="F6646" s="1" t="s">
        <v>23164</v>
      </c>
      <c r="G6646" s="1" t="s">
        <v>23165</v>
      </c>
      <c r="H6646" s="1" t="s">
        <v>3604</v>
      </c>
      <c r="I6646" s="1" t="s">
        <v>23166</v>
      </c>
      <c r="J6646" s="1" t="s">
        <v>3606</v>
      </c>
      <c r="K6646" s="1" t="s">
        <v>23167</v>
      </c>
      <c r="L6646" s="1"/>
      <c r="M6646" s="1"/>
    </row>
    <row x14ac:dyDescent="0.25" r="6647" customHeight="1" ht="18.75">
      <c r="A6647" s="1" t="s">
        <v>3617</v>
      </c>
      <c r="B6647" s="1" t="s">
        <v>3825</v>
      </c>
      <c r="C6647" s="1" t="s">
        <v>3619</v>
      </c>
      <c r="D6647" s="1" t="s">
        <v>3695</v>
      </c>
      <c r="E6647" s="1" t="s">
        <v>3664</v>
      </c>
      <c r="F6647" s="1" t="s">
        <v>23168</v>
      </c>
      <c r="G6647" s="1" t="s">
        <v>3827</v>
      </c>
      <c r="H6647" s="1" t="s">
        <v>3604</v>
      </c>
      <c r="I6647" s="1" t="s">
        <v>23169</v>
      </c>
      <c r="J6647" s="1" t="s">
        <v>3606</v>
      </c>
      <c r="K6647" s="1" t="s">
        <v>23170</v>
      </c>
      <c r="L6647" s="1"/>
      <c r="M6647" s="1"/>
    </row>
    <row x14ac:dyDescent="0.25" r="6648" customHeight="1" ht="18.75">
      <c r="A6648" s="1" t="s">
        <v>3617</v>
      </c>
      <c r="B6648" s="1" t="s">
        <v>3825</v>
      </c>
      <c r="C6648" s="1" t="s">
        <v>3619</v>
      </c>
      <c r="D6648" s="1" t="s">
        <v>3695</v>
      </c>
      <c r="E6648" s="1" t="s">
        <v>3664</v>
      </c>
      <c r="F6648" s="1" t="s">
        <v>23171</v>
      </c>
      <c r="G6648" s="1" t="s">
        <v>3827</v>
      </c>
      <c r="H6648" s="1" t="s">
        <v>3604</v>
      </c>
      <c r="I6648" s="1" t="s">
        <v>23172</v>
      </c>
      <c r="J6648" s="1" t="s">
        <v>3606</v>
      </c>
      <c r="K6648" s="1" t="s">
        <v>23173</v>
      </c>
      <c r="L6648" s="1"/>
      <c r="M6648" s="1"/>
    </row>
    <row x14ac:dyDescent="0.25" r="6649" customHeight="1" ht="18.75">
      <c r="A6649" s="1" t="s">
        <v>7833</v>
      </c>
      <c r="B6649" s="1" t="s">
        <v>8269</v>
      </c>
      <c r="C6649" s="1" t="s">
        <v>4488</v>
      </c>
      <c r="D6649" s="1" t="s">
        <v>3601</v>
      </c>
      <c r="E6649" s="1" t="s">
        <v>8096</v>
      </c>
      <c r="F6649" s="1" t="s">
        <v>23174</v>
      </c>
      <c r="G6649" s="1" t="s">
        <v>14824</v>
      </c>
      <c r="H6649" s="1" t="s">
        <v>3604</v>
      </c>
      <c r="I6649" s="1" t="s">
        <v>23175</v>
      </c>
      <c r="J6649" s="1" t="s">
        <v>3606</v>
      </c>
      <c r="K6649" s="1" t="s">
        <v>8710</v>
      </c>
      <c r="L6649" s="1"/>
      <c r="M6649" s="1"/>
    </row>
    <row x14ac:dyDescent="0.25" r="6650" customHeight="1" ht="18.75">
      <c r="A6650" s="1" t="s">
        <v>3617</v>
      </c>
      <c r="B6650" s="1" t="s">
        <v>3825</v>
      </c>
      <c r="C6650" s="1" t="s">
        <v>3619</v>
      </c>
      <c r="D6650" s="1" t="s">
        <v>3695</v>
      </c>
      <c r="E6650" s="1" t="s">
        <v>3664</v>
      </c>
      <c r="F6650" s="1" t="s">
        <v>23176</v>
      </c>
      <c r="G6650" s="1" t="s">
        <v>3827</v>
      </c>
      <c r="H6650" s="1" t="s">
        <v>3604</v>
      </c>
      <c r="I6650" s="1" t="s">
        <v>23177</v>
      </c>
      <c r="J6650" s="1" t="s">
        <v>3606</v>
      </c>
      <c r="K6650" s="1" t="s">
        <v>23178</v>
      </c>
      <c r="L6650" s="1"/>
      <c r="M6650" s="1"/>
    </row>
    <row x14ac:dyDescent="0.25" r="6651" customHeight="1" ht="18.75">
      <c r="A6651" s="1" t="s">
        <v>7833</v>
      </c>
      <c r="B6651" s="1" t="s">
        <v>8269</v>
      </c>
      <c r="C6651" s="1" t="s">
        <v>4488</v>
      </c>
      <c r="D6651" s="1" t="s">
        <v>3601</v>
      </c>
      <c r="E6651" s="1" t="s">
        <v>8096</v>
      </c>
      <c r="F6651" s="1" t="s">
        <v>23179</v>
      </c>
      <c r="G6651" s="1" t="s">
        <v>14824</v>
      </c>
      <c r="H6651" s="1" t="s">
        <v>3604</v>
      </c>
      <c r="I6651" s="1" t="s">
        <v>23180</v>
      </c>
      <c r="J6651" s="1" t="s">
        <v>3606</v>
      </c>
      <c r="K6651" s="1" t="s">
        <v>8746</v>
      </c>
      <c r="L6651" s="1"/>
      <c r="M6651" s="1"/>
    </row>
    <row x14ac:dyDescent="0.25" r="6652" customHeight="1" ht="18.75">
      <c r="A6652" s="1" t="s">
        <v>3617</v>
      </c>
      <c r="B6652" s="1" t="s">
        <v>3825</v>
      </c>
      <c r="C6652" s="1" t="s">
        <v>3619</v>
      </c>
      <c r="D6652" s="1" t="s">
        <v>7891</v>
      </c>
      <c r="E6652" s="1" t="s">
        <v>3664</v>
      </c>
      <c r="F6652" s="1" t="s">
        <v>23181</v>
      </c>
      <c r="G6652" s="1" t="s">
        <v>17872</v>
      </c>
      <c r="H6652" s="1" t="s">
        <v>3604</v>
      </c>
      <c r="I6652" s="1" t="s">
        <v>23182</v>
      </c>
      <c r="J6652" s="1" t="s">
        <v>3606</v>
      </c>
      <c r="K6652" s="1" t="s">
        <v>23183</v>
      </c>
      <c r="L6652" s="1"/>
      <c r="M6652" s="1"/>
    </row>
    <row x14ac:dyDescent="0.25" r="6653" customHeight="1" ht="18.75">
      <c r="A6653" s="1" t="s">
        <v>3617</v>
      </c>
      <c r="B6653" s="1" t="s">
        <v>3825</v>
      </c>
      <c r="C6653" s="1" t="s">
        <v>3619</v>
      </c>
      <c r="D6653" s="1" t="s">
        <v>7891</v>
      </c>
      <c r="E6653" s="1" t="s">
        <v>3664</v>
      </c>
      <c r="F6653" s="1" t="s">
        <v>23184</v>
      </c>
      <c r="G6653" s="1" t="s">
        <v>22877</v>
      </c>
      <c r="H6653" s="1" t="s">
        <v>3604</v>
      </c>
      <c r="I6653" s="1" t="s">
        <v>23185</v>
      </c>
      <c r="J6653" s="1" t="s">
        <v>3606</v>
      </c>
      <c r="K6653" s="1" t="s">
        <v>23186</v>
      </c>
      <c r="L6653" s="1"/>
      <c r="M6653" s="1"/>
    </row>
    <row x14ac:dyDescent="0.25" r="6654" customHeight="1" ht="18.75">
      <c r="A6654" s="1" t="s">
        <v>3617</v>
      </c>
      <c r="B6654" s="1" t="s">
        <v>3825</v>
      </c>
      <c r="C6654" s="1" t="s">
        <v>3619</v>
      </c>
      <c r="D6654" s="1" t="s">
        <v>7891</v>
      </c>
      <c r="E6654" s="1" t="s">
        <v>3664</v>
      </c>
      <c r="F6654" s="1" t="s">
        <v>23187</v>
      </c>
      <c r="G6654" s="1" t="s">
        <v>22877</v>
      </c>
      <c r="H6654" s="1" t="s">
        <v>3604</v>
      </c>
      <c r="I6654" s="1" t="s">
        <v>23188</v>
      </c>
      <c r="J6654" s="1" t="s">
        <v>3606</v>
      </c>
      <c r="K6654" s="1" t="s">
        <v>23189</v>
      </c>
      <c r="L6654" s="1"/>
      <c r="M6654" s="1"/>
    </row>
    <row x14ac:dyDescent="0.25" r="6655" customHeight="1" ht="18.75">
      <c r="A6655" s="1" t="s">
        <v>7833</v>
      </c>
      <c r="B6655" s="1" t="s">
        <v>8269</v>
      </c>
      <c r="C6655" s="1" t="s">
        <v>4488</v>
      </c>
      <c r="D6655" s="1" t="s">
        <v>3601</v>
      </c>
      <c r="E6655" s="1" t="s">
        <v>8096</v>
      </c>
      <c r="F6655" s="1" t="s">
        <v>23190</v>
      </c>
      <c r="G6655" s="1" t="s">
        <v>14824</v>
      </c>
      <c r="H6655" s="1" t="s">
        <v>3604</v>
      </c>
      <c r="I6655" s="1" t="s">
        <v>23191</v>
      </c>
      <c r="J6655" s="1" t="s">
        <v>3606</v>
      </c>
      <c r="K6655" s="1" t="s">
        <v>20771</v>
      </c>
      <c r="L6655" s="1"/>
      <c r="M6655" s="1"/>
    </row>
    <row x14ac:dyDescent="0.25" r="6656" customHeight="1" ht="18.75">
      <c r="A6656" s="1" t="s">
        <v>3617</v>
      </c>
      <c r="B6656" s="1" t="s">
        <v>3825</v>
      </c>
      <c r="C6656" s="1" t="s">
        <v>3619</v>
      </c>
      <c r="D6656" s="1" t="s">
        <v>7891</v>
      </c>
      <c r="E6656" s="1" t="s">
        <v>3664</v>
      </c>
      <c r="F6656" s="1" t="s">
        <v>23192</v>
      </c>
      <c r="G6656" s="1" t="s">
        <v>22877</v>
      </c>
      <c r="H6656" s="1" t="s">
        <v>3604</v>
      </c>
      <c r="I6656" s="1" t="s">
        <v>23193</v>
      </c>
      <c r="J6656" s="1" t="s">
        <v>3606</v>
      </c>
      <c r="K6656" s="1" t="s">
        <v>23194</v>
      </c>
      <c r="L6656" s="1"/>
      <c r="M6656" s="1"/>
    </row>
    <row x14ac:dyDescent="0.25" r="6657" customHeight="1" ht="18.75">
      <c r="A6657" s="1" t="s">
        <v>7833</v>
      </c>
      <c r="B6657" s="1" t="s">
        <v>7856</v>
      </c>
      <c r="C6657" s="1" t="s">
        <v>4488</v>
      </c>
      <c r="D6657" s="1" t="s">
        <v>3601</v>
      </c>
      <c r="E6657" s="1" t="s">
        <v>3611</v>
      </c>
      <c r="F6657" s="1" t="s">
        <v>23195</v>
      </c>
      <c r="G6657" s="1" t="s">
        <v>17940</v>
      </c>
      <c r="H6657" s="1" t="s">
        <v>3604</v>
      </c>
      <c r="I6657" s="1" t="s">
        <v>23196</v>
      </c>
      <c r="J6657" s="1" t="s">
        <v>3606</v>
      </c>
      <c r="K6657" s="1" t="s">
        <v>23197</v>
      </c>
      <c r="L6657" s="1"/>
      <c r="M6657" s="1"/>
    </row>
    <row x14ac:dyDescent="0.25" r="6658" customHeight="1" ht="18.75">
      <c r="A6658" s="1" t="s">
        <v>7833</v>
      </c>
      <c r="B6658" s="1" t="s">
        <v>7856</v>
      </c>
      <c r="C6658" s="1" t="s">
        <v>4488</v>
      </c>
      <c r="D6658" s="1" t="s">
        <v>3601</v>
      </c>
      <c r="E6658" s="1" t="s">
        <v>3611</v>
      </c>
      <c r="F6658" s="1" t="s">
        <v>23198</v>
      </c>
      <c r="G6658" s="1" t="s">
        <v>17943</v>
      </c>
      <c r="H6658" s="1" t="s">
        <v>3604</v>
      </c>
      <c r="I6658" s="1" t="s">
        <v>23199</v>
      </c>
      <c r="J6658" s="1" t="s">
        <v>3606</v>
      </c>
      <c r="K6658" s="1" t="s">
        <v>23200</v>
      </c>
      <c r="L6658" s="1"/>
      <c r="M6658" s="1"/>
    </row>
    <row x14ac:dyDescent="0.25" r="6659" customHeight="1" ht="18.75">
      <c r="A6659" s="1" t="s">
        <v>7833</v>
      </c>
      <c r="B6659" s="1" t="s">
        <v>9824</v>
      </c>
      <c r="C6659" s="1" t="s">
        <v>4488</v>
      </c>
      <c r="D6659" s="1" t="s">
        <v>533</v>
      </c>
      <c r="E6659" s="1" t="s">
        <v>3664</v>
      </c>
      <c r="F6659" s="1" t="s">
        <v>23201</v>
      </c>
      <c r="G6659" s="1" t="s">
        <v>14305</v>
      </c>
      <c r="H6659" s="1" t="s">
        <v>3604</v>
      </c>
      <c r="I6659" s="1" t="s">
        <v>23202</v>
      </c>
      <c r="J6659" s="1" t="s">
        <v>3606</v>
      </c>
      <c r="K6659" s="1" t="s">
        <v>7884</v>
      </c>
      <c r="L6659" s="1"/>
      <c r="M6659" s="1"/>
    </row>
    <row x14ac:dyDescent="0.25" r="6660" customHeight="1" ht="18.75">
      <c r="A6660" s="1" t="s">
        <v>7833</v>
      </c>
      <c r="B6660" s="1" t="s">
        <v>9824</v>
      </c>
      <c r="C6660" s="1" t="s">
        <v>4488</v>
      </c>
      <c r="D6660" s="1" t="s">
        <v>3610</v>
      </c>
      <c r="E6660" s="1" t="s">
        <v>8096</v>
      </c>
      <c r="F6660" s="1" t="s">
        <v>23203</v>
      </c>
      <c r="G6660" s="1" t="s">
        <v>14298</v>
      </c>
      <c r="H6660" s="1" t="s">
        <v>3604</v>
      </c>
      <c r="I6660" s="1" t="s">
        <v>23204</v>
      </c>
      <c r="J6660" s="1" t="s">
        <v>3606</v>
      </c>
      <c r="K6660" s="1" t="s">
        <v>23205</v>
      </c>
      <c r="L6660" s="1"/>
      <c r="M6660" s="1"/>
    </row>
    <row x14ac:dyDescent="0.25" r="6661" customHeight="1" ht="18.75">
      <c r="A6661" s="1" t="s">
        <v>7833</v>
      </c>
      <c r="B6661" s="1" t="s">
        <v>7856</v>
      </c>
      <c r="C6661" s="1" t="s">
        <v>4488</v>
      </c>
      <c r="D6661" s="1" t="s">
        <v>3601</v>
      </c>
      <c r="E6661" s="1" t="s">
        <v>3611</v>
      </c>
      <c r="F6661" s="1" t="s">
        <v>23206</v>
      </c>
      <c r="G6661" s="1" t="s">
        <v>17947</v>
      </c>
      <c r="H6661" s="1" t="s">
        <v>3604</v>
      </c>
      <c r="I6661" s="1" t="s">
        <v>23207</v>
      </c>
      <c r="J6661" s="1" t="s">
        <v>3606</v>
      </c>
      <c r="K6661" s="1" t="s">
        <v>23208</v>
      </c>
      <c r="L6661" s="1"/>
      <c r="M6661" s="1"/>
    </row>
    <row x14ac:dyDescent="0.25" r="6662" customHeight="1" ht="18.75">
      <c r="A6662" s="1" t="s">
        <v>7833</v>
      </c>
      <c r="B6662" s="1" t="s">
        <v>9824</v>
      </c>
      <c r="C6662" s="1" t="s">
        <v>4488</v>
      </c>
      <c r="D6662" s="1" t="s">
        <v>3610</v>
      </c>
      <c r="E6662" s="1" t="s">
        <v>8096</v>
      </c>
      <c r="F6662" s="1" t="s">
        <v>23209</v>
      </c>
      <c r="G6662" s="1" t="s">
        <v>14298</v>
      </c>
      <c r="H6662" s="1" t="s">
        <v>3604</v>
      </c>
      <c r="I6662" s="1" t="s">
        <v>23210</v>
      </c>
      <c r="J6662" s="1" t="s">
        <v>3606</v>
      </c>
      <c r="K6662" s="1" t="s">
        <v>23211</v>
      </c>
      <c r="L6662" s="1"/>
      <c r="M6662" s="1"/>
    </row>
    <row x14ac:dyDescent="0.25" r="6663" customHeight="1" ht="18.75">
      <c r="A6663" s="1" t="s">
        <v>3617</v>
      </c>
      <c r="B6663" s="1" t="s">
        <v>5222</v>
      </c>
      <c r="C6663" s="1" t="s">
        <v>3619</v>
      </c>
      <c r="D6663" s="1" t="s">
        <v>3601</v>
      </c>
      <c r="E6663" s="1" t="s">
        <v>3730</v>
      </c>
      <c r="F6663" s="1" t="s">
        <v>23212</v>
      </c>
      <c r="G6663" s="1" t="s">
        <v>6195</v>
      </c>
      <c r="H6663" s="1" t="s">
        <v>3604</v>
      </c>
      <c r="I6663" s="1" t="s">
        <v>23213</v>
      </c>
      <c r="J6663" s="1" t="s">
        <v>3606</v>
      </c>
      <c r="K6663" s="1" t="s">
        <v>23214</v>
      </c>
      <c r="L6663" s="1"/>
      <c r="M6663" s="1"/>
    </row>
    <row x14ac:dyDescent="0.25" r="6664" customHeight="1" ht="18.75">
      <c r="A6664" s="1" t="s">
        <v>3693</v>
      </c>
      <c r="B6664" s="1" t="s">
        <v>4192</v>
      </c>
      <c r="C6664" s="1" t="s">
        <v>3600</v>
      </c>
      <c r="D6664" s="1" t="s">
        <v>3610</v>
      </c>
      <c r="E6664" s="1" t="s">
        <v>3893</v>
      </c>
      <c r="F6664" s="1" t="s">
        <v>23215</v>
      </c>
      <c r="G6664" s="1" t="s">
        <v>4342</v>
      </c>
      <c r="H6664" s="1" t="s">
        <v>3604</v>
      </c>
      <c r="I6664" s="1" t="s">
        <v>23216</v>
      </c>
      <c r="J6664" s="1" t="s">
        <v>3615</v>
      </c>
      <c r="K6664" s="1" t="s">
        <v>23217</v>
      </c>
      <c r="L6664" s="1"/>
      <c r="M6664" s="1"/>
    </row>
    <row x14ac:dyDescent="0.25" r="6665" customHeight="1" ht="18.75">
      <c r="A6665" s="1" t="s">
        <v>7833</v>
      </c>
      <c r="B6665" s="1" t="s">
        <v>9824</v>
      </c>
      <c r="C6665" s="1" t="s">
        <v>4488</v>
      </c>
      <c r="D6665" s="1" t="s">
        <v>8373</v>
      </c>
      <c r="E6665" s="1" t="s">
        <v>3664</v>
      </c>
      <c r="F6665" s="1" t="s">
        <v>23218</v>
      </c>
      <c r="G6665" s="1" t="s">
        <v>14380</v>
      </c>
      <c r="H6665" s="1" t="s">
        <v>3604</v>
      </c>
      <c r="I6665" s="1" t="s">
        <v>23219</v>
      </c>
      <c r="J6665" s="1" t="s">
        <v>3606</v>
      </c>
      <c r="K6665" s="1" t="s">
        <v>23220</v>
      </c>
      <c r="L6665" s="1"/>
      <c r="M6665" s="1"/>
    </row>
    <row x14ac:dyDescent="0.25" r="6666" customHeight="1" ht="18.75">
      <c r="A6666" s="1" t="s">
        <v>3693</v>
      </c>
      <c r="B6666" s="1" t="s">
        <v>4192</v>
      </c>
      <c r="C6666" s="1" t="s">
        <v>3600</v>
      </c>
      <c r="D6666" s="1" t="s">
        <v>3601</v>
      </c>
      <c r="E6666" s="1" t="s">
        <v>3893</v>
      </c>
      <c r="F6666" s="1" t="s">
        <v>23221</v>
      </c>
      <c r="G6666" s="1" t="s">
        <v>5641</v>
      </c>
      <c r="H6666" s="1" t="s">
        <v>3604</v>
      </c>
      <c r="I6666" s="1" t="s">
        <v>23222</v>
      </c>
      <c r="J6666" s="1" t="s">
        <v>3615</v>
      </c>
      <c r="K6666" s="1" t="s">
        <v>23223</v>
      </c>
      <c r="L6666" s="1"/>
      <c r="M6666" s="1"/>
    </row>
    <row x14ac:dyDescent="0.25" r="6667" customHeight="1" ht="18.75">
      <c r="A6667" s="1" t="s">
        <v>7833</v>
      </c>
      <c r="B6667" s="1" t="s">
        <v>8269</v>
      </c>
      <c r="C6667" s="1" t="s">
        <v>4488</v>
      </c>
      <c r="D6667" s="1" t="s">
        <v>533</v>
      </c>
      <c r="E6667" s="1" t="s">
        <v>8096</v>
      </c>
      <c r="F6667" s="1" t="s">
        <v>23224</v>
      </c>
      <c r="G6667" s="1" t="s">
        <v>21597</v>
      </c>
      <c r="H6667" s="1" t="s">
        <v>3604</v>
      </c>
      <c r="I6667" s="1" t="s">
        <v>23225</v>
      </c>
      <c r="J6667" s="1" t="s">
        <v>3606</v>
      </c>
      <c r="K6667" s="1" t="s">
        <v>14177</v>
      </c>
      <c r="L6667" s="1"/>
      <c r="M6667" s="1"/>
    </row>
    <row x14ac:dyDescent="0.25" r="6668" customHeight="1" ht="18.75">
      <c r="A6668" s="1" t="s">
        <v>7833</v>
      </c>
      <c r="B6668" s="1" t="s">
        <v>8269</v>
      </c>
      <c r="C6668" s="1" t="s">
        <v>4488</v>
      </c>
      <c r="D6668" s="1" t="s">
        <v>533</v>
      </c>
      <c r="E6668" s="1" t="s">
        <v>8096</v>
      </c>
      <c r="F6668" s="1" t="s">
        <v>23226</v>
      </c>
      <c r="G6668" s="1" t="s">
        <v>13777</v>
      </c>
      <c r="H6668" s="1" t="s">
        <v>3604</v>
      </c>
      <c r="I6668" s="1" t="s">
        <v>23227</v>
      </c>
      <c r="J6668" s="1" t="s">
        <v>3606</v>
      </c>
      <c r="K6668" s="1" t="s">
        <v>14238</v>
      </c>
      <c r="L6668" s="1"/>
      <c r="M6668" s="1"/>
    </row>
    <row x14ac:dyDescent="0.25" r="6669" customHeight="1" ht="18.75">
      <c r="A6669" s="1" t="s">
        <v>3693</v>
      </c>
      <c r="B6669" s="1" t="s">
        <v>4332</v>
      </c>
      <c r="C6669" s="1" t="s">
        <v>3600</v>
      </c>
      <c r="D6669" s="1" t="s">
        <v>3601</v>
      </c>
      <c r="E6669" s="1" t="s">
        <v>3893</v>
      </c>
      <c r="F6669" s="1" t="s">
        <v>23228</v>
      </c>
      <c r="G6669" s="1" t="s">
        <v>6678</v>
      </c>
      <c r="H6669" s="1" t="s">
        <v>3604</v>
      </c>
      <c r="I6669" s="1" t="s">
        <v>23229</v>
      </c>
      <c r="J6669" s="1" t="s">
        <v>3615</v>
      </c>
      <c r="K6669" s="1" t="s">
        <v>23230</v>
      </c>
      <c r="L6669" s="1"/>
      <c r="M6669" s="1"/>
    </row>
    <row x14ac:dyDescent="0.25" r="6670" customHeight="1" ht="18.75">
      <c r="A6670" s="1" t="s">
        <v>7833</v>
      </c>
      <c r="B6670" s="1" t="s">
        <v>8269</v>
      </c>
      <c r="C6670" s="1" t="s">
        <v>4488</v>
      </c>
      <c r="D6670" s="1" t="s">
        <v>3610</v>
      </c>
      <c r="E6670" s="1" t="s">
        <v>8096</v>
      </c>
      <c r="F6670" s="1" t="s">
        <v>23231</v>
      </c>
      <c r="G6670" s="1" t="s">
        <v>21597</v>
      </c>
      <c r="H6670" s="1" t="s">
        <v>3604</v>
      </c>
      <c r="I6670" s="1" t="s">
        <v>23232</v>
      </c>
      <c r="J6670" s="1" t="s">
        <v>3606</v>
      </c>
      <c r="K6670" s="1" t="s">
        <v>14180</v>
      </c>
      <c r="L6670" s="1"/>
      <c r="M6670" s="1"/>
    </row>
    <row x14ac:dyDescent="0.25" r="6671" customHeight="1" ht="18.75">
      <c r="A6671" s="1" t="s">
        <v>3693</v>
      </c>
      <c r="B6671" s="1" t="s">
        <v>4192</v>
      </c>
      <c r="C6671" s="1" t="s">
        <v>3600</v>
      </c>
      <c r="D6671" s="1" t="s">
        <v>3601</v>
      </c>
      <c r="E6671" s="1" t="s">
        <v>3893</v>
      </c>
      <c r="F6671" s="1" t="s">
        <v>23233</v>
      </c>
      <c r="G6671" s="1" t="s">
        <v>5641</v>
      </c>
      <c r="H6671" s="1" t="s">
        <v>3604</v>
      </c>
      <c r="I6671" s="1" t="s">
        <v>23234</v>
      </c>
      <c r="J6671" s="1" t="s">
        <v>3615</v>
      </c>
      <c r="K6671" s="1" t="s">
        <v>23235</v>
      </c>
      <c r="L6671" s="1"/>
      <c r="M6671" s="1"/>
    </row>
    <row x14ac:dyDescent="0.25" r="6672" customHeight="1" ht="18.75">
      <c r="A6672" s="1" t="s">
        <v>3693</v>
      </c>
      <c r="B6672" s="1" t="s">
        <v>4192</v>
      </c>
      <c r="C6672" s="1" t="s">
        <v>3600</v>
      </c>
      <c r="D6672" s="1" t="s">
        <v>3610</v>
      </c>
      <c r="E6672" s="1" t="s">
        <v>3893</v>
      </c>
      <c r="F6672" s="1" t="s">
        <v>23236</v>
      </c>
      <c r="G6672" s="1" t="s">
        <v>5641</v>
      </c>
      <c r="H6672" s="1" t="s">
        <v>3604</v>
      </c>
      <c r="I6672" s="1" t="s">
        <v>23237</v>
      </c>
      <c r="J6672" s="1" t="s">
        <v>3615</v>
      </c>
      <c r="K6672" s="1" t="s">
        <v>23238</v>
      </c>
      <c r="L6672" s="1"/>
      <c r="M6672" s="1"/>
    </row>
    <row x14ac:dyDescent="0.25" r="6673" customHeight="1" ht="18.75">
      <c r="A6673" s="1" t="s">
        <v>3693</v>
      </c>
      <c r="B6673" s="1" t="s">
        <v>4192</v>
      </c>
      <c r="C6673" s="1" t="s">
        <v>3600</v>
      </c>
      <c r="D6673" s="1" t="s">
        <v>3610</v>
      </c>
      <c r="E6673" s="1" t="s">
        <v>3893</v>
      </c>
      <c r="F6673" s="1" t="s">
        <v>23239</v>
      </c>
      <c r="G6673" s="1" t="s">
        <v>5641</v>
      </c>
      <c r="H6673" s="1" t="s">
        <v>3604</v>
      </c>
      <c r="I6673" s="1" t="s">
        <v>23240</v>
      </c>
      <c r="J6673" s="1" t="s">
        <v>3606</v>
      </c>
      <c r="K6673" s="1" t="s">
        <v>23241</v>
      </c>
      <c r="L6673" s="1"/>
      <c r="M6673" s="1"/>
    </row>
    <row x14ac:dyDescent="0.25" r="6674" customHeight="1" ht="18.75">
      <c r="A6674" s="1" t="s">
        <v>7833</v>
      </c>
      <c r="B6674" s="1" t="s">
        <v>8269</v>
      </c>
      <c r="C6674" s="1" t="s">
        <v>4488</v>
      </c>
      <c r="D6674" s="1" t="s">
        <v>3610</v>
      </c>
      <c r="E6674" s="1" t="s">
        <v>8096</v>
      </c>
      <c r="F6674" s="1" t="s">
        <v>23242</v>
      </c>
      <c r="G6674" s="1" t="s">
        <v>21597</v>
      </c>
      <c r="H6674" s="1" t="s">
        <v>3604</v>
      </c>
      <c r="I6674" s="1" t="s">
        <v>23243</v>
      </c>
      <c r="J6674" s="1" t="s">
        <v>3606</v>
      </c>
      <c r="K6674" s="1" t="s">
        <v>14183</v>
      </c>
      <c r="L6674" s="1"/>
      <c r="M6674" s="1"/>
    </row>
    <row x14ac:dyDescent="0.25" r="6675" customHeight="1" ht="18.75">
      <c r="A6675" s="1" t="s">
        <v>7833</v>
      </c>
      <c r="B6675" s="1" t="s">
        <v>8269</v>
      </c>
      <c r="C6675" s="1" t="s">
        <v>4488</v>
      </c>
      <c r="D6675" s="1" t="s">
        <v>3610</v>
      </c>
      <c r="E6675" s="1" t="s">
        <v>8096</v>
      </c>
      <c r="F6675" s="1" t="s">
        <v>23244</v>
      </c>
      <c r="G6675" s="1" t="s">
        <v>21597</v>
      </c>
      <c r="H6675" s="1" t="s">
        <v>3604</v>
      </c>
      <c r="I6675" s="1" t="s">
        <v>23245</v>
      </c>
      <c r="J6675" s="1" t="s">
        <v>3606</v>
      </c>
      <c r="K6675" s="1" t="s">
        <v>23246</v>
      </c>
      <c r="L6675" s="1"/>
      <c r="M6675" s="1"/>
    </row>
    <row x14ac:dyDescent="0.25" r="6676" customHeight="1" ht="18.75">
      <c r="A6676" s="1" t="s">
        <v>7833</v>
      </c>
      <c r="B6676" s="1" t="s">
        <v>8269</v>
      </c>
      <c r="C6676" s="1" t="s">
        <v>4488</v>
      </c>
      <c r="D6676" s="1" t="s">
        <v>3610</v>
      </c>
      <c r="E6676" s="1" t="s">
        <v>8096</v>
      </c>
      <c r="F6676" s="1" t="s">
        <v>23247</v>
      </c>
      <c r="G6676" s="1" t="s">
        <v>21518</v>
      </c>
      <c r="H6676" s="1" t="s">
        <v>3604</v>
      </c>
      <c r="I6676" s="1" t="s">
        <v>23248</v>
      </c>
      <c r="J6676" s="1" t="s">
        <v>3606</v>
      </c>
      <c r="K6676" s="1" t="s">
        <v>14293</v>
      </c>
      <c r="L6676" s="1"/>
      <c r="M6676" s="1"/>
    </row>
    <row x14ac:dyDescent="0.25" r="6677" customHeight="1" ht="18.75">
      <c r="A6677" s="1" t="s">
        <v>7833</v>
      </c>
      <c r="B6677" s="1" t="s">
        <v>8269</v>
      </c>
      <c r="C6677" s="1" t="s">
        <v>4488</v>
      </c>
      <c r="D6677" s="1" t="s">
        <v>3610</v>
      </c>
      <c r="E6677" s="1" t="s">
        <v>3664</v>
      </c>
      <c r="F6677" s="1" t="s">
        <v>23249</v>
      </c>
      <c r="G6677" s="1" t="s">
        <v>13777</v>
      </c>
      <c r="H6677" s="1" t="s">
        <v>3604</v>
      </c>
      <c r="I6677" s="1" t="s">
        <v>23250</v>
      </c>
      <c r="J6677" s="1" t="s">
        <v>3606</v>
      </c>
      <c r="K6677" s="1" t="s">
        <v>23251</v>
      </c>
      <c r="L6677" s="1"/>
      <c r="M6677" s="1"/>
    </row>
    <row x14ac:dyDescent="0.25" r="6678" customHeight="1" ht="18.75">
      <c r="A6678" s="1" t="s">
        <v>3693</v>
      </c>
      <c r="B6678" s="1" t="s">
        <v>4267</v>
      </c>
      <c r="C6678" s="1" t="s">
        <v>3600</v>
      </c>
      <c r="D6678" s="1" t="s">
        <v>3695</v>
      </c>
      <c r="E6678" s="1" t="s">
        <v>3664</v>
      </c>
      <c r="F6678" s="1" t="s">
        <v>23252</v>
      </c>
      <c r="G6678" s="1" t="s">
        <v>23253</v>
      </c>
      <c r="H6678" s="1" t="s">
        <v>3604</v>
      </c>
      <c r="I6678" s="1" t="s">
        <v>23254</v>
      </c>
      <c r="J6678" s="1" t="s">
        <v>3615</v>
      </c>
      <c r="K6678" s="1" t="s">
        <v>23253</v>
      </c>
      <c r="L6678" s="1"/>
      <c r="M6678" s="1"/>
    </row>
    <row x14ac:dyDescent="0.25" r="6679" customHeight="1" ht="18.75">
      <c r="A6679" s="1" t="s">
        <v>3693</v>
      </c>
      <c r="B6679" s="1" t="s">
        <v>4267</v>
      </c>
      <c r="C6679" s="1" t="s">
        <v>3600</v>
      </c>
      <c r="D6679" s="1" t="s">
        <v>3695</v>
      </c>
      <c r="E6679" s="1" t="s">
        <v>3664</v>
      </c>
      <c r="F6679" s="1" t="s">
        <v>23255</v>
      </c>
      <c r="G6679" s="1" t="s">
        <v>23256</v>
      </c>
      <c r="H6679" s="1" t="s">
        <v>3604</v>
      </c>
      <c r="I6679" s="1" t="s">
        <v>23257</v>
      </c>
      <c r="J6679" s="1" t="s">
        <v>3615</v>
      </c>
      <c r="K6679" s="1" t="s">
        <v>23256</v>
      </c>
      <c r="L6679" s="1"/>
      <c r="M6679" s="1"/>
    </row>
    <row x14ac:dyDescent="0.25" r="6680" customHeight="1" ht="18.75">
      <c r="A6680" s="1" t="s">
        <v>3693</v>
      </c>
      <c r="B6680" s="1" t="s">
        <v>4267</v>
      </c>
      <c r="C6680" s="1" t="s">
        <v>3600</v>
      </c>
      <c r="D6680" s="1" t="s">
        <v>3695</v>
      </c>
      <c r="E6680" s="1" t="s">
        <v>3664</v>
      </c>
      <c r="F6680" s="1" t="s">
        <v>23258</v>
      </c>
      <c r="G6680" s="1" t="s">
        <v>23259</v>
      </c>
      <c r="H6680" s="1" t="s">
        <v>3604</v>
      </c>
      <c r="I6680" s="1" t="s">
        <v>23260</v>
      </c>
      <c r="J6680" s="1" t="s">
        <v>3615</v>
      </c>
      <c r="K6680" s="1" t="s">
        <v>23259</v>
      </c>
      <c r="L6680" s="1"/>
      <c r="M6680" s="1"/>
    </row>
    <row x14ac:dyDescent="0.25" r="6681" customHeight="1" ht="18.75">
      <c r="A6681" s="1" t="s">
        <v>3617</v>
      </c>
      <c r="B6681" s="1" t="s">
        <v>4589</v>
      </c>
      <c r="C6681" s="1" t="s">
        <v>3619</v>
      </c>
      <c r="D6681" s="1" t="s">
        <v>3601</v>
      </c>
      <c r="E6681" s="1" t="s">
        <v>3730</v>
      </c>
      <c r="F6681" s="1" t="s">
        <v>11599</v>
      </c>
      <c r="G6681" s="1" t="s">
        <v>11600</v>
      </c>
      <c r="H6681" s="1" t="s">
        <v>3604</v>
      </c>
      <c r="I6681" s="1" t="s">
        <v>23261</v>
      </c>
      <c r="J6681" s="1" t="s">
        <v>3606</v>
      </c>
      <c r="K6681" s="1" t="s">
        <v>23262</v>
      </c>
      <c r="L6681" s="1"/>
      <c r="M6681" s="1"/>
    </row>
    <row x14ac:dyDescent="0.25" r="6682" customHeight="1" ht="18.75">
      <c r="A6682" s="1" t="s">
        <v>3617</v>
      </c>
      <c r="B6682" s="1" t="s">
        <v>4589</v>
      </c>
      <c r="C6682" s="1" t="s">
        <v>3619</v>
      </c>
      <c r="D6682" s="1" t="s">
        <v>3601</v>
      </c>
      <c r="E6682" s="1" t="s">
        <v>3730</v>
      </c>
      <c r="F6682" s="1" t="s">
        <v>11603</v>
      </c>
      <c r="G6682" s="1" t="s">
        <v>11099</v>
      </c>
      <c r="H6682" s="1" t="s">
        <v>3604</v>
      </c>
      <c r="I6682" s="1" t="s">
        <v>23263</v>
      </c>
      <c r="J6682" s="1" t="s">
        <v>3606</v>
      </c>
      <c r="K6682" s="1" t="s">
        <v>11605</v>
      </c>
      <c r="L6682" s="1"/>
      <c r="M6682" s="1"/>
    </row>
    <row x14ac:dyDescent="0.25" r="6683" customHeight="1" ht="18.75">
      <c r="A6683" s="1" t="s">
        <v>3693</v>
      </c>
      <c r="B6683" s="1" t="s">
        <v>4267</v>
      </c>
      <c r="C6683" s="1" t="s">
        <v>3600</v>
      </c>
      <c r="D6683" s="1" t="s">
        <v>3695</v>
      </c>
      <c r="E6683" s="1" t="s">
        <v>3893</v>
      </c>
      <c r="F6683" s="1" t="s">
        <v>23264</v>
      </c>
      <c r="G6683" s="1" t="s">
        <v>10164</v>
      </c>
      <c r="H6683" s="1" t="s">
        <v>3604</v>
      </c>
      <c r="I6683" s="1" t="s">
        <v>23265</v>
      </c>
      <c r="J6683" s="1" t="s">
        <v>3606</v>
      </c>
      <c r="K6683" s="1" t="s">
        <v>23266</v>
      </c>
      <c r="L6683" s="1"/>
      <c r="M6683" s="1"/>
    </row>
    <row x14ac:dyDescent="0.25" r="6684" customHeight="1" ht="18.75">
      <c r="A6684" s="1" t="s">
        <v>3693</v>
      </c>
      <c r="B6684" s="1" t="s">
        <v>4267</v>
      </c>
      <c r="C6684" s="1" t="s">
        <v>3600</v>
      </c>
      <c r="D6684" s="1" t="s">
        <v>3695</v>
      </c>
      <c r="E6684" s="1" t="s">
        <v>3893</v>
      </c>
      <c r="F6684" s="1" t="s">
        <v>23267</v>
      </c>
      <c r="G6684" s="1" t="s">
        <v>10164</v>
      </c>
      <c r="H6684" s="1" t="s">
        <v>3604</v>
      </c>
      <c r="I6684" s="1" t="s">
        <v>23268</v>
      </c>
      <c r="J6684" s="1" t="s">
        <v>3606</v>
      </c>
      <c r="K6684" s="1" t="s">
        <v>23269</v>
      </c>
      <c r="L6684" s="1"/>
      <c r="M6684" s="1"/>
    </row>
    <row x14ac:dyDescent="0.25" r="6685" customHeight="1" ht="18.75">
      <c r="A6685" s="1" t="s">
        <v>3693</v>
      </c>
      <c r="B6685" s="1" t="s">
        <v>4267</v>
      </c>
      <c r="C6685" s="1" t="s">
        <v>3600</v>
      </c>
      <c r="D6685" s="1" t="s">
        <v>3695</v>
      </c>
      <c r="E6685" s="1" t="s">
        <v>3893</v>
      </c>
      <c r="F6685" s="1" t="s">
        <v>23270</v>
      </c>
      <c r="G6685" s="1" t="s">
        <v>10164</v>
      </c>
      <c r="H6685" s="1" t="s">
        <v>3604</v>
      </c>
      <c r="I6685" s="1" t="s">
        <v>23271</v>
      </c>
      <c r="J6685" s="1" t="s">
        <v>3606</v>
      </c>
      <c r="K6685" s="1" t="s">
        <v>23272</v>
      </c>
      <c r="L6685" s="1"/>
      <c r="M6685" s="1"/>
    </row>
    <row x14ac:dyDescent="0.25" r="6686" customHeight="1" ht="18.75">
      <c r="A6686" s="1" t="s">
        <v>3598</v>
      </c>
      <c r="B6686" s="1" t="s">
        <v>5239</v>
      </c>
      <c r="C6686" s="1" t="s">
        <v>3600</v>
      </c>
      <c r="D6686" s="1" t="s">
        <v>3601</v>
      </c>
      <c r="E6686" s="1" t="s">
        <v>3664</v>
      </c>
      <c r="F6686" s="1" t="s">
        <v>23273</v>
      </c>
      <c r="G6686" s="1" t="s">
        <v>13827</v>
      </c>
      <c r="H6686" s="1" t="s">
        <v>3604</v>
      </c>
      <c r="I6686" s="1" t="s">
        <v>23274</v>
      </c>
      <c r="J6686" s="1" t="s">
        <v>3606</v>
      </c>
      <c r="K6686" s="1" t="s">
        <v>23275</v>
      </c>
      <c r="L6686" s="1"/>
      <c r="M6686" s="1"/>
    </row>
    <row x14ac:dyDescent="0.25" r="6687" customHeight="1" ht="18.75">
      <c r="A6687" s="1" t="s">
        <v>3693</v>
      </c>
      <c r="B6687" s="1" t="s">
        <v>4144</v>
      </c>
      <c r="C6687" s="1" t="s">
        <v>3619</v>
      </c>
      <c r="D6687" s="1" t="s">
        <v>3695</v>
      </c>
      <c r="E6687" s="1" t="s">
        <v>3664</v>
      </c>
      <c r="F6687" s="1" t="s">
        <v>23276</v>
      </c>
      <c r="G6687" s="1" t="s">
        <v>9049</v>
      </c>
      <c r="H6687" s="1" t="s">
        <v>3604</v>
      </c>
      <c r="I6687" s="1" t="s">
        <v>23277</v>
      </c>
      <c r="J6687" s="1" t="s">
        <v>3606</v>
      </c>
      <c r="K6687" s="1" t="s">
        <v>19445</v>
      </c>
      <c r="L6687" s="1"/>
      <c r="M6687" s="1"/>
    </row>
    <row x14ac:dyDescent="0.25" r="6688" customHeight="1" ht="18.75">
      <c r="A6688" s="1" t="s">
        <v>3693</v>
      </c>
      <c r="B6688" s="1" t="s">
        <v>4144</v>
      </c>
      <c r="C6688" s="1" t="s">
        <v>3619</v>
      </c>
      <c r="D6688" s="1" t="s">
        <v>3695</v>
      </c>
      <c r="E6688" s="1" t="s">
        <v>3664</v>
      </c>
      <c r="F6688" s="1" t="s">
        <v>23278</v>
      </c>
      <c r="G6688" s="1" t="s">
        <v>9049</v>
      </c>
      <c r="H6688" s="1" t="s">
        <v>3604</v>
      </c>
      <c r="I6688" s="1" t="s">
        <v>23279</v>
      </c>
      <c r="J6688" s="1" t="s">
        <v>3615</v>
      </c>
      <c r="K6688" s="1" t="s">
        <v>19445</v>
      </c>
      <c r="L6688" s="1"/>
      <c r="M6688" s="1"/>
    </row>
    <row x14ac:dyDescent="0.25" r="6689" customHeight="1" ht="18.75">
      <c r="A6689" s="1" t="s">
        <v>3693</v>
      </c>
      <c r="B6689" s="1" t="s">
        <v>4144</v>
      </c>
      <c r="C6689" s="1" t="s">
        <v>3619</v>
      </c>
      <c r="D6689" s="1" t="s">
        <v>8100</v>
      </c>
      <c r="E6689" s="1" t="s">
        <v>3664</v>
      </c>
      <c r="F6689" s="1" t="s">
        <v>23280</v>
      </c>
      <c r="G6689" s="1" t="s">
        <v>23281</v>
      </c>
      <c r="H6689" s="1" t="s">
        <v>3604</v>
      </c>
      <c r="I6689" s="1" t="s">
        <v>23282</v>
      </c>
      <c r="J6689" s="1" t="s">
        <v>3606</v>
      </c>
      <c r="K6689" s="1" t="s">
        <v>23283</v>
      </c>
      <c r="L6689" s="1"/>
      <c r="M6689" s="1"/>
    </row>
    <row x14ac:dyDescent="0.25" r="6690" customHeight="1" ht="18.75">
      <c r="A6690" s="1" t="s">
        <v>3693</v>
      </c>
      <c r="B6690" s="1" t="s">
        <v>4267</v>
      </c>
      <c r="C6690" s="1" t="s">
        <v>3600</v>
      </c>
      <c r="D6690" s="1" t="s">
        <v>3695</v>
      </c>
      <c r="E6690" s="1" t="s">
        <v>3664</v>
      </c>
      <c r="F6690" s="1" t="s">
        <v>23284</v>
      </c>
      <c r="G6690" s="1" t="s">
        <v>23285</v>
      </c>
      <c r="H6690" s="1" t="s">
        <v>3604</v>
      </c>
      <c r="I6690" s="1" t="s">
        <v>23286</v>
      </c>
      <c r="J6690" s="1" t="s">
        <v>3615</v>
      </c>
      <c r="K6690" s="1" t="s">
        <v>23285</v>
      </c>
      <c r="L6690" s="1"/>
      <c r="M6690" s="1"/>
    </row>
    <row x14ac:dyDescent="0.25" r="6691" customHeight="1" ht="18.75">
      <c r="A6691" s="1" t="s">
        <v>3693</v>
      </c>
      <c r="B6691" s="1" t="s">
        <v>4267</v>
      </c>
      <c r="C6691" s="1" t="s">
        <v>3600</v>
      </c>
      <c r="D6691" s="1" t="s">
        <v>3695</v>
      </c>
      <c r="E6691" s="1" t="s">
        <v>3664</v>
      </c>
      <c r="F6691" s="1" t="s">
        <v>23287</v>
      </c>
      <c r="G6691" s="1" t="s">
        <v>23288</v>
      </c>
      <c r="H6691" s="1" t="s">
        <v>3604</v>
      </c>
      <c r="I6691" s="1" t="s">
        <v>23289</v>
      </c>
      <c r="J6691" s="1" t="s">
        <v>3615</v>
      </c>
      <c r="K6691" s="1" t="s">
        <v>23288</v>
      </c>
      <c r="L6691" s="1"/>
      <c r="M6691" s="1"/>
    </row>
    <row x14ac:dyDescent="0.25" r="6692" customHeight="1" ht="18.75">
      <c r="A6692" s="1" t="s">
        <v>7833</v>
      </c>
      <c r="B6692" s="1" t="s">
        <v>8269</v>
      </c>
      <c r="C6692" s="1" t="s">
        <v>4488</v>
      </c>
      <c r="D6692" s="1" t="s">
        <v>3610</v>
      </c>
      <c r="E6692" s="1" t="s">
        <v>3664</v>
      </c>
      <c r="F6692" s="1" t="s">
        <v>23290</v>
      </c>
      <c r="G6692" s="1" t="s">
        <v>13777</v>
      </c>
      <c r="H6692" s="1" t="s">
        <v>3604</v>
      </c>
      <c r="I6692" s="1" t="s">
        <v>23291</v>
      </c>
      <c r="J6692" s="1" t="s">
        <v>3606</v>
      </c>
      <c r="K6692" s="1" t="s">
        <v>23292</v>
      </c>
      <c r="L6692" s="1"/>
      <c r="M6692" s="1"/>
    </row>
    <row x14ac:dyDescent="0.25" r="6693" customHeight="1" ht="18.75">
      <c r="A6693" s="1" t="s">
        <v>7833</v>
      </c>
      <c r="B6693" s="1" t="s">
        <v>8269</v>
      </c>
      <c r="C6693" s="1" t="s">
        <v>4488</v>
      </c>
      <c r="D6693" s="1" t="s">
        <v>3610</v>
      </c>
      <c r="E6693" s="1" t="s">
        <v>3664</v>
      </c>
      <c r="F6693" s="1" t="s">
        <v>23293</v>
      </c>
      <c r="G6693" s="1" t="s">
        <v>13777</v>
      </c>
      <c r="H6693" s="1" t="s">
        <v>3604</v>
      </c>
      <c r="I6693" s="1" t="s">
        <v>23294</v>
      </c>
      <c r="J6693" s="1" t="s">
        <v>3606</v>
      </c>
      <c r="K6693" s="1" t="s">
        <v>23295</v>
      </c>
      <c r="L6693" s="1"/>
      <c r="M6693" s="1"/>
    </row>
    <row x14ac:dyDescent="0.25" r="6694" customHeight="1" ht="18.75">
      <c r="A6694" s="1" t="s">
        <v>3693</v>
      </c>
      <c r="B6694" s="1" t="s">
        <v>10217</v>
      </c>
      <c r="C6694" s="1" t="s">
        <v>3619</v>
      </c>
      <c r="D6694" s="1" t="s">
        <v>3610</v>
      </c>
      <c r="E6694" s="1" t="s">
        <v>3611</v>
      </c>
      <c r="F6694" s="1" t="s">
        <v>23296</v>
      </c>
      <c r="G6694" s="1" t="s">
        <v>23297</v>
      </c>
      <c r="H6694" s="1" t="s">
        <v>3604</v>
      </c>
      <c r="I6694" s="1" t="s">
        <v>23298</v>
      </c>
      <c r="J6694" s="1" t="s">
        <v>3606</v>
      </c>
      <c r="K6694" s="1" t="s">
        <v>23299</v>
      </c>
      <c r="L6694" s="1"/>
      <c r="M6694" s="1"/>
    </row>
    <row x14ac:dyDescent="0.25" r="6695" customHeight="1" ht="18.75">
      <c r="A6695" s="1" t="s">
        <v>7833</v>
      </c>
      <c r="B6695" s="1" t="s">
        <v>8269</v>
      </c>
      <c r="C6695" s="1" t="s">
        <v>4488</v>
      </c>
      <c r="D6695" s="1" t="s">
        <v>3610</v>
      </c>
      <c r="E6695" s="1" t="s">
        <v>8096</v>
      </c>
      <c r="F6695" s="1" t="s">
        <v>23300</v>
      </c>
      <c r="G6695" s="1" t="s">
        <v>14824</v>
      </c>
      <c r="H6695" s="1" t="s">
        <v>3604</v>
      </c>
      <c r="I6695" s="1" t="s">
        <v>23301</v>
      </c>
      <c r="J6695" s="1" t="s">
        <v>3606</v>
      </c>
      <c r="K6695" s="1" t="s">
        <v>14339</v>
      </c>
      <c r="L6695" s="1"/>
      <c r="M6695" s="1"/>
    </row>
    <row x14ac:dyDescent="0.25" r="6696" customHeight="1" ht="18.75">
      <c r="A6696" s="1" t="s">
        <v>3693</v>
      </c>
      <c r="B6696" s="1" t="s">
        <v>10217</v>
      </c>
      <c r="C6696" s="1" t="s">
        <v>3619</v>
      </c>
      <c r="D6696" s="1" t="s">
        <v>8373</v>
      </c>
      <c r="E6696" s="1" t="s">
        <v>3611</v>
      </c>
      <c r="F6696" s="1" t="s">
        <v>23302</v>
      </c>
      <c r="G6696" s="1" t="s">
        <v>23297</v>
      </c>
      <c r="H6696" s="1" t="s">
        <v>3604</v>
      </c>
      <c r="I6696" s="1" t="s">
        <v>23303</v>
      </c>
      <c r="J6696" s="1" t="s">
        <v>3606</v>
      </c>
      <c r="K6696" s="1" t="s">
        <v>23304</v>
      </c>
      <c r="L6696" s="1"/>
      <c r="M6696" s="1"/>
    </row>
    <row x14ac:dyDescent="0.25" r="6697" customHeight="1" ht="18.75">
      <c r="A6697" s="1" t="s">
        <v>7833</v>
      </c>
      <c r="B6697" s="1" t="s">
        <v>8269</v>
      </c>
      <c r="C6697" s="1" t="s">
        <v>4488</v>
      </c>
      <c r="D6697" s="1" t="s">
        <v>3610</v>
      </c>
      <c r="E6697" s="1" t="s">
        <v>8096</v>
      </c>
      <c r="F6697" s="1" t="s">
        <v>23305</v>
      </c>
      <c r="G6697" s="1" t="s">
        <v>14824</v>
      </c>
      <c r="H6697" s="1" t="s">
        <v>3604</v>
      </c>
      <c r="I6697" s="1" t="s">
        <v>23306</v>
      </c>
      <c r="J6697" s="1" t="s">
        <v>3606</v>
      </c>
      <c r="K6697" s="1" t="s">
        <v>14342</v>
      </c>
      <c r="L6697" s="1"/>
      <c r="M6697" s="1"/>
    </row>
    <row x14ac:dyDescent="0.25" r="6698" customHeight="1" ht="18.75">
      <c r="A6698" s="1" t="s">
        <v>3693</v>
      </c>
      <c r="B6698" s="1" t="s">
        <v>4267</v>
      </c>
      <c r="C6698" s="1" t="s">
        <v>3600</v>
      </c>
      <c r="D6698" s="1" t="s">
        <v>3695</v>
      </c>
      <c r="E6698" s="1" t="s">
        <v>3664</v>
      </c>
      <c r="F6698" s="1" t="s">
        <v>23307</v>
      </c>
      <c r="G6698" s="1" t="s">
        <v>23308</v>
      </c>
      <c r="H6698" s="1" t="s">
        <v>3604</v>
      </c>
      <c r="I6698" s="1" t="s">
        <v>23309</v>
      </c>
      <c r="J6698" s="1" t="s">
        <v>3615</v>
      </c>
      <c r="K6698" s="1" t="s">
        <v>23308</v>
      </c>
      <c r="L6698" s="1"/>
      <c r="M6698" s="1"/>
    </row>
    <row x14ac:dyDescent="0.25" r="6699" customHeight="1" ht="18.75">
      <c r="A6699" s="1" t="s">
        <v>3693</v>
      </c>
      <c r="B6699" s="1" t="s">
        <v>10217</v>
      </c>
      <c r="C6699" s="1" t="s">
        <v>3619</v>
      </c>
      <c r="D6699" s="1" t="s">
        <v>8373</v>
      </c>
      <c r="E6699" s="1" t="s">
        <v>3611</v>
      </c>
      <c r="F6699" s="1" t="s">
        <v>23310</v>
      </c>
      <c r="G6699" s="1" t="s">
        <v>23297</v>
      </c>
      <c r="H6699" s="1" t="s">
        <v>3604</v>
      </c>
      <c r="I6699" s="1" t="s">
        <v>23311</v>
      </c>
      <c r="J6699" s="1" t="s">
        <v>3606</v>
      </c>
      <c r="K6699" s="1" t="s">
        <v>23304</v>
      </c>
      <c r="L6699" s="1"/>
      <c r="M6699" s="1"/>
    </row>
    <row x14ac:dyDescent="0.25" r="6700" customHeight="1" ht="18.75">
      <c r="A6700" s="1" t="s">
        <v>7833</v>
      </c>
      <c r="B6700" s="1" t="s">
        <v>8269</v>
      </c>
      <c r="C6700" s="1" t="s">
        <v>4488</v>
      </c>
      <c r="D6700" s="1" t="s">
        <v>3695</v>
      </c>
      <c r="E6700" s="1" t="s">
        <v>8096</v>
      </c>
      <c r="F6700" s="1" t="s">
        <v>23312</v>
      </c>
      <c r="G6700" s="1" t="s">
        <v>21597</v>
      </c>
      <c r="H6700" s="1" t="s">
        <v>3604</v>
      </c>
      <c r="I6700" s="1" t="s">
        <v>23313</v>
      </c>
      <c r="J6700" s="1" t="s">
        <v>3606</v>
      </c>
      <c r="K6700" s="1" t="s">
        <v>14189</v>
      </c>
      <c r="L6700" s="1"/>
      <c r="M6700" s="1"/>
    </row>
    <row x14ac:dyDescent="0.25" r="6701" customHeight="1" ht="18.75">
      <c r="A6701" s="1" t="s">
        <v>3693</v>
      </c>
      <c r="B6701" s="1" t="s">
        <v>4267</v>
      </c>
      <c r="C6701" s="1" t="s">
        <v>3600</v>
      </c>
      <c r="D6701" s="1" t="s">
        <v>3695</v>
      </c>
      <c r="E6701" s="1" t="s">
        <v>3893</v>
      </c>
      <c r="F6701" s="1" t="s">
        <v>23314</v>
      </c>
      <c r="G6701" s="1" t="s">
        <v>10164</v>
      </c>
      <c r="H6701" s="1" t="s">
        <v>3604</v>
      </c>
      <c r="I6701" s="1" t="s">
        <v>23315</v>
      </c>
      <c r="J6701" s="1" t="s">
        <v>3615</v>
      </c>
      <c r="K6701" s="1" t="s">
        <v>23316</v>
      </c>
      <c r="L6701" s="1"/>
      <c r="M6701" s="1"/>
    </row>
    <row x14ac:dyDescent="0.25" r="6702" customHeight="1" ht="18.75">
      <c r="A6702" s="1" t="s">
        <v>3693</v>
      </c>
      <c r="B6702" s="1" t="s">
        <v>10217</v>
      </c>
      <c r="C6702" s="1" t="s">
        <v>3619</v>
      </c>
      <c r="D6702" s="1" t="s">
        <v>8373</v>
      </c>
      <c r="E6702" s="1" t="s">
        <v>3611</v>
      </c>
      <c r="F6702" s="1" t="s">
        <v>23317</v>
      </c>
      <c r="G6702" s="1" t="s">
        <v>23297</v>
      </c>
      <c r="H6702" s="1" t="s">
        <v>3604</v>
      </c>
      <c r="I6702" s="1" t="s">
        <v>23318</v>
      </c>
      <c r="J6702" s="1" t="s">
        <v>3606</v>
      </c>
      <c r="K6702" s="1" t="s">
        <v>23304</v>
      </c>
      <c r="L6702" s="1"/>
      <c r="M6702" s="1"/>
    </row>
    <row x14ac:dyDescent="0.25" r="6703" customHeight="1" ht="18.75">
      <c r="A6703" s="1" t="s">
        <v>7833</v>
      </c>
      <c r="B6703" s="1" t="s">
        <v>8269</v>
      </c>
      <c r="C6703" s="1" t="s">
        <v>4488</v>
      </c>
      <c r="D6703" s="1" t="s">
        <v>3695</v>
      </c>
      <c r="E6703" s="1" t="s">
        <v>8096</v>
      </c>
      <c r="F6703" s="1" t="s">
        <v>23319</v>
      </c>
      <c r="G6703" s="1" t="s">
        <v>13777</v>
      </c>
      <c r="H6703" s="1" t="s">
        <v>3604</v>
      </c>
      <c r="I6703" s="1" t="s">
        <v>23320</v>
      </c>
      <c r="J6703" s="1" t="s">
        <v>3606</v>
      </c>
      <c r="K6703" s="1" t="s">
        <v>14280</v>
      </c>
      <c r="L6703" s="1"/>
      <c r="M6703" s="1"/>
    </row>
    <row x14ac:dyDescent="0.25" r="6704" customHeight="1" ht="18.75">
      <c r="A6704" s="1" t="s">
        <v>3693</v>
      </c>
      <c r="B6704" s="1" t="s">
        <v>10217</v>
      </c>
      <c r="C6704" s="1" t="s">
        <v>3619</v>
      </c>
      <c r="D6704" s="1" t="s">
        <v>3610</v>
      </c>
      <c r="E6704" s="1" t="s">
        <v>3981</v>
      </c>
      <c r="F6704" s="1" t="s">
        <v>23321</v>
      </c>
      <c r="G6704" s="1" t="s">
        <v>23322</v>
      </c>
      <c r="H6704" s="1" t="s">
        <v>3604</v>
      </c>
      <c r="I6704" s="1" t="s">
        <v>23323</v>
      </c>
      <c r="J6704" s="1" t="s">
        <v>3606</v>
      </c>
      <c r="K6704" s="1" t="s">
        <v>23322</v>
      </c>
      <c r="L6704" s="1"/>
      <c r="M6704" s="1"/>
    </row>
    <row x14ac:dyDescent="0.25" r="6705" customHeight="1" ht="18.75">
      <c r="A6705" s="1" t="s">
        <v>3693</v>
      </c>
      <c r="B6705" s="1" t="s">
        <v>4267</v>
      </c>
      <c r="C6705" s="1" t="s">
        <v>3600</v>
      </c>
      <c r="D6705" s="1" t="s">
        <v>3695</v>
      </c>
      <c r="E6705" s="1" t="s">
        <v>3893</v>
      </c>
      <c r="F6705" s="1" t="s">
        <v>23324</v>
      </c>
      <c r="G6705" s="1" t="s">
        <v>10164</v>
      </c>
      <c r="H6705" s="1" t="s">
        <v>3604</v>
      </c>
      <c r="I6705" s="1" t="s">
        <v>23325</v>
      </c>
      <c r="J6705" s="1" t="s">
        <v>3615</v>
      </c>
      <c r="K6705" s="1" t="s">
        <v>23326</v>
      </c>
      <c r="L6705" s="1"/>
      <c r="M6705" s="1"/>
    </row>
    <row x14ac:dyDescent="0.25" r="6706" customHeight="1" ht="18.75">
      <c r="A6706" s="1" t="s">
        <v>7833</v>
      </c>
      <c r="B6706" s="1" t="s">
        <v>8269</v>
      </c>
      <c r="C6706" s="1" t="s">
        <v>4488</v>
      </c>
      <c r="D6706" s="1" t="s">
        <v>3695</v>
      </c>
      <c r="E6706" s="1" t="s">
        <v>8096</v>
      </c>
      <c r="F6706" s="1" t="s">
        <v>23327</v>
      </c>
      <c r="G6706" s="1" t="s">
        <v>14824</v>
      </c>
      <c r="H6706" s="1" t="s">
        <v>3604</v>
      </c>
      <c r="I6706" s="1" t="s">
        <v>23328</v>
      </c>
      <c r="J6706" s="1" t="s">
        <v>3606</v>
      </c>
      <c r="K6706" s="1" t="s">
        <v>14375</v>
      </c>
      <c r="L6706" s="1"/>
      <c r="M6706" s="1"/>
    </row>
    <row x14ac:dyDescent="0.25" r="6707" customHeight="1" ht="18.75">
      <c r="A6707" s="1" t="s">
        <v>3693</v>
      </c>
      <c r="B6707" s="1" t="s">
        <v>4267</v>
      </c>
      <c r="C6707" s="1" t="s">
        <v>3600</v>
      </c>
      <c r="D6707" s="1" t="s">
        <v>3695</v>
      </c>
      <c r="E6707" s="1" t="s">
        <v>3893</v>
      </c>
      <c r="F6707" s="1" t="s">
        <v>23329</v>
      </c>
      <c r="G6707" s="1" t="s">
        <v>10164</v>
      </c>
      <c r="H6707" s="1" t="s">
        <v>3604</v>
      </c>
      <c r="I6707" s="1" t="s">
        <v>23330</v>
      </c>
      <c r="J6707" s="1" t="s">
        <v>3615</v>
      </c>
      <c r="K6707" s="1" t="s">
        <v>23331</v>
      </c>
      <c r="L6707" s="1"/>
      <c r="M6707" s="1"/>
    </row>
    <row x14ac:dyDescent="0.25" r="6708" customHeight="1" ht="18.75">
      <c r="A6708" s="1" t="s">
        <v>7833</v>
      </c>
      <c r="B6708" s="1" t="s">
        <v>8291</v>
      </c>
      <c r="C6708" s="1" t="s">
        <v>4488</v>
      </c>
      <c r="D6708" s="1" t="s">
        <v>8373</v>
      </c>
      <c r="E6708" s="1" t="s">
        <v>8096</v>
      </c>
      <c r="F6708" s="1" t="s">
        <v>23332</v>
      </c>
      <c r="G6708" s="1" t="s">
        <v>23333</v>
      </c>
      <c r="H6708" s="1" t="s">
        <v>3604</v>
      </c>
      <c r="I6708" s="1" t="s">
        <v>23334</v>
      </c>
      <c r="J6708" s="1" t="s">
        <v>3606</v>
      </c>
      <c r="K6708" s="1" t="s">
        <v>23335</v>
      </c>
      <c r="L6708" s="1"/>
      <c r="M6708" s="1"/>
    </row>
    <row x14ac:dyDescent="0.25" r="6709" customHeight="1" ht="18.75">
      <c r="A6709" s="1" t="s">
        <v>7833</v>
      </c>
      <c r="B6709" s="1" t="s">
        <v>23336</v>
      </c>
      <c r="C6709" s="1" t="s">
        <v>4488</v>
      </c>
      <c r="D6709" s="1" t="s">
        <v>3601</v>
      </c>
      <c r="E6709" s="1" t="s">
        <v>8096</v>
      </c>
      <c r="F6709" s="1" t="s">
        <v>23337</v>
      </c>
      <c r="G6709" s="1" t="s">
        <v>8163</v>
      </c>
      <c r="H6709" s="1" t="s">
        <v>3604</v>
      </c>
      <c r="I6709" s="1" t="s">
        <v>23338</v>
      </c>
      <c r="J6709" s="1" t="s">
        <v>3606</v>
      </c>
      <c r="K6709" s="1" t="s">
        <v>23339</v>
      </c>
      <c r="L6709" s="1"/>
      <c r="M6709" s="1"/>
    </row>
    <row x14ac:dyDescent="0.25" r="6710" customHeight="1" ht="18.75">
      <c r="A6710" s="1" t="s">
        <v>3693</v>
      </c>
      <c r="B6710" s="1" t="s">
        <v>4267</v>
      </c>
      <c r="C6710" s="1" t="s">
        <v>3600</v>
      </c>
      <c r="D6710" s="1" t="s">
        <v>3695</v>
      </c>
      <c r="E6710" s="1" t="s">
        <v>3893</v>
      </c>
      <c r="F6710" s="1" t="s">
        <v>23340</v>
      </c>
      <c r="G6710" s="1" t="s">
        <v>10164</v>
      </c>
      <c r="H6710" s="1" t="s">
        <v>3604</v>
      </c>
      <c r="I6710" s="1" t="s">
        <v>23341</v>
      </c>
      <c r="J6710" s="1" t="s">
        <v>3606</v>
      </c>
      <c r="K6710" s="1" t="s">
        <v>23342</v>
      </c>
      <c r="L6710" s="1"/>
      <c r="M6710" s="1"/>
    </row>
    <row x14ac:dyDescent="0.25" r="6711" customHeight="1" ht="18.75">
      <c r="A6711" s="1" t="s">
        <v>7833</v>
      </c>
      <c r="B6711" s="1" t="s">
        <v>23343</v>
      </c>
      <c r="C6711" s="1" t="s">
        <v>4488</v>
      </c>
      <c r="D6711" s="1" t="s">
        <v>3601</v>
      </c>
      <c r="E6711" s="1" t="s">
        <v>8096</v>
      </c>
      <c r="F6711" s="1" t="s">
        <v>23344</v>
      </c>
      <c r="G6711" s="1" t="s">
        <v>23345</v>
      </c>
      <c r="H6711" s="1" t="s">
        <v>3604</v>
      </c>
      <c r="I6711" s="1" t="s">
        <v>23346</v>
      </c>
      <c r="J6711" s="1" t="s">
        <v>3606</v>
      </c>
      <c r="K6711" s="1" t="s">
        <v>23339</v>
      </c>
      <c r="L6711" s="1"/>
      <c r="M6711" s="1"/>
    </row>
    <row x14ac:dyDescent="0.25" r="6712" customHeight="1" ht="18.75">
      <c r="A6712" s="1" t="s">
        <v>3693</v>
      </c>
      <c r="B6712" s="1" t="s">
        <v>4267</v>
      </c>
      <c r="C6712" s="1" t="s">
        <v>3600</v>
      </c>
      <c r="D6712" s="1" t="s">
        <v>3695</v>
      </c>
      <c r="E6712" s="1" t="s">
        <v>3893</v>
      </c>
      <c r="F6712" s="1" t="s">
        <v>23347</v>
      </c>
      <c r="G6712" s="1" t="s">
        <v>10164</v>
      </c>
      <c r="H6712" s="1" t="s">
        <v>3604</v>
      </c>
      <c r="I6712" s="1" t="s">
        <v>23348</v>
      </c>
      <c r="J6712" s="1" t="s">
        <v>3606</v>
      </c>
      <c r="K6712" s="1" t="s">
        <v>23349</v>
      </c>
      <c r="L6712" s="1"/>
      <c r="M6712" s="1"/>
    </row>
    <row x14ac:dyDescent="0.25" r="6713" customHeight="1" ht="18.75">
      <c r="A6713" s="1" t="s">
        <v>7833</v>
      </c>
      <c r="B6713" s="1" t="s">
        <v>23350</v>
      </c>
      <c r="C6713" s="1" t="s">
        <v>4488</v>
      </c>
      <c r="D6713" s="1" t="s">
        <v>3601</v>
      </c>
      <c r="E6713" s="1" t="s">
        <v>23351</v>
      </c>
      <c r="F6713" s="1" t="s">
        <v>1523</v>
      </c>
      <c r="G6713" s="1" t="s">
        <v>23352</v>
      </c>
      <c r="H6713" s="1" t="s">
        <v>3604</v>
      </c>
      <c r="I6713" s="1" t="s">
        <v>23353</v>
      </c>
      <c r="J6713" s="1" t="s">
        <v>3606</v>
      </c>
      <c r="K6713" s="1" t="s">
        <v>23354</v>
      </c>
      <c r="L6713" s="1"/>
      <c r="M6713" s="1"/>
    </row>
    <row x14ac:dyDescent="0.25" r="6714" customHeight="1" ht="18.75">
      <c r="A6714" s="1" t="s">
        <v>3693</v>
      </c>
      <c r="B6714" s="1" t="s">
        <v>4267</v>
      </c>
      <c r="C6714" s="1" t="s">
        <v>3600</v>
      </c>
      <c r="D6714" s="1" t="s">
        <v>3695</v>
      </c>
      <c r="E6714" s="1" t="s">
        <v>3893</v>
      </c>
      <c r="F6714" s="1" t="s">
        <v>23355</v>
      </c>
      <c r="G6714" s="1" t="s">
        <v>10164</v>
      </c>
      <c r="H6714" s="1" t="s">
        <v>3604</v>
      </c>
      <c r="I6714" s="1" t="s">
        <v>23356</v>
      </c>
      <c r="J6714" s="1" t="s">
        <v>3606</v>
      </c>
      <c r="K6714" s="1" t="s">
        <v>23357</v>
      </c>
      <c r="L6714" s="1"/>
      <c r="M6714" s="1"/>
    </row>
    <row x14ac:dyDescent="0.25" r="6715" customHeight="1" ht="18.75">
      <c r="A6715" s="1" t="s">
        <v>7833</v>
      </c>
      <c r="B6715" s="1" t="s">
        <v>9216</v>
      </c>
      <c r="C6715" s="1" t="s">
        <v>4488</v>
      </c>
      <c r="D6715" s="1" t="s">
        <v>533</v>
      </c>
      <c r="E6715" s="1" t="s">
        <v>3752</v>
      </c>
      <c r="F6715" s="1" t="s">
        <v>23358</v>
      </c>
      <c r="G6715" s="1" t="s">
        <v>15516</v>
      </c>
      <c r="H6715" s="1" t="s">
        <v>3604</v>
      </c>
      <c r="I6715" s="1" t="s">
        <v>23359</v>
      </c>
      <c r="J6715" s="1" t="s">
        <v>3606</v>
      </c>
      <c r="K6715" s="1" t="s">
        <v>23360</v>
      </c>
      <c r="L6715" s="1"/>
      <c r="M6715" s="1"/>
    </row>
    <row x14ac:dyDescent="0.25" r="6716" customHeight="1" ht="18.75">
      <c r="A6716" s="1" t="s">
        <v>3693</v>
      </c>
      <c r="B6716" s="1" t="s">
        <v>4267</v>
      </c>
      <c r="C6716" s="1" t="s">
        <v>3600</v>
      </c>
      <c r="D6716" s="1" t="s">
        <v>3695</v>
      </c>
      <c r="E6716" s="1" t="s">
        <v>3664</v>
      </c>
      <c r="F6716" s="1" t="s">
        <v>23361</v>
      </c>
      <c r="G6716" s="1" t="s">
        <v>5651</v>
      </c>
      <c r="H6716" s="1" t="s">
        <v>3604</v>
      </c>
      <c r="I6716" s="1" t="s">
        <v>23362</v>
      </c>
      <c r="J6716" s="1" t="s">
        <v>3606</v>
      </c>
      <c r="K6716" s="1" t="s">
        <v>23363</v>
      </c>
      <c r="L6716" s="1"/>
      <c r="M6716" s="1"/>
    </row>
    <row x14ac:dyDescent="0.25" r="6717" customHeight="1" ht="18.75">
      <c r="A6717" s="1" t="s">
        <v>7833</v>
      </c>
      <c r="B6717" s="1" t="s">
        <v>9216</v>
      </c>
      <c r="C6717" s="1" t="s">
        <v>4488</v>
      </c>
      <c r="D6717" s="1" t="s">
        <v>533</v>
      </c>
      <c r="E6717" s="1" t="s">
        <v>3664</v>
      </c>
      <c r="F6717" s="1" t="s">
        <v>23364</v>
      </c>
      <c r="G6717" s="1" t="s">
        <v>23365</v>
      </c>
      <c r="H6717" s="1" t="s">
        <v>3604</v>
      </c>
      <c r="I6717" s="1" t="s">
        <v>23366</v>
      </c>
      <c r="J6717" s="1" t="s">
        <v>3606</v>
      </c>
      <c r="K6717" s="1" t="s">
        <v>14822</v>
      </c>
      <c r="L6717" s="1"/>
      <c r="M6717" s="1"/>
    </row>
    <row x14ac:dyDescent="0.25" r="6718" customHeight="1" ht="18.75">
      <c r="A6718" s="1" t="s">
        <v>3693</v>
      </c>
      <c r="B6718" s="1" t="s">
        <v>4267</v>
      </c>
      <c r="C6718" s="1" t="s">
        <v>3600</v>
      </c>
      <c r="D6718" s="1" t="s">
        <v>3695</v>
      </c>
      <c r="E6718" s="1" t="s">
        <v>3664</v>
      </c>
      <c r="F6718" s="1" t="s">
        <v>23367</v>
      </c>
      <c r="G6718" s="1" t="s">
        <v>5651</v>
      </c>
      <c r="H6718" s="1" t="s">
        <v>3604</v>
      </c>
      <c r="I6718" s="1" t="s">
        <v>23368</v>
      </c>
      <c r="J6718" s="1" t="s">
        <v>3606</v>
      </c>
      <c r="K6718" s="1" t="s">
        <v>23369</v>
      </c>
      <c r="L6718" s="1"/>
      <c r="M6718" s="1"/>
    </row>
    <row x14ac:dyDescent="0.25" r="6719" customHeight="1" ht="18.75">
      <c r="A6719" s="1" t="s">
        <v>3693</v>
      </c>
      <c r="B6719" s="1" t="s">
        <v>4267</v>
      </c>
      <c r="C6719" s="1" t="s">
        <v>3600</v>
      </c>
      <c r="D6719" s="1" t="s">
        <v>3695</v>
      </c>
      <c r="E6719" s="1" t="s">
        <v>3664</v>
      </c>
      <c r="F6719" s="1" t="s">
        <v>23370</v>
      </c>
      <c r="G6719" s="1" t="s">
        <v>5651</v>
      </c>
      <c r="H6719" s="1" t="s">
        <v>3604</v>
      </c>
      <c r="I6719" s="1" t="s">
        <v>23371</v>
      </c>
      <c r="J6719" s="1" t="s">
        <v>3606</v>
      </c>
      <c r="K6719" s="1" t="s">
        <v>23372</v>
      </c>
      <c r="L6719" s="1"/>
      <c r="M6719" s="1"/>
    </row>
    <row x14ac:dyDescent="0.25" r="6720" customHeight="1" ht="18.75">
      <c r="A6720" s="1" t="s">
        <v>3693</v>
      </c>
      <c r="B6720" s="1" t="s">
        <v>4267</v>
      </c>
      <c r="C6720" s="1" t="s">
        <v>3600</v>
      </c>
      <c r="D6720" s="1" t="s">
        <v>3695</v>
      </c>
      <c r="E6720" s="1" t="s">
        <v>3893</v>
      </c>
      <c r="F6720" s="1" t="s">
        <v>23373</v>
      </c>
      <c r="G6720" s="1" t="s">
        <v>10164</v>
      </c>
      <c r="H6720" s="1" t="s">
        <v>3604</v>
      </c>
      <c r="I6720" s="1" t="s">
        <v>23374</v>
      </c>
      <c r="J6720" s="1" t="s">
        <v>3606</v>
      </c>
      <c r="K6720" s="1" t="s">
        <v>23375</v>
      </c>
      <c r="L6720" s="1"/>
      <c r="M6720" s="1"/>
    </row>
    <row x14ac:dyDescent="0.25" r="6721" customHeight="1" ht="18.75">
      <c r="A6721" s="1" t="s">
        <v>7833</v>
      </c>
      <c r="B6721" s="1" t="s">
        <v>9216</v>
      </c>
      <c r="C6721" s="1" t="s">
        <v>4488</v>
      </c>
      <c r="D6721" s="1" t="s">
        <v>533</v>
      </c>
      <c r="E6721" s="1" t="s">
        <v>3664</v>
      </c>
      <c r="F6721" s="1" t="s">
        <v>23376</v>
      </c>
      <c r="G6721" s="1" t="s">
        <v>23377</v>
      </c>
      <c r="H6721" s="1" t="s">
        <v>3604</v>
      </c>
      <c r="I6721" s="1" t="s">
        <v>23378</v>
      </c>
      <c r="J6721" s="1" t="s">
        <v>3606</v>
      </c>
      <c r="K6721" s="1" t="s">
        <v>14809</v>
      </c>
      <c r="L6721" s="1"/>
      <c r="M6721" s="1"/>
    </row>
    <row x14ac:dyDescent="0.25" r="6722" customHeight="1" ht="18.75">
      <c r="A6722" s="1" t="s">
        <v>3693</v>
      </c>
      <c r="B6722" s="1" t="s">
        <v>4204</v>
      </c>
      <c r="C6722" s="1" t="s">
        <v>3600</v>
      </c>
      <c r="D6722" s="1" t="s">
        <v>7891</v>
      </c>
      <c r="E6722" s="1" t="s">
        <v>3893</v>
      </c>
      <c r="F6722" s="1" t="s">
        <v>23379</v>
      </c>
      <c r="G6722" s="1" t="s">
        <v>9625</v>
      </c>
      <c r="H6722" s="1" t="s">
        <v>3604</v>
      </c>
      <c r="I6722" s="1" t="s">
        <v>23380</v>
      </c>
      <c r="J6722" s="1" t="s">
        <v>3606</v>
      </c>
      <c r="K6722" s="1" t="s">
        <v>23381</v>
      </c>
      <c r="L6722" s="1"/>
      <c r="M6722" s="1"/>
    </row>
    <row x14ac:dyDescent="0.25" r="6723" customHeight="1" ht="18.75">
      <c r="A6723" s="1" t="s">
        <v>3693</v>
      </c>
      <c r="B6723" s="1" t="s">
        <v>4267</v>
      </c>
      <c r="C6723" s="1" t="s">
        <v>3600</v>
      </c>
      <c r="D6723" s="1" t="s">
        <v>3695</v>
      </c>
      <c r="E6723" s="1" t="s">
        <v>3893</v>
      </c>
      <c r="F6723" s="1" t="s">
        <v>23382</v>
      </c>
      <c r="G6723" s="1" t="s">
        <v>10164</v>
      </c>
      <c r="H6723" s="1" t="s">
        <v>3604</v>
      </c>
      <c r="I6723" s="1" t="s">
        <v>23383</v>
      </c>
      <c r="J6723" s="1" t="s">
        <v>3606</v>
      </c>
      <c r="K6723" s="1" t="s">
        <v>23384</v>
      </c>
      <c r="L6723" s="1"/>
      <c r="M6723" s="1"/>
    </row>
    <row x14ac:dyDescent="0.25" r="6724" customHeight="1" ht="18.75">
      <c r="A6724" s="1" t="s">
        <v>7833</v>
      </c>
      <c r="B6724" s="1" t="s">
        <v>9216</v>
      </c>
      <c r="C6724" s="1" t="s">
        <v>4488</v>
      </c>
      <c r="D6724" s="1" t="s">
        <v>8373</v>
      </c>
      <c r="E6724" s="1" t="s">
        <v>3981</v>
      </c>
      <c r="F6724" s="1" t="s">
        <v>23385</v>
      </c>
      <c r="G6724" s="1" t="s">
        <v>15353</v>
      </c>
      <c r="H6724" s="1" t="s">
        <v>3604</v>
      </c>
      <c r="I6724" s="1" t="s">
        <v>23386</v>
      </c>
      <c r="J6724" s="1" t="s">
        <v>3606</v>
      </c>
      <c r="K6724" s="1" t="s">
        <v>23387</v>
      </c>
      <c r="L6724" s="1"/>
      <c r="M6724" s="1"/>
    </row>
    <row x14ac:dyDescent="0.25" r="6725" customHeight="1" ht="18.75">
      <c r="A6725" s="1" t="s">
        <v>3693</v>
      </c>
      <c r="B6725" s="1" t="s">
        <v>4158</v>
      </c>
      <c r="C6725" s="1" t="s">
        <v>3600</v>
      </c>
      <c r="D6725" s="1" t="s">
        <v>7891</v>
      </c>
      <c r="E6725" s="1" t="s">
        <v>3893</v>
      </c>
      <c r="F6725" s="1" t="s">
        <v>23388</v>
      </c>
      <c r="G6725" s="1" t="s">
        <v>23389</v>
      </c>
      <c r="H6725" s="1" t="s">
        <v>3604</v>
      </c>
      <c r="I6725" s="1" t="s">
        <v>23390</v>
      </c>
      <c r="J6725" s="1" t="s">
        <v>3606</v>
      </c>
      <c r="K6725" s="1" t="s">
        <v>23391</v>
      </c>
      <c r="L6725" s="1"/>
      <c r="M6725" s="1"/>
    </row>
    <row x14ac:dyDescent="0.25" r="6726" customHeight="1" ht="18.75">
      <c r="A6726" s="1" t="s">
        <v>7833</v>
      </c>
      <c r="B6726" s="1" t="s">
        <v>9216</v>
      </c>
      <c r="C6726" s="1" t="s">
        <v>4488</v>
      </c>
      <c r="D6726" s="1" t="s">
        <v>3601</v>
      </c>
      <c r="E6726" s="1" t="s">
        <v>3664</v>
      </c>
      <c r="F6726" s="1" t="s">
        <v>23392</v>
      </c>
      <c r="G6726" s="1" t="s">
        <v>9218</v>
      </c>
      <c r="H6726" s="1" t="s">
        <v>3604</v>
      </c>
      <c r="I6726" s="1" t="s">
        <v>23393</v>
      </c>
      <c r="J6726" s="1" t="s">
        <v>3606</v>
      </c>
      <c r="K6726" s="1" t="s">
        <v>14260</v>
      </c>
      <c r="L6726" s="1"/>
      <c r="M6726" s="1"/>
    </row>
    <row x14ac:dyDescent="0.25" r="6727" customHeight="1" ht="18.75">
      <c r="A6727" s="1" t="s">
        <v>3693</v>
      </c>
      <c r="B6727" s="1" t="s">
        <v>4267</v>
      </c>
      <c r="C6727" s="1" t="s">
        <v>3600</v>
      </c>
      <c r="D6727" s="1" t="s">
        <v>3695</v>
      </c>
      <c r="E6727" s="1" t="s">
        <v>3893</v>
      </c>
      <c r="F6727" s="1" t="s">
        <v>23394</v>
      </c>
      <c r="G6727" s="1" t="s">
        <v>10164</v>
      </c>
      <c r="H6727" s="1" t="s">
        <v>3604</v>
      </c>
      <c r="I6727" s="1" t="s">
        <v>23395</v>
      </c>
      <c r="J6727" s="1" t="s">
        <v>3606</v>
      </c>
      <c r="K6727" s="1" t="s">
        <v>23396</v>
      </c>
      <c r="L6727" s="1"/>
      <c r="M6727" s="1"/>
    </row>
    <row x14ac:dyDescent="0.25" r="6728" customHeight="1" ht="18.75">
      <c r="A6728" s="1" t="s">
        <v>7833</v>
      </c>
      <c r="B6728" s="1" t="s">
        <v>9216</v>
      </c>
      <c r="C6728" s="1" t="s">
        <v>4488</v>
      </c>
      <c r="D6728" s="1" t="s">
        <v>3601</v>
      </c>
      <c r="E6728" s="1" t="s">
        <v>3664</v>
      </c>
      <c r="F6728" s="1" t="s">
        <v>23397</v>
      </c>
      <c r="G6728" s="1" t="s">
        <v>9218</v>
      </c>
      <c r="H6728" s="1" t="s">
        <v>3604</v>
      </c>
      <c r="I6728" s="1" t="s">
        <v>23398</v>
      </c>
      <c r="J6728" s="1" t="s">
        <v>3606</v>
      </c>
      <c r="K6728" s="1" t="s">
        <v>14263</v>
      </c>
      <c r="L6728" s="1"/>
      <c r="M6728" s="1"/>
    </row>
    <row x14ac:dyDescent="0.25" r="6729" customHeight="1" ht="18.75">
      <c r="A6729" s="1" t="s">
        <v>3693</v>
      </c>
      <c r="B6729" s="1" t="s">
        <v>4267</v>
      </c>
      <c r="C6729" s="1" t="s">
        <v>3600</v>
      </c>
      <c r="D6729" s="1" t="s">
        <v>3695</v>
      </c>
      <c r="E6729" s="1" t="s">
        <v>3664</v>
      </c>
      <c r="F6729" s="1" t="s">
        <v>23399</v>
      </c>
      <c r="G6729" s="1" t="s">
        <v>10284</v>
      </c>
      <c r="H6729" s="1" t="s">
        <v>3604</v>
      </c>
      <c r="I6729" s="1" t="s">
        <v>23400</v>
      </c>
      <c r="J6729" s="1" t="s">
        <v>3606</v>
      </c>
      <c r="K6729" s="1" t="s">
        <v>23401</v>
      </c>
      <c r="L6729" s="1"/>
      <c r="M6729" s="1"/>
    </row>
    <row x14ac:dyDescent="0.25" r="6730" customHeight="1" ht="18.75">
      <c r="A6730" s="1" t="s">
        <v>3693</v>
      </c>
      <c r="B6730" s="1" t="s">
        <v>4267</v>
      </c>
      <c r="C6730" s="1" t="s">
        <v>3600</v>
      </c>
      <c r="D6730" s="1" t="s">
        <v>3695</v>
      </c>
      <c r="E6730" s="1" t="s">
        <v>3664</v>
      </c>
      <c r="F6730" s="1" t="s">
        <v>23402</v>
      </c>
      <c r="G6730" s="1" t="s">
        <v>10284</v>
      </c>
      <c r="H6730" s="1" t="s">
        <v>3604</v>
      </c>
      <c r="I6730" s="1" t="s">
        <v>23403</v>
      </c>
      <c r="J6730" s="1" t="s">
        <v>3606</v>
      </c>
      <c r="K6730" s="1" t="s">
        <v>23404</v>
      </c>
      <c r="L6730" s="1"/>
      <c r="M6730" s="1"/>
    </row>
    <row x14ac:dyDescent="0.25" r="6731" customHeight="1" ht="18.75">
      <c r="A6731" s="1" t="s">
        <v>3693</v>
      </c>
      <c r="B6731" s="1" t="s">
        <v>4267</v>
      </c>
      <c r="C6731" s="1" t="s">
        <v>3600</v>
      </c>
      <c r="D6731" s="1" t="s">
        <v>3695</v>
      </c>
      <c r="E6731" s="1" t="s">
        <v>3664</v>
      </c>
      <c r="F6731" s="1" t="s">
        <v>23405</v>
      </c>
      <c r="G6731" s="1" t="s">
        <v>10284</v>
      </c>
      <c r="H6731" s="1" t="s">
        <v>3604</v>
      </c>
      <c r="I6731" s="1" t="s">
        <v>23406</v>
      </c>
      <c r="J6731" s="1" t="s">
        <v>3606</v>
      </c>
      <c r="K6731" s="1" t="s">
        <v>23407</v>
      </c>
      <c r="L6731" s="1"/>
      <c r="M6731" s="1"/>
    </row>
    <row x14ac:dyDescent="0.25" r="6732" customHeight="1" ht="18.75">
      <c r="A6732" s="1" t="s">
        <v>3693</v>
      </c>
      <c r="B6732" s="1" t="s">
        <v>4267</v>
      </c>
      <c r="C6732" s="1" t="s">
        <v>3600</v>
      </c>
      <c r="D6732" s="1" t="s">
        <v>3695</v>
      </c>
      <c r="E6732" s="1" t="s">
        <v>3893</v>
      </c>
      <c r="F6732" s="1" t="s">
        <v>23408</v>
      </c>
      <c r="G6732" s="1" t="s">
        <v>10164</v>
      </c>
      <c r="H6732" s="1" t="s">
        <v>3604</v>
      </c>
      <c r="I6732" s="1" t="s">
        <v>23409</v>
      </c>
      <c r="J6732" s="1" t="s">
        <v>3606</v>
      </c>
      <c r="K6732" s="1" t="s">
        <v>23410</v>
      </c>
      <c r="L6732" s="1"/>
      <c r="M6732" s="1"/>
    </row>
    <row x14ac:dyDescent="0.25" r="6733" customHeight="1" ht="18.75">
      <c r="A6733" s="1" t="s">
        <v>3693</v>
      </c>
      <c r="B6733" s="1" t="s">
        <v>4267</v>
      </c>
      <c r="C6733" s="1" t="s">
        <v>3600</v>
      </c>
      <c r="D6733" s="1" t="s">
        <v>3695</v>
      </c>
      <c r="E6733" s="1" t="s">
        <v>3893</v>
      </c>
      <c r="F6733" s="1" t="s">
        <v>23411</v>
      </c>
      <c r="G6733" s="1" t="s">
        <v>10164</v>
      </c>
      <c r="H6733" s="1" t="s">
        <v>3604</v>
      </c>
      <c r="I6733" s="1" t="s">
        <v>23412</v>
      </c>
      <c r="J6733" s="1" t="s">
        <v>3606</v>
      </c>
      <c r="K6733" s="1" t="s">
        <v>23413</v>
      </c>
      <c r="L6733" s="1"/>
      <c r="M6733" s="1"/>
    </row>
    <row x14ac:dyDescent="0.25" r="6734" customHeight="1" ht="18.75">
      <c r="A6734" s="1" t="s">
        <v>7833</v>
      </c>
      <c r="B6734" s="1" t="s">
        <v>9216</v>
      </c>
      <c r="C6734" s="1" t="s">
        <v>4488</v>
      </c>
      <c r="D6734" s="1" t="s">
        <v>3695</v>
      </c>
      <c r="E6734" s="1" t="s">
        <v>3752</v>
      </c>
      <c r="F6734" s="1" t="s">
        <v>23414</v>
      </c>
      <c r="G6734" s="1" t="s">
        <v>15516</v>
      </c>
      <c r="H6734" s="1" t="s">
        <v>3604</v>
      </c>
      <c r="I6734" s="1" t="s">
        <v>23415</v>
      </c>
      <c r="J6734" s="1" t="s">
        <v>3606</v>
      </c>
      <c r="K6734" s="1" t="s">
        <v>23416</v>
      </c>
      <c r="L6734" s="1"/>
      <c r="M6734" s="1"/>
    </row>
    <row x14ac:dyDescent="0.25" r="6735" customHeight="1" ht="18.75">
      <c r="A6735" s="1" t="s">
        <v>3693</v>
      </c>
      <c r="B6735" s="1" t="s">
        <v>4267</v>
      </c>
      <c r="C6735" s="1" t="s">
        <v>3600</v>
      </c>
      <c r="D6735" s="1" t="s">
        <v>3695</v>
      </c>
      <c r="E6735" s="1" t="s">
        <v>3893</v>
      </c>
      <c r="F6735" s="1" t="s">
        <v>23417</v>
      </c>
      <c r="G6735" s="1" t="s">
        <v>10164</v>
      </c>
      <c r="H6735" s="1" t="s">
        <v>3604</v>
      </c>
      <c r="I6735" s="1" t="s">
        <v>23418</v>
      </c>
      <c r="J6735" s="1" t="s">
        <v>3606</v>
      </c>
      <c r="K6735" s="1" t="s">
        <v>23419</v>
      </c>
      <c r="L6735" s="1"/>
      <c r="M6735" s="1"/>
    </row>
    <row x14ac:dyDescent="0.25" r="6736" customHeight="1" ht="18.75">
      <c r="A6736" s="1" t="s">
        <v>3693</v>
      </c>
      <c r="B6736" s="1" t="s">
        <v>4267</v>
      </c>
      <c r="C6736" s="1" t="s">
        <v>3600</v>
      </c>
      <c r="D6736" s="1" t="s">
        <v>3695</v>
      </c>
      <c r="E6736" s="1" t="s">
        <v>3664</v>
      </c>
      <c r="F6736" s="1" t="s">
        <v>23420</v>
      </c>
      <c r="G6736" s="1" t="s">
        <v>10280</v>
      </c>
      <c r="H6736" s="1" t="s">
        <v>3604</v>
      </c>
      <c r="I6736" s="1" t="s">
        <v>23421</v>
      </c>
      <c r="J6736" s="1" t="s">
        <v>3606</v>
      </c>
      <c r="K6736" s="1" t="s">
        <v>23422</v>
      </c>
      <c r="L6736" s="1"/>
      <c r="M6736" s="1"/>
    </row>
    <row x14ac:dyDescent="0.25" r="6737" customHeight="1" ht="18.75">
      <c r="A6737" s="1" t="s">
        <v>7833</v>
      </c>
      <c r="B6737" s="1" t="s">
        <v>8258</v>
      </c>
      <c r="C6737" s="1" t="s">
        <v>4488</v>
      </c>
      <c r="D6737" s="1" t="s">
        <v>3601</v>
      </c>
      <c r="E6737" s="1" t="s">
        <v>3664</v>
      </c>
      <c r="F6737" s="1" t="s">
        <v>23423</v>
      </c>
      <c r="G6737" s="1" t="s">
        <v>14553</v>
      </c>
      <c r="H6737" s="1" t="s">
        <v>3604</v>
      </c>
      <c r="I6737" s="1" t="s">
        <v>23424</v>
      </c>
      <c r="J6737" s="1" t="s">
        <v>3606</v>
      </c>
      <c r="K6737" s="1" t="s">
        <v>15446</v>
      </c>
      <c r="L6737" s="1"/>
      <c r="M6737" s="1"/>
    </row>
    <row x14ac:dyDescent="0.25" r="6738" customHeight="1" ht="18.75">
      <c r="A6738" s="1" t="s">
        <v>3693</v>
      </c>
      <c r="B6738" s="1" t="s">
        <v>4267</v>
      </c>
      <c r="C6738" s="1" t="s">
        <v>3600</v>
      </c>
      <c r="D6738" s="1" t="s">
        <v>3695</v>
      </c>
      <c r="E6738" s="1" t="s">
        <v>3664</v>
      </c>
      <c r="F6738" s="1" t="s">
        <v>23425</v>
      </c>
      <c r="G6738" s="1" t="s">
        <v>10280</v>
      </c>
      <c r="H6738" s="1" t="s">
        <v>3604</v>
      </c>
      <c r="I6738" s="1" t="s">
        <v>23426</v>
      </c>
      <c r="J6738" s="1" t="s">
        <v>3606</v>
      </c>
      <c r="K6738" s="1" t="s">
        <v>23427</v>
      </c>
      <c r="L6738" s="1"/>
      <c r="M6738" s="1"/>
    </row>
    <row x14ac:dyDescent="0.25" r="6739" customHeight="1" ht="18.75">
      <c r="A6739" s="1" t="s">
        <v>7833</v>
      </c>
      <c r="B6739" s="1" t="s">
        <v>14452</v>
      </c>
      <c r="C6739" s="1" t="s">
        <v>4488</v>
      </c>
      <c r="D6739" s="1" t="s">
        <v>3610</v>
      </c>
      <c r="E6739" s="1" t="s">
        <v>3664</v>
      </c>
      <c r="F6739" s="1" t="s">
        <v>23428</v>
      </c>
      <c r="G6739" s="1" t="s">
        <v>23429</v>
      </c>
      <c r="H6739" s="1" t="s">
        <v>3604</v>
      </c>
      <c r="I6739" s="1" t="s">
        <v>23430</v>
      </c>
      <c r="J6739" s="1" t="s">
        <v>3606</v>
      </c>
      <c r="K6739" s="1" t="s">
        <v>23431</v>
      </c>
      <c r="L6739" s="1"/>
      <c r="M6739" s="1"/>
    </row>
    <row x14ac:dyDescent="0.25" r="6740" customHeight="1" ht="18.75">
      <c r="A6740" s="1" t="s">
        <v>3693</v>
      </c>
      <c r="B6740" s="1" t="s">
        <v>4267</v>
      </c>
      <c r="C6740" s="1" t="s">
        <v>3600</v>
      </c>
      <c r="D6740" s="1" t="s">
        <v>3695</v>
      </c>
      <c r="E6740" s="1" t="s">
        <v>3664</v>
      </c>
      <c r="F6740" s="1" t="s">
        <v>23432</v>
      </c>
      <c r="G6740" s="1" t="s">
        <v>10280</v>
      </c>
      <c r="H6740" s="1" t="s">
        <v>3604</v>
      </c>
      <c r="I6740" s="1" t="s">
        <v>23433</v>
      </c>
      <c r="J6740" s="1" t="s">
        <v>3606</v>
      </c>
      <c r="K6740" s="1" t="s">
        <v>23434</v>
      </c>
      <c r="L6740" s="1"/>
      <c r="M6740" s="1"/>
    </row>
    <row x14ac:dyDescent="0.25" r="6741" customHeight="1" ht="18.75">
      <c r="A6741" s="1" t="s">
        <v>7833</v>
      </c>
      <c r="B6741" s="1" t="s">
        <v>14063</v>
      </c>
      <c r="C6741" s="1" t="s">
        <v>4488</v>
      </c>
      <c r="D6741" s="1" t="s">
        <v>3610</v>
      </c>
      <c r="E6741" s="1" t="s">
        <v>3664</v>
      </c>
      <c r="F6741" s="1" t="s">
        <v>23435</v>
      </c>
      <c r="G6741" s="1" t="s">
        <v>8275</v>
      </c>
      <c r="H6741" s="1" t="s">
        <v>3604</v>
      </c>
      <c r="I6741" s="1" t="s">
        <v>23436</v>
      </c>
      <c r="J6741" s="1" t="s">
        <v>3606</v>
      </c>
      <c r="K6741" s="1" t="s">
        <v>22700</v>
      </c>
      <c r="L6741" s="1"/>
      <c r="M6741" s="1"/>
    </row>
    <row x14ac:dyDescent="0.25" r="6742" customHeight="1" ht="18.75">
      <c r="A6742" s="1" t="s">
        <v>3693</v>
      </c>
      <c r="B6742" s="1" t="s">
        <v>4267</v>
      </c>
      <c r="C6742" s="1" t="s">
        <v>3600</v>
      </c>
      <c r="D6742" s="1" t="s">
        <v>3695</v>
      </c>
      <c r="E6742" s="1" t="s">
        <v>3893</v>
      </c>
      <c r="F6742" s="1" t="s">
        <v>23437</v>
      </c>
      <c r="G6742" s="1" t="s">
        <v>10164</v>
      </c>
      <c r="H6742" s="1" t="s">
        <v>3604</v>
      </c>
      <c r="I6742" s="1" t="s">
        <v>23438</v>
      </c>
      <c r="J6742" s="1" t="s">
        <v>3606</v>
      </c>
      <c r="K6742" s="1" t="s">
        <v>23439</v>
      </c>
      <c r="L6742" s="1"/>
      <c r="M6742" s="1"/>
    </row>
    <row x14ac:dyDescent="0.25" r="6743" customHeight="1" ht="18.75">
      <c r="A6743" s="1" t="s">
        <v>7833</v>
      </c>
      <c r="B6743" s="1" t="s">
        <v>14063</v>
      </c>
      <c r="C6743" s="1" t="s">
        <v>4488</v>
      </c>
      <c r="D6743" s="1" t="s">
        <v>3610</v>
      </c>
      <c r="E6743" s="1" t="s">
        <v>3664</v>
      </c>
      <c r="F6743" s="1" t="s">
        <v>23440</v>
      </c>
      <c r="G6743" s="1" t="s">
        <v>23441</v>
      </c>
      <c r="H6743" s="1" t="s">
        <v>3604</v>
      </c>
      <c r="I6743" s="1" t="s">
        <v>23442</v>
      </c>
      <c r="J6743" s="1" t="s">
        <v>3606</v>
      </c>
      <c r="K6743" s="1" t="s">
        <v>23443</v>
      </c>
      <c r="L6743" s="1"/>
      <c r="M6743" s="1"/>
    </row>
    <row x14ac:dyDescent="0.25" r="6744" customHeight="1" ht="18.75">
      <c r="A6744" s="1" t="s">
        <v>7833</v>
      </c>
      <c r="B6744" s="1" t="s">
        <v>14063</v>
      </c>
      <c r="C6744" s="1" t="s">
        <v>4488</v>
      </c>
      <c r="D6744" s="1" t="s">
        <v>3610</v>
      </c>
      <c r="E6744" s="1" t="s">
        <v>3664</v>
      </c>
      <c r="F6744" s="1" t="s">
        <v>23444</v>
      </c>
      <c r="G6744" s="1" t="s">
        <v>23441</v>
      </c>
      <c r="H6744" s="1" t="s">
        <v>3604</v>
      </c>
      <c r="I6744" s="1" t="s">
        <v>23445</v>
      </c>
      <c r="J6744" s="1" t="s">
        <v>3606</v>
      </c>
      <c r="K6744" s="1" t="s">
        <v>23446</v>
      </c>
      <c r="L6744" s="1"/>
      <c r="M6744" s="1"/>
    </row>
    <row x14ac:dyDescent="0.25" r="6745" customHeight="1" ht="18.75">
      <c r="A6745" s="1" t="s">
        <v>3693</v>
      </c>
      <c r="B6745" s="1" t="s">
        <v>4267</v>
      </c>
      <c r="C6745" s="1" t="s">
        <v>3600</v>
      </c>
      <c r="D6745" s="1" t="s">
        <v>3695</v>
      </c>
      <c r="E6745" s="1" t="s">
        <v>3893</v>
      </c>
      <c r="F6745" s="1" t="s">
        <v>23447</v>
      </c>
      <c r="G6745" s="1" t="s">
        <v>10164</v>
      </c>
      <c r="H6745" s="1" t="s">
        <v>3604</v>
      </c>
      <c r="I6745" s="1" t="s">
        <v>23448</v>
      </c>
      <c r="J6745" s="1" t="s">
        <v>3606</v>
      </c>
      <c r="K6745" s="1" t="s">
        <v>23449</v>
      </c>
      <c r="L6745" s="1"/>
      <c r="M6745" s="1"/>
    </row>
    <row x14ac:dyDescent="0.25" r="6746" customHeight="1" ht="18.75">
      <c r="A6746" s="1" t="s">
        <v>7833</v>
      </c>
      <c r="B6746" s="1" t="s">
        <v>14063</v>
      </c>
      <c r="C6746" s="1" t="s">
        <v>4488</v>
      </c>
      <c r="D6746" s="1" t="s">
        <v>3610</v>
      </c>
      <c r="E6746" s="1" t="s">
        <v>3664</v>
      </c>
      <c r="F6746" s="1" t="s">
        <v>23450</v>
      </c>
      <c r="G6746" s="1" t="s">
        <v>23441</v>
      </c>
      <c r="H6746" s="1" t="s">
        <v>3604</v>
      </c>
      <c r="I6746" s="1" t="s">
        <v>23451</v>
      </c>
      <c r="J6746" s="1" t="s">
        <v>3606</v>
      </c>
      <c r="K6746" s="1" t="s">
        <v>23452</v>
      </c>
      <c r="L6746" s="1"/>
      <c r="M6746" s="1"/>
    </row>
    <row x14ac:dyDescent="0.25" r="6747" customHeight="1" ht="18.75">
      <c r="A6747" s="1" t="s">
        <v>7833</v>
      </c>
      <c r="B6747" s="1" t="s">
        <v>14063</v>
      </c>
      <c r="C6747" s="1" t="s">
        <v>4488</v>
      </c>
      <c r="D6747" s="1" t="s">
        <v>3610</v>
      </c>
      <c r="E6747" s="1" t="s">
        <v>3664</v>
      </c>
      <c r="F6747" s="1" t="s">
        <v>23453</v>
      </c>
      <c r="G6747" s="1" t="s">
        <v>23454</v>
      </c>
      <c r="H6747" s="1" t="s">
        <v>3604</v>
      </c>
      <c r="I6747" s="1" t="s">
        <v>23455</v>
      </c>
      <c r="J6747" s="1" t="s">
        <v>3606</v>
      </c>
      <c r="K6747" s="1" t="s">
        <v>23456</v>
      </c>
      <c r="L6747" s="1"/>
      <c r="M6747" s="1"/>
    </row>
    <row x14ac:dyDescent="0.25" r="6748" customHeight="1" ht="18.75">
      <c r="A6748" s="1" t="s">
        <v>3617</v>
      </c>
      <c r="B6748" s="1" t="s">
        <v>5222</v>
      </c>
      <c r="C6748" s="1" t="s">
        <v>3619</v>
      </c>
      <c r="D6748" s="1" t="s">
        <v>3601</v>
      </c>
      <c r="E6748" s="1" t="s">
        <v>3730</v>
      </c>
      <c r="F6748" s="1" t="s">
        <v>23457</v>
      </c>
      <c r="G6748" s="1" t="s">
        <v>6195</v>
      </c>
      <c r="H6748" s="1" t="s">
        <v>3604</v>
      </c>
      <c r="I6748" s="1" t="s">
        <v>23458</v>
      </c>
      <c r="J6748" s="1" t="s">
        <v>3606</v>
      </c>
      <c r="K6748" s="1" t="s">
        <v>23459</v>
      </c>
      <c r="L6748" s="1"/>
      <c r="M6748" s="1"/>
    </row>
    <row x14ac:dyDescent="0.25" r="6749" customHeight="1" ht="18.75">
      <c r="A6749" s="1" t="s">
        <v>3693</v>
      </c>
      <c r="B6749" s="1" t="s">
        <v>4267</v>
      </c>
      <c r="C6749" s="1" t="s">
        <v>3600</v>
      </c>
      <c r="D6749" s="1" t="s">
        <v>3695</v>
      </c>
      <c r="E6749" s="1" t="s">
        <v>3893</v>
      </c>
      <c r="F6749" s="1" t="s">
        <v>23460</v>
      </c>
      <c r="G6749" s="1" t="s">
        <v>10164</v>
      </c>
      <c r="H6749" s="1" t="s">
        <v>3604</v>
      </c>
      <c r="I6749" s="1" t="s">
        <v>23461</v>
      </c>
      <c r="J6749" s="1" t="s">
        <v>3606</v>
      </c>
      <c r="K6749" s="1" t="s">
        <v>23462</v>
      </c>
      <c r="L6749" s="1"/>
      <c r="M6749" s="1"/>
    </row>
    <row x14ac:dyDescent="0.25" r="6750" customHeight="1" ht="18.75">
      <c r="A6750" s="1" t="s">
        <v>7833</v>
      </c>
      <c r="B6750" s="1" t="s">
        <v>8306</v>
      </c>
      <c r="C6750" s="1" t="s">
        <v>4488</v>
      </c>
      <c r="D6750" s="1" t="s">
        <v>3610</v>
      </c>
      <c r="E6750" s="1" t="s">
        <v>3664</v>
      </c>
      <c r="F6750" s="1" t="s">
        <v>23463</v>
      </c>
      <c r="G6750" s="1" t="s">
        <v>23464</v>
      </c>
      <c r="H6750" s="1" t="s">
        <v>3604</v>
      </c>
      <c r="I6750" s="1" t="s">
        <v>23465</v>
      </c>
      <c r="J6750" s="1" t="s">
        <v>3606</v>
      </c>
      <c r="K6750" s="1" t="s">
        <v>23466</v>
      </c>
      <c r="L6750" s="1"/>
      <c r="M6750" s="1"/>
    </row>
    <row x14ac:dyDescent="0.25" r="6751" customHeight="1" ht="18.75">
      <c r="A6751" s="1" t="s">
        <v>3617</v>
      </c>
      <c r="B6751" s="1" t="s">
        <v>5222</v>
      </c>
      <c r="C6751" s="1" t="s">
        <v>3619</v>
      </c>
      <c r="D6751" s="1" t="s">
        <v>3601</v>
      </c>
      <c r="E6751" s="1" t="s">
        <v>3730</v>
      </c>
      <c r="F6751" s="1" t="s">
        <v>23467</v>
      </c>
      <c r="G6751" s="1" t="s">
        <v>6195</v>
      </c>
      <c r="H6751" s="1" t="s">
        <v>3604</v>
      </c>
      <c r="I6751" s="1" t="s">
        <v>23468</v>
      </c>
      <c r="J6751" s="1" t="s">
        <v>3606</v>
      </c>
      <c r="K6751" s="1" t="s">
        <v>23469</v>
      </c>
      <c r="L6751" s="1"/>
      <c r="M6751" s="1"/>
    </row>
    <row x14ac:dyDescent="0.25" r="6752" customHeight="1" ht="18.75">
      <c r="A6752" s="1" t="s">
        <v>7833</v>
      </c>
      <c r="B6752" s="1" t="s">
        <v>7856</v>
      </c>
      <c r="C6752" s="1" t="s">
        <v>4488</v>
      </c>
      <c r="D6752" s="1" t="s">
        <v>3601</v>
      </c>
      <c r="E6752" s="1" t="s">
        <v>3611</v>
      </c>
      <c r="F6752" s="1" t="s">
        <v>23470</v>
      </c>
      <c r="G6752" s="1" t="s">
        <v>17951</v>
      </c>
      <c r="H6752" s="1" t="s">
        <v>3604</v>
      </c>
      <c r="I6752" s="1" t="s">
        <v>23471</v>
      </c>
      <c r="J6752" s="1" t="s">
        <v>3606</v>
      </c>
      <c r="K6752" s="1" t="s">
        <v>23472</v>
      </c>
      <c r="L6752" s="1"/>
      <c r="M6752" s="1"/>
    </row>
    <row x14ac:dyDescent="0.25" r="6753" customHeight="1" ht="18.75">
      <c r="A6753" s="1" t="s">
        <v>3617</v>
      </c>
      <c r="B6753" s="1" t="s">
        <v>5222</v>
      </c>
      <c r="C6753" s="1" t="s">
        <v>3619</v>
      </c>
      <c r="D6753" s="1" t="s">
        <v>3601</v>
      </c>
      <c r="E6753" s="1" t="s">
        <v>3730</v>
      </c>
      <c r="F6753" s="1" t="s">
        <v>23473</v>
      </c>
      <c r="G6753" s="1" t="s">
        <v>6195</v>
      </c>
      <c r="H6753" s="1" t="s">
        <v>3604</v>
      </c>
      <c r="I6753" s="1" t="s">
        <v>23474</v>
      </c>
      <c r="J6753" s="1" t="s">
        <v>3606</v>
      </c>
      <c r="K6753" s="1" t="s">
        <v>23475</v>
      </c>
      <c r="L6753" s="1"/>
      <c r="M6753" s="1"/>
    </row>
    <row x14ac:dyDescent="0.25" r="6754" customHeight="1" ht="18.75">
      <c r="A6754" s="1" t="s">
        <v>7833</v>
      </c>
      <c r="B6754" s="1" t="s">
        <v>8306</v>
      </c>
      <c r="C6754" s="1" t="s">
        <v>4488</v>
      </c>
      <c r="D6754" s="1" t="s">
        <v>3610</v>
      </c>
      <c r="E6754" s="1" t="s">
        <v>3664</v>
      </c>
      <c r="F6754" s="1" t="s">
        <v>23476</v>
      </c>
      <c r="G6754" s="1" t="s">
        <v>23464</v>
      </c>
      <c r="H6754" s="1" t="s">
        <v>3604</v>
      </c>
      <c r="I6754" s="1" t="s">
        <v>23477</v>
      </c>
      <c r="J6754" s="1" t="s">
        <v>3606</v>
      </c>
      <c r="K6754" s="1" t="s">
        <v>23478</v>
      </c>
      <c r="L6754" s="1"/>
      <c r="M6754" s="1"/>
    </row>
    <row x14ac:dyDescent="0.25" r="6755" customHeight="1" ht="18.75">
      <c r="A6755" s="1" t="s">
        <v>3693</v>
      </c>
      <c r="B6755" s="1" t="s">
        <v>4267</v>
      </c>
      <c r="C6755" s="1" t="s">
        <v>3600</v>
      </c>
      <c r="D6755" s="1" t="s">
        <v>3695</v>
      </c>
      <c r="E6755" s="1" t="s">
        <v>3893</v>
      </c>
      <c r="F6755" s="1" t="s">
        <v>23479</v>
      </c>
      <c r="G6755" s="1" t="s">
        <v>10164</v>
      </c>
      <c r="H6755" s="1" t="s">
        <v>3604</v>
      </c>
      <c r="I6755" s="1" t="s">
        <v>23480</v>
      </c>
      <c r="J6755" s="1" t="s">
        <v>3606</v>
      </c>
      <c r="K6755" s="1" t="s">
        <v>23481</v>
      </c>
      <c r="L6755" s="1"/>
      <c r="M6755" s="1"/>
    </row>
    <row x14ac:dyDescent="0.25" r="6756" customHeight="1" ht="18.75">
      <c r="A6756" s="1" t="s">
        <v>3617</v>
      </c>
      <c r="B6756" s="1" t="s">
        <v>5222</v>
      </c>
      <c r="C6756" s="1" t="s">
        <v>3619</v>
      </c>
      <c r="D6756" s="1" t="s">
        <v>3601</v>
      </c>
      <c r="E6756" s="1" t="s">
        <v>3730</v>
      </c>
      <c r="F6756" s="1" t="s">
        <v>23482</v>
      </c>
      <c r="G6756" s="1" t="s">
        <v>6195</v>
      </c>
      <c r="H6756" s="1" t="s">
        <v>3604</v>
      </c>
      <c r="I6756" s="1" t="s">
        <v>23483</v>
      </c>
      <c r="J6756" s="1" t="s">
        <v>3606</v>
      </c>
      <c r="K6756" s="1" t="s">
        <v>12181</v>
      </c>
      <c r="L6756" s="1"/>
      <c r="M6756" s="1"/>
    </row>
    <row x14ac:dyDescent="0.25" r="6757" customHeight="1" ht="18.75">
      <c r="A6757" s="1" t="s">
        <v>7833</v>
      </c>
      <c r="B6757" s="1" t="s">
        <v>8095</v>
      </c>
      <c r="C6757" s="1" t="s">
        <v>4488</v>
      </c>
      <c r="D6757" s="1" t="s">
        <v>3610</v>
      </c>
      <c r="E6757" s="1" t="s">
        <v>8096</v>
      </c>
      <c r="F6757" s="1" t="s">
        <v>23484</v>
      </c>
      <c r="G6757" s="1" t="s">
        <v>9085</v>
      </c>
      <c r="H6757" s="1" t="s">
        <v>3604</v>
      </c>
      <c r="I6757" s="1" t="s">
        <v>23485</v>
      </c>
      <c r="J6757" s="1" t="s">
        <v>3606</v>
      </c>
      <c r="K6757" s="1" t="s">
        <v>14345</v>
      </c>
      <c r="L6757" s="1"/>
      <c r="M6757" s="1"/>
    </row>
    <row x14ac:dyDescent="0.25" r="6758" customHeight="1" ht="18.75">
      <c r="A6758" s="1" t="s">
        <v>3617</v>
      </c>
      <c r="B6758" s="1" t="s">
        <v>5222</v>
      </c>
      <c r="C6758" s="1" t="s">
        <v>3619</v>
      </c>
      <c r="D6758" s="1" t="s">
        <v>3601</v>
      </c>
      <c r="E6758" s="1" t="s">
        <v>3730</v>
      </c>
      <c r="F6758" s="1" t="s">
        <v>23486</v>
      </c>
      <c r="G6758" s="1" t="s">
        <v>6195</v>
      </c>
      <c r="H6758" s="1" t="s">
        <v>3604</v>
      </c>
      <c r="I6758" s="1" t="s">
        <v>23487</v>
      </c>
      <c r="J6758" s="1" t="s">
        <v>3606</v>
      </c>
      <c r="K6758" s="1" t="s">
        <v>23488</v>
      </c>
      <c r="L6758" s="1"/>
      <c r="M6758" s="1"/>
    </row>
    <row x14ac:dyDescent="0.25" r="6759" customHeight="1" ht="18.75">
      <c r="A6759" s="1" t="s">
        <v>3617</v>
      </c>
      <c r="B6759" s="1" t="s">
        <v>12386</v>
      </c>
      <c r="C6759" s="1" t="s">
        <v>3619</v>
      </c>
      <c r="D6759" s="1" t="s">
        <v>3601</v>
      </c>
      <c r="E6759" s="1" t="s">
        <v>3664</v>
      </c>
      <c r="F6759" s="1" t="s">
        <v>12388</v>
      </c>
      <c r="G6759" s="1" t="s">
        <v>12383</v>
      </c>
      <c r="H6759" s="1" t="s">
        <v>3604</v>
      </c>
      <c r="I6759" s="1" t="s">
        <v>23489</v>
      </c>
      <c r="J6759" s="1" t="s">
        <v>3606</v>
      </c>
      <c r="K6759" s="1" t="s">
        <v>12390</v>
      </c>
      <c r="L6759" s="1"/>
      <c r="M6759" s="1"/>
    </row>
    <row x14ac:dyDescent="0.25" r="6760" customHeight="1" ht="18.75">
      <c r="A6760" s="1" t="s">
        <v>3617</v>
      </c>
      <c r="B6760" s="1" t="s">
        <v>5222</v>
      </c>
      <c r="C6760" s="1" t="s">
        <v>3619</v>
      </c>
      <c r="D6760" s="1" t="s">
        <v>3601</v>
      </c>
      <c r="E6760" s="1" t="s">
        <v>3730</v>
      </c>
      <c r="F6760" s="1" t="s">
        <v>23490</v>
      </c>
      <c r="G6760" s="1" t="s">
        <v>6195</v>
      </c>
      <c r="H6760" s="1" t="s">
        <v>3604</v>
      </c>
      <c r="I6760" s="1" t="s">
        <v>23491</v>
      </c>
      <c r="J6760" s="1" t="s">
        <v>3606</v>
      </c>
      <c r="K6760" s="1" t="s">
        <v>12175</v>
      </c>
      <c r="L6760" s="1"/>
      <c r="M6760" s="1"/>
    </row>
    <row x14ac:dyDescent="0.25" r="6761" customHeight="1" ht="18.75">
      <c r="A6761" s="1" t="s">
        <v>3617</v>
      </c>
      <c r="B6761" s="1" t="s">
        <v>5222</v>
      </c>
      <c r="C6761" s="1" t="s">
        <v>3619</v>
      </c>
      <c r="D6761" s="1" t="s">
        <v>3601</v>
      </c>
      <c r="E6761" s="1" t="s">
        <v>3730</v>
      </c>
      <c r="F6761" s="1" t="s">
        <v>23492</v>
      </c>
      <c r="G6761" s="1" t="s">
        <v>6195</v>
      </c>
      <c r="H6761" s="1" t="s">
        <v>3604</v>
      </c>
      <c r="I6761" s="1" t="s">
        <v>23493</v>
      </c>
      <c r="J6761" s="1" t="s">
        <v>3606</v>
      </c>
      <c r="K6761" s="1" t="s">
        <v>23494</v>
      </c>
      <c r="L6761" s="1"/>
      <c r="M6761" s="1"/>
    </row>
    <row x14ac:dyDescent="0.25" r="6762" customHeight="1" ht="18.75">
      <c r="A6762" s="1" t="s">
        <v>3693</v>
      </c>
      <c r="B6762" s="1" t="s">
        <v>4267</v>
      </c>
      <c r="C6762" s="1" t="s">
        <v>3600</v>
      </c>
      <c r="D6762" s="1" t="s">
        <v>3695</v>
      </c>
      <c r="E6762" s="1" t="s">
        <v>3893</v>
      </c>
      <c r="F6762" s="1" t="s">
        <v>23495</v>
      </c>
      <c r="G6762" s="1" t="s">
        <v>10164</v>
      </c>
      <c r="H6762" s="1" t="s">
        <v>3604</v>
      </c>
      <c r="I6762" s="1" t="s">
        <v>23496</v>
      </c>
      <c r="J6762" s="1" t="s">
        <v>3606</v>
      </c>
      <c r="K6762" s="1" t="s">
        <v>23497</v>
      </c>
      <c r="L6762" s="1"/>
      <c r="M6762" s="1"/>
    </row>
    <row x14ac:dyDescent="0.25" r="6763" customHeight="1" ht="18.75">
      <c r="A6763" s="1" t="s">
        <v>7833</v>
      </c>
      <c r="B6763" s="1" t="s">
        <v>8095</v>
      </c>
      <c r="C6763" s="1" t="s">
        <v>4488</v>
      </c>
      <c r="D6763" s="1" t="s">
        <v>3610</v>
      </c>
      <c r="E6763" s="1" t="s">
        <v>8096</v>
      </c>
      <c r="F6763" s="1" t="s">
        <v>23498</v>
      </c>
      <c r="G6763" s="1" t="s">
        <v>9085</v>
      </c>
      <c r="H6763" s="1" t="s">
        <v>3604</v>
      </c>
      <c r="I6763" s="1" t="s">
        <v>23499</v>
      </c>
      <c r="J6763" s="1" t="s">
        <v>3606</v>
      </c>
      <c r="K6763" s="1" t="s">
        <v>14348</v>
      </c>
      <c r="L6763" s="1"/>
      <c r="M6763" s="1"/>
    </row>
    <row x14ac:dyDescent="0.25" r="6764" customHeight="1" ht="18.75">
      <c r="A6764" s="1" t="s">
        <v>3617</v>
      </c>
      <c r="B6764" s="1" t="s">
        <v>5222</v>
      </c>
      <c r="C6764" s="1" t="s">
        <v>3619</v>
      </c>
      <c r="D6764" s="1" t="s">
        <v>3601</v>
      </c>
      <c r="E6764" s="1" t="s">
        <v>3730</v>
      </c>
      <c r="F6764" s="1" t="s">
        <v>23500</v>
      </c>
      <c r="G6764" s="1" t="s">
        <v>6195</v>
      </c>
      <c r="H6764" s="1" t="s">
        <v>3604</v>
      </c>
      <c r="I6764" s="1" t="s">
        <v>23501</v>
      </c>
      <c r="J6764" s="1" t="s">
        <v>3606</v>
      </c>
      <c r="K6764" s="1" t="s">
        <v>23502</v>
      </c>
      <c r="L6764" s="1"/>
      <c r="M6764" s="1"/>
    </row>
    <row x14ac:dyDescent="0.25" r="6765" customHeight="1" ht="18.75">
      <c r="A6765" s="1" t="s">
        <v>7833</v>
      </c>
      <c r="B6765" s="1" t="s">
        <v>7856</v>
      </c>
      <c r="C6765" s="1" t="s">
        <v>4488</v>
      </c>
      <c r="D6765" s="1" t="s">
        <v>533</v>
      </c>
      <c r="E6765" s="1" t="s">
        <v>3611</v>
      </c>
      <c r="F6765" s="1" t="s">
        <v>23503</v>
      </c>
      <c r="G6765" s="1" t="s">
        <v>17940</v>
      </c>
      <c r="H6765" s="1" t="s">
        <v>3604</v>
      </c>
      <c r="I6765" s="1" t="s">
        <v>23504</v>
      </c>
      <c r="J6765" s="1" t="s">
        <v>3606</v>
      </c>
      <c r="K6765" s="1" t="s">
        <v>23505</v>
      </c>
      <c r="L6765" s="1"/>
      <c r="M6765" s="1"/>
    </row>
    <row x14ac:dyDescent="0.25" r="6766" customHeight="1" ht="18.75">
      <c r="A6766" s="1" t="s">
        <v>3617</v>
      </c>
      <c r="B6766" s="1" t="s">
        <v>5222</v>
      </c>
      <c r="C6766" s="1" t="s">
        <v>3619</v>
      </c>
      <c r="D6766" s="1" t="s">
        <v>3601</v>
      </c>
      <c r="E6766" s="1" t="s">
        <v>3730</v>
      </c>
      <c r="F6766" s="1" t="s">
        <v>23506</v>
      </c>
      <c r="G6766" s="1" t="s">
        <v>6195</v>
      </c>
      <c r="H6766" s="1" t="s">
        <v>3604</v>
      </c>
      <c r="I6766" s="1" t="s">
        <v>23507</v>
      </c>
      <c r="J6766" s="1" t="s">
        <v>3606</v>
      </c>
      <c r="K6766" s="1" t="s">
        <v>23508</v>
      </c>
      <c r="L6766" s="1"/>
      <c r="M6766" s="1"/>
    </row>
    <row x14ac:dyDescent="0.25" r="6767" customHeight="1" ht="18.75">
      <c r="A6767" s="1" t="s">
        <v>3617</v>
      </c>
      <c r="B6767" s="1" t="s">
        <v>5222</v>
      </c>
      <c r="C6767" s="1" t="s">
        <v>3619</v>
      </c>
      <c r="D6767" s="1" t="s">
        <v>3601</v>
      </c>
      <c r="E6767" s="1" t="s">
        <v>3730</v>
      </c>
      <c r="F6767" s="1" t="s">
        <v>23509</v>
      </c>
      <c r="G6767" s="1" t="s">
        <v>6195</v>
      </c>
      <c r="H6767" s="1" t="s">
        <v>3604</v>
      </c>
      <c r="I6767" s="1" t="s">
        <v>23510</v>
      </c>
      <c r="J6767" s="1" t="s">
        <v>3606</v>
      </c>
      <c r="K6767" s="1" t="s">
        <v>23511</v>
      </c>
      <c r="L6767" s="1"/>
      <c r="M6767" s="1"/>
    </row>
    <row x14ac:dyDescent="0.25" r="6768" customHeight="1" ht="18.75">
      <c r="A6768" s="1" t="s">
        <v>3617</v>
      </c>
      <c r="B6768" s="1" t="s">
        <v>5222</v>
      </c>
      <c r="C6768" s="1" t="s">
        <v>3619</v>
      </c>
      <c r="D6768" s="1" t="s">
        <v>3601</v>
      </c>
      <c r="E6768" s="1" t="s">
        <v>3730</v>
      </c>
      <c r="F6768" s="1" t="s">
        <v>23512</v>
      </c>
      <c r="G6768" s="1" t="s">
        <v>6195</v>
      </c>
      <c r="H6768" s="1" t="s">
        <v>3604</v>
      </c>
      <c r="I6768" s="1" t="s">
        <v>23513</v>
      </c>
      <c r="J6768" s="1" t="s">
        <v>3606</v>
      </c>
      <c r="K6768" s="1" t="s">
        <v>23514</v>
      </c>
      <c r="L6768" s="1"/>
      <c r="M6768" s="1"/>
    </row>
    <row x14ac:dyDescent="0.25" r="6769" customHeight="1" ht="18.75">
      <c r="A6769" s="1" t="s">
        <v>3693</v>
      </c>
      <c r="B6769" s="1" t="s">
        <v>4267</v>
      </c>
      <c r="C6769" s="1" t="s">
        <v>3600</v>
      </c>
      <c r="D6769" s="1" t="s">
        <v>3695</v>
      </c>
      <c r="E6769" s="1" t="s">
        <v>3893</v>
      </c>
      <c r="F6769" s="1" t="s">
        <v>23515</v>
      </c>
      <c r="G6769" s="1" t="s">
        <v>10164</v>
      </c>
      <c r="H6769" s="1" t="s">
        <v>3604</v>
      </c>
      <c r="I6769" s="1" t="s">
        <v>23516</v>
      </c>
      <c r="J6769" s="1" t="s">
        <v>3606</v>
      </c>
      <c r="K6769" s="1" t="s">
        <v>23517</v>
      </c>
      <c r="L6769" s="1"/>
      <c r="M6769" s="1"/>
    </row>
    <row x14ac:dyDescent="0.25" r="6770" customHeight="1" ht="18.75">
      <c r="A6770" s="1" t="s">
        <v>3617</v>
      </c>
      <c r="B6770" s="1" t="s">
        <v>5222</v>
      </c>
      <c r="C6770" s="1" t="s">
        <v>3619</v>
      </c>
      <c r="D6770" s="1" t="s">
        <v>3601</v>
      </c>
      <c r="E6770" s="1" t="s">
        <v>3730</v>
      </c>
      <c r="F6770" s="1" t="s">
        <v>23518</v>
      </c>
      <c r="G6770" s="1" t="s">
        <v>6195</v>
      </c>
      <c r="H6770" s="1" t="s">
        <v>3604</v>
      </c>
      <c r="I6770" s="1" t="s">
        <v>23519</v>
      </c>
      <c r="J6770" s="1" t="s">
        <v>3606</v>
      </c>
      <c r="K6770" s="1" t="s">
        <v>23520</v>
      </c>
      <c r="L6770" s="1"/>
      <c r="M6770" s="1"/>
    </row>
    <row x14ac:dyDescent="0.25" r="6771" customHeight="1" ht="18.75">
      <c r="A6771" s="1" t="s">
        <v>3617</v>
      </c>
      <c r="B6771" s="1" t="s">
        <v>5222</v>
      </c>
      <c r="C6771" s="1" t="s">
        <v>3619</v>
      </c>
      <c r="D6771" s="1" t="s">
        <v>3601</v>
      </c>
      <c r="E6771" s="1" t="s">
        <v>3730</v>
      </c>
      <c r="F6771" s="1" t="s">
        <v>23521</v>
      </c>
      <c r="G6771" s="1" t="s">
        <v>6195</v>
      </c>
      <c r="H6771" s="1" t="s">
        <v>3604</v>
      </c>
      <c r="I6771" s="1" t="s">
        <v>23522</v>
      </c>
      <c r="J6771" s="1" t="s">
        <v>3606</v>
      </c>
      <c r="K6771" s="1" t="s">
        <v>23523</v>
      </c>
      <c r="L6771" s="1"/>
      <c r="M6771" s="1"/>
    </row>
    <row x14ac:dyDescent="0.25" r="6772" customHeight="1" ht="18.75">
      <c r="A6772" s="1" t="s">
        <v>3617</v>
      </c>
      <c r="B6772" s="1" t="s">
        <v>5222</v>
      </c>
      <c r="C6772" s="1" t="s">
        <v>3619</v>
      </c>
      <c r="D6772" s="1" t="s">
        <v>3601</v>
      </c>
      <c r="E6772" s="1" t="s">
        <v>3730</v>
      </c>
      <c r="F6772" s="1" t="s">
        <v>23524</v>
      </c>
      <c r="G6772" s="1" t="s">
        <v>6195</v>
      </c>
      <c r="H6772" s="1" t="s">
        <v>3604</v>
      </c>
      <c r="I6772" s="1" t="s">
        <v>23525</v>
      </c>
      <c r="J6772" s="1" t="s">
        <v>3606</v>
      </c>
      <c r="K6772" s="1" t="s">
        <v>23526</v>
      </c>
      <c r="L6772" s="1"/>
      <c r="M6772" s="1"/>
    </row>
    <row x14ac:dyDescent="0.25" r="6773" customHeight="1" ht="18.75">
      <c r="A6773" s="1" t="s">
        <v>3617</v>
      </c>
      <c r="B6773" s="1" t="s">
        <v>5222</v>
      </c>
      <c r="C6773" s="1" t="s">
        <v>3619</v>
      </c>
      <c r="D6773" s="1" t="s">
        <v>3601</v>
      </c>
      <c r="E6773" s="1" t="s">
        <v>3730</v>
      </c>
      <c r="F6773" s="1" t="s">
        <v>23527</v>
      </c>
      <c r="G6773" s="1" t="s">
        <v>6195</v>
      </c>
      <c r="H6773" s="1" t="s">
        <v>3604</v>
      </c>
      <c r="I6773" s="1" t="s">
        <v>23528</v>
      </c>
      <c r="J6773" s="1" t="s">
        <v>3606</v>
      </c>
      <c r="K6773" s="1" t="s">
        <v>23529</v>
      </c>
      <c r="L6773" s="1"/>
      <c r="M6773" s="1"/>
    </row>
    <row x14ac:dyDescent="0.25" r="6774" customHeight="1" ht="18.75">
      <c r="A6774" s="1" t="s">
        <v>3617</v>
      </c>
      <c r="B6774" s="1" t="s">
        <v>5222</v>
      </c>
      <c r="C6774" s="1" t="s">
        <v>3619</v>
      </c>
      <c r="D6774" s="1" t="s">
        <v>3601</v>
      </c>
      <c r="E6774" s="1" t="s">
        <v>3730</v>
      </c>
      <c r="F6774" s="1" t="s">
        <v>23530</v>
      </c>
      <c r="G6774" s="1" t="s">
        <v>6195</v>
      </c>
      <c r="H6774" s="1" t="s">
        <v>3604</v>
      </c>
      <c r="I6774" s="1" t="s">
        <v>23531</v>
      </c>
      <c r="J6774" s="1" t="s">
        <v>3606</v>
      </c>
      <c r="K6774" s="1" t="s">
        <v>23532</v>
      </c>
      <c r="L6774" s="1"/>
      <c r="M6774" s="1"/>
    </row>
    <row x14ac:dyDescent="0.25" r="6775" customHeight="1" ht="18.75">
      <c r="A6775" s="1" t="s">
        <v>3617</v>
      </c>
      <c r="B6775" s="1" t="s">
        <v>5222</v>
      </c>
      <c r="C6775" s="1" t="s">
        <v>3619</v>
      </c>
      <c r="D6775" s="1" t="s">
        <v>3601</v>
      </c>
      <c r="E6775" s="1" t="s">
        <v>3730</v>
      </c>
      <c r="F6775" s="1" t="s">
        <v>23533</v>
      </c>
      <c r="G6775" s="1" t="s">
        <v>6195</v>
      </c>
      <c r="H6775" s="1" t="s">
        <v>3604</v>
      </c>
      <c r="I6775" s="1" t="s">
        <v>23534</v>
      </c>
      <c r="J6775" s="1" t="s">
        <v>3606</v>
      </c>
      <c r="K6775" s="1" t="s">
        <v>23535</v>
      </c>
      <c r="L6775" s="1"/>
      <c r="M6775" s="1"/>
    </row>
    <row x14ac:dyDescent="0.25" r="6776" customHeight="1" ht="18.75">
      <c r="A6776" s="1" t="s">
        <v>3693</v>
      </c>
      <c r="B6776" s="1" t="s">
        <v>4267</v>
      </c>
      <c r="C6776" s="1" t="s">
        <v>3600</v>
      </c>
      <c r="D6776" s="1" t="s">
        <v>3695</v>
      </c>
      <c r="E6776" s="1" t="s">
        <v>3664</v>
      </c>
      <c r="F6776" s="1" t="s">
        <v>23536</v>
      </c>
      <c r="G6776" s="1" t="s">
        <v>23537</v>
      </c>
      <c r="H6776" s="1" t="s">
        <v>3604</v>
      </c>
      <c r="I6776" s="1" t="s">
        <v>23538</v>
      </c>
      <c r="J6776" s="1" t="s">
        <v>3606</v>
      </c>
      <c r="K6776" s="1" t="s">
        <v>23539</v>
      </c>
      <c r="L6776" s="1"/>
      <c r="M6776" s="1"/>
    </row>
    <row x14ac:dyDescent="0.25" r="6777" customHeight="1" ht="18.75">
      <c r="A6777" s="1" t="s">
        <v>3617</v>
      </c>
      <c r="B6777" s="1" t="s">
        <v>5222</v>
      </c>
      <c r="C6777" s="1" t="s">
        <v>3619</v>
      </c>
      <c r="D6777" s="1" t="s">
        <v>3601</v>
      </c>
      <c r="E6777" s="1" t="s">
        <v>3730</v>
      </c>
      <c r="F6777" s="1" t="s">
        <v>23540</v>
      </c>
      <c r="G6777" s="1" t="s">
        <v>6195</v>
      </c>
      <c r="H6777" s="1" t="s">
        <v>3604</v>
      </c>
      <c r="I6777" s="1" t="s">
        <v>23541</v>
      </c>
      <c r="J6777" s="1" t="s">
        <v>3606</v>
      </c>
      <c r="K6777" s="1" t="s">
        <v>23542</v>
      </c>
      <c r="L6777" s="1"/>
      <c r="M6777" s="1"/>
    </row>
    <row x14ac:dyDescent="0.25" r="6778" customHeight="1" ht="18.75">
      <c r="A6778" s="1" t="s">
        <v>3617</v>
      </c>
      <c r="B6778" s="1" t="s">
        <v>5222</v>
      </c>
      <c r="C6778" s="1" t="s">
        <v>3619</v>
      </c>
      <c r="D6778" s="1" t="s">
        <v>3601</v>
      </c>
      <c r="E6778" s="1" t="s">
        <v>3730</v>
      </c>
      <c r="F6778" s="1" t="s">
        <v>23543</v>
      </c>
      <c r="G6778" s="1" t="s">
        <v>6195</v>
      </c>
      <c r="H6778" s="1" t="s">
        <v>3604</v>
      </c>
      <c r="I6778" s="1" t="s">
        <v>23544</v>
      </c>
      <c r="J6778" s="1" t="s">
        <v>3606</v>
      </c>
      <c r="K6778" s="1" t="s">
        <v>23545</v>
      </c>
      <c r="L6778" s="1"/>
      <c r="M6778" s="1"/>
    </row>
    <row x14ac:dyDescent="0.25" r="6779" customHeight="1" ht="18.75">
      <c r="A6779" s="1" t="s">
        <v>3617</v>
      </c>
      <c r="B6779" s="1" t="s">
        <v>5222</v>
      </c>
      <c r="C6779" s="1" t="s">
        <v>3619</v>
      </c>
      <c r="D6779" s="1" t="s">
        <v>3601</v>
      </c>
      <c r="E6779" s="1" t="s">
        <v>3730</v>
      </c>
      <c r="F6779" s="1" t="s">
        <v>23546</v>
      </c>
      <c r="G6779" s="1" t="s">
        <v>6195</v>
      </c>
      <c r="H6779" s="1" t="s">
        <v>3604</v>
      </c>
      <c r="I6779" s="1" t="s">
        <v>23547</v>
      </c>
      <c r="J6779" s="1" t="s">
        <v>3606</v>
      </c>
      <c r="K6779" s="1" t="s">
        <v>23548</v>
      </c>
      <c r="L6779" s="1"/>
      <c r="M6779" s="1"/>
    </row>
    <row x14ac:dyDescent="0.25" r="6780" customHeight="1" ht="18.75">
      <c r="A6780" s="1" t="s">
        <v>3617</v>
      </c>
      <c r="B6780" s="1" t="s">
        <v>5222</v>
      </c>
      <c r="C6780" s="1" t="s">
        <v>3619</v>
      </c>
      <c r="D6780" s="1" t="s">
        <v>3601</v>
      </c>
      <c r="E6780" s="1" t="s">
        <v>3730</v>
      </c>
      <c r="F6780" s="1" t="s">
        <v>23549</v>
      </c>
      <c r="G6780" s="1" t="s">
        <v>6195</v>
      </c>
      <c r="H6780" s="1" t="s">
        <v>3604</v>
      </c>
      <c r="I6780" s="1" t="s">
        <v>23550</v>
      </c>
      <c r="J6780" s="1" t="s">
        <v>3606</v>
      </c>
      <c r="K6780" s="1" t="s">
        <v>23551</v>
      </c>
      <c r="L6780" s="1"/>
      <c r="M6780" s="1"/>
    </row>
    <row x14ac:dyDescent="0.25" r="6781" customHeight="1" ht="18.75">
      <c r="A6781" s="1" t="s">
        <v>3693</v>
      </c>
      <c r="B6781" s="1" t="s">
        <v>10217</v>
      </c>
      <c r="C6781" s="1" t="s">
        <v>3619</v>
      </c>
      <c r="D6781" s="1" t="s">
        <v>3610</v>
      </c>
      <c r="E6781" s="1" t="s">
        <v>3981</v>
      </c>
      <c r="F6781" s="1" t="s">
        <v>23552</v>
      </c>
      <c r="G6781" s="1" t="s">
        <v>23297</v>
      </c>
      <c r="H6781" s="1" t="s">
        <v>3604</v>
      </c>
      <c r="I6781" s="1" t="s">
        <v>23553</v>
      </c>
      <c r="J6781" s="1" t="s">
        <v>3606</v>
      </c>
      <c r="K6781" s="1" t="s">
        <v>23554</v>
      </c>
      <c r="L6781" s="1"/>
      <c r="M6781" s="1"/>
    </row>
    <row x14ac:dyDescent="0.25" r="6782" customHeight="1" ht="18.75">
      <c r="A6782" s="1" t="s">
        <v>3617</v>
      </c>
      <c r="B6782" s="1" t="s">
        <v>5222</v>
      </c>
      <c r="C6782" s="1" t="s">
        <v>3619</v>
      </c>
      <c r="D6782" s="1" t="s">
        <v>3601</v>
      </c>
      <c r="E6782" s="1" t="s">
        <v>3730</v>
      </c>
      <c r="F6782" s="1" t="s">
        <v>23555</v>
      </c>
      <c r="G6782" s="1" t="s">
        <v>6195</v>
      </c>
      <c r="H6782" s="1" t="s">
        <v>3604</v>
      </c>
      <c r="I6782" s="1" t="s">
        <v>23556</v>
      </c>
      <c r="J6782" s="1" t="s">
        <v>3606</v>
      </c>
      <c r="K6782" s="1" t="s">
        <v>23557</v>
      </c>
      <c r="L6782" s="1"/>
      <c r="M6782" s="1"/>
    </row>
    <row x14ac:dyDescent="0.25" r="6783" customHeight="1" ht="18.75">
      <c r="A6783" s="1" t="s">
        <v>3617</v>
      </c>
      <c r="B6783" s="1" t="s">
        <v>5222</v>
      </c>
      <c r="C6783" s="1" t="s">
        <v>3619</v>
      </c>
      <c r="D6783" s="1" t="s">
        <v>3601</v>
      </c>
      <c r="E6783" s="1" t="s">
        <v>3730</v>
      </c>
      <c r="F6783" s="1" t="s">
        <v>23558</v>
      </c>
      <c r="G6783" s="1" t="s">
        <v>6195</v>
      </c>
      <c r="H6783" s="1" t="s">
        <v>3604</v>
      </c>
      <c r="I6783" s="1" t="s">
        <v>23559</v>
      </c>
      <c r="J6783" s="1" t="s">
        <v>3606</v>
      </c>
      <c r="K6783" s="1" t="s">
        <v>23560</v>
      </c>
      <c r="L6783" s="1"/>
      <c r="M6783" s="1"/>
    </row>
    <row x14ac:dyDescent="0.25" r="6784" customHeight="1" ht="18.75">
      <c r="A6784" s="1" t="s">
        <v>3693</v>
      </c>
      <c r="B6784" s="1" t="s">
        <v>10217</v>
      </c>
      <c r="C6784" s="1" t="s">
        <v>3619</v>
      </c>
      <c r="D6784" s="1" t="s">
        <v>3610</v>
      </c>
      <c r="E6784" s="1" t="s">
        <v>3981</v>
      </c>
      <c r="F6784" s="1" t="s">
        <v>23561</v>
      </c>
      <c r="G6784" s="1" t="s">
        <v>23562</v>
      </c>
      <c r="H6784" s="1" t="s">
        <v>3604</v>
      </c>
      <c r="I6784" s="1" t="s">
        <v>23563</v>
      </c>
      <c r="J6784" s="1" t="s">
        <v>3606</v>
      </c>
      <c r="K6784" s="1" t="s">
        <v>23564</v>
      </c>
      <c r="L6784" s="1"/>
      <c r="M6784" s="1"/>
    </row>
    <row x14ac:dyDescent="0.25" r="6785" customHeight="1" ht="18.75">
      <c r="A6785" s="1" t="s">
        <v>3617</v>
      </c>
      <c r="B6785" s="1" t="s">
        <v>5222</v>
      </c>
      <c r="C6785" s="1" t="s">
        <v>3619</v>
      </c>
      <c r="D6785" s="1" t="s">
        <v>3601</v>
      </c>
      <c r="E6785" s="1" t="s">
        <v>3730</v>
      </c>
      <c r="F6785" s="1" t="s">
        <v>23565</v>
      </c>
      <c r="G6785" s="1" t="s">
        <v>6195</v>
      </c>
      <c r="H6785" s="1" t="s">
        <v>3604</v>
      </c>
      <c r="I6785" s="1" t="s">
        <v>23566</v>
      </c>
      <c r="J6785" s="1" t="s">
        <v>3606</v>
      </c>
      <c r="K6785" s="1" t="s">
        <v>23567</v>
      </c>
      <c r="L6785" s="1"/>
      <c r="M6785" s="1"/>
    </row>
    <row x14ac:dyDescent="0.25" r="6786" customHeight="1" ht="18.75">
      <c r="A6786" s="1" t="s">
        <v>3617</v>
      </c>
      <c r="B6786" s="1" t="s">
        <v>5222</v>
      </c>
      <c r="C6786" s="1" t="s">
        <v>3619</v>
      </c>
      <c r="D6786" s="1" t="s">
        <v>3601</v>
      </c>
      <c r="E6786" s="1" t="s">
        <v>3730</v>
      </c>
      <c r="F6786" s="1" t="s">
        <v>23568</v>
      </c>
      <c r="G6786" s="1" t="s">
        <v>6195</v>
      </c>
      <c r="H6786" s="1" t="s">
        <v>3604</v>
      </c>
      <c r="I6786" s="1" t="s">
        <v>23569</v>
      </c>
      <c r="J6786" s="1" t="s">
        <v>3606</v>
      </c>
      <c r="K6786" s="1" t="s">
        <v>23570</v>
      </c>
      <c r="L6786" s="1"/>
      <c r="M6786" s="1"/>
    </row>
    <row x14ac:dyDescent="0.25" r="6787" customHeight="1" ht="18.75">
      <c r="A6787" s="1" t="s">
        <v>3617</v>
      </c>
      <c r="B6787" s="1" t="s">
        <v>5222</v>
      </c>
      <c r="C6787" s="1" t="s">
        <v>3619</v>
      </c>
      <c r="D6787" s="1" t="s">
        <v>3601</v>
      </c>
      <c r="E6787" s="1" t="s">
        <v>3730</v>
      </c>
      <c r="F6787" s="1" t="s">
        <v>23571</v>
      </c>
      <c r="G6787" s="1" t="s">
        <v>6195</v>
      </c>
      <c r="H6787" s="1" t="s">
        <v>3604</v>
      </c>
      <c r="I6787" s="1" t="s">
        <v>23572</v>
      </c>
      <c r="J6787" s="1" t="s">
        <v>3606</v>
      </c>
      <c r="K6787" s="1" t="s">
        <v>23573</v>
      </c>
      <c r="L6787" s="1"/>
      <c r="M6787" s="1"/>
    </row>
    <row x14ac:dyDescent="0.25" r="6788" customHeight="1" ht="18.75">
      <c r="A6788" s="1" t="s">
        <v>3693</v>
      </c>
      <c r="B6788" s="1" t="s">
        <v>10217</v>
      </c>
      <c r="C6788" s="1" t="s">
        <v>3619</v>
      </c>
      <c r="D6788" s="1" t="s">
        <v>533</v>
      </c>
      <c r="E6788" s="1" t="s">
        <v>3981</v>
      </c>
      <c r="F6788" s="1" t="s">
        <v>23574</v>
      </c>
      <c r="G6788" s="1" t="s">
        <v>23575</v>
      </c>
      <c r="H6788" s="1" t="s">
        <v>3604</v>
      </c>
      <c r="I6788" s="1" t="s">
        <v>23576</v>
      </c>
      <c r="J6788" s="1" t="s">
        <v>3606</v>
      </c>
      <c r="K6788" s="1" t="s">
        <v>23575</v>
      </c>
      <c r="L6788" s="1"/>
      <c r="M6788" s="1"/>
    </row>
    <row x14ac:dyDescent="0.25" r="6789" customHeight="1" ht="18.75">
      <c r="A6789" s="1" t="s">
        <v>3617</v>
      </c>
      <c r="B6789" s="1" t="s">
        <v>5222</v>
      </c>
      <c r="C6789" s="1" t="s">
        <v>3619</v>
      </c>
      <c r="D6789" s="1" t="s">
        <v>3601</v>
      </c>
      <c r="E6789" s="1" t="s">
        <v>3730</v>
      </c>
      <c r="F6789" s="1" t="s">
        <v>23577</v>
      </c>
      <c r="G6789" s="1" t="s">
        <v>6195</v>
      </c>
      <c r="H6789" s="1" t="s">
        <v>3604</v>
      </c>
      <c r="I6789" s="1" t="s">
        <v>23578</v>
      </c>
      <c r="J6789" s="1" t="s">
        <v>3606</v>
      </c>
      <c r="K6789" s="1" t="s">
        <v>23579</v>
      </c>
      <c r="L6789" s="1"/>
      <c r="M6789" s="1"/>
    </row>
    <row x14ac:dyDescent="0.25" r="6790" customHeight="1" ht="18.75">
      <c r="A6790" s="1" t="s">
        <v>3693</v>
      </c>
      <c r="B6790" s="1" t="s">
        <v>10217</v>
      </c>
      <c r="C6790" s="1" t="s">
        <v>3619</v>
      </c>
      <c r="D6790" s="1" t="s">
        <v>3601</v>
      </c>
      <c r="E6790" s="1" t="s">
        <v>3981</v>
      </c>
      <c r="F6790" s="1" t="s">
        <v>23580</v>
      </c>
      <c r="G6790" s="1" t="s">
        <v>23297</v>
      </c>
      <c r="H6790" s="1" t="s">
        <v>3604</v>
      </c>
      <c r="I6790" s="1" t="s">
        <v>23581</v>
      </c>
      <c r="J6790" s="1" t="s">
        <v>3606</v>
      </c>
      <c r="K6790" s="1" t="s">
        <v>23582</v>
      </c>
      <c r="L6790" s="1"/>
      <c r="M6790" s="1"/>
    </row>
    <row x14ac:dyDescent="0.25" r="6791" customHeight="1" ht="18.75">
      <c r="A6791" s="1" t="s">
        <v>3693</v>
      </c>
      <c r="B6791" s="1" t="s">
        <v>10217</v>
      </c>
      <c r="C6791" s="1" t="s">
        <v>3619</v>
      </c>
      <c r="D6791" s="1" t="s">
        <v>3695</v>
      </c>
      <c r="E6791" s="1" t="s">
        <v>3981</v>
      </c>
      <c r="F6791" s="1" t="s">
        <v>23583</v>
      </c>
      <c r="G6791" s="1" t="s">
        <v>23297</v>
      </c>
      <c r="H6791" s="1" t="s">
        <v>3604</v>
      </c>
      <c r="I6791" s="1" t="s">
        <v>23584</v>
      </c>
      <c r="J6791" s="1" t="s">
        <v>3606</v>
      </c>
      <c r="K6791" s="1" t="s">
        <v>23585</v>
      </c>
      <c r="L6791" s="1"/>
      <c r="M6791" s="1"/>
    </row>
    <row x14ac:dyDescent="0.25" r="6792" customHeight="1" ht="18.75">
      <c r="A6792" s="1" t="s">
        <v>3693</v>
      </c>
      <c r="B6792" s="1" t="s">
        <v>10217</v>
      </c>
      <c r="C6792" s="1" t="s">
        <v>3619</v>
      </c>
      <c r="D6792" s="1" t="s">
        <v>3695</v>
      </c>
      <c r="E6792" s="1" t="s">
        <v>3981</v>
      </c>
      <c r="F6792" s="1" t="s">
        <v>23586</v>
      </c>
      <c r="G6792" s="1" t="s">
        <v>23297</v>
      </c>
      <c r="H6792" s="1" t="s">
        <v>3604</v>
      </c>
      <c r="I6792" s="1" t="s">
        <v>23587</v>
      </c>
      <c r="J6792" s="1" t="s">
        <v>3606</v>
      </c>
      <c r="K6792" s="1" t="s">
        <v>23585</v>
      </c>
      <c r="L6792" s="1"/>
      <c r="M6792" s="1"/>
    </row>
    <row x14ac:dyDescent="0.25" r="6793" customHeight="1" ht="18.75">
      <c r="A6793" s="1" t="s">
        <v>3693</v>
      </c>
      <c r="B6793" s="1" t="s">
        <v>10217</v>
      </c>
      <c r="C6793" s="1" t="s">
        <v>3619</v>
      </c>
      <c r="D6793" s="1" t="s">
        <v>3695</v>
      </c>
      <c r="E6793" s="1" t="s">
        <v>3981</v>
      </c>
      <c r="F6793" s="1" t="s">
        <v>23588</v>
      </c>
      <c r="G6793" s="1" t="s">
        <v>23297</v>
      </c>
      <c r="H6793" s="1" t="s">
        <v>3604</v>
      </c>
      <c r="I6793" s="1" t="s">
        <v>23589</v>
      </c>
      <c r="J6793" s="1" t="s">
        <v>3606</v>
      </c>
      <c r="K6793" s="1" t="s">
        <v>23585</v>
      </c>
      <c r="L6793" s="1"/>
      <c r="M6793" s="1"/>
    </row>
    <row x14ac:dyDescent="0.25" r="6794" customHeight="1" ht="18.75">
      <c r="A6794" s="1" t="s">
        <v>3693</v>
      </c>
      <c r="B6794" s="1" t="s">
        <v>10217</v>
      </c>
      <c r="C6794" s="1" t="s">
        <v>3619</v>
      </c>
      <c r="D6794" s="1" t="s">
        <v>8373</v>
      </c>
      <c r="E6794" s="1" t="s">
        <v>3981</v>
      </c>
      <c r="F6794" s="1" t="s">
        <v>23590</v>
      </c>
      <c r="G6794" s="1" t="s">
        <v>23297</v>
      </c>
      <c r="H6794" s="1" t="s">
        <v>3604</v>
      </c>
      <c r="I6794" s="1" t="s">
        <v>23591</v>
      </c>
      <c r="J6794" s="1" t="s">
        <v>3606</v>
      </c>
      <c r="K6794" s="1" t="s">
        <v>23592</v>
      </c>
      <c r="L6794" s="1"/>
      <c r="M6794" s="1"/>
    </row>
    <row x14ac:dyDescent="0.25" r="6795" customHeight="1" ht="18.75">
      <c r="A6795" s="1" t="s">
        <v>3693</v>
      </c>
      <c r="B6795" s="1" t="s">
        <v>10217</v>
      </c>
      <c r="C6795" s="1" t="s">
        <v>3619</v>
      </c>
      <c r="D6795" s="1" t="s">
        <v>8373</v>
      </c>
      <c r="E6795" s="1" t="s">
        <v>3981</v>
      </c>
      <c r="F6795" s="1" t="s">
        <v>23593</v>
      </c>
      <c r="G6795" s="1" t="s">
        <v>23297</v>
      </c>
      <c r="H6795" s="1" t="s">
        <v>3604</v>
      </c>
      <c r="I6795" s="1" t="s">
        <v>23594</v>
      </c>
      <c r="J6795" s="1" t="s">
        <v>3606</v>
      </c>
      <c r="K6795" s="1" t="s">
        <v>23592</v>
      </c>
      <c r="L6795" s="1"/>
      <c r="M6795" s="1"/>
    </row>
    <row x14ac:dyDescent="0.25" r="6796" customHeight="1" ht="18.75">
      <c r="A6796" s="1" t="s">
        <v>3693</v>
      </c>
      <c r="B6796" s="1" t="s">
        <v>10217</v>
      </c>
      <c r="C6796" s="1" t="s">
        <v>3619</v>
      </c>
      <c r="D6796" s="1" t="s">
        <v>8373</v>
      </c>
      <c r="E6796" s="1" t="s">
        <v>3981</v>
      </c>
      <c r="F6796" s="1" t="s">
        <v>23595</v>
      </c>
      <c r="G6796" s="1" t="s">
        <v>23297</v>
      </c>
      <c r="H6796" s="1" t="s">
        <v>3604</v>
      </c>
      <c r="I6796" s="1" t="s">
        <v>23596</v>
      </c>
      <c r="J6796" s="1" t="s">
        <v>3606</v>
      </c>
      <c r="K6796" s="1" t="s">
        <v>23592</v>
      </c>
      <c r="L6796" s="1"/>
      <c r="M6796" s="1"/>
    </row>
    <row x14ac:dyDescent="0.25" r="6797" customHeight="1" ht="18.75">
      <c r="A6797" s="1" t="s">
        <v>3693</v>
      </c>
      <c r="B6797" s="1" t="s">
        <v>4162</v>
      </c>
      <c r="C6797" s="1" t="s">
        <v>3619</v>
      </c>
      <c r="D6797" s="1" t="s">
        <v>3610</v>
      </c>
      <c r="E6797" s="1" t="s">
        <v>3664</v>
      </c>
      <c r="F6797" s="1" t="s">
        <v>23597</v>
      </c>
      <c r="G6797" s="1" t="s">
        <v>9092</v>
      </c>
      <c r="H6797" s="1" t="s">
        <v>3604</v>
      </c>
      <c r="I6797" s="1" t="s">
        <v>23598</v>
      </c>
      <c r="J6797" s="1" t="s">
        <v>3606</v>
      </c>
      <c r="K6797" s="1" t="s">
        <v>23599</v>
      </c>
      <c r="L6797" s="1"/>
      <c r="M6797" s="1"/>
    </row>
    <row x14ac:dyDescent="0.25" r="6798" customHeight="1" ht="18.75">
      <c r="A6798" s="1" t="s">
        <v>3693</v>
      </c>
      <c r="B6798" s="1" t="s">
        <v>4162</v>
      </c>
      <c r="C6798" s="1" t="s">
        <v>3619</v>
      </c>
      <c r="D6798" s="1" t="s">
        <v>3610</v>
      </c>
      <c r="E6798" s="1" t="s">
        <v>3664</v>
      </c>
      <c r="F6798" s="1" t="s">
        <v>23600</v>
      </c>
      <c r="G6798" s="1" t="s">
        <v>9092</v>
      </c>
      <c r="H6798" s="1" t="s">
        <v>3604</v>
      </c>
      <c r="I6798" s="1" t="s">
        <v>23601</v>
      </c>
      <c r="J6798" s="1" t="s">
        <v>3606</v>
      </c>
      <c r="K6798" s="1" t="s">
        <v>23602</v>
      </c>
      <c r="L6798" s="1"/>
      <c r="M6798" s="1"/>
    </row>
    <row x14ac:dyDescent="0.25" r="6799" customHeight="1" ht="18.75">
      <c r="A6799" s="1" t="s">
        <v>3693</v>
      </c>
      <c r="B6799" s="1" t="s">
        <v>4162</v>
      </c>
      <c r="C6799" s="1" t="s">
        <v>3619</v>
      </c>
      <c r="D6799" s="1" t="s">
        <v>3610</v>
      </c>
      <c r="E6799" s="1" t="s">
        <v>3664</v>
      </c>
      <c r="F6799" s="1" t="s">
        <v>23603</v>
      </c>
      <c r="G6799" s="1" t="s">
        <v>9092</v>
      </c>
      <c r="H6799" s="1" t="s">
        <v>3604</v>
      </c>
      <c r="I6799" s="1" t="s">
        <v>23604</v>
      </c>
      <c r="J6799" s="1" t="s">
        <v>3606</v>
      </c>
      <c r="K6799" s="1" t="s">
        <v>23605</v>
      </c>
      <c r="L6799" s="1"/>
      <c r="M6799" s="1"/>
    </row>
    <row x14ac:dyDescent="0.25" r="6800" customHeight="1" ht="18.75">
      <c r="A6800" s="1" t="s">
        <v>3693</v>
      </c>
      <c r="B6800" s="1" t="s">
        <v>4162</v>
      </c>
      <c r="C6800" s="1" t="s">
        <v>3619</v>
      </c>
      <c r="D6800" s="1" t="s">
        <v>3610</v>
      </c>
      <c r="E6800" s="1" t="s">
        <v>3664</v>
      </c>
      <c r="F6800" s="1" t="s">
        <v>23606</v>
      </c>
      <c r="G6800" s="1" t="s">
        <v>9092</v>
      </c>
      <c r="H6800" s="1" t="s">
        <v>3604</v>
      </c>
      <c r="I6800" s="1" t="s">
        <v>23607</v>
      </c>
      <c r="J6800" s="1" t="s">
        <v>3606</v>
      </c>
      <c r="K6800" s="1" t="s">
        <v>23608</v>
      </c>
      <c r="L6800" s="1"/>
      <c r="M6800" s="1"/>
    </row>
    <row x14ac:dyDescent="0.25" r="6801" customHeight="1" ht="18.75">
      <c r="A6801" s="1" t="s">
        <v>3617</v>
      </c>
      <c r="B6801" s="1" t="s">
        <v>5222</v>
      </c>
      <c r="C6801" s="1" t="s">
        <v>3619</v>
      </c>
      <c r="D6801" s="1" t="s">
        <v>3601</v>
      </c>
      <c r="E6801" s="1" t="s">
        <v>3730</v>
      </c>
      <c r="F6801" s="1" t="s">
        <v>23609</v>
      </c>
      <c r="G6801" s="1" t="s">
        <v>6195</v>
      </c>
      <c r="H6801" s="1" t="s">
        <v>3604</v>
      </c>
      <c r="I6801" s="1" t="s">
        <v>23610</v>
      </c>
      <c r="J6801" s="1" t="s">
        <v>3606</v>
      </c>
      <c r="K6801" s="1" t="s">
        <v>10788</v>
      </c>
      <c r="L6801" s="1"/>
      <c r="M6801" s="1"/>
    </row>
    <row x14ac:dyDescent="0.25" r="6802" customHeight="1" ht="18.75">
      <c r="A6802" s="1" t="s">
        <v>3617</v>
      </c>
      <c r="B6802" s="1" t="s">
        <v>5222</v>
      </c>
      <c r="C6802" s="1" t="s">
        <v>3619</v>
      </c>
      <c r="D6802" s="1" t="s">
        <v>3601</v>
      </c>
      <c r="E6802" s="1" t="s">
        <v>3730</v>
      </c>
      <c r="F6802" s="1" t="s">
        <v>23611</v>
      </c>
      <c r="G6802" s="1" t="s">
        <v>6195</v>
      </c>
      <c r="H6802" s="1" t="s">
        <v>3604</v>
      </c>
      <c r="I6802" s="1" t="s">
        <v>23612</v>
      </c>
      <c r="J6802" s="1" t="s">
        <v>3606</v>
      </c>
      <c r="K6802" s="1" t="s">
        <v>10791</v>
      </c>
      <c r="L6802" s="1"/>
      <c r="M6802" s="1"/>
    </row>
    <row x14ac:dyDescent="0.25" r="6803" customHeight="1" ht="18.75">
      <c r="A6803" s="1" t="s">
        <v>3693</v>
      </c>
      <c r="B6803" s="1" t="s">
        <v>4162</v>
      </c>
      <c r="C6803" s="1" t="s">
        <v>3619</v>
      </c>
      <c r="D6803" s="1" t="s">
        <v>3610</v>
      </c>
      <c r="E6803" s="1" t="s">
        <v>3664</v>
      </c>
      <c r="F6803" s="1" t="s">
        <v>23613</v>
      </c>
      <c r="G6803" s="1" t="s">
        <v>9092</v>
      </c>
      <c r="H6803" s="1" t="s">
        <v>3604</v>
      </c>
      <c r="I6803" s="1" t="s">
        <v>23614</v>
      </c>
      <c r="J6803" s="1" t="s">
        <v>3606</v>
      </c>
      <c r="K6803" s="1" t="s">
        <v>23615</v>
      </c>
      <c r="L6803" s="1"/>
      <c r="M6803" s="1"/>
    </row>
    <row x14ac:dyDescent="0.25" r="6804" customHeight="1" ht="18.75">
      <c r="A6804" s="1" t="s">
        <v>3617</v>
      </c>
      <c r="B6804" s="1" t="s">
        <v>5222</v>
      </c>
      <c r="C6804" s="1" t="s">
        <v>3619</v>
      </c>
      <c r="D6804" s="1" t="s">
        <v>3601</v>
      </c>
      <c r="E6804" s="1" t="s">
        <v>3730</v>
      </c>
      <c r="F6804" s="1" t="s">
        <v>23616</v>
      </c>
      <c r="G6804" s="1" t="s">
        <v>6195</v>
      </c>
      <c r="H6804" s="1" t="s">
        <v>3604</v>
      </c>
      <c r="I6804" s="1" t="s">
        <v>23617</v>
      </c>
      <c r="J6804" s="1" t="s">
        <v>3606</v>
      </c>
      <c r="K6804" s="1" t="s">
        <v>23618</v>
      </c>
      <c r="L6804" s="1"/>
      <c r="M6804" s="1"/>
    </row>
    <row x14ac:dyDescent="0.25" r="6805" customHeight="1" ht="18.75">
      <c r="A6805" s="1" t="s">
        <v>3693</v>
      </c>
      <c r="B6805" s="1" t="s">
        <v>4162</v>
      </c>
      <c r="C6805" s="1" t="s">
        <v>3619</v>
      </c>
      <c r="D6805" s="1" t="s">
        <v>3610</v>
      </c>
      <c r="E6805" s="1" t="s">
        <v>3664</v>
      </c>
      <c r="F6805" s="1" t="s">
        <v>23619</v>
      </c>
      <c r="G6805" s="1" t="s">
        <v>9092</v>
      </c>
      <c r="H6805" s="1" t="s">
        <v>3604</v>
      </c>
      <c r="I6805" s="1" t="s">
        <v>23620</v>
      </c>
      <c r="J6805" s="1" t="s">
        <v>3606</v>
      </c>
      <c r="K6805" s="1" t="s">
        <v>23621</v>
      </c>
      <c r="L6805" s="1"/>
      <c r="M6805" s="1"/>
    </row>
    <row x14ac:dyDescent="0.25" r="6806" customHeight="1" ht="18.75">
      <c r="A6806" s="1" t="s">
        <v>3617</v>
      </c>
      <c r="B6806" s="1" t="s">
        <v>5222</v>
      </c>
      <c r="C6806" s="1" t="s">
        <v>3619</v>
      </c>
      <c r="D6806" s="1" t="s">
        <v>3601</v>
      </c>
      <c r="E6806" s="1" t="s">
        <v>3730</v>
      </c>
      <c r="F6806" s="1" t="s">
        <v>23622</v>
      </c>
      <c r="G6806" s="1" t="s">
        <v>6195</v>
      </c>
      <c r="H6806" s="1" t="s">
        <v>3604</v>
      </c>
      <c r="I6806" s="1" t="s">
        <v>23623</v>
      </c>
      <c r="J6806" s="1" t="s">
        <v>3606</v>
      </c>
      <c r="K6806" s="1" t="s">
        <v>23624</v>
      </c>
      <c r="L6806" s="1"/>
      <c r="M6806" s="1"/>
    </row>
    <row x14ac:dyDescent="0.25" r="6807" customHeight="1" ht="18.75">
      <c r="A6807" s="1" t="s">
        <v>3617</v>
      </c>
      <c r="B6807" s="1" t="s">
        <v>5222</v>
      </c>
      <c r="C6807" s="1" t="s">
        <v>3619</v>
      </c>
      <c r="D6807" s="1" t="s">
        <v>3601</v>
      </c>
      <c r="E6807" s="1" t="s">
        <v>3730</v>
      </c>
      <c r="F6807" s="1" t="s">
        <v>23625</v>
      </c>
      <c r="G6807" s="1" t="s">
        <v>6195</v>
      </c>
      <c r="H6807" s="1" t="s">
        <v>3604</v>
      </c>
      <c r="I6807" s="1" t="s">
        <v>23626</v>
      </c>
      <c r="J6807" s="1" t="s">
        <v>3606</v>
      </c>
      <c r="K6807" s="1" t="s">
        <v>23627</v>
      </c>
      <c r="L6807" s="1"/>
      <c r="M6807" s="1"/>
    </row>
    <row x14ac:dyDescent="0.25" r="6808" customHeight="1" ht="18.75">
      <c r="A6808" s="1" t="s">
        <v>3693</v>
      </c>
      <c r="B6808" s="1" t="s">
        <v>4162</v>
      </c>
      <c r="C6808" s="1" t="s">
        <v>3619</v>
      </c>
      <c r="D6808" s="1" t="s">
        <v>533</v>
      </c>
      <c r="E6808" s="1" t="s">
        <v>3664</v>
      </c>
      <c r="F6808" s="1" t="s">
        <v>23628</v>
      </c>
      <c r="G6808" s="1" t="s">
        <v>9092</v>
      </c>
      <c r="H6808" s="1" t="s">
        <v>3604</v>
      </c>
      <c r="I6808" s="1" t="s">
        <v>23629</v>
      </c>
      <c r="J6808" s="1" t="s">
        <v>3606</v>
      </c>
      <c r="K6808" s="1" t="s">
        <v>23630</v>
      </c>
      <c r="L6808" s="1"/>
      <c r="M6808" s="1"/>
    </row>
    <row x14ac:dyDescent="0.25" r="6809" customHeight="1" ht="18.75">
      <c r="A6809" s="1" t="s">
        <v>3617</v>
      </c>
      <c r="B6809" s="1" t="s">
        <v>5222</v>
      </c>
      <c r="C6809" s="1" t="s">
        <v>3619</v>
      </c>
      <c r="D6809" s="1" t="s">
        <v>3601</v>
      </c>
      <c r="E6809" s="1" t="s">
        <v>3730</v>
      </c>
      <c r="F6809" s="1" t="s">
        <v>23631</v>
      </c>
      <c r="G6809" s="1" t="s">
        <v>6195</v>
      </c>
      <c r="H6809" s="1" t="s">
        <v>3604</v>
      </c>
      <c r="I6809" s="1" t="s">
        <v>23632</v>
      </c>
      <c r="J6809" s="1" t="s">
        <v>3606</v>
      </c>
      <c r="K6809" s="1" t="s">
        <v>23633</v>
      </c>
      <c r="L6809" s="1"/>
      <c r="M6809" s="1"/>
    </row>
    <row x14ac:dyDescent="0.25" r="6810" customHeight="1" ht="18.75">
      <c r="A6810" s="1" t="s">
        <v>3617</v>
      </c>
      <c r="B6810" s="1" t="s">
        <v>5222</v>
      </c>
      <c r="C6810" s="1" t="s">
        <v>3619</v>
      </c>
      <c r="D6810" s="1" t="s">
        <v>3601</v>
      </c>
      <c r="E6810" s="1" t="s">
        <v>3730</v>
      </c>
      <c r="F6810" s="1" t="s">
        <v>23634</v>
      </c>
      <c r="G6810" s="1" t="s">
        <v>6195</v>
      </c>
      <c r="H6810" s="1" t="s">
        <v>3604</v>
      </c>
      <c r="I6810" s="1" t="s">
        <v>23635</v>
      </c>
      <c r="J6810" s="1" t="s">
        <v>3606</v>
      </c>
      <c r="K6810" s="1" t="s">
        <v>23636</v>
      </c>
      <c r="L6810" s="1"/>
      <c r="M6810" s="1"/>
    </row>
    <row x14ac:dyDescent="0.25" r="6811" customHeight="1" ht="18.75">
      <c r="A6811" s="1" t="s">
        <v>3617</v>
      </c>
      <c r="B6811" s="1" t="s">
        <v>5222</v>
      </c>
      <c r="C6811" s="1" t="s">
        <v>3619</v>
      </c>
      <c r="D6811" s="1" t="s">
        <v>3601</v>
      </c>
      <c r="E6811" s="1" t="s">
        <v>3730</v>
      </c>
      <c r="F6811" s="1" t="s">
        <v>23637</v>
      </c>
      <c r="G6811" s="1" t="s">
        <v>6195</v>
      </c>
      <c r="H6811" s="1" t="s">
        <v>3604</v>
      </c>
      <c r="I6811" s="1" t="s">
        <v>23638</v>
      </c>
      <c r="J6811" s="1" t="s">
        <v>3606</v>
      </c>
      <c r="K6811" s="1" t="s">
        <v>23639</v>
      </c>
      <c r="L6811" s="1"/>
      <c r="M6811" s="1"/>
    </row>
    <row x14ac:dyDescent="0.25" r="6812" customHeight="1" ht="18.75">
      <c r="A6812" s="1" t="s">
        <v>3617</v>
      </c>
      <c r="B6812" s="1" t="s">
        <v>5222</v>
      </c>
      <c r="C6812" s="1" t="s">
        <v>3619</v>
      </c>
      <c r="D6812" s="1" t="s">
        <v>3601</v>
      </c>
      <c r="E6812" s="1" t="s">
        <v>3730</v>
      </c>
      <c r="F6812" s="1" t="s">
        <v>23640</v>
      </c>
      <c r="G6812" s="1" t="s">
        <v>6195</v>
      </c>
      <c r="H6812" s="1" t="s">
        <v>3604</v>
      </c>
      <c r="I6812" s="1" t="s">
        <v>23641</v>
      </c>
      <c r="J6812" s="1" t="s">
        <v>3606</v>
      </c>
      <c r="K6812" s="1" t="s">
        <v>23642</v>
      </c>
      <c r="L6812" s="1"/>
      <c r="M6812" s="1"/>
    </row>
    <row x14ac:dyDescent="0.25" r="6813" customHeight="1" ht="18.75">
      <c r="A6813" s="1" t="s">
        <v>3693</v>
      </c>
      <c r="B6813" s="1" t="s">
        <v>4162</v>
      </c>
      <c r="C6813" s="1" t="s">
        <v>3619</v>
      </c>
      <c r="D6813" s="1" t="s">
        <v>3601</v>
      </c>
      <c r="E6813" s="1" t="s">
        <v>3664</v>
      </c>
      <c r="F6813" s="1" t="s">
        <v>23643</v>
      </c>
      <c r="G6813" s="1" t="s">
        <v>9092</v>
      </c>
      <c r="H6813" s="1" t="s">
        <v>3604</v>
      </c>
      <c r="I6813" s="1" t="s">
        <v>23644</v>
      </c>
      <c r="J6813" s="1" t="s">
        <v>3615</v>
      </c>
      <c r="K6813" s="1" t="s">
        <v>23645</v>
      </c>
      <c r="L6813" s="1"/>
      <c r="M6813" s="1"/>
    </row>
    <row x14ac:dyDescent="0.25" r="6814" customHeight="1" ht="18.75">
      <c r="A6814" s="1" t="s">
        <v>3693</v>
      </c>
      <c r="B6814" s="1" t="s">
        <v>4162</v>
      </c>
      <c r="C6814" s="1" t="s">
        <v>3619</v>
      </c>
      <c r="D6814" s="1" t="s">
        <v>3610</v>
      </c>
      <c r="E6814" s="1" t="s">
        <v>3664</v>
      </c>
      <c r="F6814" s="1" t="s">
        <v>23646</v>
      </c>
      <c r="G6814" s="1" t="s">
        <v>13737</v>
      </c>
      <c r="H6814" s="1" t="s">
        <v>3604</v>
      </c>
      <c r="I6814" s="1" t="s">
        <v>23647</v>
      </c>
      <c r="J6814" s="1" t="s">
        <v>3606</v>
      </c>
      <c r="K6814" s="1" t="s">
        <v>23648</v>
      </c>
      <c r="L6814" s="1"/>
      <c r="M6814" s="1"/>
    </row>
    <row x14ac:dyDescent="0.25" r="6815" customHeight="1" ht="18.75">
      <c r="A6815" s="1" t="s">
        <v>3693</v>
      </c>
      <c r="B6815" s="1" t="s">
        <v>4162</v>
      </c>
      <c r="C6815" s="1" t="s">
        <v>3619</v>
      </c>
      <c r="D6815" s="1" t="s">
        <v>3610</v>
      </c>
      <c r="E6815" s="1" t="s">
        <v>3664</v>
      </c>
      <c r="F6815" s="1" t="s">
        <v>23649</v>
      </c>
      <c r="G6815" s="1" t="s">
        <v>13737</v>
      </c>
      <c r="H6815" s="1" t="s">
        <v>3604</v>
      </c>
      <c r="I6815" s="1" t="s">
        <v>23650</v>
      </c>
      <c r="J6815" s="1" t="s">
        <v>3606</v>
      </c>
      <c r="K6815" s="1" t="s">
        <v>23651</v>
      </c>
      <c r="L6815" s="1"/>
      <c r="M6815" s="1"/>
    </row>
    <row x14ac:dyDescent="0.25" r="6816" customHeight="1" ht="18.75">
      <c r="A6816" s="1" t="s">
        <v>3693</v>
      </c>
      <c r="B6816" s="1" t="s">
        <v>4162</v>
      </c>
      <c r="C6816" s="1" t="s">
        <v>3619</v>
      </c>
      <c r="D6816" s="1" t="s">
        <v>3610</v>
      </c>
      <c r="E6816" s="1" t="s">
        <v>3664</v>
      </c>
      <c r="F6816" s="1" t="s">
        <v>23652</v>
      </c>
      <c r="G6816" s="1" t="s">
        <v>13737</v>
      </c>
      <c r="H6816" s="1" t="s">
        <v>3604</v>
      </c>
      <c r="I6816" s="1" t="s">
        <v>23653</v>
      </c>
      <c r="J6816" s="1" t="s">
        <v>3606</v>
      </c>
      <c r="K6816" s="1" t="s">
        <v>23654</v>
      </c>
      <c r="L6816" s="1"/>
      <c r="M6816" s="1"/>
    </row>
    <row x14ac:dyDescent="0.25" r="6817" customHeight="1" ht="18.75">
      <c r="A6817" s="1" t="s">
        <v>3693</v>
      </c>
      <c r="B6817" s="1" t="s">
        <v>4162</v>
      </c>
      <c r="C6817" s="1" t="s">
        <v>3619</v>
      </c>
      <c r="D6817" s="1" t="s">
        <v>3610</v>
      </c>
      <c r="E6817" s="1" t="s">
        <v>3664</v>
      </c>
      <c r="F6817" s="1" t="s">
        <v>23655</v>
      </c>
      <c r="G6817" s="1" t="s">
        <v>13737</v>
      </c>
      <c r="H6817" s="1" t="s">
        <v>3604</v>
      </c>
      <c r="I6817" s="1" t="s">
        <v>23656</v>
      </c>
      <c r="J6817" s="1" t="s">
        <v>3606</v>
      </c>
      <c r="K6817" s="1" t="s">
        <v>23657</v>
      </c>
      <c r="L6817" s="1"/>
      <c r="M6817" s="1"/>
    </row>
    <row x14ac:dyDescent="0.25" r="6818" customHeight="1" ht="18.75">
      <c r="A6818" s="1" t="s">
        <v>3693</v>
      </c>
      <c r="B6818" s="1" t="s">
        <v>4162</v>
      </c>
      <c r="C6818" s="1" t="s">
        <v>3619</v>
      </c>
      <c r="D6818" s="1" t="s">
        <v>533</v>
      </c>
      <c r="E6818" s="1" t="s">
        <v>3664</v>
      </c>
      <c r="F6818" s="1" t="s">
        <v>23658</v>
      </c>
      <c r="G6818" s="1" t="s">
        <v>13737</v>
      </c>
      <c r="H6818" s="1" t="s">
        <v>3604</v>
      </c>
      <c r="I6818" s="1" t="s">
        <v>23659</v>
      </c>
      <c r="J6818" s="1" t="s">
        <v>3606</v>
      </c>
      <c r="K6818" s="1" t="s">
        <v>23660</v>
      </c>
      <c r="L6818" s="1"/>
      <c r="M6818" s="1"/>
    </row>
    <row x14ac:dyDescent="0.25" r="6819" customHeight="1" ht="18.75">
      <c r="A6819" s="1" t="s">
        <v>3693</v>
      </c>
      <c r="B6819" s="1" t="s">
        <v>4162</v>
      </c>
      <c r="C6819" s="1" t="s">
        <v>3619</v>
      </c>
      <c r="D6819" s="1" t="s">
        <v>8373</v>
      </c>
      <c r="E6819" s="1" t="s">
        <v>3664</v>
      </c>
      <c r="F6819" s="1" t="s">
        <v>23661</v>
      </c>
      <c r="G6819" s="1" t="s">
        <v>13737</v>
      </c>
      <c r="H6819" s="1" t="s">
        <v>3604</v>
      </c>
      <c r="I6819" s="1" t="s">
        <v>23662</v>
      </c>
      <c r="J6819" s="1" t="s">
        <v>3606</v>
      </c>
      <c r="K6819" s="1" t="s">
        <v>23663</v>
      </c>
      <c r="L6819" s="1"/>
      <c r="M6819" s="1"/>
    </row>
    <row x14ac:dyDescent="0.25" r="6820" customHeight="1" ht="18.75">
      <c r="A6820" s="1" t="s">
        <v>3693</v>
      </c>
      <c r="B6820" s="1" t="s">
        <v>4162</v>
      </c>
      <c r="C6820" s="1" t="s">
        <v>3619</v>
      </c>
      <c r="D6820" s="1" t="s">
        <v>8373</v>
      </c>
      <c r="E6820" s="1" t="s">
        <v>3664</v>
      </c>
      <c r="F6820" s="1" t="s">
        <v>23664</v>
      </c>
      <c r="G6820" s="1" t="s">
        <v>13737</v>
      </c>
      <c r="H6820" s="1" t="s">
        <v>3604</v>
      </c>
      <c r="I6820" s="1" t="s">
        <v>23665</v>
      </c>
      <c r="J6820" s="1" t="s">
        <v>3606</v>
      </c>
      <c r="K6820" s="1" t="s">
        <v>23666</v>
      </c>
      <c r="L6820" s="1"/>
      <c r="M6820" s="1"/>
    </row>
    <row x14ac:dyDescent="0.25" r="6821" customHeight="1" ht="18.75">
      <c r="A6821" s="1" t="s">
        <v>3693</v>
      </c>
      <c r="B6821" s="1" t="s">
        <v>4162</v>
      </c>
      <c r="C6821" s="1" t="s">
        <v>3619</v>
      </c>
      <c r="D6821" s="1" t="s">
        <v>3601</v>
      </c>
      <c r="E6821" s="1" t="s">
        <v>3664</v>
      </c>
      <c r="F6821" s="1" t="s">
        <v>23667</v>
      </c>
      <c r="G6821" s="1" t="s">
        <v>13737</v>
      </c>
      <c r="H6821" s="1" t="s">
        <v>3604</v>
      </c>
      <c r="I6821" s="1" t="s">
        <v>23668</v>
      </c>
      <c r="J6821" s="1" t="s">
        <v>3615</v>
      </c>
      <c r="K6821" s="1" t="s">
        <v>23669</v>
      </c>
      <c r="L6821" s="1"/>
      <c r="M6821" s="1"/>
    </row>
    <row x14ac:dyDescent="0.25" r="6822" customHeight="1" ht="18.75">
      <c r="A6822" s="1" t="s">
        <v>3693</v>
      </c>
      <c r="B6822" s="1" t="s">
        <v>4162</v>
      </c>
      <c r="C6822" s="1" t="s">
        <v>3619</v>
      </c>
      <c r="D6822" s="1" t="s">
        <v>3610</v>
      </c>
      <c r="E6822" s="1" t="s">
        <v>3664</v>
      </c>
      <c r="F6822" s="1" t="s">
        <v>23670</v>
      </c>
      <c r="G6822" s="1" t="s">
        <v>13737</v>
      </c>
      <c r="H6822" s="1" t="s">
        <v>3604</v>
      </c>
      <c r="I6822" s="1" t="s">
        <v>23671</v>
      </c>
      <c r="J6822" s="1" t="s">
        <v>3606</v>
      </c>
      <c r="K6822" s="1" t="s">
        <v>23672</v>
      </c>
      <c r="L6822" s="1"/>
      <c r="M6822" s="1"/>
    </row>
    <row x14ac:dyDescent="0.25" r="6823" customHeight="1" ht="18.75">
      <c r="A6823" s="1" t="s">
        <v>3693</v>
      </c>
      <c r="B6823" s="1" t="s">
        <v>4229</v>
      </c>
      <c r="C6823" s="1" t="s">
        <v>3619</v>
      </c>
      <c r="D6823" s="1" t="s">
        <v>3601</v>
      </c>
      <c r="E6823" s="1" t="s">
        <v>3664</v>
      </c>
      <c r="F6823" s="1" t="s">
        <v>23673</v>
      </c>
      <c r="G6823" s="1" t="s">
        <v>9092</v>
      </c>
      <c r="H6823" s="1" t="s">
        <v>3604</v>
      </c>
      <c r="I6823" s="1" t="s">
        <v>23674</v>
      </c>
      <c r="J6823" s="1" t="s">
        <v>3615</v>
      </c>
      <c r="K6823" s="1" t="s">
        <v>23675</v>
      </c>
      <c r="L6823" s="1"/>
      <c r="M6823" s="1"/>
    </row>
    <row x14ac:dyDescent="0.25" r="6824" customHeight="1" ht="18.75">
      <c r="A6824" s="1" t="s">
        <v>3693</v>
      </c>
      <c r="B6824" s="1" t="s">
        <v>4229</v>
      </c>
      <c r="C6824" s="1" t="s">
        <v>3619</v>
      </c>
      <c r="D6824" s="1" t="s">
        <v>3601</v>
      </c>
      <c r="E6824" s="1" t="s">
        <v>3664</v>
      </c>
      <c r="F6824" s="1" t="s">
        <v>23676</v>
      </c>
      <c r="G6824" s="1" t="s">
        <v>13737</v>
      </c>
      <c r="H6824" s="1" t="s">
        <v>3604</v>
      </c>
      <c r="I6824" s="1" t="s">
        <v>23677</v>
      </c>
      <c r="J6824" s="1" t="s">
        <v>3615</v>
      </c>
      <c r="K6824" s="1" t="s">
        <v>23678</v>
      </c>
      <c r="L6824" s="1"/>
      <c r="M6824" s="1"/>
    </row>
    <row x14ac:dyDescent="0.25" r="6825" customHeight="1" ht="18.75">
      <c r="A6825" s="1" t="s">
        <v>3693</v>
      </c>
      <c r="B6825" s="1" t="s">
        <v>4229</v>
      </c>
      <c r="C6825" s="1" t="s">
        <v>3619</v>
      </c>
      <c r="D6825" s="1" t="s">
        <v>3601</v>
      </c>
      <c r="E6825" s="1" t="s">
        <v>3611</v>
      </c>
      <c r="F6825" s="1" t="s">
        <v>23679</v>
      </c>
      <c r="G6825" s="1" t="s">
        <v>8122</v>
      </c>
      <c r="H6825" s="1" t="s">
        <v>3604</v>
      </c>
      <c r="I6825" s="1" t="s">
        <v>23680</v>
      </c>
      <c r="J6825" s="1" t="s">
        <v>3606</v>
      </c>
      <c r="K6825" s="1" t="s">
        <v>23681</v>
      </c>
      <c r="L6825" s="1"/>
      <c r="M6825" s="1"/>
    </row>
    <row x14ac:dyDescent="0.25" r="6826" customHeight="1" ht="18.75">
      <c r="A6826" s="1" t="s">
        <v>3693</v>
      </c>
      <c r="B6826" s="1" t="s">
        <v>4229</v>
      </c>
      <c r="C6826" s="1" t="s">
        <v>3619</v>
      </c>
      <c r="D6826" s="1" t="s">
        <v>3601</v>
      </c>
      <c r="E6826" s="1" t="s">
        <v>3611</v>
      </c>
      <c r="F6826" s="1" t="s">
        <v>23682</v>
      </c>
      <c r="G6826" s="1" t="s">
        <v>8129</v>
      </c>
      <c r="H6826" s="1" t="s">
        <v>3604</v>
      </c>
      <c r="I6826" s="1" t="s">
        <v>23683</v>
      </c>
      <c r="J6826" s="1" t="s">
        <v>3606</v>
      </c>
      <c r="K6826" s="1" t="s">
        <v>23684</v>
      </c>
      <c r="L6826" s="1"/>
      <c r="M6826" s="1"/>
    </row>
    <row x14ac:dyDescent="0.25" r="6827" customHeight="1" ht="18.75">
      <c r="A6827" s="1" t="s">
        <v>3617</v>
      </c>
      <c r="B6827" s="1" t="s">
        <v>3825</v>
      </c>
      <c r="C6827" s="1" t="s">
        <v>3619</v>
      </c>
      <c r="D6827" s="1" t="s">
        <v>3601</v>
      </c>
      <c r="E6827" s="1" t="s">
        <v>3752</v>
      </c>
      <c r="F6827" s="1" t="s">
        <v>23685</v>
      </c>
      <c r="G6827" s="1" t="s">
        <v>23686</v>
      </c>
      <c r="H6827" s="1" t="s">
        <v>3604</v>
      </c>
      <c r="I6827" s="1" t="s">
        <v>23687</v>
      </c>
      <c r="J6827" s="1" t="s">
        <v>3606</v>
      </c>
      <c r="K6827" s="1" t="s">
        <v>23688</v>
      </c>
      <c r="L6827" s="1"/>
      <c r="M6827" s="1"/>
    </row>
    <row x14ac:dyDescent="0.25" r="6828" customHeight="1" ht="18.75">
      <c r="A6828" s="1" t="s">
        <v>3617</v>
      </c>
      <c r="B6828" s="1" t="s">
        <v>3825</v>
      </c>
      <c r="C6828" s="1" t="s">
        <v>3619</v>
      </c>
      <c r="D6828" s="1" t="s">
        <v>3601</v>
      </c>
      <c r="E6828" s="1" t="s">
        <v>3752</v>
      </c>
      <c r="F6828" s="1" t="s">
        <v>23689</v>
      </c>
      <c r="G6828" s="1" t="s">
        <v>23690</v>
      </c>
      <c r="H6828" s="1" t="s">
        <v>3604</v>
      </c>
      <c r="I6828" s="1" t="s">
        <v>23691</v>
      </c>
      <c r="J6828" s="1" t="s">
        <v>3606</v>
      </c>
      <c r="K6828" s="1" t="s">
        <v>23692</v>
      </c>
      <c r="L6828" s="1"/>
      <c r="M6828" s="1"/>
    </row>
    <row x14ac:dyDescent="0.25" r="6829" customHeight="1" ht="18.75">
      <c r="A6829" s="1" t="s">
        <v>3617</v>
      </c>
      <c r="B6829" s="1" t="s">
        <v>3825</v>
      </c>
      <c r="C6829" s="1" t="s">
        <v>3619</v>
      </c>
      <c r="D6829" s="1" t="s">
        <v>3601</v>
      </c>
      <c r="E6829" s="1" t="s">
        <v>3752</v>
      </c>
      <c r="F6829" s="1" t="s">
        <v>23693</v>
      </c>
      <c r="G6829" s="1" t="s">
        <v>23694</v>
      </c>
      <c r="H6829" s="1" t="s">
        <v>3604</v>
      </c>
      <c r="I6829" s="1" t="s">
        <v>23695</v>
      </c>
      <c r="J6829" s="1" t="s">
        <v>3606</v>
      </c>
      <c r="K6829" s="1" t="s">
        <v>23696</v>
      </c>
      <c r="L6829" s="1"/>
      <c r="M6829" s="1"/>
    </row>
    <row x14ac:dyDescent="0.25" r="6830" customHeight="1" ht="18.75">
      <c r="A6830" s="1" t="s">
        <v>3617</v>
      </c>
      <c r="B6830" s="1" t="s">
        <v>3825</v>
      </c>
      <c r="C6830" s="1" t="s">
        <v>3619</v>
      </c>
      <c r="D6830" s="1" t="s">
        <v>3601</v>
      </c>
      <c r="E6830" s="1" t="s">
        <v>3752</v>
      </c>
      <c r="F6830" s="1" t="s">
        <v>23697</v>
      </c>
      <c r="G6830" s="1" t="s">
        <v>23694</v>
      </c>
      <c r="H6830" s="1" t="s">
        <v>3604</v>
      </c>
      <c r="I6830" s="1" t="s">
        <v>23698</v>
      </c>
      <c r="J6830" s="1" t="s">
        <v>3606</v>
      </c>
      <c r="K6830" s="1" t="s">
        <v>23699</v>
      </c>
      <c r="L6830" s="1"/>
      <c r="M6830" s="1"/>
    </row>
    <row x14ac:dyDescent="0.25" r="6831" customHeight="1" ht="18.75">
      <c r="A6831" s="1" t="s">
        <v>3617</v>
      </c>
      <c r="B6831" s="1" t="s">
        <v>3825</v>
      </c>
      <c r="C6831" s="1" t="s">
        <v>3619</v>
      </c>
      <c r="D6831" s="1" t="s">
        <v>3601</v>
      </c>
      <c r="E6831" s="1" t="s">
        <v>3752</v>
      </c>
      <c r="F6831" s="1" t="s">
        <v>23700</v>
      </c>
      <c r="G6831" s="1" t="s">
        <v>23701</v>
      </c>
      <c r="H6831" s="1" t="s">
        <v>3604</v>
      </c>
      <c r="I6831" s="1" t="s">
        <v>23702</v>
      </c>
      <c r="J6831" s="1" t="s">
        <v>3606</v>
      </c>
      <c r="K6831" s="1" t="s">
        <v>23703</v>
      </c>
      <c r="L6831" s="1"/>
      <c r="M6831" s="1"/>
    </row>
    <row x14ac:dyDescent="0.25" r="6832" customHeight="1" ht="18.75">
      <c r="A6832" s="1" t="s">
        <v>3617</v>
      </c>
      <c r="B6832" s="1" t="s">
        <v>3825</v>
      </c>
      <c r="C6832" s="1" t="s">
        <v>3619</v>
      </c>
      <c r="D6832" s="1" t="s">
        <v>3601</v>
      </c>
      <c r="E6832" s="1" t="s">
        <v>3752</v>
      </c>
      <c r="F6832" s="1" t="s">
        <v>23704</v>
      </c>
      <c r="G6832" s="1" t="s">
        <v>3827</v>
      </c>
      <c r="H6832" s="1" t="s">
        <v>3604</v>
      </c>
      <c r="I6832" s="1" t="s">
        <v>23705</v>
      </c>
      <c r="J6832" s="1" t="s">
        <v>3606</v>
      </c>
      <c r="K6832" s="1" t="s">
        <v>23706</v>
      </c>
      <c r="L6832" s="1"/>
      <c r="M6832" s="1"/>
    </row>
    <row x14ac:dyDescent="0.25" r="6833" customHeight="1" ht="18.75">
      <c r="A6833" s="1" t="s">
        <v>3617</v>
      </c>
      <c r="B6833" s="1" t="s">
        <v>3825</v>
      </c>
      <c r="C6833" s="1" t="s">
        <v>3619</v>
      </c>
      <c r="D6833" s="1" t="s">
        <v>3601</v>
      </c>
      <c r="E6833" s="1" t="s">
        <v>3664</v>
      </c>
      <c r="F6833" s="1" t="s">
        <v>23707</v>
      </c>
      <c r="G6833" s="1" t="s">
        <v>8402</v>
      </c>
      <c r="H6833" s="1" t="s">
        <v>3604</v>
      </c>
      <c r="I6833" s="1" t="s">
        <v>23708</v>
      </c>
      <c r="J6833" s="1" t="s">
        <v>3606</v>
      </c>
      <c r="K6833" s="1" t="s">
        <v>23709</v>
      </c>
      <c r="L6833" s="1"/>
      <c r="M6833" s="1"/>
    </row>
    <row x14ac:dyDescent="0.25" r="6834" customHeight="1" ht="18.75">
      <c r="A6834" s="1" t="s">
        <v>3617</v>
      </c>
      <c r="B6834" s="1" t="s">
        <v>3825</v>
      </c>
      <c r="C6834" s="1" t="s">
        <v>3619</v>
      </c>
      <c r="D6834" s="1" t="s">
        <v>3601</v>
      </c>
      <c r="E6834" s="1" t="s">
        <v>3664</v>
      </c>
      <c r="F6834" s="1" t="s">
        <v>23710</v>
      </c>
      <c r="G6834" s="1" t="s">
        <v>17872</v>
      </c>
      <c r="H6834" s="1" t="s">
        <v>3604</v>
      </c>
      <c r="I6834" s="1" t="s">
        <v>23711</v>
      </c>
      <c r="J6834" s="1" t="s">
        <v>3606</v>
      </c>
      <c r="K6834" s="1" t="s">
        <v>23712</v>
      </c>
      <c r="L6834" s="1"/>
      <c r="M6834" s="1"/>
    </row>
    <row x14ac:dyDescent="0.25" r="6835" customHeight="1" ht="18.75">
      <c r="A6835" s="1" t="s">
        <v>3598</v>
      </c>
      <c r="B6835" s="1" t="s">
        <v>23713</v>
      </c>
      <c r="C6835" s="1" t="s">
        <v>3600</v>
      </c>
      <c r="D6835" s="1" t="s">
        <v>3601</v>
      </c>
      <c r="E6835" s="1" t="s">
        <v>3664</v>
      </c>
      <c r="F6835" s="1" t="s">
        <v>23714</v>
      </c>
      <c r="G6835" s="1" t="s">
        <v>23715</v>
      </c>
      <c r="H6835" s="1" t="s">
        <v>3604</v>
      </c>
      <c r="I6835" s="1" t="s">
        <v>23716</v>
      </c>
      <c r="J6835" s="1" t="s">
        <v>3606</v>
      </c>
      <c r="K6835" s="1"/>
      <c r="L6835" s="1"/>
      <c r="M6835" s="1"/>
    </row>
    <row x14ac:dyDescent="0.25" r="6836" customHeight="1" ht="18.75">
      <c r="A6836" s="1" t="s">
        <v>3617</v>
      </c>
      <c r="B6836" s="1" t="s">
        <v>3825</v>
      </c>
      <c r="C6836" s="1" t="s">
        <v>3619</v>
      </c>
      <c r="D6836" s="1" t="s">
        <v>3601</v>
      </c>
      <c r="E6836" s="1" t="s">
        <v>3752</v>
      </c>
      <c r="F6836" s="1" t="s">
        <v>23717</v>
      </c>
      <c r="G6836" s="1" t="s">
        <v>23701</v>
      </c>
      <c r="H6836" s="1" t="s">
        <v>3604</v>
      </c>
      <c r="I6836" s="1" t="s">
        <v>23718</v>
      </c>
      <c r="J6836" s="1" t="s">
        <v>3606</v>
      </c>
      <c r="K6836" s="1" t="s">
        <v>23719</v>
      </c>
      <c r="L6836" s="1"/>
      <c r="M6836" s="1"/>
    </row>
    <row x14ac:dyDescent="0.25" r="6837" customHeight="1" ht="18.75">
      <c r="A6837" s="1" t="s">
        <v>3598</v>
      </c>
      <c r="B6837" s="1" t="s">
        <v>17394</v>
      </c>
      <c r="C6837" s="1" t="s">
        <v>3600</v>
      </c>
      <c r="D6837" s="1" t="s">
        <v>3601</v>
      </c>
      <c r="E6837" s="1" t="s">
        <v>3664</v>
      </c>
      <c r="F6837" s="1" t="s">
        <v>23720</v>
      </c>
      <c r="G6837" s="1" t="s">
        <v>23089</v>
      </c>
      <c r="H6837" s="1" t="s">
        <v>3604</v>
      </c>
      <c r="I6837" s="1" t="s">
        <v>23721</v>
      </c>
      <c r="J6837" s="1" t="s">
        <v>3606</v>
      </c>
      <c r="K6837" s="1" t="s">
        <v>23722</v>
      </c>
      <c r="L6837" s="1"/>
      <c r="M6837" s="1"/>
    </row>
    <row x14ac:dyDescent="0.25" r="6838" customHeight="1" ht="18.75">
      <c r="A6838" s="1" t="s">
        <v>3617</v>
      </c>
      <c r="B6838" s="1" t="s">
        <v>3825</v>
      </c>
      <c r="C6838" s="1" t="s">
        <v>3619</v>
      </c>
      <c r="D6838" s="1" t="s">
        <v>3601</v>
      </c>
      <c r="E6838" s="1" t="s">
        <v>3752</v>
      </c>
      <c r="F6838" s="1" t="s">
        <v>23723</v>
      </c>
      <c r="G6838" s="1" t="s">
        <v>3827</v>
      </c>
      <c r="H6838" s="1" t="s">
        <v>3604</v>
      </c>
      <c r="I6838" s="1" t="s">
        <v>23724</v>
      </c>
      <c r="J6838" s="1" t="s">
        <v>3606</v>
      </c>
      <c r="K6838" s="1" t="s">
        <v>23725</v>
      </c>
      <c r="L6838" s="1"/>
      <c r="M6838" s="1"/>
    </row>
    <row x14ac:dyDescent="0.25" r="6839" customHeight="1" ht="18.75">
      <c r="A6839" s="1" t="s">
        <v>3598</v>
      </c>
      <c r="B6839" s="1" t="s">
        <v>14104</v>
      </c>
      <c r="C6839" s="1" t="s">
        <v>3600</v>
      </c>
      <c r="D6839" s="1" t="s">
        <v>3601</v>
      </c>
      <c r="E6839" s="1" t="s">
        <v>3893</v>
      </c>
      <c r="F6839" s="1" t="s">
        <v>23726</v>
      </c>
      <c r="G6839" s="1" t="s">
        <v>14130</v>
      </c>
      <c r="H6839" s="1" t="s">
        <v>3604</v>
      </c>
      <c r="I6839" s="1" t="s">
        <v>23727</v>
      </c>
      <c r="J6839" s="1" t="s">
        <v>3606</v>
      </c>
      <c r="K6839" s="1" t="s">
        <v>23728</v>
      </c>
      <c r="L6839" s="1"/>
      <c r="M6839" s="1"/>
    </row>
    <row x14ac:dyDescent="0.25" r="6840" customHeight="1" ht="18.75">
      <c r="A6840" s="1" t="s">
        <v>3617</v>
      </c>
      <c r="B6840" s="1" t="s">
        <v>3825</v>
      </c>
      <c r="C6840" s="1" t="s">
        <v>3619</v>
      </c>
      <c r="D6840" s="1" t="s">
        <v>3601</v>
      </c>
      <c r="E6840" s="1" t="s">
        <v>3664</v>
      </c>
      <c r="F6840" s="1" t="s">
        <v>13536</v>
      </c>
      <c r="G6840" s="1" t="s">
        <v>3827</v>
      </c>
      <c r="H6840" s="1" t="s">
        <v>3604</v>
      </c>
      <c r="I6840" s="1" t="s">
        <v>23729</v>
      </c>
      <c r="J6840" s="1" t="s">
        <v>3606</v>
      </c>
      <c r="K6840" s="1" t="s">
        <v>12400</v>
      </c>
      <c r="L6840" s="1"/>
      <c r="M6840" s="1"/>
    </row>
    <row x14ac:dyDescent="0.25" r="6841" customHeight="1" ht="18.75">
      <c r="A6841" s="1" t="s">
        <v>3617</v>
      </c>
      <c r="B6841" s="1" t="s">
        <v>13485</v>
      </c>
      <c r="C6841" s="1" t="s">
        <v>3619</v>
      </c>
      <c r="D6841" s="1" t="s">
        <v>3601</v>
      </c>
      <c r="E6841" s="1" t="s">
        <v>3664</v>
      </c>
      <c r="F6841" s="1" t="s">
        <v>23730</v>
      </c>
      <c r="G6841" s="1" t="s">
        <v>13500</v>
      </c>
      <c r="H6841" s="1" t="s">
        <v>3604</v>
      </c>
      <c r="I6841" s="1" t="s">
        <v>23731</v>
      </c>
      <c r="J6841" s="1" t="s">
        <v>3606</v>
      </c>
      <c r="K6841" s="1" t="s">
        <v>12364</v>
      </c>
      <c r="L6841" s="1"/>
      <c r="M6841" s="1"/>
    </row>
    <row x14ac:dyDescent="0.25" r="6842" customHeight="1" ht="18.75">
      <c r="A6842" s="1" t="s">
        <v>3617</v>
      </c>
      <c r="B6842" s="1" t="s">
        <v>13485</v>
      </c>
      <c r="C6842" s="1" t="s">
        <v>3619</v>
      </c>
      <c r="D6842" s="1" t="s">
        <v>3601</v>
      </c>
      <c r="E6842" s="1" t="s">
        <v>3664</v>
      </c>
      <c r="F6842" s="1" t="s">
        <v>23732</v>
      </c>
      <c r="G6842" s="1" t="s">
        <v>13500</v>
      </c>
      <c r="H6842" s="1" t="s">
        <v>3604</v>
      </c>
      <c r="I6842" s="1" t="s">
        <v>23733</v>
      </c>
      <c r="J6842" s="1" t="s">
        <v>3606</v>
      </c>
      <c r="K6842" s="1" t="s">
        <v>23734</v>
      </c>
      <c r="L6842" s="1"/>
      <c r="M6842" s="1"/>
    </row>
    <row x14ac:dyDescent="0.25" r="6843" customHeight="1" ht="18.75">
      <c r="A6843" s="1" t="s">
        <v>3617</v>
      </c>
      <c r="B6843" s="1" t="s">
        <v>13485</v>
      </c>
      <c r="C6843" s="1" t="s">
        <v>3619</v>
      </c>
      <c r="D6843" s="1" t="s">
        <v>3601</v>
      </c>
      <c r="E6843" s="1" t="s">
        <v>3664</v>
      </c>
      <c r="F6843" s="1" t="s">
        <v>23735</v>
      </c>
      <c r="G6843" s="1" t="s">
        <v>13500</v>
      </c>
      <c r="H6843" s="1" t="s">
        <v>3604</v>
      </c>
      <c r="I6843" s="1" t="s">
        <v>23736</v>
      </c>
      <c r="J6843" s="1" t="s">
        <v>3606</v>
      </c>
      <c r="K6843" s="1" t="s">
        <v>23737</v>
      </c>
      <c r="L6843" s="1"/>
      <c r="M6843" s="1"/>
    </row>
    <row x14ac:dyDescent="0.25" r="6844" customHeight="1" ht="18.75">
      <c r="A6844" s="1" t="s">
        <v>3617</v>
      </c>
      <c r="B6844" s="1" t="s">
        <v>13485</v>
      </c>
      <c r="C6844" s="1" t="s">
        <v>3619</v>
      </c>
      <c r="D6844" s="1" t="s">
        <v>3601</v>
      </c>
      <c r="E6844" s="1" t="s">
        <v>3664</v>
      </c>
      <c r="F6844" s="1" t="s">
        <v>23738</v>
      </c>
      <c r="G6844" s="1" t="s">
        <v>13500</v>
      </c>
      <c r="H6844" s="1" t="s">
        <v>3604</v>
      </c>
      <c r="I6844" s="1" t="s">
        <v>23739</v>
      </c>
      <c r="J6844" s="1" t="s">
        <v>3606</v>
      </c>
      <c r="K6844" s="1" t="s">
        <v>23740</v>
      </c>
      <c r="L6844" s="1"/>
      <c r="M6844" s="1"/>
    </row>
    <row x14ac:dyDescent="0.25" r="6845" customHeight="1" ht="18.75">
      <c r="A6845" s="1" t="s">
        <v>3617</v>
      </c>
      <c r="B6845" s="1" t="s">
        <v>13485</v>
      </c>
      <c r="C6845" s="1" t="s">
        <v>3619</v>
      </c>
      <c r="D6845" s="1" t="s">
        <v>3601</v>
      </c>
      <c r="E6845" s="1" t="s">
        <v>3664</v>
      </c>
      <c r="F6845" s="1" t="s">
        <v>23741</v>
      </c>
      <c r="G6845" s="1" t="s">
        <v>13500</v>
      </c>
      <c r="H6845" s="1" t="s">
        <v>3604</v>
      </c>
      <c r="I6845" s="1" t="s">
        <v>23742</v>
      </c>
      <c r="J6845" s="1" t="s">
        <v>3606</v>
      </c>
      <c r="K6845" s="1" t="s">
        <v>23743</v>
      </c>
      <c r="L6845" s="1"/>
      <c r="M6845" s="1"/>
    </row>
    <row x14ac:dyDescent="0.25" r="6846" customHeight="1" ht="18.75">
      <c r="A6846" s="1" t="s">
        <v>3617</v>
      </c>
      <c r="B6846" s="1" t="s">
        <v>13485</v>
      </c>
      <c r="C6846" s="1" t="s">
        <v>3619</v>
      </c>
      <c r="D6846" s="1" t="s">
        <v>3601</v>
      </c>
      <c r="E6846" s="1" t="s">
        <v>3664</v>
      </c>
      <c r="F6846" s="1" t="s">
        <v>23744</v>
      </c>
      <c r="G6846" s="1" t="s">
        <v>13500</v>
      </c>
      <c r="H6846" s="1" t="s">
        <v>3604</v>
      </c>
      <c r="I6846" s="1" t="s">
        <v>23745</v>
      </c>
      <c r="J6846" s="1" t="s">
        <v>3606</v>
      </c>
      <c r="K6846" s="1" t="s">
        <v>12175</v>
      </c>
      <c r="L6846" s="1"/>
      <c r="M6846" s="1"/>
    </row>
    <row x14ac:dyDescent="0.25" r="6847" customHeight="1" ht="18.75">
      <c r="A6847" s="1" t="s">
        <v>3617</v>
      </c>
      <c r="B6847" s="1" t="s">
        <v>13485</v>
      </c>
      <c r="C6847" s="1" t="s">
        <v>3619</v>
      </c>
      <c r="D6847" s="1" t="s">
        <v>3601</v>
      </c>
      <c r="E6847" s="1" t="s">
        <v>3664</v>
      </c>
      <c r="F6847" s="1" t="s">
        <v>23746</v>
      </c>
      <c r="G6847" s="1" t="s">
        <v>13500</v>
      </c>
      <c r="H6847" s="1" t="s">
        <v>3604</v>
      </c>
      <c r="I6847" s="1" t="s">
        <v>23747</v>
      </c>
      <c r="J6847" s="1" t="s">
        <v>3606</v>
      </c>
      <c r="K6847" s="1" t="s">
        <v>12181</v>
      </c>
      <c r="L6847" s="1"/>
      <c r="M6847" s="1"/>
    </row>
    <row x14ac:dyDescent="0.25" r="6848" customHeight="1" ht="18.75">
      <c r="A6848" s="1" t="s">
        <v>3617</v>
      </c>
      <c r="B6848" s="1" t="s">
        <v>13485</v>
      </c>
      <c r="C6848" s="1" t="s">
        <v>3619</v>
      </c>
      <c r="D6848" s="1" t="s">
        <v>3601</v>
      </c>
      <c r="E6848" s="1" t="s">
        <v>3664</v>
      </c>
      <c r="F6848" s="1" t="s">
        <v>23748</v>
      </c>
      <c r="G6848" s="1" t="s">
        <v>13500</v>
      </c>
      <c r="H6848" s="1" t="s">
        <v>3604</v>
      </c>
      <c r="I6848" s="1" t="s">
        <v>23749</v>
      </c>
      <c r="J6848" s="1" t="s">
        <v>3606</v>
      </c>
      <c r="K6848" s="1" t="s">
        <v>23750</v>
      </c>
      <c r="L6848" s="1"/>
      <c r="M6848" s="1"/>
    </row>
    <row x14ac:dyDescent="0.25" r="6849" customHeight="1" ht="18.75">
      <c r="A6849" s="1" t="s">
        <v>3617</v>
      </c>
      <c r="B6849" s="1" t="s">
        <v>13485</v>
      </c>
      <c r="C6849" s="1" t="s">
        <v>3619</v>
      </c>
      <c r="D6849" s="1" t="s">
        <v>3601</v>
      </c>
      <c r="E6849" s="1" t="s">
        <v>3664</v>
      </c>
      <c r="F6849" s="1" t="s">
        <v>23751</v>
      </c>
      <c r="G6849" s="1" t="s">
        <v>13500</v>
      </c>
      <c r="H6849" s="1" t="s">
        <v>3604</v>
      </c>
      <c r="I6849" s="1" t="s">
        <v>23752</v>
      </c>
      <c r="J6849" s="1" t="s">
        <v>3606</v>
      </c>
      <c r="K6849" s="1" t="s">
        <v>23753</v>
      </c>
      <c r="L6849" s="1"/>
      <c r="M6849" s="1"/>
    </row>
    <row x14ac:dyDescent="0.25" r="6850" customHeight="1" ht="18.75">
      <c r="A6850" s="1" t="s">
        <v>3617</v>
      </c>
      <c r="B6850" s="1" t="s">
        <v>13485</v>
      </c>
      <c r="C6850" s="1" t="s">
        <v>3619</v>
      </c>
      <c r="D6850" s="1" t="s">
        <v>3601</v>
      </c>
      <c r="E6850" s="1" t="s">
        <v>3664</v>
      </c>
      <c r="F6850" s="1" t="s">
        <v>23754</v>
      </c>
      <c r="G6850" s="1" t="s">
        <v>13500</v>
      </c>
      <c r="H6850" s="1" t="s">
        <v>3604</v>
      </c>
      <c r="I6850" s="1" t="s">
        <v>23755</v>
      </c>
      <c r="J6850" s="1" t="s">
        <v>3606</v>
      </c>
      <c r="K6850" s="1" t="s">
        <v>23756</v>
      </c>
      <c r="L6850" s="1"/>
      <c r="M6850" s="1"/>
    </row>
    <row x14ac:dyDescent="0.25" r="6851" customHeight="1" ht="18.75">
      <c r="A6851" s="1" t="s">
        <v>3617</v>
      </c>
      <c r="B6851" s="1" t="s">
        <v>13485</v>
      </c>
      <c r="C6851" s="1" t="s">
        <v>3619</v>
      </c>
      <c r="D6851" s="1" t="s">
        <v>3601</v>
      </c>
      <c r="E6851" s="1" t="s">
        <v>3664</v>
      </c>
      <c r="F6851" s="1" t="s">
        <v>23757</v>
      </c>
      <c r="G6851" s="1" t="s">
        <v>13500</v>
      </c>
      <c r="H6851" s="1" t="s">
        <v>3604</v>
      </c>
      <c r="I6851" s="1" t="s">
        <v>23758</v>
      </c>
      <c r="J6851" s="1" t="s">
        <v>3606</v>
      </c>
      <c r="K6851" s="1" t="s">
        <v>23759</v>
      </c>
      <c r="L6851" s="1"/>
      <c r="M6851" s="1"/>
    </row>
    <row x14ac:dyDescent="0.25" r="6852" customHeight="1" ht="18.75">
      <c r="A6852" s="1" t="s">
        <v>3617</v>
      </c>
      <c r="B6852" s="1" t="s">
        <v>13485</v>
      </c>
      <c r="C6852" s="1" t="s">
        <v>3619</v>
      </c>
      <c r="D6852" s="1" t="s">
        <v>3601</v>
      </c>
      <c r="E6852" s="1" t="s">
        <v>3664</v>
      </c>
      <c r="F6852" s="1" t="s">
        <v>23760</v>
      </c>
      <c r="G6852" s="1" t="s">
        <v>13500</v>
      </c>
      <c r="H6852" s="1" t="s">
        <v>3604</v>
      </c>
      <c r="I6852" s="1" t="s">
        <v>23761</v>
      </c>
      <c r="J6852" s="1" t="s">
        <v>3606</v>
      </c>
      <c r="K6852" s="1" t="s">
        <v>23762</v>
      </c>
      <c r="L6852" s="1"/>
      <c r="M6852" s="1"/>
    </row>
    <row x14ac:dyDescent="0.25" r="6853" customHeight="1" ht="18.75">
      <c r="A6853" s="1" t="s">
        <v>3617</v>
      </c>
      <c r="B6853" s="1" t="s">
        <v>13485</v>
      </c>
      <c r="C6853" s="1" t="s">
        <v>3619</v>
      </c>
      <c r="D6853" s="1" t="s">
        <v>3601</v>
      </c>
      <c r="E6853" s="1" t="s">
        <v>3664</v>
      </c>
      <c r="F6853" s="1" t="s">
        <v>23763</v>
      </c>
      <c r="G6853" s="1" t="s">
        <v>13500</v>
      </c>
      <c r="H6853" s="1" t="s">
        <v>3604</v>
      </c>
      <c r="I6853" s="1" t="s">
        <v>23764</v>
      </c>
      <c r="J6853" s="1" t="s">
        <v>3606</v>
      </c>
      <c r="K6853" s="1" t="s">
        <v>23765</v>
      </c>
      <c r="L6853" s="1"/>
      <c r="M6853" s="1"/>
    </row>
    <row x14ac:dyDescent="0.25" r="6854" customHeight="1" ht="18.75">
      <c r="A6854" s="1" t="s">
        <v>3617</v>
      </c>
      <c r="B6854" s="1" t="s">
        <v>13485</v>
      </c>
      <c r="C6854" s="1" t="s">
        <v>3619</v>
      </c>
      <c r="D6854" s="1" t="s">
        <v>3601</v>
      </c>
      <c r="E6854" s="1" t="s">
        <v>3664</v>
      </c>
      <c r="F6854" s="1" t="s">
        <v>23766</v>
      </c>
      <c r="G6854" s="1" t="s">
        <v>13500</v>
      </c>
      <c r="H6854" s="1" t="s">
        <v>3604</v>
      </c>
      <c r="I6854" s="1" t="s">
        <v>23767</v>
      </c>
      <c r="J6854" s="1" t="s">
        <v>3606</v>
      </c>
      <c r="K6854" s="1" t="s">
        <v>23768</v>
      </c>
      <c r="L6854" s="1"/>
      <c r="M6854" s="1"/>
    </row>
    <row x14ac:dyDescent="0.25" r="6855" customHeight="1" ht="18.75">
      <c r="A6855" s="1" t="s">
        <v>3617</v>
      </c>
      <c r="B6855" s="1" t="s">
        <v>13485</v>
      </c>
      <c r="C6855" s="1" t="s">
        <v>3619</v>
      </c>
      <c r="D6855" s="1" t="s">
        <v>3601</v>
      </c>
      <c r="E6855" s="1" t="s">
        <v>3664</v>
      </c>
      <c r="F6855" s="1" t="s">
        <v>11952</v>
      </c>
      <c r="G6855" s="1" t="s">
        <v>13500</v>
      </c>
      <c r="H6855" s="1" t="s">
        <v>3604</v>
      </c>
      <c r="I6855" s="1" t="s">
        <v>23769</v>
      </c>
      <c r="J6855" s="1" t="s">
        <v>3606</v>
      </c>
      <c r="K6855" s="1" t="s">
        <v>11954</v>
      </c>
      <c r="L6855" s="1"/>
      <c r="M6855" s="1"/>
    </row>
    <row x14ac:dyDescent="0.25" r="6856" customHeight="1" ht="18.75">
      <c r="A6856" s="1" t="s">
        <v>3617</v>
      </c>
      <c r="B6856" s="1" t="s">
        <v>13485</v>
      </c>
      <c r="C6856" s="1" t="s">
        <v>3619</v>
      </c>
      <c r="D6856" s="1" t="s">
        <v>3601</v>
      </c>
      <c r="E6856" s="1" t="s">
        <v>3664</v>
      </c>
      <c r="F6856" s="1" t="s">
        <v>23770</v>
      </c>
      <c r="G6856" s="1" t="s">
        <v>13500</v>
      </c>
      <c r="H6856" s="1" t="s">
        <v>3604</v>
      </c>
      <c r="I6856" s="1" t="s">
        <v>23771</v>
      </c>
      <c r="J6856" s="1" t="s">
        <v>3606</v>
      </c>
      <c r="K6856" s="1" t="s">
        <v>23772</v>
      </c>
      <c r="L6856" s="1"/>
      <c r="M6856" s="1"/>
    </row>
    <row x14ac:dyDescent="0.25" r="6857" customHeight="1" ht="18.75">
      <c r="A6857" s="1" t="s">
        <v>3617</v>
      </c>
      <c r="B6857" s="1" t="s">
        <v>13485</v>
      </c>
      <c r="C6857" s="1" t="s">
        <v>3619</v>
      </c>
      <c r="D6857" s="1" t="s">
        <v>3601</v>
      </c>
      <c r="E6857" s="1" t="s">
        <v>3664</v>
      </c>
      <c r="F6857" s="1" t="s">
        <v>23773</v>
      </c>
      <c r="G6857" s="1" t="s">
        <v>13500</v>
      </c>
      <c r="H6857" s="1" t="s">
        <v>3604</v>
      </c>
      <c r="I6857" s="1" t="s">
        <v>23774</v>
      </c>
      <c r="J6857" s="1" t="s">
        <v>3606</v>
      </c>
      <c r="K6857" s="1" t="s">
        <v>23775</v>
      </c>
      <c r="L6857" s="1"/>
      <c r="M6857" s="1"/>
    </row>
    <row x14ac:dyDescent="0.25" r="6858" customHeight="1" ht="18.75">
      <c r="A6858" s="1" t="s">
        <v>7833</v>
      </c>
      <c r="B6858" s="1" t="s">
        <v>7877</v>
      </c>
      <c r="C6858" s="1" t="s">
        <v>4488</v>
      </c>
      <c r="D6858" s="1" t="s">
        <v>3610</v>
      </c>
      <c r="E6858" s="1" t="s">
        <v>3664</v>
      </c>
      <c r="F6858" s="1" t="s">
        <v>1524</v>
      </c>
      <c r="G6858" s="1" t="s">
        <v>23776</v>
      </c>
      <c r="H6858" s="1" t="s">
        <v>3604</v>
      </c>
      <c r="I6858" s="1" t="s">
        <v>23777</v>
      </c>
      <c r="J6858" s="1" t="s">
        <v>3606</v>
      </c>
      <c r="K6858" s="1" t="s">
        <v>14400</v>
      </c>
      <c r="L6858" s="1"/>
      <c r="M6858" s="1"/>
    </row>
    <row x14ac:dyDescent="0.25" r="6859" customHeight="1" ht="18.75">
      <c r="A6859" s="1" t="s">
        <v>3693</v>
      </c>
      <c r="B6859" s="1" t="s">
        <v>4267</v>
      </c>
      <c r="C6859" s="1" t="s">
        <v>3600</v>
      </c>
      <c r="D6859" s="1" t="s">
        <v>3695</v>
      </c>
      <c r="E6859" s="1" t="s">
        <v>3664</v>
      </c>
      <c r="F6859" s="1" t="s">
        <v>23778</v>
      </c>
      <c r="G6859" s="1" t="s">
        <v>5295</v>
      </c>
      <c r="H6859" s="1" t="s">
        <v>3604</v>
      </c>
      <c r="I6859" s="1" t="s">
        <v>23779</v>
      </c>
      <c r="J6859" s="1" t="s">
        <v>3606</v>
      </c>
      <c r="K6859" s="1" t="s">
        <v>23780</v>
      </c>
      <c r="L6859" s="1"/>
      <c r="M6859" s="1"/>
    </row>
    <row x14ac:dyDescent="0.25" r="6860" customHeight="1" ht="18.75">
      <c r="A6860" s="1" t="s">
        <v>3693</v>
      </c>
      <c r="B6860" s="1" t="s">
        <v>4267</v>
      </c>
      <c r="C6860" s="1" t="s">
        <v>3600</v>
      </c>
      <c r="D6860" s="1" t="s">
        <v>3695</v>
      </c>
      <c r="E6860" s="1" t="s">
        <v>3664</v>
      </c>
      <c r="F6860" s="1" t="s">
        <v>23781</v>
      </c>
      <c r="G6860" s="1" t="s">
        <v>5295</v>
      </c>
      <c r="H6860" s="1" t="s">
        <v>3604</v>
      </c>
      <c r="I6860" s="1" t="s">
        <v>23782</v>
      </c>
      <c r="J6860" s="1" t="s">
        <v>3606</v>
      </c>
      <c r="K6860" s="1" t="s">
        <v>23783</v>
      </c>
      <c r="L6860" s="1"/>
      <c r="M6860" s="1"/>
    </row>
    <row x14ac:dyDescent="0.25" r="6861" customHeight="1" ht="18.75">
      <c r="A6861" s="1" t="s">
        <v>7833</v>
      </c>
      <c r="B6861" s="1" t="s">
        <v>7877</v>
      </c>
      <c r="C6861" s="1" t="s">
        <v>4488</v>
      </c>
      <c r="D6861" s="1" t="s">
        <v>3610</v>
      </c>
      <c r="E6861" s="1" t="s">
        <v>3664</v>
      </c>
      <c r="F6861" s="1" t="s">
        <v>1525</v>
      </c>
      <c r="G6861" s="1" t="s">
        <v>23784</v>
      </c>
      <c r="H6861" s="1" t="s">
        <v>3604</v>
      </c>
      <c r="I6861" s="1" t="s">
        <v>23785</v>
      </c>
      <c r="J6861" s="1" t="s">
        <v>3606</v>
      </c>
      <c r="K6861" s="1" t="s">
        <v>23786</v>
      </c>
      <c r="L6861" s="1"/>
      <c r="M6861" s="1"/>
    </row>
    <row x14ac:dyDescent="0.25" r="6862" customHeight="1" ht="18.75">
      <c r="A6862" s="1" t="s">
        <v>3693</v>
      </c>
      <c r="B6862" s="1" t="s">
        <v>4267</v>
      </c>
      <c r="C6862" s="1" t="s">
        <v>3600</v>
      </c>
      <c r="D6862" s="1" t="s">
        <v>3695</v>
      </c>
      <c r="E6862" s="1" t="s">
        <v>3893</v>
      </c>
      <c r="F6862" s="1" t="s">
        <v>23787</v>
      </c>
      <c r="G6862" s="1" t="s">
        <v>10164</v>
      </c>
      <c r="H6862" s="1" t="s">
        <v>3604</v>
      </c>
      <c r="I6862" s="1" t="s">
        <v>23788</v>
      </c>
      <c r="J6862" s="1" t="s">
        <v>3606</v>
      </c>
      <c r="K6862" s="1" t="s">
        <v>23789</v>
      </c>
      <c r="L6862" s="1"/>
      <c r="M6862" s="1"/>
    </row>
    <row x14ac:dyDescent="0.25" r="6863" customHeight="1" ht="18.75">
      <c r="A6863" s="1" t="s">
        <v>7833</v>
      </c>
      <c r="B6863" s="1" t="s">
        <v>7877</v>
      </c>
      <c r="C6863" s="1" t="s">
        <v>4488</v>
      </c>
      <c r="D6863" s="1" t="s">
        <v>3610</v>
      </c>
      <c r="E6863" s="1" t="s">
        <v>3664</v>
      </c>
      <c r="F6863" s="1" t="s">
        <v>1526</v>
      </c>
      <c r="G6863" s="1" t="s">
        <v>23784</v>
      </c>
      <c r="H6863" s="1" t="s">
        <v>3604</v>
      </c>
      <c r="I6863" s="1" t="s">
        <v>23790</v>
      </c>
      <c r="J6863" s="1" t="s">
        <v>3606</v>
      </c>
      <c r="K6863" s="1" t="s">
        <v>23791</v>
      </c>
      <c r="L6863" s="1"/>
      <c r="M6863" s="1"/>
    </row>
    <row x14ac:dyDescent="0.25" r="6864" customHeight="1" ht="18.75">
      <c r="A6864" s="1" t="s">
        <v>3693</v>
      </c>
      <c r="B6864" s="1" t="s">
        <v>4267</v>
      </c>
      <c r="C6864" s="1" t="s">
        <v>3600</v>
      </c>
      <c r="D6864" s="1" t="s">
        <v>3695</v>
      </c>
      <c r="E6864" s="1" t="s">
        <v>3893</v>
      </c>
      <c r="F6864" s="1" t="s">
        <v>23792</v>
      </c>
      <c r="G6864" s="1" t="s">
        <v>10164</v>
      </c>
      <c r="H6864" s="1" t="s">
        <v>3604</v>
      </c>
      <c r="I6864" s="1" t="s">
        <v>23793</v>
      </c>
      <c r="J6864" s="1" t="s">
        <v>3606</v>
      </c>
      <c r="K6864" s="1" t="s">
        <v>23794</v>
      </c>
      <c r="L6864" s="1"/>
      <c r="M6864" s="1"/>
    </row>
    <row x14ac:dyDescent="0.25" r="6865" customHeight="1" ht="18.75">
      <c r="A6865" s="1" t="s">
        <v>7833</v>
      </c>
      <c r="B6865" s="1" t="s">
        <v>15046</v>
      </c>
      <c r="C6865" s="1" t="s">
        <v>4488</v>
      </c>
      <c r="D6865" s="1" t="s">
        <v>3601</v>
      </c>
      <c r="E6865" s="1" t="s">
        <v>3664</v>
      </c>
      <c r="F6865" s="1" t="s">
        <v>1527</v>
      </c>
      <c r="G6865" s="1" t="s">
        <v>21670</v>
      </c>
      <c r="H6865" s="1" t="s">
        <v>3604</v>
      </c>
      <c r="I6865" s="1" t="s">
        <v>23795</v>
      </c>
      <c r="J6865" s="1" t="s">
        <v>3606</v>
      </c>
      <c r="K6865" s="1" t="s">
        <v>23796</v>
      </c>
      <c r="L6865" s="1"/>
      <c r="M6865" s="1"/>
    </row>
    <row x14ac:dyDescent="0.25" r="6866" customHeight="1" ht="18.75">
      <c r="A6866" s="1" t="s">
        <v>3693</v>
      </c>
      <c r="B6866" s="1" t="s">
        <v>4267</v>
      </c>
      <c r="C6866" s="1" t="s">
        <v>3600</v>
      </c>
      <c r="D6866" s="1" t="s">
        <v>3695</v>
      </c>
      <c r="E6866" s="1" t="s">
        <v>3893</v>
      </c>
      <c r="F6866" s="1" t="s">
        <v>23797</v>
      </c>
      <c r="G6866" s="1" t="s">
        <v>10164</v>
      </c>
      <c r="H6866" s="1" t="s">
        <v>3604</v>
      </c>
      <c r="I6866" s="1" t="s">
        <v>23798</v>
      </c>
      <c r="J6866" s="1" t="s">
        <v>3606</v>
      </c>
      <c r="K6866" s="1" t="s">
        <v>23799</v>
      </c>
      <c r="L6866" s="1"/>
      <c r="M6866" s="1"/>
    </row>
    <row x14ac:dyDescent="0.25" r="6867" customHeight="1" ht="18.75">
      <c r="A6867" s="1" t="s">
        <v>7833</v>
      </c>
      <c r="B6867" s="1" t="s">
        <v>15046</v>
      </c>
      <c r="C6867" s="1" t="s">
        <v>4488</v>
      </c>
      <c r="D6867" s="1" t="s">
        <v>3601</v>
      </c>
      <c r="E6867" s="1" t="s">
        <v>3664</v>
      </c>
      <c r="F6867" s="1" t="s">
        <v>1528</v>
      </c>
      <c r="G6867" s="1" t="s">
        <v>23800</v>
      </c>
      <c r="H6867" s="1" t="s">
        <v>3604</v>
      </c>
      <c r="I6867" s="1" t="s">
        <v>23801</v>
      </c>
      <c r="J6867" s="1" t="s">
        <v>3606</v>
      </c>
      <c r="K6867" s="1" t="s">
        <v>23796</v>
      </c>
      <c r="L6867" s="1"/>
      <c r="M6867" s="1"/>
    </row>
    <row x14ac:dyDescent="0.25" r="6868" customHeight="1" ht="18.75">
      <c r="A6868" s="1" t="s">
        <v>7833</v>
      </c>
      <c r="B6868" s="1" t="s">
        <v>13857</v>
      </c>
      <c r="C6868" s="1" t="s">
        <v>4488</v>
      </c>
      <c r="D6868" s="1" t="s">
        <v>3601</v>
      </c>
      <c r="E6868" s="1" t="s">
        <v>8096</v>
      </c>
      <c r="F6868" s="1" t="s">
        <v>1529</v>
      </c>
      <c r="G6868" s="1" t="s">
        <v>14243</v>
      </c>
      <c r="H6868" s="1" t="s">
        <v>3604</v>
      </c>
      <c r="I6868" s="1" t="s">
        <v>23802</v>
      </c>
      <c r="J6868" s="1" t="s">
        <v>3606</v>
      </c>
      <c r="K6868" s="1" t="s">
        <v>23796</v>
      </c>
      <c r="L6868" s="1"/>
      <c r="M6868" s="1"/>
    </row>
    <row x14ac:dyDescent="0.25" r="6869" customHeight="1" ht="18.75">
      <c r="A6869" s="1" t="s">
        <v>7833</v>
      </c>
      <c r="B6869" s="1" t="s">
        <v>13857</v>
      </c>
      <c r="C6869" s="1" t="s">
        <v>4488</v>
      </c>
      <c r="D6869" s="1" t="s">
        <v>3601</v>
      </c>
      <c r="E6869" s="1" t="s">
        <v>8096</v>
      </c>
      <c r="F6869" s="1" t="s">
        <v>1530</v>
      </c>
      <c r="G6869" s="1" t="s">
        <v>14243</v>
      </c>
      <c r="H6869" s="1" t="s">
        <v>3604</v>
      </c>
      <c r="I6869" s="1" t="s">
        <v>23803</v>
      </c>
      <c r="J6869" s="1" t="s">
        <v>3606</v>
      </c>
      <c r="K6869" s="1" t="s">
        <v>23796</v>
      </c>
      <c r="L6869" s="1"/>
      <c r="M6869" s="1"/>
    </row>
    <row x14ac:dyDescent="0.25" r="6870" customHeight="1" ht="18.75">
      <c r="A6870" s="1" t="s">
        <v>3693</v>
      </c>
      <c r="B6870" s="1" t="s">
        <v>7030</v>
      </c>
      <c r="C6870" s="1" t="s">
        <v>3600</v>
      </c>
      <c r="D6870" s="1" t="s">
        <v>3695</v>
      </c>
      <c r="E6870" s="1" t="s">
        <v>3664</v>
      </c>
      <c r="F6870" s="1" t="s">
        <v>23804</v>
      </c>
      <c r="G6870" s="1" t="s">
        <v>10292</v>
      </c>
      <c r="H6870" s="1" t="s">
        <v>3604</v>
      </c>
      <c r="I6870" s="1" t="s">
        <v>23805</v>
      </c>
      <c r="J6870" s="1" t="s">
        <v>3606</v>
      </c>
      <c r="K6870" s="1" t="s">
        <v>23806</v>
      </c>
      <c r="L6870" s="1"/>
      <c r="M6870" s="1"/>
    </row>
    <row x14ac:dyDescent="0.25" r="6871" customHeight="1" ht="18.75">
      <c r="A6871" s="1" t="s">
        <v>7833</v>
      </c>
      <c r="B6871" s="1" t="s">
        <v>13857</v>
      </c>
      <c r="C6871" s="1" t="s">
        <v>4488</v>
      </c>
      <c r="D6871" s="1" t="s">
        <v>3601</v>
      </c>
      <c r="E6871" s="1" t="s">
        <v>8096</v>
      </c>
      <c r="F6871" s="1" t="s">
        <v>1531</v>
      </c>
      <c r="G6871" s="1" t="s">
        <v>14243</v>
      </c>
      <c r="H6871" s="1" t="s">
        <v>3604</v>
      </c>
      <c r="I6871" s="1" t="s">
        <v>23807</v>
      </c>
      <c r="J6871" s="1" t="s">
        <v>3606</v>
      </c>
      <c r="K6871" s="1" t="s">
        <v>23796</v>
      </c>
      <c r="L6871" s="1"/>
      <c r="M6871" s="1"/>
    </row>
    <row x14ac:dyDescent="0.25" r="6872" customHeight="1" ht="18.75">
      <c r="A6872" s="1" t="s">
        <v>7833</v>
      </c>
      <c r="B6872" s="1" t="s">
        <v>14870</v>
      </c>
      <c r="C6872" s="1" t="s">
        <v>4488</v>
      </c>
      <c r="D6872" s="1" t="s">
        <v>3601</v>
      </c>
      <c r="E6872" s="1" t="s">
        <v>3664</v>
      </c>
      <c r="F6872" s="1" t="s">
        <v>1532</v>
      </c>
      <c r="G6872" s="1" t="s">
        <v>23808</v>
      </c>
      <c r="H6872" s="1" t="s">
        <v>3604</v>
      </c>
      <c r="I6872" s="1" t="s">
        <v>23809</v>
      </c>
      <c r="J6872" s="1" t="s">
        <v>3606</v>
      </c>
      <c r="K6872" s="1" t="s">
        <v>23796</v>
      </c>
      <c r="L6872" s="1"/>
      <c r="M6872" s="1"/>
    </row>
    <row x14ac:dyDescent="0.25" r="6873" customHeight="1" ht="18.75">
      <c r="A6873" s="1" t="s">
        <v>7833</v>
      </c>
      <c r="B6873" s="1" t="s">
        <v>14870</v>
      </c>
      <c r="C6873" s="1" t="s">
        <v>4488</v>
      </c>
      <c r="D6873" s="1" t="s">
        <v>3601</v>
      </c>
      <c r="E6873" s="1" t="s">
        <v>3664</v>
      </c>
      <c r="F6873" s="1" t="s">
        <v>1533</v>
      </c>
      <c r="G6873" s="1" t="s">
        <v>23810</v>
      </c>
      <c r="H6873" s="1" t="s">
        <v>3604</v>
      </c>
      <c r="I6873" s="1" t="s">
        <v>23811</v>
      </c>
      <c r="J6873" s="1" t="s">
        <v>3606</v>
      </c>
      <c r="K6873" s="1" t="s">
        <v>23796</v>
      </c>
      <c r="L6873" s="1"/>
      <c r="M6873" s="1"/>
    </row>
    <row x14ac:dyDescent="0.25" r="6874" customHeight="1" ht="18.75">
      <c r="A6874" s="1" t="s">
        <v>7833</v>
      </c>
      <c r="B6874" s="1" t="s">
        <v>14870</v>
      </c>
      <c r="C6874" s="1" t="s">
        <v>4488</v>
      </c>
      <c r="D6874" s="1" t="s">
        <v>3601</v>
      </c>
      <c r="E6874" s="1" t="s">
        <v>8096</v>
      </c>
      <c r="F6874" s="1" t="s">
        <v>1534</v>
      </c>
      <c r="G6874" s="1" t="s">
        <v>14871</v>
      </c>
      <c r="H6874" s="1" t="s">
        <v>3604</v>
      </c>
      <c r="I6874" s="1" t="s">
        <v>23812</v>
      </c>
      <c r="J6874" s="1" t="s">
        <v>3606</v>
      </c>
      <c r="K6874" s="1" t="s">
        <v>23813</v>
      </c>
      <c r="L6874" s="1"/>
      <c r="M6874" s="1"/>
    </row>
    <row x14ac:dyDescent="0.25" r="6875" customHeight="1" ht="18.75">
      <c r="A6875" s="1" t="s">
        <v>3693</v>
      </c>
      <c r="B6875" s="1" t="s">
        <v>7030</v>
      </c>
      <c r="C6875" s="1" t="s">
        <v>3600</v>
      </c>
      <c r="D6875" s="1" t="s">
        <v>3695</v>
      </c>
      <c r="E6875" s="1" t="s">
        <v>3664</v>
      </c>
      <c r="F6875" s="1" t="s">
        <v>23814</v>
      </c>
      <c r="G6875" s="1" t="s">
        <v>23815</v>
      </c>
      <c r="H6875" s="1" t="s">
        <v>3604</v>
      </c>
      <c r="I6875" s="1" t="s">
        <v>23816</v>
      </c>
      <c r="J6875" s="1" t="s">
        <v>3606</v>
      </c>
      <c r="K6875" s="1" t="s">
        <v>23817</v>
      </c>
      <c r="L6875" s="1"/>
      <c r="M6875" s="1"/>
    </row>
    <row x14ac:dyDescent="0.25" r="6876" customHeight="1" ht="18.75">
      <c r="A6876" s="1" t="s">
        <v>7833</v>
      </c>
      <c r="B6876" s="1" t="s">
        <v>14401</v>
      </c>
      <c r="C6876" s="1" t="s">
        <v>4488</v>
      </c>
      <c r="D6876" s="1" t="s">
        <v>3601</v>
      </c>
      <c r="E6876" s="1" t="s">
        <v>3664</v>
      </c>
      <c r="F6876" s="1" t="s">
        <v>1535</v>
      </c>
      <c r="G6876" s="1" t="s">
        <v>14402</v>
      </c>
      <c r="H6876" s="1" t="s">
        <v>3604</v>
      </c>
      <c r="I6876" s="1" t="s">
        <v>23818</v>
      </c>
      <c r="J6876" s="1" t="s">
        <v>3606</v>
      </c>
      <c r="K6876" s="1" t="s">
        <v>23813</v>
      </c>
      <c r="L6876" s="1"/>
      <c r="M6876" s="1"/>
    </row>
    <row x14ac:dyDescent="0.25" r="6877" customHeight="1" ht="18.75">
      <c r="A6877" s="1" t="s">
        <v>7833</v>
      </c>
      <c r="B6877" s="1" t="s">
        <v>8293</v>
      </c>
      <c r="C6877" s="1" t="s">
        <v>4488</v>
      </c>
      <c r="D6877" s="1" t="s">
        <v>3601</v>
      </c>
      <c r="E6877" s="1" t="s">
        <v>3664</v>
      </c>
      <c r="F6877" s="1" t="s">
        <v>23819</v>
      </c>
      <c r="G6877" s="1" t="s">
        <v>8293</v>
      </c>
      <c r="H6877" s="1" t="s">
        <v>3604</v>
      </c>
      <c r="I6877" s="1" t="s">
        <v>23820</v>
      </c>
      <c r="J6877" s="1" t="s">
        <v>3606</v>
      </c>
      <c r="K6877" s="1" t="s">
        <v>23821</v>
      </c>
      <c r="L6877" s="1"/>
      <c r="M6877" s="1"/>
    </row>
    <row x14ac:dyDescent="0.25" r="6878" customHeight="1" ht="18.75">
      <c r="A6878" s="1" t="s">
        <v>7833</v>
      </c>
      <c r="B6878" s="1" t="s">
        <v>23350</v>
      </c>
      <c r="C6878" s="1" t="s">
        <v>4488</v>
      </c>
      <c r="D6878" s="1" t="s">
        <v>3601</v>
      </c>
      <c r="E6878" s="1" t="s">
        <v>8096</v>
      </c>
      <c r="F6878" s="1" t="s">
        <v>1536</v>
      </c>
      <c r="G6878" s="1" t="s">
        <v>23822</v>
      </c>
      <c r="H6878" s="1" t="s">
        <v>3604</v>
      </c>
      <c r="I6878" s="1" t="s">
        <v>23823</v>
      </c>
      <c r="J6878" s="1" t="s">
        <v>3606</v>
      </c>
      <c r="K6878" s="1" t="s">
        <v>23824</v>
      </c>
      <c r="L6878" s="1"/>
      <c r="M6878" s="1"/>
    </row>
    <row x14ac:dyDescent="0.25" r="6879" customHeight="1" ht="18.75">
      <c r="A6879" s="1" t="s">
        <v>7833</v>
      </c>
      <c r="B6879" s="1" t="s">
        <v>23825</v>
      </c>
      <c r="C6879" s="1" t="s">
        <v>4488</v>
      </c>
      <c r="D6879" s="1" t="s">
        <v>3601</v>
      </c>
      <c r="E6879" s="1" t="s">
        <v>8096</v>
      </c>
      <c r="F6879" s="1" t="s">
        <v>1537</v>
      </c>
      <c r="G6879" s="1" t="s">
        <v>23826</v>
      </c>
      <c r="H6879" s="1" t="s">
        <v>3604</v>
      </c>
      <c r="I6879" s="1" t="s">
        <v>23827</v>
      </c>
      <c r="J6879" s="1" t="s">
        <v>3606</v>
      </c>
      <c r="K6879" s="1" t="s">
        <v>23828</v>
      </c>
      <c r="L6879" s="1"/>
      <c r="M6879" s="1"/>
    </row>
    <row x14ac:dyDescent="0.25" r="6880" customHeight="1" ht="18.75">
      <c r="A6880" s="1" t="s">
        <v>7833</v>
      </c>
      <c r="B6880" s="1" t="s">
        <v>14204</v>
      </c>
      <c r="C6880" s="1" t="s">
        <v>4488</v>
      </c>
      <c r="D6880" s="1" t="s">
        <v>3601</v>
      </c>
      <c r="E6880" s="1" t="s">
        <v>8096</v>
      </c>
      <c r="F6880" s="1" t="s">
        <v>23829</v>
      </c>
      <c r="G6880" s="1" t="s">
        <v>14204</v>
      </c>
      <c r="H6880" s="1" t="s">
        <v>3604</v>
      </c>
      <c r="I6880" s="1" t="s">
        <v>23830</v>
      </c>
      <c r="J6880" s="1" t="s">
        <v>3606</v>
      </c>
      <c r="K6880" s="1" t="s">
        <v>19477</v>
      </c>
      <c r="L6880" s="1"/>
      <c r="M6880" s="1"/>
    </row>
    <row x14ac:dyDescent="0.25" r="6881" customHeight="1" ht="18.75">
      <c r="A6881" s="1" t="s">
        <v>7833</v>
      </c>
      <c r="B6881" s="1" t="s">
        <v>14204</v>
      </c>
      <c r="C6881" s="1" t="s">
        <v>4488</v>
      </c>
      <c r="D6881" s="1" t="s">
        <v>3601</v>
      </c>
      <c r="E6881" s="1" t="s">
        <v>8096</v>
      </c>
      <c r="F6881" s="1" t="s">
        <v>23831</v>
      </c>
      <c r="G6881" s="1" t="s">
        <v>14204</v>
      </c>
      <c r="H6881" s="1" t="s">
        <v>3604</v>
      </c>
      <c r="I6881" s="1" t="s">
        <v>23832</v>
      </c>
      <c r="J6881" s="1" t="s">
        <v>3606</v>
      </c>
      <c r="K6881" s="1" t="s">
        <v>19480</v>
      </c>
      <c r="L6881" s="1"/>
      <c r="M6881" s="1"/>
    </row>
    <row x14ac:dyDescent="0.25" r="6882" customHeight="1" ht="18.75">
      <c r="A6882" s="1" t="s">
        <v>7833</v>
      </c>
      <c r="B6882" s="1" t="s">
        <v>13857</v>
      </c>
      <c r="C6882" s="1" t="s">
        <v>4488</v>
      </c>
      <c r="D6882" s="1" t="s">
        <v>3601</v>
      </c>
      <c r="E6882" s="1" t="s">
        <v>8096</v>
      </c>
      <c r="F6882" s="1" t="s">
        <v>1538</v>
      </c>
      <c r="G6882" s="1" t="s">
        <v>14927</v>
      </c>
      <c r="H6882" s="1" t="s">
        <v>3604</v>
      </c>
      <c r="I6882" s="1" t="s">
        <v>23833</v>
      </c>
      <c r="J6882" s="1" t="s">
        <v>3606</v>
      </c>
      <c r="K6882" s="1" t="s">
        <v>23834</v>
      </c>
      <c r="L6882" s="1"/>
      <c r="M6882" s="1"/>
    </row>
    <row x14ac:dyDescent="0.25" r="6883" customHeight="1" ht="18.75">
      <c r="A6883" s="1" t="s">
        <v>7833</v>
      </c>
      <c r="B6883" s="1" t="s">
        <v>9826</v>
      </c>
      <c r="C6883" s="1" t="s">
        <v>4488</v>
      </c>
      <c r="D6883" s="1" t="s">
        <v>3601</v>
      </c>
      <c r="E6883" s="1" t="s">
        <v>8096</v>
      </c>
      <c r="F6883" s="1" t="s">
        <v>23835</v>
      </c>
      <c r="G6883" s="1" t="s">
        <v>9826</v>
      </c>
      <c r="H6883" s="1" t="s">
        <v>3604</v>
      </c>
      <c r="I6883" s="1" t="s">
        <v>23836</v>
      </c>
      <c r="J6883" s="1" t="s">
        <v>3606</v>
      </c>
      <c r="K6883" s="1" t="s">
        <v>19477</v>
      </c>
      <c r="L6883" s="1"/>
      <c r="M6883" s="1"/>
    </row>
    <row x14ac:dyDescent="0.25" r="6884" customHeight="1" ht="18.75">
      <c r="A6884" s="1" t="s">
        <v>3617</v>
      </c>
      <c r="B6884" s="1" t="s">
        <v>5222</v>
      </c>
      <c r="C6884" s="1" t="s">
        <v>3619</v>
      </c>
      <c r="D6884" s="1" t="s">
        <v>3601</v>
      </c>
      <c r="E6884" s="1" t="s">
        <v>3730</v>
      </c>
      <c r="F6884" s="1" t="s">
        <v>23837</v>
      </c>
      <c r="G6884" s="1" t="s">
        <v>22747</v>
      </c>
      <c r="H6884" s="1" t="s">
        <v>3604</v>
      </c>
      <c r="I6884" s="1" t="s">
        <v>23838</v>
      </c>
      <c r="J6884" s="1" t="s">
        <v>3606</v>
      </c>
      <c r="K6884" s="1" t="s">
        <v>23839</v>
      </c>
      <c r="L6884" s="1"/>
      <c r="M6884" s="1"/>
    </row>
    <row x14ac:dyDescent="0.25" r="6885" customHeight="1" ht="18.75">
      <c r="A6885" s="1" t="s">
        <v>7833</v>
      </c>
      <c r="B6885" s="1" t="s">
        <v>9826</v>
      </c>
      <c r="C6885" s="1" t="s">
        <v>4488</v>
      </c>
      <c r="D6885" s="1" t="s">
        <v>3601</v>
      </c>
      <c r="E6885" s="1" t="s">
        <v>8096</v>
      </c>
      <c r="F6885" s="1" t="s">
        <v>23840</v>
      </c>
      <c r="G6885" s="1" t="s">
        <v>9826</v>
      </c>
      <c r="H6885" s="1" t="s">
        <v>3604</v>
      </c>
      <c r="I6885" s="1" t="s">
        <v>23841</v>
      </c>
      <c r="J6885" s="1" t="s">
        <v>3606</v>
      </c>
      <c r="K6885" s="1" t="s">
        <v>19480</v>
      </c>
      <c r="L6885" s="1"/>
      <c r="M6885" s="1"/>
    </row>
    <row x14ac:dyDescent="0.25" r="6886" customHeight="1" ht="18.75">
      <c r="A6886" s="1" t="s">
        <v>7833</v>
      </c>
      <c r="B6886" s="1" t="s">
        <v>15339</v>
      </c>
      <c r="C6886" s="1" t="s">
        <v>4488</v>
      </c>
      <c r="D6886" s="1" t="s">
        <v>533</v>
      </c>
      <c r="E6886" s="1" t="s">
        <v>3664</v>
      </c>
      <c r="F6886" s="1" t="s">
        <v>1539</v>
      </c>
      <c r="G6886" s="1" t="s">
        <v>15340</v>
      </c>
      <c r="H6886" s="1" t="s">
        <v>3604</v>
      </c>
      <c r="I6886" s="1" t="s">
        <v>23842</v>
      </c>
      <c r="J6886" s="1" t="s">
        <v>3606</v>
      </c>
      <c r="K6886" s="1" t="s">
        <v>23843</v>
      </c>
      <c r="L6886" s="1"/>
      <c r="M6886" s="1"/>
    </row>
    <row x14ac:dyDescent="0.25" r="6887" customHeight="1" ht="18.75">
      <c r="A6887" s="1" t="s">
        <v>7833</v>
      </c>
      <c r="B6887" s="1" t="s">
        <v>14870</v>
      </c>
      <c r="C6887" s="1" t="s">
        <v>4488</v>
      </c>
      <c r="D6887" s="1" t="s">
        <v>533</v>
      </c>
      <c r="E6887" s="1" t="s">
        <v>3981</v>
      </c>
      <c r="F6887" s="1" t="s">
        <v>1540</v>
      </c>
      <c r="G6887" s="1" t="s">
        <v>14871</v>
      </c>
      <c r="H6887" s="1" t="s">
        <v>3604</v>
      </c>
      <c r="I6887" s="1" t="s">
        <v>23844</v>
      </c>
      <c r="J6887" s="1" t="s">
        <v>3606</v>
      </c>
      <c r="K6887" s="1" t="s">
        <v>23845</v>
      </c>
      <c r="L6887" s="1"/>
      <c r="M6887" s="1"/>
    </row>
    <row x14ac:dyDescent="0.25" r="6888" customHeight="1" ht="18.75">
      <c r="A6888" s="1" t="s">
        <v>7833</v>
      </c>
      <c r="B6888" s="1" t="s">
        <v>13754</v>
      </c>
      <c r="C6888" s="1" t="s">
        <v>3619</v>
      </c>
      <c r="D6888" s="1" t="s">
        <v>3601</v>
      </c>
      <c r="E6888" s="1" t="s">
        <v>3981</v>
      </c>
      <c r="F6888" s="1" t="s">
        <v>1541</v>
      </c>
      <c r="G6888" s="1" t="s">
        <v>14565</v>
      </c>
      <c r="H6888" s="1" t="s">
        <v>3604</v>
      </c>
      <c r="I6888" s="1" t="s">
        <v>23846</v>
      </c>
      <c r="J6888" s="1" t="s">
        <v>3606</v>
      </c>
      <c r="K6888" s="1" t="s">
        <v>23140</v>
      </c>
      <c r="L6888" s="1"/>
      <c r="M6888" s="1"/>
    </row>
    <row x14ac:dyDescent="0.25" r="6889" customHeight="1" ht="18.75">
      <c r="A6889" s="1" t="s">
        <v>7833</v>
      </c>
      <c r="B6889" s="1" t="s">
        <v>15041</v>
      </c>
      <c r="C6889" s="1" t="s">
        <v>3619</v>
      </c>
      <c r="D6889" s="1" t="s">
        <v>3601</v>
      </c>
      <c r="E6889" s="1" t="s">
        <v>3664</v>
      </c>
      <c r="F6889" s="1" t="s">
        <v>23847</v>
      </c>
      <c r="G6889" s="1" t="s">
        <v>15043</v>
      </c>
      <c r="H6889" s="1" t="s">
        <v>3604</v>
      </c>
      <c r="I6889" s="1" t="s">
        <v>23848</v>
      </c>
      <c r="J6889" s="1" t="s">
        <v>3615</v>
      </c>
      <c r="K6889" s="1" t="s">
        <v>23140</v>
      </c>
      <c r="L6889" s="1"/>
      <c r="M6889" s="1"/>
    </row>
    <row x14ac:dyDescent="0.25" r="6890" customHeight="1" ht="18.75">
      <c r="A6890" s="1" t="s">
        <v>7833</v>
      </c>
      <c r="B6890" s="1" t="s">
        <v>8296</v>
      </c>
      <c r="C6890" s="1" t="s">
        <v>4488</v>
      </c>
      <c r="D6890" s="1" t="s">
        <v>3601</v>
      </c>
      <c r="E6890" s="1" t="s">
        <v>3664</v>
      </c>
      <c r="F6890" s="1" t="s">
        <v>23849</v>
      </c>
      <c r="G6890" s="1" t="s">
        <v>8296</v>
      </c>
      <c r="H6890" s="1" t="s">
        <v>3604</v>
      </c>
      <c r="I6890" s="1" t="s">
        <v>23850</v>
      </c>
      <c r="J6890" s="1" t="s">
        <v>3606</v>
      </c>
      <c r="K6890" s="1" t="s">
        <v>17318</v>
      </c>
      <c r="L6890" s="1"/>
      <c r="M6890" s="1"/>
    </row>
    <row x14ac:dyDescent="0.25" r="6891" customHeight="1" ht="18.75">
      <c r="A6891" s="1" t="s">
        <v>3617</v>
      </c>
      <c r="B6891" s="1" t="s">
        <v>5222</v>
      </c>
      <c r="C6891" s="1" t="s">
        <v>3619</v>
      </c>
      <c r="D6891" s="1" t="s">
        <v>3601</v>
      </c>
      <c r="E6891" s="1" t="s">
        <v>3730</v>
      </c>
      <c r="F6891" s="1" t="s">
        <v>23851</v>
      </c>
      <c r="G6891" s="1" t="s">
        <v>22754</v>
      </c>
      <c r="H6891" s="1" t="s">
        <v>3604</v>
      </c>
      <c r="I6891" s="1" t="s">
        <v>23852</v>
      </c>
      <c r="J6891" s="1" t="s">
        <v>3606</v>
      </c>
      <c r="K6891" s="1" t="s">
        <v>23853</v>
      </c>
      <c r="L6891" s="1"/>
      <c r="M6891" s="1"/>
    </row>
    <row x14ac:dyDescent="0.25" r="6892" customHeight="1" ht="18.75">
      <c r="A6892" s="1" t="s">
        <v>3617</v>
      </c>
      <c r="B6892" s="1" t="s">
        <v>5222</v>
      </c>
      <c r="C6892" s="1" t="s">
        <v>3619</v>
      </c>
      <c r="D6892" s="1" t="s">
        <v>3601</v>
      </c>
      <c r="E6892" s="1" t="s">
        <v>3730</v>
      </c>
      <c r="F6892" s="1" t="s">
        <v>23854</v>
      </c>
      <c r="G6892" s="1" t="s">
        <v>22761</v>
      </c>
      <c r="H6892" s="1" t="s">
        <v>3604</v>
      </c>
      <c r="I6892" s="1" t="s">
        <v>23855</v>
      </c>
      <c r="J6892" s="1" t="s">
        <v>3606</v>
      </c>
      <c r="K6892" s="1" t="s">
        <v>23856</v>
      </c>
      <c r="L6892" s="1"/>
      <c r="M6892" s="1"/>
    </row>
    <row x14ac:dyDescent="0.25" r="6893" customHeight="1" ht="18.75">
      <c r="A6893" s="1" t="s">
        <v>3617</v>
      </c>
      <c r="B6893" s="1" t="s">
        <v>5222</v>
      </c>
      <c r="C6893" s="1" t="s">
        <v>3619</v>
      </c>
      <c r="D6893" s="1" t="s">
        <v>3601</v>
      </c>
      <c r="E6893" s="1" t="s">
        <v>3730</v>
      </c>
      <c r="F6893" s="1" t="s">
        <v>23857</v>
      </c>
      <c r="G6893" s="1" t="s">
        <v>9642</v>
      </c>
      <c r="H6893" s="1" t="s">
        <v>3604</v>
      </c>
      <c r="I6893" s="1" t="s">
        <v>23858</v>
      </c>
      <c r="J6893" s="1" t="s">
        <v>3606</v>
      </c>
      <c r="K6893" s="1" t="s">
        <v>23859</v>
      </c>
      <c r="L6893" s="1"/>
      <c r="M6893" s="1"/>
    </row>
    <row x14ac:dyDescent="0.25" r="6894" customHeight="1" ht="18.75">
      <c r="A6894" s="1" t="s">
        <v>7833</v>
      </c>
      <c r="B6894" s="1" t="s">
        <v>23776</v>
      </c>
      <c r="C6894" s="1" t="s">
        <v>4488</v>
      </c>
      <c r="D6894" s="1" t="s">
        <v>3601</v>
      </c>
      <c r="E6894" s="1" t="s">
        <v>3664</v>
      </c>
      <c r="F6894" s="1" t="s">
        <v>23860</v>
      </c>
      <c r="G6894" s="1" t="s">
        <v>23776</v>
      </c>
      <c r="H6894" s="1" t="s">
        <v>3604</v>
      </c>
      <c r="I6894" s="1" t="s">
        <v>23861</v>
      </c>
      <c r="J6894" s="1" t="s">
        <v>3606</v>
      </c>
      <c r="K6894" s="1" t="s">
        <v>17318</v>
      </c>
      <c r="L6894" s="1"/>
      <c r="M6894" s="1"/>
    </row>
    <row x14ac:dyDescent="0.25" r="6895" customHeight="1" ht="18.75">
      <c r="A6895" s="1" t="s">
        <v>3617</v>
      </c>
      <c r="B6895" s="1" t="s">
        <v>5222</v>
      </c>
      <c r="C6895" s="1" t="s">
        <v>3619</v>
      </c>
      <c r="D6895" s="1" t="s">
        <v>3601</v>
      </c>
      <c r="E6895" s="1" t="s">
        <v>3730</v>
      </c>
      <c r="F6895" s="1" t="s">
        <v>23862</v>
      </c>
      <c r="G6895" s="1" t="s">
        <v>22495</v>
      </c>
      <c r="H6895" s="1" t="s">
        <v>3604</v>
      </c>
      <c r="I6895" s="1" t="s">
        <v>23863</v>
      </c>
      <c r="J6895" s="1" t="s">
        <v>3606</v>
      </c>
      <c r="K6895" s="1" t="s">
        <v>23864</v>
      </c>
      <c r="L6895" s="1"/>
      <c r="M6895" s="1"/>
    </row>
    <row x14ac:dyDescent="0.25" r="6896" customHeight="1" ht="18.75">
      <c r="A6896" s="1" t="s">
        <v>7833</v>
      </c>
      <c r="B6896" s="1" t="s">
        <v>8296</v>
      </c>
      <c r="C6896" s="1" t="s">
        <v>4488</v>
      </c>
      <c r="D6896" s="1" t="s">
        <v>3601</v>
      </c>
      <c r="E6896" s="1" t="s">
        <v>3664</v>
      </c>
      <c r="F6896" s="1" t="s">
        <v>23865</v>
      </c>
      <c r="G6896" s="1" t="s">
        <v>8296</v>
      </c>
      <c r="H6896" s="1" t="s">
        <v>3604</v>
      </c>
      <c r="I6896" s="1" t="s">
        <v>23866</v>
      </c>
      <c r="J6896" s="1" t="s">
        <v>3606</v>
      </c>
      <c r="K6896" s="1" t="s">
        <v>19480</v>
      </c>
      <c r="L6896" s="1"/>
      <c r="M6896" s="1"/>
    </row>
    <row x14ac:dyDescent="0.25" r="6897" customHeight="1" ht="18.75">
      <c r="A6897" s="1" t="s">
        <v>3617</v>
      </c>
      <c r="B6897" s="1" t="s">
        <v>5222</v>
      </c>
      <c r="C6897" s="1" t="s">
        <v>3619</v>
      </c>
      <c r="D6897" s="1" t="s">
        <v>3601</v>
      </c>
      <c r="E6897" s="1" t="s">
        <v>3664</v>
      </c>
      <c r="F6897" s="1" t="s">
        <v>23867</v>
      </c>
      <c r="G6897" s="1" t="s">
        <v>22736</v>
      </c>
      <c r="H6897" s="1" t="s">
        <v>3604</v>
      </c>
      <c r="I6897" s="1" t="s">
        <v>23868</v>
      </c>
      <c r="J6897" s="1" t="s">
        <v>3606</v>
      </c>
      <c r="K6897" s="1" t="s">
        <v>23869</v>
      </c>
      <c r="L6897" s="1"/>
      <c r="M6897" s="1"/>
    </row>
    <row x14ac:dyDescent="0.25" r="6898" customHeight="1" ht="18.75">
      <c r="A6898" s="1" t="s">
        <v>7833</v>
      </c>
      <c r="B6898" s="1" t="s">
        <v>7856</v>
      </c>
      <c r="C6898" s="1" t="s">
        <v>4488</v>
      </c>
      <c r="D6898" s="1" t="s">
        <v>533</v>
      </c>
      <c r="E6898" s="1" t="s">
        <v>3611</v>
      </c>
      <c r="F6898" s="1" t="s">
        <v>23870</v>
      </c>
      <c r="G6898" s="1" t="s">
        <v>17947</v>
      </c>
      <c r="H6898" s="1" t="s">
        <v>3604</v>
      </c>
      <c r="I6898" s="1" t="s">
        <v>23871</v>
      </c>
      <c r="J6898" s="1" t="s">
        <v>3606</v>
      </c>
      <c r="K6898" s="1" t="s">
        <v>23872</v>
      </c>
      <c r="L6898" s="1"/>
      <c r="M6898" s="1"/>
    </row>
    <row x14ac:dyDescent="0.25" r="6899" customHeight="1" ht="18.75">
      <c r="A6899" s="1" t="s">
        <v>3617</v>
      </c>
      <c r="B6899" s="1" t="s">
        <v>5222</v>
      </c>
      <c r="C6899" s="1" t="s">
        <v>3619</v>
      </c>
      <c r="D6899" s="1" t="s">
        <v>3601</v>
      </c>
      <c r="E6899" s="1" t="s">
        <v>3664</v>
      </c>
      <c r="F6899" s="1" t="s">
        <v>23873</v>
      </c>
      <c r="G6899" s="1" t="s">
        <v>22740</v>
      </c>
      <c r="H6899" s="1" t="s">
        <v>3604</v>
      </c>
      <c r="I6899" s="1" t="s">
        <v>23874</v>
      </c>
      <c r="J6899" s="1" t="s">
        <v>3606</v>
      </c>
      <c r="K6899" s="1" t="s">
        <v>23875</v>
      </c>
      <c r="L6899" s="1"/>
      <c r="M6899" s="1"/>
    </row>
    <row x14ac:dyDescent="0.25" r="6900" customHeight="1" ht="18.75">
      <c r="A6900" s="1" t="s">
        <v>7833</v>
      </c>
      <c r="B6900" s="1" t="s">
        <v>23776</v>
      </c>
      <c r="C6900" s="1" t="s">
        <v>4488</v>
      </c>
      <c r="D6900" s="1" t="s">
        <v>3601</v>
      </c>
      <c r="E6900" s="1" t="s">
        <v>3664</v>
      </c>
      <c r="F6900" s="1" t="s">
        <v>23876</v>
      </c>
      <c r="G6900" s="1" t="s">
        <v>23776</v>
      </c>
      <c r="H6900" s="1" t="s">
        <v>3604</v>
      </c>
      <c r="I6900" s="1" t="s">
        <v>23877</v>
      </c>
      <c r="J6900" s="1" t="s">
        <v>3606</v>
      </c>
      <c r="K6900" s="1" t="s">
        <v>19480</v>
      </c>
      <c r="L6900" s="1"/>
      <c r="M6900" s="1"/>
    </row>
    <row x14ac:dyDescent="0.25" r="6901" customHeight="1" ht="18.75">
      <c r="A6901" s="1" t="s">
        <v>7833</v>
      </c>
      <c r="B6901" s="1" t="s">
        <v>8296</v>
      </c>
      <c r="C6901" s="1" t="s">
        <v>4488</v>
      </c>
      <c r="D6901" s="1" t="s">
        <v>3601</v>
      </c>
      <c r="E6901" s="1" t="s">
        <v>3664</v>
      </c>
      <c r="F6901" s="1" t="s">
        <v>23878</v>
      </c>
      <c r="G6901" s="1" t="s">
        <v>8296</v>
      </c>
      <c r="H6901" s="1" t="s">
        <v>3604</v>
      </c>
      <c r="I6901" s="1" t="s">
        <v>23879</v>
      </c>
      <c r="J6901" s="1" t="s">
        <v>3606</v>
      </c>
      <c r="K6901" s="1" t="s">
        <v>23821</v>
      </c>
      <c r="L6901" s="1"/>
      <c r="M6901" s="1"/>
    </row>
    <row x14ac:dyDescent="0.25" r="6902" customHeight="1" ht="18.75">
      <c r="A6902" s="1" t="s">
        <v>7833</v>
      </c>
      <c r="B6902" s="1" t="s">
        <v>9837</v>
      </c>
      <c r="C6902" s="1" t="s">
        <v>4488</v>
      </c>
      <c r="D6902" s="1" t="s">
        <v>3601</v>
      </c>
      <c r="E6902" s="1" t="s">
        <v>3664</v>
      </c>
      <c r="F6902" s="1" t="s">
        <v>1439</v>
      </c>
      <c r="G6902" s="1" t="s">
        <v>15364</v>
      </c>
      <c r="H6902" s="1" t="s">
        <v>3604</v>
      </c>
      <c r="I6902" s="1" t="s">
        <v>23880</v>
      </c>
      <c r="J6902" s="1" t="s">
        <v>3606</v>
      </c>
      <c r="K6902" s="1" t="s">
        <v>9137</v>
      </c>
      <c r="L6902" s="1"/>
      <c r="M6902" s="1"/>
    </row>
    <row x14ac:dyDescent="0.25" r="6903" customHeight="1" ht="18.75">
      <c r="A6903" s="1" t="s">
        <v>7833</v>
      </c>
      <c r="B6903" s="1" t="s">
        <v>7856</v>
      </c>
      <c r="C6903" s="1" t="s">
        <v>4488</v>
      </c>
      <c r="D6903" s="1" t="s">
        <v>3695</v>
      </c>
      <c r="E6903" s="1" t="s">
        <v>3611</v>
      </c>
      <c r="F6903" s="1" t="s">
        <v>23881</v>
      </c>
      <c r="G6903" s="1" t="s">
        <v>17940</v>
      </c>
      <c r="H6903" s="1" t="s">
        <v>3604</v>
      </c>
      <c r="I6903" s="1" t="s">
        <v>23882</v>
      </c>
      <c r="J6903" s="1" t="s">
        <v>3606</v>
      </c>
      <c r="K6903" s="1" t="s">
        <v>23883</v>
      </c>
      <c r="L6903" s="1"/>
      <c r="M6903" s="1"/>
    </row>
    <row x14ac:dyDescent="0.25" r="6904" customHeight="1" ht="18.75">
      <c r="A6904" s="1" t="s">
        <v>3617</v>
      </c>
      <c r="B6904" s="1" t="s">
        <v>3825</v>
      </c>
      <c r="C6904" s="1" t="s">
        <v>3619</v>
      </c>
      <c r="D6904" s="1" t="s">
        <v>3601</v>
      </c>
      <c r="E6904" s="1" t="s">
        <v>3664</v>
      </c>
      <c r="F6904" s="1" t="s">
        <v>23884</v>
      </c>
      <c r="G6904" s="1" t="s">
        <v>17872</v>
      </c>
      <c r="H6904" s="1" t="s">
        <v>3604</v>
      </c>
      <c r="I6904" s="1" t="s">
        <v>23885</v>
      </c>
      <c r="J6904" s="1" t="s">
        <v>3606</v>
      </c>
      <c r="K6904" s="1" t="s">
        <v>23886</v>
      </c>
      <c r="L6904" s="1"/>
      <c r="M6904" s="1"/>
    </row>
    <row x14ac:dyDescent="0.25" r="6905" customHeight="1" ht="18.75">
      <c r="A6905" s="1" t="s">
        <v>7833</v>
      </c>
      <c r="B6905" s="1" t="s">
        <v>7856</v>
      </c>
      <c r="C6905" s="1" t="s">
        <v>4488</v>
      </c>
      <c r="D6905" s="1" t="s">
        <v>3695</v>
      </c>
      <c r="E6905" s="1" t="s">
        <v>3611</v>
      </c>
      <c r="F6905" s="1" t="s">
        <v>23887</v>
      </c>
      <c r="G6905" s="1" t="s">
        <v>17947</v>
      </c>
      <c r="H6905" s="1" t="s">
        <v>3604</v>
      </c>
      <c r="I6905" s="1" t="s">
        <v>23888</v>
      </c>
      <c r="J6905" s="1" t="s">
        <v>3606</v>
      </c>
      <c r="K6905" s="1" t="s">
        <v>23889</v>
      </c>
      <c r="L6905" s="1"/>
      <c r="M6905" s="1"/>
    </row>
    <row x14ac:dyDescent="0.25" r="6906" customHeight="1" ht="18.75">
      <c r="A6906" s="1" t="s">
        <v>7833</v>
      </c>
      <c r="B6906" s="1" t="s">
        <v>7856</v>
      </c>
      <c r="C6906" s="1" t="s">
        <v>4488</v>
      </c>
      <c r="D6906" s="1" t="s">
        <v>3610</v>
      </c>
      <c r="E6906" s="1" t="s">
        <v>3611</v>
      </c>
      <c r="F6906" s="1" t="s">
        <v>23890</v>
      </c>
      <c r="G6906" s="1" t="s">
        <v>17940</v>
      </c>
      <c r="H6906" s="1" t="s">
        <v>3604</v>
      </c>
      <c r="I6906" s="1" t="s">
        <v>23891</v>
      </c>
      <c r="J6906" s="1" t="s">
        <v>3606</v>
      </c>
      <c r="K6906" s="1" t="s">
        <v>23892</v>
      </c>
      <c r="L6906" s="1"/>
      <c r="M6906" s="1"/>
    </row>
    <row x14ac:dyDescent="0.25" r="6907" customHeight="1" ht="18.75">
      <c r="A6907" s="1" t="s">
        <v>7833</v>
      </c>
      <c r="B6907" s="1" t="s">
        <v>7856</v>
      </c>
      <c r="C6907" s="1" t="s">
        <v>4488</v>
      </c>
      <c r="D6907" s="1" t="s">
        <v>3601</v>
      </c>
      <c r="E6907" s="1" t="s">
        <v>3664</v>
      </c>
      <c r="F6907" s="1" t="s">
        <v>23893</v>
      </c>
      <c r="G6907" s="1" t="s">
        <v>7858</v>
      </c>
      <c r="H6907" s="1" t="s">
        <v>3604</v>
      </c>
      <c r="I6907" s="1" t="s">
        <v>23894</v>
      </c>
      <c r="J6907" s="1" t="s">
        <v>3606</v>
      </c>
      <c r="K6907" s="1" t="s">
        <v>21548</v>
      </c>
      <c r="L6907" s="1"/>
      <c r="M6907" s="1"/>
    </row>
    <row x14ac:dyDescent="0.25" r="6908" customHeight="1" ht="18.75">
      <c r="A6908" s="1" t="s">
        <v>3617</v>
      </c>
      <c r="B6908" s="1" t="s">
        <v>3825</v>
      </c>
      <c r="C6908" s="1" t="s">
        <v>3619</v>
      </c>
      <c r="D6908" s="1" t="s">
        <v>3601</v>
      </c>
      <c r="E6908" s="1" t="s">
        <v>3664</v>
      </c>
      <c r="F6908" s="1" t="s">
        <v>23895</v>
      </c>
      <c r="G6908" s="1" t="s">
        <v>8402</v>
      </c>
      <c r="H6908" s="1" t="s">
        <v>3604</v>
      </c>
      <c r="I6908" s="1" t="s">
        <v>23896</v>
      </c>
      <c r="J6908" s="1" t="s">
        <v>3606</v>
      </c>
      <c r="K6908" s="1" t="s">
        <v>23897</v>
      </c>
      <c r="L6908" s="1"/>
      <c r="M6908" s="1"/>
    </row>
    <row x14ac:dyDescent="0.25" r="6909" customHeight="1" ht="18.75">
      <c r="A6909" s="1" t="s">
        <v>7833</v>
      </c>
      <c r="B6909" s="1" t="s">
        <v>23776</v>
      </c>
      <c r="C6909" s="1" t="s">
        <v>4488</v>
      </c>
      <c r="D6909" s="1" t="s">
        <v>3601</v>
      </c>
      <c r="E6909" s="1" t="s">
        <v>3664</v>
      </c>
      <c r="F6909" s="1" t="s">
        <v>23898</v>
      </c>
      <c r="G6909" s="1" t="s">
        <v>23776</v>
      </c>
      <c r="H6909" s="1" t="s">
        <v>3604</v>
      </c>
      <c r="I6909" s="1" t="s">
        <v>23899</v>
      </c>
      <c r="J6909" s="1" t="s">
        <v>3606</v>
      </c>
      <c r="K6909" s="1" t="s">
        <v>23821</v>
      </c>
      <c r="L6909" s="1"/>
      <c r="M6909" s="1"/>
    </row>
    <row x14ac:dyDescent="0.25" r="6910" customHeight="1" ht="18.75">
      <c r="A6910" s="1" t="s">
        <v>7833</v>
      </c>
      <c r="B6910" s="1" t="s">
        <v>7856</v>
      </c>
      <c r="C6910" s="1" t="s">
        <v>4488</v>
      </c>
      <c r="D6910" s="1" t="s">
        <v>3610</v>
      </c>
      <c r="E6910" s="1" t="s">
        <v>3611</v>
      </c>
      <c r="F6910" s="1" t="s">
        <v>23900</v>
      </c>
      <c r="G6910" s="1" t="s">
        <v>17947</v>
      </c>
      <c r="H6910" s="1" t="s">
        <v>3604</v>
      </c>
      <c r="I6910" s="1" t="s">
        <v>23901</v>
      </c>
      <c r="J6910" s="1" t="s">
        <v>3606</v>
      </c>
      <c r="K6910" s="1" t="s">
        <v>23902</v>
      </c>
      <c r="L6910" s="1"/>
      <c r="M6910" s="1"/>
    </row>
    <row x14ac:dyDescent="0.25" r="6911" customHeight="1" ht="18.75">
      <c r="A6911" s="1" t="s">
        <v>7833</v>
      </c>
      <c r="B6911" s="1" t="s">
        <v>7856</v>
      </c>
      <c r="C6911" s="1" t="s">
        <v>4488</v>
      </c>
      <c r="D6911" s="1" t="s">
        <v>3601</v>
      </c>
      <c r="E6911" s="1" t="s">
        <v>3664</v>
      </c>
      <c r="F6911" s="1" t="s">
        <v>23903</v>
      </c>
      <c r="G6911" s="1" t="s">
        <v>7858</v>
      </c>
      <c r="H6911" s="1" t="s">
        <v>3604</v>
      </c>
      <c r="I6911" s="1" t="s">
        <v>23904</v>
      </c>
      <c r="J6911" s="1" t="s">
        <v>3606</v>
      </c>
      <c r="K6911" s="1" t="s">
        <v>20781</v>
      </c>
      <c r="L6911" s="1"/>
      <c r="M6911" s="1"/>
    </row>
    <row x14ac:dyDescent="0.25" r="6912" customHeight="1" ht="18.75">
      <c r="A6912" s="1" t="s">
        <v>7833</v>
      </c>
      <c r="B6912" s="1" t="s">
        <v>14191</v>
      </c>
      <c r="C6912" s="1" t="s">
        <v>4488</v>
      </c>
      <c r="D6912" s="1" t="s">
        <v>3601</v>
      </c>
      <c r="E6912" s="1" t="s">
        <v>8096</v>
      </c>
      <c r="F6912" s="1" t="s">
        <v>23905</v>
      </c>
      <c r="G6912" s="1" t="s">
        <v>14191</v>
      </c>
      <c r="H6912" s="1" t="s">
        <v>3604</v>
      </c>
      <c r="I6912" s="1" t="s">
        <v>23906</v>
      </c>
      <c r="J6912" s="1" t="s">
        <v>3606</v>
      </c>
      <c r="K6912" s="1" t="s">
        <v>17318</v>
      </c>
      <c r="L6912" s="1"/>
      <c r="M6912" s="1"/>
    </row>
    <row x14ac:dyDescent="0.25" r="6913" customHeight="1" ht="18.75">
      <c r="A6913" s="1" t="s">
        <v>3617</v>
      </c>
      <c r="B6913" s="1" t="s">
        <v>3825</v>
      </c>
      <c r="C6913" s="1" t="s">
        <v>3619</v>
      </c>
      <c r="D6913" s="1" t="s">
        <v>3601</v>
      </c>
      <c r="E6913" s="1" t="s">
        <v>3752</v>
      </c>
      <c r="F6913" s="1" t="s">
        <v>23907</v>
      </c>
      <c r="G6913" s="1" t="s">
        <v>23690</v>
      </c>
      <c r="H6913" s="1" t="s">
        <v>3604</v>
      </c>
      <c r="I6913" s="1" t="s">
        <v>23908</v>
      </c>
      <c r="J6913" s="1" t="s">
        <v>3606</v>
      </c>
      <c r="K6913" s="1" t="s">
        <v>23909</v>
      </c>
      <c r="L6913" s="1"/>
      <c r="M6913" s="1"/>
    </row>
    <row x14ac:dyDescent="0.25" r="6914" customHeight="1" ht="18.75">
      <c r="A6914" s="1" t="s">
        <v>3617</v>
      </c>
      <c r="B6914" s="1" t="s">
        <v>3825</v>
      </c>
      <c r="C6914" s="1" t="s">
        <v>3619</v>
      </c>
      <c r="D6914" s="1" t="s">
        <v>3601</v>
      </c>
      <c r="E6914" s="1" t="s">
        <v>3752</v>
      </c>
      <c r="F6914" s="1" t="s">
        <v>23910</v>
      </c>
      <c r="G6914" s="1" t="s">
        <v>23694</v>
      </c>
      <c r="H6914" s="1" t="s">
        <v>3604</v>
      </c>
      <c r="I6914" s="1" t="s">
        <v>23911</v>
      </c>
      <c r="J6914" s="1" t="s">
        <v>3606</v>
      </c>
      <c r="K6914" s="1" t="s">
        <v>23912</v>
      </c>
      <c r="L6914" s="1"/>
      <c r="M6914" s="1"/>
    </row>
    <row x14ac:dyDescent="0.25" r="6915" customHeight="1" ht="18.75">
      <c r="A6915" s="1" t="s">
        <v>3617</v>
      </c>
      <c r="B6915" s="1" t="s">
        <v>3825</v>
      </c>
      <c r="C6915" s="1" t="s">
        <v>3619</v>
      </c>
      <c r="D6915" s="1" t="s">
        <v>3601</v>
      </c>
      <c r="E6915" s="1" t="s">
        <v>3752</v>
      </c>
      <c r="F6915" s="1" t="s">
        <v>23913</v>
      </c>
      <c r="G6915" s="1" t="s">
        <v>23701</v>
      </c>
      <c r="H6915" s="1" t="s">
        <v>3604</v>
      </c>
      <c r="I6915" s="1" t="s">
        <v>23914</v>
      </c>
      <c r="J6915" s="1" t="s">
        <v>3606</v>
      </c>
      <c r="K6915" s="1" t="s">
        <v>23915</v>
      </c>
      <c r="L6915" s="1"/>
      <c r="M6915" s="1"/>
    </row>
    <row x14ac:dyDescent="0.25" r="6916" customHeight="1" ht="18.75">
      <c r="A6916" s="1" t="s">
        <v>3617</v>
      </c>
      <c r="B6916" s="1" t="s">
        <v>3825</v>
      </c>
      <c r="C6916" s="1" t="s">
        <v>3619</v>
      </c>
      <c r="D6916" s="1" t="s">
        <v>3601</v>
      </c>
      <c r="E6916" s="1" t="s">
        <v>3752</v>
      </c>
      <c r="F6916" s="1" t="s">
        <v>23916</v>
      </c>
      <c r="G6916" s="1" t="s">
        <v>3827</v>
      </c>
      <c r="H6916" s="1" t="s">
        <v>3604</v>
      </c>
      <c r="I6916" s="1" t="s">
        <v>23917</v>
      </c>
      <c r="J6916" s="1" t="s">
        <v>3606</v>
      </c>
      <c r="K6916" s="1" t="s">
        <v>23918</v>
      </c>
      <c r="L6916" s="1"/>
      <c r="M6916" s="1"/>
    </row>
    <row x14ac:dyDescent="0.25" r="6917" customHeight="1" ht="18.75">
      <c r="A6917" s="1" t="s">
        <v>3617</v>
      </c>
      <c r="B6917" s="1" t="s">
        <v>4128</v>
      </c>
      <c r="C6917" s="1" t="s">
        <v>3619</v>
      </c>
      <c r="D6917" s="1" t="s">
        <v>3601</v>
      </c>
      <c r="E6917" s="1" t="s">
        <v>3893</v>
      </c>
      <c r="F6917" s="1" t="s">
        <v>23919</v>
      </c>
      <c r="G6917" s="1" t="s">
        <v>13341</v>
      </c>
      <c r="H6917" s="1" t="s">
        <v>3604</v>
      </c>
      <c r="I6917" s="1" t="s">
        <v>23920</v>
      </c>
      <c r="J6917" s="1" t="s">
        <v>3606</v>
      </c>
      <c r="K6917" s="1" t="s">
        <v>23921</v>
      </c>
      <c r="L6917" s="1"/>
      <c r="M6917" s="1"/>
    </row>
    <row x14ac:dyDescent="0.25" r="6918" customHeight="1" ht="18.75">
      <c r="A6918" s="1" t="s">
        <v>3617</v>
      </c>
      <c r="B6918" s="1" t="s">
        <v>4128</v>
      </c>
      <c r="C6918" s="1" t="s">
        <v>3619</v>
      </c>
      <c r="D6918" s="1" t="s">
        <v>3601</v>
      </c>
      <c r="E6918" s="1" t="s">
        <v>3893</v>
      </c>
      <c r="F6918" s="1" t="s">
        <v>23922</v>
      </c>
      <c r="G6918" s="1" t="s">
        <v>13341</v>
      </c>
      <c r="H6918" s="1" t="s">
        <v>3604</v>
      </c>
      <c r="I6918" s="1" t="s">
        <v>23923</v>
      </c>
      <c r="J6918" s="1" t="s">
        <v>3606</v>
      </c>
      <c r="K6918" s="1" t="s">
        <v>23924</v>
      </c>
      <c r="L6918" s="1"/>
      <c r="M6918" s="1"/>
    </row>
    <row x14ac:dyDescent="0.25" r="6919" customHeight="1" ht="18.75">
      <c r="A6919" s="1" t="s">
        <v>3617</v>
      </c>
      <c r="B6919" s="1" t="s">
        <v>4128</v>
      </c>
      <c r="C6919" s="1" t="s">
        <v>3619</v>
      </c>
      <c r="D6919" s="1" t="s">
        <v>3601</v>
      </c>
      <c r="E6919" s="1" t="s">
        <v>3893</v>
      </c>
      <c r="F6919" s="1" t="s">
        <v>23925</v>
      </c>
      <c r="G6919" s="1" t="s">
        <v>13341</v>
      </c>
      <c r="H6919" s="1" t="s">
        <v>3604</v>
      </c>
      <c r="I6919" s="1" t="s">
        <v>23926</v>
      </c>
      <c r="J6919" s="1" t="s">
        <v>3606</v>
      </c>
      <c r="K6919" s="1" t="s">
        <v>23927</v>
      </c>
      <c r="L6919" s="1"/>
      <c r="M6919" s="1"/>
    </row>
    <row x14ac:dyDescent="0.25" r="6920" customHeight="1" ht="18.75">
      <c r="A6920" s="1" t="s">
        <v>3617</v>
      </c>
      <c r="B6920" s="1" t="s">
        <v>4128</v>
      </c>
      <c r="C6920" s="1" t="s">
        <v>3619</v>
      </c>
      <c r="D6920" s="1" t="s">
        <v>3601</v>
      </c>
      <c r="E6920" s="1" t="s">
        <v>3893</v>
      </c>
      <c r="F6920" s="1" t="s">
        <v>23925</v>
      </c>
      <c r="G6920" s="1" t="s">
        <v>13341</v>
      </c>
      <c r="H6920" s="1" t="s">
        <v>3604</v>
      </c>
      <c r="I6920" s="1" t="s">
        <v>23928</v>
      </c>
      <c r="J6920" s="1" t="s">
        <v>3606</v>
      </c>
      <c r="K6920" s="1" t="s">
        <v>23929</v>
      </c>
      <c r="L6920" s="1"/>
      <c r="M6920" s="1"/>
    </row>
    <row x14ac:dyDescent="0.25" r="6921" customHeight="1" ht="18.75">
      <c r="A6921" s="1" t="s">
        <v>3617</v>
      </c>
      <c r="B6921" s="1" t="s">
        <v>4128</v>
      </c>
      <c r="C6921" s="1" t="s">
        <v>3619</v>
      </c>
      <c r="D6921" s="1" t="s">
        <v>3601</v>
      </c>
      <c r="E6921" s="1" t="s">
        <v>3893</v>
      </c>
      <c r="F6921" s="1" t="s">
        <v>23930</v>
      </c>
      <c r="G6921" s="1" t="s">
        <v>13341</v>
      </c>
      <c r="H6921" s="1" t="s">
        <v>3604</v>
      </c>
      <c r="I6921" s="1" t="s">
        <v>23931</v>
      </c>
      <c r="J6921" s="1" t="s">
        <v>3606</v>
      </c>
      <c r="K6921" s="1" t="s">
        <v>23932</v>
      </c>
      <c r="L6921" s="1"/>
      <c r="M6921" s="1"/>
    </row>
    <row x14ac:dyDescent="0.25" r="6922" customHeight="1" ht="18.75">
      <c r="A6922" s="1" t="s">
        <v>3617</v>
      </c>
      <c r="B6922" s="1" t="s">
        <v>4128</v>
      </c>
      <c r="C6922" s="1" t="s">
        <v>3619</v>
      </c>
      <c r="D6922" s="1" t="s">
        <v>3601</v>
      </c>
      <c r="E6922" s="1" t="s">
        <v>3893</v>
      </c>
      <c r="F6922" s="1" t="s">
        <v>23933</v>
      </c>
      <c r="G6922" s="1" t="s">
        <v>13341</v>
      </c>
      <c r="H6922" s="1" t="s">
        <v>3604</v>
      </c>
      <c r="I6922" s="1" t="s">
        <v>23934</v>
      </c>
      <c r="J6922" s="1" t="s">
        <v>3606</v>
      </c>
      <c r="K6922" s="1" t="s">
        <v>23935</v>
      </c>
      <c r="L6922" s="1"/>
      <c r="M6922" s="1"/>
    </row>
    <row x14ac:dyDescent="0.25" r="6923" customHeight="1" ht="18.75">
      <c r="A6923" s="1" t="s">
        <v>3617</v>
      </c>
      <c r="B6923" s="1" t="s">
        <v>4128</v>
      </c>
      <c r="C6923" s="1" t="s">
        <v>3619</v>
      </c>
      <c r="D6923" s="1" t="s">
        <v>3601</v>
      </c>
      <c r="E6923" s="1" t="s">
        <v>3893</v>
      </c>
      <c r="F6923" s="1" t="s">
        <v>23936</v>
      </c>
      <c r="G6923" s="1" t="s">
        <v>13341</v>
      </c>
      <c r="H6923" s="1" t="s">
        <v>3604</v>
      </c>
      <c r="I6923" s="1" t="s">
        <v>23937</v>
      </c>
      <c r="J6923" s="1" t="s">
        <v>3606</v>
      </c>
      <c r="K6923" s="1" t="s">
        <v>23938</v>
      </c>
      <c r="L6923" s="1"/>
      <c r="M6923" s="1"/>
    </row>
    <row x14ac:dyDescent="0.25" r="6924" customHeight="1" ht="18.75">
      <c r="A6924" s="1" t="s">
        <v>3617</v>
      </c>
      <c r="B6924" s="1" t="s">
        <v>11958</v>
      </c>
      <c r="C6924" s="1" t="s">
        <v>3619</v>
      </c>
      <c r="D6924" s="1" t="s">
        <v>3601</v>
      </c>
      <c r="E6924" s="1" t="s">
        <v>3730</v>
      </c>
      <c r="F6924" s="1" t="s">
        <v>23939</v>
      </c>
      <c r="G6924" s="1" t="s">
        <v>11963</v>
      </c>
      <c r="H6924" s="1" t="s">
        <v>3604</v>
      </c>
      <c r="I6924" s="1" t="s">
        <v>23940</v>
      </c>
      <c r="J6924" s="1" t="s">
        <v>3606</v>
      </c>
      <c r="K6924" s="1" t="s">
        <v>23941</v>
      </c>
      <c r="L6924" s="1"/>
      <c r="M6924" s="1"/>
    </row>
    <row x14ac:dyDescent="0.25" r="6925" customHeight="1" ht="18.75">
      <c r="A6925" s="1" t="s">
        <v>7833</v>
      </c>
      <c r="B6925" s="1" t="s">
        <v>8258</v>
      </c>
      <c r="C6925" s="1" t="s">
        <v>4488</v>
      </c>
      <c r="D6925" s="1" t="s">
        <v>3601</v>
      </c>
      <c r="E6925" s="1" t="s">
        <v>3611</v>
      </c>
      <c r="F6925" s="1" t="s">
        <v>23942</v>
      </c>
      <c r="G6925" s="1" t="s">
        <v>8260</v>
      </c>
      <c r="H6925" s="1" t="s">
        <v>3604</v>
      </c>
      <c r="I6925" s="1" t="s">
        <v>23943</v>
      </c>
      <c r="J6925" s="1" t="s">
        <v>3606</v>
      </c>
      <c r="K6925" s="1" t="s">
        <v>23944</v>
      </c>
      <c r="L6925" s="1"/>
      <c r="M6925" s="1"/>
    </row>
    <row x14ac:dyDescent="0.25" r="6926" customHeight="1" ht="18.75">
      <c r="A6926" s="1" t="s">
        <v>3617</v>
      </c>
      <c r="B6926" s="1" t="s">
        <v>5222</v>
      </c>
      <c r="C6926" s="1" t="s">
        <v>3619</v>
      </c>
      <c r="D6926" s="1" t="s">
        <v>3601</v>
      </c>
      <c r="E6926" s="1" t="s">
        <v>3730</v>
      </c>
      <c r="F6926" s="1" t="s">
        <v>23945</v>
      </c>
      <c r="G6926" s="1" t="s">
        <v>6195</v>
      </c>
      <c r="H6926" s="1" t="s">
        <v>3604</v>
      </c>
      <c r="I6926" s="1" t="s">
        <v>23946</v>
      </c>
      <c r="J6926" s="1" t="s">
        <v>3606</v>
      </c>
      <c r="K6926" s="1" t="s">
        <v>23947</v>
      </c>
      <c r="L6926" s="1"/>
      <c r="M6926" s="1"/>
    </row>
    <row x14ac:dyDescent="0.25" r="6927" customHeight="1" ht="18.75">
      <c r="A6927" s="1" t="s">
        <v>7833</v>
      </c>
      <c r="B6927" s="1" t="s">
        <v>23948</v>
      </c>
      <c r="C6927" s="1" t="s">
        <v>4488</v>
      </c>
      <c r="D6927" s="1" t="s">
        <v>3601</v>
      </c>
      <c r="E6927" s="1" t="s">
        <v>3664</v>
      </c>
      <c r="F6927" s="1" t="s">
        <v>23949</v>
      </c>
      <c r="G6927" s="1" t="s">
        <v>23948</v>
      </c>
      <c r="H6927" s="1" t="s">
        <v>3604</v>
      </c>
      <c r="I6927" s="1" t="s">
        <v>23950</v>
      </c>
      <c r="J6927" s="1" t="s">
        <v>3606</v>
      </c>
      <c r="K6927" s="1" t="s">
        <v>17318</v>
      </c>
      <c r="L6927" s="1"/>
      <c r="M6927" s="1"/>
    </row>
    <row x14ac:dyDescent="0.25" r="6928" customHeight="1" ht="18.75">
      <c r="A6928" s="1" t="s">
        <v>3617</v>
      </c>
      <c r="B6928" s="1" t="s">
        <v>5222</v>
      </c>
      <c r="C6928" s="1" t="s">
        <v>3619</v>
      </c>
      <c r="D6928" s="1" t="s">
        <v>3601</v>
      </c>
      <c r="E6928" s="1" t="s">
        <v>3730</v>
      </c>
      <c r="F6928" s="1" t="s">
        <v>23951</v>
      </c>
      <c r="G6928" s="1" t="s">
        <v>6195</v>
      </c>
      <c r="H6928" s="1" t="s">
        <v>3604</v>
      </c>
      <c r="I6928" s="1" t="s">
        <v>23952</v>
      </c>
      <c r="J6928" s="1" t="s">
        <v>3606</v>
      </c>
      <c r="K6928" s="1" t="s">
        <v>23953</v>
      </c>
      <c r="L6928" s="1"/>
      <c r="M6928" s="1"/>
    </row>
    <row x14ac:dyDescent="0.25" r="6929" customHeight="1" ht="18.75">
      <c r="A6929" s="1" t="s">
        <v>7833</v>
      </c>
      <c r="B6929" s="1" t="s">
        <v>8271</v>
      </c>
      <c r="C6929" s="1" t="s">
        <v>4488</v>
      </c>
      <c r="D6929" s="1" t="s">
        <v>3601</v>
      </c>
      <c r="E6929" s="1" t="s">
        <v>3664</v>
      </c>
      <c r="F6929" s="1" t="s">
        <v>23954</v>
      </c>
      <c r="G6929" s="1" t="s">
        <v>8271</v>
      </c>
      <c r="H6929" s="1" t="s">
        <v>3604</v>
      </c>
      <c r="I6929" s="1" t="s">
        <v>23955</v>
      </c>
      <c r="J6929" s="1" t="s">
        <v>3606</v>
      </c>
      <c r="K6929" s="1" t="s">
        <v>17318</v>
      </c>
      <c r="L6929" s="1"/>
      <c r="M6929" s="1"/>
    </row>
    <row x14ac:dyDescent="0.25" r="6930" customHeight="1" ht="18.75">
      <c r="A6930" s="1" t="s">
        <v>7833</v>
      </c>
      <c r="B6930" s="1" t="s">
        <v>23956</v>
      </c>
      <c r="C6930" s="1" t="s">
        <v>4488</v>
      </c>
      <c r="D6930" s="1" t="s">
        <v>3601</v>
      </c>
      <c r="E6930" s="1" t="s">
        <v>3664</v>
      </c>
      <c r="F6930" s="1" t="s">
        <v>23957</v>
      </c>
      <c r="G6930" s="1" t="s">
        <v>23958</v>
      </c>
      <c r="H6930" s="1" t="s">
        <v>3604</v>
      </c>
      <c r="I6930" s="1" t="s">
        <v>23959</v>
      </c>
      <c r="J6930" s="1" t="s">
        <v>3606</v>
      </c>
      <c r="K6930" s="1" t="s">
        <v>23960</v>
      </c>
      <c r="L6930" s="1"/>
      <c r="M6930" s="1"/>
    </row>
    <row x14ac:dyDescent="0.25" r="6931" customHeight="1" ht="18.75">
      <c r="A6931" s="1" t="s">
        <v>7833</v>
      </c>
      <c r="B6931" s="1" t="s">
        <v>23948</v>
      </c>
      <c r="C6931" s="1" t="s">
        <v>4488</v>
      </c>
      <c r="D6931" s="1" t="s">
        <v>3601</v>
      </c>
      <c r="E6931" s="1" t="s">
        <v>3664</v>
      </c>
      <c r="F6931" s="1" t="s">
        <v>23961</v>
      </c>
      <c r="G6931" s="1" t="s">
        <v>23948</v>
      </c>
      <c r="H6931" s="1" t="s">
        <v>3604</v>
      </c>
      <c r="I6931" s="1" t="s">
        <v>23962</v>
      </c>
      <c r="J6931" s="1" t="s">
        <v>3606</v>
      </c>
      <c r="K6931" s="1" t="s">
        <v>19480</v>
      </c>
      <c r="L6931" s="1"/>
      <c r="M6931" s="1"/>
    </row>
    <row x14ac:dyDescent="0.25" r="6932" customHeight="1" ht="18.75">
      <c r="A6932" s="1" t="s">
        <v>7833</v>
      </c>
      <c r="B6932" s="1" t="s">
        <v>7856</v>
      </c>
      <c r="C6932" s="1" t="s">
        <v>4488</v>
      </c>
      <c r="D6932" s="1" t="s">
        <v>3610</v>
      </c>
      <c r="E6932" s="1" t="s">
        <v>3611</v>
      </c>
      <c r="F6932" s="1" t="s">
        <v>23963</v>
      </c>
      <c r="G6932" s="1" t="s">
        <v>17940</v>
      </c>
      <c r="H6932" s="1" t="s">
        <v>3604</v>
      </c>
      <c r="I6932" s="1" t="s">
        <v>23964</v>
      </c>
      <c r="J6932" s="1" t="s">
        <v>3606</v>
      </c>
      <c r="K6932" s="1" t="s">
        <v>23965</v>
      </c>
      <c r="L6932" s="1"/>
      <c r="M6932" s="1"/>
    </row>
    <row x14ac:dyDescent="0.25" r="6933" customHeight="1" ht="18.75">
      <c r="A6933" s="1" t="s">
        <v>7833</v>
      </c>
      <c r="B6933" s="1" t="s">
        <v>23966</v>
      </c>
      <c r="C6933" s="1" t="s">
        <v>4488</v>
      </c>
      <c r="D6933" s="1" t="s">
        <v>3601</v>
      </c>
      <c r="E6933" s="1" t="s">
        <v>3664</v>
      </c>
      <c r="F6933" s="1" t="s">
        <v>23967</v>
      </c>
      <c r="G6933" s="1" t="s">
        <v>23966</v>
      </c>
      <c r="H6933" s="1" t="s">
        <v>3604</v>
      </c>
      <c r="I6933" s="1" t="s">
        <v>23968</v>
      </c>
      <c r="J6933" s="1" t="s">
        <v>3606</v>
      </c>
      <c r="K6933" s="1" t="s">
        <v>23960</v>
      </c>
      <c r="L6933" s="1"/>
      <c r="M6933" s="1"/>
    </row>
    <row x14ac:dyDescent="0.25" r="6934" customHeight="1" ht="18.75">
      <c r="A6934" s="1" t="s">
        <v>7833</v>
      </c>
      <c r="B6934" s="1" t="s">
        <v>9216</v>
      </c>
      <c r="C6934" s="1" t="s">
        <v>4488</v>
      </c>
      <c r="D6934" s="1" t="s">
        <v>3601</v>
      </c>
      <c r="E6934" s="1" t="s">
        <v>3981</v>
      </c>
      <c r="F6934" s="1" t="s">
        <v>23969</v>
      </c>
      <c r="G6934" s="1" t="s">
        <v>15476</v>
      </c>
      <c r="H6934" s="1" t="s">
        <v>3604</v>
      </c>
      <c r="I6934" s="1" t="s">
        <v>23970</v>
      </c>
      <c r="J6934" s="1" t="s">
        <v>3606</v>
      </c>
      <c r="K6934" s="1" t="s">
        <v>23971</v>
      </c>
      <c r="L6934" s="1"/>
      <c r="M6934" s="1"/>
    </row>
    <row x14ac:dyDescent="0.25" r="6935" customHeight="1" ht="18.75">
      <c r="A6935" s="1" t="s">
        <v>3617</v>
      </c>
      <c r="B6935" s="1" t="s">
        <v>5222</v>
      </c>
      <c r="C6935" s="1" t="s">
        <v>3619</v>
      </c>
      <c r="D6935" s="1" t="s">
        <v>3601</v>
      </c>
      <c r="E6935" s="1" t="s">
        <v>3730</v>
      </c>
      <c r="F6935" s="1" t="s">
        <v>23972</v>
      </c>
      <c r="G6935" s="1" t="s">
        <v>6195</v>
      </c>
      <c r="H6935" s="1" t="s">
        <v>3604</v>
      </c>
      <c r="I6935" s="1" t="s">
        <v>23973</v>
      </c>
      <c r="J6935" s="1" t="s">
        <v>3606</v>
      </c>
      <c r="K6935" s="1" t="s">
        <v>23974</v>
      </c>
      <c r="L6935" s="1"/>
      <c r="M6935" s="1"/>
    </row>
    <row x14ac:dyDescent="0.25" r="6936" customHeight="1" ht="18.75">
      <c r="A6936" s="1" t="s">
        <v>7833</v>
      </c>
      <c r="B6936" s="1" t="s">
        <v>8095</v>
      </c>
      <c r="C6936" s="1" t="s">
        <v>4488</v>
      </c>
      <c r="D6936" s="1" t="s">
        <v>3601</v>
      </c>
      <c r="E6936" s="1" t="s">
        <v>8096</v>
      </c>
      <c r="F6936" s="1" t="s">
        <v>23975</v>
      </c>
      <c r="G6936" s="1" t="s">
        <v>9085</v>
      </c>
      <c r="H6936" s="1" t="s">
        <v>3604</v>
      </c>
      <c r="I6936" s="1" t="s">
        <v>23976</v>
      </c>
      <c r="J6936" s="1" t="s">
        <v>3606</v>
      </c>
      <c r="K6936" s="1" t="s">
        <v>23977</v>
      </c>
      <c r="L6936" s="1"/>
      <c r="M6936" s="1"/>
    </row>
    <row x14ac:dyDescent="0.25" r="6937" customHeight="1" ht="18.75">
      <c r="A6937" s="1" t="s">
        <v>3617</v>
      </c>
      <c r="B6937" s="1" t="s">
        <v>5222</v>
      </c>
      <c r="C6937" s="1" t="s">
        <v>3619</v>
      </c>
      <c r="D6937" s="1" t="s">
        <v>3601</v>
      </c>
      <c r="E6937" s="1" t="s">
        <v>3730</v>
      </c>
      <c r="F6937" s="1" t="s">
        <v>23978</v>
      </c>
      <c r="G6937" s="1" t="s">
        <v>6195</v>
      </c>
      <c r="H6937" s="1" t="s">
        <v>3604</v>
      </c>
      <c r="I6937" s="1" t="s">
        <v>23979</v>
      </c>
      <c r="J6937" s="1" t="s">
        <v>3606</v>
      </c>
      <c r="K6937" s="1" t="s">
        <v>23980</v>
      </c>
      <c r="L6937" s="1"/>
      <c r="M6937" s="1"/>
    </row>
    <row x14ac:dyDescent="0.25" r="6938" customHeight="1" ht="18.75">
      <c r="A6938" s="1" t="s">
        <v>7833</v>
      </c>
      <c r="B6938" s="1" t="s">
        <v>9216</v>
      </c>
      <c r="C6938" s="1" t="s">
        <v>4488</v>
      </c>
      <c r="D6938" s="1" t="s">
        <v>3601</v>
      </c>
      <c r="E6938" s="1" t="s">
        <v>3981</v>
      </c>
      <c r="F6938" s="1" t="s">
        <v>23981</v>
      </c>
      <c r="G6938" s="1" t="s">
        <v>23982</v>
      </c>
      <c r="H6938" s="1" t="s">
        <v>3604</v>
      </c>
      <c r="I6938" s="1" t="s">
        <v>23983</v>
      </c>
      <c r="J6938" s="1" t="s">
        <v>3606</v>
      </c>
      <c r="K6938" s="1" t="s">
        <v>23971</v>
      </c>
      <c r="L6938" s="1"/>
      <c r="M6938" s="1"/>
    </row>
    <row x14ac:dyDescent="0.25" r="6939" customHeight="1" ht="18.75">
      <c r="A6939" s="1" t="s">
        <v>7833</v>
      </c>
      <c r="B6939" s="1" t="s">
        <v>8095</v>
      </c>
      <c r="C6939" s="1" t="s">
        <v>4488</v>
      </c>
      <c r="D6939" s="1" t="s">
        <v>3601</v>
      </c>
      <c r="E6939" s="1" t="s">
        <v>8096</v>
      </c>
      <c r="F6939" s="1" t="s">
        <v>23984</v>
      </c>
      <c r="G6939" s="1" t="s">
        <v>9085</v>
      </c>
      <c r="H6939" s="1" t="s">
        <v>3604</v>
      </c>
      <c r="I6939" s="1" t="s">
        <v>23985</v>
      </c>
      <c r="J6939" s="1" t="s">
        <v>3606</v>
      </c>
      <c r="K6939" s="1" t="s">
        <v>23986</v>
      </c>
      <c r="L6939" s="1"/>
      <c r="M6939" s="1"/>
    </row>
    <row x14ac:dyDescent="0.25" r="6940" customHeight="1" ht="18.75">
      <c r="A6940" s="1" t="s">
        <v>7833</v>
      </c>
      <c r="B6940" s="1" t="s">
        <v>7856</v>
      </c>
      <c r="C6940" s="1" t="s">
        <v>4488</v>
      </c>
      <c r="D6940" s="1" t="s">
        <v>3610</v>
      </c>
      <c r="E6940" s="1" t="s">
        <v>3611</v>
      </c>
      <c r="F6940" s="1" t="s">
        <v>23987</v>
      </c>
      <c r="G6940" s="1" t="s">
        <v>17943</v>
      </c>
      <c r="H6940" s="1" t="s">
        <v>3604</v>
      </c>
      <c r="I6940" s="1" t="s">
        <v>23988</v>
      </c>
      <c r="J6940" s="1" t="s">
        <v>3606</v>
      </c>
      <c r="K6940" s="1" t="s">
        <v>23989</v>
      </c>
      <c r="L6940" s="1"/>
      <c r="M6940" s="1"/>
    </row>
    <row x14ac:dyDescent="0.25" r="6941" customHeight="1" ht="18.75">
      <c r="A6941" s="1" t="s">
        <v>7833</v>
      </c>
      <c r="B6941" s="1" t="s">
        <v>9216</v>
      </c>
      <c r="C6941" s="1" t="s">
        <v>4488</v>
      </c>
      <c r="D6941" s="1" t="s">
        <v>3601</v>
      </c>
      <c r="E6941" s="1" t="s">
        <v>3981</v>
      </c>
      <c r="F6941" s="1" t="s">
        <v>23990</v>
      </c>
      <c r="G6941" s="1" t="s">
        <v>15353</v>
      </c>
      <c r="H6941" s="1" t="s">
        <v>3604</v>
      </c>
      <c r="I6941" s="1" t="s">
        <v>23991</v>
      </c>
      <c r="J6941" s="1" t="s">
        <v>3606</v>
      </c>
      <c r="K6941" s="1" t="s">
        <v>23971</v>
      </c>
      <c r="L6941" s="1"/>
      <c r="M6941" s="1"/>
    </row>
    <row x14ac:dyDescent="0.25" r="6942" customHeight="1" ht="18.75">
      <c r="A6942" s="1" t="s">
        <v>3617</v>
      </c>
      <c r="B6942" s="1" t="s">
        <v>5222</v>
      </c>
      <c r="C6942" s="1" t="s">
        <v>3619</v>
      </c>
      <c r="D6942" s="1" t="s">
        <v>3601</v>
      </c>
      <c r="E6942" s="1" t="s">
        <v>3730</v>
      </c>
      <c r="F6942" s="1" t="s">
        <v>23992</v>
      </c>
      <c r="G6942" s="1" t="s">
        <v>6195</v>
      </c>
      <c r="H6942" s="1" t="s">
        <v>3604</v>
      </c>
      <c r="I6942" s="1" t="s">
        <v>23993</v>
      </c>
      <c r="J6942" s="1" t="s">
        <v>3606</v>
      </c>
      <c r="K6942" s="1" t="s">
        <v>23994</v>
      </c>
      <c r="L6942" s="1"/>
      <c r="M6942" s="1"/>
    </row>
    <row x14ac:dyDescent="0.25" r="6943" customHeight="1" ht="18.75">
      <c r="A6943" s="1" t="s">
        <v>3617</v>
      </c>
      <c r="B6943" s="1" t="s">
        <v>5222</v>
      </c>
      <c r="C6943" s="1" t="s">
        <v>3619</v>
      </c>
      <c r="D6943" s="1" t="s">
        <v>3601</v>
      </c>
      <c r="E6943" s="1" t="s">
        <v>3730</v>
      </c>
      <c r="F6943" s="1" t="s">
        <v>23995</v>
      </c>
      <c r="G6943" s="1" t="s">
        <v>6195</v>
      </c>
      <c r="H6943" s="1" t="s">
        <v>3604</v>
      </c>
      <c r="I6943" s="1" t="s">
        <v>23996</v>
      </c>
      <c r="J6943" s="1" t="s">
        <v>3606</v>
      </c>
      <c r="K6943" s="1" t="s">
        <v>23997</v>
      </c>
      <c r="L6943" s="1"/>
      <c r="M6943" s="1"/>
    </row>
    <row x14ac:dyDescent="0.25" r="6944" customHeight="1" ht="18.75">
      <c r="A6944" s="1" t="s">
        <v>7833</v>
      </c>
      <c r="B6944" s="1" t="s">
        <v>7856</v>
      </c>
      <c r="C6944" s="1" t="s">
        <v>4488</v>
      </c>
      <c r="D6944" s="1" t="s">
        <v>3610</v>
      </c>
      <c r="E6944" s="1" t="s">
        <v>3611</v>
      </c>
      <c r="F6944" s="1" t="s">
        <v>23998</v>
      </c>
      <c r="G6944" s="1" t="s">
        <v>17947</v>
      </c>
      <c r="H6944" s="1" t="s">
        <v>3604</v>
      </c>
      <c r="I6944" s="1" t="s">
        <v>23999</v>
      </c>
      <c r="J6944" s="1" t="s">
        <v>3606</v>
      </c>
      <c r="K6944" s="1" t="s">
        <v>24000</v>
      </c>
      <c r="L6944" s="1"/>
      <c r="M6944" s="1"/>
    </row>
    <row x14ac:dyDescent="0.25" r="6945" customHeight="1" ht="18.75">
      <c r="A6945" s="1" t="s">
        <v>7833</v>
      </c>
      <c r="B6945" s="1" t="s">
        <v>7856</v>
      </c>
      <c r="C6945" s="1" t="s">
        <v>4488</v>
      </c>
      <c r="D6945" s="1" t="s">
        <v>3610</v>
      </c>
      <c r="E6945" s="1" t="s">
        <v>3611</v>
      </c>
      <c r="F6945" s="1" t="s">
        <v>24001</v>
      </c>
      <c r="G6945" s="1" t="s">
        <v>17951</v>
      </c>
      <c r="H6945" s="1" t="s">
        <v>3604</v>
      </c>
      <c r="I6945" s="1" t="s">
        <v>24002</v>
      </c>
      <c r="J6945" s="1" t="s">
        <v>3606</v>
      </c>
      <c r="K6945" s="1" t="s">
        <v>24003</v>
      </c>
      <c r="L6945" s="1"/>
      <c r="M6945" s="1"/>
    </row>
    <row x14ac:dyDescent="0.25" r="6946" customHeight="1" ht="18.75">
      <c r="A6946" s="1" t="s">
        <v>7833</v>
      </c>
      <c r="B6946" s="1" t="s">
        <v>7856</v>
      </c>
      <c r="C6946" s="1" t="s">
        <v>4488</v>
      </c>
      <c r="D6946" s="1" t="s">
        <v>8373</v>
      </c>
      <c r="E6946" s="1" t="s">
        <v>3664</v>
      </c>
      <c r="F6946" s="1" t="s">
        <v>24004</v>
      </c>
      <c r="G6946" s="1" t="s">
        <v>24005</v>
      </c>
      <c r="H6946" s="1" t="s">
        <v>3604</v>
      </c>
      <c r="I6946" s="1" t="s">
        <v>24006</v>
      </c>
      <c r="J6946" s="1" t="s">
        <v>3606</v>
      </c>
      <c r="K6946" s="1" t="s">
        <v>24007</v>
      </c>
      <c r="L6946" s="1"/>
      <c r="M6946" s="1"/>
    </row>
    <row x14ac:dyDescent="0.25" r="6947" customHeight="1" ht="18.75">
      <c r="A6947" s="1" t="s">
        <v>7833</v>
      </c>
      <c r="B6947" s="1" t="s">
        <v>7856</v>
      </c>
      <c r="C6947" s="1" t="s">
        <v>4488</v>
      </c>
      <c r="D6947" s="1" t="s">
        <v>8373</v>
      </c>
      <c r="E6947" s="1" t="s">
        <v>3664</v>
      </c>
      <c r="F6947" s="1" t="s">
        <v>24008</v>
      </c>
      <c r="G6947" s="1" t="s">
        <v>24009</v>
      </c>
      <c r="H6947" s="1" t="s">
        <v>3604</v>
      </c>
      <c r="I6947" s="1" t="s">
        <v>24010</v>
      </c>
      <c r="J6947" s="1" t="s">
        <v>3606</v>
      </c>
      <c r="K6947" s="1" t="s">
        <v>23220</v>
      </c>
      <c r="L6947" s="1"/>
      <c r="M6947" s="1"/>
    </row>
    <row x14ac:dyDescent="0.25" r="6948" customHeight="1" ht="18.75">
      <c r="A6948" s="1" t="s">
        <v>7833</v>
      </c>
      <c r="B6948" s="1" t="s">
        <v>9216</v>
      </c>
      <c r="C6948" s="1" t="s">
        <v>4488</v>
      </c>
      <c r="D6948" s="1" t="s">
        <v>3601</v>
      </c>
      <c r="E6948" s="1" t="s">
        <v>3981</v>
      </c>
      <c r="F6948" s="1" t="s">
        <v>24011</v>
      </c>
      <c r="G6948" s="1" t="s">
        <v>9218</v>
      </c>
      <c r="H6948" s="1" t="s">
        <v>3604</v>
      </c>
      <c r="I6948" s="1" t="s">
        <v>24012</v>
      </c>
      <c r="J6948" s="1" t="s">
        <v>3606</v>
      </c>
      <c r="K6948" s="1" t="s">
        <v>23971</v>
      </c>
      <c r="L6948" s="1"/>
      <c r="M6948" s="1"/>
    </row>
    <row x14ac:dyDescent="0.25" r="6949" customHeight="1" ht="18.75">
      <c r="A6949" s="1" t="s">
        <v>7833</v>
      </c>
      <c r="B6949" s="1" t="s">
        <v>9216</v>
      </c>
      <c r="C6949" s="1" t="s">
        <v>4488</v>
      </c>
      <c r="D6949" s="1" t="s">
        <v>3601</v>
      </c>
      <c r="E6949" s="1" t="s">
        <v>3981</v>
      </c>
      <c r="F6949" s="1" t="s">
        <v>24013</v>
      </c>
      <c r="G6949" s="1" t="s">
        <v>24014</v>
      </c>
      <c r="H6949" s="1" t="s">
        <v>3604</v>
      </c>
      <c r="I6949" s="1" t="s">
        <v>24015</v>
      </c>
      <c r="J6949" s="1" t="s">
        <v>3606</v>
      </c>
      <c r="K6949" s="1" t="s">
        <v>23971</v>
      </c>
      <c r="L6949" s="1"/>
      <c r="M6949" s="1"/>
    </row>
    <row x14ac:dyDescent="0.25" r="6950" customHeight="1" ht="18.75">
      <c r="A6950" s="1" t="s">
        <v>7833</v>
      </c>
      <c r="B6950" s="1" t="s">
        <v>9216</v>
      </c>
      <c r="C6950" s="1" t="s">
        <v>4488</v>
      </c>
      <c r="D6950" s="1" t="s">
        <v>3601</v>
      </c>
      <c r="E6950" s="1" t="s">
        <v>3981</v>
      </c>
      <c r="F6950" s="1" t="s">
        <v>24016</v>
      </c>
      <c r="G6950" s="1" t="s">
        <v>24017</v>
      </c>
      <c r="H6950" s="1" t="s">
        <v>3604</v>
      </c>
      <c r="I6950" s="1" t="s">
        <v>24018</v>
      </c>
      <c r="J6950" s="1" t="s">
        <v>3606</v>
      </c>
      <c r="K6950" s="1" t="s">
        <v>23971</v>
      </c>
      <c r="L6950" s="1"/>
      <c r="M6950" s="1"/>
    </row>
    <row x14ac:dyDescent="0.25" r="6951" customHeight="1" ht="18.75">
      <c r="A6951" s="1" t="s">
        <v>3617</v>
      </c>
      <c r="B6951" s="1" t="s">
        <v>3825</v>
      </c>
      <c r="C6951" s="1" t="s">
        <v>3619</v>
      </c>
      <c r="D6951" s="1" t="s">
        <v>3601</v>
      </c>
      <c r="E6951" s="1" t="s">
        <v>3664</v>
      </c>
      <c r="F6951" s="1" t="s">
        <v>24019</v>
      </c>
      <c r="G6951" s="1" t="s">
        <v>3827</v>
      </c>
      <c r="H6951" s="1" t="s">
        <v>3604</v>
      </c>
      <c r="I6951" s="1" t="s">
        <v>24020</v>
      </c>
      <c r="J6951" s="1" t="s">
        <v>3606</v>
      </c>
      <c r="K6951" s="1" t="s">
        <v>24021</v>
      </c>
      <c r="L6951" s="1"/>
      <c r="M6951" s="1"/>
    </row>
    <row x14ac:dyDescent="0.25" r="6952" customHeight="1" ht="18.75">
      <c r="A6952" s="1" t="s">
        <v>3617</v>
      </c>
      <c r="B6952" s="1" t="s">
        <v>3825</v>
      </c>
      <c r="C6952" s="1" t="s">
        <v>3619</v>
      </c>
      <c r="D6952" s="1" t="s">
        <v>3601</v>
      </c>
      <c r="E6952" s="1" t="s">
        <v>3664</v>
      </c>
      <c r="F6952" s="1" t="s">
        <v>24022</v>
      </c>
      <c r="G6952" s="1" t="s">
        <v>3827</v>
      </c>
      <c r="H6952" s="1" t="s">
        <v>3604</v>
      </c>
      <c r="I6952" s="1" t="s">
        <v>24023</v>
      </c>
      <c r="J6952" s="1" t="s">
        <v>3606</v>
      </c>
      <c r="K6952" s="1" t="s">
        <v>24024</v>
      </c>
      <c r="L6952" s="1"/>
      <c r="M6952" s="1"/>
    </row>
    <row x14ac:dyDescent="0.25" r="6953" customHeight="1" ht="18.75">
      <c r="A6953" s="1" t="s">
        <v>7833</v>
      </c>
      <c r="B6953" s="1" t="s">
        <v>9216</v>
      </c>
      <c r="C6953" s="1" t="s">
        <v>4488</v>
      </c>
      <c r="D6953" s="1" t="s">
        <v>3601</v>
      </c>
      <c r="E6953" s="1" t="s">
        <v>3981</v>
      </c>
      <c r="F6953" s="1" t="s">
        <v>24025</v>
      </c>
      <c r="G6953" s="1" t="s">
        <v>24026</v>
      </c>
      <c r="H6953" s="1" t="s">
        <v>3604</v>
      </c>
      <c r="I6953" s="1" t="s">
        <v>24027</v>
      </c>
      <c r="J6953" s="1" t="s">
        <v>3606</v>
      </c>
      <c r="K6953" s="1" t="s">
        <v>23971</v>
      </c>
      <c r="L6953" s="1"/>
      <c r="M6953" s="1"/>
    </row>
    <row x14ac:dyDescent="0.25" r="6954" customHeight="1" ht="18.75">
      <c r="A6954" s="1" t="s">
        <v>3617</v>
      </c>
      <c r="B6954" s="1" t="s">
        <v>3825</v>
      </c>
      <c r="C6954" s="1" t="s">
        <v>3619</v>
      </c>
      <c r="D6954" s="1" t="s">
        <v>3601</v>
      </c>
      <c r="E6954" s="1" t="s">
        <v>3664</v>
      </c>
      <c r="F6954" s="1" t="s">
        <v>24028</v>
      </c>
      <c r="G6954" s="1" t="s">
        <v>3827</v>
      </c>
      <c r="H6954" s="1" t="s">
        <v>3604</v>
      </c>
      <c r="I6954" s="1" t="s">
        <v>24029</v>
      </c>
      <c r="J6954" s="1" t="s">
        <v>3606</v>
      </c>
      <c r="K6954" s="1" t="s">
        <v>24030</v>
      </c>
      <c r="L6954" s="1"/>
      <c r="M6954" s="1"/>
    </row>
    <row x14ac:dyDescent="0.25" r="6955" customHeight="1" ht="18.75">
      <c r="A6955" s="1" t="s">
        <v>7833</v>
      </c>
      <c r="B6955" s="1" t="s">
        <v>7856</v>
      </c>
      <c r="C6955" s="1" t="s">
        <v>4488</v>
      </c>
      <c r="D6955" s="1" t="s">
        <v>8373</v>
      </c>
      <c r="E6955" s="1" t="s">
        <v>3664</v>
      </c>
      <c r="F6955" s="1" t="s">
        <v>24031</v>
      </c>
      <c r="G6955" s="1" t="s">
        <v>24032</v>
      </c>
      <c r="H6955" s="1" t="s">
        <v>3604</v>
      </c>
      <c r="I6955" s="1" t="s">
        <v>24033</v>
      </c>
      <c r="J6955" s="1" t="s">
        <v>3606</v>
      </c>
      <c r="K6955" s="1" t="s">
        <v>24034</v>
      </c>
      <c r="L6955" s="1"/>
      <c r="M6955" s="1"/>
    </row>
    <row x14ac:dyDescent="0.25" r="6956" customHeight="1" ht="18.75">
      <c r="A6956" s="1" t="s">
        <v>7833</v>
      </c>
      <c r="B6956" s="1" t="s">
        <v>9216</v>
      </c>
      <c r="C6956" s="1" t="s">
        <v>4488</v>
      </c>
      <c r="D6956" s="1" t="s">
        <v>3601</v>
      </c>
      <c r="E6956" s="1" t="s">
        <v>3981</v>
      </c>
      <c r="F6956" s="1" t="s">
        <v>24035</v>
      </c>
      <c r="G6956" s="1" t="s">
        <v>24036</v>
      </c>
      <c r="H6956" s="1" t="s">
        <v>3604</v>
      </c>
      <c r="I6956" s="1" t="s">
        <v>24037</v>
      </c>
      <c r="J6956" s="1" t="s">
        <v>3606</v>
      </c>
      <c r="K6956" s="1" t="s">
        <v>23971</v>
      </c>
      <c r="L6956" s="1"/>
      <c r="M6956" s="1"/>
    </row>
    <row x14ac:dyDescent="0.25" r="6957" customHeight="1" ht="18.75">
      <c r="A6957" s="1" t="s">
        <v>3617</v>
      </c>
      <c r="B6957" s="1" t="s">
        <v>3825</v>
      </c>
      <c r="C6957" s="1" t="s">
        <v>3619</v>
      </c>
      <c r="D6957" s="1" t="s">
        <v>3601</v>
      </c>
      <c r="E6957" s="1" t="s">
        <v>3664</v>
      </c>
      <c r="F6957" s="1" t="s">
        <v>24038</v>
      </c>
      <c r="G6957" s="1" t="s">
        <v>3827</v>
      </c>
      <c r="H6957" s="1" t="s">
        <v>3604</v>
      </c>
      <c r="I6957" s="1" t="s">
        <v>24039</v>
      </c>
      <c r="J6957" s="1" t="s">
        <v>3606</v>
      </c>
      <c r="K6957" s="1" t="s">
        <v>24040</v>
      </c>
      <c r="L6957" s="1"/>
      <c r="M6957" s="1"/>
    </row>
    <row x14ac:dyDescent="0.25" r="6958" customHeight="1" ht="18.75">
      <c r="A6958" s="1" t="s">
        <v>3617</v>
      </c>
      <c r="B6958" s="1" t="s">
        <v>3825</v>
      </c>
      <c r="C6958" s="1" t="s">
        <v>3619</v>
      </c>
      <c r="D6958" s="1" t="s">
        <v>3601</v>
      </c>
      <c r="E6958" s="1" t="s">
        <v>3664</v>
      </c>
      <c r="F6958" s="1" t="s">
        <v>24041</v>
      </c>
      <c r="G6958" s="1" t="s">
        <v>3827</v>
      </c>
      <c r="H6958" s="1" t="s">
        <v>3604</v>
      </c>
      <c r="I6958" s="1" t="s">
        <v>24042</v>
      </c>
      <c r="J6958" s="1" t="s">
        <v>3606</v>
      </c>
      <c r="K6958" s="1" t="s">
        <v>24043</v>
      </c>
      <c r="L6958" s="1"/>
      <c r="M6958" s="1"/>
    </row>
    <row x14ac:dyDescent="0.25" r="6959" customHeight="1" ht="18.75">
      <c r="A6959" s="1" t="s">
        <v>7833</v>
      </c>
      <c r="B6959" s="1" t="s">
        <v>9216</v>
      </c>
      <c r="C6959" s="1" t="s">
        <v>4488</v>
      </c>
      <c r="D6959" s="1" t="s">
        <v>3601</v>
      </c>
      <c r="E6959" s="1" t="s">
        <v>3981</v>
      </c>
      <c r="F6959" s="1" t="s">
        <v>24044</v>
      </c>
      <c r="G6959" s="1" t="s">
        <v>24045</v>
      </c>
      <c r="H6959" s="1" t="s">
        <v>3604</v>
      </c>
      <c r="I6959" s="1" t="s">
        <v>24046</v>
      </c>
      <c r="J6959" s="1" t="s">
        <v>3606</v>
      </c>
      <c r="K6959" s="1" t="s">
        <v>23971</v>
      </c>
      <c r="L6959" s="1"/>
      <c r="M6959" s="1"/>
    </row>
    <row x14ac:dyDescent="0.25" r="6960" customHeight="1" ht="18.75">
      <c r="A6960" s="1" t="s">
        <v>3617</v>
      </c>
      <c r="B6960" s="1" t="s">
        <v>3825</v>
      </c>
      <c r="C6960" s="1" t="s">
        <v>3619</v>
      </c>
      <c r="D6960" s="1" t="s">
        <v>3601</v>
      </c>
      <c r="E6960" s="1" t="s">
        <v>3664</v>
      </c>
      <c r="F6960" s="1" t="s">
        <v>24047</v>
      </c>
      <c r="G6960" s="1" t="s">
        <v>3827</v>
      </c>
      <c r="H6960" s="1" t="s">
        <v>3604</v>
      </c>
      <c r="I6960" s="1" t="s">
        <v>24048</v>
      </c>
      <c r="J6960" s="1" t="s">
        <v>3606</v>
      </c>
      <c r="K6960" s="1" t="s">
        <v>24049</v>
      </c>
      <c r="L6960" s="1"/>
      <c r="M6960" s="1"/>
    </row>
    <row x14ac:dyDescent="0.25" r="6961" customHeight="1" ht="18.75">
      <c r="A6961" s="1" t="s">
        <v>7833</v>
      </c>
      <c r="B6961" s="1" t="s">
        <v>9216</v>
      </c>
      <c r="C6961" s="1" t="s">
        <v>4488</v>
      </c>
      <c r="D6961" s="1" t="s">
        <v>3601</v>
      </c>
      <c r="E6961" s="1" t="s">
        <v>3981</v>
      </c>
      <c r="F6961" s="1" t="s">
        <v>24050</v>
      </c>
      <c r="G6961" s="1" t="s">
        <v>24051</v>
      </c>
      <c r="H6961" s="1" t="s">
        <v>3604</v>
      </c>
      <c r="I6961" s="1" t="s">
        <v>24052</v>
      </c>
      <c r="J6961" s="1" t="s">
        <v>3606</v>
      </c>
      <c r="K6961" s="1" t="s">
        <v>23971</v>
      </c>
      <c r="L6961" s="1"/>
      <c r="M6961" s="1"/>
    </row>
    <row x14ac:dyDescent="0.25" r="6962" customHeight="1" ht="18.75">
      <c r="A6962" s="1" t="s">
        <v>3617</v>
      </c>
      <c r="B6962" s="1" t="s">
        <v>24053</v>
      </c>
      <c r="C6962" s="1" t="s">
        <v>3619</v>
      </c>
      <c r="D6962" s="1" t="s">
        <v>3601</v>
      </c>
      <c r="E6962" s="1" t="s">
        <v>3664</v>
      </c>
      <c r="F6962" s="1" t="s">
        <v>24054</v>
      </c>
      <c r="G6962" s="1" t="s">
        <v>12406</v>
      </c>
      <c r="H6962" s="1" t="s">
        <v>3604</v>
      </c>
      <c r="I6962" s="1" t="s">
        <v>24055</v>
      </c>
      <c r="J6962" s="1" t="s">
        <v>3606</v>
      </c>
      <c r="K6962" s="1" t="s">
        <v>11977</v>
      </c>
      <c r="L6962" s="1"/>
      <c r="M6962" s="1"/>
    </row>
    <row x14ac:dyDescent="0.25" r="6963" customHeight="1" ht="18.75">
      <c r="A6963" s="1" t="s">
        <v>7833</v>
      </c>
      <c r="B6963" s="1" t="s">
        <v>7856</v>
      </c>
      <c r="C6963" s="1" t="s">
        <v>4488</v>
      </c>
      <c r="D6963" s="1" t="s">
        <v>8373</v>
      </c>
      <c r="E6963" s="1" t="s">
        <v>3752</v>
      </c>
      <c r="F6963" s="1" t="s">
        <v>24056</v>
      </c>
      <c r="G6963" s="1" t="s">
        <v>24057</v>
      </c>
      <c r="H6963" s="1" t="s">
        <v>3604</v>
      </c>
      <c r="I6963" s="1" t="s">
        <v>24058</v>
      </c>
      <c r="J6963" s="1" t="s">
        <v>3606</v>
      </c>
      <c r="K6963" s="1" t="s">
        <v>14459</v>
      </c>
      <c r="L6963" s="1"/>
      <c r="M6963" s="1"/>
    </row>
    <row x14ac:dyDescent="0.25" r="6964" customHeight="1" ht="18.75">
      <c r="A6964" s="1" t="s">
        <v>7833</v>
      </c>
      <c r="B6964" s="1" t="s">
        <v>14452</v>
      </c>
      <c r="C6964" s="1" t="s">
        <v>4488</v>
      </c>
      <c r="D6964" s="1" t="s">
        <v>8373</v>
      </c>
      <c r="E6964" s="1" t="s">
        <v>3664</v>
      </c>
      <c r="F6964" s="1" t="s">
        <v>24059</v>
      </c>
      <c r="G6964" s="1" t="s">
        <v>24060</v>
      </c>
      <c r="H6964" s="1" t="s">
        <v>3604</v>
      </c>
      <c r="I6964" s="1" t="s">
        <v>24061</v>
      </c>
      <c r="J6964" s="1" t="s">
        <v>3606</v>
      </c>
      <c r="K6964" s="1" t="s">
        <v>24062</v>
      </c>
      <c r="L6964" s="1"/>
      <c r="M6964" s="1"/>
    </row>
    <row x14ac:dyDescent="0.25" r="6965" customHeight="1" ht="18.75">
      <c r="A6965" s="1" t="s">
        <v>7833</v>
      </c>
      <c r="B6965" s="1" t="s">
        <v>9216</v>
      </c>
      <c r="C6965" s="1" t="s">
        <v>4488</v>
      </c>
      <c r="D6965" s="1" t="s">
        <v>3601</v>
      </c>
      <c r="E6965" s="1" t="s">
        <v>3664</v>
      </c>
      <c r="F6965" s="1" t="s">
        <v>24063</v>
      </c>
      <c r="G6965" s="1" t="s">
        <v>24064</v>
      </c>
      <c r="H6965" s="1" t="s">
        <v>3604</v>
      </c>
      <c r="I6965" s="1" t="s">
        <v>24065</v>
      </c>
      <c r="J6965" s="1" t="s">
        <v>3606</v>
      </c>
      <c r="K6965" s="1" t="s">
        <v>23971</v>
      </c>
      <c r="L6965" s="1"/>
      <c r="M6965" s="1"/>
    </row>
    <row x14ac:dyDescent="0.25" r="6966" customHeight="1" ht="18.75">
      <c r="A6966" s="1" t="s">
        <v>7833</v>
      </c>
      <c r="B6966" s="1" t="s">
        <v>14452</v>
      </c>
      <c r="C6966" s="1" t="s">
        <v>4488</v>
      </c>
      <c r="D6966" s="1" t="s">
        <v>8373</v>
      </c>
      <c r="E6966" s="1" t="s">
        <v>3664</v>
      </c>
      <c r="F6966" s="1" t="s">
        <v>24066</v>
      </c>
      <c r="G6966" s="1" t="s">
        <v>24067</v>
      </c>
      <c r="H6966" s="1" t="s">
        <v>3604</v>
      </c>
      <c r="I6966" s="1" t="s">
        <v>24068</v>
      </c>
      <c r="J6966" s="1" t="s">
        <v>3606</v>
      </c>
      <c r="K6966" s="1" t="s">
        <v>24069</v>
      </c>
      <c r="L6966" s="1"/>
      <c r="M6966" s="1"/>
    </row>
    <row x14ac:dyDescent="0.25" r="6967" customHeight="1" ht="18.75">
      <c r="A6967" s="1" t="s">
        <v>7833</v>
      </c>
      <c r="B6967" s="1" t="s">
        <v>14063</v>
      </c>
      <c r="C6967" s="1" t="s">
        <v>4488</v>
      </c>
      <c r="D6967" s="1" t="s">
        <v>8373</v>
      </c>
      <c r="E6967" s="1" t="s">
        <v>3664</v>
      </c>
      <c r="F6967" s="1" t="s">
        <v>24070</v>
      </c>
      <c r="G6967" s="1" t="s">
        <v>24071</v>
      </c>
      <c r="H6967" s="1" t="s">
        <v>3604</v>
      </c>
      <c r="I6967" s="1" t="s">
        <v>24072</v>
      </c>
      <c r="J6967" s="1" t="s">
        <v>3606</v>
      </c>
      <c r="K6967" s="1" t="s">
        <v>24073</v>
      </c>
      <c r="L6967" s="1"/>
      <c r="M6967" s="1"/>
    </row>
    <row x14ac:dyDescent="0.25" r="6968" customHeight="1" ht="18.75">
      <c r="A6968" s="1" t="s">
        <v>7833</v>
      </c>
      <c r="B6968" s="1" t="s">
        <v>14416</v>
      </c>
      <c r="C6968" s="1" t="s">
        <v>4488</v>
      </c>
      <c r="D6968" s="1" t="s">
        <v>8373</v>
      </c>
      <c r="E6968" s="1" t="s">
        <v>3664</v>
      </c>
      <c r="F6968" s="1" t="s">
        <v>1420</v>
      </c>
      <c r="G6968" s="1" t="s">
        <v>14417</v>
      </c>
      <c r="H6968" s="1" t="s">
        <v>3604</v>
      </c>
      <c r="I6968" s="1" t="s">
        <v>24074</v>
      </c>
      <c r="J6968" s="1" t="s">
        <v>3606</v>
      </c>
      <c r="K6968" s="1" t="s">
        <v>24075</v>
      </c>
      <c r="L6968" s="1"/>
      <c r="M6968" s="1"/>
    </row>
    <row x14ac:dyDescent="0.25" r="6969" customHeight="1" ht="18.75">
      <c r="A6969" s="1" t="s">
        <v>3693</v>
      </c>
      <c r="B6969" s="1" t="s">
        <v>7030</v>
      </c>
      <c r="C6969" s="1" t="s">
        <v>3600</v>
      </c>
      <c r="D6969" s="1" t="s">
        <v>3695</v>
      </c>
      <c r="E6969" s="1" t="s">
        <v>3664</v>
      </c>
      <c r="F6969" s="1" t="s">
        <v>24076</v>
      </c>
      <c r="G6969" s="1" t="s">
        <v>23815</v>
      </c>
      <c r="H6969" s="1" t="s">
        <v>3604</v>
      </c>
      <c r="I6969" s="1" t="s">
        <v>24077</v>
      </c>
      <c r="J6969" s="1" t="s">
        <v>3606</v>
      </c>
      <c r="K6969" s="1" t="s">
        <v>24078</v>
      </c>
      <c r="L6969" s="1"/>
      <c r="M6969" s="1"/>
    </row>
    <row x14ac:dyDescent="0.25" r="6970" customHeight="1" ht="18.75">
      <c r="A6970" s="1" t="s">
        <v>7833</v>
      </c>
      <c r="B6970" s="1" t="s">
        <v>9216</v>
      </c>
      <c r="C6970" s="1" t="s">
        <v>4488</v>
      </c>
      <c r="D6970" s="1" t="s">
        <v>3601</v>
      </c>
      <c r="E6970" s="1" t="s">
        <v>3664</v>
      </c>
      <c r="F6970" s="1" t="s">
        <v>24079</v>
      </c>
      <c r="G6970" s="1" t="s">
        <v>24045</v>
      </c>
      <c r="H6970" s="1" t="s">
        <v>3604</v>
      </c>
      <c r="I6970" s="1" t="s">
        <v>24080</v>
      </c>
      <c r="J6970" s="1" t="s">
        <v>3606</v>
      </c>
      <c r="K6970" s="1" t="s">
        <v>23971</v>
      </c>
      <c r="L6970" s="1"/>
      <c r="M6970" s="1"/>
    </row>
    <row x14ac:dyDescent="0.25" r="6971" customHeight="1" ht="18.75">
      <c r="A6971" s="1" t="s">
        <v>3693</v>
      </c>
      <c r="B6971" s="1" t="s">
        <v>7030</v>
      </c>
      <c r="C6971" s="1" t="s">
        <v>3600</v>
      </c>
      <c r="D6971" s="1" t="s">
        <v>3695</v>
      </c>
      <c r="E6971" s="1" t="s">
        <v>3664</v>
      </c>
      <c r="F6971" s="1" t="s">
        <v>24081</v>
      </c>
      <c r="G6971" s="1" t="s">
        <v>24082</v>
      </c>
      <c r="H6971" s="1" t="s">
        <v>3604</v>
      </c>
      <c r="I6971" s="1" t="s">
        <v>24083</v>
      </c>
      <c r="J6971" s="1" t="s">
        <v>3606</v>
      </c>
      <c r="K6971" s="1" t="s">
        <v>24084</v>
      </c>
      <c r="L6971" s="1"/>
      <c r="M6971" s="1"/>
    </row>
    <row x14ac:dyDescent="0.25" r="6972" customHeight="1" ht="18.75">
      <c r="A6972" s="1" t="s">
        <v>7833</v>
      </c>
      <c r="B6972" s="1" t="s">
        <v>9216</v>
      </c>
      <c r="C6972" s="1" t="s">
        <v>4488</v>
      </c>
      <c r="D6972" s="1" t="s">
        <v>3601</v>
      </c>
      <c r="E6972" s="1" t="s">
        <v>3664</v>
      </c>
      <c r="F6972" s="1" t="s">
        <v>24085</v>
      </c>
      <c r="G6972" s="1" t="s">
        <v>15198</v>
      </c>
      <c r="H6972" s="1" t="s">
        <v>3604</v>
      </c>
      <c r="I6972" s="1" t="s">
        <v>24086</v>
      </c>
      <c r="J6972" s="1" t="s">
        <v>3606</v>
      </c>
      <c r="K6972" s="1" t="s">
        <v>23971</v>
      </c>
      <c r="L6972" s="1"/>
      <c r="M6972" s="1"/>
    </row>
    <row x14ac:dyDescent="0.25" r="6973" customHeight="1" ht="18.75">
      <c r="A6973" s="1" t="s">
        <v>3693</v>
      </c>
      <c r="B6973" s="1" t="s">
        <v>7030</v>
      </c>
      <c r="C6973" s="1" t="s">
        <v>3600</v>
      </c>
      <c r="D6973" s="1" t="s">
        <v>3695</v>
      </c>
      <c r="E6973" s="1" t="s">
        <v>3664</v>
      </c>
      <c r="F6973" s="1" t="s">
        <v>24087</v>
      </c>
      <c r="G6973" s="1" t="s">
        <v>24082</v>
      </c>
      <c r="H6973" s="1" t="s">
        <v>3604</v>
      </c>
      <c r="I6973" s="1" t="s">
        <v>24088</v>
      </c>
      <c r="J6973" s="1" t="s">
        <v>3606</v>
      </c>
      <c r="K6973" s="1" t="s">
        <v>24089</v>
      </c>
      <c r="L6973" s="1"/>
      <c r="M6973" s="1"/>
    </row>
    <row x14ac:dyDescent="0.25" r="6974" customHeight="1" ht="18.75">
      <c r="A6974" s="1" t="s">
        <v>7833</v>
      </c>
      <c r="B6974" s="1" t="s">
        <v>9216</v>
      </c>
      <c r="C6974" s="1" t="s">
        <v>4488</v>
      </c>
      <c r="D6974" s="1" t="s">
        <v>3601</v>
      </c>
      <c r="E6974" s="1" t="s">
        <v>3664</v>
      </c>
      <c r="F6974" s="1" t="s">
        <v>24090</v>
      </c>
      <c r="G6974" s="1" t="s">
        <v>24091</v>
      </c>
      <c r="H6974" s="1" t="s">
        <v>3604</v>
      </c>
      <c r="I6974" s="1" t="s">
        <v>24092</v>
      </c>
      <c r="J6974" s="1" t="s">
        <v>3606</v>
      </c>
      <c r="K6974" s="1" t="s">
        <v>23971</v>
      </c>
      <c r="L6974" s="1"/>
      <c r="M6974" s="1"/>
    </row>
    <row x14ac:dyDescent="0.25" r="6975" customHeight="1" ht="18.75">
      <c r="A6975" s="1" t="s">
        <v>7833</v>
      </c>
      <c r="B6975" s="1" t="s">
        <v>8286</v>
      </c>
      <c r="C6975" s="1" t="s">
        <v>4488</v>
      </c>
      <c r="D6975" s="1" t="s">
        <v>8373</v>
      </c>
      <c r="E6975" s="1" t="s">
        <v>3664</v>
      </c>
      <c r="F6975" s="1" t="s">
        <v>1421</v>
      </c>
      <c r="G6975" s="1" t="s">
        <v>24093</v>
      </c>
      <c r="H6975" s="1" t="s">
        <v>3604</v>
      </c>
      <c r="I6975" s="1" t="s">
        <v>24094</v>
      </c>
      <c r="J6975" s="1" t="s">
        <v>3606</v>
      </c>
      <c r="K6975" s="1" t="s">
        <v>24069</v>
      </c>
      <c r="L6975" s="1"/>
      <c r="M6975" s="1"/>
    </row>
    <row x14ac:dyDescent="0.25" r="6976" customHeight="1" ht="18.75">
      <c r="A6976" s="1" t="s">
        <v>3693</v>
      </c>
      <c r="B6976" s="1" t="s">
        <v>7030</v>
      </c>
      <c r="C6976" s="1" t="s">
        <v>3600</v>
      </c>
      <c r="D6976" s="1" t="s">
        <v>3695</v>
      </c>
      <c r="E6976" s="1" t="s">
        <v>3664</v>
      </c>
      <c r="F6976" s="1" t="s">
        <v>24095</v>
      </c>
      <c r="G6976" s="1" t="s">
        <v>24082</v>
      </c>
      <c r="H6976" s="1" t="s">
        <v>3604</v>
      </c>
      <c r="I6976" s="1" t="s">
        <v>24096</v>
      </c>
      <c r="J6976" s="1" t="s">
        <v>3606</v>
      </c>
      <c r="K6976" s="1" t="s">
        <v>24097</v>
      </c>
      <c r="L6976" s="1"/>
      <c r="M6976" s="1"/>
    </row>
    <row x14ac:dyDescent="0.25" r="6977" customHeight="1" ht="18.75">
      <c r="A6977" s="1" t="s">
        <v>7833</v>
      </c>
      <c r="B6977" s="1" t="s">
        <v>9216</v>
      </c>
      <c r="C6977" s="1" t="s">
        <v>4488</v>
      </c>
      <c r="D6977" s="1" t="s">
        <v>3601</v>
      </c>
      <c r="E6977" s="1" t="s">
        <v>3664</v>
      </c>
      <c r="F6977" s="1" t="s">
        <v>24098</v>
      </c>
      <c r="G6977" s="1" t="s">
        <v>24051</v>
      </c>
      <c r="H6977" s="1" t="s">
        <v>3604</v>
      </c>
      <c r="I6977" s="1" t="s">
        <v>24099</v>
      </c>
      <c r="J6977" s="1" t="s">
        <v>3606</v>
      </c>
      <c r="K6977" s="1" t="s">
        <v>23971</v>
      </c>
      <c r="L6977" s="1"/>
      <c r="M6977" s="1"/>
    </row>
    <row x14ac:dyDescent="0.25" r="6978" customHeight="1" ht="18.75">
      <c r="A6978" s="1" t="s">
        <v>3693</v>
      </c>
      <c r="B6978" s="1" t="s">
        <v>4267</v>
      </c>
      <c r="C6978" s="1" t="s">
        <v>3600</v>
      </c>
      <c r="D6978" s="1" t="s">
        <v>3610</v>
      </c>
      <c r="E6978" s="1" t="s">
        <v>3893</v>
      </c>
      <c r="F6978" s="1" t="s">
        <v>24100</v>
      </c>
      <c r="G6978" s="1" t="s">
        <v>24101</v>
      </c>
      <c r="H6978" s="1" t="s">
        <v>3604</v>
      </c>
      <c r="I6978" s="1" t="s">
        <v>24102</v>
      </c>
      <c r="J6978" s="1" t="s">
        <v>3615</v>
      </c>
      <c r="K6978" s="1" t="s">
        <v>24103</v>
      </c>
      <c r="L6978" s="1"/>
      <c r="M6978" s="1"/>
    </row>
    <row x14ac:dyDescent="0.25" r="6979" customHeight="1" ht="18.75">
      <c r="A6979" s="1" t="s">
        <v>7833</v>
      </c>
      <c r="B6979" s="1" t="s">
        <v>8306</v>
      </c>
      <c r="C6979" s="1" t="s">
        <v>4488</v>
      </c>
      <c r="D6979" s="1" t="s">
        <v>3601</v>
      </c>
      <c r="E6979" s="1" t="s">
        <v>8096</v>
      </c>
      <c r="F6979" s="1" t="s">
        <v>24104</v>
      </c>
      <c r="G6979" s="1" t="s">
        <v>15304</v>
      </c>
      <c r="H6979" s="1" t="s">
        <v>3604</v>
      </c>
      <c r="I6979" s="1" t="s">
        <v>24105</v>
      </c>
      <c r="J6979" s="1" t="s">
        <v>3606</v>
      </c>
      <c r="K6979" s="1" t="s">
        <v>23977</v>
      </c>
      <c r="L6979" s="1"/>
      <c r="M6979" s="1"/>
    </row>
    <row x14ac:dyDescent="0.25" r="6980" customHeight="1" ht="18.75">
      <c r="A6980" s="1" t="s">
        <v>7833</v>
      </c>
      <c r="B6980" s="1" t="s">
        <v>8306</v>
      </c>
      <c r="C6980" s="1" t="s">
        <v>4488</v>
      </c>
      <c r="D6980" s="1" t="s">
        <v>3601</v>
      </c>
      <c r="E6980" s="1" t="s">
        <v>8096</v>
      </c>
      <c r="F6980" s="1" t="s">
        <v>24106</v>
      </c>
      <c r="G6980" s="1" t="s">
        <v>15304</v>
      </c>
      <c r="H6980" s="1" t="s">
        <v>3604</v>
      </c>
      <c r="I6980" s="1" t="s">
        <v>24107</v>
      </c>
      <c r="J6980" s="1" t="s">
        <v>3606</v>
      </c>
      <c r="K6980" s="1" t="s">
        <v>23986</v>
      </c>
      <c r="L6980" s="1"/>
      <c r="M6980" s="1"/>
    </row>
    <row x14ac:dyDescent="0.25" r="6981" customHeight="1" ht="18.75">
      <c r="A6981" s="1" t="s">
        <v>7833</v>
      </c>
      <c r="B6981" s="1" t="s">
        <v>8269</v>
      </c>
      <c r="C6981" s="1" t="s">
        <v>4488</v>
      </c>
      <c r="D6981" s="1" t="s">
        <v>3601</v>
      </c>
      <c r="E6981" s="1" t="s">
        <v>8096</v>
      </c>
      <c r="F6981" s="1" t="s">
        <v>24108</v>
      </c>
      <c r="G6981" s="1" t="s">
        <v>14824</v>
      </c>
      <c r="H6981" s="1" t="s">
        <v>3604</v>
      </c>
      <c r="I6981" s="1" t="s">
        <v>24109</v>
      </c>
      <c r="J6981" s="1" t="s">
        <v>3606</v>
      </c>
      <c r="K6981" s="1" t="s">
        <v>16374</v>
      </c>
      <c r="L6981" s="1"/>
      <c r="M6981" s="1"/>
    </row>
    <row x14ac:dyDescent="0.25" r="6982" customHeight="1" ht="18.75">
      <c r="A6982" s="1" t="s">
        <v>7833</v>
      </c>
      <c r="B6982" s="1" t="s">
        <v>9216</v>
      </c>
      <c r="C6982" s="1" t="s">
        <v>4488</v>
      </c>
      <c r="D6982" s="1" t="s">
        <v>3601</v>
      </c>
      <c r="E6982" s="1" t="s">
        <v>3752</v>
      </c>
      <c r="F6982" s="1" t="s">
        <v>24110</v>
      </c>
      <c r="G6982" s="1" t="s">
        <v>9218</v>
      </c>
      <c r="H6982" s="1" t="s">
        <v>3604</v>
      </c>
      <c r="I6982" s="1" t="s">
        <v>24111</v>
      </c>
      <c r="J6982" s="1" t="s">
        <v>3606</v>
      </c>
      <c r="K6982" s="1" t="s">
        <v>23971</v>
      </c>
      <c r="L6982" s="1"/>
      <c r="M6982" s="1"/>
    </row>
    <row x14ac:dyDescent="0.25" r="6983" customHeight="1" ht="18.75">
      <c r="A6983" s="1" t="s">
        <v>7833</v>
      </c>
      <c r="B6983" s="1" t="s">
        <v>9216</v>
      </c>
      <c r="C6983" s="1" t="s">
        <v>4488</v>
      </c>
      <c r="D6983" s="1" t="s">
        <v>3601</v>
      </c>
      <c r="E6983" s="1" t="s">
        <v>3752</v>
      </c>
      <c r="F6983" s="1" t="s">
        <v>24112</v>
      </c>
      <c r="G6983" s="1" t="s">
        <v>24026</v>
      </c>
      <c r="H6983" s="1" t="s">
        <v>3604</v>
      </c>
      <c r="I6983" s="1" t="s">
        <v>24113</v>
      </c>
      <c r="J6983" s="1" t="s">
        <v>3606</v>
      </c>
      <c r="K6983" s="1" t="s">
        <v>23971</v>
      </c>
      <c r="L6983" s="1"/>
      <c r="M6983" s="1"/>
    </row>
    <row x14ac:dyDescent="0.25" r="6984" customHeight="1" ht="18.75">
      <c r="A6984" s="1" t="s">
        <v>7833</v>
      </c>
      <c r="B6984" s="1" t="s">
        <v>8269</v>
      </c>
      <c r="C6984" s="1" t="s">
        <v>4488</v>
      </c>
      <c r="D6984" s="1" t="s">
        <v>3601</v>
      </c>
      <c r="E6984" s="1" t="s">
        <v>8096</v>
      </c>
      <c r="F6984" s="1" t="s">
        <v>24114</v>
      </c>
      <c r="G6984" s="1" t="s">
        <v>14824</v>
      </c>
      <c r="H6984" s="1" t="s">
        <v>3604</v>
      </c>
      <c r="I6984" s="1" t="s">
        <v>24115</v>
      </c>
      <c r="J6984" s="1" t="s">
        <v>3606</v>
      </c>
      <c r="K6984" s="1" t="s">
        <v>16372</v>
      </c>
      <c r="L6984" s="1"/>
      <c r="M6984" s="1"/>
    </row>
    <row x14ac:dyDescent="0.25" r="6985" customHeight="1" ht="18.75">
      <c r="A6985" s="1" t="s">
        <v>7833</v>
      </c>
      <c r="B6985" s="1" t="s">
        <v>9216</v>
      </c>
      <c r="C6985" s="1" t="s">
        <v>4488</v>
      </c>
      <c r="D6985" s="1" t="s">
        <v>3601</v>
      </c>
      <c r="E6985" s="1" t="s">
        <v>3752</v>
      </c>
      <c r="F6985" s="1" t="s">
        <v>24116</v>
      </c>
      <c r="G6985" s="1" t="s">
        <v>24036</v>
      </c>
      <c r="H6985" s="1" t="s">
        <v>3604</v>
      </c>
      <c r="I6985" s="1" t="s">
        <v>24117</v>
      </c>
      <c r="J6985" s="1" t="s">
        <v>3606</v>
      </c>
      <c r="K6985" s="1" t="s">
        <v>23971</v>
      </c>
      <c r="L6985" s="1"/>
      <c r="M6985" s="1"/>
    </row>
    <row x14ac:dyDescent="0.25" r="6986" customHeight="1" ht="18.75">
      <c r="A6986" s="1" t="s">
        <v>3693</v>
      </c>
      <c r="B6986" s="1" t="s">
        <v>4267</v>
      </c>
      <c r="C6986" s="1" t="s">
        <v>3600</v>
      </c>
      <c r="D6986" s="1" t="s">
        <v>3610</v>
      </c>
      <c r="E6986" s="1" t="s">
        <v>3893</v>
      </c>
      <c r="F6986" s="1" t="s">
        <v>24118</v>
      </c>
      <c r="G6986" s="1" t="s">
        <v>10164</v>
      </c>
      <c r="H6986" s="1" t="s">
        <v>3604</v>
      </c>
      <c r="I6986" s="1" t="s">
        <v>24119</v>
      </c>
      <c r="J6986" s="1" t="s">
        <v>3615</v>
      </c>
      <c r="K6986" s="1" t="s">
        <v>24120</v>
      </c>
      <c r="L6986" s="1"/>
      <c r="M6986" s="1"/>
    </row>
    <row x14ac:dyDescent="0.25" r="6987" customHeight="1" ht="18.75">
      <c r="A6987" s="1" t="s">
        <v>7833</v>
      </c>
      <c r="B6987" s="1" t="s">
        <v>24121</v>
      </c>
      <c r="C6987" s="1" t="s">
        <v>4488</v>
      </c>
      <c r="D6987" s="1" t="s">
        <v>3601</v>
      </c>
      <c r="E6987" s="1" t="s">
        <v>3664</v>
      </c>
      <c r="F6987" s="1" t="s">
        <v>24122</v>
      </c>
      <c r="G6987" s="1" t="s">
        <v>24123</v>
      </c>
      <c r="H6987" s="1" t="s">
        <v>3604</v>
      </c>
      <c r="I6987" s="1" t="s">
        <v>24124</v>
      </c>
      <c r="J6987" s="1" t="s">
        <v>3606</v>
      </c>
      <c r="K6987" s="1" t="s">
        <v>16374</v>
      </c>
      <c r="L6987" s="1"/>
      <c r="M6987" s="1"/>
    </row>
    <row x14ac:dyDescent="0.25" r="6988" customHeight="1" ht="18.75">
      <c r="A6988" s="1" t="s">
        <v>7833</v>
      </c>
      <c r="B6988" s="1" t="s">
        <v>8286</v>
      </c>
      <c r="C6988" s="1" t="s">
        <v>4488</v>
      </c>
      <c r="D6988" s="1" t="s">
        <v>8373</v>
      </c>
      <c r="E6988" s="1" t="s">
        <v>3664</v>
      </c>
      <c r="F6988" s="1" t="s">
        <v>1422</v>
      </c>
      <c r="G6988" s="1" t="s">
        <v>24125</v>
      </c>
      <c r="H6988" s="1" t="s">
        <v>3604</v>
      </c>
      <c r="I6988" s="1" t="s">
        <v>24126</v>
      </c>
      <c r="J6988" s="1" t="s">
        <v>3606</v>
      </c>
      <c r="K6988" s="1" t="s">
        <v>23220</v>
      </c>
      <c r="L6988" s="1"/>
      <c r="M6988" s="1"/>
    </row>
    <row x14ac:dyDescent="0.25" r="6989" customHeight="1" ht="18.75">
      <c r="A6989" s="1" t="s">
        <v>7833</v>
      </c>
      <c r="B6989" s="1" t="s">
        <v>24121</v>
      </c>
      <c r="C6989" s="1" t="s">
        <v>4488</v>
      </c>
      <c r="D6989" s="1" t="s">
        <v>3601</v>
      </c>
      <c r="E6989" s="1" t="s">
        <v>3664</v>
      </c>
      <c r="F6989" s="1" t="s">
        <v>24127</v>
      </c>
      <c r="G6989" s="1" t="s">
        <v>24123</v>
      </c>
      <c r="H6989" s="1" t="s">
        <v>3604</v>
      </c>
      <c r="I6989" s="1" t="s">
        <v>24128</v>
      </c>
      <c r="J6989" s="1" t="s">
        <v>3606</v>
      </c>
      <c r="K6989" s="1" t="s">
        <v>16372</v>
      </c>
      <c r="L6989" s="1"/>
      <c r="M6989" s="1"/>
    </row>
    <row x14ac:dyDescent="0.25" r="6990" customHeight="1" ht="18.75">
      <c r="A6990" s="1" t="s">
        <v>7833</v>
      </c>
      <c r="B6990" s="1" t="s">
        <v>8258</v>
      </c>
      <c r="C6990" s="1" t="s">
        <v>4488</v>
      </c>
      <c r="D6990" s="1" t="s">
        <v>8373</v>
      </c>
      <c r="E6990" s="1" t="s">
        <v>3664</v>
      </c>
      <c r="F6990" s="1" t="s">
        <v>24129</v>
      </c>
      <c r="G6990" s="1" t="s">
        <v>15210</v>
      </c>
      <c r="H6990" s="1" t="s">
        <v>3604</v>
      </c>
      <c r="I6990" s="1" t="s">
        <v>24130</v>
      </c>
      <c r="J6990" s="1" t="s">
        <v>3606</v>
      </c>
      <c r="K6990" s="1" t="s">
        <v>24131</v>
      </c>
      <c r="L6990" s="1"/>
      <c r="M6990" s="1"/>
    </row>
    <row x14ac:dyDescent="0.25" r="6991" customHeight="1" ht="18.75">
      <c r="A6991" s="1" t="s">
        <v>7833</v>
      </c>
      <c r="B6991" s="1" t="s">
        <v>18543</v>
      </c>
      <c r="C6991" s="1" t="s">
        <v>4488</v>
      </c>
      <c r="D6991" s="1" t="s">
        <v>8373</v>
      </c>
      <c r="E6991" s="1" t="s">
        <v>3664</v>
      </c>
      <c r="F6991" s="1" t="s">
        <v>1423</v>
      </c>
      <c r="G6991" s="1" t="s">
        <v>14417</v>
      </c>
      <c r="H6991" s="1" t="s">
        <v>3604</v>
      </c>
      <c r="I6991" s="1" t="s">
        <v>24132</v>
      </c>
      <c r="J6991" s="1" t="s">
        <v>3606</v>
      </c>
      <c r="K6991" s="1" t="s">
        <v>24133</v>
      </c>
      <c r="L6991" s="1"/>
      <c r="M6991" s="1"/>
    </row>
    <row x14ac:dyDescent="0.25" r="6992" customHeight="1" ht="18.75">
      <c r="A6992" s="1" t="s">
        <v>7833</v>
      </c>
      <c r="B6992" s="1" t="s">
        <v>14422</v>
      </c>
      <c r="C6992" s="1" t="s">
        <v>4488</v>
      </c>
      <c r="D6992" s="1" t="s">
        <v>3601</v>
      </c>
      <c r="E6992" s="1" t="s">
        <v>3664</v>
      </c>
      <c r="F6992" s="1" t="s">
        <v>24134</v>
      </c>
      <c r="G6992" s="1" t="s">
        <v>14424</v>
      </c>
      <c r="H6992" s="1" t="s">
        <v>3604</v>
      </c>
      <c r="I6992" s="1" t="s">
        <v>24135</v>
      </c>
      <c r="J6992" s="1" t="s">
        <v>3606</v>
      </c>
      <c r="K6992" s="1" t="s">
        <v>16374</v>
      </c>
      <c r="L6992" s="1"/>
      <c r="M6992" s="1"/>
    </row>
    <row x14ac:dyDescent="0.25" r="6993" customHeight="1" ht="18.75">
      <c r="A6993" s="1" t="s">
        <v>7833</v>
      </c>
      <c r="B6993" s="1" t="s">
        <v>14422</v>
      </c>
      <c r="C6993" s="1" t="s">
        <v>4488</v>
      </c>
      <c r="D6993" s="1" t="s">
        <v>3601</v>
      </c>
      <c r="E6993" s="1" t="s">
        <v>3664</v>
      </c>
      <c r="F6993" s="1" t="s">
        <v>1360</v>
      </c>
      <c r="G6993" s="1" t="s">
        <v>14424</v>
      </c>
      <c r="H6993" s="1" t="s">
        <v>3604</v>
      </c>
      <c r="I6993" s="1" t="s">
        <v>24136</v>
      </c>
      <c r="J6993" s="1" t="s">
        <v>3606</v>
      </c>
      <c r="K6993" s="1" t="s">
        <v>16372</v>
      </c>
      <c r="L6993" s="1"/>
      <c r="M6993" s="1"/>
    </row>
    <row x14ac:dyDescent="0.25" r="6994" customHeight="1" ht="18.75">
      <c r="A6994" s="1" t="s">
        <v>3693</v>
      </c>
      <c r="B6994" s="1" t="s">
        <v>4267</v>
      </c>
      <c r="C6994" s="1" t="s">
        <v>3600</v>
      </c>
      <c r="D6994" s="1" t="s">
        <v>3601</v>
      </c>
      <c r="E6994" s="1" t="s">
        <v>3893</v>
      </c>
      <c r="F6994" s="1" t="s">
        <v>24137</v>
      </c>
      <c r="G6994" s="1" t="s">
        <v>6678</v>
      </c>
      <c r="H6994" s="1" t="s">
        <v>3604</v>
      </c>
      <c r="I6994" s="1" t="s">
        <v>24138</v>
      </c>
      <c r="J6994" s="1" t="s">
        <v>3615</v>
      </c>
      <c r="K6994" s="1" t="s">
        <v>9083</v>
      </c>
      <c r="L6994" s="1"/>
      <c r="M6994" s="1"/>
    </row>
    <row x14ac:dyDescent="0.25" r="6995" customHeight="1" ht="18.75">
      <c r="A6995" s="1" t="s">
        <v>3693</v>
      </c>
      <c r="B6995" s="1" t="s">
        <v>4267</v>
      </c>
      <c r="C6995" s="1" t="s">
        <v>3600</v>
      </c>
      <c r="D6995" s="1" t="s">
        <v>3601</v>
      </c>
      <c r="E6995" s="1" t="s">
        <v>3893</v>
      </c>
      <c r="F6995" s="1" t="s">
        <v>24139</v>
      </c>
      <c r="G6995" s="1" t="s">
        <v>5651</v>
      </c>
      <c r="H6995" s="1" t="s">
        <v>3604</v>
      </c>
      <c r="I6995" s="1" t="s">
        <v>24140</v>
      </c>
      <c r="J6995" s="1" t="s">
        <v>3606</v>
      </c>
      <c r="K6995" s="1" t="s">
        <v>9083</v>
      </c>
      <c r="L6995" s="1"/>
      <c r="M6995" s="1"/>
    </row>
    <row x14ac:dyDescent="0.25" r="6996" customHeight="1" ht="18.75">
      <c r="A6996" s="1" t="s">
        <v>3693</v>
      </c>
      <c r="B6996" s="1" t="s">
        <v>4158</v>
      </c>
      <c r="C6996" s="1" t="s">
        <v>3600</v>
      </c>
      <c r="D6996" s="1" t="s">
        <v>3601</v>
      </c>
      <c r="E6996" s="1" t="s">
        <v>3893</v>
      </c>
      <c r="F6996" s="1" t="s">
        <v>24141</v>
      </c>
      <c r="G6996" s="1" t="s">
        <v>6959</v>
      </c>
      <c r="H6996" s="1" t="s">
        <v>3604</v>
      </c>
      <c r="I6996" s="1" t="s">
        <v>24142</v>
      </c>
      <c r="J6996" s="1" t="s">
        <v>3615</v>
      </c>
      <c r="K6996" s="1" t="s">
        <v>24143</v>
      </c>
      <c r="L6996" s="1"/>
      <c r="M6996" s="1"/>
    </row>
    <row x14ac:dyDescent="0.25" r="6997" customHeight="1" ht="18.75">
      <c r="A6997" s="1" t="s">
        <v>3693</v>
      </c>
      <c r="B6997" s="1" t="s">
        <v>7077</v>
      </c>
      <c r="C6997" s="1" t="s">
        <v>3600</v>
      </c>
      <c r="D6997" s="1" t="s">
        <v>8373</v>
      </c>
      <c r="E6997" s="1" t="s">
        <v>3664</v>
      </c>
      <c r="F6997" s="1" t="s">
        <v>24144</v>
      </c>
      <c r="G6997" s="1" t="s">
        <v>24145</v>
      </c>
      <c r="H6997" s="1" t="s">
        <v>3604</v>
      </c>
      <c r="I6997" s="1" t="s">
        <v>24146</v>
      </c>
      <c r="J6997" s="1" t="s">
        <v>3615</v>
      </c>
      <c r="K6997" s="1" t="s">
        <v>24147</v>
      </c>
      <c r="L6997" s="1"/>
      <c r="M6997" s="1"/>
    </row>
    <row x14ac:dyDescent="0.25" r="6998" customHeight="1" ht="18.75">
      <c r="A6998" s="1" t="s">
        <v>3693</v>
      </c>
      <c r="B6998" s="1" t="s">
        <v>4083</v>
      </c>
      <c r="C6998" s="1" t="s">
        <v>3600</v>
      </c>
      <c r="D6998" s="1" t="s">
        <v>3601</v>
      </c>
      <c r="E6998" s="1" t="s">
        <v>3893</v>
      </c>
      <c r="F6998" s="1" t="s">
        <v>24148</v>
      </c>
      <c r="G6998" s="1" t="s">
        <v>10357</v>
      </c>
      <c r="H6998" s="1" t="s">
        <v>3604</v>
      </c>
      <c r="I6998" s="1" t="s">
        <v>24149</v>
      </c>
      <c r="J6998" s="1" t="s">
        <v>3615</v>
      </c>
      <c r="K6998" s="1" t="s">
        <v>24150</v>
      </c>
      <c r="L6998" s="1"/>
      <c r="M6998" s="1"/>
    </row>
    <row x14ac:dyDescent="0.25" r="6999" customHeight="1" ht="18.75">
      <c r="A6999" s="1" t="s">
        <v>3693</v>
      </c>
      <c r="B6999" s="1" t="s">
        <v>4267</v>
      </c>
      <c r="C6999" s="1" t="s">
        <v>3600</v>
      </c>
      <c r="D6999" s="1" t="s">
        <v>3610</v>
      </c>
      <c r="E6999" s="1" t="s">
        <v>3893</v>
      </c>
      <c r="F6999" s="1" t="s">
        <v>24151</v>
      </c>
      <c r="G6999" s="1" t="s">
        <v>10164</v>
      </c>
      <c r="H6999" s="1" t="s">
        <v>3604</v>
      </c>
      <c r="I6999" s="1" t="s">
        <v>24152</v>
      </c>
      <c r="J6999" s="1" t="s">
        <v>3615</v>
      </c>
      <c r="K6999" s="1" t="s">
        <v>24153</v>
      </c>
      <c r="L6999" s="1"/>
      <c r="M6999" s="1"/>
    </row>
    <row x14ac:dyDescent="0.25" r="7000" customHeight="1" ht="18.75">
      <c r="A7000" s="1" t="s">
        <v>7833</v>
      </c>
      <c r="B7000" s="1" t="s">
        <v>7834</v>
      </c>
      <c r="C7000" s="1" t="s">
        <v>4488</v>
      </c>
      <c r="D7000" s="1" t="s">
        <v>3601</v>
      </c>
      <c r="E7000" s="1" t="s">
        <v>8096</v>
      </c>
      <c r="F7000" s="1" t="s">
        <v>24154</v>
      </c>
      <c r="G7000" s="1" t="s">
        <v>24155</v>
      </c>
      <c r="H7000" s="1" t="s">
        <v>3604</v>
      </c>
      <c r="I7000" s="1" t="s">
        <v>24156</v>
      </c>
      <c r="J7000" s="1" t="s">
        <v>3606</v>
      </c>
      <c r="K7000" s="1" t="s">
        <v>21548</v>
      </c>
      <c r="L7000" s="1"/>
      <c r="M7000" s="1"/>
    </row>
    <row x14ac:dyDescent="0.25" r="7001" customHeight="1" ht="18.75">
      <c r="A7001" s="1" t="s">
        <v>7833</v>
      </c>
      <c r="B7001" s="1" t="s">
        <v>7834</v>
      </c>
      <c r="C7001" s="1" t="s">
        <v>4488</v>
      </c>
      <c r="D7001" s="1" t="s">
        <v>3601</v>
      </c>
      <c r="E7001" s="1" t="s">
        <v>8096</v>
      </c>
      <c r="F7001" s="1" t="s">
        <v>24157</v>
      </c>
      <c r="G7001" s="1" t="s">
        <v>24155</v>
      </c>
      <c r="H7001" s="1" t="s">
        <v>3604</v>
      </c>
      <c r="I7001" s="1" t="s">
        <v>24158</v>
      </c>
      <c r="J7001" s="1" t="s">
        <v>3606</v>
      </c>
      <c r="K7001" s="1" t="s">
        <v>20781</v>
      </c>
      <c r="L7001" s="1"/>
      <c r="M7001" s="1"/>
    </row>
    <row x14ac:dyDescent="0.25" r="7002" customHeight="1" ht="18.75">
      <c r="A7002" s="1" t="s">
        <v>3693</v>
      </c>
      <c r="B7002" s="1" t="s">
        <v>4267</v>
      </c>
      <c r="C7002" s="1" t="s">
        <v>3600</v>
      </c>
      <c r="D7002" s="1" t="s">
        <v>3610</v>
      </c>
      <c r="E7002" s="1" t="s">
        <v>3893</v>
      </c>
      <c r="F7002" s="1" t="s">
        <v>24159</v>
      </c>
      <c r="G7002" s="1" t="s">
        <v>6678</v>
      </c>
      <c r="H7002" s="1" t="s">
        <v>3604</v>
      </c>
      <c r="I7002" s="1" t="s">
        <v>24160</v>
      </c>
      <c r="J7002" s="1" t="s">
        <v>3615</v>
      </c>
      <c r="K7002" s="1" t="s">
        <v>24161</v>
      </c>
      <c r="L7002" s="1"/>
      <c r="M7002" s="1"/>
    </row>
    <row x14ac:dyDescent="0.25" r="7003" customHeight="1" ht="18.75">
      <c r="A7003" s="1" t="s">
        <v>7833</v>
      </c>
      <c r="B7003" s="1" t="s">
        <v>8095</v>
      </c>
      <c r="C7003" s="1" t="s">
        <v>4488</v>
      </c>
      <c r="D7003" s="1" t="s">
        <v>3601</v>
      </c>
      <c r="E7003" s="1" t="s">
        <v>8096</v>
      </c>
      <c r="F7003" s="1" t="s">
        <v>24162</v>
      </c>
      <c r="G7003" s="1" t="s">
        <v>9085</v>
      </c>
      <c r="H7003" s="1" t="s">
        <v>3604</v>
      </c>
      <c r="I7003" s="1" t="s">
        <v>24163</v>
      </c>
      <c r="J7003" s="1" t="s">
        <v>3606</v>
      </c>
      <c r="K7003" s="1" t="s">
        <v>21548</v>
      </c>
      <c r="L7003" s="1"/>
      <c r="M7003" s="1"/>
    </row>
    <row x14ac:dyDescent="0.25" r="7004" customHeight="1" ht="18.75">
      <c r="A7004" s="1" t="s">
        <v>7833</v>
      </c>
      <c r="B7004" s="1" t="s">
        <v>8095</v>
      </c>
      <c r="C7004" s="1" t="s">
        <v>4488</v>
      </c>
      <c r="D7004" s="1" t="s">
        <v>3601</v>
      </c>
      <c r="E7004" s="1" t="s">
        <v>8096</v>
      </c>
      <c r="F7004" s="1" t="s">
        <v>24164</v>
      </c>
      <c r="G7004" s="1" t="s">
        <v>9085</v>
      </c>
      <c r="H7004" s="1" t="s">
        <v>3604</v>
      </c>
      <c r="I7004" s="1" t="s">
        <v>24165</v>
      </c>
      <c r="J7004" s="1" t="s">
        <v>3606</v>
      </c>
      <c r="K7004" s="1" t="s">
        <v>20781</v>
      </c>
      <c r="L7004" s="1"/>
      <c r="M7004" s="1"/>
    </row>
    <row x14ac:dyDescent="0.25" r="7005" customHeight="1" ht="18.75">
      <c r="A7005" s="1" t="s">
        <v>7833</v>
      </c>
      <c r="B7005" s="1" t="s">
        <v>8178</v>
      </c>
      <c r="C7005" s="1" t="s">
        <v>3619</v>
      </c>
      <c r="D7005" s="1" t="s">
        <v>3601</v>
      </c>
      <c r="E7005" s="1" t="s">
        <v>3664</v>
      </c>
      <c r="F7005" s="1" t="s">
        <v>24166</v>
      </c>
      <c r="G7005" s="1" t="s">
        <v>14913</v>
      </c>
      <c r="H7005" s="1" t="s">
        <v>3604</v>
      </c>
      <c r="I7005" s="1" t="s">
        <v>24167</v>
      </c>
      <c r="J7005" s="1" t="s">
        <v>3606</v>
      </c>
      <c r="K7005" s="1" t="s">
        <v>23977</v>
      </c>
      <c r="L7005" s="1"/>
      <c r="M7005" s="1"/>
    </row>
    <row x14ac:dyDescent="0.25" r="7006" customHeight="1" ht="18.75">
      <c r="A7006" s="1" t="s">
        <v>7833</v>
      </c>
      <c r="B7006" s="1" t="s">
        <v>8178</v>
      </c>
      <c r="C7006" s="1" t="s">
        <v>3619</v>
      </c>
      <c r="D7006" s="1" t="s">
        <v>3601</v>
      </c>
      <c r="E7006" s="1" t="s">
        <v>3664</v>
      </c>
      <c r="F7006" s="1" t="s">
        <v>24168</v>
      </c>
      <c r="G7006" s="1" t="s">
        <v>14913</v>
      </c>
      <c r="H7006" s="1" t="s">
        <v>3604</v>
      </c>
      <c r="I7006" s="1" t="s">
        <v>24169</v>
      </c>
      <c r="J7006" s="1" t="s">
        <v>3606</v>
      </c>
      <c r="K7006" s="1" t="s">
        <v>23986</v>
      </c>
      <c r="L7006" s="1"/>
      <c r="M7006" s="1"/>
    </row>
    <row x14ac:dyDescent="0.25" r="7007" customHeight="1" ht="18.75">
      <c r="A7007" s="1" t="s">
        <v>3693</v>
      </c>
      <c r="B7007" s="1" t="s">
        <v>4267</v>
      </c>
      <c r="C7007" s="1" t="s">
        <v>3600</v>
      </c>
      <c r="D7007" s="1" t="s">
        <v>533</v>
      </c>
      <c r="E7007" s="1" t="s">
        <v>3893</v>
      </c>
      <c r="F7007" s="1" t="s">
        <v>24170</v>
      </c>
      <c r="G7007" s="1" t="s">
        <v>6678</v>
      </c>
      <c r="H7007" s="1" t="s">
        <v>3604</v>
      </c>
      <c r="I7007" s="1" t="s">
        <v>24171</v>
      </c>
      <c r="J7007" s="1" t="s">
        <v>3615</v>
      </c>
      <c r="K7007" s="1" t="s">
        <v>24172</v>
      </c>
      <c r="L7007" s="1"/>
      <c r="M7007" s="1"/>
    </row>
    <row x14ac:dyDescent="0.25" r="7008" customHeight="1" ht="18.75">
      <c r="A7008" s="1" t="s">
        <v>3693</v>
      </c>
      <c r="B7008" s="1" t="s">
        <v>7026</v>
      </c>
      <c r="C7008" s="1" t="s">
        <v>3600</v>
      </c>
      <c r="D7008" s="1" t="s">
        <v>533</v>
      </c>
      <c r="E7008" s="1" t="s">
        <v>3664</v>
      </c>
      <c r="F7008" s="1" t="s">
        <v>24173</v>
      </c>
      <c r="G7008" s="1" t="s">
        <v>10382</v>
      </c>
      <c r="H7008" s="1" t="s">
        <v>3604</v>
      </c>
      <c r="I7008" s="1" t="s">
        <v>24174</v>
      </c>
      <c r="J7008" s="1" t="s">
        <v>3615</v>
      </c>
      <c r="K7008" s="1" t="s">
        <v>24175</v>
      </c>
      <c r="L7008" s="1"/>
      <c r="M7008" s="1"/>
    </row>
    <row x14ac:dyDescent="0.25" r="7009" customHeight="1" ht="18.75">
      <c r="A7009" s="1" t="s">
        <v>3693</v>
      </c>
      <c r="B7009" s="1" t="s">
        <v>7030</v>
      </c>
      <c r="C7009" s="1" t="s">
        <v>3600</v>
      </c>
      <c r="D7009" s="1" t="s">
        <v>3601</v>
      </c>
      <c r="E7009" s="1" t="s">
        <v>3664</v>
      </c>
      <c r="F7009" s="1" t="s">
        <v>24176</v>
      </c>
      <c r="G7009" s="1" t="s">
        <v>7035</v>
      </c>
      <c r="H7009" s="1" t="s">
        <v>3604</v>
      </c>
      <c r="I7009" s="1" t="s">
        <v>24177</v>
      </c>
      <c r="J7009" s="1" t="s">
        <v>3615</v>
      </c>
      <c r="K7009" s="1" t="s">
        <v>24178</v>
      </c>
      <c r="L7009" s="1"/>
      <c r="M7009" s="1"/>
    </row>
    <row x14ac:dyDescent="0.25" r="7010" customHeight="1" ht="18.75">
      <c r="A7010" s="1" t="s">
        <v>3693</v>
      </c>
      <c r="B7010" s="1" t="s">
        <v>4192</v>
      </c>
      <c r="C7010" s="1" t="s">
        <v>3600</v>
      </c>
      <c r="D7010" s="1" t="s">
        <v>3601</v>
      </c>
      <c r="E7010" s="1" t="s">
        <v>3893</v>
      </c>
      <c r="F7010" s="1" t="s">
        <v>24179</v>
      </c>
      <c r="G7010" s="1" t="s">
        <v>4349</v>
      </c>
      <c r="H7010" s="1" t="s">
        <v>3604</v>
      </c>
      <c r="I7010" s="1" t="s">
        <v>24180</v>
      </c>
      <c r="J7010" s="1" t="s">
        <v>3615</v>
      </c>
      <c r="K7010" s="1" t="s">
        <v>24181</v>
      </c>
      <c r="L7010" s="1"/>
      <c r="M7010" s="1"/>
    </row>
    <row x14ac:dyDescent="0.25" r="7011" customHeight="1" ht="18.75">
      <c r="A7011" s="1" t="s">
        <v>3693</v>
      </c>
      <c r="B7011" s="1" t="s">
        <v>4148</v>
      </c>
      <c r="C7011" s="1" t="s">
        <v>3600</v>
      </c>
      <c r="D7011" s="1" t="s">
        <v>3601</v>
      </c>
      <c r="E7011" s="1" t="s">
        <v>3664</v>
      </c>
      <c r="F7011" s="1" t="s">
        <v>24182</v>
      </c>
      <c r="G7011" s="1" t="s">
        <v>24183</v>
      </c>
      <c r="H7011" s="1" t="s">
        <v>3604</v>
      </c>
      <c r="I7011" s="1" t="s">
        <v>24184</v>
      </c>
      <c r="J7011" s="1" t="s">
        <v>3615</v>
      </c>
      <c r="K7011" s="1" t="s">
        <v>24185</v>
      </c>
      <c r="L7011" s="1"/>
      <c r="M7011" s="1"/>
    </row>
    <row x14ac:dyDescent="0.25" r="7012" customHeight="1" ht="18.75">
      <c r="A7012" s="1" t="s">
        <v>3693</v>
      </c>
      <c r="B7012" s="1" t="s">
        <v>4332</v>
      </c>
      <c r="C7012" s="1" t="s">
        <v>3600</v>
      </c>
      <c r="D7012" s="1" t="s">
        <v>3601</v>
      </c>
      <c r="E7012" s="1" t="s">
        <v>3664</v>
      </c>
      <c r="F7012" s="1" t="s">
        <v>24186</v>
      </c>
      <c r="G7012" s="1" t="s">
        <v>24187</v>
      </c>
      <c r="H7012" s="1" t="s">
        <v>3604</v>
      </c>
      <c r="I7012" s="1" t="s">
        <v>24188</v>
      </c>
      <c r="J7012" s="1" t="s">
        <v>3615</v>
      </c>
      <c r="K7012" s="1" t="s">
        <v>24189</v>
      </c>
      <c r="L7012" s="1"/>
      <c r="M7012" s="1"/>
    </row>
    <row x14ac:dyDescent="0.25" r="7013" customHeight="1" ht="18.75">
      <c r="A7013" s="1" t="s">
        <v>3693</v>
      </c>
      <c r="B7013" s="1" t="s">
        <v>4267</v>
      </c>
      <c r="C7013" s="1" t="s">
        <v>3600</v>
      </c>
      <c r="D7013" s="1" t="s">
        <v>3601</v>
      </c>
      <c r="E7013" s="1" t="s">
        <v>3664</v>
      </c>
      <c r="F7013" s="1" t="s">
        <v>24190</v>
      </c>
      <c r="G7013" s="1" t="s">
        <v>10498</v>
      </c>
      <c r="H7013" s="1" t="s">
        <v>3604</v>
      </c>
      <c r="I7013" s="1" t="s">
        <v>24191</v>
      </c>
      <c r="J7013" s="1" t="s">
        <v>3615</v>
      </c>
      <c r="K7013" s="1" t="s">
        <v>24192</v>
      </c>
      <c r="L7013" s="1"/>
      <c r="M7013" s="1"/>
    </row>
    <row x14ac:dyDescent="0.25" r="7014" customHeight="1" ht="18.75">
      <c r="A7014" s="1" t="s">
        <v>7833</v>
      </c>
      <c r="B7014" s="1" t="s">
        <v>14256</v>
      </c>
      <c r="C7014" s="1" t="s">
        <v>4488</v>
      </c>
      <c r="D7014" s="1" t="s">
        <v>3610</v>
      </c>
      <c r="E7014" s="1" t="s">
        <v>3981</v>
      </c>
      <c r="F7014" s="1" t="s">
        <v>24193</v>
      </c>
      <c r="G7014" s="1" t="s">
        <v>14828</v>
      </c>
      <c r="H7014" s="1" t="s">
        <v>3604</v>
      </c>
      <c r="I7014" s="1" t="s">
        <v>24194</v>
      </c>
      <c r="J7014" s="1" t="s">
        <v>3606</v>
      </c>
      <c r="K7014" s="1" t="s">
        <v>24195</v>
      </c>
      <c r="L7014" s="1"/>
      <c r="M7014" s="1"/>
    </row>
    <row x14ac:dyDescent="0.25" r="7015" customHeight="1" ht="18.75">
      <c r="A7015" s="1" t="s">
        <v>3693</v>
      </c>
      <c r="B7015" s="1" t="s">
        <v>4237</v>
      </c>
      <c r="C7015" s="1" t="s">
        <v>3600</v>
      </c>
      <c r="D7015" s="1" t="s">
        <v>533</v>
      </c>
      <c r="E7015" s="1" t="s">
        <v>3664</v>
      </c>
      <c r="F7015" s="1" t="s">
        <v>24196</v>
      </c>
      <c r="G7015" s="1" t="s">
        <v>24197</v>
      </c>
      <c r="H7015" s="1" t="s">
        <v>3604</v>
      </c>
      <c r="I7015" s="1" t="s">
        <v>24198</v>
      </c>
      <c r="J7015" s="1" t="s">
        <v>3615</v>
      </c>
      <c r="K7015" s="1" t="s">
        <v>24199</v>
      </c>
      <c r="L7015" s="1"/>
      <c r="M7015" s="1"/>
    </row>
    <row x14ac:dyDescent="0.25" r="7016" customHeight="1" ht="18.75">
      <c r="A7016" s="1" t="s">
        <v>3693</v>
      </c>
      <c r="B7016" s="1" t="s">
        <v>4091</v>
      </c>
      <c r="C7016" s="1" t="s">
        <v>3600</v>
      </c>
      <c r="D7016" s="1" t="s">
        <v>3601</v>
      </c>
      <c r="E7016" s="1" t="s">
        <v>3893</v>
      </c>
      <c r="F7016" s="1" t="s">
        <v>24200</v>
      </c>
      <c r="G7016" s="1" t="s">
        <v>17924</v>
      </c>
      <c r="H7016" s="1" t="s">
        <v>3604</v>
      </c>
      <c r="I7016" s="1" t="s">
        <v>24201</v>
      </c>
      <c r="J7016" s="1" t="s">
        <v>3615</v>
      </c>
      <c r="K7016" s="1" t="s">
        <v>24202</v>
      </c>
      <c r="L7016" s="1"/>
      <c r="M7016" s="1"/>
    </row>
    <row x14ac:dyDescent="0.25" r="7017" customHeight="1" ht="18.75">
      <c r="A7017" s="1" t="s">
        <v>3693</v>
      </c>
      <c r="B7017" s="1" t="s">
        <v>4091</v>
      </c>
      <c r="C7017" s="1" t="s">
        <v>3600</v>
      </c>
      <c r="D7017" s="1" t="s">
        <v>3601</v>
      </c>
      <c r="E7017" s="1" t="s">
        <v>3893</v>
      </c>
      <c r="F7017" s="1" t="s">
        <v>24203</v>
      </c>
      <c r="G7017" s="1" t="s">
        <v>5837</v>
      </c>
      <c r="H7017" s="1" t="s">
        <v>3604</v>
      </c>
      <c r="I7017" s="1" t="s">
        <v>24204</v>
      </c>
      <c r="J7017" s="1" t="s">
        <v>3615</v>
      </c>
      <c r="K7017" s="1" t="s">
        <v>24205</v>
      </c>
      <c r="L7017" s="1"/>
      <c r="M7017" s="1"/>
    </row>
    <row x14ac:dyDescent="0.25" r="7018" customHeight="1" ht="18.75">
      <c r="A7018" s="1" t="s">
        <v>3693</v>
      </c>
      <c r="B7018" s="1" t="s">
        <v>4083</v>
      </c>
      <c r="C7018" s="1" t="s">
        <v>3600</v>
      </c>
      <c r="D7018" s="1" t="s">
        <v>3601</v>
      </c>
      <c r="E7018" s="1" t="s">
        <v>3893</v>
      </c>
      <c r="F7018" s="1" t="s">
        <v>24206</v>
      </c>
      <c r="G7018" s="1" t="s">
        <v>10357</v>
      </c>
      <c r="H7018" s="1" t="s">
        <v>3604</v>
      </c>
      <c r="I7018" s="1" t="s">
        <v>24207</v>
      </c>
      <c r="J7018" s="1" t="s">
        <v>3615</v>
      </c>
      <c r="K7018" s="1" t="s">
        <v>24208</v>
      </c>
      <c r="L7018" s="1"/>
      <c r="M7018" s="1"/>
    </row>
    <row x14ac:dyDescent="0.25" r="7019" customHeight="1" ht="18.75">
      <c r="A7019" s="1" t="s">
        <v>3693</v>
      </c>
      <c r="B7019" s="1" t="s">
        <v>4083</v>
      </c>
      <c r="C7019" s="1" t="s">
        <v>3600</v>
      </c>
      <c r="D7019" s="1" t="s">
        <v>3601</v>
      </c>
      <c r="E7019" s="1" t="s">
        <v>3893</v>
      </c>
      <c r="F7019" s="1" t="s">
        <v>24209</v>
      </c>
      <c r="G7019" s="1" t="s">
        <v>10357</v>
      </c>
      <c r="H7019" s="1" t="s">
        <v>3604</v>
      </c>
      <c r="I7019" s="1" t="s">
        <v>24210</v>
      </c>
      <c r="J7019" s="1" t="s">
        <v>3615</v>
      </c>
      <c r="K7019" s="1" t="s">
        <v>24208</v>
      </c>
      <c r="L7019" s="1"/>
      <c r="M7019" s="1"/>
    </row>
    <row x14ac:dyDescent="0.25" r="7020" customHeight="1" ht="18.75">
      <c r="A7020" s="1" t="s">
        <v>3617</v>
      </c>
      <c r="B7020" s="1" t="s">
        <v>24211</v>
      </c>
      <c r="C7020" s="1" t="s">
        <v>3619</v>
      </c>
      <c r="D7020" s="1" t="s">
        <v>3601</v>
      </c>
      <c r="E7020" s="1" t="s">
        <v>3730</v>
      </c>
      <c r="F7020" s="1" t="s">
        <v>24212</v>
      </c>
      <c r="G7020" s="1" t="s">
        <v>12445</v>
      </c>
      <c r="H7020" s="1" t="s">
        <v>3604</v>
      </c>
      <c r="I7020" s="1" t="s">
        <v>24213</v>
      </c>
      <c r="J7020" s="1" t="s">
        <v>3606</v>
      </c>
      <c r="K7020" s="1" t="s">
        <v>12447</v>
      </c>
      <c r="L7020" s="1"/>
      <c r="M7020" s="1"/>
    </row>
    <row x14ac:dyDescent="0.25" r="7021" customHeight="1" ht="18.75">
      <c r="A7021" s="1" t="s">
        <v>7833</v>
      </c>
      <c r="B7021" s="1" t="s">
        <v>14404</v>
      </c>
      <c r="C7021" s="1" t="s">
        <v>4488</v>
      </c>
      <c r="D7021" s="1" t="s">
        <v>3601</v>
      </c>
      <c r="E7021" s="1" t="s">
        <v>3664</v>
      </c>
      <c r="F7021" s="1" t="s">
        <v>24214</v>
      </c>
      <c r="G7021" s="1" t="s">
        <v>14405</v>
      </c>
      <c r="H7021" s="1" t="s">
        <v>3604</v>
      </c>
      <c r="I7021" s="1" t="s">
        <v>24215</v>
      </c>
      <c r="J7021" s="1" t="s">
        <v>3606</v>
      </c>
      <c r="K7021" s="1" t="s">
        <v>16374</v>
      </c>
      <c r="L7021" s="1"/>
      <c r="M7021" s="1"/>
    </row>
    <row x14ac:dyDescent="0.25" r="7022" customHeight="1" ht="18.75">
      <c r="A7022" s="1" t="s">
        <v>7833</v>
      </c>
      <c r="B7022" s="1" t="s">
        <v>14404</v>
      </c>
      <c r="C7022" s="1" t="s">
        <v>4488</v>
      </c>
      <c r="D7022" s="1" t="s">
        <v>3601</v>
      </c>
      <c r="E7022" s="1" t="s">
        <v>3664</v>
      </c>
      <c r="F7022" s="1" t="s">
        <v>24216</v>
      </c>
      <c r="G7022" s="1" t="s">
        <v>14405</v>
      </c>
      <c r="H7022" s="1" t="s">
        <v>3604</v>
      </c>
      <c r="I7022" s="1" t="s">
        <v>24217</v>
      </c>
      <c r="J7022" s="1" t="s">
        <v>3606</v>
      </c>
      <c r="K7022" s="1" t="s">
        <v>16372</v>
      </c>
      <c r="L7022" s="1"/>
      <c r="M7022" s="1"/>
    </row>
    <row x14ac:dyDescent="0.25" r="7023" customHeight="1" ht="18.75">
      <c r="A7023" s="1" t="s">
        <v>7833</v>
      </c>
      <c r="B7023" s="1" t="s">
        <v>13754</v>
      </c>
      <c r="C7023" s="1" t="s">
        <v>3619</v>
      </c>
      <c r="D7023" s="1" t="s">
        <v>3601</v>
      </c>
      <c r="E7023" s="1" t="s">
        <v>3981</v>
      </c>
      <c r="F7023" s="1" t="s">
        <v>1542</v>
      </c>
      <c r="G7023" s="1" t="s">
        <v>14565</v>
      </c>
      <c r="H7023" s="1" t="s">
        <v>3604</v>
      </c>
      <c r="I7023" s="1" t="s">
        <v>24218</v>
      </c>
      <c r="J7023" s="1" t="s">
        <v>3606</v>
      </c>
      <c r="K7023" s="1" t="s">
        <v>9161</v>
      </c>
      <c r="L7023" s="1"/>
      <c r="M7023" s="1"/>
    </row>
    <row x14ac:dyDescent="0.25" r="7024" customHeight="1" ht="18.75">
      <c r="A7024" s="1" t="s">
        <v>7833</v>
      </c>
      <c r="B7024" s="1" t="s">
        <v>13754</v>
      </c>
      <c r="C7024" s="1" t="s">
        <v>3619</v>
      </c>
      <c r="D7024" s="1" t="s">
        <v>3601</v>
      </c>
      <c r="E7024" s="1" t="s">
        <v>3981</v>
      </c>
      <c r="F7024" s="1" t="s">
        <v>1543</v>
      </c>
      <c r="G7024" s="1" t="s">
        <v>14565</v>
      </c>
      <c r="H7024" s="1" t="s">
        <v>3604</v>
      </c>
      <c r="I7024" s="1" t="s">
        <v>24219</v>
      </c>
      <c r="J7024" s="1" t="s">
        <v>3606</v>
      </c>
      <c r="K7024" s="1" t="s">
        <v>9158</v>
      </c>
      <c r="L7024" s="1"/>
      <c r="M7024" s="1"/>
    </row>
    <row x14ac:dyDescent="0.25" r="7025" customHeight="1" ht="18.75">
      <c r="A7025" s="1" t="s">
        <v>7833</v>
      </c>
      <c r="B7025" s="1" t="s">
        <v>13754</v>
      </c>
      <c r="C7025" s="1" t="s">
        <v>3619</v>
      </c>
      <c r="D7025" s="1" t="s">
        <v>3601</v>
      </c>
      <c r="E7025" s="1" t="s">
        <v>3981</v>
      </c>
      <c r="F7025" s="1" t="s">
        <v>1544</v>
      </c>
      <c r="G7025" s="1" t="s">
        <v>14565</v>
      </c>
      <c r="H7025" s="1" t="s">
        <v>3604</v>
      </c>
      <c r="I7025" s="1" t="s">
        <v>24220</v>
      </c>
      <c r="J7025" s="1" t="s">
        <v>3606</v>
      </c>
      <c r="K7025" s="1" t="s">
        <v>14564</v>
      </c>
      <c r="L7025" s="1"/>
      <c r="M7025" s="1"/>
    </row>
    <row x14ac:dyDescent="0.25" r="7026" customHeight="1" ht="18.75">
      <c r="A7026" s="1" t="s">
        <v>7833</v>
      </c>
      <c r="B7026" s="1" t="s">
        <v>13754</v>
      </c>
      <c r="C7026" s="1" t="s">
        <v>3619</v>
      </c>
      <c r="D7026" s="1" t="s">
        <v>3601</v>
      </c>
      <c r="E7026" s="1" t="s">
        <v>3981</v>
      </c>
      <c r="F7026" s="1" t="s">
        <v>1545</v>
      </c>
      <c r="G7026" s="1" t="s">
        <v>14565</v>
      </c>
      <c r="H7026" s="1" t="s">
        <v>3604</v>
      </c>
      <c r="I7026" s="1" t="s">
        <v>24221</v>
      </c>
      <c r="J7026" s="1" t="s">
        <v>3606</v>
      </c>
      <c r="K7026" s="1" t="s">
        <v>9164</v>
      </c>
      <c r="L7026" s="1"/>
      <c r="M7026" s="1"/>
    </row>
    <row x14ac:dyDescent="0.25" r="7027" customHeight="1" ht="18.75">
      <c r="A7027" s="1" t="s">
        <v>7833</v>
      </c>
      <c r="B7027" s="1" t="s">
        <v>13754</v>
      </c>
      <c r="C7027" s="1" t="s">
        <v>3619</v>
      </c>
      <c r="D7027" s="1" t="s">
        <v>3601</v>
      </c>
      <c r="E7027" s="1" t="s">
        <v>3611</v>
      </c>
      <c r="F7027" s="1" t="s">
        <v>1546</v>
      </c>
      <c r="G7027" s="1" t="s">
        <v>14565</v>
      </c>
      <c r="H7027" s="1" t="s">
        <v>3604</v>
      </c>
      <c r="I7027" s="1" t="s">
        <v>24222</v>
      </c>
      <c r="J7027" s="1" t="s">
        <v>3606</v>
      </c>
      <c r="K7027" s="1" t="s">
        <v>24223</v>
      </c>
      <c r="L7027" s="1"/>
      <c r="M7027" s="1"/>
    </row>
    <row x14ac:dyDescent="0.25" r="7028" customHeight="1" ht="18.75">
      <c r="A7028" s="1" t="s">
        <v>7833</v>
      </c>
      <c r="B7028" s="1" t="s">
        <v>16369</v>
      </c>
      <c r="C7028" s="1" t="s">
        <v>4488</v>
      </c>
      <c r="D7028" s="1" t="s">
        <v>3601</v>
      </c>
      <c r="E7028" s="1" t="s">
        <v>8096</v>
      </c>
      <c r="F7028" s="1" t="s">
        <v>24224</v>
      </c>
      <c r="G7028" s="1" t="s">
        <v>24225</v>
      </c>
      <c r="H7028" s="1" t="s">
        <v>3604</v>
      </c>
      <c r="I7028" s="1" t="s">
        <v>24226</v>
      </c>
      <c r="J7028" s="1" t="s">
        <v>3606</v>
      </c>
      <c r="K7028" s="1" t="s">
        <v>23977</v>
      </c>
      <c r="L7028" s="1"/>
      <c r="M7028" s="1"/>
    </row>
    <row x14ac:dyDescent="0.25" r="7029" customHeight="1" ht="18.75">
      <c r="A7029" s="1" t="s">
        <v>7833</v>
      </c>
      <c r="B7029" s="1" t="s">
        <v>16369</v>
      </c>
      <c r="C7029" s="1" t="s">
        <v>4488</v>
      </c>
      <c r="D7029" s="1" t="s">
        <v>3601</v>
      </c>
      <c r="E7029" s="1" t="s">
        <v>8096</v>
      </c>
      <c r="F7029" s="1" t="s">
        <v>24227</v>
      </c>
      <c r="G7029" s="1" t="s">
        <v>24225</v>
      </c>
      <c r="H7029" s="1" t="s">
        <v>3604</v>
      </c>
      <c r="I7029" s="1" t="s">
        <v>24228</v>
      </c>
      <c r="J7029" s="1" t="s">
        <v>3606</v>
      </c>
      <c r="K7029" s="1" t="s">
        <v>23986</v>
      </c>
      <c r="L7029" s="1"/>
      <c r="M7029" s="1"/>
    </row>
    <row x14ac:dyDescent="0.25" r="7030" customHeight="1" ht="18.75">
      <c r="A7030" s="1" t="s">
        <v>7833</v>
      </c>
      <c r="B7030" s="1" t="s">
        <v>16385</v>
      </c>
      <c r="C7030" s="1" t="s">
        <v>4488</v>
      </c>
      <c r="D7030" s="1" t="s">
        <v>3601</v>
      </c>
      <c r="E7030" s="1" t="s">
        <v>3664</v>
      </c>
      <c r="F7030" s="1" t="s">
        <v>24229</v>
      </c>
      <c r="G7030" s="1" t="s">
        <v>16386</v>
      </c>
      <c r="H7030" s="1" t="s">
        <v>3604</v>
      </c>
      <c r="I7030" s="1" t="s">
        <v>24230</v>
      </c>
      <c r="J7030" s="1" t="s">
        <v>3606</v>
      </c>
      <c r="K7030" s="1" t="s">
        <v>24231</v>
      </c>
      <c r="L7030" s="1"/>
      <c r="M7030" s="1"/>
    </row>
    <row x14ac:dyDescent="0.25" r="7031" customHeight="1" ht="18.75">
      <c r="A7031" s="1" t="s">
        <v>7833</v>
      </c>
      <c r="B7031" s="1" t="s">
        <v>16385</v>
      </c>
      <c r="C7031" s="1" t="s">
        <v>4488</v>
      </c>
      <c r="D7031" s="1" t="s">
        <v>3601</v>
      </c>
      <c r="E7031" s="1" t="s">
        <v>3664</v>
      </c>
      <c r="F7031" s="1" t="s">
        <v>24232</v>
      </c>
      <c r="G7031" s="1" t="s">
        <v>16386</v>
      </c>
      <c r="H7031" s="1" t="s">
        <v>3604</v>
      </c>
      <c r="I7031" s="1" t="s">
        <v>24233</v>
      </c>
      <c r="J7031" s="1" t="s">
        <v>3606</v>
      </c>
      <c r="K7031" s="1" t="s">
        <v>24234</v>
      </c>
      <c r="L7031" s="1"/>
      <c r="M7031" s="1"/>
    </row>
    <row x14ac:dyDescent="0.25" r="7032" customHeight="1" ht="18.75">
      <c r="A7032" s="1" t="s">
        <v>7833</v>
      </c>
      <c r="B7032" s="1" t="s">
        <v>13754</v>
      </c>
      <c r="C7032" s="1" t="s">
        <v>3619</v>
      </c>
      <c r="D7032" s="1" t="s">
        <v>3601</v>
      </c>
      <c r="E7032" s="1" t="s">
        <v>3611</v>
      </c>
      <c r="F7032" s="1" t="s">
        <v>1547</v>
      </c>
      <c r="G7032" s="1" t="s">
        <v>14565</v>
      </c>
      <c r="H7032" s="1" t="s">
        <v>3604</v>
      </c>
      <c r="I7032" s="1" t="s">
        <v>24235</v>
      </c>
      <c r="J7032" s="1" t="s">
        <v>3606</v>
      </c>
      <c r="K7032" s="1" t="s">
        <v>24236</v>
      </c>
      <c r="L7032" s="1"/>
      <c r="M7032" s="1"/>
    </row>
    <row x14ac:dyDescent="0.25" r="7033" customHeight="1" ht="18.75">
      <c r="A7033" s="1" t="s">
        <v>7833</v>
      </c>
      <c r="B7033" s="1" t="s">
        <v>15046</v>
      </c>
      <c r="C7033" s="1" t="s">
        <v>4488</v>
      </c>
      <c r="D7033" s="1" t="s">
        <v>3601</v>
      </c>
      <c r="E7033" s="1" t="s">
        <v>3664</v>
      </c>
      <c r="F7033" s="1" t="s">
        <v>24237</v>
      </c>
      <c r="G7033" s="1" t="s">
        <v>15047</v>
      </c>
      <c r="H7033" s="1" t="s">
        <v>3604</v>
      </c>
      <c r="I7033" s="1" t="s">
        <v>24238</v>
      </c>
      <c r="J7033" s="1" t="s">
        <v>3606</v>
      </c>
      <c r="K7033" s="1" t="s">
        <v>23977</v>
      </c>
      <c r="L7033" s="1"/>
      <c r="M7033" s="1"/>
    </row>
    <row x14ac:dyDescent="0.25" r="7034" customHeight="1" ht="18.75">
      <c r="A7034" s="1" t="s">
        <v>7833</v>
      </c>
      <c r="B7034" s="1" t="s">
        <v>15046</v>
      </c>
      <c r="C7034" s="1" t="s">
        <v>4488</v>
      </c>
      <c r="D7034" s="1" t="s">
        <v>3601</v>
      </c>
      <c r="E7034" s="1" t="s">
        <v>3664</v>
      </c>
      <c r="F7034" s="1" t="s">
        <v>24239</v>
      </c>
      <c r="G7034" s="1" t="s">
        <v>15047</v>
      </c>
      <c r="H7034" s="1" t="s">
        <v>3604</v>
      </c>
      <c r="I7034" s="1" t="s">
        <v>24240</v>
      </c>
      <c r="J7034" s="1" t="s">
        <v>3606</v>
      </c>
      <c r="K7034" s="1" t="s">
        <v>23986</v>
      </c>
      <c r="L7034" s="1"/>
      <c r="M7034" s="1"/>
    </row>
    <row x14ac:dyDescent="0.25" r="7035" customHeight="1" ht="18.75">
      <c r="A7035" s="1" t="s">
        <v>7833</v>
      </c>
      <c r="B7035" s="1" t="s">
        <v>16489</v>
      </c>
      <c r="C7035" s="1" t="s">
        <v>4488</v>
      </c>
      <c r="D7035" s="1" t="s">
        <v>3601</v>
      </c>
      <c r="E7035" s="1" t="s">
        <v>3664</v>
      </c>
      <c r="F7035" s="1" t="s">
        <v>24241</v>
      </c>
      <c r="G7035" s="1" t="s">
        <v>16490</v>
      </c>
      <c r="H7035" s="1" t="s">
        <v>3604</v>
      </c>
      <c r="I7035" s="1" t="s">
        <v>24242</v>
      </c>
      <c r="J7035" s="1" t="s">
        <v>3606</v>
      </c>
      <c r="K7035" s="1" t="s">
        <v>16374</v>
      </c>
      <c r="L7035" s="1"/>
      <c r="M7035" s="1"/>
    </row>
    <row x14ac:dyDescent="0.25" r="7036" customHeight="1" ht="18.75">
      <c r="A7036" s="1" t="s">
        <v>7833</v>
      </c>
      <c r="B7036" s="1" t="s">
        <v>13754</v>
      </c>
      <c r="C7036" s="1" t="s">
        <v>3619</v>
      </c>
      <c r="D7036" s="1" t="s">
        <v>3601</v>
      </c>
      <c r="E7036" s="1" t="s">
        <v>3981</v>
      </c>
      <c r="F7036" s="1" t="s">
        <v>1548</v>
      </c>
      <c r="G7036" s="1" t="s">
        <v>14565</v>
      </c>
      <c r="H7036" s="1" t="s">
        <v>3604</v>
      </c>
      <c r="I7036" s="1" t="s">
        <v>24243</v>
      </c>
      <c r="J7036" s="1" t="s">
        <v>3606</v>
      </c>
      <c r="K7036" s="1" t="s">
        <v>24244</v>
      </c>
      <c r="L7036" s="1"/>
      <c r="M7036" s="1"/>
    </row>
    <row x14ac:dyDescent="0.25" r="7037" customHeight="1" ht="18.75">
      <c r="A7037" s="1" t="s">
        <v>7833</v>
      </c>
      <c r="B7037" s="1" t="s">
        <v>16489</v>
      </c>
      <c r="C7037" s="1" t="s">
        <v>4488</v>
      </c>
      <c r="D7037" s="1" t="s">
        <v>3601</v>
      </c>
      <c r="E7037" s="1" t="s">
        <v>3664</v>
      </c>
      <c r="F7037" s="1" t="s">
        <v>24245</v>
      </c>
      <c r="G7037" s="1" t="s">
        <v>16490</v>
      </c>
      <c r="H7037" s="1" t="s">
        <v>3604</v>
      </c>
      <c r="I7037" s="1" t="s">
        <v>24246</v>
      </c>
      <c r="J7037" s="1" t="s">
        <v>3606</v>
      </c>
      <c r="K7037" s="1" t="s">
        <v>16372</v>
      </c>
      <c r="L7037" s="1"/>
      <c r="M7037" s="1"/>
    </row>
    <row x14ac:dyDescent="0.25" r="7038" customHeight="1" ht="18.75">
      <c r="A7038" s="1" t="s">
        <v>7833</v>
      </c>
      <c r="B7038" s="1" t="s">
        <v>13754</v>
      </c>
      <c r="C7038" s="1" t="s">
        <v>3619</v>
      </c>
      <c r="D7038" s="1" t="s">
        <v>3601</v>
      </c>
      <c r="E7038" s="1" t="s">
        <v>3981</v>
      </c>
      <c r="F7038" s="1" t="s">
        <v>1549</v>
      </c>
      <c r="G7038" s="1" t="s">
        <v>14565</v>
      </c>
      <c r="H7038" s="1" t="s">
        <v>3604</v>
      </c>
      <c r="I7038" s="1" t="s">
        <v>24247</v>
      </c>
      <c r="J7038" s="1" t="s">
        <v>3606</v>
      </c>
      <c r="K7038" s="1" t="s">
        <v>23977</v>
      </c>
      <c r="L7038" s="1"/>
      <c r="M7038" s="1"/>
    </row>
    <row x14ac:dyDescent="0.25" r="7039" customHeight="1" ht="18.75">
      <c r="A7039" s="1" t="s">
        <v>7833</v>
      </c>
      <c r="B7039" s="1" t="s">
        <v>13754</v>
      </c>
      <c r="C7039" s="1" t="s">
        <v>3619</v>
      </c>
      <c r="D7039" s="1" t="s">
        <v>3601</v>
      </c>
      <c r="E7039" s="1" t="s">
        <v>3981</v>
      </c>
      <c r="F7039" s="1" t="s">
        <v>1550</v>
      </c>
      <c r="G7039" s="1" t="s">
        <v>14565</v>
      </c>
      <c r="H7039" s="1" t="s">
        <v>3604</v>
      </c>
      <c r="I7039" s="1" t="s">
        <v>24248</v>
      </c>
      <c r="J7039" s="1" t="s">
        <v>3606</v>
      </c>
      <c r="K7039" s="1" t="s">
        <v>23986</v>
      </c>
      <c r="L7039" s="1"/>
      <c r="M7039" s="1"/>
    </row>
    <row x14ac:dyDescent="0.25" r="7040" customHeight="1" ht="18.75">
      <c r="A7040" s="1" t="s">
        <v>3617</v>
      </c>
      <c r="B7040" s="1" t="s">
        <v>12386</v>
      </c>
      <c r="C7040" s="1" t="s">
        <v>3619</v>
      </c>
      <c r="D7040" s="1" t="s">
        <v>3601</v>
      </c>
      <c r="E7040" s="1" t="s">
        <v>3664</v>
      </c>
      <c r="F7040" s="1" t="s">
        <v>24249</v>
      </c>
      <c r="G7040" s="1" t="s">
        <v>12383</v>
      </c>
      <c r="H7040" s="1" t="s">
        <v>3604</v>
      </c>
      <c r="I7040" s="1" t="s">
        <v>24250</v>
      </c>
      <c r="J7040" s="1" t="s">
        <v>3606</v>
      </c>
      <c r="K7040" s="1" t="s">
        <v>12447</v>
      </c>
      <c r="L7040" s="1"/>
      <c r="M7040" s="1"/>
    </row>
    <row x14ac:dyDescent="0.25" r="7041" customHeight="1" ht="18.75">
      <c r="A7041" s="1" t="s">
        <v>7833</v>
      </c>
      <c r="B7041" s="1" t="s">
        <v>14256</v>
      </c>
      <c r="C7041" s="1" t="s">
        <v>4488</v>
      </c>
      <c r="D7041" s="1" t="s">
        <v>3601</v>
      </c>
      <c r="E7041" s="1" t="s">
        <v>3664</v>
      </c>
      <c r="F7041" s="1" t="s">
        <v>24251</v>
      </c>
      <c r="G7041" s="1" t="s">
        <v>14258</v>
      </c>
      <c r="H7041" s="1" t="s">
        <v>3604</v>
      </c>
      <c r="I7041" s="1" t="s">
        <v>24252</v>
      </c>
      <c r="J7041" s="1" t="s">
        <v>3606</v>
      </c>
      <c r="K7041" s="1" t="s">
        <v>16374</v>
      </c>
      <c r="L7041" s="1"/>
      <c r="M7041" s="1"/>
    </row>
    <row x14ac:dyDescent="0.25" r="7042" customHeight="1" ht="18.75">
      <c r="A7042" s="1" t="s">
        <v>7833</v>
      </c>
      <c r="B7042" s="1" t="s">
        <v>14256</v>
      </c>
      <c r="C7042" s="1" t="s">
        <v>4488</v>
      </c>
      <c r="D7042" s="1" t="s">
        <v>3601</v>
      </c>
      <c r="E7042" s="1" t="s">
        <v>3664</v>
      </c>
      <c r="F7042" s="1" t="s">
        <v>24253</v>
      </c>
      <c r="G7042" s="1" t="s">
        <v>14258</v>
      </c>
      <c r="H7042" s="1" t="s">
        <v>3604</v>
      </c>
      <c r="I7042" s="1" t="s">
        <v>24254</v>
      </c>
      <c r="J7042" s="1" t="s">
        <v>3606</v>
      </c>
      <c r="K7042" s="1" t="s">
        <v>16372</v>
      </c>
      <c r="L7042" s="1"/>
      <c r="M7042" s="1"/>
    </row>
    <row x14ac:dyDescent="0.25" r="7043" customHeight="1" ht="18.75">
      <c r="A7043" s="1" t="s">
        <v>3617</v>
      </c>
      <c r="B7043" s="1" t="s">
        <v>4477</v>
      </c>
      <c r="C7043" s="1" t="s">
        <v>3619</v>
      </c>
      <c r="D7043" s="1" t="s">
        <v>3601</v>
      </c>
      <c r="E7043" s="1" t="s">
        <v>4478</v>
      </c>
      <c r="F7043" s="1" t="s">
        <v>24255</v>
      </c>
      <c r="G7043" s="1" t="s">
        <v>10744</v>
      </c>
      <c r="H7043" s="1" t="s">
        <v>3604</v>
      </c>
      <c r="I7043" s="1" t="s">
        <v>24256</v>
      </c>
      <c r="J7043" s="1" t="s">
        <v>3606</v>
      </c>
      <c r="K7043" s="1" t="s">
        <v>24257</v>
      </c>
      <c r="L7043" s="1"/>
      <c r="M7043" s="1"/>
    </row>
    <row x14ac:dyDescent="0.25" r="7044" customHeight="1" ht="18.75">
      <c r="A7044" s="1" t="s">
        <v>7833</v>
      </c>
      <c r="B7044" s="1" t="s">
        <v>24258</v>
      </c>
      <c r="C7044" s="1" t="s">
        <v>4488</v>
      </c>
      <c r="D7044" s="1" t="s">
        <v>3601</v>
      </c>
      <c r="E7044" s="1" t="s">
        <v>3664</v>
      </c>
      <c r="F7044" s="1" t="s">
        <v>1464</v>
      </c>
      <c r="G7044" s="1" t="s">
        <v>24259</v>
      </c>
      <c r="H7044" s="1" t="s">
        <v>3604</v>
      </c>
      <c r="I7044" s="1" t="s">
        <v>24260</v>
      </c>
      <c r="J7044" s="1" t="s">
        <v>3606</v>
      </c>
      <c r="K7044" s="1" t="s">
        <v>24261</v>
      </c>
      <c r="L7044" s="1"/>
      <c r="M7044" s="1"/>
    </row>
    <row x14ac:dyDescent="0.25" r="7045" customHeight="1" ht="18.75">
      <c r="A7045" s="1" t="s">
        <v>3617</v>
      </c>
      <c r="B7045" s="1" t="s">
        <v>4477</v>
      </c>
      <c r="C7045" s="1" t="s">
        <v>3619</v>
      </c>
      <c r="D7045" s="1" t="s">
        <v>3601</v>
      </c>
      <c r="E7045" s="1" t="s">
        <v>4478</v>
      </c>
      <c r="F7045" s="1" t="s">
        <v>24262</v>
      </c>
      <c r="G7045" s="1" t="s">
        <v>10744</v>
      </c>
      <c r="H7045" s="1" t="s">
        <v>3604</v>
      </c>
      <c r="I7045" s="1" t="s">
        <v>24263</v>
      </c>
      <c r="J7045" s="1" t="s">
        <v>3606</v>
      </c>
      <c r="K7045" s="1" t="s">
        <v>24264</v>
      </c>
      <c r="L7045" s="1"/>
      <c r="M7045" s="1"/>
    </row>
    <row x14ac:dyDescent="0.25" r="7046" customHeight="1" ht="18.75">
      <c r="A7046" s="1" t="s">
        <v>7833</v>
      </c>
      <c r="B7046" s="1" t="s">
        <v>7834</v>
      </c>
      <c r="C7046" s="1" t="s">
        <v>4488</v>
      </c>
      <c r="D7046" s="1" t="s">
        <v>3601</v>
      </c>
      <c r="E7046" s="1" t="s">
        <v>8096</v>
      </c>
      <c r="F7046" s="1" t="s">
        <v>24265</v>
      </c>
      <c r="G7046" s="1" t="s">
        <v>24155</v>
      </c>
      <c r="H7046" s="1" t="s">
        <v>3604</v>
      </c>
      <c r="I7046" s="1" t="s">
        <v>24266</v>
      </c>
      <c r="J7046" s="1" t="s">
        <v>3606</v>
      </c>
      <c r="K7046" s="1" t="s">
        <v>16372</v>
      </c>
      <c r="L7046" s="1"/>
      <c r="M7046" s="1"/>
    </row>
    <row x14ac:dyDescent="0.25" r="7047" customHeight="1" ht="18.75">
      <c r="A7047" s="1" t="s">
        <v>7833</v>
      </c>
      <c r="B7047" s="1" t="s">
        <v>24258</v>
      </c>
      <c r="C7047" s="1" t="s">
        <v>4488</v>
      </c>
      <c r="D7047" s="1" t="s">
        <v>3601</v>
      </c>
      <c r="E7047" s="1" t="s">
        <v>3664</v>
      </c>
      <c r="F7047" s="1" t="s">
        <v>1465</v>
      </c>
      <c r="G7047" s="1" t="s">
        <v>24267</v>
      </c>
      <c r="H7047" s="1" t="s">
        <v>3604</v>
      </c>
      <c r="I7047" s="1" t="s">
        <v>24268</v>
      </c>
      <c r="J7047" s="1" t="s">
        <v>3606</v>
      </c>
      <c r="K7047" s="1" t="s">
        <v>24269</v>
      </c>
      <c r="L7047" s="1"/>
      <c r="M7047" s="1"/>
    </row>
    <row x14ac:dyDescent="0.25" r="7048" customHeight="1" ht="18.75">
      <c r="A7048" s="1" t="s">
        <v>7833</v>
      </c>
      <c r="B7048" s="1" t="s">
        <v>24270</v>
      </c>
      <c r="C7048" s="1" t="s">
        <v>4488</v>
      </c>
      <c r="D7048" s="1" t="s">
        <v>3601</v>
      </c>
      <c r="E7048" s="1" t="s">
        <v>3664</v>
      </c>
      <c r="F7048" s="1" t="s">
        <v>1551</v>
      </c>
      <c r="G7048" s="1" t="s">
        <v>24271</v>
      </c>
      <c r="H7048" s="1" t="s">
        <v>3604</v>
      </c>
      <c r="I7048" s="1" t="s">
        <v>24272</v>
      </c>
      <c r="J7048" s="1" t="s">
        <v>3606</v>
      </c>
      <c r="K7048" s="1" t="s">
        <v>16374</v>
      </c>
      <c r="L7048" s="1"/>
      <c r="M7048" s="1"/>
    </row>
    <row x14ac:dyDescent="0.25" r="7049" customHeight="1" ht="18.75">
      <c r="A7049" s="1" t="s">
        <v>3617</v>
      </c>
      <c r="B7049" s="1" t="s">
        <v>4477</v>
      </c>
      <c r="C7049" s="1" t="s">
        <v>3619</v>
      </c>
      <c r="D7049" s="1" t="s">
        <v>3601</v>
      </c>
      <c r="E7049" s="1" t="s">
        <v>4478</v>
      </c>
      <c r="F7049" s="1" t="s">
        <v>24273</v>
      </c>
      <c r="G7049" s="1" t="s">
        <v>10744</v>
      </c>
      <c r="H7049" s="1" t="s">
        <v>3604</v>
      </c>
      <c r="I7049" s="1" t="s">
        <v>24274</v>
      </c>
      <c r="J7049" s="1" t="s">
        <v>3606</v>
      </c>
      <c r="K7049" s="1" t="s">
        <v>24275</v>
      </c>
      <c r="L7049" s="1"/>
      <c r="M7049" s="1"/>
    </row>
    <row x14ac:dyDescent="0.25" r="7050" customHeight="1" ht="18.75">
      <c r="A7050" s="1" t="s">
        <v>3617</v>
      </c>
      <c r="B7050" s="1" t="s">
        <v>4477</v>
      </c>
      <c r="C7050" s="1" t="s">
        <v>3619</v>
      </c>
      <c r="D7050" s="1" t="s">
        <v>3601</v>
      </c>
      <c r="E7050" s="1" t="s">
        <v>4478</v>
      </c>
      <c r="F7050" s="1" t="s">
        <v>24276</v>
      </c>
      <c r="G7050" s="1" t="s">
        <v>10744</v>
      </c>
      <c r="H7050" s="1" t="s">
        <v>3604</v>
      </c>
      <c r="I7050" s="1" t="s">
        <v>24277</v>
      </c>
      <c r="J7050" s="1" t="s">
        <v>3606</v>
      </c>
      <c r="K7050" s="1" t="s">
        <v>24278</v>
      </c>
      <c r="L7050" s="1"/>
      <c r="M7050" s="1"/>
    </row>
    <row x14ac:dyDescent="0.25" r="7051" customHeight="1" ht="18.75">
      <c r="A7051" s="1" t="s">
        <v>7833</v>
      </c>
      <c r="B7051" s="1" t="s">
        <v>24258</v>
      </c>
      <c r="C7051" s="1" t="s">
        <v>4488</v>
      </c>
      <c r="D7051" s="1" t="s">
        <v>3601</v>
      </c>
      <c r="E7051" s="1" t="s">
        <v>3664</v>
      </c>
      <c r="F7051" s="1" t="s">
        <v>1466</v>
      </c>
      <c r="G7051" s="1" t="s">
        <v>24279</v>
      </c>
      <c r="H7051" s="1" t="s">
        <v>3604</v>
      </c>
      <c r="I7051" s="1" t="s">
        <v>24280</v>
      </c>
      <c r="J7051" s="1" t="s">
        <v>3606</v>
      </c>
      <c r="K7051" s="1" t="s">
        <v>24281</v>
      </c>
      <c r="L7051" s="1"/>
      <c r="M7051" s="1"/>
    </row>
    <row x14ac:dyDescent="0.25" r="7052" customHeight="1" ht="18.75">
      <c r="A7052" s="1" t="s">
        <v>7833</v>
      </c>
      <c r="B7052" s="1" t="s">
        <v>24258</v>
      </c>
      <c r="C7052" s="1" t="s">
        <v>4488</v>
      </c>
      <c r="D7052" s="1" t="s">
        <v>3601</v>
      </c>
      <c r="E7052" s="1" t="s">
        <v>3664</v>
      </c>
      <c r="F7052" s="1" t="s">
        <v>1467</v>
      </c>
      <c r="G7052" s="1" t="s">
        <v>24282</v>
      </c>
      <c r="H7052" s="1" t="s">
        <v>3604</v>
      </c>
      <c r="I7052" s="1" t="s">
        <v>24283</v>
      </c>
      <c r="J7052" s="1" t="s">
        <v>3606</v>
      </c>
      <c r="K7052" s="1" t="s">
        <v>24284</v>
      </c>
      <c r="L7052" s="1"/>
      <c r="M7052" s="1"/>
    </row>
    <row x14ac:dyDescent="0.25" r="7053" customHeight="1" ht="18.75">
      <c r="A7053" s="1" t="s">
        <v>7833</v>
      </c>
      <c r="B7053" s="1" t="s">
        <v>24270</v>
      </c>
      <c r="C7053" s="1" t="s">
        <v>4488</v>
      </c>
      <c r="D7053" s="1" t="s">
        <v>3601</v>
      </c>
      <c r="E7053" s="1" t="s">
        <v>3664</v>
      </c>
      <c r="F7053" s="1" t="s">
        <v>1552</v>
      </c>
      <c r="G7053" s="1" t="s">
        <v>24271</v>
      </c>
      <c r="H7053" s="1" t="s">
        <v>3604</v>
      </c>
      <c r="I7053" s="1" t="s">
        <v>24285</v>
      </c>
      <c r="J7053" s="1" t="s">
        <v>3606</v>
      </c>
      <c r="K7053" s="1" t="s">
        <v>16378</v>
      </c>
      <c r="L7053" s="1"/>
      <c r="M7053" s="1"/>
    </row>
    <row x14ac:dyDescent="0.25" r="7054" customHeight="1" ht="18.75">
      <c r="A7054" s="1" t="s">
        <v>3617</v>
      </c>
      <c r="B7054" s="1" t="s">
        <v>4477</v>
      </c>
      <c r="C7054" s="1" t="s">
        <v>3619</v>
      </c>
      <c r="D7054" s="1" t="s">
        <v>3601</v>
      </c>
      <c r="E7054" s="1" t="s">
        <v>4478</v>
      </c>
      <c r="F7054" s="1" t="s">
        <v>24286</v>
      </c>
      <c r="G7054" s="1" t="s">
        <v>10744</v>
      </c>
      <c r="H7054" s="1" t="s">
        <v>3604</v>
      </c>
      <c r="I7054" s="1" t="s">
        <v>24287</v>
      </c>
      <c r="J7054" s="1" t="s">
        <v>3606</v>
      </c>
      <c r="K7054" s="1" t="s">
        <v>24288</v>
      </c>
      <c r="L7054" s="1"/>
      <c r="M7054" s="1"/>
    </row>
    <row x14ac:dyDescent="0.25" r="7055" customHeight="1" ht="18.75">
      <c r="A7055" s="1" t="s">
        <v>3617</v>
      </c>
      <c r="B7055" s="1" t="s">
        <v>4477</v>
      </c>
      <c r="C7055" s="1" t="s">
        <v>3619</v>
      </c>
      <c r="D7055" s="1" t="s">
        <v>3601</v>
      </c>
      <c r="E7055" s="1" t="s">
        <v>4478</v>
      </c>
      <c r="F7055" s="1" t="s">
        <v>24289</v>
      </c>
      <c r="G7055" s="1" t="s">
        <v>10744</v>
      </c>
      <c r="H7055" s="1" t="s">
        <v>3604</v>
      </c>
      <c r="I7055" s="1" t="s">
        <v>24290</v>
      </c>
      <c r="J7055" s="1" t="s">
        <v>3606</v>
      </c>
      <c r="K7055" s="1" t="s">
        <v>24291</v>
      </c>
      <c r="L7055" s="1"/>
      <c r="M7055" s="1"/>
    </row>
    <row x14ac:dyDescent="0.25" r="7056" customHeight="1" ht="18.75">
      <c r="A7056" s="1" t="s">
        <v>7833</v>
      </c>
      <c r="B7056" s="1" t="s">
        <v>24258</v>
      </c>
      <c r="C7056" s="1" t="s">
        <v>4488</v>
      </c>
      <c r="D7056" s="1" t="s">
        <v>3601</v>
      </c>
      <c r="E7056" s="1" t="s">
        <v>3664</v>
      </c>
      <c r="F7056" s="1" t="s">
        <v>1468</v>
      </c>
      <c r="G7056" s="1" t="s">
        <v>24259</v>
      </c>
      <c r="H7056" s="1" t="s">
        <v>3604</v>
      </c>
      <c r="I7056" s="1" t="s">
        <v>24292</v>
      </c>
      <c r="J7056" s="1" t="s">
        <v>3606</v>
      </c>
      <c r="K7056" s="1" t="s">
        <v>24293</v>
      </c>
      <c r="L7056" s="1"/>
      <c r="M7056" s="1"/>
    </row>
    <row x14ac:dyDescent="0.25" r="7057" customHeight="1" ht="18.75">
      <c r="A7057" s="1" t="s">
        <v>3617</v>
      </c>
      <c r="B7057" s="1" t="s">
        <v>4477</v>
      </c>
      <c r="C7057" s="1" t="s">
        <v>3619</v>
      </c>
      <c r="D7057" s="1" t="s">
        <v>3601</v>
      </c>
      <c r="E7057" s="1" t="s">
        <v>4478</v>
      </c>
      <c r="F7057" s="1" t="s">
        <v>24294</v>
      </c>
      <c r="G7057" s="1" t="s">
        <v>10744</v>
      </c>
      <c r="H7057" s="1" t="s">
        <v>3604</v>
      </c>
      <c r="I7057" s="1" t="s">
        <v>24295</v>
      </c>
      <c r="J7057" s="1" t="s">
        <v>3606</v>
      </c>
      <c r="K7057" s="1" t="s">
        <v>24296</v>
      </c>
      <c r="L7057" s="1"/>
      <c r="M7057" s="1"/>
    </row>
    <row x14ac:dyDescent="0.25" r="7058" customHeight="1" ht="18.75">
      <c r="A7058" s="1" t="s">
        <v>3617</v>
      </c>
      <c r="B7058" s="1" t="s">
        <v>4477</v>
      </c>
      <c r="C7058" s="1" t="s">
        <v>3619</v>
      </c>
      <c r="D7058" s="1" t="s">
        <v>3601</v>
      </c>
      <c r="E7058" s="1" t="s">
        <v>4478</v>
      </c>
      <c r="F7058" s="1" t="s">
        <v>24297</v>
      </c>
      <c r="G7058" s="1" t="s">
        <v>10744</v>
      </c>
      <c r="H7058" s="1" t="s">
        <v>3604</v>
      </c>
      <c r="I7058" s="1" t="s">
        <v>24298</v>
      </c>
      <c r="J7058" s="1" t="s">
        <v>3606</v>
      </c>
      <c r="K7058" s="1" t="s">
        <v>24299</v>
      </c>
      <c r="L7058" s="1"/>
      <c r="M7058" s="1"/>
    </row>
    <row x14ac:dyDescent="0.25" r="7059" customHeight="1" ht="18.75">
      <c r="A7059" s="1" t="s">
        <v>7833</v>
      </c>
      <c r="B7059" s="1" t="s">
        <v>13754</v>
      </c>
      <c r="C7059" s="1" t="s">
        <v>3619</v>
      </c>
      <c r="D7059" s="1" t="s">
        <v>3601</v>
      </c>
      <c r="E7059" s="1" t="s">
        <v>3981</v>
      </c>
      <c r="F7059" s="1" t="s">
        <v>1469</v>
      </c>
      <c r="G7059" s="1" t="s">
        <v>24300</v>
      </c>
      <c r="H7059" s="1" t="s">
        <v>3604</v>
      </c>
      <c r="I7059" s="1" t="s">
        <v>24301</v>
      </c>
      <c r="J7059" s="1" t="s">
        <v>3606</v>
      </c>
      <c r="K7059" s="1" t="s">
        <v>24261</v>
      </c>
      <c r="L7059" s="1"/>
      <c r="M7059" s="1"/>
    </row>
    <row x14ac:dyDescent="0.25" r="7060" customHeight="1" ht="18.75">
      <c r="A7060" s="1" t="s">
        <v>3617</v>
      </c>
      <c r="B7060" s="1" t="s">
        <v>4477</v>
      </c>
      <c r="C7060" s="1" t="s">
        <v>3619</v>
      </c>
      <c r="D7060" s="1" t="s">
        <v>3601</v>
      </c>
      <c r="E7060" s="1" t="s">
        <v>4478</v>
      </c>
      <c r="F7060" s="1" t="s">
        <v>24302</v>
      </c>
      <c r="G7060" s="1" t="s">
        <v>10744</v>
      </c>
      <c r="H7060" s="1" t="s">
        <v>3604</v>
      </c>
      <c r="I7060" s="1" t="s">
        <v>24303</v>
      </c>
      <c r="J7060" s="1" t="s">
        <v>3606</v>
      </c>
      <c r="K7060" s="1" t="s">
        <v>24304</v>
      </c>
      <c r="L7060" s="1"/>
      <c r="M7060" s="1"/>
    </row>
    <row x14ac:dyDescent="0.25" r="7061" customHeight="1" ht="18.75">
      <c r="A7061" s="1" t="s">
        <v>7833</v>
      </c>
      <c r="B7061" s="1" t="s">
        <v>24305</v>
      </c>
      <c r="C7061" s="1" t="s">
        <v>4488</v>
      </c>
      <c r="D7061" s="1" t="s">
        <v>3601</v>
      </c>
      <c r="E7061" s="1" t="s">
        <v>3664</v>
      </c>
      <c r="F7061" s="1" t="s">
        <v>24306</v>
      </c>
      <c r="G7061" s="1" t="s">
        <v>24307</v>
      </c>
      <c r="H7061" s="1" t="s">
        <v>3604</v>
      </c>
      <c r="I7061" s="1" t="s">
        <v>24308</v>
      </c>
      <c r="J7061" s="1" t="s">
        <v>3606</v>
      </c>
      <c r="K7061" s="1" t="s">
        <v>16372</v>
      </c>
      <c r="L7061" s="1"/>
      <c r="M7061" s="1"/>
    </row>
    <row x14ac:dyDescent="0.25" r="7062" customHeight="1" ht="18.75">
      <c r="A7062" s="1" t="s">
        <v>7833</v>
      </c>
      <c r="B7062" s="1" t="s">
        <v>13754</v>
      </c>
      <c r="C7062" s="1" t="s">
        <v>3619</v>
      </c>
      <c r="D7062" s="1" t="s">
        <v>3601</v>
      </c>
      <c r="E7062" s="1" t="s">
        <v>3981</v>
      </c>
      <c r="F7062" s="1" t="s">
        <v>1470</v>
      </c>
      <c r="G7062" s="1" t="s">
        <v>24300</v>
      </c>
      <c r="H7062" s="1" t="s">
        <v>3604</v>
      </c>
      <c r="I7062" s="1" t="s">
        <v>24309</v>
      </c>
      <c r="J7062" s="1" t="s">
        <v>3606</v>
      </c>
      <c r="K7062" s="1" t="s">
        <v>24310</v>
      </c>
      <c r="L7062" s="1"/>
      <c r="M7062" s="1"/>
    </row>
    <row x14ac:dyDescent="0.25" r="7063" customHeight="1" ht="18.75">
      <c r="A7063" s="1" t="s">
        <v>3617</v>
      </c>
      <c r="B7063" s="1" t="s">
        <v>4477</v>
      </c>
      <c r="C7063" s="1" t="s">
        <v>3619</v>
      </c>
      <c r="D7063" s="1" t="s">
        <v>3601</v>
      </c>
      <c r="E7063" s="1" t="s">
        <v>4478</v>
      </c>
      <c r="F7063" s="1" t="s">
        <v>24311</v>
      </c>
      <c r="G7063" s="1" t="s">
        <v>10744</v>
      </c>
      <c r="H7063" s="1" t="s">
        <v>3604</v>
      </c>
      <c r="I7063" s="1" t="s">
        <v>24312</v>
      </c>
      <c r="J7063" s="1" t="s">
        <v>3606</v>
      </c>
      <c r="K7063" s="1" t="s">
        <v>24313</v>
      </c>
      <c r="L7063" s="1"/>
      <c r="M7063" s="1"/>
    </row>
    <row x14ac:dyDescent="0.25" r="7064" customHeight="1" ht="18.75">
      <c r="A7064" s="1" t="s">
        <v>7833</v>
      </c>
      <c r="B7064" s="1" t="s">
        <v>13754</v>
      </c>
      <c r="C7064" s="1" t="s">
        <v>3619</v>
      </c>
      <c r="D7064" s="1" t="s">
        <v>3601</v>
      </c>
      <c r="E7064" s="1" t="s">
        <v>3981</v>
      </c>
      <c r="F7064" s="1" t="s">
        <v>1471</v>
      </c>
      <c r="G7064" s="1" t="s">
        <v>14614</v>
      </c>
      <c r="H7064" s="1" t="s">
        <v>3604</v>
      </c>
      <c r="I7064" s="1" t="s">
        <v>24314</v>
      </c>
      <c r="J7064" s="1" t="s">
        <v>3606</v>
      </c>
      <c r="K7064" s="1" t="s">
        <v>24315</v>
      </c>
      <c r="L7064" s="1"/>
      <c r="M7064" s="1"/>
    </row>
    <row x14ac:dyDescent="0.25" r="7065" customHeight="1" ht="18.75">
      <c r="A7065" s="1" t="s">
        <v>7833</v>
      </c>
      <c r="B7065" s="1" t="s">
        <v>8291</v>
      </c>
      <c r="C7065" s="1" t="s">
        <v>4488</v>
      </c>
      <c r="D7065" s="1" t="s">
        <v>3601</v>
      </c>
      <c r="E7065" s="1" t="s">
        <v>8096</v>
      </c>
      <c r="F7065" s="1" t="s">
        <v>1553</v>
      </c>
      <c r="G7065" s="1" t="s">
        <v>8299</v>
      </c>
      <c r="H7065" s="1" t="s">
        <v>3604</v>
      </c>
      <c r="I7065" s="1" t="s">
        <v>24316</v>
      </c>
      <c r="J7065" s="1" t="s">
        <v>3606</v>
      </c>
      <c r="K7065" s="1" t="s">
        <v>24317</v>
      </c>
      <c r="L7065" s="1"/>
      <c r="M7065" s="1"/>
    </row>
    <row x14ac:dyDescent="0.25" r="7066" customHeight="1" ht="18.75">
      <c r="A7066" s="1" t="s">
        <v>7833</v>
      </c>
      <c r="B7066" s="1" t="s">
        <v>14256</v>
      </c>
      <c r="C7066" s="1" t="s">
        <v>4488</v>
      </c>
      <c r="D7066" s="1" t="s">
        <v>3601</v>
      </c>
      <c r="E7066" s="1" t="s">
        <v>3664</v>
      </c>
      <c r="F7066" s="1" t="s">
        <v>1554</v>
      </c>
      <c r="G7066" s="1" t="s">
        <v>14258</v>
      </c>
      <c r="H7066" s="1" t="s">
        <v>3604</v>
      </c>
      <c r="I7066" s="1" t="s">
        <v>24318</v>
      </c>
      <c r="J7066" s="1" t="s">
        <v>3606</v>
      </c>
      <c r="K7066" s="1" t="s">
        <v>16378</v>
      </c>
      <c r="L7066" s="1"/>
      <c r="M7066" s="1"/>
    </row>
    <row x14ac:dyDescent="0.25" r="7067" customHeight="1" ht="18.75">
      <c r="A7067" s="1" t="s">
        <v>7833</v>
      </c>
      <c r="B7067" s="1" t="s">
        <v>13754</v>
      </c>
      <c r="C7067" s="1" t="s">
        <v>3619</v>
      </c>
      <c r="D7067" s="1" t="s">
        <v>3601</v>
      </c>
      <c r="E7067" s="1" t="s">
        <v>3981</v>
      </c>
      <c r="F7067" s="1" t="s">
        <v>1472</v>
      </c>
      <c r="G7067" s="1" t="s">
        <v>14624</v>
      </c>
      <c r="H7067" s="1" t="s">
        <v>3604</v>
      </c>
      <c r="I7067" s="1" t="s">
        <v>24319</v>
      </c>
      <c r="J7067" s="1" t="s">
        <v>3606</v>
      </c>
      <c r="K7067" s="1" t="s">
        <v>24320</v>
      </c>
      <c r="L7067" s="1"/>
      <c r="M7067" s="1"/>
    </row>
    <row x14ac:dyDescent="0.25" r="7068" customHeight="1" ht="18.75">
      <c r="A7068" s="1" t="s">
        <v>7833</v>
      </c>
      <c r="B7068" s="1" t="s">
        <v>13754</v>
      </c>
      <c r="C7068" s="1" t="s">
        <v>3619</v>
      </c>
      <c r="D7068" s="1" t="s">
        <v>3601</v>
      </c>
      <c r="E7068" s="1" t="s">
        <v>3981</v>
      </c>
      <c r="F7068" s="1" t="s">
        <v>1473</v>
      </c>
      <c r="G7068" s="1" t="s">
        <v>24321</v>
      </c>
      <c r="H7068" s="1" t="s">
        <v>3604</v>
      </c>
      <c r="I7068" s="1" t="s">
        <v>24322</v>
      </c>
      <c r="J7068" s="1" t="s">
        <v>3606</v>
      </c>
      <c r="K7068" s="1" t="s">
        <v>24323</v>
      </c>
      <c r="L7068" s="1"/>
      <c r="M7068" s="1"/>
    </row>
    <row x14ac:dyDescent="0.25" r="7069" customHeight="1" ht="18.75">
      <c r="A7069" s="1" t="s">
        <v>7833</v>
      </c>
      <c r="B7069" s="1" t="s">
        <v>13754</v>
      </c>
      <c r="C7069" s="1" t="s">
        <v>3619</v>
      </c>
      <c r="D7069" s="1" t="s">
        <v>3601</v>
      </c>
      <c r="E7069" s="1" t="s">
        <v>3981</v>
      </c>
      <c r="F7069" s="1" t="s">
        <v>1474</v>
      </c>
      <c r="G7069" s="1" t="s">
        <v>14650</v>
      </c>
      <c r="H7069" s="1" t="s">
        <v>3604</v>
      </c>
      <c r="I7069" s="1" t="s">
        <v>24324</v>
      </c>
      <c r="J7069" s="1" t="s">
        <v>3606</v>
      </c>
      <c r="K7069" s="1" t="s">
        <v>24325</v>
      </c>
      <c r="L7069" s="1"/>
      <c r="M7069" s="1"/>
    </row>
    <row x14ac:dyDescent="0.25" r="7070" customHeight="1" ht="18.75">
      <c r="A7070" s="1" t="s">
        <v>7833</v>
      </c>
      <c r="B7070" s="1" t="s">
        <v>14422</v>
      </c>
      <c r="C7070" s="1" t="s">
        <v>4488</v>
      </c>
      <c r="D7070" s="1" t="s">
        <v>3601</v>
      </c>
      <c r="E7070" s="1" t="s">
        <v>3664</v>
      </c>
      <c r="F7070" s="1" t="s">
        <v>24326</v>
      </c>
      <c r="G7070" s="1" t="s">
        <v>14424</v>
      </c>
      <c r="H7070" s="1" t="s">
        <v>3604</v>
      </c>
      <c r="I7070" s="1" t="s">
        <v>24327</v>
      </c>
      <c r="J7070" s="1" t="s">
        <v>3606</v>
      </c>
      <c r="K7070" s="1" t="s">
        <v>16378</v>
      </c>
      <c r="L7070" s="1"/>
      <c r="M7070" s="1"/>
    </row>
    <row x14ac:dyDescent="0.25" r="7071" customHeight="1" ht="18.75">
      <c r="A7071" s="1" t="s">
        <v>7833</v>
      </c>
      <c r="B7071" s="1" t="s">
        <v>14422</v>
      </c>
      <c r="C7071" s="1" t="s">
        <v>4488</v>
      </c>
      <c r="D7071" s="1" t="s">
        <v>3601</v>
      </c>
      <c r="E7071" s="1" t="s">
        <v>3664</v>
      </c>
      <c r="F7071" s="1" t="s">
        <v>24328</v>
      </c>
      <c r="G7071" s="1" t="s">
        <v>14424</v>
      </c>
      <c r="H7071" s="1" t="s">
        <v>3604</v>
      </c>
      <c r="I7071" s="1" t="s">
        <v>24329</v>
      </c>
      <c r="J7071" s="1" t="s">
        <v>3606</v>
      </c>
      <c r="K7071" s="1" t="s">
        <v>16380</v>
      </c>
      <c r="L7071" s="1"/>
      <c r="M7071" s="1"/>
    </row>
    <row x14ac:dyDescent="0.25" r="7072" customHeight="1" ht="18.75">
      <c r="A7072" s="1" t="s">
        <v>7833</v>
      </c>
      <c r="B7072" s="1" t="s">
        <v>13754</v>
      </c>
      <c r="C7072" s="1" t="s">
        <v>3619</v>
      </c>
      <c r="D7072" s="1" t="s">
        <v>3601</v>
      </c>
      <c r="E7072" s="1" t="s">
        <v>3981</v>
      </c>
      <c r="F7072" s="1" t="s">
        <v>1475</v>
      </c>
      <c r="G7072" s="1" t="s">
        <v>14659</v>
      </c>
      <c r="H7072" s="1" t="s">
        <v>3604</v>
      </c>
      <c r="I7072" s="1" t="s">
        <v>24330</v>
      </c>
      <c r="J7072" s="1" t="s">
        <v>3606</v>
      </c>
      <c r="K7072" s="1" t="s">
        <v>24331</v>
      </c>
      <c r="L7072" s="1"/>
      <c r="M7072" s="1"/>
    </row>
    <row x14ac:dyDescent="0.25" r="7073" customHeight="1" ht="18.75">
      <c r="A7073" s="1" t="s">
        <v>7833</v>
      </c>
      <c r="B7073" s="1" t="s">
        <v>13754</v>
      </c>
      <c r="C7073" s="1" t="s">
        <v>3619</v>
      </c>
      <c r="D7073" s="1" t="s">
        <v>3601</v>
      </c>
      <c r="E7073" s="1" t="s">
        <v>3981</v>
      </c>
      <c r="F7073" s="1" t="s">
        <v>1476</v>
      </c>
      <c r="G7073" s="1" t="s">
        <v>24332</v>
      </c>
      <c r="H7073" s="1" t="s">
        <v>3604</v>
      </c>
      <c r="I7073" s="1" t="s">
        <v>24333</v>
      </c>
      <c r="J7073" s="1" t="s">
        <v>3606</v>
      </c>
      <c r="K7073" s="1" t="s">
        <v>24334</v>
      </c>
      <c r="L7073" s="1"/>
      <c r="M7073" s="1"/>
    </row>
    <row x14ac:dyDescent="0.25" r="7074" customHeight="1" ht="18.75">
      <c r="A7074" s="1" t="s">
        <v>7833</v>
      </c>
      <c r="B7074" s="1" t="s">
        <v>7856</v>
      </c>
      <c r="C7074" s="1" t="s">
        <v>4488</v>
      </c>
      <c r="D7074" s="1" t="s">
        <v>3601</v>
      </c>
      <c r="E7074" s="1" t="s">
        <v>3664</v>
      </c>
      <c r="F7074" s="1" t="s">
        <v>24335</v>
      </c>
      <c r="G7074" s="1" t="s">
        <v>7858</v>
      </c>
      <c r="H7074" s="1" t="s">
        <v>3604</v>
      </c>
      <c r="I7074" s="1" t="s">
        <v>24336</v>
      </c>
      <c r="J7074" s="1" t="s">
        <v>3606</v>
      </c>
      <c r="K7074" s="1" t="s">
        <v>16378</v>
      </c>
      <c r="L7074" s="1"/>
      <c r="M7074" s="1"/>
    </row>
    <row x14ac:dyDescent="0.25" r="7075" customHeight="1" ht="18.75">
      <c r="A7075" s="1" t="s">
        <v>7833</v>
      </c>
      <c r="B7075" s="1" t="s">
        <v>13754</v>
      </c>
      <c r="C7075" s="1" t="s">
        <v>3619</v>
      </c>
      <c r="D7075" s="1" t="s">
        <v>3601</v>
      </c>
      <c r="E7075" s="1" t="s">
        <v>3981</v>
      </c>
      <c r="F7075" s="1" t="s">
        <v>1477</v>
      </c>
      <c r="G7075" s="1" t="s">
        <v>24337</v>
      </c>
      <c r="H7075" s="1" t="s">
        <v>3604</v>
      </c>
      <c r="I7075" s="1" t="s">
        <v>24338</v>
      </c>
      <c r="J7075" s="1" t="s">
        <v>3606</v>
      </c>
      <c r="K7075" s="1" t="s">
        <v>24339</v>
      </c>
      <c r="L7075" s="1"/>
      <c r="M7075" s="1"/>
    </row>
    <row x14ac:dyDescent="0.25" r="7076" customHeight="1" ht="18.75">
      <c r="A7076" s="1" t="s">
        <v>7833</v>
      </c>
      <c r="B7076" s="1" t="s">
        <v>7856</v>
      </c>
      <c r="C7076" s="1" t="s">
        <v>4488</v>
      </c>
      <c r="D7076" s="1" t="s">
        <v>3601</v>
      </c>
      <c r="E7076" s="1" t="s">
        <v>3664</v>
      </c>
      <c r="F7076" s="1" t="s">
        <v>24340</v>
      </c>
      <c r="G7076" s="1" t="s">
        <v>7858</v>
      </c>
      <c r="H7076" s="1" t="s">
        <v>3604</v>
      </c>
      <c r="I7076" s="1" t="s">
        <v>24341</v>
      </c>
      <c r="J7076" s="1" t="s">
        <v>3606</v>
      </c>
      <c r="K7076" s="1" t="s">
        <v>16380</v>
      </c>
      <c r="L7076" s="1"/>
      <c r="M7076" s="1"/>
    </row>
    <row x14ac:dyDescent="0.25" r="7077" customHeight="1" ht="18.75">
      <c r="A7077" s="1" t="s">
        <v>7833</v>
      </c>
      <c r="B7077" s="1" t="s">
        <v>13754</v>
      </c>
      <c r="C7077" s="1" t="s">
        <v>3619</v>
      </c>
      <c r="D7077" s="1" t="s">
        <v>3601</v>
      </c>
      <c r="E7077" s="1" t="s">
        <v>3981</v>
      </c>
      <c r="F7077" s="1" t="s">
        <v>1478</v>
      </c>
      <c r="G7077" s="1" t="s">
        <v>24342</v>
      </c>
      <c r="H7077" s="1" t="s">
        <v>3604</v>
      </c>
      <c r="I7077" s="1" t="s">
        <v>24343</v>
      </c>
      <c r="J7077" s="1" t="s">
        <v>3606</v>
      </c>
      <c r="K7077" s="1" t="s">
        <v>24344</v>
      </c>
      <c r="L7077" s="1"/>
      <c r="M7077" s="1"/>
    </row>
    <row x14ac:dyDescent="0.25" r="7078" customHeight="1" ht="18.75">
      <c r="A7078" s="1" t="s">
        <v>7833</v>
      </c>
      <c r="B7078" s="1" t="s">
        <v>13754</v>
      </c>
      <c r="C7078" s="1" t="s">
        <v>3619</v>
      </c>
      <c r="D7078" s="1" t="s">
        <v>3601</v>
      </c>
      <c r="E7078" s="1" t="s">
        <v>3981</v>
      </c>
      <c r="F7078" s="1" t="s">
        <v>1479</v>
      </c>
      <c r="G7078" s="1" t="s">
        <v>14652</v>
      </c>
      <c r="H7078" s="1" t="s">
        <v>3604</v>
      </c>
      <c r="I7078" s="1" t="s">
        <v>24345</v>
      </c>
      <c r="J7078" s="1" t="s">
        <v>3606</v>
      </c>
      <c r="K7078" s="1" t="s">
        <v>24346</v>
      </c>
      <c r="L7078" s="1"/>
      <c r="M7078" s="1"/>
    </row>
    <row x14ac:dyDescent="0.25" r="7079" customHeight="1" ht="18.75">
      <c r="A7079" s="1" t="s">
        <v>7833</v>
      </c>
      <c r="B7079" s="1" t="s">
        <v>13754</v>
      </c>
      <c r="C7079" s="1" t="s">
        <v>3619</v>
      </c>
      <c r="D7079" s="1" t="s">
        <v>3601</v>
      </c>
      <c r="E7079" s="1" t="s">
        <v>3981</v>
      </c>
      <c r="F7079" s="1" t="s">
        <v>1480</v>
      </c>
      <c r="G7079" s="1" t="s">
        <v>13756</v>
      </c>
      <c r="H7079" s="1" t="s">
        <v>3604</v>
      </c>
      <c r="I7079" s="1" t="s">
        <v>24347</v>
      </c>
      <c r="J7079" s="1" t="s">
        <v>3606</v>
      </c>
      <c r="K7079" s="1" t="s">
        <v>24348</v>
      </c>
      <c r="L7079" s="1"/>
      <c r="M7079" s="1"/>
    </row>
    <row x14ac:dyDescent="0.25" r="7080" customHeight="1" ht="18.75">
      <c r="A7080" s="1" t="s">
        <v>7833</v>
      </c>
      <c r="B7080" s="1" t="s">
        <v>9121</v>
      </c>
      <c r="C7080" s="1" t="s">
        <v>4488</v>
      </c>
      <c r="D7080" s="1" t="s">
        <v>3601</v>
      </c>
      <c r="E7080" s="1" t="s">
        <v>3664</v>
      </c>
      <c r="F7080" s="1" t="s">
        <v>1556</v>
      </c>
      <c r="G7080" s="1" t="s">
        <v>9189</v>
      </c>
      <c r="H7080" s="1" t="s">
        <v>3604</v>
      </c>
      <c r="I7080" s="1" t="s">
        <v>24349</v>
      </c>
      <c r="J7080" s="1" t="s">
        <v>3606</v>
      </c>
      <c r="K7080" s="1" t="s">
        <v>16378</v>
      </c>
      <c r="L7080" s="1"/>
      <c r="M7080" s="1"/>
    </row>
    <row x14ac:dyDescent="0.25" r="7081" customHeight="1" ht="18.75">
      <c r="A7081" s="1" t="s">
        <v>7833</v>
      </c>
      <c r="B7081" s="1" t="s">
        <v>13754</v>
      </c>
      <c r="C7081" s="1" t="s">
        <v>3619</v>
      </c>
      <c r="D7081" s="1" t="s">
        <v>3601</v>
      </c>
      <c r="E7081" s="1" t="s">
        <v>3981</v>
      </c>
      <c r="F7081" s="1" t="s">
        <v>1481</v>
      </c>
      <c r="G7081" s="1" t="s">
        <v>24300</v>
      </c>
      <c r="H7081" s="1" t="s">
        <v>3604</v>
      </c>
      <c r="I7081" s="1" t="s">
        <v>24350</v>
      </c>
      <c r="J7081" s="1" t="s">
        <v>3606</v>
      </c>
      <c r="K7081" s="1" t="s">
        <v>24351</v>
      </c>
      <c r="L7081" s="1"/>
      <c r="M7081" s="1"/>
    </row>
    <row x14ac:dyDescent="0.25" r="7082" customHeight="1" ht="18.75">
      <c r="A7082" s="1" t="s">
        <v>7833</v>
      </c>
      <c r="B7082" s="1" t="s">
        <v>8291</v>
      </c>
      <c r="C7082" s="1" t="s">
        <v>4488</v>
      </c>
      <c r="D7082" s="1" t="s">
        <v>3601</v>
      </c>
      <c r="E7082" s="1" t="s">
        <v>8096</v>
      </c>
      <c r="F7082" s="1" t="s">
        <v>24352</v>
      </c>
      <c r="G7082" s="1" t="s">
        <v>8299</v>
      </c>
      <c r="H7082" s="1" t="s">
        <v>3604</v>
      </c>
      <c r="I7082" s="1" t="s">
        <v>24353</v>
      </c>
      <c r="J7082" s="1" t="s">
        <v>3606</v>
      </c>
      <c r="K7082" s="1" t="s">
        <v>16378</v>
      </c>
      <c r="L7082" s="1"/>
      <c r="M7082" s="1"/>
    </row>
    <row x14ac:dyDescent="0.25" r="7083" customHeight="1" ht="18.75">
      <c r="A7083" s="1" t="s">
        <v>3617</v>
      </c>
      <c r="B7083" s="1" t="s">
        <v>3729</v>
      </c>
      <c r="C7083" s="1" t="s">
        <v>3619</v>
      </c>
      <c r="D7083" s="1" t="s">
        <v>3601</v>
      </c>
      <c r="E7083" s="1" t="s">
        <v>4478</v>
      </c>
      <c r="F7083" s="1" t="s">
        <v>24354</v>
      </c>
      <c r="G7083" s="1" t="s">
        <v>24355</v>
      </c>
      <c r="H7083" s="1" t="s">
        <v>3604</v>
      </c>
      <c r="I7083" s="1" t="s">
        <v>24356</v>
      </c>
      <c r="J7083" s="1" t="s">
        <v>3606</v>
      </c>
      <c r="K7083" s="1" t="s">
        <v>24357</v>
      </c>
      <c r="L7083" s="1"/>
      <c r="M7083" s="1"/>
    </row>
    <row x14ac:dyDescent="0.25" r="7084" customHeight="1" ht="18.75">
      <c r="A7084" s="1" t="s">
        <v>7833</v>
      </c>
      <c r="B7084" s="1" t="s">
        <v>8291</v>
      </c>
      <c r="C7084" s="1" t="s">
        <v>4488</v>
      </c>
      <c r="D7084" s="1" t="s">
        <v>3601</v>
      </c>
      <c r="E7084" s="1" t="s">
        <v>8096</v>
      </c>
      <c r="F7084" s="1" t="s">
        <v>24358</v>
      </c>
      <c r="G7084" s="1" t="s">
        <v>8299</v>
      </c>
      <c r="H7084" s="1" t="s">
        <v>3604</v>
      </c>
      <c r="I7084" s="1" t="s">
        <v>24359</v>
      </c>
      <c r="J7084" s="1" t="s">
        <v>3606</v>
      </c>
      <c r="K7084" s="1" t="s">
        <v>16380</v>
      </c>
      <c r="L7084" s="1"/>
      <c r="M7084" s="1"/>
    </row>
    <row x14ac:dyDescent="0.25" r="7085" customHeight="1" ht="18.75">
      <c r="A7085" s="1" t="s">
        <v>3617</v>
      </c>
      <c r="B7085" s="1" t="s">
        <v>3729</v>
      </c>
      <c r="C7085" s="1" t="s">
        <v>3619</v>
      </c>
      <c r="D7085" s="1" t="s">
        <v>3601</v>
      </c>
      <c r="E7085" s="1" t="s">
        <v>4478</v>
      </c>
      <c r="F7085" s="1" t="s">
        <v>24360</v>
      </c>
      <c r="G7085" s="1" t="s">
        <v>11530</v>
      </c>
      <c r="H7085" s="1" t="s">
        <v>3604</v>
      </c>
      <c r="I7085" s="1" t="s">
        <v>24361</v>
      </c>
      <c r="J7085" s="1" t="s">
        <v>3606</v>
      </c>
      <c r="K7085" s="1" t="s">
        <v>24357</v>
      </c>
      <c r="L7085" s="1"/>
      <c r="M7085" s="1"/>
    </row>
    <row x14ac:dyDescent="0.25" r="7086" customHeight="1" ht="18.75">
      <c r="A7086" s="1" t="s">
        <v>3617</v>
      </c>
      <c r="B7086" s="1" t="s">
        <v>3729</v>
      </c>
      <c r="C7086" s="1" t="s">
        <v>3619</v>
      </c>
      <c r="D7086" s="1" t="s">
        <v>3601</v>
      </c>
      <c r="E7086" s="1" t="s">
        <v>4478</v>
      </c>
      <c r="F7086" s="1" t="s">
        <v>24362</v>
      </c>
      <c r="G7086" s="1" t="s">
        <v>11534</v>
      </c>
      <c r="H7086" s="1" t="s">
        <v>3604</v>
      </c>
      <c r="I7086" s="1" t="s">
        <v>24363</v>
      </c>
      <c r="J7086" s="1" t="s">
        <v>3606</v>
      </c>
      <c r="K7086" s="1" t="s">
        <v>24357</v>
      </c>
      <c r="L7086" s="1"/>
      <c r="M7086" s="1"/>
    </row>
    <row x14ac:dyDescent="0.25" r="7087" customHeight="1" ht="18.75">
      <c r="A7087" s="1" t="s">
        <v>3617</v>
      </c>
      <c r="B7087" s="1" t="s">
        <v>3729</v>
      </c>
      <c r="C7087" s="1" t="s">
        <v>3619</v>
      </c>
      <c r="D7087" s="1" t="s">
        <v>3601</v>
      </c>
      <c r="E7087" s="1" t="s">
        <v>4478</v>
      </c>
      <c r="F7087" s="1" t="s">
        <v>24364</v>
      </c>
      <c r="G7087" s="1" t="s">
        <v>11567</v>
      </c>
      <c r="H7087" s="1" t="s">
        <v>3604</v>
      </c>
      <c r="I7087" s="1" t="s">
        <v>24365</v>
      </c>
      <c r="J7087" s="1" t="s">
        <v>3606</v>
      </c>
      <c r="K7087" s="1" t="s">
        <v>24357</v>
      </c>
      <c r="L7087" s="1"/>
      <c r="M7087" s="1"/>
    </row>
    <row x14ac:dyDescent="0.25" r="7088" customHeight="1" ht="18.75">
      <c r="A7088" s="1" t="s">
        <v>3617</v>
      </c>
      <c r="B7088" s="1" t="s">
        <v>3729</v>
      </c>
      <c r="C7088" s="1" t="s">
        <v>3619</v>
      </c>
      <c r="D7088" s="1" t="s">
        <v>3601</v>
      </c>
      <c r="E7088" s="1" t="s">
        <v>4478</v>
      </c>
      <c r="F7088" s="1" t="s">
        <v>24366</v>
      </c>
      <c r="G7088" s="1" t="s">
        <v>11538</v>
      </c>
      <c r="H7088" s="1" t="s">
        <v>3604</v>
      </c>
      <c r="I7088" s="1" t="s">
        <v>24367</v>
      </c>
      <c r="J7088" s="1" t="s">
        <v>3606</v>
      </c>
      <c r="K7088" s="1" t="s">
        <v>24357</v>
      </c>
      <c r="L7088" s="1"/>
      <c r="M7088" s="1"/>
    </row>
    <row x14ac:dyDescent="0.25" r="7089" customHeight="1" ht="18.75">
      <c r="A7089" s="1" t="s">
        <v>3617</v>
      </c>
      <c r="B7089" s="1" t="s">
        <v>3729</v>
      </c>
      <c r="C7089" s="1" t="s">
        <v>3619</v>
      </c>
      <c r="D7089" s="1" t="s">
        <v>3601</v>
      </c>
      <c r="E7089" s="1" t="s">
        <v>4478</v>
      </c>
      <c r="F7089" s="1" t="s">
        <v>24366</v>
      </c>
      <c r="G7089" s="1" t="s">
        <v>11545</v>
      </c>
      <c r="H7089" s="1" t="s">
        <v>3604</v>
      </c>
      <c r="I7089" s="1" t="s">
        <v>24368</v>
      </c>
      <c r="J7089" s="1" t="s">
        <v>3606</v>
      </c>
      <c r="K7089" s="1" t="s">
        <v>24357</v>
      </c>
      <c r="L7089" s="1"/>
      <c r="M7089" s="1"/>
    </row>
    <row x14ac:dyDescent="0.25" r="7090" customHeight="1" ht="18.75">
      <c r="A7090" s="1" t="s">
        <v>3617</v>
      </c>
      <c r="B7090" s="1" t="s">
        <v>3729</v>
      </c>
      <c r="C7090" s="1" t="s">
        <v>3619</v>
      </c>
      <c r="D7090" s="1" t="s">
        <v>3601</v>
      </c>
      <c r="E7090" s="1" t="s">
        <v>4478</v>
      </c>
      <c r="F7090" s="1" t="s">
        <v>24369</v>
      </c>
      <c r="G7090" s="1" t="s">
        <v>11549</v>
      </c>
      <c r="H7090" s="1" t="s">
        <v>3604</v>
      </c>
      <c r="I7090" s="1" t="s">
        <v>24370</v>
      </c>
      <c r="J7090" s="1" t="s">
        <v>3606</v>
      </c>
      <c r="K7090" s="1" t="s">
        <v>24357</v>
      </c>
      <c r="L7090" s="1"/>
      <c r="M7090" s="1"/>
    </row>
    <row x14ac:dyDescent="0.25" r="7091" customHeight="1" ht="18.75">
      <c r="A7091" s="1" t="s">
        <v>3617</v>
      </c>
      <c r="B7091" s="1" t="s">
        <v>24371</v>
      </c>
      <c r="C7091" s="1" t="s">
        <v>3619</v>
      </c>
      <c r="D7091" s="1" t="s">
        <v>3601</v>
      </c>
      <c r="E7091" s="1" t="s">
        <v>3664</v>
      </c>
      <c r="F7091" s="1" t="s">
        <v>24372</v>
      </c>
      <c r="G7091" s="1" t="s">
        <v>24373</v>
      </c>
      <c r="H7091" s="1" t="s">
        <v>3604</v>
      </c>
      <c r="I7091" s="1" t="s">
        <v>24374</v>
      </c>
      <c r="J7091" s="1" t="s">
        <v>3606</v>
      </c>
      <c r="K7091" s="1" t="s">
        <v>24375</v>
      </c>
      <c r="L7091" s="1"/>
      <c r="M7091" s="1"/>
    </row>
    <row x14ac:dyDescent="0.25" r="7092" customHeight="1" ht="18.75">
      <c r="A7092" s="1" t="s">
        <v>3617</v>
      </c>
      <c r="B7092" s="1" t="s">
        <v>5222</v>
      </c>
      <c r="C7092" s="1" t="s">
        <v>3619</v>
      </c>
      <c r="D7092" s="1" t="s">
        <v>3601</v>
      </c>
      <c r="E7092" s="1" t="s">
        <v>3730</v>
      </c>
      <c r="F7092" s="1" t="s">
        <v>24376</v>
      </c>
      <c r="G7092" s="1" t="s">
        <v>6195</v>
      </c>
      <c r="H7092" s="1" t="s">
        <v>3604</v>
      </c>
      <c r="I7092" s="1" t="s">
        <v>24377</v>
      </c>
      <c r="J7092" s="1" t="s">
        <v>3606</v>
      </c>
      <c r="K7092" s="1" t="s">
        <v>24378</v>
      </c>
      <c r="L7092" s="1"/>
      <c r="M7092" s="1"/>
    </row>
    <row x14ac:dyDescent="0.25" r="7093" customHeight="1" ht="18.75">
      <c r="A7093" s="1" t="s">
        <v>3617</v>
      </c>
      <c r="B7093" s="1" t="s">
        <v>3825</v>
      </c>
      <c r="C7093" s="1" t="s">
        <v>3619</v>
      </c>
      <c r="D7093" s="1" t="s">
        <v>3601</v>
      </c>
      <c r="E7093" s="1" t="s">
        <v>3664</v>
      </c>
      <c r="F7093" s="1" t="s">
        <v>24379</v>
      </c>
      <c r="G7093" s="1" t="s">
        <v>3827</v>
      </c>
      <c r="H7093" s="1" t="s">
        <v>3604</v>
      </c>
      <c r="I7093" s="1" t="s">
        <v>24380</v>
      </c>
      <c r="J7093" s="1" t="s">
        <v>3606</v>
      </c>
      <c r="K7093" s="1" t="s">
        <v>24381</v>
      </c>
      <c r="L7093" s="1"/>
      <c r="M7093" s="1"/>
    </row>
    <row x14ac:dyDescent="0.25" r="7094" customHeight="1" ht="18.75">
      <c r="A7094" s="1" t="s">
        <v>3617</v>
      </c>
      <c r="B7094" s="1" t="s">
        <v>24053</v>
      </c>
      <c r="C7094" s="1" t="s">
        <v>3619</v>
      </c>
      <c r="D7094" s="1" t="s">
        <v>3601</v>
      </c>
      <c r="E7094" s="1" t="s">
        <v>3664</v>
      </c>
      <c r="F7094" s="1" t="s">
        <v>24382</v>
      </c>
      <c r="G7094" s="1" t="s">
        <v>24383</v>
      </c>
      <c r="H7094" s="1" t="s">
        <v>3604</v>
      </c>
      <c r="I7094" s="1" t="s">
        <v>24384</v>
      </c>
      <c r="J7094" s="1" t="s">
        <v>3606</v>
      </c>
      <c r="K7094" s="1" t="s">
        <v>24385</v>
      </c>
      <c r="L7094" s="1"/>
      <c r="M7094" s="1"/>
    </row>
    <row x14ac:dyDescent="0.25" r="7095" customHeight="1" ht="18.75">
      <c r="A7095" s="1" t="s">
        <v>3617</v>
      </c>
      <c r="B7095" s="1" t="s">
        <v>4461</v>
      </c>
      <c r="C7095" s="1" t="s">
        <v>3619</v>
      </c>
      <c r="D7095" s="1" t="s">
        <v>3601</v>
      </c>
      <c r="E7095" s="1" t="s">
        <v>3730</v>
      </c>
      <c r="F7095" s="1" t="s">
        <v>24386</v>
      </c>
      <c r="G7095" s="1" t="s">
        <v>12067</v>
      </c>
      <c r="H7095" s="1" t="s">
        <v>3604</v>
      </c>
      <c r="I7095" s="1" t="s">
        <v>24387</v>
      </c>
      <c r="J7095" s="1" t="s">
        <v>3606</v>
      </c>
      <c r="K7095" s="1" t="s">
        <v>24388</v>
      </c>
      <c r="L7095" s="1"/>
      <c r="M7095" s="1"/>
    </row>
    <row x14ac:dyDescent="0.25" r="7096" customHeight="1" ht="18.75">
      <c r="A7096" s="1" t="s">
        <v>3617</v>
      </c>
      <c r="B7096" s="1" t="s">
        <v>24211</v>
      </c>
      <c r="C7096" s="1" t="s">
        <v>3619</v>
      </c>
      <c r="D7096" s="1" t="s">
        <v>3601</v>
      </c>
      <c r="E7096" s="1" t="s">
        <v>3730</v>
      </c>
      <c r="F7096" s="1" t="s">
        <v>24389</v>
      </c>
      <c r="G7096" s="1" t="s">
        <v>24390</v>
      </c>
      <c r="H7096" s="1" t="s">
        <v>3604</v>
      </c>
      <c r="I7096" s="1" t="s">
        <v>24391</v>
      </c>
      <c r="J7096" s="1" t="s">
        <v>3606</v>
      </c>
      <c r="K7096" s="1" t="s">
        <v>24392</v>
      </c>
      <c r="L7096" s="1"/>
      <c r="M7096" s="1"/>
    </row>
    <row x14ac:dyDescent="0.25" r="7097" customHeight="1" ht="18.75">
      <c r="A7097" s="1" t="s">
        <v>3617</v>
      </c>
      <c r="B7097" s="1" t="s">
        <v>5578</v>
      </c>
      <c r="C7097" s="1" t="s">
        <v>3619</v>
      </c>
      <c r="D7097" s="1" t="s">
        <v>3601</v>
      </c>
      <c r="E7097" s="1" t="s">
        <v>3893</v>
      </c>
      <c r="F7097" s="1" t="s">
        <v>24393</v>
      </c>
      <c r="G7097" s="1" t="s">
        <v>5580</v>
      </c>
      <c r="H7097" s="1" t="s">
        <v>3604</v>
      </c>
      <c r="I7097" s="1" t="s">
        <v>24394</v>
      </c>
      <c r="J7097" s="1" t="s">
        <v>3606</v>
      </c>
      <c r="K7097" s="1" t="s">
        <v>24395</v>
      </c>
      <c r="L7097" s="1"/>
      <c r="M7097" s="1"/>
    </row>
    <row x14ac:dyDescent="0.25" r="7098" customHeight="1" ht="18.75">
      <c r="A7098" s="1" t="s">
        <v>3617</v>
      </c>
      <c r="B7098" s="1" t="s">
        <v>17698</v>
      </c>
      <c r="C7098" s="1" t="s">
        <v>3619</v>
      </c>
      <c r="D7098" s="1" t="s">
        <v>3601</v>
      </c>
      <c r="E7098" s="1" t="s">
        <v>3893</v>
      </c>
      <c r="F7098" s="1" t="s">
        <v>24396</v>
      </c>
      <c r="G7098" s="1" t="s">
        <v>17700</v>
      </c>
      <c r="H7098" s="1" t="s">
        <v>3604</v>
      </c>
      <c r="I7098" s="1" t="s">
        <v>24397</v>
      </c>
      <c r="J7098" s="1" t="s">
        <v>3606</v>
      </c>
      <c r="K7098" s="1" t="s">
        <v>24398</v>
      </c>
      <c r="L7098" s="1"/>
      <c r="M7098" s="1"/>
    </row>
    <row x14ac:dyDescent="0.25" r="7099" customHeight="1" ht="18.75">
      <c r="A7099" s="1" t="s">
        <v>3617</v>
      </c>
      <c r="B7099" s="1" t="s">
        <v>24399</v>
      </c>
      <c r="C7099" s="1" t="s">
        <v>3619</v>
      </c>
      <c r="D7099" s="1" t="s">
        <v>3601</v>
      </c>
      <c r="E7099" s="1" t="s">
        <v>3664</v>
      </c>
      <c r="F7099" s="1" t="s">
        <v>24400</v>
      </c>
      <c r="G7099" s="1" t="s">
        <v>24401</v>
      </c>
      <c r="H7099" s="1" t="s">
        <v>3604</v>
      </c>
      <c r="I7099" s="1" t="s">
        <v>24402</v>
      </c>
      <c r="J7099" s="1" t="s">
        <v>3606</v>
      </c>
      <c r="K7099" s="1" t="s">
        <v>24403</v>
      </c>
      <c r="L7099" s="1"/>
      <c r="M7099" s="1"/>
    </row>
    <row x14ac:dyDescent="0.25" r="7100" customHeight="1" ht="18.75">
      <c r="A7100" s="1" t="s">
        <v>3617</v>
      </c>
      <c r="B7100" s="1" t="s">
        <v>12386</v>
      </c>
      <c r="C7100" s="1" t="s">
        <v>3619</v>
      </c>
      <c r="D7100" s="1" t="s">
        <v>3601</v>
      </c>
      <c r="E7100" s="1" t="s">
        <v>3664</v>
      </c>
      <c r="F7100" s="1" t="s">
        <v>24404</v>
      </c>
      <c r="G7100" s="1" t="s">
        <v>24405</v>
      </c>
      <c r="H7100" s="1" t="s">
        <v>3604</v>
      </c>
      <c r="I7100" s="1" t="s">
        <v>24406</v>
      </c>
      <c r="J7100" s="1" t="s">
        <v>3606</v>
      </c>
      <c r="K7100" s="1" t="s">
        <v>24407</v>
      </c>
      <c r="L7100" s="1"/>
      <c r="M7100" s="1"/>
    </row>
    <row x14ac:dyDescent="0.25" r="7101" customHeight="1" ht="18.75">
      <c r="A7101" s="1" t="s">
        <v>3617</v>
      </c>
      <c r="B7101" s="1" t="s">
        <v>13485</v>
      </c>
      <c r="C7101" s="1" t="s">
        <v>3619</v>
      </c>
      <c r="D7101" s="1" t="s">
        <v>3601</v>
      </c>
      <c r="E7101" s="1" t="s">
        <v>3664</v>
      </c>
      <c r="F7101" s="1" t="s">
        <v>24408</v>
      </c>
      <c r="G7101" s="1" t="s">
        <v>13500</v>
      </c>
      <c r="H7101" s="1" t="s">
        <v>3604</v>
      </c>
      <c r="I7101" s="1" t="s">
        <v>24409</v>
      </c>
      <c r="J7101" s="1" t="s">
        <v>3606</v>
      </c>
      <c r="K7101" s="1" t="s">
        <v>24410</v>
      </c>
      <c r="L7101" s="1"/>
      <c r="M7101" s="1"/>
    </row>
    <row x14ac:dyDescent="0.25" r="7102" customHeight="1" ht="18.75">
      <c r="A7102" s="1" t="s">
        <v>7833</v>
      </c>
      <c r="B7102" s="1" t="s">
        <v>24411</v>
      </c>
      <c r="C7102" s="1" t="s">
        <v>4488</v>
      </c>
      <c r="D7102" s="1" t="s">
        <v>3601</v>
      </c>
      <c r="E7102" s="1" t="s">
        <v>8096</v>
      </c>
      <c r="F7102" s="1" t="s">
        <v>24412</v>
      </c>
      <c r="G7102" s="1" t="s">
        <v>24413</v>
      </c>
      <c r="H7102" s="1" t="s">
        <v>3604</v>
      </c>
      <c r="I7102" s="1" t="s">
        <v>24414</v>
      </c>
      <c r="J7102" s="1" t="s">
        <v>3606</v>
      </c>
      <c r="K7102" s="1" t="s">
        <v>24261</v>
      </c>
      <c r="L7102" s="1"/>
      <c r="M7102" s="1"/>
    </row>
    <row x14ac:dyDescent="0.25" r="7103" customHeight="1" ht="18.75">
      <c r="A7103" s="1" t="s">
        <v>3617</v>
      </c>
      <c r="B7103" s="1" t="s">
        <v>3892</v>
      </c>
      <c r="C7103" s="1" t="s">
        <v>3619</v>
      </c>
      <c r="D7103" s="1" t="s">
        <v>3601</v>
      </c>
      <c r="E7103" s="1" t="s">
        <v>3893</v>
      </c>
      <c r="F7103" s="1" t="s">
        <v>24415</v>
      </c>
      <c r="G7103" s="1" t="s">
        <v>3895</v>
      </c>
      <c r="H7103" s="1" t="s">
        <v>3604</v>
      </c>
      <c r="I7103" s="1" t="s">
        <v>24416</v>
      </c>
      <c r="J7103" s="1" t="s">
        <v>3606</v>
      </c>
      <c r="K7103" s="1" t="s">
        <v>24417</v>
      </c>
      <c r="L7103" s="1"/>
      <c r="M7103" s="1"/>
    </row>
    <row x14ac:dyDescent="0.25" r="7104" customHeight="1" ht="18.75">
      <c r="A7104" s="1" t="s">
        <v>7833</v>
      </c>
      <c r="B7104" s="1" t="s">
        <v>24411</v>
      </c>
      <c r="C7104" s="1" t="s">
        <v>4488</v>
      </c>
      <c r="D7104" s="1" t="s">
        <v>3601</v>
      </c>
      <c r="E7104" s="1" t="s">
        <v>8096</v>
      </c>
      <c r="F7104" s="1" t="s">
        <v>24418</v>
      </c>
      <c r="G7104" s="1" t="s">
        <v>24419</v>
      </c>
      <c r="H7104" s="1" t="s">
        <v>3604</v>
      </c>
      <c r="I7104" s="1" t="s">
        <v>24420</v>
      </c>
      <c r="J7104" s="1" t="s">
        <v>3606</v>
      </c>
      <c r="K7104" s="1" t="s">
        <v>24421</v>
      </c>
      <c r="L7104" s="1"/>
      <c r="M7104" s="1"/>
    </row>
    <row x14ac:dyDescent="0.25" r="7105" customHeight="1" ht="18.75">
      <c r="A7105" s="1" t="s">
        <v>3617</v>
      </c>
      <c r="B7105" s="1" t="s">
        <v>3898</v>
      </c>
      <c r="C7105" s="1" t="s">
        <v>3619</v>
      </c>
      <c r="D7105" s="1" t="s">
        <v>3601</v>
      </c>
      <c r="E7105" s="1" t="s">
        <v>3893</v>
      </c>
      <c r="F7105" s="1" t="s">
        <v>24422</v>
      </c>
      <c r="G7105" s="1" t="s">
        <v>3900</v>
      </c>
      <c r="H7105" s="1" t="s">
        <v>3604</v>
      </c>
      <c r="I7105" s="1" t="s">
        <v>24423</v>
      </c>
      <c r="J7105" s="1" t="s">
        <v>3606</v>
      </c>
      <c r="K7105" s="1" t="s">
        <v>24424</v>
      </c>
      <c r="L7105" s="1"/>
      <c r="M7105" s="1"/>
    </row>
    <row x14ac:dyDescent="0.25" r="7106" customHeight="1" ht="18.75">
      <c r="A7106" s="1" t="s">
        <v>3617</v>
      </c>
      <c r="B7106" s="1" t="s">
        <v>24425</v>
      </c>
      <c r="C7106" s="1" t="s">
        <v>3619</v>
      </c>
      <c r="D7106" s="1" t="s">
        <v>3601</v>
      </c>
      <c r="E7106" s="1" t="s">
        <v>3664</v>
      </c>
      <c r="F7106" s="1" t="s">
        <v>24426</v>
      </c>
      <c r="G7106" s="1" t="s">
        <v>24427</v>
      </c>
      <c r="H7106" s="1" t="s">
        <v>3604</v>
      </c>
      <c r="I7106" s="1" t="s">
        <v>24428</v>
      </c>
      <c r="J7106" s="1" t="s">
        <v>3606</v>
      </c>
      <c r="K7106" s="1" t="s">
        <v>24429</v>
      </c>
      <c r="L7106" s="1"/>
      <c r="M7106" s="1"/>
    </row>
    <row x14ac:dyDescent="0.25" r="7107" customHeight="1" ht="18.75">
      <c r="A7107" s="1" t="s">
        <v>7833</v>
      </c>
      <c r="B7107" s="1" t="s">
        <v>24411</v>
      </c>
      <c r="C7107" s="1" t="s">
        <v>4488</v>
      </c>
      <c r="D7107" s="1" t="s">
        <v>3601</v>
      </c>
      <c r="E7107" s="1" t="s">
        <v>8096</v>
      </c>
      <c r="F7107" s="1" t="s">
        <v>24430</v>
      </c>
      <c r="G7107" s="1" t="s">
        <v>24413</v>
      </c>
      <c r="H7107" s="1" t="s">
        <v>3604</v>
      </c>
      <c r="I7107" s="1" t="s">
        <v>24431</v>
      </c>
      <c r="J7107" s="1" t="s">
        <v>3606</v>
      </c>
      <c r="K7107" s="1" t="s">
        <v>24432</v>
      </c>
      <c r="L7107" s="1"/>
      <c r="M7107" s="1"/>
    </row>
    <row x14ac:dyDescent="0.25" r="7108" customHeight="1" ht="18.75">
      <c r="A7108" s="1" t="s">
        <v>7833</v>
      </c>
      <c r="B7108" s="1" t="s">
        <v>24433</v>
      </c>
      <c r="C7108" s="1" t="s">
        <v>4488</v>
      </c>
      <c r="D7108" s="1" t="s">
        <v>3601</v>
      </c>
      <c r="E7108" s="1" t="s">
        <v>3664</v>
      </c>
      <c r="F7108" s="1" t="s">
        <v>1488</v>
      </c>
      <c r="G7108" s="1" t="s">
        <v>24434</v>
      </c>
      <c r="H7108" s="1" t="s">
        <v>3604</v>
      </c>
      <c r="I7108" s="1" t="s">
        <v>24435</v>
      </c>
      <c r="J7108" s="1" t="s">
        <v>3606</v>
      </c>
      <c r="K7108" s="1" t="s">
        <v>24261</v>
      </c>
      <c r="L7108" s="1"/>
      <c r="M7108" s="1"/>
    </row>
    <row x14ac:dyDescent="0.25" r="7109" customHeight="1" ht="18.75">
      <c r="A7109" s="1" t="s">
        <v>7833</v>
      </c>
      <c r="B7109" s="1" t="s">
        <v>7834</v>
      </c>
      <c r="C7109" s="1" t="s">
        <v>4488</v>
      </c>
      <c r="D7109" s="1" t="s">
        <v>3601</v>
      </c>
      <c r="E7109" s="1" t="s">
        <v>8096</v>
      </c>
      <c r="F7109" s="1" t="s">
        <v>24436</v>
      </c>
      <c r="G7109" s="1" t="s">
        <v>24155</v>
      </c>
      <c r="H7109" s="1" t="s">
        <v>3604</v>
      </c>
      <c r="I7109" s="1" t="s">
        <v>24437</v>
      </c>
      <c r="J7109" s="1" t="s">
        <v>3606</v>
      </c>
      <c r="K7109" s="1" t="s">
        <v>16380</v>
      </c>
      <c r="L7109" s="1"/>
      <c r="M7109" s="1"/>
    </row>
    <row x14ac:dyDescent="0.25" r="7110" customHeight="1" ht="18.75">
      <c r="A7110" s="1" t="s">
        <v>7833</v>
      </c>
      <c r="B7110" s="1" t="s">
        <v>24433</v>
      </c>
      <c r="C7110" s="1" t="s">
        <v>4488</v>
      </c>
      <c r="D7110" s="1" t="s">
        <v>3601</v>
      </c>
      <c r="E7110" s="1" t="s">
        <v>3664</v>
      </c>
      <c r="F7110" s="1" t="s">
        <v>1489</v>
      </c>
      <c r="G7110" s="1" t="s">
        <v>24438</v>
      </c>
      <c r="H7110" s="1" t="s">
        <v>3604</v>
      </c>
      <c r="I7110" s="1" t="s">
        <v>24439</v>
      </c>
      <c r="J7110" s="1" t="s">
        <v>3606</v>
      </c>
      <c r="K7110" s="1" t="s">
        <v>24440</v>
      </c>
      <c r="L7110" s="1"/>
      <c r="M7110" s="1"/>
    </row>
    <row x14ac:dyDescent="0.25" r="7111" customHeight="1" ht="18.75">
      <c r="A7111" s="1" t="s">
        <v>7833</v>
      </c>
      <c r="B7111" s="1" t="s">
        <v>24433</v>
      </c>
      <c r="C7111" s="1" t="s">
        <v>4488</v>
      </c>
      <c r="D7111" s="1" t="s">
        <v>3601</v>
      </c>
      <c r="E7111" s="1" t="s">
        <v>3664</v>
      </c>
      <c r="F7111" s="1" t="s">
        <v>1490</v>
      </c>
      <c r="G7111" s="1" t="s">
        <v>24441</v>
      </c>
      <c r="H7111" s="1" t="s">
        <v>3604</v>
      </c>
      <c r="I7111" s="1" t="s">
        <v>24442</v>
      </c>
      <c r="J7111" s="1" t="s">
        <v>3606</v>
      </c>
      <c r="K7111" s="1" t="s">
        <v>24443</v>
      </c>
      <c r="L7111" s="1"/>
      <c r="M7111" s="1"/>
    </row>
    <row x14ac:dyDescent="0.25" r="7112" customHeight="1" ht="18.75">
      <c r="A7112" s="1" t="s">
        <v>7833</v>
      </c>
      <c r="B7112" s="1" t="s">
        <v>8694</v>
      </c>
      <c r="C7112" s="1" t="s">
        <v>4488</v>
      </c>
      <c r="D7112" s="1" t="s">
        <v>3601</v>
      </c>
      <c r="E7112" s="1" t="s">
        <v>8096</v>
      </c>
      <c r="F7112" s="1" t="s">
        <v>24444</v>
      </c>
      <c r="G7112" s="1" t="s">
        <v>8708</v>
      </c>
      <c r="H7112" s="1" t="s">
        <v>3604</v>
      </c>
      <c r="I7112" s="1" t="s">
        <v>24445</v>
      </c>
      <c r="J7112" s="1" t="s">
        <v>3606</v>
      </c>
      <c r="K7112" s="1" t="s">
        <v>24261</v>
      </c>
      <c r="L7112" s="1"/>
      <c r="M7112" s="1"/>
    </row>
    <row x14ac:dyDescent="0.25" r="7113" customHeight="1" ht="18.75">
      <c r="A7113" s="1" t="s">
        <v>7833</v>
      </c>
      <c r="B7113" s="1" t="s">
        <v>8694</v>
      </c>
      <c r="C7113" s="1" t="s">
        <v>4488</v>
      </c>
      <c r="D7113" s="1" t="s">
        <v>3601</v>
      </c>
      <c r="E7113" s="1" t="s">
        <v>8096</v>
      </c>
      <c r="F7113" s="1" t="s">
        <v>24446</v>
      </c>
      <c r="G7113" s="1" t="s">
        <v>24447</v>
      </c>
      <c r="H7113" s="1" t="s">
        <v>3604</v>
      </c>
      <c r="I7113" s="1" t="s">
        <v>24448</v>
      </c>
      <c r="J7113" s="1" t="s">
        <v>3606</v>
      </c>
      <c r="K7113" s="1" t="s">
        <v>24449</v>
      </c>
      <c r="L7113" s="1"/>
      <c r="M7113" s="1"/>
    </row>
    <row x14ac:dyDescent="0.25" r="7114" customHeight="1" ht="18.75">
      <c r="A7114" s="1" t="s">
        <v>7833</v>
      </c>
      <c r="B7114" s="1" t="s">
        <v>8694</v>
      </c>
      <c r="C7114" s="1" t="s">
        <v>4488</v>
      </c>
      <c r="D7114" s="1" t="s">
        <v>3601</v>
      </c>
      <c r="E7114" s="1" t="s">
        <v>8096</v>
      </c>
      <c r="F7114" s="1" t="s">
        <v>24450</v>
      </c>
      <c r="G7114" s="1" t="s">
        <v>24451</v>
      </c>
      <c r="H7114" s="1" t="s">
        <v>3604</v>
      </c>
      <c r="I7114" s="1" t="s">
        <v>24452</v>
      </c>
      <c r="J7114" s="1" t="s">
        <v>3606</v>
      </c>
      <c r="K7114" s="1" t="s">
        <v>24453</v>
      </c>
      <c r="L7114" s="1"/>
      <c r="M7114" s="1"/>
    </row>
    <row x14ac:dyDescent="0.25" r="7115" customHeight="1" ht="18.75">
      <c r="A7115" s="1" t="s">
        <v>7833</v>
      </c>
      <c r="B7115" s="1" t="s">
        <v>8694</v>
      </c>
      <c r="C7115" s="1" t="s">
        <v>4488</v>
      </c>
      <c r="D7115" s="1" t="s">
        <v>3601</v>
      </c>
      <c r="E7115" s="1" t="s">
        <v>8096</v>
      </c>
      <c r="F7115" s="1" t="s">
        <v>24454</v>
      </c>
      <c r="G7115" s="1" t="s">
        <v>24419</v>
      </c>
      <c r="H7115" s="1" t="s">
        <v>3604</v>
      </c>
      <c r="I7115" s="1" t="s">
        <v>24455</v>
      </c>
      <c r="J7115" s="1" t="s">
        <v>3606</v>
      </c>
      <c r="K7115" s="1" t="s">
        <v>24456</v>
      </c>
      <c r="L7115" s="1"/>
      <c r="M7115" s="1"/>
    </row>
    <row x14ac:dyDescent="0.25" r="7116" customHeight="1" ht="18.75">
      <c r="A7116" s="1" t="s">
        <v>7833</v>
      </c>
      <c r="B7116" s="1" t="s">
        <v>8694</v>
      </c>
      <c r="C7116" s="1" t="s">
        <v>4488</v>
      </c>
      <c r="D7116" s="1" t="s">
        <v>3601</v>
      </c>
      <c r="E7116" s="1" t="s">
        <v>8096</v>
      </c>
      <c r="F7116" s="1" t="s">
        <v>24457</v>
      </c>
      <c r="G7116" s="1" t="s">
        <v>8731</v>
      </c>
      <c r="H7116" s="1" t="s">
        <v>3604</v>
      </c>
      <c r="I7116" s="1" t="s">
        <v>24458</v>
      </c>
      <c r="J7116" s="1" t="s">
        <v>3606</v>
      </c>
      <c r="K7116" s="1" t="s">
        <v>24459</v>
      </c>
      <c r="L7116" s="1"/>
      <c r="M7116" s="1"/>
    </row>
    <row x14ac:dyDescent="0.25" r="7117" customHeight="1" ht="18.75">
      <c r="A7117" s="1" t="s">
        <v>7833</v>
      </c>
      <c r="B7117" s="1" t="s">
        <v>8694</v>
      </c>
      <c r="C7117" s="1" t="s">
        <v>4488</v>
      </c>
      <c r="D7117" s="1" t="s">
        <v>3601</v>
      </c>
      <c r="E7117" s="1" t="s">
        <v>8096</v>
      </c>
      <c r="F7117" s="1" t="s">
        <v>24460</v>
      </c>
      <c r="G7117" s="1" t="s">
        <v>8708</v>
      </c>
      <c r="H7117" s="1" t="s">
        <v>3604</v>
      </c>
      <c r="I7117" s="1" t="s">
        <v>24461</v>
      </c>
      <c r="J7117" s="1" t="s">
        <v>3606</v>
      </c>
      <c r="K7117" s="1" t="s">
        <v>24462</v>
      </c>
      <c r="L7117" s="1"/>
      <c r="M7117" s="1"/>
    </row>
    <row x14ac:dyDescent="0.25" r="7118" customHeight="1" ht="18.75">
      <c r="A7118" s="1" t="s">
        <v>7833</v>
      </c>
      <c r="B7118" s="1" t="s">
        <v>8694</v>
      </c>
      <c r="C7118" s="1" t="s">
        <v>4488</v>
      </c>
      <c r="D7118" s="1" t="s">
        <v>3601</v>
      </c>
      <c r="E7118" s="1" t="s">
        <v>8096</v>
      </c>
      <c r="F7118" s="1" t="s">
        <v>24463</v>
      </c>
      <c r="G7118" s="1" t="s">
        <v>8708</v>
      </c>
      <c r="H7118" s="1" t="s">
        <v>3604</v>
      </c>
      <c r="I7118" s="1" t="s">
        <v>24464</v>
      </c>
      <c r="J7118" s="1" t="s">
        <v>3606</v>
      </c>
      <c r="K7118" s="1" t="s">
        <v>24465</v>
      </c>
      <c r="L7118" s="1"/>
      <c r="M7118" s="1"/>
    </row>
    <row x14ac:dyDescent="0.25" r="7119" customHeight="1" ht="18.75">
      <c r="A7119" s="1" t="s">
        <v>7833</v>
      </c>
      <c r="B7119" s="1" t="s">
        <v>15087</v>
      </c>
      <c r="C7119" s="1" t="s">
        <v>4488</v>
      </c>
      <c r="D7119" s="1" t="s">
        <v>3601</v>
      </c>
      <c r="E7119" s="1" t="s">
        <v>3664</v>
      </c>
      <c r="F7119" s="1" t="s">
        <v>1396</v>
      </c>
      <c r="G7119" s="1" t="s">
        <v>15088</v>
      </c>
      <c r="H7119" s="1" t="s">
        <v>3604</v>
      </c>
      <c r="I7119" s="1" t="s">
        <v>24466</v>
      </c>
      <c r="J7119" s="1" t="s">
        <v>3606</v>
      </c>
      <c r="K7119" s="1" t="s">
        <v>24467</v>
      </c>
      <c r="L7119" s="1"/>
      <c r="M7119" s="1"/>
    </row>
    <row x14ac:dyDescent="0.25" r="7120" customHeight="1" ht="18.75">
      <c r="A7120" s="1" t="s">
        <v>7833</v>
      </c>
      <c r="B7120" s="1" t="s">
        <v>15087</v>
      </c>
      <c r="C7120" s="1" t="s">
        <v>4488</v>
      </c>
      <c r="D7120" s="1" t="s">
        <v>3601</v>
      </c>
      <c r="E7120" s="1" t="s">
        <v>3664</v>
      </c>
      <c r="F7120" s="1" t="s">
        <v>1397</v>
      </c>
      <c r="G7120" s="1" t="s">
        <v>15088</v>
      </c>
      <c r="H7120" s="1" t="s">
        <v>3604</v>
      </c>
      <c r="I7120" s="1" t="s">
        <v>24468</v>
      </c>
      <c r="J7120" s="1" t="s">
        <v>3606</v>
      </c>
      <c r="K7120" s="1" t="s">
        <v>24469</v>
      </c>
      <c r="L7120" s="1"/>
      <c r="M7120" s="1"/>
    </row>
    <row x14ac:dyDescent="0.25" r="7121" customHeight="1" ht="18.75">
      <c r="A7121" s="1" t="s">
        <v>3693</v>
      </c>
      <c r="B7121" s="1" t="s">
        <v>4267</v>
      </c>
      <c r="C7121" s="1" t="s">
        <v>3600</v>
      </c>
      <c r="D7121" s="1" t="s">
        <v>3610</v>
      </c>
      <c r="E7121" s="1" t="s">
        <v>3664</v>
      </c>
      <c r="F7121" s="1" t="s">
        <v>24470</v>
      </c>
      <c r="G7121" s="1" t="s">
        <v>5651</v>
      </c>
      <c r="H7121" s="1" t="s">
        <v>3604</v>
      </c>
      <c r="I7121" s="1" t="s">
        <v>24471</v>
      </c>
      <c r="J7121" s="1" t="s">
        <v>3606</v>
      </c>
      <c r="K7121" s="1" t="s">
        <v>24472</v>
      </c>
      <c r="L7121" s="1"/>
      <c r="M7121" s="1"/>
    </row>
    <row x14ac:dyDescent="0.25" r="7122" customHeight="1" ht="18.75">
      <c r="A7122" s="1" t="s">
        <v>7833</v>
      </c>
      <c r="B7122" s="1" t="s">
        <v>24473</v>
      </c>
      <c r="C7122" s="1" t="s">
        <v>4488</v>
      </c>
      <c r="D7122" s="1" t="s">
        <v>3601</v>
      </c>
      <c r="E7122" s="1" t="s">
        <v>3664</v>
      </c>
      <c r="F7122" s="1" t="s">
        <v>1560</v>
      </c>
      <c r="G7122" s="1" t="s">
        <v>24474</v>
      </c>
      <c r="H7122" s="1" t="s">
        <v>3604</v>
      </c>
      <c r="I7122" s="1" t="s">
        <v>24475</v>
      </c>
      <c r="J7122" s="1" t="s">
        <v>3606</v>
      </c>
      <c r="K7122" s="1" t="s">
        <v>16374</v>
      </c>
      <c r="L7122" s="1"/>
      <c r="M7122" s="1"/>
    </row>
    <row x14ac:dyDescent="0.25" r="7123" customHeight="1" ht="18.75">
      <c r="A7123" s="1" t="s">
        <v>7833</v>
      </c>
      <c r="B7123" s="1" t="s">
        <v>24473</v>
      </c>
      <c r="C7123" s="1" t="s">
        <v>4488</v>
      </c>
      <c r="D7123" s="1" t="s">
        <v>3601</v>
      </c>
      <c r="E7123" s="1" t="s">
        <v>3664</v>
      </c>
      <c r="F7123" s="1" t="s">
        <v>1561</v>
      </c>
      <c r="G7123" s="1" t="s">
        <v>24474</v>
      </c>
      <c r="H7123" s="1" t="s">
        <v>3604</v>
      </c>
      <c r="I7123" s="1" t="s">
        <v>24476</v>
      </c>
      <c r="J7123" s="1" t="s">
        <v>3606</v>
      </c>
      <c r="K7123" s="1" t="s">
        <v>16378</v>
      </c>
      <c r="L7123" s="1"/>
      <c r="M7123" s="1"/>
    </row>
    <row x14ac:dyDescent="0.25" r="7124" customHeight="1" ht="18.75">
      <c r="A7124" s="1" t="s">
        <v>3693</v>
      </c>
      <c r="B7124" s="1" t="s">
        <v>4083</v>
      </c>
      <c r="C7124" s="1" t="s">
        <v>3600</v>
      </c>
      <c r="D7124" s="1" t="s">
        <v>3610</v>
      </c>
      <c r="E7124" s="1" t="s">
        <v>3893</v>
      </c>
      <c r="F7124" s="1" t="s">
        <v>24477</v>
      </c>
      <c r="G7124" s="1" t="s">
        <v>4428</v>
      </c>
      <c r="H7124" s="1" t="s">
        <v>3604</v>
      </c>
      <c r="I7124" s="1" t="s">
        <v>24478</v>
      </c>
      <c r="J7124" s="1" t="s">
        <v>3615</v>
      </c>
      <c r="K7124" s="1" t="s">
        <v>24479</v>
      </c>
      <c r="L7124" s="1"/>
      <c r="M7124" s="1"/>
    </row>
    <row x14ac:dyDescent="0.25" r="7125" customHeight="1" ht="18.75">
      <c r="A7125" s="1" t="s">
        <v>3693</v>
      </c>
      <c r="B7125" s="1" t="s">
        <v>4332</v>
      </c>
      <c r="C7125" s="1" t="s">
        <v>3600</v>
      </c>
      <c r="D7125" s="1" t="s">
        <v>3695</v>
      </c>
      <c r="E7125" s="1" t="s">
        <v>3893</v>
      </c>
      <c r="F7125" s="1" t="s">
        <v>24480</v>
      </c>
      <c r="G7125" s="1" t="s">
        <v>5609</v>
      </c>
      <c r="H7125" s="1" t="s">
        <v>3604</v>
      </c>
      <c r="I7125" s="1" t="s">
        <v>24481</v>
      </c>
      <c r="J7125" s="1" t="s">
        <v>3606</v>
      </c>
      <c r="K7125" s="1" t="s">
        <v>24482</v>
      </c>
      <c r="L7125" s="1"/>
      <c r="M7125" s="1"/>
    </row>
    <row x14ac:dyDescent="0.25" r="7126" customHeight="1" ht="18.75">
      <c r="A7126" s="1" t="s">
        <v>3693</v>
      </c>
      <c r="B7126" s="1" t="s">
        <v>4083</v>
      </c>
      <c r="C7126" s="1" t="s">
        <v>3600</v>
      </c>
      <c r="D7126" s="1" t="s">
        <v>3610</v>
      </c>
      <c r="E7126" s="1" t="s">
        <v>3893</v>
      </c>
      <c r="F7126" s="1" t="s">
        <v>24483</v>
      </c>
      <c r="G7126" s="1" t="s">
        <v>4428</v>
      </c>
      <c r="H7126" s="1" t="s">
        <v>3604</v>
      </c>
      <c r="I7126" s="1" t="s">
        <v>24484</v>
      </c>
      <c r="J7126" s="1" t="s">
        <v>3615</v>
      </c>
      <c r="K7126" s="1" t="s">
        <v>24485</v>
      </c>
      <c r="L7126" s="1"/>
      <c r="M7126" s="1"/>
    </row>
    <row x14ac:dyDescent="0.25" r="7127" customHeight="1" ht="18.75">
      <c r="A7127" s="1" t="s">
        <v>3693</v>
      </c>
      <c r="B7127" s="1" t="s">
        <v>4247</v>
      </c>
      <c r="C7127" s="1" t="s">
        <v>3600</v>
      </c>
      <c r="D7127" s="1" t="s">
        <v>3695</v>
      </c>
      <c r="E7127" s="1" t="s">
        <v>3664</v>
      </c>
      <c r="F7127" s="1" t="s">
        <v>24486</v>
      </c>
      <c r="G7127" s="1" t="s">
        <v>4384</v>
      </c>
      <c r="H7127" s="1" t="s">
        <v>3604</v>
      </c>
      <c r="I7127" s="1" t="s">
        <v>24487</v>
      </c>
      <c r="J7127" s="1" t="s">
        <v>3615</v>
      </c>
      <c r="K7127" s="1" t="s">
        <v>24488</v>
      </c>
      <c r="L7127" s="1"/>
      <c r="M7127" s="1"/>
    </row>
    <row x14ac:dyDescent="0.25" r="7128" customHeight="1" ht="18.75">
      <c r="A7128" s="1" t="s">
        <v>3693</v>
      </c>
      <c r="B7128" s="1" t="s">
        <v>4083</v>
      </c>
      <c r="C7128" s="1" t="s">
        <v>3600</v>
      </c>
      <c r="D7128" s="1" t="s">
        <v>3610</v>
      </c>
      <c r="E7128" s="1" t="s">
        <v>3893</v>
      </c>
      <c r="F7128" s="1" t="s">
        <v>24489</v>
      </c>
      <c r="G7128" s="1" t="s">
        <v>4116</v>
      </c>
      <c r="H7128" s="1" t="s">
        <v>3604</v>
      </c>
      <c r="I7128" s="1" t="s">
        <v>24490</v>
      </c>
      <c r="J7128" s="1" t="s">
        <v>3615</v>
      </c>
      <c r="K7128" s="1" t="s">
        <v>24491</v>
      </c>
      <c r="L7128" s="1"/>
      <c r="M7128" s="1"/>
    </row>
    <row x14ac:dyDescent="0.25" r="7129" customHeight="1" ht="18.75">
      <c r="A7129" s="1" t="s">
        <v>7833</v>
      </c>
      <c r="B7129" s="1" t="s">
        <v>14934</v>
      </c>
      <c r="C7129" s="1" t="s">
        <v>4488</v>
      </c>
      <c r="D7129" s="1" t="s">
        <v>3601</v>
      </c>
      <c r="E7129" s="1" t="s">
        <v>3664</v>
      </c>
      <c r="F7129" s="1" t="s">
        <v>1569</v>
      </c>
      <c r="G7129" s="1" t="s">
        <v>14935</v>
      </c>
      <c r="H7129" s="1" t="s">
        <v>3604</v>
      </c>
      <c r="I7129" s="1" t="s">
        <v>24492</v>
      </c>
      <c r="J7129" s="1" t="s">
        <v>3606</v>
      </c>
      <c r="K7129" s="1" t="s">
        <v>16378</v>
      </c>
      <c r="L7129" s="1"/>
      <c r="M7129" s="1"/>
    </row>
    <row x14ac:dyDescent="0.25" r="7130" customHeight="1" ht="18.75">
      <c r="A7130" s="1" t="s">
        <v>3693</v>
      </c>
      <c r="B7130" s="1" t="s">
        <v>4267</v>
      </c>
      <c r="C7130" s="1" t="s">
        <v>3600</v>
      </c>
      <c r="D7130" s="1" t="s">
        <v>3610</v>
      </c>
      <c r="E7130" s="1" t="s">
        <v>3893</v>
      </c>
      <c r="F7130" s="1" t="s">
        <v>24493</v>
      </c>
      <c r="G7130" s="1" t="s">
        <v>7125</v>
      </c>
      <c r="H7130" s="1" t="s">
        <v>3604</v>
      </c>
      <c r="I7130" s="1" t="s">
        <v>24494</v>
      </c>
      <c r="J7130" s="1" t="s">
        <v>3606</v>
      </c>
      <c r="K7130" s="1" t="s">
        <v>24495</v>
      </c>
      <c r="L7130" s="1"/>
      <c r="M7130" s="1"/>
    </row>
    <row x14ac:dyDescent="0.25" r="7131" customHeight="1" ht="18.75">
      <c r="A7131" s="1" t="s">
        <v>3693</v>
      </c>
      <c r="B7131" s="1" t="s">
        <v>4332</v>
      </c>
      <c r="C7131" s="1" t="s">
        <v>3600</v>
      </c>
      <c r="D7131" s="1" t="s">
        <v>3695</v>
      </c>
      <c r="E7131" s="1" t="s">
        <v>3893</v>
      </c>
      <c r="F7131" s="1" t="s">
        <v>24496</v>
      </c>
      <c r="G7131" s="1" t="s">
        <v>24497</v>
      </c>
      <c r="H7131" s="1" t="s">
        <v>3604</v>
      </c>
      <c r="I7131" s="1" t="s">
        <v>24498</v>
      </c>
      <c r="J7131" s="1" t="s">
        <v>3606</v>
      </c>
      <c r="K7131" s="1" t="s">
        <v>24499</v>
      </c>
      <c r="L7131" s="1"/>
      <c r="M7131" s="1"/>
    </row>
    <row x14ac:dyDescent="0.25" r="7132" customHeight="1" ht="18.75">
      <c r="A7132" s="1" t="s">
        <v>3693</v>
      </c>
      <c r="B7132" s="1" t="s">
        <v>4332</v>
      </c>
      <c r="C7132" s="1" t="s">
        <v>3600</v>
      </c>
      <c r="D7132" s="1" t="s">
        <v>3695</v>
      </c>
      <c r="E7132" s="1" t="s">
        <v>3893</v>
      </c>
      <c r="F7132" s="1" t="s">
        <v>24500</v>
      </c>
      <c r="G7132" s="1" t="s">
        <v>5609</v>
      </c>
      <c r="H7132" s="1" t="s">
        <v>3604</v>
      </c>
      <c r="I7132" s="1" t="s">
        <v>24501</v>
      </c>
      <c r="J7132" s="1" t="s">
        <v>3606</v>
      </c>
      <c r="K7132" s="1" t="s">
        <v>24502</v>
      </c>
      <c r="L7132" s="1"/>
      <c r="M7132" s="1"/>
    </row>
    <row x14ac:dyDescent="0.25" r="7133" customHeight="1" ht="18.75">
      <c r="A7133" s="1" t="s">
        <v>3693</v>
      </c>
      <c r="B7133" s="1" t="s">
        <v>4267</v>
      </c>
      <c r="C7133" s="1" t="s">
        <v>3600</v>
      </c>
      <c r="D7133" s="1" t="s">
        <v>3610</v>
      </c>
      <c r="E7133" s="1" t="s">
        <v>3664</v>
      </c>
      <c r="F7133" s="1" t="s">
        <v>24503</v>
      </c>
      <c r="G7133" s="1" t="s">
        <v>5651</v>
      </c>
      <c r="H7133" s="1" t="s">
        <v>3604</v>
      </c>
      <c r="I7133" s="1" t="s">
        <v>24504</v>
      </c>
      <c r="J7133" s="1" t="s">
        <v>3606</v>
      </c>
      <c r="K7133" s="1" t="s">
        <v>24505</v>
      </c>
      <c r="L7133" s="1"/>
      <c r="M7133" s="1"/>
    </row>
    <row x14ac:dyDescent="0.25" r="7134" customHeight="1" ht="18.75">
      <c r="A7134" s="1" t="s">
        <v>3693</v>
      </c>
      <c r="B7134" s="1" t="s">
        <v>4267</v>
      </c>
      <c r="C7134" s="1" t="s">
        <v>3600</v>
      </c>
      <c r="D7134" s="1" t="s">
        <v>533</v>
      </c>
      <c r="E7134" s="1" t="s">
        <v>3893</v>
      </c>
      <c r="F7134" s="1" t="s">
        <v>24506</v>
      </c>
      <c r="G7134" s="1" t="s">
        <v>7125</v>
      </c>
      <c r="H7134" s="1" t="s">
        <v>3604</v>
      </c>
      <c r="I7134" s="1" t="s">
        <v>24507</v>
      </c>
      <c r="J7134" s="1" t="s">
        <v>3606</v>
      </c>
      <c r="K7134" s="1" t="s">
        <v>24508</v>
      </c>
      <c r="L7134" s="1"/>
      <c r="M7134" s="1"/>
    </row>
    <row x14ac:dyDescent="0.25" r="7135" customHeight="1" ht="18.75">
      <c r="A7135" s="1" t="s">
        <v>3693</v>
      </c>
      <c r="B7135" s="1" t="s">
        <v>4332</v>
      </c>
      <c r="C7135" s="1" t="s">
        <v>3600</v>
      </c>
      <c r="D7135" s="1" t="s">
        <v>3695</v>
      </c>
      <c r="E7135" s="1" t="s">
        <v>3893</v>
      </c>
      <c r="F7135" s="1" t="s">
        <v>24509</v>
      </c>
      <c r="G7135" s="1" t="s">
        <v>5609</v>
      </c>
      <c r="H7135" s="1" t="s">
        <v>3604</v>
      </c>
      <c r="I7135" s="1" t="s">
        <v>24510</v>
      </c>
      <c r="J7135" s="1" t="s">
        <v>3606</v>
      </c>
      <c r="K7135" s="1" t="s">
        <v>24511</v>
      </c>
      <c r="L7135" s="1"/>
      <c r="M7135" s="1"/>
    </row>
    <row x14ac:dyDescent="0.25" r="7136" customHeight="1" ht="18.75">
      <c r="A7136" s="1" t="s">
        <v>3693</v>
      </c>
      <c r="B7136" s="1" t="s">
        <v>4267</v>
      </c>
      <c r="C7136" s="1" t="s">
        <v>3600</v>
      </c>
      <c r="D7136" s="1" t="s">
        <v>533</v>
      </c>
      <c r="E7136" s="1" t="s">
        <v>3893</v>
      </c>
      <c r="F7136" s="1" t="s">
        <v>24512</v>
      </c>
      <c r="G7136" s="1" t="s">
        <v>5651</v>
      </c>
      <c r="H7136" s="1" t="s">
        <v>3604</v>
      </c>
      <c r="I7136" s="1" t="s">
        <v>24513</v>
      </c>
      <c r="J7136" s="1" t="s">
        <v>3606</v>
      </c>
      <c r="K7136" s="1" t="s">
        <v>24514</v>
      </c>
      <c r="L7136" s="1"/>
      <c r="M7136" s="1"/>
    </row>
    <row x14ac:dyDescent="0.25" r="7137" customHeight="1" ht="18.75">
      <c r="A7137" s="1" t="s">
        <v>3693</v>
      </c>
      <c r="B7137" s="1" t="s">
        <v>4247</v>
      </c>
      <c r="C7137" s="1" t="s">
        <v>3600</v>
      </c>
      <c r="D7137" s="1" t="s">
        <v>3695</v>
      </c>
      <c r="E7137" s="1" t="s">
        <v>3664</v>
      </c>
      <c r="F7137" s="1" t="s">
        <v>24515</v>
      </c>
      <c r="G7137" s="1" t="s">
        <v>9672</v>
      </c>
      <c r="H7137" s="1" t="s">
        <v>3604</v>
      </c>
      <c r="I7137" s="1" t="s">
        <v>24516</v>
      </c>
      <c r="J7137" s="1" t="s">
        <v>3615</v>
      </c>
      <c r="K7137" s="1" t="s">
        <v>24517</v>
      </c>
      <c r="L7137" s="1"/>
      <c r="M7137" s="1"/>
    </row>
    <row x14ac:dyDescent="0.25" r="7138" customHeight="1" ht="18.75">
      <c r="A7138" s="1" t="s">
        <v>3693</v>
      </c>
      <c r="B7138" s="1" t="s">
        <v>4267</v>
      </c>
      <c r="C7138" s="1" t="s">
        <v>3600</v>
      </c>
      <c r="D7138" s="1" t="s">
        <v>533</v>
      </c>
      <c r="E7138" s="1" t="s">
        <v>3893</v>
      </c>
      <c r="F7138" s="1" t="s">
        <v>24518</v>
      </c>
      <c r="G7138" s="1" t="s">
        <v>4268</v>
      </c>
      <c r="H7138" s="1" t="s">
        <v>3604</v>
      </c>
      <c r="I7138" s="1" t="s">
        <v>24519</v>
      </c>
      <c r="J7138" s="1" t="s">
        <v>3606</v>
      </c>
      <c r="K7138" s="1" t="s">
        <v>24520</v>
      </c>
      <c r="L7138" s="1"/>
      <c r="M7138" s="1"/>
    </row>
    <row x14ac:dyDescent="0.25" r="7139" customHeight="1" ht="18.75">
      <c r="A7139" s="1" t="s">
        <v>3693</v>
      </c>
      <c r="B7139" s="1" t="s">
        <v>4267</v>
      </c>
      <c r="C7139" s="1" t="s">
        <v>3600</v>
      </c>
      <c r="D7139" s="1" t="s">
        <v>533</v>
      </c>
      <c r="E7139" s="1" t="s">
        <v>3893</v>
      </c>
      <c r="F7139" s="1" t="s">
        <v>24521</v>
      </c>
      <c r="G7139" s="1" t="s">
        <v>4268</v>
      </c>
      <c r="H7139" s="1" t="s">
        <v>3604</v>
      </c>
      <c r="I7139" s="1" t="s">
        <v>24522</v>
      </c>
      <c r="J7139" s="1" t="s">
        <v>3606</v>
      </c>
      <c r="K7139" s="1" t="s">
        <v>24523</v>
      </c>
      <c r="L7139" s="1"/>
      <c r="M7139" s="1"/>
    </row>
    <row x14ac:dyDescent="0.25" r="7140" customHeight="1" ht="18.75">
      <c r="A7140" s="1" t="s">
        <v>3693</v>
      </c>
      <c r="B7140" s="1" t="s">
        <v>4332</v>
      </c>
      <c r="C7140" s="1" t="s">
        <v>3600</v>
      </c>
      <c r="D7140" s="1" t="s">
        <v>3695</v>
      </c>
      <c r="E7140" s="1" t="s">
        <v>3893</v>
      </c>
      <c r="F7140" s="1" t="s">
        <v>24524</v>
      </c>
      <c r="G7140" s="1" t="s">
        <v>10230</v>
      </c>
      <c r="H7140" s="1" t="s">
        <v>3604</v>
      </c>
      <c r="I7140" s="1" t="s">
        <v>24525</v>
      </c>
      <c r="J7140" s="1" t="s">
        <v>3606</v>
      </c>
      <c r="K7140" s="1" t="s">
        <v>24526</v>
      </c>
      <c r="L7140" s="1"/>
      <c r="M7140" s="1"/>
    </row>
    <row x14ac:dyDescent="0.25" r="7141" customHeight="1" ht="18.75">
      <c r="A7141" s="1" t="s">
        <v>3693</v>
      </c>
      <c r="B7141" s="1" t="s">
        <v>4332</v>
      </c>
      <c r="C7141" s="1" t="s">
        <v>3600</v>
      </c>
      <c r="D7141" s="1" t="s">
        <v>3695</v>
      </c>
      <c r="E7141" s="1" t="s">
        <v>3893</v>
      </c>
      <c r="F7141" s="1" t="s">
        <v>24527</v>
      </c>
      <c r="G7141" s="1" t="s">
        <v>5609</v>
      </c>
      <c r="H7141" s="1" t="s">
        <v>3604</v>
      </c>
      <c r="I7141" s="1" t="s">
        <v>24528</v>
      </c>
      <c r="J7141" s="1" t="s">
        <v>3606</v>
      </c>
      <c r="K7141" s="1" t="s">
        <v>24529</v>
      </c>
      <c r="L7141" s="1"/>
      <c r="M7141" s="1"/>
    </row>
    <row x14ac:dyDescent="0.25" r="7142" customHeight="1" ht="18.75">
      <c r="A7142" s="1" t="s">
        <v>3693</v>
      </c>
      <c r="B7142" s="1" t="s">
        <v>4267</v>
      </c>
      <c r="C7142" s="1" t="s">
        <v>3600</v>
      </c>
      <c r="D7142" s="1" t="s">
        <v>3610</v>
      </c>
      <c r="E7142" s="1" t="s">
        <v>3664</v>
      </c>
      <c r="F7142" s="1" t="s">
        <v>24530</v>
      </c>
      <c r="G7142" s="1" t="s">
        <v>4268</v>
      </c>
      <c r="H7142" s="1" t="s">
        <v>3604</v>
      </c>
      <c r="I7142" s="1" t="s">
        <v>24531</v>
      </c>
      <c r="J7142" s="1" t="s">
        <v>3606</v>
      </c>
      <c r="K7142" s="1" t="s">
        <v>24532</v>
      </c>
      <c r="L7142" s="1"/>
      <c r="M7142" s="1"/>
    </row>
    <row x14ac:dyDescent="0.25" r="7143" customHeight="1" ht="18.75">
      <c r="A7143" s="1" t="s">
        <v>3693</v>
      </c>
      <c r="B7143" s="1" t="s">
        <v>4267</v>
      </c>
      <c r="C7143" s="1" t="s">
        <v>3600</v>
      </c>
      <c r="D7143" s="1" t="s">
        <v>3610</v>
      </c>
      <c r="E7143" s="1" t="s">
        <v>3893</v>
      </c>
      <c r="F7143" s="1" t="s">
        <v>24533</v>
      </c>
      <c r="G7143" s="1" t="s">
        <v>4268</v>
      </c>
      <c r="H7143" s="1" t="s">
        <v>3604</v>
      </c>
      <c r="I7143" s="1" t="s">
        <v>24534</v>
      </c>
      <c r="J7143" s="1" t="s">
        <v>3606</v>
      </c>
      <c r="K7143" s="1" t="s">
        <v>24535</v>
      </c>
      <c r="L7143" s="1"/>
      <c r="M7143" s="1"/>
    </row>
    <row x14ac:dyDescent="0.25" r="7144" customHeight="1" ht="18.75">
      <c r="A7144" s="1" t="s">
        <v>3693</v>
      </c>
      <c r="B7144" s="1" t="s">
        <v>4267</v>
      </c>
      <c r="C7144" s="1" t="s">
        <v>3600</v>
      </c>
      <c r="D7144" s="1" t="s">
        <v>3610</v>
      </c>
      <c r="E7144" s="1" t="s">
        <v>3664</v>
      </c>
      <c r="F7144" s="1" t="s">
        <v>24536</v>
      </c>
      <c r="G7144" s="1" t="s">
        <v>5651</v>
      </c>
      <c r="H7144" s="1" t="s">
        <v>3604</v>
      </c>
      <c r="I7144" s="1" t="s">
        <v>24537</v>
      </c>
      <c r="J7144" s="1" t="s">
        <v>3606</v>
      </c>
      <c r="K7144" s="1" t="s">
        <v>24538</v>
      </c>
      <c r="L7144" s="1"/>
      <c r="M7144" s="1"/>
    </row>
    <row x14ac:dyDescent="0.25" r="7145" customHeight="1" ht="18.75">
      <c r="A7145" s="1" t="s">
        <v>3693</v>
      </c>
      <c r="B7145" s="1" t="s">
        <v>4267</v>
      </c>
      <c r="C7145" s="1" t="s">
        <v>3600</v>
      </c>
      <c r="D7145" s="1" t="s">
        <v>3610</v>
      </c>
      <c r="E7145" s="1" t="s">
        <v>3893</v>
      </c>
      <c r="F7145" s="1" t="s">
        <v>24539</v>
      </c>
      <c r="G7145" s="1" t="s">
        <v>4268</v>
      </c>
      <c r="H7145" s="1" t="s">
        <v>3604</v>
      </c>
      <c r="I7145" s="1" t="s">
        <v>24540</v>
      </c>
      <c r="J7145" s="1" t="s">
        <v>3606</v>
      </c>
      <c r="K7145" s="1" t="s">
        <v>24541</v>
      </c>
      <c r="L7145" s="1"/>
      <c r="M7145" s="1"/>
    </row>
    <row x14ac:dyDescent="0.25" r="7146" customHeight="1" ht="18.75">
      <c r="A7146" s="1" t="s">
        <v>3693</v>
      </c>
      <c r="B7146" s="1" t="s">
        <v>4192</v>
      </c>
      <c r="C7146" s="1" t="s">
        <v>3600</v>
      </c>
      <c r="D7146" s="1" t="s">
        <v>8373</v>
      </c>
      <c r="E7146" s="1" t="s">
        <v>3893</v>
      </c>
      <c r="F7146" s="1" t="s">
        <v>24542</v>
      </c>
      <c r="G7146" s="1" t="s">
        <v>4428</v>
      </c>
      <c r="H7146" s="1" t="s">
        <v>3604</v>
      </c>
      <c r="I7146" s="1" t="s">
        <v>24543</v>
      </c>
      <c r="J7146" s="1" t="s">
        <v>3606</v>
      </c>
      <c r="K7146" s="1" t="s">
        <v>18735</v>
      </c>
      <c r="L7146" s="1"/>
      <c r="M7146" s="1"/>
    </row>
    <row x14ac:dyDescent="0.25" r="7147" customHeight="1" ht="18.75">
      <c r="A7147" s="1" t="s">
        <v>3693</v>
      </c>
      <c r="B7147" s="1" t="s">
        <v>4192</v>
      </c>
      <c r="C7147" s="1" t="s">
        <v>3600</v>
      </c>
      <c r="D7147" s="1" t="s">
        <v>8373</v>
      </c>
      <c r="E7147" s="1" t="s">
        <v>3893</v>
      </c>
      <c r="F7147" s="1" t="s">
        <v>24544</v>
      </c>
      <c r="G7147" s="1" t="s">
        <v>4428</v>
      </c>
      <c r="H7147" s="1" t="s">
        <v>3604</v>
      </c>
      <c r="I7147" s="1" t="s">
        <v>24545</v>
      </c>
      <c r="J7147" s="1" t="s">
        <v>3606</v>
      </c>
      <c r="K7147" s="1" t="s">
        <v>24546</v>
      </c>
      <c r="L7147" s="1"/>
      <c r="M7147" s="1"/>
    </row>
    <row x14ac:dyDescent="0.25" r="7148" customHeight="1" ht="18.75">
      <c r="A7148" s="1" t="s">
        <v>3693</v>
      </c>
      <c r="B7148" s="1" t="s">
        <v>4267</v>
      </c>
      <c r="C7148" s="1" t="s">
        <v>3600</v>
      </c>
      <c r="D7148" s="1" t="s">
        <v>3610</v>
      </c>
      <c r="E7148" s="1" t="s">
        <v>3893</v>
      </c>
      <c r="F7148" s="1" t="s">
        <v>24547</v>
      </c>
      <c r="G7148" s="1" t="s">
        <v>7125</v>
      </c>
      <c r="H7148" s="1" t="s">
        <v>3604</v>
      </c>
      <c r="I7148" s="1" t="s">
        <v>24548</v>
      </c>
      <c r="J7148" s="1" t="s">
        <v>3606</v>
      </c>
      <c r="K7148" s="1" t="s">
        <v>24549</v>
      </c>
      <c r="L7148" s="1"/>
      <c r="M7148" s="1"/>
    </row>
    <row x14ac:dyDescent="0.25" r="7149" customHeight="1" ht="18.75">
      <c r="A7149" s="1" t="s">
        <v>7833</v>
      </c>
      <c r="B7149" s="1" t="s">
        <v>14256</v>
      </c>
      <c r="C7149" s="1" t="s">
        <v>4488</v>
      </c>
      <c r="D7149" s="1" t="s">
        <v>3610</v>
      </c>
      <c r="E7149" s="1" t="s">
        <v>3664</v>
      </c>
      <c r="F7149" s="1" t="s">
        <v>24550</v>
      </c>
      <c r="G7149" s="1" t="s">
        <v>14549</v>
      </c>
      <c r="H7149" s="1" t="s">
        <v>3604</v>
      </c>
      <c r="I7149" s="1" t="s">
        <v>24551</v>
      </c>
      <c r="J7149" s="1" t="s">
        <v>3606</v>
      </c>
      <c r="K7149" s="1" t="s">
        <v>24552</v>
      </c>
      <c r="L7149" s="1"/>
      <c r="M7149" s="1"/>
    </row>
    <row x14ac:dyDescent="0.25" r="7150" customHeight="1" ht="18.75">
      <c r="A7150" s="1" t="s">
        <v>7833</v>
      </c>
      <c r="B7150" s="1" t="s">
        <v>14256</v>
      </c>
      <c r="C7150" s="1" t="s">
        <v>4488</v>
      </c>
      <c r="D7150" s="1" t="s">
        <v>3610</v>
      </c>
      <c r="E7150" s="1" t="s">
        <v>3664</v>
      </c>
      <c r="F7150" s="1" t="s">
        <v>24553</v>
      </c>
      <c r="G7150" s="1" t="s">
        <v>14549</v>
      </c>
      <c r="H7150" s="1" t="s">
        <v>3604</v>
      </c>
      <c r="I7150" s="1" t="s">
        <v>24554</v>
      </c>
      <c r="J7150" s="1" t="s">
        <v>3606</v>
      </c>
      <c r="K7150" s="1" t="s">
        <v>24555</v>
      </c>
      <c r="L7150" s="1"/>
      <c r="M7150" s="1"/>
    </row>
    <row x14ac:dyDescent="0.25" r="7151" customHeight="1" ht="18.75">
      <c r="A7151" s="1" t="s">
        <v>7833</v>
      </c>
      <c r="B7151" s="1" t="s">
        <v>14256</v>
      </c>
      <c r="C7151" s="1" t="s">
        <v>4488</v>
      </c>
      <c r="D7151" s="1" t="s">
        <v>3610</v>
      </c>
      <c r="E7151" s="1" t="s">
        <v>3664</v>
      </c>
      <c r="F7151" s="1" t="s">
        <v>24556</v>
      </c>
      <c r="G7151" s="1" t="s">
        <v>14549</v>
      </c>
      <c r="H7151" s="1" t="s">
        <v>3604</v>
      </c>
      <c r="I7151" s="1" t="s">
        <v>24557</v>
      </c>
      <c r="J7151" s="1" t="s">
        <v>3606</v>
      </c>
      <c r="K7151" s="1" t="s">
        <v>24558</v>
      </c>
      <c r="L7151" s="1"/>
      <c r="M7151" s="1"/>
    </row>
    <row x14ac:dyDescent="0.25" r="7152" customHeight="1" ht="18.75">
      <c r="A7152" s="1" t="s">
        <v>7833</v>
      </c>
      <c r="B7152" s="1" t="s">
        <v>14256</v>
      </c>
      <c r="C7152" s="1" t="s">
        <v>4488</v>
      </c>
      <c r="D7152" s="1" t="s">
        <v>3610</v>
      </c>
      <c r="E7152" s="1" t="s">
        <v>3664</v>
      </c>
      <c r="F7152" s="1" t="s">
        <v>24559</v>
      </c>
      <c r="G7152" s="1" t="s">
        <v>14549</v>
      </c>
      <c r="H7152" s="1" t="s">
        <v>3604</v>
      </c>
      <c r="I7152" s="1" t="s">
        <v>24560</v>
      </c>
      <c r="J7152" s="1" t="s">
        <v>3606</v>
      </c>
      <c r="K7152" s="1" t="s">
        <v>24561</v>
      </c>
      <c r="L7152" s="1"/>
      <c r="M7152" s="1"/>
    </row>
    <row x14ac:dyDescent="0.25" r="7153" customHeight="1" ht="18.75">
      <c r="A7153" s="1" t="s">
        <v>3693</v>
      </c>
      <c r="B7153" s="1" t="s">
        <v>4192</v>
      </c>
      <c r="C7153" s="1" t="s">
        <v>3600</v>
      </c>
      <c r="D7153" s="1" t="s">
        <v>8373</v>
      </c>
      <c r="E7153" s="1" t="s">
        <v>3893</v>
      </c>
      <c r="F7153" s="1" t="s">
        <v>24562</v>
      </c>
      <c r="G7153" s="1" t="s">
        <v>4428</v>
      </c>
      <c r="H7153" s="1" t="s">
        <v>3604</v>
      </c>
      <c r="I7153" s="1" t="s">
        <v>24563</v>
      </c>
      <c r="J7153" s="1" t="s">
        <v>3606</v>
      </c>
      <c r="K7153" s="1" t="s">
        <v>24564</v>
      </c>
      <c r="L7153" s="1"/>
      <c r="M7153" s="1"/>
    </row>
    <row x14ac:dyDescent="0.25" r="7154" customHeight="1" ht="18.75">
      <c r="A7154" s="1" t="s">
        <v>3693</v>
      </c>
      <c r="B7154" s="1" t="s">
        <v>4192</v>
      </c>
      <c r="C7154" s="1" t="s">
        <v>3600</v>
      </c>
      <c r="D7154" s="1" t="s">
        <v>8373</v>
      </c>
      <c r="E7154" s="1" t="s">
        <v>3893</v>
      </c>
      <c r="F7154" s="1" t="s">
        <v>24565</v>
      </c>
      <c r="G7154" s="1" t="s">
        <v>4428</v>
      </c>
      <c r="H7154" s="1" t="s">
        <v>3604</v>
      </c>
      <c r="I7154" s="1" t="s">
        <v>24566</v>
      </c>
      <c r="J7154" s="1" t="s">
        <v>3606</v>
      </c>
      <c r="K7154" s="1" t="s">
        <v>24567</v>
      </c>
      <c r="L7154" s="1"/>
      <c r="M7154" s="1"/>
    </row>
    <row x14ac:dyDescent="0.25" r="7155" customHeight="1" ht="18.75">
      <c r="A7155" s="1" t="s">
        <v>3693</v>
      </c>
      <c r="B7155" s="1" t="s">
        <v>4192</v>
      </c>
      <c r="C7155" s="1" t="s">
        <v>3600</v>
      </c>
      <c r="D7155" s="1" t="s">
        <v>8373</v>
      </c>
      <c r="E7155" s="1" t="s">
        <v>3893</v>
      </c>
      <c r="F7155" s="1" t="s">
        <v>24568</v>
      </c>
      <c r="G7155" s="1" t="s">
        <v>4428</v>
      </c>
      <c r="H7155" s="1" t="s">
        <v>3604</v>
      </c>
      <c r="I7155" s="1" t="s">
        <v>24569</v>
      </c>
      <c r="J7155" s="1" t="s">
        <v>3606</v>
      </c>
      <c r="K7155" s="1" t="s">
        <v>24570</v>
      </c>
      <c r="L7155" s="1"/>
      <c r="M7155" s="1"/>
    </row>
    <row x14ac:dyDescent="0.25" r="7156" customHeight="1" ht="18.75">
      <c r="A7156" s="1" t="s">
        <v>3693</v>
      </c>
      <c r="B7156" s="1" t="s">
        <v>4192</v>
      </c>
      <c r="C7156" s="1" t="s">
        <v>3600</v>
      </c>
      <c r="D7156" s="1" t="s">
        <v>7891</v>
      </c>
      <c r="E7156" s="1" t="s">
        <v>3893</v>
      </c>
      <c r="F7156" s="1" t="s">
        <v>24571</v>
      </c>
      <c r="G7156" s="1" t="s">
        <v>4428</v>
      </c>
      <c r="H7156" s="1" t="s">
        <v>3604</v>
      </c>
      <c r="I7156" s="1" t="s">
        <v>24572</v>
      </c>
      <c r="J7156" s="1" t="s">
        <v>3606</v>
      </c>
      <c r="K7156" s="1" t="s">
        <v>24573</v>
      </c>
      <c r="L7156" s="1"/>
      <c r="M7156" s="1"/>
    </row>
    <row x14ac:dyDescent="0.25" r="7157" customHeight="1" ht="18.75">
      <c r="A7157" s="1" t="s">
        <v>3693</v>
      </c>
      <c r="B7157" s="1" t="s">
        <v>4192</v>
      </c>
      <c r="C7157" s="1" t="s">
        <v>3600</v>
      </c>
      <c r="D7157" s="1" t="s">
        <v>7891</v>
      </c>
      <c r="E7157" s="1" t="s">
        <v>3893</v>
      </c>
      <c r="F7157" s="1" t="s">
        <v>24574</v>
      </c>
      <c r="G7157" s="1" t="s">
        <v>4428</v>
      </c>
      <c r="H7157" s="1" t="s">
        <v>3604</v>
      </c>
      <c r="I7157" s="1" t="s">
        <v>24575</v>
      </c>
      <c r="J7157" s="1" t="s">
        <v>3606</v>
      </c>
      <c r="K7157" s="1" t="s">
        <v>24576</v>
      </c>
      <c r="L7157" s="1"/>
      <c r="M7157" s="1"/>
    </row>
    <row x14ac:dyDescent="0.25" r="7158" customHeight="1" ht="18.75">
      <c r="A7158" s="1" t="s">
        <v>3693</v>
      </c>
      <c r="B7158" s="1" t="s">
        <v>4192</v>
      </c>
      <c r="C7158" s="1" t="s">
        <v>3600</v>
      </c>
      <c r="D7158" s="1" t="s">
        <v>7891</v>
      </c>
      <c r="E7158" s="1" t="s">
        <v>3893</v>
      </c>
      <c r="F7158" s="1" t="s">
        <v>24577</v>
      </c>
      <c r="G7158" s="1" t="s">
        <v>4428</v>
      </c>
      <c r="H7158" s="1" t="s">
        <v>3604</v>
      </c>
      <c r="I7158" s="1" t="s">
        <v>24578</v>
      </c>
      <c r="J7158" s="1" t="s">
        <v>3606</v>
      </c>
      <c r="K7158" s="1" t="s">
        <v>24579</v>
      </c>
      <c r="L7158" s="1"/>
      <c r="M7158" s="1"/>
    </row>
    <row x14ac:dyDescent="0.25" r="7159" customHeight="1" ht="18.75">
      <c r="A7159" s="1" t="s">
        <v>3693</v>
      </c>
      <c r="B7159" s="1" t="s">
        <v>4083</v>
      </c>
      <c r="C7159" s="1" t="s">
        <v>3600</v>
      </c>
      <c r="D7159" s="1" t="s">
        <v>3695</v>
      </c>
      <c r="E7159" s="1" t="s">
        <v>3893</v>
      </c>
      <c r="F7159" s="1" t="s">
        <v>24580</v>
      </c>
      <c r="G7159" s="1" t="s">
        <v>4553</v>
      </c>
      <c r="H7159" s="1" t="s">
        <v>3604</v>
      </c>
      <c r="I7159" s="1" t="s">
        <v>24581</v>
      </c>
      <c r="J7159" s="1" t="s">
        <v>3615</v>
      </c>
      <c r="K7159" s="1" t="s">
        <v>24582</v>
      </c>
      <c r="L7159" s="1"/>
      <c r="M7159" s="1"/>
    </row>
    <row x14ac:dyDescent="0.25" r="7160" customHeight="1" ht="18.75">
      <c r="A7160" s="1" t="s">
        <v>3693</v>
      </c>
      <c r="B7160" s="1" t="s">
        <v>4162</v>
      </c>
      <c r="C7160" s="1" t="s">
        <v>3619</v>
      </c>
      <c r="D7160" s="1" t="s">
        <v>8373</v>
      </c>
      <c r="E7160" s="1" t="s">
        <v>3664</v>
      </c>
      <c r="F7160" s="1" t="s">
        <v>24583</v>
      </c>
      <c r="G7160" s="1" t="s">
        <v>13737</v>
      </c>
      <c r="H7160" s="1" t="s">
        <v>3604</v>
      </c>
      <c r="I7160" s="1" t="s">
        <v>24584</v>
      </c>
      <c r="J7160" s="1" t="s">
        <v>3606</v>
      </c>
      <c r="K7160" s="1" t="s">
        <v>24585</v>
      </c>
      <c r="L7160" s="1"/>
      <c r="M7160" s="1"/>
    </row>
    <row x14ac:dyDescent="0.25" r="7161" customHeight="1" ht="18.75">
      <c r="A7161" s="1" t="s">
        <v>3693</v>
      </c>
      <c r="B7161" s="1" t="s">
        <v>3957</v>
      </c>
      <c r="C7161" s="1" t="s">
        <v>3600</v>
      </c>
      <c r="D7161" s="1" t="s">
        <v>3695</v>
      </c>
      <c r="E7161" s="1" t="s">
        <v>3664</v>
      </c>
      <c r="F7161" s="1" t="s">
        <v>24586</v>
      </c>
      <c r="G7161" s="1" t="s">
        <v>4009</v>
      </c>
      <c r="H7161" s="1" t="s">
        <v>3604</v>
      </c>
      <c r="I7161" s="1" t="s">
        <v>24587</v>
      </c>
      <c r="J7161" s="1" t="s">
        <v>3606</v>
      </c>
      <c r="K7161" s="1" t="s">
        <v>24588</v>
      </c>
      <c r="L7161" s="1"/>
      <c r="M7161" s="1"/>
    </row>
    <row x14ac:dyDescent="0.25" r="7162" customHeight="1" ht="18.75">
      <c r="A7162" s="1" t="s">
        <v>3693</v>
      </c>
      <c r="B7162" s="1" t="s">
        <v>3957</v>
      </c>
      <c r="C7162" s="1" t="s">
        <v>3600</v>
      </c>
      <c r="D7162" s="1" t="s">
        <v>3695</v>
      </c>
      <c r="E7162" s="1" t="s">
        <v>3664</v>
      </c>
      <c r="F7162" s="1" t="s">
        <v>24589</v>
      </c>
      <c r="G7162" s="1" t="s">
        <v>7442</v>
      </c>
      <c r="H7162" s="1" t="s">
        <v>3604</v>
      </c>
      <c r="I7162" s="1" t="s">
        <v>24590</v>
      </c>
      <c r="J7162" s="1" t="s">
        <v>3615</v>
      </c>
      <c r="K7162" s="1" t="s">
        <v>24591</v>
      </c>
      <c r="L7162" s="1"/>
      <c r="M7162" s="1"/>
    </row>
    <row x14ac:dyDescent="0.25" r="7163" customHeight="1" ht="18.75">
      <c r="A7163" s="1" t="s">
        <v>3693</v>
      </c>
      <c r="B7163" s="1" t="s">
        <v>4247</v>
      </c>
      <c r="C7163" s="1" t="s">
        <v>3600</v>
      </c>
      <c r="D7163" s="1" t="s">
        <v>8373</v>
      </c>
      <c r="E7163" s="1" t="s">
        <v>3893</v>
      </c>
      <c r="F7163" s="1" t="s">
        <v>24592</v>
      </c>
      <c r="G7163" s="1" t="s">
        <v>24593</v>
      </c>
      <c r="H7163" s="1" t="s">
        <v>3604</v>
      </c>
      <c r="I7163" s="1" t="s">
        <v>24594</v>
      </c>
      <c r="J7163" s="1" t="s">
        <v>3615</v>
      </c>
      <c r="K7163" s="1" t="s">
        <v>24595</v>
      </c>
      <c r="L7163" s="1"/>
      <c r="M7163" s="1"/>
    </row>
    <row x14ac:dyDescent="0.25" r="7164" customHeight="1" ht="18.75">
      <c r="A7164" s="1" t="s">
        <v>3693</v>
      </c>
      <c r="B7164" s="1" t="s">
        <v>3957</v>
      </c>
      <c r="C7164" s="1" t="s">
        <v>3600</v>
      </c>
      <c r="D7164" s="1" t="s">
        <v>3695</v>
      </c>
      <c r="E7164" s="1" t="s">
        <v>3664</v>
      </c>
      <c r="F7164" s="1" t="s">
        <v>24596</v>
      </c>
      <c r="G7164" s="1" t="s">
        <v>7420</v>
      </c>
      <c r="H7164" s="1" t="s">
        <v>3604</v>
      </c>
      <c r="I7164" s="1" t="s">
        <v>24597</v>
      </c>
      <c r="J7164" s="1" t="s">
        <v>3606</v>
      </c>
      <c r="K7164" s="1" t="s">
        <v>24598</v>
      </c>
      <c r="L7164" s="1"/>
      <c r="M7164" s="1"/>
    </row>
    <row x14ac:dyDescent="0.25" r="7165" customHeight="1" ht="18.75">
      <c r="A7165" s="1" t="s">
        <v>3693</v>
      </c>
      <c r="B7165" s="1" t="s">
        <v>5598</v>
      </c>
      <c r="C7165" s="1" t="s">
        <v>3600</v>
      </c>
      <c r="D7165" s="1" t="s">
        <v>3601</v>
      </c>
      <c r="E7165" s="1" t="s">
        <v>3664</v>
      </c>
      <c r="F7165" s="1" t="s">
        <v>24599</v>
      </c>
      <c r="G7165" s="1" t="s">
        <v>6316</v>
      </c>
      <c r="H7165" s="1" t="s">
        <v>3604</v>
      </c>
      <c r="I7165" s="1" t="s">
        <v>24600</v>
      </c>
      <c r="J7165" s="1" t="s">
        <v>3615</v>
      </c>
      <c r="K7165" s="1" t="s">
        <v>24601</v>
      </c>
      <c r="L7165" s="1"/>
      <c r="M7165" s="1"/>
    </row>
    <row x14ac:dyDescent="0.25" r="7166" customHeight="1" ht="18.75">
      <c r="A7166" s="1" t="s">
        <v>3693</v>
      </c>
      <c r="B7166" s="1" t="s">
        <v>4152</v>
      </c>
      <c r="C7166" s="1" t="s">
        <v>3600</v>
      </c>
      <c r="D7166" s="1" t="s">
        <v>3601</v>
      </c>
      <c r="E7166" s="1" t="s">
        <v>3752</v>
      </c>
      <c r="F7166" s="1" t="s">
        <v>24602</v>
      </c>
      <c r="G7166" s="1" t="s">
        <v>4475</v>
      </c>
      <c r="H7166" s="1" t="s">
        <v>3604</v>
      </c>
      <c r="I7166" s="1" t="s">
        <v>24603</v>
      </c>
      <c r="J7166" s="1" t="s">
        <v>3615</v>
      </c>
      <c r="K7166" s="1" t="s">
        <v>24604</v>
      </c>
      <c r="L7166" s="1"/>
      <c r="M7166" s="1"/>
    </row>
    <row x14ac:dyDescent="0.25" r="7167" customHeight="1" ht="18.75">
      <c r="A7167" s="1" t="s">
        <v>3693</v>
      </c>
      <c r="B7167" s="1" t="s">
        <v>3957</v>
      </c>
      <c r="C7167" s="1" t="s">
        <v>3600</v>
      </c>
      <c r="D7167" s="1" t="s">
        <v>3695</v>
      </c>
      <c r="E7167" s="1" t="s">
        <v>3664</v>
      </c>
      <c r="F7167" s="1" t="s">
        <v>24605</v>
      </c>
      <c r="G7167" s="1" t="s">
        <v>4738</v>
      </c>
      <c r="H7167" s="1" t="s">
        <v>3604</v>
      </c>
      <c r="I7167" s="1" t="s">
        <v>24606</v>
      </c>
      <c r="J7167" s="1" t="s">
        <v>3615</v>
      </c>
      <c r="K7167" s="1" t="s">
        <v>24598</v>
      </c>
      <c r="L7167" s="1"/>
      <c r="M7167" s="1"/>
    </row>
    <row x14ac:dyDescent="0.25" r="7168" customHeight="1" ht="18.75">
      <c r="A7168" s="1" t="s">
        <v>3693</v>
      </c>
      <c r="B7168" s="1" t="s">
        <v>4332</v>
      </c>
      <c r="C7168" s="1" t="s">
        <v>3600</v>
      </c>
      <c r="D7168" s="1" t="s">
        <v>3695</v>
      </c>
      <c r="E7168" s="1" t="s">
        <v>3893</v>
      </c>
      <c r="F7168" s="1" t="s">
        <v>24607</v>
      </c>
      <c r="G7168" s="1" t="s">
        <v>5609</v>
      </c>
      <c r="H7168" s="1" t="s">
        <v>3604</v>
      </c>
      <c r="I7168" s="1" t="s">
        <v>24608</v>
      </c>
      <c r="J7168" s="1" t="s">
        <v>3606</v>
      </c>
      <c r="K7168" s="1" t="s">
        <v>24609</v>
      </c>
      <c r="L7168" s="1"/>
      <c r="M7168" s="1"/>
    </row>
    <row x14ac:dyDescent="0.25" r="7169" customHeight="1" ht="18.75">
      <c r="A7169" s="1" t="s">
        <v>3693</v>
      </c>
      <c r="B7169" s="1" t="s">
        <v>4091</v>
      </c>
      <c r="C7169" s="1" t="s">
        <v>3600</v>
      </c>
      <c r="D7169" s="1" t="s">
        <v>3601</v>
      </c>
      <c r="E7169" s="1" t="s">
        <v>3752</v>
      </c>
      <c r="F7169" s="1" t="s">
        <v>24610</v>
      </c>
      <c r="G7169" s="1" t="s">
        <v>23297</v>
      </c>
      <c r="H7169" s="1" t="s">
        <v>3604</v>
      </c>
      <c r="I7169" s="1" t="s">
        <v>24611</v>
      </c>
      <c r="J7169" s="1" t="s">
        <v>3615</v>
      </c>
      <c r="K7169" s="1" t="s">
        <v>24612</v>
      </c>
      <c r="L7169" s="1"/>
      <c r="M7169" s="1"/>
    </row>
    <row x14ac:dyDescent="0.25" r="7170" customHeight="1" ht="18.75">
      <c r="A7170" s="1" t="s">
        <v>3693</v>
      </c>
      <c r="B7170" s="1" t="s">
        <v>4091</v>
      </c>
      <c r="C7170" s="1" t="s">
        <v>3600</v>
      </c>
      <c r="D7170" s="1" t="s">
        <v>3601</v>
      </c>
      <c r="E7170" s="1" t="s">
        <v>3752</v>
      </c>
      <c r="F7170" s="1" t="s">
        <v>24613</v>
      </c>
      <c r="G7170" s="1" t="s">
        <v>23297</v>
      </c>
      <c r="H7170" s="1" t="s">
        <v>3604</v>
      </c>
      <c r="I7170" s="1" t="s">
        <v>24614</v>
      </c>
      <c r="J7170" s="1" t="s">
        <v>3615</v>
      </c>
      <c r="K7170" s="1" t="s">
        <v>24612</v>
      </c>
      <c r="L7170" s="1"/>
      <c r="M7170" s="1"/>
    </row>
    <row x14ac:dyDescent="0.25" r="7171" customHeight="1" ht="18.75">
      <c r="A7171" s="1" t="s">
        <v>3693</v>
      </c>
      <c r="B7171" s="1" t="s">
        <v>4332</v>
      </c>
      <c r="C7171" s="1" t="s">
        <v>3600</v>
      </c>
      <c r="D7171" s="1" t="s">
        <v>3601</v>
      </c>
      <c r="E7171" s="1" t="s">
        <v>3893</v>
      </c>
      <c r="F7171" s="1" t="s">
        <v>24615</v>
      </c>
      <c r="G7171" s="1" t="s">
        <v>18705</v>
      </c>
      <c r="H7171" s="1" t="s">
        <v>3604</v>
      </c>
      <c r="I7171" s="1" t="s">
        <v>24616</v>
      </c>
      <c r="J7171" s="1" t="s">
        <v>3615</v>
      </c>
      <c r="K7171" s="1" t="s">
        <v>24617</v>
      </c>
      <c r="L7171" s="1"/>
      <c r="M7171" s="1"/>
    </row>
    <row x14ac:dyDescent="0.25" r="7172" customHeight="1" ht="18.75">
      <c r="A7172" s="1" t="s">
        <v>3693</v>
      </c>
      <c r="B7172" s="1" t="s">
        <v>4247</v>
      </c>
      <c r="C7172" s="1" t="s">
        <v>3600</v>
      </c>
      <c r="D7172" s="1" t="s">
        <v>3695</v>
      </c>
      <c r="E7172" s="1" t="s">
        <v>3664</v>
      </c>
      <c r="F7172" s="1" t="s">
        <v>24618</v>
      </c>
      <c r="G7172" s="1" t="s">
        <v>4735</v>
      </c>
      <c r="H7172" s="1" t="s">
        <v>3604</v>
      </c>
      <c r="I7172" s="1" t="s">
        <v>24619</v>
      </c>
      <c r="J7172" s="1" t="s">
        <v>3615</v>
      </c>
      <c r="K7172" s="1" t="s">
        <v>24488</v>
      </c>
      <c r="L7172" s="1"/>
      <c r="M7172" s="1"/>
    </row>
    <row x14ac:dyDescent="0.25" r="7173" customHeight="1" ht="18.75">
      <c r="A7173" s="1" t="s">
        <v>3693</v>
      </c>
      <c r="B7173" s="1" t="s">
        <v>3957</v>
      </c>
      <c r="C7173" s="1" t="s">
        <v>3600</v>
      </c>
      <c r="D7173" s="1" t="s">
        <v>3695</v>
      </c>
      <c r="E7173" s="1" t="s">
        <v>3664</v>
      </c>
      <c r="F7173" s="1" t="s">
        <v>24620</v>
      </c>
      <c r="G7173" s="1" t="s">
        <v>4741</v>
      </c>
      <c r="H7173" s="1" t="s">
        <v>3604</v>
      </c>
      <c r="I7173" s="1" t="s">
        <v>24621</v>
      </c>
      <c r="J7173" s="1" t="s">
        <v>3615</v>
      </c>
      <c r="K7173" s="1" t="s">
        <v>24598</v>
      </c>
      <c r="L7173" s="1"/>
      <c r="M7173" s="1"/>
    </row>
    <row x14ac:dyDescent="0.25" r="7174" customHeight="1" ht="18.75">
      <c r="A7174" s="1" t="s">
        <v>3693</v>
      </c>
      <c r="B7174" s="1" t="s">
        <v>4267</v>
      </c>
      <c r="C7174" s="1" t="s">
        <v>3600</v>
      </c>
      <c r="D7174" s="1" t="s">
        <v>3610</v>
      </c>
      <c r="E7174" s="1" t="s">
        <v>3664</v>
      </c>
      <c r="F7174" s="1" t="s">
        <v>24622</v>
      </c>
      <c r="G7174" s="1" t="s">
        <v>5651</v>
      </c>
      <c r="H7174" s="1" t="s">
        <v>3604</v>
      </c>
      <c r="I7174" s="1" t="s">
        <v>24623</v>
      </c>
      <c r="J7174" s="1" t="s">
        <v>3606</v>
      </c>
      <c r="K7174" s="1" t="s">
        <v>24624</v>
      </c>
      <c r="L7174" s="1"/>
      <c r="M7174" s="1"/>
    </row>
    <row x14ac:dyDescent="0.25" r="7175" customHeight="1" ht="18.75">
      <c r="A7175" s="1" t="s">
        <v>7833</v>
      </c>
      <c r="B7175" s="1" t="s">
        <v>7861</v>
      </c>
      <c r="C7175" s="1" t="s">
        <v>4488</v>
      </c>
      <c r="D7175" s="1" t="s">
        <v>3601</v>
      </c>
      <c r="E7175" s="1" t="s">
        <v>3664</v>
      </c>
      <c r="F7175" s="1" t="s">
        <v>24625</v>
      </c>
      <c r="G7175" s="1" t="s">
        <v>7863</v>
      </c>
      <c r="H7175" s="1" t="s">
        <v>3604</v>
      </c>
      <c r="I7175" s="1" t="s">
        <v>24626</v>
      </c>
      <c r="J7175" s="1" t="s">
        <v>3606</v>
      </c>
      <c r="K7175" s="1" t="s">
        <v>24627</v>
      </c>
      <c r="L7175" s="1"/>
      <c r="M7175" s="1"/>
    </row>
    <row x14ac:dyDescent="0.25" r="7176" customHeight="1" ht="18.75">
      <c r="A7176" s="1" t="s">
        <v>3693</v>
      </c>
      <c r="B7176" s="1" t="s">
        <v>4267</v>
      </c>
      <c r="C7176" s="1" t="s">
        <v>3600</v>
      </c>
      <c r="D7176" s="1" t="s">
        <v>3610</v>
      </c>
      <c r="E7176" s="1" t="s">
        <v>3893</v>
      </c>
      <c r="F7176" s="1" t="s">
        <v>24628</v>
      </c>
      <c r="G7176" s="1" t="s">
        <v>5651</v>
      </c>
      <c r="H7176" s="1" t="s">
        <v>3604</v>
      </c>
      <c r="I7176" s="1" t="s">
        <v>24629</v>
      </c>
      <c r="J7176" s="1" t="s">
        <v>3606</v>
      </c>
      <c r="K7176" s="1" t="s">
        <v>24630</v>
      </c>
      <c r="L7176" s="1"/>
      <c r="M7176" s="1"/>
    </row>
    <row x14ac:dyDescent="0.25" r="7177" customHeight="1" ht="18.75">
      <c r="A7177" s="1" t="s">
        <v>3693</v>
      </c>
      <c r="B7177" s="1" t="s">
        <v>4267</v>
      </c>
      <c r="C7177" s="1" t="s">
        <v>3600</v>
      </c>
      <c r="D7177" s="1" t="s">
        <v>3610</v>
      </c>
      <c r="E7177" s="1" t="s">
        <v>3893</v>
      </c>
      <c r="F7177" s="1" t="s">
        <v>24631</v>
      </c>
      <c r="G7177" s="1" t="s">
        <v>5651</v>
      </c>
      <c r="H7177" s="1" t="s">
        <v>3604</v>
      </c>
      <c r="I7177" s="1" t="s">
        <v>24632</v>
      </c>
      <c r="J7177" s="1" t="s">
        <v>3606</v>
      </c>
      <c r="K7177" s="1" t="s">
        <v>24633</v>
      </c>
      <c r="L7177" s="1"/>
      <c r="M7177" s="1"/>
    </row>
    <row x14ac:dyDescent="0.25" r="7178" customHeight="1" ht="18.75">
      <c r="A7178" s="1" t="s">
        <v>3693</v>
      </c>
      <c r="B7178" s="1" t="s">
        <v>4332</v>
      </c>
      <c r="C7178" s="1" t="s">
        <v>3600</v>
      </c>
      <c r="D7178" s="1" t="s">
        <v>3601</v>
      </c>
      <c r="E7178" s="1" t="s">
        <v>3893</v>
      </c>
      <c r="F7178" s="1" t="s">
        <v>24634</v>
      </c>
      <c r="G7178" s="1" t="s">
        <v>8394</v>
      </c>
      <c r="H7178" s="1" t="s">
        <v>3604</v>
      </c>
      <c r="I7178" s="1" t="s">
        <v>24635</v>
      </c>
      <c r="J7178" s="1" t="s">
        <v>3615</v>
      </c>
      <c r="K7178" s="1" t="s">
        <v>24636</v>
      </c>
      <c r="L7178" s="1"/>
      <c r="M7178" s="1"/>
    </row>
    <row x14ac:dyDescent="0.25" r="7179" customHeight="1" ht="18.75">
      <c r="A7179" s="1" t="s">
        <v>3693</v>
      </c>
      <c r="B7179" s="1" t="s">
        <v>4267</v>
      </c>
      <c r="C7179" s="1" t="s">
        <v>3600</v>
      </c>
      <c r="D7179" s="1" t="s">
        <v>3610</v>
      </c>
      <c r="E7179" s="1" t="s">
        <v>3893</v>
      </c>
      <c r="F7179" s="1" t="s">
        <v>24637</v>
      </c>
      <c r="G7179" s="1" t="s">
        <v>5651</v>
      </c>
      <c r="H7179" s="1" t="s">
        <v>3604</v>
      </c>
      <c r="I7179" s="1" t="s">
        <v>24638</v>
      </c>
      <c r="J7179" s="1" t="s">
        <v>3606</v>
      </c>
      <c r="K7179" s="1" t="s">
        <v>24639</v>
      </c>
      <c r="L7179" s="1"/>
      <c r="M7179" s="1"/>
    </row>
    <row x14ac:dyDescent="0.25" r="7180" customHeight="1" ht="18.75">
      <c r="A7180" s="1" t="s">
        <v>3693</v>
      </c>
      <c r="B7180" s="1" t="s">
        <v>4083</v>
      </c>
      <c r="C7180" s="1" t="s">
        <v>3600</v>
      </c>
      <c r="D7180" s="1" t="s">
        <v>3695</v>
      </c>
      <c r="E7180" s="1" t="s">
        <v>3893</v>
      </c>
      <c r="F7180" s="1" t="s">
        <v>24640</v>
      </c>
      <c r="G7180" s="1" t="s">
        <v>4428</v>
      </c>
      <c r="H7180" s="1" t="s">
        <v>3604</v>
      </c>
      <c r="I7180" s="1" t="s">
        <v>24641</v>
      </c>
      <c r="J7180" s="1" t="s">
        <v>3615</v>
      </c>
      <c r="K7180" s="1" t="s">
        <v>24642</v>
      </c>
      <c r="L7180" s="1"/>
      <c r="M7180" s="1"/>
    </row>
    <row x14ac:dyDescent="0.25" r="7181" customHeight="1" ht="18.75">
      <c r="A7181" s="1" t="s">
        <v>7833</v>
      </c>
      <c r="B7181" s="1" t="s">
        <v>24643</v>
      </c>
      <c r="C7181" s="1" t="s">
        <v>4488</v>
      </c>
      <c r="D7181" s="1" t="s">
        <v>3601</v>
      </c>
      <c r="E7181" s="1" t="s">
        <v>8096</v>
      </c>
      <c r="F7181" s="1" t="s">
        <v>24644</v>
      </c>
      <c r="G7181" s="1" t="s">
        <v>24643</v>
      </c>
      <c r="H7181" s="1" t="s">
        <v>3604</v>
      </c>
      <c r="I7181" s="1" t="s">
        <v>24645</v>
      </c>
      <c r="J7181" s="1" t="s">
        <v>3606</v>
      </c>
      <c r="K7181" s="1" t="s">
        <v>19477</v>
      </c>
      <c r="L7181" s="1"/>
      <c r="M7181" s="1"/>
    </row>
    <row x14ac:dyDescent="0.25" r="7182" customHeight="1" ht="18.75">
      <c r="A7182" s="1" t="s">
        <v>3693</v>
      </c>
      <c r="B7182" s="1" t="s">
        <v>4229</v>
      </c>
      <c r="C7182" s="1" t="s">
        <v>3619</v>
      </c>
      <c r="D7182" s="1" t="s">
        <v>3601</v>
      </c>
      <c r="E7182" s="1" t="s">
        <v>3611</v>
      </c>
      <c r="F7182" s="1" t="s">
        <v>24646</v>
      </c>
      <c r="G7182" s="1" t="s">
        <v>8129</v>
      </c>
      <c r="H7182" s="1" t="s">
        <v>3604</v>
      </c>
      <c r="I7182" s="1" t="s">
        <v>24647</v>
      </c>
      <c r="J7182" s="1" t="s">
        <v>3606</v>
      </c>
      <c r="K7182" s="1" t="s">
        <v>24648</v>
      </c>
      <c r="L7182" s="1"/>
      <c r="M7182" s="1"/>
    </row>
    <row x14ac:dyDescent="0.25" r="7183" customHeight="1" ht="18.75">
      <c r="A7183" s="1" t="s">
        <v>3693</v>
      </c>
      <c r="B7183" s="1" t="s">
        <v>4229</v>
      </c>
      <c r="C7183" s="1" t="s">
        <v>3619</v>
      </c>
      <c r="D7183" s="1" t="s">
        <v>3601</v>
      </c>
      <c r="E7183" s="1" t="s">
        <v>3611</v>
      </c>
      <c r="F7183" s="1" t="s">
        <v>24649</v>
      </c>
      <c r="G7183" s="1" t="s">
        <v>8118</v>
      </c>
      <c r="H7183" s="1" t="s">
        <v>3604</v>
      </c>
      <c r="I7183" s="1" t="s">
        <v>24650</v>
      </c>
      <c r="J7183" s="1" t="s">
        <v>3606</v>
      </c>
      <c r="K7183" s="1" t="s">
        <v>24651</v>
      </c>
      <c r="L7183" s="1"/>
      <c r="M7183" s="1"/>
    </row>
    <row x14ac:dyDescent="0.25" r="7184" customHeight="1" ht="18.75">
      <c r="A7184" s="1" t="s">
        <v>3693</v>
      </c>
      <c r="B7184" s="1" t="s">
        <v>4267</v>
      </c>
      <c r="C7184" s="1" t="s">
        <v>3600</v>
      </c>
      <c r="D7184" s="1" t="s">
        <v>3601</v>
      </c>
      <c r="E7184" s="1" t="s">
        <v>3893</v>
      </c>
      <c r="F7184" s="1" t="s">
        <v>24652</v>
      </c>
      <c r="G7184" s="1" t="s">
        <v>7125</v>
      </c>
      <c r="H7184" s="1" t="s">
        <v>3604</v>
      </c>
      <c r="I7184" s="1" t="s">
        <v>24653</v>
      </c>
      <c r="J7184" s="1" t="s">
        <v>3606</v>
      </c>
      <c r="K7184" s="1" t="s">
        <v>24181</v>
      </c>
      <c r="L7184" s="1"/>
      <c r="M7184" s="1"/>
    </row>
    <row x14ac:dyDescent="0.25" r="7185" customHeight="1" ht="18.75">
      <c r="A7185" s="1" t="s">
        <v>3693</v>
      </c>
      <c r="B7185" s="1" t="s">
        <v>4229</v>
      </c>
      <c r="C7185" s="1" t="s">
        <v>3619</v>
      </c>
      <c r="D7185" s="1" t="s">
        <v>3601</v>
      </c>
      <c r="E7185" s="1" t="s">
        <v>3611</v>
      </c>
      <c r="F7185" s="1" t="s">
        <v>24654</v>
      </c>
      <c r="G7185" s="1" t="s">
        <v>8122</v>
      </c>
      <c r="H7185" s="1" t="s">
        <v>3604</v>
      </c>
      <c r="I7185" s="1" t="s">
        <v>24655</v>
      </c>
      <c r="J7185" s="1" t="s">
        <v>3606</v>
      </c>
      <c r="K7185" s="1" t="s">
        <v>24656</v>
      </c>
      <c r="L7185" s="1"/>
      <c r="M7185" s="1"/>
    </row>
    <row x14ac:dyDescent="0.25" r="7186" customHeight="1" ht="18.75">
      <c r="A7186" s="1" t="s">
        <v>3693</v>
      </c>
      <c r="B7186" s="1" t="s">
        <v>4267</v>
      </c>
      <c r="C7186" s="1" t="s">
        <v>3600</v>
      </c>
      <c r="D7186" s="1" t="s">
        <v>3610</v>
      </c>
      <c r="E7186" s="1" t="s">
        <v>3893</v>
      </c>
      <c r="F7186" s="1" t="s">
        <v>24657</v>
      </c>
      <c r="G7186" s="1" t="s">
        <v>7125</v>
      </c>
      <c r="H7186" s="1" t="s">
        <v>3604</v>
      </c>
      <c r="I7186" s="1" t="s">
        <v>24658</v>
      </c>
      <c r="J7186" s="1" t="s">
        <v>3606</v>
      </c>
      <c r="K7186" s="1" t="s">
        <v>24659</v>
      </c>
      <c r="L7186" s="1"/>
      <c r="M7186" s="1"/>
    </row>
    <row x14ac:dyDescent="0.25" r="7187" customHeight="1" ht="18.75">
      <c r="A7187" s="1" t="s">
        <v>3693</v>
      </c>
      <c r="B7187" s="1" t="s">
        <v>3957</v>
      </c>
      <c r="C7187" s="1" t="s">
        <v>3600</v>
      </c>
      <c r="D7187" s="1" t="s">
        <v>533</v>
      </c>
      <c r="E7187" s="1" t="s">
        <v>3752</v>
      </c>
      <c r="F7187" s="1" t="s">
        <v>24660</v>
      </c>
      <c r="G7187" s="1" t="s">
        <v>23297</v>
      </c>
      <c r="H7187" s="1" t="s">
        <v>3604</v>
      </c>
      <c r="I7187" s="1" t="s">
        <v>24661</v>
      </c>
      <c r="J7187" s="1" t="s">
        <v>3606</v>
      </c>
      <c r="K7187" s="1" t="s">
        <v>18578</v>
      </c>
      <c r="L7187" s="1"/>
      <c r="M7187" s="1"/>
    </row>
    <row x14ac:dyDescent="0.25" r="7188" customHeight="1" ht="18.75">
      <c r="A7188" s="1" t="s">
        <v>3693</v>
      </c>
      <c r="B7188" s="1" t="s">
        <v>4083</v>
      </c>
      <c r="C7188" s="1" t="s">
        <v>3600</v>
      </c>
      <c r="D7188" s="1" t="s">
        <v>3601</v>
      </c>
      <c r="E7188" s="1" t="s">
        <v>3611</v>
      </c>
      <c r="F7188" s="1" t="s">
        <v>24662</v>
      </c>
      <c r="G7188" s="1" t="s">
        <v>24663</v>
      </c>
      <c r="H7188" s="1" t="s">
        <v>3604</v>
      </c>
      <c r="I7188" s="1" t="s">
        <v>24664</v>
      </c>
      <c r="J7188" s="1" t="s">
        <v>3615</v>
      </c>
      <c r="K7188" s="1" t="s">
        <v>24665</v>
      </c>
      <c r="L7188" s="1"/>
      <c r="M7188" s="1"/>
    </row>
    <row x14ac:dyDescent="0.25" r="7189" customHeight="1" ht="18.75">
      <c r="A7189" s="1" t="s">
        <v>3693</v>
      </c>
      <c r="B7189" s="1" t="s">
        <v>4247</v>
      </c>
      <c r="C7189" s="1" t="s">
        <v>3600</v>
      </c>
      <c r="D7189" s="1" t="s">
        <v>8373</v>
      </c>
      <c r="E7189" s="1" t="s">
        <v>3664</v>
      </c>
      <c r="F7189" s="1" t="s">
        <v>24666</v>
      </c>
      <c r="G7189" s="1" t="s">
        <v>10230</v>
      </c>
      <c r="H7189" s="1" t="s">
        <v>3604</v>
      </c>
      <c r="I7189" s="1" t="s">
        <v>24667</v>
      </c>
      <c r="J7189" s="1" t="s">
        <v>3606</v>
      </c>
      <c r="K7189" s="1" t="s">
        <v>24668</v>
      </c>
      <c r="L7189" s="1"/>
      <c r="M7189" s="1"/>
    </row>
    <row x14ac:dyDescent="0.25" r="7190" customHeight="1" ht="18.75">
      <c r="A7190" s="1" t="s">
        <v>3693</v>
      </c>
      <c r="B7190" s="1" t="s">
        <v>4267</v>
      </c>
      <c r="C7190" s="1" t="s">
        <v>3600</v>
      </c>
      <c r="D7190" s="1" t="s">
        <v>3610</v>
      </c>
      <c r="E7190" s="1" t="s">
        <v>3664</v>
      </c>
      <c r="F7190" s="1" t="s">
        <v>24669</v>
      </c>
      <c r="G7190" s="1" t="s">
        <v>24670</v>
      </c>
      <c r="H7190" s="1" t="s">
        <v>3604</v>
      </c>
      <c r="I7190" s="1" t="s">
        <v>24671</v>
      </c>
      <c r="J7190" s="1" t="s">
        <v>3615</v>
      </c>
      <c r="K7190" s="1" t="s">
        <v>24672</v>
      </c>
      <c r="L7190" s="1"/>
      <c r="M7190" s="1"/>
    </row>
    <row x14ac:dyDescent="0.25" r="7191" customHeight="1" ht="18.75">
      <c r="A7191" s="1" t="s">
        <v>3693</v>
      </c>
      <c r="B7191" s="1" t="s">
        <v>4247</v>
      </c>
      <c r="C7191" s="1" t="s">
        <v>3600</v>
      </c>
      <c r="D7191" s="1" t="s">
        <v>8373</v>
      </c>
      <c r="E7191" s="1" t="s">
        <v>3664</v>
      </c>
      <c r="F7191" s="1" t="s">
        <v>24673</v>
      </c>
      <c r="G7191" s="1" t="s">
        <v>10230</v>
      </c>
      <c r="H7191" s="1" t="s">
        <v>3604</v>
      </c>
      <c r="I7191" s="1" t="s">
        <v>24674</v>
      </c>
      <c r="J7191" s="1" t="s">
        <v>3606</v>
      </c>
      <c r="K7191" s="1" t="s">
        <v>24668</v>
      </c>
      <c r="L7191" s="1"/>
      <c r="M7191" s="1"/>
    </row>
    <row x14ac:dyDescent="0.25" r="7192" customHeight="1" ht="18.75">
      <c r="A7192" s="1" t="s">
        <v>3693</v>
      </c>
      <c r="B7192" s="1" t="s">
        <v>4083</v>
      </c>
      <c r="C7192" s="1" t="s">
        <v>3600</v>
      </c>
      <c r="D7192" s="1" t="s">
        <v>3601</v>
      </c>
      <c r="E7192" s="1" t="s">
        <v>3893</v>
      </c>
      <c r="F7192" s="1" t="s">
        <v>24675</v>
      </c>
      <c r="G7192" s="1" t="s">
        <v>4346</v>
      </c>
      <c r="H7192" s="1" t="s">
        <v>3604</v>
      </c>
      <c r="I7192" s="1" t="s">
        <v>24676</v>
      </c>
      <c r="J7192" s="1" t="s">
        <v>3615</v>
      </c>
      <c r="K7192" s="1" t="s">
        <v>24677</v>
      </c>
      <c r="L7192" s="1"/>
      <c r="M7192" s="1"/>
    </row>
    <row x14ac:dyDescent="0.25" r="7193" customHeight="1" ht="18.75">
      <c r="A7193" s="1" t="s">
        <v>3693</v>
      </c>
      <c r="B7193" s="1" t="s">
        <v>4267</v>
      </c>
      <c r="C7193" s="1" t="s">
        <v>3600</v>
      </c>
      <c r="D7193" s="1" t="s">
        <v>3610</v>
      </c>
      <c r="E7193" s="1" t="s">
        <v>3893</v>
      </c>
      <c r="F7193" s="1" t="s">
        <v>24678</v>
      </c>
      <c r="G7193" s="1" t="s">
        <v>7125</v>
      </c>
      <c r="H7193" s="1" t="s">
        <v>3604</v>
      </c>
      <c r="I7193" s="1" t="s">
        <v>24679</v>
      </c>
      <c r="J7193" s="1" t="s">
        <v>3606</v>
      </c>
      <c r="K7193" s="1" t="s">
        <v>24680</v>
      </c>
      <c r="L7193" s="1"/>
      <c r="M7193" s="1"/>
    </row>
    <row x14ac:dyDescent="0.25" r="7194" customHeight="1" ht="18.75">
      <c r="A7194" s="1" t="s">
        <v>3693</v>
      </c>
      <c r="B7194" s="1" t="s">
        <v>4267</v>
      </c>
      <c r="C7194" s="1" t="s">
        <v>3600</v>
      </c>
      <c r="D7194" s="1" t="s">
        <v>3610</v>
      </c>
      <c r="E7194" s="1" t="s">
        <v>3664</v>
      </c>
      <c r="F7194" s="1" t="s">
        <v>24681</v>
      </c>
      <c r="G7194" s="1" t="s">
        <v>24670</v>
      </c>
      <c r="H7194" s="1" t="s">
        <v>3604</v>
      </c>
      <c r="I7194" s="1" t="s">
        <v>24682</v>
      </c>
      <c r="J7194" s="1" t="s">
        <v>3615</v>
      </c>
      <c r="K7194" s="1" t="s">
        <v>24683</v>
      </c>
      <c r="L7194" s="1"/>
      <c r="M7194" s="1"/>
    </row>
    <row x14ac:dyDescent="0.25" r="7195" customHeight="1" ht="18.75">
      <c r="A7195" s="1" t="s">
        <v>3693</v>
      </c>
      <c r="B7195" s="1" t="s">
        <v>4267</v>
      </c>
      <c r="C7195" s="1" t="s">
        <v>3600</v>
      </c>
      <c r="D7195" s="1" t="s">
        <v>3610</v>
      </c>
      <c r="E7195" s="1" t="s">
        <v>3664</v>
      </c>
      <c r="F7195" s="1" t="s">
        <v>24684</v>
      </c>
      <c r="G7195" s="1" t="s">
        <v>4268</v>
      </c>
      <c r="H7195" s="1" t="s">
        <v>3604</v>
      </c>
      <c r="I7195" s="1" t="s">
        <v>24685</v>
      </c>
      <c r="J7195" s="1" t="s">
        <v>3606</v>
      </c>
      <c r="K7195" s="1" t="s">
        <v>24686</v>
      </c>
      <c r="L7195" s="1"/>
      <c r="M7195" s="1"/>
    </row>
    <row x14ac:dyDescent="0.25" r="7196" customHeight="1" ht="18.75">
      <c r="A7196" s="1" t="s">
        <v>3693</v>
      </c>
      <c r="B7196" s="1" t="s">
        <v>4267</v>
      </c>
      <c r="C7196" s="1" t="s">
        <v>3600</v>
      </c>
      <c r="D7196" s="1" t="s">
        <v>3610</v>
      </c>
      <c r="E7196" s="1" t="s">
        <v>3893</v>
      </c>
      <c r="F7196" s="1" t="s">
        <v>24687</v>
      </c>
      <c r="G7196" s="1" t="s">
        <v>5651</v>
      </c>
      <c r="H7196" s="1" t="s">
        <v>3604</v>
      </c>
      <c r="I7196" s="1" t="s">
        <v>24688</v>
      </c>
      <c r="J7196" s="1" t="s">
        <v>3606</v>
      </c>
      <c r="K7196" s="1" t="s">
        <v>24689</v>
      </c>
      <c r="L7196" s="1"/>
      <c r="M7196" s="1"/>
    </row>
    <row x14ac:dyDescent="0.25" r="7197" customHeight="1" ht="18.75">
      <c r="A7197" s="1" t="s">
        <v>3693</v>
      </c>
      <c r="B7197" s="1" t="s">
        <v>4267</v>
      </c>
      <c r="C7197" s="1" t="s">
        <v>3600</v>
      </c>
      <c r="D7197" s="1" t="s">
        <v>3610</v>
      </c>
      <c r="E7197" s="1" t="s">
        <v>3893</v>
      </c>
      <c r="F7197" s="1" t="s">
        <v>24690</v>
      </c>
      <c r="G7197" s="1" t="s">
        <v>4268</v>
      </c>
      <c r="H7197" s="1" t="s">
        <v>3604</v>
      </c>
      <c r="I7197" s="1" t="s">
        <v>24691</v>
      </c>
      <c r="J7197" s="1" t="s">
        <v>3606</v>
      </c>
      <c r="K7197" s="1" t="s">
        <v>24692</v>
      </c>
      <c r="L7197" s="1"/>
      <c r="M7197" s="1"/>
    </row>
    <row x14ac:dyDescent="0.25" r="7198" customHeight="1" ht="18.75">
      <c r="A7198" s="1" t="s">
        <v>3693</v>
      </c>
      <c r="B7198" s="1" t="s">
        <v>4267</v>
      </c>
      <c r="C7198" s="1" t="s">
        <v>3600</v>
      </c>
      <c r="D7198" s="1" t="s">
        <v>3610</v>
      </c>
      <c r="E7198" s="1" t="s">
        <v>3893</v>
      </c>
      <c r="F7198" s="1" t="s">
        <v>24693</v>
      </c>
      <c r="G7198" s="1" t="s">
        <v>4268</v>
      </c>
      <c r="H7198" s="1" t="s">
        <v>3604</v>
      </c>
      <c r="I7198" s="1" t="s">
        <v>24694</v>
      </c>
      <c r="J7198" s="1" t="s">
        <v>3606</v>
      </c>
      <c r="K7198" s="1" t="s">
        <v>24695</v>
      </c>
      <c r="L7198" s="1"/>
      <c r="M7198" s="1"/>
    </row>
    <row x14ac:dyDescent="0.25" r="7199" customHeight="1" ht="18.75">
      <c r="A7199" s="1" t="s">
        <v>3693</v>
      </c>
      <c r="B7199" s="1" t="s">
        <v>4267</v>
      </c>
      <c r="C7199" s="1" t="s">
        <v>3600</v>
      </c>
      <c r="D7199" s="1" t="s">
        <v>3610</v>
      </c>
      <c r="E7199" s="1" t="s">
        <v>3893</v>
      </c>
      <c r="F7199" s="1" t="s">
        <v>24696</v>
      </c>
      <c r="G7199" s="1" t="s">
        <v>6678</v>
      </c>
      <c r="H7199" s="1" t="s">
        <v>3604</v>
      </c>
      <c r="I7199" s="1" t="s">
        <v>24697</v>
      </c>
      <c r="J7199" s="1" t="s">
        <v>3615</v>
      </c>
      <c r="K7199" s="1" t="s">
        <v>24698</v>
      </c>
      <c r="L7199" s="1"/>
      <c r="M7199" s="1"/>
    </row>
    <row x14ac:dyDescent="0.25" r="7200" customHeight="1" ht="18.75">
      <c r="A7200" s="1" t="s">
        <v>3693</v>
      </c>
      <c r="B7200" s="1" t="s">
        <v>4332</v>
      </c>
      <c r="C7200" s="1" t="s">
        <v>3600</v>
      </c>
      <c r="D7200" s="1" t="s">
        <v>3601</v>
      </c>
      <c r="E7200" s="1" t="s">
        <v>3893</v>
      </c>
      <c r="F7200" s="1" t="s">
        <v>24699</v>
      </c>
      <c r="G7200" s="1" t="s">
        <v>8394</v>
      </c>
      <c r="H7200" s="1" t="s">
        <v>3604</v>
      </c>
      <c r="I7200" s="1" t="s">
        <v>24700</v>
      </c>
      <c r="J7200" s="1" t="s">
        <v>3615</v>
      </c>
      <c r="K7200" s="1" t="s">
        <v>24701</v>
      </c>
      <c r="L7200" s="1"/>
      <c r="M7200" s="1"/>
    </row>
    <row x14ac:dyDescent="0.25" r="7201" customHeight="1" ht="18.75">
      <c r="A7201" s="1" t="s">
        <v>3693</v>
      </c>
      <c r="B7201" s="1" t="s">
        <v>4091</v>
      </c>
      <c r="C7201" s="1" t="s">
        <v>3600</v>
      </c>
      <c r="D7201" s="1" t="s">
        <v>3695</v>
      </c>
      <c r="E7201" s="1" t="s">
        <v>3893</v>
      </c>
      <c r="F7201" s="1" t="s">
        <v>24702</v>
      </c>
      <c r="G7201" s="1" t="s">
        <v>4468</v>
      </c>
      <c r="H7201" s="1" t="s">
        <v>3604</v>
      </c>
      <c r="I7201" s="1" t="s">
        <v>24703</v>
      </c>
      <c r="J7201" s="1" t="s">
        <v>3615</v>
      </c>
      <c r="K7201" s="1" t="s">
        <v>24704</v>
      </c>
      <c r="L7201" s="1"/>
      <c r="M7201" s="1"/>
    </row>
    <row x14ac:dyDescent="0.25" r="7202" customHeight="1" ht="18.75">
      <c r="A7202" s="1" t="s">
        <v>3693</v>
      </c>
      <c r="B7202" s="1" t="s">
        <v>4091</v>
      </c>
      <c r="C7202" s="1" t="s">
        <v>3600</v>
      </c>
      <c r="D7202" s="1" t="s">
        <v>3695</v>
      </c>
      <c r="E7202" s="1" t="s">
        <v>3752</v>
      </c>
      <c r="F7202" s="1" t="s">
        <v>24705</v>
      </c>
      <c r="G7202" s="1" t="s">
        <v>5682</v>
      </c>
      <c r="H7202" s="1" t="s">
        <v>3604</v>
      </c>
      <c r="I7202" s="1" t="s">
        <v>24706</v>
      </c>
      <c r="J7202" s="1" t="s">
        <v>3615</v>
      </c>
      <c r="K7202" s="1" t="s">
        <v>24707</v>
      </c>
      <c r="L7202" s="1"/>
      <c r="M7202" s="1"/>
    </row>
    <row x14ac:dyDescent="0.25" r="7203" customHeight="1" ht="18.75">
      <c r="A7203" s="1" t="s">
        <v>3693</v>
      </c>
      <c r="B7203" s="1" t="s">
        <v>4091</v>
      </c>
      <c r="C7203" s="1" t="s">
        <v>3600</v>
      </c>
      <c r="D7203" s="1" t="s">
        <v>3695</v>
      </c>
      <c r="E7203" s="1" t="s">
        <v>3893</v>
      </c>
      <c r="F7203" s="1" t="s">
        <v>24708</v>
      </c>
      <c r="G7203" s="1" t="s">
        <v>4468</v>
      </c>
      <c r="H7203" s="1" t="s">
        <v>3604</v>
      </c>
      <c r="I7203" s="1" t="s">
        <v>24709</v>
      </c>
      <c r="J7203" s="1" t="s">
        <v>3615</v>
      </c>
      <c r="K7203" s="1" t="s">
        <v>24710</v>
      </c>
      <c r="L7203" s="1"/>
      <c r="M7203" s="1"/>
    </row>
    <row x14ac:dyDescent="0.25" r="7204" customHeight="1" ht="18.75">
      <c r="A7204" s="1" t="s">
        <v>3693</v>
      </c>
      <c r="B7204" s="1" t="s">
        <v>4091</v>
      </c>
      <c r="C7204" s="1" t="s">
        <v>3600</v>
      </c>
      <c r="D7204" s="1" t="s">
        <v>3695</v>
      </c>
      <c r="E7204" s="1" t="s">
        <v>3893</v>
      </c>
      <c r="F7204" s="1" t="s">
        <v>24711</v>
      </c>
      <c r="G7204" s="1" t="s">
        <v>4468</v>
      </c>
      <c r="H7204" s="1" t="s">
        <v>3604</v>
      </c>
      <c r="I7204" s="1" t="s">
        <v>24712</v>
      </c>
      <c r="J7204" s="1" t="s">
        <v>3615</v>
      </c>
      <c r="K7204" s="1" t="s">
        <v>24713</v>
      </c>
      <c r="L7204" s="1"/>
      <c r="M7204" s="1"/>
    </row>
    <row x14ac:dyDescent="0.25" r="7205" customHeight="1" ht="18.75">
      <c r="A7205" s="1" t="s">
        <v>3693</v>
      </c>
      <c r="B7205" s="1" t="s">
        <v>4091</v>
      </c>
      <c r="C7205" s="1" t="s">
        <v>3600</v>
      </c>
      <c r="D7205" s="1" t="s">
        <v>3695</v>
      </c>
      <c r="E7205" s="1" t="s">
        <v>3752</v>
      </c>
      <c r="F7205" s="1" t="s">
        <v>24714</v>
      </c>
      <c r="G7205" s="1" t="s">
        <v>5682</v>
      </c>
      <c r="H7205" s="1" t="s">
        <v>3604</v>
      </c>
      <c r="I7205" s="1" t="s">
        <v>24715</v>
      </c>
      <c r="J7205" s="1" t="s">
        <v>3615</v>
      </c>
      <c r="K7205" s="1" t="s">
        <v>24716</v>
      </c>
      <c r="L7205" s="1"/>
      <c r="M7205" s="1"/>
    </row>
    <row x14ac:dyDescent="0.25" r="7206" customHeight="1" ht="18.75">
      <c r="A7206" s="1" t="s">
        <v>3693</v>
      </c>
      <c r="B7206" s="1" t="s">
        <v>4332</v>
      </c>
      <c r="C7206" s="1" t="s">
        <v>3600</v>
      </c>
      <c r="D7206" s="1" t="s">
        <v>3601</v>
      </c>
      <c r="E7206" s="1" t="s">
        <v>3893</v>
      </c>
      <c r="F7206" s="1" t="s">
        <v>24717</v>
      </c>
      <c r="G7206" s="1" t="s">
        <v>8394</v>
      </c>
      <c r="H7206" s="1" t="s">
        <v>3604</v>
      </c>
      <c r="I7206" s="1" t="s">
        <v>24718</v>
      </c>
      <c r="J7206" s="1" t="s">
        <v>3615</v>
      </c>
      <c r="K7206" s="1" t="s">
        <v>24719</v>
      </c>
      <c r="L7206" s="1"/>
      <c r="M7206" s="1"/>
    </row>
    <row x14ac:dyDescent="0.25" r="7207" customHeight="1" ht="18.75">
      <c r="A7207" s="1" t="s">
        <v>3693</v>
      </c>
      <c r="B7207" s="1" t="s">
        <v>4091</v>
      </c>
      <c r="C7207" s="1" t="s">
        <v>3600</v>
      </c>
      <c r="D7207" s="1" t="s">
        <v>3695</v>
      </c>
      <c r="E7207" s="1" t="s">
        <v>3893</v>
      </c>
      <c r="F7207" s="1" t="s">
        <v>24720</v>
      </c>
      <c r="G7207" s="1" t="s">
        <v>4468</v>
      </c>
      <c r="H7207" s="1" t="s">
        <v>3604</v>
      </c>
      <c r="I7207" s="1" t="s">
        <v>24721</v>
      </c>
      <c r="J7207" s="1" t="s">
        <v>3615</v>
      </c>
      <c r="K7207" s="1" t="s">
        <v>24722</v>
      </c>
      <c r="L7207" s="1"/>
      <c r="M7207" s="1"/>
    </row>
    <row x14ac:dyDescent="0.25" r="7208" customHeight="1" ht="18.75">
      <c r="A7208" s="1" t="s">
        <v>3693</v>
      </c>
      <c r="B7208" s="1" t="s">
        <v>4091</v>
      </c>
      <c r="C7208" s="1" t="s">
        <v>3600</v>
      </c>
      <c r="D7208" s="1" t="s">
        <v>3695</v>
      </c>
      <c r="E7208" s="1" t="s">
        <v>3893</v>
      </c>
      <c r="F7208" s="1" t="s">
        <v>24723</v>
      </c>
      <c r="G7208" s="1" t="s">
        <v>4468</v>
      </c>
      <c r="H7208" s="1" t="s">
        <v>3604</v>
      </c>
      <c r="I7208" s="1" t="s">
        <v>24724</v>
      </c>
      <c r="J7208" s="1" t="s">
        <v>3615</v>
      </c>
      <c r="K7208" s="1" t="s">
        <v>24725</v>
      </c>
      <c r="L7208" s="1"/>
      <c r="M7208" s="1"/>
    </row>
    <row x14ac:dyDescent="0.25" r="7209" customHeight="1" ht="18.75">
      <c r="A7209" s="1" t="s">
        <v>3693</v>
      </c>
      <c r="B7209" s="1" t="s">
        <v>4091</v>
      </c>
      <c r="C7209" s="1" t="s">
        <v>3600</v>
      </c>
      <c r="D7209" s="1" t="s">
        <v>3695</v>
      </c>
      <c r="E7209" s="1" t="s">
        <v>3893</v>
      </c>
      <c r="F7209" s="1" t="s">
        <v>24726</v>
      </c>
      <c r="G7209" s="1" t="s">
        <v>4468</v>
      </c>
      <c r="H7209" s="1" t="s">
        <v>3604</v>
      </c>
      <c r="I7209" s="1" t="s">
        <v>24727</v>
      </c>
      <c r="J7209" s="1" t="s">
        <v>3615</v>
      </c>
      <c r="K7209" s="1" t="s">
        <v>24728</v>
      </c>
      <c r="L7209" s="1"/>
      <c r="M7209" s="1"/>
    </row>
    <row x14ac:dyDescent="0.25" r="7210" customHeight="1" ht="18.75">
      <c r="A7210" s="1" t="s">
        <v>3693</v>
      </c>
      <c r="B7210" s="1" t="s">
        <v>4332</v>
      </c>
      <c r="C7210" s="1" t="s">
        <v>3600</v>
      </c>
      <c r="D7210" s="1" t="s">
        <v>3601</v>
      </c>
      <c r="E7210" s="1" t="s">
        <v>3893</v>
      </c>
      <c r="F7210" s="1" t="s">
        <v>24705</v>
      </c>
      <c r="G7210" s="1" t="s">
        <v>8394</v>
      </c>
      <c r="H7210" s="1" t="s">
        <v>3604</v>
      </c>
      <c r="I7210" s="1" t="s">
        <v>24729</v>
      </c>
      <c r="J7210" s="1" t="s">
        <v>3615</v>
      </c>
      <c r="K7210" s="1" t="s">
        <v>24730</v>
      </c>
      <c r="L7210" s="1"/>
      <c r="M7210" s="1"/>
    </row>
    <row x14ac:dyDescent="0.25" r="7211" customHeight="1" ht="18.75">
      <c r="A7211" s="1" t="s">
        <v>7833</v>
      </c>
      <c r="B7211" s="1" t="s">
        <v>7861</v>
      </c>
      <c r="C7211" s="1" t="s">
        <v>4488</v>
      </c>
      <c r="D7211" s="1" t="s">
        <v>3601</v>
      </c>
      <c r="E7211" s="1" t="s">
        <v>3664</v>
      </c>
      <c r="F7211" s="1" t="s">
        <v>24731</v>
      </c>
      <c r="G7211" s="1" t="s">
        <v>7863</v>
      </c>
      <c r="H7211" s="1" t="s">
        <v>3604</v>
      </c>
      <c r="I7211" s="1" t="s">
        <v>24732</v>
      </c>
      <c r="J7211" s="1" t="s">
        <v>3606</v>
      </c>
      <c r="K7211" s="1" t="s">
        <v>24733</v>
      </c>
      <c r="L7211" s="1"/>
      <c r="M7211" s="1"/>
    </row>
    <row x14ac:dyDescent="0.25" r="7212" customHeight="1" ht="18.75">
      <c r="A7212" s="1" t="s">
        <v>3693</v>
      </c>
      <c r="B7212" s="1" t="s">
        <v>4091</v>
      </c>
      <c r="C7212" s="1" t="s">
        <v>3600</v>
      </c>
      <c r="D7212" s="1" t="s">
        <v>3695</v>
      </c>
      <c r="E7212" s="1" t="s">
        <v>3893</v>
      </c>
      <c r="F7212" s="1" t="s">
        <v>24734</v>
      </c>
      <c r="G7212" s="1" t="s">
        <v>5837</v>
      </c>
      <c r="H7212" s="1" t="s">
        <v>3604</v>
      </c>
      <c r="I7212" s="1" t="s">
        <v>24735</v>
      </c>
      <c r="J7212" s="1" t="s">
        <v>3615</v>
      </c>
      <c r="K7212" s="1" t="s">
        <v>24736</v>
      </c>
      <c r="L7212" s="1"/>
      <c r="M7212" s="1"/>
    </row>
    <row x14ac:dyDescent="0.25" r="7213" customHeight="1" ht="18.75">
      <c r="A7213" s="1" t="s">
        <v>3693</v>
      </c>
      <c r="B7213" s="1" t="s">
        <v>4091</v>
      </c>
      <c r="C7213" s="1" t="s">
        <v>3600</v>
      </c>
      <c r="D7213" s="1" t="s">
        <v>3601</v>
      </c>
      <c r="E7213" s="1" t="s">
        <v>3752</v>
      </c>
      <c r="F7213" s="1" t="s">
        <v>24737</v>
      </c>
      <c r="G7213" s="1" t="s">
        <v>6539</v>
      </c>
      <c r="H7213" s="1" t="s">
        <v>3604</v>
      </c>
      <c r="I7213" s="1" t="s">
        <v>24738</v>
      </c>
      <c r="J7213" s="1" t="s">
        <v>3606</v>
      </c>
      <c r="K7213" s="1" t="s">
        <v>24739</v>
      </c>
      <c r="L7213" s="1"/>
      <c r="M7213" s="1"/>
    </row>
    <row x14ac:dyDescent="0.25" r="7214" customHeight="1" ht="18.75">
      <c r="A7214" s="1" t="s">
        <v>3693</v>
      </c>
      <c r="B7214" s="1" t="s">
        <v>4091</v>
      </c>
      <c r="C7214" s="1" t="s">
        <v>3600</v>
      </c>
      <c r="D7214" s="1" t="s">
        <v>3601</v>
      </c>
      <c r="E7214" s="1" t="s">
        <v>3611</v>
      </c>
      <c r="F7214" s="1" t="s">
        <v>24740</v>
      </c>
      <c r="G7214" s="1" t="s">
        <v>4099</v>
      </c>
      <c r="H7214" s="1" t="s">
        <v>3604</v>
      </c>
      <c r="I7214" s="1" t="s">
        <v>24741</v>
      </c>
      <c r="J7214" s="1" t="s">
        <v>3606</v>
      </c>
      <c r="K7214" s="1" t="s">
        <v>24742</v>
      </c>
      <c r="L7214" s="1"/>
      <c r="M7214" s="1"/>
    </row>
    <row x14ac:dyDescent="0.25" r="7215" customHeight="1" ht="18.75">
      <c r="A7215" s="1" t="s">
        <v>7833</v>
      </c>
      <c r="B7215" s="1" t="s">
        <v>24643</v>
      </c>
      <c r="C7215" s="1" t="s">
        <v>4488</v>
      </c>
      <c r="D7215" s="1" t="s">
        <v>3601</v>
      </c>
      <c r="E7215" s="1" t="s">
        <v>8096</v>
      </c>
      <c r="F7215" s="1" t="s">
        <v>24743</v>
      </c>
      <c r="G7215" s="1" t="s">
        <v>24643</v>
      </c>
      <c r="H7215" s="1" t="s">
        <v>3604</v>
      </c>
      <c r="I7215" s="1" t="s">
        <v>24744</v>
      </c>
      <c r="J7215" s="1" t="s">
        <v>3606</v>
      </c>
      <c r="K7215" s="1" t="s">
        <v>19480</v>
      </c>
      <c r="L7215" s="1"/>
      <c r="M7215" s="1"/>
    </row>
    <row x14ac:dyDescent="0.25" r="7216" customHeight="1" ht="18.75">
      <c r="A7216" s="1" t="s">
        <v>3693</v>
      </c>
      <c r="B7216" s="1" t="s">
        <v>4091</v>
      </c>
      <c r="C7216" s="1" t="s">
        <v>3600</v>
      </c>
      <c r="D7216" s="1" t="s">
        <v>3601</v>
      </c>
      <c r="E7216" s="1" t="s">
        <v>3611</v>
      </c>
      <c r="F7216" s="1" t="s">
        <v>24745</v>
      </c>
      <c r="G7216" s="1" t="s">
        <v>4099</v>
      </c>
      <c r="H7216" s="1" t="s">
        <v>3604</v>
      </c>
      <c r="I7216" s="1" t="s">
        <v>24746</v>
      </c>
      <c r="J7216" s="1" t="s">
        <v>3615</v>
      </c>
      <c r="K7216" s="1" t="s">
        <v>24747</v>
      </c>
      <c r="L7216" s="1"/>
      <c r="M7216" s="1"/>
    </row>
    <row x14ac:dyDescent="0.25" r="7217" customHeight="1" ht="18.75">
      <c r="A7217" s="1" t="s">
        <v>3693</v>
      </c>
      <c r="B7217" s="1" t="s">
        <v>4091</v>
      </c>
      <c r="C7217" s="1" t="s">
        <v>3600</v>
      </c>
      <c r="D7217" s="1" t="s">
        <v>8373</v>
      </c>
      <c r="E7217" s="1" t="s">
        <v>3893</v>
      </c>
      <c r="F7217" s="1" t="s">
        <v>24748</v>
      </c>
      <c r="G7217" s="1" t="s">
        <v>4434</v>
      </c>
      <c r="H7217" s="1" t="s">
        <v>3604</v>
      </c>
      <c r="I7217" s="1" t="s">
        <v>24749</v>
      </c>
      <c r="J7217" s="1" t="s">
        <v>3606</v>
      </c>
      <c r="K7217" s="1" t="s">
        <v>24750</v>
      </c>
      <c r="L7217" s="1"/>
      <c r="M7217" s="1"/>
    </row>
    <row x14ac:dyDescent="0.25" r="7218" customHeight="1" ht="18.75">
      <c r="A7218" s="1" t="s">
        <v>3693</v>
      </c>
      <c r="B7218" s="1" t="s">
        <v>4083</v>
      </c>
      <c r="C7218" s="1" t="s">
        <v>3600</v>
      </c>
      <c r="D7218" s="1" t="s">
        <v>533</v>
      </c>
      <c r="E7218" s="1" t="s">
        <v>3893</v>
      </c>
      <c r="F7218" s="1" t="s">
        <v>24751</v>
      </c>
      <c r="G7218" s="1" t="s">
        <v>4116</v>
      </c>
      <c r="H7218" s="1" t="s">
        <v>3604</v>
      </c>
      <c r="I7218" s="1" t="s">
        <v>24752</v>
      </c>
      <c r="J7218" s="1" t="s">
        <v>3606</v>
      </c>
      <c r="K7218" s="1" t="s">
        <v>24753</v>
      </c>
      <c r="L7218" s="1"/>
      <c r="M7218" s="1"/>
    </row>
    <row x14ac:dyDescent="0.25" r="7219" customHeight="1" ht="18.75">
      <c r="A7219" s="1" t="s">
        <v>3693</v>
      </c>
      <c r="B7219" s="1" t="s">
        <v>4332</v>
      </c>
      <c r="C7219" s="1" t="s">
        <v>3600</v>
      </c>
      <c r="D7219" s="1" t="s">
        <v>3601</v>
      </c>
      <c r="E7219" s="1" t="s">
        <v>3893</v>
      </c>
      <c r="F7219" s="1" t="s">
        <v>24754</v>
      </c>
      <c r="G7219" s="1" t="s">
        <v>8394</v>
      </c>
      <c r="H7219" s="1" t="s">
        <v>3604</v>
      </c>
      <c r="I7219" s="1" t="s">
        <v>24755</v>
      </c>
      <c r="J7219" s="1" t="s">
        <v>3615</v>
      </c>
      <c r="K7219" s="1" t="s">
        <v>24756</v>
      </c>
      <c r="L7219" s="1"/>
      <c r="M7219" s="1"/>
    </row>
    <row x14ac:dyDescent="0.25" r="7220" customHeight="1" ht="18.75">
      <c r="A7220" s="1" t="s">
        <v>3693</v>
      </c>
      <c r="B7220" s="1" t="s">
        <v>4091</v>
      </c>
      <c r="C7220" s="1" t="s">
        <v>3600</v>
      </c>
      <c r="D7220" s="1" t="s">
        <v>3695</v>
      </c>
      <c r="E7220" s="1" t="s">
        <v>3893</v>
      </c>
      <c r="F7220" s="1" t="s">
        <v>24757</v>
      </c>
      <c r="G7220" s="1" t="s">
        <v>5882</v>
      </c>
      <c r="H7220" s="1" t="s">
        <v>3604</v>
      </c>
      <c r="I7220" s="1" t="s">
        <v>24758</v>
      </c>
      <c r="J7220" s="1" t="s">
        <v>3615</v>
      </c>
      <c r="K7220" s="1" t="s">
        <v>24759</v>
      </c>
      <c r="L7220" s="1"/>
      <c r="M7220" s="1"/>
    </row>
    <row x14ac:dyDescent="0.25" r="7221" customHeight="1" ht="18.75">
      <c r="A7221" s="1" t="s">
        <v>3693</v>
      </c>
      <c r="B7221" s="1" t="s">
        <v>4332</v>
      </c>
      <c r="C7221" s="1" t="s">
        <v>3600</v>
      </c>
      <c r="D7221" s="1" t="s">
        <v>3601</v>
      </c>
      <c r="E7221" s="1" t="s">
        <v>3893</v>
      </c>
      <c r="F7221" s="1" t="s">
        <v>24760</v>
      </c>
      <c r="G7221" s="1" t="s">
        <v>8394</v>
      </c>
      <c r="H7221" s="1" t="s">
        <v>3604</v>
      </c>
      <c r="I7221" s="1" t="s">
        <v>24761</v>
      </c>
      <c r="J7221" s="1" t="s">
        <v>3615</v>
      </c>
      <c r="K7221" s="1" t="s">
        <v>24762</v>
      </c>
      <c r="L7221" s="1"/>
      <c r="M7221" s="1"/>
    </row>
    <row x14ac:dyDescent="0.25" r="7222" customHeight="1" ht="18.75">
      <c r="A7222" s="1" t="s">
        <v>3693</v>
      </c>
      <c r="B7222" s="1" t="s">
        <v>5598</v>
      </c>
      <c r="C7222" s="1" t="s">
        <v>3600</v>
      </c>
      <c r="D7222" s="1" t="s">
        <v>3601</v>
      </c>
      <c r="E7222" s="1" t="s">
        <v>3664</v>
      </c>
      <c r="F7222" s="1" t="s">
        <v>24763</v>
      </c>
      <c r="G7222" s="1" t="s">
        <v>24764</v>
      </c>
      <c r="H7222" s="1" t="s">
        <v>3604</v>
      </c>
      <c r="I7222" s="1" t="s">
        <v>24765</v>
      </c>
      <c r="J7222" s="1" t="s">
        <v>3615</v>
      </c>
      <c r="K7222" s="1" t="s">
        <v>24766</v>
      </c>
      <c r="L7222" s="1"/>
      <c r="M7222" s="1"/>
    </row>
    <row x14ac:dyDescent="0.25" r="7223" customHeight="1" ht="18.75">
      <c r="A7223" s="1" t="s">
        <v>3693</v>
      </c>
      <c r="B7223" s="1" t="s">
        <v>4332</v>
      </c>
      <c r="C7223" s="1" t="s">
        <v>3600</v>
      </c>
      <c r="D7223" s="1" t="s">
        <v>3601</v>
      </c>
      <c r="E7223" s="1" t="s">
        <v>3893</v>
      </c>
      <c r="F7223" s="1" t="s">
        <v>24767</v>
      </c>
      <c r="G7223" s="1" t="s">
        <v>8394</v>
      </c>
      <c r="H7223" s="1" t="s">
        <v>3604</v>
      </c>
      <c r="I7223" s="1" t="s">
        <v>24768</v>
      </c>
      <c r="J7223" s="1" t="s">
        <v>3615</v>
      </c>
      <c r="K7223" s="1" t="s">
        <v>24769</v>
      </c>
      <c r="L7223" s="1"/>
      <c r="M7223" s="1"/>
    </row>
    <row x14ac:dyDescent="0.25" r="7224" customHeight="1" ht="18.75">
      <c r="A7224" s="1" t="s">
        <v>3693</v>
      </c>
      <c r="B7224" s="1" t="s">
        <v>4091</v>
      </c>
      <c r="C7224" s="1" t="s">
        <v>3600</v>
      </c>
      <c r="D7224" s="1" t="s">
        <v>3601</v>
      </c>
      <c r="E7224" s="1" t="s">
        <v>3893</v>
      </c>
      <c r="F7224" s="1" t="s">
        <v>24770</v>
      </c>
      <c r="G7224" s="1" t="s">
        <v>24771</v>
      </c>
      <c r="H7224" s="1" t="s">
        <v>3604</v>
      </c>
      <c r="I7224" s="1" t="s">
        <v>24772</v>
      </c>
      <c r="J7224" s="1" t="s">
        <v>3615</v>
      </c>
      <c r="K7224" s="1" t="s">
        <v>24773</v>
      </c>
      <c r="L7224" s="1"/>
      <c r="M7224" s="1"/>
    </row>
    <row x14ac:dyDescent="0.25" r="7225" customHeight="1" ht="18.75">
      <c r="A7225" s="1" t="s">
        <v>3693</v>
      </c>
      <c r="B7225" s="1" t="s">
        <v>4091</v>
      </c>
      <c r="C7225" s="1" t="s">
        <v>3600</v>
      </c>
      <c r="D7225" s="1" t="s">
        <v>3601</v>
      </c>
      <c r="E7225" s="1" t="s">
        <v>3893</v>
      </c>
      <c r="F7225" s="1" t="s">
        <v>24774</v>
      </c>
      <c r="G7225" s="1" t="s">
        <v>5837</v>
      </c>
      <c r="H7225" s="1" t="s">
        <v>3604</v>
      </c>
      <c r="I7225" s="1" t="s">
        <v>24775</v>
      </c>
      <c r="J7225" s="1" t="s">
        <v>3615</v>
      </c>
      <c r="K7225" s="1" t="s">
        <v>24776</v>
      </c>
      <c r="L7225" s="1"/>
      <c r="M7225" s="1"/>
    </row>
    <row x14ac:dyDescent="0.25" r="7226" customHeight="1" ht="18.75">
      <c r="A7226" s="1" t="s">
        <v>3693</v>
      </c>
      <c r="B7226" s="1" t="s">
        <v>4332</v>
      </c>
      <c r="C7226" s="1" t="s">
        <v>3600</v>
      </c>
      <c r="D7226" s="1" t="s">
        <v>3601</v>
      </c>
      <c r="E7226" s="1" t="s">
        <v>3893</v>
      </c>
      <c r="F7226" s="1" t="s">
        <v>24777</v>
      </c>
      <c r="G7226" s="1" t="s">
        <v>8394</v>
      </c>
      <c r="H7226" s="1" t="s">
        <v>3604</v>
      </c>
      <c r="I7226" s="1" t="s">
        <v>24778</v>
      </c>
      <c r="J7226" s="1" t="s">
        <v>3606</v>
      </c>
      <c r="K7226" s="1" t="s">
        <v>24779</v>
      </c>
      <c r="L7226" s="1"/>
      <c r="M7226" s="1"/>
    </row>
    <row x14ac:dyDescent="0.25" r="7227" customHeight="1" ht="18.75">
      <c r="A7227" s="1" t="s">
        <v>3693</v>
      </c>
      <c r="B7227" s="1" t="s">
        <v>4214</v>
      </c>
      <c r="C7227" s="1" t="s">
        <v>3600</v>
      </c>
      <c r="D7227" s="1" t="s">
        <v>8373</v>
      </c>
      <c r="E7227" s="1" t="s">
        <v>3981</v>
      </c>
      <c r="F7227" s="1" t="s">
        <v>24780</v>
      </c>
      <c r="G7227" s="1" t="s">
        <v>10230</v>
      </c>
      <c r="H7227" s="1" t="s">
        <v>3604</v>
      </c>
      <c r="I7227" s="1" t="s">
        <v>24781</v>
      </c>
      <c r="J7227" s="1" t="s">
        <v>3615</v>
      </c>
      <c r="K7227" s="1" t="s">
        <v>24782</v>
      </c>
      <c r="L7227" s="1"/>
      <c r="M7227" s="1"/>
    </row>
    <row x14ac:dyDescent="0.25" r="7228" customHeight="1" ht="18.75">
      <c r="A7228" s="1" t="s">
        <v>3693</v>
      </c>
      <c r="B7228" s="1" t="s">
        <v>4332</v>
      </c>
      <c r="C7228" s="1" t="s">
        <v>3600</v>
      </c>
      <c r="D7228" s="1" t="s">
        <v>3601</v>
      </c>
      <c r="E7228" s="1" t="s">
        <v>3893</v>
      </c>
      <c r="F7228" s="1" t="s">
        <v>24783</v>
      </c>
      <c r="G7228" s="1" t="s">
        <v>8394</v>
      </c>
      <c r="H7228" s="1" t="s">
        <v>3604</v>
      </c>
      <c r="I7228" s="1" t="s">
        <v>24784</v>
      </c>
      <c r="J7228" s="1" t="s">
        <v>3615</v>
      </c>
      <c r="K7228" s="1" t="s">
        <v>24785</v>
      </c>
      <c r="L7228" s="1"/>
      <c r="M7228" s="1"/>
    </row>
    <row x14ac:dyDescent="0.25" r="7229" customHeight="1" ht="18.75">
      <c r="A7229" s="1" t="s">
        <v>3693</v>
      </c>
      <c r="B7229" s="1" t="s">
        <v>4214</v>
      </c>
      <c r="C7229" s="1" t="s">
        <v>3600</v>
      </c>
      <c r="D7229" s="1" t="s">
        <v>8373</v>
      </c>
      <c r="E7229" s="1" t="s">
        <v>3981</v>
      </c>
      <c r="F7229" s="1" t="s">
        <v>24786</v>
      </c>
      <c r="G7229" s="1" t="s">
        <v>10230</v>
      </c>
      <c r="H7229" s="1" t="s">
        <v>3604</v>
      </c>
      <c r="I7229" s="1" t="s">
        <v>24787</v>
      </c>
      <c r="J7229" s="1" t="s">
        <v>3615</v>
      </c>
      <c r="K7229" s="1" t="s">
        <v>24788</v>
      </c>
      <c r="L7229" s="1"/>
      <c r="M7229" s="1"/>
    </row>
    <row x14ac:dyDescent="0.25" r="7230" customHeight="1" ht="18.75">
      <c r="A7230" s="1" t="s">
        <v>3693</v>
      </c>
      <c r="B7230" s="1" t="s">
        <v>4332</v>
      </c>
      <c r="C7230" s="1" t="s">
        <v>3600</v>
      </c>
      <c r="D7230" s="1" t="s">
        <v>3601</v>
      </c>
      <c r="E7230" s="1" t="s">
        <v>3893</v>
      </c>
      <c r="F7230" s="1" t="s">
        <v>24789</v>
      </c>
      <c r="G7230" s="1" t="s">
        <v>8394</v>
      </c>
      <c r="H7230" s="1" t="s">
        <v>3604</v>
      </c>
      <c r="I7230" s="1" t="s">
        <v>24790</v>
      </c>
      <c r="J7230" s="1" t="s">
        <v>3615</v>
      </c>
      <c r="K7230" s="1" t="s">
        <v>24791</v>
      </c>
      <c r="L7230" s="1"/>
      <c r="M7230" s="1"/>
    </row>
    <row x14ac:dyDescent="0.25" r="7231" customHeight="1" ht="18.75">
      <c r="A7231" s="1" t="s">
        <v>3693</v>
      </c>
      <c r="B7231" s="1" t="s">
        <v>4214</v>
      </c>
      <c r="C7231" s="1" t="s">
        <v>3600</v>
      </c>
      <c r="D7231" s="1" t="s">
        <v>8373</v>
      </c>
      <c r="E7231" s="1" t="s">
        <v>3981</v>
      </c>
      <c r="F7231" s="1" t="s">
        <v>24792</v>
      </c>
      <c r="G7231" s="1" t="s">
        <v>10230</v>
      </c>
      <c r="H7231" s="1" t="s">
        <v>3604</v>
      </c>
      <c r="I7231" s="1" t="s">
        <v>24793</v>
      </c>
      <c r="J7231" s="1" t="s">
        <v>3615</v>
      </c>
      <c r="K7231" s="1" t="s">
        <v>24794</v>
      </c>
      <c r="L7231" s="1"/>
      <c r="M7231" s="1"/>
    </row>
    <row x14ac:dyDescent="0.25" r="7232" customHeight="1" ht="18.75">
      <c r="A7232" s="1" t="s">
        <v>3693</v>
      </c>
      <c r="B7232" s="1" t="s">
        <v>4332</v>
      </c>
      <c r="C7232" s="1" t="s">
        <v>3600</v>
      </c>
      <c r="D7232" s="1" t="s">
        <v>3601</v>
      </c>
      <c r="E7232" s="1" t="s">
        <v>3893</v>
      </c>
      <c r="F7232" s="1" t="s">
        <v>24795</v>
      </c>
      <c r="G7232" s="1" t="s">
        <v>8394</v>
      </c>
      <c r="H7232" s="1" t="s">
        <v>3604</v>
      </c>
      <c r="I7232" s="1" t="s">
        <v>24796</v>
      </c>
      <c r="J7232" s="1" t="s">
        <v>3615</v>
      </c>
      <c r="K7232" s="1" t="s">
        <v>24797</v>
      </c>
      <c r="L7232" s="1"/>
      <c r="M7232" s="1"/>
    </row>
    <row x14ac:dyDescent="0.25" r="7233" customHeight="1" ht="18.75">
      <c r="A7233" s="1" t="s">
        <v>3693</v>
      </c>
      <c r="B7233" s="1" t="s">
        <v>4214</v>
      </c>
      <c r="C7233" s="1" t="s">
        <v>3600</v>
      </c>
      <c r="D7233" s="1" t="s">
        <v>8373</v>
      </c>
      <c r="E7233" s="1" t="s">
        <v>3664</v>
      </c>
      <c r="F7233" s="1" t="s">
        <v>24798</v>
      </c>
      <c r="G7233" s="1" t="s">
        <v>4726</v>
      </c>
      <c r="H7233" s="1" t="s">
        <v>3604</v>
      </c>
      <c r="I7233" s="1" t="s">
        <v>24799</v>
      </c>
      <c r="J7233" s="1" t="s">
        <v>3615</v>
      </c>
      <c r="K7233" s="1" t="s">
        <v>24800</v>
      </c>
      <c r="L7233" s="1"/>
      <c r="M7233" s="1"/>
    </row>
    <row x14ac:dyDescent="0.25" r="7234" customHeight="1" ht="18.75">
      <c r="A7234" s="1" t="s">
        <v>3693</v>
      </c>
      <c r="B7234" s="1" t="s">
        <v>4332</v>
      </c>
      <c r="C7234" s="1" t="s">
        <v>3600</v>
      </c>
      <c r="D7234" s="1" t="s">
        <v>3601</v>
      </c>
      <c r="E7234" s="1" t="s">
        <v>3752</v>
      </c>
      <c r="F7234" s="1" t="s">
        <v>24801</v>
      </c>
      <c r="G7234" s="1" t="s">
        <v>24802</v>
      </c>
      <c r="H7234" s="1" t="s">
        <v>3604</v>
      </c>
      <c r="I7234" s="1" t="s">
        <v>24803</v>
      </c>
      <c r="J7234" s="1" t="s">
        <v>3615</v>
      </c>
      <c r="K7234" s="1" t="s">
        <v>24804</v>
      </c>
      <c r="L7234" s="1"/>
      <c r="M7234" s="1"/>
    </row>
    <row x14ac:dyDescent="0.25" r="7235" customHeight="1" ht="18.75">
      <c r="A7235" s="1" t="s">
        <v>3693</v>
      </c>
      <c r="B7235" s="1" t="s">
        <v>4214</v>
      </c>
      <c r="C7235" s="1" t="s">
        <v>3600</v>
      </c>
      <c r="D7235" s="1" t="s">
        <v>8373</v>
      </c>
      <c r="E7235" s="1" t="s">
        <v>3664</v>
      </c>
      <c r="F7235" s="1" t="s">
        <v>24805</v>
      </c>
      <c r="G7235" s="1" t="s">
        <v>4726</v>
      </c>
      <c r="H7235" s="1" t="s">
        <v>3604</v>
      </c>
      <c r="I7235" s="1" t="s">
        <v>24806</v>
      </c>
      <c r="J7235" s="1" t="s">
        <v>3615</v>
      </c>
      <c r="K7235" s="1" t="s">
        <v>24807</v>
      </c>
      <c r="L7235" s="1"/>
      <c r="M7235" s="1"/>
    </row>
    <row x14ac:dyDescent="0.25" r="7236" customHeight="1" ht="18.75">
      <c r="A7236" s="1" t="s">
        <v>3693</v>
      </c>
      <c r="B7236" s="1" t="s">
        <v>4214</v>
      </c>
      <c r="C7236" s="1" t="s">
        <v>3600</v>
      </c>
      <c r="D7236" s="1" t="s">
        <v>8373</v>
      </c>
      <c r="E7236" s="1" t="s">
        <v>3664</v>
      </c>
      <c r="F7236" s="1" t="s">
        <v>24808</v>
      </c>
      <c r="G7236" s="1" t="s">
        <v>4726</v>
      </c>
      <c r="H7236" s="1" t="s">
        <v>3604</v>
      </c>
      <c r="I7236" s="1" t="s">
        <v>24809</v>
      </c>
      <c r="J7236" s="1" t="s">
        <v>3606</v>
      </c>
      <c r="K7236" s="1" t="s">
        <v>24810</v>
      </c>
      <c r="L7236" s="1"/>
      <c r="M7236" s="1"/>
    </row>
    <row x14ac:dyDescent="0.25" r="7237" customHeight="1" ht="18.75">
      <c r="A7237" s="1" t="s">
        <v>3693</v>
      </c>
      <c r="B7237" s="1" t="s">
        <v>4332</v>
      </c>
      <c r="C7237" s="1" t="s">
        <v>3600</v>
      </c>
      <c r="D7237" s="1" t="s">
        <v>3601</v>
      </c>
      <c r="E7237" s="1" t="s">
        <v>3752</v>
      </c>
      <c r="F7237" s="1" t="s">
        <v>24811</v>
      </c>
      <c r="G7237" s="1" t="s">
        <v>24812</v>
      </c>
      <c r="H7237" s="1" t="s">
        <v>3604</v>
      </c>
      <c r="I7237" s="1" t="s">
        <v>24813</v>
      </c>
      <c r="J7237" s="1" t="s">
        <v>3615</v>
      </c>
      <c r="K7237" s="1" t="s">
        <v>24814</v>
      </c>
      <c r="L7237" s="1"/>
      <c r="M7237" s="1"/>
    </row>
    <row x14ac:dyDescent="0.25" r="7238" customHeight="1" ht="18.75">
      <c r="A7238" s="1" t="s">
        <v>3693</v>
      </c>
      <c r="B7238" s="1" t="s">
        <v>5619</v>
      </c>
      <c r="C7238" s="1" t="s">
        <v>3600</v>
      </c>
      <c r="D7238" s="1" t="s">
        <v>533</v>
      </c>
      <c r="E7238" s="1"/>
      <c r="F7238" s="1" t="s">
        <v>24815</v>
      </c>
      <c r="G7238" s="1" t="s">
        <v>10230</v>
      </c>
      <c r="H7238" s="1" t="s">
        <v>3604</v>
      </c>
      <c r="I7238" s="1" t="s">
        <v>24816</v>
      </c>
      <c r="J7238" s="1" t="s">
        <v>3615</v>
      </c>
      <c r="K7238" s="1" t="s">
        <v>24817</v>
      </c>
      <c r="L7238" s="1"/>
      <c r="M7238" s="1"/>
    </row>
    <row x14ac:dyDescent="0.25" r="7239" customHeight="1" ht="18.75">
      <c r="A7239" s="1" t="s">
        <v>3693</v>
      </c>
      <c r="B7239" s="1" t="s">
        <v>5619</v>
      </c>
      <c r="C7239" s="1" t="s">
        <v>3600</v>
      </c>
      <c r="D7239" s="1" t="s">
        <v>533</v>
      </c>
      <c r="E7239" s="1" t="s">
        <v>3752</v>
      </c>
      <c r="F7239" s="1" t="s">
        <v>24818</v>
      </c>
      <c r="G7239" s="1" t="s">
        <v>24819</v>
      </c>
      <c r="H7239" s="1" t="s">
        <v>3604</v>
      </c>
      <c r="I7239" s="1" t="s">
        <v>24820</v>
      </c>
      <c r="J7239" s="1" t="s">
        <v>3615</v>
      </c>
      <c r="K7239" s="1" t="s">
        <v>24821</v>
      </c>
      <c r="L7239" s="1"/>
      <c r="M7239" s="1"/>
    </row>
    <row x14ac:dyDescent="0.25" r="7240" customHeight="1" ht="18.75">
      <c r="A7240" s="1" t="s">
        <v>3693</v>
      </c>
      <c r="B7240" s="1" t="s">
        <v>3957</v>
      </c>
      <c r="C7240" s="1" t="s">
        <v>3600</v>
      </c>
      <c r="D7240" s="1" t="s">
        <v>533</v>
      </c>
      <c r="E7240" s="1" t="s">
        <v>3752</v>
      </c>
      <c r="F7240" s="1" t="s">
        <v>24822</v>
      </c>
      <c r="G7240" s="1" t="s">
        <v>10230</v>
      </c>
      <c r="H7240" s="1" t="s">
        <v>3604</v>
      </c>
      <c r="I7240" s="1" t="s">
        <v>24823</v>
      </c>
      <c r="J7240" s="1" t="s">
        <v>3606</v>
      </c>
      <c r="K7240" s="1" t="s">
        <v>24824</v>
      </c>
      <c r="L7240" s="1"/>
      <c r="M7240" s="1"/>
    </row>
    <row x14ac:dyDescent="0.25" r="7241" customHeight="1" ht="18.75">
      <c r="A7241" s="1" t="s">
        <v>3693</v>
      </c>
      <c r="B7241" s="1" t="s">
        <v>4148</v>
      </c>
      <c r="C7241" s="1" t="s">
        <v>3600</v>
      </c>
      <c r="D7241" s="1" t="s">
        <v>3601</v>
      </c>
      <c r="E7241" s="1" t="s">
        <v>3664</v>
      </c>
      <c r="F7241" s="1" t="s">
        <v>24825</v>
      </c>
      <c r="G7241" s="1" t="s">
        <v>4150</v>
      </c>
      <c r="H7241" s="1" t="s">
        <v>3604</v>
      </c>
      <c r="I7241" s="1" t="s">
        <v>24826</v>
      </c>
      <c r="J7241" s="1" t="s">
        <v>3606</v>
      </c>
      <c r="K7241" s="1" t="s">
        <v>24827</v>
      </c>
      <c r="L7241" s="1"/>
      <c r="M7241" s="1"/>
    </row>
    <row x14ac:dyDescent="0.25" r="7242" customHeight="1" ht="18.75">
      <c r="A7242" s="1" t="s">
        <v>3693</v>
      </c>
      <c r="B7242" s="1" t="s">
        <v>4083</v>
      </c>
      <c r="C7242" s="1" t="s">
        <v>3600</v>
      </c>
      <c r="D7242" s="1" t="s">
        <v>533</v>
      </c>
      <c r="E7242" s="1" t="s">
        <v>3664</v>
      </c>
      <c r="F7242" s="1" t="s">
        <v>24828</v>
      </c>
      <c r="G7242" s="1" t="s">
        <v>9382</v>
      </c>
      <c r="H7242" s="1" t="s">
        <v>3604</v>
      </c>
      <c r="I7242" s="1" t="s">
        <v>24829</v>
      </c>
      <c r="J7242" s="1" t="s">
        <v>3615</v>
      </c>
      <c r="K7242" s="1" t="s">
        <v>24830</v>
      </c>
      <c r="L7242" s="1"/>
      <c r="M7242" s="1"/>
    </row>
    <row x14ac:dyDescent="0.25" r="7243" customHeight="1" ht="18.75">
      <c r="A7243" s="1" t="s">
        <v>3693</v>
      </c>
      <c r="B7243" s="1" t="s">
        <v>4214</v>
      </c>
      <c r="C7243" s="1" t="s">
        <v>3600</v>
      </c>
      <c r="D7243" s="1" t="s">
        <v>533</v>
      </c>
      <c r="E7243" s="1" t="s">
        <v>3752</v>
      </c>
      <c r="F7243" s="1" t="s">
        <v>24831</v>
      </c>
      <c r="G7243" s="1" t="s">
        <v>9382</v>
      </c>
      <c r="H7243" s="1" t="s">
        <v>3604</v>
      </c>
      <c r="I7243" s="1" t="s">
        <v>24832</v>
      </c>
      <c r="J7243" s="1" t="s">
        <v>3615</v>
      </c>
      <c r="K7243" s="1" t="s">
        <v>24833</v>
      </c>
      <c r="L7243" s="1"/>
      <c r="M7243" s="1"/>
    </row>
    <row x14ac:dyDescent="0.25" r="7244" customHeight="1" ht="18.75">
      <c r="A7244" s="1" t="s">
        <v>3693</v>
      </c>
      <c r="B7244" s="1" t="s">
        <v>4214</v>
      </c>
      <c r="C7244" s="1" t="s">
        <v>3600</v>
      </c>
      <c r="D7244" s="1" t="s">
        <v>533</v>
      </c>
      <c r="E7244" s="1" t="s">
        <v>3752</v>
      </c>
      <c r="F7244" s="1" t="s">
        <v>24834</v>
      </c>
      <c r="G7244" s="1" t="s">
        <v>9382</v>
      </c>
      <c r="H7244" s="1" t="s">
        <v>3604</v>
      </c>
      <c r="I7244" s="1" t="s">
        <v>24835</v>
      </c>
      <c r="J7244" s="1" t="s">
        <v>3615</v>
      </c>
      <c r="K7244" s="1" t="s">
        <v>24836</v>
      </c>
      <c r="L7244" s="1"/>
      <c r="M7244" s="1"/>
    </row>
    <row x14ac:dyDescent="0.25" r="7245" customHeight="1" ht="18.75">
      <c r="A7245" s="1" t="s">
        <v>3693</v>
      </c>
      <c r="B7245" s="1" t="s">
        <v>3942</v>
      </c>
      <c r="C7245" s="1" t="s">
        <v>3600</v>
      </c>
      <c r="D7245" s="1" t="s">
        <v>533</v>
      </c>
      <c r="E7245" s="1" t="s">
        <v>3752</v>
      </c>
      <c r="F7245" s="1" t="s">
        <v>24837</v>
      </c>
      <c r="G7245" s="1" t="s">
        <v>9382</v>
      </c>
      <c r="H7245" s="1" t="s">
        <v>3604</v>
      </c>
      <c r="I7245" s="1" t="s">
        <v>24838</v>
      </c>
      <c r="J7245" s="1" t="s">
        <v>3615</v>
      </c>
      <c r="K7245" s="1" t="s">
        <v>24839</v>
      </c>
      <c r="L7245" s="1"/>
      <c r="M7245" s="1"/>
    </row>
    <row x14ac:dyDescent="0.25" r="7246" customHeight="1" ht="18.75">
      <c r="A7246" s="1" t="s">
        <v>3693</v>
      </c>
      <c r="B7246" s="1" t="s">
        <v>4083</v>
      </c>
      <c r="C7246" s="1" t="s">
        <v>3600</v>
      </c>
      <c r="D7246" s="1" t="s">
        <v>8373</v>
      </c>
      <c r="E7246" s="1" t="s">
        <v>3893</v>
      </c>
      <c r="F7246" s="1" t="s">
        <v>24840</v>
      </c>
      <c r="G7246" s="1" t="s">
        <v>4346</v>
      </c>
      <c r="H7246" s="1" t="s">
        <v>3604</v>
      </c>
      <c r="I7246" s="1" t="s">
        <v>24841</v>
      </c>
      <c r="J7246" s="1" t="s">
        <v>3615</v>
      </c>
      <c r="K7246" s="1" t="s">
        <v>24842</v>
      </c>
      <c r="L7246" s="1"/>
      <c r="M7246" s="1"/>
    </row>
    <row x14ac:dyDescent="0.25" r="7247" customHeight="1" ht="18.75">
      <c r="A7247" s="1" t="s">
        <v>3693</v>
      </c>
      <c r="B7247" s="1" t="s">
        <v>4192</v>
      </c>
      <c r="C7247" s="1" t="s">
        <v>3600</v>
      </c>
      <c r="D7247" s="1" t="s">
        <v>3601</v>
      </c>
      <c r="E7247" s="1" t="s">
        <v>3893</v>
      </c>
      <c r="F7247" s="1" t="s">
        <v>24843</v>
      </c>
      <c r="G7247" s="1" t="s">
        <v>4194</v>
      </c>
      <c r="H7247" s="1" t="s">
        <v>3604</v>
      </c>
      <c r="I7247" s="1" t="s">
        <v>24844</v>
      </c>
      <c r="J7247" s="1" t="s">
        <v>3606</v>
      </c>
      <c r="K7247" s="1" t="s">
        <v>24845</v>
      </c>
      <c r="L7247" s="1"/>
      <c r="M7247" s="1"/>
    </row>
    <row x14ac:dyDescent="0.25" r="7248" customHeight="1" ht="18.75">
      <c r="A7248" s="1" t="s">
        <v>3693</v>
      </c>
      <c r="B7248" s="1" t="s">
        <v>4083</v>
      </c>
      <c r="C7248" s="1" t="s">
        <v>3600</v>
      </c>
      <c r="D7248" s="1" t="s">
        <v>8373</v>
      </c>
      <c r="E7248" s="1" t="s">
        <v>3893</v>
      </c>
      <c r="F7248" s="1" t="s">
        <v>24846</v>
      </c>
      <c r="G7248" s="1" t="s">
        <v>4346</v>
      </c>
      <c r="H7248" s="1" t="s">
        <v>3604</v>
      </c>
      <c r="I7248" s="1" t="s">
        <v>24847</v>
      </c>
      <c r="J7248" s="1" t="s">
        <v>3615</v>
      </c>
      <c r="K7248" s="1" t="s">
        <v>24842</v>
      </c>
      <c r="L7248" s="1"/>
      <c r="M7248" s="1"/>
    </row>
    <row x14ac:dyDescent="0.25" r="7249" customHeight="1" ht="18.75">
      <c r="A7249" s="1" t="s">
        <v>3693</v>
      </c>
      <c r="B7249" s="1" t="s">
        <v>4083</v>
      </c>
      <c r="C7249" s="1" t="s">
        <v>3600</v>
      </c>
      <c r="D7249" s="1" t="s">
        <v>8373</v>
      </c>
      <c r="E7249" s="1" t="s">
        <v>3893</v>
      </c>
      <c r="F7249" s="1" t="s">
        <v>24848</v>
      </c>
      <c r="G7249" s="1" t="s">
        <v>4346</v>
      </c>
      <c r="H7249" s="1" t="s">
        <v>3604</v>
      </c>
      <c r="I7249" s="1" t="s">
        <v>24849</v>
      </c>
      <c r="J7249" s="1" t="s">
        <v>3615</v>
      </c>
      <c r="K7249" s="1" t="s">
        <v>24842</v>
      </c>
      <c r="L7249" s="1"/>
      <c r="M7249" s="1"/>
    </row>
    <row x14ac:dyDescent="0.25" r="7250" customHeight="1" ht="18.75">
      <c r="A7250" s="1" t="s">
        <v>3693</v>
      </c>
      <c r="B7250" s="1" t="s">
        <v>4192</v>
      </c>
      <c r="C7250" s="1" t="s">
        <v>3600</v>
      </c>
      <c r="D7250" s="1" t="s">
        <v>3610</v>
      </c>
      <c r="E7250" s="1" t="s">
        <v>3893</v>
      </c>
      <c r="F7250" s="1" t="s">
        <v>24850</v>
      </c>
      <c r="G7250" s="1" t="s">
        <v>4428</v>
      </c>
      <c r="H7250" s="1" t="s">
        <v>3604</v>
      </c>
      <c r="I7250" s="1" t="s">
        <v>24851</v>
      </c>
      <c r="J7250" s="1" t="s">
        <v>3606</v>
      </c>
      <c r="K7250" s="1" t="s">
        <v>24852</v>
      </c>
      <c r="L7250" s="1"/>
      <c r="M7250" s="1"/>
    </row>
    <row x14ac:dyDescent="0.25" r="7251" customHeight="1" ht="18.75">
      <c r="A7251" s="1" t="s">
        <v>3693</v>
      </c>
      <c r="B7251" s="1" t="s">
        <v>4267</v>
      </c>
      <c r="C7251" s="1" t="s">
        <v>3600</v>
      </c>
      <c r="D7251" s="1" t="s">
        <v>533</v>
      </c>
      <c r="E7251" s="1" t="s">
        <v>3664</v>
      </c>
      <c r="F7251" s="1" t="s">
        <v>24853</v>
      </c>
      <c r="G7251" s="1" t="s">
        <v>10164</v>
      </c>
      <c r="H7251" s="1" t="s">
        <v>3604</v>
      </c>
      <c r="I7251" s="1" t="s">
        <v>24854</v>
      </c>
      <c r="J7251" s="1" t="s">
        <v>3606</v>
      </c>
      <c r="K7251" s="1" t="s">
        <v>24855</v>
      </c>
      <c r="L7251" s="1"/>
      <c r="M7251" s="1"/>
    </row>
    <row x14ac:dyDescent="0.25" r="7252" customHeight="1" ht="18.75">
      <c r="A7252" s="1" t="s">
        <v>3693</v>
      </c>
      <c r="B7252" s="1" t="s">
        <v>4247</v>
      </c>
      <c r="C7252" s="1" t="s">
        <v>3600</v>
      </c>
      <c r="D7252" s="1" t="s">
        <v>7891</v>
      </c>
      <c r="E7252" s="1" t="s">
        <v>3664</v>
      </c>
      <c r="F7252" s="1" t="s">
        <v>24856</v>
      </c>
      <c r="G7252" s="1" t="s">
        <v>4738</v>
      </c>
      <c r="H7252" s="1" t="s">
        <v>3604</v>
      </c>
      <c r="I7252" s="1" t="s">
        <v>24857</v>
      </c>
      <c r="J7252" s="1" t="s">
        <v>3615</v>
      </c>
      <c r="K7252" s="1" t="s">
        <v>24858</v>
      </c>
      <c r="L7252" s="1"/>
      <c r="M7252" s="1"/>
    </row>
    <row x14ac:dyDescent="0.25" r="7253" customHeight="1" ht="18.75">
      <c r="A7253" s="1" t="s">
        <v>3693</v>
      </c>
      <c r="B7253" s="1" t="s">
        <v>4247</v>
      </c>
      <c r="C7253" s="1" t="s">
        <v>3600</v>
      </c>
      <c r="D7253" s="1" t="s">
        <v>7891</v>
      </c>
      <c r="E7253" s="1" t="s">
        <v>3664</v>
      </c>
      <c r="F7253" s="1" t="s">
        <v>24859</v>
      </c>
      <c r="G7253" s="1" t="s">
        <v>4738</v>
      </c>
      <c r="H7253" s="1" t="s">
        <v>3604</v>
      </c>
      <c r="I7253" s="1" t="s">
        <v>24860</v>
      </c>
      <c r="J7253" s="1" t="s">
        <v>3615</v>
      </c>
      <c r="K7253" s="1" t="s">
        <v>24861</v>
      </c>
      <c r="L7253" s="1"/>
      <c r="M7253" s="1"/>
    </row>
    <row x14ac:dyDescent="0.25" r="7254" customHeight="1" ht="18.75">
      <c r="A7254" s="1" t="s">
        <v>3693</v>
      </c>
      <c r="B7254" s="1" t="s">
        <v>4247</v>
      </c>
      <c r="C7254" s="1" t="s">
        <v>3600</v>
      </c>
      <c r="D7254" s="1" t="s">
        <v>7891</v>
      </c>
      <c r="E7254" s="1" t="s">
        <v>3664</v>
      </c>
      <c r="F7254" s="1" t="s">
        <v>24862</v>
      </c>
      <c r="G7254" s="1" t="s">
        <v>4741</v>
      </c>
      <c r="H7254" s="1" t="s">
        <v>3604</v>
      </c>
      <c r="I7254" s="1" t="s">
        <v>24863</v>
      </c>
      <c r="J7254" s="1" t="s">
        <v>3615</v>
      </c>
      <c r="K7254" s="1" t="s">
        <v>24864</v>
      </c>
      <c r="L7254" s="1"/>
      <c r="M7254" s="1"/>
    </row>
    <row x14ac:dyDescent="0.25" r="7255" customHeight="1" ht="18.75">
      <c r="A7255" s="1" t="s">
        <v>3693</v>
      </c>
      <c r="B7255" s="1" t="s">
        <v>4267</v>
      </c>
      <c r="C7255" s="1" t="s">
        <v>3600</v>
      </c>
      <c r="D7255" s="1" t="s">
        <v>3610</v>
      </c>
      <c r="E7255" s="1" t="s">
        <v>3664</v>
      </c>
      <c r="F7255" s="1" t="s">
        <v>24865</v>
      </c>
      <c r="G7255" s="1" t="s">
        <v>10164</v>
      </c>
      <c r="H7255" s="1" t="s">
        <v>3604</v>
      </c>
      <c r="I7255" s="1" t="s">
        <v>24866</v>
      </c>
      <c r="J7255" s="1" t="s">
        <v>3606</v>
      </c>
      <c r="K7255" s="1" t="s">
        <v>24867</v>
      </c>
      <c r="L7255" s="1"/>
      <c r="M7255" s="1"/>
    </row>
    <row x14ac:dyDescent="0.25" r="7256" customHeight="1" ht="18.75">
      <c r="A7256" s="1" t="s">
        <v>3693</v>
      </c>
      <c r="B7256" s="1" t="s">
        <v>4083</v>
      </c>
      <c r="C7256" s="1" t="s">
        <v>3600</v>
      </c>
      <c r="D7256" s="1" t="s">
        <v>7891</v>
      </c>
      <c r="E7256" s="1" t="s">
        <v>3893</v>
      </c>
      <c r="F7256" s="1" t="s">
        <v>24868</v>
      </c>
      <c r="G7256" s="1" t="s">
        <v>10011</v>
      </c>
      <c r="H7256" s="1" t="s">
        <v>3604</v>
      </c>
      <c r="I7256" s="1" t="s">
        <v>24869</v>
      </c>
      <c r="J7256" s="1" t="s">
        <v>3606</v>
      </c>
      <c r="K7256" s="1" t="s">
        <v>24870</v>
      </c>
      <c r="L7256" s="1"/>
      <c r="M7256" s="1"/>
    </row>
    <row x14ac:dyDescent="0.25" r="7257" customHeight="1" ht="18.75">
      <c r="A7257" s="1" t="s">
        <v>3693</v>
      </c>
      <c r="B7257" s="1" t="s">
        <v>4192</v>
      </c>
      <c r="C7257" s="1" t="s">
        <v>3600</v>
      </c>
      <c r="D7257" s="1" t="s">
        <v>3610</v>
      </c>
      <c r="E7257" s="1" t="s">
        <v>3893</v>
      </c>
      <c r="F7257" s="1" t="s">
        <v>24871</v>
      </c>
      <c r="G7257" s="1" t="s">
        <v>4428</v>
      </c>
      <c r="H7257" s="1" t="s">
        <v>3604</v>
      </c>
      <c r="I7257" s="1" t="s">
        <v>24872</v>
      </c>
      <c r="J7257" s="1" t="s">
        <v>3606</v>
      </c>
      <c r="K7257" s="1" t="s">
        <v>24873</v>
      </c>
      <c r="L7257" s="1"/>
      <c r="M7257" s="1"/>
    </row>
    <row x14ac:dyDescent="0.25" r="7258" customHeight="1" ht="18.75">
      <c r="A7258" s="1" t="s">
        <v>3693</v>
      </c>
      <c r="B7258" s="1" t="s">
        <v>4247</v>
      </c>
      <c r="C7258" s="1" t="s">
        <v>3600</v>
      </c>
      <c r="D7258" s="1" t="s">
        <v>8373</v>
      </c>
      <c r="E7258" s="1" t="s">
        <v>3664</v>
      </c>
      <c r="F7258" s="1" t="s">
        <v>24874</v>
      </c>
      <c r="G7258" s="1" t="s">
        <v>24593</v>
      </c>
      <c r="H7258" s="1" t="s">
        <v>3604</v>
      </c>
      <c r="I7258" s="1" t="s">
        <v>24875</v>
      </c>
      <c r="J7258" s="1" t="s">
        <v>3615</v>
      </c>
      <c r="K7258" s="1" t="s">
        <v>24876</v>
      </c>
      <c r="L7258" s="1"/>
      <c r="M7258" s="1"/>
    </row>
    <row x14ac:dyDescent="0.25" r="7259" customHeight="1" ht="18.75">
      <c r="A7259" s="1" t="s">
        <v>3693</v>
      </c>
      <c r="B7259" s="1" t="s">
        <v>4192</v>
      </c>
      <c r="C7259" s="1" t="s">
        <v>3600</v>
      </c>
      <c r="D7259" s="1" t="s">
        <v>3610</v>
      </c>
      <c r="E7259" s="1" t="s">
        <v>3893</v>
      </c>
      <c r="F7259" s="1" t="s">
        <v>24877</v>
      </c>
      <c r="G7259" s="1" t="s">
        <v>4428</v>
      </c>
      <c r="H7259" s="1" t="s">
        <v>3604</v>
      </c>
      <c r="I7259" s="1" t="s">
        <v>24878</v>
      </c>
      <c r="J7259" s="1" t="s">
        <v>3606</v>
      </c>
      <c r="K7259" s="1" t="s">
        <v>24879</v>
      </c>
      <c r="L7259" s="1"/>
      <c r="M7259" s="1"/>
    </row>
    <row x14ac:dyDescent="0.25" r="7260" customHeight="1" ht="18.75">
      <c r="A7260" s="1" t="s">
        <v>3693</v>
      </c>
      <c r="B7260" s="1" t="s">
        <v>4247</v>
      </c>
      <c r="C7260" s="1" t="s">
        <v>3600</v>
      </c>
      <c r="D7260" s="1" t="s">
        <v>8373</v>
      </c>
      <c r="E7260" s="1" t="s">
        <v>3664</v>
      </c>
      <c r="F7260" s="1" t="s">
        <v>24880</v>
      </c>
      <c r="G7260" s="1" t="s">
        <v>10230</v>
      </c>
      <c r="H7260" s="1" t="s">
        <v>3604</v>
      </c>
      <c r="I7260" s="1" t="s">
        <v>24881</v>
      </c>
      <c r="J7260" s="1" t="s">
        <v>3615</v>
      </c>
      <c r="K7260" s="1" t="s">
        <v>24882</v>
      </c>
      <c r="L7260" s="1"/>
      <c r="M7260" s="1"/>
    </row>
    <row x14ac:dyDescent="0.25" r="7261" customHeight="1" ht="18.75">
      <c r="A7261" s="1" t="s">
        <v>3693</v>
      </c>
      <c r="B7261" s="1" t="s">
        <v>4267</v>
      </c>
      <c r="C7261" s="1" t="s">
        <v>3600</v>
      </c>
      <c r="D7261" s="1" t="s">
        <v>3610</v>
      </c>
      <c r="E7261" s="1" t="s">
        <v>3893</v>
      </c>
      <c r="F7261" s="1" t="s">
        <v>24883</v>
      </c>
      <c r="G7261" s="1" t="s">
        <v>6678</v>
      </c>
      <c r="H7261" s="1" t="s">
        <v>3604</v>
      </c>
      <c r="I7261" s="1" t="s">
        <v>24884</v>
      </c>
      <c r="J7261" s="1" t="s">
        <v>3615</v>
      </c>
      <c r="K7261" s="1" t="s">
        <v>24885</v>
      </c>
      <c r="L7261" s="1"/>
      <c r="M7261" s="1"/>
    </row>
    <row x14ac:dyDescent="0.25" r="7262" customHeight="1" ht="18.75">
      <c r="A7262" s="1" t="s">
        <v>3693</v>
      </c>
      <c r="B7262" s="1" t="s">
        <v>4091</v>
      </c>
      <c r="C7262" s="1" t="s">
        <v>3600</v>
      </c>
      <c r="D7262" s="1" t="s">
        <v>3695</v>
      </c>
      <c r="E7262" s="1" t="s">
        <v>3893</v>
      </c>
      <c r="F7262" s="1" t="s">
        <v>24886</v>
      </c>
      <c r="G7262" s="1" t="s">
        <v>10315</v>
      </c>
      <c r="H7262" s="1" t="s">
        <v>3604</v>
      </c>
      <c r="I7262" s="1" t="s">
        <v>24887</v>
      </c>
      <c r="J7262" s="1" t="s">
        <v>3615</v>
      </c>
      <c r="K7262" s="1" t="s">
        <v>24888</v>
      </c>
      <c r="L7262" s="1"/>
      <c r="M7262" s="1"/>
    </row>
    <row x14ac:dyDescent="0.25" r="7263" customHeight="1" ht="18.75">
      <c r="A7263" s="1" t="s">
        <v>3693</v>
      </c>
      <c r="B7263" s="1" t="s">
        <v>4247</v>
      </c>
      <c r="C7263" s="1" t="s">
        <v>3600</v>
      </c>
      <c r="D7263" s="1" t="s">
        <v>3601</v>
      </c>
      <c r="E7263" s="1" t="s">
        <v>3664</v>
      </c>
      <c r="F7263" s="1" t="s">
        <v>24889</v>
      </c>
      <c r="G7263" s="1" t="s">
        <v>4741</v>
      </c>
      <c r="H7263" s="1" t="s">
        <v>3604</v>
      </c>
      <c r="I7263" s="1" t="s">
        <v>24890</v>
      </c>
      <c r="J7263" s="1" t="s">
        <v>3615</v>
      </c>
      <c r="K7263" s="1" t="s">
        <v>24891</v>
      </c>
      <c r="L7263" s="1"/>
      <c r="M7263" s="1"/>
    </row>
    <row x14ac:dyDescent="0.25" r="7264" customHeight="1" ht="18.75">
      <c r="A7264" s="1" t="s">
        <v>3693</v>
      </c>
      <c r="B7264" s="1" t="s">
        <v>4267</v>
      </c>
      <c r="C7264" s="1" t="s">
        <v>3600</v>
      </c>
      <c r="D7264" s="1" t="s">
        <v>533</v>
      </c>
      <c r="E7264" s="1" t="s">
        <v>3664</v>
      </c>
      <c r="F7264" s="1" t="s">
        <v>24892</v>
      </c>
      <c r="G7264" s="1" t="s">
        <v>7125</v>
      </c>
      <c r="H7264" s="1" t="s">
        <v>3604</v>
      </c>
      <c r="I7264" s="1" t="s">
        <v>24893</v>
      </c>
      <c r="J7264" s="1" t="s">
        <v>3606</v>
      </c>
      <c r="K7264" s="1" t="s">
        <v>24894</v>
      </c>
      <c r="L7264" s="1"/>
      <c r="M7264" s="1"/>
    </row>
    <row x14ac:dyDescent="0.25" r="7265" customHeight="1" ht="18.75">
      <c r="A7265" s="1" t="s">
        <v>3693</v>
      </c>
      <c r="B7265" s="1" t="s">
        <v>4152</v>
      </c>
      <c r="C7265" s="1" t="s">
        <v>3600</v>
      </c>
      <c r="D7265" s="1" t="s">
        <v>3601</v>
      </c>
      <c r="E7265" s="1" t="s">
        <v>3664</v>
      </c>
      <c r="F7265" s="1" t="s">
        <v>24895</v>
      </c>
      <c r="G7265" s="1" t="s">
        <v>24896</v>
      </c>
      <c r="H7265" s="1" t="s">
        <v>3604</v>
      </c>
      <c r="I7265" s="1" t="s">
        <v>24897</v>
      </c>
      <c r="J7265" s="1" t="s">
        <v>3615</v>
      </c>
      <c r="K7265" s="1" t="s">
        <v>24898</v>
      </c>
      <c r="L7265" s="1"/>
      <c r="M7265" s="1"/>
    </row>
    <row x14ac:dyDescent="0.25" r="7266" customHeight="1" ht="18.75">
      <c r="A7266" s="1" t="s">
        <v>3693</v>
      </c>
      <c r="B7266" s="1" t="s">
        <v>10217</v>
      </c>
      <c r="C7266" s="1" t="s">
        <v>3619</v>
      </c>
      <c r="D7266" s="1" t="s">
        <v>3601</v>
      </c>
      <c r="E7266" s="1" t="s">
        <v>3981</v>
      </c>
      <c r="F7266" s="1" t="s">
        <v>24899</v>
      </c>
      <c r="G7266" s="1" t="s">
        <v>9382</v>
      </c>
      <c r="H7266" s="1" t="s">
        <v>3604</v>
      </c>
      <c r="I7266" s="1" t="s">
        <v>24900</v>
      </c>
      <c r="J7266" s="1" t="s">
        <v>3606</v>
      </c>
      <c r="K7266" s="1" t="s">
        <v>24901</v>
      </c>
      <c r="L7266" s="1"/>
      <c r="M7266" s="1"/>
    </row>
    <row x14ac:dyDescent="0.25" r="7267" customHeight="1" ht="18.75">
      <c r="A7267" s="1" t="s">
        <v>3693</v>
      </c>
      <c r="B7267" s="1" t="s">
        <v>4247</v>
      </c>
      <c r="C7267" s="1" t="s">
        <v>3600</v>
      </c>
      <c r="D7267" s="1" t="s">
        <v>3601</v>
      </c>
      <c r="E7267" s="1" t="s">
        <v>3664</v>
      </c>
      <c r="F7267" s="1" t="s">
        <v>24902</v>
      </c>
      <c r="G7267" s="1" t="s">
        <v>4738</v>
      </c>
      <c r="H7267" s="1" t="s">
        <v>3604</v>
      </c>
      <c r="I7267" s="1" t="s">
        <v>24903</v>
      </c>
      <c r="J7267" s="1" t="s">
        <v>3615</v>
      </c>
      <c r="K7267" s="1" t="s">
        <v>24904</v>
      </c>
      <c r="L7267" s="1"/>
      <c r="M7267" s="1"/>
    </row>
    <row x14ac:dyDescent="0.25" r="7268" customHeight="1" ht="18.75">
      <c r="A7268" s="1" t="s">
        <v>3617</v>
      </c>
      <c r="B7268" s="1" t="s">
        <v>24905</v>
      </c>
      <c r="C7268" s="1" t="s">
        <v>3619</v>
      </c>
      <c r="D7268" s="1" t="s">
        <v>7994</v>
      </c>
      <c r="E7268" s="1" t="s">
        <v>3893</v>
      </c>
      <c r="F7268" s="1" t="s">
        <v>24906</v>
      </c>
      <c r="G7268" s="1" t="s">
        <v>24905</v>
      </c>
      <c r="H7268" s="1" t="s">
        <v>3604</v>
      </c>
      <c r="I7268" s="1" t="s">
        <v>24907</v>
      </c>
      <c r="J7268" s="1" t="s">
        <v>3606</v>
      </c>
      <c r="K7268" s="1"/>
      <c r="L7268" s="1"/>
      <c r="M7268" s="1"/>
    </row>
    <row x14ac:dyDescent="0.25" r="7269" customHeight="1" ht="18.75">
      <c r="A7269" s="1" t="s">
        <v>3693</v>
      </c>
      <c r="B7269" s="1" t="s">
        <v>10217</v>
      </c>
      <c r="C7269" s="1" t="s">
        <v>3619</v>
      </c>
      <c r="D7269" s="1" t="s">
        <v>3601</v>
      </c>
      <c r="E7269" s="1" t="s">
        <v>3981</v>
      </c>
      <c r="F7269" s="1" t="s">
        <v>24908</v>
      </c>
      <c r="G7269" s="1" t="s">
        <v>24909</v>
      </c>
      <c r="H7269" s="1" t="s">
        <v>3604</v>
      </c>
      <c r="I7269" s="1" t="s">
        <v>24910</v>
      </c>
      <c r="J7269" s="1" t="s">
        <v>3606</v>
      </c>
      <c r="K7269" s="1" t="s">
        <v>24911</v>
      </c>
      <c r="L7269" s="1"/>
      <c r="M7269" s="1"/>
    </row>
    <row x14ac:dyDescent="0.25" r="7270" customHeight="1" ht="18.75">
      <c r="A7270" s="1" t="s">
        <v>3693</v>
      </c>
      <c r="B7270" s="1" t="s">
        <v>4267</v>
      </c>
      <c r="C7270" s="1" t="s">
        <v>3600</v>
      </c>
      <c r="D7270" s="1" t="s">
        <v>3610</v>
      </c>
      <c r="E7270" s="1" t="s">
        <v>3664</v>
      </c>
      <c r="F7270" s="1" t="s">
        <v>24912</v>
      </c>
      <c r="G7270" s="1"/>
      <c r="H7270" s="1" t="s">
        <v>3604</v>
      </c>
      <c r="I7270" s="1" t="s">
        <v>24913</v>
      </c>
      <c r="J7270" s="1" t="s">
        <v>3606</v>
      </c>
      <c r="K7270" s="1" t="s">
        <v>24914</v>
      </c>
      <c r="L7270" s="1"/>
      <c r="M7270" s="1"/>
    </row>
    <row x14ac:dyDescent="0.25" r="7271" customHeight="1" ht="18.75">
      <c r="A7271" s="1" t="s">
        <v>3693</v>
      </c>
      <c r="B7271" s="1" t="s">
        <v>4083</v>
      </c>
      <c r="C7271" s="1" t="s">
        <v>3600</v>
      </c>
      <c r="D7271" s="1" t="s">
        <v>3601</v>
      </c>
      <c r="E7271" s="1" t="s">
        <v>3893</v>
      </c>
      <c r="F7271" s="1" t="s">
        <v>24915</v>
      </c>
      <c r="G7271" s="1" t="s">
        <v>24663</v>
      </c>
      <c r="H7271" s="1" t="s">
        <v>3604</v>
      </c>
      <c r="I7271" s="1" t="s">
        <v>24916</v>
      </c>
      <c r="J7271" s="1" t="s">
        <v>3615</v>
      </c>
      <c r="K7271" s="1" t="s">
        <v>24917</v>
      </c>
      <c r="L7271" s="1"/>
      <c r="M7271" s="1"/>
    </row>
    <row x14ac:dyDescent="0.25" r="7272" customHeight="1" ht="18.75">
      <c r="A7272" s="1" t="s">
        <v>3693</v>
      </c>
      <c r="B7272" s="1" t="s">
        <v>4247</v>
      </c>
      <c r="C7272" s="1" t="s">
        <v>3600</v>
      </c>
      <c r="D7272" s="1" t="s">
        <v>3601</v>
      </c>
      <c r="E7272" s="1" t="s">
        <v>3664</v>
      </c>
      <c r="F7272" s="1" t="s">
        <v>24918</v>
      </c>
      <c r="G7272" s="1" t="s">
        <v>4735</v>
      </c>
      <c r="H7272" s="1" t="s">
        <v>3604</v>
      </c>
      <c r="I7272" s="1" t="s">
        <v>24919</v>
      </c>
      <c r="J7272" s="1" t="s">
        <v>3615</v>
      </c>
      <c r="K7272" s="1" t="s">
        <v>24920</v>
      </c>
      <c r="L7272" s="1"/>
      <c r="M7272" s="1"/>
    </row>
    <row x14ac:dyDescent="0.25" r="7273" customHeight="1" ht="18.75">
      <c r="A7273" s="1" t="s">
        <v>3693</v>
      </c>
      <c r="B7273" s="1" t="s">
        <v>4083</v>
      </c>
      <c r="C7273" s="1" t="s">
        <v>3600</v>
      </c>
      <c r="D7273" s="1" t="s">
        <v>3601</v>
      </c>
      <c r="E7273" s="1" t="s">
        <v>3893</v>
      </c>
      <c r="F7273" s="1" t="s">
        <v>24921</v>
      </c>
      <c r="G7273" s="1" t="s">
        <v>24663</v>
      </c>
      <c r="H7273" s="1" t="s">
        <v>3604</v>
      </c>
      <c r="I7273" s="1" t="s">
        <v>24922</v>
      </c>
      <c r="J7273" s="1" t="s">
        <v>3615</v>
      </c>
      <c r="K7273" s="1" t="s">
        <v>24917</v>
      </c>
      <c r="L7273" s="1"/>
      <c r="M7273" s="1"/>
    </row>
    <row x14ac:dyDescent="0.25" r="7274" customHeight="1" ht="18.75">
      <c r="A7274" s="1" t="s">
        <v>3693</v>
      </c>
      <c r="B7274" s="1" t="s">
        <v>4091</v>
      </c>
      <c r="C7274" s="1" t="s">
        <v>3600</v>
      </c>
      <c r="D7274" s="1" t="s">
        <v>3601</v>
      </c>
      <c r="E7274" s="1" t="s">
        <v>3893</v>
      </c>
      <c r="F7274" s="1" t="s">
        <v>24923</v>
      </c>
      <c r="G7274" s="1" t="s">
        <v>17377</v>
      </c>
      <c r="H7274" s="1" t="s">
        <v>3604</v>
      </c>
      <c r="I7274" s="1" t="s">
        <v>24924</v>
      </c>
      <c r="J7274" s="1" t="s">
        <v>3615</v>
      </c>
      <c r="K7274" s="1" t="s">
        <v>24925</v>
      </c>
      <c r="L7274" s="1"/>
      <c r="M7274" s="1"/>
    </row>
    <row x14ac:dyDescent="0.25" r="7275" customHeight="1" ht="18.75">
      <c r="A7275" s="1" t="s">
        <v>3693</v>
      </c>
      <c r="B7275" s="1" t="s">
        <v>4091</v>
      </c>
      <c r="C7275" s="1" t="s">
        <v>3600</v>
      </c>
      <c r="D7275" s="1" t="s">
        <v>3601</v>
      </c>
      <c r="E7275" s="1" t="s">
        <v>3893</v>
      </c>
      <c r="F7275" s="1" t="s">
        <v>24923</v>
      </c>
      <c r="G7275" s="1" t="s">
        <v>17377</v>
      </c>
      <c r="H7275" s="1" t="s">
        <v>3604</v>
      </c>
      <c r="I7275" s="1" t="s">
        <v>24926</v>
      </c>
      <c r="J7275" s="1" t="s">
        <v>3615</v>
      </c>
      <c r="K7275" s="1" t="s">
        <v>24925</v>
      </c>
      <c r="L7275" s="1"/>
      <c r="M7275" s="1"/>
    </row>
    <row x14ac:dyDescent="0.25" r="7276" customHeight="1" ht="18.75">
      <c r="A7276" s="1" t="s">
        <v>3693</v>
      </c>
      <c r="B7276" s="1" t="s">
        <v>4091</v>
      </c>
      <c r="C7276" s="1" t="s">
        <v>3600</v>
      </c>
      <c r="D7276" s="1" t="s">
        <v>3601</v>
      </c>
      <c r="E7276" s="1" t="s">
        <v>3893</v>
      </c>
      <c r="F7276" s="1" t="s">
        <v>24927</v>
      </c>
      <c r="G7276" s="1" t="s">
        <v>17377</v>
      </c>
      <c r="H7276" s="1" t="s">
        <v>3604</v>
      </c>
      <c r="I7276" s="1" t="s">
        <v>24928</v>
      </c>
      <c r="J7276" s="1" t="s">
        <v>3615</v>
      </c>
      <c r="K7276" s="1" t="s">
        <v>24925</v>
      </c>
      <c r="L7276" s="1"/>
      <c r="M7276" s="1"/>
    </row>
    <row x14ac:dyDescent="0.25" r="7277" customHeight="1" ht="18.75">
      <c r="A7277" s="1" t="s">
        <v>3693</v>
      </c>
      <c r="B7277" s="1" t="s">
        <v>4091</v>
      </c>
      <c r="C7277" s="1" t="s">
        <v>3600</v>
      </c>
      <c r="D7277" s="1" t="s">
        <v>3601</v>
      </c>
      <c r="E7277" s="1" t="s">
        <v>3611</v>
      </c>
      <c r="F7277" s="1" t="s">
        <v>24929</v>
      </c>
      <c r="G7277" s="1" t="s">
        <v>17377</v>
      </c>
      <c r="H7277" s="1" t="s">
        <v>3604</v>
      </c>
      <c r="I7277" s="1" t="s">
        <v>24930</v>
      </c>
      <c r="J7277" s="1" t="s">
        <v>3615</v>
      </c>
      <c r="K7277" s="1" t="s">
        <v>24925</v>
      </c>
      <c r="L7277" s="1"/>
      <c r="M7277" s="1"/>
    </row>
    <row x14ac:dyDescent="0.25" r="7278" customHeight="1" ht="18.75">
      <c r="A7278" s="1" t="s">
        <v>3693</v>
      </c>
      <c r="B7278" s="1" t="s">
        <v>4192</v>
      </c>
      <c r="C7278" s="1" t="s">
        <v>3600</v>
      </c>
      <c r="D7278" s="1" t="s">
        <v>3601</v>
      </c>
      <c r="E7278" s="1" t="s">
        <v>3893</v>
      </c>
      <c r="F7278" s="1" t="s">
        <v>24931</v>
      </c>
      <c r="G7278" s="1" t="s">
        <v>4428</v>
      </c>
      <c r="H7278" s="1" t="s">
        <v>3604</v>
      </c>
      <c r="I7278" s="1" t="s">
        <v>24932</v>
      </c>
      <c r="J7278" s="1" t="s">
        <v>3606</v>
      </c>
      <c r="K7278" s="1" t="s">
        <v>24181</v>
      </c>
      <c r="L7278" s="1"/>
      <c r="M7278" s="1"/>
    </row>
    <row x14ac:dyDescent="0.25" r="7279" customHeight="1" ht="18.75">
      <c r="A7279" s="1" t="s">
        <v>3693</v>
      </c>
      <c r="B7279" s="1" t="s">
        <v>4192</v>
      </c>
      <c r="C7279" s="1" t="s">
        <v>3600</v>
      </c>
      <c r="D7279" s="1" t="s">
        <v>3601</v>
      </c>
      <c r="E7279" s="1" t="s">
        <v>3893</v>
      </c>
      <c r="F7279" s="1" t="s">
        <v>24933</v>
      </c>
      <c r="G7279" s="1" t="s">
        <v>4428</v>
      </c>
      <c r="H7279" s="1" t="s">
        <v>3604</v>
      </c>
      <c r="I7279" s="1" t="s">
        <v>24934</v>
      </c>
      <c r="J7279" s="1" t="s">
        <v>3615</v>
      </c>
      <c r="K7279" s="1" t="s">
        <v>24181</v>
      </c>
      <c r="L7279" s="1"/>
      <c r="M7279" s="1"/>
    </row>
    <row x14ac:dyDescent="0.25" r="7280" customHeight="1" ht="18.75">
      <c r="A7280" s="1" t="s">
        <v>3693</v>
      </c>
      <c r="B7280" s="1" t="s">
        <v>4192</v>
      </c>
      <c r="C7280" s="1" t="s">
        <v>3600</v>
      </c>
      <c r="D7280" s="1" t="s">
        <v>3601</v>
      </c>
      <c r="E7280" s="1" t="s">
        <v>3893</v>
      </c>
      <c r="F7280" s="1" t="s">
        <v>24935</v>
      </c>
      <c r="G7280" s="1" t="s">
        <v>4428</v>
      </c>
      <c r="H7280" s="1" t="s">
        <v>3604</v>
      </c>
      <c r="I7280" s="1" t="s">
        <v>24936</v>
      </c>
      <c r="J7280" s="1" t="s">
        <v>3615</v>
      </c>
      <c r="K7280" s="1" t="s">
        <v>24181</v>
      </c>
      <c r="L7280" s="1"/>
      <c r="M7280" s="1"/>
    </row>
    <row x14ac:dyDescent="0.25" r="7281" customHeight="1" ht="18.75">
      <c r="A7281" s="1" t="s">
        <v>3693</v>
      </c>
      <c r="B7281" s="1" t="s">
        <v>4267</v>
      </c>
      <c r="C7281" s="1" t="s">
        <v>3600</v>
      </c>
      <c r="D7281" s="1" t="s">
        <v>3610</v>
      </c>
      <c r="E7281" s="1" t="s">
        <v>3664</v>
      </c>
      <c r="F7281" s="1" t="s">
        <v>24937</v>
      </c>
      <c r="G7281" s="1" t="s">
        <v>7125</v>
      </c>
      <c r="H7281" s="1" t="s">
        <v>3604</v>
      </c>
      <c r="I7281" s="1" t="s">
        <v>24938</v>
      </c>
      <c r="J7281" s="1" t="s">
        <v>3606</v>
      </c>
      <c r="K7281" s="1" t="s">
        <v>24939</v>
      </c>
      <c r="L7281" s="1"/>
      <c r="M7281" s="1"/>
    </row>
    <row x14ac:dyDescent="0.25" r="7282" customHeight="1" ht="18.75">
      <c r="A7282" s="1" t="s">
        <v>3693</v>
      </c>
      <c r="B7282" s="1" t="s">
        <v>4091</v>
      </c>
      <c r="C7282" s="1" t="s">
        <v>3600</v>
      </c>
      <c r="D7282" s="1" t="s">
        <v>3695</v>
      </c>
      <c r="E7282" s="1" t="s">
        <v>3893</v>
      </c>
      <c r="F7282" s="1" t="s">
        <v>24940</v>
      </c>
      <c r="G7282" s="1" t="s">
        <v>4438</v>
      </c>
      <c r="H7282" s="1" t="s">
        <v>3604</v>
      </c>
      <c r="I7282" s="1" t="s">
        <v>24941</v>
      </c>
      <c r="J7282" s="1" t="s">
        <v>3615</v>
      </c>
      <c r="K7282" s="1" t="s">
        <v>24942</v>
      </c>
      <c r="L7282" s="1"/>
      <c r="M7282" s="1"/>
    </row>
    <row x14ac:dyDescent="0.25" r="7283" customHeight="1" ht="18.75">
      <c r="A7283" s="1" t="s">
        <v>3693</v>
      </c>
      <c r="B7283" s="1" t="s">
        <v>4267</v>
      </c>
      <c r="C7283" s="1" t="s">
        <v>3600</v>
      </c>
      <c r="D7283" s="1" t="s">
        <v>3610</v>
      </c>
      <c r="E7283" s="1" t="s">
        <v>3664</v>
      </c>
      <c r="F7283" s="1" t="s">
        <v>24943</v>
      </c>
      <c r="G7283" s="1" t="s">
        <v>10164</v>
      </c>
      <c r="H7283" s="1" t="s">
        <v>3604</v>
      </c>
      <c r="I7283" s="1" t="s">
        <v>24944</v>
      </c>
      <c r="J7283" s="1" t="s">
        <v>3606</v>
      </c>
      <c r="K7283" s="1" t="s">
        <v>24945</v>
      </c>
      <c r="L7283" s="1"/>
      <c r="M7283" s="1"/>
    </row>
    <row x14ac:dyDescent="0.25" r="7284" customHeight="1" ht="18.75">
      <c r="A7284" s="1" t="s">
        <v>3693</v>
      </c>
      <c r="B7284" s="1" t="s">
        <v>4083</v>
      </c>
      <c r="C7284" s="1" t="s">
        <v>3600</v>
      </c>
      <c r="D7284" s="1" t="s">
        <v>3695</v>
      </c>
      <c r="E7284" s="1" t="s">
        <v>3893</v>
      </c>
      <c r="F7284" s="1" t="s">
        <v>24946</v>
      </c>
      <c r="G7284" s="1" t="s">
        <v>4116</v>
      </c>
      <c r="H7284" s="1" t="s">
        <v>3604</v>
      </c>
      <c r="I7284" s="1" t="s">
        <v>24947</v>
      </c>
      <c r="J7284" s="1" t="s">
        <v>3615</v>
      </c>
      <c r="K7284" s="1" t="s">
        <v>24948</v>
      </c>
      <c r="L7284" s="1"/>
      <c r="M7284" s="1"/>
    </row>
    <row x14ac:dyDescent="0.25" r="7285" customHeight="1" ht="18.75">
      <c r="A7285" s="1" t="s">
        <v>3693</v>
      </c>
      <c r="B7285" s="1" t="s">
        <v>4214</v>
      </c>
      <c r="C7285" s="1" t="s">
        <v>3600</v>
      </c>
      <c r="D7285" s="1" t="s">
        <v>3601</v>
      </c>
      <c r="E7285" s="1" t="s">
        <v>3664</v>
      </c>
      <c r="F7285" s="1" t="s">
        <v>24949</v>
      </c>
      <c r="G7285" s="1" t="s">
        <v>24950</v>
      </c>
      <c r="H7285" s="1" t="s">
        <v>3604</v>
      </c>
      <c r="I7285" s="1" t="s">
        <v>24951</v>
      </c>
      <c r="J7285" s="1" t="s">
        <v>3615</v>
      </c>
      <c r="K7285" s="1" t="s">
        <v>24952</v>
      </c>
      <c r="L7285" s="1"/>
      <c r="M7285" s="1"/>
    </row>
    <row x14ac:dyDescent="0.25" r="7286" customHeight="1" ht="18.75">
      <c r="A7286" s="1" t="s">
        <v>3693</v>
      </c>
      <c r="B7286" s="1" t="s">
        <v>4267</v>
      </c>
      <c r="C7286" s="1" t="s">
        <v>3600</v>
      </c>
      <c r="D7286" s="1" t="s">
        <v>3610</v>
      </c>
      <c r="E7286" s="1" t="s">
        <v>3893</v>
      </c>
      <c r="F7286" s="1" t="s">
        <v>24953</v>
      </c>
      <c r="G7286" s="1" t="s">
        <v>7125</v>
      </c>
      <c r="H7286" s="1" t="s">
        <v>3604</v>
      </c>
      <c r="I7286" s="1" t="s">
        <v>24954</v>
      </c>
      <c r="J7286" s="1" t="s">
        <v>3606</v>
      </c>
      <c r="K7286" s="1" t="s">
        <v>24955</v>
      </c>
      <c r="L7286" s="1"/>
      <c r="M7286" s="1"/>
    </row>
    <row x14ac:dyDescent="0.25" r="7287" customHeight="1" ht="18.75">
      <c r="A7287" s="1" t="s">
        <v>3693</v>
      </c>
      <c r="B7287" s="1" t="s">
        <v>4247</v>
      </c>
      <c r="C7287" s="1" t="s">
        <v>3600</v>
      </c>
      <c r="D7287" s="1" t="s">
        <v>3601</v>
      </c>
      <c r="E7287" s="1" t="s">
        <v>3893</v>
      </c>
      <c r="F7287" s="1" t="s">
        <v>24956</v>
      </c>
      <c r="G7287" s="1" t="s">
        <v>4384</v>
      </c>
      <c r="H7287" s="1" t="s">
        <v>3604</v>
      </c>
      <c r="I7287" s="1" t="s">
        <v>24957</v>
      </c>
      <c r="J7287" s="1" t="s">
        <v>3615</v>
      </c>
      <c r="K7287" s="1"/>
      <c r="L7287" s="1"/>
      <c r="M7287" s="1"/>
    </row>
    <row x14ac:dyDescent="0.25" r="7288" customHeight="1" ht="18.75">
      <c r="A7288" s="1" t="s">
        <v>3693</v>
      </c>
      <c r="B7288" s="1" t="s">
        <v>4247</v>
      </c>
      <c r="C7288" s="1" t="s">
        <v>3600</v>
      </c>
      <c r="D7288" s="1" t="s">
        <v>3601</v>
      </c>
      <c r="E7288" s="1" t="s">
        <v>3893</v>
      </c>
      <c r="F7288" s="1" t="s">
        <v>24958</v>
      </c>
      <c r="G7288" s="1" t="s">
        <v>4386</v>
      </c>
      <c r="H7288" s="1" t="s">
        <v>3604</v>
      </c>
      <c r="I7288" s="1" t="s">
        <v>24959</v>
      </c>
      <c r="J7288" s="1" t="s">
        <v>3615</v>
      </c>
      <c r="K7288" s="1"/>
      <c r="L7288" s="1"/>
      <c r="M7288" s="1"/>
    </row>
    <row x14ac:dyDescent="0.25" r="7289" customHeight="1" ht="18.75">
      <c r="A7289" s="1" t="s">
        <v>3693</v>
      </c>
      <c r="B7289" s="1" t="s">
        <v>4247</v>
      </c>
      <c r="C7289" s="1" t="s">
        <v>3600</v>
      </c>
      <c r="D7289" s="1" t="s">
        <v>3601</v>
      </c>
      <c r="E7289" s="1" t="s">
        <v>3893</v>
      </c>
      <c r="F7289" s="1" t="s">
        <v>24960</v>
      </c>
      <c r="G7289" s="1" t="s">
        <v>4744</v>
      </c>
      <c r="H7289" s="1" t="s">
        <v>3604</v>
      </c>
      <c r="I7289" s="1" t="s">
        <v>24961</v>
      </c>
      <c r="J7289" s="1" t="s">
        <v>3615</v>
      </c>
      <c r="K7289" s="1"/>
      <c r="L7289" s="1"/>
      <c r="M7289" s="1"/>
    </row>
    <row x14ac:dyDescent="0.25" r="7290" customHeight="1" ht="18.75">
      <c r="A7290" s="1" t="s">
        <v>3693</v>
      </c>
      <c r="B7290" s="1" t="s">
        <v>4267</v>
      </c>
      <c r="C7290" s="1" t="s">
        <v>3600</v>
      </c>
      <c r="D7290" s="1" t="s">
        <v>3610</v>
      </c>
      <c r="E7290" s="1" t="s">
        <v>3893</v>
      </c>
      <c r="F7290" s="1" t="s">
        <v>24962</v>
      </c>
      <c r="G7290" s="1" t="s">
        <v>7125</v>
      </c>
      <c r="H7290" s="1" t="s">
        <v>3604</v>
      </c>
      <c r="I7290" s="1" t="s">
        <v>24963</v>
      </c>
      <c r="J7290" s="1" t="s">
        <v>3606</v>
      </c>
      <c r="K7290" s="1" t="s">
        <v>24964</v>
      </c>
      <c r="L7290" s="1"/>
      <c r="M7290" s="1"/>
    </row>
    <row x14ac:dyDescent="0.25" r="7291" customHeight="1" ht="18.75">
      <c r="A7291" s="1" t="s">
        <v>3693</v>
      </c>
      <c r="B7291" s="1" t="s">
        <v>4247</v>
      </c>
      <c r="C7291" s="1" t="s">
        <v>3600</v>
      </c>
      <c r="D7291" s="1" t="s">
        <v>3601</v>
      </c>
      <c r="E7291" s="1" t="s">
        <v>3893</v>
      </c>
      <c r="F7291" s="1" t="s">
        <v>24965</v>
      </c>
      <c r="G7291" s="1" t="s">
        <v>9829</v>
      </c>
      <c r="H7291" s="1" t="s">
        <v>3604</v>
      </c>
      <c r="I7291" s="1" t="s">
        <v>24966</v>
      </c>
      <c r="J7291" s="1" t="s">
        <v>3615</v>
      </c>
      <c r="K7291" s="1"/>
      <c r="L7291" s="1"/>
      <c r="M7291" s="1"/>
    </row>
    <row x14ac:dyDescent="0.25" r="7292" customHeight="1" ht="18.75">
      <c r="A7292" s="1" t="s">
        <v>3693</v>
      </c>
      <c r="B7292" s="1" t="s">
        <v>4083</v>
      </c>
      <c r="C7292" s="1" t="s">
        <v>3600</v>
      </c>
      <c r="D7292" s="1" t="s">
        <v>3601</v>
      </c>
      <c r="E7292" s="1" t="s">
        <v>3752</v>
      </c>
      <c r="F7292" s="1" t="s">
        <v>24967</v>
      </c>
      <c r="G7292" s="1" t="s">
        <v>4483</v>
      </c>
      <c r="H7292" s="1" t="s">
        <v>3604</v>
      </c>
      <c r="I7292" s="1" t="s">
        <v>24968</v>
      </c>
      <c r="J7292" s="1" t="s">
        <v>3615</v>
      </c>
      <c r="K7292" s="1" t="s">
        <v>24969</v>
      </c>
      <c r="L7292" s="1"/>
      <c r="M7292" s="1"/>
    </row>
    <row x14ac:dyDescent="0.25" r="7293" customHeight="1" ht="18.75">
      <c r="A7293" s="1" t="s">
        <v>3693</v>
      </c>
      <c r="B7293" s="1" t="s">
        <v>4083</v>
      </c>
      <c r="C7293" s="1" t="s">
        <v>3600</v>
      </c>
      <c r="D7293" s="1" t="s">
        <v>3601</v>
      </c>
      <c r="E7293" s="1" t="s">
        <v>3752</v>
      </c>
      <c r="F7293" s="1" t="s">
        <v>24970</v>
      </c>
      <c r="G7293" s="1" t="s">
        <v>9382</v>
      </c>
      <c r="H7293" s="1" t="s">
        <v>3604</v>
      </c>
      <c r="I7293" s="1" t="s">
        <v>24971</v>
      </c>
      <c r="J7293" s="1" t="s">
        <v>3615</v>
      </c>
      <c r="K7293" s="1" t="s">
        <v>24972</v>
      </c>
      <c r="L7293" s="1"/>
      <c r="M7293" s="1"/>
    </row>
    <row x14ac:dyDescent="0.25" r="7294" customHeight="1" ht="18.75">
      <c r="A7294" s="1" t="s">
        <v>3693</v>
      </c>
      <c r="B7294" s="1" t="s">
        <v>4083</v>
      </c>
      <c r="C7294" s="1" t="s">
        <v>3600</v>
      </c>
      <c r="D7294" s="1" t="s">
        <v>3601</v>
      </c>
      <c r="E7294" s="1" t="s">
        <v>3752</v>
      </c>
      <c r="F7294" s="1" t="s">
        <v>24973</v>
      </c>
      <c r="G7294" s="1" t="s">
        <v>9382</v>
      </c>
      <c r="H7294" s="1" t="s">
        <v>3604</v>
      </c>
      <c r="I7294" s="1" t="s">
        <v>24974</v>
      </c>
      <c r="J7294" s="1" t="s">
        <v>3615</v>
      </c>
      <c r="K7294" s="1" t="s">
        <v>24975</v>
      </c>
      <c r="L7294" s="1"/>
      <c r="M7294" s="1"/>
    </row>
    <row x14ac:dyDescent="0.25" r="7295" customHeight="1" ht="18.75">
      <c r="A7295" s="1" t="s">
        <v>3693</v>
      </c>
      <c r="B7295" s="1" t="s">
        <v>4083</v>
      </c>
      <c r="C7295" s="1" t="s">
        <v>3600</v>
      </c>
      <c r="D7295" s="1" t="s">
        <v>3601</v>
      </c>
      <c r="E7295" s="1" t="s">
        <v>3752</v>
      </c>
      <c r="F7295" s="1" t="s">
        <v>24976</v>
      </c>
      <c r="G7295" s="1" t="s">
        <v>9382</v>
      </c>
      <c r="H7295" s="1" t="s">
        <v>3604</v>
      </c>
      <c r="I7295" s="1" t="s">
        <v>24977</v>
      </c>
      <c r="J7295" s="1" t="s">
        <v>3615</v>
      </c>
      <c r="K7295" s="1" t="s">
        <v>24978</v>
      </c>
      <c r="L7295" s="1"/>
      <c r="M7295" s="1"/>
    </row>
    <row x14ac:dyDescent="0.25" r="7296" customHeight="1" ht="18.75">
      <c r="A7296" s="1" t="s">
        <v>3693</v>
      </c>
      <c r="B7296" s="1" t="s">
        <v>4083</v>
      </c>
      <c r="C7296" s="1" t="s">
        <v>3600</v>
      </c>
      <c r="D7296" s="1" t="s">
        <v>3601</v>
      </c>
      <c r="E7296" s="1" t="s">
        <v>3752</v>
      </c>
      <c r="F7296" s="1" t="s">
        <v>24979</v>
      </c>
      <c r="G7296" s="1" t="s">
        <v>9382</v>
      </c>
      <c r="H7296" s="1" t="s">
        <v>3604</v>
      </c>
      <c r="I7296" s="1" t="s">
        <v>24980</v>
      </c>
      <c r="J7296" s="1" t="s">
        <v>3615</v>
      </c>
      <c r="K7296" s="1" t="s">
        <v>24981</v>
      </c>
      <c r="L7296" s="1"/>
      <c r="M7296" s="1"/>
    </row>
    <row x14ac:dyDescent="0.25" r="7297" customHeight="1" ht="18.75">
      <c r="A7297" s="1" t="s">
        <v>3693</v>
      </c>
      <c r="B7297" s="1" t="s">
        <v>4083</v>
      </c>
      <c r="C7297" s="1" t="s">
        <v>3600</v>
      </c>
      <c r="D7297" s="1" t="s">
        <v>3601</v>
      </c>
      <c r="E7297" s="1" t="s">
        <v>3752</v>
      </c>
      <c r="F7297" s="1" t="s">
        <v>24982</v>
      </c>
      <c r="G7297" s="1" t="s">
        <v>9382</v>
      </c>
      <c r="H7297" s="1" t="s">
        <v>3604</v>
      </c>
      <c r="I7297" s="1" t="s">
        <v>24983</v>
      </c>
      <c r="J7297" s="1" t="s">
        <v>3615</v>
      </c>
      <c r="K7297" s="1" t="s">
        <v>24984</v>
      </c>
      <c r="L7297" s="1"/>
      <c r="M7297" s="1"/>
    </row>
    <row x14ac:dyDescent="0.25" r="7298" customHeight="1" ht="18.75">
      <c r="A7298" s="1" t="s">
        <v>3693</v>
      </c>
      <c r="B7298" s="1" t="s">
        <v>4083</v>
      </c>
      <c r="C7298" s="1" t="s">
        <v>3600</v>
      </c>
      <c r="D7298" s="1" t="s">
        <v>3601</v>
      </c>
      <c r="E7298" s="1" t="s">
        <v>3752</v>
      </c>
      <c r="F7298" s="1" t="s">
        <v>24985</v>
      </c>
      <c r="G7298" s="1" t="s">
        <v>9382</v>
      </c>
      <c r="H7298" s="1" t="s">
        <v>3604</v>
      </c>
      <c r="I7298" s="1" t="s">
        <v>24986</v>
      </c>
      <c r="J7298" s="1" t="s">
        <v>3615</v>
      </c>
      <c r="K7298" s="1" t="s">
        <v>24987</v>
      </c>
      <c r="L7298" s="1"/>
      <c r="M7298" s="1"/>
    </row>
    <row x14ac:dyDescent="0.25" r="7299" customHeight="1" ht="18.75">
      <c r="A7299" s="1" t="s">
        <v>3693</v>
      </c>
      <c r="B7299" s="1" t="s">
        <v>4214</v>
      </c>
      <c r="C7299" s="1" t="s">
        <v>3600</v>
      </c>
      <c r="D7299" s="1" t="s">
        <v>3601</v>
      </c>
      <c r="E7299" s="1" t="s">
        <v>3981</v>
      </c>
      <c r="F7299" s="1" t="s">
        <v>24988</v>
      </c>
      <c r="G7299" s="1" t="s">
        <v>9382</v>
      </c>
      <c r="H7299" s="1" t="s">
        <v>3604</v>
      </c>
      <c r="I7299" s="1" t="s">
        <v>24989</v>
      </c>
      <c r="J7299" s="1" t="s">
        <v>3615</v>
      </c>
      <c r="K7299" s="1" t="s">
        <v>24990</v>
      </c>
      <c r="L7299" s="1"/>
      <c r="M7299" s="1"/>
    </row>
    <row x14ac:dyDescent="0.25" r="7300" customHeight="1" ht="18.75">
      <c r="A7300" s="1" t="s">
        <v>3693</v>
      </c>
      <c r="B7300" s="1" t="s">
        <v>4229</v>
      </c>
      <c r="C7300" s="1" t="s">
        <v>3619</v>
      </c>
      <c r="D7300" s="1" t="s">
        <v>3610</v>
      </c>
      <c r="E7300" s="1" t="s">
        <v>3664</v>
      </c>
      <c r="F7300" s="1" t="s">
        <v>24991</v>
      </c>
      <c r="G7300" s="1" t="s">
        <v>13737</v>
      </c>
      <c r="H7300" s="1" t="s">
        <v>3604</v>
      </c>
      <c r="I7300" s="1" t="s">
        <v>24992</v>
      </c>
      <c r="J7300" s="1" t="s">
        <v>3615</v>
      </c>
      <c r="K7300" s="1" t="s">
        <v>24993</v>
      </c>
      <c r="L7300" s="1"/>
      <c r="M7300" s="1"/>
    </row>
    <row x14ac:dyDescent="0.25" r="7301" customHeight="1" ht="18.75">
      <c r="A7301" s="1" t="s">
        <v>3693</v>
      </c>
      <c r="B7301" s="1" t="s">
        <v>4214</v>
      </c>
      <c r="C7301" s="1" t="s">
        <v>3600</v>
      </c>
      <c r="D7301" s="1" t="s">
        <v>3601</v>
      </c>
      <c r="E7301" s="1" t="s">
        <v>3752</v>
      </c>
      <c r="F7301" s="1" t="s">
        <v>24994</v>
      </c>
      <c r="G7301" s="1" t="s">
        <v>9382</v>
      </c>
      <c r="H7301" s="1" t="s">
        <v>3604</v>
      </c>
      <c r="I7301" s="1" t="s">
        <v>24995</v>
      </c>
      <c r="J7301" s="1" t="s">
        <v>3615</v>
      </c>
      <c r="K7301" s="1" t="s">
        <v>24996</v>
      </c>
      <c r="L7301" s="1"/>
      <c r="M7301" s="1"/>
    </row>
    <row x14ac:dyDescent="0.25" r="7302" customHeight="1" ht="18.75">
      <c r="A7302" s="1" t="s">
        <v>3693</v>
      </c>
      <c r="B7302" s="1" t="s">
        <v>4214</v>
      </c>
      <c r="C7302" s="1" t="s">
        <v>3600</v>
      </c>
      <c r="D7302" s="1" t="s">
        <v>3601</v>
      </c>
      <c r="E7302" s="1" t="s">
        <v>3752</v>
      </c>
      <c r="F7302" s="1" t="s">
        <v>24997</v>
      </c>
      <c r="G7302" s="1" t="s">
        <v>9382</v>
      </c>
      <c r="H7302" s="1" t="s">
        <v>3604</v>
      </c>
      <c r="I7302" s="1" t="s">
        <v>24998</v>
      </c>
      <c r="J7302" s="1" t="s">
        <v>3615</v>
      </c>
      <c r="K7302" s="1" t="s">
        <v>24999</v>
      </c>
      <c r="L7302" s="1"/>
      <c r="M7302" s="1"/>
    </row>
    <row x14ac:dyDescent="0.25" r="7303" customHeight="1" ht="18.75">
      <c r="A7303" s="1" t="s">
        <v>3693</v>
      </c>
      <c r="B7303" s="1" t="s">
        <v>5598</v>
      </c>
      <c r="C7303" s="1" t="s">
        <v>3600</v>
      </c>
      <c r="D7303" s="1" t="s">
        <v>3601</v>
      </c>
      <c r="E7303" s="1" t="s">
        <v>3981</v>
      </c>
      <c r="F7303" s="1" t="s">
        <v>25000</v>
      </c>
      <c r="G7303" s="1" t="s">
        <v>9382</v>
      </c>
      <c r="H7303" s="1" t="s">
        <v>3604</v>
      </c>
      <c r="I7303" s="1" t="s">
        <v>25001</v>
      </c>
      <c r="J7303" s="1" t="s">
        <v>3615</v>
      </c>
      <c r="K7303" s="1" t="s">
        <v>25002</v>
      </c>
      <c r="L7303" s="1"/>
      <c r="M7303" s="1"/>
    </row>
    <row x14ac:dyDescent="0.25" r="7304" customHeight="1" ht="18.75">
      <c r="A7304" s="1" t="s">
        <v>3693</v>
      </c>
      <c r="B7304" s="1" t="s">
        <v>5598</v>
      </c>
      <c r="C7304" s="1" t="s">
        <v>3600</v>
      </c>
      <c r="D7304" s="1" t="s">
        <v>3601</v>
      </c>
      <c r="E7304" s="1" t="s">
        <v>3981</v>
      </c>
      <c r="F7304" s="1" t="s">
        <v>25003</v>
      </c>
      <c r="G7304" s="1" t="s">
        <v>9382</v>
      </c>
      <c r="H7304" s="1" t="s">
        <v>3604</v>
      </c>
      <c r="I7304" s="1" t="s">
        <v>25004</v>
      </c>
      <c r="J7304" s="1" t="s">
        <v>3615</v>
      </c>
      <c r="K7304" s="1" t="s">
        <v>25005</v>
      </c>
      <c r="L7304" s="1"/>
      <c r="M7304" s="1"/>
    </row>
    <row x14ac:dyDescent="0.25" r="7305" customHeight="1" ht="18.75">
      <c r="A7305" s="1" t="s">
        <v>3693</v>
      </c>
      <c r="B7305" s="1" t="s">
        <v>5598</v>
      </c>
      <c r="C7305" s="1" t="s">
        <v>3600</v>
      </c>
      <c r="D7305" s="1" t="s">
        <v>3601</v>
      </c>
      <c r="E7305" s="1" t="s">
        <v>3752</v>
      </c>
      <c r="F7305" s="1" t="s">
        <v>25006</v>
      </c>
      <c r="G7305" s="1" t="s">
        <v>9382</v>
      </c>
      <c r="H7305" s="1" t="s">
        <v>3604</v>
      </c>
      <c r="I7305" s="1" t="s">
        <v>25007</v>
      </c>
      <c r="J7305" s="1" t="s">
        <v>3615</v>
      </c>
      <c r="K7305" s="1" t="s">
        <v>25008</v>
      </c>
      <c r="L7305" s="1"/>
      <c r="M7305" s="1"/>
    </row>
    <row x14ac:dyDescent="0.25" r="7306" customHeight="1" ht="18.75">
      <c r="A7306" s="1" t="s">
        <v>3693</v>
      </c>
      <c r="B7306" s="1" t="s">
        <v>5598</v>
      </c>
      <c r="C7306" s="1" t="s">
        <v>3600</v>
      </c>
      <c r="D7306" s="1" t="s">
        <v>3601</v>
      </c>
      <c r="E7306" s="1" t="s">
        <v>3752</v>
      </c>
      <c r="F7306" s="1" t="s">
        <v>25009</v>
      </c>
      <c r="G7306" s="1" t="s">
        <v>9382</v>
      </c>
      <c r="H7306" s="1" t="s">
        <v>3604</v>
      </c>
      <c r="I7306" s="1" t="s">
        <v>25010</v>
      </c>
      <c r="J7306" s="1" t="s">
        <v>3615</v>
      </c>
      <c r="K7306" s="1" t="s">
        <v>25011</v>
      </c>
      <c r="L7306" s="1"/>
      <c r="M7306" s="1"/>
    </row>
    <row x14ac:dyDescent="0.25" r="7307" customHeight="1" ht="18.75">
      <c r="A7307" s="1" t="s">
        <v>3693</v>
      </c>
      <c r="B7307" s="1" t="s">
        <v>5598</v>
      </c>
      <c r="C7307" s="1" t="s">
        <v>3600</v>
      </c>
      <c r="D7307" s="1" t="s">
        <v>3601</v>
      </c>
      <c r="E7307" s="1" t="s">
        <v>3752</v>
      </c>
      <c r="F7307" s="1" t="s">
        <v>25012</v>
      </c>
      <c r="G7307" s="1" t="s">
        <v>9382</v>
      </c>
      <c r="H7307" s="1" t="s">
        <v>3604</v>
      </c>
      <c r="I7307" s="1" t="s">
        <v>25013</v>
      </c>
      <c r="J7307" s="1" t="s">
        <v>3615</v>
      </c>
      <c r="K7307" s="1" t="s">
        <v>25011</v>
      </c>
      <c r="L7307" s="1"/>
      <c r="M7307" s="1"/>
    </row>
    <row x14ac:dyDescent="0.25" r="7308" customHeight="1" ht="18.75">
      <c r="A7308" s="1" t="s">
        <v>3693</v>
      </c>
      <c r="B7308" s="1" t="s">
        <v>5598</v>
      </c>
      <c r="C7308" s="1" t="s">
        <v>3600</v>
      </c>
      <c r="D7308" s="1" t="s">
        <v>3601</v>
      </c>
      <c r="E7308" s="1" t="s">
        <v>3611</v>
      </c>
      <c r="F7308" s="1" t="s">
        <v>25014</v>
      </c>
      <c r="G7308" s="1" t="s">
        <v>9382</v>
      </c>
      <c r="H7308" s="1" t="s">
        <v>3604</v>
      </c>
      <c r="I7308" s="1" t="s">
        <v>25015</v>
      </c>
      <c r="J7308" s="1" t="s">
        <v>3615</v>
      </c>
      <c r="K7308" s="1" t="s">
        <v>25016</v>
      </c>
      <c r="L7308" s="1"/>
      <c r="M7308" s="1"/>
    </row>
    <row x14ac:dyDescent="0.25" r="7309" customHeight="1" ht="18.75">
      <c r="A7309" s="1" t="s">
        <v>3693</v>
      </c>
      <c r="B7309" s="1" t="s">
        <v>5598</v>
      </c>
      <c r="C7309" s="1" t="s">
        <v>3600</v>
      </c>
      <c r="D7309" s="1" t="s">
        <v>3601</v>
      </c>
      <c r="E7309" s="1" t="s">
        <v>3611</v>
      </c>
      <c r="F7309" s="1" t="s">
        <v>25017</v>
      </c>
      <c r="G7309" s="1" t="s">
        <v>9382</v>
      </c>
      <c r="H7309" s="1" t="s">
        <v>3604</v>
      </c>
      <c r="I7309" s="1" t="s">
        <v>25018</v>
      </c>
      <c r="J7309" s="1" t="s">
        <v>3615</v>
      </c>
      <c r="K7309" s="1" t="s">
        <v>25019</v>
      </c>
      <c r="L7309" s="1"/>
      <c r="M7309" s="1"/>
    </row>
    <row x14ac:dyDescent="0.25" r="7310" customHeight="1" ht="18.75">
      <c r="A7310" s="1" t="s">
        <v>3693</v>
      </c>
      <c r="B7310" s="1" t="s">
        <v>7030</v>
      </c>
      <c r="C7310" s="1" t="s">
        <v>3600</v>
      </c>
      <c r="D7310" s="1" t="s">
        <v>3601</v>
      </c>
      <c r="E7310" s="1" t="s">
        <v>3664</v>
      </c>
      <c r="F7310" s="1" t="s">
        <v>25020</v>
      </c>
      <c r="G7310" s="1" t="s">
        <v>19512</v>
      </c>
      <c r="H7310" s="1" t="s">
        <v>3604</v>
      </c>
      <c r="I7310" s="1" t="s">
        <v>25021</v>
      </c>
      <c r="J7310" s="1" t="s">
        <v>3615</v>
      </c>
      <c r="K7310" s="1" t="s">
        <v>25022</v>
      </c>
      <c r="L7310" s="1"/>
      <c r="M7310" s="1"/>
    </row>
    <row x14ac:dyDescent="0.25" r="7311" customHeight="1" ht="18.75">
      <c r="A7311" s="1" t="s">
        <v>3693</v>
      </c>
      <c r="B7311" s="1" t="s">
        <v>4247</v>
      </c>
      <c r="C7311" s="1" t="s">
        <v>3600</v>
      </c>
      <c r="D7311" s="1" t="s">
        <v>3601</v>
      </c>
      <c r="E7311" s="1" t="s">
        <v>3893</v>
      </c>
      <c r="F7311" s="1" t="s">
        <v>25023</v>
      </c>
      <c r="G7311" s="1" t="s">
        <v>9672</v>
      </c>
      <c r="H7311" s="1" t="s">
        <v>3604</v>
      </c>
      <c r="I7311" s="1" t="s">
        <v>25024</v>
      </c>
      <c r="J7311" s="1" t="s">
        <v>3615</v>
      </c>
      <c r="K7311" s="1" t="s">
        <v>25025</v>
      </c>
      <c r="L7311" s="1"/>
      <c r="M7311" s="1"/>
    </row>
    <row x14ac:dyDescent="0.25" r="7312" customHeight="1" ht="18.75">
      <c r="A7312" s="1" t="s">
        <v>3693</v>
      </c>
      <c r="B7312" s="1" t="s">
        <v>4091</v>
      </c>
      <c r="C7312" s="1" t="s">
        <v>3600</v>
      </c>
      <c r="D7312" s="1" t="s">
        <v>3601</v>
      </c>
      <c r="E7312" s="1" t="s">
        <v>3664</v>
      </c>
      <c r="F7312" s="1" t="s">
        <v>25026</v>
      </c>
      <c r="G7312" s="1" t="s">
        <v>17377</v>
      </c>
      <c r="H7312" s="1" t="s">
        <v>3604</v>
      </c>
      <c r="I7312" s="1" t="s">
        <v>25027</v>
      </c>
      <c r="J7312" s="1" t="s">
        <v>3615</v>
      </c>
      <c r="K7312" s="1" t="s">
        <v>24925</v>
      </c>
      <c r="L7312" s="1"/>
      <c r="M7312" s="1"/>
    </row>
    <row x14ac:dyDescent="0.25" r="7313" customHeight="1" ht="18.75">
      <c r="A7313" s="1" t="s">
        <v>3693</v>
      </c>
      <c r="B7313" s="1" t="s">
        <v>4091</v>
      </c>
      <c r="C7313" s="1" t="s">
        <v>3600</v>
      </c>
      <c r="D7313" s="1" t="s">
        <v>3601</v>
      </c>
      <c r="E7313" s="1" t="s">
        <v>3664</v>
      </c>
      <c r="F7313" s="1" t="s">
        <v>25028</v>
      </c>
      <c r="G7313" s="1" t="s">
        <v>17377</v>
      </c>
      <c r="H7313" s="1" t="s">
        <v>3604</v>
      </c>
      <c r="I7313" s="1" t="s">
        <v>25029</v>
      </c>
      <c r="J7313" s="1" t="s">
        <v>3615</v>
      </c>
      <c r="K7313" s="1" t="s">
        <v>24925</v>
      </c>
      <c r="L7313" s="1"/>
      <c r="M7313" s="1"/>
    </row>
    <row x14ac:dyDescent="0.25" r="7314" customHeight="1" ht="18.75">
      <c r="A7314" s="1" t="s">
        <v>3693</v>
      </c>
      <c r="B7314" s="1" t="s">
        <v>3942</v>
      </c>
      <c r="C7314" s="1" t="s">
        <v>3600</v>
      </c>
      <c r="D7314" s="1" t="s">
        <v>3601</v>
      </c>
      <c r="E7314" s="1" t="s">
        <v>3664</v>
      </c>
      <c r="F7314" s="1" t="s">
        <v>25030</v>
      </c>
      <c r="G7314" s="1" t="s">
        <v>25031</v>
      </c>
      <c r="H7314" s="1" t="s">
        <v>3604</v>
      </c>
      <c r="I7314" s="1" t="s">
        <v>25032</v>
      </c>
      <c r="J7314" s="1" t="s">
        <v>3615</v>
      </c>
      <c r="K7314" s="1" t="s">
        <v>25033</v>
      </c>
      <c r="L7314" s="1"/>
      <c r="M7314" s="1"/>
    </row>
    <row x14ac:dyDescent="0.25" r="7315" customHeight="1" ht="18.75">
      <c r="A7315" s="1" t="s">
        <v>3693</v>
      </c>
      <c r="B7315" s="1" t="s">
        <v>3942</v>
      </c>
      <c r="C7315" s="1" t="s">
        <v>3600</v>
      </c>
      <c r="D7315" s="1" t="s">
        <v>3601</v>
      </c>
      <c r="E7315" s="1" t="s">
        <v>3664</v>
      </c>
      <c r="F7315" s="1" t="s">
        <v>25034</v>
      </c>
      <c r="G7315" s="1" t="s">
        <v>25031</v>
      </c>
      <c r="H7315" s="1" t="s">
        <v>3604</v>
      </c>
      <c r="I7315" s="1" t="s">
        <v>25035</v>
      </c>
      <c r="J7315" s="1" t="s">
        <v>3615</v>
      </c>
      <c r="K7315" s="1" t="s">
        <v>25033</v>
      </c>
      <c r="L7315" s="1"/>
      <c r="M7315" s="1"/>
    </row>
    <row x14ac:dyDescent="0.25" r="7316" customHeight="1" ht="18.75">
      <c r="A7316" s="1" t="s">
        <v>3693</v>
      </c>
      <c r="B7316" s="1" t="s">
        <v>4247</v>
      </c>
      <c r="C7316" s="1" t="s">
        <v>3600</v>
      </c>
      <c r="D7316" s="1" t="s">
        <v>3601</v>
      </c>
      <c r="E7316" s="1" t="s">
        <v>3664</v>
      </c>
      <c r="F7316" s="1" t="s">
        <v>25036</v>
      </c>
      <c r="G7316" s="1" t="s">
        <v>9672</v>
      </c>
      <c r="H7316" s="1" t="s">
        <v>3604</v>
      </c>
      <c r="I7316" s="1" t="s">
        <v>25037</v>
      </c>
      <c r="J7316" s="1" t="s">
        <v>3615</v>
      </c>
      <c r="K7316" s="1" t="s">
        <v>25038</v>
      </c>
      <c r="L7316" s="1"/>
      <c r="M7316" s="1"/>
    </row>
    <row x14ac:dyDescent="0.25" r="7317" customHeight="1" ht="18.75">
      <c r="A7317" s="1" t="s">
        <v>3693</v>
      </c>
      <c r="B7317" s="1" t="s">
        <v>4214</v>
      </c>
      <c r="C7317" s="1" t="s">
        <v>3600</v>
      </c>
      <c r="D7317" s="1" t="s">
        <v>3601</v>
      </c>
      <c r="E7317" s="1" t="s">
        <v>3981</v>
      </c>
      <c r="F7317" s="1" t="s">
        <v>25039</v>
      </c>
      <c r="G7317" s="1" t="s">
        <v>24950</v>
      </c>
      <c r="H7317" s="1" t="s">
        <v>3604</v>
      </c>
      <c r="I7317" s="1" t="s">
        <v>25040</v>
      </c>
      <c r="J7317" s="1" t="s">
        <v>3615</v>
      </c>
      <c r="K7317" s="1" t="s">
        <v>24952</v>
      </c>
      <c r="L7317" s="1"/>
      <c r="M7317" s="1"/>
    </row>
    <row x14ac:dyDescent="0.25" r="7318" customHeight="1" ht="18.75">
      <c r="A7318" s="1" t="s">
        <v>3693</v>
      </c>
      <c r="B7318" s="1" t="s">
        <v>4214</v>
      </c>
      <c r="C7318" s="1" t="s">
        <v>3600</v>
      </c>
      <c r="D7318" s="1" t="s">
        <v>3601</v>
      </c>
      <c r="E7318" s="1" t="s">
        <v>3664</v>
      </c>
      <c r="F7318" s="1" t="s">
        <v>25041</v>
      </c>
      <c r="G7318" s="1" t="s">
        <v>24950</v>
      </c>
      <c r="H7318" s="1" t="s">
        <v>3604</v>
      </c>
      <c r="I7318" s="1" t="s">
        <v>25042</v>
      </c>
      <c r="J7318" s="1" t="s">
        <v>3615</v>
      </c>
      <c r="K7318" s="1" t="s">
        <v>24952</v>
      </c>
      <c r="L7318" s="1"/>
      <c r="M7318" s="1"/>
    </row>
    <row x14ac:dyDescent="0.25" r="7319" customHeight="1" ht="18.75">
      <c r="A7319" s="1" t="s">
        <v>3693</v>
      </c>
      <c r="B7319" s="1" t="s">
        <v>4214</v>
      </c>
      <c r="C7319" s="1" t="s">
        <v>3600</v>
      </c>
      <c r="D7319" s="1" t="s">
        <v>3601</v>
      </c>
      <c r="E7319" s="1" t="s">
        <v>3664</v>
      </c>
      <c r="F7319" s="1" t="s">
        <v>25043</v>
      </c>
      <c r="G7319" s="1" t="s">
        <v>24950</v>
      </c>
      <c r="H7319" s="1" t="s">
        <v>3604</v>
      </c>
      <c r="I7319" s="1" t="s">
        <v>25044</v>
      </c>
      <c r="J7319" s="1" t="s">
        <v>3615</v>
      </c>
      <c r="K7319" s="1" t="s">
        <v>24952</v>
      </c>
      <c r="L7319" s="1"/>
      <c r="M7319" s="1"/>
    </row>
    <row x14ac:dyDescent="0.25" r="7320" customHeight="1" ht="18.75">
      <c r="A7320" s="1" t="s">
        <v>3693</v>
      </c>
      <c r="B7320" s="1" t="s">
        <v>3957</v>
      </c>
      <c r="C7320" s="1" t="s">
        <v>3600</v>
      </c>
      <c r="D7320" s="1" t="s">
        <v>3601</v>
      </c>
      <c r="E7320" s="1" t="s">
        <v>3664</v>
      </c>
      <c r="F7320" s="1" t="s">
        <v>25045</v>
      </c>
      <c r="G7320" s="1" t="s">
        <v>25046</v>
      </c>
      <c r="H7320" s="1" t="s">
        <v>3604</v>
      </c>
      <c r="I7320" s="1" t="s">
        <v>25047</v>
      </c>
      <c r="J7320" s="1" t="s">
        <v>3615</v>
      </c>
      <c r="K7320" s="1" t="s">
        <v>25048</v>
      </c>
      <c r="L7320" s="1"/>
      <c r="M7320" s="1"/>
    </row>
    <row x14ac:dyDescent="0.25" r="7321" customHeight="1" ht="18.75">
      <c r="A7321" s="1" t="s">
        <v>3693</v>
      </c>
      <c r="B7321" s="1" t="s">
        <v>3957</v>
      </c>
      <c r="C7321" s="1" t="s">
        <v>3600</v>
      </c>
      <c r="D7321" s="1" t="s">
        <v>3601</v>
      </c>
      <c r="E7321" s="1" t="s">
        <v>3664</v>
      </c>
      <c r="F7321" s="1" t="s">
        <v>25049</v>
      </c>
      <c r="G7321" s="1" t="s">
        <v>25046</v>
      </c>
      <c r="H7321" s="1" t="s">
        <v>3604</v>
      </c>
      <c r="I7321" s="1" t="s">
        <v>25050</v>
      </c>
      <c r="J7321" s="1" t="s">
        <v>3615</v>
      </c>
      <c r="K7321" s="1" t="s">
        <v>25048</v>
      </c>
      <c r="L7321" s="1"/>
      <c r="M7321" s="1"/>
    </row>
    <row x14ac:dyDescent="0.25" r="7322" customHeight="1" ht="18.75">
      <c r="A7322" s="1" t="s">
        <v>3693</v>
      </c>
      <c r="B7322" s="1" t="s">
        <v>3957</v>
      </c>
      <c r="C7322" s="1" t="s">
        <v>3600</v>
      </c>
      <c r="D7322" s="1" t="s">
        <v>3601</v>
      </c>
      <c r="E7322" s="1" t="s">
        <v>3664</v>
      </c>
      <c r="F7322" s="1" t="s">
        <v>25051</v>
      </c>
      <c r="G7322" s="1" t="s">
        <v>25046</v>
      </c>
      <c r="H7322" s="1" t="s">
        <v>3604</v>
      </c>
      <c r="I7322" s="1" t="s">
        <v>25052</v>
      </c>
      <c r="J7322" s="1" t="s">
        <v>3615</v>
      </c>
      <c r="K7322" s="1" t="s">
        <v>25048</v>
      </c>
      <c r="L7322" s="1"/>
      <c r="M7322" s="1"/>
    </row>
    <row x14ac:dyDescent="0.25" r="7323" customHeight="1" ht="18.75">
      <c r="A7323" s="1" t="s">
        <v>3693</v>
      </c>
      <c r="B7323" s="1" t="s">
        <v>4247</v>
      </c>
      <c r="C7323" s="1" t="s">
        <v>3600</v>
      </c>
      <c r="D7323" s="1" t="s">
        <v>3601</v>
      </c>
      <c r="E7323" s="1" t="s">
        <v>3893</v>
      </c>
      <c r="F7323" s="1" t="s">
        <v>25053</v>
      </c>
      <c r="G7323" s="1" t="s">
        <v>9672</v>
      </c>
      <c r="H7323" s="1" t="s">
        <v>3604</v>
      </c>
      <c r="I7323" s="1" t="s">
        <v>25054</v>
      </c>
      <c r="J7323" s="1" t="s">
        <v>3615</v>
      </c>
      <c r="K7323" s="1" t="s">
        <v>25025</v>
      </c>
      <c r="L7323" s="1"/>
      <c r="M7323" s="1"/>
    </row>
    <row x14ac:dyDescent="0.25" r="7324" customHeight="1" ht="18.75">
      <c r="A7324" s="1" t="s">
        <v>3693</v>
      </c>
      <c r="B7324" s="1" t="s">
        <v>4247</v>
      </c>
      <c r="C7324" s="1" t="s">
        <v>3600</v>
      </c>
      <c r="D7324" s="1" t="s">
        <v>3601</v>
      </c>
      <c r="E7324" s="1" t="s">
        <v>3893</v>
      </c>
      <c r="F7324" s="1" t="s">
        <v>25055</v>
      </c>
      <c r="G7324" s="1" t="s">
        <v>9672</v>
      </c>
      <c r="H7324" s="1" t="s">
        <v>3604</v>
      </c>
      <c r="I7324" s="1" t="s">
        <v>25056</v>
      </c>
      <c r="J7324" s="1" t="s">
        <v>3615</v>
      </c>
      <c r="K7324" s="1" t="s">
        <v>25025</v>
      </c>
      <c r="L7324" s="1"/>
      <c r="M7324" s="1"/>
    </row>
    <row x14ac:dyDescent="0.25" r="7325" customHeight="1" ht="18.75">
      <c r="A7325" s="1" t="s">
        <v>3693</v>
      </c>
      <c r="B7325" s="1" t="s">
        <v>4192</v>
      </c>
      <c r="C7325" s="1" t="s">
        <v>3600</v>
      </c>
      <c r="D7325" s="1" t="s">
        <v>533</v>
      </c>
      <c r="E7325" s="1" t="s">
        <v>3893</v>
      </c>
      <c r="F7325" s="1" t="s">
        <v>25057</v>
      </c>
      <c r="G7325" s="1" t="s">
        <v>5641</v>
      </c>
      <c r="H7325" s="1" t="s">
        <v>3604</v>
      </c>
      <c r="I7325" s="1" t="s">
        <v>25058</v>
      </c>
      <c r="J7325" s="1" t="s">
        <v>3615</v>
      </c>
      <c r="K7325" s="1" t="s">
        <v>25059</v>
      </c>
      <c r="L7325" s="1"/>
      <c r="M7325" s="1"/>
    </row>
    <row x14ac:dyDescent="0.25" r="7326" customHeight="1" ht="18.75">
      <c r="A7326" s="1" t="s">
        <v>3693</v>
      </c>
      <c r="B7326" s="1" t="s">
        <v>4192</v>
      </c>
      <c r="C7326" s="1" t="s">
        <v>3600</v>
      </c>
      <c r="D7326" s="1" t="s">
        <v>533</v>
      </c>
      <c r="E7326" s="1" t="s">
        <v>3893</v>
      </c>
      <c r="F7326" s="1" t="s">
        <v>25060</v>
      </c>
      <c r="G7326" s="1" t="s">
        <v>5641</v>
      </c>
      <c r="H7326" s="1" t="s">
        <v>3604</v>
      </c>
      <c r="I7326" s="1" t="s">
        <v>25061</v>
      </c>
      <c r="J7326" s="1" t="s">
        <v>3615</v>
      </c>
      <c r="K7326" s="1" t="s">
        <v>25062</v>
      </c>
      <c r="L7326" s="1"/>
      <c r="M7326" s="1"/>
    </row>
    <row x14ac:dyDescent="0.25" r="7327" customHeight="1" ht="18.75">
      <c r="A7327" s="1" t="s">
        <v>3693</v>
      </c>
      <c r="B7327" s="1" t="s">
        <v>4247</v>
      </c>
      <c r="C7327" s="1" t="s">
        <v>3600</v>
      </c>
      <c r="D7327" s="1" t="s">
        <v>3601</v>
      </c>
      <c r="E7327" s="1" t="s">
        <v>3893</v>
      </c>
      <c r="F7327" s="1" t="s">
        <v>25063</v>
      </c>
      <c r="G7327" s="1" t="s">
        <v>4384</v>
      </c>
      <c r="H7327" s="1" t="s">
        <v>3604</v>
      </c>
      <c r="I7327" s="1" t="s">
        <v>25064</v>
      </c>
      <c r="J7327" s="1" t="s">
        <v>3606</v>
      </c>
      <c r="K7327" s="1" t="s">
        <v>24904</v>
      </c>
      <c r="L7327" s="1"/>
      <c r="M7327" s="1"/>
    </row>
    <row x14ac:dyDescent="0.25" r="7328" customHeight="1" ht="18.75">
      <c r="A7328" s="1" t="s">
        <v>3693</v>
      </c>
      <c r="B7328" s="1" t="s">
        <v>4267</v>
      </c>
      <c r="C7328" s="1" t="s">
        <v>3600</v>
      </c>
      <c r="D7328" s="1" t="s">
        <v>3601</v>
      </c>
      <c r="E7328" s="1" t="s">
        <v>3893</v>
      </c>
      <c r="F7328" s="1" t="s">
        <v>25065</v>
      </c>
      <c r="G7328" s="1" t="s">
        <v>6678</v>
      </c>
      <c r="H7328" s="1" t="s">
        <v>3604</v>
      </c>
      <c r="I7328" s="1" t="s">
        <v>25066</v>
      </c>
      <c r="J7328" s="1" t="s">
        <v>3615</v>
      </c>
      <c r="K7328" s="1" t="s">
        <v>25067</v>
      </c>
      <c r="L7328" s="1"/>
      <c r="M7328" s="1"/>
    </row>
    <row x14ac:dyDescent="0.25" r="7329" customHeight="1" ht="18.75">
      <c r="A7329" s="1" t="s">
        <v>7833</v>
      </c>
      <c r="B7329" s="1" t="s">
        <v>8095</v>
      </c>
      <c r="C7329" s="1" t="s">
        <v>4488</v>
      </c>
      <c r="D7329" s="1" t="s">
        <v>3601</v>
      </c>
      <c r="E7329" s="1" t="s">
        <v>8096</v>
      </c>
      <c r="F7329" s="1" t="s">
        <v>1570</v>
      </c>
      <c r="G7329" s="1" t="s">
        <v>9085</v>
      </c>
      <c r="H7329" s="1" t="s">
        <v>3604</v>
      </c>
      <c r="I7329" s="1" t="s">
        <v>25068</v>
      </c>
      <c r="J7329" s="1" t="s">
        <v>3606</v>
      </c>
      <c r="K7329" s="1" t="s">
        <v>16374</v>
      </c>
      <c r="L7329" s="1"/>
      <c r="M7329" s="1"/>
    </row>
    <row x14ac:dyDescent="0.25" r="7330" customHeight="1" ht="18.75">
      <c r="A7330" s="1" t="s">
        <v>3693</v>
      </c>
      <c r="B7330" s="1" t="s">
        <v>4229</v>
      </c>
      <c r="C7330" s="1" t="s">
        <v>3619</v>
      </c>
      <c r="D7330" s="1" t="s">
        <v>533</v>
      </c>
      <c r="E7330" s="1" t="s">
        <v>3664</v>
      </c>
      <c r="F7330" s="1" t="s">
        <v>25069</v>
      </c>
      <c r="G7330" s="1" t="s">
        <v>13547</v>
      </c>
      <c r="H7330" s="1" t="s">
        <v>3604</v>
      </c>
      <c r="I7330" s="1" t="s">
        <v>25070</v>
      </c>
      <c r="J7330" s="1" t="s">
        <v>3606</v>
      </c>
      <c r="K7330" s="1" t="s">
        <v>25071</v>
      </c>
      <c r="L7330" s="1"/>
      <c r="M7330" s="1"/>
    </row>
    <row x14ac:dyDescent="0.25" r="7331" customHeight="1" ht="18.75">
      <c r="A7331" s="1" t="s">
        <v>3693</v>
      </c>
      <c r="B7331" s="1" t="s">
        <v>5615</v>
      </c>
      <c r="C7331" s="1" t="s">
        <v>3600</v>
      </c>
      <c r="D7331" s="1" t="s">
        <v>3601</v>
      </c>
      <c r="E7331" s="1" t="s">
        <v>3611</v>
      </c>
      <c r="F7331" s="1" t="s">
        <v>25072</v>
      </c>
      <c r="G7331" s="1" t="s">
        <v>25073</v>
      </c>
      <c r="H7331" s="1" t="s">
        <v>3604</v>
      </c>
      <c r="I7331" s="1" t="s">
        <v>25074</v>
      </c>
      <c r="J7331" s="1" t="s">
        <v>3606</v>
      </c>
      <c r="K7331" s="1"/>
      <c r="L7331" s="1"/>
      <c r="M7331" s="1"/>
    </row>
    <row x14ac:dyDescent="0.25" r="7332" customHeight="1" ht="18.75">
      <c r="A7332" s="1" t="s">
        <v>3693</v>
      </c>
      <c r="B7332" s="1" t="s">
        <v>4229</v>
      </c>
      <c r="C7332" s="1" t="s">
        <v>3619</v>
      </c>
      <c r="D7332" s="1" t="s">
        <v>3601</v>
      </c>
      <c r="E7332" s="1" t="s">
        <v>3611</v>
      </c>
      <c r="F7332" s="1" t="s">
        <v>25075</v>
      </c>
      <c r="G7332" s="1" t="s">
        <v>8118</v>
      </c>
      <c r="H7332" s="1" t="s">
        <v>3604</v>
      </c>
      <c r="I7332" s="1" t="s">
        <v>25076</v>
      </c>
      <c r="J7332" s="1" t="s">
        <v>3606</v>
      </c>
      <c r="K7332" s="1" t="s">
        <v>25077</v>
      </c>
      <c r="L7332" s="1"/>
      <c r="M7332" s="1"/>
    </row>
    <row x14ac:dyDescent="0.25" r="7333" customHeight="1" ht="18.75">
      <c r="A7333" s="1" t="s">
        <v>3693</v>
      </c>
      <c r="B7333" s="1" t="s">
        <v>5615</v>
      </c>
      <c r="C7333" s="1" t="s">
        <v>3600</v>
      </c>
      <c r="D7333" s="1" t="s">
        <v>3601</v>
      </c>
      <c r="E7333" s="1" t="s">
        <v>3611</v>
      </c>
      <c r="F7333" s="1" t="s">
        <v>25078</v>
      </c>
      <c r="G7333" s="1" t="s">
        <v>25079</v>
      </c>
      <c r="H7333" s="1" t="s">
        <v>3604</v>
      </c>
      <c r="I7333" s="1" t="s">
        <v>25080</v>
      </c>
      <c r="J7333" s="1" t="s">
        <v>3606</v>
      </c>
      <c r="K7333" s="1"/>
      <c r="L7333" s="1"/>
      <c r="M7333" s="1"/>
    </row>
    <row x14ac:dyDescent="0.25" r="7334" customHeight="1" ht="18.75">
      <c r="A7334" s="1" t="s">
        <v>3693</v>
      </c>
      <c r="B7334" s="1" t="s">
        <v>4192</v>
      </c>
      <c r="C7334" s="1" t="s">
        <v>3600</v>
      </c>
      <c r="D7334" s="1" t="s">
        <v>3695</v>
      </c>
      <c r="E7334" s="1" t="s">
        <v>3664</v>
      </c>
      <c r="F7334" s="1" t="s">
        <v>25081</v>
      </c>
      <c r="G7334" s="1" t="s">
        <v>6970</v>
      </c>
      <c r="H7334" s="1" t="s">
        <v>3604</v>
      </c>
      <c r="I7334" s="1" t="s">
        <v>25082</v>
      </c>
      <c r="J7334" s="1" t="s">
        <v>3606</v>
      </c>
      <c r="K7334" s="1" t="s">
        <v>25083</v>
      </c>
      <c r="L7334" s="1"/>
      <c r="M7334" s="1"/>
    </row>
    <row x14ac:dyDescent="0.25" r="7335" customHeight="1" ht="18.75">
      <c r="A7335" s="1" t="s">
        <v>3693</v>
      </c>
      <c r="B7335" s="1" t="s">
        <v>10273</v>
      </c>
      <c r="C7335" s="1" t="s">
        <v>3600</v>
      </c>
      <c r="D7335" s="1" t="s">
        <v>533</v>
      </c>
      <c r="E7335" s="1" t="s">
        <v>3752</v>
      </c>
      <c r="F7335" s="1" t="s">
        <v>25084</v>
      </c>
      <c r="G7335" s="1" t="s">
        <v>10230</v>
      </c>
      <c r="H7335" s="1" t="s">
        <v>3604</v>
      </c>
      <c r="I7335" s="1" t="s">
        <v>25085</v>
      </c>
      <c r="J7335" s="1" t="s">
        <v>3615</v>
      </c>
      <c r="K7335" s="1" t="s">
        <v>25086</v>
      </c>
      <c r="L7335" s="1"/>
      <c r="M7335" s="1"/>
    </row>
    <row x14ac:dyDescent="0.25" r="7336" customHeight="1" ht="18.75">
      <c r="A7336" s="1" t="s">
        <v>3693</v>
      </c>
      <c r="B7336" s="1" t="s">
        <v>4192</v>
      </c>
      <c r="C7336" s="1" t="s">
        <v>3600</v>
      </c>
      <c r="D7336" s="1" t="s">
        <v>3695</v>
      </c>
      <c r="E7336" s="1" t="s">
        <v>3664</v>
      </c>
      <c r="F7336" s="1" t="s">
        <v>25087</v>
      </c>
      <c r="G7336" s="1" t="s">
        <v>6970</v>
      </c>
      <c r="H7336" s="1" t="s">
        <v>3604</v>
      </c>
      <c r="I7336" s="1" t="s">
        <v>25088</v>
      </c>
      <c r="J7336" s="1" t="s">
        <v>3606</v>
      </c>
      <c r="K7336" s="1" t="s">
        <v>25089</v>
      </c>
      <c r="L7336" s="1"/>
      <c r="M7336" s="1"/>
    </row>
    <row x14ac:dyDescent="0.25" r="7337" customHeight="1" ht="18.75">
      <c r="A7337" s="1" t="s">
        <v>3693</v>
      </c>
      <c r="B7337" s="1" t="s">
        <v>5615</v>
      </c>
      <c r="C7337" s="1" t="s">
        <v>3600</v>
      </c>
      <c r="D7337" s="1" t="s">
        <v>3601</v>
      </c>
      <c r="E7337" s="1" t="s">
        <v>3611</v>
      </c>
      <c r="F7337" s="1" t="s">
        <v>25090</v>
      </c>
      <c r="G7337" s="1" t="s">
        <v>25091</v>
      </c>
      <c r="H7337" s="1" t="s">
        <v>3604</v>
      </c>
      <c r="I7337" s="1" t="s">
        <v>25092</v>
      </c>
      <c r="J7337" s="1" t="s">
        <v>3606</v>
      </c>
      <c r="K7337" s="1"/>
      <c r="L7337" s="1"/>
      <c r="M7337" s="1"/>
    </row>
    <row x14ac:dyDescent="0.25" r="7338" customHeight="1" ht="18.75">
      <c r="A7338" s="1" t="s">
        <v>3693</v>
      </c>
      <c r="B7338" s="1" t="s">
        <v>4192</v>
      </c>
      <c r="C7338" s="1" t="s">
        <v>3600</v>
      </c>
      <c r="D7338" s="1" t="s">
        <v>3695</v>
      </c>
      <c r="E7338" s="1" t="s">
        <v>3664</v>
      </c>
      <c r="F7338" s="1" t="s">
        <v>25093</v>
      </c>
      <c r="G7338" s="1" t="s">
        <v>6970</v>
      </c>
      <c r="H7338" s="1" t="s">
        <v>3604</v>
      </c>
      <c r="I7338" s="1" t="s">
        <v>25094</v>
      </c>
      <c r="J7338" s="1" t="s">
        <v>3606</v>
      </c>
      <c r="K7338" s="1" t="s">
        <v>25095</v>
      </c>
      <c r="L7338" s="1"/>
      <c r="M7338" s="1"/>
    </row>
    <row x14ac:dyDescent="0.25" r="7339" customHeight="1" ht="18.75">
      <c r="A7339" s="1" t="s">
        <v>3693</v>
      </c>
      <c r="B7339" s="1" t="s">
        <v>4083</v>
      </c>
      <c r="C7339" s="1" t="s">
        <v>3600</v>
      </c>
      <c r="D7339" s="1" t="s">
        <v>8373</v>
      </c>
      <c r="E7339" s="1" t="s">
        <v>3664</v>
      </c>
      <c r="F7339" s="1" t="s">
        <v>25096</v>
      </c>
      <c r="G7339" s="1" t="s">
        <v>4553</v>
      </c>
      <c r="H7339" s="1" t="s">
        <v>3604</v>
      </c>
      <c r="I7339" s="1" t="s">
        <v>25097</v>
      </c>
      <c r="J7339" s="1" t="s">
        <v>3615</v>
      </c>
      <c r="K7339" s="1" t="s">
        <v>25098</v>
      </c>
      <c r="L7339" s="1"/>
      <c r="M7339" s="1"/>
    </row>
    <row x14ac:dyDescent="0.25" r="7340" customHeight="1" ht="18.75">
      <c r="A7340" s="1" t="s">
        <v>3693</v>
      </c>
      <c r="B7340" s="1" t="s">
        <v>5615</v>
      </c>
      <c r="C7340" s="1" t="s">
        <v>3600</v>
      </c>
      <c r="D7340" s="1" t="s">
        <v>3601</v>
      </c>
      <c r="E7340" s="1" t="s">
        <v>3611</v>
      </c>
      <c r="F7340" s="1" t="s">
        <v>25099</v>
      </c>
      <c r="G7340" s="1" t="s">
        <v>25100</v>
      </c>
      <c r="H7340" s="1" t="s">
        <v>3604</v>
      </c>
      <c r="I7340" s="1" t="s">
        <v>25101</v>
      </c>
      <c r="J7340" s="1" t="s">
        <v>3606</v>
      </c>
      <c r="K7340" s="1"/>
      <c r="L7340" s="1"/>
      <c r="M7340" s="1"/>
    </row>
    <row x14ac:dyDescent="0.25" r="7341" customHeight="1" ht="18.75">
      <c r="A7341" s="1" t="s">
        <v>3693</v>
      </c>
      <c r="B7341" s="1" t="s">
        <v>4091</v>
      </c>
      <c r="C7341" s="1" t="s">
        <v>3600</v>
      </c>
      <c r="D7341" s="1" t="s">
        <v>533</v>
      </c>
      <c r="E7341" s="1" t="s">
        <v>3752</v>
      </c>
      <c r="F7341" s="1" t="s">
        <v>25102</v>
      </c>
      <c r="G7341" s="1" t="s">
        <v>10230</v>
      </c>
      <c r="H7341" s="1" t="s">
        <v>3604</v>
      </c>
      <c r="I7341" s="1" t="s">
        <v>25103</v>
      </c>
      <c r="J7341" s="1" t="s">
        <v>3615</v>
      </c>
      <c r="K7341" s="1" t="s">
        <v>25104</v>
      </c>
      <c r="L7341" s="1"/>
      <c r="M7341" s="1"/>
    </row>
    <row x14ac:dyDescent="0.25" r="7342" customHeight="1" ht="18.75">
      <c r="A7342" s="1" t="s">
        <v>3693</v>
      </c>
      <c r="B7342" s="1" t="s">
        <v>5615</v>
      </c>
      <c r="C7342" s="1" t="s">
        <v>3600</v>
      </c>
      <c r="D7342" s="1" t="s">
        <v>3601</v>
      </c>
      <c r="E7342" s="1" t="s">
        <v>3611</v>
      </c>
      <c r="F7342" s="1" t="s">
        <v>25105</v>
      </c>
      <c r="G7342" s="1" t="s">
        <v>25106</v>
      </c>
      <c r="H7342" s="1" t="s">
        <v>3604</v>
      </c>
      <c r="I7342" s="1" t="s">
        <v>25107</v>
      </c>
      <c r="J7342" s="1" t="s">
        <v>3606</v>
      </c>
      <c r="K7342" s="1"/>
      <c r="L7342" s="1"/>
      <c r="M7342" s="1"/>
    </row>
    <row x14ac:dyDescent="0.25" r="7343" customHeight="1" ht="18.75">
      <c r="A7343" s="1" t="s">
        <v>3693</v>
      </c>
      <c r="B7343" s="1" t="s">
        <v>4091</v>
      </c>
      <c r="C7343" s="1" t="s">
        <v>3600</v>
      </c>
      <c r="D7343" s="1" t="s">
        <v>533</v>
      </c>
      <c r="E7343" s="1" t="s">
        <v>3752</v>
      </c>
      <c r="F7343" s="1" t="s">
        <v>25108</v>
      </c>
      <c r="G7343" s="1" t="s">
        <v>10230</v>
      </c>
      <c r="H7343" s="1" t="s">
        <v>3604</v>
      </c>
      <c r="I7343" s="1" t="s">
        <v>25109</v>
      </c>
      <c r="J7343" s="1" t="s">
        <v>3615</v>
      </c>
      <c r="K7343" s="1" t="s">
        <v>25110</v>
      </c>
      <c r="L7343" s="1"/>
      <c r="M7343" s="1"/>
    </row>
    <row x14ac:dyDescent="0.25" r="7344" customHeight="1" ht="18.75">
      <c r="A7344" s="1" t="s">
        <v>3693</v>
      </c>
      <c r="B7344" s="1" t="s">
        <v>5615</v>
      </c>
      <c r="C7344" s="1" t="s">
        <v>3600</v>
      </c>
      <c r="D7344" s="1" t="s">
        <v>3601</v>
      </c>
      <c r="E7344" s="1" t="s">
        <v>3611</v>
      </c>
      <c r="F7344" s="1" t="s">
        <v>25111</v>
      </c>
      <c r="G7344" s="1" t="s">
        <v>25112</v>
      </c>
      <c r="H7344" s="1" t="s">
        <v>3604</v>
      </c>
      <c r="I7344" s="1" t="s">
        <v>25113</v>
      </c>
      <c r="J7344" s="1" t="s">
        <v>3606</v>
      </c>
      <c r="K7344" s="1"/>
      <c r="L7344" s="1"/>
      <c r="M7344" s="1"/>
    </row>
    <row x14ac:dyDescent="0.25" r="7345" customHeight="1" ht="18.75">
      <c r="A7345" s="1" t="s">
        <v>3693</v>
      </c>
      <c r="B7345" s="1" t="s">
        <v>4091</v>
      </c>
      <c r="C7345" s="1" t="s">
        <v>3600</v>
      </c>
      <c r="D7345" s="1" t="s">
        <v>533</v>
      </c>
      <c r="E7345" s="1" t="s">
        <v>3752</v>
      </c>
      <c r="F7345" s="1" t="s">
        <v>25114</v>
      </c>
      <c r="G7345" s="1" t="s">
        <v>25115</v>
      </c>
      <c r="H7345" s="1" t="s">
        <v>3604</v>
      </c>
      <c r="I7345" s="1" t="s">
        <v>25116</v>
      </c>
      <c r="J7345" s="1" t="s">
        <v>3615</v>
      </c>
      <c r="K7345" s="1" t="s">
        <v>25117</v>
      </c>
      <c r="L7345" s="1"/>
      <c r="M7345" s="1"/>
    </row>
    <row x14ac:dyDescent="0.25" r="7346" customHeight="1" ht="18.75">
      <c r="A7346" s="1" t="s">
        <v>3693</v>
      </c>
      <c r="B7346" s="1" t="s">
        <v>5615</v>
      </c>
      <c r="C7346" s="1" t="s">
        <v>3600</v>
      </c>
      <c r="D7346" s="1" t="s">
        <v>3601</v>
      </c>
      <c r="E7346" s="1" t="s">
        <v>3611</v>
      </c>
      <c r="F7346" s="1" t="s">
        <v>25118</v>
      </c>
      <c r="G7346" s="1" t="s">
        <v>25119</v>
      </c>
      <c r="H7346" s="1" t="s">
        <v>3604</v>
      </c>
      <c r="I7346" s="1" t="s">
        <v>25120</v>
      </c>
      <c r="J7346" s="1" t="s">
        <v>3606</v>
      </c>
      <c r="K7346" s="1"/>
      <c r="L7346" s="1"/>
      <c r="M7346" s="1"/>
    </row>
    <row x14ac:dyDescent="0.25" r="7347" customHeight="1" ht="18.75">
      <c r="A7347" s="1" t="s">
        <v>3693</v>
      </c>
      <c r="B7347" s="1" t="s">
        <v>5615</v>
      </c>
      <c r="C7347" s="1" t="s">
        <v>3600</v>
      </c>
      <c r="D7347" s="1" t="s">
        <v>3601</v>
      </c>
      <c r="E7347" s="1" t="s">
        <v>3611</v>
      </c>
      <c r="F7347" s="1" t="s">
        <v>25121</v>
      </c>
      <c r="G7347" s="1" t="s">
        <v>25122</v>
      </c>
      <c r="H7347" s="1" t="s">
        <v>3604</v>
      </c>
      <c r="I7347" s="1" t="s">
        <v>25123</v>
      </c>
      <c r="J7347" s="1" t="s">
        <v>3606</v>
      </c>
      <c r="K7347" s="1"/>
      <c r="L7347" s="1"/>
      <c r="M7347" s="1"/>
    </row>
    <row x14ac:dyDescent="0.25" r="7348" customHeight="1" ht="18.75">
      <c r="A7348" s="1" t="s">
        <v>3693</v>
      </c>
      <c r="B7348" s="1" t="s">
        <v>5615</v>
      </c>
      <c r="C7348" s="1" t="s">
        <v>3600</v>
      </c>
      <c r="D7348" s="1" t="s">
        <v>3601</v>
      </c>
      <c r="E7348" s="1" t="s">
        <v>3611</v>
      </c>
      <c r="F7348" s="1" t="s">
        <v>25124</v>
      </c>
      <c r="G7348" s="1" t="s">
        <v>25125</v>
      </c>
      <c r="H7348" s="1" t="s">
        <v>3604</v>
      </c>
      <c r="I7348" s="1" t="s">
        <v>25126</v>
      </c>
      <c r="J7348" s="1" t="s">
        <v>3606</v>
      </c>
      <c r="K7348" s="1"/>
      <c r="L7348" s="1"/>
      <c r="M7348" s="1"/>
    </row>
    <row x14ac:dyDescent="0.25" r="7349" customHeight="1" ht="18.75">
      <c r="A7349" s="1" t="s">
        <v>3693</v>
      </c>
      <c r="B7349" s="1" t="s">
        <v>5615</v>
      </c>
      <c r="C7349" s="1" t="s">
        <v>3600</v>
      </c>
      <c r="D7349" s="1" t="s">
        <v>3601</v>
      </c>
      <c r="E7349" s="1" t="s">
        <v>3611</v>
      </c>
      <c r="F7349" s="1" t="s">
        <v>25127</v>
      </c>
      <c r="G7349" s="1" t="s">
        <v>25128</v>
      </c>
      <c r="H7349" s="1" t="s">
        <v>3604</v>
      </c>
      <c r="I7349" s="1" t="s">
        <v>25129</v>
      </c>
      <c r="J7349" s="1" t="s">
        <v>3606</v>
      </c>
      <c r="K7349" s="1"/>
      <c r="L7349" s="1"/>
      <c r="M7349" s="1"/>
    </row>
    <row x14ac:dyDescent="0.25" r="7350" customHeight="1" ht="18.75">
      <c r="A7350" s="1" t="s">
        <v>7833</v>
      </c>
      <c r="B7350" s="1" t="s">
        <v>25130</v>
      </c>
      <c r="C7350" s="1" t="s">
        <v>4488</v>
      </c>
      <c r="D7350" s="1" t="s">
        <v>3601</v>
      </c>
      <c r="E7350" s="1" t="s">
        <v>8096</v>
      </c>
      <c r="F7350" s="1" t="s">
        <v>1573</v>
      </c>
      <c r="G7350" s="1" t="s">
        <v>25131</v>
      </c>
      <c r="H7350" s="1" t="s">
        <v>3604</v>
      </c>
      <c r="I7350" s="1" t="s">
        <v>25132</v>
      </c>
      <c r="J7350" s="1" t="s">
        <v>3606</v>
      </c>
      <c r="K7350" s="1" t="s">
        <v>25133</v>
      </c>
      <c r="L7350" s="1"/>
      <c r="M7350" s="1"/>
    </row>
    <row x14ac:dyDescent="0.25" r="7351" customHeight="1" ht="18.75">
      <c r="A7351" s="1" t="s">
        <v>3693</v>
      </c>
      <c r="B7351" s="1" t="s">
        <v>5615</v>
      </c>
      <c r="C7351" s="1" t="s">
        <v>3600</v>
      </c>
      <c r="D7351" s="1" t="s">
        <v>3601</v>
      </c>
      <c r="E7351" s="1" t="s">
        <v>3611</v>
      </c>
      <c r="F7351" s="1" t="s">
        <v>25134</v>
      </c>
      <c r="G7351" s="1" t="s">
        <v>25135</v>
      </c>
      <c r="H7351" s="1" t="s">
        <v>3604</v>
      </c>
      <c r="I7351" s="1" t="s">
        <v>25136</v>
      </c>
      <c r="J7351" s="1" t="s">
        <v>3606</v>
      </c>
      <c r="K7351" s="1"/>
      <c r="L7351" s="1"/>
      <c r="M7351" s="1"/>
    </row>
    <row x14ac:dyDescent="0.25" r="7352" customHeight="1" ht="18.75">
      <c r="A7352" s="1" t="s">
        <v>3693</v>
      </c>
      <c r="B7352" s="1" t="s">
        <v>5615</v>
      </c>
      <c r="C7352" s="1" t="s">
        <v>3600</v>
      </c>
      <c r="D7352" s="1" t="s">
        <v>3601</v>
      </c>
      <c r="E7352" s="1" t="s">
        <v>3611</v>
      </c>
      <c r="F7352" s="1" t="s">
        <v>25137</v>
      </c>
      <c r="G7352" s="1" t="s">
        <v>25138</v>
      </c>
      <c r="H7352" s="1" t="s">
        <v>3604</v>
      </c>
      <c r="I7352" s="1" t="s">
        <v>25139</v>
      </c>
      <c r="J7352" s="1" t="s">
        <v>3606</v>
      </c>
      <c r="K7352" s="1"/>
      <c r="L7352" s="1"/>
      <c r="M7352" s="1"/>
    </row>
    <row x14ac:dyDescent="0.25" r="7353" customHeight="1" ht="18.75">
      <c r="A7353" s="1" t="s">
        <v>3693</v>
      </c>
      <c r="B7353" s="1" t="s">
        <v>5615</v>
      </c>
      <c r="C7353" s="1" t="s">
        <v>3600</v>
      </c>
      <c r="D7353" s="1" t="s">
        <v>3601</v>
      </c>
      <c r="E7353" s="1" t="s">
        <v>3611</v>
      </c>
      <c r="F7353" s="1" t="s">
        <v>25140</v>
      </c>
      <c r="G7353" s="1" t="s">
        <v>25141</v>
      </c>
      <c r="H7353" s="1" t="s">
        <v>3604</v>
      </c>
      <c r="I7353" s="1" t="s">
        <v>25142</v>
      </c>
      <c r="J7353" s="1" t="s">
        <v>3606</v>
      </c>
      <c r="K7353" s="1"/>
      <c r="L7353" s="1"/>
      <c r="M7353" s="1"/>
    </row>
    <row x14ac:dyDescent="0.25" r="7354" customHeight="1" ht="18.75">
      <c r="A7354" s="1" t="s">
        <v>3693</v>
      </c>
      <c r="B7354" s="1" t="s">
        <v>5615</v>
      </c>
      <c r="C7354" s="1" t="s">
        <v>3600</v>
      </c>
      <c r="D7354" s="1" t="s">
        <v>3601</v>
      </c>
      <c r="E7354" s="1" t="s">
        <v>3611</v>
      </c>
      <c r="F7354" s="1" t="s">
        <v>25143</v>
      </c>
      <c r="G7354" s="1" t="s">
        <v>25144</v>
      </c>
      <c r="H7354" s="1" t="s">
        <v>3604</v>
      </c>
      <c r="I7354" s="1" t="s">
        <v>25145</v>
      </c>
      <c r="J7354" s="1" t="s">
        <v>3606</v>
      </c>
      <c r="K7354" s="1"/>
      <c r="L7354" s="1"/>
      <c r="M7354" s="1"/>
    </row>
    <row x14ac:dyDescent="0.25" r="7355" customHeight="1" ht="18.75">
      <c r="A7355" s="1" t="s">
        <v>3693</v>
      </c>
      <c r="B7355" s="1" t="s">
        <v>5615</v>
      </c>
      <c r="C7355" s="1" t="s">
        <v>3600</v>
      </c>
      <c r="D7355" s="1" t="s">
        <v>3601</v>
      </c>
      <c r="E7355" s="1" t="s">
        <v>3611</v>
      </c>
      <c r="F7355" s="1" t="s">
        <v>25146</v>
      </c>
      <c r="G7355" s="1" t="s">
        <v>25147</v>
      </c>
      <c r="H7355" s="1" t="s">
        <v>3604</v>
      </c>
      <c r="I7355" s="1" t="s">
        <v>25148</v>
      </c>
      <c r="J7355" s="1" t="s">
        <v>3606</v>
      </c>
      <c r="K7355" s="1"/>
      <c r="L7355" s="1"/>
      <c r="M7355" s="1"/>
    </row>
    <row x14ac:dyDescent="0.25" r="7356" customHeight="1" ht="18.75">
      <c r="A7356" s="1" t="s">
        <v>3693</v>
      </c>
      <c r="B7356" s="1" t="s">
        <v>5615</v>
      </c>
      <c r="C7356" s="1" t="s">
        <v>3600</v>
      </c>
      <c r="D7356" s="1" t="s">
        <v>3601</v>
      </c>
      <c r="E7356" s="1" t="s">
        <v>3611</v>
      </c>
      <c r="F7356" s="1" t="s">
        <v>25149</v>
      </c>
      <c r="G7356" s="1" t="s">
        <v>25150</v>
      </c>
      <c r="H7356" s="1" t="s">
        <v>3604</v>
      </c>
      <c r="I7356" s="1" t="s">
        <v>25151</v>
      </c>
      <c r="J7356" s="1" t="s">
        <v>3606</v>
      </c>
      <c r="K7356" s="1"/>
      <c r="L7356" s="1"/>
      <c r="M7356" s="1"/>
    </row>
    <row x14ac:dyDescent="0.25" r="7357" customHeight="1" ht="18.75">
      <c r="A7357" s="1" t="s">
        <v>3693</v>
      </c>
      <c r="B7357" s="1" t="s">
        <v>5615</v>
      </c>
      <c r="C7357" s="1" t="s">
        <v>3600</v>
      </c>
      <c r="D7357" s="1" t="s">
        <v>3601</v>
      </c>
      <c r="E7357" s="1" t="s">
        <v>3611</v>
      </c>
      <c r="F7357" s="1" t="s">
        <v>25152</v>
      </c>
      <c r="G7357" s="1" t="s">
        <v>25153</v>
      </c>
      <c r="H7357" s="1" t="s">
        <v>3604</v>
      </c>
      <c r="I7357" s="1" t="s">
        <v>25154</v>
      </c>
      <c r="J7357" s="1" t="s">
        <v>3606</v>
      </c>
      <c r="K7357" s="1"/>
      <c r="L7357" s="1"/>
      <c r="M7357" s="1"/>
    </row>
    <row x14ac:dyDescent="0.25" r="7358" customHeight="1" ht="18.75">
      <c r="A7358" s="1" t="s">
        <v>3693</v>
      </c>
      <c r="B7358" s="1" t="s">
        <v>5615</v>
      </c>
      <c r="C7358" s="1" t="s">
        <v>3600</v>
      </c>
      <c r="D7358" s="1" t="s">
        <v>3601</v>
      </c>
      <c r="E7358" s="1" t="s">
        <v>3611</v>
      </c>
      <c r="F7358" s="1" t="s">
        <v>25155</v>
      </c>
      <c r="G7358" s="1" t="s">
        <v>25156</v>
      </c>
      <c r="H7358" s="1" t="s">
        <v>3604</v>
      </c>
      <c r="I7358" s="1" t="s">
        <v>25157</v>
      </c>
      <c r="J7358" s="1" t="s">
        <v>3606</v>
      </c>
      <c r="K7358" s="1"/>
      <c r="L7358" s="1"/>
      <c r="M7358" s="1"/>
    </row>
    <row x14ac:dyDescent="0.25" r="7359" customHeight="1" ht="18.75">
      <c r="A7359" s="1" t="s">
        <v>3693</v>
      </c>
      <c r="B7359" s="1" t="s">
        <v>4214</v>
      </c>
      <c r="C7359" s="1" t="s">
        <v>3600</v>
      </c>
      <c r="D7359" s="1" t="s">
        <v>533</v>
      </c>
      <c r="E7359" s="1" t="s">
        <v>3752</v>
      </c>
      <c r="F7359" s="1" t="s">
        <v>25158</v>
      </c>
      <c r="G7359" s="1" t="s">
        <v>9382</v>
      </c>
      <c r="H7359" s="1" t="s">
        <v>3604</v>
      </c>
      <c r="I7359" s="1" t="s">
        <v>25159</v>
      </c>
      <c r="J7359" s="1" t="s">
        <v>3615</v>
      </c>
      <c r="K7359" s="1" t="s">
        <v>25160</v>
      </c>
      <c r="L7359" s="1"/>
      <c r="M7359" s="1"/>
    </row>
    <row x14ac:dyDescent="0.25" r="7360" customHeight="1" ht="18.75">
      <c r="A7360" s="1" t="s">
        <v>3693</v>
      </c>
      <c r="B7360" s="1" t="s">
        <v>4247</v>
      </c>
      <c r="C7360" s="1" t="s">
        <v>3600</v>
      </c>
      <c r="D7360" s="1" t="s">
        <v>7891</v>
      </c>
      <c r="E7360" s="1" t="s">
        <v>3664</v>
      </c>
      <c r="F7360" s="1" t="s">
        <v>25161</v>
      </c>
      <c r="G7360" s="1" t="s">
        <v>4738</v>
      </c>
      <c r="H7360" s="1" t="s">
        <v>3604</v>
      </c>
      <c r="I7360" s="1" t="s">
        <v>25162</v>
      </c>
      <c r="J7360" s="1" t="s">
        <v>3615</v>
      </c>
      <c r="K7360" s="1" t="s">
        <v>25163</v>
      </c>
      <c r="L7360" s="1"/>
      <c r="M7360" s="1"/>
    </row>
    <row x14ac:dyDescent="0.25" r="7361" customHeight="1" ht="18.75">
      <c r="A7361" s="1" t="s">
        <v>3693</v>
      </c>
      <c r="B7361" s="1" t="s">
        <v>5615</v>
      </c>
      <c r="C7361" s="1" t="s">
        <v>3600</v>
      </c>
      <c r="D7361" s="1" t="s">
        <v>3601</v>
      </c>
      <c r="E7361" s="1" t="s">
        <v>3611</v>
      </c>
      <c r="F7361" s="1" t="s">
        <v>25164</v>
      </c>
      <c r="G7361" s="1" t="s">
        <v>25165</v>
      </c>
      <c r="H7361" s="1" t="s">
        <v>3604</v>
      </c>
      <c r="I7361" s="1" t="s">
        <v>25166</v>
      </c>
      <c r="J7361" s="1" t="s">
        <v>3606</v>
      </c>
      <c r="K7361" s="1"/>
      <c r="L7361" s="1"/>
      <c r="M7361" s="1"/>
    </row>
    <row x14ac:dyDescent="0.25" r="7362" customHeight="1" ht="18.75">
      <c r="A7362" s="1" t="s">
        <v>3693</v>
      </c>
      <c r="B7362" s="1" t="s">
        <v>4083</v>
      </c>
      <c r="C7362" s="1" t="s">
        <v>3600</v>
      </c>
      <c r="D7362" s="1" t="s">
        <v>3601</v>
      </c>
      <c r="E7362" s="1" t="s">
        <v>3893</v>
      </c>
      <c r="F7362" s="1" t="s">
        <v>25167</v>
      </c>
      <c r="G7362" s="1" t="s">
        <v>4422</v>
      </c>
      <c r="H7362" s="1" t="s">
        <v>3604</v>
      </c>
      <c r="I7362" s="1" t="s">
        <v>25168</v>
      </c>
      <c r="J7362" s="1" t="s">
        <v>3606</v>
      </c>
      <c r="K7362" s="1" t="s">
        <v>25169</v>
      </c>
      <c r="L7362" s="1"/>
      <c r="M7362" s="1"/>
    </row>
    <row x14ac:dyDescent="0.25" r="7363" customHeight="1" ht="18.75">
      <c r="A7363" s="1" t="s">
        <v>3693</v>
      </c>
      <c r="B7363" s="1" t="s">
        <v>3957</v>
      </c>
      <c r="C7363" s="1" t="s">
        <v>3600</v>
      </c>
      <c r="D7363" s="1" t="s">
        <v>3695</v>
      </c>
      <c r="E7363" s="1" t="s">
        <v>3752</v>
      </c>
      <c r="F7363" s="1" t="s">
        <v>25170</v>
      </c>
      <c r="G7363" s="1" t="s">
        <v>4009</v>
      </c>
      <c r="H7363" s="1" t="s">
        <v>3604</v>
      </c>
      <c r="I7363" s="1" t="s">
        <v>25171</v>
      </c>
      <c r="J7363" s="1" t="s">
        <v>3615</v>
      </c>
      <c r="K7363" s="1" t="s">
        <v>25172</v>
      </c>
      <c r="L7363" s="1"/>
      <c r="M7363" s="1"/>
    </row>
    <row x14ac:dyDescent="0.25" r="7364" customHeight="1" ht="18.75">
      <c r="A7364" s="1" t="s">
        <v>3693</v>
      </c>
      <c r="B7364" s="1" t="s">
        <v>3957</v>
      </c>
      <c r="C7364" s="1" t="s">
        <v>3600</v>
      </c>
      <c r="D7364" s="1" t="s">
        <v>3610</v>
      </c>
      <c r="E7364" s="1" t="s">
        <v>3664</v>
      </c>
      <c r="F7364" s="1" t="s">
        <v>25173</v>
      </c>
      <c r="G7364" s="1" t="s">
        <v>4009</v>
      </c>
      <c r="H7364" s="1" t="s">
        <v>3604</v>
      </c>
      <c r="I7364" s="1" t="s">
        <v>25174</v>
      </c>
      <c r="J7364" s="1" t="s">
        <v>3606</v>
      </c>
      <c r="K7364" s="1" t="s">
        <v>25175</v>
      </c>
      <c r="L7364" s="1"/>
      <c r="M7364" s="1"/>
    </row>
    <row x14ac:dyDescent="0.25" r="7365" customHeight="1" ht="18.75">
      <c r="A7365" s="1" t="s">
        <v>3693</v>
      </c>
      <c r="B7365" s="1" t="s">
        <v>5615</v>
      </c>
      <c r="C7365" s="1" t="s">
        <v>3600</v>
      </c>
      <c r="D7365" s="1" t="s">
        <v>3601</v>
      </c>
      <c r="E7365" s="1" t="s">
        <v>3611</v>
      </c>
      <c r="F7365" s="1" t="s">
        <v>25176</v>
      </c>
      <c r="G7365" s="1" t="s">
        <v>25177</v>
      </c>
      <c r="H7365" s="1" t="s">
        <v>3604</v>
      </c>
      <c r="I7365" s="1" t="s">
        <v>25178</v>
      </c>
      <c r="J7365" s="1" t="s">
        <v>3606</v>
      </c>
      <c r="K7365" s="1"/>
      <c r="L7365" s="1"/>
      <c r="M7365" s="1"/>
    </row>
    <row x14ac:dyDescent="0.25" r="7366" customHeight="1" ht="18.75">
      <c r="A7366" s="1" t="s">
        <v>3693</v>
      </c>
      <c r="B7366" s="1" t="s">
        <v>3957</v>
      </c>
      <c r="C7366" s="1" t="s">
        <v>3600</v>
      </c>
      <c r="D7366" s="1" t="s">
        <v>3610</v>
      </c>
      <c r="E7366" s="1" t="s">
        <v>3664</v>
      </c>
      <c r="F7366" s="1" t="s">
        <v>25179</v>
      </c>
      <c r="G7366" s="1" t="s">
        <v>4009</v>
      </c>
      <c r="H7366" s="1" t="s">
        <v>3604</v>
      </c>
      <c r="I7366" s="1" t="s">
        <v>25180</v>
      </c>
      <c r="J7366" s="1" t="s">
        <v>3606</v>
      </c>
      <c r="K7366" s="1" t="s">
        <v>25181</v>
      </c>
      <c r="L7366" s="1"/>
      <c r="M7366" s="1"/>
    </row>
    <row x14ac:dyDescent="0.25" r="7367" customHeight="1" ht="18.75">
      <c r="A7367" s="1" t="s">
        <v>3693</v>
      </c>
      <c r="B7367" s="1" t="s">
        <v>3957</v>
      </c>
      <c r="C7367" s="1" t="s">
        <v>3600</v>
      </c>
      <c r="D7367" s="1" t="s">
        <v>3695</v>
      </c>
      <c r="E7367" s="1" t="s">
        <v>3752</v>
      </c>
      <c r="F7367" s="1" t="s">
        <v>25182</v>
      </c>
      <c r="G7367" s="1" t="s">
        <v>4009</v>
      </c>
      <c r="H7367" s="1" t="s">
        <v>3604</v>
      </c>
      <c r="I7367" s="1" t="s">
        <v>25183</v>
      </c>
      <c r="J7367" s="1" t="s">
        <v>3615</v>
      </c>
      <c r="K7367" s="1" t="s">
        <v>25184</v>
      </c>
      <c r="L7367" s="1"/>
      <c r="M7367" s="1"/>
    </row>
    <row x14ac:dyDescent="0.25" r="7368" customHeight="1" ht="18.75">
      <c r="A7368" s="1" t="s">
        <v>3617</v>
      </c>
      <c r="B7368" s="1" t="s">
        <v>4582</v>
      </c>
      <c r="C7368" s="1" t="s">
        <v>4488</v>
      </c>
      <c r="D7368" s="1" t="s">
        <v>3601</v>
      </c>
      <c r="E7368" s="1" t="s">
        <v>4478</v>
      </c>
      <c r="F7368" s="1" t="s">
        <v>25185</v>
      </c>
      <c r="G7368" s="1" t="s">
        <v>10946</v>
      </c>
      <c r="H7368" s="1" t="s">
        <v>3604</v>
      </c>
      <c r="I7368" s="1" t="s">
        <v>25186</v>
      </c>
      <c r="J7368" s="1" t="s">
        <v>3606</v>
      </c>
      <c r="K7368" s="1" t="s">
        <v>25187</v>
      </c>
      <c r="L7368" s="1"/>
      <c r="M7368" s="1"/>
    </row>
    <row x14ac:dyDescent="0.25" r="7369" customHeight="1" ht="18.75">
      <c r="A7369" s="1" t="s">
        <v>3693</v>
      </c>
      <c r="B7369" s="1" t="s">
        <v>3957</v>
      </c>
      <c r="C7369" s="1" t="s">
        <v>3600</v>
      </c>
      <c r="D7369" s="1" t="s">
        <v>3610</v>
      </c>
      <c r="E7369" s="1" t="s">
        <v>3664</v>
      </c>
      <c r="F7369" s="1" t="s">
        <v>25188</v>
      </c>
      <c r="G7369" s="1" t="s">
        <v>4009</v>
      </c>
      <c r="H7369" s="1" t="s">
        <v>3604</v>
      </c>
      <c r="I7369" s="1" t="s">
        <v>25189</v>
      </c>
      <c r="J7369" s="1" t="s">
        <v>3606</v>
      </c>
      <c r="K7369" s="1" t="s">
        <v>25190</v>
      </c>
      <c r="L7369" s="1"/>
      <c r="M7369" s="1"/>
    </row>
    <row x14ac:dyDescent="0.25" r="7370" customHeight="1" ht="18.75">
      <c r="A7370" s="1" t="s">
        <v>3693</v>
      </c>
      <c r="B7370" s="1" t="s">
        <v>5615</v>
      </c>
      <c r="C7370" s="1" t="s">
        <v>3600</v>
      </c>
      <c r="D7370" s="1" t="s">
        <v>3601</v>
      </c>
      <c r="E7370" s="1" t="s">
        <v>3611</v>
      </c>
      <c r="F7370" s="1" t="s">
        <v>25191</v>
      </c>
      <c r="G7370" s="1" t="s">
        <v>25192</v>
      </c>
      <c r="H7370" s="1" t="s">
        <v>3604</v>
      </c>
      <c r="I7370" s="1" t="s">
        <v>25193</v>
      </c>
      <c r="J7370" s="1" t="s">
        <v>3606</v>
      </c>
      <c r="K7370" s="1"/>
      <c r="L7370" s="1"/>
      <c r="M7370" s="1"/>
    </row>
    <row x14ac:dyDescent="0.25" r="7371" customHeight="1" ht="18.75">
      <c r="A7371" s="1" t="s">
        <v>3693</v>
      </c>
      <c r="B7371" s="1" t="s">
        <v>3957</v>
      </c>
      <c r="C7371" s="1" t="s">
        <v>3600</v>
      </c>
      <c r="D7371" s="1" t="s">
        <v>3610</v>
      </c>
      <c r="E7371" s="1" t="s">
        <v>3664</v>
      </c>
      <c r="F7371" s="1" t="s">
        <v>25194</v>
      </c>
      <c r="G7371" s="1" t="s">
        <v>4009</v>
      </c>
      <c r="H7371" s="1" t="s">
        <v>3604</v>
      </c>
      <c r="I7371" s="1" t="s">
        <v>25195</v>
      </c>
      <c r="J7371" s="1" t="s">
        <v>3606</v>
      </c>
      <c r="K7371" s="1" t="s">
        <v>25196</v>
      </c>
      <c r="L7371" s="1"/>
      <c r="M7371" s="1"/>
    </row>
    <row x14ac:dyDescent="0.25" r="7372" customHeight="1" ht="18.75">
      <c r="A7372" s="1" t="s">
        <v>3617</v>
      </c>
      <c r="B7372" s="1" t="s">
        <v>4582</v>
      </c>
      <c r="C7372" s="1" t="s">
        <v>4488</v>
      </c>
      <c r="D7372" s="1" t="s">
        <v>3601</v>
      </c>
      <c r="E7372" s="1" t="s">
        <v>4478</v>
      </c>
      <c r="F7372" s="1" t="s">
        <v>25197</v>
      </c>
      <c r="G7372" s="1" t="s">
        <v>10946</v>
      </c>
      <c r="H7372" s="1" t="s">
        <v>3604</v>
      </c>
      <c r="I7372" s="1" t="s">
        <v>25198</v>
      </c>
      <c r="J7372" s="1" t="s">
        <v>3606</v>
      </c>
      <c r="K7372" s="1" t="s">
        <v>25187</v>
      </c>
      <c r="L7372" s="1"/>
      <c r="M7372" s="1"/>
    </row>
    <row x14ac:dyDescent="0.25" r="7373" customHeight="1" ht="18.75">
      <c r="A7373" s="1" t="s">
        <v>3693</v>
      </c>
      <c r="B7373" s="1" t="s">
        <v>3957</v>
      </c>
      <c r="C7373" s="1" t="s">
        <v>3600</v>
      </c>
      <c r="D7373" s="1" t="s">
        <v>3610</v>
      </c>
      <c r="E7373" s="1" t="s">
        <v>3664</v>
      </c>
      <c r="F7373" s="1" t="s">
        <v>25199</v>
      </c>
      <c r="G7373" s="1" t="s">
        <v>4009</v>
      </c>
      <c r="H7373" s="1" t="s">
        <v>3604</v>
      </c>
      <c r="I7373" s="1" t="s">
        <v>25200</v>
      </c>
      <c r="J7373" s="1" t="s">
        <v>3606</v>
      </c>
      <c r="K7373" s="1" t="s">
        <v>25201</v>
      </c>
      <c r="L7373" s="1"/>
      <c r="M7373" s="1"/>
    </row>
    <row x14ac:dyDescent="0.25" r="7374" customHeight="1" ht="18.75">
      <c r="A7374" s="1" t="s">
        <v>3693</v>
      </c>
      <c r="B7374" s="1" t="s">
        <v>5615</v>
      </c>
      <c r="C7374" s="1" t="s">
        <v>3600</v>
      </c>
      <c r="D7374" s="1" t="s">
        <v>3601</v>
      </c>
      <c r="E7374" s="1" t="s">
        <v>3611</v>
      </c>
      <c r="F7374" s="1" t="s">
        <v>25202</v>
      </c>
      <c r="G7374" s="1" t="s">
        <v>25203</v>
      </c>
      <c r="H7374" s="1" t="s">
        <v>3604</v>
      </c>
      <c r="I7374" s="1" t="s">
        <v>25204</v>
      </c>
      <c r="J7374" s="1" t="s">
        <v>3606</v>
      </c>
      <c r="K7374" s="1"/>
      <c r="L7374" s="1"/>
      <c r="M7374" s="1"/>
    </row>
    <row x14ac:dyDescent="0.25" r="7375" customHeight="1" ht="18.75">
      <c r="A7375" s="1" t="s">
        <v>3693</v>
      </c>
      <c r="B7375" s="1" t="s">
        <v>3957</v>
      </c>
      <c r="C7375" s="1" t="s">
        <v>3600</v>
      </c>
      <c r="D7375" s="1" t="s">
        <v>3695</v>
      </c>
      <c r="E7375" s="1" t="s">
        <v>3752</v>
      </c>
      <c r="F7375" s="1" t="s">
        <v>25205</v>
      </c>
      <c r="G7375" s="1" t="s">
        <v>4009</v>
      </c>
      <c r="H7375" s="1" t="s">
        <v>3604</v>
      </c>
      <c r="I7375" s="1" t="s">
        <v>25206</v>
      </c>
      <c r="J7375" s="1" t="s">
        <v>3615</v>
      </c>
      <c r="K7375" s="1" t="s">
        <v>25207</v>
      </c>
      <c r="L7375" s="1"/>
      <c r="M7375" s="1"/>
    </row>
    <row x14ac:dyDescent="0.25" r="7376" customHeight="1" ht="18.75">
      <c r="A7376" s="1" t="s">
        <v>3693</v>
      </c>
      <c r="B7376" s="1" t="s">
        <v>4247</v>
      </c>
      <c r="C7376" s="1" t="s">
        <v>3600</v>
      </c>
      <c r="D7376" s="1" t="s">
        <v>3610</v>
      </c>
      <c r="E7376" s="1" t="s">
        <v>3893</v>
      </c>
      <c r="F7376" s="1" t="s">
        <v>25208</v>
      </c>
      <c r="G7376" s="1" t="s">
        <v>4384</v>
      </c>
      <c r="H7376" s="1" t="s">
        <v>3604</v>
      </c>
      <c r="I7376" s="1" t="s">
        <v>25209</v>
      </c>
      <c r="J7376" s="1" t="s">
        <v>3606</v>
      </c>
      <c r="K7376" s="1" t="s">
        <v>25210</v>
      </c>
      <c r="L7376" s="1"/>
      <c r="M7376" s="1"/>
    </row>
    <row x14ac:dyDescent="0.25" r="7377" customHeight="1" ht="18.75">
      <c r="A7377" s="1" t="s">
        <v>3693</v>
      </c>
      <c r="B7377" s="1" t="s">
        <v>4247</v>
      </c>
      <c r="C7377" s="1" t="s">
        <v>3600</v>
      </c>
      <c r="D7377" s="1" t="s">
        <v>3610</v>
      </c>
      <c r="E7377" s="1" t="s">
        <v>3893</v>
      </c>
      <c r="F7377" s="1" t="s">
        <v>25211</v>
      </c>
      <c r="G7377" s="1" t="s">
        <v>4384</v>
      </c>
      <c r="H7377" s="1" t="s">
        <v>3604</v>
      </c>
      <c r="I7377" s="1" t="s">
        <v>25212</v>
      </c>
      <c r="J7377" s="1" t="s">
        <v>3606</v>
      </c>
      <c r="K7377" s="1" t="s">
        <v>25213</v>
      </c>
      <c r="L7377" s="1"/>
      <c r="M7377" s="1"/>
    </row>
    <row x14ac:dyDescent="0.25" r="7378" customHeight="1" ht="18.75">
      <c r="A7378" s="1" t="s">
        <v>3693</v>
      </c>
      <c r="B7378" s="1" t="s">
        <v>5615</v>
      </c>
      <c r="C7378" s="1" t="s">
        <v>3600</v>
      </c>
      <c r="D7378" s="1" t="s">
        <v>3601</v>
      </c>
      <c r="E7378" s="1" t="s">
        <v>3611</v>
      </c>
      <c r="F7378" s="1" t="s">
        <v>25214</v>
      </c>
      <c r="G7378" s="1" t="s">
        <v>25215</v>
      </c>
      <c r="H7378" s="1" t="s">
        <v>3604</v>
      </c>
      <c r="I7378" s="1" t="s">
        <v>25216</v>
      </c>
      <c r="J7378" s="1" t="s">
        <v>3606</v>
      </c>
      <c r="K7378" s="1"/>
      <c r="L7378" s="1"/>
      <c r="M7378" s="1"/>
    </row>
    <row x14ac:dyDescent="0.25" r="7379" customHeight="1" ht="18.75">
      <c r="A7379" s="1" t="s">
        <v>3693</v>
      </c>
      <c r="B7379" s="1" t="s">
        <v>4247</v>
      </c>
      <c r="C7379" s="1" t="s">
        <v>3600</v>
      </c>
      <c r="D7379" s="1" t="s">
        <v>3610</v>
      </c>
      <c r="E7379" s="1" t="s">
        <v>3893</v>
      </c>
      <c r="F7379" s="1" t="s">
        <v>25217</v>
      </c>
      <c r="G7379" s="1" t="s">
        <v>4384</v>
      </c>
      <c r="H7379" s="1" t="s">
        <v>3604</v>
      </c>
      <c r="I7379" s="1" t="s">
        <v>25218</v>
      </c>
      <c r="J7379" s="1" t="s">
        <v>3606</v>
      </c>
      <c r="K7379" s="1" t="s">
        <v>25219</v>
      </c>
      <c r="L7379" s="1"/>
      <c r="M7379" s="1"/>
    </row>
    <row x14ac:dyDescent="0.25" r="7380" customHeight="1" ht="18.75">
      <c r="A7380" s="1" t="s">
        <v>3693</v>
      </c>
      <c r="B7380" s="1" t="s">
        <v>4332</v>
      </c>
      <c r="C7380" s="1" t="s">
        <v>3600</v>
      </c>
      <c r="D7380" s="1" t="s">
        <v>3695</v>
      </c>
      <c r="E7380" s="1" t="s">
        <v>3893</v>
      </c>
      <c r="F7380" s="1" t="s">
        <v>25220</v>
      </c>
      <c r="G7380" s="1" t="s">
        <v>5644</v>
      </c>
      <c r="H7380" s="1" t="s">
        <v>3604</v>
      </c>
      <c r="I7380" s="1" t="s">
        <v>25221</v>
      </c>
      <c r="J7380" s="1" t="s">
        <v>3606</v>
      </c>
      <c r="K7380" s="1" t="s">
        <v>25222</v>
      </c>
      <c r="L7380" s="1" t="s">
        <v>10634</v>
      </c>
      <c r="M7380" s="1"/>
    </row>
    <row x14ac:dyDescent="0.25" r="7381" customHeight="1" ht="18.75">
      <c r="A7381" s="1" t="s">
        <v>3617</v>
      </c>
      <c r="B7381" s="1" t="s">
        <v>3903</v>
      </c>
      <c r="C7381" s="1" t="s">
        <v>3619</v>
      </c>
      <c r="D7381" s="1" t="s">
        <v>3601</v>
      </c>
      <c r="E7381" s="1" t="s">
        <v>3893</v>
      </c>
      <c r="F7381" s="1" t="s">
        <v>25223</v>
      </c>
      <c r="G7381" s="1" t="s">
        <v>4313</v>
      </c>
      <c r="H7381" s="1" t="s">
        <v>3604</v>
      </c>
      <c r="I7381" s="1" t="s">
        <v>25224</v>
      </c>
      <c r="J7381" s="1" t="s">
        <v>3615</v>
      </c>
      <c r="K7381" s="1" t="s">
        <v>25225</v>
      </c>
      <c r="L7381" s="1"/>
      <c r="M7381" s="1"/>
    </row>
    <row x14ac:dyDescent="0.25" r="7382" customHeight="1" ht="18.75">
      <c r="A7382" s="1" t="s">
        <v>3693</v>
      </c>
      <c r="B7382" s="1" t="s">
        <v>4214</v>
      </c>
      <c r="C7382" s="1" t="s">
        <v>3600</v>
      </c>
      <c r="D7382" s="1" t="s">
        <v>3601</v>
      </c>
      <c r="E7382" s="1" t="s">
        <v>3664</v>
      </c>
      <c r="F7382" s="1" t="s">
        <v>25226</v>
      </c>
      <c r="G7382" s="1" t="s">
        <v>10004</v>
      </c>
      <c r="H7382" s="1" t="s">
        <v>3604</v>
      </c>
      <c r="I7382" s="1" t="s">
        <v>25227</v>
      </c>
      <c r="J7382" s="1" t="s">
        <v>3615</v>
      </c>
      <c r="K7382" s="1" t="s">
        <v>25228</v>
      </c>
      <c r="L7382" s="1"/>
      <c r="M7382" s="1"/>
    </row>
    <row x14ac:dyDescent="0.25" r="7383" customHeight="1" ht="18.75">
      <c r="A7383" s="1" t="s">
        <v>3693</v>
      </c>
      <c r="B7383" s="1" t="s">
        <v>5598</v>
      </c>
      <c r="C7383" s="1" t="s">
        <v>3600</v>
      </c>
      <c r="D7383" s="1" t="s">
        <v>3601</v>
      </c>
      <c r="E7383" s="1" t="s">
        <v>3664</v>
      </c>
      <c r="F7383" s="1" t="s">
        <v>25229</v>
      </c>
      <c r="G7383" s="1" t="s">
        <v>25230</v>
      </c>
      <c r="H7383" s="1" t="s">
        <v>3604</v>
      </c>
      <c r="I7383" s="1" t="s">
        <v>25231</v>
      </c>
      <c r="J7383" s="1" t="s">
        <v>3615</v>
      </c>
      <c r="K7383" s="1" t="s">
        <v>25232</v>
      </c>
      <c r="L7383" s="1"/>
      <c r="M7383" s="1"/>
    </row>
    <row x14ac:dyDescent="0.25" r="7384" customHeight="1" ht="18.75">
      <c r="A7384" s="1" t="s">
        <v>3693</v>
      </c>
      <c r="B7384" s="1" t="s">
        <v>4237</v>
      </c>
      <c r="C7384" s="1" t="s">
        <v>3600</v>
      </c>
      <c r="D7384" s="1" t="s">
        <v>3601</v>
      </c>
      <c r="E7384" s="1" t="s">
        <v>3664</v>
      </c>
      <c r="F7384" s="1" t="s">
        <v>25233</v>
      </c>
      <c r="G7384" s="1" t="s">
        <v>10411</v>
      </c>
      <c r="H7384" s="1" t="s">
        <v>3604</v>
      </c>
      <c r="I7384" s="1" t="s">
        <v>25234</v>
      </c>
      <c r="J7384" s="1" t="s">
        <v>3615</v>
      </c>
      <c r="K7384" s="1" t="s">
        <v>25235</v>
      </c>
      <c r="L7384" s="1"/>
      <c r="M7384" s="1"/>
    </row>
    <row x14ac:dyDescent="0.25" r="7385" customHeight="1" ht="18.75">
      <c r="A7385" s="1" t="s">
        <v>3693</v>
      </c>
      <c r="B7385" s="1" t="s">
        <v>4237</v>
      </c>
      <c r="C7385" s="1" t="s">
        <v>3600</v>
      </c>
      <c r="D7385" s="1" t="s">
        <v>3601</v>
      </c>
      <c r="E7385" s="1" t="s">
        <v>3664</v>
      </c>
      <c r="F7385" s="1" t="s">
        <v>25236</v>
      </c>
      <c r="G7385" s="1" t="s">
        <v>10408</v>
      </c>
      <c r="H7385" s="1" t="s">
        <v>3604</v>
      </c>
      <c r="I7385" s="1" t="s">
        <v>25237</v>
      </c>
      <c r="J7385" s="1" t="s">
        <v>3615</v>
      </c>
      <c r="K7385" s="1" t="s">
        <v>25238</v>
      </c>
      <c r="L7385" s="1"/>
      <c r="M7385" s="1"/>
    </row>
    <row x14ac:dyDescent="0.25" r="7386" customHeight="1" ht="18.75">
      <c r="A7386" s="1" t="s">
        <v>3693</v>
      </c>
      <c r="B7386" s="1" t="s">
        <v>7026</v>
      </c>
      <c r="C7386" s="1" t="s">
        <v>3600</v>
      </c>
      <c r="D7386" s="1" t="s">
        <v>3601</v>
      </c>
      <c r="E7386" s="1" t="s">
        <v>3664</v>
      </c>
      <c r="F7386" s="1" t="s">
        <v>25239</v>
      </c>
      <c r="G7386" s="1" t="s">
        <v>25240</v>
      </c>
      <c r="H7386" s="1" t="s">
        <v>3604</v>
      </c>
      <c r="I7386" s="1" t="s">
        <v>25241</v>
      </c>
      <c r="J7386" s="1" t="s">
        <v>3615</v>
      </c>
      <c r="K7386" s="1" t="s">
        <v>25242</v>
      </c>
      <c r="L7386" s="1"/>
      <c r="M7386" s="1"/>
    </row>
    <row x14ac:dyDescent="0.25" r="7387" customHeight="1" ht="18.75">
      <c r="A7387" s="1" t="s">
        <v>3693</v>
      </c>
      <c r="B7387" s="1" t="s">
        <v>7026</v>
      </c>
      <c r="C7387" s="1" t="s">
        <v>3600</v>
      </c>
      <c r="D7387" s="1" t="s">
        <v>3601</v>
      </c>
      <c r="E7387" s="1" t="s">
        <v>3664</v>
      </c>
      <c r="F7387" s="1" t="s">
        <v>25243</v>
      </c>
      <c r="G7387" s="1" t="s">
        <v>25240</v>
      </c>
      <c r="H7387" s="1" t="s">
        <v>3604</v>
      </c>
      <c r="I7387" s="1" t="s">
        <v>25244</v>
      </c>
      <c r="J7387" s="1" t="s">
        <v>3615</v>
      </c>
      <c r="K7387" s="1" t="s">
        <v>25245</v>
      </c>
      <c r="L7387" s="1"/>
      <c r="M7387" s="1"/>
    </row>
    <row x14ac:dyDescent="0.25" r="7388" customHeight="1" ht="18.75">
      <c r="A7388" s="1" t="s">
        <v>3693</v>
      </c>
      <c r="B7388" s="1" t="s">
        <v>3720</v>
      </c>
      <c r="C7388" s="1" t="s">
        <v>3619</v>
      </c>
      <c r="D7388" s="1" t="s">
        <v>3601</v>
      </c>
      <c r="E7388" s="1" t="s">
        <v>3611</v>
      </c>
      <c r="F7388" s="1" t="s">
        <v>25246</v>
      </c>
      <c r="G7388" s="1" t="s">
        <v>5815</v>
      </c>
      <c r="H7388" s="1" t="s">
        <v>3604</v>
      </c>
      <c r="I7388" s="1" t="s">
        <v>25247</v>
      </c>
      <c r="J7388" s="1" t="s">
        <v>3615</v>
      </c>
      <c r="K7388" s="1" t="s">
        <v>25248</v>
      </c>
      <c r="L7388" s="1"/>
      <c r="M7388" s="1"/>
    </row>
    <row x14ac:dyDescent="0.25" r="7389" customHeight="1" ht="18.75">
      <c r="A7389" s="1" t="s">
        <v>3693</v>
      </c>
      <c r="B7389" s="1" t="s">
        <v>4192</v>
      </c>
      <c r="C7389" s="1" t="s">
        <v>3600</v>
      </c>
      <c r="D7389" s="1" t="s">
        <v>3610</v>
      </c>
      <c r="E7389" s="1" t="s">
        <v>3893</v>
      </c>
      <c r="F7389" s="1" t="s">
        <v>25249</v>
      </c>
      <c r="G7389" s="1" t="s">
        <v>4194</v>
      </c>
      <c r="H7389" s="1" t="s">
        <v>3604</v>
      </c>
      <c r="I7389" s="1" t="s">
        <v>25250</v>
      </c>
      <c r="J7389" s="1" t="s">
        <v>3615</v>
      </c>
      <c r="K7389" s="1" t="s">
        <v>25251</v>
      </c>
      <c r="L7389" s="1"/>
      <c r="M7389" s="1"/>
    </row>
    <row x14ac:dyDescent="0.25" r="7390" customHeight="1" ht="18.75">
      <c r="A7390" s="1" t="s">
        <v>3693</v>
      </c>
      <c r="B7390" s="1" t="s">
        <v>4091</v>
      </c>
      <c r="C7390" s="1" t="s">
        <v>3600</v>
      </c>
      <c r="D7390" s="1" t="s">
        <v>8373</v>
      </c>
      <c r="E7390" s="1" t="s">
        <v>3893</v>
      </c>
      <c r="F7390" s="1" t="s">
        <v>25252</v>
      </c>
      <c r="G7390" s="1" t="s">
        <v>4515</v>
      </c>
      <c r="H7390" s="1" t="s">
        <v>3604</v>
      </c>
      <c r="I7390" s="1" t="s">
        <v>25253</v>
      </c>
      <c r="J7390" s="1" t="s">
        <v>3606</v>
      </c>
      <c r="K7390" s="1" t="s">
        <v>25254</v>
      </c>
      <c r="L7390" s="1"/>
      <c r="M7390" s="1"/>
    </row>
    <row x14ac:dyDescent="0.25" r="7391" customHeight="1" ht="18.75">
      <c r="A7391" s="1" t="s">
        <v>3693</v>
      </c>
      <c r="B7391" s="1" t="s">
        <v>4247</v>
      </c>
      <c r="C7391" s="1" t="s">
        <v>3600</v>
      </c>
      <c r="D7391" s="1" t="s">
        <v>3610</v>
      </c>
      <c r="E7391" s="1" t="s">
        <v>3664</v>
      </c>
      <c r="F7391" s="1" t="s">
        <v>25255</v>
      </c>
      <c r="G7391" s="1" t="s">
        <v>4384</v>
      </c>
      <c r="H7391" s="1" t="s">
        <v>3604</v>
      </c>
      <c r="I7391" s="1" t="s">
        <v>25256</v>
      </c>
      <c r="J7391" s="1" t="s">
        <v>3606</v>
      </c>
      <c r="K7391" s="1" t="s">
        <v>25257</v>
      </c>
      <c r="L7391" s="1"/>
      <c r="M7391" s="1"/>
    </row>
    <row x14ac:dyDescent="0.25" r="7392" customHeight="1" ht="18.75">
      <c r="A7392" s="1" t="s">
        <v>3617</v>
      </c>
      <c r="B7392" s="1" t="s">
        <v>3903</v>
      </c>
      <c r="C7392" s="1" t="s">
        <v>3619</v>
      </c>
      <c r="D7392" s="1" t="s">
        <v>3601</v>
      </c>
      <c r="E7392" s="1" t="s">
        <v>3893</v>
      </c>
      <c r="F7392" s="1" t="s">
        <v>25258</v>
      </c>
      <c r="G7392" s="1" t="s">
        <v>4313</v>
      </c>
      <c r="H7392" s="1" t="s">
        <v>3604</v>
      </c>
      <c r="I7392" s="1" t="s">
        <v>25259</v>
      </c>
      <c r="J7392" s="1" t="s">
        <v>3615</v>
      </c>
      <c r="K7392" s="1" t="s">
        <v>25260</v>
      </c>
      <c r="L7392" s="1"/>
      <c r="M7392" s="1"/>
    </row>
    <row x14ac:dyDescent="0.25" r="7393" customHeight="1" ht="18.75">
      <c r="A7393" s="1" t="s">
        <v>3693</v>
      </c>
      <c r="B7393" s="1" t="s">
        <v>4247</v>
      </c>
      <c r="C7393" s="1" t="s">
        <v>3600</v>
      </c>
      <c r="D7393" s="1" t="s">
        <v>3610</v>
      </c>
      <c r="E7393" s="1" t="s">
        <v>3664</v>
      </c>
      <c r="F7393" s="1" t="s">
        <v>25261</v>
      </c>
      <c r="G7393" s="1" t="s">
        <v>4384</v>
      </c>
      <c r="H7393" s="1" t="s">
        <v>3604</v>
      </c>
      <c r="I7393" s="1" t="s">
        <v>25262</v>
      </c>
      <c r="J7393" s="1" t="s">
        <v>3615</v>
      </c>
      <c r="K7393" s="1" t="s">
        <v>25263</v>
      </c>
      <c r="L7393" s="1"/>
      <c r="M7393" s="1"/>
    </row>
    <row x14ac:dyDescent="0.25" r="7394" customHeight="1" ht="18.75">
      <c r="A7394" s="1" t="s">
        <v>3693</v>
      </c>
      <c r="B7394" s="1" t="s">
        <v>7026</v>
      </c>
      <c r="C7394" s="1" t="s">
        <v>3600</v>
      </c>
      <c r="D7394" s="1" t="s">
        <v>3601</v>
      </c>
      <c r="E7394" s="1" t="s">
        <v>3664</v>
      </c>
      <c r="F7394" s="1" t="s">
        <v>25264</v>
      </c>
      <c r="G7394" s="1" t="s">
        <v>25240</v>
      </c>
      <c r="H7394" s="1" t="s">
        <v>3604</v>
      </c>
      <c r="I7394" s="1" t="s">
        <v>25265</v>
      </c>
      <c r="J7394" s="1" t="s">
        <v>3615</v>
      </c>
      <c r="K7394" s="1" t="s">
        <v>25266</v>
      </c>
      <c r="L7394" s="1"/>
      <c r="M7394" s="1"/>
    </row>
    <row x14ac:dyDescent="0.25" r="7395" customHeight="1" ht="18.75">
      <c r="A7395" s="1" t="s">
        <v>3693</v>
      </c>
      <c r="B7395" s="1" t="s">
        <v>4267</v>
      </c>
      <c r="C7395" s="1" t="s">
        <v>3600</v>
      </c>
      <c r="D7395" s="1" t="s">
        <v>3601</v>
      </c>
      <c r="E7395" s="1" t="s">
        <v>3893</v>
      </c>
      <c r="F7395" s="1" t="s">
        <v>25267</v>
      </c>
      <c r="G7395" s="1" t="s">
        <v>10498</v>
      </c>
      <c r="H7395" s="1" t="s">
        <v>3604</v>
      </c>
      <c r="I7395" s="1" t="s">
        <v>25268</v>
      </c>
      <c r="J7395" s="1" t="s">
        <v>3615</v>
      </c>
      <c r="K7395" s="1" t="s">
        <v>25269</v>
      </c>
      <c r="L7395" s="1"/>
      <c r="M7395" s="1"/>
    </row>
    <row x14ac:dyDescent="0.25" r="7396" customHeight="1" ht="18.75">
      <c r="A7396" s="1" t="s">
        <v>3693</v>
      </c>
      <c r="B7396" s="1" t="s">
        <v>4267</v>
      </c>
      <c r="C7396" s="1" t="s">
        <v>3600</v>
      </c>
      <c r="D7396" s="1" t="s">
        <v>3601</v>
      </c>
      <c r="E7396" s="1" t="s">
        <v>3893</v>
      </c>
      <c r="F7396" s="1" t="s">
        <v>25270</v>
      </c>
      <c r="G7396" s="1" t="s">
        <v>10498</v>
      </c>
      <c r="H7396" s="1" t="s">
        <v>3604</v>
      </c>
      <c r="I7396" s="1" t="s">
        <v>25271</v>
      </c>
      <c r="J7396" s="1" t="s">
        <v>3615</v>
      </c>
      <c r="K7396" s="1" t="s">
        <v>25272</v>
      </c>
      <c r="L7396" s="1"/>
      <c r="M7396" s="1"/>
    </row>
    <row x14ac:dyDescent="0.25" r="7397" customHeight="1" ht="18.75">
      <c r="A7397" s="1" t="s">
        <v>3598</v>
      </c>
      <c r="B7397" s="1" t="s">
        <v>25273</v>
      </c>
      <c r="C7397" s="1" t="s">
        <v>3600</v>
      </c>
      <c r="D7397" s="1" t="s">
        <v>7891</v>
      </c>
      <c r="E7397" s="1" t="s">
        <v>3664</v>
      </c>
      <c r="F7397" s="1" t="s">
        <v>25274</v>
      </c>
      <c r="G7397" s="1" t="s">
        <v>25275</v>
      </c>
      <c r="H7397" s="1" t="s">
        <v>3604</v>
      </c>
      <c r="I7397" s="1" t="s">
        <v>25276</v>
      </c>
      <c r="J7397" s="1" t="s">
        <v>3606</v>
      </c>
      <c r="K7397" s="1" t="s">
        <v>25277</v>
      </c>
      <c r="L7397" s="1"/>
      <c r="M7397" s="1"/>
    </row>
    <row x14ac:dyDescent="0.25" r="7398" customHeight="1" ht="18.75">
      <c r="A7398" s="1" t="s">
        <v>3693</v>
      </c>
      <c r="B7398" s="1" t="s">
        <v>4267</v>
      </c>
      <c r="C7398" s="1" t="s">
        <v>3600</v>
      </c>
      <c r="D7398" s="1" t="s">
        <v>3601</v>
      </c>
      <c r="E7398" s="1" t="s">
        <v>3893</v>
      </c>
      <c r="F7398" s="1" t="s">
        <v>25278</v>
      </c>
      <c r="G7398" s="1" t="s">
        <v>10498</v>
      </c>
      <c r="H7398" s="1" t="s">
        <v>3604</v>
      </c>
      <c r="I7398" s="1" t="s">
        <v>25279</v>
      </c>
      <c r="J7398" s="1" t="s">
        <v>3615</v>
      </c>
      <c r="K7398" s="1" t="s">
        <v>25280</v>
      </c>
      <c r="L7398" s="1"/>
      <c r="M7398" s="1"/>
    </row>
    <row x14ac:dyDescent="0.25" r="7399" customHeight="1" ht="18.75">
      <c r="A7399" s="1" t="s">
        <v>3693</v>
      </c>
      <c r="B7399" s="1" t="s">
        <v>4083</v>
      </c>
      <c r="C7399" s="1" t="s">
        <v>3600</v>
      </c>
      <c r="D7399" s="1" t="s">
        <v>3601</v>
      </c>
      <c r="E7399" s="1" t="s">
        <v>3893</v>
      </c>
      <c r="F7399" s="1" t="s">
        <v>25281</v>
      </c>
      <c r="G7399" s="1" t="s">
        <v>10011</v>
      </c>
      <c r="H7399" s="1" t="s">
        <v>3604</v>
      </c>
      <c r="I7399" s="1" t="s">
        <v>25282</v>
      </c>
      <c r="J7399" s="1" t="s">
        <v>3606</v>
      </c>
      <c r="K7399" s="1" t="s">
        <v>25283</v>
      </c>
      <c r="L7399" s="1"/>
      <c r="M7399" s="1"/>
    </row>
    <row x14ac:dyDescent="0.25" r="7400" customHeight="1" ht="18.75">
      <c r="A7400" s="1" t="s">
        <v>3693</v>
      </c>
      <c r="B7400" s="1" t="s">
        <v>5615</v>
      </c>
      <c r="C7400" s="1" t="s">
        <v>3600</v>
      </c>
      <c r="D7400" s="1" t="s">
        <v>3601</v>
      </c>
      <c r="E7400" s="1" t="s">
        <v>3611</v>
      </c>
      <c r="F7400" s="1" t="s">
        <v>25284</v>
      </c>
      <c r="G7400" s="1" t="s">
        <v>25285</v>
      </c>
      <c r="H7400" s="1" t="s">
        <v>3604</v>
      </c>
      <c r="I7400" s="1" t="s">
        <v>25286</v>
      </c>
      <c r="J7400" s="1" t="s">
        <v>3606</v>
      </c>
      <c r="K7400" s="1"/>
      <c r="L7400" s="1"/>
      <c r="M7400" s="1"/>
    </row>
    <row x14ac:dyDescent="0.25" r="7401" customHeight="1" ht="18.75">
      <c r="A7401" s="1" t="s">
        <v>3693</v>
      </c>
      <c r="B7401" s="1" t="s">
        <v>4247</v>
      </c>
      <c r="C7401" s="1" t="s">
        <v>3600</v>
      </c>
      <c r="D7401" s="1" t="s">
        <v>3601</v>
      </c>
      <c r="E7401" s="1" t="s">
        <v>3893</v>
      </c>
      <c r="F7401" s="1" t="s">
        <v>25287</v>
      </c>
      <c r="G7401" s="1" t="s">
        <v>17399</v>
      </c>
      <c r="H7401" s="1" t="s">
        <v>3604</v>
      </c>
      <c r="I7401" s="1" t="s">
        <v>25288</v>
      </c>
      <c r="J7401" s="1" t="s">
        <v>3615</v>
      </c>
      <c r="K7401" s="1" t="s">
        <v>25289</v>
      </c>
      <c r="L7401" s="1"/>
      <c r="M7401" s="1"/>
    </row>
    <row x14ac:dyDescent="0.25" r="7402" customHeight="1" ht="18.75">
      <c r="A7402" s="1" t="s">
        <v>3693</v>
      </c>
      <c r="B7402" s="1" t="s">
        <v>5615</v>
      </c>
      <c r="C7402" s="1" t="s">
        <v>3600</v>
      </c>
      <c r="D7402" s="1" t="s">
        <v>3601</v>
      </c>
      <c r="E7402" s="1" t="s">
        <v>3611</v>
      </c>
      <c r="F7402" s="1" t="s">
        <v>25290</v>
      </c>
      <c r="G7402" s="1" t="s">
        <v>25291</v>
      </c>
      <c r="H7402" s="1" t="s">
        <v>3604</v>
      </c>
      <c r="I7402" s="1" t="s">
        <v>25292</v>
      </c>
      <c r="J7402" s="1" t="s">
        <v>3606</v>
      </c>
      <c r="K7402" s="1"/>
      <c r="L7402" s="1"/>
      <c r="M7402" s="1"/>
    </row>
    <row x14ac:dyDescent="0.25" r="7403" customHeight="1" ht="18.75">
      <c r="A7403" s="1" t="s">
        <v>3693</v>
      </c>
      <c r="B7403" s="1" t="s">
        <v>5594</v>
      </c>
      <c r="C7403" s="1" t="s">
        <v>3600</v>
      </c>
      <c r="D7403" s="1" t="s">
        <v>3601</v>
      </c>
      <c r="E7403" s="1" t="s">
        <v>3893</v>
      </c>
      <c r="F7403" s="1" t="s">
        <v>25293</v>
      </c>
      <c r="G7403" s="1" t="s">
        <v>25294</v>
      </c>
      <c r="H7403" s="1" t="s">
        <v>3604</v>
      </c>
      <c r="I7403" s="1" t="s">
        <v>25295</v>
      </c>
      <c r="J7403" s="1" t="s">
        <v>3606</v>
      </c>
      <c r="K7403" s="1" t="s">
        <v>25296</v>
      </c>
      <c r="L7403" s="1"/>
      <c r="M7403" s="1"/>
    </row>
    <row x14ac:dyDescent="0.25" r="7404" customHeight="1" ht="18.75">
      <c r="A7404" s="1" t="s">
        <v>3693</v>
      </c>
      <c r="B7404" s="1" t="s">
        <v>4083</v>
      </c>
      <c r="C7404" s="1" t="s">
        <v>3600</v>
      </c>
      <c r="D7404" s="1" t="s">
        <v>3601</v>
      </c>
      <c r="E7404" s="1" t="s">
        <v>3893</v>
      </c>
      <c r="F7404" s="1" t="s">
        <v>25297</v>
      </c>
      <c r="G7404" s="1" t="s">
        <v>24663</v>
      </c>
      <c r="H7404" s="1" t="s">
        <v>3604</v>
      </c>
      <c r="I7404" s="1" t="s">
        <v>25298</v>
      </c>
      <c r="J7404" s="1" t="s">
        <v>3606</v>
      </c>
      <c r="K7404" s="1" t="s">
        <v>25283</v>
      </c>
      <c r="L7404" s="1"/>
      <c r="M7404" s="1"/>
    </row>
    <row x14ac:dyDescent="0.25" r="7405" customHeight="1" ht="18.75">
      <c r="A7405" s="1" t="s">
        <v>3693</v>
      </c>
      <c r="B7405" s="1" t="s">
        <v>4083</v>
      </c>
      <c r="C7405" s="1" t="s">
        <v>3600</v>
      </c>
      <c r="D7405" s="1" t="s">
        <v>3601</v>
      </c>
      <c r="E7405" s="1" t="s">
        <v>3893</v>
      </c>
      <c r="F7405" s="1" t="s">
        <v>25299</v>
      </c>
      <c r="G7405" s="1" t="s">
        <v>24663</v>
      </c>
      <c r="H7405" s="1" t="s">
        <v>3604</v>
      </c>
      <c r="I7405" s="1" t="s">
        <v>25300</v>
      </c>
      <c r="J7405" s="1" t="s">
        <v>3606</v>
      </c>
      <c r="K7405" s="1" t="s">
        <v>25283</v>
      </c>
      <c r="L7405" s="1"/>
      <c r="M7405" s="1"/>
    </row>
    <row x14ac:dyDescent="0.25" r="7406" customHeight="1" ht="18.75">
      <c r="A7406" s="1" t="s">
        <v>3693</v>
      </c>
      <c r="B7406" s="1" t="s">
        <v>4083</v>
      </c>
      <c r="C7406" s="1" t="s">
        <v>3600</v>
      </c>
      <c r="D7406" s="1" t="s">
        <v>3601</v>
      </c>
      <c r="E7406" s="1" t="s">
        <v>3893</v>
      </c>
      <c r="F7406" s="1" t="s">
        <v>25301</v>
      </c>
      <c r="G7406" s="1" t="s">
        <v>24663</v>
      </c>
      <c r="H7406" s="1" t="s">
        <v>3604</v>
      </c>
      <c r="I7406" s="1" t="s">
        <v>25302</v>
      </c>
      <c r="J7406" s="1" t="s">
        <v>3606</v>
      </c>
      <c r="K7406" s="1" t="s">
        <v>25283</v>
      </c>
      <c r="L7406" s="1"/>
      <c r="M7406" s="1"/>
    </row>
    <row x14ac:dyDescent="0.25" r="7407" customHeight="1" ht="18.75">
      <c r="A7407" s="1" t="s">
        <v>3693</v>
      </c>
      <c r="B7407" s="1" t="s">
        <v>4192</v>
      </c>
      <c r="C7407" s="1" t="s">
        <v>3600</v>
      </c>
      <c r="D7407" s="1" t="s">
        <v>3610</v>
      </c>
      <c r="E7407" s="1" t="s">
        <v>3893</v>
      </c>
      <c r="F7407" s="1" t="s">
        <v>25303</v>
      </c>
      <c r="G7407" s="1" t="s">
        <v>5641</v>
      </c>
      <c r="H7407" s="1" t="s">
        <v>3604</v>
      </c>
      <c r="I7407" s="1" t="s">
        <v>25304</v>
      </c>
      <c r="J7407" s="1" t="s">
        <v>3615</v>
      </c>
      <c r="K7407" s="1" t="s">
        <v>25305</v>
      </c>
      <c r="L7407" s="1"/>
      <c r="M7407" s="1"/>
    </row>
    <row x14ac:dyDescent="0.25" r="7408" customHeight="1" ht="18.75">
      <c r="A7408" s="1" t="s">
        <v>3693</v>
      </c>
      <c r="B7408" s="1" t="s">
        <v>4247</v>
      </c>
      <c r="C7408" s="1" t="s">
        <v>3600</v>
      </c>
      <c r="D7408" s="1" t="s">
        <v>3610</v>
      </c>
      <c r="E7408" s="1" t="s">
        <v>3664</v>
      </c>
      <c r="F7408" s="1" t="s">
        <v>25306</v>
      </c>
      <c r="G7408" s="1" t="s">
        <v>4384</v>
      </c>
      <c r="H7408" s="1" t="s">
        <v>3604</v>
      </c>
      <c r="I7408" s="1" t="s">
        <v>25307</v>
      </c>
      <c r="J7408" s="1" t="s">
        <v>3606</v>
      </c>
      <c r="K7408" s="1" t="s">
        <v>25308</v>
      </c>
      <c r="L7408" s="1"/>
      <c r="M7408" s="1"/>
    </row>
    <row x14ac:dyDescent="0.25" r="7409" customHeight="1" ht="18.75">
      <c r="A7409" s="1" t="s">
        <v>3693</v>
      </c>
      <c r="B7409" s="1" t="s">
        <v>4247</v>
      </c>
      <c r="C7409" s="1" t="s">
        <v>3600</v>
      </c>
      <c r="D7409" s="1" t="s">
        <v>3610</v>
      </c>
      <c r="E7409" s="1" t="s">
        <v>3664</v>
      </c>
      <c r="F7409" s="1" t="s">
        <v>25309</v>
      </c>
      <c r="G7409" s="1" t="s">
        <v>4384</v>
      </c>
      <c r="H7409" s="1" t="s">
        <v>3604</v>
      </c>
      <c r="I7409" s="1" t="s">
        <v>25310</v>
      </c>
      <c r="J7409" s="1" t="s">
        <v>3615</v>
      </c>
      <c r="K7409" s="1" t="s">
        <v>25311</v>
      </c>
      <c r="L7409" s="1"/>
      <c r="M7409" s="1"/>
    </row>
    <row x14ac:dyDescent="0.25" r="7410" customHeight="1" ht="18.75">
      <c r="A7410" s="1" t="s">
        <v>3693</v>
      </c>
      <c r="B7410" s="1" t="s">
        <v>4192</v>
      </c>
      <c r="C7410" s="1" t="s">
        <v>3600</v>
      </c>
      <c r="D7410" s="1" t="s">
        <v>3610</v>
      </c>
      <c r="E7410" s="1" t="s">
        <v>3893</v>
      </c>
      <c r="F7410" s="1" t="s">
        <v>25312</v>
      </c>
      <c r="G7410" s="1" t="s">
        <v>4342</v>
      </c>
      <c r="H7410" s="1" t="s">
        <v>3604</v>
      </c>
      <c r="I7410" s="1" t="s">
        <v>25313</v>
      </c>
      <c r="J7410" s="1" t="s">
        <v>3606</v>
      </c>
      <c r="K7410" s="1" t="s">
        <v>25314</v>
      </c>
      <c r="L7410" s="1"/>
      <c r="M7410" s="1"/>
    </row>
    <row x14ac:dyDescent="0.25" r="7411" customHeight="1" ht="18.75">
      <c r="A7411" s="1" t="s">
        <v>3693</v>
      </c>
      <c r="B7411" s="1" t="s">
        <v>4192</v>
      </c>
      <c r="C7411" s="1" t="s">
        <v>3600</v>
      </c>
      <c r="D7411" s="1" t="s">
        <v>3610</v>
      </c>
      <c r="E7411" s="1" t="s">
        <v>3893</v>
      </c>
      <c r="F7411" s="1" t="s">
        <v>25315</v>
      </c>
      <c r="G7411" s="1" t="s">
        <v>5641</v>
      </c>
      <c r="H7411" s="1" t="s">
        <v>3604</v>
      </c>
      <c r="I7411" s="1" t="s">
        <v>25316</v>
      </c>
      <c r="J7411" s="1" t="s">
        <v>3606</v>
      </c>
      <c r="K7411" s="1" t="s">
        <v>25317</v>
      </c>
      <c r="L7411" s="1"/>
      <c r="M7411" s="1"/>
    </row>
    <row x14ac:dyDescent="0.25" r="7412" customHeight="1" ht="18.75">
      <c r="A7412" s="1" t="s">
        <v>3693</v>
      </c>
      <c r="B7412" s="1" t="s">
        <v>4192</v>
      </c>
      <c r="C7412" s="1" t="s">
        <v>3600</v>
      </c>
      <c r="D7412" s="1" t="s">
        <v>7847</v>
      </c>
      <c r="E7412" s="1" t="s">
        <v>3611</v>
      </c>
      <c r="F7412" s="1" t="s">
        <v>25318</v>
      </c>
      <c r="G7412" s="1" t="s">
        <v>5284</v>
      </c>
      <c r="H7412" s="1" t="s">
        <v>3604</v>
      </c>
      <c r="I7412" s="1" t="s">
        <v>25319</v>
      </c>
      <c r="J7412" s="1" t="s">
        <v>3606</v>
      </c>
      <c r="K7412" s="1" t="s">
        <v>25320</v>
      </c>
      <c r="L7412" s="1"/>
      <c r="M7412" s="1"/>
    </row>
    <row x14ac:dyDescent="0.25" r="7413" customHeight="1" ht="18.75">
      <c r="A7413" s="1" t="s">
        <v>3693</v>
      </c>
      <c r="B7413" s="1" t="s">
        <v>5615</v>
      </c>
      <c r="C7413" s="1" t="s">
        <v>3600</v>
      </c>
      <c r="D7413" s="1" t="s">
        <v>3601</v>
      </c>
      <c r="E7413" s="1" t="s">
        <v>3893</v>
      </c>
      <c r="F7413" s="1" t="s">
        <v>25321</v>
      </c>
      <c r="G7413" s="1" t="s">
        <v>25322</v>
      </c>
      <c r="H7413" s="1" t="s">
        <v>3604</v>
      </c>
      <c r="I7413" s="1" t="s">
        <v>25323</v>
      </c>
      <c r="J7413" s="1" t="s">
        <v>3606</v>
      </c>
      <c r="K7413" s="1"/>
      <c r="L7413" s="1"/>
      <c r="M7413" s="1"/>
    </row>
    <row x14ac:dyDescent="0.25" r="7414" customHeight="1" ht="18.75">
      <c r="A7414" s="1" t="s">
        <v>3693</v>
      </c>
      <c r="B7414" s="1" t="s">
        <v>5615</v>
      </c>
      <c r="C7414" s="1" t="s">
        <v>3600</v>
      </c>
      <c r="D7414" s="1" t="s">
        <v>3601</v>
      </c>
      <c r="E7414" s="1" t="s">
        <v>3893</v>
      </c>
      <c r="F7414" s="1" t="s">
        <v>25324</v>
      </c>
      <c r="G7414" s="1" t="s">
        <v>25322</v>
      </c>
      <c r="H7414" s="1" t="s">
        <v>3604</v>
      </c>
      <c r="I7414" s="1" t="s">
        <v>25325</v>
      </c>
      <c r="J7414" s="1" t="s">
        <v>3606</v>
      </c>
      <c r="K7414" s="1"/>
      <c r="L7414" s="1"/>
      <c r="M7414" s="1"/>
    </row>
    <row x14ac:dyDescent="0.25" r="7415" customHeight="1" ht="18.75">
      <c r="A7415" s="1" t="s">
        <v>3693</v>
      </c>
      <c r="B7415" s="1" t="s">
        <v>5615</v>
      </c>
      <c r="C7415" s="1" t="s">
        <v>3600</v>
      </c>
      <c r="D7415" s="1" t="s">
        <v>3601</v>
      </c>
      <c r="E7415" s="1" t="s">
        <v>3893</v>
      </c>
      <c r="F7415" s="1" t="s">
        <v>25326</v>
      </c>
      <c r="G7415" s="1" t="s">
        <v>25322</v>
      </c>
      <c r="H7415" s="1" t="s">
        <v>3604</v>
      </c>
      <c r="I7415" s="1" t="s">
        <v>25327</v>
      </c>
      <c r="J7415" s="1" t="s">
        <v>3606</v>
      </c>
      <c r="K7415" s="1"/>
      <c r="L7415" s="1"/>
      <c r="M7415" s="1"/>
    </row>
    <row x14ac:dyDescent="0.25" r="7416" customHeight="1" ht="18.75">
      <c r="A7416" s="1" t="s">
        <v>3693</v>
      </c>
      <c r="B7416" s="1" t="s">
        <v>4091</v>
      </c>
      <c r="C7416" s="1" t="s">
        <v>3600</v>
      </c>
      <c r="D7416" s="1" t="s">
        <v>3610</v>
      </c>
      <c r="E7416" s="1" t="s">
        <v>3893</v>
      </c>
      <c r="F7416" s="1" t="s">
        <v>25328</v>
      </c>
      <c r="G7416" s="1" t="s">
        <v>4515</v>
      </c>
      <c r="H7416" s="1" t="s">
        <v>3604</v>
      </c>
      <c r="I7416" s="1" t="s">
        <v>25329</v>
      </c>
      <c r="J7416" s="1" t="s">
        <v>3615</v>
      </c>
      <c r="K7416" s="1" t="s">
        <v>25330</v>
      </c>
      <c r="L7416" s="1"/>
      <c r="M7416" s="1"/>
    </row>
    <row x14ac:dyDescent="0.25" r="7417" customHeight="1" ht="18.75">
      <c r="A7417" s="1" t="s">
        <v>3693</v>
      </c>
      <c r="B7417" s="1" t="s">
        <v>4091</v>
      </c>
      <c r="C7417" s="1" t="s">
        <v>3600</v>
      </c>
      <c r="D7417" s="1" t="s">
        <v>3610</v>
      </c>
      <c r="E7417" s="1" t="s">
        <v>3893</v>
      </c>
      <c r="F7417" s="1" t="s">
        <v>25331</v>
      </c>
      <c r="G7417" s="1" t="s">
        <v>4515</v>
      </c>
      <c r="H7417" s="1" t="s">
        <v>3604</v>
      </c>
      <c r="I7417" s="1" t="s">
        <v>25332</v>
      </c>
      <c r="J7417" s="1" t="s">
        <v>3615</v>
      </c>
      <c r="K7417" s="1" t="s">
        <v>25333</v>
      </c>
      <c r="L7417" s="1"/>
      <c r="M7417" s="1"/>
    </row>
    <row x14ac:dyDescent="0.25" r="7418" customHeight="1" ht="18.75">
      <c r="A7418" s="1" t="s">
        <v>3693</v>
      </c>
      <c r="B7418" s="1" t="s">
        <v>4091</v>
      </c>
      <c r="C7418" s="1" t="s">
        <v>3600</v>
      </c>
      <c r="D7418" s="1" t="s">
        <v>3610</v>
      </c>
      <c r="E7418" s="1" t="s">
        <v>3893</v>
      </c>
      <c r="F7418" s="1" t="s">
        <v>25334</v>
      </c>
      <c r="G7418" s="1" t="s">
        <v>4515</v>
      </c>
      <c r="H7418" s="1" t="s">
        <v>3604</v>
      </c>
      <c r="I7418" s="1" t="s">
        <v>25335</v>
      </c>
      <c r="J7418" s="1" t="s">
        <v>3606</v>
      </c>
      <c r="K7418" s="1" t="s">
        <v>25336</v>
      </c>
      <c r="L7418" s="1"/>
      <c r="M7418" s="1"/>
    </row>
    <row x14ac:dyDescent="0.25" r="7419" customHeight="1" ht="18.75">
      <c r="A7419" s="1" t="s">
        <v>3693</v>
      </c>
      <c r="B7419" s="1" t="s">
        <v>5615</v>
      </c>
      <c r="C7419" s="1" t="s">
        <v>3600</v>
      </c>
      <c r="D7419" s="1" t="s">
        <v>3601</v>
      </c>
      <c r="E7419" s="1" t="s">
        <v>3893</v>
      </c>
      <c r="F7419" s="1" t="s">
        <v>25337</v>
      </c>
      <c r="G7419" s="1" t="s">
        <v>25322</v>
      </c>
      <c r="H7419" s="1" t="s">
        <v>3604</v>
      </c>
      <c r="I7419" s="1" t="s">
        <v>25338</v>
      </c>
      <c r="J7419" s="1" t="s">
        <v>3606</v>
      </c>
      <c r="K7419" s="1"/>
      <c r="L7419" s="1"/>
      <c r="M7419" s="1"/>
    </row>
    <row x14ac:dyDescent="0.25" r="7420" customHeight="1" ht="18.75">
      <c r="A7420" s="1" t="s">
        <v>3693</v>
      </c>
      <c r="B7420" s="1" t="s">
        <v>4091</v>
      </c>
      <c r="C7420" s="1" t="s">
        <v>3600</v>
      </c>
      <c r="D7420" s="1" t="s">
        <v>3610</v>
      </c>
      <c r="E7420" s="1" t="s">
        <v>3893</v>
      </c>
      <c r="F7420" s="1" t="s">
        <v>25339</v>
      </c>
      <c r="G7420" s="1" t="s">
        <v>4515</v>
      </c>
      <c r="H7420" s="1" t="s">
        <v>3604</v>
      </c>
      <c r="I7420" s="1" t="s">
        <v>25340</v>
      </c>
      <c r="J7420" s="1" t="s">
        <v>3606</v>
      </c>
      <c r="K7420" s="1" t="s">
        <v>25341</v>
      </c>
      <c r="L7420" s="1"/>
      <c r="M7420" s="1"/>
    </row>
    <row x14ac:dyDescent="0.25" r="7421" customHeight="1" ht="18.75">
      <c r="A7421" s="1" t="s">
        <v>3693</v>
      </c>
      <c r="B7421" s="1" t="s">
        <v>5615</v>
      </c>
      <c r="C7421" s="1" t="s">
        <v>3600</v>
      </c>
      <c r="D7421" s="1" t="s">
        <v>3601</v>
      </c>
      <c r="E7421" s="1" t="s">
        <v>3893</v>
      </c>
      <c r="F7421" s="1" t="s">
        <v>25342</v>
      </c>
      <c r="G7421" s="1" t="s">
        <v>25322</v>
      </c>
      <c r="H7421" s="1" t="s">
        <v>3604</v>
      </c>
      <c r="I7421" s="1" t="s">
        <v>25343</v>
      </c>
      <c r="J7421" s="1" t="s">
        <v>3606</v>
      </c>
      <c r="K7421" s="1"/>
      <c r="L7421" s="1"/>
      <c r="M7421" s="1"/>
    </row>
    <row x14ac:dyDescent="0.25" r="7422" customHeight="1" ht="18.75">
      <c r="A7422" s="1" t="s">
        <v>3693</v>
      </c>
      <c r="B7422" s="1" t="s">
        <v>4247</v>
      </c>
      <c r="C7422" s="1" t="s">
        <v>3600</v>
      </c>
      <c r="D7422" s="1" t="s">
        <v>3601</v>
      </c>
      <c r="E7422" s="1" t="s">
        <v>3664</v>
      </c>
      <c r="F7422" s="1" t="s">
        <v>25344</v>
      </c>
      <c r="G7422" s="1" t="s">
        <v>17399</v>
      </c>
      <c r="H7422" s="1" t="s">
        <v>3604</v>
      </c>
      <c r="I7422" s="1" t="s">
        <v>25345</v>
      </c>
      <c r="J7422" s="1" t="s">
        <v>3615</v>
      </c>
      <c r="K7422" s="1" t="s">
        <v>25346</v>
      </c>
      <c r="L7422" s="1"/>
      <c r="M7422" s="1"/>
    </row>
    <row x14ac:dyDescent="0.25" r="7423" customHeight="1" ht="18.75">
      <c r="A7423" s="1" t="s">
        <v>3693</v>
      </c>
      <c r="B7423" s="1" t="s">
        <v>5615</v>
      </c>
      <c r="C7423" s="1" t="s">
        <v>3600</v>
      </c>
      <c r="D7423" s="1" t="s">
        <v>3601</v>
      </c>
      <c r="E7423" s="1" t="s">
        <v>3893</v>
      </c>
      <c r="F7423" s="1" t="s">
        <v>25347</v>
      </c>
      <c r="G7423" s="1" t="s">
        <v>25322</v>
      </c>
      <c r="H7423" s="1" t="s">
        <v>3604</v>
      </c>
      <c r="I7423" s="1" t="s">
        <v>25348</v>
      </c>
      <c r="J7423" s="1" t="s">
        <v>3615</v>
      </c>
      <c r="K7423" s="1"/>
      <c r="L7423" s="1"/>
      <c r="M7423" s="1"/>
    </row>
    <row x14ac:dyDescent="0.25" r="7424" customHeight="1" ht="18.75">
      <c r="A7424" s="1" t="s">
        <v>3693</v>
      </c>
      <c r="B7424" s="1" t="s">
        <v>5615</v>
      </c>
      <c r="C7424" s="1" t="s">
        <v>3600</v>
      </c>
      <c r="D7424" s="1" t="s">
        <v>3601</v>
      </c>
      <c r="E7424" s="1" t="s">
        <v>3893</v>
      </c>
      <c r="F7424" s="1" t="s">
        <v>25349</v>
      </c>
      <c r="G7424" s="1" t="s">
        <v>25322</v>
      </c>
      <c r="H7424" s="1" t="s">
        <v>3604</v>
      </c>
      <c r="I7424" s="1" t="s">
        <v>25350</v>
      </c>
      <c r="J7424" s="1" t="s">
        <v>3606</v>
      </c>
      <c r="K7424" s="1"/>
      <c r="L7424" s="1"/>
      <c r="M7424" s="1"/>
    </row>
    <row x14ac:dyDescent="0.25" r="7425" customHeight="1" ht="18.75">
      <c r="A7425" s="1" t="s">
        <v>3693</v>
      </c>
      <c r="B7425" s="1" t="s">
        <v>4247</v>
      </c>
      <c r="C7425" s="1" t="s">
        <v>3600</v>
      </c>
      <c r="D7425" s="1" t="s">
        <v>3601</v>
      </c>
      <c r="E7425" s="1" t="s">
        <v>3664</v>
      </c>
      <c r="F7425" s="1" t="s">
        <v>25351</v>
      </c>
      <c r="G7425" s="1" t="s">
        <v>25352</v>
      </c>
      <c r="H7425" s="1" t="s">
        <v>3604</v>
      </c>
      <c r="I7425" s="1" t="s">
        <v>25353</v>
      </c>
      <c r="J7425" s="1" t="s">
        <v>3615</v>
      </c>
      <c r="K7425" s="1" t="s">
        <v>25354</v>
      </c>
      <c r="L7425" s="1"/>
      <c r="M7425" s="1"/>
    </row>
    <row x14ac:dyDescent="0.25" r="7426" customHeight="1" ht="18.75">
      <c r="A7426" s="1" t="s">
        <v>3693</v>
      </c>
      <c r="B7426" s="1" t="s">
        <v>4247</v>
      </c>
      <c r="C7426" s="1" t="s">
        <v>3600</v>
      </c>
      <c r="D7426" s="1" t="s">
        <v>3601</v>
      </c>
      <c r="E7426" s="1" t="s">
        <v>3664</v>
      </c>
      <c r="F7426" s="1" t="s">
        <v>25355</v>
      </c>
      <c r="G7426" s="1" t="s">
        <v>25356</v>
      </c>
      <c r="H7426" s="1" t="s">
        <v>3604</v>
      </c>
      <c r="I7426" s="1" t="s">
        <v>25357</v>
      </c>
      <c r="J7426" s="1" t="s">
        <v>3615</v>
      </c>
      <c r="K7426" s="1" t="s">
        <v>25354</v>
      </c>
      <c r="L7426" s="1"/>
      <c r="M7426" s="1"/>
    </row>
    <row x14ac:dyDescent="0.25" r="7427" customHeight="1" ht="18.75">
      <c r="A7427" s="1" t="s">
        <v>3693</v>
      </c>
      <c r="B7427" s="1" t="s">
        <v>5615</v>
      </c>
      <c r="C7427" s="1" t="s">
        <v>3600</v>
      </c>
      <c r="D7427" s="1" t="s">
        <v>3601</v>
      </c>
      <c r="E7427" s="1" t="s">
        <v>3893</v>
      </c>
      <c r="F7427" s="1" t="s">
        <v>25358</v>
      </c>
      <c r="G7427" s="1" t="s">
        <v>25322</v>
      </c>
      <c r="H7427" s="1" t="s">
        <v>3604</v>
      </c>
      <c r="I7427" s="1" t="s">
        <v>25359</v>
      </c>
      <c r="J7427" s="1" t="s">
        <v>3606</v>
      </c>
      <c r="K7427" s="1"/>
      <c r="L7427" s="1"/>
      <c r="M7427" s="1"/>
    </row>
    <row x14ac:dyDescent="0.25" r="7428" customHeight="1" ht="18.75">
      <c r="A7428" s="1" t="s">
        <v>3693</v>
      </c>
      <c r="B7428" s="1" t="s">
        <v>5615</v>
      </c>
      <c r="C7428" s="1" t="s">
        <v>3600</v>
      </c>
      <c r="D7428" s="1" t="s">
        <v>3601</v>
      </c>
      <c r="E7428" s="1" t="s">
        <v>3893</v>
      </c>
      <c r="F7428" s="1" t="s">
        <v>25360</v>
      </c>
      <c r="G7428" s="1" t="s">
        <v>25322</v>
      </c>
      <c r="H7428" s="1" t="s">
        <v>3604</v>
      </c>
      <c r="I7428" s="1" t="s">
        <v>25361</v>
      </c>
      <c r="J7428" s="1" t="s">
        <v>3606</v>
      </c>
      <c r="K7428" s="1"/>
      <c r="L7428" s="1"/>
      <c r="M7428" s="1"/>
    </row>
    <row x14ac:dyDescent="0.25" r="7429" customHeight="1" ht="18.75">
      <c r="A7429" s="1" t="s">
        <v>3693</v>
      </c>
      <c r="B7429" s="1" t="s">
        <v>5615</v>
      </c>
      <c r="C7429" s="1" t="s">
        <v>3600</v>
      </c>
      <c r="D7429" s="1" t="s">
        <v>3601</v>
      </c>
      <c r="E7429" s="1" t="s">
        <v>3893</v>
      </c>
      <c r="F7429" s="1" t="s">
        <v>25362</v>
      </c>
      <c r="G7429" s="1" t="s">
        <v>25322</v>
      </c>
      <c r="H7429" s="1" t="s">
        <v>3604</v>
      </c>
      <c r="I7429" s="1" t="s">
        <v>25363</v>
      </c>
      <c r="J7429" s="1" t="s">
        <v>3606</v>
      </c>
      <c r="K7429" s="1"/>
      <c r="L7429" s="1"/>
      <c r="M7429" s="1"/>
    </row>
    <row x14ac:dyDescent="0.25" r="7430" customHeight="1" ht="18.75">
      <c r="A7430" s="1" t="s">
        <v>3693</v>
      </c>
      <c r="B7430" s="1" t="s">
        <v>5615</v>
      </c>
      <c r="C7430" s="1" t="s">
        <v>3600</v>
      </c>
      <c r="D7430" s="1" t="s">
        <v>3601</v>
      </c>
      <c r="E7430" s="1" t="s">
        <v>3893</v>
      </c>
      <c r="F7430" s="1" t="s">
        <v>25364</v>
      </c>
      <c r="G7430" s="1" t="s">
        <v>25322</v>
      </c>
      <c r="H7430" s="1" t="s">
        <v>3604</v>
      </c>
      <c r="I7430" s="1" t="s">
        <v>25365</v>
      </c>
      <c r="J7430" s="1" t="s">
        <v>3606</v>
      </c>
      <c r="K7430" s="1"/>
      <c r="L7430" s="1"/>
      <c r="M7430" s="1"/>
    </row>
    <row x14ac:dyDescent="0.25" r="7431" customHeight="1" ht="18.75">
      <c r="A7431" s="1" t="s">
        <v>3693</v>
      </c>
      <c r="B7431" s="1" t="s">
        <v>5615</v>
      </c>
      <c r="C7431" s="1" t="s">
        <v>3600</v>
      </c>
      <c r="D7431" s="1" t="s">
        <v>3601</v>
      </c>
      <c r="E7431" s="1" t="s">
        <v>3611</v>
      </c>
      <c r="F7431" s="1" t="s">
        <v>25366</v>
      </c>
      <c r="G7431" s="1" t="s">
        <v>25367</v>
      </c>
      <c r="H7431" s="1" t="s">
        <v>3604</v>
      </c>
      <c r="I7431" s="1" t="s">
        <v>25368</v>
      </c>
      <c r="J7431" s="1" t="s">
        <v>3606</v>
      </c>
      <c r="K7431" s="1"/>
      <c r="L7431" s="1"/>
      <c r="M7431" s="1"/>
    </row>
    <row x14ac:dyDescent="0.25" r="7432" customHeight="1" ht="18.75">
      <c r="A7432" s="1" t="s">
        <v>3693</v>
      </c>
      <c r="B7432" s="1" t="s">
        <v>4192</v>
      </c>
      <c r="C7432" s="1" t="s">
        <v>3600</v>
      </c>
      <c r="D7432" s="1" t="s">
        <v>7847</v>
      </c>
      <c r="E7432" s="1" t="s">
        <v>3611</v>
      </c>
      <c r="F7432" s="1" t="s">
        <v>25369</v>
      </c>
      <c r="G7432" s="1" t="s">
        <v>4194</v>
      </c>
      <c r="H7432" s="1" t="s">
        <v>3604</v>
      </c>
      <c r="I7432" s="1" t="s">
        <v>25370</v>
      </c>
      <c r="J7432" s="1" t="s">
        <v>3615</v>
      </c>
      <c r="K7432" s="1" t="s">
        <v>25371</v>
      </c>
      <c r="L7432" s="1"/>
      <c r="M7432" s="1"/>
    </row>
    <row x14ac:dyDescent="0.25" r="7433" customHeight="1" ht="18.75">
      <c r="A7433" s="1" t="s">
        <v>3693</v>
      </c>
      <c r="B7433" s="1" t="s">
        <v>4192</v>
      </c>
      <c r="C7433" s="1" t="s">
        <v>3600</v>
      </c>
      <c r="D7433" s="1" t="s">
        <v>7847</v>
      </c>
      <c r="E7433" s="1" t="s">
        <v>3611</v>
      </c>
      <c r="F7433" s="1" t="s">
        <v>25372</v>
      </c>
      <c r="G7433" s="1" t="s">
        <v>4194</v>
      </c>
      <c r="H7433" s="1" t="s">
        <v>3604</v>
      </c>
      <c r="I7433" s="1" t="s">
        <v>25373</v>
      </c>
      <c r="J7433" s="1" t="s">
        <v>3615</v>
      </c>
      <c r="K7433" s="1" t="s">
        <v>25374</v>
      </c>
      <c r="L7433" s="1"/>
      <c r="M7433" s="1"/>
    </row>
    <row x14ac:dyDescent="0.25" r="7434" customHeight="1" ht="18.75">
      <c r="A7434" s="1" t="s">
        <v>3693</v>
      </c>
      <c r="B7434" s="1" t="s">
        <v>4192</v>
      </c>
      <c r="C7434" s="1" t="s">
        <v>3600</v>
      </c>
      <c r="D7434" s="1" t="s">
        <v>7847</v>
      </c>
      <c r="E7434" s="1" t="s">
        <v>3611</v>
      </c>
      <c r="F7434" s="1" t="s">
        <v>25375</v>
      </c>
      <c r="G7434" s="1" t="s">
        <v>4194</v>
      </c>
      <c r="H7434" s="1" t="s">
        <v>3604</v>
      </c>
      <c r="I7434" s="1" t="s">
        <v>25376</v>
      </c>
      <c r="J7434" s="1" t="s">
        <v>3615</v>
      </c>
      <c r="K7434" s="1" t="s">
        <v>25377</v>
      </c>
      <c r="L7434" s="1"/>
      <c r="M7434" s="1"/>
    </row>
    <row x14ac:dyDescent="0.25" r="7435" customHeight="1" ht="18.75">
      <c r="A7435" s="1" t="s">
        <v>3693</v>
      </c>
      <c r="B7435" s="1" t="s">
        <v>4192</v>
      </c>
      <c r="C7435" s="1" t="s">
        <v>3600</v>
      </c>
      <c r="D7435" s="1" t="s">
        <v>7847</v>
      </c>
      <c r="E7435" s="1" t="s">
        <v>3611</v>
      </c>
      <c r="F7435" s="1" t="s">
        <v>25378</v>
      </c>
      <c r="G7435" s="1" t="s">
        <v>4194</v>
      </c>
      <c r="H7435" s="1" t="s">
        <v>3604</v>
      </c>
      <c r="I7435" s="1" t="s">
        <v>25379</v>
      </c>
      <c r="J7435" s="1" t="s">
        <v>3615</v>
      </c>
      <c r="K7435" s="1" t="s">
        <v>25380</v>
      </c>
      <c r="L7435" s="1"/>
      <c r="M7435" s="1"/>
    </row>
    <row x14ac:dyDescent="0.25" r="7436" customHeight="1" ht="18.75">
      <c r="A7436" s="1" t="s">
        <v>3693</v>
      </c>
      <c r="B7436" s="1" t="s">
        <v>5615</v>
      </c>
      <c r="C7436" s="1" t="s">
        <v>3600</v>
      </c>
      <c r="D7436" s="1" t="s">
        <v>3601</v>
      </c>
      <c r="E7436" s="1" t="s">
        <v>3611</v>
      </c>
      <c r="F7436" s="1" t="s">
        <v>25381</v>
      </c>
      <c r="G7436" s="1" t="s">
        <v>25367</v>
      </c>
      <c r="H7436" s="1" t="s">
        <v>3604</v>
      </c>
      <c r="I7436" s="1" t="s">
        <v>25382</v>
      </c>
      <c r="J7436" s="1" t="s">
        <v>3606</v>
      </c>
      <c r="K7436" s="1"/>
      <c r="L7436" s="1"/>
      <c r="M7436" s="1"/>
    </row>
    <row x14ac:dyDescent="0.25" r="7437" customHeight="1" ht="18.75">
      <c r="A7437" s="1" t="s">
        <v>3693</v>
      </c>
      <c r="B7437" s="1" t="s">
        <v>4735</v>
      </c>
      <c r="C7437" s="1" t="s">
        <v>3600</v>
      </c>
      <c r="D7437" s="1" t="s">
        <v>3601</v>
      </c>
      <c r="E7437" s="1" t="s">
        <v>3664</v>
      </c>
      <c r="F7437" s="1" t="s">
        <v>25383</v>
      </c>
      <c r="G7437" s="1" t="s">
        <v>4735</v>
      </c>
      <c r="H7437" s="1" t="s">
        <v>3604</v>
      </c>
      <c r="I7437" s="1" t="s">
        <v>25384</v>
      </c>
      <c r="J7437" s="1" t="s">
        <v>3615</v>
      </c>
      <c r="K7437" s="1" t="s">
        <v>25385</v>
      </c>
      <c r="L7437" s="1"/>
      <c r="M7437" s="1"/>
    </row>
    <row x14ac:dyDescent="0.25" r="7438" customHeight="1" ht="18.75">
      <c r="A7438" s="1" t="s">
        <v>3693</v>
      </c>
      <c r="B7438" s="1" t="s">
        <v>4247</v>
      </c>
      <c r="C7438" s="1" t="s">
        <v>3600</v>
      </c>
      <c r="D7438" s="1" t="s">
        <v>3601</v>
      </c>
      <c r="E7438" s="1" t="s">
        <v>3664</v>
      </c>
      <c r="F7438" s="1" t="s">
        <v>25386</v>
      </c>
      <c r="G7438" s="1" t="s">
        <v>25387</v>
      </c>
      <c r="H7438" s="1" t="s">
        <v>3604</v>
      </c>
      <c r="I7438" s="1" t="s">
        <v>25388</v>
      </c>
      <c r="J7438" s="1" t="s">
        <v>3615</v>
      </c>
      <c r="K7438" s="1" t="s">
        <v>25389</v>
      </c>
      <c r="L7438" s="1"/>
      <c r="M7438" s="1"/>
    </row>
    <row x14ac:dyDescent="0.25" r="7439" customHeight="1" ht="18.75">
      <c r="A7439" s="1" t="s">
        <v>7833</v>
      </c>
      <c r="B7439" s="1" t="s">
        <v>9216</v>
      </c>
      <c r="C7439" s="1" t="s">
        <v>4488</v>
      </c>
      <c r="D7439" s="1" t="s">
        <v>3695</v>
      </c>
      <c r="E7439" s="1" t="s">
        <v>3981</v>
      </c>
      <c r="F7439" s="1" t="s">
        <v>25390</v>
      </c>
      <c r="G7439" s="1" t="s">
        <v>9218</v>
      </c>
      <c r="H7439" s="1" t="s">
        <v>3604</v>
      </c>
      <c r="I7439" s="1" t="s">
        <v>25391</v>
      </c>
      <c r="J7439" s="1" t="s">
        <v>3606</v>
      </c>
      <c r="K7439" s="1" t="s">
        <v>25392</v>
      </c>
      <c r="L7439" s="1"/>
      <c r="M7439" s="1"/>
    </row>
    <row x14ac:dyDescent="0.25" r="7440" customHeight="1" ht="18.75">
      <c r="A7440" s="1" t="s">
        <v>7833</v>
      </c>
      <c r="B7440" s="1" t="s">
        <v>9216</v>
      </c>
      <c r="C7440" s="1" t="s">
        <v>4488</v>
      </c>
      <c r="D7440" s="1" t="s">
        <v>3695</v>
      </c>
      <c r="E7440" s="1" t="s">
        <v>3981</v>
      </c>
      <c r="F7440" s="1" t="s">
        <v>25393</v>
      </c>
      <c r="G7440" s="1" t="s">
        <v>9218</v>
      </c>
      <c r="H7440" s="1" t="s">
        <v>3604</v>
      </c>
      <c r="I7440" s="1" t="s">
        <v>25394</v>
      </c>
      <c r="J7440" s="1" t="s">
        <v>3606</v>
      </c>
      <c r="K7440" s="1"/>
      <c r="L7440" s="1"/>
      <c r="M7440" s="1"/>
    </row>
    <row x14ac:dyDescent="0.25" r="7441" customHeight="1" ht="18.75">
      <c r="A7441" s="1" t="s">
        <v>3598</v>
      </c>
      <c r="B7441" s="1" t="s">
        <v>9246</v>
      </c>
      <c r="C7441" s="1" t="s">
        <v>3600</v>
      </c>
      <c r="D7441" s="1" t="s">
        <v>3601</v>
      </c>
      <c r="E7441" s="1" t="s">
        <v>3664</v>
      </c>
      <c r="F7441" s="1" t="s">
        <v>25395</v>
      </c>
      <c r="G7441" s="1" t="s">
        <v>9248</v>
      </c>
      <c r="H7441" s="1" t="s">
        <v>3604</v>
      </c>
      <c r="I7441" s="1" t="s">
        <v>25396</v>
      </c>
      <c r="J7441" s="1" t="s">
        <v>3606</v>
      </c>
      <c r="K7441" s="1" t="s">
        <v>25397</v>
      </c>
      <c r="L7441" s="1"/>
      <c r="M7441" s="1"/>
    </row>
    <row x14ac:dyDescent="0.25" r="7442" customHeight="1" ht="18.75">
      <c r="A7442" s="1" t="s">
        <v>3598</v>
      </c>
      <c r="B7442" s="1" t="s">
        <v>4627</v>
      </c>
      <c r="C7442" s="1" t="s">
        <v>3600</v>
      </c>
      <c r="D7442" s="1" t="s">
        <v>3601</v>
      </c>
      <c r="E7442" s="1" t="s">
        <v>3611</v>
      </c>
      <c r="F7442" s="1" t="s">
        <v>25398</v>
      </c>
      <c r="G7442" s="1" t="s">
        <v>25399</v>
      </c>
      <c r="H7442" s="1" t="s">
        <v>3604</v>
      </c>
      <c r="I7442" s="1" t="s">
        <v>25400</v>
      </c>
      <c r="J7442" s="1" t="s">
        <v>3606</v>
      </c>
      <c r="K7442" s="1" t="s">
        <v>25401</v>
      </c>
      <c r="L7442" s="1"/>
      <c r="M7442" s="1"/>
    </row>
    <row x14ac:dyDescent="0.25" r="7443" customHeight="1" ht="18.75">
      <c r="A7443" s="1" t="s">
        <v>3598</v>
      </c>
      <c r="B7443" s="1" t="s">
        <v>4600</v>
      </c>
      <c r="C7443" s="1" t="s">
        <v>3600</v>
      </c>
      <c r="D7443" s="1" t="s">
        <v>3601</v>
      </c>
      <c r="E7443" s="1" t="s">
        <v>3664</v>
      </c>
      <c r="F7443" s="1" t="s">
        <v>25402</v>
      </c>
      <c r="G7443" s="1" t="s">
        <v>13884</v>
      </c>
      <c r="H7443" s="1" t="s">
        <v>3604</v>
      </c>
      <c r="I7443" s="1" t="s">
        <v>25403</v>
      </c>
      <c r="J7443" s="1" t="s">
        <v>3615</v>
      </c>
      <c r="K7443" s="1"/>
      <c r="L7443" s="1"/>
      <c r="M7443" s="1"/>
    </row>
    <row x14ac:dyDescent="0.25" r="7444" customHeight="1" ht="18.75">
      <c r="A7444" s="1" t="s">
        <v>3598</v>
      </c>
      <c r="B7444" s="1" t="s">
        <v>4095</v>
      </c>
      <c r="C7444" s="1" t="s">
        <v>3600</v>
      </c>
      <c r="D7444" s="1" t="s">
        <v>3601</v>
      </c>
      <c r="E7444" s="1" t="s">
        <v>3664</v>
      </c>
      <c r="F7444" s="1" t="s">
        <v>25404</v>
      </c>
      <c r="G7444" s="1" t="s">
        <v>9031</v>
      </c>
      <c r="H7444" s="1" t="s">
        <v>3604</v>
      </c>
      <c r="I7444" s="1" t="s">
        <v>25405</v>
      </c>
      <c r="J7444" s="1" t="s">
        <v>3615</v>
      </c>
      <c r="K7444" s="1"/>
      <c r="L7444" s="1"/>
      <c r="M7444" s="1"/>
    </row>
    <row x14ac:dyDescent="0.25" r="7445" customHeight="1" ht="18.75">
      <c r="A7445" s="1" t="s">
        <v>3693</v>
      </c>
      <c r="B7445" s="1" t="s">
        <v>4332</v>
      </c>
      <c r="C7445" s="1" t="s">
        <v>3600</v>
      </c>
      <c r="D7445" s="1" t="s">
        <v>533</v>
      </c>
      <c r="E7445" s="1" t="s">
        <v>3893</v>
      </c>
      <c r="F7445" s="1" t="s">
        <v>25406</v>
      </c>
      <c r="G7445" s="1" t="s">
        <v>18612</v>
      </c>
      <c r="H7445" s="1" t="s">
        <v>3604</v>
      </c>
      <c r="I7445" s="1" t="s">
        <v>25407</v>
      </c>
      <c r="J7445" s="1" t="s">
        <v>3606</v>
      </c>
      <c r="K7445" s="1" t="s">
        <v>25408</v>
      </c>
      <c r="L7445" s="1" t="s">
        <v>3608</v>
      </c>
      <c r="M7445" s="1"/>
    </row>
    <row x14ac:dyDescent="0.25" r="7446" customHeight="1" ht="18.75">
      <c r="A7446" s="1" t="s">
        <v>3693</v>
      </c>
      <c r="B7446" s="1" t="s">
        <v>4332</v>
      </c>
      <c r="C7446" s="1" t="s">
        <v>3600</v>
      </c>
      <c r="D7446" s="1" t="s">
        <v>533</v>
      </c>
      <c r="E7446" s="1" t="s">
        <v>3893</v>
      </c>
      <c r="F7446" s="1" t="s">
        <v>25409</v>
      </c>
      <c r="G7446" s="1" t="s">
        <v>25410</v>
      </c>
      <c r="H7446" s="1" t="s">
        <v>3604</v>
      </c>
      <c r="I7446" s="1" t="s">
        <v>25411</v>
      </c>
      <c r="J7446" s="1" t="s">
        <v>3606</v>
      </c>
      <c r="K7446" s="1" t="s">
        <v>25412</v>
      </c>
      <c r="L7446" s="1" t="s">
        <v>18589</v>
      </c>
      <c r="M7446" s="1"/>
    </row>
    <row x14ac:dyDescent="0.25" r="7447" customHeight="1" ht="18.75">
      <c r="A7447" s="1" t="s">
        <v>3693</v>
      </c>
      <c r="B7447" s="1" t="s">
        <v>4332</v>
      </c>
      <c r="C7447" s="1" t="s">
        <v>3600</v>
      </c>
      <c r="D7447" s="1" t="s">
        <v>533</v>
      </c>
      <c r="E7447" s="1" t="s">
        <v>3893</v>
      </c>
      <c r="F7447" s="1" t="s">
        <v>25413</v>
      </c>
      <c r="G7447" s="1" t="s">
        <v>5644</v>
      </c>
      <c r="H7447" s="1" t="s">
        <v>3604</v>
      </c>
      <c r="I7447" s="1" t="s">
        <v>25414</v>
      </c>
      <c r="J7447" s="1" t="s">
        <v>3606</v>
      </c>
      <c r="K7447" s="1" t="s">
        <v>25415</v>
      </c>
      <c r="L7447" s="1" t="s">
        <v>18589</v>
      </c>
      <c r="M7447" s="1"/>
    </row>
    <row x14ac:dyDescent="0.25" r="7448" customHeight="1" ht="18.75">
      <c r="A7448" s="1" t="s">
        <v>3617</v>
      </c>
      <c r="B7448" s="1" t="s">
        <v>25416</v>
      </c>
      <c r="C7448" s="1" t="s">
        <v>3619</v>
      </c>
      <c r="D7448" s="1" t="s">
        <v>3601</v>
      </c>
      <c r="E7448" s="1" t="s">
        <v>3664</v>
      </c>
      <c r="F7448" s="1" t="s">
        <v>25417</v>
      </c>
      <c r="G7448" s="1" t="s">
        <v>25418</v>
      </c>
      <c r="H7448" s="1" t="s">
        <v>3604</v>
      </c>
      <c r="I7448" s="1" t="s">
        <v>25419</v>
      </c>
      <c r="J7448" s="1" t="s">
        <v>3606</v>
      </c>
      <c r="K7448" s="1"/>
      <c r="L7448" s="1"/>
      <c r="M7448" s="1"/>
    </row>
    <row x14ac:dyDescent="0.25" r="7449" customHeight="1" ht="18.75">
      <c r="A7449" s="1" t="s">
        <v>3598</v>
      </c>
      <c r="B7449" s="1" t="s">
        <v>5256</v>
      </c>
      <c r="C7449" s="1" t="s">
        <v>3600</v>
      </c>
      <c r="D7449" s="1" t="s">
        <v>3601</v>
      </c>
      <c r="E7449" s="1" t="s">
        <v>3664</v>
      </c>
      <c r="F7449" s="1" t="s">
        <v>25420</v>
      </c>
      <c r="G7449" s="1" t="s">
        <v>18037</v>
      </c>
      <c r="H7449" s="1" t="s">
        <v>3604</v>
      </c>
      <c r="I7449" s="1" t="s">
        <v>25421</v>
      </c>
      <c r="J7449" s="1" t="s">
        <v>3606</v>
      </c>
      <c r="K7449" s="1"/>
      <c r="L7449" s="1"/>
      <c r="M7449" s="1"/>
    </row>
    <row x14ac:dyDescent="0.25" r="7450" customHeight="1" ht="18.75">
      <c r="A7450" s="1" t="s">
        <v>3598</v>
      </c>
      <c r="B7450" s="1" t="s">
        <v>18410</v>
      </c>
      <c r="C7450" s="1" t="s">
        <v>3600</v>
      </c>
      <c r="D7450" s="1" t="s">
        <v>3601</v>
      </c>
      <c r="E7450" s="1" t="s">
        <v>3664</v>
      </c>
      <c r="F7450" s="1" t="s">
        <v>25422</v>
      </c>
      <c r="G7450" s="1" t="s">
        <v>19608</v>
      </c>
      <c r="H7450" s="1" t="s">
        <v>3604</v>
      </c>
      <c r="I7450" s="1" t="s">
        <v>25423</v>
      </c>
      <c r="J7450" s="1" t="s">
        <v>3606</v>
      </c>
      <c r="K7450" s="1"/>
      <c r="L7450" s="1"/>
      <c r="M7450" s="1"/>
    </row>
    <row x14ac:dyDescent="0.25" r="7451" customHeight="1" ht="18.75">
      <c r="A7451" s="1" t="s">
        <v>7833</v>
      </c>
      <c r="B7451" s="1" t="s">
        <v>7877</v>
      </c>
      <c r="C7451" s="1" t="s">
        <v>4488</v>
      </c>
      <c r="D7451" s="1" t="s">
        <v>3695</v>
      </c>
      <c r="E7451" s="1" t="s">
        <v>3752</v>
      </c>
      <c r="F7451" s="1" t="s">
        <v>1836</v>
      </c>
      <c r="G7451" s="1" t="s">
        <v>25424</v>
      </c>
      <c r="H7451" s="1" t="s">
        <v>3604</v>
      </c>
      <c r="I7451" s="1" t="s">
        <v>25425</v>
      </c>
      <c r="J7451" s="1" t="s">
        <v>3606</v>
      </c>
      <c r="K7451" s="1" t="s">
        <v>25426</v>
      </c>
      <c r="L7451" s="1"/>
      <c r="M7451" s="1"/>
    </row>
    <row x14ac:dyDescent="0.25" r="7452" customHeight="1" ht="18.75">
      <c r="A7452" s="1" t="s">
        <v>7833</v>
      </c>
      <c r="B7452" s="1" t="s">
        <v>7877</v>
      </c>
      <c r="C7452" s="1" t="s">
        <v>4488</v>
      </c>
      <c r="D7452" s="1" t="s">
        <v>3695</v>
      </c>
      <c r="E7452" s="1" t="s">
        <v>3752</v>
      </c>
      <c r="F7452" s="1" t="s">
        <v>1837</v>
      </c>
      <c r="G7452" s="1" t="s">
        <v>25427</v>
      </c>
      <c r="H7452" s="1" t="s">
        <v>3604</v>
      </c>
      <c r="I7452" s="1" t="s">
        <v>25428</v>
      </c>
      <c r="J7452" s="1" t="s">
        <v>3606</v>
      </c>
      <c r="K7452" s="1" t="s">
        <v>25429</v>
      </c>
      <c r="L7452" s="1"/>
      <c r="M7452" s="1"/>
    </row>
    <row x14ac:dyDescent="0.25" r="7453" customHeight="1" ht="18.75">
      <c r="A7453" s="1" t="s">
        <v>7833</v>
      </c>
      <c r="B7453" s="1" t="s">
        <v>7877</v>
      </c>
      <c r="C7453" s="1" t="s">
        <v>4488</v>
      </c>
      <c r="D7453" s="1" t="s">
        <v>3695</v>
      </c>
      <c r="E7453" s="1" t="s">
        <v>3752</v>
      </c>
      <c r="F7453" s="1" t="s">
        <v>1838</v>
      </c>
      <c r="G7453" s="1" t="s">
        <v>25430</v>
      </c>
      <c r="H7453" s="1" t="s">
        <v>3604</v>
      </c>
      <c r="I7453" s="1" t="s">
        <v>25431</v>
      </c>
      <c r="J7453" s="1" t="s">
        <v>3606</v>
      </c>
      <c r="K7453" s="1" t="s">
        <v>25432</v>
      </c>
      <c r="L7453" s="1"/>
      <c r="M7453" s="1"/>
    </row>
    <row x14ac:dyDescent="0.25" r="7454" customHeight="1" ht="18.75">
      <c r="A7454" s="1" t="s">
        <v>7833</v>
      </c>
      <c r="B7454" s="1" t="s">
        <v>7877</v>
      </c>
      <c r="C7454" s="1" t="s">
        <v>4488</v>
      </c>
      <c r="D7454" s="1" t="s">
        <v>3695</v>
      </c>
      <c r="E7454" s="1" t="s">
        <v>3752</v>
      </c>
      <c r="F7454" s="1" t="s">
        <v>1839</v>
      </c>
      <c r="G7454" s="1" t="s">
        <v>25433</v>
      </c>
      <c r="H7454" s="1" t="s">
        <v>3604</v>
      </c>
      <c r="I7454" s="1" t="s">
        <v>25434</v>
      </c>
      <c r="J7454" s="1" t="s">
        <v>3606</v>
      </c>
      <c r="K7454" s="1" t="s">
        <v>25435</v>
      </c>
      <c r="L7454" s="1"/>
      <c r="M7454" s="1"/>
    </row>
    <row x14ac:dyDescent="0.25" r="7455" customHeight="1" ht="18.75">
      <c r="A7455" s="1" t="s">
        <v>3598</v>
      </c>
      <c r="B7455" s="1" t="s">
        <v>18096</v>
      </c>
      <c r="C7455" s="1" t="s">
        <v>3600</v>
      </c>
      <c r="D7455" s="1" t="s">
        <v>3601</v>
      </c>
      <c r="E7455" s="1" t="s">
        <v>3664</v>
      </c>
      <c r="F7455" s="1" t="s">
        <v>25436</v>
      </c>
      <c r="G7455" s="1" t="s">
        <v>18487</v>
      </c>
      <c r="H7455" s="1" t="s">
        <v>3604</v>
      </c>
      <c r="I7455" s="1" t="s">
        <v>25437</v>
      </c>
      <c r="J7455" s="1" t="s">
        <v>3615</v>
      </c>
      <c r="K7455" s="1" t="s">
        <v>25438</v>
      </c>
      <c r="L7455" s="1"/>
      <c r="M7455" s="1"/>
    </row>
    <row x14ac:dyDescent="0.25" r="7456" customHeight="1" ht="18.75">
      <c r="A7456" s="1" t="s">
        <v>3598</v>
      </c>
      <c r="B7456" s="1" t="s">
        <v>18079</v>
      </c>
      <c r="C7456" s="1" t="s">
        <v>3600</v>
      </c>
      <c r="D7456" s="1" t="s">
        <v>3601</v>
      </c>
      <c r="E7456" s="1" t="s">
        <v>3664</v>
      </c>
      <c r="F7456" s="1" t="s">
        <v>25439</v>
      </c>
      <c r="G7456" s="1" t="s">
        <v>18487</v>
      </c>
      <c r="H7456" s="1" t="s">
        <v>3604</v>
      </c>
      <c r="I7456" s="1" t="s">
        <v>25440</v>
      </c>
      <c r="J7456" s="1" t="s">
        <v>3615</v>
      </c>
      <c r="K7456" s="1" t="s">
        <v>25441</v>
      </c>
      <c r="L7456" s="1"/>
      <c r="M7456" s="1"/>
    </row>
    <row x14ac:dyDescent="0.25" r="7457" customHeight="1" ht="18.75">
      <c r="A7457" s="1" t="s">
        <v>3598</v>
      </c>
      <c r="B7457" s="1" t="s">
        <v>4781</v>
      </c>
      <c r="C7457" s="1" t="s">
        <v>3600</v>
      </c>
      <c r="D7457" s="1" t="s">
        <v>3601</v>
      </c>
      <c r="E7457" s="1" t="s">
        <v>3664</v>
      </c>
      <c r="F7457" s="1" t="s">
        <v>25442</v>
      </c>
      <c r="G7457" s="1" t="s">
        <v>18224</v>
      </c>
      <c r="H7457" s="1" t="s">
        <v>3604</v>
      </c>
      <c r="I7457" s="1" t="s">
        <v>25443</v>
      </c>
      <c r="J7457" s="1" t="s">
        <v>3606</v>
      </c>
      <c r="K7457" s="1" t="s">
        <v>18226</v>
      </c>
      <c r="L7457" s="1"/>
      <c r="M7457" s="1"/>
    </row>
    <row x14ac:dyDescent="0.25" r="7458" customHeight="1" ht="18.75">
      <c r="A7458" s="1" t="s">
        <v>3598</v>
      </c>
      <c r="B7458" s="1" t="s">
        <v>13984</v>
      </c>
      <c r="C7458" s="1" t="s">
        <v>3600</v>
      </c>
      <c r="D7458" s="1" t="s">
        <v>3601</v>
      </c>
      <c r="E7458" s="1" t="s">
        <v>3893</v>
      </c>
      <c r="F7458" s="1" t="s">
        <v>25444</v>
      </c>
      <c r="G7458" s="1" t="s">
        <v>13986</v>
      </c>
      <c r="H7458" s="1" t="s">
        <v>3604</v>
      </c>
      <c r="I7458" s="1" t="s">
        <v>25445</v>
      </c>
      <c r="J7458" s="1" t="s">
        <v>3606</v>
      </c>
      <c r="K7458" s="1" t="s">
        <v>19010</v>
      </c>
      <c r="L7458" s="1"/>
      <c r="M7458" s="1"/>
    </row>
    <row x14ac:dyDescent="0.25" r="7459" customHeight="1" ht="18.75">
      <c r="A7459" s="1" t="s">
        <v>3598</v>
      </c>
      <c r="B7459" s="1" t="s">
        <v>9582</v>
      </c>
      <c r="C7459" s="1" t="s">
        <v>3600</v>
      </c>
      <c r="D7459" s="1" t="s">
        <v>3601</v>
      </c>
      <c r="E7459" s="1" t="s">
        <v>3664</v>
      </c>
      <c r="F7459" s="1" t="s">
        <v>25446</v>
      </c>
      <c r="G7459" s="1" t="s">
        <v>6471</v>
      </c>
      <c r="H7459" s="1" t="s">
        <v>3604</v>
      </c>
      <c r="I7459" s="1" t="s">
        <v>25447</v>
      </c>
      <c r="J7459" s="1" t="s">
        <v>3606</v>
      </c>
      <c r="K7459" s="1" t="s">
        <v>18241</v>
      </c>
      <c r="L7459" s="1"/>
      <c r="M7459" s="1"/>
    </row>
    <row x14ac:dyDescent="0.25" r="7460" customHeight="1" ht="18.75">
      <c r="A7460" s="1" t="s">
        <v>3598</v>
      </c>
      <c r="B7460" s="1" t="s">
        <v>13864</v>
      </c>
      <c r="C7460" s="1" t="s">
        <v>3600</v>
      </c>
      <c r="D7460" s="1" t="s">
        <v>3601</v>
      </c>
      <c r="E7460" s="1" t="s">
        <v>3664</v>
      </c>
      <c r="F7460" s="1" t="s">
        <v>25448</v>
      </c>
      <c r="G7460" s="1" t="s">
        <v>13866</v>
      </c>
      <c r="H7460" s="1" t="s">
        <v>3604</v>
      </c>
      <c r="I7460" s="1" t="s">
        <v>25449</v>
      </c>
      <c r="J7460" s="1" t="s">
        <v>3606</v>
      </c>
      <c r="K7460" s="1" t="s">
        <v>19019</v>
      </c>
      <c r="L7460" s="1"/>
      <c r="M7460" s="1"/>
    </row>
    <row x14ac:dyDescent="0.25" r="7461" customHeight="1" ht="18.75">
      <c r="A7461" s="1" t="s">
        <v>3598</v>
      </c>
      <c r="B7461" s="1" t="s">
        <v>13864</v>
      </c>
      <c r="C7461" s="1" t="s">
        <v>3600</v>
      </c>
      <c r="D7461" s="1" t="s">
        <v>3601</v>
      </c>
      <c r="E7461" s="1" t="s">
        <v>3664</v>
      </c>
      <c r="F7461" s="1" t="s">
        <v>25450</v>
      </c>
      <c r="G7461" s="1" t="s">
        <v>13870</v>
      </c>
      <c r="H7461" s="1" t="s">
        <v>3604</v>
      </c>
      <c r="I7461" s="1" t="s">
        <v>25451</v>
      </c>
      <c r="J7461" s="1" t="s">
        <v>3606</v>
      </c>
      <c r="K7461" s="1" t="s">
        <v>19022</v>
      </c>
      <c r="L7461" s="1"/>
      <c r="M7461" s="1"/>
    </row>
    <row x14ac:dyDescent="0.25" r="7462" customHeight="1" ht="18.75">
      <c r="A7462" s="1" t="s">
        <v>3598</v>
      </c>
      <c r="B7462" s="1" t="s">
        <v>9020</v>
      </c>
      <c r="C7462" s="1" t="s">
        <v>3600</v>
      </c>
      <c r="D7462" s="1" t="s">
        <v>3601</v>
      </c>
      <c r="E7462" s="1" t="s">
        <v>3893</v>
      </c>
      <c r="F7462" s="1" t="s">
        <v>25452</v>
      </c>
      <c r="G7462" s="1" t="s">
        <v>13986</v>
      </c>
      <c r="H7462" s="1" t="s">
        <v>3604</v>
      </c>
      <c r="I7462" s="1" t="s">
        <v>25453</v>
      </c>
      <c r="J7462" s="1" t="s">
        <v>3606</v>
      </c>
      <c r="K7462" s="1" t="s">
        <v>18988</v>
      </c>
      <c r="L7462" s="1"/>
      <c r="M7462" s="1"/>
    </row>
    <row x14ac:dyDescent="0.25" r="7463" customHeight="1" ht="18.75">
      <c r="A7463" s="1" t="s">
        <v>3598</v>
      </c>
      <c r="B7463" s="1" t="s">
        <v>9020</v>
      </c>
      <c r="C7463" s="1" t="s">
        <v>3600</v>
      </c>
      <c r="D7463" s="1" t="s">
        <v>3601</v>
      </c>
      <c r="E7463" s="1" t="s">
        <v>3893</v>
      </c>
      <c r="F7463" s="1" t="s">
        <v>25454</v>
      </c>
      <c r="G7463" s="1" t="s">
        <v>14002</v>
      </c>
      <c r="H7463" s="1" t="s">
        <v>3604</v>
      </c>
      <c r="I7463" s="1" t="s">
        <v>25455</v>
      </c>
      <c r="J7463" s="1" t="s">
        <v>3606</v>
      </c>
      <c r="K7463" s="1" t="s">
        <v>18979</v>
      </c>
      <c r="L7463" s="1"/>
      <c r="M7463" s="1"/>
    </row>
    <row x14ac:dyDescent="0.25" r="7464" customHeight="1" ht="18.75">
      <c r="A7464" s="1" t="s">
        <v>3598</v>
      </c>
      <c r="B7464" s="1" t="s">
        <v>9020</v>
      </c>
      <c r="C7464" s="1" t="s">
        <v>3600</v>
      </c>
      <c r="D7464" s="1" t="s">
        <v>3601</v>
      </c>
      <c r="E7464" s="1" t="s">
        <v>3664</v>
      </c>
      <c r="F7464" s="1" t="s">
        <v>25456</v>
      </c>
      <c r="G7464" s="1" t="s">
        <v>13952</v>
      </c>
      <c r="H7464" s="1" t="s">
        <v>3604</v>
      </c>
      <c r="I7464" s="1" t="s">
        <v>25457</v>
      </c>
      <c r="J7464" s="1" t="s">
        <v>3606</v>
      </c>
      <c r="K7464" s="1" t="s">
        <v>18931</v>
      </c>
      <c r="L7464" s="1"/>
      <c r="M7464" s="1"/>
    </row>
    <row x14ac:dyDescent="0.25" r="7465" customHeight="1" ht="18.75">
      <c r="A7465" s="1" t="s">
        <v>3598</v>
      </c>
      <c r="B7465" s="1" t="s">
        <v>9020</v>
      </c>
      <c r="C7465" s="1" t="s">
        <v>3600</v>
      </c>
      <c r="D7465" s="1" t="s">
        <v>3601</v>
      </c>
      <c r="E7465" s="1" t="s">
        <v>3664</v>
      </c>
      <c r="F7465" s="1" t="s">
        <v>25458</v>
      </c>
      <c r="G7465" s="1" t="s">
        <v>13956</v>
      </c>
      <c r="H7465" s="1" t="s">
        <v>3604</v>
      </c>
      <c r="I7465" s="1" t="s">
        <v>25459</v>
      </c>
      <c r="J7465" s="1" t="s">
        <v>3606</v>
      </c>
      <c r="K7465" s="1" t="s">
        <v>18937</v>
      </c>
      <c r="L7465" s="1"/>
      <c r="M7465" s="1"/>
    </row>
    <row x14ac:dyDescent="0.25" r="7466" customHeight="1" ht="18.75">
      <c r="A7466" s="1" t="s">
        <v>3598</v>
      </c>
      <c r="B7466" s="1" t="s">
        <v>14021</v>
      </c>
      <c r="C7466" s="1" t="s">
        <v>3600</v>
      </c>
      <c r="D7466" s="1" t="s">
        <v>3601</v>
      </c>
      <c r="E7466" s="1" t="s">
        <v>3893</v>
      </c>
      <c r="F7466" s="1" t="s">
        <v>25460</v>
      </c>
      <c r="G7466" s="1" t="s">
        <v>14002</v>
      </c>
      <c r="H7466" s="1" t="s">
        <v>3604</v>
      </c>
      <c r="I7466" s="1" t="s">
        <v>25461</v>
      </c>
      <c r="J7466" s="1" t="s">
        <v>3606</v>
      </c>
      <c r="K7466" s="1" t="s">
        <v>19027</v>
      </c>
      <c r="L7466" s="1"/>
      <c r="M7466" s="1"/>
    </row>
    <row x14ac:dyDescent="0.25" r="7467" customHeight="1" ht="18.75">
      <c r="A7467" s="1" t="s">
        <v>3598</v>
      </c>
      <c r="B7467" s="1" t="s">
        <v>4600</v>
      </c>
      <c r="C7467" s="1" t="s">
        <v>3600</v>
      </c>
      <c r="D7467" s="1" t="s">
        <v>3601</v>
      </c>
      <c r="E7467" s="1" t="s">
        <v>3664</v>
      </c>
      <c r="F7467" s="1" t="s">
        <v>25462</v>
      </c>
      <c r="G7467" s="1" t="s">
        <v>13866</v>
      </c>
      <c r="H7467" s="1" t="s">
        <v>3604</v>
      </c>
      <c r="I7467" s="1" t="s">
        <v>25463</v>
      </c>
      <c r="J7467" s="1" t="s">
        <v>3606</v>
      </c>
      <c r="K7467" s="1" t="s">
        <v>19082</v>
      </c>
      <c r="L7467" s="1"/>
      <c r="M7467" s="1"/>
    </row>
    <row x14ac:dyDescent="0.25" r="7468" customHeight="1" ht="18.75">
      <c r="A7468" s="1" t="s">
        <v>3598</v>
      </c>
      <c r="B7468" s="1" t="s">
        <v>4600</v>
      </c>
      <c r="C7468" s="1" t="s">
        <v>3600</v>
      </c>
      <c r="D7468" s="1" t="s">
        <v>3601</v>
      </c>
      <c r="E7468" s="1" t="s">
        <v>3664</v>
      </c>
      <c r="F7468" s="1" t="s">
        <v>25464</v>
      </c>
      <c r="G7468" s="1" t="s">
        <v>13870</v>
      </c>
      <c r="H7468" s="1" t="s">
        <v>3604</v>
      </c>
      <c r="I7468" s="1" t="s">
        <v>25465</v>
      </c>
      <c r="J7468" s="1" t="s">
        <v>3606</v>
      </c>
      <c r="K7468" s="1" t="s">
        <v>19088</v>
      </c>
      <c r="L7468" s="1"/>
      <c r="M7468" s="1"/>
    </row>
    <row x14ac:dyDescent="0.25" r="7469" customHeight="1" ht="18.75">
      <c r="A7469" s="1" t="s">
        <v>3598</v>
      </c>
      <c r="B7469" s="1" t="s">
        <v>9311</v>
      </c>
      <c r="C7469" s="1" t="s">
        <v>3600</v>
      </c>
      <c r="D7469" s="1" t="s">
        <v>3601</v>
      </c>
      <c r="E7469" s="1" t="s">
        <v>3664</v>
      </c>
      <c r="F7469" s="1" t="s">
        <v>25466</v>
      </c>
      <c r="G7469" s="1" t="s">
        <v>8578</v>
      </c>
      <c r="H7469" s="1" t="s">
        <v>3604</v>
      </c>
      <c r="I7469" s="1" t="s">
        <v>25467</v>
      </c>
      <c r="J7469" s="1" t="s">
        <v>3606</v>
      </c>
      <c r="K7469" s="1" t="s">
        <v>18251</v>
      </c>
      <c r="L7469" s="1"/>
      <c r="M7469" s="1"/>
    </row>
    <row x14ac:dyDescent="0.25" r="7470" customHeight="1" ht="18.75">
      <c r="A7470" s="1" t="s">
        <v>3598</v>
      </c>
      <c r="B7470" s="1" t="s">
        <v>18092</v>
      </c>
      <c r="C7470" s="1" t="s">
        <v>3600</v>
      </c>
      <c r="D7470" s="1" t="s">
        <v>3601</v>
      </c>
      <c r="E7470" s="1" t="s">
        <v>3893</v>
      </c>
      <c r="F7470" s="1" t="s">
        <v>25468</v>
      </c>
      <c r="G7470" s="1" t="s">
        <v>16725</v>
      </c>
      <c r="H7470" s="1" t="s">
        <v>3604</v>
      </c>
      <c r="I7470" s="1" t="s">
        <v>25469</v>
      </c>
      <c r="J7470" s="1" t="s">
        <v>3606</v>
      </c>
      <c r="K7470" s="1" t="s">
        <v>18383</v>
      </c>
      <c r="L7470" s="1"/>
      <c r="M7470" s="1"/>
    </row>
    <row x14ac:dyDescent="0.25" r="7471" customHeight="1" ht="18.75">
      <c r="A7471" s="1" t="s">
        <v>3598</v>
      </c>
      <c r="B7471" s="1" t="s">
        <v>14025</v>
      </c>
      <c r="C7471" s="1" t="s">
        <v>3600</v>
      </c>
      <c r="D7471" s="1" t="s">
        <v>3601</v>
      </c>
      <c r="E7471" s="1" t="s">
        <v>3664</v>
      </c>
      <c r="F7471" s="1" t="s">
        <v>25470</v>
      </c>
      <c r="G7471" s="1" t="s">
        <v>6471</v>
      </c>
      <c r="H7471" s="1" t="s">
        <v>3604</v>
      </c>
      <c r="I7471" s="1" t="s">
        <v>25471</v>
      </c>
      <c r="J7471" s="1" t="s">
        <v>3606</v>
      </c>
      <c r="K7471" s="1" t="s">
        <v>18238</v>
      </c>
      <c r="L7471" s="1"/>
      <c r="M7471" s="1"/>
    </row>
    <row x14ac:dyDescent="0.25" r="7472" customHeight="1" ht="18.75">
      <c r="A7472" s="1" t="s">
        <v>3598</v>
      </c>
      <c r="B7472" s="1" t="s">
        <v>9116</v>
      </c>
      <c r="C7472" s="1" t="s">
        <v>3600</v>
      </c>
      <c r="D7472" s="1" t="s">
        <v>3601</v>
      </c>
      <c r="E7472" s="1" t="s">
        <v>3664</v>
      </c>
      <c r="F7472" s="1" t="s">
        <v>25472</v>
      </c>
      <c r="G7472" s="1" t="s">
        <v>13952</v>
      </c>
      <c r="H7472" s="1" t="s">
        <v>3604</v>
      </c>
      <c r="I7472" s="1" t="s">
        <v>25473</v>
      </c>
      <c r="J7472" s="1" t="s">
        <v>3606</v>
      </c>
      <c r="K7472" s="1" t="s">
        <v>19035</v>
      </c>
      <c r="L7472" s="1"/>
      <c r="M7472" s="1"/>
    </row>
    <row x14ac:dyDescent="0.25" r="7473" customHeight="1" ht="18.75">
      <c r="A7473" s="1" t="s">
        <v>3598</v>
      </c>
      <c r="B7473" s="1" t="s">
        <v>9116</v>
      </c>
      <c r="C7473" s="1" t="s">
        <v>3600</v>
      </c>
      <c r="D7473" s="1" t="s">
        <v>3601</v>
      </c>
      <c r="E7473" s="1" t="s">
        <v>3664</v>
      </c>
      <c r="F7473" s="1" t="s">
        <v>25474</v>
      </c>
      <c r="G7473" s="1" t="s">
        <v>13956</v>
      </c>
      <c r="H7473" s="1" t="s">
        <v>3604</v>
      </c>
      <c r="I7473" s="1" t="s">
        <v>25475</v>
      </c>
      <c r="J7473" s="1" t="s">
        <v>3606</v>
      </c>
      <c r="K7473" s="1" t="s">
        <v>19041</v>
      </c>
      <c r="L7473" s="1"/>
      <c r="M7473" s="1"/>
    </row>
    <row x14ac:dyDescent="0.25" r="7474" customHeight="1" ht="18.75">
      <c r="A7474" s="1" t="s">
        <v>3598</v>
      </c>
      <c r="B7474" s="1" t="s">
        <v>5252</v>
      </c>
      <c r="C7474" s="1" t="s">
        <v>3600</v>
      </c>
      <c r="D7474" s="1" t="s">
        <v>3601</v>
      </c>
      <c r="E7474" s="1" t="s">
        <v>3893</v>
      </c>
      <c r="F7474" s="1" t="s">
        <v>25476</v>
      </c>
      <c r="G7474" s="1" t="s">
        <v>16725</v>
      </c>
      <c r="H7474" s="1" t="s">
        <v>3604</v>
      </c>
      <c r="I7474" s="1" t="s">
        <v>25477</v>
      </c>
      <c r="J7474" s="1" t="s">
        <v>3606</v>
      </c>
      <c r="K7474" s="1" t="s">
        <v>18398</v>
      </c>
      <c r="L7474" s="1"/>
      <c r="M7474" s="1"/>
    </row>
    <row x14ac:dyDescent="0.25" r="7475" customHeight="1" ht="18.75">
      <c r="A7475" s="1" t="s">
        <v>7833</v>
      </c>
      <c r="B7475" s="1" t="s">
        <v>9837</v>
      </c>
      <c r="C7475" s="1" t="s">
        <v>4488</v>
      </c>
      <c r="D7475" s="1" t="s">
        <v>3601</v>
      </c>
      <c r="E7475" s="1" t="s">
        <v>3664</v>
      </c>
      <c r="F7475" s="1" t="s">
        <v>25478</v>
      </c>
      <c r="G7475" s="1" t="s">
        <v>15364</v>
      </c>
      <c r="H7475" s="1" t="s">
        <v>3604</v>
      </c>
      <c r="I7475" s="1" t="s">
        <v>25479</v>
      </c>
      <c r="J7475" s="1" t="s">
        <v>3606</v>
      </c>
      <c r="K7475" s="1" t="s">
        <v>14573</v>
      </c>
      <c r="L7475" s="1"/>
      <c r="M7475" s="1"/>
    </row>
    <row x14ac:dyDescent="0.25" r="7476" customHeight="1" ht="18.75">
      <c r="A7476" s="1" t="s">
        <v>7833</v>
      </c>
      <c r="B7476" s="1" t="s">
        <v>8178</v>
      </c>
      <c r="C7476" s="1" t="s">
        <v>3619</v>
      </c>
      <c r="D7476" s="1" t="s">
        <v>3601</v>
      </c>
      <c r="E7476" s="1" t="s">
        <v>3664</v>
      </c>
      <c r="F7476" s="1" t="s">
        <v>25480</v>
      </c>
      <c r="G7476" s="1" t="s">
        <v>25481</v>
      </c>
      <c r="H7476" s="1" t="s">
        <v>3604</v>
      </c>
      <c r="I7476" s="1" t="s">
        <v>25482</v>
      </c>
      <c r="J7476" s="1" t="s">
        <v>3606</v>
      </c>
      <c r="K7476" s="1" t="s">
        <v>25483</v>
      </c>
      <c r="L7476" s="1"/>
      <c r="M7476" s="1"/>
    </row>
    <row x14ac:dyDescent="0.25" r="7477" customHeight="1" ht="18.75">
      <c r="A7477" s="1" t="s">
        <v>7833</v>
      </c>
      <c r="B7477" s="1" t="s">
        <v>8178</v>
      </c>
      <c r="C7477" s="1" t="s">
        <v>3619</v>
      </c>
      <c r="D7477" s="1" t="s">
        <v>3610</v>
      </c>
      <c r="E7477" s="1" t="s">
        <v>3664</v>
      </c>
      <c r="F7477" s="1" t="s">
        <v>25484</v>
      </c>
      <c r="G7477" s="1" t="s">
        <v>25481</v>
      </c>
      <c r="H7477" s="1" t="s">
        <v>3604</v>
      </c>
      <c r="I7477" s="1" t="s">
        <v>25485</v>
      </c>
      <c r="J7477" s="1" t="s">
        <v>3606</v>
      </c>
      <c r="K7477" s="1" t="s">
        <v>25486</v>
      </c>
      <c r="L7477" s="1"/>
      <c r="M7477" s="1"/>
    </row>
    <row x14ac:dyDescent="0.25" r="7478" customHeight="1" ht="18.75">
      <c r="A7478" s="1" t="s">
        <v>7833</v>
      </c>
      <c r="B7478" s="1" t="s">
        <v>9216</v>
      </c>
      <c r="C7478" s="1" t="s">
        <v>4488</v>
      </c>
      <c r="D7478" s="1" t="s">
        <v>3601</v>
      </c>
      <c r="E7478" s="1" t="s">
        <v>3981</v>
      </c>
      <c r="F7478" s="1" t="s">
        <v>25487</v>
      </c>
      <c r="G7478" s="1" t="s">
        <v>9218</v>
      </c>
      <c r="H7478" s="1" t="s">
        <v>3604</v>
      </c>
      <c r="I7478" s="1" t="s">
        <v>25488</v>
      </c>
      <c r="J7478" s="1" t="s">
        <v>3606</v>
      </c>
      <c r="K7478" s="1" t="s">
        <v>25489</v>
      </c>
      <c r="L7478" s="1"/>
      <c r="M7478" s="1"/>
    </row>
    <row x14ac:dyDescent="0.25" r="7479" customHeight="1" ht="18.75">
      <c r="A7479" s="1" t="s">
        <v>3693</v>
      </c>
      <c r="B7479" s="1" t="s">
        <v>4083</v>
      </c>
      <c r="C7479" s="1" t="s">
        <v>3600</v>
      </c>
      <c r="D7479" s="1" t="s">
        <v>7847</v>
      </c>
      <c r="E7479" s="1" t="s">
        <v>3893</v>
      </c>
      <c r="F7479" s="1" t="s">
        <v>25490</v>
      </c>
      <c r="G7479" s="1" t="s">
        <v>4553</v>
      </c>
      <c r="H7479" s="1" t="s">
        <v>3604</v>
      </c>
      <c r="I7479" s="1" t="s">
        <v>25491</v>
      </c>
      <c r="J7479" s="1" t="s">
        <v>3606</v>
      </c>
      <c r="K7479" s="1" t="s">
        <v>25492</v>
      </c>
      <c r="L7479" s="1"/>
      <c r="M7479" s="1"/>
    </row>
    <row x14ac:dyDescent="0.25" r="7480" customHeight="1" ht="18.75">
      <c r="A7480" s="1" t="s">
        <v>3693</v>
      </c>
      <c r="B7480" s="1" t="s">
        <v>4083</v>
      </c>
      <c r="C7480" s="1" t="s">
        <v>3600</v>
      </c>
      <c r="D7480" s="1" t="s">
        <v>7847</v>
      </c>
      <c r="E7480" s="1" t="s">
        <v>3893</v>
      </c>
      <c r="F7480" s="1" t="s">
        <v>25493</v>
      </c>
      <c r="G7480" s="1" t="s">
        <v>4553</v>
      </c>
      <c r="H7480" s="1" t="s">
        <v>3604</v>
      </c>
      <c r="I7480" s="1" t="s">
        <v>25494</v>
      </c>
      <c r="J7480" s="1" t="s">
        <v>3606</v>
      </c>
      <c r="K7480" s="1" t="s">
        <v>25492</v>
      </c>
      <c r="L7480" s="1"/>
      <c r="M7480" s="1"/>
    </row>
    <row x14ac:dyDescent="0.25" r="7481" customHeight="1" ht="18.75">
      <c r="A7481" s="1" t="s">
        <v>3693</v>
      </c>
      <c r="B7481" s="1" t="s">
        <v>4247</v>
      </c>
      <c r="C7481" s="1" t="s">
        <v>3600</v>
      </c>
      <c r="D7481" s="1" t="s">
        <v>7847</v>
      </c>
      <c r="E7481" s="1" t="s">
        <v>3893</v>
      </c>
      <c r="F7481" s="1" t="s">
        <v>25495</v>
      </c>
      <c r="G7481" s="1" t="s">
        <v>4386</v>
      </c>
      <c r="H7481" s="1" t="s">
        <v>3604</v>
      </c>
      <c r="I7481" s="1" t="s">
        <v>25496</v>
      </c>
      <c r="J7481" s="1" t="s">
        <v>3606</v>
      </c>
      <c r="K7481" s="1" t="s">
        <v>25497</v>
      </c>
      <c r="L7481" s="1"/>
      <c r="M7481" s="1"/>
    </row>
    <row x14ac:dyDescent="0.25" r="7482" customHeight="1" ht="18.75">
      <c r="A7482" s="1" t="s">
        <v>3693</v>
      </c>
      <c r="B7482" s="1" t="s">
        <v>4247</v>
      </c>
      <c r="C7482" s="1" t="s">
        <v>3600</v>
      </c>
      <c r="D7482" s="1" t="s">
        <v>7847</v>
      </c>
      <c r="E7482" s="1" t="s">
        <v>3893</v>
      </c>
      <c r="F7482" s="1" t="s">
        <v>25498</v>
      </c>
      <c r="G7482" s="1" t="s">
        <v>4386</v>
      </c>
      <c r="H7482" s="1" t="s">
        <v>3604</v>
      </c>
      <c r="I7482" s="1" t="s">
        <v>25499</v>
      </c>
      <c r="J7482" s="1" t="s">
        <v>3606</v>
      </c>
      <c r="K7482" s="1" t="s">
        <v>25497</v>
      </c>
      <c r="L7482" s="1"/>
      <c r="M7482" s="1"/>
    </row>
    <row x14ac:dyDescent="0.25" r="7483" customHeight="1" ht="18.75">
      <c r="A7483" s="1" t="s">
        <v>3693</v>
      </c>
      <c r="B7483" s="1" t="s">
        <v>4247</v>
      </c>
      <c r="C7483" s="1" t="s">
        <v>3600</v>
      </c>
      <c r="D7483" s="1" t="s">
        <v>7847</v>
      </c>
      <c r="E7483" s="1" t="s">
        <v>3893</v>
      </c>
      <c r="F7483" s="1" t="s">
        <v>25500</v>
      </c>
      <c r="G7483" s="1" t="s">
        <v>4386</v>
      </c>
      <c r="H7483" s="1" t="s">
        <v>3604</v>
      </c>
      <c r="I7483" s="1" t="s">
        <v>25501</v>
      </c>
      <c r="J7483" s="1" t="s">
        <v>3606</v>
      </c>
      <c r="K7483" s="1" t="s">
        <v>25497</v>
      </c>
      <c r="L7483" s="1"/>
      <c r="M7483" s="1"/>
    </row>
    <row x14ac:dyDescent="0.25" r="7484" customHeight="1" ht="18.75">
      <c r="A7484" s="1" t="s">
        <v>3693</v>
      </c>
      <c r="B7484" s="1" t="s">
        <v>4247</v>
      </c>
      <c r="C7484" s="1" t="s">
        <v>3600</v>
      </c>
      <c r="D7484" s="1" t="s">
        <v>8116</v>
      </c>
      <c r="E7484" s="1" t="s">
        <v>3664</v>
      </c>
      <c r="F7484" s="1" t="s">
        <v>25502</v>
      </c>
      <c r="G7484" s="1" t="s">
        <v>25503</v>
      </c>
      <c r="H7484" s="1" t="s">
        <v>3604</v>
      </c>
      <c r="I7484" s="1" t="s">
        <v>25504</v>
      </c>
      <c r="J7484" s="1" t="s">
        <v>3606</v>
      </c>
      <c r="K7484" s="1" t="s">
        <v>25505</v>
      </c>
      <c r="L7484" s="1"/>
      <c r="M7484" s="1"/>
    </row>
    <row x14ac:dyDescent="0.25" r="7485" customHeight="1" ht="18.75">
      <c r="A7485" s="1" t="s">
        <v>3693</v>
      </c>
      <c r="B7485" s="1" t="s">
        <v>4247</v>
      </c>
      <c r="C7485" s="1" t="s">
        <v>3600</v>
      </c>
      <c r="D7485" s="1" t="s">
        <v>8116</v>
      </c>
      <c r="E7485" s="1" t="s">
        <v>3664</v>
      </c>
      <c r="F7485" s="1" t="s">
        <v>25506</v>
      </c>
      <c r="G7485" s="1" t="s">
        <v>25507</v>
      </c>
      <c r="H7485" s="1" t="s">
        <v>3604</v>
      </c>
      <c r="I7485" s="1" t="s">
        <v>25508</v>
      </c>
      <c r="J7485" s="1" t="s">
        <v>3606</v>
      </c>
      <c r="K7485" s="1" t="s">
        <v>25509</v>
      </c>
      <c r="L7485" s="1"/>
      <c r="M7485" s="1"/>
    </row>
    <row x14ac:dyDescent="0.25" r="7486" customHeight="1" ht="18.75">
      <c r="A7486" s="1" t="s">
        <v>3693</v>
      </c>
      <c r="B7486" s="1" t="s">
        <v>4247</v>
      </c>
      <c r="C7486" s="1" t="s">
        <v>3600</v>
      </c>
      <c r="D7486" s="1" t="s">
        <v>8116</v>
      </c>
      <c r="E7486" s="1" t="s">
        <v>3664</v>
      </c>
      <c r="F7486" s="1" t="s">
        <v>25510</v>
      </c>
      <c r="G7486" s="1" t="s">
        <v>25511</v>
      </c>
      <c r="H7486" s="1" t="s">
        <v>3604</v>
      </c>
      <c r="I7486" s="1" t="s">
        <v>25512</v>
      </c>
      <c r="J7486" s="1" t="s">
        <v>3606</v>
      </c>
      <c r="K7486" s="1" t="s">
        <v>25513</v>
      </c>
      <c r="L7486" s="1"/>
      <c r="M7486" s="1"/>
    </row>
    <row x14ac:dyDescent="0.25" r="7487" customHeight="1" ht="18.75">
      <c r="A7487" s="1" t="s">
        <v>3693</v>
      </c>
      <c r="B7487" s="1" t="s">
        <v>4247</v>
      </c>
      <c r="C7487" s="1" t="s">
        <v>3600</v>
      </c>
      <c r="D7487" s="1" t="s">
        <v>8116</v>
      </c>
      <c r="E7487" s="1" t="s">
        <v>3664</v>
      </c>
      <c r="F7487" s="1" t="s">
        <v>25514</v>
      </c>
      <c r="G7487" s="1" t="s">
        <v>25515</v>
      </c>
      <c r="H7487" s="1" t="s">
        <v>3604</v>
      </c>
      <c r="I7487" s="1" t="s">
        <v>25516</v>
      </c>
      <c r="J7487" s="1" t="s">
        <v>3606</v>
      </c>
      <c r="K7487" s="1" t="s">
        <v>25517</v>
      </c>
      <c r="L7487" s="1"/>
      <c r="M7487" s="1"/>
    </row>
    <row x14ac:dyDescent="0.25" r="7488" customHeight="1" ht="18.75">
      <c r="A7488" s="1" t="s">
        <v>3693</v>
      </c>
      <c r="B7488" s="1" t="s">
        <v>7030</v>
      </c>
      <c r="C7488" s="1" t="s">
        <v>3600</v>
      </c>
      <c r="D7488" s="1" t="s">
        <v>8116</v>
      </c>
      <c r="E7488" s="1" t="s">
        <v>3664</v>
      </c>
      <c r="F7488" s="1" t="s">
        <v>25518</v>
      </c>
      <c r="G7488" s="1" t="s">
        <v>25519</v>
      </c>
      <c r="H7488" s="1" t="s">
        <v>3604</v>
      </c>
      <c r="I7488" s="1" t="s">
        <v>25520</v>
      </c>
      <c r="J7488" s="1" t="s">
        <v>3606</v>
      </c>
      <c r="K7488" s="1" t="s">
        <v>25521</v>
      </c>
      <c r="L7488" s="1"/>
      <c r="M7488" s="1"/>
    </row>
    <row x14ac:dyDescent="0.25" r="7489" customHeight="1" ht="18.75">
      <c r="A7489" s="1" t="s">
        <v>3693</v>
      </c>
      <c r="B7489" s="1" t="s">
        <v>7030</v>
      </c>
      <c r="C7489" s="1" t="s">
        <v>3600</v>
      </c>
      <c r="D7489" s="1" t="s">
        <v>8116</v>
      </c>
      <c r="E7489" s="1" t="s">
        <v>3664</v>
      </c>
      <c r="F7489" s="1" t="s">
        <v>25522</v>
      </c>
      <c r="G7489" s="1" t="s">
        <v>25523</v>
      </c>
      <c r="H7489" s="1" t="s">
        <v>3604</v>
      </c>
      <c r="I7489" s="1" t="s">
        <v>25524</v>
      </c>
      <c r="J7489" s="1" t="s">
        <v>3606</v>
      </c>
      <c r="K7489" s="1" t="s">
        <v>25525</v>
      </c>
      <c r="L7489" s="1"/>
      <c r="M7489" s="1"/>
    </row>
    <row x14ac:dyDescent="0.25" r="7490" customHeight="1" ht="18.75">
      <c r="A7490" s="1" t="s">
        <v>3617</v>
      </c>
      <c r="B7490" s="1" t="s">
        <v>3898</v>
      </c>
      <c r="C7490" s="1" t="s">
        <v>3619</v>
      </c>
      <c r="D7490" s="1" t="s">
        <v>8100</v>
      </c>
      <c r="E7490" s="1" t="s">
        <v>3893</v>
      </c>
      <c r="F7490" s="1" t="s">
        <v>25526</v>
      </c>
      <c r="G7490" s="1" t="s">
        <v>25527</v>
      </c>
      <c r="H7490" s="1" t="s">
        <v>3604</v>
      </c>
      <c r="I7490" s="1" t="s">
        <v>25528</v>
      </c>
      <c r="J7490" s="1" t="s">
        <v>3615</v>
      </c>
      <c r="K7490" s="1" t="s">
        <v>25529</v>
      </c>
      <c r="L7490" s="1"/>
      <c r="M7490" s="1"/>
    </row>
    <row x14ac:dyDescent="0.25" r="7491" customHeight="1" ht="18.75">
      <c r="A7491" s="1" t="s">
        <v>3617</v>
      </c>
      <c r="B7491" s="1" t="s">
        <v>3898</v>
      </c>
      <c r="C7491" s="1" t="s">
        <v>3619</v>
      </c>
      <c r="D7491" s="1" t="s">
        <v>8100</v>
      </c>
      <c r="E7491" s="1" t="s">
        <v>3893</v>
      </c>
      <c r="F7491" s="1" t="s">
        <v>25530</v>
      </c>
      <c r="G7491" s="1" t="s">
        <v>25527</v>
      </c>
      <c r="H7491" s="1" t="s">
        <v>3604</v>
      </c>
      <c r="I7491" s="1" t="s">
        <v>25531</v>
      </c>
      <c r="J7491" s="1" t="s">
        <v>3615</v>
      </c>
      <c r="K7491" s="1" t="s">
        <v>25532</v>
      </c>
      <c r="L7491" s="1"/>
      <c r="M7491" s="1"/>
    </row>
    <row x14ac:dyDescent="0.25" r="7492" customHeight="1" ht="18.75">
      <c r="A7492" s="1" t="s">
        <v>3617</v>
      </c>
      <c r="B7492" s="1" t="s">
        <v>3898</v>
      </c>
      <c r="C7492" s="1" t="s">
        <v>3619</v>
      </c>
      <c r="D7492" s="1" t="s">
        <v>8100</v>
      </c>
      <c r="E7492" s="1" t="s">
        <v>3893</v>
      </c>
      <c r="F7492" s="1" t="s">
        <v>25533</v>
      </c>
      <c r="G7492" s="1" t="s">
        <v>25527</v>
      </c>
      <c r="H7492" s="1" t="s">
        <v>3604</v>
      </c>
      <c r="I7492" s="1" t="s">
        <v>25534</v>
      </c>
      <c r="J7492" s="1" t="s">
        <v>3615</v>
      </c>
      <c r="K7492" s="1" t="s">
        <v>25535</v>
      </c>
      <c r="L7492" s="1"/>
      <c r="M7492" s="1"/>
    </row>
    <row x14ac:dyDescent="0.25" r="7493" customHeight="1" ht="18.75">
      <c r="A7493" s="1" t="s">
        <v>3617</v>
      </c>
      <c r="B7493" s="1" t="s">
        <v>17702</v>
      </c>
      <c r="C7493" s="1" t="s">
        <v>3619</v>
      </c>
      <c r="D7493" s="1" t="s">
        <v>8100</v>
      </c>
      <c r="E7493" s="1" t="s">
        <v>3730</v>
      </c>
      <c r="F7493" s="1" t="s">
        <v>25536</v>
      </c>
      <c r="G7493" s="1" t="s">
        <v>25537</v>
      </c>
      <c r="H7493" s="1" t="s">
        <v>3604</v>
      </c>
      <c r="I7493" s="1" t="s">
        <v>25538</v>
      </c>
      <c r="J7493" s="1" t="s">
        <v>3615</v>
      </c>
      <c r="K7493" s="1" t="s">
        <v>25539</v>
      </c>
      <c r="L7493" s="1"/>
      <c r="M7493" s="1"/>
    </row>
    <row x14ac:dyDescent="0.25" r="7494" customHeight="1" ht="18.75">
      <c r="A7494" s="1" t="s">
        <v>3598</v>
      </c>
      <c r="B7494" s="1" t="s">
        <v>14119</v>
      </c>
      <c r="C7494" s="1" t="s">
        <v>3600</v>
      </c>
      <c r="D7494" s="1" t="s">
        <v>7847</v>
      </c>
      <c r="E7494" s="1" t="s">
        <v>3664</v>
      </c>
      <c r="F7494" s="1" t="s">
        <v>25540</v>
      </c>
      <c r="G7494" s="1" t="s">
        <v>20314</v>
      </c>
      <c r="H7494" s="1" t="s">
        <v>3604</v>
      </c>
      <c r="I7494" s="1" t="s">
        <v>25541</v>
      </c>
      <c r="J7494" s="1" t="s">
        <v>3615</v>
      </c>
      <c r="K7494" s="1" t="s">
        <v>25542</v>
      </c>
      <c r="L7494" s="1"/>
      <c r="M7494" s="1"/>
    </row>
    <row x14ac:dyDescent="0.25" r="7495" customHeight="1" ht="18.75">
      <c r="A7495" s="1" t="s">
        <v>3617</v>
      </c>
      <c r="B7495" s="1" t="s">
        <v>3729</v>
      </c>
      <c r="C7495" s="1" t="s">
        <v>3619</v>
      </c>
      <c r="D7495" s="1" t="s">
        <v>8100</v>
      </c>
      <c r="E7495" s="1" t="s">
        <v>3752</v>
      </c>
      <c r="F7495" s="1" t="s">
        <v>25543</v>
      </c>
      <c r="G7495" s="1" t="s">
        <v>25544</v>
      </c>
      <c r="H7495" s="1" t="s">
        <v>3604</v>
      </c>
      <c r="I7495" s="1" t="s">
        <v>25545</v>
      </c>
      <c r="J7495" s="1" t="s">
        <v>3606</v>
      </c>
      <c r="K7495" s="1" t="s">
        <v>25546</v>
      </c>
      <c r="L7495" s="1"/>
      <c r="M7495" s="1"/>
    </row>
    <row x14ac:dyDescent="0.25" r="7496" customHeight="1" ht="18.75">
      <c r="A7496" s="1" t="s">
        <v>3598</v>
      </c>
      <c r="B7496" s="1" t="s">
        <v>9012</v>
      </c>
      <c r="C7496" s="1" t="s">
        <v>3600</v>
      </c>
      <c r="D7496" s="1" t="s">
        <v>3601</v>
      </c>
      <c r="E7496" s="1" t="s">
        <v>3893</v>
      </c>
      <c r="F7496" s="1" t="s">
        <v>25547</v>
      </c>
      <c r="G7496" s="1" t="s">
        <v>9014</v>
      </c>
      <c r="H7496" s="1" t="s">
        <v>3604</v>
      </c>
      <c r="I7496" s="1" t="s">
        <v>25548</v>
      </c>
      <c r="J7496" s="1" t="s">
        <v>3606</v>
      </c>
      <c r="K7496" s="1"/>
      <c r="L7496" s="1"/>
      <c r="M7496" s="1"/>
    </row>
    <row x14ac:dyDescent="0.25" r="7497" customHeight="1" ht="18.75">
      <c r="A7497" s="1" t="s">
        <v>3598</v>
      </c>
      <c r="B7497" s="1" t="s">
        <v>9012</v>
      </c>
      <c r="C7497" s="1" t="s">
        <v>3600</v>
      </c>
      <c r="D7497" s="1" t="s">
        <v>3601</v>
      </c>
      <c r="E7497" s="1" t="s">
        <v>3664</v>
      </c>
      <c r="F7497" s="1" t="s">
        <v>25549</v>
      </c>
      <c r="G7497" s="1" t="s">
        <v>9014</v>
      </c>
      <c r="H7497" s="1" t="s">
        <v>3604</v>
      </c>
      <c r="I7497" s="1" t="s">
        <v>25550</v>
      </c>
      <c r="J7497" s="1" t="s">
        <v>3606</v>
      </c>
      <c r="K7497" s="1"/>
      <c r="L7497" s="1"/>
      <c r="M7497" s="1"/>
    </row>
    <row x14ac:dyDescent="0.25" r="7498" customHeight="1" ht="18.75">
      <c r="A7498" s="1" t="s">
        <v>3598</v>
      </c>
      <c r="B7498" s="1" t="s">
        <v>4781</v>
      </c>
      <c r="C7498" s="1" t="s">
        <v>3600</v>
      </c>
      <c r="D7498" s="1" t="s">
        <v>3601</v>
      </c>
      <c r="E7498" s="1" t="s">
        <v>3664</v>
      </c>
      <c r="F7498" s="1" t="s">
        <v>25551</v>
      </c>
      <c r="G7498" s="1" t="s">
        <v>18224</v>
      </c>
      <c r="H7498" s="1" t="s">
        <v>3604</v>
      </c>
      <c r="I7498" s="1" t="s">
        <v>25552</v>
      </c>
      <c r="J7498" s="1" t="s">
        <v>3615</v>
      </c>
      <c r="K7498" s="1"/>
      <c r="L7498" s="1"/>
      <c r="M7498" s="1"/>
    </row>
    <row x14ac:dyDescent="0.25" r="7499" customHeight="1" ht="18.75">
      <c r="A7499" s="1" t="s">
        <v>3598</v>
      </c>
      <c r="B7499" s="1" t="s">
        <v>5260</v>
      </c>
      <c r="C7499" s="1" t="s">
        <v>3600</v>
      </c>
      <c r="D7499" s="1" t="s">
        <v>3601</v>
      </c>
      <c r="E7499" s="1" t="s">
        <v>3893</v>
      </c>
      <c r="F7499" s="1" t="s">
        <v>25553</v>
      </c>
      <c r="G7499" s="1" t="s">
        <v>17246</v>
      </c>
      <c r="H7499" s="1" t="s">
        <v>3604</v>
      </c>
      <c r="I7499" s="1" t="s">
        <v>25554</v>
      </c>
      <c r="J7499" s="1" t="s">
        <v>3615</v>
      </c>
      <c r="K7499" s="1"/>
      <c r="L7499" s="1"/>
      <c r="M7499" s="1"/>
    </row>
    <row x14ac:dyDescent="0.25" r="7500" customHeight="1" ht="18.75">
      <c r="A7500" s="1" t="s">
        <v>3598</v>
      </c>
      <c r="B7500" s="1" t="s">
        <v>3751</v>
      </c>
      <c r="C7500" s="1" t="s">
        <v>3600</v>
      </c>
      <c r="D7500" s="1" t="s">
        <v>3601</v>
      </c>
      <c r="E7500" s="1" t="s">
        <v>3664</v>
      </c>
      <c r="F7500" s="1" t="s">
        <v>25555</v>
      </c>
      <c r="G7500" s="1" t="s">
        <v>19549</v>
      </c>
      <c r="H7500" s="1" t="s">
        <v>3604</v>
      </c>
      <c r="I7500" s="1" t="s">
        <v>25556</v>
      </c>
      <c r="J7500" s="1" t="s">
        <v>3615</v>
      </c>
      <c r="K7500" s="1"/>
      <c r="L7500" s="1"/>
      <c r="M7500" s="1"/>
    </row>
    <row x14ac:dyDescent="0.25" r="7501" customHeight="1" ht="18.75">
      <c r="A7501" s="1" t="s">
        <v>3598</v>
      </c>
      <c r="B7501" s="1" t="s">
        <v>6954</v>
      </c>
      <c r="C7501" s="1" t="s">
        <v>3600</v>
      </c>
      <c r="D7501" s="1" t="s">
        <v>3601</v>
      </c>
      <c r="E7501" s="1" t="s">
        <v>3664</v>
      </c>
      <c r="F7501" s="1" t="s">
        <v>25557</v>
      </c>
      <c r="G7501" s="1" t="s">
        <v>14139</v>
      </c>
      <c r="H7501" s="1" t="s">
        <v>3604</v>
      </c>
      <c r="I7501" s="1" t="s">
        <v>25558</v>
      </c>
      <c r="J7501" s="1" t="s">
        <v>3615</v>
      </c>
      <c r="K7501" s="1"/>
      <c r="L7501" s="1"/>
      <c r="M7501" s="1"/>
    </row>
    <row x14ac:dyDescent="0.25" r="7502" customHeight="1" ht="18.75">
      <c r="A7502" s="1" t="s">
        <v>3598</v>
      </c>
      <c r="B7502" s="1" t="s">
        <v>6954</v>
      </c>
      <c r="C7502" s="1" t="s">
        <v>3600</v>
      </c>
      <c r="D7502" s="1" t="s">
        <v>3601</v>
      </c>
      <c r="E7502" s="1" t="s">
        <v>3893</v>
      </c>
      <c r="F7502" s="1" t="s">
        <v>25559</v>
      </c>
      <c r="G7502" s="1" t="s">
        <v>14139</v>
      </c>
      <c r="H7502" s="1" t="s">
        <v>3604</v>
      </c>
      <c r="I7502" s="1" t="s">
        <v>25560</v>
      </c>
      <c r="J7502" s="1" t="s">
        <v>3615</v>
      </c>
      <c r="K7502" s="1"/>
      <c r="L7502" s="1"/>
      <c r="M7502" s="1"/>
    </row>
    <row x14ac:dyDescent="0.25" r="7503" customHeight="1" ht="18.75">
      <c r="A7503" s="1" t="s">
        <v>3598</v>
      </c>
      <c r="B7503" s="1" t="s">
        <v>8191</v>
      </c>
      <c r="C7503" s="1" t="s">
        <v>3600</v>
      </c>
      <c r="D7503" s="1" t="s">
        <v>3601</v>
      </c>
      <c r="E7503" s="1" t="s">
        <v>3664</v>
      </c>
      <c r="F7503" s="1" t="s">
        <v>25561</v>
      </c>
      <c r="G7503" s="1" t="s">
        <v>16166</v>
      </c>
      <c r="H7503" s="1" t="s">
        <v>3604</v>
      </c>
      <c r="I7503" s="1" t="s">
        <v>25562</v>
      </c>
      <c r="J7503" s="1" t="s">
        <v>3615</v>
      </c>
      <c r="K7503" s="1"/>
      <c r="L7503" s="1"/>
      <c r="M7503" s="1"/>
    </row>
    <row x14ac:dyDescent="0.25" r="7504" customHeight="1" ht="18.75">
      <c r="A7504" s="1" t="s">
        <v>3598</v>
      </c>
      <c r="B7504" s="1" t="s">
        <v>15397</v>
      </c>
      <c r="C7504" s="1" t="s">
        <v>3600</v>
      </c>
      <c r="D7504" s="1" t="s">
        <v>3601</v>
      </c>
      <c r="E7504" s="1" t="s">
        <v>3664</v>
      </c>
      <c r="F7504" s="1" t="s">
        <v>25563</v>
      </c>
      <c r="G7504" s="1" t="s">
        <v>18077</v>
      </c>
      <c r="H7504" s="1" t="s">
        <v>3604</v>
      </c>
      <c r="I7504" s="1" t="s">
        <v>25564</v>
      </c>
      <c r="J7504" s="1" t="s">
        <v>3615</v>
      </c>
      <c r="K7504" s="1"/>
      <c r="L7504" s="1"/>
      <c r="M7504" s="1"/>
    </row>
    <row x14ac:dyDescent="0.25" r="7505" customHeight="1" ht="18.75">
      <c r="A7505" s="1" t="s">
        <v>3598</v>
      </c>
      <c r="B7505" s="1" t="s">
        <v>4689</v>
      </c>
      <c r="C7505" s="1" t="s">
        <v>3600</v>
      </c>
      <c r="D7505" s="1" t="s">
        <v>3601</v>
      </c>
      <c r="E7505" s="1" t="s">
        <v>3893</v>
      </c>
      <c r="F7505" s="1" t="s">
        <v>25565</v>
      </c>
      <c r="G7505" s="1" t="s">
        <v>7853</v>
      </c>
      <c r="H7505" s="1" t="s">
        <v>3604</v>
      </c>
      <c r="I7505" s="1" t="s">
        <v>25566</v>
      </c>
      <c r="J7505" s="1" t="s">
        <v>3615</v>
      </c>
      <c r="K7505" s="1"/>
      <c r="L7505" s="1"/>
      <c r="M7505" s="1"/>
    </row>
    <row x14ac:dyDescent="0.25" r="7506" customHeight="1" ht="18.75">
      <c r="A7506" s="1" t="s">
        <v>3598</v>
      </c>
      <c r="B7506" s="1" t="s">
        <v>3663</v>
      </c>
      <c r="C7506" s="1" t="s">
        <v>3600</v>
      </c>
      <c r="D7506" s="1" t="s">
        <v>3601</v>
      </c>
      <c r="E7506" s="1" t="s">
        <v>3664</v>
      </c>
      <c r="F7506" s="1" t="s">
        <v>25567</v>
      </c>
      <c r="G7506" s="1" t="s">
        <v>7224</v>
      </c>
      <c r="H7506" s="1" t="s">
        <v>3604</v>
      </c>
      <c r="I7506" s="1" t="s">
        <v>25568</v>
      </c>
      <c r="J7506" s="1" t="s">
        <v>3606</v>
      </c>
      <c r="K7506" s="1"/>
      <c r="L7506" s="1"/>
      <c r="M7506" s="1"/>
    </row>
    <row x14ac:dyDescent="0.25" r="7507" customHeight="1" ht="18.75">
      <c r="A7507" s="1" t="s">
        <v>3598</v>
      </c>
      <c r="B7507" s="1" t="s">
        <v>6717</v>
      </c>
      <c r="C7507" s="1" t="s">
        <v>3600</v>
      </c>
      <c r="D7507" s="1" t="s">
        <v>3601</v>
      </c>
      <c r="E7507" s="1" t="s">
        <v>3664</v>
      </c>
      <c r="F7507" s="1" t="s">
        <v>25569</v>
      </c>
      <c r="G7507" s="1" t="s">
        <v>9267</v>
      </c>
      <c r="H7507" s="1" t="s">
        <v>3604</v>
      </c>
      <c r="I7507" s="1" t="s">
        <v>25570</v>
      </c>
      <c r="J7507" s="1" t="s">
        <v>3606</v>
      </c>
      <c r="K7507" s="1"/>
      <c r="L7507" s="1"/>
      <c r="M7507" s="1"/>
    </row>
    <row x14ac:dyDescent="0.25" r="7508" customHeight="1" ht="18.75">
      <c r="A7508" s="1" t="s">
        <v>3598</v>
      </c>
      <c r="B7508" s="1" t="s">
        <v>4627</v>
      </c>
      <c r="C7508" s="1" t="s">
        <v>3600</v>
      </c>
      <c r="D7508" s="1" t="s">
        <v>7891</v>
      </c>
      <c r="E7508" s="1" t="s">
        <v>3752</v>
      </c>
      <c r="F7508" s="1" t="s">
        <v>25571</v>
      </c>
      <c r="G7508" s="1" t="s">
        <v>18290</v>
      </c>
      <c r="H7508" s="1" t="s">
        <v>3604</v>
      </c>
      <c r="I7508" s="1" t="s">
        <v>25572</v>
      </c>
      <c r="J7508" s="1" t="s">
        <v>3606</v>
      </c>
      <c r="K7508" s="1"/>
      <c r="L7508" s="1"/>
      <c r="M7508" s="1"/>
    </row>
    <row x14ac:dyDescent="0.25" r="7509" customHeight="1" ht="18.75">
      <c r="A7509" s="1" t="s">
        <v>3598</v>
      </c>
      <c r="B7509" s="1" t="s">
        <v>4627</v>
      </c>
      <c r="C7509" s="1" t="s">
        <v>3600</v>
      </c>
      <c r="D7509" s="1" t="s">
        <v>7891</v>
      </c>
      <c r="E7509" s="1" t="s">
        <v>3752</v>
      </c>
      <c r="F7509" s="1" t="s">
        <v>25573</v>
      </c>
      <c r="G7509" s="1" t="s">
        <v>18290</v>
      </c>
      <c r="H7509" s="1" t="s">
        <v>3604</v>
      </c>
      <c r="I7509" s="1" t="s">
        <v>25574</v>
      </c>
      <c r="J7509" s="1" t="s">
        <v>3606</v>
      </c>
      <c r="K7509" s="1"/>
      <c r="L7509" s="1"/>
      <c r="M7509" s="1"/>
    </row>
    <row x14ac:dyDescent="0.25" r="7510" customHeight="1" ht="18.75">
      <c r="A7510" s="1" t="s">
        <v>3598</v>
      </c>
      <c r="B7510" s="1" t="s">
        <v>4627</v>
      </c>
      <c r="C7510" s="1" t="s">
        <v>3600</v>
      </c>
      <c r="D7510" s="1" t="s">
        <v>7891</v>
      </c>
      <c r="E7510" s="1" t="s">
        <v>3752</v>
      </c>
      <c r="F7510" s="1" t="s">
        <v>25575</v>
      </c>
      <c r="G7510" s="1" t="s">
        <v>18290</v>
      </c>
      <c r="H7510" s="1" t="s">
        <v>3604</v>
      </c>
      <c r="I7510" s="1" t="s">
        <v>25576</v>
      </c>
      <c r="J7510" s="1" t="s">
        <v>3606</v>
      </c>
      <c r="K7510" s="1"/>
      <c r="L7510" s="1"/>
      <c r="M7510" s="1"/>
    </row>
    <row x14ac:dyDescent="0.25" r="7511" customHeight="1" ht="18.75">
      <c r="A7511" s="1" t="s">
        <v>3598</v>
      </c>
      <c r="B7511" s="1" t="s">
        <v>4627</v>
      </c>
      <c r="C7511" s="1" t="s">
        <v>3600</v>
      </c>
      <c r="D7511" s="1" t="s">
        <v>7891</v>
      </c>
      <c r="E7511" s="1" t="s">
        <v>3752</v>
      </c>
      <c r="F7511" s="1" t="s">
        <v>25577</v>
      </c>
      <c r="G7511" s="1" t="s">
        <v>18294</v>
      </c>
      <c r="H7511" s="1" t="s">
        <v>3604</v>
      </c>
      <c r="I7511" s="1" t="s">
        <v>25578</v>
      </c>
      <c r="J7511" s="1" t="s">
        <v>3606</v>
      </c>
      <c r="K7511" s="1"/>
      <c r="L7511" s="1"/>
      <c r="M7511" s="1"/>
    </row>
    <row x14ac:dyDescent="0.25" r="7512" customHeight="1" ht="18.75">
      <c r="A7512" s="1" t="s">
        <v>3598</v>
      </c>
      <c r="B7512" s="1" t="s">
        <v>4627</v>
      </c>
      <c r="C7512" s="1" t="s">
        <v>3600</v>
      </c>
      <c r="D7512" s="1" t="s">
        <v>7891</v>
      </c>
      <c r="E7512" s="1" t="s">
        <v>3752</v>
      </c>
      <c r="F7512" s="1" t="s">
        <v>25579</v>
      </c>
      <c r="G7512" s="1" t="s">
        <v>18294</v>
      </c>
      <c r="H7512" s="1" t="s">
        <v>3604</v>
      </c>
      <c r="I7512" s="1" t="s">
        <v>25580</v>
      </c>
      <c r="J7512" s="1" t="s">
        <v>3606</v>
      </c>
      <c r="K7512" s="1"/>
      <c r="L7512" s="1"/>
      <c r="M7512" s="1"/>
    </row>
    <row x14ac:dyDescent="0.25" r="7513" customHeight="1" ht="18.75">
      <c r="A7513" s="1" t="s">
        <v>3598</v>
      </c>
      <c r="B7513" s="1" t="s">
        <v>4627</v>
      </c>
      <c r="C7513" s="1" t="s">
        <v>3600</v>
      </c>
      <c r="D7513" s="1" t="s">
        <v>7891</v>
      </c>
      <c r="E7513" s="1" t="s">
        <v>3752</v>
      </c>
      <c r="F7513" s="1" t="s">
        <v>25581</v>
      </c>
      <c r="G7513" s="1" t="s">
        <v>18294</v>
      </c>
      <c r="H7513" s="1" t="s">
        <v>3604</v>
      </c>
      <c r="I7513" s="1" t="s">
        <v>25582</v>
      </c>
      <c r="J7513" s="1" t="s">
        <v>3606</v>
      </c>
      <c r="K7513" s="1"/>
      <c r="L7513" s="1"/>
      <c r="M7513" s="1"/>
    </row>
    <row x14ac:dyDescent="0.25" r="7514" customHeight="1" ht="18.75">
      <c r="A7514" s="1" t="s">
        <v>3598</v>
      </c>
      <c r="B7514" s="1" t="s">
        <v>25583</v>
      </c>
      <c r="C7514" s="1"/>
      <c r="D7514" s="1" t="s">
        <v>3601</v>
      </c>
      <c r="E7514" s="1" t="s">
        <v>3664</v>
      </c>
      <c r="F7514" s="1" t="s">
        <v>25584</v>
      </c>
      <c r="G7514" s="1" t="s">
        <v>25585</v>
      </c>
      <c r="H7514" s="1" t="s">
        <v>3604</v>
      </c>
      <c r="I7514" s="1" t="s">
        <v>25586</v>
      </c>
      <c r="J7514" s="1" t="s">
        <v>3615</v>
      </c>
      <c r="K7514" s="1"/>
      <c r="L7514" s="1"/>
      <c r="M7514" s="1"/>
    </row>
    <row x14ac:dyDescent="0.25" r="7515" customHeight="1" ht="18.75">
      <c r="A7515" s="1" t="s">
        <v>3598</v>
      </c>
      <c r="B7515" s="1" t="s">
        <v>22952</v>
      </c>
      <c r="C7515" s="1" t="s">
        <v>3600</v>
      </c>
      <c r="D7515" s="1" t="s">
        <v>3601</v>
      </c>
      <c r="E7515" s="1" t="s">
        <v>3664</v>
      </c>
      <c r="F7515" s="1" t="s">
        <v>25587</v>
      </c>
      <c r="G7515" s="1" t="s">
        <v>22954</v>
      </c>
      <c r="H7515" s="1" t="s">
        <v>3604</v>
      </c>
      <c r="I7515" s="1" t="s">
        <v>25588</v>
      </c>
      <c r="J7515" s="1" t="s">
        <v>3615</v>
      </c>
      <c r="K7515" s="1"/>
      <c r="L7515" s="1"/>
      <c r="M7515" s="1"/>
    </row>
    <row x14ac:dyDescent="0.25" r="7516" customHeight="1" ht="18.75">
      <c r="A7516" s="1" t="s">
        <v>3598</v>
      </c>
      <c r="B7516" s="1" t="s">
        <v>18039</v>
      </c>
      <c r="C7516" s="1" t="s">
        <v>3600</v>
      </c>
      <c r="D7516" s="1" t="s">
        <v>3601</v>
      </c>
      <c r="E7516" s="1" t="s">
        <v>3664</v>
      </c>
      <c r="F7516" s="1" t="s">
        <v>25589</v>
      </c>
      <c r="G7516" s="1" t="s">
        <v>18041</v>
      </c>
      <c r="H7516" s="1" t="s">
        <v>3604</v>
      </c>
      <c r="I7516" s="1" t="s">
        <v>25590</v>
      </c>
      <c r="J7516" s="1" t="s">
        <v>3615</v>
      </c>
      <c r="K7516" s="1"/>
      <c r="L7516" s="1"/>
      <c r="M7516" s="1"/>
    </row>
    <row x14ac:dyDescent="0.25" r="7517" customHeight="1" ht="18.75">
      <c r="A7517" s="1" t="s">
        <v>3598</v>
      </c>
      <c r="B7517" s="1" t="s">
        <v>9278</v>
      </c>
      <c r="C7517" s="1" t="s">
        <v>3600</v>
      </c>
      <c r="D7517" s="1" t="s">
        <v>3601</v>
      </c>
      <c r="E7517" s="1" t="s">
        <v>3664</v>
      </c>
      <c r="F7517" s="1" t="s">
        <v>25591</v>
      </c>
      <c r="G7517" s="1" t="s">
        <v>9280</v>
      </c>
      <c r="H7517" s="1" t="s">
        <v>3604</v>
      </c>
      <c r="I7517" s="1" t="s">
        <v>25592</v>
      </c>
      <c r="J7517" s="1" t="s">
        <v>3615</v>
      </c>
      <c r="K7517" s="1"/>
      <c r="L7517" s="1"/>
      <c r="M7517" s="1"/>
    </row>
    <row x14ac:dyDescent="0.25" r="7518" customHeight="1" ht="18.75">
      <c r="A7518" s="1" t="s">
        <v>3598</v>
      </c>
      <c r="B7518" s="1" t="s">
        <v>17258</v>
      </c>
      <c r="C7518" s="1" t="s">
        <v>3600</v>
      </c>
      <c r="D7518" s="1" t="s">
        <v>3601</v>
      </c>
      <c r="E7518" s="1" t="s">
        <v>3664</v>
      </c>
      <c r="F7518" s="1" t="s">
        <v>25593</v>
      </c>
      <c r="G7518" s="1" t="s">
        <v>17260</v>
      </c>
      <c r="H7518" s="1" t="s">
        <v>3604</v>
      </c>
      <c r="I7518" s="1" t="s">
        <v>25594</v>
      </c>
      <c r="J7518" s="1" t="s">
        <v>3615</v>
      </c>
      <c r="K7518" s="1"/>
      <c r="L7518" s="1"/>
      <c r="M7518" s="1"/>
    </row>
    <row x14ac:dyDescent="0.25" r="7519" customHeight="1" ht="18.75">
      <c r="A7519" s="1" t="s">
        <v>3598</v>
      </c>
      <c r="B7519" s="1" t="s">
        <v>3814</v>
      </c>
      <c r="C7519" s="1" t="s">
        <v>3600</v>
      </c>
      <c r="D7519" s="1" t="s">
        <v>3601</v>
      </c>
      <c r="E7519" s="1" t="s">
        <v>3664</v>
      </c>
      <c r="F7519" s="1" t="s">
        <v>25595</v>
      </c>
      <c r="G7519" s="1" t="s">
        <v>25596</v>
      </c>
      <c r="H7519" s="1" t="s">
        <v>3604</v>
      </c>
      <c r="I7519" s="1" t="s">
        <v>25597</v>
      </c>
      <c r="J7519" s="1" t="s">
        <v>3615</v>
      </c>
      <c r="K7519" s="1"/>
      <c r="L7519" s="1"/>
      <c r="M7519" s="1"/>
    </row>
    <row x14ac:dyDescent="0.25" r="7520" customHeight="1" ht="18.75">
      <c r="A7520" s="1" t="s">
        <v>3598</v>
      </c>
      <c r="B7520" s="1" t="s">
        <v>14054</v>
      </c>
      <c r="C7520" s="1" t="s">
        <v>3600</v>
      </c>
      <c r="D7520" s="1" t="s">
        <v>3601</v>
      </c>
      <c r="E7520" s="1" t="s">
        <v>3664</v>
      </c>
      <c r="F7520" s="1" t="s">
        <v>25598</v>
      </c>
      <c r="G7520" s="1" t="s">
        <v>19654</v>
      </c>
      <c r="H7520" s="1" t="s">
        <v>3604</v>
      </c>
      <c r="I7520" s="1" t="s">
        <v>25599</v>
      </c>
      <c r="J7520" s="1" t="s">
        <v>3615</v>
      </c>
      <c r="K7520" s="1"/>
      <c r="L7520" s="1"/>
      <c r="M7520" s="1"/>
    </row>
    <row x14ac:dyDescent="0.25" r="7521" customHeight="1" ht="18.75">
      <c r="A7521" s="1" t="s">
        <v>3598</v>
      </c>
      <c r="B7521" s="1" t="s">
        <v>9251</v>
      </c>
      <c r="C7521" s="1" t="s">
        <v>3600</v>
      </c>
      <c r="D7521" s="1" t="s">
        <v>3601</v>
      </c>
      <c r="E7521" s="1" t="s">
        <v>3893</v>
      </c>
      <c r="F7521" s="1" t="s">
        <v>25600</v>
      </c>
      <c r="G7521" s="1" t="s">
        <v>9253</v>
      </c>
      <c r="H7521" s="1" t="s">
        <v>3604</v>
      </c>
      <c r="I7521" s="1" t="s">
        <v>25601</v>
      </c>
      <c r="J7521" s="1" t="s">
        <v>3615</v>
      </c>
      <c r="K7521" s="1"/>
      <c r="L7521" s="1"/>
      <c r="M7521" s="1"/>
    </row>
    <row x14ac:dyDescent="0.25" r="7522" customHeight="1" ht="18.75">
      <c r="A7522" s="1" t="s">
        <v>3598</v>
      </c>
      <c r="B7522" s="1" t="s">
        <v>13864</v>
      </c>
      <c r="C7522" s="1" t="s">
        <v>3600</v>
      </c>
      <c r="D7522" s="1" t="s">
        <v>533</v>
      </c>
      <c r="E7522" s="1" t="s">
        <v>3611</v>
      </c>
      <c r="F7522" s="1" t="s">
        <v>25602</v>
      </c>
      <c r="G7522" s="1" t="s">
        <v>25603</v>
      </c>
      <c r="H7522" s="1" t="s">
        <v>3604</v>
      </c>
      <c r="I7522" s="1" t="s">
        <v>25604</v>
      </c>
      <c r="J7522" s="1" t="s">
        <v>3606</v>
      </c>
      <c r="K7522" s="1" t="s">
        <v>25605</v>
      </c>
      <c r="L7522" s="1" t="s">
        <v>18202</v>
      </c>
      <c r="M7522" s="1"/>
    </row>
    <row x14ac:dyDescent="0.25" r="7523" customHeight="1" ht="18.75">
      <c r="A7523" s="1" t="s">
        <v>3598</v>
      </c>
      <c r="B7523" s="1" t="s">
        <v>13864</v>
      </c>
      <c r="C7523" s="1" t="s">
        <v>3600</v>
      </c>
      <c r="D7523" s="1" t="s">
        <v>533</v>
      </c>
      <c r="E7523" s="1" t="s">
        <v>3611</v>
      </c>
      <c r="F7523" s="1" t="s">
        <v>25606</v>
      </c>
      <c r="G7523" s="1" t="s">
        <v>25607</v>
      </c>
      <c r="H7523" s="1" t="s">
        <v>3604</v>
      </c>
      <c r="I7523" s="1" t="s">
        <v>25608</v>
      </c>
      <c r="J7523" s="1" t="s">
        <v>3606</v>
      </c>
      <c r="K7523" s="1" t="s">
        <v>25609</v>
      </c>
      <c r="L7523" s="1" t="s">
        <v>18202</v>
      </c>
      <c r="M7523" s="1"/>
    </row>
    <row x14ac:dyDescent="0.25" r="7524" customHeight="1" ht="18.75">
      <c r="A7524" s="1" t="s">
        <v>3598</v>
      </c>
      <c r="B7524" s="1" t="s">
        <v>4095</v>
      </c>
      <c r="C7524" s="1" t="s">
        <v>3600</v>
      </c>
      <c r="D7524" s="1" t="s">
        <v>3695</v>
      </c>
      <c r="E7524" s="1" t="s">
        <v>3752</v>
      </c>
      <c r="F7524" s="1" t="s">
        <v>25610</v>
      </c>
      <c r="G7524" s="1" t="s">
        <v>13837</v>
      </c>
      <c r="H7524" s="1" t="s">
        <v>3604</v>
      </c>
      <c r="I7524" s="1" t="s">
        <v>25611</v>
      </c>
      <c r="J7524" s="1" t="s">
        <v>3606</v>
      </c>
      <c r="K7524" s="1" t="s">
        <v>25612</v>
      </c>
      <c r="L7524" s="1"/>
      <c r="M7524" s="1"/>
    </row>
    <row x14ac:dyDescent="0.25" r="7525" customHeight="1" ht="18.75">
      <c r="A7525" s="1" t="s">
        <v>3598</v>
      </c>
      <c r="B7525" s="1" t="s">
        <v>4095</v>
      </c>
      <c r="C7525" s="1" t="s">
        <v>3600</v>
      </c>
      <c r="D7525" s="1" t="s">
        <v>3695</v>
      </c>
      <c r="E7525" s="1" t="s">
        <v>3752</v>
      </c>
      <c r="F7525" s="1" t="s">
        <v>25613</v>
      </c>
      <c r="G7525" s="1" t="s">
        <v>13837</v>
      </c>
      <c r="H7525" s="1" t="s">
        <v>3604</v>
      </c>
      <c r="I7525" s="1" t="s">
        <v>25614</v>
      </c>
      <c r="J7525" s="1" t="s">
        <v>3606</v>
      </c>
      <c r="K7525" s="1" t="s">
        <v>25615</v>
      </c>
      <c r="L7525" s="1"/>
      <c r="M7525" s="1"/>
    </row>
    <row x14ac:dyDescent="0.25" r="7526" customHeight="1" ht="18.75">
      <c r="A7526" s="1" t="s">
        <v>3598</v>
      </c>
      <c r="B7526" s="1" t="s">
        <v>4095</v>
      </c>
      <c r="C7526" s="1" t="s">
        <v>3600</v>
      </c>
      <c r="D7526" s="1" t="s">
        <v>3695</v>
      </c>
      <c r="E7526" s="1" t="s">
        <v>3752</v>
      </c>
      <c r="F7526" s="1" t="s">
        <v>25616</v>
      </c>
      <c r="G7526" s="1" t="s">
        <v>8983</v>
      </c>
      <c r="H7526" s="1" t="s">
        <v>3604</v>
      </c>
      <c r="I7526" s="1" t="s">
        <v>25617</v>
      </c>
      <c r="J7526" s="1" t="s">
        <v>3606</v>
      </c>
      <c r="K7526" s="1" t="s">
        <v>25618</v>
      </c>
      <c r="L7526" s="1"/>
      <c r="M7526" s="1"/>
    </row>
    <row x14ac:dyDescent="0.25" r="7527" customHeight="1" ht="18.75">
      <c r="A7527" s="1" t="s">
        <v>3598</v>
      </c>
      <c r="B7527" s="1" t="s">
        <v>4095</v>
      </c>
      <c r="C7527" s="1" t="s">
        <v>3600</v>
      </c>
      <c r="D7527" s="1" t="s">
        <v>3695</v>
      </c>
      <c r="E7527" s="1" t="s">
        <v>3752</v>
      </c>
      <c r="F7527" s="1" t="s">
        <v>25619</v>
      </c>
      <c r="G7527" s="1" t="s">
        <v>8983</v>
      </c>
      <c r="H7527" s="1" t="s">
        <v>3604</v>
      </c>
      <c r="I7527" s="1" t="s">
        <v>25620</v>
      </c>
      <c r="J7527" s="1" t="s">
        <v>3606</v>
      </c>
      <c r="K7527" s="1" t="s">
        <v>25621</v>
      </c>
      <c r="L7527" s="1"/>
      <c r="M7527" s="1"/>
    </row>
    <row x14ac:dyDescent="0.25" r="7528" customHeight="1" ht="18.75">
      <c r="A7528" s="1" t="s">
        <v>3598</v>
      </c>
      <c r="B7528" s="1" t="s">
        <v>4095</v>
      </c>
      <c r="C7528" s="1" t="s">
        <v>3600</v>
      </c>
      <c r="D7528" s="1" t="s">
        <v>3695</v>
      </c>
      <c r="E7528" s="1" t="s">
        <v>3752</v>
      </c>
      <c r="F7528" s="1" t="s">
        <v>25622</v>
      </c>
      <c r="G7528" s="1" t="s">
        <v>5247</v>
      </c>
      <c r="H7528" s="1" t="s">
        <v>3604</v>
      </c>
      <c r="I7528" s="1" t="s">
        <v>25623</v>
      </c>
      <c r="J7528" s="1" t="s">
        <v>3606</v>
      </c>
      <c r="K7528" s="1" t="s">
        <v>25624</v>
      </c>
      <c r="L7528" s="1"/>
      <c r="M7528" s="1"/>
    </row>
    <row x14ac:dyDescent="0.25" r="7529" customHeight="1" ht="18.75">
      <c r="A7529" s="1" t="s">
        <v>3598</v>
      </c>
      <c r="B7529" s="1" t="s">
        <v>4095</v>
      </c>
      <c r="C7529" s="1" t="s">
        <v>3600</v>
      </c>
      <c r="D7529" s="1" t="s">
        <v>3695</v>
      </c>
      <c r="E7529" s="1" t="s">
        <v>3752</v>
      </c>
      <c r="F7529" s="1" t="s">
        <v>25625</v>
      </c>
      <c r="G7529" s="1" t="s">
        <v>5247</v>
      </c>
      <c r="H7529" s="1" t="s">
        <v>3604</v>
      </c>
      <c r="I7529" s="1" t="s">
        <v>25626</v>
      </c>
      <c r="J7529" s="1" t="s">
        <v>3606</v>
      </c>
      <c r="K7529" s="1" t="s">
        <v>25627</v>
      </c>
      <c r="L7529" s="1"/>
      <c r="M7529" s="1"/>
    </row>
    <row x14ac:dyDescent="0.25" r="7530" customHeight="1" ht="18.75">
      <c r="A7530" s="1" t="s">
        <v>3598</v>
      </c>
      <c r="B7530" s="1" t="s">
        <v>4095</v>
      </c>
      <c r="C7530" s="1" t="s">
        <v>3600</v>
      </c>
      <c r="D7530" s="1" t="s">
        <v>3695</v>
      </c>
      <c r="E7530" s="1" t="s">
        <v>3752</v>
      </c>
      <c r="F7530" s="1" t="s">
        <v>25628</v>
      </c>
      <c r="G7530" s="1" t="s">
        <v>5247</v>
      </c>
      <c r="H7530" s="1" t="s">
        <v>3604</v>
      </c>
      <c r="I7530" s="1" t="s">
        <v>25629</v>
      </c>
      <c r="J7530" s="1" t="s">
        <v>3606</v>
      </c>
      <c r="K7530" s="1" t="s">
        <v>25630</v>
      </c>
      <c r="L7530" s="1"/>
      <c r="M7530" s="1"/>
    </row>
    <row x14ac:dyDescent="0.25" r="7531" customHeight="1" ht="18.75">
      <c r="A7531" s="1" t="s">
        <v>3598</v>
      </c>
      <c r="B7531" s="1" t="s">
        <v>4095</v>
      </c>
      <c r="C7531" s="1" t="s">
        <v>3600</v>
      </c>
      <c r="D7531" s="1" t="s">
        <v>3695</v>
      </c>
      <c r="E7531" s="1" t="s">
        <v>3752</v>
      </c>
      <c r="F7531" s="1" t="s">
        <v>25631</v>
      </c>
      <c r="G7531" s="1" t="s">
        <v>5247</v>
      </c>
      <c r="H7531" s="1" t="s">
        <v>3604</v>
      </c>
      <c r="I7531" s="1" t="s">
        <v>25632</v>
      </c>
      <c r="J7531" s="1" t="s">
        <v>3606</v>
      </c>
      <c r="K7531" s="1" t="s">
        <v>25633</v>
      </c>
      <c r="L7531" s="1"/>
      <c r="M7531" s="1"/>
    </row>
    <row x14ac:dyDescent="0.25" r="7532" customHeight="1" ht="18.75">
      <c r="A7532" s="1" t="s">
        <v>3598</v>
      </c>
      <c r="B7532" s="1" t="s">
        <v>4095</v>
      </c>
      <c r="C7532" s="1" t="s">
        <v>3600</v>
      </c>
      <c r="D7532" s="1" t="s">
        <v>3695</v>
      </c>
      <c r="E7532" s="1" t="s">
        <v>3752</v>
      </c>
      <c r="F7532" s="1" t="s">
        <v>25634</v>
      </c>
      <c r="G7532" s="1" t="s">
        <v>5247</v>
      </c>
      <c r="H7532" s="1" t="s">
        <v>3604</v>
      </c>
      <c r="I7532" s="1" t="s">
        <v>25635</v>
      </c>
      <c r="J7532" s="1" t="s">
        <v>3606</v>
      </c>
      <c r="K7532" s="1" t="s">
        <v>25636</v>
      </c>
      <c r="L7532" s="1"/>
      <c r="M7532" s="1"/>
    </row>
    <row x14ac:dyDescent="0.25" r="7533" customHeight="1" ht="18.75">
      <c r="A7533" s="1" t="s">
        <v>3598</v>
      </c>
      <c r="B7533" s="1" t="s">
        <v>13864</v>
      </c>
      <c r="C7533" s="1" t="s">
        <v>3600</v>
      </c>
      <c r="D7533" s="1" t="s">
        <v>3601</v>
      </c>
      <c r="E7533" s="1" t="s">
        <v>3611</v>
      </c>
      <c r="F7533" s="1" t="s">
        <v>25637</v>
      </c>
      <c r="G7533" s="1" t="s">
        <v>25638</v>
      </c>
      <c r="H7533" s="1" t="s">
        <v>3604</v>
      </c>
      <c r="I7533" s="1" t="s">
        <v>25639</v>
      </c>
      <c r="J7533" s="1" t="s">
        <v>3606</v>
      </c>
      <c r="K7533" s="1"/>
      <c r="L7533" s="1" t="s">
        <v>25640</v>
      </c>
      <c r="M7533" s="1"/>
    </row>
    <row x14ac:dyDescent="0.25" r="7534" customHeight="1" ht="18.75">
      <c r="A7534" s="1" t="s">
        <v>3598</v>
      </c>
      <c r="B7534" s="1" t="s">
        <v>5252</v>
      </c>
      <c r="C7534" s="1" t="s">
        <v>3600</v>
      </c>
      <c r="D7534" s="1" t="s">
        <v>3695</v>
      </c>
      <c r="E7534" s="1" t="s">
        <v>3893</v>
      </c>
      <c r="F7534" s="1" t="s">
        <v>25641</v>
      </c>
      <c r="G7534" s="1" t="s">
        <v>8604</v>
      </c>
      <c r="H7534" s="1" t="s">
        <v>3604</v>
      </c>
      <c r="I7534" s="1" t="s">
        <v>25642</v>
      </c>
      <c r="J7534" s="1" t="s">
        <v>3606</v>
      </c>
      <c r="K7534" s="1" t="s">
        <v>25643</v>
      </c>
      <c r="L7534" s="1"/>
      <c r="M7534" s="1"/>
    </row>
    <row x14ac:dyDescent="0.25" r="7535" customHeight="1" ht="18.75">
      <c r="A7535" s="1" t="s">
        <v>3598</v>
      </c>
      <c r="B7535" s="1" t="s">
        <v>5252</v>
      </c>
      <c r="C7535" s="1" t="s">
        <v>3600</v>
      </c>
      <c r="D7535" s="1" t="s">
        <v>3695</v>
      </c>
      <c r="E7535" s="1" t="s">
        <v>3893</v>
      </c>
      <c r="F7535" s="1" t="s">
        <v>25644</v>
      </c>
      <c r="G7535" s="1" t="s">
        <v>16725</v>
      </c>
      <c r="H7535" s="1" t="s">
        <v>3604</v>
      </c>
      <c r="I7535" s="1" t="s">
        <v>25645</v>
      </c>
      <c r="J7535" s="1" t="s">
        <v>3606</v>
      </c>
      <c r="K7535" s="1" t="s">
        <v>25646</v>
      </c>
      <c r="L7535" s="1"/>
      <c r="M7535" s="1"/>
    </row>
    <row x14ac:dyDescent="0.25" r="7536" customHeight="1" ht="18.75">
      <c r="A7536" s="1" t="s">
        <v>3598</v>
      </c>
      <c r="B7536" s="1" t="s">
        <v>8572</v>
      </c>
      <c r="C7536" s="1" t="s">
        <v>3600</v>
      </c>
      <c r="D7536" s="1" t="s">
        <v>3695</v>
      </c>
      <c r="E7536" s="1" t="s">
        <v>3893</v>
      </c>
      <c r="F7536" s="1" t="s">
        <v>25647</v>
      </c>
      <c r="G7536" s="1" t="s">
        <v>8604</v>
      </c>
      <c r="H7536" s="1" t="s">
        <v>3604</v>
      </c>
      <c r="I7536" s="1" t="s">
        <v>25648</v>
      </c>
      <c r="J7536" s="1" t="s">
        <v>3606</v>
      </c>
      <c r="K7536" s="1" t="s">
        <v>25649</v>
      </c>
      <c r="L7536" s="1"/>
      <c r="M7536" s="1"/>
    </row>
    <row x14ac:dyDescent="0.25" r="7537" customHeight="1" ht="18.75">
      <c r="A7537" s="1" t="s">
        <v>3598</v>
      </c>
      <c r="B7537" s="1" t="s">
        <v>8572</v>
      </c>
      <c r="C7537" s="1" t="s">
        <v>3600</v>
      </c>
      <c r="D7537" s="1" t="s">
        <v>3695</v>
      </c>
      <c r="E7537" s="1" t="s">
        <v>3893</v>
      </c>
      <c r="F7537" s="1" t="s">
        <v>25650</v>
      </c>
      <c r="G7537" s="1" t="s">
        <v>8604</v>
      </c>
      <c r="H7537" s="1" t="s">
        <v>3604</v>
      </c>
      <c r="I7537" s="1" t="s">
        <v>25651</v>
      </c>
      <c r="J7537" s="1" t="s">
        <v>3606</v>
      </c>
      <c r="K7537" s="1" t="s">
        <v>25652</v>
      </c>
      <c r="L7537" s="1"/>
      <c r="M7537" s="1"/>
    </row>
    <row x14ac:dyDescent="0.25" r="7538" customHeight="1" ht="18.75">
      <c r="A7538" s="1" t="s">
        <v>3598</v>
      </c>
      <c r="B7538" s="1" t="s">
        <v>8572</v>
      </c>
      <c r="C7538" s="1" t="s">
        <v>3600</v>
      </c>
      <c r="D7538" s="1" t="s">
        <v>3695</v>
      </c>
      <c r="E7538" s="1" t="s">
        <v>3893</v>
      </c>
      <c r="F7538" s="1" t="s">
        <v>25653</v>
      </c>
      <c r="G7538" s="1" t="s">
        <v>8604</v>
      </c>
      <c r="H7538" s="1" t="s">
        <v>3604</v>
      </c>
      <c r="I7538" s="1" t="s">
        <v>25654</v>
      </c>
      <c r="J7538" s="1" t="s">
        <v>3606</v>
      </c>
      <c r="K7538" s="1" t="s">
        <v>25643</v>
      </c>
      <c r="L7538" s="1"/>
      <c r="M7538" s="1"/>
    </row>
    <row x14ac:dyDescent="0.25" r="7539" customHeight="1" ht="18.75">
      <c r="A7539" s="1" t="s">
        <v>7833</v>
      </c>
      <c r="B7539" s="1" t="s">
        <v>8178</v>
      </c>
      <c r="C7539" s="1" t="s">
        <v>3619</v>
      </c>
      <c r="D7539" s="1" t="s">
        <v>3695</v>
      </c>
      <c r="E7539" s="1" t="s">
        <v>3664</v>
      </c>
      <c r="F7539" s="1" t="s">
        <v>25655</v>
      </c>
      <c r="G7539" s="1" t="s">
        <v>25481</v>
      </c>
      <c r="H7539" s="1" t="s">
        <v>3604</v>
      </c>
      <c r="I7539" s="1" t="s">
        <v>25656</v>
      </c>
      <c r="J7539" s="1" t="s">
        <v>3606</v>
      </c>
      <c r="K7539" s="1" t="s">
        <v>25657</v>
      </c>
      <c r="L7539" s="1"/>
      <c r="M7539" s="1"/>
    </row>
    <row x14ac:dyDescent="0.25" r="7540" customHeight="1" ht="18.75">
      <c r="A7540" s="1" t="s">
        <v>7833</v>
      </c>
      <c r="B7540" s="1" t="s">
        <v>8178</v>
      </c>
      <c r="C7540" s="1" t="s">
        <v>3619</v>
      </c>
      <c r="D7540" s="1" t="s">
        <v>3695</v>
      </c>
      <c r="E7540" s="1" t="s">
        <v>3664</v>
      </c>
      <c r="F7540" s="1" t="s">
        <v>25658</v>
      </c>
      <c r="G7540" s="1" t="s">
        <v>25481</v>
      </c>
      <c r="H7540" s="1" t="s">
        <v>3604</v>
      </c>
      <c r="I7540" s="1" t="s">
        <v>25659</v>
      </c>
      <c r="J7540" s="1" t="s">
        <v>3606</v>
      </c>
      <c r="K7540" s="1" t="s">
        <v>25660</v>
      </c>
      <c r="L7540" s="1"/>
      <c r="M7540" s="1"/>
    </row>
    <row x14ac:dyDescent="0.25" r="7541" customHeight="1" ht="18.75">
      <c r="A7541" s="1" t="s">
        <v>7833</v>
      </c>
      <c r="B7541" s="1" t="s">
        <v>8178</v>
      </c>
      <c r="C7541" s="1" t="s">
        <v>3619</v>
      </c>
      <c r="D7541" s="1" t="s">
        <v>3695</v>
      </c>
      <c r="E7541" s="1" t="s">
        <v>3664</v>
      </c>
      <c r="F7541" s="1" t="s">
        <v>25661</v>
      </c>
      <c r="G7541" s="1" t="s">
        <v>25481</v>
      </c>
      <c r="H7541" s="1" t="s">
        <v>3604</v>
      </c>
      <c r="I7541" s="1" t="s">
        <v>25662</v>
      </c>
      <c r="J7541" s="1" t="s">
        <v>3606</v>
      </c>
      <c r="K7541" s="1" t="s">
        <v>25663</v>
      </c>
      <c r="L7541" s="1"/>
      <c r="M7541" s="1"/>
    </row>
    <row x14ac:dyDescent="0.25" r="7542" customHeight="1" ht="18.75">
      <c r="A7542" s="1" t="s">
        <v>7833</v>
      </c>
      <c r="B7542" s="1" t="s">
        <v>8249</v>
      </c>
      <c r="C7542" s="1" t="s">
        <v>4488</v>
      </c>
      <c r="D7542" s="1" t="s">
        <v>3601</v>
      </c>
      <c r="E7542" s="1" t="s">
        <v>3664</v>
      </c>
      <c r="F7542" s="1" t="s">
        <v>25664</v>
      </c>
      <c r="G7542" s="1" t="s">
        <v>8251</v>
      </c>
      <c r="H7542" s="1" t="s">
        <v>3604</v>
      </c>
      <c r="I7542" s="1" t="s">
        <v>25665</v>
      </c>
      <c r="J7542" s="1" t="s">
        <v>3606</v>
      </c>
      <c r="K7542" s="1" t="s">
        <v>25666</v>
      </c>
      <c r="L7542" s="1"/>
      <c r="M7542" s="1"/>
    </row>
    <row x14ac:dyDescent="0.25" r="7543" customHeight="1" ht="18.75">
      <c r="A7543" s="1" t="s">
        <v>7833</v>
      </c>
      <c r="B7543" s="1" t="s">
        <v>8249</v>
      </c>
      <c r="C7543" s="1" t="s">
        <v>4488</v>
      </c>
      <c r="D7543" s="1" t="s">
        <v>3601</v>
      </c>
      <c r="E7543" s="1" t="s">
        <v>3664</v>
      </c>
      <c r="F7543" s="1" t="s">
        <v>25667</v>
      </c>
      <c r="G7543" s="1" t="s">
        <v>8255</v>
      </c>
      <c r="H7543" s="1" t="s">
        <v>3604</v>
      </c>
      <c r="I7543" s="1" t="s">
        <v>25668</v>
      </c>
      <c r="J7543" s="1" t="s">
        <v>3606</v>
      </c>
      <c r="K7543" s="1" t="s">
        <v>25669</v>
      </c>
      <c r="L7543" s="1"/>
      <c r="M7543" s="1"/>
    </row>
    <row x14ac:dyDescent="0.25" r="7544" customHeight="1" ht="18.75">
      <c r="A7544" s="1" t="s">
        <v>7833</v>
      </c>
      <c r="B7544" s="1" t="s">
        <v>8249</v>
      </c>
      <c r="C7544" s="1" t="s">
        <v>4488</v>
      </c>
      <c r="D7544" s="1" t="s">
        <v>3601</v>
      </c>
      <c r="E7544" s="1" t="s">
        <v>3664</v>
      </c>
      <c r="F7544" s="1" t="s">
        <v>25670</v>
      </c>
      <c r="G7544" s="1" t="s">
        <v>8251</v>
      </c>
      <c r="H7544" s="1" t="s">
        <v>3604</v>
      </c>
      <c r="I7544" s="1" t="s">
        <v>25671</v>
      </c>
      <c r="J7544" s="1" t="s">
        <v>3606</v>
      </c>
      <c r="K7544" s="1" t="s">
        <v>25666</v>
      </c>
      <c r="L7544" s="1"/>
      <c r="M7544" s="1"/>
    </row>
    <row x14ac:dyDescent="0.25" r="7545" customHeight="1" ht="18.75">
      <c r="A7545" s="1" t="s">
        <v>7833</v>
      </c>
      <c r="B7545" s="1" t="s">
        <v>8249</v>
      </c>
      <c r="C7545" s="1" t="s">
        <v>4488</v>
      </c>
      <c r="D7545" s="1" t="s">
        <v>3601</v>
      </c>
      <c r="E7545" s="1" t="s">
        <v>3664</v>
      </c>
      <c r="F7545" s="1" t="s">
        <v>25672</v>
      </c>
      <c r="G7545" s="1" t="s">
        <v>8251</v>
      </c>
      <c r="H7545" s="1" t="s">
        <v>3604</v>
      </c>
      <c r="I7545" s="1" t="s">
        <v>25673</v>
      </c>
      <c r="J7545" s="1" t="s">
        <v>3606</v>
      </c>
      <c r="K7545" s="1" t="s">
        <v>25666</v>
      </c>
      <c r="L7545" s="1"/>
      <c r="M7545" s="1"/>
    </row>
    <row x14ac:dyDescent="0.25" r="7546" customHeight="1" ht="18.75">
      <c r="A7546" s="1" t="s">
        <v>7833</v>
      </c>
      <c r="B7546" s="1" t="s">
        <v>8249</v>
      </c>
      <c r="C7546" s="1" t="s">
        <v>4488</v>
      </c>
      <c r="D7546" s="1" t="s">
        <v>3601</v>
      </c>
      <c r="E7546" s="1" t="s">
        <v>3664</v>
      </c>
      <c r="F7546" s="1" t="s">
        <v>25674</v>
      </c>
      <c r="G7546" s="1" t="s">
        <v>25675</v>
      </c>
      <c r="H7546" s="1" t="s">
        <v>3604</v>
      </c>
      <c r="I7546" s="1" t="s">
        <v>25676</v>
      </c>
      <c r="J7546" s="1" t="s">
        <v>3606</v>
      </c>
      <c r="K7546" s="1" t="s">
        <v>25669</v>
      </c>
      <c r="L7546" s="1"/>
      <c r="M7546" s="1"/>
    </row>
    <row x14ac:dyDescent="0.25" r="7547" customHeight="1" ht="18.75">
      <c r="A7547" s="1" t="s">
        <v>7833</v>
      </c>
      <c r="B7547" s="1" t="s">
        <v>8249</v>
      </c>
      <c r="C7547" s="1" t="s">
        <v>4488</v>
      </c>
      <c r="D7547" s="1" t="s">
        <v>3601</v>
      </c>
      <c r="E7547" s="1" t="s">
        <v>3664</v>
      </c>
      <c r="F7547" s="1" t="s">
        <v>25677</v>
      </c>
      <c r="G7547" s="1" t="s">
        <v>25678</v>
      </c>
      <c r="H7547" s="1" t="s">
        <v>3604</v>
      </c>
      <c r="I7547" s="1" t="s">
        <v>25679</v>
      </c>
      <c r="J7547" s="1" t="s">
        <v>3606</v>
      </c>
      <c r="K7547" s="1" t="s">
        <v>25669</v>
      </c>
      <c r="L7547" s="1"/>
      <c r="M7547" s="1"/>
    </row>
    <row x14ac:dyDescent="0.25" r="7548" customHeight="1" ht="18.75">
      <c r="A7548" s="1" t="s">
        <v>7833</v>
      </c>
      <c r="B7548" s="1" t="s">
        <v>8249</v>
      </c>
      <c r="C7548" s="1" t="s">
        <v>4488</v>
      </c>
      <c r="D7548" s="1" t="s">
        <v>3601</v>
      </c>
      <c r="E7548" s="1" t="s">
        <v>3664</v>
      </c>
      <c r="F7548" s="1" t="s">
        <v>25680</v>
      </c>
      <c r="G7548" s="1" t="s">
        <v>25681</v>
      </c>
      <c r="H7548" s="1" t="s">
        <v>3604</v>
      </c>
      <c r="I7548" s="1" t="s">
        <v>25682</v>
      </c>
      <c r="J7548" s="1" t="s">
        <v>3606</v>
      </c>
      <c r="K7548" s="1" t="s">
        <v>25683</v>
      </c>
      <c r="L7548" s="1"/>
      <c r="M7548" s="1"/>
    </row>
    <row x14ac:dyDescent="0.25" r="7549" customHeight="1" ht="18.75">
      <c r="A7549" s="1" t="s">
        <v>7833</v>
      </c>
      <c r="B7549" s="1" t="s">
        <v>9216</v>
      </c>
      <c r="C7549" s="1" t="s">
        <v>4488</v>
      </c>
      <c r="D7549" s="1" t="s">
        <v>3601</v>
      </c>
      <c r="E7549" s="1" t="s">
        <v>3664</v>
      </c>
      <c r="F7549" s="1" t="s">
        <v>25684</v>
      </c>
      <c r="G7549" s="1" t="s">
        <v>9218</v>
      </c>
      <c r="H7549" s="1" t="s">
        <v>3604</v>
      </c>
      <c r="I7549" s="1" t="s">
        <v>25685</v>
      </c>
      <c r="J7549" s="1" t="s">
        <v>3606</v>
      </c>
      <c r="K7549" s="1" t="s">
        <v>25686</v>
      </c>
      <c r="L7549" s="1"/>
      <c r="M7549" s="1"/>
    </row>
    <row x14ac:dyDescent="0.25" r="7550" customHeight="1" ht="18.75">
      <c r="A7550" s="1" t="s">
        <v>7833</v>
      </c>
      <c r="B7550" s="1" t="s">
        <v>9216</v>
      </c>
      <c r="C7550" s="1" t="s">
        <v>4488</v>
      </c>
      <c r="D7550" s="1" t="s">
        <v>3601</v>
      </c>
      <c r="E7550" s="1" t="s">
        <v>3611</v>
      </c>
      <c r="F7550" s="1" t="s">
        <v>25687</v>
      </c>
      <c r="G7550" s="1" t="s">
        <v>9218</v>
      </c>
      <c r="H7550" s="1" t="s">
        <v>3604</v>
      </c>
      <c r="I7550" s="1" t="s">
        <v>25688</v>
      </c>
      <c r="J7550" s="1" t="s">
        <v>3606</v>
      </c>
      <c r="K7550" s="1" t="s">
        <v>25689</v>
      </c>
      <c r="L7550" s="1"/>
      <c r="M7550" s="1"/>
    </row>
    <row x14ac:dyDescent="0.25" r="7551" customHeight="1" ht="18.75">
      <c r="A7551" s="1" t="s">
        <v>7833</v>
      </c>
      <c r="B7551" s="1" t="s">
        <v>9216</v>
      </c>
      <c r="C7551" s="1" t="s">
        <v>4488</v>
      </c>
      <c r="D7551" s="1" t="s">
        <v>3601</v>
      </c>
      <c r="E7551" s="1" t="s">
        <v>3611</v>
      </c>
      <c r="F7551" s="1" t="s">
        <v>25690</v>
      </c>
      <c r="G7551" s="1" t="s">
        <v>9218</v>
      </c>
      <c r="H7551" s="1" t="s">
        <v>3604</v>
      </c>
      <c r="I7551" s="1" t="s">
        <v>25691</v>
      </c>
      <c r="J7551" s="1" t="s">
        <v>3606</v>
      </c>
      <c r="K7551" s="1" t="s">
        <v>25689</v>
      </c>
      <c r="L7551" s="1"/>
      <c r="M7551" s="1"/>
    </row>
    <row x14ac:dyDescent="0.25" r="7552" customHeight="1" ht="18.75">
      <c r="A7552" s="1" t="s">
        <v>7833</v>
      </c>
      <c r="B7552" s="1" t="s">
        <v>9216</v>
      </c>
      <c r="C7552" s="1" t="s">
        <v>4488</v>
      </c>
      <c r="D7552" s="1" t="s">
        <v>3601</v>
      </c>
      <c r="E7552" s="1" t="s">
        <v>3611</v>
      </c>
      <c r="F7552" s="1" t="s">
        <v>25692</v>
      </c>
      <c r="G7552" s="1" t="s">
        <v>9218</v>
      </c>
      <c r="H7552" s="1" t="s">
        <v>3604</v>
      </c>
      <c r="I7552" s="1" t="s">
        <v>25693</v>
      </c>
      <c r="J7552" s="1" t="s">
        <v>3606</v>
      </c>
      <c r="K7552" s="1" t="s">
        <v>25689</v>
      </c>
      <c r="L7552" s="1"/>
      <c r="M7552" s="1"/>
    </row>
    <row x14ac:dyDescent="0.25" r="7553" customHeight="1" ht="18.75">
      <c r="A7553" s="1" t="s">
        <v>7833</v>
      </c>
      <c r="B7553" s="1" t="s">
        <v>9216</v>
      </c>
      <c r="C7553" s="1" t="s">
        <v>4488</v>
      </c>
      <c r="D7553" s="1" t="s">
        <v>3721</v>
      </c>
      <c r="E7553" s="1" t="s">
        <v>3981</v>
      </c>
      <c r="F7553" s="1" t="s">
        <v>25694</v>
      </c>
      <c r="G7553" s="1" t="s">
        <v>9218</v>
      </c>
      <c r="H7553" s="1" t="s">
        <v>3604</v>
      </c>
      <c r="I7553" s="1" t="s">
        <v>25695</v>
      </c>
      <c r="J7553" s="1" t="s">
        <v>3606</v>
      </c>
      <c r="K7553" s="1" t="s">
        <v>25696</v>
      </c>
      <c r="L7553" s="1"/>
      <c r="M7553" s="1"/>
    </row>
    <row x14ac:dyDescent="0.25" r="7554" customHeight="1" ht="18.75">
      <c r="A7554" s="1" t="s">
        <v>7833</v>
      </c>
      <c r="B7554" s="1" t="s">
        <v>9216</v>
      </c>
      <c r="C7554" s="1" t="s">
        <v>4488</v>
      </c>
      <c r="D7554" s="1" t="s">
        <v>3721</v>
      </c>
      <c r="E7554" s="1" t="s">
        <v>3981</v>
      </c>
      <c r="F7554" s="1" t="s">
        <v>25697</v>
      </c>
      <c r="G7554" s="1" t="s">
        <v>9218</v>
      </c>
      <c r="H7554" s="1" t="s">
        <v>3604</v>
      </c>
      <c r="I7554" s="1" t="s">
        <v>25698</v>
      </c>
      <c r="J7554" s="1" t="s">
        <v>3606</v>
      </c>
      <c r="K7554" s="1" t="s">
        <v>25699</v>
      </c>
      <c r="L7554" s="1"/>
      <c r="M7554" s="1"/>
    </row>
    <row x14ac:dyDescent="0.25" r="7555" customHeight="1" ht="18.75">
      <c r="A7555" s="1" t="s">
        <v>7833</v>
      </c>
      <c r="B7555" s="1" t="s">
        <v>9216</v>
      </c>
      <c r="C7555" s="1" t="s">
        <v>4488</v>
      </c>
      <c r="D7555" s="1" t="s">
        <v>3721</v>
      </c>
      <c r="E7555" s="1" t="s">
        <v>3664</v>
      </c>
      <c r="F7555" s="1" t="s">
        <v>25700</v>
      </c>
      <c r="G7555" s="1" t="s">
        <v>9218</v>
      </c>
      <c r="H7555" s="1" t="s">
        <v>3604</v>
      </c>
      <c r="I7555" s="1" t="s">
        <v>25701</v>
      </c>
      <c r="J7555" s="1" t="s">
        <v>3606</v>
      </c>
      <c r="K7555" s="1" t="s">
        <v>25702</v>
      </c>
      <c r="L7555" s="1"/>
      <c r="M7555" s="1"/>
    </row>
    <row x14ac:dyDescent="0.25" r="7556" customHeight="1" ht="18.75">
      <c r="A7556" s="1" t="s">
        <v>7833</v>
      </c>
      <c r="B7556" s="1" t="s">
        <v>9216</v>
      </c>
      <c r="C7556" s="1" t="s">
        <v>4488</v>
      </c>
      <c r="D7556" s="1" t="s">
        <v>3721</v>
      </c>
      <c r="E7556" s="1" t="s">
        <v>3664</v>
      </c>
      <c r="F7556" s="1" t="s">
        <v>25703</v>
      </c>
      <c r="G7556" s="1" t="s">
        <v>9218</v>
      </c>
      <c r="H7556" s="1" t="s">
        <v>3604</v>
      </c>
      <c r="I7556" s="1" t="s">
        <v>25704</v>
      </c>
      <c r="J7556" s="1" t="s">
        <v>3606</v>
      </c>
      <c r="K7556" s="1" t="s">
        <v>25705</v>
      </c>
      <c r="L7556" s="1"/>
      <c r="M7556" s="1"/>
    </row>
    <row x14ac:dyDescent="0.25" r="7557" customHeight="1" ht="18.75">
      <c r="A7557" s="1" t="s">
        <v>7833</v>
      </c>
      <c r="B7557" s="1" t="s">
        <v>8306</v>
      </c>
      <c r="C7557" s="1" t="s">
        <v>4488</v>
      </c>
      <c r="D7557" s="1" t="s">
        <v>3695</v>
      </c>
      <c r="E7557" s="1" t="s">
        <v>3664</v>
      </c>
      <c r="F7557" s="1" t="s">
        <v>25706</v>
      </c>
      <c r="G7557" s="1" t="s">
        <v>25707</v>
      </c>
      <c r="H7557" s="1" t="s">
        <v>3604</v>
      </c>
      <c r="I7557" s="1" t="s">
        <v>25708</v>
      </c>
      <c r="J7557" s="1" t="s">
        <v>3606</v>
      </c>
      <c r="K7557" s="1" t="s">
        <v>25709</v>
      </c>
      <c r="L7557" s="1"/>
      <c r="M7557" s="1"/>
    </row>
    <row x14ac:dyDescent="0.25" r="7558" customHeight="1" ht="18.75">
      <c r="A7558" s="1" t="s">
        <v>7833</v>
      </c>
      <c r="B7558" s="1" t="s">
        <v>8306</v>
      </c>
      <c r="C7558" s="1" t="s">
        <v>4488</v>
      </c>
      <c r="D7558" s="1" t="s">
        <v>3695</v>
      </c>
      <c r="E7558" s="1" t="s">
        <v>3664</v>
      </c>
      <c r="F7558" s="1" t="s">
        <v>25710</v>
      </c>
      <c r="G7558" s="1" t="s">
        <v>25711</v>
      </c>
      <c r="H7558" s="1" t="s">
        <v>3604</v>
      </c>
      <c r="I7558" s="1" t="s">
        <v>25712</v>
      </c>
      <c r="J7558" s="1" t="s">
        <v>3606</v>
      </c>
      <c r="K7558" s="1" t="s">
        <v>25713</v>
      </c>
      <c r="L7558" s="1"/>
      <c r="M7558" s="1"/>
    </row>
    <row x14ac:dyDescent="0.25" r="7559" customHeight="1" ht="18.75">
      <c r="A7559" s="1" t="s">
        <v>7833</v>
      </c>
      <c r="B7559" s="1" t="s">
        <v>8306</v>
      </c>
      <c r="C7559" s="1" t="s">
        <v>4488</v>
      </c>
      <c r="D7559" s="1" t="s">
        <v>3695</v>
      </c>
      <c r="E7559" s="1" t="s">
        <v>3664</v>
      </c>
      <c r="F7559" s="1" t="s">
        <v>25714</v>
      </c>
      <c r="G7559" s="1" t="s">
        <v>25711</v>
      </c>
      <c r="H7559" s="1" t="s">
        <v>3604</v>
      </c>
      <c r="I7559" s="1" t="s">
        <v>25715</v>
      </c>
      <c r="J7559" s="1" t="s">
        <v>3606</v>
      </c>
      <c r="K7559" s="1" t="s">
        <v>25716</v>
      </c>
      <c r="L7559" s="1"/>
      <c r="M7559" s="1"/>
    </row>
    <row x14ac:dyDescent="0.25" r="7560" customHeight="1" ht="18.75">
      <c r="A7560" s="1" t="s">
        <v>7833</v>
      </c>
      <c r="B7560" s="1" t="s">
        <v>8306</v>
      </c>
      <c r="C7560" s="1" t="s">
        <v>4488</v>
      </c>
      <c r="D7560" s="1" t="s">
        <v>3601</v>
      </c>
      <c r="E7560" s="1" t="s">
        <v>3664</v>
      </c>
      <c r="F7560" s="1" t="s">
        <v>25717</v>
      </c>
      <c r="G7560" s="1" t="s">
        <v>25707</v>
      </c>
      <c r="H7560" s="1" t="s">
        <v>3604</v>
      </c>
      <c r="I7560" s="1" t="s">
        <v>25718</v>
      </c>
      <c r="J7560" s="1" t="s">
        <v>3606</v>
      </c>
      <c r="K7560" s="1" t="s">
        <v>25686</v>
      </c>
      <c r="L7560" s="1"/>
      <c r="M7560" s="1"/>
    </row>
    <row x14ac:dyDescent="0.25" r="7561" customHeight="1" ht="18.75">
      <c r="A7561" s="1" t="s">
        <v>3617</v>
      </c>
      <c r="B7561" s="1" t="s">
        <v>5570</v>
      </c>
      <c r="C7561" s="1" t="s">
        <v>3619</v>
      </c>
      <c r="D7561" s="1" t="s">
        <v>3610</v>
      </c>
      <c r="E7561" s="1" t="s">
        <v>3981</v>
      </c>
      <c r="F7561" s="1" t="s">
        <v>25719</v>
      </c>
      <c r="G7561" s="1" t="s">
        <v>25720</v>
      </c>
      <c r="H7561" s="1" t="s">
        <v>3604</v>
      </c>
      <c r="I7561" s="1" t="s">
        <v>25721</v>
      </c>
      <c r="J7561" s="1" t="s">
        <v>3615</v>
      </c>
      <c r="K7561" s="1" t="s">
        <v>25722</v>
      </c>
      <c r="L7561" s="1" t="s">
        <v>3608</v>
      </c>
      <c r="M7561" s="1"/>
    </row>
    <row x14ac:dyDescent="0.25" r="7562" customHeight="1" ht="18.75">
      <c r="A7562" s="1" t="s">
        <v>3617</v>
      </c>
      <c r="B7562" s="1" t="s">
        <v>5570</v>
      </c>
      <c r="C7562" s="1" t="s">
        <v>3619</v>
      </c>
      <c r="D7562" s="1" t="s">
        <v>3610</v>
      </c>
      <c r="E7562" s="1" t="s">
        <v>3981</v>
      </c>
      <c r="F7562" s="1" t="s">
        <v>25723</v>
      </c>
      <c r="G7562" s="1" t="s">
        <v>25720</v>
      </c>
      <c r="H7562" s="1" t="s">
        <v>3604</v>
      </c>
      <c r="I7562" s="1" t="s">
        <v>25724</v>
      </c>
      <c r="J7562" s="1" t="s">
        <v>3615</v>
      </c>
      <c r="K7562" s="1" t="s">
        <v>25725</v>
      </c>
      <c r="L7562" s="1" t="s">
        <v>3608</v>
      </c>
      <c r="M7562" s="1"/>
    </row>
    <row x14ac:dyDescent="0.25" r="7563" customHeight="1" ht="18.75">
      <c r="A7563" s="1" t="s">
        <v>3617</v>
      </c>
      <c r="B7563" s="1" t="s">
        <v>5570</v>
      </c>
      <c r="C7563" s="1" t="s">
        <v>3619</v>
      </c>
      <c r="D7563" s="1" t="s">
        <v>3610</v>
      </c>
      <c r="E7563" s="1" t="s">
        <v>3981</v>
      </c>
      <c r="F7563" s="1" t="s">
        <v>25726</v>
      </c>
      <c r="G7563" s="1" t="s">
        <v>25720</v>
      </c>
      <c r="H7563" s="1" t="s">
        <v>3604</v>
      </c>
      <c r="I7563" s="1" t="s">
        <v>25727</v>
      </c>
      <c r="J7563" s="1" t="s">
        <v>3615</v>
      </c>
      <c r="K7563" s="1" t="s">
        <v>25728</v>
      </c>
      <c r="L7563" s="1" t="s">
        <v>3608</v>
      </c>
      <c r="M7563" s="1"/>
    </row>
    <row x14ac:dyDescent="0.25" r="7564" customHeight="1" ht="18.75">
      <c r="A7564" s="1" t="s">
        <v>3617</v>
      </c>
      <c r="B7564" s="1" t="s">
        <v>5570</v>
      </c>
      <c r="C7564" s="1" t="s">
        <v>3619</v>
      </c>
      <c r="D7564" s="1" t="s">
        <v>3610</v>
      </c>
      <c r="E7564" s="1" t="s">
        <v>3981</v>
      </c>
      <c r="F7564" s="1" t="s">
        <v>25729</v>
      </c>
      <c r="G7564" s="1" t="s">
        <v>25730</v>
      </c>
      <c r="H7564" s="1" t="s">
        <v>3604</v>
      </c>
      <c r="I7564" s="1" t="s">
        <v>25731</v>
      </c>
      <c r="J7564" s="1" t="s">
        <v>3615</v>
      </c>
      <c r="K7564" s="1" t="s">
        <v>25732</v>
      </c>
      <c r="L7564" s="1" t="s">
        <v>3608</v>
      </c>
      <c r="M7564" s="1"/>
    </row>
    <row x14ac:dyDescent="0.25" r="7565" customHeight="1" ht="18.75">
      <c r="A7565" s="1" t="s">
        <v>3617</v>
      </c>
      <c r="B7565" s="1" t="s">
        <v>5570</v>
      </c>
      <c r="C7565" s="1" t="s">
        <v>3619</v>
      </c>
      <c r="D7565" s="1" t="s">
        <v>3610</v>
      </c>
      <c r="E7565" s="1" t="s">
        <v>3981</v>
      </c>
      <c r="F7565" s="1" t="s">
        <v>25733</v>
      </c>
      <c r="G7565" s="1" t="s">
        <v>25730</v>
      </c>
      <c r="H7565" s="1" t="s">
        <v>3604</v>
      </c>
      <c r="I7565" s="1" t="s">
        <v>25734</v>
      </c>
      <c r="J7565" s="1" t="s">
        <v>3615</v>
      </c>
      <c r="K7565" s="1" t="s">
        <v>25735</v>
      </c>
      <c r="L7565" s="1" t="s">
        <v>3608</v>
      </c>
      <c r="M7565" s="1"/>
    </row>
    <row x14ac:dyDescent="0.25" r="7566" customHeight="1" ht="18.75">
      <c r="A7566" s="1" t="s">
        <v>3617</v>
      </c>
      <c r="B7566" s="1" t="s">
        <v>5570</v>
      </c>
      <c r="C7566" s="1" t="s">
        <v>3619</v>
      </c>
      <c r="D7566" s="1" t="s">
        <v>3695</v>
      </c>
      <c r="E7566" s="1" t="s">
        <v>3981</v>
      </c>
      <c r="F7566" s="1" t="s">
        <v>25736</v>
      </c>
      <c r="G7566" s="1" t="s">
        <v>25730</v>
      </c>
      <c r="H7566" s="1" t="s">
        <v>3604</v>
      </c>
      <c r="I7566" s="1" t="s">
        <v>25737</v>
      </c>
      <c r="J7566" s="1" t="s">
        <v>3615</v>
      </c>
      <c r="K7566" s="1" t="s">
        <v>25738</v>
      </c>
      <c r="L7566" s="1" t="s">
        <v>3608</v>
      </c>
      <c r="M7566" s="1"/>
    </row>
    <row x14ac:dyDescent="0.25" r="7567" customHeight="1" ht="18.75">
      <c r="A7567" s="1" t="s">
        <v>3617</v>
      </c>
      <c r="B7567" s="1" t="s">
        <v>5570</v>
      </c>
      <c r="C7567" s="1" t="s">
        <v>3619</v>
      </c>
      <c r="D7567" s="1" t="s">
        <v>3695</v>
      </c>
      <c r="E7567" s="1" t="s">
        <v>3981</v>
      </c>
      <c r="F7567" s="1" t="s">
        <v>25739</v>
      </c>
      <c r="G7567" s="1" t="s">
        <v>25730</v>
      </c>
      <c r="H7567" s="1" t="s">
        <v>3604</v>
      </c>
      <c r="I7567" s="1" t="s">
        <v>25740</v>
      </c>
      <c r="J7567" s="1" t="s">
        <v>3615</v>
      </c>
      <c r="K7567" s="1" t="s">
        <v>25741</v>
      </c>
      <c r="L7567" s="1" t="s">
        <v>3608</v>
      </c>
      <c r="M7567" s="1"/>
    </row>
    <row x14ac:dyDescent="0.25" r="7568" customHeight="1" ht="18.75">
      <c r="A7568" s="1" t="s">
        <v>3617</v>
      </c>
      <c r="B7568" s="1" t="s">
        <v>5570</v>
      </c>
      <c r="C7568" s="1" t="s">
        <v>3619</v>
      </c>
      <c r="D7568" s="1" t="s">
        <v>3695</v>
      </c>
      <c r="E7568" s="1" t="s">
        <v>3981</v>
      </c>
      <c r="F7568" s="1" t="s">
        <v>25742</v>
      </c>
      <c r="G7568" s="1" t="s">
        <v>25730</v>
      </c>
      <c r="H7568" s="1" t="s">
        <v>3604</v>
      </c>
      <c r="I7568" s="1" t="s">
        <v>25743</v>
      </c>
      <c r="J7568" s="1" t="s">
        <v>3615</v>
      </c>
      <c r="K7568" s="1" t="s">
        <v>25744</v>
      </c>
      <c r="L7568" s="1" t="s">
        <v>3608</v>
      </c>
      <c r="M7568" s="1"/>
    </row>
    <row x14ac:dyDescent="0.25" r="7569" customHeight="1" ht="18.75">
      <c r="A7569" s="1" t="s">
        <v>3617</v>
      </c>
      <c r="B7569" s="1" t="s">
        <v>5570</v>
      </c>
      <c r="C7569" s="1" t="s">
        <v>3619</v>
      </c>
      <c r="D7569" s="1" t="s">
        <v>3695</v>
      </c>
      <c r="E7569" s="1" t="s">
        <v>3730</v>
      </c>
      <c r="F7569" s="1" t="s">
        <v>25745</v>
      </c>
      <c r="G7569" s="1" t="s">
        <v>25746</v>
      </c>
      <c r="H7569" s="1" t="s">
        <v>3604</v>
      </c>
      <c r="I7569" s="1" t="s">
        <v>25747</v>
      </c>
      <c r="J7569" s="1" t="s">
        <v>3606</v>
      </c>
      <c r="K7569" s="1" t="s">
        <v>25748</v>
      </c>
      <c r="L7569" s="1" t="s">
        <v>3616</v>
      </c>
      <c r="M7569" s="1"/>
    </row>
    <row x14ac:dyDescent="0.25" r="7570" customHeight="1" ht="18.75">
      <c r="A7570" s="1" t="s">
        <v>3617</v>
      </c>
      <c r="B7570" s="1" t="s">
        <v>5570</v>
      </c>
      <c r="C7570" s="1" t="s">
        <v>3619</v>
      </c>
      <c r="D7570" s="1" t="s">
        <v>3695</v>
      </c>
      <c r="E7570" s="1" t="s">
        <v>3730</v>
      </c>
      <c r="F7570" s="1" t="s">
        <v>25749</v>
      </c>
      <c r="G7570" s="1" t="s">
        <v>25746</v>
      </c>
      <c r="H7570" s="1" t="s">
        <v>3604</v>
      </c>
      <c r="I7570" s="1" t="s">
        <v>25750</v>
      </c>
      <c r="J7570" s="1" t="s">
        <v>3606</v>
      </c>
      <c r="K7570" s="1" t="s">
        <v>25751</v>
      </c>
      <c r="L7570" s="1" t="s">
        <v>3616</v>
      </c>
      <c r="M7570" s="1"/>
    </row>
    <row x14ac:dyDescent="0.25" r="7571" customHeight="1" ht="18.75">
      <c r="A7571" s="1" t="s">
        <v>3617</v>
      </c>
      <c r="B7571" s="1" t="s">
        <v>5570</v>
      </c>
      <c r="C7571" s="1" t="s">
        <v>3619</v>
      </c>
      <c r="D7571" s="1" t="s">
        <v>3695</v>
      </c>
      <c r="E7571" s="1" t="s">
        <v>3730</v>
      </c>
      <c r="F7571" s="1" t="s">
        <v>25752</v>
      </c>
      <c r="G7571" s="1" t="s">
        <v>25753</v>
      </c>
      <c r="H7571" s="1" t="s">
        <v>3604</v>
      </c>
      <c r="I7571" s="1" t="s">
        <v>25754</v>
      </c>
      <c r="J7571" s="1" t="s">
        <v>3606</v>
      </c>
      <c r="K7571" s="1" t="s">
        <v>25755</v>
      </c>
      <c r="L7571" s="1" t="s">
        <v>3616</v>
      </c>
      <c r="M7571" s="1"/>
    </row>
    <row x14ac:dyDescent="0.25" r="7572" customHeight="1" ht="18.75">
      <c r="A7572" s="1" t="s">
        <v>3617</v>
      </c>
      <c r="B7572" s="1" t="s">
        <v>5570</v>
      </c>
      <c r="C7572" s="1" t="s">
        <v>3619</v>
      </c>
      <c r="D7572" s="1" t="s">
        <v>3695</v>
      </c>
      <c r="E7572" s="1" t="s">
        <v>3730</v>
      </c>
      <c r="F7572" s="1" t="s">
        <v>25756</v>
      </c>
      <c r="G7572" s="1" t="s">
        <v>25753</v>
      </c>
      <c r="H7572" s="1" t="s">
        <v>3604</v>
      </c>
      <c r="I7572" s="1" t="s">
        <v>25757</v>
      </c>
      <c r="J7572" s="1" t="s">
        <v>3606</v>
      </c>
      <c r="K7572" s="1" t="s">
        <v>25758</v>
      </c>
      <c r="L7572" s="1" t="s">
        <v>3616</v>
      </c>
      <c r="M7572" s="1"/>
    </row>
    <row x14ac:dyDescent="0.25" r="7573" customHeight="1" ht="18.75">
      <c r="A7573" s="1" t="s">
        <v>3617</v>
      </c>
      <c r="B7573" s="1" t="s">
        <v>5570</v>
      </c>
      <c r="C7573" s="1" t="s">
        <v>3619</v>
      </c>
      <c r="D7573" s="1" t="s">
        <v>3695</v>
      </c>
      <c r="E7573" s="1" t="s">
        <v>3730</v>
      </c>
      <c r="F7573" s="1" t="s">
        <v>25759</v>
      </c>
      <c r="G7573" s="1" t="s">
        <v>25753</v>
      </c>
      <c r="H7573" s="1" t="s">
        <v>3604</v>
      </c>
      <c r="I7573" s="1" t="s">
        <v>25760</v>
      </c>
      <c r="J7573" s="1" t="s">
        <v>3606</v>
      </c>
      <c r="K7573" s="1" t="s">
        <v>25761</v>
      </c>
      <c r="L7573" s="1" t="s">
        <v>3616</v>
      </c>
      <c r="M7573" s="1"/>
    </row>
    <row x14ac:dyDescent="0.25" r="7574" customHeight="1" ht="18.75">
      <c r="A7574" s="1" t="s">
        <v>3617</v>
      </c>
      <c r="B7574" s="1" t="s">
        <v>5570</v>
      </c>
      <c r="C7574" s="1" t="s">
        <v>3619</v>
      </c>
      <c r="D7574" s="1" t="s">
        <v>3695</v>
      </c>
      <c r="E7574" s="1" t="s">
        <v>3730</v>
      </c>
      <c r="F7574" s="1" t="s">
        <v>25762</v>
      </c>
      <c r="G7574" s="1" t="s">
        <v>25753</v>
      </c>
      <c r="H7574" s="1" t="s">
        <v>3604</v>
      </c>
      <c r="I7574" s="1" t="s">
        <v>25763</v>
      </c>
      <c r="J7574" s="1" t="s">
        <v>3606</v>
      </c>
      <c r="K7574" s="1" t="s">
        <v>25764</v>
      </c>
      <c r="L7574" s="1" t="s">
        <v>3616</v>
      </c>
      <c r="M7574" s="1"/>
    </row>
    <row x14ac:dyDescent="0.25" r="7575" customHeight="1" ht="18.75">
      <c r="A7575" s="1" t="s">
        <v>3617</v>
      </c>
      <c r="B7575" s="1" t="s">
        <v>5570</v>
      </c>
      <c r="C7575" s="1" t="s">
        <v>3619</v>
      </c>
      <c r="D7575" s="1" t="s">
        <v>3695</v>
      </c>
      <c r="E7575" s="1" t="s">
        <v>3730</v>
      </c>
      <c r="F7575" s="1" t="s">
        <v>25765</v>
      </c>
      <c r="G7575" s="1" t="s">
        <v>25766</v>
      </c>
      <c r="H7575" s="1" t="s">
        <v>3604</v>
      </c>
      <c r="I7575" s="1" t="s">
        <v>25767</v>
      </c>
      <c r="J7575" s="1" t="s">
        <v>3615</v>
      </c>
      <c r="K7575" s="1" t="s">
        <v>25768</v>
      </c>
      <c r="L7575" s="1"/>
      <c r="M7575" s="1"/>
    </row>
    <row x14ac:dyDescent="0.25" r="7576" customHeight="1" ht="18.75">
      <c r="A7576" s="1" t="s">
        <v>3617</v>
      </c>
      <c r="B7576" s="1" t="s">
        <v>5570</v>
      </c>
      <c r="C7576" s="1" t="s">
        <v>3619</v>
      </c>
      <c r="D7576" s="1" t="s">
        <v>3695</v>
      </c>
      <c r="E7576" s="1" t="s">
        <v>3730</v>
      </c>
      <c r="F7576" s="1" t="s">
        <v>25769</v>
      </c>
      <c r="G7576" s="1" t="s">
        <v>25766</v>
      </c>
      <c r="H7576" s="1" t="s">
        <v>3604</v>
      </c>
      <c r="I7576" s="1" t="s">
        <v>25770</v>
      </c>
      <c r="J7576" s="1" t="s">
        <v>3615</v>
      </c>
      <c r="K7576" s="1" t="s">
        <v>25771</v>
      </c>
      <c r="L7576" s="1"/>
      <c r="M7576" s="1"/>
    </row>
    <row x14ac:dyDescent="0.25" r="7577" customHeight="1" ht="18.75">
      <c r="A7577" s="1" t="s">
        <v>3617</v>
      </c>
      <c r="B7577" s="1" t="s">
        <v>5570</v>
      </c>
      <c r="C7577" s="1" t="s">
        <v>3619</v>
      </c>
      <c r="D7577" s="1" t="s">
        <v>3695</v>
      </c>
      <c r="E7577" s="1" t="s">
        <v>3730</v>
      </c>
      <c r="F7577" s="1" t="s">
        <v>25772</v>
      </c>
      <c r="G7577" s="1" t="s">
        <v>25766</v>
      </c>
      <c r="H7577" s="1" t="s">
        <v>3604</v>
      </c>
      <c r="I7577" s="1" t="s">
        <v>25773</v>
      </c>
      <c r="J7577" s="1" t="s">
        <v>3615</v>
      </c>
      <c r="K7577" s="1" t="s">
        <v>25774</v>
      </c>
      <c r="L7577" s="1"/>
      <c r="M7577" s="1"/>
    </row>
    <row x14ac:dyDescent="0.25" r="7578" customHeight="1" ht="18.75">
      <c r="A7578" s="1" t="s">
        <v>3617</v>
      </c>
      <c r="B7578" s="1" t="s">
        <v>5570</v>
      </c>
      <c r="C7578" s="1" t="s">
        <v>3619</v>
      </c>
      <c r="D7578" s="1" t="s">
        <v>533</v>
      </c>
      <c r="E7578" s="1" t="s">
        <v>3981</v>
      </c>
      <c r="F7578" s="1" t="s">
        <v>25775</v>
      </c>
      <c r="G7578" s="1" t="s">
        <v>25776</v>
      </c>
      <c r="H7578" s="1" t="s">
        <v>3604</v>
      </c>
      <c r="I7578" s="1" t="s">
        <v>25777</v>
      </c>
      <c r="J7578" s="1" t="s">
        <v>3615</v>
      </c>
      <c r="K7578" s="1" t="s">
        <v>25778</v>
      </c>
      <c r="L7578" s="1"/>
      <c r="M7578" s="1"/>
    </row>
    <row x14ac:dyDescent="0.25" r="7579" customHeight="1" ht="18.75">
      <c r="A7579" s="1" t="s">
        <v>3617</v>
      </c>
      <c r="B7579" s="1" t="s">
        <v>5570</v>
      </c>
      <c r="C7579" s="1" t="s">
        <v>3619</v>
      </c>
      <c r="D7579" s="1" t="s">
        <v>3695</v>
      </c>
      <c r="E7579" s="1" t="s">
        <v>3981</v>
      </c>
      <c r="F7579" s="1" t="s">
        <v>25779</v>
      </c>
      <c r="G7579" s="1" t="s">
        <v>3924</v>
      </c>
      <c r="H7579" s="1" t="s">
        <v>3604</v>
      </c>
      <c r="I7579" s="1" t="s">
        <v>25780</v>
      </c>
      <c r="J7579" s="1" t="s">
        <v>3615</v>
      </c>
      <c r="K7579" s="1" t="s">
        <v>25781</v>
      </c>
      <c r="L7579" s="1" t="s">
        <v>3616</v>
      </c>
      <c r="M7579" s="1"/>
    </row>
    <row x14ac:dyDescent="0.25" r="7580" customHeight="1" ht="18.75">
      <c r="A7580" s="1" t="s">
        <v>3617</v>
      </c>
      <c r="B7580" s="1" t="s">
        <v>5570</v>
      </c>
      <c r="C7580" s="1" t="s">
        <v>3619</v>
      </c>
      <c r="D7580" s="1" t="s">
        <v>3695</v>
      </c>
      <c r="E7580" s="1" t="s">
        <v>3981</v>
      </c>
      <c r="F7580" s="1" t="s">
        <v>25782</v>
      </c>
      <c r="G7580" s="1" t="s">
        <v>3924</v>
      </c>
      <c r="H7580" s="1" t="s">
        <v>3604</v>
      </c>
      <c r="I7580" s="1" t="s">
        <v>25783</v>
      </c>
      <c r="J7580" s="1" t="s">
        <v>3615</v>
      </c>
      <c r="K7580" s="1" t="s">
        <v>25784</v>
      </c>
      <c r="L7580" s="1" t="s">
        <v>3616</v>
      </c>
      <c r="M7580" s="1"/>
    </row>
    <row x14ac:dyDescent="0.25" r="7581" customHeight="1" ht="18.75">
      <c r="A7581" s="1" t="s">
        <v>3617</v>
      </c>
      <c r="B7581" s="1" t="s">
        <v>5570</v>
      </c>
      <c r="C7581" s="1" t="s">
        <v>3619</v>
      </c>
      <c r="D7581" s="1" t="s">
        <v>3695</v>
      </c>
      <c r="E7581" s="1" t="s">
        <v>3981</v>
      </c>
      <c r="F7581" s="1" t="s">
        <v>25785</v>
      </c>
      <c r="G7581" s="1" t="s">
        <v>3924</v>
      </c>
      <c r="H7581" s="1" t="s">
        <v>3604</v>
      </c>
      <c r="I7581" s="1" t="s">
        <v>25786</v>
      </c>
      <c r="J7581" s="1" t="s">
        <v>3615</v>
      </c>
      <c r="K7581" s="1" t="s">
        <v>25787</v>
      </c>
      <c r="L7581" s="1" t="s">
        <v>3616</v>
      </c>
      <c r="M7581" s="1"/>
    </row>
    <row x14ac:dyDescent="0.25" r="7582" customHeight="1" ht="18.75">
      <c r="A7582" s="1" t="s">
        <v>3617</v>
      </c>
      <c r="B7582" s="1" t="s">
        <v>5570</v>
      </c>
      <c r="C7582" s="1" t="s">
        <v>3619</v>
      </c>
      <c r="D7582" s="1" t="s">
        <v>3610</v>
      </c>
      <c r="E7582" s="1" t="s">
        <v>3730</v>
      </c>
      <c r="F7582" s="1" t="s">
        <v>25788</v>
      </c>
      <c r="G7582" s="1" t="s">
        <v>25789</v>
      </c>
      <c r="H7582" s="1" t="s">
        <v>3604</v>
      </c>
      <c r="I7582" s="1" t="s">
        <v>25790</v>
      </c>
      <c r="J7582" s="1" t="s">
        <v>3606</v>
      </c>
      <c r="K7582" s="1" t="s">
        <v>25791</v>
      </c>
      <c r="L7582" s="1" t="s">
        <v>3616</v>
      </c>
      <c r="M7582" s="1"/>
    </row>
    <row x14ac:dyDescent="0.25" r="7583" customHeight="1" ht="18.75">
      <c r="A7583" s="1" t="s">
        <v>3617</v>
      </c>
      <c r="B7583" s="1" t="s">
        <v>5570</v>
      </c>
      <c r="C7583" s="1" t="s">
        <v>3619</v>
      </c>
      <c r="D7583" s="1" t="s">
        <v>3610</v>
      </c>
      <c r="E7583" s="1" t="s">
        <v>3730</v>
      </c>
      <c r="F7583" s="1" t="s">
        <v>25792</v>
      </c>
      <c r="G7583" s="1" t="s">
        <v>25789</v>
      </c>
      <c r="H7583" s="1" t="s">
        <v>3604</v>
      </c>
      <c r="I7583" s="1" t="s">
        <v>25793</v>
      </c>
      <c r="J7583" s="1" t="s">
        <v>3606</v>
      </c>
      <c r="K7583" s="1" t="s">
        <v>25794</v>
      </c>
      <c r="L7583" s="1" t="s">
        <v>3616</v>
      </c>
      <c r="M7583" s="1"/>
    </row>
    <row x14ac:dyDescent="0.25" r="7584" customHeight="1" ht="18.75">
      <c r="A7584" s="1" t="s">
        <v>3617</v>
      </c>
      <c r="B7584" s="1" t="s">
        <v>7322</v>
      </c>
      <c r="C7584" s="1" t="s">
        <v>3619</v>
      </c>
      <c r="D7584" s="1" t="s">
        <v>3601</v>
      </c>
      <c r="E7584" s="1" t="s">
        <v>3730</v>
      </c>
      <c r="F7584" s="1" t="s">
        <v>25795</v>
      </c>
      <c r="G7584" s="1" t="s">
        <v>25796</v>
      </c>
      <c r="H7584" s="1" t="s">
        <v>3604</v>
      </c>
      <c r="I7584" s="1" t="s">
        <v>25797</v>
      </c>
      <c r="J7584" s="1" t="s">
        <v>3606</v>
      </c>
      <c r="K7584" s="1" t="s">
        <v>25798</v>
      </c>
      <c r="L7584" s="1"/>
      <c r="M7584" s="1"/>
    </row>
    <row x14ac:dyDescent="0.25" r="7585" customHeight="1" ht="18.75">
      <c r="A7585" s="1" t="s">
        <v>3617</v>
      </c>
      <c r="B7585" s="1" t="s">
        <v>4582</v>
      </c>
      <c r="C7585" s="1" t="s">
        <v>4488</v>
      </c>
      <c r="D7585" s="1" t="s">
        <v>8373</v>
      </c>
      <c r="E7585" s="1" t="s">
        <v>4478</v>
      </c>
      <c r="F7585" s="1" t="s">
        <v>25799</v>
      </c>
      <c r="G7585" s="1" t="s">
        <v>13048</v>
      </c>
      <c r="H7585" s="1" t="s">
        <v>3604</v>
      </c>
      <c r="I7585" s="1" t="s">
        <v>25800</v>
      </c>
      <c r="J7585" s="1" t="s">
        <v>3606</v>
      </c>
      <c r="K7585" s="1" t="s">
        <v>25801</v>
      </c>
      <c r="L7585" s="1"/>
      <c r="M7585" s="1"/>
    </row>
    <row x14ac:dyDescent="0.25" r="7586" customHeight="1" ht="18.75">
      <c r="A7586" s="1" t="s">
        <v>3617</v>
      </c>
      <c r="B7586" s="1" t="s">
        <v>4582</v>
      </c>
      <c r="C7586" s="1" t="s">
        <v>4488</v>
      </c>
      <c r="D7586" s="1" t="s">
        <v>8373</v>
      </c>
      <c r="E7586" s="1" t="s">
        <v>4478</v>
      </c>
      <c r="F7586" s="1" t="s">
        <v>25802</v>
      </c>
      <c r="G7586" s="1" t="s">
        <v>13048</v>
      </c>
      <c r="H7586" s="1" t="s">
        <v>3604</v>
      </c>
      <c r="I7586" s="1" t="s">
        <v>25803</v>
      </c>
      <c r="J7586" s="1" t="s">
        <v>3606</v>
      </c>
      <c r="K7586" s="1" t="s">
        <v>25804</v>
      </c>
      <c r="L7586" s="1"/>
      <c r="M7586" s="1"/>
    </row>
    <row x14ac:dyDescent="0.25" r="7587" customHeight="1" ht="18.75">
      <c r="A7587" s="1" t="s">
        <v>3617</v>
      </c>
      <c r="B7587" s="1" t="s">
        <v>4582</v>
      </c>
      <c r="C7587" s="1" t="s">
        <v>4488</v>
      </c>
      <c r="D7587" s="1" t="s">
        <v>8373</v>
      </c>
      <c r="E7587" s="1" t="s">
        <v>4478</v>
      </c>
      <c r="F7587" s="1" t="s">
        <v>25805</v>
      </c>
      <c r="G7587" s="1" t="s">
        <v>13040</v>
      </c>
      <c r="H7587" s="1" t="s">
        <v>3604</v>
      </c>
      <c r="I7587" s="1" t="s">
        <v>25806</v>
      </c>
      <c r="J7587" s="1" t="s">
        <v>3606</v>
      </c>
      <c r="K7587" s="1"/>
      <c r="L7587" s="1"/>
      <c r="M7587" s="1"/>
    </row>
    <row x14ac:dyDescent="0.25" r="7588" customHeight="1" ht="18.75">
      <c r="A7588" s="1" t="s">
        <v>3617</v>
      </c>
      <c r="B7588" s="1" t="s">
        <v>4582</v>
      </c>
      <c r="C7588" s="1" t="s">
        <v>4488</v>
      </c>
      <c r="D7588" s="1" t="s">
        <v>8373</v>
      </c>
      <c r="E7588" s="1" t="s">
        <v>4478</v>
      </c>
      <c r="F7588" s="1" t="s">
        <v>25807</v>
      </c>
      <c r="G7588" s="1" t="s">
        <v>13040</v>
      </c>
      <c r="H7588" s="1" t="s">
        <v>3604</v>
      </c>
      <c r="I7588" s="1" t="s">
        <v>25808</v>
      </c>
      <c r="J7588" s="1" t="s">
        <v>3606</v>
      </c>
      <c r="K7588" s="1"/>
      <c r="L7588" s="1"/>
      <c r="M7588" s="1"/>
    </row>
    <row x14ac:dyDescent="0.25" r="7589" customHeight="1" ht="18.75">
      <c r="A7589" s="1" t="s">
        <v>3617</v>
      </c>
      <c r="B7589" s="1" t="s">
        <v>4582</v>
      </c>
      <c r="C7589" s="1" t="s">
        <v>4488</v>
      </c>
      <c r="D7589" s="1" t="s">
        <v>8373</v>
      </c>
      <c r="E7589" s="1" t="s">
        <v>4478</v>
      </c>
      <c r="F7589" s="1" t="s">
        <v>25809</v>
      </c>
      <c r="G7589" s="1" t="s">
        <v>13040</v>
      </c>
      <c r="H7589" s="1" t="s">
        <v>3604</v>
      </c>
      <c r="I7589" s="1" t="s">
        <v>25810</v>
      </c>
      <c r="J7589" s="1" t="s">
        <v>3606</v>
      </c>
      <c r="K7589" s="1" t="s">
        <v>25811</v>
      </c>
      <c r="L7589" s="1"/>
      <c r="M7589" s="1"/>
    </row>
    <row x14ac:dyDescent="0.25" r="7590" customHeight="1" ht="18.75">
      <c r="A7590" s="1" t="s">
        <v>3617</v>
      </c>
      <c r="B7590" s="1" t="s">
        <v>4582</v>
      </c>
      <c r="C7590" s="1" t="s">
        <v>4488</v>
      </c>
      <c r="D7590" s="1" t="s">
        <v>8373</v>
      </c>
      <c r="E7590" s="1" t="s">
        <v>4478</v>
      </c>
      <c r="F7590" s="1" t="s">
        <v>25812</v>
      </c>
      <c r="G7590" s="1" t="s">
        <v>13029</v>
      </c>
      <c r="H7590" s="1" t="s">
        <v>3604</v>
      </c>
      <c r="I7590" s="1" t="s">
        <v>25813</v>
      </c>
      <c r="J7590" s="1" t="s">
        <v>3606</v>
      </c>
      <c r="K7590" s="1"/>
      <c r="L7590" s="1"/>
      <c r="M7590" s="1"/>
    </row>
    <row x14ac:dyDescent="0.25" r="7591" customHeight="1" ht="18.75">
      <c r="A7591" s="1" t="s">
        <v>3617</v>
      </c>
      <c r="B7591" s="1" t="s">
        <v>4582</v>
      </c>
      <c r="C7591" s="1" t="s">
        <v>4488</v>
      </c>
      <c r="D7591" s="1" t="s">
        <v>8373</v>
      </c>
      <c r="E7591" s="1" t="s">
        <v>4478</v>
      </c>
      <c r="F7591" s="1" t="s">
        <v>25814</v>
      </c>
      <c r="G7591" s="1" t="s">
        <v>13029</v>
      </c>
      <c r="H7591" s="1" t="s">
        <v>3604</v>
      </c>
      <c r="I7591" s="1" t="s">
        <v>25815</v>
      </c>
      <c r="J7591" s="1" t="s">
        <v>3606</v>
      </c>
      <c r="K7591" s="1"/>
      <c r="L7591" s="1"/>
      <c r="M7591" s="1"/>
    </row>
    <row x14ac:dyDescent="0.25" r="7592" customHeight="1" ht="18.75">
      <c r="A7592" s="1" t="s">
        <v>3617</v>
      </c>
      <c r="B7592" s="1" t="s">
        <v>4582</v>
      </c>
      <c r="C7592" s="1" t="s">
        <v>4488</v>
      </c>
      <c r="D7592" s="1" t="s">
        <v>8373</v>
      </c>
      <c r="E7592" s="1" t="s">
        <v>4478</v>
      </c>
      <c r="F7592" s="1" t="s">
        <v>25816</v>
      </c>
      <c r="G7592" s="1" t="s">
        <v>13029</v>
      </c>
      <c r="H7592" s="1" t="s">
        <v>3604</v>
      </c>
      <c r="I7592" s="1" t="s">
        <v>25817</v>
      </c>
      <c r="J7592" s="1" t="s">
        <v>3606</v>
      </c>
      <c r="K7592" s="1"/>
      <c r="L7592" s="1"/>
      <c r="M7592" s="1"/>
    </row>
    <row x14ac:dyDescent="0.25" r="7593" customHeight="1" ht="18.75">
      <c r="A7593" s="1" t="s">
        <v>3617</v>
      </c>
      <c r="B7593" s="1" t="s">
        <v>4582</v>
      </c>
      <c r="C7593" s="1" t="s">
        <v>4488</v>
      </c>
      <c r="D7593" s="1" t="s">
        <v>8373</v>
      </c>
      <c r="E7593" s="1" t="s">
        <v>4478</v>
      </c>
      <c r="F7593" s="1" t="s">
        <v>25818</v>
      </c>
      <c r="G7593" s="1" t="s">
        <v>13056</v>
      </c>
      <c r="H7593" s="1" t="s">
        <v>3604</v>
      </c>
      <c r="I7593" s="1" t="s">
        <v>25819</v>
      </c>
      <c r="J7593" s="1" t="s">
        <v>3606</v>
      </c>
      <c r="K7593" s="1" t="s">
        <v>25820</v>
      </c>
      <c r="L7593" s="1"/>
      <c r="M7593" s="1"/>
    </row>
    <row x14ac:dyDescent="0.25" r="7594" customHeight="1" ht="18.75">
      <c r="A7594" s="1" t="s">
        <v>3617</v>
      </c>
      <c r="B7594" s="1" t="s">
        <v>4582</v>
      </c>
      <c r="C7594" s="1" t="s">
        <v>4488</v>
      </c>
      <c r="D7594" s="1" t="s">
        <v>8373</v>
      </c>
      <c r="E7594" s="1" t="s">
        <v>4478</v>
      </c>
      <c r="F7594" s="1" t="s">
        <v>25821</v>
      </c>
      <c r="G7594" s="1" t="s">
        <v>13056</v>
      </c>
      <c r="H7594" s="1" t="s">
        <v>3604</v>
      </c>
      <c r="I7594" s="1" t="s">
        <v>25822</v>
      </c>
      <c r="J7594" s="1" t="s">
        <v>3606</v>
      </c>
      <c r="K7594" s="1" t="s">
        <v>25823</v>
      </c>
      <c r="L7594" s="1"/>
      <c r="M7594" s="1"/>
    </row>
    <row x14ac:dyDescent="0.25" r="7595" customHeight="1" ht="18.75">
      <c r="A7595" s="1" t="s">
        <v>3617</v>
      </c>
      <c r="B7595" s="1" t="s">
        <v>4582</v>
      </c>
      <c r="C7595" s="1" t="s">
        <v>4488</v>
      </c>
      <c r="D7595" s="1" t="s">
        <v>8373</v>
      </c>
      <c r="E7595" s="1" t="s">
        <v>4478</v>
      </c>
      <c r="F7595" s="1" t="s">
        <v>25824</v>
      </c>
      <c r="G7595" s="1" t="s">
        <v>13056</v>
      </c>
      <c r="H7595" s="1" t="s">
        <v>3604</v>
      </c>
      <c r="I7595" s="1" t="s">
        <v>25825</v>
      </c>
      <c r="J7595" s="1" t="s">
        <v>3606</v>
      </c>
      <c r="K7595" s="1" t="s">
        <v>25826</v>
      </c>
      <c r="L7595" s="1"/>
      <c r="M7595" s="1"/>
    </row>
    <row x14ac:dyDescent="0.25" r="7596" customHeight="1" ht="18.75">
      <c r="A7596" s="1" t="s">
        <v>3617</v>
      </c>
      <c r="B7596" s="1" t="s">
        <v>4582</v>
      </c>
      <c r="C7596" s="1" t="s">
        <v>4488</v>
      </c>
      <c r="D7596" s="1" t="s">
        <v>8373</v>
      </c>
      <c r="E7596" s="1" t="s">
        <v>4478</v>
      </c>
      <c r="F7596" s="1" t="s">
        <v>25827</v>
      </c>
      <c r="G7596" s="1" t="s">
        <v>13066</v>
      </c>
      <c r="H7596" s="1" t="s">
        <v>3604</v>
      </c>
      <c r="I7596" s="1" t="s">
        <v>25828</v>
      </c>
      <c r="J7596" s="1" t="s">
        <v>3606</v>
      </c>
      <c r="K7596" s="1"/>
      <c r="L7596" s="1"/>
      <c r="M7596" s="1"/>
    </row>
    <row x14ac:dyDescent="0.25" r="7597" customHeight="1" ht="18.75">
      <c r="A7597" s="1" t="s">
        <v>3617</v>
      </c>
      <c r="B7597" s="1" t="s">
        <v>4582</v>
      </c>
      <c r="C7597" s="1" t="s">
        <v>4488</v>
      </c>
      <c r="D7597" s="1" t="s">
        <v>8373</v>
      </c>
      <c r="E7597" s="1" t="s">
        <v>4478</v>
      </c>
      <c r="F7597" s="1" t="s">
        <v>25829</v>
      </c>
      <c r="G7597" s="1" t="s">
        <v>13066</v>
      </c>
      <c r="H7597" s="1" t="s">
        <v>3604</v>
      </c>
      <c r="I7597" s="1" t="s">
        <v>25830</v>
      </c>
      <c r="J7597" s="1" t="s">
        <v>3606</v>
      </c>
      <c r="K7597" s="1"/>
      <c r="L7597" s="1"/>
      <c r="M7597" s="1"/>
    </row>
    <row x14ac:dyDescent="0.25" r="7598" customHeight="1" ht="18.75">
      <c r="A7598" s="1" t="s">
        <v>3598</v>
      </c>
      <c r="B7598" s="1" t="s">
        <v>13864</v>
      </c>
      <c r="C7598" s="1" t="s">
        <v>3600</v>
      </c>
      <c r="D7598" s="1" t="s">
        <v>3610</v>
      </c>
      <c r="E7598" s="1" t="s">
        <v>3611</v>
      </c>
      <c r="F7598" s="1" t="s">
        <v>25831</v>
      </c>
      <c r="G7598" s="1" t="s">
        <v>25832</v>
      </c>
      <c r="H7598" s="1" t="s">
        <v>3604</v>
      </c>
      <c r="I7598" s="1" t="s">
        <v>25833</v>
      </c>
      <c r="J7598" s="1" t="s">
        <v>3606</v>
      </c>
      <c r="K7598" s="1" t="s">
        <v>25834</v>
      </c>
      <c r="L7598" s="1" t="s">
        <v>3608</v>
      </c>
      <c r="M7598" s="1"/>
    </row>
    <row x14ac:dyDescent="0.25" r="7599" customHeight="1" ht="18.75">
      <c r="A7599" s="1" t="s">
        <v>3598</v>
      </c>
      <c r="B7599" s="1" t="s">
        <v>13864</v>
      </c>
      <c r="C7599" s="1" t="s">
        <v>3600</v>
      </c>
      <c r="D7599" s="1" t="s">
        <v>3610</v>
      </c>
      <c r="E7599" s="1" t="s">
        <v>3611</v>
      </c>
      <c r="F7599" s="1" t="s">
        <v>25835</v>
      </c>
      <c r="G7599" s="1" t="s">
        <v>25836</v>
      </c>
      <c r="H7599" s="1" t="s">
        <v>3604</v>
      </c>
      <c r="I7599" s="1" t="s">
        <v>25837</v>
      </c>
      <c r="J7599" s="1" t="s">
        <v>3606</v>
      </c>
      <c r="K7599" s="1" t="s">
        <v>25838</v>
      </c>
      <c r="L7599" s="1" t="s">
        <v>3608</v>
      </c>
      <c r="M7599" s="1"/>
    </row>
    <row x14ac:dyDescent="0.25" r="7600" customHeight="1" ht="18.75">
      <c r="A7600" s="1" t="s">
        <v>3598</v>
      </c>
      <c r="B7600" s="1" t="s">
        <v>13864</v>
      </c>
      <c r="C7600" s="1" t="s">
        <v>3600</v>
      </c>
      <c r="D7600" s="1" t="s">
        <v>3610</v>
      </c>
      <c r="E7600" s="1" t="s">
        <v>3611</v>
      </c>
      <c r="F7600" s="1" t="s">
        <v>25839</v>
      </c>
      <c r="G7600" s="1" t="s">
        <v>25836</v>
      </c>
      <c r="H7600" s="1" t="s">
        <v>3604</v>
      </c>
      <c r="I7600" s="1" t="s">
        <v>25840</v>
      </c>
      <c r="J7600" s="1" t="s">
        <v>3606</v>
      </c>
      <c r="K7600" s="1" t="s">
        <v>25841</v>
      </c>
      <c r="L7600" s="1" t="s">
        <v>3608</v>
      </c>
      <c r="M7600" s="1"/>
    </row>
    <row x14ac:dyDescent="0.25" r="7601" customHeight="1" ht="18.75">
      <c r="A7601" s="1" t="s">
        <v>3598</v>
      </c>
      <c r="B7601" s="1" t="s">
        <v>13864</v>
      </c>
      <c r="C7601" s="1" t="s">
        <v>3600</v>
      </c>
      <c r="D7601" s="1" t="s">
        <v>3695</v>
      </c>
      <c r="E7601" s="1" t="s">
        <v>3611</v>
      </c>
      <c r="F7601" s="1" t="s">
        <v>25842</v>
      </c>
      <c r="G7601" s="1" t="s">
        <v>25832</v>
      </c>
      <c r="H7601" s="1" t="s">
        <v>3604</v>
      </c>
      <c r="I7601" s="1" t="s">
        <v>25843</v>
      </c>
      <c r="J7601" s="1" t="s">
        <v>3606</v>
      </c>
      <c r="K7601" s="1" t="s">
        <v>25844</v>
      </c>
      <c r="L7601" s="1" t="s">
        <v>3608</v>
      </c>
      <c r="M7601" s="1"/>
    </row>
    <row x14ac:dyDescent="0.25" r="7602" customHeight="1" ht="18.75">
      <c r="A7602" s="1" t="s">
        <v>3598</v>
      </c>
      <c r="B7602" s="1" t="s">
        <v>13864</v>
      </c>
      <c r="C7602" s="1" t="s">
        <v>3600</v>
      </c>
      <c r="D7602" s="1" t="s">
        <v>3695</v>
      </c>
      <c r="E7602" s="1" t="s">
        <v>3611</v>
      </c>
      <c r="F7602" s="1" t="s">
        <v>25845</v>
      </c>
      <c r="G7602" s="1" t="s">
        <v>25832</v>
      </c>
      <c r="H7602" s="1" t="s">
        <v>3604</v>
      </c>
      <c r="I7602" s="1" t="s">
        <v>25846</v>
      </c>
      <c r="J7602" s="1" t="s">
        <v>3606</v>
      </c>
      <c r="K7602" s="1" t="s">
        <v>25847</v>
      </c>
      <c r="L7602" s="1" t="s">
        <v>3608</v>
      </c>
      <c r="M7602" s="1"/>
    </row>
    <row x14ac:dyDescent="0.25" r="7603" customHeight="1" ht="18.75">
      <c r="A7603" s="1" t="s">
        <v>3598</v>
      </c>
      <c r="B7603" s="1" t="s">
        <v>13864</v>
      </c>
      <c r="C7603" s="1" t="s">
        <v>3600</v>
      </c>
      <c r="D7603" s="1" t="s">
        <v>3695</v>
      </c>
      <c r="E7603" s="1" t="s">
        <v>3611</v>
      </c>
      <c r="F7603" s="1" t="s">
        <v>25848</v>
      </c>
      <c r="G7603" s="1" t="s">
        <v>25832</v>
      </c>
      <c r="H7603" s="1" t="s">
        <v>3604</v>
      </c>
      <c r="I7603" s="1" t="s">
        <v>25849</v>
      </c>
      <c r="J7603" s="1" t="s">
        <v>3606</v>
      </c>
      <c r="K7603" s="1" t="s">
        <v>25850</v>
      </c>
      <c r="L7603" s="1" t="s">
        <v>3608</v>
      </c>
      <c r="M7603" s="1"/>
    </row>
    <row x14ac:dyDescent="0.25" r="7604" customHeight="1" ht="18.75">
      <c r="A7604" s="1" t="s">
        <v>3598</v>
      </c>
      <c r="B7604" s="1" t="s">
        <v>13864</v>
      </c>
      <c r="C7604" s="1" t="s">
        <v>3600</v>
      </c>
      <c r="D7604" s="1" t="s">
        <v>3695</v>
      </c>
      <c r="E7604" s="1" t="s">
        <v>3611</v>
      </c>
      <c r="F7604" s="1" t="s">
        <v>25851</v>
      </c>
      <c r="G7604" s="1" t="s">
        <v>25852</v>
      </c>
      <c r="H7604" s="1" t="s">
        <v>3604</v>
      </c>
      <c r="I7604" s="1" t="s">
        <v>25853</v>
      </c>
      <c r="J7604" s="1" t="s">
        <v>3606</v>
      </c>
      <c r="K7604" s="1" t="s">
        <v>25854</v>
      </c>
      <c r="L7604" s="1" t="s">
        <v>3608</v>
      </c>
      <c r="M7604" s="1"/>
    </row>
    <row x14ac:dyDescent="0.25" r="7605" customHeight="1" ht="18.75">
      <c r="A7605" s="1" t="s">
        <v>3598</v>
      </c>
      <c r="B7605" s="1" t="s">
        <v>13864</v>
      </c>
      <c r="C7605" s="1" t="s">
        <v>3600</v>
      </c>
      <c r="D7605" s="1" t="s">
        <v>3695</v>
      </c>
      <c r="E7605" s="1" t="s">
        <v>3611</v>
      </c>
      <c r="F7605" s="1" t="s">
        <v>25855</v>
      </c>
      <c r="G7605" s="1" t="s">
        <v>25852</v>
      </c>
      <c r="H7605" s="1" t="s">
        <v>3604</v>
      </c>
      <c r="I7605" s="1" t="s">
        <v>25856</v>
      </c>
      <c r="J7605" s="1" t="s">
        <v>3606</v>
      </c>
      <c r="K7605" s="1" t="s">
        <v>25857</v>
      </c>
      <c r="L7605" s="1" t="s">
        <v>3608</v>
      </c>
      <c r="M7605" s="1"/>
    </row>
    <row x14ac:dyDescent="0.25" r="7606" customHeight="1" ht="18.75">
      <c r="A7606" s="1" t="s">
        <v>3598</v>
      </c>
      <c r="B7606" s="1" t="s">
        <v>13864</v>
      </c>
      <c r="C7606" s="1" t="s">
        <v>3600</v>
      </c>
      <c r="D7606" s="1" t="s">
        <v>3695</v>
      </c>
      <c r="E7606" s="1" t="s">
        <v>3611</v>
      </c>
      <c r="F7606" s="1" t="s">
        <v>25858</v>
      </c>
      <c r="G7606" s="1" t="s">
        <v>25852</v>
      </c>
      <c r="H7606" s="1" t="s">
        <v>3604</v>
      </c>
      <c r="I7606" s="1" t="s">
        <v>25859</v>
      </c>
      <c r="J7606" s="1" t="s">
        <v>3606</v>
      </c>
      <c r="K7606" s="1" t="s">
        <v>25860</v>
      </c>
      <c r="L7606" s="1" t="s">
        <v>3608</v>
      </c>
      <c r="M7606" s="1"/>
    </row>
    <row x14ac:dyDescent="0.25" r="7607" customHeight="1" ht="18.75">
      <c r="A7607" s="1" t="s">
        <v>3598</v>
      </c>
      <c r="B7607" s="1" t="s">
        <v>13864</v>
      </c>
      <c r="C7607" s="1" t="s">
        <v>3600</v>
      </c>
      <c r="D7607" s="1" t="s">
        <v>3695</v>
      </c>
      <c r="E7607" s="1" t="s">
        <v>3611</v>
      </c>
      <c r="F7607" s="1" t="s">
        <v>25861</v>
      </c>
      <c r="G7607" s="1" t="s">
        <v>25862</v>
      </c>
      <c r="H7607" s="1" t="s">
        <v>3604</v>
      </c>
      <c r="I7607" s="1" t="s">
        <v>25863</v>
      </c>
      <c r="J7607" s="1" t="s">
        <v>3606</v>
      </c>
      <c r="K7607" s="1" t="s">
        <v>25864</v>
      </c>
      <c r="L7607" s="1" t="s">
        <v>3608</v>
      </c>
      <c r="M7607" s="1"/>
    </row>
    <row x14ac:dyDescent="0.25" r="7608" customHeight="1" ht="18.75">
      <c r="A7608" s="1" t="s">
        <v>3598</v>
      </c>
      <c r="B7608" s="1" t="s">
        <v>13864</v>
      </c>
      <c r="C7608" s="1" t="s">
        <v>3600</v>
      </c>
      <c r="D7608" s="1" t="s">
        <v>3695</v>
      </c>
      <c r="E7608" s="1" t="s">
        <v>3611</v>
      </c>
      <c r="F7608" s="1" t="s">
        <v>25865</v>
      </c>
      <c r="G7608" s="1" t="s">
        <v>25862</v>
      </c>
      <c r="H7608" s="1" t="s">
        <v>3604</v>
      </c>
      <c r="I7608" s="1" t="s">
        <v>25866</v>
      </c>
      <c r="J7608" s="1" t="s">
        <v>3606</v>
      </c>
      <c r="K7608" s="1" t="s">
        <v>25867</v>
      </c>
      <c r="L7608" s="1" t="s">
        <v>3608</v>
      </c>
      <c r="M7608" s="1"/>
    </row>
    <row x14ac:dyDescent="0.25" r="7609" customHeight="1" ht="18.75">
      <c r="A7609" s="1" t="s">
        <v>3598</v>
      </c>
      <c r="B7609" s="1" t="s">
        <v>13864</v>
      </c>
      <c r="C7609" s="1" t="s">
        <v>3600</v>
      </c>
      <c r="D7609" s="1" t="s">
        <v>3695</v>
      </c>
      <c r="E7609" s="1" t="s">
        <v>3611</v>
      </c>
      <c r="F7609" s="1" t="s">
        <v>25868</v>
      </c>
      <c r="G7609" s="1" t="s">
        <v>25862</v>
      </c>
      <c r="H7609" s="1" t="s">
        <v>3604</v>
      </c>
      <c r="I7609" s="1" t="s">
        <v>25869</v>
      </c>
      <c r="J7609" s="1" t="s">
        <v>3606</v>
      </c>
      <c r="K7609" s="1" t="s">
        <v>25870</v>
      </c>
      <c r="L7609" s="1" t="s">
        <v>3608</v>
      </c>
      <c r="M7609" s="1"/>
    </row>
    <row x14ac:dyDescent="0.25" r="7610" customHeight="1" ht="18.75">
      <c r="A7610" s="1" t="s">
        <v>3598</v>
      </c>
      <c r="B7610" s="1" t="s">
        <v>9449</v>
      </c>
      <c r="C7610" s="1" t="s">
        <v>3600</v>
      </c>
      <c r="D7610" s="1" t="s">
        <v>3695</v>
      </c>
      <c r="E7610" s="1" t="s">
        <v>3752</v>
      </c>
      <c r="F7610" s="1" t="s">
        <v>25871</v>
      </c>
      <c r="G7610" s="1" t="s">
        <v>18334</v>
      </c>
      <c r="H7610" s="1" t="s">
        <v>3604</v>
      </c>
      <c r="I7610" s="1" t="s">
        <v>25872</v>
      </c>
      <c r="J7610" s="1" t="s">
        <v>3606</v>
      </c>
      <c r="K7610" s="1" t="s">
        <v>25873</v>
      </c>
      <c r="L7610" s="1"/>
      <c r="M7610" s="1"/>
    </row>
    <row x14ac:dyDescent="0.25" r="7611" customHeight="1" ht="18.75">
      <c r="A7611" s="1" t="s">
        <v>3598</v>
      </c>
      <c r="B7611" s="1" t="s">
        <v>13864</v>
      </c>
      <c r="C7611" s="1" t="s">
        <v>3600</v>
      </c>
      <c r="D7611" s="1" t="s">
        <v>3610</v>
      </c>
      <c r="E7611" s="1" t="s">
        <v>3611</v>
      </c>
      <c r="F7611" s="1" t="s">
        <v>25874</v>
      </c>
      <c r="G7611" s="1" t="s">
        <v>25836</v>
      </c>
      <c r="H7611" s="1" t="s">
        <v>3604</v>
      </c>
      <c r="I7611" s="1" t="s">
        <v>25875</v>
      </c>
      <c r="J7611" s="1" t="s">
        <v>3606</v>
      </c>
      <c r="K7611" s="1" t="s">
        <v>25876</v>
      </c>
      <c r="L7611" s="1" t="s">
        <v>3608</v>
      </c>
      <c r="M7611" s="1"/>
    </row>
    <row x14ac:dyDescent="0.25" r="7612" customHeight="1" ht="18.75">
      <c r="A7612" s="1" t="s">
        <v>3598</v>
      </c>
      <c r="B7612" s="1" t="s">
        <v>14025</v>
      </c>
      <c r="C7612" s="1" t="s">
        <v>3600</v>
      </c>
      <c r="D7612" s="1" t="s">
        <v>3695</v>
      </c>
      <c r="E7612" s="1" t="s">
        <v>3752</v>
      </c>
      <c r="F7612" s="1" t="s">
        <v>25877</v>
      </c>
      <c r="G7612" s="1" t="s">
        <v>18347</v>
      </c>
      <c r="H7612" s="1" t="s">
        <v>3604</v>
      </c>
      <c r="I7612" s="1" t="s">
        <v>25878</v>
      </c>
      <c r="J7612" s="1" t="s">
        <v>3606</v>
      </c>
      <c r="K7612" s="1" t="s">
        <v>25879</v>
      </c>
      <c r="L7612" s="1"/>
      <c r="M7612" s="1"/>
    </row>
    <row x14ac:dyDescent="0.25" r="7613" customHeight="1" ht="18.75">
      <c r="A7613" s="1" t="s">
        <v>3598</v>
      </c>
      <c r="B7613" s="1" t="s">
        <v>14025</v>
      </c>
      <c r="C7613" s="1" t="s">
        <v>3600</v>
      </c>
      <c r="D7613" s="1" t="s">
        <v>3695</v>
      </c>
      <c r="E7613" s="1" t="s">
        <v>3752</v>
      </c>
      <c r="F7613" s="1" t="s">
        <v>25880</v>
      </c>
      <c r="G7613" s="1" t="s">
        <v>18347</v>
      </c>
      <c r="H7613" s="1" t="s">
        <v>3604</v>
      </c>
      <c r="I7613" s="1" t="s">
        <v>25881</v>
      </c>
      <c r="J7613" s="1" t="s">
        <v>3606</v>
      </c>
      <c r="K7613" s="1" t="s">
        <v>25882</v>
      </c>
      <c r="L7613" s="1"/>
      <c r="M7613" s="1"/>
    </row>
    <row x14ac:dyDescent="0.25" r="7614" customHeight="1" ht="18.75">
      <c r="A7614" s="1" t="s">
        <v>3598</v>
      </c>
      <c r="B7614" s="1" t="s">
        <v>9449</v>
      </c>
      <c r="C7614" s="1" t="s">
        <v>3600</v>
      </c>
      <c r="D7614" s="1" t="s">
        <v>3695</v>
      </c>
      <c r="E7614" s="1" t="s">
        <v>3752</v>
      </c>
      <c r="F7614" s="1" t="s">
        <v>25883</v>
      </c>
      <c r="G7614" s="1" t="s">
        <v>18334</v>
      </c>
      <c r="H7614" s="1" t="s">
        <v>3604</v>
      </c>
      <c r="I7614" s="1" t="s">
        <v>25884</v>
      </c>
      <c r="J7614" s="1" t="s">
        <v>3606</v>
      </c>
      <c r="K7614" s="1" t="s">
        <v>25885</v>
      </c>
      <c r="L7614" s="1"/>
      <c r="M7614" s="1"/>
    </row>
    <row x14ac:dyDescent="0.25" r="7615" customHeight="1" ht="18.75">
      <c r="A7615" s="1" t="s">
        <v>3598</v>
      </c>
      <c r="B7615" s="1" t="s">
        <v>9449</v>
      </c>
      <c r="C7615" s="1" t="s">
        <v>3600</v>
      </c>
      <c r="D7615" s="1" t="s">
        <v>3695</v>
      </c>
      <c r="E7615" s="1" t="s">
        <v>3752</v>
      </c>
      <c r="F7615" s="1" t="s">
        <v>25886</v>
      </c>
      <c r="G7615" s="1" t="s">
        <v>18334</v>
      </c>
      <c r="H7615" s="1" t="s">
        <v>3604</v>
      </c>
      <c r="I7615" s="1" t="s">
        <v>25887</v>
      </c>
      <c r="J7615" s="1" t="s">
        <v>3606</v>
      </c>
      <c r="K7615" s="1" t="s">
        <v>25888</v>
      </c>
      <c r="L7615" s="1"/>
      <c r="M7615" s="1"/>
    </row>
    <row x14ac:dyDescent="0.25" r="7616" customHeight="1" ht="18.75">
      <c r="A7616" s="1" t="s">
        <v>3617</v>
      </c>
      <c r="B7616" s="1" t="s">
        <v>4582</v>
      </c>
      <c r="C7616" s="1" t="s">
        <v>4488</v>
      </c>
      <c r="D7616" s="1" t="s">
        <v>8373</v>
      </c>
      <c r="E7616" s="1" t="s">
        <v>4478</v>
      </c>
      <c r="F7616" s="1" t="s">
        <v>25889</v>
      </c>
      <c r="G7616" s="1" t="s">
        <v>13066</v>
      </c>
      <c r="H7616" s="1" t="s">
        <v>3604</v>
      </c>
      <c r="I7616" s="1" t="s">
        <v>25890</v>
      </c>
      <c r="J7616" s="1" t="s">
        <v>3606</v>
      </c>
      <c r="K7616" s="1" t="s">
        <v>25891</v>
      </c>
      <c r="L7616" s="1"/>
      <c r="M7616" s="1"/>
    </row>
    <row x14ac:dyDescent="0.25" r="7617" customHeight="1" ht="18.75">
      <c r="A7617" s="1" t="s">
        <v>7833</v>
      </c>
      <c r="B7617" s="1" t="s">
        <v>14264</v>
      </c>
      <c r="C7617" s="1" t="s">
        <v>4488</v>
      </c>
      <c r="D7617" s="1" t="s">
        <v>3601</v>
      </c>
      <c r="E7617" s="1" t="s">
        <v>3664</v>
      </c>
      <c r="F7617" s="1" t="s">
        <v>25892</v>
      </c>
      <c r="G7617" s="1" t="s">
        <v>20806</v>
      </c>
      <c r="H7617" s="1" t="s">
        <v>3604</v>
      </c>
      <c r="I7617" s="1" t="s">
        <v>25893</v>
      </c>
      <c r="J7617" s="1" t="s">
        <v>3606</v>
      </c>
      <c r="K7617" s="1"/>
      <c r="L7617" s="1"/>
      <c r="M7617" s="1"/>
    </row>
    <row x14ac:dyDescent="0.25" r="7618" customHeight="1" ht="18.75">
      <c r="A7618" s="1" t="s">
        <v>7833</v>
      </c>
      <c r="B7618" s="1" t="s">
        <v>14264</v>
      </c>
      <c r="C7618" s="1" t="s">
        <v>4488</v>
      </c>
      <c r="D7618" s="1" t="s">
        <v>3601</v>
      </c>
      <c r="E7618" s="1" t="s">
        <v>3664</v>
      </c>
      <c r="F7618" s="1" t="s">
        <v>25894</v>
      </c>
      <c r="G7618" s="1" t="s">
        <v>20808</v>
      </c>
      <c r="H7618" s="1" t="s">
        <v>3604</v>
      </c>
      <c r="I7618" s="1" t="s">
        <v>25895</v>
      </c>
      <c r="J7618" s="1" t="s">
        <v>3606</v>
      </c>
      <c r="K7618" s="1"/>
      <c r="L7618" s="1"/>
      <c r="M7618" s="1"/>
    </row>
    <row x14ac:dyDescent="0.25" r="7619" customHeight="1" ht="18.75">
      <c r="A7619" s="1" t="s">
        <v>7833</v>
      </c>
      <c r="B7619" s="1" t="s">
        <v>14264</v>
      </c>
      <c r="C7619" s="1" t="s">
        <v>4488</v>
      </c>
      <c r="D7619" s="1" t="s">
        <v>3601</v>
      </c>
      <c r="E7619" s="1" t="s">
        <v>3664</v>
      </c>
      <c r="F7619" s="1" t="s">
        <v>25896</v>
      </c>
      <c r="G7619" s="1" t="s">
        <v>20777</v>
      </c>
      <c r="H7619" s="1" t="s">
        <v>3604</v>
      </c>
      <c r="I7619" s="1" t="s">
        <v>25897</v>
      </c>
      <c r="J7619" s="1" t="s">
        <v>3606</v>
      </c>
      <c r="K7619" s="1"/>
      <c r="L7619" s="1"/>
      <c r="M7619" s="1"/>
    </row>
    <row x14ac:dyDescent="0.25" r="7620" customHeight="1" ht="18.75">
      <c r="A7620" s="1" t="s">
        <v>7833</v>
      </c>
      <c r="B7620" s="1" t="s">
        <v>14264</v>
      </c>
      <c r="C7620" s="1" t="s">
        <v>4488</v>
      </c>
      <c r="D7620" s="1" t="s">
        <v>3601</v>
      </c>
      <c r="E7620" s="1" t="s">
        <v>3664</v>
      </c>
      <c r="F7620" s="1" t="s">
        <v>25898</v>
      </c>
      <c r="G7620" s="1" t="s">
        <v>20798</v>
      </c>
      <c r="H7620" s="1" t="s">
        <v>3604</v>
      </c>
      <c r="I7620" s="1" t="s">
        <v>25899</v>
      </c>
      <c r="J7620" s="1" t="s">
        <v>3606</v>
      </c>
      <c r="K7620" s="1"/>
      <c r="L7620" s="1"/>
      <c r="M7620" s="1"/>
    </row>
    <row x14ac:dyDescent="0.25" r="7621" customHeight="1" ht="18.75">
      <c r="A7621" s="1" t="s">
        <v>3617</v>
      </c>
      <c r="B7621" s="1" t="s">
        <v>4582</v>
      </c>
      <c r="C7621" s="1" t="s">
        <v>4488</v>
      </c>
      <c r="D7621" s="1" t="s">
        <v>8373</v>
      </c>
      <c r="E7621" s="1" t="s">
        <v>4478</v>
      </c>
      <c r="F7621" s="1" t="s">
        <v>25900</v>
      </c>
      <c r="G7621" s="1" t="s">
        <v>13076</v>
      </c>
      <c r="H7621" s="1" t="s">
        <v>3604</v>
      </c>
      <c r="I7621" s="1" t="s">
        <v>25901</v>
      </c>
      <c r="J7621" s="1" t="s">
        <v>3606</v>
      </c>
      <c r="K7621" s="1" t="s">
        <v>25902</v>
      </c>
      <c r="L7621" s="1"/>
      <c r="M7621" s="1"/>
    </row>
    <row x14ac:dyDescent="0.25" r="7622" customHeight="1" ht="18.75">
      <c r="A7622" s="1" t="s">
        <v>7833</v>
      </c>
      <c r="B7622" s="1" t="s">
        <v>14264</v>
      </c>
      <c r="C7622" s="1" t="s">
        <v>4488</v>
      </c>
      <c r="D7622" s="1" t="s">
        <v>3601</v>
      </c>
      <c r="E7622" s="1" t="s">
        <v>3664</v>
      </c>
      <c r="F7622" s="1" t="s">
        <v>25903</v>
      </c>
      <c r="G7622" s="1" t="s">
        <v>25904</v>
      </c>
      <c r="H7622" s="1" t="s">
        <v>3604</v>
      </c>
      <c r="I7622" s="1" t="s">
        <v>25905</v>
      </c>
      <c r="J7622" s="1" t="s">
        <v>3606</v>
      </c>
      <c r="K7622" s="1"/>
      <c r="L7622" s="1"/>
      <c r="M7622" s="1"/>
    </row>
    <row x14ac:dyDescent="0.25" r="7623" customHeight="1" ht="18.75">
      <c r="A7623" s="1" t="s">
        <v>7833</v>
      </c>
      <c r="B7623" s="1" t="s">
        <v>14264</v>
      </c>
      <c r="C7623" s="1" t="s">
        <v>4488</v>
      </c>
      <c r="D7623" s="1" t="s">
        <v>3601</v>
      </c>
      <c r="E7623" s="1" t="s">
        <v>3664</v>
      </c>
      <c r="F7623" s="1" t="s">
        <v>25906</v>
      </c>
      <c r="G7623" s="1" t="s">
        <v>14265</v>
      </c>
      <c r="H7623" s="1" t="s">
        <v>3604</v>
      </c>
      <c r="I7623" s="1" t="s">
        <v>25907</v>
      </c>
      <c r="J7623" s="1" t="s">
        <v>3606</v>
      </c>
      <c r="K7623" s="1" t="s">
        <v>14360</v>
      </c>
      <c r="L7623" s="1"/>
      <c r="M7623" s="1"/>
    </row>
    <row x14ac:dyDescent="0.25" r="7624" customHeight="1" ht="18.75">
      <c r="A7624" s="1" t="s">
        <v>3617</v>
      </c>
      <c r="B7624" s="1" t="s">
        <v>4582</v>
      </c>
      <c r="C7624" s="1" t="s">
        <v>4488</v>
      </c>
      <c r="D7624" s="1" t="s">
        <v>8373</v>
      </c>
      <c r="E7624" s="1" t="s">
        <v>4478</v>
      </c>
      <c r="F7624" s="1" t="s">
        <v>25908</v>
      </c>
      <c r="G7624" s="1" t="s">
        <v>13076</v>
      </c>
      <c r="H7624" s="1" t="s">
        <v>3604</v>
      </c>
      <c r="I7624" s="1" t="s">
        <v>25909</v>
      </c>
      <c r="J7624" s="1" t="s">
        <v>3606</v>
      </c>
      <c r="K7624" s="1" t="s">
        <v>25910</v>
      </c>
      <c r="L7624" s="1"/>
      <c r="M7624" s="1"/>
    </row>
    <row x14ac:dyDescent="0.25" r="7625" customHeight="1" ht="18.75">
      <c r="A7625" s="1" t="s">
        <v>3617</v>
      </c>
      <c r="B7625" s="1" t="s">
        <v>4582</v>
      </c>
      <c r="C7625" s="1" t="s">
        <v>4488</v>
      </c>
      <c r="D7625" s="1" t="s">
        <v>8373</v>
      </c>
      <c r="E7625" s="1" t="s">
        <v>4478</v>
      </c>
      <c r="F7625" s="1" t="s">
        <v>25911</v>
      </c>
      <c r="G7625" s="1" t="s">
        <v>13076</v>
      </c>
      <c r="H7625" s="1" t="s">
        <v>3604</v>
      </c>
      <c r="I7625" s="1" t="s">
        <v>25912</v>
      </c>
      <c r="J7625" s="1" t="s">
        <v>3606</v>
      </c>
      <c r="K7625" s="1" t="s">
        <v>25913</v>
      </c>
      <c r="L7625" s="1"/>
      <c r="M7625" s="1"/>
    </row>
    <row x14ac:dyDescent="0.25" r="7626" customHeight="1" ht="18.75">
      <c r="A7626" s="1" t="s">
        <v>3617</v>
      </c>
      <c r="B7626" s="1" t="s">
        <v>4582</v>
      </c>
      <c r="C7626" s="1" t="s">
        <v>4488</v>
      </c>
      <c r="D7626" s="1" t="s">
        <v>3601</v>
      </c>
      <c r="E7626" s="1" t="s">
        <v>4478</v>
      </c>
      <c r="F7626" s="1" t="s">
        <v>25914</v>
      </c>
      <c r="G7626" s="1" t="s">
        <v>10946</v>
      </c>
      <c r="H7626" s="1" t="s">
        <v>3604</v>
      </c>
      <c r="I7626" s="1" t="s">
        <v>25915</v>
      </c>
      <c r="J7626" s="1" t="s">
        <v>3615</v>
      </c>
      <c r="K7626" s="1" t="s">
        <v>25916</v>
      </c>
      <c r="L7626" s="1"/>
      <c r="M7626" s="1"/>
    </row>
    <row x14ac:dyDescent="0.25" r="7627" customHeight="1" ht="18.75">
      <c r="A7627" s="1" t="s">
        <v>3617</v>
      </c>
      <c r="B7627" s="1" t="s">
        <v>25917</v>
      </c>
      <c r="C7627" s="1" t="s">
        <v>3619</v>
      </c>
      <c r="D7627" s="1" t="s">
        <v>3601</v>
      </c>
      <c r="E7627" s="1" t="s">
        <v>3893</v>
      </c>
      <c r="F7627" s="1" t="s">
        <v>25918</v>
      </c>
      <c r="G7627" s="1" t="s">
        <v>25919</v>
      </c>
      <c r="H7627" s="1" t="s">
        <v>3604</v>
      </c>
      <c r="I7627" s="1" t="s">
        <v>25920</v>
      </c>
      <c r="J7627" s="1" t="s">
        <v>3606</v>
      </c>
      <c r="K7627" s="1" t="s">
        <v>25921</v>
      </c>
      <c r="L7627" s="1" t="s">
        <v>10634</v>
      </c>
      <c r="M7627" s="1"/>
    </row>
    <row x14ac:dyDescent="0.25" r="7628" customHeight="1" ht="18.75">
      <c r="A7628" s="1" t="s">
        <v>3598</v>
      </c>
      <c r="B7628" s="1" t="s">
        <v>6728</v>
      </c>
      <c r="C7628" s="1" t="s">
        <v>3600</v>
      </c>
      <c r="D7628" s="1" t="s">
        <v>3695</v>
      </c>
      <c r="E7628" s="1" t="s">
        <v>3664</v>
      </c>
      <c r="F7628" s="1" t="s">
        <v>25922</v>
      </c>
      <c r="G7628" s="1" t="s">
        <v>15942</v>
      </c>
      <c r="H7628" s="1" t="s">
        <v>3604</v>
      </c>
      <c r="I7628" s="1" t="s">
        <v>25923</v>
      </c>
      <c r="J7628" s="1" t="s">
        <v>3606</v>
      </c>
      <c r="K7628" s="1" t="s">
        <v>25924</v>
      </c>
      <c r="L7628" s="1"/>
      <c r="M7628" s="1"/>
    </row>
    <row x14ac:dyDescent="0.25" r="7629" customHeight="1" ht="18.75">
      <c r="A7629" s="1" t="s">
        <v>3598</v>
      </c>
      <c r="B7629" s="1" t="s">
        <v>6728</v>
      </c>
      <c r="C7629" s="1" t="s">
        <v>3600</v>
      </c>
      <c r="D7629" s="1" t="s">
        <v>3695</v>
      </c>
      <c r="E7629" s="1" t="s">
        <v>3664</v>
      </c>
      <c r="F7629" s="1" t="s">
        <v>25925</v>
      </c>
      <c r="G7629" s="1" t="s">
        <v>15942</v>
      </c>
      <c r="H7629" s="1" t="s">
        <v>3604</v>
      </c>
      <c r="I7629" s="1" t="s">
        <v>25926</v>
      </c>
      <c r="J7629" s="1" t="s">
        <v>3606</v>
      </c>
      <c r="K7629" s="1" t="s">
        <v>25927</v>
      </c>
      <c r="L7629" s="1"/>
      <c r="M7629" s="1"/>
    </row>
    <row x14ac:dyDescent="0.25" r="7630" customHeight="1" ht="18.75">
      <c r="A7630" s="1" t="s">
        <v>3598</v>
      </c>
      <c r="B7630" s="1" t="s">
        <v>6728</v>
      </c>
      <c r="C7630" s="1" t="s">
        <v>3600</v>
      </c>
      <c r="D7630" s="1" t="s">
        <v>3695</v>
      </c>
      <c r="E7630" s="1" t="s">
        <v>3664</v>
      </c>
      <c r="F7630" s="1" t="s">
        <v>25928</v>
      </c>
      <c r="G7630" s="1" t="s">
        <v>15942</v>
      </c>
      <c r="H7630" s="1" t="s">
        <v>3604</v>
      </c>
      <c r="I7630" s="1" t="s">
        <v>25929</v>
      </c>
      <c r="J7630" s="1" t="s">
        <v>3606</v>
      </c>
      <c r="K7630" s="1" t="s">
        <v>25930</v>
      </c>
      <c r="L7630" s="1"/>
      <c r="M7630" s="1"/>
    </row>
    <row x14ac:dyDescent="0.25" r="7631" customHeight="1" ht="18.75">
      <c r="A7631" s="1" t="s">
        <v>3598</v>
      </c>
      <c r="B7631" s="1" t="s">
        <v>13864</v>
      </c>
      <c r="C7631" s="1" t="s">
        <v>3600</v>
      </c>
      <c r="D7631" s="1" t="s">
        <v>3695</v>
      </c>
      <c r="E7631" s="1" t="s">
        <v>3664</v>
      </c>
      <c r="F7631" s="1" t="s">
        <v>25931</v>
      </c>
      <c r="G7631" s="1" t="s">
        <v>25932</v>
      </c>
      <c r="H7631" s="1" t="s">
        <v>3604</v>
      </c>
      <c r="I7631" s="1" t="s">
        <v>25933</v>
      </c>
      <c r="J7631" s="1" t="s">
        <v>3606</v>
      </c>
      <c r="K7631" s="1" t="s">
        <v>25934</v>
      </c>
      <c r="L7631" s="1"/>
      <c r="M7631" s="1"/>
    </row>
    <row x14ac:dyDescent="0.25" r="7632" customHeight="1" ht="18.75">
      <c r="A7632" s="1" t="s">
        <v>3598</v>
      </c>
      <c r="B7632" s="1" t="s">
        <v>13864</v>
      </c>
      <c r="C7632" s="1" t="s">
        <v>3600</v>
      </c>
      <c r="D7632" s="1" t="s">
        <v>3695</v>
      </c>
      <c r="E7632" s="1" t="s">
        <v>3664</v>
      </c>
      <c r="F7632" s="1" t="s">
        <v>25935</v>
      </c>
      <c r="G7632" s="1" t="s">
        <v>25932</v>
      </c>
      <c r="H7632" s="1" t="s">
        <v>3604</v>
      </c>
      <c r="I7632" s="1" t="s">
        <v>25936</v>
      </c>
      <c r="J7632" s="1" t="s">
        <v>3606</v>
      </c>
      <c r="K7632" s="1" t="s">
        <v>25937</v>
      </c>
      <c r="L7632" s="1"/>
      <c r="M7632" s="1"/>
    </row>
    <row x14ac:dyDescent="0.25" r="7633" customHeight="1" ht="18.75">
      <c r="A7633" s="1" t="s">
        <v>3598</v>
      </c>
      <c r="B7633" s="1" t="s">
        <v>13864</v>
      </c>
      <c r="C7633" s="1" t="s">
        <v>3600</v>
      </c>
      <c r="D7633" s="1" t="s">
        <v>3695</v>
      </c>
      <c r="E7633" s="1" t="s">
        <v>3664</v>
      </c>
      <c r="F7633" s="1" t="s">
        <v>25938</v>
      </c>
      <c r="G7633" s="1" t="s">
        <v>25932</v>
      </c>
      <c r="H7633" s="1" t="s">
        <v>3604</v>
      </c>
      <c r="I7633" s="1" t="s">
        <v>25939</v>
      </c>
      <c r="J7633" s="1" t="s">
        <v>3606</v>
      </c>
      <c r="K7633" s="1" t="s">
        <v>25940</v>
      </c>
      <c r="L7633" s="1"/>
      <c r="M7633" s="1"/>
    </row>
    <row x14ac:dyDescent="0.25" r="7634" customHeight="1" ht="18.75">
      <c r="A7634" s="1" t="s">
        <v>3598</v>
      </c>
      <c r="B7634" s="1" t="s">
        <v>13864</v>
      </c>
      <c r="C7634" s="1" t="s">
        <v>3600</v>
      </c>
      <c r="D7634" s="1" t="s">
        <v>3695</v>
      </c>
      <c r="E7634" s="1" t="s">
        <v>3664</v>
      </c>
      <c r="F7634" s="1" t="s">
        <v>25941</v>
      </c>
      <c r="G7634" s="1" t="s">
        <v>25942</v>
      </c>
      <c r="H7634" s="1" t="s">
        <v>3604</v>
      </c>
      <c r="I7634" s="1" t="s">
        <v>25943</v>
      </c>
      <c r="J7634" s="1" t="s">
        <v>3606</v>
      </c>
      <c r="K7634" s="1" t="s">
        <v>25944</v>
      </c>
      <c r="L7634" s="1"/>
      <c r="M7634" s="1"/>
    </row>
    <row x14ac:dyDescent="0.25" r="7635" customHeight="1" ht="18.75">
      <c r="A7635" s="1" t="s">
        <v>3598</v>
      </c>
      <c r="B7635" s="1" t="s">
        <v>13864</v>
      </c>
      <c r="C7635" s="1" t="s">
        <v>3600</v>
      </c>
      <c r="D7635" s="1" t="s">
        <v>3695</v>
      </c>
      <c r="E7635" s="1" t="s">
        <v>3664</v>
      </c>
      <c r="F7635" s="1" t="s">
        <v>25945</v>
      </c>
      <c r="G7635" s="1" t="s">
        <v>25946</v>
      </c>
      <c r="H7635" s="1" t="s">
        <v>3604</v>
      </c>
      <c r="I7635" s="1" t="s">
        <v>25947</v>
      </c>
      <c r="J7635" s="1" t="s">
        <v>3606</v>
      </c>
      <c r="K7635" s="1" t="s">
        <v>25948</v>
      </c>
      <c r="L7635" s="1"/>
      <c r="M7635" s="1"/>
    </row>
    <row x14ac:dyDescent="0.25" r="7636" customHeight="1" ht="18.75">
      <c r="A7636" s="1" t="s">
        <v>3598</v>
      </c>
      <c r="B7636" s="1" t="s">
        <v>13864</v>
      </c>
      <c r="C7636" s="1" t="s">
        <v>3600</v>
      </c>
      <c r="D7636" s="1" t="s">
        <v>3695</v>
      </c>
      <c r="E7636" s="1" t="s">
        <v>3664</v>
      </c>
      <c r="F7636" s="1" t="s">
        <v>25949</v>
      </c>
      <c r="G7636" s="1" t="s">
        <v>25946</v>
      </c>
      <c r="H7636" s="1" t="s">
        <v>3604</v>
      </c>
      <c r="I7636" s="1" t="s">
        <v>25950</v>
      </c>
      <c r="J7636" s="1" t="s">
        <v>3606</v>
      </c>
      <c r="K7636" s="1" t="s">
        <v>25951</v>
      </c>
      <c r="L7636" s="1"/>
      <c r="M7636" s="1"/>
    </row>
    <row x14ac:dyDescent="0.25" r="7637" customHeight="1" ht="18.75">
      <c r="A7637" s="1" t="s">
        <v>3598</v>
      </c>
      <c r="B7637" s="1" t="s">
        <v>9116</v>
      </c>
      <c r="C7637" s="1" t="s">
        <v>3600</v>
      </c>
      <c r="D7637" s="1" t="s">
        <v>3695</v>
      </c>
      <c r="E7637" s="1" t="s">
        <v>3664</v>
      </c>
      <c r="F7637" s="1" t="s">
        <v>25952</v>
      </c>
      <c r="G7637" s="1" t="s">
        <v>25953</v>
      </c>
      <c r="H7637" s="1" t="s">
        <v>3604</v>
      </c>
      <c r="I7637" s="1" t="s">
        <v>25954</v>
      </c>
      <c r="J7637" s="1" t="s">
        <v>3606</v>
      </c>
      <c r="K7637" s="1" t="s">
        <v>25924</v>
      </c>
      <c r="L7637" s="1"/>
      <c r="M7637" s="1"/>
    </row>
    <row x14ac:dyDescent="0.25" r="7638" customHeight="1" ht="18.75">
      <c r="A7638" s="1" t="s">
        <v>3598</v>
      </c>
      <c r="B7638" s="1" t="s">
        <v>9116</v>
      </c>
      <c r="C7638" s="1" t="s">
        <v>3600</v>
      </c>
      <c r="D7638" s="1" t="s">
        <v>3695</v>
      </c>
      <c r="E7638" s="1" t="s">
        <v>3664</v>
      </c>
      <c r="F7638" s="1" t="s">
        <v>25955</v>
      </c>
      <c r="G7638" s="1" t="s">
        <v>25956</v>
      </c>
      <c r="H7638" s="1" t="s">
        <v>3604</v>
      </c>
      <c r="I7638" s="1" t="s">
        <v>25957</v>
      </c>
      <c r="J7638" s="1" t="s">
        <v>3606</v>
      </c>
      <c r="K7638" s="1" t="s">
        <v>25927</v>
      </c>
      <c r="L7638" s="1"/>
      <c r="M7638" s="1"/>
    </row>
    <row x14ac:dyDescent="0.25" r="7639" customHeight="1" ht="18.75">
      <c r="A7639" s="1" t="s">
        <v>3598</v>
      </c>
      <c r="B7639" s="1" t="s">
        <v>9116</v>
      </c>
      <c r="C7639" s="1" t="s">
        <v>3600</v>
      </c>
      <c r="D7639" s="1" t="s">
        <v>3695</v>
      </c>
      <c r="E7639" s="1" t="s">
        <v>3664</v>
      </c>
      <c r="F7639" s="1" t="s">
        <v>25958</v>
      </c>
      <c r="G7639" s="1" t="s">
        <v>25956</v>
      </c>
      <c r="H7639" s="1" t="s">
        <v>3604</v>
      </c>
      <c r="I7639" s="1" t="s">
        <v>25959</v>
      </c>
      <c r="J7639" s="1" t="s">
        <v>3606</v>
      </c>
      <c r="K7639" s="1" t="s">
        <v>25930</v>
      </c>
      <c r="L7639" s="1"/>
      <c r="M7639" s="1"/>
    </row>
    <row x14ac:dyDescent="0.25" r="7640" customHeight="1" ht="18.75">
      <c r="A7640" s="1" t="s">
        <v>3598</v>
      </c>
      <c r="B7640" s="1" t="s">
        <v>5252</v>
      </c>
      <c r="C7640" s="1" t="s">
        <v>3600</v>
      </c>
      <c r="D7640" s="1" t="s">
        <v>3695</v>
      </c>
      <c r="E7640" s="1" t="s">
        <v>3664</v>
      </c>
      <c r="F7640" s="1" t="s">
        <v>25960</v>
      </c>
      <c r="G7640" s="1" t="s">
        <v>18400</v>
      </c>
      <c r="H7640" s="1" t="s">
        <v>3604</v>
      </c>
      <c r="I7640" s="1" t="s">
        <v>25961</v>
      </c>
      <c r="J7640" s="1" t="s">
        <v>3606</v>
      </c>
      <c r="K7640" s="1" t="s">
        <v>25924</v>
      </c>
      <c r="L7640" s="1"/>
      <c r="M7640" s="1"/>
    </row>
    <row x14ac:dyDescent="0.25" r="7641" customHeight="1" ht="18.75">
      <c r="A7641" s="1" t="s">
        <v>3598</v>
      </c>
      <c r="B7641" s="1" t="s">
        <v>5252</v>
      </c>
      <c r="C7641" s="1" t="s">
        <v>3600</v>
      </c>
      <c r="D7641" s="1" t="s">
        <v>3695</v>
      </c>
      <c r="E7641" s="1" t="s">
        <v>3664</v>
      </c>
      <c r="F7641" s="1" t="s">
        <v>25962</v>
      </c>
      <c r="G7641" s="1" t="s">
        <v>18400</v>
      </c>
      <c r="H7641" s="1" t="s">
        <v>3604</v>
      </c>
      <c r="I7641" s="1" t="s">
        <v>25963</v>
      </c>
      <c r="J7641" s="1" t="s">
        <v>3606</v>
      </c>
      <c r="K7641" s="1" t="s">
        <v>25927</v>
      </c>
      <c r="L7641" s="1"/>
      <c r="M7641" s="1"/>
    </row>
    <row x14ac:dyDescent="0.25" r="7642" customHeight="1" ht="18.75">
      <c r="A7642" s="1" t="s">
        <v>3598</v>
      </c>
      <c r="B7642" s="1" t="s">
        <v>5252</v>
      </c>
      <c r="C7642" s="1" t="s">
        <v>3600</v>
      </c>
      <c r="D7642" s="1" t="s">
        <v>3695</v>
      </c>
      <c r="E7642" s="1" t="s">
        <v>3664</v>
      </c>
      <c r="F7642" s="1" t="s">
        <v>25964</v>
      </c>
      <c r="G7642" s="1" t="s">
        <v>18400</v>
      </c>
      <c r="H7642" s="1" t="s">
        <v>3604</v>
      </c>
      <c r="I7642" s="1" t="s">
        <v>25965</v>
      </c>
      <c r="J7642" s="1" t="s">
        <v>3606</v>
      </c>
      <c r="K7642" s="1" t="s">
        <v>25930</v>
      </c>
      <c r="L7642" s="1"/>
      <c r="M7642" s="1"/>
    </row>
    <row x14ac:dyDescent="0.25" r="7643" customHeight="1" ht="18.75">
      <c r="A7643" s="1" t="s">
        <v>3598</v>
      </c>
      <c r="B7643" s="1" t="s">
        <v>9025</v>
      </c>
      <c r="C7643" s="1" t="s">
        <v>3600</v>
      </c>
      <c r="D7643" s="1" t="s">
        <v>3695</v>
      </c>
      <c r="E7643" s="1" t="s">
        <v>3664</v>
      </c>
      <c r="F7643" s="1" t="s">
        <v>25966</v>
      </c>
      <c r="G7643" s="1" t="s">
        <v>25967</v>
      </c>
      <c r="H7643" s="1" t="s">
        <v>3604</v>
      </c>
      <c r="I7643" s="1" t="s">
        <v>25968</v>
      </c>
      <c r="J7643" s="1" t="s">
        <v>3606</v>
      </c>
      <c r="K7643" s="1" t="s">
        <v>25969</v>
      </c>
      <c r="L7643" s="1"/>
      <c r="M7643" s="1"/>
    </row>
    <row x14ac:dyDescent="0.25" r="7644" customHeight="1" ht="18.75">
      <c r="A7644" s="1" t="s">
        <v>3598</v>
      </c>
      <c r="B7644" s="1" t="s">
        <v>9025</v>
      </c>
      <c r="C7644" s="1" t="s">
        <v>3600</v>
      </c>
      <c r="D7644" s="1" t="s">
        <v>3695</v>
      </c>
      <c r="E7644" s="1" t="s">
        <v>3664</v>
      </c>
      <c r="F7644" s="1" t="s">
        <v>25970</v>
      </c>
      <c r="G7644" s="1" t="s">
        <v>25967</v>
      </c>
      <c r="H7644" s="1" t="s">
        <v>3604</v>
      </c>
      <c r="I7644" s="1" t="s">
        <v>25971</v>
      </c>
      <c r="J7644" s="1" t="s">
        <v>3606</v>
      </c>
      <c r="K7644" s="1" t="s">
        <v>25972</v>
      </c>
      <c r="L7644" s="1"/>
      <c r="M7644" s="1"/>
    </row>
    <row x14ac:dyDescent="0.25" r="7645" customHeight="1" ht="18.75">
      <c r="A7645" s="1" t="s">
        <v>3598</v>
      </c>
      <c r="B7645" s="1" t="s">
        <v>9025</v>
      </c>
      <c r="C7645" s="1" t="s">
        <v>3600</v>
      </c>
      <c r="D7645" s="1" t="s">
        <v>3695</v>
      </c>
      <c r="E7645" s="1" t="s">
        <v>3664</v>
      </c>
      <c r="F7645" s="1" t="s">
        <v>25973</v>
      </c>
      <c r="G7645" s="1" t="s">
        <v>25967</v>
      </c>
      <c r="H7645" s="1" t="s">
        <v>3604</v>
      </c>
      <c r="I7645" s="1" t="s">
        <v>25974</v>
      </c>
      <c r="J7645" s="1" t="s">
        <v>3606</v>
      </c>
      <c r="K7645" s="1" t="s">
        <v>25975</v>
      </c>
      <c r="L7645" s="1"/>
      <c r="M7645" s="1"/>
    </row>
    <row x14ac:dyDescent="0.25" r="7646" customHeight="1" ht="18.75">
      <c r="A7646" s="1" t="s">
        <v>3598</v>
      </c>
      <c r="B7646" s="1" t="s">
        <v>19642</v>
      </c>
      <c r="C7646" s="1" t="s">
        <v>3600</v>
      </c>
      <c r="D7646" s="1" t="s">
        <v>3695</v>
      </c>
      <c r="E7646" s="1" t="s">
        <v>3664</v>
      </c>
      <c r="F7646" s="1" t="s">
        <v>25976</v>
      </c>
      <c r="G7646" s="1" t="s">
        <v>25977</v>
      </c>
      <c r="H7646" s="1" t="s">
        <v>3604</v>
      </c>
      <c r="I7646" s="1" t="s">
        <v>25978</v>
      </c>
      <c r="J7646" s="1" t="s">
        <v>3606</v>
      </c>
      <c r="K7646" s="1" t="s">
        <v>25969</v>
      </c>
      <c r="L7646" s="1"/>
      <c r="M7646" s="1"/>
    </row>
    <row x14ac:dyDescent="0.25" r="7647" customHeight="1" ht="18.75">
      <c r="A7647" s="1" t="s">
        <v>3598</v>
      </c>
      <c r="B7647" s="1" t="s">
        <v>19642</v>
      </c>
      <c r="C7647" s="1" t="s">
        <v>3600</v>
      </c>
      <c r="D7647" s="1" t="s">
        <v>3695</v>
      </c>
      <c r="E7647" s="1" t="s">
        <v>3664</v>
      </c>
      <c r="F7647" s="1" t="s">
        <v>25979</v>
      </c>
      <c r="G7647" s="1" t="s">
        <v>25977</v>
      </c>
      <c r="H7647" s="1" t="s">
        <v>3604</v>
      </c>
      <c r="I7647" s="1" t="s">
        <v>25980</v>
      </c>
      <c r="J7647" s="1" t="s">
        <v>3606</v>
      </c>
      <c r="K7647" s="1" t="s">
        <v>25972</v>
      </c>
      <c r="L7647" s="1"/>
      <c r="M7647" s="1"/>
    </row>
    <row x14ac:dyDescent="0.25" r="7648" customHeight="1" ht="18.75">
      <c r="A7648" s="1" t="s">
        <v>3598</v>
      </c>
      <c r="B7648" s="1" t="s">
        <v>19642</v>
      </c>
      <c r="C7648" s="1" t="s">
        <v>3600</v>
      </c>
      <c r="D7648" s="1" t="s">
        <v>3695</v>
      </c>
      <c r="E7648" s="1" t="s">
        <v>3664</v>
      </c>
      <c r="F7648" s="1" t="s">
        <v>25981</v>
      </c>
      <c r="G7648" s="1" t="s">
        <v>25977</v>
      </c>
      <c r="H7648" s="1" t="s">
        <v>3604</v>
      </c>
      <c r="I7648" s="1" t="s">
        <v>25982</v>
      </c>
      <c r="J7648" s="1" t="s">
        <v>3606</v>
      </c>
      <c r="K7648" s="1" t="s">
        <v>25975</v>
      </c>
      <c r="L7648" s="1"/>
      <c r="M7648" s="1"/>
    </row>
    <row x14ac:dyDescent="0.25" r="7649" customHeight="1" ht="18.75">
      <c r="A7649" s="1" t="s">
        <v>3598</v>
      </c>
      <c r="B7649" s="1" t="s">
        <v>9231</v>
      </c>
      <c r="C7649" s="1" t="s">
        <v>3600</v>
      </c>
      <c r="D7649" s="1" t="s">
        <v>10630</v>
      </c>
      <c r="E7649" s="1" t="s">
        <v>3752</v>
      </c>
      <c r="F7649" s="1" t="s">
        <v>25983</v>
      </c>
      <c r="G7649" s="1" t="s">
        <v>25984</v>
      </c>
      <c r="H7649" s="1" t="s">
        <v>3604</v>
      </c>
      <c r="I7649" s="1" t="s">
        <v>25985</v>
      </c>
      <c r="J7649" s="1" t="s">
        <v>3606</v>
      </c>
      <c r="K7649" s="1" t="s">
        <v>25986</v>
      </c>
      <c r="L7649" s="1" t="s">
        <v>10634</v>
      </c>
      <c r="M7649" s="1"/>
    </row>
    <row x14ac:dyDescent="0.25" r="7650" customHeight="1" ht="18.75">
      <c r="A7650" s="1" t="s">
        <v>3617</v>
      </c>
      <c r="B7650" s="1" t="s">
        <v>5570</v>
      </c>
      <c r="C7650" s="1" t="s">
        <v>3619</v>
      </c>
      <c r="D7650" s="1" t="s">
        <v>7891</v>
      </c>
      <c r="E7650" s="1" t="s">
        <v>3730</v>
      </c>
      <c r="F7650" s="1" t="s">
        <v>25987</v>
      </c>
      <c r="G7650" s="1" t="s">
        <v>25988</v>
      </c>
      <c r="H7650" s="1" t="s">
        <v>3604</v>
      </c>
      <c r="I7650" s="1" t="s">
        <v>25989</v>
      </c>
      <c r="J7650" s="1" t="s">
        <v>3606</v>
      </c>
      <c r="K7650" s="1" t="s">
        <v>25990</v>
      </c>
      <c r="L7650" s="1"/>
      <c r="M7650" s="1"/>
    </row>
    <row x14ac:dyDescent="0.25" r="7651" customHeight="1" ht="18.75">
      <c r="A7651" s="1" t="s">
        <v>3617</v>
      </c>
      <c r="B7651" s="1" t="s">
        <v>5570</v>
      </c>
      <c r="C7651" s="1" t="s">
        <v>3619</v>
      </c>
      <c r="D7651" s="1" t="s">
        <v>7891</v>
      </c>
      <c r="E7651" s="1" t="s">
        <v>3730</v>
      </c>
      <c r="F7651" s="1" t="s">
        <v>25991</v>
      </c>
      <c r="G7651" s="1" t="s">
        <v>25766</v>
      </c>
      <c r="H7651" s="1" t="s">
        <v>3604</v>
      </c>
      <c r="I7651" s="1" t="s">
        <v>25992</v>
      </c>
      <c r="J7651" s="1" t="s">
        <v>3606</v>
      </c>
      <c r="K7651" s="1" t="s">
        <v>25993</v>
      </c>
      <c r="L7651" s="1"/>
      <c r="M7651" s="1"/>
    </row>
    <row x14ac:dyDescent="0.25" r="7652" customHeight="1" ht="18.75">
      <c r="A7652" s="1" t="s">
        <v>3617</v>
      </c>
      <c r="B7652" s="1" t="s">
        <v>5570</v>
      </c>
      <c r="C7652" s="1" t="s">
        <v>3619</v>
      </c>
      <c r="D7652" s="1" t="s">
        <v>7891</v>
      </c>
      <c r="E7652" s="1" t="s">
        <v>3730</v>
      </c>
      <c r="F7652" s="1" t="s">
        <v>25994</v>
      </c>
      <c r="G7652" s="1" t="s">
        <v>7290</v>
      </c>
      <c r="H7652" s="1" t="s">
        <v>3604</v>
      </c>
      <c r="I7652" s="1" t="s">
        <v>25995</v>
      </c>
      <c r="J7652" s="1" t="s">
        <v>3606</v>
      </c>
      <c r="K7652" s="1" t="s">
        <v>25996</v>
      </c>
      <c r="L7652" s="1"/>
      <c r="M7652" s="1"/>
    </row>
    <row x14ac:dyDescent="0.25" r="7653" customHeight="1" ht="18.75">
      <c r="A7653" s="1" t="s">
        <v>3617</v>
      </c>
      <c r="B7653" s="1" t="s">
        <v>5570</v>
      </c>
      <c r="C7653" s="1" t="s">
        <v>3619</v>
      </c>
      <c r="D7653" s="1" t="s">
        <v>7891</v>
      </c>
      <c r="E7653" s="1" t="s">
        <v>3730</v>
      </c>
      <c r="F7653" s="1" t="s">
        <v>25997</v>
      </c>
      <c r="G7653" s="1" t="s">
        <v>8375</v>
      </c>
      <c r="H7653" s="1" t="s">
        <v>3604</v>
      </c>
      <c r="I7653" s="1" t="s">
        <v>25998</v>
      </c>
      <c r="J7653" s="1" t="s">
        <v>3606</v>
      </c>
      <c r="K7653" s="1" t="s">
        <v>25999</v>
      </c>
      <c r="L7653" s="1"/>
      <c r="M7653" s="1"/>
    </row>
    <row x14ac:dyDescent="0.25" r="7654" customHeight="1" ht="18.75">
      <c r="A7654" s="1" t="s">
        <v>3617</v>
      </c>
      <c r="B7654" s="1" t="s">
        <v>5570</v>
      </c>
      <c r="C7654" s="1" t="s">
        <v>3619</v>
      </c>
      <c r="D7654" s="1" t="s">
        <v>8373</v>
      </c>
      <c r="E7654" s="1" t="s">
        <v>3730</v>
      </c>
      <c r="F7654" s="1" t="s">
        <v>26000</v>
      </c>
      <c r="G7654" s="1" t="s">
        <v>26001</v>
      </c>
      <c r="H7654" s="1" t="s">
        <v>3604</v>
      </c>
      <c r="I7654" s="1" t="s">
        <v>26002</v>
      </c>
      <c r="J7654" s="1" t="s">
        <v>3606</v>
      </c>
      <c r="K7654" s="1" t="s">
        <v>26003</v>
      </c>
      <c r="L7654" s="1"/>
      <c r="M7654" s="1"/>
    </row>
    <row x14ac:dyDescent="0.25" r="7655" customHeight="1" ht="18.75">
      <c r="A7655" s="1" t="s">
        <v>3617</v>
      </c>
      <c r="B7655" s="1" t="s">
        <v>5570</v>
      </c>
      <c r="C7655" s="1" t="s">
        <v>3619</v>
      </c>
      <c r="D7655" s="1" t="s">
        <v>8373</v>
      </c>
      <c r="E7655" s="1" t="s">
        <v>3981</v>
      </c>
      <c r="F7655" s="1" t="s">
        <v>26004</v>
      </c>
      <c r="G7655" s="1" t="s">
        <v>26001</v>
      </c>
      <c r="H7655" s="1" t="s">
        <v>3604</v>
      </c>
      <c r="I7655" s="1" t="s">
        <v>26005</v>
      </c>
      <c r="J7655" s="1" t="s">
        <v>3606</v>
      </c>
      <c r="K7655" s="1" t="s">
        <v>26006</v>
      </c>
      <c r="L7655" s="1"/>
      <c r="M7655" s="1"/>
    </row>
    <row x14ac:dyDescent="0.25" r="7656" customHeight="1" ht="18.75">
      <c r="A7656" s="1" t="s">
        <v>3617</v>
      </c>
      <c r="B7656" s="1" t="s">
        <v>5570</v>
      </c>
      <c r="C7656" s="1" t="s">
        <v>3619</v>
      </c>
      <c r="D7656" s="1" t="s">
        <v>8373</v>
      </c>
      <c r="E7656" s="1" t="s">
        <v>3611</v>
      </c>
      <c r="F7656" s="1" t="s">
        <v>26007</v>
      </c>
      <c r="G7656" s="1" t="s">
        <v>26008</v>
      </c>
      <c r="H7656" s="1" t="s">
        <v>3604</v>
      </c>
      <c r="I7656" s="1" t="s">
        <v>26009</v>
      </c>
      <c r="J7656" s="1" t="s">
        <v>3606</v>
      </c>
      <c r="K7656" s="1" t="s">
        <v>26010</v>
      </c>
      <c r="L7656" s="1"/>
      <c r="M7656" s="1"/>
    </row>
    <row x14ac:dyDescent="0.25" r="7657" customHeight="1" ht="18.75">
      <c r="A7657" s="1" t="s">
        <v>3598</v>
      </c>
      <c r="B7657" s="1" t="s">
        <v>9231</v>
      </c>
      <c r="C7657" s="1" t="s">
        <v>3600</v>
      </c>
      <c r="D7657" s="1" t="s">
        <v>3610</v>
      </c>
      <c r="E7657" s="1" t="s">
        <v>3752</v>
      </c>
      <c r="F7657" s="1" t="s">
        <v>26011</v>
      </c>
      <c r="G7657" s="1" t="s">
        <v>26012</v>
      </c>
      <c r="H7657" s="1" t="s">
        <v>3604</v>
      </c>
      <c r="I7657" s="1" t="s">
        <v>26013</v>
      </c>
      <c r="J7657" s="1" t="s">
        <v>3606</v>
      </c>
      <c r="K7657" s="1" t="s">
        <v>26014</v>
      </c>
      <c r="L7657" s="1" t="s">
        <v>3608</v>
      </c>
      <c r="M7657" s="1"/>
    </row>
    <row x14ac:dyDescent="0.25" r="7658" customHeight="1" ht="18.75">
      <c r="A7658" s="1" t="s">
        <v>3598</v>
      </c>
      <c r="B7658" s="1" t="s">
        <v>9231</v>
      </c>
      <c r="C7658" s="1" t="s">
        <v>3600</v>
      </c>
      <c r="D7658" s="1" t="s">
        <v>3610</v>
      </c>
      <c r="E7658" s="1" t="s">
        <v>3752</v>
      </c>
      <c r="F7658" s="1" t="s">
        <v>26015</v>
      </c>
      <c r="G7658" s="1" t="s">
        <v>26016</v>
      </c>
      <c r="H7658" s="1" t="s">
        <v>3604</v>
      </c>
      <c r="I7658" s="1" t="s">
        <v>26017</v>
      </c>
      <c r="J7658" s="1" t="s">
        <v>3606</v>
      </c>
      <c r="K7658" s="1" t="s">
        <v>26018</v>
      </c>
      <c r="L7658" s="1" t="s">
        <v>3608</v>
      </c>
      <c r="M7658" s="1"/>
    </row>
    <row x14ac:dyDescent="0.25" r="7659" customHeight="1" ht="18.75">
      <c r="A7659" s="1" t="s">
        <v>3598</v>
      </c>
      <c r="B7659" s="1" t="s">
        <v>9231</v>
      </c>
      <c r="C7659" s="1" t="s">
        <v>3600</v>
      </c>
      <c r="D7659" s="1" t="s">
        <v>3610</v>
      </c>
      <c r="E7659" s="1" t="s">
        <v>3752</v>
      </c>
      <c r="F7659" s="1" t="s">
        <v>26019</v>
      </c>
      <c r="G7659" s="1" t="s">
        <v>26016</v>
      </c>
      <c r="H7659" s="1" t="s">
        <v>3604</v>
      </c>
      <c r="I7659" s="1" t="s">
        <v>26020</v>
      </c>
      <c r="J7659" s="1" t="s">
        <v>3606</v>
      </c>
      <c r="K7659" s="1" t="s">
        <v>26021</v>
      </c>
      <c r="L7659" s="1" t="s">
        <v>3608</v>
      </c>
      <c r="M7659" s="1"/>
    </row>
    <row x14ac:dyDescent="0.25" r="7660" customHeight="1" ht="18.75">
      <c r="A7660" s="1" t="s">
        <v>3598</v>
      </c>
      <c r="B7660" s="1" t="s">
        <v>9231</v>
      </c>
      <c r="C7660" s="1" t="s">
        <v>3600</v>
      </c>
      <c r="D7660" s="1" t="s">
        <v>3610</v>
      </c>
      <c r="E7660" s="1" t="s">
        <v>3752</v>
      </c>
      <c r="F7660" s="1" t="s">
        <v>26022</v>
      </c>
      <c r="G7660" s="1" t="s">
        <v>26016</v>
      </c>
      <c r="H7660" s="1" t="s">
        <v>3604</v>
      </c>
      <c r="I7660" s="1" t="s">
        <v>26023</v>
      </c>
      <c r="J7660" s="1" t="s">
        <v>3606</v>
      </c>
      <c r="K7660" s="1" t="s">
        <v>26024</v>
      </c>
      <c r="L7660" s="1" t="s">
        <v>3608</v>
      </c>
      <c r="M7660" s="1"/>
    </row>
    <row x14ac:dyDescent="0.25" r="7661" customHeight="1" ht="18.75">
      <c r="A7661" s="1" t="s">
        <v>3598</v>
      </c>
      <c r="B7661" s="1" t="s">
        <v>9116</v>
      </c>
      <c r="C7661" s="1" t="s">
        <v>3600</v>
      </c>
      <c r="D7661" s="1" t="s">
        <v>3601</v>
      </c>
      <c r="E7661" s="1" t="s">
        <v>3664</v>
      </c>
      <c r="F7661" s="1" t="s">
        <v>26025</v>
      </c>
      <c r="G7661" s="1" t="s">
        <v>26026</v>
      </c>
      <c r="H7661" s="1" t="s">
        <v>3604</v>
      </c>
      <c r="I7661" s="1" t="s">
        <v>26027</v>
      </c>
      <c r="J7661" s="1" t="s">
        <v>3606</v>
      </c>
      <c r="K7661" s="1" t="s">
        <v>25686</v>
      </c>
      <c r="L7661" s="1"/>
      <c r="M7661" s="1"/>
    </row>
    <row x14ac:dyDescent="0.25" r="7662" customHeight="1" ht="18.75">
      <c r="A7662" s="1" t="s">
        <v>3598</v>
      </c>
      <c r="B7662" s="1" t="s">
        <v>9025</v>
      </c>
      <c r="C7662" s="1" t="s">
        <v>3600</v>
      </c>
      <c r="D7662" s="1" t="s">
        <v>3601</v>
      </c>
      <c r="E7662" s="1" t="s">
        <v>3664</v>
      </c>
      <c r="F7662" s="1" t="s">
        <v>26028</v>
      </c>
      <c r="G7662" s="1" t="s">
        <v>26029</v>
      </c>
      <c r="H7662" s="1" t="s">
        <v>3604</v>
      </c>
      <c r="I7662" s="1" t="s">
        <v>26030</v>
      </c>
      <c r="J7662" s="1" t="s">
        <v>3606</v>
      </c>
      <c r="K7662" s="1" t="s">
        <v>25686</v>
      </c>
      <c r="L7662" s="1"/>
      <c r="M7662" s="1"/>
    </row>
    <row x14ac:dyDescent="0.25" r="7663" customHeight="1" ht="18.75">
      <c r="A7663" s="1" t="s">
        <v>3617</v>
      </c>
      <c r="B7663" s="1" t="s">
        <v>5656</v>
      </c>
      <c r="C7663" s="1" t="s">
        <v>3619</v>
      </c>
      <c r="D7663" s="1" t="s">
        <v>3601</v>
      </c>
      <c r="E7663" s="1" t="s">
        <v>3893</v>
      </c>
      <c r="F7663" s="1" t="s">
        <v>26031</v>
      </c>
      <c r="G7663" s="1" t="s">
        <v>26032</v>
      </c>
      <c r="H7663" s="1" t="s">
        <v>3604</v>
      </c>
      <c r="I7663" s="1" t="s">
        <v>26033</v>
      </c>
      <c r="J7663" s="1" t="s">
        <v>3606</v>
      </c>
      <c r="K7663" s="1" t="s">
        <v>26034</v>
      </c>
      <c r="L7663" s="1"/>
      <c r="M7663" s="1"/>
    </row>
    <row x14ac:dyDescent="0.25" r="7664" customHeight="1" ht="18.75">
      <c r="A7664" s="1" t="s">
        <v>3598</v>
      </c>
      <c r="B7664" s="1" t="s">
        <v>5252</v>
      </c>
      <c r="C7664" s="1" t="s">
        <v>3600</v>
      </c>
      <c r="D7664" s="1" t="s">
        <v>3601</v>
      </c>
      <c r="E7664" s="1" t="s">
        <v>3664</v>
      </c>
      <c r="F7664" s="1" t="s">
        <v>26035</v>
      </c>
      <c r="G7664" s="1" t="s">
        <v>18400</v>
      </c>
      <c r="H7664" s="1" t="s">
        <v>3604</v>
      </c>
      <c r="I7664" s="1" t="s">
        <v>26036</v>
      </c>
      <c r="J7664" s="1" t="s">
        <v>3606</v>
      </c>
      <c r="K7664" s="1" t="s">
        <v>25686</v>
      </c>
      <c r="L7664" s="1"/>
      <c r="M7664" s="1"/>
    </row>
    <row x14ac:dyDescent="0.25" r="7665" customHeight="1" ht="18.75">
      <c r="A7665" s="1" t="s">
        <v>3598</v>
      </c>
      <c r="B7665" s="1" t="s">
        <v>6728</v>
      </c>
      <c r="C7665" s="1" t="s">
        <v>3600</v>
      </c>
      <c r="D7665" s="1" t="s">
        <v>3601</v>
      </c>
      <c r="E7665" s="1" t="s">
        <v>3664</v>
      </c>
      <c r="F7665" s="1" t="s">
        <v>26037</v>
      </c>
      <c r="G7665" s="1" t="s">
        <v>15942</v>
      </c>
      <c r="H7665" s="1" t="s">
        <v>3604</v>
      </c>
      <c r="I7665" s="1" t="s">
        <v>26038</v>
      </c>
      <c r="J7665" s="1" t="s">
        <v>3606</v>
      </c>
      <c r="K7665" s="1" t="s">
        <v>25686</v>
      </c>
      <c r="L7665" s="1"/>
      <c r="M7665" s="1"/>
    </row>
    <row x14ac:dyDescent="0.25" r="7666" customHeight="1" ht="18.75">
      <c r="A7666" s="1" t="s">
        <v>3598</v>
      </c>
      <c r="B7666" s="1" t="s">
        <v>19642</v>
      </c>
      <c r="C7666" s="1" t="s">
        <v>3600</v>
      </c>
      <c r="D7666" s="1" t="s">
        <v>3601</v>
      </c>
      <c r="E7666" s="1" t="s">
        <v>3664</v>
      </c>
      <c r="F7666" s="1" t="s">
        <v>26039</v>
      </c>
      <c r="G7666" s="1" t="s">
        <v>19853</v>
      </c>
      <c r="H7666" s="1" t="s">
        <v>3604</v>
      </c>
      <c r="I7666" s="1" t="s">
        <v>26040</v>
      </c>
      <c r="J7666" s="1" t="s">
        <v>3606</v>
      </c>
      <c r="K7666" s="1" t="s">
        <v>25686</v>
      </c>
      <c r="L7666" s="1"/>
      <c r="M7666" s="1"/>
    </row>
    <row x14ac:dyDescent="0.25" r="7667" customHeight="1" ht="18.75">
      <c r="A7667" s="1" t="s">
        <v>3598</v>
      </c>
      <c r="B7667" s="1" t="s">
        <v>13864</v>
      </c>
      <c r="C7667" s="1" t="s">
        <v>3600</v>
      </c>
      <c r="D7667" s="1" t="s">
        <v>3601</v>
      </c>
      <c r="E7667" s="1" t="s">
        <v>3664</v>
      </c>
      <c r="F7667" s="1" t="s">
        <v>26041</v>
      </c>
      <c r="G7667" s="1" t="s">
        <v>26042</v>
      </c>
      <c r="H7667" s="1" t="s">
        <v>3604</v>
      </c>
      <c r="I7667" s="1" t="s">
        <v>26043</v>
      </c>
      <c r="J7667" s="1" t="s">
        <v>3606</v>
      </c>
      <c r="K7667" s="1"/>
      <c r="L7667" s="1"/>
      <c r="M7667" s="1"/>
    </row>
    <row x14ac:dyDescent="0.25" r="7668" customHeight="1" ht="18.75">
      <c r="A7668" s="1" t="s">
        <v>7833</v>
      </c>
      <c r="B7668" s="1" t="s">
        <v>25130</v>
      </c>
      <c r="C7668" s="1" t="s">
        <v>4488</v>
      </c>
      <c r="D7668" s="1" t="s">
        <v>3601</v>
      </c>
      <c r="E7668" s="1" t="s">
        <v>3664</v>
      </c>
      <c r="F7668" s="1" t="s">
        <v>26044</v>
      </c>
      <c r="G7668" s="1" t="s">
        <v>25131</v>
      </c>
      <c r="H7668" s="1" t="s">
        <v>3604</v>
      </c>
      <c r="I7668" s="1" t="s">
        <v>26045</v>
      </c>
      <c r="J7668" s="1" t="s">
        <v>3606</v>
      </c>
      <c r="K7668" s="1" t="s">
        <v>14573</v>
      </c>
      <c r="L7668" s="1"/>
      <c r="M7668" s="1"/>
    </row>
    <row x14ac:dyDescent="0.25" r="7669" customHeight="1" ht="18.75">
      <c r="A7669" s="1" t="s">
        <v>7833</v>
      </c>
      <c r="B7669" s="1" t="s">
        <v>7834</v>
      </c>
      <c r="C7669" s="1" t="s">
        <v>4488</v>
      </c>
      <c r="D7669" s="1" t="s">
        <v>3601</v>
      </c>
      <c r="E7669" s="1" t="s">
        <v>8096</v>
      </c>
      <c r="F7669" s="1" t="s">
        <v>26046</v>
      </c>
      <c r="G7669" s="1" t="s">
        <v>24155</v>
      </c>
      <c r="H7669" s="1" t="s">
        <v>3604</v>
      </c>
      <c r="I7669" s="1" t="s">
        <v>26047</v>
      </c>
      <c r="J7669" s="1" t="s">
        <v>3606</v>
      </c>
      <c r="K7669" s="1" t="s">
        <v>9194</v>
      </c>
      <c r="L7669" s="1"/>
      <c r="M7669" s="1"/>
    </row>
    <row x14ac:dyDescent="0.25" r="7670" customHeight="1" ht="18.75">
      <c r="A7670" s="1" t="s">
        <v>7833</v>
      </c>
      <c r="B7670" s="1" t="s">
        <v>7834</v>
      </c>
      <c r="C7670" s="1" t="s">
        <v>4488</v>
      </c>
      <c r="D7670" s="1" t="s">
        <v>3601</v>
      </c>
      <c r="E7670" s="1" t="s">
        <v>3664</v>
      </c>
      <c r="F7670" s="1" t="s">
        <v>26048</v>
      </c>
      <c r="G7670" s="1" t="s">
        <v>24155</v>
      </c>
      <c r="H7670" s="1" t="s">
        <v>3604</v>
      </c>
      <c r="I7670" s="1" t="s">
        <v>26049</v>
      </c>
      <c r="J7670" s="1" t="s">
        <v>3606</v>
      </c>
      <c r="K7670" s="1" t="s">
        <v>14573</v>
      </c>
      <c r="L7670" s="1"/>
      <c r="M7670" s="1"/>
    </row>
    <row x14ac:dyDescent="0.25" r="7671" customHeight="1" ht="18.75">
      <c r="A7671" s="1" t="s">
        <v>7833</v>
      </c>
      <c r="B7671" s="1" t="s">
        <v>7856</v>
      </c>
      <c r="C7671" s="1" t="s">
        <v>4488</v>
      </c>
      <c r="D7671" s="1" t="s">
        <v>3601</v>
      </c>
      <c r="E7671" s="1" t="s">
        <v>3664</v>
      </c>
      <c r="F7671" s="1" t="s">
        <v>26050</v>
      </c>
      <c r="G7671" s="1" t="s">
        <v>7858</v>
      </c>
      <c r="H7671" s="1" t="s">
        <v>3604</v>
      </c>
      <c r="I7671" s="1" t="s">
        <v>26051</v>
      </c>
      <c r="J7671" s="1" t="s">
        <v>3606</v>
      </c>
      <c r="K7671" s="1" t="s">
        <v>14573</v>
      </c>
      <c r="L7671" s="1"/>
      <c r="M7671" s="1"/>
    </row>
    <row x14ac:dyDescent="0.25" r="7672" customHeight="1" ht="18.75">
      <c r="A7672" s="1" t="s">
        <v>7833</v>
      </c>
      <c r="B7672" s="1" t="s">
        <v>14416</v>
      </c>
      <c r="C7672" s="1" t="s">
        <v>4488</v>
      </c>
      <c r="D7672" s="1" t="s">
        <v>3601</v>
      </c>
      <c r="E7672" s="1" t="s">
        <v>3664</v>
      </c>
      <c r="F7672" s="1" t="s">
        <v>26052</v>
      </c>
      <c r="G7672" s="1" t="s">
        <v>14417</v>
      </c>
      <c r="H7672" s="1" t="s">
        <v>3604</v>
      </c>
      <c r="I7672" s="1" t="s">
        <v>26053</v>
      </c>
      <c r="J7672" s="1" t="s">
        <v>3606</v>
      </c>
      <c r="K7672" s="1"/>
      <c r="L7672" s="1"/>
      <c r="M7672" s="1"/>
    </row>
    <row x14ac:dyDescent="0.25" r="7673" customHeight="1" ht="18.75">
      <c r="A7673" s="1" t="s">
        <v>7833</v>
      </c>
      <c r="B7673" s="1" t="s">
        <v>14264</v>
      </c>
      <c r="C7673" s="1" t="s">
        <v>4488</v>
      </c>
      <c r="D7673" s="1" t="s">
        <v>3601</v>
      </c>
      <c r="E7673" s="1" t="s">
        <v>3664</v>
      </c>
      <c r="F7673" s="1" t="s">
        <v>26054</v>
      </c>
      <c r="G7673" s="1" t="s">
        <v>14265</v>
      </c>
      <c r="H7673" s="1" t="s">
        <v>3604</v>
      </c>
      <c r="I7673" s="1" t="s">
        <v>26055</v>
      </c>
      <c r="J7673" s="1" t="s">
        <v>3606</v>
      </c>
      <c r="K7673" s="1" t="s">
        <v>9740</v>
      </c>
      <c r="L7673" s="1"/>
      <c r="M7673" s="1"/>
    </row>
    <row x14ac:dyDescent="0.25" r="7674" customHeight="1" ht="18.75">
      <c r="A7674" s="1" t="s">
        <v>7833</v>
      </c>
      <c r="B7674" s="1" t="s">
        <v>14422</v>
      </c>
      <c r="C7674" s="1" t="s">
        <v>4488</v>
      </c>
      <c r="D7674" s="1" t="s">
        <v>3601</v>
      </c>
      <c r="E7674" s="1" t="s">
        <v>3664</v>
      </c>
      <c r="F7674" s="1" t="s">
        <v>26056</v>
      </c>
      <c r="G7674" s="1" t="s">
        <v>14424</v>
      </c>
      <c r="H7674" s="1" t="s">
        <v>3604</v>
      </c>
      <c r="I7674" s="1" t="s">
        <v>26057</v>
      </c>
      <c r="J7674" s="1" t="s">
        <v>3606</v>
      </c>
      <c r="K7674" s="1" t="s">
        <v>9740</v>
      </c>
      <c r="L7674" s="1"/>
      <c r="M7674" s="1"/>
    </row>
    <row x14ac:dyDescent="0.25" r="7675" customHeight="1" ht="18.75">
      <c r="A7675" s="1" t="s">
        <v>3617</v>
      </c>
      <c r="B7675" s="1" t="s">
        <v>4582</v>
      </c>
      <c r="C7675" s="1" t="s">
        <v>4488</v>
      </c>
      <c r="D7675" s="1" t="s">
        <v>8373</v>
      </c>
      <c r="E7675" s="1" t="s">
        <v>4478</v>
      </c>
      <c r="F7675" s="1" t="s">
        <v>26058</v>
      </c>
      <c r="G7675" s="1" t="s">
        <v>13048</v>
      </c>
      <c r="H7675" s="1" t="s">
        <v>3604</v>
      </c>
      <c r="I7675" s="1" t="s">
        <v>26059</v>
      </c>
      <c r="J7675" s="1" t="s">
        <v>3606</v>
      </c>
      <c r="K7675" s="1" t="s">
        <v>26060</v>
      </c>
      <c r="L7675" s="1"/>
      <c r="M7675" s="1"/>
    </row>
    <row x14ac:dyDescent="0.25" r="7676" customHeight="1" ht="18.75">
      <c r="A7676" s="1" t="s">
        <v>3598</v>
      </c>
      <c r="B7676" s="1" t="s">
        <v>4627</v>
      </c>
      <c r="C7676" s="1" t="s">
        <v>3600</v>
      </c>
      <c r="D7676" s="1" t="s">
        <v>3721</v>
      </c>
      <c r="E7676" s="1" t="s">
        <v>3664</v>
      </c>
      <c r="F7676" s="1" t="s">
        <v>26061</v>
      </c>
      <c r="G7676" s="1" t="s">
        <v>18104</v>
      </c>
      <c r="H7676" s="1" t="s">
        <v>3604</v>
      </c>
      <c r="I7676" s="1" t="s">
        <v>26062</v>
      </c>
      <c r="J7676" s="1" t="s">
        <v>3606</v>
      </c>
      <c r="K7676" s="1" t="s">
        <v>26063</v>
      </c>
      <c r="L7676" s="1" t="s">
        <v>3616</v>
      </c>
      <c r="M7676" s="1"/>
    </row>
    <row x14ac:dyDescent="0.25" r="7677" customHeight="1" ht="18.75">
      <c r="A7677" s="1" t="s">
        <v>3693</v>
      </c>
      <c r="B7677" s="1" t="s">
        <v>4181</v>
      </c>
      <c r="C7677" s="1" t="s">
        <v>3619</v>
      </c>
      <c r="D7677" s="1" t="s">
        <v>3601</v>
      </c>
      <c r="E7677" s="1" t="s">
        <v>3664</v>
      </c>
      <c r="F7677" s="1" t="s">
        <v>26064</v>
      </c>
      <c r="G7677" s="1" t="s">
        <v>10138</v>
      </c>
      <c r="H7677" s="1" t="s">
        <v>3604</v>
      </c>
      <c r="I7677" s="1" t="s">
        <v>26065</v>
      </c>
      <c r="J7677" s="1" t="s">
        <v>3606</v>
      </c>
      <c r="K7677" s="1"/>
      <c r="L7677" s="1"/>
      <c r="M7677" s="1"/>
    </row>
    <row x14ac:dyDescent="0.25" r="7678" customHeight="1" ht="18.75">
      <c r="A7678" s="1" t="s">
        <v>3693</v>
      </c>
      <c r="B7678" s="1" t="s">
        <v>6330</v>
      </c>
      <c r="C7678" s="1" t="s">
        <v>3619</v>
      </c>
      <c r="D7678" s="1" t="s">
        <v>3601</v>
      </c>
      <c r="E7678" s="1" t="s">
        <v>3664</v>
      </c>
      <c r="F7678" s="1" t="s">
        <v>26066</v>
      </c>
      <c r="G7678" s="1" t="s">
        <v>9533</v>
      </c>
      <c r="H7678" s="1" t="s">
        <v>3604</v>
      </c>
      <c r="I7678" s="1" t="s">
        <v>26067</v>
      </c>
      <c r="J7678" s="1" t="s">
        <v>3606</v>
      </c>
      <c r="K7678" s="1"/>
      <c r="L7678" s="1"/>
      <c r="M7678" s="1"/>
    </row>
    <row x14ac:dyDescent="0.25" r="7679" customHeight="1" ht="18.75">
      <c r="A7679" s="1" t="s">
        <v>3617</v>
      </c>
      <c r="B7679" s="1" t="s">
        <v>4614</v>
      </c>
      <c r="C7679" s="1" t="s">
        <v>3619</v>
      </c>
      <c r="D7679" s="1" t="s">
        <v>3721</v>
      </c>
      <c r="E7679" s="1" t="s">
        <v>3981</v>
      </c>
      <c r="F7679" s="1" t="s">
        <v>26068</v>
      </c>
      <c r="G7679" s="1" t="s">
        <v>26069</v>
      </c>
      <c r="H7679" s="1" t="s">
        <v>3604</v>
      </c>
      <c r="I7679" s="1" t="s">
        <v>26070</v>
      </c>
      <c r="J7679" s="1" t="s">
        <v>3615</v>
      </c>
      <c r="K7679" s="1" t="s">
        <v>26071</v>
      </c>
      <c r="L7679" s="1" t="s">
        <v>3616</v>
      </c>
      <c r="M7679" s="1"/>
    </row>
    <row x14ac:dyDescent="0.25" r="7680" customHeight="1" ht="18.75">
      <c r="A7680" s="1" t="s">
        <v>3617</v>
      </c>
      <c r="B7680" s="1" t="s">
        <v>4614</v>
      </c>
      <c r="C7680" s="1" t="s">
        <v>3619</v>
      </c>
      <c r="D7680" s="1" t="s">
        <v>3721</v>
      </c>
      <c r="E7680" s="1" t="s">
        <v>3981</v>
      </c>
      <c r="F7680" s="1" t="s">
        <v>26072</v>
      </c>
      <c r="G7680" s="1" t="s">
        <v>26069</v>
      </c>
      <c r="H7680" s="1" t="s">
        <v>3604</v>
      </c>
      <c r="I7680" s="1" t="s">
        <v>26073</v>
      </c>
      <c r="J7680" s="1" t="s">
        <v>3615</v>
      </c>
      <c r="K7680" s="1" t="s">
        <v>26074</v>
      </c>
      <c r="L7680" s="1" t="s">
        <v>3616</v>
      </c>
      <c r="M7680" s="1"/>
    </row>
    <row x14ac:dyDescent="0.25" r="7681" customHeight="1" ht="18.75">
      <c r="A7681" s="1" t="s">
        <v>3617</v>
      </c>
      <c r="B7681" s="1" t="s">
        <v>3898</v>
      </c>
      <c r="C7681" s="1" t="s">
        <v>3619</v>
      </c>
      <c r="D7681" s="1" t="s">
        <v>3601</v>
      </c>
      <c r="E7681" s="1" t="s">
        <v>3981</v>
      </c>
      <c r="F7681" s="1" t="s">
        <v>26075</v>
      </c>
      <c r="G7681" s="1" t="s">
        <v>3900</v>
      </c>
      <c r="H7681" s="1" t="s">
        <v>3604</v>
      </c>
      <c r="I7681" s="1" t="s">
        <v>26076</v>
      </c>
      <c r="J7681" s="1" t="s">
        <v>3615</v>
      </c>
      <c r="K7681" s="1" t="s">
        <v>26077</v>
      </c>
      <c r="L7681" s="1"/>
      <c r="M7681" s="1"/>
    </row>
    <row x14ac:dyDescent="0.25" r="7682" customHeight="1" ht="18.75">
      <c r="A7682" s="1" t="s">
        <v>3617</v>
      </c>
      <c r="B7682" s="1" t="s">
        <v>5570</v>
      </c>
      <c r="C7682" s="1" t="s">
        <v>3619</v>
      </c>
      <c r="D7682" s="1" t="s">
        <v>3601</v>
      </c>
      <c r="E7682" s="1" t="s">
        <v>3981</v>
      </c>
      <c r="F7682" s="1" t="s">
        <v>26078</v>
      </c>
      <c r="G7682" s="1" t="s">
        <v>3924</v>
      </c>
      <c r="H7682" s="1" t="s">
        <v>3604</v>
      </c>
      <c r="I7682" s="1" t="s">
        <v>26079</v>
      </c>
      <c r="J7682" s="1" t="s">
        <v>3606</v>
      </c>
      <c r="K7682" s="1" t="s">
        <v>26080</v>
      </c>
      <c r="L7682" s="1"/>
      <c r="M7682" s="1"/>
    </row>
    <row x14ac:dyDescent="0.25" r="7683" customHeight="1" ht="18.75">
      <c r="A7683" s="1" t="s">
        <v>3617</v>
      </c>
      <c r="B7683" s="1" t="s">
        <v>5570</v>
      </c>
      <c r="C7683" s="1" t="s">
        <v>3619</v>
      </c>
      <c r="D7683" s="1" t="s">
        <v>3601</v>
      </c>
      <c r="E7683" s="1" t="s">
        <v>3981</v>
      </c>
      <c r="F7683" s="1" t="s">
        <v>26081</v>
      </c>
      <c r="G7683" s="1" t="s">
        <v>3910</v>
      </c>
      <c r="H7683" s="1" t="s">
        <v>3604</v>
      </c>
      <c r="I7683" s="1" t="s">
        <v>26082</v>
      </c>
      <c r="J7683" s="1" t="s">
        <v>3606</v>
      </c>
      <c r="K7683" s="1" t="s">
        <v>26083</v>
      </c>
      <c r="L7683" s="1"/>
      <c r="M7683" s="1"/>
    </row>
    <row x14ac:dyDescent="0.25" r="7684" customHeight="1" ht="18.75">
      <c r="A7684" s="1" t="s">
        <v>3617</v>
      </c>
      <c r="B7684" s="1" t="s">
        <v>5570</v>
      </c>
      <c r="C7684" s="1" t="s">
        <v>3619</v>
      </c>
      <c r="D7684" s="1" t="s">
        <v>3601</v>
      </c>
      <c r="E7684" s="1" t="s">
        <v>3981</v>
      </c>
      <c r="F7684" s="1" t="s">
        <v>26084</v>
      </c>
      <c r="G7684" s="1" t="s">
        <v>25720</v>
      </c>
      <c r="H7684" s="1" t="s">
        <v>3604</v>
      </c>
      <c r="I7684" s="1" t="s">
        <v>26085</v>
      </c>
      <c r="J7684" s="1" t="s">
        <v>3606</v>
      </c>
      <c r="K7684" s="1" t="s">
        <v>26086</v>
      </c>
      <c r="L7684" s="1"/>
      <c r="M7684" s="1"/>
    </row>
    <row x14ac:dyDescent="0.25" r="7685" customHeight="1" ht="18.75">
      <c r="A7685" s="1" t="s">
        <v>3617</v>
      </c>
      <c r="B7685" s="1" t="s">
        <v>5570</v>
      </c>
      <c r="C7685" s="1" t="s">
        <v>3619</v>
      </c>
      <c r="D7685" s="1" t="s">
        <v>3601</v>
      </c>
      <c r="E7685" s="1" t="s">
        <v>3981</v>
      </c>
      <c r="F7685" s="1" t="s">
        <v>26087</v>
      </c>
      <c r="G7685" s="1" t="s">
        <v>25730</v>
      </c>
      <c r="H7685" s="1" t="s">
        <v>3604</v>
      </c>
      <c r="I7685" s="1" t="s">
        <v>26088</v>
      </c>
      <c r="J7685" s="1" t="s">
        <v>3606</v>
      </c>
      <c r="K7685" s="1" t="s">
        <v>26089</v>
      </c>
      <c r="L7685" s="1"/>
      <c r="M7685" s="1"/>
    </row>
    <row x14ac:dyDescent="0.25" r="7686" customHeight="1" ht="18.75">
      <c r="A7686" s="1" t="s">
        <v>3617</v>
      </c>
      <c r="B7686" s="1" t="s">
        <v>5570</v>
      </c>
      <c r="C7686" s="1" t="s">
        <v>3619</v>
      </c>
      <c r="D7686" s="1" t="s">
        <v>3601</v>
      </c>
      <c r="E7686" s="1" t="s">
        <v>3730</v>
      </c>
      <c r="F7686" s="1" t="s">
        <v>26090</v>
      </c>
      <c r="G7686" s="1" t="s">
        <v>25988</v>
      </c>
      <c r="H7686" s="1" t="s">
        <v>3604</v>
      </c>
      <c r="I7686" s="1" t="s">
        <v>26091</v>
      </c>
      <c r="J7686" s="1" t="s">
        <v>3606</v>
      </c>
      <c r="K7686" s="1" t="s">
        <v>26092</v>
      </c>
      <c r="L7686" s="1"/>
      <c r="M7686" s="1"/>
    </row>
    <row x14ac:dyDescent="0.25" r="7687" customHeight="1" ht="18.75">
      <c r="A7687" s="1" t="s">
        <v>3617</v>
      </c>
      <c r="B7687" s="1" t="s">
        <v>5570</v>
      </c>
      <c r="C7687" s="1" t="s">
        <v>3619</v>
      </c>
      <c r="D7687" s="1" t="s">
        <v>3601</v>
      </c>
      <c r="E7687" s="1" t="s">
        <v>3730</v>
      </c>
      <c r="F7687" s="1" t="s">
        <v>26093</v>
      </c>
      <c r="G7687" s="1" t="s">
        <v>25766</v>
      </c>
      <c r="H7687" s="1" t="s">
        <v>3604</v>
      </c>
      <c r="I7687" s="1" t="s">
        <v>26094</v>
      </c>
      <c r="J7687" s="1" t="s">
        <v>3606</v>
      </c>
      <c r="K7687" s="1" t="s">
        <v>26095</v>
      </c>
      <c r="L7687" s="1"/>
      <c r="M7687" s="1"/>
    </row>
    <row x14ac:dyDescent="0.25" r="7688" customHeight="1" ht="18.75">
      <c r="A7688" s="1" t="s">
        <v>3617</v>
      </c>
      <c r="B7688" s="1" t="s">
        <v>5570</v>
      </c>
      <c r="C7688" s="1" t="s">
        <v>3619</v>
      </c>
      <c r="D7688" s="1" t="s">
        <v>3601</v>
      </c>
      <c r="E7688" s="1" t="s">
        <v>3730</v>
      </c>
      <c r="F7688" s="1" t="s">
        <v>26096</v>
      </c>
      <c r="G7688" s="1" t="s">
        <v>7290</v>
      </c>
      <c r="H7688" s="1" t="s">
        <v>3604</v>
      </c>
      <c r="I7688" s="1" t="s">
        <v>26097</v>
      </c>
      <c r="J7688" s="1" t="s">
        <v>3606</v>
      </c>
      <c r="K7688" s="1" t="s">
        <v>26098</v>
      </c>
      <c r="L7688" s="1"/>
      <c r="M7688" s="1"/>
    </row>
    <row x14ac:dyDescent="0.25" r="7689" customHeight="1" ht="18.75">
      <c r="A7689" s="1" t="s">
        <v>3617</v>
      </c>
      <c r="B7689" s="1" t="s">
        <v>5570</v>
      </c>
      <c r="C7689" s="1" t="s">
        <v>3619</v>
      </c>
      <c r="D7689" s="1" t="s">
        <v>3601</v>
      </c>
      <c r="E7689" s="1" t="s">
        <v>3730</v>
      </c>
      <c r="F7689" s="1" t="s">
        <v>26099</v>
      </c>
      <c r="G7689" s="1" t="s">
        <v>8375</v>
      </c>
      <c r="H7689" s="1" t="s">
        <v>3604</v>
      </c>
      <c r="I7689" s="1" t="s">
        <v>26100</v>
      </c>
      <c r="J7689" s="1" t="s">
        <v>3606</v>
      </c>
      <c r="K7689" s="1" t="s">
        <v>26101</v>
      </c>
      <c r="L7689" s="1"/>
      <c r="M7689" s="1"/>
    </row>
    <row x14ac:dyDescent="0.25" r="7690" customHeight="1" ht="18.75">
      <c r="A7690" s="1" t="s">
        <v>3617</v>
      </c>
      <c r="B7690" s="1" t="s">
        <v>5570</v>
      </c>
      <c r="C7690" s="1" t="s">
        <v>3619</v>
      </c>
      <c r="D7690" s="1" t="s">
        <v>3601</v>
      </c>
      <c r="E7690" s="1" t="s">
        <v>3730</v>
      </c>
      <c r="F7690" s="1" t="s">
        <v>26102</v>
      </c>
      <c r="G7690" s="1" t="s">
        <v>25988</v>
      </c>
      <c r="H7690" s="1" t="s">
        <v>3604</v>
      </c>
      <c r="I7690" s="1" t="s">
        <v>26103</v>
      </c>
      <c r="J7690" s="1" t="s">
        <v>3606</v>
      </c>
      <c r="K7690" s="1" t="s">
        <v>26104</v>
      </c>
      <c r="L7690" s="1"/>
      <c r="M7690" s="1"/>
    </row>
    <row x14ac:dyDescent="0.25" r="7691" customHeight="1" ht="18.75">
      <c r="A7691" s="1" t="s">
        <v>3617</v>
      </c>
      <c r="B7691" s="1" t="s">
        <v>5570</v>
      </c>
      <c r="C7691" s="1" t="s">
        <v>3619</v>
      </c>
      <c r="D7691" s="1" t="s">
        <v>3601</v>
      </c>
      <c r="E7691" s="1" t="s">
        <v>3730</v>
      </c>
      <c r="F7691" s="1" t="s">
        <v>26105</v>
      </c>
      <c r="G7691" s="1" t="s">
        <v>25766</v>
      </c>
      <c r="H7691" s="1" t="s">
        <v>3604</v>
      </c>
      <c r="I7691" s="1" t="s">
        <v>26106</v>
      </c>
      <c r="J7691" s="1" t="s">
        <v>3606</v>
      </c>
      <c r="K7691" s="1" t="s">
        <v>26107</v>
      </c>
      <c r="L7691" s="1"/>
      <c r="M7691" s="1"/>
    </row>
    <row x14ac:dyDescent="0.25" r="7692" customHeight="1" ht="18.75">
      <c r="A7692" s="1" t="s">
        <v>7833</v>
      </c>
      <c r="B7692" s="1" t="s">
        <v>14063</v>
      </c>
      <c r="C7692" s="1" t="s">
        <v>4488</v>
      </c>
      <c r="D7692" s="1" t="s">
        <v>8373</v>
      </c>
      <c r="E7692" s="1" t="s">
        <v>3981</v>
      </c>
      <c r="F7692" s="1" t="s">
        <v>26108</v>
      </c>
      <c r="G7692" s="1" t="s">
        <v>18160</v>
      </c>
      <c r="H7692" s="1" t="s">
        <v>3604</v>
      </c>
      <c r="I7692" s="1" t="s">
        <v>26109</v>
      </c>
      <c r="J7692" s="1" t="s">
        <v>3615</v>
      </c>
      <c r="K7692" s="1" t="s">
        <v>26110</v>
      </c>
      <c r="L7692" s="1"/>
      <c r="M7692" s="1"/>
    </row>
    <row x14ac:dyDescent="0.25" r="7693" customHeight="1" ht="18.75">
      <c r="A7693" s="1" t="s">
        <v>7833</v>
      </c>
      <c r="B7693" s="1" t="s">
        <v>14063</v>
      </c>
      <c r="C7693" s="1" t="s">
        <v>4488</v>
      </c>
      <c r="D7693" s="1" t="s">
        <v>8373</v>
      </c>
      <c r="E7693" s="1" t="s">
        <v>3981</v>
      </c>
      <c r="F7693" s="1" t="s">
        <v>26111</v>
      </c>
      <c r="G7693" s="1" t="s">
        <v>18160</v>
      </c>
      <c r="H7693" s="1" t="s">
        <v>3604</v>
      </c>
      <c r="I7693" s="1" t="s">
        <v>26112</v>
      </c>
      <c r="J7693" s="1" t="s">
        <v>3615</v>
      </c>
      <c r="K7693" s="1" t="s">
        <v>26113</v>
      </c>
      <c r="L7693" s="1"/>
      <c r="M7693" s="1"/>
    </row>
    <row x14ac:dyDescent="0.25" r="7694" customHeight="1" ht="18.75">
      <c r="A7694" s="1" t="s">
        <v>7833</v>
      </c>
      <c r="B7694" s="1" t="s">
        <v>14063</v>
      </c>
      <c r="C7694" s="1" t="s">
        <v>4488</v>
      </c>
      <c r="D7694" s="1" t="s">
        <v>8373</v>
      </c>
      <c r="E7694" s="1" t="s">
        <v>3664</v>
      </c>
      <c r="F7694" s="1" t="s">
        <v>26114</v>
      </c>
      <c r="G7694" s="1" t="s">
        <v>26115</v>
      </c>
      <c r="H7694" s="1" t="s">
        <v>3604</v>
      </c>
      <c r="I7694" s="1" t="s">
        <v>26116</v>
      </c>
      <c r="J7694" s="1" t="s">
        <v>3615</v>
      </c>
      <c r="K7694" s="1" t="s">
        <v>26110</v>
      </c>
      <c r="L7694" s="1"/>
      <c r="M7694" s="1"/>
    </row>
    <row x14ac:dyDescent="0.25" r="7695" customHeight="1" ht="18.75">
      <c r="A7695" s="1" t="s">
        <v>7833</v>
      </c>
      <c r="B7695" s="1" t="s">
        <v>14063</v>
      </c>
      <c r="C7695" s="1" t="s">
        <v>4488</v>
      </c>
      <c r="D7695" s="1" t="s">
        <v>8373</v>
      </c>
      <c r="E7695" s="1" t="s">
        <v>3664</v>
      </c>
      <c r="F7695" s="1" t="s">
        <v>26117</v>
      </c>
      <c r="G7695" s="1" t="s">
        <v>26115</v>
      </c>
      <c r="H7695" s="1" t="s">
        <v>3604</v>
      </c>
      <c r="I7695" s="1" t="s">
        <v>26118</v>
      </c>
      <c r="J7695" s="1" t="s">
        <v>3615</v>
      </c>
      <c r="K7695" s="1" t="s">
        <v>26113</v>
      </c>
      <c r="L7695" s="1"/>
      <c r="M7695" s="1"/>
    </row>
    <row x14ac:dyDescent="0.25" r="7696" customHeight="1" ht="18.75">
      <c r="A7696" s="1" t="s">
        <v>7833</v>
      </c>
      <c r="B7696" s="1" t="s">
        <v>14063</v>
      </c>
      <c r="C7696" s="1" t="s">
        <v>4488</v>
      </c>
      <c r="D7696" s="1" t="s">
        <v>8373</v>
      </c>
      <c r="E7696" s="1" t="s">
        <v>3981</v>
      </c>
      <c r="F7696" s="1" t="s">
        <v>26119</v>
      </c>
      <c r="G7696" s="1" t="s">
        <v>18160</v>
      </c>
      <c r="H7696" s="1" t="s">
        <v>3604</v>
      </c>
      <c r="I7696" s="1" t="s">
        <v>26120</v>
      </c>
      <c r="J7696" s="1" t="s">
        <v>3615</v>
      </c>
      <c r="K7696" s="1" t="s">
        <v>26121</v>
      </c>
      <c r="L7696" s="1"/>
      <c r="M7696" s="1"/>
    </row>
    <row x14ac:dyDescent="0.25" r="7697" customHeight="1" ht="18.75">
      <c r="A7697" s="1" t="s">
        <v>7833</v>
      </c>
      <c r="B7697" s="1" t="s">
        <v>14063</v>
      </c>
      <c r="C7697" s="1" t="s">
        <v>4488</v>
      </c>
      <c r="D7697" s="1" t="s">
        <v>8373</v>
      </c>
      <c r="E7697" s="1" t="s">
        <v>3664</v>
      </c>
      <c r="F7697" s="1" t="s">
        <v>26122</v>
      </c>
      <c r="G7697" s="1" t="s">
        <v>26115</v>
      </c>
      <c r="H7697" s="1" t="s">
        <v>3604</v>
      </c>
      <c r="I7697" s="1" t="s">
        <v>26123</v>
      </c>
      <c r="J7697" s="1" t="s">
        <v>3615</v>
      </c>
      <c r="K7697" s="1" t="s">
        <v>26121</v>
      </c>
      <c r="L7697" s="1"/>
      <c r="M7697" s="1"/>
    </row>
    <row x14ac:dyDescent="0.25" r="7698" customHeight="1" ht="18.75">
      <c r="A7698" s="1" t="s">
        <v>7833</v>
      </c>
      <c r="B7698" s="1" t="s">
        <v>14264</v>
      </c>
      <c r="C7698" s="1" t="s">
        <v>4488</v>
      </c>
      <c r="D7698" s="1" t="s">
        <v>3610</v>
      </c>
      <c r="E7698" s="1" t="s">
        <v>3664</v>
      </c>
      <c r="F7698" s="1" t="s">
        <v>26124</v>
      </c>
      <c r="G7698" s="1" t="s">
        <v>20777</v>
      </c>
      <c r="H7698" s="1" t="s">
        <v>3604</v>
      </c>
      <c r="I7698" s="1" t="s">
        <v>26125</v>
      </c>
      <c r="J7698" s="1" t="s">
        <v>3606</v>
      </c>
      <c r="K7698" s="1" t="s">
        <v>15270</v>
      </c>
      <c r="L7698" s="1"/>
      <c r="M7698" s="1"/>
    </row>
    <row x14ac:dyDescent="0.25" r="7699" customHeight="1" ht="18.75">
      <c r="A7699" s="1" t="s">
        <v>7833</v>
      </c>
      <c r="B7699" s="1" t="s">
        <v>14264</v>
      </c>
      <c r="C7699" s="1" t="s">
        <v>4488</v>
      </c>
      <c r="D7699" s="1" t="s">
        <v>3610</v>
      </c>
      <c r="E7699" s="1" t="s">
        <v>3664</v>
      </c>
      <c r="F7699" s="1" t="s">
        <v>26126</v>
      </c>
      <c r="G7699" s="1" t="s">
        <v>14265</v>
      </c>
      <c r="H7699" s="1" t="s">
        <v>3604</v>
      </c>
      <c r="I7699" s="1" t="s">
        <v>26127</v>
      </c>
      <c r="J7699" s="1" t="s">
        <v>3606</v>
      </c>
      <c r="K7699" s="1" t="s">
        <v>14518</v>
      </c>
      <c r="L7699" s="1"/>
      <c r="M7699" s="1"/>
    </row>
    <row x14ac:dyDescent="0.25" r="7700" customHeight="1" ht="18.75">
      <c r="A7700" s="1" t="s">
        <v>7833</v>
      </c>
      <c r="B7700" s="1" t="s">
        <v>14264</v>
      </c>
      <c r="C7700" s="1" t="s">
        <v>4488</v>
      </c>
      <c r="D7700" s="1" t="s">
        <v>3610</v>
      </c>
      <c r="E7700" s="1" t="s">
        <v>3664</v>
      </c>
      <c r="F7700" s="1" t="s">
        <v>26128</v>
      </c>
      <c r="G7700" s="1" t="s">
        <v>20798</v>
      </c>
      <c r="H7700" s="1" t="s">
        <v>3604</v>
      </c>
      <c r="I7700" s="1" t="s">
        <v>26129</v>
      </c>
      <c r="J7700" s="1" t="s">
        <v>3606</v>
      </c>
      <c r="K7700" s="1" t="s">
        <v>22709</v>
      </c>
      <c r="L7700" s="1"/>
      <c r="M7700" s="1"/>
    </row>
    <row x14ac:dyDescent="0.25" r="7701" customHeight="1" ht="18.75">
      <c r="A7701" s="1" t="s">
        <v>7833</v>
      </c>
      <c r="B7701" s="1" t="s">
        <v>14264</v>
      </c>
      <c r="C7701" s="1" t="s">
        <v>4488</v>
      </c>
      <c r="D7701" s="1" t="s">
        <v>3610</v>
      </c>
      <c r="E7701" s="1" t="s">
        <v>3664</v>
      </c>
      <c r="F7701" s="1" t="s">
        <v>26130</v>
      </c>
      <c r="G7701" s="1" t="s">
        <v>20806</v>
      </c>
      <c r="H7701" s="1" t="s">
        <v>3604</v>
      </c>
      <c r="I7701" s="1" t="s">
        <v>26131</v>
      </c>
      <c r="J7701" s="1" t="s">
        <v>3606</v>
      </c>
      <c r="K7701" s="1" t="s">
        <v>15205</v>
      </c>
      <c r="L7701" s="1"/>
      <c r="M7701" s="1"/>
    </row>
    <row x14ac:dyDescent="0.25" r="7702" customHeight="1" ht="18.75">
      <c r="A7702" s="1" t="s">
        <v>7833</v>
      </c>
      <c r="B7702" s="1" t="s">
        <v>14264</v>
      </c>
      <c r="C7702" s="1" t="s">
        <v>4488</v>
      </c>
      <c r="D7702" s="1" t="s">
        <v>3610</v>
      </c>
      <c r="E7702" s="1" t="s">
        <v>3664</v>
      </c>
      <c r="F7702" s="1" t="s">
        <v>26132</v>
      </c>
      <c r="G7702" s="1" t="s">
        <v>20808</v>
      </c>
      <c r="H7702" s="1" t="s">
        <v>3604</v>
      </c>
      <c r="I7702" s="1" t="s">
        <v>26133</v>
      </c>
      <c r="J7702" s="1" t="s">
        <v>3606</v>
      </c>
      <c r="K7702" s="1" t="s">
        <v>24558</v>
      </c>
      <c r="L7702" s="1"/>
      <c r="M7702" s="1"/>
    </row>
    <row x14ac:dyDescent="0.25" r="7703" customHeight="1" ht="18.75">
      <c r="A7703" s="1" t="s">
        <v>7833</v>
      </c>
      <c r="B7703" s="1" t="s">
        <v>14264</v>
      </c>
      <c r="C7703" s="1" t="s">
        <v>4488</v>
      </c>
      <c r="D7703" s="1" t="s">
        <v>3610</v>
      </c>
      <c r="E7703" s="1" t="s">
        <v>3664</v>
      </c>
      <c r="F7703" s="1" t="s">
        <v>26134</v>
      </c>
      <c r="G7703" s="1" t="s">
        <v>25904</v>
      </c>
      <c r="H7703" s="1" t="s">
        <v>3604</v>
      </c>
      <c r="I7703" s="1" t="s">
        <v>26135</v>
      </c>
      <c r="J7703" s="1" t="s">
        <v>3606</v>
      </c>
      <c r="K7703" s="1" t="s">
        <v>26136</v>
      </c>
      <c r="L7703" s="1"/>
      <c r="M7703" s="1"/>
    </row>
    <row x14ac:dyDescent="0.25" r="7704" customHeight="1" ht="18.75">
      <c r="A7704" s="1" t="s">
        <v>7833</v>
      </c>
      <c r="B7704" s="1" t="s">
        <v>13754</v>
      </c>
      <c r="C7704" s="1" t="s">
        <v>3619</v>
      </c>
      <c r="D7704" s="1" t="s">
        <v>3610</v>
      </c>
      <c r="E7704" s="1" t="s">
        <v>3981</v>
      </c>
      <c r="F7704" s="1" t="s">
        <v>26137</v>
      </c>
      <c r="G7704" s="1" t="s">
        <v>26138</v>
      </c>
      <c r="H7704" s="1" t="s">
        <v>3604</v>
      </c>
      <c r="I7704" s="1" t="s">
        <v>26139</v>
      </c>
      <c r="J7704" s="1" t="s">
        <v>3606</v>
      </c>
      <c r="K7704" s="1" t="s">
        <v>26140</v>
      </c>
      <c r="L7704" s="1"/>
      <c r="M7704" s="1"/>
    </row>
    <row x14ac:dyDescent="0.25" r="7705" customHeight="1" ht="18.75">
      <c r="A7705" s="1" t="s">
        <v>7833</v>
      </c>
      <c r="B7705" s="1" t="s">
        <v>13754</v>
      </c>
      <c r="C7705" s="1" t="s">
        <v>3619</v>
      </c>
      <c r="D7705" s="1" t="s">
        <v>3610</v>
      </c>
      <c r="E7705" s="1" t="s">
        <v>3981</v>
      </c>
      <c r="F7705" s="1" t="s">
        <v>26141</v>
      </c>
      <c r="G7705" s="1" t="s">
        <v>14659</v>
      </c>
      <c r="H7705" s="1" t="s">
        <v>3604</v>
      </c>
      <c r="I7705" s="1" t="s">
        <v>26142</v>
      </c>
      <c r="J7705" s="1" t="s">
        <v>3606</v>
      </c>
      <c r="K7705" s="1" t="s">
        <v>24195</v>
      </c>
      <c r="L7705" s="1"/>
      <c r="M7705" s="1"/>
    </row>
    <row x14ac:dyDescent="0.25" r="7706" customHeight="1" ht="18.75">
      <c r="A7706" s="1" t="s">
        <v>7833</v>
      </c>
      <c r="B7706" s="1" t="s">
        <v>13754</v>
      </c>
      <c r="C7706" s="1" t="s">
        <v>3619</v>
      </c>
      <c r="D7706" s="1" t="s">
        <v>3610</v>
      </c>
      <c r="E7706" s="1" t="s">
        <v>3981</v>
      </c>
      <c r="F7706" s="1" t="s">
        <v>26143</v>
      </c>
      <c r="G7706" s="1" t="s">
        <v>26144</v>
      </c>
      <c r="H7706" s="1" t="s">
        <v>3604</v>
      </c>
      <c r="I7706" s="1" t="s">
        <v>26145</v>
      </c>
      <c r="J7706" s="1" t="s">
        <v>3606</v>
      </c>
      <c r="K7706" s="1" t="s">
        <v>26146</v>
      </c>
      <c r="L7706" s="1"/>
      <c r="M7706" s="1"/>
    </row>
    <row x14ac:dyDescent="0.25" r="7707" customHeight="1" ht="18.75">
      <c r="A7707" s="1" t="s">
        <v>7833</v>
      </c>
      <c r="B7707" s="1" t="s">
        <v>14063</v>
      </c>
      <c r="C7707" s="1" t="s">
        <v>4488</v>
      </c>
      <c r="D7707" s="1" t="s">
        <v>3610</v>
      </c>
      <c r="E7707" s="1" t="s">
        <v>3981</v>
      </c>
      <c r="F7707" s="1" t="s">
        <v>26147</v>
      </c>
      <c r="G7707" s="1" t="s">
        <v>26148</v>
      </c>
      <c r="H7707" s="1" t="s">
        <v>3604</v>
      </c>
      <c r="I7707" s="1" t="s">
        <v>26149</v>
      </c>
      <c r="J7707" s="1" t="s">
        <v>3615</v>
      </c>
      <c r="K7707" s="1" t="s">
        <v>26150</v>
      </c>
      <c r="L7707" s="1"/>
      <c r="M7707" s="1"/>
    </row>
    <row x14ac:dyDescent="0.25" r="7708" customHeight="1" ht="18.75">
      <c r="A7708" s="1" t="s">
        <v>7833</v>
      </c>
      <c r="B7708" s="1" t="s">
        <v>14063</v>
      </c>
      <c r="C7708" s="1" t="s">
        <v>4488</v>
      </c>
      <c r="D7708" s="1" t="s">
        <v>3610</v>
      </c>
      <c r="E7708" s="1" t="s">
        <v>3981</v>
      </c>
      <c r="F7708" s="1" t="s">
        <v>26151</v>
      </c>
      <c r="G7708" s="1" t="s">
        <v>26148</v>
      </c>
      <c r="H7708" s="1" t="s">
        <v>3604</v>
      </c>
      <c r="I7708" s="1" t="s">
        <v>26152</v>
      </c>
      <c r="J7708" s="1" t="s">
        <v>3615</v>
      </c>
      <c r="K7708" s="1" t="s">
        <v>26153</v>
      </c>
      <c r="L7708" s="1"/>
      <c r="M7708" s="1"/>
    </row>
    <row x14ac:dyDescent="0.25" r="7709" customHeight="1" ht="18.75">
      <c r="A7709" s="1" t="s">
        <v>7833</v>
      </c>
      <c r="B7709" s="1" t="s">
        <v>14063</v>
      </c>
      <c r="C7709" s="1" t="s">
        <v>4488</v>
      </c>
      <c r="D7709" s="1" t="s">
        <v>3610</v>
      </c>
      <c r="E7709" s="1" t="s">
        <v>3981</v>
      </c>
      <c r="F7709" s="1" t="s">
        <v>26154</v>
      </c>
      <c r="G7709" s="1" t="s">
        <v>26155</v>
      </c>
      <c r="H7709" s="1" t="s">
        <v>3604</v>
      </c>
      <c r="I7709" s="1" t="s">
        <v>26156</v>
      </c>
      <c r="J7709" s="1" t="s">
        <v>3615</v>
      </c>
      <c r="K7709" s="1" t="s">
        <v>14956</v>
      </c>
      <c r="L7709" s="1"/>
      <c r="M7709" s="1"/>
    </row>
    <row x14ac:dyDescent="0.25" r="7710" customHeight="1" ht="18.75">
      <c r="A7710" s="1" t="s">
        <v>7833</v>
      </c>
      <c r="B7710" s="1" t="s">
        <v>14063</v>
      </c>
      <c r="C7710" s="1" t="s">
        <v>4488</v>
      </c>
      <c r="D7710" s="1" t="s">
        <v>3610</v>
      </c>
      <c r="E7710" s="1" t="s">
        <v>3981</v>
      </c>
      <c r="F7710" s="1" t="s">
        <v>26157</v>
      </c>
      <c r="G7710" s="1" t="s">
        <v>26155</v>
      </c>
      <c r="H7710" s="1" t="s">
        <v>3604</v>
      </c>
      <c r="I7710" s="1" t="s">
        <v>26158</v>
      </c>
      <c r="J7710" s="1" t="s">
        <v>3615</v>
      </c>
      <c r="K7710" s="1" t="s">
        <v>14964</v>
      </c>
      <c r="L7710" s="1"/>
      <c r="M7710" s="1"/>
    </row>
    <row x14ac:dyDescent="0.25" r="7711" customHeight="1" ht="18.75">
      <c r="A7711" s="1" t="s">
        <v>7833</v>
      </c>
      <c r="B7711" s="1" t="s">
        <v>14063</v>
      </c>
      <c r="C7711" s="1" t="s">
        <v>4488</v>
      </c>
      <c r="D7711" s="1" t="s">
        <v>3610</v>
      </c>
      <c r="E7711" s="1" t="s">
        <v>3981</v>
      </c>
      <c r="F7711" s="1" t="s">
        <v>26159</v>
      </c>
      <c r="G7711" s="1" t="s">
        <v>18160</v>
      </c>
      <c r="H7711" s="1" t="s">
        <v>3604</v>
      </c>
      <c r="I7711" s="1" t="s">
        <v>26160</v>
      </c>
      <c r="J7711" s="1" t="s">
        <v>3615</v>
      </c>
      <c r="K7711" s="1" t="s">
        <v>26161</v>
      </c>
      <c r="L7711" s="1"/>
      <c r="M7711" s="1"/>
    </row>
    <row x14ac:dyDescent="0.25" r="7712" customHeight="1" ht="18.75">
      <c r="A7712" s="1" t="s">
        <v>7833</v>
      </c>
      <c r="B7712" s="1" t="s">
        <v>14063</v>
      </c>
      <c r="C7712" s="1" t="s">
        <v>4488</v>
      </c>
      <c r="D7712" s="1" t="s">
        <v>3610</v>
      </c>
      <c r="E7712" s="1" t="s">
        <v>3981</v>
      </c>
      <c r="F7712" s="1" t="s">
        <v>26162</v>
      </c>
      <c r="G7712" s="1" t="s">
        <v>26163</v>
      </c>
      <c r="H7712" s="1" t="s">
        <v>3604</v>
      </c>
      <c r="I7712" s="1" t="s">
        <v>26164</v>
      </c>
      <c r="J7712" s="1" t="s">
        <v>3615</v>
      </c>
      <c r="K7712" s="1" t="s">
        <v>15181</v>
      </c>
      <c r="L7712" s="1"/>
      <c r="M7712" s="1"/>
    </row>
    <row x14ac:dyDescent="0.25" r="7713" customHeight="1" ht="18.75">
      <c r="A7713" s="1" t="s">
        <v>7833</v>
      </c>
      <c r="B7713" s="1" t="s">
        <v>14063</v>
      </c>
      <c r="C7713" s="1" t="s">
        <v>4488</v>
      </c>
      <c r="D7713" s="1" t="s">
        <v>3610</v>
      </c>
      <c r="E7713" s="1" t="s">
        <v>3981</v>
      </c>
      <c r="F7713" s="1" t="s">
        <v>26165</v>
      </c>
      <c r="G7713" s="1" t="s">
        <v>26166</v>
      </c>
      <c r="H7713" s="1" t="s">
        <v>3604</v>
      </c>
      <c r="I7713" s="1" t="s">
        <v>26167</v>
      </c>
      <c r="J7713" s="1" t="s">
        <v>3615</v>
      </c>
      <c r="K7713" s="1" t="s">
        <v>15131</v>
      </c>
      <c r="L7713" s="1"/>
      <c r="M7713" s="1"/>
    </row>
    <row x14ac:dyDescent="0.25" r="7714" customHeight="1" ht="18.75">
      <c r="A7714" s="1" t="s">
        <v>7833</v>
      </c>
      <c r="B7714" s="1" t="s">
        <v>14063</v>
      </c>
      <c r="C7714" s="1" t="s">
        <v>4488</v>
      </c>
      <c r="D7714" s="1" t="s">
        <v>3610</v>
      </c>
      <c r="E7714" s="1" t="s">
        <v>3981</v>
      </c>
      <c r="F7714" s="1" t="s">
        <v>26168</v>
      </c>
      <c r="G7714" s="1" t="s">
        <v>26166</v>
      </c>
      <c r="H7714" s="1" t="s">
        <v>3604</v>
      </c>
      <c r="I7714" s="1" t="s">
        <v>26169</v>
      </c>
      <c r="J7714" s="1" t="s">
        <v>3615</v>
      </c>
      <c r="K7714" s="1" t="s">
        <v>15140</v>
      </c>
      <c r="L7714" s="1"/>
      <c r="M7714" s="1"/>
    </row>
    <row x14ac:dyDescent="0.25" r="7715" customHeight="1" ht="18.75">
      <c r="A7715" s="1" t="s">
        <v>7833</v>
      </c>
      <c r="B7715" s="1" t="s">
        <v>14063</v>
      </c>
      <c r="C7715" s="1" t="s">
        <v>4488</v>
      </c>
      <c r="D7715" s="1" t="s">
        <v>3610</v>
      </c>
      <c r="E7715" s="1" t="s">
        <v>3981</v>
      </c>
      <c r="F7715" s="1" t="s">
        <v>26170</v>
      </c>
      <c r="G7715" s="1" t="s">
        <v>26115</v>
      </c>
      <c r="H7715" s="1" t="s">
        <v>3604</v>
      </c>
      <c r="I7715" s="1" t="s">
        <v>26171</v>
      </c>
      <c r="J7715" s="1" t="s">
        <v>3615</v>
      </c>
      <c r="K7715" s="1" t="s">
        <v>26172</v>
      </c>
      <c r="L7715" s="1"/>
      <c r="M7715" s="1"/>
    </row>
    <row x14ac:dyDescent="0.25" r="7716" customHeight="1" ht="18.75">
      <c r="A7716" s="1" t="s">
        <v>7833</v>
      </c>
      <c r="B7716" s="1" t="s">
        <v>14063</v>
      </c>
      <c r="C7716" s="1" t="s">
        <v>4488</v>
      </c>
      <c r="D7716" s="1" t="s">
        <v>3610</v>
      </c>
      <c r="E7716" s="1" t="s">
        <v>3981</v>
      </c>
      <c r="F7716" s="1" t="s">
        <v>26173</v>
      </c>
      <c r="G7716" s="1" t="s">
        <v>24071</v>
      </c>
      <c r="H7716" s="1" t="s">
        <v>3604</v>
      </c>
      <c r="I7716" s="1" t="s">
        <v>26174</v>
      </c>
      <c r="J7716" s="1" t="s">
        <v>3615</v>
      </c>
      <c r="K7716" s="1" t="s">
        <v>14977</v>
      </c>
      <c r="L7716" s="1"/>
      <c r="M7716" s="1"/>
    </row>
    <row x14ac:dyDescent="0.25" r="7717" customHeight="1" ht="18.75">
      <c r="A7717" s="1" t="s">
        <v>7833</v>
      </c>
      <c r="B7717" s="1" t="s">
        <v>14063</v>
      </c>
      <c r="C7717" s="1" t="s">
        <v>4488</v>
      </c>
      <c r="D7717" s="1" t="s">
        <v>3610</v>
      </c>
      <c r="E7717" s="1" t="s">
        <v>3752</v>
      </c>
      <c r="F7717" s="1" t="s">
        <v>26175</v>
      </c>
      <c r="G7717" s="1" t="s">
        <v>26166</v>
      </c>
      <c r="H7717" s="1" t="s">
        <v>3604</v>
      </c>
      <c r="I7717" s="1" t="s">
        <v>26176</v>
      </c>
      <c r="J7717" s="1" t="s">
        <v>3615</v>
      </c>
      <c r="K7717" s="1" t="s">
        <v>26177</v>
      </c>
      <c r="L7717" s="1"/>
      <c r="M7717" s="1"/>
    </row>
    <row x14ac:dyDescent="0.25" r="7718" customHeight="1" ht="18.75">
      <c r="A7718" s="1" t="s">
        <v>7833</v>
      </c>
      <c r="B7718" s="1" t="s">
        <v>14063</v>
      </c>
      <c r="C7718" s="1" t="s">
        <v>4488</v>
      </c>
      <c r="D7718" s="1" t="s">
        <v>3610</v>
      </c>
      <c r="E7718" s="1" t="s">
        <v>3664</v>
      </c>
      <c r="F7718" s="1" t="s">
        <v>26178</v>
      </c>
      <c r="G7718" s="1" t="s">
        <v>26115</v>
      </c>
      <c r="H7718" s="1" t="s">
        <v>3604</v>
      </c>
      <c r="I7718" s="1" t="s">
        <v>26179</v>
      </c>
      <c r="J7718" s="1" t="s">
        <v>3615</v>
      </c>
      <c r="K7718" s="1" t="s">
        <v>12940</v>
      </c>
      <c r="L7718" s="1"/>
      <c r="M7718" s="1"/>
    </row>
    <row x14ac:dyDescent="0.25" r="7719" customHeight="1" ht="18.75">
      <c r="A7719" s="1" t="s">
        <v>7833</v>
      </c>
      <c r="B7719" s="1" t="s">
        <v>14063</v>
      </c>
      <c r="C7719" s="1" t="s">
        <v>4488</v>
      </c>
      <c r="D7719" s="1" t="s">
        <v>3610</v>
      </c>
      <c r="E7719" s="1" t="s">
        <v>3981</v>
      </c>
      <c r="F7719" s="1" t="s">
        <v>26180</v>
      </c>
      <c r="G7719" s="1" t="s">
        <v>26181</v>
      </c>
      <c r="H7719" s="1" t="s">
        <v>3604</v>
      </c>
      <c r="I7719" s="1" t="s">
        <v>26182</v>
      </c>
      <c r="J7719" s="1" t="s">
        <v>3615</v>
      </c>
      <c r="K7719" s="1" t="s">
        <v>26183</v>
      </c>
      <c r="L7719" s="1"/>
      <c r="M7719" s="1"/>
    </row>
    <row x14ac:dyDescent="0.25" r="7720" customHeight="1" ht="18.75">
      <c r="A7720" s="1" t="s">
        <v>7833</v>
      </c>
      <c r="B7720" s="1" t="s">
        <v>14063</v>
      </c>
      <c r="C7720" s="1" t="s">
        <v>4488</v>
      </c>
      <c r="D7720" s="1" t="s">
        <v>3610</v>
      </c>
      <c r="E7720" s="1" t="s">
        <v>3664</v>
      </c>
      <c r="F7720" s="1" t="s">
        <v>26184</v>
      </c>
      <c r="G7720" s="1" t="s">
        <v>24071</v>
      </c>
      <c r="H7720" s="1" t="s">
        <v>3604</v>
      </c>
      <c r="I7720" s="1" t="s">
        <v>26185</v>
      </c>
      <c r="J7720" s="1" t="s">
        <v>3615</v>
      </c>
      <c r="K7720" s="1" t="s">
        <v>15251</v>
      </c>
      <c r="L7720" s="1"/>
      <c r="M7720" s="1"/>
    </row>
    <row x14ac:dyDescent="0.25" r="7721" customHeight="1" ht="18.75">
      <c r="A7721" s="1" t="s">
        <v>7833</v>
      </c>
      <c r="B7721" s="1" t="s">
        <v>14063</v>
      </c>
      <c r="C7721" s="1" t="s">
        <v>4488</v>
      </c>
      <c r="D7721" s="1" t="s">
        <v>3610</v>
      </c>
      <c r="E7721" s="1" t="s">
        <v>3664</v>
      </c>
      <c r="F7721" s="1" t="s">
        <v>26186</v>
      </c>
      <c r="G7721" s="1" t="s">
        <v>26187</v>
      </c>
      <c r="H7721" s="1" t="s">
        <v>3604</v>
      </c>
      <c r="I7721" s="1" t="s">
        <v>26188</v>
      </c>
      <c r="J7721" s="1" t="s">
        <v>3615</v>
      </c>
      <c r="K7721" s="1" t="s">
        <v>26189</v>
      </c>
      <c r="L7721" s="1"/>
      <c r="M7721" s="1"/>
    </row>
    <row x14ac:dyDescent="0.25" r="7722" customHeight="1" ht="18.75">
      <c r="A7722" s="1" t="s">
        <v>7833</v>
      </c>
      <c r="B7722" s="1" t="s">
        <v>14063</v>
      </c>
      <c r="C7722" s="1" t="s">
        <v>4488</v>
      </c>
      <c r="D7722" s="1" t="s">
        <v>3610</v>
      </c>
      <c r="E7722" s="1" t="s">
        <v>3664</v>
      </c>
      <c r="F7722" s="1" t="s">
        <v>26190</v>
      </c>
      <c r="G7722" s="1" t="s">
        <v>14894</v>
      </c>
      <c r="H7722" s="1" t="s">
        <v>3604</v>
      </c>
      <c r="I7722" s="1" t="s">
        <v>26191</v>
      </c>
      <c r="J7722" s="1" t="s">
        <v>3615</v>
      </c>
      <c r="K7722" s="1" t="s">
        <v>24558</v>
      </c>
      <c r="L7722" s="1"/>
      <c r="M7722" s="1"/>
    </row>
    <row x14ac:dyDescent="0.25" r="7723" customHeight="1" ht="18.75">
      <c r="A7723" s="1" t="s">
        <v>7833</v>
      </c>
      <c r="B7723" s="1" t="s">
        <v>14264</v>
      </c>
      <c r="C7723" s="1" t="s">
        <v>4488</v>
      </c>
      <c r="D7723" s="1" t="s">
        <v>3610</v>
      </c>
      <c r="E7723" s="1" t="s">
        <v>3664</v>
      </c>
      <c r="F7723" s="1" t="s">
        <v>26192</v>
      </c>
      <c r="G7723" s="1" t="s">
        <v>20777</v>
      </c>
      <c r="H7723" s="1" t="s">
        <v>3604</v>
      </c>
      <c r="I7723" s="1" t="s">
        <v>26193</v>
      </c>
      <c r="J7723" s="1" t="s">
        <v>3606</v>
      </c>
      <c r="K7723" s="1" t="s">
        <v>14435</v>
      </c>
      <c r="L7723" s="1"/>
      <c r="M7723" s="1"/>
    </row>
    <row x14ac:dyDescent="0.25" r="7724" customHeight="1" ht="18.75">
      <c r="A7724" s="1" t="s">
        <v>7833</v>
      </c>
      <c r="B7724" s="1" t="s">
        <v>14264</v>
      </c>
      <c r="C7724" s="1" t="s">
        <v>4488</v>
      </c>
      <c r="D7724" s="1" t="s">
        <v>3610</v>
      </c>
      <c r="E7724" s="1" t="s">
        <v>3664</v>
      </c>
      <c r="F7724" s="1" t="s">
        <v>26194</v>
      </c>
      <c r="G7724" s="1" t="s">
        <v>14265</v>
      </c>
      <c r="H7724" s="1" t="s">
        <v>3604</v>
      </c>
      <c r="I7724" s="1" t="s">
        <v>26195</v>
      </c>
      <c r="J7724" s="1" t="s">
        <v>3606</v>
      </c>
      <c r="K7724" s="1" t="s">
        <v>26196</v>
      </c>
      <c r="L7724" s="1"/>
      <c r="M7724" s="1"/>
    </row>
    <row x14ac:dyDescent="0.25" r="7725" customHeight="1" ht="18.75">
      <c r="A7725" s="1" t="s">
        <v>7833</v>
      </c>
      <c r="B7725" s="1" t="s">
        <v>14264</v>
      </c>
      <c r="C7725" s="1" t="s">
        <v>4488</v>
      </c>
      <c r="D7725" s="1" t="s">
        <v>3610</v>
      </c>
      <c r="E7725" s="1" t="s">
        <v>3664</v>
      </c>
      <c r="F7725" s="1" t="s">
        <v>26197</v>
      </c>
      <c r="G7725" s="1" t="s">
        <v>20798</v>
      </c>
      <c r="H7725" s="1" t="s">
        <v>3604</v>
      </c>
      <c r="I7725" s="1" t="s">
        <v>26198</v>
      </c>
      <c r="J7725" s="1" t="s">
        <v>3606</v>
      </c>
      <c r="K7725" s="1" t="s">
        <v>26199</v>
      </c>
      <c r="L7725" s="1"/>
      <c r="M7725" s="1"/>
    </row>
    <row x14ac:dyDescent="0.25" r="7726" customHeight="1" ht="18.75">
      <c r="A7726" s="1" t="s">
        <v>7833</v>
      </c>
      <c r="B7726" s="1" t="s">
        <v>14264</v>
      </c>
      <c r="C7726" s="1" t="s">
        <v>4488</v>
      </c>
      <c r="D7726" s="1" t="s">
        <v>3610</v>
      </c>
      <c r="E7726" s="1" t="s">
        <v>3664</v>
      </c>
      <c r="F7726" s="1" t="s">
        <v>26200</v>
      </c>
      <c r="G7726" s="1" t="s">
        <v>20806</v>
      </c>
      <c r="H7726" s="1" t="s">
        <v>3604</v>
      </c>
      <c r="I7726" s="1" t="s">
        <v>26201</v>
      </c>
      <c r="J7726" s="1" t="s">
        <v>3606</v>
      </c>
      <c r="K7726" s="1" t="s">
        <v>14497</v>
      </c>
      <c r="L7726" s="1"/>
      <c r="M7726" s="1"/>
    </row>
    <row x14ac:dyDescent="0.25" r="7727" customHeight="1" ht="18.75">
      <c r="A7727" s="1" t="s">
        <v>7833</v>
      </c>
      <c r="B7727" s="1" t="s">
        <v>14264</v>
      </c>
      <c r="C7727" s="1" t="s">
        <v>4488</v>
      </c>
      <c r="D7727" s="1" t="s">
        <v>3610</v>
      </c>
      <c r="E7727" s="1" t="s">
        <v>3664</v>
      </c>
      <c r="F7727" s="1" t="s">
        <v>26202</v>
      </c>
      <c r="G7727" s="1" t="s">
        <v>20808</v>
      </c>
      <c r="H7727" s="1" t="s">
        <v>3604</v>
      </c>
      <c r="I7727" s="1" t="s">
        <v>26203</v>
      </c>
      <c r="J7727" s="1" t="s">
        <v>3606</v>
      </c>
      <c r="K7727" s="1" t="s">
        <v>24555</v>
      </c>
      <c r="L7727" s="1"/>
      <c r="M7727" s="1"/>
    </row>
    <row x14ac:dyDescent="0.25" r="7728" customHeight="1" ht="18.75">
      <c r="A7728" s="1" t="s">
        <v>7833</v>
      </c>
      <c r="B7728" s="1" t="s">
        <v>14264</v>
      </c>
      <c r="C7728" s="1" t="s">
        <v>4488</v>
      </c>
      <c r="D7728" s="1" t="s">
        <v>3610</v>
      </c>
      <c r="E7728" s="1" t="s">
        <v>3664</v>
      </c>
      <c r="F7728" s="1" t="s">
        <v>26204</v>
      </c>
      <c r="G7728" s="1" t="s">
        <v>25904</v>
      </c>
      <c r="H7728" s="1" t="s">
        <v>3604</v>
      </c>
      <c r="I7728" s="1" t="s">
        <v>26205</v>
      </c>
      <c r="J7728" s="1" t="s">
        <v>3606</v>
      </c>
      <c r="K7728" s="1" t="s">
        <v>26206</v>
      </c>
      <c r="L7728" s="1"/>
      <c r="M7728" s="1"/>
    </row>
    <row x14ac:dyDescent="0.25" r="7729" customHeight="1" ht="18.75">
      <c r="A7729" s="1" t="s">
        <v>7833</v>
      </c>
      <c r="B7729" s="1" t="s">
        <v>13754</v>
      </c>
      <c r="C7729" s="1" t="s">
        <v>3619</v>
      </c>
      <c r="D7729" s="1" t="s">
        <v>3610</v>
      </c>
      <c r="E7729" s="1" t="s">
        <v>3981</v>
      </c>
      <c r="F7729" s="1" t="s">
        <v>26207</v>
      </c>
      <c r="G7729" s="1" t="s">
        <v>26138</v>
      </c>
      <c r="H7729" s="1" t="s">
        <v>3604</v>
      </c>
      <c r="I7729" s="1" t="s">
        <v>26208</v>
      </c>
      <c r="J7729" s="1" t="s">
        <v>3606</v>
      </c>
      <c r="K7729" s="1" t="s">
        <v>26209</v>
      </c>
      <c r="L7729" s="1"/>
      <c r="M7729" s="1"/>
    </row>
    <row x14ac:dyDescent="0.25" r="7730" customHeight="1" ht="18.75">
      <c r="A7730" s="1" t="s">
        <v>7833</v>
      </c>
      <c r="B7730" s="1" t="s">
        <v>13754</v>
      </c>
      <c r="C7730" s="1" t="s">
        <v>3619</v>
      </c>
      <c r="D7730" s="1" t="s">
        <v>3610</v>
      </c>
      <c r="E7730" s="1" t="s">
        <v>3981</v>
      </c>
      <c r="F7730" s="1" t="s">
        <v>26210</v>
      </c>
      <c r="G7730" s="1" t="s">
        <v>14659</v>
      </c>
      <c r="H7730" s="1" t="s">
        <v>3604</v>
      </c>
      <c r="I7730" s="1" t="s">
        <v>26211</v>
      </c>
      <c r="J7730" s="1" t="s">
        <v>3606</v>
      </c>
      <c r="K7730" s="1" t="s">
        <v>26212</v>
      </c>
      <c r="L7730" s="1"/>
      <c r="M7730" s="1"/>
    </row>
    <row x14ac:dyDescent="0.25" r="7731" customHeight="1" ht="18.75">
      <c r="A7731" s="1" t="s">
        <v>7833</v>
      </c>
      <c r="B7731" s="1" t="s">
        <v>13754</v>
      </c>
      <c r="C7731" s="1" t="s">
        <v>3619</v>
      </c>
      <c r="D7731" s="1" t="s">
        <v>3610</v>
      </c>
      <c r="E7731" s="1" t="s">
        <v>3981</v>
      </c>
      <c r="F7731" s="1" t="s">
        <v>26213</v>
      </c>
      <c r="G7731" s="1" t="s">
        <v>26144</v>
      </c>
      <c r="H7731" s="1" t="s">
        <v>3604</v>
      </c>
      <c r="I7731" s="1" t="s">
        <v>26214</v>
      </c>
      <c r="J7731" s="1" t="s">
        <v>3606</v>
      </c>
      <c r="K7731" s="1" t="s">
        <v>26215</v>
      </c>
      <c r="L7731" s="1"/>
      <c r="M7731" s="1"/>
    </row>
    <row x14ac:dyDescent="0.25" r="7732" customHeight="1" ht="18.75">
      <c r="A7732" s="1" t="s">
        <v>7833</v>
      </c>
      <c r="B7732" s="1" t="s">
        <v>14063</v>
      </c>
      <c r="C7732" s="1" t="s">
        <v>4488</v>
      </c>
      <c r="D7732" s="1" t="s">
        <v>3610</v>
      </c>
      <c r="E7732" s="1" t="s">
        <v>3981</v>
      </c>
      <c r="F7732" s="1" t="s">
        <v>26216</v>
      </c>
      <c r="G7732" s="1" t="s">
        <v>26148</v>
      </c>
      <c r="H7732" s="1" t="s">
        <v>3604</v>
      </c>
      <c r="I7732" s="1" t="s">
        <v>26217</v>
      </c>
      <c r="J7732" s="1" t="s">
        <v>3615</v>
      </c>
      <c r="K7732" s="1" t="s">
        <v>26218</v>
      </c>
      <c r="L7732" s="1"/>
      <c r="M7732" s="1"/>
    </row>
    <row x14ac:dyDescent="0.25" r="7733" customHeight="1" ht="18.75">
      <c r="A7733" s="1" t="s">
        <v>7833</v>
      </c>
      <c r="B7733" s="1" t="s">
        <v>14063</v>
      </c>
      <c r="C7733" s="1" t="s">
        <v>4488</v>
      </c>
      <c r="D7733" s="1" t="s">
        <v>3610</v>
      </c>
      <c r="E7733" s="1" t="s">
        <v>3981</v>
      </c>
      <c r="F7733" s="1" t="s">
        <v>26219</v>
      </c>
      <c r="G7733" s="1" t="s">
        <v>26155</v>
      </c>
      <c r="H7733" s="1" t="s">
        <v>3604</v>
      </c>
      <c r="I7733" s="1" t="s">
        <v>26220</v>
      </c>
      <c r="J7733" s="1" t="s">
        <v>3615</v>
      </c>
      <c r="K7733" s="1" t="s">
        <v>14961</v>
      </c>
      <c r="L7733" s="1"/>
      <c r="M7733" s="1"/>
    </row>
    <row x14ac:dyDescent="0.25" r="7734" customHeight="1" ht="18.75">
      <c r="A7734" s="1" t="s">
        <v>7833</v>
      </c>
      <c r="B7734" s="1" t="s">
        <v>14063</v>
      </c>
      <c r="C7734" s="1" t="s">
        <v>4488</v>
      </c>
      <c r="D7734" s="1" t="s">
        <v>3610</v>
      </c>
      <c r="E7734" s="1" t="s">
        <v>3981</v>
      </c>
      <c r="F7734" s="1" t="s">
        <v>26221</v>
      </c>
      <c r="G7734" s="1" t="s">
        <v>18160</v>
      </c>
      <c r="H7734" s="1" t="s">
        <v>3604</v>
      </c>
      <c r="I7734" s="1" t="s">
        <v>26222</v>
      </c>
      <c r="J7734" s="1" t="s">
        <v>3615</v>
      </c>
      <c r="K7734" s="1" t="s">
        <v>26223</v>
      </c>
      <c r="L7734" s="1"/>
      <c r="M7734" s="1"/>
    </row>
    <row x14ac:dyDescent="0.25" r="7735" customHeight="1" ht="18.75">
      <c r="A7735" s="1" t="s">
        <v>7833</v>
      </c>
      <c r="B7735" s="1" t="s">
        <v>14063</v>
      </c>
      <c r="C7735" s="1" t="s">
        <v>4488</v>
      </c>
      <c r="D7735" s="1" t="s">
        <v>3610</v>
      </c>
      <c r="E7735" s="1" t="s">
        <v>3981</v>
      </c>
      <c r="F7735" s="1" t="s">
        <v>26224</v>
      </c>
      <c r="G7735" s="1" t="s">
        <v>26163</v>
      </c>
      <c r="H7735" s="1" t="s">
        <v>3604</v>
      </c>
      <c r="I7735" s="1" t="s">
        <v>26225</v>
      </c>
      <c r="J7735" s="1" t="s">
        <v>3615</v>
      </c>
      <c r="K7735" s="1" t="s">
        <v>15178</v>
      </c>
      <c r="L7735" s="1"/>
      <c r="M7735" s="1"/>
    </row>
    <row x14ac:dyDescent="0.25" r="7736" customHeight="1" ht="18.75">
      <c r="A7736" s="1" t="s">
        <v>7833</v>
      </c>
      <c r="B7736" s="1" t="s">
        <v>14063</v>
      </c>
      <c r="C7736" s="1" t="s">
        <v>4488</v>
      </c>
      <c r="D7736" s="1" t="s">
        <v>3610</v>
      </c>
      <c r="E7736" s="1" t="s">
        <v>3752</v>
      </c>
      <c r="F7736" s="1" t="s">
        <v>26226</v>
      </c>
      <c r="G7736" s="1" t="s">
        <v>26227</v>
      </c>
      <c r="H7736" s="1" t="s">
        <v>3604</v>
      </c>
      <c r="I7736" s="1" t="s">
        <v>26228</v>
      </c>
      <c r="J7736" s="1" t="s">
        <v>3615</v>
      </c>
      <c r="K7736" s="1" t="s">
        <v>26229</v>
      </c>
      <c r="L7736" s="1"/>
      <c r="M7736" s="1"/>
    </row>
    <row x14ac:dyDescent="0.25" r="7737" customHeight="1" ht="18.75">
      <c r="A7737" s="1" t="s">
        <v>7833</v>
      </c>
      <c r="B7737" s="1" t="s">
        <v>14063</v>
      </c>
      <c r="C7737" s="1" t="s">
        <v>4488</v>
      </c>
      <c r="D7737" s="1" t="s">
        <v>3610</v>
      </c>
      <c r="E7737" s="1" t="s">
        <v>3752</v>
      </c>
      <c r="F7737" s="1" t="s">
        <v>26230</v>
      </c>
      <c r="G7737" s="1" t="s">
        <v>26163</v>
      </c>
      <c r="H7737" s="1" t="s">
        <v>3604</v>
      </c>
      <c r="I7737" s="1" t="s">
        <v>26231</v>
      </c>
      <c r="J7737" s="1" t="s">
        <v>3615</v>
      </c>
      <c r="K7737" s="1" t="s">
        <v>26232</v>
      </c>
      <c r="L7737" s="1"/>
      <c r="M7737" s="1"/>
    </row>
    <row x14ac:dyDescent="0.25" r="7738" customHeight="1" ht="18.75">
      <c r="A7738" s="1" t="s">
        <v>7833</v>
      </c>
      <c r="B7738" s="1" t="s">
        <v>14063</v>
      </c>
      <c r="C7738" s="1" t="s">
        <v>4488</v>
      </c>
      <c r="D7738" s="1" t="s">
        <v>3610</v>
      </c>
      <c r="E7738" s="1" t="s">
        <v>3752</v>
      </c>
      <c r="F7738" s="1" t="s">
        <v>26233</v>
      </c>
      <c r="G7738" s="1" t="s">
        <v>26166</v>
      </c>
      <c r="H7738" s="1" t="s">
        <v>3604</v>
      </c>
      <c r="I7738" s="1" t="s">
        <v>26234</v>
      </c>
      <c r="J7738" s="1" t="s">
        <v>3615</v>
      </c>
      <c r="K7738" s="1" t="s">
        <v>26235</v>
      </c>
      <c r="L7738" s="1"/>
      <c r="M7738" s="1"/>
    </row>
    <row x14ac:dyDescent="0.25" r="7739" customHeight="1" ht="18.75">
      <c r="A7739" s="1" t="s">
        <v>7833</v>
      </c>
      <c r="B7739" s="1" t="s">
        <v>14063</v>
      </c>
      <c r="C7739" s="1" t="s">
        <v>4488</v>
      </c>
      <c r="D7739" s="1" t="s">
        <v>3610</v>
      </c>
      <c r="E7739" s="1" t="s">
        <v>3981</v>
      </c>
      <c r="F7739" s="1" t="s">
        <v>26236</v>
      </c>
      <c r="G7739" s="1" t="s">
        <v>24071</v>
      </c>
      <c r="H7739" s="1" t="s">
        <v>3604</v>
      </c>
      <c r="I7739" s="1" t="s">
        <v>26237</v>
      </c>
      <c r="J7739" s="1" t="s">
        <v>3615</v>
      </c>
      <c r="K7739" s="1" t="s">
        <v>14974</v>
      </c>
      <c r="L7739" s="1"/>
      <c r="M7739" s="1"/>
    </row>
    <row x14ac:dyDescent="0.25" r="7740" customHeight="1" ht="18.75">
      <c r="A7740" s="1" t="s">
        <v>7833</v>
      </c>
      <c r="B7740" s="1" t="s">
        <v>14063</v>
      </c>
      <c r="C7740" s="1" t="s">
        <v>4488</v>
      </c>
      <c r="D7740" s="1" t="s">
        <v>3610</v>
      </c>
      <c r="E7740" s="1" t="s">
        <v>3664</v>
      </c>
      <c r="F7740" s="1" t="s">
        <v>26238</v>
      </c>
      <c r="G7740" s="1" t="s">
        <v>26187</v>
      </c>
      <c r="H7740" s="1" t="s">
        <v>3604</v>
      </c>
      <c r="I7740" s="1" t="s">
        <v>26239</v>
      </c>
      <c r="J7740" s="1" t="s">
        <v>3615</v>
      </c>
      <c r="K7740" s="1" t="s">
        <v>23786</v>
      </c>
      <c r="L7740" s="1"/>
      <c r="M7740" s="1"/>
    </row>
    <row x14ac:dyDescent="0.25" r="7741" customHeight="1" ht="18.75">
      <c r="A7741" s="1" t="s">
        <v>7833</v>
      </c>
      <c r="B7741" s="1" t="s">
        <v>14063</v>
      </c>
      <c r="C7741" s="1" t="s">
        <v>4488</v>
      </c>
      <c r="D7741" s="1" t="s">
        <v>3610</v>
      </c>
      <c r="E7741" s="1" t="s">
        <v>3664</v>
      </c>
      <c r="F7741" s="1" t="s">
        <v>26240</v>
      </c>
      <c r="G7741" s="1" t="s">
        <v>26187</v>
      </c>
      <c r="H7741" s="1" t="s">
        <v>3604</v>
      </c>
      <c r="I7741" s="1" t="s">
        <v>26241</v>
      </c>
      <c r="J7741" s="1" t="s">
        <v>3615</v>
      </c>
      <c r="K7741" s="1" t="s">
        <v>23791</v>
      </c>
      <c r="L7741" s="1"/>
      <c r="M7741" s="1"/>
    </row>
    <row x14ac:dyDescent="0.25" r="7742" customHeight="1" ht="18.75">
      <c r="A7742" s="1" t="s">
        <v>7833</v>
      </c>
      <c r="B7742" s="1" t="s">
        <v>14063</v>
      </c>
      <c r="C7742" s="1" t="s">
        <v>4488</v>
      </c>
      <c r="D7742" s="1" t="s">
        <v>3610</v>
      </c>
      <c r="E7742" s="1" t="s">
        <v>3664</v>
      </c>
      <c r="F7742" s="1" t="s">
        <v>26242</v>
      </c>
      <c r="G7742" s="1" t="s">
        <v>26115</v>
      </c>
      <c r="H7742" s="1" t="s">
        <v>3604</v>
      </c>
      <c r="I7742" s="1" t="s">
        <v>26243</v>
      </c>
      <c r="J7742" s="1" t="s">
        <v>3615</v>
      </c>
      <c r="K7742" s="1" t="s">
        <v>26244</v>
      </c>
      <c r="L7742" s="1"/>
      <c r="M7742" s="1"/>
    </row>
    <row x14ac:dyDescent="0.25" r="7743" customHeight="1" ht="18.75">
      <c r="A7743" s="1" t="s">
        <v>7833</v>
      </c>
      <c r="B7743" s="1" t="s">
        <v>14063</v>
      </c>
      <c r="C7743" s="1" t="s">
        <v>4488</v>
      </c>
      <c r="D7743" s="1" t="s">
        <v>3610</v>
      </c>
      <c r="E7743" s="1" t="s">
        <v>3664</v>
      </c>
      <c r="F7743" s="1" t="s">
        <v>26245</v>
      </c>
      <c r="G7743" s="1" t="s">
        <v>26115</v>
      </c>
      <c r="H7743" s="1" t="s">
        <v>3604</v>
      </c>
      <c r="I7743" s="1" t="s">
        <v>26246</v>
      </c>
      <c r="J7743" s="1" t="s">
        <v>3615</v>
      </c>
      <c r="K7743" s="1" t="s">
        <v>14472</v>
      </c>
      <c r="L7743" s="1"/>
      <c r="M7743" s="1"/>
    </row>
    <row x14ac:dyDescent="0.25" r="7744" customHeight="1" ht="18.75">
      <c r="A7744" s="1" t="s">
        <v>7833</v>
      </c>
      <c r="B7744" s="1" t="s">
        <v>14063</v>
      </c>
      <c r="C7744" s="1" t="s">
        <v>4488</v>
      </c>
      <c r="D7744" s="1" t="s">
        <v>3610</v>
      </c>
      <c r="E7744" s="1" t="s">
        <v>3752</v>
      </c>
      <c r="F7744" s="1" t="s">
        <v>26247</v>
      </c>
      <c r="G7744" s="1" t="s">
        <v>14065</v>
      </c>
      <c r="H7744" s="1" t="s">
        <v>3604</v>
      </c>
      <c r="I7744" s="1" t="s">
        <v>26248</v>
      </c>
      <c r="J7744" s="1" t="s">
        <v>3615</v>
      </c>
      <c r="K7744" s="1" t="s">
        <v>26249</v>
      </c>
      <c r="L7744" s="1"/>
      <c r="M7744" s="1"/>
    </row>
    <row x14ac:dyDescent="0.25" r="7745" customHeight="1" ht="18.75">
      <c r="A7745" s="1" t="s">
        <v>7833</v>
      </c>
      <c r="B7745" s="1" t="s">
        <v>14063</v>
      </c>
      <c r="C7745" s="1" t="s">
        <v>4488</v>
      </c>
      <c r="D7745" s="1" t="s">
        <v>3610</v>
      </c>
      <c r="E7745" s="1" t="s">
        <v>3981</v>
      </c>
      <c r="F7745" s="1" t="s">
        <v>26250</v>
      </c>
      <c r="G7745" s="1" t="s">
        <v>26181</v>
      </c>
      <c r="H7745" s="1" t="s">
        <v>3604</v>
      </c>
      <c r="I7745" s="1" t="s">
        <v>26251</v>
      </c>
      <c r="J7745" s="1" t="s">
        <v>3615</v>
      </c>
      <c r="K7745" s="1" t="s">
        <v>26252</v>
      </c>
      <c r="L7745" s="1"/>
      <c r="M7745" s="1"/>
    </row>
    <row x14ac:dyDescent="0.25" r="7746" customHeight="1" ht="18.75">
      <c r="A7746" s="1" t="s">
        <v>7833</v>
      </c>
      <c r="B7746" s="1" t="s">
        <v>14063</v>
      </c>
      <c r="C7746" s="1" t="s">
        <v>4488</v>
      </c>
      <c r="D7746" s="1" t="s">
        <v>3610</v>
      </c>
      <c r="E7746" s="1" t="s">
        <v>3981</v>
      </c>
      <c r="F7746" s="1" t="s">
        <v>26253</v>
      </c>
      <c r="G7746" s="1" t="s">
        <v>26181</v>
      </c>
      <c r="H7746" s="1" t="s">
        <v>3604</v>
      </c>
      <c r="I7746" s="1" t="s">
        <v>26254</v>
      </c>
      <c r="J7746" s="1" t="s">
        <v>3615</v>
      </c>
      <c r="K7746" s="1" t="s">
        <v>26255</v>
      </c>
      <c r="L7746" s="1"/>
      <c r="M7746" s="1"/>
    </row>
    <row x14ac:dyDescent="0.25" r="7747" customHeight="1" ht="18.75">
      <c r="A7747" s="1" t="s">
        <v>7833</v>
      </c>
      <c r="B7747" s="1" t="s">
        <v>14063</v>
      </c>
      <c r="C7747" s="1" t="s">
        <v>4488</v>
      </c>
      <c r="D7747" s="1" t="s">
        <v>3610</v>
      </c>
      <c r="E7747" s="1" t="s">
        <v>3664</v>
      </c>
      <c r="F7747" s="1" t="s">
        <v>26256</v>
      </c>
      <c r="G7747" s="1" t="s">
        <v>24071</v>
      </c>
      <c r="H7747" s="1" t="s">
        <v>3604</v>
      </c>
      <c r="I7747" s="1" t="s">
        <v>26257</v>
      </c>
      <c r="J7747" s="1" t="s">
        <v>3615</v>
      </c>
      <c r="K7747" s="1" t="s">
        <v>12943</v>
      </c>
      <c r="L7747" s="1"/>
      <c r="M7747" s="1"/>
    </row>
    <row x14ac:dyDescent="0.25" r="7748" customHeight="1" ht="18.75">
      <c r="A7748" s="1" t="s">
        <v>7833</v>
      </c>
      <c r="B7748" s="1" t="s">
        <v>14063</v>
      </c>
      <c r="C7748" s="1" t="s">
        <v>4488</v>
      </c>
      <c r="D7748" s="1" t="s">
        <v>3610</v>
      </c>
      <c r="E7748" s="1" t="s">
        <v>3664</v>
      </c>
      <c r="F7748" s="1" t="s">
        <v>26258</v>
      </c>
      <c r="G7748" s="1" t="s">
        <v>24071</v>
      </c>
      <c r="H7748" s="1" t="s">
        <v>3604</v>
      </c>
      <c r="I7748" s="1" t="s">
        <v>26259</v>
      </c>
      <c r="J7748" s="1" t="s">
        <v>3615</v>
      </c>
      <c r="K7748" s="1" t="s">
        <v>14400</v>
      </c>
      <c r="L7748" s="1"/>
      <c r="M7748" s="1"/>
    </row>
    <row x14ac:dyDescent="0.25" r="7749" customHeight="1" ht="18.75">
      <c r="A7749" s="1" t="s">
        <v>7833</v>
      </c>
      <c r="B7749" s="1" t="s">
        <v>14063</v>
      </c>
      <c r="C7749" s="1" t="s">
        <v>4488</v>
      </c>
      <c r="D7749" s="1" t="s">
        <v>3610</v>
      </c>
      <c r="E7749" s="1" t="s">
        <v>3981</v>
      </c>
      <c r="F7749" s="1" t="s">
        <v>26260</v>
      </c>
      <c r="G7749" s="1" t="s">
        <v>26115</v>
      </c>
      <c r="H7749" s="1" t="s">
        <v>3604</v>
      </c>
      <c r="I7749" s="1" t="s">
        <v>26261</v>
      </c>
      <c r="J7749" s="1" t="s">
        <v>3615</v>
      </c>
      <c r="K7749" s="1" t="s">
        <v>26262</v>
      </c>
      <c r="L7749" s="1"/>
      <c r="M7749" s="1"/>
    </row>
    <row x14ac:dyDescent="0.25" r="7750" customHeight="1" ht="18.75">
      <c r="A7750" s="1" t="s">
        <v>7833</v>
      </c>
      <c r="B7750" s="1" t="s">
        <v>14063</v>
      </c>
      <c r="C7750" s="1" t="s">
        <v>4488</v>
      </c>
      <c r="D7750" s="1" t="s">
        <v>3610</v>
      </c>
      <c r="E7750" s="1" t="s">
        <v>3664</v>
      </c>
      <c r="F7750" s="1" t="s">
        <v>26263</v>
      </c>
      <c r="G7750" s="1" t="s">
        <v>8275</v>
      </c>
      <c r="H7750" s="1" t="s">
        <v>3604</v>
      </c>
      <c r="I7750" s="1" t="s">
        <v>26264</v>
      </c>
      <c r="J7750" s="1" t="s">
        <v>3615</v>
      </c>
      <c r="K7750" s="1" t="s">
        <v>22709</v>
      </c>
      <c r="L7750" s="1"/>
      <c r="M7750" s="1"/>
    </row>
    <row x14ac:dyDescent="0.25" r="7751" customHeight="1" ht="18.75">
      <c r="A7751" s="1" t="s">
        <v>7833</v>
      </c>
      <c r="B7751" s="1" t="s">
        <v>14063</v>
      </c>
      <c r="C7751" s="1" t="s">
        <v>4488</v>
      </c>
      <c r="D7751" s="1" t="s">
        <v>3610</v>
      </c>
      <c r="E7751" s="1" t="s">
        <v>3664</v>
      </c>
      <c r="F7751" s="1" t="s">
        <v>26265</v>
      </c>
      <c r="G7751" s="1" t="s">
        <v>8275</v>
      </c>
      <c r="H7751" s="1" t="s">
        <v>3604</v>
      </c>
      <c r="I7751" s="1" t="s">
        <v>26266</v>
      </c>
      <c r="J7751" s="1" t="s">
        <v>3615</v>
      </c>
      <c r="K7751" s="1" t="s">
        <v>26199</v>
      </c>
      <c r="L7751" s="1"/>
      <c r="M7751" s="1"/>
    </row>
    <row x14ac:dyDescent="0.25" r="7752" customHeight="1" ht="18.75">
      <c r="A7752" s="1" t="s">
        <v>7833</v>
      </c>
      <c r="B7752" s="1" t="s">
        <v>14063</v>
      </c>
      <c r="C7752" s="1" t="s">
        <v>4488</v>
      </c>
      <c r="D7752" s="1" t="s">
        <v>3610</v>
      </c>
      <c r="E7752" s="1" t="s">
        <v>3664</v>
      </c>
      <c r="F7752" s="1" t="s">
        <v>26267</v>
      </c>
      <c r="G7752" s="1" t="s">
        <v>14894</v>
      </c>
      <c r="H7752" s="1" t="s">
        <v>3604</v>
      </c>
      <c r="I7752" s="1" t="s">
        <v>26268</v>
      </c>
      <c r="J7752" s="1" t="s">
        <v>3615</v>
      </c>
      <c r="K7752" s="1" t="s">
        <v>24552</v>
      </c>
      <c r="L7752" s="1"/>
      <c r="M7752" s="1"/>
    </row>
    <row x14ac:dyDescent="0.25" r="7753" customHeight="1" ht="18.75">
      <c r="A7753" s="1" t="s">
        <v>7833</v>
      </c>
      <c r="B7753" s="1" t="s">
        <v>14063</v>
      </c>
      <c r="C7753" s="1" t="s">
        <v>4488</v>
      </c>
      <c r="D7753" s="1" t="s">
        <v>3610</v>
      </c>
      <c r="E7753" s="1" t="s">
        <v>3664</v>
      </c>
      <c r="F7753" s="1" t="s">
        <v>26269</v>
      </c>
      <c r="G7753" s="1" t="s">
        <v>23454</v>
      </c>
      <c r="H7753" s="1" t="s">
        <v>3604</v>
      </c>
      <c r="I7753" s="1" t="s">
        <v>26270</v>
      </c>
      <c r="J7753" s="1" t="s">
        <v>3615</v>
      </c>
      <c r="K7753" s="1" t="s">
        <v>26271</v>
      </c>
      <c r="L7753" s="1"/>
      <c r="M7753" s="1"/>
    </row>
    <row x14ac:dyDescent="0.25" r="7754" customHeight="1" ht="18.75">
      <c r="A7754" s="1" t="s">
        <v>7833</v>
      </c>
      <c r="B7754" s="1" t="s">
        <v>14063</v>
      </c>
      <c r="C7754" s="1" t="s">
        <v>4488</v>
      </c>
      <c r="D7754" s="1" t="s">
        <v>3610</v>
      </c>
      <c r="E7754" s="1" t="s">
        <v>3664</v>
      </c>
      <c r="F7754" s="1" t="s">
        <v>26272</v>
      </c>
      <c r="G7754" s="1" t="s">
        <v>23454</v>
      </c>
      <c r="H7754" s="1" t="s">
        <v>3604</v>
      </c>
      <c r="I7754" s="1" t="s">
        <v>26273</v>
      </c>
      <c r="J7754" s="1" t="s">
        <v>3615</v>
      </c>
      <c r="K7754" s="1" t="s">
        <v>26274</v>
      </c>
      <c r="L7754" s="1"/>
      <c r="M7754" s="1"/>
    </row>
    <row x14ac:dyDescent="0.25" r="7755" customHeight="1" ht="18.75">
      <c r="A7755" s="1" t="s">
        <v>7833</v>
      </c>
      <c r="B7755" s="1" t="s">
        <v>8269</v>
      </c>
      <c r="C7755" s="1" t="s">
        <v>4488</v>
      </c>
      <c r="D7755" s="1" t="s">
        <v>7891</v>
      </c>
      <c r="E7755" s="1" t="s">
        <v>3981</v>
      </c>
      <c r="F7755" s="1" t="s">
        <v>26275</v>
      </c>
      <c r="G7755" s="1" t="s">
        <v>14954</v>
      </c>
      <c r="H7755" s="1" t="s">
        <v>3604</v>
      </c>
      <c r="I7755" s="1" t="s">
        <v>26276</v>
      </c>
      <c r="J7755" s="1" t="s">
        <v>3606</v>
      </c>
      <c r="K7755" s="1" t="s">
        <v>26277</v>
      </c>
      <c r="L7755" s="1"/>
      <c r="M7755" s="1"/>
    </row>
    <row x14ac:dyDescent="0.25" r="7756" customHeight="1" ht="18.75">
      <c r="A7756" s="1" t="s">
        <v>7833</v>
      </c>
      <c r="B7756" s="1" t="s">
        <v>14264</v>
      </c>
      <c r="C7756" s="1" t="s">
        <v>4488</v>
      </c>
      <c r="D7756" s="1" t="s">
        <v>7891</v>
      </c>
      <c r="E7756" s="1" t="s">
        <v>3664</v>
      </c>
      <c r="F7756" s="1" t="s">
        <v>26278</v>
      </c>
      <c r="G7756" s="1" t="s">
        <v>20777</v>
      </c>
      <c r="H7756" s="1" t="s">
        <v>3604</v>
      </c>
      <c r="I7756" s="1" t="s">
        <v>26279</v>
      </c>
      <c r="J7756" s="1" t="s">
        <v>3606</v>
      </c>
      <c r="K7756" s="1" t="s">
        <v>14529</v>
      </c>
      <c r="L7756" s="1"/>
      <c r="M7756" s="1"/>
    </row>
    <row x14ac:dyDescent="0.25" r="7757" customHeight="1" ht="18.75">
      <c r="A7757" s="1" t="s">
        <v>7833</v>
      </c>
      <c r="B7757" s="1" t="s">
        <v>14264</v>
      </c>
      <c r="C7757" s="1" t="s">
        <v>4488</v>
      </c>
      <c r="D7757" s="1" t="s">
        <v>7891</v>
      </c>
      <c r="E7757" s="1" t="s">
        <v>3664</v>
      </c>
      <c r="F7757" s="1" t="s">
        <v>26280</v>
      </c>
      <c r="G7757" s="1" t="s">
        <v>20777</v>
      </c>
      <c r="H7757" s="1" t="s">
        <v>3604</v>
      </c>
      <c r="I7757" s="1" t="s">
        <v>26281</v>
      </c>
      <c r="J7757" s="1" t="s">
        <v>3606</v>
      </c>
      <c r="K7757" s="1" t="s">
        <v>26282</v>
      </c>
      <c r="L7757" s="1"/>
      <c r="M7757" s="1"/>
    </row>
    <row x14ac:dyDescent="0.25" r="7758" customHeight="1" ht="18.75">
      <c r="A7758" s="1" t="s">
        <v>7833</v>
      </c>
      <c r="B7758" s="1" t="s">
        <v>14264</v>
      </c>
      <c r="C7758" s="1" t="s">
        <v>4488</v>
      </c>
      <c r="D7758" s="1" t="s">
        <v>7891</v>
      </c>
      <c r="E7758" s="1" t="s">
        <v>3664</v>
      </c>
      <c r="F7758" s="1" t="s">
        <v>26283</v>
      </c>
      <c r="G7758" s="1" t="s">
        <v>20777</v>
      </c>
      <c r="H7758" s="1" t="s">
        <v>3604</v>
      </c>
      <c r="I7758" s="1" t="s">
        <v>26284</v>
      </c>
      <c r="J7758" s="1" t="s">
        <v>3606</v>
      </c>
      <c r="K7758" s="1" t="s">
        <v>26277</v>
      </c>
      <c r="L7758" s="1"/>
      <c r="M7758" s="1"/>
    </row>
    <row x14ac:dyDescent="0.25" r="7759" customHeight="1" ht="18.75">
      <c r="A7759" s="1" t="s">
        <v>7833</v>
      </c>
      <c r="B7759" s="1" t="s">
        <v>14264</v>
      </c>
      <c r="C7759" s="1" t="s">
        <v>4488</v>
      </c>
      <c r="D7759" s="1" t="s">
        <v>7891</v>
      </c>
      <c r="E7759" s="1" t="s">
        <v>3664</v>
      </c>
      <c r="F7759" s="1" t="s">
        <v>26285</v>
      </c>
      <c r="G7759" s="1" t="s">
        <v>20798</v>
      </c>
      <c r="H7759" s="1" t="s">
        <v>3604</v>
      </c>
      <c r="I7759" s="1" t="s">
        <v>26286</v>
      </c>
      <c r="J7759" s="1" t="s">
        <v>3606</v>
      </c>
      <c r="K7759" s="1" t="s">
        <v>14529</v>
      </c>
      <c r="L7759" s="1"/>
      <c r="M7759" s="1"/>
    </row>
    <row x14ac:dyDescent="0.25" r="7760" customHeight="1" ht="18.75">
      <c r="A7760" s="1" t="s">
        <v>7833</v>
      </c>
      <c r="B7760" s="1" t="s">
        <v>14264</v>
      </c>
      <c r="C7760" s="1" t="s">
        <v>4488</v>
      </c>
      <c r="D7760" s="1" t="s">
        <v>7891</v>
      </c>
      <c r="E7760" s="1" t="s">
        <v>3664</v>
      </c>
      <c r="F7760" s="1" t="s">
        <v>26287</v>
      </c>
      <c r="G7760" s="1" t="s">
        <v>20798</v>
      </c>
      <c r="H7760" s="1" t="s">
        <v>3604</v>
      </c>
      <c r="I7760" s="1" t="s">
        <v>26288</v>
      </c>
      <c r="J7760" s="1" t="s">
        <v>3606</v>
      </c>
      <c r="K7760" s="1" t="s">
        <v>26282</v>
      </c>
      <c r="L7760" s="1"/>
      <c r="M7760" s="1"/>
    </row>
    <row x14ac:dyDescent="0.25" r="7761" customHeight="1" ht="18.75">
      <c r="A7761" s="1" t="s">
        <v>7833</v>
      </c>
      <c r="B7761" s="1" t="s">
        <v>14264</v>
      </c>
      <c r="C7761" s="1" t="s">
        <v>4488</v>
      </c>
      <c r="D7761" s="1" t="s">
        <v>7891</v>
      </c>
      <c r="E7761" s="1" t="s">
        <v>3664</v>
      </c>
      <c r="F7761" s="1" t="s">
        <v>26289</v>
      </c>
      <c r="G7761" s="1" t="s">
        <v>20798</v>
      </c>
      <c r="H7761" s="1" t="s">
        <v>3604</v>
      </c>
      <c r="I7761" s="1" t="s">
        <v>26290</v>
      </c>
      <c r="J7761" s="1" t="s">
        <v>3606</v>
      </c>
      <c r="K7761" s="1" t="s">
        <v>26277</v>
      </c>
      <c r="L7761" s="1"/>
      <c r="M7761" s="1"/>
    </row>
    <row x14ac:dyDescent="0.25" r="7762" customHeight="1" ht="18.75">
      <c r="A7762" s="1" t="s">
        <v>7833</v>
      </c>
      <c r="B7762" s="1" t="s">
        <v>14264</v>
      </c>
      <c r="C7762" s="1" t="s">
        <v>4488</v>
      </c>
      <c r="D7762" s="1" t="s">
        <v>7891</v>
      </c>
      <c r="E7762" s="1" t="s">
        <v>3664</v>
      </c>
      <c r="F7762" s="1" t="s">
        <v>26291</v>
      </c>
      <c r="G7762" s="1" t="s">
        <v>20806</v>
      </c>
      <c r="H7762" s="1" t="s">
        <v>3604</v>
      </c>
      <c r="I7762" s="1" t="s">
        <v>26292</v>
      </c>
      <c r="J7762" s="1" t="s">
        <v>3606</v>
      </c>
      <c r="K7762" s="1" t="s">
        <v>26282</v>
      </c>
      <c r="L7762" s="1"/>
      <c r="M7762" s="1"/>
    </row>
    <row x14ac:dyDescent="0.25" r="7763" customHeight="1" ht="18.75">
      <c r="A7763" s="1" t="s">
        <v>7833</v>
      </c>
      <c r="B7763" s="1" t="s">
        <v>14264</v>
      </c>
      <c r="C7763" s="1" t="s">
        <v>4488</v>
      </c>
      <c r="D7763" s="1" t="s">
        <v>7891</v>
      </c>
      <c r="E7763" s="1" t="s">
        <v>3664</v>
      </c>
      <c r="F7763" s="1" t="s">
        <v>26293</v>
      </c>
      <c r="G7763" s="1" t="s">
        <v>20808</v>
      </c>
      <c r="H7763" s="1" t="s">
        <v>3604</v>
      </c>
      <c r="I7763" s="1" t="s">
        <v>26294</v>
      </c>
      <c r="J7763" s="1" t="s">
        <v>3606</v>
      </c>
      <c r="K7763" s="1" t="s">
        <v>14529</v>
      </c>
      <c r="L7763" s="1"/>
      <c r="M7763" s="1"/>
    </row>
    <row x14ac:dyDescent="0.25" r="7764" customHeight="1" ht="18.75">
      <c r="A7764" s="1" t="s">
        <v>7833</v>
      </c>
      <c r="B7764" s="1" t="s">
        <v>14264</v>
      </c>
      <c r="C7764" s="1" t="s">
        <v>4488</v>
      </c>
      <c r="D7764" s="1" t="s">
        <v>7891</v>
      </c>
      <c r="E7764" s="1" t="s">
        <v>3664</v>
      </c>
      <c r="F7764" s="1" t="s">
        <v>26295</v>
      </c>
      <c r="G7764" s="1" t="s">
        <v>20808</v>
      </c>
      <c r="H7764" s="1" t="s">
        <v>3604</v>
      </c>
      <c r="I7764" s="1" t="s">
        <v>26296</v>
      </c>
      <c r="J7764" s="1" t="s">
        <v>3606</v>
      </c>
      <c r="K7764" s="1" t="s">
        <v>26277</v>
      </c>
      <c r="L7764" s="1"/>
      <c r="M7764" s="1"/>
    </row>
    <row x14ac:dyDescent="0.25" r="7765" customHeight="1" ht="18.75">
      <c r="A7765" s="1" t="s">
        <v>7833</v>
      </c>
      <c r="B7765" s="1" t="s">
        <v>14264</v>
      </c>
      <c r="C7765" s="1" t="s">
        <v>4488</v>
      </c>
      <c r="D7765" s="1" t="s">
        <v>7891</v>
      </c>
      <c r="E7765" s="1" t="s">
        <v>3664</v>
      </c>
      <c r="F7765" s="1" t="s">
        <v>26297</v>
      </c>
      <c r="G7765" s="1" t="s">
        <v>14265</v>
      </c>
      <c r="H7765" s="1" t="s">
        <v>3604</v>
      </c>
      <c r="I7765" s="1" t="s">
        <v>26298</v>
      </c>
      <c r="J7765" s="1" t="s">
        <v>3606</v>
      </c>
      <c r="K7765" s="1" t="s">
        <v>26277</v>
      </c>
      <c r="L7765" s="1"/>
      <c r="M7765" s="1"/>
    </row>
    <row x14ac:dyDescent="0.25" r="7766" customHeight="1" ht="18.75">
      <c r="A7766" s="1" t="s">
        <v>7833</v>
      </c>
      <c r="B7766" s="1" t="s">
        <v>7872</v>
      </c>
      <c r="C7766" s="1" t="s">
        <v>4488</v>
      </c>
      <c r="D7766" s="1" t="s">
        <v>7891</v>
      </c>
      <c r="E7766" s="1" t="s">
        <v>3981</v>
      </c>
      <c r="F7766" s="1" t="s">
        <v>26299</v>
      </c>
      <c r="G7766" s="1" t="s">
        <v>9746</v>
      </c>
      <c r="H7766" s="1" t="s">
        <v>3604</v>
      </c>
      <c r="I7766" s="1" t="s">
        <v>26300</v>
      </c>
      <c r="J7766" s="1" t="s">
        <v>3615</v>
      </c>
      <c r="K7766" s="1" t="s">
        <v>14529</v>
      </c>
      <c r="L7766" s="1"/>
      <c r="M7766" s="1"/>
    </row>
    <row x14ac:dyDescent="0.25" r="7767" customHeight="1" ht="18.75">
      <c r="A7767" s="1" t="s">
        <v>7833</v>
      </c>
      <c r="B7767" s="1" t="s">
        <v>7872</v>
      </c>
      <c r="C7767" s="1" t="s">
        <v>4488</v>
      </c>
      <c r="D7767" s="1" t="s">
        <v>7891</v>
      </c>
      <c r="E7767" s="1" t="s">
        <v>3664</v>
      </c>
      <c r="F7767" s="1" t="s">
        <v>26301</v>
      </c>
      <c r="G7767" s="1" t="s">
        <v>26302</v>
      </c>
      <c r="H7767" s="1" t="s">
        <v>3604</v>
      </c>
      <c r="I7767" s="1" t="s">
        <v>26303</v>
      </c>
      <c r="J7767" s="1" t="s">
        <v>3615</v>
      </c>
      <c r="K7767" s="1" t="s">
        <v>14529</v>
      </c>
      <c r="L7767" s="1"/>
      <c r="M7767" s="1"/>
    </row>
    <row x14ac:dyDescent="0.25" r="7768" customHeight="1" ht="18.75">
      <c r="A7768" s="1" t="s">
        <v>7833</v>
      </c>
      <c r="B7768" s="1" t="s">
        <v>7872</v>
      </c>
      <c r="C7768" s="1" t="s">
        <v>4488</v>
      </c>
      <c r="D7768" s="1" t="s">
        <v>7891</v>
      </c>
      <c r="E7768" s="1" t="s">
        <v>3664</v>
      </c>
      <c r="F7768" s="1" t="s">
        <v>26304</v>
      </c>
      <c r="G7768" s="1" t="s">
        <v>26302</v>
      </c>
      <c r="H7768" s="1" t="s">
        <v>3604</v>
      </c>
      <c r="I7768" s="1" t="s">
        <v>26305</v>
      </c>
      <c r="J7768" s="1" t="s">
        <v>3615</v>
      </c>
      <c r="K7768" s="1" t="s">
        <v>26277</v>
      </c>
      <c r="L7768" s="1"/>
      <c r="M7768" s="1"/>
    </row>
    <row x14ac:dyDescent="0.25" r="7769" customHeight="1" ht="18.75">
      <c r="A7769" s="1" t="s">
        <v>7833</v>
      </c>
      <c r="B7769" s="1" t="s">
        <v>7872</v>
      </c>
      <c r="C7769" s="1" t="s">
        <v>4488</v>
      </c>
      <c r="D7769" s="1" t="s">
        <v>7891</v>
      </c>
      <c r="E7769" s="1" t="s">
        <v>3981</v>
      </c>
      <c r="F7769" s="1" t="s">
        <v>26306</v>
      </c>
      <c r="G7769" s="1" t="s">
        <v>26307</v>
      </c>
      <c r="H7769" s="1" t="s">
        <v>3604</v>
      </c>
      <c r="I7769" s="1" t="s">
        <v>26308</v>
      </c>
      <c r="J7769" s="1" t="s">
        <v>3615</v>
      </c>
      <c r="K7769" s="1" t="s">
        <v>14919</v>
      </c>
      <c r="L7769" s="1"/>
      <c r="M7769" s="1"/>
    </row>
    <row x14ac:dyDescent="0.25" r="7770" customHeight="1" ht="18.75">
      <c r="A7770" s="1" t="s">
        <v>7833</v>
      </c>
      <c r="B7770" s="1" t="s">
        <v>7872</v>
      </c>
      <c r="C7770" s="1" t="s">
        <v>4488</v>
      </c>
      <c r="D7770" s="1" t="s">
        <v>7891</v>
      </c>
      <c r="E7770" s="1" t="s">
        <v>3981</v>
      </c>
      <c r="F7770" s="1" t="s">
        <v>26309</v>
      </c>
      <c r="G7770" s="1" t="s">
        <v>26307</v>
      </c>
      <c r="H7770" s="1" t="s">
        <v>3604</v>
      </c>
      <c r="I7770" s="1" t="s">
        <v>26310</v>
      </c>
      <c r="J7770" s="1" t="s">
        <v>3615</v>
      </c>
      <c r="K7770" s="1" t="s">
        <v>26311</v>
      </c>
      <c r="L7770" s="1"/>
      <c r="M7770" s="1"/>
    </row>
    <row x14ac:dyDescent="0.25" r="7771" customHeight="1" ht="18.75">
      <c r="A7771" s="1" t="s">
        <v>7833</v>
      </c>
      <c r="B7771" s="1" t="s">
        <v>7872</v>
      </c>
      <c r="C7771" s="1" t="s">
        <v>4488</v>
      </c>
      <c r="D7771" s="1" t="s">
        <v>7891</v>
      </c>
      <c r="E7771" s="1" t="s">
        <v>3981</v>
      </c>
      <c r="F7771" s="1" t="s">
        <v>26312</v>
      </c>
      <c r="G7771" s="1" t="s">
        <v>26313</v>
      </c>
      <c r="H7771" s="1" t="s">
        <v>3604</v>
      </c>
      <c r="I7771" s="1" t="s">
        <v>26314</v>
      </c>
      <c r="J7771" s="1" t="s">
        <v>3615</v>
      </c>
      <c r="K7771" s="1" t="s">
        <v>26311</v>
      </c>
      <c r="L7771" s="1"/>
      <c r="M7771" s="1"/>
    </row>
    <row x14ac:dyDescent="0.25" r="7772" customHeight="1" ht="18.75">
      <c r="A7772" s="1" t="s">
        <v>7833</v>
      </c>
      <c r="B7772" s="1" t="s">
        <v>14422</v>
      </c>
      <c r="C7772" s="1" t="s">
        <v>4488</v>
      </c>
      <c r="D7772" s="1" t="s">
        <v>7891</v>
      </c>
      <c r="E7772" s="1" t="s">
        <v>3664</v>
      </c>
      <c r="F7772" s="1" t="s">
        <v>26315</v>
      </c>
      <c r="G7772" s="1" t="s">
        <v>26316</v>
      </c>
      <c r="H7772" s="1" t="s">
        <v>3604</v>
      </c>
      <c r="I7772" s="1" t="s">
        <v>26317</v>
      </c>
      <c r="J7772" s="1" t="s">
        <v>3615</v>
      </c>
      <c r="K7772" s="1" t="s">
        <v>14529</v>
      </c>
      <c r="L7772" s="1"/>
      <c r="M7772" s="1"/>
    </row>
    <row x14ac:dyDescent="0.25" r="7773" customHeight="1" ht="18.75">
      <c r="A7773" s="1" t="s">
        <v>7833</v>
      </c>
      <c r="B7773" s="1" t="s">
        <v>14422</v>
      </c>
      <c r="C7773" s="1" t="s">
        <v>4488</v>
      </c>
      <c r="D7773" s="1" t="s">
        <v>7891</v>
      </c>
      <c r="E7773" s="1" t="s">
        <v>3981</v>
      </c>
      <c r="F7773" s="1" t="s">
        <v>26318</v>
      </c>
      <c r="G7773" s="1" t="s">
        <v>26319</v>
      </c>
      <c r="H7773" s="1" t="s">
        <v>3604</v>
      </c>
      <c r="I7773" s="1" t="s">
        <v>26320</v>
      </c>
      <c r="J7773" s="1" t="s">
        <v>3615</v>
      </c>
      <c r="K7773" s="1" t="s">
        <v>26311</v>
      </c>
      <c r="L7773" s="1"/>
      <c r="M7773" s="1"/>
    </row>
    <row x14ac:dyDescent="0.25" r="7774" customHeight="1" ht="18.75">
      <c r="A7774" s="1" t="s">
        <v>7833</v>
      </c>
      <c r="B7774" s="1" t="s">
        <v>14422</v>
      </c>
      <c r="C7774" s="1" t="s">
        <v>4488</v>
      </c>
      <c r="D7774" s="1" t="s">
        <v>7891</v>
      </c>
      <c r="E7774" s="1" t="s">
        <v>3981</v>
      </c>
      <c r="F7774" s="1" t="s">
        <v>26321</v>
      </c>
      <c r="G7774" s="1" t="s">
        <v>26319</v>
      </c>
      <c r="H7774" s="1" t="s">
        <v>3604</v>
      </c>
      <c r="I7774" s="1" t="s">
        <v>26322</v>
      </c>
      <c r="J7774" s="1" t="s">
        <v>3615</v>
      </c>
      <c r="K7774" s="1" t="s">
        <v>26323</v>
      </c>
      <c r="L7774" s="1"/>
      <c r="M7774" s="1"/>
    </row>
    <row x14ac:dyDescent="0.25" r="7775" customHeight="1" ht="18.75">
      <c r="A7775" s="1" t="s">
        <v>7833</v>
      </c>
      <c r="B7775" s="1" t="s">
        <v>8178</v>
      </c>
      <c r="C7775" s="1" t="s">
        <v>3619</v>
      </c>
      <c r="D7775" s="1" t="s">
        <v>7891</v>
      </c>
      <c r="E7775" s="1" t="s">
        <v>3664</v>
      </c>
      <c r="F7775" s="1" t="s">
        <v>26324</v>
      </c>
      <c r="G7775" s="1" t="s">
        <v>14913</v>
      </c>
      <c r="H7775" s="1" t="s">
        <v>3604</v>
      </c>
      <c r="I7775" s="1" t="s">
        <v>26325</v>
      </c>
      <c r="J7775" s="1" t="s">
        <v>3615</v>
      </c>
      <c r="K7775" s="1" t="s">
        <v>26277</v>
      </c>
      <c r="L7775" s="1"/>
      <c r="M7775" s="1"/>
    </row>
    <row x14ac:dyDescent="0.25" r="7776" customHeight="1" ht="18.75">
      <c r="A7776" s="1" t="s">
        <v>7833</v>
      </c>
      <c r="B7776" s="1" t="s">
        <v>8178</v>
      </c>
      <c r="C7776" s="1" t="s">
        <v>3619</v>
      </c>
      <c r="D7776" s="1" t="s">
        <v>7891</v>
      </c>
      <c r="E7776" s="1" t="s">
        <v>3664</v>
      </c>
      <c r="F7776" s="1" t="s">
        <v>26326</v>
      </c>
      <c r="G7776" s="1" t="s">
        <v>14913</v>
      </c>
      <c r="H7776" s="1" t="s">
        <v>3604</v>
      </c>
      <c r="I7776" s="1" t="s">
        <v>26327</v>
      </c>
      <c r="J7776" s="1" t="s">
        <v>3615</v>
      </c>
      <c r="K7776" s="1" t="s">
        <v>14529</v>
      </c>
      <c r="L7776" s="1"/>
      <c r="M7776" s="1"/>
    </row>
    <row x14ac:dyDescent="0.25" r="7777" customHeight="1" ht="18.75">
      <c r="A7777" s="1" t="s">
        <v>7833</v>
      </c>
      <c r="B7777" s="1" t="s">
        <v>8204</v>
      </c>
      <c r="C7777" s="1" t="s">
        <v>4488</v>
      </c>
      <c r="D7777" s="1" t="s">
        <v>7891</v>
      </c>
      <c r="E7777" s="1" t="s">
        <v>3664</v>
      </c>
      <c r="F7777" s="1" t="s">
        <v>26328</v>
      </c>
      <c r="G7777" s="1" t="s">
        <v>8206</v>
      </c>
      <c r="H7777" s="1" t="s">
        <v>3604</v>
      </c>
      <c r="I7777" s="1" t="s">
        <v>26329</v>
      </c>
      <c r="J7777" s="1" t="s">
        <v>3615</v>
      </c>
      <c r="K7777" s="1" t="s">
        <v>26277</v>
      </c>
      <c r="L7777" s="1"/>
      <c r="M7777" s="1"/>
    </row>
    <row x14ac:dyDescent="0.25" r="7778" customHeight="1" ht="18.75">
      <c r="A7778" s="1" t="s">
        <v>7833</v>
      </c>
      <c r="B7778" s="1" t="s">
        <v>8204</v>
      </c>
      <c r="C7778" s="1" t="s">
        <v>4488</v>
      </c>
      <c r="D7778" s="1" t="s">
        <v>7891</v>
      </c>
      <c r="E7778" s="1" t="s">
        <v>3664</v>
      </c>
      <c r="F7778" s="1" t="s">
        <v>26330</v>
      </c>
      <c r="G7778" s="1" t="s">
        <v>8206</v>
      </c>
      <c r="H7778" s="1" t="s">
        <v>3604</v>
      </c>
      <c r="I7778" s="1" t="s">
        <v>26331</v>
      </c>
      <c r="J7778" s="1" t="s">
        <v>3615</v>
      </c>
      <c r="K7778" s="1" t="s">
        <v>14529</v>
      </c>
      <c r="L7778" s="1"/>
      <c r="M7778" s="1"/>
    </row>
    <row x14ac:dyDescent="0.25" r="7779" customHeight="1" ht="18.75">
      <c r="A7779" s="1" t="s">
        <v>7833</v>
      </c>
      <c r="B7779" s="1" t="s">
        <v>8204</v>
      </c>
      <c r="C7779" s="1" t="s">
        <v>4488</v>
      </c>
      <c r="D7779" s="1" t="s">
        <v>7891</v>
      </c>
      <c r="E7779" s="1" t="s">
        <v>3664</v>
      </c>
      <c r="F7779" s="1" t="s">
        <v>26332</v>
      </c>
      <c r="G7779" s="1" t="s">
        <v>8216</v>
      </c>
      <c r="H7779" s="1" t="s">
        <v>3604</v>
      </c>
      <c r="I7779" s="1" t="s">
        <v>26333</v>
      </c>
      <c r="J7779" s="1" t="s">
        <v>3615</v>
      </c>
      <c r="K7779" s="1" t="s">
        <v>26277</v>
      </c>
      <c r="L7779" s="1"/>
      <c r="M7779" s="1"/>
    </row>
    <row x14ac:dyDescent="0.25" r="7780" customHeight="1" ht="18.75">
      <c r="A7780" s="1" t="s">
        <v>7833</v>
      </c>
      <c r="B7780" s="1" t="s">
        <v>8095</v>
      </c>
      <c r="C7780" s="1" t="s">
        <v>4488</v>
      </c>
      <c r="D7780" s="1" t="s">
        <v>7891</v>
      </c>
      <c r="E7780" s="1" t="s">
        <v>8096</v>
      </c>
      <c r="F7780" s="1" t="s">
        <v>26334</v>
      </c>
      <c r="G7780" s="1" t="s">
        <v>8170</v>
      </c>
      <c r="H7780" s="1" t="s">
        <v>3604</v>
      </c>
      <c r="I7780" s="1" t="s">
        <v>26335</v>
      </c>
      <c r="J7780" s="1" t="s">
        <v>3615</v>
      </c>
      <c r="K7780" s="1" t="s">
        <v>14529</v>
      </c>
      <c r="L7780" s="1"/>
      <c r="M7780" s="1"/>
    </row>
    <row x14ac:dyDescent="0.25" r="7781" customHeight="1" ht="18.75">
      <c r="A7781" s="1" t="s">
        <v>7833</v>
      </c>
      <c r="B7781" s="1" t="s">
        <v>8095</v>
      </c>
      <c r="C7781" s="1" t="s">
        <v>4488</v>
      </c>
      <c r="D7781" s="1" t="s">
        <v>7891</v>
      </c>
      <c r="E7781" s="1" t="s">
        <v>8096</v>
      </c>
      <c r="F7781" s="1" t="s">
        <v>26336</v>
      </c>
      <c r="G7781" s="1" t="s">
        <v>8170</v>
      </c>
      <c r="H7781" s="1" t="s">
        <v>3604</v>
      </c>
      <c r="I7781" s="1" t="s">
        <v>26337</v>
      </c>
      <c r="J7781" s="1" t="s">
        <v>3615</v>
      </c>
      <c r="K7781" s="1" t="s">
        <v>26277</v>
      </c>
      <c r="L7781" s="1"/>
      <c r="M7781" s="1"/>
    </row>
    <row x14ac:dyDescent="0.25" r="7782" customHeight="1" ht="18.75">
      <c r="A7782" s="1" t="s">
        <v>7833</v>
      </c>
      <c r="B7782" s="1" t="s">
        <v>8095</v>
      </c>
      <c r="C7782" s="1" t="s">
        <v>4488</v>
      </c>
      <c r="D7782" s="1" t="s">
        <v>7891</v>
      </c>
      <c r="E7782" s="1" t="s">
        <v>8096</v>
      </c>
      <c r="F7782" s="1" t="s">
        <v>26338</v>
      </c>
      <c r="G7782" s="1" t="s">
        <v>8863</v>
      </c>
      <c r="H7782" s="1" t="s">
        <v>3604</v>
      </c>
      <c r="I7782" s="1" t="s">
        <v>26339</v>
      </c>
      <c r="J7782" s="1" t="s">
        <v>3615</v>
      </c>
      <c r="K7782" s="1" t="s">
        <v>26277</v>
      </c>
      <c r="L7782" s="1"/>
      <c r="M7782" s="1"/>
    </row>
    <row x14ac:dyDescent="0.25" r="7783" customHeight="1" ht="18.75">
      <c r="A7783" s="1" t="s">
        <v>7833</v>
      </c>
      <c r="B7783" s="1" t="s">
        <v>8095</v>
      </c>
      <c r="C7783" s="1" t="s">
        <v>4488</v>
      </c>
      <c r="D7783" s="1" t="s">
        <v>7891</v>
      </c>
      <c r="E7783" s="1" t="s">
        <v>8096</v>
      </c>
      <c r="F7783" s="1" t="s">
        <v>26340</v>
      </c>
      <c r="G7783" s="1" t="s">
        <v>8163</v>
      </c>
      <c r="H7783" s="1" t="s">
        <v>3604</v>
      </c>
      <c r="I7783" s="1" t="s">
        <v>26341</v>
      </c>
      <c r="J7783" s="1" t="s">
        <v>3615</v>
      </c>
      <c r="K7783" s="1" t="s">
        <v>14529</v>
      </c>
      <c r="L7783" s="1"/>
      <c r="M7783" s="1"/>
    </row>
    <row x14ac:dyDescent="0.25" r="7784" customHeight="1" ht="18.75">
      <c r="A7784" s="1" t="s">
        <v>7833</v>
      </c>
      <c r="B7784" s="1" t="s">
        <v>8095</v>
      </c>
      <c r="C7784" s="1" t="s">
        <v>4488</v>
      </c>
      <c r="D7784" s="1" t="s">
        <v>7891</v>
      </c>
      <c r="E7784" s="1" t="s">
        <v>8096</v>
      </c>
      <c r="F7784" s="1" t="s">
        <v>26342</v>
      </c>
      <c r="G7784" s="1" t="s">
        <v>8163</v>
      </c>
      <c r="H7784" s="1" t="s">
        <v>3604</v>
      </c>
      <c r="I7784" s="1" t="s">
        <v>26343</v>
      </c>
      <c r="J7784" s="1" t="s">
        <v>3615</v>
      </c>
      <c r="K7784" s="1" t="s">
        <v>26277</v>
      </c>
      <c r="L7784" s="1"/>
      <c r="M7784" s="1"/>
    </row>
    <row x14ac:dyDescent="0.25" r="7785" customHeight="1" ht="18.75">
      <c r="A7785" s="1" t="s">
        <v>7833</v>
      </c>
      <c r="B7785" s="1" t="s">
        <v>8258</v>
      </c>
      <c r="C7785" s="1" t="s">
        <v>4488</v>
      </c>
      <c r="D7785" s="1" t="s">
        <v>7891</v>
      </c>
      <c r="E7785" s="1" t="s">
        <v>3664</v>
      </c>
      <c r="F7785" s="1" t="s">
        <v>26344</v>
      </c>
      <c r="G7785" s="1" t="s">
        <v>26345</v>
      </c>
      <c r="H7785" s="1" t="s">
        <v>3604</v>
      </c>
      <c r="I7785" s="1" t="s">
        <v>26346</v>
      </c>
      <c r="J7785" s="1" t="s">
        <v>3615</v>
      </c>
      <c r="K7785" s="1" t="s">
        <v>26282</v>
      </c>
      <c r="L7785" s="1"/>
      <c r="M7785" s="1"/>
    </row>
    <row x14ac:dyDescent="0.25" r="7786" customHeight="1" ht="18.75">
      <c r="A7786" s="1" t="s">
        <v>7833</v>
      </c>
      <c r="B7786" s="1" t="s">
        <v>8258</v>
      </c>
      <c r="C7786" s="1" t="s">
        <v>4488</v>
      </c>
      <c r="D7786" s="1" t="s">
        <v>7891</v>
      </c>
      <c r="E7786" s="1" t="s">
        <v>3664</v>
      </c>
      <c r="F7786" s="1" t="s">
        <v>26347</v>
      </c>
      <c r="G7786" s="1" t="s">
        <v>26345</v>
      </c>
      <c r="H7786" s="1" t="s">
        <v>3604</v>
      </c>
      <c r="I7786" s="1" t="s">
        <v>26348</v>
      </c>
      <c r="J7786" s="1" t="s">
        <v>3615</v>
      </c>
      <c r="K7786" s="1" t="s">
        <v>14529</v>
      </c>
      <c r="L7786" s="1"/>
      <c r="M7786" s="1"/>
    </row>
    <row x14ac:dyDescent="0.25" r="7787" customHeight="1" ht="18.75">
      <c r="A7787" s="1" t="s">
        <v>7833</v>
      </c>
      <c r="B7787" s="1" t="s">
        <v>8258</v>
      </c>
      <c r="C7787" s="1" t="s">
        <v>4488</v>
      </c>
      <c r="D7787" s="1" t="s">
        <v>7891</v>
      </c>
      <c r="E7787" s="1" t="s">
        <v>3981</v>
      </c>
      <c r="F7787" s="1" t="s">
        <v>26349</v>
      </c>
      <c r="G7787" s="1" t="s">
        <v>14553</v>
      </c>
      <c r="H7787" s="1" t="s">
        <v>3604</v>
      </c>
      <c r="I7787" s="1" t="s">
        <v>26350</v>
      </c>
      <c r="J7787" s="1" t="s">
        <v>3615</v>
      </c>
      <c r="K7787" s="1" t="s">
        <v>26323</v>
      </c>
      <c r="L7787" s="1"/>
      <c r="M7787" s="1"/>
    </row>
    <row x14ac:dyDescent="0.25" r="7788" customHeight="1" ht="18.75">
      <c r="A7788" s="1" t="s">
        <v>7833</v>
      </c>
      <c r="B7788" s="1" t="s">
        <v>8258</v>
      </c>
      <c r="C7788" s="1" t="s">
        <v>4488</v>
      </c>
      <c r="D7788" s="1" t="s">
        <v>7891</v>
      </c>
      <c r="E7788" s="1" t="s">
        <v>3981</v>
      </c>
      <c r="F7788" s="1" t="s">
        <v>26351</v>
      </c>
      <c r="G7788" s="1" t="s">
        <v>14553</v>
      </c>
      <c r="H7788" s="1" t="s">
        <v>3604</v>
      </c>
      <c r="I7788" s="1" t="s">
        <v>26352</v>
      </c>
      <c r="J7788" s="1" t="s">
        <v>3615</v>
      </c>
      <c r="K7788" s="1" t="s">
        <v>26311</v>
      </c>
      <c r="L7788" s="1"/>
      <c r="M7788" s="1"/>
    </row>
    <row x14ac:dyDescent="0.25" r="7789" customHeight="1" ht="18.75">
      <c r="A7789" s="1" t="s">
        <v>7833</v>
      </c>
      <c r="B7789" s="1" t="s">
        <v>9837</v>
      </c>
      <c r="C7789" s="1" t="s">
        <v>4488</v>
      </c>
      <c r="D7789" s="1" t="s">
        <v>7891</v>
      </c>
      <c r="E7789" s="1" t="s">
        <v>3752</v>
      </c>
      <c r="F7789" s="1" t="s">
        <v>26353</v>
      </c>
      <c r="G7789" s="1" t="s">
        <v>26354</v>
      </c>
      <c r="H7789" s="1" t="s">
        <v>3604</v>
      </c>
      <c r="I7789" s="1" t="s">
        <v>26355</v>
      </c>
      <c r="J7789" s="1" t="s">
        <v>3615</v>
      </c>
      <c r="K7789" s="1" t="s">
        <v>26323</v>
      </c>
      <c r="L7789" s="1"/>
      <c r="M7789" s="1"/>
    </row>
    <row x14ac:dyDescent="0.25" r="7790" customHeight="1" ht="18.75">
      <c r="A7790" s="1" t="s">
        <v>7833</v>
      </c>
      <c r="B7790" s="1" t="s">
        <v>7877</v>
      </c>
      <c r="C7790" s="1" t="s">
        <v>4488</v>
      </c>
      <c r="D7790" s="1" t="s">
        <v>7891</v>
      </c>
      <c r="E7790" s="1" t="s">
        <v>3664</v>
      </c>
      <c r="F7790" s="1" t="s">
        <v>26356</v>
      </c>
      <c r="G7790" s="1" t="s">
        <v>23776</v>
      </c>
      <c r="H7790" s="1" t="s">
        <v>3604</v>
      </c>
      <c r="I7790" s="1" t="s">
        <v>26357</v>
      </c>
      <c r="J7790" s="1" t="s">
        <v>3615</v>
      </c>
      <c r="K7790" s="1" t="s">
        <v>14529</v>
      </c>
      <c r="L7790" s="1"/>
      <c r="M7790" s="1"/>
    </row>
    <row x14ac:dyDescent="0.25" r="7791" customHeight="1" ht="18.75">
      <c r="A7791" s="1" t="s">
        <v>7833</v>
      </c>
      <c r="B7791" s="1" t="s">
        <v>7877</v>
      </c>
      <c r="C7791" s="1" t="s">
        <v>4488</v>
      </c>
      <c r="D7791" s="1" t="s">
        <v>7891</v>
      </c>
      <c r="E7791" s="1" t="s">
        <v>3664</v>
      </c>
      <c r="F7791" s="1" t="s">
        <v>26358</v>
      </c>
      <c r="G7791" s="1" t="s">
        <v>23776</v>
      </c>
      <c r="H7791" s="1" t="s">
        <v>3604</v>
      </c>
      <c r="I7791" s="1" t="s">
        <v>26359</v>
      </c>
      <c r="J7791" s="1" t="s">
        <v>3615</v>
      </c>
      <c r="K7791" s="1" t="s">
        <v>26277</v>
      </c>
      <c r="L7791" s="1"/>
      <c r="M7791" s="1"/>
    </row>
    <row x14ac:dyDescent="0.25" r="7792" customHeight="1" ht="18.75">
      <c r="A7792" s="1" t="s">
        <v>7833</v>
      </c>
      <c r="B7792" s="1" t="s">
        <v>15046</v>
      </c>
      <c r="C7792" s="1" t="s">
        <v>4488</v>
      </c>
      <c r="D7792" s="1" t="s">
        <v>7891</v>
      </c>
      <c r="E7792" s="1" t="s">
        <v>3664</v>
      </c>
      <c r="F7792" s="1" t="s">
        <v>26360</v>
      </c>
      <c r="G7792" s="1" t="s">
        <v>15047</v>
      </c>
      <c r="H7792" s="1" t="s">
        <v>3604</v>
      </c>
      <c r="I7792" s="1" t="s">
        <v>26361</v>
      </c>
      <c r="J7792" s="1" t="s">
        <v>3615</v>
      </c>
      <c r="K7792" s="1" t="s">
        <v>26282</v>
      </c>
      <c r="L7792" s="1"/>
      <c r="M7792" s="1"/>
    </row>
    <row x14ac:dyDescent="0.25" r="7793" customHeight="1" ht="18.75">
      <c r="A7793" s="1" t="s">
        <v>7833</v>
      </c>
      <c r="B7793" s="1" t="s">
        <v>15046</v>
      </c>
      <c r="C7793" s="1" t="s">
        <v>4488</v>
      </c>
      <c r="D7793" s="1" t="s">
        <v>7891</v>
      </c>
      <c r="E7793" s="1" t="s">
        <v>3664</v>
      </c>
      <c r="F7793" s="1" t="s">
        <v>26362</v>
      </c>
      <c r="G7793" s="1" t="s">
        <v>15047</v>
      </c>
      <c r="H7793" s="1" t="s">
        <v>3604</v>
      </c>
      <c r="I7793" s="1" t="s">
        <v>26363</v>
      </c>
      <c r="J7793" s="1" t="s">
        <v>3615</v>
      </c>
      <c r="K7793" s="1" t="s">
        <v>26277</v>
      </c>
      <c r="L7793" s="1"/>
      <c r="M7793" s="1"/>
    </row>
    <row x14ac:dyDescent="0.25" r="7794" customHeight="1" ht="18.75">
      <c r="A7794" s="1" t="s">
        <v>7833</v>
      </c>
      <c r="B7794" s="1" t="s">
        <v>15046</v>
      </c>
      <c r="C7794" s="1" t="s">
        <v>4488</v>
      </c>
      <c r="D7794" s="1" t="s">
        <v>7891</v>
      </c>
      <c r="E7794" s="1" t="s">
        <v>3664</v>
      </c>
      <c r="F7794" s="1" t="s">
        <v>26364</v>
      </c>
      <c r="G7794" s="1" t="s">
        <v>15047</v>
      </c>
      <c r="H7794" s="1" t="s">
        <v>3604</v>
      </c>
      <c r="I7794" s="1" t="s">
        <v>26365</v>
      </c>
      <c r="J7794" s="1" t="s">
        <v>3615</v>
      </c>
      <c r="K7794" s="1" t="s">
        <v>14529</v>
      </c>
      <c r="L7794" s="1"/>
      <c r="M7794" s="1"/>
    </row>
    <row x14ac:dyDescent="0.25" r="7795" customHeight="1" ht="18.75">
      <c r="A7795" s="1" t="s">
        <v>7833</v>
      </c>
      <c r="B7795" s="1" t="s">
        <v>15046</v>
      </c>
      <c r="C7795" s="1" t="s">
        <v>4488</v>
      </c>
      <c r="D7795" s="1" t="s">
        <v>7891</v>
      </c>
      <c r="E7795" s="1" t="s">
        <v>3664</v>
      </c>
      <c r="F7795" s="1" t="s">
        <v>26366</v>
      </c>
      <c r="G7795" s="1" t="s">
        <v>15047</v>
      </c>
      <c r="H7795" s="1" t="s">
        <v>3604</v>
      </c>
      <c r="I7795" s="1" t="s">
        <v>26367</v>
      </c>
      <c r="J7795" s="1" t="s">
        <v>3615</v>
      </c>
      <c r="K7795" s="1" t="s">
        <v>26277</v>
      </c>
      <c r="L7795" s="1"/>
      <c r="M7795" s="1"/>
    </row>
    <row x14ac:dyDescent="0.25" r="7796" customHeight="1" ht="18.75">
      <c r="A7796" s="1" t="s">
        <v>7833</v>
      </c>
      <c r="B7796" s="1" t="s">
        <v>14264</v>
      </c>
      <c r="C7796" s="1" t="s">
        <v>4488</v>
      </c>
      <c r="D7796" s="1" t="s">
        <v>7891</v>
      </c>
      <c r="E7796" s="1" t="s">
        <v>3664</v>
      </c>
      <c r="F7796" s="1" t="s">
        <v>26368</v>
      </c>
      <c r="G7796" s="1" t="s">
        <v>20806</v>
      </c>
      <c r="H7796" s="1" t="s">
        <v>3604</v>
      </c>
      <c r="I7796" s="1" t="s">
        <v>26369</v>
      </c>
      <c r="J7796" s="1" t="s">
        <v>3606</v>
      </c>
      <c r="K7796" s="1" t="s">
        <v>14529</v>
      </c>
      <c r="L7796" s="1"/>
      <c r="M7796" s="1"/>
    </row>
    <row x14ac:dyDescent="0.25" r="7797" customHeight="1" ht="18.75">
      <c r="A7797" s="1" t="s">
        <v>7833</v>
      </c>
      <c r="B7797" s="1" t="s">
        <v>14264</v>
      </c>
      <c r="C7797" s="1" t="s">
        <v>4488</v>
      </c>
      <c r="D7797" s="1" t="s">
        <v>7891</v>
      </c>
      <c r="E7797" s="1" t="s">
        <v>3664</v>
      </c>
      <c r="F7797" s="1" t="s">
        <v>26370</v>
      </c>
      <c r="G7797" s="1" t="s">
        <v>20806</v>
      </c>
      <c r="H7797" s="1" t="s">
        <v>3604</v>
      </c>
      <c r="I7797" s="1" t="s">
        <v>26371</v>
      </c>
      <c r="J7797" s="1" t="s">
        <v>3606</v>
      </c>
      <c r="K7797" s="1" t="s">
        <v>26277</v>
      </c>
      <c r="L7797" s="1"/>
      <c r="M7797" s="1"/>
    </row>
    <row x14ac:dyDescent="0.25" r="7798" customHeight="1" ht="18.75">
      <c r="A7798" s="1" t="s">
        <v>7833</v>
      </c>
      <c r="B7798" s="1" t="s">
        <v>14264</v>
      </c>
      <c r="C7798" s="1" t="s">
        <v>4488</v>
      </c>
      <c r="D7798" s="1" t="s">
        <v>7891</v>
      </c>
      <c r="E7798" s="1" t="s">
        <v>3664</v>
      </c>
      <c r="F7798" s="1" t="s">
        <v>26372</v>
      </c>
      <c r="G7798" s="1" t="s">
        <v>20808</v>
      </c>
      <c r="H7798" s="1" t="s">
        <v>3604</v>
      </c>
      <c r="I7798" s="1" t="s">
        <v>26373</v>
      </c>
      <c r="J7798" s="1" t="s">
        <v>3606</v>
      </c>
      <c r="K7798" s="1" t="s">
        <v>26282</v>
      </c>
      <c r="L7798" s="1"/>
      <c r="M7798" s="1"/>
    </row>
    <row x14ac:dyDescent="0.25" r="7799" customHeight="1" ht="18.75">
      <c r="A7799" s="1" t="s">
        <v>7833</v>
      </c>
      <c r="B7799" s="1" t="s">
        <v>14264</v>
      </c>
      <c r="C7799" s="1" t="s">
        <v>4488</v>
      </c>
      <c r="D7799" s="1" t="s">
        <v>7891</v>
      </c>
      <c r="E7799" s="1" t="s">
        <v>3664</v>
      </c>
      <c r="F7799" s="1" t="s">
        <v>26374</v>
      </c>
      <c r="G7799" s="1" t="s">
        <v>14265</v>
      </c>
      <c r="H7799" s="1" t="s">
        <v>3604</v>
      </c>
      <c r="I7799" s="1" t="s">
        <v>26375</v>
      </c>
      <c r="J7799" s="1" t="s">
        <v>3606</v>
      </c>
      <c r="K7799" s="1" t="s">
        <v>26282</v>
      </c>
      <c r="L7799" s="1"/>
      <c r="M7799" s="1"/>
    </row>
    <row x14ac:dyDescent="0.25" r="7800" customHeight="1" ht="18.75">
      <c r="A7800" s="1" t="s">
        <v>7833</v>
      </c>
      <c r="B7800" s="1" t="s">
        <v>7872</v>
      </c>
      <c r="C7800" s="1" t="s">
        <v>4488</v>
      </c>
      <c r="D7800" s="1" t="s">
        <v>7891</v>
      </c>
      <c r="E7800" s="1" t="s">
        <v>3981</v>
      </c>
      <c r="F7800" s="1" t="s">
        <v>26376</v>
      </c>
      <c r="G7800" s="1" t="s">
        <v>9742</v>
      </c>
      <c r="H7800" s="1" t="s">
        <v>3604</v>
      </c>
      <c r="I7800" s="1" t="s">
        <v>26377</v>
      </c>
      <c r="J7800" s="1" t="s">
        <v>3615</v>
      </c>
      <c r="K7800" s="1" t="s">
        <v>14529</v>
      </c>
      <c r="L7800" s="1"/>
      <c r="M7800" s="1"/>
    </row>
    <row x14ac:dyDescent="0.25" r="7801" customHeight="1" ht="18.75">
      <c r="A7801" s="1" t="s">
        <v>7833</v>
      </c>
      <c r="B7801" s="1" t="s">
        <v>7872</v>
      </c>
      <c r="C7801" s="1" t="s">
        <v>4488</v>
      </c>
      <c r="D7801" s="1" t="s">
        <v>7891</v>
      </c>
      <c r="E7801" s="1" t="s">
        <v>3664</v>
      </c>
      <c r="F7801" s="1" t="s">
        <v>26378</v>
      </c>
      <c r="G7801" s="1" t="s">
        <v>9746</v>
      </c>
      <c r="H7801" s="1" t="s">
        <v>3604</v>
      </c>
      <c r="I7801" s="1" t="s">
        <v>26379</v>
      </c>
      <c r="J7801" s="1" t="s">
        <v>3615</v>
      </c>
      <c r="K7801" s="1" t="s">
        <v>14529</v>
      </c>
      <c r="L7801" s="1"/>
      <c r="M7801" s="1"/>
    </row>
    <row x14ac:dyDescent="0.25" r="7802" customHeight="1" ht="18.75">
      <c r="A7802" s="1" t="s">
        <v>7833</v>
      </c>
      <c r="B7802" s="1" t="s">
        <v>7872</v>
      </c>
      <c r="C7802" s="1" t="s">
        <v>4488</v>
      </c>
      <c r="D7802" s="1" t="s">
        <v>7891</v>
      </c>
      <c r="E7802" s="1" t="s">
        <v>3981</v>
      </c>
      <c r="F7802" s="1" t="s">
        <v>26380</v>
      </c>
      <c r="G7802" s="1" t="s">
        <v>26307</v>
      </c>
      <c r="H7802" s="1" t="s">
        <v>3604</v>
      </c>
      <c r="I7802" s="1" t="s">
        <v>26381</v>
      </c>
      <c r="J7802" s="1" t="s">
        <v>3615</v>
      </c>
      <c r="K7802" s="1" t="s">
        <v>26323</v>
      </c>
      <c r="L7802" s="1"/>
      <c r="M7802" s="1"/>
    </row>
    <row x14ac:dyDescent="0.25" r="7803" customHeight="1" ht="18.75">
      <c r="A7803" s="1" t="s">
        <v>7833</v>
      </c>
      <c r="B7803" s="1" t="s">
        <v>14264</v>
      </c>
      <c r="C7803" s="1" t="s">
        <v>4488</v>
      </c>
      <c r="D7803" s="1" t="s">
        <v>7891</v>
      </c>
      <c r="E7803" s="1" t="s">
        <v>3664</v>
      </c>
      <c r="F7803" s="1" t="s">
        <v>26382</v>
      </c>
      <c r="G7803" s="1" t="s">
        <v>14265</v>
      </c>
      <c r="H7803" s="1" t="s">
        <v>3604</v>
      </c>
      <c r="I7803" s="1" t="s">
        <v>26383</v>
      </c>
      <c r="J7803" s="1" t="s">
        <v>3606</v>
      </c>
      <c r="K7803" s="1" t="s">
        <v>14529</v>
      </c>
      <c r="L7803" s="1"/>
      <c r="M7803" s="1"/>
    </row>
    <row x14ac:dyDescent="0.25" r="7804" customHeight="1" ht="18.75">
      <c r="A7804" s="1" t="s">
        <v>7833</v>
      </c>
      <c r="B7804" s="1" t="s">
        <v>7872</v>
      </c>
      <c r="C7804" s="1" t="s">
        <v>4488</v>
      </c>
      <c r="D7804" s="1" t="s">
        <v>7891</v>
      </c>
      <c r="E7804" s="1" t="s">
        <v>3664</v>
      </c>
      <c r="F7804" s="1" t="s">
        <v>26384</v>
      </c>
      <c r="G7804" s="1" t="s">
        <v>26302</v>
      </c>
      <c r="H7804" s="1" t="s">
        <v>3604</v>
      </c>
      <c r="I7804" s="1" t="s">
        <v>26385</v>
      </c>
      <c r="J7804" s="1" t="s">
        <v>3615</v>
      </c>
      <c r="K7804" s="1" t="s">
        <v>26282</v>
      </c>
      <c r="L7804" s="1"/>
      <c r="M7804" s="1"/>
    </row>
    <row x14ac:dyDescent="0.25" r="7805" customHeight="1" ht="18.75">
      <c r="A7805" s="1" t="s">
        <v>7833</v>
      </c>
      <c r="B7805" s="1" t="s">
        <v>14422</v>
      </c>
      <c r="C7805" s="1" t="s">
        <v>4488</v>
      </c>
      <c r="D7805" s="1" t="s">
        <v>7891</v>
      </c>
      <c r="E7805" s="1" t="s">
        <v>3981</v>
      </c>
      <c r="F7805" s="1" t="s">
        <v>26386</v>
      </c>
      <c r="G7805" s="1" t="s">
        <v>26319</v>
      </c>
      <c r="H7805" s="1" t="s">
        <v>3604</v>
      </c>
      <c r="I7805" s="1" t="s">
        <v>26387</v>
      </c>
      <c r="J7805" s="1" t="s">
        <v>3615</v>
      </c>
      <c r="K7805" s="1" t="s">
        <v>14919</v>
      </c>
      <c r="L7805" s="1"/>
      <c r="M7805" s="1"/>
    </row>
    <row x14ac:dyDescent="0.25" r="7806" customHeight="1" ht="18.75">
      <c r="A7806" s="1" t="s">
        <v>7833</v>
      </c>
      <c r="B7806" s="1" t="s">
        <v>25130</v>
      </c>
      <c r="C7806" s="1" t="s">
        <v>4488</v>
      </c>
      <c r="D7806" s="1" t="s">
        <v>7891</v>
      </c>
      <c r="E7806" s="1" t="s">
        <v>3664</v>
      </c>
      <c r="F7806" s="1" t="s">
        <v>26388</v>
      </c>
      <c r="G7806" s="1" t="s">
        <v>26389</v>
      </c>
      <c r="H7806" s="1" t="s">
        <v>3604</v>
      </c>
      <c r="I7806" s="1" t="s">
        <v>26390</v>
      </c>
      <c r="J7806" s="1" t="s">
        <v>3615</v>
      </c>
      <c r="K7806" s="1" t="s">
        <v>14529</v>
      </c>
      <c r="L7806" s="1"/>
      <c r="M7806" s="1"/>
    </row>
    <row x14ac:dyDescent="0.25" r="7807" customHeight="1" ht="18.75">
      <c r="A7807" s="1" t="s">
        <v>7833</v>
      </c>
      <c r="B7807" s="1" t="s">
        <v>7872</v>
      </c>
      <c r="C7807" s="1" t="s">
        <v>4488</v>
      </c>
      <c r="D7807" s="1" t="s">
        <v>7891</v>
      </c>
      <c r="E7807" s="1" t="s">
        <v>3981</v>
      </c>
      <c r="F7807" s="1" t="s">
        <v>26391</v>
      </c>
      <c r="G7807" s="1" t="s">
        <v>26313</v>
      </c>
      <c r="H7807" s="1" t="s">
        <v>3604</v>
      </c>
      <c r="I7807" s="1" t="s">
        <v>26392</v>
      </c>
      <c r="J7807" s="1" t="s">
        <v>3615</v>
      </c>
      <c r="K7807" s="1" t="s">
        <v>26323</v>
      </c>
      <c r="L7807" s="1"/>
      <c r="M7807" s="1"/>
    </row>
    <row x14ac:dyDescent="0.25" r="7808" customHeight="1" ht="18.75">
      <c r="A7808" s="1" t="s">
        <v>7833</v>
      </c>
      <c r="B7808" s="1" t="s">
        <v>8178</v>
      </c>
      <c r="C7808" s="1" t="s">
        <v>3619</v>
      </c>
      <c r="D7808" s="1" t="s">
        <v>7891</v>
      </c>
      <c r="E7808" s="1" t="s">
        <v>3664</v>
      </c>
      <c r="F7808" s="1" t="s">
        <v>26393</v>
      </c>
      <c r="G7808" s="1" t="s">
        <v>14913</v>
      </c>
      <c r="H7808" s="1" t="s">
        <v>3604</v>
      </c>
      <c r="I7808" s="1" t="s">
        <v>26394</v>
      </c>
      <c r="J7808" s="1" t="s">
        <v>3615</v>
      </c>
      <c r="K7808" s="1" t="s">
        <v>26282</v>
      </c>
      <c r="L7808" s="1"/>
      <c r="M7808" s="1"/>
    </row>
    <row x14ac:dyDescent="0.25" r="7809" customHeight="1" ht="18.75">
      <c r="A7809" s="1" t="s">
        <v>7833</v>
      </c>
      <c r="B7809" s="1" t="s">
        <v>8204</v>
      </c>
      <c r="C7809" s="1" t="s">
        <v>4488</v>
      </c>
      <c r="D7809" s="1" t="s">
        <v>7891</v>
      </c>
      <c r="E7809" s="1" t="s">
        <v>3664</v>
      </c>
      <c r="F7809" s="1" t="s">
        <v>26395</v>
      </c>
      <c r="G7809" s="1" t="s">
        <v>8216</v>
      </c>
      <c r="H7809" s="1" t="s">
        <v>3604</v>
      </c>
      <c r="I7809" s="1" t="s">
        <v>26396</v>
      </c>
      <c r="J7809" s="1" t="s">
        <v>3615</v>
      </c>
      <c r="K7809" s="1" t="s">
        <v>14529</v>
      </c>
      <c r="L7809" s="1"/>
      <c r="M7809" s="1"/>
    </row>
    <row x14ac:dyDescent="0.25" r="7810" customHeight="1" ht="18.75">
      <c r="A7810" s="1" t="s">
        <v>7833</v>
      </c>
      <c r="B7810" s="1" t="s">
        <v>8204</v>
      </c>
      <c r="C7810" s="1" t="s">
        <v>4488</v>
      </c>
      <c r="D7810" s="1" t="s">
        <v>7891</v>
      </c>
      <c r="E7810" s="1" t="s">
        <v>3664</v>
      </c>
      <c r="F7810" s="1" t="s">
        <v>26397</v>
      </c>
      <c r="G7810" s="1" t="s">
        <v>8206</v>
      </c>
      <c r="H7810" s="1" t="s">
        <v>3604</v>
      </c>
      <c r="I7810" s="1" t="s">
        <v>26398</v>
      </c>
      <c r="J7810" s="1" t="s">
        <v>3615</v>
      </c>
      <c r="K7810" s="1" t="s">
        <v>26282</v>
      </c>
      <c r="L7810" s="1"/>
      <c r="M7810" s="1"/>
    </row>
    <row x14ac:dyDescent="0.25" r="7811" customHeight="1" ht="18.75">
      <c r="A7811" s="1" t="s">
        <v>7833</v>
      </c>
      <c r="B7811" s="1" t="s">
        <v>8095</v>
      </c>
      <c r="C7811" s="1" t="s">
        <v>4488</v>
      </c>
      <c r="D7811" s="1" t="s">
        <v>7891</v>
      </c>
      <c r="E7811" s="1" t="s">
        <v>8096</v>
      </c>
      <c r="F7811" s="1" t="s">
        <v>26399</v>
      </c>
      <c r="G7811" s="1" t="s">
        <v>8170</v>
      </c>
      <c r="H7811" s="1" t="s">
        <v>3604</v>
      </c>
      <c r="I7811" s="1" t="s">
        <v>26400</v>
      </c>
      <c r="J7811" s="1" t="s">
        <v>3615</v>
      </c>
      <c r="K7811" s="1" t="s">
        <v>26282</v>
      </c>
      <c r="L7811" s="1"/>
      <c r="M7811" s="1"/>
    </row>
    <row x14ac:dyDescent="0.25" r="7812" customHeight="1" ht="18.75">
      <c r="A7812" s="1" t="s">
        <v>7833</v>
      </c>
      <c r="B7812" s="1" t="s">
        <v>8095</v>
      </c>
      <c r="C7812" s="1" t="s">
        <v>4488</v>
      </c>
      <c r="D7812" s="1" t="s">
        <v>7891</v>
      </c>
      <c r="E7812" s="1" t="s">
        <v>8096</v>
      </c>
      <c r="F7812" s="1" t="s">
        <v>26401</v>
      </c>
      <c r="G7812" s="1" t="s">
        <v>8863</v>
      </c>
      <c r="H7812" s="1" t="s">
        <v>3604</v>
      </c>
      <c r="I7812" s="1" t="s">
        <v>26402</v>
      </c>
      <c r="J7812" s="1" t="s">
        <v>3615</v>
      </c>
      <c r="K7812" s="1" t="s">
        <v>14529</v>
      </c>
      <c r="L7812" s="1"/>
      <c r="M7812" s="1"/>
    </row>
    <row x14ac:dyDescent="0.25" r="7813" customHeight="1" ht="18.75">
      <c r="A7813" s="1" t="s">
        <v>7833</v>
      </c>
      <c r="B7813" s="1" t="s">
        <v>8095</v>
      </c>
      <c r="C7813" s="1" t="s">
        <v>4488</v>
      </c>
      <c r="D7813" s="1" t="s">
        <v>7891</v>
      </c>
      <c r="E7813" s="1" t="s">
        <v>8096</v>
      </c>
      <c r="F7813" s="1" t="s">
        <v>26403</v>
      </c>
      <c r="G7813" s="1" t="s">
        <v>8863</v>
      </c>
      <c r="H7813" s="1" t="s">
        <v>3604</v>
      </c>
      <c r="I7813" s="1" t="s">
        <v>26404</v>
      </c>
      <c r="J7813" s="1" t="s">
        <v>3615</v>
      </c>
      <c r="K7813" s="1" t="s">
        <v>26282</v>
      </c>
      <c r="L7813" s="1"/>
      <c r="M7813" s="1"/>
    </row>
    <row x14ac:dyDescent="0.25" r="7814" customHeight="1" ht="18.75">
      <c r="A7814" s="1" t="s">
        <v>7833</v>
      </c>
      <c r="B7814" s="1" t="s">
        <v>8095</v>
      </c>
      <c r="C7814" s="1" t="s">
        <v>4488</v>
      </c>
      <c r="D7814" s="1" t="s">
        <v>7891</v>
      </c>
      <c r="E7814" s="1" t="s">
        <v>8096</v>
      </c>
      <c r="F7814" s="1" t="s">
        <v>26405</v>
      </c>
      <c r="G7814" s="1" t="s">
        <v>8163</v>
      </c>
      <c r="H7814" s="1" t="s">
        <v>3604</v>
      </c>
      <c r="I7814" s="1" t="s">
        <v>26406</v>
      </c>
      <c r="J7814" s="1" t="s">
        <v>3615</v>
      </c>
      <c r="K7814" s="1" t="s">
        <v>26282</v>
      </c>
      <c r="L7814" s="1"/>
      <c r="M7814" s="1"/>
    </row>
    <row x14ac:dyDescent="0.25" r="7815" customHeight="1" ht="18.75">
      <c r="A7815" s="1" t="s">
        <v>7833</v>
      </c>
      <c r="B7815" s="1" t="s">
        <v>8306</v>
      </c>
      <c r="C7815" s="1" t="s">
        <v>4488</v>
      </c>
      <c r="D7815" s="1" t="s">
        <v>7891</v>
      </c>
      <c r="E7815" s="1" t="s">
        <v>3664</v>
      </c>
      <c r="F7815" s="1" t="s">
        <v>26407</v>
      </c>
      <c r="G7815" s="1" t="s">
        <v>13763</v>
      </c>
      <c r="H7815" s="1" t="s">
        <v>3604</v>
      </c>
      <c r="I7815" s="1" t="s">
        <v>26408</v>
      </c>
      <c r="J7815" s="1" t="s">
        <v>3606</v>
      </c>
      <c r="K7815" s="1" t="s">
        <v>14529</v>
      </c>
      <c r="L7815" s="1"/>
      <c r="M7815" s="1"/>
    </row>
    <row x14ac:dyDescent="0.25" r="7816" customHeight="1" ht="18.75">
      <c r="A7816" s="1" t="s">
        <v>7833</v>
      </c>
      <c r="B7816" s="1" t="s">
        <v>8258</v>
      </c>
      <c r="C7816" s="1" t="s">
        <v>4488</v>
      </c>
      <c r="D7816" s="1" t="s">
        <v>7891</v>
      </c>
      <c r="E7816" s="1" t="s">
        <v>3664</v>
      </c>
      <c r="F7816" s="1" t="s">
        <v>26409</v>
      </c>
      <c r="G7816" s="1" t="s">
        <v>26345</v>
      </c>
      <c r="H7816" s="1" t="s">
        <v>3604</v>
      </c>
      <c r="I7816" s="1" t="s">
        <v>26410</v>
      </c>
      <c r="J7816" s="1" t="s">
        <v>3615</v>
      </c>
      <c r="K7816" s="1" t="s">
        <v>26277</v>
      </c>
      <c r="L7816" s="1"/>
      <c r="M7816" s="1"/>
    </row>
    <row x14ac:dyDescent="0.25" r="7817" customHeight="1" ht="18.75">
      <c r="A7817" s="1" t="s">
        <v>7833</v>
      </c>
      <c r="B7817" s="1" t="s">
        <v>8258</v>
      </c>
      <c r="C7817" s="1" t="s">
        <v>4488</v>
      </c>
      <c r="D7817" s="1" t="s">
        <v>7891</v>
      </c>
      <c r="E7817" s="1" t="s">
        <v>3981</v>
      </c>
      <c r="F7817" s="1" t="s">
        <v>26411</v>
      </c>
      <c r="G7817" s="1" t="s">
        <v>14553</v>
      </c>
      <c r="H7817" s="1" t="s">
        <v>3604</v>
      </c>
      <c r="I7817" s="1" t="s">
        <v>26412</v>
      </c>
      <c r="J7817" s="1" t="s">
        <v>3615</v>
      </c>
      <c r="K7817" s="1" t="s">
        <v>14919</v>
      </c>
      <c r="L7817" s="1"/>
      <c r="M7817" s="1"/>
    </row>
    <row x14ac:dyDescent="0.25" r="7818" customHeight="1" ht="18.75">
      <c r="A7818" s="1" t="s">
        <v>7833</v>
      </c>
      <c r="B7818" s="1" t="s">
        <v>9837</v>
      </c>
      <c r="C7818" s="1" t="s">
        <v>4488</v>
      </c>
      <c r="D7818" s="1" t="s">
        <v>7891</v>
      </c>
      <c r="E7818" s="1" t="s">
        <v>3752</v>
      </c>
      <c r="F7818" s="1" t="s">
        <v>26413</v>
      </c>
      <c r="G7818" s="1" t="s">
        <v>26354</v>
      </c>
      <c r="H7818" s="1" t="s">
        <v>3604</v>
      </c>
      <c r="I7818" s="1" t="s">
        <v>26414</v>
      </c>
      <c r="J7818" s="1" t="s">
        <v>3615</v>
      </c>
      <c r="K7818" s="1" t="s">
        <v>14919</v>
      </c>
      <c r="L7818" s="1"/>
      <c r="M7818" s="1"/>
    </row>
    <row x14ac:dyDescent="0.25" r="7819" customHeight="1" ht="18.75">
      <c r="A7819" s="1" t="s">
        <v>7833</v>
      </c>
      <c r="B7819" s="1" t="s">
        <v>9837</v>
      </c>
      <c r="C7819" s="1" t="s">
        <v>4488</v>
      </c>
      <c r="D7819" s="1" t="s">
        <v>7891</v>
      </c>
      <c r="E7819" s="1" t="s">
        <v>3752</v>
      </c>
      <c r="F7819" s="1" t="s">
        <v>26415</v>
      </c>
      <c r="G7819" s="1" t="s">
        <v>26354</v>
      </c>
      <c r="H7819" s="1" t="s">
        <v>3604</v>
      </c>
      <c r="I7819" s="1" t="s">
        <v>26416</v>
      </c>
      <c r="J7819" s="1" t="s">
        <v>3615</v>
      </c>
      <c r="K7819" s="1" t="s">
        <v>26311</v>
      </c>
      <c r="L7819" s="1"/>
      <c r="M7819" s="1"/>
    </row>
    <row x14ac:dyDescent="0.25" r="7820" customHeight="1" ht="18.75">
      <c r="A7820" s="1" t="s">
        <v>7833</v>
      </c>
      <c r="B7820" s="1" t="s">
        <v>7877</v>
      </c>
      <c r="C7820" s="1" t="s">
        <v>4488</v>
      </c>
      <c r="D7820" s="1" t="s">
        <v>7891</v>
      </c>
      <c r="E7820" s="1" t="s">
        <v>3664</v>
      </c>
      <c r="F7820" s="1" t="s">
        <v>26417</v>
      </c>
      <c r="G7820" s="1" t="s">
        <v>23776</v>
      </c>
      <c r="H7820" s="1" t="s">
        <v>3604</v>
      </c>
      <c r="I7820" s="1" t="s">
        <v>26418</v>
      </c>
      <c r="J7820" s="1" t="s">
        <v>3615</v>
      </c>
      <c r="K7820" s="1" t="s">
        <v>26282</v>
      </c>
      <c r="L7820" s="1"/>
      <c r="M7820" s="1"/>
    </row>
    <row x14ac:dyDescent="0.25" r="7821" customHeight="1" ht="18.75">
      <c r="A7821" s="1" t="s">
        <v>7833</v>
      </c>
      <c r="B7821" s="1" t="s">
        <v>7877</v>
      </c>
      <c r="C7821" s="1" t="s">
        <v>4488</v>
      </c>
      <c r="D7821" s="1" t="s">
        <v>7891</v>
      </c>
      <c r="E7821" s="1" t="s">
        <v>3664</v>
      </c>
      <c r="F7821" s="1" t="s">
        <v>26419</v>
      </c>
      <c r="G7821" s="1" t="s">
        <v>26420</v>
      </c>
      <c r="H7821" s="1" t="s">
        <v>3604</v>
      </c>
      <c r="I7821" s="1" t="s">
        <v>26421</v>
      </c>
      <c r="J7821" s="1" t="s">
        <v>3615</v>
      </c>
      <c r="K7821" s="1" t="s">
        <v>14529</v>
      </c>
      <c r="L7821" s="1"/>
      <c r="M7821" s="1"/>
    </row>
    <row x14ac:dyDescent="0.25" r="7822" customHeight="1" ht="18.75">
      <c r="A7822" s="1" t="s">
        <v>7833</v>
      </c>
      <c r="B7822" s="1" t="s">
        <v>15046</v>
      </c>
      <c r="C7822" s="1" t="s">
        <v>4488</v>
      </c>
      <c r="D7822" s="1" t="s">
        <v>7891</v>
      </c>
      <c r="E7822" s="1" t="s">
        <v>3664</v>
      </c>
      <c r="F7822" s="1" t="s">
        <v>26422</v>
      </c>
      <c r="G7822" s="1" t="s">
        <v>15047</v>
      </c>
      <c r="H7822" s="1" t="s">
        <v>3604</v>
      </c>
      <c r="I7822" s="1" t="s">
        <v>26423</v>
      </c>
      <c r="J7822" s="1" t="s">
        <v>3615</v>
      </c>
      <c r="K7822" s="1" t="s">
        <v>14529</v>
      </c>
      <c r="L7822" s="1"/>
      <c r="M7822" s="1"/>
    </row>
    <row x14ac:dyDescent="0.25" r="7823" customHeight="1" ht="18.75">
      <c r="A7823" s="1" t="s">
        <v>7833</v>
      </c>
      <c r="B7823" s="1" t="s">
        <v>15046</v>
      </c>
      <c r="C7823" s="1" t="s">
        <v>4488</v>
      </c>
      <c r="D7823" s="1" t="s">
        <v>7891</v>
      </c>
      <c r="E7823" s="1" t="s">
        <v>3664</v>
      </c>
      <c r="F7823" s="1" t="s">
        <v>26424</v>
      </c>
      <c r="G7823" s="1" t="s">
        <v>15047</v>
      </c>
      <c r="H7823" s="1" t="s">
        <v>3604</v>
      </c>
      <c r="I7823" s="1" t="s">
        <v>26425</v>
      </c>
      <c r="J7823" s="1" t="s">
        <v>3615</v>
      </c>
      <c r="K7823" s="1" t="s">
        <v>26282</v>
      </c>
      <c r="L7823" s="1"/>
      <c r="M7823" s="1"/>
    </row>
    <row x14ac:dyDescent="0.25" r="7824" customHeight="1" ht="18.75">
      <c r="A7824" s="1" t="s">
        <v>7833</v>
      </c>
      <c r="B7824" s="1" t="s">
        <v>15041</v>
      </c>
      <c r="C7824" s="1" t="s">
        <v>3619</v>
      </c>
      <c r="D7824" s="1" t="s">
        <v>3695</v>
      </c>
      <c r="E7824" s="1" t="s">
        <v>3664</v>
      </c>
      <c r="F7824" s="1" t="s">
        <v>26426</v>
      </c>
      <c r="G7824" s="1" t="s">
        <v>26427</v>
      </c>
      <c r="H7824" s="1" t="s">
        <v>3604</v>
      </c>
      <c r="I7824" s="1" t="s">
        <v>26428</v>
      </c>
      <c r="J7824" s="1" t="s">
        <v>3615</v>
      </c>
      <c r="K7824" s="1" t="s">
        <v>26429</v>
      </c>
      <c r="L7824" s="1"/>
      <c r="M7824" s="1"/>
    </row>
    <row x14ac:dyDescent="0.25" r="7825" customHeight="1" ht="18.75">
      <c r="A7825" s="1" t="s">
        <v>7833</v>
      </c>
      <c r="B7825" s="1" t="s">
        <v>15041</v>
      </c>
      <c r="C7825" s="1" t="s">
        <v>3619</v>
      </c>
      <c r="D7825" s="1" t="s">
        <v>3695</v>
      </c>
      <c r="E7825" s="1" t="s">
        <v>3664</v>
      </c>
      <c r="F7825" s="1" t="s">
        <v>26430</v>
      </c>
      <c r="G7825" s="1" t="s">
        <v>26427</v>
      </c>
      <c r="H7825" s="1" t="s">
        <v>3604</v>
      </c>
      <c r="I7825" s="1" t="s">
        <v>26431</v>
      </c>
      <c r="J7825" s="1" t="s">
        <v>3615</v>
      </c>
      <c r="K7825" s="1" t="s">
        <v>26432</v>
      </c>
      <c r="L7825" s="1"/>
      <c r="M7825" s="1"/>
    </row>
    <row x14ac:dyDescent="0.25" r="7826" customHeight="1" ht="18.75">
      <c r="A7826" s="1" t="s">
        <v>7833</v>
      </c>
      <c r="B7826" s="1" t="s">
        <v>15041</v>
      </c>
      <c r="C7826" s="1" t="s">
        <v>3619</v>
      </c>
      <c r="D7826" s="1" t="s">
        <v>3695</v>
      </c>
      <c r="E7826" s="1" t="s">
        <v>3664</v>
      </c>
      <c r="F7826" s="1" t="s">
        <v>26433</v>
      </c>
      <c r="G7826" s="1" t="s">
        <v>26427</v>
      </c>
      <c r="H7826" s="1" t="s">
        <v>3604</v>
      </c>
      <c r="I7826" s="1" t="s">
        <v>26434</v>
      </c>
      <c r="J7826" s="1" t="s">
        <v>3615</v>
      </c>
      <c r="K7826" s="1" t="s">
        <v>26435</v>
      </c>
      <c r="L7826" s="1"/>
      <c r="M7826" s="1"/>
    </row>
    <row x14ac:dyDescent="0.25" r="7827" customHeight="1" ht="18.75">
      <c r="A7827" s="1" t="s">
        <v>7833</v>
      </c>
      <c r="B7827" s="1" t="s">
        <v>14264</v>
      </c>
      <c r="C7827" s="1" t="s">
        <v>4488</v>
      </c>
      <c r="D7827" s="1" t="s">
        <v>3695</v>
      </c>
      <c r="E7827" s="1" t="s">
        <v>3664</v>
      </c>
      <c r="F7827" s="1" t="s">
        <v>26436</v>
      </c>
      <c r="G7827" s="1" t="s">
        <v>25904</v>
      </c>
      <c r="H7827" s="1" t="s">
        <v>3604</v>
      </c>
      <c r="I7827" s="1" t="s">
        <v>26437</v>
      </c>
      <c r="J7827" s="1" t="s">
        <v>3606</v>
      </c>
      <c r="K7827" s="1" t="s">
        <v>26435</v>
      </c>
      <c r="L7827" s="1"/>
      <c r="M7827" s="1"/>
    </row>
    <row x14ac:dyDescent="0.25" r="7828" customHeight="1" ht="18.75">
      <c r="A7828" s="1" t="s">
        <v>7833</v>
      </c>
      <c r="B7828" s="1" t="s">
        <v>14264</v>
      </c>
      <c r="C7828" s="1" t="s">
        <v>4488</v>
      </c>
      <c r="D7828" s="1" t="s">
        <v>3695</v>
      </c>
      <c r="E7828" s="1" t="s">
        <v>3664</v>
      </c>
      <c r="F7828" s="1" t="s">
        <v>26438</v>
      </c>
      <c r="G7828" s="1" t="s">
        <v>25904</v>
      </c>
      <c r="H7828" s="1" t="s">
        <v>3604</v>
      </c>
      <c r="I7828" s="1" t="s">
        <v>26439</v>
      </c>
      <c r="J7828" s="1" t="s">
        <v>3606</v>
      </c>
      <c r="K7828" s="1" t="s">
        <v>26432</v>
      </c>
      <c r="L7828" s="1"/>
      <c r="M7828" s="1"/>
    </row>
    <row x14ac:dyDescent="0.25" r="7829" customHeight="1" ht="18.75">
      <c r="A7829" s="1" t="s">
        <v>7833</v>
      </c>
      <c r="B7829" s="1" t="s">
        <v>8269</v>
      </c>
      <c r="C7829" s="1" t="s">
        <v>4488</v>
      </c>
      <c r="D7829" s="1" t="s">
        <v>533</v>
      </c>
      <c r="E7829" s="1" t="s">
        <v>8096</v>
      </c>
      <c r="F7829" s="1" t="s">
        <v>26440</v>
      </c>
      <c r="G7829" s="1" t="s">
        <v>23165</v>
      </c>
      <c r="H7829" s="1" t="s">
        <v>3604</v>
      </c>
      <c r="I7829" s="1" t="s">
        <v>26441</v>
      </c>
      <c r="J7829" s="1" t="s">
        <v>3606</v>
      </c>
      <c r="K7829" s="1" t="s">
        <v>14300</v>
      </c>
      <c r="L7829" s="1"/>
      <c r="M7829" s="1"/>
    </row>
    <row x14ac:dyDescent="0.25" r="7830" customHeight="1" ht="18.75">
      <c r="A7830" s="1" t="s">
        <v>7833</v>
      </c>
      <c r="B7830" s="1" t="s">
        <v>8269</v>
      </c>
      <c r="C7830" s="1" t="s">
        <v>4488</v>
      </c>
      <c r="D7830" s="1" t="s">
        <v>533</v>
      </c>
      <c r="E7830" s="1" t="s">
        <v>8096</v>
      </c>
      <c r="F7830" s="1" t="s">
        <v>26442</v>
      </c>
      <c r="G7830" s="1" t="s">
        <v>26443</v>
      </c>
      <c r="H7830" s="1" t="s">
        <v>3604</v>
      </c>
      <c r="I7830" s="1" t="s">
        <v>26444</v>
      </c>
      <c r="J7830" s="1" t="s">
        <v>3606</v>
      </c>
      <c r="K7830" s="1" t="s">
        <v>14307</v>
      </c>
      <c r="L7830" s="1"/>
      <c r="M7830" s="1"/>
    </row>
    <row x14ac:dyDescent="0.25" r="7831" customHeight="1" ht="18.75">
      <c r="A7831" s="1" t="s">
        <v>7833</v>
      </c>
      <c r="B7831" s="1" t="s">
        <v>7872</v>
      </c>
      <c r="C7831" s="1" t="s">
        <v>4488</v>
      </c>
      <c r="D7831" s="1" t="s">
        <v>533</v>
      </c>
      <c r="E7831" s="1" t="s">
        <v>8096</v>
      </c>
      <c r="F7831" s="1" t="s">
        <v>26445</v>
      </c>
      <c r="G7831" s="1" t="s">
        <v>23345</v>
      </c>
      <c r="H7831" s="1" t="s">
        <v>3604</v>
      </c>
      <c r="I7831" s="1" t="s">
        <v>26446</v>
      </c>
      <c r="J7831" s="1" t="s">
        <v>3615</v>
      </c>
      <c r="K7831" s="1" t="s">
        <v>14714</v>
      </c>
      <c r="L7831" s="1"/>
      <c r="M7831" s="1"/>
    </row>
    <row x14ac:dyDescent="0.25" r="7832" customHeight="1" ht="18.75">
      <c r="A7832" s="1" t="s">
        <v>7833</v>
      </c>
      <c r="B7832" s="1" t="s">
        <v>7872</v>
      </c>
      <c r="C7832" s="1" t="s">
        <v>4488</v>
      </c>
      <c r="D7832" s="1" t="s">
        <v>533</v>
      </c>
      <c r="E7832" s="1" t="s">
        <v>8096</v>
      </c>
      <c r="F7832" s="1" t="s">
        <v>26447</v>
      </c>
      <c r="G7832" s="1" t="s">
        <v>7874</v>
      </c>
      <c r="H7832" s="1" t="s">
        <v>3604</v>
      </c>
      <c r="I7832" s="1" t="s">
        <v>26448</v>
      </c>
      <c r="J7832" s="1" t="s">
        <v>3615</v>
      </c>
      <c r="K7832" s="1" t="s">
        <v>14637</v>
      </c>
      <c r="L7832" s="1"/>
      <c r="M7832" s="1"/>
    </row>
    <row x14ac:dyDescent="0.25" r="7833" customHeight="1" ht="18.75">
      <c r="A7833" s="1" t="s">
        <v>7833</v>
      </c>
      <c r="B7833" s="1" t="s">
        <v>7872</v>
      </c>
      <c r="C7833" s="1" t="s">
        <v>4488</v>
      </c>
      <c r="D7833" s="1" t="s">
        <v>533</v>
      </c>
      <c r="E7833" s="1" t="s">
        <v>8096</v>
      </c>
      <c r="F7833" s="1" t="s">
        <v>26449</v>
      </c>
      <c r="G7833" s="1" t="s">
        <v>26450</v>
      </c>
      <c r="H7833" s="1" t="s">
        <v>3604</v>
      </c>
      <c r="I7833" s="1" t="s">
        <v>26451</v>
      </c>
      <c r="J7833" s="1" t="s">
        <v>3615</v>
      </c>
      <c r="K7833" s="1" t="s">
        <v>14222</v>
      </c>
      <c r="L7833" s="1"/>
      <c r="M7833" s="1"/>
    </row>
    <row x14ac:dyDescent="0.25" r="7834" customHeight="1" ht="18.75">
      <c r="A7834" s="1" t="s">
        <v>7833</v>
      </c>
      <c r="B7834" s="1" t="s">
        <v>13754</v>
      </c>
      <c r="C7834" s="1" t="s">
        <v>3619</v>
      </c>
      <c r="D7834" s="1" t="s">
        <v>533</v>
      </c>
      <c r="E7834" s="1" t="s">
        <v>3981</v>
      </c>
      <c r="F7834" s="1" t="s">
        <v>26452</v>
      </c>
      <c r="G7834" s="1" t="s">
        <v>26144</v>
      </c>
      <c r="H7834" s="1" t="s">
        <v>3604</v>
      </c>
      <c r="I7834" s="1" t="s">
        <v>26453</v>
      </c>
      <c r="J7834" s="1" t="s">
        <v>3606</v>
      </c>
      <c r="K7834" s="1" t="s">
        <v>26454</v>
      </c>
      <c r="L7834" s="1"/>
      <c r="M7834" s="1"/>
    </row>
    <row x14ac:dyDescent="0.25" r="7835" customHeight="1" ht="18.75">
      <c r="A7835" s="1" t="s">
        <v>7833</v>
      </c>
      <c r="B7835" s="1" t="s">
        <v>25130</v>
      </c>
      <c r="C7835" s="1" t="s">
        <v>4488</v>
      </c>
      <c r="D7835" s="1" t="s">
        <v>533</v>
      </c>
      <c r="E7835" s="1" t="s">
        <v>8096</v>
      </c>
      <c r="F7835" s="1" t="s">
        <v>26455</v>
      </c>
      <c r="G7835" s="1" t="s">
        <v>26456</v>
      </c>
      <c r="H7835" s="1" t="s">
        <v>3604</v>
      </c>
      <c r="I7835" s="1" t="s">
        <v>26457</v>
      </c>
      <c r="J7835" s="1" t="s">
        <v>3615</v>
      </c>
      <c r="K7835" s="1" t="s">
        <v>14245</v>
      </c>
      <c r="L7835" s="1"/>
      <c r="M7835" s="1"/>
    </row>
    <row x14ac:dyDescent="0.25" r="7836" customHeight="1" ht="18.75">
      <c r="A7836" s="1" t="s">
        <v>7833</v>
      </c>
      <c r="B7836" s="1" t="s">
        <v>7856</v>
      </c>
      <c r="C7836" s="1" t="s">
        <v>4488</v>
      </c>
      <c r="D7836" s="1" t="s">
        <v>533</v>
      </c>
      <c r="E7836" s="1" t="s">
        <v>3611</v>
      </c>
      <c r="F7836" s="1" t="s">
        <v>26458</v>
      </c>
      <c r="G7836" s="1" t="s">
        <v>24009</v>
      </c>
      <c r="H7836" s="1" t="s">
        <v>3604</v>
      </c>
      <c r="I7836" s="1" t="s">
        <v>26459</v>
      </c>
      <c r="J7836" s="1" t="s">
        <v>3606</v>
      </c>
      <c r="K7836" s="1" t="s">
        <v>26460</v>
      </c>
      <c r="L7836" s="1"/>
      <c r="M7836" s="1"/>
    </row>
    <row x14ac:dyDescent="0.25" r="7837" customHeight="1" ht="18.75">
      <c r="A7837" s="1" t="s">
        <v>7833</v>
      </c>
      <c r="B7837" s="1" t="s">
        <v>14401</v>
      </c>
      <c r="C7837" s="1" t="s">
        <v>4488</v>
      </c>
      <c r="D7837" s="1" t="s">
        <v>533</v>
      </c>
      <c r="E7837" s="1" t="s">
        <v>3981</v>
      </c>
      <c r="F7837" s="1" t="s">
        <v>26461</v>
      </c>
      <c r="G7837" s="1" t="s">
        <v>14402</v>
      </c>
      <c r="H7837" s="1" t="s">
        <v>3604</v>
      </c>
      <c r="I7837" s="1" t="s">
        <v>26462</v>
      </c>
      <c r="J7837" s="1" t="s">
        <v>3615</v>
      </c>
      <c r="K7837" s="1" t="s">
        <v>14631</v>
      </c>
      <c r="L7837" s="1"/>
      <c r="M7837" s="1"/>
    </row>
    <row x14ac:dyDescent="0.25" r="7838" customHeight="1" ht="18.75">
      <c r="A7838" s="1" t="s">
        <v>7833</v>
      </c>
      <c r="B7838" s="1" t="s">
        <v>14404</v>
      </c>
      <c r="C7838" s="1" t="s">
        <v>4488</v>
      </c>
      <c r="D7838" s="1" t="s">
        <v>533</v>
      </c>
      <c r="E7838" s="1" t="s">
        <v>3664</v>
      </c>
      <c r="F7838" s="1" t="s">
        <v>26463</v>
      </c>
      <c r="G7838" s="1" t="s">
        <v>26464</v>
      </c>
      <c r="H7838" s="1" t="s">
        <v>3604</v>
      </c>
      <c r="I7838" s="1" t="s">
        <v>26465</v>
      </c>
      <c r="J7838" s="1" t="s">
        <v>3615</v>
      </c>
      <c r="K7838" s="1" t="s">
        <v>26466</v>
      </c>
      <c r="L7838" s="1"/>
      <c r="M7838" s="1"/>
    </row>
    <row x14ac:dyDescent="0.25" r="7839" customHeight="1" ht="18.75">
      <c r="A7839" s="1" t="s">
        <v>7833</v>
      </c>
      <c r="B7839" s="1" t="s">
        <v>8095</v>
      </c>
      <c r="C7839" s="1" t="s">
        <v>4488</v>
      </c>
      <c r="D7839" s="1" t="s">
        <v>533</v>
      </c>
      <c r="E7839" s="1" t="s">
        <v>8096</v>
      </c>
      <c r="F7839" s="1" t="s">
        <v>26467</v>
      </c>
      <c r="G7839" s="1" t="s">
        <v>8170</v>
      </c>
      <c r="H7839" s="1" t="s">
        <v>3604</v>
      </c>
      <c r="I7839" s="1" t="s">
        <v>26468</v>
      </c>
      <c r="J7839" s="1" t="s">
        <v>3615</v>
      </c>
      <c r="K7839" s="1" t="s">
        <v>14238</v>
      </c>
      <c r="L7839" s="1"/>
      <c r="M7839" s="1"/>
    </row>
    <row x14ac:dyDescent="0.25" r="7840" customHeight="1" ht="18.75">
      <c r="A7840" s="1" t="s">
        <v>7833</v>
      </c>
      <c r="B7840" s="1" t="s">
        <v>8095</v>
      </c>
      <c r="C7840" s="1" t="s">
        <v>4488</v>
      </c>
      <c r="D7840" s="1" t="s">
        <v>533</v>
      </c>
      <c r="E7840" s="1" t="s">
        <v>8096</v>
      </c>
      <c r="F7840" s="1" t="s">
        <v>26469</v>
      </c>
      <c r="G7840" s="1" t="s">
        <v>9085</v>
      </c>
      <c r="H7840" s="1" t="s">
        <v>3604</v>
      </c>
      <c r="I7840" s="1" t="s">
        <v>26470</v>
      </c>
      <c r="J7840" s="1" t="s">
        <v>3615</v>
      </c>
      <c r="K7840" s="1" t="s">
        <v>14319</v>
      </c>
      <c r="L7840" s="1"/>
      <c r="M7840" s="1"/>
    </row>
    <row x14ac:dyDescent="0.25" r="7841" customHeight="1" ht="18.75">
      <c r="A7841" s="1" t="s">
        <v>7833</v>
      </c>
      <c r="B7841" s="1" t="s">
        <v>14063</v>
      </c>
      <c r="C7841" s="1" t="s">
        <v>4488</v>
      </c>
      <c r="D7841" s="1" t="s">
        <v>533</v>
      </c>
      <c r="E7841" s="1" t="s">
        <v>3664</v>
      </c>
      <c r="F7841" s="1" t="s">
        <v>26471</v>
      </c>
      <c r="G7841" s="1" t="s">
        <v>8296</v>
      </c>
      <c r="H7841" s="1" t="s">
        <v>3604</v>
      </c>
      <c r="I7841" s="1" t="s">
        <v>26472</v>
      </c>
      <c r="J7841" s="1" t="s">
        <v>3615</v>
      </c>
      <c r="K7841" s="1" t="s">
        <v>14515</v>
      </c>
      <c r="L7841" s="1"/>
      <c r="M7841" s="1"/>
    </row>
    <row x14ac:dyDescent="0.25" r="7842" customHeight="1" ht="18.75">
      <c r="A7842" s="1" t="s">
        <v>7833</v>
      </c>
      <c r="B7842" s="1" t="s">
        <v>14063</v>
      </c>
      <c r="C7842" s="1" t="s">
        <v>4488</v>
      </c>
      <c r="D7842" s="1" t="s">
        <v>533</v>
      </c>
      <c r="E7842" s="1" t="s">
        <v>3664</v>
      </c>
      <c r="F7842" s="1" t="s">
        <v>26473</v>
      </c>
      <c r="G7842" s="1" t="s">
        <v>26474</v>
      </c>
      <c r="H7842" s="1" t="s">
        <v>3604</v>
      </c>
      <c r="I7842" s="1" t="s">
        <v>26475</v>
      </c>
      <c r="J7842" s="1" t="s">
        <v>3615</v>
      </c>
      <c r="K7842" s="1" t="s">
        <v>14857</v>
      </c>
      <c r="L7842" s="1"/>
      <c r="M7842" s="1"/>
    </row>
    <row x14ac:dyDescent="0.25" r="7843" customHeight="1" ht="18.75">
      <c r="A7843" s="1" t="s">
        <v>7833</v>
      </c>
      <c r="B7843" s="1" t="s">
        <v>14063</v>
      </c>
      <c r="C7843" s="1" t="s">
        <v>4488</v>
      </c>
      <c r="D7843" s="1" t="s">
        <v>533</v>
      </c>
      <c r="E7843" s="1" t="s">
        <v>3981</v>
      </c>
      <c r="F7843" s="1" t="s">
        <v>26476</v>
      </c>
      <c r="G7843" s="1" t="s">
        <v>14894</v>
      </c>
      <c r="H7843" s="1" t="s">
        <v>3604</v>
      </c>
      <c r="I7843" s="1" t="s">
        <v>26477</v>
      </c>
      <c r="J7843" s="1" t="s">
        <v>3615</v>
      </c>
      <c r="K7843" s="1" t="s">
        <v>26478</v>
      </c>
      <c r="L7843" s="1"/>
      <c r="M7843" s="1"/>
    </row>
    <row x14ac:dyDescent="0.25" r="7844" customHeight="1" ht="18.75">
      <c r="A7844" s="1" t="s">
        <v>7833</v>
      </c>
      <c r="B7844" s="1" t="s">
        <v>7834</v>
      </c>
      <c r="C7844" s="1" t="s">
        <v>4488</v>
      </c>
      <c r="D7844" s="1" t="s">
        <v>533</v>
      </c>
      <c r="E7844" s="1" t="s">
        <v>8096</v>
      </c>
      <c r="F7844" s="1" t="s">
        <v>26479</v>
      </c>
      <c r="G7844" s="1" t="s">
        <v>26450</v>
      </c>
      <c r="H7844" s="1" t="s">
        <v>3604</v>
      </c>
      <c r="I7844" s="1" t="s">
        <v>26480</v>
      </c>
      <c r="J7844" s="1" t="s">
        <v>3615</v>
      </c>
      <c r="K7844" s="1" t="s">
        <v>14238</v>
      </c>
      <c r="L7844" s="1"/>
      <c r="M7844" s="1"/>
    </row>
    <row x14ac:dyDescent="0.25" r="7845" customHeight="1" ht="18.75">
      <c r="A7845" s="1" t="s">
        <v>7833</v>
      </c>
      <c r="B7845" s="1" t="s">
        <v>8258</v>
      </c>
      <c r="C7845" s="1" t="s">
        <v>4488</v>
      </c>
      <c r="D7845" s="1" t="s">
        <v>533</v>
      </c>
      <c r="E7845" s="1" t="s">
        <v>3664</v>
      </c>
      <c r="F7845" s="1" t="s">
        <v>26481</v>
      </c>
      <c r="G7845" s="1" t="s">
        <v>26345</v>
      </c>
      <c r="H7845" s="1" t="s">
        <v>3604</v>
      </c>
      <c r="I7845" s="1" t="s">
        <v>26482</v>
      </c>
      <c r="J7845" s="1" t="s">
        <v>3615</v>
      </c>
      <c r="K7845" s="1" t="s">
        <v>14809</v>
      </c>
      <c r="L7845" s="1"/>
      <c r="M7845" s="1"/>
    </row>
    <row x14ac:dyDescent="0.25" r="7846" customHeight="1" ht="18.75">
      <c r="A7846" s="1" t="s">
        <v>3598</v>
      </c>
      <c r="B7846" s="1" t="s">
        <v>15557</v>
      </c>
      <c r="C7846" s="1" t="s">
        <v>3600</v>
      </c>
      <c r="D7846" s="1" t="s">
        <v>3610</v>
      </c>
      <c r="E7846" s="1" t="s">
        <v>3752</v>
      </c>
      <c r="F7846" s="1" t="s">
        <v>26483</v>
      </c>
      <c r="G7846" s="1" t="s">
        <v>26484</v>
      </c>
      <c r="H7846" s="1" t="s">
        <v>3604</v>
      </c>
      <c r="I7846" s="1" t="s">
        <v>26485</v>
      </c>
      <c r="J7846" s="1" t="s">
        <v>3615</v>
      </c>
      <c r="K7846" s="1" t="s">
        <v>26486</v>
      </c>
      <c r="L7846" s="1"/>
      <c r="M7846" s="1"/>
    </row>
    <row x14ac:dyDescent="0.25" r="7847" customHeight="1" ht="18.75">
      <c r="A7847" s="1" t="s">
        <v>3598</v>
      </c>
      <c r="B7847" s="1" t="s">
        <v>15557</v>
      </c>
      <c r="C7847" s="1" t="s">
        <v>3600</v>
      </c>
      <c r="D7847" s="1" t="s">
        <v>3610</v>
      </c>
      <c r="E7847" s="1" t="s">
        <v>3752</v>
      </c>
      <c r="F7847" s="1" t="s">
        <v>26487</v>
      </c>
      <c r="G7847" s="1" t="s">
        <v>26484</v>
      </c>
      <c r="H7847" s="1" t="s">
        <v>3604</v>
      </c>
      <c r="I7847" s="1" t="s">
        <v>26488</v>
      </c>
      <c r="J7847" s="1" t="s">
        <v>3615</v>
      </c>
      <c r="K7847" s="1" t="s">
        <v>26489</v>
      </c>
      <c r="L7847" s="1"/>
      <c r="M7847" s="1"/>
    </row>
    <row x14ac:dyDescent="0.25" r="7848" customHeight="1" ht="18.75">
      <c r="A7848" s="1" t="s">
        <v>3598</v>
      </c>
      <c r="B7848" s="1" t="s">
        <v>15557</v>
      </c>
      <c r="C7848" s="1" t="s">
        <v>3600</v>
      </c>
      <c r="D7848" s="1" t="s">
        <v>3610</v>
      </c>
      <c r="E7848" s="1" t="s">
        <v>3752</v>
      </c>
      <c r="F7848" s="1" t="s">
        <v>26490</v>
      </c>
      <c r="G7848" s="1" t="s">
        <v>26484</v>
      </c>
      <c r="H7848" s="1" t="s">
        <v>3604</v>
      </c>
      <c r="I7848" s="1" t="s">
        <v>26491</v>
      </c>
      <c r="J7848" s="1" t="s">
        <v>3615</v>
      </c>
      <c r="K7848" s="1" t="s">
        <v>26492</v>
      </c>
      <c r="L7848" s="1"/>
      <c r="M7848" s="1"/>
    </row>
    <row x14ac:dyDescent="0.25" r="7849" customHeight="1" ht="18.75">
      <c r="A7849" s="1" t="s">
        <v>3598</v>
      </c>
      <c r="B7849" s="1" t="s">
        <v>15557</v>
      </c>
      <c r="C7849" s="1" t="s">
        <v>3600</v>
      </c>
      <c r="D7849" s="1" t="s">
        <v>3610</v>
      </c>
      <c r="E7849" s="1" t="s">
        <v>3752</v>
      </c>
      <c r="F7849" s="1" t="s">
        <v>26493</v>
      </c>
      <c r="G7849" s="1" t="s">
        <v>26494</v>
      </c>
      <c r="H7849" s="1" t="s">
        <v>3604</v>
      </c>
      <c r="I7849" s="1" t="s">
        <v>26495</v>
      </c>
      <c r="J7849" s="1" t="s">
        <v>3615</v>
      </c>
      <c r="K7849" s="1" t="s">
        <v>26496</v>
      </c>
      <c r="L7849" s="1"/>
      <c r="M7849" s="1"/>
    </row>
    <row x14ac:dyDescent="0.25" r="7850" customHeight="1" ht="18.75">
      <c r="A7850" s="1" t="s">
        <v>3598</v>
      </c>
      <c r="B7850" s="1" t="s">
        <v>15557</v>
      </c>
      <c r="C7850" s="1" t="s">
        <v>3600</v>
      </c>
      <c r="D7850" s="1" t="s">
        <v>3610</v>
      </c>
      <c r="E7850" s="1" t="s">
        <v>3752</v>
      </c>
      <c r="F7850" s="1" t="s">
        <v>26497</v>
      </c>
      <c r="G7850" s="1" t="s">
        <v>26494</v>
      </c>
      <c r="H7850" s="1" t="s">
        <v>3604</v>
      </c>
      <c r="I7850" s="1" t="s">
        <v>26498</v>
      </c>
      <c r="J7850" s="1" t="s">
        <v>3615</v>
      </c>
      <c r="K7850" s="1" t="s">
        <v>26499</v>
      </c>
      <c r="L7850" s="1"/>
      <c r="M7850" s="1"/>
    </row>
    <row x14ac:dyDescent="0.25" r="7851" customHeight="1" ht="18.75">
      <c r="A7851" s="1" t="s">
        <v>3598</v>
      </c>
      <c r="B7851" s="1" t="s">
        <v>15557</v>
      </c>
      <c r="C7851" s="1" t="s">
        <v>3600</v>
      </c>
      <c r="D7851" s="1" t="s">
        <v>3610</v>
      </c>
      <c r="E7851" s="1" t="s">
        <v>3752</v>
      </c>
      <c r="F7851" s="1" t="s">
        <v>26500</v>
      </c>
      <c r="G7851" s="1" t="s">
        <v>26494</v>
      </c>
      <c r="H7851" s="1" t="s">
        <v>3604</v>
      </c>
      <c r="I7851" s="1" t="s">
        <v>26501</v>
      </c>
      <c r="J7851" s="1" t="s">
        <v>3615</v>
      </c>
      <c r="K7851" s="1" t="s">
        <v>26502</v>
      </c>
      <c r="L7851" s="1"/>
      <c r="M7851" s="1"/>
    </row>
    <row x14ac:dyDescent="0.25" r="7852" customHeight="1" ht="18.75">
      <c r="A7852" s="1" t="s">
        <v>3598</v>
      </c>
      <c r="B7852" s="1" t="s">
        <v>15557</v>
      </c>
      <c r="C7852" s="1" t="s">
        <v>3600</v>
      </c>
      <c r="D7852" s="1" t="s">
        <v>3610</v>
      </c>
      <c r="E7852" s="1" t="s">
        <v>3752</v>
      </c>
      <c r="F7852" s="1" t="s">
        <v>26503</v>
      </c>
      <c r="G7852" s="1" t="s">
        <v>26504</v>
      </c>
      <c r="H7852" s="1" t="s">
        <v>3604</v>
      </c>
      <c r="I7852" s="1" t="s">
        <v>26505</v>
      </c>
      <c r="J7852" s="1" t="s">
        <v>3615</v>
      </c>
      <c r="K7852" s="1" t="s">
        <v>26506</v>
      </c>
      <c r="L7852" s="1"/>
      <c r="M7852" s="1"/>
    </row>
    <row x14ac:dyDescent="0.25" r="7853" customHeight="1" ht="18.75">
      <c r="A7853" s="1" t="s">
        <v>3598</v>
      </c>
      <c r="B7853" s="1" t="s">
        <v>15557</v>
      </c>
      <c r="C7853" s="1" t="s">
        <v>3600</v>
      </c>
      <c r="D7853" s="1" t="s">
        <v>3610</v>
      </c>
      <c r="E7853" s="1" t="s">
        <v>3752</v>
      </c>
      <c r="F7853" s="1" t="s">
        <v>26507</v>
      </c>
      <c r="G7853" s="1" t="s">
        <v>26508</v>
      </c>
      <c r="H7853" s="1" t="s">
        <v>3604</v>
      </c>
      <c r="I7853" s="1" t="s">
        <v>26509</v>
      </c>
      <c r="J7853" s="1" t="s">
        <v>3615</v>
      </c>
      <c r="K7853" s="1" t="s">
        <v>26510</v>
      </c>
      <c r="L7853" s="1"/>
      <c r="M7853" s="1"/>
    </row>
    <row x14ac:dyDescent="0.25" r="7854" customHeight="1" ht="18.75">
      <c r="A7854" s="1" t="s">
        <v>3598</v>
      </c>
      <c r="B7854" s="1" t="s">
        <v>15557</v>
      </c>
      <c r="C7854" s="1" t="s">
        <v>3600</v>
      </c>
      <c r="D7854" s="1" t="s">
        <v>3610</v>
      </c>
      <c r="E7854" s="1" t="s">
        <v>3752</v>
      </c>
      <c r="F7854" s="1" t="s">
        <v>26511</v>
      </c>
      <c r="G7854" s="1" t="s">
        <v>26508</v>
      </c>
      <c r="H7854" s="1" t="s">
        <v>3604</v>
      </c>
      <c r="I7854" s="1" t="s">
        <v>26512</v>
      </c>
      <c r="J7854" s="1" t="s">
        <v>3615</v>
      </c>
      <c r="K7854" s="1" t="s">
        <v>26513</v>
      </c>
      <c r="L7854" s="1"/>
      <c r="M7854" s="1"/>
    </row>
    <row x14ac:dyDescent="0.25" r="7855" customHeight="1" ht="18.75">
      <c r="A7855" s="1" t="s">
        <v>3598</v>
      </c>
      <c r="B7855" s="1" t="s">
        <v>15557</v>
      </c>
      <c r="C7855" s="1" t="s">
        <v>3600</v>
      </c>
      <c r="D7855" s="1" t="s">
        <v>3610</v>
      </c>
      <c r="E7855" s="1" t="s">
        <v>3752</v>
      </c>
      <c r="F7855" s="1" t="s">
        <v>26514</v>
      </c>
      <c r="G7855" s="1" t="s">
        <v>26508</v>
      </c>
      <c r="H7855" s="1" t="s">
        <v>3604</v>
      </c>
      <c r="I7855" s="1" t="s">
        <v>26515</v>
      </c>
      <c r="J7855" s="1" t="s">
        <v>3615</v>
      </c>
      <c r="K7855" s="1" t="s">
        <v>26516</v>
      </c>
      <c r="L7855" s="1"/>
      <c r="M7855" s="1"/>
    </row>
    <row x14ac:dyDescent="0.25" r="7856" customHeight="1" ht="18.75">
      <c r="A7856" s="1" t="s">
        <v>3598</v>
      </c>
      <c r="B7856" s="1" t="s">
        <v>15557</v>
      </c>
      <c r="C7856" s="1" t="s">
        <v>3600</v>
      </c>
      <c r="D7856" s="1" t="s">
        <v>3610</v>
      </c>
      <c r="E7856" s="1" t="s">
        <v>3752</v>
      </c>
      <c r="F7856" s="1" t="s">
        <v>26517</v>
      </c>
      <c r="G7856" s="1" t="s">
        <v>26518</v>
      </c>
      <c r="H7856" s="1" t="s">
        <v>3604</v>
      </c>
      <c r="I7856" s="1" t="s">
        <v>26519</v>
      </c>
      <c r="J7856" s="1" t="s">
        <v>3615</v>
      </c>
      <c r="K7856" s="1" t="s">
        <v>26520</v>
      </c>
      <c r="L7856" s="1"/>
      <c r="M7856" s="1"/>
    </row>
    <row x14ac:dyDescent="0.25" r="7857" customHeight="1" ht="18.75">
      <c r="A7857" s="1" t="s">
        <v>3598</v>
      </c>
      <c r="B7857" s="1" t="s">
        <v>15557</v>
      </c>
      <c r="C7857" s="1" t="s">
        <v>3600</v>
      </c>
      <c r="D7857" s="1" t="s">
        <v>3610</v>
      </c>
      <c r="E7857" s="1" t="s">
        <v>3752</v>
      </c>
      <c r="F7857" s="1" t="s">
        <v>26521</v>
      </c>
      <c r="G7857" s="1" t="s">
        <v>26518</v>
      </c>
      <c r="H7857" s="1" t="s">
        <v>3604</v>
      </c>
      <c r="I7857" s="1" t="s">
        <v>26522</v>
      </c>
      <c r="J7857" s="1" t="s">
        <v>3615</v>
      </c>
      <c r="K7857" s="1" t="s">
        <v>26523</v>
      </c>
      <c r="L7857" s="1"/>
      <c r="M7857" s="1"/>
    </row>
    <row x14ac:dyDescent="0.25" r="7858" customHeight="1" ht="18.75">
      <c r="A7858" s="1" t="s">
        <v>3598</v>
      </c>
      <c r="B7858" s="1" t="s">
        <v>15557</v>
      </c>
      <c r="C7858" s="1" t="s">
        <v>3600</v>
      </c>
      <c r="D7858" s="1" t="s">
        <v>3610</v>
      </c>
      <c r="E7858" s="1" t="s">
        <v>3752</v>
      </c>
      <c r="F7858" s="1" t="s">
        <v>26524</v>
      </c>
      <c r="G7858" s="1" t="s">
        <v>26518</v>
      </c>
      <c r="H7858" s="1" t="s">
        <v>3604</v>
      </c>
      <c r="I7858" s="1" t="s">
        <v>26525</v>
      </c>
      <c r="J7858" s="1" t="s">
        <v>3615</v>
      </c>
      <c r="K7858" s="1" t="s">
        <v>26526</v>
      </c>
      <c r="L7858" s="1"/>
      <c r="M7858" s="1"/>
    </row>
    <row x14ac:dyDescent="0.25" r="7859" customHeight="1" ht="18.75">
      <c r="A7859" s="1" t="s">
        <v>3598</v>
      </c>
      <c r="B7859" s="1" t="s">
        <v>15557</v>
      </c>
      <c r="C7859" s="1" t="s">
        <v>3600</v>
      </c>
      <c r="D7859" s="1" t="s">
        <v>3610</v>
      </c>
      <c r="E7859" s="1" t="s">
        <v>3981</v>
      </c>
      <c r="F7859" s="1" t="s">
        <v>26527</v>
      </c>
      <c r="G7859" s="1" t="s">
        <v>26528</v>
      </c>
      <c r="H7859" s="1" t="s">
        <v>3604</v>
      </c>
      <c r="I7859" s="1" t="s">
        <v>26529</v>
      </c>
      <c r="J7859" s="1" t="s">
        <v>3615</v>
      </c>
      <c r="K7859" s="1" t="s">
        <v>26530</v>
      </c>
      <c r="L7859" s="1"/>
      <c r="M7859" s="1"/>
    </row>
    <row x14ac:dyDescent="0.25" r="7860" customHeight="1" ht="18.75">
      <c r="A7860" s="1" t="s">
        <v>3598</v>
      </c>
      <c r="B7860" s="1" t="s">
        <v>15557</v>
      </c>
      <c r="C7860" s="1" t="s">
        <v>3600</v>
      </c>
      <c r="D7860" s="1" t="s">
        <v>3610</v>
      </c>
      <c r="E7860" s="1" t="s">
        <v>3752</v>
      </c>
      <c r="F7860" s="1" t="s">
        <v>26531</v>
      </c>
      <c r="G7860" s="1" t="s">
        <v>15653</v>
      </c>
      <c r="H7860" s="1" t="s">
        <v>3604</v>
      </c>
      <c r="I7860" s="1" t="s">
        <v>26532</v>
      </c>
      <c r="J7860" s="1" t="s">
        <v>3615</v>
      </c>
      <c r="K7860" s="1" t="s">
        <v>26533</v>
      </c>
      <c r="L7860" s="1"/>
      <c r="M7860" s="1"/>
    </row>
    <row x14ac:dyDescent="0.25" r="7861" customHeight="1" ht="18.75">
      <c r="A7861" s="1" t="s">
        <v>3598</v>
      </c>
      <c r="B7861" s="1" t="s">
        <v>15557</v>
      </c>
      <c r="C7861" s="1" t="s">
        <v>3600</v>
      </c>
      <c r="D7861" s="1" t="s">
        <v>3610</v>
      </c>
      <c r="E7861" s="1" t="s">
        <v>3752</v>
      </c>
      <c r="F7861" s="1" t="s">
        <v>26534</v>
      </c>
      <c r="G7861" s="1" t="s">
        <v>15653</v>
      </c>
      <c r="H7861" s="1" t="s">
        <v>3604</v>
      </c>
      <c r="I7861" s="1" t="s">
        <v>26535</v>
      </c>
      <c r="J7861" s="1" t="s">
        <v>3615</v>
      </c>
      <c r="K7861" s="1" t="s">
        <v>26536</v>
      </c>
      <c r="L7861" s="1"/>
      <c r="M7861" s="1"/>
    </row>
    <row x14ac:dyDescent="0.25" r="7862" customHeight="1" ht="18.75">
      <c r="A7862" s="1" t="s">
        <v>3598</v>
      </c>
      <c r="B7862" s="1" t="s">
        <v>15557</v>
      </c>
      <c r="C7862" s="1" t="s">
        <v>3600</v>
      </c>
      <c r="D7862" s="1" t="s">
        <v>3610</v>
      </c>
      <c r="E7862" s="1" t="s">
        <v>3752</v>
      </c>
      <c r="F7862" s="1" t="s">
        <v>26537</v>
      </c>
      <c r="G7862" s="1" t="s">
        <v>15653</v>
      </c>
      <c r="H7862" s="1" t="s">
        <v>3604</v>
      </c>
      <c r="I7862" s="1" t="s">
        <v>26538</v>
      </c>
      <c r="J7862" s="1" t="s">
        <v>3615</v>
      </c>
      <c r="K7862" s="1" t="s">
        <v>26539</v>
      </c>
      <c r="L7862" s="1"/>
      <c r="M7862" s="1"/>
    </row>
    <row x14ac:dyDescent="0.25" r="7863" customHeight="1" ht="18.75">
      <c r="A7863" s="1" t="s">
        <v>3598</v>
      </c>
      <c r="B7863" s="1" t="s">
        <v>15557</v>
      </c>
      <c r="C7863" s="1" t="s">
        <v>3600</v>
      </c>
      <c r="D7863" s="1" t="s">
        <v>3610</v>
      </c>
      <c r="E7863" s="1" t="s">
        <v>3752</v>
      </c>
      <c r="F7863" s="1" t="s">
        <v>26540</v>
      </c>
      <c r="G7863" s="1" t="s">
        <v>26541</v>
      </c>
      <c r="H7863" s="1" t="s">
        <v>3604</v>
      </c>
      <c r="I7863" s="1" t="s">
        <v>26542</v>
      </c>
      <c r="J7863" s="1" t="s">
        <v>3615</v>
      </c>
      <c r="K7863" s="1" t="s">
        <v>26543</v>
      </c>
      <c r="L7863" s="1"/>
      <c r="M7863" s="1"/>
    </row>
    <row x14ac:dyDescent="0.25" r="7864" customHeight="1" ht="18.75">
      <c r="A7864" s="1" t="s">
        <v>3598</v>
      </c>
      <c r="B7864" s="1" t="s">
        <v>15557</v>
      </c>
      <c r="C7864" s="1" t="s">
        <v>3600</v>
      </c>
      <c r="D7864" s="1" t="s">
        <v>3610</v>
      </c>
      <c r="E7864" s="1" t="s">
        <v>3752</v>
      </c>
      <c r="F7864" s="1" t="s">
        <v>26544</v>
      </c>
      <c r="G7864" s="1" t="s">
        <v>26541</v>
      </c>
      <c r="H7864" s="1" t="s">
        <v>3604</v>
      </c>
      <c r="I7864" s="1" t="s">
        <v>26545</v>
      </c>
      <c r="J7864" s="1" t="s">
        <v>3615</v>
      </c>
      <c r="K7864" s="1" t="s">
        <v>26546</v>
      </c>
      <c r="L7864" s="1"/>
      <c r="M7864" s="1"/>
    </row>
    <row x14ac:dyDescent="0.25" r="7865" customHeight="1" ht="18.75">
      <c r="A7865" s="1" t="s">
        <v>3598</v>
      </c>
      <c r="B7865" s="1" t="s">
        <v>4627</v>
      </c>
      <c r="C7865" s="1" t="s">
        <v>3600</v>
      </c>
      <c r="D7865" s="1" t="s">
        <v>7891</v>
      </c>
      <c r="E7865" s="1" t="s">
        <v>3664</v>
      </c>
      <c r="F7865" s="1" t="s">
        <v>26547</v>
      </c>
      <c r="G7865" s="1" t="s">
        <v>21969</v>
      </c>
      <c r="H7865" s="1" t="s">
        <v>3604</v>
      </c>
      <c r="I7865" s="1" t="s">
        <v>26548</v>
      </c>
      <c r="J7865" s="1" t="s">
        <v>3615</v>
      </c>
      <c r="K7865" s="1" t="s">
        <v>26549</v>
      </c>
      <c r="L7865" s="1"/>
      <c r="M7865" s="1"/>
    </row>
    <row x14ac:dyDescent="0.25" r="7866" customHeight="1" ht="18.75">
      <c r="A7866" s="1" t="s">
        <v>3598</v>
      </c>
      <c r="B7866" s="1" t="s">
        <v>4627</v>
      </c>
      <c r="C7866" s="1" t="s">
        <v>3600</v>
      </c>
      <c r="D7866" s="1" t="s">
        <v>7891</v>
      </c>
      <c r="E7866" s="1" t="s">
        <v>3664</v>
      </c>
      <c r="F7866" s="1" t="s">
        <v>26550</v>
      </c>
      <c r="G7866" s="1" t="s">
        <v>21969</v>
      </c>
      <c r="H7866" s="1" t="s">
        <v>3604</v>
      </c>
      <c r="I7866" s="1" t="s">
        <v>26551</v>
      </c>
      <c r="J7866" s="1" t="s">
        <v>3615</v>
      </c>
      <c r="K7866" s="1" t="s">
        <v>26552</v>
      </c>
      <c r="L7866" s="1"/>
      <c r="M7866" s="1"/>
    </row>
    <row x14ac:dyDescent="0.25" r="7867" customHeight="1" ht="18.75">
      <c r="A7867" s="1" t="s">
        <v>3598</v>
      </c>
      <c r="B7867" s="1" t="s">
        <v>15659</v>
      </c>
      <c r="C7867" s="1" t="s">
        <v>3600</v>
      </c>
      <c r="D7867" s="1" t="s">
        <v>7891</v>
      </c>
      <c r="E7867" s="1" t="s">
        <v>3752</v>
      </c>
      <c r="F7867" s="1" t="s">
        <v>26553</v>
      </c>
      <c r="G7867" s="1" t="s">
        <v>26554</v>
      </c>
      <c r="H7867" s="1" t="s">
        <v>3604</v>
      </c>
      <c r="I7867" s="1" t="s">
        <v>26555</v>
      </c>
      <c r="J7867" s="1" t="s">
        <v>3615</v>
      </c>
      <c r="K7867" s="1" t="s">
        <v>26556</v>
      </c>
      <c r="L7867" s="1"/>
      <c r="M7867" s="1"/>
    </row>
    <row x14ac:dyDescent="0.25" r="7868" customHeight="1" ht="18.75">
      <c r="A7868" s="1" t="s">
        <v>3598</v>
      </c>
      <c r="B7868" s="1" t="s">
        <v>15659</v>
      </c>
      <c r="C7868" s="1" t="s">
        <v>3600</v>
      </c>
      <c r="D7868" s="1" t="s">
        <v>7891</v>
      </c>
      <c r="E7868" s="1" t="s">
        <v>3752</v>
      </c>
      <c r="F7868" s="1" t="s">
        <v>26557</v>
      </c>
      <c r="G7868" s="1" t="s">
        <v>26554</v>
      </c>
      <c r="H7868" s="1" t="s">
        <v>3604</v>
      </c>
      <c r="I7868" s="1" t="s">
        <v>26558</v>
      </c>
      <c r="J7868" s="1" t="s">
        <v>3615</v>
      </c>
      <c r="K7868" s="1" t="s">
        <v>26559</v>
      </c>
      <c r="L7868" s="1"/>
      <c r="M7868" s="1"/>
    </row>
    <row x14ac:dyDescent="0.25" r="7869" customHeight="1" ht="18.75">
      <c r="A7869" s="1" t="s">
        <v>3598</v>
      </c>
      <c r="B7869" s="1" t="s">
        <v>9449</v>
      </c>
      <c r="C7869" s="1" t="s">
        <v>3600</v>
      </c>
      <c r="D7869" s="1" t="s">
        <v>7891</v>
      </c>
      <c r="E7869" s="1" t="s">
        <v>3664</v>
      </c>
      <c r="F7869" s="1" t="s">
        <v>26560</v>
      </c>
      <c r="G7869" s="1" t="s">
        <v>18086</v>
      </c>
      <c r="H7869" s="1" t="s">
        <v>3604</v>
      </c>
      <c r="I7869" s="1" t="s">
        <v>26561</v>
      </c>
      <c r="J7869" s="1" t="s">
        <v>3615</v>
      </c>
      <c r="K7869" s="1" t="s">
        <v>26562</v>
      </c>
      <c r="L7869" s="1"/>
      <c r="M7869" s="1"/>
    </row>
    <row x14ac:dyDescent="0.25" r="7870" customHeight="1" ht="18.75">
      <c r="A7870" s="1" t="s">
        <v>3598</v>
      </c>
      <c r="B7870" s="1" t="s">
        <v>9449</v>
      </c>
      <c r="C7870" s="1" t="s">
        <v>3600</v>
      </c>
      <c r="D7870" s="1" t="s">
        <v>7891</v>
      </c>
      <c r="E7870" s="1" t="s">
        <v>3664</v>
      </c>
      <c r="F7870" s="1" t="s">
        <v>26563</v>
      </c>
      <c r="G7870" s="1" t="s">
        <v>18086</v>
      </c>
      <c r="H7870" s="1" t="s">
        <v>3604</v>
      </c>
      <c r="I7870" s="1" t="s">
        <v>26564</v>
      </c>
      <c r="J7870" s="1" t="s">
        <v>3615</v>
      </c>
      <c r="K7870" s="1" t="s">
        <v>26565</v>
      </c>
      <c r="L7870" s="1"/>
      <c r="M7870" s="1"/>
    </row>
    <row x14ac:dyDescent="0.25" r="7871" customHeight="1" ht="18.75">
      <c r="A7871" s="1" t="s">
        <v>3598</v>
      </c>
      <c r="B7871" s="1" t="s">
        <v>18410</v>
      </c>
      <c r="C7871" s="1" t="s">
        <v>3600</v>
      </c>
      <c r="D7871" s="1" t="s">
        <v>7891</v>
      </c>
      <c r="E7871" s="1" t="s">
        <v>3752</v>
      </c>
      <c r="F7871" s="1" t="s">
        <v>26566</v>
      </c>
      <c r="G7871" s="1" t="s">
        <v>26567</v>
      </c>
      <c r="H7871" s="1" t="s">
        <v>3604</v>
      </c>
      <c r="I7871" s="1" t="s">
        <v>26568</v>
      </c>
      <c r="J7871" s="1" t="s">
        <v>3615</v>
      </c>
      <c r="K7871" s="1" t="s">
        <v>26569</v>
      </c>
      <c r="L7871" s="1"/>
      <c r="M7871" s="1"/>
    </row>
    <row x14ac:dyDescent="0.25" r="7872" customHeight="1" ht="18.75">
      <c r="A7872" s="1" t="s">
        <v>3598</v>
      </c>
      <c r="B7872" s="1" t="s">
        <v>18410</v>
      </c>
      <c r="C7872" s="1" t="s">
        <v>3600</v>
      </c>
      <c r="D7872" s="1" t="s">
        <v>7891</v>
      </c>
      <c r="E7872" s="1" t="s">
        <v>3752</v>
      </c>
      <c r="F7872" s="1" t="s">
        <v>26570</v>
      </c>
      <c r="G7872" s="1" t="s">
        <v>26567</v>
      </c>
      <c r="H7872" s="1" t="s">
        <v>3604</v>
      </c>
      <c r="I7872" s="1" t="s">
        <v>26571</v>
      </c>
      <c r="J7872" s="1" t="s">
        <v>3615</v>
      </c>
      <c r="K7872" s="1" t="s">
        <v>26572</v>
      </c>
      <c r="L7872" s="1"/>
      <c r="M7872" s="1"/>
    </row>
    <row x14ac:dyDescent="0.25" r="7873" customHeight="1" ht="18.75">
      <c r="A7873" s="1" t="s">
        <v>3598</v>
      </c>
      <c r="B7873" s="1" t="s">
        <v>18410</v>
      </c>
      <c r="C7873" s="1" t="s">
        <v>3600</v>
      </c>
      <c r="D7873" s="1" t="s">
        <v>7891</v>
      </c>
      <c r="E7873" s="1" t="s">
        <v>3752</v>
      </c>
      <c r="F7873" s="1" t="s">
        <v>26573</v>
      </c>
      <c r="G7873" s="1" t="s">
        <v>26567</v>
      </c>
      <c r="H7873" s="1" t="s">
        <v>3604</v>
      </c>
      <c r="I7873" s="1" t="s">
        <v>26574</v>
      </c>
      <c r="J7873" s="1" t="s">
        <v>3615</v>
      </c>
      <c r="K7873" s="1" t="s">
        <v>26575</v>
      </c>
      <c r="L7873" s="1"/>
      <c r="M7873" s="1"/>
    </row>
    <row x14ac:dyDescent="0.25" r="7874" customHeight="1" ht="18.75">
      <c r="A7874" s="1" t="s">
        <v>3598</v>
      </c>
      <c r="B7874" s="1" t="s">
        <v>6728</v>
      </c>
      <c r="C7874" s="1" t="s">
        <v>3600</v>
      </c>
      <c r="D7874" s="1" t="s">
        <v>7891</v>
      </c>
      <c r="E7874" s="1" t="s">
        <v>3664</v>
      </c>
      <c r="F7874" s="1" t="s">
        <v>26576</v>
      </c>
      <c r="G7874" s="1" t="s">
        <v>19738</v>
      </c>
      <c r="H7874" s="1" t="s">
        <v>3604</v>
      </c>
      <c r="I7874" s="1" t="s">
        <v>26577</v>
      </c>
      <c r="J7874" s="1" t="s">
        <v>3615</v>
      </c>
      <c r="K7874" s="1" t="s">
        <v>26578</v>
      </c>
      <c r="L7874" s="1"/>
      <c r="M7874" s="1"/>
    </row>
    <row x14ac:dyDescent="0.25" r="7875" customHeight="1" ht="18.75">
      <c r="A7875" s="1" t="s">
        <v>3598</v>
      </c>
      <c r="B7875" s="1" t="s">
        <v>6728</v>
      </c>
      <c r="C7875" s="1" t="s">
        <v>3600</v>
      </c>
      <c r="D7875" s="1" t="s">
        <v>7891</v>
      </c>
      <c r="E7875" s="1" t="s">
        <v>3664</v>
      </c>
      <c r="F7875" s="1" t="s">
        <v>26579</v>
      </c>
      <c r="G7875" s="1" t="s">
        <v>19738</v>
      </c>
      <c r="H7875" s="1" t="s">
        <v>3604</v>
      </c>
      <c r="I7875" s="1" t="s">
        <v>26580</v>
      </c>
      <c r="J7875" s="1" t="s">
        <v>3615</v>
      </c>
      <c r="K7875" s="1" t="s">
        <v>26581</v>
      </c>
      <c r="L7875" s="1"/>
      <c r="M7875" s="1"/>
    </row>
    <row x14ac:dyDescent="0.25" r="7876" customHeight="1" ht="18.75">
      <c r="A7876" s="1" t="s">
        <v>7833</v>
      </c>
      <c r="B7876" s="1" t="s">
        <v>9824</v>
      </c>
      <c r="C7876" s="1" t="s">
        <v>4488</v>
      </c>
      <c r="D7876" s="1" t="s">
        <v>3695</v>
      </c>
      <c r="E7876" s="1" t="s">
        <v>8096</v>
      </c>
      <c r="F7876" s="1" t="s">
        <v>26582</v>
      </c>
      <c r="G7876" s="1" t="s">
        <v>14298</v>
      </c>
      <c r="H7876" s="1" t="s">
        <v>3604</v>
      </c>
      <c r="I7876" s="1" t="s">
        <v>26583</v>
      </c>
      <c r="J7876" s="1" t="s">
        <v>3606</v>
      </c>
      <c r="K7876" s="1" t="s">
        <v>26429</v>
      </c>
      <c r="L7876" s="1"/>
      <c r="M7876" s="1"/>
    </row>
    <row x14ac:dyDescent="0.25" r="7877" customHeight="1" ht="18.75">
      <c r="A7877" s="1" t="s">
        <v>3598</v>
      </c>
      <c r="B7877" s="1" t="s">
        <v>6728</v>
      </c>
      <c r="C7877" s="1" t="s">
        <v>3600</v>
      </c>
      <c r="D7877" s="1" t="s">
        <v>7891</v>
      </c>
      <c r="E7877" s="1" t="s">
        <v>3664</v>
      </c>
      <c r="F7877" s="1" t="s">
        <v>26584</v>
      </c>
      <c r="G7877" s="1" t="s">
        <v>19738</v>
      </c>
      <c r="H7877" s="1" t="s">
        <v>3604</v>
      </c>
      <c r="I7877" s="1" t="s">
        <v>26585</v>
      </c>
      <c r="J7877" s="1" t="s">
        <v>3615</v>
      </c>
      <c r="K7877" s="1" t="s">
        <v>26586</v>
      </c>
      <c r="L7877" s="1"/>
      <c r="M7877" s="1"/>
    </row>
    <row x14ac:dyDescent="0.25" r="7878" customHeight="1" ht="18.75">
      <c r="A7878" s="1" t="s">
        <v>7833</v>
      </c>
      <c r="B7878" s="1" t="s">
        <v>9824</v>
      </c>
      <c r="C7878" s="1" t="s">
        <v>4488</v>
      </c>
      <c r="D7878" s="1" t="s">
        <v>3695</v>
      </c>
      <c r="E7878" s="1" t="s">
        <v>8096</v>
      </c>
      <c r="F7878" s="1" t="s">
        <v>26587</v>
      </c>
      <c r="G7878" s="1" t="s">
        <v>14298</v>
      </c>
      <c r="H7878" s="1" t="s">
        <v>3604</v>
      </c>
      <c r="I7878" s="1" t="s">
        <v>26588</v>
      </c>
      <c r="J7878" s="1" t="s">
        <v>3606</v>
      </c>
      <c r="K7878" s="1" t="s">
        <v>26435</v>
      </c>
      <c r="L7878" s="1"/>
      <c r="M7878" s="1"/>
    </row>
    <row x14ac:dyDescent="0.25" r="7879" customHeight="1" ht="18.75">
      <c r="A7879" s="1" t="s">
        <v>3598</v>
      </c>
      <c r="B7879" s="1" t="s">
        <v>6728</v>
      </c>
      <c r="C7879" s="1" t="s">
        <v>3600</v>
      </c>
      <c r="D7879" s="1" t="s">
        <v>7891</v>
      </c>
      <c r="E7879" s="1" t="s">
        <v>3664</v>
      </c>
      <c r="F7879" s="1" t="s">
        <v>26589</v>
      </c>
      <c r="G7879" s="1" t="s">
        <v>26590</v>
      </c>
      <c r="H7879" s="1" t="s">
        <v>3604</v>
      </c>
      <c r="I7879" s="1" t="s">
        <v>26591</v>
      </c>
      <c r="J7879" s="1" t="s">
        <v>3615</v>
      </c>
      <c r="K7879" s="1" t="s">
        <v>26592</v>
      </c>
      <c r="L7879" s="1"/>
      <c r="M7879" s="1"/>
    </row>
    <row x14ac:dyDescent="0.25" r="7880" customHeight="1" ht="18.75">
      <c r="A7880" s="1" t="s">
        <v>7833</v>
      </c>
      <c r="B7880" s="1" t="s">
        <v>9824</v>
      </c>
      <c r="C7880" s="1" t="s">
        <v>4488</v>
      </c>
      <c r="D7880" s="1" t="s">
        <v>3695</v>
      </c>
      <c r="E7880" s="1" t="s">
        <v>8096</v>
      </c>
      <c r="F7880" s="1" t="s">
        <v>26593</v>
      </c>
      <c r="G7880" s="1" t="s">
        <v>14298</v>
      </c>
      <c r="H7880" s="1" t="s">
        <v>3604</v>
      </c>
      <c r="I7880" s="1" t="s">
        <v>26594</v>
      </c>
      <c r="J7880" s="1" t="s">
        <v>3606</v>
      </c>
      <c r="K7880" s="1" t="s">
        <v>26432</v>
      </c>
      <c r="L7880" s="1"/>
      <c r="M7880" s="1"/>
    </row>
    <row x14ac:dyDescent="0.25" r="7881" customHeight="1" ht="18.75">
      <c r="A7881" s="1" t="s">
        <v>3598</v>
      </c>
      <c r="B7881" s="1" t="s">
        <v>6728</v>
      </c>
      <c r="C7881" s="1" t="s">
        <v>3600</v>
      </c>
      <c r="D7881" s="1" t="s">
        <v>7891</v>
      </c>
      <c r="E7881" s="1" t="s">
        <v>3664</v>
      </c>
      <c r="F7881" s="1" t="s">
        <v>26595</v>
      </c>
      <c r="G7881" s="1" t="s">
        <v>26590</v>
      </c>
      <c r="H7881" s="1" t="s">
        <v>3604</v>
      </c>
      <c r="I7881" s="1" t="s">
        <v>26596</v>
      </c>
      <c r="J7881" s="1" t="s">
        <v>3615</v>
      </c>
      <c r="K7881" s="1" t="s">
        <v>26597</v>
      </c>
      <c r="L7881" s="1"/>
      <c r="M7881" s="1"/>
    </row>
    <row x14ac:dyDescent="0.25" r="7882" customHeight="1" ht="18.75">
      <c r="A7882" s="1" t="s">
        <v>7833</v>
      </c>
      <c r="B7882" s="1" t="s">
        <v>14264</v>
      </c>
      <c r="C7882" s="1" t="s">
        <v>4488</v>
      </c>
      <c r="D7882" s="1" t="s">
        <v>3695</v>
      </c>
      <c r="E7882" s="1" t="s">
        <v>3664</v>
      </c>
      <c r="F7882" s="1" t="s">
        <v>26598</v>
      </c>
      <c r="G7882" s="1" t="s">
        <v>25904</v>
      </c>
      <c r="H7882" s="1" t="s">
        <v>3604</v>
      </c>
      <c r="I7882" s="1" t="s">
        <v>26599</v>
      </c>
      <c r="J7882" s="1" t="s">
        <v>3606</v>
      </c>
      <c r="K7882" s="1" t="s">
        <v>26429</v>
      </c>
      <c r="L7882" s="1"/>
      <c r="M7882" s="1"/>
    </row>
    <row x14ac:dyDescent="0.25" r="7883" customHeight="1" ht="18.75">
      <c r="A7883" s="1" t="s">
        <v>3598</v>
      </c>
      <c r="B7883" s="1" t="s">
        <v>6728</v>
      </c>
      <c r="C7883" s="1" t="s">
        <v>3600</v>
      </c>
      <c r="D7883" s="1" t="s">
        <v>7891</v>
      </c>
      <c r="E7883" s="1" t="s">
        <v>3664</v>
      </c>
      <c r="F7883" s="1" t="s">
        <v>26600</v>
      </c>
      <c r="G7883" s="1" t="s">
        <v>26590</v>
      </c>
      <c r="H7883" s="1" t="s">
        <v>3604</v>
      </c>
      <c r="I7883" s="1" t="s">
        <v>26601</v>
      </c>
      <c r="J7883" s="1" t="s">
        <v>3615</v>
      </c>
      <c r="K7883" s="1" t="s">
        <v>26602</v>
      </c>
      <c r="L7883" s="1"/>
      <c r="M7883" s="1"/>
    </row>
    <row x14ac:dyDescent="0.25" r="7884" customHeight="1" ht="18.75">
      <c r="A7884" s="1" t="s">
        <v>7833</v>
      </c>
      <c r="B7884" s="1" t="s">
        <v>14422</v>
      </c>
      <c r="C7884" s="1" t="s">
        <v>4488</v>
      </c>
      <c r="D7884" s="1" t="s">
        <v>3695</v>
      </c>
      <c r="E7884" s="1" t="s">
        <v>3664</v>
      </c>
      <c r="F7884" s="1" t="s">
        <v>26603</v>
      </c>
      <c r="G7884" s="1" t="s">
        <v>14449</v>
      </c>
      <c r="H7884" s="1" t="s">
        <v>3604</v>
      </c>
      <c r="I7884" s="1" t="s">
        <v>26604</v>
      </c>
      <c r="J7884" s="1" t="s">
        <v>3615</v>
      </c>
      <c r="K7884" s="1" t="s">
        <v>26429</v>
      </c>
      <c r="L7884" s="1"/>
      <c r="M7884" s="1"/>
    </row>
    <row x14ac:dyDescent="0.25" r="7885" customHeight="1" ht="18.75">
      <c r="A7885" s="1" t="s">
        <v>3598</v>
      </c>
      <c r="B7885" s="1" t="s">
        <v>6728</v>
      </c>
      <c r="C7885" s="1" t="s">
        <v>3600</v>
      </c>
      <c r="D7885" s="1" t="s">
        <v>7891</v>
      </c>
      <c r="E7885" s="1" t="s">
        <v>3664</v>
      </c>
      <c r="F7885" s="1" t="s">
        <v>26605</v>
      </c>
      <c r="G7885" s="1" t="s">
        <v>13781</v>
      </c>
      <c r="H7885" s="1" t="s">
        <v>3604</v>
      </c>
      <c r="I7885" s="1" t="s">
        <v>26606</v>
      </c>
      <c r="J7885" s="1" t="s">
        <v>3615</v>
      </c>
      <c r="K7885" s="1" t="s">
        <v>26607</v>
      </c>
      <c r="L7885" s="1"/>
      <c r="M7885" s="1"/>
    </row>
    <row x14ac:dyDescent="0.25" r="7886" customHeight="1" ht="18.75">
      <c r="A7886" s="1" t="s">
        <v>7833</v>
      </c>
      <c r="B7886" s="1" t="s">
        <v>14422</v>
      </c>
      <c r="C7886" s="1" t="s">
        <v>4488</v>
      </c>
      <c r="D7886" s="1" t="s">
        <v>3695</v>
      </c>
      <c r="E7886" s="1" t="s">
        <v>3664</v>
      </c>
      <c r="F7886" s="1" t="s">
        <v>26608</v>
      </c>
      <c r="G7886" s="1" t="s">
        <v>14449</v>
      </c>
      <c r="H7886" s="1" t="s">
        <v>3604</v>
      </c>
      <c r="I7886" s="1" t="s">
        <v>26609</v>
      </c>
      <c r="J7886" s="1" t="s">
        <v>3615</v>
      </c>
      <c r="K7886" s="1" t="s">
        <v>26435</v>
      </c>
      <c r="L7886" s="1"/>
      <c r="M7886" s="1"/>
    </row>
    <row x14ac:dyDescent="0.25" r="7887" customHeight="1" ht="18.75">
      <c r="A7887" s="1" t="s">
        <v>3598</v>
      </c>
      <c r="B7887" s="1" t="s">
        <v>6728</v>
      </c>
      <c r="C7887" s="1" t="s">
        <v>3600</v>
      </c>
      <c r="D7887" s="1" t="s">
        <v>7891</v>
      </c>
      <c r="E7887" s="1" t="s">
        <v>3664</v>
      </c>
      <c r="F7887" s="1" t="s">
        <v>26610</v>
      </c>
      <c r="G7887" s="1" t="s">
        <v>13785</v>
      </c>
      <c r="H7887" s="1" t="s">
        <v>3604</v>
      </c>
      <c r="I7887" s="1" t="s">
        <v>26611</v>
      </c>
      <c r="J7887" s="1" t="s">
        <v>3615</v>
      </c>
      <c r="K7887" s="1" t="s">
        <v>26612</v>
      </c>
      <c r="L7887" s="1"/>
      <c r="M7887" s="1"/>
    </row>
    <row x14ac:dyDescent="0.25" r="7888" customHeight="1" ht="18.75">
      <c r="A7888" s="1" t="s">
        <v>7833</v>
      </c>
      <c r="B7888" s="1" t="s">
        <v>14422</v>
      </c>
      <c r="C7888" s="1" t="s">
        <v>4488</v>
      </c>
      <c r="D7888" s="1" t="s">
        <v>3695</v>
      </c>
      <c r="E7888" s="1" t="s">
        <v>3664</v>
      </c>
      <c r="F7888" s="1" t="s">
        <v>26613</v>
      </c>
      <c r="G7888" s="1" t="s">
        <v>14449</v>
      </c>
      <c r="H7888" s="1" t="s">
        <v>3604</v>
      </c>
      <c r="I7888" s="1" t="s">
        <v>26614</v>
      </c>
      <c r="J7888" s="1" t="s">
        <v>3615</v>
      </c>
      <c r="K7888" s="1" t="s">
        <v>26615</v>
      </c>
      <c r="L7888" s="1"/>
      <c r="M7888" s="1"/>
    </row>
    <row x14ac:dyDescent="0.25" r="7889" customHeight="1" ht="18.75">
      <c r="A7889" s="1" t="s">
        <v>3598</v>
      </c>
      <c r="B7889" s="1" t="s">
        <v>6728</v>
      </c>
      <c r="C7889" s="1" t="s">
        <v>3600</v>
      </c>
      <c r="D7889" s="1" t="s">
        <v>7891</v>
      </c>
      <c r="E7889" s="1" t="s">
        <v>3664</v>
      </c>
      <c r="F7889" s="1" t="s">
        <v>26616</v>
      </c>
      <c r="G7889" s="1" t="s">
        <v>13785</v>
      </c>
      <c r="H7889" s="1" t="s">
        <v>3604</v>
      </c>
      <c r="I7889" s="1" t="s">
        <v>26617</v>
      </c>
      <c r="J7889" s="1" t="s">
        <v>3615</v>
      </c>
      <c r="K7889" s="1" t="s">
        <v>26618</v>
      </c>
      <c r="L7889" s="1"/>
      <c r="M7889" s="1"/>
    </row>
    <row x14ac:dyDescent="0.25" r="7890" customHeight="1" ht="18.75">
      <c r="A7890" s="1" t="s">
        <v>7833</v>
      </c>
      <c r="B7890" s="1" t="s">
        <v>14422</v>
      </c>
      <c r="C7890" s="1" t="s">
        <v>4488</v>
      </c>
      <c r="D7890" s="1" t="s">
        <v>3695</v>
      </c>
      <c r="E7890" s="1" t="s">
        <v>3664</v>
      </c>
      <c r="F7890" s="1" t="s">
        <v>26619</v>
      </c>
      <c r="G7890" s="1" t="s">
        <v>26319</v>
      </c>
      <c r="H7890" s="1" t="s">
        <v>3604</v>
      </c>
      <c r="I7890" s="1" t="s">
        <v>26620</v>
      </c>
      <c r="J7890" s="1" t="s">
        <v>3615</v>
      </c>
      <c r="K7890" s="1" t="s">
        <v>26429</v>
      </c>
      <c r="L7890" s="1"/>
      <c r="M7890" s="1"/>
    </row>
    <row x14ac:dyDescent="0.25" r="7891" customHeight="1" ht="18.75">
      <c r="A7891" s="1" t="s">
        <v>3598</v>
      </c>
      <c r="B7891" s="1" t="s">
        <v>6728</v>
      </c>
      <c r="C7891" s="1" t="s">
        <v>3600</v>
      </c>
      <c r="D7891" s="1" t="s">
        <v>7891</v>
      </c>
      <c r="E7891" s="1" t="s">
        <v>3664</v>
      </c>
      <c r="F7891" s="1" t="s">
        <v>26621</v>
      </c>
      <c r="G7891" s="1" t="s">
        <v>13785</v>
      </c>
      <c r="H7891" s="1" t="s">
        <v>3604</v>
      </c>
      <c r="I7891" s="1" t="s">
        <v>26622</v>
      </c>
      <c r="J7891" s="1" t="s">
        <v>3615</v>
      </c>
      <c r="K7891" s="1" t="s">
        <v>26623</v>
      </c>
      <c r="L7891" s="1"/>
      <c r="M7891" s="1"/>
    </row>
    <row x14ac:dyDescent="0.25" r="7892" customHeight="1" ht="18.75">
      <c r="A7892" s="1" t="s">
        <v>7833</v>
      </c>
      <c r="B7892" s="1" t="s">
        <v>14422</v>
      </c>
      <c r="C7892" s="1" t="s">
        <v>4488</v>
      </c>
      <c r="D7892" s="1" t="s">
        <v>3695</v>
      </c>
      <c r="E7892" s="1" t="s">
        <v>3664</v>
      </c>
      <c r="F7892" s="1" t="s">
        <v>26624</v>
      </c>
      <c r="G7892" s="1" t="s">
        <v>26319</v>
      </c>
      <c r="H7892" s="1" t="s">
        <v>3604</v>
      </c>
      <c r="I7892" s="1" t="s">
        <v>26625</v>
      </c>
      <c r="J7892" s="1" t="s">
        <v>3615</v>
      </c>
      <c r="K7892" s="1" t="s">
        <v>26432</v>
      </c>
      <c r="L7892" s="1"/>
      <c r="M7892" s="1"/>
    </row>
    <row x14ac:dyDescent="0.25" r="7893" customHeight="1" ht="18.75">
      <c r="A7893" s="1" t="s">
        <v>7833</v>
      </c>
      <c r="B7893" s="1" t="s">
        <v>14422</v>
      </c>
      <c r="C7893" s="1" t="s">
        <v>4488</v>
      </c>
      <c r="D7893" s="1" t="s">
        <v>3695</v>
      </c>
      <c r="E7893" s="1" t="s">
        <v>3664</v>
      </c>
      <c r="F7893" s="1" t="s">
        <v>26626</v>
      </c>
      <c r="G7893" s="1" t="s">
        <v>26319</v>
      </c>
      <c r="H7893" s="1" t="s">
        <v>3604</v>
      </c>
      <c r="I7893" s="1" t="s">
        <v>26627</v>
      </c>
      <c r="J7893" s="1" t="s">
        <v>3615</v>
      </c>
      <c r="K7893" s="1" t="s">
        <v>26435</v>
      </c>
      <c r="L7893" s="1"/>
      <c r="M7893" s="1"/>
    </row>
    <row x14ac:dyDescent="0.25" r="7894" customHeight="1" ht="18.75">
      <c r="A7894" s="1" t="s">
        <v>7833</v>
      </c>
      <c r="B7894" s="1" t="s">
        <v>13857</v>
      </c>
      <c r="C7894" s="1" t="s">
        <v>4488</v>
      </c>
      <c r="D7894" s="1" t="s">
        <v>533</v>
      </c>
      <c r="E7894" s="1" t="s">
        <v>3664</v>
      </c>
      <c r="F7894" s="1" t="s">
        <v>26628</v>
      </c>
      <c r="G7894" s="1" t="s">
        <v>14927</v>
      </c>
      <c r="H7894" s="1" t="s">
        <v>3604</v>
      </c>
      <c r="I7894" s="1" t="s">
        <v>26629</v>
      </c>
      <c r="J7894" s="1" t="s">
        <v>3615</v>
      </c>
      <c r="K7894" s="1" t="s">
        <v>14508</v>
      </c>
      <c r="L7894" s="1"/>
      <c r="M7894" s="1"/>
    </row>
    <row x14ac:dyDescent="0.25" r="7895" customHeight="1" ht="18.75">
      <c r="A7895" s="1" t="s">
        <v>7833</v>
      </c>
      <c r="B7895" s="1" t="s">
        <v>13857</v>
      </c>
      <c r="C7895" s="1" t="s">
        <v>4488</v>
      </c>
      <c r="D7895" s="1" t="s">
        <v>533</v>
      </c>
      <c r="E7895" s="1" t="s">
        <v>3664</v>
      </c>
      <c r="F7895" s="1" t="s">
        <v>26630</v>
      </c>
      <c r="G7895" s="1" t="s">
        <v>19470</v>
      </c>
      <c r="H7895" s="1" t="s">
        <v>3604</v>
      </c>
      <c r="I7895" s="1" t="s">
        <v>26631</v>
      </c>
      <c r="J7895" s="1" t="s">
        <v>3615</v>
      </c>
      <c r="K7895" s="1" t="s">
        <v>14515</v>
      </c>
      <c r="L7895" s="1"/>
      <c r="M7895" s="1"/>
    </row>
    <row x14ac:dyDescent="0.25" r="7896" customHeight="1" ht="18.75">
      <c r="A7896" s="1" t="s">
        <v>3598</v>
      </c>
      <c r="B7896" s="1" t="s">
        <v>6732</v>
      </c>
      <c r="C7896" s="1" t="s">
        <v>3600</v>
      </c>
      <c r="D7896" s="1" t="s">
        <v>7891</v>
      </c>
      <c r="E7896" s="1" t="s">
        <v>3752</v>
      </c>
      <c r="F7896" s="1" t="s">
        <v>26632</v>
      </c>
      <c r="G7896" s="1" t="s">
        <v>20175</v>
      </c>
      <c r="H7896" s="1" t="s">
        <v>3604</v>
      </c>
      <c r="I7896" s="1" t="s">
        <v>26633</v>
      </c>
      <c r="J7896" s="1" t="s">
        <v>3615</v>
      </c>
      <c r="K7896" s="1" t="s">
        <v>26634</v>
      </c>
      <c r="L7896" s="1"/>
      <c r="M7896" s="1"/>
    </row>
    <row x14ac:dyDescent="0.25" r="7897" customHeight="1" ht="18.75">
      <c r="A7897" s="1" t="s">
        <v>3598</v>
      </c>
      <c r="B7897" s="1" t="s">
        <v>6732</v>
      </c>
      <c r="C7897" s="1" t="s">
        <v>3600</v>
      </c>
      <c r="D7897" s="1" t="s">
        <v>7891</v>
      </c>
      <c r="E7897" s="1" t="s">
        <v>3752</v>
      </c>
      <c r="F7897" s="1" t="s">
        <v>26635</v>
      </c>
      <c r="G7897" s="1" t="s">
        <v>20175</v>
      </c>
      <c r="H7897" s="1" t="s">
        <v>3604</v>
      </c>
      <c r="I7897" s="1" t="s">
        <v>26636</v>
      </c>
      <c r="J7897" s="1" t="s">
        <v>3615</v>
      </c>
      <c r="K7897" s="1" t="s">
        <v>26637</v>
      </c>
      <c r="L7897" s="1"/>
      <c r="M7897" s="1"/>
    </row>
    <row x14ac:dyDescent="0.25" r="7898" customHeight="1" ht="18.75">
      <c r="A7898" s="1" t="s">
        <v>3598</v>
      </c>
      <c r="B7898" s="1" t="s">
        <v>6732</v>
      </c>
      <c r="C7898" s="1" t="s">
        <v>3600</v>
      </c>
      <c r="D7898" s="1" t="s">
        <v>7891</v>
      </c>
      <c r="E7898" s="1" t="s">
        <v>3752</v>
      </c>
      <c r="F7898" s="1" t="s">
        <v>26638</v>
      </c>
      <c r="G7898" s="1" t="s">
        <v>20175</v>
      </c>
      <c r="H7898" s="1" t="s">
        <v>3604</v>
      </c>
      <c r="I7898" s="1" t="s">
        <v>26639</v>
      </c>
      <c r="J7898" s="1" t="s">
        <v>3615</v>
      </c>
      <c r="K7898" s="1" t="s">
        <v>26640</v>
      </c>
      <c r="L7898" s="1"/>
      <c r="M7898" s="1"/>
    </row>
    <row x14ac:dyDescent="0.25" r="7899" customHeight="1" ht="18.75">
      <c r="A7899" s="1" t="s">
        <v>3598</v>
      </c>
      <c r="B7899" s="1" t="s">
        <v>15557</v>
      </c>
      <c r="C7899" s="1" t="s">
        <v>3600</v>
      </c>
      <c r="D7899" s="1" t="s">
        <v>7891</v>
      </c>
      <c r="E7899" s="1" t="s">
        <v>3611</v>
      </c>
      <c r="F7899" s="1" t="s">
        <v>26641</v>
      </c>
      <c r="G7899" s="1" t="s">
        <v>15632</v>
      </c>
      <c r="H7899" s="1" t="s">
        <v>3604</v>
      </c>
      <c r="I7899" s="1" t="s">
        <v>26642</v>
      </c>
      <c r="J7899" s="1" t="s">
        <v>3615</v>
      </c>
      <c r="K7899" s="1" t="s">
        <v>26643</v>
      </c>
      <c r="L7899" s="1"/>
      <c r="M7899" s="1"/>
    </row>
    <row x14ac:dyDescent="0.25" r="7900" customHeight="1" ht="18.75">
      <c r="A7900" s="1" t="s">
        <v>3598</v>
      </c>
      <c r="B7900" s="1" t="s">
        <v>15557</v>
      </c>
      <c r="C7900" s="1" t="s">
        <v>3600</v>
      </c>
      <c r="D7900" s="1" t="s">
        <v>7891</v>
      </c>
      <c r="E7900" s="1" t="s">
        <v>3611</v>
      </c>
      <c r="F7900" s="1" t="s">
        <v>26644</v>
      </c>
      <c r="G7900" s="1" t="s">
        <v>15632</v>
      </c>
      <c r="H7900" s="1" t="s">
        <v>3604</v>
      </c>
      <c r="I7900" s="1" t="s">
        <v>26645</v>
      </c>
      <c r="J7900" s="1" t="s">
        <v>3615</v>
      </c>
      <c r="K7900" s="1" t="s">
        <v>26646</v>
      </c>
      <c r="L7900" s="1"/>
      <c r="M7900" s="1"/>
    </row>
    <row x14ac:dyDescent="0.25" r="7901" customHeight="1" ht="18.75">
      <c r="A7901" s="1" t="s">
        <v>3598</v>
      </c>
      <c r="B7901" s="1" t="s">
        <v>15557</v>
      </c>
      <c r="C7901" s="1" t="s">
        <v>3600</v>
      </c>
      <c r="D7901" s="1" t="s">
        <v>7891</v>
      </c>
      <c r="E7901" s="1" t="s">
        <v>3611</v>
      </c>
      <c r="F7901" s="1" t="s">
        <v>26647</v>
      </c>
      <c r="G7901" s="1" t="s">
        <v>15653</v>
      </c>
      <c r="H7901" s="1" t="s">
        <v>3604</v>
      </c>
      <c r="I7901" s="1" t="s">
        <v>26648</v>
      </c>
      <c r="J7901" s="1" t="s">
        <v>3615</v>
      </c>
      <c r="K7901" s="1" t="s">
        <v>26649</v>
      </c>
      <c r="L7901" s="1"/>
      <c r="M7901" s="1"/>
    </row>
    <row x14ac:dyDescent="0.25" r="7902" customHeight="1" ht="18.75">
      <c r="A7902" s="1" t="s">
        <v>3598</v>
      </c>
      <c r="B7902" s="1" t="s">
        <v>15557</v>
      </c>
      <c r="C7902" s="1" t="s">
        <v>3600</v>
      </c>
      <c r="D7902" s="1" t="s">
        <v>7891</v>
      </c>
      <c r="E7902" s="1" t="s">
        <v>3611</v>
      </c>
      <c r="F7902" s="1" t="s">
        <v>26650</v>
      </c>
      <c r="G7902" s="1" t="s">
        <v>15653</v>
      </c>
      <c r="H7902" s="1" t="s">
        <v>3604</v>
      </c>
      <c r="I7902" s="1" t="s">
        <v>26651</v>
      </c>
      <c r="J7902" s="1" t="s">
        <v>3615</v>
      </c>
      <c r="K7902" s="1" t="s">
        <v>26652</v>
      </c>
      <c r="L7902" s="1"/>
      <c r="M7902" s="1"/>
    </row>
    <row x14ac:dyDescent="0.25" r="7903" customHeight="1" ht="18.75">
      <c r="A7903" s="1" t="s">
        <v>3598</v>
      </c>
      <c r="B7903" s="1" t="s">
        <v>18066</v>
      </c>
      <c r="C7903" s="1" t="s">
        <v>3600</v>
      </c>
      <c r="D7903" s="1" t="s">
        <v>3610</v>
      </c>
      <c r="E7903" s="1" t="s">
        <v>3664</v>
      </c>
      <c r="F7903" s="1" t="s">
        <v>26653</v>
      </c>
      <c r="G7903" s="1" t="s">
        <v>26654</v>
      </c>
      <c r="H7903" s="1" t="s">
        <v>3604</v>
      </c>
      <c r="I7903" s="1" t="s">
        <v>26655</v>
      </c>
      <c r="J7903" s="1" t="s">
        <v>3615</v>
      </c>
      <c r="K7903" s="1" t="s">
        <v>26656</v>
      </c>
      <c r="L7903" s="1"/>
      <c r="M7903" s="1"/>
    </row>
    <row x14ac:dyDescent="0.25" r="7904" customHeight="1" ht="18.75">
      <c r="A7904" s="1" t="s">
        <v>3598</v>
      </c>
      <c r="B7904" s="1" t="s">
        <v>18066</v>
      </c>
      <c r="C7904" s="1" t="s">
        <v>3600</v>
      </c>
      <c r="D7904" s="1" t="s">
        <v>3610</v>
      </c>
      <c r="E7904" s="1" t="s">
        <v>3664</v>
      </c>
      <c r="F7904" s="1" t="s">
        <v>26657</v>
      </c>
      <c r="G7904" s="1" t="s">
        <v>18217</v>
      </c>
      <c r="H7904" s="1" t="s">
        <v>3604</v>
      </c>
      <c r="I7904" s="1" t="s">
        <v>26658</v>
      </c>
      <c r="J7904" s="1" t="s">
        <v>3615</v>
      </c>
      <c r="K7904" s="1" t="s">
        <v>26659</v>
      </c>
      <c r="L7904" s="1"/>
      <c r="M7904" s="1"/>
    </row>
    <row x14ac:dyDescent="0.25" r="7905" customHeight="1" ht="18.75">
      <c r="A7905" s="1" t="s">
        <v>3598</v>
      </c>
      <c r="B7905" s="1" t="s">
        <v>18066</v>
      </c>
      <c r="C7905" s="1" t="s">
        <v>3600</v>
      </c>
      <c r="D7905" s="1" t="s">
        <v>3610</v>
      </c>
      <c r="E7905" s="1" t="s">
        <v>3664</v>
      </c>
      <c r="F7905" s="1" t="s">
        <v>26660</v>
      </c>
      <c r="G7905" s="1" t="s">
        <v>26661</v>
      </c>
      <c r="H7905" s="1" t="s">
        <v>3604</v>
      </c>
      <c r="I7905" s="1" t="s">
        <v>26662</v>
      </c>
      <c r="J7905" s="1" t="s">
        <v>3615</v>
      </c>
      <c r="K7905" s="1" t="s">
        <v>26663</v>
      </c>
      <c r="L7905" s="1"/>
      <c r="M7905" s="1"/>
    </row>
    <row x14ac:dyDescent="0.25" r="7906" customHeight="1" ht="18.75">
      <c r="A7906" s="1" t="s">
        <v>3598</v>
      </c>
      <c r="B7906" s="1" t="s">
        <v>19909</v>
      </c>
      <c r="C7906" s="1" t="s">
        <v>3600</v>
      </c>
      <c r="D7906" s="1" t="s">
        <v>3610</v>
      </c>
      <c r="E7906" s="1" t="s">
        <v>3664</v>
      </c>
      <c r="F7906" s="1" t="s">
        <v>26664</v>
      </c>
      <c r="G7906" s="1" t="s">
        <v>19911</v>
      </c>
      <c r="H7906" s="1" t="s">
        <v>3604</v>
      </c>
      <c r="I7906" s="1" t="s">
        <v>26665</v>
      </c>
      <c r="J7906" s="1" t="s">
        <v>3615</v>
      </c>
      <c r="K7906" s="1" t="s">
        <v>26666</v>
      </c>
      <c r="L7906" s="1"/>
      <c r="M7906" s="1"/>
    </row>
    <row x14ac:dyDescent="0.25" r="7907" customHeight="1" ht="18.75">
      <c r="A7907" s="1" t="s">
        <v>3598</v>
      </c>
      <c r="B7907" s="1" t="s">
        <v>19909</v>
      </c>
      <c r="C7907" s="1" t="s">
        <v>3600</v>
      </c>
      <c r="D7907" s="1" t="s">
        <v>3610</v>
      </c>
      <c r="E7907" s="1" t="s">
        <v>3664</v>
      </c>
      <c r="F7907" s="1" t="s">
        <v>26667</v>
      </c>
      <c r="G7907" s="1" t="s">
        <v>19911</v>
      </c>
      <c r="H7907" s="1" t="s">
        <v>3604</v>
      </c>
      <c r="I7907" s="1" t="s">
        <v>26668</v>
      </c>
      <c r="J7907" s="1" t="s">
        <v>3615</v>
      </c>
      <c r="K7907" s="1" t="s">
        <v>26663</v>
      </c>
      <c r="L7907" s="1"/>
      <c r="M7907" s="1"/>
    </row>
    <row x14ac:dyDescent="0.25" r="7908" customHeight="1" ht="18.75">
      <c r="A7908" s="1" t="s">
        <v>3598</v>
      </c>
      <c r="B7908" s="1" t="s">
        <v>14104</v>
      </c>
      <c r="C7908" s="1" t="s">
        <v>3600</v>
      </c>
      <c r="D7908" s="1" t="s">
        <v>3610</v>
      </c>
      <c r="E7908" s="1" t="s">
        <v>3752</v>
      </c>
      <c r="F7908" s="1" t="s">
        <v>26669</v>
      </c>
      <c r="G7908" s="1" t="s">
        <v>26670</v>
      </c>
      <c r="H7908" s="1" t="s">
        <v>3604</v>
      </c>
      <c r="I7908" s="1" t="s">
        <v>26671</v>
      </c>
      <c r="J7908" s="1" t="s">
        <v>3615</v>
      </c>
      <c r="K7908" s="1" t="s">
        <v>26672</v>
      </c>
      <c r="L7908" s="1"/>
      <c r="M7908" s="1"/>
    </row>
    <row x14ac:dyDescent="0.25" r="7909" customHeight="1" ht="18.75">
      <c r="A7909" s="1" t="s">
        <v>3598</v>
      </c>
      <c r="B7909" s="1" t="s">
        <v>14104</v>
      </c>
      <c r="C7909" s="1" t="s">
        <v>3600</v>
      </c>
      <c r="D7909" s="1" t="s">
        <v>3610</v>
      </c>
      <c r="E7909" s="1" t="s">
        <v>3752</v>
      </c>
      <c r="F7909" s="1" t="s">
        <v>26673</v>
      </c>
      <c r="G7909" s="1" t="s">
        <v>26674</v>
      </c>
      <c r="H7909" s="1" t="s">
        <v>3604</v>
      </c>
      <c r="I7909" s="1" t="s">
        <v>26675</v>
      </c>
      <c r="J7909" s="1" t="s">
        <v>3615</v>
      </c>
      <c r="K7909" s="1" t="s">
        <v>26546</v>
      </c>
      <c r="L7909" s="1"/>
      <c r="M7909" s="1"/>
    </row>
    <row x14ac:dyDescent="0.25" r="7910" customHeight="1" ht="18.75">
      <c r="A7910" s="1" t="s">
        <v>3598</v>
      </c>
      <c r="B7910" s="1" t="s">
        <v>14104</v>
      </c>
      <c r="C7910" s="1" t="s">
        <v>3600</v>
      </c>
      <c r="D7910" s="1" t="s">
        <v>3610</v>
      </c>
      <c r="E7910" s="1" t="s">
        <v>3752</v>
      </c>
      <c r="F7910" s="1" t="s">
        <v>26676</v>
      </c>
      <c r="G7910" s="1" t="s">
        <v>26677</v>
      </c>
      <c r="H7910" s="1" t="s">
        <v>3604</v>
      </c>
      <c r="I7910" s="1" t="s">
        <v>26678</v>
      </c>
      <c r="J7910" s="1" t="s">
        <v>3615</v>
      </c>
      <c r="K7910" s="1" t="s">
        <v>26679</v>
      </c>
      <c r="L7910" s="1"/>
      <c r="M7910" s="1"/>
    </row>
    <row x14ac:dyDescent="0.25" r="7911" customHeight="1" ht="18.75">
      <c r="A7911" s="1" t="s">
        <v>3598</v>
      </c>
      <c r="B7911" s="1" t="s">
        <v>14104</v>
      </c>
      <c r="C7911" s="1" t="s">
        <v>3600</v>
      </c>
      <c r="D7911" s="1" t="s">
        <v>3610</v>
      </c>
      <c r="E7911" s="1" t="s">
        <v>3752</v>
      </c>
      <c r="F7911" s="1" t="s">
        <v>26680</v>
      </c>
      <c r="G7911" s="1" t="s">
        <v>26677</v>
      </c>
      <c r="H7911" s="1" t="s">
        <v>3604</v>
      </c>
      <c r="I7911" s="1" t="s">
        <v>26681</v>
      </c>
      <c r="J7911" s="1" t="s">
        <v>3615</v>
      </c>
      <c r="K7911" s="1" t="s">
        <v>26682</v>
      </c>
      <c r="L7911" s="1"/>
      <c r="M7911" s="1"/>
    </row>
    <row x14ac:dyDescent="0.25" r="7912" customHeight="1" ht="18.75">
      <c r="A7912" s="1" t="s">
        <v>3598</v>
      </c>
      <c r="B7912" s="1" t="s">
        <v>14104</v>
      </c>
      <c r="C7912" s="1" t="s">
        <v>3600</v>
      </c>
      <c r="D7912" s="1" t="s">
        <v>3610</v>
      </c>
      <c r="E7912" s="1" t="s">
        <v>3752</v>
      </c>
      <c r="F7912" s="1" t="s">
        <v>26683</v>
      </c>
      <c r="G7912" s="1" t="s">
        <v>26677</v>
      </c>
      <c r="H7912" s="1" t="s">
        <v>3604</v>
      </c>
      <c r="I7912" s="1" t="s">
        <v>26684</v>
      </c>
      <c r="J7912" s="1" t="s">
        <v>3615</v>
      </c>
      <c r="K7912" s="1" t="s">
        <v>26685</v>
      </c>
      <c r="L7912" s="1"/>
      <c r="M7912" s="1"/>
    </row>
    <row x14ac:dyDescent="0.25" r="7913" customHeight="1" ht="18.75">
      <c r="A7913" s="1" t="s">
        <v>3598</v>
      </c>
      <c r="B7913" s="1" t="s">
        <v>14104</v>
      </c>
      <c r="C7913" s="1" t="s">
        <v>3600</v>
      </c>
      <c r="D7913" s="1" t="s">
        <v>3610</v>
      </c>
      <c r="E7913" s="1" t="s">
        <v>3752</v>
      </c>
      <c r="F7913" s="1" t="s">
        <v>26686</v>
      </c>
      <c r="G7913" s="1" t="s">
        <v>26687</v>
      </c>
      <c r="H7913" s="1" t="s">
        <v>3604</v>
      </c>
      <c r="I7913" s="1" t="s">
        <v>26688</v>
      </c>
      <c r="J7913" s="1" t="s">
        <v>3615</v>
      </c>
      <c r="K7913" s="1" t="s">
        <v>26689</v>
      </c>
      <c r="L7913" s="1"/>
      <c r="M7913" s="1"/>
    </row>
    <row x14ac:dyDescent="0.25" r="7914" customHeight="1" ht="18.75">
      <c r="A7914" s="1" t="s">
        <v>3598</v>
      </c>
      <c r="B7914" s="1" t="s">
        <v>14104</v>
      </c>
      <c r="C7914" s="1" t="s">
        <v>3600</v>
      </c>
      <c r="D7914" s="1" t="s">
        <v>3610</v>
      </c>
      <c r="E7914" s="1" t="s">
        <v>3664</v>
      </c>
      <c r="F7914" s="1" t="s">
        <v>26690</v>
      </c>
      <c r="G7914" s="1" t="s">
        <v>14130</v>
      </c>
      <c r="H7914" s="1" t="s">
        <v>3604</v>
      </c>
      <c r="I7914" s="1" t="s">
        <v>26691</v>
      </c>
      <c r="J7914" s="1" t="s">
        <v>3615</v>
      </c>
      <c r="K7914" s="1" t="s">
        <v>26692</v>
      </c>
      <c r="L7914" s="1"/>
      <c r="M7914" s="1"/>
    </row>
    <row x14ac:dyDescent="0.25" r="7915" customHeight="1" ht="18.75">
      <c r="A7915" s="1" t="s">
        <v>3598</v>
      </c>
      <c r="B7915" s="1" t="s">
        <v>14104</v>
      </c>
      <c r="C7915" s="1" t="s">
        <v>3600</v>
      </c>
      <c r="D7915" s="1" t="s">
        <v>3610</v>
      </c>
      <c r="E7915" s="1" t="s">
        <v>3664</v>
      </c>
      <c r="F7915" s="1" t="s">
        <v>26693</v>
      </c>
      <c r="G7915" s="1" t="s">
        <v>14130</v>
      </c>
      <c r="H7915" s="1" t="s">
        <v>3604</v>
      </c>
      <c r="I7915" s="1" t="s">
        <v>26694</v>
      </c>
      <c r="J7915" s="1" t="s">
        <v>3615</v>
      </c>
      <c r="K7915" s="1" t="s">
        <v>26695</v>
      </c>
      <c r="L7915" s="1"/>
      <c r="M7915" s="1"/>
    </row>
    <row x14ac:dyDescent="0.25" r="7916" customHeight="1" ht="18.75">
      <c r="A7916" s="1" t="s">
        <v>3598</v>
      </c>
      <c r="B7916" s="1" t="s">
        <v>14104</v>
      </c>
      <c r="C7916" s="1" t="s">
        <v>3600</v>
      </c>
      <c r="D7916" s="1" t="s">
        <v>3610</v>
      </c>
      <c r="E7916" s="1" t="s">
        <v>3664</v>
      </c>
      <c r="F7916" s="1" t="s">
        <v>26696</v>
      </c>
      <c r="G7916" s="1" t="s">
        <v>26654</v>
      </c>
      <c r="H7916" s="1" t="s">
        <v>3604</v>
      </c>
      <c r="I7916" s="1" t="s">
        <v>26697</v>
      </c>
      <c r="J7916" s="1" t="s">
        <v>3615</v>
      </c>
      <c r="K7916" s="1" t="s">
        <v>26698</v>
      </c>
      <c r="L7916" s="1"/>
      <c r="M7916" s="1"/>
    </row>
    <row x14ac:dyDescent="0.25" r="7917" customHeight="1" ht="18.75">
      <c r="A7917" s="1" t="s">
        <v>3598</v>
      </c>
      <c r="B7917" s="1" t="s">
        <v>14104</v>
      </c>
      <c r="C7917" s="1" t="s">
        <v>3600</v>
      </c>
      <c r="D7917" s="1" t="s">
        <v>3610</v>
      </c>
      <c r="E7917" s="1" t="s">
        <v>3664</v>
      </c>
      <c r="F7917" s="1" t="s">
        <v>26699</v>
      </c>
      <c r="G7917" s="1" t="s">
        <v>26654</v>
      </c>
      <c r="H7917" s="1" t="s">
        <v>3604</v>
      </c>
      <c r="I7917" s="1" t="s">
        <v>26700</v>
      </c>
      <c r="J7917" s="1" t="s">
        <v>3615</v>
      </c>
      <c r="K7917" s="1" t="s">
        <v>26701</v>
      </c>
      <c r="L7917" s="1"/>
      <c r="M7917" s="1"/>
    </row>
    <row x14ac:dyDescent="0.25" r="7918" customHeight="1" ht="18.75">
      <c r="A7918" s="1" t="s">
        <v>3598</v>
      </c>
      <c r="B7918" s="1" t="s">
        <v>14104</v>
      </c>
      <c r="C7918" s="1" t="s">
        <v>3600</v>
      </c>
      <c r="D7918" s="1" t="s">
        <v>3610</v>
      </c>
      <c r="E7918" s="1" t="s">
        <v>3664</v>
      </c>
      <c r="F7918" s="1" t="s">
        <v>26702</v>
      </c>
      <c r="G7918" s="1" t="s">
        <v>26654</v>
      </c>
      <c r="H7918" s="1" t="s">
        <v>3604</v>
      </c>
      <c r="I7918" s="1" t="s">
        <v>26703</v>
      </c>
      <c r="J7918" s="1" t="s">
        <v>3615</v>
      </c>
      <c r="K7918" s="1" t="s">
        <v>26704</v>
      </c>
      <c r="L7918" s="1"/>
      <c r="M7918" s="1"/>
    </row>
    <row x14ac:dyDescent="0.25" r="7919" customHeight="1" ht="18.75">
      <c r="A7919" s="1" t="s">
        <v>3598</v>
      </c>
      <c r="B7919" s="1" t="s">
        <v>14104</v>
      </c>
      <c r="C7919" s="1" t="s">
        <v>3600</v>
      </c>
      <c r="D7919" s="1" t="s">
        <v>3610</v>
      </c>
      <c r="E7919" s="1" t="s">
        <v>3664</v>
      </c>
      <c r="F7919" s="1" t="s">
        <v>26705</v>
      </c>
      <c r="G7919" s="1" t="s">
        <v>17636</v>
      </c>
      <c r="H7919" s="1" t="s">
        <v>3604</v>
      </c>
      <c r="I7919" s="1" t="s">
        <v>26706</v>
      </c>
      <c r="J7919" s="1" t="s">
        <v>3615</v>
      </c>
      <c r="K7919" s="1" t="s">
        <v>26707</v>
      </c>
      <c r="L7919" s="1"/>
      <c r="M7919" s="1"/>
    </row>
    <row x14ac:dyDescent="0.25" r="7920" customHeight="1" ht="18.75">
      <c r="A7920" s="1" t="s">
        <v>3598</v>
      </c>
      <c r="B7920" s="1" t="s">
        <v>14104</v>
      </c>
      <c r="C7920" s="1" t="s">
        <v>3600</v>
      </c>
      <c r="D7920" s="1" t="s">
        <v>3610</v>
      </c>
      <c r="E7920" s="1" t="s">
        <v>3664</v>
      </c>
      <c r="F7920" s="1" t="s">
        <v>26708</v>
      </c>
      <c r="G7920" s="1" t="s">
        <v>17636</v>
      </c>
      <c r="H7920" s="1" t="s">
        <v>3604</v>
      </c>
      <c r="I7920" s="1" t="s">
        <v>26709</v>
      </c>
      <c r="J7920" s="1" t="s">
        <v>3615</v>
      </c>
      <c r="K7920" s="1" t="s">
        <v>26710</v>
      </c>
      <c r="L7920" s="1"/>
      <c r="M7920" s="1"/>
    </row>
    <row x14ac:dyDescent="0.25" r="7921" customHeight="1" ht="18.75">
      <c r="A7921" s="1" t="s">
        <v>3598</v>
      </c>
      <c r="B7921" s="1" t="s">
        <v>14104</v>
      </c>
      <c r="C7921" s="1" t="s">
        <v>3600</v>
      </c>
      <c r="D7921" s="1" t="s">
        <v>3610</v>
      </c>
      <c r="E7921" s="1" t="s">
        <v>3664</v>
      </c>
      <c r="F7921" s="1" t="s">
        <v>26711</v>
      </c>
      <c r="G7921" s="1" t="s">
        <v>17636</v>
      </c>
      <c r="H7921" s="1" t="s">
        <v>3604</v>
      </c>
      <c r="I7921" s="1" t="s">
        <v>26712</v>
      </c>
      <c r="J7921" s="1" t="s">
        <v>3615</v>
      </c>
      <c r="K7921" s="1" t="s">
        <v>26713</v>
      </c>
      <c r="L7921" s="1"/>
      <c r="M7921" s="1"/>
    </row>
    <row x14ac:dyDescent="0.25" r="7922" customHeight="1" ht="18.75">
      <c r="A7922" s="1" t="s">
        <v>3598</v>
      </c>
      <c r="B7922" s="1" t="s">
        <v>14104</v>
      </c>
      <c r="C7922" s="1" t="s">
        <v>3600</v>
      </c>
      <c r="D7922" s="1" t="s">
        <v>3610</v>
      </c>
      <c r="E7922" s="1" t="s">
        <v>3664</v>
      </c>
      <c r="F7922" s="1" t="s">
        <v>26714</v>
      </c>
      <c r="G7922" s="1" t="s">
        <v>17636</v>
      </c>
      <c r="H7922" s="1" t="s">
        <v>3604</v>
      </c>
      <c r="I7922" s="1" t="s">
        <v>26715</v>
      </c>
      <c r="J7922" s="1" t="s">
        <v>3615</v>
      </c>
      <c r="K7922" s="1" t="s">
        <v>26716</v>
      </c>
      <c r="L7922" s="1"/>
      <c r="M7922" s="1"/>
    </row>
    <row x14ac:dyDescent="0.25" r="7923" customHeight="1" ht="18.75">
      <c r="A7923" s="1" t="s">
        <v>3598</v>
      </c>
      <c r="B7923" s="1" t="s">
        <v>14104</v>
      </c>
      <c r="C7923" s="1" t="s">
        <v>3600</v>
      </c>
      <c r="D7923" s="1" t="s">
        <v>3610</v>
      </c>
      <c r="E7923" s="1" t="s">
        <v>3664</v>
      </c>
      <c r="F7923" s="1" t="s">
        <v>26717</v>
      </c>
      <c r="G7923" s="1" t="s">
        <v>17636</v>
      </c>
      <c r="H7923" s="1" t="s">
        <v>3604</v>
      </c>
      <c r="I7923" s="1" t="s">
        <v>26718</v>
      </c>
      <c r="J7923" s="1" t="s">
        <v>3615</v>
      </c>
      <c r="K7923" s="1" t="s">
        <v>26719</v>
      </c>
      <c r="L7923" s="1"/>
      <c r="M7923" s="1"/>
    </row>
    <row x14ac:dyDescent="0.25" r="7924" customHeight="1" ht="18.75">
      <c r="A7924" s="1" t="s">
        <v>3598</v>
      </c>
      <c r="B7924" s="1" t="s">
        <v>14104</v>
      </c>
      <c r="C7924" s="1" t="s">
        <v>3600</v>
      </c>
      <c r="D7924" s="1" t="s">
        <v>3610</v>
      </c>
      <c r="E7924" s="1" t="s">
        <v>3664</v>
      </c>
      <c r="F7924" s="1" t="s">
        <v>26720</v>
      </c>
      <c r="G7924" s="1" t="s">
        <v>17636</v>
      </c>
      <c r="H7924" s="1" t="s">
        <v>3604</v>
      </c>
      <c r="I7924" s="1" t="s">
        <v>26721</v>
      </c>
      <c r="J7924" s="1" t="s">
        <v>3615</v>
      </c>
      <c r="K7924" s="1" t="s">
        <v>26722</v>
      </c>
      <c r="L7924" s="1"/>
      <c r="M7924" s="1"/>
    </row>
    <row x14ac:dyDescent="0.25" r="7925" customHeight="1" ht="18.75">
      <c r="A7925" s="1" t="s">
        <v>3598</v>
      </c>
      <c r="B7925" s="1" t="s">
        <v>14104</v>
      </c>
      <c r="C7925" s="1" t="s">
        <v>3600</v>
      </c>
      <c r="D7925" s="1" t="s">
        <v>3610</v>
      </c>
      <c r="E7925" s="1" t="s">
        <v>3664</v>
      </c>
      <c r="F7925" s="1" t="s">
        <v>26723</v>
      </c>
      <c r="G7925" s="1" t="s">
        <v>26677</v>
      </c>
      <c r="H7925" s="1" t="s">
        <v>3604</v>
      </c>
      <c r="I7925" s="1" t="s">
        <v>26724</v>
      </c>
      <c r="J7925" s="1" t="s">
        <v>3615</v>
      </c>
      <c r="K7925" s="1" t="s">
        <v>26725</v>
      </c>
      <c r="L7925" s="1"/>
      <c r="M7925" s="1"/>
    </row>
    <row x14ac:dyDescent="0.25" r="7926" customHeight="1" ht="18.75">
      <c r="A7926" s="1" t="s">
        <v>3598</v>
      </c>
      <c r="B7926" s="1" t="s">
        <v>14104</v>
      </c>
      <c r="C7926" s="1" t="s">
        <v>3600</v>
      </c>
      <c r="D7926" s="1" t="s">
        <v>3610</v>
      </c>
      <c r="E7926" s="1" t="s">
        <v>3664</v>
      </c>
      <c r="F7926" s="1" t="s">
        <v>26726</v>
      </c>
      <c r="G7926" s="1" t="s">
        <v>26677</v>
      </c>
      <c r="H7926" s="1" t="s">
        <v>3604</v>
      </c>
      <c r="I7926" s="1" t="s">
        <v>26727</v>
      </c>
      <c r="J7926" s="1" t="s">
        <v>3615</v>
      </c>
      <c r="K7926" s="1" t="s">
        <v>26728</v>
      </c>
      <c r="L7926" s="1"/>
      <c r="M7926" s="1"/>
    </row>
    <row x14ac:dyDescent="0.25" r="7927" customHeight="1" ht="18.75">
      <c r="A7927" s="1" t="s">
        <v>3598</v>
      </c>
      <c r="B7927" s="1" t="s">
        <v>14104</v>
      </c>
      <c r="C7927" s="1" t="s">
        <v>3600</v>
      </c>
      <c r="D7927" s="1" t="s">
        <v>3610</v>
      </c>
      <c r="E7927" s="1" t="s">
        <v>3664</v>
      </c>
      <c r="F7927" s="1" t="s">
        <v>26729</v>
      </c>
      <c r="G7927" s="1" t="s">
        <v>26677</v>
      </c>
      <c r="H7927" s="1" t="s">
        <v>3604</v>
      </c>
      <c r="I7927" s="1" t="s">
        <v>26730</v>
      </c>
      <c r="J7927" s="1" t="s">
        <v>3615</v>
      </c>
      <c r="K7927" s="1" t="s">
        <v>26731</v>
      </c>
      <c r="L7927" s="1"/>
      <c r="M7927" s="1"/>
    </row>
    <row x14ac:dyDescent="0.25" r="7928" customHeight="1" ht="18.75">
      <c r="A7928" s="1" t="s">
        <v>3598</v>
      </c>
      <c r="B7928" s="1" t="s">
        <v>14104</v>
      </c>
      <c r="C7928" s="1" t="s">
        <v>3600</v>
      </c>
      <c r="D7928" s="1" t="s">
        <v>3610</v>
      </c>
      <c r="E7928" s="1" t="s">
        <v>3664</v>
      </c>
      <c r="F7928" s="1" t="s">
        <v>26732</v>
      </c>
      <c r="G7928" s="1" t="s">
        <v>26677</v>
      </c>
      <c r="H7928" s="1" t="s">
        <v>3604</v>
      </c>
      <c r="I7928" s="1" t="s">
        <v>26733</v>
      </c>
      <c r="J7928" s="1" t="s">
        <v>3615</v>
      </c>
      <c r="K7928" s="1" t="s">
        <v>26734</v>
      </c>
      <c r="L7928" s="1"/>
      <c r="M7928" s="1"/>
    </row>
    <row x14ac:dyDescent="0.25" r="7929" customHeight="1" ht="18.75">
      <c r="A7929" s="1" t="s">
        <v>3598</v>
      </c>
      <c r="B7929" s="1" t="s">
        <v>14104</v>
      </c>
      <c r="C7929" s="1" t="s">
        <v>3600</v>
      </c>
      <c r="D7929" s="1" t="s">
        <v>3610</v>
      </c>
      <c r="E7929" s="1" t="s">
        <v>3664</v>
      </c>
      <c r="F7929" s="1" t="s">
        <v>26735</v>
      </c>
      <c r="G7929" s="1" t="s">
        <v>26677</v>
      </c>
      <c r="H7929" s="1" t="s">
        <v>3604</v>
      </c>
      <c r="I7929" s="1" t="s">
        <v>26736</v>
      </c>
      <c r="J7929" s="1" t="s">
        <v>3615</v>
      </c>
      <c r="K7929" s="1" t="s">
        <v>26737</v>
      </c>
      <c r="L7929" s="1"/>
      <c r="M7929" s="1"/>
    </row>
    <row x14ac:dyDescent="0.25" r="7930" customHeight="1" ht="18.75">
      <c r="A7930" s="1" t="s">
        <v>3598</v>
      </c>
      <c r="B7930" s="1" t="s">
        <v>14104</v>
      </c>
      <c r="C7930" s="1" t="s">
        <v>3600</v>
      </c>
      <c r="D7930" s="1" t="s">
        <v>3610</v>
      </c>
      <c r="E7930" s="1" t="s">
        <v>3664</v>
      </c>
      <c r="F7930" s="1" t="s">
        <v>26738</v>
      </c>
      <c r="G7930" s="1" t="s">
        <v>26687</v>
      </c>
      <c r="H7930" s="1" t="s">
        <v>3604</v>
      </c>
      <c r="I7930" s="1" t="s">
        <v>26739</v>
      </c>
      <c r="J7930" s="1" t="s">
        <v>3615</v>
      </c>
      <c r="K7930" s="1" t="s">
        <v>26740</v>
      </c>
      <c r="L7930" s="1"/>
      <c r="M7930" s="1"/>
    </row>
    <row x14ac:dyDescent="0.25" r="7931" customHeight="1" ht="18.75">
      <c r="A7931" s="1" t="s">
        <v>3598</v>
      </c>
      <c r="B7931" s="1" t="s">
        <v>14104</v>
      </c>
      <c r="C7931" s="1" t="s">
        <v>3600</v>
      </c>
      <c r="D7931" s="1" t="s">
        <v>3610</v>
      </c>
      <c r="E7931" s="1" t="s">
        <v>3664</v>
      </c>
      <c r="F7931" s="1" t="s">
        <v>26741</v>
      </c>
      <c r="G7931" s="1" t="s">
        <v>26687</v>
      </c>
      <c r="H7931" s="1" t="s">
        <v>3604</v>
      </c>
      <c r="I7931" s="1" t="s">
        <v>26742</v>
      </c>
      <c r="J7931" s="1" t="s">
        <v>3615</v>
      </c>
      <c r="K7931" s="1" t="s">
        <v>26743</v>
      </c>
      <c r="L7931" s="1"/>
      <c r="M7931" s="1"/>
    </row>
    <row x14ac:dyDescent="0.25" r="7932" customHeight="1" ht="18.75">
      <c r="A7932" s="1" t="s">
        <v>3598</v>
      </c>
      <c r="B7932" s="1" t="s">
        <v>14104</v>
      </c>
      <c r="C7932" s="1" t="s">
        <v>3600</v>
      </c>
      <c r="D7932" s="1" t="s">
        <v>3610</v>
      </c>
      <c r="E7932" s="1" t="s">
        <v>3664</v>
      </c>
      <c r="F7932" s="1" t="s">
        <v>26744</v>
      </c>
      <c r="G7932" s="1" t="s">
        <v>26687</v>
      </c>
      <c r="H7932" s="1" t="s">
        <v>3604</v>
      </c>
      <c r="I7932" s="1" t="s">
        <v>26745</v>
      </c>
      <c r="J7932" s="1" t="s">
        <v>3615</v>
      </c>
      <c r="K7932" s="1" t="s">
        <v>26746</v>
      </c>
      <c r="L7932" s="1"/>
      <c r="M7932" s="1"/>
    </row>
    <row x14ac:dyDescent="0.25" r="7933" customHeight="1" ht="18.75">
      <c r="A7933" s="1" t="s">
        <v>3598</v>
      </c>
      <c r="B7933" s="1" t="s">
        <v>14104</v>
      </c>
      <c r="C7933" s="1" t="s">
        <v>3600</v>
      </c>
      <c r="D7933" s="1" t="s">
        <v>3610</v>
      </c>
      <c r="E7933" s="1" t="s">
        <v>3664</v>
      </c>
      <c r="F7933" s="1" t="s">
        <v>26747</v>
      </c>
      <c r="G7933" s="1" t="s">
        <v>26687</v>
      </c>
      <c r="H7933" s="1" t="s">
        <v>3604</v>
      </c>
      <c r="I7933" s="1" t="s">
        <v>26748</v>
      </c>
      <c r="J7933" s="1" t="s">
        <v>3615</v>
      </c>
      <c r="K7933" s="1" t="s">
        <v>26749</v>
      </c>
      <c r="L7933" s="1"/>
      <c r="M7933" s="1"/>
    </row>
    <row x14ac:dyDescent="0.25" r="7934" customHeight="1" ht="18.75">
      <c r="A7934" s="1" t="s">
        <v>3598</v>
      </c>
      <c r="B7934" s="1" t="s">
        <v>14104</v>
      </c>
      <c r="C7934" s="1" t="s">
        <v>3600</v>
      </c>
      <c r="D7934" s="1" t="s">
        <v>3610</v>
      </c>
      <c r="E7934" s="1" t="s">
        <v>3664</v>
      </c>
      <c r="F7934" s="1" t="s">
        <v>26750</v>
      </c>
      <c r="G7934" s="1" t="s">
        <v>26687</v>
      </c>
      <c r="H7934" s="1" t="s">
        <v>3604</v>
      </c>
      <c r="I7934" s="1" t="s">
        <v>26751</v>
      </c>
      <c r="J7934" s="1" t="s">
        <v>3615</v>
      </c>
      <c r="K7934" s="1" t="s">
        <v>26752</v>
      </c>
      <c r="L7934" s="1"/>
      <c r="M7934" s="1"/>
    </row>
    <row x14ac:dyDescent="0.25" r="7935" customHeight="1" ht="18.75">
      <c r="A7935" s="1" t="s">
        <v>3598</v>
      </c>
      <c r="B7935" s="1" t="s">
        <v>13864</v>
      </c>
      <c r="C7935" s="1" t="s">
        <v>3600</v>
      </c>
      <c r="D7935" s="1" t="s">
        <v>3610</v>
      </c>
      <c r="E7935" s="1" t="s">
        <v>3664</v>
      </c>
      <c r="F7935" s="1" t="s">
        <v>26753</v>
      </c>
      <c r="G7935" s="1" t="s">
        <v>26754</v>
      </c>
      <c r="H7935" s="1" t="s">
        <v>3604</v>
      </c>
      <c r="I7935" s="1" t="s">
        <v>26755</v>
      </c>
      <c r="J7935" s="1" t="s">
        <v>3615</v>
      </c>
      <c r="K7935" s="1" t="s">
        <v>26692</v>
      </c>
      <c r="L7935" s="1"/>
      <c r="M7935" s="1"/>
    </row>
    <row x14ac:dyDescent="0.25" r="7936" customHeight="1" ht="18.75">
      <c r="A7936" s="1" t="s">
        <v>3598</v>
      </c>
      <c r="B7936" s="1" t="s">
        <v>13864</v>
      </c>
      <c r="C7936" s="1" t="s">
        <v>3600</v>
      </c>
      <c r="D7936" s="1" t="s">
        <v>3610</v>
      </c>
      <c r="E7936" s="1" t="s">
        <v>3664</v>
      </c>
      <c r="F7936" s="1" t="s">
        <v>26756</v>
      </c>
      <c r="G7936" s="1" t="s">
        <v>26754</v>
      </c>
      <c r="H7936" s="1" t="s">
        <v>3604</v>
      </c>
      <c r="I7936" s="1" t="s">
        <v>26757</v>
      </c>
      <c r="J7936" s="1" t="s">
        <v>3615</v>
      </c>
      <c r="K7936" s="1" t="s">
        <v>26695</v>
      </c>
      <c r="L7936" s="1"/>
      <c r="M7936" s="1"/>
    </row>
    <row x14ac:dyDescent="0.25" r="7937" customHeight="1" ht="18.75">
      <c r="A7937" s="1" t="s">
        <v>3598</v>
      </c>
      <c r="B7937" s="1" t="s">
        <v>13864</v>
      </c>
      <c r="C7937" s="1" t="s">
        <v>3600</v>
      </c>
      <c r="D7937" s="1" t="s">
        <v>3610</v>
      </c>
      <c r="E7937" s="1" t="s">
        <v>3664</v>
      </c>
      <c r="F7937" s="1" t="s">
        <v>26758</v>
      </c>
      <c r="G7937" s="1" t="s">
        <v>26759</v>
      </c>
      <c r="H7937" s="1" t="s">
        <v>3604</v>
      </c>
      <c r="I7937" s="1" t="s">
        <v>26760</v>
      </c>
      <c r="J7937" s="1" t="s">
        <v>3615</v>
      </c>
      <c r="K7937" s="1" t="s">
        <v>26725</v>
      </c>
      <c r="L7937" s="1"/>
      <c r="M7937" s="1"/>
    </row>
    <row x14ac:dyDescent="0.25" r="7938" customHeight="1" ht="18.75">
      <c r="A7938" s="1" t="s">
        <v>3598</v>
      </c>
      <c r="B7938" s="1" t="s">
        <v>13864</v>
      </c>
      <c r="C7938" s="1" t="s">
        <v>3600</v>
      </c>
      <c r="D7938" s="1" t="s">
        <v>3610</v>
      </c>
      <c r="E7938" s="1" t="s">
        <v>3664</v>
      </c>
      <c r="F7938" s="1" t="s">
        <v>26761</v>
      </c>
      <c r="G7938" s="1" t="s">
        <v>26759</v>
      </c>
      <c r="H7938" s="1" t="s">
        <v>3604</v>
      </c>
      <c r="I7938" s="1" t="s">
        <v>26762</v>
      </c>
      <c r="J7938" s="1" t="s">
        <v>3615</v>
      </c>
      <c r="K7938" s="1" t="s">
        <v>26728</v>
      </c>
      <c r="L7938" s="1"/>
      <c r="M7938" s="1"/>
    </row>
    <row x14ac:dyDescent="0.25" r="7939" customHeight="1" ht="18.75">
      <c r="A7939" s="1" t="s">
        <v>3598</v>
      </c>
      <c r="B7939" s="1" t="s">
        <v>13864</v>
      </c>
      <c r="C7939" s="1" t="s">
        <v>3600</v>
      </c>
      <c r="D7939" s="1" t="s">
        <v>3610</v>
      </c>
      <c r="E7939" s="1" t="s">
        <v>3664</v>
      </c>
      <c r="F7939" s="1" t="s">
        <v>26763</v>
      </c>
      <c r="G7939" s="1" t="s">
        <v>26759</v>
      </c>
      <c r="H7939" s="1" t="s">
        <v>3604</v>
      </c>
      <c r="I7939" s="1" t="s">
        <v>26764</v>
      </c>
      <c r="J7939" s="1" t="s">
        <v>3615</v>
      </c>
      <c r="K7939" s="1" t="s">
        <v>26731</v>
      </c>
      <c r="L7939" s="1"/>
      <c r="M7939" s="1"/>
    </row>
    <row x14ac:dyDescent="0.25" r="7940" customHeight="1" ht="18.75">
      <c r="A7940" s="1" t="s">
        <v>3598</v>
      </c>
      <c r="B7940" s="1" t="s">
        <v>13864</v>
      </c>
      <c r="C7940" s="1" t="s">
        <v>3600</v>
      </c>
      <c r="D7940" s="1" t="s">
        <v>3610</v>
      </c>
      <c r="E7940" s="1" t="s">
        <v>3664</v>
      </c>
      <c r="F7940" s="1" t="s">
        <v>26765</v>
      </c>
      <c r="G7940" s="1" t="s">
        <v>26759</v>
      </c>
      <c r="H7940" s="1" t="s">
        <v>3604</v>
      </c>
      <c r="I7940" s="1" t="s">
        <v>26766</v>
      </c>
      <c r="J7940" s="1" t="s">
        <v>3615</v>
      </c>
      <c r="K7940" s="1" t="s">
        <v>26734</v>
      </c>
      <c r="L7940" s="1"/>
      <c r="M7940" s="1"/>
    </row>
    <row x14ac:dyDescent="0.25" r="7941" customHeight="1" ht="18.75">
      <c r="A7941" s="1" t="s">
        <v>3598</v>
      </c>
      <c r="B7941" s="1" t="s">
        <v>14054</v>
      </c>
      <c r="C7941" s="1" t="s">
        <v>3600</v>
      </c>
      <c r="D7941" s="1" t="s">
        <v>3610</v>
      </c>
      <c r="E7941" s="1" t="s">
        <v>3752</v>
      </c>
      <c r="F7941" s="1" t="s">
        <v>26767</v>
      </c>
      <c r="G7941" s="1" t="s">
        <v>26768</v>
      </c>
      <c r="H7941" s="1" t="s">
        <v>3604</v>
      </c>
      <c r="I7941" s="1" t="s">
        <v>26769</v>
      </c>
      <c r="J7941" s="1" t="s">
        <v>3615</v>
      </c>
      <c r="K7941" s="1" t="s">
        <v>26672</v>
      </c>
      <c r="L7941" s="1"/>
      <c r="M7941" s="1"/>
    </row>
    <row x14ac:dyDescent="0.25" r="7942" customHeight="1" ht="18.75">
      <c r="A7942" s="1" t="s">
        <v>3598</v>
      </c>
      <c r="B7942" s="1" t="s">
        <v>9273</v>
      </c>
      <c r="C7942" s="1" t="s">
        <v>3600</v>
      </c>
      <c r="D7942" s="1" t="s">
        <v>3610</v>
      </c>
      <c r="E7942" s="1" t="s">
        <v>3752</v>
      </c>
      <c r="F7942" s="1" t="s">
        <v>26770</v>
      </c>
      <c r="G7942" s="1" t="s">
        <v>26771</v>
      </c>
      <c r="H7942" s="1" t="s">
        <v>3604</v>
      </c>
      <c r="I7942" s="1" t="s">
        <v>26772</v>
      </c>
      <c r="J7942" s="1" t="s">
        <v>3615</v>
      </c>
      <c r="K7942" s="1" t="s">
        <v>26672</v>
      </c>
      <c r="L7942" s="1"/>
      <c r="M7942" s="1"/>
    </row>
    <row x14ac:dyDescent="0.25" r="7943" customHeight="1" ht="18.75">
      <c r="A7943" s="1" t="s">
        <v>3598</v>
      </c>
      <c r="B7943" s="1" t="s">
        <v>9273</v>
      </c>
      <c r="C7943" s="1" t="s">
        <v>3600</v>
      </c>
      <c r="D7943" s="1" t="s">
        <v>3610</v>
      </c>
      <c r="E7943" s="1" t="s">
        <v>3752</v>
      </c>
      <c r="F7943" s="1" t="s">
        <v>26773</v>
      </c>
      <c r="G7943" s="1" t="s">
        <v>26774</v>
      </c>
      <c r="H7943" s="1" t="s">
        <v>3604</v>
      </c>
      <c r="I7943" s="1" t="s">
        <v>26775</v>
      </c>
      <c r="J7943" s="1" t="s">
        <v>3615</v>
      </c>
      <c r="K7943" s="1" t="s">
        <v>26776</v>
      </c>
      <c r="L7943" s="1"/>
      <c r="M7943" s="1"/>
    </row>
    <row x14ac:dyDescent="0.25" r="7944" customHeight="1" ht="18.75">
      <c r="A7944" s="1" t="s">
        <v>3598</v>
      </c>
      <c r="B7944" s="1" t="s">
        <v>9273</v>
      </c>
      <c r="C7944" s="1" t="s">
        <v>3600</v>
      </c>
      <c r="D7944" s="1" t="s">
        <v>3610</v>
      </c>
      <c r="E7944" s="1" t="s">
        <v>3664</v>
      </c>
      <c r="F7944" s="1" t="s">
        <v>26777</v>
      </c>
      <c r="G7944" s="1" t="s">
        <v>17928</v>
      </c>
      <c r="H7944" s="1" t="s">
        <v>3604</v>
      </c>
      <c r="I7944" s="1" t="s">
        <v>26778</v>
      </c>
      <c r="J7944" s="1" t="s">
        <v>3615</v>
      </c>
      <c r="K7944" s="1"/>
      <c r="L7944" s="1"/>
      <c r="M7944" s="1"/>
    </row>
    <row x14ac:dyDescent="0.25" r="7945" customHeight="1" ht="18.75">
      <c r="A7945" s="1" t="s">
        <v>3598</v>
      </c>
      <c r="B7945" s="1" t="s">
        <v>9273</v>
      </c>
      <c r="C7945" s="1" t="s">
        <v>3600</v>
      </c>
      <c r="D7945" s="1" t="s">
        <v>3610</v>
      </c>
      <c r="E7945" s="1" t="s">
        <v>3752</v>
      </c>
      <c r="F7945" s="1" t="s">
        <v>26779</v>
      </c>
      <c r="G7945" s="1" t="s">
        <v>17928</v>
      </c>
      <c r="H7945" s="1" t="s">
        <v>3604</v>
      </c>
      <c r="I7945" s="1" t="s">
        <v>26780</v>
      </c>
      <c r="J7945" s="1" t="s">
        <v>3615</v>
      </c>
      <c r="K7945" s="1" t="s">
        <v>26781</v>
      </c>
      <c r="L7945" s="1"/>
      <c r="M7945" s="1"/>
    </row>
    <row x14ac:dyDescent="0.25" r="7946" customHeight="1" ht="18.75">
      <c r="A7946" s="1" t="s">
        <v>3598</v>
      </c>
      <c r="B7946" s="1" t="s">
        <v>9273</v>
      </c>
      <c r="C7946" s="1" t="s">
        <v>3600</v>
      </c>
      <c r="D7946" s="1" t="s">
        <v>3610</v>
      </c>
      <c r="E7946" s="1" t="s">
        <v>3752</v>
      </c>
      <c r="F7946" s="1" t="s">
        <v>26782</v>
      </c>
      <c r="G7946" s="1" t="s">
        <v>17928</v>
      </c>
      <c r="H7946" s="1" t="s">
        <v>3604</v>
      </c>
      <c r="I7946" s="1" t="s">
        <v>26783</v>
      </c>
      <c r="J7946" s="1" t="s">
        <v>3615</v>
      </c>
      <c r="K7946" s="1" t="s">
        <v>26784</v>
      </c>
      <c r="L7946" s="1"/>
      <c r="M7946" s="1"/>
    </row>
    <row x14ac:dyDescent="0.25" r="7947" customHeight="1" ht="18.75">
      <c r="A7947" s="1" t="s">
        <v>3598</v>
      </c>
      <c r="B7947" s="1" t="s">
        <v>14104</v>
      </c>
      <c r="C7947" s="1" t="s">
        <v>3600</v>
      </c>
      <c r="D7947" s="1" t="s">
        <v>3610</v>
      </c>
      <c r="E7947" s="1" t="s">
        <v>3752</v>
      </c>
      <c r="F7947" s="1" t="s">
        <v>26785</v>
      </c>
      <c r="G7947" s="1" t="s">
        <v>26674</v>
      </c>
      <c r="H7947" s="1" t="s">
        <v>3604</v>
      </c>
      <c r="I7947" s="1" t="s">
        <v>26786</v>
      </c>
      <c r="J7947" s="1" t="s">
        <v>3615</v>
      </c>
      <c r="K7947" s="1" t="s">
        <v>26543</v>
      </c>
      <c r="L7947" s="1"/>
      <c r="M7947" s="1"/>
    </row>
    <row x14ac:dyDescent="0.25" r="7948" customHeight="1" ht="18.75">
      <c r="A7948" s="1" t="s">
        <v>3598</v>
      </c>
      <c r="B7948" s="1" t="s">
        <v>13864</v>
      </c>
      <c r="C7948" s="1" t="s">
        <v>3600</v>
      </c>
      <c r="D7948" s="1" t="s">
        <v>3610</v>
      </c>
      <c r="E7948" s="1" t="s">
        <v>3752</v>
      </c>
      <c r="F7948" s="1" t="s">
        <v>26787</v>
      </c>
      <c r="G7948" s="1" t="s">
        <v>26788</v>
      </c>
      <c r="H7948" s="1" t="s">
        <v>3604</v>
      </c>
      <c r="I7948" s="1" t="s">
        <v>26789</v>
      </c>
      <c r="J7948" s="1" t="s">
        <v>3615</v>
      </c>
      <c r="K7948" s="1" t="s">
        <v>26790</v>
      </c>
      <c r="L7948" s="1"/>
      <c r="M7948" s="1"/>
    </row>
    <row x14ac:dyDescent="0.25" r="7949" customHeight="1" ht="18.75">
      <c r="A7949" s="1" t="s">
        <v>3598</v>
      </c>
      <c r="B7949" s="1" t="s">
        <v>13864</v>
      </c>
      <c r="C7949" s="1" t="s">
        <v>3600</v>
      </c>
      <c r="D7949" s="1" t="s">
        <v>3610</v>
      </c>
      <c r="E7949" s="1" t="s">
        <v>3752</v>
      </c>
      <c r="F7949" s="1" t="s">
        <v>26791</v>
      </c>
      <c r="G7949" s="1" t="s">
        <v>26788</v>
      </c>
      <c r="H7949" s="1" t="s">
        <v>3604</v>
      </c>
      <c r="I7949" s="1" t="s">
        <v>26792</v>
      </c>
      <c r="J7949" s="1" t="s">
        <v>3615</v>
      </c>
      <c r="K7949" s="1" t="s">
        <v>26793</v>
      </c>
      <c r="L7949" s="1"/>
      <c r="M7949" s="1"/>
    </row>
    <row x14ac:dyDescent="0.25" r="7950" customHeight="1" ht="18.75">
      <c r="A7950" s="1" t="s">
        <v>3598</v>
      </c>
      <c r="B7950" s="1" t="s">
        <v>13864</v>
      </c>
      <c r="C7950" s="1" t="s">
        <v>3600</v>
      </c>
      <c r="D7950" s="1" t="s">
        <v>3610</v>
      </c>
      <c r="E7950" s="1" t="s">
        <v>3752</v>
      </c>
      <c r="F7950" s="1" t="s">
        <v>26794</v>
      </c>
      <c r="G7950" s="1" t="s">
        <v>26788</v>
      </c>
      <c r="H7950" s="1" t="s">
        <v>3604</v>
      </c>
      <c r="I7950" s="1" t="s">
        <v>26795</v>
      </c>
      <c r="J7950" s="1" t="s">
        <v>3615</v>
      </c>
      <c r="K7950" s="1" t="s">
        <v>26776</v>
      </c>
      <c r="L7950" s="1"/>
      <c r="M7950" s="1"/>
    </row>
    <row x14ac:dyDescent="0.25" r="7951" customHeight="1" ht="18.75">
      <c r="A7951" s="1" t="s">
        <v>3598</v>
      </c>
      <c r="B7951" s="1" t="s">
        <v>13864</v>
      </c>
      <c r="C7951" s="1" t="s">
        <v>3600</v>
      </c>
      <c r="D7951" s="1" t="s">
        <v>3610</v>
      </c>
      <c r="E7951" s="1" t="s">
        <v>3752</v>
      </c>
      <c r="F7951" s="1" t="s">
        <v>26796</v>
      </c>
      <c r="G7951" s="1" t="s">
        <v>26797</v>
      </c>
      <c r="H7951" s="1" t="s">
        <v>3604</v>
      </c>
      <c r="I7951" s="1" t="s">
        <v>26798</v>
      </c>
      <c r="J7951" s="1" t="s">
        <v>3615</v>
      </c>
      <c r="K7951" s="1" t="s">
        <v>26799</v>
      </c>
      <c r="L7951" s="1"/>
      <c r="M7951" s="1"/>
    </row>
    <row x14ac:dyDescent="0.25" r="7952" customHeight="1" ht="18.75">
      <c r="A7952" s="1" t="s">
        <v>3598</v>
      </c>
      <c r="B7952" s="1" t="s">
        <v>13864</v>
      </c>
      <c r="C7952" s="1" t="s">
        <v>3600</v>
      </c>
      <c r="D7952" s="1" t="s">
        <v>3610</v>
      </c>
      <c r="E7952" s="1" t="s">
        <v>3752</v>
      </c>
      <c r="F7952" s="1" t="s">
        <v>26800</v>
      </c>
      <c r="G7952" s="1" t="s">
        <v>26797</v>
      </c>
      <c r="H7952" s="1" t="s">
        <v>3604</v>
      </c>
      <c r="I7952" s="1" t="s">
        <v>26801</v>
      </c>
      <c r="J7952" s="1" t="s">
        <v>3615</v>
      </c>
      <c r="K7952" s="1" t="s">
        <v>26802</v>
      </c>
      <c r="L7952" s="1"/>
      <c r="M7952" s="1"/>
    </row>
    <row x14ac:dyDescent="0.25" r="7953" customHeight="1" ht="18.75">
      <c r="A7953" s="1" t="s">
        <v>3598</v>
      </c>
      <c r="B7953" s="1" t="s">
        <v>13864</v>
      </c>
      <c r="C7953" s="1" t="s">
        <v>3600</v>
      </c>
      <c r="D7953" s="1" t="s">
        <v>3610</v>
      </c>
      <c r="E7953" s="1" t="s">
        <v>3752</v>
      </c>
      <c r="F7953" s="1" t="s">
        <v>26803</v>
      </c>
      <c r="G7953" s="1" t="s">
        <v>26797</v>
      </c>
      <c r="H7953" s="1" t="s">
        <v>3604</v>
      </c>
      <c r="I7953" s="1" t="s">
        <v>26804</v>
      </c>
      <c r="J7953" s="1" t="s">
        <v>3615</v>
      </c>
      <c r="K7953" s="1" t="s">
        <v>26805</v>
      </c>
      <c r="L7953" s="1"/>
      <c r="M7953" s="1"/>
    </row>
    <row x14ac:dyDescent="0.25" r="7954" customHeight="1" ht="18.75">
      <c r="A7954" s="1" t="s">
        <v>3598</v>
      </c>
      <c r="B7954" s="1" t="s">
        <v>13864</v>
      </c>
      <c r="C7954" s="1" t="s">
        <v>3600</v>
      </c>
      <c r="D7954" s="1" t="s">
        <v>3610</v>
      </c>
      <c r="E7954" s="1" t="s">
        <v>3752</v>
      </c>
      <c r="F7954" s="1" t="s">
        <v>26806</v>
      </c>
      <c r="G7954" s="1" t="s">
        <v>26807</v>
      </c>
      <c r="H7954" s="1" t="s">
        <v>3604</v>
      </c>
      <c r="I7954" s="1" t="s">
        <v>26808</v>
      </c>
      <c r="J7954" s="1" t="s">
        <v>3615</v>
      </c>
      <c r="K7954" s="1" t="s">
        <v>26809</v>
      </c>
      <c r="L7954" s="1"/>
      <c r="M7954" s="1"/>
    </row>
    <row x14ac:dyDescent="0.25" r="7955" customHeight="1" ht="18.75">
      <c r="A7955" s="1" t="s">
        <v>3598</v>
      </c>
      <c r="B7955" s="1" t="s">
        <v>13864</v>
      </c>
      <c r="C7955" s="1" t="s">
        <v>3600</v>
      </c>
      <c r="D7955" s="1" t="s">
        <v>3610</v>
      </c>
      <c r="E7955" s="1" t="s">
        <v>3752</v>
      </c>
      <c r="F7955" s="1" t="s">
        <v>26810</v>
      </c>
      <c r="G7955" s="1" t="s">
        <v>26807</v>
      </c>
      <c r="H7955" s="1" t="s">
        <v>3604</v>
      </c>
      <c r="I7955" s="1" t="s">
        <v>26811</v>
      </c>
      <c r="J7955" s="1" t="s">
        <v>3615</v>
      </c>
      <c r="K7955" s="1" t="s">
        <v>26812</v>
      </c>
      <c r="L7955" s="1"/>
      <c r="M7955" s="1"/>
    </row>
    <row x14ac:dyDescent="0.25" r="7956" customHeight="1" ht="18.75">
      <c r="A7956" s="1" t="s">
        <v>3598</v>
      </c>
      <c r="B7956" s="1" t="s">
        <v>13864</v>
      </c>
      <c r="C7956" s="1" t="s">
        <v>3600</v>
      </c>
      <c r="D7956" s="1" t="s">
        <v>3610</v>
      </c>
      <c r="E7956" s="1" t="s">
        <v>3752</v>
      </c>
      <c r="F7956" s="1" t="s">
        <v>26813</v>
      </c>
      <c r="G7956" s="1" t="s">
        <v>26807</v>
      </c>
      <c r="H7956" s="1" t="s">
        <v>3604</v>
      </c>
      <c r="I7956" s="1" t="s">
        <v>26814</v>
      </c>
      <c r="J7956" s="1" t="s">
        <v>3615</v>
      </c>
      <c r="K7956" s="1" t="s">
        <v>26815</v>
      </c>
      <c r="L7956" s="1"/>
      <c r="M7956" s="1"/>
    </row>
    <row x14ac:dyDescent="0.25" r="7957" customHeight="1" ht="18.75">
      <c r="A7957" s="1" t="s">
        <v>3598</v>
      </c>
      <c r="B7957" s="1" t="s">
        <v>13864</v>
      </c>
      <c r="C7957" s="1" t="s">
        <v>3600</v>
      </c>
      <c r="D7957" s="1" t="s">
        <v>3610</v>
      </c>
      <c r="E7957" s="1" t="s">
        <v>3752</v>
      </c>
      <c r="F7957" s="1" t="s">
        <v>26816</v>
      </c>
      <c r="G7957" s="1" t="s">
        <v>26817</v>
      </c>
      <c r="H7957" s="1" t="s">
        <v>3604</v>
      </c>
      <c r="I7957" s="1" t="s">
        <v>26818</v>
      </c>
      <c r="J7957" s="1" t="s">
        <v>3615</v>
      </c>
      <c r="K7957" s="1" t="s">
        <v>26819</v>
      </c>
      <c r="L7957" s="1"/>
      <c r="M7957" s="1"/>
    </row>
    <row x14ac:dyDescent="0.25" r="7958" customHeight="1" ht="18.75">
      <c r="A7958" s="1" t="s">
        <v>3598</v>
      </c>
      <c r="B7958" s="1" t="s">
        <v>13864</v>
      </c>
      <c r="C7958" s="1" t="s">
        <v>3600</v>
      </c>
      <c r="D7958" s="1" t="s">
        <v>3610</v>
      </c>
      <c r="E7958" s="1" t="s">
        <v>3752</v>
      </c>
      <c r="F7958" s="1" t="s">
        <v>26820</v>
      </c>
      <c r="G7958" s="1" t="s">
        <v>26817</v>
      </c>
      <c r="H7958" s="1" t="s">
        <v>3604</v>
      </c>
      <c r="I7958" s="1" t="s">
        <v>26821</v>
      </c>
      <c r="J7958" s="1" t="s">
        <v>3615</v>
      </c>
      <c r="K7958" s="1" t="s">
        <v>26822</v>
      </c>
      <c r="L7958" s="1"/>
      <c r="M7958" s="1"/>
    </row>
    <row x14ac:dyDescent="0.25" r="7959" customHeight="1" ht="18.75">
      <c r="A7959" s="1" t="s">
        <v>3598</v>
      </c>
      <c r="B7959" s="1" t="s">
        <v>13864</v>
      </c>
      <c r="C7959" s="1" t="s">
        <v>3600</v>
      </c>
      <c r="D7959" s="1" t="s">
        <v>3610</v>
      </c>
      <c r="E7959" s="1" t="s">
        <v>3752</v>
      </c>
      <c r="F7959" s="1" t="s">
        <v>26823</v>
      </c>
      <c r="G7959" s="1" t="s">
        <v>26817</v>
      </c>
      <c r="H7959" s="1" t="s">
        <v>3604</v>
      </c>
      <c r="I7959" s="1" t="s">
        <v>26824</v>
      </c>
      <c r="J7959" s="1" t="s">
        <v>3615</v>
      </c>
      <c r="K7959" s="1" t="s">
        <v>26825</v>
      </c>
      <c r="L7959" s="1"/>
      <c r="M7959" s="1"/>
    </row>
    <row x14ac:dyDescent="0.25" r="7960" customHeight="1" ht="18.75">
      <c r="A7960" s="1" t="s">
        <v>3598</v>
      </c>
      <c r="B7960" s="1" t="s">
        <v>13864</v>
      </c>
      <c r="C7960" s="1" t="s">
        <v>3600</v>
      </c>
      <c r="D7960" s="1" t="s">
        <v>3610</v>
      </c>
      <c r="E7960" s="1" t="s">
        <v>3752</v>
      </c>
      <c r="F7960" s="1" t="s">
        <v>26826</v>
      </c>
      <c r="G7960" s="1" t="s">
        <v>26827</v>
      </c>
      <c r="H7960" s="1" t="s">
        <v>3604</v>
      </c>
      <c r="I7960" s="1" t="s">
        <v>26828</v>
      </c>
      <c r="J7960" s="1" t="s">
        <v>3615</v>
      </c>
      <c r="K7960" s="1" t="s">
        <v>26829</v>
      </c>
      <c r="L7960" s="1"/>
      <c r="M7960" s="1"/>
    </row>
    <row x14ac:dyDescent="0.25" r="7961" customHeight="1" ht="18.75">
      <c r="A7961" s="1" t="s">
        <v>3598</v>
      </c>
      <c r="B7961" s="1" t="s">
        <v>13864</v>
      </c>
      <c r="C7961" s="1" t="s">
        <v>3600</v>
      </c>
      <c r="D7961" s="1" t="s">
        <v>3610</v>
      </c>
      <c r="E7961" s="1" t="s">
        <v>3752</v>
      </c>
      <c r="F7961" s="1" t="s">
        <v>26830</v>
      </c>
      <c r="G7961" s="1" t="s">
        <v>26827</v>
      </c>
      <c r="H7961" s="1" t="s">
        <v>3604</v>
      </c>
      <c r="I7961" s="1" t="s">
        <v>26831</v>
      </c>
      <c r="J7961" s="1" t="s">
        <v>3615</v>
      </c>
      <c r="K7961" s="1" t="s">
        <v>26832</v>
      </c>
      <c r="L7961" s="1"/>
      <c r="M7961" s="1"/>
    </row>
    <row x14ac:dyDescent="0.25" r="7962" customHeight="1" ht="18.75">
      <c r="A7962" s="1" t="s">
        <v>3598</v>
      </c>
      <c r="B7962" s="1" t="s">
        <v>13864</v>
      </c>
      <c r="C7962" s="1" t="s">
        <v>3600</v>
      </c>
      <c r="D7962" s="1" t="s">
        <v>3610</v>
      </c>
      <c r="E7962" s="1" t="s">
        <v>3752</v>
      </c>
      <c r="F7962" s="1" t="s">
        <v>26833</v>
      </c>
      <c r="G7962" s="1" t="s">
        <v>26827</v>
      </c>
      <c r="H7962" s="1" t="s">
        <v>3604</v>
      </c>
      <c r="I7962" s="1" t="s">
        <v>26834</v>
      </c>
      <c r="J7962" s="1" t="s">
        <v>3615</v>
      </c>
      <c r="K7962" s="1" t="s">
        <v>26835</v>
      </c>
      <c r="L7962" s="1"/>
      <c r="M7962" s="1"/>
    </row>
    <row x14ac:dyDescent="0.25" r="7963" customHeight="1" ht="18.75">
      <c r="A7963" s="1" t="s">
        <v>3598</v>
      </c>
      <c r="B7963" s="1" t="s">
        <v>13864</v>
      </c>
      <c r="C7963" s="1" t="s">
        <v>3600</v>
      </c>
      <c r="D7963" s="1" t="s">
        <v>3610</v>
      </c>
      <c r="E7963" s="1" t="s">
        <v>3752</v>
      </c>
      <c r="F7963" s="1" t="s">
        <v>26836</v>
      </c>
      <c r="G7963" s="1" t="s">
        <v>26837</v>
      </c>
      <c r="H7963" s="1" t="s">
        <v>3604</v>
      </c>
      <c r="I7963" s="1" t="s">
        <v>26838</v>
      </c>
      <c r="J7963" s="1" t="s">
        <v>3615</v>
      </c>
      <c r="K7963" s="1" t="s">
        <v>26839</v>
      </c>
      <c r="L7963" s="1"/>
      <c r="M7963" s="1"/>
    </row>
    <row x14ac:dyDescent="0.25" r="7964" customHeight="1" ht="18.75">
      <c r="A7964" s="1" t="s">
        <v>3598</v>
      </c>
      <c r="B7964" s="1" t="s">
        <v>13864</v>
      </c>
      <c r="C7964" s="1" t="s">
        <v>3600</v>
      </c>
      <c r="D7964" s="1" t="s">
        <v>3610</v>
      </c>
      <c r="E7964" s="1" t="s">
        <v>3752</v>
      </c>
      <c r="F7964" s="1" t="s">
        <v>26840</v>
      </c>
      <c r="G7964" s="1" t="s">
        <v>26837</v>
      </c>
      <c r="H7964" s="1" t="s">
        <v>3604</v>
      </c>
      <c r="I7964" s="1" t="s">
        <v>26841</v>
      </c>
      <c r="J7964" s="1" t="s">
        <v>3615</v>
      </c>
      <c r="K7964" s="1" t="s">
        <v>26842</v>
      </c>
      <c r="L7964" s="1"/>
      <c r="M7964" s="1"/>
    </row>
    <row x14ac:dyDescent="0.25" r="7965" customHeight="1" ht="18.75">
      <c r="A7965" s="1" t="s">
        <v>3598</v>
      </c>
      <c r="B7965" s="1" t="s">
        <v>13864</v>
      </c>
      <c r="C7965" s="1" t="s">
        <v>3600</v>
      </c>
      <c r="D7965" s="1" t="s">
        <v>3610</v>
      </c>
      <c r="E7965" s="1" t="s">
        <v>3752</v>
      </c>
      <c r="F7965" s="1" t="s">
        <v>26843</v>
      </c>
      <c r="G7965" s="1" t="s">
        <v>26837</v>
      </c>
      <c r="H7965" s="1" t="s">
        <v>3604</v>
      </c>
      <c r="I7965" s="1" t="s">
        <v>26844</v>
      </c>
      <c r="J7965" s="1" t="s">
        <v>3615</v>
      </c>
      <c r="K7965" s="1" t="s">
        <v>26845</v>
      </c>
      <c r="L7965" s="1"/>
      <c r="M7965" s="1"/>
    </row>
    <row x14ac:dyDescent="0.25" r="7966" customHeight="1" ht="18.75">
      <c r="A7966" s="1" t="s">
        <v>3598</v>
      </c>
      <c r="B7966" s="1" t="s">
        <v>14054</v>
      </c>
      <c r="C7966" s="1" t="s">
        <v>3600</v>
      </c>
      <c r="D7966" s="1" t="s">
        <v>3610</v>
      </c>
      <c r="E7966" s="1" t="s">
        <v>3752</v>
      </c>
      <c r="F7966" s="1" t="s">
        <v>26846</v>
      </c>
      <c r="G7966" s="1" t="s">
        <v>26847</v>
      </c>
      <c r="H7966" s="1" t="s">
        <v>3604</v>
      </c>
      <c r="I7966" s="1" t="s">
        <v>26848</v>
      </c>
      <c r="J7966" s="1" t="s">
        <v>3615</v>
      </c>
      <c r="K7966" s="1" t="s">
        <v>26790</v>
      </c>
      <c r="L7966" s="1"/>
      <c r="M7966" s="1"/>
    </row>
    <row x14ac:dyDescent="0.25" r="7967" customHeight="1" ht="18.75">
      <c r="A7967" s="1" t="s">
        <v>3598</v>
      </c>
      <c r="B7967" s="1" t="s">
        <v>14054</v>
      </c>
      <c r="C7967" s="1" t="s">
        <v>3600</v>
      </c>
      <c r="D7967" s="1" t="s">
        <v>3610</v>
      </c>
      <c r="E7967" s="1" t="s">
        <v>3752</v>
      </c>
      <c r="F7967" s="1" t="s">
        <v>26849</v>
      </c>
      <c r="G7967" s="1" t="s">
        <v>26847</v>
      </c>
      <c r="H7967" s="1" t="s">
        <v>3604</v>
      </c>
      <c r="I7967" s="1" t="s">
        <v>26850</v>
      </c>
      <c r="J7967" s="1" t="s">
        <v>3615</v>
      </c>
      <c r="K7967" s="1" t="s">
        <v>26793</v>
      </c>
      <c r="L7967" s="1"/>
      <c r="M7967" s="1"/>
    </row>
    <row x14ac:dyDescent="0.25" r="7968" customHeight="1" ht="18.75">
      <c r="A7968" s="1" t="s">
        <v>3598</v>
      </c>
      <c r="B7968" s="1" t="s">
        <v>14054</v>
      </c>
      <c r="C7968" s="1" t="s">
        <v>3600</v>
      </c>
      <c r="D7968" s="1" t="s">
        <v>3610</v>
      </c>
      <c r="E7968" s="1" t="s">
        <v>3752</v>
      </c>
      <c r="F7968" s="1" t="s">
        <v>26851</v>
      </c>
      <c r="G7968" s="1" t="s">
        <v>26847</v>
      </c>
      <c r="H7968" s="1" t="s">
        <v>3604</v>
      </c>
      <c r="I7968" s="1" t="s">
        <v>26852</v>
      </c>
      <c r="J7968" s="1" t="s">
        <v>3615</v>
      </c>
      <c r="K7968" s="1" t="s">
        <v>26776</v>
      </c>
      <c r="L7968" s="1"/>
      <c r="M7968" s="1"/>
    </row>
    <row x14ac:dyDescent="0.25" r="7969" customHeight="1" ht="18.75">
      <c r="A7969" s="1" t="s">
        <v>3598</v>
      </c>
      <c r="B7969" s="1" t="s">
        <v>14054</v>
      </c>
      <c r="C7969" s="1" t="s">
        <v>3600</v>
      </c>
      <c r="D7969" s="1" t="s">
        <v>3610</v>
      </c>
      <c r="E7969" s="1" t="s">
        <v>3752</v>
      </c>
      <c r="F7969" s="1" t="s">
        <v>26853</v>
      </c>
      <c r="G7969" s="1" t="s">
        <v>26854</v>
      </c>
      <c r="H7969" s="1" t="s">
        <v>3604</v>
      </c>
      <c r="I7969" s="1" t="s">
        <v>26855</v>
      </c>
      <c r="J7969" s="1" t="s">
        <v>3615</v>
      </c>
      <c r="K7969" s="1" t="s">
        <v>26802</v>
      </c>
      <c r="L7969" s="1"/>
      <c r="M7969" s="1"/>
    </row>
    <row x14ac:dyDescent="0.25" r="7970" customHeight="1" ht="18.75">
      <c r="A7970" s="1" t="s">
        <v>3598</v>
      </c>
      <c r="B7970" s="1" t="s">
        <v>14054</v>
      </c>
      <c r="C7970" s="1" t="s">
        <v>3600</v>
      </c>
      <c r="D7970" s="1" t="s">
        <v>3610</v>
      </c>
      <c r="E7970" s="1" t="s">
        <v>3752</v>
      </c>
      <c r="F7970" s="1" t="s">
        <v>26856</v>
      </c>
      <c r="G7970" s="1" t="s">
        <v>26857</v>
      </c>
      <c r="H7970" s="1" t="s">
        <v>3604</v>
      </c>
      <c r="I7970" s="1" t="s">
        <v>26858</v>
      </c>
      <c r="J7970" s="1" t="s">
        <v>3615</v>
      </c>
      <c r="K7970" s="1" t="s">
        <v>26822</v>
      </c>
      <c r="L7970" s="1"/>
      <c r="M7970" s="1"/>
    </row>
    <row x14ac:dyDescent="0.25" r="7971" customHeight="1" ht="18.75">
      <c r="A7971" s="1" t="s">
        <v>3598</v>
      </c>
      <c r="B7971" s="1" t="s">
        <v>14054</v>
      </c>
      <c r="C7971" s="1" t="s">
        <v>3600</v>
      </c>
      <c r="D7971" s="1" t="s">
        <v>3610</v>
      </c>
      <c r="E7971" s="1" t="s">
        <v>3752</v>
      </c>
      <c r="F7971" s="1" t="s">
        <v>26859</v>
      </c>
      <c r="G7971" s="1" t="s">
        <v>26857</v>
      </c>
      <c r="H7971" s="1" t="s">
        <v>3604</v>
      </c>
      <c r="I7971" s="1" t="s">
        <v>26860</v>
      </c>
      <c r="J7971" s="1" t="s">
        <v>3615</v>
      </c>
      <c r="K7971" s="1" t="s">
        <v>26825</v>
      </c>
      <c r="L7971" s="1"/>
      <c r="M7971" s="1"/>
    </row>
    <row x14ac:dyDescent="0.25" r="7972" customHeight="1" ht="18.75">
      <c r="A7972" s="1" t="s">
        <v>3598</v>
      </c>
      <c r="B7972" s="1" t="s">
        <v>14054</v>
      </c>
      <c r="C7972" s="1" t="s">
        <v>3600</v>
      </c>
      <c r="D7972" s="1" t="s">
        <v>3610</v>
      </c>
      <c r="E7972" s="1" t="s">
        <v>3752</v>
      </c>
      <c r="F7972" s="1" t="s">
        <v>26861</v>
      </c>
      <c r="G7972" s="1" t="s">
        <v>26862</v>
      </c>
      <c r="H7972" s="1" t="s">
        <v>3604</v>
      </c>
      <c r="I7972" s="1" t="s">
        <v>26863</v>
      </c>
      <c r="J7972" s="1" t="s">
        <v>3615</v>
      </c>
      <c r="K7972" s="1" t="s">
        <v>26829</v>
      </c>
      <c r="L7972" s="1"/>
      <c r="M7972" s="1"/>
    </row>
    <row x14ac:dyDescent="0.25" r="7973" customHeight="1" ht="18.75">
      <c r="A7973" s="1" t="s">
        <v>3598</v>
      </c>
      <c r="B7973" s="1" t="s">
        <v>14054</v>
      </c>
      <c r="C7973" s="1" t="s">
        <v>3600</v>
      </c>
      <c r="D7973" s="1" t="s">
        <v>3610</v>
      </c>
      <c r="E7973" s="1" t="s">
        <v>3752</v>
      </c>
      <c r="F7973" s="1" t="s">
        <v>26864</v>
      </c>
      <c r="G7973" s="1" t="s">
        <v>26862</v>
      </c>
      <c r="H7973" s="1" t="s">
        <v>3604</v>
      </c>
      <c r="I7973" s="1" t="s">
        <v>26865</v>
      </c>
      <c r="J7973" s="1" t="s">
        <v>3615</v>
      </c>
      <c r="K7973" s="1" t="s">
        <v>26832</v>
      </c>
      <c r="L7973" s="1"/>
      <c r="M7973" s="1"/>
    </row>
    <row x14ac:dyDescent="0.25" r="7974" customHeight="1" ht="18.75">
      <c r="A7974" s="1" t="s">
        <v>3598</v>
      </c>
      <c r="B7974" s="1" t="s">
        <v>14054</v>
      </c>
      <c r="C7974" s="1" t="s">
        <v>3600</v>
      </c>
      <c r="D7974" s="1" t="s">
        <v>3610</v>
      </c>
      <c r="E7974" s="1" t="s">
        <v>3752</v>
      </c>
      <c r="F7974" s="1" t="s">
        <v>26866</v>
      </c>
      <c r="G7974" s="1" t="s">
        <v>26867</v>
      </c>
      <c r="H7974" s="1" t="s">
        <v>3604</v>
      </c>
      <c r="I7974" s="1" t="s">
        <v>26868</v>
      </c>
      <c r="J7974" s="1" t="s">
        <v>3615</v>
      </c>
      <c r="K7974" s="1" t="s">
        <v>26839</v>
      </c>
      <c r="L7974" s="1"/>
      <c r="M7974" s="1"/>
    </row>
    <row x14ac:dyDescent="0.25" r="7975" customHeight="1" ht="18.75">
      <c r="A7975" s="1" t="s">
        <v>3598</v>
      </c>
      <c r="B7975" s="1" t="s">
        <v>14054</v>
      </c>
      <c r="C7975" s="1" t="s">
        <v>3600</v>
      </c>
      <c r="D7975" s="1" t="s">
        <v>3610</v>
      </c>
      <c r="E7975" s="1" t="s">
        <v>3752</v>
      </c>
      <c r="F7975" s="1" t="s">
        <v>26869</v>
      </c>
      <c r="G7975" s="1" t="s">
        <v>26867</v>
      </c>
      <c r="H7975" s="1" t="s">
        <v>3604</v>
      </c>
      <c r="I7975" s="1" t="s">
        <v>26870</v>
      </c>
      <c r="J7975" s="1" t="s">
        <v>3615</v>
      </c>
      <c r="K7975" s="1" t="s">
        <v>26842</v>
      </c>
      <c r="L7975" s="1"/>
      <c r="M7975" s="1"/>
    </row>
    <row x14ac:dyDescent="0.25" r="7976" customHeight="1" ht="18.75">
      <c r="A7976" s="1" t="s">
        <v>3598</v>
      </c>
      <c r="B7976" s="1" t="s">
        <v>14054</v>
      </c>
      <c r="C7976" s="1" t="s">
        <v>3600</v>
      </c>
      <c r="D7976" s="1" t="s">
        <v>3610</v>
      </c>
      <c r="E7976" s="1" t="s">
        <v>3664</v>
      </c>
      <c r="F7976" s="1" t="s">
        <v>26871</v>
      </c>
      <c r="G7976" s="1" t="s">
        <v>26872</v>
      </c>
      <c r="H7976" s="1" t="s">
        <v>3604</v>
      </c>
      <c r="I7976" s="1" t="s">
        <v>26873</v>
      </c>
      <c r="J7976" s="1" t="s">
        <v>3615</v>
      </c>
      <c r="K7976" s="1" t="s">
        <v>26874</v>
      </c>
      <c r="L7976" s="1"/>
      <c r="M7976" s="1"/>
    </row>
    <row x14ac:dyDescent="0.25" r="7977" customHeight="1" ht="18.75">
      <c r="A7977" s="1" t="s">
        <v>3598</v>
      </c>
      <c r="B7977" s="1" t="s">
        <v>14054</v>
      </c>
      <c r="C7977" s="1" t="s">
        <v>3600</v>
      </c>
      <c r="D7977" s="1" t="s">
        <v>3610</v>
      </c>
      <c r="E7977" s="1" t="s">
        <v>3664</v>
      </c>
      <c r="F7977" s="1" t="s">
        <v>26875</v>
      </c>
      <c r="G7977" s="1" t="s">
        <v>26872</v>
      </c>
      <c r="H7977" s="1" t="s">
        <v>3604</v>
      </c>
      <c r="I7977" s="1" t="s">
        <v>26876</v>
      </c>
      <c r="J7977" s="1" t="s">
        <v>3615</v>
      </c>
      <c r="K7977" s="1" t="s">
        <v>26877</v>
      </c>
      <c r="L7977" s="1"/>
      <c r="M7977" s="1"/>
    </row>
    <row x14ac:dyDescent="0.25" r="7978" customHeight="1" ht="18.75">
      <c r="A7978" s="1" t="s">
        <v>3598</v>
      </c>
      <c r="B7978" s="1" t="s">
        <v>14054</v>
      </c>
      <c r="C7978" s="1" t="s">
        <v>3600</v>
      </c>
      <c r="D7978" s="1" t="s">
        <v>3610</v>
      </c>
      <c r="E7978" s="1" t="s">
        <v>3664</v>
      </c>
      <c r="F7978" s="1" t="s">
        <v>26878</v>
      </c>
      <c r="G7978" s="1" t="s">
        <v>26872</v>
      </c>
      <c r="H7978" s="1" t="s">
        <v>3604</v>
      </c>
      <c r="I7978" s="1" t="s">
        <v>26879</v>
      </c>
      <c r="J7978" s="1" t="s">
        <v>3615</v>
      </c>
      <c r="K7978" s="1" t="s">
        <v>26880</v>
      </c>
      <c r="L7978" s="1"/>
      <c r="M7978" s="1"/>
    </row>
    <row x14ac:dyDescent="0.25" r="7979" customHeight="1" ht="18.75">
      <c r="A7979" s="1" t="s">
        <v>3598</v>
      </c>
      <c r="B7979" s="1" t="s">
        <v>14054</v>
      </c>
      <c r="C7979" s="1" t="s">
        <v>3600</v>
      </c>
      <c r="D7979" s="1" t="s">
        <v>3610</v>
      </c>
      <c r="E7979" s="1" t="s">
        <v>3664</v>
      </c>
      <c r="F7979" s="1" t="s">
        <v>26881</v>
      </c>
      <c r="G7979" s="1" t="s">
        <v>26872</v>
      </c>
      <c r="H7979" s="1" t="s">
        <v>3604</v>
      </c>
      <c r="I7979" s="1" t="s">
        <v>26882</v>
      </c>
      <c r="J7979" s="1" t="s">
        <v>3615</v>
      </c>
      <c r="K7979" s="1" t="s">
        <v>26883</v>
      </c>
      <c r="L7979" s="1"/>
      <c r="M7979" s="1"/>
    </row>
    <row x14ac:dyDescent="0.25" r="7980" customHeight="1" ht="18.75">
      <c r="A7980" s="1" t="s">
        <v>3598</v>
      </c>
      <c r="B7980" s="1" t="s">
        <v>14054</v>
      </c>
      <c r="C7980" s="1" t="s">
        <v>3600</v>
      </c>
      <c r="D7980" s="1" t="s">
        <v>3610</v>
      </c>
      <c r="E7980" s="1" t="s">
        <v>3664</v>
      </c>
      <c r="F7980" s="1" t="s">
        <v>26884</v>
      </c>
      <c r="G7980" s="1" t="s">
        <v>26872</v>
      </c>
      <c r="H7980" s="1" t="s">
        <v>3604</v>
      </c>
      <c r="I7980" s="1" t="s">
        <v>26885</v>
      </c>
      <c r="J7980" s="1" t="s">
        <v>3615</v>
      </c>
      <c r="K7980" s="1" t="s">
        <v>26886</v>
      </c>
      <c r="L7980" s="1"/>
      <c r="M7980" s="1"/>
    </row>
    <row x14ac:dyDescent="0.25" r="7981" customHeight="1" ht="18.75">
      <c r="A7981" s="1" t="s">
        <v>3598</v>
      </c>
      <c r="B7981" s="1" t="s">
        <v>14054</v>
      </c>
      <c r="C7981" s="1" t="s">
        <v>3600</v>
      </c>
      <c r="D7981" s="1" t="s">
        <v>3610</v>
      </c>
      <c r="E7981" s="1" t="s">
        <v>3664</v>
      </c>
      <c r="F7981" s="1" t="s">
        <v>26887</v>
      </c>
      <c r="G7981" s="1" t="s">
        <v>16969</v>
      </c>
      <c r="H7981" s="1" t="s">
        <v>3604</v>
      </c>
      <c r="I7981" s="1" t="s">
        <v>26888</v>
      </c>
      <c r="J7981" s="1" t="s">
        <v>3615</v>
      </c>
      <c r="K7981" s="1" t="s">
        <v>26889</v>
      </c>
      <c r="L7981" s="1"/>
      <c r="M7981" s="1"/>
    </row>
    <row x14ac:dyDescent="0.25" r="7982" customHeight="1" ht="18.75">
      <c r="A7982" s="1" t="s">
        <v>3598</v>
      </c>
      <c r="B7982" s="1" t="s">
        <v>14054</v>
      </c>
      <c r="C7982" s="1" t="s">
        <v>3600</v>
      </c>
      <c r="D7982" s="1" t="s">
        <v>3610</v>
      </c>
      <c r="E7982" s="1" t="s">
        <v>3664</v>
      </c>
      <c r="F7982" s="1" t="s">
        <v>26890</v>
      </c>
      <c r="G7982" s="1" t="s">
        <v>16969</v>
      </c>
      <c r="H7982" s="1" t="s">
        <v>3604</v>
      </c>
      <c r="I7982" s="1" t="s">
        <v>26891</v>
      </c>
      <c r="J7982" s="1" t="s">
        <v>3615</v>
      </c>
      <c r="K7982" s="1" t="s">
        <v>26892</v>
      </c>
      <c r="L7982" s="1"/>
      <c r="M7982" s="1"/>
    </row>
    <row x14ac:dyDescent="0.25" r="7983" customHeight="1" ht="18.75">
      <c r="A7983" s="1" t="s">
        <v>3598</v>
      </c>
      <c r="B7983" s="1" t="s">
        <v>14054</v>
      </c>
      <c r="C7983" s="1" t="s">
        <v>3600</v>
      </c>
      <c r="D7983" s="1" t="s">
        <v>3610</v>
      </c>
      <c r="E7983" s="1" t="s">
        <v>3664</v>
      </c>
      <c r="F7983" s="1" t="s">
        <v>26893</v>
      </c>
      <c r="G7983" s="1" t="s">
        <v>16969</v>
      </c>
      <c r="H7983" s="1" t="s">
        <v>3604</v>
      </c>
      <c r="I7983" s="1" t="s">
        <v>26894</v>
      </c>
      <c r="J7983" s="1" t="s">
        <v>3615</v>
      </c>
      <c r="K7983" s="1" t="s">
        <v>26895</v>
      </c>
      <c r="L7983" s="1"/>
      <c r="M7983" s="1"/>
    </row>
    <row x14ac:dyDescent="0.25" r="7984" customHeight="1" ht="18.75">
      <c r="A7984" s="1" t="s">
        <v>3598</v>
      </c>
      <c r="B7984" s="1" t="s">
        <v>14054</v>
      </c>
      <c r="C7984" s="1" t="s">
        <v>3600</v>
      </c>
      <c r="D7984" s="1" t="s">
        <v>3610</v>
      </c>
      <c r="E7984" s="1" t="s">
        <v>3664</v>
      </c>
      <c r="F7984" s="1" t="s">
        <v>26896</v>
      </c>
      <c r="G7984" s="1" t="s">
        <v>16969</v>
      </c>
      <c r="H7984" s="1" t="s">
        <v>3604</v>
      </c>
      <c r="I7984" s="1" t="s">
        <v>26897</v>
      </c>
      <c r="J7984" s="1" t="s">
        <v>3615</v>
      </c>
      <c r="K7984" s="1" t="s">
        <v>26898</v>
      </c>
      <c r="L7984" s="1"/>
      <c r="M7984" s="1"/>
    </row>
    <row x14ac:dyDescent="0.25" r="7985" customHeight="1" ht="18.75">
      <c r="A7985" s="1" t="s">
        <v>3598</v>
      </c>
      <c r="B7985" s="1" t="s">
        <v>14054</v>
      </c>
      <c r="C7985" s="1" t="s">
        <v>3600</v>
      </c>
      <c r="D7985" s="1" t="s">
        <v>3610</v>
      </c>
      <c r="E7985" s="1" t="s">
        <v>3664</v>
      </c>
      <c r="F7985" s="1" t="s">
        <v>26899</v>
      </c>
      <c r="G7985" s="1" t="s">
        <v>16969</v>
      </c>
      <c r="H7985" s="1" t="s">
        <v>3604</v>
      </c>
      <c r="I7985" s="1" t="s">
        <v>26900</v>
      </c>
      <c r="J7985" s="1" t="s">
        <v>3615</v>
      </c>
      <c r="K7985" s="1" t="s">
        <v>26901</v>
      </c>
      <c r="L7985" s="1"/>
      <c r="M7985" s="1"/>
    </row>
    <row x14ac:dyDescent="0.25" r="7986" customHeight="1" ht="18.75">
      <c r="A7986" s="1" t="s">
        <v>3598</v>
      </c>
      <c r="B7986" s="1" t="s">
        <v>14054</v>
      </c>
      <c r="C7986" s="1" t="s">
        <v>3600</v>
      </c>
      <c r="D7986" s="1" t="s">
        <v>3610</v>
      </c>
      <c r="E7986" s="1" t="s">
        <v>3664</v>
      </c>
      <c r="F7986" s="1" t="s">
        <v>26902</v>
      </c>
      <c r="G7986" s="1" t="s">
        <v>26903</v>
      </c>
      <c r="H7986" s="1" t="s">
        <v>3604</v>
      </c>
      <c r="I7986" s="1" t="s">
        <v>26904</v>
      </c>
      <c r="J7986" s="1" t="s">
        <v>3615</v>
      </c>
      <c r="K7986" s="1" t="s">
        <v>26905</v>
      </c>
      <c r="L7986" s="1"/>
      <c r="M7986" s="1"/>
    </row>
    <row x14ac:dyDescent="0.25" r="7987" customHeight="1" ht="18.75">
      <c r="A7987" s="1" t="s">
        <v>3598</v>
      </c>
      <c r="B7987" s="1" t="s">
        <v>14054</v>
      </c>
      <c r="C7987" s="1" t="s">
        <v>3600</v>
      </c>
      <c r="D7987" s="1" t="s">
        <v>3610</v>
      </c>
      <c r="E7987" s="1" t="s">
        <v>3664</v>
      </c>
      <c r="F7987" s="1" t="s">
        <v>26906</v>
      </c>
      <c r="G7987" s="1" t="s">
        <v>26903</v>
      </c>
      <c r="H7987" s="1" t="s">
        <v>3604</v>
      </c>
      <c r="I7987" s="1" t="s">
        <v>26907</v>
      </c>
      <c r="J7987" s="1" t="s">
        <v>3615</v>
      </c>
      <c r="K7987" s="1" t="s">
        <v>26908</v>
      </c>
      <c r="L7987" s="1"/>
      <c r="M7987" s="1"/>
    </row>
    <row x14ac:dyDescent="0.25" r="7988" customHeight="1" ht="18.75">
      <c r="A7988" s="1" t="s">
        <v>3598</v>
      </c>
      <c r="B7988" s="1" t="s">
        <v>14054</v>
      </c>
      <c r="C7988" s="1" t="s">
        <v>3600</v>
      </c>
      <c r="D7988" s="1" t="s">
        <v>3610</v>
      </c>
      <c r="E7988" s="1" t="s">
        <v>3664</v>
      </c>
      <c r="F7988" s="1" t="s">
        <v>26909</v>
      </c>
      <c r="G7988" s="1" t="s">
        <v>26903</v>
      </c>
      <c r="H7988" s="1" t="s">
        <v>3604</v>
      </c>
      <c r="I7988" s="1" t="s">
        <v>26910</v>
      </c>
      <c r="J7988" s="1" t="s">
        <v>3615</v>
      </c>
      <c r="K7988" s="1" t="s">
        <v>26666</v>
      </c>
      <c r="L7988" s="1"/>
      <c r="M7988" s="1"/>
    </row>
    <row x14ac:dyDescent="0.25" r="7989" customHeight="1" ht="18.75">
      <c r="A7989" s="1" t="s">
        <v>3598</v>
      </c>
      <c r="B7989" s="1" t="s">
        <v>14054</v>
      </c>
      <c r="C7989" s="1" t="s">
        <v>3600</v>
      </c>
      <c r="D7989" s="1" t="s">
        <v>3610</v>
      </c>
      <c r="E7989" s="1" t="s">
        <v>3664</v>
      </c>
      <c r="F7989" s="1" t="s">
        <v>26911</v>
      </c>
      <c r="G7989" s="1" t="s">
        <v>26903</v>
      </c>
      <c r="H7989" s="1" t="s">
        <v>3604</v>
      </c>
      <c r="I7989" s="1" t="s">
        <v>26912</v>
      </c>
      <c r="J7989" s="1" t="s">
        <v>3615</v>
      </c>
      <c r="K7989" s="1" t="s">
        <v>26663</v>
      </c>
      <c r="L7989" s="1"/>
      <c r="M7989" s="1"/>
    </row>
    <row x14ac:dyDescent="0.25" r="7990" customHeight="1" ht="18.75">
      <c r="A7990" s="1" t="s">
        <v>3598</v>
      </c>
      <c r="B7990" s="1" t="s">
        <v>14054</v>
      </c>
      <c r="C7990" s="1" t="s">
        <v>3600</v>
      </c>
      <c r="D7990" s="1" t="s">
        <v>3610</v>
      </c>
      <c r="E7990" s="1" t="s">
        <v>3664</v>
      </c>
      <c r="F7990" s="1" t="s">
        <v>26913</v>
      </c>
      <c r="G7990" s="1" t="s">
        <v>26903</v>
      </c>
      <c r="H7990" s="1" t="s">
        <v>3604</v>
      </c>
      <c r="I7990" s="1" t="s">
        <v>26914</v>
      </c>
      <c r="J7990" s="1" t="s">
        <v>3615</v>
      </c>
      <c r="K7990" s="1" t="s">
        <v>26915</v>
      </c>
      <c r="L7990" s="1"/>
      <c r="M7990" s="1"/>
    </row>
    <row x14ac:dyDescent="0.25" r="7991" customHeight="1" ht="18.75">
      <c r="A7991" s="1" t="s">
        <v>3598</v>
      </c>
      <c r="B7991" s="1" t="s">
        <v>9582</v>
      </c>
      <c r="C7991" s="1" t="s">
        <v>3600</v>
      </c>
      <c r="D7991" s="1" t="s">
        <v>3610</v>
      </c>
      <c r="E7991" s="1" t="s">
        <v>3752</v>
      </c>
      <c r="F7991" s="1" t="s">
        <v>26916</v>
      </c>
      <c r="G7991" s="1" t="s">
        <v>26917</v>
      </c>
      <c r="H7991" s="1" t="s">
        <v>3604</v>
      </c>
      <c r="I7991" s="1" t="s">
        <v>26918</v>
      </c>
      <c r="J7991" s="1" t="s">
        <v>3615</v>
      </c>
      <c r="K7991" s="1" t="s">
        <v>26543</v>
      </c>
      <c r="L7991" s="1"/>
      <c r="M7991" s="1"/>
    </row>
    <row x14ac:dyDescent="0.25" r="7992" customHeight="1" ht="18.75">
      <c r="A7992" s="1" t="s">
        <v>3598</v>
      </c>
      <c r="B7992" s="1" t="s">
        <v>9582</v>
      </c>
      <c r="C7992" s="1" t="s">
        <v>3600</v>
      </c>
      <c r="D7992" s="1" t="s">
        <v>3610</v>
      </c>
      <c r="E7992" s="1" t="s">
        <v>3752</v>
      </c>
      <c r="F7992" s="1" t="s">
        <v>26919</v>
      </c>
      <c r="G7992" s="1" t="s">
        <v>26917</v>
      </c>
      <c r="H7992" s="1" t="s">
        <v>3604</v>
      </c>
      <c r="I7992" s="1" t="s">
        <v>26920</v>
      </c>
      <c r="J7992" s="1" t="s">
        <v>3615</v>
      </c>
      <c r="K7992" s="1" t="s">
        <v>26546</v>
      </c>
      <c r="L7992" s="1"/>
      <c r="M7992" s="1"/>
    </row>
    <row x14ac:dyDescent="0.25" r="7993" customHeight="1" ht="18.75">
      <c r="A7993" s="1" t="s">
        <v>3598</v>
      </c>
      <c r="B7993" s="1" t="s">
        <v>9582</v>
      </c>
      <c r="C7993" s="1" t="s">
        <v>3600</v>
      </c>
      <c r="D7993" s="1" t="s">
        <v>3610</v>
      </c>
      <c r="E7993" s="1" t="s">
        <v>3752</v>
      </c>
      <c r="F7993" s="1" t="s">
        <v>26921</v>
      </c>
      <c r="G7993" s="1" t="s">
        <v>26922</v>
      </c>
      <c r="H7993" s="1" t="s">
        <v>3604</v>
      </c>
      <c r="I7993" s="1" t="s">
        <v>26923</v>
      </c>
      <c r="J7993" s="1" t="s">
        <v>3615</v>
      </c>
      <c r="K7993" s="1" t="s">
        <v>26924</v>
      </c>
      <c r="L7993" s="1"/>
      <c r="M7993" s="1"/>
    </row>
    <row x14ac:dyDescent="0.25" r="7994" customHeight="1" ht="18.75">
      <c r="A7994" s="1" t="s">
        <v>3598</v>
      </c>
      <c r="B7994" s="1" t="s">
        <v>9582</v>
      </c>
      <c r="C7994" s="1" t="s">
        <v>3600</v>
      </c>
      <c r="D7994" s="1" t="s">
        <v>3610</v>
      </c>
      <c r="E7994" s="1" t="s">
        <v>3752</v>
      </c>
      <c r="F7994" s="1" t="s">
        <v>26925</v>
      </c>
      <c r="G7994" s="1" t="s">
        <v>26922</v>
      </c>
      <c r="H7994" s="1" t="s">
        <v>3604</v>
      </c>
      <c r="I7994" s="1" t="s">
        <v>26926</v>
      </c>
      <c r="J7994" s="1" t="s">
        <v>3615</v>
      </c>
      <c r="K7994" s="1" t="s">
        <v>26927</v>
      </c>
      <c r="L7994" s="1"/>
      <c r="M7994" s="1"/>
    </row>
    <row x14ac:dyDescent="0.25" r="7995" customHeight="1" ht="18.75">
      <c r="A7995" s="1" t="s">
        <v>3598</v>
      </c>
      <c r="B7995" s="1" t="s">
        <v>9582</v>
      </c>
      <c r="C7995" s="1" t="s">
        <v>3600</v>
      </c>
      <c r="D7995" s="1" t="s">
        <v>3610</v>
      </c>
      <c r="E7995" s="1" t="s">
        <v>3752</v>
      </c>
      <c r="F7995" s="1" t="s">
        <v>26928</v>
      </c>
      <c r="G7995" s="1" t="s">
        <v>26929</v>
      </c>
      <c r="H7995" s="1" t="s">
        <v>3604</v>
      </c>
      <c r="I7995" s="1" t="s">
        <v>26930</v>
      </c>
      <c r="J7995" s="1" t="s">
        <v>3615</v>
      </c>
      <c r="K7995" s="1" t="s">
        <v>26931</v>
      </c>
      <c r="L7995" s="1"/>
      <c r="M7995" s="1"/>
    </row>
    <row x14ac:dyDescent="0.25" r="7996" customHeight="1" ht="18.75">
      <c r="A7996" s="1" t="s">
        <v>3598</v>
      </c>
      <c r="B7996" s="1" t="s">
        <v>9582</v>
      </c>
      <c r="C7996" s="1" t="s">
        <v>3600</v>
      </c>
      <c r="D7996" s="1" t="s">
        <v>3610</v>
      </c>
      <c r="E7996" s="1" t="s">
        <v>3752</v>
      </c>
      <c r="F7996" s="1" t="s">
        <v>26932</v>
      </c>
      <c r="G7996" s="1" t="s">
        <v>26929</v>
      </c>
      <c r="H7996" s="1" t="s">
        <v>3604</v>
      </c>
      <c r="I7996" s="1" t="s">
        <v>26933</v>
      </c>
      <c r="J7996" s="1" t="s">
        <v>3615</v>
      </c>
      <c r="K7996" s="1" t="s">
        <v>26934</v>
      </c>
      <c r="L7996" s="1"/>
      <c r="M7996" s="1"/>
    </row>
    <row x14ac:dyDescent="0.25" r="7997" customHeight="1" ht="18.75">
      <c r="A7997" s="1" t="s">
        <v>3598</v>
      </c>
      <c r="B7997" s="1" t="s">
        <v>9582</v>
      </c>
      <c r="C7997" s="1" t="s">
        <v>3600</v>
      </c>
      <c r="D7997" s="1" t="s">
        <v>3610</v>
      </c>
      <c r="E7997" s="1" t="s">
        <v>3752</v>
      </c>
      <c r="F7997" s="1" t="s">
        <v>26935</v>
      </c>
      <c r="G7997" s="1" t="s">
        <v>26936</v>
      </c>
      <c r="H7997" s="1" t="s">
        <v>3604</v>
      </c>
      <c r="I7997" s="1" t="s">
        <v>26937</v>
      </c>
      <c r="J7997" s="1" t="s">
        <v>3615</v>
      </c>
      <c r="K7997" s="1" t="s">
        <v>26839</v>
      </c>
      <c r="L7997" s="1"/>
      <c r="M7997" s="1"/>
    </row>
    <row x14ac:dyDescent="0.25" r="7998" customHeight="1" ht="18.75">
      <c r="A7998" s="1" t="s">
        <v>3598</v>
      </c>
      <c r="B7998" s="1" t="s">
        <v>9582</v>
      </c>
      <c r="C7998" s="1" t="s">
        <v>3600</v>
      </c>
      <c r="D7998" s="1" t="s">
        <v>3610</v>
      </c>
      <c r="E7998" s="1" t="s">
        <v>3752</v>
      </c>
      <c r="F7998" s="1" t="s">
        <v>26938</v>
      </c>
      <c r="G7998" s="1" t="s">
        <v>26936</v>
      </c>
      <c r="H7998" s="1" t="s">
        <v>3604</v>
      </c>
      <c r="I7998" s="1" t="s">
        <v>26939</v>
      </c>
      <c r="J7998" s="1" t="s">
        <v>3615</v>
      </c>
      <c r="K7998" s="1" t="s">
        <v>26842</v>
      </c>
      <c r="L7998" s="1"/>
      <c r="M7998" s="1"/>
    </row>
    <row x14ac:dyDescent="0.25" r="7999" customHeight="1" ht="18.75">
      <c r="A7999" s="1" t="s">
        <v>3598</v>
      </c>
      <c r="B7999" s="1" t="s">
        <v>9582</v>
      </c>
      <c r="C7999" s="1" t="s">
        <v>3600</v>
      </c>
      <c r="D7999" s="1" t="s">
        <v>3610</v>
      </c>
      <c r="E7999" s="1" t="s">
        <v>3752</v>
      </c>
      <c r="F7999" s="1" t="s">
        <v>26940</v>
      </c>
      <c r="G7999" s="1" t="s">
        <v>26936</v>
      </c>
      <c r="H7999" s="1" t="s">
        <v>3604</v>
      </c>
      <c r="I7999" s="1" t="s">
        <v>26941</v>
      </c>
      <c r="J7999" s="1" t="s">
        <v>3615</v>
      </c>
      <c r="K7999" s="1" t="s">
        <v>26845</v>
      </c>
      <c r="L7999" s="1"/>
      <c r="M7999" s="1"/>
    </row>
    <row x14ac:dyDescent="0.25" r="8000" customHeight="1" ht="18.75">
      <c r="A8000" s="1" t="s">
        <v>3598</v>
      </c>
      <c r="B8000" s="1" t="s">
        <v>9582</v>
      </c>
      <c r="C8000" s="1" t="s">
        <v>3600</v>
      </c>
      <c r="D8000" s="1" t="s">
        <v>3610</v>
      </c>
      <c r="E8000" s="1" t="s">
        <v>3752</v>
      </c>
      <c r="F8000" s="1" t="s">
        <v>26942</v>
      </c>
      <c r="G8000" s="1" t="s">
        <v>19664</v>
      </c>
      <c r="H8000" s="1" t="s">
        <v>3604</v>
      </c>
      <c r="I8000" s="1" t="s">
        <v>26943</v>
      </c>
      <c r="J8000" s="1" t="s">
        <v>3615</v>
      </c>
      <c r="K8000" s="1" t="s">
        <v>26944</v>
      </c>
      <c r="L8000" s="1"/>
      <c r="M8000" s="1"/>
    </row>
    <row x14ac:dyDescent="0.25" r="8001" customHeight="1" ht="18.75">
      <c r="A8001" s="1" t="s">
        <v>3598</v>
      </c>
      <c r="B8001" s="1" t="s">
        <v>9582</v>
      </c>
      <c r="C8001" s="1" t="s">
        <v>3600</v>
      </c>
      <c r="D8001" s="1" t="s">
        <v>3610</v>
      </c>
      <c r="E8001" s="1" t="s">
        <v>3752</v>
      </c>
      <c r="F8001" s="1" t="s">
        <v>26945</v>
      </c>
      <c r="G8001" s="1" t="s">
        <v>19664</v>
      </c>
      <c r="H8001" s="1" t="s">
        <v>3604</v>
      </c>
      <c r="I8001" s="1" t="s">
        <v>26946</v>
      </c>
      <c r="J8001" s="1" t="s">
        <v>3615</v>
      </c>
      <c r="K8001" s="1" t="s">
        <v>26781</v>
      </c>
      <c r="L8001" s="1"/>
      <c r="M8001" s="1"/>
    </row>
    <row x14ac:dyDescent="0.25" r="8002" customHeight="1" ht="18.75">
      <c r="A8002" s="1" t="s">
        <v>3598</v>
      </c>
      <c r="B8002" s="1" t="s">
        <v>9582</v>
      </c>
      <c r="C8002" s="1" t="s">
        <v>3600</v>
      </c>
      <c r="D8002" s="1" t="s">
        <v>3610</v>
      </c>
      <c r="E8002" s="1" t="s">
        <v>3752</v>
      </c>
      <c r="F8002" s="1" t="s">
        <v>26947</v>
      </c>
      <c r="G8002" s="1" t="s">
        <v>19664</v>
      </c>
      <c r="H8002" s="1" t="s">
        <v>3604</v>
      </c>
      <c r="I8002" s="1" t="s">
        <v>26948</v>
      </c>
      <c r="J8002" s="1" t="s">
        <v>3615</v>
      </c>
      <c r="K8002" s="1" t="s">
        <v>26784</v>
      </c>
      <c r="L8002" s="1"/>
      <c r="M8002" s="1"/>
    </row>
    <row x14ac:dyDescent="0.25" r="8003" customHeight="1" ht="18.75">
      <c r="A8003" s="1" t="s">
        <v>3598</v>
      </c>
      <c r="B8003" s="1" t="s">
        <v>9582</v>
      </c>
      <c r="C8003" s="1" t="s">
        <v>3600</v>
      </c>
      <c r="D8003" s="1" t="s">
        <v>3610</v>
      </c>
      <c r="E8003" s="1" t="s">
        <v>3752</v>
      </c>
      <c r="F8003" s="1" t="s">
        <v>26949</v>
      </c>
      <c r="G8003" s="1" t="s">
        <v>19674</v>
      </c>
      <c r="H8003" s="1" t="s">
        <v>3604</v>
      </c>
      <c r="I8003" s="1" t="s">
        <v>26950</v>
      </c>
      <c r="J8003" s="1" t="s">
        <v>3615</v>
      </c>
      <c r="K8003" s="1" t="s">
        <v>26951</v>
      </c>
      <c r="L8003" s="1"/>
      <c r="M8003" s="1"/>
    </row>
    <row x14ac:dyDescent="0.25" r="8004" customHeight="1" ht="18.75">
      <c r="A8004" s="1" t="s">
        <v>3598</v>
      </c>
      <c r="B8004" s="1" t="s">
        <v>9582</v>
      </c>
      <c r="C8004" s="1" t="s">
        <v>3600</v>
      </c>
      <c r="D8004" s="1" t="s">
        <v>3610</v>
      </c>
      <c r="E8004" s="1" t="s">
        <v>3752</v>
      </c>
      <c r="F8004" s="1" t="s">
        <v>26952</v>
      </c>
      <c r="G8004" s="1" t="s">
        <v>19674</v>
      </c>
      <c r="H8004" s="1" t="s">
        <v>3604</v>
      </c>
      <c r="I8004" s="1" t="s">
        <v>26953</v>
      </c>
      <c r="J8004" s="1" t="s">
        <v>3615</v>
      </c>
      <c r="K8004" s="1" t="s">
        <v>26954</v>
      </c>
      <c r="L8004" s="1"/>
      <c r="M8004" s="1"/>
    </row>
    <row x14ac:dyDescent="0.25" r="8005" customHeight="1" ht="18.75">
      <c r="A8005" s="1" t="s">
        <v>3598</v>
      </c>
      <c r="B8005" s="1" t="s">
        <v>9582</v>
      </c>
      <c r="C8005" s="1" t="s">
        <v>3600</v>
      </c>
      <c r="D8005" s="1" t="s">
        <v>3610</v>
      </c>
      <c r="E8005" s="1" t="s">
        <v>3752</v>
      </c>
      <c r="F8005" s="1" t="s">
        <v>26955</v>
      </c>
      <c r="G8005" s="1" t="s">
        <v>19674</v>
      </c>
      <c r="H8005" s="1" t="s">
        <v>3604</v>
      </c>
      <c r="I8005" s="1" t="s">
        <v>26956</v>
      </c>
      <c r="J8005" s="1" t="s">
        <v>3615</v>
      </c>
      <c r="K8005" s="1" t="s">
        <v>26957</v>
      </c>
      <c r="L8005" s="1"/>
      <c r="M8005" s="1"/>
    </row>
    <row x14ac:dyDescent="0.25" r="8006" customHeight="1" ht="18.75">
      <c r="A8006" s="1" t="s">
        <v>3598</v>
      </c>
      <c r="B8006" s="1" t="s">
        <v>9273</v>
      </c>
      <c r="C8006" s="1" t="s">
        <v>3600</v>
      </c>
      <c r="D8006" s="1" t="s">
        <v>3610</v>
      </c>
      <c r="E8006" s="1" t="s">
        <v>3752</v>
      </c>
      <c r="F8006" s="1" t="s">
        <v>26958</v>
      </c>
      <c r="G8006" s="1" t="s">
        <v>26959</v>
      </c>
      <c r="H8006" s="1" t="s">
        <v>3604</v>
      </c>
      <c r="I8006" s="1" t="s">
        <v>26960</v>
      </c>
      <c r="J8006" s="1" t="s">
        <v>3615</v>
      </c>
      <c r="K8006" s="1" t="s">
        <v>26961</v>
      </c>
      <c r="L8006" s="1"/>
      <c r="M8006" s="1"/>
    </row>
    <row x14ac:dyDescent="0.25" r="8007" customHeight="1" ht="18.75">
      <c r="A8007" s="1" t="s">
        <v>3598</v>
      </c>
      <c r="B8007" s="1" t="s">
        <v>9273</v>
      </c>
      <c r="C8007" s="1" t="s">
        <v>3600</v>
      </c>
      <c r="D8007" s="1" t="s">
        <v>3610</v>
      </c>
      <c r="E8007" s="1" t="s">
        <v>3752</v>
      </c>
      <c r="F8007" s="1" t="s">
        <v>26962</v>
      </c>
      <c r="G8007" s="1" t="s">
        <v>26963</v>
      </c>
      <c r="H8007" s="1" t="s">
        <v>3604</v>
      </c>
      <c r="I8007" s="1" t="s">
        <v>26964</v>
      </c>
      <c r="J8007" s="1" t="s">
        <v>3615</v>
      </c>
      <c r="K8007" s="1" t="s">
        <v>26543</v>
      </c>
      <c r="L8007" s="1"/>
      <c r="M8007" s="1"/>
    </row>
    <row x14ac:dyDescent="0.25" r="8008" customHeight="1" ht="18.75">
      <c r="A8008" s="1" t="s">
        <v>3598</v>
      </c>
      <c r="B8008" s="1" t="s">
        <v>9273</v>
      </c>
      <c r="C8008" s="1" t="s">
        <v>3600</v>
      </c>
      <c r="D8008" s="1" t="s">
        <v>3610</v>
      </c>
      <c r="E8008" s="1" t="s">
        <v>3752</v>
      </c>
      <c r="F8008" s="1" t="s">
        <v>26965</v>
      </c>
      <c r="G8008" s="1" t="s">
        <v>26963</v>
      </c>
      <c r="H8008" s="1" t="s">
        <v>3604</v>
      </c>
      <c r="I8008" s="1" t="s">
        <v>26966</v>
      </c>
      <c r="J8008" s="1" t="s">
        <v>3615</v>
      </c>
      <c r="K8008" s="1" t="s">
        <v>26546</v>
      </c>
      <c r="L8008" s="1"/>
      <c r="M8008" s="1"/>
    </row>
    <row x14ac:dyDescent="0.25" r="8009" customHeight="1" ht="18.75">
      <c r="A8009" s="1" t="s">
        <v>3598</v>
      </c>
      <c r="B8009" s="1" t="s">
        <v>9273</v>
      </c>
      <c r="C8009" s="1" t="s">
        <v>3600</v>
      </c>
      <c r="D8009" s="1" t="s">
        <v>3610</v>
      </c>
      <c r="E8009" s="1" t="s">
        <v>3752</v>
      </c>
      <c r="F8009" s="1" t="s">
        <v>26967</v>
      </c>
      <c r="G8009" s="1" t="s">
        <v>26968</v>
      </c>
      <c r="H8009" s="1" t="s">
        <v>3604</v>
      </c>
      <c r="I8009" s="1" t="s">
        <v>26969</v>
      </c>
      <c r="J8009" s="1" t="s">
        <v>3615</v>
      </c>
      <c r="K8009" s="1" t="s">
        <v>26924</v>
      </c>
      <c r="L8009" s="1"/>
      <c r="M8009" s="1"/>
    </row>
    <row x14ac:dyDescent="0.25" r="8010" customHeight="1" ht="18.75">
      <c r="A8010" s="1" t="s">
        <v>3598</v>
      </c>
      <c r="B8010" s="1" t="s">
        <v>9273</v>
      </c>
      <c r="C8010" s="1" t="s">
        <v>3600</v>
      </c>
      <c r="D8010" s="1" t="s">
        <v>3610</v>
      </c>
      <c r="E8010" s="1" t="s">
        <v>3752</v>
      </c>
      <c r="F8010" s="1" t="s">
        <v>26970</v>
      </c>
      <c r="G8010" s="1" t="s">
        <v>26968</v>
      </c>
      <c r="H8010" s="1" t="s">
        <v>3604</v>
      </c>
      <c r="I8010" s="1" t="s">
        <v>26971</v>
      </c>
      <c r="J8010" s="1" t="s">
        <v>3615</v>
      </c>
      <c r="K8010" s="1" t="s">
        <v>26927</v>
      </c>
      <c r="L8010" s="1"/>
      <c r="M8010" s="1"/>
    </row>
    <row x14ac:dyDescent="0.25" r="8011" customHeight="1" ht="18.75">
      <c r="A8011" s="1" t="s">
        <v>3598</v>
      </c>
      <c r="B8011" s="1" t="s">
        <v>9273</v>
      </c>
      <c r="C8011" s="1" t="s">
        <v>3600</v>
      </c>
      <c r="D8011" s="1" t="s">
        <v>3610</v>
      </c>
      <c r="E8011" s="1" t="s">
        <v>3752</v>
      </c>
      <c r="F8011" s="1" t="s">
        <v>26972</v>
      </c>
      <c r="G8011" s="1" t="s">
        <v>20164</v>
      </c>
      <c r="H8011" s="1" t="s">
        <v>3604</v>
      </c>
      <c r="I8011" s="1" t="s">
        <v>26973</v>
      </c>
      <c r="J8011" s="1" t="s">
        <v>3615</v>
      </c>
      <c r="K8011" s="1" t="s">
        <v>26954</v>
      </c>
      <c r="L8011" s="1"/>
      <c r="M8011" s="1"/>
    </row>
    <row x14ac:dyDescent="0.25" r="8012" customHeight="1" ht="18.75">
      <c r="A8012" s="1" t="s">
        <v>3598</v>
      </c>
      <c r="B8012" s="1" t="s">
        <v>9273</v>
      </c>
      <c r="C8012" s="1" t="s">
        <v>3600</v>
      </c>
      <c r="D8012" s="1" t="s">
        <v>3610</v>
      </c>
      <c r="E8012" s="1" t="s">
        <v>3752</v>
      </c>
      <c r="F8012" s="1" t="s">
        <v>26974</v>
      </c>
      <c r="G8012" s="1" t="s">
        <v>20164</v>
      </c>
      <c r="H8012" s="1" t="s">
        <v>3604</v>
      </c>
      <c r="I8012" s="1" t="s">
        <v>26975</v>
      </c>
      <c r="J8012" s="1" t="s">
        <v>3615</v>
      </c>
      <c r="K8012" s="1" t="s">
        <v>26957</v>
      </c>
      <c r="L8012" s="1"/>
      <c r="M8012" s="1"/>
    </row>
    <row x14ac:dyDescent="0.25" r="8013" customHeight="1" ht="18.75">
      <c r="A8013" s="1" t="s">
        <v>3598</v>
      </c>
      <c r="B8013" s="1" t="s">
        <v>9273</v>
      </c>
      <c r="C8013" s="1" t="s">
        <v>3600</v>
      </c>
      <c r="D8013" s="1" t="s">
        <v>3610</v>
      </c>
      <c r="E8013" s="1" t="s">
        <v>3752</v>
      </c>
      <c r="F8013" s="1" t="s">
        <v>26976</v>
      </c>
      <c r="G8013" s="1" t="s">
        <v>20168</v>
      </c>
      <c r="H8013" s="1" t="s">
        <v>3604</v>
      </c>
      <c r="I8013" s="1" t="s">
        <v>26977</v>
      </c>
      <c r="J8013" s="1" t="s">
        <v>3615</v>
      </c>
      <c r="K8013" s="1" t="s">
        <v>26679</v>
      </c>
      <c r="L8013" s="1"/>
      <c r="M8013" s="1"/>
    </row>
    <row x14ac:dyDescent="0.25" r="8014" customHeight="1" ht="18.75">
      <c r="A8014" s="1" t="s">
        <v>3598</v>
      </c>
      <c r="B8014" s="1" t="s">
        <v>9273</v>
      </c>
      <c r="C8014" s="1" t="s">
        <v>3600</v>
      </c>
      <c r="D8014" s="1" t="s">
        <v>3610</v>
      </c>
      <c r="E8014" s="1" t="s">
        <v>3752</v>
      </c>
      <c r="F8014" s="1" t="s">
        <v>26978</v>
      </c>
      <c r="G8014" s="1" t="s">
        <v>20168</v>
      </c>
      <c r="H8014" s="1" t="s">
        <v>3604</v>
      </c>
      <c r="I8014" s="1" t="s">
        <v>26979</v>
      </c>
      <c r="J8014" s="1" t="s">
        <v>3615</v>
      </c>
      <c r="K8014" s="1" t="s">
        <v>26682</v>
      </c>
      <c r="L8014" s="1"/>
      <c r="M8014" s="1"/>
    </row>
    <row x14ac:dyDescent="0.25" r="8015" customHeight="1" ht="18.75">
      <c r="A8015" s="1" t="s">
        <v>3598</v>
      </c>
      <c r="B8015" s="1" t="s">
        <v>9273</v>
      </c>
      <c r="C8015" s="1" t="s">
        <v>3600</v>
      </c>
      <c r="D8015" s="1" t="s">
        <v>3610</v>
      </c>
      <c r="E8015" s="1" t="s">
        <v>3752</v>
      </c>
      <c r="F8015" s="1" t="s">
        <v>26980</v>
      </c>
      <c r="G8015" s="1" t="s">
        <v>20168</v>
      </c>
      <c r="H8015" s="1" t="s">
        <v>3604</v>
      </c>
      <c r="I8015" s="1" t="s">
        <v>26981</v>
      </c>
      <c r="J8015" s="1" t="s">
        <v>3615</v>
      </c>
      <c r="K8015" s="1" t="s">
        <v>26685</v>
      </c>
      <c r="L8015" s="1"/>
      <c r="M8015" s="1"/>
    </row>
    <row x14ac:dyDescent="0.25" r="8016" customHeight="1" ht="18.75">
      <c r="A8016" s="1" t="s">
        <v>3598</v>
      </c>
      <c r="B8016" s="1" t="s">
        <v>9273</v>
      </c>
      <c r="C8016" s="1" t="s">
        <v>3600</v>
      </c>
      <c r="D8016" s="1" t="s">
        <v>3610</v>
      </c>
      <c r="E8016" s="1" t="s">
        <v>3664</v>
      </c>
      <c r="F8016" s="1" t="s">
        <v>26982</v>
      </c>
      <c r="G8016" s="1" t="s">
        <v>9275</v>
      </c>
      <c r="H8016" s="1" t="s">
        <v>3604</v>
      </c>
      <c r="I8016" s="1" t="s">
        <v>26983</v>
      </c>
      <c r="J8016" s="1" t="s">
        <v>3615</v>
      </c>
      <c r="K8016" s="1" t="s">
        <v>26695</v>
      </c>
      <c r="L8016" s="1"/>
      <c r="M8016" s="1"/>
    </row>
    <row x14ac:dyDescent="0.25" r="8017" customHeight="1" ht="18.75">
      <c r="A8017" s="1" t="s">
        <v>3693</v>
      </c>
      <c r="B8017" s="1" t="s">
        <v>6216</v>
      </c>
      <c r="C8017" s="1" t="s">
        <v>3619</v>
      </c>
      <c r="D8017" s="1" t="s">
        <v>533</v>
      </c>
      <c r="E8017" s="1" t="s">
        <v>3664</v>
      </c>
      <c r="F8017" s="1" t="s">
        <v>26984</v>
      </c>
      <c r="G8017" s="1" t="s">
        <v>6234</v>
      </c>
      <c r="H8017" s="1" t="s">
        <v>3604</v>
      </c>
      <c r="I8017" s="1" t="s">
        <v>26985</v>
      </c>
      <c r="J8017" s="1" t="s">
        <v>3615</v>
      </c>
      <c r="K8017" s="1" t="s">
        <v>26986</v>
      </c>
      <c r="L8017" s="1"/>
      <c r="M8017" s="1"/>
    </row>
    <row x14ac:dyDescent="0.25" r="8018" customHeight="1" ht="18.75">
      <c r="A8018" s="1" t="s">
        <v>3598</v>
      </c>
      <c r="B8018" s="1" t="s">
        <v>9273</v>
      </c>
      <c r="C8018" s="1" t="s">
        <v>3600</v>
      </c>
      <c r="D8018" s="1" t="s">
        <v>3610</v>
      </c>
      <c r="E8018" s="1" t="s">
        <v>3664</v>
      </c>
      <c r="F8018" s="1" t="s">
        <v>26987</v>
      </c>
      <c r="G8018" s="1" t="s">
        <v>20164</v>
      </c>
      <c r="H8018" s="1" t="s">
        <v>3604</v>
      </c>
      <c r="I8018" s="1" t="s">
        <v>26988</v>
      </c>
      <c r="J8018" s="1" t="s">
        <v>3615</v>
      </c>
      <c r="K8018" s="1" t="s">
        <v>26989</v>
      </c>
      <c r="L8018" s="1"/>
      <c r="M8018" s="1"/>
    </row>
    <row x14ac:dyDescent="0.25" r="8019" customHeight="1" ht="18.75">
      <c r="A8019" s="1" t="s">
        <v>3598</v>
      </c>
      <c r="B8019" s="1" t="s">
        <v>6732</v>
      </c>
      <c r="C8019" s="1" t="s">
        <v>3600</v>
      </c>
      <c r="D8019" s="1" t="s">
        <v>3610</v>
      </c>
      <c r="E8019" s="1" t="s">
        <v>3664</v>
      </c>
      <c r="F8019" s="1" t="s">
        <v>26990</v>
      </c>
      <c r="G8019" s="1" t="s">
        <v>8658</v>
      </c>
      <c r="H8019" s="1" t="s">
        <v>3604</v>
      </c>
      <c r="I8019" s="1" t="s">
        <v>26991</v>
      </c>
      <c r="J8019" s="1" t="s">
        <v>3615</v>
      </c>
      <c r="K8019" s="1" t="s">
        <v>26992</v>
      </c>
      <c r="L8019" s="1"/>
      <c r="M8019" s="1"/>
    </row>
    <row x14ac:dyDescent="0.25" r="8020" customHeight="1" ht="18.75">
      <c r="A8020" s="1" t="s">
        <v>3693</v>
      </c>
      <c r="B8020" s="1" t="s">
        <v>4204</v>
      </c>
      <c r="C8020" s="1" t="s">
        <v>3600</v>
      </c>
      <c r="D8020" s="1" t="s">
        <v>533</v>
      </c>
      <c r="E8020" s="1" t="s">
        <v>3893</v>
      </c>
      <c r="F8020" s="1" t="s">
        <v>26993</v>
      </c>
      <c r="G8020" s="1" t="s">
        <v>26994</v>
      </c>
      <c r="H8020" s="1" t="s">
        <v>3604</v>
      </c>
      <c r="I8020" s="1" t="s">
        <v>26995</v>
      </c>
      <c r="J8020" s="1" t="s">
        <v>3615</v>
      </c>
      <c r="K8020" s="1" t="s">
        <v>26996</v>
      </c>
      <c r="L8020" s="1"/>
      <c r="M8020" s="1"/>
    </row>
    <row x14ac:dyDescent="0.25" r="8021" customHeight="1" ht="18.75">
      <c r="A8021" s="1" t="s">
        <v>3598</v>
      </c>
      <c r="B8021" s="1" t="s">
        <v>6732</v>
      </c>
      <c r="C8021" s="1" t="s">
        <v>3600</v>
      </c>
      <c r="D8021" s="1" t="s">
        <v>3610</v>
      </c>
      <c r="E8021" s="1" t="s">
        <v>3664</v>
      </c>
      <c r="F8021" s="1" t="s">
        <v>26997</v>
      </c>
      <c r="G8021" s="1" t="s">
        <v>8658</v>
      </c>
      <c r="H8021" s="1" t="s">
        <v>3604</v>
      </c>
      <c r="I8021" s="1" t="s">
        <v>26998</v>
      </c>
      <c r="J8021" s="1" t="s">
        <v>3615</v>
      </c>
      <c r="K8021" s="1" t="s">
        <v>26999</v>
      </c>
      <c r="L8021" s="1"/>
      <c r="M8021" s="1"/>
    </row>
    <row x14ac:dyDescent="0.25" r="8022" customHeight="1" ht="18.75">
      <c r="A8022" s="1" t="s">
        <v>3598</v>
      </c>
      <c r="B8022" s="1" t="s">
        <v>6732</v>
      </c>
      <c r="C8022" s="1" t="s">
        <v>3600</v>
      </c>
      <c r="D8022" s="1" t="s">
        <v>3610</v>
      </c>
      <c r="E8022" s="1" t="s">
        <v>3664</v>
      </c>
      <c r="F8022" s="1" t="s">
        <v>27000</v>
      </c>
      <c r="G8022" s="1" t="s">
        <v>8658</v>
      </c>
      <c r="H8022" s="1" t="s">
        <v>3604</v>
      </c>
      <c r="I8022" s="1" t="s">
        <v>27001</v>
      </c>
      <c r="J8022" s="1" t="s">
        <v>3615</v>
      </c>
      <c r="K8022" s="1" t="s">
        <v>26704</v>
      </c>
      <c r="L8022" s="1"/>
      <c r="M8022" s="1"/>
    </row>
    <row x14ac:dyDescent="0.25" r="8023" customHeight="1" ht="18.75">
      <c r="A8023" s="1" t="s">
        <v>3693</v>
      </c>
      <c r="B8023" s="1" t="s">
        <v>4267</v>
      </c>
      <c r="C8023" s="1" t="s">
        <v>3600</v>
      </c>
      <c r="D8023" s="1" t="s">
        <v>533</v>
      </c>
      <c r="E8023" s="1" t="s">
        <v>3664</v>
      </c>
      <c r="F8023" s="1" t="s">
        <v>27002</v>
      </c>
      <c r="G8023" s="1" t="s">
        <v>27003</v>
      </c>
      <c r="H8023" s="1" t="s">
        <v>3604</v>
      </c>
      <c r="I8023" s="1" t="s">
        <v>27004</v>
      </c>
      <c r="J8023" s="1" t="s">
        <v>3615</v>
      </c>
      <c r="K8023" s="1" t="s">
        <v>27005</v>
      </c>
      <c r="L8023" s="1"/>
      <c r="M8023" s="1"/>
    </row>
    <row x14ac:dyDescent="0.25" r="8024" customHeight="1" ht="18.75">
      <c r="A8024" s="1" t="s">
        <v>3598</v>
      </c>
      <c r="B8024" s="1" t="s">
        <v>19642</v>
      </c>
      <c r="C8024" s="1" t="s">
        <v>3600</v>
      </c>
      <c r="D8024" s="1" t="s">
        <v>3610</v>
      </c>
      <c r="E8024" s="1" t="s">
        <v>3752</v>
      </c>
      <c r="F8024" s="1" t="s">
        <v>27006</v>
      </c>
      <c r="G8024" s="1" t="s">
        <v>27007</v>
      </c>
      <c r="H8024" s="1" t="s">
        <v>3604</v>
      </c>
      <c r="I8024" s="1" t="s">
        <v>27008</v>
      </c>
      <c r="J8024" s="1" t="s">
        <v>3615</v>
      </c>
      <c r="K8024" s="1" t="s">
        <v>26924</v>
      </c>
      <c r="L8024" s="1"/>
      <c r="M8024" s="1"/>
    </row>
    <row x14ac:dyDescent="0.25" r="8025" customHeight="1" ht="18.75">
      <c r="A8025" s="1" t="s">
        <v>3598</v>
      </c>
      <c r="B8025" s="1" t="s">
        <v>19642</v>
      </c>
      <c r="C8025" s="1" t="s">
        <v>3600</v>
      </c>
      <c r="D8025" s="1" t="s">
        <v>3610</v>
      </c>
      <c r="E8025" s="1" t="s">
        <v>3752</v>
      </c>
      <c r="F8025" s="1" t="s">
        <v>27009</v>
      </c>
      <c r="G8025" s="1" t="s">
        <v>27007</v>
      </c>
      <c r="H8025" s="1" t="s">
        <v>3604</v>
      </c>
      <c r="I8025" s="1" t="s">
        <v>27010</v>
      </c>
      <c r="J8025" s="1" t="s">
        <v>3615</v>
      </c>
      <c r="K8025" s="1" t="s">
        <v>26927</v>
      </c>
      <c r="L8025" s="1"/>
      <c r="M8025" s="1"/>
    </row>
    <row x14ac:dyDescent="0.25" r="8026" customHeight="1" ht="18.75">
      <c r="A8026" s="1" t="s">
        <v>3598</v>
      </c>
      <c r="B8026" s="1" t="s">
        <v>19642</v>
      </c>
      <c r="C8026" s="1" t="s">
        <v>3600</v>
      </c>
      <c r="D8026" s="1" t="s">
        <v>3610</v>
      </c>
      <c r="E8026" s="1" t="s">
        <v>3752</v>
      </c>
      <c r="F8026" s="1" t="s">
        <v>27011</v>
      </c>
      <c r="G8026" s="1" t="s">
        <v>27012</v>
      </c>
      <c r="H8026" s="1" t="s">
        <v>3604</v>
      </c>
      <c r="I8026" s="1" t="s">
        <v>27013</v>
      </c>
      <c r="J8026" s="1" t="s">
        <v>3615</v>
      </c>
      <c r="K8026" s="1" t="s">
        <v>26931</v>
      </c>
      <c r="L8026" s="1"/>
      <c r="M8026" s="1"/>
    </row>
    <row x14ac:dyDescent="0.25" r="8027" customHeight="1" ht="18.75">
      <c r="A8027" s="1" t="s">
        <v>3693</v>
      </c>
      <c r="B8027" s="1" t="s">
        <v>4247</v>
      </c>
      <c r="C8027" s="1" t="s">
        <v>3600</v>
      </c>
      <c r="D8027" s="1" t="s">
        <v>533</v>
      </c>
      <c r="E8027" s="1" t="s">
        <v>3664</v>
      </c>
      <c r="F8027" s="1" t="s">
        <v>27014</v>
      </c>
      <c r="G8027" s="1" t="s">
        <v>4735</v>
      </c>
      <c r="H8027" s="1" t="s">
        <v>3604</v>
      </c>
      <c r="I8027" s="1" t="s">
        <v>27015</v>
      </c>
      <c r="J8027" s="1" t="s">
        <v>3615</v>
      </c>
      <c r="K8027" s="1" t="s">
        <v>27016</v>
      </c>
      <c r="L8027" s="1"/>
      <c r="M8027" s="1"/>
    </row>
    <row x14ac:dyDescent="0.25" r="8028" customHeight="1" ht="18.75">
      <c r="A8028" s="1" t="s">
        <v>3598</v>
      </c>
      <c r="B8028" s="1" t="s">
        <v>19642</v>
      </c>
      <c r="C8028" s="1" t="s">
        <v>3600</v>
      </c>
      <c r="D8028" s="1" t="s">
        <v>3610</v>
      </c>
      <c r="E8028" s="1" t="s">
        <v>3752</v>
      </c>
      <c r="F8028" s="1" t="s">
        <v>27017</v>
      </c>
      <c r="G8028" s="1" t="s">
        <v>27012</v>
      </c>
      <c r="H8028" s="1" t="s">
        <v>3604</v>
      </c>
      <c r="I8028" s="1" t="s">
        <v>27018</v>
      </c>
      <c r="J8028" s="1" t="s">
        <v>3615</v>
      </c>
      <c r="K8028" s="1" t="s">
        <v>26934</v>
      </c>
      <c r="L8028" s="1"/>
      <c r="M8028" s="1"/>
    </row>
    <row x14ac:dyDescent="0.25" r="8029" customHeight="1" ht="18.75">
      <c r="A8029" s="1" t="s">
        <v>3598</v>
      </c>
      <c r="B8029" s="1" t="s">
        <v>19642</v>
      </c>
      <c r="C8029" s="1" t="s">
        <v>3600</v>
      </c>
      <c r="D8029" s="1" t="s">
        <v>3610</v>
      </c>
      <c r="E8029" s="1" t="s">
        <v>3752</v>
      </c>
      <c r="F8029" s="1" t="s">
        <v>27019</v>
      </c>
      <c r="G8029" s="1" t="s">
        <v>27020</v>
      </c>
      <c r="H8029" s="1" t="s">
        <v>3604</v>
      </c>
      <c r="I8029" s="1" t="s">
        <v>27021</v>
      </c>
      <c r="J8029" s="1" t="s">
        <v>3615</v>
      </c>
      <c r="K8029" s="1" t="s">
        <v>27022</v>
      </c>
      <c r="L8029" s="1"/>
      <c r="M8029" s="1"/>
    </row>
    <row x14ac:dyDescent="0.25" r="8030" customHeight="1" ht="18.75">
      <c r="A8030" s="1" t="s">
        <v>3693</v>
      </c>
      <c r="B8030" s="1" t="s">
        <v>6216</v>
      </c>
      <c r="C8030" s="1" t="s">
        <v>3619</v>
      </c>
      <c r="D8030" s="1" t="s">
        <v>533</v>
      </c>
      <c r="E8030" s="1" t="s">
        <v>3664</v>
      </c>
      <c r="F8030" s="1" t="s">
        <v>27023</v>
      </c>
      <c r="G8030" s="1" t="s">
        <v>20744</v>
      </c>
      <c r="H8030" s="1" t="s">
        <v>3604</v>
      </c>
      <c r="I8030" s="1" t="s">
        <v>27024</v>
      </c>
      <c r="J8030" s="1" t="s">
        <v>3615</v>
      </c>
      <c r="K8030" s="1" t="s">
        <v>27025</v>
      </c>
      <c r="L8030" s="1"/>
      <c r="M8030" s="1"/>
    </row>
    <row x14ac:dyDescent="0.25" r="8031" customHeight="1" ht="18.75">
      <c r="A8031" s="1" t="s">
        <v>3598</v>
      </c>
      <c r="B8031" s="1" t="s">
        <v>19642</v>
      </c>
      <c r="C8031" s="1" t="s">
        <v>3600</v>
      </c>
      <c r="D8031" s="1" t="s">
        <v>3610</v>
      </c>
      <c r="E8031" s="1" t="s">
        <v>3752</v>
      </c>
      <c r="F8031" s="1" t="s">
        <v>27026</v>
      </c>
      <c r="G8031" s="1" t="s">
        <v>27020</v>
      </c>
      <c r="H8031" s="1" t="s">
        <v>3604</v>
      </c>
      <c r="I8031" s="1" t="s">
        <v>27027</v>
      </c>
      <c r="J8031" s="1" t="s">
        <v>3615</v>
      </c>
      <c r="K8031" s="1" t="s">
        <v>27028</v>
      </c>
      <c r="L8031" s="1"/>
      <c r="M8031" s="1"/>
    </row>
    <row x14ac:dyDescent="0.25" r="8032" customHeight="1" ht="18.75">
      <c r="A8032" s="1" t="s">
        <v>3598</v>
      </c>
      <c r="B8032" s="1" t="s">
        <v>18410</v>
      </c>
      <c r="C8032" s="1" t="s">
        <v>3600</v>
      </c>
      <c r="D8032" s="1" t="s">
        <v>3610</v>
      </c>
      <c r="E8032" s="1" t="s">
        <v>3752</v>
      </c>
      <c r="F8032" s="1" t="s">
        <v>27029</v>
      </c>
      <c r="G8032" s="1" t="s">
        <v>27030</v>
      </c>
      <c r="H8032" s="1" t="s">
        <v>3604</v>
      </c>
      <c r="I8032" s="1" t="s">
        <v>27031</v>
      </c>
      <c r="J8032" s="1" t="s">
        <v>3615</v>
      </c>
      <c r="K8032" s="1" t="s">
        <v>26543</v>
      </c>
      <c r="L8032" s="1"/>
      <c r="M8032" s="1"/>
    </row>
    <row x14ac:dyDescent="0.25" r="8033" customHeight="1" ht="18.75">
      <c r="A8033" s="1" t="s">
        <v>3598</v>
      </c>
      <c r="B8033" s="1" t="s">
        <v>18410</v>
      </c>
      <c r="C8033" s="1" t="s">
        <v>3600</v>
      </c>
      <c r="D8033" s="1" t="s">
        <v>3610</v>
      </c>
      <c r="E8033" s="1" t="s">
        <v>3752</v>
      </c>
      <c r="F8033" s="1" t="s">
        <v>27032</v>
      </c>
      <c r="G8033" s="1" t="s">
        <v>27030</v>
      </c>
      <c r="H8033" s="1" t="s">
        <v>3604</v>
      </c>
      <c r="I8033" s="1" t="s">
        <v>27033</v>
      </c>
      <c r="J8033" s="1" t="s">
        <v>3615</v>
      </c>
      <c r="K8033" s="1" t="s">
        <v>26546</v>
      </c>
      <c r="L8033" s="1"/>
      <c r="M8033" s="1"/>
    </row>
    <row x14ac:dyDescent="0.25" r="8034" customHeight="1" ht="18.75">
      <c r="A8034" s="1" t="s">
        <v>3693</v>
      </c>
      <c r="B8034" s="1" t="s">
        <v>6216</v>
      </c>
      <c r="C8034" s="1" t="s">
        <v>3619</v>
      </c>
      <c r="D8034" s="1" t="s">
        <v>533</v>
      </c>
      <c r="E8034" s="1" t="s">
        <v>3664</v>
      </c>
      <c r="F8034" s="1" t="s">
        <v>27034</v>
      </c>
      <c r="G8034" s="1" t="s">
        <v>6236</v>
      </c>
      <c r="H8034" s="1" t="s">
        <v>3604</v>
      </c>
      <c r="I8034" s="1" t="s">
        <v>27035</v>
      </c>
      <c r="J8034" s="1" t="s">
        <v>3615</v>
      </c>
      <c r="K8034" s="1" t="s">
        <v>27036</v>
      </c>
      <c r="L8034" s="1"/>
      <c r="M8034" s="1"/>
    </row>
    <row x14ac:dyDescent="0.25" r="8035" customHeight="1" ht="18.75">
      <c r="A8035" s="1" t="s">
        <v>3598</v>
      </c>
      <c r="B8035" s="1" t="s">
        <v>18410</v>
      </c>
      <c r="C8035" s="1" t="s">
        <v>3600</v>
      </c>
      <c r="D8035" s="1" t="s">
        <v>3610</v>
      </c>
      <c r="E8035" s="1" t="s">
        <v>3752</v>
      </c>
      <c r="F8035" s="1" t="s">
        <v>27037</v>
      </c>
      <c r="G8035" s="1" t="s">
        <v>27038</v>
      </c>
      <c r="H8035" s="1" t="s">
        <v>3604</v>
      </c>
      <c r="I8035" s="1" t="s">
        <v>27039</v>
      </c>
      <c r="J8035" s="1" t="s">
        <v>3615</v>
      </c>
      <c r="K8035" s="1" t="s">
        <v>26957</v>
      </c>
      <c r="L8035" s="1"/>
      <c r="M8035" s="1"/>
    </row>
    <row x14ac:dyDescent="0.25" r="8036" customHeight="1" ht="18.75">
      <c r="A8036" s="1" t="s">
        <v>3693</v>
      </c>
      <c r="B8036" s="1" t="s">
        <v>6216</v>
      </c>
      <c r="C8036" s="1" t="s">
        <v>3619</v>
      </c>
      <c r="D8036" s="1" t="s">
        <v>533</v>
      </c>
      <c r="E8036" s="1" t="s">
        <v>3664</v>
      </c>
      <c r="F8036" s="1" t="s">
        <v>27040</v>
      </c>
      <c r="G8036" s="1" t="s">
        <v>6232</v>
      </c>
      <c r="H8036" s="1" t="s">
        <v>3604</v>
      </c>
      <c r="I8036" s="1" t="s">
        <v>27041</v>
      </c>
      <c r="J8036" s="1" t="s">
        <v>3615</v>
      </c>
      <c r="K8036" s="1" t="s">
        <v>27042</v>
      </c>
      <c r="L8036" s="1"/>
      <c r="M8036" s="1"/>
    </row>
    <row x14ac:dyDescent="0.25" r="8037" customHeight="1" ht="18.75">
      <c r="A8037" s="1" t="s">
        <v>3598</v>
      </c>
      <c r="B8037" s="1" t="s">
        <v>5252</v>
      </c>
      <c r="C8037" s="1" t="s">
        <v>3600</v>
      </c>
      <c r="D8037" s="1" t="s">
        <v>3610</v>
      </c>
      <c r="E8037" s="1" t="s">
        <v>3752</v>
      </c>
      <c r="F8037" s="1" t="s">
        <v>27043</v>
      </c>
      <c r="G8037" s="1" t="s">
        <v>27044</v>
      </c>
      <c r="H8037" s="1" t="s">
        <v>3604</v>
      </c>
      <c r="I8037" s="1" t="s">
        <v>27045</v>
      </c>
      <c r="J8037" s="1" t="s">
        <v>3615</v>
      </c>
      <c r="K8037" s="1" t="s">
        <v>26543</v>
      </c>
      <c r="L8037" s="1"/>
      <c r="M8037" s="1"/>
    </row>
    <row x14ac:dyDescent="0.25" r="8038" customHeight="1" ht="18.75">
      <c r="A8038" s="1" t="s">
        <v>3598</v>
      </c>
      <c r="B8038" s="1" t="s">
        <v>5252</v>
      </c>
      <c r="C8038" s="1" t="s">
        <v>3600</v>
      </c>
      <c r="D8038" s="1" t="s">
        <v>3610</v>
      </c>
      <c r="E8038" s="1" t="s">
        <v>3752</v>
      </c>
      <c r="F8038" s="1" t="s">
        <v>27046</v>
      </c>
      <c r="G8038" s="1" t="s">
        <v>27044</v>
      </c>
      <c r="H8038" s="1" t="s">
        <v>3604</v>
      </c>
      <c r="I8038" s="1" t="s">
        <v>27047</v>
      </c>
      <c r="J8038" s="1" t="s">
        <v>3615</v>
      </c>
      <c r="K8038" s="1" t="s">
        <v>26546</v>
      </c>
      <c r="L8038" s="1"/>
      <c r="M8038" s="1"/>
    </row>
    <row x14ac:dyDescent="0.25" r="8039" customHeight="1" ht="18.75">
      <c r="A8039" s="1" t="s">
        <v>3693</v>
      </c>
      <c r="B8039" s="1" t="s">
        <v>4247</v>
      </c>
      <c r="C8039" s="1" t="s">
        <v>3600</v>
      </c>
      <c r="D8039" s="1" t="s">
        <v>533</v>
      </c>
      <c r="E8039" s="1" t="s">
        <v>3664</v>
      </c>
      <c r="F8039" s="1" t="s">
        <v>27048</v>
      </c>
      <c r="G8039" s="1" t="s">
        <v>9382</v>
      </c>
      <c r="H8039" s="1" t="s">
        <v>3604</v>
      </c>
      <c r="I8039" s="1" t="s">
        <v>27049</v>
      </c>
      <c r="J8039" s="1" t="s">
        <v>3615</v>
      </c>
      <c r="K8039" s="1" t="s">
        <v>27050</v>
      </c>
      <c r="L8039" s="1"/>
      <c r="M8039" s="1"/>
    </row>
    <row x14ac:dyDescent="0.25" r="8040" customHeight="1" ht="18.75">
      <c r="A8040" s="1" t="s">
        <v>3598</v>
      </c>
      <c r="B8040" s="1" t="s">
        <v>5252</v>
      </c>
      <c r="C8040" s="1" t="s">
        <v>3600</v>
      </c>
      <c r="D8040" s="1" t="s">
        <v>3610</v>
      </c>
      <c r="E8040" s="1" t="s">
        <v>3664</v>
      </c>
      <c r="F8040" s="1" t="s">
        <v>27051</v>
      </c>
      <c r="G8040" s="1" t="s">
        <v>18400</v>
      </c>
      <c r="H8040" s="1" t="s">
        <v>3604</v>
      </c>
      <c r="I8040" s="1" t="s">
        <v>27052</v>
      </c>
      <c r="J8040" s="1" t="s">
        <v>3615</v>
      </c>
      <c r="K8040" s="1" t="s">
        <v>26692</v>
      </c>
      <c r="L8040" s="1"/>
      <c r="M8040" s="1"/>
    </row>
    <row x14ac:dyDescent="0.25" r="8041" customHeight="1" ht="18.75">
      <c r="A8041" s="1" t="s">
        <v>3598</v>
      </c>
      <c r="B8041" s="1" t="s">
        <v>5252</v>
      </c>
      <c r="C8041" s="1" t="s">
        <v>3600</v>
      </c>
      <c r="D8041" s="1" t="s">
        <v>3610</v>
      </c>
      <c r="E8041" s="1" t="s">
        <v>3664</v>
      </c>
      <c r="F8041" s="1" t="s">
        <v>27053</v>
      </c>
      <c r="G8041" s="1" t="s">
        <v>18400</v>
      </c>
      <c r="H8041" s="1" t="s">
        <v>3604</v>
      </c>
      <c r="I8041" s="1" t="s">
        <v>27054</v>
      </c>
      <c r="J8041" s="1" t="s">
        <v>3615</v>
      </c>
      <c r="K8041" s="1" t="s">
        <v>26695</v>
      </c>
      <c r="L8041" s="1"/>
      <c r="M8041" s="1"/>
    </row>
    <row x14ac:dyDescent="0.25" r="8042" customHeight="1" ht="18.75">
      <c r="A8042" s="1" t="s">
        <v>3693</v>
      </c>
      <c r="B8042" s="1" t="s">
        <v>4247</v>
      </c>
      <c r="C8042" s="1" t="s">
        <v>3600</v>
      </c>
      <c r="D8042" s="1" t="s">
        <v>533</v>
      </c>
      <c r="E8042" s="1" t="s">
        <v>3664</v>
      </c>
      <c r="F8042" s="1" t="s">
        <v>27055</v>
      </c>
      <c r="G8042" s="1" t="s">
        <v>4384</v>
      </c>
      <c r="H8042" s="1" t="s">
        <v>3604</v>
      </c>
      <c r="I8042" s="1" t="s">
        <v>27056</v>
      </c>
      <c r="J8042" s="1" t="s">
        <v>3606</v>
      </c>
      <c r="K8042" s="1" t="s">
        <v>27057</v>
      </c>
      <c r="L8042" s="1"/>
      <c r="M8042" s="1"/>
    </row>
    <row x14ac:dyDescent="0.25" r="8043" customHeight="1" ht="18.75">
      <c r="A8043" s="1" t="s">
        <v>3598</v>
      </c>
      <c r="B8043" s="1" t="s">
        <v>5252</v>
      </c>
      <c r="C8043" s="1" t="s">
        <v>3600</v>
      </c>
      <c r="D8043" s="1" t="s">
        <v>3610</v>
      </c>
      <c r="E8043" s="1" t="s">
        <v>3752</v>
      </c>
      <c r="F8043" s="1" t="s">
        <v>27058</v>
      </c>
      <c r="G8043" s="1" t="s">
        <v>27059</v>
      </c>
      <c r="H8043" s="1" t="s">
        <v>3604</v>
      </c>
      <c r="I8043" s="1" t="s">
        <v>27060</v>
      </c>
      <c r="J8043" s="1" t="s">
        <v>3615</v>
      </c>
      <c r="K8043" s="1" t="s">
        <v>26961</v>
      </c>
      <c r="L8043" s="1"/>
      <c r="M8043" s="1"/>
    </row>
    <row x14ac:dyDescent="0.25" r="8044" customHeight="1" ht="18.75">
      <c r="A8044" s="1" t="s">
        <v>3693</v>
      </c>
      <c r="B8044" s="1" t="s">
        <v>4247</v>
      </c>
      <c r="C8044" s="1" t="s">
        <v>3600</v>
      </c>
      <c r="D8044" s="1" t="s">
        <v>533</v>
      </c>
      <c r="E8044" s="1" t="s">
        <v>3664</v>
      </c>
      <c r="F8044" s="1" t="s">
        <v>27061</v>
      </c>
      <c r="G8044" s="1" t="s">
        <v>4386</v>
      </c>
      <c r="H8044" s="1" t="s">
        <v>3604</v>
      </c>
      <c r="I8044" s="1" t="s">
        <v>27062</v>
      </c>
      <c r="J8044" s="1" t="s">
        <v>3615</v>
      </c>
      <c r="K8044" s="1" t="s">
        <v>27063</v>
      </c>
      <c r="L8044" s="1"/>
      <c r="M8044" s="1"/>
    </row>
    <row x14ac:dyDescent="0.25" r="8045" customHeight="1" ht="18.75">
      <c r="A8045" s="1" t="s">
        <v>3693</v>
      </c>
      <c r="B8045" s="1" t="s">
        <v>4247</v>
      </c>
      <c r="C8045" s="1" t="s">
        <v>3600</v>
      </c>
      <c r="D8045" s="1" t="s">
        <v>533</v>
      </c>
      <c r="E8045" s="1" t="s">
        <v>3664</v>
      </c>
      <c r="F8045" s="1" t="s">
        <v>27064</v>
      </c>
      <c r="G8045" s="1" t="s">
        <v>25387</v>
      </c>
      <c r="H8045" s="1" t="s">
        <v>3604</v>
      </c>
      <c r="I8045" s="1" t="s">
        <v>27065</v>
      </c>
      <c r="J8045" s="1" t="s">
        <v>3615</v>
      </c>
      <c r="K8045" s="1" t="s">
        <v>27066</v>
      </c>
      <c r="L8045" s="1"/>
      <c r="M8045" s="1"/>
    </row>
    <row x14ac:dyDescent="0.25" r="8046" customHeight="1" ht="18.75">
      <c r="A8046" s="1" t="s">
        <v>3598</v>
      </c>
      <c r="B8046" s="1" t="s">
        <v>5252</v>
      </c>
      <c r="C8046" s="1" t="s">
        <v>3600</v>
      </c>
      <c r="D8046" s="1" t="s">
        <v>3610</v>
      </c>
      <c r="E8046" s="1" t="s">
        <v>3752</v>
      </c>
      <c r="F8046" s="1" t="s">
        <v>27067</v>
      </c>
      <c r="G8046" s="1" t="s">
        <v>20237</v>
      </c>
      <c r="H8046" s="1" t="s">
        <v>3604</v>
      </c>
      <c r="I8046" s="1" t="s">
        <v>27068</v>
      </c>
      <c r="J8046" s="1" t="s">
        <v>3615</v>
      </c>
      <c r="K8046" s="1" t="s">
        <v>26944</v>
      </c>
      <c r="L8046" s="1"/>
      <c r="M8046" s="1"/>
    </row>
    <row x14ac:dyDescent="0.25" r="8047" customHeight="1" ht="18.75">
      <c r="A8047" s="1" t="s">
        <v>3693</v>
      </c>
      <c r="B8047" s="1" t="s">
        <v>4247</v>
      </c>
      <c r="C8047" s="1" t="s">
        <v>3600</v>
      </c>
      <c r="D8047" s="1" t="s">
        <v>533</v>
      </c>
      <c r="E8047" s="1" t="s">
        <v>3664</v>
      </c>
      <c r="F8047" s="1" t="s">
        <v>27069</v>
      </c>
      <c r="G8047" s="1" t="s">
        <v>9829</v>
      </c>
      <c r="H8047" s="1" t="s">
        <v>3604</v>
      </c>
      <c r="I8047" s="1" t="s">
        <v>27070</v>
      </c>
      <c r="J8047" s="1" t="s">
        <v>3615</v>
      </c>
      <c r="K8047" s="1" t="s">
        <v>27071</v>
      </c>
      <c r="L8047" s="1"/>
      <c r="M8047" s="1"/>
    </row>
    <row x14ac:dyDescent="0.25" r="8048" customHeight="1" ht="18.75">
      <c r="A8048" s="1" t="s">
        <v>3598</v>
      </c>
      <c r="B8048" s="1" t="s">
        <v>5252</v>
      </c>
      <c r="C8048" s="1" t="s">
        <v>3600</v>
      </c>
      <c r="D8048" s="1" t="s">
        <v>3610</v>
      </c>
      <c r="E8048" s="1" t="s">
        <v>3752</v>
      </c>
      <c r="F8048" s="1" t="s">
        <v>27072</v>
      </c>
      <c r="G8048" s="1" t="s">
        <v>20237</v>
      </c>
      <c r="H8048" s="1" t="s">
        <v>3604</v>
      </c>
      <c r="I8048" s="1" t="s">
        <v>27073</v>
      </c>
      <c r="J8048" s="1" t="s">
        <v>3615</v>
      </c>
      <c r="K8048" s="1" t="s">
        <v>26781</v>
      </c>
      <c r="L8048" s="1"/>
      <c r="M8048" s="1"/>
    </row>
    <row x14ac:dyDescent="0.25" r="8049" customHeight="1" ht="18.75">
      <c r="A8049" s="1" t="s">
        <v>3598</v>
      </c>
      <c r="B8049" s="1" t="s">
        <v>5252</v>
      </c>
      <c r="C8049" s="1" t="s">
        <v>3600</v>
      </c>
      <c r="D8049" s="1" t="s">
        <v>3610</v>
      </c>
      <c r="E8049" s="1" t="s">
        <v>3752</v>
      </c>
      <c r="F8049" s="1" t="s">
        <v>27074</v>
      </c>
      <c r="G8049" s="1" t="s">
        <v>20237</v>
      </c>
      <c r="H8049" s="1" t="s">
        <v>3604</v>
      </c>
      <c r="I8049" s="1" t="s">
        <v>27075</v>
      </c>
      <c r="J8049" s="1" t="s">
        <v>3615</v>
      </c>
      <c r="K8049" s="1" t="s">
        <v>26784</v>
      </c>
      <c r="L8049" s="1"/>
      <c r="M8049" s="1"/>
    </row>
    <row x14ac:dyDescent="0.25" r="8050" customHeight="1" ht="18.75">
      <c r="A8050" s="1" t="s">
        <v>3598</v>
      </c>
      <c r="B8050" s="1" t="s">
        <v>5252</v>
      </c>
      <c r="C8050" s="1" t="s">
        <v>3600</v>
      </c>
      <c r="D8050" s="1" t="s">
        <v>3610</v>
      </c>
      <c r="E8050" s="1" t="s">
        <v>3752</v>
      </c>
      <c r="F8050" s="1" t="s">
        <v>27076</v>
      </c>
      <c r="G8050" s="1" t="s">
        <v>27077</v>
      </c>
      <c r="H8050" s="1" t="s">
        <v>3604</v>
      </c>
      <c r="I8050" s="1" t="s">
        <v>27078</v>
      </c>
      <c r="J8050" s="1" t="s">
        <v>3615</v>
      </c>
      <c r="K8050" s="1" t="s">
        <v>26951</v>
      </c>
      <c r="L8050" s="1"/>
      <c r="M8050" s="1"/>
    </row>
    <row x14ac:dyDescent="0.25" r="8051" customHeight="1" ht="18.75">
      <c r="A8051" s="1" t="s">
        <v>3598</v>
      </c>
      <c r="B8051" s="1" t="s">
        <v>5252</v>
      </c>
      <c r="C8051" s="1" t="s">
        <v>3600</v>
      </c>
      <c r="D8051" s="1" t="s">
        <v>3610</v>
      </c>
      <c r="E8051" s="1" t="s">
        <v>3752</v>
      </c>
      <c r="F8051" s="1" t="s">
        <v>27079</v>
      </c>
      <c r="G8051" s="1" t="s">
        <v>27077</v>
      </c>
      <c r="H8051" s="1" t="s">
        <v>3604</v>
      </c>
      <c r="I8051" s="1" t="s">
        <v>27080</v>
      </c>
      <c r="J8051" s="1" t="s">
        <v>3615</v>
      </c>
      <c r="K8051" s="1" t="s">
        <v>26954</v>
      </c>
      <c r="L8051" s="1"/>
      <c r="M8051" s="1"/>
    </row>
    <row x14ac:dyDescent="0.25" r="8052" customHeight="1" ht="18.75">
      <c r="A8052" s="1" t="s">
        <v>3598</v>
      </c>
      <c r="B8052" s="1" t="s">
        <v>5252</v>
      </c>
      <c r="C8052" s="1" t="s">
        <v>3600</v>
      </c>
      <c r="D8052" s="1" t="s">
        <v>3610</v>
      </c>
      <c r="E8052" s="1" t="s">
        <v>3752</v>
      </c>
      <c r="F8052" s="1" t="s">
        <v>27081</v>
      </c>
      <c r="G8052" s="1" t="s">
        <v>27077</v>
      </c>
      <c r="H8052" s="1" t="s">
        <v>3604</v>
      </c>
      <c r="I8052" s="1" t="s">
        <v>27082</v>
      </c>
      <c r="J8052" s="1" t="s">
        <v>3615</v>
      </c>
      <c r="K8052" s="1" t="s">
        <v>26957</v>
      </c>
      <c r="L8052" s="1"/>
      <c r="M8052" s="1"/>
    </row>
    <row x14ac:dyDescent="0.25" r="8053" customHeight="1" ht="18.75">
      <c r="A8053" s="1" t="s">
        <v>3693</v>
      </c>
      <c r="B8053" s="1" t="s">
        <v>4267</v>
      </c>
      <c r="C8053" s="1" t="s">
        <v>3600</v>
      </c>
      <c r="D8053" s="1" t="s">
        <v>533</v>
      </c>
      <c r="E8053" s="1" t="s">
        <v>3893</v>
      </c>
      <c r="F8053" s="1" t="s">
        <v>27083</v>
      </c>
      <c r="G8053" s="1" t="s">
        <v>27084</v>
      </c>
      <c r="H8053" s="1" t="s">
        <v>3604</v>
      </c>
      <c r="I8053" s="1" t="s">
        <v>27085</v>
      </c>
      <c r="J8053" s="1" t="s">
        <v>3615</v>
      </c>
      <c r="K8053" s="1" t="s">
        <v>27086</v>
      </c>
      <c r="L8053" s="1"/>
      <c r="M8053" s="1"/>
    </row>
    <row x14ac:dyDescent="0.25" r="8054" customHeight="1" ht="18.75">
      <c r="A8054" s="1" t="s">
        <v>3693</v>
      </c>
      <c r="B8054" s="1" t="s">
        <v>4267</v>
      </c>
      <c r="C8054" s="1" t="s">
        <v>3600</v>
      </c>
      <c r="D8054" s="1" t="s">
        <v>533</v>
      </c>
      <c r="E8054" s="1" t="s">
        <v>3893</v>
      </c>
      <c r="F8054" s="1" t="s">
        <v>27087</v>
      </c>
      <c r="G8054" s="1" t="s">
        <v>10164</v>
      </c>
      <c r="H8054" s="1" t="s">
        <v>3604</v>
      </c>
      <c r="I8054" s="1" t="s">
        <v>27088</v>
      </c>
      <c r="J8054" s="1" t="s">
        <v>3615</v>
      </c>
      <c r="K8054" s="1" t="s">
        <v>27089</v>
      </c>
      <c r="L8054" s="1"/>
      <c r="M8054" s="1"/>
    </row>
    <row x14ac:dyDescent="0.25" r="8055" customHeight="1" ht="18.75">
      <c r="A8055" s="1" t="s">
        <v>3598</v>
      </c>
      <c r="B8055" s="1" t="s">
        <v>5252</v>
      </c>
      <c r="C8055" s="1" t="s">
        <v>3600</v>
      </c>
      <c r="D8055" s="1" t="s">
        <v>3610</v>
      </c>
      <c r="E8055" s="1" t="s">
        <v>3752</v>
      </c>
      <c r="F8055" s="1" t="s">
        <v>27090</v>
      </c>
      <c r="G8055" s="1" t="s">
        <v>27091</v>
      </c>
      <c r="H8055" s="1" t="s">
        <v>3604</v>
      </c>
      <c r="I8055" s="1" t="s">
        <v>27092</v>
      </c>
      <c r="J8055" s="1" t="s">
        <v>3615</v>
      </c>
      <c r="K8055" s="1" t="s">
        <v>27093</v>
      </c>
      <c r="L8055" s="1"/>
      <c r="M8055" s="1"/>
    </row>
    <row x14ac:dyDescent="0.25" r="8056" customHeight="1" ht="18.75">
      <c r="A8056" s="1" t="s">
        <v>3598</v>
      </c>
      <c r="B8056" s="1" t="s">
        <v>5252</v>
      </c>
      <c r="C8056" s="1" t="s">
        <v>3600</v>
      </c>
      <c r="D8056" s="1" t="s">
        <v>3610</v>
      </c>
      <c r="E8056" s="1" t="s">
        <v>3752</v>
      </c>
      <c r="F8056" s="1" t="s">
        <v>27094</v>
      </c>
      <c r="G8056" s="1" t="s">
        <v>27091</v>
      </c>
      <c r="H8056" s="1" t="s">
        <v>3604</v>
      </c>
      <c r="I8056" s="1" t="s">
        <v>27095</v>
      </c>
      <c r="J8056" s="1" t="s">
        <v>3615</v>
      </c>
      <c r="K8056" s="1" t="s">
        <v>27096</v>
      </c>
      <c r="L8056" s="1"/>
      <c r="M8056" s="1"/>
    </row>
    <row x14ac:dyDescent="0.25" r="8057" customHeight="1" ht="18.75">
      <c r="A8057" s="1" t="s">
        <v>3693</v>
      </c>
      <c r="B8057" s="1" t="s">
        <v>4125</v>
      </c>
      <c r="C8057" s="1" t="s">
        <v>3619</v>
      </c>
      <c r="D8057" s="1" t="s">
        <v>533</v>
      </c>
      <c r="E8057" s="1" t="s">
        <v>3664</v>
      </c>
      <c r="F8057" s="1" t="s">
        <v>27097</v>
      </c>
      <c r="G8057" s="1" t="s">
        <v>27098</v>
      </c>
      <c r="H8057" s="1" t="s">
        <v>3604</v>
      </c>
      <c r="I8057" s="1" t="s">
        <v>27099</v>
      </c>
      <c r="J8057" s="1" t="s">
        <v>3615</v>
      </c>
      <c r="K8057" s="1" t="s">
        <v>27100</v>
      </c>
      <c r="L8057" s="1"/>
      <c r="M8057" s="1"/>
    </row>
    <row x14ac:dyDescent="0.25" r="8058" customHeight="1" ht="18.75">
      <c r="A8058" s="1" t="s">
        <v>3598</v>
      </c>
      <c r="B8058" s="1" t="s">
        <v>5252</v>
      </c>
      <c r="C8058" s="1" t="s">
        <v>3600</v>
      </c>
      <c r="D8058" s="1" t="s">
        <v>3610</v>
      </c>
      <c r="E8058" s="1" t="s">
        <v>3752</v>
      </c>
      <c r="F8058" s="1" t="s">
        <v>27101</v>
      </c>
      <c r="G8058" s="1" t="s">
        <v>27091</v>
      </c>
      <c r="H8058" s="1" t="s">
        <v>3604</v>
      </c>
      <c r="I8058" s="1" t="s">
        <v>27102</v>
      </c>
      <c r="J8058" s="1" t="s">
        <v>3615</v>
      </c>
      <c r="K8058" s="1" t="s">
        <v>27103</v>
      </c>
      <c r="L8058" s="1"/>
      <c r="M8058" s="1"/>
    </row>
    <row x14ac:dyDescent="0.25" r="8059" customHeight="1" ht="18.75">
      <c r="A8059" s="1" t="s">
        <v>3693</v>
      </c>
      <c r="B8059" s="1" t="s">
        <v>4125</v>
      </c>
      <c r="C8059" s="1" t="s">
        <v>3619</v>
      </c>
      <c r="D8059" s="1" t="s">
        <v>533</v>
      </c>
      <c r="E8059" s="1" t="s">
        <v>3664</v>
      </c>
      <c r="F8059" s="1" t="s">
        <v>27104</v>
      </c>
      <c r="G8059" s="1" t="s">
        <v>10262</v>
      </c>
      <c r="H8059" s="1" t="s">
        <v>3604</v>
      </c>
      <c r="I8059" s="1" t="s">
        <v>27105</v>
      </c>
      <c r="J8059" s="1" t="s">
        <v>3615</v>
      </c>
      <c r="K8059" s="1" t="s">
        <v>27106</v>
      </c>
      <c r="L8059" s="1"/>
      <c r="M8059" s="1"/>
    </row>
    <row x14ac:dyDescent="0.25" r="8060" customHeight="1" ht="18.75">
      <c r="A8060" s="1" t="s">
        <v>3693</v>
      </c>
      <c r="B8060" s="1" t="s">
        <v>4125</v>
      </c>
      <c r="C8060" s="1" t="s">
        <v>3619</v>
      </c>
      <c r="D8060" s="1" t="s">
        <v>533</v>
      </c>
      <c r="E8060" s="1" t="s">
        <v>3664</v>
      </c>
      <c r="F8060" s="1" t="s">
        <v>27107</v>
      </c>
      <c r="G8060" s="1" t="s">
        <v>27108</v>
      </c>
      <c r="H8060" s="1" t="s">
        <v>3604</v>
      </c>
      <c r="I8060" s="1" t="s">
        <v>27109</v>
      </c>
      <c r="J8060" s="1" t="s">
        <v>3615</v>
      </c>
      <c r="K8060" s="1" t="s">
        <v>27110</v>
      </c>
      <c r="L8060" s="1"/>
      <c r="M8060" s="1"/>
    </row>
    <row x14ac:dyDescent="0.25" r="8061" customHeight="1" ht="18.75">
      <c r="A8061" s="1" t="s">
        <v>3598</v>
      </c>
      <c r="B8061" s="1" t="s">
        <v>5252</v>
      </c>
      <c r="C8061" s="1" t="s">
        <v>3600</v>
      </c>
      <c r="D8061" s="1" t="s">
        <v>3610</v>
      </c>
      <c r="E8061" s="1" t="s">
        <v>3664</v>
      </c>
      <c r="F8061" s="1" t="s">
        <v>27111</v>
      </c>
      <c r="G8061" s="1" t="s">
        <v>18416</v>
      </c>
      <c r="H8061" s="1" t="s">
        <v>3604</v>
      </c>
      <c r="I8061" s="1" t="s">
        <v>27112</v>
      </c>
      <c r="J8061" s="1" t="s">
        <v>3615</v>
      </c>
      <c r="K8061" s="1" t="s">
        <v>26889</v>
      </c>
      <c r="L8061" s="1"/>
      <c r="M8061" s="1"/>
    </row>
    <row x14ac:dyDescent="0.25" r="8062" customHeight="1" ht="18.75">
      <c r="A8062" s="1" t="s">
        <v>3693</v>
      </c>
      <c r="B8062" s="1" t="s">
        <v>4136</v>
      </c>
      <c r="C8062" s="1" t="s">
        <v>3619</v>
      </c>
      <c r="D8062" s="1" t="s">
        <v>533</v>
      </c>
      <c r="E8062" s="1" t="s">
        <v>3752</v>
      </c>
      <c r="F8062" s="1" t="s">
        <v>27113</v>
      </c>
      <c r="G8062" s="1" t="s">
        <v>27114</v>
      </c>
      <c r="H8062" s="1" t="s">
        <v>3604</v>
      </c>
      <c r="I8062" s="1" t="s">
        <v>27115</v>
      </c>
      <c r="J8062" s="1" t="s">
        <v>3615</v>
      </c>
      <c r="K8062" s="1" t="s">
        <v>27116</v>
      </c>
      <c r="L8062" s="1"/>
      <c r="M8062" s="1"/>
    </row>
    <row x14ac:dyDescent="0.25" r="8063" customHeight="1" ht="18.75">
      <c r="A8063" s="1" t="s">
        <v>3598</v>
      </c>
      <c r="B8063" s="1" t="s">
        <v>5252</v>
      </c>
      <c r="C8063" s="1" t="s">
        <v>3600</v>
      </c>
      <c r="D8063" s="1" t="s">
        <v>3610</v>
      </c>
      <c r="E8063" s="1" t="s">
        <v>3664</v>
      </c>
      <c r="F8063" s="1" t="s">
        <v>27117</v>
      </c>
      <c r="G8063" s="1" t="s">
        <v>18416</v>
      </c>
      <c r="H8063" s="1" t="s">
        <v>3604</v>
      </c>
      <c r="I8063" s="1" t="s">
        <v>27118</v>
      </c>
      <c r="J8063" s="1" t="s">
        <v>3615</v>
      </c>
      <c r="K8063" s="1" t="s">
        <v>26892</v>
      </c>
      <c r="L8063" s="1"/>
      <c r="M8063" s="1"/>
    </row>
    <row x14ac:dyDescent="0.25" r="8064" customHeight="1" ht="18.75">
      <c r="A8064" s="1" t="s">
        <v>3693</v>
      </c>
      <c r="B8064" s="1" t="s">
        <v>4136</v>
      </c>
      <c r="C8064" s="1" t="s">
        <v>3619</v>
      </c>
      <c r="D8064" s="1" t="s">
        <v>533</v>
      </c>
      <c r="E8064" s="1" t="s">
        <v>3752</v>
      </c>
      <c r="F8064" s="1" t="s">
        <v>27119</v>
      </c>
      <c r="G8064" s="1" t="s">
        <v>27120</v>
      </c>
      <c r="H8064" s="1" t="s">
        <v>3604</v>
      </c>
      <c r="I8064" s="1" t="s">
        <v>27121</v>
      </c>
      <c r="J8064" s="1" t="s">
        <v>3615</v>
      </c>
      <c r="K8064" s="1" t="s">
        <v>27122</v>
      </c>
      <c r="L8064" s="1"/>
      <c r="M8064" s="1"/>
    </row>
    <row x14ac:dyDescent="0.25" r="8065" customHeight="1" ht="18.75">
      <c r="A8065" s="1" t="s">
        <v>3598</v>
      </c>
      <c r="B8065" s="1" t="s">
        <v>5252</v>
      </c>
      <c r="C8065" s="1" t="s">
        <v>3600</v>
      </c>
      <c r="D8065" s="1" t="s">
        <v>3610</v>
      </c>
      <c r="E8065" s="1" t="s">
        <v>3664</v>
      </c>
      <c r="F8065" s="1" t="s">
        <v>27123</v>
      </c>
      <c r="G8065" s="1" t="s">
        <v>18416</v>
      </c>
      <c r="H8065" s="1" t="s">
        <v>3604</v>
      </c>
      <c r="I8065" s="1" t="s">
        <v>27124</v>
      </c>
      <c r="J8065" s="1" t="s">
        <v>3615</v>
      </c>
      <c r="K8065" s="1" t="s">
        <v>26895</v>
      </c>
      <c r="L8065" s="1"/>
      <c r="M8065" s="1"/>
    </row>
    <row x14ac:dyDescent="0.25" r="8066" customHeight="1" ht="18.75">
      <c r="A8066" s="1" t="s">
        <v>3598</v>
      </c>
      <c r="B8066" s="1" t="s">
        <v>5252</v>
      </c>
      <c r="C8066" s="1" t="s">
        <v>3600</v>
      </c>
      <c r="D8066" s="1" t="s">
        <v>3610</v>
      </c>
      <c r="E8066" s="1" t="s">
        <v>3664</v>
      </c>
      <c r="F8066" s="1" t="s">
        <v>27125</v>
      </c>
      <c r="G8066" s="1" t="s">
        <v>18416</v>
      </c>
      <c r="H8066" s="1" t="s">
        <v>3604</v>
      </c>
      <c r="I8066" s="1" t="s">
        <v>27126</v>
      </c>
      <c r="J8066" s="1" t="s">
        <v>3615</v>
      </c>
      <c r="K8066" s="1" t="s">
        <v>26898</v>
      </c>
      <c r="L8066" s="1"/>
      <c r="M8066" s="1"/>
    </row>
    <row x14ac:dyDescent="0.25" r="8067" customHeight="1" ht="18.75">
      <c r="A8067" s="1" t="s">
        <v>3598</v>
      </c>
      <c r="B8067" s="1" t="s">
        <v>5252</v>
      </c>
      <c r="C8067" s="1" t="s">
        <v>3600</v>
      </c>
      <c r="D8067" s="1" t="s">
        <v>3610</v>
      </c>
      <c r="E8067" s="1" t="s">
        <v>3664</v>
      </c>
      <c r="F8067" s="1" t="s">
        <v>27127</v>
      </c>
      <c r="G8067" s="1" t="s">
        <v>18416</v>
      </c>
      <c r="H8067" s="1" t="s">
        <v>3604</v>
      </c>
      <c r="I8067" s="1" t="s">
        <v>27128</v>
      </c>
      <c r="J8067" s="1" t="s">
        <v>3615</v>
      </c>
      <c r="K8067" s="1" t="s">
        <v>26901</v>
      </c>
      <c r="L8067" s="1"/>
      <c r="M8067" s="1"/>
    </row>
    <row x14ac:dyDescent="0.25" r="8068" customHeight="1" ht="18.75">
      <c r="A8068" s="1" t="s">
        <v>3598</v>
      </c>
      <c r="B8068" s="1" t="s">
        <v>5252</v>
      </c>
      <c r="C8068" s="1" t="s">
        <v>3600</v>
      </c>
      <c r="D8068" s="1" t="s">
        <v>3610</v>
      </c>
      <c r="E8068" s="1" t="s">
        <v>3664</v>
      </c>
      <c r="F8068" s="1" t="s">
        <v>27129</v>
      </c>
      <c r="G8068" s="1" t="s">
        <v>20237</v>
      </c>
      <c r="H8068" s="1" t="s">
        <v>3604</v>
      </c>
      <c r="I8068" s="1" t="s">
        <v>27130</v>
      </c>
      <c r="J8068" s="1" t="s">
        <v>3615</v>
      </c>
      <c r="K8068" s="1" t="s">
        <v>26905</v>
      </c>
      <c r="L8068" s="1"/>
      <c r="M8068" s="1"/>
    </row>
    <row x14ac:dyDescent="0.25" r="8069" customHeight="1" ht="18.75">
      <c r="A8069" s="1" t="s">
        <v>3598</v>
      </c>
      <c r="B8069" s="1" t="s">
        <v>5252</v>
      </c>
      <c r="C8069" s="1" t="s">
        <v>3600</v>
      </c>
      <c r="D8069" s="1" t="s">
        <v>3610</v>
      </c>
      <c r="E8069" s="1" t="s">
        <v>3664</v>
      </c>
      <c r="F8069" s="1" t="s">
        <v>27131</v>
      </c>
      <c r="G8069" s="1" t="s">
        <v>20237</v>
      </c>
      <c r="H8069" s="1" t="s">
        <v>3604</v>
      </c>
      <c r="I8069" s="1" t="s">
        <v>27132</v>
      </c>
      <c r="J8069" s="1" t="s">
        <v>3615</v>
      </c>
      <c r="K8069" s="1" t="s">
        <v>26908</v>
      </c>
      <c r="L8069" s="1"/>
      <c r="M8069" s="1"/>
    </row>
    <row x14ac:dyDescent="0.25" r="8070" customHeight="1" ht="18.75">
      <c r="A8070" s="1" t="s">
        <v>3598</v>
      </c>
      <c r="B8070" s="1" t="s">
        <v>5252</v>
      </c>
      <c r="C8070" s="1" t="s">
        <v>3600</v>
      </c>
      <c r="D8070" s="1" t="s">
        <v>3610</v>
      </c>
      <c r="E8070" s="1" t="s">
        <v>3664</v>
      </c>
      <c r="F8070" s="1" t="s">
        <v>27133</v>
      </c>
      <c r="G8070" s="1" t="s">
        <v>20237</v>
      </c>
      <c r="H8070" s="1" t="s">
        <v>3604</v>
      </c>
      <c r="I8070" s="1" t="s">
        <v>27134</v>
      </c>
      <c r="J8070" s="1" t="s">
        <v>3615</v>
      </c>
      <c r="K8070" s="1" t="s">
        <v>26666</v>
      </c>
      <c r="L8070" s="1"/>
      <c r="M8070" s="1"/>
    </row>
    <row x14ac:dyDescent="0.25" r="8071" customHeight="1" ht="18.75">
      <c r="A8071" s="1" t="s">
        <v>3598</v>
      </c>
      <c r="B8071" s="1" t="s">
        <v>5252</v>
      </c>
      <c r="C8071" s="1" t="s">
        <v>3600</v>
      </c>
      <c r="D8071" s="1" t="s">
        <v>3610</v>
      </c>
      <c r="E8071" s="1" t="s">
        <v>3664</v>
      </c>
      <c r="F8071" s="1" t="s">
        <v>27135</v>
      </c>
      <c r="G8071" s="1" t="s">
        <v>20237</v>
      </c>
      <c r="H8071" s="1" t="s">
        <v>3604</v>
      </c>
      <c r="I8071" s="1" t="s">
        <v>27136</v>
      </c>
      <c r="J8071" s="1" t="s">
        <v>3615</v>
      </c>
      <c r="K8071" s="1" t="s">
        <v>26663</v>
      </c>
      <c r="L8071" s="1"/>
      <c r="M8071" s="1"/>
    </row>
    <row x14ac:dyDescent="0.25" r="8072" customHeight="1" ht="18.75">
      <c r="A8072" s="1" t="s">
        <v>3598</v>
      </c>
      <c r="B8072" s="1" t="s">
        <v>5252</v>
      </c>
      <c r="C8072" s="1" t="s">
        <v>3600</v>
      </c>
      <c r="D8072" s="1" t="s">
        <v>3610</v>
      </c>
      <c r="E8072" s="1" t="s">
        <v>3664</v>
      </c>
      <c r="F8072" s="1" t="s">
        <v>27137</v>
      </c>
      <c r="G8072" s="1" t="s">
        <v>20237</v>
      </c>
      <c r="H8072" s="1" t="s">
        <v>3604</v>
      </c>
      <c r="I8072" s="1" t="s">
        <v>27138</v>
      </c>
      <c r="J8072" s="1" t="s">
        <v>3615</v>
      </c>
      <c r="K8072" s="1" t="s">
        <v>26915</v>
      </c>
      <c r="L8072" s="1"/>
      <c r="M8072" s="1"/>
    </row>
    <row x14ac:dyDescent="0.25" r="8073" customHeight="1" ht="18.75">
      <c r="A8073" s="1" t="s">
        <v>3598</v>
      </c>
      <c r="B8073" s="1" t="s">
        <v>5252</v>
      </c>
      <c r="C8073" s="1" t="s">
        <v>3600</v>
      </c>
      <c r="D8073" s="1" t="s">
        <v>3610</v>
      </c>
      <c r="E8073" s="1" t="s">
        <v>3664</v>
      </c>
      <c r="F8073" s="1" t="s">
        <v>27139</v>
      </c>
      <c r="G8073" s="1" t="s">
        <v>27077</v>
      </c>
      <c r="H8073" s="1" t="s">
        <v>3604</v>
      </c>
      <c r="I8073" s="1" t="s">
        <v>27140</v>
      </c>
      <c r="J8073" s="1" t="s">
        <v>3615</v>
      </c>
      <c r="K8073" s="1" t="s">
        <v>27141</v>
      </c>
      <c r="L8073" s="1"/>
      <c r="M8073" s="1"/>
    </row>
    <row x14ac:dyDescent="0.25" r="8074" customHeight="1" ht="18.75">
      <c r="A8074" s="1" t="s">
        <v>3598</v>
      </c>
      <c r="B8074" s="1" t="s">
        <v>5252</v>
      </c>
      <c r="C8074" s="1" t="s">
        <v>3600</v>
      </c>
      <c r="D8074" s="1" t="s">
        <v>3610</v>
      </c>
      <c r="E8074" s="1" t="s">
        <v>3664</v>
      </c>
      <c r="F8074" s="1" t="s">
        <v>27142</v>
      </c>
      <c r="G8074" s="1" t="s">
        <v>27077</v>
      </c>
      <c r="H8074" s="1" t="s">
        <v>3604</v>
      </c>
      <c r="I8074" s="1" t="s">
        <v>27143</v>
      </c>
      <c r="J8074" s="1" t="s">
        <v>3615</v>
      </c>
      <c r="K8074" s="1" t="s">
        <v>27144</v>
      </c>
      <c r="L8074" s="1"/>
      <c r="M8074" s="1"/>
    </row>
    <row x14ac:dyDescent="0.25" r="8075" customHeight="1" ht="18.75">
      <c r="A8075" s="1" t="s">
        <v>3693</v>
      </c>
      <c r="B8075" s="1" t="s">
        <v>4166</v>
      </c>
      <c r="C8075" s="1" t="s">
        <v>3619</v>
      </c>
      <c r="D8075" s="1" t="s">
        <v>533</v>
      </c>
      <c r="E8075" s="1" t="s">
        <v>3752</v>
      </c>
      <c r="F8075" s="1" t="s">
        <v>27145</v>
      </c>
      <c r="G8075" s="1" t="s">
        <v>27146</v>
      </c>
      <c r="H8075" s="1" t="s">
        <v>3604</v>
      </c>
      <c r="I8075" s="1" t="s">
        <v>27147</v>
      </c>
      <c r="J8075" s="1" t="s">
        <v>3615</v>
      </c>
      <c r="K8075" s="1" t="s">
        <v>27148</v>
      </c>
      <c r="L8075" s="1"/>
      <c r="M8075" s="1"/>
    </row>
    <row x14ac:dyDescent="0.25" r="8076" customHeight="1" ht="18.75">
      <c r="A8076" s="1" t="s">
        <v>3598</v>
      </c>
      <c r="B8076" s="1" t="s">
        <v>5252</v>
      </c>
      <c r="C8076" s="1" t="s">
        <v>3600</v>
      </c>
      <c r="D8076" s="1" t="s">
        <v>3610</v>
      </c>
      <c r="E8076" s="1" t="s">
        <v>3664</v>
      </c>
      <c r="F8076" s="1" t="s">
        <v>27149</v>
      </c>
      <c r="G8076" s="1" t="s">
        <v>27077</v>
      </c>
      <c r="H8076" s="1" t="s">
        <v>3604</v>
      </c>
      <c r="I8076" s="1" t="s">
        <v>27150</v>
      </c>
      <c r="J8076" s="1" t="s">
        <v>3615</v>
      </c>
      <c r="K8076" s="1" t="s">
        <v>27151</v>
      </c>
      <c r="L8076" s="1"/>
      <c r="M8076" s="1"/>
    </row>
    <row x14ac:dyDescent="0.25" r="8077" customHeight="1" ht="18.75">
      <c r="A8077" s="1" t="s">
        <v>3598</v>
      </c>
      <c r="B8077" s="1" t="s">
        <v>5252</v>
      </c>
      <c r="C8077" s="1" t="s">
        <v>3600</v>
      </c>
      <c r="D8077" s="1" t="s">
        <v>3610</v>
      </c>
      <c r="E8077" s="1" t="s">
        <v>3664</v>
      </c>
      <c r="F8077" s="1" t="s">
        <v>27152</v>
      </c>
      <c r="G8077" s="1" t="s">
        <v>27077</v>
      </c>
      <c r="H8077" s="1" t="s">
        <v>3604</v>
      </c>
      <c r="I8077" s="1" t="s">
        <v>27153</v>
      </c>
      <c r="J8077" s="1" t="s">
        <v>3615</v>
      </c>
      <c r="K8077" s="1" t="s">
        <v>26989</v>
      </c>
      <c r="L8077" s="1"/>
      <c r="M8077" s="1"/>
    </row>
    <row x14ac:dyDescent="0.25" r="8078" customHeight="1" ht="18.75">
      <c r="A8078" s="1" t="s">
        <v>3693</v>
      </c>
      <c r="B8078" s="1" t="s">
        <v>7098</v>
      </c>
      <c r="C8078" s="1" t="s">
        <v>3600</v>
      </c>
      <c r="D8078" s="1" t="s">
        <v>533</v>
      </c>
      <c r="E8078" s="1" t="s">
        <v>3752</v>
      </c>
      <c r="F8078" s="1" t="s">
        <v>27154</v>
      </c>
      <c r="G8078" s="1" t="s">
        <v>9382</v>
      </c>
      <c r="H8078" s="1" t="s">
        <v>3604</v>
      </c>
      <c r="I8078" s="1" t="s">
        <v>27155</v>
      </c>
      <c r="J8078" s="1" t="s">
        <v>3615</v>
      </c>
      <c r="K8078" s="1" t="s">
        <v>27156</v>
      </c>
      <c r="L8078" s="1"/>
      <c r="M8078" s="1"/>
    </row>
    <row x14ac:dyDescent="0.25" r="8079" customHeight="1" ht="18.75">
      <c r="A8079" s="1" t="s">
        <v>3598</v>
      </c>
      <c r="B8079" s="1" t="s">
        <v>5252</v>
      </c>
      <c r="C8079" s="1" t="s">
        <v>3600</v>
      </c>
      <c r="D8079" s="1" t="s">
        <v>3610</v>
      </c>
      <c r="E8079" s="1" t="s">
        <v>3664</v>
      </c>
      <c r="F8079" s="1" t="s">
        <v>27157</v>
      </c>
      <c r="G8079" s="1" t="s">
        <v>27077</v>
      </c>
      <c r="H8079" s="1" t="s">
        <v>3604</v>
      </c>
      <c r="I8079" s="1" t="s">
        <v>27158</v>
      </c>
      <c r="J8079" s="1" t="s">
        <v>3615</v>
      </c>
      <c r="K8079" s="1" t="s">
        <v>27159</v>
      </c>
      <c r="L8079" s="1"/>
      <c r="M8079" s="1"/>
    </row>
    <row x14ac:dyDescent="0.25" r="8080" customHeight="1" ht="18.75">
      <c r="A8080" s="1" t="s">
        <v>3598</v>
      </c>
      <c r="B8080" s="1" t="s">
        <v>19642</v>
      </c>
      <c r="C8080" s="1" t="s">
        <v>3600</v>
      </c>
      <c r="D8080" s="1" t="s">
        <v>3610</v>
      </c>
      <c r="E8080" s="1" t="s">
        <v>3752</v>
      </c>
      <c r="F8080" s="1" t="s">
        <v>27160</v>
      </c>
      <c r="G8080" s="1" t="s">
        <v>27161</v>
      </c>
      <c r="H8080" s="1" t="s">
        <v>3604</v>
      </c>
      <c r="I8080" s="1" t="s">
        <v>27162</v>
      </c>
      <c r="J8080" s="1" t="s">
        <v>3615</v>
      </c>
      <c r="K8080" s="1" t="s">
        <v>26546</v>
      </c>
      <c r="L8080" s="1"/>
      <c r="M8080" s="1"/>
    </row>
    <row x14ac:dyDescent="0.25" r="8081" customHeight="1" ht="18.75">
      <c r="A8081" s="1" t="s">
        <v>3693</v>
      </c>
      <c r="B8081" s="1" t="s">
        <v>7098</v>
      </c>
      <c r="C8081" s="1" t="s">
        <v>3600</v>
      </c>
      <c r="D8081" s="1" t="s">
        <v>533</v>
      </c>
      <c r="E8081" s="1" t="s">
        <v>3752</v>
      </c>
      <c r="F8081" s="1" t="s">
        <v>27163</v>
      </c>
      <c r="G8081" s="1" t="s">
        <v>10390</v>
      </c>
      <c r="H8081" s="1" t="s">
        <v>3604</v>
      </c>
      <c r="I8081" s="1" t="s">
        <v>27164</v>
      </c>
      <c r="J8081" s="1" t="s">
        <v>3615</v>
      </c>
      <c r="K8081" s="1" t="s">
        <v>27165</v>
      </c>
      <c r="L8081" s="1"/>
      <c r="M8081" s="1"/>
    </row>
    <row x14ac:dyDescent="0.25" r="8082" customHeight="1" ht="18.75">
      <c r="A8082" s="1" t="s">
        <v>3598</v>
      </c>
      <c r="B8082" s="1" t="s">
        <v>9231</v>
      </c>
      <c r="C8082" s="1" t="s">
        <v>3600</v>
      </c>
      <c r="D8082" s="1" t="s">
        <v>3610</v>
      </c>
      <c r="E8082" s="1" t="s">
        <v>3752</v>
      </c>
      <c r="F8082" s="1" t="s">
        <v>27166</v>
      </c>
      <c r="G8082" s="1" t="s">
        <v>27167</v>
      </c>
      <c r="H8082" s="1" t="s">
        <v>3604</v>
      </c>
      <c r="I8082" s="1" t="s">
        <v>27168</v>
      </c>
      <c r="J8082" s="1" t="s">
        <v>3615</v>
      </c>
      <c r="K8082" s="1" t="s">
        <v>26924</v>
      </c>
      <c r="L8082" s="1"/>
      <c r="M8082" s="1"/>
    </row>
    <row x14ac:dyDescent="0.25" r="8083" customHeight="1" ht="18.75">
      <c r="A8083" s="1" t="s">
        <v>3693</v>
      </c>
      <c r="B8083" s="1" t="s">
        <v>7098</v>
      </c>
      <c r="C8083" s="1" t="s">
        <v>3600</v>
      </c>
      <c r="D8083" s="1" t="s">
        <v>533</v>
      </c>
      <c r="E8083" s="1" t="s">
        <v>3752</v>
      </c>
      <c r="F8083" s="1" t="s">
        <v>27169</v>
      </c>
      <c r="G8083" s="1" t="s">
        <v>10393</v>
      </c>
      <c r="H8083" s="1" t="s">
        <v>3604</v>
      </c>
      <c r="I8083" s="1" t="s">
        <v>27170</v>
      </c>
      <c r="J8083" s="1" t="s">
        <v>3615</v>
      </c>
      <c r="K8083" s="1" t="s">
        <v>27171</v>
      </c>
      <c r="L8083" s="1"/>
      <c r="M8083" s="1"/>
    </row>
    <row x14ac:dyDescent="0.25" r="8084" customHeight="1" ht="18.75">
      <c r="A8084" s="1" t="s">
        <v>3598</v>
      </c>
      <c r="B8084" s="1" t="s">
        <v>9231</v>
      </c>
      <c r="C8084" s="1" t="s">
        <v>3600</v>
      </c>
      <c r="D8084" s="1" t="s">
        <v>3610</v>
      </c>
      <c r="E8084" s="1" t="s">
        <v>3752</v>
      </c>
      <c r="F8084" s="1" t="s">
        <v>27172</v>
      </c>
      <c r="G8084" s="1" t="s">
        <v>27167</v>
      </c>
      <c r="H8084" s="1" t="s">
        <v>3604</v>
      </c>
      <c r="I8084" s="1" t="s">
        <v>27173</v>
      </c>
      <c r="J8084" s="1" t="s">
        <v>3615</v>
      </c>
      <c r="K8084" s="1" t="s">
        <v>26927</v>
      </c>
      <c r="L8084" s="1"/>
      <c r="M8084" s="1"/>
    </row>
    <row x14ac:dyDescent="0.25" r="8085" customHeight="1" ht="18.75">
      <c r="A8085" s="1" t="s">
        <v>3693</v>
      </c>
      <c r="B8085" s="1" t="s">
        <v>4208</v>
      </c>
      <c r="C8085" s="1" t="s">
        <v>3619</v>
      </c>
      <c r="D8085" s="1" t="s">
        <v>533</v>
      </c>
      <c r="E8085" s="1" t="s">
        <v>3664</v>
      </c>
      <c r="F8085" s="1" t="s">
        <v>27174</v>
      </c>
      <c r="G8085" s="1" t="s">
        <v>9393</v>
      </c>
      <c r="H8085" s="1" t="s">
        <v>3604</v>
      </c>
      <c r="I8085" s="1" t="s">
        <v>27175</v>
      </c>
      <c r="J8085" s="1" t="s">
        <v>3615</v>
      </c>
      <c r="K8085" s="1" t="s">
        <v>27176</v>
      </c>
      <c r="L8085" s="1"/>
      <c r="M8085" s="1"/>
    </row>
    <row x14ac:dyDescent="0.25" r="8086" customHeight="1" ht="18.75">
      <c r="A8086" s="1" t="s">
        <v>3693</v>
      </c>
      <c r="B8086" s="1" t="s">
        <v>4091</v>
      </c>
      <c r="C8086" s="1" t="s">
        <v>3600</v>
      </c>
      <c r="D8086" s="1" t="s">
        <v>533</v>
      </c>
      <c r="E8086" s="1" t="s">
        <v>3752</v>
      </c>
      <c r="F8086" s="1" t="s">
        <v>27177</v>
      </c>
      <c r="G8086" s="1" t="s">
        <v>21666</v>
      </c>
      <c r="H8086" s="1" t="s">
        <v>3604</v>
      </c>
      <c r="I8086" s="1" t="s">
        <v>27178</v>
      </c>
      <c r="J8086" s="1" t="s">
        <v>3615</v>
      </c>
      <c r="K8086" s="1" t="s">
        <v>27179</v>
      </c>
      <c r="L8086" s="1"/>
      <c r="M8086" s="1"/>
    </row>
    <row x14ac:dyDescent="0.25" r="8087" customHeight="1" ht="18.75">
      <c r="A8087" s="1" t="s">
        <v>3693</v>
      </c>
      <c r="B8087" s="1" t="s">
        <v>4091</v>
      </c>
      <c r="C8087" s="1" t="s">
        <v>3600</v>
      </c>
      <c r="D8087" s="1" t="s">
        <v>533</v>
      </c>
      <c r="E8087" s="1" t="s">
        <v>3893</v>
      </c>
      <c r="F8087" s="1" t="s">
        <v>27180</v>
      </c>
      <c r="G8087" s="1" t="s">
        <v>17377</v>
      </c>
      <c r="H8087" s="1" t="s">
        <v>3604</v>
      </c>
      <c r="I8087" s="1" t="s">
        <v>27181</v>
      </c>
      <c r="J8087" s="1" t="s">
        <v>3615</v>
      </c>
      <c r="K8087" s="1" t="s">
        <v>27182</v>
      </c>
      <c r="L8087" s="1"/>
      <c r="M8087" s="1"/>
    </row>
    <row x14ac:dyDescent="0.25" r="8088" customHeight="1" ht="18.75">
      <c r="A8088" s="1" t="s">
        <v>3693</v>
      </c>
      <c r="B8088" s="1" t="s">
        <v>4091</v>
      </c>
      <c r="C8088" s="1" t="s">
        <v>3600</v>
      </c>
      <c r="D8088" s="1" t="s">
        <v>533</v>
      </c>
      <c r="E8088" s="1" t="s">
        <v>3893</v>
      </c>
      <c r="F8088" s="1" t="s">
        <v>27183</v>
      </c>
      <c r="G8088" s="1" t="s">
        <v>4468</v>
      </c>
      <c r="H8088" s="1" t="s">
        <v>3604</v>
      </c>
      <c r="I8088" s="1" t="s">
        <v>27184</v>
      </c>
      <c r="J8088" s="1" t="s">
        <v>3615</v>
      </c>
      <c r="K8088" s="1" t="s">
        <v>27185</v>
      </c>
      <c r="L8088" s="1"/>
      <c r="M8088" s="1"/>
    </row>
    <row x14ac:dyDescent="0.25" r="8089" customHeight="1" ht="18.75">
      <c r="A8089" s="1" t="s">
        <v>3693</v>
      </c>
      <c r="B8089" s="1" t="s">
        <v>4225</v>
      </c>
      <c r="C8089" s="1" t="s">
        <v>3619</v>
      </c>
      <c r="D8089" s="1" t="s">
        <v>533</v>
      </c>
      <c r="E8089" s="1" t="s">
        <v>3752</v>
      </c>
      <c r="F8089" s="1" t="s">
        <v>27186</v>
      </c>
      <c r="G8089" s="1" t="s">
        <v>27187</v>
      </c>
      <c r="H8089" s="1" t="s">
        <v>3604</v>
      </c>
      <c r="I8089" s="1" t="s">
        <v>27188</v>
      </c>
      <c r="J8089" s="1" t="s">
        <v>3615</v>
      </c>
      <c r="K8089" s="1" t="s">
        <v>27189</v>
      </c>
      <c r="L8089" s="1"/>
      <c r="M8089" s="1"/>
    </row>
    <row x14ac:dyDescent="0.25" r="8090" customHeight="1" ht="18.75">
      <c r="A8090" s="1" t="s">
        <v>3598</v>
      </c>
      <c r="B8090" s="1" t="s">
        <v>9231</v>
      </c>
      <c r="C8090" s="1" t="s">
        <v>3600</v>
      </c>
      <c r="D8090" s="1" t="s">
        <v>3610</v>
      </c>
      <c r="E8090" s="1" t="s">
        <v>3664</v>
      </c>
      <c r="F8090" s="1" t="s">
        <v>27190</v>
      </c>
      <c r="G8090" s="1" t="s">
        <v>27191</v>
      </c>
      <c r="H8090" s="1" t="s">
        <v>3604</v>
      </c>
      <c r="I8090" s="1" t="s">
        <v>27192</v>
      </c>
      <c r="J8090" s="1" t="s">
        <v>3615</v>
      </c>
      <c r="K8090" s="1" t="s">
        <v>27193</v>
      </c>
      <c r="L8090" s="1"/>
      <c r="M8090" s="1"/>
    </row>
    <row x14ac:dyDescent="0.25" r="8091" customHeight="1" ht="18.75">
      <c r="A8091" s="1" t="s">
        <v>3598</v>
      </c>
      <c r="B8091" s="1" t="s">
        <v>9231</v>
      </c>
      <c r="C8091" s="1" t="s">
        <v>3600</v>
      </c>
      <c r="D8091" s="1" t="s">
        <v>3610</v>
      </c>
      <c r="E8091" s="1" t="s">
        <v>3664</v>
      </c>
      <c r="F8091" s="1" t="s">
        <v>27194</v>
      </c>
      <c r="G8091" s="1" t="s">
        <v>27195</v>
      </c>
      <c r="H8091" s="1" t="s">
        <v>3604</v>
      </c>
      <c r="I8091" s="1" t="s">
        <v>27196</v>
      </c>
      <c r="J8091" s="1" t="s">
        <v>3615</v>
      </c>
      <c r="K8091" s="1" t="s">
        <v>26880</v>
      </c>
      <c r="L8091" s="1"/>
      <c r="M8091" s="1"/>
    </row>
    <row x14ac:dyDescent="0.25" r="8092" customHeight="1" ht="18.75">
      <c r="A8092" s="1" t="s">
        <v>3693</v>
      </c>
      <c r="B8092" s="1" t="s">
        <v>20731</v>
      </c>
      <c r="C8092" s="1" t="s">
        <v>3619</v>
      </c>
      <c r="D8092" s="1" t="s">
        <v>533</v>
      </c>
      <c r="E8092" s="1" t="s">
        <v>3752</v>
      </c>
      <c r="F8092" s="1" t="s">
        <v>27197</v>
      </c>
      <c r="G8092" s="1" t="s">
        <v>27198</v>
      </c>
      <c r="H8092" s="1" t="s">
        <v>3604</v>
      </c>
      <c r="I8092" s="1" t="s">
        <v>27199</v>
      </c>
      <c r="J8092" s="1" t="s">
        <v>3615</v>
      </c>
      <c r="K8092" s="1" t="s">
        <v>27200</v>
      </c>
      <c r="L8092" s="1"/>
      <c r="M8092" s="1"/>
    </row>
    <row x14ac:dyDescent="0.25" r="8093" customHeight="1" ht="18.75">
      <c r="A8093" s="1" t="s">
        <v>3598</v>
      </c>
      <c r="B8093" s="1" t="s">
        <v>9231</v>
      </c>
      <c r="C8093" s="1" t="s">
        <v>3600</v>
      </c>
      <c r="D8093" s="1" t="s">
        <v>3610</v>
      </c>
      <c r="E8093" s="1" t="s">
        <v>3664</v>
      </c>
      <c r="F8093" s="1" t="s">
        <v>27201</v>
      </c>
      <c r="G8093" s="1" t="s">
        <v>27195</v>
      </c>
      <c r="H8093" s="1" t="s">
        <v>3604</v>
      </c>
      <c r="I8093" s="1" t="s">
        <v>27202</v>
      </c>
      <c r="J8093" s="1" t="s">
        <v>3615</v>
      </c>
      <c r="K8093" s="1" t="s">
        <v>26883</v>
      </c>
      <c r="L8093" s="1"/>
      <c r="M8093" s="1"/>
    </row>
    <row x14ac:dyDescent="0.25" r="8094" customHeight="1" ht="18.75">
      <c r="A8094" s="1" t="s">
        <v>3598</v>
      </c>
      <c r="B8094" s="1" t="s">
        <v>9231</v>
      </c>
      <c r="C8094" s="1" t="s">
        <v>3600</v>
      </c>
      <c r="D8094" s="1" t="s">
        <v>3610</v>
      </c>
      <c r="E8094" s="1" t="s">
        <v>3664</v>
      </c>
      <c r="F8094" s="1" t="s">
        <v>27203</v>
      </c>
      <c r="G8094" s="1" t="s">
        <v>27191</v>
      </c>
      <c r="H8094" s="1" t="s">
        <v>3604</v>
      </c>
      <c r="I8094" s="1" t="s">
        <v>27204</v>
      </c>
      <c r="J8094" s="1" t="s">
        <v>3615</v>
      </c>
      <c r="K8094" s="1" t="s">
        <v>27205</v>
      </c>
      <c r="L8094" s="1"/>
      <c r="M8094" s="1"/>
    </row>
    <row x14ac:dyDescent="0.25" r="8095" customHeight="1" ht="18.75">
      <c r="A8095" s="1" t="s">
        <v>3598</v>
      </c>
      <c r="B8095" s="1" t="s">
        <v>9231</v>
      </c>
      <c r="C8095" s="1" t="s">
        <v>3600</v>
      </c>
      <c r="D8095" s="1" t="s">
        <v>3610</v>
      </c>
      <c r="E8095" s="1" t="s">
        <v>3664</v>
      </c>
      <c r="F8095" s="1" t="s">
        <v>27206</v>
      </c>
      <c r="G8095" s="1" t="s">
        <v>27207</v>
      </c>
      <c r="H8095" s="1" t="s">
        <v>3604</v>
      </c>
      <c r="I8095" s="1" t="s">
        <v>27208</v>
      </c>
      <c r="J8095" s="1" t="s">
        <v>3615</v>
      </c>
      <c r="K8095" s="1" t="s">
        <v>27209</v>
      </c>
      <c r="L8095" s="1"/>
      <c r="M8095" s="1"/>
    </row>
    <row x14ac:dyDescent="0.25" r="8096" customHeight="1" ht="18.75">
      <c r="A8096" s="1" t="s">
        <v>3598</v>
      </c>
      <c r="B8096" s="1" t="s">
        <v>9231</v>
      </c>
      <c r="C8096" s="1" t="s">
        <v>3600</v>
      </c>
      <c r="D8096" s="1" t="s">
        <v>3610</v>
      </c>
      <c r="E8096" s="1" t="s">
        <v>3664</v>
      </c>
      <c r="F8096" s="1" t="s">
        <v>27210</v>
      </c>
      <c r="G8096" s="1" t="s">
        <v>27207</v>
      </c>
      <c r="H8096" s="1" t="s">
        <v>3604</v>
      </c>
      <c r="I8096" s="1" t="s">
        <v>27211</v>
      </c>
      <c r="J8096" s="1" t="s">
        <v>3615</v>
      </c>
      <c r="K8096" s="1" t="s">
        <v>27212</v>
      </c>
      <c r="L8096" s="1"/>
      <c r="M8096" s="1"/>
    </row>
    <row x14ac:dyDescent="0.25" r="8097" customHeight="1" ht="18.75">
      <c r="A8097" s="1" t="s">
        <v>3693</v>
      </c>
      <c r="B8097" s="1" t="s">
        <v>6981</v>
      </c>
      <c r="C8097" s="1" t="s">
        <v>3600</v>
      </c>
      <c r="D8097" s="1" t="s">
        <v>533</v>
      </c>
      <c r="E8097" s="1" t="s">
        <v>3664</v>
      </c>
      <c r="F8097" s="1" t="s">
        <v>27213</v>
      </c>
      <c r="G8097" s="1" t="s">
        <v>10478</v>
      </c>
      <c r="H8097" s="1" t="s">
        <v>3604</v>
      </c>
      <c r="I8097" s="1" t="s">
        <v>27214</v>
      </c>
      <c r="J8097" s="1" t="s">
        <v>3615</v>
      </c>
      <c r="K8097" s="1" t="s">
        <v>27215</v>
      </c>
      <c r="L8097" s="1"/>
      <c r="M8097" s="1"/>
    </row>
    <row x14ac:dyDescent="0.25" r="8098" customHeight="1" ht="18.75">
      <c r="A8098" s="1" t="s">
        <v>3598</v>
      </c>
      <c r="B8098" s="1" t="s">
        <v>9231</v>
      </c>
      <c r="C8098" s="1" t="s">
        <v>3600</v>
      </c>
      <c r="D8098" s="1" t="s">
        <v>3610</v>
      </c>
      <c r="E8098" s="1" t="s">
        <v>3664</v>
      </c>
      <c r="F8098" s="1" t="s">
        <v>27216</v>
      </c>
      <c r="G8098" s="1" t="s">
        <v>27207</v>
      </c>
      <c r="H8098" s="1" t="s">
        <v>3604</v>
      </c>
      <c r="I8098" s="1" t="s">
        <v>27217</v>
      </c>
      <c r="J8098" s="1" t="s">
        <v>3615</v>
      </c>
      <c r="K8098" s="1" t="s">
        <v>27218</v>
      </c>
      <c r="L8098" s="1"/>
      <c r="M8098" s="1"/>
    </row>
    <row x14ac:dyDescent="0.25" r="8099" customHeight="1" ht="18.75">
      <c r="A8099" s="1" t="s">
        <v>3598</v>
      </c>
      <c r="B8099" s="1" t="s">
        <v>9231</v>
      </c>
      <c r="C8099" s="1" t="s">
        <v>3600</v>
      </c>
      <c r="D8099" s="1" t="s">
        <v>3610</v>
      </c>
      <c r="E8099" s="1" t="s">
        <v>3664</v>
      </c>
      <c r="F8099" s="1" t="s">
        <v>27219</v>
      </c>
      <c r="G8099" s="1" t="s">
        <v>16602</v>
      </c>
      <c r="H8099" s="1" t="s">
        <v>3604</v>
      </c>
      <c r="I8099" s="1" t="s">
        <v>27220</v>
      </c>
      <c r="J8099" s="1" t="s">
        <v>3615</v>
      </c>
      <c r="K8099" s="1" t="s">
        <v>27221</v>
      </c>
      <c r="L8099" s="1"/>
      <c r="M8099" s="1"/>
    </row>
    <row x14ac:dyDescent="0.25" r="8100" customHeight="1" ht="18.75">
      <c r="A8100" s="1" t="s">
        <v>3598</v>
      </c>
      <c r="B8100" s="1" t="s">
        <v>9231</v>
      </c>
      <c r="C8100" s="1" t="s">
        <v>3600</v>
      </c>
      <c r="D8100" s="1" t="s">
        <v>3610</v>
      </c>
      <c r="E8100" s="1" t="s">
        <v>3664</v>
      </c>
      <c r="F8100" s="1" t="s">
        <v>27222</v>
      </c>
      <c r="G8100" s="1" t="s">
        <v>16588</v>
      </c>
      <c r="H8100" s="1" t="s">
        <v>3604</v>
      </c>
      <c r="I8100" s="1" t="s">
        <v>27223</v>
      </c>
      <c r="J8100" s="1" t="s">
        <v>3615</v>
      </c>
      <c r="K8100" s="1" t="s">
        <v>27224</v>
      </c>
      <c r="L8100" s="1"/>
      <c r="M8100" s="1"/>
    </row>
    <row x14ac:dyDescent="0.25" r="8101" customHeight="1" ht="18.75">
      <c r="A8101" s="1" t="s">
        <v>3693</v>
      </c>
      <c r="B8101" s="1" t="s">
        <v>6981</v>
      </c>
      <c r="C8101" s="1" t="s">
        <v>3600</v>
      </c>
      <c r="D8101" s="1" t="s">
        <v>533</v>
      </c>
      <c r="E8101" s="1" t="s">
        <v>3664</v>
      </c>
      <c r="F8101" s="1" t="s">
        <v>27225</v>
      </c>
      <c r="G8101" s="1" t="s">
        <v>10517</v>
      </c>
      <c r="H8101" s="1" t="s">
        <v>3604</v>
      </c>
      <c r="I8101" s="1" t="s">
        <v>27226</v>
      </c>
      <c r="J8101" s="1" t="s">
        <v>3615</v>
      </c>
      <c r="K8101" s="1" t="s">
        <v>27227</v>
      </c>
      <c r="L8101" s="1"/>
      <c r="M8101" s="1"/>
    </row>
    <row x14ac:dyDescent="0.25" r="8102" customHeight="1" ht="18.75">
      <c r="A8102" s="1" t="s">
        <v>3598</v>
      </c>
      <c r="B8102" s="1" t="s">
        <v>9231</v>
      </c>
      <c r="C8102" s="1" t="s">
        <v>3600</v>
      </c>
      <c r="D8102" s="1" t="s">
        <v>3610</v>
      </c>
      <c r="E8102" s="1" t="s">
        <v>3664</v>
      </c>
      <c r="F8102" s="1" t="s">
        <v>27228</v>
      </c>
      <c r="G8102" s="1" t="s">
        <v>16595</v>
      </c>
      <c r="H8102" s="1" t="s">
        <v>3604</v>
      </c>
      <c r="I8102" s="1" t="s">
        <v>27229</v>
      </c>
      <c r="J8102" s="1" t="s">
        <v>3615</v>
      </c>
      <c r="K8102" s="1" t="s">
        <v>27230</v>
      </c>
      <c r="L8102" s="1"/>
      <c r="M8102" s="1"/>
    </row>
    <row x14ac:dyDescent="0.25" r="8103" customHeight="1" ht="18.75">
      <c r="A8103" s="1" t="s">
        <v>3598</v>
      </c>
      <c r="B8103" s="1" t="s">
        <v>9231</v>
      </c>
      <c r="C8103" s="1" t="s">
        <v>3600</v>
      </c>
      <c r="D8103" s="1" t="s">
        <v>3610</v>
      </c>
      <c r="E8103" s="1" t="s">
        <v>3664</v>
      </c>
      <c r="F8103" s="1" t="s">
        <v>27231</v>
      </c>
      <c r="G8103" s="1" t="s">
        <v>16588</v>
      </c>
      <c r="H8103" s="1" t="s">
        <v>3604</v>
      </c>
      <c r="I8103" s="1" t="s">
        <v>27232</v>
      </c>
      <c r="J8103" s="1" t="s">
        <v>3615</v>
      </c>
      <c r="K8103" s="1" t="s">
        <v>27233</v>
      </c>
      <c r="L8103" s="1"/>
      <c r="M8103" s="1"/>
    </row>
    <row x14ac:dyDescent="0.25" r="8104" customHeight="1" ht="18.75">
      <c r="A8104" s="1" t="s">
        <v>3598</v>
      </c>
      <c r="B8104" s="1" t="s">
        <v>9231</v>
      </c>
      <c r="C8104" s="1" t="s">
        <v>3600</v>
      </c>
      <c r="D8104" s="1" t="s">
        <v>3610</v>
      </c>
      <c r="E8104" s="1" t="s">
        <v>3664</v>
      </c>
      <c r="F8104" s="1" t="s">
        <v>27234</v>
      </c>
      <c r="G8104" s="1" t="s">
        <v>16595</v>
      </c>
      <c r="H8104" s="1" t="s">
        <v>3604</v>
      </c>
      <c r="I8104" s="1" t="s">
        <v>27235</v>
      </c>
      <c r="J8104" s="1" t="s">
        <v>3615</v>
      </c>
      <c r="K8104" s="1" t="s">
        <v>27236</v>
      </c>
      <c r="L8104" s="1"/>
      <c r="M8104" s="1"/>
    </row>
    <row x14ac:dyDescent="0.25" r="8105" customHeight="1" ht="18.75">
      <c r="A8105" s="1" t="s">
        <v>3598</v>
      </c>
      <c r="B8105" s="1" t="s">
        <v>9231</v>
      </c>
      <c r="C8105" s="1" t="s">
        <v>3600</v>
      </c>
      <c r="D8105" s="1" t="s">
        <v>3610</v>
      </c>
      <c r="E8105" s="1" t="s">
        <v>3664</v>
      </c>
      <c r="F8105" s="1" t="s">
        <v>27237</v>
      </c>
      <c r="G8105" s="1" t="s">
        <v>27195</v>
      </c>
      <c r="H8105" s="1" t="s">
        <v>3604</v>
      </c>
      <c r="I8105" s="1" t="s">
        <v>27238</v>
      </c>
      <c r="J8105" s="1" t="s">
        <v>3615</v>
      </c>
      <c r="K8105" s="1" t="s">
        <v>26886</v>
      </c>
      <c r="L8105" s="1"/>
      <c r="M8105" s="1"/>
    </row>
    <row x14ac:dyDescent="0.25" r="8106" customHeight="1" ht="18.75">
      <c r="A8106" s="1" t="s">
        <v>3598</v>
      </c>
      <c r="B8106" s="1" t="s">
        <v>20557</v>
      </c>
      <c r="C8106" s="1" t="s">
        <v>3600</v>
      </c>
      <c r="D8106" s="1" t="s">
        <v>3610</v>
      </c>
      <c r="E8106" s="1" t="s">
        <v>3664</v>
      </c>
      <c r="F8106" s="1" t="s">
        <v>27239</v>
      </c>
      <c r="G8106" s="1" t="s">
        <v>27240</v>
      </c>
      <c r="H8106" s="1" t="s">
        <v>3604</v>
      </c>
      <c r="I8106" s="1" t="s">
        <v>27241</v>
      </c>
      <c r="J8106" s="1" t="s">
        <v>3615</v>
      </c>
      <c r="K8106" s="1" t="s">
        <v>26692</v>
      </c>
      <c r="L8106" s="1"/>
      <c r="M8106" s="1"/>
    </row>
    <row x14ac:dyDescent="0.25" r="8107" customHeight="1" ht="18.75">
      <c r="A8107" s="1" t="s">
        <v>3598</v>
      </c>
      <c r="B8107" s="1" t="s">
        <v>20557</v>
      </c>
      <c r="C8107" s="1" t="s">
        <v>3600</v>
      </c>
      <c r="D8107" s="1" t="s">
        <v>3610</v>
      </c>
      <c r="E8107" s="1" t="s">
        <v>3664</v>
      </c>
      <c r="F8107" s="1" t="s">
        <v>27242</v>
      </c>
      <c r="G8107" s="1" t="s">
        <v>27240</v>
      </c>
      <c r="H8107" s="1" t="s">
        <v>3604</v>
      </c>
      <c r="I8107" s="1" t="s">
        <v>27243</v>
      </c>
      <c r="J8107" s="1" t="s">
        <v>3615</v>
      </c>
      <c r="K8107" s="1" t="s">
        <v>26695</v>
      </c>
      <c r="L8107" s="1"/>
      <c r="M8107" s="1"/>
    </row>
    <row x14ac:dyDescent="0.25" r="8108" customHeight="1" ht="18.75">
      <c r="A8108" s="1" t="s">
        <v>3598</v>
      </c>
      <c r="B8108" s="1" t="s">
        <v>20557</v>
      </c>
      <c r="C8108" s="1" t="s">
        <v>3600</v>
      </c>
      <c r="D8108" s="1" t="s">
        <v>3610</v>
      </c>
      <c r="E8108" s="1" t="s">
        <v>3664</v>
      </c>
      <c r="F8108" s="1" t="s">
        <v>27244</v>
      </c>
      <c r="G8108" s="1" t="s">
        <v>27245</v>
      </c>
      <c r="H8108" s="1" t="s">
        <v>3604</v>
      </c>
      <c r="I8108" s="1" t="s">
        <v>27246</v>
      </c>
      <c r="J8108" s="1" t="s">
        <v>3615</v>
      </c>
      <c r="K8108" s="1" t="s">
        <v>27247</v>
      </c>
      <c r="L8108" s="1"/>
      <c r="M8108" s="1"/>
    </row>
    <row x14ac:dyDescent="0.25" r="8109" customHeight="1" ht="18.75">
      <c r="A8109" s="1" t="s">
        <v>3598</v>
      </c>
      <c r="B8109" s="1" t="s">
        <v>20557</v>
      </c>
      <c r="C8109" s="1" t="s">
        <v>3600</v>
      </c>
      <c r="D8109" s="1" t="s">
        <v>3610</v>
      </c>
      <c r="E8109" s="1" t="s">
        <v>3664</v>
      </c>
      <c r="F8109" s="1" t="s">
        <v>27248</v>
      </c>
      <c r="G8109" s="1" t="s">
        <v>27245</v>
      </c>
      <c r="H8109" s="1" t="s">
        <v>3604</v>
      </c>
      <c r="I8109" s="1" t="s">
        <v>27249</v>
      </c>
      <c r="J8109" s="1" t="s">
        <v>3615</v>
      </c>
      <c r="K8109" s="1" t="s">
        <v>27250</v>
      </c>
      <c r="L8109" s="1"/>
      <c r="M8109" s="1"/>
    </row>
    <row x14ac:dyDescent="0.25" r="8110" customHeight="1" ht="18.75">
      <c r="A8110" s="1" t="s">
        <v>3598</v>
      </c>
      <c r="B8110" s="1" t="s">
        <v>20557</v>
      </c>
      <c r="C8110" s="1" t="s">
        <v>3600</v>
      </c>
      <c r="D8110" s="1" t="s">
        <v>3610</v>
      </c>
      <c r="E8110" s="1" t="s">
        <v>3664</v>
      </c>
      <c r="F8110" s="1" t="s">
        <v>27251</v>
      </c>
      <c r="G8110" s="1" t="s">
        <v>27245</v>
      </c>
      <c r="H8110" s="1" t="s">
        <v>3604</v>
      </c>
      <c r="I8110" s="1" t="s">
        <v>27252</v>
      </c>
      <c r="J8110" s="1" t="s">
        <v>3615</v>
      </c>
      <c r="K8110" s="1" t="s">
        <v>27253</v>
      </c>
      <c r="L8110" s="1"/>
      <c r="M8110" s="1"/>
    </row>
    <row x14ac:dyDescent="0.25" r="8111" customHeight="1" ht="18.75">
      <c r="A8111" s="1" t="s">
        <v>3598</v>
      </c>
      <c r="B8111" s="1" t="s">
        <v>20557</v>
      </c>
      <c r="C8111" s="1" t="s">
        <v>3600</v>
      </c>
      <c r="D8111" s="1" t="s">
        <v>3610</v>
      </c>
      <c r="E8111" s="1" t="s">
        <v>3664</v>
      </c>
      <c r="F8111" s="1" t="s">
        <v>27254</v>
      </c>
      <c r="G8111" s="1" t="s">
        <v>27245</v>
      </c>
      <c r="H8111" s="1" t="s">
        <v>3604</v>
      </c>
      <c r="I8111" s="1" t="s">
        <v>27255</v>
      </c>
      <c r="J8111" s="1" t="s">
        <v>3615</v>
      </c>
      <c r="K8111" s="1" t="s">
        <v>27256</v>
      </c>
      <c r="L8111" s="1"/>
      <c r="M8111" s="1"/>
    </row>
    <row x14ac:dyDescent="0.25" r="8112" customHeight="1" ht="18.75">
      <c r="A8112" s="1" t="s">
        <v>3693</v>
      </c>
      <c r="B8112" s="1" t="s">
        <v>6981</v>
      </c>
      <c r="C8112" s="1" t="s">
        <v>3600</v>
      </c>
      <c r="D8112" s="1" t="s">
        <v>533</v>
      </c>
      <c r="E8112" s="1" t="s">
        <v>3664</v>
      </c>
      <c r="F8112" s="1" t="s">
        <v>27257</v>
      </c>
      <c r="G8112" s="1" t="s">
        <v>10511</v>
      </c>
      <c r="H8112" s="1" t="s">
        <v>3604</v>
      </c>
      <c r="I8112" s="1" t="s">
        <v>27258</v>
      </c>
      <c r="J8112" s="1" t="s">
        <v>3615</v>
      </c>
      <c r="K8112" s="1" t="s">
        <v>27259</v>
      </c>
      <c r="L8112" s="1"/>
      <c r="M8112" s="1"/>
    </row>
    <row x14ac:dyDescent="0.25" r="8113" customHeight="1" ht="18.75">
      <c r="A8113" s="1" t="s">
        <v>3598</v>
      </c>
      <c r="B8113" s="1" t="s">
        <v>20557</v>
      </c>
      <c r="C8113" s="1" t="s">
        <v>3600</v>
      </c>
      <c r="D8113" s="1" t="s">
        <v>3610</v>
      </c>
      <c r="E8113" s="1" t="s">
        <v>3664</v>
      </c>
      <c r="F8113" s="1" t="s">
        <v>27260</v>
      </c>
      <c r="G8113" s="1" t="s">
        <v>27245</v>
      </c>
      <c r="H8113" s="1" t="s">
        <v>3604</v>
      </c>
      <c r="I8113" s="1" t="s">
        <v>27261</v>
      </c>
      <c r="J8113" s="1" t="s">
        <v>3615</v>
      </c>
      <c r="K8113" s="1" t="s">
        <v>27262</v>
      </c>
      <c r="L8113" s="1"/>
      <c r="M8113" s="1"/>
    </row>
    <row x14ac:dyDescent="0.25" r="8114" customHeight="1" ht="18.75">
      <c r="A8114" s="1" t="s">
        <v>3598</v>
      </c>
      <c r="B8114" s="1" t="s">
        <v>20557</v>
      </c>
      <c r="C8114" s="1" t="s">
        <v>3600</v>
      </c>
      <c r="D8114" s="1" t="s">
        <v>3610</v>
      </c>
      <c r="E8114" s="1" t="s">
        <v>3664</v>
      </c>
      <c r="F8114" s="1" t="s">
        <v>27263</v>
      </c>
      <c r="G8114" s="1" t="s">
        <v>27245</v>
      </c>
      <c r="H8114" s="1" t="s">
        <v>3604</v>
      </c>
      <c r="I8114" s="1" t="s">
        <v>27264</v>
      </c>
      <c r="J8114" s="1" t="s">
        <v>3615</v>
      </c>
      <c r="K8114" s="1" t="s">
        <v>27265</v>
      </c>
      <c r="L8114" s="1"/>
      <c r="M8114" s="1"/>
    </row>
    <row x14ac:dyDescent="0.25" r="8115" customHeight="1" ht="18.75">
      <c r="A8115" s="1" t="s">
        <v>3693</v>
      </c>
      <c r="B8115" s="1" t="s">
        <v>4257</v>
      </c>
      <c r="C8115" s="1" t="s">
        <v>3619</v>
      </c>
      <c r="D8115" s="1" t="s">
        <v>533</v>
      </c>
      <c r="E8115" s="1" t="s">
        <v>3664</v>
      </c>
      <c r="F8115" s="1" t="s">
        <v>27266</v>
      </c>
      <c r="G8115" s="1" t="s">
        <v>27267</v>
      </c>
      <c r="H8115" s="1" t="s">
        <v>3604</v>
      </c>
      <c r="I8115" s="1" t="s">
        <v>27268</v>
      </c>
      <c r="J8115" s="1" t="s">
        <v>3615</v>
      </c>
      <c r="K8115" s="1" t="s">
        <v>27269</v>
      </c>
      <c r="L8115" s="1"/>
      <c r="M8115" s="1"/>
    </row>
    <row x14ac:dyDescent="0.25" r="8116" customHeight="1" ht="18.75">
      <c r="A8116" s="1" t="s">
        <v>3598</v>
      </c>
      <c r="B8116" s="1" t="s">
        <v>20557</v>
      </c>
      <c r="C8116" s="1" t="s">
        <v>3600</v>
      </c>
      <c r="D8116" s="1" t="s">
        <v>3610</v>
      </c>
      <c r="E8116" s="1" t="s">
        <v>3664</v>
      </c>
      <c r="F8116" s="1" t="s">
        <v>27270</v>
      </c>
      <c r="G8116" s="1" t="s">
        <v>27271</v>
      </c>
      <c r="H8116" s="1" t="s">
        <v>3604</v>
      </c>
      <c r="I8116" s="1" t="s">
        <v>27272</v>
      </c>
      <c r="J8116" s="1" t="s">
        <v>3615</v>
      </c>
      <c r="K8116" s="1" t="s">
        <v>27273</v>
      </c>
      <c r="L8116" s="1"/>
      <c r="M8116" s="1"/>
    </row>
    <row x14ac:dyDescent="0.25" r="8117" customHeight="1" ht="18.75">
      <c r="A8117" s="1" t="s">
        <v>3598</v>
      </c>
      <c r="B8117" s="1" t="s">
        <v>20557</v>
      </c>
      <c r="C8117" s="1" t="s">
        <v>3600</v>
      </c>
      <c r="D8117" s="1" t="s">
        <v>3610</v>
      </c>
      <c r="E8117" s="1" t="s">
        <v>3664</v>
      </c>
      <c r="F8117" s="1" t="s">
        <v>27274</v>
      </c>
      <c r="G8117" s="1" t="s">
        <v>27271</v>
      </c>
      <c r="H8117" s="1" t="s">
        <v>3604</v>
      </c>
      <c r="I8117" s="1" t="s">
        <v>27275</v>
      </c>
      <c r="J8117" s="1" t="s">
        <v>3615</v>
      </c>
      <c r="K8117" s="1" t="s">
        <v>27276</v>
      </c>
      <c r="L8117" s="1"/>
      <c r="M8117" s="1"/>
    </row>
    <row x14ac:dyDescent="0.25" r="8118" customHeight="1" ht="18.75">
      <c r="A8118" s="1" t="s">
        <v>3598</v>
      </c>
      <c r="B8118" s="1" t="s">
        <v>20557</v>
      </c>
      <c r="C8118" s="1" t="s">
        <v>3600</v>
      </c>
      <c r="D8118" s="1" t="s">
        <v>3610</v>
      </c>
      <c r="E8118" s="1" t="s">
        <v>3664</v>
      </c>
      <c r="F8118" s="1" t="s">
        <v>27277</v>
      </c>
      <c r="G8118" s="1" t="s">
        <v>27271</v>
      </c>
      <c r="H8118" s="1" t="s">
        <v>3604</v>
      </c>
      <c r="I8118" s="1" t="s">
        <v>27278</v>
      </c>
      <c r="J8118" s="1" t="s">
        <v>3615</v>
      </c>
      <c r="K8118" s="1" t="s">
        <v>27279</v>
      </c>
      <c r="L8118" s="1"/>
      <c r="M8118" s="1"/>
    </row>
    <row x14ac:dyDescent="0.25" r="8119" customHeight="1" ht="18.75">
      <c r="A8119" s="1" t="s">
        <v>3693</v>
      </c>
      <c r="B8119" s="1" t="s">
        <v>4263</v>
      </c>
      <c r="C8119" s="1" t="s">
        <v>3619</v>
      </c>
      <c r="D8119" s="1" t="s">
        <v>533</v>
      </c>
      <c r="E8119" s="1" t="s">
        <v>3664</v>
      </c>
      <c r="F8119" s="1" t="s">
        <v>27280</v>
      </c>
      <c r="G8119" s="1" t="s">
        <v>9396</v>
      </c>
      <c r="H8119" s="1" t="s">
        <v>3604</v>
      </c>
      <c r="I8119" s="1" t="s">
        <v>27281</v>
      </c>
      <c r="J8119" s="1" t="s">
        <v>3615</v>
      </c>
      <c r="K8119" s="1" t="s">
        <v>27282</v>
      </c>
      <c r="L8119" s="1"/>
      <c r="M8119" s="1"/>
    </row>
    <row x14ac:dyDescent="0.25" r="8120" customHeight="1" ht="18.75">
      <c r="A8120" s="1" t="s">
        <v>3598</v>
      </c>
      <c r="B8120" s="1" t="s">
        <v>20557</v>
      </c>
      <c r="C8120" s="1" t="s">
        <v>3600</v>
      </c>
      <c r="D8120" s="1" t="s">
        <v>3610</v>
      </c>
      <c r="E8120" s="1" t="s">
        <v>3664</v>
      </c>
      <c r="F8120" s="1" t="s">
        <v>27283</v>
      </c>
      <c r="G8120" s="1" t="s">
        <v>27271</v>
      </c>
      <c r="H8120" s="1" t="s">
        <v>3604</v>
      </c>
      <c r="I8120" s="1" t="s">
        <v>27284</v>
      </c>
      <c r="J8120" s="1" t="s">
        <v>3615</v>
      </c>
      <c r="K8120" s="1" t="s">
        <v>27285</v>
      </c>
      <c r="L8120" s="1"/>
      <c r="M8120" s="1"/>
    </row>
    <row x14ac:dyDescent="0.25" r="8121" customHeight="1" ht="18.75">
      <c r="A8121" s="1" t="s">
        <v>3598</v>
      </c>
      <c r="B8121" s="1" t="s">
        <v>20557</v>
      </c>
      <c r="C8121" s="1" t="s">
        <v>3600</v>
      </c>
      <c r="D8121" s="1" t="s">
        <v>3610</v>
      </c>
      <c r="E8121" s="1" t="s">
        <v>3664</v>
      </c>
      <c r="F8121" s="1" t="s">
        <v>27286</v>
      </c>
      <c r="G8121" s="1" t="s">
        <v>27271</v>
      </c>
      <c r="H8121" s="1" t="s">
        <v>3604</v>
      </c>
      <c r="I8121" s="1" t="s">
        <v>27287</v>
      </c>
      <c r="J8121" s="1" t="s">
        <v>3615</v>
      </c>
      <c r="K8121" s="1" t="s">
        <v>27288</v>
      </c>
      <c r="L8121" s="1"/>
      <c r="M8121" s="1"/>
    </row>
    <row x14ac:dyDescent="0.25" r="8122" customHeight="1" ht="18.75">
      <c r="A8122" s="1" t="s">
        <v>3598</v>
      </c>
      <c r="B8122" s="1" t="s">
        <v>20557</v>
      </c>
      <c r="C8122" s="1" t="s">
        <v>3600</v>
      </c>
      <c r="D8122" s="1" t="s">
        <v>3610</v>
      </c>
      <c r="E8122" s="1" t="s">
        <v>3664</v>
      </c>
      <c r="F8122" s="1" t="s">
        <v>27289</v>
      </c>
      <c r="G8122" s="1" t="s">
        <v>27271</v>
      </c>
      <c r="H8122" s="1" t="s">
        <v>3604</v>
      </c>
      <c r="I8122" s="1" t="s">
        <v>27290</v>
      </c>
      <c r="J8122" s="1" t="s">
        <v>3615</v>
      </c>
      <c r="K8122" s="1" t="s">
        <v>27291</v>
      </c>
      <c r="L8122" s="1"/>
      <c r="M8122" s="1"/>
    </row>
    <row x14ac:dyDescent="0.25" r="8123" customHeight="1" ht="18.75">
      <c r="A8123" s="1" t="s">
        <v>3693</v>
      </c>
      <c r="B8123" s="1" t="s">
        <v>7077</v>
      </c>
      <c r="C8123" s="1" t="s">
        <v>3600</v>
      </c>
      <c r="D8123" s="1" t="s">
        <v>533</v>
      </c>
      <c r="E8123" s="1" t="s">
        <v>3664</v>
      </c>
      <c r="F8123" s="1" t="s">
        <v>27292</v>
      </c>
      <c r="G8123" s="1" t="s">
        <v>7079</v>
      </c>
      <c r="H8123" s="1" t="s">
        <v>3604</v>
      </c>
      <c r="I8123" s="1" t="s">
        <v>27293</v>
      </c>
      <c r="J8123" s="1" t="s">
        <v>3615</v>
      </c>
      <c r="K8123" s="1" t="s">
        <v>27294</v>
      </c>
      <c r="L8123" s="1"/>
      <c r="M8123" s="1"/>
    </row>
    <row x14ac:dyDescent="0.25" r="8124" customHeight="1" ht="18.75">
      <c r="A8124" s="1" t="s">
        <v>3598</v>
      </c>
      <c r="B8124" s="1" t="s">
        <v>20557</v>
      </c>
      <c r="C8124" s="1" t="s">
        <v>3600</v>
      </c>
      <c r="D8124" s="1" t="s">
        <v>3610</v>
      </c>
      <c r="E8124" s="1" t="s">
        <v>3664</v>
      </c>
      <c r="F8124" s="1" t="s">
        <v>27295</v>
      </c>
      <c r="G8124" s="1" t="s">
        <v>20559</v>
      </c>
      <c r="H8124" s="1" t="s">
        <v>3604</v>
      </c>
      <c r="I8124" s="1" t="s">
        <v>27296</v>
      </c>
      <c r="J8124" s="1" t="s">
        <v>3615</v>
      </c>
      <c r="K8124" s="1" t="s">
        <v>26707</v>
      </c>
      <c r="L8124" s="1"/>
      <c r="M8124" s="1"/>
    </row>
    <row x14ac:dyDescent="0.25" r="8125" customHeight="1" ht="18.75">
      <c r="A8125" s="1" t="s">
        <v>3598</v>
      </c>
      <c r="B8125" s="1" t="s">
        <v>20557</v>
      </c>
      <c r="C8125" s="1" t="s">
        <v>3600</v>
      </c>
      <c r="D8125" s="1" t="s">
        <v>3610</v>
      </c>
      <c r="E8125" s="1" t="s">
        <v>3664</v>
      </c>
      <c r="F8125" s="1" t="s">
        <v>27297</v>
      </c>
      <c r="G8125" s="1" t="s">
        <v>20559</v>
      </c>
      <c r="H8125" s="1" t="s">
        <v>3604</v>
      </c>
      <c r="I8125" s="1" t="s">
        <v>27298</v>
      </c>
      <c r="J8125" s="1" t="s">
        <v>3615</v>
      </c>
      <c r="K8125" s="1" t="s">
        <v>26710</v>
      </c>
      <c r="L8125" s="1"/>
      <c r="M8125" s="1"/>
    </row>
    <row x14ac:dyDescent="0.25" r="8126" customHeight="1" ht="18.75">
      <c r="A8126" s="1" t="s">
        <v>3598</v>
      </c>
      <c r="B8126" s="1" t="s">
        <v>20557</v>
      </c>
      <c r="C8126" s="1" t="s">
        <v>3600</v>
      </c>
      <c r="D8126" s="1" t="s">
        <v>3610</v>
      </c>
      <c r="E8126" s="1" t="s">
        <v>3664</v>
      </c>
      <c r="F8126" s="1" t="s">
        <v>27299</v>
      </c>
      <c r="G8126" s="1" t="s">
        <v>20559</v>
      </c>
      <c r="H8126" s="1" t="s">
        <v>3604</v>
      </c>
      <c r="I8126" s="1" t="s">
        <v>27300</v>
      </c>
      <c r="J8126" s="1" t="s">
        <v>3615</v>
      </c>
      <c r="K8126" s="1" t="s">
        <v>26713</v>
      </c>
      <c r="L8126" s="1"/>
      <c r="M8126" s="1"/>
    </row>
    <row x14ac:dyDescent="0.25" r="8127" customHeight="1" ht="18.75">
      <c r="A8127" s="1" t="s">
        <v>3598</v>
      </c>
      <c r="B8127" s="1" t="s">
        <v>20557</v>
      </c>
      <c r="C8127" s="1" t="s">
        <v>3600</v>
      </c>
      <c r="D8127" s="1" t="s">
        <v>3610</v>
      </c>
      <c r="E8127" s="1" t="s">
        <v>3664</v>
      </c>
      <c r="F8127" s="1" t="s">
        <v>27301</v>
      </c>
      <c r="G8127" s="1" t="s">
        <v>20559</v>
      </c>
      <c r="H8127" s="1" t="s">
        <v>3604</v>
      </c>
      <c r="I8127" s="1" t="s">
        <v>27302</v>
      </c>
      <c r="J8127" s="1" t="s">
        <v>3615</v>
      </c>
      <c r="K8127" s="1" t="s">
        <v>26716</v>
      </c>
      <c r="L8127" s="1"/>
      <c r="M8127" s="1"/>
    </row>
    <row x14ac:dyDescent="0.25" r="8128" customHeight="1" ht="18.75">
      <c r="A8128" s="1" t="s">
        <v>3693</v>
      </c>
      <c r="B8128" s="1" t="s">
        <v>4332</v>
      </c>
      <c r="C8128" s="1" t="s">
        <v>3600</v>
      </c>
      <c r="D8128" s="1" t="s">
        <v>533</v>
      </c>
      <c r="E8128" s="1" t="s">
        <v>3752</v>
      </c>
      <c r="F8128" s="1" t="s">
        <v>27303</v>
      </c>
      <c r="G8128" s="1" t="s">
        <v>27304</v>
      </c>
      <c r="H8128" s="1" t="s">
        <v>3604</v>
      </c>
      <c r="I8128" s="1" t="s">
        <v>27305</v>
      </c>
      <c r="J8128" s="1" t="s">
        <v>3615</v>
      </c>
      <c r="K8128" s="1" t="s">
        <v>27306</v>
      </c>
      <c r="L8128" s="1"/>
      <c r="M8128" s="1"/>
    </row>
    <row x14ac:dyDescent="0.25" r="8129" customHeight="1" ht="18.75">
      <c r="A8129" s="1" t="s">
        <v>3598</v>
      </c>
      <c r="B8129" s="1" t="s">
        <v>20557</v>
      </c>
      <c r="C8129" s="1" t="s">
        <v>3600</v>
      </c>
      <c r="D8129" s="1" t="s">
        <v>3610</v>
      </c>
      <c r="E8129" s="1" t="s">
        <v>3664</v>
      </c>
      <c r="F8129" s="1" t="s">
        <v>27307</v>
      </c>
      <c r="G8129" s="1" t="s">
        <v>20559</v>
      </c>
      <c r="H8129" s="1" t="s">
        <v>3604</v>
      </c>
      <c r="I8129" s="1" t="s">
        <v>27308</v>
      </c>
      <c r="J8129" s="1" t="s">
        <v>3615</v>
      </c>
      <c r="K8129" s="1" t="s">
        <v>26719</v>
      </c>
      <c r="L8129" s="1"/>
      <c r="M8129" s="1"/>
    </row>
    <row x14ac:dyDescent="0.25" r="8130" customHeight="1" ht="18.75">
      <c r="A8130" s="1" t="s">
        <v>3598</v>
      </c>
      <c r="B8130" s="1" t="s">
        <v>20557</v>
      </c>
      <c r="C8130" s="1" t="s">
        <v>3600</v>
      </c>
      <c r="D8130" s="1" t="s">
        <v>3610</v>
      </c>
      <c r="E8130" s="1" t="s">
        <v>3664</v>
      </c>
      <c r="F8130" s="1" t="s">
        <v>27309</v>
      </c>
      <c r="G8130" s="1" t="s">
        <v>20559</v>
      </c>
      <c r="H8130" s="1" t="s">
        <v>3604</v>
      </c>
      <c r="I8130" s="1" t="s">
        <v>27310</v>
      </c>
      <c r="J8130" s="1" t="s">
        <v>3615</v>
      </c>
      <c r="K8130" s="1" t="s">
        <v>26722</v>
      </c>
      <c r="L8130" s="1"/>
      <c r="M8130" s="1"/>
    </row>
    <row x14ac:dyDescent="0.25" r="8131" customHeight="1" ht="18.75">
      <c r="A8131" s="1" t="s">
        <v>3598</v>
      </c>
      <c r="B8131" s="1" t="s">
        <v>20557</v>
      </c>
      <c r="C8131" s="1" t="s">
        <v>3600</v>
      </c>
      <c r="D8131" s="1" t="s">
        <v>3610</v>
      </c>
      <c r="E8131" s="1" t="s">
        <v>3664</v>
      </c>
      <c r="F8131" s="1" t="s">
        <v>27311</v>
      </c>
      <c r="G8131" s="1" t="s">
        <v>27312</v>
      </c>
      <c r="H8131" s="1" t="s">
        <v>3604</v>
      </c>
      <c r="I8131" s="1" t="s">
        <v>27313</v>
      </c>
      <c r="J8131" s="1" t="s">
        <v>3615</v>
      </c>
      <c r="K8131" s="1" t="s">
        <v>27314</v>
      </c>
      <c r="L8131" s="1"/>
      <c r="M8131" s="1"/>
    </row>
    <row x14ac:dyDescent="0.25" r="8132" customHeight="1" ht="18.75">
      <c r="A8132" s="1" t="s">
        <v>3598</v>
      </c>
      <c r="B8132" s="1" t="s">
        <v>20557</v>
      </c>
      <c r="C8132" s="1" t="s">
        <v>3600</v>
      </c>
      <c r="D8132" s="1" t="s">
        <v>3610</v>
      </c>
      <c r="E8132" s="1" t="s">
        <v>3664</v>
      </c>
      <c r="F8132" s="1" t="s">
        <v>27315</v>
      </c>
      <c r="G8132" s="1" t="s">
        <v>27312</v>
      </c>
      <c r="H8132" s="1" t="s">
        <v>3604</v>
      </c>
      <c r="I8132" s="1" t="s">
        <v>27316</v>
      </c>
      <c r="J8132" s="1" t="s">
        <v>3615</v>
      </c>
      <c r="K8132" s="1" t="s">
        <v>27317</v>
      </c>
      <c r="L8132" s="1"/>
      <c r="M8132" s="1"/>
    </row>
    <row x14ac:dyDescent="0.25" r="8133" customHeight="1" ht="18.75">
      <c r="A8133" s="1" t="s">
        <v>3598</v>
      </c>
      <c r="B8133" s="1" t="s">
        <v>20557</v>
      </c>
      <c r="C8133" s="1" t="s">
        <v>3600</v>
      </c>
      <c r="D8133" s="1" t="s">
        <v>3610</v>
      </c>
      <c r="E8133" s="1" t="s">
        <v>3664</v>
      </c>
      <c r="F8133" s="1" t="s">
        <v>27318</v>
      </c>
      <c r="G8133" s="1" t="s">
        <v>27312</v>
      </c>
      <c r="H8133" s="1" t="s">
        <v>3604</v>
      </c>
      <c r="I8133" s="1" t="s">
        <v>27319</v>
      </c>
      <c r="J8133" s="1" t="s">
        <v>3615</v>
      </c>
      <c r="K8133" s="1" t="s">
        <v>27320</v>
      </c>
      <c r="L8133" s="1"/>
      <c r="M8133" s="1"/>
    </row>
    <row x14ac:dyDescent="0.25" r="8134" customHeight="1" ht="18.75">
      <c r="A8134" s="1" t="s">
        <v>3598</v>
      </c>
      <c r="B8134" s="1" t="s">
        <v>20557</v>
      </c>
      <c r="C8134" s="1" t="s">
        <v>3600</v>
      </c>
      <c r="D8134" s="1" t="s">
        <v>3610</v>
      </c>
      <c r="E8134" s="1" t="s">
        <v>3664</v>
      </c>
      <c r="F8134" s="1" t="s">
        <v>27321</v>
      </c>
      <c r="G8134" s="1" t="s">
        <v>27312</v>
      </c>
      <c r="H8134" s="1" t="s">
        <v>3604</v>
      </c>
      <c r="I8134" s="1" t="s">
        <v>27322</v>
      </c>
      <c r="J8134" s="1" t="s">
        <v>3615</v>
      </c>
      <c r="K8134" s="1" t="s">
        <v>27323</v>
      </c>
      <c r="L8134" s="1"/>
      <c r="M8134" s="1"/>
    </row>
    <row x14ac:dyDescent="0.25" r="8135" customHeight="1" ht="18.75">
      <c r="A8135" s="1" t="s">
        <v>3693</v>
      </c>
      <c r="B8135" s="1" t="s">
        <v>4332</v>
      </c>
      <c r="C8135" s="1" t="s">
        <v>3600</v>
      </c>
      <c r="D8135" s="1" t="s">
        <v>533</v>
      </c>
      <c r="E8135" s="1" t="s">
        <v>3752</v>
      </c>
      <c r="F8135" s="1" t="s">
        <v>27324</v>
      </c>
      <c r="G8135" s="1" t="s">
        <v>27325</v>
      </c>
      <c r="H8135" s="1" t="s">
        <v>3604</v>
      </c>
      <c r="I8135" s="1" t="s">
        <v>27326</v>
      </c>
      <c r="J8135" s="1" t="s">
        <v>3615</v>
      </c>
      <c r="K8135" s="1" t="s">
        <v>27327</v>
      </c>
      <c r="L8135" s="1"/>
      <c r="M8135" s="1"/>
    </row>
    <row x14ac:dyDescent="0.25" r="8136" customHeight="1" ht="18.75">
      <c r="A8136" s="1" t="s">
        <v>3598</v>
      </c>
      <c r="B8136" s="1" t="s">
        <v>20557</v>
      </c>
      <c r="C8136" s="1" t="s">
        <v>3600</v>
      </c>
      <c r="D8136" s="1" t="s">
        <v>3610</v>
      </c>
      <c r="E8136" s="1" t="s">
        <v>3664</v>
      </c>
      <c r="F8136" s="1" t="s">
        <v>27328</v>
      </c>
      <c r="G8136" s="1" t="s">
        <v>27312</v>
      </c>
      <c r="H8136" s="1" t="s">
        <v>3604</v>
      </c>
      <c r="I8136" s="1" t="s">
        <v>27329</v>
      </c>
      <c r="J8136" s="1" t="s">
        <v>3615</v>
      </c>
      <c r="K8136" s="1" t="s">
        <v>27330</v>
      </c>
      <c r="L8136" s="1"/>
      <c r="M8136" s="1"/>
    </row>
    <row x14ac:dyDescent="0.25" r="8137" customHeight="1" ht="18.75">
      <c r="A8137" s="1" t="s">
        <v>3598</v>
      </c>
      <c r="B8137" s="1" t="s">
        <v>20557</v>
      </c>
      <c r="C8137" s="1" t="s">
        <v>3600</v>
      </c>
      <c r="D8137" s="1" t="s">
        <v>3610</v>
      </c>
      <c r="E8137" s="1" t="s">
        <v>3664</v>
      </c>
      <c r="F8137" s="1" t="s">
        <v>27331</v>
      </c>
      <c r="G8137" s="1" t="s">
        <v>27312</v>
      </c>
      <c r="H8137" s="1" t="s">
        <v>3604</v>
      </c>
      <c r="I8137" s="1" t="s">
        <v>27332</v>
      </c>
      <c r="J8137" s="1" t="s">
        <v>3615</v>
      </c>
      <c r="K8137" s="1" t="s">
        <v>27333</v>
      </c>
      <c r="L8137" s="1"/>
      <c r="M8137" s="1"/>
    </row>
    <row x14ac:dyDescent="0.25" r="8138" customHeight="1" ht="18.75">
      <c r="A8138" s="1" t="s">
        <v>3693</v>
      </c>
      <c r="B8138" s="1" t="s">
        <v>4332</v>
      </c>
      <c r="C8138" s="1" t="s">
        <v>3600</v>
      </c>
      <c r="D8138" s="1" t="s">
        <v>533</v>
      </c>
      <c r="E8138" s="1" t="s">
        <v>3752</v>
      </c>
      <c r="F8138" s="1" t="s">
        <v>27334</v>
      </c>
      <c r="G8138" s="1" t="s">
        <v>9382</v>
      </c>
      <c r="H8138" s="1" t="s">
        <v>3604</v>
      </c>
      <c r="I8138" s="1" t="s">
        <v>27335</v>
      </c>
      <c r="J8138" s="1" t="s">
        <v>3615</v>
      </c>
      <c r="K8138" s="1" t="s">
        <v>27336</v>
      </c>
      <c r="L8138" s="1"/>
      <c r="M8138" s="1"/>
    </row>
    <row x14ac:dyDescent="0.25" r="8139" customHeight="1" ht="18.75">
      <c r="A8139" s="1" t="s">
        <v>3693</v>
      </c>
      <c r="B8139" s="1" t="s">
        <v>3720</v>
      </c>
      <c r="C8139" s="1" t="s">
        <v>3619</v>
      </c>
      <c r="D8139" s="1" t="s">
        <v>533</v>
      </c>
      <c r="E8139" s="1" t="s">
        <v>3664</v>
      </c>
      <c r="F8139" s="1" t="s">
        <v>27337</v>
      </c>
      <c r="G8139" s="1" t="s">
        <v>6236</v>
      </c>
      <c r="H8139" s="1" t="s">
        <v>3604</v>
      </c>
      <c r="I8139" s="1" t="s">
        <v>27338</v>
      </c>
      <c r="J8139" s="1" t="s">
        <v>3615</v>
      </c>
      <c r="K8139" s="1" t="s">
        <v>27339</v>
      </c>
      <c r="L8139" s="1"/>
      <c r="M8139" s="1"/>
    </row>
    <row x14ac:dyDescent="0.25" r="8140" customHeight="1" ht="18.75">
      <c r="A8140" s="1" t="s">
        <v>3693</v>
      </c>
      <c r="B8140" s="1" t="s">
        <v>3720</v>
      </c>
      <c r="C8140" s="1" t="s">
        <v>3619</v>
      </c>
      <c r="D8140" s="1" t="s">
        <v>533</v>
      </c>
      <c r="E8140" s="1" t="s">
        <v>3664</v>
      </c>
      <c r="F8140" s="1" t="s">
        <v>27340</v>
      </c>
      <c r="G8140" s="1" t="s">
        <v>27341</v>
      </c>
      <c r="H8140" s="1" t="s">
        <v>3604</v>
      </c>
      <c r="I8140" s="1" t="s">
        <v>27342</v>
      </c>
      <c r="J8140" s="1" t="s">
        <v>3615</v>
      </c>
      <c r="K8140" s="1" t="s">
        <v>27343</v>
      </c>
      <c r="L8140" s="1"/>
      <c r="M8140" s="1"/>
    </row>
    <row x14ac:dyDescent="0.25" r="8141" customHeight="1" ht="18.75">
      <c r="A8141" s="1" t="s">
        <v>3693</v>
      </c>
      <c r="B8141" s="1" t="s">
        <v>3720</v>
      </c>
      <c r="C8141" s="1" t="s">
        <v>3619</v>
      </c>
      <c r="D8141" s="1" t="s">
        <v>533</v>
      </c>
      <c r="E8141" s="1" t="s">
        <v>3664</v>
      </c>
      <c r="F8141" s="1" t="s">
        <v>27344</v>
      </c>
      <c r="G8141" s="1" t="s">
        <v>27098</v>
      </c>
      <c r="H8141" s="1" t="s">
        <v>3604</v>
      </c>
      <c r="I8141" s="1" t="s">
        <v>27345</v>
      </c>
      <c r="J8141" s="1" t="s">
        <v>3615</v>
      </c>
      <c r="K8141" s="1" t="s">
        <v>27346</v>
      </c>
      <c r="L8141" s="1"/>
      <c r="M8141" s="1"/>
    </row>
    <row x14ac:dyDescent="0.25" r="8142" customHeight="1" ht="18.75">
      <c r="A8142" s="1" t="s">
        <v>3598</v>
      </c>
      <c r="B8142" s="1" t="s">
        <v>3751</v>
      </c>
      <c r="C8142" s="1" t="s">
        <v>3600</v>
      </c>
      <c r="D8142" s="1" t="s">
        <v>3610</v>
      </c>
      <c r="E8142" s="1" t="s">
        <v>3752</v>
      </c>
      <c r="F8142" s="1" t="s">
        <v>27347</v>
      </c>
      <c r="G8142" s="1" t="s">
        <v>20362</v>
      </c>
      <c r="H8142" s="1" t="s">
        <v>3604</v>
      </c>
      <c r="I8142" s="1" t="s">
        <v>27348</v>
      </c>
      <c r="J8142" s="1" t="s">
        <v>3615</v>
      </c>
      <c r="K8142" s="1" t="s">
        <v>26944</v>
      </c>
      <c r="L8142" s="1"/>
      <c r="M8142" s="1"/>
    </row>
    <row x14ac:dyDescent="0.25" r="8143" customHeight="1" ht="18.75">
      <c r="A8143" s="1" t="s">
        <v>3693</v>
      </c>
      <c r="B8143" s="1" t="s">
        <v>3720</v>
      </c>
      <c r="C8143" s="1" t="s">
        <v>3619</v>
      </c>
      <c r="D8143" s="1" t="s">
        <v>533</v>
      </c>
      <c r="E8143" s="1" t="s">
        <v>3664</v>
      </c>
      <c r="F8143" s="1" t="s">
        <v>27349</v>
      </c>
      <c r="G8143" s="1" t="s">
        <v>27350</v>
      </c>
      <c r="H8143" s="1" t="s">
        <v>3604</v>
      </c>
      <c r="I8143" s="1" t="s">
        <v>27351</v>
      </c>
      <c r="J8143" s="1" t="s">
        <v>3615</v>
      </c>
      <c r="K8143" s="1" t="s">
        <v>27352</v>
      </c>
      <c r="L8143" s="1"/>
      <c r="M8143" s="1"/>
    </row>
    <row x14ac:dyDescent="0.25" r="8144" customHeight="1" ht="18.75">
      <c r="A8144" s="1" t="s">
        <v>3598</v>
      </c>
      <c r="B8144" s="1" t="s">
        <v>3751</v>
      </c>
      <c r="C8144" s="1" t="s">
        <v>3600</v>
      </c>
      <c r="D8144" s="1" t="s">
        <v>3610</v>
      </c>
      <c r="E8144" s="1" t="s">
        <v>3752</v>
      </c>
      <c r="F8144" s="1" t="s">
        <v>27353</v>
      </c>
      <c r="G8144" s="1" t="s">
        <v>20362</v>
      </c>
      <c r="H8144" s="1" t="s">
        <v>3604</v>
      </c>
      <c r="I8144" s="1" t="s">
        <v>27354</v>
      </c>
      <c r="J8144" s="1" t="s">
        <v>3615</v>
      </c>
      <c r="K8144" s="1" t="s">
        <v>26781</v>
      </c>
      <c r="L8144" s="1"/>
      <c r="M8144" s="1"/>
    </row>
    <row x14ac:dyDescent="0.25" r="8145" customHeight="1" ht="18.75">
      <c r="A8145" s="1" t="s">
        <v>3598</v>
      </c>
      <c r="B8145" s="1" t="s">
        <v>3751</v>
      </c>
      <c r="C8145" s="1" t="s">
        <v>3600</v>
      </c>
      <c r="D8145" s="1" t="s">
        <v>3610</v>
      </c>
      <c r="E8145" s="1" t="s">
        <v>3752</v>
      </c>
      <c r="F8145" s="1" t="s">
        <v>27355</v>
      </c>
      <c r="G8145" s="1" t="s">
        <v>20362</v>
      </c>
      <c r="H8145" s="1" t="s">
        <v>3604</v>
      </c>
      <c r="I8145" s="1" t="s">
        <v>27356</v>
      </c>
      <c r="J8145" s="1" t="s">
        <v>3615</v>
      </c>
      <c r="K8145" s="1" t="s">
        <v>26784</v>
      </c>
      <c r="L8145" s="1"/>
      <c r="M8145" s="1"/>
    </row>
    <row x14ac:dyDescent="0.25" r="8146" customHeight="1" ht="18.75">
      <c r="A8146" s="1" t="s">
        <v>3693</v>
      </c>
      <c r="B8146" s="1" t="s">
        <v>6975</v>
      </c>
      <c r="C8146" s="1" t="s">
        <v>3600</v>
      </c>
      <c r="D8146" s="1" t="s">
        <v>533</v>
      </c>
      <c r="E8146" s="1" t="s">
        <v>3752</v>
      </c>
      <c r="F8146" s="1" t="s">
        <v>27357</v>
      </c>
      <c r="G8146" s="1" t="s">
        <v>9382</v>
      </c>
      <c r="H8146" s="1" t="s">
        <v>3604</v>
      </c>
      <c r="I8146" s="1" t="s">
        <v>27358</v>
      </c>
      <c r="J8146" s="1" t="s">
        <v>3615</v>
      </c>
      <c r="K8146" s="1" t="s">
        <v>27359</v>
      </c>
      <c r="L8146" s="1"/>
      <c r="M8146" s="1"/>
    </row>
    <row x14ac:dyDescent="0.25" r="8147" customHeight="1" ht="18.75">
      <c r="A8147" s="1" t="s">
        <v>3598</v>
      </c>
      <c r="B8147" s="1" t="s">
        <v>3751</v>
      </c>
      <c r="C8147" s="1" t="s">
        <v>3600</v>
      </c>
      <c r="D8147" s="1" t="s">
        <v>3610</v>
      </c>
      <c r="E8147" s="1" t="s">
        <v>3752</v>
      </c>
      <c r="F8147" s="1" t="s">
        <v>27360</v>
      </c>
      <c r="G8147" s="1" t="s">
        <v>16153</v>
      </c>
      <c r="H8147" s="1" t="s">
        <v>3604</v>
      </c>
      <c r="I8147" s="1" t="s">
        <v>27361</v>
      </c>
      <c r="J8147" s="1" t="s">
        <v>3615</v>
      </c>
      <c r="K8147" s="1" t="s">
        <v>27362</v>
      </c>
      <c r="L8147" s="1"/>
      <c r="M8147" s="1"/>
    </row>
    <row x14ac:dyDescent="0.25" r="8148" customHeight="1" ht="18.75">
      <c r="A8148" s="1" t="s">
        <v>3598</v>
      </c>
      <c r="B8148" s="1" t="s">
        <v>3751</v>
      </c>
      <c r="C8148" s="1" t="s">
        <v>3600</v>
      </c>
      <c r="D8148" s="1" t="s">
        <v>3610</v>
      </c>
      <c r="E8148" s="1" t="s">
        <v>3752</v>
      </c>
      <c r="F8148" s="1" t="s">
        <v>27363</v>
      </c>
      <c r="G8148" s="1" t="s">
        <v>16153</v>
      </c>
      <c r="H8148" s="1" t="s">
        <v>3604</v>
      </c>
      <c r="I8148" s="1" t="s">
        <v>27364</v>
      </c>
      <c r="J8148" s="1" t="s">
        <v>3615</v>
      </c>
      <c r="K8148" s="1" t="s">
        <v>27365</v>
      </c>
      <c r="L8148" s="1"/>
      <c r="M8148" s="1"/>
    </row>
    <row x14ac:dyDescent="0.25" r="8149" customHeight="1" ht="18.75">
      <c r="A8149" s="1" t="s">
        <v>3598</v>
      </c>
      <c r="B8149" s="1" t="s">
        <v>3751</v>
      </c>
      <c r="C8149" s="1" t="s">
        <v>3600</v>
      </c>
      <c r="D8149" s="1" t="s">
        <v>3610</v>
      </c>
      <c r="E8149" s="1" t="s">
        <v>3752</v>
      </c>
      <c r="F8149" s="1" t="s">
        <v>27366</v>
      </c>
      <c r="G8149" s="1" t="s">
        <v>16153</v>
      </c>
      <c r="H8149" s="1" t="s">
        <v>3604</v>
      </c>
      <c r="I8149" s="1" t="s">
        <v>27367</v>
      </c>
      <c r="J8149" s="1" t="s">
        <v>3615</v>
      </c>
      <c r="K8149" s="1" t="s">
        <v>27368</v>
      </c>
      <c r="L8149" s="1"/>
      <c r="M8149" s="1"/>
    </row>
    <row x14ac:dyDescent="0.25" r="8150" customHeight="1" ht="18.75">
      <c r="A8150" s="1" t="s">
        <v>3693</v>
      </c>
      <c r="B8150" s="1" t="s">
        <v>6975</v>
      </c>
      <c r="C8150" s="1" t="s">
        <v>3600</v>
      </c>
      <c r="D8150" s="1" t="s">
        <v>533</v>
      </c>
      <c r="E8150" s="1" t="s">
        <v>3752</v>
      </c>
      <c r="F8150" s="1" t="s">
        <v>27369</v>
      </c>
      <c r="G8150" s="1" t="s">
        <v>10462</v>
      </c>
      <c r="H8150" s="1" t="s">
        <v>3604</v>
      </c>
      <c r="I8150" s="1" t="s">
        <v>27370</v>
      </c>
      <c r="J8150" s="1" t="s">
        <v>3615</v>
      </c>
      <c r="K8150" s="1" t="s">
        <v>27371</v>
      </c>
      <c r="L8150" s="1"/>
      <c r="M8150" s="1"/>
    </row>
    <row x14ac:dyDescent="0.25" r="8151" customHeight="1" ht="18.75">
      <c r="A8151" s="1" t="s">
        <v>3598</v>
      </c>
      <c r="B8151" s="1" t="s">
        <v>3751</v>
      </c>
      <c r="C8151" s="1" t="s">
        <v>3600</v>
      </c>
      <c r="D8151" s="1" t="s">
        <v>3610</v>
      </c>
      <c r="E8151" s="1" t="s">
        <v>3664</v>
      </c>
      <c r="F8151" s="1" t="s">
        <v>27372</v>
      </c>
      <c r="G8151" s="1" t="s">
        <v>26872</v>
      </c>
      <c r="H8151" s="1" t="s">
        <v>3604</v>
      </c>
      <c r="I8151" s="1" t="s">
        <v>27373</v>
      </c>
      <c r="J8151" s="1" t="s">
        <v>3615</v>
      </c>
      <c r="K8151" s="1" t="s">
        <v>26880</v>
      </c>
      <c r="L8151" s="1"/>
      <c r="M8151" s="1"/>
    </row>
    <row x14ac:dyDescent="0.25" r="8152" customHeight="1" ht="18.75">
      <c r="A8152" s="1" t="s">
        <v>3693</v>
      </c>
      <c r="B8152" s="1" t="s">
        <v>6975</v>
      </c>
      <c r="C8152" s="1" t="s">
        <v>3600</v>
      </c>
      <c r="D8152" s="1" t="s">
        <v>533</v>
      </c>
      <c r="E8152" s="1" t="s">
        <v>3752</v>
      </c>
      <c r="F8152" s="1" t="s">
        <v>27374</v>
      </c>
      <c r="G8152" s="1" t="s">
        <v>10457</v>
      </c>
      <c r="H8152" s="1" t="s">
        <v>3604</v>
      </c>
      <c r="I8152" s="1" t="s">
        <v>27375</v>
      </c>
      <c r="J8152" s="1" t="s">
        <v>3615</v>
      </c>
      <c r="K8152" s="1" t="s">
        <v>27376</v>
      </c>
      <c r="L8152" s="1"/>
      <c r="M8152" s="1"/>
    </row>
    <row x14ac:dyDescent="0.25" r="8153" customHeight="1" ht="18.75">
      <c r="A8153" s="1" t="s">
        <v>3598</v>
      </c>
      <c r="B8153" s="1" t="s">
        <v>3751</v>
      </c>
      <c r="C8153" s="1" t="s">
        <v>3600</v>
      </c>
      <c r="D8153" s="1" t="s">
        <v>3610</v>
      </c>
      <c r="E8153" s="1" t="s">
        <v>3664</v>
      </c>
      <c r="F8153" s="1" t="s">
        <v>27377</v>
      </c>
      <c r="G8153" s="1" t="s">
        <v>26872</v>
      </c>
      <c r="H8153" s="1" t="s">
        <v>3604</v>
      </c>
      <c r="I8153" s="1" t="s">
        <v>27378</v>
      </c>
      <c r="J8153" s="1" t="s">
        <v>3615</v>
      </c>
      <c r="K8153" s="1" t="s">
        <v>26883</v>
      </c>
      <c r="L8153" s="1"/>
      <c r="M8153" s="1"/>
    </row>
    <row x14ac:dyDescent="0.25" r="8154" customHeight="1" ht="18.75">
      <c r="A8154" s="1" t="s">
        <v>3598</v>
      </c>
      <c r="B8154" s="1" t="s">
        <v>3751</v>
      </c>
      <c r="C8154" s="1" t="s">
        <v>3600</v>
      </c>
      <c r="D8154" s="1" t="s">
        <v>3610</v>
      </c>
      <c r="E8154" s="1" t="s">
        <v>3664</v>
      </c>
      <c r="F8154" s="1" t="s">
        <v>27379</v>
      </c>
      <c r="G8154" s="1" t="s">
        <v>26872</v>
      </c>
      <c r="H8154" s="1" t="s">
        <v>3604</v>
      </c>
      <c r="I8154" s="1" t="s">
        <v>27380</v>
      </c>
      <c r="J8154" s="1" t="s">
        <v>3615</v>
      </c>
      <c r="K8154" s="1" t="s">
        <v>26886</v>
      </c>
      <c r="L8154" s="1"/>
      <c r="M8154" s="1"/>
    </row>
    <row x14ac:dyDescent="0.25" r="8155" customHeight="1" ht="18.75">
      <c r="A8155" s="1" t="s">
        <v>3693</v>
      </c>
      <c r="B8155" s="1" t="s">
        <v>6975</v>
      </c>
      <c r="C8155" s="1" t="s">
        <v>3600</v>
      </c>
      <c r="D8155" s="1" t="s">
        <v>533</v>
      </c>
      <c r="E8155" s="1" t="s">
        <v>3664</v>
      </c>
      <c r="F8155" s="1" t="s">
        <v>27381</v>
      </c>
      <c r="G8155" s="1" t="s">
        <v>6667</v>
      </c>
      <c r="H8155" s="1" t="s">
        <v>3604</v>
      </c>
      <c r="I8155" s="1" t="s">
        <v>27382</v>
      </c>
      <c r="J8155" s="1" t="s">
        <v>3615</v>
      </c>
      <c r="K8155" s="1" t="s">
        <v>27383</v>
      </c>
      <c r="L8155" s="1"/>
      <c r="M8155" s="1"/>
    </row>
    <row x14ac:dyDescent="0.25" r="8156" customHeight="1" ht="18.75">
      <c r="A8156" s="1" t="s">
        <v>3598</v>
      </c>
      <c r="B8156" s="1" t="s">
        <v>3751</v>
      </c>
      <c r="C8156" s="1" t="s">
        <v>3600</v>
      </c>
      <c r="D8156" s="1" t="s">
        <v>3610</v>
      </c>
      <c r="E8156" s="1" t="s">
        <v>3664</v>
      </c>
      <c r="F8156" s="1" t="s">
        <v>27384</v>
      </c>
      <c r="G8156" s="1" t="s">
        <v>27385</v>
      </c>
      <c r="H8156" s="1" t="s">
        <v>3604</v>
      </c>
      <c r="I8156" s="1" t="s">
        <v>27386</v>
      </c>
      <c r="J8156" s="1" t="s">
        <v>3615</v>
      </c>
      <c r="K8156" s="1" t="s">
        <v>26898</v>
      </c>
      <c r="L8156" s="1"/>
      <c r="M8156" s="1"/>
    </row>
    <row x14ac:dyDescent="0.25" r="8157" customHeight="1" ht="18.75">
      <c r="A8157" s="1" t="s">
        <v>3693</v>
      </c>
      <c r="B8157" s="1" t="s">
        <v>6975</v>
      </c>
      <c r="C8157" s="1" t="s">
        <v>3600</v>
      </c>
      <c r="D8157" s="1" t="s">
        <v>533</v>
      </c>
      <c r="E8157" s="1" t="s">
        <v>3664</v>
      </c>
      <c r="F8157" s="1" t="s">
        <v>27387</v>
      </c>
      <c r="G8157" s="1" t="s">
        <v>6977</v>
      </c>
      <c r="H8157" s="1" t="s">
        <v>3604</v>
      </c>
      <c r="I8157" s="1" t="s">
        <v>27388</v>
      </c>
      <c r="J8157" s="1" t="s">
        <v>3615</v>
      </c>
      <c r="K8157" s="1" t="s">
        <v>27389</v>
      </c>
      <c r="L8157" s="1"/>
      <c r="M8157" s="1"/>
    </row>
    <row x14ac:dyDescent="0.25" r="8158" customHeight="1" ht="18.75">
      <c r="A8158" s="1" t="s">
        <v>3598</v>
      </c>
      <c r="B8158" s="1" t="s">
        <v>3751</v>
      </c>
      <c r="C8158" s="1" t="s">
        <v>3600</v>
      </c>
      <c r="D8158" s="1" t="s">
        <v>3610</v>
      </c>
      <c r="E8158" s="1" t="s">
        <v>3664</v>
      </c>
      <c r="F8158" s="1" t="s">
        <v>27390</v>
      </c>
      <c r="G8158" s="1" t="s">
        <v>27385</v>
      </c>
      <c r="H8158" s="1" t="s">
        <v>3604</v>
      </c>
      <c r="I8158" s="1" t="s">
        <v>27391</v>
      </c>
      <c r="J8158" s="1" t="s">
        <v>3615</v>
      </c>
      <c r="K8158" s="1" t="s">
        <v>26901</v>
      </c>
      <c r="L8158" s="1"/>
      <c r="M8158" s="1"/>
    </row>
    <row x14ac:dyDescent="0.25" r="8159" customHeight="1" ht="18.75">
      <c r="A8159" s="1" t="s">
        <v>3693</v>
      </c>
      <c r="B8159" s="1" t="s">
        <v>6975</v>
      </c>
      <c r="C8159" s="1" t="s">
        <v>3600</v>
      </c>
      <c r="D8159" s="1" t="s">
        <v>533</v>
      </c>
      <c r="E8159" s="1" t="s">
        <v>3664</v>
      </c>
      <c r="F8159" s="1" t="s">
        <v>27392</v>
      </c>
      <c r="G8159" s="1" t="s">
        <v>10462</v>
      </c>
      <c r="H8159" s="1" t="s">
        <v>3604</v>
      </c>
      <c r="I8159" s="1" t="s">
        <v>27393</v>
      </c>
      <c r="J8159" s="1" t="s">
        <v>3615</v>
      </c>
      <c r="K8159" s="1" t="s">
        <v>27394</v>
      </c>
      <c r="L8159" s="1"/>
      <c r="M8159" s="1"/>
    </row>
    <row x14ac:dyDescent="0.25" r="8160" customHeight="1" ht="18.75">
      <c r="A8160" s="1" t="s">
        <v>3598</v>
      </c>
      <c r="B8160" s="1" t="s">
        <v>3751</v>
      </c>
      <c r="C8160" s="1" t="s">
        <v>3600</v>
      </c>
      <c r="D8160" s="1" t="s">
        <v>3610</v>
      </c>
      <c r="E8160" s="1" t="s">
        <v>3664</v>
      </c>
      <c r="F8160" s="1" t="s">
        <v>27395</v>
      </c>
      <c r="G8160" s="1" t="s">
        <v>27396</v>
      </c>
      <c r="H8160" s="1" t="s">
        <v>3604</v>
      </c>
      <c r="I8160" s="1" t="s">
        <v>27397</v>
      </c>
      <c r="J8160" s="1" t="s">
        <v>3615</v>
      </c>
      <c r="K8160" s="1" t="s">
        <v>27398</v>
      </c>
      <c r="L8160" s="1"/>
      <c r="M8160" s="1"/>
    </row>
    <row x14ac:dyDescent="0.25" r="8161" customHeight="1" ht="18.75">
      <c r="A8161" s="1" t="s">
        <v>3598</v>
      </c>
      <c r="B8161" s="1" t="s">
        <v>3751</v>
      </c>
      <c r="C8161" s="1" t="s">
        <v>3600</v>
      </c>
      <c r="D8161" s="1" t="s">
        <v>3610</v>
      </c>
      <c r="E8161" s="1" t="s">
        <v>3664</v>
      </c>
      <c r="F8161" s="1" t="s">
        <v>27399</v>
      </c>
      <c r="G8161" s="1" t="s">
        <v>27396</v>
      </c>
      <c r="H8161" s="1" t="s">
        <v>3604</v>
      </c>
      <c r="I8161" s="1" t="s">
        <v>27400</v>
      </c>
      <c r="J8161" s="1" t="s">
        <v>3615</v>
      </c>
      <c r="K8161" s="1" t="s">
        <v>27401</v>
      </c>
      <c r="L8161" s="1"/>
      <c r="M8161" s="1"/>
    </row>
    <row x14ac:dyDescent="0.25" r="8162" customHeight="1" ht="18.75">
      <c r="A8162" s="1" t="s">
        <v>3598</v>
      </c>
      <c r="B8162" s="1" t="s">
        <v>3751</v>
      </c>
      <c r="C8162" s="1" t="s">
        <v>3600</v>
      </c>
      <c r="D8162" s="1" t="s">
        <v>3610</v>
      </c>
      <c r="E8162" s="1" t="s">
        <v>3664</v>
      </c>
      <c r="F8162" s="1" t="s">
        <v>27402</v>
      </c>
      <c r="G8162" s="1" t="s">
        <v>27396</v>
      </c>
      <c r="H8162" s="1" t="s">
        <v>3604</v>
      </c>
      <c r="I8162" s="1" t="s">
        <v>27403</v>
      </c>
      <c r="J8162" s="1" t="s">
        <v>3615</v>
      </c>
      <c r="K8162" s="1" t="s">
        <v>27404</v>
      </c>
      <c r="L8162" s="1"/>
      <c r="M8162" s="1"/>
    </row>
    <row x14ac:dyDescent="0.25" r="8163" customHeight="1" ht="18.75">
      <c r="A8163" s="1" t="s">
        <v>3598</v>
      </c>
      <c r="B8163" s="1" t="s">
        <v>3751</v>
      </c>
      <c r="C8163" s="1" t="s">
        <v>3600</v>
      </c>
      <c r="D8163" s="1" t="s">
        <v>3610</v>
      </c>
      <c r="E8163" s="1" t="s">
        <v>3664</v>
      </c>
      <c r="F8163" s="1" t="s">
        <v>27405</v>
      </c>
      <c r="G8163" s="1" t="s">
        <v>27406</v>
      </c>
      <c r="H8163" s="1" t="s">
        <v>3604</v>
      </c>
      <c r="I8163" s="1" t="s">
        <v>27407</v>
      </c>
      <c r="J8163" s="1" t="s">
        <v>3615</v>
      </c>
      <c r="K8163" s="1" t="s">
        <v>26992</v>
      </c>
      <c r="L8163" s="1"/>
      <c r="M8163" s="1"/>
    </row>
    <row x14ac:dyDescent="0.25" r="8164" customHeight="1" ht="18.75">
      <c r="A8164" s="1" t="s">
        <v>3598</v>
      </c>
      <c r="B8164" s="1" t="s">
        <v>3751</v>
      </c>
      <c r="C8164" s="1" t="s">
        <v>3600</v>
      </c>
      <c r="D8164" s="1" t="s">
        <v>3610</v>
      </c>
      <c r="E8164" s="1" t="s">
        <v>3664</v>
      </c>
      <c r="F8164" s="1" t="s">
        <v>27408</v>
      </c>
      <c r="G8164" s="1" t="s">
        <v>27406</v>
      </c>
      <c r="H8164" s="1" t="s">
        <v>3604</v>
      </c>
      <c r="I8164" s="1" t="s">
        <v>27409</v>
      </c>
      <c r="J8164" s="1" t="s">
        <v>3615</v>
      </c>
      <c r="K8164" s="1" t="s">
        <v>26999</v>
      </c>
      <c r="L8164" s="1"/>
      <c r="M8164" s="1"/>
    </row>
    <row x14ac:dyDescent="0.25" r="8165" customHeight="1" ht="18.75">
      <c r="A8165" s="1" t="s">
        <v>3598</v>
      </c>
      <c r="B8165" s="1" t="s">
        <v>3751</v>
      </c>
      <c r="C8165" s="1" t="s">
        <v>3600</v>
      </c>
      <c r="D8165" s="1" t="s">
        <v>3610</v>
      </c>
      <c r="E8165" s="1" t="s">
        <v>3664</v>
      </c>
      <c r="F8165" s="1" t="s">
        <v>27410</v>
      </c>
      <c r="G8165" s="1" t="s">
        <v>27406</v>
      </c>
      <c r="H8165" s="1" t="s">
        <v>3604</v>
      </c>
      <c r="I8165" s="1" t="s">
        <v>27411</v>
      </c>
      <c r="J8165" s="1" t="s">
        <v>3615</v>
      </c>
      <c r="K8165" s="1" t="s">
        <v>26704</v>
      </c>
      <c r="L8165" s="1"/>
      <c r="M8165" s="1"/>
    </row>
    <row x14ac:dyDescent="0.25" r="8166" customHeight="1" ht="18.75">
      <c r="A8166" s="1" t="s">
        <v>3598</v>
      </c>
      <c r="B8166" s="1" t="s">
        <v>3751</v>
      </c>
      <c r="C8166" s="1" t="s">
        <v>3600</v>
      </c>
      <c r="D8166" s="1" t="s">
        <v>3610</v>
      </c>
      <c r="E8166" s="1" t="s">
        <v>3664</v>
      </c>
      <c r="F8166" s="1" t="s">
        <v>27412</v>
      </c>
      <c r="G8166" s="1" t="s">
        <v>27413</v>
      </c>
      <c r="H8166" s="1" t="s">
        <v>3604</v>
      </c>
      <c r="I8166" s="1" t="s">
        <v>27414</v>
      </c>
      <c r="J8166" s="1" t="s">
        <v>3615</v>
      </c>
      <c r="K8166" s="1" t="s">
        <v>27415</v>
      </c>
      <c r="L8166" s="1"/>
      <c r="M8166" s="1"/>
    </row>
    <row x14ac:dyDescent="0.25" r="8167" customHeight="1" ht="18.75">
      <c r="A8167" s="1" t="s">
        <v>3598</v>
      </c>
      <c r="B8167" s="1" t="s">
        <v>3751</v>
      </c>
      <c r="C8167" s="1" t="s">
        <v>3600</v>
      </c>
      <c r="D8167" s="1" t="s">
        <v>3610</v>
      </c>
      <c r="E8167" s="1" t="s">
        <v>3664</v>
      </c>
      <c r="F8167" s="1" t="s">
        <v>27416</v>
      </c>
      <c r="G8167" s="1" t="s">
        <v>20362</v>
      </c>
      <c r="H8167" s="1" t="s">
        <v>3604</v>
      </c>
      <c r="I8167" s="1" t="s">
        <v>27417</v>
      </c>
      <c r="J8167" s="1" t="s">
        <v>3615</v>
      </c>
      <c r="K8167" s="1" t="s">
        <v>26666</v>
      </c>
      <c r="L8167" s="1"/>
      <c r="M8167" s="1"/>
    </row>
    <row x14ac:dyDescent="0.25" r="8168" customHeight="1" ht="18.75">
      <c r="A8168" s="1" t="s">
        <v>3598</v>
      </c>
      <c r="B8168" s="1" t="s">
        <v>3751</v>
      </c>
      <c r="C8168" s="1" t="s">
        <v>3600</v>
      </c>
      <c r="D8168" s="1" t="s">
        <v>3610</v>
      </c>
      <c r="E8168" s="1" t="s">
        <v>3664</v>
      </c>
      <c r="F8168" s="1" t="s">
        <v>27418</v>
      </c>
      <c r="G8168" s="1" t="s">
        <v>20362</v>
      </c>
      <c r="H8168" s="1" t="s">
        <v>3604</v>
      </c>
      <c r="I8168" s="1" t="s">
        <v>27419</v>
      </c>
      <c r="J8168" s="1" t="s">
        <v>3615</v>
      </c>
      <c r="K8168" s="1" t="s">
        <v>26915</v>
      </c>
      <c r="L8168" s="1"/>
      <c r="M8168" s="1"/>
    </row>
    <row x14ac:dyDescent="0.25" r="8169" customHeight="1" ht="18.75">
      <c r="A8169" s="1" t="s">
        <v>3598</v>
      </c>
      <c r="B8169" s="1" t="s">
        <v>3751</v>
      </c>
      <c r="C8169" s="1" t="s">
        <v>3600</v>
      </c>
      <c r="D8169" s="1" t="s">
        <v>3610</v>
      </c>
      <c r="E8169" s="1" t="s">
        <v>3664</v>
      </c>
      <c r="F8169" s="1" t="s">
        <v>27420</v>
      </c>
      <c r="G8169" s="1" t="s">
        <v>27421</v>
      </c>
      <c r="H8169" s="1" t="s">
        <v>3604</v>
      </c>
      <c r="I8169" s="1" t="s">
        <v>27422</v>
      </c>
      <c r="J8169" s="1" t="s">
        <v>3615</v>
      </c>
      <c r="K8169" s="1" t="s">
        <v>26989</v>
      </c>
      <c r="L8169" s="1"/>
      <c r="M8169" s="1"/>
    </row>
    <row x14ac:dyDescent="0.25" r="8170" customHeight="1" ht="18.75">
      <c r="A8170" s="1" t="s">
        <v>3598</v>
      </c>
      <c r="B8170" s="1" t="s">
        <v>3751</v>
      </c>
      <c r="C8170" s="1" t="s">
        <v>3600</v>
      </c>
      <c r="D8170" s="1" t="s">
        <v>3610</v>
      </c>
      <c r="E8170" s="1" t="s">
        <v>3664</v>
      </c>
      <c r="F8170" s="1" t="s">
        <v>27423</v>
      </c>
      <c r="G8170" s="1" t="s">
        <v>27421</v>
      </c>
      <c r="H8170" s="1" t="s">
        <v>3604</v>
      </c>
      <c r="I8170" s="1" t="s">
        <v>27424</v>
      </c>
      <c r="J8170" s="1" t="s">
        <v>3615</v>
      </c>
      <c r="K8170" s="1" t="s">
        <v>27159</v>
      </c>
      <c r="L8170" s="1"/>
      <c r="M8170" s="1"/>
    </row>
    <row x14ac:dyDescent="0.25" r="8171" customHeight="1" ht="18.75">
      <c r="A8171" s="1" t="s">
        <v>3598</v>
      </c>
      <c r="B8171" s="1" t="s">
        <v>5239</v>
      </c>
      <c r="C8171" s="1" t="s">
        <v>3600</v>
      </c>
      <c r="D8171" s="1" t="s">
        <v>3610</v>
      </c>
      <c r="E8171" s="1" t="s">
        <v>3752</v>
      </c>
      <c r="F8171" s="1" t="s">
        <v>27425</v>
      </c>
      <c r="G8171" s="1" t="s">
        <v>27426</v>
      </c>
      <c r="H8171" s="1" t="s">
        <v>3604</v>
      </c>
      <c r="I8171" s="1" t="s">
        <v>27427</v>
      </c>
      <c r="J8171" s="1" t="s">
        <v>3615</v>
      </c>
      <c r="K8171" s="1" t="s">
        <v>26927</v>
      </c>
      <c r="L8171" s="1"/>
      <c r="M8171" s="1"/>
    </row>
    <row x14ac:dyDescent="0.25" r="8172" customHeight="1" ht="18.75">
      <c r="A8172" s="1" t="s">
        <v>3598</v>
      </c>
      <c r="B8172" s="1" t="s">
        <v>5239</v>
      </c>
      <c r="C8172" s="1" t="s">
        <v>3600</v>
      </c>
      <c r="D8172" s="1" t="s">
        <v>3610</v>
      </c>
      <c r="E8172" s="1" t="s">
        <v>3752</v>
      </c>
      <c r="F8172" s="1" t="s">
        <v>27428</v>
      </c>
      <c r="G8172" s="1" t="s">
        <v>27429</v>
      </c>
      <c r="H8172" s="1" t="s">
        <v>3604</v>
      </c>
      <c r="I8172" s="1" t="s">
        <v>27430</v>
      </c>
      <c r="J8172" s="1" t="s">
        <v>3615</v>
      </c>
      <c r="K8172" s="1" t="s">
        <v>26934</v>
      </c>
      <c r="L8172" s="1"/>
      <c r="M8172" s="1"/>
    </row>
    <row x14ac:dyDescent="0.25" r="8173" customHeight="1" ht="18.75">
      <c r="A8173" s="1" t="s">
        <v>3598</v>
      </c>
      <c r="B8173" s="1" t="s">
        <v>5239</v>
      </c>
      <c r="C8173" s="1" t="s">
        <v>3600</v>
      </c>
      <c r="D8173" s="1" t="s">
        <v>3610</v>
      </c>
      <c r="E8173" s="1" t="s">
        <v>3752</v>
      </c>
      <c r="F8173" s="1" t="s">
        <v>27431</v>
      </c>
      <c r="G8173" s="1" t="s">
        <v>27432</v>
      </c>
      <c r="H8173" s="1" t="s">
        <v>3604</v>
      </c>
      <c r="I8173" s="1" t="s">
        <v>27433</v>
      </c>
      <c r="J8173" s="1" t="s">
        <v>3615</v>
      </c>
      <c r="K8173" s="1" t="s">
        <v>27028</v>
      </c>
      <c r="L8173" s="1"/>
      <c r="M8173" s="1"/>
    </row>
    <row x14ac:dyDescent="0.25" r="8174" customHeight="1" ht="18.75">
      <c r="A8174" s="1" t="s">
        <v>3598</v>
      </c>
      <c r="B8174" s="1" t="s">
        <v>5239</v>
      </c>
      <c r="C8174" s="1" t="s">
        <v>3600</v>
      </c>
      <c r="D8174" s="1" t="s">
        <v>3610</v>
      </c>
      <c r="E8174" s="1" t="s">
        <v>3752</v>
      </c>
      <c r="F8174" s="1" t="s">
        <v>27434</v>
      </c>
      <c r="G8174" s="1" t="s">
        <v>27435</v>
      </c>
      <c r="H8174" s="1" t="s">
        <v>3604</v>
      </c>
      <c r="I8174" s="1" t="s">
        <v>27436</v>
      </c>
      <c r="J8174" s="1" t="s">
        <v>3615</v>
      </c>
      <c r="K8174" s="1" t="s">
        <v>27437</v>
      </c>
      <c r="L8174" s="1"/>
      <c r="M8174" s="1"/>
    </row>
    <row x14ac:dyDescent="0.25" r="8175" customHeight="1" ht="18.75">
      <c r="A8175" s="1" t="s">
        <v>3598</v>
      </c>
      <c r="B8175" s="1" t="s">
        <v>5239</v>
      </c>
      <c r="C8175" s="1" t="s">
        <v>3600</v>
      </c>
      <c r="D8175" s="1" t="s">
        <v>3610</v>
      </c>
      <c r="E8175" s="1" t="s">
        <v>3664</v>
      </c>
      <c r="F8175" s="1" t="s">
        <v>27438</v>
      </c>
      <c r="G8175" s="1" t="s">
        <v>27439</v>
      </c>
      <c r="H8175" s="1" t="s">
        <v>3604</v>
      </c>
      <c r="I8175" s="1" t="s">
        <v>27440</v>
      </c>
      <c r="J8175" s="1" t="s">
        <v>3615</v>
      </c>
      <c r="K8175" s="1" t="s">
        <v>27441</v>
      </c>
      <c r="L8175" s="1"/>
      <c r="M8175" s="1"/>
    </row>
    <row x14ac:dyDescent="0.25" r="8176" customHeight="1" ht="18.75">
      <c r="A8176" s="1" t="s">
        <v>3598</v>
      </c>
      <c r="B8176" s="1" t="s">
        <v>17075</v>
      </c>
      <c r="C8176" s="1" t="s">
        <v>3600</v>
      </c>
      <c r="D8176" s="1" t="s">
        <v>3610</v>
      </c>
      <c r="E8176" s="1" t="s">
        <v>3752</v>
      </c>
      <c r="F8176" s="1" t="s">
        <v>27442</v>
      </c>
      <c r="G8176" s="1" t="s">
        <v>27443</v>
      </c>
      <c r="H8176" s="1" t="s">
        <v>3604</v>
      </c>
      <c r="I8176" s="1" t="s">
        <v>27444</v>
      </c>
      <c r="J8176" s="1" t="s">
        <v>3615</v>
      </c>
      <c r="K8176" s="1" t="s">
        <v>26543</v>
      </c>
      <c r="L8176" s="1"/>
      <c r="M8176" s="1"/>
    </row>
    <row x14ac:dyDescent="0.25" r="8177" customHeight="1" ht="18.75">
      <c r="A8177" s="1" t="s">
        <v>3598</v>
      </c>
      <c r="B8177" s="1" t="s">
        <v>17075</v>
      </c>
      <c r="C8177" s="1" t="s">
        <v>3600</v>
      </c>
      <c r="D8177" s="1" t="s">
        <v>3610</v>
      </c>
      <c r="E8177" s="1" t="s">
        <v>3752</v>
      </c>
      <c r="F8177" s="1" t="s">
        <v>27445</v>
      </c>
      <c r="G8177" s="1" t="s">
        <v>27443</v>
      </c>
      <c r="H8177" s="1" t="s">
        <v>3604</v>
      </c>
      <c r="I8177" s="1" t="s">
        <v>27446</v>
      </c>
      <c r="J8177" s="1" t="s">
        <v>3615</v>
      </c>
      <c r="K8177" s="1" t="s">
        <v>26546</v>
      </c>
      <c r="L8177" s="1"/>
      <c r="M8177" s="1"/>
    </row>
    <row x14ac:dyDescent="0.25" r="8178" customHeight="1" ht="18.75">
      <c r="A8178" s="1" t="s">
        <v>3693</v>
      </c>
      <c r="B8178" s="1" t="s">
        <v>3942</v>
      </c>
      <c r="C8178" s="1" t="s">
        <v>3600</v>
      </c>
      <c r="D8178" s="1" t="s">
        <v>533</v>
      </c>
      <c r="E8178" s="1" t="s">
        <v>3752</v>
      </c>
      <c r="F8178" s="1" t="s">
        <v>27447</v>
      </c>
      <c r="G8178" s="1" t="s">
        <v>3944</v>
      </c>
      <c r="H8178" s="1" t="s">
        <v>3604</v>
      </c>
      <c r="I8178" s="1" t="s">
        <v>27448</v>
      </c>
      <c r="J8178" s="1" t="s">
        <v>3615</v>
      </c>
      <c r="K8178" s="1" t="s">
        <v>27449</v>
      </c>
      <c r="L8178" s="1"/>
      <c r="M8178" s="1"/>
    </row>
    <row x14ac:dyDescent="0.25" r="8179" customHeight="1" ht="18.75">
      <c r="A8179" s="1" t="s">
        <v>3693</v>
      </c>
      <c r="B8179" s="1" t="s">
        <v>3942</v>
      </c>
      <c r="C8179" s="1" t="s">
        <v>3600</v>
      </c>
      <c r="D8179" s="1" t="s">
        <v>533</v>
      </c>
      <c r="E8179" s="1" t="s">
        <v>3752</v>
      </c>
      <c r="F8179" s="1" t="s">
        <v>27450</v>
      </c>
      <c r="G8179" s="1" t="s">
        <v>27451</v>
      </c>
      <c r="H8179" s="1" t="s">
        <v>3604</v>
      </c>
      <c r="I8179" s="1" t="s">
        <v>27452</v>
      </c>
      <c r="J8179" s="1" t="s">
        <v>3615</v>
      </c>
      <c r="K8179" s="1" t="s">
        <v>27453</v>
      </c>
      <c r="L8179" s="1"/>
      <c r="M8179" s="1"/>
    </row>
    <row x14ac:dyDescent="0.25" r="8180" customHeight="1" ht="18.75">
      <c r="A8180" s="1" t="s">
        <v>3598</v>
      </c>
      <c r="B8180" s="1" t="s">
        <v>9025</v>
      </c>
      <c r="C8180" s="1" t="s">
        <v>3600</v>
      </c>
      <c r="D8180" s="1" t="s">
        <v>3610</v>
      </c>
      <c r="E8180" s="1" t="s">
        <v>3752</v>
      </c>
      <c r="F8180" s="1" t="s">
        <v>27454</v>
      </c>
      <c r="G8180" s="1" t="s">
        <v>27455</v>
      </c>
      <c r="H8180" s="1" t="s">
        <v>3604</v>
      </c>
      <c r="I8180" s="1" t="s">
        <v>27456</v>
      </c>
      <c r="J8180" s="1" t="s">
        <v>3615</v>
      </c>
      <c r="K8180" s="1" t="s">
        <v>26543</v>
      </c>
      <c r="L8180" s="1"/>
      <c r="M8180" s="1"/>
    </row>
    <row x14ac:dyDescent="0.25" r="8181" customHeight="1" ht="18.75">
      <c r="A8181" s="1" t="s">
        <v>3598</v>
      </c>
      <c r="B8181" s="1" t="s">
        <v>9025</v>
      </c>
      <c r="C8181" s="1" t="s">
        <v>3600</v>
      </c>
      <c r="D8181" s="1" t="s">
        <v>3610</v>
      </c>
      <c r="E8181" s="1" t="s">
        <v>3752</v>
      </c>
      <c r="F8181" s="1" t="s">
        <v>27457</v>
      </c>
      <c r="G8181" s="1" t="s">
        <v>27455</v>
      </c>
      <c r="H8181" s="1" t="s">
        <v>3604</v>
      </c>
      <c r="I8181" s="1" t="s">
        <v>27458</v>
      </c>
      <c r="J8181" s="1" t="s">
        <v>3615</v>
      </c>
      <c r="K8181" s="1" t="s">
        <v>26546</v>
      </c>
      <c r="L8181" s="1"/>
      <c r="M8181" s="1"/>
    </row>
    <row x14ac:dyDescent="0.25" r="8182" customHeight="1" ht="18.75">
      <c r="A8182" s="1" t="s">
        <v>3598</v>
      </c>
      <c r="B8182" s="1" t="s">
        <v>9236</v>
      </c>
      <c r="C8182" s="1" t="s">
        <v>3600</v>
      </c>
      <c r="D8182" s="1" t="s">
        <v>3610</v>
      </c>
      <c r="E8182" s="1" t="s">
        <v>3752</v>
      </c>
      <c r="F8182" s="1" t="s">
        <v>27459</v>
      </c>
      <c r="G8182" s="1" t="s">
        <v>27460</v>
      </c>
      <c r="H8182" s="1" t="s">
        <v>3604</v>
      </c>
      <c r="I8182" s="1" t="s">
        <v>27461</v>
      </c>
      <c r="J8182" s="1" t="s">
        <v>3615</v>
      </c>
      <c r="K8182" s="1" t="s">
        <v>26934</v>
      </c>
      <c r="L8182" s="1"/>
      <c r="M8182" s="1"/>
    </row>
    <row x14ac:dyDescent="0.25" r="8183" customHeight="1" ht="18.75">
      <c r="A8183" s="1" t="s">
        <v>3598</v>
      </c>
      <c r="B8183" s="1" t="s">
        <v>9236</v>
      </c>
      <c r="C8183" s="1" t="s">
        <v>3600</v>
      </c>
      <c r="D8183" s="1" t="s">
        <v>3610</v>
      </c>
      <c r="E8183" s="1" t="s">
        <v>3752</v>
      </c>
      <c r="F8183" s="1" t="s">
        <v>27462</v>
      </c>
      <c r="G8183" s="1" t="s">
        <v>27463</v>
      </c>
      <c r="H8183" s="1" t="s">
        <v>3604</v>
      </c>
      <c r="I8183" s="1" t="s">
        <v>27464</v>
      </c>
      <c r="J8183" s="1" t="s">
        <v>3615</v>
      </c>
      <c r="K8183" s="1" t="s">
        <v>26927</v>
      </c>
      <c r="L8183" s="1"/>
      <c r="M8183" s="1"/>
    </row>
    <row x14ac:dyDescent="0.25" r="8184" customHeight="1" ht="18.75">
      <c r="A8184" s="1" t="s">
        <v>3693</v>
      </c>
      <c r="B8184" s="1" t="s">
        <v>3942</v>
      </c>
      <c r="C8184" s="1" t="s">
        <v>3600</v>
      </c>
      <c r="D8184" s="1" t="s">
        <v>533</v>
      </c>
      <c r="E8184" s="1" t="s">
        <v>3664</v>
      </c>
      <c r="F8184" s="1" t="s">
        <v>27465</v>
      </c>
      <c r="G8184" s="1" t="s">
        <v>7096</v>
      </c>
      <c r="H8184" s="1" t="s">
        <v>3604</v>
      </c>
      <c r="I8184" s="1" t="s">
        <v>27466</v>
      </c>
      <c r="J8184" s="1" t="s">
        <v>3615</v>
      </c>
      <c r="K8184" s="1" t="s">
        <v>27467</v>
      </c>
      <c r="L8184" s="1"/>
      <c r="M8184" s="1"/>
    </row>
    <row x14ac:dyDescent="0.25" r="8185" customHeight="1" ht="18.75">
      <c r="A8185" s="1" t="s">
        <v>3598</v>
      </c>
      <c r="B8185" s="1" t="s">
        <v>8082</v>
      </c>
      <c r="C8185" s="1" t="s">
        <v>3600</v>
      </c>
      <c r="D8185" s="1" t="s">
        <v>3610</v>
      </c>
      <c r="E8185" s="1" t="s">
        <v>3664</v>
      </c>
      <c r="F8185" s="1" t="s">
        <v>27468</v>
      </c>
      <c r="G8185" s="1" t="s">
        <v>15884</v>
      </c>
      <c r="H8185" s="1" t="s">
        <v>3604</v>
      </c>
      <c r="I8185" s="1" t="s">
        <v>27469</v>
      </c>
      <c r="J8185" s="1" t="s">
        <v>3615</v>
      </c>
      <c r="K8185" s="1" t="s">
        <v>26731</v>
      </c>
      <c r="L8185" s="1"/>
      <c r="M8185" s="1"/>
    </row>
    <row x14ac:dyDescent="0.25" r="8186" customHeight="1" ht="18.75">
      <c r="A8186" s="1" t="s">
        <v>3598</v>
      </c>
      <c r="B8186" s="1" t="s">
        <v>8082</v>
      </c>
      <c r="C8186" s="1" t="s">
        <v>3600</v>
      </c>
      <c r="D8186" s="1" t="s">
        <v>3610</v>
      </c>
      <c r="E8186" s="1" t="s">
        <v>3664</v>
      </c>
      <c r="F8186" s="1" t="s">
        <v>27470</v>
      </c>
      <c r="G8186" s="1" t="s">
        <v>15884</v>
      </c>
      <c r="H8186" s="1" t="s">
        <v>3604</v>
      </c>
      <c r="I8186" s="1" t="s">
        <v>27471</v>
      </c>
      <c r="J8186" s="1" t="s">
        <v>3615</v>
      </c>
      <c r="K8186" s="1" t="s">
        <v>26737</v>
      </c>
      <c r="L8186" s="1"/>
      <c r="M8186" s="1"/>
    </row>
    <row x14ac:dyDescent="0.25" r="8187" customHeight="1" ht="18.75">
      <c r="A8187" s="1" t="s">
        <v>3598</v>
      </c>
      <c r="B8187" s="1" t="s">
        <v>3663</v>
      </c>
      <c r="C8187" s="1" t="s">
        <v>3600</v>
      </c>
      <c r="D8187" s="1" t="s">
        <v>3610</v>
      </c>
      <c r="E8187" s="1" t="s">
        <v>3752</v>
      </c>
      <c r="F8187" s="1" t="s">
        <v>27472</v>
      </c>
      <c r="G8187" s="1" t="s">
        <v>19172</v>
      </c>
      <c r="H8187" s="1" t="s">
        <v>3604</v>
      </c>
      <c r="I8187" s="1" t="s">
        <v>27473</v>
      </c>
      <c r="J8187" s="1" t="s">
        <v>3615</v>
      </c>
      <c r="K8187" s="1" t="s">
        <v>26689</v>
      </c>
      <c r="L8187" s="1"/>
      <c r="M8187" s="1"/>
    </row>
    <row x14ac:dyDescent="0.25" r="8188" customHeight="1" ht="18.75">
      <c r="A8188" s="1" t="s">
        <v>3598</v>
      </c>
      <c r="B8188" s="1" t="s">
        <v>8191</v>
      </c>
      <c r="C8188" s="1" t="s">
        <v>3600</v>
      </c>
      <c r="D8188" s="1" t="s">
        <v>3610</v>
      </c>
      <c r="E8188" s="1" t="s">
        <v>3752</v>
      </c>
      <c r="F8188" s="1" t="s">
        <v>27474</v>
      </c>
      <c r="G8188" s="1" t="s">
        <v>27475</v>
      </c>
      <c r="H8188" s="1" t="s">
        <v>3604</v>
      </c>
      <c r="I8188" s="1" t="s">
        <v>27476</v>
      </c>
      <c r="J8188" s="1" t="s">
        <v>3615</v>
      </c>
      <c r="K8188" s="1" t="s">
        <v>26954</v>
      </c>
      <c r="L8188" s="1"/>
      <c r="M8188" s="1"/>
    </row>
    <row x14ac:dyDescent="0.25" r="8189" customHeight="1" ht="18.75">
      <c r="A8189" s="1" t="s">
        <v>3598</v>
      </c>
      <c r="B8189" s="1" t="s">
        <v>19975</v>
      </c>
      <c r="C8189" s="1" t="s">
        <v>3600</v>
      </c>
      <c r="D8189" s="1" t="s">
        <v>3610</v>
      </c>
      <c r="E8189" s="1" t="s">
        <v>3752</v>
      </c>
      <c r="F8189" s="1" t="s">
        <v>27477</v>
      </c>
      <c r="G8189" s="1" t="s">
        <v>20333</v>
      </c>
      <c r="H8189" s="1" t="s">
        <v>3604</v>
      </c>
      <c r="I8189" s="1" t="s">
        <v>27478</v>
      </c>
      <c r="J8189" s="1" t="s">
        <v>3615</v>
      </c>
      <c r="K8189" s="1" t="s">
        <v>26951</v>
      </c>
      <c r="L8189" s="1"/>
      <c r="M8189" s="1"/>
    </row>
    <row x14ac:dyDescent="0.25" r="8190" customHeight="1" ht="18.75">
      <c r="A8190" s="1" t="s">
        <v>3598</v>
      </c>
      <c r="B8190" s="1" t="s">
        <v>19975</v>
      </c>
      <c r="C8190" s="1" t="s">
        <v>3600</v>
      </c>
      <c r="D8190" s="1" t="s">
        <v>3610</v>
      </c>
      <c r="E8190" s="1" t="s">
        <v>3752</v>
      </c>
      <c r="F8190" s="1" t="s">
        <v>27479</v>
      </c>
      <c r="G8190" s="1" t="s">
        <v>20333</v>
      </c>
      <c r="H8190" s="1" t="s">
        <v>3604</v>
      </c>
      <c r="I8190" s="1" t="s">
        <v>27480</v>
      </c>
      <c r="J8190" s="1" t="s">
        <v>3615</v>
      </c>
      <c r="K8190" s="1" t="s">
        <v>26954</v>
      </c>
      <c r="L8190" s="1"/>
      <c r="M8190" s="1"/>
    </row>
    <row x14ac:dyDescent="0.25" r="8191" customHeight="1" ht="18.75">
      <c r="A8191" s="1" t="s">
        <v>3598</v>
      </c>
      <c r="B8191" s="1" t="s">
        <v>14104</v>
      </c>
      <c r="C8191" s="1" t="s">
        <v>3600</v>
      </c>
      <c r="D8191" s="1" t="s">
        <v>3610</v>
      </c>
      <c r="E8191" s="1" t="s">
        <v>3752</v>
      </c>
      <c r="F8191" s="1" t="s">
        <v>27481</v>
      </c>
      <c r="G8191" s="1" t="s">
        <v>27482</v>
      </c>
      <c r="H8191" s="1" t="s">
        <v>3604</v>
      </c>
      <c r="I8191" s="1" t="s">
        <v>27483</v>
      </c>
      <c r="J8191" s="1" t="s">
        <v>3615</v>
      </c>
      <c r="K8191" s="1" t="s">
        <v>26790</v>
      </c>
      <c r="L8191" s="1"/>
      <c r="M8191" s="1"/>
    </row>
    <row x14ac:dyDescent="0.25" r="8192" customHeight="1" ht="18.75">
      <c r="A8192" s="1" t="s">
        <v>3598</v>
      </c>
      <c r="B8192" s="1" t="s">
        <v>14104</v>
      </c>
      <c r="C8192" s="1" t="s">
        <v>3600</v>
      </c>
      <c r="D8192" s="1" t="s">
        <v>3610</v>
      </c>
      <c r="E8192" s="1" t="s">
        <v>3752</v>
      </c>
      <c r="F8192" s="1" t="s">
        <v>27484</v>
      </c>
      <c r="G8192" s="1" t="s">
        <v>27482</v>
      </c>
      <c r="H8192" s="1" t="s">
        <v>3604</v>
      </c>
      <c r="I8192" s="1" t="s">
        <v>27485</v>
      </c>
      <c r="J8192" s="1" t="s">
        <v>3615</v>
      </c>
      <c r="K8192" s="1" t="s">
        <v>26793</v>
      </c>
      <c r="L8192" s="1"/>
      <c r="M8192" s="1"/>
    </row>
    <row x14ac:dyDescent="0.25" r="8193" customHeight="1" ht="18.75">
      <c r="A8193" s="1" t="s">
        <v>3598</v>
      </c>
      <c r="B8193" s="1" t="s">
        <v>14104</v>
      </c>
      <c r="C8193" s="1" t="s">
        <v>3600</v>
      </c>
      <c r="D8193" s="1" t="s">
        <v>3610</v>
      </c>
      <c r="E8193" s="1" t="s">
        <v>3752</v>
      </c>
      <c r="F8193" s="1" t="s">
        <v>27486</v>
      </c>
      <c r="G8193" s="1" t="s">
        <v>27482</v>
      </c>
      <c r="H8193" s="1" t="s">
        <v>3604</v>
      </c>
      <c r="I8193" s="1" t="s">
        <v>27487</v>
      </c>
      <c r="J8193" s="1" t="s">
        <v>3615</v>
      </c>
      <c r="K8193" s="1" t="s">
        <v>26776</v>
      </c>
      <c r="L8193" s="1"/>
      <c r="M8193" s="1"/>
    </row>
    <row x14ac:dyDescent="0.25" r="8194" customHeight="1" ht="18.75">
      <c r="A8194" s="1" t="s">
        <v>3598</v>
      </c>
      <c r="B8194" s="1" t="s">
        <v>14104</v>
      </c>
      <c r="C8194" s="1" t="s">
        <v>3600</v>
      </c>
      <c r="D8194" s="1" t="s">
        <v>3610</v>
      </c>
      <c r="E8194" s="1" t="s">
        <v>3752</v>
      </c>
      <c r="F8194" s="1" t="s">
        <v>27488</v>
      </c>
      <c r="G8194" s="1" t="s">
        <v>27489</v>
      </c>
      <c r="H8194" s="1" t="s">
        <v>3604</v>
      </c>
      <c r="I8194" s="1" t="s">
        <v>27490</v>
      </c>
      <c r="J8194" s="1" t="s">
        <v>3615</v>
      </c>
      <c r="K8194" s="1" t="s">
        <v>26799</v>
      </c>
      <c r="L8194" s="1"/>
      <c r="M8194" s="1"/>
    </row>
    <row x14ac:dyDescent="0.25" r="8195" customHeight="1" ht="18.75">
      <c r="A8195" s="1" t="s">
        <v>3598</v>
      </c>
      <c r="B8195" s="1" t="s">
        <v>14104</v>
      </c>
      <c r="C8195" s="1" t="s">
        <v>3600</v>
      </c>
      <c r="D8195" s="1" t="s">
        <v>3610</v>
      </c>
      <c r="E8195" s="1" t="s">
        <v>3752</v>
      </c>
      <c r="F8195" s="1" t="s">
        <v>27491</v>
      </c>
      <c r="G8195" s="1" t="s">
        <v>27489</v>
      </c>
      <c r="H8195" s="1" t="s">
        <v>3604</v>
      </c>
      <c r="I8195" s="1" t="s">
        <v>27492</v>
      </c>
      <c r="J8195" s="1" t="s">
        <v>3615</v>
      </c>
      <c r="K8195" s="1" t="s">
        <v>26802</v>
      </c>
      <c r="L8195" s="1"/>
      <c r="M8195" s="1"/>
    </row>
    <row x14ac:dyDescent="0.25" r="8196" customHeight="1" ht="18.75">
      <c r="A8196" s="1" t="s">
        <v>3598</v>
      </c>
      <c r="B8196" s="1" t="s">
        <v>14104</v>
      </c>
      <c r="C8196" s="1" t="s">
        <v>3600</v>
      </c>
      <c r="D8196" s="1" t="s">
        <v>3610</v>
      </c>
      <c r="E8196" s="1" t="s">
        <v>3752</v>
      </c>
      <c r="F8196" s="1" t="s">
        <v>27493</v>
      </c>
      <c r="G8196" s="1" t="s">
        <v>27489</v>
      </c>
      <c r="H8196" s="1" t="s">
        <v>3604</v>
      </c>
      <c r="I8196" s="1" t="s">
        <v>27494</v>
      </c>
      <c r="J8196" s="1" t="s">
        <v>3615</v>
      </c>
      <c r="K8196" s="1" t="s">
        <v>26805</v>
      </c>
      <c r="L8196" s="1"/>
      <c r="M8196" s="1"/>
    </row>
    <row x14ac:dyDescent="0.25" r="8197" customHeight="1" ht="18.75">
      <c r="A8197" s="1" t="s">
        <v>3598</v>
      </c>
      <c r="B8197" s="1" t="s">
        <v>9273</v>
      </c>
      <c r="C8197" s="1" t="s">
        <v>3600</v>
      </c>
      <c r="D8197" s="1" t="s">
        <v>3610</v>
      </c>
      <c r="E8197" s="1" t="s">
        <v>3752</v>
      </c>
      <c r="F8197" s="1" t="s">
        <v>27495</v>
      </c>
      <c r="G8197" s="1" t="s">
        <v>26774</v>
      </c>
      <c r="H8197" s="1" t="s">
        <v>3604</v>
      </c>
      <c r="I8197" s="1" t="s">
        <v>27496</v>
      </c>
      <c r="J8197" s="1" t="s">
        <v>3615</v>
      </c>
      <c r="K8197" s="1" t="s">
        <v>26790</v>
      </c>
      <c r="L8197" s="1"/>
      <c r="M8197" s="1"/>
    </row>
    <row x14ac:dyDescent="0.25" r="8198" customHeight="1" ht="18.75">
      <c r="A8198" s="1" t="s">
        <v>3598</v>
      </c>
      <c r="B8198" s="1" t="s">
        <v>9273</v>
      </c>
      <c r="C8198" s="1" t="s">
        <v>3600</v>
      </c>
      <c r="D8198" s="1" t="s">
        <v>3610</v>
      </c>
      <c r="E8198" s="1" t="s">
        <v>3752</v>
      </c>
      <c r="F8198" s="1" t="s">
        <v>27497</v>
      </c>
      <c r="G8198" s="1" t="s">
        <v>26774</v>
      </c>
      <c r="H8198" s="1" t="s">
        <v>3604</v>
      </c>
      <c r="I8198" s="1" t="s">
        <v>27498</v>
      </c>
      <c r="J8198" s="1" t="s">
        <v>3615</v>
      </c>
      <c r="K8198" s="1" t="s">
        <v>26793</v>
      </c>
      <c r="L8198" s="1"/>
      <c r="M8198" s="1"/>
    </row>
    <row x14ac:dyDescent="0.25" r="8199" customHeight="1" ht="18.75">
      <c r="A8199" s="1" t="s">
        <v>3598</v>
      </c>
      <c r="B8199" s="1" t="s">
        <v>9273</v>
      </c>
      <c r="C8199" s="1" t="s">
        <v>3600</v>
      </c>
      <c r="D8199" s="1" t="s">
        <v>3610</v>
      </c>
      <c r="E8199" s="1" t="s">
        <v>3752</v>
      </c>
      <c r="F8199" s="1" t="s">
        <v>27499</v>
      </c>
      <c r="G8199" s="1" t="s">
        <v>27500</v>
      </c>
      <c r="H8199" s="1" t="s">
        <v>3604</v>
      </c>
      <c r="I8199" s="1" t="s">
        <v>27501</v>
      </c>
      <c r="J8199" s="1" t="s">
        <v>3615</v>
      </c>
      <c r="K8199" s="1" t="s">
        <v>26799</v>
      </c>
      <c r="L8199" s="1"/>
      <c r="M8199" s="1"/>
    </row>
    <row x14ac:dyDescent="0.25" r="8200" customHeight="1" ht="18.75">
      <c r="A8200" s="1" t="s">
        <v>3598</v>
      </c>
      <c r="B8200" s="1" t="s">
        <v>9273</v>
      </c>
      <c r="C8200" s="1" t="s">
        <v>3600</v>
      </c>
      <c r="D8200" s="1" t="s">
        <v>3610</v>
      </c>
      <c r="E8200" s="1" t="s">
        <v>3752</v>
      </c>
      <c r="F8200" s="1" t="s">
        <v>27502</v>
      </c>
      <c r="G8200" s="1" t="s">
        <v>27500</v>
      </c>
      <c r="H8200" s="1" t="s">
        <v>3604</v>
      </c>
      <c r="I8200" s="1" t="s">
        <v>27503</v>
      </c>
      <c r="J8200" s="1" t="s">
        <v>3615</v>
      </c>
      <c r="K8200" s="1" t="s">
        <v>26802</v>
      </c>
      <c r="L8200" s="1"/>
      <c r="M8200" s="1"/>
    </row>
    <row x14ac:dyDescent="0.25" r="8201" customHeight="1" ht="18.75">
      <c r="A8201" s="1" t="s">
        <v>3598</v>
      </c>
      <c r="B8201" s="1" t="s">
        <v>9273</v>
      </c>
      <c r="C8201" s="1" t="s">
        <v>3600</v>
      </c>
      <c r="D8201" s="1" t="s">
        <v>3610</v>
      </c>
      <c r="E8201" s="1" t="s">
        <v>3752</v>
      </c>
      <c r="F8201" s="1" t="s">
        <v>27504</v>
      </c>
      <c r="G8201" s="1" t="s">
        <v>27500</v>
      </c>
      <c r="H8201" s="1" t="s">
        <v>3604</v>
      </c>
      <c r="I8201" s="1" t="s">
        <v>27505</v>
      </c>
      <c r="J8201" s="1" t="s">
        <v>3615</v>
      </c>
      <c r="K8201" s="1" t="s">
        <v>26805</v>
      </c>
      <c r="L8201" s="1"/>
      <c r="M8201" s="1"/>
    </row>
    <row x14ac:dyDescent="0.25" r="8202" customHeight="1" ht="18.75">
      <c r="A8202" s="1" t="s">
        <v>3598</v>
      </c>
      <c r="B8202" s="1" t="s">
        <v>9273</v>
      </c>
      <c r="C8202" s="1" t="s">
        <v>3600</v>
      </c>
      <c r="D8202" s="1" t="s">
        <v>3610</v>
      </c>
      <c r="E8202" s="1" t="s">
        <v>3752</v>
      </c>
      <c r="F8202" s="1" t="s">
        <v>27506</v>
      </c>
      <c r="G8202" s="1" t="s">
        <v>27507</v>
      </c>
      <c r="H8202" s="1" t="s">
        <v>3604</v>
      </c>
      <c r="I8202" s="1" t="s">
        <v>27508</v>
      </c>
      <c r="J8202" s="1" t="s">
        <v>3615</v>
      </c>
      <c r="K8202" s="1" t="s">
        <v>26809</v>
      </c>
      <c r="L8202" s="1"/>
      <c r="M8202" s="1"/>
    </row>
    <row x14ac:dyDescent="0.25" r="8203" customHeight="1" ht="18.75">
      <c r="A8203" s="1" t="s">
        <v>3598</v>
      </c>
      <c r="B8203" s="1" t="s">
        <v>9273</v>
      </c>
      <c r="C8203" s="1" t="s">
        <v>3600</v>
      </c>
      <c r="D8203" s="1" t="s">
        <v>3610</v>
      </c>
      <c r="E8203" s="1" t="s">
        <v>3752</v>
      </c>
      <c r="F8203" s="1" t="s">
        <v>27509</v>
      </c>
      <c r="G8203" s="1" t="s">
        <v>27507</v>
      </c>
      <c r="H8203" s="1" t="s">
        <v>3604</v>
      </c>
      <c r="I8203" s="1" t="s">
        <v>27510</v>
      </c>
      <c r="J8203" s="1" t="s">
        <v>3615</v>
      </c>
      <c r="K8203" s="1" t="s">
        <v>26812</v>
      </c>
      <c r="L8203" s="1"/>
      <c r="M8203" s="1"/>
    </row>
    <row x14ac:dyDescent="0.25" r="8204" customHeight="1" ht="18.75">
      <c r="A8204" s="1" t="s">
        <v>3598</v>
      </c>
      <c r="B8204" s="1" t="s">
        <v>9273</v>
      </c>
      <c r="C8204" s="1" t="s">
        <v>3600</v>
      </c>
      <c r="D8204" s="1" t="s">
        <v>3610</v>
      </c>
      <c r="E8204" s="1" t="s">
        <v>3752</v>
      </c>
      <c r="F8204" s="1" t="s">
        <v>27511</v>
      </c>
      <c r="G8204" s="1" t="s">
        <v>27507</v>
      </c>
      <c r="H8204" s="1" t="s">
        <v>3604</v>
      </c>
      <c r="I8204" s="1" t="s">
        <v>27512</v>
      </c>
      <c r="J8204" s="1" t="s">
        <v>3615</v>
      </c>
      <c r="K8204" s="1" t="s">
        <v>26815</v>
      </c>
      <c r="L8204" s="1"/>
      <c r="M8204" s="1"/>
    </row>
    <row x14ac:dyDescent="0.25" r="8205" customHeight="1" ht="18.75">
      <c r="A8205" s="1" t="s">
        <v>3598</v>
      </c>
      <c r="B8205" s="1" t="s">
        <v>9273</v>
      </c>
      <c r="C8205" s="1" t="s">
        <v>3600</v>
      </c>
      <c r="D8205" s="1" t="s">
        <v>3610</v>
      </c>
      <c r="E8205" s="1" t="s">
        <v>3752</v>
      </c>
      <c r="F8205" s="1" t="s">
        <v>27513</v>
      </c>
      <c r="G8205" s="1" t="s">
        <v>27514</v>
      </c>
      <c r="H8205" s="1" t="s">
        <v>3604</v>
      </c>
      <c r="I8205" s="1" t="s">
        <v>27515</v>
      </c>
      <c r="J8205" s="1" t="s">
        <v>3615</v>
      </c>
      <c r="K8205" s="1" t="s">
        <v>26819</v>
      </c>
      <c r="L8205" s="1"/>
      <c r="M8205" s="1"/>
    </row>
    <row x14ac:dyDescent="0.25" r="8206" customHeight="1" ht="18.75">
      <c r="A8206" s="1" t="s">
        <v>3598</v>
      </c>
      <c r="B8206" s="1" t="s">
        <v>9273</v>
      </c>
      <c r="C8206" s="1" t="s">
        <v>3600</v>
      </c>
      <c r="D8206" s="1" t="s">
        <v>3610</v>
      </c>
      <c r="E8206" s="1" t="s">
        <v>3752</v>
      </c>
      <c r="F8206" s="1" t="s">
        <v>27516</v>
      </c>
      <c r="G8206" s="1" t="s">
        <v>27514</v>
      </c>
      <c r="H8206" s="1" t="s">
        <v>3604</v>
      </c>
      <c r="I8206" s="1" t="s">
        <v>27517</v>
      </c>
      <c r="J8206" s="1" t="s">
        <v>3615</v>
      </c>
      <c r="K8206" s="1" t="s">
        <v>26822</v>
      </c>
      <c r="L8206" s="1"/>
      <c r="M8206" s="1"/>
    </row>
    <row x14ac:dyDescent="0.25" r="8207" customHeight="1" ht="18.75">
      <c r="A8207" s="1" t="s">
        <v>3598</v>
      </c>
      <c r="B8207" s="1" t="s">
        <v>9273</v>
      </c>
      <c r="C8207" s="1" t="s">
        <v>3600</v>
      </c>
      <c r="D8207" s="1" t="s">
        <v>3610</v>
      </c>
      <c r="E8207" s="1" t="s">
        <v>3752</v>
      </c>
      <c r="F8207" s="1" t="s">
        <v>27518</v>
      </c>
      <c r="G8207" s="1" t="s">
        <v>27514</v>
      </c>
      <c r="H8207" s="1" t="s">
        <v>3604</v>
      </c>
      <c r="I8207" s="1" t="s">
        <v>27519</v>
      </c>
      <c r="J8207" s="1" t="s">
        <v>3615</v>
      </c>
      <c r="K8207" s="1" t="s">
        <v>26825</v>
      </c>
      <c r="L8207" s="1"/>
      <c r="M8207" s="1"/>
    </row>
    <row x14ac:dyDescent="0.25" r="8208" customHeight="1" ht="18.75">
      <c r="A8208" s="1" t="s">
        <v>3598</v>
      </c>
      <c r="B8208" s="1" t="s">
        <v>9273</v>
      </c>
      <c r="C8208" s="1" t="s">
        <v>3600</v>
      </c>
      <c r="D8208" s="1" t="s">
        <v>3610</v>
      </c>
      <c r="E8208" s="1" t="s">
        <v>3752</v>
      </c>
      <c r="F8208" s="1" t="s">
        <v>27520</v>
      </c>
      <c r="G8208" s="1" t="s">
        <v>27521</v>
      </c>
      <c r="H8208" s="1" t="s">
        <v>3604</v>
      </c>
      <c r="I8208" s="1" t="s">
        <v>27522</v>
      </c>
      <c r="J8208" s="1" t="s">
        <v>3615</v>
      </c>
      <c r="K8208" s="1" t="s">
        <v>26829</v>
      </c>
      <c r="L8208" s="1"/>
      <c r="M8208" s="1"/>
    </row>
    <row x14ac:dyDescent="0.25" r="8209" customHeight="1" ht="18.75">
      <c r="A8209" s="1" t="s">
        <v>3598</v>
      </c>
      <c r="B8209" s="1" t="s">
        <v>9273</v>
      </c>
      <c r="C8209" s="1" t="s">
        <v>3600</v>
      </c>
      <c r="D8209" s="1" t="s">
        <v>3610</v>
      </c>
      <c r="E8209" s="1" t="s">
        <v>3752</v>
      </c>
      <c r="F8209" s="1" t="s">
        <v>27523</v>
      </c>
      <c r="G8209" s="1" t="s">
        <v>27524</v>
      </c>
      <c r="H8209" s="1" t="s">
        <v>3604</v>
      </c>
      <c r="I8209" s="1" t="s">
        <v>27525</v>
      </c>
      <c r="J8209" s="1" t="s">
        <v>3615</v>
      </c>
      <c r="K8209" s="1" t="s">
        <v>26839</v>
      </c>
      <c r="L8209" s="1"/>
      <c r="M8209" s="1"/>
    </row>
    <row x14ac:dyDescent="0.25" r="8210" customHeight="1" ht="18.75">
      <c r="A8210" s="1" t="s">
        <v>3598</v>
      </c>
      <c r="B8210" s="1" t="s">
        <v>9273</v>
      </c>
      <c r="C8210" s="1" t="s">
        <v>3600</v>
      </c>
      <c r="D8210" s="1" t="s">
        <v>3610</v>
      </c>
      <c r="E8210" s="1" t="s">
        <v>3752</v>
      </c>
      <c r="F8210" s="1" t="s">
        <v>27526</v>
      </c>
      <c r="G8210" s="1" t="s">
        <v>27524</v>
      </c>
      <c r="H8210" s="1" t="s">
        <v>3604</v>
      </c>
      <c r="I8210" s="1" t="s">
        <v>27527</v>
      </c>
      <c r="J8210" s="1" t="s">
        <v>3615</v>
      </c>
      <c r="K8210" s="1" t="s">
        <v>26842</v>
      </c>
      <c r="L8210" s="1"/>
      <c r="M8210" s="1"/>
    </row>
    <row x14ac:dyDescent="0.25" r="8211" customHeight="1" ht="18.75">
      <c r="A8211" s="1" t="s">
        <v>3598</v>
      </c>
      <c r="B8211" s="1" t="s">
        <v>9273</v>
      </c>
      <c r="C8211" s="1" t="s">
        <v>3600</v>
      </c>
      <c r="D8211" s="1" t="s">
        <v>3610</v>
      </c>
      <c r="E8211" s="1" t="s">
        <v>3752</v>
      </c>
      <c r="F8211" s="1" t="s">
        <v>27528</v>
      </c>
      <c r="G8211" s="1" t="s">
        <v>27524</v>
      </c>
      <c r="H8211" s="1" t="s">
        <v>3604</v>
      </c>
      <c r="I8211" s="1" t="s">
        <v>27529</v>
      </c>
      <c r="J8211" s="1" t="s">
        <v>3615</v>
      </c>
      <c r="K8211" s="1" t="s">
        <v>26845</v>
      </c>
      <c r="L8211" s="1"/>
      <c r="M8211" s="1"/>
    </row>
    <row x14ac:dyDescent="0.25" r="8212" customHeight="1" ht="18.75">
      <c r="A8212" s="1" t="s">
        <v>3598</v>
      </c>
      <c r="B8212" s="1" t="s">
        <v>9273</v>
      </c>
      <c r="C8212" s="1" t="s">
        <v>3600</v>
      </c>
      <c r="D8212" s="1" t="s">
        <v>3610</v>
      </c>
      <c r="E8212" s="1" t="s">
        <v>3752</v>
      </c>
      <c r="F8212" s="1" t="s">
        <v>27530</v>
      </c>
      <c r="G8212" s="1" t="s">
        <v>27531</v>
      </c>
      <c r="H8212" s="1" t="s">
        <v>3604</v>
      </c>
      <c r="I8212" s="1" t="s">
        <v>27532</v>
      </c>
      <c r="J8212" s="1" t="s">
        <v>3615</v>
      </c>
      <c r="K8212" s="1" t="s">
        <v>27533</v>
      </c>
      <c r="L8212" s="1"/>
      <c r="M8212" s="1"/>
    </row>
    <row x14ac:dyDescent="0.25" r="8213" customHeight="1" ht="18.75">
      <c r="A8213" s="1" t="s">
        <v>3598</v>
      </c>
      <c r="B8213" s="1" t="s">
        <v>9273</v>
      </c>
      <c r="C8213" s="1" t="s">
        <v>3600</v>
      </c>
      <c r="D8213" s="1" t="s">
        <v>3610</v>
      </c>
      <c r="E8213" s="1" t="s">
        <v>3752</v>
      </c>
      <c r="F8213" s="1" t="s">
        <v>27534</v>
      </c>
      <c r="G8213" s="1" t="s">
        <v>27531</v>
      </c>
      <c r="H8213" s="1" t="s">
        <v>3604</v>
      </c>
      <c r="I8213" s="1" t="s">
        <v>27535</v>
      </c>
      <c r="J8213" s="1" t="s">
        <v>3615</v>
      </c>
      <c r="K8213" s="1" t="s">
        <v>27536</v>
      </c>
      <c r="L8213" s="1"/>
      <c r="M8213" s="1"/>
    </row>
    <row x14ac:dyDescent="0.25" r="8214" customHeight="1" ht="18.75">
      <c r="A8214" s="1" t="s">
        <v>3598</v>
      </c>
      <c r="B8214" s="1" t="s">
        <v>9273</v>
      </c>
      <c r="C8214" s="1" t="s">
        <v>3600</v>
      </c>
      <c r="D8214" s="1" t="s">
        <v>3610</v>
      </c>
      <c r="E8214" s="1" t="s">
        <v>3752</v>
      </c>
      <c r="F8214" s="1" t="s">
        <v>27537</v>
      </c>
      <c r="G8214" s="1" t="s">
        <v>27531</v>
      </c>
      <c r="H8214" s="1" t="s">
        <v>3604</v>
      </c>
      <c r="I8214" s="1" t="s">
        <v>27538</v>
      </c>
      <c r="J8214" s="1" t="s">
        <v>3615</v>
      </c>
      <c r="K8214" s="1" t="s">
        <v>26014</v>
      </c>
      <c r="L8214" s="1"/>
      <c r="M8214" s="1"/>
    </row>
    <row x14ac:dyDescent="0.25" r="8215" customHeight="1" ht="18.75">
      <c r="A8215" s="1" t="s">
        <v>3598</v>
      </c>
      <c r="B8215" s="1" t="s">
        <v>9273</v>
      </c>
      <c r="C8215" s="1" t="s">
        <v>3600</v>
      </c>
      <c r="D8215" s="1" t="s">
        <v>3610</v>
      </c>
      <c r="E8215" s="1" t="s">
        <v>3752</v>
      </c>
      <c r="F8215" s="1" t="s">
        <v>27539</v>
      </c>
      <c r="G8215" s="1" t="s">
        <v>27540</v>
      </c>
      <c r="H8215" s="1" t="s">
        <v>3604</v>
      </c>
      <c r="I8215" s="1" t="s">
        <v>27541</v>
      </c>
      <c r="J8215" s="1" t="s">
        <v>3615</v>
      </c>
      <c r="K8215" s="1" t="s">
        <v>27542</v>
      </c>
      <c r="L8215" s="1"/>
      <c r="M8215" s="1"/>
    </row>
    <row x14ac:dyDescent="0.25" r="8216" customHeight="1" ht="18.75">
      <c r="A8216" s="1" t="s">
        <v>3598</v>
      </c>
      <c r="B8216" s="1" t="s">
        <v>9273</v>
      </c>
      <c r="C8216" s="1" t="s">
        <v>3600</v>
      </c>
      <c r="D8216" s="1" t="s">
        <v>3610</v>
      </c>
      <c r="E8216" s="1" t="s">
        <v>3752</v>
      </c>
      <c r="F8216" s="1" t="s">
        <v>27543</v>
      </c>
      <c r="G8216" s="1" t="s">
        <v>27544</v>
      </c>
      <c r="H8216" s="1" t="s">
        <v>3604</v>
      </c>
      <c r="I8216" s="1" t="s">
        <v>27545</v>
      </c>
      <c r="J8216" s="1" t="s">
        <v>3615</v>
      </c>
      <c r="K8216" s="1" t="s">
        <v>27546</v>
      </c>
      <c r="L8216" s="1"/>
      <c r="M8216" s="1"/>
    </row>
    <row x14ac:dyDescent="0.25" r="8217" customHeight="1" ht="18.75">
      <c r="A8217" s="1" t="s">
        <v>3598</v>
      </c>
      <c r="B8217" s="1" t="s">
        <v>9273</v>
      </c>
      <c r="C8217" s="1" t="s">
        <v>3600</v>
      </c>
      <c r="D8217" s="1" t="s">
        <v>3610</v>
      </c>
      <c r="E8217" s="1" t="s">
        <v>3752</v>
      </c>
      <c r="F8217" s="1" t="s">
        <v>27547</v>
      </c>
      <c r="G8217" s="1" t="s">
        <v>27544</v>
      </c>
      <c r="H8217" s="1" t="s">
        <v>3604</v>
      </c>
      <c r="I8217" s="1" t="s">
        <v>27548</v>
      </c>
      <c r="J8217" s="1" t="s">
        <v>3615</v>
      </c>
      <c r="K8217" s="1" t="s">
        <v>27549</v>
      </c>
      <c r="L8217" s="1"/>
      <c r="M8217" s="1"/>
    </row>
    <row x14ac:dyDescent="0.25" r="8218" customHeight="1" ht="18.75">
      <c r="A8218" s="1" t="s">
        <v>3598</v>
      </c>
      <c r="B8218" s="1" t="s">
        <v>9273</v>
      </c>
      <c r="C8218" s="1" t="s">
        <v>3600</v>
      </c>
      <c r="D8218" s="1" t="s">
        <v>3610</v>
      </c>
      <c r="E8218" s="1" t="s">
        <v>3752</v>
      </c>
      <c r="F8218" s="1" t="s">
        <v>27550</v>
      </c>
      <c r="G8218" s="1" t="s">
        <v>27544</v>
      </c>
      <c r="H8218" s="1" t="s">
        <v>3604</v>
      </c>
      <c r="I8218" s="1" t="s">
        <v>27551</v>
      </c>
      <c r="J8218" s="1" t="s">
        <v>3615</v>
      </c>
      <c r="K8218" s="1" t="s">
        <v>27552</v>
      </c>
      <c r="L8218" s="1"/>
      <c r="M8218" s="1"/>
    </row>
    <row x14ac:dyDescent="0.25" r="8219" customHeight="1" ht="18.75">
      <c r="A8219" s="1" t="s">
        <v>3598</v>
      </c>
      <c r="B8219" s="1" t="s">
        <v>9273</v>
      </c>
      <c r="C8219" s="1" t="s">
        <v>3600</v>
      </c>
      <c r="D8219" s="1" t="s">
        <v>3610</v>
      </c>
      <c r="E8219" s="1" t="s">
        <v>3752</v>
      </c>
      <c r="F8219" s="1" t="s">
        <v>27553</v>
      </c>
      <c r="G8219" s="1" t="s">
        <v>27554</v>
      </c>
      <c r="H8219" s="1" t="s">
        <v>3604</v>
      </c>
      <c r="I8219" s="1" t="s">
        <v>27555</v>
      </c>
      <c r="J8219" s="1" t="s">
        <v>3615</v>
      </c>
      <c r="K8219" s="1" t="s">
        <v>27556</v>
      </c>
      <c r="L8219" s="1"/>
      <c r="M8219" s="1"/>
    </row>
    <row x14ac:dyDescent="0.25" r="8220" customHeight="1" ht="18.75">
      <c r="A8220" s="1" t="s">
        <v>3598</v>
      </c>
      <c r="B8220" s="1" t="s">
        <v>9273</v>
      </c>
      <c r="C8220" s="1" t="s">
        <v>3600</v>
      </c>
      <c r="D8220" s="1" t="s">
        <v>3610</v>
      </c>
      <c r="E8220" s="1" t="s">
        <v>3752</v>
      </c>
      <c r="F8220" s="1" t="s">
        <v>27557</v>
      </c>
      <c r="G8220" s="1" t="s">
        <v>27554</v>
      </c>
      <c r="H8220" s="1" t="s">
        <v>3604</v>
      </c>
      <c r="I8220" s="1" t="s">
        <v>27558</v>
      </c>
      <c r="J8220" s="1" t="s">
        <v>3615</v>
      </c>
      <c r="K8220" s="1" t="s">
        <v>27559</v>
      </c>
      <c r="L8220" s="1"/>
      <c r="M8220" s="1"/>
    </row>
    <row x14ac:dyDescent="0.25" r="8221" customHeight="1" ht="18.75">
      <c r="A8221" s="1" t="s">
        <v>3598</v>
      </c>
      <c r="B8221" s="1" t="s">
        <v>9273</v>
      </c>
      <c r="C8221" s="1" t="s">
        <v>3600</v>
      </c>
      <c r="D8221" s="1" t="s">
        <v>3610</v>
      </c>
      <c r="E8221" s="1" t="s">
        <v>3752</v>
      </c>
      <c r="F8221" s="1" t="s">
        <v>27560</v>
      </c>
      <c r="G8221" s="1" t="s">
        <v>27554</v>
      </c>
      <c r="H8221" s="1" t="s">
        <v>3604</v>
      </c>
      <c r="I8221" s="1" t="s">
        <v>27561</v>
      </c>
      <c r="J8221" s="1" t="s">
        <v>3615</v>
      </c>
      <c r="K8221" s="1" t="s">
        <v>27562</v>
      </c>
      <c r="L8221" s="1"/>
      <c r="M8221" s="1"/>
    </row>
    <row x14ac:dyDescent="0.25" r="8222" customHeight="1" ht="18.75">
      <c r="A8222" s="1" t="s">
        <v>3598</v>
      </c>
      <c r="B8222" s="1" t="s">
        <v>9273</v>
      </c>
      <c r="C8222" s="1" t="s">
        <v>3600</v>
      </c>
      <c r="D8222" s="1" t="s">
        <v>3610</v>
      </c>
      <c r="E8222" s="1" t="s">
        <v>3752</v>
      </c>
      <c r="F8222" s="1" t="s">
        <v>27563</v>
      </c>
      <c r="G8222" s="1" t="s">
        <v>27564</v>
      </c>
      <c r="H8222" s="1" t="s">
        <v>3604</v>
      </c>
      <c r="I8222" s="1" t="s">
        <v>27565</v>
      </c>
      <c r="J8222" s="1" t="s">
        <v>3615</v>
      </c>
      <c r="K8222" s="1" t="s">
        <v>27103</v>
      </c>
      <c r="L8222" s="1"/>
      <c r="M8222" s="1"/>
    </row>
    <row x14ac:dyDescent="0.25" r="8223" customHeight="1" ht="18.75">
      <c r="A8223" s="1" t="s">
        <v>3598</v>
      </c>
      <c r="B8223" s="1" t="s">
        <v>9273</v>
      </c>
      <c r="C8223" s="1" t="s">
        <v>3600</v>
      </c>
      <c r="D8223" s="1" t="s">
        <v>3610</v>
      </c>
      <c r="E8223" s="1" t="s">
        <v>3752</v>
      </c>
      <c r="F8223" s="1" t="s">
        <v>27566</v>
      </c>
      <c r="G8223" s="1" t="s">
        <v>27567</v>
      </c>
      <c r="H8223" s="1" t="s">
        <v>3604</v>
      </c>
      <c r="I8223" s="1" t="s">
        <v>27568</v>
      </c>
      <c r="J8223" s="1" t="s">
        <v>3615</v>
      </c>
      <c r="K8223" s="1" t="s">
        <v>27569</v>
      </c>
      <c r="L8223" s="1"/>
      <c r="M8223" s="1"/>
    </row>
    <row x14ac:dyDescent="0.25" r="8224" customHeight="1" ht="18.75">
      <c r="A8224" s="1" t="s">
        <v>3598</v>
      </c>
      <c r="B8224" s="1" t="s">
        <v>9273</v>
      </c>
      <c r="C8224" s="1" t="s">
        <v>3600</v>
      </c>
      <c r="D8224" s="1" t="s">
        <v>3610</v>
      </c>
      <c r="E8224" s="1" t="s">
        <v>3752</v>
      </c>
      <c r="F8224" s="1" t="s">
        <v>27570</v>
      </c>
      <c r="G8224" s="1" t="s">
        <v>27567</v>
      </c>
      <c r="H8224" s="1" t="s">
        <v>3604</v>
      </c>
      <c r="I8224" s="1" t="s">
        <v>27571</v>
      </c>
      <c r="J8224" s="1" t="s">
        <v>3615</v>
      </c>
      <c r="K8224" s="1" t="s">
        <v>27572</v>
      </c>
      <c r="L8224" s="1"/>
      <c r="M8224" s="1"/>
    </row>
    <row x14ac:dyDescent="0.25" r="8225" customHeight="1" ht="18.75">
      <c r="A8225" s="1" t="s">
        <v>3598</v>
      </c>
      <c r="B8225" s="1" t="s">
        <v>9273</v>
      </c>
      <c r="C8225" s="1" t="s">
        <v>3600</v>
      </c>
      <c r="D8225" s="1" t="s">
        <v>3610</v>
      </c>
      <c r="E8225" s="1" t="s">
        <v>3752</v>
      </c>
      <c r="F8225" s="1" t="s">
        <v>27573</v>
      </c>
      <c r="G8225" s="1" t="s">
        <v>27567</v>
      </c>
      <c r="H8225" s="1" t="s">
        <v>3604</v>
      </c>
      <c r="I8225" s="1" t="s">
        <v>27574</v>
      </c>
      <c r="J8225" s="1" t="s">
        <v>3615</v>
      </c>
      <c r="K8225" s="1" t="s">
        <v>27575</v>
      </c>
      <c r="L8225" s="1"/>
      <c r="M8225" s="1"/>
    </row>
    <row x14ac:dyDescent="0.25" r="8226" customHeight="1" ht="18.75">
      <c r="A8226" s="1" t="s">
        <v>3598</v>
      </c>
      <c r="B8226" s="1" t="s">
        <v>19642</v>
      </c>
      <c r="C8226" s="1" t="s">
        <v>3600</v>
      </c>
      <c r="D8226" s="1" t="s">
        <v>3610</v>
      </c>
      <c r="E8226" s="1" t="s">
        <v>3752</v>
      </c>
      <c r="F8226" s="1" t="s">
        <v>27576</v>
      </c>
      <c r="G8226" s="1" t="s">
        <v>27577</v>
      </c>
      <c r="H8226" s="1" t="s">
        <v>3604</v>
      </c>
      <c r="I8226" s="1" t="s">
        <v>27578</v>
      </c>
      <c r="J8226" s="1" t="s">
        <v>3615</v>
      </c>
      <c r="K8226" s="1" t="s">
        <v>27579</v>
      </c>
      <c r="L8226" s="1"/>
      <c r="M8226" s="1"/>
    </row>
    <row x14ac:dyDescent="0.25" r="8227" customHeight="1" ht="18.75">
      <c r="A8227" s="1" t="s">
        <v>3598</v>
      </c>
      <c r="B8227" s="1" t="s">
        <v>18410</v>
      </c>
      <c r="C8227" s="1" t="s">
        <v>3600</v>
      </c>
      <c r="D8227" s="1" t="s">
        <v>3610</v>
      </c>
      <c r="E8227" s="1" t="s">
        <v>3752</v>
      </c>
      <c r="F8227" s="1" t="s">
        <v>27580</v>
      </c>
      <c r="G8227" s="1" t="s">
        <v>27581</v>
      </c>
      <c r="H8227" s="1" t="s">
        <v>3604</v>
      </c>
      <c r="I8227" s="1" t="s">
        <v>27582</v>
      </c>
      <c r="J8227" s="1" t="s">
        <v>3615</v>
      </c>
      <c r="K8227" s="1" t="s">
        <v>26776</v>
      </c>
      <c r="L8227" s="1"/>
      <c r="M8227" s="1"/>
    </row>
    <row x14ac:dyDescent="0.25" r="8228" customHeight="1" ht="18.75">
      <c r="A8228" s="1" t="s">
        <v>3598</v>
      </c>
      <c r="B8228" s="1" t="s">
        <v>18410</v>
      </c>
      <c r="C8228" s="1" t="s">
        <v>3600</v>
      </c>
      <c r="D8228" s="1" t="s">
        <v>3610</v>
      </c>
      <c r="E8228" s="1" t="s">
        <v>3752</v>
      </c>
      <c r="F8228" s="1" t="s">
        <v>27583</v>
      </c>
      <c r="G8228" s="1" t="s">
        <v>27584</v>
      </c>
      <c r="H8228" s="1" t="s">
        <v>3604</v>
      </c>
      <c r="I8228" s="1" t="s">
        <v>27585</v>
      </c>
      <c r="J8228" s="1" t="s">
        <v>3615</v>
      </c>
      <c r="K8228" s="1" t="s">
        <v>26825</v>
      </c>
      <c r="L8228" s="1"/>
      <c r="M8228" s="1"/>
    </row>
    <row x14ac:dyDescent="0.25" r="8229" customHeight="1" ht="18.75">
      <c r="A8229" s="1" t="s">
        <v>3598</v>
      </c>
      <c r="B8229" s="1" t="s">
        <v>18410</v>
      </c>
      <c r="C8229" s="1" t="s">
        <v>3600</v>
      </c>
      <c r="D8229" s="1" t="s">
        <v>3610</v>
      </c>
      <c r="E8229" s="1" t="s">
        <v>3752</v>
      </c>
      <c r="F8229" s="1" t="s">
        <v>27586</v>
      </c>
      <c r="G8229" s="1" t="s">
        <v>27587</v>
      </c>
      <c r="H8229" s="1" t="s">
        <v>3604</v>
      </c>
      <c r="I8229" s="1" t="s">
        <v>27588</v>
      </c>
      <c r="J8229" s="1" t="s">
        <v>3615</v>
      </c>
      <c r="K8229" s="1" t="s">
        <v>26014</v>
      </c>
      <c r="L8229" s="1"/>
      <c r="M8229" s="1"/>
    </row>
    <row x14ac:dyDescent="0.25" r="8230" customHeight="1" ht="18.75">
      <c r="A8230" s="1" t="s">
        <v>3598</v>
      </c>
      <c r="B8230" s="1" t="s">
        <v>5252</v>
      </c>
      <c r="C8230" s="1" t="s">
        <v>3600</v>
      </c>
      <c r="D8230" s="1" t="s">
        <v>3610</v>
      </c>
      <c r="E8230" s="1" t="s">
        <v>3752</v>
      </c>
      <c r="F8230" s="1" t="s">
        <v>27589</v>
      </c>
      <c r="G8230" s="1" t="s">
        <v>27590</v>
      </c>
      <c r="H8230" s="1" t="s">
        <v>3604</v>
      </c>
      <c r="I8230" s="1" t="s">
        <v>27591</v>
      </c>
      <c r="J8230" s="1" t="s">
        <v>3615</v>
      </c>
      <c r="K8230" s="1" t="s">
        <v>27592</v>
      </c>
      <c r="L8230" s="1"/>
      <c r="M8230" s="1"/>
    </row>
    <row x14ac:dyDescent="0.25" r="8231" customHeight="1" ht="18.75">
      <c r="A8231" s="1" t="s">
        <v>3598</v>
      </c>
      <c r="B8231" s="1" t="s">
        <v>5252</v>
      </c>
      <c r="C8231" s="1" t="s">
        <v>3600</v>
      </c>
      <c r="D8231" s="1" t="s">
        <v>3610</v>
      </c>
      <c r="E8231" s="1" t="s">
        <v>3752</v>
      </c>
      <c r="F8231" s="1" t="s">
        <v>27593</v>
      </c>
      <c r="G8231" s="1" t="s">
        <v>27590</v>
      </c>
      <c r="H8231" s="1" t="s">
        <v>3604</v>
      </c>
      <c r="I8231" s="1" t="s">
        <v>27594</v>
      </c>
      <c r="J8231" s="1" t="s">
        <v>3615</v>
      </c>
      <c r="K8231" s="1" t="s">
        <v>27595</v>
      </c>
      <c r="L8231" s="1"/>
      <c r="M8231" s="1"/>
    </row>
    <row x14ac:dyDescent="0.25" r="8232" customHeight="1" ht="18.75">
      <c r="A8232" s="1" t="s">
        <v>3598</v>
      </c>
      <c r="B8232" s="1" t="s">
        <v>5252</v>
      </c>
      <c r="C8232" s="1" t="s">
        <v>3600</v>
      </c>
      <c r="D8232" s="1" t="s">
        <v>3610</v>
      </c>
      <c r="E8232" s="1" t="s">
        <v>3752</v>
      </c>
      <c r="F8232" s="1" t="s">
        <v>27596</v>
      </c>
      <c r="G8232" s="1" t="s">
        <v>27590</v>
      </c>
      <c r="H8232" s="1" t="s">
        <v>3604</v>
      </c>
      <c r="I8232" s="1" t="s">
        <v>27597</v>
      </c>
      <c r="J8232" s="1" t="s">
        <v>3615</v>
      </c>
      <c r="K8232" s="1" t="s">
        <v>27598</v>
      </c>
      <c r="L8232" s="1"/>
      <c r="M8232" s="1"/>
    </row>
    <row x14ac:dyDescent="0.25" r="8233" customHeight="1" ht="18.75">
      <c r="A8233" s="1" t="s">
        <v>3598</v>
      </c>
      <c r="B8233" s="1" t="s">
        <v>5252</v>
      </c>
      <c r="C8233" s="1" t="s">
        <v>3600</v>
      </c>
      <c r="D8233" s="1" t="s">
        <v>3610</v>
      </c>
      <c r="E8233" s="1" t="s">
        <v>3752</v>
      </c>
      <c r="F8233" s="1" t="s">
        <v>27599</v>
      </c>
      <c r="G8233" s="1" t="s">
        <v>27600</v>
      </c>
      <c r="H8233" s="1" t="s">
        <v>3604</v>
      </c>
      <c r="I8233" s="1" t="s">
        <v>27601</v>
      </c>
      <c r="J8233" s="1" t="s">
        <v>3615</v>
      </c>
      <c r="K8233" s="1" t="s">
        <v>27602</v>
      </c>
      <c r="L8233" s="1"/>
      <c r="M8233" s="1"/>
    </row>
    <row x14ac:dyDescent="0.25" r="8234" customHeight="1" ht="18.75">
      <c r="A8234" s="1" t="s">
        <v>3598</v>
      </c>
      <c r="B8234" s="1" t="s">
        <v>5252</v>
      </c>
      <c r="C8234" s="1" t="s">
        <v>3600</v>
      </c>
      <c r="D8234" s="1" t="s">
        <v>3610</v>
      </c>
      <c r="E8234" s="1" t="s">
        <v>3752</v>
      </c>
      <c r="F8234" s="1" t="s">
        <v>27603</v>
      </c>
      <c r="G8234" s="1" t="s">
        <v>27600</v>
      </c>
      <c r="H8234" s="1" t="s">
        <v>3604</v>
      </c>
      <c r="I8234" s="1" t="s">
        <v>27604</v>
      </c>
      <c r="J8234" s="1" t="s">
        <v>3615</v>
      </c>
      <c r="K8234" s="1" t="s">
        <v>27605</v>
      </c>
      <c r="L8234" s="1"/>
      <c r="M8234" s="1"/>
    </row>
    <row x14ac:dyDescent="0.25" r="8235" customHeight="1" ht="18.75">
      <c r="A8235" s="1" t="s">
        <v>3598</v>
      </c>
      <c r="B8235" s="1" t="s">
        <v>5252</v>
      </c>
      <c r="C8235" s="1" t="s">
        <v>3600</v>
      </c>
      <c r="D8235" s="1" t="s">
        <v>3610</v>
      </c>
      <c r="E8235" s="1" t="s">
        <v>3752</v>
      </c>
      <c r="F8235" s="1" t="s">
        <v>27606</v>
      </c>
      <c r="G8235" s="1" t="s">
        <v>27600</v>
      </c>
      <c r="H8235" s="1" t="s">
        <v>3604</v>
      </c>
      <c r="I8235" s="1" t="s">
        <v>27607</v>
      </c>
      <c r="J8235" s="1" t="s">
        <v>3615</v>
      </c>
      <c r="K8235" s="1" t="s">
        <v>27608</v>
      </c>
      <c r="L8235" s="1"/>
      <c r="M8235" s="1"/>
    </row>
    <row x14ac:dyDescent="0.25" r="8236" customHeight="1" ht="18.75">
      <c r="A8236" s="1" t="s">
        <v>3598</v>
      </c>
      <c r="B8236" s="1" t="s">
        <v>5252</v>
      </c>
      <c r="C8236" s="1" t="s">
        <v>3600</v>
      </c>
      <c r="D8236" s="1" t="s">
        <v>3610</v>
      </c>
      <c r="E8236" s="1" t="s">
        <v>3752</v>
      </c>
      <c r="F8236" s="1" t="s">
        <v>27609</v>
      </c>
      <c r="G8236" s="1" t="s">
        <v>27610</v>
      </c>
      <c r="H8236" s="1" t="s">
        <v>3604</v>
      </c>
      <c r="I8236" s="1" t="s">
        <v>27611</v>
      </c>
      <c r="J8236" s="1" t="s">
        <v>3615</v>
      </c>
      <c r="K8236" s="1" t="s">
        <v>27556</v>
      </c>
      <c r="L8236" s="1"/>
      <c r="M8236" s="1"/>
    </row>
    <row x14ac:dyDescent="0.25" r="8237" customHeight="1" ht="18.75">
      <c r="A8237" s="1" t="s">
        <v>3598</v>
      </c>
      <c r="B8237" s="1" t="s">
        <v>5252</v>
      </c>
      <c r="C8237" s="1" t="s">
        <v>3600</v>
      </c>
      <c r="D8237" s="1" t="s">
        <v>3610</v>
      </c>
      <c r="E8237" s="1" t="s">
        <v>3752</v>
      </c>
      <c r="F8237" s="1" t="s">
        <v>27612</v>
      </c>
      <c r="G8237" s="1" t="s">
        <v>27610</v>
      </c>
      <c r="H8237" s="1" t="s">
        <v>3604</v>
      </c>
      <c r="I8237" s="1" t="s">
        <v>27613</v>
      </c>
      <c r="J8237" s="1" t="s">
        <v>3615</v>
      </c>
      <c r="K8237" s="1" t="s">
        <v>27559</v>
      </c>
      <c r="L8237" s="1"/>
      <c r="M8237" s="1"/>
    </row>
    <row x14ac:dyDescent="0.25" r="8238" customHeight="1" ht="18.75">
      <c r="A8238" s="1" t="s">
        <v>3598</v>
      </c>
      <c r="B8238" s="1" t="s">
        <v>5252</v>
      </c>
      <c r="C8238" s="1" t="s">
        <v>3600</v>
      </c>
      <c r="D8238" s="1" t="s">
        <v>3610</v>
      </c>
      <c r="E8238" s="1" t="s">
        <v>3752</v>
      </c>
      <c r="F8238" s="1" t="s">
        <v>27614</v>
      </c>
      <c r="G8238" s="1" t="s">
        <v>27610</v>
      </c>
      <c r="H8238" s="1" t="s">
        <v>3604</v>
      </c>
      <c r="I8238" s="1" t="s">
        <v>27615</v>
      </c>
      <c r="J8238" s="1" t="s">
        <v>3615</v>
      </c>
      <c r="K8238" s="1" t="s">
        <v>27562</v>
      </c>
      <c r="L8238" s="1"/>
      <c r="M8238" s="1"/>
    </row>
    <row x14ac:dyDescent="0.25" r="8239" customHeight="1" ht="18.75">
      <c r="A8239" s="1" t="s">
        <v>3598</v>
      </c>
      <c r="B8239" s="1" t="s">
        <v>9231</v>
      </c>
      <c r="C8239" s="1" t="s">
        <v>3600</v>
      </c>
      <c r="D8239" s="1" t="s">
        <v>3610</v>
      </c>
      <c r="E8239" s="1" t="s">
        <v>3752</v>
      </c>
      <c r="F8239" s="1" t="s">
        <v>27616</v>
      </c>
      <c r="G8239" s="1" t="s">
        <v>27617</v>
      </c>
      <c r="H8239" s="1" t="s">
        <v>3604</v>
      </c>
      <c r="I8239" s="1" t="s">
        <v>27618</v>
      </c>
      <c r="J8239" s="1" t="s">
        <v>3615</v>
      </c>
      <c r="K8239" s="1" t="s">
        <v>26672</v>
      </c>
      <c r="L8239" s="1"/>
      <c r="M8239" s="1"/>
    </row>
    <row x14ac:dyDescent="0.25" r="8240" customHeight="1" ht="18.75">
      <c r="A8240" s="1" t="s">
        <v>3598</v>
      </c>
      <c r="B8240" s="1" t="s">
        <v>9231</v>
      </c>
      <c r="C8240" s="1" t="s">
        <v>3600</v>
      </c>
      <c r="D8240" s="1" t="s">
        <v>3610</v>
      </c>
      <c r="E8240" s="1" t="s">
        <v>3752</v>
      </c>
      <c r="F8240" s="1" t="s">
        <v>27619</v>
      </c>
      <c r="G8240" s="1" t="s">
        <v>27620</v>
      </c>
      <c r="H8240" s="1" t="s">
        <v>3604</v>
      </c>
      <c r="I8240" s="1" t="s">
        <v>27621</v>
      </c>
      <c r="J8240" s="1" t="s">
        <v>3615</v>
      </c>
      <c r="K8240" s="1" t="s">
        <v>26961</v>
      </c>
      <c r="L8240" s="1"/>
      <c r="M8240" s="1"/>
    </row>
    <row x14ac:dyDescent="0.25" r="8241" customHeight="1" ht="18.75">
      <c r="A8241" s="1" t="s">
        <v>3598</v>
      </c>
      <c r="B8241" s="1" t="s">
        <v>9231</v>
      </c>
      <c r="C8241" s="1" t="s">
        <v>3600</v>
      </c>
      <c r="D8241" s="1" t="s">
        <v>3610</v>
      </c>
      <c r="E8241" s="1" t="s">
        <v>3752</v>
      </c>
      <c r="F8241" s="1" t="s">
        <v>27622</v>
      </c>
      <c r="G8241" s="1" t="s">
        <v>27623</v>
      </c>
      <c r="H8241" s="1" t="s">
        <v>3604</v>
      </c>
      <c r="I8241" s="1" t="s">
        <v>27624</v>
      </c>
      <c r="J8241" s="1" t="s">
        <v>3615</v>
      </c>
      <c r="K8241" s="1" t="s">
        <v>26790</v>
      </c>
      <c r="L8241" s="1"/>
      <c r="M8241" s="1"/>
    </row>
    <row x14ac:dyDescent="0.25" r="8242" customHeight="1" ht="18.75">
      <c r="A8242" s="1" t="s">
        <v>3598</v>
      </c>
      <c r="B8242" s="1" t="s">
        <v>9231</v>
      </c>
      <c r="C8242" s="1" t="s">
        <v>3600</v>
      </c>
      <c r="D8242" s="1" t="s">
        <v>3610</v>
      </c>
      <c r="E8242" s="1" t="s">
        <v>3752</v>
      </c>
      <c r="F8242" s="1" t="s">
        <v>27625</v>
      </c>
      <c r="G8242" s="1" t="s">
        <v>27623</v>
      </c>
      <c r="H8242" s="1" t="s">
        <v>3604</v>
      </c>
      <c r="I8242" s="1" t="s">
        <v>27626</v>
      </c>
      <c r="J8242" s="1" t="s">
        <v>3615</v>
      </c>
      <c r="K8242" s="1" t="s">
        <v>26793</v>
      </c>
      <c r="L8242" s="1"/>
      <c r="M8242" s="1"/>
    </row>
    <row x14ac:dyDescent="0.25" r="8243" customHeight="1" ht="18.75">
      <c r="A8243" s="1" t="s">
        <v>3598</v>
      </c>
      <c r="B8243" s="1" t="s">
        <v>9231</v>
      </c>
      <c r="C8243" s="1" t="s">
        <v>3600</v>
      </c>
      <c r="D8243" s="1" t="s">
        <v>3610</v>
      </c>
      <c r="E8243" s="1" t="s">
        <v>3752</v>
      </c>
      <c r="F8243" s="1" t="s">
        <v>27627</v>
      </c>
      <c r="G8243" s="1" t="s">
        <v>27623</v>
      </c>
      <c r="H8243" s="1" t="s">
        <v>3604</v>
      </c>
      <c r="I8243" s="1" t="s">
        <v>27628</v>
      </c>
      <c r="J8243" s="1" t="s">
        <v>3615</v>
      </c>
      <c r="K8243" s="1" t="s">
        <v>26776</v>
      </c>
      <c r="L8243" s="1"/>
      <c r="M8243" s="1"/>
    </row>
    <row x14ac:dyDescent="0.25" r="8244" customHeight="1" ht="18.75">
      <c r="A8244" s="1" t="s">
        <v>3598</v>
      </c>
      <c r="B8244" s="1" t="s">
        <v>9231</v>
      </c>
      <c r="C8244" s="1" t="s">
        <v>3600</v>
      </c>
      <c r="D8244" s="1" t="s">
        <v>3610</v>
      </c>
      <c r="E8244" s="1" t="s">
        <v>3752</v>
      </c>
      <c r="F8244" s="1" t="s">
        <v>27629</v>
      </c>
      <c r="G8244" s="1" t="s">
        <v>27623</v>
      </c>
      <c r="H8244" s="1" t="s">
        <v>3604</v>
      </c>
      <c r="I8244" s="1" t="s">
        <v>27630</v>
      </c>
      <c r="J8244" s="1" t="s">
        <v>3615</v>
      </c>
      <c r="K8244" s="1" t="s">
        <v>27631</v>
      </c>
      <c r="L8244" s="1"/>
      <c r="M8244" s="1"/>
    </row>
    <row x14ac:dyDescent="0.25" r="8245" customHeight="1" ht="18.75">
      <c r="A8245" s="1" t="s">
        <v>3598</v>
      </c>
      <c r="B8245" s="1" t="s">
        <v>9231</v>
      </c>
      <c r="C8245" s="1" t="s">
        <v>3600</v>
      </c>
      <c r="D8245" s="1" t="s">
        <v>3610</v>
      </c>
      <c r="E8245" s="1" t="s">
        <v>3752</v>
      </c>
      <c r="F8245" s="1" t="s">
        <v>27632</v>
      </c>
      <c r="G8245" s="1" t="s">
        <v>27633</v>
      </c>
      <c r="H8245" s="1" t="s">
        <v>3604</v>
      </c>
      <c r="I8245" s="1" t="s">
        <v>27634</v>
      </c>
      <c r="J8245" s="1" t="s">
        <v>3615</v>
      </c>
      <c r="K8245" s="1" t="s">
        <v>27533</v>
      </c>
      <c r="L8245" s="1"/>
      <c r="M8245" s="1"/>
    </row>
    <row x14ac:dyDescent="0.25" r="8246" customHeight="1" ht="18.75">
      <c r="A8246" s="1" t="s">
        <v>3598</v>
      </c>
      <c r="B8246" s="1" t="s">
        <v>9231</v>
      </c>
      <c r="C8246" s="1" t="s">
        <v>3600</v>
      </c>
      <c r="D8246" s="1" t="s">
        <v>3610</v>
      </c>
      <c r="E8246" s="1" t="s">
        <v>3752</v>
      </c>
      <c r="F8246" s="1" t="s">
        <v>27635</v>
      </c>
      <c r="G8246" s="1" t="s">
        <v>27633</v>
      </c>
      <c r="H8246" s="1" t="s">
        <v>3604</v>
      </c>
      <c r="I8246" s="1" t="s">
        <v>27636</v>
      </c>
      <c r="J8246" s="1" t="s">
        <v>3615</v>
      </c>
      <c r="K8246" s="1" t="s">
        <v>27536</v>
      </c>
      <c r="L8246" s="1"/>
      <c r="M8246" s="1"/>
    </row>
    <row x14ac:dyDescent="0.25" r="8247" customHeight="1" ht="18.75">
      <c r="A8247" s="1" t="s">
        <v>3598</v>
      </c>
      <c r="B8247" s="1" t="s">
        <v>9231</v>
      </c>
      <c r="C8247" s="1" t="s">
        <v>3600</v>
      </c>
      <c r="D8247" s="1" t="s">
        <v>3610</v>
      </c>
      <c r="E8247" s="1" t="s">
        <v>3752</v>
      </c>
      <c r="F8247" s="1" t="s">
        <v>27637</v>
      </c>
      <c r="G8247" s="1" t="s">
        <v>27638</v>
      </c>
      <c r="H8247" s="1" t="s">
        <v>3604</v>
      </c>
      <c r="I8247" s="1" t="s">
        <v>27639</v>
      </c>
      <c r="J8247" s="1" t="s">
        <v>3615</v>
      </c>
      <c r="K8247" s="1" t="s">
        <v>27640</v>
      </c>
      <c r="L8247" s="1"/>
      <c r="M8247" s="1"/>
    </row>
    <row x14ac:dyDescent="0.25" r="8248" customHeight="1" ht="18.75">
      <c r="A8248" s="1" t="s">
        <v>3598</v>
      </c>
      <c r="B8248" s="1" t="s">
        <v>9231</v>
      </c>
      <c r="C8248" s="1" t="s">
        <v>3600</v>
      </c>
      <c r="D8248" s="1" t="s">
        <v>3610</v>
      </c>
      <c r="E8248" s="1" t="s">
        <v>3752</v>
      </c>
      <c r="F8248" s="1" t="s">
        <v>27641</v>
      </c>
      <c r="G8248" s="1" t="s">
        <v>27642</v>
      </c>
      <c r="H8248" s="1" t="s">
        <v>3604</v>
      </c>
      <c r="I8248" s="1" t="s">
        <v>27643</v>
      </c>
      <c r="J8248" s="1" t="s">
        <v>3615</v>
      </c>
      <c r="K8248" s="1" t="s">
        <v>27644</v>
      </c>
      <c r="L8248" s="1"/>
      <c r="M8248" s="1"/>
    </row>
    <row x14ac:dyDescent="0.25" r="8249" customHeight="1" ht="18.75">
      <c r="A8249" s="1" t="s">
        <v>3598</v>
      </c>
      <c r="B8249" s="1" t="s">
        <v>9231</v>
      </c>
      <c r="C8249" s="1" t="s">
        <v>3600</v>
      </c>
      <c r="D8249" s="1" t="s">
        <v>3610</v>
      </c>
      <c r="E8249" s="1" t="s">
        <v>3752</v>
      </c>
      <c r="F8249" s="1" t="s">
        <v>27645</v>
      </c>
      <c r="G8249" s="1" t="s">
        <v>27642</v>
      </c>
      <c r="H8249" s="1" t="s">
        <v>3604</v>
      </c>
      <c r="I8249" s="1" t="s">
        <v>27646</v>
      </c>
      <c r="J8249" s="1" t="s">
        <v>3615</v>
      </c>
      <c r="K8249" s="1" t="s">
        <v>27647</v>
      </c>
      <c r="L8249" s="1"/>
      <c r="M8249" s="1"/>
    </row>
    <row x14ac:dyDescent="0.25" r="8250" customHeight="1" ht="18.75">
      <c r="A8250" s="1" t="s">
        <v>3598</v>
      </c>
      <c r="B8250" s="1" t="s">
        <v>9231</v>
      </c>
      <c r="C8250" s="1" t="s">
        <v>3600</v>
      </c>
      <c r="D8250" s="1" t="s">
        <v>3610</v>
      </c>
      <c r="E8250" s="1" t="s">
        <v>3752</v>
      </c>
      <c r="F8250" s="1" t="s">
        <v>27648</v>
      </c>
      <c r="G8250" s="1" t="s">
        <v>27649</v>
      </c>
      <c r="H8250" s="1" t="s">
        <v>3604</v>
      </c>
      <c r="I8250" s="1" t="s">
        <v>27650</v>
      </c>
      <c r="J8250" s="1" t="s">
        <v>3615</v>
      </c>
      <c r="K8250" s="1" t="s">
        <v>27651</v>
      </c>
      <c r="L8250" s="1"/>
      <c r="M8250" s="1"/>
    </row>
    <row x14ac:dyDescent="0.25" r="8251" customHeight="1" ht="18.75">
      <c r="A8251" s="1" t="s">
        <v>3598</v>
      </c>
      <c r="B8251" s="1" t="s">
        <v>9231</v>
      </c>
      <c r="C8251" s="1" t="s">
        <v>3600</v>
      </c>
      <c r="D8251" s="1" t="s">
        <v>3610</v>
      </c>
      <c r="E8251" s="1" t="s">
        <v>3752</v>
      </c>
      <c r="F8251" s="1" t="s">
        <v>27652</v>
      </c>
      <c r="G8251" s="1" t="s">
        <v>27649</v>
      </c>
      <c r="H8251" s="1" t="s">
        <v>3604</v>
      </c>
      <c r="I8251" s="1" t="s">
        <v>27653</v>
      </c>
      <c r="J8251" s="1" t="s">
        <v>3615</v>
      </c>
      <c r="K8251" s="1" t="s">
        <v>27654</v>
      </c>
      <c r="L8251" s="1"/>
      <c r="M8251" s="1"/>
    </row>
    <row x14ac:dyDescent="0.25" r="8252" customHeight="1" ht="18.75">
      <c r="A8252" s="1" t="s">
        <v>3598</v>
      </c>
      <c r="B8252" s="1" t="s">
        <v>9231</v>
      </c>
      <c r="C8252" s="1" t="s">
        <v>3600</v>
      </c>
      <c r="D8252" s="1" t="s">
        <v>3610</v>
      </c>
      <c r="E8252" s="1" t="s">
        <v>3752</v>
      </c>
      <c r="F8252" s="1" t="s">
        <v>27655</v>
      </c>
      <c r="G8252" s="1" t="s">
        <v>27649</v>
      </c>
      <c r="H8252" s="1" t="s">
        <v>3604</v>
      </c>
      <c r="I8252" s="1" t="s">
        <v>27656</v>
      </c>
      <c r="J8252" s="1" t="s">
        <v>3615</v>
      </c>
      <c r="K8252" s="1" t="s">
        <v>27657</v>
      </c>
      <c r="L8252" s="1"/>
      <c r="M8252" s="1"/>
    </row>
    <row x14ac:dyDescent="0.25" r="8253" customHeight="1" ht="18.75">
      <c r="A8253" s="1" t="s">
        <v>3598</v>
      </c>
      <c r="B8253" s="1" t="s">
        <v>9231</v>
      </c>
      <c r="C8253" s="1" t="s">
        <v>3600</v>
      </c>
      <c r="D8253" s="1" t="s">
        <v>3610</v>
      </c>
      <c r="E8253" s="1" t="s">
        <v>3752</v>
      </c>
      <c r="F8253" s="1" t="s">
        <v>27658</v>
      </c>
      <c r="G8253" s="1" t="s">
        <v>27659</v>
      </c>
      <c r="H8253" s="1" t="s">
        <v>3604</v>
      </c>
      <c r="I8253" s="1" t="s">
        <v>27660</v>
      </c>
      <c r="J8253" s="1" t="s">
        <v>3615</v>
      </c>
      <c r="K8253" s="1" t="s">
        <v>27661</v>
      </c>
      <c r="L8253" s="1"/>
      <c r="M8253" s="1"/>
    </row>
    <row x14ac:dyDescent="0.25" r="8254" customHeight="1" ht="18.75">
      <c r="A8254" s="1" t="s">
        <v>3598</v>
      </c>
      <c r="B8254" s="1" t="s">
        <v>9231</v>
      </c>
      <c r="C8254" s="1" t="s">
        <v>3600</v>
      </c>
      <c r="D8254" s="1" t="s">
        <v>3610</v>
      </c>
      <c r="E8254" s="1" t="s">
        <v>3752</v>
      </c>
      <c r="F8254" s="1" t="s">
        <v>27662</v>
      </c>
      <c r="G8254" s="1" t="s">
        <v>27659</v>
      </c>
      <c r="H8254" s="1" t="s">
        <v>3604</v>
      </c>
      <c r="I8254" s="1" t="s">
        <v>27663</v>
      </c>
      <c r="J8254" s="1" t="s">
        <v>3615</v>
      </c>
      <c r="K8254" s="1" t="s">
        <v>27664</v>
      </c>
      <c r="L8254" s="1"/>
      <c r="M8254" s="1"/>
    </row>
    <row x14ac:dyDescent="0.25" r="8255" customHeight="1" ht="18.75">
      <c r="A8255" s="1" t="s">
        <v>3598</v>
      </c>
      <c r="B8255" s="1" t="s">
        <v>9231</v>
      </c>
      <c r="C8255" s="1" t="s">
        <v>3600</v>
      </c>
      <c r="D8255" s="1" t="s">
        <v>3610</v>
      </c>
      <c r="E8255" s="1" t="s">
        <v>3752</v>
      </c>
      <c r="F8255" s="1" t="s">
        <v>27665</v>
      </c>
      <c r="G8255" s="1" t="s">
        <v>27659</v>
      </c>
      <c r="H8255" s="1" t="s">
        <v>3604</v>
      </c>
      <c r="I8255" s="1" t="s">
        <v>27666</v>
      </c>
      <c r="J8255" s="1" t="s">
        <v>3615</v>
      </c>
      <c r="K8255" s="1" t="s">
        <v>27667</v>
      </c>
      <c r="L8255" s="1"/>
      <c r="M8255" s="1"/>
    </row>
    <row x14ac:dyDescent="0.25" r="8256" customHeight="1" ht="18.75">
      <c r="A8256" s="1" t="s">
        <v>3598</v>
      </c>
      <c r="B8256" s="1" t="s">
        <v>15569</v>
      </c>
      <c r="C8256" s="1" t="s">
        <v>3600</v>
      </c>
      <c r="D8256" s="1" t="s">
        <v>3610</v>
      </c>
      <c r="E8256" s="1" t="s">
        <v>3752</v>
      </c>
      <c r="F8256" s="1" t="s">
        <v>27668</v>
      </c>
      <c r="G8256" s="1" t="s">
        <v>27669</v>
      </c>
      <c r="H8256" s="1" t="s">
        <v>3604</v>
      </c>
      <c r="I8256" s="1" t="s">
        <v>27670</v>
      </c>
      <c r="J8256" s="1" t="s">
        <v>3615</v>
      </c>
      <c r="K8256" s="1" t="s">
        <v>26790</v>
      </c>
      <c r="L8256" s="1"/>
      <c r="M8256" s="1"/>
    </row>
    <row x14ac:dyDescent="0.25" r="8257" customHeight="1" ht="18.75">
      <c r="A8257" s="1" t="s">
        <v>3598</v>
      </c>
      <c r="B8257" s="1" t="s">
        <v>15569</v>
      </c>
      <c r="C8257" s="1" t="s">
        <v>3600</v>
      </c>
      <c r="D8257" s="1" t="s">
        <v>3610</v>
      </c>
      <c r="E8257" s="1" t="s">
        <v>3752</v>
      </c>
      <c r="F8257" s="1" t="s">
        <v>27671</v>
      </c>
      <c r="G8257" s="1" t="s">
        <v>27669</v>
      </c>
      <c r="H8257" s="1" t="s">
        <v>3604</v>
      </c>
      <c r="I8257" s="1" t="s">
        <v>27672</v>
      </c>
      <c r="J8257" s="1" t="s">
        <v>3615</v>
      </c>
      <c r="K8257" s="1" t="s">
        <v>26793</v>
      </c>
      <c r="L8257" s="1"/>
      <c r="M8257" s="1"/>
    </row>
    <row x14ac:dyDescent="0.25" r="8258" customHeight="1" ht="18.75">
      <c r="A8258" s="1" t="s">
        <v>3598</v>
      </c>
      <c r="B8258" s="1" t="s">
        <v>15569</v>
      </c>
      <c r="C8258" s="1" t="s">
        <v>3600</v>
      </c>
      <c r="D8258" s="1" t="s">
        <v>3610</v>
      </c>
      <c r="E8258" s="1" t="s">
        <v>3752</v>
      </c>
      <c r="F8258" s="1" t="s">
        <v>27673</v>
      </c>
      <c r="G8258" s="1" t="s">
        <v>27674</v>
      </c>
      <c r="H8258" s="1" t="s">
        <v>3604</v>
      </c>
      <c r="I8258" s="1" t="s">
        <v>27675</v>
      </c>
      <c r="J8258" s="1" t="s">
        <v>3615</v>
      </c>
      <c r="K8258" s="1" t="s">
        <v>26799</v>
      </c>
      <c r="L8258" s="1"/>
      <c r="M8258" s="1"/>
    </row>
    <row x14ac:dyDescent="0.25" r="8259" customHeight="1" ht="18.75">
      <c r="A8259" s="1" t="s">
        <v>3598</v>
      </c>
      <c r="B8259" s="1" t="s">
        <v>15569</v>
      </c>
      <c r="C8259" s="1" t="s">
        <v>3600</v>
      </c>
      <c r="D8259" s="1" t="s">
        <v>3610</v>
      </c>
      <c r="E8259" s="1" t="s">
        <v>3752</v>
      </c>
      <c r="F8259" s="1" t="s">
        <v>27676</v>
      </c>
      <c r="G8259" s="1" t="s">
        <v>27674</v>
      </c>
      <c r="H8259" s="1" t="s">
        <v>3604</v>
      </c>
      <c r="I8259" s="1" t="s">
        <v>27677</v>
      </c>
      <c r="J8259" s="1" t="s">
        <v>3615</v>
      </c>
      <c r="K8259" s="1" t="s">
        <v>26802</v>
      </c>
      <c r="L8259" s="1"/>
      <c r="M8259" s="1"/>
    </row>
    <row x14ac:dyDescent="0.25" r="8260" customHeight="1" ht="18.75">
      <c r="A8260" s="1" t="s">
        <v>3598</v>
      </c>
      <c r="B8260" s="1" t="s">
        <v>15569</v>
      </c>
      <c r="C8260" s="1" t="s">
        <v>3600</v>
      </c>
      <c r="D8260" s="1" t="s">
        <v>3610</v>
      </c>
      <c r="E8260" s="1" t="s">
        <v>3752</v>
      </c>
      <c r="F8260" s="1" t="s">
        <v>27678</v>
      </c>
      <c r="G8260" s="1" t="s">
        <v>27679</v>
      </c>
      <c r="H8260" s="1" t="s">
        <v>3604</v>
      </c>
      <c r="I8260" s="1" t="s">
        <v>27680</v>
      </c>
      <c r="J8260" s="1" t="s">
        <v>3615</v>
      </c>
      <c r="K8260" s="1" t="s">
        <v>26809</v>
      </c>
      <c r="L8260" s="1"/>
      <c r="M8260" s="1"/>
    </row>
    <row x14ac:dyDescent="0.25" r="8261" customHeight="1" ht="18.75">
      <c r="A8261" s="1" t="s">
        <v>3598</v>
      </c>
      <c r="B8261" s="1" t="s">
        <v>15569</v>
      </c>
      <c r="C8261" s="1" t="s">
        <v>3600</v>
      </c>
      <c r="D8261" s="1" t="s">
        <v>3610</v>
      </c>
      <c r="E8261" s="1" t="s">
        <v>3752</v>
      </c>
      <c r="F8261" s="1" t="s">
        <v>27681</v>
      </c>
      <c r="G8261" s="1" t="s">
        <v>27679</v>
      </c>
      <c r="H8261" s="1" t="s">
        <v>3604</v>
      </c>
      <c r="I8261" s="1" t="s">
        <v>27682</v>
      </c>
      <c r="J8261" s="1" t="s">
        <v>3615</v>
      </c>
      <c r="K8261" s="1" t="s">
        <v>26812</v>
      </c>
      <c r="L8261" s="1"/>
      <c r="M8261" s="1"/>
    </row>
    <row x14ac:dyDescent="0.25" r="8262" customHeight="1" ht="18.75">
      <c r="A8262" s="1" t="s">
        <v>3598</v>
      </c>
      <c r="B8262" s="1" t="s">
        <v>3751</v>
      </c>
      <c r="C8262" s="1" t="s">
        <v>3600</v>
      </c>
      <c r="D8262" s="1" t="s">
        <v>3610</v>
      </c>
      <c r="E8262" s="1" t="s">
        <v>3752</v>
      </c>
      <c r="F8262" s="1" t="s">
        <v>27683</v>
      </c>
      <c r="G8262" s="1" t="s">
        <v>27684</v>
      </c>
      <c r="H8262" s="1" t="s">
        <v>3604</v>
      </c>
      <c r="I8262" s="1" t="s">
        <v>27685</v>
      </c>
      <c r="J8262" s="1" t="s">
        <v>3615</v>
      </c>
      <c r="K8262" s="1" t="s">
        <v>27686</v>
      </c>
      <c r="L8262" s="1"/>
      <c r="M8262" s="1"/>
    </row>
    <row x14ac:dyDescent="0.25" r="8263" customHeight="1" ht="18.75">
      <c r="A8263" s="1" t="s">
        <v>3598</v>
      </c>
      <c r="B8263" s="1" t="s">
        <v>3751</v>
      </c>
      <c r="C8263" s="1" t="s">
        <v>3600</v>
      </c>
      <c r="D8263" s="1" t="s">
        <v>3610</v>
      </c>
      <c r="E8263" s="1" t="s">
        <v>3752</v>
      </c>
      <c r="F8263" s="1" t="s">
        <v>27687</v>
      </c>
      <c r="G8263" s="1" t="s">
        <v>21443</v>
      </c>
      <c r="H8263" s="1" t="s">
        <v>3604</v>
      </c>
      <c r="I8263" s="1" t="s">
        <v>27688</v>
      </c>
      <c r="J8263" s="1" t="s">
        <v>3615</v>
      </c>
      <c r="K8263" s="1" t="s">
        <v>26799</v>
      </c>
      <c r="L8263" s="1"/>
      <c r="M8263" s="1"/>
    </row>
    <row x14ac:dyDescent="0.25" r="8264" customHeight="1" ht="18.75">
      <c r="A8264" s="1" t="s">
        <v>3598</v>
      </c>
      <c r="B8264" s="1" t="s">
        <v>3751</v>
      </c>
      <c r="C8264" s="1" t="s">
        <v>3600</v>
      </c>
      <c r="D8264" s="1" t="s">
        <v>3610</v>
      </c>
      <c r="E8264" s="1" t="s">
        <v>3752</v>
      </c>
      <c r="F8264" s="1" t="s">
        <v>27689</v>
      </c>
      <c r="G8264" s="1" t="s">
        <v>21443</v>
      </c>
      <c r="H8264" s="1" t="s">
        <v>3604</v>
      </c>
      <c r="I8264" s="1" t="s">
        <v>27690</v>
      </c>
      <c r="J8264" s="1" t="s">
        <v>3615</v>
      </c>
      <c r="K8264" s="1" t="s">
        <v>26802</v>
      </c>
      <c r="L8264" s="1"/>
      <c r="M8264" s="1"/>
    </row>
    <row x14ac:dyDescent="0.25" r="8265" customHeight="1" ht="18.75">
      <c r="A8265" s="1" t="s">
        <v>3598</v>
      </c>
      <c r="B8265" s="1" t="s">
        <v>3751</v>
      </c>
      <c r="C8265" s="1" t="s">
        <v>3600</v>
      </c>
      <c r="D8265" s="1" t="s">
        <v>3610</v>
      </c>
      <c r="E8265" s="1" t="s">
        <v>3752</v>
      </c>
      <c r="F8265" s="1" t="s">
        <v>27691</v>
      </c>
      <c r="G8265" s="1" t="s">
        <v>21443</v>
      </c>
      <c r="H8265" s="1" t="s">
        <v>3604</v>
      </c>
      <c r="I8265" s="1" t="s">
        <v>27692</v>
      </c>
      <c r="J8265" s="1" t="s">
        <v>3615</v>
      </c>
      <c r="K8265" s="1" t="s">
        <v>26805</v>
      </c>
      <c r="L8265" s="1"/>
      <c r="M8265" s="1"/>
    </row>
    <row x14ac:dyDescent="0.25" r="8266" customHeight="1" ht="18.75">
      <c r="A8266" s="1" t="s">
        <v>3598</v>
      </c>
      <c r="B8266" s="1" t="s">
        <v>3751</v>
      </c>
      <c r="C8266" s="1" t="s">
        <v>3600</v>
      </c>
      <c r="D8266" s="1" t="s">
        <v>3610</v>
      </c>
      <c r="E8266" s="1" t="s">
        <v>3752</v>
      </c>
      <c r="F8266" s="1" t="s">
        <v>27693</v>
      </c>
      <c r="G8266" s="1" t="s">
        <v>17089</v>
      </c>
      <c r="H8266" s="1" t="s">
        <v>3604</v>
      </c>
      <c r="I8266" s="1" t="s">
        <v>27694</v>
      </c>
      <c r="J8266" s="1" t="s">
        <v>3615</v>
      </c>
      <c r="K8266" s="1" t="s">
        <v>26819</v>
      </c>
      <c r="L8266" s="1"/>
      <c r="M8266" s="1"/>
    </row>
    <row x14ac:dyDescent="0.25" r="8267" customHeight="1" ht="18.75">
      <c r="A8267" s="1" t="s">
        <v>3598</v>
      </c>
      <c r="B8267" s="1" t="s">
        <v>3751</v>
      </c>
      <c r="C8267" s="1" t="s">
        <v>3600</v>
      </c>
      <c r="D8267" s="1" t="s">
        <v>3610</v>
      </c>
      <c r="E8267" s="1" t="s">
        <v>3752</v>
      </c>
      <c r="F8267" s="1" t="s">
        <v>27695</v>
      </c>
      <c r="G8267" s="1" t="s">
        <v>17089</v>
      </c>
      <c r="H8267" s="1" t="s">
        <v>3604</v>
      </c>
      <c r="I8267" s="1" t="s">
        <v>27696</v>
      </c>
      <c r="J8267" s="1" t="s">
        <v>3615</v>
      </c>
      <c r="K8267" s="1" t="s">
        <v>26822</v>
      </c>
      <c r="L8267" s="1"/>
      <c r="M8267" s="1"/>
    </row>
    <row x14ac:dyDescent="0.25" r="8268" customHeight="1" ht="18.75">
      <c r="A8268" s="1" t="s">
        <v>3598</v>
      </c>
      <c r="B8268" s="1" t="s">
        <v>3751</v>
      </c>
      <c r="C8268" s="1" t="s">
        <v>3600</v>
      </c>
      <c r="D8268" s="1" t="s">
        <v>3610</v>
      </c>
      <c r="E8268" s="1" t="s">
        <v>3752</v>
      </c>
      <c r="F8268" s="1" t="s">
        <v>27697</v>
      </c>
      <c r="G8268" s="1" t="s">
        <v>17089</v>
      </c>
      <c r="H8268" s="1" t="s">
        <v>3604</v>
      </c>
      <c r="I8268" s="1" t="s">
        <v>27698</v>
      </c>
      <c r="J8268" s="1" t="s">
        <v>3615</v>
      </c>
      <c r="K8268" s="1" t="s">
        <v>26825</v>
      </c>
      <c r="L8268" s="1"/>
      <c r="M8268" s="1"/>
    </row>
    <row x14ac:dyDescent="0.25" r="8269" customHeight="1" ht="18.75">
      <c r="A8269" s="1" t="s">
        <v>3598</v>
      </c>
      <c r="B8269" s="1" t="s">
        <v>5239</v>
      </c>
      <c r="C8269" s="1" t="s">
        <v>3600</v>
      </c>
      <c r="D8269" s="1" t="s">
        <v>3610</v>
      </c>
      <c r="E8269" s="1" t="s">
        <v>3752</v>
      </c>
      <c r="F8269" s="1" t="s">
        <v>27699</v>
      </c>
      <c r="G8269" s="1" t="s">
        <v>21470</v>
      </c>
      <c r="H8269" s="1" t="s">
        <v>3604</v>
      </c>
      <c r="I8269" s="1" t="s">
        <v>27700</v>
      </c>
      <c r="J8269" s="1" t="s">
        <v>3615</v>
      </c>
      <c r="K8269" s="1" t="s">
        <v>27542</v>
      </c>
      <c r="L8269" s="1"/>
      <c r="M8269" s="1"/>
    </row>
    <row x14ac:dyDescent="0.25" r="8270" customHeight="1" ht="18.75">
      <c r="A8270" s="1" t="s">
        <v>3598</v>
      </c>
      <c r="B8270" s="1" t="s">
        <v>5239</v>
      </c>
      <c r="C8270" s="1" t="s">
        <v>3600</v>
      </c>
      <c r="D8270" s="1" t="s">
        <v>3610</v>
      </c>
      <c r="E8270" s="1" t="s">
        <v>3752</v>
      </c>
      <c r="F8270" s="1" t="s">
        <v>27701</v>
      </c>
      <c r="G8270" s="1" t="s">
        <v>21474</v>
      </c>
      <c r="H8270" s="1" t="s">
        <v>3604</v>
      </c>
      <c r="I8270" s="1" t="s">
        <v>27702</v>
      </c>
      <c r="J8270" s="1" t="s">
        <v>3615</v>
      </c>
      <c r="K8270" s="1" t="s">
        <v>27546</v>
      </c>
      <c r="L8270" s="1"/>
      <c r="M8270" s="1"/>
    </row>
    <row x14ac:dyDescent="0.25" r="8271" customHeight="1" ht="18.75">
      <c r="A8271" s="1" t="s">
        <v>3598</v>
      </c>
      <c r="B8271" s="1" t="s">
        <v>5239</v>
      </c>
      <c r="C8271" s="1" t="s">
        <v>3600</v>
      </c>
      <c r="D8271" s="1" t="s">
        <v>3610</v>
      </c>
      <c r="E8271" s="1" t="s">
        <v>3752</v>
      </c>
      <c r="F8271" s="1" t="s">
        <v>27703</v>
      </c>
      <c r="G8271" s="1" t="s">
        <v>21474</v>
      </c>
      <c r="H8271" s="1" t="s">
        <v>3604</v>
      </c>
      <c r="I8271" s="1" t="s">
        <v>27704</v>
      </c>
      <c r="J8271" s="1" t="s">
        <v>3615</v>
      </c>
      <c r="K8271" s="1" t="s">
        <v>27552</v>
      </c>
      <c r="L8271" s="1"/>
      <c r="M8271" s="1"/>
    </row>
    <row x14ac:dyDescent="0.25" r="8272" customHeight="1" ht="18.75">
      <c r="A8272" s="1" t="s">
        <v>3598</v>
      </c>
      <c r="B8272" s="1" t="s">
        <v>17075</v>
      </c>
      <c r="C8272" s="1" t="s">
        <v>3600</v>
      </c>
      <c r="D8272" s="1" t="s">
        <v>3610</v>
      </c>
      <c r="E8272" s="1" t="s">
        <v>3752</v>
      </c>
      <c r="F8272" s="1" t="s">
        <v>27705</v>
      </c>
      <c r="G8272" s="1" t="s">
        <v>27706</v>
      </c>
      <c r="H8272" s="1" t="s">
        <v>3604</v>
      </c>
      <c r="I8272" s="1" t="s">
        <v>27707</v>
      </c>
      <c r="J8272" s="1" t="s">
        <v>3615</v>
      </c>
      <c r="K8272" s="1" t="s">
        <v>26776</v>
      </c>
      <c r="L8272" s="1"/>
      <c r="M8272" s="1"/>
    </row>
    <row x14ac:dyDescent="0.25" r="8273" customHeight="1" ht="18.75">
      <c r="A8273" s="1" t="s">
        <v>3598</v>
      </c>
      <c r="B8273" s="1" t="s">
        <v>17075</v>
      </c>
      <c r="C8273" s="1" t="s">
        <v>3600</v>
      </c>
      <c r="D8273" s="1" t="s">
        <v>3610</v>
      </c>
      <c r="E8273" s="1" t="s">
        <v>3752</v>
      </c>
      <c r="F8273" s="1" t="s">
        <v>27708</v>
      </c>
      <c r="G8273" s="1" t="s">
        <v>27709</v>
      </c>
      <c r="H8273" s="1" t="s">
        <v>3604</v>
      </c>
      <c r="I8273" s="1" t="s">
        <v>27710</v>
      </c>
      <c r="J8273" s="1" t="s">
        <v>3615</v>
      </c>
      <c r="K8273" s="1" t="s">
        <v>26812</v>
      </c>
      <c r="L8273" s="1"/>
      <c r="M8273" s="1"/>
    </row>
    <row x14ac:dyDescent="0.25" r="8274" customHeight="1" ht="18.75">
      <c r="A8274" s="1" t="s">
        <v>3598</v>
      </c>
      <c r="B8274" s="1" t="s">
        <v>17075</v>
      </c>
      <c r="C8274" s="1" t="s">
        <v>3600</v>
      </c>
      <c r="D8274" s="1" t="s">
        <v>3610</v>
      </c>
      <c r="E8274" s="1" t="s">
        <v>3752</v>
      </c>
      <c r="F8274" s="1" t="s">
        <v>27711</v>
      </c>
      <c r="G8274" s="1" t="s">
        <v>27712</v>
      </c>
      <c r="H8274" s="1" t="s">
        <v>3604</v>
      </c>
      <c r="I8274" s="1" t="s">
        <v>27713</v>
      </c>
      <c r="J8274" s="1" t="s">
        <v>3615</v>
      </c>
      <c r="K8274" s="1" t="s">
        <v>26829</v>
      </c>
      <c r="L8274" s="1"/>
      <c r="M8274" s="1"/>
    </row>
    <row x14ac:dyDescent="0.25" r="8275" customHeight="1" ht="18.75">
      <c r="A8275" s="1" t="s">
        <v>3598</v>
      </c>
      <c r="B8275" s="1" t="s">
        <v>17075</v>
      </c>
      <c r="C8275" s="1" t="s">
        <v>3600</v>
      </c>
      <c r="D8275" s="1" t="s">
        <v>3610</v>
      </c>
      <c r="E8275" s="1" t="s">
        <v>3752</v>
      </c>
      <c r="F8275" s="1" t="s">
        <v>27714</v>
      </c>
      <c r="G8275" s="1" t="s">
        <v>27712</v>
      </c>
      <c r="H8275" s="1" t="s">
        <v>3604</v>
      </c>
      <c r="I8275" s="1" t="s">
        <v>27715</v>
      </c>
      <c r="J8275" s="1" t="s">
        <v>3615</v>
      </c>
      <c r="K8275" s="1" t="s">
        <v>26832</v>
      </c>
      <c r="L8275" s="1"/>
      <c r="M8275" s="1"/>
    </row>
    <row x14ac:dyDescent="0.25" r="8276" customHeight="1" ht="18.75">
      <c r="A8276" s="1" t="s">
        <v>3598</v>
      </c>
      <c r="B8276" s="1" t="s">
        <v>17075</v>
      </c>
      <c r="C8276" s="1" t="s">
        <v>3600</v>
      </c>
      <c r="D8276" s="1" t="s">
        <v>3610</v>
      </c>
      <c r="E8276" s="1" t="s">
        <v>3752</v>
      </c>
      <c r="F8276" s="1" t="s">
        <v>27716</v>
      </c>
      <c r="G8276" s="1" t="s">
        <v>27712</v>
      </c>
      <c r="H8276" s="1" t="s">
        <v>3604</v>
      </c>
      <c r="I8276" s="1" t="s">
        <v>27717</v>
      </c>
      <c r="J8276" s="1" t="s">
        <v>3615</v>
      </c>
      <c r="K8276" s="1" t="s">
        <v>26835</v>
      </c>
      <c r="L8276" s="1"/>
      <c r="M8276" s="1"/>
    </row>
    <row x14ac:dyDescent="0.25" r="8277" customHeight="1" ht="18.75">
      <c r="A8277" s="1" t="s">
        <v>3598</v>
      </c>
      <c r="B8277" s="1" t="s">
        <v>17075</v>
      </c>
      <c r="C8277" s="1" t="s">
        <v>3600</v>
      </c>
      <c r="D8277" s="1" t="s">
        <v>3610</v>
      </c>
      <c r="E8277" s="1" t="s">
        <v>3752</v>
      </c>
      <c r="F8277" s="1" t="s">
        <v>27718</v>
      </c>
      <c r="G8277" s="1" t="s">
        <v>27719</v>
      </c>
      <c r="H8277" s="1" t="s">
        <v>3604</v>
      </c>
      <c r="I8277" s="1" t="s">
        <v>27720</v>
      </c>
      <c r="J8277" s="1" t="s">
        <v>3615</v>
      </c>
      <c r="K8277" s="1" t="s">
        <v>26839</v>
      </c>
      <c r="L8277" s="1"/>
      <c r="M8277" s="1"/>
    </row>
    <row x14ac:dyDescent="0.25" r="8278" customHeight="1" ht="18.75">
      <c r="A8278" s="1" t="s">
        <v>3598</v>
      </c>
      <c r="B8278" s="1" t="s">
        <v>17075</v>
      </c>
      <c r="C8278" s="1" t="s">
        <v>3600</v>
      </c>
      <c r="D8278" s="1" t="s">
        <v>3610</v>
      </c>
      <c r="E8278" s="1" t="s">
        <v>3752</v>
      </c>
      <c r="F8278" s="1" t="s">
        <v>27721</v>
      </c>
      <c r="G8278" s="1" t="s">
        <v>27719</v>
      </c>
      <c r="H8278" s="1" t="s">
        <v>3604</v>
      </c>
      <c r="I8278" s="1" t="s">
        <v>27722</v>
      </c>
      <c r="J8278" s="1" t="s">
        <v>3615</v>
      </c>
      <c r="K8278" s="1" t="s">
        <v>26842</v>
      </c>
      <c r="L8278" s="1"/>
      <c r="M8278" s="1"/>
    </row>
    <row x14ac:dyDescent="0.25" r="8279" customHeight="1" ht="18.75">
      <c r="A8279" s="1" t="s">
        <v>3598</v>
      </c>
      <c r="B8279" s="1" t="s">
        <v>3663</v>
      </c>
      <c r="C8279" s="1" t="s">
        <v>3600</v>
      </c>
      <c r="D8279" s="1" t="s">
        <v>3610</v>
      </c>
      <c r="E8279" s="1" t="s">
        <v>3752</v>
      </c>
      <c r="F8279" s="1" t="s">
        <v>27723</v>
      </c>
      <c r="G8279" s="1" t="s">
        <v>19176</v>
      </c>
      <c r="H8279" s="1" t="s">
        <v>3604</v>
      </c>
      <c r="I8279" s="1" t="s">
        <v>27724</v>
      </c>
      <c r="J8279" s="1" t="s">
        <v>3615</v>
      </c>
      <c r="K8279" s="1" t="s">
        <v>26672</v>
      </c>
      <c r="L8279" s="1"/>
      <c r="M8279" s="1"/>
    </row>
    <row x14ac:dyDescent="0.25" r="8280" customHeight="1" ht="18.75">
      <c r="A8280" s="1" t="s">
        <v>3598</v>
      </c>
      <c r="B8280" s="1" t="s">
        <v>3663</v>
      </c>
      <c r="C8280" s="1" t="s">
        <v>3600</v>
      </c>
      <c r="D8280" s="1" t="s">
        <v>3610</v>
      </c>
      <c r="E8280" s="1" t="s">
        <v>3752</v>
      </c>
      <c r="F8280" s="1" t="s">
        <v>27725</v>
      </c>
      <c r="G8280" s="1" t="s">
        <v>19188</v>
      </c>
      <c r="H8280" s="1" t="s">
        <v>3604</v>
      </c>
      <c r="I8280" s="1" t="s">
        <v>27726</v>
      </c>
      <c r="J8280" s="1" t="s">
        <v>3615</v>
      </c>
      <c r="K8280" s="1" t="s">
        <v>26790</v>
      </c>
      <c r="L8280" s="1"/>
      <c r="M8280" s="1"/>
    </row>
    <row x14ac:dyDescent="0.25" r="8281" customHeight="1" ht="18.75">
      <c r="A8281" s="1" t="s">
        <v>3598</v>
      </c>
      <c r="B8281" s="1" t="s">
        <v>3663</v>
      </c>
      <c r="C8281" s="1" t="s">
        <v>3600</v>
      </c>
      <c r="D8281" s="1" t="s">
        <v>3610</v>
      </c>
      <c r="E8281" s="1" t="s">
        <v>3752</v>
      </c>
      <c r="F8281" s="1" t="s">
        <v>27727</v>
      </c>
      <c r="G8281" s="1" t="s">
        <v>19188</v>
      </c>
      <c r="H8281" s="1" t="s">
        <v>3604</v>
      </c>
      <c r="I8281" s="1" t="s">
        <v>27728</v>
      </c>
      <c r="J8281" s="1" t="s">
        <v>3615</v>
      </c>
      <c r="K8281" s="1" t="s">
        <v>26793</v>
      </c>
      <c r="L8281" s="1"/>
      <c r="M8281" s="1"/>
    </row>
    <row x14ac:dyDescent="0.25" r="8282" customHeight="1" ht="18.75">
      <c r="A8282" s="1" t="s">
        <v>3598</v>
      </c>
      <c r="B8282" s="1" t="s">
        <v>3663</v>
      </c>
      <c r="C8282" s="1" t="s">
        <v>3600</v>
      </c>
      <c r="D8282" s="1" t="s">
        <v>3610</v>
      </c>
      <c r="E8282" s="1" t="s">
        <v>3752</v>
      </c>
      <c r="F8282" s="1" t="s">
        <v>27729</v>
      </c>
      <c r="G8282" s="1" t="s">
        <v>19188</v>
      </c>
      <c r="H8282" s="1" t="s">
        <v>3604</v>
      </c>
      <c r="I8282" s="1" t="s">
        <v>27730</v>
      </c>
      <c r="J8282" s="1" t="s">
        <v>3615</v>
      </c>
      <c r="K8282" s="1" t="s">
        <v>26776</v>
      </c>
      <c r="L8282" s="1"/>
      <c r="M8282" s="1"/>
    </row>
    <row x14ac:dyDescent="0.25" r="8283" customHeight="1" ht="18.75">
      <c r="A8283" s="1" t="s">
        <v>3598</v>
      </c>
      <c r="B8283" s="1" t="s">
        <v>3663</v>
      </c>
      <c r="C8283" s="1" t="s">
        <v>3600</v>
      </c>
      <c r="D8283" s="1" t="s">
        <v>3610</v>
      </c>
      <c r="E8283" s="1" t="s">
        <v>3752</v>
      </c>
      <c r="F8283" s="1" t="s">
        <v>27731</v>
      </c>
      <c r="G8283" s="1" t="s">
        <v>19208</v>
      </c>
      <c r="H8283" s="1" t="s">
        <v>3604</v>
      </c>
      <c r="I8283" s="1" t="s">
        <v>27732</v>
      </c>
      <c r="J8283" s="1" t="s">
        <v>3615</v>
      </c>
      <c r="K8283" s="1" t="s">
        <v>26839</v>
      </c>
      <c r="L8283" s="1"/>
      <c r="M8283" s="1"/>
    </row>
    <row x14ac:dyDescent="0.25" r="8284" customHeight="1" ht="18.75">
      <c r="A8284" s="1" t="s">
        <v>3598</v>
      </c>
      <c r="B8284" s="1" t="s">
        <v>3663</v>
      </c>
      <c r="C8284" s="1" t="s">
        <v>3600</v>
      </c>
      <c r="D8284" s="1" t="s">
        <v>3610</v>
      </c>
      <c r="E8284" s="1" t="s">
        <v>3752</v>
      </c>
      <c r="F8284" s="1" t="s">
        <v>27733</v>
      </c>
      <c r="G8284" s="1" t="s">
        <v>19208</v>
      </c>
      <c r="H8284" s="1" t="s">
        <v>3604</v>
      </c>
      <c r="I8284" s="1" t="s">
        <v>27734</v>
      </c>
      <c r="J8284" s="1" t="s">
        <v>3615</v>
      </c>
      <c r="K8284" s="1" t="s">
        <v>26842</v>
      </c>
      <c r="L8284" s="1"/>
      <c r="M8284" s="1"/>
    </row>
    <row x14ac:dyDescent="0.25" r="8285" customHeight="1" ht="18.75">
      <c r="A8285" s="1" t="s">
        <v>3598</v>
      </c>
      <c r="B8285" s="1" t="s">
        <v>3663</v>
      </c>
      <c r="C8285" s="1" t="s">
        <v>3600</v>
      </c>
      <c r="D8285" s="1" t="s">
        <v>3610</v>
      </c>
      <c r="E8285" s="1" t="s">
        <v>3752</v>
      </c>
      <c r="F8285" s="1" t="s">
        <v>27735</v>
      </c>
      <c r="G8285" s="1" t="s">
        <v>19208</v>
      </c>
      <c r="H8285" s="1" t="s">
        <v>3604</v>
      </c>
      <c r="I8285" s="1" t="s">
        <v>27736</v>
      </c>
      <c r="J8285" s="1" t="s">
        <v>3615</v>
      </c>
      <c r="K8285" s="1" t="s">
        <v>26845</v>
      </c>
      <c r="L8285" s="1"/>
      <c r="M8285" s="1"/>
    </row>
    <row x14ac:dyDescent="0.25" r="8286" customHeight="1" ht="18.75">
      <c r="A8286" s="1" t="s">
        <v>3598</v>
      </c>
      <c r="B8286" s="1" t="s">
        <v>3663</v>
      </c>
      <c r="C8286" s="1" t="s">
        <v>3600</v>
      </c>
      <c r="D8286" s="1" t="s">
        <v>3610</v>
      </c>
      <c r="E8286" s="1" t="s">
        <v>3752</v>
      </c>
      <c r="F8286" s="1" t="s">
        <v>27737</v>
      </c>
      <c r="G8286" s="1" t="s">
        <v>19212</v>
      </c>
      <c r="H8286" s="1" t="s">
        <v>3604</v>
      </c>
      <c r="I8286" s="1" t="s">
        <v>27738</v>
      </c>
      <c r="J8286" s="1" t="s">
        <v>3615</v>
      </c>
      <c r="K8286" s="1" t="s">
        <v>27533</v>
      </c>
      <c r="L8286" s="1"/>
      <c r="M8286" s="1"/>
    </row>
    <row x14ac:dyDescent="0.25" r="8287" customHeight="1" ht="18.75">
      <c r="A8287" s="1" t="s">
        <v>3598</v>
      </c>
      <c r="B8287" s="1" t="s">
        <v>3663</v>
      </c>
      <c r="C8287" s="1" t="s">
        <v>3600</v>
      </c>
      <c r="D8287" s="1" t="s">
        <v>3610</v>
      </c>
      <c r="E8287" s="1" t="s">
        <v>3752</v>
      </c>
      <c r="F8287" s="1" t="s">
        <v>27739</v>
      </c>
      <c r="G8287" s="1" t="s">
        <v>19212</v>
      </c>
      <c r="H8287" s="1" t="s">
        <v>3604</v>
      </c>
      <c r="I8287" s="1" t="s">
        <v>27740</v>
      </c>
      <c r="J8287" s="1" t="s">
        <v>3615</v>
      </c>
      <c r="K8287" s="1" t="s">
        <v>27536</v>
      </c>
      <c r="L8287" s="1"/>
      <c r="M8287" s="1"/>
    </row>
    <row x14ac:dyDescent="0.25" r="8288" customHeight="1" ht="18.75">
      <c r="A8288" s="1" t="s">
        <v>3598</v>
      </c>
      <c r="B8288" s="1" t="s">
        <v>8663</v>
      </c>
      <c r="C8288" s="1" t="s">
        <v>3600</v>
      </c>
      <c r="D8288" s="1" t="s">
        <v>3601</v>
      </c>
      <c r="E8288" s="1" t="s">
        <v>3664</v>
      </c>
      <c r="F8288" s="1" t="s">
        <v>27741</v>
      </c>
      <c r="G8288" s="1" t="s">
        <v>8665</v>
      </c>
      <c r="H8288" s="1" t="s">
        <v>3604</v>
      </c>
      <c r="I8288" s="1" t="s">
        <v>27742</v>
      </c>
      <c r="J8288" s="1" t="s">
        <v>3615</v>
      </c>
      <c r="K8288" s="1" t="s">
        <v>27743</v>
      </c>
      <c r="L8288" s="1"/>
      <c r="M8288" s="1"/>
    </row>
    <row x14ac:dyDescent="0.25" r="8289" customHeight="1" ht="18.75">
      <c r="A8289" s="1" t="s">
        <v>3598</v>
      </c>
      <c r="B8289" s="1" t="s">
        <v>8663</v>
      </c>
      <c r="C8289" s="1" t="s">
        <v>3600</v>
      </c>
      <c r="D8289" s="1" t="s">
        <v>3601</v>
      </c>
      <c r="E8289" s="1" t="s">
        <v>3664</v>
      </c>
      <c r="F8289" s="1" t="s">
        <v>27744</v>
      </c>
      <c r="G8289" s="1" t="s">
        <v>8665</v>
      </c>
      <c r="H8289" s="1" t="s">
        <v>3604</v>
      </c>
      <c r="I8289" s="1" t="s">
        <v>27745</v>
      </c>
      <c r="J8289" s="1" t="s">
        <v>3615</v>
      </c>
      <c r="K8289" s="1" t="s">
        <v>27746</v>
      </c>
      <c r="L8289" s="1"/>
      <c r="M8289" s="1"/>
    </row>
    <row x14ac:dyDescent="0.25" r="8290" customHeight="1" ht="18.75">
      <c r="A8290" s="1" t="s">
        <v>3598</v>
      </c>
      <c r="B8290" s="1" t="s">
        <v>8663</v>
      </c>
      <c r="C8290" s="1" t="s">
        <v>3600</v>
      </c>
      <c r="D8290" s="1" t="s">
        <v>3601</v>
      </c>
      <c r="E8290" s="1" t="s">
        <v>3664</v>
      </c>
      <c r="F8290" s="1" t="s">
        <v>27747</v>
      </c>
      <c r="G8290" s="1" t="s">
        <v>8665</v>
      </c>
      <c r="H8290" s="1" t="s">
        <v>3604</v>
      </c>
      <c r="I8290" s="1" t="s">
        <v>27748</v>
      </c>
      <c r="J8290" s="1" t="s">
        <v>3615</v>
      </c>
      <c r="K8290" s="1" t="s">
        <v>27749</v>
      </c>
      <c r="L8290" s="1"/>
      <c r="M8290" s="1"/>
    </row>
    <row x14ac:dyDescent="0.25" r="8291" customHeight="1" ht="18.75">
      <c r="A8291" s="1" t="s">
        <v>3598</v>
      </c>
      <c r="B8291" s="1" t="s">
        <v>8663</v>
      </c>
      <c r="C8291" s="1" t="s">
        <v>3600</v>
      </c>
      <c r="D8291" s="1" t="s">
        <v>3601</v>
      </c>
      <c r="E8291" s="1" t="s">
        <v>3664</v>
      </c>
      <c r="F8291" s="1" t="s">
        <v>27750</v>
      </c>
      <c r="G8291" s="1" t="s">
        <v>8665</v>
      </c>
      <c r="H8291" s="1" t="s">
        <v>3604</v>
      </c>
      <c r="I8291" s="1" t="s">
        <v>27751</v>
      </c>
      <c r="J8291" s="1" t="s">
        <v>3615</v>
      </c>
      <c r="K8291" s="1" t="s">
        <v>27752</v>
      </c>
      <c r="L8291" s="1"/>
      <c r="M8291" s="1"/>
    </row>
    <row x14ac:dyDescent="0.25" r="8292" customHeight="1" ht="18.75">
      <c r="A8292" s="1" t="s">
        <v>3598</v>
      </c>
      <c r="B8292" s="1" t="s">
        <v>8663</v>
      </c>
      <c r="C8292" s="1" t="s">
        <v>3600</v>
      </c>
      <c r="D8292" s="1" t="s">
        <v>3601</v>
      </c>
      <c r="E8292" s="1" t="s">
        <v>3664</v>
      </c>
      <c r="F8292" s="1" t="s">
        <v>27753</v>
      </c>
      <c r="G8292" s="1" t="s">
        <v>8665</v>
      </c>
      <c r="H8292" s="1" t="s">
        <v>3604</v>
      </c>
      <c r="I8292" s="1" t="s">
        <v>27754</v>
      </c>
      <c r="J8292" s="1" t="s">
        <v>3615</v>
      </c>
      <c r="K8292" s="1" t="s">
        <v>27755</v>
      </c>
      <c r="L8292" s="1"/>
      <c r="M8292" s="1"/>
    </row>
    <row x14ac:dyDescent="0.25" r="8293" customHeight="1" ht="18.75">
      <c r="A8293" s="1" t="s">
        <v>3598</v>
      </c>
      <c r="B8293" s="1" t="s">
        <v>8663</v>
      </c>
      <c r="C8293" s="1" t="s">
        <v>3600</v>
      </c>
      <c r="D8293" s="1" t="s">
        <v>3601</v>
      </c>
      <c r="E8293" s="1" t="s">
        <v>3664</v>
      </c>
      <c r="F8293" s="1" t="s">
        <v>27756</v>
      </c>
      <c r="G8293" s="1" t="s">
        <v>8665</v>
      </c>
      <c r="H8293" s="1" t="s">
        <v>3604</v>
      </c>
      <c r="I8293" s="1" t="s">
        <v>27757</v>
      </c>
      <c r="J8293" s="1" t="s">
        <v>3615</v>
      </c>
      <c r="K8293" s="1" t="s">
        <v>27758</v>
      </c>
      <c r="L8293" s="1"/>
      <c r="M8293" s="1"/>
    </row>
    <row x14ac:dyDescent="0.25" r="8294" customHeight="1" ht="18.75">
      <c r="A8294" s="1" t="s">
        <v>3598</v>
      </c>
      <c r="B8294" s="1" t="s">
        <v>8663</v>
      </c>
      <c r="C8294" s="1" t="s">
        <v>3600</v>
      </c>
      <c r="D8294" s="1" t="s">
        <v>3601</v>
      </c>
      <c r="E8294" s="1" t="s">
        <v>3664</v>
      </c>
      <c r="F8294" s="1" t="s">
        <v>27759</v>
      </c>
      <c r="G8294" s="1" t="s">
        <v>8665</v>
      </c>
      <c r="H8294" s="1" t="s">
        <v>3604</v>
      </c>
      <c r="I8294" s="1" t="s">
        <v>27760</v>
      </c>
      <c r="J8294" s="1" t="s">
        <v>3615</v>
      </c>
      <c r="K8294" s="1" t="s">
        <v>27761</v>
      </c>
      <c r="L8294" s="1"/>
      <c r="M8294" s="1"/>
    </row>
    <row x14ac:dyDescent="0.25" r="8295" customHeight="1" ht="18.75">
      <c r="A8295" s="1" t="s">
        <v>3598</v>
      </c>
      <c r="B8295" s="1" t="s">
        <v>8663</v>
      </c>
      <c r="C8295" s="1" t="s">
        <v>3600</v>
      </c>
      <c r="D8295" s="1" t="s">
        <v>3601</v>
      </c>
      <c r="E8295" s="1" t="s">
        <v>3664</v>
      </c>
      <c r="F8295" s="1" t="s">
        <v>27762</v>
      </c>
      <c r="G8295" s="1" t="s">
        <v>8665</v>
      </c>
      <c r="H8295" s="1" t="s">
        <v>3604</v>
      </c>
      <c r="I8295" s="1" t="s">
        <v>27763</v>
      </c>
      <c r="J8295" s="1" t="s">
        <v>3615</v>
      </c>
      <c r="K8295" s="1" t="s">
        <v>27764</v>
      </c>
      <c r="L8295" s="1"/>
      <c r="M8295" s="1"/>
    </row>
    <row x14ac:dyDescent="0.25" r="8296" customHeight="1" ht="18.75">
      <c r="A8296" s="1" t="s">
        <v>3598</v>
      </c>
      <c r="B8296" s="1" t="s">
        <v>8663</v>
      </c>
      <c r="C8296" s="1" t="s">
        <v>3600</v>
      </c>
      <c r="D8296" s="1" t="s">
        <v>3601</v>
      </c>
      <c r="E8296" s="1" t="s">
        <v>3664</v>
      </c>
      <c r="F8296" s="1" t="s">
        <v>27765</v>
      </c>
      <c r="G8296" s="1" t="s">
        <v>8665</v>
      </c>
      <c r="H8296" s="1" t="s">
        <v>3604</v>
      </c>
      <c r="I8296" s="1" t="s">
        <v>27766</v>
      </c>
      <c r="J8296" s="1" t="s">
        <v>3615</v>
      </c>
      <c r="K8296" s="1" t="s">
        <v>27767</v>
      </c>
      <c r="L8296" s="1"/>
      <c r="M8296" s="1"/>
    </row>
    <row x14ac:dyDescent="0.25" r="8297" customHeight="1" ht="18.75">
      <c r="A8297" s="1" t="s">
        <v>3598</v>
      </c>
      <c r="B8297" s="1" t="s">
        <v>8663</v>
      </c>
      <c r="C8297" s="1" t="s">
        <v>3600</v>
      </c>
      <c r="D8297" s="1" t="s">
        <v>3601</v>
      </c>
      <c r="E8297" s="1" t="s">
        <v>3664</v>
      </c>
      <c r="F8297" s="1" t="s">
        <v>27768</v>
      </c>
      <c r="G8297" s="1" t="s">
        <v>8665</v>
      </c>
      <c r="H8297" s="1" t="s">
        <v>3604</v>
      </c>
      <c r="I8297" s="1" t="s">
        <v>27769</v>
      </c>
      <c r="J8297" s="1" t="s">
        <v>3615</v>
      </c>
      <c r="K8297" s="1" t="s">
        <v>27770</v>
      </c>
      <c r="L8297" s="1"/>
      <c r="M8297" s="1"/>
    </row>
    <row x14ac:dyDescent="0.25" r="8298" customHeight="1" ht="18.75">
      <c r="A8298" s="1" t="s">
        <v>3598</v>
      </c>
      <c r="B8298" s="1" t="s">
        <v>8663</v>
      </c>
      <c r="C8298" s="1" t="s">
        <v>3600</v>
      </c>
      <c r="D8298" s="1" t="s">
        <v>3601</v>
      </c>
      <c r="E8298" s="1" t="s">
        <v>3664</v>
      </c>
      <c r="F8298" s="1" t="s">
        <v>27771</v>
      </c>
      <c r="G8298" s="1" t="s">
        <v>27772</v>
      </c>
      <c r="H8298" s="1" t="s">
        <v>3604</v>
      </c>
      <c r="I8298" s="1" t="s">
        <v>27773</v>
      </c>
      <c r="J8298" s="1" t="s">
        <v>3615</v>
      </c>
      <c r="K8298" s="1" t="s">
        <v>27774</v>
      </c>
      <c r="L8298" s="1"/>
      <c r="M8298" s="1"/>
    </row>
    <row x14ac:dyDescent="0.25" r="8299" customHeight="1" ht="18.75">
      <c r="A8299" s="1" t="s">
        <v>3598</v>
      </c>
      <c r="B8299" s="1" t="s">
        <v>8663</v>
      </c>
      <c r="C8299" s="1" t="s">
        <v>3600</v>
      </c>
      <c r="D8299" s="1" t="s">
        <v>3601</v>
      </c>
      <c r="E8299" s="1" t="s">
        <v>3664</v>
      </c>
      <c r="F8299" s="1" t="s">
        <v>27775</v>
      </c>
      <c r="G8299" s="1" t="s">
        <v>27772</v>
      </c>
      <c r="H8299" s="1" t="s">
        <v>3604</v>
      </c>
      <c r="I8299" s="1" t="s">
        <v>27776</v>
      </c>
      <c r="J8299" s="1" t="s">
        <v>3615</v>
      </c>
      <c r="K8299" s="1" t="s">
        <v>27777</v>
      </c>
      <c r="L8299" s="1"/>
      <c r="M8299" s="1"/>
    </row>
    <row x14ac:dyDescent="0.25" r="8300" customHeight="1" ht="18.75">
      <c r="A8300" s="1" t="s">
        <v>3598</v>
      </c>
      <c r="B8300" s="1" t="s">
        <v>8663</v>
      </c>
      <c r="C8300" s="1" t="s">
        <v>3600</v>
      </c>
      <c r="D8300" s="1" t="s">
        <v>3601</v>
      </c>
      <c r="E8300" s="1" t="s">
        <v>3664</v>
      </c>
      <c r="F8300" s="1" t="s">
        <v>27778</v>
      </c>
      <c r="G8300" s="1" t="s">
        <v>27772</v>
      </c>
      <c r="H8300" s="1" t="s">
        <v>3604</v>
      </c>
      <c r="I8300" s="1" t="s">
        <v>27779</v>
      </c>
      <c r="J8300" s="1" t="s">
        <v>3615</v>
      </c>
      <c r="K8300" s="1" t="s">
        <v>27780</v>
      </c>
      <c r="L8300" s="1"/>
      <c r="M8300" s="1"/>
    </row>
    <row x14ac:dyDescent="0.25" r="8301" customHeight="1" ht="18.75">
      <c r="A8301" s="1" t="s">
        <v>3598</v>
      </c>
      <c r="B8301" s="1" t="s">
        <v>8663</v>
      </c>
      <c r="C8301" s="1" t="s">
        <v>3600</v>
      </c>
      <c r="D8301" s="1" t="s">
        <v>3601</v>
      </c>
      <c r="E8301" s="1" t="s">
        <v>3664</v>
      </c>
      <c r="F8301" s="1" t="s">
        <v>27781</v>
      </c>
      <c r="G8301" s="1" t="s">
        <v>27772</v>
      </c>
      <c r="H8301" s="1" t="s">
        <v>3604</v>
      </c>
      <c r="I8301" s="1" t="s">
        <v>27782</v>
      </c>
      <c r="J8301" s="1" t="s">
        <v>3615</v>
      </c>
      <c r="K8301" s="1" t="s">
        <v>27783</v>
      </c>
      <c r="L8301" s="1"/>
      <c r="M8301" s="1"/>
    </row>
    <row x14ac:dyDescent="0.25" r="8302" customHeight="1" ht="18.75">
      <c r="A8302" s="1" t="s">
        <v>3598</v>
      </c>
      <c r="B8302" s="1" t="s">
        <v>8663</v>
      </c>
      <c r="C8302" s="1" t="s">
        <v>3600</v>
      </c>
      <c r="D8302" s="1" t="s">
        <v>3601</v>
      </c>
      <c r="E8302" s="1" t="s">
        <v>3664</v>
      </c>
      <c r="F8302" s="1" t="s">
        <v>27784</v>
      </c>
      <c r="G8302" s="1" t="s">
        <v>27772</v>
      </c>
      <c r="H8302" s="1" t="s">
        <v>3604</v>
      </c>
      <c r="I8302" s="1" t="s">
        <v>27785</v>
      </c>
      <c r="J8302" s="1" t="s">
        <v>3615</v>
      </c>
      <c r="K8302" s="1" t="s">
        <v>27786</v>
      </c>
      <c r="L8302" s="1"/>
      <c r="M8302" s="1"/>
    </row>
    <row x14ac:dyDescent="0.25" r="8303" customHeight="1" ht="18.75">
      <c r="A8303" s="1" t="s">
        <v>3598</v>
      </c>
      <c r="B8303" s="1" t="s">
        <v>8663</v>
      </c>
      <c r="C8303" s="1" t="s">
        <v>3600</v>
      </c>
      <c r="D8303" s="1" t="s">
        <v>3601</v>
      </c>
      <c r="E8303" s="1" t="s">
        <v>3664</v>
      </c>
      <c r="F8303" s="1" t="s">
        <v>27787</v>
      </c>
      <c r="G8303" s="1" t="s">
        <v>27772</v>
      </c>
      <c r="H8303" s="1" t="s">
        <v>3604</v>
      </c>
      <c r="I8303" s="1" t="s">
        <v>27788</v>
      </c>
      <c r="J8303" s="1" t="s">
        <v>3615</v>
      </c>
      <c r="K8303" s="1" t="s">
        <v>27789</v>
      </c>
      <c r="L8303" s="1"/>
      <c r="M8303" s="1"/>
    </row>
    <row x14ac:dyDescent="0.25" r="8304" customHeight="1" ht="18.75">
      <c r="A8304" s="1" t="s">
        <v>3598</v>
      </c>
      <c r="B8304" s="1" t="s">
        <v>8663</v>
      </c>
      <c r="C8304" s="1" t="s">
        <v>3600</v>
      </c>
      <c r="D8304" s="1" t="s">
        <v>3601</v>
      </c>
      <c r="E8304" s="1" t="s">
        <v>3664</v>
      </c>
      <c r="F8304" s="1" t="s">
        <v>27790</v>
      </c>
      <c r="G8304" s="1" t="s">
        <v>27772</v>
      </c>
      <c r="H8304" s="1" t="s">
        <v>3604</v>
      </c>
      <c r="I8304" s="1" t="s">
        <v>27791</v>
      </c>
      <c r="J8304" s="1" t="s">
        <v>3615</v>
      </c>
      <c r="K8304" s="1" t="s">
        <v>27792</v>
      </c>
      <c r="L8304" s="1"/>
      <c r="M8304" s="1"/>
    </row>
    <row x14ac:dyDescent="0.25" r="8305" customHeight="1" ht="18.75">
      <c r="A8305" s="1" t="s">
        <v>3598</v>
      </c>
      <c r="B8305" s="1" t="s">
        <v>8663</v>
      </c>
      <c r="C8305" s="1" t="s">
        <v>3600</v>
      </c>
      <c r="D8305" s="1" t="s">
        <v>3601</v>
      </c>
      <c r="E8305" s="1" t="s">
        <v>3664</v>
      </c>
      <c r="F8305" s="1" t="s">
        <v>27793</v>
      </c>
      <c r="G8305" s="1" t="s">
        <v>27772</v>
      </c>
      <c r="H8305" s="1" t="s">
        <v>3604</v>
      </c>
      <c r="I8305" s="1" t="s">
        <v>27794</v>
      </c>
      <c r="J8305" s="1" t="s">
        <v>3615</v>
      </c>
      <c r="K8305" s="1" t="s">
        <v>27795</v>
      </c>
      <c r="L8305" s="1"/>
      <c r="M8305" s="1"/>
    </row>
    <row x14ac:dyDescent="0.25" r="8306" customHeight="1" ht="18.75">
      <c r="A8306" s="1" t="s">
        <v>3598</v>
      </c>
      <c r="B8306" s="1" t="s">
        <v>8663</v>
      </c>
      <c r="C8306" s="1" t="s">
        <v>3600</v>
      </c>
      <c r="D8306" s="1" t="s">
        <v>3601</v>
      </c>
      <c r="E8306" s="1" t="s">
        <v>3664</v>
      </c>
      <c r="F8306" s="1" t="s">
        <v>27796</v>
      </c>
      <c r="G8306" s="1" t="s">
        <v>27772</v>
      </c>
      <c r="H8306" s="1" t="s">
        <v>3604</v>
      </c>
      <c r="I8306" s="1" t="s">
        <v>27797</v>
      </c>
      <c r="J8306" s="1" t="s">
        <v>3615</v>
      </c>
      <c r="K8306" s="1" t="s">
        <v>27798</v>
      </c>
      <c r="L8306" s="1"/>
      <c r="M8306" s="1"/>
    </row>
    <row x14ac:dyDescent="0.25" r="8307" customHeight="1" ht="18.75">
      <c r="A8307" s="1" t="s">
        <v>3598</v>
      </c>
      <c r="B8307" s="1" t="s">
        <v>8663</v>
      </c>
      <c r="C8307" s="1" t="s">
        <v>3600</v>
      </c>
      <c r="D8307" s="1" t="s">
        <v>3601</v>
      </c>
      <c r="E8307" s="1" t="s">
        <v>3664</v>
      </c>
      <c r="F8307" s="1" t="s">
        <v>27799</v>
      </c>
      <c r="G8307" s="1" t="s">
        <v>27772</v>
      </c>
      <c r="H8307" s="1" t="s">
        <v>3604</v>
      </c>
      <c r="I8307" s="1" t="s">
        <v>27800</v>
      </c>
      <c r="J8307" s="1" t="s">
        <v>3615</v>
      </c>
      <c r="K8307" s="1" t="s">
        <v>27801</v>
      </c>
      <c r="L8307" s="1"/>
      <c r="M8307" s="1"/>
    </row>
    <row x14ac:dyDescent="0.25" r="8308" customHeight="1" ht="18.75">
      <c r="A8308" s="1" t="s">
        <v>3598</v>
      </c>
      <c r="B8308" s="1" t="s">
        <v>27802</v>
      </c>
      <c r="C8308" s="1" t="s">
        <v>3600</v>
      </c>
      <c r="D8308" s="1" t="s">
        <v>3601</v>
      </c>
      <c r="E8308" s="1" t="s">
        <v>3664</v>
      </c>
      <c r="F8308" s="1" t="s">
        <v>27803</v>
      </c>
      <c r="G8308" s="1" t="s">
        <v>3678</v>
      </c>
      <c r="H8308" s="1" t="s">
        <v>3604</v>
      </c>
      <c r="I8308" s="1" t="s">
        <v>27804</v>
      </c>
      <c r="J8308" s="1" t="s">
        <v>3615</v>
      </c>
      <c r="K8308" s="1" t="s">
        <v>27805</v>
      </c>
      <c r="L8308" s="1"/>
      <c r="M8308" s="1"/>
    </row>
    <row x14ac:dyDescent="0.25" r="8309" customHeight="1" ht="18.75">
      <c r="A8309" s="1" t="s">
        <v>3598</v>
      </c>
      <c r="B8309" s="1" t="s">
        <v>27802</v>
      </c>
      <c r="C8309" s="1" t="s">
        <v>3600</v>
      </c>
      <c r="D8309" s="1" t="s">
        <v>3601</v>
      </c>
      <c r="E8309" s="1" t="s">
        <v>3664</v>
      </c>
      <c r="F8309" s="1" t="s">
        <v>27806</v>
      </c>
      <c r="G8309" s="1" t="s">
        <v>3678</v>
      </c>
      <c r="H8309" s="1" t="s">
        <v>3604</v>
      </c>
      <c r="I8309" s="1" t="s">
        <v>27807</v>
      </c>
      <c r="J8309" s="1" t="s">
        <v>3615</v>
      </c>
      <c r="K8309" s="1" t="s">
        <v>27808</v>
      </c>
      <c r="L8309" s="1"/>
      <c r="M8309" s="1"/>
    </row>
    <row x14ac:dyDescent="0.25" r="8310" customHeight="1" ht="18.75">
      <c r="A8310" s="1" t="s">
        <v>3598</v>
      </c>
      <c r="B8310" s="1" t="s">
        <v>27802</v>
      </c>
      <c r="C8310" s="1" t="s">
        <v>3600</v>
      </c>
      <c r="D8310" s="1" t="s">
        <v>3601</v>
      </c>
      <c r="E8310" s="1" t="s">
        <v>3664</v>
      </c>
      <c r="F8310" s="1" t="s">
        <v>27809</v>
      </c>
      <c r="G8310" s="1" t="s">
        <v>3678</v>
      </c>
      <c r="H8310" s="1" t="s">
        <v>3604</v>
      </c>
      <c r="I8310" s="1" t="s">
        <v>27810</v>
      </c>
      <c r="J8310" s="1" t="s">
        <v>3615</v>
      </c>
      <c r="K8310" s="1" t="s">
        <v>27811</v>
      </c>
      <c r="L8310" s="1"/>
      <c r="M8310" s="1"/>
    </row>
    <row x14ac:dyDescent="0.25" r="8311" customHeight="1" ht="18.75">
      <c r="A8311" s="1" t="s">
        <v>3598</v>
      </c>
      <c r="B8311" s="1" t="s">
        <v>27802</v>
      </c>
      <c r="C8311" s="1" t="s">
        <v>3600</v>
      </c>
      <c r="D8311" s="1" t="s">
        <v>3601</v>
      </c>
      <c r="E8311" s="1" t="s">
        <v>3664</v>
      </c>
      <c r="F8311" s="1" t="s">
        <v>27812</v>
      </c>
      <c r="G8311" s="1" t="s">
        <v>3678</v>
      </c>
      <c r="H8311" s="1" t="s">
        <v>3604</v>
      </c>
      <c r="I8311" s="1" t="s">
        <v>27813</v>
      </c>
      <c r="J8311" s="1" t="s">
        <v>3615</v>
      </c>
      <c r="K8311" s="1" t="s">
        <v>27814</v>
      </c>
      <c r="L8311" s="1"/>
      <c r="M8311" s="1"/>
    </row>
    <row x14ac:dyDescent="0.25" r="8312" customHeight="1" ht="18.75">
      <c r="A8312" s="1" t="s">
        <v>3598</v>
      </c>
      <c r="B8312" s="1" t="s">
        <v>27802</v>
      </c>
      <c r="C8312" s="1" t="s">
        <v>3600</v>
      </c>
      <c r="D8312" s="1" t="s">
        <v>3601</v>
      </c>
      <c r="E8312" s="1" t="s">
        <v>3664</v>
      </c>
      <c r="F8312" s="1" t="s">
        <v>27815</v>
      </c>
      <c r="G8312" s="1" t="s">
        <v>3686</v>
      </c>
      <c r="H8312" s="1" t="s">
        <v>3604</v>
      </c>
      <c r="I8312" s="1" t="s">
        <v>27816</v>
      </c>
      <c r="J8312" s="1" t="s">
        <v>3615</v>
      </c>
      <c r="K8312" s="1" t="s">
        <v>27817</v>
      </c>
      <c r="L8312" s="1"/>
      <c r="M8312" s="1"/>
    </row>
    <row x14ac:dyDescent="0.25" r="8313" customHeight="1" ht="18.75">
      <c r="A8313" s="1" t="s">
        <v>3598</v>
      </c>
      <c r="B8313" s="1" t="s">
        <v>27802</v>
      </c>
      <c r="C8313" s="1" t="s">
        <v>3600</v>
      </c>
      <c r="D8313" s="1" t="s">
        <v>3601</v>
      </c>
      <c r="E8313" s="1" t="s">
        <v>3664</v>
      </c>
      <c r="F8313" s="1" t="s">
        <v>27818</v>
      </c>
      <c r="G8313" s="1" t="s">
        <v>3686</v>
      </c>
      <c r="H8313" s="1" t="s">
        <v>3604</v>
      </c>
      <c r="I8313" s="1" t="s">
        <v>27819</v>
      </c>
      <c r="J8313" s="1" t="s">
        <v>3615</v>
      </c>
      <c r="K8313" s="1" t="s">
        <v>27820</v>
      </c>
      <c r="L8313" s="1"/>
      <c r="M8313" s="1"/>
    </row>
    <row x14ac:dyDescent="0.25" r="8314" customHeight="1" ht="18.75">
      <c r="A8314" s="1" t="s">
        <v>3598</v>
      </c>
      <c r="B8314" s="1" t="s">
        <v>27802</v>
      </c>
      <c r="C8314" s="1" t="s">
        <v>3600</v>
      </c>
      <c r="D8314" s="1" t="s">
        <v>3601</v>
      </c>
      <c r="E8314" s="1" t="s">
        <v>3664</v>
      </c>
      <c r="F8314" s="1" t="s">
        <v>27821</v>
      </c>
      <c r="G8314" s="1" t="s">
        <v>3686</v>
      </c>
      <c r="H8314" s="1" t="s">
        <v>3604</v>
      </c>
      <c r="I8314" s="1" t="s">
        <v>27822</v>
      </c>
      <c r="J8314" s="1" t="s">
        <v>3615</v>
      </c>
      <c r="K8314" s="1" t="s">
        <v>27823</v>
      </c>
      <c r="L8314" s="1"/>
      <c r="M8314" s="1"/>
    </row>
    <row x14ac:dyDescent="0.25" r="8315" customHeight="1" ht="18.75">
      <c r="A8315" s="1" t="s">
        <v>3598</v>
      </c>
      <c r="B8315" s="1" t="s">
        <v>27802</v>
      </c>
      <c r="C8315" s="1" t="s">
        <v>3600</v>
      </c>
      <c r="D8315" s="1" t="s">
        <v>3601</v>
      </c>
      <c r="E8315" s="1" t="s">
        <v>3664</v>
      </c>
      <c r="F8315" s="1" t="s">
        <v>27824</v>
      </c>
      <c r="G8315" s="1" t="s">
        <v>3686</v>
      </c>
      <c r="H8315" s="1" t="s">
        <v>3604</v>
      </c>
      <c r="I8315" s="1" t="s">
        <v>27825</v>
      </c>
      <c r="J8315" s="1" t="s">
        <v>3615</v>
      </c>
      <c r="K8315" s="1" t="s">
        <v>27826</v>
      </c>
      <c r="L8315" s="1"/>
      <c r="M8315" s="1"/>
    </row>
    <row x14ac:dyDescent="0.25" r="8316" customHeight="1" ht="18.75">
      <c r="A8316" s="1" t="s">
        <v>3598</v>
      </c>
      <c r="B8316" s="1" t="s">
        <v>27802</v>
      </c>
      <c r="C8316" s="1" t="s">
        <v>3600</v>
      </c>
      <c r="D8316" s="1" t="s">
        <v>3601</v>
      </c>
      <c r="E8316" s="1" t="s">
        <v>3664</v>
      </c>
      <c r="F8316" s="1" t="s">
        <v>27827</v>
      </c>
      <c r="G8316" s="1" t="s">
        <v>3686</v>
      </c>
      <c r="H8316" s="1" t="s">
        <v>3604</v>
      </c>
      <c r="I8316" s="1" t="s">
        <v>27828</v>
      </c>
      <c r="J8316" s="1" t="s">
        <v>3615</v>
      </c>
      <c r="K8316" s="1" t="s">
        <v>27829</v>
      </c>
      <c r="L8316" s="1"/>
      <c r="M8316" s="1"/>
    </row>
    <row x14ac:dyDescent="0.25" r="8317" customHeight="1" ht="18.75">
      <c r="A8317" s="1" t="s">
        <v>3598</v>
      </c>
      <c r="B8317" s="1" t="s">
        <v>21672</v>
      </c>
      <c r="C8317" s="1" t="s">
        <v>3600</v>
      </c>
      <c r="D8317" s="1" t="s">
        <v>3601</v>
      </c>
      <c r="E8317" s="1" t="s">
        <v>3664</v>
      </c>
      <c r="F8317" s="1" t="s">
        <v>27830</v>
      </c>
      <c r="G8317" s="1" t="s">
        <v>21674</v>
      </c>
      <c r="H8317" s="1" t="s">
        <v>3604</v>
      </c>
      <c r="I8317" s="1" t="s">
        <v>27831</v>
      </c>
      <c r="J8317" s="1" t="s">
        <v>3615</v>
      </c>
      <c r="K8317" s="1" t="s">
        <v>27832</v>
      </c>
      <c r="L8317" s="1"/>
      <c r="M8317" s="1"/>
    </row>
    <row x14ac:dyDescent="0.25" r="8318" customHeight="1" ht="18.75">
      <c r="A8318" s="1" t="s">
        <v>3598</v>
      </c>
      <c r="B8318" s="1" t="s">
        <v>21672</v>
      </c>
      <c r="C8318" s="1" t="s">
        <v>3600</v>
      </c>
      <c r="D8318" s="1" t="s">
        <v>3601</v>
      </c>
      <c r="E8318" s="1" t="s">
        <v>3664</v>
      </c>
      <c r="F8318" s="1" t="s">
        <v>27833</v>
      </c>
      <c r="G8318" s="1" t="s">
        <v>21674</v>
      </c>
      <c r="H8318" s="1" t="s">
        <v>3604</v>
      </c>
      <c r="I8318" s="1" t="s">
        <v>27834</v>
      </c>
      <c r="J8318" s="1" t="s">
        <v>3615</v>
      </c>
      <c r="K8318" s="1" t="s">
        <v>27835</v>
      </c>
      <c r="L8318" s="1"/>
      <c r="M8318" s="1"/>
    </row>
    <row x14ac:dyDescent="0.25" r="8319" customHeight="1" ht="18.75">
      <c r="A8319" s="1" t="s">
        <v>3598</v>
      </c>
      <c r="B8319" s="1" t="s">
        <v>21823</v>
      </c>
      <c r="C8319" s="1" t="s">
        <v>3600</v>
      </c>
      <c r="D8319" s="1" t="s">
        <v>3601</v>
      </c>
      <c r="E8319" s="1" t="s">
        <v>3664</v>
      </c>
      <c r="F8319" s="1" t="s">
        <v>27836</v>
      </c>
      <c r="G8319" s="1" t="s">
        <v>21825</v>
      </c>
      <c r="H8319" s="1" t="s">
        <v>3604</v>
      </c>
      <c r="I8319" s="1" t="s">
        <v>27837</v>
      </c>
      <c r="J8319" s="1" t="s">
        <v>3615</v>
      </c>
      <c r="K8319" s="1" t="s">
        <v>27838</v>
      </c>
      <c r="L8319" s="1"/>
      <c r="M8319" s="1"/>
    </row>
    <row x14ac:dyDescent="0.25" r="8320" customHeight="1" ht="18.75">
      <c r="A8320" s="1" t="s">
        <v>3598</v>
      </c>
      <c r="B8320" s="1" t="s">
        <v>27839</v>
      </c>
      <c r="C8320" s="1" t="s">
        <v>3600</v>
      </c>
      <c r="D8320" s="1" t="s">
        <v>3601</v>
      </c>
      <c r="E8320" s="1" t="s">
        <v>3664</v>
      </c>
      <c r="F8320" s="1" t="s">
        <v>27840</v>
      </c>
      <c r="G8320" s="1" t="s">
        <v>27841</v>
      </c>
      <c r="H8320" s="1" t="s">
        <v>3604</v>
      </c>
      <c r="I8320" s="1" t="s">
        <v>27842</v>
      </c>
      <c r="J8320" s="1" t="s">
        <v>3615</v>
      </c>
      <c r="K8320" s="1" t="s">
        <v>27843</v>
      </c>
      <c r="L8320" s="1"/>
      <c r="M8320" s="1"/>
    </row>
    <row x14ac:dyDescent="0.25" r="8321" customHeight="1" ht="18.75">
      <c r="A8321" s="1" t="s">
        <v>3598</v>
      </c>
      <c r="B8321" s="1" t="s">
        <v>27839</v>
      </c>
      <c r="C8321" s="1" t="s">
        <v>3600</v>
      </c>
      <c r="D8321" s="1" t="s">
        <v>3601</v>
      </c>
      <c r="E8321" s="1" t="s">
        <v>3664</v>
      </c>
      <c r="F8321" s="1" t="s">
        <v>27844</v>
      </c>
      <c r="G8321" s="1" t="s">
        <v>27841</v>
      </c>
      <c r="H8321" s="1" t="s">
        <v>3604</v>
      </c>
      <c r="I8321" s="1" t="s">
        <v>27845</v>
      </c>
      <c r="J8321" s="1" t="s">
        <v>3615</v>
      </c>
      <c r="K8321" s="1" t="s">
        <v>27846</v>
      </c>
      <c r="L8321" s="1"/>
      <c r="M8321" s="1"/>
    </row>
    <row x14ac:dyDescent="0.25" r="8322" customHeight="1" ht="18.75">
      <c r="A8322" s="1" t="s">
        <v>3598</v>
      </c>
      <c r="B8322" s="1" t="s">
        <v>27839</v>
      </c>
      <c r="C8322" s="1" t="s">
        <v>3600</v>
      </c>
      <c r="D8322" s="1" t="s">
        <v>3601</v>
      </c>
      <c r="E8322" s="1" t="s">
        <v>3664</v>
      </c>
      <c r="F8322" s="1" t="s">
        <v>27847</v>
      </c>
      <c r="G8322" s="1" t="s">
        <v>27841</v>
      </c>
      <c r="H8322" s="1" t="s">
        <v>3604</v>
      </c>
      <c r="I8322" s="1" t="s">
        <v>27848</v>
      </c>
      <c r="J8322" s="1" t="s">
        <v>3615</v>
      </c>
      <c r="K8322" s="1" t="s">
        <v>27849</v>
      </c>
      <c r="L8322" s="1"/>
      <c r="M8322" s="1"/>
    </row>
    <row x14ac:dyDescent="0.25" r="8323" customHeight="1" ht="18.75">
      <c r="A8323" s="1" t="s">
        <v>3598</v>
      </c>
      <c r="B8323" s="1" t="s">
        <v>27839</v>
      </c>
      <c r="C8323" s="1" t="s">
        <v>3600</v>
      </c>
      <c r="D8323" s="1" t="s">
        <v>3601</v>
      </c>
      <c r="E8323" s="1" t="s">
        <v>3664</v>
      </c>
      <c r="F8323" s="1" t="s">
        <v>27850</v>
      </c>
      <c r="G8323" s="1" t="s">
        <v>19595</v>
      </c>
      <c r="H8323" s="1" t="s">
        <v>3604</v>
      </c>
      <c r="I8323" s="1" t="s">
        <v>27851</v>
      </c>
      <c r="J8323" s="1" t="s">
        <v>3615</v>
      </c>
      <c r="K8323" s="1" t="s">
        <v>27852</v>
      </c>
      <c r="L8323" s="1"/>
      <c r="M8323" s="1"/>
    </row>
    <row x14ac:dyDescent="0.25" r="8324" customHeight="1" ht="18.75">
      <c r="A8324" s="1" t="s">
        <v>3598</v>
      </c>
      <c r="B8324" s="1" t="s">
        <v>27839</v>
      </c>
      <c r="C8324" s="1" t="s">
        <v>3600</v>
      </c>
      <c r="D8324" s="1" t="s">
        <v>3601</v>
      </c>
      <c r="E8324" s="1" t="s">
        <v>3664</v>
      </c>
      <c r="F8324" s="1" t="s">
        <v>27853</v>
      </c>
      <c r="G8324" s="1" t="s">
        <v>19595</v>
      </c>
      <c r="H8324" s="1" t="s">
        <v>3604</v>
      </c>
      <c r="I8324" s="1" t="s">
        <v>27854</v>
      </c>
      <c r="J8324" s="1" t="s">
        <v>3615</v>
      </c>
      <c r="K8324" s="1" t="s">
        <v>27855</v>
      </c>
      <c r="L8324" s="1"/>
      <c r="M8324" s="1"/>
    </row>
    <row x14ac:dyDescent="0.25" r="8325" customHeight="1" ht="18.75">
      <c r="A8325" s="1" t="s">
        <v>3598</v>
      </c>
      <c r="B8325" s="1" t="s">
        <v>27839</v>
      </c>
      <c r="C8325" s="1" t="s">
        <v>3600</v>
      </c>
      <c r="D8325" s="1" t="s">
        <v>3601</v>
      </c>
      <c r="E8325" s="1" t="s">
        <v>3664</v>
      </c>
      <c r="F8325" s="1" t="s">
        <v>27856</v>
      </c>
      <c r="G8325" s="1" t="s">
        <v>19595</v>
      </c>
      <c r="H8325" s="1" t="s">
        <v>3604</v>
      </c>
      <c r="I8325" s="1" t="s">
        <v>27857</v>
      </c>
      <c r="J8325" s="1" t="s">
        <v>3615</v>
      </c>
      <c r="K8325" s="1" t="s">
        <v>27858</v>
      </c>
      <c r="L8325" s="1"/>
      <c r="M8325" s="1"/>
    </row>
    <row x14ac:dyDescent="0.25" r="8326" customHeight="1" ht="18.75">
      <c r="A8326" s="1" t="s">
        <v>3598</v>
      </c>
      <c r="B8326" s="1" t="s">
        <v>21850</v>
      </c>
      <c r="C8326" s="1" t="s">
        <v>3600</v>
      </c>
      <c r="D8326" s="1" t="s">
        <v>3601</v>
      </c>
      <c r="E8326" s="1" t="s">
        <v>3664</v>
      </c>
      <c r="F8326" s="1" t="s">
        <v>27859</v>
      </c>
      <c r="G8326" s="1" t="s">
        <v>21244</v>
      </c>
      <c r="H8326" s="1" t="s">
        <v>3604</v>
      </c>
      <c r="I8326" s="1" t="s">
        <v>27860</v>
      </c>
      <c r="J8326" s="1" t="s">
        <v>3615</v>
      </c>
      <c r="K8326" s="1" t="s">
        <v>27861</v>
      </c>
      <c r="L8326" s="1"/>
      <c r="M8326" s="1"/>
    </row>
    <row x14ac:dyDescent="0.25" r="8327" customHeight="1" ht="18.75">
      <c r="A8327" s="1" t="s">
        <v>3598</v>
      </c>
      <c r="B8327" s="1" t="s">
        <v>21850</v>
      </c>
      <c r="C8327" s="1" t="s">
        <v>3600</v>
      </c>
      <c r="D8327" s="1" t="s">
        <v>3601</v>
      </c>
      <c r="E8327" s="1" t="s">
        <v>3664</v>
      </c>
      <c r="F8327" s="1" t="s">
        <v>27862</v>
      </c>
      <c r="G8327" s="1" t="s">
        <v>21244</v>
      </c>
      <c r="H8327" s="1" t="s">
        <v>3604</v>
      </c>
      <c r="I8327" s="1" t="s">
        <v>27863</v>
      </c>
      <c r="J8327" s="1" t="s">
        <v>3615</v>
      </c>
      <c r="K8327" s="1" t="s">
        <v>27864</v>
      </c>
      <c r="L8327" s="1"/>
      <c r="M8327" s="1"/>
    </row>
    <row x14ac:dyDescent="0.25" r="8328" customHeight="1" ht="18.75">
      <c r="A8328" s="1" t="s">
        <v>3598</v>
      </c>
      <c r="B8328" s="1" t="s">
        <v>21850</v>
      </c>
      <c r="C8328" s="1" t="s">
        <v>3600</v>
      </c>
      <c r="D8328" s="1" t="s">
        <v>3601</v>
      </c>
      <c r="E8328" s="1" t="s">
        <v>3664</v>
      </c>
      <c r="F8328" s="1" t="s">
        <v>27865</v>
      </c>
      <c r="G8328" s="1" t="s">
        <v>21244</v>
      </c>
      <c r="H8328" s="1" t="s">
        <v>3604</v>
      </c>
      <c r="I8328" s="1" t="s">
        <v>27866</v>
      </c>
      <c r="J8328" s="1" t="s">
        <v>3615</v>
      </c>
      <c r="K8328" s="1" t="s">
        <v>27867</v>
      </c>
      <c r="L8328" s="1"/>
      <c r="M8328" s="1"/>
    </row>
    <row x14ac:dyDescent="0.25" r="8329" customHeight="1" ht="18.75">
      <c r="A8329" s="1" t="s">
        <v>3598</v>
      </c>
      <c r="B8329" s="1" t="s">
        <v>21850</v>
      </c>
      <c r="C8329" s="1" t="s">
        <v>3600</v>
      </c>
      <c r="D8329" s="1" t="s">
        <v>3601</v>
      </c>
      <c r="E8329" s="1" t="s">
        <v>3664</v>
      </c>
      <c r="F8329" s="1" t="s">
        <v>27868</v>
      </c>
      <c r="G8329" s="1" t="s">
        <v>21244</v>
      </c>
      <c r="H8329" s="1" t="s">
        <v>3604</v>
      </c>
      <c r="I8329" s="1" t="s">
        <v>27869</v>
      </c>
      <c r="J8329" s="1" t="s">
        <v>3615</v>
      </c>
      <c r="K8329" s="1" t="s">
        <v>27870</v>
      </c>
      <c r="L8329" s="1"/>
      <c r="M8329" s="1"/>
    </row>
    <row x14ac:dyDescent="0.25" r="8330" customHeight="1" ht="18.75">
      <c r="A8330" s="1" t="s">
        <v>3598</v>
      </c>
      <c r="B8330" s="1" t="s">
        <v>21850</v>
      </c>
      <c r="C8330" s="1" t="s">
        <v>3600</v>
      </c>
      <c r="D8330" s="1" t="s">
        <v>3601</v>
      </c>
      <c r="E8330" s="1" t="s">
        <v>3664</v>
      </c>
      <c r="F8330" s="1" t="s">
        <v>27871</v>
      </c>
      <c r="G8330" s="1" t="s">
        <v>21244</v>
      </c>
      <c r="H8330" s="1" t="s">
        <v>3604</v>
      </c>
      <c r="I8330" s="1" t="s">
        <v>27872</v>
      </c>
      <c r="J8330" s="1" t="s">
        <v>3615</v>
      </c>
      <c r="K8330" s="1" t="s">
        <v>27873</v>
      </c>
      <c r="L8330" s="1"/>
      <c r="M8330" s="1"/>
    </row>
    <row x14ac:dyDescent="0.25" r="8331" customHeight="1" ht="18.75">
      <c r="A8331" s="1" t="s">
        <v>3598</v>
      </c>
      <c r="B8331" s="1" t="s">
        <v>21864</v>
      </c>
      <c r="C8331" s="1" t="s">
        <v>3600</v>
      </c>
      <c r="D8331" s="1" t="s">
        <v>3601</v>
      </c>
      <c r="E8331" s="1" t="s">
        <v>3664</v>
      </c>
      <c r="F8331" s="1" t="s">
        <v>27874</v>
      </c>
      <c r="G8331" s="1" t="s">
        <v>21212</v>
      </c>
      <c r="H8331" s="1" t="s">
        <v>3604</v>
      </c>
      <c r="I8331" s="1" t="s">
        <v>27875</v>
      </c>
      <c r="J8331" s="1" t="s">
        <v>3615</v>
      </c>
      <c r="K8331" s="1" t="s">
        <v>27876</v>
      </c>
      <c r="L8331" s="1"/>
      <c r="M8331" s="1"/>
    </row>
    <row x14ac:dyDescent="0.25" r="8332" customHeight="1" ht="18.75">
      <c r="A8332" s="1" t="s">
        <v>3598</v>
      </c>
      <c r="B8332" s="1" t="s">
        <v>21864</v>
      </c>
      <c r="C8332" s="1" t="s">
        <v>3600</v>
      </c>
      <c r="D8332" s="1" t="s">
        <v>3601</v>
      </c>
      <c r="E8332" s="1" t="s">
        <v>3664</v>
      </c>
      <c r="F8332" s="1" t="s">
        <v>27877</v>
      </c>
      <c r="G8332" s="1" t="s">
        <v>21212</v>
      </c>
      <c r="H8332" s="1" t="s">
        <v>3604</v>
      </c>
      <c r="I8332" s="1" t="s">
        <v>27878</v>
      </c>
      <c r="J8332" s="1" t="s">
        <v>3615</v>
      </c>
      <c r="K8332" s="1" t="s">
        <v>27879</v>
      </c>
      <c r="L8332" s="1"/>
      <c r="M8332" s="1"/>
    </row>
    <row x14ac:dyDescent="0.25" r="8333" customHeight="1" ht="18.75">
      <c r="A8333" s="1" t="s">
        <v>3598</v>
      </c>
      <c r="B8333" s="1" t="s">
        <v>21864</v>
      </c>
      <c r="C8333" s="1" t="s">
        <v>3600</v>
      </c>
      <c r="D8333" s="1" t="s">
        <v>3601</v>
      </c>
      <c r="E8333" s="1" t="s">
        <v>3664</v>
      </c>
      <c r="F8333" s="1" t="s">
        <v>27880</v>
      </c>
      <c r="G8333" s="1" t="s">
        <v>21866</v>
      </c>
      <c r="H8333" s="1" t="s">
        <v>3604</v>
      </c>
      <c r="I8333" s="1" t="s">
        <v>27881</v>
      </c>
      <c r="J8333" s="1" t="s">
        <v>3615</v>
      </c>
      <c r="K8333" s="1" t="s">
        <v>27882</v>
      </c>
      <c r="L8333" s="1"/>
      <c r="M8333" s="1"/>
    </row>
    <row x14ac:dyDescent="0.25" r="8334" customHeight="1" ht="18.75">
      <c r="A8334" s="1" t="s">
        <v>3598</v>
      </c>
      <c r="B8334" s="1" t="s">
        <v>21864</v>
      </c>
      <c r="C8334" s="1" t="s">
        <v>3600</v>
      </c>
      <c r="D8334" s="1" t="s">
        <v>3601</v>
      </c>
      <c r="E8334" s="1" t="s">
        <v>3664</v>
      </c>
      <c r="F8334" s="1" t="s">
        <v>27883</v>
      </c>
      <c r="G8334" s="1" t="s">
        <v>21866</v>
      </c>
      <c r="H8334" s="1" t="s">
        <v>3604</v>
      </c>
      <c r="I8334" s="1" t="s">
        <v>27884</v>
      </c>
      <c r="J8334" s="1" t="s">
        <v>3615</v>
      </c>
      <c r="K8334" s="1" t="s">
        <v>27885</v>
      </c>
      <c r="L8334" s="1"/>
      <c r="M8334" s="1"/>
    </row>
    <row x14ac:dyDescent="0.25" r="8335" customHeight="1" ht="18.75">
      <c r="A8335" s="1" t="s">
        <v>3598</v>
      </c>
      <c r="B8335" s="1" t="s">
        <v>21864</v>
      </c>
      <c r="C8335" s="1" t="s">
        <v>3600</v>
      </c>
      <c r="D8335" s="1" t="s">
        <v>3601</v>
      </c>
      <c r="E8335" s="1" t="s">
        <v>3664</v>
      </c>
      <c r="F8335" s="1" t="s">
        <v>27886</v>
      </c>
      <c r="G8335" s="1" t="s">
        <v>21866</v>
      </c>
      <c r="H8335" s="1" t="s">
        <v>3604</v>
      </c>
      <c r="I8335" s="1" t="s">
        <v>27887</v>
      </c>
      <c r="J8335" s="1" t="s">
        <v>3615</v>
      </c>
      <c r="K8335" s="1" t="s">
        <v>27888</v>
      </c>
      <c r="L8335" s="1"/>
      <c r="M8335" s="1"/>
    </row>
    <row x14ac:dyDescent="0.25" r="8336" customHeight="1" ht="18.75">
      <c r="A8336" s="1" t="s">
        <v>3598</v>
      </c>
      <c r="B8336" s="1" t="s">
        <v>21876</v>
      </c>
      <c r="C8336" s="1" t="s">
        <v>3600</v>
      </c>
      <c r="D8336" s="1" t="s">
        <v>3601</v>
      </c>
      <c r="E8336" s="1" t="s">
        <v>3664</v>
      </c>
      <c r="F8336" s="1" t="s">
        <v>27889</v>
      </c>
      <c r="G8336" s="1" t="s">
        <v>21134</v>
      </c>
      <c r="H8336" s="1" t="s">
        <v>3604</v>
      </c>
      <c r="I8336" s="1" t="s">
        <v>27890</v>
      </c>
      <c r="J8336" s="1" t="s">
        <v>3615</v>
      </c>
      <c r="K8336" s="1" t="s">
        <v>27891</v>
      </c>
      <c r="L8336" s="1"/>
      <c r="M8336" s="1"/>
    </row>
    <row x14ac:dyDescent="0.25" r="8337" customHeight="1" ht="18.75">
      <c r="A8337" s="1" t="s">
        <v>3598</v>
      </c>
      <c r="B8337" s="1" t="s">
        <v>21876</v>
      </c>
      <c r="C8337" s="1" t="s">
        <v>3600</v>
      </c>
      <c r="D8337" s="1" t="s">
        <v>3601</v>
      </c>
      <c r="E8337" s="1" t="s">
        <v>3664</v>
      </c>
      <c r="F8337" s="1" t="s">
        <v>27892</v>
      </c>
      <c r="G8337" s="1" t="s">
        <v>21134</v>
      </c>
      <c r="H8337" s="1" t="s">
        <v>3604</v>
      </c>
      <c r="I8337" s="1" t="s">
        <v>27893</v>
      </c>
      <c r="J8337" s="1" t="s">
        <v>3615</v>
      </c>
      <c r="K8337" s="1" t="s">
        <v>27894</v>
      </c>
      <c r="L8337" s="1"/>
      <c r="M8337" s="1"/>
    </row>
    <row x14ac:dyDescent="0.25" r="8338" customHeight="1" ht="18.75">
      <c r="A8338" s="1" t="s">
        <v>3598</v>
      </c>
      <c r="B8338" s="1" t="s">
        <v>8656</v>
      </c>
      <c r="C8338" s="1" t="s">
        <v>3600</v>
      </c>
      <c r="D8338" s="1" t="s">
        <v>3601</v>
      </c>
      <c r="E8338" s="1" t="s">
        <v>3664</v>
      </c>
      <c r="F8338" s="1" t="s">
        <v>27895</v>
      </c>
      <c r="G8338" s="1" t="s">
        <v>8658</v>
      </c>
      <c r="H8338" s="1" t="s">
        <v>3604</v>
      </c>
      <c r="I8338" s="1" t="s">
        <v>27896</v>
      </c>
      <c r="J8338" s="1" t="s">
        <v>3615</v>
      </c>
      <c r="K8338" s="1" t="s">
        <v>27897</v>
      </c>
      <c r="L8338" s="1"/>
      <c r="M8338" s="1"/>
    </row>
    <row x14ac:dyDescent="0.25" r="8339" customHeight="1" ht="18.75">
      <c r="A8339" s="1" t="s">
        <v>3598</v>
      </c>
      <c r="B8339" s="1" t="s">
        <v>8656</v>
      </c>
      <c r="C8339" s="1" t="s">
        <v>3600</v>
      </c>
      <c r="D8339" s="1" t="s">
        <v>3601</v>
      </c>
      <c r="E8339" s="1" t="s">
        <v>3664</v>
      </c>
      <c r="F8339" s="1" t="s">
        <v>27898</v>
      </c>
      <c r="G8339" s="1" t="s">
        <v>8658</v>
      </c>
      <c r="H8339" s="1" t="s">
        <v>3604</v>
      </c>
      <c r="I8339" s="1" t="s">
        <v>27899</v>
      </c>
      <c r="J8339" s="1" t="s">
        <v>3615</v>
      </c>
      <c r="K8339" s="1" t="s">
        <v>27900</v>
      </c>
      <c r="L8339" s="1"/>
      <c r="M8339" s="1"/>
    </row>
    <row x14ac:dyDescent="0.25" r="8340" customHeight="1" ht="18.75">
      <c r="A8340" s="1" t="s">
        <v>3598</v>
      </c>
      <c r="B8340" s="1" t="s">
        <v>27802</v>
      </c>
      <c r="C8340" s="1" t="s">
        <v>3600</v>
      </c>
      <c r="D8340" s="1" t="s">
        <v>3601</v>
      </c>
      <c r="E8340" s="1" t="s">
        <v>3664</v>
      </c>
      <c r="F8340" s="1" t="s">
        <v>27901</v>
      </c>
      <c r="G8340" s="1" t="s">
        <v>3682</v>
      </c>
      <c r="H8340" s="1" t="s">
        <v>3604</v>
      </c>
      <c r="I8340" s="1" t="s">
        <v>27902</v>
      </c>
      <c r="J8340" s="1" t="s">
        <v>3615</v>
      </c>
      <c r="K8340" s="1" t="s">
        <v>27903</v>
      </c>
      <c r="L8340" s="1"/>
      <c r="M8340" s="1"/>
    </row>
    <row x14ac:dyDescent="0.25" r="8341" customHeight="1" ht="18.75">
      <c r="A8341" s="1" t="s">
        <v>3598</v>
      </c>
      <c r="B8341" s="1" t="s">
        <v>27802</v>
      </c>
      <c r="C8341" s="1" t="s">
        <v>3600</v>
      </c>
      <c r="D8341" s="1" t="s">
        <v>3601</v>
      </c>
      <c r="E8341" s="1" t="s">
        <v>3664</v>
      </c>
      <c r="F8341" s="1" t="s">
        <v>27904</v>
      </c>
      <c r="G8341" s="1" t="s">
        <v>3682</v>
      </c>
      <c r="H8341" s="1" t="s">
        <v>3604</v>
      </c>
      <c r="I8341" s="1" t="s">
        <v>27905</v>
      </c>
      <c r="J8341" s="1" t="s">
        <v>3615</v>
      </c>
      <c r="K8341" s="1" t="s">
        <v>27906</v>
      </c>
      <c r="L8341" s="1"/>
      <c r="M8341" s="1"/>
    </row>
    <row x14ac:dyDescent="0.25" r="8342" customHeight="1" ht="18.75">
      <c r="A8342" s="1" t="s">
        <v>3598</v>
      </c>
      <c r="B8342" s="1" t="s">
        <v>27802</v>
      </c>
      <c r="C8342" s="1" t="s">
        <v>3600</v>
      </c>
      <c r="D8342" s="1" t="s">
        <v>3601</v>
      </c>
      <c r="E8342" s="1" t="s">
        <v>3664</v>
      </c>
      <c r="F8342" s="1" t="s">
        <v>27907</v>
      </c>
      <c r="G8342" s="1" t="s">
        <v>3682</v>
      </c>
      <c r="H8342" s="1" t="s">
        <v>3604</v>
      </c>
      <c r="I8342" s="1" t="s">
        <v>27908</v>
      </c>
      <c r="J8342" s="1" t="s">
        <v>3615</v>
      </c>
      <c r="K8342" s="1" t="s">
        <v>27909</v>
      </c>
      <c r="L8342" s="1"/>
      <c r="M8342" s="1"/>
    </row>
    <row x14ac:dyDescent="0.25" r="8343" customHeight="1" ht="18.75">
      <c r="A8343" s="1" t="s">
        <v>3598</v>
      </c>
      <c r="B8343" s="1" t="s">
        <v>27802</v>
      </c>
      <c r="C8343" s="1" t="s">
        <v>3600</v>
      </c>
      <c r="D8343" s="1" t="s">
        <v>3601</v>
      </c>
      <c r="E8343" s="1" t="s">
        <v>3664</v>
      </c>
      <c r="F8343" s="1" t="s">
        <v>27910</v>
      </c>
      <c r="G8343" s="1" t="s">
        <v>3682</v>
      </c>
      <c r="H8343" s="1" t="s">
        <v>3604</v>
      </c>
      <c r="I8343" s="1" t="s">
        <v>27911</v>
      </c>
      <c r="J8343" s="1" t="s">
        <v>3615</v>
      </c>
      <c r="K8343" s="1" t="s">
        <v>27912</v>
      </c>
      <c r="L8343" s="1"/>
      <c r="M8343" s="1"/>
    </row>
    <row x14ac:dyDescent="0.25" r="8344" customHeight="1" ht="18.75">
      <c r="A8344" s="1" t="s">
        <v>3598</v>
      </c>
      <c r="B8344" s="1" t="s">
        <v>27802</v>
      </c>
      <c r="C8344" s="1" t="s">
        <v>3600</v>
      </c>
      <c r="D8344" s="1" t="s">
        <v>3601</v>
      </c>
      <c r="E8344" s="1" t="s">
        <v>3664</v>
      </c>
      <c r="F8344" s="1" t="s">
        <v>27913</v>
      </c>
      <c r="G8344" s="1" t="s">
        <v>3682</v>
      </c>
      <c r="H8344" s="1" t="s">
        <v>3604</v>
      </c>
      <c r="I8344" s="1" t="s">
        <v>27914</v>
      </c>
      <c r="J8344" s="1" t="s">
        <v>3615</v>
      </c>
      <c r="K8344" s="1" t="s">
        <v>27915</v>
      </c>
      <c r="L8344" s="1"/>
      <c r="M8344" s="1"/>
    </row>
    <row x14ac:dyDescent="0.25" r="8345" customHeight="1" ht="18.75">
      <c r="A8345" s="1" t="s">
        <v>3598</v>
      </c>
      <c r="B8345" s="1" t="s">
        <v>16752</v>
      </c>
      <c r="C8345" s="1" t="s">
        <v>3600</v>
      </c>
      <c r="D8345" s="1" t="s">
        <v>3601</v>
      </c>
      <c r="E8345" s="1" t="s">
        <v>3664</v>
      </c>
      <c r="F8345" s="1" t="s">
        <v>27916</v>
      </c>
      <c r="G8345" s="1" t="s">
        <v>8330</v>
      </c>
      <c r="H8345" s="1" t="s">
        <v>3604</v>
      </c>
      <c r="I8345" s="1" t="s">
        <v>27917</v>
      </c>
      <c r="J8345" s="1" t="s">
        <v>3615</v>
      </c>
      <c r="K8345" s="1" t="s">
        <v>27918</v>
      </c>
      <c r="L8345" s="1"/>
      <c r="M8345" s="1"/>
    </row>
    <row x14ac:dyDescent="0.25" r="8346" customHeight="1" ht="18.75">
      <c r="A8346" s="1" t="s">
        <v>3598</v>
      </c>
      <c r="B8346" s="1" t="s">
        <v>16752</v>
      </c>
      <c r="C8346" s="1" t="s">
        <v>3600</v>
      </c>
      <c r="D8346" s="1" t="s">
        <v>3601</v>
      </c>
      <c r="E8346" s="1" t="s">
        <v>3664</v>
      </c>
      <c r="F8346" s="1" t="s">
        <v>27919</v>
      </c>
      <c r="G8346" s="1" t="s">
        <v>8330</v>
      </c>
      <c r="H8346" s="1" t="s">
        <v>3604</v>
      </c>
      <c r="I8346" s="1" t="s">
        <v>27920</v>
      </c>
      <c r="J8346" s="1" t="s">
        <v>3615</v>
      </c>
      <c r="K8346" s="1" t="s">
        <v>27921</v>
      </c>
      <c r="L8346" s="1"/>
      <c r="M8346" s="1"/>
    </row>
    <row x14ac:dyDescent="0.25" r="8347" customHeight="1" ht="18.75">
      <c r="A8347" s="1" t="s">
        <v>3598</v>
      </c>
      <c r="B8347" s="1" t="s">
        <v>16752</v>
      </c>
      <c r="C8347" s="1" t="s">
        <v>3600</v>
      </c>
      <c r="D8347" s="1" t="s">
        <v>3601</v>
      </c>
      <c r="E8347" s="1" t="s">
        <v>3664</v>
      </c>
      <c r="F8347" s="1" t="s">
        <v>27922</v>
      </c>
      <c r="G8347" s="1" t="s">
        <v>8330</v>
      </c>
      <c r="H8347" s="1" t="s">
        <v>3604</v>
      </c>
      <c r="I8347" s="1" t="s">
        <v>27923</v>
      </c>
      <c r="J8347" s="1" t="s">
        <v>3615</v>
      </c>
      <c r="K8347" s="1" t="s">
        <v>27924</v>
      </c>
      <c r="L8347" s="1"/>
      <c r="M8347" s="1"/>
    </row>
    <row x14ac:dyDescent="0.25" r="8348" customHeight="1" ht="18.75">
      <c r="A8348" s="1" t="s">
        <v>3598</v>
      </c>
      <c r="B8348" s="1" t="s">
        <v>16752</v>
      </c>
      <c r="C8348" s="1" t="s">
        <v>3600</v>
      </c>
      <c r="D8348" s="1" t="s">
        <v>3601</v>
      </c>
      <c r="E8348" s="1" t="s">
        <v>3664</v>
      </c>
      <c r="F8348" s="1" t="s">
        <v>27925</v>
      </c>
      <c r="G8348" s="1" t="s">
        <v>8330</v>
      </c>
      <c r="H8348" s="1" t="s">
        <v>3604</v>
      </c>
      <c r="I8348" s="1" t="s">
        <v>27926</v>
      </c>
      <c r="J8348" s="1" t="s">
        <v>3615</v>
      </c>
      <c r="K8348" s="1" t="s">
        <v>27927</v>
      </c>
      <c r="L8348" s="1"/>
      <c r="M8348" s="1"/>
    </row>
    <row x14ac:dyDescent="0.25" r="8349" customHeight="1" ht="18.75">
      <c r="A8349" s="1" t="s">
        <v>3598</v>
      </c>
      <c r="B8349" s="1" t="s">
        <v>16752</v>
      </c>
      <c r="C8349" s="1" t="s">
        <v>3600</v>
      </c>
      <c r="D8349" s="1" t="s">
        <v>3601</v>
      </c>
      <c r="E8349" s="1" t="s">
        <v>3664</v>
      </c>
      <c r="F8349" s="1" t="s">
        <v>27928</v>
      </c>
      <c r="G8349" s="1" t="s">
        <v>8330</v>
      </c>
      <c r="H8349" s="1" t="s">
        <v>3604</v>
      </c>
      <c r="I8349" s="1" t="s">
        <v>27929</v>
      </c>
      <c r="J8349" s="1" t="s">
        <v>3615</v>
      </c>
      <c r="K8349" s="1" t="s">
        <v>27930</v>
      </c>
      <c r="L8349" s="1"/>
      <c r="M8349" s="1"/>
    </row>
    <row x14ac:dyDescent="0.25" r="8350" customHeight="1" ht="18.75">
      <c r="A8350" s="1" t="s">
        <v>3598</v>
      </c>
      <c r="B8350" s="1" t="s">
        <v>16752</v>
      </c>
      <c r="C8350" s="1" t="s">
        <v>3600</v>
      </c>
      <c r="D8350" s="1" t="s">
        <v>3601</v>
      </c>
      <c r="E8350" s="1" t="s">
        <v>3664</v>
      </c>
      <c r="F8350" s="1" t="s">
        <v>27931</v>
      </c>
      <c r="G8350" s="1" t="s">
        <v>8330</v>
      </c>
      <c r="H8350" s="1" t="s">
        <v>3604</v>
      </c>
      <c r="I8350" s="1" t="s">
        <v>27932</v>
      </c>
      <c r="J8350" s="1" t="s">
        <v>3615</v>
      </c>
      <c r="K8350" s="1" t="s">
        <v>27933</v>
      </c>
      <c r="L8350" s="1"/>
      <c r="M8350" s="1"/>
    </row>
    <row x14ac:dyDescent="0.25" r="8351" customHeight="1" ht="18.75">
      <c r="A8351" s="1" t="s">
        <v>3598</v>
      </c>
      <c r="B8351" s="1" t="s">
        <v>16689</v>
      </c>
      <c r="C8351" s="1" t="s">
        <v>3600</v>
      </c>
      <c r="D8351" s="1" t="s">
        <v>3601</v>
      </c>
      <c r="E8351" s="1" t="s">
        <v>3664</v>
      </c>
      <c r="F8351" s="1" t="s">
        <v>27934</v>
      </c>
      <c r="G8351" s="1" t="s">
        <v>8333</v>
      </c>
      <c r="H8351" s="1" t="s">
        <v>3604</v>
      </c>
      <c r="I8351" s="1" t="s">
        <v>27935</v>
      </c>
      <c r="J8351" s="1" t="s">
        <v>3615</v>
      </c>
      <c r="K8351" s="1" t="s">
        <v>27936</v>
      </c>
      <c r="L8351" s="1"/>
      <c r="M8351" s="1"/>
    </row>
    <row x14ac:dyDescent="0.25" r="8352" customHeight="1" ht="18.75">
      <c r="A8352" s="1" t="s">
        <v>3598</v>
      </c>
      <c r="B8352" s="1" t="s">
        <v>16689</v>
      </c>
      <c r="C8352" s="1" t="s">
        <v>3600</v>
      </c>
      <c r="D8352" s="1" t="s">
        <v>3601</v>
      </c>
      <c r="E8352" s="1" t="s">
        <v>3664</v>
      </c>
      <c r="F8352" s="1" t="s">
        <v>27937</v>
      </c>
      <c r="G8352" s="1" t="s">
        <v>8333</v>
      </c>
      <c r="H8352" s="1" t="s">
        <v>3604</v>
      </c>
      <c r="I8352" s="1" t="s">
        <v>27938</v>
      </c>
      <c r="J8352" s="1" t="s">
        <v>3615</v>
      </c>
      <c r="K8352" s="1" t="s">
        <v>27939</v>
      </c>
      <c r="L8352" s="1"/>
      <c r="M8352" s="1"/>
    </row>
    <row x14ac:dyDescent="0.25" r="8353" customHeight="1" ht="18.75">
      <c r="A8353" s="1" t="s">
        <v>3598</v>
      </c>
      <c r="B8353" s="1" t="s">
        <v>16689</v>
      </c>
      <c r="C8353" s="1" t="s">
        <v>3600</v>
      </c>
      <c r="D8353" s="1" t="s">
        <v>3601</v>
      </c>
      <c r="E8353" s="1" t="s">
        <v>3664</v>
      </c>
      <c r="F8353" s="1" t="s">
        <v>27940</v>
      </c>
      <c r="G8353" s="1" t="s">
        <v>8333</v>
      </c>
      <c r="H8353" s="1" t="s">
        <v>3604</v>
      </c>
      <c r="I8353" s="1" t="s">
        <v>27941</v>
      </c>
      <c r="J8353" s="1" t="s">
        <v>3615</v>
      </c>
      <c r="K8353" s="1" t="s">
        <v>27942</v>
      </c>
      <c r="L8353" s="1"/>
      <c r="M8353" s="1"/>
    </row>
    <row x14ac:dyDescent="0.25" r="8354" customHeight="1" ht="18.75">
      <c r="A8354" s="1" t="s">
        <v>3598</v>
      </c>
      <c r="B8354" s="1" t="s">
        <v>16689</v>
      </c>
      <c r="C8354" s="1" t="s">
        <v>3600</v>
      </c>
      <c r="D8354" s="1" t="s">
        <v>3601</v>
      </c>
      <c r="E8354" s="1" t="s">
        <v>3664</v>
      </c>
      <c r="F8354" s="1" t="s">
        <v>27943</v>
      </c>
      <c r="G8354" s="1" t="s">
        <v>16709</v>
      </c>
      <c r="H8354" s="1" t="s">
        <v>3604</v>
      </c>
      <c r="I8354" s="1" t="s">
        <v>27944</v>
      </c>
      <c r="J8354" s="1" t="s">
        <v>3615</v>
      </c>
      <c r="K8354" s="1" t="s">
        <v>27945</v>
      </c>
      <c r="L8354" s="1"/>
      <c r="M8354" s="1"/>
    </row>
    <row x14ac:dyDescent="0.25" r="8355" customHeight="1" ht="18.75">
      <c r="A8355" s="1" t="s">
        <v>3598</v>
      </c>
      <c r="B8355" s="1" t="s">
        <v>16689</v>
      </c>
      <c r="C8355" s="1" t="s">
        <v>3600</v>
      </c>
      <c r="D8355" s="1" t="s">
        <v>3601</v>
      </c>
      <c r="E8355" s="1" t="s">
        <v>3664</v>
      </c>
      <c r="F8355" s="1" t="s">
        <v>27946</v>
      </c>
      <c r="G8355" s="1" t="s">
        <v>16709</v>
      </c>
      <c r="H8355" s="1" t="s">
        <v>3604</v>
      </c>
      <c r="I8355" s="1" t="s">
        <v>27947</v>
      </c>
      <c r="J8355" s="1" t="s">
        <v>3615</v>
      </c>
      <c r="K8355" s="1" t="s">
        <v>27948</v>
      </c>
      <c r="L8355" s="1"/>
      <c r="M8355" s="1"/>
    </row>
    <row x14ac:dyDescent="0.25" r="8356" customHeight="1" ht="18.75">
      <c r="A8356" s="1" t="s">
        <v>3598</v>
      </c>
      <c r="B8356" s="1" t="s">
        <v>16689</v>
      </c>
      <c r="C8356" s="1" t="s">
        <v>3600</v>
      </c>
      <c r="D8356" s="1" t="s">
        <v>3601</v>
      </c>
      <c r="E8356" s="1" t="s">
        <v>3664</v>
      </c>
      <c r="F8356" s="1" t="s">
        <v>27949</v>
      </c>
      <c r="G8356" s="1" t="s">
        <v>16709</v>
      </c>
      <c r="H8356" s="1" t="s">
        <v>3604</v>
      </c>
      <c r="I8356" s="1" t="s">
        <v>27950</v>
      </c>
      <c r="J8356" s="1" t="s">
        <v>3615</v>
      </c>
      <c r="K8356" s="1" t="s">
        <v>27951</v>
      </c>
      <c r="L8356" s="1"/>
      <c r="M8356" s="1"/>
    </row>
    <row x14ac:dyDescent="0.25" r="8357" customHeight="1" ht="18.75">
      <c r="A8357" s="1" t="s">
        <v>3598</v>
      </c>
      <c r="B8357" s="1" t="s">
        <v>16689</v>
      </c>
      <c r="C8357" s="1" t="s">
        <v>3600</v>
      </c>
      <c r="D8357" s="1" t="s">
        <v>3601</v>
      </c>
      <c r="E8357" s="1" t="s">
        <v>3664</v>
      </c>
      <c r="F8357" s="1" t="s">
        <v>27952</v>
      </c>
      <c r="G8357" s="1" t="s">
        <v>16709</v>
      </c>
      <c r="H8357" s="1" t="s">
        <v>3604</v>
      </c>
      <c r="I8357" s="1" t="s">
        <v>27953</v>
      </c>
      <c r="J8357" s="1" t="s">
        <v>3615</v>
      </c>
      <c r="K8357" s="1" t="s">
        <v>27954</v>
      </c>
      <c r="L8357" s="1"/>
      <c r="M8357" s="1"/>
    </row>
    <row x14ac:dyDescent="0.25" r="8358" customHeight="1" ht="18.75">
      <c r="A8358" s="1" t="s">
        <v>3598</v>
      </c>
      <c r="B8358" s="1" t="s">
        <v>16689</v>
      </c>
      <c r="C8358" s="1" t="s">
        <v>3600</v>
      </c>
      <c r="D8358" s="1" t="s">
        <v>3601</v>
      </c>
      <c r="E8358" s="1" t="s">
        <v>3664</v>
      </c>
      <c r="F8358" s="1" t="s">
        <v>27955</v>
      </c>
      <c r="G8358" s="1" t="s">
        <v>16709</v>
      </c>
      <c r="H8358" s="1" t="s">
        <v>3604</v>
      </c>
      <c r="I8358" s="1" t="s">
        <v>27956</v>
      </c>
      <c r="J8358" s="1" t="s">
        <v>3615</v>
      </c>
      <c r="K8358" s="1" t="s">
        <v>27957</v>
      </c>
      <c r="L8358" s="1"/>
      <c r="M8358" s="1"/>
    </row>
    <row x14ac:dyDescent="0.25" r="8359" customHeight="1" ht="18.75">
      <c r="A8359" s="1" t="s">
        <v>3598</v>
      </c>
      <c r="B8359" s="1" t="s">
        <v>21850</v>
      </c>
      <c r="C8359" s="1" t="s">
        <v>3600</v>
      </c>
      <c r="D8359" s="1" t="s">
        <v>3601</v>
      </c>
      <c r="E8359" s="1" t="s">
        <v>3664</v>
      </c>
      <c r="F8359" s="1" t="s">
        <v>27958</v>
      </c>
      <c r="G8359" s="1" t="s">
        <v>21260</v>
      </c>
      <c r="H8359" s="1" t="s">
        <v>3604</v>
      </c>
      <c r="I8359" s="1" t="s">
        <v>27959</v>
      </c>
      <c r="J8359" s="1" t="s">
        <v>3615</v>
      </c>
      <c r="K8359" s="1" t="s">
        <v>27960</v>
      </c>
      <c r="L8359" s="1"/>
      <c r="M8359" s="1"/>
    </row>
    <row x14ac:dyDescent="0.25" r="8360" customHeight="1" ht="18.75">
      <c r="A8360" s="1" t="s">
        <v>3598</v>
      </c>
      <c r="B8360" s="1" t="s">
        <v>21850</v>
      </c>
      <c r="C8360" s="1" t="s">
        <v>3600</v>
      </c>
      <c r="D8360" s="1" t="s">
        <v>3601</v>
      </c>
      <c r="E8360" s="1" t="s">
        <v>3664</v>
      </c>
      <c r="F8360" s="1" t="s">
        <v>27961</v>
      </c>
      <c r="G8360" s="1" t="s">
        <v>21260</v>
      </c>
      <c r="H8360" s="1" t="s">
        <v>3604</v>
      </c>
      <c r="I8360" s="1" t="s">
        <v>27962</v>
      </c>
      <c r="J8360" s="1" t="s">
        <v>3615</v>
      </c>
      <c r="K8360" s="1" t="s">
        <v>27963</v>
      </c>
      <c r="L8360" s="1"/>
      <c r="M8360" s="1"/>
    </row>
    <row x14ac:dyDescent="0.25" r="8361" customHeight="1" ht="18.75">
      <c r="A8361" s="1" t="s">
        <v>3598</v>
      </c>
      <c r="B8361" s="1" t="s">
        <v>21850</v>
      </c>
      <c r="C8361" s="1" t="s">
        <v>3600</v>
      </c>
      <c r="D8361" s="1" t="s">
        <v>3601</v>
      </c>
      <c r="E8361" s="1" t="s">
        <v>3664</v>
      </c>
      <c r="F8361" s="1" t="s">
        <v>27964</v>
      </c>
      <c r="G8361" s="1" t="s">
        <v>21260</v>
      </c>
      <c r="H8361" s="1" t="s">
        <v>3604</v>
      </c>
      <c r="I8361" s="1" t="s">
        <v>27965</v>
      </c>
      <c r="J8361" s="1" t="s">
        <v>3615</v>
      </c>
      <c r="K8361" s="1" t="s">
        <v>27966</v>
      </c>
      <c r="L8361" s="1"/>
      <c r="M8361" s="1"/>
    </row>
    <row x14ac:dyDescent="0.25" r="8362" customHeight="1" ht="18.75">
      <c r="A8362" s="1" t="s">
        <v>3598</v>
      </c>
      <c r="B8362" s="1" t="s">
        <v>21850</v>
      </c>
      <c r="C8362" s="1" t="s">
        <v>3600</v>
      </c>
      <c r="D8362" s="1" t="s">
        <v>3601</v>
      </c>
      <c r="E8362" s="1" t="s">
        <v>3664</v>
      </c>
      <c r="F8362" s="1" t="s">
        <v>27967</v>
      </c>
      <c r="G8362" s="1" t="s">
        <v>21260</v>
      </c>
      <c r="H8362" s="1" t="s">
        <v>3604</v>
      </c>
      <c r="I8362" s="1" t="s">
        <v>27968</v>
      </c>
      <c r="J8362" s="1" t="s">
        <v>3615</v>
      </c>
      <c r="K8362" s="1" t="s">
        <v>27969</v>
      </c>
      <c r="L8362" s="1"/>
      <c r="M8362" s="1"/>
    </row>
    <row x14ac:dyDescent="0.25" r="8363" customHeight="1" ht="18.75">
      <c r="A8363" s="1" t="s">
        <v>3598</v>
      </c>
      <c r="B8363" s="1" t="s">
        <v>21850</v>
      </c>
      <c r="C8363" s="1" t="s">
        <v>3600</v>
      </c>
      <c r="D8363" s="1" t="s">
        <v>3601</v>
      </c>
      <c r="E8363" s="1" t="s">
        <v>3664</v>
      </c>
      <c r="F8363" s="1" t="s">
        <v>27970</v>
      </c>
      <c r="G8363" s="1" t="s">
        <v>21260</v>
      </c>
      <c r="H8363" s="1" t="s">
        <v>3604</v>
      </c>
      <c r="I8363" s="1" t="s">
        <v>27971</v>
      </c>
      <c r="J8363" s="1" t="s">
        <v>3615</v>
      </c>
      <c r="K8363" s="1" t="s">
        <v>27972</v>
      </c>
      <c r="L8363" s="1"/>
      <c r="M8363" s="1"/>
    </row>
    <row x14ac:dyDescent="0.25" r="8364" customHeight="1" ht="18.75">
      <c r="A8364" s="1" t="s">
        <v>3598</v>
      </c>
      <c r="B8364" s="1" t="s">
        <v>21864</v>
      </c>
      <c r="C8364" s="1" t="s">
        <v>3600</v>
      </c>
      <c r="D8364" s="1" t="s">
        <v>3601</v>
      </c>
      <c r="E8364" s="1" t="s">
        <v>3664</v>
      </c>
      <c r="F8364" s="1" t="s">
        <v>27973</v>
      </c>
      <c r="G8364" s="1" t="s">
        <v>21228</v>
      </c>
      <c r="H8364" s="1" t="s">
        <v>3604</v>
      </c>
      <c r="I8364" s="1" t="s">
        <v>27974</v>
      </c>
      <c r="J8364" s="1" t="s">
        <v>3615</v>
      </c>
      <c r="K8364" s="1" t="s">
        <v>27975</v>
      </c>
      <c r="L8364" s="1"/>
      <c r="M8364" s="1"/>
    </row>
    <row x14ac:dyDescent="0.25" r="8365" customHeight="1" ht="18.75">
      <c r="A8365" s="1" t="s">
        <v>3598</v>
      </c>
      <c r="B8365" s="1" t="s">
        <v>21864</v>
      </c>
      <c r="C8365" s="1" t="s">
        <v>3600</v>
      </c>
      <c r="D8365" s="1" t="s">
        <v>3601</v>
      </c>
      <c r="E8365" s="1" t="s">
        <v>3664</v>
      </c>
      <c r="F8365" s="1" t="s">
        <v>27976</v>
      </c>
      <c r="G8365" s="1" t="s">
        <v>21228</v>
      </c>
      <c r="H8365" s="1" t="s">
        <v>3604</v>
      </c>
      <c r="I8365" s="1" t="s">
        <v>27977</v>
      </c>
      <c r="J8365" s="1" t="s">
        <v>3615</v>
      </c>
      <c r="K8365" s="1" t="s">
        <v>27978</v>
      </c>
      <c r="L8365" s="1"/>
      <c r="M8365" s="1"/>
    </row>
    <row x14ac:dyDescent="0.25" r="8366" customHeight="1" ht="18.75">
      <c r="A8366" s="1" t="s">
        <v>3598</v>
      </c>
      <c r="B8366" s="1" t="s">
        <v>27979</v>
      </c>
      <c r="C8366" s="1" t="s">
        <v>3600</v>
      </c>
      <c r="D8366" s="1" t="s">
        <v>3601</v>
      </c>
      <c r="E8366" s="1" t="s">
        <v>3664</v>
      </c>
      <c r="F8366" s="1" t="s">
        <v>27980</v>
      </c>
      <c r="G8366" s="1" t="s">
        <v>27396</v>
      </c>
      <c r="H8366" s="1" t="s">
        <v>3604</v>
      </c>
      <c r="I8366" s="1" t="s">
        <v>27981</v>
      </c>
      <c r="J8366" s="1" t="s">
        <v>3615</v>
      </c>
      <c r="K8366" s="1" t="s">
        <v>27982</v>
      </c>
      <c r="L8366" s="1"/>
      <c r="M8366" s="1"/>
    </row>
    <row x14ac:dyDescent="0.25" r="8367" customHeight="1" ht="18.75">
      <c r="A8367" s="1" t="s">
        <v>3598</v>
      </c>
      <c r="B8367" s="1" t="s">
        <v>27979</v>
      </c>
      <c r="C8367" s="1" t="s">
        <v>3600</v>
      </c>
      <c r="D8367" s="1" t="s">
        <v>3601</v>
      </c>
      <c r="E8367" s="1" t="s">
        <v>3664</v>
      </c>
      <c r="F8367" s="1" t="s">
        <v>27983</v>
      </c>
      <c r="G8367" s="1" t="s">
        <v>27396</v>
      </c>
      <c r="H8367" s="1" t="s">
        <v>3604</v>
      </c>
      <c r="I8367" s="1" t="s">
        <v>27984</v>
      </c>
      <c r="J8367" s="1" t="s">
        <v>3615</v>
      </c>
      <c r="K8367" s="1" t="s">
        <v>27985</v>
      </c>
      <c r="L8367" s="1"/>
      <c r="M8367" s="1"/>
    </row>
    <row x14ac:dyDescent="0.25" r="8368" customHeight="1" ht="18.75">
      <c r="A8368" s="1" t="s">
        <v>3598</v>
      </c>
      <c r="B8368" s="1" t="s">
        <v>27979</v>
      </c>
      <c r="C8368" s="1" t="s">
        <v>3600</v>
      </c>
      <c r="D8368" s="1" t="s">
        <v>3601</v>
      </c>
      <c r="E8368" s="1" t="s">
        <v>3664</v>
      </c>
      <c r="F8368" s="1" t="s">
        <v>27986</v>
      </c>
      <c r="G8368" s="1" t="s">
        <v>27396</v>
      </c>
      <c r="H8368" s="1" t="s">
        <v>3604</v>
      </c>
      <c r="I8368" s="1" t="s">
        <v>27987</v>
      </c>
      <c r="J8368" s="1" t="s">
        <v>3615</v>
      </c>
      <c r="K8368" s="1" t="s">
        <v>27988</v>
      </c>
      <c r="L8368" s="1"/>
      <c r="M8368" s="1"/>
    </row>
    <row x14ac:dyDescent="0.25" r="8369" customHeight="1" ht="18.75">
      <c r="A8369" s="1" t="s">
        <v>3598</v>
      </c>
      <c r="B8369" s="1" t="s">
        <v>27979</v>
      </c>
      <c r="C8369" s="1" t="s">
        <v>3600</v>
      </c>
      <c r="D8369" s="1" t="s">
        <v>3601</v>
      </c>
      <c r="E8369" s="1" t="s">
        <v>3664</v>
      </c>
      <c r="F8369" s="1" t="s">
        <v>27989</v>
      </c>
      <c r="G8369" s="1" t="s">
        <v>27396</v>
      </c>
      <c r="H8369" s="1" t="s">
        <v>3604</v>
      </c>
      <c r="I8369" s="1" t="s">
        <v>27990</v>
      </c>
      <c r="J8369" s="1" t="s">
        <v>3615</v>
      </c>
      <c r="K8369" s="1" t="s">
        <v>27991</v>
      </c>
      <c r="L8369" s="1"/>
      <c r="M8369" s="1"/>
    </row>
    <row x14ac:dyDescent="0.25" r="8370" customHeight="1" ht="18.75">
      <c r="A8370" s="1" t="s">
        <v>3598</v>
      </c>
      <c r="B8370" s="1" t="s">
        <v>27979</v>
      </c>
      <c r="C8370" s="1" t="s">
        <v>3600</v>
      </c>
      <c r="D8370" s="1" t="s">
        <v>3601</v>
      </c>
      <c r="E8370" s="1" t="s">
        <v>3664</v>
      </c>
      <c r="F8370" s="1" t="s">
        <v>27992</v>
      </c>
      <c r="G8370" s="1" t="s">
        <v>27396</v>
      </c>
      <c r="H8370" s="1" t="s">
        <v>3604</v>
      </c>
      <c r="I8370" s="1" t="s">
        <v>27993</v>
      </c>
      <c r="J8370" s="1" t="s">
        <v>3615</v>
      </c>
      <c r="K8370" s="1" t="s">
        <v>27994</v>
      </c>
      <c r="L8370" s="1"/>
      <c r="M8370" s="1"/>
    </row>
    <row x14ac:dyDescent="0.25" r="8371" customHeight="1" ht="18.75">
      <c r="A8371" s="1" t="s">
        <v>3598</v>
      </c>
      <c r="B8371" s="1" t="s">
        <v>27979</v>
      </c>
      <c r="C8371" s="1" t="s">
        <v>3600</v>
      </c>
      <c r="D8371" s="1" t="s">
        <v>3601</v>
      </c>
      <c r="E8371" s="1" t="s">
        <v>3664</v>
      </c>
      <c r="F8371" s="1" t="s">
        <v>27995</v>
      </c>
      <c r="G8371" s="1" t="s">
        <v>27396</v>
      </c>
      <c r="H8371" s="1" t="s">
        <v>3604</v>
      </c>
      <c r="I8371" s="1" t="s">
        <v>27996</v>
      </c>
      <c r="J8371" s="1" t="s">
        <v>3615</v>
      </c>
      <c r="K8371" s="1" t="s">
        <v>27997</v>
      </c>
      <c r="L8371" s="1"/>
      <c r="M8371" s="1"/>
    </row>
    <row x14ac:dyDescent="0.25" r="8372" customHeight="1" ht="18.75">
      <c r="A8372" s="1" t="s">
        <v>3598</v>
      </c>
      <c r="B8372" s="1" t="s">
        <v>27979</v>
      </c>
      <c r="C8372" s="1" t="s">
        <v>3600</v>
      </c>
      <c r="D8372" s="1" t="s">
        <v>3601</v>
      </c>
      <c r="E8372" s="1" t="s">
        <v>3664</v>
      </c>
      <c r="F8372" s="1" t="s">
        <v>27998</v>
      </c>
      <c r="G8372" s="1" t="s">
        <v>27396</v>
      </c>
      <c r="H8372" s="1" t="s">
        <v>3604</v>
      </c>
      <c r="I8372" s="1" t="s">
        <v>27999</v>
      </c>
      <c r="J8372" s="1" t="s">
        <v>3615</v>
      </c>
      <c r="K8372" s="1" t="s">
        <v>28000</v>
      </c>
      <c r="L8372" s="1"/>
      <c r="M8372" s="1"/>
    </row>
    <row x14ac:dyDescent="0.25" r="8373" customHeight="1" ht="18.75">
      <c r="A8373" s="1" t="s">
        <v>3598</v>
      </c>
      <c r="B8373" s="1" t="s">
        <v>27979</v>
      </c>
      <c r="C8373" s="1" t="s">
        <v>3600</v>
      </c>
      <c r="D8373" s="1" t="s">
        <v>3601</v>
      </c>
      <c r="E8373" s="1" t="s">
        <v>3664</v>
      </c>
      <c r="F8373" s="1" t="s">
        <v>28001</v>
      </c>
      <c r="G8373" s="1" t="s">
        <v>27396</v>
      </c>
      <c r="H8373" s="1" t="s">
        <v>3604</v>
      </c>
      <c r="I8373" s="1" t="s">
        <v>28002</v>
      </c>
      <c r="J8373" s="1" t="s">
        <v>3615</v>
      </c>
      <c r="K8373" s="1" t="s">
        <v>28003</v>
      </c>
      <c r="L8373" s="1"/>
      <c r="M8373" s="1"/>
    </row>
    <row x14ac:dyDescent="0.25" r="8374" customHeight="1" ht="18.75">
      <c r="A8374" s="1" t="s">
        <v>3598</v>
      </c>
      <c r="B8374" s="1" t="s">
        <v>27979</v>
      </c>
      <c r="C8374" s="1" t="s">
        <v>3600</v>
      </c>
      <c r="D8374" s="1" t="s">
        <v>3601</v>
      </c>
      <c r="E8374" s="1" t="s">
        <v>3664</v>
      </c>
      <c r="F8374" s="1" t="s">
        <v>28004</v>
      </c>
      <c r="G8374" s="1" t="s">
        <v>28005</v>
      </c>
      <c r="H8374" s="1" t="s">
        <v>3604</v>
      </c>
      <c r="I8374" s="1" t="s">
        <v>28006</v>
      </c>
      <c r="J8374" s="1" t="s">
        <v>3615</v>
      </c>
      <c r="K8374" s="1" t="s">
        <v>28007</v>
      </c>
      <c r="L8374" s="1"/>
      <c r="M8374" s="1"/>
    </row>
    <row x14ac:dyDescent="0.25" r="8375" customHeight="1" ht="18.75">
      <c r="A8375" s="1" t="s">
        <v>3598</v>
      </c>
      <c r="B8375" s="1" t="s">
        <v>27979</v>
      </c>
      <c r="C8375" s="1" t="s">
        <v>3600</v>
      </c>
      <c r="D8375" s="1" t="s">
        <v>3601</v>
      </c>
      <c r="E8375" s="1" t="s">
        <v>3664</v>
      </c>
      <c r="F8375" s="1" t="s">
        <v>28008</v>
      </c>
      <c r="G8375" s="1" t="s">
        <v>28005</v>
      </c>
      <c r="H8375" s="1" t="s">
        <v>3604</v>
      </c>
      <c r="I8375" s="1" t="s">
        <v>28009</v>
      </c>
      <c r="J8375" s="1" t="s">
        <v>3615</v>
      </c>
      <c r="K8375" s="1" t="s">
        <v>28010</v>
      </c>
      <c r="L8375" s="1"/>
      <c r="M8375" s="1"/>
    </row>
    <row x14ac:dyDescent="0.25" r="8376" customHeight="1" ht="18.75">
      <c r="A8376" s="1" t="s">
        <v>3598</v>
      </c>
      <c r="B8376" s="1" t="s">
        <v>27979</v>
      </c>
      <c r="C8376" s="1" t="s">
        <v>3600</v>
      </c>
      <c r="D8376" s="1" t="s">
        <v>3601</v>
      </c>
      <c r="E8376" s="1" t="s">
        <v>3664</v>
      </c>
      <c r="F8376" s="1" t="s">
        <v>28011</v>
      </c>
      <c r="G8376" s="1" t="s">
        <v>28005</v>
      </c>
      <c r="H8376" s="1" t="s">
        <v>3604</v>
      </c>
      <c r="I8376" s="1" t="s">
        <v>28012</v>
      </c>
      <c r="J8376" s="1" t="s">
        <v>3615</v>
      </c>
      <c r="K8376" s="1" t="s">
        <v>28013</v>
      </c>
      <c r="L8376" s="1"/>
      <c r="M8376" s="1"/>
    </row>
    <row x14ac:dyDescent="0.25" r="8377" customHeight="1" ht="18.75">
      <c r="A8377" s="1" t="s">
        <v>3598</v>
      </c>
      <c r="B8377" s="1" t="s">
        <v>27979</v>
      </c>
      <c r="C8377" s="1" t="s">
        <v>3600</v>
      </c>
      <c r="D8377" s="1" t="s">
        <v>3601</v>
      </c>
      <c r="E8377" s="1" t="s">
        <v>3664</v>
      </c>
      <c r="F8377" s="1" t="s">
        <v>28014</v>
      </c>
      <c r="G8377" s="1" t="s">
        <v>28015</v>
      </c>
      <c r="H8377" s="1" t="s">
        <v>3604</v>
      </c>
      <c r="I8377" s="1" t="s">
        <v>28016</v>
      </c>
      <c r="J8377" s="1" t="s">
        <v>3615</v>
      </c>
      <c r="K8377" s="1" t="s">
        <v>28017</v>
      </c>
      <c r="L8377" s="1"/>
      <c r="M8377" s="1"/>
    </row>
    <row x14ac:dyDescent="0.25" r="8378" customHeight="1" ht="18.75">
      <c r="A8378" s="1" t="s">
        <v>3598</v>
      </c>
      <c r="B8378" s="1" t="s">
        <v>27979</v>
      </c>
      <c r="C8378" s="1" t="s">
        <v>3600</v>
      </c>
      <c r="D8378" s="1" t="s">
        <v>3601</v>
      </c>
      <c r="E8378" s="1" t="s">
        <v>3664</v>
      </c>
      <c r="F8378" s="1" t="s">
        <v>28018</v>
      </c>
      <c r="G8378" s="1" t="s">
        <v>28015</v>
      </c>
      <c r="H8378" s="1" t="s">
        <v>3604</v>
      </c>
      <c r="I8378" s="1" t="s">
        <v>28019</v>
      </c>
      <c r="J8378" s="1" t="s">
        <v>3615</v>
      </c>
      <c r="K8378" s="1" t="s">
        <v>28020</v>
      </c>
      <c r="L8378" s="1"/>
      <c r="M8378" s="1"/>
    </row>
    <row x14ac:dyDescent="0.25" r="8379" customHeight="1" ht="18.75">
      <c r="A8379" s="1" t="s">
        <v>3598</v>
      </c>
      <c r="B8379" s="1" t="s">
        <v>28021</v>
      </c>
      <c r="C8379" s="1" t="s">
        <v>3600</v>
      </c>
      <c r="D8379" s="1" t="s">
        <v>3601</v>
      </c>
      <c r="E8379" s="1" t="s">
        <v>3664</v>
      </c>
      <c r="F8379" s="1" t="s">
        <v>28022</v>
      </c>
      <c r="G8379" s="1" t="s">
        <v>26872</v>
      </c>
      <c r="H8379" s="1" t="s">
        <v>3604</v>
      </c>
      <c r="I8379" s="1" t="s">
        <v>28023</v>
      </c>
      <c r="J8379" s="1" t="s">
        <v>3615</v>
      </c>
      <c r="K8379" s="1" t="s">
        <v>28024</v>
      </c>
      <c r="L8379" s="1"/>
      <c r="M8379" s="1"/>
    </row>
    <row x14ac:dyDescent="0.25" r="8380" customHeight="1" ht="18.75">
      <c r="A8380" s="1" t="s">
        <v>3598</v>
      </c>
      <c r="B8380" s="1" t="s">
        <v>28021</v>
      </c>
      <c r="C8380" s="1" t="s">
        <v>3600</v>
      </c>
      <c r="D8380" s="1" t="s">
        <v>3601</v>
      </c>
      <c r="E8380" s="1" t="s">
        <v>3664</v>
      </c>
      <c r="F8380" s="1" t="s">
        <v>28025</v>
      </c>
      <c r="G8380" s="1" t="s">
        <v>26872</v>
      </c>
      <c r="H8380" s="1" t="s">
        <v>3604</v>
      </c>
      <c r="I8380" s="1" t="s">
        <v>28026</v>
      </c>
      <c r="J8380" s="1" t="s">
        <v>3615</v>
      </c>
      <c r="K8380" s="1" t="s">
        <v>28027</v>
      </c>
      <c r="L8380" s="1"/>
      <c r="M8380" s="1"/>
    </row>
    <row x14ac:dyDescent="0.25" r="8381" customHeight="1" ht="18.75">
      <c r="A8381" s="1" t="s">
        <v>3598</v>
      </c>
      <c r="B8381" s="1" t="s">
        <v>28021</v>
      </c>
      <c r="C8381" s="1" t="s">
        <v>3600</v>
      </c>
      <c r="D8381" s="1" t="s">
        <v>3601</v>
      </c>
      <c r="E8381" s="1" t="s">
        <v>3664</v>
      </c>
      <c r="F8381" s="1" t="s">
        <v>28028</v>
      </c>
      <c r="G8381" s="1" t="s">
        <v>26872</v>
      </c>
      <c r="H8381" s="1" t="s">
        <v>3604</v>
      </c>
      <c r="I8381" s="1" t="s">
        <v>28029</v>
      </c>
      <c r="J8381" s="1" t="s">
        <v>3615</v>
      </c>
      <c r="K8381" s="1" t="s">
        <v>28030</v>
      </c>
      <c r="L8381" s="1"/>
      <c r="M8381" s="1"/>
    </row>
    <row x14ac:dyDescent="0.25" r="8382" customHeight="1" ht="18.75">
      <c r="A8382" s="1" t="s">
        <v>3598</v>
      </c>
      <c r="B8382" s="1" t="s">
        <v>28021</v>
      </c>
      <c r="C8382" s="1" t="s">
        <v>3600</v>
      </c>
      <c r="D8382" s="1" t="s">
        <v>3601</v>
      </c>
      <c r="E8382" s="1" t="s">
        <v>3664</v>
      </c>
      <c r="F8382" s="1" t="s">
        <v>28031</v>
      </c>
      <c r="G8382" s="1" t="s">
        <v>26872</v>
      </c>
      <c r="H8382" s="1" t="s">
        <v>3604</v>
      </c>
      <c r="I8382" s="1" t="s">
        <v>28032</v>
      </c>
      <c r="J8382" s="1" t="s">
        <v>3615</v>
      </c>
      <c r="K8382" s="1" t="s">
        <v>28033</v>
      </c>
      <c r="L8382" s="1"/>
      <c r="M8382" s="1"/>
    </row>
    <row x14ac:dyDescent="0.25" r="8383" customHeight="1" ht="18.75">
      <c r="A8383" s="1" t="s">
        <v>3598</v>
      </c>
      <c r="B8383" s="1" t="s">
        <v>28034</v>
      </c>
      <c r="C8383" s="1" t="s">
        <v>3600</v>
      </c>
      <c r="D8383" s="1" t="s">
        <v>3601</v>
      </c>
      <c r="E8383" s="1" t="s">
        <v>3664</v>
      </c>
      <c r="F8383" s="1" t="s">
        <v>28035</v>
      </c>
      <c r="G8383" s="1" t="s">
        <v>27406</v>
      </c>
      <c r="H8383" s="1" t="s">
        <v>3604</v>
      </c>
      <c r="I8383" s="1" t="s">
        <v>28036</v>
      </c>
      <c r="J8383" s="1" t="s">
        <v>3615</v>
      </c>
      <c r="K8383" s="1" t="s">
        <v>28037</v>
      </c>
      <c r="L8383" s="1"/>
      <c r="M8383" s="1"/>
    </row>
    <row x14ac:dyDescent="0.25" r="8384" customHeight="1" ht="18.75">
      <c r="A8384" s="1" t="s">
        <v>3598</v>
      </c>
      <c r="B8384" s="1" t="s">
        <v>28034</v>
      </c>
      <c r="C8384" s="1" t="s">
        <v>3600</v>
      </c>
      <c r="D8384" s="1" t="s">
        <v>3601</v>
      </c>
      <c r="E8384" s="1" t="s">
        <v>3664</v>
      </c>
      <c r="F8384" s="1" t="s">
        <v>28038</v>
      </c>
      <c r="G8384" s="1" t="s">
        <v>27406</v>
      </c>
      <c r="H8384" s="1" t="s">
        <v>3604</v>
      </c>
      <c r="I8384" s="1" t="s">
        <v>28039</v>
      </c>
      <c r="J8384" s="1" t="s">
        <v>3615</v>
      </c>
      <c r="K8384" s="1" t="s">
        <v>28040</v>
      </c>
      <c r="L8384" s="1"/>
      <c r="M8384" s="1"/>
    </row>
    <row x14ac:dyDescent="0.25" r="8385" customHeight="1" ht="18.75">
      <c r="A8385" s="1" t="s">
        <v>3598</v>
      </c>
      <c r="B8385" s="1" t="s">
        <v>28034</v>
      </c>
      <c r="C8385" s="1" t="s">
        <v>3600</v>
      </c>
      <c r="D8385" s="1" t="s">
        <v>3601</v>
      </c>
      <c r="E8385" s="1" t="s">
        <v>3664</v>
      </c>
      <c r="F8385" s="1" t="s">
        <v>28041</v>
      </c>
      <c r="G8385" s="1" t="s">
        <v>27406</v>
      </c>
      <c r="H8385" s="1" t="s">
        <v>3604</v>
      </c>
      <c r="I8385" s="1" t="s">
        <v>28042</v>
      </c>
      <c r="J8385" s="1" t="s">
        <v>3615</v>
      </c>
      <c r="K8385" s="1" t="s">
        <v>28043</v>
      </c>
      <c r="L8385" s="1"/>
      <c r="M8385" s="1"/>
    </row>
    <row x14ac:dyDescent="0.25" r="8386" customHeight="1" ht="18.75">
      <c r="A8386" s="1" t="s">
        <v>3598</v>
      </c>
      <c r="B8386" s="1" t="s">
        <v>28034</v>
      </c>
      <c r="C8386" s="1" t="s">
        <v>3600</v>
      </c>
      <c r="D8386" s="1" t="s">
        <v>3601</v>
      </c>
      <c r="E8386" s="1" t="s">
        <v>3664</v>
      </c>
      <c r="F8386" s="1" t="s">
        <v>28044</v>
      </c>
      <c r="G8386" s="1" t="s">
        <v>27406</v>
      </c>
      <c r="H8386" s="1" t="s">
        <v>3604</v>
      </c>
      <c r="I8386" s="1" t="s">
        <v>28045</v>
      </c>
      <c r="J8386" s="1" t="s">
        <v>3615</v>
      </c>
      <c r="K8386" s="1" t="s">
        <v>28046</v>
      </c>
      <c r="L8386" s="1"/>
      <c r="M8386" s="1"/>
    </row>
    <row x14ac:dyDescent="0.25" r="8387" customHeight="1" ht="18.75">
      <c r="A8387" s="1" t="s">
        <v>3598</v>
      </c>
      <c r="B8387" s="1" t="s">
        <v>28034</v>
      </c>
      <c r="C8387" s="1" t="s">
        <v>3600</v>
      </c>
      <c r="D8387" s="1" t="s">
        <v>3601</v>
      </c>
      <c r="E8387" s="1" t="s">
        <v>3664</v>
      </c>
      <c r="F8387" s="1" t="s">
        <v>28047</v>
      </c>
      <c r="G8387" s="1" t="s">
        <v>27406</v>
      </c>
      <c r="H8387" s="1" t="s">
        <v>3604</v>
      </c>
      <c r="I8387" s="1" t="s">
        <v>28048</v>
      </c>
      <c r="J8387" s="1" t="s">
        <v>3615</v>
      </c>
      <c r="K8387" s="1" t="s">
        <v>28049</v>
      </c>
      <c r="L8387" s="1"/>
      <c r="M8387" s="1"/>
    </row>
    <row x14ac:dyDescent="0.25" r="8388" customHeight="1" ht="18.75">
      <c r="A8388" s="1" t="s">
        <v>3598</v>
      </c>
      <c r="B8388" s="1" t="s">
        <v>28034</v>
      </c>
      <c r="C8388" s="1" t="s">
        <v>3600</v>
      </c>
      <c r="D8388" s="1" t="s">
        <v>3601</v>
      </c>
      <c r="E8388" s="1" t="s">
        <v>3664</v>
      </c>
      <c r="F8388" s="1" t="s">
        <v>28050</v>
      </c>
      <c r="G8388" s="1" t="s">
        <v>27406</v>
      </c>
      <c r="H8388" s="1" t="s">
        <v>3604</v>
      </c>
      <c r="I8388" s="1" t="s">
        <v>28051</v>
      </c>
      <c r="J8388" s="1" t="s">
        <v>3615</v>
      </c>
      <c r="K8388" s="1" t="s">
        <v>28052</v>
      </c>
      <c r="L8388" s="1"/>
      <c r="M8388" s="1"/>
    </row>
    <row x14ac:dyDescent="0.25" r="8389" customHeight="1" ht="18.75">
      <c r="A8389" s="1" t="s">
        <v>3598</v>
      </c>
      <c r="B8389" s="1" t="s">
        <v>21864</v>
      </c>
      <c r="C8389" s="1" t="s">
        <v>3600</v>
      </c>
      <c r="D8389" s="1" t="s">
        <v>3601</v>
      </c>
      <c r="E8389" s="1" t="s">
        <v>3664</v>
      </c>
      <c r="F8389" s="1" t="s">
        <v>28053</v>
      </c>
      <c r="G8389" s="1" t="s">
        <v>21228</v>
      </c>
      <c r="H8389" s="1" t="s">
        <v>3604</v>
      </c>
      <c r="I8389" s="1" t="s">
        <v>28054</v>
      </c>
      <c r="J8389" s="1" t="s">
        <v>3615</v>
      </c>
      <c r="K8389" s="1" t="s">
        <v>28055</v>
      </c>
      <c r="L8389" s="1"/>
      <c r="M8389" s="1"/>
    </row>
    <row x14ac:dyDescent="0.25" r="8390" customHeight="1" ht="18.75">
      <c r="A8390" s="1" t="s">
        <v>3598</v>
      </c>
      <c r="B8390" s="1" t="s">
        <v>28034</v>
      </c>
      <c r="C8390" s="1" t="s">
        <v>3600</v>
      </c>
      <c r="D8390" s="1" t="s">
        <v>3601</v>
      </c>
      <c r="E8390" s="1" t="s">
        <v>3664</v>
      </c>
      <c r="F8390" s="1" t="s">
        <v>28056</v>
      </c>
      <c r="G8390" s="1" t="s">
        <v>27406</v>
      </c>
      <c r="H8390" s="1" t="s">
        <v>3604</v>
      </c>
      <c r="I8390" s="1" t="s">
        <v>28057</v>
      </c>
      <c r="J8390" s="1" t="s">
        <v>3615</v>
      </c>
      <c r="K8390" s="1" t="s">
        <v>28058</v>
      </c>
      <c r="L8390" s="1"/>
      <c r="M8390" s="1"/>
    </row>
    <row x14ac:dyDescent="0.25" r="8391" customHeight="1" ht="18.75">
      <c r="A8391" s="1" t="s">
        <v>3598</v>
      </c>
      <c r="B8391" s="1" t="s">
        <v>28034</v>
      </c>
      <c r="C8391" s="1" t="s">
        <v>3600</v>
      </c>
      <c r="D8391" s="1" t="s">
        <v>3601</v>
      </c>
      <c r="E8391" s="1" t="s">
        <v>3664</v>
      </c>
      <c r="F8391" s="1" t="s">
        <v>28059</v>
      </c>
      <c r="G8391" s="1" t="s">
        <v>27413</v>
      </c>
      <c r="H8391" s="1" t="s">
        <v>3604</v>
      </c>
      <c r="I8391" s="1" t="s">
        <v>28060</v>
      </c>
      <c r="J8391" s="1" t="s">
        <v>3615</v>
      </c>
      <c r="K8391" s="1" t="s">
        <v>28061</v>
      </c>
      <c r="L8391" s="1"/>
      <c r="M8391" s="1"/>
    </row>
    <row x14ac:dyDescent="0.25" r="8392" customHeight="1" ht="18.75">
      <c r="A8392" s="1" t="s">
        <v>3598</v>
      </c>
      <c r="B8392" s="1" t="s">
        <v>28034</v>
      </c>
      <c r="C8392" s="1" t="s">
        <v>3600</v>
      </c>
      <c r="D8392" s="1" t="s">
        <v>3601</v>
      </c>
      <c r="E8392" s="1" t="s">
        <v>3664</v>
      </c>
      <c r="F8392" s="1" t="s">
        <v>28062</v>
      </c>
      <c r="G8392" s="1" t="s">
        <v>27413</v>
      </c>
      <c r="H8392" s="1" t="s">
        <v>3604</v>
      </c>
      <c r="I8392" s="1" t="s">
        <v>28063</v>
      </c>
      <c r="J8392" s="1" t="s">
        <v>3615</v>
      </c>
      <c r="K8392" s="1" t="s">
        <v>28064</v>
      </c>
      <c r="L8392" s="1"/>
      <c r="M8392" s="1"/>
    </row>
    <row x14ac:dyDescent="0.25" r="8393" customHeight="1" ht="18.75">
      <c r="A8393" s="1" t="s">
        <v>3598</v>
      </c>
      <c r="B8393" s="1" t="s">
        <v>28034</v>
      </c>
      <c r="C8393" s="1" t="s">
        <v>3600</v>
      </c>
      <c r="D8393" s="1" t="s">
        <v>3601</v>
      </c>
      <c r="E8393" s="1" t="s">
        <v>3664</v>
      </c>
      <c r="F8393" s="1" t="s">
        <v>28065</v>
      </c>
      <c r="G8393" s="1" t="s">
        <v>27413</v>
      </c>
      <c r="H8393" s="1" t="s">
        <v>3604</v>
      </c>
      <c r="I8393" s="1" t="s">
        <v>28066</v>
      </c>
      <c r="J8393" s="1" t="s">
        <v>3615</v>
      </c>
      <c r="K8393" s="1" t="s">
        <v>28067</v>
      </c>
      <c r="L8393" s="1"/>
      <c r="M8393" s="1"/>
    </row>
    <row x14ac:dyDescent="0.25" r="8394" customHeight="1" ht="18.75">
      <c r="A8394" s="1" t="s">
        <v>3598</v>
      </c>
      <c r="B8394" s="1" t="s">
        <v>28034</v>
      </c>
      <c r="C8394" s="1" t="s">
        <v>3600</v>
      </c>
      <c r="D8394" s="1" t="s">
        <v>3601</v>
      </c>
      <c r="E8394" s="1" t="s">
        <v>3664</v>
      </c>
      <c r="F8394" s="1" t="s">
        <v>28068</v>
      </c>
      <c r="G8394" s="1" t="s">
        <v>27413</v>
      </c>
      <c r="H8394" s="1" t="s">
        <v>3604</v>
      </c>
      <c r="I8394" s="1" t="s">
        <v>28069</v>
      </c>
      <c r="J8394" s="1" t="s">
        <v>3615</v>
      </c>
      <c r="K8394" s="1" t="s">
        <v>28070</v>
      </c>
      <c r="L8394" s="1"/>
      <c r="M8394" s="1"/>
    </row>
    <row x14ac:dyDescent="0.25" r="8395" customHeight="1" ht="18.75">
      <c r="A8395" s="1" t="s">
        <v>3598</v>
      </c>
      <c r="B8395" s="1" t="s">
        <v>28034</v>
      </c>
      <c r="C8395" s="1" t="s">
        <v>3600</v>
      </c>
      <c r="D8395" s="1" t="s">
        <v>3601</v>
      </c>
      <c r="E8395" s="1" t="s">
        <v>3664</v>
      </c>
      <c r="F8395" s="1" t="s">
        <v>28071</v>
      </c>
      <c r="G8395" s="1" t="s">
        <v>27413</v>
      </c>
      <c r="H8395" s="1" t="s">
        <v>3604</v>
      </c>
      <c r="I8395" s="1" t="s">
        <v>28072</v>
      </c>
      <c r="J8395" s="1" t="s">
        <v>3615</v>
      </c>
      <c r="K8395" s="1" t="s">
        <v>28073</v>
      </c>
      <c r="L8395" s="1"/>
      <c r="M8395" s="1"/>
    </row>
    <row x14ac:dyDescent="0.25" r="8396" customHeight="1" ht="18.75">
      <c r="A8396" s="1" t="s">
        <v>3598</v>
      </c>
      <c r="B8396" s="1" t="s">
        <v>28034</v>
      </c>
      <c r="C8396" s="1" t="s">
        <v>3600</v>
      </c>
      <c r="D8396" s="1" t="s">
        <v>3601</v>
      </c>
      <c r="E8396" s="1" t="s">
        <v>3664</v>
      </c>
      <c r="F8396" s="1" t="s">
        <v>28074</v>
      </c>
      <c r="G8396" s="1" t="s">
        <v>27413</v>
      </c>
      <c r="H8396" s="1" t="s">
        <v>3604</v>
      </c>
      <c r="I8396" s="1" t="s">
        <v>28075</v>
      </c>
      <c r="J8396" s="1" t="s">
        <v>3615</v>
      </c>
      <c r="K8396" s="1" t="s">
        <v>28076</v>
      </c>
      <c r="L8396" s="1"/>
      <c r="M8396" s="1"/>
    </row>
    <row x14ac:dyDescent="0.25" r="8397" customHeight="1" ht="18.75">
      <c r="A8397" s="1" t="s">
        <v>3598</v>
      </c>
      <c r="B8397" s="1" t="s">
        <v>28034</v>
      </c>
      <c r="C8397" s="1" t="s">
        <v>3600</v>
      </c>
      <c r="D8397" s="1" t="s">
        <v>3601</v>
      </c>
      <c r="E8397" s="1" t="s">
        <v>3664</v>
      </c>
      <c r="F8397" s="1" t="s">
        <v>28077</v>
      </c>
      <c r="G8397" s="1" t="s">
        <v>27413</v>
      </c>
      <c r="H8397" s="1" t="s">
        <v>3604</v>
      </c>
      <c r="I8397" s="1" t="s">
        <v>28078</v>
      </c>
      <c r="J8397" s="1" t="s">
        <v>3615</v>
      </c>
      <c r="K8397" s="1" t="s">
        <v>28079</v>
      </c>
      <c r="L8397" s="1"/>
      <c r="M8397" s="1"/>
    </row>
    <row x14ac:dyDescent="0.25" r="8398" customHeight="1" ht="18.75">
      <c r="A8398" s="1" t="s">
        <v>3598</v>
      </c>
      <c r="B8398" s="1" t="s">
        <v>28034</v>
      </c>
      <c r="C8398" s="1" t="s">
        <v>3600</v>
      </c>
      <c r="D8398" s="1" t="s">
        <v>3601</v>
      </c>
      <c r="E8398" s="1" t="s">
        <v>3664</v>
      </c>
      <c r="F8398" s="1" t="s">
        <v>28080</v>
      </c>
      <c r="G8398" s="1" t="s">
        <v>27413</v>
      </c>
      <c r="H8398" s="1" t="s">
        <v>3604</v>
      </c>
      <c r="I8398" s="1" t="s">
        <v>28081</v>
      </c>
      <c r="J8398" s="1" t="s">
        <v>3615</v>
      </c>
      <c r="K8398" s="1" t="s">
        <v>28082</v>
      </c>
      <c r="L8398" s="1"/>
      <c r="M8398" s="1"/>
    </row>
    <row x14ac:dyDescent="0.25" r="8399" customHeight="1" ht="18.75">
      <c r="A8399" s="1" t="s">
        <v>3598</v>
      </c>
      <c r="B8399" s="1" t="s">
        <v>28034</v>
      </c>
      <c r="C8399" s="1" t="s">
        <v>3600</v>
      </c>
      <c r="D8399" s="1" t="s">
        <v>3601</v>
      </c>
      <c r="E8399" s="1" t="s">
        <v>3664</v>
      </c>
      <c r="F8399" s="1" t="s">
        <v>28083</v>
      </c>
      <c r="G8399" s="1" t="s">
        <v>27413</v>
      </c>
      <c r="H8399" s="1" t="s">
        <v>3604</v>
      </c>
      <c r="I8399" s="1" t="s">
        <v>28084</v>
      </c>
      <c r="J8399" s="1" t="s">
        <v>3615</v>
      </c>
      <c r="K8399" s="1" t="s">
        <v>28085</v>
      </c>
      <c r="L8399" s="1"/>
      <c r="M8399" s="1"/>
    </row>
    <row x14ac:dyDescent="0.25" r="8400" customHeight="1" ht="18.75">
      <c r="A8400" s="1" t="s">
        <v>3598</v>
      </c>
      <c r="B8400" s="1" t="s">
        <v>28034</v>
      </c>
      <c r="C8400" s="1" t="s">
        <v>3600</v>
      </c>
      <c r="D8400" s="1" t="s">
        <v>3601</v>
      </c>
      <c r="E8400" s="1" t="s">
        <v>3664</v>
      </c>
      <c r="F8400" s="1" t="s">
        <v>28086</v>
      </c>
      <c r="G8400" s="1" t="s">
        <v>27413</v>
      </c>
      <c r="H8400" s="1" t="s">
        <v>3604</v>
      </c>
      <c r="I8400" s="1" t="s">
        <v>28087</v>
      </c>
      <c r="J8400" s="1" t="s">
        <v>3615</v>
      </c>
      <c r="K8400" s="1" t="s">
        <v>28088</v>
      </c>
      <c r="L8400" s="1"/>
      <c r="M8400" s="1"/>
    </row>
    <row x14ac:dyDescent="0.25" r="8401" customHeight="1" ht="18.75">
      <c r="A8401" s="1" t="s">
        <v>3598</v>
      </c>
      <c r="B8401" s="1" t="s">
        <v>28034</v>
      </c>
      <c r="C8401" s="1" t="s">
        <v>3600</v>
      </c>
      <c r="D8401" s="1" t="s">
        <v>3601</v>
      </c>
      <c r="E8401" s="1" t="s">
        <v>3664</v>
      </c>
      <c r="F8401" s="1" t="s">
        <v>28089</v>
      </c>
      <c r="G8401" s="1" t="s">
        <v>27413</v>
      </c>
      <c r="H8401" s="1" t="s">
        <v>3604</v>
      </c>
      <c r="I8401" s="1" t="s">
        <v>28090</v>
      </c>
      <c r="J8401" s="1" t="s">
        <v>3615</v>
      </c>
      <c r="K8401" s="1" t="s">
        <v>28091</v>
      </c>
      <c r="L8401" s="1"/>
      <c r="M8401" s="1"/>
    </row>
    <row x14ac:dyDescent="0.25" r="8402" customHeight="1" ht="18.75">
      <c r="A8402" s="1" t="s">
        <v>3598</v>
      </c>
      <c r="B8402" s="1" t="s">
        <v>28034</v>
      </c>
      <c r="C8402" s="1" t="s">
        <v>3600</v>
      </c>
      <c r="D8402" s="1" t="s">
        <v>3601</v>
      </c>
      <c r="E8402" s="1" t="s">
        <v>3664</v>
      </c>
      <c r="F8402" s="1" t="s">
        <v>28092</v>
      </c>
      <c r="G8402" s="1" t="s">
        <v>27413</v>
      </c>
      <c r="H8402" s="1" t="s">
        <v>3604</v>
      </c>
      <c r="I8402" s="1" t="s">
        <v>28093</v>
      </c>
      <c r="J8402" s="1" t="s">
        <v>3615</v>
      </c>
      <c r="K8402" s="1" t="s">
        <v>28094</v>
      </c>
      <c r="L8402" s="1"/>
      <c r="M8402" s="1"/>
    </row>
    <row x14ac:dyDescent="0.25" r="8403" customHeight="1" ht="18.75">
      <c r="A8403" s="1" t="s">
        <v>3598</v>
      </c>
      <c r="B8403" s="1" t="s">
        <v>28034</v>
      </c>
      <c r="C8403" s="1" t="s">
        <v>3600</v>
      </c>
      <c r="D8403" s="1" t="s">
        <v>3601</v>
      </c>
      <c r="E8403" s="1" t="s">
        <v>3664</v>
      </c>
      <c r="F8403" s="1" t="s">
        <v>28095</v>
      </c>
      <c r="G8403" s="1" t="s">
        <v>27413</v>
      </c>
      <c r="H8403" s="1" t="s">
        <v>3604</v>
      </c>
      <c r="I8403" s="1" t="s">
        <v>28096</v>
      </c>
      <c r="J8403" s="1" t="s">
        <v>3615</v>
      </c>
      <c r="K8403" s="1" t="s">
        <v>28097</v>
      </c>
      <c r="L8403" s="1"/>
      <c r="M8403" s="1"/>
    </row>
    <row x14ac:dyDescent="0.25" r="8404" customHeight="1" ht="18.75">
      <c r="A8404" s="1" t="s">
        <v>3598</v>
      </c>
      <c r="B8404" s="1" t="s">
        <v>28034</v>
      </c>
      <c r="C8404" s="1" t="s">
        <v>3600</v>
      </c>
      <c r="D8404" s="1" t="s">
        <v>3601</v>
      </c>
      <c r="E8404" s="1" t="s">
        <v>3664</v>
      </c>
      <c r="F8404" s="1" t="s">
        <v>28098</v>
      </c>
      <c r="G8404" s="1" t="s">
        <v>27413</v>
      </c>
      <c r="H8404" s="1" t="s">
        <v>3604</v>
      </c>
      <c r="I8404" s="1" t="s">
        <v>28099</v>
      </c>
      <c r="J8404" s="1" t="s">
        <v>3615</v>
      </c>
      <c r="K8404" s="1" t="s">
        <v>28100</v>
      </c>
      <c r="L8404" s="1"/>
      <c r="M8404" s="1"/>
    </row>
    <row x14ac:dyDescent="0.25" r="8405" customHeight="1" ht="18.75">
      <c r="A8405" s="1" t="s">
        <v>3598</v>
      </c>
      <c r="B8405" s="1" t="s">
        <v>28034</v>
      </c>
      <c r="C8405" s="1" t="s">
        <v>3600</v>
      </c>
      <c r="D8405" s="1" t="s">
        <v>3601</v>
      </c>
      <c r="E8405" s="1" t="s">
        <v>3664</v>
      </c>
      <c r="F8405" s="1" t="s">
        <v>28101</v>
      </c>
      <c r="G8405" s="1" t="s">
        <v>27413</v>
      </c>
      <c r="H8405" s="1" t="s">
        <v>3604</v>
      </c>
      <c r="I8405" s="1" t="s">
        <v>28102</v>
      </c>
      <c r="J8405" s="1" t="s">
        <v>3615</v>
      </c>
      <c r="K8405" s="1" t="s">
        <v>28103</v>
      </c>
      <c r="L8405" s="1"/>
      <c r="M8405" s="1"/>
    </row>
    <row x14ac:dyDescent="0.25" r="8406" customHeight="1" ht="18.75">
      <c r="A8406" s="1" t="s">
        <v>3598</v>
      </c>
      <c r="B8406" s="1" t="s">
        <v>28104</v>
      </c>
      <c r="C8406" s="1" t="s">
        <v>3600</v>
      </c>
      <c r="D8406" s="1" t="s">
        <v>3601</v>
      </c>
      <c r="E8406" s="1" t="s">
        <v>3664</v>
      </c>
      <c r="F8406" s="1" t="s">
        <v>28105</v>
      </c>
      <c r="G8406" s="1" t="s">
        <v>27385</v>
      </c>
      <c r="H8406" s="1" t="s">
        <v>3604</v>
      </c>
      <c r="I8406" s="1" t="s">
        <v>28106</v>
      </c>
      <c r="J8406" s="1" t="s">
        <v>3615</v>
      </c>
      <c r="K8406" s="1" t="s">
        <v>28107</v>
      </c>
      <c r="L8406" s="1"/>
      <c r="M8406" s="1"/>
    </row>
    <row x14ac:dyDescent="0.25" r="8407" customHeight="1" ht="18.75">
      <c r="A8407" s="1" t="s">
        <v>3598</v>
      </c>
      <c r="B8407" s="1" t="s">
        <v>16954</v>
      </c>
      <c r="C8407" s="1" t="s">
        <v>3600</v>
      </c>
      <c r="D8407" s="1" t="s">
        <v>3601</v>
      </c>
      <c r="E8407" s="1" t="s">
        <v>3664</v>
      </c>
      <c r="F8407" s="1" t="s">
        <v>28108</v>
      </c>
      <c r="G8407" s="1" t="s">
        <v>16956</v>
      </c>
      <c r="H8407" s="1" t="s">
        <v>3604</v>
      </c>
      <c r="I8407" s="1" t="s">
        <v>28109</v>
      </c>
      <c r="J8407" s="1" t="s">
        <v>3615</v>
      </c>
      <c r="K8407" s="1" t="s">
        <v>28110</v>
      </c>
      <c r="L8407" s="1"/>
      <c r="M8407" s="1"/>
    </row>
    <row x14ac:dyDescent="0.25" r="8408" customHeight="1" ht="18.75">
      <c r="A8408" s="1" t="s">
        <v>3598</v>
      </c>
      <c r="B8408" s="1" t="s">
        <v>16954</v>
      </c>
      <c r="C8408" s="1" t="s">
        <v>3600</v>
      </c>
      <c r="D8408" s="1" t="s">
        <v>3601</v>
      </c>
      <c r="E8408" s="1" t="s">
        <v>3664</v>
      </c>
      <c r="F8408" s="1" t="s">
        <v>28111</v>
      </c>
      <c r="G8408" s="1" t="s">
        <v>16956</v>
      </c>
      <c r="H8408" s="1" t="s">
        <v>3604</v>
      </c>
      <c r="I8408" s="1" t="s">
        <v>28112</v>
      </c>
      <c r="J8408" s="1" t="s">
        <v>3615</v>
      </c>
      <c r="K8408" s="1" t="s">
        <v>28113</v>
      </c>
      <c r="L8408" s="1"/>
      <c r="M8408" s="1"/>
    </row>
    <row x14ac:dyDescent="0.25" r="8409" customHeight="1" ht="18.75">
      <c r="A8409" s="1" t="s">
        <v>3598</v>
      </c>
      <c r="B8409" s="1" t="s">
        <v>16954</v>
      </c>
      <c r="C8409" s="1" t="s">
        <v>3600</v>
      </c>
      <c r="D8409" s="1" t="s">
        <v>3601</v>
      </c>
      <c r="E8409" s="1" t="s">
        <v>3664</v>
      </c>
      <c r="F8409" s="1" t="s">
        <v>28114</v>
      </c>
      <c r="G8409" s="1" t="s">
        <v>16956</v>
      </c>
      <c r="H8409" s="1" t="s">
        <v>3604</v>
      </c>
      <c r="I8409" s="1" t="s">
        <v>28115</v>
      </c>
      <c r="J8409" s="1" t="s">
        <v>3615</v>
      </c>
      <c r="K8409" s="1" t="s">
        <v>28116</v>
      </c>
      <c r="L8409" s="1"/>
      <c r="M8409" s="1"/>
    </row>
    <row x14ac:dyDescent="0.25" r="8410" customHeight="1" ht="18.75">
      <c r="A8410" s="1" t="s">
        <v>3598</v>
      </c>
      <c r="B8410" s="1" t="s">
        <v>16954</v>
      </c>
      <c r="C8410" s="1" t="s">
        <v>3600</v>
      </c>
      <c r="D8410" s="1" t="s">
        <v>3601</v>
      </c>
      <c r="E8410" s="1" t="s">
        <v>3664</v>
      </c>
      <c r="F8410" s="1" t="s">
        <v>28117</v>
      </c>
      <c r="G8410" s="1" t="s">
        <v>16956</v>
      </c>
      <c r="H8410" s="1" t="s">
        <v>3604</v>
      </c>
      <c r="I8410" s="1" t="s">
        <v>28118</v>
      </c>
      <c r="J8410" s="1" t="s">
        <v>3615</v>
      </c>
      <c r="K8410" s="1" t="s">
        <v>28119</v>
      </c>
      <c r="L8410" s="1"/>
      <c r="M8410" s="1"/>
    </row>
    <row x14ac:dyDescent="0.25" r="8411" customHeight="1" ht="18.75">
      <c r="A8411" s="1" t="s">
        <v>3598</v>
      </c>
      <c r="B8411" s="1" t="s">
        <v>16954</v>
      </c>
      <c r="C8411" s="1" t="s">
        <v>3600</v>
      </c>
      <c r="D8411" s="1" t="s">
        <v>3601</v>
      </c>
      <c r="E8411" s="1" t="s">
        <v>3664</v>
      </c>
      <c r="F8411" s="1" t="s">
        <v>28120</v>
      </c>
      <c r="G8411" s="1" t="s">
        <v>16956</v>
      </c>
      <c r="H8411" s="1" t="s">
        <v>3604</v>
      </c>
      <c r="I8411" s="1" t="s">
        <v>28121</v>
      </c>
      <c r="J8411" s="1" t="s">
        <v>3615</v>
      </c>
      <c r="K8411" s="1" t="s">
        <v>28122</v>
      </c>
      <c r="L8411" s="1"/>
      <c r="M8411" s="1"/>
    </row>
    <row x14ac:dyDescent="0.25" r="8412" customHeight="1" ht="18.75">
      <c r="A8412" s="1" t="s">
        <v>3598</v>
      </c>
      <c r="B8412" s="1" t="s">
        <v>16954</v>
      </c>
      <c r="C8412" s="1" t="s">
        <v>3600</v>
      </c>
      <c r="D8412" s="1" t="s">
        <v>3601</v>
      </c>
      <c r="E8412" s="1" t="s">
        <v>3664</v>
      </c>
      <c r="F8412" s="1" t="s">
        <v>28123</v>
      </c>
      <c r="G8412" s="1" t="s">
        <v>16956</v>
      </c>
      <c r="H8412" s="1" t="s">
        <v>3604</v>
      </c>
      <c r="I8412" s="1" t="s">
        <v>28124</v>
      </c>
      <c r="J8412" s="1" t="s">
        <v>3615</v>
      </c>
      <c r="K8412" s="1" t="s">
        <v>28125</v>
      </c>
      <c r="L8412" s="1"/>
      <c r="M8412" s="1"/>
    </row>
    <row x14ac:dyDescent="0.25" r="8413" customHeight="1" ht="18.75">
      <c r="A8413" s="1" t="s">
        <v>3598</v>
      </c>
      <c r="B8413" s="1" t="s">
        <v>16967</v>
      </c>
      <c r="C8413" s="1" t="s">
        <v>3600</v>
      </c>
      <c r="D8413" s="1" t="s">
        <v>3601</v>
      </c>
      <c r="E8413" s="1" t="s">
        <v>3664</v>
      </c>
      <c r="F8413" s="1" t="s">
        <v>28126</v>
      </c>
      <c r="G8413" s="1" t="s">
        <v>16969</v>
      </c>
      <c r="H8413" s="1" t="s">
        <v>3604</v>
      </c>
      <c r="I8413" s="1" t="s">
        <v>28127</v>
      </c>
      <c r="J8413" s="1" t="s">
        <v>3615</v>
      </c>
      <c r="K8413" s="1" t="s">
        <v>28128</v>
      </c>
      <c r="L8413" s="1"/>
      <c r="M8413" s="1"/>
    </row>
    <row x14ac:dyDescent="0.25" r="8414" customHeight="1" ht="18.75">
      <c r="A8414" s="1" t="s">
        <v>3598</v>
      </c>
      <c r="B8414" s="1" t="s">
        <v>16967</v>
      </c>
      <c r="C8414" s="1" t="s">
        <v>3600</v>
      </c>
      <c r="D8414" s="1" t="s">
        <v>3601</v>
      </c>
      <c r="E8414" s="1" t="s">
        <v>3664</v>
      </c>
      <c r="F8414" s="1" t="s">
        <v>28129</v>
      </c>
      <c r="G8414" s="1" t="s">
        <v>16969</v>
      </c>
      <c r="H8414" s="1" t="s">
        <v>3604</v>
      </c>
      <c r="I8414" s="1" t="s">
        <v>28130</v>
      </c>
      <c r="J8414" s="1" t="s">
        <v>3615</v>
      </c>
      <c r="K8414" s="1" t="s">
        <v>28131</v>
      </c>
      <c r="L8414" s="1"/>
      <c r="M8414" s="1"/>
    </row>
    <row x14ac:dyDescent="0.25" r="8415" customHeight="1" ht="18.75">
      <c r="A8415" s="1" t="s">
        <v>3598</v>
      </c>
      <c r="B8415" s="1" t="s">
        <v>16967</v>
      </c>
      <c r="C8415" s="1" t="s">
        <v>3600</v>
      </c>
      <c r="D8415" s="1" t="s">
        <v>3601</v>
      </c>
      <c r="E8415" s="1" t="s">
        <v>3664</v>
      </c>
      <c r="F8415" s="1" t="s">
        <v>28132</v>
      </c>
      <c r="G8415" s="1" t="s">
        <v>16969</v>
      </c>
      <c r="H8415" s="1" t="s">
        <v>3604</v>
      </c>
      <c r="I8415" s="1" t="s">
        <v>28133</v>
      </c>
      <c r="J8415" s="1" t="s">
        <v>3615</v>
      </c>
      <c r="K8415" s="1" t="s">
        <v>28134</v>
      </c>
      <c r="L8415" s="1"/>
      <c r="M8415" s="1"/>
    </row>
    <row x14ac:dyDescent="0.25" r="8416" customHeight="1" ht="18.75">
      <c r="A8416" s="1" t="s">
        <v>3598</v>
      </c>
      <c r="B8416" s="1" t="s">
        <v>21850</v>
      </c>
      <c r="C8416" s="1" t="s">
        <v>3600</v>
      </c>
      <c r="D8416" s="1" t="s">
        <v>3601</v>
      </c>
      <c r="E8416" s="1" t="s">
        <v>3664</v>
      </c>
      <c r="F8416" s="1" t="s">
        <v>28135</v>
      </c>
      <c r="G8416" s="1" t="s">
        <v>21260</v>
      </c>
      <c r="H8416" s="1" t="s">
        <v>3604</v>
      </c>
      <c r="I8416" s="1" t="s">
        <v>28136</v>
      </c>
      <c r="J8416" s="1" t="s">
        <v>3615</v>
      </c>
      <c r="K8416" s="1" t="s">
        <v>28137</v>
      </c>
      <c r="L8416" s="1"/>
      <c r="M8416" s="1"/>
    </row>
    <row x14ac:dyDescent="0.25" r="8417" customHeight="1" ht="18.75">
      <c r="A8417" s="1" t="s">
        <v>3598</v>
      </c>
      <c r="B8417" s="1" t="s">
        <v>21850</v>
      </c>
      <c r="C8417" s="1" t="s">
        <v>3600</v>
      </c>
      <c r="D8417" s="1" t="s">
        <v>3601</v>
      </c>
      <c r="E8417" s="1" t="s">
        <v>3664</v>
      </c>
      <c r="F8417" s="1" t="s">
        <v>28138</v>
      </c>
      <c r="G8417" s="1" t="s">
        <v>21244</v>
      </c>
      <c r="H8417" s="1" t="s">
        <v>3604</v>
      </c>
      <c r="I8417" s="1" t="s">
        <v>28139</v>
      </c>
      <c r="J8417" s="1" t="s">
        <v>3615</v>
      </c>
      <c r="K8417" s="1" t="s">
        <v>28140</v>
      </c>
      <c r="L8417" s="1"/>
      <c r="M8417" s="1"/>
    </row>
    <row x14ac:dyDescent="0.25" r="8418" customHeight="1" ht="18.75">
      <c r="A8418" s="1" t="s">
        <v>3598</v>
      </c>
      <c r="B8418" s="1" t="s">
        <v>28104</v>
      </c>
      <c r="C8418" s="1" t="s">
        <v>3600</v>
      </c>
      <c r="D8418" s="1" t="s">
        <v>3601</v>
      </c>
      <c r="E8418" s="1" t="s">
        <v>3664</v>
      </c>
      <c r="F8418" s="1" t="s">
        <v>28141</v>
      </c>
      <c r="G8418" s="1" t="s">
        <v>27385</v>
      </c>
      <c r="H8418" s="1" t="s">
        <v>3604</v>
      </c>
      <c r="I8418" s="1" t="s">
        <v>28142</v>
      </c>
      <c r="J8418" s="1" t="s">
        <v>3615</v>
      </c>
      <c r="K8418" s="1" t="s">
        <v>28143</v>
      </c>
      <c r="L8418" s="1"/>
      <c r="M8418" s="1"/>
    </row>
    <row x14ac:dyDescent="0.25" r="8419" customHeight="1" ht="18.75">
      <c r="A8419" s="1" t="s">
        <v>3598</v>
      </c>
      <c r="B8419" s="1" t="s">
        <v>28104</v>
      </c>
      <c r="C8419" s="1" t="s">
        <v>3600</v>
      </c>
      <c r="D8419" s="1" t="s">
        <v>3601</v>
      </c>
      <c r="E8419" s="1" t="s">
        <v>3664</v>
      </c>
      <c r="F8419" s="1" t="s">
        <v>28144</v>
      </c>
      <c r="G8419" s="1" t="s">
        <v>27385</v>
      </c>
      <c r="H8419" s="1" t="s">
        <v>3604</v>
      </c>
      <c r="I8419" s="1" t="s">
        <v>28145</v>
      </c>
      <c r="J8419" s="1" t="s">
        <v>3615</v>
      </c>
      <c r="K8419" s="1" t="s">
        <v>28146</v>
      </c>
      <c r="L8419" s="1"/>
      <c r="M8419" s="1"/>
    </row>
    <row x14ac:dyDescent="0.25" r="8420" customHeight="1" ht="18.75">
      <c r="A8420" s="1" t="s">
        <v>3598</v>
      </c>
      <c r="B8420" s="1" t="s">
        <v>28104</v>
      </c>
      <c r="C8420" s="1" t="s">
        <v>3600</v>
      </c>
      <c r="D8420" s="1" t="s">
        <v>3601</v>
      </c>
      <c r="E8420" s="1" t="s">
        <v>3664</v>
      </c>
      <c r="F8420" s="1" t="s">
        <v>28147</v>
      </c>
      <c r="G8420" s="1" t="s">
        <v>27385</v>
      </c>
      <c r="H8420" s="1" t="s">
        <v>3604</v>
      </c>
      <c r="I8420" s="1" t="s">
        <v>28148</v>
      </c>
      <c r="J8420" s="1" t="s">
        <v>3615</v>
      </c>
      <c r="K8420" s="1" t="s">
        <v>28149</v>
      </c>
      <c r="L8420" s="1"/>
      <c r="M8420" s="1"/>
    </row>
    <row x14ac:dyDescent="0.25" r="8421" customHeight="1" ht="18.75">
      <c r="A8421" s="1" t="s">
        <v>3598</v>
      </c>
      <c r="B8421" s="1" t="s">
        <v>28104</v>
      </c>
      <c r="C8421" s="1" t="s">
        <v>3600</v>
      </c>
      <c r="D8421" s="1" t="s">
        <v>3601</v>
      </c>
      <c r="E8421" s="1" t="s">
        <v>3664</v>
      </c>
      <c r="F8421" s="1" t="s">
        <v>28150</v>
      </c>
      <c r="G8421" s="1" t="s">
        <v>27385</v>
      </c>
      <c r="H8421" s="1" t="s">
        <v>3604</v>
      </c>
      <c r="I8421" s="1" t="s">
        <v>28151</v>
      </c>
      <c r="J8421" s="1" t="s">
        <v>3615</v>
      </c>
      <c r="K8421" s="1" t="s">
        <v>28152</v>
      </c>
      <c r="L8421" s="1"/>
      <c r="M8421" s="1"/>
    </row>
    <row x14ac:dyDescent="0.25" r="8422" customHeight="1" ht="18.75">
      <c r="A8422" s="1" t="s">
        <v>3598</v>
      </c>
      <c r="B8422" s="1" t="s">
        <v>28104</v>
      </c>
      <c r="C8422" s="1" t="s">
        <v>3600</v>
      </c>
      <c r="D8422" s="1" t="s">
        <v>3601</v>
      </c>
      <c r="E8422" s="1" t="s">
        <v>3664</v>
      </c>
      <c r="F8422" s="1" t="s">
        <v>28153</v>
      </c>
      <c r="G8422" s="1" t="s">
        <v>27385</v>
      </c>
      <c r="H8422" s="1" t="s">
        <v>3604</v>
      </c>
      <c r="I8422" s="1" t="s">
        <v>28154</v>
      </c>
      <c r="J8422" s="1" t="s">
        <v>3615</v>
      </c>
      <c r="K8422" s="1" t="s">
        <v>28155</v>
      </c>
      <c r="L8422" s="1"/>
      <c r="M8422" s="1"/>
    </row>
    <row x14ac:dyDescent="0.25" r="8423" customHeight="1" ht="18.75">
      <c r="A8423" s="1" t="s">
        <v>3598</v>
      </c>
      <c r="B8423" s="1" t="s">
        <v>28104</v>
      </c>
      <c r="C8423" s="1" t="s">
        <v>3600</v>
      </c>
      <c r="D8423" s="1" t="s">
        <v>3601</v>
      </c>
      <c r="E8423" s="1" t="s">
        <v>3664</v>
      </c>
      <c r="F8423" s="1" t="s">
        <v>28156</v>
      </c>
      <c r="G8423" s="1" t="s">
        <v>27385</v>
      </c>
      <c r="H8423" s="1" t="s">
        <v>3604</v>
      </c>
      <c r="I8423" s="1" t="s">
        <v>28157</v>
      </c>
      <c r="J8423" s="1" t="s">
        <v>3615</v>
      </c>
      <c r="K8423" s="1" t="s">
        <v>28158</v>
      </c>
      <c r="L8423" s="1"/>
      <c r="M8423" s="1"/>
    </row>
    <row x14ac:dyDescent="0.25" r="8424" customHeight="1" ht="18.75">
      <c r="A8424" s="1" t="s">
        <v>3598</v>
      </c>
      <c r="B8424" s="1" t="s">
        <v>28104</v>
      </c>
      <c r="C8424" s="1" t="s">
        <v>3600</v>
      </c>
      <c r="D8424" s="1" t="s">
        <v>3601</v>
      </c>
      <c r="E8424" s="1" t="s">
        <v>3664</v>
      </c>
      <c r="F8424" s="1" t="s">
        <v>28159</v>
      </c>
      <c r="G8424" s="1" t="s">
        <v>27385</v>
      </c>
      <c r="H8424" s="1" t="s">
        <v>3604</v>
      </c>
      <c r="I8424" s="1" t="s">
        <v>28160</v>
      </c>
      <c r="J8424" s="1" t="s">
        <v>3615</v>
      </c>
      <c r="K8424" s="1" t="s">
        <v>28161</v>
      </c>
      <c r="L8424" s="1"/>
      <c r="M8424" s="1"/>
    </row>
    <row x14ac:dyDescent="0.25" r="8425" customHeight="1" ht="18.75">
      <c r="A8425" s="1" t="s">
        <v>3598</v>
      </c>
      <c r="B8425" s="1" t="s">
        <v>28104</v>
      </c>
      <c r="C8425" s="1" t="s">
        <v>3600</v>
      </c>
      <c r="D8425" s="1" t="s">
        <v>3601</v>
      </c>
      <c r="E8425" s="1" t="s">
        <v>3664</v>
      </c>
      <c r="F8425" s="1" t="s">
        <v>28162</v>
      </c>
      <c r="G8425" s="1" t="s">
        <v>27385</v>
      </c>
      <c r="H8425" s="1" t="s">
        <v>3604</v>
      </c>
      <c r="I8425" s="1" t="s">
        <v>28163</v>
      </c>
      <c r="J8425" s="1" t="s">
        <v>3615</v>
      </c>
      <c r="K8425" s="1" t="s">
        <v>28164</v>
      </c>
      <c r="L8425" s="1"/>
      <c r="M8425" s="1"/>
    </row>
    <row x14ac:dyDescent="0.25" r="8426" customHeight="1" ht="18.75">
      <c r="A8426" s="1" t="s">
        <v>3598</v>
      </c>
      <c r="B8426" s="1" t="s">
        <v>28165</v>
      </c>
      <c r="C8426" s="1" t="s">
        <v>3600</v>
      </c>
      <c r="D8426" s="1" t="s">
        <v>3601</v>
      </c>
      <c r="E8426" s="1" t="s">
        <v>3664</v>
      </c>
      <c r="F8426" s="1" t="s">
        <v>28166</v>
      </c>
      <c r="G8426" s="1" t="s">
        <v>28167</v>
      </c>
      <c r="H8426" s="1" t="s">
        <v>3604</v>
      </c>
      <c r="I8426" s="1" t="s">
        <v>28168</v>
      </c>
      <c r="J8426" s="1" t="s">
        <v>3615</v>
      </c>
      <c r="K8426" s="1" t="s">
        <v>28169</v>
      </c>
      <c r="L8426" s="1"/>
      <c r="M8426" s="1"/>
    </row>
    <row x14ac:dyDescent="0.25" r="8427" customHeight="1" ht="18.75">
      <c r="A8427" s="1" t="s">
        <v>3598</v>
      </c>
      <c r="B8427" s="1" t="s">
        <v>21958</v>
      </c>
      <c r="C8427" s="1" t="s">
        <v>3600</v>
      </c>
      <c r="D8427" s="1" t="s">
        <v>3601</v>
      </c>
      <c r="E8427" s="1" t="s">
        <v>3893</v>
      </c>
      <c r="F8427" s="1" t="s">
        <v>28170</v>
      </c>
      <c r="G8427" s="1" t="s">
        <v>21960</v>
      </c>
      <c r="H8427" s="1" t="s">
        <v>3604</v>
      </c>
      <c r="I8427" s="1" t="s">
        <v>28171</v>
      </c>
      <c r="J8427" s="1" t="s">
        <v>3615</v>
      </c>
      <c r="K8427" s="1" t="s">
        <v>28172</v>
      </c>
      <c r="L8427" s="1"/>
      <c r="M8427" s="1"/>
    </row>
    <row x14ac:dyDescent="0.25" r="8428" customHeight="1" ht="18.75">
      <c r="A8428" s="1" t="s">
        <v>3598</v>
      </c>
      <c r="B8428" s="1" t="s">
        <v>21958</v>
      </c>
      <c r="C8428" s="1" t="s">
        <v>3600</v>
      </c>
      <c r="D8428" s="1" t="s">
        <v>3601</v>
      </c>
      <c r="E8428" s="1" t="s">
        <v>3893</v>
      </c>
      <c r="F8428" s="1" t="s">
        <v>28173</v>
      </c>
      <c r="G8428" s="1" t="s">
        <v>21960</v>
      </c>
      <c r="H8428" s="1" t="s">
        <v>3604</v>
      </c>
      <c r="I8428" s="1" t="s">
        <v>28174</v>
      </c>
      <c r="J8428" s="1" t="s">
        <v>3615</v>
      </c>
      <c r="K8428" s="1" t="s">
        <v>28175</v>
      </c>
      <c r="L8428" s="1"/>
      <c r="M8428" s="1"/>
    </row>
    <row x14ac:dyDescent="0.25" r="8429" customHeight="1" ht="18.75">
      <c r="A8429" s="1" t="s">
        <v>3598</v>
      </c>
      <c r="B8429" s="1" t="s">
        <v>22199</v>
      </c>
      <c r="C8429" s="1" t="s">
        <v>3600</v>
      </c>
      <c r="D8429" s="1" t="s">
        <v>3601</v>
      </c>
      <c r="E8429" s="1" t="s">
        <v>3893</v>
      </c>
      <c r="F8429" s="1" t="s">
        <v>28176</v>
      </c>
      <c r="G8429" s="1" t="s">
        <v>22201</v>
      </c>
      <c r="H8429" s="1" t="s">
        <v>3604</v>
      </c>
      <c r="I8429" s="1" t="s">
        <v>28177</v>
      </c>
      <c r="J8429" s="1" t="s">
        <v>3615</v>
      </c>
      <c r="K8429" s="1" t="s">
        <v>28178</v>
      </c>
      <c r="L8429" s="1"/>
      <c r="M8429" s="1"/>
    </row>
    <row x14ac:dyDescent="0.25" r="8430" customHeight="1" ht="18.75">
      <c r="A8430" s="1" t="s">
        <v>3598</v>
      </c>
      <c r="B8430" s="1" t="s">
        <v>16934</v>
      </c>
      <c r="C8430" s="1" t="s">
        <v>3600</v>
      </c>
      <c r="D8430" s="1" t="s">
        <v>3601</v>
      </c>
      <c r="E8430" s="1" t="s">
        <v>3893</v>
      </c>
      <c r="F8430" s="1" t="s">
        <v>28179</v>
      </c>
      <c r="G8430" s="1" t="s">
        <v>3603</v>
      </c>
      <c r="H8430" s="1" t="s">
        <v>3604</v>
      </c>
      <c r="I8430" s="1" t="s">
        <v>28180</v>
      </c>
      <c r="J8430" s="1" t="s">
        <v>3615</v>
      </c>
      <c r="K8430" s="1" t="s">
        <v>28181</v>
      </c>
      <c r="L8430" s="1"/>
      <c r="M8430" s="1"/>
    </row>
    <row x14ac:dyDescent="0.25" r="8431" customHeight="1" ht="18.75">
      <c r="A8431" s="1" t="s">
        <v>3598</v>
      </c>
      <c r="B8431" s="1" t="s">
        <v>16934</v>
      </c>
      <c r="C8431" s="1" t="s">
        <v>3600</v>
      </c>
      <c r="D8431" s="1" t="s">
        <v>3601</v>
      </c>
      <c r="E8431" s="1" t="s">
        <v>3893</v>
      </c>
      <c r="F8431" s="1" t="s">
        <v>28182</v>
      </c>
      <c r="G8431" s="1" t="s">
        <v>3603</v>
      </c>
      <c r="H8431" s="1" t="s">
        <v>3604</v>
      </c>
      <c r="I8431" s="1" t="s">
        <v>28183</v>
      </c>
      <c r="J8431" s="1" t="s">
        <v>3615</v>
      </c>
      <c r="K8431" s="1" t="s">
        <v>28184</v>
      </c>
      <c r="L8431" s="1"/>
      <c r="M8431" s="1"/>
    </row>
    <row x14ac:dyDescent="0.25" r="8432" customHeight="1" ht="18.75">
      <c r="A8432" s="1" t="s">
        <v>3598</v>
      </c>
      <c r="B8432" s="1" t="s">
        <v>16934</v>
      </c>
      <c r="C8432" s="1" t="s">
        <v>3600</v>
      </c>
      <c r="D8432" s="1" t="s">
        <v>3601</v>
      </c>
      <c r="E8432" s="1" t="s">
        <v>3893</v>
      </c>
      <c r="F8432" s="1" t="s">
        <v>28185</v>
      </c>
      <c r="G8432" s="1" t="s">
        <v>3603</v>
      </c>
      <c r="H8432" s="1" t="s">
        <v>3604</v>
      </c>
      <c r="I8432" s="1" t="s">
        <v>28186</v>
      </c>
      <c r="J8432" s="1" t="s">
        <v>3615</v>
      </c>
      <c r="K8432" s="1" t="s">
        <v>28187</v>
      </c>
      <c r="L8432" s="1"/>
      <c r="M8432" s="1"/>
    </row>
    <row x14ac:dyDescent="0.25" r="8433" customHeight="1" ht="18.75">
      <c r="A8433" s="1" t="s">
        <v>3598</v>
      </c>
      <c r="B8433" s="1" t="s">
        <v>28034</v>
      </c>
      <c r="C8433" s="1" t="s">
        <v>3600</v>
      </c>
      <c r="D8433" s="1" t="s">
        <v>3601</v>
      </c>
      <c r="E8433" s="1" t="s">
        <v>3664</v>
      </c>
      <c r="F8433" s="1" t="s">
        <v>28188</v>
      </c>
      <c r="G8433" s="1" t="s">
        <v>27406</v>
      </c>
      <c r="H8433" s="1" t="s">
        <v>3604</v>
      </c>
      <c r="I8433" s="1" t="s">
        <v>28189</v>
      </c>
      <c r="J8433" s="1" t="s">
        <v>3615</v>
      </c>
      <c r="K8433" s="1" t="s">
        <v>28190</v>
      </c>
      <c r="L8433" s="1"/>
      <c r="M8433" s="1"/>
    </row>
    <row x14ac:dyDescent="0.25" r="8434" customHeight="1" ht="18.75">
      <c r="A8434" s="1" t="s">
        <v>3598</v>
      </c>
      <c r="B8434" s="1" t="s">
        <v>28034</v>
      </c>
      <c r="C8434" s="1" t="s">
        <v>3600</v>
      </c>
      <c r="D8434" s="1" t="s">
        <v>3601</v>
      </c>
      <c r="E8434" s="1" t="s">
        <v>3664</v>
      </c>
      <c r="F8434" s="1" t="s">
        <v>28191</v>
      </c>
      <c r="G8434" s="1" t="s">
        <v>27406</v>
      </c>
      <c r="H8434" s="1" t="s">
        <v>3604</v>
      </c>
      <c r="I8434" s="1" t="s">
        <v>28192</v>
      </c>
      <c r="J8434" s="1" t="s">
        <v>3615</v>
      </c>
      <c r="K8434" s="1" t="s">
        <v>28193</v>
      </c>
      <c r="L8434" s="1"/>
      <c r="M8434" s="1"/>
    </row>
    <row x14ac:dyDescent="0.25" r="8435" customHeight="1" ht="18.75">
      <c r="A8435" s="1" t="s">
        <v>3598</v>
      </c>
      <c r="B8435" s="1" t="s">
        <v>28034</v>
      </c>
      <c r="C8435" s="1" t="s">
        <v>3600</v>
      </c>
      <c r="D8435" s="1" t="s">
        <v>3601</v>
      </c>
      <c r="E8435" s="1" t="s">
        <v>3664</v>
      </c>
      <c r="F8435" s="1" t="s">
        <v>28194</v>
      </c>
      <c r="G8435" s="1" t="s">
        <v>27406</v>
      </c>
      <c r="H8435" s="1" t="s">
        <v>3604</v>
      </c>
      <c r="I8435" s="1" t="s">
        <v>28195</v>
      </c>
      <c r="J8435" s="1" t="s">
        <v>3615</v>
      </c>
      <c r="K8435" s="1" t="s">
        <v>28196</v>
      </c>
      <c r="L8435" s="1"/>
      <c r="M8435" s="1"/>
    </row>
    <row x14ac:dyDescent="0.25" r="8436" customHeight="1" ht="18.75">
      <c r="A8436" s="1" t="s">
        <v>3598</v>
      </c>
      <c r="B8436" s="1" t="s">
        <v>28034</v>
      </c>
      <c r="C8436" s="1" t="s">
        <v>3600</v>
      </c>
      <c r="D8436" s="1" t="s">
        <v>3601</v>
      </c>
      <c r="E8436" s="1" t="s">
        <v>3664</v>
      </c>
      <c r="F8436" s="1" t="s">
        <v>28197</v>
      </c>
      <c r="G8436" s="1" t="s">
        <v>27406</v>
      </c>
      <c r="H8436" s="1" t="s">
        <v>3604</v>
      </c>
      <c r="I8436" s="1" t="s">
        <v>28198</v>
      </c>
      <c r="J8436" s="1" t="s">
        <v>3615</v>
      </c>
      <c r="K8436" s="1" t="s">
        <v>28199</v>
      </c>
      <c r="L8436" s="1"/>
      <c r="M8436" s="1"/>
    </row>
    <row x14ac:dyDescent="0.25" r="8437" customHeight="1" ht="18.75">
      <c r="A8437" s="1" t="s">
        <v>3598</v>
      </c>
      <c r="B8437" s="1" t="s">
        <v>28034</v>
      </c>
      <c r="C8437" s="1" t="s">
        <v>3600</v>
      </c>
      <c r="D8437" s="1" t="s">
        <v>3601</v>
      </c>
      <c r="E8437" s="1" t="s">
        <v>3664</v>
      </c>
      <c r="F8437" s="1" t="s">
        <v>28200</v>
      </c>
      <c r="G8437" s="1" t="s">
        <v>27406</v>
      </c>
      <c r="H8437" s="1" t="s">
        <v>3604</v>
      </c>
      <c r="I8437" s="1" t="s">
        <v>28201</v>
      </c>
      <c r="J8437" s="1" t="s">
        <v>3615</v>
      </c>
      <c r="K8437" s="1" t="s">
        <v>28202</v>
      </c>
      <c r="L8437" s="1"/>
      <c r="M8437" s="1"/>
    </row>
    <row x14ac:dyDescent="0.25" r="8438" customHeight="1" ht="18.75">
      <c r="A8438" s="1" t="s">
        <v>3598</v>
      </c>
      <c r="B8438" s="1" t="s">
        <v>28034</v>
      </c>
      <c r="C8438" s="1" t="s">
        <v>3600</v>
      </c>
      <c r="D8438" s="1" t="s">
        <v>3601</v>
      </c>
      <c r="E8438" s="1" t="s">
        <v>3664</v>
      </c>
      <c r="F8438" s="1" t="s">
        <v>28203</v>
      </c>
      <c r="G8438" s="1" t="s">
        <v>27406</v>
      </c>
      <c r="H8438" s="1" t="s">
        <v>3604</v>
      </c>
      <c r="I8438" s="1" t="s">
        <v>28204</v>
      </c>
      <c r="J8438" s="1" t="s">
        <v>3615</v>
      </c>
      <c r="K8438" s="1" t="s">
        <v>28205</v>
      </c>
      <c r="L8438" s="1"/>
      <c r="M8438" s="1"/>
    </row>
    <row x14ac:dyDescent="0.25" r="8439" customHeight="1" ht="18.75">
      <c r="A8439" s="1" t="s">
        <v>3598</v>
      </c>
      <c r="B8439" s="1" t="s">
        <v>28034</v>
      </c>
      <c r="C8439" s="1" t="s">
        <v>3600</v>
      </c>
      <c r="D8439" s="1" t="s">
        <v>3601</v>
      </c>
      <c r="E8439" s="1" t="s">
        <v>3664</v>
      </c>
      <c r="F8439" s="1" t="s">
        <v>28206</v>
      </c>
      <c r="G8439" s="1" t="s">
        <v>27406</v>
      </c>
      <c r="H8439" s="1" t="s">
        <v>3604</v>
      </c>
      <c r="I8439" s="1" t="s">
        <v>28207</v>
      </c>
      <c r="J8439" s="1" t="s">
        <v>3615</v>
      </c>
      <c r="K8439" s="1" t="s">
        <v>28208</v>
      </c>
      <c r="L8439" s="1"/>
      <c r="M8439" s="1"/>
    </row>
    <row x14ac:dyDescent="0.25" r="8440" customHeight="1" ht="18.75">
      <c r="A8440" s="1" t="s">
        <v>3598</v>
      </c>
      <c r="B8440" s="1" t="s">
        <v>28034</v>
      </c>
      <c r="C8440" s="1" t="s">
        <v>3600</v>
      </c>
      <c r="D8440" s="1" t="s">
        <v>3601</v>
      </c>
      <c r="E8440" s="1" t="s">
        <v>3664</v>
      </c>
      <c r="F8440" s="1" t="s">
        <v>28209</v>
      </c>
      <c r="G8440" s="1" t="s">
        <v>27406</v>
      </c>
      <c r="H8440" s="1" t="s">
        <v>3604</v>
      </c>
      <c r="I8440" s="1" t="s">
        <v>28210</v>
      </c>
      <c r="J8440" s="1" t="s">
        <v>3615</v>
      </c>
      <c r="K8440" s="1" t="s">
        <v>28211</v>
      </c>
      <c r="L8440" s="1"/>
      <c r="M8440" s="1"/>
    </row>
    <row x14ac:dyDescent="0.25" r="8441" customHeight="1" ht="18.75">
      <c r="A8441" s="1" t="s">
        <v>3598</v>
      </c>
      <c r="B8441" s="1" t="s">
        <v>28034</v>
      </c>
      <c r="C8441" s="1" t="s">
        <v>3600</v>
      </c>
      <c r="D8441" s="1" t="s">
        <v>3601</v>
      </c>
      <c r="E8441" s="1" t="s">
        <v>3664</v>
      </c>
      <c r="F8441" s="1" t="s">
        <v>28212</v>
      </c>
      <c r="G8441" s="1" t="s">
        <v>27406</v>
      </c>
      <c r="H8441" s="1" t="s">
        <v>3604</v>
      </c>
      <c r="I8441" s="1" t="s">
        <v>28213</v>
      </c>
      <c r="J8441" s="1" t="s">
        <v>3615</v>
      </c>
      <c r="K8441" s="1" t="s">
        <v>28214</v>
      </c>
      <c r="L8441" s="1"/>
      <c r="M8441" s="1"/>
    </row>
    <row x14ac:dyDescent="0.25" r="8442" customHeight="1" ht="18.75">
      <c r="A8442" s="1" t="s">
        <v>3598</v>
      </c>
      <c r="B8442" s="1" t="s">
        <v>28034</v>
      </c>
      <c r="C8442" s="1" t="s">
        <v>3600</v>
      </c>
      <c r="D8442" s="1" t="s">
        <v>3601</v>
      </c>
      <c r="E8442" s="1" t="s">
        <v>3664</v>
      </c>
      <c r="F8442" s="1" t="s">
        <v>28215</v>
      </c>
      <c r="G8442" s="1" t="s">
        <v>27406</v>
      </c>
      <c r="H8442" s="1" t="s">
        <v>3604</v>
      </c>
      <c r="I8442" s="1" t="s">
        <v>28216</v>
      </c>
      <c r="J8442" s="1" t="s">
        <v>3615</v>
      </c>
      <c r="K8442" s="1" t="s">
        <v>28217</v>
      </c>
      <c r="L8442" s="1"/>
      <c r="M8442" s="1"/>
    </row>
    <row x14ac:dyDescent="0.25" r="8443" customHeight="1" ht="18.75">
      <c r="A8443" s="1" t="s">
        <v>3598</v>
      </c>
      <c r="B8443" s="1" t="s">
        <v>28034</v>
      </c>
      <c r="C8443" s="1" t="s">
        <v>3600</v>
      </c>
      <c r="D8443" s="1" t="s">
        <v>3601</v>
      </c>
      <c r="E8443" s="1" t="s">
        <v>3664</v>
      </c>
      <c r="F8443" s="1" t="s">
        <v>28218</v>
      </c>
      <c r="G8443" s="1" t="s">
        <v>27406</v>
      </c>
      <c r="H8443" s="1" t="s">
        <v>3604</v>
      </c>
      <c r="I8443" s="1" t="s">
        <v>28219</v>
      </c>
      <c r="J8443" s="1" t="s">
        <v>3615</v>
      </c>
      <c r="K8443" s="1" t="s">
        <v>28220</v>
      </c>
      <c r="L8443" s="1"/>
      <c r="M8443" s="1"/>
    </row>
    <row x14ac:dyDescent="0.25" r="8444" customHeight="1" ht="18.75">
      <c r="A8444" s="1" t="s">
        <v>3598</v>
      </c>
      <c r="B8444" s="1" t="s">
        <v>28034</v>
      </c>
      <c r="C8444" s="1" t="s">
        <v>3600</v>
      </c>
      <c r="D8444" s="1" t="s">
        <v>3601</v>
      </c>
      <c r="E8444" s="1" t="s">
        <v>3664</v>
      </c>
      <c r="F8444" s="1" t="s">
        <v>28221</v>
      </c>
      <c r="G8444" s="1" t="s">
        <v>27406</v>
      </c>
      <c r="H8444" s="1" t="s">
        <v>3604</v>
      </c>
      <c r="I8444" s="1" t="s">
        <v>28222</v>
      </c>
      <c r="J8444" s="1" t="s">
        <v>3615</v>
      </c>
      <c r="K8444" s="1" t="s">
        <v>28223</v>
      </c>
      <c r="L8444" s="1"/>
      <c r="M8444" s="1"/>
    </row>
    <row x14ac:dyDescent="0.25" r="8445" customHeight="1" ht="18.75">
      <c r="A8445" s="1" t="s">
        <v>3598</v>
      </c>
      <c r="B8445" s="1" t="s">
        <v>28034</v>
      </c>
      <c r="C8445" s="1" t="s">
        <v>3600</v>
      </c>
      <c r="D8445" s="1" t="s">
        <v>3601</v>
      </c>
      <c r="E8445" s="1" t="s">
        <v>3664</v>
      </c>
      <c r="F8445" s="1" t="s">
        <v>28224</v>
      </c>
      <c r="G8445" s="1" t="s">
        <v>27406</v>
      </c>
      <c r="H8445" s="1" t="s">
        <v>3604</v>
      </c>
      <c r="I8445" s="1" t="s">
        <v>28225</v>
      </c>
      <c r="J8445" s="1" t="s">
        <v>3615</v>
      </c>
      <c r="K8445" s="1" t="s">
        <v>28226</v>
      </c>
      <c r="L8445" s="1"/>
      <c r="M8445" s="1"/>
    </row>
    <row x14ac:dyDescent="0.25" r="8446" customHeight="1" ht="18.75">
      <c r="A8446" s="1" t="s">
        <v>3598</v>
      </c>
      <c r="B8446" s="1" t="s">
        <v>28034</v>
      </c>
      <c r="C8446" s="1" t="s">
        <v>3600</v>
      </c>
      <c r="D8446" s="1" t="s">
        <v>3601</v>
      </c>
      <c r="E8446" s="1" t="s">
        <v>3664</v>
      </c>
      <c r="F8446" s="1" t="s">
        <v>28227</v>
      </c>
      <c r="G8446" s="1" t="s">
        <v>27406</v>
      </c>
      <c r="H8446" s="1" t="s">
        <v>3604</v>
      </c>
      <c r="I8446" s="1" t="s">
        <v>28228</v>
      </c>
      <c r="J8446" s="1" t="s">
        <v>3615</v>
      </c>
      <c r="K8446" s="1" t="s">
        <v>28229</v>
      </c>
      <c r="L8446" s="1"/>
      <c r="M8446" s="1"/>
    </row>
    <row x14ac:dyDescent="0.25" r="8447" customHeight="1" ht="18.75">
      <c r="A8447" s="1" t="s">
        <v>3598</v>
      </c>
      <c r="B8447" s="1" t="s">
        <v>27979</v>
      </c>
      <c r="C8447" s="1" t="s">
        <v>3600</v>
      </c>
      <c r="D8447" s="1" t="s">
        <v>3601</v>
      </c>
      <c r="E8447" s="1" t="s">
        <v>3664</v>
      </c>
      <c r="F8447" s="1" t="s">
        <v>28230</v>
      </c>
      <c r="G8447" s="1" t="s">
        <v>27396</v>
      </c>
      <c r="H8447" s="1" t="s">
        <v>3604</v>
      </c>
      <c r="I8447" s="1" t="s">
        <v>28231</v>
      </c>
      <c r="J8447" s="1" t="s">
        <v>3615</v>
      </c>
      <c r="K8447" s="1" t="s">
        <v>28232</v>
      </c>
      <c r="L8447" s="1"/>
      <c r="M8447" s="1"/>
    </row>
    <row x14ac:dyDescent="0.25" r="8448" customHeight="1" ht="18.75">
      <c r="A8448" s="1" t="s">
        <v>3598</v>
      </c>
      <c r="B8448" s="1" t="s">
        <v>28165</v>
      </c>
      <c r="C8448" s="1" t="s">
        <v>3600</v>
      </c>
      <c r="D8448" s="1" t="s">
        <v>3601</v>
      </c>
      <c r="E8448" s="1" t="s">
        <v>3664</v>
      </c>
      <c r="F8448" s="1" t="s">
        <v>28233</v>
      </c>
      <c r="G8448" s="1" t="s">
        <v>28167</v>
      </c>
      <c r="H8448" s="1" t="s">
        <v>3604</v>
      </c>
      <c r="I8448" s="1" t="s">
        <v>28234</v>
      </c>
      <c r="J8448" s="1" t="s">
        <v>3615</v>
      </c>
      <c r="K8448" s="1" t="s">
        <v>28235</v>
      </c>
      <c r="L8448" s="1"/>
      <c r="M8448" s="1"/>
    </row>
    <row x14ac:dyDescent="0.25" r="8449" customHeight="1" ht="18.75">
      <c r="A8449" s="1" t="s">
        <v>3598</v>
      </c>
      <c r="B8449" s="1" t="s">
        <v>28165</v>
      </c>
      <c r="C8449" s="1" t="s">
        <v>3600</v>
      </c>
      <c r="D8449" s="1" t="s">
        <v>3601</v>
      </c>
      <c r="E8449" s="1" t="s">
        <v>3664</v>
      </c>
      <c r="F8449" s="1" t="s">
        <v>28236</v>
      </c>
      <c r="G8449" s="1" t="s">
        <v>28167</v>
      </c>
      <c r="H8449" s="1" t="s">
        <v>3604</v>
      </c>
      <c r="I8449" s="1" t="s">
        <v>28237</v>
      </c>
      <c r="J8449" s="1" t="s">
        <v>3615</v>
      </c>
      <c r="K8449" s="1" t="s">
        <v>28238</v>
      </c>
      <c r="L8449" s="1"/>
      <c r="M8449" s="1"/>
    </row>
    <row x14ac:dyDescent="0.25" r="8450" customHeight="1" ht="18.75">
      <c r="A8450" s="1" t="s">
        <v>3598</v>
      </c>
      <c r="B8450" s="1" t="s">
        <v>28165</v>
      </c>
      <c r="C8450" s="1" t="s">
        <v>3600</v>
      </c>
      <c r="D8450" s="1" t="s">
        <v>3601</v>
      </c>
      <c r="E8450" s="1" t="s">
        <v>3664</v>
      </c>
      <c r="F8450" s="1" t="s">
        <v>28239</v>
      </c>
      <c r="G8450" s="1" t="s">
        <v>28167</v>
      </c>
      <c r="H8450" s="1" t="s">
        <v>3604</v>
      </c>
      <c r="I8450" s="1" t="s">
        <v>28240</v>
      </c>
      <c r="J8450" s="1" t="s">
        <v>3615</v>
      </c>
      <c r="K8450" s="1" t="s">
        <v>28241</v>
      </c>
      <c r="L8450" s="1"/>
      <c r="M8450" s="1"/>
    </row>
    <row x14ac:dyDescent="0.25" r="8451" customHeight="1" ht="18.75">
      <c r="A8451" s="1" t="s">
        <v>3598</v>
      </c>
      <c r="B8451" s="1" t="s">
        <v>16689</v>
      </c>
      <c r="C8451" s="1" t="s">
        <v>3600</v>
      </c>
      <c r="D8451" s="1" t="s">
        <v>3601</v>
      </c>
      <c r="E8451" s="1" t="s">
        <v>3664</v>
      </c>
      <c r="F8451" s="1" t="s">
        <v>28242</v>
      </c>
      <c r="G8451" s="1" t="s">
        <v>16709</v>
      </c>
      <c r="H8451" s="1" t="s">
        <v>3604</v>
      </c>
      <c r="I8451" s="1" t="s">
        <v>28243</v>
      </c>
      <c r="J8451" s="1" t="s">
        <v>3615</v>
      </c>
      <c r="K8451" s="1" t="s">
        <v>28244</v>
      </c>
      <c r="L8451" s="1"/>
      <c r="M8451" s="1"/>
    </row>
    <row x14ac:dyDescent="0.25" r="8452" customHeight="1" ht="18.75">
      <c r="A8452" s="1" t="s">
        <v>3598</v>
      </c>
      <c r="B8452" s="1" t="s">
        <v>27979</v>
      </c>
      <c r="C8452" s="1" t="s">
        <v>3600</v>
      </c>
      <c r="D8452" s="1" t="s">
        <v>3601</v>
      </c>
      <c r="E8452" s="1" t="s">
        <v>3664</v>
      </c>
      <c r="F8452" s="1" t="s">
        <v>28245</v>
      </c>
      <c r="G8452" s="1" t="s">
        <v>27396</v>
      </c>
      <c r="H8452" s="1" t="s">
        <v>3604</v>
      </c>
      <c r="I8452" s="1" t="s">
        <v>28246</v>
      </c>
      <c r="J8452" s="1" t="s">
        <v>3615</v>
      </c>
      <c r="K8452" s="1" t="s">
        <v>28247</v>
      </c>
      <c r="L8452" s="1"/>
      <c r="M8452" s="1"/>
    </row>
    <row x14ac:dyDescent="0.25" r="8453" customHeight="1" ht="18.75">
      <c r="A8453" s="1" t="s">
        <v>3598</v>
      </c>
      <c r="B8453" s="1" t="s">
        <v>21864</v>
      </c>
      <c r="C8453" s="1" t="s">
        <v>3600</v>
      </c>
      <c r="D8453" s="1" t="s">
        <v>3601</v>
      </c>
      <c r="E8453" s="1" t="s">
        <v>3664</v>
      </c>
      <c r="F8453" s="1" t="s">
        <v>28248</v>
      </c>
      <c r="G8453" s="1" t="s">
        <v>21212</v>
      </c>
      <c r="H8453" s="1" t="s">
        <v>3604</v>
      </c>
      <c r="I8453" s="1" t="s">
        <v>28249</v>
      </c>
      <c r="J8453" s="1" t="s">
        <v>3615</v>
      </c>
      <c r="K8453" s="1" t="s">
        <v>28250</v>
      </c>
      <c r="L8453" s="1"/>
      <c r="M8453" s="1"/>
    </row>
    <row x14ac:dyDescent="0.25" r="8454" customHeight="1" ht="18.75">
      <c r="A8454" s="1" t="s">
        <v>3598</v>
      </c>
      <c r="B8454" s="1" t="s">
        <v>27979</v>
      </c>
      <c r="C8454" s="1" t="s">
        <v>3600</v>
      </c>
      <c r="D8454" s="1" t="s">
        <v>3601</v>
      </c>
      <c r="E8454" s="1" t="s">
        <v>3664</v>
      </c>
      <c r="F8454" s="1" t="s">
        <v>28251</v>
      </c>
      <c r="G8454" s="1" t="s">
        <v>28005</v>
      </c>
      <c r="H8454" s="1" t="s">
        <v>3604</v>
      </c>
      <c r="I8454" s="1" t="s">
        <v>28252</v>
      </c>
      <c r="J8454" s="1" t="s">
        <v>3615</v>
      </c>
      <c r="K8454" s="1" t="s">
        <v>28253</v>
      </c>
      <c r="L8454" s="1"/>
      <c r="M8454" s="1"/>
    </row>
    <row x14ac:dyDescent="0.25" r="8455" customHeight="1" ht="18.75">
      <c r="A8455" s="1" t="s">
        <v>3598</v>
      </c>
      <c r="B8455" s="1" t="s">
        <v>21850</v>
      </c>
      <c r="C8455" s="1" t="s">
        <v>3600</v>
      </c>
      <c r="D8455" s="1" t="s">
        <v>3601</v>
      </c>
      <c r="E8455" s="1" t="s">
        <v>3664</v>
      </c>
      <c r="F8455" s="1" t="s">
        <v>28254</v>
      </c>
      <c r="G8455" s="1" t="s">
        <v>21244</v>
      </c>
      <c r="H8455" s="1" t="s">
        <v>3604</v>
      </c>
      <c r="I8455" s="1" t="s">
        <v>28255</v>
      </c>
      <c r="J8455" s="1" t="s">
        <v>3615</v>
      </c>
      <c r="K8455" s="1" t="s">
        <v>28256</v>
      </c>
      <c r="L8455" s="1"/>
      <c r="M8455" s="1"/>
    </row>
    <row x14ac:dyDescent="0.25" r="8456" customHeight="1" ht="18.75">
      <c r="A8456" s="1" t="s">
        <v>3598</v>
      </c>
      <c r="B8456" s="1" t="s">
        <v>21850</v>
      </c>
      <c r="C8456" s="1" t="s">
        <v>3600</v>
      </c>
      <c r="D8456" s="1" t="s">
        <v>3601</v>
      </c>
      <c r="E8456" s="1" t="s">
        <v>3664</v>
      </c>
      <c r="F8456" s="1" t="s">
        <v>28257</v>
      </c>
      <c r="G8456" s="1" t="s">
        <v>21244</v>
      </c>
      <c r="H8456" s="1" t="s">
        <v>3604</v>
      </c>
      <c r="I8456" s="1" t="s">
        <v>28258</v>
      </c>
      <c r="J8456" s="1" t="s">
        <v>3615</v>
      </c>
      <c r="K8456" s="1" t="s">
        <v>28259</v>
      </c>
      <c r="L8456" s="1"/>
      <c r="M8456" s="1"/>
    </row>
    <row x14ac:dyDescent="0.25" r="8457" customHeight="1" ht="18.75">
      <c r="A8457" s="1" t="s">
        <v>3598</v>
      </c>
      <c r="B8457" s="1" t="s">
        <v>28260</v>
      </c>
      <c r="C8457" s="1" t="s">
        <v>3600</v>
      </c>
      <c r="D8457" s="1" t="s">
        <v>3601</v>
      </c>
      <c r="E8457" s="1" t="s">
        <v>3664</v>
      </c>
      <c r="F8457" s="1" t="s">
        <v>28261</v>
      </c>
      <c r="G8457" s="1" t="s">
        <v>18412</v>
      </c>
      <c r="H8457" s="1" t="s">
        <v>3604</v>
      </c>
      <c r="I8457" s="1" t="s">
        <v>28262</v>
      </c>
      <c r="J8457" s="1" t="s">
        <v>3615</v>
      </c>
      <c r="K8457" s="1" t="s">
        <v>28263</v>
      </c>
      <c r="L8457" s="1"/>
      <c r="M8457" s="1"/>
    </row>
    <row x14ac:dyDescent="0.25" r="8458" customHeight="1" ht="18.75">
      <c r="A8458" s="1" t="s">
        <v>3598</v>
      </c>
      <c r="B8458" s="1" t="s">
        <v>28264</v>
      </c>
      <c r="C8458" s="1" t="s">
        <v>3600</v>
      </c>
      <c r="D8458" s="1" t="s">
        <v>3601</v>
      </c>
      <c r="E8458" s="1" t="s">
        <v>3664</v>
      </c>
      <c r="F8458" s="1" t="s">
        <v>28265</v>
      </c>
      <c r="G8458" s="1" t="s">
        <v>18311</v>
      </c>
      <c r="H8458" s="1" t="s">
        <v>3604</v>
      </c>
      <c r="I8458" s="1" t="s">
        <v>28266</v>
      </c>
      <c r="J8458" s="1" t="s">
        <v>3615</v>
      </c>
      <c r="K8458" s="1" t="s">
        <v>28267</v>
      </c>
      <c r="L8458" s="1"/>
      <c r="M8458" s="1"/>
    </row>
    <row x14ac:dyDescent="0.25" r="8459" customHeight="1" ht="18.75">
      <c r="A8459" s="1" t="s">
        <v>3598</v>
      </c>
      <c r="B8459" s="1" t="s">
        <v>16934</v>
      </c>
      <c r="C8459" s="1" t="s">
        <v>3600</v>
      </c>
      <c r="D8459" s="1" t="s">
        <v>3601</v>
      </c>
      <c r="E8459" s="1" t="s">
        <v>3893</v>
      </c>
      <c r="F8459" s="1" t="s">
        <v>28268</v>
      </c>
      <c r="G8459" s="1" t="s">
        <v>3603</v>
      </c>
      <c r="H8459" s="1" t="s">
        <v>3604</v>
      </c>
      <c r="I8459" s="1" t="s">
        <v>28269</v>
      </c>
      <c r="J8459" s="1" t="s">
        <v>3615</v>
      </c>
      <c r="K8459" s="1" t="s">
        <v>28270</v>
      </c>
      <c r="L8459" s="1"/>
      <c r="M8459" s="1"/>
    </row>
    <row x14ac:dyDescent="0.25" r="8460" customHeight="1" ht="18.75">
      <c r="A8460" s="1" t="s">
        <v>3598</v>
      </c>
      <c r="B8460" s="1" t="s">
        <v>16715</v>
      </c>
      <c r="C8460" s="1" t="s">
        <v>3600</v>
      </c>
      <c r="D8460" s="1" t="s">
        <v>3601</v>
      </c>
      <c r="E8460" s="1" t="s">
        <v>3893</v>
      </c>
      <c r="F8460" s="1" t="s">
        <v>28271</v>
      </c>
      <c r="G8460" s="1" t="s">
        <v>16717</v>
      </c>
      <c r="H8460" s="1" t="s">
        <v>3604</v>
      </c>
      <c r="I8460" s="1" t="s">
        <v>28272</v>
      </c>
      <c r="J8460" s="1" t="s">
        <v>3615</v>
      </c>
      <c r="K8460" s="1" t="s">
        <v>28273</v>
      </c>
      <c r="L8460" s="1"/>
      <c r="M8460" s="1"/>
    </row>
    <row x14ac:dyDescent="0.25" r="8461" customHeight="1" ht="18.75">
      <c r="A8461" s="1" t="s">
        <v>3598</v>
      </c>
      <c r="B8461" s="1" t="s">
        <v>28274</v>
      </c>
      <c r="C8461" s="1" t="s">
        <v>3600</v>
      </c>
      <c r="D8461" s="1" t="s">
        <v>3601</v>
      </c>
      <c r="E8461" s="1" t="s">
        <v>3752</v>
      </c>
      <c r="F8461" s="1" t="s">
        <v>28275</v>
      </c>
      <c r="G8461" s="1" t="s">
        <v>28276</v>
      </c>
      <c r="H8461" s="1" t="s">
        <v>3604</v>
      </c>
      <c r="I8461" s="1" t="s">
        <v>28277</v>
      </c>
      <c r="J8461" s="1" t="s">
        <v>3615</v>
      </c>
      <c r="K8461" s="1" t="s">
        <v>28278</v>
      </c>
      <c r="L8461" s="1"/>
      <c r="M8461" s="1"/>
    </row>
    <row x14ac:dyDescent="0.25" r="8462" customHeight="1" ht="18.75">
      <c r="A8462" s="1" t="s">
        <v>3598</v>
      </c>
      <c r="B8462" s="1" t="s">
        <v>28274</v>
      </c>
      <c r="C8462" s="1" t="s">
        <v>3600</v>
      </c>
      <c r="D8462" s="1" t="s">
        <v>3601</v>
      </c>
      <c r="E8462" s="1" t="s">
        <v>3752</v>
      </c>
      <c r="F8462" s="1" t="s">
        <v>28279</v>
      </c>
      <c r="G8462" s="1" t="s">
        <v>28276</v>
      </c>
      <c r="H8462" s="1" t="s">
        <v>3604</v>
      </c>
      <c r="I8462" s="1" t="s">
        <v>28280</v>
      </c>
      <c r="J8462" s="1" t="s">
        <v>3615</v>
      </c>
      <c r="K8462" s="1" t="s">
        <v>28281</v>
      </c>
      <c r="L8462" s="1"/>
      <c r="M8462" s="1"/>
    </row>
    <row x14ac:dyDescent="0.25" r="8463" customHeight="1" ht="18.75">
      <c r="A8463" s="1" t="s">
        <v>3598</v>
      </c>
      <c r="B8463" s="1" t="s">
        <v>16605</v>
      </c>
      <c r="C8463" s="1" t="s">
        <v>3600</v>
      </c>
      <c r="D8463" s="1" t="s">
        <v>3601</v>
      </c>
      <c r="E8463" s="1" t="s">
        <v>3664</v>
      </c>
      <c r="F8463" s="1" t="s">
        <v>28282</v>
      </c>
      <c r="G8463" s="1" t="s">
        <v>16620</v>
      </c>
      <c r="H8463" s="1" t="s">
        <v>3604</v>
      </c>
      <c r="I8463" s="1" t="s">
        <v>28283</v>
      </c>
      <c r="J8463" s="1" t="s">
        <v>3615</v>
      </c>
      <c r="K8463" s="1" t="s">
        <v>28284</v>
      </c>
      <c r="L8463" s="1"/>
      <c r="M8463" s="1"/>
    </row>
    <row x14ac:dyDescent="0.25" r="8464" customHeight="1" ht="18.75">
      <c r="A8464" s="1" t="s">
        <v>3598</v>
      </c>
      <c r="B8464" s="1" t="s">
        <v>14104</v>
      </c>
      <c r="C8464" s="1" t="s">
        <v>3600</v>
      </c>
      <c r="D8464" s="1" t="s">
        <v>3601</v>
      </c>
      <c r="E8464" s="1" t="s">
        <v>3893</v>
      </c>
      <c r="F8464" s="1" t="s">
        <v>28285</v>
      </c>
      <c r="G8464" s="1" t="s">
        <v>17636</v>
      </c>
      <c r="H8464" s="1" t="s">
        <v>3604</v>
      </c>
      <c r="I8464" s="1" t="s">
        <v>28286</v>
      </c>
      <c r="J8464" s="1" t="s">
        <v>3615</v>
      </c>
      <c r="K8464" s="1" t="s">
        <v>28287</v>
      </c>
      <c r="L8464" s="1"/>
      <c r="M8464" s="1"/>
    </row>
    <row x14ac:dyDescent="0.25" r="8465" customHeight="1" ht="18.75">
      <c r="A8465" s="1" t="s">
        <v>3598</v>
      </c>
      <c r="B8465" s="1" t="s">
        <v>20557</v>
      </c>
      <c r="C8465" s="1" t="s">
        <v>3600</v>
      </c>
      <c r="D8465" s="1" t="s">
        <v>3601</v>
      </c>
      <c r="E8465" s="1" t="s">
        <v>3893</v>
      </c>
      <c r="F8465" s="1" t="s">
        <v>28288</v>
      </c>
      <c r="G8465" s="1" t="s">
        <v>20559</v>
      </c>
      <c r="H8465" s="1" t="s">
        <v>3604</v>
      </c>
      <c r="I8465" s="1" t="s">
        <v>28289</v>
      </c>
      <c r="J8465" s="1" t="s">
        <v>3615</v>
      </c>
      <c r="K8465" s="1" t="s">
        <v>28290</v>
      </c>
      <c r="L8465" s="1"/>
      <c r="M8465" s="1"/>
    </row>
    <row x14ac:dyDescent="0.25" r="8466" customHeight="1" ht="18.75">
      <c r="A8466" s="1" t="s">
        <v>3598</v>
      </c>
      <c r="B8466" s="1" t="s">
        <v>5260</v>
      </c>
      <c r="C8466" s="1" t="s">
        <v>3600</v>
      </c>
      <c r="D8466" s="1" t="s">
        <v>3601</v>
      </c>
      <c r="E8466" s="1" t="s">
        <v>3611</v>
      </c>
      <c r="F8466" s="1" t="s">
        <v>28291</v>
      </c>
      <c r="G8466" s="1" t="s">
        <v>9107</v>
      </c>
      <c r="H8466" s="1" t="s">
        <v>3604</v>
      </c>
      <c r="I8466" s="1" t="s">
        <v>28292</v>
      </c>
      <c r="J8466" s="1" t="s">
        <v>3615</v>
      </c>
      <c r="K8466" s="1" t="s">
        <v>28293</v>
      </c>
      <c r="L8466" s="1"/>
      <c r="M8466" s="1"/>
    </row>
    <row x14ac:dyDescent="0.25" r="8467" customHeight="1" ht="18.75">
      <c r="A8467" s="1" t="s">
        <v>3598</v>
      </c>
      <c r="B8467" s="1" t="s">
        <v>4689</v>
      </c>
      <c r="C8467" s="1" t="s">
        <v>3600</v>
      </c>
      <c r="D8467" s="1" t="s">
        <v>3601</v>
      </c>
      <c r="E8467" s="1" t="s">
        <v>3611</v>
      </c>
      <c r="F8467" s="1" t="s">
        <v>28294</v>
      </c>
      <c r="G8467" s="1" t="s">
        <v>18016</v>
      </c>
      <c r="H8467" s="1" t="s">
        <v>3604</v>
      </c>
      <c r="I8467" s="1" t="s">
        <v>28295</v>
      </c>
      <c r="J8467" s="1" t="s">
        <v>3615</v>
      </c>
      <c r="K8467" s="1" t="s">
        <v>28296</v>
      </c>
      <c r="L8467" s="1"/>
      <c r="M8467" s="1"/>
    </row>
    <row x14ac:dyDescent="0.25" r="8468" customHeight="1" ht="18.75">
      <c r="A8468" s="1" t="s">
        <v>3598</v>
      </c>
      <c r="B8468" s="1" t="s">
        <v>4689</v>
      </c>
      <c r="C8468" s="1" t="s">
        <v>3600</v>
      </c>
      <c r="D8468" s="1" t="s">
        <v>3601</v>
      </c>
      <c r="E8468" s="1" t="s">
        <v>3611</v>
      </c>
      <c r="F8468" s="1" t="s">
        <v>28297</v>
      </c>
      <c r="G8468" s="1" t="s">
        <v>18016</v>
      </c>
      <c r="H8468" s="1" t="s">
        <v>3604</v>
      </c>
      <c r="I8468" s="1" t="s">
        <v>28298</v>
      </c>
      <c r="J8468" s="1" t="s">
        <v>3615</v>
      </c>
      <c r="K8468" s="1" t="s">
        <v>28299</v>
      </c>
      <c r="L8468" s="1"/>
      <c r="M8468" s="1"/>
    </row>
    <row x14ac:dyDescent="0.25" r="8469" customHeight="1" ht="18.75">
      <c r="A8469" s="1" t="s">
        <v>3598</v>
      </c>
      <c r="B8469" s="1" t="s">
        <v>3778</v>
      </c>
      <c r="C8469" s="1" t="s">
        <v>3600</v>
      </c>
      <c r="D8469" s="1" t="s">
        <v>3601</v>
      </c>
      <c r="E8469" s="1" t="s">
        <v>3664</v>
      </c>
      <c r="F8469" s="1" t="s">
        <v>28300</v>
      </c>
      <c r="G8469" s="1" t="s">
        <v>20053</v>
      </c>
      <c r="H8469" s="1" t="s">
        <v>3604</v>
      </c>
      <c r="I8469" s="1" t="s">
        <v>28301</v>
      </c>
      <c r="J8469" s="1" t="s">
        <v>3615</v>
      </c>
      <c r="K8469" s="1" t="s">
        <v>28302</v>
      </c>
      <c r="L8469" s="1"/>
      <c r="M8469" s="1"/>
    </row>
    <row x14ac:dyDescent="0.25" r="8470" customHeight="1" ht="18.75">
      <c r="A8470" s="1" t="s">
        <v>3598</v>
      </c>
      <c r="B8470" s="1" t="s">
        <v>3663</v>
      </c>
      <c r="C8470" s="1" t="s">
        <v>3600</v>
      </c>
      <c r="D8470" s="1" t="s">
        <v>3610</v>
      </c>
      <c r="E8470" s="1" t="s">
        <v>3752</v>
      </c>
      <c r="F8470" s="1" t="s">
        <v>28303</v>
      </c>
      <c r="G8470" s="1" t="s">
        <v>19212</v>
      </c>
      <c r="H8470" s="1" t="s">
        <v>3604</v>
      </c>
      <c r="I8470" s="1" t="s">
        <v>28304</v>
      </c>
      <c r="J8470" s="1" t="s">
        <v>3615</v>
      </c>
      <c r="K8470" s="1" t="s">
        <v>26014</v>
      </c>
      <c r="L8470" s="1"/>
      <c r="M8470" s="1"/>
    </row>
    <row x14ac:dyDescent="0.25" r="8471" customHeight="1" ht="18.75">
      <c r="A8471" s="1" t="s">
        <v>3598</v>
      </c>
      <c r="B8471" s="1" t="s">
        <v>3663</v>
      </c>
      <c r="C8471" s="1" t="s">
        <v>3600</v>
      </c>
      <c r="D8471" s="1" t="s">
        <v>3610</v>
      </c>
      <c r="E8471" s="1" t="s">
        <v>3752</v>
      </c>
      <c r="F8471" s="1" t="s">
        <v>28305</v>
      </c>
      <c r="G8471" s="1" t="s">
        <v>19192</v>
      </c>
      <c r="H8471" s="1" t="s">
        <v>3604</v>
      </c>
      <c r="I8471" s="1" t="s">
        <v>28306</v>
      </c>
      <c r="J8471" s="1" t="s">
        <v>3615</v>
      </c>
      <c r="K8471" s="1" t="s">
        <v>26799</v>
      </c>
      <c r="L8471" s="1"/>
      <c r="M8471" s="1"/>
    </row>
    <row x14ac:dyDescent="0.25" r="8472" customHeight="1" ht="18.75">
      <c r="A8472" s="1" t="s">
        <v>3598</v>
      </c>
      <c r="B8472" s="1" t="s">
        <v>3663</v>
      </c>
      <c r="C8472" s="1" t="s">
        <v>3600</v>
      </c>
      <c r="D8472" s="1" t="s">
        <v>3610</v>
      </c>
      <c r="E8472" s="1" t="s">
        <v>3752</v>
      </c>
      <c r="F8472" s="1" t="s">
        <v>28307</v>
      </c>
      <c r="G8472" s="1" t="s">
        <v>19192</v>
      </c>
      <c r="H8472" s="1" t="s">
        <v>3604</v>
      </c>
      <c r="I8472" s="1" t="s">
        <v>28308</v>
      </c>
      <c r="J8472" s="1" t="s">
        <v>3615</v>
      </c>
      <c r="K8472" s="1" t="s">
        <v>26802</v>
      </c>
      <c r="L8472" s="1"/>
      <c r="M8472" s="1"/>
    </row>
    <row x14ac:dyDescent="0.25" r="8473" customHeight="1" ht="18.75">
      <c r="A8473" s="1" t="s">
        <v>3598</v>
      </c>
      <c r="B8473" s="1" t="s">
        <v>3663</v>
      </c>
      <c r="C8473" s="1" t="s">
        <v>3600</v>
      </c>
      <c r="D8473" s="1" t="s">
        <v>3610</v>
      </c>
      <c r="E8473" s="1" t="s">
        <v>3752</v>
      </c>
      <c r="F8473" s="1" t="s">
        <v>28309</v>
      </c>
      <c r="G8473" s="1" t="s">
        <v>19192</v>
      </c>
      <c r="H8473" s="1" t="s">
        <v>3604</v>
      </c>
      <c r="I8473" s="1" t="s">
        <v>28310</v>
      </c>
      <c r="J8473" s="1" t="s">
        <v>3615</v>
      </c>
      <c r="K8473" s="1" t="s">
        <v>26805</v>
      </c>
      <c r="L8473" s="1"/>
      <c r="M8473" s="1"/>
    </row>
    <row x14ac:dyDescent="0.25" r="8474" customHeight="1" ht="18.75">
      <c r="A8474" s="1" t="s">
        <v>3598</v>
      </c>
      <c r="B8474" s="1" t="s">
        <v>3663</v>
      </c>
      <c r="C8474" s="1" t="s">
        <v>3600</v>
      </c>
      <c r="D8474" s="1" t="s">
        <v>3610</v>
      </c>
      <c r="E8474" s="1" t="s">
        <v>3752</v>
      </c>
      <c r="F8474" s="1" t="s">
        <v>28311</v>
      </c>
      <c r="G8474" s="1" t="s">
        <v>19200</v>
      </c>
      <c r="H8474" s="1" t="s">
        <v>3604</v>
      </c>
      <c r="I8474" s="1" t="s">
        <v>28312</v>
      </c>
      <c r="J8474" s="1" t="s">
        <v>3615</v>
      </c>
      <c r="K8474" s="1" t="s">
        <v>26819</v>
      </c>
      <c r="L8474" s="1"/>
      <c r="M8474" s="1"/>
    </row>
    <row x14ac:dyDescent="0.25" r="8475" customHeight="1" ht="18.75">
      <c r="A8475" s="1" t="s">
        <v>3598</v>
      </c>
      <c r="B8475" s="1" t="s">
        <v>3663</v>
      </c>
      <c r="C8475" s="1" t="s">
        <v>3600</v>
      </c>
      <c r="D8475" s="1" t="s">
        <v>3610</v>
      </c>
      <c r="E8475" s="1" t="s">
        <v>3752</v>
      </c>
      <c r="F8475" s="1" t="s">
        <v>28313</v>
      </c>
      <c r="G8475" s="1" t="s">
        <v>19200</v>
      </c>
      <c r="H8475" s="1" t="s">
        <v>3604</v>
      </c>
      <c r="I8475" s="1" t="s">
        <v>28314</v>
      </c>
      <c r="J8475" s="1" t="s">
        <v>3615</v>
      </c>
      <c r="K8475" s="1" t="s">
        <v>26822</v>
      </c>
      <c r="L8475" s="1"/>
      <c r="M8475" s="1"/>
    </row>
    <row x14ac:dyDescent="0.25" r="8476" customHeight="1" ht="18.75">
      <c r="A8476" s="1" t="s">
        <v>3598</v>
      </c>
      <c r="B8476" s="1" t="s">
        <v>3663</v>
      </c>
      <c r="C8476" s="1" t="s">
        <v>3600</v>
      </c>
      <c r="D8476" s="1" t="s">
        <v>3610</v>
      </c>
      <c r="E8476" s="1" t="s">
        <v>3752</v>
      </c>
      <c r="F8476" s="1" t="s">
        <v>28315</v>
      </c>
      <c r="G8476" s="1" t="s">
        <v>19200</v>
      </c>
      <c r="H8476" s="1" t="s">
        <v>3604</v>
      </c>
      <c r="I8476" s="1" t="s">
        <v>28316</v>
      </c>
      <c r="J8476" s="1" t="s">
        <v>3615</v>
      </c>
      <c r="K8476" s="1" t="s">
        <v>26825</v>
      </c>
      <c r="L8476" s="1"/>
      <c r="M8476" s="1"/>
    </row>
    <row x14ac:dyDescent="0.25" r="8477" customHeight="1" ht="18.75">
      <c r="A8477" s="1" t="s">
        <v>3598</v>
      </c>
      <c r="B8477" s="1" t="s">
        <v>3663</v>
      </c>
      <c r="C8477" s="1" t="s">
        <v>3600</v>
      </c>
      <c r="D8477" s="1" t="s">
        <v>3610</v>
      </c>
      <c r="E8477" s="1" t="s">
        <v>3752</v>
      </c>
      <c r="F8477" s="1" t="s">
        <v>28317</v>
      </c>
      <c r="G8477" s="1" t="s">
        <v>19196</v>
      </c>
      <c r="H8477" s="1" t="s">
        <v>3604</v>
      </c>
      <c r="I8477" s="1" t="s">
        <v>28318</v>
      </c>
      <c r="J8477" s="1" t="s">
        <v>3615</v>
      </c>
      <c r="K8477" s="1" t="s">
        <v>26809</v>
      </c>
      <c r="L8477" s="1"/>
      <c r="M8477" s="1"/>
    </row>
    <row x14ac:dyDescent="0.25" r="8478" customHeight="1" ht="18.75">
      <c r="A8478" s="1" t="s">
        <v>3598</v>
      </c>
      <c r="B8478" s="1" t="s">
        <v>3663</v>
      </c>
      <c r="C8478" s="1" t="s">
        <v>3600</v>
      </c>
      <c r="D8478" s="1" t="s">
        <v>3610</v>
      </c>
      <c r="E8478" s="1" t="s">
        <v>3752</v>
      </c>
      <c r="F8478" s="1" t="s">
        <v>28319</v>
      </c>
      <c r="G8478" s="1" t="s">
        <v>19196</v>
      </c>
      <c r="H8478" s="1" t="s">
        <v>3604</v>
      </c>
      <c r="I8478" s="1" t="s">
        <v>28320</v>
      </c>
      <c r="J8478" s="1" t="s">
        <v>3615</v>
      </c>
      <c r="K8478" s="1" t="s">
        <v>26812</v>
      </c>
      <c r="L8478" s="1"/>
      <c r="M8478" s="1"/>
    </row>
    <row x14ac:dyDescent="0.25" r="8479" customHeight="1" ht="18.75">
      <c r="A8479" s="1" t="s">
        <v>3598</v>
      </c>
      <c r="B8479" s="1" t="s">
        <v>3663</v>
      </c>
      <c r="C8479" s="1" t="s">
        <v>3600</v>
      </c>
      <c r="D8479" s="1" t="s">
        <v>3610</v>
      </c>
      <c r="E8479" s="1" t="s">
        <v>3752</v>
      </c>
      <c r="F8479" s="1" t="s">
        <v>28321</v>
      </c>
      <c r="G8479" s="1" t="s">
        <v>19196</v>
      </c>
      <c r="H8479" s="1" t="s">
        <v>3604</v>
      </c>
      <c r="I8479" s="1" t="s">
        <v>28322</v>
      </c>
      <c r="J8479" s="1" t="s">
        <v>3615</v>
      </c>
      <c r="K8479" s="1" t="s">
        <v>26815</v>
      </c>
      <c r="L8479" s="1"/>
      <c r="M8479" s="1"/>
    </row>
    <row x14ac:dyDescent="0.25" r="8480" customHeight="1" ht="18.75">
      <c r="A8480" s="1" t="s">
        <v>3598</v>
      </c>
      <c r="B8480" s="1" t="s">
        <v>3663</v>
      </c>
      <c r="C8480" s="1" t="s">
        <v>3600</v>
      </c>
      <c r="D8480" s="1" t="s">
        <v>3610</v>
      </c>
      <c r="E8480" s="1" t="s">
        <v>3752</v>
      </c>
      <c r="F8480" s="1" t="s">
        <v>28323</v>
      </c>
      <c r="G8480" s="1" t="s">
        <v>19204</v>
      </c>
      <c r="H8480" s="1" t="s">
        <v>3604</v>
      </c>
      <c r="I8480" s="1" t="s">
        <v>28324</v>
      </c>
      <c r="J8480" s="1" t="s">
        <v>3615</v>
      </c>
      <c r="K8480" s="1" t="s">
        <v>26829</v>
      </c>
      <c r="L8480" s="1"/>
      <c r="M8480" s="1"/>
    </row>
    <row x14ac:dyDescent="0.25" r="8481" customHeight="1" ht="18.75">
      <c r="A8481" s="1" t="s">
        <v>3598</v>
      </c>
      <c r="B8481" s="1" t="s">
        <v>3663</v>
      </c>
      <c r="C8481" s="1" t="s">
        <v>3600</v>
      </c>
      <c r="D8481" s="1" t="s">
        <v>3610</v>
      </c>
      <c r="E8481" s="1" t="s">
        <v>3752</v>
      </c>
      <c r="F8481" s="1" t="s">
        <v>28325</v>
      </c>
      <c r="G8481" s="1" t="s">
        <v>19204</v>
      </c>
      <c r="H8481" s="1" t="s">
        <v>3604</v>
      </c>
      <c r="I8481" s="1" t="s">
        <v>28326</v>
      </c>
      <c r="J8481" s="1" t="s">
        <v>3615</v>
      </c>
      <c r="K8481" s="1" t="s">
        <v>26832</v>
      </c>
      <c r="L8481" s="1"/>
      <c r="M8481" s="1"/>
    </row>
    <row x14ac:dyDescent="0.25" r="8482" customHeight="1" ht="18.75">
      <c r="A8482" s="1" t="s">
        <v>3598</v>
      </c>
      <c r="B8482" s="1" t="s">
        <v>15557</v>
      </c>
      <c r="C8482" s="1" t="s">
        <v>3600</v>
      </c>
      <c r="D8482" s="1" t="s">
        <v>3610</v>
      </c>
      <c r="E8482" s="1" t="s">
        <v>3752</v>
      </c>
      <c r="F8482" s="1" t="s">
        <v>28327</v>
      </c>
      <c r="G8482" s="1" t="s">
        <v>28328</v>
      </c>
      <c r="H8482" s="1" t="s">
        <v>3604</v>
      </c>
      <c r="I8482" s="1" t="s">
        <v>28329</v>
      </c>
      <c r="J8482" s="1" t="s">
        <v>3615</v>
      </c>
      <c r="K8482" s="1" t="s">
        <v>26672</v>
      </c>
      <c r="L8482" s="1"/>
      <c r="M8482" s="1"/>
    </row>
    <row x14ac:dyDescent="0.25" r="8483" customHeight="1" ht="18.75">
      <c r="A8483" s="1" t="s">
        <v>3598</v>
      </c>
      <c r="B8483" s="1" t="s">
        <v>20557</v>
      </c>
      <c r="C8483" s="1" t="s">
        <v>3600</v>
      </c>
      <c r="D8483" s="1" t="s">
        <v>533</v>
      </c>
      <c r="E8483" s="1" t="s">
        <v>3664</v>
      </c>
      <c r="F8483" s="1" t="s">
        <v>28330</v>
      </c>
      <c r="G8483" s="1" t="s">
        <v>20559</v>
      </c>
      <c r="H8483" s="1" t="s">
        <v>3604</v>
      </c>
      <c r="I8483" s="1" t="s">
        <v>28331</v>
      </c>
      <c r="J8483" s="1" t="s">
        <v>3615</v>
      </c>
      <c r="K8483" s="1" t="s">
        <v>28332</v>
      </c>
      <c r="L8483" s="1"/>
      <c r="M8483" s="1"/>
    </row>
    <row x14ac:dyDescent="0.25" r="8484" customHeight="1" ht="18.75">
      <c r="A8484" s="1" t="s">
        <v>3598</v>
      </c>
      <c r="B8484" s="1" t="s">
        <v>20557</v>
      </c>
      <c r="C8484" s="1" t="s">
        <v>3600</v>
      </c>
      <c r="D8484" s="1" t="s">
        <v>533</v>
      </c>
      <c r="E8484" s="1" t="s">
        <v>3664</v>
      </c>
      <c r="F8484" s="1" t="s">
        <v>28333</v>
      </c>
      <c r="G8484" s="1" t="s">
        <v>20559</v>
      </c>
      <c r="H8484" s="1" t="s">
        <v>3604</v>
      </c>
      <c r="I8484" s="1" t="s">
        <v>28334</v>
      </c>
      <c r="J8484" s="1" t="s">
        <v>3615</v>
      </c>
      <c r="K8484" s="1" t="s">
        <v>28335</v>
      </c>
      <c r="L8484" s="1"/>
      <c r="M8484" s="1"/>
    </row>
    <row x14ac:dyDescent="0.25" r="8485" customHeight="1" ht="18.75">
      <c r="A8485" s="1" t="s">
        <v>3598</v>
      </c>
      <c r="B8485" s="1" t="s">
        <v>14104</v>
      </c>
      <c r="C8485" s="1" t="s">
        <v>3600</v>
      </c>
      <c r="D8485" s="1" t="s">
        <v>533</v>
      </c>
      <c r="E8485" s="1" t="s">
        <v>3664</v>
      </c>
      <c r="F8485" s="1" t="s">
        <v>28336</v>
      </c>
      <c r="G8485" s="1" t="s">
        <v>17636</v>
      </c>
      <c r="H8485" s="1" t="s">
        <v>3604</v>
      </c>
      <c r="I8485" s="1" t="s">
        <v>28337</v>
      </c>
      <c r="J8485" s="1" t="s">
        <v>3615</v>
      </c>
      <c r="K8485" s="1" t="s">
        <v>28332</v>
      </c>
      <c r="L8485" s="1"/>
      <c r="M8485" s="1"/>
    </row>
    <row x14ac:dyDescent="0.25" r="8486" customHeight="1" ht="18.75">
      <c r="A8486" s="1" t="s">
        <v>3598</v>
      </c>
      <c r="B8486" s="1" t="s">
        <v>14104</v>
      </c>
      <c r="C8486" s="1" t="s">
        <v>3600</v>
      </c>
      <c r="D8486" s="1" t="s">
        <v>533</v>
      </c>
      <c r="E8486" s="1" t="s">
        <v>3664</v>
      </c>
      <c r="F8486" s="1" t="s">
        <v>28338</v>
      </c>
      <c r="G8486" s="1" t="s">
        <v>17636</v>
      </c>
      <c r="H8486" s="1" t="s">
        <v>3604</v>
      </c>
      <c r="I8486" s="1" t="s">
        <v>28339</v>
      </c>
      <c r="J8486" s="1" t="s">
        <v>3615</v>
      </c>
      <c r="K8486" s="1" t="s">
        <v>28335</v>
      </c>
      <c r="L8486" s="1"/>
      <c r="M8486" s="1"/>
    </row>
    <row x14ac:dyDescent="0.25" r="8487" customHeight="1" ht="18.75">
      <c r="A8487" s="1" t="s">
        <v>3598</v>
      </c>
      <c r="B8487" s="1" t="s">
        <v>14104</v>
      </c>
      <c r="C8487" s="1" t="s">
        <v>3600</v>
      </c>
      <c r="D8487" s="1" t="s">
        <v>533</v>
      </c>
      <c r="E8487" s="1" t="s">
        <v>3664</v>
      </c>
      <c r="F8487" s="1" t="s">
        <v>28340</v>
      </c>
      <c r="G8487" s="1" t="s">
        <v>26677</v>
      </c>
      <c r="H8487" s="1" t="s">
        <v>3604</v>
      </c>
      <c r="I8487" s="1" t="s">
        <v>28341</v>
      </c>
      <c r="J8487" s="1" t="s">
        <v>3615</v>
      </c>
      <c r="K8487" s="1" t="s">
        <v>28342</v>
      </c>
      <c r="L8487" s="1"/>
      <c r="M8487" s="1"/>
    </row>
    <row x14ac:dyDescent="0.25" r="8488" customHeight="1" ht="18.75">
      <c r="A8488" s="1" t="s">
        <v>3598</v>
      </c>
      <c r="B8488" s="1" t="s">
        <v>14104</v>
      </c>
      <c r="C8488" s="1" t="s">
        <v>3600</v>
      </c>
      <c r="D8488" s="1" t="s">
        <v>533</v>
      </c>
      <c r="E8488" s="1" t="s">
        <v>3664</v>
      </c>
      <c r="F8488" s="1" t="s">
        <v>28343</v>
      </c>
      <c r="G8488" s="1" t="s">
        <v>26687</v>
      </c>
      <c r="H8488" s="1" t="s">
        <v>3604</v>
      </c>
      <c r="I8488" s="1" t="s">
        <v>28344</v>
      </c>
      <c r="J8488" s="1" t="s">
        <v>3615</v>
      </c>
      <c r="K8488" s="1" t="s">
        <v>28345</v>
      </c>
      <c r="L8488" s="1"/>
      <c r="M8488" s="1"/>
    </row>
    <row x14ac:dyDescent="0.25" r="8489" customHeight="1" ht="18.75">
      <c r="A8489" s="1" t="s">
        <v>3598</v>
      </c>
      <c r="B8489" s="1" t="s">
        <v>5239</v>
      </c>
      <c r="C8489" s="1" t="s">
        <v>3600</v>
      </c>
      <c r="D8489" s="1" t="s">
        <v>533</v>
      </c>
      <c r="E8489" s="1" t="s">
        <v>3664</v>
      </c>
      <c r="F8489" s="1" t="s">
        <v>28346</v>
      </c>
      <c r="G8489" s="1" t="s">
        <v>13827</v>
      </c>
      <c r="H8489" s="1" t="s">
        <v>3604</v>
      </c>
      <c r="I8489" s="1" t="s">
        <v>28347</v>
      </c>
      <c r="J8489" s="1" t="s">
        <v>3615</v>
      </c>
      <c r="K8489" s="1" t="s">
        <v>28348</v>
      </c>
      <c r="L8489" s="1"/>
      <c r="M8489" s="1"/>
    </row>
    <row x14ac:dyDescent="0.25" r="8490" customHeight="1" ht="18.75">
      <c r="A8490" s="1" t="s">
        <v>3598</v>
      </c>
      <c r="B8490" s="1" t="s">
        <v>5239</v>
      </c>
      <c r="C8490" s="1" t="s">
        <v>3600</v>
      </c>
      <c r="D8490" s="1" t="s">
        <v>533</v>
      </c>
      <c r="E8490" s="1" t="s">
        <v>3664</v>
      </c>
      <c r="F8490" s="1" t="s">
        <v>28349</v>
      </c>
      <c r="G8490" s="1" t="s">
        <v>13797</v>
      </c>
      <c r="H8490" s="1" t="s">
        <v>3604</v>
      </c>
      <c r="I8490" s="1" t="s">
        <v>28350</v>
      </c>
      <c r="J8490" s="1" t="s">
        <v>3615</v>
      </c>
      <c r="K8490" s="1" t="s">
        <v>28351</v>
      </c>
      <c r="L8490" s="1"/>
      <c r="M8490" s="1"/>
    </row>
    <row x14ac:dyDescent="0.25" r="8491" customHeight="1" ht="18.75">
      <c r="A8491" s="1" t="s">
        <v>3598</v>
      </c>
      <c r="B8491" s="1" t="s">
        <v>5239</v>
      </c>
      <c r="C8491" s="1" t="s">
        <v>3600</v>
      </c>
      <c r="D8491" s="1" t="s">
        <v>533</v>
      </c>
      <c r="E8491" s="1" t="s">
        <v>3664</v>
      </c>
      <c r="F8491" s="1" t="s">
        <v>28352</v>
      </c>
      <c r="G8491" s="1" t="s">
        <v>13789</v>
      </c>
      <c r="H8491" s="1" t="s">
        <v>3604</v>
      </c>
      <c r="I8491" s="1" t="s">
        <v>28353</v>
      </c>
      <c r="J8491" s="1" t="s">
        <v>3615</v>
      </c>
      <c r="K8491" s="1" t="s">
        <v>28354</v>
      </c>
      <c r="L8491" s="1"/>
      <c r="M8491" s="1"/>
    </row>
    <row x14ac:dyDescent="0.25" r="8492" customHeight="1" ht="18.75">
      <c r="A8492" s="1" t="s">
        <v>3598</v>
      </c>
      <c r="B8492" s="1" t="s">
        <v>14054</v>
      </c>
      <c r="C8492" s="1" t="s">
        <v>3600</v>
      </c>
      <c r="D8492" s="1" t="s">
        <v>533</v>
      </c>
      <c r="E8492" s="1" t="s">
        <v>3664</v>
      </c>
      <c r="F8492" s="1" t="s">
        <v>28355</v>
      </c>
      <c r="G8492" s="1" t="s">
        <v>16969</v>
      </c>
      <c r="H8492" s="1" t="s">
        <v>3604</v>
      </c>
      <c r="I8492" s="1" t="s">
        <v>28356</v>
      </c>
      <c r="J8492" s="1" t="s">
        <v>3615</v>
      </c>
      <c r="K8492" s="1" t="s">
        <v>28357</v>
      </c>
      <c r="L8492" s="1"/>
      <c r="M8492" s="1"/>
    </row>
    <row x14ac:dyDescent="0.25" r="8493" customHeight="1" ht="18.75">
      <c r="A8493" s="1" t="s">
        <v>3598</v>
      </c>
      <c r="B8493" s="1" t="s">
        <v>14054</v>
      </c>
      <c r="C8493" s="1" t="s">
        <v>3600</v>
      </c>
      <c r="D8493" s="1" t="s">
        <v>533</v>
      </c>
      <c r="E8493" s="1" t="s">
        <v>3664</v>
      </c>
      <c r="F8493" s="1" t="s">
        <v>28358</v>
      </c>
      <c r="G8493" s="1" t="s">
        <v>19654</v>
      </c>
      <c r="H8493" s="1" t="s">
        <v>3604</v>
      </c>
      <c r="I8493" s="1" t="s">
        <v>28359</v>
      </c>
      <c r="J8493" s="1" t="s">
        <v>3615</v>
      </c>
      <c r="K8493" s="1" t="s">
        <v>28360</v>
      </c>
      <c r="L8493" s="1"/>
      <c r="M8493" s="1"/>
    </row>
    <row x14ac:dyDescent="0.25" r="8494" customHeight="1" ht="18.75">
      <c r="A8494" s="1" t="s">
        <v>3598</v>
      </c>
      <c r="B8494" s="1" t="s">
        <v>14054</v>
      </c>
      <c r="C8494" s="1" t="s">
        <v>3600</v>
      </c>
      <c r="D8494" s="1" t="s">
        <v>533</v>
      </c>
      <c r="E8494" s="1" t="s">
        <v>3664</v>
      </c>
      <c r="F8494" s="1" t="s">
        <v>28361</v>
      </c>
      <c r="G8494" s="1" t="s">
        <v>26903</v>
      </c>
      <c r="H8494" s="1" t="s">
        <v>3604</v>
      </c>
      <c r="I8494" s="1" t="s">
        <v>28362</v>
      </c>
      <c r="J8494" s="1" t="s">
        <v>3615</v>
      </c>
      <c r="K8494" s="1" t="s">
        <v>28363</v>
      </c>
      <c r="L8494" s="1"/>
      <c r="M8494" s="1"/>
    </row>
    <row x14ac:dyDescent="0.25" r="8495" customHeight="1" ht="18.75">
      <c r="A8495" s="1" t="s">
        <v>3598</v>
      </c>
      <c r="B8495" s="1" t="s">
        <v>9273</v>
      </c>
      <c r="C8495" s="1" t="s">
        <v>3600</v>
      </c>
      <c r="D8495" s="1" t="s">
        <v>533</v>
      </c>
      <c r="E8495" s="1" t="s">
        <v>3664</v>
      </c>
      <c r="F8495" s="1" t="s">
        <v>28364</v>
      </c>
      <c r="G8495" s="1" t="s">
        <v>20168</v>
      </c>
      <c r="H8495" s="1" t="s">
        <v>3604</v>
      </c>
      <c r="I8495" s="1" t="s">
        <v>28365</v>
      </c>
      <c r="J8495" s="1" t="s">
        <v>3615</v>
      </c>
      <c r="K8495" s="1" t="s">
        <v>28342</v>
      </c>
      <c r="L8495" s="1"/>
      <c r="M8495" s="1"/>
    </row>
    <row x14ac:dyDescent="0.25" r="8496" customHeight="1" ht="18.75">
      <c r="A8496" s="1" t="s">
        <v>3598</v>
      </c>
      <c r="B8496" s="1" t="s">
        <v>5252</v>
      </c>
      <c r="C8496" s="1" t="s">
        <v>3600</v>
      </c>
      <c r="D8496" s="1" t="s">
        <v>533</v>
      </c>
      <c r="E8496" s="1" t="s">
        <v>3664</v>
      </c>
      <c r="F8496" s="1" t="s">
        <v>28366</v>
      </c>
      <c r="G8496" s="1" t="s">
        <v>18416</v>
      </c>
      <c r="H8496" s="1" t="s">
        <v>3604</v>
      </c>
      <c r="I8496" s="1" t="s">
        <v>28367</v>
      </c>
      <c r="J8496" s="1" t="s">
        <v>3615</v>
      </c>
      <c r="K8496" s="1" t="s">
        <v>28357</v>
      </c>
      <c r="L8496" s="1"/>
      <c r="M8496" s="1"/>
    </row>
    <row x14ac:dyDescent="0.25" r="8497" customHeight="1" ht="18.75">
      <c r="A8497" s="1" t="s">
        <v>3598</v>
      </c>
      <c r="B8497" s="1" t="s">
        <v>3751</v>
      </c>
      <c r="C8497" s="1" t="s">
        <v>3600</v>
      </c>
      <c r="D8497" s="1" t="s">
        <v>533</v>
      </c>
      <c r="E8497" s="1" t="s">
        <v>3752</v>
      </c>
      <c r="F8497" s="1" t="s">
        <v>28368</v>
      </c>
      <c r="G8497" s="1" t="s">
        <v>27684</v>
      </c>
      <c r="H8497" s="1" t="s">
        <v>3604</v>
      </c>
      <c r="I8497" s="1" t="s">
        <v>28369</v>
      </c>
      <c r="J8497" s="1" t="s">
        <v>3615</v>
      </c>
      <c r="K8497" s="1" t="s">
        <v>28370</v>
      </c>
      <c r="L8497" s="1"/>
      <c r="M8497" s="1"/>
    </row>
    <row x14ac:dyDescent="0.25" r="8498" customHeight="1" ht="18.75">
      <c r="A8498" s="1" t="s">
        <v>7833</v>
      </c>
      <c r="B8498" s="1" t="s">
        <v>25130</v>
      </c>
      <c r="C8498" s="1" t="s">
        <v>4488</v>
      </c>
      <c r="D8498" s="1" t="s">
        <v>3695</v>
      </c>
      <c r="E8498" s="1" t="s">
        <v>3664</v>
      </c>
      <c r="F8498" s="1" t="s">
        <v>28371</v>
      </c>
      <c r="G8498" s="1" t="s">
        <v>26389</v>
      </c>
      <c r="H8498" s="1" t="s">
        <v>3604</v>
      </c>
      <c r="I8498" s="1" t="s">
        <v>28372</v>
      </c>
      <c r="J8498" s="1" t="s">
        <v>3606</v>
      </c>
      <c r="K8498" s="1" t="s">
        <v>26435</v>
      </c>
      <c r="L8498" s="1"/>
      <c r="M8498" s="1"/>
    </row>
    <row x14ac:dyDescent="0.25" r="8499" customHeight="1" ht="18.75">
      <c r="A8499" s="1" t="s">
        <v>3598</v>
      </c>
      <c r="B8499" s="1" t="s">
        <v>14123</v>
      </c>
      <c r="C8499" s="1" t="s">
        <v>3600</v>
      </c>
      <c r="D8499" s="1" t="s">
        <v>8373</v>
      </c>
      <c r="E8499" s="1" t="s">
        <v>3893</v>
      </c>
      <c r="F8499" s="1" t="s">
        <v>28373</v>
      </c>
      <c r="G8499" s="1" t="s">
        <v>28374</v>
      </c>
      <c r="H8499" s="1" t="s">
        <v>3604</v>
      </c>
      <c r="I8499" s="1" t="s">
        <v>28375</v>
      </c>
      <c r="J8499" s="1" t="s">
        <v>3615</v>
      </c>
      <c r="K8499" s="1" t="s">
        <v>28376</v>
      </c>
      <c r="L8499" s="1"/>
      <c r="M8499" s="1"/>
    </row>
    <row x14ac:dyDescent="0.25" r="8500" customHeight="1" ht="18.75">
      <c r="A8500" s="1" t="s">
        <v>7833</v>
      </c>
      <c r="B8500" s="1" t="s">
        <v>25130</v>
      </c>
      <c r="C8500" s="1" t="s">
        <v>4488</v>
      </c>
      <c r="D8500" s="1" t="s">
        <v>3695</v>
      </c>
      <c r="E8500" s="1" t="s">
        <v>3664</v>
      </c>
      <c r="F8500" s="1" t="s">
        <v>28377</v>
      </c>
      <c r="G8500" s="1" t="s">
        <v>26389</v>
      </c>
      <c r="H8500" s="1" t="s">
        <v>3604</v>
      </c>
      <c r="I8500" s="1" t="s">
        <v>28378</v>
      </c>
      <c r="J8500" s="1" t="s">
        <v>3615</v>
      </c>
      <c r="K8500" s="1" t="s">
        <v>26429</v>
      </c>
      <c r="L8500" s="1"/>
      <c r="M8500" s="1"/>
    </row>
    <row x14ac:dyDescent="0.25" r="8501" customHeight="1" ht="18.75">
      <c r="A8501" s="1" t="s">
        <v>3598</v>
      </c>
      <c r="B8501" s="1" t="s">
        <v>14123</v>
      </c>
      <c r="C8501" s="1" t="s">
        <v>3600</v>
      </c>
      <c r="D8501" s="1" t="s">
        <v>8373</v>
      </c>
      <c r="E8501" s="1" t="s">
        <v>3893</v>
      </c>
      <c r="F8501" s="1" t="s">
        <v>28379</v>
      </c>
      <c r="G8501" s="1" t="s">
        <v>28374</v>
      </c>
      <c r="H8501" s="1" t="s">
        <v>3604</v>
      </c>
      <c r="I8501" s="1" t="s">
        <v>28380</v>
      </c>
      <c r="J8501" s="1" t="s">
        <v>3615</v>
      </c>
      <c r="K8501" s="1" t="s">
        <v>28381</v>
      </c>
      <c r="L8501" s="1"/>
      <c r="M8501" s="1"/>
    </row>
    <row x14ac:dyDescent="0.25" r="8502" customHeight="1" ht="18.75">
      <c r="A8502" s="1" t="s">
        <v>7833</v>
      </c>
      <c r="B8502" s="1" t="s">
        <v>25130</v>
      </c>
      <c r="C8502" s="1" t="s">
        <v>4488</v>
      </c>
      <c r="D8502" s="1" t="s">
        <v>3695</v>
      </c>
      <c r="E8502" s="1" t="s">
        <v>3664</v>
      </c>
      <c r="F8502" s="1" t="s">
        <v>28382</v>
      </c>
      <c r="G8502" s="1" t="s">
        <v>26389</v>
      </c>
      <c r="H8502" s="1" t="s">
        <v>3604</v>
      </c>
      <c r="I8502" s="1" t="s">
        <v>28383</v>
      </c>
      <c r="J8502" s="1" t="s">
        <v>3615</v>
      </c>
      <c r="K8502" s="1" t="s">
        <v>26432</v>
      </c>
      <c r="L8502" s="1"/>
      <c r="M8502" s="1"/>
    </row>
    <row x14ac:dyDescent="0.25" r="8503" customHeight="1" ht="18.75">
      <c r="A8503" s="1" t="s">
        <v>3598</v>
      </c>
      <c r="B8503" s="1" t="s">
        <v>14123</v>
      </c>
      <c r="C8503" s="1" t="s">
        <v>3600</v>
      </c>
      <c r="D8503" s="1" t="s">
        <v>8373</v>
      </c>
      <c r="E8503" s="1" t="s">
        <v>3893</v>
      </c>
      <c r="F8503" s="1" t="s">
        <v>28384</v>
      </c>
      <c r="G8503" s="1" t="s">
        <v>28374</v>
      </c>
      <c r="H8503" s="1" t="s">
        <v>3604</v>
      </c>
      <c r="I8503" s="1" t="s">
        <v>28385</v>
      </c>
      <c r="J8503" s="1" t="s">
        <v>3615</v>
      </c>
      <c r="K8503" s="1" t="s">
        <v>28386</v>
      </c>
      <c r="L8503" s="1"/>
      <c r="M8503" s="1"/>
    </row>
    <row x14ac:dyDescent="0.25" r="8504" customHeight="1" ht="18.75">
      <c r="A8504" s="1" t="s">
        <v>3598</v>
      </c>
      <c r="B8504" s="1" t="s">
        <v>3663</v>
      </c>
      <c r="C8504" s="1" t="s">
        <v>3600</v>
      </c>
      <c r="D8504" s="1" t="s">
        <v>8373</v>
      </c>
      <c r="E8504" s="1" t="s">
        <v>3664</v>
      </c>
      <c r="F8504" s="1" t="s">
        <v>28387</v>
      </c>
      <c r="G8504" s="1" t="s">
        <v>16528</v>
      </c>
      <c r="H8504" s="1" t="s">
        <v>3604</v>
      </c>
      <c r="I8504" s="1" t="s">
        <v>28388</v>
      </c>
      <c r="J8504" s="1" t="s">
        <v>3615</v>
      </c>
      <c r="K8504" s="1" t="s">
        <v>28389</v>
      </c>
      <c r="L8504" s="1"/>
      <c r="M8504" s="1"/>
    </row>
    <row x14ac:dyDescent="0.25" r="8505" customHeight="1" ht="18.75">
      <c r="A8505" s="1" t="s">
        <v>7833</v>
      </c>
      <c r="B8505" s="1" t="s">
        <v>8178</v>
      </c>
      <c r="C8505" s="1" t="s">
        <v>3619</v>
      </c>
      <c r="D8505" s="1" t="s">
        <v>3695</v>
      </c>
      <c r="E8505" s="1" t="s">
        <v>3664</v>
      </c>
      <c r="F8505" s="1" t="s">
        <v>28390</v>
      </c>
      <c r="G8505" s="1" t="s">
        <v>26427</v>
      </c>
      <c r="H8505" s="1" t="s">
        <v>3604</v>
      </c>
      <c r="I8505" s="1" t="s">
        <v>28391</v>
      </c>
      <c r="J8505" s="1" t="s">
        <v>3615</v>
      </c>
      <c r="K8505" s="1" t="s">
        <v>26429</v>
      </c>
      <c r="L8505" s="1"/>
      <c r="M8505" s="1"/>
    </row>
    <row x14ac:dyDescent="0.25" r="8506" customHeight="1" ht="18.75">
      <c r="A8506" s="1" t="s">
        <v>3598</v>
      </c>
      <c r="B8506" s="1" t="s">
        <v>3663</v>
      </c>
      <c r="C8506" s="1" t="s">
        <v>3600</v>
      </c>
      <c r="D8506" s="1" t="s">
        <v>8373</v>
      </c>
      <c r="E8506" s="1" t="s">
        <v>3664</v>
      </c>
      <c r="F8506" s="1" t="s">
        <v>28392</v>
      </c>
      <c r="G8506" s="1" t="s">
        <v>16528</v>
      </c>
      <c r="H8506" s="1" t="s">
        <v>3604</v>
      </c>
      <c r="I8506" s="1" t="s">
        <v>28393</v>
      </c>
      <c r="J8506" s="1" t="s">
        <v>3615</v>
      </c>
      <c r="K8506" s="1" t="s">
        <v>28394</v>
      </c>
      <c r="L8506" s="1"/>
      <c r="M8506" s="1"/>
    </row>
    <row x14ac:dyDescent="0.25" r="8507" customHeight="1" ht="18.75">
      <c r="A8507" s="1" t="s">
        <v>7833</v>
      </c>
      <c r="B8507" s="1" t="s">
        <v>8178</v>
      </c>
      <c r="C8507" s="1" t="s">
        <v>3619</v>
      </c>
      <c r="D8507" s="1" t="s">
        <v>3695</v>
      </c>
      <c r="E8507" s="1" t="s">
        <v>3664</v>
      </c>
      <c r="F8507" s="1" t="s">
        <v>28395</v>
      </c>
      <c r="G8507" s="1" t="s">
        <v>26427</v>
      </c>
      <c r="H8507" s="1" t="s">
        <v>3604</v>
      </c>
      <c r="I8507" s="1" t="s">
        <v>28396</v>
      </c>
      <c r="J8507" s="1" t="s">
        <v>3615</v>
      </c>
      <c r="K8507" s="1" t="s">
        <v>26435</v>
      </c>
      <c r="L8507" s="1"/>
      <c r="M8507" s="1"/>
    </row>
    <row x14ac:dyDescent="0.25" r="8508" customHeight="1" ht="18.75">
      <c r="A8508" s="1" t="s">
        <v>3598</v>
      </c>
      <c r="B8508" s="1" t="s">
        <v>3663</v>
      </c>
      <c r="C8508" s="1" t="s">
        <v>3600</v>
      </c>
      <c r="D8508" s="1" t="s">
        <v>8373</v>
      </c>
      <c r="E8508" s="1" t="s">
        <v>3664</v>
      </c>
      <c r="F8508" s="1" t="s">
        <v>28397</v>
      </c>
      <c r="G8508" s="1" t="s">
        <v>16528</v>
      </c>
      <c r="H8508" s="1" t="s">
        <v>3604</v>
      </c>
      <c r="I8508" s="1" t="s">
        <v>28398</v>
      </c>
      <c r="J8508" s="1" t="s">
        <v>3615</v>
      </c>
      <c r="K8508" s="1" t="s">
        <v>28399</v>
      </c>
      <c r="L8508" s="1"/>
      <c r="M8508" s="1"/>
    </row>
    <row x14ac:dyDescent="0.25" r="8509" customHeight="1" ht="18.75">
      <c r="A8509" s="1" t="s">
        <v>7833</v>
      </c>
      <c r="B8509" s="1" t="s">
        <v>8178</v>
      </c>
      <c r="C8509" s="1" t="s">
        <v>3619</v>
      </c>
      <c r="D8509" s="1" t="s">
        <v>3695</v>
      </c>
      <c r="E8509" s="1" t="s">
        <v>3664</v>
      </c>
      <c r="F8509" s="1" t="s">
        <v>28400</v>
      </c>
      <c r="G8509" s="1" t="s">
        <v>26427</v>
      </c>
      <c r="H8509" s="1" t="s">
        <v>3604</v>
      </c>
      <c r="I8509" s="1" t="s">
        <v>28401</v>
      </c>
      <c r="J8509" s="1" t="s">
        <v>3615</v>
      </c>
      <c r="K8509" s="1" t="s">
        <v>26432</v>
      </c>
      <c r="L8509" s="1"/>
      <c r="M8509" s="1"/>
    </row>
    <row x14ac:dyDescent="0.25" r="8510" customHeight="1" ht="18.75">
      <c r="A8510" s="1" t="s">
        <v>3598</v>
      </c>
      <c r="B8510" s="1" t="s">
        <v>4627</v>
      </c>
      <c r="C8510" s="1" t="s">
        <v>3600</v>
      </c>
      <c r="D8510" s="1" t="s">
        <v>8373</v>
      </c>
      <c r="E8510" s="1" t="s">
        <v>3664</v>
      </c>
      <c r="F8510" s="1" t="s">
        <v>28402</v>
      </c>
      <c r="G8510" s="1" t="s">
        <v>21969</v>
      </c>
      <c r="H8510" s="1" t="s">
        <v>3604</v>
      </c>
      <c r="I8510" s="1" t="s">
        <v>28403</v>
      </c>
      <c r="J8510" s="1" t="s">
        <v>3615</v>
      </c>
      <c r="K8510" s="1" t="s">
        <v>28404</v>
      </c>
      <c r="L8510" s="1"/>
      <c r="M8510" s="1"/>
    </row>
    <row x14ac:dyDescent="0.25" r="8511" customHeight="1" ht="18.75">
      <c r="A8511" s="1" t="s">
        <v>7833</v>
      </c>
      <c r="B8511" s="1" t="s">
        <v>8095</v>
      </c>
      <c r="C8511" s="1" t="s">
        <v>4488</v>
      </c>
      <c r="D8511" s="1" t="s">
        <v>3695</v>
      </c>
      <c r="E8511" s="1" t="s">
        <v>8096</v>
      </c>
      <c r="F8511" s="1" t="s">
        <v>28405</v>
      </c>
      <c r="G8511" s="1" t="s">
        <v>8170</v>
      </c>
      <c r="H8511" s="1" t="s">
        <v>3604</v>
      </c>
      <c r="I8511" s="1" t="s">
        <v>28406</v>
      </c>
      <c r="J8511" s="1" t="s">
        <v>3615</v>
      </c>
      <c r="K8511" s="1" t="s">
        <v>26435</v>
      </c>
      <c r="L8511" s="1"/>
      <c r="M8511" s="1"/>
    </row>
    <row x14ac:dyDescent="0.25" r="8512" customHeight="1" ht="18.75">
      <c r="A8512" s="1" t="s">
        <v>7833</v>
      </c>
      <c r="B8512" s="1" t="s">
        <v>8095</v>
      </c>
      <c r="C8512" s="1" t="s">
        <v>4488</v>
      </c>
      <c r="D8512" s="1" t="s">
        <v>3695</v>
      </c>
      <c r="E8512" s="1" t="s">
        <v>8096</v>
      </c>
      <c r="F8512" s="1" t="s">
        <v>28407</v>
      </c>
      <c r="G8512" s="1" t="s">
        <v>8097</v>
      </c>
      <c r="H8512" s="1" t="s">
        <v>3604</v>
      </c>
      <c r="I8512" s="1" t="s">
        <v>28408</v>
      </c>
      <c r="J8512" s="1" t="s">
        <v>3615</v>
      </c>
      <c r="K8512" s="1" t="s">
        <v>26429</v>
      </c>
      <c r="L8512" s="1"/>
      <c r="M8512" s="1"/>
    </row>
    <row x14ac:dyDescent="0.25" r="8513" customHeight="1" ht="18.75">
      <c r="A8513" s="1" t="s">
        <v>7833</v>
      </c>
      <c r="B8513" s="1" t="s">
        <v>8095</v>
      </c>
      <c r="C8513" s="1" t="s">
        <v>4488</v>
      </c>
      <c r="D8513" s="1" t="s">
        <v>3695</v>
      </c>
      <c r="E8513" s="1" t="s">
        <v>8096</v>
      </c>
      <c r="F8513" s="1" t="s">
        <v>28409</v>
      </c>
      <c r="G8513" s="1" t="s">
        <v>8097</v>
      </c>
      <c r="H8513" s="1" t="s">
        <v>3604</v>
      </c>
      <c r="I8513" s="1" t="s">
        <v>28410</v>
      </c>
      <c r="J8513" s="1" t="s">
        <v>3615</v>
      </c>
      <c r="K8513" s="1" t="s">
        <v>26435</v>
      </c>
      <c r="L8513" s="1"/>
      <c r="M8513" s="1"/>
    </row>
    <row x14ac:dyDescent="0.25" r="8514" customHeight="1" ht="18.75">
      <c r="A8514" s="1" t="s">
        <v>7833</v>
      </c>
      <c r="B8514" s="1" t="s">
        <v>8095</v>
      </c>
      <c r="C8514" s="1" t="s">
        <v>4488</v>
      </c>
      <c r="D8514" s="1" t="s">
        <v>3695</v>
      </c>
      <c r="E8514" s="1" t="s">
        <v>8096</v>
      </c>
      <c r="F8514" s="1" t="s">
        <v>28411</v>
      </c>
      <c r="G8514" s="1" t="s">
        <v>9085</v>
      </c>
      <c r="H8514" s="1" t="s">
        <v>3604</v>
      </c>
      <c r="I8514" s="1" t="s">
        <v>28412</v>
      </c>
      <c r="J8514" s="1" t="s">
        <v>3615</v>
      </c>
      <c r="K8514" s="1" t="s">
        <v>26435</v>
      </c>
      <c r="L8514" s="1"/>
      <c r="M8514" s="1"/>
    </row>
    <row x14ac:dyDescent="0.25" r="8515" customHeight="1" ht="18.75">
      <c r="A8515" s="1" t="s">
        <v>3598</v>
      </c>
      <c r="B8515" s="1" t="s">
        <v>4627</v>
      </c>
      <c r="C8515" s="1" t="s">
        <v>3600</v>
      </c>
      <c r="D8515" s="1" t="s">
        <v>8373</v>
      </c>
      <c r="E8515" s="1" t="s">
        <v>3664</v>
      </c>
      <c r="F8515" s="1" t="s">
        <v>28413</v>
      </c>
      <c r="G8515" s="1" t="s">
        <v>21969</v>
      </c>
      <c r="H8515" s="1" t="s">
        <v>3604</v>
      </c>
      <c r="I8515" s="1" t="s">
        <v>28414</v>
      </c>
      <c r="J8515" s="1" t="s">
        <v>3615</v>
      </c>
      <c r="K8515" s="1" t="s">
        <v>28415</v>
      </c>
      <c r="L8515" s="1"/>
      <c r="M8515" s="1"/>
    </row>
    <row x14ac:dyDescent="0.25" r="8516" customHeight="1" ht="18.75">
      <c r="A8516" s="1" t="s">
        <v>7833</v>
      </c>
      <c r="B8516" s="1" t="s">
        <v>8095</v>
      </c>
      <c r="C8516" s="1" t="s">
        <v>4488</v>
      </c>
      <c r="D8516" s="1" t="s">
        <v>3695</v>
      </c>
      <c r="E8516" s="1" t="s">
        <v>8096</v>
      </c>
      <c r="F8516" s="1" t="s">
        <v>28416</v>
      </c>
      <c r="G8516" s="1" t="s">
        <v>9085</v>
      </c>
      <c r="H8516" s="1" t="s">
        <v>3604</v>
      </c>
      <c r="I8516" s="1" t="s">
        <v>28417</v>
      </c>
      <c r="J8516" s="1" t="s">
        <v>3615</v>
      </c>
      <c r="K8516" s="1" t="s">
        <v>26429</v>
      </c>
      <c r="L8516" s="1"/>
      <c r="M8516" s="1"/>
    </row>
    <row x14ac:dyDescent="0.25" r="8517" customHeight="1" ht="18.75">
      <c r="A8517" s="1" t="s">
        <v>3598</v>
      </c>
      <c r="B8517" s="1" t="s">
        <v>15557</v>
      </c>
      <c r="C8517" s="1" t="s">
        <v>3600</v>
      </c>
      <c r="D8517" s="1" t="s">
        <v>8373</v>
      </c>
      <c r="E8517" s="1" t="s">
        <v>3981</v>
      </c>
      <c r="F8517" s="1" t="s">
        <v>28418</v>
      </c>
      <c r="G8517" s="1" t="s">
        <v>26528</v>
      </c>
      <c r="H8517" s="1" t="s">
        <v>3604</v>
      </c>
      <c r="I8517" s="1" t="s">
        <v>28419</v>
      </c>
      <c r="J8517" s="1" t="s">
        <v>3615</v>
      </c>
      <c r="K8517" s="1" t="s">
        <v>28420</v>
      </c>
      <c r="L8517" s="1"/>
      <c r="M8517" s="1"/>
    </row>
    <row x14ac:dyDescent="0.25" r="8518" customHeight="1" ht="18.75">
      <c r="A8518" s="1" t="s">
        <v>7833</v>
      </c>
      <c r="B8518" s="1" t="s">
        <v>8095</v>
      </c>
      <c r="C8518" s="1" t="s">
        <v>4488</v>
      </c>
      <c r="D8518" s="1" t="s">
        <v>3695</v>
      </c>
      <c r="E8518" s="1" t="s">
        <v>8096</v>
      </c>
      <c r="F8518" s="1" t="s">
        <v>28421</v>
      </c>
      <c r="G8518" s="1" t="s">
        <v>9085</v>
      </c>
      <c r="H8518" s="1" t="s">
        <v>3604</v>
      </c>
      <c r="I8518" s="1" t="s">
        <v>28422</v>
      </c>
      <c r="J8518" s="1" t="s">
        <v>3615</v>
      </c>
      <c r="K8518" s="1" t="s">
        <v>26432</v>
      </c>
      <c r="L8518" s="1"/>
      <c r="M8518" s="1"/>
    </row>
    <row x14ac:dyDescent="0.25" r="8519" customHeight="1" ht="18.75">
      <c r="A8519" s="1" t="s">
        <v>3598</v>
      </c>
      <c r="B8519" s="1" t="s">
        <v>15557</v>
      </c>
      <c r="C8519" s="1" t="s">
        <v>3600</v>
      </c>
      <c r="D8519" s="1" t="s">
        <v>8373</v>
      </c>
      <c r="E8519" s="1" t="s">
        <v>3981</v>
      </c>
      <c r="F8519" s="1" t="s">
        <v>28423</v>
      </c>
      <c r="G8519" s="1" t="s">
        <v>26528</v>
      </c>
      <c r="H8519" s="1" t="s">
        <v>3604</v>
      </c>
      <c r="I8519" s="1" t="s">
        <v>28424</v>
      </c>
      <c r="J8519" s="1" t="s">
        <v>3615</v>
      </c>
      <c r="K8519" s="1" t="s">
        <v>28425</v>
      </c>
      <c r="L8519" s="1"/>
      <c r="M8519" s="1"/>
    </row>
    <row x14ac:dyDescent="0.25" r="8520" customHeight="1" ht="18.75">
      <c r="A8520" s="1" t="s">
        <v>7833</v>
      </c>
      <c r="B8520" s="1" t="s">
        <v>8095</v>
      </c>
      <c r="C8520" s="1" t="s">
        <v>4488</v>
      </c>
      <c r="D8520" s="1" t="s">
        <v>3695</v>
      </c>
      <c r="E8520" s="1" t="s">
        <v>8096</v>
      </c>
      <c r="F8520" s="1" t="s">
        <v>28426</v>
      </c>
      <c r="G8520" s="1" t="s">
        <v>8170</v>
      </c>
      <c r="H8520" s="1" t="s">
        <v>3604</v>
      </c>
      <c r="I8520" s="1" t="s">
        <v>28427</v>
      </c>
      <c r="J8520" s="1" t="s">
        <v>3615</v>
      </c>
      <c r="K8520" s="1" t="s">
        <v>26432</v>
      </c>
      <c r="L8520" s="1"/>
      <c r="M8520" s="1"/>
    </row>
    <row x14ac:dyDescent="0.25" r="8521" customHeight="1" ht="18.75">
      <c r="A8521" s="1" t="s">
        <v>3598</v>
      </c>
      <c r="B8521" s="1" t="s">
        <v>3663</v>
      </c>
      <c r="C8521" s="1" t="s">
        <v>3600</v>
      </c>
      <c r="D8521" s="1" t="s">
        <v>28428</v>
      </c>
      <c r="E8521" s="1" t="s">
        <v>3664</v>
      </c>
      <c r="F8521" s="1" t="s">
        <v>28429</v>
      </c>
      <c r="G8521" s="1" t="s">
        <v>8346</v>
      </c>
      <c r="H8521" s="1" t="s">
        <v>3604</v>
      </c>
      <c r="I8521" s="1" t="s">
        <v>28430</v>
      </c>
      <c r="J8521" s="1" t="s">
        <v>3615</v>
      </c>
      <c r="K8521" s="1" t="s">
        <v>28431</v>
      </c>
      <c r="L8521" s="1"/>
      <c r="M8521" s="1"/>
    </row>
    <row x14ac:dyDescent="0.25" r="8522" customHeight="1" ht="18.75">
      <c r="A8522" s="1" t="s">
        <v>7833</v>
      </c>
      <c r="B8522" s="1" t="s">
        <v>8095</v>
      </c>
      <c r="C8522" s="1" t="s">
        <v>4488</v>
      </c>
      <c r="D8522" s="1" t="s">
        <v>3695</v>
      </c>
      <c r="E8522" s="1" t="s">
        <v>8096</v>
      </c>
      <c r="F8522" s="1" t="s">
        <v>28432</v>
      </c>
      <c r="G8522" s="1" t="s">
        <v>8097</v>
      </c>
      <c r="H8522" s="1" t="s">
        <v>3604</v>
      </c>
      <c r="I8522" s="1" t="s">
        <v>28433</v>
      </c>
      <c r="J8522" s="1" t="s">
        <v>3615</v>
      </c>
      <c r="K8522" s="1" t="s">
        <v>26432</v>
      </c>
      <c r="L8522" s="1"/>
      <c r="M8522" s="1"/>
    </row>
    <row x14ac:dyDescent="0.25" r="8523" customHeight="1" ht="18.75">
      <c r="A8523" s="1" t="s">
        <v>7833</v>
      </c>
      <c r="B8523" s="1" t="s">
        <v>8095</v>
      </c>
      <c r="C8523" s="1" t="s">
        <v>4488</v>
      </c>
      <c r="D8523" s="1" t="s">
        <v>3695</v>
      </c>
      <c r="E8523" s="1" t="s">
        <v>8096</v>
      </c>
      <c r="F8523" s="1" t="s">
        <v>28434</v>
      </c>
      <c r="G8523" s="1" t="s">
        <v>8170</v>
      </c>
      <c r="H8523" s="1" t="s">
        <v>3604</v>
      </c>
      <c r="I8523" s="1" t="s">
        <v>28435</v>
      </c>
      <c r="J8523" s="1" t="s">
        <v>3615</v>
      </c>
      <c r="K8523" s="1" t="s">
        <v>26429</v>
      </c>
      <c r="L8523" s="1"/>
      <c r="M8523" s="1"/>
    </row>
    <row x14ac:dyDescent="0.25" r="8524" customHeight="1" ht="18.75">
      <c r="A8524" s="1" t="s">
        <v>7833</v>
      </c>
      <c r="B8524" s="1" t="s">
        <v>8258</v>
      </c>
      <c r="C8524" s="1" t="s">
        <v>4488</v>
      </c>
      <c r="D8524" s="1" t="s">
        <v>3695</v>
      </c>
      <c r="E8524" s="1" t="s">
        <v>3664</v>
      </c>
      <c r="F8524" s="1" t="s">
        <v>28436</v>
      </c>
      <c r="G8524" s="1" t="s">
        <v>8260</v>
      </c>
      <c r="H8524" s="1" t="s">
        <v>3604</v>
      </c>
      <c r="I8524" s="1" t="s">
        <v>28437</v>
      </c>
      <c r="J8524" s="1" t="s">
        <v>3615</v>
      </c>
      <c r="K8524" s="1" t="s">
        <v>26429</v>
      </c>
      <c r="L8524" s="1"/>
      <c r="M8524" s="1"/>
    </row>
    <row x14ac:dyDescent="0.25" r="8525" customHeight="1" ht="18.75">
      <c r="A8525" s="1" t="s">
        <v>7833</v>
      </c>
      <c r="B8525" s="1" t="s">
        <v>8258</v>
      </c>
      <c r="C8525" s="1" t="s">
        <v>4488</v>
      </c>
      <c r="D8525" s="1" t="s">
        <v>3695</v>
      </c>
      <c r="E8525" s="1" t="s">
        <v>3664</v>
      </c>
      <c r="F8525" s="1" t="s">
        <v>28438</v>
      </c>
      <c r="G8525" s="1" t="s">
        <v>8260</v>
      </c>
      <c r="H8525" s="1" t="s">
        <v>3604</v>
      </c>
      <c r="I8525" s="1" t="s">
        <v>28439</v>
      </c>
      <c r="J8525" s="1" t="s">
        <v>3615</v>
      </c>
      <c r="K8525" s="1" t="s">
        <v>26432</v>
      </c>
      <c r="L8525" s="1"/>
      <c r="M8525" s="1"/>
    </row>
    <row x14ac:dyDescent="0.25" r="8526" customHeight="1" ht="18.75">
      <c r="A8526" s="1" t="s">
        <v>7833</v>
      </c>
      <c r="B8526" s="1" t="s">
        <v>8258</v>
      </c>
      <c r="C8526" s="1" t="s">
        <v>4488</v>
      </c>
      <c r="D8526" s="1" t="s">
        <v>3695</v>
      </c>
      <c r="E8526" s="1" t="s">
        <v>3664</v>
      </c>
      <c r="F8526" s="1" t="s">
        <v>28440</v>
      </c>
      <c r="G8526" s="1" t="s">
        <v>26345</v>
      </c>
      <c r="H8526" s="1" t="s">
        <v>3604</v>
      </c>
      <c r="I8526" s="1" t="s">
        <v>28441</v>
      </c>
      <c r="J8526" s="1" t="s">
        <v>3615</v>
      </c>
      <c r="K8526" s="1" t="s">
        <v>26432</v>
      </c>
      <c r="L8526" s="1"/>
      <c r="M8526" s="1"/>
    </row>
    <row x14ac:dyDescent="0.25" r="8527" customHeight="1" ht="18.75">
      <c r="A8527" s="1" t="s">
        <v>7833</v>
      </c>
      <c r="B8527" s="1" t="s">
        <v>8258</v>
      </c>
      <c r="C8527" s="1" t="s">
        <v>4488</v>
      </c>
      <c r="D8527" s="1" t="s">
        <v>3695</v>
      </c>
      <c r="E8527" s="1" t="s">
        <v>3664</v>
      </c>
      <c r="F8527" s="1" t="s">
        <v>28442</v>
      </c>
      <c r="G8527" s="1" t="s">
        <v>26345</v>
      </c>
      <c r="H8527" s="1" t="s">
        <v>3604</v>
      </c>
      <c r="I8527" s="1" t="s">
        <v>28443</v>
      </c>
      <c r="J8527" s="1" t="s">
        <v>3615</v>
      </c>
      <c r="K8527" s="1" t="s">
        <v>26435</v>
      </c>
      <c r="L8527" s="1"/>
      <c r="M8527" s="1"/>
    </row>
    <row x14ac:dyDescent="0.25" r="8528" customHeight="1" ht="18.75">
      <c r="A8528" s="1" t="s">
        <v>7833</v>
      </c>
      <c r="B8528" s="1" t="s">
        <v>8258</v>
      </c>
      <c r="C8528" s="1" t="s">
        <v>4488</v>
      </c>
      <c r="D8528" s="1" t="s">
        <v>3695</v>
      </c>
      <c r="E8528" s="1" t="s">
        <v>3664</v>
      </c>
      <c r="F8528" s="1" t="s">
        <v>28444</v>
      </c>
      <c r="G8528" s="1" t="s">
        <v>26345</v>
      </c>
      <c r="H8528" s="1" t="s">
        <v>3604</v>
      </c>
      <c r="I8528" s="1" t="s">
        <v>28445</v>
      </c>
      <c r="J8528" s="1" t="s">
        <v>3615</v>
      </c>
      <c r="K8528" s="1" t="s">
        <v>26429</v>
      </c>
      <c r="L8528" s="1"/>
      <c r="M8528" s="1"/>
    </row>
    <row x14ac:dyDescent="0.25" r="8529" customHeight="1" ht="18.75">
      <c r="A8529" s="1" t="s">
        <v>3598</v>
      </c>
      <c r="B8529" s="1" t="s">
        <v>17075</v>
      </c>
      <c r="C8529" s="1" t="s">
        <v>3600</v>
      </c>
      <c r="D8529" s="1" t="s">
        <v>28428</v>
      </c>
      <c r="E8529" s="1" t="s">
        <v>3664</v>
      </c>
      <c r="F8529" s="1" t="s">
        <v>28446</v>
      </c>
      <c r="G8529" s="1" t="s">
        <v>28447</v>
      </c>
      <c r="H8529" s="1" t="s">
        <v>3604</v>
      </c>
      <c r="I8529" s="1" t="s">
        <v>28448</v>
      </c>
      <c r="J8529" s="1" t="s">
        <v>3615</v>
      </c>
      <c r="K8529" s="1" t="s">
        <v>28449</v>
      </c>
      <c r="L8529" s="1"/>
      <c r="M8529" s="1"/>
    </row>
    <row x14ac:dyDescent="0.25" r="8530" customHeight="1" ht="18.75">
      <c r="A8530" s="1" t="s">
        <v>3598</v>
      </c>
      <c r="B8530" s="1" t="s">
        <v>5256</v>
      </c>
      <c r="C8530" s="1" t="s">
        <v>3600</v>
      </c>
      <c r="D8530" s="1" t="s">
        <v>28428</v>
      </c>
      <c r="E8530" s="1" t="s">
        <v>3664</v>
      </c>
      <c r="F8530" s="1" t="s">
        <v>28450</v>
      </c>
      <c r="G8530" s="1" t="s">
        <v>18482</v>
      </c>
      <c r="H8530" s="1" t="s">
        <v>3604</v>
      </c>
      <c r="I8530" s="1" t="s">
        <v>28451</v>
      </c>
      <c r="J8530" s="1" t="s">
        <v>3615</v>
      </c>
      <c r="K8530" s="1" t="s">
        <v>28452</v>
      </c>
      <c r="L8530" s="1"/>
      <c r="M8530" s="1"/>
    </row>
    <row x14ac:dyDescent="0.25" r="8531" customHeight="1" ht="18.75">
      <c r="A8531" s="1" t="s">
        <v>3598</v>
      </c>
      <c r="B8531" s="1" t="s">
        <v>3814</v>
      </c>
      <c r="C8531" s="1" t="s">
        <v>3600</v>
      </c>
      <c r="D8531" s="1" t="s">
        <v>28428</v>
      </c>
      <c r="E8531" s="1" t="s">
        <v>3664</v>
      </c>
      <c r="F8531" s="1" t="s">
        <v>28453</v>
      </c>
      <c r="G8531" s="1" t="s">
        <v>16117</v>
      </c>
      <c r="H8531" s="1" t="s">
        <v>3604</v>
      </c>
      <c r="I8531" s="1" t="s">
        <v>28454</v>
      </c>
      <c r="J8531" s="1" t="s">
        <v>3615</v>
      </c>
      <c r="K8531" s="1" t="s">
        <v>28455</v>
      </c>
      <c r="L8531" s="1"/>
      <c r="M8531" s="1"/>
    </row>
    <row x14ac:dyDescent="0.25" r="8532" customHeight="1" ht="18.75">
      <c r="A8532" s="1" t="s">
        <v>3598</v>
      </c>
      <c r="B8532" s="1" t="s">
        <v>4273</v>
      </c>
      <c r="C8532" s="1" t="s">
        <v>3600</v>
      </c>
      <c r="D8532" s="1" t="s">
        <v>28428</v>
      </c>
      <c r="E8532" s="1" t="s">
        <v>3664</v>
      </c>
      <c r="F8532" s="1" t="s">
        <v>28456</v>
      </c>
      <c r="G8532" s="1" t="s">
        <v>16620</v>
      </c>
      <c r="H8532" s="1" t="s">
        <v>3604</v>
      </c>
      <c r="I8532" s="1" t="s">
        <v>28457</v>
      </c>
      <c r="J8532" s="1" t="s">
        <v>3615</v>
      </c>
      <c r="K8532" s="1" t="s">
        <v>28458</v>
      </c>
      <c r="L8532" s="1"/>
      <c r="M8532" s="1"/>
    </row>
    <row x14ac:dyDescent="0.25" r="8533" customHeight="1" ht="18.75">
      <c r="A8533" s="1" t="s">
        <v>3598</v>
      </c>
      <c r="B8533" s="1" t="s">
        <v>4689</v>
      </c>
      <c r="C8533" s="1" t="s">
        <v>3600</v>
      </c>
      <c r="D8533" s="1" t="s">
        <v>28428</v>
      </c>
      <c r="E8533" s="1" t="s">
        <v>3664</v>
      </c>
      <c r="F8533" s="1" t="s">
        <v>28459</v>
      </c>
      <c r="G8533" s="1" t="s">
        <v>16094</v>
      </c>
      <c r="H8533" s="1" t="s">
        <v>3604</v>
      </c>
      <c r="I8533" s="1" t="s">
        <v>28460</v>
      </c>
      <c r="J8533" s="1" t="s">
        <v>3615</v>
      </c>
      <c r="K8533" s="1" t="s">
        <v>28461</v>
      </c>
      <c r="L8533" s="1"/>
      <c r="M8533" s="1"/>
    </row>
    <row x14ac:dyDescent="0.25" r="8534" customHeight="1" ht="18.75">
      <c r="A8534" s="1" t="s">
        <v>3598</v>
      </c>
      <c r="B8534" s="1" t="s">
        <v>4689</v>
      </c>
      <c r="C8534" s="1" t="s">
        <v>3600</v>
      </c>
      <c r="D8534" s="1" t="s">
        <v>28428</v>
      </c>
      <c r="E8534" s="1" t="s">
        <v>3664</v>
      </c>
      <c r="F8534" s="1" t="s">
        <v>28462</v>
      </c>
      <c r="G8534" s="1" t="s">
        <v>20841</v>
      </c>
      <c r="H8534" s="1" t="s">
        <v>3604</v>
      </c>
      <c r="I8534" s="1" t="s">
        <v>28463</v>
      </c>
      <c r="J8534" s="1" t="s">
        <v>3615</v>
      </c>
      <c r="K8534" s="1" t="s">
        <v>28464</v>
      </c>
      <c r="L8534" s="1"/>
      <c r="M8534" s="1"/>
    </row>
    <row x14ac:dyDescent="0.25" r="8535" customHeight="1" ht="18.75">
      <c r="A8535" s="1" t="s">
        <v>3598</v>
      </c>
      <c r="B8535" s="1" t="s">
        <v>4689</v>
      </c>
      <c r="C8535" s="1" t="s">
        <v>3600</v>
      </c>
      <c r="D8535" s="1" t="s">
        <v>28428</v>
      </c>
      <c r="E8535" s="1" t="s">
        <v>3664</v>
      </c>
      <c r="F8535" s="1" t="s">
        <v>28465</v>
      </c>
      <c r="G8535" s="1" t="s">
        <v>28466</v>
      </c>
      <c r="H8535" s="1" t="s">
        <v>3604</v>
      </c>
      <c r="I8535" s="1" t="s">
        <v>28467</v>
      </c>
      <c r="J8535" s="1" t="s">
        <v>3615</v>
      </c>
      <c r="K8535" s="1" t="s">
        <v>28468</v>
      </c>
      <c r="L8535" s="1"/>
      <c r="M8535" s="1"/>
    </row>
    <row x14ac:dyDescent="0.25" r="8536" customHeight="1" ht="18.75">
      <c r="A8536" s="1" t="s">
        <v>3598</v>
      </c>
      <c r="B8536" s="1" t="s">
        <v>4689</v>
      </c>
      <c r="C8536" s="1" t="s">
        <v>3600</v>
      </c>
      <c r="D8536" s="1" t="s">
        <v>28428</v>
      </c>
      <c r="E8536" s="1" t="s">
        <v>3664</v>
      </c>
      <c r="F8536" s="1" t="s">
        <v>28469</v>
      </c>
      <c r="G8536" s="1" t="s">
        <v>4691</v>
      </c>
      <c r="H8536" s="1" t="s">
        <v>3604</v>
      </c>
      <c r="I8536" s="1" t="s">
        <v>28470</v>
      </c>
      <c r="J8536" s="1" t="s">
        <v>3615</v>
      </c>
      <c r="K8536" s="1" t="s">
        <v>28471</v>
      </c>
      <c r="L8536" s="1"/>
      <c r="M8536" s="1"/>
    </row>
    <row x14ac:dyDescent="0.25" r="8537" customHeight="1" ht="18.75">
      <c r="A8537" s="1" t="s">
        <v>7833</v>
      </c>
      <c r="B8537" s="1" t="s">
        <v>15046</v>
      </c>
      <c r="C8537" s="1" t="s">
        <v>4488</v>
      </c>
      <c r="D8537" s="1" t="s">
        <v>3695</v>
      </c>
      <c r="E8537" s="1" t="s">
        <v>3664</v>
      </c>
      <c r="F8537" s="1" t="s">
        <v>28472</v>
      </c>
      <c r="G8537" s="1" t="s">
        <v>23800</v>
      </c>
      <c r="H8537" s="1" t="s">
        <v>3604</v>
      </c>
      <c r="I8537" s="1" t="s">
        <v>28473</v>
      </c>
      <c r="J8537" s="1" t="s">
        <v>3615</v>
      </c>
      <c r="K8537" s="1" t="s">
        <v>26429</v>
      </c>
      <c r="L8537" s="1"/>
      <c r="M8537" s="1"/>
    </row>
    <row x14ac:dyDescent="0.25" r="8538" customHeight="1" ht="18.75">
      <c r="A8538" s="1" t="s">
        <v>7833</v>
      </c>
      <c r="B8538" s="1" t="s">
        <v>15046</v>
      </c>
      <c r="C8538" s="1" t="s">
        <v>4488</v>
      </c>
      <c r="D8538" s="1" t="s">
        <v>3695</v>
      </c>
      <c r="E8538" s="1" t="s">
        <v>3664</v>
      </c>
      <c r="F8538" s="1" t="s">
        <v>28474</v>
      </c>
      <c r="G8538" s="1" t="s">
        <v>23800</v>
      </c>
      <c r="H8538" s="1" t="s">
        <v>3604</v>
      </c>
      <c r="I8538" s="1" t="s">
        <v>28475</v>
      </c>
      <c r="J8538" s="1" t="s">
        <v>3615</v>
      </c>
      <c r="K8538" s="1" t="s">
        <v>26432</v>
      </c>
      <c r="L8538" s="1"/>
      <c r="M8538" s="1"/>
    </row>
    <row x14ac:dyDescent="0.25" r="8539" customHeight="1" ht="18.75">
      <c r="A8539" s="1" t="s">
        <v>7833</v>
      </c>
      <c r="B8539" s="1" t="s">
        <v>15046</v>
      </c>
      <c r="C8539" s="1" t="s">
        <v>4488</v>
      </c>
      <c r="D8539" s="1" t="s">
        <v>3695</v>
      </c>
      <c r="E8539" s="1" t="s">
        <v>3664</v>
      </c>
      <c r="F8539" s="1" t="s">
        <v>28476</v>
      </c>
      <c r="G8539" s="1" t="s">
        <v>23800</v>
      </c>
      <c r="H8539" s="1" t="s">
        <v>3604</v>
      </c>
      <c r="I8539" s="1" t="s">
        <v>28477</v>
      </c>
      <c r="J8539" s="1" t="s">
        <v>3615</v>
      </c>
      <c r="K8539" s="1" t="s">
        <v>28478</v>
      </c>
      <c r="L8539" s="1"/>
      <c r="M8539" s="1"/>
    </row>
    <row x14ac:dyDescent="0.25" r="8540" customHeight="1" ht="18.75">
      <c r="A8540" s="1" t="s">
        <v>3598</v>
      </c>
      <c r="B8540" s="1" t="s">
        <v>6954</v>
      </c>
      <c r="C8540" s="1" t="s">
        <v>3600</v>
      </c>
      <c r="D8540" s="1" t="s">
        <v>28428</v>
      </c>
      <c r="E8540" s="1" t="s">
        <v>3664</v>
      </c>
      <c r="F8540" s="1" t="s">
        <v>28479</v>
      </c>
      <c r="G8540" s="1" t="s">
        <v>28480</v>
      </c>
      <c r="H8540" s="1" t="s">
        <v>3604</v>
      </c>
      <c r="I8540" s="1" t="s">
        <v>28481</v>
      </c>
      <c r="J8540" s="1" t="s">
        <v>3615</v>
      </c>
      <c r="K8540" s="1" t="s">
        <v>28482</v>
      </c>
      <c r="L8540" s="1"/>
      <c r="M8540" s="1"/>
    </row>
    <row x14ac:dyDescent="0.25" r="8541" customHeight="1" ht="18.75">
      <c r="A8541" s="1" t="s">
        <v>3598</v>
      </c>
      <c r="B8541" s="1" t="s">
        <v>6954</v>
      </c>
      <c r="C8541" s="1" t="s">
        <v>3600</v>
      </c>
      <c r="D8541" s="1" t="s">
        <v>28428</v>
      </c>
      <c r="E8541" s="1" t="s">
        <v>3664</v>
      </c>
      <c r="F8541" s="1" t="s">
        <v>28483</v>
      </c>
      <c r="G8541" s="1" t="s">
        <v>27406</v>
      </c>
      <c r="H8541" s="1" t="s">
        <v>3604</v>
      </c>
      <c r="I8541" s="1" t="s">
        <v>28484</v>
      </c>
      <c r="J8541" s="1" t="s">
        <v>3615</v>
      </c>
      <c r="K8541" s="1" t="s">
        <v>28485</v>
      </c>
      <c r="L8541" s="1"/>
      <c r="M8541" s="1"/>
    </row>
    <row x14ac:dyDescent="0.25" r="8542" customHeight="1" ht="18.75">
      <c r="A8542" s="1" t="s">
        <v>3598</v>
      </c>
      <c r="B8542" s="1" t="s">
        <v>6954</v>
      </c>
      <c r="C8542" s="1" t="s">
        <v>3600</v>
      </c>
      <c r="D8542" s="1" t="s">
        <v>28428</v>
      </c>
      <c r="E8542" s="1" t="s">
        <v>3664</v>
      </c>
      <c r="F8542" s="1" t="s">
        <v>28486</v>
      </c>
      <c r="G8542" s="1" t="s">
        <v>16982</v>
      </c>
      <c r="H8542" s="1" t="s">
        <v>3604</v>
      </c>
      <c r="I8542" s="1" t="s">
        <v>28487</v>
      </c>
      <c r="J8542" s="1" t="s">
        <v>3615</v>
      </c>
      <c r="K8542" s="1" t="s">
        <v>28488</v>
      </c>
      <c r="L8542" s="1"/>
      <c r="M8542" s="1"/>
    </row>
    <row x14ac:dyDescent="0.25" r="8543" customHeight="1" ht="18.75">
      <c r="A8543" s="1" t="s">
        <v>3598</v>
      </c>
      <c r="B8543" s="1" t="s">
        <v>21672</v>
      </c>
      <c r="C8543" s="1" t="s">
        <v>3600</v>
      </c>
      <c r="D8543" s="1" t="s">
        <v>8365</v>
      </c>
      <c r="E8543" s="1" t="s">
        <v>3664</v>
      </c>
      <c r="F8543" s="1" t="s">
        <v>28489</v>
      </c>
      <c r="G8543" s="1" t="s">
        <v>21674</v>
      </c>
      <c r="H8543" s="1" t="s">
        <v>3604</v>
      </c>
      <c r="I8543" s="1" t="s">
        <v>28490</v>
      </c>
      <c r="J8543" s="1" t="s">
        <v>3615</v>
      </c>
      <c r="K8543" s="1" t="s">
        <v>28491</v>
      </c>
      <c r="L8543" s="1"/>
      <c r="M8543" s="1"/>
    </row>
    <row x14ac:dyDescent="0.25" r="8544" customHeight="1" ht="18.75">
      <c r="A8544" s="1" t="s">
        <v>3598</v>
      </c>
      <c r="B8544" s="1" t="s">
        <v>27802</v>
      </c>
      <c r="C8544" s="1" t="s">
        <v>3600</v>
      </c>
      <c r="D8544" s="1" t="s">
        <v>8365</v>
      </c>
      <c r="E8544" s="1" t="s">
        <v>3664</v>
      </c>
      <c r="F8544" s="1" t="s">
        <v>28492</v>
      </c>
      <c r="G8544" s="1" t="s">
        <v>3678</v>
      </c>
      <c r="H8544" s="1" t="s">
        <v>3604</v>
      </c>
      <c r="I8544" s="1" t="s">
        <v>28493</v>
      </c>
      <c r="J8544" s="1" t="s">
        <v>3615</v>
      </c>
      <c r="K8544" s="1" t="s">
        <v>28494</v>
      </c>
      <c r="L8544" s="1"/>
      <c r="M8544" s="1"/>
    </row>
    <row x14ac:dyDescent="0.25" r="8545" customHeight="1" ht="18.75">
      <c r="A8545" s="1" t="s">
        <v>3598</v>
      </c>
      <c r="B8545" s="1" t="s">
        <v>27802</v>
      </c>
      <c r="C8545" s="1" t="s">
        <v>3600</v>
      </c>
      <c r="D8545" s="1" t="s">
        <v>8365</v>
      </c>
      <c r="E8545" s="1" t="s">
        <v>3664</v>
      </c>
      <c r="F8545" s="1" t="s">
        <v>28495</v>
      </c>
      <c r="G8545" s="1" t="s">
        <v>3682</v>
      </c>
      <c r="H8545" s="1" t="s">
        <v>3604</v>
      </c>
      <c r="I8545" s="1" t="s">
        <v>28496</v>
      </c>
      <c r="J8545" s="1" t="s">
        <v>3615</v>
      </c>
      <c r="K8545" s="1" t="s">
        <v>28497</v>
      </c>
      <c r="L8545" s="1"/>
      <c r="M8545" s="1"/>
    </row>
    <row x14ac:dyDescent="0.25" r="8546" customHeight="1" ht="18.75">
      <c r="A8546" s="1" t="s">
        <v>3598</v>
      </c>
      <c r="B8546" s="1" t="s">
        <v>27802</v>
      </c>
      <c r="C8546" s="1" t="s">
        <v>3600</v>
      </c>
      <c r="D8546" s="1" t="s">
        <v>8365</v>
      </c>
      <c r="E8546" s="1" t="s">
        <v>3664</v>
      </c>
      <c r="F8546" s="1" t="s">
        <v>28498</v>
      </c>
      <c r="G8546" s="1" t="s">
        <v>3686</v>
      </c>
      <c r="H8546" s="1" t="s">
        <v>3604</v>
      </c>
      <c r="I8546" s="1" t="s">
        <v>28499</v>
      </c>
      <c r="J8546" s="1" t="s">
        <v>3615</v>
      </c>
      <c r="K8546" s="1" t="s">
        <v>28500</v>
      </c>
      <c r="L8546" s="1"/>
      <c r="M8546" s="1"/>
    </row>
    <row x14ac:dyDescent="0.25" r="8547" customHeight="1" ht="18.75">
      <c r="A8547" s="1" t="s">
        <v>3598</v>
      </c>
      <c r="B8547" s="1" t="s">
        <v>22031</v>
      </c>
      <c r="C8547" s="1" t="s">
        <v>3600</v>
      </c>
      <c r="D8547" s="1" t="s">
        <v>8365</v>
      </c>
      <c r="E8547" s="1" t="s">
        <v>3893</v>
      </c>
      <c r="F8547" s="1" t="s">
        <v>28501</v>
      </c>
      <c r="G8547" s="1" t="s">
        <v>15675</v>
      </c>
      <c r="H8547" s="1" t="s">
        <v>3604</v>
      </c>
      <c r="I8547" s="1" t="s">
        <v>28502</v>
      </c>
      <c r="J8547" s="1" t="s">
        <v>3615</v>
      </c>
      <c r="K8547" s="1" t="s">
        <v>28503</v>
      </c>
      <c r="L8547" s="1"/>
      <c r="M8547" s="1"/>
    </row>
    <row x14ac:dyDescent="0.25" r="8548" customHeight="1" ht="18.75">
      <c r="A8548" s="1" t="s">
        <v>3598</v>
      </c>
      <c r="B8548" s="1" t="s">
        <v>16539</v>
      </c>
      <c r="C8548" s="1" t="s">
        <v>3600</v>
      </c>
      <c r="D8548" s="1" t="s">
        <v>8365</v>
      </c>
      <c r="E8548" s="1" t="s">
        <v>3893</v>
      </c>
      <c r="F8548" s="1" t="s">
        <v>28504</v>
      </c>
      <c r="G8548" s="1" t="s">
        <v>16541</v>
      </c>
      <c r="H8548" s="1" t="s">
        <v>3604</v>
      </c>
      <c r="I8548" s="1" t="s">
        <v>28505</v>
      </c>
      <c r="J8548" s="1" t="s">
        <v>3615</v>
      </c>
      <c r="K8548" s="1" t="s">
        <v>28506</v>
      </c>
      <c r="L8548" s="1"/>
      <c r="M8548" s="1"/>
    </row>
    <row x14ac:dyDescent="0.25" r="8549" customHeight="1" ht="18.75">
      <c r="A8549" s="1" t="s">
        <v>3598</v>
      </c>
      <c r="B8549" s="1" t="s">
        <v>8576</v>
      </c>
      <c r="C8549" s="1" t="s">
        <v>3600</v>
      </c>
      <c r="D8549" s="1" t="s">
        <v>8365</v>
      </c>
      <c r="E8549" s="1" t="s">
        <v>3664</v>
      </c>
      <c r="F8549" s="1" t="s">
        <v>28507</v>
      </c>
      <c r="G8549" s="1" t="s">
        <v>8578</v>
      </c>
      <c r="H8549" s="1" t="s">
        <v>3604</v>
      </c>
      <c r="I8549" s="1" t="s">
        <v>28508</v>
      </c>
      <c r="J8549" s="1" t="s">
        <v>3615</v>
      </c>
      <c r="K8549" s="1" t="s">
        <v>28509</v>
      </c>
      <c r="L8549" s="1"/>
      <c r="M8549" s="1"/>
    </row>
    <row x14ac:dyDescent="0.25" r="8550" customHeight="1" ht="18.75">
      <c r="A8550" s="1" t="s">
        <v>3598</v>
      </c>
      <c r="B8550" s="1" t="s">
        <v>22199</v>
      </c>
      <c r="C8550" s="1" t="s">
        <v>3600</v>
      </c>
      <c r="D8550" s="1" t="s">
        <v>8365</v>
      </c>
      <c r="E8550" s="1" t="s">
        <v>3893</v>
      </c>
      <c r="F8550" s="1" t="s">
        <v>28510</v>
      </c>
      <c r="G8550" s="1" t="s">
        <v>22201</v>
      </c>
      <c r="H8550" s="1" t="s">
        <v>3604</v>
      </c>
      <c r="I8550" s="1" t="s">
        <v>28511</v>
      </c>
      <c r="J8550" s="1" t="s">
        <v>3615</v>
      </c>
      <c r="K8550" s="1" t="s">
        <v>28512</v>
      </c>
      <c r="L8550" s="1"/>
      <c r="M8550" s="1"/>
    </row>
    <row x14ac:dyDescent="0.25" r="8551" customHeight="1" ht="18.75">
      <c r="A8551" s="1" t="s">
        <v>3598</v>
      </c>
      <c r="B8551" s="1" t="s">
        <v>8629</v>
      </c>
      <c r="C8551" s="1" t="s">
        <v>3600</v>
      </c>
      <c r="D8551" s="1" t="s">
        <v>8365</v>
      </c>
      <c r="E8551" s="1" t="s">
        <v>3893</v>
      </c>
      <c r="F8551" s="1" t="s">
        <v>28513</v>
      </c>
      <c r="G8551" s="1" t="s">
        <v>8631</v>
      </c>
      <c r="H8551" s="1" t="s">
        <v>3604</v>
      </c>
      <c r="I8551" s="1" t="s">
        <v>28514</v>
      </c>
      <c r="J8551" s="1" t="s">
        <v>3615</v>
      </c>
      <c r="K8551" s="1" t="s">
        <v>28515</v>
      </c>
      <c r="L8551" s="1"/>
      <c r="M8551" s="1"/>
    </row>
    <row x14ac:dyDescent="0.25" r="8552" customHeight="1" ht="18.75">
      <c r="A8552" s="1" t="s">
        <v>3598</v>
      </c>
      <c r="B8552" s="1" t="s">
        <v>8607</v>
      </c>
      <c r="C8552" s="1" t="s">
        <v>3600</v>
      </c>
      <c r="D8552" s="1" t="s">
        <v>8365</v>
      </c>
      <c r="E8552" s="1" t="s">
        <v>3893</v>
      </c>
      <c r="F8552" s="1" t="s">
        <v>28516</v>
      </c>
      <c r="G8552" s="1" t="s">
        <v>8609</v>
      </c>
      <c r="H8552" s="1" t="s">
        <v>3604</v>
      </c>
      <c r="I8552" s="1" t="s">
        <v>28517</v>
      </c>
      <c r="J8552" s="1" t="s">
        <v>3615</v>
      </c>
      <c r="K8552" s="1" t="s">
        <v>28518</v>
      </c>
      <c r="L8552" s="1"/>
      <c r="M8552" s="1"/>
    </row>
    <row x14ac:dyDescent="0.25" r="8553" customHeight="1" ht="18.75">
      <c r="A8553" s="1" t="s">
        <v>3598</v>
      </c>
      <c r="B8553" s="1" t="s">
        <v>21921</v>
      </c>
      <c r="C8553" s="1" t="s">
        <v>3600</v>
      </c>
      <c r="D8553" s="1" t="s">
        <v>8365</v>
      </c>
      <c r="E8553" s="1" t="s">
        <v>3664</v>
      </c>
      <c r="F8553" s="1" t="s">
        <v>28519</v>
      </c>
      <c r="G8553" s="1" t="s">
        <v>28520</v>
      </c>
      <c r="H8553" s="1" t="s">
        <v>3604</v>
      </c>
      <c r="I8553" s="1" t="s">
        <v>28521</v>
      </c>
      <c r="J8553" s="1" t="s">
        <v>3615</v>
      </c>
      <c r="K8553" s="1" t="s">
        <v>28522</v>
      </c>
      <c r="L8553" s="1"/>
      <c r="M8553" s="1"/>
    </row>
    <row x14ac:dyDescent="0.25" r="8554" customHeight="1" ht="18.75">
      <c r="A8554" s="1" t="s">
        <v>3598</v>
      </c>
      <c r="B8554" s="1" t="s">
        <v>8619</v>
      </c>
      <c r="C8554" s="1" t="s">
        <v>3600</v>
      </c>
      <c r="D8554" s="1" t="s">
        <v>8365</v>
      </c>
      <c r="E8554" s="1" t="s">
        <v>3664</v>
      </c>
      <c r="F8554" s="1" t="s">
        <v>28523</v>
      </c>
      <c r="G8554" s="1" t="s">
        <v>9845</v>
      </c>
      <c r="H8554" s="1" t="s">
        <v>3604</v>
      </c>
      <c r="I8554" s="1" t="s">
        <v>28524</v>
      </c>
      <c r="J8554" s="1" t="s">
        <v>3615</v>
      </c>
      <c r="K8554" s="1" t="s">
        <v>28525</v>
      </c>
      <c r="L8554" s="1"/>
      <c r="M8554" s="1"/>
    </row>
    <row x14ac:dyDescent="0.25" r="8555" customHeight="1" ht="18.75">
      <c r="A8555" s="1" t="s">
        <v>3598</v>
      </c>
      <c r="B8555" s="1" t="s">
        <v>21850</v>
      </c>
      <c r="C8555" s="1" t="s">
        <v>3600</v>
      </c>
      <c r="D8555" s="1" t="s">
        <v>8365</v>
      </c>
      <c r="E8555" s="1" t="s">
        <v>3664</v>
      </c>
      <c r="F8555" s="1" t="s">
        <v>28526</v>
      </c>
      <c r="G8555" s="1" t="s">
        <v>21244</v>
      </c>
      <c r="H8555" s="1" t="s">
        <v>3604</v>
      </c>
      <c r="I8555" s="1" t="s">
        <v>28527</v>
      </c>
      <c r="J8555" s="1" t="s">
        <v>3615</v>
      </c>
      <c r="K8555" s="1" t="s">
        <v>28528</v>
      </c>
      <c r="L8555" s="1"/>
      <c r="M8555" s="1"/>
    </row>
    <row x14ac:dyDescent="0.25" r="8556" customHeight="1" ht="18.75">
      <c r="A8556" s="1" t="s">
        <v>3598</v>
      </c>
      <c r="B8556" s="1" t="s">
        <v>21850</v>
      </c>
      <c r="C8556" s="1" t="s">
        <v>3600</v>
      </c>
      <c r="D8556" s="1" t="s">
        <v>8365</v>
      </c>
      <c r="E8556" s="1" t="s">
        <v>3664</v>
      </c>
      <c r="F8556" s="1" t="s">
        <v>28529</v>
      </c>
      <c r="G8556" s="1" t="s">
        <v>21244</v>
      </c>
      <c r="H8556" s="1" t="s">
        <v>3604</v>
      </c>
      <c r="I8556" s="1" t="s">
        <v>28530</v>
      </c>
      <c r="J8556" s="1" t="s">
        <v>3615</v>
      </c>
      <c r="K8556" s="1" t="s">
        <v>28531</v>
      </c>
      <c r="L8556" s="1"/>
      <c r="M8556" s="1"/>
    </row>
    <row x14ac:dyDescent="0.25" r="8557" customHeight="1" ht="18.75">
      <c r="A8557" s="1" t="s">
        <v>3598</v>
      </c>
      <c r="B8557" s="1" t="s">
        <v>28260</v>
      </c>
      <c r="C8557" s="1" t="s">
        <v>3600</v>
      </c>
      <c r="D8557" s="1" t="s">
        <v>8365</v>
      </c>
      <c r="E8557" s="1" t="s">
        <v>3664</v>
      </c>
      <c r="F8557" s="1" t="s">
        <v>28532</v>
      </c>
      <c r="G8557" s="1" t="s">
        <v>18412</v>
      </c>
      <c r="H8557" s="1" t="s">
        <v>3604</v>
      </c>
      <c r="I8557" s="1" t="s">
        <v>28533</v>
      </c>
      <c r="J8557" s="1" t="s">
        <v>3615</v>
      </c>
      <c r="K8557" s="1" t="s">
        <v>28534</v>
      </c>
      <c r="L8557" s="1"/>
      <c r="M8557" s="1"/>
    </row>
    <row x14ac:dyDescent="0.25" r="8558" customHeight="1" ht="18.75">
      <c r="A8558" s="1" t="s">
        <v>3598</v>
      </c>
      <c r="B8558" s="1" t="s">
        <v>28260</v>
      </c>
      <c r="C8558" s="1" t="s">
        <v>3600</v>
      </c>
      <c r="D8558" s="1" t="s">
        <v>8365</v>
      </c>
      <c r="E8558" s="1" t="s">
        <v>3664</v>
      </c>
      <c r="F8558" s="1" t="s">
        <v>28535</v>
      </c>
      <c r="G8558" s="1" t="s">
        <v>18412</v>
      </c>
      <c r="H8558" s="1" t="s">
        <v>3604</v>
      </c>
      <c r="I8558" s="1" t="s">
        <v>28536</v>
      </c>
      <c r="J8558" s="1" t="s">
        <v>3615</v>
      </c>
      <c r="K8558" s="1" t="s">
        <v>28537</v>
      </c>
      <c r="L8558" s="1"/>
      <c r="M8558" s="1"/>
    </row>
    <row x14ac:dyDescent="0.25" r="8559" customHeight="1" ht="18.75">
      <c r="A8559" s="1" t="s">
        <v>3598</v>
      </c>
      <c r="B8559" s="1" t="s">
        <v>28260</v>
      </c>
      <c r="C8559" s="1" t="s">
        <v>3600</v>
      </c>
      <c r="D8559" s="1" t="s">
        <v>8365</v>
      </c>
      <c r="E8559" s="1" t="s">
        <v>3664</v>
      </c>
      <c r="F8559" s="1" t="s">
        <v>28538</v>
      </c>
      <c r="G8559" s="1" t="s">
        <v>18412</v>
      </c>
      <c r="H8559" s="1" t="s">
        <v>3604</v>
      </c>
      <c r="I8559" s="1" t="s">
        <v>28539</v>
      </c>
      <c r="J8559" s="1" t="s">
        <v>3615</v>
      </c>
      <c r="K8559" s="1" t="s">
        <v>28540</v>
      </c>
      <c r="L8559" s="1"/>
      <c r="M8559" s="1"/>
    </row>
    <row x14ac:dyDescent="0.25" r="8560" customHeight="1" ht="18.75">
      <c r="A8560" s="1" t="s">
        <v>3598</v>
      </c>
      <c r="B8560" s="1" t="s">
        <v>28260</v>
      </c>
      <c r="C8560" s="1" t="s">
        <v>3600</v>
      </c>
      <c r="D8560" s="1" t="s">
        <v>8365</v>
      </c>
      <c r="E8560" s="1" t="s">
        <v>3664</v>
      </c>
      <c r="F8560" s="1" t="s">
        <v>28541</v>
      </c>
      <c r="G8560" s="1" t="s">
        <v>18412</v>
      </c>
      <c r="H8560" s="1" t="s">
        <v>3604</v>
      </c>
      <c r="I8560" s="1" t="s">
        <v>28542</v>
      </c>
      <c r="J8560" s="1" t="s">
        <v>3615</v>
      </c>
      <c r="K8560" s="1" t="s">
        <v>28543</v>
      </c>
      <c r="L8560" s="1"/>
      <c r="M8560" s="1"/>
    </row>
    <row x14ac:dyDescent="0.25" r="8561" customHeight="1" ht="18.75">
      <c r="A8561" s="1" t="s">
        <v>7833</v>
      </c>
      <c r="B8561" s="1" t="s">
        <v>14264</v>
      </c>
      <c r="C8561" s="1" t="s">
        <v>4488</v>
      </c>
      <c r="D8561" s="1" t="s">
        <v>3601</v>
      </c>
      <c r="E8561" s="1" t="s">
        <v>3664</v>
      </c>
      <c r="F8561" s="1" t="s">
        <v>28544</v>
      </c>
      <c r="G8561" s="1" t="s">
        <v>14265</v>
      </c>
      <c r="H8561" s="1" t="s">
        <v>3604</v>
      </c>
      <c r="I8561" s="1" t="s">
        <v>28545</v>
      </c>
      <c r="J8561" s="1" t="s">
        <v>3606</v>
      </c>
      <c r="K8561" s="1" t="s">
        <v>9740</v>
      </c>
      <c r="L8561" s="1"/>
      <c r="M8561" s="1"/>
    </row>
    <row x14ac:dyDescent="0.25" r="8562" customHeight="1" ht="18.75">
      <c r="A8562" s="1" t="s">
        <v>3598</v>
      </c>
      <c r="B8562" s="1" t="s">
        <v>28260</v>
      </c>
      <c r="C8562" s="1" t="s">
        <v>3600</v>
      </c>
      <c r="D8562" s="1" t="s">
        <v>8365</v>
      </c>
      <c r="E8562" s="1" t="s">
        <v>3664</v>
      </c>
      <c r="F8562" s="1" t="s">
        <v>28546</v>
      </c>
      <c r="G8562" s="1" t="s">
        <v>18412</v>
      </c>
      <c r="H8562" s="1" t="s">
        <v>3604</v>
      </c>
      <c r="I8562" s="1" t="s">
        <v>28547</v>
      </c>
      <c r="J8562" s="1" t="s">
        <v>3615</v>
      </c>
      <c r="K8562" s="1" t="s">
        <v>28548</v>
      </c>
      <c r="L8562" s="1"/>
      <c r="M8562" s="1"/>
    </row>
    <row x14ac:dyDescent="0.25" r="8563" customHeight="1" ht="18.75">
      <c r="A8563" s="1" t="s">
        <v>7833</v>
      </c>
      <c r="B8563" s="1" t="s">
        <v>14264</v>
      </c>
      <c r="C8563" s="1" t="s">
        <v>4488</v>
      </c>
      <c r="D8563" s="1" t="s">
        <v>3601</v>
      </c>
      <c r="E8563" s="1" t="s">
        <v>3664</v>
      </c>
      <c r="F8563" s="1" t="s">
        <v>28549</v>
      </c>
      <c r="G8563" s="1" t="s">
        <v>14265</v>
      </c>
      <c r="H8563" s="1" t="s">
        <v>3604</v>
      </c>
      <c r="I8563" s="1" t="s">
        <v>28550</v>
      </c>
      <c r="J8563" s="1" t="s">
        <v>3606</v>
      </c>
      <c r="K8563" s="1" t="s">
        <v>28551</v>
      </c>
      <c r="L8563" s="1"/>
      <c r="M8563" s="1"/>
    </row>
    <row x14ac:dyDescent="0.25" r="8564" customHeight="1" ht="18.75">
      <c r="A8564" s="1" t="s">
        <v>7833</v>
      </c>
      <c r="B8564" s="1" t="s">
        <v>14264</v>
      </c>
      <c r="C8564" s="1" t="s">
        <v>4488</v>
      </c>
      <c r="D8564" s="1" t="s">
        <v>3601</v>
      </c>
      <c r="E8564" s="1" t="s">
        <v>3664</v>
      </c>
      <c r="F8564" s="1" t="s">
        <v>28552</v>
      </c>
      <c r="G8564" s="1" t="s">
        <v>20777</v>
      </c>
      <c r="H8564" s="1" t="s">
        <v>3604</v>
      </c>
      <c r="I8564" s="1" t="s">
        <v>28553</v>
      </c>
      <c r="J8564" s="1" t="s">
        <v>3606</v>
      </c>
      <c r="K8564" s="1" t="s">
        <v>28554</v>
      </c>
      <c r="L8564" s="1"/>
      <c r="M8564" s="1"/>
    </row>
    <row x14ac:dyDescent="0.25" r="8565" customHeight="1" ht="18.75">
      <c r="A8565" s="1" t="s">
        <v>7833</v>
      </c>
      <c r="B8565" s="1" t="s">
        <v>14264</v>
      </c>
      <c r="C8565" s="1" t="s">
        <v>4488</v>
      </c>
      <c r="D8565" s="1" t="s">
        <v>3601</v>
      </c>
      <c r="E8565" s="1" t="s">
        <v>3664</v>
      </c>
      <c r="F8565" s="1" t="s">
        <v>28555</v>
      </c>
      <c r="G8565" s="1" t="s">
        <v>20798</v>
      </c>
      <c r="H8565" s="1" t="s">
        <v>3604</v>
      </c>
      <c r="I8565" s="1" t="s">
        <v>28556</v>
      </c>
      <c r="J8565" s="1" t="s">
        <v>3606</v>
      </c>
      <c r="K8565" s="1" t="s">
        <v>28557</v>
      </c>
      <c r="L8565" s="1"/>
      <c r="M8565" s="1"/>
    </row>
    <row x14ac:dyDescent="0.25" r="8566" customHeight="1" ht="18.75">
      <c r="A8566" s="1" t="s">
        <v>3693</v>
      </c>
      <c r="B8566" s="1" t="s">
        <v>4192</v>
      </c>
      <c r="C8566" s="1" t="s">
        <v>3600</v>
      </c>
      <c r="D8566" s="1" t="s">
        <v>3610</v>
      </c>
      <c r="E8566" s="1" t="s">
        <v>3611</v>
      </c>
      <c r="F8566" s="1" t="s">
        <v>28558</v>
      </c>
      <c r="G8566" s="1" t="s">
        <v>5641</v>
      </c>
      <c r="H8566" s="1" t="s">
        <v>3604</v>
      </c>
      <c r="I8566" s="1" t="s">
        <v>28559</v>
      </c>
      <c r="J8566" s="1" t="s">
        <v>3615</v>
      </c>
      <c r="K8566" s="1" t="s">
        <v>28560</v>
      </c>
      <c r="L8566" s="1"/>
      <c r="M8566" s="1"/>
    </row>
    <row x14ac:dyDescent="0.25" r="8567" customHeight="1" ht="18.75">
      <c r="A8567" s="1" t="s">
        <v>7833</v>
      </c>
      <c r="B8567" s="1" t="s">
        <v>14264</v>
      </c>
      <c r="C8567" s="1" t="s">
        <v>4488</v>
      </c>
      <c r="D8567" s="1" t="s">
        <v>3601</v>
      </c>
      <c r="E8567" s="1" t="s">
        <v>3664</v>
      </c>
      <c r="F8567" s="1" t="s">
        <v>28561</v>
      </c>
      <c r="G8567" s="1" t="s">
        <v>20777</v>
      </c>
      <c r="H8567" s="1" t="s">
        <v>3604</v>
      </c>
      <c r="I8567" s="1" t="s">
        <v>28562</v>
      </c>
      <c r="J8567" s="1" t="s">
        <v>3606</v>
      </c>
      <c r="K8567" s="1" t="s">
        <v>28563</v>
      </c>
      <c r="L8567" s="1"/>
      <c r="M8567" s="1"/>
    </row>
    <row x14ac:dyDescent="0.25" r="8568" customHeight="1" ht="18.75">
      <c r="A8568" s="1" t="s">
        <v>3598</v>
      </c>
      <c r="B8568" s="1" t="s">
        <v>28264</v>
      </c>
      <c r="C8568" s="1" t="s">
        <v>3600</v>
      </c>
      <c r="D8568" s="1" t="s">
        <v>8365</v>
      </c>
      <c r="E8568" s="1" t="s">
        <v>3664</v>
      </c>
      <c r="F8568" s="1" t="s">
        <v>28564</v>
      </c>
      <c r="G8568" s="1" t="s">
        <v>18311</v>
      </c>
      <c r="H8568" s="1" t="s">
        <v>3604</v>
      </c>
      <c r="I8568" s="1" t="s">
        <v>28565</v>
      </c>
      <c r="J8568" s="1" t="s">
        <v>3615</v>
      </c>
      <c r="K8568" s="1" t="s">
        <v>28566</v>
      </c>
      <c r="L8568" s="1"/>
      <c r="M8568" s="1"/>
    </row>
    <row x14ac:dyDescent="0.25" r="8569" customHeight="1" ht="18.75">
      <c r="A8569" s="1" t="s">
        <v>7833</v>
      </c>
      <c r="B8569" s="1" t="s">
        <v>14264</v>
      </c>
      <c r="C8569" s="1" t="s">
        <v>4488</v>
      </c>
      <c r="D8569" s="1" t="s">
        <v>3601</v>
      </c>
      <c r="E8569" s="1" t="s">
        <v>3664</v>
      </c>
      <c r="F8569" s="1" t="s">
        <v>28567</v>
      </c>
      <c r="G8569" s="1" t="s">
        <v>20798</v>
      </c>
      <c r="H8569" s="1" t="s">
        <v>3604</v>
      </c>
      <c r="I8569" s="1" t="s">
        <v>28568</v>
      </c>
      <c r="J8569" s="1" t="s">
        <v>3606</v>
      </c>
      <c r="K8569" s="1" t="s">
        <v>28569</v>
      </c>
      <c r="L8569" s="1"/>
      <c r="M8569" s="1"/>
    </row>
    <row x14ac:dyDescent="0.25" r="8570" customHeight="1" ht="18.75">
      <c r="A8570" s="1" t="s">
        <v>7833</v>
      </c>
      <c r="B8570" s="1" t="s">
        <v>14264</v>
      </c>
      <c r="C8570" s="1" t="s">
        <v>4488</v>
      </c>
      <c r="D8570" s="1" t="s">
        <v>3601</v>
      </c>
      <c r="E8570" s="1" t="s">
        <v>3664</v>
      </c>
      <c r="F8570" s="1" t="s">
        <v>28570</v>
      </c>
      <c r="G8570" s="1" t="s">
        <v>20806</v>
      </c>
      <c r="H8570" s="1" t="s">
        <v>3604</v>
      </c>
      <c r="I8570" s="1" t="s">
        <v>28571</v>
      </c>
      <c r="J8570" s="1" t="s">
        <v>3606</v>
      </c>
      <c r="K8570" s="1" t="s">
        <v>28572</v>
      </c>
      <c r="L8570" s="1"/>
      <c r="M8570" s="1"/>
    </row>
    <row x14ac:dyDescent="0.25" r="8571" customHeight="1" ht="18.75">
      <c r="A8571" s="1" t="s">
        <v>3598</v>
      </c>
      <c r="B8571" s="1" t="s">
        <v>28264</v>
      </c>
      <c r="C8571" s="1" t="s">
        <v>3600</v>
      </c>
      <c r="D8571" s="1" t="s">
        <v>8365</v>
      </c>
      <c r="E8571" s="1" t="s">
        <v>3664</v>
      </c>
      <c r="F8571" s="1" t="s">
        <v>28573</v>
      </c>
      <c r="G8571" s="1" t="s">
        <v>18311</v>
      </c>
      <c r="H8571" s="1" t="s">
        <v>3604</v>
      </c>
      <c r="I8571" s="1" t="s">
        <v>28574</v>
      </c>
      <c r="J8571" s="1" t="s">
        <v>3615</v>
      </c>
      <c r="K8571" s="1" t="s">
        <v>28575</v>
      </c>
      <c r="L8571" s="1"/>
      <c r="M8571" s="1"/>
    </row>
    <row x14ac:dyDescent="0.25" r="8572" customHeight="1" ht="18.75">
      <c r="A8572" s="1" t="s">
        <v>7833</v>
      </c>
      <c r="B8572" s="1" t="s">
        <v>14264</v>
      </c>
      <c r="C8572" s="1" t="s">
        <v>4488</v>
      </c>
      <c r="D8572" s="1" t="s">
        <v>3601</v>
      </c>
      <c r="E8572" s="1" t="s">
        <v>3664</v>
      </c>
      <c r="F8572" s="1" t="s">
        <v>28576</v>
      </c>
      <c r="G8572" s="1" t="s">
        <v>20808</v>
      </c>
      <c r="H8572" s="1" t="s">
        <v>3604</v>
      </c>
      <c r="I8572" s="1" t="s">
        <v>28577</v>
      </c>
      <c r="J8572" s="1" t="s">
        <v>3606</v>
      </c>
      <c r="K8572" s="1" t="s">
        <v>28578</v>
      </c>
      <c r="L8572" s="1"/>
      <c r="M8572" s="1"/>
    </row>
    <row x14ac:dyDescent="0.25" r="8573" customHeight="1" ht="18.75">
      <c r="A8573" s="1" t="s">
        <v>3598</v>
      </c>
      <c r="B8573" s="1" t="s">
        <v>28264</v>
      </c>
      <c r="C8573" s="1" t="s">
        <v>3600</v>
      </c>
      <c r="D8573" s="1" t="s">
        <v>8365</v>
      </c>
      <c r="E8573" s="1" t="s">
        <v>3664</v>
      </c>
      <c r="F8573" s="1" t="s">
        <v>28579</v>
      </c>
      <c r="G8573" s="1" t="s">
        <v>18311</v>
      </c>
      <c r="H8573" s="1" t="s">
        <v>3604</v>
      </c>
      <c r="I8573" s="1" t="s">
        <v>28580</v>
      </c>
      <c r="J8573" s="1" t="s">
        <v>3615</v>
      </c>
      <c r="K8573" s="1" t="s">
        <v>28581</v>
      </c>
      <c r="L8573" s="1"/>
      <c r="M8573" s="1"/>
    </row>
    <row x14ac:dyDescent="0.25" r="8574" customHeight="1" ht="18.75">
      <c r="A8574" s="1" t="s">
        <v>7833</v>
      </c>
      <c r="B8574" s="1" t="s">
        <v>14264</v>
      </c>
      <c r="C8574" s="1" t="s">
        <v>4488</v>
      </c>
      <c r="D8574" s="1" t="s">
        <v>3601</v>
      </c>
      <c r="E8574" s="1" t="s">
        <v>3664</v>
      </c>
      <c r="F8574" s="1" t="s">
        <v>28582</v>
      </c>
      <c r="G8574" s="1" t="s">
        <v>14265</v>
      </c>
      <c r="H8574" s="1" t="s">
        <v>3604</v>
      </c>
      <c r="I8574" s="1" t="s">
        <v>28583</v>
      </c>
      <c r="J8574" s="1" t="s">
        <v>3606</v>
      </c>
      <c r="K8574" s="1" t="s">
        <v>28584</v>
      </c>
      <c r="L8574" s="1"/>
      <c r="M8574" s="1"/>
    </row>
    <row x14ac:dyDescent="0.25" r="8575" customHeight="1" ht="18.75">
      <c r="A8575" s="1" t="s">
        <v>3598</v>
      </c>
      <c r="B8575" s="1" t="s">
        <v>28264</v>
      </c>
      <c r="C8575" s="1" t="s">
        <v>3600</v>
      </c>
      <c r="D8575" s="1" t="s">
        <v>8365</v>
      </c>
      <c r="E8575" s="1" t="s">
        <v>3664</v>
      </c>
      <c r="F8575" s="1" t="s">
        <v>28585</v>
      </c>
      <c r="G8575" s="1" t="s">
        <v>18311</v>
      </c>
      <c r="H8575" s="1" t="s">
        <v>3604</v>
      </c>
      <c r="I8575" s="1" t="s">
        <v>28586</v>
      </c>
      <c r="J8575" s="1" t="s">
        <v>3615</v>
      </c>
      <c r="K8575" s="1" t="s">
        <v>28587</v>
      </c>
      <c r="L8575" s="1"/>
      <c r="M8575" s="1"/>
    </row>
    <row x14ac:dyDescent="0.25" r="8576" customHeight="1" ht="18.75">
      <c r="A8576" s="1" t="s">
        <v>7833</v>
      </c>
      <c r="B8576" s="1" t="s">
        <v>14264</v>
      </c>
      <c r="C8576" s="1" t="s">
        <v>4488</v>
      </c>
      <c r="D8576" s="1" t="s">
        <v>3601</v>
      </c>
      <c r="E8576" s="1" t="s">
        <v>3664</v>
      </c>
      <c r="F8576" s="1" t="s">
        <v>28588</v>
      </c>
      <c r="G8576" s="1" t="s">
        <v>25904</v>
      </c>
      <c r="H8576" s="1" t="s">
        <v>3604</v>
      </c>
      <c r="I8576" s="1" t="s">
        <v>28589</v>
      </c>
      <c r="J8576" s="1" t="s">
        <v>3606</v>
      </c>
      <c r="K8576" s="1" t="s">
        <v>28590</v>
      </c>
      <c r="L8576" s="1"/>
      <c r="M8576" s="1"/>
    </row>
    <row x14ac:dyDescent="0.25" r="8577" customHeight="1" ht="18.75">
      <c r="A8577" s="1" t="s">
        <v>3598</v>
      </c>
      <c r="B8577" s="1" t="s">
        <v>28264</v>
      </c>
      <c r="C8577" s="1" t="s">
        <v>3600</v>
      </c>
      <c r="D8577" s="1" t="s">
        <v>8365</v>
      </c>
      <c r="E8577" s="1" t="s">
        <v>3664</v>
      </c>
      <c r="F8577" s="1" t="s">
        <v>28591</v>
      </c>
      <c r="G8577" s="1" t="s">
        <v>18311</v>
      </c>
      <c r="H8577" s="1" t="s">
        <v>3604</v>
      </c>
      <c r="I8577" s="1" t="s">
        <v>28592</v>
      </c>
      <c r="J8577" s="1" t="s">
        <v>3615</v>
      </c>
      <c r="K8577" s="1" t="s">
        <v>28593</v>
      </c>
      <c r="L8577" s="1"/>
      <c r="M8577" s="1"/>
    </row>
    <row x14ac:dyDescent="0.25" r="8578" customHeight="1" ht="18.75">
      <c r="A8578" s="1" t="s">
        <v>7833</v>
      </c>
      <c r="B8578" s="1" t="s">
        <v>13754</v>
      </c>
      <c r="C8578" s="1" t="s">
        <v>3619</v>
      </c>
      <c r="D8578" s="1" t="s">
        <v>3601</v>
      </c>
      <c r="E8578" s="1" t="s">
        <v>3981</v>
      </c>
      <c r="F8578" s="1" t="s">
        <v>28594</v>
      </c>
      <c r="G8578" s="1" t="s">
        <v>14565</v>
      </c>
      <c r="H8578" s="1" t="s">
        <v>3604</v>
      </c>
      <c r="I8578" s="1" t="s">
        <v>28595</v>
      </c>
      <c r="J8578" s="1" t="s">
        <v>3615</v>
      </c>
      <c r="K8578" s="1" t="s">
        <v>9194</v>
      </c>
      <c r="L8578" s="1"/>
      <c r="M8578" s="1"/>
    </row>
    <row x14ac:dyDescent="0.25" r="8579" customHeight="1" ht="18.75">
      <c r="A8579" s="1" t="s">
        <v>3598</v>
      </c>
      <c r="B8579" s="1" t="s">
        <v>28264</v>
      </c>
      <c r="C8579" s="1" t="s">
        <v>3600</v>
      </c>
      <c r="D8579" s="1" t="s">
        <v>8365</v>
      </c>
      <c r="E8579" s="1" t="s">
        <v>3664</v>
      </c>
      <c r="F8579" s="1" t="s">
        <v>28596</v>
      </c>
      <c r="G8579" s="1" t="s">
        <v>18311</v>
      </c>
      <c r="H8579" s="1" t="s">
        <v>3604</v>
      </c>
      <c r="I8579" s="1" t="s">
        <v>28597</v>
      </c>
      <c r="J8579" s="1" t="s">
        <v>3615</v>
      </c>
      <c r="K8579" s="1" t="s">
        <v>28598</v>
      </c>
      <c r="L8579" s="1"/>
      <c r="M8579" s="1"/>
    </row>
    <row x14ac:dyDescent="0.25" r="8580" customHeight="1" ht="18.75">
      <c r="A8580" s="1" t="s">
        <v>7833</v>
      </c>
      <c r="B8580" s="1" t="s">
        <v>13754</v>
      </c>
      <c r="C8580" s="1" t="s">
        <v>3619</v>
      </c>
      <c r="D8580" s="1" t="s">
        <v>3601</v>
      </c>
      <c r="E8580" s="1" t="s">
        <v>3981</v>
      </c>
      <c r="F8580" s="1" t="s">
        <v>28599</v>
      </c>
      <c r="G8580" s="1" t="s">
        <v>14565</v>
      </c>
      <c r="H8580" s="1" t="s">
        <v>3604</v>
      </c>
      <c r="I8580" s="1" t="s">
        <v>28600</v>
      </c>
      <c r="J8580" s="1" t="s">
        <v>3615</v>
      </c>
      <c r="K8580" s="1" t="s">
        <v>28601</v>
      </c>
      <c r="L8580" s="1"/>
      <c r="M8580" s="1"/>
    </row>
    <row x14ac:dyDescent="0.25" r="8581" customHeight="1" ht="18.75">
      <c r="A8581" s="1" t="s">
        <v>3598</v>
      </c>
      <c r="B8581" s="1" t="s">
        <v>28264</v>
      </c>
      <c r="C8581" s="1" t="s">
        <v>3600</v>
      </c>
      <c r="D8581" s="1" t="s">
        <v>8365</v>
      </c>
      <c r="E8581" s="1" t="s">
        <v>3664</v>
      </c>
      <c r="F8581" s="1" t="s">
        <v>28602</v>
      </c>
      <c r="G8581" s="1" t="s">
        <v>18311</v>
      </c>
      <c r="H8581" s="1" t="s">
        <v>3604</v>
      </c>
      <c r="I8581" s="1" t="s">
        <v>28603</v>
      </c>
      <c r="J8581" s="1" t="s">
        <v>3615</v>
      </c>
      <c r="K8581" s="1" t="s">
        <v>28604</v>
      </c>
      <c r="L8581" s="1"/>
      <c r="M8581" s="1"/>
    </row>
    <row x14ac:dyDescent="0.25" r="8582" customHeight="1" ht="18.75">
      <c r="A8582" s="1" t="s">
        <v>7833</v>
      </c>
      <c r="B8582" s="1" t="s">
        <v>13754</v>
      </c>
      <c r="C8582" s="1" t="s">
        <v>3619</v>
      </c>
      <c r="D8582" s="1" t="s">
        <v>3601</v>
      </c>
      <c r="E8582" s="1" t="s">
        <v>3981</v>
      </c>
      <c r="F8582" s="1" t="s">
        <v>28605</v>
      </c>
      <c r="G8582" s="1" t="s">
        <v>14659</v>
      </c>
      <c r="H8582" s="1" t="s">
        <v>3604</v>
      </c>
      <c r="I8582" s="1" t="s">
        <v>28606</v>
      </c>
      <c r="J8582" s="1" t="s">
        <v>3615</v>
      </c>
      <c r="K8582" s="1" t="s">
        <v>28607</v>
      </c>
      <c r="L8582" s="1"/>
      <c r="M8582" s="1"/>
    </row>
    <row x14ac:dyDescent="0.25" r="8583" customHeight="1" ht="18.75">
      <c r="A8583" s="1" t="s">
        <v>3598</v>
      </c>
      <c r="B8583" s="1" t="s">
        <v>28264</v>
      </c>
      <c r="C8583" s="1" t="s">
        <v>3600</v>
      </c>
      <c r="D8583" s="1" t="s">
        <v>8365</v>
      </c>
      <c r="E8583" s="1" t="s">
        <v>3664</v>
      </c>
      <c r="F8583" s="1" t="s">
        <v>28608</v>
      </c>
      <c r="G8583" s="1" t="s">
        <v>18311</v>
      </c>
      <c r="H8583" s="1" t="s">
        <v>3604</v>
      </c>
      <c r="I8583" s="1" t="s">
        <v>28609</v>
      </c>
      <c r="J8583" s="1" t="s">
        <v>3615</v>
      </c>
      <c r="K8583" s="1" t="s">
        <v>28610</v>
      </c>
      <c r="L8583" s="1"/>
      <c r="M8583" s="1"/>
    </row>
    <row x14ac:dyDescent="0.25" r="8584" customHeight="1" ht="18.75">
      <c r="A8584" s="1" t="s">
        <v>7833</v>
      </c>
      <c r="B8584" s="1" t="s">
        <v>13754</v>
      </c>
      <c r="C8584" s="1" t="s">
        <v>3619</v>
      </c>
      <c r="D8584" s="1" t="s">
        <v>3601</v>
      </c>
      <c r="E8584" s="1" t="s">
        <v>3981</v>
      </c>
      <c r="F8584" s="1" t="s">
        <v>28611</v>
      </c>
      <c r="G8584" s="1" t="s">
        <v>28612</v>
      </c>
      <c r="H8584" s="1" t="s">
        <v>3604</v>
      </c>
      <c r="I8584" s="1" t="s">
        <v>28613</v>
      </c>
      <c r="J8584" s="1" t="s">
        <v>3615</v>
      </c>
      <c r="K8584" s="1" t="s">
        <v>28614</v>
      </c>
      <c r="L8584" s="1"/>
      <c r="M8584" s="1"/>
    </row>
    <row x14ac:dyDescent="0.25" r="8585" customHeight="1" ht="18.75">
      <c r="A8585" s="1" t="s">
        <v>7833</v>
      </c>
      <c r="B8585" s="1" t="s">
        <v>13754</v>
      </c>
      <c r="C8585" s="1" t="s">
        <v>3619</v>
      </c>
      <c r="D8585" s="1" t="s">
        <v>3601</v>
      </c>
      <c r="E8585" s="1" t="s">
        <v>3981</v>
      </c>
      <c r="F8585" s="1" t="s">
        <v>28615</v>
      </c>
      <c r="G8585" s="1" t="s">
        <v>28616</v>
      </c>
      <c r="H8585" s="1" t="s">
        <v>3604</v>
      </c>
      <c r="I8585" s="1" t="s">
        <v>28617</v>
      </c>
      <c r="J8585" s="1" t="s">
        <v>3615</v>
      </c>
      <c r="K8585" s="1" t="s">
        <v>28618</v>
      </c>
      <c r="L8585" s="1"/>
      <c r="M8585" s="1"/>
    </row>
    <row x14ac:dyDescent="0.25" r="8586" customHeight="1" ht="18.75">
      <c r="A8586" s="1" t="s">
        <v>3598</v>
      </c>
      <c r="B8586" s="1" t="s">
        <v>28264</v>
      </c>
      <c r="C8586" s="1" t="s">
        <v>3600</v>
      </c>
      <c r="D8586" s="1" t="s">
        <v>8365</v>
      </c>
      <c r="E8586" s="1" t="s">
        <v>3664</v>
      </c>
      <c r="F8586" s="1" t="s">
        <v>28619</v>
      </c>
      <c r="G8586" s="1" t="s">
        <v>18311</v>
      </c>
      <c r="H8586" s="1" t="s">
        <v>3604</v>
      </c>
      <c r="I8586" s="1" t="s">
        <v>28620</v>
      </c>
      <c r="J8586" s="1" t="s">
        <v>3615</v>
      </c>
      <c r="K8586" s="1" t="s">
        <v>28621</v>
      </c>
      <c r="L8586" s="1"/>
      <c r="M8586" s="1"/>
    </row>
    <row x14ac:dyDescent="0.25" r="8587" customHeight="1" ht="18.75">
      <c r="A8587" s="1" t="s">
        <v>7833</v>
      </c>
      <c r="B8587" s="1" t="s">
        <v>13754</v>
      </c>
      <c r="C8587" s="1" t="s">
        <v>3619</v>
      </c>
      <c r="D8587" s="1" t="s">
        <v>3601</v>
      </c>
      <c r="E8587" s="1" t="s">
        <v>3981</v>
      </c>
      <c r="F8587" s="1" t="s">
        <v>28622</v>
      </c>
      <c r="G8587" s="1" t="s">
        <v>28623</v>
      </c>
      <c r="H8587" s="1" t="s">
        <v>3604</v>
      </c>
      <c r="I8587" s="1" t="s">
        <v>28624</v>
      </c>
      <c r="J8587" s="1" t="s">
        <v>3615</v>
      </c>
      <c r="K8587" s="1" t="s">
        <v>28625</v>
      </c>
      <c r="L8587" s="1"/>
      <c r="M8587" s="1"/>
    </row>
    <row x14ac:dyDescent="0.25" r="8588" customHeight="1" ht="18.75">
      <c r="A8588" s="1" t="s">
        <v>3598</v>
      </c>
      <c r="B8588" s="1" t="s">
        <v>28264</v>
      </c>
      <c r="C8588" s="1" t="s">
        <v>3600</v>
      </c>
      <c r="D8588" s="1" t="s">
        <v>8365</v>
      </c>
      <c r="E8588" s="1" t="s">
        <v>3664</v>
      </c>
      <c r="F8588" s="1" t="s">
        <v>28626</v>
      </c>
      <c r="G8588" s="1" t="s">
        <v>18311</v>
      </c>
      <c r="H8588" s="1" t="s">
        <v>3604</v>
      </c>
      <c r="I8588" s="1" t="s">
        <v>28627</v>
      </c>
      <c r="J8588" s="1" t="s">
        <v>3615</v>
      </c>
      <c r="K8588" s="1" t="s">
        <v>28628</v>
      </c>
      <c r="L8588" s="1"/>
      <c r="M8588" s="1"/>
    </row>
    <row x14ac:dyDescent="0.25" r="8589" customHeight="1" ht="18.75">
      <c r="A8589" s="1" t="s">
        <v>7833</v>
      </c>
      <c r="B8589" s="1" t="s">
        <v>13754</v>
      </c>
      <c r="C8589" s="1" t="s">
        <v>3619</v>
      </c>
      <c r="D8589" s="1" t="s">
        <v>3601</v>
      </c>
      <c r="E8589" s="1" t="s">
        <v>3981</v>
      </c>
      <c r="F8589" s="1" t="s">
        <v>28629</v>
      </c>
      <c r="G8589" s="1" t="s">
        <v>14652</v>
      </c>
      <c r="H8589" s="1" t="s">
        <v>3604</v>
      </c>
      <c r="I8589" s="1" t="s">
        <v>28630</v>
      </c>
      <c r="J8589" s="1" t="s">
        <v>3615</v>
      </c>
      <c r="K8589" s="1" t="s">
        <v>28631</v>
      </c>
      <c r="L8589" s="1"/>
      <c r="M8589" s="1"/>
    </row>
    <row x14ac:dyDescent="0.25" r="8590" customHeight="1" ht="18.75">
      <c r="A8590" s="1" t="s">
        <v>3598</v>
      </c>
      <c r="B8590" s="1" t="s">
        <v>28264</v>
      </c>
      <c r="C8590" s="1" t="s">
        <v>3600</v>
      </c>
      <c r="D8590" s="1" t="s">
        <v>8365</v>
      </c>
      <c r="E8590" s="1" t="s">
        <v>3664</v>
      </c>
      <c r="F8590" s="1" t="s">
        <v>28632</v>
      </c>
      <c r="G8590" s="1" t="s">
        <v>18311</v>
      </c>
      <c r="H8590" s="1" t="s">
        <v>3604</v>
      </c>
      <c r="I8590" s="1" t="s">
        <v>28633</v>
      </c>
      <c r="J8590" s="1" t="s">
        <v>3615</v>
      </c>
      <c r="K8590" s="1" t="s">
        <v>28634</v>
      </c>
      <c r="L8590" s="1"/>
      <c r="M8590" s="1"/>
    </row>
    <row x14ac:dyDescent="0.25" r="8591" customHeight="1" ht="18.75">
      <c r="A8591" s="1" t="s">
        <v>7833</v>
      </c>
      <c r="B8591" s="1" t="s">
        <v>13754</v>
      </c>
      <c r="C8591" s="1" t="s">
        <v>3619</v>
      </c>
      <c r="D8591" s="1" t="s">
        <v>3601</v>
      </c>
      <c r="E8591" s="1" t="s">
        <v>3981</v>
      </c>
      <c r="F8591" s="1" t="s">
        <v>28635</v>
      </c>
      <c r="G8591" s="1" t="s">
        <v>14650</v>
      </c>
      <c r="H8591" s="1" t="s">
        <v>3604</v>
      </c>
      <c r="I8591" s="1" t="s">
        <v>28636</v>
      </c>
      <c r="J8591" s="1" t="s">
        <v>3615</v>
      </c>
      <c r="K8591" s="1" t="s">
        <v>28637</v>
      </c>
      <c r="L8591" s="1"/>
      <c r="M8591" s="1"/>
    </row>
    <row x14ac:dyDescent="0.25" r="8592" customHeight="1" ht="18.75">
      <c r="A8592" s="1" t="s">
        <v>3598</v>
      </c>
      <c r="B8592" s="1" t="s">
        <v>28264</v>
      </c>
      <c r="C8592" s="1" t="s">
        <v>3600</v>
      </c>
      <c r="D8592" s="1" t="s">
        <v>8365</v>
      </c>
      <c r="E8592" s="1" t="s">
        <v>3664</v>
      </c>
      <c r="F8592" s="1" t="s">
        <v>28638</v>
      </c>
      <c r="G8592" s="1" t="s">
        <v>18311</v>
      </c>
      <c r="H8592" s="1" t="s">
        <v>3604</v>
      </c>
      <c r="I8592" s="1" t="s">
        <v>28639</v>
      </c>
      <c r="J8592" s="1" t="s">
        <v>3615</v>
      </c>
      <c r="K8592" s="1" t="s">
        <v>28640</v>
      </c>
      <c r="L8592" s="1"/>
      <c r="M8592" s="1"/>
    </row>
    <row x14ac:dyDescent="0.25" r="8593" customHeight="1" ht="18.75">
      <c r="A8593" s="1" t="s">
        <v>7833</v>
      </c>
      <c r="B8593" s="1" t="s">
        <v>13754</v>
      </c>
      <c r="C8593" s="1" t="s">
        <v>3619</v>
      </c>
      <c r="D8593" s="1" t="s">
        <v>3601</v>
      </c>
      <c r="E8593" s="1" t="s">
        <v>3981</v>
      </c>
      <c r="F8593" s="1" t="s">
        <v>28641</v>
      </c>
      <c r="G8593" s="1" t="s">
        <v>13756</v>
      </c>
      <c r="H8593" s="1" t="s">
        <v>3604</v>
      </c>
      <c r="I8593" s="1" t="s">
        <v>28642</v>
      </c>
      <c r="J8593" s="1" t="s">
        <v>3615</v>
      </c>
      <c r="K8593" s="1" t="s">
        <v>22592</v>
      </c>
      <c r="L8593" s="1"/>
      <c r="M8593" s="1"/>
    </row>
    <row x14ac:dyDescent="0.25" r="8594" customHeight="1" ht="18.75">
      <c r="A8594" s="1" t="s">
        <v>7833</v>
      </c>
      <c r="B8594" s="1" t="s">
        <v>13754</v>
      </c>
      <c r="C8594" s="1" t="s">
        <v>3619</v>
      </c>
      <c r="D8594" s="1" t="s">
        <v>3601</v>
      </c>
      <c r="E8594" s="1" t="s">
        <v>3981</v>
      </c>
      <c r="F8594" s="1" t="s">
        <v>28643</v>
      </c>
      <c r="G8594" s="1" t="s">
        <v>14659</v>
      </c>
      <c r="H8594" s="1" t="s">
        <v>3604</v>
      </c>
      <c r="I8594" s="1" t="s">
        <v>28644</v>
      </c>
      <c r="J8594" s="1" t="s">
        <v>3615</v>
      </c>
      <c r="K8594" s="1" t="s">
        <v>28645</v>
      </c>
      <c r="L8594" s="1"/>
      <c r="M8594" s="1"/>
    </row>
    <row x14ac:dyDescent="0.25" r="8595" customHeight="1" ht="18.75">
      <c r="A8595" s="1" t="s">
        <v>3598</v>
      </c>
      <c r="B8595" s="1" t="s">
        <v>28264</v>
      </c>
      <c r="C8595" s="1" t="s">
        <v>3600</v>
      </c>
      <c r="D8595" s="1" t="s">
        <v>8365</v>
      </c>
      <c r="E8595" s="1" t="s">
        <v>3664</v>
      </c>
      <c r="F8595" s="1" t="s">
        <v>28646</v>
      </c>
      <c r="G8595" s="1" t="s">
        <v>18311</v>
      </c>
      <c r="H8595" s="1" t="s">
        <v>3604</v>
      </c>
      <c r="I8595" s="1" t="s">
        <v>28647</v>
      </c>
      <c r="J8595" s="1" t="s">
        <v>3615</v>
      </c>
      <c r="K8595" s="1" t="s">
        <v>28648</v>
      </c>
      <c r="L8595" s="1"/>
      <c r="M8595" s="1"/>
    </row>
    <row x14ac:dyDescent="0.25" r="8596" customHeight="1" ht="18.75">
      <c r="A8596" s="1" t="s">
        <v>7833</v>
      </c>
      <c r="B8596" s="1" t="s">
        <v>13754</v>
      </c>
      <c r="C8596" s="1" t="s">
        <v>3619</v>
      </c>
      <c r="D8596" s="1" t="s">
        <v>3601</v>
      </c>
      <c r="E8596" s="1" t="s">
        <v>3981</v>
      </c>
      <c r="F8596" s="1" t="s">
        <v>28649</v>
      </c>
      <c r="G8596" s="1" t="s">
        <v>28612</v>
      </c>
      <c r="H8596" s="1" t="s">
        <v>3604</v>
      </c>
      <c r="I8596" s="1" t="s">
        <v>28650</v>
      </c>
      <c r="J8596" s="1" t="s">
        <v>3615</v>
      </c>
      <c r="K8596" s="1" t="s">
        <v>28651</v>
      </c>
      <c r="L8596" s="1"/>
      <c r="M8596" s="1"/>
    </row>
    <row x14ac:dyDescent="0.25" r="8597" customHeight="1" ht="18.75">
      <c r="A8597" s="1" t="s">
        <v>3598</v>
      </c>
      <c r="B8597" s="1" t="s">
        <v>28264</v>
      </c>
      <c r="C8597" s="1" t="s">
        <v>3600</v>
      </c>
      <c r="D8597" s="1" t="s">
        <v>8365</v>
      </c>
      <c r="E8597" s="1" t="s">
        <v>3664</v>
      </c>
      <c r="F8597" s="1" t="s">
        <v>28652</v>
      </c>
      <c r="G8597" s="1" t="s">
        <v>18311</v>
      </c>
      <c r="H8597" s="1" t="s">
        <v>3604</v>
      </c>
      <c r="I8597" s="1" t="s">
        <v>28653</v>
      </c>
      <c r="J8597" s="1" t="s">
        <v>3615</v>
      </c>
      <c r="K8597" s="1" t="s">
        <v>28654</v>
      </c>
      <c r="L8597" s="1"/>
      <c r="M8597" s="1"/>
    </row>
    <row x14ac:dyDescent="0.25" r="8598" customHeight="1" ht="18.75">
      <c r="A8598" s="1" t="s">
        <v>7833</v>
      </c>
      <c r="B8598" s="1" t="s">
        <v>13754</v>
      </c>
      <c r="C8598" s="1" t="s">
        <v>3619</v>
      </c>
      <c r="D8598" s="1" t="s">
        <v>3601</v>
      </c>
      <c r="E8598" s="1" t="s">
        <v>3981</v>
      </c>
      <c r="F8598" s="1" t="s">
        <v>28655</v>
      </c>
      <c r="G8598" s="1" t="s">
        <v>28616</v>
      </c>
      <c r="H8598" s="1" t="s">
        <v>3604</v>
      </c>
      <c r="I8598" s="1" t="s">
        <v>28656</v>
      </c>
      <c r="J8598" s="1" t="s">
        <v>3615</v>
      </c>
      <c r="K8598" s="1" t="s">
        <v>28657</v>
      </c>
      <c r="L8598" s="1"/>
      <c r="M8598" s="1"/>
    </row>
    <row x14ac:dyDescent="0.25" r="8599" customHeight="1" ht="18.75">
      <c r="A8599" s="1" t="s">
        <v>3598</v>
      </c>
      <c r="B8599" s="1" t="s">
        <v>16934</v>
      </c>
      <c r="C8599" s="1" t="s">
        <v>3600</v>
      </c>
      <c r="D8599" s="1" t="s">
        <v>8365</v>
      </c>
      <c r="E8599" s="1" t="s">
        <v>3893</v>
      </c>
      <c r="F8599" s="1" t="s">
        <v>28658</v>
      </c>
      <c r="G8599" s="1" t="s">
        <v>3603</v>
      </c>
      <c r="H8599" s="1" t="s">
        <v>3604</v>
      </c>
      <c r="I8599" s="1" t="s">
        <v>28659</v>
      </c>
      <c r="J8599" s="1" t="s">
        <v>3615</v>
      </c>
      <c r="K8599" s="1" t="s">
        <v>28660</v>
      </c>
      <c r="L8599" s="1"/>
      <c r="M8599" s="1"/>
    </row>
    <row x14ac:dyDescent="0.25" r="8600" customHeight="1" ht="18.75">
      <c r="A8600" s="1" t="s">
        <v>7833</v>
      </c>
      <c r="B8600" s="1" t="s">
        <v>13754</v>
      </c>
      <c r="C8600" s="1" t="s">
        <v>3619</v>
      </c>
      <c r="D8600" s="1" t="s">
        <v>3601</v>
      </c>
      <c r="E8600" s="1" t="s">
        <v>3981</v>
      </c>
      <c r="F8600" s="1" t="s">
        <v>28661</v>
      </c>
      <c r="G8600" s="1" t="s">
        <v>28623</v>
      </c>
      <c r="H8600" s="1" t="s">
        <v>3604</v>
      </c>
      <c r="I8600" s="1" t="s">
        <v>28662</v>
      </c>
      <c r="J8600" s="1" t="s">
        <v>3615</v>
      </c>
      <c r="K8600" s="1" t="s">
        <v>28663</v>
      </c>
      <c r="L8600" s="1"/>
      <c r="M8600" s="1"/>
    </row>
    <row x14ac:dyDescent="0.25" r="8601" customHeight="1" ht="18.75">
      <c r="A8601" s="1" t="s">
        <v>3598</v>
      </c>
      <c r="B8601" s="1" t="s">
        <v>28664</v>
      </c>
      <c r="C8601" s="1" t="s">
        <v>3600</v>
      </c>
      <c r="D8601" s="1" t="s">
        <v>8365</v>
      </c>
      <c r="E8601" s="1" t="s">
        <v>3893</v>
      </c>
      <c r="F8601" s="1" t="s">
        <v>28665</v>
      </c>
      <c r="G8601" s="1" t="s">
        <v>28666</v>
      </c>
      <c r="H8601" s="1" t="s">
        <v>3604</v>
      </c>
      <c r="I8601" s="1" t="s">
        <v>28667</v>
      </c>
      <c r="J8601" s="1" t="s">
        <v>3615</v>
      </c>
      <c r="K8601" s="1" t="s">
        <v>28668</v>
      </c>
      <c r="L8601" s="1"/>
      <c r="M8601" s="1"/>
    </row>
    <row x14ac:dyDescent="0.25" r="8602" customHeight="1" ht="18.75">
      <c r="A8602" s="1" t="s">
        <v>7833</v>
      </c>
      <c r="B8602" s="1" t="s">
        <v>13754</v>
      </c>
      <c r="C8602" s="1" t="s">
        <v>3619</v>
      </c>
      <c r="D8602" s="1" t="s">
        <v>3601</v>
      </c>
      <c r="E8602" s="1" t="s">
        <v>3981</v>
      </c>
      <c r="F8602" s="1" t="s">
        <v>28669</v>
      </c>
      <c r="G8602" s="1" t="s">
        <v>28670</v>
      </c>
      <c r="H8602" s="1" t="s">
        <v>3604</v>
      </c>
      <c r="I8602" s="1" t="s">
        <v>28671</v>
      </c>
      <c r="J8602" s="1" t="s">
        <v>3615</v>
      </c>
      <c r="K8602" s="1" t="s">
        <v>28672</v>
      </c>
      <c r="L8602" s="1"/>
      <c r="M8602" s="1"/>
    </row>
    <row x14ac:dyDescent="0.25" r="8603" customHeight="1" ht="18.75">
      <c r="A8603" s="1" t="s">
        <v>3598</v>
      </c>
      <c r="B8603" s="1" t="s">
        <v>8651</v>
      </c>
      <c r="C8603" s="1" t="s">
        <v>3600</v>
      </c>
      <c r="D8603" s="1" t="s">
        <v>8365</v>
      </c>
      <c r="E8603" s="1" t="s">
        <v>3664</v>
      </c>
      <c r="F8603" s="1" t="s">
        <v>28673</v>
      </c>
      <c r="G8603" s="1" t="s">
        <v>8653</v>
      </c>
      <c r="H8603" s="1" t="s">
        <v>3604</v>
      </c>
      <c r="I8603" s="1" t="s">
        <v>28674</v>
      </c>
      <c r="J8603" s="1" t="s">
        <v>3615</v>
      </c>
      <c r="K8603" s="1" t="s">
        <v>28675</v>
      </c>
      <c r="L8603" s="1"/>
      <c r="M8603" s="1"/>
    </row>
    <row x14ac:dyDescent="0.25" r="8604" customHeight="1" ht="18.75">
      <c r="A8604" s="1" t="s">
        <v>7833</v>
      </c>
      <c r="B8604" s="1" t="s">
        <v>13754</v>
      </c>
      <c r="C8604" s="1" t="s">
        <v>3619</v>
      </c>
      <c r="D8604" s="1" t="s">
        <v>3601</v>
      </c>
      <c r="E8604" s="1" t="s">
        <v>3981</v>
      </c>
      <c r="F8604" s="1" t="s">
        <v>28676</v>
      </c>
      <c r="G8604" s="1" t="s">
        <v>28677</v>
      </c>
      <c r="H8604" s="1" t="s">
        <v>3604</v>
      </c>
      <c r="I8604" s="1" t="s">
        <v>28678</v>
      </c>
      <c r="J8604" s="1" t="s">
        <v>3615</v>
      </c>
      <c r="K8604" s="1" t="s">
        <v>28679</v>
      </c>
      <c r="L8604" s="1"/>
      <c r="M8604" s="1"/>
    </row>
    <row x14ac:dyDescent="0.25" r="8605" customHeight="1" ht="18.75">
      <c r="A8605" s="1" t="s">
        <v>3598</v>
      </c>
      <c r="B8605" s="1" t="s">
        <v>8651</v>
      </c>
      <c r="C8605" s="1" t="s">
        <v>3600</v>
      </c>
      <c r="D8605" s="1" t="s">
        <v>8365</v>
      </c>
      <c r="E8605" s="1" t="s">
        <v>3664</v>
      </c>
      <c r="F8605" s="1" t="s">
        <v>28680</v>
      </c>
      <c r="G8605" s="1" t="s">
        <v>8653</v>
      </c>
      <c r="H8605" s="1" t="s">
        <v>3604</v>
      </c>
      <c r="I8605" s="1" t="s">
        <v>28681</v>
      </c>
      <c r="J8605" s="1" t="s">
        <v>3615</v>
      </c>
      <c r="K8605" s="1" t="s">
        <v>28682</v>
      </c>
      <c r="L8605" s="1"/>
      <c r="M8605" s="1"/>
    </row>
    <row x14ac:dyDescent="0.25" r="8606" customHeight="1" ht="18.75">
      <c r="A8606" s="1" t="s">
        <v>7833</v>
      </c>
      <c r="B8606" s="1" t="s">
        <v>13754</v>
      </c>
      <c r="C8606" s="1" t="s">
        <v>3619</v>
      </c>
      <c r="D8606" s="1" t="s">
        <v>3601</v>
      </c>
      <c r="E8606" s="1" t="s">
        <v>3981</v>
      </c>
      <c r="F8606" s="1" t="s">
        <v>28683</v>
      </c>
      <c r="G8606" s="1" t="s">
        <v>26144</v>
      </c>
      <c r="H8606" s="1" t="s">
        <v>3604</v>
      </c>
      <c r="I8606" s="1" t="s">
        <v>28684</v>
      </c>
      <c r="J8606" s="1" t="s">
        <v>3615</v>
      </c>
      <c r="K8606" s="1" t="s">
        <v>28685</v>
      </c>
      <c r="L8606" s="1"/>
      <c r="M8606" s="1"/>
    </row>
    <row x14ac:dyDescent="0.25" r="8607" customHeight="1" ht="18.75">
      <c r="A8607" s="1" t="s">
        <v>3598</v>
      </c>
      <c r="B8607" s="1" t="s">
        <v>28274</v>
      </c>
      <c r="C8607" s="1" t="s">
        <v>3600</v>
      </c>
      <c r="D8607" s="1" t="s">
        <v>8365</v>
      </c>
      <c r="E8607" s="1" t="s">
        <v>3752</v>
      </c>
      <c r="F8607" s="1" t="s">
        <v>28686</v>
      </c>
      <c r="G8607" s="1" t="s">
        <v>28276</v>
      </c>
      <c r="H8607" s="1" t="s">
        <v>3604</v>
      </c>
      <c r="I8607" s="1" t="s">
        <v>28687</v>
      </c>
      <c r="J8607" s="1" t="s">
        <v>3615</v>
      </c>
      <c r="K8607" s="1" t="s">
        <v>28688</v>
      </c>
      <c r="L8607" s="1"/>
      <c r="M8607" s="1"/>
    </row>
    <row x14ac:dyDescent="0.25" r="8608" customHeight="1" ht="18.75">
      <c r="A8608" s="1" t="s">
        <v>7833</v>
      </c>
      <c r="B8608" s="1" t="s">
        <v>13754</v>
      </c>
      <c r="C8608" s="1" t="s">
        <v>3619</v>
      </c>
      <c r="D8608" s="1" t="s">
        <v>3601</v>
      </c>
      <c r="E8608" s="1" t="s">
        <v>3981</v>
      </c>
      <c r="F8608" s="1" t="s">
        <v>28689</v>
      </c>
      <c r="G8608" s="1" t="s">
        <v>14652</v>
      </c>
      <c r="H8608" s="1" t="s">
        <v>3604</v>
      </c>
      <c r="I8608" s="1" t="s">
        <v>28690</v>
      </c>
      <c r="J8608" s="1" t="s">
        <v>3615</v>
      </c>
      <c r="K8608" s="1" t="s">
        <v>28691</v>
      </c>
      <c r="L8608" s="1"/>
      <c r="M8608" s="1"/>
    </row>
    <row x14ac:dyDescent="0.25" r="8609" customHeight="1" ht="18.75">
      <c r="A8609" s="1" t="s">
        <v>3598</v>
      </c>
      <c r="B8609" s="1" t="s">
        <v>28692</v>
      </c>
      <c r="C8609" s="1" t="s">
        <v>3600</v>
      </c>
      <c r="D8609" s="1" t="s">
        <v>8365</v>
      </c>
      <c r="E8609" s="1" t="s">
        <v>3664</v>
      </c>
      <c r="F8609" s="1" t="s">
        <v>28693</v>
      </c>
      <c r="G8609" s="1" t="s">
        <v>17381</v>
      </c>
      <c r="H8609" s="1" t="s">
        <v>3604</v>
      </c>
      <c r="I8609" s="1" t="s">
        <v>28694</v>
      </c>
      <c r="J8609" s="1" t="s">
        <v>3615</v>
      </c>
      <c r="K8609" s="1" t="s">
        <v>28695</v>
      </c>
      <c r="L8609" s="1"/>
      <c r="M8609" s="1"/>
    </row>
    <row x14ac:dyDescent="0.25" r="8610" customHeight="1" ht="18.75">
      <c r="A8610" s="1" t="s">
        <v>7833</v>
      </c>
      <c r="B8610" s="1" t="s">
        <v>13754</v>
      </c>
      <c r="C8610" s="1" t="s">
        <v>3619</v>
      </c>
      <c r="D8610" s="1" t="s">
        <v>3601</v>
      </c>
      <c r="E8610" s="1" t="s">
        <v>3981</v>
      </c>
      <c r="F8610" s="1" t="s">
        <v>28696</v>
      </c>
      <c r="G8610" s="1" t="s">
        <v>14650</v>
      </c>
      <c r="H8610" s="1" t="s">
        <v>3604</v>
      </c>
      <c r="I8610" s="1" t="s">
        <v>28697</v>
      </c>
      <c r="J8610" s="1" t="s">
        <v>3615</v>
      </c>
      <c r="K8610" s="1" t="s">
        <v>28698</v>
      </c>
      <c r="L8610" s="1"/>
      <c r="M8610" s="1"/>
    </row>
    <row x14ac:dyDescent="0.25" r="8611" customHeight="1" ht="18.75">
      <c r="A8611" s="1" t="s">
        <v>3598</v>
      </c>
      <c r="B8611" s="1" t="s">
        <v>8602</v>
      </c>
      <c r="C8611" s="1" t="s">
        <v>3600</v>
      </c>
      <c r="D8611" s="1" t="s">
        <v>8365</v>
      </c>
      <c r="E8611" s="1" t="s">
        <v>3893</v>
      </c>
      <c r="F8611" s="1" t="s">
        <v>28699</v>
      </c>
      <c r="G8611" s="1" t="s">
        <v>8604</v>
      </c>
      <c r="H8611" s="1" t="s">
        <v>3604</v>
      </c>
      <c r="I8611" s="1" t="s">
        <v>28700</v>
      </c>
      <c r="J8611" s="1" t="s">
        <v>3615</v>
      </c>
      <c r="K8611" s="1" t="s">
        <v>28701</v>
      </c>
      <c r="L8611" s="1"/>
      <c r="M8611" s="1"/>
    </row>
    <row x14ac:dyDescent="0.25" r="8612" customHeight="1" ht="18.75">
      <c r="A8612" s="1" t="s">
        <v>7833</v>
      </c>
      <c r="B8612" s="1" t="s">
        <v>13754</v>
      </c>
      <c r="C8612" s="1" t="s">
        <v>3619</v>
      </c>
      <c r="D8612" s="1" t="s">
        <v>3601</v>
      </c>
      <c r="E8612" s="1" t="s">
        <v>3981</v>
      </c>
      <c r="F8612" s="1" t="s">
        <v>28702</v>
      </c>
      <c r="G8612" s="1" t="s">
        <v>13756</v>
      </c>
      <c r="H8612" s="1" t="s">
        <v>3604</v>
      </c>
      <c r="I8612" s="1" t="s">
        <v>28703</v>
      </c>
      <c r="J8612" s="1" t="s">
        <v>3615</v>
      </c>
      <c r="K8612" s="1" t="s">
        <v>22605</v>
      </c>
      <c r="L8612" s="1"/>
      <c r="M8612" s="1"/>
    </row>
    <row x14ac:dyDescent="0.25" r="8613" customHeight="1" ht="18.75">
      <c r="A8613" s="1" t="s">
        <v>3598</v>
      </c>
      <c r="B8613" s="1" t="s">
        <v>28704</v>
      </c>
      <c r="C8613" s="1" t="s">
        <v>3600</v>
      </c>
      <c r="D8613" s="1" t="s">
        <v>8365</v>
      </c>
      <c r="E8613" s="1" t="s">
        <v>3664</v>
      </c>
      <c r="F8613" s="1" t="s">
        <v>28705</v>
      </c>
      <c r="G8613" s="1" t="s">
        <v>17385</v>
      </c>
      <c r="H8613" s="1" t="s">
        <v>3604</v>
      </c>
      <c r="I8613" s="1" t="s">
        <v>28706</v>
      </c>
      <c r="J8613" s="1" t="s">
        <v>3615</v>
      </c>
      <c r="K8613" s="1" t="s">
        <v>28707</v>
      </c>
      <c r="L8613" s="1"/>
      <c r="M8613" s="1"/>
    </row>
    <row x14ac:dyDescent="0.25" r="8614" customHeight="1" ht="18.75">
      <c r="A8614" s="1" t="s">
        <v>7833</v>
      </c>
      <c r="B8614" s="1" t="s">
        <v>13754</v>
      </c>
      <c r="C8614" s="1" t="s">
        <v>3619</v>
      </c>
      <c r="D8614" s="1" t="s">
        <v>3601</v>
      </c>
      <c r="E8614" s="1" t="s">
        <v>3981</v>
      </c>
      <c r="F8614" s="1" t="s">
        <v>28708</v>
      </c>
      <c r="G8614" s="1" t="s">
        <v>14565</v>
      </c>
      <c r="H8614" s="1" t="s">
        <v>3604</v>
      </c>
      <c r="I8614" s="1" t="s">
        <v>28709</v>
      </c>
      <c r="J8614" s="1" t="s">
        <v>3615</v>
      </c>
      <c r="K8614" s="1" t="s">
        <v>28710</v>
      </c>
      <c r="L8614" s="1"/>
      <c r="M8614" s="1"/>
    </row>
    <row x14ac:dyDescent="0.25" r="8615" customHeight="1" ht="18.75">
      <c r="A8615" s="1" t="s">
        <v>3598</v>
      </c>
      <c r="B8615" s="1" t="s">
        <v>28704</v>
      </c>
      <c r="C8615" s="1" t="s">
        <v>3600</v>
      </c>
      <c r="D8615" s="1" t="s">
        <v>8365</v>
      </c>
      <c r="E8615" s="1" t="s">
        <v>3664</v>
      </c>
      <c r="F8615" s="1" t="s">
        <v>28711</v>
      </c>
      <c r="G8615" s="1" t="s">
        <v>17385</v>
      </c>
      <c r="H8615" s="1" t="s">
        <v>3604</v>
      </c>
      <c r="I8615" s="1" t="s">
        <v>28712</v>
      </c>
      <c r="J8615" s="1" t="s">
        <v>3615</v>
      </c>
      <c r="K8615" s="1" t="s">
        <v>28713</v>
      </c>
      <c r="L8615" s="1"/>
      <c r="M8615" s="1"/>
    </row>
    <row x14ac:dyDescent="0.25" r="8616" customHeight="1" ht="18.75">
      <c r="A8616" s="1" t="s">
        <v>7833</v>
      </c>
      <c r="B8616" s="1" t="s">
        <v>13754</v>
      </c>
      <c r="C8616" s="1" t="s">
        <v>3619</v>
      </c>
      <c r="D8616" s="1" t="s">
        <v>3601</v>
      </c>
      <c r="E8616" s="1" t="s">
        <v>3981</v>
      </c>
      <c r="F8616" s="1" t="s">
        <v>28714</v>
      </c>
      <c r="G8616" s="1" t="s">
        <v>14565</v>
      </c>
      <c r="H8616" s="1" t="s">
        <v>3604</v>
      </c>
      <c r="I8616" s="1" t="s">
        <v>28715</v>
      </c>
      <c r="J8616" s="1" t="s">
        <v>3615</v>
      </c>
      <c r="K8616" s="1" t="s">
        <v>20771</v>
      </c>
      <c r="L8616" s="1"/>
      <c r="M8616" s="1"/>
    </row>
    <row x14ac:dyDescent="0.25" r="8617" customHeight="1" ht="18.75">
      <c r="A8617" s="1" t="s">
        <v>3598</v>
      </c>
      <c r="B8617" s="1" t="s">
        <v>28704</v>
      </c>
      <c r="C8617" s="1" t="s">
        <v>3600</v>
      </c>
      <c r="D8617" s="1" t="s">
        <v>8365</v>
      </c>
      <c r="E8617" s="1" t="s">
        <v>3664</v>
      </c>
      <c r="F8617" s="1" t="s">
        <v>28716</v>
      </c>
      <c r="G8617" s="1" t="s">
        <v>17385</v>
      </c>
      <c r="H8617" s="1" t="s">
        <v>3604</v>
      </c>
      <c r="I8617" s="1" t="s">
        <v>28717</v>
      </c>
      <c r="J8617" s="1" t="s">
        <v>3615</v>
      </c>
      <c r="K8617" s="1" t="s">
        <v>28718</v>
      </c>
      <c r="L8617" s="1"/>
      <c r="M8617" s="1"/>
    </row>
    <row x14ac:dyDescent="0.25" r="8618" customHeight="1" ht="18.75">
      <c r="A8618" s="1" t="s">
        <v>7833</v>
      </c>
      <c r="B8618" s="1" t="s">
        <v>14422</v>
      </c>
      <c r="C8618" s="1" t="s">
        <v>4488</v>
      </c>
      <c r="D8618" s="1" t="s">
        <v>3601</v>
      </c>
      <c r="E8618" s="1" t="s">
        <v>3664</v>
      </c>
      <c r="F8618" s="1" t="s">
        <v>28719</v>
      </c>
      <c r="G8618" s="1" t="s">
        <v>14424</v>
      </c>
      <c r="H8618" s="1" t="s">
        <v>3604</v>
      </c>
      <c r="I8618" s="1" t="s">
        <v>28720</v>
      </c>
      <c r="J8618" s="1" t="s">
        <v>3615</v>
      </c>
      <c r="K8618" s="1" t="s">
        <v>9740</v>
      </c>
      <c r="L8618" s="1"/>
      <c r="M8618" s="1"/>
    </row>
    <row x14ac:dyDescent="0.25" r="8619" customHeight="1" ht="18.75">
      <c r="A8619" s="1" t="s">
        <v>3598</v>
      </c>
      <c r="B8619" s="1" t="s">
        <v>28704</v>
      </c>
      <c r="C8619" s="1" t="s">
        <v>3600</v>
      </c>
      <c r="D8619" s="1" t="s">
        <v>8365</v>
      </c>
      <c r="E8619" s="1" t="s">
        <v>3664</v>
      </c>
      <c r="F8619" s="1" t="s">
        <v>28721</v>
      </c>
      <c r="G8619" s="1" t="s">
        <v>17385</v>
      </c>
      <c r="H8619" s="1" t="s">
        <v>3604</v>
      </c>
      <c r="I8619" s="1" t="s">
        <v>28722</v>
      </c>
      <c r="J8619" s="1" t="s">
        <v>3615</v>
      </c>
      <c r="K8619" s="1" t="s">
        <v>28723</v>
      </c>
      <c r="L8619" s="1"/>
      <c r="M8619" s="1"/>
    </row>
    <row x14ac:dyDescent="0.25" r="8620" customHeight="1" ht="18.75">
      <c r="A8620" s="1" t="s">
        <v>7833</v>
      </c>
      <c r="B8620" s="1" t="s">
        <v>14422</v>
      </c>
      <c r="C8620" s="1" t="s">
        <v>4488</v>
      </c>
      <c r="D8620" s="1" t="s">
        <v>3601</v>
      </c>
      <c r="E8620" s="1" t="s">
        <v>3664</v>
      </c>
      <c r="F8620" s="1" t="s">
        <v>28724</v>
      </c>
      <c r="G8620" s="1" t="s">
        <v>14424</v>
      </c>
      <c r="H8620" s="1" t="s">
        <v>3604</v>
      </c>
      <c r="I8620" s="1" t="s">
        <v>28725</v>
      </c>
      <c r="J8620" s="1" t="s">
        <v>3615</v>
      </c>
      <c r="K8620" s="1" t="s">
        <v>28726</v>
      </c>
      <c r="L8620" s="1"/>
      <c r="M8620" s="1"/>
    </row>
    <row x14ac:dyDescent="0.25" r="8621" customHeight="1" ht="18.75">
      <c r="A8621" s="1" t="s">
        <v>3598</v>
      </c>
      <c r="B8621" s="1" t="s">
        <v>28704</v>
      </c>
      <c r="C8621" s="1" t="s">
        <v>3600</v>
      </c>
      <c r="D8621" s="1" t="s">
        <v>8365</v>
      </c>
      <c r="E8621" s="1" t="s">
        <v>3664</v>
      </c>
      <c r="F8621" s="1" t="s">
        <v>28727</v>
      </c>
      <c r="G8621" s="1" t="s">
        <v>17385</v>
      </c>
      <c r="H8621" s="1" t="s">
        <v>3604</v>
      </c>
      <c r="I8621" s="1" t="s">
        <v>28728</v>
      </c>
      <c r="J8621" s="1" t="s">
        <v>3615</v>
      </c>
      <c r="K8621" s="1" t="s">
        <v>28729</v>
      </c>
      <c r="L8621" s="1"/>
      <c r="M8621" s="1"/>
    </row>
    <row x14ac:dyDescent="0.25" r="8622" customHeight="1" ht="18.75">
      <c r="A8622" s="1" t="s">
        <v>7833</v>
      </c>
      <c r="B8622" s="1" t="s">
        <v>14422</v>
      </c>
      <c r="C8622" s="1" t="s">
        <v>4488</v>
      </c>
      <c r="D8622" s="1" t="s">
        <v>3601</v>
      </c>
      <c r="E8622" s="1" t="s">
        <v>3664</v>
      </c>
      <c r="F8622" s="1" t="s">
        <v>28730</v>
      </c>
      <c r="G8622" s="1" t="s">
        <v>14449</v>
      </c>
      <c r="H8622" s="1" t="s">
        <v>3604</v>
      </c>
      <c r="I8622" s="1" t="s">
        <v>28731</v>
      </c>
      <c r="J8622" s="1" t="s">
        <v>3615</v>
      </c>
      <c r="K8622" s="1" t="s">
        <v>21575</v>
      </c>
      <c r="L8622" s="1"/>
      <c r="M8622" s="1"/>
    </row>
    <row x14ac:dyDescent="0.25" r="8623" customHeight="1" ht="18.75">
      <c r="A8623" s="1" t="s">
        <v>3598</v>
      </c>
      <c r="B8623" s="1" t="s">
        <v>28704</v>
      </c>
      <c r="C8623" s="1" t="s">
        <v>3600</v>
      </c>
      <c r="D8623" s="1" t="s">
        <v>8365</v>
      </c>
      <c r="E8623" s="1" t="s">
        <v>3664</v>
      </c>
      <c r="F8623" s="1" t="s">
        <v>28732</v>
      </c>
      <c r="G8623" s="1" t="s">
        <v>17385</v>
      </c>
      <c r="H8623" s="1" t="s">
        <v>3604</v>
      </c>
      <c r="I8623" s="1" t="s">
        <v>28733</v>
      </c>
      <c r="J8623" s="1" t="s">
        <v>3615</v>
      </c>
      <c r="K8623" s="1" t="s">
        <v>28734</v>
      </c>
      <c r="L8623" s="1"/>
      <c r="M8623" s="1"/>
    </row>
    <row x14ac:dyDescent="0.25" r="8624" customHeight="1" ht="18.75">
      <c r="A8624" s="1" t="s">
        <v>7833</v>
      </c>
      <c r="B8624" s="1" t="s">
        <v>14422</v>
      </c>
      <c r="C8624" s="1" t="s">
        <v>4488</v>
      </c>
      <c r="D8624" s="1" t="s">
        <v>3601</v>
      </c>
      <c r="E8624" s="1" t="s">
        <v>3664</v>
      </c>
      <c r="F8624" s="1" t="s">
        <v>28735</v>
      </c>
      <c r="G8624" s="1" t="s">
        <v>14449</v>
      </c>
      <c r="H8624" s="1" t="s">
        <v>3604</v>
      </c>
      <c r="I8624" s="1" t="s">
        <v>28736</v>
      </c>
      <c r="J8624" s="1" t="s">
        <v>3615</v>
      </c>
      <c r="K8624" s="1" t="s">
        <v>21578</v>
      </c>
      <c r="L8624" s="1"/>
      <c r="M8624" s="1"/>
    </row>
    <row x14ac:dyDescent="0.25" r="8625" customHeight="1" ht="18.75">
      <c r="A8625" s="1" t="s">
        <v>7833</v>
      </c>
      <c r="B8625" s="1" t="s">
        <v>14422</v>
      </c>
      <c r="C8625" s="1" t="s">
        <v>4488</v>
      </c>
      <c r="D8625" s="1" t="s">
        <v>3601</v>
      </c>
      <c r="E8625" s="1" t="s">
        <v>3664</v>
      </c>
      <c r="F8625" s="1" t="s">
        <v>28737</v>
      </c>
      <c r="G8625" s="1" t="s">
        <v>14424</v>
      </c>
      <c r="H8625" s="1" t="s">
        <v>3604</v>
      </c>
      <c r="I8625" s="1" t="s">
        <v>28738</v>
      </c>
      <c r="J8625" s="1" t="s">
        <v>3615</v>
      </c>
      <c r="K8625" s="1" t="s">
        <v>28739</v>
      </c>
      <c r="L8625" s="1"/>
      <c r="M8625" s="1"/>
    </row>
    <row x14ac:dyDescent="0.25" r="8626" customHeight="1" ht="18.75">
      <c r="A8626" s="1" t="s">
        <v>3598</v>
      </c>
      <c r="B8626" s="1" t="s">
        <v>28740</v>
      </c>
      <c r="C8626" s="1" t="s">
        <v>3600</v>
      </c>
      <c r="D8626" s="1" t="s">
        <v>8365</v>
      </c>
      <c r="E8626" s="1" t="s">
        <v>3664</v>
      </c>
      <c r="F8626" s="1" t="s">
        <v>28741</v>
      </c>
      <c r="G8626" s="1" t="s">
        <v>28742</v>
      </c>
      <c r="H8626" s="1" t="s">
        <v>3604</v>
      </c>
      <c r="I8626" s="1" t="s">
        <v>28743</v>
      </c>
      <c r="J8626" s="1" t="s">
        <v>3615</v>
      </c>
      <c r="K8626" s="1" t="s">
        <v>28744</v>
      </c>
      <c r="L8626" s="1"/>
      <c r="M8626" s="1"/>
    </row>
    <row x14ac:dyDescent="0.25" r="8627" customHeight="1" ht="18.75">
      <c r="A8627" s="1" t="s">
        <v>7833</v>
      </c>
      <c r="B8627" s="1" t="s">
        <v>14422</v>
      </c>
      <c r="C8627" s="1" t="s">
        <v>4488</v>
      </c>
      <c r="D8627" s="1" t="s">
        <v>3601</v>
      </c>
      <c r="E8627" s="1" t="s">
        <v>3664</v>
      </c>
      <c r="F8627" s="1" t="s">
        <v>28745</v>
      </c>
      <c r="G8627" s="1" t="s">
        <v>26319</v>
      </c>
      <c r="H8627" s="1" t="s">
        <v>3604</v>
      </c>
      <c r="I8627" s="1" t="s">
        <v>28746</v>
      </c>
      <c r="J8627" s="1" t="s">
        <v>3615</v>
      </c>
      <c r="K8627" s="1" t="s">
        <v>28747</v>
      </c>
      <c r="L8627" s="1"/>
      <c r="M8627" s="1"/>
    </row>
    <row x14ac:dyDescent="0.25" r="8628" customHeight="1" ht="18.75">
      <c r="A8628" s="1" t="s">
        <v>3598</v>
      </c>
      <c r="B8628" s="1" t="s">
        <v>28692</v>
      </c>
      <c r="C8628" s="1" t="s">
        <v>3600</v>
      </c>
      <c r="D8628" s="1" t="s">
        <v>8365</v>
      </c>
      <c r="E8628" s="1" t="s">
        <v>3664</v>
      </c>
      <c r="F8628" s="1" t="s">
        <v>28748</v>
      </c>
      <c r="G8628" s="1" t="s">
        <v>17381</v>
      </c>
      <c r="H8628" s="1" t="s">
        <v>3604</v>
      </c>
      <c r="I8628" s="1" t="s">
        <v>28749</v>
      </c>
      <c r="J8628" s="1" t="s">
        <v>3615</v>
      </c>
      <c r="K8628" s="1" t="s">
        <v>28750</v>
      </c>
      <c r="L8628" s="1"/>
      <c r="M8628" s="1"/>
    </row>
    <row x14ac:dyDescent="0.25" r="8629" customHeight="1" ht="18.75">
      <c r="A8629" s="1" t="s">
        <v>7833</v>
      </c>
      <c r="B8629" s="1" t="s">
        <v>14422</v>
      </c>
      <c r="C8629" s="1" t="s">
        <v>4488</v>
      </c>
      <c r="D8629" s="1" t="s">
        <v>3601</v>
      </c>
      <c r="E8629" s="1" t="s">
        <v>3664</v>
      </c>
      <c r="F8629" s="1" t="s">
        <v>28751</v>
      </c>
      <c r="G8629" s="1" t="s">
        <v>28752</v>
      </c>
      <c r="H8629" s="1" t="s">
        <v>3604</v>
      </c>
      <c r="I8629" s="1" t="s">
        <v>28753</v>
      </c>
      <c r="J8629" s="1" t="s">
        <v>3615</v>
      </c>
      <c r="K8629" s="1" t="s">
        <v>28754</v>
      </c>
      <c r="L8629" s="1"/>
      <c r="M8629" s="1"/>
    </row>
    <row x14ac:dyDescent="0.25" r="8630" customHeight="1" ht="18.75">
      <c r="A8630" s="1" t="s">
        <v>3598</v>
      </c>
      <c r="B8630" s="1" t="s">
        <v>28692</v>
      </c>
      <c r="C8630" s="1" t="s">
        <v>3600</v>
      </c>
      <c r="D8630" s="1" t="s">
        <v>8365</v>
      </c>
      <c r="E8630" s="1" t="s">
        <v>3664</v>
      </c>
      <c r="F8630" s="1" t="s">
        <v>28755</v>
      </c>
      <c r="G8630" s="1" t="s">
        <v>17381</v>
      </c>
      <c r="H8630" s="1" t="s">
        <v>3604</v>
      </c>
      <c r="I8630" s="1" t="s">
        <v>28756</v>
      </c>
      <c r="J8630" s="1" t="s">
        <v>3615</v>
      </c>
      <c r="K8630" s="1" t="s">
        <v>28757</v>
      </c>
      <c r="L8630" s="1"/>
      <c r="M8630" s="1"/>
    </row>
    <row x14ac:dyDescent="0.25" r="8631" customHeight="1" ht="18.75">
      <c r="A8631" s="1" t="s">
        <v>7833</v>
      </c>
      <c r="B8631" s="1" t="s">
        <v>14422</v>
      </c>
      <c r="C8631" s="1" t="s">
        <v>4488</v>
      </c>
      <c r="D8631" s="1" t="s">
        <v>3601</v>
      </c>
      <c r="E8631" s="1" t="s">
        <v>3664</v>
      </c>
      <c r="F8631" s="1" t="s">
        <v>28758</v>
      </c>
      <c r="G8631" s="1" t="s">
        <v>26316</v>
      </c>
      <c r="H8631" s="1" t="s">
        <v>3604</v>
      </c>
      <c r="I8631" s="1" t="s">
        <v>28759</v>
      </c>
      <c r="J8631" s="1" t="s">
        <v>3615</v>
      </c>
      <c r="K8631" s="1" t="s">
        <v>28760</v>
      </c>
      <c r="L8631" s="1"/>
      <c r="M8631" s="1"/>
    </row>
    <row x14ac:dyDescent="0.25" r="8632" customHeight="1" ht="18.75">
      <c r="A8632" s="1" t="s">
        <v>3598</v>
      </c>
      <c r="B8632" s="1" t="s">
        <v>28692</v>
      </c>
      <c r="C8632" s="1" t="s">
        <v>3600</v>
      </c>
      <c r="D8632" s="1" t="s">
        <v>8365</v>
      </c>
      <c r="E8632" s="1" t="s">
        <v>3664</v>
      </c>
      <c r="F8632" s="1" t="s">
        <v>28761</v>
      </c>
      <c r="G8632" s="1" t="s">
        <v>17381</v>
      </c>
      <c r="H8632" s="1" t="s">
        <v>3604</v>
      </c>
      <c r="I8632" s="1" t="s">
        <v>28762</v>
      </c>
      <c r="J8632" s="1" t="s">
        <v>3615</v>
      </c>
      <c r="K8632" s="1" t="s">
        <v>28763</v>
      </c>
      <c r="L8632" s="1"/>
      <c r="M8632" s="1"/>
    </row>
    <row x14ac:dyDescent="0.25" r="8633" customHeight="1" ht="18.75">
      <c r="A8633" s="1" t="s">
        <v>7833</v>
      </c>
      <c r="B8633" s="1" t="s">
        <v>14422</v>
      </c>
      <c r="C8633" s="1" t="s">
        <v>4488</v>
      </c>
      <c r="D8633" s="1" t="s">
        <v>3601</v>
      </c>
      <c r="E8633" s="1" t="s">
        <v>3664</v>
      </c>
      <c r="F8633" s="1" t="s">
        <v>28764</v>
      </c>
      <c r="G8633" s="1" t="s">
        <v>14424</v>
      </c>
      <c r="H8633" s="1" t="s">
        <v>3604</v>
      </c>
      <c r="I8633" s="1" t="s">
        <v>28765</v>
      </c>
      <c r="J8633" s="1" t="s">
        <v>3615</v>
      </c>
      <c r="K8633" s="1" t="s">
        <v>20771</v>
      </c>
      <c r="L8633" s="1"/>
      <c r="M8633" s="1"/>
    </row>
    <row x14ac:dyDescent="0.25" r="8634" customHeight="1" ht="18.75">
      <c r="A8634" s="1" t="s">
        <v>3598</v>
      </c>
      <c r="B8634" s="1" t="s">
        <v>28692</v>
      </c>
      <c r="C8634" s="1" t="s">
        <v>3600</v>
      </c>
      <c r="D8634" s="1" t="s">
        <v>8365</v>
      </c>
      <c r="E8634" s="1" t="s">
        <v>3664</v>
      </c>
      <c r="F8634" s="1" t="s">
        <v>28766</v>
      </c>
      <c r="G8634" s="1" t="s">
        <v>17381</v>
      </c>
      <c r="H8634" s="1" t="s">
        <v>3604</v>
      </c>
      <c r="I8634" s="1" t="s">
        <v>28767</v>
      </c>
      <c r="J8634" s="1" t="s">
        <v>3615</v>
      </c>
      <c r="K8634" s="1" t="s">
        <v>28768</v>
      </c>
      <c r="L8634" s="1"/>
      <c r="M8634" s="1"/>
    </row>
    <row x14ac:dyDescent="0.25" r="8635" customHeight="1" ht="18.75">
      <c r="A8635" s="1" t="s">
        <v>7833</v>
      </c>
      <c r="B8635" s="1" t="s">
        <v>25130</v>
      </c>
      <c r="C8635" s="1" t="s">
        <v>4488</v>
      </c>
      <c r="D8635" s="1" t="s">
        <v>3601</v>
      </c>
      <c r="E8635" s="1" t="s">
        <v>3664</v>
      </c>
      <c r="F8635" s="1" t="s">
        <v>28769</v>
      </c>
      <c r="G8635" s="1" t="s">
        <v>25131</v>
      </c>
      <c r="H8635" s="1" t="s">
        <v>3604</v>
      </c>
      <c r="I8635" s="1" t="s">
        <v>28770</v>
      </c>
      <c r="J8635" s="1" t="s">
        <v>3615</v>
      </c>
      <c r="K8635" s="1" t="s">
        <v>9740</v>
      </c>
      <c r="L8635" s="1"/>
      <c r="M8635" s="1"/>
    </row>
    <row x14ac:dyDescent="0.25" r="8636" customHeight="1" ht="18.75">
      <c r="A8636" s="1" t="s">
        <v>3598</v>
      </c>
      <c r="B8636" s="1" t="s">
        <v>28692</v>
      </c>
      <c r="C8636" s="1" t="s">
        <v>3600</v>
      </c>
      <c r="D8636" s="1" t="s">
        <v>8365</v>
      </c>
      <c r="E8636" s="1" t="s">
        <v>3664</v>
      </c>
      <c r="F8636" s="1" t="s">
        <v>28771</v>
      </c>
      <c r="G8636" s="1" t="s">
        <v>17381</v>
      </c>
      <c r="H8636" s="1" t="s">
        <v>3604</v>
      </c>
      <c r="I8636" s="1" t="s">
        <v>28772</v>
      </c>
      <c r="J8636" s="1" t="s">
        <v>3615</v>
      </c>
      <c r="K8636" s="1" t="s">
        <v>28773</v>
      </c>
      <c r="L8636" s="1"/>
      <c r="M8636" s="1"/>
    </row>
    <row x14ac:dyDescent="0.25" r="8637" customHeight="1" ht="18.75">
      <c r="A8637" s="1" t="s">
        <v>7833</v>
      </c>
      <c r="B8637" s="1" t="s">
        <v>25130</v>
      </c>
      <c r="C8637" s="1" t="s">
        <v>4488</v>
      </c>
      <c r="D8637" s="1" t="s">
        <v>3601</v>
      </c>
      <c r="E8637" s="1" t="s">
        <v>3664</v>
      </c>
      <c r="F8637" s="1" t="s">
        <v>28774</v>
      </c>
      <c r="G8637" s="1" t="s">
        <v>25131</v>
      </c>
      <c r="H8637" s="1" t="s">
        <v>3604</v>
      </c>
      <c r="I8637" s="1" t="s">
        <v>28775</v>
      </c>
      <c r="J8637" s="1" t="s">
        <v>3615</v>
      </c>
      <c r="K8637" s="1" t="s">
        <v>28776</v>
      </c>
      <c r="L8637" s="1"/>
      <c r="M8637" s="1"/>
    </row>
    <row x14ac:dyDescent="0.25" r="8638" customHeight="1" ht="18.75">
      <c r="A8638" s="1" t="s">
        <v>3598</v>
      </c>
      <c r="B8638" s="1" t="s">
        <v>28692</v>
      </c>
      <c r="C8638" s="1" t="s">
        <v>3600</v>
      </c>
      <c r="D8638" s="1" t="s">
        <v>8365</v>
      </c>
      <c r="E8638" s="1" t="s">
        <v>3664</v>
      </c>
      <c r="F8638" s="1" t="s">
        <v>28777</v>
      </c>
      <c r="G8638" s="1" t="s">
        <v>17381</v>
      </c>
      <c r="H8638" s="1" t="s">
        <v>3604</v>
      </c>
      <c r="I8638" s="1" t="s">
        <v>28778</v>
      </c>
      <c r="J8638" s="1" t="s">
        <v>3615</v>
      </c>
      <c r="K8638" s="1" t="s">
        <v>28779</v>
      </c>
      <c r="L8638" s="1"/>
      <c r="M8638" s="1"/>
    </row>
    <row x14ac:dyDescent="0.25" r="8639" customHeight="1" ht="18.75">
      <c r="A8639" s="1" t="s">
        <v>7833</v>
      </c>
      <c r="B8639" s="1" t="s">
        <v>25130</v>
      </c>
      <c r="C8639" s="1" t="s">
        <v>4488</v>
      </c>
      <c r="D8639" s="1" t="s">
        <v>3601</v>
      </c>
      <c r="E8639" s="1" t="s">
        <v>8096</v>
      </c>
      <c r="F8639" s="1" t="s">
        <v>28780</v>
      </c>
      <c r="G8639" s="1" t="s">
        <v>25131</v>
      </c>
      <c r="H8639" s="1" t="s">
        <v>3604</v>
      </c>
      <c r="I8639" s="1" t="s">
        <v>28781</v>
      </c>
      <c r="J8639" s="1" t="s">
        <v>3615</v>
      </c>
      <c r="K8639" s="1" t="s">
        <v>8710</v>
      </c>
      <c r="L8639" s="1"/>
      <c r="M8639" s="1"/>
    </row>
    <row x14ac:dyDescent="0.25" r="8640" customHeight="1" ht="18.75">
      <c r="A8640" s="1" t="s">
        <v>3598</v>
      </c>
      <c r="B8640" s="1" t="s">
        <v>28692</v>
      </c>
      <c r="C8640" s="1" t="s">
        <v>3600</v>
      </c>
      <c r="D8640" s="1" t="s">
        <v>8365</v>
      </c>
      <c r="E8640" s="1" t="s">
        <v>3664</v>
      </c>
      <c r="F8640" s="1" t="s">
        <v>28782</v>
      </c>
      <c r="G8640" s="1" t="s">
        <v>17381</v>
      </c>
      <c r="H8640" s="1" t="s">
        <v>3604</v>
      </c>
      <c r="I8640" s="1" t="s">
        <v>28783</v>
      </c>
      <c r="J8640" s="1" t="s">
        <v>3615</v>
      </c>
      <c r="K8640" s="1" t="s">
        <v>28784</v>
      </c>
      <c r="L8640" s="1"/>
      <c r="M8640" s="1"/>
    </row>
    <row x14ac:dyDescent="0.25" r="8641" customHeight="1" ht="18.75">
      <c r="A8641" s="1" t="s">
        <v>7833</v>
      </c>
      <c r="B8641" s="1" t="s">
        <v>25130</v>
      </c>
      <c r="C8641" s="1" t="s">
        <v>4488</v>
      </c>
      <c r="D8641" s="1" t="s">
        <v>3601</v>
      </c>
      <c r="E8641" s="1" t="s">
        <v>8096</v>
      </c>
      <c r="F8641" s="1" t="s">
        <v>28785</v>
      </c>
      <c r="G8641" s="1" t="s">
        <v>25131</v>
      </c>
      <c r="H8641" s="1" t="s">
        <v>3604</v>
      </c>
      <c r="I8641" s="1" t="s">
        <v>28786</v>
      </c>
      <c r="J8641" s="1" t="s">
        <v>3615</v>
      </c>
      <c r="K8641" s="1" t="s">
        <v>8959</v>
      </c>
      <c r="L8641" s="1"/>
      <c r="M8641" s="1"/>
    </row>
    <row x14ac:dyDescent="0.25" r="8642" customHeight="1" ht="18.75">
      <c r="A8642" s="1" t="s">
        <v>3598</v>
      </c>
      <c r="B8642" s="1" t="s">
        <v>28692</v>
      </c>
      <c r="C8642" s="1" t="s">
        <v>3600</v>
      </c>
      <c r="D8642" s="1" t="s">
        <v>8365</v>
      </c>
      <c r="E8642" s="1" t="s">
        <v>3664</v>
      </c>
      <c r="F8642" s="1" t="s">
        <v>28787</v>
      </c>
      <c r="G8642" s="1" t="s">
        <v>17381</v>
      </c>
      <c r="H8642" s="1" t="s">
        <v>3604</v>
      </c>
      <c r="I8642" s="1" t="s">
        <v>28788</v>
      </c>
      <c r="J8642" s="1" t="s">
        <v>3615</v>
      </c>
      <c r="K8642" s="1" t="s">
        <v>28789</v>
      </c>
      <c r="L8642" s="1"/>
      <c r="M8642" s="1"/>
    </row>
    <row x14ac:dyDescent="0.25" r="8643" customHeight="1" ht="18.75">
      <c r="A8643" s="1" t="s">
        <v>7833</v>
      </c>
      <c r="B8643" s="1" t="s">
        <v>25130</v>
      </c>
      <c r="C8643" s="1" t="s">
        <v>4488</v>
      </c>
      <c r="D8643" s="1" t="s">
        <v>3601</v>
      </c>
      <c r="E8643" s="1" t="s">
        <v>8096</v>
      </c>
      <c r="F8643" s="1" t="s">
        <v>28790</v>
      </c>
      <c r="G8643" s="1" t="s">
        <v>25131</v>
      </c>
      <c r="H8643" s="1" t="s">
        <v>3604</v>
      </c>
      <c r="I8643" s="1" t="s">
        <v>28791</v>
      </c>
      <c r="J8643" s="1" t="s">
        <v>3615</v>
      </c>
      <c r="K8643" s="1" t="s">
        <v>8713</v>
      </c>
      <c r="L8643" s="1"/>
      <c r="M8643" s="1"/>
    </row>
    <row x14ac:dyDescent="0.25" r="8644" customHeight="1" ht="18.75">
      <c r="A8644" s="1" t="s">
        <v>3598</v>
      </c>
      <c r="B8644" s="1" t="s">
        <v>28692</v>
      </c>
      <c r="C8644" s="1" t="s">
        <v>3600</v>
      </c>
      <c r="D8644" s="1" t="s">
        <v>8365</v>
      </c>
      <c r="E8644" s="1" t="s">
        <v>3664</v>
      </c>
      <c r="F8644" s="1" t="s">
        <v>28792</v>
      </c>
      <c r="G8644" s="1" t="s">
        <v>17381</v>
      </c>
      <c r="H8644" s="1" t="s">
        <v>3604</v>
      </c>
      <c r="I8644" s="1" t="s">
        <v>28793</v>
      </c>
      <c r="J8644" s="1" t="s">
        <v>3615</v>
      </c>
      <c r="K8644" s="1" t="s">
        <v>28794</v>
      </c>
      <c r="L8644" s="1"/>
      <c r="M8644" s="1"/>
    </row>
    <row x14ac:dyDescent="0.25" r="8645" customHeight="1" ht="18.75">
      <c r="A8645" s="1" t="s">
        <v>7833</v>
      </c>
      <c r="B8645" s="1" t="s">
        <v>25130</v>
      </c>
      <c r="C8645" s="1" t="s">
        <v>4488</v>
      </c>
      <c r="D8645" s="1" t="s">
        <v>3601</v>
      </c>
      <c r="E8645" s="1" t="s">
        <v>8096</v>
      </c>
      <c r="F8645" s="1" t="s">
        <v>28795</v>
      </c>
      <c r="G8645" s="1" t="s">
        <v>25131</v>
      </c>
      <c r="H8645" s="1" t="s">
        <v>3604</v>
      </c>
      <c r="I8645" s="1" t="s">
        <v>28796</v>
      </c>
      <c r="J8645" s="1" t="s">
        <v>3615</v>
      </c>
      <c r="K8645" s="1" t="s">
        <v>8966</v>
      </c>
      <c r="L8645" s="1"/>
      <c r="M8645" s="1"/>
    </row>
    <row x14ac:dyDescent="0.25" r="8646" customHeight="1" ht="18.75">
      <c r="A8646" s="1" t="s">
        <v>7833</v>
      </c>
      <c r="B8646" s="1" t="s">
        <v>25130</v>
      </c>
      <c r="C8646" s="1" t="s">
        <v>4488</v>
      </c>
      <c r="D8646" s="1" t="s">
        <v>3601</v>
      </c>
      <c r="E8646" s="1" t="s">
        <v>3664</v>
      </c>
      <c r="F8646" s="1" t="s">
        <v>28797</v>
      </c>
      <c r="G8646" s="1" t="s">
        <v>28798</v>
      </c>
      <c r="H8646" s="1" t="s">
        <v>3604</v>
      </c>
      <c r="I8646" s="1" t="s">
        <v>28799</v>
      </c>
      <c r="J8646" s="1" t="s">
        <v>3606</v>
      </c>
      <c r="K8646" s="1" t="s">
        <v>28800</v>
      </c>
      <c r="L8646" s="1"/>
      <c r="M8646" s="1"/>
    </row>
    <row x14ac:dyDescent="0.25" r="8647" customHeight="1" ht="18.75">
      <c r="A8647" s="1" t="s">
        <v>7833</v>
      </c>
      <c r="B8647" s="1" t="s">
        <v>25130</v>
      </c>
      <c r="C8647" s="1" t="s">
        <v>4488</v>
      </c>
      <c r="D8647" s="1" t="s">
        <v>3601</v>
      </c>
      <c r="E8647" s="1" t="s">
        <v>8096</v>
      </c>
      <c r="F8647" s="1" t="s">
        <v>28801</v>
      </c>
      <c r="G8647" s="1" t="s">
        <v>28802</v>
      </c>
      <c r="H8647" s="1" t="s">
        <v>3604</v>
      </c>
      <c r="I8647" s="1" t="s">
        <v>28803</v>
      </c>
      <c r="J8647" s="1" t="s">
        <v>3615</v>
      </c>
      <c r="K8647" s="1" t="s">
        <v>21525</v>
      </c>
      <c r="L8647" s="1"/>
      <c r="M8647" s="1"/>
    </row>
    <row x14ac:dyDescent="0.25" r="8648" customHeight="1" ht="18.75">
      <c r="A8648" s="1" t="s">
        <v>3598</v>
      </c>
      <c r="B8648" s="1" t="s">
        <v>28692</v>
      </c>
      <c r="C8648" s="1" t="s">
        <v>3600</v>
      </c>
      <c r="D8648" s="1" t="s">
        <v>8365</v>
      </c>
      <c r="E8648" s="1" t="s">
        <v>3664</v>
      </c>
      <c r="F8648" s="1" t="s">
        <v>28804</v>
      </c>
      <c r="G8648" s="1" t="s">
        <v>17381</v>
      </c>
      <c r="H8648" s="1" t="s">
        <v>3604</v>
      </c>
      <c r="I8648" s="1" t="s">
        <v>28805</v>
      </c>
      <c r="J8648" s="1" t="s">
        <v>3615</v>
      </c>
      <c r="K8648" s="1" t="s">
        <v>28806</v>
      </c>
      <c r="L8648" s="1"/>
      <c r="M8648" s="1"/>
    </row>
    <row x14ac:dyDescent="0.25" r="8649" customHeight="1" ht="18.75">
      <c r="A8649" s="1" t="s">
        <v>7833</v>
      </c>
      <c r="B8649" s="1" t="s">
        <v>25130</v>
      </c>
      <c r="C8649" s="1" t="s">
        <v>4488</v>
      </c>
      <c r="D8649" s="1" t="s">
        <v>3601</v>
      </c>
      <c r="E8649" s="1" t="s">
        <v>8096</v>
      </c>
      <c r="F8649" s="1" t="s">
        <v>28807</v>
      </c>
      <c r="G8649" s="1" t="s">
        <v>28808</v>
      </c>
      <c r="H8649" s="1" t="s">
        <v>3604</v>
      </c>
      <c r="I8649" s="1" t="s">
        <v>28809</v>
      </c>
      <c r="J8649" s="1" t="s">
        <v>3615</v>
      </c>
      <c r="K8649" s="1" t="s">
        <v>28810</v>
      </c>
      <c r="L8649" s="1"/>
      <c r="M8649" s="1"/>
    </row>
    <row x14ac:dyDescent="0.25" r="8650" customHeight="1" ht="18.75">
      <c r="A8650" s="1" t="s">
        <v>3598</v>
      </c>
      <c r="B8650" s="1" t="s">
        <v>28692</v>
      </c>
      <c r="C8650" s="1" t="s">
        <v>3600</v>
      </c>
      <c r="D8650" s="1" t="s">
        <v>8365</v>
      </c>
      <c r="E8650" s="1" t="s">
        <v>3664</v>
      </c>
      <c r="F8650" s="1" t="s">
        <v>28811</v>
      </c>
      <c r="G8650" s="1" t="s">
        <v>17381</v>
      </c>
      <c r="H8650" s="1" t="s">
        <v>3604</v>
      </c>
      <c r="I8650" s="1" t="s">
        <v>28812</v>
      </c>
      <c r="J8650" s="1" t="s">
        <v>3615</v>
      </c>
      <c r="K8650" s="1" t="s">
        <v>28813</v>
      </c>
      <c r="L8650" s="1"/>
      <c r="M8650" s="1"/>
    </row>
    <row x14ac:dyDescent="0.25" r="8651" customHeight="1" ht="18.75">
      <c r="A8651" s="1" t="s">
        <v>7833</v>
      </c>
      <c r="B8651" s="1" t="s">
        <v>25130</v>
      </c>
      <c r="C8651" s="1" t="s">
        <v>4488</v>
      </c>
      <c r="D8651" s="1" t="s">
        <v>3601</v>
      </c>
      <c r="E8651" s="1" t="s">
        <v>8096</v>
      </c>
      <c r="F8651" s="1" t="s">
        <v>28814</v>
      </c>
      <c r="G8651" s="1" t="s">
        <v>26389</v>
      </c>
      <c r="H8651" s="1" t="s">
        <v>3604</v>
      </c>
      <c r="I8651" s="1" t="s">
        <v>28815</v>
      </c>
      <c r="J8651" s="1" t="s">
        <v>3615</v>
      </c>
      <c r="K8651" s="1" t="s">
        <v>28816</v>
      </c>
      <c r="L8651" s="1"/>
      <c r="M8651" s="1"/>
    </row>
    <row x14ac:dyDescent="0.25" r="8652" customHeight="1" ht="18.75">
      <c r="A8652" s="1" t="s">
        <v>7833</v>
      </c>
      <c r="B8652" s="1" t="s">
        <v>25130</v>
      </c>
      <c r="C8652" s="1" t="s">
        <v>4488</v>
      </c>
      <c r="D8652" s="1" t="s">
        <v>3601</v>
      </c>
      <c r="E8652" s="1" t="s">
        <v>8096</v>
      </c>
      <c r="F8652" s="1" t="s">
        <v>28817</v>
      </c>
      <c r="G8652" s="1" t="s">
        <v>28818</v>
      </c>
      <c r="H8652" s="1" t="s">
        <v>3604</v>
      </c>
      <c r="I8652" s="1" t="s">
        <v>28819</v>
      </c>
      <c r="J8652" s="1" t="s">
        <v>3615</v>
      </c>
      <c r="K8652" s="1" t="s">
        <v>28820</v>
      </c>
      <c r="L8652" s="1"/>
      <c r="M8652" s="1"/>
    </row>
    <row x14ac:dyDescent="0.25" r="8653" customHeight="1" ht="18.75">
      <c r="A8653" s="1" t="s">
        <v>3598</v>
      </c>
      <c r="B8653" s="1" t="s">
        <v>28821</v>
      </c>
      <c r="C8653" s="1" t="s">
        <v>3600</v>
      </c>
      <c r="D8653" s="1" t="s">
        <v>8365</v>
      </c>
      <c r="E8653" s="1" t="s">
        <v>3664</v>
      </c>
      <c r="F8653" s="1" t="s">
        <v>28822</v>
      </c>
      <c r="G8653" s="1" t="s">
        <v>28823</v>
      </c>
      <c r="H8653" s="1" t="s">
        <v>3604</v>
      </c>
      <c r="I8653" s="1" t="s">
        <v>28824</v>
      </c>
      <c r="J8653" s="1" t="s">
        <v>3615</v>
      </c>
      <c r="K8653" s="1" t="s">
        <v>28825</v>
      </c>
      <c r="L8653" s="1"/>
      <c r="M8653" s="1"/>
    </row>
    <row x14ac:dyDescent="0.25" r="8654" customHeight="1" ht="18.75">
      <c r="A8654" s="1" t="s">
        <v>7833</v>
      </c>
      <c r="B8654" s="1" t="s">
        <v>25130</v>
      </c>
      <c r="C8654" s="1" t="s">
        <v>4488</v>
      </c>
      <c r="D8654" s="1" t="s">
        <v>3601</v>
      </c>
      <c r="E8654" s="1" t="s">
        <v>3664</v>
      </c>
      <c r="F8654" s="1" t="s">
        <v>28826</v>
      </c>
      <c r="G8654" s="1" t="s">
        <v>28798</v>
      </c>
      <c r="H8654" s="1" t="s">
        <v>3604</v>
      </c>
      <c r="I8654" s="1" t="s">
        <v>28827</v>
      </c>
      <c r="J8654" s="1" t="s">
        <v>3606</v>
      </c>
      <c r="K8654" s="1" t="s">
        <v>28828</v>
      </c>
      <c r="L8654" s="1"/>
      <c r="M8654" s="1"/>
    </row>
    <row x14ac:dyDescent="0.25" r="8655" customHeight="1" ht="18.75">
      <c r="A8655" s="1" t="s">
        <v>3598</v>
      </c>
      <c r="B8655" s="1" t="s">
        <v>22144</v>
      </c>
      <c r="C8655" s="1" t="s">
        <v>3600</v>
      </c>
      <c r="D8655" s="1" t="s">
        <v>8365</v>
      </c>
      <c r="E8655" s="1" t="s">
        <v>3664</v>
      </c>
      <c r="F8655" s="1" t="s">
        <v>28829</v>
      </c>
      <c r="G8655" s="1" t="s">
        <v>22146</v>
      </c>
      <c r="H8655" s="1" t="s">
        <v>3604</v>
      </c>
      <c r="I8655" s="1" t="s">
        <v>28830</v>
      </c>
      <c r="J8655" s="1" t="s">
        <v>3615</v>
      </c>
      <c r="K8655" s="1" t="s">
        <v>28831</v>
      </c>
      <c r="L8655" s="1"/>
      <c r="M8655" s="1"/>
    </row>
    <row x14ac:dyDescent="0.25" r="8656" customHeight="1" ht="18.75">
      <c r="A8656" s="1" t="s">
        <v>7833</v>
      </c>
      <c r="B8656" s="1" t="s">
        <v>25130</v>
      </c>
      <c r="C8656" s="1" t="s">
        <v>4488</v>
      </c>
      <c r="D8656" s="1" t="s">
        <v>3601</v>
      </c>
      <c r="E8656" s="1" t="s">
        <v>8096</v>
      </c>
      <c r="F8656" s="1" t="s">
        <v>28832</v>
      </c>
      <c r="G8656" s="1" t="s">
        <v>28833</v>
      </c>
      <c r="H8656" s="1" t="s">
        <v>3604</v>
      </c>
      <c r="I8656" s="1" t="s">
        <v>28834</v>
      </c>
      <c r="J8656" s="1" t="s">
        <v>3615</v>
      </c>
      <c r="K8656" s="1" t="s">
        <v>20812</v>
      </c>
      <c r="L8656" s="1"/>
      <c r="M8656" s="1"/>
    </row>
    <row x14ac:dyDescent="0.25" r="8657" customHeight="1" ht="18.75">
      <c r="A8657" s="1" t="s">
        <v>3598</v>
      </c>
      <c r="B8657" s="1" t="s">
        <v>16610</v>
      </c>
      <c r="C8657" s="1" t="s">
        <v>3600</v>
      </c>
      <c r="D8657" s="1" t="s">
        <v>8365</v>
      </c>
      <c r="E8657" s="1" t="s">
        <v>3893</v>
      </c>
      <c r="F8657" s="1" t="s">
        <v>28835</v>
      </c>
      <c r="G8657" s="1" t="s">
        <v>14002</v>
      </c>
      <c r="H8657" s="1" t="s">
        <v>3604</v>
      </c>
      <c r="I8657" s="1" t="s">
        <v>28836</v>
      </c>
      <c r="J8657" s="1" t="s">
        <v>3615</v>
      </c>
      <c r="K8657" s="1" t="s">
        <v>28837</v>
      </c>
      <c r="L8657" s="1"/>
      <c r="M8657" s="1"/>
    </row>
    <row x14ac:dyDescent="0.25" r="8658" customHeight="1" ht="18.75">
      <c r="A8658" s="1" t="s">
        <v>7833</v>
      </c>
      <c r="B8658" s="1" t="s">
        <v>25130</v>
      </c>
      <c r="C8658" s="1" t="s">
        <v>4488</v>
      </c>
      <c r="D8658" s="1" t="s">
        <v>3601</v>
      </c>
      <c r="E8658" s="1" t="s">
        <v>8096</v>
      </c>
      <c r="F8658" s="1" t="s">
        <v>28838</v>
      </c>
      <c r="G8658" s="1" t="s">
        <v>26456</v>
      </c>
      <c r="H8658" s="1" t="s">
        <v>3604</v>
      </c>
      <c r="I8658" s="1" t="s">
        <v>28839</v>
      </c>
      <c r="J8658" s="1" t="s">
        <v>3615</v>
      </c>
      <c r="K8658" s="1" t="s">
        <v>28840</v>
      </c>
      <c r="L8658" s="1"/>
      <c r="M8658" s="1"/>
    </row>
    <row x14ac:dyDescent="0.25" r="8659" customHeight="1" ht="18.75">
      <c r="A8659" s="1" t="s">
        <v>3598</v>
      </c>
      <c r="B8659" s="1" t="s">
        <v>16610</v>
      </c>
      <c r="C8659" s="1" t="s">
        <v>3600</v>
      </c>
      <c r="D8659" s="1" t="s">
        <v>8365</v>
      </c>
      <c r="E8659" s="1" t="s">
        <v>3893</v>
      </c>
      <c r="F8659" s="1" t="s">
        <v>28841</v>
      </c>
      <c r="G8659" s="1" t="s">
        <v>14002</v>
      </c>
      <c r="H8659" s="1" t="s">
        <v>3604</v>
      </c>
      <c r="I8659" s="1" t="s">
        <v>28842</v>
      </c>
      <c r="J8659" s="1" t="s">
        <v>3615</v>
      </c>
      <c r="K8659" s="1" t="s">
        <v>28843</v>
      </c>
      <c r="L8659" s="1"/>
      <c r="M8659" s="1"/>
    </row>
    <row x14ac:dyDescent="0.25" r="8660" customHeight="1" ht="18.75">
      <c r="A8660" s="1" t="s">
        <v>7833</v>
      </c>
      <c r="B8660" s="1" t="s">
        <v>25130</v>
      </c>
      <c r="C8660" s="1" t="s">
        <v>4488</v>
      </c>
      <c r="D8660" s="1" t="s">
        <v>3601</v>
      </c>
      <c r="E8660" s="1" t="s">
        <v>8096</v>
      </c>
      <c r="F8660" s="1" t="s">
        <v>28844</v>
      </c>
      <c r="G8660" s="1" t="s">
        <v>28845</v>
      </c>
      <c r="H8660" s="1" t="s">
        <v>3604</v>
      </c>
      <c r="I8660" s="1" t="s">
        <v>28846</v>
      </c>
      <c r="J8660" s="1" t="s">
        <v>3615</v>
      </c>
      <c r="K8660" s="1" t="s">
        <v>8998</v>
      </c>
      <c r="L8660" s="1"/>
      <c r="M8660" s="1"/>
    </row>
    <row x14ac:dyDescent="0.25" r="8661" customHeight="1" ht="18.75">
      <c r="A8661" s="1" t="s">
        <v>3598</v>
      </c>
      <c r="B8661" s="1" t="s">
        <v>16610</v>
      </c>
      <c r="C8661" s="1" t="s">
        <v>3600</v>
      </c>
      <c r="D8661" s="1" t="s">
        <v>8365</v>
      </c>
      <c r="E8661" s="1" t="s">
        <v>3893</v>
      </c>
      <c r="F8661" s="1" t="s">
        <v>28847</v>
      </c>
      <c r="G8661" s="1" t="s">
        <v>14002</v>
      </c>
      <c r="H8661" s="1" t="s">
        <v>3604</v>
      </c>
      <c r="I8661" s="1" t="s">
        <v>28848</v>
      </c>
      <c r="J8661" s="1" t="s">
        <v>3615</v>
      </c>
      <c r="K8661" s="1" t="s">
        <v>28849</v>
      </c>
      <c r="L8661" s="1"/>
      <c r="M8661" s="1"/>
    </row>
    <row x14ac:dyDescent="0.25" r="8662" customHeight="1" ht="18.75">
      <c r="A8662" s="1" t="s">
        <v>7833</v>
      </c>
      <c r="B8662" s="1" t="s">
        <v>25130</v>
      </c>
      <c r="C8662" s="1" t="s">
        <v>4488</v>
      </c>
      <c r="D8662" s="1" t="s">
        <v>3601</v>
      </c>
      <c r="E8662" s="1" t="s">
        <v>3664</v>
      </c>
      <c r="F8662" s="1" t="s">
        <v>28850</v>
      </c>
      <c r="G8662" s="1" t="s">
        <v>25131</v>
      </c>
      <c r="H8662" s="1" t="s">
        <v>3604</v>
      </c>
      <c r="I8662" s="1" t="s">
        <v>28851</v>
      </c>
      <c r="J8662" s="1" t="s">
        <v>3615</v>
      </c>
      <c r="K8662" s="1" t="s">
        <v>28852</v>
      </c>
      <c r="L8662" s="1"/>
      <c r="M8662" s="1"/>
    </row>
    <row x14ac:dyDescent="0.25" r="8663" customHeight="1" ht="18.75">
      <c r="A8663" s="1" t="s">
        <v>3598</v>
      </c>
      <c r="B8663" s="1" t="s">
        <v>16605</v>
      </c>
      <c r="C8663" s="1" t="s">
        <v>3600</v>
      </c>
      <c r="D8663" s="1" t="s">
        <v>8365</v>
      </c>
      <c r="E8663" s="1" t="s">
        <v>3664</v>
      </c>
      <c r="F8663" s="1" t="s">
        <v>28853</v>
      </c>
      <c r="G8663" s="1" t="s">
        <v>16620</v>
      </c>
      <c r="H8663" s="1" t="s">
        <v>3604</v>
      </c>
      <c r="I8663" s="1" t="s">
        <v>28854</v>
      </c>
      <c r="J8663" s="1" t="s">
        <v>3615</v>
      </c>
      <c r="K8663" s="1" t="s">
        <v>28855</v>
      </c>
      <c r="L8663" s="1"/>
      <c r="M8663" s="1"/>
    </row>
    <row x14ac:dyDescent="0.25" r="8664" customHeight="1" ht="18.75">
      <c r="A8664" s="1" t="s">
        <v>7833</v>
      </c>
      <c r="B8664" s="1" t="s">
        <v>25130</v>
      </c>
      <c r="C8664" s="1" t="s">
        <v>4488</v>
      </c>
      <c r="D8664" s="1" t="s">
        <v>3601</v>
      </c>
      <c r="E8664" s="1" t="s">
        <v>8096</v>
      </c>
      <c r="F8664" s="1" t="s">
        <v>28856</v>
      </c>
      <c r="G8664" s="1" t="s">
        <v>25131</v>
      </c>
      <c r="H8664" s="1" t="s">
        <v>3604</v>
      </c>
      <c r="I8664" s="1" t="s">
        <v>28857</v>
      </c>
      <c r="J8664" s="1" t="s">
        <v>3615</v>
      </c>
      <c r="K8664" s="1" t="s">
        <v>8746</v>
      </c>
      <c r="L8664" s="1"/>
      <c r="M8664" s="1"/>
    </row>
    <row x14ac:dyDescent="0.25" r="8665" customHeight="1" ht="18.75">
      <c r="A8665" s="1" t="s">
        <v>3598</v>
      </c>
      <c r="B8665" s="1" t="s">
        <v>16605</v>
      </c>
      <c r="C8665" s="1" t="s">
        <v>3600</v>
      </c>
      <c r="D8665" s="1" t="s">
        <v>8365</v>
      </c>
      <c r="E8665" s="1" t="s">
        <v>3664</v>
      </c>
      <c r="F8665" s="1" t="s">
        <v>28858</v>
      </c>
      <c r="G8665" s="1" t="s">
        <v>16620</v>
      </c>
      <c r="H8665" s="1" t="s">
        <v>3604</v>
      </c>
      <c r="I8665" s="1" t="s">
        <v>28859</v>
      </c>
      <c r="J8665" s="1" t="s">
        <v>3615</v>
      </c>
      <c r="K8665" s="1" t="s">
        <v>28860</v>
      </c>
      <c r="L8665" s="1"/>
      <c r="M8665" s="1"/>
    </row>
    <row x14ac:dyDescent="0.25" r="8666" customHeight="1" ht="18.75">
      <c r="A8666" s="1" t="s">
        <v>7833</v>
      </c>
      <c r="B8666" s="1" t="s">
        <v>25130</v>
      </c>
      <c r="C8666" s="1" t="s">
        <v>4488</v>
      </c>
      <c r="D8666" s="1" t="s">
        <v>3601</v>
      </c>
      <c r="E8666" s="1" t="s">
        <v>8096</v>
      </c>
      <c r="F8666" s="1" t="s">
        <v>28861</v>
      </c>
      <c r="G8666" s="1" t="s">
        <v>25131</v>
      </c>
      <c r="H8666" s="1" t="s">
        <v>3604</v>
      </c>
      <c r="I8666" s="1" t="s">
        <v>28862</v>
      </c>
      <c r="J8666" s="1" t="s">
        <v>3615</v>
      </c>
      <c r="K8666" s="1" t="s">
        <v>8755</v>
      </c>
      <c r="L8666" s="1"/>
      <c r="M8666" s="1"/>
    </row>
    <row x14ac:dyDescent="0.25" r="8667" customHeight="1" ht="18.75">
      <c r="A8667" s="1" t="s">
        <v>7833</v>
      </c>
      <c r="B8667" s="1" t="s">
        <v>25130</v>
      </c>
      <c r="C8667" s="1" t="s">
        <v>4488</v>
      </c>
      <c r="D8667" s="1" t="s">
        <v>3601</v>
      </c>
      <c r="E8667" s="1" t="s">
        <v>8096</v>
      </c>
      <c r="F8667" s="1" t="s">
        <v>28863</v>
      </c>
      <c r="G8667" s="1" t="s">
        <v>25131</v>
      </c>
      <c r="H8667" s="1" t="s">
        <v>3604</v>
      </c>
      <c r="I8667" s="1" t="s">
        <v>28864</v>
      </c>
      <c r="J8667" s="1" t="s">
        <v>3615</v>
      </c>
      <c r="K8667" s="1" t="s">
        <v>8758</v>
      </c>
      <c r="L8667" s="1"/>
      <c r="M8667" s="1"/>
    </row>
    <row x14ac:dyDescent="0.25" r="8668" customHeight="1" ht="18.75">
      <c r="A8668" s="1" t="s">
        <v>3598</v>
      </c>
      <c r="B8668" s="1" t="s">
        <v>16605</v>
      </c>
      <c r="C8668" s="1" t="s">
        <v>3600</v>
      </c>
      <c r="D8668" s="1" t="s">
        <v>8365</v>
      </c>
      <c r="E8668" s="1" t="s">
        <v>3664</v>
      </c>
      <c r="F8668" s="1" t="s">
        <v>28865</v>
      </c>
      <c r="G8668" s="1" t="s">
        <v>16620</v>
      </c>
      <c r="H8668" s="1" t="s">
        <v>3604</v>
      </c>
      <c r="I8668" s="1" t="s">
        <v>28866</v>
      </c>
      <c r="J8668" s="1" t="s">
        <v>3615</v>
      </c>
      <c r="K8668" s="1" t="s">
        <v>28867</v>
      </c>
      <c r="L8668" s="1"/>
      <c r="M8668" s="1"/>
    </row>
    <row x14ac:dyDescent="0.25" r="8669" customHeight="1" ht="18.75">
      <c r="A8669" s="1" t="s">
        <v>7833</v>
      </c>
      <c r="B8669" s="1" t="s">
        <v>25130</v>
      </c>
      <c r="C8669" s="1" t="s">
        <v>4488</v>
      </c>
      <c r="D8669" s="1" t="s">
        <v>3601</v>
      </c>
      <c r="E8669" s="1" t="s">
        <v>8096</v>
      </c>
      <c r="F8669" s="1" t="s">
        <v>28868</v>
      </c>
      <c r="G8669" s="1" t="s">
        <v>25131</v>
      </c>
      <c r="H8669" s="1" t="s">
        <v>3604</v>
      </c>
      <c r="I8669" s="1" t="s">
        <v>28869</v>
      </c>
      <c r="J8669" s="1" t="s">
        <v>3615</v>
      </c>
      <c r="K8669" s="1" t="s">
        <v>9003</v>
      </c>
      <c r="L8669" s="1"/>
      <c r="M8669" s="1"/>
    </row>
    <row x14ac:dyDescent="0.25" r="8670" customHeight="1" ht="18.75">
      <c r="A8670" s="1" t="s">
        <v>3598</v>
      </c>
      <c r="B8670" s="1" t="s">
        <v>16605</v>
      </c>
      <c r="C8670" s="1" t="s">
        <v>3600</v>
      </c>
      <c r="D8670" s="1" t="s">
        <v>8365</v>
      </c>
      <c r="E8670" s="1" t="s">
        <v>3664</v>
      </c>
      <c r="F8670" s="1" t="s">
        <v>28870</v>
      </c>
      <c r="G8670" s="1" t="s">
        <v>16620</v>
      </c>
      <c r="H8670" s="1" t="s">
        <v>3604</v>
      </c>
      <c r="I8670" s="1" t="s">
        <v>28871</v>
      </c>
      <c r="J8670" s="1" t="s">
        <v>3615</v>
      </c>
      <c r="K8670" s="1" t="s">
        <v>28872</v>
      </c>
      <c r="L8670" s="1"/>
      <c r="M8670" s="1"/>
    </row>
    <row x14ac:dyDescent="0.25" r="8671" customHeight="1" ht="18.75">
      <c r="A8671" s="1" t="s">
        <v>7833</v>
      </c>
      <c r="B8671" s="1" t="s">
        <v>25130</v>
      </c>
      <c r="C8671" s="1" t="s">
        <v>4488</v>
      </c>
      <c r="D8671" s="1" t="s">
        <v>3601</v>
      </c>
      <c r="E8671" s="1" t="s">
        <v>8096</v>
      </c>
      <c r="F8671" s="1" t="s">
        <v>28873</v>
      </c>
      <c r="G8671" s="1" t="s">
        <v>28802</v>
      </c>
      <c r="H8671" s="1" t="s">
        <v>3604</v>
      </c>
      <c r="I8671" s="1" t="s">
        <v>28874</v>
      </c>
      <c r="J8671" s="1" t="s">
        <v>3615</v>
      </c>
      <c r="K8671" s="1" t="s">
        <v>21528</v>
      </c>
      <c r="L8671" s="1"/>
      <c r="M8671" s="1"/>
    </row>
    <row x14ac:dyDescent="0.25" r="8672" customHeight="1" ht="18.75">
      <c r="A8672" s="1" t="s">
        <v>3598</v>
      </c>
      <c r="B8672" s="1" t="s">
        <v>16605</v>
      </c>
      <c r="C8672" s="1" t="s">
        <v>3600</v>
      </c>
      <c r="D8672" s="1" t="s">
        <v>8365</v>
      </c>
      <c r="E8672" s="1" t="s">
        <v>3664</v>
      </c>
      <c r="F8672" s="1" t="s">
        <v>28875</v>
      </c>
      <c r="G8672" s="1" t="s">
        <v>16620</v>
      </c>
      <c r="H8672" s="1" t="s">
        <v>3604</v>
      </c>
      <c r="I8672" s="1" t="s">
        <v>28876</v>
      </c>
      <c r="J8672" s="1" t="s">
        <v>3615</v>
      </c>
      <c r="K8672" s="1" t="s">
        <v>28877</v>
      </c>
      <c r="L8672" s="1"/>
      <c r="M8672" s="1"/>
    </row>
    <row x14ac:dyDescent="0.25" r="8673" customHeight="1" ht="18.75">
      <c r="A8673" s="1" t="s">
        <v>7833</v>
      </c>
      <c r="B8673" s="1" t="s">
        <v>25130</v>
      </c>
      <c r="C8673" s="1" t="s">
        <v>4488</v>
      </c>
      <c r="D8673" s="1" t="s">
        <v>3601</v>
      </c>
      <c r="E8673" s="1" t="s">
        <v>8096</v>
      </c>
      <c r="F8673" s="1" t="s">
        <v>28878</v>
      </c>
      <c r="G8673" s="1" t="s">
        <v>28879</v>
      </c>
      <c r="H8673" s="1" t="s">
        <v>3604</v>
      </c>
      <c r="I8673" s="1" t="s">
        <v>28880</v>
      </c>
      <c r="J8673" s="1" t="s">
        <v>3615</v>
      </c>
      <c r="K8673" s="1" t="s">
        <v>28881</v>
      </c>
      <c r="L8673" s="1"/>
      <c r="M8673" s="1"/>
    </row>
    <row x14ac:dyDescent="0.25" r="8674" customHeight="1" ht="18.75">
      <c r="A8674" s="1" t="s">
        <v>3598</v>
      </c>
      <c r="B8674" s="1" t="s">
        <v>16605</v>
      </c>
      <c r="C8674" s="1" t="s">
        <v>3600</v>
      </c>
      <c r="D8674" s="1" t="s">
        <v>8365</v>
      </c>
      <c r="E8674" s="1" t="s">
        <v>3664</v>
      </c>
      <c r="F8674" s="1" t="s">
        <v>28882</v>
      </c>
      <c r="G8674" s="1" t="s">
        <v>16620</v>
      </c>
      <c r="H8674" s="1" t="s">
        <v>3604</v>
      </c>
      <c r="I8674" s="1" t="s">
        <v>28883</v>
      </c>
      <c r="J8674" s="1" t="s">
        <v>3615</v>
      </c>
      <c r="K8674" s="1" t="s">
        <v>28884</v>
      </c>
      <c r="L8674" s="1"/>
      <c r="M8674" s="1"/>
    </row>
    <row x14ac:dyDescent="0.25" r="8675" customHeight="1" ht="18.75">
      <c r="A8675" s="1" t="s">
        <v>7833</v>
      </c>
      <c r="B8675" s="1" t="s">
        <v>25130</v>
      </c>
      <c r="C8675" s="1" t="s">
        <v>4488</v>
      </c>
      <c r="D8675" s="1" t="s">
        <v>3601</v>
      </c>
      <c r="E8675" s="1" t="s">
        <v>8096</v>
      </c>
      <c r="F8675" s="1" t="s">
        <v>28885</v>
      </c>
      <c r="G8675" s="1" t="s">
        <v>28808</v>
      </c>
      <c r="H8675" s="1" t="s">
        <v>3604</v>
      </c>
      <c r="I8675" s="1" t="s">
        <v>28886</v>
      </c>
      <c r="J8675" s="1" t="s">
        <v>3615</v>
      </c>
      <c r="K8675" s="1" t="s">
        <v>28747</v>
      </c>
      <c r="L8675" s="1"/>
      <c r="M8675" s="1"/>
    </row>
    <row x14ac:dyDescent="0.25" r="8676" customHeight="1" ht="18.75">
      <c r="A8676" s="1" t="s">
        <v>3598</v>
      </c>
      <c r="B8676" s="1" t="s">
        <v>16605</v>
      </c>
      <c r="C8676" s="1" t="s">
        <v>3600</v>
      </c>
      <c r="D8676" s="1" t="s">
        <v>8365</v>
      </c>
      <c r="E8676" s="1" t="s">
        <v>3664</v>
      </c>
      <c r="F8676" s="1" t="s">
        <v>28887</v>
      </c>
      <c r="G8676" s="1" t="s">
        <v>16620</v>
      </c>
      <c r="H8676" s="1" t="s">
        <v>3604</v>
      </c>
      <c r="I8676" s="1" t="s">
        <v>28888</v>
      </c>
      <c r="J8676" s="1" t="s">
        <v>3615</v>
      </c>
      <c r="K8676" s="1" t="s">
        <v>28889</v>
      </c>
      <c r="L8676" s="1"/>
      <c r="M8676" s="1"/>
    </row>
    <row x14ac:dyDescent="0.25" r="8677" customHeight="1" ht="18.75">
      <c r="A8677" s="1" t="s">
        <v>7833</v>
      </c>
      <c r="B8677" s="1" t="s">
        <v>25130</v>
      </c>
      <c r="C8677" s="1" t="s">
        <v>4488</v>
      </c>
      <c r="D8677" s="1" t="s">
        <v>3601</v>
      </c>
      <c r="E8677" s="1" t="s">
        <v>8096</v>
      </c>
      <c r="F8677" s="1" t="s">
        <v>28890</v>
      </c>
      <c r="G8677" s="1" t="s">
        <v>26389</v>
      </c>
      <c r="H8677" s="1" t="s">
        <v>3604</v>
      </c>
      <c r="I8677" s="1" t="s">
        <v>28891</v>
      </c>
      <c r="J8677" s="1" t="s">
        <v>3615</v>
      </c>
      <c r="K8677" s="1" t="s">
        <v>28754</v>
      </c>
      <c r="L8677" s="1"/>
      <c r="M8677" s="1"/>
    </row>
    <row x14ac:dyDescent="0.25" r="8678" customHeight="1" ht="18.75">
      <c r="A8678" s="1" t="s">
        <v>7833</v>
      </c>
      <c r="B8678" s="1" t="s">
        <v>25130</v>
      </c>
      <c r="C8678" s="1" t="s">
        <v>4488</v>
      </c>
      <c r="D8678" s="1" t="s">
        <v>3601</v>
      </c>
      <c r="E8678" s="1" t="s">
        <v>8096</v>
      </c>
      <c r="F8678" s="1" t="s">
        <v>28892</v>
      </c>
      <c r="G8678" s="1" t="s">
        <v>28818</v>
      </c>
      <c r="H8678" s="1" t="s">
        <v>3604</v>
      </c>
      <c r="I8678" s="1" t="s">
        <v>28893</v>
      </c>
      <c r="J8678" s="1" t="s">
        <v>3615</v>
      </c>
      <c r="K8678" s="1" t="s">
        <v>28760</v>
      </c>
      <c r="L8678" s="1"/>
      <c r="M8678" s="1"/>
    </row>
    <row x14ac:dyDescent="0.25" r="8679" customHeight="1" ht="18.75">
      <c r="A8679" s="1" t="s">
        <v>3598</v>
      </c>
      <c r="B8679" s="1" t="s">
        <v>16605</v>
      </c>
      <c r="C8679" s="1" t="s">
        <v>3600</v>
      </c>
      <c r="D8679" s="1" t="s">
        <v>8365</v>
      </c>
      <c r="E8679" s="1" t="s">
        <v>3664</v>
      </c>
      <c r="F8679" s="1" t="s">
        <v>28894</v>
      </c>
      <c r="G8679" s="1" t="s">
        <v>16620</v>
      </c>
      <c r="H8679" s="1" t="s">
        <v>3604</v>
      </c>
      <c r="I8679" s="1" t="s">
        <v>28895</v>
      </c>
      <c r="J8679" s="1" t="s">
        <v>3615</v>
      </c>
      <c r="K8679" s="1" t="s">
        <v>28896</v>
      </c>
      <c r="L8679" s="1"/>
      <c r="M8679" s="1"/>
    </row>
    <row x14ac:dyDescent="0.25" r="8680" customHeight="1" ht="18.75">
      <c r="A8680" s="1" t="s">
        <v>7833</v>
      </c>
      <c r="B8680" s="1" t="s">
        <v>25130</v>
      </c>
      <c r="C8680" s="1" t="s">
        <v>4488</v>
      </c>
      <c r="D8680" s="1" t="s">
        <v>3601</v>
      </c>
      <c r="E8680" s="1" t="s">
        <v>8096</v>
      </c>
      <c r="F8680" s="1" t="s">
        <v>28897</v>
      </c>
      <c r="G8680" s="1" t="s">
        <v>28898</v>
      </c>
      <c r="H8680" s="1" t="s">
        <v>3604</v>
      </c>
      <c r="I8680" s="1" t="s">
        <v>28899</v>
      </c>
      <c r="J8680" s="1" t="s">
        <v>3615</v>
      </c>
      <c r="K8680" s="1" t="s">
        <v>28900</v>
      </c>
      <c r="L8680" s="1"/>
      <c r="M8680" s="1"/>
    </row>
    <row x14ac:dyDescent="0.25" r="8681" customHeight="1" ht="18.75">
      <c r="A8681" s="1" t="s">
        <v>3598</v>
      </c>
      <c r="B8681" s="1" t="s">
        <v>16605</v>
      </c>
      <c r="C8681" s="1" t="s">
        <v>3600</v>
      </c>
      <c r="D8681" s="1" t="s">
        <v>8365</v>
      </c>
      <c r="E8681" s="1" t="s">
        <v>3664</v>
      </c>
      <c r="F8681" s="1" t="s">
        <v>28901</v>
      </c>
      <c r="G8681" s="1" t="s">
        <v>16620</v>
      </c>
      <c r="H8681" s="1" t="s">
        <v>3604</v>
      </c>
      <c r="I8681" s="1" t="s">
        <v>28902</v>
      </c>
      <c r="J8681" s="1" t="s">
        <v>3615</v>
      </c>
      <c r="K8681" s="1" t="s">
        <v>28903</v>
      </c>
      <c r="L8681" s="1"/>
      <c r="M8681" s="1"/>
    </row>
    <row x14ac:dyDescent="0.25" r="8682" customHeight="1" ht="18.75">
      <c r="A8682" s="1" t="s">
        <v>7833</v>
      </c>
      <c r="B8682" s="1" t="s">
        <v>25130</v>
      </c>
      <c r="C8682" s="1" t="s">
        <v>4488</v>
      </c>
      <c r="D8682" s="1" t="s">
        <v>3601</v>
      </c>
      <c r="E8682" s="1" t="s">
        <v>3664</v>
      </c>
      <c r="F8682" s="1" t="s">
        <v>28904</v>
      </c>
      <c r="G8682" s="1" t="s">
        <v>25131</v>
      </c>
      <c r="H8682" s="1" t="s">
        <v>3604</v>
      </c>
      <c r="I8682" s="1" t="s">
        <v>28905</v>
      </c>
      <c r="J8682" s="1" t="s">
        <v>3615</v>
      </c>
      <c r="K8682" s="1" t="s">
        <v>28906</v>
      </c>
      <c r="L8682" s="1"/>
      <c r="M8682" s="1"/>
    </row>
    <row x14ac:dyDescent="0.25" r="8683" customHeight="1" ht="18.75">
      <c r="A8683" s="1" t="s">
        <v>3598</v>
      </c>
      <c r="B8683" s="1" t="s">
        <v>16605</v>
      </c>
      <c r="C8683" s="1" t="s">
        <v>3600</v>
      </c>
      <c r="D8683" s="1" t="s">
        <v>8365</v>
      </c>
      <c r="E8683" s="1" t="s">
        <v>3664</v>
      </c>
      <c r="F8683" s="1" t="s">
        <v>28907</v>
      </c>
      <c r="G8683" s="1" t="s">
        <v>16620</v>
      </c>
      <c r="H8683" s="1" t="s">
        <v>3604</v>
      </c>
      <c r="I8683" s="1" t="s">
        <v>28908</v>
      </c>
      <c r="J8683" s="1" t="s">
        <v>3615</v>
      </c>
      <c r="K8683" s="1" t="s">
        <v>28909</v>
      </c>
      <c r="L8683" s="1"/>
      <c r="M8683" s="1"/>
    </row>
    <row x14ac:dyDescent="0.25" r="8684" customHeight="1" ht="18.75">
      <c r="A8684" s="1" t="s">
        <v>7833</v>
      </c>
      <c r="B8684" s="1" t="s">
        <v>25130</v>
      </c>
      <c r="C8684" s="1" t="s">
        <v>4488</v>
      </c>
      <c r="D8684" s="1" t="s">
        <v>3601</v>
      </c>
      <c r="E8684" s="1" t="s">
        <v>8096</v>
      </c>
      <c r="F8684" s="1" t="s">
        <v>28910</v>
      </c>
      <c r="G8684" s="1" t="s">
        <v>25131</v>
      </c>
      <c r="H8684" s="1" t="s">
        <v>3604</v>
      </c>
      <c r="I8684" s="1" t="s">
        <v>28911</v>
      </c>
      <c r="J8684" s="1" t="s">
        <v>3615</v>
      </c>
      <c r="K8684" s="1" t="s">
        <v>28912</v>
      </c>
      <c r="L8684" s="1"/>
      <c r="M8684" s="1"/>
    </row>
    <row x14ac:dyDescent="0.25" r="8685" customHeight="1" ht="18.75">
      <c r="A8685" s="1" t="s">
        <v>3598</v>
      </c>
      <c r="B8685" s="1" t="s">
        <v>16605</v>
      </c>
      <c r="C8685" s="1" t="s">
        <v>3600</v>
      </c>
      <c r="D8685" s="1" t="s">
        <v>8365</v>
      </c>
      <c r="E8685" s="1" t="s">
        <v>3664</v>
      </c>
      <c r="F8685" s="1" t="s">
        <v>28913</v>
      </c>
      <c r="G8685" s="1" t="s">
        <v>16620</v>
      </c>
      <c r="H8685" s="1" t="s">
        <v>3604</v>
      </c>
      <c r="I8685" s="1" t="s">
        <v>28914</v>
      </c>
      <c r="J8685" s="1" t="s">
        <v>3615</v>
      </c>
      <c r="K8685" s="1" t="s">
        <v>28915</v>
      </c>
      <c r="L8685" s="1"/>
      <c r="M8685" s="1"/>
    </row>
    <row x14ac:dyDescent="0.25" r="8686" customHeight="1" ht="18.75">
      <c r="A8686" s="1" t="s">
        <v>3598</v>
      </c>
      <c r="B8686" s="1" t="s">
        <v>16605</v>
      </c>
      <c r="C8686" s="1" t="s">
        <v>3600</v>
      </c>
      <c r="D8686" s="1" t="s">
        <v>8365</v>
      </c>
      <c r="E8686" s="1" t="s">
        <v>3664</v>
      </c>
      <c r="F8686" s="1" t="s">
        <v>28916</v>
      </c>
      <c r="G8686" s="1" t="s">
        <v>16620</v>
      </c>
      <c r="H8686" s="1" t="s">
        <v>3604</v>
      </c>
      <c r="I8686" s="1" t="s">
        <v>28917</v>
      </c>
      <c r="J8686" s="1" t="s">
        <v>3615</v>
      </c>
      <c r="K8686" s="1" t="s">
        <v>28918</v>
      </c>
      <c r="L8686" s="1"/>
      <c r="M8686" s="1"/>
    </row>
    <row x14ac:dyDescent="0.25" r="8687" customHeight="1" ht="18.75">
      <c r="A8687" s="1" t="s">
        <v>3598</v>
      </c>
      <c r="B8687" s="1" t="s">
        <v>16605</v>
      </c>
      <c r="C8687" s="1" t="s">
        <v>3600</v>
      </c>
      <c r="D8687" s="1" t="s">
        <v>8365</v>
      </c>
      <c r="E8687" s="1" t="s">
        <v>3664</v>
      </c>
      <c r="F8687" s="1" t="s">
        <v>28919</v>
      </c>
      <c r="G8687" s="1" t="s">
        <v>16620</v>
      </c>
      <c r="H8687" s="1" t="s">
        <v>3604</v>
      </c>
      <c r="I8687" s="1" t="s">
        <v>28920</v>
      </c>
      <c r="J8687" s="1" t="s">
        <v>3615</v>
      </c>
      <c r="K8687" s="1" t="s">
        <v>28921</v>
      </c>
      <c r="L8687" s="1"/>
      <c r="M8687" s="1"/>
    </row>
    <row x14ac:dyDescent="0.25" r="8688" customHeight="1" ht="18.75">
      <c r="A8688" s="1" t="s">
        <v>3598</v>
      </c>
      <c r="B8688" s="1" t="s">
        <v>16605</v>
      </c>
      <c r="C8688" s="1" t="s">
        <v>3600</v>
      </c>
      <c r="D8688" s="1" t="s">
        <v>8365</v>
      </c>
      <c r="E8688" s="1" t="s">
        <v>3664</v>
      </c>
      <c r="F8688" s="1" t="s">
        <v>28922</v>
      </c>
      <c r="G8688" s="1" t="s">
        <v>16620</v>
      </c>
      <c r="H8688" s="1" t="s">
        <v>3604</v>
      </c>
      <c r="I8688" s="1" t="s">
        <v>28923</v>
      </c>
      <c r="J8688" s="1" t="s">
        <v>3615</v>
      </c>
      <c r="K8688" s="1" t="s">
        <v>28924</v>
      </c>
      <c r="L8688" s="1"/>
      <c r="M8688" s="1"/>
    </row>
    <row x14ac:dyDescent="0.25" r="8689" customHeight="1" ht="18.75">
      <c r="A8689" s="1" t="s">
        <v>3598</v>
      </c>
      <c r="B8689" s="1" t="s">
        <v>16605</v>
      </c>
      <c r="C8689" s="1" t="s">
        <v>3600</v>
      </c>
      <c r="D8689" s="1" t="s">
        <v>8365</v>
      </c>
      <c r="E8689" s="1" t="s">
        <v>3664</v>
      </c>
      <c r="F8689" s="1" t="s">
        <v>28925</v>
      </c>
      <c r="G8689" s="1" t="s">
        <v>16620</v>
      </c>
      <c r="H8689" s="1" t="s">
        <v>3604</v>
      </c>
      <c r="I8689" s="1" t="s">
        <v>28926</v>
      </c>
      <c r="J8689" s="1" t="s">
        <v>3615</v>
      </c>
      <c r="K8689" s="1" t="s">
        <v>28927</v>
      </c>
      <c r="L8689" s="1"/>
      <c r="M8689" s="1"/>
    </row>
    <row x14ac:dyDescent="0.25" r="8690" customHeight="1" ht="18.75">
      <c r="A8690" s="1" t="s">
        <v>3598</v>
      </c>
      <c r="B8690" s="1" t="s">
        <v>16605</v>
      </c>
      <c r="C8690" s="1" t="s">
        <v>3600</v>
      </c>
      <c r="D8690" s="1" t="s">
        <v>8365</v>
      </c>
      <c r="E8690" s="1" t="s">
        <v>3664</v>
      </c>
      <c r="F8690" s="1" t="s">
        <v>28928</v>
      </c>
      <c r="G8690" s="1" t="s">
        <v>16620</v>
      </c>
      <c r="H8690" s="1" t="s">
        <v>3604</v>
      </c>
      <c r="I8690" s="1" t="s">
        <v>28929</v>
      </c>
      <c r="J8690" s="1" t="s">
        <v>3615</v>
      </c>
      <c r="K8690" s="1" t="s">
        <v>28930</v>
      </c>
      <c r="L8690" s="1"/>
      <c r="M8690" s="1"/>
    </row>
    <row x14ac:dyDescent="0.25" r="8691" customHeight="1" ht="18.75">
      <c r="A8691" s="1" t="s">
        <v>3598</v>
      </c>
      <c r="B8691" s="1" t="s">
        <v>16605</v>
      </c>
      <c r="C8691" s="1" t="s">
        <v>3600</v>
      </c>
      <c r="D8691" s="1" t="s">
        <v>8365</v>
      </c>
      <c r="E8691" s="1" t="s">
        <v>3664</v>
      </c>
      <c r="F8691" s="1" t="s">
        <v>28931</v>
      </c>
      <c r="G8691" s="1" t="s">
        <v>16620</v>
      </c>
      <c r="H8691" s="1" t="s">
        <v>3604</v>
      </c>
      <c r="I8691" s="1" t="s">
        <v>28932</v>
      </c>
      <c r="J8691" s="1" t="s">
        <v>3615</v>
      </c>
      <c r="K8691" s="1" t="s">
        <v>28933</v>
      </c>
      <c r="L8691" s="1"/>
      <c r="M8691" s="1"/>
    </row>
    <row x14ac:dyDescent="0.25" r="8692" customHeight="1" ht="18.75">
      <c r="A8692" s="1" t="s">
        <v>7833</v>
      </c>
      <c r="B8692" s="1" t="s">
        <v>7856</v>
      </c>
      <c r="C8692" s="1" t="s">
        <v>4488</v>
      </c>
      <c r="D8692" s="1" t="s">
        <v>3601</v>
      </c>
      <c r="E8692" s="1" t="s">
        <v>3664</v>
      </c>
      <c r="F8692" s="1" t="s">
        <v>28934</v>
      </c>
      <c r="G8692" s="1" t="s">
        <v>7858</v>
      </c>
      <c r="H8692" s="1" t="s">
        <v>3604</v>
      </c>
      <c r="I8692" s="1" t="s">
        <v>28935</v>
      </c>
      <c r="J8692" s="1" t="s">
        <v>3606</v>
      </c>
      <c r="K8692" s="1" t="s">
        <v>21581</v>
      </c>
      <c r="L8692" s="1"/>
      <c r="M8692" s="1"/>
    </row>
    <row x14ac:dyDescent="0.25" r="8693" customHeight="1" ht="18.75">
      <c r="A8693" s="1" t="s">
        <v>3598</v>
      </c>
      <c r="B8693" s="1" t="s">
        <v>16605</v>
      </c>
      <c r="C8693" s="1" t="s">
        <v>3600</v>
      </c>
      <c r="D8693" s="1" t="s">
        <v>8365</v>
      </c>
      <c r="E8693" s="1" t="s">
        <v>3664</v>
      </c>
      <c r="F8693" s="1" t="s">
        <v>28936</v>
      </c>
      <c r="G8693" s="1" t="s">
        <v>16620</v>
      </c>
      <c r="H8693" s="1" t="s">
        <v>3604</v>
      </c>
      <c r="I8693" s="1" t="s">
        <v>28937</v>
      </c>
      <c r="J8693" s="1" t="s">
        <v>3615</v>
      </c>
      <c r="K8693" s="1" t="s">
        <v>28938</v>
      </c>
      <c r="L8693" s="1"/>
      <c r="M8693" s="1"/>
    </row>
    <row x14ac:dyDescent="0.25" r="8694" customHeight="1" ht="18.75">
      <c r="A8694" s="1" t="s">
        <v>7833</v>
      </c>
      <c r="B8694" s="1" t="s">
        <v>7856</v>
      </c>
      <c r="C8694" s="1" t="s">
        <v>4488</v>
      </c>
      <c r="D8694" s="1" t="s">
        <v>3601</v>
      </c>
      <c r="E8694" s="1" t="s">
        <v>3664</v>
      </c>
      <c r="F8694" s="1" t="s">
        <v>28939</v>
      </c>
      <c r="G8694" s="1" t="s">
        <v>28798</v>
      </c>
      <c r="H8694" s="1" t="s">
        <v>3604</v>
      </c>
      <c r="I8694" s="1" t="s">
        <v>28940</v>
      </c>
      <c r="J8694" s="1" t="s">
        <v>3606</v>
      </c>
      <c r="K8694" s="1" t="s">
        <v>28941</v>
      </c>
      <c r="L8694" s="1"/>
      <c r="M8694" s="1"/>
    </row>
    <row x14ac:dyDescent="0.25" r="8695" customHeight="1" ht="18.75">
      <c r="A8695" s="1" t="s">
        <v>3598</v>
      </c>
      <c r="B8695" s="1" t="s">
        <v>16605</v>
      </c>
      <c r="C8695" s="1" t="s">
        <v>3600</v>
      </c>
      <c r="D8695" s="1" t="s">
        <v>8365</v>
      </c>
      <c r="E8695" s="1" t="s">
        <v>3664</v>
      </c>
      <c r="F8695" s="1" t="s">
        <v>28942</v>
      </c>
      <c r="G8695" s="1" t="s">
        <v>16620</v>
      </c>
      <c r="H8695" s="1" t="s">
        <v>3604</v>
      </c>
      <c r="I8695" s="1" t="s">
        <v>28943</v>
      </c>
      <c r="J8695" s="1" t="s">
        <v>3615</v>
      </c>
      <c r="K8695" s="1" t="s">
        <v>28944</v>
      </c>
      <c r="L8695" s="1"/>
      <c r="M8695" s="1"/>
    </row>
    <row x14ac:dyDescent="0.25" r="8696" customHeight="1" ht="18.75">
      <c r="A8696" s="1" t="s">
        <v>7833</v>
      </c>
      <c r="B8696" s="1" t="s">
        <v>7856</v>
      </c>
      <c r="C8696" s="1" t="s">
        <v>4488</v>
      </c>
      <c r="D8696" s="1" t="s">
        <v>3601</v>
      </c>
      <c r="E8696" s="1" t="s">
        <v>3664</v>
      </c>
      <c r="F8696" s="1" t="s">
        <v>28945</v>
      </c>
      <c r="G8696" s="1" t="s">
        <v>24009</v>
      </c>
      <c r="H8696" s="1" t="s">
        <v>3604</v>
      </c>
      <c r="I8696" s="1" t="s">
        <v>28946</v>
      </c>
      <c r="J8696" s="1" t="s">
        <v>3606</v>
      </c>
      <c r="K8696" s="1" t="s">
        <v>28816</v>
      </c>
      <c r="L8696" s="1"/>
      <c r="M8696" s="1"/>
    </row>
    <row x14ac:dyDescent="0.25" r="8697" customHeight="1" ht="18.75">
      <c r="A8697" s="1" t="s">
        <v>3598</v>
      </c>
      <c r="B8697" s="1" t="s">
        <v>16605</v>
      </c>
      <c r="C8697" s="1" t="s">
        <v>3600</v>
      </c>
      <c r="D8697" s="1" t="s">
        <v>8365</v>
      </c>
      <c r="E8697" s="1" t="s">
        <v>3664</v>
      </c>
      <c r="F8697" s="1" t="s">
        <v>28947</v>
      </c>
      <c r="G8697" s="1" t="s">
        <v>16620</v>
      </c>
      <c r="H8697" s="1" t="s">
        <v>3604</v>
      </c>
      <c r="I8697" s="1" t="s">
        <v>28948</v>
      </c>
      <c r="J8697" s="1" t="s">
        <v>3615</v>
      </c>
      <c r="K8697" s="1" t="s">
        <v>28949</v>
      </c>
      <c r="L8697" s="1"/>
      <c r="M8697" s="1"/>
    </row>
    <row x14ac:dyDescent="0.25" r="8698" customHeight="1" ht="18.75">
      <c r="A8698" s="1" t="s">
        <v>7833</v>
      </c>
      <c r="B8698" s="1" t="s">
        <v>7856</v>
      </c>
      <c r="C8698" s="1" t="s">
        <v>4488</v>
      </c>
      <c r="D8698" s="1" t="s">
        <v>3601</v>
      </c>
      <c r="E8698" s="1" t="s">
        <v>3664</v>
      </c>
      <c r="F8698" s="1" t="s">
        <v>28950</v>
      </c>
      <c r="G8698" s="1" t="s">
        <v>28798</v>
      </c>
      <c r="H8698" s="1" t="s">
        <v>3604</v>
      </c>
      <c r="I8698" s="1" t="s">
        <v>28951</v>
      </c>
      <c r="J8698" s="1" t="s">
        <v>3606</v>
      </c>
      <c r="K8698" s="1" t="s">
        <v>28952</v>
      </c>
      <c r="L8698" s="1"/>
      <c r="M8698" s="1"/>
    </row>
    <row x14ac:dyDescent="0.25" r="8699" customHeight="1" ht="18.75">
      <c r="A8699" s="1" t="s">
        <v>3598</v>
      </c>
      <c r="B8699" s="1" t="s">
        <v>16605</v>
      </c>
      <c r="C8699" s="1" t="s">
        <v>3600</v>
      </c>
      <c r="D8699" s="1" t="s">
        <v>8365</v>
      </c>
      <c r="E8699" s="1" t="s">
        <v>3664</v>
      </c>
      <c r="F8699" s="1" t="s">
        <v>28953</v>
      </c>
      <c r="G8699" s="1" t="s">
        <v>16620</v>
      </c>
      <c r="H8699" s="1" t="s">
        <v>3604</v>
      </c>
      <c r="I8699" s="1" t="s">
        <v>28954</v>
      </c>
      <c r="J8699" s="1" t="s">
        <v>3615</v>
      </c>
      <c r="K8699" s="1" t="s">
        <v>28955</v>
      </c>
      <c r="L8699" s="1"/>
      <c r="M8699" s="1"/>
    </row>
    <row x14ac:dyDescent="0.25" r="8700" customHeight="1" ht="18.75">
      <c r="A8700" s="1" t="s">
        <v>7833</v>
      </c>
      <c r="B8700" s="1" t="s">
        <v>7856</v>
      </c>
      <c r="C8700" s="1" t="s">
        <v>4488</v>
      </c>
      <c r="D8700" s="1" t="s">
        <v>3601</v>
      </c>
      <c r="E8700" s="1" t="s">
        <v>3664</v>
      </c>
      <c r="F8700" s="1" t="s">
        <v>28956</v>
      </c>
      <c r="G8700" s="1" t="s">
        <v>24005</v>
      </c>
      <c r="H8700" s="1" t="s">
        <v>3604</v>
      </c>
      <c r="I8700" s="1" t="s">
        <v>28957</v>
      </c>
      <c r="J8700" s="1" t="s">
        <v>3606</v>
      </c>
      <c r="K8700" s="1" t="s">
        <v>28958</v>
      </c>
      <c r="L8700" s="1"/>
      <c r="M8700" s="1"/>
    </row>
    <row x14ac:dyDescent="0.25" r="8701" customHeight="1" ht="18.75">
      <c r="A8701" s="1" t="s">
        <v>3598</v>
      </c>
      <c r="B8701" s="1" t="s">
        <v>16605</v>
      </c>
      <c r="C8701" s="1" t="s">
        <v>3600</v>
      </c>
      <c r="D8701" s="1" t="s">
        <v>8365</v>
      </c>
      <c r="E8701" s="1" t="s">
        <v>3664</v>
      </c>
      <c r="F8701" s="1" t="s">
        <v>28959</v>
      </c>
      <c r="G8701" s="1" t="s">
        <v>16620</v>
      </c>
      <c r="H8701" s="1" t="s">
        <v>3604</v>
      </c>
      <c r="I8701" s="1" t="s">
        <v>28960</v>
      </c>
      <c r="J8701" s="1" t="s">
        <v>3615</v>
      </c>
      <c r="K8701" s="1" t="s">
        <v>28961</v>
      </c>
      <c r="L8701" s="1"/>
      <c r="M8701" s="1"/>
    </row>
    <row x14ac:dyDescent="0.25" r="8702" customHeight="1" ht="18.75">
      <c r="A8702" s="1" t="s">
        <v>7833</v>
      </c>
      <c r="B8702" s="1" t="s">
        <v>7856</v>
      </c>
      <c r="C8702" s="1" t="s">
        <v>4488</v>
      </c>
      <c r="D8702" s="1" t="s">
        <v>3601</v>
      </c>
      <c r="E8702" s="1" t="s">
        <v>3664</v>
      </c>
      <c r="F8702" s="1" t="s">
        <v>28962</v>
      </c>
      <c r="G8702" s="1" t="s">
        <v>7858</v>
      </c>
      <c r="H8702" s="1" t="s">
        <v>3604</v>
      </c>
      <c r="I8702" s="1" t="s">
        <v>28963</v>
      </c>
      <c r="J8702" s="1" t="s">
        <v>3606</v>
      </c>
      <c r="K8702" s="1" t="s">
        <v>21584</v>
      </c>
      <c r="L8702" s="1"/>
      <c r="M8702" s="1"/>
    </row>
    <row x14ac:dyDescent="0.25" r="8703" customHeight="1" ht="18.75">
      <c r="A8703" s="1" t="s">
        <v>3598</v>
      </c>
      <c r="B8703" s="1" t="s">
        <v>16605</v>
      </c>
      <c r="C8703" s="1" t="s">
        <v>3600</v>
      </c>
      <c r="D8703" s="1" t="s">
        <v>8365</v>
      </c>
      <c r="E8703" s="1" t="s">
        <v>3664</v>
      </c>
      <c r="F8703" s="1" t="s">
        <v>28964</v>
      </c>
      <c r="G8703" s="1" t="s">
        <v>16620</v>
      </c>
      <c r="H8703" s="1" t="s">
        <v>3604</v>
      </c>
      <c r="I8703" s="1" t="s">
        <v>28965</v>
      </c>
      <c r="J8703" s="1" t="s">
        <v>3615</v>
      </c>
      <c r="K8703" s="1" t="s">
        <v>28966</v>
      </c>
      <c r="L8703" s="1"/>
      <c r="M8703" s="1"/>
    </row>
    <row x14ac:dyDescent="0.25" r="8704" customHeight="1" ht="18.75">
      <c r="A8704" s="1" t="s">
        <v>7833</v>
      </c>
      <c r="B8704" s="1" t="s">
        <v>7856</v>
      </c>
      <c r="C8704" s="1" t="s">
        <v>4488</v>
      </c>
      <c r="D8704" s="1" t="s">
        <v>3601</v>
      </c>
      <c r="E8704" s="1" t="s">
        <v>3664</v>
      </c>
      <c r="F8704" s="1" t="s">
        <v>28967</v>
      </c>
      <c r="G8704" s="1" t="s">
        <v>24009</v>
      </c>
      <c r="H8704" s="1" t="s">
        <v>3604</v>
      </c>
      <c r="I8704" s="1" t="s">
        <v>28968</v>
      </c>
      <c r="J8704" s="1" t="s">
        <v>3606</v>
      </c>
      <c r="K8704" s="1" t="s">
        <v>28754</v>
      </c>
      <c r="L8704" s="1"/>
      <c r="M8704" s="1"/>
    </row>
    <row x14ac:dyDescent="0.25" r="8705" customHeight="1" ht="18.75">
      <c r="A8705" s="1" t="s">
        <v>3598</v>
      </c>
      <c r="B8705" s="1" t="s">
        <v>16605</v>
      </c>
      <c r="C8705" s="1" t="s">
        <v>3600</v>
      </c>
      <c r="D8705" s="1" t="s">
        <v>8365</v>
      </c>
      <c r="E8705" s="1" t="s">
        <v>3664</v>
      </c>
      <c r="F8705" s="1" t="s">
        <v>28969</v>
      </c>
      <c r="G8705" s="1" t="s">
        <v>16620</v>
      </c>
      <c r="H8705" s="1" t="s">
        <v>3604</v>
      </c>
      <c r="I8705" s="1" t="s">
        <v>28970</v>
      </c>
      <c r="J8705" s="1" t="s">
        <v>3615</v>
      </c>
      <c r="K8705" s="1" t="s">
        <v>28971</v>
      </c>
      <c r="L8705" s="1"/>
      <c r="M8705" s="1"/>
    </row>
    <row x14ac:dyDescent="0.25" r="8706" customHeight="1" ht="18.75">
      <c r="A8706" s="1" t="s">
        <v>7833</v>
      </c>
      <c r="B8706" s="1" t="s">
        <v>7856</v>
      </c>
      <c r="C8706" s="1" t="s">
        <v>4488</v>
      </c>
      <c r="D8706" s="1" t="s">
        <v>3601</v>
      </c>
      <c r="E8706" s="1" t="s">
        <v>3611</v>
      </c>
      <c r="F8706" s="1" t="s">
        <v>28972</v>
      </c>
      <c r="G8706" s="1" t="s">
        <v>7858</v>
      </c>
      <c r="H8706" s="1" t="s">
        <v>3604</v>
      </c>
      <c r="I8706" s="1" t="s">
        <v>28973</v>
      </c>
      <c r="J8706" s="1" t="s">
        <v>3606</v>
      </c>
      <c r="K8706" s="1" t="s">
        <v>28974</v>
      </c>
      <c r="L8706" s="1"/>
      <c r="M8706" s="1"/>
    </row>
    <row x14ac:dyDescent="0.25" r="8707" customHeight="1" ht="18.75">
      <c r="A8707" s="1" t="s">
        <v>3598</v>
      </c>
      <c r="B8707" s="1" t="s">
        <v>16605</v>
      </c>
      <c r="C8707" s="1" t="s">
        <v>3600</v>
      </c>
      <c r="D8707" s="1" t="s">
        <v>8365</v>
      </c>
      <c r="E8707" s="1" t="s">
        <v>3664</v>
      </c>
      <c r="F8707" s="1" t="s">
        <v>28975</v>
      </c>
      <c r="G8707" s="1" t="s">
        <v>16620</v>
      </c>
      <c r="H8707" s="1" t="s">
        <v>3604</v>
      </c>
      <c r="I8707" s="1" t="s">
        <v>28976</v>
      </c>
      <c r="J8707" s="1" t="s">
        <v>3615</v>
      </c>
      <c r="K8707" s="1" t="s">
        <v>28977</v>
      </c>
      <c r="L8707" s="1"/>
      <c r="M8707" s="1"/>
    </row>
    <row x14ac:dyDescent="0.25" r="8708" customHeight="1" ht="18.75">
      <c r="A8708" s="1" t="s">
        <v>7833</v>
      </c>
      <c r="B8708" s="1" t="s">
        <v>7856</v>
      </c>
      <c r="C8708" s="1" t="s">
        <v>4488</v>
      </c>
      <c r="D8708" s="1" t="s">
        <v>3601</v>
      </c>
      <c r="E8708" s="1" t="s">
        <v>3611</v>
      </c>
      <c r="F8708" s="1" t="s">
        <v>28978</v>
      </c>
      <c r="G8708" s="1" t="s">
        <v>7858</v>
      </c>
      <c r="H8708" s="1" t="s">
        <v>3604</v>
      </c>
      <c r="I8708" s="1" t="s">
        <v>28979</v>
      </c>
      <c r="J8708" s="1" t="s">
        <v>3606</v>
      </c>
      <c r="K8708" s="1" t="s">
        <v>28980</v>
      </c>
      <c r="L8708" s="1"/>
      <c r="M8708" s="1"/>
    </row>
    <row x14ac:dyDescent="0.25" r="8709" customHeight="1" ht="18.75">
      <c r="A8709" s="1" t="s">
        <v>7833</v>
      </c>
      <c r="B8709" s="1" t="s">
        <v>7856</v>
      </c>
      <c r="C8709" s="1" t="s">
        <v>4488</v>
      </c>
      <c r="D8709" s="1" t="s">
        <v>3601</v>
      </c>
      <c r="E8709" s="1" t="s">
        <v>3611</v>
      </c>
      <c r="F8709" s="1" t="s">
        <v>28981</v>
      </c>
      <c r="G8709" s="1" t="s">
        <v>7858</v>
      </c>
      <c r="H8709" s="1" t="s">
        <v>3604</v>
      </c>
      <c r="I8709" s="1" t="s">
        <v>28982</v>
      </c>
      <c r="J8709" s="1" t="s">
        <v>3606</v>
      </c>
      <c r="K8709" s="1" t="s">
        <v>20771</v>
      </c>
      <c r="L8709" s="1"/>
      <c r="M8709" s="1"/>
    </row>
    <row x14ac:dyDescent="0.25" r="8710" customHeight="1" ht="18.75">
      <c r="A8710" s="1" t="s">
        <v>3598</v>
      </c>
      <c r="B8710" s="1" t="s">
        <v>16605</v>
      </c>
      <c r="C8710" s="1" t="s">
        <v>3600</v>
      </c>
      <c r="D8710" s="1" t="s">
        <v>8365</v>
      </c>
      <c r="E8710" s="1" t="s">
        <v>3664</v>
      </c>
      <c r="F8710" s="1" t="s">
        <v>28983</v>
      </c>
      <c r="G8710" s="1" t="s">
        <v>16620</v>
      </c>
      <c r="H8710" s="1" t="s">
        <v>3604</v>
      </c>
      <c r="I8710" s="1" t="s">
        <v>28984</v>
      </c>
      <c r="J8710" s="1" t="s">
        <v>3615</v>
      </c>
      <c r="K8710" s="1" t="s">
        <v>28985</v>
      </c>
      <c r="L8710" s="1"/>
      <c r="M8710" s="1"/>
    </row>
    <row x14ac:dyDescent="0.25" r="8711" customHeight="1" ht="18.75">
      <c r="A8711" s="1" t="s">
        <v>7833</v>
      </c>
      <c r="B8711" s="1" t="s">
        <v>7856</v>
      </c>
      <c r="C8711" s="1" t="s">
        <v>4488</v>
      </c>
      <c r="D8711" s="1" t="s">
        <v>3601</v>
      </c>
      <c r="E8711" s="1" t="s">
        <v>3611</v>
      </c>
      <c r="F8711" s="1" t="s">
        <v>28986</v>
      </c>
      <c r="G8711" s="1" t="s">
        <v>28987</v>
      </c>
      <c r="H8711" s="1" t="s">
        <v>3604</v>
      </c>
      <c r="I8711" s="1" t="s">
        <v>28988</v>
      </c>
      <c r="J8711" s="1" t="s">
        <v>3606</v>
      </c>
      <c r="K8711" s="1" t="s">
        <v>28989</v>
      </c>
      <c r="L8711" s="1"/>
      <c r="M8711" s="1"/>
    </row>
    <row x14ac:dyDescent="0.25" r="8712" customHeight="1" ht="18.75">
      <c r="A8712" s="1" t="s">
        <v>7833</v>
      </c>
      <c r="B8712" s="1" t="s">
        <v>7856</v>
      </c>
      <c r="C8712" s="1" t="s">
        <v>4488</v>
      </c>
      <c r="D8712" s="1" t="s">
        <v>3601</v>
      </c>
      <c r="E8712" s="1" t="s">
        <v>3611</v>
      </c>
      <c r="F8712" s="1" t="s">
        <v>28990</v>
      </c>
      <c r="G8712" s="1" t="s">
        <v>28991</v>
      </c>
      <c r="H8712" s="1" t="s">
        <v>3604</v>
      </c>
      <c r="I8712" s="1" t="s">
        <v>28992</v>
      </c>
      <c r="J8712" s="1" t="s">
        <v>3606</v>
      </c>
      <c r="K8712" s="1" t="s">
        <v>28993</v>
      </c>
      <c r="L8712" s="1"/>
      <c r="M8712" s="1"/>
    </row>
    <row x14ac:dyDescent="0.25" r="8713" customHeight="1" ht="18.75">
      <c r="A8713" s="1" t="s">
        <v>7833</v>
      </c>
      <c r="B8713" s="1" t="s">
        <v>7856</v>
      </c>
      <c r="C8713" s="1" t="s">
        <v>4488</v>
      </c>
      <c r="D8713" s="1" t="s">
        <v>3601</v>
      </c>
      <c r="E8713" s="1" t="s">
        <v>3611</v>
      </c>
      <c r="F8713" s="1" t="s">
        <v>28994</v>
      </c>
      <c r="G8713" s="1" t="s">
        <v>28995</v>
      </c>
      <c r="H8713" s="1" t="s">
        <v>3604</v>
      </c>
      <c r="I8713" s="1" t="s">
        <v>28996</v>
      </c>
      <c r="J8713" s="1" t="s">
        <v>3606</v>
      </c>
      <c r="K8713" s="1" t="s">
        <v>28997</v>
      </c>
      <c r="L8713" s="1"/>
      <c r="M8713" s="1"/>
    </row>
    <row x14ac:dyDescent="0.25" r="8714" customHeight="1" ht="18.75">
      <c r="A8714" s="1" t="s">
        <v>3598</v>
      </c>
      <c r="B8714" s="1" t="s">
        <v>8581</v>
      </c>
      <c r="C8714" s="1" t="s">
        <v>3600</v>
      </c>
      <c r="D8714" s="1" t="s">
        <v>3601</v>
      </c>
      <c r="E8714" s="1" t="s">
        <v>3664</v>
      </c>
      <c r="F8714" s="1" t="s">
        <v>28998</v>
      </c>
      <c r="G8714" s="1" t="s">
        <v>28999</v>
      </c>
      <c r="H8714" s="1" t="s">
        <v>3604</v>
      </c>
      <c r="I8714" s="1" t="s">
        <v>29000</v>
      </c>
      <c r="J8714" s="1" t="s">
        <v>3615</v>
      </c>
      <c r="K8714" s="1" t="s">
        <v>29001</v>
      </c>
      <c r="L8714" s="1"/>
      <c r="M8714" s="1"/>
    </row>
    <row x14ac:dyDescent="0.25" r="8715" customHeight="1" ht="18.75">
      <c r="A8715" s="1" t="s">
        <v>7833</v>
      </c>
      <c r="B8715" s="1" t="s">
        <v>7856</v>
      </c>
      <c r="C8715" s="1" t="s">
        <v>4488</v>
      </c>
      <c r="D8715" s="1" t="s">
        <v>3601</v>
      </c>
      <c r="E8715" s="1" t="s">
        <v>3611</v>
      </c>
      <c r="F8715" s="1" t="s">
        <v>29002</v>
      </c>
      <c r="G8715" s="1" t="s">
        <v>29003</v>
      </c>
      <c r="H8715" s="1" t="s">
        <v>3604</v>
      </c>
      <c r="I8715" s="1" t="s">
        <v>29004</v>
      </c>
      <c r="J8715" s="1" t="s">
        <v>3606</v>
      </c>
      <c r="K8715" s="1" t="s">
        <v>29005</v>
      </c>
      <c r="L8715" s="1"/>
      <c r="M8715" s="1"/>
    </row>
    <row x14ac:dyDescent="0.25" r="8716" customHeight="1" ht="18.75">
      <c r="A8716" s="1" t="s">
        <v>3598</v>
      </c>
      <c r="B8716" s="1" t="s">
        <v>8651</v>
      </c>
      <c r="C8716" s="1" t="s">
        <v>3600</v>
      </c>
      <c r="D8716" s="1" t="s">
        <v>3601</v>
      </c>
      <c r="E8716" s="1" t="s">
        <v>3664</v>
      </c>
      <c r="F8716" s="1" t="s">
        <v>29006</v>
      </c>
      <c r="G8716" s="1" t="s">
        <v>8653</v>
      </c>
      <c r="H8716" s="1" t="s">
        <v>3604</v>
      </c>
      <c r="I8716" s="1" t="s">
        <v>29007</v>
      </c>
      <c r="J8716" s="1" t="s">
        <v>3615</v>
      </c>
      <c r="K8716" s="1" t="s">
        <v>29008</v>
      </c>
      <c r="L8716" s="1"/>
      <c r="M8716" s="1"/>
    </row>
    <row x14ac:dyDescent="0.25" r="8717" customHeight="1" ht="18.75">
      <c r="A8717" s="1" t="s">
        <v>7833</v>
      </c>
      <c r="B8717" s="1" t="s">
        <v>7856</v>
      </c>
      <c r="C8717" s="1" t="s">
        <v>4488</v>
      </c>
      <c r="D8717" s="1" t="s">
        <v>3601</v>
      </c>
      <c r="E8717" s="1" t="s">
        <v>3611</v>
      </c>
      <c r="F8717" s="1" t="s">
        <v>29009</v>
      </c>
      <c r="G8717" s="1" t="s">
        <v>29010</v>
      </c>
      <c r="H8717" s="1" t="s">
        <v>3604</v>
      </c>
      <c r="I8717" s="1" t="s">
        <v>29011</v>
      </c>
      <c r="J8717" s="1" t="s">
        <v>3606</v>
      </c>
      <c r="K8717" s="1" t="s">
        <v>29012</v>
      </c>
      <c r="L8717" s="1"/>
      <c r="M8717" s="1"/>
    </row>
    <row x14ac:dyDescent="0.25" r="8718" customHeight="1" ht="18.75">
      <c r="A8718" s="1" t="s">
        <v>3598</v>
      </c>
      <c r="B8718" s="1" t="s">
        <v>8651</v>
      </c>
      <c r="C8718" s="1" t="s">
        <v>3600</v>
      </c>
      <c r="D8718" s="1" t="s">
        <v>3601</v>
      </c>
      <c r="E8718" s="1" t="s">
        <v>3664</v>
      </c>
      <c r="F8718" s="1" t="s">
        <v>29013</v>
      </c>
      <c r="G8718" s="1" t="s">
        <v>8653</v>
      </c>
      <c r="H8718" s="1" t="s">
        <v>3604</v>
      </c>
      <c r="I8718" s="1" t="s">
        <v>29014</v>
      </c>
      <c r="J8718" s="1" t="s">
        <v>3615</v>
      </c>
      <c r="K8718" s="1" t="s">
        <v>29015</v>
      </c>
      <c r="L8718" s="1"/>
      <c r="M8718" s="1"/>
    </row>
    <row x14ac:dyDescent="0.25" r="8719" customHeight="1" ht="18.75">
      <c r="A8719" s="1" t="s">
        <v>7833</v>
      </c>
      <c r="B8719" s="1" t="s">
        <v>7856</v>
      </c>
      <c r="C8719" s="1" t="s">
        <v>4488</v>
      </c>
      <c r="D8719" s="1" t="s">
        <v>3601</v>
      </c>
      <c r="E8719" s="1" t="s">
        <v>3611</v>
      </c>
      <c r="F8719" s="1" t="s">
        <v>29016</v>
      </c>
      <c r="G8719" s="1" t="s">
        <v>29017</v>
      </c>
      <c r="H8719" s="1" t="s">
        <v>3604</v>
      </c>
      <c r="I8719" s="1" t="s">
        <v>29018</v>
      </c>
      <c r="J8719" s="1" t="s">
        <v>3606</v>
      </c>
      <c r="K8719" s="1" t="s">
        <v>29019</v>
      </c>
      <c r="L8719" s="1"/>
      <c r="M8719" s="1"/>
    </row>
    <row x14ac:dyDescent="0.25" r="8720" customHeight="1" ht="18.75">
      <c r="A8720" s="1" t="s">
        <v>7833</v>
      </c>
      <c r="B8720" s="1" t="s">
        <v>7856</v>
      </c>
      <c r="C8720" s="1" t="s">
        <v>4488</v>
      </c>
      <c r="D8720" s="1" t="s">
        <v>3601</v>
      </c>
      <c r="E8720" s="1" t="s">
        <v>3611</v>
      </c>
      <c r="F8720" s="1" t="s">
        <v>29020</v>
      </c>
      <c r="G8720" s="1" t="s">
        <v>29021</v>
      </c>
      <c r="H8720" s="1" t="s">
        <v>3604</v>
      </c>
      <c r="I8720" s="1" t="s">
        <v>29022</v>
      </c>
      <c r="J8720" s="1" t="s">
        <v>3606</v>
      </c>
      <c r="K8720" s="1" t="s">
        <v>29023</v>
      </c>
      <c r="L8720" s="1"/>
      <c r="M8720" s="1"/>
    </row>
    <row x14ac:dyDescent="0.25" r="8721" customHeight="1" ht="18.75">
      <c r="A8721" s="1" t="s">
        <v>3598</v>
      </c>
      <c r="B8721" s="1" t="s">
        <v>8651</v>
      </c>
      <c r="C8721" s="1" t="s">
        <v>3600</v>
      </c>
      <c r="D8721" s="1" t="s">
        <v>3601</v>
      </c>
      <c r="E8721" s="1" t="s">
        <v>3664</v>
      </c>
      <c r="F8721" s="1" t="s">
        <v>29024</v>
      </c>
      <c r="G8721" s="1" t="s">
        <v>8653</v>
      </c>
      <c r="H8721" s="1" t="s">
        <v>3604</v>
      </c>
      <c r="I8721" s="1" t="s">
        <v>29025</v>
      </c>
      <c r="J8721" s="1" t="s">
        <v>3615</v>
      </c>
      <c r="K8721" s="1" t="s">
        <v>29026</v>
      </c>
      <c r="L8721" s="1"/>
      <c r="M8721" s="1"/>
    </row>
    <row x14ac:dyDescent="0.25" r="8722" customHeight="1" ht="18.75">
      <c r="A8722" s="1" t="s">
        <v>7833</v>
      </c>
      <c r="B8722" s="1" t="s">
        <v>7856</v>
      </c>
      <c r="C8722" s="1" t="s">
        <v>4488</v>
      </c>
      <c r="D8722" s="1" t="s">
        <v>3601</v>
      </c>
      <c r="E8722" s="1" t="s">
        <v>3611</v>
      </c>
      <c r="F8722" s="1" t="s">
        <v>29027</v>
      </c>
      <c r="G8722" s="1" t="s">
        <v>29028</v>
      </c>
      <c r="H8722" s="1" t="s">
        <v>3604</v>
      </c>
      <c r="I8722" s="1" t="s">
        <v>29029</v>
      </c>
      <c r="J8722" s="1" t="s">
        <v>3606</v>
      </c>
      <c r="K8722" s="1" t="s">
        <v>29030</v>
      </c>
      <c r="L8722" s="1"/>
      <c r="M8722" s="1"/>
    </row>
    <row x14ac:dyDescent="0.25" r="8723" customHeight="1" ht="18.75">
      <c r="A8723" s="1" t="s">
        <v>7833</v>
      </c>
      <c r="B8723" s="1" t="s">
        <v>7856</v>
      </c>
      <c r="C8723" s="1" t="s">
        <v>4488</v>
      </c>
      <c r="D8723" s="1" t="s">
        <v>3601</v>
      </c>
      <c r="E8723" s="1" t="s">
        <v>3611</v>
      </c>
      <c r="F8723" s="1" t="s">
        <v>29031</v>
      </c>
      <c r="G8723" s="1" t="s">
        <v>29032</v>
      </c>
      <c r="H8723" s="1" t="s">
        <v>3604</v>
      </c>
      <c r="I8723" s="1" t="s">
        <v>29033</v>
      </c>
      <c r="J8723" s="1" t="s">
        <v>3606</v>
      </c>
      <c r="K8723" s="1" t="s">
        <v>29034</v>
      </c>
      <c r="L8723" s="1"/>
      <c r="M8723" s="1"/>
    </row>
    <row x14ac:dyDescent="0.25" r="8724" customHeight="1" ht="18.75">
      <c r="A8724" s="1" t="s">
        <v>7833</v>
      </c>
      <c r="B8724" s="1" t="s">
        <v>14486</v>
      </c>
      <c r="C8724" s="1" t="s">
        <v>3619</v>
      </c>
      <c r="D8724" s="1" t="s">
        <v>3601</v>
      </c>
      <c r="E8724" s="1" t="s">
        <v>3981</v>
      </c>
      <c r="F8724" s="1" t="s">
        <v>29035</v>
      </c>
      <c r="G8724" s="1" t="s">
        <v>14965</v>
      </c>
      <c r="H8724" s="1" t="s">
        <v>3604</v>
      </c>
      <c r="I8724" s="1" t="s">
        <v>29036</v>
      </c>
      <c r="J8724" s="1" t="s">
        <v>3615</v>
      </c>
      <c r="K8724" s="1" t="s">
        <v>29037</v>
      </c>
      <c r="L8724" s="1"/>
      <c r="M8724" s="1"/>
    </row>
    <row x14ac:dyDescent="0.25" r="8725" customHeight="1" ht="18.75">
      <c r="A8725" s="1" t="s">
        <v>3598</v>
      </c>
      <c r="B8725" s="1" t="s">
        <v>5260</v>
      </c>
      <c r="C8725" s="1" t="s">
        <v>3600</v>
      </c>
      <c r="D8725" s="1" t="s">
        <v>7891</v>
      </c>
      <c r="E8725" s="1" t="s">
        <v>3893</v>
      </c>
      <c r="F8725" s="1" t="s">
        <v>29038</v>
      </c>
      <c r="G8725" s="1" t="s">
        <v>8648</v>
      </c>
      <c r="H8725" s="1" t="s">
        <v>3604</v>
      </c>
      <c r="I8725" s="1" t="s">
        <v>29039</v>
      </c>
      <c r="J8725" s="1" t="s">
        <v>3615</v>
      </c>
      <c r="K8725" s="1" t="s">
        <v>29040</v>
      </c>
      <c r="L8725" s="1"/>
      <c r="M8725" s="1"/>
    </row>
    <row x14ac:dyDescent="0.25" r="8726" customHeight="1" ht="18.75">
      <c r="A8726" s="1" t="s">
        <v>7833</v>
      </c>
      <c r="B8726" s="1" t="s">
        <v>14486</v>
      </c>
      <c r="C8726" s="1" t="s">
        <v>3619</v>
      </c>
      <c r="D8726" s="1" t="s">
        <v>3601</v>
      </c>
      <c r="E8726" s="1" t="s">
        <v>3981</v>
      </c>
      <c r="F8726" s="1" t="s">
        <v>29041</v>
      </c>
      <c r="G8726" s="1" t="s">
        <v>29042</v>
      </c>
      <c r="H8726" s="1" t="s">
        <v>3604</v>
      </c>
      <c r="I8726" s="1" t="s">
        <v>29043</v>
      </c>
      <c r="J8726" s="1" t="s">
        <v>3615</v>
      </c>
      <c r="K8726" s="1" t="s">
        <v>29044</v>
      </c>
      <c r="L8726" s="1"/>
      <c r="M8726" s="1"/>
    </row>
    <row x14ac:dyDescent="0.25" r="8727" customHeight="1" ht="18.75">
      <c r="A8727" s="1" t="s">
        <v>7833</v>
      </c>
      <c r="B8727" s="1" t="s">
        <v>14486</v>
      </c>
      <c r="C8727" s="1" t="s">
        <v>3619</v>
      </c>
      <c r="D8727" s="1" t="s">
        <v>3601</v>
      </c>
      <c r="E8727" s="1" t="s">
        <v>3981</v>
      </c>
      <c r="F8727" s="1" t="s">
        <v>29045</v>
      </c>
      <c r="G8727" s="1" t="s">
        <v>29046</v>
      </c>
      <c r="H8727" s="1" t="s">
        <v>3604</v>
      </c>
      <c r="I8727" s="1" t="s">
        <v>29047</v>
      </c>
      <c r="J8727" s="1" t="s">
        <v>3615</v>
      </c>
      <c r="K8727" s="1" t="s">
        <v>29048</v>
      </c>
      <c r="L8727" s="1"/>
      <c r="M8727" s="1"/>
    </row>
    <row x14ac:dyDescent="0.25" r="8728" customHeight="1" ht="18.75">
      <c r="A8728" s="1" t="s">
        <v>7833</v>
      </c>
      <c r="B8728" s="1" t="s">
        <v>14486</v>
      </c>
      <c r="C8728" s="1" t="s">
        <v>3619</v>
      </c>
      <c r="D8728" s="1" t="s">
        <v>3601</v>
      </c>
      <c r="E8728" s="1" t="s">
        <v>3981</v>
      </c>
      <c r="F8728" s="1" t="s">
        <v>29049</v>
      </c>
      <c r="G8728" s="1" t="s">
        <v>14965</v>
      </c>
      <c r="H8728" s="1" t="s">
        <v>3604</v>
      </c>
      <c r="I8728" s="1" t="s">
        <v>29050</v>
      </c>
      <c r="J8728" s="1" t="s">
        <v>3615</v>
      </c>
      <c r="K8728" s="1" t="s">
        <v>29051</v>
      </c>
      <c r="L8728" s="1"/>
      <c r="M8728" s="1"/>
    </row>
    <row x14ac:dyDescent="0.25" r="8729" customHeight="1" ht="18.75">
      <c r="A8729" s="1" t="s">
        <v>7833</v>
      </c>
      <c r="B8729" s="1" t="s">
        <v>14486</v>
      </c>
      <c r="C8729" s="1" t="s">
        <v>3619</v>
      </c>
      <c r="D8729" s="1" t="s">
        <v>3601</v>
      </c>
      <c r="E8729" s="1" t="s">
        <v>3981</v>
      </c>
      <c r="F8729" s="1" t="s">
        <v>29052</v>
      </c>
      <c r="G8729" s="1" t="s">
        <v>29042</v>
      </c>
      <c r="H8729" s="1" t="s">
        <v>3604</v>
      </c>
      <c r="I8729" s="1" t="s">
        <v>29053</v>
      </c>
      <c r="J8729" s="1" t="s">
        <v>3615</v>
      </c>
      <c r="K8729" s="1" t="s">
        <v>29054</v>
      </c>
      <c r="L8729" s="1"/>
      <c r="M8729" s="1"/>
    </row>
    <row x14ac:dyDescent="0.25" r="8730" customHeight="1" ht="18.75">
      <c r="A8730" s="1" t="s">
        <v>3598</v>
      </c>
      <c r="B8730" s="1" t="s">
        <v>27979</v>
      </c>
      <c r="C8730" s="1" t="s">
        <v>3600</v>
      </c>
      <c r="D8730" s="1" t="s">
        <v>3601</v>
      </c>
      <c r="E8730" s="1" t="s">
        <v>3664</v>
      </c>
      <c r="F8730" s="1" t="s">
        <v>29055</v>
      </c>
      <c r="G8730" s="1" t="s">
        <v>27396</v>
      </c>
      <c r="H8730" s="1" t="s">
        <v>3604</v>
      </c>
      <c r="I8730" s="1" t="s">
        <v>29056</v>
      </c>
      <c r="J8730" s="1" t="s">
        <v>3615</v>
      </c>
      <c r="K8730" s="1" t="s">
        <v>29057</v>
      </c>
      <c r="L8730" s="1"/>
      <c r="M8730" s="1"/>
    </row>
    <row x14ac:dyDescent="0.25" r="8731" customHeight="1" ht="18.75">
      <c r="A8731" s="1" t="s">
        <v>7833</v>
      </c>
      <c r="B8731" s="1" t="s">
        <v>14486</v>
      </c>
      <c r="C8731" s="1" t="s">
        <v>3619</v>
      </c>
      <c r="D8731" s="1" t="s">
        <v>3601</v>
      </c>
      <c r="E8731" s="1" t="s">
        <v>3981</v>
      </c>
      <c r="F8731" s="1" t="s">
        <v>29058</v>
      </c>
      <c r="G8731" s="1" t="s">
        <v>29046</v>
      </c>
      <c r="H8731" s="1" t="s">
        <v>3604</v>
      </c>
      <c r="I8731" s="1" t="s">
        <v>29059</v>
      </c>
      <c r="J8731" s="1" t="s">
        <v>3615</v>
      </c>
      <c r="K8731" s="1" t="s">
        <v>29060</v>
      </c>
      <c r="L8731" s="1"/>
      <c r="M8731" s="1"/>
    </row>
    <row x14ac:dyDescent="0.25" r="8732" customHeight="1" ht="18.75">
      <c r="A8732" s="1" t="s">
        <v>3598</v>
      </c>
      <c r="B8732" s="1" t="s">
        <v>27979</v>
      </c>
      <c r="C8732" s="1" t="s">
        <v>3600</v>
      </c>
      <c r="D8732" s="1" t="s">
        <v>3601</v>
      </c>
      <c r="E8732" s="1" t="s">
        <v>3664</v>
      </c>
      <c r="F8732" s="1" t="s">
        <v>29061</v>
      </c>
      <c r="G8732" s="1" t="s">
        <v>28005</v>
      </c>
      <c r="H8732" s="1" t="s">
        <v>3604</v>
      </c>
      <c r="I8732" s="1" t="s">
        <v>29062</v>
      </c>
      <c r="J8732" s="1" t="s">
        <v>3615</v>
      </c>
      <c r="K8732" s="1" t="s">
        <v>29063</v>
      </c>
      <c r="L8732" s="1"/>
      <c r="M8732" s="1"/>
    </row>
    <row x14ac:dyDescent="0.25" r="8733" customHeight="1" ht="18.75">
      <c r="A8733" s="1" t="s">
        <v>7833</v>
      </c>
      <c r="B8733" s="1" t="s">
        <v>14486</v>
      </c>
      <c r="C8733" s="1" t="s">
        <v>3619</v>
      </c>
      <c r="D8733" s="1" t="s">
        <v>3601</v>
      </c>
      <c r="E8733" s="1" t="s">
        <v>3981</v>
      </c>
      <c r="F8733" s="1" t="s">
        <v>29064</v>
      </c>
      <c r="G8733" s="1" t="s">
        <v>29065</v>
      </c>
      <c r="H8733" s="1" t="s">
        <v>3604</v>
      </c>
      <c r="I8733" s="1" t="s">
        <v>29066</v>
      </c>
      <c r="J8733" s="1" t="s">
        <v>3615</v>
      </c>
      <c r="K8733" s="1" t="s">
        <v>28685</v>
      </c>
      <c r="L8733" s="1"/>
      <c r="M8733" s="1"/>
    </row>
    <row x14ac:dyDescent="0.25" r="8734" customHeight="1" ht="18.75">
      <c r="A8734" s="1" t="s">
        <v>3598</v>
      </c>
      <c r="B8734" s="1" t="s">
        <v>9449</v>
      </c>
      <c r="C8734" s="1" t="s">
        <v>3600</v>
      </c>
      <c r="D8734" s="1" t="s">
        <v>7891</v>
      </c>
      <c r="E8734" s="1" t="s">
        <v>3664</v>
      </c>
      <c r="F8734" s="1" t="s">
        <v>29067</v>
      </c>
      <c r="G8734" s="1" t="s">
        <v>18086</v>
      </c>
      <c r="H8734" s="1" t="s">
        <v>3604</v>
      </c>
      <c r="I8734" s="1" t="s">
        <v>29068</v>
      </c>
      <c r="J8734" s="1" t="s">
        <v>3615</v>
      </c>
      <c r="K8734" s="1" t="s">
        <v>29069</v>
      </c>
      <c r="L8734" s="1"/>
      <c r="M8734" s="1"/>
    </row>
    <row x14ac:dyDescent="0.25" r="8735" customHeight="1" ht="18.75">
      <c r="A8735" s="1" t="s">
        <v>3598</v>
      </c>
      <c r="B8735" s="1" t="s">
        <v>27979</v>
      </c>
      <c r="C8735" s="1" t="s">
        <v>3600</v>
      </c>
      <c r="D8735" s="1" t="s">
        <v>3601</v>
      </c>
      <c r="E8735" s="1" t="s">
        <v>3664</v>
      </c>
      <c r="F8735" s="1" t="s">
        <v>29070</v>
      </c>
      <c r="G8735" s="1" t="s">
        <v>28005</v>
      </c>
      <c r="H8735" s="1" t="s">
        <v>3604</v>
      </c>
      <c r="I8735" s="1" t="s">
        <v>29071</v>
      </c>
      <c r="J8735" s="1" t="s">
        <v>3615</v>
      </c>
      <c r="K8735" s="1" t="s">
        <v>29072</v>
      </c>
      <c r="L8735" s="1"/>
      <c r="M8735" s="1"/>
    </row>
    <row x14ac:dyDescent="0.25" r="8736" customHeight="1" ht="18.75">
      <c r="A8736" s="1" t="s">
        <v>3598</v>
      </c>
      <c r="B8736" s="1" t="s">
        <v>3778</v>
      </c>
      <c r="C8736" s="1" t="s">
        <v>3600</v>
      </c>
      <c r="D8736" s="1" t="s">
        <v>7891</v>
      </c>
      <c r="E8736" s="1" t="s">
        <v>3981</v>
      </c>
      <c r="F8736" s="1" t="s">
        <v>29073</v>
      </c>
      <c r="G8736" s="1" t="s">
        <v>29074</v>
      </c>
      <c r="H8736" s="1" t="s">
        <v>3604</v>
      </c>
      <c r="I8736" s="1" t="s">
        <v>29075</v>
      </c>
      <c r="J8736" s="1" t="s">
        <v>3615</v>
      </c>
      <c r="K8736" s="1" t="s">
        <v>29076</v>
      </c>
      <c r="L8736" s="1"/>
      <c r="M8736" s="1"/>
    </row>
    <row x14ac:dyDescent="0.25" r="8737" customHeight="1" ht="18.75">
      <c r="A8737" s="1" t="s">
        <v>3598</v>
      </c>
      <c r="B8737" s="1" t="s">
        <v>27979</v>
      </c>
      <c r="C8737" s="1" t="s">
        <v>3600</v>
      </c>
      <c r="D8737" s="1" t="s">
        <v>3601</v>
      </c>
      <c r="E8737" s="1" t="s">
        <v>3664</v>
      </c>
      <c r="F8737" s="1" t="s">
        <v>29077</v>
      </c>
      <c r="G8737" s="1" t="s">
        <v>28005</v>
      </c>
      <c r="H8737" s="1" t="s">
        <v>3604</v>
      </c>
      <c r="I8737" s="1" t="s">
        <v>29078</v>
      </c>
      <c r="J8737" s="1" t="s">
        <v>3615</v>
      </c>
      <c r="K8737" s="1" t="s">
        <v>29079</v>
      </c>
      <c r="L8737" s="1"/>
      <c r="M8737" s="1"/>
    </row>
    <row x14ac:dyDescent="0.25" r="8738" customHeight="1" ht="18.75">
      <c r="A8738" s="1" t="s">
        <v>3598</v>
      </c>
      <c r="B8738" s="1" t="s">
        <v>27979</v>
      </c>
      <c r="C8738" s="1" t="s">
        <v>3600</v>
      </c>
      <c r="D8738" s="1" t="s">
        <v>3601</v>
      </c>
      <c r="E8738" s="1" t="s">
        <v>3664</v>
      </c>
      <c r="F8738" s="1" t="s">
        <v>29080</v>
      </c>
      <c r="G8738" s="1" t="s">
        <v>28005</v>
      </c>
      <c r="H8738" s="1" t="s">
        <v>3604</v>
      </c>
      <c r="I8738" s="1" t="s">
        <v>29081</v>
      </c>
      <c r="J8738" s="1" t="s">
        <v>3615</v>
      </c>
      <c r="K8738" s="1" t="s">
        <v>29082</v>
      </c>
      <c r="L8738" s="1"/>
      <c r="M8738" s="1"/>
    </row>
    <row x14ac:dyDescent="0.25" r="8739" customHeight="1" ht="18.75">
      <c r="A8739" s="1" t="s">
        <v>3598</v>
      </c>
      <c r="B8739" s="1" t="s">
        <v>3778</v>
      </c>
      <c r="C8739" s="1" t="s">
        <v>3600</v>
      </c>
      <c r="D8739" s="1" t="s">
        <v>7891</v>
      </c>
      <c r="E8739" s="1" t="s">
        <v>3981</v>
      </c>
      <c r="F8739" s="1" t="s">
        <v>29083</v>
      </c>
      <c r="G8739" s="1" t="s">
        <v>29074</v>
      </c>
      <c r="H8739" s="1" t="s">
        <v>3604</v>
      </c>
      <c r="I8739" s="1" t="s">
        <v>29084</v>
      </c>
      <c r="J8739" s="1" t="s">
        <v>3615</v>
      </c>
      <c r="K8739" s="1" t="s">
        <v>29085</v>
      </c>
      <c r="L8739" s="1"/>
      <c r="M8739" s="1"/>
    </row>
    <row x14ac:dyDescent="0.25" r="8740" customHeight="1" ht="18.75">
      <c r="A8740" s="1" t="s">
        <v>3598</v>
      </c>
      <c r="B8740" s="1" t="s">
        <v>3778</v>
      </c>
      <c r="C8740" s="1" t="s">
        <v>3600</v>
      </c>
      <c r="D8740" s="1" t="s">
        <v>7891</v>
      </c>
      <c r="E8740" s="1" t="s">
        <v>3981</v>
      </c>
      <c r="F8740" s="1" t="s">
        <v>29086</v>
      </c>
      <c r="G8740" s="1" t="s">
        <v>29074</v>
      </c>
      <c r="H8740" s="1" t="s">
        <v>3604</v>
      </c>
      <c r="I8740" s="1" t="s">
        <v>29087</v>
      </c>
      <c r="J8740" s="1" t="s">
        <v>3615</v>
      </c>
      <c r="K8740" s="1" t="s">
        <v>29088</v>
      </c>
      <c r="L8740" s="1"/>
      <c r="M8740" s="1"/>
    </row>
    <row x14ac:dyDescent="0.25" r="8741" customHeight="1" ht="18.75">
      <c r="A8741" s="1" t="s">
        <v>3598</v>
      </c>
      <c r="B8741" s="1" t="s">
        <v>27979</v>
      </c>
      <c r="C8741" s="1" t="s">
        <v>3600</v>
      </c>
      <c r="D8741" s="1" t="s">
        <v>3601</v>
      </c>
      <c r="E8741" s="1" t="s">
        <v>3664</v>
      </c>
      <c r="F8741" s="1" t="s">
        <v>29089</v>
      </c>
      <c r="G8741" s="1" t="s">
        <v>28005</v>
      </c>
      <c r="H8741" s="1" t="s">
        <v>3604</v>
      </c>
      <c r="I8741" s="1" t="s">
        <v>29090</v>
      </c>
      <c r="J8741" s="1" t="s">
        <v>3615</v>
      </c>
      <c r="K8741" s="1" t="s">
        <v>29091</v>
      </c>
      <c r="L8741" s="1"/>
      <c r="M8741" s="1"/>
    </row>
    <row x14ac:dyDescent="0.25" r="8742" customHeight="1" ht="18.75">
      <c r="A8742" s="1" t="s">
        <v>3598</v>
      </c>
      <c r="B8742" s="1" t="s">
        <v>27979</v>
      </c>
      <c r="C8742" s="1" t="s">
        <v>3600</v>
      </c>
      <c r="D8742" s="1" t="s">
        <v>3601</v>
      </c>
      <c r="E8742" s="1" t="s">
        <v>3664</v>
      </c>
      <c r="F8742" s="1" t="s">
        <v>29092</v>
      </c>
      <c r="G8742" s="1" t="s">
        <v>28005</v>
      </c>
      <c r="H8742" s="1" t="s">
        <v>3604</v>
      </c>
      <c r="I8742" s="1" t="s">
        <v>29093</v>
      </c>
      <c r="J8742" s="1" t="s">
        <v>3615</v>
      </c>
      <c r="K8742" s="1" t="s">
        <v>29094</v>
      </c>
      <c r="L8742" s="1"/>
      <c r="M8742" s="1"/>
    </row>
    <row x14ac:dyDescent="0.25" r="8743" customHeight="1" ht="18.75">
      <c r="A8743" s="1" t="s">
        <v>3598</v>
      </c>
      <c r="B8743" s="1" t="s">
        <v>8191</v>
      </c>
      <c r="C8743" s="1" t="s">
        <v>3600</v>
      </c>
      <c r="D8743" s="1" t="s">
        <v>7891</v>
      </c>
      <c r="E8743" s="1" t="s">
        <v>3981</v>
      </c>
      <c r="F8743" s="1" t="s">
        <v>29095</v>
      </c>
      <c r="G8743" s="1" t="s">
        <v>29096</v>
      </c>
      <c r="H8743" s="1" t="s">
        <v>3604</v>
      </c>
      <c r="I8743" s="1" t="s">
        <v>29097</v>
      </c>
      <c r="J8743" s="1" t="s">
        <v>3615</v>
      </c>
      <c r="K8743" s="1" t="s">
        <v>29098</v>
      </c>
      <c r="L8743" s="1"/>
      <c r="M8743" s="1"/>
    </row>
    <row x14ac:dyDescent="0.25" r="8744" customHeight="1" ht="18.75">
      <c r="A8744" s="1" t="s">
        <v>3617</v>
      </c>
      <c r="B8744" s="1" t="s">
        <v>5570</v>
      </c>
      <c r="C8744" s="1" t="s">
        <v>3619</v>
      </c>
      <c r="D8744" s="1" t="s">
        <v>3610</v>
      </c>
      <c r="E8744" s="1" t="s">
        <v>3730</v>
      </c>
      <c r="F8744" s="1" t="s">
        <v>29099</v>
      </c>
      <c r="G8744" s="1" t="s">
        <v>25988</v>
      </c>
      <c r="H8744" s="1" t="s">
        <v>3604</v>
      </c>
      <c r="I8744" s="1" t="s">
        <v>29100</v>
      </c>
      <c r="J8744" s="1" t="s">
        <v>3606</v>
      </c>
      <c r="K8744" s="1" t="s">
        <v>29101</v>
      </c>
      <c r="L8744" s="1"/>
      <c r="M8744" s="1"/>
    </row>
    <row x14ac:dyDescent="0.25" r="8745" customHeight="1" ht="18.75">
      <c r="A8745" s="1" t="s">
        <v>3617</v>
      </c>
      <c r="B8745" s="1" t="s">
        <v>5570</v>
      </c>
      <c r="C8745" s="1" t="s">
        <v>3619</v>
      </c>
      <c r="D8745" s="1" t="s">
        <v>3610</v>
      </c>
      <c r="E8745" s="1" t="s">
        <v>3730</v>
      </c>
      <c r="F8745" s="1" t="s">
        <v>29102</v>
      </c>
      <c r="G8745" s="1" t="s">
        <v>29103</v>
      </c>
      <c r="H8745" s="1" t="s">
        <v>3604</v>
      </c>
      <c r="I8745" s="1" t="s">
        <v>29104</v>
      </c>
      <c r="J8745" s="1" t="s">
        <v>3606</v>
      </c>
      <c r="K8745" s="1" t="s">
        <v>29105</v>
      </c>
      <c r="L8745" s="1"/>
      <c r="M8745" s="1"/>
    </row>
    <row x14ac:dyDescent="0.25" r="8746" customHeight="1" ht="18.75">
      <c r="A8746" s="1" t="s">
        <v>3598</v>
      </c>
      <c r="B8746" s="1" t="s">
        <v>27979</v>
      </c>
      <c r="C8746" s="1" t="s">
        <v>3600</v>
      </c>
      <c r="D8746" s="1" t="s">
        <v>3601</v>
      </c>
      <c r="E8746" s="1" t="s">
        <v>3664</v>
      </c>
      <c r="F8746" s="1" t="s">
        <v>29106</v>
      </c>
      <c r="G8746" s="1" t="s">
        <v>28005</v>
      </c>
      <c r="H8746" s="1" t="s">
        <v>3604</v>
      </c>
      <c r="I8746" s="1" t="s">
        <v>29107</v>
      </c>
      <c r="J8746" s="1" t="s">
        <v>3615</v>
      </c>
      <c r="K8746" s="1" t="s">
        <v>29108</v>
      </c>
      <c r="L8746" s="1"/>
      <c r="M8746" s="1"/>
    </row>
    <row x14ac:dyDescent="0.25" r="8747" customHeight="1" ht="18.75">
      <c r="A8747" s="1" t="s">
        <v>3598</v>
      </c>
      <c r="B8747" s="1" t="s">
        <v>8191</v>
      </c>
      <c r="C8747" s="1" t="s">
        <v>3600</v>
      </c>
      <c r="D8747" s="1" t="s">
        <v>7891</v>
      </c>
      <c r="E8747" s="1" t="s">
        <v>3981</v>
      </c>
      <c r="F8747" s="1" t="s">
        <v>29109</v>
      </c>
      <c r="G8747" s="1" t="s">
        <v>29096</v>
      </c>
      <c r="H8747" s="1" t="s">
        <v>3604</v>
      </c>
      <c r="I8747" s="1" t="s">
        <v>29110</v>
      </c>
      <c r="J8747" s="1" t="s">
        <v>3615</v>
      </c>
      <c r="K8747" s="1" t="s">
        <v>29111</v>
      </c>
      <c r="L8747" s="1"/>
      <c r="M8747" s="1"/>
    </row>
    <row x14ac:dyDescent="0.25" r="8748" customHeight="1" ht="18.75">
      <c r="A8748" s="1" t="s">
        <v>3617</v>
      </c>
      <c r="B8748" s="1" t="s">
        <v>5570</v>
      </c>
      <c r="C8748" s="1" t="s">
        <v>3619</v>
      </c>
      <c r="D8748" s="1" t="s">
        <v>3610</v>
      </c>
      <c r="E8748" s="1" t="s">
        <v>3730</v>
      </c>
      <c r="F8748" s="1" t="s">
        <v>29112</v>
      </c>
      <c r="G8748" s="1" t="s">
        <v>25988</v>
      </c>
      <c r="H8748" s="1" t="s">
        <v>3604</v>
      </c>
      <c r="I8748" s="1" t="s">
        <v>29113</v>
      </c>
      <c r="J8748" s="1" t="s">
        <v>3606</v>
      </c>
      <c r="K8748" s="1" t="s">
        <v>29114</v>
      </c>
      <c r="L8748" s="1"/>
      <c r="M8748" s="1"/>
    </row>
    <row x14ac:dyDescent="0.25" r="8749" customHeight="1" ht="18.75">
      <c r="A8749" s="1" t="s">
        <v>3617</v>
      </c>
      <c r="B8749" s="1" t="s">
        <v>5570</v>
      </c>
      <c r="C8749" s="1" t="s">
        <v>3619</v>
      </c>
      <c r="D8749" s="1" t="s">
        <v>3610</v>
      </c>
      <c r="E8749" s="1" t="s">
        <v>3730</v>
      </c>
      <c r="F8749" s="1" t="s">
        <v>29115</v>
      </c>
      <c r="G8749" s="1" t="s">
        <v>25988</v>
      </c>
      <c r="H8749" s="1" t="s">
        <v>3604</v>
      </c>
      <c r="I8749" s="1" t="s">
        <v>29116</v>
      </c>
      <c r="J8749" s="1" t="s">
        <v>3606</v>
      </c>
      <c r="K8749" s="1" t="s">
        <v>29117</v>
      </c>
      <c r="L8749" s="1"/>
      <c r="M8749" s="1"/>
    </row>
    <row x14ac:dyDescent="0.25" r="8750" customHeight="1" ht="18.75">
      <c r="A8750" s="1" t="s">
        <v>3598</v>
      </c>
      <c r="B8750" s="1" t="s">
        <v>27979</v>
      </c>
      <c r="C8750" s="1" t="s">
        <v>3600</v>
      </c>
      <c r="D8750" s="1" t="s">
        <v>3601</v>
      </c>
      <c r="E8750" s="1" t="s">
        <v>3664</v>
      </c>
      <c r="F8750" s="1" t="s">
        <v>29118</v>
      </c>
      <c r="G8750" s="1" t="s">
        <v>28005</v>
      </c>
      <c r="H8750" s="1" t="s">
        <v>3604</v>
      </c>
      <c r="I8750" s="1" t="s">
        <v>29119</v>
      </c>
      <c r="J8750" s="1" t="s">
        <v>3615</v>
      </c>
      <c r="K8750" s="1" t="s">
        <v>29120</v>
      </c>
      <c r="L8750" s="1"/>
      <c r="M8750" s="1"/>
    </row>
    <row x14ac:dyDescent="0.25" r="8751" customHeight="1" ht="18.75">
      <c r="A8751" s="1" t="s">
        <v>3598</v>
      </c>
      <c r="B8751" s="1" t="s">
        <v>8191</v>
      </c>
      <c r="C8751" s="1" t="s">
        <v>3600</v>
      </c>
      <c r="D8751" s="1" t="s">
        <v>7891</v>
      </c>
      <c r="E8751" s="1" t="s">
        <v>3981</v>
      </c>
      <c r="F8751" s="1" t="s">
        <v>29121</v>
      </c>
      <c r="G8751" s="1" t="s">
        <v>29096</v>
      </c>
      <c r="H8751" s="1" t="s">
        <v>3604</v>
      </c>
      <c r="I8751" s="1" t="s">
        <v>29122</v>
      </c>
      <c r="J8751" s="1" t="s">
        <v>3615</v>
      </c>
      <c r="K8751" s="1" t="s">
        <v>29123</v>
      </c>
      <c r="L8751" s="1"/>
      <c r="M8751" s="1"/>
    </row>
    <row x14ac:dyDescent="0.25" r="8752" customHeight="1" ht="18.75">
      <c r="A8752" s="1" t="s">
        <v>3617</v>
      </c>
      <c r="B8752" s="1" t="s">
        <v>5570</v>
      </c>
      <c r="C8752" s="1" t="s">
        <v>3619</v>
      </c>
      <c r="D8752" s="1" t="s">
        <v>3610</v>
      </c>
      <c r="E8752" s="1" t="s">
        <v>3730</v>
      </c>
      <c r="F8752" s="1" t="s">
        <v>29124</v>
      </c>
      <c r="G8752" s="1" t="s">
        <v>25988</v>
      </c>
      <c r="H8752" s="1" t="s">
        <v>3604</v>
      </c>
      <c r="I8752" s="1" t="s">
        <v>29125</v>
      </c>
      <c r="J8752" s="1" t="s">
        <v>3606</v>
      </c>
      <c r="K8752" s="1" t="s">
        <v>29126</v>
      </c>
      <c r="L8752" s="1"/>
      <c r="M8752" s="1"/>
    </row>
    <row x14ac:dyDescent="0.25" r="8753" customHeight="1" ht="18.75">
      <c r="A8753" s="1" t="s">
        <v>3598</v>
      </c>
      <c r="B8753" s="1" t="s">
        <v>27979</v>
      </c>
      <c r="C8753" s="1" t="s">
        <v>3600</v>
      </c>
      <c r="D8753" s="1" t="s">
        <v>3601</v>
      </c>
      <c r="E8753" s="1" t="s">
        <v>3664</v>
      </c>
      <c r="F8753" s="1" t="s">
        <v>29127</v>
      </c>
      <c r="G8753" s="1" t="s">
        <v>28005</v>
      </c>
      <c r="H8753" s="1" t="s">
        <v>3604</v>
      </c>
      <c r="I8753" s="1" t="s">
        <v>29128</v>
      </c>
      <c r="J8753" s="1" t="s">
        <v>3615</v>
      </c>
      <c r="K8753" s="1" t="s">
        <v>29129</v>
      </c>
      <c r="L8753" s="1"/>
      <c r="M8753" s="1"/>
    </row>
    <row x14ac:dyDescent="0.25" r="8754" customHeight="1" ht="18.75">
      <c r="A8754" s="1" t="s">
        <v>3617</v>
      </c>
      <c r="B8754" s="1" t="s">
        <v>5570</v>
      </c>
      <c r="C8754" s="1" t="s">
        <v>3619</v>
      </c>
      <c r="D8754" s="1" t="s">
        <v>3610</v>
      </c>
      <c r="E8754" s="1" t="s">
        <v>3730</v>
      </c>
      <c r="F8754" s="1" t="s">
        <v>29130</v>
      </c>
      <c r="G8754" s="1" t="s">
        <v>25766</v>
      </c>
      <c r="H8754" s="1" t="s">
        <v>3604</v>
      </c>
      <c r="I8754" s="1" t="s">
        <v>29131</v>
      </c>
      <c r="J8754" s="1" t="s">
        <v>3606</v>
      </c>
      <c r="K8754" s="1" t="s">
        <v>29132</v>
      </c>
      <c r="L8754" s="1"/>
      <c r="M8754" s="1"/>
    </row>
    <row x14ac:dyDescent="0.25" r="8755" customHeight="1" ht="18.75">
      <c r="A8755" s="1" t="s">
        <v>3617</v>
      </c>
      <c r="B8755" s="1" t="s">
        <v>5570</v>
      </c>
      <c r="C8755" s="1" t="s">
        <v>3619</v>
      </c>
      <c r="D8755" s="1" t="s">
        <v>3610</v>
      </c>
      <c r="E8755" s="1" t="s">
        <v>3730</v>
      </c>
      <c r="F8755" s="1" t="s">
        <v>29133</v>
      </c>
      <c r="G8755" s="1" t="s">
        <v>25766</v>
      </c>
      <c r="H8755" s="1" t="s">
        <v>3604</v>
      </c>
      <c r="I8755" s="1" t="s">
        <v>29134</v>
      </c>
      <c r="J8755" s="1" t="s">
        <v>3606</v>
      </c>
      <c r="K8755" s="1" t="s">
        <v>29135</v>
      </c>
      <c r="L8755" s="1"/>
      <c r="M8755" s="1"/>
    </row>
    <row x14ac:dyDescent="0.25" r="8756" customHeight="1" ht="18.75">
      <c r="A8756" s="1" t="s">
        <v>3617</v>
      </c>
      <c r="B8756" s="1" t="s">
        <v>5570</v>
      </c>
      <c r="C8756" s="1" t="s">
        <v>3619</v>
      </c>
      <c r="D8756" s="1" t="s">
        <v>3610</v>
      </c>
      <c r="E8756" s="1" t="s">
        <v>3730</v>
      </c>
      <c r="F8756" s="1" t="s">
        <v>29136</v>
      </c>
      <c r="G8756" s="1" t="s">
        <v>25766</v>
      </c>
      <c r="H8756" s="1" t="s">
        <v>3604</v>
      </c>
      <c r="I8756" s="1" t="s">
        <v>29137</v>
      </c>
      <c r="J8756" s="1" t="s">
        <v>3606</v>
      </c>
      <c r="K8756" s="1" t="s">
        <v>29138</v>
      </c>
      <c r="L8756" s="1"/>
      <c r="M8756" s="1"/>
    </row>
    <row x14ac:dyDescent="0.25" r="8757" customHeight="1" ht="18.75">
      <c r="A8757" s="1" t="s">
        <v>3617</v>
      </c>
      <c r="B8757" s="1" t="s">
        <v>5570</v>
      </c>
      <c r="C8757" s="1" t="s">
        <v>3619</v>
      </c>
      <c r="D8757" s="1" t="s">
        <v>3610</v>
      </c>
      <c r="E8757" s="1" t="s">
        <v>3730</v>
      </c>
      <c r="F8757" s="1" t="s">
        <v>29139</v>
      </c>
      <c r="G8757" s="1" t="s">
        <v>25766</v>
      </c>
      <c r="H8757" s="1" t="s">
        <v>3604</v>
      </c>
      <c r="I8757" s="1" t="s">
        <v>29140</v>
      </c>
      <c r="J8757" s="1" t="s">
        <v>3606</v>
      </c>
      <c r="K8757" s="1" t="s">
        <v>29141</v>
      </c>
      <c r="L8757" s="1"/>
      <c r="M8757" s="1"/>
    </row>
    <row x14ac:dyDescent="0.25" r="8758" customHeight="1" ht="18.75">
      <c r="A8758" s="1" t="s">
        <v>3617</v>
      </c>
      <c r="B8758" s="1" t="s">
        <v>5570</v>
      </c>
      <c r="C8758" s="1" t="s">
        <v>3619</v>
      </c>
      <c r="D8758" s="1" t="s">
        <v>3610</v>
      </c>
      <c r="E8758" s="1" t="s">
        <v>3730</v>
      </c>
      <c r="F8758" s="1" t="s">
        <v>29142</v>
      </c>
      <c r="G8758" s="1" t="s">
        <v>29143</v>
      </c>
      <c r="H8758" s="1" t="s">
        <v>3604</v>
      </c>
      <c r="I8758" s="1" t="s">
        <v>29144</v>
      </c>
      <c r="J8758" s="1" t="s">
        <v>3606</v>
      </c>
      <c r="K8758" s="1" t="s">
        <v>29145</v>
      </c>
      <c r="L8758" s="1"/>
      <c r="M8758" s="1"/>
    </row>
    <row x14ac:dyDescent="0.25" r="8759" customHeight="1" ht="18.75">
      <c r="A8759" s="1" t="s">
        <v>3598</v>
      </c>
      <c r="B8759" s="1" t="s">
        <v>27979</v>
      </c>
      <c r="C8759" s="1" t="s">
        <v>3600</v>
      </c>
      <c r="D8759" s="1" t="s">
        <v>3601</v>
      </c>
      <c r="E8759" s="1" t="s">
        <v>3664</v>
      </c>
      <c r="F8759" s="1" t="s">
        <v>29146</v>
      </c>
      <c r="G8759" s="1" t="s">
        <v>28015</v>
      </c>
      <c r="H8759" s="1" t="s">
        <v>3604</v>
      </c>
      <c r="I8759" s="1" t="s">
        <v>29147</v>
      </c>
      <c r="J8759" s="1" t="s">
        <v>3615</v>
      </c>
      <c r="K8759" s="1" t="s">
        <v>29148</v>
      </c>
      <c r="L8759" s="1"/>
      <c r="M8759" s="1"/>
    </row>
    <row x14ac:dyDescent="0.25" r="8760" customHeight="1" ht="18.75">
      <c r="A8760" s="1" t="s">
        <v>3617</v>
      </c>
      <c r="B8760" s="1" t="s">
        <v>5570</v>
      </c>
      <c r="C8760" s="1" t="s">
        <v>3619</v>
      </c>
      <c r="D8760" s="1" t="s">
        <v>3695</v>
      </c>
      <c r="E8760" s="1" t="s">
        <v>3730</v>
      </c>
      <c r="F8760" s="1" t="s">
        <v>29149</v>
      </c>
      <c r="G8760" s="1" t="s">
        <v>25988</v>
      </c>
      <c r="H8760" s="1" t="s">
        <v>3604</v>
      </c>
      <c r="I8760" s="1" t="s">
        <v>29150</v>
      </c>
      <c r="J8760" s="1" t="s">
        <v>3606</v>
      </c>
      <c r="K8760" s="1" t="s">
        <v>29151</v>
      </c>
      <c r="L8760" s="1"/>
      <c r="M8760" s="1"/>
    </row>
    <row x14ac:dyDescent="0.25" r="8761" customHeight="1" ht="18.75">
      <c r="A8761" s="1" t="s">
        <v>3598</v>
      </c>
      <c r="B8761" s="1" t="s">
        <v>6728</v>
      </c>
      <c r="C8761" s="1" t="s">
        <v>3600</v>
      </c>
      <c r="D8761" s="1" t="s">
        <v>7891</v>
      </c>
      <c r="E8761" s="1" t="s">
        <v>3664</v>
      </c>
      <c r="F8761" s="1" t="s">
        <v>29152</v>
      </c>
      <c r="G8761" s="1" t="s">
        <v>29153</v>
      </c>
      <c r="H8761" s="1" t="s">
        <v>3604</v>
      </c>
      <c r="I8761" s="1" t="s">
        <v>29154</v>
      </c>
      <c r="J8761" s="1" t="s">
        <v>3615</v>
      </c>
      <c r="K8761" s="1" t="s">
        <v>29155</v>
      </c>
      <c r="L8761" s="1"/>
      <c r="M8761" s="1"/>
    </row>
    <row x14ac:dyDescent="0.25" r="8762" customHeight="1" ht="18.75">
      <c r="A8762" s="1" t="s">
        <v>3617</v>
      </c>
      <c r="B8762" s="1" t="s">
        <v>5570</v>
      </c>
      <c r="C8762" s="1" t="s">
        <v>3619</v>
      </c>
      <c r="D8762" s="1" t="s">
        <v>3695</v>
      </c>
      <c r="E8762" s="1" t="s">
        <v>3730</v>
      </c>
      <c r="F8762" s="1" t="s">
        <v>29156</v>
      </c>
      <c r="G8762" s="1" t="s">
        <v>25988</v>
      </c>
      <c r="H8762" s="1" t="s">
        <v>3604</v>
      </c>
      <c r="I8762" s="1" t="s">
        <v>29157</v>
      </c>
      <c r="J8762" s="1" t="s">
        <v>3606</v>
      </c>
      <c r="K8762" s="1" t="s">
        <v>29158</v>
      </c>
      <c r="L8762" s="1"/>
      <c r="M8762" s="1"/>
    </row>
    <row x14ac:dyDescent="0.25" r="8763" customHeight="1" ht="18.75">
      <c r="A8763" s="1" t="s">
        <v>3598</v>
      </c>
      <c r="B8763" s="1" t="s">
        <v>27979</v>
      </c>
      <c r="C8763" s="1" t="s">
        <v>3600</v>
      </c>
      <c r="D8763" s="1" t="s">
        <v>3601</v>
      </c>
      <c r="E8763" s="1" t="s">
        <v>3664</v>
      </c>
      <c r="F8763" s="1" t="s">
        <v>29159</v>
      </c>
      <c r="G8763" s="1" t="s">
        <v>28015</v>
      </c>
      <c r="H8763" s="1" t="s">
        <v>3604</v>
      </c>
      <c r="I8763" s="1" t="s">
        <v>29160</v>
      </c>
      <c r="J8763" s="1" t="s">
        <v>3615</v>
      </c>
      <c r="K8763" s="1" t="s">
        <v>29161</v>
      </c>
      <c r="L8763" s="1"/>
      <c r="M8763" s="1"/>
    </row>
    <row x14ac:dyDescent="0.25" r="8764" customHeight="1" ht="18.75">
      <c r="A8764" s="1" t="s">
        <v>3617</v>
      </c>
      <c r="B8764" s="1" t="s">
        <v>5570</v>
      </c>
      <c r="C8764" s="1" t="s">
        <v>3619</v>
      </c>
      <c r="D8764" s="1" t="s">
        <v>3695</v>
      </c>
      <c r="E8764" s="1" t="s">
        <v>3730</v>
      </c>
      <c r="F8764" s="1" t="s">
        <v>29162</v>
      </c>
      <c r="G8764" s="1" t="s">
        <v>25988</v>
      </c>
      <c r="H8764" s="1" t="s">
        <v>3604</v>
      </c>
      <c r="I8764" s="1" t="s">
        <v>29163</v>
      </c>
      <c r="J8764" s="1" t="s">
        <v>3606</v>
      </c>
      <c r="K8764" s="1" t="s">
        <v>29164</v>
      </c>
      <c r="L8764" s="1"/>
      <c r="M8764" s="1"/>
    </row>
    <row x14ac:dyDescent="0.25" r="8765" customHeight="1" ht="18.75">
      <c r="A8765" s="1" t="s">
        <v>3598</v>
      </c>
      <c r="B8765" s="1" t="s">
        <v>6728</v>
      </c>
      <c r="C8765" s="1" t="s">
        <v>3600</v>
      </c>
      <c r="D8765" s="1" t="s">
        <v>7891</v>
      </c>
      <c r="E8765" s="1" t="s">
        <v>3664</v>
      </c>
      <c r="F8765" s="1" t="s">
        <v>29165</v>
      </c>
      <c r="G8765" s="1" t="s">
        <v>29153</v>
      </c>
      <c r="H8765" s="1" t="s">
        <v>3604</v>
      </c>
      <c r="I8765" s="1" t="s">
        <v>29166</v>
      </c>
      <c r="J8765" s="1" t="s">
        <v>3615</v>
      </c>
      <c r="K8765" s="1" t="s">
        <v>29167</v>
      </c>
      <c r="L8765" s="1"/>
      <c r="M8765" s="1"/>
    </row>
    <row x14ac:dyDescent="0.25" r="8766" customHeight="1" ht="18.75">
      <c r="A8766" s="1" t="s">
        <v>3617</v>
      </c>
      <c r="B8766" s="1" t="s">
        <v>5570</v>
      </c>
      <c r="C8766" s="1" t="s">
        <v>3619</v>
      </c>
      <c r="D8766" s="1" t="s">
        <v>7891</v>
      </c>
      <c r="E8766" s="1" t="s">
        <v>3981</v>
      </c>
      <c r="F8766" s="1" t="s">
        <v>29168</v>
      </c>
      <c r="G8766" s="1" t="s">
        <v>3924</v>
      </c>
      <c r="H8766" s="1" t="s">
        <v>3604</v>
      </c>
      <c r="I8766" s="1" t="s">
        <v>29169</v>
      </c>
      <c r="J8766" s="1" t="s">
        <v>3606</v>
      </c>
      <c r="K8766" s="1" t="s">
        <v>29170</v>
      </c>
      <c r="L8766" s="1"/>
      <c r="M8766" s="1"/>
    </row>
    <row x14ac:dyDescent="0.25" r="8767" customHeight="1" ht="18.75">
      <c r="A8767" s="1" t="s">
        <v>3598</v>
      </c>
      <c r="B8767" s="1" t="s">
        <v>27979</v>
      </c>
      <c r="C8767" s="1" t="s">
        <v>3600</v>
      </c>
      <c r="D8767" s="1" t="s">
        <v>3601</v>
      </c>
      <c r="E8767" s="1" t="s">
        <v>3664</v>
      </c>
      <c r="F8767" s="1" t="s">
        <v>29171</v>
      </c>
      <c r="G8767" s="1" t="s">
        <v>28015</v>
      </c>
      <c r="H8767" s="1" t="s">
        <v>3604</v>
      </c>
      <c r="I8767" s="1" t="s">
        <v>29172</v>
      </c>
      <c r="J8767" s="1" t="s">
        <v>3615</v>
      </c>
      <c r="K8767" s="1" t="s">
        <v>29173</v>
      </c>
      <c r="L8767" s="1"/>
      <c r="M8767" s="1"/>
    </row>
    <row x14ac:dyDescent="0.25" r="8768" customHeight="1" ht="18.75">
      <c r="A8768" s="1" t="s">
        <v>3617</v>
      </c>
      <c r="B8768" s="1" t="s">
        <v>5570</v>
      </c>
      <c r="C8768" s="1" t="s">
        <v>3619</v>
      </c>
      <c r="D8768" s="1" t="s">
        <v>7891</v>
      </c>
      <c r="E8768" s="1" t="s">
        <v>3981</v>
      </c>
      <c r="F8768" s="1" t="s">
        <v>29174</v>
      </c>
      <c r="G8768" s="1" t="s">
        <v>3924</v>
      </c>
      <c r="H8768" s="1" t="s">
        <v>3604</v>
      </c>
      <c r="I8768" s="1" t="s">
        <v>29175</v>
      </c>
      <c r="J8768" s="1" t="s">
        <v>3606</v>
      </c>
      <c r="K8768" s="1" t="s">
        <v>29176</v>
      </c>
      <c r="L8768" s="1"/>
      <c r="M8768" s="1"/>
    </row>
    <row x14ac:dyDescent="0.25" r="8769" customHeight="1" ht="18.75">
      <c r="A8769" s="1" t="s">
        <v>3598</v>
      </c>
      <c r="B8769" s="1" t="s">
        <v>6728</v>
      </c>
      <c r="C8769" s="1" t="s">
        <v>3600</v>
      </c>
      <c r="D8769" s="1" t="s">
        <v>7891</v>
      </c>
      <c r="E8769" s="1" t="s">
        <v>3664</v>
      </c>
      <c r="F8769" s="1" t="s">
        <v>29177</v>
      </c>
      <c r="G8769" s="1" t="s">
        <v>13781</v>
      </c>
      <c r="H8769" s="1" t="s">
        <v>3604</v>
      </c>
      <c r="I8769" s="1" t="s">
        <v>29178</v>
      </c>
      <c r="J8769" s="1" t="s">
        <v>3615</v>
      </c>
      <c r="K8769" s="1" t="s">
        <v>29179</v>
      </c>
      <c r="L8769" s="1"/>
      <c r="M8769" s="1"/>
    </row>
    <row x14ac:dyDescent="0.25" r="8770" customHeight="1" ht="18.75">
      <c r="A8770" s="1" t="s">
        <v>3617</v>
      </c>
      <c r="B8770" s="1" t="s">
        <v>5570</v>
      </c>
      <c r="C8770" s="1" t="s">
        <v>3619</v>
      </c>
      <c r="D8770" s="1" t="s">
        <v>7891</v>
      </c>
      <c r="E8770" s="1" t="s">
        <v>3981</v>
      </c>
      <c r="F8770" s="1" t="s">
        <v>29174</v>
      </c>
      <c r="G8770" s="1" t="s">
        <v>3924</v>
      </c>
      <c r="H8770" s="1" t="s">
        <v>3604</v>
      </c>
      <c r="I8770" s="1" t="s">
        <v>29180</v>
      </c>
      <c r="J8770" s="1" t="s">
        <v>3606</v>
      </c>
      <c r="K8770" s="1" t="s">
        <v>29181</v>
      </c>
      <c r="L8770" s="1"/>
      <c r="M8770" s="1"/>
    </row>
    <row x14ac:dyDescent="0.25" r="8771" customHeight="1" ht="18.75">
      <c r="A8771" s="1" t="s">
        <v>3598</v>
      </c>
      <c r="B8771" s="1" t="s">
        <v>27979</v>
      </c>
      <c r="C8771" s="1" t="s">
        <v>3600</v>
      </c>
      <c r="D8771" s="1" t="s">
        <v>3601</v>
      </c>
      <c r="E8771" s="1" t="s">
        <v>3664</v>
      </c>
      <c r="F8771" s="1" t="s">
        <v>29182</v>
      </c>
      <c r="G8771" s="1" t="s">
        <v>28015</v>
      </c>
      <c r="H8771" s="1" t="s">
        <v>3604</v>
      </c>
      <c r="I8771" s="1" t="s">
        <v>29183</v>
      </c>
      <c r="J8771" s="1" t="s">
        <v>3615</v>
      </c>
      <c r="K8771" s="1" t="s">
        <v>29184</v>
      </c>
      <c r="L8771" s="1"/>
      <c r="M8771" s="1"/>
    </row>
    <row x14ac:dyDescent="0.25" r="8772" customHeight="1" ht="18.75">
      <c r="A8772" s="1" t="s">
        <v>3617</v>
      </c>
      <c r="B8772" s="1" t="s">
        <v>5570</v>
      </c>
      <c r="C8772" s="1" t="s">
        <v>3619</v>
      </c>
      <c r="D8772" s="1" t="s">
        <v>7891</v>
      </c>
      <c r="E8772" s="1" t="s">
        <v>3981</v>
      </c>
      <c r="F8772" s="1" t="s">
        <v>29185</v>
      </c>
      <c r="G8772" s="1" t="s">
        <v>29186</v>
      </c>
      <c r="H8772" s="1" t="s">
        <v>3604</v>
      </c>
      <c r="I8772" s="1" t="s">
        <v>29187</v>
      </c>
      <c r="J8772" s="1" t="s">
        <v>3606</v>
      </c>
      <c r="K8772" s="1" t="s">
        <v>29188</v>
      </c>
      <c r="L8772" s="1"/>
      <c r="M8772" s="1"/>
    </row>
    <row x14ac:dyDescent="0.25" r="8773" customHeight="1" ht="18.75">
      <c r="A8773" s="1" t="s">
        <v>3598</v>
      </c>
      <c r="B8773" s="1" t="s">
        <v>6728</v>
      </c>
      <c r="C8773" s="1" t="s">
        <v>3600</v>
      </c>
      <c r="D8773" s="1" t="s">
        <v>7891</v>
      </c>
      <c r="E8773" s="1" t="s">
        <v>3664</v>
      </c>
      <c r="F8773" s="1" t="s">
        <v>29189</v>
      </c>
      <c r="G8773" s="1" t="s">
        <v>13781</v>
      </c>
      <c r="H8773" s="1" t="s">
        <v>3604</v>
      </c>
      <c r="I8773" s="1" t="s">
        <v>29190</v>
      </c>
      <c r="J8773" s="1" t="s">
        <v>3615</v>
      </c>
      <c r="K8773" s="1" t="s">
        <v>29191</v>
      </c>
      <c r="L8773" s="1"/>
      <c r="M8773" s="1"/>
    </row>
    <row x14ac:dyDescent="0.25" r="8774" customHeight="1" ht="18.75">
      <c r="A8774" s="1" t="s">
        <v>3598</v>
      </c>
      <c r="B8774" s="1" t="s">
        <v>27979</v>
      </c>
      <c r="C8774" s="1" t="s">
        <v>3600</v>
      </c>
      <c r="D8774" s="1" t="s">
        <v>3601</v>
      </c>
      <c r="E8774" s="1" t="s">
        <v>3664</v>
      </c>
      <c r="F8774" s="1" t="s">
        <v>29192</v>
      </c>
      <c r="G8774" s="1" t="s">
        <v>28015</v>
      </c>
      <c r="H8774" s="1" t="s">
        <v>3604</v>
      </c>
      <c r="I8774" s="1" t="s">
        <v>29193</v>
      </c>
      <c r="J8774" s="1" t="s">
        <v>3615</v>
      </c>
      <c r="K8774" s="1" t="s">
        <v>29194</v>
      </c>
      <c r="L8774" s="1"/>
      <c r="M8774" s="1"/>
    </row>
    <row x14ac:dyDescent="0.25" r="8775" customHeight="1" ht="18.75">
      <c r="A8775" s="1" t="s">
        <v>3617</v>
      </c>
      <c r="B8775" s="1" t="s">
        <v>5570</v>
      </c>
      <c r="C8775" s="1" t="s">
        <v>3619</v>
      </c>
      <c r="D8775" s="1" t="s">
        <v>7891</v>
      </c>
      <c r="E8775" s="1" t="s">
        <v>3981</v>
      </c>
      <c r="F8775" s="1" t="s">
        <v>29185</v>
      </c>
      <c r="G8775" s="1" t="s">
        <v>3910</v>
      </c>
      <c r="H8775" s="1" t="s">
        <v>3604</v>
      </c>
      <c r="I8775" s="1" t="s">
        <v>29195</v>
      </c>
      <c r="J8775" s="1" t="s">
        <v>3606</v>
      </c>
      <c r="K8775" s="1" t="s">
        <v>29196</v>
      </c>
      <c r="L8775" s="1"/>
      <c r="M8775" s="1"/>
    </row>
    <row x14ac:dyDescent="0.25" r="8776" customHeight="1" ht="18.75">
      <c r="A8776" s="1" t="s">
        <v>3617</v>
      </c>
      <c r="B8776" s="1" t="s">
        <v>5570</v>
      </c>
      <c r="C8776" s="1" t="s">
        <v>3619</v>
      </c>
      <c r="D8776" s="1" t="s">
        <v>7891</v>
      </c>
      <c r="E8776" s="1" t="s">
        <v>3981</v>
      </c>
      <c r="F8776" s="1" t="s">
        <v>29197</v>
      </c>
      <c r="G8776" s="1" t="s">
        <v>3910</v>
      </c>
      <c r="H8776" s="1" t="s">
        <v>3604</v>
      </c>
      <c r="I8776" s="1" t="s">
        <v>29198</v>
      </c>
      <c r="J8776" s="1" t="s">
        <v>3606</v>
      </c>
      <c r="K8776" s="1" t="s">
        <v>29199</v>
      </c>
      <c r="L8776" s="1"/>
      <c r="M8776" s="1"/>
    </row>
    <row x14ac:dyDescent="0.25" r="8777" customHeight="1" ht="18.75">
      <c r="A8777" s="1" t="s">
        <v>3598</v>
      </c>
      <c r="B8777" s="1" t="s">
        <v>27979</v>
      </c>
      <c r="C8777" s="1" t="s">
        <v>3600</v>
      </c>
      <c r="D8777" s="1" t="s">
        <v>3601</v>
      </c>
      <c r="E8777" s="1" t="s">
        <v>3664</v>
      </c>
      <c r="F8777" s="1" t="s">
        <v>29200</v>
      </c>
      <c r="G8777" s="1" t="s">
        <v>28015</v>
      </c>
      <c r="H8777" s="1" t="s">
        <v>3604</v>
      </c>
      <c r="I8777" s="1" t="s">
        <v>29201</v>
      </c>
      <c r="J8777" s="1" t="s">
        <v>3615</v>
      </c>
      <c r="K8777" s="1" t="s">
        <v>29202</v>
      </c>
      <c r="L8777" s="1"/>
      <c r="M8777" s="1"/>
    </row>
    <row x14ac:dyDescent="0.25" r="8778" customHeight="1" ht="18.75">
      <c r="A8778" s="1" t="s">
        <v>3617</v>
      </c>
      <c r="B8778" s="1" t="s">
        <v>5570</v>
      </c>
      <c r="C8778" s="1" t="s">
        <v>3619</v>
      </c>
      <c r="D8778" s="1" t="s">
        <v>7891</v>
      </c>
      <c r="E8778" s="1" t="s">
        <v>3981</v>
      </c>
      <c r="F8778" s="1" t="s">
        <v>29203</v>
      </c>
      <c r="G8778" s="1" t="s">
        <v>3924</v>
      </c>
      <c r="H8778" s="1" t="s">
        <v>3604</v>
      </c>
      <c r="I8778" s="1" t="s">
        <v>29204</v>
      </c>
      <c r="J8778" s="1" t="s">
        <v>3606</v>
      </c>
      <c r="K8778" s="1" t="s">
        <v>29205</v>
      </c>
      <c r="L8778" s="1"/>
      <c r="M8778" s="1"/>
    </row>
    <row x14ac:dyDescent="0.25" r="8779" customHeight="1" ht="18.75">
      <c r="A8779" s="1" t="s">
        <v>3617</v>
      </c>
      <c r="B8779" s="1" t="s">
        <v>5570</v>
      </c>
      <c r="C8779" s="1" t="s">
        <v>3619</v>
      </c>
      <c r="D8779" s="1" t="s">
        <v>7891</v>
      </c>
      <c r="E8779" s="1" t="s">
        <v>3893</v>
      </c>
      <c r="F8779" s="1" t="s">
        <v>29206</v>
      </c>
      <c r="G8779" s="1" t="s">
        <v>10582</v>
      </c>
      <c r="H8779" s="1" t="s">
        <v>3604</v>
      </c>
      <c r="I8779" s="1" t="s">
        <v>29207</v>
      </c>
      <c r="J8779" s="1" t="s">
        <v>3606</v>
      </c>
      <c r="K8779" s="1" t="s">
        <v>29208</v>
      </c>
      <c r="L8779" s="1"/>
      <c r="M8779" s="1"/>
    </row>
    <row x14ac:dyDescent="0.25" r="8780" customHeight="1" ht="18.75">
      <c r="A8780" s="1" t="s">
        <v>3617</v>
      </c>
      <c r="B8780" s="1" t="s">
        <v>5570</v>
      </c>
      <c r="C8780" s="1" t="s">
        <v>3619</v>
      </c>
      <c r="D8780" s="1" t="s">
        <v>7891</v>
      </c>
      <c r="E8780" s="1" t="s">
        <v>3893</v>
      </c>
      <c r="F8780" s="1" t="s">
        <v>29209</v>
      </c>
      <c r="G8780" s="1" t="s">
        <v>10582</v>
      </c>
      <c r="H8780" s="1" t="s">
        <v>3604</v>
      </c>
      <c r="I8780" s="1" t="s">
        <v>29210</v>
      </c>
      <c r="J8780" s="1" t="s">
        <v>3606</v>
      </c>
      <c r="K8780" s="1" t="s">
        <v>29211</v>
      </c>
      <c r="L8780" s="1"/>
      <c r="M8780" s="1"/>
    </row>
    <row x14ac:dyDescent="0.25" r="8781" customHeight="1" ht="18.75">
      <c r="A8781" s="1" t="s">
        <v>3617</v>
      </c>
      <c r="B8781" s="1" t="s">
        <v>5570</v>
      </c>
      <c r="C8781" s="1" t="s">
        <v>3619</v>
      </c>
      <c r="D8781" s="1" t="s">
        <v>7891</v>
      </c>
      <c r="E8781" s="1" t="s">
        <v>3893</v>
      </c>
      <c r="F8781" s="1" t="s">
        <v>29212</v>
      </c>
      <c r="G8781" s="1" t="s">
        <v>10582</v>
      </c>
      <c r="H8781" s="1" t="s">
        <v>3604</v>
      </c>
      <c r="I8781" s="1" t="s">
        <v>29213</v>
      </c>
      <c r="J8781" s="1" t="s">
        <v>3606</v>
      </c>
      <c r="K8781" s="1" t="s">
        <v>29214</v>
      </c>
      <c r="L8781" s="1"/>
      <c r="M8781" s="1"/>
    </row>
    <row x14ac:dyDescent="0.25" r="8782" customHeight="1" ht="18.75">
      <c r="A8782" s="1" t="s">
        <v>3598</v>
      </c>
      <c r="B8782" s="1" t="s">
        <v>27979</v>
      </c>
      <c r="C8782" s="1" t="s">
        <v>3600</v>
      </c>
      <c r="D8782" s="1" t="s">
        <v>3601</v>
      </c>
      <c r="E8782" s="1" t="s">
        <v>3664</v>
      </c>
      <c r="F8782" s="1" t="s">
        <v>29215</v>
      </c>
      <c r="G8782" s="1" t="s">
        <v>28015</v>
      </c>
      <c r="H8782" s="1" t="s">
        <v>3604</v>
      </c>
      <c r="I8782" s="1" t="s">
        <v>29216</v>
      </c>
      <c r="J8782" s="1" t="s">
        <v>3615</v>
      </c>
      <c r="K8782" s="1" t="s">
        <v>29217</v>
      </c>
      <c r="L8782" s="1"/>
      <c r="M8782" s="1"/>
    </row>
    <row x14ac:dyDescent="0.25" r="8783" customHeight="1" ht="18.75">
      <c r="A8783" s="1" t="s">
        <v>3617</v>
      </c>
      <c r="B8783" s="1" t="s">
        <v>5570</v>
      </c>
      <c r="C8783" s="1" t="s">
        <v>3619</v>
      </c>
      <c r="D8783" s="1" t="s">
        <v>7891</v>
      </c>
      <c r="E8783" s="1" t="s">
        <v>3893</v>
      </c>
      <c r="F8783" s="1" t="s">
        <v>29218</v>
      </c>
      <c r="G8783" s="1" t="s">
        <v>29219</v>
      </c>
      <c r="H8783" s="1" t="s">
        <v>3604</v>
      </c>
      <c r="I8783" s="1" t="s">
        <v>29220</v>
      </c>
      <c r="J8783" s="1" t="s">
        <v>3606</v>
      </c>
      <c r="K8783" s="1" t="s">
        <v>29221</v>
      </c>
      <c r="L8783" s="1"/>
      <c r="M8783" s="1"/>
    </row>
    <row x14ac:dyDescent="0.25" r="8784" customHeight="1" ht="18.75">
      <c r="A8784" s="1" t="s">
        <v>3617</v>
      </c>
      <c r="B8784" s="1" t="s">
        <v>5570</v>
      </c>
      <c r="C8784" s="1" t="s">
        <v>3619</v>
      </c>
      <c r="D8784" s="1" t="s">
        <v>7891</v>
      </c>
      <c r="E8784" s="1" t="s">
        <v>3893</v>
      </c>
      <c r="F8784" s="1" t="s">
        <v>29222</v>
      </c>
      <c r="G8784" s="1" t="s">
        <v>29223</v>
      </c>
      <c r="H8784" s="1" t="s">
        <v>3604</v>
      </c>
      <c r="I8784" s="1" t="s">
        <v>29224</v>
      </c>
      <c r="J8784" s="1" t="s">
        <v>3606</v>
      </c>
      <c r="K8784" s="1" t="s">
        <v>29225</v>
      </c>
      <c r="L8784" s="1"/>
      <c r="M8784" s="1"/>
    </row>
    <row x14ac:dyDescent="0.25" r="8785" customHeight="1" ht="18.75">
      <c r="A8785" s="1" t="s">
        <v>3598</v>
      </c>
      <c r="B8785" s="1" t="s">
        <v>27979</v>
      </c>
      <c r="C8785" s="1" t="s">
        <v>3600</v>
      </c>
      <c r="D8785" s="1" t="s">
        <v>3601</v>
      </c>
      <c r="E8785" s="1" t="s">
        <v>3664</v>
      </c>
      <c r="F8785" s="1" t="s">
        <v>29226</v>
      </c>
      <c r="G8785" s="1" t="s">
        <v>28015</v>
      </c>
      <c r="H8785" s="1" t="s">
        <v>3604</v>
      </c>
      <c r="I8785" s="1" t="s">
        <v>29227</v>
      </c>
      <c r="J8785" s="1" t="s">
        <v>3615</v>
      </c>
      <c r="K8785" s="1" t="s">
        <v>29228</v>
      </c>
      <c r="L8785" s="1"/>
      <c r="M8785" s="1"/>
    </row>
    <row x14ac:dyDescent="0.25" r="8786" customHeight="1" ht="18.75">
      <c r="A8786" s="1" t="s">
        <v>3617</v>
      </c>
      <c r="B8786" s="1" t="s">
        <v>5570</v>
      </c>
      <c r="C8786" s="1" t="s">
        <v>3619</v>
      </c>
      <c r="D8786" s="1" t="s">
        <v>7891</v>
      </c>
      <c r="E8786" s="1" t="s">
        <v>3893</v>
      </c>
      <c r="F8786" s="1" t="s">
        <v>29229</v>
      </c>
      <c r="G8786" s="1" t="s">
        <v>29223</v>
      </c>
      <c r="H8786" s="1" t="s">
        <v>3604</v>
      </c>
      <c r="I8786" s="1" t="s">
        <v>29230</v>
      </c>
      <c r="J8786" s="1" t="s">
        <v>3606</v>
      </c>
      <c r="K8786" s="1" t="s">
        <v>29231</v>
      </c>
      <c r="L8786" s="1"/>
      <c r="M8786" s="1"/>
    </row>
    <row x14ac:dyDescent="0.25" r="8787" customHeight="1" ht="18.75">
      <c r="A8787" s="1" t="s">
        <v>3617</v>
      </c>
      <c r="B8787" s="1" t="s">
        <v>5570</v>
      </c>
      <c r="C8787" s="1" t="s">
        <v>3619</v>
      </c>
      <c r="D8787" s="1" t="s">
        <v>7891</v>
      </c>
      <c r="E8787" s="1" t="s">
        <v>3893</v>
      </c>
      <c r="F8787" s="1" t="s">
        <v>29232</v>
      </c>
      <c r="G8787" s="1" t="s">
        <v>29223</v>
      </c>
      <c r="H8787" s="1" t="s">
        <v>3604</v>
      </c>
      <c r="I8787" s="1" t="s">
        <v>29233</v>
      </c>
      <c r="J8787" s="1" t="s">
        <v>3606</v>
      </c>
      <c r="K8787" s="1" t="s">
        <v>29234</v>
      </c>
      <c r="L8787" s="1"/>
      <c r="M8787" s="1"/>
    </row>
    <row x14ac:dyDescent="0.25" r="8788" customHeight="1" ht="18.75">
      <c r="A8788" s="1" t="s">
        <v>3598</v>
      </c>
      <c r="B8788" s="1" t="s">
        <v>27979</v>
      </c>
      <c r="C8788" s="1" t="s">
        <v>3600</v>
      </c>
      <c r="D8788" s="1" t="s">
        <v>3601</v>
      </c>
      <c r="E8788" s="1" t="s">
        <v>3664</v>
      </c>
      <c r="F8788" s="1" t="s">
        <v>29235</v>
      </c>
      <c r="G8788" s="1" t="s">
        <v>28015</v>
      </c>
      <c r="H8788" s="1" t="s">
        <v>3604</v>
      </c>
      <c r="I8788" s="1" t="s">
        <v>29236</v>
      </c>
      <c r="J8788" s="1" t="s">
        <v>3615</v>
      </c>
      <c r="K8788" s="1" t="s">
        <v>29237</v>
      </c>
      <c r="L8788" s="1"/>
      <c r="M8788" s="1"/>
    </row>
    <row x14ac:dyDescent="0.25" r="8789" customHeight="1" ht="18.75">
      <c r="A8789" s="1" t="s">
        <v>3617</v>
      </c>
      <c r="B8789" s="1" t="s">
        <v>5570</v>
      </c>
      <c r="C8789" s="1" t="s">
        <v>3619</v>
      </c>
      <c r="D8789" s="1" t="s">
        <v>7891</v>
      </c>
      <c r="E8789" s="1" t="s">
        <v>3893</v>
      </c>
      <c r="F8789" s="1" t="s">
        <v>29238</v>
      </c>
      <c r="G8789" s="1" t="s">
        <v>29223</v>
      </c>
      <c r="H8789" s="1" t="s">
        <v>3604</v>
      </c>
      <c r="I8789" s="1" t="s">
        <v>29239</v>
      </c>
      <c r="J8789" s="1" t="s">
        <v>3606</v>
      </c>
      <c r="K8789" s="1" t="s">
        <v>29240</v>
      </c>
      <c r="L8789" s="1"/>
      <c r="M8789" s="1"/>
    </row>
    <row x14ac:dyDescent="0.25" r="8790" customHeight="1" ht="18.75">
      <c r="A8790" s="1" t="s">
        <v>7833</v>
      </c>
      <c r="B8790" s="1" t="s">
        <v>8178</v>
      </c>
      <c r="C8790" s="1" t="s">
        <v>3619</v>
      </c>
      <c r="D8790" s="1" t="s">
        <v>3610</v>
      </c>
      <c r="E8790" s="1" t="s">
        <v>3664</v>
      </c>
      <c r="F8790" s="1" t="s">
        <v>29241</v>
      </c>
      <c r="G8790" s="1" t="s">
        <v>14913</v>
      </c>
      <c r="H8790" s="1" t="s">
        <v>3604</v>
      </c>
      <c r="I8790" s="1" t="s">
        <v>29242</v>
      </c>
      <c r="J8790" s="1" t="s">
        <v>3606</v>
      </c>
      <c r="K8790" s="1" t="s">
        <v>12940</v>
      </c>
      <c r="L8790" s="1"/>
      <c r="M8790" s="1"/>
    </row>
    <row x14ac:dyDescent="0.25" r="8791" customHeight="1" ht="18.75">
      <c r="A8791" s="1" t="s">
        <v>3598</v>
      </c>
      <c r="B8791" s="1" t="s">
        <v>28021</v>
      </c>
      <c r="C8791" s="1" t="s">
        <v>3600</v>
      </c>
      <c r="D8791" s="1" t="s">
        <v>3601</v>
      </c>
      <c r="E8791" s="1" t="s">
        <v>3664</v>
      </c>
      <c r="F8791" s="1" t="s">
        <v>29243</v>
      </c>
      <c r="G8791" s="1" t="s">
        <v>26872</v>
      </c>
      <c r="H8791" s="1" t="s">
        <v>3604</v>
      </c>
      <c r="I8791" s="1" t="s">
        <v>29244</v>
      </c>
      <c r="J8791" s="1" t="s">
        <v>3615</v>
      </c>
      <c r="K8791" s="1" t="s">
        <v>29245</v>
      </c>
      <c r="L8791" s="1"/>
      <c r="M8791" s="1"/>
    </row>
    <row x14ac:dyDescent="0.25" r="8792" customHeight="1" ht="18.75">
      <c r="A8792" s="1" t="s">
        <v>7833</v>
      </c>
      <c r="B8792" s="1" t="s">
        <v>8178</v>
      </c>
      <c r="C8792" s="1" t="s">
        <v>3619</v>
      </c>
      <c r="D8792" s="1" t="s">
        <v>3610</v>
      </c>
      <c r="E8792" s="1" t="s">
        <v>3664</v>
      </c>
      <c r="F8792" s="1" t="s">
        <v>29246</v>
      </c>
      <c r="G8792" s="1" t="s">
        <v>14913</v>
      </c>
      <c r="H8792" s="1" t="s">
        <v>3604</v>
      </c>
      <c r="I8792" s="1" t="s">
        <v>29247</v>
      </c>
      <c r="J8792" s="1" t="s">
        <v>3606</v>
      </c>
      <c r="K8792" s="1" t="s">
        <v>26244</v>
      </c>
      <c r="L8792" s="1"/>
      <c r="M8792" s="1"/>
    </row>
    <row x14ac:dyDescent="0.25" r="8793" customHeight="1" ht="18.75">
      <c r="A8793" s="1" t="s">
        <v>7833</v>
      </c>
      <c r="B8793" s="1" t="s">
        <v>8178</v>
      </c>
      <c r="C8793" s="1" t="s">
        <v>3619</v>
      </c>
      <c r="D8793" s="1" t="s">
        <v>3610</v>
      </c>
      <c r="E8793" s="1" t="s">
        <v>3664</v>
      </c>
      <c r="F8793" s="1" t="s">
        <v>29248</v>
      </c>
      <c r="G8793" s="1" t="s">
        <v>29249</v>
      </c>
      <c r="H8793" s="1" t="s">
        <v>3604</v>
      </c>
      <c r="I8793" s="1" t="s">
        <v>29250</v>
      </c>
      <c r="J8793" s="1" t="s">
        <v>3606</v>
      </c>
      <c r="K8793" s="1" t="s">
        <v>14472</v>
      </c>
      <c r="L8793" s="1"/>
      <c r="M8793" s="1"/>
    </row>
    <row x14ac:dyDescent="0.25" r="8794" customHeight="1" ht="18.75">
      <c r="A8794" s="1" t="s">
        <v>3598</v>
      </c>
      <c r="B8794" s="1" t="s">
        <v>28034</v>
      </c>
      <c r="C8794" s="1" t="s">
        <v>3600</v>
      </c>
      <c r="D8794" s="1" t="s">
        <v>3601</v>
      </c>
      <c r="E8794" s="1" t="s">
        <v>3664</v>
      </c>
      <c r="F8794" s="1" t="s">
        <v>29251</v>
      </c>
      <c r="G8794" s="1" t="s">
        <v>27413</v>
      </c>
      <c r="H8794" s="1" t="s">
        <v>3604</v>
      </c>
      <c r="I8794" s="1" t="s">
        <v>29252</v>
      </c>
      <c r="J8794" s="1" t="s">
        <v>3615</v>
      </c>
      <c r="K8794" s="1" t="s">
        <v>29253</v>
      </c>
      <c r="L8794" s="1"/>
      <c r="M8794" s="1"/>
    </row>
    <row x14ac:dyDescent="0.25" r="8795" customHeight="1" ht="18.75">
      <c r="A8795" s="1" t="s">
        <v>7833</v>
      </c>
      <c r="B8795" s="1" t="s">
        <v>8178</v>
      </c>
      <c r="C8795" s="1" t="s">
        <v>3619</v>
      </c>
      <c r="D8795" s="1" t="s">
        <v>3610</v>
      </c>
      <c r="E8795" s="1" t="s">
        <v>3664</v>
      </c>
      <c r="F8795" s="1" t="s">
        <v>29254</v>
      </c>
      <c r="G8795" s="1" t="s">
        <v>14913</v>
      </c>
      <c r="H8795" s="1" t="s">
        <v>3604</v>
      </c>
      <c r="I8795" s="1" t="s">
        <v>29255</v>
      </c>
      <c r="J8795" s="1" t="s">
        <v>3606</v>
      </c>
      <c r="K8795" s="1" t="s">
        <v>14475</v>
      </c>
      <c r="L8795" s="1"/>
      <c r="M8795" s="1"/>
    </row>
    <row x14ac:dyDescent="0.25" r="8796" customHeight="1" ht="18.75">
      <c r="A8796" s="1" t="s">
        <v>7833</v>
      </c>
      <c r="B8796" s="1" t="s">
        <v>8178</v>
      </c>
      <c r="C8796" s="1" t="s">
        <v>3619</v>
      </c>
      <c r="D8796" s="1" t="s">
        <v>8373</v>
      </c>
      <c r="E8796" s="1" t="s">
        <v>3664</v>
      </c>
      <c r="F8796" s="1" t="s">
        <v>29256</v>
      </c>
      <c r="G8796" s="1" t="s">
        <v>14913</v>
      </c>
      <c r="H8796" s="1" t="s">
        <v>3604</v>
      </c>
      <c r="I8796" s="1" t="s">
        <v>29257</v>
      </c>
      <c r="J8796" s="1" t="s">
        <v>3606</v>
      </c>
      <c r="K8796" s="1" t="s">
        <v>26110</v>
      </c>
      <c r="L8796" s="1"/>
      <c r="M8796" s="1"/>
    </row>
    <row x14ac:dyDescent="0.25" r="8797" customHeight="1" ht="18.75">
      <c r="A8797" s="1" t="s">
        <v>3598</v>
      </c>
      <c r="B8797" s="1" t="s">
        <v>28740</v>
      </c>
      <c r="C8797" s="1" t="s">
        <v>3600</v>
      </c>
      <c r="D8797" s="1" t="s">
        <v>3601</v>
      </c>
      <c r="E8797" s="1" t="s">
        <v>3664</v>
      </c>
      <c r="F8797" s="1" t="s">
        <v>29258</v>
      </c>
      <c r="G8797" s="1" t="s">
        <v>28742</v>
      </c>
      <c r="H8797" s="1" t="s">
        <v>3604</v>
      </c>
      <c r="I8797" s="1" t="s">
        <v>29259</v>
      </c>
      <c r="J8797" s="1" t="s">
        <v>3615</v>
      </c>
      <c r="K8797" s="1" t="s">
        <v>29260</v>
      </c>
      <c r="L8797" s="1"/>
      <c r="M8797" s="1"/>
    </row>
    <row x14ac:dyDescent="0.25" r="8798" customHeight="1" ht="18.75">
      <c r="A8798" s="1" t="s">
        <v>3598</v>
      </c>
      <c r="B8798" s="1" t="s">
        <v>4689</v>
      </c>
      <c r="C8798" s="1" t="s">
        <v>3600</v>
      </c>
      <c r="D8798" s="1" t="s">
        <v>7891</v>
      </c>
      <c r="E8798" s="1" t="s">
        <v>3664</v>
      </c>
      <c r="F8798" s="1" t="s">
        <v>29261</v>
      </c>
      <c r="G8798" s="1" t="s">
        <v>20841</v>
      </c>
      <c r="H8798" s="1" t="s">
        <v>3604</v>
      </c>
      <c r="I8798" s="1" t="s">
        <v>29262</v>
      </c>
      <c r="J8798" s="1" t="s">
        <v>3615</v>
      </c>
      <c r="K8798" s="1" t="s">
        <v>29263</v>
      </c>
      <c r="L8798" s="1"/>
      <c r="M8798" s="1"/>
    </row>
    <row x14ac:dyDescent="0.25" r="8799" customHeight="1" ht="18.75">
      <c r="A8799" s="1" t="s">
        <v>7833</v>
      </c>
      <c r="B8799" s="1" t="s">
        <v>8178</v>
      </c>
      <c r="C8799" s="1" t="s">
        <v>3619</v>
      </c>
      <c r="D8799" s="1" t="s">
        <v>8373</v>
      </c>
      <c r="E8799" s="1" t="s">
        <v>3664</v>
      </c>
      <c r="F8799" s="1" t="s">
        <v>29264</v>
      </c>
      <c r="G8799" s="1" t="s">
        <v>14913</v>
      </c>
      <c r="H8799" s="1" t="s">
        <v>3604</v>
      </c>
      <c r="I8799" s="1" t="s">
        <v>29265</v>
      </c>
      <c r="J8799" s="1" t="s">
        <v>3606</v>
      </c>
      <c r="K8799" s="1" t="s">
        <v>26121</v>
      </c>
      <c r="L8799" s="1"/>
      <c r="M8799" s="1"/>
    </row>
    <row x14ac:dyDescent="0.25" r="8800" customHeight="1" ht="18.75">
      <c r="A8800" s="1" t="s">
        <v>7833</v>
      </c>
      <c r="B8800" s="1" t="s">
        <v>8178</v>
      </c>
      <c r="C8800" s="1" t="s">
        <v>3619</v>
      </c>
      <c r="D8800" s="1" t="s">
        <v>8373</v>
      </c>
      <c r="E8800" s="1" t="s">
        <v>3664</v>
      </c>
      <c r="F8800" s="1" t="s">
        <v>29266</v>
      </c>
      <c r="G8800" s="1" t="s">
        <v>14913</v>
      </c>
      <c r="H8800" s="1" t="s">
        <v>3604</v>
      </c>
      <c r="I8800" s="1" t="s">
        <v>29267</v>
      </c>
      <c r="J8800" s="1" t="s">
        <v>3606</v>
      </c>
      <c r="K8800" s="1" t="s">
        <v>26113</v>
      </c>
      <c r="L8800" s="1"/>
      <c r="M8800" s="1"/>
    </row>
    <row x14ac:dyDescent="0.25" r="8801" customHeight="1" ht="18.75">
      <c r="A8801" s="1" t="s">
        <v>3598</v>
      </c>
      <c r="B8801" s="1" t="s">
        <v>28740</v>
      </c>
      <c r="C8801" s="1" t="s">
        <v>3600</v>
      </c>
      <c r="D8801" s="1" t="s">
        <v>3601</v>
      </c>
      <c r="E8801" s="1" t="s">
        <v>3664</v>
      </c>
      <c r="F8801" s="1" t="s">
        <v>29268</v>
      </c>
      <c r="G8801" s="1" t="s">
        <v>28742</v>
      </c>
      <c r="H8801" s="1" t="s">
        <v>3604</v>
      </c>
      <c r="I8801" s="1" t="s">
        <v>29269</v>
      </c>
      <c r="J8801" s="1" t="s">
        <v>3615</v>
      </c>
      <c r="K8801" s="1" t="s">
        <v>29270</v>
      </c>
      <c r="L8801" s="1"/>
      <c r="M8801" s="1"/>
    </row>
    <row x14ac:dyDescent="0.25" r="8802" customHeight="1" ht="18.75">
      <c r="A8802" s="1" t="s">
        <v>3598</v>
      </c>
      <c r="B8802" s="1" t="s">
        <v>8191</v>
      </c>
      <c r="C8802" s="1" t="s">
        <v>3600</v>
      </c>
      <c r="D8802" s="1" t="s">
        <v>7891</v>
      </c>
      <c r="E8802" s="1" t="s">
        <v>3664</v>
      </c>
      <c r="F8802" s="1" t="s">
        <v>29271</v>
      </c>
      <c r="G8802" s="1" t="s">
        <v>16424</v>
      </c>
      <c r="H8802" s="1" t="s">
        <v>3604</v>
      </c>
      <c r="I8802" s="1" t="s">
        <v>29272</v>
      </c>
      <c r="J8802" s="1" t="s">
        <v>3615</v>
      </c>
      <c r="K8802" s="1" t="s">
        <v>29273</v>
      </c>
      <c r="L8802" s="1"/>
      <c r="M8802" s="1"/>
    </row>
    <row x14ac:dyDescent="0.25" r="8803" customHeight="1" ht="18.75">
      <c r="A8803" s="1" t="s">
        <v>7833</v>
      </c>
      <c r="B8803" s="1" t="s">
        <v>8178</v>
      </c>
      <c r="C8803" s="1" t="s">
        <v>3619</v>
      </c>
      <c r="D8803" s="1" t="s">
        <v>533</v>
      </c>
      <c r="E8803" s="1" t="s">
        <v>3664</v>
      </c>
      <c r="F8803" s="1" t="s">
        <v>29274</v>
      </c>
      <c r="G8803" s="1" t="s">
        <v>14913</v>
      </c>
      <c r="H8803" s="1" t="s">
        <v>3604</v>
      </c>
      <c r="I8803" s="1" t="s">
        <v>29275</v>
      </c>
      <c r="J8803" s="1" t="s">
        <v>3606</v>
      </c>
      <c r="K8803" s="1" t="s">
        <v>14819</v>
      </c>
      <c r="L8803" s="1"/>
      <c r="M8803" s="1"/>
    </row>
    <row x14ac:dyDescent="0.25" r="8804" customHeight="1" ht="18.75">
      <c r="A8804" s="1" t="s">
        <v>3598</v>
      </c>
      <c r="B8804" s="1" t="s">
        <v>28740</v>
      </c>
      <c r="C8804" s="1" t="s">
        <v>3600</v>
      </c>
      <c r="D8804" s="1" t="s">
        <v>3601</v>
      </c>
      <c r="E8804" s="1" t="s">
        <v>3664</v>
      </c>
      <c r="F8804" s="1" t="s">
        <v>29276</v>
      </c>
      <c r="G8804" s="1" t="s">
        <v>28742</v>
      </c>
      <c r="H8804" s="1" t="s">
        <v>3604</v>
      </c>
      <c r="I8804" s="1" t="s">
        <v>29277</v>
      </c>
      <c r="J8804" s="1" t="s">
        <v>3615</v>
      </c>
      <c r="K8804" s="1" t="s">
        <v>29278</v>
      </c>
      <c r="L8804" s="1"/>
      <c r="M8804" s="1"/>
    </row>
    <row x14ac:dyDescent="0.25" r="8805" customHeight="1" ht="18.75">
      <c r="A8805" s="1" t="s">
        <v>7833</v>
      </c>
      <c r="B8805" s="1" t="s">
        <v>9216</v>
      </c>
      <c r="C8805" s="1" t="s">
        <v>4488</v>
      </c>
      <c r="D8805" s="1" t="s">
        <v>533</v>
      </c>
      <c r="E8805" s="1" t="s">
        <v>3981</v>
      </c>
      <c r="F8805" s="1" t="s">
        <v>29279</v>
      </c>
      <c r="G8805" s="1" t="s">
        <v>9218</v>
      </c>
      <c r="H8805" s="1" t="s">
        <v>3604</v>
      </c>
      <c r="I8805" s="1" t="s">
        <v>29280</v>
      </c>
      <c r="J8805" s="1" t="s">
        <v>3606</v>
      </c>
      <c r="K8805" s="1" t="s">
        <v>14643</v>
      </c>
      <c r="L8805" s="1"/>
      <c r="M8805" s="1"/>
    </row>
    <row x14ac:dyDescent="0.25" r="8806" customHeight="1" ht="18.75">
      <c r="A8806" s="1" t="s">
        <v>3598</v>
      </c>
      <c r="B8806" s="1" t="s">
        <v>18125</v>
      </c>
      <c r="C8806" s="1" t="s">
        <v>3600</v>
      </c>
      <c r="D8806" s="1" t="s">
        <v>7891</v>
      </c>
      <c r="E8806" s="1" t="s">
        <v>3664</v>
      </c>
      <c r="F8806" s="1" t="s">
        <v>29281</v>
      </c>
      <c r="G8806" s="1" t="s">
        <v>29282</v>
      </c>
      <c r="H8806" s="1" t="s">
        <v>3604</v>
      </c>
      <c r="I8806" s="1" t="s">
        <v>29283</v>
      </c>
      <c r="J8806" s="1" t="s">
        <v>3615</v>
      </c>
      <c r="K8806" s="1" t="s">
        <v>29284</v>
      </c>
      <c r="L8806" s="1"/>
      <c r="M8806" s="1"/>
    </row>
    <row x14ac:dyDescent="0.25" r="8807" customHeight="1" ht="18.75">
      <c r="A8807" s="1" t="s">
        <v>7833</v>
      </c>
      <c r="B8807" s="1" t="s">
        <v>9216</v>
      </c>
      <c r="C8807" s="1" t="s">
        <v>4488</v>
      </c>
      <c r="D8807" s="1" t="s">
        <v>3610</v>
      </c>
      <c r="E8807" s="1" t="s">
        <v>3981</v>
      </c>
      <c r="F8807" s="1" t="s">
        <v>29285</v>
      </c>
      <c r="G8807" s="1" t="s">
        <v>29286</v>
      </c>
      <c r="H8807" s="1" t="s">
        <v>3604</v>
      </c>
      <c r="I8807" s="1" t="s">
        <v>29287</v>
      </c>
      <c r="J8807" s="1" t="s">
        <v>3606</v>
      </c>
      <c r="K8807" s="1" t="s">
        <v>15100</v>
      </c>
      <c r="L8807" s="1"/>
      <c r="M8807" s="1"/>
    </row>
    <row x14ac:dyDescent="0.25" r="8808" customHeight="1" ht="18.75">
      <c r="A8808" s="1" t="s">
        <v>3598</v>
      </c>
      <c r="B8808" s="1" t="s">
        <v>18125</v>
      </c>
      <c r="C8808" s="1" t="s">
        <v>3600</v>
      </c>
      <c r="D8808" s="1" t="s">
        <v>7891</v>
      </c>
      <c r="E8808" s="1" t="s">
        <v>3664</v>
      </c>
      <c r="F8808" s="1" t="s">
        <v>29288</v>
      </c>
      <c r="G8808" s="1" t="s">
        <v>29282</v>
      </c>
      <c r="H8808" s="1" t="s">
        <v>3604</v>
      </c>
      <c r="I8808" s="1" t="s">
        <v>29289</v>
      </c>
      <c r="J8808" s="1" t="s">
        <v>3615</v>
      </c>
      <c r="K8808" s="1" t="s">
        <v>29290</v>
      </c>
      <c r="L8808" s="1"/>
      <c r="M8808" s="1"/>
    </row>
    <row x14ac:dyDescent="0.25" r="8809" customHeight="1" ht="18.75">
      <c r="A8809" s="1" t="s">
        <v>7833</v>
      </c>
      <c r="B8809" s="1" t="s">
        <v>9216</v>
      </c>
      <c r="C8809" s="1" t="s">
        <v>4488</v>
      </c>
      <c r="D8809" s="1" t="s">
        <v>3610</v>
      </c>
      <c r="E8809" s="1" t="s">
        <v>3981</v>
      </c>
      <c r="F8809" s="1" t="s">
        <v>29291</v>
      </c>
      <c r="G8809" s="1" t="s">
        <v>9218</v>
      </c>
      <c r="H8809" s="1" t="s">
        <v>3604</v>
      </c>
      <c r="I8809" s="1" t="s">
        <v>29292</v>
      </c>
      <c r="J8809" s="1" t="s">
        <v>3606</v>
      </c>
      <c r="K8809" s="1" t="s">
        <v>15107</v>
      </c>
      <c r="L8809" s="1"/>
      <c r="M8809" s="1"/>
    </row>
    <row x14ac:dyDescent="0.25" r="8810" customHeight="1" ht="18.75">
      <c r="A8810" s="1" t="s">
        <v>7833</v>
      </c>
      <c r="B8810" s="1" t="s">
        <v>9216</v>
      </c>
      <c r="C8810" s="1" t="s">
        <v>4488</v>
      </c>
      <c r="D8810" s="1" t="s">
        <v>3695</v>
      </c>
      <c r="E8810" s="1" t="s">
        <v>3981</v>
      </c>
      <c r="F8810" s="1" t="s">
        <v>29293</v>
      </c>
      <c r="G8810" s="1" t="s">
        <v>9218</v>
      </c>
      <c r="H8810" s="1" t="s">
        <v>3604</v>
      </c>
      <c r="I8810" s="1" t="s">
        <v>29294</v>
      </c>
      <c r="J8810" s="1" t="s">
        <v>3606</v>
      </c>
      <c r="K8810" s="1" t="s">
        <v>26429</v>
      </c>
      <c r="L8810" s="1"/>
      <c r="M8810" s="1"/>
    </row>
    <row x14ac:dyDescent="0.25" r="8811" customHeight="1" ht="18.75">
      <c r="A8811" s="1" t="s">
        <v>3598</v>
      </c>
      <c r="B8811" s="1" t="s">
        <v>21963</v>
      </c>
      <c r="C8811" s="1" t="s">
        <v>3600</v>
      </c>
      <c r="D8811" s="1" t="s">
        <v>3601</v>
      </c>
      <c r="E8811" s="1" t="s">
        <v>3893</v>
      </c>
      <c r="F8811" s="1" t="s">
        <v>29295</v>
      </c>
      <c r="G8811" s="1" t="s">
        <v>15032</v>
      </c>
      <c r="H8811" s="1" t="s">
        <v>3604</v>
      </c>
      <c r="I8811" s="1" t="s">
        <v>29296</v>
      </c>
      <c r="J8811" s="1" t="s">
        <v>3615</v>
      </c>
      <c r="K8811" s="1" t="s">
        <v>29297</v>
      </c>
      <c r="L8811" s="1"/>
      <c r="M8811" s="1"/>
    </row>
    <row x14ac:dyDescent="0.25" r="8812" customHeight="1" ht="18.75">
      <c r="A8812" s="1" t="s">
        <v>3598</v>
      </c>
      <c r="B8812" s="1" t="s">
        <v>5252</v>
      </c>
      <c r="C8812" s="1" t="s">
        <v>3600</v>
      </c>
      <c r="D8812" s="1" t="s">
        <v>7891</v>
      </c>
      <c r="E8812" s="1" t="s">
        <v>3664</v>
      </c>
      <c r="F8812" s="1" t="s">
        <v>29298</v>
      </c>
      <c r="G8812" s="1" t="s">
        <v>18452</v>
      </c>
      <c r="H8812" s="1" t="s">
        <v>3604</v>
      </c>
      <c r="I8812" s="1" t="s">
        <v>29299</v>
      </c>
      <c r="J8812" s="1" t="s">
        <v>3615</v>
      </c>
      <c r="K8812" s="1" t="s">
        <v>29300</v>
      </c>
      <c r="L8812" s="1"/>
      <c r="M8812" s="1"/>
    </row>
    <row x14ac:dyDescent="0.25" r="8813" customHeight="1" ht="18.75">
      <c r="A8813" s="1" t="s">
        <v>7833</v>
      </c>
      <c r="B8813" s="1" t="s">
        <v>9216</v>
      </c>
      <c r="C8813" s="1" t="s">
        <v>4488</v>
      </c>
      <c r="D8813" s="1" t="s">
        <v>3695</v>
      </c>
      <c r="E8813" s="1" t="s">
        <v>3981</v>
      </c>
      <c r="F8813" s="1" t="s">
        <v>29301</v>
      </c>
      <c r="G8813" s="1" t="s">
        <v>9218</v>
      </c>
      <c r="H8813" s="1" t="s">
        <v>3604</v>
      </c>
      <c r="I8813" s="1" t="s">
        <v>29302</v>
      </c>
      <c r="J8813" s="1" t="s">
        <v>3606</v>
      </c>
      <c r="K8813" s="1" t="s">
        <v>26435</v>
      </c>
      <c r="L8813" s="1"/>
      <c r="M8813" s="1"/>
    </row>
    <row x14ac:dyDescent="0.25" r="8814" customHeight="1" ht="18.75">
      <c r="A8814" s="1" t="s">
        <v>7833</v>
      </c>
      <c r="B8814" s="1" t="s">
        <v>9216</v>
      </c>
      <c r="C8814" s="1" t="s">
        <v>4488</v>
      </c>
      <c r="D8814" s="1" t="s">
        <v>3695</v>
      </c>
      <c r="E8814" s="1" t="s">
        <v>3981</v>
      </c>
      <c r="F8814" s="1" t="s">
        <v>29303</v>
      </c>
      <c r="G8814" s="1" t="s">
        <v>9218</v>
      </c>
      <c r="H8814" s="1" t="s">
        <v>3604</v>
      </c>
      <c r="I8814" s="1" t="s">
        <v>29304</v>
      </c>
      <c r="J8814" s="1" t="s">
        <v>3606</v>
      </c>
      <c r="K8814" s="1" t="s">
        <v>26432</v>
      </c>
      <c r="L8814" s="1"/>
      <c r="M8814" s="1"/>
    </row>
    <row x14ac:dyDescent="0.25" r="8815" customHeight="1" ht="18.75">
      <c r="A8815" s="1" t="s">
        <v>3598</v>
      </c>
      <c r="B8815" s="1" t="s">
        <v>21963</v>
      </c>
      <c r="C8815" s="1" t="s">
        <v>3600</v>
      </c>
      <c r="D8815" s="1" t="s">
        <v>3601</v>
      </c>
      <c r="E8815" s="1" t="s">
        <v>3893</v>
      </c>
      <c r="F8815" s="1" t="s">
        <v>29305</v>
      </c>
      <c r="G8815" s="1" t="s">
        <v>15032</v>
      </c>
      <c r="H8815" s="1" t="s">
        <v>3604</v>
      </c>
      <c r="I8815" s="1" t="s">
        <v>29306</v>
      </c>
      <c r="J8815" s="1" t="s">
        <v>3615</v>
      </c>
      <c r="K8815" s="1" t="s">
        <v>29307</v>
      </c>
      <c r="L8815" s="1"/>
      <c r="M8815" s="1"/>
    </row>
    <row x14ac:dyDescent="0.25" r="8816" customHeight="1" ht="18.75">
      <c r="A8816" s="1" t="s">
        <v>3598</v>
      </c>
      <c r="B8816" s="1" t="s">
        <v>5260</v>
      </c>
      <c r="C8816" s="1" t="s">
        <v>3600</v>
      </c>
      <c r="D8816" s="1" t="s">
        <v>7891</v>
      </c>
      <c r="E8816" s="1" t="s">
        <v>3893</v>
      </c>
      <c r="F8816" s="1" t="s">
        <v>29308</v>
      </c>
      <c r="G8816" s="1" t="s">
        <v>8648</v>
      </c>
      <c r="H8816" s="1" t="s">
        <v>3604</v>
      </c>
      <c r="I8816" s="1" t="s">
        <v>29309</v>
      </c>
      <c r="J8816" s="1" t="s">
        <v>3615</v>
      </c>
      <c r="K8816" s="1" t="s">
        <v>29310</v>
      </c>
      <c r="L8816" s="1"/>
      <c r="M8816" s="1"/>
    </row>
    <row x14ac:dyDescent="0.25" r="8817" customHeight="1" ht="18.75">
      <c r="A8817" s="1" t="s">
        <v>3598</v>
      </c>
      <c r="B8817" s="1" t="s">
        <v>21963</v>
      </c>
      <c r="C8817" s="1" t="s">
        <v>3600</v>
      </c>
      <c r="D8817" s="1" t="s">
        <v>3601</v>
      </c>
      <c r="E8817" s="1" t="s">
        <v>3893</v>
      </c>
      <c r="F8817" s="1" t="s">
        <v>29311</v>
      </c>
      <c r="G8817" s="1" t="s">
        <v>15032</v>
      </c>
      <c r="H8817" s="1" t="s">
        <v>3604</v>
      </c>
      <c r="I8817" s="1" t="s">
        <v>29312</v>
      </c>
      <c r="J8817" s="1" t="s">
        <v>3615</v>
      </c>
      <c r="K8817" s="1" t="s">
        <v>29313</v>
      </c>
      <c r="L8817" s="1"/>
      <c r="M8817" s="1"/>
    </row>
    <row x14ac:dyDescent="0.25" r="8818" customHeight="1" ht="18.75">
      <c r="A8818" s="1" t="s">
        <v>3598</v>
      </c>
      <c r="B8818" s="1" t="s">
        <v>5260</v>
      </c>
      <c r="C8818" s="1" t="s">
        <v>3600</v>
      </c>
      <c r="D8818" s="1" t="s">
        <v>7891</v>
      </c>
      <c r="E8818" s="1" t="s">
        <v>3893</v>
      </c>
      <c r="F8818" s="1" t="s">
        <v>29314</v>
      </c>
      <c r="G8818" s="1" t="s">
        <v>8648</v>
      </c>
      <c r="H8818" s="1" t="s">
        <v>3604</v>
      </c>
      <c r="I8818" s="1" t="s">
        <v>29315</v>
      </c>
      <c r="J8818" s="1" t="s">
        <v>3615</v>
      </c>
      <c r="K8818" s="1" t="s">
        <v>29316</v>
      </c>
      <c r="L8818" s="1"/>
      <c r="M8818" s="1"/>
    </row>
    <row x14ac:dyDescent="0.25" r="8819" customHeight="1" ht="18.75">
      <c r="A8819" s="1" t="s">
        <v>7833</v>
      </c>
      <c r="B8819" s="1" t="s">
        <v>9216</v>
      </c>
      <c r="C8819" s="1" t="s">
        <v>4488</v>
      </c>
      <c r="D8819" s="1" t="s">
        <v>3601</v>
      </c>
      <c r="E8819" s="1" t="s">
        <v>3664</v>
      </c>
      <c r="F8819" s="1" t="s">
        <v>29317</v>
      </c>
      <c r="G8819" s="1" t="s">
        <v>9218</v>
      </c>
      <c r="H8819" s="1" t="s">
        <v>3604</v>
      </c>
      <c r="I8819" s="1" t="s">
        <v>29318</v>
      </c>
      <c r="J8819" s="1" t="s">
        <v>3606</v>
      </c>
      <c r="K8819" s="1" t="s">
        <v>29319</v>
      </c>
      <c r="L8819" s="1"/>
      <c r="M8819" s="1"/>
    </row>
    <row x14ac:dyDescent="0.25" r="8820" customHeight="1" ht="18.75">
      <c r="A8820" s="1" t="s">
        <v>7833</v>
      </c>
      <c r="B8820" s="1" t="s">
        <v>9216</v>
      </c>
      <c r="C8820" s="1" t="s">
        <v>4488</v>
      </c>
      <c r="D8820" s="1" t="s">
        <v>3601</v>
      </c>
      <c r="E8820" s="1" t="s">
        <v>3664</v>
      </c>
      <c r="F8820" s="1" t="s">
        <v>29320</v>
      </c>
      <c r="G8820" s="1" t="s">
        <v>9218</v>
      </c>
      <c r="H8820" s="1" t="s">
        <v>3604</v>
      </c>
      <c r="I8820" s="1" t="s">
        <v>29321</v>
      </c>
      <c r="J8820" s="1" t="s">
        <v>3606</v>
      </c>
      <c r="K8820" s="1" t="s">
        <v>29322</v>
      </c>
      <c r="L8820" s="1"/>
      <c r="M8820" s="1"/>
    </row>
    <row x14ac:dyDescent="0.25" r="8821" customHeight="1" ht="18.75">
      <c r="A8821" s="1" t="s">
        <v>7833</v>
      </c>
      <c r="B8821" s="1" t="s">
        <v>9216</v>
      </c>
      <c r="C8821" s="1" t="s">
        <v>4488</v>
      </c>
      <c r="D8821" s="1" t="s">
        <v>3601</v>
      </c>
      <c r="E8821" s="1" t="s">
        <v>3981</v>
      </c>
      <c r="F8821" s="1" t="s">
        <v>29323</v>
      </c>
      <c r="G8821" s="1" t="s">
        <v>9218</v>
      </c>
      <c r="H8821" s="1" t="s">
        <v>3604</v>
      </c>
      <c r="I8821" s="1" t="s">
        <v>29324</v>
      </c>
      <c r="J8821" s="1" t="s">
        <v>3606</v>
      </c>
      <c r="K8821" s="1" t="s">
        <v>29325</v>
      </c>
      <c r="L8821" s="1"/>
      <c r="M8821" s="1"/>
    </row>
    <row x14ac:dyDescent="0.25" r="8822" customHeight="1" ht="18.75">
      <c r="A8822" s="1" t="s">
        <v>7833</v>
      </c>
      <c r="B8822" s="1" t="s">
        <v>9216</v>
      </c>
      <c r="C8822" s="1" t="s">
        <v>4488</v>
      </c>
      <c r="D8822" s="1" t="s">
        <v>3601</v>
      </c>
      <c r="E8822" s="1" t="s">
        <v>3752</v>
      </c>
      <c r="F8822" s="1" t="s">
        <v>29326</v>
      </c>
      <c r="G8822" s="1" t="s">
        <v>9218</v>
      </c>
      <c r="H8822" s="1" t="s">
        <v>3604</v>
      </c>
      <c r="I8822" s="1" t="s">
        <v>29327</v>
      </c>
      <c r="J8822" s="1" t="s">
        <v>3606</v>
      </c>
      <c r="K8822" s="1" t="s">
        <v>29328</v>
      </c>
      <c r="L8822" s="1"/>
      <c r="M8822" s="1"/>
    </row>
    <row x14ac:dyDescent="0.25" r="8823" customHeight="1" ht="18.75">
      <c r="A8823" s="1" t="s">
        <v>7833</v>
      </c>
      <c r="B8823" s="1" t="s">
        <v>9216</v>
      </c>
      <c r="C8823" s="1" t="s">
        <v>4488</v>
      </c>
      <c r="D8823" s="1" t="s">
        <v>3601</v>
      </c>
      <c r="E8823" s="1" t="s">
        <v>3752</v>
      </c>
      <c r="F8823" s="1" t="s">
        <v>29329</v>
      </c>
      <c r="G8823" s="1" t="s">
        <v>9218</v>
      </c>
      <c r="H8823" s="1" t="s">
        <v>3604</v>
      </c>
      <c r="I8823" s="1" t="s">
        <v>29330</v>
      </c>
      <c r="J8823" s="1" t="s">
        <v>3606</v>
      </c>
      <c r="K8823" s="1" t="s">
        <v>29331</v>
      </c>
      <c r="L8823" s="1"/>
      <c r="M8823" s="1"/>
    </row>
    <row x14ac:dyDescent="0.25" r="8824" customHeight="1" ht="18.75">
      <c r="A8824" s="1" t="s">
        <v>7833</v>
      </c>
      <c r="B8824" s="1" t="s">
        <v>9216</v>
      </c>
      <c r="C8824" s="1" t="s">
        <v>4488</v>
      </c>
      <c r="D8824" s="1" t="s">
        <v>3601</v>
      </c>
      <c r="E8824" s="1" t="s">
        <v>3752</v>
      </c>
      <c r="F8824" s="1" t="s">
        <v>29332</v>
      </c>
      <c r="G8824" s="1" t="s">
        <v>9218</v>
      </c>
      <c r="H8824" s="1" t="s">
        <v>3604</v>
      </c>
      <c r="I8824" s="1" t="s">
        <v>29333</v>
      </c>
      <c r="J8824" s="1" t="s">
        <v>3606</v>
      </c>
      <c r="K8824" s="1" t="s">
        <v>29334</v>
      </c>
      <c r="L8824" s="1"/>
      <c r="M8824" s="1"/>
    </row>
    <row x14ac:dyDescent="0.25" r="8825" customHeight="1" ht="18.75">
      <c r="A8825" s="1" t="s">
        <v>7833</v>
      </c>
      <c r="B8825" s="1" t="s">
        <v>9216</v>
      </c>
      <c r="C8825" s="1" t="s">
        <v>4488</v>
      </c>
      <c r="D8825" s="1" t="s">
        <v>3601</v>
      </c>
      <c r="E8825" s="1" t="s">
        <v>3981</v>
      </c>
      <c r="F8825" s="1" t="s">
        <v>29335</v>
      </c>
      <c r="G8825" s="1" t="s">
        <v>9218</v>
      </c>
      <c r="H8825" s="1" t="s">
        <v>3604</v>
      </c>
      <c r="I8825" s="1" t="s">
        <v>29336</v>
      </c>
      <c r="J8825" s="1" t="s">
        <v>3606</v>
      </c>
      <c r="K8825" s="1" t="s">
        <v>29337</v>
      </c>
      <c r="L8825" s="1"/>
      <c r="M8825" s="1"/>
    </row>
    <row x14ac:dyDescent="0.25" r="8826" customHeight="1" ht="18.75">
      <c r="A8826" s="1" t="s">
        <v>7833</v>
      </c>
      <c r="B8826" s="1" t="s">
        <v>9216</v>
      </c>
      <c r="C8826" s="1" t="s">
        <v>4488</v>
      </c>
      <c r="D8826" s="1" t="s">
        <v>3601</v>
      </c>
      <c r="E8826" s="1" t="s">
        <v>3981</v>
      </c>
      <c r="F8826" s="1" t="s">
        <v>29338</v>
      </c>
      <c r="G8826" s="1" t="s">
        <v>29339</v>
      </c>
      <c r="H8826" s="1" t="s">
        <v>3604</v>
      </c>
      <c r="I8826" s="1" t="s">
        <v>29340</v>
      </c>
      <c r="J8826" s="1" t="s">
        <v>3606</v>
      </c>
      <c r="K8826" s="1" t="s">
        <v>29341</v>
      </c>
      <c r="L8826" s="1"/>
      <c r="M8826" s="1"/>
    </row>
    <row x14ac:dyDescent="0.25" r="8827" customHeight="1" ht="18.75">
      <c r="A8827" s="1" t="s">
        <v>7833</v>
      </c>
      <c r="B8827" s="1" t="s">
        <v>9216</v>
      </c>
      <c r="C8827" s="1" t="s">
        <v>4488</v>
      </c>
      <c r="D8827" s="1" t="s">
        <v>3601</v>
      </c>
      <c r="E8827" s="1" t="s">
        <v>3981</v>
      </c>
      <c r="F8827" s="1" t="s">
        <v>29342</v>
      </c>
      <c r="G8827" s="1" t="s">
        <v>9218</v>
      </c>
      <c r="H8827" s="1" t="s">
        <v>3604</v>
      </c>
      <c r="I8827" s="1" t="s">
        <v>29343</v>
      </c>
      <c r="J8827" s="1" t="s">
        <v>3606</v>
      </c>
      <c r="K8827" s="1" t="s">
        <v>29344</v>
      </c>
      <c r="L8827" s="1"/>
      <c r="M8827" s="1"/>
    </row>
    <row x14ac:dyDescent="0.25" r="8828" customHeight="1" ht="18.75">
      <c r="A8828" s="1" t="s">
        <v>7833</v>
      </c>
      <c r="B8828" s="1" t="s">
        <v>9216</v>
      </c>
      <c r="C8828" s="1" t="s">
        <v>4488</v>
      </c>
      <c r="D8828" s="1" t="s">
        <v>3601</v>
      </c>
      <c r="E8828" s="1" t="s">
        <v>3981</v>
      </c>
      <c r="F8828" s="1" t="s">
        <v>29345</v>
      </c>
      <c r="G8828" s="1" t="s">
        <v>9218</v>
      </c>
      <c r="H8828" s="1" t="s">
        <v>3604</v>
      </c>
      <c r="I8828" s="1" t="s">
        <v>29346</v>
      </c>
      <c r="J8828" s="1" t="s">
        <v>3606</v>
      </c>
      <c r="K8828" s="1" t="s">
        <v>29347</v>
      </c>
      <c r="L8828" s="1"/>
      <c r="M8828" s="1"/>
    </row>
    <row x14ac:dyDescent="0.25" r="8829" customHeight="1" ht="18.75">
      <c r="A8829" s="1" t="s">
        <v>7833</v>
      </c>
      <c r="B8829" s="1" t="s">
        <v>9216</v>
      </c>
      <c r="C8829" s="1" t="s">
        <v>4488</v>
      </c>
      <c r="D8829" s="1" t="s">
        <v>3601</v>
      </c>
      <c r="E8829" s="1" t="s">
        <v>3664</v>
      </c>
      <c r="F8829" s="1" t="s">
        <v>29348</v>
      </c>
      <c r="G8829" s="1" t="s">
        <v>9218</v>
      </c>
      <c r="H8829" s="1" t="s">
        <v>3604</v>
      </c>
      <c r="I8829" s="1" t="s">
        <v>29349</v>
      </c>
      <c r="J8829" s="1" t="s">
        <v>3606</v>
      </c>
      <c r="K8829" s="1" t="s">
        <v>29350</v>
      </c>
      <c r="L8829" s="1"/>
      <c r="M8829" s="1"/>
    </row>
    <row x14ac:dyDescent="0.25" r="8830" customHeight="1" ht="18.75">
      <c r="A8830" s="1" t="s">
        <v>7833</v>
      </c>
      <c r="B8830" s="1" t="s">
        <v>9216</v>
      </c>
      <c r="C8830" s="1" t="s">
        <v>4488</v>
      </c>
      <c r="D8830" s="1" t="s">
        <v>3601</v>
      </c>
      <c r="E8830" s="1" t="s">
        <v>3664</v>
      </c>
      <c r="F8830" s="1" t="s">
        <v>29351</v>
      </c>
      <c r="G8830" s="1" t="s">
        <v>9218</v>
      </c>
      <c r="H8830" s="1" t="s">
        <v>3604</v>
      </c>
      <c r="I8830" s="1" t="s">
        <v>29352</v>
      </c>
      <c r="J8830" s="1" t="s">
        <v>3606</v>
      </c>
      <c r="K8830" s="1" t="s">
        <v>29353</v>
      </c>
      <c r="L8830" s="1"/>
      <c r="M8830" s="1"/>
    </row>
    <row x14ac:dyDescent="0.25" r="8831" customHeight="1" ht="18.75">
      <c r="A8831" s="1" t="s">
        <v>7833</v>
      </c>
      <c r="B8831" s="1" t="s">
        <v>9216</v>
      </c>
      <c r="C8831" s="1" t="s">
        <v>4488</v>
      </c>
      <c r="D8831" s="1" t="s">
        <v>3601</v>
      </c>
      <c r="E8831" s="1" t="s">
        <v>3664</v>
      </c>
      <c r="F8831" s="1" t="s">
        <v>29354</v>
      </c>
      <c r="G8831" s="1" t="s">
        <v>15516</v>
      </c>
      <c r="H8831" s="1" t="s">
        <v>3604</v>
      </c>
      <c r="I8831" s="1" t="s">
        <v>29355</v>
      </c>
      <c r="J8831" s="1" t="s">
        <v>3606</v>
      </c>
      <c r="K8831" s="1" t="s">
        <v>29356</v>
      </c>
      <c r="L8831" s="1"/>
      <c r="M8831" s="1"/>
    </row>
    <row x14ac:dyDescent="0.25" r="8832" customHeight="1" ht="18.75">
      <c r="A8832" s="1" t="s">
        <v>7833</v>
      </c>
      <c r="B8832" s="1" t="s">
        <v>9216</v>
      </c>
      <c r="C8832" s="1" t="s">
        <v>4488</v>
      </c>
      <c r="D8832" s="1" t="s">
        <v>3601</v>
      </c>
      <c r="E8832" s="1" t="s">
        <v>3664</v>
      </c>
      <c r="F8832" s="1" t="s">
        <v>29357</v>
      </c>
      <c r="G8832" s="1" t="s">
        <v>29358</v>
      </c>
      <c r="H8832" s="1" t="s">
        <v>3604</v>
      </c>
      <c r="I8832" s="1" t="s">
        <v>29359</v>
      </c>
      <c r="J8832" s="1" t="s">
        <v>3606</v>
      </c>
      <c r="K8832" s="1" t="s">
        <v>29360</v>
      </c>
      <c r="L8832" s="1"/>
      <c r="M8832" s="1"/>
    </row>
    <row x14ac:dyDescent="0.25" r="8833" customHeight="1" ht="18.75">
      <c r="A8833" s="1" t="s">
        <v>7833</v>
      </c>
      <c r="B8833" s="1" t="s">
        <v>9216</v>
      </c>
      <c r="C8833" s="1" t="s">
        <v>4488</v>
      </c>
      <c r="D8833" s="1" t="s">
        <v>3601</v>
      </c>
      <c r="E8833" s="1" t="s">
        <v>3664</v>
      </c>
      <c r="F8833" s="1" t="s">
        <v>29361</v>
      </c>
      <c r="G8833" s="1" t="s">
        <v>15198</v>
      </c>
      <c r="H8833" s="1" t="s">
        <v>3604</v>
      </c>
      <c r="I8833" s="1" t="s">
        <v>29362</v>
      </c>
      <c r="J8833" s="1" t="s">
        <v>3606</v>
      </c>
      <c r="K8833" s="1" t="s">
        <v>29363</v>
      </c>
      <c r="L8833" s="1"/>
      <c r="M8833" s="1"/>
    </row>
    <row x14ac:dyDescent="0.25" r="8834" customHeight="1" ht="18.75">
      <c r="A8834" s="1" t="s">
        <v>3598</v>
      </c>
      <c r="B8834" s="1" t="s">
        <v>4689</v>
      </c>
      <c r="C8834" s="1" t="s">
        <v>3600</v>
      </c>
      <c r="D8834" s="1" t="s">
        <v>28428</v>
      </c>
      <c r="E8834" s="1" t="s">
        <v>3664</v>
      </c>
      <c r="F8834" s="1" t="s">
        <v>29364</v>
      </c>
      <c r="G8834" s="1" t="s">
        <v>16131</v>
      </c>
      <c r="H8834" s="1" t="s">
        <v>3604</v>
      </c>
      <c r="I8834" s="1" t="s">
        <v>29365</v>
      </c>
      <c r="J8834" s="1" t="s">
        <v>3615</v>
      </c>
      <c r="K8834" s="1" t="s">
        <v>29366</v>
      </c>
      <c r="L8834" s="1"/>
      <c r="M8834" s="1"/>
    </row>
    <row x14ac:dyDescent="0.25" r="8835" customHeight="1" ht="18.75">
      <c r="A8835" s="1" t="s">
        <v>7833</v>
      </c>
      <c r="B8835" s="1" t="s">
        <v>9216</v>
      </c>
      <c r="C8835" s="1" t="s">
        <v>4488</v>
      </c>
      <c r="D8835" s="1" t="s">
        <v>3601</v>
      </c>
      <c r="E8835" s="1" t="s">
        <v>3664</v>
      </c>
      <c r="F8835" s="1" t="s">
        <v>29367</v>
      </c>
      <c r="G8835" s="1" t="s">
        <v>29368</v>
      </c>
      <c r="H8835" s="1" t="s">
        <v>3604</v>
      </c>
      <c r="I8835" s="1" t="s">
        <v>29369</v>
      </c>
      <c r="J8835" s="1" t="s">
        <v>3606</v>
      </c>
      <c r="K8835" s="1" t="s">
        <v>29370</v>
      </c>
      <c r="L8835" s="1"/>
      <c r="M8835" s="1"/>
    </row>
    <row x14ac:dyDescent="0.25" r="8836" customHeight="1" ht="18.75">
      <c r="A8836" s="1" t="s">
        <v>7833</v>
      </c>
      <c r="B8836" s="1" t="s">
        <v>9216</v>
      </c>
      <c r="C8836" s="1" t="s">
        <v>4488</v>
      </c>
      <c r="D8836" s="1" t="s">
        <v>3601</v>
      </c>
      <c r="E8836" s="1" t="s">
        <v>3664</v>
      </c>
      <c r="F8836" s="1" t="s">
        <v>29371</v>
      </c>
      <c r="G8836" s="1" t="s">
        <v>29372</v>
      </c>
      <c r="H8836" s="1" t="s">
        <v>3604</v>
      </c>
      <c r="I8836" s="1" t="s">
        <v>29373</v>
      </c>
      <c r="J8836" s="1" t="s">
        <v>3606</v>
      </c>
      <c r="K8836" s="1" t="s">
        <v>29374</v>
      </c>
      <c r="L8836" s="1"/>
      <c r="M8836" s="1"/>
    </row>
    <row x14ac:dyDescent="0.25" r="8837" customHeight="1" ht="18.75">
      <c r="A8837" s="1" t="s">
        <v>3598</v>
      </c>
      <c r="B8837" s="1" t="s">
        <v>4689</v>
      </c>
      <c r="C8837" s="1" t="s">
        <v>3600</v>
      </c>
      <c r="D8837" s="1" t="s">
        <v>28428</v>
      </c>
      <c r="E8837" s="1" t="s">
        <v>3664</v>
      </c>
      <c r="F8837" s="1" t="s">
        <v>29375</v>
      </c>
      <c r="G8837" s="1" t="s">
        <v>21421</v>
      </c>
      <c r="H8837" s="1" t="s">
        <v>3604</v>
      </c>
      <c r="I8837" s="1" t="s">
        <v>29376</v>
      </c>
      <c r="J8837" s="1" t="s">
        <v>3615</v>
      </c>
      <c r="K8837" s="1" t="s">
        <v>29377</v>
      </c>
      <c r="L8837" s="1"/>
      <c r="M8837" s="1"/>
    </row>
    <row x14ac:dyDescent="0.25" r="8838" customHeight="1" ht="18.75">
      <c r="A8838" s="1" t="s">
        <v>7833</v>
      </c>
      <c r="B8838" s="1" t="s">
        <v>9216</v>
      </c>
      <c r="C8838" s="1" t="s">
        <v>4488</v>
      </c>
      <c r="D8838" s="1" t="s">
        <v>3601</v>
      </c>
      <c r="E8838" s="1" t="s">
        <v>3664</v>
      </c>
      <c r="F8838" s="1" t="s">
        <v>29378</v>
      </c>
      <c r="G8838" s="1" t="s">
        <v>29379</v>
      </c>
      <c r="H8838" s="1" t="s">
        <v>3604</v>
      </c>
      <c r="I8838" s="1" t="s">
        <v>29380</v>
      </c>
      <c r="J8838" s="1" t="s">
        <v>3606</v>
      </c>
      <c r="K8838" s="1" t="s">
        <v>29381</v>
      </c>
      <c r="L8838" s="1"/>
      <c r="M8838" s="1"/>
    </row>
    <row x14ac:dyDescent="0.25" r="8839" customHeight="1" ht="18.75">
      <c r="A8839" s="1" t="s">
        <v>7833</v>
      </c>
      <c r="B8839" s="1" t="s">
        <v>9216</v>
      </c>
      <c r="C8839" s="1" t="s">
        <v>4488</v>
      </c>
      <c r="D8839" s="1" t="s">
        <v>3601</v>
      </c>
      <c r="E8839" s="1" t="s">
        <v>3664</v>
      </c>
      <c r="F8839" s="1" t="s">
        <v>29382</v>
      </c>
      <c r="G8839" s="1" t="s">
        <v>29383</v>
      </c>
      <c r="H8839" s="1" t="s">
        <v>3604</v>
      </c>
      <c r="I8839" s="1" t="s">
        <v>29384</v>
      </c>
      <c r="J8839" s="1" t="s">
        <v>3606</v>
      </c>
      <c r="K8839" s="1" t="s">
        <v>29385</v>
      </c>
      <c r="L8839" s="1"/>
      <c r="M8839" s="1"/>
    </row>
    <row x14ac:dyDescent="0.25" r="8840" customHeight="1" ht="18.75">
      <c r="A8840" s="1" t="s">
        <v>3598</v>
      </c>
      <c r="B8840" s="1" t="s">
        <v>4689</v>
      </c>
      <c r="C8840" s="1" t="s">
        <v>3600</v>
      </c>
      <c r="D8840" s="1" t="s">
        <v>28428</v>
      </c>
      <c r="E8840" s="1" t="s">
        <v>3893</v>
      </c>
      <c r="F8840" s="1" t="s">
        <v>29386</v>
      </c>
      <c r="G8840" s="1" t="s">
        <v>28666</v>
      </c>
      <c r="H8840" s="1" t="s">
        <v>3604</v>
      </c>
      <c r="I8840" s="1" t="s">
        <v>29387</v>
      </c>
      <c r="J8840" s="1" t="s">
        <v>3615</v>
      </c>
      <c r="K8840" s="1" t="s">
        <v>29388</v>
      </c>
      <c r="L8840" s="1"/>
      <c r="M8840" s="1"/>
    </row>
    <row x14ac:dyDescent="0.25" r="8841" customHeight="1" ht="18.75">
      <c r="A8841" s="1" t="s">
        <v>7833</v>
      </c>
      <c r="B8841" s="1" t="s">
        <v>9216</v>
      </c>
      <c r="C8841" s="1" t="s">
        <v>4488</v>
      </c>
      <c r="D8841" s="1" t="s">
        <v>3601</v>
      </c>
      <c r="E8841" s="1" t="s">
        <v>3664</v>
      </c>
      <c r="F8841" s="1" t="s">
        <v>29389</v>
      </c>
      <c r="G8841" s="1" t="s">
        <v>15516</v>
      </c>
      <c r="H8841" s="1" t="s">
        <v>3604</v>
      </c>
      <c r="I8841" s="1" t="s">
        <v>29390</v>
      </c>
      <c r="J8841" s="1" t="s">
        <v>3606</v>
      </c>
      <c r="K8841" s="1" t="s">
        <v>29391</v>
      </c>
      <c r="L8841" s="1"/>
      <c r="M8841" s="1"/>
    </row>
    <row x14ac:dyDescent="0.25" r="8842" customHeight="1" ht="18.75">
      <c r="A8842" s="1" t="s">
        <v>7833</v>
      </c>
      <c r="B8842" s="1" t="s">
        <v>9216</v>
      </c>
      <c r="C8842" s="1" t="s">
        <v>4488</v>
      </c>
      <c r="D8842" s="1" t="s">
        <v>3601</v>
      </c>
      <c r="E8842" s="1" t="s">
        <v>3664</v>
      </c>
      <c r="F8842" s="1" t="s">
        <v>29392</v>
      </c>
      <c r="G8842" s="1" t="s">
        <v>29358</v>
      </c>
      <c r="H8842" s="1" t="s">
        <v>3604</v>
      </c>
      <c r="I8842" s="1" t="s">
        <v>29393</v>
      </c>
      <c r="J8842" s="1" t="s">
        <v>3606</v>
      </c>
      <c r="K8842" s="1" t="s">
        <v>29394</v>
      </c>
      <c r="L8842" s="1"/>
      <c r="M8842" s="1"/>
    </row>
    <row x14ac:dyDescent="0.25" r="8843" customHeight="1" ht="18.75">
      <c r="A8843" s="1" t="s">
        <v>3598</v>
      </c>
      <c r="B8843" s="1" t="s">
        <v>4689</v>
      </c>
      <c r="C8843" s="1" t="s">
        <v>3600</v>
      </c>
      <c r="D8843" s="1" t="s">
        <v>28428</v>
      </c>
      <c r="E8843" s="1" t="s">
        <v>3893</v>
      </c>
      <c r="F8843" s="1" t="s">
        <v>29395</v>
      </c>
      <c r="G8843" s="1" t="s">
        <v>6452</v>
      </c>
      <c r="H8843" s="1" t="s">
        <v>3604</v>
      </c>
      <c r="I8843" s="1" t="s">
        <v>29396</v>
      </c>
      <c r="J8843" s="1" t="s">
        <v>3615</v>
      </c>
      <c r="K8843" s="1" t="s">
        <v>29397</v>
      </c>
      <c r="L8843" s="1"/>
      <c r="M8843" s="1"/>
    </row>
    <row x14ac:dyDescent="0.25" r="8844" customHeight="1" ht="18.75">
      <c r="A8844" s="1" t="s">
        <v>7833</v>
      </c>
      <c r="B8844" s="1" t="s">
        <v>9216</v>
      </c>
      <c r="C8844" s="1" t="s">
        <v>4488</v>
      </c>
      <c r="D8844" s="1" t="s">
        <v>3601</v>
      </c>
      <c r="E8844" s="1" t="s">
        <v>3981</v>
      </c>
      <c r="F8844" s="1" t="s">
        <v>29398</v>
      </c>
      <c r="G8844" s="1" t="s">
        <v>29399</v>
      </c>
      <c r="H8844" s="1" t="s">
        <v>3604</v>
      </c>
      <c r="I8844" s="1" t="s">
        <v>29400</v>
      </c>
      <c r="J8844" s="1" t="s">
        <v>3606</v>
      </c>
      <c r="K8844" s="1" t="s">
        <v>29401</v>
      </c>
      <c r="L8844" s="1"/>
      <c r="M8844" s="1"/>
    </row>
    <row x14ac:dyDescent="0.25" r="8845" customHeight="1" ht="18.75">
      <c r="A8845" s="1" t="s">
        <v>7833</v>
      </c>
      <c r="B8845" s="1" t="s">
        <v>9216</v>
      </c>
      <c r="C8845" s="1" t="s">
        <v>4488</v>
      </c>
      <c r="D8845" s="1" t="s">
        <v>3601</v>
      </c>
      <c r="E8845" s="1" t="s">
        <v>3981</v>
      </c>
      <c r="F8845" s="1" t="s">
        <v>29402</v>
      </c>
      <c r="G8845" s="1" t="s">
        <v>29403</v>
      </c>
      <c r="H8845" s="1" t="s">
        <v>3604</v>
      </c>
      <c r="I8845" s="1" t="s">
        <v>29404</v>
      </c>
      <c r="J8845" s="1" t="s">
        <v>3606</v>
      </c>
      <c r="K8845" s="1" t="s">
        <v>29405</v>
      </c>
      <c r="L8845" s="1"/>
      <c r="M8845" s="1"/>
    </row>
    <row x14ac:dyDescent="0.25" r="8846" customHeight="1" ht="18.75">
      <c r="A8846" s="1" t="s">
        <v>3598</v>
      </c>
      <c r="B8846" s="1" t="s">
        <v>4689</v>
      </c>
      <c r="C8846" s="1" t="s">
        <v>3600</v>
      </c>
      <c r="D8846" s="1" t="s">
        <v>28428</v>
      </c>
      <c r="E8846" s="1" t="s">
        <v>3893</v>
      </c>
      <c r="F8846" s="1" t="s">
        <v>29406</v>
      </c>
      <c r="G8846" s="1" t="s">
        <v>29407</v>
      </c>
      <c r="H8846" s="1" t="s">
        <v>3604</v>
      </c>
      <c r="I8846" s="1" t="s">
        <v>29408</v>
      </c>
      <c r="J8846" s="1" t="s">
        <v>3615</v>
      </c>
      <c r="K8846" s="1" t="s">
        <v>29409</v>
      </c>
      <c r="L8846" s="1"/>
      <c r="M8846" s="1"/>
    </row>
    <row x14ac:dyDescent="0.25" r="8847" customHeight="1" ht="18.75">
      <c r="A8847" s="1" t="s">
        <v>7833</v>
      </c>
      <c r="B8847" s="1" t="s">
        <v>9216</v>
      </c>
      <c r="C8847" s="1" t="s">
        <v>4488</v>
      </c>
      <c r="D8847" s="1" t="s">
        <v>3601</v>
      </c>
      <c r="E8847" s="1" t="s">
        <v>3981</v>
      </c>
      <c r="F8847" s="1" t="s">
        <v>29410</v>
      </c>
      <c r="G8847" s="1" t="s">
        <v>29339</v>
      </c>
      <c r="H8847" s="1" t="s">
        <v>3604</v>
      </c>
      <c r="I8847" s="1" t="s">
        <v>29411</v>
      </c>
      <c r="J8847" s="1" t="s">
        <v>3606</v>
      </c>
      <c r="K8847" s="1" t="s">
        <v>29412</v>
      </c>
      <c r="L8847" s="1"/>
      <c r="M8847" s="1"/>
    </row>
    <row x14ac:dyDescent="0.25" r="8848" customHeight="1" ht="18.75">
      <c r="A8848" s="1" t="s">
        <v>3598</v>
      </c>
      <c r="B8848" s="1" t="s">
        <v>5260</v>
      </c>
      <c r="C8848" s="1" t="s">
        <v>3600</v>
      </c>
      <c r="D8848" s="1" t="s">
        <v>28428</v>
      </c>
      <c r="E8848" s="1" t="s">
        <v>3664</v>
      </c>
      <c r="F8848" s="1" t="s">
        <v>29413</v>
      </c>
      <c r="G8848" s="1" t="s">
        <v>21212</v>
      </c>
      <c r="H8848" s="1" t="s">
        <v>3604</v>
      </c>
      <c r="I8848" s="1" t="s">
        <v>29414</v>
      </c>
      <c r="J8848" s="1" t="s">
        <v>3615</v>
      </c>
      <c r="K8848" s="1" t="s">
        <v>29415</v>
      </c>
      <c r="L8848" s="1"/>
      <c r="M8848" s="1"/>
    </row>
    <row x14ac:dyDescent="0.25" r="8849" customHeight="1" ht="18.75">
      <c r="A8849" s="1" t="s">
        <v>7833</v>
      </c>
      <c r="B8849" s="1" t="s">
        <v>9216</v>
      </c>
      <c r="C8849" s="1" t="s">
        <v>4488</v>
      </c>
      <c r="D8849" s="1" t="s">
        <v>3601</v>
      </c>
      <c r="E8849" s="1" t="s">
        <v>3981</v>
      </c>
      <c r="F8849" s="1" t="s">
        <v>29416</v>
      </c>
      <c r="G8849" s="1" t="s">
        <v>29417</v>
      </c>
      <c r="H8849" s="1" t="s">
        <v>3604</v>
      </c>
      <c r="I8849" s="1" t="s">
        <v>29418</v>
      </c>
      <c r="J8849" s="1" t="s">
        <v>3606</v>
      </c>
      <c r="K8849" s="1" t="s">
        <v>29419</v>
      </c>
      <c r="L8849" s="1"/>
      <c r="M8849" s="1"/>
    </row>
    <row x14ac:dyDescent="0.25" r="8850" customHeight="1" ht="18.75">
      <c r="A8850" s="1" t="s">
        <v>7833</v>
      </c>
      <c r="B8850" s="1" t="s">
        <v>9216</v>
      </c>
      <c r="C8850" s="1" t="s">
        <v>4488</v>
      </c>
      <c r="D8850" s="1" t="s">
        <v>3601</v>
      </c>
      <c r="E8850" s="1" t="s">
        <v>3981</v>
      </c>
      <c r="F8850" s="1" t="s">
        <v>29420</v>
      </c>
      <c r="G8850" s="1" t="s">
        <v>29421</v>
      </c>
      <c r="H8850" s="1" t="s">
        <v>3604</v>
      </c>
      <c r="I8850" s="1" t="s">
        <v>29422</v>
      </c>
      <c r="J8850" s="1" t="s">
        <v>3606</v>
      </c>
      <c r="K8850" s="1" t="s">
        <v>29423</v>
      </c>
      <c r="L8850" s="1"/>
      <c r="M8850" s="1"/>
    </row>
    <row x14ac:dyDescent="0.25" r="8851" customHeight="1" ht="18.75">
      <c r="A8851" s="1" t="s">
        <v>3598</v>
      </c>
      <c r="B8851" s="1" t="s">
        <v>5260</v>
      </c>
      <c r="C8851" s="1" t="s">
        <v>3600</v>
      </c>
      <c r="D8851" s="1" t="s">
        <v>28428</v>
      </c>
      <c r="E8851" s="1" t="s">
        <v>3664</v>
      </c>
      <c r="F8851" s="1" t="s">
        <v>29424</v>
      </c>
      <c r="G8851" s="1" t="s">
        <v>16616</v>
      </c>
      <c r="H8851" s="1" t="s">
        <v>3604</v>
      </c>
      <c r="I8851" s="1" t="s">
        <v>29425</v>
      </c>
      <c r="J8851" s="1" t="s">
        <v>3615</v>
      </c>
      <c r="K8851" s="1" t="s">
        <v>29426</v>
      </c>
      <c r="L8851" s="1"/>
      <c r="M8851" s="1"/>
    </row>
    <row x14ac:dyDescent="0.25" r="8852" customHeight="1" ht="18.75">
      <c r="A8852" s="1" t="s">
        <v>7833</v>
      </c>
      <c r="B8852" s="1" t="s">
        <v>9216</v>
      </c>
      <c r="C8852" s="1" t="s">
        <v>4488</v>
      </c>
      <c r="D8852" s="1" t="s">
        <v>3601</v>
      </c>
      <c r="E8852" s="1" t="s">
        <v>3752</v>
      </c>
      <c r="F8852" s="1" t="s">
        <v>29427</v>
      </c>
      <c r="G8852" s="1" t="s">
        <v>29428</v>
      </c>
      <c r="H8852" s="1" t="s">
        <v>3604</v>
      </c>
      <c r="I8852" s="1" t="s">
        <v>29429</v>
      </c>
      <c r="J8852" s="1" t="s">
        <v>3606</v>
      </c>
      <c r="K8852" s="1" t="s">
        <v>29430</v>
      </c>
      <c r="L8852" s="1"/>
      <c r="M8852" s="1"/>
    </row>
    <row x14ac:dyDescent="0.25" r="8853" customHeight="1" ht="18.75">
      <c r="A8853" s="1" t="s">
        <v>7833</v>
      </c>
      <c r="B8853" s="1" t="s">
        <v>9216</v>
      </c>
      <c r="C8853" s="1" t="s">
        <v>4488</v>
      </c>
      <c r="D8853" s="1" t="s">
        <v>3601</v>
      </c>
      <c r="E8853" s="1" t="s">
        <v>3752</v>
      </c>
      <c r="F8853" s="1" t="s">
        <v>29431</v>
      </c>
      <c r="G8853" s="1" t="s">
        <v>29432</v>
      </c>
      <c r="H8853" s="1" t="s">
        <v>3604</v>
      </c>
      <c r="I8853" s="1" t="s">
        <v>29433</v>
      </c>
      <c r="J8853" s="1" t="s">
        <v>3606</v>
      </c>
      <c r="K8853" s="1" t="s">
        <v>29434</v>
      </c>
      <c r="L8853" s="1"/>
      <c r="M8853" s="1"/>
    </row>
    <row x14ac:dyDescent="0.25" r="8854" customHeight="1" ht="18.75">
      <c r="A8854" s="1" t="s">
        <v>3598</v>
      </c>
      <c r="B8854" s="1" t="s">
        <v>5260</v>
      </c>
      <c r="C8854" s="1" t="s">
        <v>3600</v>
      </c>
      <c r="D8854" s="1" t="s">
        <v>28428</v>
      </c>
      <c r="E8854" s="1" t="s">
        <v>3893</v>
      </c>
      <c r="F8854" s="1" t="s">
        <v>29435</v>
      </c>
      <c r="G8854" s="1" t="s">
        <v>8648</v>
      </c>
      <c r="H8854" s="1" t="s">
        <v>3604</v>
      </c>
      <c r="I8854" s="1" t="s">
        <v>29436</v>
      </c>
      <c r="J8854" s="1" t="s">
        <v>3615</v>
      </c>
      <c r="K8854" s="1" t="s">
        <v>29437</v>
      </c>
      <c r="L8854" s="1"/>
      <c r="M8854" s="1"/>
    </row>
    <row x14ac:dyDescent="0.25" r="8855" customHeight="1" ht="18.75">
      <c r="A8855" s="1" t="s">
        <v>7833</v>
      </c>
      <c r="B8855" s="1" t="s">
        <v>9216</v>
      </c>
      <c r="C8855" s="1" t="s">
        <v>4488</v>
      </c>
      <c r="D8855" s="1" t="s">
        <v>3601</v>
      </c>
      <c r="E8855" s="1" t="s">
        <v>3752</v>
      </c>
      <c r="F8855" s="1" t="s">
        <v>29438</v>
      </c>
      <c r="G8855" s="1" t="s">
        <v>29439</v>
      </c>
      <c r="H8855" s="1" t="s">
        <v>3604</v>
      </c>
      <c r="I8855" s="1" t="s">
        <v>29440</v>
      </c>
      <c r="J8855" s="1" t="s">
        <v>3606</v>
      </c>
      <c r="K8855" s="1" t="s">
        <v>29441</v>
      </c>
      <c r="L8855" s="1"/>
      <c r="M8855" s="1"/>
    </row>
    <row x14ac:dyDescent="0.25" r="8856" customHeight="1" ht="18.75">
      <c r="A8856" s="1" t="s">
        <v>7833</v>
      </c>
      <c r="B8856" s="1" t="s">
        <v>9216</v>
      </c>
      <c r="C8856" s="1" t="s">
        <v>4488</v>
      </c>
      <c r="D8856" s="1" t="s">
        <v>3601</v>
      </c>
      <c r="E8856" s="1" t="s">
        <v>3981</v>
      </c>
      <c r="F8856" s="1" t="s">
        <v>29442</v>
      </c>
      <c r="G8856" s="1" t="s">
        <v>29443</v>
      </c>
      <c r="H8856" s="1" t="s">
        <v>3604</v>
      </c>
      <c r="I8856" s="1" t="s">
        <v>29444</v>
      </c>
      <c r="J8856" s="1" t="s">
        <v>3606</v>
      </c>
      <c r="K8856" s="1" t="s">
        <v>29445</v>
      </c>
      <c r="L8856" s="1"/>
      <c r="M8856" s="1"/>
    </row>
    <row x14ac:dyDescent="0.25" r="8857" customHeight="1" ht="18.75">
      <c r="A8857" s="1" t="s">
        <v>3598</v>
      </c>
      <c r="B8857" s="1" t="s">
        <v>5260</v>
      </c>
      <c r="C8857" s="1" t="s">
        <v>3600</v>
      </c>
      <c r="D8857" s="1" t="s">
        <v>28428</v>
      </c>
      <c r="E8857" s="1" t="s">
        <v>3893</v>
      </c>
      <c r="F8857" s="1" t="s">
        <v>29446</v>
      </c>
      <c r="G8857" s="1" t="s">
        <v>8643</v>
      </c>
      <c r="H8857" s="1" t="s">
        <v>3604</v>
      </c>
      <c r="I8857" s="1" t="s">
        <v>29447</v>
      </c>
      <c r="J8857" s="1" t="s">
        <v>3615</v>
      </c>
      <c r="K8857" s="1" t="s">
        <v>29448</v>
      </c>
      <c r="L8857" s="1"/>
      <c r="M8857" s="1"/>
    </row>
    <row x14ac:dyDescent="0.25" r="8858" customHeight="1" ht="18.75">
      <c r="A8858" s="1" t="s">
        <v>7833</v>
      </c>
      <c r="B8858" s="1" t="s">
        <v>9216</v>
      </c>
      <c r="C8858" s="1" t="s">
        <v>4488</v>
      </c>
      <c r="D8858" s="1" t="s">
        <v>3601</v>
      </c>
      <c r="E8858" s="1" t="s">
        <v>3664</v>
      </c>
      <c r="F8858" s="1" t="s">
        <v>29449</v>
      </c>
      <c r="G8858" s="1" t="s">
        <v>29450</v>
      </c>
      <c r="H8858" s="1" t="s">
        <v>3604</v>
      </c>
      <c r="I8858" s="1" t="s">
        <v>29451</v>
      </c>
      <c r="J8858" s="1" t="s">
        <v>3606</v>
      </c>
      <c r="K8858" s="1" t="s">
        <v>29452</v>
      </c>
      <c r="L8858" s="1"/>
      <c r="M8858" s="1"/>
    </row>
    <row x14ac:dyDescent="0.25" r="8859" customHeight="1" ht="18.75">
      <c r="A8859" s="1" t="s">
        <v>7833</v>
      </c>
      <c r="B8859" s="1" t="s">
        <v>9216</v>
      </c>
      <c r="C8859" s="1" t="s">
        <v>4488</v>
      </c>
      <c r="D8859" s="1" t="s">
        <v>3601</v>
      </c>
      <c r="E8859" s="1" t="s">
        <v>3664</v>
      </c>
      <c r="F8859" s="1" t="s">
        <v>29453</v>
      </c>
      <c r="G8859" s="1" t="s">
        <v>29450</v>
      </c>
      <c r="H8859" s="1" t="s">
        <v>3604</v>
      </c>
      <c r="I8859" s="1" t="s">
        <v>29454</v>
      </c>
      <c r="J8859" s="1" t="s">
        <v>3606</v>
      </c>
      <c r="K8859" s="1" t="s">
        <v>29455</v>
      </c>
      <c r="L8859" s="1"/>
      <c r="M8859" s="1"/>
    </row>
    <row x14ac:dyDescent="0.25" r="8860" customHeight="1" ht="18.75">
      <c r="A8860" s="1" t="s">
        <v>3598</v>
      </c>
      <c r="B8860" s="1" t="s">
        <v>9273</v>
      </c>
      <c r="C8860" s="1" t="s">
        <v>3600</v>
      </c>
      <c r="D8860" s="1" t="s">
        <v>28428</v>
      </c>
      <c r="E8860" s="1" t="s">
        <v>3664</v>
      </c>
      <c r="F8860" s="1" t="s">
        <v>29456</v>
      </c>
      <c r="G8860" s="1" t="s">
        <v>21134</v>
      </c>
      <c r="H8860" s="1" t="s">
        <v>3604</v>
      </c>
      <c r="I8860" s="1" t="s">
        <v>29457</v>
      </c>
      <c r="J8860" s="1" t="s">
        <v>3615</v>
      </c>
      <c r="K8860" s="1" t="s">
        <v>29458</v>
      </c>
      <c r="L8860" s="1"/>
      <c r="M8860" s="1"/>
    </row>
    <row x14ac:dyDescent="0.25" r="8861" customHeight="1" ht="18.75">
      <c r="A8861" s="1" t="s">
        <v>7833</v>
      </c>
      <c r="B8861" s="1" t="s">
        <v>9216</v>
      </c>
      <c r="C8861" s="1" t="s">
        <v>4488</v>
      </c>
      <c r="D8861" s="1" t="s">
        <v>3601</v>
      </c>
      <c r="E8861" s="1" t="s">
        <v>3981</v>
      </c>
      <c r="F8861" s="1" t="s">
        <v>29459</v>
      </c>
      <c r="G8861" s="1" t="s">
        <v>29460</v>
      </c>
      <c r="H8861" s="1" t="s">
        <v>3604</v>
      </c>
      <c r="I8861" s="1" t="s">
        <v>29461</v>
      </c>
      <c r="J8861" s="1" t="s">
        <v>3606</v>
      </c>
      <c r="K8861" s="1" t="s">
        <v>29462</v>
      </c>
      <c r="L8861" s="1"/>
      <c r="M8861" s="1"/>
    </row>
    <row x14ac:dyDescent="0.25" r="8862" customHeight="1" ht="18.75">
      <c r="A8862" s="1" t="s">
        <v>7833</v>
      </c>
      <c r="B8862" s="1" t="s">
        <v>9216</v>
      </c>
      <c r="C8862" s="1" t="s">
        <v>4488</v>
      </c>
      <c r="D8862" s="1" t="s">
        <v>3601</v>
      </c>
      <c r="E8862" s="1" t="s">
        <v>3752</v>
      </c>
      <c r="F8862" s="1" t="s">
        <v>29463</v>
      </c>
      <c r="G8862" s="1" t="s">
        <v>29464</v>
      </c>
      <c r="H8862" s="1" t="s">
        <v>3604</v>
      </c>
      <c r="I8862" s="1" t="s">
        <v>29465</v>
      </c>
      <c r="J8862" s="1" t="s">
        <v>3606</v>
      </c>
      <c r="K8862" s="1" t="s">
        <v>29466</v>
      </c>
      <c r="L8862" s="1"/>
      <c r="M8862" s="1"/>
    </row>
    <row x14ac:dyDescent="0.25" r="8863" customHeight="1" ht="18.75">
      <c r="A8863" s="1" t="s">
        <v>3598</v>
      </c>
      <c r="B8863" s="1" t="s">
        <v>6732</v>
      </c>
      <c r="C8863" s="1" t="s">
        <v>3600</v>
      </c>
      <c r="D8863" s="1" t="s">
        <v>28428</v>
      </c>
      <c r="E8863" s="1" t="s">
        <v>3664</v>
      </c>
      <c r="F8863" s="1" t="s">
        <v>29467</v>
      </c>
      <c r="G8863" s="1" t="s">
        <v>8658</v>
      </c>
      <c r="H8863" s="1" t="s">
        <v>3604</v>
      </c>
      <c r="I8863" s="1" t="s">
        <v>29468</v>
      </c>
      <c r="J8863" s="1" t="s">
        <v>3615</v>
      </c>
      <c r="K8863" s="1" t="s">
        <v>29469</v>
      </c>
      <c r="L8863" s="1"/>
      <c r="M8863" s="1"/>
    </row>
    <row x14ac:dyDescent="0.25" r="8864" customHeight="1" ht="18.75">
      <c r="A8864" s="1" t="s">
        <v>3598</v>
      </c>
      <c r="B8864" s="1" t="s">
        <v>17258</v>
      </c>
      <c r="C8864" s="1" t="s">
        <v>3600</v>
      </c>
      <c r="D8864" s="1" t="s">
        <v>28428</v>
      </c>
      <c r="E8864" s="1" t="s">
        <v>3664</v>
      </c>
      <c r="F8864" s="1" t="s">
        <v>29470</v>
      </c>
      <c r="G8864" s="1" t="s">
        <v>16616</v>
      </c>
      <c r="H8864" s="1" t="s">
        <v>3604</v>
      </c>
      <c r="I8864" s="1" t="s">
        <v>29471</v>
      </c>
      <c r="J8864" s="1" t="s">
        <v>3615</v>
      </c>
      <c r="K8864" s="1" t="s">
        <v>29472</v>
      </c>
      <c r="L8864" s="1"/>
      <c r="M8864" s="1"/>
    </row>
    <row x14ac:dyDescent="0.25" r="8865" customHeight="1" ht="18.75">
      <c r="A8865" s="1" t="s">
        <v>3598</v>
      </c>
      <c r="B8865" s="1" t="s">
        <v>17258</v>
      </c>
      <c r="C8865" s="1" t="s">
        <v>3600</v>
      </c>
      <c r="D8865" s="1" t="s">
        <v>28428</v>
      </c>
      <c r="E8865" s="1" t="s">
        <v>3664</v>
      </c>
      <c r="F8865" s="1" t="s">
        <v>29473</v>
      </c>
      <c r="G8865" s="1" t="s">
        <v>16627</v>
      </c>
      <c r="H8865" s="1" t="s">
        <v>3604</v>
      </c>
      <c r="I8865" s="1" t="s">
        <v>29474</v>
      </c>
      <c r="J8865" s="1" t="s">
        <v>3615</v>
      </c>
      <c r="K8865" s="1" t="s">
        <v>29475</v>
      </c>
      <c r="L8865" s="1"/>
      <c r="M8865" s="1"/>
    </row>
    <row x14ac:dyDescent="0.25" r="8866" customHeight="1" ht="18.75">
      <c r="A8866" s="1" t="s">
        <v>3598</v>
      </c>
      <c r="B8866" s="1" t="s">
        <v>17258</v>
      </c>
      <c r="C8866" s="1" t="s">
        <v>3600</v>
      </c>
      <c r="D8866" s="1" t="s">
        <v>28428</v>
      </c>
      <c r="E8866" s="1" t="s">
        <v>3664</v>
      </c>
      <c r="F8866" s="1" t="s">
        <v>29476</v>
      </c>
      <c r="G8866" s="1" t="s">
        <v>16637</v>
      </c>
      <c r="H8866" s="1" t="s">
        <v>3604</v>
      </c>
      <c r="I8866" s="1" t="s">
        <v>29477</v>
      </c>
      <c r="J8866" s="1" t="s">
        <v>3615</v>
      </c>
      <c r="K8866" s="1" t="s">
        <v>29478</v>
      </c>
      <c r="L8866" s="1"/>
      <c r="M8866" s="1"/>
    </row>
    <row x14ac:dyDescent="0.25" r="8867" customHeight="1" ht="18.75">
      <c r="A8867" s="1" t="s">
        <v>3598</v>
      </c>
      <c r="B8867" s="1" t="s">
        <v>6954</v>
      </c>
      <c r="C8867" s="1" t="s">
        <v>3600</v>
      </c>
      <c r="D8867" s="1" t="s">
        <v>28428</v>
      </c>
      <c r="E8867" s="1" t="s">
        <v>3664</v>
      </c>
      <c r="F8867" s="1" t="s">
        <v>29479</v>
      </c>
      <c r="G8867" s="1" t="s">
        <v>29480</v>
      </c>
      <c r="H8867" s="1" t="s">
        <v>3604</v>
      </c>
      <c r="I8867" s="1" t="s">
        <v>29481</v>
      </c>
      <c r="J8867" s="1" t="s">
        <v>3615</v>
      </c>
      <c r="K8867" s="1" t="s">
        <v>29482</v>
      </c>
      <c r="L8867" s="1"/>
      <c r="M8867" s="1"/>
    </row>
    <row x14ac:dyDescent="0.25" r="8868" customHeight="1" ht="18.75">
      <c r="A8868" s="1" t="s">
        <v>3598</v>
      </c>
      <c r="B8868" s="1" t="s">
        <v>6954</v>
      </c>
      <c r="C8868" s="1" t="s">
        <v>3600</v>
      </c>
      <c r="D8868" s="1" t="s">
        <v>28428</v>
      </c>
      <c r="E8868" s="1" t="s">
        <v>3664</v>
      </c>
      <c r="F8868" s="1" t="s">
        <v>29483</v>
      </c>
      <c r="G8868" s="1" t="s">
        <v>16814</v>
      </c>
      <c r="H8868" s="1" t="s">
        <v>3604</v>
      </c>
      <c r="I8868" s="1" t="s">
        <v>29484</v>
      </c>
      <c r="J8868" s="1" t="s">
        <v>3615</v>
      </c>
      <c r="K8868" s="1" t="s">
        <v>29485</v>
      </c>
      <c r="L8868" s="1"/>
      <c r="M8868" s="1"/>
    </row>
    <row x14ac:dyDescent="0.25" r="8869" customHeight="1" ht="18.75">
      <c r="A8869" s="1" t="s">
        <v>3598</v>
      </c>
      <c r="B8869" s="1" t="s">
        <v>6954</v>
      </c>
      <c r="C8869" s="1" t="s">
        <v>3600</v>
      </c>
      <c r="D8869" s="1" t="s">
        <v>28428</v>
      </c>
      <c r="E8869" s="1" t="s">
        <v>3664</v>
      </c>
      <c r="F8869" s="1" t="s">
        <v>29486</v>
      </c>
      <c r="G8869" s="1" t="s">
        <v>16824</v>
      </c>
      <c r="H8869" s="1" t="s">
        <v>3604</v>
      </c>
      <c r="I8869" s="1" t="s">
        <v>29487</v>
      </c>
      <c r="J8869" s="1" t="s">
        <v>3615</v>
      </c>
      <c r="K8869" s="1" t="s">
        <v>29488</v>
      </c>
      <c r="L8869" s="1"/>
      <c r="M8869" s="1"/>
    </row>
    <row x14ac:dyDescent="0.25" r="8870" customHeight="1" ht="18.75">
      <c r="A8870" s="1" t="s">
        <v>3598</v>
      </c>
      <c r="B8870" s="1" t="s">
        <v>6954</v>
      </c>
      <c r="C8870" s="1" t="s">
        <v>3600</v>
      </c>
      <c r="D8870" s="1" t="s">
        <v>28428</v>
      </c>
      <c r="E8870" s="1" t="s">
        <v>3893</v>
      </c>
      <c r="F8870" s="1" t="s">
        <v>29489</v>
      </c>
      <c r="G8870" s="1" t="s">
        <v>6524</v>
      </c>
      <c r="H8870" s="1" t="s">
        <v>3604</v>
      </c>
      <c r="I8870" s="1" t="s">
        <v>29490</v>
      </c>
      <c r="J8870" s="1" t="s">
        <v>3615</v>
      </c>
      <c r="K8870" s="1" t="s">
        <v>29491</v>
      </c>
      <c r="L8870" s="1"/>
      <c r="M8870" s="1"/>
    </row>
    <row x14ac:dyDescent="0.25" r="8871" customHeight="1" ht="18.75">
      <c r="A8871" s="1" t="s">
        <v>3598</v>
      </c>
      <c r="B8871" s="1" t="s">
        <v>6811</v>
      </c>
      <c r="C8871" s="1" t="s">
        <v>3600</v>
      </c>
      <c r="D8871" s="1" t="s">
        <v>28428</v>
      </c>
      <c r="E8871" s="1" t="s">
        <v>3664</v>
      </c>
      <c r="F8871" s="1" t="s">
        <v>29492</v>
      </c>
      <c r="G8871" s="1" t="s">
        <v>16824</v>
      </c>
      <c r="H8871" s="1" t="s">
        <v>3604</v>
      </c>
      <c r="I8871" s="1" t="s">
        <v>29493</v>
      </c>
      <c r="J8871" s="1" t="s">
        <v>3615</v>
      </c>
      <c r="K8871" s="1" t="s">
        <v>29494</v>
      </c>
      <c r="L8871" s="1"/>
      <c r="M8871" s="1"/>
    </row>
    <row x14ac:dyDescent="0.25" r="8872" customHeight="1" ht="18.75">
      <c r="A8872" s="1" t="s">
        <v>3598</v>
      </c>
      <c r="B8872" s="1" t="s">
        <v>14025</v>
      </c>
      <c r="C8872" s="1" t="s">
        <v>3600</v>
      </c>
      <c r="D8872" s="1" t="s">
        <v>28428</v>
      </c>
      <c r="E8872" s="1" t="s">
        <v>3664</v>
      </c>
      <c r="F8872" s="1" t="s">
        <v>29495</v>
      </c>
      <c r="G8872" s="1" t="s">
        <v>29496</v>
      </c>
      <c r="H8872" s="1" t="s">
        <v>3604</v>
      </c>
      <c r="I8872" s="1" t="s">
        <v>29497</v>
      </c>
      <c r="J8872" s="1" t="s">
        <v>3615</v>
      </c>
      <c r="K8872" s="1" t="s">
        <v>29498</v>
      </c>
      <c r="L8872" s="1"/>
      <c r="M8872" s="1"/>
    </row>
    <row x14ac:dyDescent="0.25" r="8873" customHeight="1" ht="18.75">
      <c r="A8873" s="1" t="s">
        <v>3598</v>
      </c>
      <c r="B8873" s="1" t="s">
        <v>3751</v>
      </c>
      <c r="C8873" s="1" t="s">
        <v>3600</v>
      </c>
      <c r="D8873" s="1" t="s">
        <v>28428</v>
      </c>
      <c r="E8873" s="1" t="s">
        <v>3664</v>
      </c>
      <c r="F8873" s="1" t="s">
        <v>29499</v>
      </c>
      <c r="G8873" s="1" t="s">
        <v>27385</v>
      </c>
      <c r="H8873" s="1" t="s">
        <v>3604</v>
      </c>
      <c r="I8873" s="1" t="s">
        <v>29500</v>
      </c>
      <c r="J8873" s="1" t="s">
        <v>3615</v>
      </c>
      <c r="K8873" s="1" t="s">
        <v>29501</v>
      </c>
      <c r="L8873" s="1"/>
      <c r="M8873" s="1"/>
    </row>
    <row x14ac:dyDescent="0.25" r="8874" customHeight="1" ht="18.75">
      <c r="A8874" s="1" t="s">
        <v>3598</v>
      </c>
      <c r="B8874" s="1" t="s">
        <v>3751</v>
      </c>
      <c r="C8874" s="1" t="s">
        <v>3600</v>
      </c>
      <c r="D8874" s="1" t="s">
        <v>28428</v>
      </c>
      <c r="E8874" s="1" t="s">
        <v>3664</v>
      </c>
      <c r="F8874" s="1" t="s">
        <v>29502</v>
      </c>
      <c r="G8874" s="1" t="s">
        <v>29503</v>
      </c>
      <c r="H8874" s="1" t="s">
        <v>3604</v>
      </c>
      <c r="I8874" s="1" t="s">
        <v>29504</v>
      </c>
      <c r="J8874" s="1" t="s">
        <v>3615</v>
      </c>
      <c r="K8874" s="1" t="s">
        <v>29505</v>
      </c>
      <c r="L8874" s="1"/>
      <c r="M8874" s="1"/>
    </row>
    <row x14ac:dyDescent="0.25" r="8875" customHeight="1" ht="18.75">
      <c r="A8875" s="1" t="s">
        <v>3598</v>
      </c>
      <c r="B8875" s="1" t="s">
        <v>3751</v>
      </c>
      <c r="C8875" s="1" t="s">
        <v>3600</v>
      </c>
      <c r="D8875" s="1" t="s">
        <v>28428</v>
      </c>
      <c r="E8875" s="1" t="s">
        <v>3664</v>
      </c>
      <c r="F8875" s="1" t="s">
        <v>29506</v>
      </c>
      <c r="G8875" s="1" t="s">
        <v>29507</v>
      </c>
      <c r="H8875" s="1" t="s">
        <v>3604</v>
      </c>
      <c r="I8875" s="1" t="s">
        <v>29508</v>
      </c>
      <c r="J8875" s="1" t="s">
        <v>3615</v>
      </c>
      <c r="K8875" s="1" t="s">
        <v>29509</v>
      </c>
      <c r="L8875" s="1"/>
      <c r="M8875" s="1"/>
    </row>
    <row x14ac:dyDescent="0.25" r="8876" customHeight="1" ht="18.75">
      <c r="A8876" s="1" t="s">
        <v>3598</v>
      </c>
      <c r="B8876" s="1" t="s">
        <v>3751</v>
      </c>
      <c r="C8876" s="1" t="s">
        <v>3600</v>
      </c>
      <c r="D8876" s="1" t="s">
        <v>28428</v>
      </c>
      <c r="E8876" s="1" t="s">
        <v>3664</v>
      </c>
      <c r="F8876" s="1" t="s">
        <v>29510</v>
      </c>
      <c r="G8876" s="1" t="s">
        <v>27406</v>
      </c>
      <c r="H8876" s="1" t="s">
        <v>3604</v>
      </c>
      <c r="I8876" s="1" t="s">
        <v>29511</v>
      </c>
      <c r="J8876" s="1" t="s">
        <v>3615</v>
      </c>
      <c r="K8876" s="1" t="s">
        <v>29512</v>
      </c>
      <c r="L8876" s="1"/>
      <c r="M8876" s="1"/>
    </row>
    <row x14ac:dyDescent="0.25" r="8877" customHeight="1" ht="18.75">
      <c r="A8877" s="1" t="s">
        <v>3598</v>
      </c>
      <c r="B8877" s="1" t="s">
        <v>18039</v>
      </c>
      <c r="C8877" s="1" t="s">
        <v>3600</v>
      </c>
      <c r="D8877" s="1" t="s">
        <v>28428</v>
      </c>
      <c r="E8877" s="1" t="s">
        <v>3664</v>
      </c>
      <c r="F8877" s="1" t="s">
        <v>29513</v>
      </c>
      <c r="G8877" s="1" t="s">
        <v>27385</v>
      </c>
      <c r="H8877" s="1" t="s">
        <v>3604</v>
      </c>
      <c r="I8877" s="1" t="s">
        <v>29514</v>
      </c>
      <c r="J8877" s="1" t="s">
        <v>3615</v>
      </c>
      <c r="K8877" s="1" t="s">
        <v>29515</v>
      </c>
      <c r="L8877" s="1"/>
      <c r="M8877" s="1"/>
    </row>
    <row x14ac:dyDescent="0.25" r="8878" customHeight="1" ht="18.75">
      <c r="A8878" s="1" t="s">
        <v>3598</v>
      </c>
      <c r="B8878" s="1" t="s">
        <v>4781</v>
      </c>
      <c r="C8878" s="1" t="s">
        <v>3600</v>
      </c>
      <c r="D8878" s="1" t="s">
        <v>28428</v>
      </c>
      <c r="E8878" s="1" t="s">
        <v>3664</v>
      </c>
      <c r="F8878" s="1" t="s">
        <v>29516</v>
      </c>
      <c r="G8878" s="1" t="s">
        <v>29517</v>
      </c>
      <c r="H8878" s="1" t="s">
        <v>3604</v>
      </c>
      <c r="I8878" s="1" t="s">
        <v>29518</v>
      </c>
      <c r="J8878" s="1" t="s">
        <v>3615</v>
      </c>
      <c r="K8878" s="1" t="s">
        <v>29519</v>
      </c>
      <c r="L8878" s="1"/>
      <c r="M8878" s="1"/>
    </row>
    <row x14ac:dyDescent="0.25" r="8879" customHeight="1" ht="18.75">
      <c r="A8879" s="1" t="s">
        <v>3598</v>
      </c>
      <c r="B8879" s="1" t="s">
        <v>4781</v>
      </c>
      <c r="C8879" s="1" t="s">
        <v>3600</v>
      </c>
      <c r="D8879" s="1" t="s">
        <v>28428</v>
      </c>
      <c r="E8879" s="1" t="s">
        <v>3664</v>
      </c>
      <c r="F8879" s="1" t="s">
        <v>29520</v>
      </c>
      <c r="G8879" s="1" t="s">
        <v>29521</v>
      </c>
      <c r="H8879" s="1" t="s">
        <v>3604</v>
      </c>
      <c r="I8879" s="1" t="s">
        <v>29522</v>
      </c>
      <c r="J8879" s="1" t="s">
        <v>3615</v>
      </c>
      <c r="K8879" s="1" t="s">
        <v>29523</v>
      </c>
      <c r="L8879" s="1"/>
      <c r="M8879" s="1"/>
    </row>
    <row x14ac:dyDescent="0.25" r="8880" customHeight="1" ht="18.75">
      <c r="A8880" s="1" t="s">
        <v>3598</v>
      </c>
      <c r="B8880" s="1" t="s">
        <v>9020</v>
      </c>
      <c r="C8880" s="1" t="s">
        <v>3600</v>
      </c>
      <c r="D8880" s="1" t="s">
        <v>3601</v>
      </c>
      <c r="E8880" s="1" t="s">
        <v>3893</v>
      </c>
      <c r="F8880" s="1" t="s">
        <v>29524</v>
      </c>
      <c r="G8880" s="1" t="s">
        <v>13986</v>
      </c>
      <c r="H8880" s="1" t="s">
        <v>3604</v>
      </c>
      <c r="I8880" s="1" t="s">
        <v>29525</v>
      </c>
      <c r="J8880" s="1" t="s">
        <v>3615</v>
      </c>
      <c r="K8880" s="1" t="s">
        <v>29526</v>
      </c>
      <c r="L8880" s="1"/>
      <c r="M8880" s="1"/>
    </row>
    <row x14ac:dyDescent="0.25" r="8881" customHeight="1" ht="18.75">
      <c r="A8881" s="1" t="s">
        <v>3598</v>
      </c>
      <c r="B8881" s="1" t="s">
        <v>4781</v>
      </c>
      <c r="C8881" s="1" t="s">
        <v>3600</v>
      </c>
      <c r="D8881" s="1" t="s">
        <v>28428</v>
      </c>
      <c r="E8881" s="1" t="s">
        <v>3664</v>
      </c>
      <c r="F8881" s="1" t="s">
        <v>29527</v>
      </c>
      <c r="G8881" s="1" t="s">
        <v>22385</v>
      </c>
      <c r="H8881" s="1" t="s">
        <v>3604</v>
      </c>
      <c r="I8881" s="1" t="s">
        <v>29528</v>
      </c>
      <c r="J8881" s="1" t="s">
        <v>3615</v>
      </c>
      <c r="K8881" s="1" t="s">
        <v>29529</v>
      </c>
      <c r="L8881" s="1"/>
      <c r="M8881" s="1"/>
    </row>
    <row x14ac:dyDescent="0.25" r="8882" customHeight="1" ht="18.75">
      <c r="A8882" s="1" t="s">
        <v>3598</v>
      </c>
      <c r="B8882" s="1" t="s">
        <v>15397</v>
      </c>
      <c r="C8882" s="1" t="s">
        <v>3600</v>
      </c>
      <c r="D8882" s="1" t="s">
        <v>28428</v>
      </c>
      <c r="E8882" s="1" t="s">
        <v>3664</v>
      </c>
      <c r="F8882" s="1" t="s">
        <v>29530</v>
      </c>
      <c r="G8882" s="1" t="s">
        <v>16094</v>
      </c>
      <c r="H8882" s="1" t="s">
        <v>3604</v>
      </c>
      <c r="I8882" s="1" t="s">
        <v>29531</v>
      </c>
      <c r="J8882" s="1" t="s">
        <v>3615</v>
      </c>
      <c r="K8882" s="1" t="s">
        <v>29532</v>
      </c>
      <c r="L8882" s="1"/>
      <c r="M8882" s="1"/>
    </row>
    <row x14ac:dyDescent="0.25" r="8883" customHeight="1" ht="18.75">
      <c r="A8883" s="1" t="s">
        <v>3598</v>
      </c>
      <c r="B8883" s="1" t="s">
        <v>15397</v>
      </c>
      <c r="C8883" s="1" t="s">
        <v>3600</v>
      </c>
      <c r="D8883" s="1" t="s">
        <v>28428</v>
      </c>
      <c r="E8883" s="1" t="s">
        <v>3664</v>
      </c>
      <c r="F8883" s="1" t="s">
        <v>29533</v>
      </c>
      <c r="G8883" s="1" t="s">
        <v>29534</v>
      </c>
      <c r="H8883" s="1" t="s">
        <v>3604</v>
      </c>
      <c r="I8883" s="1" t="s">
        <v>29535</v>
      </c>
      <c r="J8883" s="1" t="s">
        <v>3615</v>
      </c>
      <c r="K8883" s="1" t="s">
        <v>29536</v>
      </c>
      <c r="L8883" s="1"/>
      <c r="M8883" s="1"/>
    </row>
    <row x14ac:dyDescent="0.25" r="8884" customHeight="1" ht="18.75">
      <c r="A8884" s="1" t="s">
        <v>3598</v>
      </c>
      <c r="B8884" s="1" t="s">
        <v>15397</v>
      </c>
      <c r="C8884" s="1" t="s">
        <v>3600</v>
      </c>
      <c r="D8884" s="1" t="s">
        <v>28428</v>
      </c>
      <c r="E8884" s="1" t="s">
        <v>3664</v>
      </c>
      <c r="F8884" s="1" t="s">
        <v>29537</v>
      </c>
      <c r="G8884" s="1" t="s">
        <v>29538</v>
      </c>
      <c r="H8884" s="1" t="s">
        <v>3604</v>
      </c>
      <c r="I8884" s="1" t="s">
        <v>29539</v>
      </c>
      <c r="J8884" s="1" t="s">
        <v>3615</v>
      </c>
      <c r="K8884" s="1" t="s">
        <v>29540</v>
      </c>
      <c r="L8884" s="1"/>
      <c r="M8884" s="1"/>
    </row>
    <row x14ac:dyDescent="0.25" r="8885" customHeight="1" ht="18.75">
      <c r="A8885" s="1" t="s">
        <v>3598</v>
      </c>
      <c r="B8885" s="1" t="s">
        <v>15397</v>
      </c>
      <c r="C8885" s="1" t="s">
        <v>3600</v>
      </c>
      <c r="D8885" s="1" t="s">
        <v>28428</v>
      </c>
      <c r="E8885" s="1" t="s">
        <v>3664</v>
      </c>
      <c r="F8885" s="1" t="s">
        <v>29541</v>
      </c>
      <c r="G8885" s="1" t="s">
        <v>29542</v>
      </c>
      <c r="H8885" s="1" t="s">
        <v>3604</v>
      </c>
      <c r="I8885" s="1" t="s">
        <v>29543</v>
      </c>
      <c r="J8885" s="1" t="s">
        <v>3615</v>
      </c>
      <c r="K8885" s="1" t="s">
        <v>29544</v>
      </c>
      <c r="L8885" s="1"/>
      <c r="M8885" s="1"/>
    </row>
    <row x14ac:dyDescent="0.25" r="8886" customHeight="1" ht="18.75">
      <c r="A8886" s="1" t="s">
        <v>3598</v>
      </c>
      <c r="B8886" s="1" t="s">
        <v>8191</v>
      </c>
      <c r="C8886" s="1" t="s">
        <v>3600</v>
      </c>
      <c r="D8886" s="1" t="s">
        <v>28428</v>
      </c>
      <c r="E8886" s="1" t="s">
        <v>3664</v>
      </c>
      <c r="F8886" s="1" t="s">
        <v>29545</v>
      </c>
      <c r="G8886" s="1" t="s">
        <v>16424</v>
      </c>
      <c r="H8886" s="1" t="s">
        <v>3604</v>
      </c>
      <c r="I8886" s="1" t="s">
        <v>29546</v>
      </c>
      <c r="J8886" s="1" t="s">
        <v>3615</v>
      </c>
      <c r="K8886" s="1" t="s">
        <v>29547</v>
      </c>
      <c r="L8886" s="1"/>
      <c r="M8886" s="1"/>
    </row>
    <row x14ac:dyDescent="0.25" r="8887" customHeight="1" ht="18.75">
      <c r="A8887" s="1" t="s">
        <v>3598</v>
      </c>
      <c r="B8887" s="1" t="s">
        <v>8191</v>
      </c>
      <c r="C8887" s="1" t="s">
        <v>3600</v>
      </c>
      <c r="D8887" s="1" t="s">
        <v>28428</v>
      </c>
      <c r="E8887" s="1" t="s">
        <v>3981</v>
      </c>
      <c r="F8887" s="1" t="s">
        <v>29548</v>
      </c>
      <c r="G8887" s="1" t="s">
        <v>29096</v>
      </c>
      <c r="H8887" s="1" t="s">
        <v>3604</v>
      </c>
      <c r="I8887" s="1" t="s">
        <v>29549</v>
      </c>
      <c r="J8887" s="1" t="s">
        <v>3615</v>
      </c>
      <c r="K8887" s="1" t="s">
        <v>29550</v>
      </c>
      <c r="L8887" s="1"/>
      <c r="M8887" s="1"/>
    </row>
    <row x14ac:dyDescent="0.25" r="8888" customHeight="1" ht="18.75">
      <c r="A8888" s="1" t="s">
        <v>3598</v>
      </c>
      <c r="B8888" s="1" t="s">
        <v>3751</v>
      </c>
      <c r="C8888" s="1" t="s">
        <v>3600</v>
      </c>
      <c r="D8888" s="1" t="s">
        <v>3601</v>
      </c>
      <c r="E8888" s="1" t="s">
        <v>3664</v>
      </c>
      <c r="F8888" s="1" t="s">
        <v>29551</v>
      </c>
      <c r="G8888" s="1" t="s">
        <v>29552</v>
      </c>
      <c r="H8888" s="1" t="s">
        <v>3604</v>
      </c>
      <c r="I8888" s="1" t="s">
        <v>29553</v>
      </c>
      <c r="J8888" s="1" t="s">
        <v>3615</v>
      </c>
      <c r="K8888" s="1" t="s">
        <v>29554</v>
      </c>
      <c r="L8888" s="1"/>
      <c r="M8888" s="1"/>
    </row>
    <row x14ac:dyDescent="0.25" r="8889" customHeight="1" ht="18.75">
      <c r="A8889" s="1" t="s">
        <v>3598</v>
      </c>
      <c r="B8889" s="1" t="s">
        <v>4781</v>
      </c>
      <c r="C8889" s="1" t="s">
        <v>3600</v>
      </c>
      <c r="D8889" s="1" t="s">
        <v>3601</v>
      </c>
      <c r="E8889" s="1" t="s">
        <v>3752</v>
      </c>
      <c r="F8889" s="1" t="s">
        <v>29555</v>
      </c>
      <c r="G8889" s="1" t="s">
        <v>20984</v>
      </c>
      <c r="H8889" s="1" t="s">
        <v>3604</v>
      </c>
      <c r="I8889" s="1" t="s">
        <v>29556</v>
      </c>
      <c r="J8889" s="1" t="s">
        <v>3615</v>
      </c>
      <c r="K8889" s="1" t="s">
        <v>29557</v>
      </c>
      <c r="L8889" s="1"/>
      <c r="M8889" s="1"/>
    </row>
    <row x14ac:dyDescent="0.25" r="8890" customHeight="1" ht="18.75">
      <c r="A8890" s="1" t="s">
        <v>3598</v>
      </c>
      <c r="B8890" s="1" t="s">
        <v>4627</v>
      </c>
      <c r="C8890" s="1" t="s">
        <v>3600</v>
      </c>
      <c r="D8890" s="1" t="s">
        <v>28428</v>
      </c>
      <c r="E8890" s="1" t="s">
        <v>3981</v>
      </c>
      <c r="F8890" s="1" t="s">
        <v>29558</v>
      </c>
      <c r="G8890" s="1" t="s">
        <v>16402</v>
      </c>
      <c r="H8890" s="1" t="s">
        <v>3604</v>
      </c>
      <c r="I8890" s="1" t="s">
        <v>29559</v>
      </c>
      <c r="J8890" s="1" t="s">
        <v>3615</v>
      </c>
      <c r="K8890" s="1" t="s">
        <v>29560</v>
      </c>
      <c r="L8890" s="1"/>
      <c r="M8890" s="1"/>
    </row>
    <row x14ac:dyDescent="0.25" r="8891" customHeight="1" ht="18.75">
      <c r="A8891" s="1" t="s">
        <v>3598</v>
      </c>
      <c r="B8891" s="1" t="s">
        <v>4781</v>
      </c>
      <c r="C8891" s="1" t="s">
        <v>3600</v>
      </c>
      <c r="D8891" s="1" t="s">
        <v>3601</v>
      </c>
      <c r="E8891" s="1" t="s">
        <v>3664</v>
      </c>
      <c r="F8891" s="1" t="s">
        <v>29561</v>
      </c>
      <c r="G8891" s="1" t="s">
        <v>19985</v>
      </c>
      <c r="H8891" s="1" t="s">
        <v>3604</v>
      </c>
      <c r="I8891" s="1" t="s">
        <v>29562</v>
      </c>
      <c r="J8891" s="1" t="s">
        <v>3615</v>
      </c>
      <c r="K8891" s="1" t="s">
        <v>29563</v>
      </c>
      <c r="L8891" s="1"/>
      <c r="M8891" s="1"/>
    </row>
    <row x14ac:dyDescent="0.25" r="8892" customHeight="1" ht="18.75">
      <c r="A8892" s="1" t="s">
        <v>3598</v>
      </c>
      <c r="B8892" s="1" t="s">
        <v>4627</v>
      </c>
      <c r="C8892" s="1" t="s">
        <v>3600</v>
      </c>
      <c r="D8892" s="1" t="s">
        <v>28428</v>
      </c>
      <c r="E8892" s="1" t="s">
        <v>3981</v>
      </c>
      <c r="F8892" s="1" t="s">
        <v>29564</v>
      </c>
      <c r="G8892" s="1" t="s">
        <v>19147</v>
      </c>
      <c r="H8892" s="1" t="s">
        <v>3604</v>
      </c>
      <c r="I8892" s="1" t="s">
        <v>29565</v>
      </c>
      <c r="J8892" s="1" t="s">
        <v>3615</v>
      </c>
      <c r="K8892" s="1" t="s">
        <v>29566</v>
      </c>
      <c r="L8892" s="1"/>
      <c r="M8892" s="1"/>
    </row>
    <row x14ac:dyDescent="0.25" r="8893" customHeight="1" ht="18.75">
      <c r="A8893" s="1" t="s">
        <v>3598</v>
      </c>
      <c r="B8893" s="1" t="s">
        <v>15397</v>
      </c>
      <c r="C8893" s="1" t="s">
        <v>3600</v>
      </c>
      <c r="D8893" s="1" t="s">
        <v>3601</v>
      </c>
      <c r="E8893" s="1" t="s">
        <v>3752</v>
      </c>
      <c r="F8893" s="1" t="s">
        <v>29567</v>
      </c>
      <c r="G8893" s="1" t="s">
        <v>29568</v>
      </c>
      <c r="H8893" s="1" t="s">
        <v>3604</v>
      </c>
      <c r="I8893" s="1" t="s">
        <v>29569</v>
      </c>
      <c r="J8893" s="1" t="s">
        <v>3615</v>
      </c>
      <c r="K8893" s="1" t="s">
        <v>29570</v>
      </c>
      <c r="L8893" s="1"/>
      <c r="M8893" s="1"/>
    </row>
    <row x14ac:dyDescent="0.25" r="8894" customHeight="1" ht="18.75">
      <c r="A8894" s="1" t="s">
        <v>3598</v>
      </c>
      <c r="B8894" s="1" t="s">
        <v>4627</v>
      </c>
      <c r="C8894" s="1" t="s">
        <v>3600</v>
      </c>
      <c r="D8894" s="1" t="s">
        <v>28428</v>
      </c>
      <c r="E8894" s="1" t="s">
        <v>3981</v>
      </c>
      <c r="F8894" s="1" t="s">
        <v>29571</v>
      </c>
      <c r="G8894" s="1" t="s">
        <v>19151</v>
      </c>
      <c r="H8894" s="1" t="s">
        <v>3604</v>
      </c>
      <c r="I8894" s="1" t="s">
        <v>29572</v>
      </c>
      <c r="J8894" s="1" t="s">
        <v>3615</v>
      </c>
      <c r="K8894" s="1" t="s">
        <v>29573</v>
      </c>
      <c r="L8894" s="1"/>
      <c r="M8894" s="1"/>
    </row>
    <row x14ac:dyDescent="0.25" r="8895" customHeight="1" ht="18.75">
      <c r="A8895" s="1" t="s">
        <v>3598</v>
      </c>
      <c r="B8895" s="1" t="s">
        <v>29574</v>
      </c>
      <c r="C8895" s="1" t="s">
        <v>3600</v>
      </c>
      <c r="D8895" s="1" t="s">
        <v>3601</v>
      </c>
      <c r="E8895" s="1" t="s">
        <v>3664</v>
      </c>
      <c r="F8895" s="1" t="s">
        <v>29575</v>
      </c>
      <c r="G8895" s="1" t="s">
        <v>15399</v>
      </c>
      <c r="H8895" s="1" t="s">
        <v>3604</v>
      </c>
      <c r="I8895" s="1" t="s">
        <v>29576</v>
      </c>
      <c r="J8895" s="1" t="s">
        <v>3615</v>
      </c>
      <c r="K8895" s="1" t="s">
        <v>29577</v>
      </c>
      <c r="L8895" s="1"/>
      <c r="M8895" s="1"/>
    </row>
    <row x14ac:dyDescent="0.25" r="8896" customHeight="1" ht="18.75">
      <c r="A8896" s="1" t="s">
        <v>3598</v>
      </c>
      <c r="B8896" s="1" t="s">
        <v>4273</v>
      </c>
      <c r="C8896" s="1" t="s">
        <v>3600</v>
      </c>
      <c r="D8896" s="1" t="s">
        <v>28428</v>
      </c>
      <c r="E8896" s="1" t="s">
        <v>3664</v>
      </c>
      <c r="F8896" s="1" t="s">
        <v>29578</v>
      </c>
      <c r="G8896" s="1" t="s">
        <v>16508</v>
      </c>
      <c r="H8896" s="1" t="s">
        <v>3604</v>
      </c>
      <c r="I8896" s="1" t="s">
        <v>29579</v>
      </c>
      <c r="J8896" s="1" t="s">
        <v>3615</v>
      </c>
      <c r="K8896" s="1" t="s">
        <v>29580</v>
      </c>
      <c r="L8896" s="1"/>
      <c r="M8896" s="1"/>
    </row>
    <row x14ac:dyDescent="0.25" r="8897" customHeight="1" ht="18.75">
      <c r="A8897" s="1" t="s">
        <v>3598</v>
      </c>
      <c r="B8897" s="1" t="s">
        <v>29574</v>
      </c>
      <c r="C8897" s="1" t="s">
        <v>3600</v>
      </c>
      <c r="D8897" s="1" t="s">
        <v>3601</v>
      </c>
      <c r="E8897" s="1" t="s">
        <v>3664</v>
      </c>
      <c r="F8897" s="1" t="s">
        <v>29581</v>
      </c>
      <c r="G8897" s="1" t="s">
        <v>29582</v>
      </c>
      <c r="H8897" s="1" t="s">
        <v>3604</v>
      </c>
      <c r="I8897" s="1" t="s">
        <v>29583</v>
      </c>
      <c r="J8897" s="1" t="s">
        <v>3615</v>
      </c>
      <c r="K8897" s="1" t="s">
        <v>29584</v>
      </c>
      <c r="L8897" s="1"/>
      <c r="M8897" s="1"/>
    </row>
    <row x14ac:dyDescent="0.25" r="8898" customHeight="1" ht="18.75">
      <c r="A8898" s="1" t="s">
        <v>3598</v>
      </c>
      <c r="B8898" s="1" t="s">
        <v>4273</v>
      </c>
      <c r="C8898" s="1" t="s">
        <v>3600</v>
      </c>
      <c r="D8898" s="1" t="s">
        <v>28428</v>
      </c>
      <c r="E8898" s="1" t="s">
        <v>3664</v>
      </c>
      <c r="F8898" s="1" t="s">
        <v>29585</v>
      </c>
      <c r="G8898" s="1" t="s">
        <v>16550</v>
      </c>
      <c r="H8898" s="1" t="s">
        <v>3604</v>
      </c>
      <c r="I8898" s="1" t="s">
        <v>29586</v>
      </c>
      <c r="J8898" s="1" t="s">
        <v>3615</v>
      </c>
      <c r="K8898" s="1" t="s">
        <v>29587</v>
      </c>
      <c r="L8898" s="1"/>
      <c r="M8898" s="1"/>
    </row>
    <row x14ac:dyDescent="0.25" r="8899" customHeight="1" ht="18.75">
      <c r="A8899" s="1" t="s">
        <v>3598</v>
      </c>
      <c r="B8899" s="1" t="s">
        <v>29574</v>
      </c>
      <c r="C8899" s="1" t="s">
        <v>3600</v>
      </c>
      <c r="D8899" s="1" t="s">
        <v>3601</v>
      </c>
      <c r="E8899" s="1" t="s">
        <v>3664</v>
      </c>
      <c r="F8899" s="1" t="s">
        <v>29588</v>
      </c>
      <c r="G8899" s="1" t="s">
        <v>29589</v>
      </c>
      <c r="H8899" s="1" t="s">
        <v>3604</v>
      </c>
      <c r="I8899" s="1" t="s">
        <v>29590</v>
      </c>
      <c r="J8899" s="1" t="s">
        <v>3615</v>
      </c>
      <c r="K8899" s="1" t="s">
        <v>29591</v>
      </c>
      <c r="L8899" s="1"/>
      <c r="M8899" s="1"/>
    </row>
    <row x14ac:dyDescent="0.25" r="8900" customHeight="1" ht="18.75">
      <c r="A8900" s="1" t="s">
        <v>3598</v>
      </c>
      <c r="B8900" s="1" t="s">
        <v>4273</v>
      </c>
      <c r="C8900" s="1" t="s">
        <v>3600</v>
      </c>
      <c r="D8900" s="1" t="s">
        <v>28428</v>
      </c>
      <c r="E8900" s="1" t="s">
        <v>3664</v>
      </c>
      <c r="F8900" s="1" t="s">
        <v>29592</v>
      </c>
      <c r="G8900" s="1" t="s">
        <v>16992</v>
      </c>
      <c r="H8900" s="1" t="s">
        <v>3604</v>
      </c>
      <c r="I8900" s="1" t="s">
        <v>29593</v>
      </c>
      <c r="J8900" s="1" t="s">
        <v>3615</v>
      </c>
      <c r="K8900" s="1" t="s">
        <v>29594</v>
      </c>
      <c r="L8900" s="1"/>
      <c r="M8900" s="1"/>
    </row>
    <row x14ac:dyDescent="0.25" r="8901" customHeight="1" ht="18.75">
      <c r="A8901" s="1" t="s">
        <v>3598</v>
      </c>
      <c r="B8901" s="1" t="s">
        <v>8191</v>
      </c>
      <c r="C8901" s="1" t="s">
        <v>3600</v>
      </c>
      <c r="D8901" s="1" t="s">
        <v>3601</v>
      </c>
      <c r="E8901" s="1" t="s">
        <v>3611</v>
      </c>
      <c r="F8901" s="1" t="s">
        <v>29595</v>
      </c>
      <c r="G8901" s="1" t="s">
        <v>29596</v>
      </c>
      <c r="H8901" s="1" t="s">
        <v>3604</v>
      </c>
      <c r="I8901" s="1" t="s">
        <v>29597</v>
      </c>
      <c r="J8901" s="1" t="s">
        <v>3615</v>
      </c>
      <c r="K8901" s="1" t="s">
        <v>29598</v>
      </c>
      <c r="L8901" s="1"/>
      <c r="M8901" s="1"/>
    </row>
    <row x14ac:dyDescent="0.25" r="8902" customHeight="1" ht="18.75">
      <c r="A8902" s="1" t="s">
        <v>3598</v>
      </c>
      <c r="B8902" s="1" t="s">
        <v>4273</v>
      </c>
      <c r="C8902" s="1" t="s">
        <v>3600</v>
      </c>
      <c r="D8902" s="1" t="s">
        <v>28428</v>
      </c>
      <c r="E8902" s="1" t="s">
        <v>3664</v>
      </c>
      <c r="F8902" s="1" t="s">
        <v>29599</v>
      </c>
      <c r="G8902" s="1" t="s">
        <v>29600</v>
      </c>
      <c r="H8902" s="1" t="s">
        <v>3604</v>
      </c>
      <c r="I8902" s="1" t="s">
        <v>29601</v>
      </c>
      <c r="J8902" s="1" t="s">
        <v>3615</v>
      </c>
      <c r="K8902" s="1" t="s">
        <v>29602</v>
      </c>
      <c r="L8902" s="1"/>
      <c r="M8902" s="1"/>
    </row>
    <row x14ac:dyDescent="0.25" r="8903" customHeight="1" ht="18.75">
      <c r="A8903" s="1" t="s">
        <v>3598</v>
      </c>
      <c r="B8903" s="1" t="s">
        <v>8191</v>
      </c>
      <c r="C8903" s="1" t="s">
        <v>3600</v>
      </c>
      <c r="D8903" s="1" t="s">
        <v>3601</v>
      </c>
      <c r="E8903" s="1" t="s">
        <v>3752</v>
      </c>
      <c r="F8903" s="1" t="s">
        <v>29603</v>
      </c>
      <c r="G8903" s="1" t="s">
        <v>29604</v>
      </c>
      <c r="H8903" s="1" t="s">
        <v>3604</v>
      </c>
      <c r="I8903" s="1" t="s">
        <v>29605</v>
      </c>
      <c r="J8903" s="1" t="s">
        <v>3615</v>
      </c>
      <c r="K8903" s="1" t="s">
        <v>29606</v>
      </c>
      <c r="L8903" s="1"/>
      <c r="M8903" s="1"/>
    </row>
    <row x14ac:dyDescent="0.25" r="8904" customHeight="1" ht="18.75">
      <c r="A8904" s="1" t="s">
        <v>3598</v>
      </c>
      <c r="B8904" s="1" t="s">
        <v>4273</v>
      </c>
      <c r="C8904" s="1" t="s">
        <v>3600</v>
      </c>
      <c r="D8904" s="1" t="s">
        <v>28428</v>
      </c>
      <c r="E8904" s="1" t="s">
        <v>3664</v>
      </c>
      <c r="F8904" s="1" t="s">
        <v>29607</v>
      </c>
      <c r="G8904" s="1" t="s">
        <v>21774</v>
      </c>
      <c r="H8904" s="1" t="s">
        <v>3604</v>
      </c>
      <c r="I8904" s="1" t="s">
        <v>29608</v>
      </c>
      <c r="J8904" s="1" t="s">
        <v>3615</v>
      </c>
      <c r="K8904" s="1" t="s">
        <v>29609</v>
      </c>
      <c r="L8904" s="1"/>
      <c r="M8904" s="1"/>
    </row>
    <row x14ac:dyDescent="0.25" r="8905" customHeight="1" ht="18.75">
      <c r="A8905" s="1" t="s">
        <v>3598</v>
      </c>
      <c r="B8905" s="1" t="s">
        <v>8191</v>
      </c>
      <c r="C8905" s="1" t="s">
        <v>3600</v>
      </c>
      <c r="D8905" s="1" t="s">
        <v>3601</v>
      </c>
      <c r="E8905" s="1" t="s">
        <v>3752</v>
      </c>
      <c r="F8905" s="1" t="s">
        <v>29610</v>
      </c>
      <c r="G8905" s="1" t="s">
        <v>21485</v>
      </c>
      <c r="H8905" s="1" t="s">
        <v>3604</v>
      </c>
      <c r="I8905" s="1" t="s">
        <v>29611</v>
      </c>
      <c r="J8905" s="1" t="s">
        <v>3615</v>
      </c>
      <c r="K8905" s="1" t="s">
        <v>29612</v>
      </c>
      <c r="L8905" s="1"/>
      <c r="M8905" s="1"/>
    </row>
    <row x14ac:dyDescent="0.25" r="8906" customHeight="1" ht="18.75">
      <c r="A8906" s="1" t="s">
        <v>3598</v>
      </c>
      <c r="B8906" s="1" t="s">
        <v>4273</v>
      </c>
      <c r="C8906" s="1" t="s">
        <v>3600</v>
      </c>
      <c r="D8906" s="1" t="s">
        <v>28428</v>
      </c>
      <c r="E8906" s="1" t="s">
        <v>3664</v>
      </c>
      <c r="F8906" s="1" t="s">
        <v>29613</v>
      </c>
      <c r="G8906" s="1" t="s">
        <v>29614</v>
      </c>
      <c r="H8906" s="1" t="s">
        <v>3604</v>
      </c>
      <c r="I8906" s="1" t="s">
        <v>29615</v>
      </c>
      <c r="J8906" s="1" t="s">
        <v>3615</v>
      </c>
      <c r="K8906" s="1" t="s">
        <v>29616</v>
      </c>
      <c r="L8906" s="1"/>
      <c r="M8906" s="1"/>
    </row>
    <row x14ac:dyDescent="0.25" r="8907" customHeight="1" ht="18.75">
      <c r="A8907" s="1" t="s">
        <v>3598</v>
      </c>
      <c r="B8907" s="1" t="s">
        <v>8191</v>
      </c>
      <c r="C8907" s="1" t="s">
        <v>3600</v>
      </c>
      <c r="D8907" s="1" t="s">
        <v>3601</v>
      </c>
      <c r="E8907" s="1" t="s">
        <v>3752</v>
      </c>
      <c r="F8907" s="1" t="s">
        <v>29617</v>
      </c>
      <c r="G8907" s="1" t="s">
        <v>29618</v>
      </c>
      <c r="H8907" s="1" t="s">
        <v>3604</v>
      </c>
      <c r="I8907" s="1" t="s">
        <v>29619</v>
      </c>
      <c r="J8907" s="1" t="s">
        <v>3615</v>
      </c>
      <c r="K8907" s="1" t="s">
        <v>29620</v>
      </c>
      <c r="L8907" s="1"/>
      <c r="M8907" s="1"/>
    </row>
    <row x14ac:dyDescent="0.25" r="8908" customHeight="1" ht="18.75">
      <c r="A8908" s="1" t="s">
        <v>3598</v>
      </c>
      <c r="B8908" s="1" t="s">
        <v>6717</v>
      </c>
      <c r="C8908" s="1" t="s">
        <v>3600</v>
      </c>
      <c r="D8908" s="1" t="s">
        <v>28428</v>
      </c>
      <c r="E8908" s="1" t="s">
        <v>3664</v>
      </c>
      <c r="F8908" s="1" t="s">
        <v>29621</v>
      </c>
      <c r="G8908" s="1" t="s">
        <v>16508</v>
      </c>
      <c r="H8908" s="1" t="s">
        <v>3604</v>
      </c>
      <c r="I8908" s="1" t="s">
        <v>29622</v>
      </c>
      <c r="J8908" s="1" t="s">
        <v>3615</v>
      </c>
      <c r="K8908" s="1" t="s">
        <v>29623</v>
      </c>
      <c r="L8908" s="1"/>
      <c r="M8908" s="1"/>
    </row>
    <row x14ac:dyDescent="0.25" r="8909" customHeight="1" ht="18.75">
      <c r="A8909" s="1" t="s">
        <v>3598</v>
      </c>
      <c r="B8909" s="1" t="s">
        <v>8191</v>
      </c>
      <c r="C8909" s="1" t="s">
        <v>3600</v>
      </c>
      <c r="D8909" s="1" t="s">
        <v>3601</v>
      </c>
      <c r="E8909" s="1" t="s">
        <v>3752</v>
      </c>
      <c r="F8909" s="1" t="s">
        <v>29624</v>
      </c>
      <c r="G8909" s="1" t="s">
        <v>29625</v>
      </c>
      <c r="H8909" s="1" t="s">
        <v>3604</v>
      </c>
      <c r="I8909" s="1" t="s">
        <v>29626</v>
      </c>
      <c r="J8909" s="1" t="s">
        <v>3615</v>
      </c>
      <c r="K8909" s="1" t="s">
        <v>29627</v>
      </c>
      <c r="L8909" s="1"/>
      <c r="M8909" s="1"/>
    </row>
    <row x14ac:dyDescent="0.25" r="8910" customHeight="1" ht="18.75">
      <c r="A8910" s="1" t="s">
        <v>3598</v>
      </c>
      <c r="B8910" s="1" t="s">
        <v>6717</v>
      </c>
      <c r="C8910" s="1" t="s">
        <v>3600</v>
      </c>
      <c r="D8910" s="1" t="s">
        <v>28428</v>
      </c>
      <c r="E8910" s="1" t="s">
        <v>3664</v>
      </c>
      <c r="F8910" s="1" t="s">
        <v>29628</v>
      </c>
      <c r="G8910" s="1" t="s">
        <v>16550</v>
      </c>
      <c r="H8910" s="1" t="s">
        <v>3604</v>
      </c>
      <c r="I8910" s="1" t="s">
        <v>29629</v>
      </c>
      <c r="J8910" s="1" t="s">
        <v>3615</v>
      </c>
      <c r="K8910" s="1" t="s">
        <v>29630</v>
      </c>
      <c r="L8910" s="1"/>
      <c r="M8910" s="1"/>
    </row>
    <row x14ac:dyDescent="0.25" r="8911" customHeight="1" ht="18.75">
      <c r="A8911" s="1" t="s">
        <v>3598</v>
      </c>
      <c r="B8911" s="1" t="s">
        <v>8191</v>
      </c>
      <c r="C8911" s="1" t="s">
        <v>3600</v>
      </c>
      <c r="D8911" s="1" t="s">
        <v>3601</v>
      </c>
      <c r="E8911" s="1" t="s">
        <v>3752</v>
      </c>
      <c r="F8911" s="1" t="s">
        <v>29631</v>
      </c>
      <c r="G8911" s="1" t="s">
        <v>15857</v>
      </c>
      <c r="H8911" s="1" t="s">
        <v>3604</v>
      </c>
      <c r="I8911" s="1" t="s">
        <v>29632</v>
      </c>
      <c r="J8911" s="1" t="s">
        <v>3615</v>
      </c>
      <c r="K8911" s="1" t="s">
        <v>29633</v>
      </c>
      <c r="L8911" s="1"/>
      <c r="M8911" s="1"/>
    </row>
    <row x14ac:dyDescent="0.25" r="8912" customHeight="1" ht="18.75">
      <c r="A8912" s="1" t="s">
        <v>3598</v>
      </c>
      <c r="B8912" s="1" t="s">
        <v>29634</v>
      </c>
      <c r="C8912" s="1" t="s">
        <v>3600</v>
      </c>
      <c r="D8912" s="1" t="s">
        <v>28428</v>
      </c>
      <c r="E8912" s="1" t="s">
        <v>3664</v>
      </c>
      <c r="F8912" s="1" t="s">
        <v>29635</v>
      </c>
      <c r="G8912" s="1" t="s">
        <v>16992</v>
      </c>
      <c r="H8912" s="1" t="s">
        <v>3604</v>
      </c>
      <c r="I8912" s="1" t="s">
        <v>29636</v>
      </c>
      <c r="J8912" s="1" t="s">
        <v>3615</v>
      </c>
      <c r="K8912" s="1" t="s">
        <v>29637</v>
      </c>
      <c r="L8912" s="1"/>
      <c r="M8912" s="1"/>
    </row>
    <row x14ac:dyDescent="0.25" r="8913" customHeight="1" ht="18.75">
      <c r="A8913" s="1" t="s">
        <v>3598</v>
      </c>
      <c r="B8913" s="1" t="s">
        <v>8191</v>
      </c>
      <c r="C8913" s="1" t="s">
        <v>3600</v>
      </c>
      <c r="D8913" s="1" t="s">
        <v>3601</v>
      </c>
      <c r="E8913" s="1" t="s">
        <v>3981</v>
      </c>
      <c r="F8913" s="1" t="s">
        <v>29638</v>
      </c>
      <c r="G8913" s="1" t="s">
        <v>29096</v>
      </c>
      <c r="H8913" s="1" t="s">
        <v>3604</v>
      </c>
      <c r="I8913" s="1" t="s">
        <v>29639</v>
      </c>
      <c r="J8913" s="1" t="s">
        <v>3615</v>
      </c>
      <c r="K8913" s="1" t="s">
        <v>29640</v>
      </c>
      <c r="L8913" s="1"/>
      <c r="M8913" s="1"/>
    </row>
    <row x14ac:dyDescent="0.25" r="8914" customHeight="1" ht="18.75">
      <c r="A8914" s="1" t="s">
        <v>3598</v>
      </c>
      <c r="B8914" s="1" t="s">
        <v>14108</v>
      </c>
      <c r="C8914" s="1" t="s">
        <v>3600</v>
      </c>
      <c r="D8914" s="1" t="s">
        <v>28428</v>
      </c>
      <c r="E8914" s="1" t="s">
        <v>3664</v>
      </c>
      <c r="F8914" s="1" t="s">
        <v>29641</v>
      </c>
      <c r="G8914" s="1" t="s">
        <v>16607</v>
      </c>
      <c r="H8914" s="1" t="s">
        <v>3604</v>
      </c>
      <c r="I8914" s="1" t="s">
        <v>29642</v>
      </c>
      <c r="J8914" s="1" t="s">
        <v>3615</v>
      </c>
      <c r="K8914" s="1" t="s">
        <v>29643</v>
      </c>
      <c r="L8914" s="1"/>
      <c r="M8914" s="1"/>
    </row>
    <row x14ac:dyDescent="0.25" r="8915" customHeight="1" ht="18.75">
      <c r="A8915" s="1" t="s">
        <v>3598</v>
      </c>
      <c r="B8915" s="1" t="s">
        <v>8191</v>
      </c>
      <c r="C8915" s="1" t="s">
        <v>3600</v>
      </c>
      <c r="D8915" s="1" t="s">
        <v>3601</v>
      </c>
      <c r="E8915" s="1" t="s">
        <v>3664</v>
      </c>
      <c r="F8915" s="1" t="s">
        <v>29644</v>
      </c>
      <c r="G8915" s="1" t="s">
        <v>15864</v>
      </c>
      <c r="H8915" s="1" t="s">
        <v>3604</v>
      </c>
      <c r="I8915" s="1" t="s">
        <v>29645</v>
      </c>
      <c r="J8915" s="1" t="s">
        <v>3615</v>
      </c>
      <c r="K8915" s="1" t="s">
        <v>29646</v>
      </c>
      <c r="L8915" s="1"/>
      <c r="M8915" s="1"/>
    </row>
    <row x14ac:dyDescent="0.25" r="8916" customHeight="1" ht="18.75">
      <c r="A8916" s="1" t="s">
        <v>3598</v>
      </c>
      <c r="B8916" s="1" t="s">
        <v>20123</v>
      </c>
      <c r="C8916" s="1" t="s">
        <v>3600</v>
      </c>
      <c r="D8916" s="1" t="s">
        <v>28428</v>
      </c>
      <c r="E8916" s="1" t="s">
        <v>3664</v>
      </c>
      <c r="F8916" s="1" t="s">
        <v>29647</v>
      </c>
      <c r="G8916" s="1" t="s">
        <v>21774</v>
      </c>
      <c r="H8916" s="1" t="s">
        <v>3604</v>
      </c>
      <c r="I8916" s="1" t="s">
        <v>29648</v>
      </c>
      <c r="J8916" s="1" t="s">
        <v>3615</v>
      </c>
      <c r="K8916" s="1" t="s">
        <v>29649</v>
      </c>
      <c r="L8916" s="1"/>
      <c r="M8916" s="1"/>
    </row>
    <row x14ac:dyDescent="0.25" r="8917" customHeight="1" ht="18.75">
      <c r="A8917" s="1" t="s">
        <v>3598</v>
      </c>
      <c r="B8917" s="1" t="s">
        <v>8191</v>
      </c>
      <c r="C8917" s="1" t="s">
        <v>3600</v>
      </c>
      <c r="D8917" s="1" t="s">
        <v>3601</v>
      </c>
      <c r="E8917" s="1" t="s">
        <v>3664</v>
      </c>
      <c r="F8917" s="1" t="s">
        <v>29650</v>
      </c>
      <c r="G8917" s="1" t="s">
        <v>29651</v>
      </c>
      <c r="H8917" s="1" t="s">
        <v>3604</v>
      </c>
      <c r="I8917" s="1" t="s">
        <v>29652</v>
      </c>
      <c r="J8917" s="1" t="s">
        <v>3615</v>
      </c>
      <c r="K8917" s="1" t="s">
        <v>29653</v>
      </c>
      <c r="L8917" s="1"/>
      <c r="M8917" s="1"/>
    </row>
    <row x14ac:dyDescent="0.25" r="8918" customHeight="1" ht="18.75">
      <c r="A8918" s="1" t="s">
        <v>3598</v>
      </c>
      <c r="B8918" s="1" t="s">
        <v>20123</v>
      </c>
      <c r="C8918" s="1" t="s">
        <v>3600</v>
      </c>
      <c r="D8918" s="1" t="s">
        <v>28428</v>
      </c>
      <c r="E8918" s="1" t="s">
        <v>3664</v>
      </c>
      <c r="F8918" s="1" t="s">
        <v>29654</v>
      </c>
      <c r="G8918" s="1" t="s">
        <v>29614</v>
      </c>
      <c r="H8918" s="1" t="s">
        <v>3604</v>
      </c>
      <c r="I8918" s="1" t="s">
        <v>29655</v>
      </c>
      <c r="J8918" s="1" t="s">
        <v>3615</v>
      </c>
      <c r="K8918" s="1" t="s">
        <v>29656</v>
      </c>
      <c r="L8918" s="1"/>
      <c r="M8918" s="1"/>
    </row>
    <row x14ac:dyDescent="0.25" r="8919" customHeight="1" ht="18.75">
      <c r="A8919" s="1" t="s">
        <v>3598</v>
      </c>
      <c r="B8919" s="1" t="s">
        <v>8191</v>
      </c>
      <c r="C8919" s="1" t="s">
        <v>3600</v>
      </c>
      <c r="D8919" s="1" t="s">
        <v>3601</v>
      </c>
      <c r="E8919" s="1" t="s">
        <v>3664</v>
      </c>
      <c r="F8919" s="1" t="s">
        <v>29657</v>
      </c>
      <c r="G8919" s="1" t="s">
        <v>16166</v>
      </c>
      <c r="H8919" s="1" t="s">
        <v>3604</v>
      </c>
      <c r="I8919" s="1" t="s">
        <v>29658</v>
      </c>
      <c r="J8919" s="1" t="s">
        <v>3615</v>
      </c>
      <c r="K8919" s="1" t="s">
        <v>29659</v>
      </c>
      <c r="L8919" s="1"/>
      <c r="M8919" s="1"/>
    </row>
    <row x14ac:dyDescent="0.25" r="8920" customHeight="1" ht="18.75">
      <c r="A8920" s="1" t="s">
        <v>3598</v>
      </c>
      <c r="B8920" s="1" t="s">
        <v>4689</v>
      </c>
      <c r="C8920" s="1" t="s">
        <v>3600</v>
      </c>
      <c r="D8920" s="1" t="s">
        <v>28428</v>
      </c>
      <c r="E8920" s="1" t="s">
        <v>3664</v>
      </c>
      <c r="F8920" s="1" t="s">
        <v>29660</v>
      </c>
      <c r="G8920" s="1" t="s">
        <v>22380</v>
      </c>
      <c r="H8920" s="1" t="s">
        <v>3604</v>
      </c>
      <c r="I8920" s="1" t="s">
        <v>29661</v>
      </c>
      <c r="J8920" s="1" t="s">
        <v>3615</v>
      </c>
      <c r="K8920" s="1" t="s">
        <v>29662</v>
      </c>
      <c r="L8920" s="1"/>
      <c r="M8920" s="1"/>
    </row>
    <row x14ac:dyDescent="0.25" r="8921" customHeight="1" ht="18.75">
      <c r="A8921" s="1" t="s">
        <v>3598</v>
      </c>
      <c r="B8921" s="1" t="s">
        <v>4273</v>
      </c>
      <c r="C8921" s="1" t="s">
        <v>3600</v>
      </c>
      <c r="D8921" s="1" t="s">
        <v>3601</v>
      </c>
      <c r="E8921" s="1" t="s">
        <v>3664</v>
      </c>
      <c r="F8921" s="1" t="s">
        <v>29663</v>
      </c>
      <c r="G8921" s="1" t="s">
        <v>21678</v>
      </c>
      <c r="H8921" s="1" t="s">
        <v>3604</v>
      </c>
      <c r="I8921" s="1" t="s">
        <v>29664</v>
      </c>
      <c r="J8921" s="1" t="s">
        <v>3615</v>
      </c>
      <c r="K8921" s="1" t="s">
        <v>29665</v>
      </c>
      <c r="L8921" s="1"/>
      <c r="M8921" s="1"/>
    </row>
    <row x14ac:dyDescent="0.25" r="8922" customHeight="1" ht="18.75">
      <c r="A8922" s="1" t="s">
        <v>3598</v>
      </c>
      <c r="B8922" s="1" t="s">
        <v>13758</v>
      </c>
      <c r="C8922" s="1" t="s">
        <v>3600</v>
      </c>
      <c r="D8922" s="1" t="s">
        <v>28428</v>
      </c>
      <c r="E8922" s="1" t="s">
        <v>3893</v>
      </c>
      <c r="F8922" s="1" t="s">
        <v>29666</v>
      </c>
      <c r="G8922" s="1" t="s">
        <v>28666</v>
      </c>
      <c r="H8922" s="1" t="s">
        <v>3604</v>
      </c>
      <c r="I8922" s="1" t="s">
        <v>29667</v>
      </c>
      <c r="J8922" s="1" t="s">
        <v>3615</v>
      </c>
      <c r="K8922" s="1" t="s">
        <v>29668</v>
      </c>
      <c r="L8922" s="1"/>
      <c r="M8922" s="1"/>
    </row>
    <row x14ac:dyDescent="0.25" r="8923" customHeight="1" ht="18.75">
      <c r="A8923" s="1" t="s">
        <v>3598</v>
      </c>
      <c r="B8923" s="1" t="s">
        <v>4273</v>
      </c>
      <c r="C8923" s="1" t="s">
        <v>3600</v>
      </c>
      <c r="D8923" s="1" t="s">
        <v>3601</v>
      </c>
      <c r="E8923" s="1" t="s">
        <v>3664</v>
      </c>
      <c r="F8923" s="1" t="s">
        <v>29669</v>
      </c>
      <c r="G8923" s="1" t="s">
        <v>20094</v>
      </c>
      <c r="H8923" s="1" t="s">
        <v>3604</v>
      </c>
      <c r="I8923" s="1" t="s">
        <v>29670</v>
      </c>
      <c r="J8923" s="1" t="s">
        <v>3615</v>
      </c>
      <c r="K8923" s="1" t="s">
        <v>29671</v>
      </c>
      <c r="L8923" s="1"/>
      <c r="M8923" s="1"/>
    </row>
    <row x14ac:dyDescent="0.25" r="8924" customHeight="1" ht="18.75">
      <c r="A8924" s="1" t="s">
        <v>3598</v>
      </c>
      <c r="B8924" s="1" t="s">
        <v>13758</v>
      </c>
      <c r="C8924" s="1" t="s">
        <v>3600</v>
      </c>
      <c r="D8924" s="1" t="s">
        <v>28428</v>
      </c>
      <c r="E8924" s="1" t="s">
        <v>3893</v>
      </c>
      <c r="F8924" s="1" t="s">
        <v>29672</v>
      </c>
      <c r="G8924" s="1" t="s">
        <v>6452</v>
      </c>
      <c r="H8924" s="1" t="s">
        <v>3604</v>
      </c>
      <c r="I8924" s="1" t="s">
        <v>29673</v>
      </c>
      <c r="J8924" s="1" t="s">
        <v>3615</v>
      </c>
      <c r="K8924" s="1" t="s">
        <v>29674</v>
      </c>
      <c r="L8924" s="1"/>
      <c r="M8924" s="1"/>
    </row>
    <row x14ac:dyDescent="0.25" r="8925" customHeight="1" ht="18.75">
      <c r="A8925" s="1" t="s">
        <v>3598</v>
      </c>
      <c r="B8925" s="1" t="s">
        <v>4273</v>
      </c>
      <c r="C8925" s="1" t="s">
        <v>3600</v>
      </c>
      <c r="D8925" s="1" t="s">
        <v>3601</v>
      </c>
      <c r="E8925" s="1" t="s">
        <v>3664</v>
      </c>
      <c r="F8925" s="1" t="s">
        <v>29675</v>
      </c>
      <c r="G8925" s="1" t="s">
        <v>29676</v>
      </c>
      <c r="H8925" s="1" t="s">
        <v>3604</v>
      </c>
      <c r="I8925" s="1" t="s">
        <v>29677</v>
      </c>
      <c r="J8925" s="1" t="s">
        <v>3615</v>
      </c>
      <c r="K8925" s="1" t="s">
        <v>29678</v>
      </c>
      <c r="L8925" s="1"/>
      <c r="M8925" s="1"/>
    </row>
    <row x14ac:dyDescent="0.25" r="8926" customHeight="1" ht="18.75">
      <c r="A8926" s="1" t="s">
        <v>3598</v>
      </c>
      <c r="B8926" s="1" t="s">
        <v>18092</v>
      </c>
      <c r="C8926" s="1" t="s">
        <v>3600</v>
      </c>
      <c r="D8926" s="1" t="s">
        <v>28428</v>
      </c>
      <c r="E8926" s="1" t="s">
        <v>3893</v>
      </c>
      <c r="F8926" s="1" t="s">
        <v>29679</v>
      </c>
      <c r="G8926" s="1" t="s">
        <v>29407</v>
      </c>
      <c r="H8926" s="1" t="s">
        <v>3604</v>
      </c>
      <c r="I8926" s="1" t="s">
        <v>29680</v>
      </c>
      <c r="J8926" s="1" t="s">
        <v>3615</v>
      </c>
      <c r="K8926" s="1" t="s">
        <v>29681</v>
      </c>
      <c r="L8926" s="1"/>
      <c r="M8926" s="1"/>
    </row>
    <row x14ac:dyDescent="0.25" r="8927" customHeight="1" ht="18.75">
      <c r="A8927" s="1" t="s">
        <v>3598</v>
      </c>
      <c r="B8927" s="1" t="s">
        <v>9251</v>
      </c>
      <c r="C8927" s="1" t="s">
        <v>3600</v>
      </c>
      <c r="D8927" s="1" t="s">
        <v>28428</v>
      </c>
      <c r="E8927" s="1" t="s">
        <v>3893</v>
      </c>
      <c r="F8927" s="1" t="s">
        <v>29682</v>
      </c>
      <c r="G8927" s="1" t="s">
        <v>8648</v>
      </c>
      <c r="H8927" s="1" t="s">
        <v>3604</v>
      </c>
      <c r="I8927" s="1" t="s">
        <v>29683</v>
      </c>
      <c r="J8927" s="1" t="s">
        <v>3615</v>
      </c>
      <c r="K8927" s="1" t="s">
        <v>29684</v>
      </c>
      <c r="L8927" s="1"/>
      <c r="M8927" s="1"/>
    </row>
    <row x14ac:dyDescent="0.25" r="8928" customHeight="1" ht="18.75">
      <c r="A8928" s="1" t="s">
        <v>3598</v>
      </c>
      <c r="B8928" s="1" t="s">
        <v>4273</v>
      </c>
      <c r="C8928" s="1" t="s">
        <v>3600</v>
      </c>
      <c r="D8928" s="1" t="s">
        <v>3601</v>
      </c>
      <c r="E8928" s="1" t="s">
        <v>3664</v>
      </c>
      <c r="F8928" s="1" t="s">
        <v>29685</v>
      </c>
      <c r="G8928" s="1" t="s">
        <v>29600</v>
      </c>
      <c r="H8928" s="1" t="s">
        <v>3604</v>
      </c>
      <c r="I8928" s="1" t="s">
        <v>29686</v>
      </c>
      <c r="J8928" s="1" t="s">
        <v>3615</v>
      </c>
      <c r="K8928" s="1" t="s">
        <v>29687</v>
      </c>
      <c r="L8928" s="1"/>
      <c r="M8928" s="1"/>
    </row>
    <row x14ac:dyDescent="0.25" r="8929" customHeight="1" ht="18.75">
      <c r="A8929" s="1" t="s">
        <v>3598</v>
      </c>
      <c r="B8929" s="1" t="s">
        <v>9246</v>
      </c>
      <c r="C8929" s="1" t="s">
        <v>3600</v>
      </c>
      <c r="D8929" s="1" t="s">
        <v>28428</v>
      </c>
      <c r="E8929" s="1" t="s">
        <v>3893</v>
      </c>
      <c r="F8929" s="1" t="s">
        <v>29688</v>
      </c>
      <c r="G8929" s="1" t="s">
        <v>8643</v>
      </c>
      <c r="H8929" s="1" t="s">
        <v>3604</v>
      </c>
      <c r="I8929" s="1" t="s">
        <v>29689</v>
      </c>
      <c r="J8929" s="1" t="s">
        <v>3615</v>
      </c>
      <c r="K8929" s="1" t="s">
        <v>29690</v>
      </c>
      <c r="L8929" s="1"/>
      <c r="M8929" s="1"/>
    </row>
    <row x14ac:dyDescent="0.25" r="8930" customHeight="1" ht="18.75">
      <c r="A8930" s="1" t="s">
        <v>3598</v>
      </c>
      <c r="B8930" s="1" t="s">
        <v>4273</v>
      </c>
      <c r="C8930" s="1" t="s">
        <v>3600</v>
      </c>
      <c r="D8930" s="1" t="s">
        <v>3601</v>
      </c>
      <c r="E8930" s="1" t="s">
        <v>3664</v>
      </c>
      <c r="F8930" s="1" t="s">
        <v>29691</v>
      </c>
      <c r="G8930" s="1" t="s">
        <v>16620</v>
      </c>
      <c r="H8930" s="1" t="s">
        <v>3604</v>
      </c>
      <c r="I8930" s="1" t="s">
        <v>29692</v>
      </c>
      <c r="J8930" s="1" t="s">
        <v>3615</v>
      </c>
      <c r="K8930" s="1" t="s">
        <v>29693</v>
      </c>
      <c r="L8930" s="1"/>
      <c r="M8930" s="1"/>
    </row>
    <row x14ac:dyDescent="0.25" r="8931" customHeight="1" ht="18.75">
      <c r="A8931" s="1" t="s">
        <v>3598</v>
      </c>
      <c r="B8931" s="1" t="s">
        <v>6954</v>
      </c>
      <c r="C8931" s="1" t="s">
        <v>3600</v>
      </c>
      <c r="D8931" s="1" t="s">
        <v>28428</v>
      </c>
      <c r="E8931" s="1" t="s">
        <v>3664</v>
      </c>
      <c r="F8931" s="1" t="s">
        <v>29694</v>
      </c>
      <c r="G8931" s="1" t="s">
        <v>29695</v>
      </c>
      <c r="H8931" s="1" t="s">
        <v>3604</v>
      </c>
      <c r="I8931" s="1" t="s">
        <v>29696</v>
      </c>
      <c r="J8931" s="1" t="s">
        <v>3615</v>
      </c>
      <c r="K8931" s="1" t="s">
        <v>29697</v>
      </c>
      <c r="L8931" s="1"/>
      <c r="M8931" s="1"/>
    </row>
    <row x14ac:dyDescent="0.25" r="8932" customHeight="1" ht="18.75">
      <c r="A8932" s="1" t="s">
        <v>3598</v>
      </c>
      <c r="B8932" s="1" t="s">
        <v>14108</v>
      </c>
      <c r="C8932" s="1" t="s">
        <v>3600</v>
      </c>
      <c r="D8932" s="1" t="s">
        <v>3601</v>
      </c>
      <c r="E8932" s="1" t="s">
        <v>3664</v>
      </c>
      <c r="F8932" s="1" t="s">
        <v>29698</v>
      </c>
      <c r="G8932" s="1" t="s">
        <v>16620</v>
      </c>
      <c r="H8932" s="1" t="s">
        <v>3604</v>
      </c>
      <c r="I8932" s="1" t="s">
        <v>29699</v>
      </c>
      <c r="J8932" s="1" t="s">
        <v>3615</v>
      </c>
      <c r="K8932" s="1" t="s">
        <v>29700</v>
      </c>
      <c r="L8932" s="1"/>
      <c r="M8932" s="1"/>
    </row>
    <row x14ac:dyDescent="0.25" r="8933" customHeight="1" ht="18.75">
      <c r="A8933" s="1" t="s">
        <v>3598</v>
      </c>
      <c r="B8933" s="1" t="s">
        <v>4689</v>
      </c>
      <c r="C8933" s="1" t="s">
        <v>3600</v>
      </c>
      <c r="D8933" s="1" t="s">
        <v>3601</v>
      </c>
      <c r="E8933" s="1" t="s">
        <v>3752</v>
      </c>
      <c r="F8933" s="1" t="s">
        <v>29701</v>
      </c>
      <c r="G8933" s="1" t="s">
        <v>22512</v>
      </c>
      <c r="H8933" s="1" t="s">
        <v>3604</v>
      </c>
      <c r="I8933" s="1" t="s">
        <v>29702</v>
      </c>
      <c r="J8933" s="1" t="s">
        <v>3615</v>
      </c>
      <c r="K8933" s="1" t="s">
        <v>29703</v>
      </c>
      <c r="L8933" s="1"/>
      <c r="M8933" s="1"/>
    </row>
    <row x14ac:dyDescent="0.25" r="8934" customHeight="1" ht="18.75">
      <c r="A8934" s="1" t="s">
        <v>3598</v>
      </c>
      <c r="B8934" s="1" t="s">
        <v>6811</v>
      </c>
      <c r="C8934" s="1" t="s">
        <v>3600</v>
      </c>
      <c r="D8934" s="1" t="s">
        <v>28428</v>
      </c>
      <c r="E8934" s="1" t="s">
        <v>3664</v>
      </c>
      <c r="F8934" s="1" t="s">
        <v>29704</v>
      </c>
      <c r="G8934" s="1" t="s">
        <v>16814</v>
      </c>
      <c r="H8934" s="1" t="s">
        <v>3604</v>
      </c>
      <c r="I8934" s="1" t="s">
        <v>29705</v>
      </c>
      <c r="J8934" s="1" t="s">
        <v>3615</v>
      </c>
      <c r="K8934" s="1" t="s">
        <v>29706</v>
      </c>
      <c r="L8934" s="1"/>
      <c r="M8934" s="1"/>
    </row>
    <row x14ac:dyDescent="0.25" r="8935" customHeight="1" ht="18.75">
      <c r="A8935" s="1" t="s">
        <v>3598</v>
      </c>
      <c r="B8935" s="1" t="s">
        <v>4689</v>
      </c>
      <c r="C8935" s="1" t="s">
        <v>3600</v>
      </c>
      <c r="D8935" s="1" t="s">
        <v>3601</v>
      </c>
      <c r="E8935" s="1" t="s">
        <v>3752</v>
      </c>
      <c r="F8935" s="1" t="s">
        <v>29707</v>
      </c>
      <c r="G8935" s="1" t="s">
        <v>22516</v>
      </c>
      <c r="H8935" s="1" t="s">
        <v>3604</v>
      </c>
      <c r="I8935" s="1" t="s">
        <v>29708</v>
      </c>
      <c r="J8935" s="1" t="s">
        <v>3615</v>
      </c>
      <c r="K8935" s="1" t="s">
        <v>29709</v>
      </c>
      <c r="L8935" s="1"/>
      <c r="M8935" s="1"/>
    </row>
    <row x14ac:dyDescent="0.25" r="8936" customHeight="1" ht="18.75">
      <c r="A8936" s="1" t="s">
        <v>3598</v>
      </c>
      <c r="B8936" s="1" t="s">
        <v>13984</v>
      </c>
      <c r="C8936" s="1" t="s">
        <v>3600</v>
      </c>
      <c r="D8936" s="1" t="s">
        <v>28428</v>
      </c>
      <c r="E8936" s="1" t="s">
        <v>3893</v>
      </c>
      <c r="F8936" s="1" t="s">
        <v>29710</v>
      </c>
      <c r="G8936" s="1" t="s">
        <v>6524</v>
      </c>
      <c r="H8936" s="1" t="s">
        <v>3604</v>
      </c>
      <c r="I8936" s="1" t="s">
        <v>29711</v>
      </c>
      <c r="J8936" s="1" t="s">
        <v>3615</v>
      </c>
      <c r="K8936" s="1" t="s">
        <v>29712</v>
      </c>
      <c r="L8936" s="1"/>
      <c r="M8936" s="1"/>
    </row>
    <row x14ac:dyDescent="0.25" r="8937" customHeight="1" ht="18.75">
      <c r="A8937" s="1" t="s">
        <v>3598</v>
      </c>
      <c r="B8937" s="1" t="s">
        <v>5260</v>
      </c>
      <c r="C8937" s="1" t="s">
        <v>3600</v>
      </c>
      <c r="D8937" s="1" t="s">
        <v>3601</v>
      </c>
      <c r="E8937" s="1" t="s">
        <v>3752</v>
      </c>
      <c r="F8937" s="1" t="s">
        <v>29713</v>
      </c>
      <c r="G8937" s="1" t="s">
        <v>29714</v>
      </c>
      <c r="H8937" s="1" t="s">
        <v>3604</v>
      </c>
      <c r="I8937" s="1" t="s">
        <v>29715</v>
      </c>
      <c r="J8937" s="1" t="s">
        <v>3615</v>
      </c>
      <c r="K8937" s="1" t="s">
        <v>29716</v>
      </c>
      <c r="L8937" s="1"/>
      <c r="M8937" s="1"/>
    </row>
    <row x14ac:dyDescent="0.25" r="8938" customHeight="1" ht="18.75">
      <c r="A8938" s="1" t="s">
        <v>3598</v>
      </c>
      <c r="B8938" s="1" t="s">
        <v>5260</v>
      </c>
      <c r="C8938" s="1" t="s">
        <v>3600</v>
      </c>
      <c r="D8938" s="1" t="s">
        <v>3601</v>
      </c>
      <c r="E8938" s="1" t="s">
        <v>3752</v>
      </c>
      <c r="F8938" s="1" t="s">
        <v>29717</v>
      </c>
      <c r="G8938" s="1" t="s">
        <v>17246</v>
      </c>
      <c r="H8938" s="1" t="s">
        <v>3604</v>
      </c>
      <c r="I8938" s="1" t="s">
        <v>29718</v>
      </c>
      <c r="J8938" s="1" t="s">
        <v>3615</v>
      </c>
      <c r="K8938" s="1" t="s">
        <v>29719</v>
      </c>
      <c r="L8938" s="1"/>
      <c r="M8938" s="1"/>
    </row>
    <row x14ac:dyDescent="0.25" r="8939" customHeight="1" ht="18.75">
      <c r="A8939" s="1" t="s">
        <v>3598</v>
      </c>
      <c r="B8939" s="1" t="s">
        <v>5260</v>
      </c>
      <c r="C8939" s="1" t="s">
        <v>3600</v>
      </c>
      <c r="D8939" s="1" t="s">
        <v>3601</v>
      </c>
      <c r="E8939" s="1" t="s">
        <v>3752</v>
      </c>
      <c r="F8939" s="1" t="s">
        <v>29720</v>
      </c>
      <c r="G8939" s="1" t="s">
        <v>17246</v>
      </c>
      <c r="H8939" s="1" t="s">
        <v>3604</v>
      </c>
      <c r="I8939" s="1" t="s">
        <v>29721</v>
      </c>
      <c r="J8939" s="1" t="s">
        <v>3615</v>
      </c>
      <c r="K8939" s="1" t="s">
        <v>29722</v>
      </c>
      <c r="L8939" s="1"/>
      <c r="M8939" s="1"/>
    </row>
    <row x14ac:dyDescent="0.25" r="8940" customHeight="1" ht="18.75">
      <c r="A8940" s="1" t="s">
        <v>3598</v>
      </c>
      <c r="B8940" s="1" t="s">
        <v>5260</v>
      </c>
      <c r="C8940" s="1" t="s">
        <v>3600</v>
      </c>
      <c r="D8940" s="1" t="s">
        <v>3601</v>
      </c>
      <c r="E8940" s="1" t="s">
        <v>3664</v>
      </c>
      <c r="F8940" s="1" t="s">
        <v>29723</v>
      </c>
      <c r="G8940" s="1" t="s">
        <v>17246</v>
      </c>
      <c r="H8940" s="1" t="s">
        <v>3604</v>
      </c>
      <c r="I8940" s="1" t="s">
        <v>29724</v>
      </c>
      <c r="J8940" s="1" t="s">
        <v>3615</v>
      </c>
      <c r="K8940" s="1" t="s">
        <v>29725</v>
      </c>
      <c r="L8940" s="1"/>
      <c r="M8940" s="1"/>
    </row>
    <row x14ac:dyDescent="0.25" r="8941" customHeight="1" ht="18.75">
      <c r="A8941" s="1" t="s">
        <v>3598</v>
      </c>
      <c r="B8941" s="1" t="s">
        <v>5260</v>
      </c>
      <c r="C8941" s="1" t="s">
        <v>3600</v>
      </c>
      <c r="D8941" s="1" t="s">
        <v>3601</v>
      </c>
      <c r="E8941" s="1" t="s">
        <v>3893</v>
      </c>
      <c r="F8941" s="1" t="s">
        <v>29726</v>
      </c>
      <c r="G8941" s="1" t="s">
        <v>17246</v>
      </c>
      <c r="H8941" s="1" t="s">
        <v>3604</v>
      </c>
      <c r="I8941" s="1" t="s">
        <v>29727</v>
      </c>
      <c r="J8941" s="1" t="s">
        <v>3615</v>
      </c>
      <c r="K8941" s="1" t="s">
        <v>29728</v>
      </c>
      <c r="L8941" s="1"/>
      <c r="M8941" s="1"/>
    </row>
    <row x14ac:dyDescent="0.25" r="8942" customHeight="1" ht="18.75">
      <c r="A8942" s="1" t="s">
        <v>3598</v>
      </c>
      <c r="B8942" s="1" t="s">
        <v>5260</v>
      </c>
      <c r="C8942" s="1" t="s">
        <v>3600</v>
      </c>
      <c r="D8942" s="1" t="s">
        <v>3601</v>
      </c>
      <c r="E8942" s="1" t="s">
        <v>3664</v>
      </c>
      <c r="F8942" s="1" t="s">
        <v>29729</v>
      </c>
      <c r="G8942" s="1" t="s">
        <v>21134</v>
      </c>
      <c r="H8942" s="1" t="s">
        <v>3604</v>
      </c>
      <c r="I8942" s="1" t="s">
        <v>29730</v>
      </c>
      <c r="J8942" s="1" t="s">
        <v>3615</v>
      </c>
      <c r="K8942" s="1" t="s">
        <v>29731</v>
      </c>
      <c r="L8942" s="1"/>
      <c r="M8942" s="1"/>
    </row>
    <row x14ac:dyDescent="0.25" r="8943" customHeight="1" ht="18.75">
      <c r="A8943" s="1" t="s">
        <v>3598</v>
      </c>
      <c r="B8943" s="1" t="s">
        <v>5260</v>
      </c>
      <c r="C8943" s="1" t="s">
        <v>3600</v>
      </c>
      <c r="D8943" s="1" t="s">
        <v>3601</v>
      </c>
      <c r="E8943" s="1" t="s">
        <v>3893</v>
      </c>
      <c r="F8943" s="1" t="s">
        <v>29732</v>
      </c>
      <c r="G8943" s="1" t="s">
        <v>17246</v>
      </c>
      <c r="H8943" s="1" t="s">
        <v>3604</v>
      </c>
      <c r="I8943" s="1" t="s">
        <v>29733</v>
      </c>
      <c r="J8943" s="1" t="s">
        <v>3615</v>
      </c>
      <c r="K8943" s="1" t="s">
        <v>29734</v>
      </c>
      <c r="L8943" s="1"/>
      <c r="M8943" s="1"/>
    </row>
    <row x14ac:dyDescent="0.25" r="8944" customHeight="1" ht="18.75">
      <c r="A8944" s="1" t="s">
        <v>3598</v>
      </c>
      <c r="B8944" s="1" t="s">
        <v>5260</v>
      </c>
      <c r="C8944" s="1" t="s">
        <v>3600</v>
      </c>
      <c r="D8944" s="1" t="s">
        <v>3601</v>
      </c>
      <c r="E8944" s="1" t="s">
        <v>3893</v>
      </c>
      <c r="F8944" s="1" t="s">
        <v>29735</v>
      </c>
      <c r="G8944" s="1" t="s">
        <v>17246</v>
      </c>
      <c r="H8944" s="1" t="s">
        <v>3604</v>
      </c>
      <c r="I8944" s="1" t="s">
        <v>29736</v>
      </c>
      <c r="J8944" s="1" t="s">
        <v>3615</v>
      </c>
      <c r="K8944" s="1" t="s">
        <v>29737</v>
      </c>
      <c r="L8944" s="1"/>
      <c r="M8944" s="1"/>
    </row>
    <row x14ac:dyDescent="0.25" r="8945" customHeight="1" ht="18.75">
      <c r="A8945" s="1" t="s">
        <v>3598</v>
      </c>
      <c r="B8945" s="1" t="s">
        <v>9273</v>
      </c>
      <c r="C8945" s="1" t="s">
        <v>3600</v>
      </c>
      <c r="D8945" s="1" t="s">
        <v>3601</v>
      </c>
      <c r="E8945" s="1" t="s">
        <v>3664</v>
      </c>
      <c r="F8945" s="1" t="s">
        <v>29738</v>
      </c>
      <c r="G8945" s="1" t="s">
        <v>21134</v>
      </c>
      <c r="H8945" s="1" t="s">
        <v>3604</v>
      </c>
      <c r="I8945" s="1" t="s">
        <v>29739</v>
      </c>
      <c r="J8945" s="1" t="s">
        <v>3615</v>
      </c>
      <c r="K8945" s="1" t="s">
        <v>29740</v>
      </c>
      <c r="L8945" s="1"/>
      <c r="M8945" s="1"/>
    </row>
    <row x14ac:dyDescent="0.25" r="8946" customHeight="1" ht="18.75">
      <c r="A8946" s="1" t="s">
        <v>3598</v>
      </c>
      <c r="B8946" s="1" t="s">
        <v>5260</v>
      </c>
      <c r="C8946" s="1" t="s">
        <v>3600</v>
      </c>
      <c r="D8946" s="1" t="s">
        <v>3601</v>
      </c>
      <c r="E8946" s="1" t="s">
        <v>3664</v>
      </c>
      <c r="F8946" s="1" t="s">
        <v>29741</v>
      </c>
      <c r="G8946" s="1" t="s">
        <v>21228</v>
      </c>
      <c r="H8946" s="1" t="s">
        <v>3604</v>
      </c>
      <c r="I8946" s="1" t="s">
        <v>29742</v>
      </c>
      <c r="J8946" s="1" t="s">
        <v>3615</v>
      </c>
      <c r="K8946" s="1" t="s">
        <v>29743</v>
      </c>
      <c r="L8946" s="1"/>
      <c r="M8946" s="1"/>
    </row>
    <row x14ac:dyDescent="0.25" r="8947" customHeight="1" ht="18.75">
      <c r="A8947" s="1" t="s">
        <v>3598</v>
      </c>
      <c r="B8947" s="1" t="s">
        <v>17258</v>
      </c>
      <c r="C8947" s="1" t="s">
        <v>3600</v>
      </c>
      <c r="D8947" s="1" t="s">
        <v>3601</v>
      </c>
      <c r="E8947" s="1" t="s">
        <v>3664</v>
      </c>
      <c r="F8947" s="1" t="s">
        <v>29744</v>
      </c>
      <c r="G8947" s="1" t="s">
        <v>16616</v>
      </c>
      <c r="H8947" s="1" t="s">
        <v>3604</v>
      </c>
      <c r="I8947" s="1" t="s">
        <v>29745</v>
      </c>
      <c r="J8947" s="1" t="s">
        <v>3615</v>
      </c>
      <c r="K8947" s="1" t="s">
        <v>29746</v>
      </c>
      <c r="L8947" s="1"/>
      <c r="M8947" s="1"/>
    </row>
    <row x14ac:dyDescent="0.25" r="8948" customHeight="1" ht="18.75">
      <c r="A8948" s="1" t="s">
        <v>3598</v>
      </c>
      <c r="B8948" s="1" t="s">
        <v>6954</v>
      </c>
      <c r="C8948" s="1" t="s">
        <v>3600</v>
      </c>
      <c r="D8948" s="1" t="s">
        <v>3601</v>
      </c>
      <c r="E8948" s="1" t="s">
        <v>3611</v>
      </c>
      <c r="F8948" s="1" t="s">
        <v>29747</v>
      </c>
      <c r="G8948" s="1" t="s">
        <v>29748</v>
      </c>
      <c r="H8948" s="1" t="s">
        <v>3604</v>
      </c>
      <c r="I8948" s="1" t="s">
        <v>29749</v>
      </c>
      <c r="J8948" s="1" t="s">
        <v>3615</v>
      </c>
      <c r="K8948" s="1" t="s">
        <v>29750</v>
      </c>
      <c r="L8948" s="1"/>
      <c r="M8948" s="1"/>
    </row>
    <row x14ac:dyDescent="0.25" r="8949" customHeight="1" ht="18.75">
      <c r="A8949" s="1" t="s">
        <v>3598</v>
      </c>
      <c r="B8949" s="1" t="s">
        <v>6954</v>
      </c>
      <c r="C8949" s="1" t="s">
        <v>3600</v>
      </c>
      <c r="D8949" s="1" t="s">
        <v>3601</v>
      </c>
      <c r="E8949" s="1" t="s">
        <v>3752</v>
      </c>
      <c r="F8949" s="1" t="s">
        <v>29751</v>
      </c>
      <c r="G8949" s="1" t="s">
        <v>29752</v>
      </c>
      <c r="H8949" s="1" t="s">
        <v>3604</v>
      </c>
      <c r="I8949" s="1" t="s">
        <v>29753</v>
      </c>
      <c r="J8949" s="1" t="s">
        <v>3615</v>
      </c>
      <c r="K8949" s="1" t="s">
        <v>29754</v>
      </c>
      <c r="L8949" s="1"/>
      <c r="M8949" s="1"/>
    </row>
    <row x14ac:dyDescent="0.25" r="8950" customHeight="1" ht="18.75">
      <c r="A8950" s="1" t="s">
        <v>3598</v>
      </c>
      <c r="B8950" s="1" t="s">
        <v>6954</v>
      </c>
      <c r="C8950" s="1" t="s">
        <v>3600</v>
      </c>
      <c r="D8950" s="1" t="s">
        <v>3601</v>
      </c>
      <c r="E8950" s="1" t="s">
        <v>3752</v>
      </c>
      <c r="F8950" s="1" t="s">
        <v>29755</v>
      </c>
      <c r="G8950" s="1" t="s">
        <v>29756</v>
      </c>
      <c r="H8950" s="1" t="s">
        <v>3604</v>
      </c>
      <c r="I8950" s="1" t="s">
        <v>29757</v>
      </c>
      <c r="J8950" s="1" t="s">
        <v>3615</v>
      </c>
      <c r="K8950" s="1" t="s">
        <v>29758</v>
      </c>
      <c r="L8950" s="1"/>
      <c r="M8950" s="1"/>
    </row>
    <row x14ac:dyDescent="0.25" r="8951" customHeight="1" ht="18.75">
      <c r="A8951" s="1" t="s">
        <v>3598</v>
      </c>
      <c r="B8951" s="1" t="s">
        <v>6954</v>
      </c>
      <c r="C8951" s="1" t="s">
        <v>3600</v>
      </c>
      <c r="D8951" s="1" t="s">
        <v>3601</v>
      </c>
      <c r="E8951" s="1" t="s">
        <v>3752</v>
      </c>
      <c r="F8951" s="1" t="s">
        <v>29759</v>
      </c>
      <c r="G8951" s="1" t="s">
        <v>29760</v>
      </c>
      <c r="H8951" s="1" t="s">
        <v>3604</v>
      </c>
      <c r="I8951" s="1" t="s">
        <v>29761</v>
      </c>
      <c r="J8951" s="1" t="s">
        <v>3615</v>
      </c>
      <c r="K8951" s="1" t="s">
        <v>29762</v>
      </c>
      <c r="L8951" s="1"/>
      <c r="M8951" s="1"/>
    </row>
    <row x14ac:dyDescent="0.25" r="8952" customHeight="1" ht="18.75">
      <c r="A8952" s="1" t="s">
        <v>3598</v>
      </c>
      <c r="B8952" s="1" t="s">
        <v>6954</v>
      </c>
      <c r="C8952" s="1" t="s">
        <v>3600</v>
      </c>
      <c r="D8952" s="1" t="s">
        <v>3601</v>
      </c>
      <c r="E8952" s="1" t="s">
        <v>3752</v>
      </c>
      <c r="F8952" s="1" t="s">
        <v>29763</v>
      </c>
      <c r="G8952" s="1" t="s">
        <v>29764</v>
      </c>
      <c r="H8952" s="1" t="s">
        <v>3604</v>
      </c>
      <c r="I8952" s="1" t="s">
        <v>29765</v>
      </c>
      <c r="J8952" s="1" t="s">
        <v>3615</v>
      </c>
      <c r="K8952" s="1" t="s">
        <v>29766</v>
      </c>
      <c r="L8952" s="1"/>
      <c r="M8952" s="1"/>
    </row>
    <row x14ac:dyDescent="0.25" r="8953" customHeight="1" ht="18.75">
      <c r="A8953" s="1" t="s">
        <v>3598</v>
      </c>
      <c r="B8953" s="1" t="s">
        <v>6954</v>
      </c>
      <c r="C8953" s="1" t="s">
        <v>3600</v>
      </c>
      <c r="D8953" s="1" t="s">
        <v>3601</v>
      </c>
      <c r="E8953" s="1" t="s">
        <v>3664</v>
      </c>
      <c r="F8953" s="1" t="s">
        <v>29767</v>
      </c>
      <c r="G8953" s="1" t="s">
        <v>29480</v>
      </c>
      <c r="H8953" s="1" t="s">
        <v>3604</v>
      </c>
      <c r="I8953" s="1" t="s">
        <v>29768</v>
      </c>
      <c r="J8953" s="1" t="s">
        <v>3615</v>
      </c>
      <c r="K8953" s="1" t="s">
        <v>29769</v>
      </c>
      <c r="L8953" s="1"/>
      <c r="M8953" s="1"/>
    </row>
    <row x14ac:dyDescent="0.25" r="8954" customHeight="1" ht="18.75">
      <c r="A8954" s="1" t="s">
        <v>3598</v>
      </c>
      <c r="B8954" s="1" t="s">
        <v>6954</v>
      </c>
      <c r="C8954" s="1" t="s">
        <v>3600</v>
      </c>
      <c r="D8954" s="1" t="s">
        <v>3601</v>
      </c>
      <c r="E8954" s="1" t="s">
        <v>3664</v>
      </c>
      <c r="F8954" s="1" t="s">
        <v>29770</v>
      </c>
      <c r="G8954" s="1" t="s">
        <v>16814</v>
      </c>
      <c r="H8954" s="1" t="s">
        <v>3604</v>
      </c>
      <c r="I8954" s="1" t="s">
        <v>29771</v>
      </c>
      <c r="J8954" s="1" t="s">
        <v>3615</v>
      </c>
      <c r="K8954" s="1" t="s">
        <v>29772</v>
      </c>
      <c r="L8954" s="1"/>
      <c r="M8954" s="1"/>
    </row>
    <row x14ac:dyDescent="0.25" r="8955" customHeight="1" ht="18.75">
      <c r="A8955" s="1" t="s">
        <v>3598</v>
      </c>
      <c r="B8955" s="1" t="s">
        <v>5260</v>
      </c>
      <c r="C8955" s="1" t="s">
        <v>3600</v>
      </c>
      <c r="D8955" s="1" t="s">
        <v>3601</v>
      </c>
      <c r="E8955" s="1" t="s">
        <v>3893</v>
      </c>
      <c r="F8955" s="1" t="s">
        <v>29773</v>
      </c>
      <c r="G8955" s="1" t="s">
        <v>20415</v>
      </c>
      <c r="H8955" s="1" t="s">
        <v>3604</v>
      </c>
      <c r="I8955" s="1" t="s">
        <v>29774</v>
      </c>
      <c r="J8955" s="1" t="s">
        <v>3615</v>
      </c>
      <c r="K8955" s="1" t="s">
        <v>29775</v>
      </c>
      <c r="L8955" s="1"/>
      <c r="M8955" s="1"/>
    </row>
    <row x14ac:dyDescent="0.25" r="8956" customHeight="1" ht="18.75">
      <c r="A8956" s="1" t="s">
        <v>3598</v>
      </c>
      <c r="B8956" s="1" t="s">
        <v>6954</v>
      </c>
      <c r="C8956" s="1" t="s">
        <v>3600</v>
      </c>
      <c r="D8956" s="1" t="s">
        <v>3601</v>
      </c>
      <c r="E8956" s="1" t="s">
        <v>3893</v>
      </c>
      <c r="F8956" s="1" t="s">
        <v>29776</v>
      </c>
      <c r="G8956" s="1" t="s">
        <v>29777</v>
      </c>
      <c r="H8956" s="1" t="s">
        <v>3604</v>
      </c>
      <c r="I8956" s="1" t="s">
        <v>29778</v>
      </c>
      <c r="J8956" s="1" t="s">
        <v>3615</v>
      </c>
      <c r="K8956" s="1" t="s">
        <v>29779</v>
      </c>
      <c r="L8956" s="1"/>
      <c r="M8956" s="1"/>
    </row>
    <row x14ac:dyDescent="0.25" r="8957" customHeight="1" ht="18.75">
      <c r="A8957" s="1" t="s">
        <v>3598</v>
      </c>
      <c r="B8957" s="1" t="s">
        <v>5260</v>
      </c>
      <c r="C8957" s="1" t="s">
        <v>3600</v>
      </c>
      <c r="D8957" s="1" t="s">
        <v>3601</v>
      </c>
      <c r="E8957" s="1" t="s">
        <v>3893</v>
      </c>
      <c r="F8957" s="1" t="s">
        <v>29780</v>
      </c>
      <c r="G8957" s="1" t="s">
        <v>20419</v>
      </c>
      <c r="H8957" s="1" t="s">
        <v>3604</v>
      </c>
      <c r="I8957" s="1" t="s">
        <v>29781</v>
      </c>
      <c r="J8957" s="1" t="s">
        <v>3615</v>
      </c>
      <c r="K8957" s="1" t="s">
        <v>29782</v>
      </c>
      <c r="L8957" s="1"/>
      <c r="M8957" s="1"/>
    </row>
    <row x14ac:dyDescent="0.25" r="8958" customHeight="1" ht="18.75">
      <c r="A8958" s="1" t="s">
        <v>3598</v>
      </c>
      <c r="B8958" s="1" t="s">
        <v>6954</v>
      </c>
      <c r="C8958" s="1" t="s">
        <v>3600</v>
      </c>
      <c r="D8958" s="1" t="s">
        <v>3601</v>
      </c>
      <c r="E8958" s="1" t="s">
        <v>3893</v>
      </c>
      <c r="F8958" s="1" t="s">
        <v>29783</v>
      </c>
      <c r="G8958" s="1" t="s">
        <v>6524</v>
      </c>
      <c r="H8958" s="1" t="s">
        <v>3604</v>
      </c>
      <c r="I8958" s="1" t="s">
        <v>29784</v>
      </c>
      <c r="J8958" s="1" t="s">
        <v>3615</v>
      </c>
      <c r="K8958" s="1" t="s">
        <v>29785</v>
      </c>
      <c r="L8958" s="1"/>
      <c r="M8958" s="1"/>
    </row>
    <row x14ac:dyDescent="0.25" r="8959" customHeight="1" ht="18.75">
      <c r="A8959" s="1" t="s">
        <v>3598</v>
      </c>
      <c r="B8959" s="1" t="s">
        <v>5260</v>
      </c>
      <c r="C8959" s="1" t="s">
        <v>3600</v>
      </c>
      <c r="D8959" s="1" t="s">
        <v>3601</v>
      </c>
      <c r="E8959" s="1" t="s">
        <v>3893</v>
      </c>
      <c r="F8959" s="1" t="s">
        <v>29786</v>
      </c>
      <c r="G8959" s="1" t="s">
        <v>19887</v>
      </c>
      <c r="H8959" s="1" t="s">
        <v>3604</v>
      </c>
      <c r="I8959" s="1" t="s">
        <v>29787</v>
      </c>
      <c r="J8959" s="1" t="s">
        <v>3615</v>
      </c>
      <c r="K8959" s="1" t="s">
        <v>29788</v>
      </c>
      <c r="L8959" s="1"/>
      <c r="M8959" s="1"/>
    </row>
    <row x14ac:dyDescent="0.25" r="8960" customHeight="1" ht="18.75">
      <c r="A8960" s="1" t="s">
        <v>3598</v>
      </c>
      <c r="B8960" s="1" t="s">
        <v>6954</v>
      </c>
      <c r="C8960" s="1" t="s">
        <v>3600</v>
      </c>
      <c r="D8960" s="1" t="s">
        <v>3601</v>
      </c>
      <c r="E8960" s="1" t="s">
        <v>3893</v>
      </c>
      <c r="F8960" s="1" t="s">
        <v>29789</v>
      </c>
      <c r="G8960" s="1" t="s">
        <v>14139</v>
      </c>
      <c r="H8960" s="1" t="s">
        <v>3604</v>
      </c>
      <c r="I8960" s="1" t="s">
        <v>29790</v>
      </c>
      <c r="J8960" s="1" t="s">
        <v>3615</v>
      </c>
      <c r="K8960" s="1" t="s">
        <v>29791</v>
      </c>
      <c r="L8960" s="1"/>
      <c r="M8960" s="1"/>
    </row>
    <row x14ac:dyDescent="0.25" r="8961" customHeight="1" ht="18.75">
      <c r="A8961" s="1" t="s">
        <v>3598</v>
      </c>
      <c r="B8961" s="1" t="s">
        <v>5260</v>
      </c>
      <c r="C8961" s="1" t="s">
        <v>3600</v>
      </c>
      <c r="D8961" s="1" t="s">
        <v>3601</v>
      </c>
      <c r="E8961" s="1" t="s">
        <v>3893</v>
      </c>
      <c r="F8961" s="1" t="s">
        <v>29792</v>
      </c>
      <c r="G8961" s="1" t="s">
        <v>19883</v>
      </c>
      <c r="H8961" s="1" t="s">
        <v>3604</v>
      </c>
      <c r="I8961" s="1" t="s">
        <v>29793</v>
      </c>
      <c r="J8961" s="1" t="s">
        <v>3615</v>
      </c>
      <c r="K8961" s="1" t="s">
        <v>29794</v>
      </c>
      <c r="L8961" s="1"/>
      <c r="M8961" s="1"/>
    </row>
    <row x14ac:dyDescent="0.25" r="8962" customHeight="1" ht="18.75">
      <c r="A8962" s="1" t="s">
        <v>3598</v>
      </c>
      <c r="B8962" s="1" t="s">
        <v>8191</v>
      </c>
      <c r="C8962" s="1" t="s">
        <v>3600</v>
      </c>
      <c r="D8962" s="1" t="s">
        <v>3601</v>
      </c>
      <c r="E8962" s="1" t="s">
        <v>3664</v>
      </c>
      <c r="F8962" s="1" t="s">
        <v>29795</v>
      </c>
      <c r="G8962" s="1" t="s">
        <v>20591</v>
      </c>
      <c r="H8962" s="1" t="s">
        <v>3604</v>
      </c>
      <c r="I8962" s="1" t="s">
        <v>29796</v>
      </c>
      <c r="J8962" s="1" t="s">
        <v>3606</v>
      </c>
      <c r="K8962" s="1" t="s">
        <v>29797</v>
      </c>
      <c r="L8962" s="1"/>
      <c r="M8962" s="1"/>
    </row>
    <row x14ac:dyDescent="0.25" r="8963" customHeight="1" ht="18.75">
      <c r="A8963" s="1" t="s">
        <v>3598</v>
      </c>
      <c r="B8963" s="1" t="s">
        <v>5260</v>
      </c>
      <c r="C8963" s="1" t="s">
        <v>3600</v>
      </c>
      <c r="D8963" s="1" t="s">
        <v>3601</v>
      </c>
      <c r="E8963" s="1" t="s">
        <v>3893</v>
      </c>
      <c r="F8963" s="1" t="s">
        <v>29798</v>
      </c>
      <c r="G8963" s="1" t="s">
        <v>17246</v>
      </c>
      <c r="H8963" s="1" t="s">
        <v>3604</v>
      </c>
      <c r="I8963" s="1" t="s">
        <v>29799</v>
      </c>
      <c r="J8963" s="1" t="s">
        <v>3615</v>
      </c>
      <c r="K8963" s="1" t="s">
        <v>29800</v>
      </c>
      <c r="L8963" s="1"/>
      <c r="M8963" s="1"/>
    </row>
    <row x14ac:dyDescent="0.25" r="8964" customHeight="1" ht="18.75">
      <c r="A8964" s="1" t="s">
        <v>3598</v>
      </c>
      <c r="B8964" s="1" t="s">
        <v>3663</v>
      </c>
      <c r="C8964" s="1" t="s">
        <v>3600</v>
      </c>
      <c r="D8964" s="1" t="s">
        <v>3601</v>
      </c>
      <c r="E8964" s="1" t="s">
        <v>3611</v>
      </c>
      <c r="F8964" s="1" t="s">
        <v>29801</v>
      </c>
      <c r="G8964" s="1" t="s">
        <v>29802</v>
      </c>
      <c r="H8964" s="1" t="s">
        <v>3604</v>
      </c>
      <c r="I8964" s="1" t="s">
        <v>29803</v>
      </c>
      <c r="J8964" s="1" t="s">
        <v>3615</v>
      </c>
      <c r="K8964" s="1" t="s">
        <v>29804</v>
      </c>
      <c r="L8964" s="1"/>
      <c r="M8964" s="1"/>
    </row>
    <row x14ac:dyDescent="0.25" r="8965" customHeight="1" ht="18.75">
      <c r="A8965" s="1" t="s">
        <v>3598</v>
      </c>
      <c r="B8965" s="1" t="s">
        <v>6732</v>
      </c>
      <c r="C8965" s="1" t="s">
        <v>3600</v>
      </c>
      <c r="D8965" s="1" t="s">
        <v>3601</v>
      </c>
      <c r="E8965" s="1" t="s">
        <v>3664</v>
      </c>
      <c r="F8965" s="1" t="s">
        <v>29805</v>
      </c>
      <c r="G8965" s="1" t="s">
        <v>8658</v>
      </c>
      <c r="H8965" s="1" t="s">
        <v>3604</v>
      </c>
      <c r="I8965" s="1" t="s">
        <v>29806</v>
      </c>
      <c r="J8965" s="1" t="s">
        <v>3615</v>
      </c>
      <c r="K8965" s="1" t="s">
        <v>29807</v>
      </c>
      <c r="L8965" s="1"/>
      <c r="M8965" s="1"/>
    </row>
    <row x14ac:dyDescent="0.25" r="8966" customHeight="1" ht="18.75">
      <c r="A8966" s="1" t="s">
        <v>3598</v>
      </c>
      <c r="B8966" s="1" t="s">
        <v>3663</v>
      </c>
      <c r="C8966" s="1" t="s">
        <v>3600</v>
      </c>
      <c r="D8966" s="1" t="s">
        <v>3601</v>
      </c>
      <c r="E8966" s="1" t="s">
        <v>3664</v>
      </c>
      <c r="F8966" s="1" t="s">
        <v>29808</v>
      </c>
      <c r="G8966" s="1" t="s">
        <v>8349</v>
      </c>
      <c r="H8966" s="1" t="s">
        <v>3604</v>
      </c>
      <c r="I8966" s="1" t="s">
        <v>29809</v>
      </c>
      <c r="J8966" s="1" t="s">
        <v>3615</v>
      </c>
      <c r="K8966" s="1" t="s">
        <v>29810</v>
      </c>
      <c r="L8966" s="1"/>
      <c r="M8966" s="1"/>
    </row>
    <row x14ac:dyDescent="0.25" r="8967" customHeight="1" ht="18.75">
      <c r="A8967" s="1" t="s">
        <v>3598</v>
      </c>
      <c r="B8967" s="1" t="s">
        <v>9236</v>
      </c>
      <c r="C8967" s="1" t="s">
        <v>3600</v>
      </c>
      <c r="D8967" s="1" t="s">
        <v>3601</v>
      </c>
      <c r="E8967" s="1" t="s">
        <v>3664</v>
      </c>
      <c r="F8967" s="1" t="s">
        <v>29811</v>
      </c>
      <c r="G8967" s="1" t="s">
        <v>21212</v>
      </c>
      <c r="H8967" s="1" t="s">
        <v>3604</v>
      </c>
      <c r="I8967" s="1" t="s">
        <v>29812</v>
      </c>
      <c r="J8967" s="1" t="s">
        <v>3615</v>
      </c>
      <c r="K8967" s="1" t="s">
        <v>29813</v>
      </c>
      <c r="L8967" s="1"/>
      <c r="M8967" s="1"/>
    </row>
    <row x14ac:dyDescent="0.25" r="8968" customHeight="1" ht="18.75">
      <c r="A8968" s="1" t="s">
        <v>3598</v>
      </c>
      <c r="B8968" s="1" t="s">
        <v>3663</v>
      </c>
      <c r="C8968" s="1" t="s">
        <v>3600</v>
      </c>
      <c r="D8968" s="1" t="s">
        <v>3601</v>
      </c>
      <c r="E8968" s="1" t="s">
        <v>3664</v>
      </c>
      <c r="F8968" s="1" t="s">
        <v>29814</v>
      </c>
      <c r="G8968" s="1" t="s">
        <v>8346</v>
      </c>
      <c r="H8968" s="1" t="s">
        <v>3604</v>
      </c>
      <c r="I8968" s="1" t="s">
        <v>29815</v>
      </c>
      <c r="J8968" s="1" t="s">
        <v>3615</v>
      </c>
      <c r="K8968" s="1" t="s">
        <v>29816</v>
      </c>
      <c r="L8968" s="1"/>
      <c r="M8968" s="1"/>
    </row>
    <row x14ac:dyDescent="0.25" r="8969" customHeight="1" ht="18.75">
      <c r="A8969" s="1" t="s">
        <v>3598</v>
      </c>
      <c r="B8969" s="1" t="s">
        <v>9236</v>
      </c>
      <c r="C8969" s="1" t="s">
        <v>3600</v>
      </c>
      <c r="D8969" s="1" t="s">
        <v>3601</v>
      </c>
      <c r="E8969" s="1" t="s">
        <v>3664</v>
      </c>
      <c r="F8969" s="1" t="s">
        <v>29817</v>
      </c>
      <c r="G8969" s="1" t="s">
        <v>21866</v>
      </c>
      <c r="H8969" s="1" t="s">
        <v>3604</v>
      </c>
      <c r="I8969" s="1" t="s">
        <v>29818</v>
      </c>
      <c r="J8969" s="1" t="s">
        <v>3615</v>
      </c>
      <c r="K8969" s="1" t="s">
        <v>29819</v>
      </c>
      <c r="L8969" s="1"/>
      <c r="M8969" s="1"/>
    </row>
    <row x14ac:dyDescent="0.25" r="8970" customHeight="1" ht="18.75">
      <c r="A8970" s="1" t="s">
        <v>3598</v>
      </c>
      <c r="B8970" s="1" t="s">
        <v>9449</v>
      </c>
      <c r="C8970" s="1" t="s">
        <v>3600</v>
      </c>
      <c r="D8970" s="1" t="s">
        <v>3601</v>
      </c>
      <c r="E8970" s="1" t="s">
        <v>3611</v>
      </c>
      <c r="F8970" s="1" t="s">
        <v>29820</v>
      </c>
      <c r="G8970" s="1" t="s">
        <v>29821</v>
      </c>
      <c r="H8970" s="1" t="s">
        <v>3604</v>
      </c>
      <c r="I8970" s="1" t="s">
        <v>29822</v>
      </c>
      <c r="J8970" s="1" t="s">
        <v>3615</v>
      </c>
      <c r="K8970" s="1" t="s">
        <v>29823</v>
      </c>
      <c r="L8970" s="1"/>
      <c r="M8970" s="1"/>
    </row>
    <row x14ac:dyDescent="0.25" r="8971" customHeight="1" ht="18.75">
      <c r="A8971" s="1" t="s">
        <v>3598</v>
      </c>
      <c r="B8971" s="1" t="s">
        <v>9236</v>
      </c>
      <c r="C8971" s="1" t="s">
        <v>3600</v>
      </c>
      <c r="D8971" s="1" t="s">
        <v>3601</v>
      </c>
      <c r="E8971" s="1" t="s">
        <v>3664</v>
      </c>
      <c r="F8971" s="1" t="s">
        <v>29824</v>
      </c>
      <c r="G8971" s="1" t="s">
        <v>21228</v>
      </c>
      <c r="H8971" s="1" t="s">
        <v>3604</v>
      </c>
      <c r="I8971" s="1" t="s">
        <v>29825</v>
      </c>
      <c r="J8971" s="1" t="s">
        <v>3615</v>
      </c>
      <c r="K8971" s="1" t="s">
        <v>29826</v>
      </c>
      <c r="L8971" s="1"/>
      <c r="M8971" s="1"/>
    </row>
    <row x14ac:dyDescent="0.25" r="8972" customHeight="1" ht="18.75">
      <c r="A8972" s="1" t="s">
        <v>3598</v>
      </c>
      <c r="B8972" s="1" t="s">
        <v>9449</v>
      </c>
      <c r="C8972" s="1" t="s">
        <v>3600</v>
      </c>
      <c r="D8972" s="1" t="s">
        <v>3601</v>
      </c>
      <c r="E8972" s="1" t="s">
        <v>3611</v>
      </c>
      <c r="F8972" s="1" t="s">
        <v>29827</v>
      </c>
      <c r="G8972" s="1" t="s">
        <v>29828</v>
      </c>
      <c r="H8972" s="1" t="s">
        <v>3604</v>
      </c>
      <c r="I8972" s="1" t="s">
        <v>29829</v>
      </c>
      <c r="J8972" s="1" t="s">
        <v>3615</v>
      </c>
      <c r="K8972" s="1" t="s">
        <v>29830</v>
      </c>
      <c r="L8972" s="1"/>
      <c r="M8972" s="1"/>
    </row>
    <row x14ac:dyDescent="0.25" r="8973" customHeight="1" ht="18.75">
      <c r="A8973" s="1" t="s">
        <v>3598</v>
      </c>
      <c r="B8973" s="1" t="s">
        <v>17258</v>
      </c>
      <c r="C8973" s="1" t="s">
        <v>3600</v>
      </c>
      <c r="D8973" s="1" t="s">
        <v>3601</v>
      </c>
      <c r="E8973" s="1" t="s">
        <v>3664</v>
      </c>
      <c r="F8973" s="1" t="s">
        <v>29831</v>
      </c>
      <c r="G8973" s="1" t="s">
        <v>16627</v>
      </c>
      <c r="H8973" s="1" t="s">
        <v>3604</v>
      </c>
      <c r="I8973" s="1" t="s">
        <v>29832</v>
      </c>
      <c r="J8973" s="1" t="s">
        <v>3615</v>
      </c>
      <c r="K8973" s="1" t="s">
        <v>29833</v>
      </c>
      <c r="L8973" s="1"/>
      <c r="M8973" s="1"/>
    </row>
    <row x14ac:dyDescent="0.25" r="8974" customHeight="1" ht="18.75">
      <c r="A8974" s="1" t="s">
        <v>3598</v>
      </c>
      <c r="B8974" s="1" t="s">
        <v>9449</v>
      </c>
      <c r="C8974" s="1" t="s">
        <v>3600</v>
      </c>
      <c r="D8974" s="1" t="s">
        <v>3601</v>
      </c>
      <c r="E8974" s="1" t="s">
        <v>3664</v>
      </c>
      <c r="F8974" s="1" t="s">
        <v>29834</v>
      </c>
      <c r="G8974" s="1" t="s">
        <v>22422</v>
      </c>
      <c r="H8974" s="1" t="s">
        <v>3604</v>
      </c>
      <c r="I8974" s="1" t="s">
        <v>29835</v>
      </c>
      <c r="J8974" s="1" t="s">
        <v>3615</v>
      </c>
      <c r="K8974" s="1" t="s">
        <v>29836</v>
      </c>
      <c r="L8974" s="1"/>
      <c r="M8974" s="1"/>
    </row>
    <row x14ac:dyDescent="0.25" r="8975" customHeight="1" ht="18.75">
      <c r="A8975" s="1" t="s">
        <v>3598</v>
      </c>
      <c r="B8975" s="1" t="s">
        <v>17258</v>
      </c>
      <c r="C8975" s="1" t="s">
        <v>3600</v>
      </c>
      <c r="D8975" s="1" t="s">
        <v>3601</v>
      </c>
      <c r="E8975" s="1" t="s">
        <v>3664</v>
      </c>
      <c r="F8975" s="1" t="s">
        <v>29837</v>
      </c>
      <c r="G8975" s="1" t="s">
        <v>16637</v>
      </c>
      <c r="H8975" s="1" t="s">
        <v>3604</v>
      </c>
      <c r="I8975" s="1" t="s">
        <v>29838</v>
      </c>
      <c r="J8975" s="1" t="s">
        <v>3615</v>
      </c>
      <c r="K8975" s="1" t="s">
        <v>29839</v>
      </c>
      <c r="L8975" s="1"/>
      <c r="M8975" s="1"/>
    </row>
    <row x14ac:dyDescent="0.25" r="8976" customHeight="1" ht="18.75">
      <c r="A8976" s="1" t="s">
        <v>3598</v>
      </c>
      <c r="B8976" s="1" t="s">
        <v>9449</v>
      </c>
      <c r="C8976" s="1" t="s">
        <v>3600</v>
      </c>
      <c r="D8976" s="1" t="s">
        <v>3601</v>
      </c>
      <c r="E8976" s="1" t="s">
        <v>3664</v>
      </c>
      <c r="F8976" s="1" t="s">
        <v>29840</v>
      </c>
      <c r="G8976" s="1" t="s">
        <v>22426</v>
      </c>
      <c r="H8976" s="1" t="s">
        <v>3604</v>
      </c>
      <c r="I8976" s="1" t="s">
        <v>29841</v>
      </c>
      <c r="J8976" s="1" t="s">
        <v>3615</v>
      </c>
      <c r="K8976" s="1" t="s">
        <v>29842</v>
      </c>
      <c r="L8976" s="1"/>
      <c r="M8976" s="1"/>
    </row>
    <row x14ac:dyDescent="0.25" r="8977" customHeight="1" ht="18.75">
      <c r="A8977" s="1" t="s">
        <v>3598</v>
      </c>
      <c r="B8977" s="1" t="s">
        <v>9251</v>
      </c>
      <c r="C8977" s="1" t="s">
        <v>3600</v>
      </c>
      <c r="D8977" s="1" t="s">
        <v>3601</v>
      </c>
      <c r="E8977" s="1" t="s">
        <v>3893</v>
      </c>
      <c r="F8977" s="1" t="s">
        <v>29843</v>
      </c>
      <c r="G8977" s="1" t="s">
        <v>8648</v>
      </c>
      <c r="H8977" s="1" t="s">
        <v>3604</v>
      </c>
      <c r="I8977" s="1" t="s">
        <v>29844</v>
      </c>
      <c r="J8977" s="1" t="s">
        <v>3615</v>
      </c>
      <c r="K8977" s="1" t="s">
        <v>29845</v>
      </c>
      <c r="L8977" s="1"/>
      <c r="M8977" s="1"/>
    </row>
    <row x14ac:dyDescent="0.25" r="8978" customHeight="1" ht="18.75">
      <c r="A8978" s="1" t="s">
        <v>3598</v>
      </c>
      <c r="B8978" s="1" t="s">
        <v>18092</v>
      </c>
      <c r="C8978" s="1" t="s">
        <v>3600</v>
      </c>
      <c r="D8978" s="1" t="s">
        <v>3601</v>
      </c>
      <c r="E8978" s="1" t="s">
        <v>3893</v>
      </c>
      <c r="F8978" s="1" t="s">
        <v>29846</v>
      </c>
      <c r="G8978" s="1" t="s">
        <v>18094</v>
      </c>
      <c r="H8978" s="1" t="s">
        <v>3604</v>
      </c>
      <c r="I8978" s="1" t="s">
        <v>29847</v>
      </c>
      <c r="J8978" s="1" t="s">
        <v>3615</v>
      </c>
      <c r="K8978" s="1" t="s">
        <v>29848</v>
      </c>
      <c r="L8978" s="1"/>
      <c r="M8978" s="1"/>
    </row>
    <row x14ac:dyDescent="0.25" r="8979" customHeight="1" ht="18.75">
      <c r="A8979" s="1" t="s">
        <v>3598</v>
      </c>
      <c r="B8979" s="1" t="s">
        <v>9246</v>
      </c>
      <c r="C8979" s="1" t="s">
        <v>3600</v>
      </c>
      <c r="D8979" s="1" t="s">
        <v>3601</v>
      </c>
      <c r="E8979" s="1" t="s">
        <v>3893</v>
      </c>
      <c r="F8979" s="1" t="s">
        <v>29849</v>
      </c>
      <c r="G8979" s="1" t="s">
        <v>8643</v>
      </c>
      <c r="H8979" s="1" t="s">
        <v>3604</v>
      </c>
      <c r="I8979" s="1" t="s">
        <v>29850</v>
      </c>
      <c r="J8979" s="1" t="s">
        <v>3615</v>
      </c>
      <c r="K8979" s="1" t="s">
        <v>29851</v>
      </c>
      <c r="L8979" s="1"/>
      <c r="M8979" s="1"/>
    </row>
    <row x14ac:dyDescent="0.25" r="8980" customHeight="1" ht="18.75">
      <c r="A8980" s="1" t="s">
        <v>3598</v>
      </c>
      <c r="B8980" s="1" t="s">
        <v>6954</v>
      </c>
      <c r="C8980" s="1" t="s">
        <v>3600</v>
      </c>
      <c r="D8980" s="1" t="s">
        <v>3601</v>
      </c>
      <c r="E8980" s="1" t="s">
        <v>3893</v>
      </c>
      <c r="F8980" s="1" t="s">
        <v>29852</v>
      </c>
      <c r="G8980" s="1" t="s">
        <v>14139</v>
      </c>
      <c r="H8980" s="1" t="s">
        <v>3604</v>
      </c>
      <c r="I8980" s="1" t="s">
        <v>29853</v>
      </c>
      <c r="J8980" s="1" t="s">
        <v>3615</v>
      </c>
      <c r="K8980" s="1" t="s">
        <v>29854</v>
      </c>
      <c r="L8980" s="1"/>
      <c r="M8980" s="1"/>
    </row>
    <row x14ac:dyDescent="0.25" r="8981" customHeight="1" ht="18.75">
      <c r="A8981" s="1" t="s">
        <v>3598</v>
      </c>
      <c r="B8981" s="1" t="s">
        <v>3751</v>
      </c>
      <c r="C8981" s="1" t="s">
        <v>3600</v>
      </c>
      <c r="D8981" s="1" t="s">
        <v>3601</v>
      </c>
      <c r="E8981" s="1" t="s">
        <v>3664</v>
      </c>
      <c r="F8981" s="1" t="s">
        <v>29855</v>
      </c>
      <c r="G8981" s="1" t="s">
        <v>27406</v>
      </c>
      <c r="H8981" s="1" t="s">
        <v>3604</v>
      </c>
      <c r="I8981" s="1" t="s">
        <v>29856</v>
      </c>
      <c r="J8981" s="1" t="s">
        <v>3615</v>
      </c>
      <c r="K8981" s="1" t="s">
        <v>29857</v>
      </c>
      <c r="L8981" s="1"/>
      <c r="M8981" s="1"/>
    </row>
    <row x14ac:dyDescent="0.25" r="8982" customHeight="1" ht="18.75">
      <c r="A8982" s="1" t="s">
        <v>3598</v>
      </c>
      <c r="B8982" s="1" t="s">
        <v>6954</v>
      </c>
      <c r="C8982" s="1" t="s">
        <v>3600</v>
      </c>
      <c r="D8982" s="1" t="s">
        <v>3601</v>
      </c>
      <c r="E8982" s="1" t="s">
        <v>3893</v>
      </c>
      <c r="F8982" s="1" t="s">
        <v>29858</v>
      </c>
      <c r="G8982" s="1" t="s">
        <v>14139</v>
      </c>
      <c r="H8982" s="1" t="s">
        <v>3604</v>
      </c>
      <c r="I8982" s="1" t="s">
        <v>29859</v>
      </c>
      <c r="J8982" s="1" t="s">
        <v>3615</v>
      </c>
      <c r="K8982" s="1" t="s">
        <v>29860</v>
      </c>
      <c r="L8982" s="1"/>
      <c r="M8982" s="1"/>
    </row>
    <row x14ac:dyDescent="0.25" r="8983" customHeight="1" ht="18.75">
      <c r="A8983" s="1" t="s">
        <v>3598</v>
      </c>
      <c r="B8983" s="1" t="s">
        <v>3751</v>
      </c>
      <c r="C8983" s="1" t="s">
        <v>3600</v>
      </c>
      <c r="D8983" s="1" t="s">
        <v>3601</v>
      </c>
      <c r="E8983" s="1" t="s">
        <v>3664</v>
      </c>
      <c r="F8983" s="1" t="s">
        <v>29861</v>
      </c>
      <c r="G8983" s="1" t="s">
        <v>29503</v>
      </c>
      <c r="H8983" s="1" t="s">
        <v>3604</v>
      </c>
      <c r="I8983" s="1" t="s">
        <v>29862</v>
      </c>
      <c r="J8983" s="1" t="s">
        <v>3615</v>
      </c>
      <c r="K8983" s="1" t="s">
        <v>29863</v>
      </c>
      <c r="L8983" s="1"/>
      <c r="M8983" s="1"/>
    </row>
    <row x14ac:dyDescent="0.25" r="8984" customHeight="1" ht="18.75">
      <c r="A8984" s="1" t="s">
        <v>3598</v>
      </c>
      <c r="B8984" s="1" t="s">
        <v>6954</v>
      </c>
      <c r="C8984" s="1" t="s">
        <v>3600</v>
      </c>
      <c r="D8984" s="1" t="s">
        <v>3601</v>
      </c>
      <c r="E8984" s="1" t="s">
        <v>3893</v>
      </c>
      <c r="F8984" s="1" t="s">
        <v>29864</v>
      </c>
      <c r="G8984" s="1" t="s">
        <v>14139</v>
      </c>
      <c r="H8984" s="1" t="s">
        <v>3604</v>
      </c>
      <c r="I8984" s="1" t="s">
        <v>29865</v>
      </c>
      <c r="J8984" s="1" t="s">
        <v>3615</v>
      </c>
      <c r="K8984" s="1" t="s">
        <v>29866</v>
      </c>
      <c r="L8984" s="1"/>
      <c r="M8984" s="1"/>
    </row>
    <row x14ac:dyDescent="0.25" r="8985" customHeight="1" ht="18.75">
      <c r="A8985" s="1" t="s">
        <v>3598</v>
      </c>
      <c r="B8985" s="1" t="s">
        <v>3751</v>
      </c>
      <c r="C8985" s="1" t="s">
        <v>3600</v>
      </c>
      <c r="D8985" s="1" t="s">
        <v>3601</v>
      </c>
      <c r="E8985" s="1" t="s">
        <v>3664</v>
      </c>
      <c r="F8985" s="1" t="s">
        <v>29867</v>
      </c>
      <c r="G8985" s="1" t="s">
        <v>29507</v>
      </c>
      <c r="H8985" s="1" t="s">
        <v>3604</v>
      </c>
      <c r="I8985" s="1" t="s">
        <v>29868</v>
      </c>
      <c r="J8985" s="1" t="s">
        <v>3615</v>
      </c>
      <c r="K8985" s="1" t="s">
        <v>29869</v>
      </c>
      <c r="L8985" s="1"/>
      <c r="M8985" s="1"/>
    </row>
    <row x14ac:dyDescent="0.25" r="8986" customHeight="1" ht="18.75">
      <c r="A8986" s="1" t="s">
        <v>3598</v>
      </c>
      <c r="B8986" s="1" t="s">
        <v>6954</v>
      </c>
      <c r="C8986" s="1" t="s">
        <v>3600</v>
      </c>
      <c r="D8986" s="1" t="s">
        <v>3601</v>
      </c>
      <c r="E8986" s="1" t="s">
        <v>3611</v>
      </c>
      <c r="F8986" s="1" t="s">
        <v>29870</v>
      </c>
      <c r="G8986" s="1" t="s">
        <v>29871</v>
      </c>
      <c r="H8986" s="1" t="s">
        <v>3604</v>
      </c>
      <c r="I8986" s="1" t="s">
        <v>29872</v>
      </c>
      <c r="J8986" s="1" t="s">
        <v>3615</v>
      </c>
      <c r="K8986" s="1" t="s">
        <v>29873</v>
      </c>
      <c r="L8986" s="1"/>
      <c r="M8986" s="1"/>
    </row>
    <row x14ac:dyDescent="0.25" r="8987" customHeight="1" ht="18.75">
      <c r="A8987" s="1" t="s">
        <v>3598</v>
      </c>
      <c r="B8987" s="1" t="s">
        <v>3751</v>
      </c>
      <c r="C8987" s="1" t="s">
        <v>3600</v>
      </c>
      <c r="D8987" s="1" t="s">
        <v>3601</v>
      </c>
      <c r="E8987" s="1" t="s">
        <v>3664</v>
      </c>
      <c r="F8987" s="1" t="s">
        <v>29874</v>
      </c>
      <c r="G8987" s="1" t="s">
        <v>27396</v>
      </c>
      <c r="H8987" s="1" t="s">
        <v>3604</v>
      </c>
      <c r="I8987" s="1" t="s">
        <v>29875</v>
      </c>
      <c r="J8987" s="1" t="s">
        <v>3615</v>
      </c>
      <c r="K8987" s="1" t="s">
        <v>29876</v>
      </c>
      <c r="L8987" s="1"/>
      <c r="M8987" s="1"/>
    </row>
    <row x14ac:dyDescent="0.25" r="8988" customHeight="1" ht="18.75">
      <c r="A8988" s="1" t="s">
        <v>3598</v>
      </c>
      <c r="B8988" s="1" t="s">
        <v>6954</v>
      </c>
      <c r="C8988" s="1" t="s">
        <v>3600</v>
      </c>
      <c r="D8988" s="1" t="s">
        <v>3601</v>
      </c>
      <c r="E8988" s="1" t="s">
        <v>3611</v>
      </c>
      <c r="F8988" s="1" t="s">
        <v>29877</v>
      </c>
      <c r="G8988" s="1" t="s">
        <v>29878</v>
      </c>
      <c r="H8988" s="1" t="s">
        <v>3604</v>
      </c>
      <c r="I8988" s="1" t="s">
        <v>29879</v>
      </c>
      <c r="J8988" s="1" t="s">
        <v>3615</v>
      </c>
      <c r="K8988" s="1" t="s">
        <v>29880</v>
      </c>
      <c r="L8988" s="1"/>
      <c r="M8988" s="1"/>
    </row>
    <row x14ac:dyDescent="0.25" r="8989" customHeight="1" ht="18.75">
      <c r="A8989" s="1" t="s">
        <v>3598</v>
      </c>
      <c r="B8989" s="1" t="s">
        <v>3751</v>
      </c>
      <c r="C8989" s="1" t="s">
        <v>3600</v>
      </c>
      <c r="D8989" s="1" t="s">
        <v>3601</v>
      </c>
      <c r="E8989" s="1" t="s">
        <v>3664</v>
      </c>
      <c r="F8989" s="1" t="s">
        <v>29881</v>
      </c>
      <c r="G8989" s="1" t="s">
        <v>19549</v>
      </c>
      <c r="H8989" s="1" t="s">
        <v>3604</v>
      </c>
      <c r="I8989" s="1" t="s">
        <v>29882</v>
      </c>
      <c r="J8989" s="1" t="s">
        <v>3615</v>
      </c>
      <c r="K8989" s="1" t="s">
        <v>29883</v>
      </c>
      <c r="L8989" s="1"/>
      <c r="M8989" s="1"/>
    </row>
    <row x14ac:dyDescent="0.25" r="8990" customHeight="1" ht="18.75">
      <c r="A8990" s="1" t="s">
        <v>3598</v>
      </c>
      <c r="B8990" s="1" t="s">
        <v>6954</v>
      </c>
      <c r="C8990" s="1" t="s">
        <v>3600</v>
      </c>
      <c r="D8990" s="1" t="s">
        <v>3601</v>
      </c>
      <c r="E8990" s="1" t="s">
        <v>3611</v>
      </c>
      <c r="F8990" s="1" t="s">
        <v>29884</v>
      </c>
      <c r="G8990" s="1" t="s">
        <v>29885</v>
      </c>
      <c r="H8990" s="1" t="s">
        <v>3604</v>
      </c>
      <c r="I8990" s="1" t="s">
        <v>29886</v>
      </c>
      <c r="J8990" s="1" t="s">
        <v>3615</v>
      </c>
      <c r="K8990" s="1" t="s">
        <v>29887</v>
      </c>
      <c r="L8990" s="1"/>
      <c r="M8990" s="1"/>
    </row>
    <row x14ac:dyDescent="0.25" r="8991" customHeight="1" ht="18.75">
      <c r="A8991" s="1" t="s">
        <v>3598</v>
      </c>
      <c r="B8991" s="1" t="s">
        <v>18039</v>
      </c>
      <c r="C8991" s="1" t="s">
        <v>3600</v>
      </c>
      <c r="D8991" s="1" t="s">
        <v>3601</v>
      </c>
      <c r="E8991" s="1" t="s">
        <v>3664</v>
      </c>
      <c r="F8991" s="1" t="s">
        <v>29888</v>
      </c>
      <c r="G8991" s="1" t="s">
        <v>27385</v>
      </c>
      <c r="H8991" s="1" t="s">
        <v>3604</v>
      </c>
      <c r="I8991" s="1" t="s">
        <v>29889</v>
      </c>
      <c r="J8991" s="1" t="s">
        <v>3615</v>
      </c>
      <c r="K8991" s="1" t="s">
        <v>29890</v>
      </c>
      <c r="L8991" s="1"/>
      <c r="M8991" s="1"/>
    </row>
    <row x14ac:dyDescent="0.25" r="8992" customHeight="1" ht="18.75">
      <c r="A8992" s="1" t="s">
        <v>3598</v>
      </c>
      <c r="B8992" s="1" t="s">
        <v>6954</v>
      </c>
      <c r="C8992" s="1" t="s">
        <v>3600</v>
      </c>
      <c r="D8992" s="1" t="s">
        <v>3601</v>
      </c>
      <c r="E8992" s="1" t="s">
        <v>3752</v>
      </c>
      <c r="F8992" s="1" t="s">
        <v>29891</v>
      </c>
      <c r="G8992" s="1" t="s">
        <v>29892</v>
      </c>
      <c r="H8992" s="1" t="s">
        <v>3604</v>
      </c>
      <c r="I8992" s="1" t="s">
        <v>29893</v>
      </c>
      <c r="J8992" s="1" t="s">
        <v>3615</v>
      </c>
      <c r="K8992" s="1" t="s">
        <v>29894</v>
      </c>
      <c r="L8992" s="1"/>
      <c r="M8992" s="1"/>
    </row>
    <row x14ac:dyDescent="0.25" r="8993" customHeight="1" ht="18.75">
      <c r="A8993" s="1" t="s">
        <v>3598</v>
      </c>
      <c r="B8993" s="1" t="s">
        <v>17075</v>
      </c>
      <c r="C8993" s="1" t="s">
        <v>3600</v>
      </c>
      <c r="D8993" s="1" t="s">
        <v>3601</v>
      </c>
      <c r="E8993" s="1" t="s">
        <v>3664</v>
      </c>
      <c r="F8993" s="1" t="s">
        <v>29895</v>
      </c>
      <c r="G8993" s="1" t="s">
        <v>28447</v>
      </c>
      <c r="H8993" s="1" t="s">
        <v>3604</v>
      </c>
      <c r="I8993" s="1" t="s">
        <v>29896</v>
      </c>
      <c r="J8993" s="1" t="s">
        <v>3615</v>
      </c>
      <c r="K8993" s="1" t="s">
        <v>29897</v>
      </c>
      <c r="L8993" s="1"/>
      <c r="M8993" s="1"/>
    </row>
    <row x14ac:dyDescent="0.25" r="8994" customHeight="1" ht="18.75">
      <c r="A8994" s="1" t="s">
        <v>3598</v>
      </c>
      <c r="B8994" s="1" t="s">
        <v>6954</v>
      </c>
      <c r="C8994" s="1" t="s">
        <v>3600</v>
      </c>
      <c r="D8994" s="1" t="s">
        <v>3601</v>
      </c>
      <c r="E8994" s="1" t="s">
        <v>3752</v>
      </c>
      <c r="F8994" s="1" t="s">
        <v>29898</v>
      </c>
      <c r="G8994" s="1" t="s">
        <v>29899</v>
      </c>
      <c r="H8994" s="1" t="s">
        <v>3604</v>
      </c>
      <c r="I8994" s="1" t="s">
        <v>29900</v>
      </c>
      <c r="J8994" s="1" t="s">
        <v>3615</v>
      </c>
      <c r="K8994" s="1" t="s">
        <v>29901</v>
      </c>
      <c r="L8994" s="1"/>
      <c r="M8994" s="1"/>
    </row>
    <row x14ac:dyDescent="0.25" r="8995" customHeight="1" ht="18.75">
      <c r="A8995" s="1" t="s">
        <v>3598</v>
      </c>
      <c r="B8995" s="1" t="s">
        <v>6954</v>
      </c>
      <c r="C8995" s="1" t="s">
        <v>3600</v>
      </c>
      <c r="D8995" s="1" t="s">
        <v>3601</v>
      </c>
      <c r="E8995" s="1" t="s">
        <v>3752</v>
      </c>
      <c r="F8995" s="1" t="s">
        <v>29902</v>
      </c>
      <c r="G8995" s="1" t="s">
        <v>29903</v>
      </c>
      <c r="H8995" s="1" t="s">
        <v>3604</v>
      </c>
      <c r="I8995" s="1" t="s">
        <v>29904</v>
      </c>
      <c r="J8995" s="1" t="s">
        <v>3615</v>
      </c>
      <c r="K8995" s="1" t="s">
        <v>29905</v>
      </c>
      <c r="L8995" s="1"/>
      <c r="M8995" s="1"/>
    </row>
    <row x14ac:dyDescent="0.25" r="8996" customHeight="1" ht="18.75">
      <c r="A8996" s="1" t="s">
        <v>3598</v>
      </c>
      <c r="B8996" s="1" t="s">
        <v>22952</v>
      </c>
      <c r="C8996" s="1" t="s">
        <v>3600</v>
      </c>
      <c r="D8996" s="1" t="s">
        <v>3601</v>
      </c>
      <c r="E8996" s="1" t="s">
        <v>3664</v>
      </c>
      <c r="F8996" s="1" t="s">
        <v>29906</v>
      </c>
      <c r="G8996" s="1" t="s">
        <v>27396</v>
      </c>
      <c r="H8996" s="1" t="s">
        <v>3604</v>
      </c>
      <c r="I8996" s="1" t="s">
        <v>29907</v>
      </c>
      <c r="J8996" s="1" t="s">
        <v>3615</v>
      </c>
      <c r="K8996" s="1" t="s">
        <v>29908</v>
      </c>
      <c r="L8996" s="1"/>
      <c r="M8996" s="1"/>
    </row>
    <row x14ac:dyDescent="0.25" r="8997" customHeight="1" ht="18.75">
      <c r="A8997" s="1" t="s">
        <v>3598</v>
      </c>
      <c r="B8997" s="1" t="s">
        <v>6954</v>
      </c>
      <c r="C8997" s="1" t="s">
        <v>3600</v>
      </c>
      <c r="D8997" s="1" t="s">
        <v>3601</v>
      </c>
      <c r="E8997" s="1" t="s">
        <v>3752</v>
      </c>
      <c r="F8997" s="1" t="s">
        <v>29909</v>
      </c>
      <c r="G8997" s="1" t="s">
        <v>29910</v>
      </c>
      <c r="H8997" s="1" t="s">
        <v>3604</v>
      </c>
      <c r="I8997" s="1" t="s">
        <v>29911</v>
      </c>
      <c r="J8997" s="1" t="s">
        <v>3615</v>
      </c>
      <c r="K8997" s="1" t="s">
        <v>29912</v>
      </c>
      <c r="L8997" s="1"/>
      <c r="M8997" s="1"/>
    </row>
    <row x14ac:dyDescent="0.25" r="8998" customHeight="1" ht="18.75">
      <c r="A8998" s="1" t="s">
        <v>3598</v>
      </c>
      <c r="B8998" s="1" t="s">
        <v>6954</v>
      </c>
      <c r="C8998" s="1" t="s">
        <v>3600</v>
      </c>
      <c r="D8998" s="1" t="s">
        <v>3601</v>
      </c>
      <c r="E8998" s="1" t="s">
        <v>3752</v>
      </c>
      <c r="F8998" s="1" t="s">
        <v>29913</v>
      </c>
      <c r="G8998" s="1" t="s">
        <v>29914</v>
      </c>
      <c r="H8998" s="1" t="s">
        <v>3604</v>
      </c>
      <c r="I8998" s="1" t="s">
        <v>29915</v>
      </c>
      <c r="J8998" s="1" t="s">
        <v>3615</v>
      </c>
      <c r="K8998" s="1" t="s">
        <v>29916</v>
      </c>
      <c r="L8998" s="1"/>
      <c r="M8998" s="1"/>
    </row>
    <row x14ac:dyDescent="0.25" r="8999" customHeight="1" ht="18.75">
      <c r="A8999" s="1" t="s">
        <v>3598</v>
      </c>
      <c r="B8999" s="1" t="s">
        <v>4781</v>
      </c>
      <c r="C8999" s="1" t="s">
        <v>3600</v>
      </c>
      <c r="D8999" s="1" t="s">
        <v>3601</v>
      </c>
      <c r="E8999" s="1" t="s">
        <v>3752</v>
      </c>
      <c r="F8999" s="1" t="s">
        <v>29917</v>
      </c>
      <c r="G8999" s="1" t="s">
        <v>29918</v>
      </c>
      <c r="H8999" s="1" t="s">
        <v>3604</v>
      </c>
      <c r="I8999" s="1" t="s">
        <v>29919</v>
      </c>
      <c r="J8999" s="1" t="s">
        <v>3615</v>
      </c>
      <c r="K8999" s="1" t="s">
        <v>29920</v>
      </c>
      <c r="L8999" s="1"/>
      <c r="M8999" s="1"/>
    </row>
    <row x14ac:dyDescent="0.25" r="9000" customHeight="1" ht="18.75">
      <c r="A9000" s="1" t="s">
        <v>3598</v>
      </c>
      <c r="B9000" s="1" t="s">
        <v>6954</v>
      </c>
      <c r="C9000" s="1" t="s">
        <v>3600</v>
      </c>
      <c r="D9000" s="1" t="s">
        <v>3601</v>
      </c>
      <c r="E9000" s="1" t="s">
        <v>3752</v>
      </c>
      <c r="F9000" s="1" t="s">
        <v>29921</v>
      </c>
      <c r="G9000" s="1" t="s">
        <v>29922</v>
      </c>
      <c r="H9000" s="1" t="s">
        <v>3604</v>
      </c>
      <c r="I9000" s="1" t="s">
        <v>29923</v>
      </c>
      <c r="J9000" s="1" t="s">
        <v>3615</v>
      </c>
      <c r="K9000" s="1" t="s">
        <v>29924</v>
      </c>
      <c r="L9000" s="1"/>
      <c r="M9000" s="1"/>
    </row>
    <row x14ac:dyDescent="0.25" r="9001" customHeight="1" ht="18.75">
      <c r="A9001" s="1" t="s">
        <v>3598</v>
      </c>
      <c r="B9001" s="1" t="s">
        <v>4781</v>
      </c>
      <c r="C9001" s="1" t="s">
        <v>3600</v>
      </c>
      <c r="D9001" s="1" t="s">
        <v>3601</v>
      </c>
      <c r="E9001" s="1" t="s">
        <v>3752</v>
      </c>
      <c r="F9001" s="1" t="s">
        <v>29925</v>
      </c>
      <c r="G9001" s="1" t="s">
        <v>20964</v>
      </c>
      <c r="H9001" s="1" t="s">
        <v>3604</v>
      </c>
      <c r="I9001" s="1" t="s">
        <v>29926</v>
      </c>
      <c r="J9001" s="1" t="s">
        <v>3615</v>
      </c>
      <c r="K9001" s="1" t="s">
        <v>29927</v>
      </c>
      <c r="L9001" s="1"/>
      <c r="M9001" s="1"/>
    </row>
    <row x14ac:dyDescent="0.25" r="9002" customHeight="1" ht="18.75">
      <c r="A9002" s="1" t="s">
        <v>3598</v>
      </c>
      <c r="B9002" s="1" t="s">
        <v>6954</v>
      </c>
      <c r="C9002" s="1" t="s">
        <v>3600</v>
      </c>
      <c r="D9002" s="1" t="s">
        <v>3601</v>
      </c>
      <c r="E9002" s="1" t="s">
        <v>3752</v>
      </c>
      <c r="F9002" s="1" t="s">
        <v>29928</v>
      </c>
      <c r="G9002" s="1" t="s">
        <v>29929</v>
      </c>
      <c r="H9002" s="1" t="s">
        <v>3604</v>
      </c>
      <c r="I9002" s="1" t="s">
        <v>29930</v>
      </c>
      <c r="J9002" s="1" t="s">
        <v>3615</v>
      </c>
      <c r="K9002" s="1" t="s">
        <v>29931</v>
      </c>
      <c r="L9002" s="1"/>
      <c r="M9002" s="1"/>
    </row>
    <row x14ac:dyDescent="0.25" r="9003" customHeight="1" ht="18.75">
      <c r="A9003" s="1" t="s">
        <v>3598</v>
      </c>
      <c r="B9003" s="1" t="s">
        <v>4781</v>
      </c>
      <c r="C9003" s="1" t="s">
        <v>3600</v>
      </c>
      <c r="D9003" s="1" t="s">
        <v>3601</v>
      </c>
      <c r="E9003" s="1" t="s">
        <v>3752</v>
      </c>
      <c r="F9003" s="1" t="s">
        <v>29932</v>
      </c>
      <c r="G9003" s="1" t="s">
        <v>20974</v>
      </c>
      <c r="H9003" s="1" t="s">
        <v>3604</v>
      </c>
      <c r="I9003" s="1" t="s">
        <v>29933</v>
      </c>
      <c r="J9003" s="1" t="s">
        <v>3615</v>
      </c>
      <c r="K9003" s="1" t="s">
        <v>29934</v>
      </c>
      <c r="L9003" s="1"/>
      <c r="M9003" s="1"/>
    </row>
    <row x14ac:dyDescent="0.25" r="9004" customHeight="1" ht="18.75">
      <c r="A9004" s="1" t="s">
        <v>3598</v>
      </c>
      <c r="B9004" s="1" t="s">
        <v>6954</v>
      </c>
      <c r="C9004" s="1" t="s">
        <v>3600</v>
      </c>
      <c r="D9004" s="1" t="s">
        <v>3601</v>
      </c>
      <c r="E9004" s="1" t="s">
        <v>3752</v>
      </c>
      <c r="F9004" s="1" t="s">
        <v>29935</v>
      </c>
      <c r="G9004" s="1" t="s">
        <v>29936</v>
      </c>
      <c r="H9004" s="1" t="s">
        <v>3604</v>
      </c>
      <c r="I9004" s="1" t="s">
        <v>29937</v>
      </c>
      <c r="J9004" s="1" t="s">
        <v>3615</v>
      </c>
      <c r="K9004" s="1" t="s">
        <v>29938</v>
      </c>
      <c r="L9004" s="1"/>
      <c r="M9004" s="1"/>
    </row>
    <row x14ac:dyDescent="0.25" r="9005" customHeight="1" ht="18.75">
      <c r="A9005" s="1" t="s">
        <v>3598</v>
      </c>
      <c r="B9005" s="1" t="s">
        <v>6954</v>
      </c>
      <c r="C9005" s="1" t="s">
        <v>3600</v>
      </c>
      <c r="D9005" s="1" t="s">
        <v>3601</v>
      </c>
      <c r="E9005" s="1" t="s">
        <v>3664</v>
      </c>
      <c r="F9005" s="1" t="s">
        <v>29939</v>
      </c>
      <c r="G9005" s="1" t="s">
        <v>28480</v>
      </c>
      <c r="H9005" s="1" t="s">
        <v>3604</v>
      </c>
      <c r="I9005" s="1" t="s">
        <v>29940</v>
      </c>
      <c r="J9005" s="1" t="s">
        <v>3615</v>
      </c>
      <c r="K9005" s="1" t="s">
        <v>29941</v>
      </c>
      <c r="L9005" s="1"/>
      <c r="M9005" s="1"/>
    </row>
    <row x14ac:dyDescent="0.25" r="9006" customHeight="1" ht="18.75">
      <c r="A9006" s="1" t="s">
        <v>3598</v>
      </c>
      <c r="B9006" s="1" t="s">
        <v>4781</v>
      </c>
      <c r="C9006" s="1" t="s">
        <v>3600</v>
      </c>
      <c r="D9006" s="1" t="s">
        <v>3601</v>
      </c>
      <c r="E9006" s="1" t="s">
        <v>3752</v>
      </c>
      <c r="F9006" s="1" t="s">
        <v>29942</v>
      </c>
      <c r="G9006" s="1" t="s">
        <v>29943</v>
      </c>
      <c r="H9006" s="1" t="s">
        <v>3604</v>
      </c>
      <c r="I9006" s="1" t="s">
        <v>29944</v>
      </c>
      <c r="J9006" s="1" t="s">
        <v>3615</v>
      </c>
      <c r="K9006" s="1" t="s">
        <v>29945</v>
      </c>
      <c r="L9006" s="1"/>
      <c r="M9006" s="1"/>
    </row>
    <row x14ac:dyDescent="0.25" r="9007" customHeight="1" ht="18.75">
      <c r="A9007" s="1" t="s">
        <v>3598</v>
      </c>
      <c r="B9007" s="1" t="s">
        <v>6954</v>
      </c>
      <c r="C9007" s="1" t="s">
        <v>3600</v>
      </c>
      <c r="D9007" s="1" t="s">
        <v>3601</v>
      </c>
      <c r="E9007" s="1" t="s">
        <v>3664</v>
      </c>
      <c r="F9007" s="1" t="s">
        <v>29946</v>
      </c>
      <c r="G9007" s="1" t="s">
        <v>27406</v>
      </c>
      <c r="H9007" s="1" t="s">
        <v>3604</v>
      </c>
      <c r="I9007" s="1" t="s">
        <v>29947</v>
      </c>
      <c r="J9007" s="1" t="s">
        <v>3615</v>
      </c>
      <c r="K9007" s="1" t="s">
        <v>29948</v>
      </c>
      <c r="L9007" s="1"/>
      <c r="M9007" s="1"/>
    </row>
    <row x14ac:dyDescent="0.25" r="9008" customHeight="1" ht="18.75">
      <c r="A9008" s="1" t="s">
        <v>3598</v>
      </c>
      <c r="B9008" s="1" t="s">
        <v>4781</v>
      </c>
      <c r="C9008" s="1" t="s">
        <v>3600</v>
      </c>
      <c r="D9008" s="1" t="s">
        <v>3601</v>
      </c>
      <c r="E9008" s="1" t="s">
        <v>3752</v>
      </c>
      <c r="F9008" s="1" t="s">
        <v>29949</v>
      </c>
      <c r="G9008" s="1" t="s">
        <v>29950</v>
      </c>
      <c r="H9008" s="1" t="s">
        <v>3604</v>
      </c>
      <c r="I9008" s="1" t="s">
        <v>29951</v>
      </c>
      <c r="J9008" s="1" t="s">
        <v>3615</v>
      </c>
      <c r="K9008" s="1" t="s">
        <v>29952</v>
      </c>
      <c r="L9008" s="1"/>
      <c r="M9008" s="1"/>
    </row>
    <row x14ac:dyDescent="0.25" r="9009" customHeight="1" ht="18.75">
      <c r="A9009" s="1" t="s">
        <v>3598</v>
      </c>
      <c r="B9009" s="1" t="s">
        <v>6954</v>
      </c>
      <c r="C9009" s="1" t="s">
        <v>3600</v>
      </c>
      <c r="D9009" s="1" t="s">
        <v>3601</v>
      </c>
      <c r="E9009" s="1" t="s">
        <v>3664</v>
      </c>
      <c r="F9009" s="1" t="s">
        <v>29953</v>
      </c>
      <c r="G9009" s="1" t="s">
        <v>16982</v>
      </c>
      <c r="H9009" s="1" t="s">
        <v>3604</v>
      </c>
      <c r="I9009" s="1" t="s">
        <v>29954</v>
      </c>
      <c r="J9009" s="1" t="s">
        <v>3615</v>
      </c>
      <c r="K9009" s="1" t="s">
        <v>29955</v>
      </c>
      <c r="L9009" s="1"/>
      <c r="M9009" s="1"/>
    </row>
    <row x14ac:dyDescent="0.25" r="9010" customHeight="1" ht="18.75">
      <c r="A9010" s="1" t="s">
        <v>3598</v>
      </c>
      <c r="B9010" s="1" t="s">
        <v>4781</v>
      </c>
      <c r="C9010" s="1" t="s">
        <v>3600</v>
      </c>
      <c r="D9010" s="1" t="s">
        <v>3601</v>
      </c>
      <c r="E9010" s="1" t="s">
        <v>3752</v>
      </c>
      <c r="F9010" s="1" t="s">
        <v>29956</v>
      </c>
      <c r="G9010" s="1" t="s">
        <v>29957</v>
      </c>
      <c r="H9010" s="1" t="s">
        <v>3604</v>
      </c>
      <c r="I9010" s="1" t="s">
        <v>29958</v>
      </c>
      <c r="J9010" s="1" t="s">
        <v>3615</v>
      </c>
      <c r="K9010" s="1" t="s">
        <v>29959</v>
      </c>
      <c r="L9010" s="1"/>
      <c r="M9010" s="1"/>
    </row>
    <row x14ac:dyDescent="0.25" r="9011" customHeight="1" ht="18.75">
      <c r="A9011" s="1" t="s">
        <v>3598</v>
      </c>
      <c r="B9011" s="1" t="s">
        <v>6954</v>
      </c>
      <c r="C9011" s="1" t="s">
        <v>3600</v>
      </c>
      <c r="D9011" s="1" t="s">
        <v>3601</v>
      </c>
      <c r="E9011" s="1" t="s">
        <v>3664</v>
      </c>
      <c r="F9011" s="1" t="s">
        <v>29960</v>
      </c>
      <c r="G9011" s="1" t="s">
        <v>16824</v>
      </c>
      <c r="H9011" s="1" t="s">
        <v>3604</v>
      </c>
      <c r="I9011" s="1" t="s">
        <v>29961</v>
      </c>
      <c r="J9011" s="1" t="s">
        <v>3615</v>
      </c>
      <c r="K9011" s="1" t="s">
        <v>29962</v>
      </c>
      <c r="L9011" s="1"/>
      <c r="M9011" s="1"/>
    </row>
    <row x14ac:dyDescent="0.25" r="9012" customHeight="1" ht="18.75">
      <c r="A9012" s="1" t="s">
        <v>3598</v>
      </c>
      <c r="B9012" s="1" t="s">
        <v>4781</v>
      </c>
      <c r="C9012" s="1" t="s">
        <v>3600</v>
      </c>
      <c r="D9012" s="1" t="s">
        <v>3601</v>
      </c>
      <c r="E9012" s="1" t="s">
        <v>3752</v>
      </c>
      <c r="F9012" s="1" t="s">
        <v>29963</v>
      </c>
      <c r="G9012" s="1" t="s">
        <v>21005</v>
      </c>
      <c r="H9012" s="1" t="s">
        <v>3604</v>
      </c>
      <c r="I9012" s="1" t="s">
        <v>29964</v>
      </c>
      <c r="J9012" s="1" t="s">
        <v>3615</v>
      </c>
      <c r="K9012" s="1" t="s">
        <v>29965</v>
      </c>
      <c r="L9012" s="1"/>
      <c r="M9012" s="1"/>
    </row>
    <row x14ac:dyDescent="0.25" r="9013" customHeight="1" ht="18.75">
      <c r="A9013" s="1" t="s">
        <v>3598</v>
      </c>
      <c r="B9013" s="1" t="s">
        <v>6954</v>
      </c>
      <c r="C9013" s="1" t="s">
        <v>3600</v>
      </c>
      <c r="D9013" s="1" t="s">
        <v>3601</v>
      </c>
      <c r="E9013" s="1" t="s">
        <v>3664</v>
      </c>
      <c r="F9013" s="1" t="s">
        <v>29966</v>
      </c>
      <c r="G9013" s="1" t="s">
        <v>29695</v>
      </c>
      <c r="H9013" s="1" t="s">
        <v>3604</v>
      </c>
      <c r="I9013" s="1" t="s">
        <v>29967</v>
      </c>
      <c r="J9013" s="1" t="s">
        <v>3615</v>
      </c>
      <c r="K9013" s="1" t="s">
        <v>29968</v>
      </c>
      <c r="L9013" s="1"/>
      <c r="M9013" s="1"/>
    </row>
    <row x14ac:dyDescent="0.25" r="9014" customHeight="1" ht="18.75">
      <c r="A9014" s="1" t="s">
        <v>3598</v>
      </c>
      <c r="B9014" s="1" t="s">
        <v>4781</v>
      </c>
      <c r="C9014" s="1" t="s">
        <v>3600</v>
      </c>
      <c r="D9014" s="1" t="s">
        <v>3601</v>
      </c>
      <c r="E9014" s="1" t="s">
        <v>3752</v>
      </c>
      <c r="F9014" s="1" t="s">
        <v>29969</v>
      </c>
      <c r="G9014" s="1" t="s">
        <v>21025</v>
      </c>
      <c r="H9014" s="1" t="s">
        <v>3604</v>
      </c>
      <c r="I9014" s="1" t="s">
        <v>29970</v>
      </c>
      <c r="J9014" s="1" t="s">
        <v>3615</v>
      </c>
      <c r="K9014" s="1" t="s">
        <v>29971</v>
      </c>
      <c r="L9014" s="1"/>
      <c r="M9014" s="1"/>
    </row>
    <row x14ac:dyDescent="0.25" r="9015" customHeight="1" ht="18.75">
      <c r="A9015" s="1" t="s">
        <v>3598</v>
      </c>
      <c r="B9015" s="1" t="s">
        <v>6954</v>
      </c>
      <c r="C9015" s="1" t="s">
        <v>3600</v>
      </c>
      <c r="D9015" s="1" t="s">
        <v>3601</v>
      </c>
      <c r="E9015" s="1" t="s">
        <v>3664</v>
      </c>
      <c r="F9015" s="1" t="s">
        <v>29972</v>
      </c>
      <c r="G9015" s="1" t="s">
        <v>29973</v>
      </c>
      <c r="H9015" s="1" t="s">
        <v>3604</v>
      </c>
      <c r="I9015" s="1" t="s">
        <v>29974</v>
      </c>
      <c r="J9015" s="1" t="s">
        <v>3615</v>
      </c>
      <c r="K9015" s="1" t="s">
        <v>29975</v>
      </c>
      <c r="L9015" s="1"/>
      <c r="M9015" s="1"/>
    </row>
    <row x14ac:dyDescent="0.25" r="9016" customHeight="1" ht="18.75">
      <c r="A9016" s="1" t="s">
        <v>3598</v>
      </c>
      <c r="B9016" s="1" t="s">
        <v>4781</v>
      </c>
      <c r="C9016" s="1" t="s">
        <v>3600</v>
      </c>
      <c r="D9016" s="1" t="s">
        <v>3601</v>
      </c>
      <c r="E9016" s="1" t="s">
        <v>3752</v>
      </c>
      <c r="F9016" s="1" t="s">
        <v>29976</v>
      </c>
      <c r="G9016" s="1" t="s">
        <v>21035</v>
      </c>
      <c r="H9016" s="1" t="s">
        <v>3604</v>
      </c>
      <c r="I9016" s="1" t="s">
        <v>29977</v>
      </c>
      <c r="J9016" s="1" t="s">
        <v>3615</v>
      </c>
      <c r="K9016" s="1" t="s">
        <v>29978</v>
      </c>
      <c r="L9016" s="1"/>
      <c r="M9016" s="1"/>
    </row>
    <row x14ac:dyDescent="0.25" r="9017" customHeight="1" ht="18.75">
      <c r="A9017" s="1" t="s">
        <v>3598</v>
      </c>
      <c r="B9017" s="1" t="s">
        <v>6954</v>
      </c>
      <c r="C9017" s="1" t="s">
        <v>3600</v>
      </c>
      <c r="D9017" s="1" t="s">
        <v>3601</v>
      </c>
      <c r="E9017" s="1" t="s">
        <v>3664</v>
      </c>
      <c r="F9017" s="1" t="s">
        <v>29979</v>
      </c>
      <c r="G9017" s="1" t="s">
        <v>19612</v>
      </c>
      <c r="H9017" s="1" t="s">
        <v>3604</v>
      </c>
      <c r="I9017" s="1" t="s">
        <v>29980</v>
      </c>
      <c r="J9017" s="1" t="s">
        <v>3615</v>
      </c>
      <c r="K9017" s="1" t="s">
        <v>29981</v>
      </c>
      <c r="L9017" s="1"/>
      <c r="M9017" s="1"/>
    </row>
    <row x14ac:dyDescent="0.25" r="9018" customHeight="1" ht="18.75">
      <c r="A9018" s="1" t="s">
        <v>3598</v>
      </c>
      <c r="B9018" s="1" t="s">
        <v>4781</v>
      </c>
      <c r="C9018" s="1" t="s">
        <v>3600</v>
      </c>
      <c r="D9018" s="1" t="s">
        <v>3601</v>
      </c>
      <c r="E9018" s="1" t="s">
        <v>3752</v>
      </c>
      <c r="F9018" s="1" t="s">
        <v>29982</v>
      </c>
      <c r="G9018" s="1" t="s">
        <v>21039</v>
      </c>
      <c r="H9018" s="1" t="s">
        <v>3604</v>
      </c>
      <c r="I9018" s="1" t="s">
        <v>29983</v>
      </c>
      <c r="J9018" s="1" t="s">
        <v>3615</v>
      </c>
      <c r="K9018" s="1" t="s">
        <v>29984</v>
      </c>
      <c r="L9018" s="1"/>
      <c r="M9018" s="1"/>
    </row>
    <row x14ac:dyDescent="0.25" r="9019" customHeight="1" ht="18.75">
      <c r="A9019" s="1" t="s">
        <v>3598</v>
      </c>
      <c r="B9019" s="1" t="s">
        <v>6954</v>
      </c>
      <c r="C9019" s="1" t="s">
        <v>3600</v>
      </c>
      <c r="D9019" s="1" t="s">
        <v>3601</v>
      </c>
      <c r="E9019" s="1" t="s">
        <v>3893</v>
      </c>
      <c r="F9019" s="1" t="s">
        <v>29985</v>
      </c>
      <c r="G9019" s="1" t="s">
        <v>14139</v>
      </c>
      <c r="H9019" s="1" t="s">
        <v>3604</v>
      </c>
      <c r="I9019" s="1" t="s">
        <v>29986</v>
      </c>
      <c r="J9019" s="1" t="s">
        <v>3615</v>
      </c>
      <c r="K9019" s="1" t="s">
        <v>29987</v>
      </c>
      <c r="L9019" s="1"/>
      <c r="M9019" s="1"/>
    </row>
    <row x14ac:dyDescent="0.25" r="9020" customHeight="1" ht="18.75">
      <c r="A9020" s="1" t="s">
        <v>3598</v>
      </c>
      <c r="B9020" s="1" t="s">
        <v>4781</v>
      </c>
      <c r="C9020" s="1" t="s">
        <v>3600</v>
      </c>
      <c r="D9020" s="1" t="s">
        <v>3601</v>
      </c>
      <c r="E9020" s="1" t="s">
        <v>3752</v>
      </c>
      <c r="F9020" s="1" t="s">
        <v>29988</v>
      </c>
      <c r="G9020" s="1" t="s">
        <v>21043</v>
      </c>
      <c r="H9020" s="1" t="s">
        <v>3604</v>
      </c>
      <c r="I9020" s="1" t="s">
        <v>29989</v>
      </c>
      <c r="J9020" s="1" t="s">
        <v>3615</v>
      </c>
      <c r="K9020" s="1" t="s">
        <v>29990</v>
      </c>
      <c r="L9020" s="1"/>
      <c r="M9020" s="1"/>
    </row>
    <row x14ac:dyDescent="0.25" r="9021" customHeight="1" ht="18.75">
      <c r="A9021" s="1" t="s">
        <v>3598</v>
      </c>
      <c r="B9021" s="1" t="s">
        <v>6954</v>
      </c>
      <c r="C9021" s="1" t="s">
        <v>3600</v>
      </c>
      <c r="D9021" s="1" t="s">
        <v>3601</v>
      </c>
      <c r="E9021" s="1" t="s">
        <v>3893</v>
      </c>
      <c r="F9021" s="1" t="s">
        <v>29991</v>
      </c>
      <c r="G9021" s="1" t="s">
        <v>6524</v>
      </c>
      <c r="H9021" s="1" t="s">
        <v>3604</v>
      </c>
      <c r="I9021" s="1" t="s">
        <v>29992</v>
      </c>
      <c r="J9021" s="1" t="s">
        <v>3615</v>
      </c>
      <c r="K9021" s="1" t="s">
        <v>29993</v>
      </c>
      <c r="L9021" s="1"/>
      <c r="M9021" s="1"/>
    </row>
    <row x14ac:dyDescent="0.25" r="9022" customHeight="1" ht="18.75">
      <c r="A9022" s="1" t="s">
        <v>3598</v>
      </c>
      <c r="B9022" s="1" t="s">
        <v>4781</v>
      </c>
      <c r="C9022" s="1" t="s">
        <v>3600</v>
      </c>
      <c r="D9022" s="1" t="s">
        <v>3601</v>
      </c>
      <c r="E9022" s="1" t="s">
        <v>3752</v>
      </c>
      <c r="F9022" s="1" t="s">
        <v>29994</v>
      </c>
      <c r="G9022" s="1" t="s">
        <v>29995</v>
      </c>
      <c r="H9022" s="1" t="s">
        <v>3604</v>
      </c>
      <c r="I9022" s="1" t="s">
        <v>29996</v>
      </c>
      <c r="J9022" s="1" t="s">
        <v>3615</v>
      </c>
      <c r="K9022" s="1" t="s">
        <v>29997</v>
      </c>
      <c r="L9022" s="1"/>
      <c r="M9022" s="1"/>
    </row>
    <row x14ac:dyDescent="0.25" r="9023" customHeight="1" ht="18.75">
      <c r="A9023" s="1" t="s">
        <v>3598</v>
      </c>
      <c r="B9023" s="1" t="s">
        <v>4781</v>
      </c>
      <c r="C9023" s="1" t="s">
        <v>3600</v>
      </c>
      <c r="D9023" s="1" t="s">
        <v>3601</v>
      </c>
      <c r="E9023" s="1" t="s">
        <v>3752</v>
      </c>
      <c r="F9023" s="1" t="s">
        <v>29998</v>
      </c>
      <c r="G9023" s="1" t="s">
        <v>29999</v>
      </c>
      <c r="H9023" s="1" t="s">
        <v>3604</v>
      </c>
      <c r="I9023" s="1" t="s">
        <v>30000</v>
      </c>
      <c r="J9023" s="1" t="s">
        <v>3615</v>
      </c>
      <c r="K9023" s="1" t="s">
        <v>30001</v>
      </c>
      <c r="L9023" s="1"/>
      <c r="M9023" s="1"/>
    </row>
    <row x14ac:dyDescent="0.25" r="9024" customHeight="1" ht="18.75">
      <c r="A9024" s="1" t="s">
        <v>3598</v>
      </c>
      <c r="B9024" s="1" t="s">
        <v>6954</v>
      </c>
      <c r="C9024" s="1" t="s">
        <v>3600</v>
      </c>
      <c r="D9024" s="1" t="s">
        <v>3601</v>
      </c>
      <c r="E9024" s="1" t="s">
        <v>3893</v>
      </c>
      <c r="F9024" s="1" t="s">
        <v>30002</v>
      </c>
      <c r="G9024" s="1" t="s">
        <v>30003</v>
      </c>
      <c r="H9024" s="1" t="s">
        <v>3604</v>
      </c>
      <c r="I9024" s="1" t="s">
        <v>30004</v>
      </c>
      <c r="J9024" s="1" t="s">
        <v>3615</v>
      </c>
      <c r="K9024" s="1" t="s">
        <v>30005</v>
      </c>
      <c r="L9024" s="1"/>
      <c r="M9024" s="1"/>
    </row>
    <row x14ac:dyDescent="0.25" r="9025" customHeight="1" ht="18.75">
      <c r="A9025" s="1" t="s">
        <v>3598</v>
      </c>
      <c r="B9025" s="1" t="s">
        <v>4781</v>
      </c>
      <c r="C9025" s="1" t="s">
        <v>3600</v>
      </c>
      <c r="D9025" s="1" t="s">
        <v>3601</v>
      </c>
      <c r="E9025" s="1" t="s">
        <v>3752</v>
      </c>
      <c r="F9025" s="1" t="s">
        <v>30006</v>
      </c>
      <c r="G9025" s="1" t="s">
        <v>20991</v>
      </c>
      <c r="H9025" s="1" t="s">
        <v>3604</v>
      </c>
      <c r="I9025" s="1" t="s">
        <v>30007</v>
      </c>
      <c r="J9025" s="1" t="s">
        <v>3615</v>
      </c>
      <c r="K9025" s="1" t="s">
        <v>30008</v>
      </c>
      <c r="L9025" s="1"/>
      <c r="M9025" s="1"/>
    </row>
    <row x14ac:dyDescent="0.25" r="9026" customHeight="1" ht="18.75">
      <c r="A9026" s="1" t="s">
        <v>3598</v>
      </c>
      <c r="B9026" s="1" t="s">
        <v>6954</v>
      </c>
      <c r="C9026" s="1" t="s">
        <v>3600</v>
      </c>
      <c r="D9026" s="1" t="s">
        <v>3601</v>
      </c>
      <c r="E9026" s="1" t="s">
        <v>3893</v>
      </c>
      <c r="F9026" s="1" t="s">
        <v>30009</v>
      </c>
      <c r="G9026" s="1" t="s">
        <v>14139</v>
      </c>
      <c r="H9026" s="1" t="s">
        <v>3604</v>
      </c>
      <c r="I9026" s="1" t="s">
        <v>30010</v>
      </c>
      <c r="J9026" s="1" t="s">
        <v>3615</v>
      </c>
      <c r="K9026" s="1" t="s">
        <v>30011</v>
      </c>
      <c r="L9026" s="1"/>
      <c r="M9026" s="1"/>
    </row>
    <row x14ac:dyDescent="0.25" r="9027" customHeight="1" ht="18.75">
      <c r="A9027" s="1" t="s">
        <v>3598</v>
      </c>
      <c r="B9027" s="1" t="s">
        <v>4781</v>
      </c>
      <c r="C9027" s="1" t="s">
        <v>3600</v>
      </c>
      <c r="D9027" s="1" t="s">
        <v>3601</v>
      </c>
      <c r="E9027" s="1" t="s">
        <v>3752</v>
      </c>
      <c r="F9027" s="1" t="s">
        <v>30012</v>
      </c>
      <c r="G9027" s="1" t="s">
        <v>20998</v>
      </c>
      <c r="H9027" s="1" t="s">
        <v>3604</v>
      </c>
      <c r="I9027" s="1" t="s">
        <v>30013</v>
      </c>
      <c r="J9027" s="1" t="s">
        <v>3615</v>
      </c>
      <c r="K9027" s="1" t="s">
        <v>30014</v>
      </c>
      <c r="L9027" s="1"/>
      <c r="M9027" s="1"/>
    </row>
    <row x14ac:dyDescent="0.25" r="9028" customHeight="1" ht="18.75">
      <c r="A9028" s="1" t="s">
        <v>3598</v>
      </c>
      <c r="B9028" s="1" t="s">
        <v>18039</v>
      </c>
      <c r="C9028" s="1" t="s">
        <v>3600</v>
      </c>
      <c r="D9028" s="1" t="s">
        <v>3601</v>
      </c>
      <c r="E9028" s="1" t="s">
        <v>3664</v>
      </c>
      <c r="F9028" s="1" t="s">
        <v>30015</v>
      </c>
      <c r="G9028" s="1" t="s">
        <v>16982</v>
      </c>
      <c r="H9028" s="1" t="s">
        <v>3604</v>
      </c>
      <c r="I9028" s="1" t="s">
        <v>30016</v>
      </c>
      <c r="J9028" s="1" t="s">
        <v>3615</v>
      </c>
      <c r="K9028" s="1" t="s">
        <v>30017</v>
      </c>
      <c r="L9028" s="1"/>
      <c r="M9028" s="1"/>
    </row>
    <row x14ac:dyDescent="0.25" r="9029" customHeight="1" ht="18.75">
      <c r="A9029" s="1" t="s">
        <v>3598</v>
      </c>
      <c r="B9029" s="1" t="s">
        <v>4781</v>
      </c>
      <c r="C9029" s="1" t="s">
        <v>3600</v>
      </c>
      <c r="D9029" s="1" t="s">
        <v>3601</v>
      </c>
      <c r="E9029" s="1" t="s">
        <v>3752</v>
      </c>
      <c r="F9029" s="1" t="s">
        <v>30018</v>
      </c>
      <c r="G9029" s="1" t="s">
        <v>18224</v>
      </c>
      <c r="H9029" s="1" t="s">
        <v>3604</v>
      </c>
      <c r="I9029" s="1" t="s">
        <v>30019</v>
      </c>
      <c r="J9029" s="1" t="s">
        <v>3615</v>
      </c>
      <c r="K9029" s="1" t="s">
        <v>30020</v>
      </c>
      <c r="L9029" s="1"/>
      <c r="M9029" s="1"/>
    </row>
    <row x14ac:dyDescent="0.25" r="9030" customHeight="1" ht="18.75">
      <c r="A9030" s="1" t="s">
        <v>3598</v>
      </c>
      <c r="B9030" s="1" t="s">
        <v>6811</v>
      </c>
      <c r="C9030" s="1" t="s">
        <v>3600</v>
      </c>
      <c r="D9030" s="1" t="s">
        <v>3601</v>
      </c>
      <c r="E9030" s="1" t="s">
        <v>3664</v>
      </c>
      <c r="F9030" s="1" t="s">
        <v>30021</v>
      </c>
      <c r="G9030" s="1" t="s">
        <v>16814</v>
      </c>
      <c r="H9030" s="1" t="s">
        <v>3604</v>
      </c>
      <c r="I9030" s="1" t="s">
        <v>30022</v>
      </c>
      <c r="J9030" s="1" t="s">
        <v>3615</v>
      </c>
      <c r="K9030" s="1" t="s">
        <v>30023</v>
      </c>
      <c r="L9030" s="1"/>
      <c r="M9030" s="1"/>
    </row>
    <row x14ac:dyDescent="0.25" r="9031" customHeight="1" ht="18.75">
      <c r="A9031" s="1" t="s">
        <v>3598</v>
      </c>
      <c r="B9031" s="1" t="s">
        <v>4781</v>
      </c>
      <c r="C9031" s="1" t="s">
        <v>3600</v>
      </c>
      <c r="D9031" s="1" t="s">
        <v>3601</v>
      </c>
      <c r="E9031" s="1" t="s">
        <v>3752</v>
      </c>
      <c r="F9031" s="1" t="s">
        <v>30024</v>
      </c>
      <c r="G9031" s="1" t="s">
        <v>30025</v>
      </c>
      <c r="H9031" s="1" t="s">
        <v>3604</v>
      </c>
      <c r="I9031" s="1" t="s">
        <v>30026</v>
      </c>
      <c r="J9031" s="1" t="s">
        <v>3615</v>
      </c>
      <c r="K9031" s="1" t="s">
        <v>30027</v>
      </c>
      <c r="L9031" s="1"/>
      <c r="M9031" s="1"/>
    </row>
    <row x14ac:dyDescent="0.25" r="9032" customHeight="1" ht="18.75">
      <c r="A9032" s="1" t="s">
        <v>3598</v>
      </c>
      <c r="B9032" s="1" t="s">
        <v>6811</v>
      </c>
      <c r="C9032" s="1" t="s">
        <v>3600</v>
      </c>
      <c r="D9032" s="1" t="s">
        <v>3601</v>
      </c>
      <c r="E9032" s="1" t="s">
        <v>3664</v>
      </c>
      <c r="F9032" s="1" t="s">
        <v>30028</v>
      </c>
      <c r="G9032" s="1" t="s">
        <v>16824</v>
      </c>
      <c r="H9032" s="1" t="s">
        <v>3604</v>
      </c>
      <c r="I9032" s="1" t="s">
        <v>30029</v>
      </c>
      <c r="J9032" s="1" t="s">
        <v>3615</v>
      </c>
      <c r="K9032" s="1" t="s">
        <v>30030</v>
      </c>
      <c r="L9032" s="1"/>
      <c r="M9032" s="1"/>
    </row>
    <row x14ac:dyDescent="0.25" r="9033" customHeight="1" ht="18.75">
      <c r="A9033" s="1" t="s">
        <v>3598</v>
      </c>
      <c r="B9033" s="1" t="s">
        <v>4781</v>
      </c>
      <c r="C9033" s="1" t="s">
        <v>3600</v>
      </c>
      <c r="D9033" s="1" t="s">
        <v>3601</v>
      </c>
      <c r="E9033" s="1" t="s">
        <v>3664</v>
      </c>
      <c r="F9033" s="1" t="s">
        <v>30031</v>
      </c>
      <c r="G9033" s="1" t="s">
        <v>29517</v>
      </c>
      <c r="H9033" s="1" t="s">
        <v>3604</v>
      </c>
      <c r="I9033" s="1" t="s">
        <v>30032</v>
      </c>
      <c r="J9033" s="1" t="s">
        <v>3615</v>
      </c>
      <c r="K9033" s="1" t="s">
        <v>30033</v>
      </c>
      <c r="L9033" s="1"/>
      <c r="M9033" s="1"/>
    </row>
    <row x14ac:dyDescent="0.25" r="9034" customHeight="1" ht="18.75">
      <c r="A9034" s="1" t="s">
        <v>3598</v>
      </c>
      <c r="B9034" s="1" t="s">
        <v>13984</v>
      </c>
      <c r="C9034" s="1" t="s">
        <v>3600</v>
      </c>
      <c r="D9034" s="1" t="s">
        <v>3601</v>
      </c>
      <c r="E9034" s="1" t="s">
        <v>3893</v>
      </c>
      <c r="F9034" s="1" t="s">
        <v>30034</v>
      </c>
      <c r="G9034" s="1" t="s">
        <v>6524</v>
      </c>
      <c r="H9034" s="1" t="s">
        <v>3604</v>
      </c>
      <c r="I9034" s="1" t="s">
        <v>30035</v>
      </c>
      <c r="J9034" s="1" t="s">
        <v>3615</v>
      </c>
      <c r="K9034" s="1" t="s">
        <v>30036</v>
      </c>
      <c r="L9034" s="1"/>
      <c r="M9034" s="1"/>
    </row>
    <row x14ac:dyDescent="0.25" r="9035" customHeight="1" ht="18.75">
      <c r="A9035" s="1" t="s">
        <v>3598</v>
      </c>
      <c r="B9035" s="1" t="s">
        <v>4781</v>
      </c>
      <c r="C9035" s="1" t="s">
        <v>3600</v>
      </c>
      <c r="D9035" s="1" t="s">
        <v>3601</v>
      </c>
      <c r="E9035" s="1" t="s">
        <v>3664</v>
      </c>
      <c r="F9035" s="1" t="s">
        <v>30037</v>
      </c>
      <c r="G9035" s="1" t="s">
        <v>29521</v>
      </c>
      <c r="H9035" s="1" t="s">
        <v>3604</v>
      </c>
      <c r="I9035" s="1" t="s">
        <v>30038</v>
      </c>
      <c r="J9035" s="1" t="s">
        <v>3615</v>
      </c>
      <c r="K9035" s="1" t="s">
        <v>30039</v>
      </c>
      <c r="L9035" s="1"/>
      <c r="M9035" s="1"/>
    </row>
    <row x14ac:dyDescent="0.25" r="9036" customHeight="1" ht="18.75">
      <c r="A9036" s="1" t="s">
        <v>3598</v>
      </c>
      <c r="B9036" s="1" t="s">
        <v>13984</v>
      </c>
      <c r="C9036" s="1" t="s">
        <v>3600</v>
      </c>
      <c r="D9036" s="1" t="s">
        <v>3601</v>
      </c>
      <c r="E9036" s="1" t="s">
        <v>3893</v>
      </c>
      <c r="F9036" s="1" t="s">
        <v>30040</v>
      </c>
      <c r="G9036" s="1" t="s">
        <v>6524</v>
      </c>
      <c r="H9036" s="1" t="s">
        <v>3604</v>
      </c>
      <c r="I9036" s="1" t="s">
        <v>30041</v>
      </c>
      <c r="J9036" s="1" t="s">
        <v>3615</v>
      </c>
      <c r="K9036" s="1" t="s">
        <v>30042</v>
      </c>
      <c r="L9036" s="1"/>
      <c r="M9036" s="1"/>
    </row>
    <row x14ac:dyDescent="0.25" r="9037" customHeight="1" ht="18.75">
      <c r="A9037" s="1" t="s">
        <v>3598</v>
      </c>
      <c r="B9037" s="1" t="s">
        <v>4781</v>
      </c>
      <c r="C9037" s="1" t="s">
        <v>3600</v>
      </c>
      <c r="D9037" s="1" t="s">
        <v>3601</v>
      </c>
      <c r="E9037" s="1" t="s">
        <v>3664</v>
      </c>
      <c r="F9037" s="1" t="s">
        <v>30043</v>
      </c>
      <c r="G9037" s="1" t="s">
        <v>18482</v>
      </c>
      <c r="H9037" s="1" t="s">
        <v>3604</v>
      </c>
      <c r="I9037" s="1" t="s">
        <v>30044</v>
      </c>
      <c r="J9037" s="1" t="s">
        <v>3615</v>
      </c>
      <c r="K9037" s="1" t="s">
        <v>30045</v>
      </c>
      <c r="L9037" s="1"/>
      <c r="M9037" s="1"/>
    </row>
    <row x14ac:dyDescent="0.25" r="9038" customHeight="1" ht="18.75">
      <c r="A9038" s="1" t="s">
        <v>3598</v>
      </c>
      <c r="B9038" s="1" t="s">
        <v>4781</v>
      </c>
      <c r="C9038" s="1" t="s">
        <v>3600</v>
      </c>
      <c r="D9038" s="1" t="s">
        <v>3601</v>
      </c>
      <c r="E9038" s="1" t="s">
        <v>3664</v>
      </c>
      <c r="F9038" s="1" t="s">
        <v>30046</v>
      </c>
      <c r="G9038" s="1" t="s">
        <v>16117</v>
      </c>
      <c r="H9038" s="1" t="s">
        <v>3604</v>
      </c>
      <c r="I9038" s="1" t="s">
        <v>30047</v>
      </c>
      <c r="J9038" s="1" t="s">
        <v>3615</v>
      </c>
      <c r="K9038" s="1" t="s">
        <v>30048</v>
      </c>
      <c r="L9038" s="1"/>
      <c r="M9038" s="1"/>
    </row>
    <row x14ac:dyDescent="0.25" r="9039" customHeight="1" ht="18.75">
      <c r="A9039" s="1" t="s">
        <v>3598</v>
      </c>
      <c r="B9039" s="1" t="s">
        <v>4781</v>
      </c>
      <c r="C9039" s="1" t="s">
        <v>3600</v>
      </c>
      <c r="D9039" s="1" t="s">
        <v>3601</v>
      </c>
      <c r="E9039" s="1" t="s">
        <v>3664</v>
      </c>
      <c r="F9039" s="1" t="s">
        <v>30049</v>
      </c>
      <c r="G9039" s="1" t="s">
        <v>4691</v>
      </c>
      <c r="H9039" s="1" t="s">
        <v>3604</v>
      </c>
      <c r="I9039" s="1" t="s">
        <v>30050</v>
      </c>
      <c r="J9039" s="1" t="s">
        <v>3615</v>
      </c>
      <c r="K9039" s="1" t="s">
        <v>30051</v>
      </c>
      <c r="L9039" s="1"/>
      <c r="M9039" s="1"/>
    </row>
    <row x14ac:dyDescent="0.25" r="9040" customHeight="1" ht="18.75">
      <c r="A9040" s="1" t="s">
        <v>3598</v>
      </c>
      <c r="B9040" s="1" t="s">
        <v>4781</v>
      </c>
      <c r="C9040" s="1" t="s">
        <v>3600</v>
      </c>
      <c r="D9040" s="1" t="s">
        <v>3601</v>
      </c>
      <c r="E9040" s="1" t="s">
        <v>3664</v>
      </c>
      <c r="F9040" s="1" t="s">
        <v>30052</v>
      </c>
      <c r="G9040" s="1" t="s">
        <v>22385</v>
      </c>
      <c r="H9040" s="1" t="s">
        <v>3604</v>
      </c>
      <c r="I9040" s="1" t="s">
        <v>30053</v>
      </c>
      <c r="J9040" s="1" t="s">
        <v>3615</v>
      </c>
      <c r="K9040" s="1" t="s">
        <v>30054</v>
      </c>
      <c r="L9040" s="1"/>
      <c r="M9040" s="1"/>
    </row>
    <row x14ac:dyDescent="0.25" r="9041" customHeight="1" ht="18.75">
      <c r="A9041" s="1" t="s">
        <v>3598</v>
      </c>
      <c r="B9041" s="1" t="s">
        <v>4781</v>
      </c>
      <c r="C9041" s="1" t="s">
        <v>3600</v>
      </c>
      <c r="D9041" s="1" t="s">
        <v>3601</v>
      </c>
      <c r="E9041" s="1" t="s">
        <v>3664</v>
      </c>
      <c r="F9041" s="1" t="s">
        <v>30055</v>
      </c>
      <c r="G9041" s="1" t="s">
        <v>20329</v>
      </c>
      <c r="H9041" s="1" t="s">
        <v>3604</v>
      </c>
      <c r="I9041" s="1" t="s">
        <v>30056</v>
      </c>
      <c r="J9041" s="1" t="s">
        <v>3615</v>
      </c>
      <c r="K9041" s="1" t="s">
        <v>30057</v>
      </c>
      <c r="L9041" s="1"/>
      <c r="M9041" s="1"/>
    </row>
    <row x14ac:dyDescent="0.25" r="9042" customHeight="1" ht="18.75">
      <c r="A9042" s="1" t="s">
        <v>3598</v>
      </c>
      <c r="B9042" s="1" t="s">
        <v>4781</v>
      </c>
      <c r="C9042" s="1" t="s">
        <v>3600</v>
      </c>
      <c r="D9042" s="1" t="s">
        <v>3601</v>
      </c>
      <c r="E9042" s="1" t="s">
        <v>3664</v>
      </c>
      <c r="F9042" s="1" t="s">
        <v>30058</v>
      </c>
      <c r="G9042" s="1" t="s">
        <v>18224</v>
      </c>
      <c r="H9042" s="1" t="s">
        <v>3604</v>
      </c>
      <c r="I9042" s="1" t="s">
        <v>30059</v>
      </c>
      <c r="J9042" s="1" t="s">
        <v>3615</v>
      </c>
      <c r="K9042" s="1" t="s">
        <v>30060</v>
      </c>
      <c r="L9042" s="1"/>
      <c r="M9042" s="1"/>
    </row>
    <row x14ac:dyDescent="0.25" r="9043" customHeight="1" ht="18.75">
      <c r="A9043" s="1" t="s">
        <v>3598</v>
      </c>
      <c r="B9043" s="1" t="s">
        <v>5256</v>
      </c>
      <c r="C9043" s="1" t="s">
        <v>3600</v>
      </c>
      <c r="D9043" s="1" t="s">
        <v>3601</v>
      </c>
      <c r="E9043" s="1" t="s">
        <v>3664</v>
      </c>
      <c r="F9043" s="1" t="s">
        <v>30061</v>
      </c>
      <c r="G9043" s="1" t="s">
        <v>18482</v>
      </c>
      <c r="H9043" s="1" t="s">
        <v>3604</v>
      </c>
      <c r="I9043" s="1" t="s">
        <v>30062</v>
      </c>
      <c r="J9043" s="1" t="s">
        <v>3615</v>
      </c>
      <c r="K9043" s="1" t="s">
        <v>30063</v>
      </c>
      <c r="L9043" s="1"/>
      <c r="M9043" s="1"/>
    </row>
    <row x14ac:dyDescent="0.25" r="9044" customHeight="1" ht="18.75">
      <c r="A9044" s="1" t="s">
        <v>3598</v>
      </c>
      <c r="B9044" s="1" t="s">
        <v>3814</v>
      </c>
      <c r="C9044" s="1" t="s">
        <v>3600</v>
      </c>
      <c r="D9044" s="1" t="s">
        <v>3601</v>
      </c>
      <c r="E9044" s="1" t="s">
        <v>3664</v>
      </c>
      <c r="F9044" s="1" t="s">
        <v>30064</v>
      </c>
      <c r="G9044" s="1" t="s">
        <v>16117</v>
      </c>
      <c r="H9044" s="1" t="s">
        <v>3604</v>
      </c>
      <c r="I9044" s="1" t="s">
        <v>30065</v>
      </c>
      <c r="J9044" s="1" t="s">
        <v>3615</v>
      </c>
      <c r="K9044" s="1" t="s">
        <v>30066</v>
      </c>
      <c r="L9044" s="1"/>
      <c r="M9044" s="1"/>
    </row>
    <row x14ac:dyDescent="0.25" r="9045" customHeight="1" ht="18.75">
      <c r="A9045" s="1" t="s">
        <v>3598</v>
      </c>
      <c r="B9045" s="1" t="s">
        <v>9025</v>
      </c>
      <c r="C9045" s="1" t="s">
        <v>3600</v>
      </c>
      <c r="D9045" s="1" t="s">
        <v>3601</v>
      </c>
      <c r="E9045" s="1" t="s">
        <v>3752</v>
      </c>
      <c r="F9045" s="1" t="s">
        <v>30067</v>
      </c>
      <c r="G9045" s="1" t="s">
        <v>30068</v>
      </c>
      <c r="H9045" s="1" t="s">
        <v>3604</v>
      </c>
      <c r="I9045" s="1" t="s">
        <v>30069</v>
      </c>
      <c r="J9045" s="1" t="s">
        <v>3615</v>
      </c>
      <c r="K9045" s="1" t="s">
        <v>30070</v>
      </c>
      <c r="L9045" s="1"/>
      <c r="M9045" s="1"/>
    </row>
    <row x14ac:dyDescent="0.25" r="9046" customHeight="1" ht="18.75">
      <c r="A9046" s="1" t="s">
        <v>3598</v>
      </c>
      <c r="B9046" s="1" t="s">
        <v>9025</v>
      </c>
      <c r="C9046" s="1" t="s">
        <v>3600</v>
      </c>
      <c r="D9046" s="1" t="s">
        <v>3601</v>
      </c>
      <c r="E9046" s="1" t="s">
        <v>3752</v>
      </c>
      <c r="F9046" s="1" t="s">
        <v>30071</v>
      </c>
      <c r="G9046" s="1" t="s">
        <v>30072</v>
      </c>
      <c r="H9046" s="1" t="s">
        <v>3604</v>
      </c>
      <c r="I9046" s="1" t="s">
        <v>30073</v>
      </c>
      <c r="J9046" s="1" t="s">
        <v>3615</v>
      </c>
      <c r="K9046" s="1" t="s">
        <v>30074</v>
      </c>
      <c r="L9046" s="1"/>
      <c r="M9046" s="1"/>
    </row>
    <row x14ac:dyDescent="0.25" r="9047" customHeight="1" ht="18.75">
      <c r="A9047" s="1" t="s">
        <v>3598</v>
      </c>
      <c r="B9047" s="1" t="s">
        <v>9025</v>
      </c>
      <c r="C9047" s="1" t="s">
        <v>3600</v>
      </c>
      <c r="D9047" s="1" t="s">
        <v>3601</v>
      </c>
      <c r="E9047" s="1" t="s">
        <v>3752</v>
      </c>
      <c r="F9047" s="1" t="s">
        <v>30075</v>
      </c>
      <c r="G9047" s="1" t="s">
        <v>30076</v>
      </c>
      <c r="H9047" s="1" t="s">
        <v>3604</v>
      </c>
      <c r="I9047" s="1" t="s">
        <v>30077</v>
      </c>
      <c r="J9047" s="1" t="s">
        <v>3615</v>
      </c>
      <c r="K9047" s="1" t="s">
        <v>30078</v>
      </c>
      <c r="L9047" s="1"/>
      <c r="M9047" s="1"/>
    </row>
    <row x14ac:dyDescent="0.25" r="9048" customHeight="1" ht="18.75">
      <c r="A9048" s="1" t="s">
        <v>3598</v>
      </c>
      <c r="B9048" s="1" t="s">
        <v>9025</v>
      </c>
      <c r="C9048" s="1" t="s">
        <v>3600</v>
      </c>
      <c r="D9048" s="1" t="s">
        <v>3601</v>
      </c>
      <c r="E9048" s="1" t="s">
        <v>3752</v>
      </c>
      <c r="F9048" s="1" t="s">
        <v>30079</v>
      </c>
      <c r="G9048" s="1" t="s">
        <v>30080</v>
      </c>
      <c r="H9048" s="1" t="s">
        <v>3604</v>
      </c>
      <c r="I9048" s="1" t="s">
        <v>30081</v>
      </c>
      <c r="J9048" s="1" t="s">
        <v>3615</v>
      </c>
      <c r="K9048" s="1" t="s">
        <v>30082</v>
      </c>
      <c r="L9048" s="1"/>
      <c r="M9048" s="1"/>
    </row>
    <row x14ac:dyDescent="0.25" r="9049" customHeight="1" ht="18.75">
      <c r="A9049" s="1" t="s">
        <v>3598</v>
      </c>
      <c r="B9049" s="1" t="s">
        <v>9025</v>
      </c>
      <c r="C9049" s="1" t="s">
        <v>3600</v>
      </c>
      <c r="D9049" s="1" t="s">
        <v>3601</v>
      </c>
      <c r="E9049" s="1" t="s">
        <v>3752</v>
      </c>
      <c r="F9049" s="1" t="s">
        <v>30083</v>
      </c>
      <c r="G9049" s="1" t="s">
        <v>30084</v>
      </c>
      <c r="H9049" s="1" t="s">
        <v>3604</v>
      </c>
      <c r="I9049" s="1" t="s">
        <v>30085</v>
      </c>
      <c r="J9049" s="1" t="s">
        <v>3615</v>
      </c>
      <c r="K9049" s="1" t="s">
        <v>30086</v>
      </c>
      <c r="L9049" s="1"/>
      <c r="M9049" s="1"/>
    </row>
    <row x14ac:dyDescent="0.25" r="9050" customHeight="1" ht="18.75">
      <c r="A9050" s="1" t="s">
        <v>3598</v>
      </c>
      <c r="B9050" s="1" t="s">
        <v>9025</v>
      </c>
      <c r="C9050" s="1" t="s">
        <v>3600</v>
      </c>
      <c r="D9050" s="1" t="s">
        <v>3601</v>
      </c>
      <c r="E9050" s="1" t="s">
        <v>3664</v>
      </c>
      <c r="F9050" s="1" t="s">
        <v>30087</v>
      </c>
      <c r="G9050" s="1" t="s">
        <v>30088</v>
      </c>
      <c r="H9050" s="1" t="s">
        <v>3604</v>
      </c>
      <c r="I9050" s="1" t="s">
        <v>30089</v>
      </c>
      <c r="J9050" s="1" t="s">
        <v>3615</v>
      </c>
      <c r="K9050" s="1" t="s">
        <v>30090</v>
      </c>
      <c r="L9050" s="1"/>
      <c r="M9050" s="1"/>
    </row>
    <row x14ac:dyDescent="0.25" r="9051" customHeight="1" ht="18.75">
      <c r="A9051" s="1" t="s">
        <v>3598</v>
      </c>
      <c r="B9051" s="1" t="s">
        <v>9025</v>
      </c>
      <c r="C9051" s="1" t="s">
        <v>3600</v>
      </c>
      <c r="D9051" s="1" t="s">
        <v>3601</v>
      </c>
      <c r="E9051" s="1" t="s">
        <v>3664</v>
      </c>
      <c r="F9051" s="1" t="s">
        <v>30091</v>
      </c>
      <c r="G9051" s="1" t="s">
        <v>30092</v>
      </c>
      <c r="H9051" s="1" t="s">
        <v>3604</v>
      </c>
      <c r="I9051" s="1" t="s">
        <v>30093</v>
      </c>
      <c r="J9051" s="1" t="s">
        <v>3615</v>
      </c>
      <c r="K9051" s="1" t="s">
        <v>30094</v>
      </c>
      <c r="L9051" s="1"/>
      <c r="M9051" s="1"/>
    </row>
    <row x14ac:dyDescent="0.25" r="9052" customHeight="1" ht="18.75">
      <c r="A9052" s="1" t="s">
        <v>7833</v>
      </c>
      <c r="B9052" s="1" t="s">
        <v>30095</v>
      </c>
      <c r="C9052" s="1" t="s">
        <v>3619</v>
      </c>
      <c r="D9052" s="1" t="s">
        <v>3601</v>
      </c>
      <c r="E9052" s="1" t="s">
        <v>3981</v>
      </c>
      <c r="F9052" s="1" t="s">
        <v>30096</v>
      </c>
      <c r="G9052" s="1" t="s">
        <v>30097</v>
      </c>
      <c r="H9052" s="1" t="s">
        <v>3604</v>
      </c>
      <c r="I9052" s="1" t="s">
        <v>30098</v>
      </c>
      <c r="J9052" s="1" t="s">
        <v>3615</v>
      </c>
      <c r="K9052" s="1" t="s">
        <v>16378</v>
      </c>
      <c r="L9052" s="1"/>
      <c r="M9052" s="1"/>
    </row>
    <row x14ac:dyDescent="0.25" r="9053" customHeight="1" ht="18.75">
      <c r="A9053" s="1" t="s">
        <v>3598</v>
      </c>
      <c r="B9053" s="1" t="s">
        <v>9025</v>
      </c>
      <c r="C9053" s="1" t="s">
        <v>3600</v>
      </c>
      <c r="D9053" s="1" t="s">
        <v>3601</v>
      </c>
      <c r="E9053" s="1" t="s">
        <v>3664</v>
      </c>
      <c r="F9053" s="1" t="s">
        <v>30099</v>
      </c>
      <c r="G9053" s="1" t="s">
        <v>9027</v>
      </c>
      <c r="H9053" s="1" t="s">
        <v>3604</v>
      </c>
      <c r="I9053" s="1" t="s">
        <v>30100</v>
      </c>
      <c r="J9053" s="1" t="s">
        <v>3615</v>
      </c>
      <c r="K9053" s="1" t="s">
        <v>30101</v>
      </c>
      <c r="L9053" s="1"/>
      <c r="M9053" s="1"/>
    </row>
    <row x14ac:dyDescent="0.25" r="9054" customHeight="1" ht="18.75">
      <c r="A9054" s="1" t="s">
        <v>7833</v>
      </c>
      <c r="B9054" s="1" t="s">
        <v>30095</v>
      </c>
      <c r="C9054" s="1" t="s">
        <v>3619</v>
      </c>
      <c r="D9054" s="1" t="s">
        <v>3601</v>
      </c>
      <c r="E9054" s="1" t="s">
        <v>3981</v>
      </c>
      <c r="F9054" s="1" t="s">
        <v>30102</v>
      </c>
      <c r="G9054" s="1" t="s">
        <v>30097</v>
      </c>
      <c r="H9054" s="1" t="s">
        <v>3604</v>
      </c>
      <c r="I9054" s="1" t="s">
        <v>30103</v>
      </c>
      <c r="J9054" s="1" t="s">
        <v>3615</v>
      </c>
      <c r="K9054" s="1" t="s">
        <v>16380</v>
      </c>
      <c r="L9054" s="1"/>
      <c r="M9054" s="1"/>
    </row>
    <row x14ac:dyDescent="0.25" r="9055" customHeight="1" ht="18.75">
      <c r="A9055" s="1" t="s">
        <v>3598</v>
      </c>
      <c r="B9055" s="1" t="s">
        <v>15397</v>
      </c>
      <c r="C9055" s="1" t="s">
        <v>3600</v>
      </c>
      <c r="D9055" s="1" t="s">
        <v>3601</v>
      </c>
      <c r="E9055" s="1" t="s">
        <v>3752</v>
      </c>
      <c r="F9055" s="1" t="s">
        <v>30104</v>
      </c>
      <c r="G9055" s="1" t="s">
        <v>30105</v>
      </c>
      <c r="H9055" s="1" t="s">
        <v>3604</v>
      </c>
      <c r="I9055" s="1" t="s">
        <v>30106</v>
      </c>
      <c r="J9055" s="1" t="s">
        <v>3615</v>
      </c>
      <c r="K9055" s="1" t="s">
        <v>30107</v>
      </c>
      <c r="L9055" s="1"/>
      <c r="M9055" s="1"/>
    </row>
    <row x14ac:dyDescent="0.25" r="9056" customHeight="1" ht="18.75">
      <c r="A9056" s="1" t="s">
        <v>7833</v>
      </c>
      <c r="B9056" s="1" t="s">
        <v>30095</v>
      </c>
      <c r="C9056" s="1" t="s">
        <v>3619</v>
      </c>
      <c r="D9056" s="1" t="s">
        <v>3601</v>
      </c>
      <c r="E9056" s="1" t="s">
        <v>3981</v>
      </c>
      <c r="F9056" s="1" t="s">
        <v>30108</v>
      </c>
      <c r="G9056" s="1" t="s">
        <v>30097</v>
      </c>
      <c r="H9056" s="1" t="s">
        <v>3604</v>
      </c>
      <c r="I9056" s="1" t="s">
        <v>30109</v>
      </c>
      <c r="J9056" s="1" t="s">
        <v>3615</v>
      </c>
      <c r="K9056" s="1" t="s">
        <v>14269</v>
      </c>
      <c r="L9056" s="1"/>
      <c r="M9056" s="1"/>
    </row>
    <row x14ac:dyDescent="0.25" r="9057" customHeight="1" ht="18.75">
      <c r="A9057" s="1" t="s">
        <v>3598</v>
      </c>
      <c r="B9057" s="1" t="s">
        <v>15397</v>
      </c>
      <c r="C9057" s="1" t="s">
        <v>3600</v>
      </c>
      <c r="D9057" s="1" t="s">
        <v>3601</v>
      </c>
      <c r="E9057" s="1" t="s">
        <v>3752</v>
      </c>
      <c r="F9057" s="1" t="s">
        <v>30110</v>
      </c>
      <c r="G9057" s="1" t="s">
        <v>21481</v>
      </c>
      <c r="H9057" s="1" t="s">
        <v>3604</v>
      </c>
      <c r="I9057" s="1" t="s">
        <v>30111</v>
      </c>
      <c r="J9057" s="1" t="s">
        <v>3615</v>
      </c>
      <c r="K9057" s="1" t="s">
        <v>30112</v>
      </c>
      <c r="L9057" s="1"/>
      <c r="M9057" s="1"/>
    </row>
    <row x14ac:dyDescent="0.25" r="9058" customHeight="1" ht="18.75">
      <c r="A9058" s="1" t="s">
        <v>7833</v>
      </c>
      <c r="B9058" s="1" t="s">
        <v>15339</v>
      </c>
      <c r="C9058" s="1" t="s">
        <v>4488</v>
      </c>
      <c r="D9058" s="1" t="s">
        <v>3601</v>
      </c>
      <c r="E9058" s="1" t="s">
        <v>3664</v>
      </c>
      <c r="F9058" s="1" t="s">
        <v>30113</v>
      </c>
      <c r="G9058" s="1" t="s">
        <v>15340</v>
      </c>
      <c r="H9058" s="1" t="s">
        <v>3604</v>
      </c>
      <c r="I9058" s="1" t="s">
        <v>30114</v>
      </c>
      <c r="J9058" s="1" t="s">
        <v>3615</v>
      </c>
      <c r="K9058" s="1" t="s">
        <v>16374</v>
      </c>
      <c r="L9058" s="1"/>
      <c r="M9058" s="1"/>
    </row>
    <row x14ac:dyDescent="0.25" r="9059" customHeight="1" ht="18.75">
      <c r="A9059" s="1" t="s">
        <v>3598</v>
      </c>
      <c r="B9059" s="1" t="s">
        <v>15397</v>
      </c>
      <c r="C9059" s="1" t="s">
        <v>3600</v>
      </c>
      <c r="D9059" s="1" t="s">
        <v>3601</v>
      </c>
      <c r="E9059" s="1" t="s">
        <v>3752</v>
      </c>
      <c r="F9059" s="1" t="s">
        <v>30115</v>
      </c>
      <c r="G9059" s="1" t="s">
        <v>30116</v>
      </c>
      <c r="H9059" s="1" t="s">
        <v>3604</v>
      </c>
      <c r="I9059" s="1" t="s">
        <v>30117</v>
      </c>
      <c r="J9059" s="1" t="s">
        <v>3615</v>
      </c>
      <c r="K9059" s="1" t="s">
        <v>30118</v>
      </c>
      <c r="L9059" s="1"/>
      <c r="M9059" s="1"/>
    </row>
    <row x14ac:dyDescent="0.25" r="9060" customHeight="1" ht="18.75">
      <c r="A9060" s="1" t="s">
        <v>7833</v>
      </c>
      <c r="B9060" s="1" t="s">
        <v>15339</v>
      </c>
      <c r="C9060" s="1" t="s">
        <v>4488</v>
      </c>
      <c r="D9060" s="1" t="s">
        <v>3601</v>
      </c>
      <c r="E9060" s="1" t="s">
        <v>3664</v>
      </c>
      <c r="F9060" s="1" t="s">
        <v>30119</v>
      </c>
      <c r="G9060" s="1" t="s">
        <v>15340</v>
      </c>
      <c r="H9060" s="1" t="s">
        <v>3604</v>
      </c>
      <c r="I9060" s="1" t="s">
        <v>30120</v>
      </c>
      <c r="J9060" s="1" t="s">
        <v>3615</v>
      </c>
      <c r="K9060" s="1" t="s">
        <v>16372</v>
      </c>
      <c r="L9060" s="1"/>
      <c r="M9060" s="1"/>
    </row>
    <row x14ac:dyDescent="0.25" r="9061" customHeight="1" ht="18.75">
      <c r="A9061" s="1" t="s">
        <v>3598</v>
      </c>
      <c r="B9061" s="1" t="s">
        <v>15397</v>
      </c>
      <c r="C9061" s="1" t="s">
        <v>3600</v>
      </c>
      <c r="D9061" s="1" t="s">
        <v>3601</v>
      </c>
      <c r="E9061" s="1" t="s">
        <v>3752</v>
      </c>
      <c r="F9061" s="1" t="s">
        <v>30121</v>
      </c>
      <c r="G9061" s="1" t="s">
        <v>30122</v>
      </c>
      <c r="H9061" s="1" t="s">
        <v>3604</v>
      </c>
      <c r="I9061" s="1" t="s">
        <v>30123</v>
      </c>
      <c r="J9061" s="1" t="s">
        <v>3615</v>
      </c>
      <c r="K9061" s="1" t="s">
        <v>30124</v>
      </c>
      <c r="L9061" s="1"/>
      <c r="M9061" s="1"/>
    </row>
    <row x14ac:dyDescent="0.25" r="9062" customHeight="1" ht="18.75">
      <c r="A9062" s="1" t="s">
        <v>7833</v>
      </c>
      <c r="B9062" s="1" t="s">
        <v>15339</v>
      </c>
      <c r="C9062" s="1" t="s">
        <v>4488</v>
      </c>
      <c r="D9062" s="1" t="s">
        <v>3601</v>
      </c>
      <c r="E9062" s="1" t="s">
        <v>3664</v>
      </c>
      <c r="F9062" s="1" t="s">
        <v>30125</v>
      </c>
      <c r="G9062" s="1" t="s">
        <v>15340</v>
      </c>
      <c r="H9062" s="1" t="s">
        <v>3604</v>
      </c>
      <c r="I9062" s="1" t="s">
        <v>30126</v>
      </c>
      <c r="J9062" s="1" t="s">
        <v>3615</v>
      </c>
      <c r="K9062" s="1" t="s">
        <v>16378</v>
      </c>
      <c r="L9062" s="1"/>
      <c r="M9062" s="1"/>
    </row>
    <row x14ac:dyDescent="0.25" r="9063" customHeight="1" ht="18.75">
      <c r="A9063" s="1" t="s">
        <v>3598</v>
      </c>
      <c r="B9063" s="1" t="s">
        <v>15397</v>
      </c>
      <c r="C9063" s="1" t="s">
        <v>3600</v>
      </c>
      <c r="D9063" s="1" t="s">
        <v>3601</v>
      </c>
      <c r="E9063" s="1" t="s">
        <v>3752</v>
      </c>
      <c r="F9063" s="1" t="s">
        <v>30127</v>
      </c>
      <c r="G9063" s="1" t="s">
        <v>30128</v>
      </c>
      <c r="H9063" s="1" t="s">
        <v>3604</v>
      </c>
      <c r="I9063" s="1" t="s">
        <v>30129</v>
      </c>
      <c r="J9063" s="1" t="s">
        <v>3615</v>
      </c>
      <c r="K9063" s="1" t="s">
        <v>30130</v>
      </c>
      <c r="L9063" s="1"/>
      <c r="M9063" s="1"/>
    </row>
    <row x14ac:dyDescent="0.25" r="9064" customHeight="1" ht="18.75">
      <c r="A9064" s="1" t="s">
        <v>7833</v>
      </c>
      <c r="B9064" s="1" t="s">
        <v>15339</v>
      </c>
      <c r="C9064" s="1" t="s">
        <v>4488</v>
      </c>
      <c r="D9064" s="1" t="s">
        <v>3601</v>
      </c>
      <c r="E9064" s="1" t="s">
        <v>3664</v>
      </c>
      <c r="F9064" s="1" t="s">
        <v>30131</v>
      </c>
      <c r="G9064" s="1" t="s">
        <v>15340</v>
      </c>
      <c r="H9064" s="1" t="s">
        <v>3604</v>
      </c>
      <c r="I9064" s="1" t="s">
        <v>30132</v>
      </c>
      <c r="J9064" s="1" t="s">
        <v>3615</v>
      </c>
      <c r="K9064" s="1" t="s">
        <v>16380</v>
      </c>
      <c r="L9064" s="1"/>
      <c r="M9064" s="1"/>
    </row>
    <row x14ac:dyDescent="0.25" r="9065" customHeight="1" ht="18.75">
      <c r="A9065" s="1" t="s">
        <v>3598</v>
      </c>
      <c r="B9065" s="1" t="s">
        <v>15397</v>
      </c>
      <c r="C9065" s="1" t="s">
        <v>3600</v>
      </c>
      <c r="D9065" s="1" t="s">
        <v>3601</v>
      </c>
      <c r="E9065" s="1" t="s">
        <v>3752</v>
      </c>
      <c r="F9065" s="1" t="s">
        <v>30133</v>
      </c>
      <c r="G9065" s="1" t="s">
        <v>30134</v>
      </c>
      <c r="H9065" s="1" t="s">
        <v>3604</v>
      </c>
      <c r="I9065" s="1" t="s">
        <v>30135</v>
      </c>
      <c r="J9065" s="1" t="s">
        <v>3615</v>
      </c>
      <c r="K9065" s="1" t="s">
        <v>30136</v>
      </c>
      <c r="L9065" s="1"/>
      <c r="M9065" s="1"/>
    </row>
    <row x14ac:dyDescent="0.25" r="9066" customHeight="1" ht="18.75">
      <c r="A9066" s="1" t="s">
        <v>7833</v>
      </c>
      <c r="B9066" s="1" t="s">
        <v>15339</v>
      </c>
      <c r="C9066" s="1" t="s">
        <v>4488</v>
      </c>
      <c r="D9066" s="1" t="s">
        <v>3601</v>
      </c>
      <c r="E9066" s="1" t="s">
        <v>3664</v>
      </c>
      <c r="F9066" s="1" t="s">
        <v>30137</v>
      </c>
      <c r="G9066" s="1" t="s">
        <v>15340</v>
      </c>
      <c r="H9066" s="1" t="s">
        <v>3604</v>
      </c>
      <c r="I9066" s="1" t="s">
        <v>30138</v>
      </c>
      <c r="J9066" s="1" t="s">
        <v>3615</v>
      </c>
      <c r="K9066" s="1" t="s">
        <v>14260</v>
      </c>
      <c r="L9066" s="1"/>
      <c r="M9066" s="1"/>
    </row>
    <row x14ac:dyDescent="0.25" r="9067" customHeight="1" ht="18.75">
      <c r="A9067" s="1" t="s">
        <v>3598</v>
      </c>
      <c r="B9067" s="1" t="s">
        <v>15397</v>
      </c>
      <c r="C9067" s="1" t="s">
        <v>3600</v>
      </c>
      <c r="D9067" s="1" t="s">
        <v>3601</v>
      </c>
      <c r="E9067" s="1" t="s">
        <v>3752</v>
      </c>
      <c r="F9067" s="1" t="s">
        <v>30139</v>
      </c>
      <c r="G9067" s="1" t="s">
        <v>30140</v>
      </c>
      <c r="H9067" s="1" t="s">
        <v>3604</v>
      </c>
      <c r="I9067" s="1" t="s">
        <v>30141</v>
      </c>
      <c r="J9067" s="1" t="s">
        <v>3615</v>
      </c>
      <c r="K9067" s="1" t="s">
        <v>30142</v>
      </c>
      <c r="L9067" s="1"/>
      <c r="M9067" s="1"/>
    </row>
    <row x14ac:dyDescent="0.25" r="9068" customHeight="1" ht="18.75">
      <c r="A9068" s="1" t="s">
        <v>3598</v>
      </c>
      <c r="B9068" s="1" t="s">
        <v>4273</v>
      </c>
      <c r="C9068" s="1" t="s">
        <v>3600</v>
      </c>
      <c r="D9068" s="1" t="s">
        <v>3601</v>
      </c>
      <c r="E9068" s="1" t="s">
        <v>3664</v>
      </c>
      <c r="F9068" s="1" t="s">
        <v>30143</v>
      </c>
      <c r="G9068" s="1" t="s">
        <v>16508</v>
      </c>
      <c r="H9068" s="1" t="s">
        <v>3604</v>
      </c>
      <c r="I9068" s="1" t="s">
        <v>30144</v>
      </c>
      <c r="J9068" s="1" t="s">
        <v>3615</v>
      </c>
      <c r="K9068" s="1" t="s">
        <v>30145</v>
      </c>
      <c r="L9068" s="1"/>
      <c r="M9068" s="1"/>
    </row>
    <row x14ac:dyDescent="0.25" r="9069" customHeight="1" ht="18.75">
      <c r="A9069" s="1" t="s">
        <v>3598</v>
      </c>
      <c r="B9069" s="1" t="s">
        <v>4273</v>
      </c>
      <c r="C9069" s="1" t="s">
        <v>3600</v>
      </c>
      <c r="D9069" s="1" t="s">
        <v>3601</v>
      </c>
      <c r="E9069" s="1" t="s">
        <v>3664</v>
      </c>
      <c r="F9069" s="1" t="s">
        <v>30146</v>
      </c>
      <c r="G9069" s="1" t="s">
        <v>16550</v>
      </c>
      <c r="H9069" s="1" t="s">
        <v>3604</v>
      </c>
      <c r="I9069" s="1" t="s">
        <v>30147</v>
      </c>
      <c r="J9069" s="1" t="s">
        <v>3615</v>
      </c>
      <c r="K9069" s="1" t="s">
        <v>30148</v>
      </c>
      <c r="L9069" s="1"/>
      <c r="M9069" s="1"/>
    </row>
    <row x14ac:dyDescent="0.25" r="9070" customHeight="1" ht="18.75">
      <c r="A9070" s="1" t="s">
        <v>3598</v>
      </c>
      <c r="B9070" s="1" t="s">
        <v>4273</v>
      </c>
      <c r="C9070" s="1" t="s">
        <v>3600</v>
      </c>
      <c r="D9070" s="1" t="s">
        <v>3601</v>
      </c>
      <c r="E9070" s="1" t="s">
        <v>3664</v>
      </c>
      <c r="F9070" s="1" t="s">
        <v>30149</v>
      </c>
      <c r="G9070" s="1" t="s">
        <v>16992</v>
      </c>
      <c r="H9070" s="1" t="s">
        <v>3604</v>
      </c>
      <c r="I9070" s="1" t="s">
        <v>30150</v>
      </c>
      <c r="J9070" s="1" t="s">
        <v>3615</v>
      </c>
      <c r="K9070" s="1" t="s">
        <v>30151</v>
      </c>
      <c r="L9070" s="1"/>
      <c r="M9070" s="1"/>
    </row>
    <row x14ac:dyDescent="0.25" r="9071" customHeight="1" ht="18.75">
      <c r="A9071" s="1" t="s">
        <v>3598</v>
      </c>
      <c r="B9071" s="1" t="s">
        <v>4273</v>
      </c>
      <c r="C9071" s="1" t="s">
        <v>3600</v>
      </c>
      <c r="D9071" s="1" t="s">
        <v>3601</v>
      </c>
      <c r="E9071" s="1" t="s">
        <v>3664</v>
      </c>
      <c r="F9071" s="1" t="s">
        <v>30152</v>
      </c>
      <c r="G9071" s="1" t="s">
        <v>16607</v>
      </c>
      <c r="H9071" s="1" t="s">
        <v>3604</v>
      </c>
      <c r="I9071" s="1" t="s">
        <v>30153</v>
      </c>
      <c r="J9071" s="1" t="s">
        <v>3615</v>
      </c>
      <c r="K9071" s="1" t="s">
        <v>30154</v>
      </c>
      <c r="L9071" s="1"/>
      <c r="M9071" s="1"/>
    </row>
    <row x14ac:dyDescent="0.25" r="9072" customHeight="1" ht="18.75">
      <c r="A9072" s="1" t="s">
        <v>3598</v>
      </c>
      <c r="B9072" s="1" t="s">
        <v>4273</v>
      </c>
      <c r="C9072" s="1" t="s">
        <v>3600</v>
      </c>
      <c r="D9072" s="1" t="s">
        <v>3601</v>
      </c>
      <c r="E9072" s="1" t="s">
        <v>3664</v>
      </c>
      <c r="F9072" s="1" t="s">
        <v>30155</v>
      </c>
      <c r="G9072" s="1" t="s">
        <v>21774</v>
      </c>
      <c r="H9072" s="1" t="s">
        <v>3604</v>
      </c>
      <c r="I9072" s="1" t="s">
        <v>30156</v>
      </c>
      <c r="J9072" s="1" t="s">
        <v>3615</v>
      </c>
      <c r="K9072" s="1" t="s">
        <v>30157</v>
      </c>
      <c r="L9072" s="1"/>
      <c r="M9072" s="1"/>
    </row>
    <row x14ac:dyDescent="0.25" r="9073" customHeight="1" ht="18.75">
      <c r="A9073" s="1" t="s">
        <v>3598</v>
      </c>
      <c r="B9073" s="1" t="s">
        <v>4273</v>
      </c>
      <c r="C9073" s="1" t="s">
        <v>3600</v>
      </c>
      <c r="D9073" s="1" t="s">
        <v>3601</v>
      </c>
      <c r="E9073" s="1" t="s">
        <v>3664</v>
      </c>
      <c r="F9073" s="1" t="s">
        <v>30158</v>
      </c>
      <c r="G9073" s="1" t="s">
        <v>29614</v>
      </c>
      <c r="H9073" s="1" t="s">
        <v>3604</v>
      </c>
      <c r="I9073" s="1" t="s">
        <v>30159</v>
      </c>
      <c r="J9073" s="1" t="s">
        <v>3615</v>
      </c>
      <c r="K9073" s="1" t="s">
        <v>30160</v>
      </c>
      <c r="L9073" s="1"/>
      <c r="M9073" s="1"/>
    </row>
    <row x14ac:dyDescent="0.25" r="9074" customHeight="1" ht="18.75">
      <c r="A9074" s="1" t="s">
        <v>3598</v>
      </c>
      <c r="B9074" s="1" t="s">
        <v>4273</v>
      </c>
      <c r="C9074" s="1" t="s">
        <v>3600</v>
      </c>
      <c r="D9074" s="1" t="s">
        <v>3601</v>
      </c>
      <c r="E9074" s="1" t="s">
        <v>3664</v>
      </c>
      <c r="F9074" s="1" t="s">
        <v>30161</v>
      </c>
      <c r="G9074" s="1" t="s">
        <v>20098</v>
      </c>
      <c r="H9074" s="1" t="s">
        <v>3604</v>
      </c>
      <c r="I9074" s="1" t="s">
        <v>30162</v>
      </c>
      <c r="J9074" s="1" t="s">
        <v>3615</v>
      </c>
      <c r="K9074" s="1" t="s">
        <v>30163</v>
      </c>
      <c r="L9074" s="1"/>
      <c r="M9074" s="1"/>
    </row>
    <row x14ac:dyDescent="0.25" r="9075" customHeight="1" ht="18.75">
      <c r="A9075" s="1" t="s">
        <v>3598</v>
      </c>
      <c r="B9075" s="1" t="s">
        <v>4273</v>
      </c>
      <c r="C9075" s="1" t="s">
        <v>3600</v>
      </c>
      <c r="D9075" s="1" t="s">
        <v>3601</v>
      </c>
      <c r="E9075" s="1" t="s">
        <v>3664</v>
      </c>
      <c r="F9075" s="1" t="s">
        <v>30164</v>
      </c>
      <c r="G9075" s="1" t="s">
        <v>22926</v>
      </c>
      <c r="H9075" s="1" t="s">
        <v>3604</v>
      </c>
      <c r="I9075" s="1" t="s">
        <v>30165</v>
      </c>
      <c r="J9075" s="1" t="s">
        <v>3615</v>
      </c>
      <c r="K9075" s="1" t="s">
        <v>30166</v>
      </c>
      <c r="L9075" s="1"/>
      <c r="M9075" s="1"/>
    </row>
    <row x14ac:dyDescent="0.25" r="9076" customHeight="1" ht="18.75">
      <c r="A9076" s="1" t="s">
        <v>3598</v>
      </c>
      <c r="B9076" s="1" t="s">
        <v>6717</v>
      </c>
      <c r="C9076" s="1" t="s">
        <v>3600</v>
      </c>
      <c r="D9076" s="1" t="s">
        <v>3601</v>
      </c>
      <c r="E9076" s="1" t="s">
        <v>3664</v>
      </c>
      <c r="F9076" s="1" t="s">
        <v>30167</v>
      </c>
      <c r="G9076" s="1" t="s">
        <v>16508</v>
      </c>
      <c r="H9076" s="1" t="s">
        <v>3604</v>
      </c>
      <c r="I9076" s="1" t="s">
        <v>30168</v>
      </c>
      <c r="J9076" s="1" t="s">
        <v>3615</v>
      </c>
      <c r="K9076" s="1" t="s">
        <v>30169</v>
      </c>
      <c r="L9076" s="1"/>
      <c r="M9076" s="1"/>
    </row>
    <row x14ac:dyDescent="0.25" r="9077" customHeight="1" ht="18.75">
      <c r="A9077" s="1" t="s">
        <v>3598</v>
      </c>
      <c r="B9077" s="1" t="s">
        <v>6717</v>
      </c>
      <c r="C9077" s="1" t="s">
        <v>3600</v>
      </c>
      <c r="D9077" s="1" t="s">
        <v>3601</v>
      </c>
      <c r="E9077" s="1" t="s">
        <v>3664</v>
      </c>
      <c r="F9077" s="1" t="s">
        <v>30170</v>
      </c>
      <c r="G9077" s="1" t="s">
        <v>16550</v>
      </c>
      <c r="H9077" s="1" t="s">
        <v>3604</v>
      </c>
      <c r="I9077" s="1" t="s">
        <v>30171</v>
      </c>
      <c r="J9077" s="1" t="s">
        <v>3615</v>
      </c>
      <c r="K9077" s="1" t="s">
        <v>30172</v>
      </c>
      <c r="L9077" s="1"/>
      <c r="M9077" s="1"/>
    </row>
    <row x14ac:dyDescent="0.25" r="9078" customHeight="1" ht="18.75">
      <c r="A9078" s="1" t="s">
        <v>3598</v>
      </c>
      <c r="B9078" s="1" t="s">
        <v>29634</v>
      </c>
      <c r="C9078" s="1" t="s">
        <v>3600</v>
      </c>
      <c r="D9078" s="1" t="s">
        <v>3601</v>
      </c>
      <c r="E9078" s="1" t="s">
        <v>3664</v>
      </c>
      <c r="F9078" s="1" t="s">
        <v>30173</v>
      </c>
      <c r="G9078" s="1" t="s">
        <v>16992</v>
      </c>
      <c r="H9078" s="1" t="s">
        <v>3604</v>
      </c>
      <c r="I9078" s="1" t="s">
        <v>30174</v>
      </c>
      <c r="J9078" s="1" t="s">
        <v>3615</v>
      </c>
      <c r="K9078" s="1" t="s">
        <v>30175</v>
      </c>
      <c r="L9078" s="1"/>
      <c r="M9078" s="1"/>
    </row>
    <row x14ac:dyDescent="0.25" r="9079" customHeight="1" ht="18.75">
      <c r="A9079" s="1" t="s">
        <v>3598</v>
      </c>
      <c r="B9079" s="1" t="s">
        <v>14108</v>
      </c>
      <c r="C9079" s="1" t="s">
        <v>3600</v>
      </c>
      <c r="D9079" s="1" t="s">
        <v>3601</v>
      </c>
      <c r="E9079" s="1" t="s">
        <v>3664</v>
      </c>
      <c r="F9079" s="1" t="s">
        <v>30176</v>
      </c>
      <c r="G9079" s="1" t="s">
        <v>16607</v>
      </c>
      <c r="H9079" s="1" t="s">
        <v>3604</v>
      </c>
      <c r="I9079" s="1" t="s">
        <v>30177</v>
      </c>
      <c r="J9079" s="1" t="s">
        <v>3615</v>
      </c>
      <c r="K9079" s="1" t="s">
        <v>30178</v>
      </c>
      <c r="L9079" s="1"/>
      <c r="M9079" s="1"/>
    </row>
    <row x14ac:dyDescent="0.25" r="9080" customHeight="1" ht="18.75">
      <c r="A9080" s="1" t="s">
        <v>3598</v>
      </c>
      <c r="B9080" s="1" t="s">
        <v>20123</v>
      </c>
      <c r="C9080" s="1" t="s">
        <v>3600</v>
      </c>
      <c r="D9080" s="1" t="s">
        <v>3601</v>
      </c>
      <c r="E9080" s="1" t="s">
        <v>3664</v>
      </c>
      <c r="F9080" s="1" t="s">
        <v>30179</v>
      </c>
      <c r="G9080" s="1" t="s">
        <v>21774</v>
      </c>
      <c r="H9080" s="1" t="s">
        <v>3604</v>
      </c>
      <c r="I9080" s="1" t="s">
        <v>30180</v>
      </c>
      <c r="J9080" s="1" t="s">
        <v>3615</v>
      </c>
      <c r="K9080" s="1" t="s">
        <v>30181</v>
      </c>
      <c r="L9080" s="1"/>
      <c r="M9080" s="1"/>
    </row>
    <row x14ac:dyDescent="0.25" r="9081" customHeight="1" ht="18.75">
      <c r="A9081" s="1" t="s">
        <v>3598</v>
      </c>
      <c r="B9081" s="1" t="s">
        <v>4689</v>
      </c>
      <c r="C9081" s="1" t="s">
        <v>3600</v>
      </c>
      <c r="D9081" s="1" t="s">
        <v>3601</v>
      </c>
      <c r="E9081" s="1" t="s">
        <v>3611</v>
      </c>
      <c r="F9081" s="1" t="s">
        <v>30182</v>
      </c>
      <c r="G9081" s="1" t="s">
        <v>7853</v>
      </c>
      <c r="H9081" s="1" t="s">
        <v>3604</v>
      </c>
      <c r="I9081" s="1" t="s">
        <v>30183</v>
      </c>
      <c r="J9081" s="1" t="s">
        <v>3615</v>
      </c>
      <c r="K9081" s="1" t="s">
        <v>30184</v>
      </c>
      <c r="L9081" s="1"/>
      <c r="M9081" s="1"/>
    </row>
    <row x14ac:dyDescent="0.25" r="9082" customHeight="1" ht="18.75">
      <c r="A9082" s="1" t="s">
        <v>3598</v>
      </c>
      <c r="B9082" s="1" t="s">
        <v>4689</v>
      </c>
      <c r="C9082" s="1" t="s">
        <v>3600</v>
      </c>
      <c r="D9082" s="1" t="s">
        <v>3601</v>
      </c>
      <c r="E9082" s="1" t="s">
        <v>3893</v>
      </c>
      <c r="F9082" s="1" t="s">
        <v>30185</v>
      </c>
      <c r="G9082" s="1" t="s">
        <v>7853</v>
      </c>
      <c r="H9082" s="1" t="s">
        <v>3604</v>
      </c>
      <c r="I9082" s="1" t="s">
        <v>30186</v>
      </c>
      <c r="J9082" s="1" t="s">
        <v>3615</v>
      </c>
      <c r="K9082" s="1" t="s">
        <v>30187</v>
      </c>
      <c r="L9082" s="1"/>
      <c r="M9082" s="1"/>
    </row>
    <row x14ac:dyDescent="0.25" r="9083" customHeight="1" ht="18.75">
      <c r="A9083" s="1" t="s">
        <v>3598</v>
      </c>
      <c r="B9083" s="1" t="s">
        <v>4689</v>
      </c>
      <c r="C9083" s="1" t="s">
        <v>3600</v>
      </c>
      <c r="D9083" s="1" t="s">
        <v>3601</v>
      </c>
      <c r="E9083" s="1" t="s">
        <v>3752</v>
      </c>
      <c r="F9083" s="1" t="s">
        <v>30188</v>
      </c>
      <c r="G9083" s="1" t="s">
        <v>7853</v>
      </c>
      <c r="H9083" s="1" t="s">
        <v>3604</v>
      </c>
      <c r="I9083" s="1" t="s">
        <v>30189</v>
      </c>
      <c r="J9083" s="1" t="s">
        <v>3615</v>
      </c>
      <c r="K9083" s="1" t="s">
        <v>30190</v>
      </c>
      <c r="L9083" s="1"/>
      <c r="M9083" s="1"/>
    </row>
    <row x14ac:dyDescent="0.25" r="9084" customHeight="1" ht="18.75">
      <c r="A9084" s="1" t="s">
        <v>3598</v>
      </c>
      <c r="B9084" s="1" t="s">
        <v>4689</v>
      </c>
      <c r="C9084" s="1" t="s">
        <v>3600</v>
      </c>
      <c r="D9084" s="1" t="s">
        <v>3601</v>
      </c>
      <c r="E9084" s="1" t="s">
        <v>3664</v>
      </c>
      <c r="F9084" s="1" t="s">
        <v>30191</v>
      </c>
      <c r="G9084" s="1" t="s">
        <v>28466</v>
      </c>
      <c r="H9084" s="1" t="s">
        <v>3604</v>
      </c>
      <c r="I9084" s="1" t="s">
        <v>30192</v>
      </c>
      <c r="J9084" s="1" t="s">
        <v>3615</v>
      </c>
      <c r="K9084" s="1" t="s">
        <v>30193</v>
      </c>
      <c r="L9084" s="1"/>
      <c r="M9084" s="1"/>
    </row>
    <row x14ac:dyDescent="0.25" r="9085" customHeight="1" ht="18.75">
      <c r="A9085" s="1" t="s">
        <v>3598</v>
      </c>
      <c r="B9085" s="1" t="s">
        <v>4689</v>
      </c>
      <c r="C9085" s="1" t="s">
        <v>3600</v>
      </c>
      <c r="D9085" s="1" t="s">
        <v>3601</v>
      </c>
      <c r="E9085" s="1" t="s">
        <v>3664</v>
      </c>
      <c r="F9085" s="1" t="s">
        <v>30194</v>
      </c>
      <c r="G9085" s="1" t="s">
        <v>4691</v>
      </c>
      <c r="H9085" s="1" t="s">
        <v>3604</v>
      </c>
      <c r="I9085" s="1" t="s">
        <v>30195</v>
      </c>
      <c r="J9085" s="1" t="s">
        <v>3615</v>
      </c>
      <c r="K9085" s="1" t="s">
        <v>30196</v>
      </c>
      <c r="L9085" s="1"/>
      <c r="M9085" s="1"/>
    </row>
    <row x14ac:dyDescent="0.25" r="9086" customHeight="1" ht="18.75">
      <c r="A9086" s="1" t="s">
        <v>3598</v>
      </c>
      <c r="B9086" s="1" t="s">
        <v>4689</v>
      </c>
      <c r="C9086" s="1" t="s">
        <v>3600</v>
      </c>
      <c r="D9086" s="1" t="s">
        <v>3601</v>
      </c>
      <c r="E9086" s="1" t="s">
        <v>3664</v>
      </c>
      <c r="F9086" s="1" t="s">
        <v>30197</v>
      </c>
      <c r="G9086" s="1" t="s">
        <v>16131</v>
      </c>
      <c r="H9086" s="1" t="s">
        <v>3604</v>
      </c>
      <c r="I9086" s="1" t="s">
        <v>30198</v>
      </c>
      <c r="J9086" s="1" t="s">
        <v>3615</v>
      </c>
      <c r="K9086" s="1" t="s">
        <v>30199</v>
      </c>
      <c r="L9086" s="1"/>
      <c r="M9086" s="1"/>
    </row>
    <row x14ac:dyDescent="0.25" r="9087" customHeight="1" ht="18.75">
      <c r="A9087" s="1" t="s">
        <v>3598</v>
      </c>
      <c r="B9087" s="1" t="s">
        <v>4689</v>
      </c>
      <c r="C9087" s="1" t="s">
        <v>3600</v>
      </c>
      <c r="D9087" s="1" t="s">
        <v>3601</v>
      </c>
      <c r="E9087" s="1" t="s">
        <v>3664</v>
      </c>
      <c r="F9087" s="1" t="s">
        <v>30200</v>
      </c>
      <c r="G9087" s="1" t="s">
        <v>22380</v>
      </c>
      <c r="H9087" s="1" t="s">
        <v>3604</v>
      </c>
      <c r="I9087" s="1" t="s">
        <v>30201</v>
      </c>
      <c r="J9087" s="1" t="s">
        <v>3615</v>
      </c>
      <c r="K9087" s="1" t="s">
        <v>30202</v>
      </c>
      <c r="L9087" s="1"/>
      <c r="M9087" s="1"/>
    </row>
    <row x14ac:dyDescent="0.25" r="9088" customHeight="1" ht="18.75">
      <c r="A9088" s="1" t="s">
        <v>3598</v>
      </c>
      <c r="B9088" s="1" t="s">
        <v>4689</v>
      </c>
      <c r="C9088" s="1" t="s">
        <v>3600</v>
      </c>
      <c r="D9088" s="1" t="s">
        <v>3601</v>
      </c>
      <c r="E9088" s="1" t="s">
        <v>3664</v>
      </c>
      <c r="F9088" s="1" t="s">
        <v>30203</v>
      </c>
      <c r="G9088" s="1" t="s">
        <v>20878</v>
      </c>
      <c r="H9088" s="1" t="s">
        <v>3604</v>
      </c>
      <c r="I9088" s="1" t="s">
        <v>30204</v>
      </c>
      <c r="J9088" s="1" t="s">
        <v>3615</v>
      </c>
      <c r="K9088" s="1" t="s">
        <v>30205</v>
      </c>
      <c r="L9088" s="1"/>
      <c r="M9088" s="1"/>
    </row>
    <row x14ac:dyDescent="0.25" r="9089" customHeight="1" ht="18.75">
      <c r="A9089" s="1" t="s">
        <v>3598</v>
      </c>
      <c r="B9089" s="1" t="s">
        <v>4689</v>
      </c>
      <c r="C9089" s="1" t="s">
        <v>3600</v>
      </c>
      <c r="D9089" s="1" t="s">
        <v>3601</v>
      </c>
      <c r="E9089" s="1" t="s">
        <v>3664</v>
      </c>
      <c r="F9089" s="1" t="s">
        <v>30206</v>
      </c>
      <c r="G9089" s="1" t="s">
        <v>21421</v>
      </c>
      <c r="H9089" s="1" t="s">
        <v>3604</v>
      </c>
      <c r="I9089" s="1" t="s">
        <v>30207</v>
      </c>
      <c r="J9089" s="1" t="s">
        <v>3615</v>
      </c>
      <c r="K9089" s="1" t="s">
        <v>30208</v>
      </c>
      <c r="L9089" s="1"/>
      <c r="M9089" s="1"/>
    </row>
    <row x14ac:dyDescent="0.25" r="9090" customHeight="1" ht="18.75">
      <c r="A9090" s="1" t="s">
        <v>3598</v>
      </c>
      <c r="B9090" s="1" t="s">
        <v>4689</v>
      </c>
      <c r="C9090" s="1" t="s">
        <v>3600</v>
      </c>
      <c r="D9090" s="1" t="s">
        <v>3601</v>
      </c>
      <c r="E9090" s="1" t="s">
        <v>3664</v>
      </c>
      <c r="F9090" s="1" t="s">
        <v>30209</v>
      </c>
      <c r="G9090" s="1" t="s">
        <v>20945</v>
      </c>
      <c r="H9090" s="1" t="s">
        <v>3604</v>
      </c>
      <c r="I9090" s="1" t="s">
        <v>30210</v>
      </c>
      <c r="J9090" s="1" t="s">
        <v>3615</v>
      </c>
      <c r="K9090" s="1" t="s">
        <v>30211</v>
      </c>
      <c r="L9090" s="1"/>
      <c r="M9090" s="1"/>
    </row>
    <row x14ac:dyDescent="0.25" r="9091" customHeight="1" ht="18.75">
      <c r="A9091" s="1" t="s">
        <v>3598</v>
      </c>
      <c r="B9091" s="1" t="s">
        <v>4689</v>
      </c>
      <c r="C9091" s="1" t="s">
        <v>3600</v>
      </c>
      <c r="D9091" s="1" t="s">
        <v>3601</v>
      </c>
      <c r="E9091" s="1" t="s">
        <v>3664</v>
      </c>
      <c r="F9091" s="1" t="s">
        <v>30212</v>
      </c>
      <c r="G9091" s="1" t="s">
        <v>7853</v>
      </c>
      <c r="H9091" s="1" t="s">
        <v>3604</v>
      </c>
      <c r="I9091" s="1" t="s">
        <v>30213</v>
      </c>
      <c r="J9091" s="1" t="s">
        <v>3615</v>
      </c>
      <c r="K9091" s="1" t="s">
        <v>30214</v>
      </c>
      <c r="L9091" s="1"/>
      <c r="M9091" s="1"/>
    </row>
    <row x14ac:dyDescent="0.25" r="9092" customHeight="1" ht="18.75">
      <c r="A9092" s="1" t="s">
        <v>3598</v>
      </c>
      <c r="B9092" s="1" t="s">
        <v>4689</v>
      </c>
      <c r="C9092" s="1" t="s">
        <v>3600</v>
      </c>
      <c r="D9092" s="1" t="s">
        <v>3601</v>
      </c>
      <c r="E9092" s="1" t="s">
        <v>3664</v>
      </c>
      <c r="F9092" s="1" t="s">
        <v>30215</v>
      </c>
      <c r="G9092" s="1" t="s">
        <v>7853</v>
      </c>
      <c r="H9092" s="1" t="s">
        <v>3604</v>
      </c>
      <c r="I9092" s="1" t="s">
        <v>30216</v>
      </c>
      <c r="J9092" s="1" t="s">
        <v>3615</v>
      </c>
      <c r="K9092" s="1" t="s">
        <v>30217</v>
      </c>
      <c r="L9092" s="1"/>
      <c r="M9092" s="1"/>
    </row>
    <row x14ac:dyDescent="0.25" r="9093" customHeight="1" ht="18.75">
      <c r="A9093" s="1" t="s">
        <v>3598</v>
      </c>
      <c r="B9093" s="1" t="s">
        <v>4689</v>
      </c>
      <c r="C9093" s="1" t="s">
        <v>3600</v>
      </c>
      <c r="D9093" s="1" t="s">
        <v>3601</v>
      </c>
      <c r="E9093" s="1" t="s">
        <v>3893</v>
      </c>
      <c r="F9093" s="1" t="s">
        <v>30218</v>
      </c>
      <c r="G9093" s="1" t="s">
        <v>7853</v>
      </c>
      <c r="H9093" s="1" t="s">
        <v>3604</v>
      </c>
      <c r="I9093" s="1" t="s">
        <v>30219</v>
      </c>
      <c r="J9093" s="1" t="s">
        <v>3615</v>
      </c>
      <c r="K9093" s="1" t="s">
        <v>30220</v>
      </c>
      <c r="L9093" s="1"/>
      <c r="M9093" s="1"/>
    </row>
    <row x14ac:dyDescent="0.25" r="9094" customHeight="1" ht="18.75">
      <c r="A9094" s="1" t="s">
        <v>3598</v>
      </c>
      <c r="B9094" s="1" t="s">
        <v>4689</v>
      </c>
      <c r="C9094" s="1" t="s">
        <v>3600</v>
      </c>
      <c r="D9094" s="1" t="s">
        <v>3601</v>
      </c>
      <c r="E9094" s="1" t="s">
        <v>3893</v>
      </c>
      <c r="F9094" s="1" t="s">
        <v>30221</v>
      </c>
      <c r="G9094" s="1" t="s">
        <v>30222</v>
      </c>
      <c r="H9094" s="1" t="s">
        <v>3604</v>
      </c>
      <c r="I9094" s="1" t="s">
        <v>30223</v>
      </c>
      <c r="J9094" s="1" t="s">
        <v>3615</v>
      </c>
      <c r="K9094" s="1" t="s">
        <v>30224</v>
      </c>
      <c r="L9094" s="1"/>
      <c r="M9094" s="1"/>
    </row>
    <row x14ac:dyDescent="0.25" r="9095" customHeight="1" ht="18.75">
      <c r="A9095" s="1" t="s">
        <v>3598</v>
      </c>
      <c r="B9095" s="1" t="s">
        <v>4689</v>
      </c>
      <c r="C9095" s="1" t="s">
        <v>3600</v>
      </c>
      <c r="D9095" s="1" t="s">
        <v>3601</v>
      </c>
      <c r="E9095" s="1" t="s">
        <v>3893</v>
      </c>
      <c r="F9095" s="1" t="s">
        <v>30225</v>
      </c>
      <c r="G9095" s="1" t="s">
        <v>28666</v>
      </c>
      <c r="H9095" s="1" t="s">
        <v>3604</v>
      </c>
      <c r="I9095" s="1" t="s">
        <v>30226</v>
      </c>
      <c r="J9095" s="1" t="s">
        <v>3615</v>
      </c>
      <c r="K9095" s="1" t="s">
        <v>30227</v>
      </c>
      <c r="L9095" s="1"/>
      <c r="M9095" s="1"/>
    </row>
    <row x14ac:dyDescent="0.25" r="9096" customHeight="1" ht="18.75">
      <c r="A9096" s="1" t="s">
        <v>3598</v>
      </c>
      <c r="B9096" s="1" t="s">
        <v>4689</v>
      </c>
      <c r="C9096" s="1" t="s">
        <v>3600</v>
      </c>
      <c r="D9096" s="1" t="s">
        <v>3601</v>
      </c>
      <c r="E9096" s="1" t="s">
        <v>3893</v>
      </c>
      <c r="F9096" s="1" t="s">
        <v>30228</v>
      </c>
      <c r="G9096" s="1" t="s">
        <v>6452</v>
      </c>
      <c r="H9096" s="1" t="s">
        <v>3604</v>
      </c>
      <c r="I9096" s="1" t="s">
        <v>30229</v>
      </c>
      <c r="J9096" s="1" t="s">
        <v>3615</v>
      </c>
      <c r="K9096" s="1" t="s">
        <v>30230</v>
      </c>
      <c r="L9096" s="1"/>
      <c r="M9096" s="1"/>
    </row>
    <row x14ac:dyDescent="0.25" r="9097" customHeight="1" ht="18.75">
      <c r="A9097" s="1" t="s">
        <v>3598</v>
      </c>
      <c r="B9097" s="1" t="s">
        <v>4689</v>
      </c>
      <c r="C9097" s="1" t="s">
        <v>3600</v>
      </c>
      <c r="D9097" s="1" t="s">
        <v>3601</v>
      </c>
      <c r="E9097" s="1" t="s">
        <v>3893</v>
      </c>
      <c r="F9097" s="1" t="s">
        <v>30231</v>
      </c>
      <c r="G9097" s="1" t="s">
        <v>29407</v>
      </c>
      <c r="H9097" s="1" t="s">
        <v>3604</v>
      </c>
      <c r="I9097" s="1" t="s">
        <v>30232</v>
      </c>
      <c r="J9097" s="1" t="s">
        <v>3615</v>
      </c>
      <c r="K9097" s="1" t="s">
        <v>30233</v>
      </c>
      <c r="L9097" s="1"/>
      <c r="M9097" s="1"/>
    </row>
    <row x14ac:dyDescent="0.25" r="9098" customHeight="1" ht="18.75">
      <c r="A9098" s="1" t="s">
        <v>3598</v>
      </c>
      <c r="B9098" s="1" t="s">
        <v>4689</v>
      </c>
      <c r="C9098" s="1" t="s">
        <v>3600</v>
      </c>
      <c r="D9098" s="1" t="s">
        <v>3601</v>
      </c>
      <c r="E9098" s="1" t="s">
        <v>3893</v>
      </c>
      <c r="F9098" s="1" t="s">
        <v>30234</v>
      </c>
      <c r="G9098" s="1" t="s">
        <v>19954</v>
      </c>
      <c r="H9098" s="1" t="s">
        <v>3604</v>
      </c>
      <c r="I9098" s="1" t="s">
        <v>30235</v>
      </c>
      <c r="J9098" s="1" t="s">
        <v>3615</v>
      </c>
      <c r="K9098" s="1" t="s">
        <v>30236</v>
      </c>
      <c r="L9098" s="1"/>
      <c r="M9098" s="1"/>
    </row>
    <row x14ac:dyDescent="0.25" r="9099" customHeight="1" ht="18.75">
      <c r="A9099" s="1" t="s">
        <v>3598</v>
      </c>
      <c r="B9099" s="1" t="s">
        <v>4689</v>
      </c>
      <c r="C9099" s="1" t="s">
        <v>3600</v>
      </c>
      <c r="D9099" s="1" t="s">
        <v>3601</v>
      </c>
      <c r="E9099" s="1" t="s">
        <v>3893</v>
      </c>
      <c r="F9099" s="1" t="s">
        <v>30237</v>
      </c>
      <c r="G9099" s="1" t="s">
        <v>20501</v>
      </c>
      <c r="H9099" s="1" t="s">
        <v>3604</v>
      </c>
      <c r="I9099" s="1" t="s">
        <v>30238</v>
      </c>
      <c r="J9099" s="1" t="s">
        <v>3615</v>
      </c>
      <c r="K9099" s="1" t="s">
        <v>30239</v>
      </c>
      <c r="L9099" s="1"/>
      <c r="M9099" s="1"/>
    </row>
    <row x14ac:dyDescent="0.25" r="9100" customHeight="1" ht="18.75">
      <c r="A9100" s="1" t="s">
        <v>3598</v>
      </c>
      <c r="B9100" s="1" t="s">
        <v>4689</v>
      </c>
      <c r="C9100" s="1" t="s">
        <v>3600</v>
      </c>
      <c r="D9100" s="1" t="s">
        <v>3601</v>
      </c>
      <c r="E9100" s="1" t="s">
        <v>3893</v>
      </c>
      <c r="F9100" s="1" t="s">
        <v>30240</v>
      </c>
      <c r="G9100" s="1" t="s">
        <v>20518</v>
      </c>
      <c r="H9100" s="1" t="s">
        <v>3604</v>
      </c>
      <c r="I9100" s="1" t="s">
        <v>30241</v>
      </c>
      <c r="J9100" s="1" t="s">
        <v>3615</v>
      </c>
      <c r="K9100" s="1" t="s">
        <v>30242</v>
      </c>
      <c r="L9100" s="1"/>
      <c r="M9100" s="1"/>
    </row>
    <row x14ac:dyDescent="0.25" r="9101" customHeight="1" ht="18.75">
      <c r="A9101" s="1" t="s">
        <v>7833</v>
      </c>
      <c r="B9101" s="1" t="s">
        <v>15339</v>
      </c>
      <c r="C9101" s="1" t="s">
        <v>4488</v>
      </c>
      <c r="D9101" s="1" t="s">
        <v>3601</v>
      </c>
      <c r="E9101" s="1" t="s">
        <v>3664</v>
      </c>
      <c r="F9101" s="1" t="s">
        <v>30243</v>
      </c>
      <c r="G9101" s="1" t="s">
        <v>15340</v>
      </c>
      <c r="H9101" s="1" t="s">
        <v>3604</v>
      </c>
      <c r="I9101" s="1" t="s">
        <v>30244</v>
      </c>
      <c r="J9101" s="1" t="s">
        <v>3615</v>
      </c>
      <c r="K9101" s="1" t="s">
        <v>14263</v>
      </c>
      <c r="L9101" s="1"/>
      <c r="M9101" s="1"/>
    </row>
    <row x14ac:dyDescent="0.25" r="9102" customHeight="1" ht="18.75">
      <c r="A9102" s="1" t="s">
        <v>7833</v>
      </c>
      <c r="B9102" s="1" t="s">
        <v>14870</v>
      </c>
      <c r="C9102" s="1" t="s">
        <v>4488</v>
      </c>
      <c r="D9102" s="1" t="s">
        <v>3601</v>
      </c>
      <c r="E9102" s="1" t="s">
        <v>8096</v>
      </c>
      <c r="F9102" s="1" t="s">
        <v>30245</v>
      </c>
      <c r="G9102" s="1" t="s">
        <v>14871</v>
      </c>
      <c r="H9102" s="1" t="s">
        <v>3604</v>
      </c>
      <c r="I9102" s="1" t="s">
        <v>30246</v>
      </c>
      <c r="J9102" s="1" t="s">
        <v>3615</v>
      </c>
      <c r="K9102" s="1" t="s">
        <v>14260</v>
      </c>
      <c r="L9102" s="1"/>
      <c r="M9102" s="1"/>
    </row>
    <row x14ac:dyDescent="0.25" r="9103" customHeight="1" ht="18.75">
      <c r="A9103" s="1" t="s">
        <v>7833</v>
      </c>
      <c r="B9103" s="1" t="s">
        <v>14870</v>
      </c>
      <c r="C9103" s="1" t="s">
        <v>4488</v>
      </c>
      <c r="D9103" s="1" t="s">
        <v>3601</v>
      </c>
      <c r="E9103" s="1" t="s">
        <v>8096</v>
      </c>
      <c r="F9103" s="1" t="s">
        <v>30247</v>
      </c>
      <c r="G9103" s="1" t="s">
        <v>14871</v>
      </c>
      <c r="H9103" s="1" t="s">
        <v>3604</v>
      </c>
      <c r="I9103" s="1" t="s">
        <v>30248</v>
      </c>
      <c r="J9103" s="1" t="s">
        <v>3615</v>
      </c>
      <c r="K9103" s="1" t="s">
        <v>14263</v>
      </c>
      <c r="L9103" s="1"/>
      <c r="M9103" s="1"/>
    </row>
    <row x14ac:dyDescent="0.25" r="9104" customHeight="1" ht="18.75">
      <c r="A9104" s="1" t="s">
        <v>7833</v>
      </c>
      <c r="B9104" s="1" t="s">
        <v>8269</v>
      </c>
      <c r="C9104" s="1" t="s">
        <v>4488</v>
      </c>
      <c r="D9104" s="1" t="s">
        <v>3601</v>
      </c>
      <c r="E9104" s="1" t="s">
        <v>8096</v>
      </c>
      <c r="F9104" s="1" t="s">
        <v>30249</v>
      </c>
      <c r="G9104" s="1" t="s">
        <v>14824</v>
      </c>
      <c r="H9104" s="1" t="s">
        <v>3604</v>
      </c>
      <c r="I9104" s="1" t="s">
        <v>30250</v>
      </c>
      <c r="J9104" s="1" t="s">
        <v>3615</v>
      </c>
      <c r="K9104" s="1" t="s">
        <v>16380</v>
      </c>
      <c r="L9104" s="1"/>
      <c r="M9104" s="1"/>
    </row>
    <row x14ac:dyDescent="0.25" r="9105" customHeight="1" ht="18.75">
      <c r="A9105" s="1" t="s">
        <v>7833</v>
      </c>
      <c r="B9105" s="1" t="s">
        <v>7872</v>
      </c>
      <c r="C9105" s="1" t="s">
        <v>4488</v>
      </c>
      <c r="D9105" s="1" t="s">
        <v>3601</v>
      </c>
      <c r="E9105" s="1" t="s">
        <v>8096</v>
      </c>
      <c r="F9105" s="1" t="s">
        <v>30251</v>
      </c>
      <c r="G9105" s="1" t="s">
        <v>7874</v>
      </c>
      <c r="H9105" s="1" t="s">
        <v>3604</v>
      </c>
      <c r="I9105" s="1" t="s">
        <v>30252</v>
      </c>
      <c r="J9105" s="1" t="s">
        <v>3615</v>
      </c>
      <c r="K9105" s="1" t="s">
        <v>30253</v>
      </c>
      <c r="L9105" s="1"/>
      <c r="M9105" s="1"/>
    </row>
    <row x14ac:dyDescent="0.25" r="9106" customHeight="1" ht="18.75">
      <c r="A9106" s="1" t="s">
        <v>7833</v>
      </c>
      <c r="B9106" s="1" t="s">
        <v>7872</v>
      </c>
      <c r="C9106" s="1" t="s">
        <v>4488</v>
      </c>
      <c r="D9106" s="1" t="s">
        <v>3601</v>
      </c>
      <c r="E9106" s="1" t="s">
        <v>8096</v>
      </c>
      <c r="F9106" s="1" t="s">
        <v>30254</v>
      </c>
      <c r="G9106" s="1" t="s">
        <v>7874</v>
      </c>
      <c r="H9106" s="1" t="s">
        <v>3604</v>
      </c>
      <c r="I9106" s="1" t="s">
        <v>30255</v>
      </c>
      <c r="J9106" s="1" t="s">
        <v>3615</v>
      </c>
      <c r="K9106" s="1" t="s">
        <v>30256</v>
      </c>
      <c r="L9106" s="1"/>
      <c r="M9106" s="1"/>
    </row>
    <row x14ac:dyDescent="0.25" r="9107" customHeight="1" ht="18.75">
      <c r="A9107" s="1" t="s">
        <v>7833</v>
      </c>
      <c r="B9107" s="1" t="s">
        <v>25130</v>
      </c>
      <c r="C9107" s="1" t="s">
        <v>4488</v>
      </c>
      <c r="D9107" s="1" t="s">
        <v>3601</v>
      </c>
      <c r="E9107" s="1" t="s">
        <v>8096</v>
      </c>
      <c r="F9107" s="1" t="s">
        <v>30257</v>
      </c>
      <c r="G9107" s="1" t="s">
        <v>25131</v>
      </c>
      <c r="H9107" s="1" t="s">
        <v>3604</v>
      </c>
      <c r="I9107" s="1" t="s">
        <v>30258</v>
      </c>
      <c r="J9107" s="1" t="s">
        <v>3615</v>
      </c>
      <c r="K9107" s="1" t="s">
        <v>14269</v>
      </c>
      <c r="L9107" s="1"/>
      <c r="M9107" s="1"/>
    </row>
    <row x14ac:dyDescent="0.25" r="9108" customHeight="1" ht="18.75">
      <c r="A9108" s="1" t="s">
        <v>7833</v>
      </c>
      <c r="B9108" s="1" t="s">
        <v>24270</v>
      </c>
      <c r="C9108" s="1" t="s">
        <v>4488</v>
      </c>
      <c r="D9108" s="1" t="s">
        <v>3601</v>
      </c>
      <c r="E9108" s="1" t="s">
        <v>3664</v>
      </c>
      <c r="F9108" s="1" t="s">
        <v>30259</v>
      </c>
      <c r="G9108" s="1" t="s">
        <v>24271</v>
      </c>
      <c r="H9108" s="1" t="s">
        <v>3604</v>
      </c>
      <c r="I9108" s="1" t="s">
        <v>30260</v>
      </c>
      <c r="J9108" s="1" t="s">
        <v>3615</v>
      </c>
      <c r="K9108" s="1" t="s">
        <v>16372</v>
      </c>
      <c r="L9108" s="1"/>
      <c r="M9108" s="1"/>
    </row>
    <row x14ac:dyDescent="0.25" r="9109" customHeight="1" ht="18.75">
      <c r="A9109" s="1" t="s">
        <v>7833</v>
      </c>
      <c r="B9109" s="1" t="s">
        <v>24270</v>
      </c>
      <c r="C9109" s="1" t="s">
        <v>4488</v>
      </c>
      <c r="D9109" s="1" t="s">
        <v>3601</v>
      </c>
      <c r="E9109" s="1" t="s">
        <v>3664</v>
      </c>
      <c r="F9109" s="1" t="s">
        <v>30261</v>
      </c>
      <c r="G9109" s="1" t="s">
        <v>24271</v>
      </c>
      <c r="H9109" s="1" t="s">
        <v>3604</v>
      </c>
      <c r="I9109" s="1" t="s">
        <v>30262</v>
      </c>
      <c r="J9109" s="1" t="s">
        <v>3615</v>
      </c>
      <c r="K9109" s="1" t="s">
        <v>16380</v>
      </c>
      <c r="L9109" s="1"/>
      <c r="M9109" s="1"/>
    </row>
    <row x14ac:dyDescent="0.25" r="9110" customHeight="1" ht="18.75">
      <c r="A9110" s="1" t="s">
        <v>7833</v>
      </c>
      <c r="B9110" s="1" t="s">
        <v>8291</v>
      </c>
      <c r="C9110" s="1" t="s">
        <v>4488</v>
      </c>
      <c r="D9110" s="1" t="s">
        <v>3601</v>
      </c>
      <c r="E9110" s="1" t="s">
        <v>8096</v>
      </c>
      <c r="F9110" s="1" t="s">
        <v>30263</v>
      </c>
      <c r="G9110" s="1" t="s">
        <v>8299</v>
      </c>
      <c r="H9110" s="1" t="s">
        <v>3604</v>
      </c>
      <c r="I9110" s="1" t="s">
        <v>30264</v>
      </c>
      <c r="J9110" s="1" t="s">
        <v>3615</v>
      </c>
      <c r="K9110" s="1" t="s">
        <v>30265</v>
      </c>
      <c r="L9110" s="1"/>
      <c r="M9110" s="1"/>
    </row>
    <row x14ac:dyDescent="0.25" r="9111" customHeight="1" ht="18.75">
      <c r="A9111" s="1" t="s">
        <v>7833</v>
      </c>
      <c r="B9111" s="1" t="s">
        <v>24258</v>
      </c>
      <c r="C9111" s="1" t="s">
        <v>4488</v>
      </c>
      <c r="D9111" s="1" t="s">
        <v>3601</v>
      </c>
      <c r="E9111" s="1" t="s">
        <v>3664</v>
      </c>
      <c r="F9111" s="1" t="s">
        <v>30266</v>
      </c>
      <c r="G9111" s="1" t="s">
        <v>24259</v>
      </c>
      <c r="H9111" s="1" t="s">
        <v>3604</v>
      </c>
      <c r="I9111" s="1" t="s">
        <v>30267</v>
      </c>
      <c r="J9111" s="1" t="s">
        <v>3615</v>
      </c>
      <c r="K9111" s="1" t="s">
        <v>14260</v>
      </c>
      <c r="L9111" s="1"/>
      <c r="M9111" s="1"/>
    </row>
    <row x14ac:dyDescent="0.25" r="9112" customHeight="1" ht="18.75">
      <c r="A9112" s="1" t="s">
        <v>7833</v>
      </c>
      <c r="B9112" s="1" t="s">
        <v>24258</v>
      </c>
      <c r="C9112" s="1" t="s">
        <v>4488</v>
      </c>
      <c r="D9112" s="1" t="s">
        <v>3601</v>
      </c>
      <c r="E9112" s="1" t="s">
        <v>3664</v>
      </c>
      <c r="F9112" s="1" t="s">
        <v>30268</v>
      </c>
      <c r="G9112" s="1" t="s">
        <v>24259</v>
      </c>
      <c r="H9112" s="1" t="s">
        <v>3604</v>
      </c>
      <c r="I9112" s="1" t="s">
        <v>30269</v>
      </c>
      <c r="J9112" s="1" t="s">
        <v>3615</v>
      </c>
      <c r="K9112" s="1" t="s">
        <v>14263</v>
      </c>
      <c r="L9112" s="1"/>
      <c r="M9112" s="1"/>
    </row>
    <row x14ac:dyDescent="0.25" r="9113" customHeight="1" ht="18.75">
      <c r="A9113" s="1" t="s">
        <v>7833</v>
      </c>
      <c r="B9113" s="1" t="s">
        <v>24258</v>
      </c>
      <c r="C9113" s="1" t="s">
        <v>4488</v>
      </c>
      <c r="D9113" s="1" t="s">
        <v>3601</v>
      </c>
      <c r="E9113" s="1" t="s">
        <v>3664</v>
      </c>
      <c r="F9113" s="1" t="s">
        <v>30270</v>
      </c>
      <c r="G9113" s="1" t="s">
        <v>24259</v>
      </c>
      <c r="H9113" s="1" t="s">
        <v>3604</v>
      </c>
      <c r="I9113" s="1" t="s">
        <v>30271</v>
      </c>
      <c r="J9113" s="1" t="s">
        <v>3615</v>
      </c>
      <c r="K9113" s="1" t="s">
        <v>14269</v>
      </c>
      <c r="L9113" s="1"/>
      <c r="M9113" s="1"/>
    </row>
    <row x14ac:dyDescent="0.25" r="9114" customHeight="1" ht="18.75">
      <c r="A9114" s="1" t="s">
        <v>7833</v>
      </c>
      <c r="B9114" s="1" t="s">
        <v>30272</v>
      </c>
      <c r="C9114" s="1" t="s">
        <v>4488</v>
      </c>
      <c r="D9114" s="1" t="s">
        <v>3601</v>
      </c>
      <c r="E9114" s="1" t="s">
        <v>3664</v>
      </c>
      <c r="F9114" s="1" t="s">
        <v>30273</v>
      </c>
      <c r="G9114" s="1" t="s">
        <v>30274</v>
      </c>
      <c r="H9114" s="1" t="s">
        <v>3604</v>
      </c>
      <c r="I9114" s="1" t="s">
        <v>30275</v>
      </c>
      <c r="J9114" s="1" t="s">
        <v>3615</v>
      </c>
      <c r="K9114" s="1" t="s">
        <v>16374</v>
      </c>
      <c r="L9114" s="1"/>
      <c r="M9114" s="1"/>
    </row>
    <row x14ac:dyDescent="0.25" r="9115" customHeight="1" ht="18.75">
      <c r="A9115" s="1" t="s">
        <v>7833</v>
      </c>
      <c r="B9115" s="1" t="s">
        <v>30272</v>
      </c>
      <c r="C9115" s="1" t="s">
        <v>4488</v>
      </c>
      <c r="D9115" s="1" t="s">
        <v>3601</v>
      </c>
      <c r="E9115" s="1" t="s">
        <v>3664</v>
      </c>
      <c r="F9115" s="1" t="s">
        <v>30276</v>
      </c>
      <c r="G9115" s="1" t="s">
        <v>30274</v>
      </c>
      <c r="H9115" s="1" t="s">
        <v>3604</v>
      </c>
      <c r="I9115" s="1" t="s">
        <v>30277</v>
      </c>
      <c r="J9115" s="1" t="s">
        <v>3615</v>
      </c>
      <c r="K9115" s="1" t="s">
        <v>16372</v>
      </c>
      <c r="L9115" s="1"/>
      <c r="M9115" s="1"/>
    </row>
    <row x14ac:dyDescent="0.25" r="9116" customHeight="1" ht="18.75">
      <c r="A9116" s="1" t="s">
        <v>7833</v>
      </c>
      <c r="B9116" s="1" t="s">
        <v>30272</v>
      </c>
      <c r="C9116" s="1" t="s">
        <v>4488</v>
      </c>
      <c r="D9116" s="1" t="s">
        <v>3601</v>
      </c>
      <c r="E9116" s="1" t="s">
        <v>3664</v>
      </c>
      <c r="F9116" s="1" t="s">
        <v>30278</v>
      </c>
      <c r="G9116" s="1" t="s">
        <v>30274</v>
      </c>
      <c r="H9116" s="1" t="s">
        <v>3604</v>
      </c>
      <c r="I9116" s="1" t="s">
        <v>30279</v>
      </c>
      <c r="J9116" s="1" t="s">
        <v>3615</v>
      </c>
      <c r="K9116" s="1" t="s">
        <v>16378</v>
      </c>
      <c r="L9116" s="1"/>
      <c r="M9116" s="1"/>
    </row>
    <row x14ac:dyDescent="0.25" r="9117" customHeight="1" ht="18.75">
      <c r="A9117" s="1" t="s">
        <v>3598</v>
      </c>
      <c r="B9117" s="1" t="s">
        <v>4689</v>
      </c>
      <c r="C9117" s="1" t="s">
        <v>3600</v>
      </c>
      <c r="D9117" s="1" t="s">
        <v>3601</v>
      </c>
      <c r="E9117" s="1" t="s">
        <v>3893</v>
      </c>
      <c r="F9117" s="1" t="s">
        <v>30280</v>
      </c>
      <c r="G9117" s="1" t="s">
        <v>7853</v>
      </c>
      <c r="H9117" s="1" t="s">
        <v>3604</v>
      </c>
      <c r="I9117" s="1" t="s">
        <v>30281</v>
      </c>
      <c r="J9117" s="1" t="s">
        <v>3615</v>
      </c>
      <c r="K9117" s="1" t="s">
        <v>30282</v>
      </c>
      <c r="L9117" s="1"/>
      <c r="M9117" s="1"/>
    </row>
    <row x14ac:dyDescent="0.25" r="9118" customHeight="1" ht="18.75">
      <c r="A9118" s="1" t="s">
        <v>3598</v>
      </c>
      <c r="B9118" s="1" t="s">
        <v>4689</v>
      </c>
      <c r="C9118" s="1" t="s">
        <v>3600</v>
      </c>
      <c r="D9118" s="1" t="s">
        <v>3601</v>
      </c>
      <c r="E9118" s="1" t="s">
        <v>3893</v>
      </c>
      <c r="F9118" s="1" t="s">
        <v>30283</v>
      </c>
      <c r="G9118" s="1" t="s">
        <v>7853</v>
      </c>
      <c r="H9118" s="1" t="s">
        <v>3604</v>
      </c>
      <c r="I9118" s="1" t="s">
        <v>30284</v>
      </c>
      <c r="J9118" s="1" t="s">
        <v>3615</v>
      </c>
      <c r="K9118" s="1" t="s">
        <v>30285</v>
      </c>
      <c r="L9118" s="1"/>
      <c r="M9118" s="1"/>
    </row>
    <row x14ac:dyDescent="0.25" r="9119" customHeight="1" ht="18.75">
      <c r="A9119" s="1" t="s">
        <v>3598</v>
      </c>
      <c r="B9119" s="1" t="s">
        <v>3814</v>
      </c>
      <c r="C9119" s="1" t="s">
        <v>3600</v>
      </c>
      <c r="D9119" s="1" t="s">
        <v>3601</v>
      </c>
      <c r="E9119" s="1" t="s">
        <v>3664</v>
      </c>
      <c r="F9119" s="1" t="s">
        <v>30286</v>
      </c>
      <c r="G9119" s="1" t="s">
        <v>16131</v>
      </c>
      <c r="H9119" s="1" t="s">
        <v>3604</v>
      </c>
      <c r="I9119" s="1" t="s">
        <v>30287</v>
      </c>
      <c r="J9119" s="1" t="s">
        <v>3615</v>
      </c>
      <c r="K9119" s="1" t="s">
        <v>30288</v>
      </c>
      <c r="L9119" s="1"/>
      <c r="M9119" s="1"/>
    </row>
    <row x14ac:dyDescent="0.25" r="9120" customHeight="1" ht="18.75">
      <c r="A9120" s="1" t="s">
        <v>3598</v>
      </c>
      <c r="B9120" s="1" t="s">
        <v>19975</v>
      </c>
      <c r="C9120" s="1" t="s">
        <v>3600</v>
      </c>
      <c r="D9120" s="1" t="s">
        <v>3601</v>
      </c>
      <c r="E9120" s="1" t="s">
        <v>3664</v>
      </c>
      <c r="F9120" s="1" t="s">
        <v>30289</v>
      </c>
      <c r="G9120" s="1" t="s">
        <v>22380</v>
      </c>
      <c r="H9120" s="1" t="s">
        <v>3604</v>
      </c>
      <c r="I9120" s="1" t="s">
        <v>30290</v>
      </c>
      <c r="J9120" s="1" t="s">
        <v>3615</v>
      </c>
      <c r="K9120" s="1" t="s">
        <v>30291</v>
      </c>
      <c r="L9120" s="1"/>
      <c r="M9120" s="1"/>
    </row>
    <row x14ac:dyDescent="0.25" r="9121" customHeight="1" ht="18.75">
      <c r="A9121" s="1" t="s">
        <v>3598</v>
      </c>
      <c r="B9121" s="1" t="s">
        <v>13758</v>
      </c>
      <c r="C9121" s="1" t="s">
        <v>3600</v>
      </c>
      <c r="D9121" s="1" t="s">
        <v>3601</v>
      </c>
      <c r="E9121" s="1" t="s">
        <v>3893</v>
      </c>
      <c r="F9121" s="1" t="s">
        <v>30292</v>
      </c>
      <c r="G9121" s="1" t="s">
        <v>28666</v>
      </c>
      <c r="H9121" s="1" t="s">
        <v>3604</v>
      </c>
      <c r="I9121" s="1" t="s">
        <v>30293</v>
      </c>
      <c r="J9121" s="1" t="s">
        <v>3615</v>
      </c>
      <c r="K9121" s="1" t="s">
        <v>30294</v>
      </c>
      <c r="L9121" s="1"/>
      <c r="M9121" s="1"/>
    </row>
    <row x14ac:dyDescent="0.25" r="9122" customHeight="1" ht="18.75">
      <c r="A9122" s="1" t="s">
        <v>3598</v>
      </c>
      <c r="B9122" s="1" t="s">
        <v>13758</v>
      </c>
      <c r="C9122" s="1" t="s">
        <v>3600</v>
      </c>
      <c r="D9122" s="1" t="s">
        <v>3601</v>
      </c>
      <c r="E9122" s="1" t="s">
        <v>3893</v>
      </c>
      <c r="F9122" s="1" t="s">
        <v>30295</v>
      </c>
      <c r="G9122" s="1" t="s">
        <v>6452</v>
      </c>
      <c r="H9122" s="1" t="s">
        <v>3604</v>
      </c>
      <c r="I9122" s="1" t="s">
        <v>30296</v>
      </c>
      <c r="J9122" s="1" t="s">
        <v>3615</v>
      </c>
      <c r="K9122" s="1" t="s">
        <v>30297</v>
      </c>
      <c r="L9122" s="1"/>
      <c r="M9122" s="1"/>
    </row>
    <row x14ac:dyDescent="0.25" r="9123" customHeight="1" ht="18.75">
      <c r="A9123" s="1" t="s">
        <v>3598</v>
      </c>
      <c r="B9123" s="1" t="s">
        <v>15557</v>
      </c>
      <c r="C9123" s="1" t="s">
        <v>3600</v>
      </c>
      <c r="D9123" s="1" t="s">
        <v>28428</v>
      </c>
      <c r="E9123" s="1" t="s">
        <v>3981</v>
      </c>
      <c r="F9123" s="1" t="s">
        <v>30298</v>
      </c>
      <c r="G9123" s="1" t="s">
        <v>30299</v>
      </c>
      <c r="H9123" s="1" t="s">
        <v>3604</v>
      </c>
      <c r="I9123" s="1" t="s">
        <v>30300</v>
      </c>
      <c r="J9123" s="1" t="s">
        <v>3615</v>
      </c>
      <c r="K9123" s="1" t="s">
        <v>30301</v>
      </c>
      <c r="L9123" s="1"/>
      <c r="M9123" s="1"/>
    </row>
    <row x14ac:dyDescent="0.25" r="9124" customHeight="1" ht="18.75">
      <c r="A9124" s="1" t="s">
        <v>3598</v>
      </c>
      <c r="B9124" s="1" t="s">
        <v>18092</v>
      </c>
      <c r="C9124" s="1" t="s">
        <v>3600</v>
      </c>
      <c r="D9124" s="1" t="s">
        <v>3601</v>
      </c>
      <c r="E9124" s="1" t="s">
        <v>3893</v>
      </c>
      <c r="F9124" s="1" t="s">
        <v>30302</v>
      </c>
      <c r="G9124" s="1" t="s">
        <v>29407</v>
      </c>
      <c r="H9124" s="1" t="s">
        <v>3604</v>
      </c>
      <c r="I9124" s="1" t="s">
        <v>30303</v>
      </c>
      <c r="J9124" s="1" t="s">
        <v>3615</v>
      </c>
      <c r="K9124" s="1" t="s">
        <v>30304</v>
      </c>
      <c r="L9124" s="1"/>
      <c r="M9124" s="1"/>
    </row>
    <row x14ac:dyDescent="0.25" r="9125" customHeight="1" ht="18.75">
      <c r="A9125" s="1" t="s">
        <v>3598</v>
      </c>
      <c r="B9125" s="1" t="s">
        <v>13742</v>
      </c>
      <c r="C9125" s="1" t="s">
        <v>3600</v>
      </c>
      <c r="D9125" s="1" t="s">
        <v>28428</v>
      </c>
      <c r="E9125" s="1" t="s">
        <v>3893</v>
      </c>
      <c r="F9125" s="1" t="s">
        <v>30305</v>
      </c>
      <c r="G9125" s="1" t="s">
        <v>15675</v>
      </c>
      <c r="H9125" s="1" t="s">
        <v>3604</v>
      </c>
      <c r="I9125" s="1" t="s">
        <v>30306</v>
      </c>
      <c r="J9125" s="1" t="s">
        <v>3615</v>
      </c>
      <c r="K9125" s="1" t="s">
        <v>30307</v>
      </c>
      <c r="L9125" s="1"/>
      <c r="M9125" s="1"/>
    </row>
    <row x14ac:dyDescent="0.25" r="9126" customHeight="1" ht="18.75">
      <c r="A9126" s="1" t="s">
        <v>3598</v>
      </c>
      <c r="B9126" s="1" t="s">
        <v>13742</v>
      </c>
      <c r="C9126" s="1" t="s">
        <v>3600</v>
      </c>
      <c r="D9126" s="1" t="s">
        <v>28428</v>
      </c>
      <c r="E9126" s="1" t="s">
        <v>3893</v>
      </c>
      <c r="F9126" s="1" t="s">
        <v>30308</v>
      </c>
      <c r="G9126" s="1" t="s">
        <v>8614</v>
      </c>
      <c r="H9126" s="1" t="s">
        <v>3604</v>
      </c>
      <c r="I9126" s="1" t="s">
        <v>30309</v>
      </c>
      <c r="J9126" s="1" t="s">
        <v>3615</v>
      </c>
      <c r="K9126" s="1" t="s">
        <v>30310</v>
      </c>
      <c r="L9126" s="1"/>
      <c r="M9126" s="1"/>
    </row>
    <row x14ac:dyDescent="0.25" r="9127" customHeight="1" ht="18.75">
      <c r="A9127" s="1" t="s">
        <v>3598</v>
      </c>
      <c r="B9127" s="1" t="s">
        <v>13742</v>
      </c>
      <c r="C9127" s="1" t="s">
        <v>3600</v>
      </c>
      <c r="D9127" s="1" t="s">
        <v>28428</v>
      </c>
      <c r="E9127" s="1" t="s">
        <v>3893</v>
      </c>
      <c r="F9127" s="1" t="s">
        <v>30311</v>
      </c>
      <c r="G9127" s="1" t="s">
        <v>16717</v>
      </c>
      <c r="H9127" s="1" t="s">
        <v>3604</v>
      </c>
      <c r="I9127" s="1" t="s">
        <v>30312</v>
      </c>
      <c r="J9127" s="1" t="s">
        <v>3615</v>
      </c>
      <c r="K9127" s="1" t="s">
        <v>30313</v>
      </c>
      <c r="L9127" s="1"/>
      <c r="M9127" s="1"/>
    </row>
    <row x14ac:dyDescent="0.25" r="9128" customHeight="1" ht="18.75">
      <c r="A9128" s="1" t="s">
        <v>3598</v>
      </c>
      <c r="B9128" s="1" t="s">
        <v>3663</v>
      </c>
      <c r="C9128" s="1" t="s">
        <v>3600</v>
      </c>
      <c r="D9128" s="1" t="s">
        <v>28428</v>
      </c>
      <c r="E9128" s="1" t="s">
        <v>3664</v>
      </c>
      <c r="F9128" s="1" t="s">
        <v>30314</v>
      </c>
      <c r="G9128" s="1" t="s">
        <v>8333</v>
      </c>
      <c r="H9128" s="1" t="s">
        <v>3604</v>
      </c>
      <c r="I9128" s="1" t="s">
        <v>30315</v>
      </c>
      <c r="J9128" s="1" t="s">
        <v>3615</v>
      </c>
      <c r="K9128" s="1" t="s">
        <v>30316</v>
      </c>
      <c r="L9128" s="1"/>
      <c r="M9128" s="1"/>
    </row>
    <row x14ac:dyDescent="0.25" r="9129" customHeight="1" ht="18.75">
      <c r="A9129" s="1" t="s">
        <v>7833</v>
      </c>
      <c r="B9129" s="1" t="s">
        <v>30272</v>
      </c>
      <c r="C9129" s="1" t="s">
        <v>4488</v>
      </c>
      <c r="D9129" s="1" t="s">
        <v>3601</v>
      </c>
      <c r="E9129" s="1" t="s">
        <v>3664</v>
      </c>
      <c r="F9129" s="1" t="s">
        <v>30317</v>
      </c>
      <c r="G9129" s="1" t="s">
        <v>30274</v>
      </c>
      <c r="H9129" s="1" t="s">
        <v>3604</v>
      </c>
      <c r="I9129" s="1" t="s">
        <v>30318</v>
      </c>
      <c r="J9129" s="1" t="s">
        <v>3615</v>
      </c>
      <c r="K9129" s="1" t="s">
        <v>16380</v>
      </c>
      <c r="L9129" s="1"/>
      <c r="M9129" s="1"/>
    </row>
    <row x14ac:dyDescent="0.25" r="9130" customHeight="1" ht="18.75">
      <c r="A9130" s="1" t="s">
        <v>3598</v>
      </c>
      <c r="B9130" s="1" t="s">
        <v>20557</v>
      </c>
      <c r="C9130" s="1" t="s">
        <v>3600</v>
      </c>
      <c r="D9130" s="1" t="s">
        <v>28428</v>
      </c>
      <c r="E9130" s="1" t="s">
        <v>3893</v>
      </c>
      <c r="F9130" s="1" t="s">
        <v>30319</v>
      </c>
      <c r="G9130" s="1" t="s">
        <v>30320</v>
      </c>
      <c r="H9130" s="1" t="s">
        <v>3604</v>
      </c>
      <c r="I9130" s="1" t="s">
        <v>30321</v>
      </c>
      <c r="J9130" s="1" t="s">
        <v>3615</v>
      </c>
      <c r="K9130" s="1" t="s">
        <v>30322</v>
      </c>
      <c r="L9130" s="1"/>
      <c r="M9130" s="1"/>
    </row>
    <row x14ac:dyDescent="0.25" r="9131" customHeight="1" ht="18.75">
      <c r="A9131" s="1" t="s">
        <v>7833</v>
      </c>
      <c r="B9131" s="1" t="s">
        <v>30323</v>
      </c>
      <c r="C9131" s="1" t="s">
        <v>4488</v>
      </c>
      <c r="D9131" s="1" t="s">
        <v>3601</v>
      </c>
      <c r="E9131" s="1" t="s">
        <v>3664</v>
      </c>
      <c r="F9131" s="1" t="s">
        <v>30324</v>
      </c>
      <c r="G9131" s="1" t="s">
        <v>30325</v>
      </c>
      <c r="H9131" s="1" t="s">
        <v>3604</v>
      </c>
      <c r="I9131" s="1" t="s">
        <v>30326</v>
      </c>
      <c r="J9131" s="1" t="s">
        <v>3615</v>
      </c>
      <c r="K9131" s="1" t="s">
        <v>14260</v>
      </c>
      <c r="L9131" s="1"/>
      <c r="M9131" s="1"/>
    </row>
    <row x14ac:dyDescent="0.25" r="9132" customHeight="1" ht="18.75">
      <c r="A9132" s="1" t="s">
        <v>3598</v>
      </c>
      <c r="B9132" s="1" t="s">
        <v>20557</v>
      </c>
      <c r="C9132" s="1" t="s">
        <v>3600</v>
      </c>
      <c r="D9132" s="1" t="s">
        <v>28428</v>
      </c>
      <c r="E9132" s="1" t="s">
        <v>3893</v>
      </c>
      <c r="F9132" s="1" t="s">
        <v>30327</v>
      </c>
      <c r="G9132" s="1" t="s">
        <v>4515</v>
      </c>
      <c r="H9132" s="1" t="s">
        <v>3604</v>
      </c>
      <c r="I9132" s="1" t="s">
        <v>30328</v>
      </c>
      <c r="J9132" s="1" t="s">
        <v>3615</v>
      </c>
      <c r="K9132" s="1" t="s">
        <v>30329</v>
      </c>
      <c r="L9132" s="1"/>
      <c r="M9132" s="1"/>
    </row>
    <row x14ac:dyDescent="0.25" r="9133" customHeight="1" ht="18.75">
      <c r="A9133" s="1" t="s">
        <v>7833</v>
      </c>
      <c r="B9133" s="1" t="s">
        <v>30323</v>
      </c>
      <c r="C9133" s="1" t="s">
        <v>4488</v>
      </c>
      <c r="D9133" s="1" t="s">
        <v>3601</v>
      </c>
      <c r="E9133" s="1" t="s">
        <v>3664</v>
      </c>
      <c r="F9133" s="1" t="s">
        <v>30330</v>
      </c>
      <c r="G9133" s="1" t="s">
        <v>30325</v>
      </c>
      <c r="H9133" s="1" t="s">
        <v>3604</v>
      </c>
      <c r="I9133" s="1" t="s">
        <v>30331</v>
      </c>
      <c r="J9133" s="1" t="s">
        <v>3615</v>
      </c>
      <c r="K9133" s="1" t="s">
        <v>14263</v>
      </c>
      <c r="L9133" s="1"/>
      <c r="M9133" s="1"/>
    </row>
    <row x14ac:dyDescent="0.25" r="9134" customHeight="1" ht="18.75">
      <c r="A9134" s="1" t="s">
        <v>3598</v>
      </c>
      <c r="B9134" s="1" t="s">
        <v>9231</v>
      </c>
      <c r="C9134" s="1" t="s">
        <v>3600</v>
      </c>
      <c r="D9134" s="1" t="s">
        <v>28428</v>
      </c>
      <c r="E9134" s="1" t="s">
        <v>3664</v>
      </c>
      <c r="F9134" s="1" t="s">
        <v>30332</v>
      </c>
      <c r="G9134" s="1" t="s">
        <v>27195</v>
      </c>
      <c r="H9134" s="1" t="s">
        <v>3604</v>
      </c>
      <c r="I9134" s="1" t="s">
        <v>30333</v>
      </c>
      <c r="J9134" s="1" t="s">
        <v>3615</v>
      </c>
      <c r="K9134" s="1" t="s">
        <v>30334</v>
      </c>
      <c r="L9134" s="1"/>
      <c r="M9134" s="1"/>
    </row>
    <row x14ac:dyDescent="0.25" r="9135" customHeight="1" ht="18.75">
      <c r="A9135" s="1" t="s">
        <v>7833</v>
      </c>
      <c r="B9135" s="1" t="s">
        <v>30323</v>
      </c>
      <c r="C9135" s="1" t="s">
        <v>4488</v>
      </c>
      <c r="D9135" s="1" t="s">
        <v>3601</v>
      </c>
      <c r="E9135" s="1" t="s">
        <v>3664</v>
      </c>
      <c r="F9135" s="1" t="s">
        <v>30335</v>
      </c>
      <c r="G9135" s="1" t="s">
        <v>30325</v>
      </c>
      <c r="H9135" s="1" t="s">
        <v>3604</v>
      </c>
      <c r="I9135" s="1" t="s">
        <v>30336</v>
      </c>
      <c r="J9135" s="1" t="s">
        <v>3615</v>
      </c>
      <c r="K9135" s="1" t="s">
        <v>14269</v>
      </c>
      <c r="L9135" s="1"/>
      <c r="M9135" s="1"/>
    </row>
    <row x14ac:dyDescent="0.25" r="9136" customHeight="1" ht="18.75">
      <c r="A9136" s="1" t="s">
        <v>3598</v>
      </c>
      <c r="B9136" s="1" t="s">
        <v>9231</v>
      </c>
      <c r="C9136" s="1" t="s">
        <v>3600</v>
      </c>
      <c r="D9136" s="1" t="s">
        <v>28428</v>
      </c>
      <c r="E9136" s="1" t="s">
        <v>3664</v>
      </c>
      <c r="F9136" s="1" t="s">
        <v>30337</v>
      </c>
      <c r="G9136" s="1" t="s">
        <v>16588</v>
      </c>
      <c r="H9136" s="1" t="s">
        <v>3604</v>
      </c>
      <c r="I9136" s="1" t="s">
        <v>30338</v>
      </c>
      <c r="J9136" s="1" t="s">
        <v>3615</v>
      </c>
      <c r="K9136" s="1" t="s">
        <v>30339</v>
      </c>
      <c r="L9136" s="1"/>
      <c r="M9136" s="1"/>
    </row>
    <row x14ac:dyDescent="0.25" r="9137" customHeight="1" ht="18.75">
      <c r="A9137" s="1" t="s">
        <v>7833</v>
      </c>
      <c r="B9137" s="1" t="s">
        <v>8095</v>
      </c>
      <c r="C9137" s="1" t="s">
        <v>4488</v>
      </c>
      <c r="D9137" s="1" t="s">
        <v>3601</v>
      </c>
      <c r="E9137" s="1" t="s">
        <v>8096</v>
      </c>
      <c r="F9137" s="1" t="s">
        <v>30340</v>
      </c>
      <c r="G9137" s="1" t="s">
        <v>9085</v>
      </c>
      <c r="H9137" s="1" t="s">
        <v>3604</v>
      </c>
      <c r="I9137" s="1" t="s">
        <v>30341</v>
      </c>
      <c r="J9137" s="1" t="s">
        <v>3615</v>
      </c>
      <c r="K9137" s="1" t="s">
        <v>16372</v>
      </c>
      <c r="L9137" s="1"/>
      <c r="M9137" s="1"/>
    </row>
    <row x14ac:dyDescent="0.25" r="9138" customHeight="1" ht="18.75">
      <c r="A9138" s="1" t="s">
        <v>3598</v>
      </c>
      <c r="B9138" s="1" t="s">
        <v>9231</v>
      </c>
      <c r="C9138" s="1" t="s">
        <v>3600</v>
      </c>
      <c r="D9138" s="1" t="s">
        <v>28428</v>
      </c>
      <c r="E9138" s="1" t="s">
        <v>3664</v>
      </c>
      <c r="F9138" s="1" t="s">
        <v>30342</v>
      </c>
      <c r="G9138" s="1" t="s">
        <v>16595</v>
      </c>
      <c r="H9138" s="1" t="s">
        <v>3604</v>
      </c>
      <c r="I9138" s="1" t="s">
        <v>30343</v>
      </c>
      <c r="J9138" s="1" t="s">
        <v>3615</v>
      </c>
      <c r="K9138" s="1" t="s">
        <v>30344</v>
      </c>
      <c r="L9138" s="1"/>
      <c r="M9138" s="1"/>
    </row>
    <row x14ac:dyDescent="0.25" r="9139" customHeight="1" ht="18.75">
      <c r="A9139" s="1" t="s">
        <v>7833</v>
      </c>
      <c r="B9139" s="1" t="s">
        <v>8095</v>
      </c>
      <c r="C9139" s="1" t="s">
        <v>4488</v>
      </c>
      <c r="D9139" s="1" t="s">
        <v>3601</v>
      </c>
      <c r="E9139" s="1" t="s">
        <v>8096</v>
      </c>
      <c r="F9139" s="1" t="s">
        <v>30345</v>
      </c>
      <c r="G9139" s="1" t="s">
        <v>9085</v>
      </c>
      <c r="H9139" s="1" t="s">
        <v>3604</v>
      </c>
      <c r="I9139" s="1" t="s">
        <v>30346</v>
      </c>
      <c r="J9139" s="1" t="s">
        <v>3615</v>
      </c>
      <c r="K9139" s="1" t="s">
        <v>16380</v>
      </c>
      <c r="L9139" s="1"/>
      <c r="M9139" s="1"/>
    </row>
    <row x14ac:dyDescent="0.25" r="9140" customHeight="1" ht="18.75">
      <c r="A9140" s="1" t="s">
        <v>3598</v>
      </c>
      <c r="B9140" s="1" t="s">
        <v>9231</v>
      </c>
      <c r="C9140" s="1" t="s">
        <v>3600</v>
      </c>
      <c r="D9140" s="1" t="s">
        <v>28428</v>
      </c>
      <c r="E9140" s="1" t="s">
        <v>3664</v>
      </c>
      <c r="F9140" s="1" t="s">
        <v>30347</v>
      </c>
      <c r="G9140" s="1" t="s">
        <v>16602</v>
      </c>
      <c r="H9140" s="1" t="s">
        <v>3604</v>
      </c>
      <c r="I9140" s="1" t="s">
        <v>30348</v>
      </c>
      <c r="J9140" s="1" t="s">
        <v>3615</v>
      </c>
      <c r="K9140" s="1" t="s">
        <v>30349</v>
      </c>
      <c r="L9140" s="1"/>
      <c r="M9140" s="1"/>
    </row>
    <row x14ac:dyDescent="0.25" r="9141" customHeight="1" ht="18.75">
      <c r="A9141" s="1" t="s">
        <v>7833</v>
      </c>
      <c r="B9141" s="1" t="s">
        <v>14256</v>
      </c>
      <c r="C9141" s="1" t="s">
        <v>4488</v>
      </c>
      <c r="D9141" s="1" t="s">
        <v>3601</v>
      </c>
      <c r="E9141" s="1" t="s">
        <v>3664</v>
      </c>
      <c r="F9141" s="1" t="s">
        <v>30350</v>
      </c>
      <c r="G9141" s="1" t="s">
        <v>14258</v>
      </c>
      <c r="H9141" s="1" t="s">
        <v>3604</v>
      </c>
      <c r="I9141" s="1" t="s">
        <v>30351</v>
      </c>
      <c r="J9141" s="1" t="s">
        <v>3615</v>
      </c>
      <c r="K9141" s="1" t="s">
        <v>16380</v>
      </c>
      <c r="L9141" s="1"/>
      <c r="M9141" s="1"/>
    </row>
    <row x14ac:dyDescent="0.25" r="9142" customHeight="1" ht="18.75">
      <c r="A9142" s="1" t="s">
        <v>3598</v>
      </c>
      <c r="B9142" s="1" t="s">
        <v>19900</v>
      </c>
      <c r="C9142" s="1" t="s">
        <v>3600</v>
      </c>
      <c r="D9142" s="1" t="s">
        <v>28428</v>
      </c>
      <c r="E9142" s="1" t="s">
        <v>3752</v>
      </c>
      <c r="F9142" s="1" t="s">
        <v>30352</v>
      </c>
      <c r="G9142" s="1" t="s">
        <v>30353</v>
      </c>
      <c r="H9142" s="1" t="s">
        <v>3604</v>
      </c>
      <c r="I9142" s="1" t="s">
        <v>30354</v>
      </c>
      <c r="J9142" s="1" t="s">
        <v>3615</v>
      </c>
      <c r="K9142" s="1" t="s">
        <v>30355</v>
      </c>
      <c r="L9142" s="1"/>
      <c r="M9142" s="1"/>
    </row>
    <row x14ac:dyDescent="0.25" r="9143" customHeight="1" ht="18.75">
      <c r="A9143" s="1" t="s">
        <v>7833</v>
      </c>
      <c r="B9143" s="1" t="s">
        <v>9121</v>
      </c>
      <c r="C9143" s="1" t="s">
        <v>4488</v>
      </c>
      <c r="D9143" s="1" t="s">
        <v>3601</v>
      </c>
      <c r="E9143" s="1" t="s">
        <v>3664</v>
      </c>
      <c r="F9143" s="1" t="s">
        <v>30356</v>
      </c>
      <c r="G9143" s="1" t="s">
        <v>9189</v>
      </c>
      <c r="H9143" s="1" t="s">
        <v>3604</v>
      </c>
      <c r="I9143" s="1" t="s">
        <v>30357</v>
      </c>
      <c r="J9143" s="1" t="s">
        <v>3615</v>
      </c>
      <c r="K9143" s="1" t="s">
        <v>16372</v>
      </c>
      <c r="L9143" s="1"/>
      <c r="M9143" s="1"/>
    </row>
    <row x14ac:dyDescent="0.25" r="9144" customHeight="1" ht="18.75">
      <c r="A9144" s="1" t="s">
        <v>3598</v>
      </c>
      <c r="B9144" s="1" t="s">
        <v>19900</v>
      </c>
      <c r="C9144" s="1" t="s">
        <v>3600</v>
      </c>
      <c r="D9144" s="1" t="s">
        <v>28428</v>
      </c>
      <c r="E9144" s="1" t="s">
        <v>3752</v>
      </c>
      <c r="F9144" s="1" t="s">
        <v>30358</v>
      </c>
      <c r="G9144" s="1" t="s">
        <v>30359</v>
      </c>
      <c r="H9144" s="1" t="s">
        <v>3604</v>
      </c>
      <c r="I9144" s="1" t="s">
        <v>30360</v>
      </c>
      <c r="J9144" s="1" t="s">
        <v>3615</v>
      </c>
      <c r="K9144" s="1" t="s">
        <v>30361</v>
      </c>
      <c r="L9144" s="1"/>
      <c r="M9144" s="1"/>
    </row>
    <row x14ac:dyDescent="0.25" r="9145" customHeight="1" ht="18.75">
      <c r="A9145" s="1" t="s">
        <v>7833</v>
      </c>
      <c r="B9145" s="1" t="s">
        <v>9121</v>
      </c>
      <c r="C9145" s="1" t="s">
        <v>4488</v>
      </c>
      <c r="D9145" s="1" t="s">
        <v>3601</v>
      </c>
      <c r="E9145" s="1" t="s">
        <v>3664</v>
      </c>
      <c r="F9145" s="1" t="s">
        <v>30362</v>
      </c>
      <c r="G9145" s="1" t="s">
        <v>9189</v>
      </c>
      <c r="H9145" s="1" t="s">
        <v>3604</v>
      </c>
      <c r="I9145" s="1" t="s">
        <v>30363</v>
      </c>
      <c r="J9145" s="1" t="s">
        <v>3615</v>
      </c>
      <c r="K9145" s="1" t="s">
        <v>16380</v>
      </c>
      <c r="L9145" s="1"/>
      <c r="M9145" s="1"/>
    </row>
    <row x14ac:dyDescent="0.25" r="9146" customHeight="1" ht="18.75">
      <c r="A9146" s="1" t="s">
        <v>3598</v>
      </c>
      <c r="B9146" s="1" t="s">
        <v>19900</v>
      </c>
      <c r="C9146" s="1" t="s">
        <v>3600</v>
      </c>
      <c r="D9146" s="1" t="s">
        <v>28428</v>
      </c>
      <c r="E9146" s="1" t="s">
        <v>3664</v>
      </c>
      <c r="F9146" s="1" t="s">
        <v>30364</v>
      </c>
      <c r="G9146" s="1" t="s">
        <v>30365</v>
      </c>
      <c r="H9146" s="1" t="s">
        <v>3604</v>
      </c>
      <c r="I9146" s="1" t="s">
        <v>30366</v>
      </c>
      <c r="J9146" s="1" t="s">
        <v>3615</v>
      </c>
      <c r="K9146" s="1" t="s">
        <v>30367</v>
      </c>
      <c r="L9146" s="1"/>
      <c r="M9146" s="1"/>
    </row>
    <row x14ac:dyDescent="0.25" r="9147" customHeight="1" ht="18.75">
      <c r="A9147" s="1" t="s">
        <v>7833</v>
      </c>
      <c r="B9147" s="1" t="s">
        <v>9121</v>
      </c>
      <c r="C9147" s="1" t="s">
        <v>4488</v>
      </c>
      <c r="D9147" s="1" t="s">
        <v>3601</v>
      </c>
      <c r="E9147" s="1" t="s">
        <v>3664</v>
      </c>
      <c r="F9147" s="1" t="s">
        <v>30368</v>
      </c>
      <c r="G9147" s="1" t="s">
        <v>9189</v>
      </c>
      <c r="H9147" s="1" t="s">
        <v>3604</v>
      </c>
      <c r="I9147" s="1" t="s">
        <v>30369</v>
      </c>
      <c r="J9147" s="1" t="s">
        <v>3615</v>
      </c>
      <c r="K9147" s="1" t="s">
        <v>14260</v>
      </c>
      <c r="L9147" s="1"/>
      <c r="M9147" s="1"/>
    </row>
    <row x14ac:dyDescent="0.25" r="9148" customHeight="1" ht="18.75">
      <c r="A9148" s="1" t="s">
        <v>3598</v>
      </c>
      <c r="B9148" s="1" t="s">
        <v>15780</v>
      </c>
      <c r="C9148" s="1" t="s">
        <v>3600</v>
      </c>
      <c r="D9148" s="1" t="s">
        <v>28428</v>
      </c>
      <c r="E9148" s="1" t="s">
        <v>3981</v>
      </c>
      <c r="F9148" s="1" t="s">
        <v>30370</v>
      </c>
      <c r="G9148" s="1" t="s">
        <v>30371</v>
      </c>
      <c r="H9148" s="1" t="s">
        <v>3604</v>
      </c>
      <c r="I9148" s="1" t="s">
        <v>30372</v>
      </c>
      <c r="J9148" s="1" t="s">
        <v>3615</v>
      </c>
      <c r="K9148" s="1" t="s">
        <v>30373</v>
      </c>
      <c r="L9148" s="1"/>
      <c r="M9148" s="1"/>
    </row>
    <row x14ac:dyDescent="0.25" r="9149" customHeight="1" ht="18.75">
      <c r="A9149" s="1" t="s">
        <v>7833</v>
      </c>
      <c r="B9149" s="1" t="s">
        <v>9121</v>
      </c>
      <c r="C9149" s="1" t="s">
        <v>4488</v>
      </c>
      <c r="D9149" s="1" t="s">
        <v>3601</v>
      </c>
      <c r="E9149" s="1" t="s">
        <v>3664</v>
      </c>
      <c r="F9149" s="1" t="s">
        <v>30374</v>
      </c>
      <c r="G9149" s="1" t="s">
        <v>9189</v>
      </c>
      <c r="H9149" s="1" t="s">
        <v>3604</v>
      </c>
      <c r="I9149" s="1" t="s">
        <v>30375</v>
      </c>
      <c r="J9149" s="1" t="s">
        <v>3615</v>
      </c>
      <c r="K9149" s="1" t="s">
        <v>14263</v>
      </c>
      <c r="L9149" s="1"/>
      <c r="M9149" s="1"/>
    </row>
    <row x14ac:dyDescent="0.25" r="9150" customHeight="1" ht="18.75">
      <c r="A9150" s="1" t="s">
        <v>3598</v>
      </c>
      <c r="B9150" s="1" t="s">
        <v>3778</v>
      </c>
      <c r="C9150" s="1" t="s">
        <v>3600</v>
      </c>
      <c r="D9150" s="1" t="s">
        <v>28428</v>
      </c>
      <c r="E9150" s="1" t="s">
        <v>3981</v>
      </c>
      <c r="F9150" s="1" t="s">
        <v>30376</v>
      </c>
      <c r="G9150" s="1" t="s">
        <v>30377</v>
      </c>
      <c r="H9150" s="1" t="s">
        <v>3604</v>
      </c>
      <c r="I9150" s="1" t="s">
        <v>30378</v>
      </c>
      <c r="J9150" s="1" t="s">
        <v>3615</v>
      </c>
      <c r="K9150" s="1" t="s">
        <v>30379</v>
      </c>
      <c r="L9150" s="1"/>
      <c r="M9150" s="1"/>
    </row>
    <row x14ac:dyDescent="0.25" r="9151" customHeight="1" ht="18.75">
      <c r="A9151" s="1" t="s">
        <v>7833</v>
      </c>
      <c r="B9151" s="1" t="s">
        <v>14413</v>
      </c>
      <c r="C9151" s="1" t="s">
        <v>4488</v>
      </c>
      <c r="D9151" s="1" t="s">
        <v>3601</v>
      </c>
      <c r="E9151" s="1" t="s">
        <v>3664</v>
      </c>
      <c r="F9151" s="1" t="s">
        <v>30380</v>
      </c>
      <c r="G9151" s="1" t="s">
        <v>14414</v>
      </c>
      <c r="H9151" s="1" t="s">
        <v>3604</v>
      </c>
      <c r="I9151" s="1" t="s">
        <v>30381</v>
      </c>
      <c r="J9151" s="1" t="s">
        <v>3615</v>
      </c>
      <c r="K9151" s="1" t="s">
        <v>14260</v>
      </c>
      <c r="L9151" s="1"/>
      <c r="M9151" s="1"/>
    </row>
    <row x14ac:dyDescent="0.25" r="9152" customHeight="1" ht="18.75">
      <c r="A9152" s="1" t="s">
        <v>3598</v>
      </c>
      <c r="B9152" s="1" t="s">
        <v>3778</v>
      </c>
      <c r="C9152" s="1" t="s">
        <v>3600</v>
      </c>
      <c r="D9152" s="1" t="s">
        <v>28428</v>
      </c>
      <c r="E9152" s="1" t="s">
        <v>3981</v>
      </c>
      <c r="F9152" s="1" t="s">
        <v>30382</v>
      </c>
      <c r="G9152" s="1" t="s">
        <v>30383</v>
      </c>
      <c r="H9152" s="1" t="s">
        <v>3604</v>
      </c>
      <c r="I9152" s="1" t="s">
        <v>30384</v>
      </c>
      <c r="J9152" s="1" t="s">
        <v>3615</v>
      </c>
      <c r="K9152" s="1" t="s">
        <v>30385</v>
      </c>
      <c r="L9152" s="1"/>
      <c r="M9152" s="1"/>
    </row>
    <row x14ac:dyDescent="0.25" r="9153" customHeight="1" ht="18.75">
      <c r="A9153" s="1" t="s">
        <v>7833</v>
      </c>
      <c r="B9153" s="1" t="s">
        <v>14413</v>
      </c>
      <c r="C9153" s="1" t="s">
        <v>4488</v>
      </c>
      <c r="D9153" s="1" t="s">
        <v>3601</v>
      </c>
      <c r="E9153" s="1" t="s">
        <v>3664</v>
      </c>
      <c r="F9153" s="1" t="s">
        <v>30386</v>
      </c>
      <c r="G9153" s="1" t="s">
        <v>14414</v>
      </c>
      <c r="H9153" s="1" t="s">
        <v>3604</v>
      </c>
      <c r="I9153" s="1" t="s">
        <v>30387</v>
      </c>
      <c r="J9153" s="1" t="s">
        <v>3615</v>
      </c>
      <c r="K9153" s="1" t="s">
        <v>14263</v>
      </c>
      <c r="L9153" s="1"/>
      <c r="M9153" s="1"/>
    </row>
    <row x14ac:dyDescent="0.25" r="9154" customHeight="1" ht="18.75">
      <c r="A9154" s="1" t="s">
        <v>3598</v>
      </c>
      <c r="B9154" s="1" t="s">
        <v>18043</v>
      </c>
      <c r="C9154" s="1" t="s">
        <v>3600</v>
      </c>
      <c r="D9154" s="1" t="s">
        <v>533</v>
      </c>
      <c r="E9154" s="1" t="s">
        <v>3611</v>
      </c>
      <c r="F9154" s="1" t="s">
        <v>30388</v>
      </c>
      <c r="G9154" s="1" t="s">
        <v>30389</v>
      </c>
      <c r="H9154" s="1" t="s">
        <v>3604</v>
      </c>
      <c r="I9154" s="1" t="s">
        <v>30390</v>
      </c>
      <c r="J9154" s="1" t="s">
        <v>3615</v>
      </c>
      <c r="K9154" s="1" t="s">
        <v>30391</v>
      </c>
      <c r="L9154" s="1"/>
      <c r="M9154" s="1"/>
    </row>
    <row x14ac:dyDescent="0.25" r="9155" customHeight="1" ht="18.75">
      <c r="A9155" s="1" t="s">
        <v>3598</v>
      </c>
      <c r="B9155" s="1" t="s">
        <v>3778</v>
      </c>
      <c r="C9155" s="1" t="s">
        <v>3600</v>
      </c>
      <c r="D9155" s="1" t="s">
        <v>28428</v>
      </c>
      <c r="E9155" s="1" t="s">
        <v>3664</v>
      </c>
      <c r="F9155" s="1" t="s">
        <v>30392</v>
      </c>
      <c r="G9155" s="1" t="s">
        <v>8665</v>
      </c>
      <c r="H9155" s="1" t="s">
        <v>3604</v>
      </c>
      <c r="I9155" s="1" t="s">
        <v>30393</v>
      </c>
      <c r="J9155" s="1" t="s">
        <v>3615</v>
      </c>
      <c r="K9155" s="1" t="s">
        <v>30394</v>
      </c>
      <c r="L9155" s="1"/>
      <c r="M9155" s="1"/>
    </row>
    <row x14ac:dyDescent="0.25" r="9156" customHeight="1" ht="18.75">
      <c r="A9156" s="1" t="s">
        <v>7833</v>
      </c>
      <c r="B9156" s="1" t="s">
        <v>30395</v>
      </c>
      <c r="C9156" s="1" t="s">
        <v>4488</v>
      </c>
      <c r="D9156" s="1" t="s">
        <v>3601</v>
      </c>
      <c r="E9156" s="1" t="s">
        <v>3664</v>
      </c>
      <c r="F9156" s="1" t="s">
        <v>30396</v>
      </c>
      <c r="G9156" s="1" t="s">
        <v>30397</v>
      </c>
      <c r="H9156" s="1" t="s">
        <v>3604</v>
      </c>
      <c r="I9156" s="1" t="s">
        <v>30398</v>
      </c>
      <c r="J9156" s="1" t="s">
        <v>3615</v>
      </c>
      <c r="K9156" s="1" t="s">
        <v>14260</v>
      </c>
      <c r="L9156" s="1"/>
      <c r="M9156" s="1"/>
    </row>
    <row x14ac:dyDescent="0.25" r="9157" customHeight="1" ht="18.75">
      <c r="A9157" s="1" t="s">
        <v>3598</v>
      </c>
      <c r="B9157" s="1" t="s">
        <v>18410</v>
      </c>
      <c r="C9157" s="1" t="s">
        <v>3600</v>
      </c>
      <c r="D9157" s="1" t="s">
        <v>28428</v>
      </c>
      <c r="E9157" s="1" t="s">
        <v>3664</v>
      </c>
      <c r="F9157" s="1" t="s">
        <v>30399</v>
      </c>
      <c r="G9157" s="1" t="s">
        <v>29282</v>
      </c>
      <c r="H9157" s="1" t="s">
        <v>3604</v>
      </c>
      <c r="I9157" s="1" t="s">
        <v>30400</v>
      </c>
      <c r="J9157" s="1" t="s">
        <v>3615</v>
      </c>
      <c r="K9157" s="1" t="s">
        <v>30401</v>
      </c>
      <c r="L9157" s="1"/>
      <c r="M9157" s="1"/>
    </row>
    <row x14ac:dyDescent="0.25" r="9158" customHeight="1" ht="18.75">
      <c r="A9158" s="1" t="s">
        <v>3598</v>
      </c>
      <c r="B9158" s="1" t="s">
        <v>18043</v>
      </c>
      <c r="C9158" s="1" t="s">
        <v>3600</v>
      </c>
      <c r="D9158" s="1" t="s">
        <v>533</v>
      </c>
      <c r="E9158" s="1" t="s">
        <v>3611</v>
      </c>
      <c r="F9158" s="1" t="s">
        <v>30402</v>
      </c>
      <c r="G9158" s="1" t="s">
        <v>30389</v>
      </c>
      <c r="H9158" s="1" t="s">
        <v>3604</v>
      </c>
      <c r="I9158" s="1" t="s">
        <v>30403</v>
      </c>
      <c r="J9158" s="1" t="s">
        <v>3615</v>
      </c>
      <c r="K9158" s="1" t="s">
        <v>30404</v>
      </c>
      <c r="L9158" s="1"/>
      <c r="M9158" s="1"/>
    </row>
    <row x14ac:dyDescent="0.25" r="9159" customHeight="1" ht="18.75">
      <c r="A9159" s="1" t="s">
        <v>7833</v>
      </c>
      <c r="B9159" s="1" t="s">
        <v>30395</v>
      </c>
      <c r="C9159" s="1" t="s">
        <v>4488</v>
      </c>
      <c r="D9159" s="1" t="s">
        <v>3601</v>
      </c>
      <c r="E9159" s="1" t="s">
        <v>3664</v>
      </c>
      <c r="F9159" s="1" t="s">
        <v>30405</v>
      </c>
      <c r="G9159" s="1" t="s">
        <v>30397</v>
      </c>
      <c r="H9159" s="1" t="s">
        <v>3604</v>
      </c>
      <c r="I9159" s="1" t="s">
        <v>30406</v>
      </c>
      <c r="J9159" s="1" t="s">
        <v>3615</v>
      </c>
      <c r="K9159" s="1" t="s">
        <v>14263</v>
      </c>
      <c r="L9159" s="1"/>
      <c r="M9159" s="1"/>
    </row>
    <row x14ac:dyDescent="0.25" r="9160" customHeight="1" ht="18.75">
      <c r="A9160" s="1" t="s">
        <v>3598</v>
      </c>
      <c r="B9160" s="1" t="s">
        <v>18125</v>
      </c>
      <c r="C9160" s="1" t="s">
        <v>3600</v>
      </c>
      <c r="D9160" s="1" t="s">
        <v>28428</v>
      </c>
      <c r="E9160" s="1" t="s">
        <v>3664</v>
      </c>
      <c r="F9160" s="1" t="s">
        <v>30407</v>
      </c>
      <c r="G9160" s="1" t="s">
        <v>29282</v>
      </c>
      <c r="H9160" s="1" t="s">
        <v>3604</v>
      </c>
      <c r="I9160" s="1" t="s">
        <v>30408</v>
      </c>
      <c r="J9160" s="1" t="s">
        <v>3615</v>
      </c>
      <c r="K9160" s="1" t="s">
        <v>30409</v>
      </c>
      <c r="L9160" s="1"/>
      <c r="M9160" s="1"/>
    </row>
    <row x14ac:dyDescent="0.25" r="9161" customHeight="1" ht="18.75">
      <c r="A9161" s="1" t="s">
        <v>3598</v>
      </c>
      <c r="B9161" s="1" t="s">
        <v>19909</v>
      </c>
      <c r="C9161" s="1" t="s">
        <v>3600</v>
      </c>
      <c r="D9161" s="1" t="s">
        <v>533</v>
      </c>
      <c r="E9161" s="1" t="s">
        <v>3664</v>
      </c>
      <c r="F9161" s="1" t="s">
        <v>30410</v>
      </c>
      <c r="G9161" s="1" t="s">
        <v>30411</v>
      </c>
      <c r="H9161" s="1" t="s">
        <v>3604</v>
      </c>
      <c r="I9161" s="1" t="s">
        <v>30412</v>
      </c>
      <c r="J9161" s="1" t="s">
        <v>3615</v>
      </c>
      <c r="K9161" s="1" t="s">
        <v>30413</v>
      </c>
      <c r="L9161" s="1"/>
      <c r="M9161" s="1"/>
    </row>
    <row x14ac:dyDescent="0.25" r="9162" customHeight="1" ht="18.75">
      <c r="A9162" s="1" t="s">
        <v>3598</v>
      </c>
      <c r="B9162" s="1" t="s">
        <v>5256</v>
      </c>
      <c r="C9162" s="1" t="s">
        <v>3600</v>
      </c>
      <c r="D9162" s="1" t="s">
        <v>28428</v>
      </c>
      <c r="E9162" s="1" t="s">
        <v>3664</v>
      </c>
      <c r="F9162" s="1" t="s">
        <v>30414</v>
      </c>
      <c r="G9162" s="1" t="s">
        <v>30415</v>
      </c>
      <c r="H9162" s="1" t="s">
        <v>3604</v>
      </c>
      <c r="I9162" s="1" t="s">
        <v>30416</v>
      </c>
      <c r="J9162" s="1" t="s">
        <v>3615</v>
      </c>
      <c r="K9162" s="1" t="s">
        <v>30417</v>
      </c>
      <c r="L9162" s="1"/>
      <c r="M9162" s="1"/>
    </row>
    <row x14ac:dyDescent="0.25" r="9163" customHeight="1" ht="18.75">
      <c r="A9163" s="1" t="s">
        <v>3598</v>
      </c>
      <c r="B9163" s="1" t="s">
        <v>14104</v>
      </c>
      <c r="C9163" s="1" t="s">
        <v>3600</v>
      </c>
      <c r="D9163" s="1" t="s">
        <v>533</v>
      </c>
      <c r="E9163" s="1" t="s">
        <v>3664</v>
      </c>
      <c r="F9163" s="1" t="s">
        <v>30418</v>
      </c>
      <c r="G9163" s="1" t="s">
        <v>14130</v>
      </c>
      <c r="H9163" s="1" t="s">
        <v>3604</v>
      </c>
      <c r="I9163" s="1" t="s">
        <v>30419</v>
      </c>
      <c r="J9163" s="1" t="s">
        <v>3615</v>
      </c>
      <c r="K9163" s="1" t="s">
        <v>28360</v>
      </c>
      <c r="L9163" s="1"/>
      <c r="M9163" s="1"/>
    </row>
    <row x14ac:dyDescent="0.25" r="9164" customHeight="1" ht="18.75">
      <c r="A9164" s="1" t="s">
        <v>3598</v>
      </c>
      <c r="B9164" s="1" t="s">
        <v>5256</v>
      </c>
      <c r="C9164" s="1" t="s">
        <v>3600</v>
      </c>
      <c r="D9164" s="1" t="s">
        <v>28428</v>
      </c>
      <c r="E9164" s="1" t="s">
        <v>3664</v>
      </c>
      <c r="F9164" s="1" t="s">
        <v>30420</v>
      </c>
      <c r="G9164" s="1" t="s">
        <v>30421</v>
      </c>
      <c r="H9164" s="1" t="s">
        <v>3604</v>
      </c>
      <c r="I9164" s="1" t="s">
        <v>30422</v>
      </c>
      <c r="J9164" s="1" t="s">
        <v>3615</v>
      </c>
      <c r="K9164" s="1" t="s">
        <v>30423</v>
      </c>
      <c r="L9164" s="1"/>
      <c r="M9164" s="1"/>
    </row>
    <row x14ac:dyDescent="0.25" r="9165" customHeight="1" ht="18.75">
      <c r="A9165" s="1" t="s">
        <v>3598</v>
      </c>
      <c r="B9165" s="1" t="s">
        <v>13864</v>
      </c>
      <c r="C9165" s="1" t="s">
        <v>3600</v>
      </c>
      <c r="D9165" s="1" t="s">
        <v>533</v>
      </c>
      <c r="E9165" s="1" t="s">
        <v>3664</v>
      </c>
      <c r="F9165" s="1" t="s">
        <v>30424</v>
      </c>
      <c r="G9165" s="1" t="s">
        <v>27245</v>
      </c>
      <c r="H9165" s="1" t="s">
        <v>3604</v>
      </c>
      <c r="I9165" s="1" t="s">
        <v>30425</v>
      </c>
      <c r="J9165" s="1" t="s">
        <v>3615</v>
      </c>
      <c r="K9165" s="1" t="s">
        <v>30426</v>
      </c>
      <c r="L9165" s="1"/>
      <c r="M9165" s="1"/>
    </row>
    <row x14ac:dyDescent="0.25" r="9166" customHeight="1" ht="18.75">
      <c r="A9166" s="1" t="s">
        <v>3598</v>
      </c>
      <c r="B9166" s="1" t="s">
        <v>17258</v>
      </c>
      <c r="C9166" s="1" t="s">
        <v>3600</v>
      </c>
      <c r="D9166" s="1" t="s">
        <v>28428</v>
      </c>
      <c r="E9166" s="1" t="s">
        <v>3664</v>
      </c>
      <c r="F9166" s="1" t="s">
        <v>30427</v>
      </c>
      <c r="G9166" s="1" t="s">
        <v>16588</v>
      </c>
      <c r="H9166" s="1" t="s">
        <v>3604</v>
      </c>
      <c r="I9166" s="1" t="s">
        <v>30428</v>
      </c>
      <c r="J9166" s="1" t="s">
        <v>3615</v>
      </c>
      <c r="K9166" s="1" t="s">
        <v>30429</v>
      </c>
      <c r="L9166" s="1"/>
      <c r="M9166" s="1"/>
    </row>
    <row x14ac:dyDescent="0.25" r="9167" customHeight="1" ht="18.75">
      <c r="A9167" s="1" t="s">
        <v>7833</v>
      </c>
      <c r="B9167" s="1" t="s">
        <v>30430</v>
      </c>
      <c r="C9167" s="1" t="s">
        <v>4488</v>
      </c>
      <c r="D9167" s="1" t="s">
        <v>3601</v>
      </c>
      <c r="E9167" s="1" t="s">
        <v>3664</v>
      </c>
      <c r="F9167" s="1" t="s">
        <v>30431</v>
      </c>
      <c r="G9167" s="1" t="s">
        <v>30432</v>
      </c>
      <c r="H9167" s="1" t="s">
        <v>3604</v>
      </c>
      <c r="I9167" s="1" t="s">
        <v>30433</v>
      </c>
      <c r="J9167" s="1" t="s">
        <v>3615</v>
      </c>
      <c r="K9167" s="1" t="s">
        <v>16378</v>
      </c>
      <c r="L9167" s="1"/>
      <c r="M9167" s="1"/>
    </row>
    <row x14ac:dyDescent="0.25" r="9168" customHeight="1" ht="18.75">
      <c r="A9168" s="1" t="s">
        <v>3598</v>
      </c>
      <c r="B9168" s="1" t="s">
        <v>13864</v>
      </c>
      <c r="C9168" s="1" t="s">
        <v>3600</v>
      </c>
      <c r="D9168" s="1" t="s">
        <v>533</v>
      </c>
      <c r="E9168" s="1" t="s">
        <v>3664</v>
      </c>
      <c r="F9168" s="1" t="s">
        <v>30434</v>
      </c>
      <c r="G9168" s="1" t="s">
        <v>26759</v>
      </c>
      <c r="H9168" s="1" t="s">
        <v>3604</v>
      </c>
      <c r="I9168" s="1" t="s">
        <v>30435</v>
      </c>
      <c r="J9168" s="1" t="s">
        <v>3615</v>
      </c>
      <c r="K9168" s="1" t="s">
        <v>28342</v>
      </c>
      <c r="L9168" s="1"/>
      <c r="M9168" s="1"/>
    </row>
    <row x14ac:dyDescent="0.25" r="9169" customHeight="1" ht="18.75">
      <c r="A9169" s="1" t="s">
        <v>3598</v>
      </c>
      <c r="B9169" s="1" t="s">
        <v>17258</v>
      </c>
      <c r="C9169" s="1" t="s">
        <v>3600</v>
      </c>
      <c r="D9169" s="1" t="s">
        <v>28428</v>
      </c>
      <c r="E9169" s="1" t="s">
        <v>3664</v>
      </c>
      <c r="F9169" s="1" t="s">
        <v>30436</v>
      </c>
      <c r="G9169" s="1" t="s">
        <v>16595</v>
      </c>
      <c r="H9169" s="1" t="s">
        <v>3604</v>
      </c>
      <c r="I9169" s="1" t="s">
        <v>30437</v>
      </c>
      <c r="J9169" s="1" t="s">
        <v>3615</v>
      </c>
      <c r="K9169" s="1" t="s">
        <v>30438</v>
      </c>
      <c r="L9169" s="1"/>
      <c r="M9169" s="1"/>
    </row>
    <row x14ac:dyDescent="0.25" r="9170" customHeight="1" ht="18.75">
      <c r="A9170" s="1" t="s">
        <v>7833</v>
      </c>
      <c r="B9170" s="1" t="s">
        <v>30430</v>
      </c>
      <c r="C9170" s="1" t="s">
        <v>4488</v>
      </c>
      <c r="D9170" s="1" t="s">
        <v>3601</v>
      </c>
      <c r="E9170" s="1" t="s">
        <v>3664</v>
      </c>
      <c r="F9170" s="1" t="s">
        <v>30439</v>
      </c>
      <c r="G9170" s="1" t="s">
        <v>30432</v>
      </c>
      <c r="H9170" s="1" t="s">
        <v>3604</v>
      </c>
      <c r="I9170" s="1" t="s">
        <v>30440</v>
      </c>
      <c r="J9170" s="1" t="s">
        <v>3615</v>
      </c>
      <c r="K9170" s="1" t="s">
        <v>16380</v>
      </c>
      <c r="L9170" s="1"/>
      <c r="M9170" s="1"/>
    </row>
    <row x14ac:dyDescent="0.25" r="9171" customHeight="1" ht="18.75">
      <c r="A9171" s="1" t="s">
        <v>3598</v>
      </c>
      <c r="B9171" s="1" t="s">
        <v>17258</v>
      </c>
      <c r="C9171" s="1" t="s">
        <v>3600</v>
      </c>
      <c r="D9171" s="1" t="s">
        <v>28428</v>
      </c>
      <c r="E9171" s="1" t="s">
        <v>3664</v>
      </c>
      <c r="F9171" s="1" t="s">
        <v>30441</v>
      </c>
      <c r="G9171" s="1" t="s">
        <v>16602</v>
      </c>
      <c r="H9171" s="1" t="s">
        <v>3604</v>
      </c>
      <c r="I9171" s="1" t="s">
        <v>30442</v>
      </c>
      <c r="J9171" s="1" t="s">
        <v>3615</v>
      </c>
      <c r="K9171" s="1" t="s">
        <v>30443</v>
      </c>
      <c r="L9171" s="1"/>
      <c r="M9171" s="1"/>
    </row>
    <row x14ac:dyDescent="0.25" r="9172" customHeight="1" ht="18.75">
      <c r="A9172" s="1" t="s">
        <v>3598</v>
      </c>
      <c r="B9172" s="1" t="s">
        <v>5239</v>
      </c>
      <c r="C9172" s="1" t="s">
        <v>3600</v>
      </c>
      <c r="D9172" s="1" t="s">
        <v>533</v>
      </c>
      <c r="E9172" s="1" t="s">
        <v>3664</v>
      </c>
      <c r="F9172" s="1" t="s">
        <v>30444</v>
      </c>
      <c r="G9172" s="1" t="s">
        <v>28999</v>
      </c>
      <c r="H9172" s="1" t="s">
        <v>3604</v>
      </c>
      <c r="I9172" s="1" t="s">
        <v>30445</v>
      </c>
      <c r="J9172" s="1" t="s">
        <v>3615</v>
      </c>
      <c r="K9172" s="1" t="s">
        <v>30446</v>
      </c>
      <c r="L9172" s="1"/>
      <c r="M9172" s="1"/>
    </row>
    <row x14ac:dyDescent="0.25" r="9173" customHeight="1" ht="18.75">
      <c r="A9173" s="1" t="s">
        <v>7833</v>
      </c>
      <c r="B9173" s="1" t="s">
        <v>30430</v>
      </c>
      <c r="C9173" s="1" t="s">
        <v>4488</v>
      </c>
      <c r="D9173" s="1" t="s">
        <v>3601</v>
      </c>
      <c r="E9173" s="1" t="s">
        <v>3664</v>
      </c>
      <c r="F9173" s="1" t="s">
        <v>30447</v>
      </c>
      <c r="G9173" s="1" t="s">
        <v>30432</v>
      </c>
      <c r="H9173" s="1" t="s">
        <v>3604</v>
      </c>
      <c r="I9173" s="1" t="s">
        <v>30448</v>
      </c>
      <c r="J9173" s="1" t="s">
        <v>3615</v>
      </c>
      <c r="K9173" s="1" t="s">
        <v>14260</v>
      </c>
      <c r="L9173" s="1"/>
      <c r="M9173" s="1"/>
    </row>
    <row x14ac:dyDescent="0.25" r="9174" customHeight="1" ht="18.75">
      <c r="A9174" s="1" t="s">
        <v>3598</v>
      </c>
      <c r="B9174" s="1" t="s">
        <v>19615</v>
      </c>
      <c r="C9174" s="1" t="s">
        <v>3600</v>
      </c>
      <c r="D9174" s="1" t="s">
        <v>28428</v>
      </c>
      <c r="E9174" s="1" t="s">
        <v>3664</v>
      </c>
      <c r="F9174" s="1" t="s">
        <v>30449</v>
      </c>
      <c r="G9174" s="1" t="s">
        <v>22287</v>
      </c>
      <c r="H9174" s="1" t="s">
        <v>3604</v>
      </c>
      <c r="I9174" s="1" t="s">
        <v>30450</v>
      </c>
      <c r="J9174" s="1" t="s">
        <v>3615</v>
      </c>
      <c r="K9174" s="1" t="s">
        <v>30451</v>
      </c>
      <c r="L9174" s="1"/>
      <c r="M9174" s="1"/>
    </row>
    <row x14ac:dyDescent="0.25" r="9175" customHeight="1" ht="18.75">
      <c r="A9175" s="1" t="s">
        <v>7833</v>
      </c>
      <c r="B9175" s="1" t="s">
        <v>30430</v>
      </c>
      <c r="C9175" s="1" t="s">
        <v>4488</v>
      </c>
      <c r="D9175" s="1" t="s">
        <v>3601</v>
      </c>
      <c r="E9175" s="1" t="s">
        <v>3664</v>
      </c>
      <c r="F9175" s="1" t="s">
        <v>30452</v>
      </c>
      <c r="G9175" s="1" t="s">
        <v>30432</v>
      </c>
      <c r="H9175" s="1" t="s">
        <v>3604</v>
      </c>
      <c r="I9175" s="1" t="s">
        <v>30453</v>
      </c>
      <c r="J9175" s="1" t="s">
        <v>3615</v>
      </c>
      <c r="K9175" s="1" t="s">
        <v>14263</v>
      </c>
      <c r="L9175" s="1"/>
      <c r="M9175" s="1"/>
    </row>
    <row x14ac:dyDescent="0.25" r="9176" customHeight="1" ht="18.75">
      <c r="A9176" s="1" t="s">
        <v>3598</v>
      </c>
      <c r="B9176" s="1" t="s">
        <v>14054</v>
      </c>
      <c r="C9176" s="1" t="s">
        <v>3600</v>
      </c>
      <c r="D9176" s="1" t="s">
        <v>533</v>
      </c>
      <c r="E9176" s="1" t="s">
        <v>3664</v>
      </c>
      <c r="F9176" s="1" t="s">
        <v>30454</v>
      </c>
      <c r="G9176" s="1" t="s">
        <v>26872</v>
      </c>
      <c r="H9176" s="1" t="s">
        <v>3604</v>
      </c>
      <c r="I9176" s="1" t="s">
        <v>30455</v>
      </c>
      <c r="J9176" s="1" t="s">
        <v>3615</v>
      </c>
      <c r="K9176" s="1" t="s">
        <v>30456</v>
      </c>
      <c r="L9176" s="1"/>
      <c r="M9176" s="1"/>
    </row>
    <row x14ac:dyDescent="0.25" r="9177" customHeight="1" ht="18.75">
      <c r="A9177" s="1" t="s">
        <v>3598</v>
      </c>
      <c r="B9177" s="1" t="s">
        <v>9470</v>
      </c>
      <c r="C9177" s="1" t="s">
        <v>3600</v>
      </c>
      <c r="D9177" s="1" t="s">
        <v>28428</v>
      </c>
      <c r="E9177" s="1" t="s">
        <v>3893</v>
      </c>
      <c r="F9177" s="1" t="s">
        <v>30457</v>
      </c>
      <c r="G9177" s="1" t="s">
        <v>8631</v>
      </c>
      <c r="H9177" s="1" t="s">
        <v>3604</v>
      </c>
      <c r="I9177" s="1" t="s">
        <v>30458</v>
      </c>
      <c r="J9177" s="1" t="s">
        <v>3615</v>
      </c>
      <c r="K9177" s="1" t="s">
        <v>30459</v>
      </c>
      <c r="L9177" s="1"/>
      <c r="M9177" s="1"/>
    </row>
    <row x14ac:dyDescent="0.25" r="9178" customHeight="1" ht="18.75">
      <c r="A9178" s="1" t="s">
        <v>7833</v>
      </c>
      <c r="B9178" s="1" t="s">
        <v>24473</v>
      </c>
      <c r="C9178" s="1" t="s">
        <v>4488</v>
      </c>
      <c r="D9178" s="1" t="s">
        <v>3601</v>
      </c>
      <c r="E9178" s="1" t="s">
        <v>3664</v>
      </c>
      <c r="F9178" s="1" t="s">
        <v>30460</v>
      </c>
      <c r="G9178" s="1" t="s">
        <v>24474</v>
      </c>
      <c r="H9178" s="1" t="s">
        <v>3604</v>
      </c>
      <c r="I9178" s="1" t="s">
        <v>30461</v>
      </c>
      <c r="J9178" s="1" t="s">
        <v>3615</v>
      </c>
      <c r="K9178" s="1" t="s">
        <v>16372</v>
      </c>
      <c r="L9178" s="1"/>
      <c r="M9178" s="1"/>
    </row>
    <row x14ac:dyDescent="0.25" r="9179" customHeight="1" ht="18.75">
      <c r="A9179" s="1" t="s">
        <v>3598</v>
      </c>
      <c r="B9179" s="1" t="s">
        <v>14054</v>
      </c>
      <c r="C9179" s="1" t="s">
        <v>3600</v>
      </c>
      <c r="D9179" s="1" t="s">
        <v>533</v>
      </c>
      <c r="E9179" s="1" t="s">
        <v>3664</v>
      </c>
      <c r="F9179" s="1" t="s">
        <v>30462</v>
      </c>
      <c r="G9179" s="1" t="s">
        <v>20021</v>
      </c>
      <c r="H9179" s="1" t="s">
        <v>3604</v>
      </c>
      <c r="I9179" s="1" t="s">
        <v>30463</v>
      </c>
      <c r="J9179" s="1" t="s">
        <v>3615</v>
      </c>
      <c r="K9179" s="1" t="s">
        <v>28342</v>
      </c>
      <c r="L9179" s="1"/>
      <c r="M9179" s="1"/>
    </row>
    <row x14ac:dyDescent="0.25" r="9180" customHeight="1" ht="18.75">
      <c r="A9180" s="1" t="s">
        <v>3598</v>
      </c>
      <c r="B9180" s="1" t="s">
        <v>9470</v>
      </c>
      <c r="C9180" s="1" t="s">
        <v>3600</v>
      </c>
      <c r="D9180" s="1" t="s">
        <v>28428</v>
      </c>
      <c r="E9180" s="1" t="s">
        <v>3893</v>
      </c>
      <c r="F9180" s="1" t="s">
        <v>30464</v>
      </c>
      <c r="G9180" s="1" t="s">
        <v>16541</v>
      </c>
      <c r="H9180" s="1" t="s">
        <v>3604</v>
      </c>
      <c r="I9180" s="1" t="s">
        <v>30465</v>
      </c>
      <c r="J9180" s="1" t="s">
        <v>3615</v>
      </c>
      <c r="K9180" s="1" t="s">
        <v>30466</v>
      </c>
      <c r="L9180" s="1"/>
      <c r="M9180" s="1"/>
    </row>
    <row x14ac:dyDescent="0.25" r="9181" customHeight="1" ht="18.75">
      <c r="A9181" s="1" t="s">
        <v>7833</v>
      </c>
      <c r="B9181" s="1" t="s">
        <v>24473</v>
      </c>
      <c r="C9181" s="1" t="s">
        <v>4488</v>
      </c>
      <c r="D9181" s="1" t="s">
        <v>3601</v>
      </c>
      <c r="E9181" s="1" t="s">
        <v>3664</v>
      </c>
      <c r="F9181" s="1" t="s">
        <v>30467</v>
      </c>
      <c r="G9181" s="1" t="s">
        <v>24474</v>
      </c>
      <c r="H9181" s="1" t="s">
        <v>3604</v>
      </c>
      <c r="I9181" s="1" t="s">
        <v>30468</v>
      </c>
      <c r="J9181" s="1" t="s">
        <v>3615</v>
      </c>
      <c r="K9181" s="1" t="s">
        <v>16380</v>
      </c>
      <c r="L9181" s="1"/>
      <c r="M9181" s="1"/>
    </row>
    <row x14ac:dyDescent="0.25" r="9182" customHeight="1" ht="18.75">
      <c r="A9182" s="1" t="s">
        <v>3598</v>
      </c>
      <c r="B9182" s="1" t="s">
        <v>9025</v>
      </c>
      <c r="C9182" s="1" t="s">
        <v>3600</v>
      </c>
      <c r="D9182" s="1" t="s">
        <v>533</v>
      </c>
      <c r="E9182" s="1" t="s">
        <v>3664</v>
      </c>
      <c r="F9182" s="1" t="s">
        <v>30469</v>
      </c>
      <c r="G9182" s="1" t="s">
        <v>29600</v>
      </c>
      <c r="H9182" s="1" t="s">
        <v>3604</v>
      </c>
      <c r="I9182" s="1" t="s">
        <v>30470</v>
      </c>
      <c r="J9182" s="1" t="s">
        <v>3615</v>
      </c>
      <c r="K9182" s="1" t="s">
        <v>30471</v>
      </c>
      <c r="L9182" s="1"/>
      <c r="M9182" s="1"/>
    </row>
    <row x14ac:dyDescent="0.25" r="9183" customHeight="1" ht="18.75">
      <c r="A9183" s="1" t="s">
        <v>3598</v>
      </c>
      <c r="B9183" s="1" t="s">
        <v>9470</v>
      </c>
      <c r="C9183" s="1" t="s">
        <v>3600</v>
      </c>
      <c r="D9183" s="1" t="s">
        <v>28428</v>
      </c>
      <c r="E9183" s="1" t="s">
        <v>3893</v>
      </c>
      <c r="F9183" s="1" t="s">
        <v>30472</v>
      </c>
      <c r="G9183" s="1" t="s">
        <v>3603</v>
      </c>
      <c r="H9183" s="1" t="s">
        <v>3604</v>
      </c>
      <c r="I9183" s="1" t="s">
        <v>30473</v>
      </c>
      <c r="J9183" s="1" t="s">
        <v>3615</v>
      </c>
      <c r="K9183" s="1" t="s">
        <v>30474</v>
      </c>
      <c r="L9183" s="1"/>
      <c r="M9183" s="1"/>
    </row>
    <row x14ac:dyDescent="0.25" r="9184" customHeight="1" ht="18.75">
      <c r="A9184" s="1" t="s">
        <v>7833</v>
      </c>
      <c r="B9184" s="1" t="s">
        <v>7834</v>
      </c>
      <c r="C9184" s="1" t="s">
        <v>4488</v>
      </c>
      <c r="D9184" s="1" t="s">
        <v>3601</v>
      </c>
      <c r="E9184" s="1" t="s">
        <v>8096</v>
      </c>
      <c r="F9184" s="1" t="s">
        <v>30475</v>
      </c>
      <c r="G9184" s="1" t="s">
        <v>24155</v>
      </c>
      <c r="H9184" s="1" t="s">
        <v>3604</v>
      </c>
      <c r="I9184" s="1" t="s">
        <v>30476</v>
      </c>
      <c r="J9184" s="1" t="s">
        <v>3615</v>
      </c>
      <c r="K9184" s="1" t="s">
        <v>14271</v>
      </c>
      <c r="L9184" s="1"/>
      <c r="M9184" s="1"/>
    </row>
    <row x14ac:dyDescent="0.25" r="9185" customHeight="1" ht="18.75">
      <c r="A9185" s="1" t="s">
        <v>3598</v>
      </c>
      <c r="B9185" s="1" t="s">
        <v>9236</v>
      </c>
      <c r="C9185" s="1" t="s">
        <v>3600</v>
      </c>
      <c r="D9185" s="1" t="s">
        <v>533</v>
      </c>
      <c r="E9185" s="1" t="s">
        <v>3664</v>
      </c>
      <c r="F9185" s="1" t="s">
        <v>30477</v>
      </c>
      <c r="G9185" s="1" t="s">
        <v>9238</v>
      </c>
      <c r="H9185" s="1" t="s">
        <v>3604</v>
      </c>
      <c r="I9185" s="1" t="s">
        <v>30478</v>
      </c>
      <c r="J9185" s="1" t="s">
        <v>3615</v>
      </c>
      <c r="K9185" s="1" t="s">
        <v>28360</v>
      </c>
      <c r="L9185" s="1"/>
      <c r="M9185" s="1"/>
    </row>
    <row x14ac:dyDescent="0.25" r="9186" customHeight="1" ht="18.75">
      <c r="A9186" s="1" t="s">
        <v>3598</v>
      </c>
      <c r="B9186" s="1" t="s">
        <v>9470</v>
      </c>
      <c r="C9186" s="1" t="s">
        <v>3600</v>
      </c>
      <c r="D9186" s="1" t="s">
        <v>28428</v>
      </c>
      <c r="E9186" s="1" t="s">
        <v>3893</v>
      </c>
      <c r="F9186" s="1" t="s">
        <v>30479</v>
      </c>
      <c r="G9186" s="1" t="s">
        <v>8599</v>
      </c>
      <c r="H9186" s="1" t="s">
        <v>3604</v>
      </c>
      <c r="I9186" s="1" t="s">
        <v>30480</v>
      </c>
      <c r="J9186" s="1" t="s">
        <v>3615</v>
      </c>
      <c r="K9186" s="1" t="s">
        <v>30481</v>
      </c>
      <c r="L9186" s="1"/>
      <c r="M9186" s="1"/>
    </row>
    <row x14ac:dyDescent="0.25" r="9187" customHeight="1" ht="18.75">
      <c r="A9187" s="1" t="s">
        <v>7833</v>
      </c>
      <c r="B9187" s="1" t="s">
        <v>7834</v>
      </c>
      <c r="C9187" s="1" t="s">
        <v>4488</v>
      </c>
      <c r="D9187" s="1" t="s">
        <v>3601</v>
      </c>
      <c r="E9187" s="1" t="s">
        <v>8096</v>
      </c>
      <c r="F9187" s="1" t="s">
        <v>30482</v>
      </c>
      <c r="G9187" s="1" t="s">
        <v>24155</v>
      </c>
      <c r="H9187" s="1" t="s">
        <v>3604</v>
      </c>
      <c r="I9187" s="1" t="s">
        <v>30483</v>
      </c>
      <c r="J9187" s="1" t="s">
        <v>3615</v>
      </c>
      <c r="K9187" s="1" t="s">
        <v>14269</v>
      </c>
      <c r="L9187" s="1"/>
      <c r="M9187" s="1"/>
    </row>
    <row x14ac:dyDescent="0.25" r="9188" customHeight="1" ht="18.75">
      <c r="A9188" s="1" t="s">
        <v>7833</v>
      </c>
      <c r="B9188" s="1" t="s">
        <v>7834</v>
      </c>
      <c r="C9188" s="1" t="s">
        <v>4488</v>
      </c>
      <c r="D9188" s="1" t="s">
        <v>3601</v>
      </c>
      <c r="E9188" s="1" t="s">
        <v>8096</v>
      </c>
      <c r="F9188" s="1" t="s">
        <v>30484</v>
      </c>
      <c r="G9188" s="1" t="s">
        <v>24155</v>
      </c>
      <c r="H9188" s="1" t="s">
        <v>3604</v>
      </c>
      <c r="I9188" s="1" t="s">
        <v>30485</v>
      </c>
      <c r="J9188" s="1" t="s">
        <v>3615</v>
      </c>
      <c r="K9188" s="1" t="s">
        <v>23140</v>
      </c>
      <c r="L9188" s="1"/>
      <c r="M9188" s="1"/>
    </row>
    <row x14ac:dyDescent="0.25" r="9189" customHeight="1" ht="18.75">
      <c r="A9189" s="1" t="s">
        <v>3598</v>
      </c>
      <c r="B9189" s="1" t="s">
        <v>6954</v>
      </c>
      <c r="C9189" s="1" t="s">
        <v>3600</v>
      </c>
      <c r="D9189" s="1" t="s">
        <v>28428</v>
      </c>
      <c r="E9189" s="1" t="s">
        <v>3664</v>
      </c>
      <c r="F9189" s="1" t="s">
        <v>30486</v>
      </c>
      <c r="G9189" s="1" t="s">
        <v>9213</v>
      </c>
      <c r="H9189" s="1" t="s">
        <v>3604</v>
      </c>
      <c r="I9189" s="1" t="s">
        <v>30487</v>
      </c>
      <c r="J9189" s="1" t="s">
        <v>3615</v>
      </c>
      <c r="K9189" s="1" t="s">
        <v>30488</v>
      </c>
      <c r="L9189" s="1"/>
      <c r="M9189" s="1"/>
    </row>
    <row x14ac:dyDescent="0.25" r="9190" customHeight="1" ht="18.75">
      <c r="A9190" s="1" t="s">
        <v>3598</v>
      </c>
      <c r="B9190" s="1" t="s">
        <v>6954</v>
      </c>
      <c r="C9190" s="1" t="s">
        <v>3600</v>
      </c>
      <c r="D9190" s="1" t="s">
        <v>28428</v>
      </c>
      <c r="E9190" s="1" t="s">
        <v>3664</v>
      </c>
      <c r="F9190" s="1" t="s">
        <v>30489</v>
      </c>
      <c r="G9190" s="1" t="s">
        <v>8638</v>
      </c>
      <c r="H9190" s="1" t="s">
        <v>3604</v>
      </c>
      <c r="I9190" s="1" t="s">
        <v>30490</v>
      </c>
      <c r="J9190" s="1" t="s">
        <v>3615</v>
      </c>
      <c r="K9190" s="1" t="s">
        <v>30491</v>
      </c>
      <c r="L9190" s="1"/>
      <c r="M9190" s="1"/>
    </row>
    <row x14ac:dyDescent="0.25" r="9191" customHeight="1" ht="18.75">
      <c r="A9191" s="1" t="s">
        <v>3598</v>
      </c>
      <c r="B9191" s="1" t="s">
        <v>5260</v>
      </c>
      <c r="C9191" s="1" t="s">
        <v>3600</v>
      </c>
      <c r="D9191" s="1" t="s">
        <v>533</v>
      </c>
      <c r="E9191" s="1" t="s">
        <v>3752</v>
      </c>
      <c r="F9191" s="1" t="s">
        <v>30492</v>
      </c>
      <c r="G9191" s="1" t="s">
        <v>29714</v>
      </c>
      <c r="H9191" s="1" t="s">
        <v>3604</v>
      </c>
      <c r="I9191" s="1" t="s">
        <v>30493</v>
      </c>
      <c r="J9191" s="1" t="s">
        <v>3615</v>
      </c>
      <c r="K9191" s="1" t="s">
        <v>30494</v>
      </c>
      <c r="L9191" s="1"/>
      <c r="M9191" s="1"/>
    </row>
    <row x14ac:dyDescent="0.25" r="9192" customHeight="1" ht="18.75">
      <c r="A9192" s="1" t="s">
        <v>3598</v>
      </c>
      <c r="B9192" s="1" t="s">
        <v>6954</v>
      </c>
      <c r="C9192" s="1" t="s">
        <v>3600</v>
      </c>
      <c r="D9192" s="1" t="s">
        <v>28428</v>
      </c>
      <c r="E9192" s="1" t="s">
        <v>3664</v>
      </c>
      <c r="F9192" s="1" t="s">
        <v>30495</v>
      </c>
      <c r="G9192" s="1" t="s">
        <v>27413</v>
      </c>
      <c r="H9192" s="1" t="s">
        <v>3604</v>
      </c>
      <c r="I9192" s="1" t="s">
        <v>30496</v>
      </c>
      <c r="J9192" s="1" t="s">
        <v>3615</v>
      </c>
      <c r="K9192" s="1" t="s">
        <v>30497</v>
      </c>
      <c r="L9192" s="1"/>
      <c r="M9192" s="1"/>
    </row>
    <row x14ac:dyDescent="0.25" r="9193" customHeight="1" ht="18.75">
      <c r="A9193" s="1" t="s">
        <v>3598</v>
      </c>
      <c r="B9193" s="1" t="s">
        <v>6954</v>
      </c>
      <c r="C9193" s="1" t="s">
        <v>3600</v>
      </c>
      <c r="D9193" s="1" t="s">
        <v>28428</v>
      </c>
      <c r="E9193" s="1" t="s">
        <v>3893</v>
      </c>
      <c r="F9193" s="1" t="s">
        <v>30498</v>
      </c>
      <c r="G9193" s="1" t="s">
        <v>8599</v>
      </c>
      <c r="H9193" s="1" t="s">
        <v>3604</v>
      </c>
      <c r="I9193" s="1" t="s">
        <v>30499</v>
      </c>
      <c r="J9193" s="1" t="s">
        <v>3615</v>
      </c>
      <c r="K9193" s="1" t="s">
        <v>30500</v>
      </c>
      <c r="L9193" s="1"/>
      <c r="M9193" s="1"/>
    </row>
    <row x14ac:dyDescent="0.25" r="9194" customHeight="1" ht="18.75">
      <c r="A9194" s="1" t="s">
        <v>3598</v>
      </c>
      <c r="B9194" s="1" t="s">
        <v>6728</v>
      </c>
      <c r="C9194" s="1" t="s">
        <v>3600</v>
      </c>
      <c r="D9194" s="1" t="s">
        <v>28428</v>
      </c>
      <c r="E9194" s="1" t="s">
        <v>3893</v>
      </c>
      <c r="F9194" s="1" t="s">
        <v>30501</v>
      </c>
      <c r="G9194" s="1" t="s">
        <v>16496</v>
      </c>
      <c r="H9194" s="1" t="s">
        <v>3604</v>
      </c>
      <c r="I9194" s="1" t="s">
        <v>30502</v>
      </c>
      <c r="J9194" s="1" t="s">
        <v>3615</v>
      </c>
      <c r="K9194" s="1" t="s">
        <v>30503</v>
      </c>
      <c r="L9194" s="1"/>
      <c r="M9194" s="1"/>
    </row>
    <row x14ac:dyDescent="0.25" r="9195" customHeight="1" ht="18.75">
      <c r="A9195" s="1" t="s">
        <v>3598</v>
      </c>
      <c r="B9195" s="1" t="s">
        <v>6728</v>
      </c>
      <c r="C9195" s="1" t="s">
        <v>3600</v>
      </c>
      <c r="D9195" s="1" t="s">
        <v>28428</v>
      </c>
      <c r="E9195" s="1" t="s">
        <v>3893</v>
      </c>
      <c r="F9195" s="1" t="s">
        <v>30504</v>
      </c>
      <c r="G9195" s="1" t="s">
        <v>6169</v>
      </c>
      <c r="H9195" s="1" t="s">
        <v>3604</v>
      </c>
      <c r="I9195" s="1" t="s">
        <v>30505</v>
      </c>
      <c r="J9195" s="1" t="s">
        <v>3615</v>
      </c>
      <c r="K9195" s="1" t="s">
        <v>30506</v>
      </c>
      <c r="L9195" s="1"/>
      <c r="M9195" s="1"/>
    </row>
    <row x14ac:dyDescent="0.25" r="9196" customHeight="1" ht="18.75">
      <c r="A9196" s="1" t="s">
        <v>3598</v>
      </c>
      <c r="B9196" s="1" t="s">
        <v>6728</v>
      </c>
      <c r="C9196" s="1" t="s">
        <v>3600</v>
      </c>
      <c r="D9196" s="1" t="s">
        <v>28428</v>
      </c>
      <c r="E9196" s="1" t="s">
        <v>3664</v>
      </c>
      <c r="F9196" s="1" t="s">
        <v>30507</v>
      </c>
      <c r="G9196" s="1" t="s">
        <v>19738</v>
      </c>
      <c r="H9196" s="1" t="s">
        <v>3604</v>
      </c>
      <c r="I9196" s="1" t="s">
        <v>30508</v>
      </c>
      <c r="J9196" s="1" t="s">
        <v>3615</v>
      </c>
      <c r="K9196" s="1" t="s">
        <v>30509</v>
      </c>
      <c r="L9196" s="1"/>
      <c r="M9196" s="1"/>
    </row>
    <row x14ac:dyDescent="0.25" r="9197" customHeight="1" ht="18.75">
      <c r="A9197" s="1" t="s">
        <v>3598</v>
      </c>
      <c r="B9197" s="1" t="s">
        <v>9344</v>
      </c>
      <c r="C9197" s="1" t="s">
        <v>3600</v>
      </c>
      <c r="D9197" s="1" t="s">
        <v>28428</v>
      </c>
      <c r="E9197" s="1" t="s">
        <v>3664</v>
      </c>
      <c r="F9197" s="1" t="s">
        <v>30510</v>
      </c>
      <c r="G9197" s="1" t="s">
        <v>21928</v>
      </c>
      <c r="H9197" s="1" t="s">
        <v>3604</v>
      </c>
      <c r="I9197" s="1" t="s">
        <v>30511</v>
      </c>
      <c r="J9197" s="1" t="s">
        <v>3615</v>
      </c>
      <c r="K9197" s="1" t="s">
        <v>30512</v>
      </c>
      <c r="L9197" s="1"/>
      <c r="M9197" s="1"/>
    </row>
    <row x14ac:dyDescent="0.25" r="9198" customHeight="1" ht="18.75">
      <c r="A9198" s="1" t="s">
        <v>3598</v>
      </c>
      <c r="B9198" s="1" t="s">
        <v>6732</v>
      </c>
      <c r="C9198" s="1" t="s">
        <v>3600</v>
      </c>
      <c r="D9198" s="1" t="s">
        <v>3695</v>
      </c>
      <c r="E9198" s="1" t="s">
        <v>3664</v>
      </c>
      <c r="F9198" s="1" t="s">
        <v>30513</v>
      </c>
      <c r="G9198" s="1" t="s">
        <v>8658</v>
      </c>
      <c r="H9198" s="1" t="s">
        <v>3604</v>
      </c>
      <c r="I9198" s="1" t="s">
        <v>30514</v>
      </c>
      <c r="J9198" s="1" t="s">
        <v>3615</v>
      </c>
      <c r="K9198" s="1" t="s">
        <v>30515</v>
      </c>
      <c r="L9198" s="1"/>
      <c r="M9198" s="1"/>
    </row>
    <row x14ac:dyDescent="0.25" r="9199" customHeight="1" ht="18.75">
      <c r="A9199" s="1" t="s">
        <v>3598</v>
      </c>
      <c r="B9199" s="1" t="s">
        <v>9344</v>
      </c>
      <c r="C9199" s="1" t="s">
        <v>3600</v>
      </c>
      <c r="D9199" s="1" t="s">
        <v>28428</v>
      </c>
      <c r="E9199" s="1" t="s">
        <v>3664</v>
      </c>
      <c r="F9199" s="1" t="s">
        <v>30516</v>
      </c>
      <c r="G9199" s="1" t="s">
        <v>8626</v>
      </c>
      <c r="H9199" s="1" t="s">
        <v>3604</v>
      </c>
      <c r="I9199" s="1" t="s">
        <v>30517</v>
      </c>
      <c r="J9199" s="1" t="s">
        <v>3615</v>
      </c>
      <c r="K9199" s="1" t="s">
        <v>30518</v>
      </c>
      <c r="L9199" s="1"/>
      <c r="M9199" s="1"/>
    </row>
    <row x14ac:dyDescent="0.25" r="9200" customHeight="1" ht="18.75">
      <c r="A9200" s="1" t="s">
        <v>3598</v>
      </c>
      <c r="B9200" s="1" t="s">
        <v>9344</v>
      </c>
      <c r="C9200" s="1" t="s">
        <v>3600</v>
      </c>
      <c r="D9200" s="1" t="s">
        <v>28428</v>
      </c>
      <c r="E9200" s="1" t="s">
        <v>3664</v>
      </c>
      <c r="F9200" s="1" t="s">
        <v>30519</v>
      </c>
      <c r="G9200" s="1" t="s">
        <v>30520</v>
      </c>
      <c r="H9200" s="1" t="s">
        <v>3604</v>
      </c>
      <c r="I9200" s="1" t="s">
        <v>30521</v>
      </c>
      <c r="J9200" s="1" t="s">
        <v>3615</v>
      </c>
      <c r="K9200" s="1" t="s">
        <v>30522</v>
      </c>
      <c r="L9200" s="1"/>
      <c r="M9200" s="1"/>
    </row>
    <row x14ac:dyDescent="0.25" r="9201" customHeight="1" ht="18.75">
      <c r="A9201" s="1" t="s">
        <v>3598</v>
      </c>
      <c r="B9201" s="1" t="s">
        <v>9344</v>
      </c>
      <c r="C9201" s="1" t="s">
        <v>3600</v>
      </c>
      <c r="D9201" s="1" t="s">
        <v>28428</v>
      </c>
      <c r="E9201" s="1" t="s">
        <v>3664</v>
      </c>
      <c r="F9201" s="1" t="s">
        <v>30523</v>
      </c>
      <c r="G9201" s="1" t="s">
        <v>30524</v>
      </c>
      <c r="H9201" s="1" t="s">
        <v>3604</v>
      </c>
      <c r="I9201" s="1" t="s">
        <v>30525</v>
      </c>
      <c r="J9201" s="1" t="s">
        <v>3615</v>
      </c>
      <c r="K9201" s="1" t="s">
        <v>30526</v>
      </c>
      <c r="L9201" s="1"/>
      <c r="M9201" s="1"/>
    </row>
    <row x14ac:dyDescent="0.25" r="9202" customHeight="1" ht="18.75">
      <c r="A9202" s="1" t="s">
        <v>3598</v>
      </c>
      <c r="B9202" s="1" t="s">
        <v>15557</v>
      </c>
      <c r="C9202" s="1" t="s">
        <v>3600</v>
      </c>
      <c r="D9202" s="1" t="s">
        <v>3695</v>
      </c>
      <c r="E9202" s="1" t="s">
        <v>3611</v>
      </c>
      <c r="F9202" s="1" t="s">
        <v>30527</v>
      </c>
      <c r="G9202" s="1" t="s">
        <v>30528</v>
      </c>
      <c r="H9202" s="1" t="s">
        <v>3604</v>
      </c>
      <c r="I9202" s="1" t="s">
        <v>30529</v>
      </c>
      <c r="J9202" s="1" t="s">
        <v>3615</v>
      </c>
      <c r="K9202" s="1" t="s">
        <v>30530</v>
      </c>
      <c r="L9202" s="1"/>
      <c r="M9202" s="1"/>
    </row>
    <row x14ac:dyDescent="0.25" r="9203" customHeight="1" ht="18.75">
      <c r="A9203" s="1" t="s">
        <v>3598</v>
      </c>
      <c r="B9203" s="1" t="s">
        <v>9344</v>
      </c>
      <c r="C9203" s="1" t="s">
        <v>3600</v>
      </c>
      <c r="D9203" s="1" t="s">
        <v>28428</v>
      </c>
      <c r="E9203" s="1" t="s">
        <v>3664</v>
      </c>
      <c r="F9203" s="1" t="s">
        <v>30531</v>
      </c>
      <c r="G9203" s="1" t="s">
        <v>19636</v>
      </c>
      <c r="H9203" s="1" t="s">
        <v>3604</v>
      </c>
      <c r="I9203" s="1" t="s">
        <v>30532</v>
      </c>
      <c r="J9203" s="1" t="s">
        <v>3615</v>
      </c>
      <c r="K9203" s="1" t="s">
        <v>30533</v>
      </c>
      <c r="L9203" s="1"/>
      <c r="M9203" s="1"/>
    </row>
    <row x14ac:dyDescent="0.25" r="9204" customHeight="1" ht="18.75">
      <c r="A9204" s="1" t="s">
        <v>3598</v>
      </c>
      <c r="B9204" s="1" t="s">
        <v>9344</v>
      </c>
      <c r="C9204" s="1" t="s">
        <v>3600</v>
      </c>
      <c r="D9204" s="1" t="s">
        <v>28428</v>
      </c>
      <c r="E9204" s="1" t="s">
        <v>3664</v>
      </c>
      <c r="F9204" s="1" t="s">
        <v>30534</v>
      </c>
      <c r="G9204" s="1" t="s">
        <v>30535</v>
      </c>
      <c r="H9204" s="1" t="s">
        <v>3604</v>
      </c>
      <c r="I9204" s="1" t="s">
        <v>30536</v>
      </c>
      <c r="J9204" s="1" t="s">
        <v>3615</v>
      </c>
      <c r="K9204" s="1" t="s">
        <v>30537</v>
      </c>
      <c r="L9204" s="1"/>
      <c r="M9204" s="1"/>
    </row>
    <row x14ac:dyDescent="0.25" r="9205" customHeight="1" ht="18.75">
      <c r="A9205" s="1" t="s">
        <v>3598</v>
      </c>
      <c r="B9205" s="1" t="s">
        <v>15557</v>
      </c>
      <c r="C9205" s="1" t="s">
        <v>3600</v>
      </c>
      <c r="D9205" s="1" t="s">
        <v>3695</v>
      </c>
      <c r="E9205" s="1" t="s">
        <v>3611</v>
      </c>
      <c r="F9205" s="1" t="s">
        <v>30538</v>
      </c>
      <c r="G9205" s="1" t="s">
        <v>15632</v>
      </c>
      <c r="H9205" s="1" t="s">
        <v>3604</v>
      </c>
      <c r="I9205" s="1" t="s">
        <v>30539</v>
      </c>
      <c r="J9205" s="1" t="s">
        <v>3615</v>
      </c>
      <c r="K9205" s="1" t="s">
        <v>30540</v>
      </c>
      <c r="L9205" s="1"/>
      <c r="M9205" s="1"/>
    </row>
    <row x14ac:dyDescent="0.25" r="9206" customHeight="1" ht="18.75">
      <c r="A9206" s="1" t="s">
        <v>3598</v>
      </c>
      <c r="B9206" s="1" t="s">
        <v>9344</v>
      </c>
      <c r="C9206" s="1" t="s">
        <v>3600</v>
      </c>
      <c r="D9206" s="1" t="s">
        <v>28428</v>
      </c>
      <c r="E9206" s="1" t="s">
        <v>3664</v>
      </c>
      <c r="F9206" s="1" t="s">
        <v>30541</v>
      </c>
      <c r="G9206" s="1" t="s">
        <v>21933</v>
      </c>
      <c r="H9206" s="1" t="s">
        <v>3604</v>
      </c>
      <c r="I9206" s="1" t="s">
        <v>30542</v>
      </c>
      <c r="J9206" s="1" t="s">
        <v>3615</v>
      </c>
      <c r="K9206" s="1" t="s">
        <v>30543</v>
      </c>
      <c r="L9206" s="1"/>
      <c r="M9206" s="1"/>
    </row>
    <row x14ac:dyDescent="0.25" r="9207" customHeight="1" ht="18.75">
      <c r="A9207" s="1" t="s">
        <v>3598</v>
      </c>
      <c r="B9207" s="1" t="s">
        <v>15557</v>
      </c>
      <c r="C9207" s="1" t="s">
        <v>3600</v>
      </c>
      <c r="D9207" s="1" t="s">
        <v>3695</v>
      </c>
      <c r="E9207" s="1" t="s">
        <v>3611</v>
      </c>
      <c r="F9207" s="1" t="s">
        <v>30544</v>
      </c>
      <c r="G9207" s="1" t="s">
        <v>15632</v>
      </c>
      <c r="H9207" s="1" t="s">
        <v>3604</v>
      </c>
      <c r="I9207" s="1" t="s">
        <v>30545</v>
      </c>
      <c r="J9207" s="1" t="s">
        <v>3615</v>
      </c>
      <c r="K9207" s="1" t="s">
        <v>30546</v>
      </c>
      <c r="L9207" s="1"/>
      <c r="M9207" s="1"/>
    </row>
    <row x14ac:dyDescent="0.25" r="9208" customHeight="1" ht="18.75">
      <c r="A9208" s="1" t="s">
        <v>3598</v>
      </c>
      <c r="B9208" s="1" t="s">
        <v>9344</v>
      </c>
      <c r="C9208" s="1" t="s">
        <v>3600</v>
      </c>
      <c r="D9208" s="1" t="s">
        <v>28428</v>
      </c>
      <c r="E9208" s="1" t="s">
        <v>3664</v>
      </c>
      <c r="F9208" s="1" t="s">
        <v>30547</v>
      </c>
      <c r="G9208" s="1" t="s">
        <v>21937</v>
      </c>
      <c r="H9208" s="1" t="s">
        <v>3604</v>
      </c>
      <c r="I9208" s="1" t="s">
        <v>30548</v>
      </c>
      <c r="J9208" s="1" t="s">
        <v>3615</v>
      </c>
      <c r="K9208" s="1" t="s">
        <v>30549</v>
      </c>
      <c r="L9208" s="1"/>
      <c r="M9208" s="1"/>
    </row>
    <row x14ac:dyDescent="0.25" r="9209" customHeight="1" ht="18.75">
      <c r="A9209" s="1" t="s">
        <v>3598</v>
      </c>
      <c r="B9209" s="1" t="s">
        <v>15557</v>
      </c>
      <c r="C9209" s="1" t="s">
        <v>3600</v>
      </c>
      <c r="D9209" s="1" t="s">
        <v>3695</v>
      </c>
      <c r="E9209" s="1" t="s">
        <v>3611</v>
      </c>
      <c r="F9209" s="1" t="s">
        <v>30550</v>
      </c>
      <c r="G9209" s="1" t="s">
        <v>15632</v>
      </c>
      <c r="H9209" s="1" t="s">
        <v>3604</v>
      </c>
      <c r="I9209" s="1" t="s">
        <v>30551</v>
      </c>
      <c r="J9209" s="1" t="s">
        <v>3615</v>
      </c>
      <c r="K9209" s="1" t="s">
        <v>30552</v>
      </c>
      <c r="L9209" s="1"/>
      <c r="M9209" s="1"/>
    </row>
    <row x14ac:dyDescent="0.25" r="9210" customHeight="1" ht="18.75">
      <c r="A9210" s="1" t="s">
        <v>3598</v>
      </c>
      <c r="B9210" s="1" t="s">
        <v>9344</v>
      </c>
      <c r="C9210" s="1" t="s">
        <v>3600</v>
      </c>
      <c r="D9210" s="1" t="s">
        <v>28428</v>
      </c>
      <c r="E9210" s="1" t="s">
        <v>3664</v>
      </c>
      <c r="F9210" s="1" t="s">
        <v>30553</v>
      </c>
      <c r="G9210" s="1" t="s">
        <v>21923</v>
      </c>
      <c r="H9210" s="1" t="s">
        <v>3604</v>
      </c>
      <c r="I9210" s="1" t="s">
        <v>30554</v>
      </c>
      <c r="J9210" s="1" t="s">
        <v>3615</v>
      </c>
      <c r="K9210" s="1" t="s">
        <v>30555</v>
      </c>
      <c r="L9210" s="1"/>
      <c r="M9210" s="1"/>
    </row>
    <row x14ac:dyDescent="0.25" r="9211" customHeight="1" ht="18.75">
      <c r="A9211" s="1" t="s">
        <v>3598</v>
      </c>
      <c r="B9211" s="1" t="s">
        <v>15557</v>
      </c>
      <c r="C9211" s="1" t="s">
        <v>3600</v>
      </c>
      <c r="D9211" s="1" t="s">
        <v>3695</v>
      </c>
      <c r="E9211" s="1" t="s">
        <v>3611</v>
      </c>
      <c r="F9211" s="1" t="s">
        <v>30556</v>
      </c>
      <c r="G9211" s="1" t="s">
        <v>15653</v>
      </c>
      <c r="H9211" s="1" t="s">
        <v>3604</v>
      </c>
      <c r="I9211" s="1" t="s">
        <v>30557</v>
      </c>
      <c r="J9211" s="1" t="s">
        <v>3615</v>
      </c>
      <c r="K9211" s="1" t="s">
        <v>30558</v>
      </c>
      <c r="L9211" s="1"/>
      <c r="M9211" s="1"/>
    </row>
    <row x14ac:dyDescent="0.25" r="9212" customHeight="1" ht="18.75">
      <c r="A9212" s="1" t="s">
        <v>3598</v>
      </c>
      <c r="B9212" s="1" t="s">
        <v>9344</v>
      </c>
      <c r="C9212" s="1" t="s">
        <v>3600</v>
      </c>
      <c r="D9212" s="1" t="s">
        <v>28428</v>
      </c>
      <c r="E9212" s="1" t="s">
        <v>3664</v>
      </c>
      <c r="F9212" s="1" t="s">
        <v>30559</v>
      </c>
      <c r="G9212" s="1" t="s">
        <v>28520</v>
      </c>
      <c r="H9212" s="1" t="s">
        <v>3604</v>
      </c>
      <c r="I9212" s="1" t="s">
        <v>30560</v>
      </c>
      <c r="J9212" s="1" t="s">
        <v>3615</v>
      </c>
      <c r="K9212" s="1" t="s">
        <v>30561</v>
      </c>
      <c r="L9212" s="1"/>
      <c r="M9212" s="1"/>
    </row>
    <row x14ac:dyDescent="0.25" r="9213" customHeight="1" ht="18.75">
      <c r="A9213" s="1" t="s">
        <v>3598</v>
      </c>
      <c r="B9213" s="1" t="s">
        <v>15557</v>
      </c>
      <c r="C9213" s="1" t="s">
        <v>3600</v>
      </c>
      <c r="D9213" s="1" t="s">
        <v>3695</v>
      </c>
      <c r="E9213" s="1" t="s">
        <v>3611</v>
      </c>
      <c r="F9213" s="1" t="s">
        <v>30562</v>
      </c>
      <c r="G9213" s="1" t="s">
        <v>15653</v>
      </c>
      <c r="H9213" s="1" t="s">
        <v>3604</v>
      </c>
      <c r="I9213" s="1" t="s">
        <v>30563</v>
      </c>
      <c r="J9213" s="1" t="s">
        <v>3615</v>
      </c>
      <c r="K9213" s="1" t="s">
        <v>30564</v>
      </c>
      <c r="L9213" s="1"/>
      <c r="M9213" s="1"/>
    </row>
    <row x14ac:dyDescent="0.25" r="9214" customHeight="1" ht="18.75">
      <c r="A9214" s="1" t="s">
        <v>3598</v>
      </c>
      <c r="B9214" s="1" t="s">
        <v>9007</v>
      </c>
      <c r="C9214" s="1" t="s">
        <v>3600</v>
      </c>
      <c r="D9214" s="1" t="s">
        <v>28428</v>
      </c>
      <c r="E9214" s="1" t="s">
        <v>3893</v>
      </c>
      <c r="F9214" s="1" t="s">
        <v>30565</v>
      </c>
      <c r="G9214" s="1" t="s">
        <v>8614</v>
      </c>
      <c r="H9214" s="1" t="s">
        <v>3604</v>
      </c>
      <c r="I9214" s="1" t="s">
        <v>30566</v>
      </c>
      <c r="J9214" s="1" t="s">
        <v>3615</v>
      </c>
      <c r="K9214" s="1" t="s">
        <v>30567</v>
      </c>
      <c r="L9214" s="1"/>
      <c r="M9214" s="1"/>
    </row>
    <row x14ac:dyDescent="0.25" r="9215" customHeight="1" ht="18.75">
      <c r="A9215" s="1" t="s">
        <v>3598</v>
      </c>
      <c r="B9215" s="1" t="s">
        <v>15557</v>
      </c>
      <c r="C9215" s="1" t="s">
        <v>3600</v>
      </c>
      <c r="D9215" s="1" t="s">
        <v>3695</v>
      </c>
      <c r="E9215" s="1" t="s">
        <v>3611</v>
      </c>
      <c r="F9215" s="1" t="s">
        <v>30568</v>
      </c>
      <c r="G9215" s="1" t="s">
        <v>15653</v>
      </c>
      <c r="H9215" s="1" t="s">
        <v>3604</v>
      </c>
      <c r="I9215" s="1" t="s">
        <v>30569</v>
      </c>
      <c r="J9215" s="1" t="s">
        <v>3615</v>
      </c>
      <c r="K9215" s="1" t="s">
        <v>30570</v>
      </c>
      <c r="L9215" s="1"/>
      <c r="M9215" s="1"/>
    </row>
    <row x14ac:dyDescent="0.25" r="9216" customHeight="1" ht="18.75">
      <c r="A9216" s="1" t="s">
        <v>3598</v>
      </c>
      <c r="B9216" s="1" t="s">
        <v>9007</v>
      </c>
      <c r="C9216" s="1" t="s">
        <v>3600</v>
      </c>
      <c r="D9216" s="1" t="s">
        <v>28428</v>
      </c>
      <c r="E9216" s="1" t="s">
        <v>3893</v>
      </c>
      <c r="F9216" s="1" t="s">
        <v>30571</v>
      </c>
      <c r="G9216" s="1" t="s">
        <v>15032</v>
      </c>
      <c r="H9216" s="1" t="s">
        <v>3604</v>
      </c>
      <c r="I9216" s="1" t="s">
        <v>30572</v>
      </c>
      <c r="J9216" s="1" t="s">
        <v>3615</v>
      </c>
      <c r="K9216" s="1" t="s">
        <v>30573</v>
      </c>
      <c r="L9216" s="1"/>
      <c r="M9216" s="1"/>
    </row>
    <row x14ac:dyDescent="0.25" r="9217" customHeight="1" ht="18.75">
      <c r="A9217" s="1" t="s">
        <v>3598</v>
      </c>
      <c r="B9217" s="1" t="s">
        <v>18066</v>
      </c>
      <c r="C9217" s="1" t="s">
        <v>3600</v>
      </c>
      <c r="D9217" s="1" t="s">
        <v>28428</v>
      </c>
      <c r="E9217" s="1" t="s">
        <v>3664</v>
      </c>
      <c r="F9217" s="1" t="s">
        <v>30574</v>
      </c>
      <c r="G9217" s="1" t="s">
        <v>18217</v>
      </c>
      <c r="H9217" s="1" t="s">
        <v>3604</v>
      </c>
      <c r="I9217" s="1" t="s">
        <v>30575</v>
      </c>
      <c r="J9217" s="1" t="s">
        <v>3615</v>
      </c>
      <c r="K9217" s="1" t="s">
        <v>30576</v>
      </c>
      <c r="L9217" s="1"/>
      <c r="M9217" s="1"/>
    </row>
    <row x14ac:dyDescent="0.25" r="9218" customHeight="1" ht="18.75">
      <c r="A9218" s="1" t="s">
        <v>3598</v>
      </c>
      <c r="B9218" s="1" t="s">
        <v>18410</v>
      </c>
      <c r="C9218" s="1" t="s">
        <v>3600</v>
      </c>
      <c r="D9218" s="1" t="s">
        <v>3695</v>
      </c>
      <c r="E9218" s="1" t="s">
        <v>3752</v>
      </c>
      <c r="F9218" s="1" t="s">
        <v>30577</v>
      </c>
      <c r="G9218" s="1" t="s">
        <v>30578</v>
      </c>
      <c r="H9218" s="1" t="s">
        <v>3604</v>
      </c>
      <c r="I9218" s="1" t="s">
        <v>30579</v>
      </c>
      <c r="J9218" s="1" t="s">
        <v>3615</v>
      </c>
      <c r="K9218" s="1" t="s">
        <v>30580</v>
      </c>
      <c r="L9218" s="1"/>
      <c r="M9218" s="1"/>
    </row>
    <row x14ac:dyDescent="0.25" r="9219" customHeight="1" ht="18.75">
      <c r="A9219" s="1" t="s">
        <v>3598</v>
      </c>
      <c r="B9219" s="1" t="s">
        <v>9273</v>
      </c>
      <c r="C9219" s="1" t="s">
        <v>3600</v>
      </c>
      <c r="D9219" s="1" t="s">
        <v>28428</v>
      </c>
      <c r="E9219" s="1" t="s">
        <v>3664</v>
      </c>
      <c r="F9219" s="1" t="s">
        <v>30581</v>
      </c>
      <c r="G9219" s="1" t="s">
        <v>21157</v>
      </c>
      <c r="H9219" s="1" t="s">
        <v>3604</v>
      </c>
      <c r="I9219" s="1" t="s">
        <v>30582</v>
      </c>
      <c r="J9219" s="1" t="s">
        <v>3615</v>
      </c>
      <c r="K9219" s="1" t="s">
        <v>30583</v>
      </c>
      <c r="L9219" s="1"/>
      <c r="M9219" s="1"/>
    </row>
    <row x14ac:dyDescent="0.25" r="9220" customHeight="1" ht="18.75">
      <c r="A9220" s="1" t="s">
        <v>3598</v>
      </c>
      <c r="B9220" s="1" t="s">
        <v>18410</v>
      </c>
      <c r="C9220" s="1" t="s">
        <v>3600</v>
      </c>
      <c r="D9220" s="1" t="s">
        <v>3695</v>
      </c>
      <c r="E9220" s="1" t="s">
        <v>3752</v>
      </c>
      <c r="F9220" s="1" t="s">
        <v>30584</v>
      </c>
      <c r="G9220" s="1" t="s">
        <v>30578</v>
      </c>
      <c r="H9220" s="1" t="s">
        <v>3604</v>
      </c>
      <c r="I9220" s="1" t="s">
        <v>30585</v>
      </c>
      <c r="J9220" s="1" t="s">
        <v>3615</v>
      </c>
      <c r="K9220" s="1" t="s">
        <v>30586</v>
      </c>
      <c r="L9220" s="1"/>
      <c r="M9220" s="1"/>
    </row>
    <row x14ac:dyDescent="0.25" r="9221" customHeight="1" ht="18.75">
      <c r="A9221" s="1" t="s">
        <v>3598</v>
      </c>
      <c r="B9221" s="1" t="s">
        <v>19909</v>
      </c>
      <c r="C9221" s="1" t="s">
        <v>3600</v>
      </c>
      <c r="D9221" s="1" t="s">
        <v>28428</v>
      </c>
      <c r="E9221" s="1" t="s">
        <v>3981</v>
      </c>
      <c r="F9221" s="1" t="s">
        <v>30587</v>
      </c>
      <c r="G9221" s="1" t="s">
        <v>30588</v>
      </c>
      <c r="H9221" s="1" t="s">
        <v>3604</v>
      </c>
      <c r="I9221" s="1" t="s">
        <v>30589</v>
      </c>
      <c r="J9221" s="1" t="s">
        <v>3615</v>
      </c>
      <c r="K9221" s="1" t="s">
        <v>30590</v>
      </c>
      <c r="L9221" s="1"/>
      <c r="M9221" s="1"/>
    </row>
    <row x14ac:dyDescent="0.25" r="9222" customHeight="1" ht="18.75">
      <c r="A9222" s="1" t="s">
        <v>3598</v>
      </c>
      <c r="B9222" s="1" t="s">
        <v>18410</v>
      </c>
      <c r="C9222" s="1" t="s">
        <v>3600</v>
      </c>
      <c r="D9222" s="1" t="s">
        <v>3695</v>
      </c>
      <c r="E9222" s="1" t="s">
        <v>3752</v>
      </c>
      <c r="F9222" s="1" t="s">
        <v>30591</v>
      </c>
      <c r="G9222" s="1" t="s">
        <v>30578</v>
      </c>
      <c r="H9222" s="1" t="s">
        <v>3604</v>
      </c>
      <c r="I9222" s="1" t="s">
        <v>30592</v>
      </c>
      <c r="J9222" s="1" t="s">
        <v>3615</v>
      </c>
      <c r="K9222" s="1" t="s">
        <v>30593</v>
      </c>
      <c r="L9222" s="1"/>
      <c r="M9222" s="1"/>
    </row>
    <row x14ac:dyDescent="0.25" r="9223" customHeight="1" ht="18.75">
      <c r="A9223" s="1" t="s">
        <v>3598</v>
      </c>
      <c r="B9223" s="1" t="s">
        <v>17394</v>
      </c>
      <c r="C9223" s="1" t="s">
        <v>3600</v>
      </c>
      <c r="D9223" s="1" t="s">
        <v>28428</v>
      </c>
      <c r="E9223" s="1" t="s">
        <v>3664</v>
      </c>
      <c r="F9223" s="1" t="s">
        <v>30594</v>
      </c>
      <c r="G9223" s="1" t="s">
        <v>30595</v>
      </c>
      <c r="H9223" s="1" t="s">
        <v>3604</v>
      </c>
      <c r="I9223" s="1" t="s">
        <v>30596</v>
      </c>
      <c r="J9223" s="1" t="s">
        <v>3615</v>
      </c>
      <c r="K9223" s="1" t="s">
        <v>30597</v>
      </c>
      <c r="L9223" s="1"/>
      <c r="M9223" s="1"/>
    </row>
    <row x14ac:dyDescent="0.25" r="9224" customHeight="1" ht="18.75">
      <c r="A9224" s="1" t="s">
        <v>3598</v>
      </c>
      <c r="B9224" s="1" t="s">
        <v>17394</v>
      </c>
      <c r="C9224" s="1" t="s">
        <v>3600</v>
      </c>
      <c r="D9224" s="1" t="s">
        <v>28428</v>
      </c>
      <c r="E9224" s="1" t="s">
        <v>3664</v>
      </c>
      <c r="F9224" s="1" t="s">
        <v>30598</v>
      </c>
      <c r="G9224" s="1" t="s">
        <v>19738</v>
      </c>
      <c r="H9224" s="1" t="s">
        <v>3604</v>
      </c>
      <c r="I9224" s="1" t="s">
        <v>30599</v>
      </c>
      <c r="J9224" s="1" t="s">
        <v>3615</v>
      </c>
      <c r="K9224" s="1" t="s">
        <v>30600</v>
      </c>
      <c r="L9224" s="1"/>
      <c r="M9224" s="1"/>
    </row>
    <row x14ac:dyDescent="0.25" r="9225" customHeight="1" ht="18.75">
      <c r="A9225" s="1" t="s">
        <v>3598</v>
      </c>
      <c r="B9225" s="1" t="s">
        <v>17394</v>
      </c>
      <c r="C9225" s="1" t="s">
        <v>3600</v>
      </c>
      <c r="D9225" s="1" t="s">
        <v>28428</v>
      </c>
      <c r="E9225" s="1" t="s">
        <v>3664</v>
      </c>
      <c r="F9225" s="1" t="s">
        <v>30601</v>
      </c>
      <c r="G9225" s="1" t="s">
        <v>29153</v>
      </c>
      <c r="H9225" s="1" t="s">
        <v>3604</v>
      </c>
      <c r="I9225" s="1" t="s">
        <v>30602</v>
      </c>
      <c r="J9225" s="1" t="s">
        <v>3615</v>
      </c>
      <c r="K9225" s="1" t="s">
        <v>30603</v>
      </c>
      <c r="L9225" s="1"/>
      <c r="M9225" s="1"/>
    </row>
    <row x14ac:dyDescent="0.25" r="9226" customHeight="1" ht="18.75">
      <c r="A9226" s="1" t="s">
        <v>3598</v>
      </c>
      <c r="B9226" s="1" t="s">
        <v>17394</v>
      </c>
      <c r="C9226" s="1" t="s">
        <v>3600</v>
      </c>
      <c r="D9226" s="1" t="s">
        <v>28428</v>
      </c>
      <c r="E9226" s="1" t="s">
        <v>3664</v>
      </c>
      <c r="F9226" s="1" t="s">
        <v>30604</v>
      </c>
      <c r="G9226" s="1" t="s">
        <v>26590</v>
      </c>
      <c r="H9226" s="1" t="s">
        <v>3604</v>
      </c>
      <c r="I9226" s="1" t="s">
        <v>30605</v>
      </c>
      <c r="J9226" s="1" t="s">
        <v>3615</v>
      </c>
      <c r="K9226" s="1" t="s">
        <v>30606</v>
      </c>
      <c r="L9226" s="1"/>
      <c r="M9226" s="1"/>
    </row>
    <row x14ac:dyDescent="0.25" r="9227" customHeight="1" ht="18.75">
      <c r="A9227" s="1" t="s">
        <v>3598</v>
      </c>
      <c r="B9227" s="1" t="s">
        <v>9582</v>
      </c>
      <c r="C9227" s="1" t="s">
        <v>3600</v>
      </c>
      <c r="D9227" s="1" t="s">
        <v>28428</v>
      </c>
      <c r="E9227" s="1" t="s">
        <v>3664</v>
      </c>
      <c r="F9227" s="1" t="s">
        <v>30607</v>
      </c>
      <c r="G9227" s="1" t="s">
        <v>30608</v>
      </c>
      <c r="H9227" s="1" t="s">
        <v>3604</v>
      </c>
      <c r="I9227" s="1" t="s">
        <v>30609</v>
      </c>
      <c r="J9227" s="1" t="s">
        <v>3615</v>
      </c>
      <c r="K9227" s="1" t="s">
        <v>30610</v>
      </c>
      <c r="L9227" s="1"/>
      <c r="M9227" s="1"/>
    </row>
    <row x14ac:dyDescent="0.25" r="9228" customHeight="1" ht="18.75">
      <c r="A9228" s="1" t="s">
        <v>3598</v>
      </c>
      <c r="B9228" s="1" t="s">
        <v>9582</v>
      </c>
      <c r="C9228" s="1" t="s">
        <v>3600</v>
      </c>
      <c r="D9228" s="1" t="s">
        <v>28428</v>
      </c>
      <c r="E9228" s="1" t="s">
        <v>3664</v>
      </c>
      <c r="F9228" s="1" t="s">
        <v>30611</v>
      </c>
      <c r="G9228" s="1" t="s">
        <v>30612</v>
      </c>
      <c r="H9228" s="1" t="s">
        <v>3604</v>
      </c>
      <c r="I9228" s="1" t="s">
        <v>30613</v>
      </c>
      <c r="J9228" s="1" t="s">
        <v>3615</v>
      </c>
      <c r="K9228" s="1" t="s">
        <v>30614</v>
      </c>
      <c r="L9228" s="1"/>
      <c r="M9228" s="1"/>
    </row>
    <row x14ac:dyDescent="0.25" r="9229" customHeight="1" ht="18.75">
      <c r="A9229" s="1" t="s">
        <v>3598</v>
      </c>
      <c r="B9229" s="1" t="s">
        <v>9012</v>
      </c>
      <c r="C9229" s="1" t="s">
        <v>3600</v>
      </c>
      <c r="D9229" s="1" t="s">
        <v>28428</v>
      </c>
      <c r="E9229" s="1" t="s">
        <v>3664</v>
      </c>
      <c r="F9229" s="1" t="s">
        <v>30615</v>
      </c>
      <c r="G9229" s="1" t="s">
        <v>30608</v>
      </c>
      <c r="H9229" s="1" t="s">
        <v>3604</v>
      </c>
      <c r="I9229" s="1" t="s">
        <v>30616</v>
      </c>
      <c r="J9229" s="1" t="s">
        <v>3615</v>
      </c>
      <c r="K9229" s="1" t="s">
        <v>30617</v>
      </c>
      <c r="L9229" s="1"/>
      <c r="M9229" s="1"/>
    </row>
    <row x14ac:dyDescent="0.25" r="9230" customHeight="1" ht="18.75">
      <c r="A9230" s="1" t="s">
        <v>3598</v>
      </c>
      <c r="B9230" s="1" t="s">
        <v>23032</v>
      </c>
      <c r="C9230" s="1" t="s">
        <v>3600</v>
      </c>
      <c r="D9230" s="1" t="s">
        <v>533</v>
      </c>
      <c r="E9230" s="1" t="s">
        <v>3664</v>
      </c>
      <c r="F9230" s="1" t="s">
        <v>30618</v>
      </c>
      <c r="G9230" s="1" t="s">
        <v>23034</v>
      </c>
      <c r="H9230" s="1" t="s">
        <v>3604</v>
      </c>
      <c r="I9230" s="1" t="s">
        <v>30619</v>
      </c>
      <c r="J9230" s="1" t="s">
        <v>3615</v>
      </c>
      <c r="K9230" s="1" t="s">
        <v>28360</v>
      </c>
      <c r="L9230" s="1"/>
      <c r="M9230" s="1"/>
    </row>
    <row x14ac:dyDescent="0.25" r="9231" customHeight="1" ht="18.75">
      <c r="A9231" s="1" t="s">
        <v>3598</v>
      </c>
      <c r="B9231" s="1" t="s">
        <v>9012</v>
      </c>
      <c r="C9231" s="1" t="s">
        <v>3600</v>
      </c>
      <c r="D9231" s="1" t="s">
        <v>28428</v>
      </c>
      <c r="E9231" s="1" t="s">
        <v>3664</v>
      </c>
      <c r="F9231" s="1" t="s">
        <v>30620</v>
      </c>
      <c r="G9231" s="1" t="s">
        <v>30612</v>
      </c>
      <c r="H9231" s="1" t="s">
        <v>3604</v>
      </c>
      <c r="I9231" s="1" t="s">
        <v>30621</v>
      </c>
      <c r="J9231" s="1" t="s">
        <v>3615</v>
      </c>
      <c r="K9231" s="1" t="s">
        <v>30622</v>
      </c>
      <c r="L9231" s="1"/>
      <c r="M9231" s="1"/>
    </row>
    <row x14ac:dyDescent="0.25" r="9232" customHeight="1" ht="18.75">
      <c r="A9232" s="1" t="s">
        <v>3598</v>
      </c>
      <c r="B9232" s="1" t="s">
        <v>14104</v>
      </c>
      <c r="C9232" s="1" t="s">
        <v>3600</v>
      </c>
      <c r="D9232" s="1" t="s">
        <v>28428</v>
      </c>
      <c r="E9232" s="1" t="s">
        <v>3664</v>
      </c>
      <c r="F9232" s="1" t="s">
        <v>30623</v>
      </c>
      <c r="G9232" s="1" t="s">
        <v>26654</v>
      </c>
      <c r="H9232" s="1" t="s">
        <v>3604</v>
      </c>
      <c r="I9232" s="1" t="s">
        <v>30624</v>
      </c>
      <c r="J9232" s="1" t="s">
        <v>3615</v>
      </c>
      <c r="K9232" s="1" t="s">
        <v>30625</v>
      </c>
      <c r="L9232" s="1"/>
      <c r="M9232" s="1"/>
    </row>
    <row x14ac:dyDescent="0.25" r="9233" customHeight="1" ht="18.75">
      <c r="A9233" s="1" t="s">
        <v>3598</v>
      </c>
      <c r="B9233" s="1" t="s">
        <v>14104</v>
      </c>
      <c r="C9233" s="1" t="s">
        <v>3600</v>
      </c>
      <c r="D9233" s="1" t="s">
        <v>28428</v>
      </c>
      <c r="E9233" s="1" t="s">
        <v>3893</v>
      </c>
      <c r="F9233" s="1" t="s">
        <v>30626</v>
      </c>
      <c r="G9233" s="1" t="s">
        <v>6440</v>
      </c>
      <c r="H9233" s="1" t="s">
        <v>3604</v>
      </c>
      <c r="I9233" s="1" t="s">
        <v>30627</v>
      </c>
      <c r="J9233" s="1" t="s">
        <v>3615</v>
      </c>
      <c r="K9233" s="1" t="s">
        <v>30628</v>
      </c>
      <c r="L9233" s="1"/>
      <c r="M9233" s="1"/>
    </row>
    <row x14ac:dyDescent="0.25" r="9234" customHeight="1" ht="18.75">
      <c r="A9234" s="1" t="s">
        <v>3598</v>
      </c>
      <c r="B9234" s="1" t="s">
        <v>14104</v>
      </c>
      <c r="C9234" s="1" t="s">
        <v>3600</v>
      </c>
      <c r="D9234" s="1" t="s">
        <v>28428</v>
      </c>
      <c r="E9234" s="1" t="s">
        <v>3893</v>
      </c>
      <c r="F9234" s="1" t="s">
        <v>30629</v>
      </c>
      <c r="G9234" s="1" t="s">
        <v>30320</v>
      </c>
      <c r="H9234" s="1" t="s">
        <v>3604</v>
      </c>
      <c r="I9234" s="1" t="s">
        <v>30630</v>
      </c>
      <c r="J9234" s="1" t="s">
        <v>3615</v>
      </c>
      <c r="K9234" s="1" t="s">
        <v>30631</v>
      </c>
      <c r="L9234" s="1"/>
      <c r="M9234" s="1"/>
    </row>
    <row x14ac:dyDescent="0.25" r="9235" customHeight="1" ht="18.75">
      <c r="A9235" s="1" t="s">
        <v>3598</v>
      </c>
      <c r="B9235" s="1" t="s">
        <v>6732</v>
      </c>
      <c r="C9235" s="1" t="s">
        <v>3600</v>
      </c>
      <c r="D9235" s="1" t="s">
        <v>3695</v>
      </c>
      <c r="E9235" s="1" t="s">
        <v>3664</v>
      </c>
      <c r="F9235" s="1" t="s">
        <v>30632</v>
      </c>
      <c r="G9235" s="1" t="s">
        <v>8658</v>
      </c>
      <c r="H9235" s="1" t="s">
        <v>3604</v>
      </c>
      <c r="I9235" s="1" t="s">
        <v>30633</v>
      </c>
      <c r="J9235" s="1" t="s">
        <v>3615</v>
      </c>
      <c r="K9235" s="1" t="s">
        <v>30634</v>
      </c>
      <c r="L9235" s="1"/>
      <c r="M9235" s="1"/>
    </row>
    <row x14ac:dyDescent="0.25" r="9236" customHeight="1" ht="18.75">
      <c r="A9236" s="1" t="s">
        <v>3598</v>
      </c>
      <c r="B9236" s="1" t="s">
        <v>14123</v>
      </c>
      <c r="C9236" s="1" t="s">
        <v>3600</v>
      </c>
      <c r="D9236" s="1" t="s">
        <v>28428</v>
      </c>
      <c r="E9236" s="1" t="s">
        <v>3893</v>
      </c>
      <c r="F9236" s="1" t="s">
        <v>30635</v>
      </c>
      <c r="G9236" s="1" t="s">
        <v>30636</v>
      </c>
      <c r="H9236" s="1" t="s">
        <v>3604</v>
      </c>
      <c r="I9236" s="1" t="s">
        <v>30637</v>
      </c>
      <c r="J9236" s="1" t="s">
        <v>3615</v>
      </c>
      <c r="K9236" s="1" t="s">
        <v>30638</v>
      </c>
      <c r="L9236" s="1"/>
      <c r="M9236" s="1"/>
    </row>
    <row x14ac:dyDescent="0.25" r="9237" customHeight="1" ht="18.75">
      <c r="A9237" s="1" t="s">
        <v>3598</v>
      </c>
      <c r="B9237" s="1" t="s">
        <v>14123</v>
      </c>
      <c r="C9237" s="1" t="s">
        <v>3600</v>
      </c>
      <c r="D9237" s="1" t="s">
        <v>28428</v>
      </c>
      <c r="E9237" s="1" t="s">
        <v>3893</v>
      </c>
      <c r="F9237" s="1" t="s">
        <v>30639</v>
      </c>
      <c r="G9237" s="1" t="s">
        <v>6440</v>
      </c>
      <c r="H9237" s="1" t="s">
        <v>3604</v>
      </c>
      <c r="I9237" s="1" t="s">
        <v>30640</v>
      </c>
      <c r="J9237" s="1" t="s">
        <v>3615</v>
      </c>
      <c r="K9237" s="1" t="s">
        <v>30641</v>
      </c>
      <c r="L9237" s="1"/>
      <c r="M9237" s="1"/>
    </row>
    <row x14ac:dyDescent="0.25" r="9238" customHeight="1" ht="18.75">
      <c r="A9238" s="1" t="s">
        <v>3598</v>
      </c>
      <c r="B9238" s="1" t="s">
        <v>14119</v>
      </c>
      <c r="C9238" s="1" t="s">
        <v>3600</v>
      </c>
      <c r="D9238" s="1" t="s">
        <v>28428</v>
      </c>
      <c r="E9238" s="1" t="s">
        <v>3664</v>
      </c>
      <c r="F9238" s="1" t="s">
        <v>30642</v>
      </c>
      <c r="G9238" s="1" t="s">
        <v>8665</v>
      </c>
      <c r="H9238" s="1" t="s">
        <v>3604</v>
      </c>
      <c r="I9238" s="1" t="s">
        <v>30643</v>
      </c>
      <c r="J9238" s="1" t="s">
        <v>3615</v>
      </c>
      <c r="K9238" s="1" t="s">
        <v>30644</v>
      </c>
      <c r="L9238" s="1"/>
      <c r="M9238" s="1"/>
    </row>
    <row x14ac:dyDescent="0.25" r="9239" customHeight="1" ht="18.75">
      <c r="A9239" s="1" t="s">
        <v>3598</v>
      </c>
      <c r="B9239" s="1" t="s">
        <v>6732</v>
      </c>
      <c r="C9239" s="1" t="s">
        <v>3600</v>
      </c>
      <c r="D9239" s="1" t="s">
        <v>3695</v>
      </c>
      <c r="E9239" s="1" t="s">
        <v>3664</v>
      </c>
      <c r="F9239" s="1" t="s">
        <v>30645</v>
      </c>
      <c r="G9239" s="1" t="s">
        <v>8658</v>
      </c>
      <c r="H9239" s="1" t="s">
        <v>3604</v>
      </c>
      <c r="I9239" s="1" t="s">
        <v>30646</v>
      </c>
      <c r="J9239" s="1" t="s">
        <v>3615</v>
      </c>
      <c r="K9239" s="1" t="s">
        <v>30647</v>
      </c>
      <c r="L9239" s="1"/>
      <c r="M9239" s="1"/>
    </row>
    <row x14ac:dyDescent="0.25" r="9240" customHeight="1" ht="18.75">
      <c r="A9240" s="1" t="s">
        <v>3598</v>
      </c>
      <c r="B9240" s="1" t="s">
        <v>30648</v>
      </c>
      <c r="C9240" s="1" t="s">
        <v>3600</v>
      </c>
      <c r="D9240" s="1" t="s">
        <v>28428</v>
      </c>
      <c r="E9240" s="1" t="s">
        <v>3752</v>
      </c>
      <c r="F9240" s="1" t="s">
        <v>30649</v>
      </c>
      <c r="G9240" s="1" t="s">
        <v>30650</v>
      </c>
      <c r="H9240" s="1" t="s">
        <v>3604</v>
      </c>
      <c r="I9240" s="1" t="s">
        <v>30651</v>
      </c>
      <c r="J9240" s="1" t="s">
        <v>3615</v>
      </c>
      <c r="K9240" s="1" t="s">
        <v>30652</v>
      </c>
      <c r="L9240" s="1"/>
      <c r="M9240" s="1"/>
    </row>
    <row x14ac:dyDescent="0.25" r="9241" customHeight="1" ht="18.75">
      <c r="A9241" s="1" t="s">
        <v>3598</v>
      </c>
      <c r="B9241" s="1" t="s">
        <v>15557</v>
      </c>
      <c r="C9241" s="1" t="s">
        <v>3600</v>
      </c>
      <c r="D9241" s="1" t="s">
        <v>3695</v>
      </c>
      <c r="E9241" s="1" t="s">
        <v>3611</v>
      </c>
      <c r="F9241" s="1" t="s">
        <v>30653</v>
      </c>
      <c r="G9241" s="1" t="s">
        <v>30654</v>
      </c>
      <c r="H9241" s="1" t="s">
        <v>3604</v>
      </c>
      <c r="I9241" s="1" t="s">
        <v>30655</v>
      </c>
      <c r="J9241" s="1" t="s">
        <v>3615</v>
      </c>
      <c r="K9241" s="1" t="s">
        <v>30656</v>
      </c>
      <c r="L9241" s="1"/>
      <c r="M9241" s="1"/>
    </row>
    <row x14ac:dyDescent="0.25" r="9242" customHeight="1" ht="18.75">
      <c r="A9242" s="1" t="s">
        <v>3598</v>
      </c>
      <c r="B9242" s="1" t="s">
        <v>3751</v>
      </c>
      <c r="C9242" s="1" t="s">
        <v>3600</v>
      </c>
      <c r="D9242" s="1" t="s">
        <v>28428</v>
      </c>
      <c r="E9242" s="1" t="s">
        <v>3664</v>
      </c>
      <c r="F9242" s="1" t="s">
        <v>30657</v>
      </c>
      <c r="G9242" s="1" t="s">
        <v>27396</v>
      </c>
      <c r="H9242" s="1" t="s">
        <v>3604</v>
      </c>
      <c r="I9242" s="1" t="s">
        <v>30658</v>
      </c>
      <c r="J9242" s="1" t="s">
        <v>3615</v>
      </c>
      <c r="K9242" s="1" t="s">
        <v>30659</v>
      </c>
      <c r="L9242" s="1"/>
      <c r="M9242" s="1"/>
    </row>
    <row x14ac:dyDescent="0.25" r="9243" customHeight="1" ht="18.75">
      <c r="A9243" s="1" t="s">
        <v>3598</v>
      </c>
      <c r="B9243" s="1" t="s">
        <v>15557</v>
      </c>
      <c r="C9243" s="1" t="s">
        <v>3600</v>
      </c>
      <c r="D9243" s="1" t="s">
        <v>28428</v>
      </c>
      <c r="E9243" s="1" t="s">
        <v>3664</v>
      </c>
      <c r="F9243" s="1" t="s">
        <v>30660</v>
      </c>
      <c r="G9243" s="1" t="s">
        <v>30661</v>
      </c>
      <c r="H9243" s="1" t="s">
        <v>3604</v>
      </c>
      <c r="I9243" s="1" t="s">
        <v>30662</v>
      </c>
      <c r="J9243" s="1" t="s">
        <v>3615</v>
      </c>
      <c r="K9243" s="1" t="s">
        <v>30663</v>
      </c>
      <c r="L9243" s="1"/>
      <c r="M9243" s="1"/>
    </row>
    <row x14ac:dyDescent="0.25" r="9244" customHeight="1" ht="18.75">
      <c r="A9244" s="1" t="s">
        <v>3598</v>
      </c>
      <c r="B9244" s="1" t="s">
        <v>20557</v>
      </c>
      <c r="C9244" s="1" t="s">
        <v>3600</v>
      </c>
      <c r="D9244" s="1" t="s">
        <v>28428</v>
      </c>
      <c r="E9244" s="1" t="s">
        <v>3664</v>
      </c>
      <c r="F9244" s="1" t="s">
        <v>30664</v>
      </c>
      <c r="G9244" s="1" t="s">
        <v>27245</v>
      </c>
      <c r="H9244" s="1" t="s">
        <v>3604</v>
      </c>
      <c r="I9244" s="1" t="s">
        <v>30665</v>
      </c>
      <c r="J9244" s="1" t="s">
        <v>3615</v>
      </c>
      <c r="K9244" s="1" t="s">
        <v>30666</v>
      </c>
      <c r="L9244" s="1"/>
      <c r="M9244" s="1"/>
    </row>
    <row x14ac:dyDescent="0.25" r="9245" customHeight="1" ht="18.75">
      <c r="A9245" s="1" t="s">
        <v>3598</v>
      </c>
      <c r="B9245" s="1" t="s">
        <v>22973</v>
      </c>
      <c r="C9245" s="1" t="s">
        <v>3600</v>
      </c>
      <c r="D9245" s="1" t="s">
        <v>28428</v>
      </c>
      <c r="E9245" s="1" t="s">
        <v>3981</v>
      </c>
      <c r="F9245" s="1" t="s">
        <v>30667</v>
      </c>
      <c r="G9245" s="1" t="s">
        <v>30668</v>
      </c>
      <c r="H9245" s="1" t="s">
        <v>3604</v>
      </c>
      <c r="I9245" s="1" t="s">
        <v>30669</v>
      </c>
      <c r="J9245" s="1" t="s">
        <v>3615</v>
      </c>
      <c r="K9245" s="1" t="s">
        <v>30670</v>
      </c>
      <c r="L9245" s="1"/>
      <c r="M9245" s="1"/>
    </row>
    <row x14ac:dyDescent="0.25" r="9246" customHeight="1" ht="18.75">
      <c r="A9246" s="1" t="s">
        <v>3598</v>
      </c>
      <c r="B9246" s="1" t="s">
        <v>3778</v>
      </c>
      <c r="C9246" s="1" t="s">
        <v>3600</v>
      </c>
      <c r="D9246" s="1" t="s">
        <v>28428</v>
      </c>
      <c r="E9246" s="1" t="s">
        <v>3981</v>
      </c>
      <c r="F9246" s="1" t="s">
        <v>30671</v>
      </c>
      <c r="G9246" s="1" t="s">
        <v>30672</v>
      </c>
      <c r="H9246" s="1" t="s">
        <v>3604</v>
      </c>
      <c r="I9246" s="1" t="s">
        <v>30673</v>
      </c>
      <c r="J9246" s="1" t="s">
        <v>3615</v>
      </c>
      <c r="K9246" s="1" t="s">
        <v>30674</v>
      </c>
      <c r="L9246" s="1"/>
      <c r="M9246" s="1"/>
    </row>
    <row x14ac:dyDescent="0.25" r="9247" customHeight="1" ht="18.75">
      <c r="A9247" s="1" t="s">
        <v>3598</v>
      </c>
      <c r="B9247" s="1" t="s">
        <v>9007</v>
      </c>
      <c r="C9247" s="1" t="s">
        <v>3600</v>
      </c>
      <c r="D9247" s="1" t="s">
        <v>3601</v>
      </c>
      <c r="E9247" s="1" t="s">
        <v>3893</v>
      </c>
      <c r="F9247" s="1" t="s">
        <v>30675</v>
      </c>
      <c r="G9247" s="1" t="s">
        <v>9009</v>
      </c>
      <c r="H9247" s="1" t="s">
        <v>3604</v>
      </c>
      <c r="I9247" s="1" t="s">
        <v>30676</v>
      </c>
      <c r="J9247" s="1" t="s">
        <v>3615</v>
      </c>
      <c r="K9247" s="1" t="s">
        <v>30677</v>
      </c>
      <c r="L9247" s="1"/>
      <c r="M9247" s="1"/>
    </row>
    <row x14ac:dyDescent="0.25" r="9248" customHeight="1" ht="18.75">
      <c r="A9248" s="1" t="s">
        <v>3598</v>
      </c>
      <c r="B9248" s="1" t="s">
        <v>19642</v>
      </c>
      <c r="C9248" s="1" t="s">
        <v>3600</v>
      </c>
      <c r="D9248" s="1" t="s">
        <v>28428</v>
      </c>
      <c r="E9248" s="1" t="s">
        <v>3664</v>
      </c>
      <c r="F9248" s="1" t="s">
        <v>30678</v>
      </c>
      <c r="G9248" s="1" t="s">
        <v>22053</v>
      </c>
      <c r="H9248" s="1" t="s">
        <v>3604</v>
      </c>
      <c r="I9248" s="1" t="s">
        <v>30679</v>
      </c>
      <c r="J9248" s="1" t="s">
        <v>3615</v>
      </c>
      <c r="K9248" s="1" t="s">
        <v>30680</v>
      </c>
      <c r="L9248" s="1"/>
      <c r="M9248" s="1"/>
    </row>
    <row x14ac:dyDescent="0.25" r="9249" customHeight="1" ht="18.75">
      <c r="A9249" s="1" t="s">
        <v>3598</v>
      </c>
      <c r="B9249" s="1" t="s">
        <v>9007</v>
      </c>
      <c r="C9249" s="1" t="s">
        <v>3600</v>
      </c>
      <c r="D9249" s="1" t="s">
        <v>3601</v>
      </c>
      <c r="E9249" s="1" t="s">
        <v>3893</v>
      </c>
      <c r="F9249" s="1" t="s">
        <v>30681</v>
      </c>
      <c r="G9249" s="1" t="s">
        <v>9009</v>
      </c>
      <c r="H9249" s="1" t="s">
        <v>3604</v>
      </c>
      <c r="I9249" s="1" t="s">
        <v>30682</v>
      </c>
      <c r="J9249" s="1" t="s">
        <v>3615</v>
      </c>
      <c r="K9249" s="1" t="s">
        <v>30683</v>
      </c>
      <c r="L9249" s="1"/>
      <c r="M9249" s="1"/>
    </row>
    <row x14ac:dyDescent="0.25" r="9250" customHeight="1" ht="18.75">
      <c r="A9250" s="1" t="s">
        <v>3598</v>
      </c>
      <c r="B9250" s="1" t="s">
        <v>9007</v>
      </c>
      <c r="C9250" s="1" t="s">
        <v>3600</v>
      </c>
      <c r="D9250" s="1" t="s">
        <v>3601</v>
      </c>
      <c r="E9250" s="1" t="s">
        <v>3893</v>
      </c>
      <c r="F9250" s="1" t="s">
        <v>30684</v>
      </c>
      <c r="G9250" s="1" t="s">
        <v>9009</v>
      </c>
      <c r="H9250" s="1" t="s">
        <v>3604</v>
      </c>
      <c r="I9250" s="1" t="s">
        <v>30685</v>
      </c>
      <c r="J9250" s="1" t="s">
        <v>3615</v>
      </c>
      <c r="K9250" s="1" t="s">
        <v>30686</v>
      </c>
      <c r="L9250" s="1"/>
      <c r="M9250" s="1"/>
    </row>
    <row x14ac:dyDescent="0.25" r="9251" customHeight="1" ht="18.75">
      <c r="A9251" s="1" t="s">
        <v>3598</v>
      </c>
      <c r="B9251" s="1" t="s">
        <v>9007</v>
      </c>
      <c r="C9251" s="1" t="s">
        <v>3600</v>
      </c>
      <c r="D9251" s="1" t="s">
        <v>3601</v>
      </c>
      <c r="E9251" s="1" t="s">
        <v>3893</v>
      </c>
      <c r="F9251" s="1" t="s">
        <v>30687</v>
      </c>
      <c r="G9251" s="1" t="s">
        <v>9009</v>
      </c>
      <c r="H9251" s="1" t="s">
        <v>3604</v>
      </c>
      <c r="I9251" s="1" t="s">
        <v>30688</v>
      </c>
      <c r="J9251" s="1" t="s">
        <v>3615</v>
      </c>
      <c r="K9251" s="1" t="s">
        <v>30689</v>
      </c>
      <c r="L9251" s="1"/>
      <c r="M9251" s="1"/>
    </row>
    <row x14ac:dyDescent="0.25" r="9252" customHeight="1" ht="18.75">
      <c r="A9252" s="1" t="s">
        <v>3598</v>
      </c>
      <c r="B9252" s="1" t="s">
        <v>9007</v>
      </c>
      <c r="C9252" s="1" t="s">
        <v>3600</v>
      </c>
      <c r="D9252" s="1" t="s">
        <v>3601</v>
      </c>
      <c r="E9252" s="1" t="s">
        <v>3893</v>
      </c>
      <c r="F9252" s="1" t="s">
        <v>30690</v>
      </c>
      <c r="G9252" s="1" t="s">
        <v>9009</v>
      </c>
      <c r="H9252" s="1" t="s">
        <v>3604</v>
      </c>
      <c r="I9252" s="1" t="s">
        <v>30691</v>
      </c>
      <c r="J9252" s="1" t="s">
        <v>3615</v>
      </c>
      <c r="K9252" s="1" t="s">
        <v>30692</v>
      </c>
      <c r="L9252" s="1"/>
      <c r="M9252" s="1"/>
    </row>
    <row x14ac:dyDescent="0.25" r="9253" customHeight="1" ht="18.75">
      <c r="A9253" s="1" t="s">
        <v>3598</v>
      </c>
      <c r="B9253" s="1" t="s">
        <v>9007</v>
      </c>
      <c r="C9253" s="1" t="s">
        <v>3600</v>
      </c>
      <c r="D9253" s="1" t="s">
        <v>3601</v>
      </c>
      <c r="E9253" s="1" t="s">
        <v>3893</v>
      </c>
      <c r="F9253" s="1" t="s">
        <v>30693</v>
      </c>
      <c r="G9253" s="1" t="s">
        <v>9009</v>
      </c>
      <c r="H9253" s="1" t="s">
        <v>3604</v>
      </c>
      <c r="I9253" s="1" t="s">
        <v>30694</v>
      </c>
      <c r="J9253" s="1" t="s">
        <v>3615</v>
      </c>
      <c r="K9253" s="1" t="s">
        <v>30695</v>
      </c>
      <c r="L9253" s="1"/>
      <c r="M9253" s="1"/>
    </row>
    <row x14ac:dyDescent="0.25" r="9254" customHeight="1" ht="18.75">
      <c r="A9254" s="1" t="s">
        <v>3598</v>
      </c>
      <c r="B9254" s="1" t="s">
        <v>19642</v>
      </c>
      <c r="C9254" s="1" t="s">
        <v>3600</v>
      </c>
      <c r="D9254" s="1" t="s">
        <v>28428</v>
      </c>
      <c r="E9254" s="1" t="s">
        <v>3664</v>
      </c>
      <c r="F9254" s="1" t="s">
        <v>30696</v>
      </c>
      <c r="G9254" s="1" t="s">
        <v>22049</v>
      </c>
      <c r="H9254" s="1" t="s">
        <v>3604</v>
      </c>
      <c r="I9254" s="1" t="s">
        <v>30697</v>
      </c>
      <c r="J9254" s="1" t="s">
        <v>3615</v>
      </c>
      <c r="K9254" s="1" t="s">
        <v>30698</v>
      </c>
      <c r="L9254" s="1"/>
      <c r="M9254" s="1"/>
    </row>
    <row x14ac:dyDescent="0.25" r="9255" customHeight="1" ht="18.75">
      <c r="A9255" s="1" t="s">
        <v>3598</v>
      </c>
      <c r="B9255" s="1" t="s">
        <v>9007</v>
      </c>
      <c r="C9255" s="1" t="s">
        <v>3600</v>
      </c>
      <c r="D9255" s="1" t="s">
        <v>3601</v>
      </c>
      <c r="E9255" s="1" t="s">
        <v>3893</v>
      </c>
      <c r="F9255" s="1" t="s">
        <v>30699</v>
      </c>
      <c r="G9255" s="1" t="s">
        <v>9009</v>
      </c>
      <c r="H9255" s="1" t="s">
        <v>3604</v>
      </c>
      <c r="I9255" s="1" t="s">
        <v>30700</v>
      </c>
      <c r="J9255" s="1" t="s">
        <v>3615</v>
      </c>
      <c r="K9255" s="1" t="s">
        <v>30701</v>
      </c>
      <c r="L9255" s="1"/>
      <c r="M9255" s="1"/>
    </row>
    <row x14ac:dyDescent="0.25" r="9256" customHeight="1" ht="18.75">
      <c r="A9256" s="1" t="s">
        <v>3598</v>
      </c>
      <c r="B9256" s="1" t="s">
        <v>19642</v>
      </c>
      <c r="C9256" s="1" t="s">
        <v>3600</v>
      </c>
      <c r="D9256" s="1" t="s">
        <v>28428</v>
      </c>
      <c r="E9256" s="1" t="s">
        <v>3664</v>
      </c>
      <c r="F9256" s="1" t="s">
        <v>30702</v>
      </c>
      <c r="G9256" s="1" t="s">
        <v>8680</v>
      </c>
      <c r="H9256" s="1" t="s">
        <v>3604</v>
      </c>
      <c r="I9256" s="1" t="s">
        <v>30703</v>
      </c>
      <c r="J9256" s="1" t="s">
        <v>3615</v>
      </c>
      <c r="K9256" s="1" t="s">
        <v>30704</v>
      </c>
      <c r="L9256" s="1"/>
      <c r="M9256" s="1"/>
    </row>
    <row x14ac:dyDescent="0.25" r="9257" customHeight="1" ht="18.75">
      <c r="A9257" s="1" t="s">
        <v>3598</v>
      </c>
      <c r="B9257" s="1" t="s">
        <v>9007</v>
      </c>
      <c r="C9257" s="1" t="s">
        <v>3600</v>
      </c>
      <c r="D9257" s="1" t="s">
        <v>3601</v>
      </c>
      <c r="E9257" s="1" t="s">
        <v>3893</v>
      </c>
      <c r="F9257" s="1" t="s">
        <v>30705</v>
      </c>
      <c r="G9257" s="1" t="s">
        <v>9009</v>
      </c>
      <c r="H9257" s="1" t="s">
        <v>3604</v>
      </c>
      <c r="I9257" s="1" t="s">
        <v>30706</v>
      </c>
      <c r="J9257" s="1" t="s">
        <v>3615</v>
      </c>
      <c r="K9257" s="1" t="s">
        <v>30707</v>
      </c>
      <c r="L9257" s="1"/>
      <c r="M9257" s="1"/>
    </row>
    <row x14ac:dyDescent="0.25" r="9258" customHeight="1" ht="18.75">
      <c r="A9258" s="1" t="s">
        <v>3598</v>
      </c>
      <c r="B9258" s="1" t="s">
        <v>19642</v>
      </c>
      <c r="C9258" s="1" t="s">
        <v>3600</v>
      </c>
      <c r="D9258" s="1" t="s">
        <v>28428</v>
      </c>
      <c r="E9258" s="1" t="s">
        <v>3664</v>
      </c>
      <c r="F9258" s="1" t="s">
        <v>30708</v>
      </c>
      <c r="G9258" s="1" t="s">
        <v>16641</v>
      </c>
      <c r="H9258" s="1" t="s">
        <v>3604</v>
      </c>
      <c r="I9258" s="1" t="s">
        <v>30709</v>
      </c>
      <c r="J9258" s="1" t="s">
        <v>3615</v>
      </c>
      <c r="K9258" s="1" t="s">
        <v>30710</v>
      </c>
      <c r="L9258" s="1"/>
      <c r="M9258" s="1"/>
    </row>
    <row x14ac:dyDescent="0.25" r="9259" customHeight="1" ht="18.75">
      <c r="A9259" s="1" t="s">
        <v>3598</v>
      </c>
      <c r="B9259" s="1" t="s">
        <v>14123</v>
      </c>
      <c r="C9259" s="1" t="s">
        <v>3600</v>
      </c>
      <c r="D9259" s="1" t="s">
        <v>3601</v>
      </c>
      <c r="E9259" s="1" t="s">
        <v>3893</v>
      </c>
      <c r="F9259" s="1" t="s">
        <v>30711</v>
      </c>
      <c r="G9259" s="1" t="s">
        <v>14125</v>
      </c>
      <c r="H9259" s="1" t="s">
        <v>3604</v>
      </c>
      <c r="I9259" s="1" t="s">
        <v>30712</v>
      </c>
      <c r="J9259" s="1" t="s">
        <v>3615</v>
      </c>
      <c r="K9259" s="1" t="s">
        <v>30713</v>
      </c>
      <c r="L9259" s="1"/>
      <c r="M9259" s="1"/>
    </row>
    <row x14ac:dyDescent="0.25" r="9260" customHeight="1" ht="18.75">
      <c r="A9260" s="1" t="s">
        <v>3598</v>
      </c>
      <c r="B9260" s="1" t="s">
        <v>13758</v>
      </c>
      <c r="C9260" s="1" t="s">
        <v>3600</v>
      </c>
      <c r="D9260" s="1" t="s">
        <v>28428</v>
      </c>
      <c r="E9260" s="1" t="s">
        <v>3893</v>
      </c>
      <c r="F9260" s="1" t="s">
        <v>30714</v>
      </c>
      <c r="G9260" s="1" t="s">
        <v>3603</v>
      </c>
      <c r="H9260" s="1" t="s">
        <v>3604</v>
      </c>
      <c r="I9260" s="1" t="s">
        <v>30715</v>
      </c>
      <c r="J9260" s="1" t="s">
        <v>3615</v>
      </c>
      <c r="K9260" s="1" t="s">
        <v>30716</v>
      </c>
      <c r="L9260" s="1"/>
      <c r="M9260" s="1"/>
    </row>
    <row x14ac:dyDescent="0.25" r="9261" customHeight="1" ht="18.75">
      <c r="A9261" s="1" t="s">
        <v>3598</v>
      </c>
      <c r="B9261" s="1" t="s">
        <v>14123</v>
      </c>
      <c r="C9261" s="1" t="s">
        <v>3600</v>
      </c>
      <c r="D9261" s="1" t="s">
        <v>3601</v>
      </c>
      <c r="E9261" s="1" t="s">
        <v>3893</v>
      </c>
      <c r="F9261" s="1" t="s">
        <v>30717</v>
      </c>
      <c r="G9261" s="1" t="s">
        <v>14125</v>
      </c>
      <c r="H9261" s="1" t="s">
        <v>3604</v>
      </c>
      <c r="I9261" s="1" t="s">
        <v>30718</v>
      </c>
      <c r="J9261" s="1" t="s">
        <v>3615</v>
      </c>
      <c r="K9261" s="1" t="s">
        <v>30719</v>
      </c>
      <c r="L9261" s="1"/>
      <c r="M9261" s="1"/>
    </row>
    <row x14ac:dyDescent="0.25" r="9262" customHeight="1" ht="18.75">
      <c r="A9262" s="1" t="s">
        <v>3598</v>
      </c>
      <c r="B9262" s="1" t="s">
        <v>9344</v>
      </c>
      <c r="C9262" s="1" t="s">
        <v>3600</v>
      </c>
      <c r="D9262" s="1" t="s">
        <v>28428</v>
      </c>
      <c r="E9262" s="1" t="s">
        <v>3664</v>
      </c>
      <c r="F9262" s="1" t="s">
        <v>30720</v>
      </c>
      <c r="G9262" s="1" t="s">
        <v>30721</v>
      </c>
      <c r="H9262" s="1" t="s">
        <v>3604</v>
      </c>
      <c r="I9262" s="1" t="s">
        <v>30722</v>
      </c>
      <c r="J9262" s="1" t="s">
        <v>3615</v>
      </c>
      <c r="K9262" s="1" t="s">
        <v>30723</v>
      </c>
      <c r="L9262" s="1"/>
      <c r="M9262" s="1"/>
    </row>
    <row x14ac:dyDescent="0.25" r="9263" customHeight="1" ht="18.75">
      <c r="A9263" s="1" t="s">
        <v>3598</v>
      </c>
      <c r="B9263" s="1" t="s">
        <v>13742</v>
      </c>
      <c r="C9263" s="1" t="s">
        <v>3600</v>
      </c>
      <c r="D9263" s="1" t="s">
        <v>3601</v>
      </c>
      <c r="E9263" s="1" t="s">
        <v>3893</v>
      </c>
      <c r="F9263" s="1" t="s">
        <v>30724</v>
      </c>
      <c r="G9263" s="1" t="s">
        <v>15665</v>
      </c>
      <c r="H9263" s="1" t="s">
        <v>3604</v>
      </c>
      <c r="I9263" s="1" t="s">
        <v>30725</v>
      </c>
      <c r="J9263" s="1" t="s">
        <v>3615</v>
      </c>
      <c r="K9263" s="1" t="s">
        <v>30726</v>
      </c>
      <c r="L9263" s="1"/>
      <c r="M9263" s="1"/>
    </row>
    <row x14ac:dyDescent="0.25" r="9264" customHeight="1" ht="18.75">
      <c r="A9264" s="1" t="s">
        <v>3598</v>
      </c>
      <c r="B9264" s="1" t="s">
        <v>9344</v>
      </c>
      <c r="C9264" s="1" t="s">
        <v>3600</v>
      </c>
      <c r="D9264" s="1" t="s">
        <v>28428</v>
      </c>
      <c r="E9264" s="1" t="s">
        <v>3664</v>
      </c>
      <c r="F9264" s="1" t="s">
        <v>30727</v>
      </c>
      <c r="G9264" s="1" t="s">
        <v>30728</v>
      </c>
      <c r="H9264" s="1" t="s">
        <v>3604</v>
      </c>
      <c r="I9264" s="1" t="s">
        <v>30729</v>
      </c>
      <c r="J9264" s="1" t="s">
        <v>3615</v>
      </c>
      <c r="K9264" s="1" t="s">
        <v>30730</v>
      </c>
      <c r="L9264" s="1"/>
      <c r="M9264" s="1"/>
    </row>
    <row x14ac:dyDescent="0.25" r="9265" customHeight="1" ht="18.75">
      <c r="A9265" s="1" t="s">
        <v>3598</v>
      </c>
      <c r="B9265" s="1" t="s">
        <v>13742</v>
      </c>
      <c r="C9265" s="1" t="s">
        <v>3600</v>
      </c>
      <c r="D9265" s="1" t="s">
        <v>3601</v>
      </c>
      <c r="E9265" s="1" t="s">
        <v>3893</v>
      </c>
      <c r="F9265" s="1" t="s">
        <v>30731</v>
      </c>
      <c r="G9265" s="1" t="s">
        <v>15665</v>
      </c>
      <c r="H9265" s="1" t="s">
        <v>3604</v>
      </c>
      <c r="I9265" s="1" t="s">
        <v>30732</v>
      </c>
      <c r="J9265" s="1" t="s">
        <v>3615</v>
      </c>
      <c r="K9265" s="1" t="s">
        <v>30733</v>
      </c>
      <c r="L9265" s="1"/>
      <c r="M9265" s="1"/>
    </row>
    <row x14ac:dyDescent="0.25" r="9266" customHeight="1" ht="18.75">
      <c r="A9266" s="1" t="s">
        <v>3598</v>
      </c>
      <c r="B9266" s="1" t="s">
        <v>30734</v>
      </c>
      <c r="C9266" s="1" t="s">
        <v>3600</v>
      </c>
      <c r="D9266" s="1" t="s">
        <v>28428</v>
      </c>
      <c r="E9266" s="1" t="s">
        <v>3981</v>
      </c>
      <c r="F9266" s="1" t="s">
        <v>30735</v>
      </c>
      <c r="G9266" s="1" t="s">
        <v>30736</v>
      </c>
      <c r="H9266" s="1" t="s">
        <v>3604</v>
      </c>
      <c r="I9266" s="1" t="s">
        <v>30737</v>
      </c>
      <c r="J9266" s="1" t="s">
        <v>3615</v>
      </c>
      <c r="K9266" s="1" t="s">
        <v>30738</v>
      </c>
      <c r="L9266" s="1"/>
      <c r="M9266" s="1"/>
    </row>
    <row x14ac:dyDescent="0.25" r="9267" customHeight="1" ht="18.75">
      <c r="A9267" s="1" t="s">
        <v>3598</v>
      </c>
      <c r="B9267" s="1" t="s">
        <v>5260</v>
      </c>
      <c r="C9267" s="1" t="s">
        <v>3600</v>
      </c>
      <c r="D9267" s="1" t="s">
        <v>3601</v>
      </c>
      <c r="E9267" s="1" t="s">
        <v>3893</v>
      </c>
      <c r="F9267" s="1" t="s">
        <v>30739</v>
      </c>
      <c r="G9267" s="1" t="s">
        <v>17246</v>
      </c>
      <c r="H9267" s="1" t="s">
        <v>3604</v>
      </c>
      <c r="I9267" s="1" t="s">
        <v>30740</v>
      </c>
      <c r="J9267" s="1" t="s">
        <v>3615</v>
      </c>
      <c r="K9267" s="1" t="s">
        <v>30741</v>
      </c>
      <c r="L9267" s="1"/>
      <c r="M9267" s="1"/>
    </row>
    <row x14ac:dyDescent="0.25" r="9268" customHeight="1" ht="18.75">
      <c r="A9268" s="1" t="s">
        <v>3598</v>
      </c>
      <c r="B9268" s="1" t="s">
        <v>30734</v>
      </c>
      <c r="C9268" s="1" t="s">
        <v>3600</v>
      </c>
      <c r="D9268" s="1" t="s">
        <v>28428</v>
      </c>
      <c r="E9268" s="1" t="s">
        <v>3981</v>
      </c>
      <c r="F9268" s="1" t="s">
        <v>30742</v>
      </c>
      <c r="G9268" s="1" t="s">
        <v>30743</v>
      </c>
      <c r="H9268" s="1" t="s">
        <v>3604</v>
      </c>
      <c r="I9268" s="1" t="s">
        <v>30744</v>
      </c>
      <c r="J9268" s="1" t="s">
        <v>3615</v>
      </c>
      <c r="K9268" s="1" t="s">
        <v>30745</v>
      </c>
      <c r="L9268" s="1"/>
      <c r="M9268" s="1"/>
    </row>
    <row x14ac:dyDescent="0.25" r="9269" customHeight="1" ht="18.75">
      <c r="A9269" s="1" t="s">
        <v>3598</v>
      </c>
      <c r="B9269" s="1" t="s">
        <v>5260</v>
      </c>
      <c r="C9269" s="1" t="s">
        <v>3600</v>
      </c>
      <c r="D9269" s="1" t="s">
        <v>3601</v>
      </c>
      <c r="E9269" s="1" t="s">
        <v>3893</v>
      </c>
      <c r="F9269" s="1" t="s">
        <v>30746</v>
      </c>
      <c r="G9269" s="1" t="s">
        <v>17246</v>
      </c>
      <c r="H9269" s="1" t="s">
        <v>3604</v>
      </c>
      <c r="I9269" s="1" t="s">
        <v>30747</v>
      </c>
      <c r="J9269" s="1" t="s">
        <v>3615</v>
      </c>
      <c r="K9269" s="1" t="s">
        <v>30748</v>
      </c>
      <c r="L9269" s="1"/>
      <c r="M9269" s="1"/>
    </row>
    <row x14ac:dyDescent="0.25" r="9270" customHeight="1" ht="18.75">
      <c r="A9270" s="1" t="s">
        <v>3598</v>
      </c>
      <c r="B9270" s="1" t="s">
        <v>14108</v>
      </c>
      <c r="C9270" s="1" t="s">
        <v>3600</v>
      </c>
      <c r="D9270" s="1" t="s">
        <v>28428</v>
      </c>
      <c r="E9270" s="1" t="s">
        <v>3664</v>
      </c>
      <c r="F9270" s="1" t="s">
        <v>30749</v>
      </c>
      <c r="G9270" s="1" t="s">
        <v>22049</v>
      </c>
      <c r="H9270" s="1" t="s">
        <v>3604</v>
      </c>
      <c r="I9270" s="1" t="s">
        <v>30750</v>
      </c>
      <c r="J9270" s="1" t="s">
        <v>3615</v>
      </c>
      <c r="K9270" s="1" t="s">
        <v>30751</v>
      </c>
      <c r="L9270" s="1"/>
      <c r="M9270" s="1"/>
    </row>
    <row x14ac:dyDescent="0.25" r="9271" customHeight="1" ht="18.75">
      <c r="A9271" s="1" t="s">
        <v>3598</v>
      </c>
      <c r="B9271" s="1" t="s">
        <v>6954</v>
      </c>
      <c r="C9271" s="1" t="s">
        <v>3600</v>
      </c>
      <c r="D9271" s="1" t="s">
        <v>3601</v>
      </c>
      <c r="E9271" s="1" t="s">
        <v>3893</v>
      </c>
      <c r="F9271" s="1" t="s">
        <v>30752</v>
      </c>
      <c r="G9271" s="1" t="s">
        <v>14139</v>
      </c>
      <c r="H9271" s="1" t="s">
        <v>3604</v>
      </c>
      <c r="I9271" s="1" t="s">
        <v>30753</v>
      </c>
      <c r="J9271" s="1" t="s">
        <v>3615</v>
      </c>
      <c r="K9271" s="1" t="s">
        <v>30754</v>
      </c>
      <c r="L9271" s="1"/>
      <c r="M9271" s="1"/>
    </row>
    <row x14ac:dyDescent="0.25" r="9272" customHeight="1" ht="18.75">
      <c r="A9272" s="1" t="s">
        <v>3598</v>
      </c>
      <c r="B9272" s="1" t="s">
        <v>14108</v>
      </c>
      <c r="C9272" s="1" t="s">
        <v>3600</v>
      </c>
      <c r="D9272" s="1" t="s">
        <v>28428</v>
      </c>
      <c r="E9272" s="1" t="s">
        <v>3664</v>
      </c>
      <c r="F9272" s="1" t="s">
        <v>30755</v>
      </c>
      <c r="G9272" s="1" t="s">
        <v>30661</v>
      </c>
      <c r="H9272" s="1" t="s">
        <v>3604</v>
      </c>
      <c r="I9272" s="1" t="s">
        <v>30756</v>
      </c>
      <c r="J9272" s="1" t="s">
        <v>3615</v>
      </c>
      <c r="K9272" s="1" t="s">
        <v>30757</v>
      </c>
      <c r="L9272" s="1"/>
      <c r="M9272" s="1"/>
    </row>
    <row x14ac:dyDescent="0.25" r="9273" customHeight="1" ht="18.75">
      <c r="A9273" s="1" t="s">
        <v>3598</v>
      </c>
      <c r="B9273" s="1" t="s">
        <v>6954</v>
      </c>
      <c r="C9273" s="1" t="s">
        <v>3600</v>
      </c>
      <c r="D9273" s="1" t="s">
        <v>3601</v>
      </c>
      <c r="E9273" s="1" t="s">
        <v>3893</v>
      </c>
      <c r="F9273" s="1" t="s">
        <v>30758</v>
      </c>
      <c r="G9273" s="1" t="s">
        <v>14139</v>
      </c>
      <c r="H9273" s="1" t="s">
        <v>3604</v>
      </c>
      <c r="I9273" s="1" t="s">
        <v>30759</v>
      </c>
      <c r="J9273" s="1" t="s">
        <v>3615</v>
      </c>
      <c r="K9273" s="1" t="s">
        <v>30760</v>
      </c>
      <c r="L9273" s="1"/>
      <c r="M9273" s="1"/>
    </row>
    <row x14ac:dyDescent="0.25" r="9274" customHeight="1" ht="18.75">
      <c r="A9274" s="1" t="s">
        <v>3598</v>
      </c>
      <c r="B9274" s="1" t="s">
        <v>14104</v>
      </c>
      <c r="C9274" s="1" t="s">
        <v>3600</v>
      </c>
      <c r="D9274" s="1" t="s">
        <v>28428</v>
      </c>
      <c r="E9274" s="1" t="s">
        <v>3664</v>
      </c>
      <c r="F9274" s="1" t="s">
        <v>30761</v>
      </c>
      <c r="G9274" s="1" t="s">
        <v>30365</v>
      </c>
      <c r="H9274" s="1" t="s">
        <v>3604</v>
      </c>
      <c r="I9274" s="1" t="s">
        <v>30762</v>
      </c>
      <c r="J9274" s="1" t="s">
        <v>3615</v>
      </c>
      <c r="K9274" s="1" t="s">
        <v>30763</v>
      </c>
      <c r="L9274" s="1"/>
      <c r="M9274" s="1"/>
    </row>
    <row x14ac:dyDescent="0.25" r="9275" customHeight="1" ht="18.75">
      <c r="A9275" s="1" t="s">
        <v>3598</v>
      </c>
      <c r="B9275" s="1" t="s">
        <v>14104</v>
      </c>
      <c r="C9275" s="1" t="s">
        <v>3600</v>
      </c>
      <c r="D9275" s="1" t="s">
        <v>3601</v>
      </c>
      <c r="E9275" s="1" t="s">
        <v>3893</v>
      </c>
      <c r="F9275" s="1" t="s">
        <v>30764</v>
      </c>
      <c r="G9275" s="1" t="s">
        <v>14130</v>
      </c>
      <c r="H9275" s="1" t="s">
        <v>3604</v>
      </c>
      <c r="I9275" s="1" t="s">
        <v>30765</v>
      </c>
      <c r="J9275" s="1" t="s">
        <v>3615</v>
      </c>
      <c r="K9275" s="1" t="s">
        <v>30766</v>
      </c>
      <c r="L9275" s="1"/>
      <c r="M9275" s="1"/>
    </row>
    <row x14ac:dyDescent="0.25" r="9276" customHeight="1" ht="18.75">
      <c r="A9276" s="1" t="s">
        <v>3598</v>
      </c>
      <c r="B9276" s="1" t="s">
        <v>14115</v>
      </c>
      <c r="C9276" s="1" t="s">
        <v>3600</v>
      </c>
      <c r="D9276" s="1" t="s">
        <v>28428</v>
      </c>
      <c r="E9276" s="1" t="s">
        <v>3981</v>
      </c>
      <c r="F9276" s="1" t="s">
        <v>30767</v>
      </c>
      <c r="G9276" s="1" t="s">
        <v>30768</v>
      </c>
      <c r="H9276" s="1" t="s">
        <v>3604</v>
      </c>
      <c r="I9276" s="1" t="s">
        <v>30769</v>
      </c>
      <c r="J9276" s="1" t="s">
        <v>3615</v>
      </c>
      <c r="K9276" s="1" t="s">
        <v>30770</v>
      </c>
      <c r="L9276" s="1"/>
      <c r="M9276" s="1"/>
    </row>
    <row x14ac:dyDescent="0.25" r="9277" customHeight="1" ht="18.75">
      <c r="A9277" s="1" t="s">
        <v>3598</v>
      </c>
      <c r="B9277" s="1" t="s">
        <v>14104</v>
      </c>
      <c r="C9277" s="1" t="s">
        <v>3600</v>
      </c>
      <c r="D9277" s="1" t="s">
        <v>3601</v>
      </c>
      <c r="E9277" s="1" t="s">
        <v>3893</v>
      </c>
      <c r="F9277" s="1" t="s">
        <v>30771</v>
      </c>
      <c r="G9277" s="1" t="s">
        <v>14130</v>
      </c>
      <c r="H9277" s="1" t="s">
        <v>3604</v>
      </c>
      <c r="I9277" s="1" t="s">
        <v>30772</v>
      </c>
      <c r="J9277" s="1" t="s">
        <v>3615</v>
      </c>
      <c r="K9277" s="1" t="s">
        <v>30773</v>
      </c>
      <c r="L9277" s="1"/>
      <c r="M9277" s="1"/>
    </row>
    <row x14ac:dyDescent="0.25" r="9278" customHeight="1" ht="18.75">
      <c r="A9278" s="1" t="s">
        <v>3598</v>
      </c>
      <c r="B9278" s="1" t="s">
        <v>18227</v>
      </c>
      <c r="C9278" s="1" t="s">
        <v>3600</v>
      </c>
      <c r="D9278" s="1" t="s">
        <v>28428</v>
      </c>
      <c r="E9278" s="1" t="s">
        <v>3664</v>
      </c>
      <c r="F9278" s="1" t="s">
        <v>30774</v>
      </c>
      <c r="G9278" s="1" t="s">
        <v>18217</v>
      </c>
      <c r="H9278" s="1" t="s">
        <v>3604</v>
      </c>
      <c r="I9278" s="1" t="s">
        <v>30775</v>
      </c>
      <c r="J9278" s="1" t="s">
        <v>3615</v>
      </c>
      <c r="K9278" s="1" t="s">
        <v>30776</v>
      </c>
      <c r="L9278" s="1"/>
      <c r="M9278" s="1"/>
    </row>
    <row x14ac:dyDescent="0.25" r="9279" customHeight="1" ht="18.75">
      <c r="A9279" s="1" t="s">
        <v>3598</v>
      </c>
      <c r="B9279" s="1" t="s">
        <v>9470</v>
      </c>
      <c r="C9279" s="1" t="s">
        <v>3600</v>
      </c>
      <c r="D9279" s="1" t="s">
        <v>3601</v>
      </c>
      <c r="E9279" s="1" t="s">
        <v>3893</v>
      </c>
      <c r="F9279" s="1" t="s">
        <v>30777</v>
      </c>
      <c r="G9279" s="1" t="s">
        <v>30778</v>
      </c>
      <c r="H9279" s="1" t="s">
        <v>3604</v>
      </c>
      <c r="I9279" s="1" t="s">
        <v>30779</v>
      </c>
      <c r="J9279" s="1" t="s">
        <v>3615</v>
      </c>
      <c r="K9279" s="1" t="s">
        <v>30780</v>
      </c>
      <c r="L9279" s="1"/>
      <c r="M9279" s="1"/>
    </row>
    <row x14ac:dyDescent="0.25" r="9280" customHeight="1" ht="18.75">
      <c r="A9280" s="1" t="s">
        <v>3598</v>
      </c>
      <c r="B9280" s="1" t="s">
        <v>18227</v>
      </c>
      <c r="C9280" s="1" t="s">
        <v>3600</v>
      </c>
      <c r="D9280" s="1" t="s">
        <v>28428</v>
      </c>
      <c r="E9280" s="1" t="s">
        <v>3664</v>
      </c>
      <c r="F9280" s="1" t="s">
        <v>30781</v>
      </c>
      <c r="G9280" s="1" t="s">
        <v>22190</v>
      </c>
      <c r="H9280" s="1" t="s">
        <v>3604</v>
      </c>
      <c r="I9280" s="1" t="s">
        <v>30782</v>
      </c>
      <c r="J9280" s="1" t="s">
        <v>3615</v>
      </c>
      <c r="K9280" s="1" t="s">
        <v>30783</v>
      </c>
      <c r="L9280" s="1"/>
      <c r="M9280" s="1"/>
    </row>
    <row x14ac:dyDescent="0.25" r="9281" customHeight="1" ht="18.75">
      <c r="A9281" s="1" t="s">
        <v>3598</v>
      </c>
      <c r="B9281" s="1" t="s">
        <v>9470</v>
      </c>
      <c r="C9281" s="1" t="s">
        <v>3600</v>
      </c>
      <c r="D9281" s="1" t="s">
        <v>3601</v>
      </c>
      <c r="E9281" s="1" t="s">
        <v>3893</v>
      </c>
      <c r="F9281" s="1" t="s">
        <v>30784</v>
      </c>
      <c r="G9281" s="1" t="s">
        <v>30778</v>
      </c>
      <c r="H9281" s="1" t="s">
        <v>3604</v>
      </c>
      <c r="I9281" s="1" t="s">
        <v>30785</v>
      </c>
      <c r="J9281" s="1" t="s">
        <v>3615</v>
      </c>
      <c r="K9281" s="1" t="s">
        <v>30786</v>
      </c>
      <c r="L9281" s="1"/>
      <c r="M9281" s="1"/>
    </row>
    <row x14ac:dyDescent="0.25" r="9282" customHeight="1" ht="18.75">
      <c r="A9282" s="1" t="s">
        <v>3598</v>
      </c>
      <c r="B9282" s="1" t="s">
        <v>13758</v>
      </c>
      <c r="C9282" s="1" t="s">
        <v>3600</v>
      </c>
      <c r="D9282" s="1" t="s">
        <v>3601</v>
      </c>
      <c r="E9282" s="1" t="s">
        <v>3893</v>
      </c>
      <c r="F9282" s="1" t="s">
        <v>30787</v>
      </c>
      <c r="G9282" s="1" t="s">
        <v>15822</v>
      </c>
      <c r="H9282" s="1" t="s">
        <v>3604</v>
      </c>
      <c r="I9282" s="1" t="s">
        <v>30788</v>
      </c>
      <c r="J9282" s="1" t="s">
        <v>3615</v>
      </c>
      <c r="K9282" s="1" t="s">
        <v>30789</v>
      </c>
      <c r="L9282" s="1"/>
      <c r="M9282" s="1"/>
    </row>
    <row x14ac:dyDescent="0.25" r="9283" customHeight="1" ht="18.75">
      <c r="A9283" s="1" t="s">
        <v>3598</v>
      </c>
      <c r="B9283" s="1" t="s">
        <v>13758</v>
      </c>
      <c r="C9283" s="1" t="s">
        <v>3600</v>
      </c>
      <c r="D9283" s="1" t="s">
        <v>3601</v>
      </c>
      <c r="E9283" s="1" t="s">
        <v>3893</v>
      </c>
      <c r="F9283" s="1" t="s">
        <v>30790</v>
      </c>
      <c r="G9283" s="1" t="s">
        <v>15822</v>
      </c>
      <c r="H9283" s="1" t="s">
        <v>3604</v>
      </c>
      <c r="I9283" s="1" t="s">
        <v>30791</v>
      </c>
      <c r="J9283" s="1" t="s">
        <v>3615</v>
      </c>
      <c r="K9283" s="1" t="s">
        <v>30792</v>
      </c>
      <c r="L9283" s="1"/>
      <c r="M9283" s="1"/>
    </row>
    <row x14ac:dyDescent="0.25" r="9284" customHeight="1" ht="18.75">
      <c r="A9284" s="1" t="s">
        <v>3598</v>
      </c>
      <c r="B9284" s="1" t="s">
        <v>4689</v>
      </c>
      <c r="C9284" s="1" t="s">
        <v>3600</v>
      </c>
      <c r="D9284" s="1" t="s">
        <v>3601</v>
      </c>
      <c r="E9284" s="1" t="s">
        <v>3893</v>
      </c>
      <c r="F9284" s="1" t="s">
        <v>30793</v>
      </c>
      <c r="G9284" s="1" t="s">
        <v>7853</v>
      </c>
      <c r="H9284" s="1" t="s">
        <v>3604</v>
      </c>
      <c r="I9284" s="1" t="s">
        <v>30794</v>
      </c>
      <c r="J9284" s="1" t="s">
        <v>3615</v>
      </c>
      <c r="K9284" s="1" t="s">
        <v>30795</v>
      </c>
      <c r="L9284" s="1"/>
      <c r="M9284" s="1"/>
    </row>
    <row x14ac:dyDescent="0.25" r="9285" customHeight="1" ht="18.75">
      <c r="A9285" s="1" t="s">
        <v>3598</v>
      </c>
      <c r="B9285" s="1" t="s">
        <v>4689</v>
      </c>
      <c r="C9285" s="1" t="s">
        <v>3600</v>
      </c>
      <c r="D9285" s="1" t="s">
        <v>3601</v>
      </c>
      <c r="E9285" s="1" t="s">
        <v>3893</v>
      </c>
      <c r="F9285" s="1" t="s">
        <v>30796</v>
      </c>
      <c r="G9285" s="1" t="s">
        <v>7853</v>
      </c>
      <c r="H9285" s="1" t="s">
        <v>3604</v>
      </c>
      <c r="I9285" s="1" t="s">
        <v>30797</v>
      </c>
      <c r="J9285" s="1" t="s">
        <v>3615</v>
      </c>
      <c r="K9285" s="1" t="s">
        <v>30798</v>
      </c>
      <c r="L9285" s="1"/>
      <c r="M9285" s="1"/>
    </row>
    <row x14ac:dyDescent="0.25" r="9286" customHeight="1" ht="18.75">
      <c r="A9286" s="1" t="s">
        <v>3598</v>
      </c>
      <c r="B9286" s="1" t="s">
        <v>5260</v>
      </c>
      <c r="C9286" s="1" t="s">
        <v>3600</v>
      </c>
      <c r="D9286" s="1" t="s">
        <v>3601</v>
      </c>
      <c r="E9286" s="1" t="s">
        <v>3893</v>
      </c>
      <c r="F9286" s="1" t="s">
        <v>30799</v>
      </c>
      <c r="G9286" s="1" t="s">
        <v>17246</v>
      </c>
      <c r="H9286" s="1" t="s">
        <v>3604</v>
      </c>
      <c r="I9286" s="1" t="s">
        <v>30800</v>
      </c>
      <c r="J9286" s="1" t="s">
        <v>3615</v>
      </c>
      <c r="K9286" s="1" t="s">
        <v>30801</v>
      </c>
      <c r="L9286" s="1"/>
      <c r="M9286" s="1"/>
    </row>
    <row x14ac:dyDescent="0.25" r="9287" customHeight="1" ht="18.75">
      <c r="A9287" s="1" t="s">
        <v>3598</v>
      </c>
      <c r="B9287" s="1" t="s">
        <v>5260</v>
      </c>
      <c r="C9287" s="1" t="s">
        <v>3600</v>
      </c>
      <c r="D9287" s="1" t="s">
        <v>3601</v>
      </c>
      <c r="E9287" s="1" t="s">
        <v>3893</v>
      </c>
      <c r="F9287" s="1" t="s">
        <v>30802</v>
      </c>
      <c r="G9287" s="1" t="s">
        <v>17246</v>
      </c>
      <c r="H9287" s="1" t="s">
        <v>3604</v>
      </c>
      <c r="I9287" s="1" t="s">
        <v>30803</v>
      </c>
      <c r="J9287" s="1" t="s">
        <v>3615</v>
      </c>
      <c r="K9287" s="1" t="s">
        <v>30804</v>
      </c>
      <c r="L9287" s="1"/>
      <c r="M9287" s="1"/>
    </row>
    <row x14ac:dyDescent="0.25" r="9288" customHeight="1" ht="18.75">
      <c r="A9288" s="1" t="s">
        <v>3598</v>
      </c>
      <c r="B9288" s="1" t="s">
        <v>3814</v>
      </c>
      <c r="C9288" s="1" t="s">
        <v>3600</v>
      </c>
      <c r="D9288" s="1" t="s">
        <v>28428</v>
      </c>
      <c r="E9288" s="1" t="s">
        <v>30805</v>
      </c>
      <c r="F9288" s="1" t="s">
        <v>30806</v>
      </c>
      <c r="G9288" s="1" t="s">
        <v>30807</v>
      </c>
      <c r="H9288" s="1" t="s">
        <v>3604</v>
      </c>
      <c r="I9288" s="1" t="s">
        <v>30808</v>
      </c>
      <c r="J9288" s="1" t="s">
        <v>3615</v>
      </c>
      <c r="K9288" s="1" t="s">
        <v>30809</v>
      </c>
      <c r="L9288" s="1"/>
      <c r="M9288" s="1"/>
    </row>
    <row x14ac:dyDescent="0.25" r="9289" customHeight="1" ht="18.75">
      <c r="A9289" s="1" t="s">
        <v>3598</v>
      </c>
      <c r="B9289" s="1" t="s">
        <v>5260</v>
      </c>
      <c r="C9289" s="1" t="s">
        <v>3600</v>
      </c>
      <c r="D9289" s="1" t="s">
        <v>3601</v>
      </c>
      <c r="E9289" s="1" t="s">
        <v>3893</v>
      </c>
      <c r="F9289" s="1" t="s">
        <v>30810</v>
      </c>
      <c r="G9289" s="1" t="s">
        <v>17246</v>
      </c>
      <c r="H9289" s="1" t="s">
        <v>3604</v>
      </c>
      <c r="I9289" s="1" t="s">
        <v>30811</v>
      </c>
      <c r="J9289" s="1" t="s">
        <v>3615</v>
      </c>
      <c r="K9289" s="1" t="s">
        <v>30812</v>
      </c>
      <c r="L9289" s="1"/>
      <c r="M9289" s="1"/>
    </row>
    <row x14ac:dyDescent="0.25" r="9290" customHeight="1" ht="18.75">
      <c r="A9290" s="1" t="s">
        <v>3598</v>
      </c>
      <c r="B9290" s="1" t="s">
        <v>5260</v>
      </c>
      <c r="C9290" s="1" t="s">
        <v>3600</v>
      </c>
      <c r="D9290" s="1" t="s">
        <v>3601</v>
      </c>
      <c r="E9290" s="1" t="s">
        <v>3893</v>
      </c>
      <c r="F9290" s="1" t="s">
        <v>30813</v>
      </c>
      <c r="G9290" s="1" t="s">
        <v>17246</v>
      </c>
      <c r="H9290" s="1" t="s">
        <v>3604</v>
      </c>
      <c r="I9290" s="1" t="s">
        <v>30814</v>
      </c>
      <c r="J9290" s="1" t="s">
        <v>3615</v>
      </c>
      <c r="K9290" s="1" t="s">
        <v>30815</v>
      </c>
      <c r="L9290" s="1"/>
      <c r="M9290" s="1"/>
    </row>
    <row x14ac:dyDescent="0.25" r="9291" customHeight="1" ht="18.75">
      <c r="A9291" s="1" t="s">
        <v>3598</v>
      </c>
      <c r="B9291" s="1" t="s">
        <v>13758</v>
      </c>
      <c r="C9291" s="1" t="s">
        <v>3600</v>
      </c>
      <c r="D9291" s="1" t="s">
        <v>3601</v>
      </c>
      <c r="E9291" s="1" t="s">
        <v>3893</v>
      </c>
      <c r="F9291" s="1" t="s">
        <v>30816</v>
      </c>
      <c r="G9291" s="1" t="s">
        <v>15822</v>
      </c>
      <c r="H9291" s="1" t="s">
        <v>3604</v>
      </c>
      <c r="I9291" s="1" t="s">
        <v>30817</v>
      </c>
      <c r="J9291" s="1" t="s">
        <v>3615</v>
      </c>
      <c r="K9291" s="1" t="s">
        <v>30818</v>
      </c>
      <c r="L9291" s="1"/>
      <c r="M9291" s="1"/>
    </row>
    <row x14ac:dyDescent="0.25" r="9292" customHeight="1" ht="18.75">
      <c r="A9292" s="1" t="s">
        <v>3598</v>
      </c>
      <c r="B9292" s="1" t="s">
        <v>13758</v>
      </c>
      <c r="C9292" s="1" t="s">
        <v>3600</v>
      </c>
      <c r="D9292" s="1" t="s">
        <v>3601</v>
      </c>
      <c r="E9292" s="1" t="s">
        <v>3893</v>
      </c>
      <c r="F9292" s="1" t="s">
        <v>30819</v>
      </c>
      <c r="G9292" s="1" t="s">
        <v>15822</v>
      </c>
      <c r="H9292" s="1" t="s">
        <v>3604</v>
      </c>
      <c r="I9292" s="1" t="s">
        <v>30820</v>
      </c>
      <c r="J9292" s="1" t="s">
        <v>3615</v>
      </c>
      <c r="K9292" s="1" t="s">
        <v>30821</v>
      </c>
      <c r="L9292" s="1"/>
      <c r="M9292" s="1"/>
    </row>
    <row x14ac:dyDescent="0.25" r="9293" customHeight="1" ht="18.75">
      <c r="A9293" s="1" t="s">
        <v>3598</v>
      </c>
      <c r="B9293" s="1" t="s">
        <v>4689</v>
      </c>
      <c r="C9293" s="1" t="s">
        <v>3600</v>
      </c>
      <c r="D9293" s="1" t="s">
        <v>3601</v>
      </c>
      <c r="E9293" s="1" t="s">
        <v>3893</v>
      </c>
      <c r="F9293" s="1" t="s">
        <v>30822</v>
      </c>
      <c r="G9293" s="1" t="s">
        <v>7853</v>
      </c>
      <c r="H9293" s="1" t="s">
        <v>3604</v>
      </c>
      <c r="I9293" s="1" t="s">
        <v>30823</v>
      </c>
      <c r="J9293" s="1" t="s">
        <v>3615</v>
      </c>
      <c r="K9293" s="1" t="s">
        <v>30824</v>
      </c>
      <c r="L9293" s="1"/>
      <c r="M9293" s="1"/>
    </row>
    <row x14ac:dyDescent="0.25" r="9294" customHeight="1" ht="18.75">
      <c r="A9294" s="1" t="s">
        <v>3598</v>
      </c>
      <c r="B9294" s="1" t="s">
        <v>22799</v>
      </c>
      <c r="C9294" s="1" t="s">
        <v>3600</v>
      </c>
      <c r="D9294" s="1" t="s">
        <v>3601</v>
      </c>
      <c r="E9294" s="1" t="s">
        <v>3664</v>
      </c>
      <c r="F9294" s="1" t="s">
        <v>30825</v>
      </c>
      <c r="G9294" s="1" t="s">
        <v>22801</v>
      </c>
      <c r="H9294" s="1" t="s">
        <v>3604</v>
      </c>
      <c r="I9294" s="1" t="s">
        <v>30826</v>
      </c>
      <c r="J9294" s="1" t="s">
        <v>3615</v>
      </c>
      <c r="K9294" s="1" t="s">
        <v>30827</v>
      </c>
      <c r="L9294" s="1"/>
      <c r="M9294" s="1"/>
    </row>
    <row x14ac:dyDescent="0.25" r="9295" customHeight="1" ht="18.75">
      <c r="A9295" s="1" t="s">
        <v>3598</v>
      </c>
      <c r="B9295" s="1" t="s">
        <v>4689</v>
      </c>
      <c r="C9295" s="1" t="s">
        <v>3600</v>
      </c>
      <c r="D9295" s="1" t="s">
        <v>3601</v>
      </c>
      <c r="E9295" s="1" t="s">
        <v>3893</v>
      </c>
      <c r="F9295" s="1" t="s">
        <v>30828</v>
      </c>
      <c r="G9295" s="1" t="s">
        <v>7853</v>
      </c>
      <c r="H9295" s="1" t="s">
        <v>3604</v>
      </c>
      <c r="I9295" s="1" t="s">
        <v>30829</v>
      </c>
      <c r="J9295" s="1" t="s">
        <v>3615</v>
      </c>
      <c r="K9295" s="1" t="s">
        <v>30830</v>
      </c>
      <c r="L9295" s="1"/>
      <c r="M9295" s="1"/>
    </row>
    <row x14ac:dyDescent="0.25" r="9296" customHeight="1" ht="18.75">
      <c r="A9296" s="1" t="s">
        <v>3598</v>
      </c>
      <c r="B9296" s="1" t="s">
        <v>30831</v>
      </c>
      <c r="C9296" s="1" t="s">
        <v>3600</v>
      </c>
      <c r="D9296" s="1" t="s">
        <v>3601</v>
      </c>
      <c r="E9296" s="1" t="s">
        <v>3752</v>
      </c>
      <c r="F9296" s="1" t="s">
        <v>30832</v>
      </c>
      <c r="G9296" s="1" t="s">
        <v>30833</v>
      </c>
      <c r="H9296" s="1" t="s">
        <v>3604</v>
      </c>
      <c r="I9296" s="1" t="s">
        <v>30834</v>
      </c>
      <c r="J9296" s="1" t="s">
        <v>3615</v>
      </c>
      <c r="K9296" s="1" t="s">
        <v>30835</v>
      </c>
      <c r="L9296" s="1"/>
      <c r="M9296" s="1"/>
    </row>
    <row x14ac:dyDescent="0.25" r="9297" customHeight="1" ht="18.75">
      <c r="A9297" s="1" t="s">
        <v>3598</v>
      </c>
      <c r="B9297" s="1" t="s">
        <v>4689</v>
      </c>
      <c r="C9297" s="1" t="s">
        <v>3600</v>
      </c>
      <c r="D9297" s="1" t="s">
        <v>3601</v>
      </c>
      <c r="E9297" s="1" t="s">
        <v>3893</v>
      </c>
      <c r="F9297" s="1" t="s">
        <v>30836</v>
      </c>
      <c r="G9297" s="1" t="s">
        <v>7853</v>
      </c>
      <c r="H9297" s="1" t="s">
        <v>3604</v>
      </c>
      <c r="I9297" s="1" t="s">
        <v>30837</v>
      </c>
      <c r="J9297" s="1" t="s">
        <v>3615</v>
      </c>
      <c r="K9297" s="1" t="s">
        <v>30838</v>
      </c>
      <c r="L9297" s="1"/>
      <c r="M9297" s="1"/>
    </row>
    <row x14ac:dyDescent="0.25" r="9298" customHeight="1" ht="18.75">
      <c r="A9298" s="1" t="s">
        <v>3598</v>
      </c>
      <c r="B9298" s="1" t="s">
        <v>30839</v>
      </c>
      <c r="C9298" s="1" t="s">
        <v>3600</v>
      </c>
      <c r="D9298" s="1" t="s">
        <v>3610</v>
      </c>
      <c r="E9298" s="1" t="s">
        <v>3664</v>
      </c>
      <c r="F9298" s="1" t="s">
        <v>30840</v>
      </c>
      <c r="G9298" s="1" t="s">
        <v>30841</v>
      </c>
      <c r="H9298" s="1" t="s">
        <v>3604</v>
      </c>
      <c r="I9298" s="1" t="s">
        <v>30842</v>
      </c>
      <c r="J9298" s="1" t="s">
        <v>3615</v>
      </c>
      <c r="K9298" s="1"/>
      <c r="L9298" s="1"/>
      <c r="M9298" s="1"/>
    </row>
    <row x14ac:dyDescent="0.25" r="9299" customHeight="1" ht="18.75">
      <c r="A9299" s="1" t="s">
        <v>3598</v>
      </c>
      <c r="B9299" s="1" t="s">
        <v>4689</v>
      </c>
      <c r="C9299" s="1" t="s">
        <v>3600</v>
      </c>
      <c r="D9299" s="1" t="s">
        <v>3601</v>
      </c>
      <c r="E9299" s="1" t="s">
        <v>3893</v>
      </c>
      <c r="F9299" s="1" t="s">
        <v>30843</v>
      </c>
      <c r="G9299" s="1" t="s">
        <v>7853</v>
      </c>
      <c r="H9299" s="1" t="s">
        <v>3604</v>
      </c>
      <c r="I9299" s="1" t="s">
        <v>30844</v>
      </c>
      <c r="J9299" s="1" t="s">
        <v>3615</v>
      </c>
      <c r="K9299" s="1" t="s">
        <v>30845</v>
      </c>
      <c r="L9299" s="1"/>
      <c r="M9299" s="1"/>
    </row>
    <row x14ac:dyDescent="0.25" r="9300" customHeight="1" ht="18.75">
      <c r="A9300" s="1" t="s">
        <v>3598</v>
      </c>
      <c r="B9300" s="1" t="s">
        <v>30839</v>
      </c>
      <c r="C9300" s="1" t="s">
        <v>3600</v>
      </c>
      <c r="D9300" s="1" t="s">
        <v>3610</v>
      </c>
      <c r="E9300" s="1" t="s">
        <v>3664</v>
      </c>
      <c r="F9300" s="1" t="s">
        <v>30846</v>
      </c>
      <c r="G9300" s="1" t="s">
        <v>30841</v>
      </c>
      <c r="H9300" s="1" t="s">
        <v>3604</v>
      </c>
      <c r="I9300" s="1" t="s">
        <v>30847</v>
      </c>
      <c r="J9300" s="1" t="s">
        <v>3615</v>
      </c>
      <c r="K9300" s="1"/>
      <c r="L9300" s="1"/>
      <c r="M9300" s="1"/>
    </row>
    <row x14ac:dyDescent="0.25" r="9301" customHeight="1" ht="18.75">
      <c r="A9301" s="1" t="s">
        <v>3598</v>
      </c>
      <c r="B9301" s="1" t="s">
        <v>13742</v>
      </c>
      <c r="C9301" s="1" t="s">
        <v>3600</v>
      </c>
      <c r="D9301" s="1" t="s">
        <v>3601</v>
      </c>
      <c r="E9301" s="1" t="s">
        <v>3893</v>
      </c>
      <c r="F9301" s="1" t="s">
        <v>30848</v>
      </c>
      <c r="G9301" s="1" t="s">
        <v>15665</v>
      </c>
      <c r="H9301" s="1" t="s">
        <v>3604</v>
      </c>
      <c r="I9301" s="1" t="s">
        <v>30849</v>
      </c>
      <c r="J9301" s="1" t="s">
        <v>3615</v>
      </c>
      <c r="K9301" s="1" t="s">
        <v>30850</v>
      </c>
      <c r="L9301" s="1"/>
      <c r="M9301" s="1"/>
    </row>
    <row x14ac:dyDescent="0.25" r="9302" customHeight="1" ht="18.75">
      <c r="A9302" s="1" t="s">
        <v>3598</v>
      </c>
      <c r="B9302" s="1" t="s">
        <v>30839</v>
      </c>
      <c r="C9302" s="1" t="s">
        <v>3600</v>
      </c>
      <c r="D9302" s="1" t="s">
        <v>3610</v>
      </c>
      <c r="E9302" s="1" t="s">
        <v>3664</v>
      </c>
      <c r="F9302" s="1" t="s">
        <v>30851</v>
      </c>
      <c r="G9302" s="1" t="s">
        <v>30841</v>
      </c>
      <c r="H9302" s="1" t="s">
        <v>3604</v>
      </c>
      <c r="I9302" s="1" t="s">
        <v>30852</v>
      </c>
      <c r="J9302" s="1" t="s">
        <v>3615</v>
      </c>
      <c r="K9302" s="1"/>
      <c r="L9302" s="1"/>
      <c r="M9302" s="1"/>
    </row>
    <row x14ac:dyDescent="0.25" r="9303" customHeight="1" ht="18.75">
      <c r="A9303" s="1" t="s">
        <v>3598</v>
      </c>
      <c r="B9303" s="1" t="s">
        <v>13742</v>
      </c>
      <c r="C9303" s="1" t="s">
        <v>3600</v>
      </c>
      <c r="D9303" s="1" t="s">
        <v>3601</v>
      </c>
      <c r="E9303" s="1" t="s">
        <v>3893</v>
      </c>
      <c r="F9303" s="1" t="s">
        <v>30853</v>
      </c>
      <c r="G9303" s="1" t="s">
        <v>15665</v>
      </c>
      <c r="H9303" s="1" t="s">
        <v>3604</v>
      </c>
      <c r="I9303" s="1" t="s">
        <v>30854</v>
      </c>
      <c r="J9303" s="1" t="s">
        <v>3615</v>
      </c>
      <c r="K9303" s="1" t="s">
        <v>30855</v>
      </c>
      <c r="L9303" s="1"/>
      <c r="M9303" s="1"/>
    </row>
    <row x14ac:dyDescent="0.25" r="9304" customHeight="1" ht="18.75">
      <c r="A9304" s="1" t="s">
        <v>3598</v>
      </c>
      <c r="B9304" s="1" t="s">
        <v>30839</v>
      </c>
      <c r="C9304" s="1" t="s">
        <v>3600</v>
      </c>
      <c r="D9304" s="1" t="s">
        <v>3610</v>
      </c>
      <c r="E9304" s="1" t="s">
        <v>3664</v>
      </c>
      <c r="F9304" s="1" t="s">
        <v>30856</v>
      </c>
      <c r="G9304" s="1" t="s">
        <v>30841</v>
      </c>
      <c r="H9304" s="1" t="s">
        <v>3604</v>
      </c>
      <c r="I9304" s="1" t="s">
        <v>30857</v>
      </c>
      <c r="J9304" s="1" t="s">
        <v>3615</v>
      </c>
      <c r="K9304" s="1"/>
      <c r="L9304" s="1"/>
      <c r="M9304" s="1"/>
    </row>
    <row x14ac:dyDescent="0.25" r="9305" customHeight="1" ht="18.75">
      <c r="A9305" s="1" t="s">
        <v>3598</v>
      </c>
      <c r="B9305" s="1" t="s">
        <v>13758</v>
      </c>
      <c r="C9305" s="1" t="s">
        <v>3600</v>
      </c>
      <c r="D9305" s="1" t="s">
        <v>3601</v>
      </c>
      <c r="E9305" s="1" t="s">
        <v>3893</v>
      </c>
      <c r="F9305" s="1" t="s">
        <v>30858</v>
      </c>
      <c r="G9305" s="1" t="s">
        <v>15822</v>
      </c>
      <c r="H9305" s="1" t="s">
        <v>3604</v>
      </c>
      <c r="I9305" s="1" t="s">
        <v>30859</v>
      </c>
      <c r="J9305" s="1" t="s">
        <v>3615</v>
      </c>
      <c r="K9305" s="1" t="s">
        <v>30860</v>
      </c>
      <c r="L9305" s="1"/>
      <c r="M9305" s="1"/>
    </row>
    <row x14ac:dyDescent="0.25" r="9306" customHeight="1" ht="18.75">
      <c r="A9306" s="1" t="s">
        <v>3598</v>
      </c>
      <c r="B9306" s="1" t="s">
        <v>30861</v>
      </c>
      <c r="C9306" s="1" t="s">
        <v>3600</v>
      </c>
      <c r="D9306" s="1" t="s">
        <v>8373</v>
      </c>
      <c r="E9306" s="1" t="s">
        <v>3664</v>
      </c>
      <c r="F9306" s="1" t="s">
        <v>30862</v>
      </c>
      <c r="G9306" s="1" t="s">
        <v>30863</v>
      </c>
      <c r="H9306" s="1" t="s">
        <v>3604</v>
      </c>
      <c r="I9306" s="1" t="s">
        <v>30864</v>
      </c>
      <c r="J9306" s="1" t="s">
        <v>3615</v>
      </c>
      <c r="K9306" s="1"/>
      <c r="L9306" s="1"/>
      <c r="M9306" s="1"/>
    </row>
    <row x14ac:dyDescent="0.25" r="9307" customHeight="1" ht="18.75">
      <c r="A9307" s="1" t="s">
        <v>3598</v>
      </c>
      <c r="B9307" s="1" t="s">
        <v>13758</v>
      </c>
      <c r="C9307" s="1" t="s">
        <v>3600</v>
      </c>
      <c r="D9307" s="1" t="s">
        <v>3601</v>
      </c>
      <c r="E9307" s="1" t="s">
        <v>3893</v>
      </c>
      <c r="F9307" s="1" t="s">
        <v>30865</v>
      </c>
      <c r="G9307" s="1" t="s">
        <v>15822</v>
      </c>
      <c r="H9307" s="1" t="s">
        <v>3604</v>
      </c>
      <c r="I9307" s="1" t="s">
        <v>30866</v>
      </c>
      <c r="J9307" s="1" t="s">
        <v>3615</v>
      </c>
      <c r="K9307" s="1" t="s">
        <v>30867</v>
      </c>
      <c r="L9307" s="1"/>
      <c r="M9307" s="1"/>
    </row>
    <row x14ac:dyDescent="0.25" r="9308" customHeight="1" ht="18.75">
      <c r="A9308" s="1" t="s">
        <v>3598</v>
      </c>
      <c r="B9308" s="1" t="s">
        <v>30861</v>
      </c>
      <c r="C9308" s="1" t="s">
        <v>3600</v>
      </c>
      <c r="D9308" s="1" t="s">
        <v>8373</v>
      </c>
      <c r="E9308" s="1" t="s">
        <v>3664</v>
      </c>
      <c r="F9308" s="1" t="s">
        <v>30868</v>
      </c>
      <c r="G9308" s="1" t="s">
        <v>30863</v>
      </c>
      <c r="H9308" s="1" t="s">
        <v>3604</v>
      </c>
      <c r="I9308" s="1" t="s">
        <v>30869</v>
      </c>
      <c r="J9308" s="1" t="s">
        <v>3615</v>
      </c>
      <c r="K9308" s="1"/>
      <c r="L9308" s="1"/>
      <c r="M9308" s="1"/>
    </row>
    <row x14ac:dyDescent="0.25" r="9309" customHeight="1" ht="18.75">
      <c r="A9309" s="1" t="s">
        <v>3598</v>
      </c>
      <c r="B9309" s="1" t="s">
        <v>4689</v>
      </c>
      <c r="C9309" s="1" t="s">
        <v>3600</v>
      </c>
      <c r="D9309" s="1" t="s">
        <v>3601</v>
      </c>
      <c r="E9309" s="1" t="s">
        <v>3893</v>
      </c>
      <c r="F9309" s="1" t="s">
        <v>30870</v>
      </c>
      <c r="G9309" s="1" t="s">
        <v>7853</v>
      </c>
      <c r="H9309" s="1" t="s">
        <v>3604</v>
      </c>
      <c r="I9309" s="1" t="s">
        <v>30871</v>
      </c>
      <c r="J9309" s="1" t="s">
        <v>3615</v>
      </c>
      <c r="K9309" s="1" t="s">
        <v>30872</v>
      </c>
      <c r="L9309" s="1"/>
      <c r="M9309" s="1"/>
    </row>
    <row x14ac:dyDescent="0.25" r="9310" customHeight="1" ht="18.75">
      <c r="A9310" s="1" t="s">
        <v>3598</v>
      </c>
      <c r="B9310" s="1" t="s">
        <v>30861</v>
      </c>
      <c r="C9310" s="1" t="s">
        <v>3600</v>
      </c>
      <c r="D9310" s="1" t="s">
        <v>8373</v>
      </c>
      <c r="E9310" s="1" t="s">
        <v>3664</v>
      </c>
      <c r="F9310" s="1" t="s">
        <v>30873</v>
      </c>
      <c r="G9310" s="1" t="s">
        <v>30863</v>
      </c>
      <c r="H9310" s="1" t="s">
        <v>3604</v>
      </c>
      <c r="I9310" s="1" t="s">
        <v>30874</v>
      </c>
      <c r="J9310" s="1" t="s">
        <v>3615</v>
      </c>
      <c r="K9310" s="1"/>
      <c r="L9310" s="1"/>
      <c r="M9310" s="1"/>
    </row>
    <row x14ac:dyDescent="0.25" r="9311" customHeight="1" ht="18.75">
      <c r="A9311" s="1" t="s">
        <v>3598</v>
      </c>
      <c r="B9311" s="1" t="s">
        <v>4689</v>
      </c>
      <c r="C9311" s="1" t="s">
        <v>3600</v>
      </c>
      <c r="D9311" s="1" t="s">
        <v>3601</v>
      </c>
      <c r="E9311" s="1" t="s">
        <v>3893</v>
      </c>
      <c r="F9311" s="1" t="s">
        <v>30875</v>
      </c>
      <c r="G9311" s="1" t="s">
        <v>7853</v>
      </c>
      <c r="H9311" s="1" t="s">
        <v>3604</v>
      </c>
      <c r="I9311" s="1" t="s">
        <v>30876</v>
      </c>
      <c r="J9311" s="1" t="s">
        <v>3615</v>
      </c>
      <c r="K9311" s="1" t="s">
        <v>30877</v>
      </c>
      <c r="L9311" s="1"/>
      <c r="M9311" s="1"/>
    </row>
    <row x14ac:dyDescent="0.25" r="9312" customHeight="1" ht="18.75">
      <c r="A9312" s="1" t="s">
        <v>3598</v>
      </c>
      <c r="B9312" s="1" t="s">
        <v>30861</v>
      </c>
      <c r="C9312" s="1" t="s">
        <v>3600</v>
      </c>
      <c r="D9312" s="1" t="s">
        <v>8373</v>
      </c>
      <c r="E9312" s="1" t="s">
        <v>3664</v>
      </c>
      <c r="F9312" s="1" t="s">
        <v>30878</v>
      </c>
      <c r="G9312" s="1" t="s">
        <v>30863</v>
      </c>
      <c r="H9312" s="1" t="s">
        <v>3604</v>
      </c>
      <c r="I9312" s="1" t="s">
        <v>30879</v>
      </c>
      <c r="J9312" s="1" t="s">
        <v>3615</v>
      </c>
      <c r="K9312" s="1"/>
      <c r="L9312" s="1"/>
      <c r="M9312" s="1"/>
    </row>
    <row x14ac:dyDescent="0.25" r="9313" customHeight="1" ht="18.75">
      <c r="A9313" s="1" t="s">
        <v>3598</v>
      </c>
      <c r="B9313" s="1" t="s">
        <v>4689</v>
      </c>
      <c r="C9313" s="1" t="s">
        <v>3600</v>
      </c>
      <c r="D9313" s="1" t="s">
        <v>3601</v>
      </c>
      <c r="E9313" s="1" t="s">
        <v>3893</v>
      </c>
      <c r="F9313" s="1" t="s">
        <v>30880</v>
      </c>
      <c r="G9313" s="1" t="s">
        <v>7853</v>
      </c>
      <c r="H9313" s="1" t="s">
        <v>3604</v>
      </c>
      <c r="I9313" s="1" t="s">
        <v>30881</v>
      </c>
      <c r="J9313" s="1" t="s">
        <v>3615</v>
      </c>
      <c r="K9313" s="1" t="s">
        <v>30882</v>
      </c>
      <c r="L9313" s="1"/>
      <c r="M9313" s="1"/>
    </row>
    <row x14ac:dyDescent="0.25" r="9314" customHeight="1" ht="18.75">
      <c r="A9314" s="1" t="s">
        <v>3598</v>
      </c>
      <c r="B9314" s="1" t="s">
        <v>30861</v>
      </c>
      <c r="C9314" s="1" t="s">
        <v>3600</v>
      </c>
      <c r="D9314" s="1" t="s">
        <v>8373</v>
      </c>
      <c r="E9314" s="1" t="s">
        <v>3664</v>
      </c>
      <c r="F9314" s="1" t="s">
        <v>30883</v>
      </c>
      <c r="G9314" s="1" t="s">
        <v>30863</v>
      </c>
      <c r="H9314" s="1" t="s">
        <v>3604</v>
      </c>
      <c r="I9314" s="1" t="s">
        <v>30884</v>
      </c>
      <c r="J9314" s="1" t="s">
        <v>3615</v>
      </c>
      <c r="K9314" s="1"/>
      <c r="L9314" s="1"/>
      <c r="M9314" s="1"/>
    </row>
    <row x14ac:dyDescent="0.25" r="9315" customHeight="1" ht="18.75">
      <c r="A9315" s="1" t="s">
        <v>3598</v>
      </c>
      <c r="B9315" s="1" t="s">
        <v>4689</v>
      </c>
      <c r="C9315" s="1" t="s">
        <v>3600</v>
      </c>
      <c r="D9315" s="1" t="s">
        <v>3601</v>
      </c>
      <c r="E9315" s="1" t="s">
        <v>3893</v>
      </c>
      <c r="F9315" s="1" t="s">
        <v>30885</v>
      </c>
      <c r="G9315" s="1" t="s">
        <v>7853</v>
      </c>
      <c r="H9315" s="1" t="s">
        <v>3604</v>
      </c>
      <c r="I9315" s="1" t="s">
        <v>30886</v>
      </c>
      <c r="J9315" s="1" t="s">
        <v>3615</v>
      </c>
      <c r="K9315" s="1" t="s">
        <v>30887</v>
      </c>
      <c r="L9315" s="1"/>
      <c r="M9315" s="1"/>
    </row>
    <row x14ac:dyDescent="0.25" r="9316" customHeight="1" ht="18.75">
      <c r="A9316" s="1" t="s">
        <v>3598</v>
      </c>
      <c r="B9316" s="1" t="s">
        <v>30861</v>
      </c>
      <c r="C9316" s="1" t="s">
        <v>3600</v>
      </c>
      <c r="D9316" s="1" t="s">
        <v>8373</v>
      </c>
      <c r="E9316" s="1" t="s">
        <v>3664</v>
      </c>
      <c r="F9316" s="1" t="s">
        <v>30888</v>
      </c>
      <c r="G9316" s="1" t="s">
        <v>30863</v>
      </c>
      <c r="H9316" s="1" t="s">
        <v>3604</v>
      </c>
      <c r="I9316" s="1" t="s">
        <v>30889</v>
      </c>
      <c r="J9316" s="1" t="s">
        <v>3615</v>
      </c>
      <c r="K9316" s="1"/>
      <c r="L9316" s="1"/>
      <c r="M9316" s="1"/>
    </row>
    <row x14ac:dyDescent="0.25" r="9317" customHeight="1" ht="18.75">
      <c r="A9317" s="1" t="s">
        <v>3598</v>
      </c>
      <c r="B9317" s="1" t="s">
        <v>4689</v>
      </c>
      <c r="C9317" s="1" t="s">
        <v>3600</v>
      </c>
      <c r="D9317" s="1" t="s">
        <v>3601</v>
      </c>
      <c r="E9317" s="1" t="s">
        <v>3893</v>
      </c>
      <c r="F9317" s="1" t="s">
        <v>30890</v>
      </c>
      <c r="G9317" s="1" t="s">
        <v>7853</v>
      </c>
      <c r="H9317" s="1" t="s">
        <v>3604</v>
      </c>
      <c r="I9317" s="1" t="s">
        <v>30891</v>
      </c>
      <c r="J9317" s="1" t="s">
        <v>3615</v>
      </c>
      <c r="K9317" s="1" t="s">
        <v>30892</v>
      </c>
      <c r="L9317" s="1"/>
      <c r="M9317" s="1"/>
    </row>
    <row x14ac:dyDescent="0.25" r="9318" customHeight="1" ht="18.75">
      <c r="A9318" s="1" t="s">
        <v>3598</v>
      </c>
      <c r="B9318" s="1" t="s">
        <v>4689</v>
      </c>
      <c r="C9318" s="1" t="s">
        <v>3600</v>
      </c>
      <c r="D9318" s="1" t="s">
        <v>3601</v>
      </c>
      <c r="E9318" s="1" t="s">
        <v>3893</v>
      </c>
      <c r="F9318" s="1" t="s">
        <v>30893</v>
      </c>
      <c r="G9318" s="1" t="s">
        <v>7853</v>
      </c>
      <c r="H9318" s="1" t="s">
        <v>3604</v>
      </c>
      <c r="I9318" s="1" t="s">
        <v>30894</v>
      </c>
      <c r="J9318" s="1" t="s">
        <v>3615</v>
      </c>
      <c r="K9318" s="1" t="s">
        <v>30895</v>
      </c>
      <c r="L9318" s="1"/>
      <c r="M9318" s="1"/>
    </row>
    <row x14ac:dyDescent="0.25" r="9319" customHeight="1" ht="18.75">
      <c r="A9319" s="1" t="s">
        <v>3598</v>
      </c>
      <c r="B9319" s="1" t="s">
        <v>4689</v>
      </c>
      <c r="C9319" s="1" t="s">
        <v>3600</v>
      </c>
      <c r="D9319" s="1" t="s">
        <v>3601</v>
      </c>
      <c r="E9319" s="1" t="s">
        <v>3893</v>
      </c>
      <c r="F9319" s="1" t="s">
        <v>30896</v>
      </c>
      <c r="G9319" s="1" t="s">
        <v>7853</v>
      </c>
      <c r="H9319" s="1" t="s">
        <v>3604</v>
      </c>
      <c r="I9319" s="1" t="s">
        <v>30897</v>
      </c>
      <c r="J9319" s="1" t="s">
        <v>3615</v>
      </c>
      <c r="K9319" s="1" t="s">
        <v>30898</v>
      </c>
      <c r="L9319" s="1"/>
      <c r="M9319" s="1"/>
    </row>
    <row x14ac:dyDescent="0.25" r="9320" customHeight="1" ht="18.75">
      <c r="A9320" s="1" t="s">
        <v>3598</v>
      </c>
      <c r="B9320" s="1" t="s">
        <v>4689</v>
      </c>
      <c r="C9320" s="1" t="s">
        <v>3600</v>
      </c>
      <c r="D9320" s="1" t="s">
        <v>3601</v>
      </c>
      <c r="E9320" s="1" t="s">
        <v>3893</v>
      </c>
      <c r="F9320" s="1" t="s">
        <v>30899</v>
      </c>
      <c r="G9320" s="1" t="s">
        <v>7853</v>
      </c>
      <c r="H9320" s="1" t="s">
        <v>3604</v>
      </c>
      <c r="I9320" s="1" t="s">
        <v>30900</v>
      </c>
      <c r="J9320" s="1" t="s">
        <v>3615</v>
      </c>
      <c r="K9320" s="1" t="s">
        <v>30901</v>
      </c>
      <c r="L9320" s="1"/>
      <c r="M9320" s="1"/>
    </row>
    <row x14ac:dyDescent="0.25" r="9321" customHeight="1" ht="18.75">
      <c r="A9321" s="1" t="s">
        <v>3598</v>
      </c>
      <c r="B9321" s="1" t="s">
        <v>9470</v>
      </c>
      <c r="C9321" s="1" t="s">
        <v>3600</v>
      </c>
      <c r="D9321" s="1" t="s">
        <v>3601</v>
      </c>
      <c r="E9321" s="1" t="s">
        <v>3893</v>
      </c>
      <c r="F9321" s="1" t="s">
        <v>30902</v>
      </c>
      <c r="G9321" s="1" t="s">
        <v>30778</v>
      </c>
      <c r="H9321" s="1" t="s">
        <v>3604</v>
      </c>
      <c r="I9321" s="1" t="s">
        <v>30903</v>
      </c>
      <c r="J9321" s="1" t="s">
        <v>3615</v>
      </c>
      <c r="K9321" s="1" t="s">
        <v>30904</v>
      </c>
      <c r="L9321" s="1"/>
      <c r="M9321" s="1"/>
    </row>
    <row x14ac:dyDescent="0.25" r="9322" customHeight="1" ht="18.75">
      <c r="A9322" s="1" t="s">
        <v>3598</v>
      </c>
      <c r="B9322" s="1" t="s">
        <v>9470</v>
      </c>
      <c r="C9322" s="1" t="s">
        <v>3600</v>
      </c>
      <c r="D9322" s="1" t="s">
        <v>3601</v>
      </c>
      <c r="E9322" s="1" t="s">
        <v>3893</v>
      </c>
      <c r="F9322" s="1" t="s">
        <v>30905</v>
      </c>
      <c r="G9322" s="1" t="s">
        <v>30778</v>
      </c>
      <c r="H9322" s="1" t="s">
        <v>3604</v>
      </c>
      <c r="I9322" s="1" t="s">
        <v>30906</v>
      </c>
      <c r="J9322" s="1" t="s">
        <v>3615</v>
      </c>
      <c r="K9322" s="1" t="s">
        <v>30907</v>
      </c>
      <c r="L9322" s="1"/>
      <c r="M9322" s="1"/>
    </row>
    <row x14ac:dyDescent="0.25" r="9323" customHeight="1" ht="18.75">
      <c r="A9323" s="1" t="s">
        <v>3598</v>
      </c>
      <c r="B9323" s="1" t="s">
        <v>9470</v>
      </c>
      <c r="C9323" s="1" t="s">
        <v>3600</v>
      </c>
      <c r="D9323" s="1" t="s">
        <v>3601</v>
      </c>
      <c r="E9323" s="1" t="s">
        <v>3893</v>
      </c>
      <c r="F9323" s="1" t="s">
        <v>30908</v>
      </c>
      <c r="G9323" s="1" t="s">
        <v>30778</v>
      </c>
      <c r="H9323" s="1" t="s">
        <v>3604</v>
      </c>
      <c r="I9323" s="1" t="s">
        <v>30909</v>
      </c>
      <c r="J9323" s="1" t="s">
        <v>3615</v>
      </c>
      <c r="K9323" s="1" t="s">
        <v>30910</v>
      </c>
      <c r="L9323" s="1"/>
      <c r="M9323" s="1"/>
    </row>
    <row x14ac:dyDescent="0.25" r="9324" customHeight="1" ht="18.75">
      <c r="A9324" s="1" t="s">
        <v>3598</v>
      </c>
      <c r="B9324" s="1" t="s">
        <v>9470</v>
      </c>
      <c r="C9324" s="1" t="s">
        <v>3600</v>
      </c>
      <c r="D9324" s="1" t="s">
        <v>3601</v>
      </c>
      <c r="E9324" s="1" t="s">
        <v>3893</v>
      </c>
      <c r="F9324" s="1" t="s">
        <v>30911</v>
      </c>
      <c r="G9324" s="1" t="s">
        <v>30778</v>
      </c>
      <c r="H9324" s="1" t="s">
        <v>3604</v>
      </c>
      <c r="I9324" s="1" t="s">
        <v>30912</v>
      </c>
      <c r="J9324" s="1" t="s">
        <v>3615</v>
      </c>
      <c r="K9324" s="1" t="s">
        <v>30913</v>
      </c>
      <c r="L9324" s="1"/>
      <c r="M9324" s="1"/>
    </row>
    <row x14ac:dyDescent="0.25" r="9325" customHeight="1" ht="18.75">
      <c r="A9325" s="1" t="s">
        <v>3598</v>
      </c>
      <c r="B9325" s="1" t="s">
        <v>9470</v>
      </c>
      <c r="C9325" s="1" t="s">
        <v>3600</v>
      </c>
      <c r="D9325" s="1" t="s">
        <v>3601</v>
      </c>
      <c r="E9325" s="1" t="s">
        <v>3893</v>
      </c>
      <c r="F9325" s="1" t="s">
        <v>30914</v>
      </c>
      <c r="G9325" s="1" t="s">
        <v>30778</v>
      </c>
      <c r="H9325" s="1" t="s">
        <v>3604</v>
      </c>
      <c r="I9325" s="1" t="s">
        <v>30915</v>
      </c>
      <c r="J9325" s="1" t="s">
        <v>3615</v>
      </c>
      <c r="K9325" s="1" t="s">
        <v>30916</v>
      </c>
      <c r="L9325" s="1"/>
      <c r="M9325" s="1"/>
    </row>
    <row x14ac:dyDescent="0.25" r="9326" customHeight="1" ht="18.75">
      <c r="A9326" s="1" t="s">
        <v>3598</v>
      </c>
      <c r="B9326" s="1" t="s">
        <v>9470</v>
      </c>
      <c r="C9326" s="1" t="s">
        <v>3600</v>
      </c>
      <c r="D9326" s="1" t="s">
        <v>3601</v>
      </c>
      <c r="E9326" s="1" t="s">
        <v>3893</v>
      </c>
      <c r="F9326" s="1" t="s">
        <v>30917</v>
      </c>
      <c r="G9326" s="1" t="s">
        <v>30778</v>
      </c>
      <c r="H9326" s="1" t="s">
        <v>3604</v>
      </c>
      <c r="I9326" s="1" t="s">
        <v>30918</v>
      </c>
      <c r="J9326" s="1" t="s">
        <v>3615</v>
      </c>
      <c r="K9326" s="1" t="s">
        <v>30919</v>
      </c>
      <c r="L9326" s="1"/>
      <c r="M9326" s="1"/>
    </row>
    <row x14ac:dyDescent="0.25" r="9327" customHeight="1" ht="18.75">
      <c r="A9327" s="1" t="s">
        <v>3598</v>
      </c>
      <c r="B9327" s="1" t="s">
        <v>5260</v>
      </c>
      <c r="C9327" s="1" t="s">
        <v>3600</v>
      </c>
      <c r="D9327" s="1" t="s">
        <v>3601</v>
      </c>
      <c r="E9327" s="1" t="s">
        <v>3893</v>
      </c>
      <c r="F9327" s="1" t="s">
        <v>30920</v>
      </c>
      <c r="G9327" s="1" t="s">
        <v>17246</v>
      </c>
      <c r="H9327" s="1" t="s">
        <v>3604</v>
      </c>
      <c r="I9327" s="1" t="s">
        <v>30921</v>
      </c>
      <c r="J9327" s="1" t="s">
        <v>3615</v>
      </c>
      <c r="K9327" s="1" t="s">
        <v>30922</v>
      </c>
      <c r="L9327" s="1"/>
      <c r="M9327" s="1"/>
    </row>
    <row x14ac:dyDescent="0.25" r="9328" customHeight="1" ht="18.75">
      <c r="A9328" s="1" t="s">
        <v>3598</v>
      </c>
      <c r="B9328" s="1" t="s">
        <v>5260</v>
      </c>
      <c r="C9328" s="1" t="s">
        <v>3600</v>
      </c>
      <c r="D9328" s="1" t="s">
        <v>3601</v>
      </c>
      <c r="E9328" s="1" t="s">
        <v>3893</v>
      </c>
      <c r="F9328" s="1" t="s">
        <v>30923</v>
      </c>
      <c r="G9328" s="1" t="s">
        <v>17246</v>
      </c>
      <c r="H9328" s="1" t="s">
        <v>3604</v>
      </c>
      <c r="I9328" s="1" t="s">
        <v>30924</v>
      </c>
      <c r="J9328" s="1" t="s">
        <v>3615</v>
      </c>
      <c r="K9328" s="1" t="s">
        <v>30925</v>
      </c>
      <c r="L9328" s="1"/>
      <c r="M9328" s="1"/>
    </row>
    <row x14ac:dyDescent="0.25" r="9329" customHeight="1" ht="18.75">
      <c r="A9329" s="1" t="s">
        <v>3598</v>
      </c>
      <c r="B9329" s="1" t="s">
        <v>5260</v>
      </c>
      <c r="C9329" s="1" t="s">
        <v>3600</v>
      </c>
      <c r="D9329" s="1" t="s">
        <v>3601</v>
      </c>
      <c r="E9329" s="1" t="s">
        <v>3893</v>
      </c>
      <c r="F9329" s="1" t="s">
        <v>30926</v>
      </c>
      <c r="G9329" s="1" t="s">
        <v>17246</v>
      </c>
      <c r="H9329" s="1" t="s">
        <v>3604</v>
      </c>
      <c r="I9329" s="1" t="s">
        <v>30927</v>
      </c>
      <c r="J9329" s="1" t="s">
        <v>3615</v>
      </c>
      <c r="K9329" s="1" t="s">
        <v>30928</v>
      </c>
      <c r="L9329" s="1"/>
      <c r="M9329" s="1"/>
    </row>
    <row x14ac:dyDescent="0.25" r="9330" customHeight="1" ht="18.75">
      <c r="A9330" s="1" t="s">
        <v>3598</v>
      </c>
      <c r="B9330" s="1" t="s">
        <v>5260</v>
      </c>
      <c r="C9330" s="1" t="s">
        <v>3600</v>
      </c>
      <c r="D9330" s="1" t="s">
        <v>3601</v>
      </c>
      <c r="E9330" s="1" t="s">
        <v>3893</v>
      </c>
      <c r="F9330" s="1" t="s">
        <v>30929</v>
      </c>
      <c r="G9330" s="1" t="s">
        <v>17246</v>
      </c>
      <c r="H9330" s="1" t="s">
        <v>3604</v>
      </c>
      <c r="I9330" s="1" t="s">
        <v>30930</v>
      </c>
      <c r="J9330" s="1" t="s">
        <v>3615</v>
      </c>
      <c r="K9330" s="1" t="s">
        <v>30931</v>
      </c>
      <c r="L9330" s="1"/>
      <c r="M9330" s="1"/>
    </row>
    <row x14ac:dyDescent="0.25" r="9331" customHeight="1" ht="18.75">
      <c r="A9331" s="1" t="s">
        <v>3598</v>
      </c>
      <c r="B9331" s="1" t="s">
        <v>5260</v>
      </c>
      <c r="C9331" s="1" t="s">
        <v>3600</v>
      </c>
      <c r="D9331" s="1" t="s">
        <v>3601</v>
      </c>
      <c r="E9331" s="1" t="s">
        <v>3893</v>
      </c>
      <c r="F9331" s="1" t="s">
        <v>30932</v>
      </c>
      <c r="G9331" s="1" t="s">
        <v>17246</v>
      </c>
      <c r="H9331" s="1" t="s">
        <v>3604</v>
      </c>
      <c r="I9331" s="1" t="s">
        <v>30933</v>
      </c>
      <c r="J9331" s="1" t="s">
        <v>3615</v>
      </c>
      <c r="K9331" s="1" t="s">
        <v>30934</v>
      </c>
      <c r="L9331" s="1"/>
      <c r="M9331" s="1"/>
    </row>
    <row x14ac:dyDescent="0.25" r="9332" customHeight="1" ht="18.75">
      <c r="A9332" s="1" t="s">
        <v>3598</v>
      </c>
      <c r="B9332" s="1" t="s">
        <v>5260</v>
      </c>
      <c r="C9332" s="1" t="s">
        <v>3600</v>
      </c>
      <c r="D9332" s="1" t="s">
        <v>3601</v>
      </c>
      <c r="E9332" s="1" t="s">
        <v>3893</v>
      </c>
      <c r="F9332" s="1" t="s">
        <v>30935</v>
      </c>
      <c r="G9332" s="1" t="s">
        <v>17246</v>
      </c>
      <c r="H9332" s="1" t="s">
        <v>3604</v>
      </c>
      <c r="I9332" s="1" t="s">
        <v>30936</v>
      </c>
      <c r="J9332" s="1" t="s">
        <v>3615</v>
      </c>
      <c r="K9332" s="1" t="s">
        <v>30937</v>
      </c>
      <c r="L9332" s="1"/>
      <c r="M9332" s="1"/>
    </row>
    <row x14ac:dyDescent="0.25" r="9333" customHeight="1" ht="18.75">
      <c r="A9333" s="1" t="s">
        <v>3598</v>
      </c>
      <c r="B9333" s="1" t="s">
        <v>14123</v>
      </c>
      <c r="C9333" s="1" t="s">
        <v>3600</v>
      </c>
      <c r="D9333" s="1" t="s">
        <v>3601</v>
      </c>
      <c r="E9333" s="1" t="s">
        <v>3893</v>
      </c>
      <c r="F9333" s="1" t="s">
        <v>30938</v>
      </c>
      <c r="G9333" s="1" t="s">
        <v>14125</v>
      </c>
      <c r="H9333" s="1" t="s">
        <v>3604</v>
      </c>
      <c r="I9333" s="1" t="s">
        <v>30939</v>
      </c>
      <c r="J9333" s="1" t="s">
        <v>3615</v>
      </c>
      <c r="K9333" s="1" t="s">
        <v>30940</v>
      </c>
      <c r="L9333" s="1"/>
      <c r="M9333" s="1"/>
    </row>
    <row x14ac:dyDescent="0.25" r="9334" customHeight="1" ht="18.75">
      <c r="A9334" s="1" t="s">
        <v>3598</v>
      </c>
      <c r="B9334" s="1" t="s">
        <v>30941</v>
      </c>
      <c r="C9334" s="1" t="s">
        <v>3600</v>
      </c>
      <c r="D9334" s="1" t="s">
        <v>8365</v>
      </c>
      <c r="E9334" s="1" t="s">
        <v>3664</v>
      </c>
      <c r="F9334" s="1" t="s">
        <v>30942</v>
      </c>
      <c r="G9334" s="1" t="s">
        <v>8349</v>
      </c>
      <c r="H9334" s="1" t="s">
        <v>3604</v>
      </c>
      <c r="I9334" s="1" t="s">
        <v>30943</v>
      </c>
      <c r="J9334" s="1" t="s">
        <v>3615</v>
      </c>
      <c r="K9334" s="1" t="s">
        <v>30944</v>
      </c>
      <c r="L9334" s="1"/>
      <c r="M9334" s="1"/>
    </row>
    <row x14ac:dyDescent="0.25" r="9335" customHeight="1" ht="18.75">
      <c r="A9335" s="1" t="s">
        <v>3598</v>
      </c>
      <c r="B9335" s="1" t="s">
        <v>14123</v>
      </c>
      <c r="C9335" s="1" t="s">
        <v>3600</v>
      </c>
      <c r="D9335" s="1" t="s">
        <v>3601</v>
      </c>
      <c r="E9335" s="1" t="s">
        <v>3893</v>
      </c>
      <c r="F9335" s="1" t="s">
        <v>30945</v>
      </c>
      <c r="G9335" s="1" t="s">
        <v>14125</v>
      </c>
      <c r="H9335" s="1" t="s">
        <v>3604</v>
      </c>
      <c r="I9335" s="1" t="s">
        <v>30946</v>
      </c>
      <c r="J9335" s="1" t="s">
        <v>3615</v>
      </c>
      <c r="K9335" s="1" t="s">
        <v>30947</v>
      </c>
      <c r="L9335" s="1"/>
      <c r="M9335" s="1"/>
    </row>
    <row x14ac:dyDescent="0.25" r="9336" customHeight="1" ht="18.75">
      <c r="A9336" s="1" t="s">
        <v>3598</v>
      </c>
      <c r="B9336" s="1" t="s">
        <v>30941</v>
      </c>
      <c r="C9336" s="1" t="s">
        <v>3600</v>
      </c>
      <c r="D9336" s="1" t="s">
        <v>8365</v>
      </c>
      <c r="E9336" s="1" t="s">
        <v>3664</v>
      </c>
      <c r="F9336" s="1" t="s">
        <v>30948</v>
      </c>
      <c r="G9336" s="1" t="s">
        <v>30949</v>
      </c>
      <c r="H9336" s="1" t="s">
        <v>3604</v>
      </c>
      <c r="I9336" s="1" t="s">
        <v>30950</v>
      </c>
      <c r="J9336" s="1" t="s">
        <v>3615</v>
      </c>
      <c r="K9336" s="1" t="s">
        <v>30951</v>
      </c>
      <c r="L9336" s="1"/>
      <c r="M9336" s="1"/>
    </row>
    <row x14ac:dyDescent="0.25" r="9337" customHeight="1" ht="18.75">
      <c r="A9337" s="1" t="s">
        <v>3598</v>
      </c>
      <c r="B9337" s="1" t="s">
        <v>14123</v>
      </c>
      <c r="C9337" s="1" t="s">
        <v>3600</v>
      </c>
      <c r="D9337" s="1" t="s">
        <v>3601</v>
      </c>
      <c r="E9337" s="1" t="s">
        <v>3893</v>
      </c>
      <c r="F9337" s="1" t="s">
        <v>30952</v>
      </c>
      <c r="G9337" s="1" t="s">
        <v>14125</v>
      </c>
      <c r="H9337" s="1" t="s">
        <v>3604</v>
      </c>
      <c r="I9337" s="1" t="s">
        <v>30953</v>
      </c>
      <c r="J9337" s="1" t="s">
        <v>3615</v>
      </c>
      <c r="K9337" s="1" t="s">
        <v>30954</v>
      </c>
      <c r="L9337" s="1"/>
      <c r="M9337" s="1"/>
    </row>
    <row x14ac:dyDescent="0.25" r="9338" customHeight="1" ht="18.75">
      <c r="A9338" s="1" t="s">
        <v>3598</v>
      </c>
      <c r="B9338" s="1" t="s">
        <v>28260</v>
      </c>
      <c r="C9338" s="1" t="s">
        <v>3600</v>
      </c>
      <c r="D9338" s="1" t="s">
        <v>8365</v>
      </c>
      <c r="E9338" s="1" t="s">
        <v>3664</v>
      </c>
      <c r="F9338" s="1" t="s">
        <v>30955</v>
      </c>
      <c r="G9338" s="1" t="s">
        <v>18412</v>
      </c>
      <c r="H9338" s="1" t="s">
        <v>3604</v>
      </c>
      <c r="I9338" s="1" t="s">
        <v>30956</v>
      </c>
      <c r="J9338" s="1" t="s">
        <v>3615</v>
      </c>
      <c r="K9338" s="1" t="s">
        <v>30957</v>
      </c>
      <c r="L9338" s="1"/>
      <c r="M9338" s="1"/>
    </row>
    <row x14ac:dyDescent="0.25" r="9339" customHeight="1" ht="18.75">
      <c r="A9339" s="1" t="s">
        <v>3598</v>
      </c>
      <c r="B9339" s="1" t="s">
        <v>14123</v>
      </c>
      <c r="C9339" s="1" t="s">
        <v>3600</v>
      </c>
      <c r="D9339" s="1" t="s">
        <v>3601</v>
      </c>
      <c r="E9339" s="1" t="s">
        <v>3893</v>
      </c>
      <c r="F9339" s="1" t="s">
        <v>30958</v>
      </c>
      <c r="G9339" s="1" t="s">
        <v>14125</v>
      </c>
      <c r="H9339" s="1" t="s">
        <v>3604</v>
      </c>
      <c r="I9339" s="1" t="s">
        <v>30959</v>
      </c>
      <c r="J9339" s="1" t="s">
        <v>3615</v>
      </c>
      <c r="K9339" s="1" t="s">
        <v>30960</v>
      </c>
      <c r="L9339" s="1"/>
      <c r="M9339" s="1"/>
    </row>
    <row x14ac:dyDescent="0.25" r="9340" customHeight="1" ht="18.75">
      <c r="A9340" s="1" t="s">
        <v>3598</v>
      </c>
      <c r="B9340" s="1" t="s">
        <v>28264</v>
      </c>
      <c r="C9340" s="1" t="s">
        <v>3600</v>
      </c>
      <c r="D9340" s="1" t="s">
        <v>8365</v>
      </c>
      <c r="E9340" s="1" t="s">
        <v>3664</v>
      </c>
      <c r="F9340" s="1" t="s">
        <v>30961</v>
      </c>
      <c r="G9340" s="1" t="s">
        <v>18311</v>
      </c>
      <c r="H9340" s="1" t="s">
        <v>3604</v>
      </c>
      <c r="I9340" s="1" t="s">
        <v>30962</v>
      </c>
      <c r="J9340" s="1" t="s">
        <v>3615</v>
      </c>
      <c r="K9340" s="1" t="s">
        <v>30963</v>
      </c>
      <c r="L9340" s="1"/>
      <c r="M9340" s="1"/>
    </row>
    <row x14ac:dyDescent="0.25" r="9341" customHeight="1" ht="18.75">
      <c r="A9341" s="1" t="s">
        <v>3598</v>
      </c>
      <c r="B9341" s="1" t="s">
        <v>14123</v>
      </c>
      <c r="C9341" s="1" t="s">
        <v>3600</v>
      </c>
      <c r="D9341" s="1" t="s">
        <v>3601</v>
      </c>
      <c r="E9341" s="1" t="s">
        <v>3893</v>
      </c>
      <c r="F9341" s="1" t="s">
        <v>30964</v>
      </c>
      <c r="G9341" s="1" t="s">
        <v>14125</v>
      </c>
      <c r="H9341" s="1" t="s">
        <v>3604</v>
      </c>
      <c r="I9341" s="1" t="s">
        <v>30965</v>
      </c>
      <c r="J9341" s="1" t="s">
        <v>3615</v>
      </c>
      <c r="K9341" s="1" t="s">
        <v>30966</v>
      </c>
      <c r="L9341" s="1"/>
      <c r="M9341" s="1"/>
    </row>
    <row x14ac:dyDescent="0.25" r="9342" customHeight="1" ht="18.75">
      <c r="A9342" s="1" t="s">
        <v>3598</v>
      </c>
      <c r="B9342" s="1" t="s">
        <v>28264</v>
      </c>
      <c r="C9342" s="1" t="s">
        <v>3600</v>
      </c>
      <c r="D9342" s="1" t="s">
        <v>8365</v>
      </c>
      <c r="E9342" s="1" t="s">
        <v>3664</v>
      </c>
      <c r="F9342" s="1" t="s">
        <v>30967</v>
      </c>
      <c r="G9342" s="1" t="s">
        <v>18311</v>
      </c>
      <c r="H9342" s="1" t="s">
        <v>3604</v>
      </c>
      <c r="I9342" s="1" t="s">
        <v>30968</v>
      </c>
      <c r="J9342" s="1" t="s">
        <v>3615</v>
      </c>
      <c r="K9342" s="1" t="s">
        <v>30969</v>
      </c>
      <c r="L9342" s="1"/>
      <c r="M9342" s="1"/>
    </row>
    <row x14ac:dyDescent="0.25" r="9343" customHeight="1" ht="18.75">
      <c r="A9343" s="1" t="s">
        <v>3598</v>
      </c>
      <c r="B9343" s="1" t="s">
        <v>14123</v>
      </c>
      <c r="C9343" s="1" t="s">
        <v>3600</v>
      </c>
      <c r="D9343" s="1" t="s">
        <v>3601</v>
      </c>
      <c r="E9343" s="1" t="s">
        <v>3893</v>
      </c>
      <c r="F9343" s="1" t="s">
        <v>30970</v>
      </c>
      <c r="G9343" s="1" t="s">
        <v>14125</v>
      </c>
      <c r="H9343" s="1" t="s">
        <v>3604</v>
      </c>
      <c r="I9343" s="1" t="s">
        <v>30971</v>
      </c>
      <c r="J9343" s="1" t="s">
        <v>3615</v>
      </c>
      <c r="K9343" s="1" t="s">
        <v>30972</v>
      </c>
      <c r="L9343" s="1"/>
      <c r="M9343" s="1"/>
    </row>
    <row x14ac:dyDescent="0.25" r="9344" customHeight="1" ht="18.75">
      <c r="A9344" s="1" t="s">
        <v>3598</v>
      </c>
      <c r="B9344" s="1" t="s">
        <v>14123</v>
      </c>
      <c r="C9344" s="1" t="s">
        <v>3600</v>
      </c>
      <c r="D9344" s="1" t="s">
        <v>3601</v>
      </c>
      <c r="E9344" s="1" t="s">
        <v>3893</v>
      </c>
      <c r="F9344" s="1" t="s">
        <v>30973</v>
      </c>
      <c r="G9344" s="1" t="s">
        <v>14125</v>
      </c>
      <c r="H9344" s="1" t="s">
        <v>3604</v>
      </c>
      <c r="I9344" s="1" t="s">
        <v>30974</v>
      </c>
      <c r="J9344" s="1" t="s">
        <v>3615</v>
      </c>
      <c r="K9344" s="1" t="s">
        <v>30975</v>
      </c>
      <c r="L9344" s="1"/>
      <c r="M9344" s="1"/>
    </row>
    <row x14ac:dyDescent="0.25" r="9345" customHeight="1" ht="18.75">
      <c r="A9345" s="1" t="s">
        <v>3598</v>
      </c>
      <c r="B9345" s="1" t="s">
        <v>28264</v>
      </c>
      <c r="C9345" s="1" t="s">
        <v>3600</v>
      </c>
      <c r="D9345" s="1" t="s">
        <v>8365</v>
      </c>
      <c r="E9345" s="1" t="s">
        <v>3664</v>
      </c>
      <c r="F9345" s="1" t="s">
        <v>30976</v>
      </c>
      <c r="G9345" s="1" t="s">
        <v>18311</v>
      </c>
      <c r="H9345" s="1" t="s">
        <v>3604</v>
      </c>
      <c r="I9345" s="1" t="s">
        <v>30977</v>
      </c>
      <c r="J9345" s="1" t="s">
        <v>3615</v>
      </c>
      <c r="K9345" s="1" t="s">
        <v>30978</v>
      </c>
      <c r="L9345" s="1"/>
      <c r="M9345" s="1"/>
    </row>
    <row x14ac:dyDescent="0.25" r="9346" customHeight="1" ht="18.75">
      <c r="A9346" s="1" t="s">
        <v>3598</v>
      </c>
      <c r="B9346" s="1" t="s">
        <v>14123</v>
      </c>
      <c r="C9346" s="1" t="s">
        <v>3600</v>
      </c>
      <c r="D9346" s="1" t="s">
        <v>3601</v>
      </c>
      <c r="E9346" s="1" t="s">
        <v>3893</v>
      </c>
      <c r="F9346" s="1" t="s">
        <v>30979</v>
      </c>
      <c r="G9346" s="1" t="s">
        <v>14125</v>
      </c>
      <c r="H9346" s="1" t="s">
        <v>3604</v>
      </c>
      <c r="I9346" s="1" t="s">
        <v>30980</v>
      </c>
      <c r="J9346" s="1" t="s">
        <v>3615</v>
      </c>
      <c r="K9346" s="1" t="s">
        <v>30981</v>
      </c>
      <c r="L9346" s="1"/>
      <c r="M9346" s="1"/>
    </row>
    <row x14ac:dyDescent="0.25" r="9347" customHeight="1" ht="18.75">
      <c r="A9347" s="1" t="s">
        <v>3598</v>
      </c>
      <c r="B9347" s="1" t="s">
        <v>28264</v>
      </c>
      <c r="C9347" s="1" t="s">
        <v>3600</v>
      </c>
      <c r="D9347" s="1" t="s">
        <v>8365</v>
      </c>
      <c r="E9347" s="1" t="s">
        <v>3664</v>
      </c>
      <c r="F9347" s="1" t="s">
        <v>30982</v>
      </c>
      <c r="G9347" s="1" t="s">
        <v>18311</v>
      </c>
      <c r="H9347" s="1" t="s">
        <v>3604</v>
      </c>
      <c r="I9347" s="1" t="s">
        <v>30983</v>
      </c>
      <c r="J9347" s="1" t="s">
        <v>3615</v>
      </c>
      <c r="K9347" s="1" t="s">
        <v>30984</v>
      </c>
      <c r="L9347" s="1"/>
      <c r="M9347" s="1"/>
    </row>
    <row x14ac:dyDescent="0.25" r="9348" customHeight="1" ht="18.75">
      <c r="A9348" s="1" t="s">
        <v>3598</v>
      </c>
      <c r="B9348" s="1" t="s">
        <v>14123</v>
      </c>
      <c r="C9348" s="1" t="s">
        <v>3600</v>
      </c>
      <c r="D9348" s="1" t="s">
        <v>3601</v>
      </c>
      <c r="E9348" s="1" t="s">
        <v>3893</v>
      </c>
      <c r="F9348" s="1" t="s">
        <v>30985</v>
      </c>
      <c r="G9348" s="1" t="s">
        <v>14125</v>
      </c>
      <c r="H9348" s="1" t="s">
        <v>3604</v>
      </c>
      <c r="I9348" s="1" t="s">
        <v>30986</v>
      </c>
      <c r="J9348" s="1" t="s">
        <v>3615</v>
      </c>
      <c r="K9348" s="1" t="s">
        <v>30987</v>
      </c>
      <c r="L9348" s="1"/>
      <c r="M9348" s="1"/>
    </row>
    <row x14ac:dyDescent="0.25" r="9349" customHeight="1" ht="18.75">
      <c r="A9349" s="1" t="s">
        <v>3598</v>
      </c>
      <c r="B9349" s="1" t="s">
        <v>28264</v>
      </c>
      <c r="C9349" s="1" t="s">
        <v>3600</v>
      </c>
      <c r="D9349" s="1" t="s">
        <v>8365</v>
      </c>
      <c r="E9349" s="1" t="s">
        <v>3664</v>
      </c>
      <c r="F9349" s="1" t="s">
        <v>30988</v>
      </c>
      <c r="G9349" s="1" t="s">
        <v>18311</v>
      </c>
      <c r="H9349" s="1" t="s">
        <v>3604</v>
      </c>
      <c r="I9349" s="1" t="s">
        <v>30989</v>
      </c>
      <c r="J9349" s="1" t="s">
        <v>3615</v>
      </c>
      <c r="K9349" s="1" t="s">
        <v>30990</v>
      </c>
      <c r="L9349" s="1"/>
      <c r="M9349" s="1"/>
    </row>
    <row x14ac:dyDescent="0.25" r="9350" customHeight="1" ht="18.75">
      <c r="A9350" s="1" t="s">
        <v>3598</v>
      </c>
      <c r="B9350" s="1" t="s">
        <v>14123</v>
      </c>
      <c r="C9350" s="1" t="s">
        <v>3600</v>
      </c>
      <c r="D9350" s="1" t="s">
        <v>3601</v>
      </c>
      <c r="E9350" s="1" t="s">
        <v>3893</v>
      </c>
      <c r="F9350" s="1" t="s">
        <v>30991</v>
      </c>
      <c r="G9350" s="1" t="s">
        <v>14125</v>
      </c>
      <c r="H9350" s="1" t="s">
        <v>3604</v>
      </c>
      <c r="I9350" s="1" t="s">
        <v>30992</v>
      </c>
      <c r="J9350" s="1" t="s">
        <v>3615</v>
      </c>
      <c r="K9350" s="1" t="s">
        <v>30993</v>
      </c>
      <c r="L9350" s="1"/>
      <c r="M9350" s="1"/>
    </row>
    <row x14ac:dyDescent="0.25" r="9351" customHeight="1" ht="18.75">
      <c r="A9351" s="1" t="s">
        <v>3598</v>
      </c>
      <c r="B9351" s="1" t="s">
        <v>28692</v>
      </c>
      <c r="C9351" s="1" t="s">
        <v>3600</v>
      </c>
      <c r="D9351" s="1" t="s">
        <v>8365</v>
      </c>
      <c r="E9351" s="1" t="s">
        <v>3664</v>
      </c>
      <c r="F9351" s="1" t="s">
        <v>30994</v>
      </c>
      <c r="G9351" s="1" t="s">
        <v>17381</v>
      </c>
      <c r="H9351" s="1" t="s">
        <v>3604</v>
      </c>
      <c r="I9351" s="1" t="s">
        <v>30995</v>
      </c>
      <c r="J9351" s="1" t="s">
        <v>3615</v>
      </c>
      <c r="K9351" s="1" t="s">
        <v>30996</v>
      </c>
      <c r="L9351" s="1"/>
      <c r="M9351" s="1"/>
    </row>
    <row x14ac:dyDescent="0.25" r="9352" customHeight="1" ht="18.75">
      <c r="A9352" s="1" t="s">
        <v>3598</v>
      </c>
      <c r="B9352" s="1" t="s">
        <v>14104</v>
      </c>
      <c r="C9352" s="1" t="s">
        <v>3600</v>
      </c>
      <c r="D9352" s="1" t="s">
        <v>3601</v>
      </c>
      <c r="E9352" s="1" t="s">
        <v>3893</v>
      </c>
      <c r="F9352" s="1" t="s">
        <v>30997</v>
      </c>
      <c r="G9352" s="1" t="s">
        <v>14130</v>
      </c>
      <c r="H9352" s="1" t="s">
        <v>3604</v>
      </c>
      <c r="I9352" s="1" t="s">
        <v>30998</v>
      </c>
      <c r="J9352" s="1" t="s">
        <v>3615</v>
      </c>
      <c r="K9352" s="1" t="s">
        <v>30999</v>
      </c>
      <c r="L9352" s="1"/>
      <c r="M9352" s="1"/>
    </row>
    <row x14ac:dyDescent="0.25" r="9353" customHeight="1" ht="18.75">
      <c r="A9353" s="1" t="s">
        <v>3598</v>
      </c>
      <c r="B9353" s="1" t="s">
        <v>28692</v>
      </c>
      <c r="C9353" s="1" t="s">
        <v>3600</v>
      </c>
      <c r="D9353" s="1" t="s">
        <v>8365</v>
      </c>
      <c r="E9353" s="1" t="s">
        <v>3664</v>
      </c>
      <c r="F9353" s="1" t="s">
        <v>31000</v>
      </c>
      <c r="G9353" s="1" t="s">
        <v>17381</v>
      </c>
      <c r="H9353" s="1" t="s">
        <v>3604</v>
      </c>
      <c r="I9353" s="1" t="s">
        <v>31001</v>
      </c>
      <c r="J9353" s="1" t="s">
        <v>3615</v>
      </c>
      <c r="K9353" s="1" t="s">
        <v>31002</v>
      </c>
      <c r="L9353" s="1"/>
      <c r="M9353" s="1"/>
    </row>
    <row x14ac:dyDescent="0.25" r="9354" customHeight="1" ht="18.75">
      <c r="A9354" s="1" t="s">
        <v>3598</v>
      </c>
      <c r="B9354" s="1" t="s">
        <v>14104</v>
      </c>
      <c r="C9354" s="1" t="s">
        <v>3600</v>
      </c>
      <c r="D9354" s="1" t="s">
        <v>3601</v>
      </c>
      <c r="E9354" s="1" t="s">
        <v>3893</v>
      </c>
      <c r="F9354" s="1" t="s">
        <v>31003</v>
      </c>
      <c r="G9354" s="1" t="s">
        <v>14130</v>
      </c>
      <c r="H9354" s="1" t="s">
        <v>3604</v>
      </c>
      <c r="I9354" s="1" t="s">
        <v>31004</v>
      </c>
      <c r="J9354" s="1" t="s">
        <v>3615</v>
      </c>
      <c r="K9354" s="1" t="s">
        <v>31005</v>
      </c>
      <c r="L9354" s="1"/>
      <c r="M9354" s="1"/>
    </row>
    <row x14ac:dyDescent="0.25" r="9355" customHeight="1" ht="18.75">
      <c r="A9355" s="1" t="s">
        <v>3598</v>
      </c>
      <c r="B9355" s="1" t="s">
        <v>28692</v>
      </c>
      <c r="C9355" s="1" t="s">
        <v>3600</v>
      </c>
      <c r="D9355" s="1" t="s">
        <v>8365</v>
      </c>
      <c r="E9355" s="1" t="s">
        <v>3664</v>
      </c>
      <c r="F9355" s="1" t="s">
        <v>31006</v>
      </c>
      <c r="G9355" s="1" t="s">
        <v>17381</v>
      </c>
      <c r="H9355" s="1" t="s">
        <v>3604</v>
      </c>
      <c r="I9355" s="1" t="s">
        <v>31007</v>
      </c>
      <c r="J9355" s="1" t="s">
        <v>3615</v>
      </c>
      <c r="K9355" s="1" t="s">
        <v>31008</v>
      </c>
      <c r="L9355" s="1"/>
      <c r="M9355" s="1"/>
    </row>
    <row x14ac:dyDescent="0.25" r="9356" customHeight="1" ht="18.75">
      <c r="A9356" s="1" t="s">
        <v>3598</v>
      </c>
      <c r="B9356" s="1" t="s">
        <v>14104</v>
      </c>
      <c r="C9356" s="1" t="s">
        <v>3600</v>
      </c>
      <c r="D9356" s="1" t="s">
        <v>3601</v>
      </c>
      <c r="E9356" s="1" t="s">
        <v>3893</v>
      </c>
      <c r="F9356" s="1" t="s">
        <v>31009</v>
      </c>
      <c r="G9356" s="1" t="s">
        <v>14130</v>
      </c>
      <c r="H9356" s="1" t="s">
        <v>3604</v>
      </c>
      <c r="I9356" s="1" t="s">
        <v>31010</v>
      </c>
      <c r="J9356" s="1" t="s">
        <v>3615</v>
      </c>
      <c r="K9356" s="1" t="s">
        <v>31011</v>
      </c>
      <c r="L9356" s="1"/>
      <c r="M9356" s="1"/>
    </row>
    <row x14ac:dyDescent="0.25" r="9357" customHeight="1" ht="18.75">
      <c r="A9357" s="1" t="s">
        <v>3598</v>
      </c>
      <c r="B9357" s="1" t="s">
        <v>14104</v>
      </c>
      <c r="C9357" s="1" t="s">
        <v>3600</v>
      </c>
      <c r="D9357" s="1" t="s">
        <v>3601</v>
      </c>
      <c r="E9357" s="1" t="s">
        <v>3893</v>
      </c>
      <c r="F9357" s="1" t="s">
        <v>31012</v>
      </c>
      <c r="G9357" s="1" t="s">
        <v>14130</v>
      </c>
      <c r="H9357" s="1" t="s">
        <v>3604</v>
      </c>
      <c r="I9357" s="1" t="s">
        <v>31013</v>
      </c>
      <c r="J9357" s="1" t="s">
        <v>3615</v>
      </c>
      <c r="K9357" s="1" t="s">
        <v>31014</v>
      </c>
      <c r="L9357" s="1"/>
      <c r="M9357" s="1"/>
    </row>
    <row x14ac:dyDescent="0.25" r="9358" customHeight="1" ht="18.75">
      <c r="A9358" s="1" t="s">
        <v>3598</v>
      </c>
      <c r="B9358" s="1" t="s">
        <v>5252</v>
      </c>
      <c r="C9358" s="1" t="s">
        <v>3600</v>
      </c>
      <c r="D9358" s="1" t="s">
        <v>3601</v>
      </c>
      <c r="E9358" s="1" t="s">
        <v>3893</v>
      </c>
      <c r="F9358" s="1" t="s">
        <v>31015</v>
      </c>
      <c r="G9358" s="1" t="s">
        <v>18400</v>
      </c>
      <c r="H9358" s="1" t="s">
        <v>3604</v>
      </c>
      <c r="I9358" s="1" t="s">
        <v>31016</v>
      </c>
      <c r="J9358" s="1" t="s">
        <v>3615</v>
      </c>
      <c r="K9358" s="1" t="s">
        <v>31017</v>
      </c>
      <c r="L9358" s="1"/>
      <c r="M9358" s="1"/>
    </row>
    <row x14ac:dyDescent="0.25" r="9359" customHeight="1" ht="18.75">
      <c r="A9359" s="1" t="s">
        <v>3598</v>
      </c>
      <c r="B9359" s="1" t="s">
        <v>5252</v>
      </c>
      <c r="C9359" s="1" t="s">
        <v>3600</v>
      </c>
      <c r="D9359" s="1" t="s">
        <v>3601</v>
      </c>
      <c r="E9359" s="1" t="s">
        <v>3893</v>
      </c>
      <c r="F9359" s="1" t="s">
        <v>31018</v>
      </c>
      <c r="G9359" s="1" t="s">
        <v>18400</v>
      </c>
      <c r="H9359" s="1" t="s">
        <v>3604</v>
      </c>
      <c r="I9359" s="1" t="s">
        <v>31019</v>
      </c>
      <c r="J9359" s="1" t="s">
        <v>3615</v>
      </c>
      <c r="K9359" s="1" t="s">
        <v>31020</v>
      </c>
      <c r="L9359" s="1"/>
      <c r="M9359" s="1"/>
    </row>
    <row x14ac:dyDescent="0.25" r="9360" customHeight="1" ht="18.75">
      <c r="A9360" s="1" t="s">
        <v>3598</v>
      </c>
      <c r="B9360" s="1" t="s">
        <v>3751</v>
      </c>
      <c r="C9360" s="1" t="s">
        <v>3600</v>
      </c>
      <c r="D9360" s="1" t="s">
        <v>3601</v>
      </c>
      <c r="E9360" s="1" t="s">
        <v>3611</v>
      </c>
      <c r="F9360" s="1" t="s">
        <v>31021</v>
      </c>
      <c r="G9360" s="1" t="s">
        <v>31022</v>
      </c>
      <c r="H9360" s="1" t="s">
        <v>3604</v>
      </c>
      <c r="I9360" s="1" t="s">
        <v>31023</v>
      </c>
      <c r="J9360" s="1" t="s">
        <v>3615</v>
      </c>
      <c r="K9360" s="1" t="s">
        <v>31024</v>
      </c>
      <c r="L9360" s="1"/>
      <c r="M9360" s="1"/>
    </row>
    <row x14ac:dyDescent="0.25" r="9361" customHeight="1" ht="18.75">
      <c r="A9361" s="1" t="s">
        <v>3598</v>
      </c>
      <c r="B9361" s="1" t="s">
        <v>3751</v>
      </c>
      <c r="C9361" s="1" t="s">
        <v>3600</v>
      </c>
      <c r="D9361" s="1" t="s">
        <v>3601</v>
      </c>
      <c r="E9361" s="1" t="s">
        <v>3752</v>
      </c>
      <c r="F9361" s="1" t="s">
        <v>31025</v>
      </c>
      <c r="G9361" s="1" t="s">
        <v>31026</v>
      </c>
      <c r="H9361" s="1" t="s">
        <v>3604</v>
      </c>
      <c r="I9361" s="1" t="s">
        <v>31027</v>
      </c>
      <c r="J9361" s="1" t="s">
        <v>3615</v>
      </c>
      <c r="K9361" s="1" t="s">
        <v>31028</v>
      </c>
      <c r="L9361" s="1"/>
      <c r="M9361" s="1"/>
    </row>
    <row x14ac:dyDescent="0.25" r="9362" customHeight="1" ht="18.75">
      <c r="A9362" s="1" t="s">
        <v>3598</v>
      </c>
      <c r="B9362" s="1" t="s">
        <v>8191</v>
      </c>
      <c r="C9362" s="1" t="s">
        <v>3600</v>
      </c>
      <c r="D9362" s="1" t="s">
        <v>3601</v>
      </c>
      <c r="E9362" s="1" t="s">
        <v>3664</v>
      </c>
      <c r="F9362" s="1" t="s">
        <v>31029</v>
      </c>
      <c r="G9362" s="1" t="s">
        <v>16166</v>
      </c>
      <c r="H9362" s="1" t="s">
        <v>3604</v>
      </c>
      <c r="I9362" s="1" t="s">
        <v>31030</v>
      </c>
      <c r="J9362" s="1" t="s">
        <v>3615</v>
      </c>
      <c r="K9362" s="1" t="s">
        <v>31031</v>
      </c>
      <c r="L9362" s="1"/>
      <c r="M9362" s="1"/>
    </row>
    <row x14ac:dyDescent="0.25" r="9363" customHeight="1" ht="18.75">
      <c r="A9363" s="1" t="s">
        <v>3598</v>
      </c>
      <c r="B9363" s="1" t="s">
        <v>4689</v>
      </c>
      <c r="C9363" s="1" t="s">
        <v>3600</v>
      </c>
      <c r="D9363" s="1" t="s">
        <v>3601</v>
      </c>
      <c r="E9363" s="1" t="s">
        <v>3611</v>
      </c>
      <c r="F9363" s="1" t="s">
        <v>31032</v>
      </c>
      <c r="G9363" s="1" t="s">
        <v>7853</v>
      </c>
      <c r="H9363" s="1" t="s">
        <v>3604</v>
      </c>
      <c r="I9363" s="1" t="s">
        <v>31033</v>
      </c>
      <c r="J9363" s="1" t="s">
        <v>3615</v>
      </c>
      <c r="K9363" s="1" t="s">
        <v>31034</v>
      </c>
      <c r="L9363" s="1"/>
      <c r="M9363" s="1"/>
    </row>
    <row x14ac:dyDescent="0.25" r="9364" customHeight="1" ht="18.75">
      <c r="A9364" s="1" t="s">
        <v>3598</v>
      </c>
      <c r="B9364" s="1" t="s">
        <v>5260</v>
      </c>
      <c r="C9364" s="1" t="s">
        <v>3600</v>
      </c>
      <c r="D9364" s="1" t="s">
        <v>3601</v>
      </c>
      <c r="E9364" s="1" t="s">
        <v>3752</v>
      </c>
      <c r="F9364" s="1" t="s">
        <v>31035</v>
      </c>
      <c r="G9364" s="1" t="s">
        <v>31036</v>
      </c>
      <c r="H9364" s="1" t="s">
        <v>3604</v>
      </c>
      <c r="I9364" s="1" t="s">
        <v>31037</v>
      </c>
      <c r="J9364" s="1" t="s">
        <v>3615</v>
      </c>
      <c r="K9364" s="1" t="s">
        <v>31038</v>
      </c>
      <c r="L9364" s="1"/>
      <c r="M9364" s="1"/>
    </row>
    <row x14ac:dyDescent="0.25" r="9365" customHeight="1" ht="18.75">
      <c r="A9365" s="1" t="s">
        <v>3598</v>
      </c>
      <c r="B9365" s="1" t="s">
        <v>18092</v>
      </c>
      <c r="C9365" s="1" t="s">
        <v>3600</v>
      </c>
      <c r="D9365" s="1" t="s">
        <v>3601</v>
      </c>
      <c r="E9365" s="1" t="s">
        <v>3893</v>
      </c>
      <c r="F9365" s="1" t="s">
        <v>31039</v>
      </c>
      <c r="G9365" s="1" t="s">
        <v>31040</v>
      </c>
      <c r="H9365" s="1" t="s">
        <v>3604</v>
      </c>
      <c r="I9365" s="1" t="s">
        <v>31041</v>
      </c>
      <c r="J9365" s="1" t="s">
        <v>3615</v>
      </c>
      <c r="K9365" s="1" t="s">
        <v>31042</v>
      </c>
      <c r="L9365" s="1"/>
      <c r="M9365" s="1"/>
    </row>
    <row x14ac:dyDescent="0.25" r="9366" customHeight="1" ht="18.75">
      <c r="A9366" s="1" t="s">
        <v>3598</v>
      </c>
      <c r="B9366" s="1" t="s">
        <v>3751</v>
      </c>
      <c r="C9366" s="1" t="s">
        <v>3600</v>
      </c>
      <c r="D9366" s="1" t="s">
        <v>3601</v>
      </c>
      <c r="E9366" s="1" t="s">
        <v>3752</v>
      </c>
      <c r="F9366" s="1" t="s">
        <v>31043</v>
      </c>
      <c r="G9366" s="1" t="s">
        <v>31044</v>
      </c>
      <c r="H9366" s="1" t="s">
        <v>3604</v>
      </c>
      <c r="I9366" s="1" t="s">
        <v>31045</v>
      </c>
      <c r="J9366" s="1" t="s">
        <v>3615</v>
      </c>
      <c r="K9366" s="1" t="s">
        <v>31046</v>
      </c>
      <c r="L9366" s="1"/>
      <c r="M9366" s="1"/>
    </row>
    <row x14ac:dyDescent="0.25" r="9367" customHeight="1" ht="18.75">
      <c r="A9367" s="1" t="s">
        <v>3598</v>
      </c>
      <c r="B9367" s="1" t="s">
        <v>4627</v>
      </c>
      <c r="C9367" s="1" t="s">
        <v>3600</v>
      </c>
      <c r="D9367" s="1" t="s">
        <v>8373</v>
      </c>
      <c r="E9367" s="1" t="s">
        <v>3664</v>
      </c>
      <c r="F9367" s="1" t="s">
        <v>31047</v>
      </c>
      <c r="G9367" s="1" t="s">
        <v>21969</v>
      </c>
      <c r="H9367" s="1" t="s">
        <v>3604</v>
      </c>
      <c r="I9367" s="1" t="s">
        <v>31048</v>
      </c>
      <c r="J9367" s="1" t="s">
        <v>3615</v>
      </c>
      <c r="K9367" s="1" t="s">
        <v>31049</v>
      </c>
      <c r="L9367" s="1"/>
      <c r="M9367" s="1"/>
    </row>
    <row x14ac:dyDescent="0.25" r="9368" customHeight="1" ht="18.75">
      <c r="A9368" s="1" t="s">
        <v>3598</v>
      </c>
      <c r="B9368" s="1" t="s">
        <v>8082</v>
      </c>
      <c r="C9368" s="1" t="s">
        <v>3600</v>
      </c>
      <c r="D9368" s="1" t="s">
        <v>533</v>
      </c>
      <c r="E9368" s="1" t="s">
        <v>3752</v>
      </c>
      <c r="F9368" s="1" t="s">
        <v>31050</v>
      </c>
      <c r="G9368" s="1" t="s">
        <v>15884</v>
      </c>
      <c r="H9368" s="1" t="s">
        <v>3604</v>
      </c>
      <c r="I9368" s="1" t="s">
        <v>31051</v>
      </c>
      <c r="J9368" s="1" t="s">
        <v>3615</v>
      </c>
      <c r="K9368" s="1" t="s">
        <v>31052</v>
      </c>
      <c r="L9368" s="1"/>
      <c r="M9368" s="1"/>
    </row>
    <row x14ac:dyDescent="0.25" r="9369" customHeight="1" ht="18.75">
      <c r="A9369" s="1" t="s">
        <v>3598</v>
      </c>
      <c r="B9369" s="1" t="s">
        <v>9025</v>
      </c>
      <c r="C9369" s="1" t="s">
        <v>3600</v>
      </c>
      <c r="D9369" s="1" t="s">
        <v>3601</v>
      </c>
      <c r="E9369" s="1" t="s">
        <v>3752</v>
      </c>
      <c r="F9369" s="1" t="s">
        <v>31053</v>
      </c>
      <c r="G9369" s="1" t="s">
        <v>31054</v>
      </c>
      <c r="H9369" s="1" t="s">
        <v>3604</v>
      </c>
      <c r="I9369" s="1" t="s">
        <v>31055</v>
      </c>
      <c r="J9369" s="1" t="s">
        <v>3615</v>
      </c>
      <c r="K9369" s="1" t="s">
        <v>31056</v>
      </c>
      <c r="L9369" s="1"/>
      <c r="M9369" s="1"/>
    </row>
    <row x14ac:dyDescent="0.25" r="9370" customHeight="1" ht="18.75">
      <c r="A9370" s="1" t="s">
        <v>3598</v>
      </c>
      <c r="B9370" s="1" t="s">
        <v>9025</v>
      </c>
      <c r="C9370" s="1" t="s">
        <v>3600</v>
      </c>
      <c r="D9370" s="1" t="s">
        <v>3601</v>
      </c>
      <c r="E9370" s="1" t="s">
        <v>3752</v>
      </c>
      <c r="F9370" s="1" t="s">
        <v>31057</v>
      </c>
      <c r="G9370" s="1" t="s">
        <v>31058</v>
      </c>
      <c r="H9370" s="1" t="s">
        <v>3604</v>
      </c>
      <c r="I9370" s="1" t="s">
        <v>31059</v>
      </c>
      <c r="J9370" s="1" t="s">
        <v>3615</v>
      </c>
      <c r="K9370" s="1" t="s">
        <v>31060</v>
      </c>
      <c r="L9370" s="1"/>
      <c r="M9370" s="1"/>
    </row>
    <row x14ac:dyDescent="0.25" r="9371" customHeight="1" ht="18.75">
      <c r="A9371" s="1" t="s">
        <v>3598</v>
      </c>
      <c r="B9371" s="1" t="s">
        <v>14054</v>
      </c>
      <c r="C9371" s="1" t="s">
        <v>3600</v>
      </c>
      <c r="D9371" s="1" t="s">
        <v>533</v>
      </c>
      <c r="E9371" s="1" t="s">
        <v>3752</v>
      </c>
      <c r="F9371" s="1" t="s">
        <v>31061</v>
      </c>
      <c r="G9371" s="1" t="s">
        <v>26854</v>
      </c>
      <c r="H9371" s="1" t="s">
        <v>3604</v>
      </c>
      <c r="I9371" s="1" t="s">
        <v>31062</v>
      </c>
      <c r="J9371" s="1" t="s">
        <v>3615</v>
      </c>
      <c r="K9371" s="1" t="s">
        <v>31063</v>
      </c>
      <c r="L9371" s="1"/>
      <c r="M9371" s="1"/>
    </row>
    <row x14ac:dyDescent="0.25" r="9372" customHeight="1" ht="18.75">
      <c r="A9372" s="1" t="s">
        <v>3598</v>
      </c>
      <c r="B9372" s="1" t="s">
        <v>9025</v>
      </c>
      <c r="C9372" s="1" t="s">
        <v>3600</v>
      </c>
      <c r="D9372" s="1" t="s">
        <v>3601</v>
      </c>
      <c r="E9372" s="1" t="s">
        <v>3752</v>
      </c>
      <c r="F9372" s="1" t="s">
        <v>31064</v>
      </c>
      <c r="G9372" s="1" t="s">
        <v>27455</v>
      </c>
      <c r="H9372" s="1" t="s">
        <v>3604</v>
      </c>
      <c r="I9372" s="1" t="s">
        <v>31065</v>
      </c>
      <c r="J9372" s="1" t="s">
        <v>3615</v>
      </c>
      <c r="K9372" s="1" t="s">
        <v>31066</v>
      </c>
      <c r="L9372" s="1"/>
      <c r="M9372" s="1"/>
    </row>
    <row x14ac:dyDescent="0.25" r="9373" customHeight="1" ht="18.75">
      <c r="A9373" s="1" t="s">
        <v>3598</v>
      </c>
      <c r="B9373" s="1" t="s">
        <v>14054</v>
      </c>
      <c r="C9373" s="1" t="s">
        <v>3600</v>
      </c>
      <c r="D9373" s="1" t="s">
        <v>533</v>
      </c>
      <c r="E9373" s="1" t="s">
        <v>3752</v>
      </c>
      <c r="F9373" s="1" t="s">
        <v>31067</v>
      </c>
      <c r="G9373" s="1" t="s">
        <v>26862</v>
      </c>
      <c r="H9373" s="1" t="s">
        <v>3604</v>
      </c>
      <c r="I9373" s="1" t="s">
        <v>31068</v>
      </c>
      <c r="J9373" s="1" t="s">
        <v>3615</v>
      </c>
      <c r="K9373" s="1" t="s">
        <v>31069</v>
      </c>
      <c r="L9373" s="1"/>
      <c r="M9373" s="1"/>
    </row>
    <row x14ac:dyDescent="0.25" r="9374" customHeight="1" ht="18.75">
      <c r="A9374" s="1" t="s">
        <v>3598</v>
      </c>
      <c r="B9374" s="1" t="s">
        <v>9025</v>
      </c>
      <c r="C9374" s="1" t="s">
        <v>3600</v>
      </c>
      <c r="D9374" s="1" t="s">
        <v>3601</v>
      </c>
      <c r="E9374" s="1" t="s">
        <v>3664</v>
      </c>
      <c r="F9374" s="1" t="s">
        <v>31070</v>
      </c>
      <c r="G9374" s="1" t="s">
        <v>31071</v>
      </c>
      <c r="H9374" s="1" t="s">
        <v>3604</v>
      </c>
      <c r="I9374" s="1" t="s">
        <v>31072</v>
      </c>
      <c r="J9374" s="1" t="s">
        <v>3615</v>
      </c>
      <c r="K9374" s="1" t="s">
        <v>31073</v>
      </c>
      <c r="L9374" s="1"/>
      <c r="M9374" s="1"/>
    </row>
    <row x14ac:dyDescent="0.25" r="9375" customHeight="1" ht="18.75">
      <c r="A9375" s="1" t="s">
        <v>3598</v>
      </c>
      <c r="B9375" s="1" t="s">
        <v>18066</v>
      </c>
      <c r="C9375" s="1" t="s">
        <v>3600</v>
      </c>
      <c r="D9375" s="1" t="s">
        <v>533</v>
      </c>
      <c r="E9375" s="1" t="s">
        <v>3752</v>
      </c>
      <c r="F9375" s="1" t="s">
        <v>31074</v>
      </c>
      <c r="G9375" s="1" t="s">
        <v>31075</v>
      </c>
      <c r="H9375" s="1" t="s">
        <v>3604</v>
      </c>
      <c r="I9375" s="1" t="s">
        <v>31076</v>
      </c>
      <c r="J9375" s="1" t="s">
        <v>3615</v>
      </c>
      <c r="K9375" s="1" t="s">
        <v>31077</v>
      </c>
      <c r="L9375" s="1"/>
      <c r="M9375" s="1"/>
    </row>
    <row x14ac:dyDescent="0.25" r="9376" customHeight="1" ht="18.75">
      <c r="A9376" s="1" t="s">
        <v>3598</v>
      </c>
      <c r="B9376" s="1" t="s">
        <v>9025</v>
      </c>
      <c r="C9376" s="1" t="s">
        <v>3600</v>
      </c>
      <c r="D9376" s="1" t="s">
        <v>3601</v>
      </c>
      <c r="E9376" s="1" t="s">
        <v>3664</v>
      </c>
      <c r="F9376" s="1" t="s">
        <v>31078</v>
      </c>
      <c r="G9376" s="1" t="s">
        <v>21244</v>
      </c>
      <c r="H9376" s="1" t="s">
        <v>3604</v>
      </c>
      <c r="I9376" s="1" t="s">
        <v>31079</v>
      </c>
      <c r="J9376" s="1" t="s">
        <v>3615</v>
      </c>
      <c r="K9376" s="1" t="s">
        <v>31080</v>
      </c>
      <c r="L9376" s="1"/>
      <c r="M9376" s="1"/>
    </row>
    <row x14ac:dyDescent="0.25" r="9377" customHeight="1" ht="18.75">
      <c r="A9377" s="1" t="s">
        <v>3598</v>
      </c>
      <c r="B9377" s="1" t="s">
        <v>18066</v>
      </c>
      <c r="C9377" s="1" t="s">
        <v>3600</v>
      </c>
      <c r="D9377" s="1" t="s">
        <v>533</v>
      </c>
      <c r="E9377" s="1" t="s">
        <v>3752</v>
      </c>
      <c r="F9377" s="1" t="s">
        <v>31081</v>
      </c>
      <c r="G9377" s="1" t="s">
        <v>31082</v>
      </c>
      <c r="H9377" s="1" t="s">
        <v>3604</v>
      </c>
      <c r="I9377" s="1" t="s">
        <v>31083</v>
      </c>
      <c r="J9377" s="1" t="s">
        <v>3615</v>
      </c>
      <c r="K9377" s="1" t="s">
        <v>31084</v>
      </c>
      <c r="L9377" s="1"/>
      <c r="M9377" s="1"/>
    </row>
    <row x14ac:dyDescent="0.25" r="9378" customHeight="1" ht="18.75">
      <c r="A9378" s="1" t="s">
        <v>3598</v>
      </c>
      <c r="B9378" s="1" t="s">
        <v>9025</v>
      </c>
      <c r="C9378" s="1" t="s">
        <v>3600</v>
      </c>
      <c r="D9378" s="1" t="s">
        <v>3601</v>
      </c>
      <c r="E9378" s="1" t="s">
        <v>3664</v>
      </c>
      <c r="F9378" s="1" t="s">
        <v>31085</v>
      </c>
      <c r="G9378" s="1" t="s">
        <v>21260</v>
      </c>
      <c r="H9378" s="1" t="s">
        <v>3604</v>
      </c>
      <c r="I9378" s="1" t="s">
        <v>31086</v>
      </c>
      <c r="J9378" s="1" t="s">
        <v>3615</v>
      </c>
      <c r="K9378" s="1" t="s">
        <v>31087</v>
      </c>
      <c r="L9378" s="1"/>
      <c r="M9378" s="1"/>
    </row>
    <row x14ac:dyDescent="0.25" r="9379" customHeight="1" ht="18.75">
      <c r="A9379" s="1" t="s">
        <v>3598</v>
      </c>
      <c r="B9379" s="1" t="s">
        <v>13864</v>
      </c>
      <c r="C9379" s="1" t="s">
        <v>3600</v>
      </c>
      <c r="D9379" s="1" t="s">
        <v>533</v>
      </c>
      <c r="E9379" s="1" t="s">
        <v>3752</v>
      </c>
      <c r="F9379" s="1" t="s">
        <v>31088</v>
      </c>
      <c r="G9379" s="1" t="s">
        <v>26788</v>
      </c>
      <c r="H9379" s="1" t="s">
        <v>3604</v>
      </c>
      <c r="I9379" s="1" t="s">
        <v>31089</v>
      </c>
      <c r="J9379" s="1" t="s">
        <v>3615</v>
      </c>
      <c r="K9379" s="1" t="s">
        <v>28370</v>
      </c>
      <c r="L9379" s="1"/>
      <c r="M9379" s="1"/>
    </row>
    <row x14ac:dyDescent="0.25" r="9380" customHeight="1" ht="18.75">
      <c r="A9380" s="1" t="s">
        <v>3598</v>
      </c>
      <c r="B9380" s="1" t="s">
        <v>9025</v>
      </c>
      <c r="C9380" s="1" t="s">
        <v>3600</v>
      </c>
      <c r="D9380" s="1" t="s">
        <v>3601</v>
      </c>
      <c r="E9380" s="1" t="s">
        <v>3664</v>
      </c>
      <c r="F9380" s="1" t="s">
        <v>31090</v>
      </c>
      <c r="G9380" s="1" t="s">
        <v>29600</v>
      </c>
      <c r="H9380" s="1" t="s">
        <v>3604</v>
      </c>
      <c r="I9380" s="1" t="s">
        <v>31091</v>
      </c>
      <c r="J9380" s="1" t="s">
        <v>3615</v>
      </c>
      <c r="K9380" s="1" t="s">
        <v>31092</v>
      </c>
      <c r="L9380" s="1"/>
      <c r="M9380" s="1"/>
    </row>
    <row x14ac:dyDescent="0.25" r="9381" customHeight="1" ht="18.75">
      <c r="A9381" s="1" t="s">
        <v>3598</v>
      </c>
      <c r="B9381" s="1" t="s">
        <v>5239</v>
      </c>
      <c r="C9381" s="1" t="s">
        <v>3600</v>
      </c>
      <c r="D9381" s="1" t="s">
        <v>533</v>
      </c>
      <c r="E9381" s="1" t="s">
        <v>3752</v>
      </c>
      <c r="F9381" s="1" t="s">
        <v>31093</v>
      </c>
      <c r="G9381" s="1" t="s">
        <v>31094</v>
      </c>
      <c r="H9381" s="1" t="s">
        <v>3604</v>
      </c>
      <c r="I9381" s="1" t="s">
        <v>31095</v>
      </c>
      <c r="J9381" s="1" t="s">
        <v>3615</v>
      </c>
      <c r="K9381" s="1" t="s">
        <v>31063</v>
      </c>
      <c r="L9381" s="1"/>
      <c r="M9381" s="1"/>
    </row>
    <row x14ac:dyDescent="0.25" r="9382" customHeight="1" ht="18.75">
      <c r="A9382" s="1" t="s">
        <v>3598</v>
      </c>
      <c r="B9382" s="1" t="s">
        <v>9025</v>
      </c>
      <c r="C9382" s="1" t="s">
        <v>3600</v>
      </c>
      <c r="D9382" s="1" t="s">
        <v>3601</v>
      </c>
      <c r="E9382" s="1" t="s">
        <v>3664</v>
      </c>
      <c r="F9382" s="1" t="s">
        <v>31096</v>
      </c>
      <c r="G9382" s="1" t="s">
        <v>31097</v>
      </c>
      <c r="H9382" s="1" t="s">
        <v>3604</v>
      </c>
      <c r="I9382" s="1" t="s">
        <v>31098</v>
      </c>
      <c r="J9382" s="1" t="s">
        <v>3615</v>
      </c>
      <c r="K9382" s="1" t="s">
        <v>31099</v>
      </c>
      <c r="L9382" s="1"/>
      <c r="M9382" s="1"/>
    </row>
    <row x14ac:dyDescent="0.25" r="9383" customHeight="1" ht="18.75">
      <c r="A9383" s="1" t="s">
        <v>3598</v>
      </c>
      <c r="B9383" s="1" t="s">
        <v>15397</v>
      </c>
      <c r="C9383" s="1" t="s">
        <v>3600</v>
      </c>
      <c r="D9383" s="1" t="s">
        <v>3601</v>
      </c>
      <c r="E9383" s="1" t="s">
        <v>3664</v>
      </c>
      <c r="F9383" s="1" t="s">
        <v>31100</v>
      </c>
      <c r="G9383" s="1" t="s">
        <v>15399</v>
      </c>
      <c r="H9383" s="1" t="s">
        <v>3604</v>
      </c>
      <c r="I9383" s="1" t="s">
        <v>31101</v>
      </c>
      <c r="J9383" s="1" t="s">
        <v>3615</v>
      </c>
      <c r="K9383" s="1" t="s">
        <v>31102</v>
      </c>
      <c r="L9383" s="1"/>
      <c r="M9383" s="1"/>
    </row>
    <row x14ac:dyDescent="0.25" r="9384" customHeight="1" ht="18.75">
      <c r="A9384" s="1" t="s">
        <v>3598</v>
      </c>
      <c r="B9384" s="1" t="s">
        <v>15397</v>
      </c>
      <c r="C9384" s="1" t="s">
        <v>3600</v>
      </c>
      <c r="D9384" s="1" t="s">
        <v>3601</v>
      </c>
      <c r="E9384" s="1" t="s">
        <v>3664</v>
      </c>
      <c r="F9384" s="1" t="s">
        <v>31103</v>
      </c>
      <c r="G9384" s="1" t="s">
        <v>29582</v>
      </c>
      <c r="H9384" s="1" t="s">
        <v>3604</v>
      </c>
      <c r="I9384" s="1" t="s">
        <v>31104</v>
      </c>
      <c r="J9384" s="1" t="s">
        <v>3615</v>
      </c>
      <c r="K9384" s="1" t="s">
        <v>31105</v>
      </c>
      <c r="L9384" s="1"/>
      <c r="M9384" s="1"/>
    </row>
    <row x14ac:dyDescent="0.25" r="9385" customHeight="1" ht="18.75">
      <c r="A9385" s="1" t="s">
        <v>3598</v>
      </c>
      <c r="B9385" s="1" t="s">
        <v>5239</v>
      </c>
      <c r="C9385" s="1" t="s">
        <v>3600</v>
      </c>
      <c r="D9385" s="1" t="s">
        <v>533</v>
      </c>
      <c r="E9385" s="1" t="s">
        <v>3752</v>
      </c>
      <c r="F9385" s="1" t="s">
        <v>31106</v>
      </c>
      <c r="G9385" s="1" t="s">
        <v>31107</v>
      </c>
      <c r="H9385" s="1" t="s">
        <v>3604</v>
      </c>
      <c r="I9385" s="1" t="s">
        <v>31108</v>
      </c>
      <c r="J9385" s="1" t="s">
        <v>3615</v>
      </c>
      <c r="K9385" s="1" t="s">
        <v>31109</v>
      </c>
      <c r="L9385" s="1"/>
      <c r="M9385" s="1"/>
    </row>
    <row x14ac:dyDescent="0.25" r="9386" customHeight="1" ht="18.75">
      <c r="A9386" s="1" t="s">
        <v>3598</v>
      </c>
      <c r="B9386" s="1" t="s">
        <v>15397</v>
      </c>
      <c r="C9386" s="1" t="s">
        <v>3600</v>
      </c>
      <c r="D9386" s="1" t="s">
        <v>3601</v>
      </c>
      <c r="E9386" s="1" t="s">
        <v>3664</v>
      </c>
      <c r="F9386" s="1" t="s">
        <v>31110</v>
      </c>
      <c r="G9386" s="1" t="s">
        <v>29589</v>
      </c>
      <c r="H9386" s="1" t="s">
        <v>3604</v>
      </c>
      <c r="I9386" s="1" t="s">
        <v>31111</v>
      </c>
      <c r="J9386" s="1" t="s">
        <v>3615</v>
      </c>
      <c r="K9386" s="1" t="s">
        <v>31112</v>
      </c>
      <c r="L9386" s="1"/>
      <c r="M9386" s="1"/>
    </row>
    <row x14ac:dyDescent="0.25" r="9387" customHeight="1" ht="18.75">
      <c r="A9387" s="1" t="s">
        <v>3598</v>
      </c>
      <c r="B9387" s="1" t="s">
        <v>5239</v>
      </c>
      <c r="C9387" s="1" t="s">
        <v>3600</v>
      </c>
      <c r="D9387" s="1" t="s">
        <v>533</v>
      </c>
      <c r="E9387" s="1" t="s">
        <v>3752</v>
      </c>
      <c r="F9387" s="1" t="s">
        <v>31113</v>
      </c>
      <c r="G9387" s="1" t="s">
        <v>31114</v>
      </c>
      <c r="H9387" s="1" t="s">
        <v>3604</v>
      </c>
      <c r="I9387" s="1" t="s">
        <v>31115</v>
      </c>
      <c r="J9387" s="1" t="s">
        <v>3615</v>
      </c>
      <c r="K9387" s="1" t="s">
        <v>3756</v>
      </c>
      <c r="L9387" s="1"/>
      <c r="M9387" s="1"/>
    </row>
    <row x14ac:dyDescent="0.25" r="9388" customHeight="1" ht="18.75">
      <c r="A9388" s="1" t="s">
        <v>3598</v>
      </c>
      <c r="B9388" s="1" t="s">
        <v>15397</v>
      </c>
      <c r="C9388" s="1" t="s">
        <v>3600</v>
      </c>
      <c r="D9388" s="1" t="s">
        <v>3601</v>
      </c>
      <c r="E9388" s="1" t="s">
        <v>3664</v>
      </c>
      <c r="F9388" s="1" t="s">
        <v>31116</v>
      </c>
      <c r="G9388" s="1" t="s">
        <v>16094</v>
      </c>
      <c r="H9388" s="1" t="s">
        <v>3604</v>
      </c>
      <c r="I9388" s="1" t="s">
        <v>31117</v>
      </c>
      <c r="J9388" s="1" t="s">
        <v>3615</v>
      </c>
      <c r="K9388" s="1" t="s">
        <v>31118</v>
      </c>
      <c r="L9388" s="1"/>
      <c r="M9388" s="1"/>
    </row>
    <row x14ac:dyDescent="0.25" r="9389" customHeight="1" ht="18.75">
      <c r="A9389" s="1" t="s">
        <v>3598</v>
      </c>
      <c r="B9389" s="1" t="s">
        <v>5239</v>
      </c>
      <c r="C9389" s="1" t="s">
        <v>3600</v>
      </c>
      <c r="D9389" s="1" t="s">
        <v>533</v>
      </c>
      <c r="E9389" s="1" t="s">
        <v>3752</v>
      </c>
      <c r="F9389" s="1" t="s">
        <v>31119</v>
      </c>
      <c r="G9389" s="1" t="s">
        <v>31120</v>
      </c>
      <c r="H9389" s="1" t="s">
        <v>3604</v>
      </c>
      <c r="I9389" s="1" t="s">
        <v>31121</v>
      </c>
      <c r="J9389" s="1" t="s">
        <v>3615</v>
      </c>
      <c r="K9389" s="1" t="s">
        <v>31069</v>
      </c>
      <c r="L9389" s="1"/>
      <c r="M9389" s="1"/>
    </row>
    <row x14ac:dyDescent="0.25" r="9390" customHeight="1" ht="18.75">
      <c r="A9390" s="1" t="s">
        <v>3598</v>
      </c>
      <c r="B9390" s="1" t="s">
        <v>15397</v>
      </c>
      <c r="C9390" s="1" t="s">
        <v>3600</v>
      </c>
      <c r="D9390" s="1" t="s">
        <v>3601</v>
      </c>
      <c r="E9390" s="1" t="s">
        <v>3664</v>
      </c>
      <c r="F9390" s="1" t="s">
        <v>31122</v>
      </c>
      <c r="G9390" s="1" t="s">
        <v>29534</v>
      </c>
      <c r="H9390" s="1" t="s">
        <v>3604</v>
      </c>
      <c r="I9390" s="1" t="s">
        <v>31123</v>
      </c>
      <c r="J9390" s="1" t="s">
        <v>3615</v>
      </c>
      <c r="K9390" s="1" t="s">
        <v>31124</v>
      </c>
      <c r="L9390" s="1"/>
      <c r="M9390" s="1"/>
    </row>
    <row x14ac:dyDescent="0.25" r="9391" customHeight="1" ht="18.75">
      <c r="A9391" s="1" t="s">
        <v>3598</v>
      </c>
      <c r="B9391" s="1" t="s">
        <v>5239</v>
      </c>
      <c r="C9391" s="1" t="s">
        <v>3600</v>
      </c>
      <c r="D9391" s="1" t="s">
        <v>533</v>
      </c>
      <c r="E9391" s="1" t="s">
        <v>3752</v>
      </c>
      <c r="F9391" s="1" t="s">
        <v>31125</v>
      </c>
      <c r="G9391" s="1" t="s">
        <v>31126</v>
      </c>
      <c r="H9391" s="1" t="s">
        <v>3604</v>
      </c>
      <c r="I9391" s="1" t="s">
        <v>31127</v>
      </c>
      <c r="J9391" s="1" t="s">
        <v>3615</v>
      </c>
      <c r="K9391" s="1" t="s">
        <v>31128</v>
      </c>
      <c r="L9391" s="1"/>
      <c r="M9391" s="1"/>
    </row>
    <row x14ac:dyDescent="0.25" r="9392" customHeight="1" ht="18.75">
      <c r="A9392" s="1" t="s">
        <v>3598</v>
      </c>
      <c r="B9392" s="1" t="s">
        <v>15397</v>
      </c>
      <c r="C9392" s="1" t="s">
        <v>3600</v>
      </c>
      <c r="D9392" s="1" t="s">
        <v>3601</v>
      </c>
      <c r="E9392" s="1" t="s">
        <v>3664</v>
      </c>
      <c r="F9392" s="1" t="s">
        <v>31129</v>
      </c>
      <c r="G9392" s="1" t="s">
        <v>29538</v>
      </c>
      <c r="H9392" s="1" t="s">
        <v>3604</v>
      </c>
      <c r="I9392" s="1" t="s">
        <v>31130</v>
      </c>
      <c r="J9392" s="1" t="s">
        <v>3615</v>
      </c>
      <c r="K9392" s="1" t="s">
        <v>31131</v>
      </c>
      <c r="L9392" s="1"/>
      <c r="M9392" s="1"/>
    </row>
    <row x14ac:dyDescent="0.25" r="9393" customHeight="1" ht="18.75">
      <c r="A9393" s="1" t="s">
        <v>3598</v>
      </c>
      <c r="B9393" s="1" t="s">
        <v>5239</v>
      </c>
      <c r="C9393" s="1" t="s">
        <v>3600</v>
      </c>
      <c r="D9393" s="1" t="s">
        <v>533</v>
      </c>
      <c r="E9393" s="1" t="s">
        <v>3752</v>
      </c>
      <c r="F9393" s="1" t="s">
        <v>31132</v>
      </c>
      <c r="G9393" s="1" t="s">
        <v>21470</v>
      </c>
      <c r="H9393" s="1" t="s">
        <v>3604</v>
      </c>
      <c r="I9393" s="1" t="s">
        <v>31133</v>
      </c>
      <c r="J9393" s="1" t="s">
        <v>3615</v>
      </c>
      <c r="K9393" s="1" t="s">
        <v>31134</v>
      </c>
      <c r="L9393" s="1"/>
      <c r="M9393" s="1"/>
    </row>
    <row x14ac:dyDescent="0.25" r="9394" customHeight="1" ht="18.75">
      <c r="A9394" s="1" t="s">
        <v>3598</v>
      </c>
      <c r="B9394" s="1" t="s">
        <v>15397</v>
      </c>
      <c r="C9394" s="1" t="s">
        <v>3600</v>
      </c>
      <c r="D9394" s="1" t="s">
        <v>3601</v>
      </c>
      <c r="E9394" s="1" t="s">
        <v>3664</v>
      </c>
      <c r="F9394" s="1" t="s">
        <v>31135</v>
      </c>
      <c r="G9394" s="1" t="s">
        <v>29542</v>
      </c>
      <c r="H9394" s="1" t="s">
        <v>3604</v>
      </c>
      <c r="I9394" s="1" t="s">
        <v>31136</v>
      </c>
      <c r="J9394" s="1" t="s">
        <v>3615</v>
      </c>
      <c r="K9394" s="1" t="s">
        <v>31137</v>
      </c>
      <c r="L9394" s="1"/>
      <c r="M9394" s="1"/>
    </row>
    <row x14ac:dyDescent="0.25" r="9395" customHeight="1" ht="18.75">
      <c r="A9395" s="1" t="s">
        <v>3598</v>
      </c>
      <c r="B9395" s="1" t="s">
        <v>15397</v>
      </c>
      <c r="C9395" s="1" t="s">
        <v>3600</v>
      </c>
      <c r="D9395" s="1" t="s">
        <v>3601</v>
      </c>
      <c r="E9395" s="1" t="s">
        <v>3664</v>
      </c>
      <c r="F9395" s="1" t="s">
        <v>31138</v>
      </c>
      <c r="G9395" s="1" t="s">
        <v>18077</v>
      </c>
      <c r="H9395" s="1" t="s">
        <v>3604</v>
      </c>
      <c r="I9395" s="1" t="s">
        <v>31139</v>
      </c>
      <c r="J9395" s="1" t="s">
        <v>3615</v>
      </c>
      <c r="K9395" s="1" t="s">
        <v>31140</v>
      </c>
      <c r="L9395" s="1"/>
      <c r="M9395" s="1"/>
    </row>
    <row x14ac:dyDescent="0.25" r="9396" customHeight="1" ht="18.75">
      <c r="A9396" s="1" t="s">
        <v>3598</v>
      </c>
      <c r="B9396" s="1" t="s">
        <v>5239</v>
      </c>
      <c r="C9396" s="1" t="s">
        <v>3600</v>
      </c>
      <c r="D9396" s="1" t="s">
        <v>533</v>
      </c>
      <c r="E9396" s="1" t="s">
        <v>3752</v>
      </c>
      <c r="F9396" s="1" t="s">
        <v>31141</v>
      </c>
      <c r="G9396" s="1" t="s">
        <v>21474</v>
      </c>
      <c r="H9396" s="1" t="s">
        <v>3604</v>
      </c>
      <c r="I9396" s="1" t="s">
        <v>31142</v>
      </c>
      <c r="J9396" s="1" t="s">
        <v>3615</v>
      </c>
      <c r="K9396" s="1" t="s">
        <v>31143</v>
      </c>
      <c r="L9396" s="1"/>
      <c r="M9396" s="1"/>
    </row>
    <row x14ac:dyDescent="0.25" r="9397" customHeight="1" ht="18.75">
      <c r="A9397" s="1" t="s">
        <v>3598</v>
      </c>
      <c r="B9397" s="1" t="s">
        <v>19975</v>
      </c>
      <c r="C9397" s="1" t="s">
        <v>3600</v>
      </c>
      <c r="D9397" s="1" t="s">
        <v>3601</v>
      </c>
      <c r="E9397" s="1" t="s">
        <v>3664</v>
      </c>
      <c r="F9397" s="1" t="s">
        <v>31144</v>
      </c>
      <c r="G9397" s="1" t="s">
        <v>31145</v>
      </c>
      <c r="H9397" s="1" t="s">
        <v>3604</v>
      </c>
      <c r="I9397" s="1" t="s">
        <v>31146</v>
      </c>
      <c r="J9397" s="1" t="s">
        <v>3615</v>
      </c>
      <c r="K9397" s="1" t="s">
        <v>31147</v>
      </c>
      <c r="L9397" s="1"/>
      <c r="M9397" s="1"/>
    </row>
    <row x14ac:dyDescent="0.25" r="9398" customHeight="1" ht="18.75">
      <c r="A9398" s="1" t="s">
        <v>3598</v>
      </c>
      <c r="B9398" s="1" t="s">
        <v>5239</v>
      </c>
      <c r="C9398" s="1" t="s">
        <v>3600</v>
      </c>
      <c r="D9398" s="1" t="s">
        <v>533</v>
      </c>
      <c r="E9398" s="1" t="s">
        <v>3752</v>
      </c>
      <c r="F9398" s="1" t="s">
        <v>31148</v>
      </c>
      <c r="G9398" s="1" t="s">
        <v>31149</v>
      </c>
      <c r="H9398" s="1" t="s">
        <v>3604</v>
      </c>
      <c r="I9398" s="1" t="s">
        <v>31150</v>
      </c>
      <c r="J9398" s="1" t="s">
        <v>3615</v>
      </c>
      <c r="K9398" s="1" t="s">
        <v>31151</v>
      </c>
      <c r="L9398" s="1"/>
      <c r="M9398" s="1"/>
    </row>
    <row x14ac:dyDescent="0.25" r="9399" customHeight="1" ht="18.75">
      <c r="A9399" s="1" t="s">
        <v>3598</v>
      </c>
      <c r="B9399" s="1" t="s">
        <v>8191</v>
      </c>
      <c r="C9399" s="1" t="s">
        <v>3600</v>
      </c>
      <c r="D9399" s="1" t="s">
        <v>3601</v>
      </c>
      <c r="E9399" s="1" t="s">
        <v>3611</v>
      </c>
      <c r="F9399" s="1" t="s">
        <v>31152</v>
      </c>
      <c r="G9399" s="1" t="s">
        <v>31153</v>
      </c>
      <c r="H9399" s="1" t="s">
        <v>3604</v>
      </c>
      <c r="I9399" s="1" t="s">
        <v>31154</v>
      </c>
      <c r="J9399" s="1" t="s">
        <v>3615</v>
      </c>
      <c r="K9399" s="1" t="s">
        <v>31155</v>
      </c>
      <c r="L9399" s="1"/>
      <c r="M9399" s="1"/>
    </row>
    <row x14ac:dyDescent="0.25" r="9400" customHeight="1" ht="18.75">
      <c r="A9400" s="1" t="s">
        <v>3598</v>
      </c>
      <c r="B9400" s="1" t="s">
        <v>6732</v>
      </c>
      <c r="C9400" s="1" t="s">
        <v>3600</v>
      </c>
      <c r="D9400" s="1" t="s">
        <v>533</v>
      </c>
      <c r="E9400" s="1" t="s">
        <v>3664</v>
      </c>
      <c r="F9400" s="1" t="s">
        <v>31156</v>
      </c>
      <c r="G9400" s="1" t="s">
        <v>8658</v>
      </c>
      <c r="H9400" s="1" t="s">
        <v>3604</v>
      </c>
      <c r="I9400" s="1" t="s">
        <v>31157</v>
      </c>
      <c r="J9400" s="1" t="s">
        <v>3615</v>
      </c>
      <c r="K9400" s="1" t="s">
        <v>31158</v>
      </c>
      <c r="L9400" s="1"/>
      <c r="M9400" s="1"/>
    </row>
    <row x14ac:dyDescent="0.25" r="9401" customHeight="1" ht="18.75">
      <c r="A9401" s="1" t="s">
        <v>3598</v>
      </c>
      <c r="B9401" s="1" t="s">
        <v>8191</v>
      </c>
      <c r="C9401" s="1" t="s">
        <v>3600</v>
      </c>
      <c r="D9401" s="1" t="s">
        <v>3601</v>
      </c>
      <c r="E9401" s="1" t="s">
        <v>3752</v>
      </c>
      <c r="F9401" s="1" t="s">
        <v>31159</v>
      </c>
      <c r="G9401" s="1" t="s">
        <v>31160</v>
      </c>
      <c r="H9401" s="1" t="s">
        <v>3604</v>
      </c>
      <c r="I9401" s="1" t="s">
        <v>31161</v>
      </c>
      <c r="J9401" s="1" t="s">
        <v>3615</v>
      </c>
      <c r="K9401" s="1" t="s">
        <v>31162</v>
      </c>
      <c r="L9401" s="1"/>
      <c r="M9401" s="1"/>
    </row>
    <row x14ac:dyDescent="0.25" r="9402" customHeight="1" ht="18.75">
      <c r="A9402" s="1" t="s">
        <v>3598</v>
      </c>
      <c r="B9402" s="1" t="s">
        <v>5252</v>
      </c>
      <c r="C9402" s="1" t="s">
        <v>3600</v>
      </c>
      <c r="D9402" s="1" t="s">
        <v>533</v>
      </c>
      <c r="E9402" s="1" t="s">
        <v>3664</v>
      </c>
      <c r="F9402" s="1" t="s">
        <v>31163</v>
      </c>
      <c r="G9402" s="1" t="s">
        <v>18412</v>
      </c>
      <c r="H9402" s="1" t="s">
        <v>3604</v>
      </c>
      <c r="I9402" s="1" t="s">
        <v>31164</v>
      </c>
      <c r="J9402" s="1" t="s">
        <v>3615</v>
      </c>
      <c r="K9402" s="1" t="s">
        <v>30456</v>
      </c>
      <c r="L9402" s="1"/>
      <c r="M9402" s="1"/>
    </row>
    <row x14ac:dyDescent="0.25" r="9403" customHeight="1" ht="18.75">
      <c r="A9403" s="1" t="s">
        <v>3598</v>
      </c>
      <c r="B9403" s="1" t="s">
        <v>8191</v>
      </c>
      <c r="C9403" s="1" t="s">
        <v>3600</v>
      </c>
      <c r="D9403" s="1" t="s">
        <v>3601</v>
      </c>
      <c r="E9403" s="1" t="s">
        <v>3981</v>
      </c>
      <c r="F9403" s="1" t="s">
        <v>31165</v>
      </c>
      <c r="G9403" s="1" t="s">
        <v>31166</v>
      </c>
      <c r="H9403" s="1" t="s">
        <v>3604</v>
      </c>
      <c r="I9403" s="1" t="s">
        <v>31167</v>
      </c>
      <c r="J9403" s="1" t="s">
        <v>3615</v>
      </c>
      <c r="K9403" s="1" t="s">
        <v>31168</v>
      </c>
      <c r="L9403" s="1"/>
      <c r="M9403" s="1"/>
    </row>
    <row x14ac:dyDescent="0.25" r="9404" customHeight="1" ht="18.75">
      <c r="A9404" s="1" t="s">
        <v>3598</v>
      </c>
      <c r="B9404" s="1" t="s">
        <v>3778</v>
      </c>
      <c r="C9404" s="1" t="s">
        <v>3600</v>
      </c>
      <c r="D9404" s="1" t="s">
        <v>3695</v>
      </c>
      <c r="E9404" s="1" t="s">
        <v>3664</v>
      </c>
      <c r="F9404" s="1" t="s">
        <v>31169</v>
      </c>
      <c r="G9404" s="1" t="s">
        <v>19703</v>
      </c>
      <c r="H9404" s="1" t="s">
        <v>3604</v>
      </c>
      <c r="I9404" s="1" t="s">
        <v>31170</v>
      </c>
      <c r="J9404" s="1" t="s">
        <v>3615</v>
      </c>
      <c r="K9404" s="1" t="s">
        <v>31171</v>
      </c>
      <c r="L9404" s="1"/>
      <c r="M9404" s="1"/>
    </row>
    <row x14ac:dyDescent="0.25" r="9405" customHeight="1" ht="18.75">
      <c r="A9405" s="1" t="s">
        <v>3598</v>
      </c>
      <c r="B9405" s="1" t="s">
        <v>8191</v>
      </c>
      <c r="C9405" s="1" t="s">
        <v>3600</v>
      </c>
      <c r="D9405" s="1" t="s">
        <v>3601</v>
      </c>
      <c r="E9405" s="1" t="s">
        <v>3981</v>
      </c>
      <c r="F9405" s="1" t="s">
        <v>31172</v>
      </c>
      <c r="G9405" s="1" t="s">
        <v>31173</v>
      </c>
      <c r="H9405" s="1" t="s">
        <v>3604</v>
      </c>
      <c r="I9405" s="1" t="s">
        <v>31174</v>
      </c>
      <c r="J9405" s="1" t="s">
        <v>3615</v>
      </c>
      <c r="K9405" s="1" t="s">
        <v>31175</v>
      </c>
      <c r="L9405" s="1"/>
      <c r="M9405" s="1"/>
    </row>
    <row x14ac:dyDescent="0.25" r="9406" customHeight="1" ht="18.75">
      <c r="A9406" s="1" t="s">
        <v>3598</v>
      </c>
      <c r="B9406" s="1" t="s">
        <v>3778</v>
      </c>
      <c r="C9406" s="1" t="s">
        <v>3600</v>
      </c>
      <c r="D9406" s="1" t="s">
        <v>3695</v>
      </c>
      <c r="E9406" s="1" t="s">
        <v>3664</v>
      </c>
      <c r="F9406" s="1" t="s">
        <v>31176</v>
      </c>
      <c r="G9406" s="1" t="s">
        <v>19703</v>
      </c>
      <c r="H9406" s="1" t="s">
        <v>3604</v>
      </c>
      <c r="I9406" s="1" t="s">
        <v>31177</v>
      </c>
      <c r="J9406" s="1" t="s">
        <v>3615</v>
      </c>
      <c r="K9406" s="1" t="s">
        <v>31178</v>
      </c>
      <c r="L9406" s="1"/>
      <c r="M9406" s="1"/>
    </row>
    <row x14ac:dyDescent="0.25" r="9407" customHeight="1" ht="18.75">
      <c r="A9407" s="1" t="s">
        <v>3598</v>
      </c>
      <c r="B9407" s="1" t="s">
        <v>8191</v>
      </c>
      <c r="C9407" s="1" t="s">
        <v>3600</v>
      </c>
      <c r="D9407" s="1" t="s">
        <v>3601</v>
      </c>
      <c r="E9407" s="1" t="s">
        <v>3664</v>
      </c>
      <c r="F9407" s="1" t="s">
        <v>31179</v>
      </c>
      <c r="G9407" s="1" t="s">
        <v>27475</v>
      </c>
      <c r="H9407" s="1" t="s">
        <v>3604</v>
      </c>
      <c r="I9407" s="1" t="s">
        <v>31180</v>
      </c>
      <c r="J9407" s="1" t="s">
        <v>3615</v>
      </c>
      <c r="K9407" s="1" t="s">
        <v>31181</v>
      </c>
      <c r="L9407" s="1"/>
      <c r="M9407" s="1"/>
    </row>
    <row x14ac:dyDescent="0.25" r="9408" customHeight="1" ht="18.75">
      <c r="A9408" s="1" t="s">
        <v>3598</v>
      </c>
      <c r="B9408" s="1" t="s">
        <v>3778</v>
      </c>
      <c r="C9408" s="1" t="s">
        <v>3600</v>
      </c>
      <c r="D9408" s="1" t="s">
        <v>3695</v>
      </c>
      <c r="E9408" s="1" t="s">
        <v>3664</v>
      </c>
      <c r="F9408" s="1" t="s">
        <v>31182</v>
      </c>
      <c r="G9408" s="1" t="s">
        <v>8665</v>
      </c>
      <c r="H9408" s="1" t="s">
        <v>3604</v>
      </c>
      <c r="I9408" s="1" t="s">
        <v>31183</v>
      </c>
      <c r="J9408" s="1" t="s">
        <v>3615</v>
      </c>
      <c r="K9408" s="1" t="s">
        <v>31184</v>
      </c>
      <c r="L9408" s="1"/>
      <c r="M9408" s="1"/>
    </row>
    <row x14ac:dyDescent="0.25" r="9409" customHeight="1" ht="18.75">
      <c r="A9409" s="1" t="s">
        <v>3598</v>
      </c>
      <c r="B9409" s="1" t="s">
        <v>8191</v>
      </c>
      <c r="C9409" s="1" t="s">
        <v>3600</v>
      </c>
      <c r="D9409" s="1" t="s">
        <v>3601</v>
      </c>
      <c r="E9409" s="1" t="s">
        <v>3664</v>
      </c>
      <c r="F9409" s="1" t="s">
        <v>31185</v>
      </c>
      <c r="G9409" s="1" t="s">
        <v>9480</v>
      </c>
      <c r="H9409" s="1" t="s">
        <v>3604</v>
      </c>
      <c r="I9409" s="1" t="s">
        <v>31186</v>
      </c>
      <c r="J9409" s="1" t="s">
        <v>3615</v>
      </c>
      <c r="K9409" s="1" t="s">
        <v>31187</v>
      </c>
      <c r="L9409" s="1"/>
      <c r="M9409" s="1"/>
    </row>
    <row x14ac:dyDescent="0.25" r="9410" customHeight="1" ht="18.75">
      <c r="A9410" s="1" t="s">
        <v>3598</v>
      </c>
      <c r="B9410" s="1" t="s">
        <v>3778</v>
      </c>
      <c r="C9410" s="1" t="s">
        <v>3600</v>
      </c>
      <c r="D9410" s="1" t="s">
        <v>3695</v>
      </c>
      <c r="E9410" s="1" t="s">
        <v>3664</v>
      </c>
      <c r="F9410" s="1" t="s">
        <v>31188</v>
      </c>
      <c r="G9410" s="1" t="s">
        <v>8665</v>
      </c>
      <c r="H9410" s="1" t="s">
        <v>3604</v>
      </c>
      <c r="I9410" s="1" t="s">
        <v>31189</v>
      </c>
      <c r="J9410" s="1" t="s">
        <v>3615</v>
      </c>
      <c r="K9410" s="1" t="s">
        <v>31190</v>
      </c>
      <c r="L9410" s="1"/>
      <c r="M9410" s="1"/>
    </row>
    <row x14ac:dyDescent="0.25" r="9411" customHeight="1" ht="18.75">
      <c r="A9411" s="1" t="s">
        <v>3598</v>
      </c>
      <c r="B9411" s="1" t="s">
        <v>8191</v>
      </c>
      <c r="C9411" s="1" t="s">
        <v>3600</v>
      </c>
      <c r="D9411" s="1" t="s">
        <v>3601</v>
      </c>
      <c r="E9411" s="1" t="s">
        <v>3664</v>
      </c>
      <c r="F9411" s="1" t="s">
        <v>31191</v>
      </c>
      <c r="G9411" s="1" t="s">
        <v>31192</v>
      </c>
      <c r="H9411" s="1" t="s">
        <v>3604</v>
      </c>
      <c r="I9411" s="1" t="s">
        <v>31193</v>
      </c>
      <c r="J9411" s="1" t="s">
        <v>3615</v>
      </c>
      <c r="K9411" s="1" t="s">
        <v>31194</v>
      </c>
      <c r="L9411" s="1"/>
      <c r="M9411" s="1"/>
    </row>
    <row x14ac:dyDescent="0.25" r="9412" customHeight="1" ht="18.75">
      <c r="A9412" s="1" t="s">
        <v>3598</v>
      </c>
      <c r="B9412" s="1" t="s">
        <v>4689</v>
      </c>
      <c r="C9412" s="1" t="s">
        <v>3600</v>
      </c>
      <c r="D9412" s="1" t="s">
        <v>3601</v>
      </c>
      <c r="E9412" s="1" t="s">
        <v>3664</v>
      </c>
      <c r="F9412" s="1" t="s">
        <v>31195</v>
      </c>
      <c r="G9412" s="1" t="s">
        <v>20841</v>
      </c>
      <c r="H9412" s="1" t="s">
        <v>3604</v>
      </c>
      <c r="I9412" s="1" t="s">
        <v>31196</v>
      </c>
      <c r="J9412" s="1" t="s">
        <v>3615</v>
      </c>
      <c r="K9412" s="1" t="s">
        <v>31197</v>
      </c>
      <c r="L9412" s="1"/>
      <c r="M9412" s="1"/>
    </row>
    <row x14ac:dyDescent="0.25" r="9413" customHeight="1" ht="18.75">
      <c r="A9413" s="1" t="s">
        <v>3598</v>
      </c>
      <c r="B9413" s="1" t="s">
        <v>3778</v>
      </c>
      <c r="C9413" s="1" t="s">
        <v>3600</v>
      </c>
      <c r="D9413" s="1" t="s">
        <v>3695</v>
      </c>
      <c r="E9413" s="1" t="s">
        <v>3664</v>
      </c>
      <c r="F9413" s="1" t="s">
        <v>31198</v>
      </c>
      <c r="G9413" s="1" t="s">
        <v>8665</v>
      </c>
      <c r="H9413" s="1" t="s">
        <v>3604</v>
      </c>
      <c r="I9413" s="1" t="s">
        <v>31199</v>
      </c>
      <c r="J9413" s="1" t="s">
        <v>3615</v>
      </c>
      <c r="K9413" s="1" t="s">
        <v>31200</v>
      </c>
      <c r="L9413" s="1"/>
      <c r="M9413" s="1"/>
    </row>
    <row x14ac:dyDescent="0.25" r="9414" customHeight="1" ht="18.75">
      <c r="A9414" s="1" t="s">
        <v>3598</v>
      </c>
      <c r="B9414" s="1" t="s">
        <v>3778</v>
      </c>
      <c r="C9414" s="1" t="s">
        <v>3600</v>
      </c>
      <c r="D9414" s="1" t="s">
        <v>3695</v>
      </c>
      <c r="E9414" s="1" t="s">
        <v>3664</v>
      </c>
      <c r="F9414" s="1" t="s">
        <v>31201</v>
      </c>
      <c r="G9414" s="1" t="s">
        <v>20053</v>
      </c>
      <c r="H9414" s="1" t="s">
        <v>3604</v>
      </c>
      <c r="I9414" s="1" t="s">
        <v>31202</v>
      </c>
      <c r="J9414" s="1" t="s">
        <v>3615</v>
      </c>
      <c r="K9414" s="1" t="s">
        <v>31203</v>
      </c>
      <c r="L9414" s="1"/>
      <c r="M9414" s="1"/>
    </row>
    <row x14ac:dyDescent="0.25" r="9415" customHeight="1" ht="18.75">
      <c r="A9415" s="1" t="s">
        <v>3598</v>
      </c>
      <c r="B9415" s="1" t="s">
        <v>4689</v>
      </c>
      <c r="C9415" s="1" t="s">
        <v>3600</v>
      </c>
      <c r="D9415" s="1" t="s">
        <v>3601</v>
      </c>
      <c r="E9415" s="1" t="s">
        <v>3893</v>
      </c>
      <c r="F9415" s="1" t="s">
        <v>31204</v>
      </c>
      <c r="G9415" s="1" t="s">
        <v>7853</v>
      </c>
      <c r="H9415" s="1" t="s">
        <v>3604</v>
      </c>
      <c r="I9415" s="1" t="s">
        <v>31205</v>
      </c>
      <c r="J9415" s="1" t="s">
        <v>3615</v>
      </c>
      <c r="K9415" s="1" t="s">
        <v>31206</v>
      </c>
      <c r="L9415" s="1"/>
      <c r="M9415" s="1"/>
    </row>
    <row x14ac:dyDescent="0.25" r="9416" customHeight="1" ht="18.75">
      <c r="A9416" s="1" t="s">
        <v>3598</v>
      </c>
      <c r="B9416" s="1" t="s">
        <v>3778</v>
      </c>
      <c r="C9416" s="1" t="s">
        <v>3600</v>
      </c>
      <c r="D9416" s="1" t="s">
        <v>3695</v>
      </c>
      <c r="E9416" s="1" t="s">
        <v>3664</v>
      </c>
      <c r="F9416" s="1" t="s">
        <v>31207</v>
      </c>
      <c r="G9416" s="1" t="s">
        <v>20053</v>
      </c>
      <c r="H9416" s="1" t="s">
        <v>3604</v>
      </c>
      <c r="I9416" s="1" t="s">
        <v>31208</v>
      </c>
      <c r="J9416" s="1" t="s">
        <v>3615</v>
      </c>
      <c r="K9416" s="1" t="s">
        <v>31209</v>
      </c>
      <c r="L9416" s="1"/>
      <c r="M9416" s="1"/>
    </row>
    <row x14ac:dyDescent="0.25" r="9417" customHeight="1" ht="18.75">
      <c r="A9417" s="1" t="s">
        <v>3598</v>
      </c>
      <c r="B9417" s="1" t="s">
        <v>5260</v>
      </c>
      <c r="C9417" s="1" t="s">
        <v>3600</v>
      </c>
      <c r="D9417" s="1" t="s">
        <v>3601</v>
      </c>
      <c r="E9417" s="1" t="s">
        <v>3664</v>
      </c>
      <c r="F9417" s="1" t="s">
        <v>31210</v>
      </c>
      <c r="G9417" s="1" t="s">
        <v>21212</v>
      </c>
      <c r="H9417" s="1" t="s">
        <v>3604</v>
      </c>
      <c r="I9417" s="1" t="s">
        <v>31211</v>
      </c>
      <c r="J9417" s="1" t="s">
        <v>3615</v>
      </c>
      <c r="K9417" s="1" t="s">
        <v>31212</v>
      </c>
      <c r="L9417" s="1"/>
      <c r="M9417" s="1"/>
    </row>
    <row x14ac:dyDescent="0.25" r="9418" customHeight="1" ht="18.75">
      <c r="A9418" s="1" t="s">
        <v>3598</v>
      </c>
      <c r="B9418" s="1" t="s">
        <v>3778</v>
      </c>
      <c r="C9418" s="1" t="s">
        <v>3600</v>
      </c>
      <c r="D9418" s="1" t="s">
        <v>3695</v>
      </c>
      <c r="E9418" s="1" t="s">
        <v>3664</v>
      </c>
      <c r="F9418" s="1" t="s">
        <v>31213</v>
      </c>
      <c r="G9418" s="1" t="s">
        <v>20053</v>
      </c>
      <c r="H9418" s="1" t="s">
        <v>3604</v>
      </c>
      <c r="I9418" s="1" t="s">
        <v>31214</v>
      </c>
      <c r="J9418" s="1" t="s">
        <v>3615</v>
      </c>
      <c r="K9418" s="1" t="s">
        <v>31215</v>
      </c>
      <c r="L9418" s="1"/>
      <c r="M9418" s="1"/>
    </row>
    <row x14ac:dyDescent="0.25" r="9419" customHeight="1" ht="18.75">
      <c r="A9419" s="1" t="s">
        <v>3598</v>
      </c>
      <c r="B9419" s="1" t="s">
        <v>5260</v>
      </c>
      <c r="C9419" s="1" t="s">
        <v>3600</v>
      </c>
      <c r="D9419" s="1" t="s">
        <v>3601</v>
      </c>
      <c r="E9419" s="1" t="s">
        <v>3664</v>
      </c>
      <c r="F9419" s="1" t="s">
        <v>31216</v>
      </c>
      <c r="G9419" s="1" t="s">
        <v>21866</v>
      </c>
      <c r="H9419" s="1" t="s">
        <v>3604</v>
      </c>
      <c r="I9419" s="1" t="s">
        <v>31217</v>
      </c>
      <c r="J9419" s="1" t="s">
        <v>3615</v>
      </c>
      <c r="K9419" s="1" t="s">
        <v>31218</v>
      </c>
      <c r="L9419" s="1"/>
      <c r="M9419" s="1"/>
    </row>
    <row x14ac:dyDescent="0.25" r="9420" customHeight="1" ht="18.75">
      <c r="A9420" s="1" t="s">
        <v>3598</v>
      </c>
      <c r="B9420" s="1" t="s">
        <v>3778</v>
      </c>
      <c r="C9420" s="1" t="s">
        <v>3600</v>
      </c>
      <c r="D9420" s="1" t="s">
        <v>3695</v>
      </c>
      <c r="E9420" s="1" t="s">
        <v>3664</v>
      </c>
      <c r="F9420" s="1" t="s">
        <v>31219</v>
      </c>
      <c r="G9420" s="1" t="s">
        <v>20299</v>
      </c>
      <c r="H9420" s="1" t="s">
        <v>3604</v>
      </c>
      <c r="I9420" s="1" t="s">
        <v>31220</v>
      </c>
      <c r="J9420" s="1" t="s">
        <v>3615</v>
      </c>
      <c r="K9420" s="1" t="s">
        <v>31221</v>
      </c>
      <c r="L9420" s="1"/>
      <c r="M9420" s="1"/>
    </row>
    <row x14ac:dyDescent="0.25" r="9421" customHeight="1" ht="18.75">
      <c r="A9421" s="1" t="s">
        <v>3598</v>
      </c>
      <c r="B9421" s="1" t="s">
        <v>5260</v>
      </c>
      <c r="C9421" s="1" t="s">
        <v>3600</v>
      </c>
      <c r="D9421" s="1" t="s">
        <v>3601</v>
      </c>
      <c r="E9421" s="1" t="s">
        <v>3664</v>
      </c>
      <c r="F9421" s="1" t="s">
        <v>31222</v>
      </c>
      <c r="G9421" s="1" t="s">
        <v>21244</v>
      </c>
      <c r="H9421" s="1" t="s">
        <v>3604</v>
      </c>
      <c r="I9421" s="1" t="s">
        <v>31223</v>
      </c>
      <c r="J9421" s="1" t="s">
        <v>3615</v>
      </c>
      <c r="K9421" s="1" t="s">
        <v>31224</v>
      </c>
      <c r="L9421" s="1"/>
      <c r="M9421" s="1"/>
    </row>
    <row x14ac:dyDescent="0.25" r="9422" customHeight="1" ht="18.75">
      <c r="A9422" s="1" t="s">
        <v>3598</v>
      </c>
      <c r="B9422" s="1" t="s">
        <v>5260</v>
      </c>
      <c r="C9422" s="1" t="s">
        <v>3600</v>
      </c>
      <c r="D9422" s="1" t="s">
        <v>3601</v>
      </c>
      <c r="E9422" s="1" t="s">
        <v>3664</v>
      </c>
      <c r="F9422" s="1" t="s">
        <v>31225</v>
      </c>
      <c r="G9422" s="1" t="s">
        <v>21260</v>
      </c>
      <c r="H9422" s="1" t="s">
        <v>3604</v>
      </c>
      <c r="I9422" s="1" t="s">
        <v>31226</v>
      </c>
      <c r="J9422" s="1" t="s">
        <v>3615</v>
      </c>
      <c r="K9422" s="1" t="s">
        <v>31227</v>
      </c>
      <c r="L9422" s="1"/>
      <c r="M9422" s="1"/>
    </row>
    <row x14ac:dyDescent="0.25" r="9423" customHeight="1" ht="18.75">
      <c r="A9423" s="1" t="s">
        <v>3598</v>
      </c>
      <c r="B9423" s="1" t="s">
        <v>3778</v>
      </c>
      <c r="C9423" s="1" t="s">
        <v>3600</v>
      </c>
      <c r="D9423" s="1" t="s">
        <v>3695</v>
      </c>
      <c r="E9423" s="1" t="s">
        <v>3664</v>
      </c>
      <c r="F9423" s="1" t="s">
        <v>31228</v>
      </c>
      <c r="G9423" s="1" t="s">
        <v>20299</v>
      </c>
      <c r="H9423" s="1" t="s">
        <v>3604</v>
      </c>
      <c r="I9423" s="1" t="s">
        <v>31229</v>
      </c>
      <c r="J9423" s="1" t="s">
        <v>3615</v>
      </c>
      <c r="K9423" s="1" t="s">
        <v>31230</v>
      </c>
      <c r="L9423" s="1"/>
      <c r="M9423" s="1"/>
    </row>
    <row x14ac:dyDescent="0.25" r="9424" customHeight="1" ht="18.75">
      <c r="A9424" s="1" t="s">
        <v>3598</v>
      </c>
      <c r="B9424" s="1" t="s">
        <v>5260</v>
      </c>
      <c r="C9424" s="1" t="s">
        <v>3600</v>
      </c>
      <c r="D9424" s="1" t="s">
        <v>3601</v>
      </c>
      <c r="E9424" s="1" t="s">
        <v>3664</v>
      </c>
      <c r="F9424" s="1" t="s">
        <v>31231</v>
      </c>
      <c r="G9424" s="1" t="s">
        <v>8658</v>
      </c>
      <c r="H9424" s="1" t="s">
        <v>3604</v>
      </c>
      <c r="I9424" s="1" t="s">
        <v>31232</v>
      </c>
      <c r="J9424" s="1" t="s">
        <v>3615</v>
      </c>
      <c r="K9424" s="1" t="s">
        <v>31233</v>
      </c>
      <c r="L9424" s="1"/>
      <c r="M9424" s="1"/>
    </row>
    <row x14ac:dyDescent="0.25" r="9425" customHeight="1" ht="18.75">
      <c r="A9425" s="1" t="s">
        <v>3598</v>
      </c>
      <c r="B9425" s="1" t="s">
        <v>3778</v>
      </c>
      <c r="C9425" s="1" t="s">
        <v>3600</v>
      </c>
      <c r="D9425" s="1" t="s">
        <v>3695</v>
      </c>
      <c r="E9425" s="1" t="s">
        <v>3664</v>
      </c>
      <c r="F9425" s="1" t="s">
        <v>31234</v>
      </c>
      <c r="G9425" s="1" t="s">
        <v>31235</v>
      </c>
      <c r="H9425" s="1" t="s">
        <v>3604</v>
      </c>
      <c r="I9425" s="1" t="s">
        <v>31236</v>
      </c>
      <c r="J9425" s="1" t="s">
        <v>3615</v>
      </c>
      <c r="K9425" s="1" t="s">
        <v>31237</v>
      </c>
      <c r="L9425" s="1"/>
      <c r="M9425" s="1"/>
    </row>
    <row x14ac:dyDescent="0.25" r="9426" customHeight="1" ht="18.75">
      <c r="A9426" s="1" t="s">
        <v>3598</v>
      </c>
      <c r="B9426" s="1" t="s">
        <v>5260</v>
      </c>
      <c r="C9426" s="1" t="s">
        <v>3600</v>
      </c>
      <c r="D9426" s="1" t="s">
        <v>3601</v>
      </c>
      <c r="E9426" s="1" t="s">
        <v>3664</v>
      </c>
      <c r="F9426" s="1" t="s">
        <v>31238</v>
      </c>
      <c r="G9426" s="1" t="s">
        <v>16616</v>
      </c>
      <c r="H9426" s="1" t="s">
        <v>3604</v>
      </c>
      <c r="I9426" s="1" t="s">
        <v>31239</v>
      </c>
      <c r="J9426" s="1" t="s">
        <v>3615</v>
      </c>
      <c r="K9426" s="1" t="s">
        <v>31240</v>
      </c>
      <c r="L9426" s="1"/>
      <c r="M9426" s="1"/>
    </row>
    <row x14ac:dyDescent="0.25" r="9427" customHeight="1" ht="18.75">
      <c r="A9427" s="1" t="s">
        <v>3598</v>
      </c>
      <c r="B9427" s="1" t="s">
        <v>3778</v>
      </c>
      <c r="C9427" s="1" t="s">
        <v>3600</v>
      </c>
      <c r="D9427" s="1" t="s">
        <v>3695</v>
      </c>
      <c r="E9427" s="1" t="s">
        <v>3664</v>
      </c>
      <c r="F9427" s="1" t="s">
        <v>31241</v>
      </c>
      <c r="G9427" s="1" t="s">
        <v>31235</v>
      </c>
      <c r="H9427" s="1" t="s">
        <v>3604</v>
      </c>
      <c r="I9427" s="1" t="s">
        <v>31242</v>
      </c>
      <c r="J9427" s="1" t="s">
        <v>3615</v>
      </c>
      <c r="K9427" s="1" t="s">
        <v>31243</v>
      </c>
      <c r="L9427" s="1"/>
      <c r="M9427" s="1"/>
    </row>
    <row x14ac:dyDescent="0.25" r="9428" customHeight="1" ht="18.75">
      <c r="A9428" s="1" t="s">
        <v>3598</v>
      </c>
      <c r="B9428" s="1" t="s">
        <v>5260</v>
      </c>
      <c r="C9428" s="1" t="s">
        <v>3600</v>
      </c>
      <c r="D9428" s="1" t="s">
        <v>3601</v>
      </c>
      <c r="E9428" s="1" t="s">
        <v>3664</v>
      </c>
      <c r="F9428" s="1" t="s">
        <v>31244</v>
      </c>
      <c r="G9428" s="1" t="s">
        <v>16627</v>
      </c>
      <c r="H9428" s="1" t="s">
        <v>3604</v>
      </c>
      <c r="I9428" s="1" t="s">
        <v>31245</v>
      </c>
      <c r="J9428" s="1" t="s">
        <v>3615</v>
      </c>
      <c r="K9428" s="1" t="s">
        <v>31246</v>
      </c>
      <c r="L9428" s="1"/>
      <c r="M9428" s="1"/>
    </row>
    <row x14ac:dyDescent="0.25" r="9429" customHeight="1" ht="18.75">
      <c r="A9429" s="1" t="s">
        <v>3598</v>
      </c>
      <c r="B9429" s="1" t="s">
        <v>3778</v>
      </c>
      <c r="C9429" s="1" t="s">
        <v>3600</v>
      </c>
      <c r="D9429" s="1" t="s">
        <v>3695</v>
      </c>
      <c r="E9429" s="1" t="s">
        <v>3664</v>
      </c>
      <c r="F9429" s="1" t="s">
        <v>31247</v>
      </c>
      <c r="G9429" s="1" t="s">
        <v>31235</v>
      </c>
      <c r="H9429" s="1" t="s">
        <v>3604</v>
      </c>
      <c r="I9429" s="1" t="s">
        <v>31248</v>
      </c>
      <c r="J9429" s="1" t="s">
        <v>3615</v>
      </c>
      <c r="K9429" s="1" t="s">
        <v>31249</v>
      </c>
      <c r="L9429" s="1"/>
      <c r="M9429" s="1"/>
    </row>
    <row x14ac:dyDescent="0.25" r="9430" customHeight="1" ht="18.75">
      <c r="A9430" s="1" t="s">
        <v>3598</v>
      </c>
      <c r="B9430" s="1" t="s">
        <v>5260</v>
      </c>
      <c r="C9430" s="1" t="s">
        <v>3600</v>
      </c>
      <c r="D9430" s="1" t="s">
        <v>3601</v>
      </c>
      <c r="E9430" s="1" t="s">
        <v>3664</v>
      </c>
      <c r="F9430" s="1" t="s">
        <v>31250</v>
      </c>
      <c r="G9430" s="1" t="s">
        <v>16637</v>
      </c>
      <c r="H9430" s="1" t="s">
        <v>3604</v>
      </c>
      <c r="I9430" s="1" t="s">
        <v>31251</v>
      </c>
      <c r="J9430" s="1" t="s">
        <v>3615</v>
      </c>
      <c r="K9430" s="1" t="s">
        <v>31252</v>
      </c>
      <c r="L9430" s="1"/>
      <c r="M9430" s="1"/>
    </row>
    <row x14ac:dyDescent="0.25" r="9431" customHeight="1" ht="18.75">
      <c r="A9431" s="1" t="s">
        <v>3598</v>
      </c>
      <c r="B9431" s="1" t="s">
        <v>3778</v>
      </c>
      <c r="C9431" s="1" t="s">
        <v>3600</v>
      </c>
      <c r="D9431" s="1" t="s">
        <v>3695</v>
      </c>
      <c r="E9431" s="1" t="s">
        <v>3981</v>
      </c>
      <c r="F9431" s="1" t="s">
        <v>31253</v>
      </c>
      <c r="G9431" s="1" t="s">
        <v>20049</v>
      </c>
      <c r="H9431" s="1" t="s">
        <v>3604</v>
      </c>
      <c r="I9431" s="1" t="s">
        <v>31254</v>
      </c>
      <c r="J9431" s="1" t="s">
        <v>3615</v>
      </c>
      <c r="K9431" s="1" t="s">
        <v>31255</v>
      </c>
      <c r="L9431" s="1"/>
      <c r="M9431" s="1"/>
    </row>
    <row x14ac:dyDescent="0.25" r="9432" customHeight="1" ht="18.75">
      <c r="A9432" s="1" t="s">
        <v>3598</v>
      </c>
      <c r="B9432" s="1" t="s">
        <v>5260</v>
      </c>
      <c r="C9432" s="1" t="s">
        <v>3600</v>
      </c>
      <c r="D9432" s="1" t="s">
        <v>3601</v>
      </c>
      <c r="E9432" s="1" t="s">
        <v>3664</v>
      </c>
      <c r="F9432" s="1" t="s">
        <v>31256</v>
      </c>
      <c r="G9432" s="1" t="s">
        <v>31257</v>
      </c>
      <c r="H9432" s="1" t="s">
        <v>3604</v>
      </c>
      <c r="I9432" s="1" t="s">
        <v>31258</v>
      </c>
      <c r="J9432" s="1" t="s">
        <v>3615</v>
      </c>
      <c r="K9432" s="1" t="s">
        <v>31259</v>
      </c>
      <c r="L9432" s="1"/>
      <c r="M9432" s="1"/>
    </row>
    <row x14ac:dyDescent="0.25" r="9433" customHeight="1" ht="18.75">
      <c r="A9433" s="1" t="s">
        <v>3598</v>
      </c>
      <c r="B9433" s="1" t="s">
        <v>3778</v>
      </c>
      <c r="C9433" s="1" t="s">
        <v>3600</v>
      </c>
      <c r="D9433" s="1" t="s">
        <v>3695</v>
      </c>
      <c r="E9433" s="1" t="s">
        <v>3981</v>
      </c>
      <c r="F9433" s="1" t="s">
        <v>31260</v>
      </c>
      <c r="G9433" s="1" t="s">
        <v>20299</v>
      </c>
      <c r="H9433" s="1" t="s">
        <v>3604</v>
      </c>
      <c r="I9433" s="1" t="s">
        <v>31261</v>
      </c>
      <c r="J9433" s="1" t="s">
        <v>3615</v>
      </c>
      <c r="K9433" s="1" t="s">
        <v>31262</v>
      </c>
      <c r="L9433" s="1"/>
      <c r="M9433" s="1"/>
    </row>
    <row x14ac:dyDescent="0.25" r="9434" customHeight="1" ht="18.75">
      <c r="A9434" s="1" t="s">
        <v>3598</v>
      </c>
      <c r="B9434" s="1" t="s">
        <v>5260</v>
      </c>
      <c r="C9434" s="1" t="s">
        <v>3600</v>
      </c>
      <c r="D9434" s="1" t="s">
        <v>3601</v>
      </c>
      <c r="E9434" s="1" t="s">
        <v>3664</v>
      </c>
      <c r="F9434" s="1" t="s">
        <v>31263</v>
      </c>
      <c r="G9434" s="1" t="s">
        <v>31264</v>
      </c>
      <c r="H9434" s="1" t="s">
        <v>3604</v>
      </c>
      <c r="I9434" s="1" t="s">
        <v>31265</v>
      </c>
      <c r="J9434" s="1" t="s">
        <v>3615</v>
      </c>
      <c r="K9434" s="1" t="s">
        <v>31266</v>
      </c>
      <c r="L9434" s="1"/>
      <c r="M9434" s="1"/>
    </row>
    <row x14ac:dyDescent="0.25" r="9435" customHeight="1" ht="18.75">
      <c r="A9435" s="1" t="s">
        <v>3598</v>
      </c>
      <c r="B9435" s="1" t="s">
        <v>5260</v>
      </c>
      <c r="C9435" s="1" t="s">
        <v>3600</v>
      </c>
      <c r="D9435" s="1" t="s">
        <v>3601</v>
      </c>
      <c r="E9435" s="1" t="s">
        <v>3664</v>
      </c>
      <c r="F9435" s="1" t="s">
        <v>31267</v>
      </c>
      <c r="G9435" s="1" t="s">
        <v>17246</v>
      </c>
      <c r="H9435" s="1" t="s">
        <v>3604</v>
      </c>
      <c r="I9435" s="1" t="s">
        <v>31268</v>
      </c>
      <c r="J9435" s="1" t="s">
        <v>3615</v>
      </c>
      <c r="K9435" s="1" t="s">
        <v>31269</v>
      </c>
      <c r="L9435" s="1"/>
      <c r="M9435" s="1"/>
    </row>
    <row x14ac:dyDescent="0.25" r="9436" customHeight="1" ht="18.75">
      <c r="A9436" s="1" t="s">
        <v>3598</v>
      </c>
      <c r="B9436" s="1" t="s">
        <v>5260</v>
      </c>
      <c r="C9436" s="1" t="s">
        <v>3600</v>
      </c>
      <c r="D9436" s="1" t="s">
        <v>3601</v>
      </c>
      <c r="E9436" s="1" t="s">
        <v>3893</v>
      </c>
      <c r="F9436" s="1" t="s">
        <v>31270</v>
      </c>
      <c r="G9436" s="1" t="s">
        <v>17246</v>
      </c>
      <c r="H9436" s="1" t="s">
        <v>3604</v>
      </c>
      <c r="I9436" s="1" t="s">
        <v>31271</v>
      </c>
      <c r="J9436" s="1" t="s">
        <v>3615</v>
      </c>
      <c r="K9436" s="1" t="s">
        <v>31272</v>
      </c>
      <c r="L9436" s="1"/>
      <c r="M9436" s="1"/>
    </row>
    <row x14ac:dyDescent="0.25" r="9437" customHeight="1" ht="18.75">
      <c r="A9437" s="1" t="s">
        <v>3598</v>
      </c>
      <c r="B9437" s="1" t="s">
        <v>5260</v>
      </c>
      <c r="C9437" s="1" t="s">
        <v>3600</v>
      </c>
      <c r="D9437" s="1" t="s">
        <v>3601</v>
      </c>
      <c r="E9437" s="1" t="s">
        <v>3893</v>
      </c>
      <c r="F9437" s="1" t="s">
        <v>31273</v>
      </c>
      <c r="G9437" s="1" t="s">
        <v>31274</v>
      </c>
      <c r="H9437" s="1" t="s">
        <v>3604</v>
      </c>
      <c r="I9437" s="1" t="s">
        <v>31275</v>
      </c>
      <c r="J9437" s="1" t="s">
        <v>3615</v>
      </c>
      <c r="K9437" s="1" t="s">
        <v>31276</v>
      </c>
      <c r="L9437" s="1"/>
      <c r="M9437" s="1"/>
    </row>
    <row x14ac:dyDescent="0.25" r="9438" customHeight="1" ht="18.75">
      <c r="A9438" s="1" t="s">
        <v>3598</v>
      </c>
      <c r="B9438" s="1" t="s">
        <v>5260</v>
      </c>
      <c r="C9438" s="1" t="s">
        <v>3600</v>
      </c>
      <c r="D9438" s="1" t="s">
        <v>3601</v>
      </c>
      <c r="E9438" s="1" t="s">
        <v>3893</v>
      </c>
      <c r="F9438" s="1" t="s">
        <v>31277</v>
      </c>
      <c r="G9438" s="1" t="s">
        <v>8648</v>
      </c>
      <c r="H9438" s="1" t="s">
        <v>3604</v>
      </c>
      <c r="I9438" s="1" t="s">
        <v>31278</v>
      </c>
      <c r="J9438" s="1" t="s">
        <v>3615</v>
      </c>
      <c r="K9438" s="1" t="s">
        <v>31279</v>
      </c>
      <c r="L9438" s="1"/>
      <c r="M9438" s="1"/>
    </row>
    <row x14ac:dyDescent="0.25" r="9439" customHeight="1" ht="18.75">
      <c r="A9439" s="1" t="s">
        <v>3598</v>
      </c>
      <c r="B9439" s="1" t="s">
        <v>5260</v>
      </c>
      <c r="C9439" s="1" t="s">
        <v>3600</v>
      </c>
      <c r="D9439" s="1" t="s">
        <v>3601</v>
      </c>
      <c r="E9439" s="1" t="s">
        <v>3893</v>
      </c>
      <c r="F9439" s="1" t="s">
        <v>31280</v>
      </c>
      <c r="G9439" s="1" t="s">
        <v>8643</v>
      </c>
      <c r="H9439" s="1" t="s">
        <v>3604</v>
      </c>
      <c r="I9439" s="1" t="s">
        <v>31281</v>
      </c>
      <c r="J9439" s="1" t="s">
        <v>3615</v>
      </c>
      <c r="K9439" s="1" t="s">
        <v>31282</v>
      </c>
      <c r="L9439" s="1"/>
      <c r="M9439" s="1"/>
    </row>
    <row x14ac:dyDescent="0.25" r="9440" customHeight="1" ht="18.75">
      <c r="A9440" s="1" t="s">
        <v>3598</v>
      </c>
      <c r="B9440" s="1" t="s">
        <v>6954</v>
      </c>
      <c r="C9440" s="1" t="s">
        <v>3600</v>
      </c>
      <c r="D9440" s="1" t="s">
        <v>3601</v>
      </c>
      <c r="E9440" s="1" t="s">
        <v>3893</v>
      </c>
      <c r="F9440" s="1" t="s">
        <v>31283</v>
      </c>
      <c r="G9440" s="1" t="s">
        <v>31284</v>
      </c>
      <c r="H9440" s="1" t="s">
        <v>3604</v>
      </c>
      <c r="I9440" s="1" t="s">
        <v>31285</v>
      </c>
      <c r="J9440" s="1" t="s">
        <v>3615</v>
      </c>
      <c r="K9440" s="1" t="s">
        <v>31286</v>
      </c>
      <c r="L9440" s="1"/>
      <c r="M9440" s="1"/>
    </row>
    <row x14ac:dyDescent="0.25" r="9441" customHeight="1" ht="18.75">
      <c r="A9441" s="1" t="s">
        <v>3598</v>
      </c>
      <c r="B9441" s="1" t="s">
        <v>5252</v>
      </c>
      <c r="C9441" s="1" t="s">
        <v>3600</v>
      </c>
      <c r="D9441" s="1" t="s">
        <v>3610</v>
      </c>
      <c r="E9441" s="1" t="s">
        <v>3664</v>
      </c>
      <c r="F9441" s="1" t="s">
        <v>31287</v>
      </c>
      <c r="G9441" s="1" t="s">
        <v>18412</v>
      </c>
      <c r="H9441" s="1" t="s">
        <v>3604</v>
      </c>
      <c r="I9441" s="1" t="s">
        <v>31288</v>
      </c>
      <c r="J9441" s="1" t="s">
        <v>3615</v>
      </c>
      <c r="K9441" s="1" t="s">
        <v>26874</v>
      </c>
      <c r="L9441" s="1"/>
      <c r="M9441" s="1"/>
    </row>
    <row x14ac:dyDescent="0.25" r="9442" customHeight="1" ht="18.75">
      <c r="A9442" s="1" t="s">
        <v>3598</v>
      </c>
      <c r="B9442" s="1" t="s">
        <v>8191</v>
      </c>
      <c r="C9442" s="1" t="s">
        <v>3600</v>
      </c>
      <c r="D9442" s="1" t="s">
        <v>3610</v>
      </c>
      <c r="E9442" s="1" t="s">
        <v>3611</v>
      </c>
      <c r="F9442" s="1" t="s">
        <v>31289</v>
      </c>
      <c r="G9442" s="1" t="s">
        <v>20591</v>
      </c>
      <c r="H9442" s="1" t="s">
        <v>3604</v>
      </c>
      <c r="I9442" s="1" t="s">
        <v>31290</v>
      </c>
      <c r="J9442" s="1" t="s">
        <v>3615</v>
      </c>
      <c r="K9442" s="1" t="s">
        <v>31291</v>
      </c>
      <c r="L9442" s="1"/>
      <c r="M9442" s="1"/>
    </row>
    <row x14ac:dyDescent="0.25" r="9443" customHeight="1" ht="18.75">
      <c r="A9443" s="1" t="s">
        <v>3598</v>
      </c>
      <c r="B9443" s="1" t="s">
        <v>8191</v>
      </c>
      <c r="C9443" s="1" t="s">
        <v>3600</v>
      </c>
      <c r="D9443" s="1" t="s">
        <v>3610</v>
      </c>
      <c r="E9443" s="1" t="s">
        <v>3611</v>
      </c>
      <c r="F9443" s="1" t="s">
        <v>31292</v>
      </c>
      <c r="G9443" s="1" t="s">
        <v>20591</v>
      </c>
      <c r="H9443" s="1" t="s">
        <v>3604</v>
      </c>
      <c r="I9443" s="1" t="s">
        <v>31293</v>
      </c>
      <c r="J9443" s="1" t="s">
        <v>3615</v>
      </c>
      <c r="K9443" s="1" t="s">
        <v>31294</v>
      </c>
      <c r="L9443" s="1"/>
      <c r="M9443" s="1"/>
    </row>
    <row x14ac:dyDescent="0.25" r="9444" customHeight="1" ht="18.75">
      <c r="A9444" s="1" t="s">
        <v>3598</v>
      </c>
      <c r="B9444" s="1" t="s">
        <v>9231</v>
      </c>
      <c r="C9444" s="1" t="s">
        <v>3600</v>
      </c>
      <c r="D9444" s="1" t="s">
        <v>3610</v>
      </c>
      <c r="E9444" s="1" t="s">
        <v>3752</v>
      </c>
      <c r="F9444" s="1" t="s">
        <v>31295</v>
      </c>
      <c r="G9444" s="1" t="s">
        <v>31296</v>
      </c>
      <c r="H9444" s="1" t="s">
        <v>3604</v>
      </c>
      <c r="I9444" s="1" t="s">
        <v>31297</v>
      </c>
      <c r="J9444" s="1" t="s">
        <v>3615</v>
      </c>
      <c r="K9444" s="1" t="s">
        <v>26799</v>
      </c>
      <c r="L9444" s="1"/>
      <c r="M9444" s="1"/>
    </row>
    <row x14ac:dyDescent="0.25" r="9445" customHeight="1" ht="18.75">
      <c r="A9445" s="1" t="s">
        <v>3598</v>
      </c>
      <c r="B9445" s="1" t="s">
        <v>9231</v>
      </c>
      <c r="C9445" s="1" t="s">
        <v>3600</v>
      </c>
      <c r="D9445" s="1" t="s">
        <v>3610</v>
      </c>
      <c r="E9445" s="1" t="s">
        <v>3752</v>
      </c>
      <c r="F9445" s="1" t="s">
        <v>31298</v>
      </c>
      <c r="G9445" s="1" t="s">
        <v>31296</v>
      </c>
      <c r="H9445" s="1" t="s">
        <v>3604</v>
      </c>
      <c r="I9445" s="1" t="s">
        <v>31299</v>
      </c>
      <c r="J9445" s="1" t="s">
        <v>3615</v>
      </c>
      <c r="K9445" s="1" t="s">
        <v>26802</v>
      </c>
      <c r="L9445" s="1"/>
      <c r="M9445" s="1"/>
    </row>
    <row x14ac:dyDescent="0.25" r="9446" customHeight="1" ht="18.75">
      <c r="A9446" s="1" t="s">
        <v>3598</v>
      </c>
      <c r="B9446" s="1" t="s">
        <v>9231</v>
      </c>
      <c r="C9446" s="1" t="s">
        <v>3600</v>
      </c>
      <c r="D9446" s="1" t="s">
        <v>3610</v>
      </c>
      <c r="E9446" s="1" t="s">
        <v>3752</v>
      </c>
      <c r="F9446" s="1" t="s">
        <v>31300</v>
      </c>
      <c r="G9446" s="1" t="s">
        <v>31296</v>
      </c>
      <c r="H9446" s="1" t="s">
        <v>3604</v>
      </c>
      <c r="I9446" s="1" t="s">
        <v>31301</v>
      </c>
      <c r="J9446" s="1" t="s">
        <v>3615</v>
      </c>
      <c r="K9446" s="1" t="s">
        <v>31302</v>
      </c>
      <c r="L9446" s="1"/>
      <c r="M9446" s="1"/>
    </row>
    <row x14ac:dyDescent="0.25" r="9447" customHeight="1" ht="18.75">
      <c r="A9447" s="1" t="s">
        <v>3598</v>
      </c>
      <c r="B9447" s="1" t="s">
        <v>5252</v>
      </c>
      <c r="C9447" s="1" t="s">
        <v>3600</v>
      </c>
      <c r="D9447" s="1" t="s">
        <v>3610</v>
      </c>
      <c r="E9447" s="1" t="s">
        <v>3752</v>
      </c>
      <c r="F9447" s="1" t="s">
        <v>31303</v>
      </c>
      <c r="G9447" s="1" t="s">
        <v>20233</v>
      </c>
      <c r="H9447" s="1" t="s">
        <v>3604</v>
      </c>
      <c r="I9447" s="1" t="s">
        <v>31304</v>
      </c>
      <c r="J9447" s="1" t="s">
        <v>3615</v>
      </c>
      <c r="K9447" s="1" t="s">
        <v>26682</v>
      </c>
      <c r="L9447" s="1"/>
      <c r="M9447" s="1"/>
    </row>
    <row x14ac:dyDescent="0.25" r="9448" customHeight="1" ht="18.75">
      <c r="A9448" s="1" t="s">
        <v>3598</v>
      </c>
      <c r="B9448" s="1" t="s">
        <v>19975</v>
      </c>
      <c r="C9448" s="1" t="s">
        <v>3600</v>
      </c>
      <c r="D9448" s="1" t="s">
        <v>3610</v>
      </c>
      <c r="E9448" s="1" t="s">
        <v>3752</v>
      </c>
      <c r="F9448" s="1" t="s">
        <v>31305</v>
      </c>
      <c r="G9448" s="1" t="s">
        <v>31306</v>
      </c>
      <c r="H9448" s="1" t="s">
        <v>3604</v>
      </c>
      <c r="I9448" s="1" t="s">
        <v>31307</v>
      </c>
      <c r="J9448" s="1" t="s">
        <v>3615</v>
      </c>
      <c r="K9448" s="1" t="s">
        <v>31308</v>
      </c>
      <c r="L9448" s="1"/>
      <c r="M9448" s="1"/>
    </row>
    <row x14ac:dyDescent="0.25" r="9449" customHeight="1" ht="18.75">
      <c r="A9449" s="1" t="s">
        <v>3598</v>
      </c>
      <c r="B9449" s="1" t="s">
        <v>19975</v>
      </c>
      <c r="C9449" s="1" t="s">
        <v>3600</v>
      </c>
      <c r="D9449" s="1" t="s">
        <v>3610</v>
      </c>
      <c r="E9449" s="1" t="s">
        <v>3752</v>
      </c>
      <c r="F9449" s="1" t="s">
        <v>31309</v>
      </c>
      <c r="G9449" s="1" t="s">
        <v>31306</v>
      </c>
      <c r="H9449" s="1" t="s">
        <v>3604</v>
      </c>
      <c r="I9449" s="1" t="s">
        <v>31310</v>
      </c>
      <c r="J9449" s="1" t="s">
        <v>3615</v>
      </c>
      <c r="K9449" s="1" t="s">
        <v>27542</v>
      </c>
      <c r="L9449" s="1"/>
      <c r="M9449" s="1"/>
    </row>
    <row x14ac:dyDescent="0.25" r="9450" customHeight="1" ht="18.75">
      <c r="A9450" s="1" t="s">
        <v>3598</v>
      </c>
      <c r="B9450" s="1" t="s">
        <v>15659</v>
      </c>
      <c r="C9450" s="1" t="s">
        <v>3600</v>
      </c>
      <c r="D9450" s="1" t="s">
        <v>28428</v>
      </c>
      <c r="E9450" s="1" t="s">
        <v>3664</v>
      </c>
      <c r="F9450" s="1" t="s">
        <v>31311</v>
      </c>
      <c r="G9450" s="1" t="s">
        <v>15661</v>
      </c>
      <c r="H9450" s="1" t="s">
        <v>3604</v>
      </c>
      <c r="I9450" s="1" t="s">
        <v>31312</v>
      </c>
      <c r="J9450" s="1" t="s">
        <v>3615</v>
      </c>
      <c r="K9450" s="1" t="s">
        <v>31313</v>
      </c>
      <c r="L9450" s="1"/>
      <c r="M9450" s="1"/>
    </row>
    <row x14ac:dyDescent="0.25" r="9451" customHeight="1" ht="18.75">
      <c r="A9451" s="1" t="s">
        <v>3598</v>
      </c>
      <c r="B9451" s="1" t="s">
        <v>3663</v>
      </c>
      <c r="C9451" s="1" t="s">
        <v>3600</v>
      </c>
      <c r="D9451" s="1" t="s">
        <v>28428</v>
      </c>
      <c r="E9451" s="1" t="s">
        <v>3664</v>
      </c>
      <c r="F9451" s="1" t="s">
        <v>31314</v>
      </c>
      <c r="G9451" s="1" t="s">
        <v>7224</v>
      </c>
      <c r="H9451" s="1" t="s">
        <v>3604</v>
      </c>
      <c r="I9451" s="1" t="s">
        <v>31315</v>
      </c>
      <c r="J9451" s="1" t="s">
        <v>3615</v>
      </c>
      <c r="K9451" s="1" t="s">
        <v>31316</v>
      </c>
      <c r="L9451" s="1"/>
      <c r="M9451" s="1"/>
    </row>
    <row x14ac:dyDescent="0.25" r="9452" customHeight="1" ht="18.75">
      <c r="A9452" s="1" t="s">
        <v>3598</v>
      </c>
      <c r="B9452" s="1" t="s">
        <v>8191</v>
      </c>
      <c r="C9452" s="1" t="s">
        <v>3600</v>
      </c>
      <c r="D9452" s="1" t="s">
        <v>28428</v>
      </c>
      <c r="E9452" s="1" t="s">
        <v>3611</v>
      </c>
      <c r="F9452" s="1" t="s">
        <v>31317</v>
      </c>
      <c r="G9452" s="1" t="s">
        <v>20591</v>
      </c>
      <c r="H9452" s="1" t="s">
        <v>3604</v>
      </c>
      <c r="I9452" s="1" t="s">
        <v>31318</v>
      </c>
      <c r="J9452" s="1" t="s">
        <v>3615</v>
      </c>
      <c r="K9452" s="1" t="s">
        <v>31319</v>
      </c>
      <c r="L9452" s="1"/>
      <c r="M9452" s="1"/>
    </row>
    <row x14ac:dyDescent="0.25" r="9453" customHeight="1" ht="18.75">
      <c r="A9453" s="1" t="s">
        <v>3598</v>
      </c>
      <c r="B9453" s="1" t="s">
        <v>8572</v>
      </c>
      <c r="C9453" s="1" t="s">
        <v>3600</v>
      </c>
      <c r="D9453" s="1" t="s">
        <v>28428</v>
      </c>
      <c r="E9453" s="1" t="s">
        <v>3893</v>
      </c>
      <c r="F9453" s="1" t="s">
        <v>31320</v>
      </c>
      <c r="G9453" s="1" t="s">
        <v>31321</v>
      </c>
      <c r="H9453" s="1" t="s">
        <v>3604</v>
      </c>
      <c r="I9453" s="1" t="s">
        <v>31322</v>
      </c>
      <c r="J9453" s="1" t="s">
        <v>3615</v>
      </c>
      <c r="K9453" s="1" t="s">
        <v>31323</v>
      </c>
      <c r="L9453" s="1"/>
      <c r="M9453" s="1"/>
    </row>
    <row x14ac:dyDescent="0.25" r="9454" customHeight="1" ht="18.75">
      <c r="A9454" s="1" t="s">
        <v>3598</v>
      </c>
      <c r="B9454" s="1" t="s">
        <v>6954</v>
      </c>
      <c r="C9454" s="1" t="s">
        <v>3600</v>
      </c>
      <c r="D9454" s="1" t="s">
        <v>28428</v>
      </c>
      <c r="E9454" s="1" t="s">
        <v>3893</v>
      </c>
      <c r="F9454" s="1" t="s">
        <v>31324</v>
      </c>
      <c r="G9454" s="1" t="s">
        <v>31284</v>
      </c>
      <c r="H9454" s="1" t="s">
        <v>3604</v>
      </c>
      <c r="I9454" s="1" t="s">
        <v>31325</v>
      </c>
      <c r="J9454" s="1" t="s">
        <v>3615</v>
      </c>
      <c r="K9454" s="1" t="s">
        <v>31326</v>
      </c>
      <c r="L9454" s="1"/>
      <c r="M9454" s="1"/>
    </row>
    <row x14ac:dyDescent="0.25" r="9455" customHeight="1" ht="18.75">
      <c r="A9455" s="1" t="s">
        <v>3598</v>
      </c>
      <c r="B9455" s="1" t="s">
        <v>6954</v>
      </c>
      <c r="C9455" s="1" t="s">
        <v>3600</v>
      </c>
      <c r="D9455" s="1" t="s">
        <v>28428</v>
      </c>
      <c r="E9455" s="1" t="s">
        <v>3893</v>
      </c>
      <c r="F9455" s="1" t="s">
        <v>31327</v>
      </c>
      <c r="G9455" s="1" t="s">
        <v>29777</v>
      </c>
      <c r="H9455" s="1" t="s">
        <v>3604</v>
      </c>
      <c r="I9455" s="1" t="s">
        <v>31328</v>
      </c>
      <c r="J9455" s="1" t="s">
        <v>3615</v>
      </c>
      <c r="K9455" s="1" t="s">
        <v>31329</v>
      </c>
      <c r="L9455" s="1"/>
      <c r="M9455" s="1"/>
    </row>
    <row x14ac:dyDescent="0.25" r="9456" customHeight="1" ht="18.75">
      <c r="A9456" s="1" t="s">
        <v>3598</v>
      </c>
      <c r="B9456" s="1" t="s">
        <v>18039</v>
      </c>
      <c r="C9456" s="1" t="s">
        <v>3600</v>
      </c>
      <c r="D9456" s="1" t="s">
        <v>28428</v>
      </c>
      <c r="E9456" s="1" t="s">
        <v>3664</v>
      </c>
      <c r="F9456" s="1" t="s">
        <v>31330</v>
      </c>
      <c r="G9456" s="1" t="s">
        <v>16982</v>
      </c>
      <c r="H9456" s="1" t="s">
        <v>3604</v>
      </c>
      <c r="I9456" s="1" t="s">
        <v>31331</v>
      </c>
      <c r="J9456" s="1" t="s">
        <v>3615</v>
      </c>
      <c r="K9456" s="1" t="s">
        <v>31332</v>
      </c>
      <c r="L9456" s="1"/>
      <c r="M9456" s="1"/>
    </row>
    <row x14ac:dyDescent="0.25" r="9457" customHeight="1" ht="18.75">
      <c r="A9457" s="1" t="s">
        <v>3598</v>
      </c>
      <c r="B9457" s="1" t="s">
        <v>8651</v>
      </c>
      <c r="C9457" s="1" t="s">
        <v>3600</v>
      </c>
      <c r="D9457" s="1" t="s">
        <v>3601</v>
      </c>
      <c r="E9457" s="1" t="s">
        <v>3664</v>
      </c>
      <c r="F9457" s="1" t="s">
        <v>31333</v>
      </c>
      <c r="G9457" s="1" t="s">
        <v>8653</v>
      </c>
      <c r="H9457" s="1" t="s">
        <v>3604</v>
      </c>
      <c r="I9457" s="1" t="s">
        <v>31334</v>
      </c>
      <c r="J9457" s="1" t="s">
        <v>3615</v>
      </c>
      <c r="K9457" s="1" t="s">
        <v>31335</v>
      </c>
      <c r="L9457" s="1"/>
      <c r="M9457" s="1"/>
    </row>
    <row x14ac:dyDescent="0.25" r="9458" customHeight="1" ht="18.75">
      <c r="A9458" s="1" t="s">
        <v>3598</v>
      </c>
      <c r="B9458" s="1" t="s">
        <v>8651</v>
      </c>
      <c r="C9458" s="1" t="s">
        <v>3600</v>
      </c>
      <c r="D9458" s="1" t="s">
        <v>3601</v>
      </c>
      <c r="E9458" s="1" t="s">
        <v>3664</v>
      </c>
      <c r="F9458" s="1" t="s">
        <v>31336</v>
      </c>
      <c r="G9458" s="1" t="s">
        <v>8653</v>
      </c>
      <c r="H9458" s="1" t="s">
        <v>3604</v>
      </c>
      <c r="I9458" s="1" t="s">
        <v>31337</v>
      </c>
      <c r="J9458" s="1" t="s">
        <v>3615</v>
      </c>
      <c r="K9458" s="1" t="s">
        <v>31338</v>
      </c>
      <c r="L9458" s="1"/>
      <c r="M9458" s="1"/>
    </row>
    <row x14ac:dyDescent="0.25" r="9459" customHeight="1" ht="18.75">
      <c r="A9459" s="1" t="s">
        <v>3598</v>
      </c>
      <c r="B9459" s="1" t="s">
        <v>8651</v>
      </c>
      <c r="C9459" s="1" t="s">
        <v>3600</v>
      </c>
      <c r="D9459" s="1" t="s">
        <v>3601</v>
      </c>
      <c r="E9459" s="1" t="s">
        <v>3664</v>
      </c>
      <c r="F9459" s="1" t="s">
        <v>31339</v>
      </c>
      <c r="G9459" s="1" t="s">
        <v>8653</v>
      </c>
      <c r="H9459" s="1" t="s">
        <v>3604</v>
      </c>
      <c r="I9459" s="1" t="s">
        <v>31340</v>
      </c>
      <c r="J9459" s="1" t="s">
        <v>3615</v>
      </c>
      <c r="K9459" s="1" t="s">
        <v>31341</v>
      </c>
      <c r="L9459" s="1"/>
      <c r="M9459" s="1"/>
    </row>
    <row x14ac:dyDescent="0.25" r="9460" customHeight="1" ht="18.75">
      <c r="A9460" s="1" t="s">
        <v>3598</v>
      </c>
      <c r="B9460" s="1" t="s">
        <v>8651</v>
      </c>
      <c r="C9460" s="1" t="s">
        <v>3600</v>
      </c>
      <c r="D9460" s="1" t="s">
        <v>3601</v>
      </c>
      <c r="E9460" s="1" t="s">
        <v>3664</v>
      </c>
      <c r="F9460" s="1" t="s">
        <v>31342</v>
      </c>
      <c r="G9460" s="1" t="s">
        <v>8653</v>
      </c>
      <c r="H9460" s="1" t="s">
        <v>3604</v>
      </c>
      <c r="I9460" s="1" t="s">
        <v>31343</v>
      </c>
      <c r="J9460" s="1" t="s">
        <v>3615</v>
      </c>
      <c r="K9460" s="1" t="s">
        <v>31344</v>
      </c>
      <c r="L9460" s="1"/>
      <c r="M9460" s="1"/>
    </row>
    <row x14ac:dyDescent="0.25" r="9461" customHeight="1" ht="18.75">
      <c r="A9461" s="1" t="s">
        <v>3598</v>
      </c>
      <c r="B9461" s="1" t="s">
        <v>8651</v>
      </c>
      <c r="C9461" s="1" t="s">
        <v>3600</v>
      </c>
      <c r="D9461" s="1" t="s">
        <v>3601</v>
      </c>
      <c r="E9461" s="1" t="s">
        <v>3664</v>
      </c>
      <c r="F9461" s="1" t="s">
        <v>31345</v>
      </c>
      <c r="G9461" s="1" t="s">
        <v>8653</v>
      </c>
      <c r="H9461" s="1" t="s">
        <v>3604</v>
      </c>
      <c r="I9461" s="1" t="s">
        <v>31346</v>
      </c>
      <c r="J9461" s="1" t="s">
        <v>3615</v>
      </c>
      <c r="K9461" s="1" t="s">
        <v>31347</v>
      </c>
      <c r="L9461" s="1"/>
      <c r="M9461" s="1"/>
    </row>
    <row x14ac:dyDescent="0.25" r="9462" customHeight="1" ht="18.75">
      <c r="A9462" s="1" t="s">
        <v>3598</v>
      </c>
      <c r="B9462" s="1" t="s">
        <v>8651</v>
      </c>
      <c r="C9462" s="1" t="s">
        <v>3600</v>
      </c>
      <c r="D9462" s="1" t="s">
        <v>3601</v>
      </c>
      <c r="E9462" s="1" t="s">
        <v>3664</v>
      </c>
      <c r="F9462" s="1" t="s">
        <v>31348</v>
      </c>
      <c r="G9462" s="1" t="s">
        <v>8653</v>
      </c>
      <c r="H9462" s="1" t="s">
        <v>3604</v>
      </c>
      <c r="I9462" s="1" t="s">
        <v>31349</v>
      </c>
      <c r="J9462" s="1" t="s">
        <v>3615</v>
      </c>
      <c r="K9462" s="1" t="s">
        <v>31350</v>
      </c>
      <c r="L9462" s="1"/>
      <c r="M9462" s="1"/>
    </row>
    <row x14ac:dyDescent="0.25" r="9463" customHeight="1" ht="18.75">
      <c r="A9463" s="1" t="s">
        <v>7833</v>
      </c>
      <c r="B9463" s="1" t="s">
        <v>7861</v>
      </c>
      <c r="C9463" s="1" t="s">
        <v>4488</v>
      </c>
      <c r="D9463" s="1" t="s">
        <v>7891</v>
      </c>
      <c r="E9463" s="1" t="s">
        <v>3664</v>
      </c>
      <c r="F9463" s="1" t="s">
        <v>31351</v>
      </c>
      <c r="G9463" s="1" t="s">
        <v>31352</v>
      </c>
      <c r="H9463" s="1" t="s">
        <v>3604</v>
      </c>
      <c r="I9463" s="1" t="s">
        <v>31353</v>
      </c>
      <c r="J9463" s="1" t="s">
        <v>3606</v>
      </c>
      <c r="K9463" s="1" t="s">
        <v>26282</v>
      </c>
      <c r="L9463" s="1"/>
      <c r="M9463" s="1"/>
    </row>
    <row x14ac:dyDescent="0.25" r="9464" customHeight="1" ht="18.75">
      <c r="A9464" s="1" t="s">
        <v>3598</v>
      </c>
      <c r="B9464" s="1" t="s">
        <v>8651</v>
      </c>
      <c r="C9464" s="1" t="s">
        <v>3600</v>
      </c>
      <c r="D9464" s="1" t="s">
        <v>3601</v>
      </c>
      <c r="E9464" s="1" t="s">
        <v>3664</v>
      </c>
      <c r="F9464" s="1" t="s">
        <v>31354</v>
      </c>
      <c r="G9464" s="1" t="s">
        <v>8653</v>
      </c>
      <c r="H9464" s="1" t="s">
        <v>3604</v>
      </c>
      <c r="I9464" s="1" t="s">
        <v>31355</v>
      </c>
      <c r="J9464" s="1" t="s">
        <v>3615</v>
      </c>
      <c r="K9464" s="1" t="s">
        <v>31356</v>
      </c>
      <c r="L9464" s="1"/>
      <c r="M9464" s="1"/>
    </row>
    <row x14ac:dyDescent="0.25" r="9465" customHeight="1" ht="18.75">
      <c r="A9465" s="1" t="s">
        <v>3598</v>
      </c>
      <c r="B9465" s="1" t="s">
        <v>27802</v>
      </c>
      <c r="C9465" s="1" t="s">
        <v>3600</v>
      </c>
      <c r="D9465" s="1" t="s">
        <v>3601</v>
      </c>
      <c r="E9465" s="1" t="s">
        <v>3664</v>
      </c>
      <c r="F9465" s="1" t="s">
        <v>31357</v>
      </c>
      <c r="G9465" s="1" t="s">
        <v>3678</v>
      </c>
      <c r="H9465" s="1" t="s">
        <v>3604</v>
      </c>
      <c r="I9465" s="1" t="s">
        <v>31358</v>
      </c>
      <c r="J9465" s="1" t="s">
        <v>3615</v>
      </c>
      <c r="K9465" s="1" t="s">
        <v>31359</v>
      </c>
      <c r="L9465" s="1"/>
      <c r="M9465" s="1"/>
    </row>
    <row x14ac:dyDescent="0.25" r="9466" customHeight="1" ht="18.75">
      <c r="A9466" s="1" t="s">
        <v>3617</v>
      </c>
      <c r="B9466" s="1" t="s">
        <v>5570</v>
      </c>
      <c r="C9466" s="1" t="s">
        <v>3619</v>
      </c>
      <c r="D9466" s="1" t="s">
        <v>3610</v>
      </c>
      <c r="E9466" s="1" t="s">
        <v>3730</v>
      </c>
      <c r="F9466" s="1" t="s">
        <v>31360</v>
      </c>
      <c r="G9466" s="1" t="s">
        <v>7290</v>
      </c>
      <c r="H9466" s="1" t="s">
        <v>3604</v>
      </c>
      <c r="I9466" s="1" t="s">
        <v>31361</v>
      </c>
      <c r="J9466" s="1" t="s">
        <v>3615</v>
      </c>
      <c r="K9466" s="1" t="s">
        <v>31362</v>
      </c>
      <c r="L9466" s="1"/>
      <c r="M9466" s="1"/>
    </row>
    <row x14ac:dyDescent="0.25" r="9467" customHeight="1" ht="18.75">
      <c r="A9467" s="1" t="s">
        <v>3598</v>
      </c>
      <c r="B9467" s="1" t="s">
        <v>31363</v>
      </c>
      <c r="C9467" s="1" t="s">
        <v>3600</v>
      </c>
      <c r="D9467" s="1" t="s">
        <v>3601</v>
      </c>
      <c r="E9467" s="1" t="s">
        <v>3664</v>
      </c>
      <c r="F9467" s="1" t="s">
        <v>31364</v>
      </c>
      <c r="G9467" s="1" t="s">
        <v>31365</v>
      </c>
      <c r="H9467" s="1" t="s">
        <v>3604</v>
      </c>
      <c r="I9467" s="1" t="s">
        <v>31366</v>
      </c>
      <c r="J9467" s="1" t="s">
        <v>3615</v>
      </c>
      <c r="K9467" s="1" t="s">
        <v>31367</v>
      </c>
      <c r="L9467" s="1"/>
      <c r="M9467" s="1"/>
    </row>
    <row x14ac:dyDescent="0.25" r="9468" customHeight="1" ht="18.75">
      <c r="A9468" s="1" t="s">
        <v>3598</v>
      </c>
      <c r="B9468" s="1" t="s">
        <v>31368</v>
      </c>
      <c r="C9468" s="1" t="s">
        <v>3600</v>
      </c>
      <c r="D9468" s="1" t="s">
        <v>3601</v>
      </c>
      <c r="E9468" s="1" t="s">
        <v>3752</v>
      </c>
      <c r="F9468" s="1" t="s">
        <v>31369</v>
      </c>
      <c r="G9468" s="1" t="s">
        <v>31370</v>
      </c>
      <c r="H9468" s="1" t="s">
        <v>3604</v>
      </c>
      <c r="I9468" s="1" t="s">
        <v>31371</v>
      </c>
      <c r="J9468" s="1" t="s">
        <v>3615</v>
      </c>
      <c r="K9468" s="1" t="s">
        <v>31372</v>
      </c>
      <c r="L9468" s="1"/>
      <c r="M9468" s="1"/>
    </row>
    <row x14ac:dyDescent="0.25" r="9469" customHeight="1" ht="18.75">
      <c r="A9469" s="1" t="s">
        <v>3598</v>
      </c>
      <c r="B9469" s="1" t="s">
        <v>31368</v>
      </c>
      <c r="C9469" s="1" t="s">
        <v>3600</v>
      </c>
      <c r="D9469" s="1" t="s">
        <v>3601</v>
      </c>
      <c r="E9469" s="1" t="s">
        <v>3752</v>
      </c>
      <c r="F9469" s="1" t="s">
        <v>31373</v>
      </c>
      <c r="G9469" s="1" t="s">
        <v>31370</v>
      </c>
      <c r="H9469" s="1" t="s">
        <v>3604</v>
      </c>
      <c r="I9469" s="1" t="s">
        <v>31374</v>
      </c>
      <c r="J9469" s="1" t="s">
        <v>3615</v>
      </c>
      <c r="K9469" s="1" t="s">
        <v>31375</v>
      </c>
      <c r="L9469" s="1"/>
      <c r="M9469" s="1"/>
    </row>
    <row x14ac:dyDescent="0.25" r="9470" customHeight="1" ht="18.75">
      <c r="A9470" s="1" t="s">
        <v>3598</v>
      </c>
      <c r="B9470" s="1" t="s">
        <v>31363</v>
      </c>
      <c r="C9470" s="1" t="s">
        <v>3600</v>
      </c>
      <c r="D9470" s="1" t="s">
        <v>3601</v>
      </c>
      <c r="E9470" s="1" t="s">
        <v>3664</v>
      </c>
      <c r="F9470" s="1" t="s">
        <v>31376</v>
      </c>
      <c r="G9470" s="1" t="s">
        <v>31377</v>
      </c>
      <c r="H9470" s="1" t="s">
        <v>3604</v>
      </c>
      <c r="I9470" s="1" t="s">
        <v>31378</v>
      </c>
      <c r="J9470" s="1" t="s">
        <v>3615</v>
      </c>
      <c r="K9470" s="1" t="s">
        <v>31379</v>
      </c>
      <c r="L9470" s="1"/>
      <c r="M9470" s="1"/>
    </row>
    <row x14ac:dyDescent="0.25" r="9471" customHeight="1" ht="18.75">
      <c r="A9471" s="1" t="s">
        <v>3617</v>
      </c>
      <c r="B9471" s="1" t="s">
        <v>5570</v>
      </c>
      <c r="C9471" s="1" t="s">
        <v>3619</v>
      </c>
      <c r="D9471" s="1" t="s">
        <v>3610</v>
      </c>
      <c r="E9471" s="1" t="s">
        <v>3730</v>
      </c>
      <c r="F9471" s="1" t="s">
        <v>31380</v>
      </c>
      <c r="G9471" s="1" t="s">
        <v>7290</v>
      </c>
      <c r="H9471" s="1" t="s">
        <v>3604</v>
      </c>
      <c r="I9471" s="1" t="s">
        <v>31381</v>
      </c>
      <c r="J9471" s="1" t="s">
        <v>3615</v>
      </c>
      <c r="K9471" s="1" t="s">
        <v>31382</v>
      </c>
      <c r="L9471" s="1"/>
      <c r="M9471" s="1"/>
    </row>
    <row x14ac:dyDescent="0.25" r="9472" customHeight="1" ht="18.75">
      <c r="A9472" s="1" t="s">
        <v>7833</v>
      </c>
      <c r="B9472" s="1" t="s">
        <v>8204</v>
      </c>
      <c r="C9472" s="1" t="s">
        <v>4488</v>
      </c>
      <c r="D9472" s="1" t="s">
        <v>10630</v>
      </c>
      <c r="E9472" s="1" t="s">
        <v>3611</v>
      </c>
      <c r="F9472" s="1" t="s">
        <v>31383</v>
      </c>
      <c r="G9472" s="1" t="s">
        <v>31384</v>
      </c>
      <c r="H9472" s="1" t="s">
        <v>3604</v>
      </c>
      <c r="I9472" s="1" t="s">
        <v>31385</v>
      </c>
      <c r="J9472" s="1" t="s">
        <v>3606</v>
      </c>
      <c r="K9472" s="1" t="s">
        <v>31386</v>
      </c>
      <c r="L9472" s="1"/>
      <c r="M9472" s="1"/>
    </row>
    <row x14ac:dyDescent="0.25" r="9473" customHeight="1" ht="18.75">
      <c r="A9473" s="1" t="s">
        <v>3598</v>
      </c>
      <c r="B9473" s="1" t="s">
        <v>27979</v>
      </c>
      <c r="C9473" s="1" t="s">
        <v>3600</v>
      </c>
      <c r="D9473" s="1" t="s">
        <v>3601</v>
      </c>
      <c r="E9473" s="1" t="s">
        <v>3664</v>
      </c>
      <c r="F9473" s="1" t="s">
        <v>31387</v>
      </c>
      <c r="G9473" s="1" t="s">
        <v>27396</v>
      </c>
      <c r="H9473" s="1" t="s">
        <v>3604</v>
      </c>
      <c r="I9473" s="1" t="s">
        <v>31388</v>
      </c>
      <c r="J9473" s="1" t="s">
        <v>3615</v>
      </c>
      <c r="K9473" s="1" t="s">
        <v>31389</v>
      </c>
      <c r="L9473" s="1"/>
      <c r="M9473" s="1"/>
    </row>
    <row x14ac:dyDescent="0.25" r="9474" customHeight="1" ht="18.75">
      <c r="A9474" s="1" t="s">
        <v>7833</v>
      </c>
      <c r="B9474" s="1" t="s">
        <v>8258</v>
      </c>
      <c r="C9474" s="1" t="s">
        <v>4488</v>
      </c>
      <c r="D9474" s="1" t="s">
        <v>3695</v>
      </c>
      <c r="E9474" s="1" t="s">
        <v>3664</v>
      </c>
      <c r="F9474" s="1" t="s">
        <v>31390</v>
      </c>
      <c r="G9474" s="1" t="s">
        <v>8260</v>
      </c>
      <c r="H9474" s="1" t="s">
        <v>3604</v>
      </c>
      <c r="I9474" s="1" t="s">
        <v>31391</v>
      </c>
      <c r="J9474" s="1" t="s">
        <v>3615</v>
      </c>
      <c r="K9474" s="1" t="s">
        <v>26435</v>
      </c>
      <c r="L9474" s="1"/>
      <c r="M9474" s="1"/>
    </row>
    <row x14ac:dyDescent="0.25" r="9475" customHeight="1" ht="18.75">
      <c r="A9475" s="1" t="s">
        <v>3598</v>
      </c>
      <c r="B9475" s="1" t="s">
        <v>27979</v>
      </c>
      <c r="C9475" s="1" t="s">
        <v>3600</v>
      </c>
      <c r="D9475" s="1" t="s">
        <v>3601</v>
      </c>
      <c r="E9475" s="1" t="s">
        <v>3664</v>
      </c>
      <c r="F9475" s="1" t="s">
        <v>31392</v>
      </c>
      <c r="G9475" s="1" t="s">
        <v>28005</v>
      </c>
      <c r="H9475" s="1" t="s">
        <v>3604</v>
      </c>
      <c r="I9475" s="1" t="s">
        <v>31393</v>
      </c>
      <c r="J9475" s="1" t="s">
        <v>3615</v>
      </c>
      <c r="K9475" s="1" t="s">
        <v>31394</v>
      </c>
      <c r="L9475" s="1"/>
      <c r="M9475" s="1"/>
    </row>
    <row x14ac:dyDescent="0.25" r="9476" customHeight="1" ht="18.75">
      <c r="A9476" s="1" t="s">
        <v>3598</v>
      </c>
      <c r="B9476" s="1" t="s">
        <v>27979</v>
      </c>
      <c r="C9476" s="1" t="s">
        <v>3600</v>
      </c>
      <c r="D9476" s="1" t="s">
        <v>3601</v>
      </c>
      <c r="E9476" s="1" t="s">
        <v>3664</v>
      </c>
      <c r="F9476" s="1" t="s">
        <v>31395</v>
      </c>
      <c r="G9476" s="1" t="s">
        <v>28005</v>
      </c>
      <c r="H9476" s="1" t="s">
        <v>3604</v>
      </c>
      <c r="I9476" s="1" t="s">
        <v>31396</v>
      </c>
      <c r="J9476" s="1" t="s">
        <v>3615</v>
      </c>
      <c r="K9476" s="1" t="s">
        <v>31397</v>
      </c>
      <c r="L9476" s="1"/>
      <c r="M9476" s="1"/>
    </row>
    <row x14ac:dyDescent="0.25" r="9477" customHeight="1" ht="18.75">
      <c r="A9477" s="1" t="s">
        <v>7833</v>
      </c>
      <c r="B9477" s="1" t="s">
        <v>14486</v>
      </c>
      <c r="C9477" s="1" t="s">
        <v>3619</v>
      </c>
      <c r="D9477" s="1" t="s">
        <v>28428</v>
      </c>
      <c r="E9477" s="1" t="s">
        <v>3981</v>
      </c>
      <c r="F9477" s="1" t="s">
        <v>31398</v>
      </c>
      <c r="G9477" s="1" t="s">
        <v>31399</v>
      </c>
      <c r="H9477" s="1" t="s">
        <v>3604</v>
      </c>
      <c r="I9477" s="1" t="s">
        <v>31400</v>
      </c>
      <c r="J9477" s="1" t="s">
        <v>3615</v>
      </c>
      <c r="K9477" s="1" t="s">
        <v>24261</v>
      </c>
      <c r="L9477" s="1"/>
      <c r="M9477" s="1"/>
    </row>
    <row x14ac:dyDescent="0.25" r="9478" customHeight="1" ht="18.75">
      <c r="A9478" s="1" t="s">
        <v>3598</v>
      </c>
      <c r="B9478" s="1" t="s">
        <v>27979</v>
      </c>
      <c r="C9478" s="1" t="s">
        <v>3600</v>
      </c>
      <c r="D9478" s="1" t="s">
        <v>3601</v>
      </c>
      <c r="E9478" s="1" t="s">
        <v>3664</v>
      </c>
      <c r="F9478" s="1" t="s">
        <v>31401</v>
      </c>
      <c r="G9478" s="1" t="s">
        <v>28005</v>
      </c>
      <c r="H9478" s="1" t="s">
        <v>3604</v>
      </c>
      <c r="I9478" s="1" t="s">
        <v>31402</v>
      </c>
      <c r="J9478" s="1" t="s">
        <v>3615</v>
      </c>
      <c r="K9478" s="1" t="s">
        <v>31403</v>
      </c>
      <c r="L9478" s="1"/>
      <c r="M9478" s="1"/>
    </row>
    <row x14ac:dyDescent="0.25" r="9479" customHeight="1" ht="18.75">
      <c r="A9479" s="1" t="s">
        <v>7833</v>
      </c>
      <c r="B9479" s="1" t="s">
        <v>14486</v>
      </c>
      <c r="C9479" s="1" t="s">
        <v>3619</v>
      </c>
      <c r="D9479" s="1" t="s">
        <v>28428</v>
      </c>
      <c r="E9479" s="1" t="s">
        <v>3981</v>
      </c>
      <c r="F9479" s="1" t="s">
        <v>31404</v>
      </c>
      <c r="G9479" s="1" t="s">
        <v>14965</v>
      </c>
      <c r="H9479" s="1" t="s">
        <v>3604</v>
      </c>
      <c r="I9479" s="1" t="s">
        <v>31405</v>
      </c>
      <c r="J9479" s="1" t="s">
        <v>3615</v>
      </c>
      <c r="K9479" s="1" t="s">
        <v>31406</v>
      </c>
      <c r="L9479" s="1"/>
      <c r="M9479" s="1"/>
    </row>
    <row x14ac:dyDescent="0.25" r="9480" customHeight="1" ht="18.75">
      <c r="A9480" s="1" t="s">
        <v>3598</v>
      </c>
      <c r="B9480" s="1" t="s">
        <v>27979</v>
      </c>
      <c r="C9480" s="1" t="s">
        <v>3600</v>
      </c>
      <c r="D9480" s="1" t="s">
        <v>3601</v>
      </c>
      <c r="E9480" s="1" t="s">
        <v>3664</v>
      </c>
      <c r="F9480" s="1" t="s">
        <v>31407</v>
      </c>
      <c r="G9480" s="1" t="s">
        <v>28015</v>
      </c>
      <c r="H9480" s="1" t="s">
        <v>3604</v>
      </c>
      <c r="I9480" s="1" t="s">
        <v>31408</v>
      </c>
      <c r="J9480" s="1" t="s">
        <v>3615</v>
      </c>
      <c r="K9480" s="1" t="s">
        <v>31409</v>
      </c>
      <c r="L9480" s="1"/>
      <c r="M9480" s="1"/>
    </row>
    <row x14ac:dyDescent="0.25" r="9481" customHeight="1" ht="18.75">
      <c r="A9481" s="1" t="s">
        <v>7833</v>
      </c>
      <c r="B9481" s="1" t="s">
        <v>8204</v>
      </c>
      <c r="C9481" s="1" t="s">
        <v>4488</v>
      </c>
      <c r="D9481" s="1" t="s">
        <v>10630</v>
      </c>
      <c r="E9481" s="1" t="s">
        <v>3611</v>
      </c>
      <c r="F9481" s="1" t="s">
        <v>31410</v>
      </c>
      <c r="G9481" s="1" t="s">
        <v>14247</v>
      </c>
      <c r="H9481" s="1" t="s">
        <v>3604</v>
      </c>
      <c r="I9481" s="1" t="s">
        <v>31411</v>
      </c>
      <c r="J9481" s="1" t="s">
        <v>3606</v>
      </c>
      <c r="K9481" s="1" t="s">
        <v>31412</v>
      </c>
      <c r="L9481" s="1"/>
      <c r="M9481" s="1"/>
    </row>
    <row x14ac:dyDescent="0.25" r="9482" customHeight="1" ht="18.75">
      <c r="A9482" s="1" t="s">
        <v>3598</v>
      </c>
      <c r="B9482" s="1" t="s">
        <v>31368</v>
      </c>
      <c r="C9482" s="1" t="s">
        <v>3600</v>
      </c>
      <c r="D9482" s="1" t="s">
        <v>3601</v>
      </c>
      <c r="E9482" s="1" t="s">
        <v>3752</v>
      </c>
      <c r="F9482" s="1" t="s">
        <v>31413</v>
      </c>
      <c r="G9482" s="1" t="s">
        <v>31370</v>
      </c>
      <c r="H9482" s="1" t="s">
        <v>3604</v>
      </c>
      <c r="I9482" s="1" t="s">
        <v>31414</v>
      </c>
      <c r="J9482" s="1" t="s">
        <v>3615</v>
      </c>
      <c r="K9482" s="1" t="s">
        <v>31415</v>
      </c>
      <c r="L9482" s="1"/>
      <c r="M9482" s="1"/>
    </row>
    <row x14ac:dyDescent="0.25" r="9483" customHeight="1" ht="18.75">
      <c r="A9483" s="1" t="s">
        <v>3598</v>
      </c>
      <c r="B9483" s="1" t="s">
        <v>21963</v>
      </c>
      <c r="C9483" s="1" t="s">
        <v>3600</v>
      </c>
      <c r="D9483" s="1" t="s">
        <v>3601</v>
      </c>
      <c r="E9483" s="1" t="s">
        <v>3893</v>
      </c>
      <c r="F9483" s="1" t="s">
        <v>31416</v>
      </c>
      <c r="G9483" s="1" t="s">
        <v>15032</v>
      </c>
      <c r="H9483" s="1" t="s">
        <v>3604</v>
      </c>
      <c r="I9483" s="1" t="s">
        <v>31417</v>
      </c>
      <c r="J9483" s="1" t="s">
        <v>3615</v>
      </c>
      <c r="K9483" s="1" t="s">
        <v>31418</v>
      </c>
      <c r="L9483" s="1"/>
      <c r="M9483" s="1"/>
    </row>
    <row x14ac:dyDescent="0.25" r="9484" customHeight="1" ht="18.75">
      <c r="A9484" s="1" t="s">
        <v>7833</v>
      </c>
      <c r="B9484" s="1" t="s">
        <v>8204</v>
      </c>
      <c r="C9484" s="1" t="s">
        <v>4488</v>
      </c>
      <c r="D9484" s="1" t="s">
        <v>10630</v>
      </c>
      <c r="E9484" s="1" t="s">
        <v>3611</v>
      </c>
      <c r="F9484" s="1" t="s">
        <v>31419</v>
      </c>
      <c r="G9484" s="1" t="s">
        <v>14247</v>
      </c>
      <c r="H9484" s="1" t="s">
        <v>3604</v>
      </c>
      <c r="I9484" s="1" t="s">
        <v>31420</v>
      </c>
      <c r="J9484" s="1" t="s">
        <v>3606</v>
      </c>
      <c r="K9484" s="1" t="s">
        <v>31421</v>
      </c>
      <c r="L9484" s="1"/>
      <c r="M9484" s="1"/>
    </row>
    <row x14ac:dyDescent="0.25" r="9485" customHeight="1" ht="18.75">
      <c r="A9485" s="1" t="s">
        <v>3598</v>
      </c>
      <c r="B9485" s="1" t="s">
        <v>28704</v>
      </c>
      <c r="C9485" s="1" t="s">
        <v>3600</v>
      </c>
      <c r="D9485" s="1" t="s">
        <v>3601</v>
      </c>
      <c r="E9485" s="1" t="s">
        <v>3664</v>
      </c>
      <c r="F9485" s="1" t="s">
        <v>31422</v>
      </c>
      <c r="G9485" s="1" t="s">
        <v>17385</v>
      </c>
      <c r="H9485" s="1" t="s">
        <v>3604</v>
      </c>
      <c r="I9485" s="1" t="s">
        <v>31423</v>
      </c>
      <c r="J9485" s="1" t="s">
        <v>3615</v>
      </c>
      <c r="K9485" s="1" t="s">
        <v>31424</v>
      </c>
      <c r="L9485" s="1"/>
      <c r="M9485" s="1"/>
    </row>
    <row x14ac:dyDescent="0.25" r="9486" customHeight="1" ht="18.75">
      <c r="A9486" s="1" t="s">
        <v>7833</v>
      </c>
      <c r="B9486" s="1" t="s">
        <v>14486</v>
      </c>
      <c r="C9486" s="1" t="s">
        <v>3619</v>
      </c>
      <c r="D9486" s="1" t="s">
        <v>28428</v>
      </c>
      <c r="E9486" s="1" t="s">
        <v>3981</v>
      </c>
      <c r="F9486" s="1" t="s">
        <v>31425</v>
      </c>
      <c r="G9486" s="1" t="s">
        <v>29042</v>
      </c>
      <c r="H9486" s="1" t="s">
        <v>3604</v>
      </c>
      <c r="I9486" s="1" t="s">
        <v>31426</v>
      </c>
      <c r="J9486" s="1" t="s">
        <v>3615</v>
      </c>
      <c r="K9486" s="1" t="s">
        <v>31427</v>
      </c>
      <c r="L9486" s="1"/>
      <c r="M9486" s="1"/>
    </row>
    <row x14ac:dyDescent="0.25" r="9487" customHeight="1" ht="18.75">
      <c r="A9487" s="1" t="s">
        <v>3598</v>
      </c>
      <c r="B9487" s="1" t="s">
        <v>28692</v>
      </c>
      <c r="C9487" s="1" t="s">
        <v>3600</v>
      </c>
      <c r="D9487" s="1" t="s">
        <v>3601</v>
      </c>
      <c r="E9487" s="1" t="s">
        <v>3664</v>
      </c>
      <c r="F9487" s="1" t="s">
        <v>31428</v>
      </c>
      <c r="G9487" s="1" t="s">
        <v>17381</v>
      </c>
      <c r="H9487" s="1" t="s">
        <v>3604</v>
      </c>
      <c r="I9487" s="1" t="s">
        <v>31429</v>
      </c>
      <c r="J9487" s="1" t="s">
        <v>3615</v>
      </c>
      <c r="K9487" s="1" t="s">
        <v>31430</v>
      </c>
      <c r="L9487" s="1"/>
      <c r="M9487" s="1"/>
    </row>
    <row x14ac:dyDescent="0.25" r="9488" customHeight="1" ht="18.75">
      <c r="A9488" s="1" t="s">
        <v>7833</v>
      </c>
      <c r="B9488" s="1" t="s">
        <v>14486</v>
      </c>
      <c r="C9488" s="1" t="s">
        <v>3619</v>
      </c>
      <c r="D9488" s="1" t="s">
        <v>28428</v>
      </c>
      <c r="E9488" s="1" t="s">
        <v>3981</v>
      </c>
      <c r="F9488" s="1" t="s">
        <v>31431</v>
      </c>
      <c r="G9488" s="1" t="s">
        <v>29046</v>
      </c>
      <c r="H9488" s="1" t="s">
        <v>3604</v>
      </c>
      <c r="I9488" s="1" t="s">
        <v>31432</v>
      </c>
      <c r="J9488" s="1" t="s">
        <v>3615</v>
      </c>
      <c r="K9488" s="1" t="s">
        <v>31433</v>
      </c>
      <c r="L9488" s="1"/>
      <c r="M9488" s="1"/>
    </row>
    <row x14ac:dyDescent="0.25" r="9489" customHeight="1" ht="18.75">
      <c r="A9489" s="1" t="s">
        <v>3598</v>
      </c>
      <c r="B9489" s="1" t="s">
        <v>16610</v>
      </c>
      <c r="C9489" s="1" t="s">
        <v>3600</v>
      </c>
      <c r="D9489" s="1" t="s">
        <v>3601</v>
      </c>
      <c r="E9489" s="1" t="s">
        <v>3893</v>
      </c>
      <c r="F9489" s="1" t="s">
        <v>31434</v>
      </c>
      <c r="G9489" s="1" t="s">
        <v>14002</v>
      </c>
      <c r="H9489" s="1" t="s">
        <v>3604</v>
      </c>
      <c r="I9489" s="1" t="s">
        <v>31435</v>
      </c>
      <c r="J9489" s="1" t="s">
        <v>3615</v>
      </c>
      <c r="K9489" s="1" t="s">
        <v>31436</v>
      </c>
      <c r="L9489" s="1"/>
      <c r="M9489" s="1"/>
    </row>
    <row x14ac:dyDescent="0.25" r="9490" customHeight="1" ht="18.75">
      <c r="A9490" s="1" t="s">
        <v>7833</v>
      </c>
      <c r="B9490" s="1" t="s">
        <v>14486</v>
      </c>
      <c r="C9490" s="1" t="s">
        <v>3619</v>
      </c>
      <c r="D9490" s="1" t="s">
        <v>28428</v>
      </c>
      <c r="E9490" s="1" t="s">
        <v>3981</v>
      </c>
      <c r="F9490" s="1" t="s">
        <v>31437</v>
      </c>
      <c r="G9490" s="1" t="s">
        <v>29065</v>
      </c>
      <c r="H9490" s="1" t="s">
        <v>3604</v>
      </c>
      <c r="I9490" s="1" t="s">
        <v>31438</v>
      </c>
      <c r="J9490" s="1" t="s">
        <v>3615</v>
      </c>
      <c r="K9490" s="1" t="s">
        <v>31439</v>
      </c>
      <c r="L9490" s="1"/>
      <c r="M9490" s="1"/>
    </row>
    <row x14ac:dyDescent="0.25" r="9491" customHeight="1" ht="18.75">
      <c r="A9491" s="1" t="s">
        <v>3598</v>
      </c>
      <c r="B9491" s="1" t="s">
        <v>16517</v>
      </c>
      <c r="C9491" s="1" t="s">
        <v>3600</v>
      </c>
      <c r="D9491" s="1" t="s">
        <v>3601</v>
      </c>
      <c r="E9491" s="1" t="s">
        <v>3893</v>
      </c>
      <c r="F9491" s="1" t="s">
        <v>31440</v>
      </c>
      <c r="G9491" s="1" t="s">
        <v>6524</v>
      </c>
      <c r="H9491" s="1" t="s">
        <v>3604</v>
      </c>
      <c r="I9491" s="1" t="s">
        <v>31441</v>
      </c>
      <c r="J9491" s="1" t="s">
        <v>3615</v>
      </c>
      <c r="K9491" s="1" t="s">
        <v>31442</v>
      </c>
      <c r="L9491" s="1"/>
      <c r="M9491" s="1"/>
    </row>
    <row x14ac:dyDescent="0.25" r="9492" customHeight="1" ht="18.75">
      <c r="A9492" s="1" t="s">
        <v>7833</v>
      </c>
      <c r="B9492" s="1" t="s">
        <v>8204</v>
      </c>
      <c r="C9492" s="1" t="s">
        <v>4488</v>
      </c>
      <c r="D9492" s="1" t="s">
        <v>10630</v>
      </c>
      <c r="E9492" s="1" t="s">
        <v>3611</v>
      </c>
      <c r="F9492" s="1" t="s">
        <v>31443</v>
      </c>
      <c r="G9492" s="1" t="s">
        <v>14247</v>
      </c>
      <c r="H9492" s="1" t="s">
        <v>3604</v>
      </c>
      <c r="I9492" s="1" t="s">
        <v>31444</v>
      </c>
      <c r="J9492" s="1" t="s">
        <v>3606</v>
      </c>
      <c r="K9492" s="1" t="s">
        <v>31445</v>
      </c>
      <c r="L9492" s="1"/>
      <c r="M9492" s="1"/>
    </row>
    <row x14ac:dyDescent="0.25" r="9493" customHeight="1" ht="18.75">
      <c r="A9493" s="1" t="s">
        <v>3598</v>
      </c>
      <c r="B9493" s="1" t="s">
        <v>18410</v>
      </c>
      <c r="C9493" s="1" t="s">
        <v>3600</v>
      </c>
      <c r="D9493" s="1" t="s">
        <v>3601</v>
      </c>
      <c r="E9493" s="1" t="s">
        <v>3664</v>
      </c>
      <c r="F9493" s="1" t="s">
        <v>31446</v>
      </c>
      <c r="G9493" s="1" t="s">
        <v>19608</v>
      </c>
      <c r="H9493" s="1" t="s">
        <v>3604</v>
      </c>
      <c r="I9493" s="1" t="s">
        <v>31447</v>
      </c>
      <c r="J9493" s="1" t="s">
        <v>3615</v>
      </c>
      <c r="K9493" s="1" t="s">
        <v>31448</v>
      </c>
      <c r="L9493" s="1"/>
      <c r="M9493" s="1"/>
    </row>
    <row x14ac:dyDescent="0.25" r="9494" customHeight="1" ht="18.75">
      <c r="A9494" s="1" t="s">
        <v>7833</v>
      </c>
      <c r="B9494" s="1" t="s">
        <v>31449</v>
      </c>
      <c r="C9494" s="1" t="s">
        <v>4488</v>
      </c>
      <c r="D9494" s="1" t="s">
        <v>28428</v>
      </c>
      <c r="E9494" s="1" t="s">
        <v>8096</v>
      </c>
      <c r="F9494" s="1" t="s">
        <v>31450</v>
      </c>
      <c r="G9494" s="1" t="s">
        <v>31451</v>
      </c>
      <c r="H9494" s="1" t="s">
        <v>3604</v>
      </c>
      <c r="I9494" s="1" t="s">
        <v>31452</v>
      </c>
      <c r="J9494" s="1" t="s">
        <v>3606</v>
      </c>
      <c r="K9494" s="1" t="s">
        <v>24261</v>
      </c>
      <c r="L9494" s="1"/>
      <c r="M9494" s="1"/>
    </row>
    <row x14ac:dyDescent="0.25" r="9495" customHeight="1" ht="18.75">
      <c r="A9495" s="1" t="s">
        <v>3598</v>
      </c>
      <c r="B9495" s="1" t="s">
        <v>8082</v>
      </c>
      <c r="C9495" s="1" t="s">
        <v>3600</v>
      </c>
      <c r="D9495" s="1" t="s">
        <v>3601</v>
      </c>
      <c r="E9495" s="1" t="s">
        <v>3664</v>
      </c>
      <c r="F9495" s="1" t="s">
        <v>31453</v>
      </c>
      <c r="G9495" s="1" t="s">
        <v>8092</v>
      </c>
      <c r="H9495" s="1" t="s">
        <v>3604</v>
      </c>
      <c r="I9495" s="1" t="s">
        <v>31454</v>
      </c>
      <c r="J9495" s="1" t="s">
        <v>3615</v>
      </c>
      <c r="K9495" s="1" t="s">
        <v>31455</v>
      </c>
      <c r="L9495" s="1"/>
      <c r="M9495" s="1"/>
    </row>
    <row x14ac:dyDescent="0.25" r="9496" customHeight="1" ht="18.75">
      <c r="A9496" s="1" t="s">
        <v>7833</v>
      </c>
      <c r="B9496" s="1" t="s">
        <v>31449</v>
      </c>
      <c r="C9496" s="1" t="s">
        <v>4488</v>
      </c>
      <c r="D9496" s="1" t="s">
        <v>28428</v>
      </c>
      <c r="E9496" s="1" t="s">
        <v>8096</v>
      </c>
      <c r="F9496" s="1" t="s">
        <v>31456</v>
      </c>
      <c r="G9496" s="1" t="s">
        <v>8163</v>
      </c>
      <c r="H9496" s="1" t="s">
        <v>3604</v>
      </c>
      <c r="I9496" s="1" t="s">
        <v>31457</v>
      </c>
      <c r="J9496" s="1" t="s">
        <v>3606</v>
      </c>
      <c r="K9496" s="1" t="s">
        <v>31458</v>
      </c>
      <c r="L9496" s="1"/>
      <c r="M9496" s="1"/>
    </row>
    <row x14ac:dyDescent="0.25" r="9497" customHeight="1" ht="18.75">
      <c r="A9497" s="1" t="s">
        <v>3598</v>
      </c>
      <c r="B9497" s="1" t="s">
        <v>8082</v>
      </c>
      <c r="C9497" s="1" t="s">
        <v>3600</v>
      </c>
      <c r="D9497" s="1" t="s">
        <v>3601</v>
      </c>
      <c r="E9497" s="1" t="s">
        <v>3664</v>
      </c>
      <c r="F9497" s="1" t="s">
        <v>31459</v>
      </c>
      <c r="G9497" s="1" t="s">
        <v>8092</v>
      </c>
      <c r="H9497" s="1" t="s">
        <v>3604</v>
      </c>
      <c r="I9497" s="1" t="s">
        <v>31460</v>
      </c>
      <c r="J9497" s="1" t="s">
        <v>3615</v>
      </c>
      <c r="K9497" s="1" t="s">
        <v>31461</v>
      </c>
      <c r="L9497" s="1"/>
      <c r="M9497" s="1"/>
    </row>
    <row x14ac:dyDescent="0.25" r="9498" customHeight="1" ht="18.75">
      <c r="A9498" s="1" t="s">
        <v>7833</v>
      </c>
      <c r="B9498" s="1" t="s">
        <v>31449</v>
      </c>
      <c r="C9498" s="1" t="s">
        <v>4488</v>
      </c>
      <c r="D9498" s="1" t="s">
        <v>28428</v>
      </c>
      <c r="E9498" s="1" t="s">
        <v>8096</v>
      </c>
      <c r="F9498" s="1" t="s">
        <v>31462</v>
      </c>
      <c r="G9498" s="1" t="s">
        <v>23345</v>
      </c>
      <c r="H9498" s="1" t="s">
        <v>3604</v>
      </c>
      <c r="I9498" s="1" t="s">
        <v>31463</v>
      </c>
      <c r="J9498" s="1" t="s">
        <v>3606</v>
      </c>
      <c r="K9498" s="1" t="s">
        <v>31464</v>
      </c>
      <c r="L9498" s="1"/>
      <c r="M9498" s="1"/>
    </row>
    <row x14ac:dyDescent="0.25" r="9499" customHeight="1" ht="18.75">
      <c r="A9499" s="1" t="s">
        <v>3598</v>
      </c>
      <c r="B9499" s="1" t="s">
        <v>8082</v>
      </c>
      <c r="C9499" s="1" t="s">
        <v>3600</v>
      </c>
      <c r="D9499" s="1" t="s">
        <v>3601</v>
      </c>
      <c r="E9499" s="1" t="s">
        <v>3664</v>
      </c>
      <c r="F9499" s="1" t="s">
        <v>31465</v>
      </c>
      <c r="G9499" s="1" t="s">
        <v>8092</v>
      </c>
      <c r="H9499" s="1" t="s">
        <v>3604</v>
      </c>
      <c r="I9499" s="1" t="s">
        <v>31466</v>
      </c>
      <c r="J9499" s="1" t="s">
        <v>3615</v>
      </c>
      <c r="K9499" s="1" t="s">
        <v>31467</v>
      </c>
      <c r="L9499" s="1"/>
      <c r="M9499" s="1"/>
    </row>
    <row x14ac:dyDescent="0.25" r="9500" customHeight="1" ht="18.75">
      <c r="A9500" s="1" t="s">
        <v>7833</v>
      </c>
      <c r="B9500" s="1" t="s">
        <v>31449</v>
      </c>
      <c r="C9500" s="1" t="s">
        <v>4488</v>
      </c>
      <c r="D9500" s="1" t="s">
        <v>28428</v>
      </c>
      <c r="E9500" s="1" t="s">
        <v>8096</v>
      </c>
      <c r="F9500" s="1" t="s">
        <v>31468</v>
      </c>
      <c r="G9500" s="1" t="s">
        <v>31451</v>
      </c>
      <c r="H9500" s="1" t="s">
        <v>3604</v>
      </c>
      <c r="I9500" s="1" t="s">
        <v>31469</v>
      </c>
      <c r="J9500" s="1" t="s">
        <v>3606</v>
      </c>
      <c r="K9500" s="1" t="s">
        <v>31470</v>
      </c>
      <c r="L9500" s="1"/>
      <c r="M9500" s="1"/>
    </row>
    <row x14ac:dyDescent="0.25" r="9501" customHeight="1" ht="18.75">
      <c r="A9501" s="1" t="s">
        <v>3598</v>
      </c>
      <c r="B9501" s="1" t="s">
        <v>8082</v>
      </c>
      <c r="C9501" s="1" t="s">
        <v>3600</v>
      </c>
      <c r="D9501" s="1" t="s">
        <v>3601</v>
      </c>
      <c r="E9501" s="1" t="s">
        <v>3664</v>
      </c>
      <c r="F9501" s="1" t="s">
        <v>31471</v>
      </c>
      <c r="G9501" s="1" t="s">
        <v>8092</v>
      </c>
      <c r="H9501" s="1" t="s">
        <v>3604</v>
      </c>
      <c r="I9501" s="1" t="s">
        <v>31472</v>
      </c>
      <c r="J9501" s="1" t="s">
        <v>3615</v>
      </c>
      <c r="K9501" s="1" t="s">
        <v>31473</v>
      </c>
      <c r="L9501" s="1"/>
      <c r="M9501" s="1"/>
    </row>
    <row x14ac:dyDescent="0.25" r="9502" customHeight="1" ht="18.75">
      <c r="A9502" s="1" t="s">
        <v>3598</v>
      </c>
      <c r="B9502" s="1" t="s">
        <v>4273</v>
      </c>
      <c r="C9502" s="1" t="s">
        <v>3600</v>
      </c>
      <c r="D9502" s="1" t="s">
        <v>3601</v>
      </c>
      <c r="E9502" s="1" t="s">
        <v>3664</v>
      </c>
      <c r="F9502" s="1" t="s">
        <v>31474</v>
      </c>
      <c r="G9502" s="1" t="s">
        <v>22926</v>
      </c>
      <c r="H9502" s="1" t="s">
        <v>3604</v>
      </c>
      <c r="I9502" s="1" t="s">
        <v>31475</v>
      </c>
      <c r="J9502" s="1" t="s">
        <v>3615</v>
      </c>
      <c r="K9502" s="1" t="s">
        <v>31476</v>
      </c>
      <c r="L9502" s="1"/>
      <c r="M9502" s="1"/>
    </row>
    <row x14ac:dyDescent="0.25" r="9503" customHeight="1" ht="18.75">
      <c r="A9503" s="1" t="s">
        <v>7833</v>
      </c>
      <c r="B9503" s="1" t="s">
        <v>8204</v>
      </c>
      <c r="C9503" s="1" t="s">
        <v>4488</v>
      </c>
      <c r="D9503" s="1" t="s">
        <v>3601</v>
      </c>
      <c r="E9503" s="1" t="s">
        <v>3611</v>
      </c>
      <c r="F9503" s="1" t="s">
        <v>31477</v>
      </c>
      <c r="G9503" s="1" t="s">
        <v>14247</v>
      </c>
      <c r="H9503" s="1" t="s">
        <v>3604</v>
      </c>
      <c r="I9503" s="1" t="s">
        <v>31478</v>
      </c>
      <c r="J9503" s="1" t="s">
        <v>3606</v>
      </c>
      <c r="K9503" s="1" t="s">
        <v>31479</v>
      </c>
      <c r="L9503" s="1"/>
      <c r="M9503" s="1"/>
    </row>
    <row x14ac:dyDescent="0.25" r="9504" customHeight="1" ht="18.75">
      <c r="A9504" s="1" t="s">
        <v>7833</v>
      </c>
      <c r="B9504" s="1" t="s">
        <v>7861</v>
      </c>
      <c r="C9504" s="1" t="s">
        <v>4488</v>
      </c>
      <c r="D9504" s="1" t="s">
        <v>7891</v>
      </c>
      <c r="E9504" s="1" t="s">
        <v>3664</v>
      </c>
      <c r="F9504" s="1" t="s">
        <v>31480</v>
      </c>
      <c r="G9504" s="1" t="s">
        <v>31352</v>
      </c>
      <c r="H9504" s="1" t="s">
        <v>3604</v>
      </c>
      <c r="I9504" s="1" t="s">
        <v>31481</v>
      </c>
      <c r="J9504" s="1" t="s">
        <v>3606</v>
      </c>
      <c r="K9504" s="1" t="s">
        <v>14529</v>
      </c>
      <c r="L9504" s="1"/>
      <c r="M9504" s="1"/>
    </row>
    <row x14ac:dyDescent="0.25" r="9505" customHeight="1" ht="18.75">
      <c r="A9505" s="1" t="s">
        <v>3598</v>
      </c>
      <c r="B9505" s="1" t="s">
        <v>4273</v>
      </c>
      <c r="C9505" s="1" t="s">
        <v>3600</v>
      </c>
      <c r="D9505" s="1" t="s">
        <v>3601</v>
      </c>
      <c r="E9505" s="1" t="s">
        <v>3664</v>
      </c>
      <c r="F9505" s="1" t="s">
        <v>31482</v>
      </c>
      <c r="G9505" s="1" t="s">
        <v>22926</v>
      </c>
      <c r="H9505" s="1" t="s">
        <v>3604</v>
      </c>
      <c r="I9505" s="1" t="s">
        <v>31483</v>
      </c>
      <c r="J9505" s="1" t="s">
        <v>3615</v>
      </c>
      <c r="K9505" s="1" t="s">
        <v>31484</v>
      </c>
      <c r="L9505" s="1"/>
      <c r="M9505" s="1"/>
    </row>
    <row x14ac:dyDescent="0.25" r="9506" customHeight="1" ht="18.75">
      <c r="A9506" s="1" t="s">
        <v>7833</v>
      </c>
      <c r="B9506" s="1" t="s">
        <v>31485</v>
      </c>
      <c r="C9506" s="1" t="s">
        <v>4488</v>
      </c>
      <c r="D9506" s="1" t="s">
        <v>3601</v>
      </c>
      <c r="E9506" s="1" t="s">
        <v>3664</v>
      </c>
      <c r="F9506" s="1" t="s">
        <v>31486</v>
      </c>
      <c r="G9506" s="1" t="s">
        <v>31487</v>
      </c>
      <c r="H9506" s="1" t="s">
        <v>3604</v>
      </c>
      <c r="I9506" s="1" t="s">
        <v>31488</v>
      </c>
      <c r="J9506" s="1" t="s">
        <v>3615</v>
      </c>
      <c r="K9506" s="1" t="s">
        <v>17318</v>
      </c>
      <c r="L9506" s="1"/>
      <c r="M9506" s="1"/>
    </row>
    <row x14ac:dyDescent="0.25" r="9507" customHeight="1" ht="18.75">
      <c r="A9507" s="1" t="s">
        <v>3598</v>
      </c>
      <c r="B9507" s="1" t="s">
        <v>4273</v>
      </c>
      <c r="C9507" s="1" t="s">
        <v>3600</v>
      </c>
      <c r="D9507" s="1" t="s">
        <v>3601</v>
      </c>
      <c r="E9507" s="1" t="s">
        <v>3664</v>
      </c>
      <c r="F9507" s="1" t="s">
        <v>31489</v>
      </c>
      <c r="G9507" s="1" t="s">
        <v>22926</v>
      </c>
      <c r="H9507" s="1" t="s">
        <v>3604</v>
      </c>
      <c r="I9507" s="1" t="s">
        <v>31490</v>
      </c>
      <c r="J9507" s="1" t="s">
        <v>3615</v>
      </c>
      <c r="K9507" s="1" t="s">
        <v>31491</v>
      </c>
      <c r="L9507" s="1"/>
      <c r="M9507" s="1"/>
    </row>
    <row x14ac:dyDescent="0.25" r="9508" customHeight="1" ht="18.75">
      <c r="A9508" s="1" t="s">
        <v>7833</v>
      </c>
      <c r="B9508" s="1" t="s">
        <v>31492</v>
      </c>
      <c r="C9508" s="1" t="s">
        <v>4488</v>
      </c>
      <c r="D9508" s="1" t="s">
        <v>3601</v>
      </c>
      <c r="E9508" s="1" t="s">
        <v>3664</v>
      </c>
      <c r="F9508" s="1" t="s">
        <v>31493</v>
      </c>
      <c r="G9508" s="1" t="s">
        <v>31494</v>
      </c>
      <c r="H9508" s="1" t="s">
        <v>3604</v>
      </c>
      <c r="I9508" s="1" t="s">
        <v>31495</v>
      </c>
      <c r="J9508" s="1" t="s">
        <v>3615</v>
      </c>
      <c r="K9508" s="1" t="s">
        <v>17318</v>
      </c>
      <c r="L9508" s="1"/>
      <c r="M9508" s="1"/>
    </row>
    <row x14ac:dyDescent="0.25" r="9509" customHeight="1" ht="18.75">
      <c r="A9509" s="1" t="s">
        <v>3598</v>
      </c>
      <c r="B9509" s="1" t="s">
        <v>4273</v>
      </c>
      <c r="C9509" s="1" t="s">
        <v>3600</v>
      </c>
      <c r="D9509" s="1" t="s">
        <v>3601</v>
      </c>
      <c r="E9509" s="1" t="s">
        <v>3664</v>
      </c>
      <c r="F9509" s="1" t="s">
        <v>31496</v>
      </c>
      <c r="G9509" s="1" t="s">
        <v>22926</v>
      </c>
      <c r="H9509" s="1" t="s">
        <v>3604</v>
      </c>
      <c r="I9509" s="1" t="s">
        <v>31497</v>
      </c>
      <c r="J9509" s="1" t="s">
        <v>3615</v>
      </c>
      <c r="K9509" s="1" t="s">
        <v>31498</v>
      </c>
      <c r="L9509" s="1"/>
      <c r="M9509" s="1"/>
    </row>
    <row x14ac:dyDescent="0.25" r="9510" customHeight="1" ht="18.75">
      <c r="A9510" s="1" t="s">
        <v>7833</v>
      </c>
      <c r="B9510" s="1" t="s">
        <v>8204</v>
      </c>
      <c r="C9510" s="1" t="s">
        <v>4488</v>
      </c>
      <c r="D9510" s="1" t="s">
        <v>10630</v>
      </c>
      <c r="E9510" s="1" t="s">
        <v>3611</v>
      </c>
      <c r="F9510" s="1" t="s">
        <v>31499</v>
      </c>
      <c r="G9510" s="1" t="s">
        <v>14247</v>
      </c>
      <c r="H9510" s="1" t="s">
        <v>3604</v>
      </c>
      <c r="I9510" s="1" t="s">
        <v>31500</v>
      </c>
      <c r="J9510" s="1" t="s">
        <v>3606</v>
      </c>
      <c r="K9510" s="1" t="s">
        <v>31501</v>
      </c>
      <c r="L9510" s="1"/>
      <c r="M9510" s="1"/>
    </row>
    <row x14ac:dyDescent="0.25" r="9511" customHeight="1" ht="18.75">
      <c r="A9511" s="1" t="s">
        <v>3598</v>
      </c>
      <c r="B9511" s="1" t="s">
        <v>5252</v>
      </c>
      <c r="C9511" s="1" t="s">
        <v>3600</v>
      </c>
      <c r="D9511" s="1" t="s">
        <v>3601</v>
      </c>
      <c r="E9511" s="1" t="s">
        <v>3893</v>
      </c>
      <c r="F9511" s="1" t="s">
        <v>31502</v>
      </c>
      <c r="G9511" s="1" t="s">
        <v>18400</v>
      </c>
      <c r="H9511" s="1" t="s">
        <v>3604</v>
      </c>
      <c r="I9511" s="1" t="s">
        <v>31503</v>
      </c>
      <c r="J9511" s="1" t="s">
        <v>3615</v>
      </c>
      <c r="K9511" s="1" t="s">
        <v>31504</v>
      </c>
      <c r="L9511" s="1"/>
      <c r="M9511" s="1"/>
    </row>
    <row x14ac:dyDescent="0.25" r="9512" customHeight="1" ht="18.75">
      <c r="A9512" s="1" t="s">
        <v>3598</v>
      </c>
      <c r="B9512" s="1" t="s">
        <v>5252</v>
      </c>
      <c r="C9512" s="1" t="s">
        <v>3600</v>
      </c>
      <c r="D9512" s="1" t="s">
        <v>3601</v>
      </c>
      <c r="E9512" s="1" t="s">
        <v>3893</v>
      </c>
      <c r="F9512" s="1" t="s">
        <v>31505</v>
      </c>
      <c r="G9512" s="1" t="s">
        <v>18400</v>
      </c>
      <c r="H9512" s="1" t="s">
        <v>3604</v>
      </c>
      <c r="I9512" s="1" t="s">
        <v>31506</v>
      </c>
      <c r="J9512" s="1" t="s">
        <v>3615</v>
      </c>
      <c r="K9512" s="1" t="s">
        <v>31507</v>
      </c>
      <c r="L9512" s="1"/>
      <c r="M9512" s="1"/>
    </row>
    <row x14ac:dyDescent="0.25" r="9513" customHeight="1" ht="18.75">
      <c r="A9513" s="1" t="s">
        <v>7833</v>
      </c>
      <c r="B9513" s="1" t="s">
        <v>7834</v>
      </c>
      <c r="C9513" s="1" t="s">
        <v>4488</v>
      </c>
      <c r="D9513" s="1" t="s">
        <v>3601</v>
      </c>
      <c r="E9513" s="1" t="s">
        <v>8096</v>
      </c>
      <c r="F9513" s="1" t="s">
        <v>31508</v>
      </c>
      <c r="G9513" s="1" t="s">
        <v>24155</v>
      </c>
      <c r="H9513" s="1" t="s">
        <v>3604</v>
      </c>
      <c r="I9513" s="1" t="s">
        <v>31509</v>
      </c>
      <c r="J9513" s="1" t="s">
        <v>3615</v>
      </c>
      <c r="K9513" s="1" t="s">
        <v>31510</v>
      </c>
      <c r="L9513" s="1"/>
      <c r="M9513" s="1"/>
    </row>
    <row x14ac:dyDescent="0.25" r="9514" customHeight="1" ht="18.75">
      <c r="A9514" s="1" t="s">
        <v>3598</v>
      </c>
      <c r="B9514" s="1" t="s">
        <v>5252</v>
      </c>
      <c r="C9514" s="1" t="s">
        <v>3600</v>
      </c>
      <c r="D9514" s="1" t="s">
        <v>3601</v>
      </c>
      <c r="E9514" s="1" t="s">
        <v>3893</v>
      </c>
      <c r="F9514" s="1" t="s">
        <v>31511</v>
      </c>
      <c r="G9514" s="1" t="s">
        <v>18400</v>
      </c>
      <c r="H9514" s="1" t="s">
        <v>3604</v>
      </c>
      <c r="I9514" s="1" t="s">
        <v>31512</v>
      </c>
      <c r="J9514" s="1" t="s">
        <v>3615</v>
      </c>
      <c r="K9514" s="1" t="s">
        <v>31513</v>
      </c>
      <c r="L9514" s="1"/>
      <c r="M9514" s="1"/>
    </row>
    <row x14ac:dyDescent="0.25" r="9515" customHeight="1" ht="18.75">
      <c r="A9515" s="1" t="s">
        <v>7833</v>
      </c>
      <c r="B9515" s="1" t="s">
        <v>8204</v>
      </c>
      <c r="C9515" s="1" t="s">
        <v>4488</v>
      </c>
      <c r="D9515" s="1" t="s">
        <v>10630</v>
      </c>
      <c r="E9515" s="1" t="s">
        <v>3611</v>
      </c>
      <c r="F9515" s="1" t="s">
        <v>31514</v>
      </c>
      <c r="G9515" s="1" t="s">
        <v>14247</v>
      </c>
      <c r="H9515" s="1" t="s">
        <v>3604</v>
      </c>
      <c r="I9515" s="1" t="s">
        <v>31515</v>
      </c>
      <c r="J9515" s="1" t="s">
        <v>3606</v>
      </c>
      <c r="K9515" s="1" t="s">
        <v>31516</v>
      </c>
      <c r="L9515" s="1"/>
      <c r="M9515" s="1"/>
    </row>
    <row x14ac:dyDescent="0.25" r="9516" customHeight="1" ht="18.75">
      <c r="A9516" s="1" t="s">
        <v>3598</v>
      </c>
      <c r="B9516" s="1" t="s">
        <v>5252</v>
      </c>
      <c r="C9516" s="1" t="s">
        <v>3600</v>
      </c>
      <c r="D9516" s="1" t="s">
        <v>3601</v>
      </c>
      <c r="E9516" s="1" t="s">
        <v>3893</v>
      </c>
      <c r="F9516" s="1" t="s">
        <v>31517</v>
      </c>
      <c r="G9516" s="1" t="s">
        <v>18400</v>
      </c>
      <c r="H9516" s="1" t="s">
        <v>3604</v>
      </c>
      <c r="I9516" s="1" t="s">
        <v>31518</v>
      </c>
      <c r="J9516" s="1" t="s">
        <v>3615</v>
      </c>
      <c r="K9516" s="1" t="s">
        <v>31519</v>
      </c>
      <c r="L9516" s="1"/>
      <c r="M9516" s="1"/>
    </row>
    <row x14ac:dyDescent="0.25" r="9517" customHeight="1" ht="18.75">
      <c r="A9517" s="1" t="s">
        <v>7833</v>
      </c>
      <c r="B9517" s="1" t="s">
        <v>7834</v>
      </c>
      <c r="C9517" s="1" t="s">
        <v>4488</v>
      </c>
      <c r="D9517" s="1" t="s">
        <v>3601</v>
      </c>
      <c r="E9517" s="1" t="s">
        <v>8096</v>
      </c>
      <c r="F9517" s="1" t="s">
        <v>31520</v>
      </c>
      <c r="G9517" s="1" t="s">
        <v>24155</v>
      </c>
      <c r="H9517" s="1" t="s">
        <v>3604</v>
      </c>
      <c r="I9517" s="1" t="s">
        <v>31521</v>
      </c>
      <c r="J9517" s="1" t="s">
        <v>3615</v>
      </c>
      <c r="K9517" s="1" t="s">
        <v>9161</v>
      </c>
      <c r="L9517" s="1"/>
      <c r="M9517" s="1"/>
    </row>
    <row x14ac:dyDescent="0.25" r="9518" customHeight="1" ht="18.75">
      <c r="A9518" s="1" t="s">
        <v>7833</v>
      </c>
      <c r="B9518" s="1" t="s">
        <v>7834</v>
      </c>
      <c r="C9518" s="1" t="s">
        <v>4488</v>
      </c>
      <c r="D9518" s="1" t="s">
        <v>3601</v>
      </c>
      <c r="E9518" s="1" t="s">
        <v>8096</v>
      </c>
      <c r="F9518" s="1" t="s">
        <v>31522</v>
      </c>
      <c r="G9518" s="1" t="s">
        <v>24155</v>
      </c>
      <c r="H9518" s="1" t="s">
        <v>3604</v>
      </c>
      <c r="I9518" s="1" t="s">
        <v>31523</v>
      </c>
      <c r="J9518" s="1" t="s">
        <v>3615</v>
      </c>
      <c r="K9518" s="1" t="s">
        <v>14561</v>
      </c>
      <c r="L9518" s="1"/>
      <c r="M9518" s="1"/>
    </row>
    <row x14ac:dyDescent="0.25" r="9519" customHeight="1" ht="18.75">
      <c r="A9519" s="1" t="s">
        <v>7833</v>
      </c>
      <c r="B9519" s="1" t="s">
        <v>8204</v>
      </c>
      <c r="C9519" s="1" t="s">
        <v>4488</v>
      </c>
      <c r="D9519" s="1" t="s">
        <v>10630</v>
      </c>
      <c r="E9519" s="1" t="s">
        <v>3611</v>
      </c>
      <c r="F9519" s="1" t="s">
        <v>31524</v>
      </c>
      <c r="G9519" s="1" t="s">
        <v>14247</v>
      </c>
      <c r="H9519" s="1" t="s">
        <v>3604</v>
      </c>
      <c r="I9519" s="1" t="s">
        <v>31525</v>
      </c>
      <c r="J9519" s="1" t="s">
        <v>3606</v>
      </c>
      <c r="K9519" s="1" t="s">
        <v>31526</v>
      </c>
      <c r="L9519" s="1"/>
      <c r="M9519" s="1"/>
    </row>
    <row x14ac:dyDescent="0.25" r="9520" customHeight="1" ht="18.75">
      <c r="A9520" s="1" t="s">
        <v>3598</v>
      </c>
      <c r="B9520" s="1" t="s">
        <v>19642</v>
      </c>
      <c r="C9520" s="1" t="s">
        <v>3600</v>
      </c>
      <c r="D9520" s="1" t="s">
        <v>3601</v>
      </c>
      <c r="E9520" s="1" t="s">
        <v>3611</v>
      </c>
      <c r="F9520" s="1" t="s">
        <v>31527</v>
      </c>
      <c r="G9520" s="1" t="s">
        <v>31528</v>
      </c>
      <c r="H9520" s="1" t="s">
        <v>3604</v>
      </c>
      <c r="I9520" s="1" t="s">
        <v>31529</v>
      </c>
      <c r="J9520" s="1" t="s">
        <v>3615</v>
      </c>
      <c r="K9520" s="1" t="s">
        <v>31530</v>
      </c>
      <c r="L9520" s="1"/>
      <c r="M9520" s="1"/>
    </row>
    <row x14ac:dyDescent="0.25" r="9521" customHeight="1" ht="18.75">
      <c r="A9521" s="1" t="s">
        <v>3617</v>
      </c>
      <c r="B9521" s="1" t="s">
        <v>5570</v>
      </c>
      <c r="C9521" s="1" t="s">
        <v>3619</v>
      </c>
      <c r="D9521" s="1" t="s">
        <v>3610</v>
      </c>
      <c r="E9521" s="1" t="s">
        <v>3730</v>
      </c>
      <c r="F9521" s="1" t="s">
        <v>31531</v>
      </c>
      <c r="G9521" s="1" t="s">
        <v>7290</v>
      </c>
      <c r="H9521" s="1" t="s">
        <v>3604</v>
      </c>
      <c r="I9521" s="1" t="s">
        <v>31532</v>
      </c>
      <c r="J9521" s="1" t="s">
        <v>3615</v>
      </c>
      <c r="K9521" s="1" t="s">
        <v>31533</v>
      </c>
      <c r="L9521" s="1"/>
      <c r="M9521" s="1"/>
    </row>
    <row x14ac:dyDescent="0.25" r="9522" customHeight="1" ht="18.75">
      <c r="A9522" s="1" t="s">
        <v>3598</v>
      </c>
      <c r="B9522" s="1" t="s">
        <v>19642</v>
      </c>
      <c r="C9522" s="1" t="s">
        <v>3600</v>
      </c>
      <c r="D9522" s="1" t="s">
        <v>3601</v>
      </c>
      <c r="E9522" s="1" t="s">
        <v>3611</v>
      </c>
      <c r="F9522" s="1" t="s">
        <v>31534</v>
      </c>
      <c r="G9522" s="1" t="s">
        <v>31528</v>
      </c>
      <c r="H9522" s="1" t="s">
        <v>3604</v>
      </c>
      <c r="I9522" s="1" t="s">
        <v>31535</v>
      </c>
      <c r="J9522" s="1" t="s">
        <v>3615</v>
      </c>
      <c r="K9522" s="1" t="s">
        <v>31536</v>
      </c>
      <c r="L9522" s="1"/>
      <c r="M9522" s="1"/>
    </row>
    <row x14ac:dyDescent="0.25" r="9523" customHeight="1" ht="18.75">
      <c r="A9523" s="1" t="s">
        <v>3598</v>
      </c>
      <c r="B9523" s="1" t="s">
        <v>15659</v>
      </c>
      <c r="C9523" s="1" t="s">
        <v>3600</v>
      </c>
      <c r="D9523" s="1" t="s">
        <v>28428</v>
      </c>
      <c r="E9523" s="1" t="s">
        <v>3664</v>
      </c>
      <c r="F9523" s="1" t="s">
        <v>31537</v>
      </c>
      <c r="G9523" s="1" t="s">
        <v>15661</v>
      </c>
      <c r="H9523" s="1" t="s">
        <v>3604</v>
      </c>
      <c r="I9523" s="1" t="s">
        <v>31538</v>
      </c>
      <c r="J9523" s="1" t="s">
        <v>3615</v>
      </c>
      <c r="K9523" s="1" t="s">
        <v>31539</v>
      </c>
      <c r="L9523" s="1"/>
      <c r="M9523" s="1"/>
    </row>
    <row x14ac:dyDescent="0.25" r="9524" customHeight="1" ht="18.75">
      <c r="A9524" s="1" t="s">
        <v>3617</v>
      </c>
      <c r="B9524" s="1" t="s">
        <v>5570</v>
      </c>
      <c r="C9524" s="1" t="s">
        <v>3619</v>
      </c>
      <c r="D9524" s="1" t="s">
        <v>3610</v>
      </c>
      <c r="E9524" s="1" t="s">
        <v>3730</v>
      </c>
      <c r="F9524" s="1" t="s">
        <v>31540</v>
      </c>
      <c r="G9524" s="1" t="s">
        <v>7290</v>
      </c>
      <c r="H9524" s="1" t="s">
        <v>3604</v>
      </c>
      <c r="I9524" s="1" t="s">
        <v>31541</v>
      </c>
      <c r="J9524" s="1" t="s">
        <v>3615</v>
      </c>
      <c r="K9524" s="1" t="s">
        <v>31542</v>
      </c>
      <c r="L9524" s="1"/>
      <c r="M9524" s="1"/>
    </row>
    <row x14ac:dyDescent="0.25" r="9525" customHeight="1" ht="18.75">
      <c r="A9525" s="1" t="s">
        <v>3598</v>
      </c>
      <c r="B9525" s="1" t="s">
        <v>15557</v>
      </c>
      <c r="C9525" s="1" t="s">
        <v>3600</v>
      </c>
      <c r="D9525" s="1" t="s">
        <v>28428</v>
      </c>
      <c r="E9525" s="1" t="s">
        <v>3664</v>
      </c>
      <c r="F9525" s="1" t="s">
        <v>31543</v>
      </c>
      <c r="G9525" s="1" t="s">
        <v>15566</v>
      </c>
      <c r="H9525" s="1" t="s">
        <v>3604</v>
      </c>
      <c r="I9525" s="1" t="s">
        <v>31544</v>
      </c>
      <c r="J9525" s="1" t="s">
        <v>3615</v>
      </c>
      <c r="K9525" s="1" t="s">
        <v>31545</v>
      </c>
      <c r="L9525" s="1"/>
      <c r="M9525" s="1"/>
    </row>
    <row x14ac:dyDescent="0.25" r="9526" customHeight="1" ht="18.75">
      <c r="A9526" s="1" t="s">
        <v>3617</v>
      </c>
      <c r="B9526" s="1" t="s">
        <v>5570</v>
      </c>
      <c r="C9526" s="1" t="s">
        <v>3619</v>
      </c>
      <c r="D9526" s="1" t="s">
        <v>3610</v>
      </c>
      <c r="E9526" s="1" t="s">
        <v>3730</v>
      </c>
      <c r="F9526" s="1" t="s">
        <v>31546</v>
      </c>
      <c r="G9526" s="1" t="s">
        <v>7290</v>
      </c>
      <c r="H9526" s="1" t="s">
        <v>3604</v>
      </c>
      <c r="I9526" s="1" t="s">
        <v>31547</v>
      </c>
      <c r="J9526" s="1" t="s">
        <v>3615</v>
      </c>
      <c r="K9526" s="1" t="s">
        <v>31548</v>
      </c>
      <c r="L9526" s="1"/>
      <c r="M9526" s="1"/>
    </row>
    <row x14ac:dyDescent="0.25" r="9527" customHeight="1" ht="18.75">
      <c r="A9527" s="1" t="s">
        <v>3598</v>
      </c>
      <c r="B9527" s="1" t="s">
        <v>19642</v>
      </c>
      <c r="C9527" s="1" t="s">
        <v>3600</v>
      </c>
      <c r="D9527" s="1" t="s">
        <v>3601</v>
      </c>
      <c r="E9527" s="1" t="s">
        <v>3611</v>
      </c>
      <c r="F9527" s="1" t="s">
        <v>31549</v>
      </c>
      <c r="G9527" s="1" t="s">
        <v>31528</v>
      </c>
      <c r="H9527" s="1" t="s">
        <v>3604</v>
      </c>
      <c r="I9527" s="1" t="s">
        <v>31550</v>
      </c>
      <c r="J9527" s="1" t="s">
        <v>3615</v>
      </c>
      <c r="K9527" s="1" t="s">
        <v>31551</v>
      </c>
      <c r="L9527" s="1"/>
      <c r="M9527" s="1"/>
    </row>
    <row x14ac:dyDescent="0.25" r="9528" customHeight="1" ht="18.75">
      <c r="A9528" s="1" t="s">
        <v>7833</v>
      </c>
      <c r="B9528" s="1" t="s">
        <v>8204</v>
      </c>
      <c r="C9528" s="1" t="s">
        <v>4488</v>
      </c>
      <c r="D9528" s="1" t="s">
        <v>3601</v>
      </c>
      <c r="E9528" s="1" t="s">
        <v>3611</v>
      </c>
      <c r="F9528" s="1" t="s">
        <v>31552</v>
      </c>
      <c r="G9528" s="1" t="s">
        <v>31553</v>
      </c>
      <c r="H9528" s="1" t="s">
        <v>3604</v>
      </c>
      <c r="I9528" s="1" t="s">
        <v>31554</v>
      </c>
      <c r="J9528" s="1" t="s">
        <v>3606</v>
      </c>
      <c r="K9528" s="1" t="s">
        <v>31555</v>
      </c>
      <c r="L9528" s="1"/>
      <c r="M9528" s="1"/>
    </row>
    <row x14ac:dyDescent="0.25" r="9529" customHeight="1" ht="18.75">
      <c r="A9529" s="1" t="s">
        <v>3598</v>
      </c>
      <c r="B9529" s="1" t="s">
        <v>19642</v>
      </c>
      <c r="C9529" s="1" t="s">
        <v>3600</v>
      </c>
      <c r="D9529" s="1" t="s">
        <v>3601</v>
      </c>
      <c r="E9529" s="1" t="s">
        <v>3611</v>
      </c>
      <c r="F9529" s="1" t="s">
        <v>31556</v>
      </c>
      <c r="G9529" s="1" t="s">
        <v>31528</v>
      </c>
      <c r="H9529" s="1" t="s">
        <v>3604</v>
      </c>
      <c r="I9529" s="1" t="s">
        <v>31557</v>
      </c>
      <c r="J9529" s="1" t="s">
        <v>3615</v>
      </c>
      <c r="K9529" s="1" t="s">
        <v>31558</v>
      </c>
      <c r="L9529" s="1"/>
      <c r="M9529" s="1"/>
    </row>
    <row x14ac:dyDescent="0.25" r="9530" customHeight="1" ht="18.75">
      <c r="A9530" s="1" t="s">
        <v>3598</v>
      </c>
      <c r="B9530" s="1" t="s">
        <v>19642</v>
      </c>
      <c r="C9530" s="1" t="s">
        <v>3600</v>
      </c>
      <c r="D9530" s="1" t="s">
        <v>3601</v>
      </c>
      <c r="E9530" s="1" t="s">
        <v>3611</v>
      </c>
      <c r="F9530" s="1" t="s">
        <v>31559</v>
      </c>
      <c r="G9530" s="1" t="s">
        <v>31528</v>
      </c>
      <c r="H9530" s="1" t="s">
        <v>3604</v>
      </c>
      <c r="I9530" s="1" t="s">
        <v>31560</v>
      </c>
      <c r="J9530" s="1" t="s">
        <v>3615</v>
      </c>
      <c r="K9530" s="1" t="s">
        <v>31561</v>
      </c>
      <c r="L9530" s="1"/>
      <c r="M9530" s="1"/>
    </row>
    <row x14ac:dyDescent="0.25" r="9531" customHeight="1" ht="18.75">
      <c r="A9531" s="1" t="s">
        <v>3598</v>
      </c>
      <c r="B9531" s="1" t="s">
        <v>19642</v>
      </c>
      <c r="C9531" s="1" t="s">
        <v>3600</v>
      </c>
      <c r="D9531" s="1" t="s">
        <v>3601</v>
      </c>
      <c r="E9531" s="1" t="s">
        <v>3611</v>
      </c>
      <c r="F9531" s="1" t="s">
        <v>31562</v>
      </c>
      <c r="G9531" s="1" t="s">
        <v>31528</v>
      </c>
      <c r="H9531" s="1" t="s">
        <v>3604</v>
      </c>
      <c r="I9531" s="1" t="s">
        <v>31563</v>
      </c>
      <c r="J9531" s="1" t="s">
        <v>3615</v>
      </c>
      <c r="K9531" s="1" t="s">
        <v>31564</v>
      </c>
      <c r="L9531" s="1"/>
      <c r="M9531" s="1"/>
    </row>
    <row x14ac:dyDescent="0.25" r="9532" customHeight="1" ht="18.75">
      <c r="A9532" s="1" t="s">
        <v>3598</v>
      </c>
      <c r="B9532" s="1" t="s">
        <v>30734</v>
      </c>
      <c r="C9532" s="1" t="s">
        <v>3600</v>
      </c>
      <c r="D9532" s="1" t="s">
        <v>28428</v>
      </c>
      <c r="E9532" s="1" t="s">
        <v>3981</v>
      </c>
      <c r="F9532" s="1" t="s">
        <v>31565</v>
      </c>
      <c r="G9532" s="1" t="s">
        <v>31566</v>
      </c>
      <c r="H9532" s="1" t="s">
        <v>3604</v>
      </c>
      <c r="I9532" s="1" t="s">
        <v>31567</v>
      </c>
      <c r="J9532" s="1" t="s">
        <v>3615</v>
      </c>
      <c r="K9532" s="1" t="s">
        <v>31568</v>
      </c>
      <c r="L9532" s="1"/>
      <c r="M9532" s="1"/>
    </row>
    <row x14ac:dyDescent="0.25" r="9533" customHeight="1" ht="18.75">
      <c r="A9533" s="1" t="s">
        <v>3598</v>
      </c>
      <c r="B9533" s="1" t="s">
        <v>19642</v>
      </c>
      <c r="C9533" s="1" t="s">
        <v>3600</v>
      </c>
      <c r="D9533" s="1" t="s">
        <v>3601</v>
      </c>
      <c r="E9533" s="1" t="s">
        <v>3611</v>
      </c>
      <c r="F9533" s="1" t="s">
        <v>31569</v>
      </c>
      <c r="G9533" s="1" t="s">
        <v>31528</v>
      </c>
      <c r="H9533" s="1" t="s">
        <v>3604</v>
      </c>
      <c r="I9533" s="1" t="s">
        <v>31570</v>
      </c>
      <c r="J9533" s="1" t="s">
        <v>3615</v>
      </c>
      <c r="K9533" s="1" t="s">
        <v>31571</v>
      </c>
      <c r="L9533" s="1"/>
      <c r="M9533" s="1"/>
    </row>
    <row x14ac:dyDescent="0.25" r="9534" customHeight="1" ht="18.75">
      <c r="A9534" s="1" t="s">
        <v>3598</v>
      </c>
      <c r="B9534" s="1" t="s">
        <v>19642</v>
      </c>
      <c r="C9534" s="1" t="s">
        <v>3600</v>
      </c>
      <c r="D9534" s="1" t="s">
        <v>3601</v>
      </c>
      <c r="E9534" s="1" t="s">
        <v>3611</v>
      </c>
      <c r="F9534" s="1" t="s">
        <v>31572</v>
      </c>
      <c r="G9534" s="1" t="s">
        <v>31573</v>
      </c>
      <c r="H9534" s="1" t="s">
        <v>3604</v>
      </c>
      <c r="I9534" s="1" t="s">
        <v>31574</v>
      </c>
      <c r="J9534" s="1" t="s">
        <v>3615</v>
      </c>
      <c r="K9534" s="1" t="s">
        <v>31575</v>
      </c>
      <c r="L9534" s="1"/>
      <c r="M9534" s="1"/>
    </row>
    <row x14ac:dyDescent="0.25" r="9535" customHeight="1" ht="18.75">
      <c r="A9535" s="1" t="s">
        <v>3598</v>
      </c>
      <c r="B9535" s="1" t="s">
        <v>19642</v>
      </c>
      <c r="C9535" s="1" t="s">
        <v>3600</v>
      </c>
      <c r="D9535" s="1" t="s">
        <v>3601</v>
      </c>
      <c r="E9535" s="1" t="s">
        <v>3611</v>
      </c>
      <c r="F9535" s="1" t="s">
        <v>31576</v>
      </c>
      <c r="G9535" s="1" t="s">
        <v>31573</v>
      </c>
      <c r="H9535" s="1" t="s">
        <v>3604</v>
      </c>
      <c r="I9535" s="1" t="s">
        <v>31577</v>
      </c>
      <c r="J9535" s="1" t="s">
        <v>3615</v>
      </c>
      <c r="K9535" s="1" t="s">
        <v>31578</v>
      </c>
      <c r="L9535" s="1"/>
      <c r="M9535" s="1"/>
    </row>
    <row x14ac:dyDescent="0.25" r="9536" customHeight="1" ht="18.75">
      <c r="A9536" s="1" t="s">
        <v>3693</v>
      </c>
      <c r="B9536" s="1" t="s">
        <v>4257</v>
      </c>
      <c r="C9536" s="1" t="s">
        <v>3619</v>
      </c>
      <c r="D9536" s="1" t="s">
        <v>31579</v>
      </c>
      <c r="E9536" s="1" t="s">
        <v>3664</v>
      </c>
      <c r="F9536" s="1" t="s">
        <v>31580</v>
      </c>
      <c r="G9536" s="1" t="s">
        <v>9382</v>
      </c>
      <c r="H9536" s="1" t="s">
        <v>3604</v>
      </c>
      <c r="I9536" s="1" t="s">
        <v>31581</v>
      </c>
      <c r="J9536" s="1" t="s">
        <v>3615</v>
      </c>
      <c r="K9536" s="1" t="s">
        <v>31582</v>
      </c>
      <c r="L9536" s="1"/>
      <c r="M9536" s="1"/>
    </row>
    <row x14ac:dyDescent="0.25" r="9537" customHeight="1" ht="18.75">
      <c r="A9537" s="1" t="s">
        <v>7833</v>
      </c>
      <c r="B9537" s="1" t="s">
        <v>13857</v>
      </c>
      <c r="C9537" s="1" t="s">
        <v>4488</v>
      </c>
      <c r="D9537" s="1" t="s">
        <v>3601</v>
      </c>
      <c r="E9537" s="1" t="s">
        <v>8096</v>
      </c>
      <c r="F9537" s="1" t="s">
        <v>31583</v>
      </c>
      <c r="G9537" s="1" t="s">
        <v>14927</v>
      </c>
      <c r="H9537" s="1" t="s">
        <v>3604</v>
      </c>
      <c r="I9537" s="1" t="s">
        <v>31584</v>
      </c>
      <c r="J9537" s="1" t="s">
        <v>3615</v>
      </c>
      <c r="K9537" s="1" t="s">
        <v>30265</v>
      </c>
      <c r="L9537" s="1"/>
      <c r="M9537" s="1"/>
    </row>
    <row x14ac:dyDescent="0.25" r="9538" customHeight="1" ht="18.75">
      <c r="A9538" s="1" t="s">
        <v>3693</v>
      </c>
      <c r="B9538" s="1" t="s">
        <v>4162</v>
      </c>
      <c r="C9538" s="1" t="s">
        <v>3619</v>
      </c>
      <c r="D9538" s="1" t="s">
        <v>28428</v>
      </c>
      <c r="E9538" s="1" t="s">
        <v>3664</v>
      </c>
      <c r="F9538" s="1" t="s">
        <v>31585</v>
      </c>
      <c r="G9538" s="1" t="s">
        <v>31586</v>
      </c>
      <c r="H9538" s="1" t="s">
        <v>3604</v>
      </c>
      <c r="I9538" s="1" t="s">
        <v>31587</v>
      </c>
      <c r="J9538" s="1" t="s">
        <v>3615</v>
      </c>
      <c r="K9538" s="1" t="s">
        <v>31588</v>
      </c>
      <c r="L9538" s="1"/>
      <c r="M9538" s="1"/>
    </row>
    <row x14ac:dyDescent="0.25" r="9539" customHeight="1" ht="18.75">
      <c r="A9539" s="1" t="s">
        <v>3598</v>
      </c>
      <c r="B9539" s="1" t="s">
        <v>19642</v>
      </c>
      <c r="C9539" s="1" t="s">
        <v>3600</v>
      </c>
      <c r="D9539" s="1" t="s">
        <v>3601</v>
      </c>
      <c r="E9539" s="1" t="s">
        <v>3611</v>
      </c>
      <c r="F9539" s="1" t="s">
        <v>31589</v>
      </c>
      <c r="G9539" s="1" t="s">
        <v>31573</v>
      </c>
      <c r="H9539" s="1" t="s">
        <v>3604</v>
      </c>
      <c r="I9539" s="1" t="s">
        <v>31590</v>
      </c>
      <c r="J9539" s="1" t="s">
        <v>3615</v>
      </c>
      <c r="K9539" s="1" t="s">
        <v>31591</v>
      </c>
      <c r="L9539" s="1"/>
      <c r="M9539" s="1"/>
    </row>
    <row x14ac:dyDescent="0.25" r="9540" customHeight="1" ht="18.75">
      <c r="A9540" s="1" t="s">
        <v>3693</v>
      </c>
      <c r="B9540" s="1" t="s">
        <v>4181</v>
      </c>
      <c r="C9540" s="1" t="s">
        <v>3619</v>
      </c>
      <c r="D9540" s="1" t="s">
        <v>31579</v>
      </c>
      <c r="E9540" s="1" t="s">
        <v>3664</v>
      </c>
      <c r="F9540" s="1" t="s">
        <v>31592</v>
      </c>
      <c r="G9540" s="1" t="s">
        <v>9987</v>
      </c>
      <c r="H9540" s="1" t="s">
        <v>3604</v>
      </c>
      <c r="I9540" s="1" t="s">
        <v>31593</v>
      </c>
      <c r="J9540" s="1" t="s">
        <v>3615</v>
      </c>
      <c r="K9540" s="1" t="s">
        <v>31594</v>
      </c>
      <c r="L9540" s="1"/>
      <c r="M9540" s="1"/>
    </row>
    <row x14ac:dyDescent="0.25" r="9541" customHeight="1" ht="18.75">
      <c r="A9541" s="1" t="s">
        <v>3693</v>
      </c>
      <c r="B9541" s="1" t="s">
        <v>4181</v>
      </c>
      <c r="C9541" s="1" t="s">
        <v>3619</v>
      </c>
      <c r="D9541" s="1" t="s">
        <v>31579</v>
      </c>
      <c r="E9541" s="1" t="s">
        <v>3664</v>
      </c>
      <c r="F9541" s="1" t="s">
        <v>31595</v>
      </c>
      <c r="G9541" s="1" t="s">
        <v>9987</v>
      </c>
      <c r="H9541" s="1" t="s">
        <v>3604</v>
      </c>
      <c r="I9541" s="1" t="s">
        <v>31596</v>
      </c>
      <c r="J9541" s="1" t="s">
        <v>3615</v>
      </c>
      <c r="K9541" s="1" t="s">
        <v>31594</v>
      </c>
      <c r="L9541" s="1"/>
      <c r="M9541" s="1"/>
    </row>
    <row x14ac:dyDescent="0.25" r="9542" customHeight="1" ht="18.75">
      <c r="A9542" s="1" t="s">
        <v>7833</v>
      </c>
      <c r="B9542" s="1" t="s">
        <v>7877</v>
      </c>
      <c r="C9542" s="1" t="s">
        <v>4488</v>
      </c>
      <c r="D9542" s="1" t="s">
        <v>3601</v>
      </c>
      <c r="E9542" s="1" t="s">
        <v>3664</v>
      </c>
      <c r="F9542" s="1" t="s">
        <v>31597</v>
      </c>
      <c r="G9542" s="1" t="s">
        <v>14957</v>
      </c>
      <c r="H9542" s="1" t="s">
        <v>3604</v>
      </c>
      <c r="I9542" s="1" t="s">
        <v>31598</v>
      </c>
      <c r="J9542" s="1" t="s">
        <v>3615</v>
      </c>
      <c r="K9542" s="1" t="s">
        <v>16378</v>
      </c>
      <c r="L9542" s="1"/>
      <c r="M9542" s="1"/>
    </row>
    <row x14ac:dyDescent="0.25" r="9543" customHeight="1" ht="18.75">
      <c r="A9543" s="1" t="s">
        <v>3598</v>
      </c>
      <c r="B9543" s="1" t="s">
        <v>19642</v>
      </c>
      <c r="C9543" s="1" t="s">
        <v>3600</v>
      </c>
      <c r="D9543" s="1" t="s">
        <v>3601</v>
      </c>
      <c r="E9543" s="1" t="s">
        <v>3611</v>
      </c>
      <c r="F9543" s="1" t="s">
        <v>31599</v>
      </c>
      <c r="G9543" s="1" t="s">
        <v>31573</v>
      </c>
      <c r="H9543" s="1" t="s">
        <v>3604</v>
      </c>
      <c r="I9543" s="1" t="s">
        <v>31600</v>
      </c>
      <c r="J9543" s="1" t="s">
        <v>3615</v>
      </c>
      <c r="K9543" s="1" t="s">
        <v>31601</v>
      </c>
      <c r="L9543" s="1"/>
      <c r="M9543" s="1"/>
    </row>
    <row x14ac:dyDescent="0.25" r="9544" customHeight="1" ht="18.75">
      <c r="A9544" s="1" t="s">
        <v>3693</v>
      </c>
      <c r="B9544" s="1" t="s">
        <v>4181</v>
      </c>
      <c r="C9544" s="1" t="s">
        <v>3619</v>
      </c>
      <c r="D9544" s="1" t="s">
        <v>31579</v>
      </c>
      <c r="E9544" s="1" t="s">
        <v>3664</v>
      </c>
      <c r="F9544" s="1" t="s">
        <v>31602</v>
      </c>
      <c r="G9544" s="1" t="s">
        <v>9987</v>
      </c>
      <c r="H9544" s="1" t="s">
        <v>3604</v>
      </c>
      <c r="I9544" s="1" t="s">
        <v>31603</v>
      </c>
      <c r="J9544" s="1" t="s">
        <v>3615</v>
      </c>
      <c r="K9544" s="1" t="s">
        <v>31594</v>
      </c>
      <c r="L9544" s="1"/>
      <c r="M9544" s="1"/>
    </row>
    <row x14ac:dyDescent="0.25" r="9545" customHeight="1" ht="18.75">
      <c r="A9545" s="1" t="s">
        <v>3693</v>
      </c>
      <c r="B9545" s="1" t="s">
        <v>4257</v>
      </c>
      <c r="C9545" s="1" t="s">
        <v>3619</v>
      </c>
      <c r="D9545" s="1" t="s">
        <v>31579</v>
      </c>
      <c r="E9545" s="1" t="s">
        <v>3664</v>
      </c>
      <c r="F9545" s="1" t="s">
        <v>31604</v>
      </c>
      <c r="G9545" s="1" t="s">
        <v>31605</v>
      </c>
      <c r="H9545" s="1" t="s">
        <v>3604</v>
      </c>
      <c r="I9545" s="1" t="s">
        <v>31606</v>
      </c>
      <c r="J9545" s="1" t="s">
        <v>3615</v>
      </c>
      <c r="K9545" s="1" t="s">
        <v>31607</v>
      </c>
      <c r="L9545" s="1"/>
      <c r="M9545" s="1"/>
    </row>
    <row x14ac:dyDescent="0.25" r="9546" customHeight="1" ht="18.75">
      <c r="A9546" s="1" t="s">
        <v>7833</v>
      </c>
      <c r="B9546" s="1" t="s">
        <v>7877</v>
      </c>
      <c r="C9546" s="1" t="s">
        <v>4488</v>
      </c>
      <c r="D9546" s="1" t="s">
        <v>3601</v>
      </c>
      <c r="E9546" s="1" t="s">
        <v>3664</v>
      </c>
      <c r="F9546" s="1" t="s">
        <v>31608</v>
      </c>
      <c r="G9546" s="1" t="s">
        <v>14957</v>
      </c>
      <c r="H9546" s="1" t="s">
        <v>3604</v>
      </c>
      <c r="I9546" s="1" t="s">
        <v>31609</v>
      </c>
      <c r="J9546" s="1" t="s">
        <v>3615</v>
      </c>
      <c r="K9546" s="1" t="s">
        <v>16380</v>
      </c>
      <c r="L9546" s="1"/>
      <c r="M9546" s="1"/>
    </row>
    <row x14ac:dyDescent="0.25" r="9547" customHeight="1" ht="18.75">
      <c r="A9547" s="1" t="s">
        <v>3693</v>
      </c>
      <c r="B9547" s="1" t="s">
        <v>4257</v>
      </c>
      <c r="C9547" s="1" t="s">
        <v>3619</v>
      </c>
      <c r="D9547" s="1" t="s">
        <v>31579</v>
      </c>
      <c r="E9547" s="1" t="s">
        <v>3664</v>
      </c>
      <c r="F9547" s="1" t="s">
        <v>31610</v>
      </c>
      <c r="G9547" s="1" t="s">
        <v>8564</v>
      </c>
      <c r="H9547" s="1" t="s">
        <v>3604</v>
      </c>
      <c r="I9547" s="1" t="s">
        <v>31611</v>
      </c>
      <c r="J9547" s="1" t="s">
        <v>3615</v>
      </c>
      <c r="K9547" s="1" t="s">
        <v>31612</v>
      </c>
      <c r="L9547" s="1"/>
      <c r="M9547" s="1"/>
    </row>
    <row x14ac:dyDescent="0.25" r="9548" customHeight="1" ht="18.75">
      <c r="A9548" s="1" t="s">
        <v>3598</v>
      </c>
      <c r="B9548" s="1" t="s">
        <v>19642</v>
      </c>
      <c r="C9548" s="1" t="s">
        <v>3600</v>
      </c>
      <c r="D9548" s="1" t="s">
        <v>3601</v>
      </c>
      <c r="E9548" s="1" t="s">
        <v>3611</v>
      </c>
      <c r="F9548" s="1" t="s">
        <v>31613</v>
      </c>
      <c r="G9548" s="1" t="s">
        <v>31573</v>
      </c>
      <c r="H9548" s="1" t="s">
        <v>3604</v>
      </c>
      <c r="I9548" s="1" t="s">
        <v>31614</v>
      </c>
      <c r="J9548" s="1" t="s">
        <v>3615</v>
      </c>
      <c r="K9548" s="1" t="s">
        <v>31615</v>
      </c>
      <c r="L9548" s="1"/>
      <c r="M9548" s="1"/>
    </row>
    <row x14ac:dyDescent="0.25" r="9549" customHeight="1" ht="18.75">
      <c r="A9549" s="1" t="s">
        <v>3693</v>
      </c>
      <c r="B9549" s="1" t="s">
        <v>4257</v>
      </c>
      <c r="C9549" s="1" t="s">
        <v>3619</v>
      </c>
      <c r="D9549" s="1" t="s">
        <v>31579</v>
      </c>
      <c r="E9549" s="1" t="s">
        <v>3664</v>
      </c>
      <c r="F9549" s="1" t="s">
        <v>31616</v>
      </c>
      <c r="G9549" s="1" t="s">
        <v>9382</v>
      </c>
      <c r="H9549" s="1" t="s">
        <v>3604</v>
      </c>
      <c r="I9549" s="1" t="s">
        <v>31617</v>
      </c>
      <c r="J9549" s="1" t="s">
        <v>3615</v>
      </c>
      <c r="K9549" s="1" t="s">
        <v>31618</v>
      </c>
      <c r="L9549" s="1"/>
      <c r="M9549" s="1"/>
    </row>
    <row x14ac:dyDescent="0.25" r="9550" customHeight="1" ht="18.75">
      <c r="A9550" s="1" t="s">
        <v>3598</v>
      </c>
      <c r="B9550" s="1" t="s">
        <v>20557</v>
      </c>
      <c r="C9550" s="1" t="s">
        <v>3600</v>
      </c>
      <c r="D9550" s="1" t="s">
        <v>3601</v>
      </c>
      <c r="E9550" s="1" t="s">
        <v>3893</v>
      </c>
      <c r="F9550" s="1" t="s">
        <v>31619</v>
      </c>
      <c r="G9550" s="1" t="s">
        <v>27240</v>
      </c>
      <c r="H9550" s="1" t="s">
        <v>3604</v>
      </c>
      <c r="I9550" s="1" t="s">
        <v>31620</v>
      </c>
      <c r="J9550" s="1" t="s">
        <v>3615</v>
      </c>
      <c r="K9550" s="1" t="s">
        <v>31621</v>
      </c>
      <c r="L9550" s="1"/>
      <c r="M9550" s="1"/>
    </row>
    <row x14ac:dyDescent="0.25" r="9551" customHeight="1" ht="18.75">
      <c r="A9551" s="1" t="s">
        <v>3693</v>
      </c>
      <c r="B9551" s="1" t="s">
        <v>4125</v>
      </c>
      <c r="C9551" s="1" t="s">
        <v>3619</v>
      </c>
      <c r="D9551" s="1" t="s">
        <v>31579</v>
      </c>
      <c r="E9551" s="1" t="s">
        <v>3664</v>
      </c>
      <c r="F9551" s="1" t="s">
        <v>31622</v>
      </c>
      <c r="G9551" s="1" t="s">
        <v>10425</v>
      </c>
      <c r="H9551" s="1" t="s">
        <v>3604</v>
      </c>
      <c r="I9551" s="1" t="s">
        <v>31623</v>
      </c>
      <c r="J9551" s="1" t="s">
        <v>3615</v>
      </c>
      <c r="K9551" s="1" t="s">
        <v>31624</v>
      </c>
      <c r="L9551" s="1"/>
      <c r="M9551" s="1"/>
    </row>
    <row x14ac:dyDescent="0.25" r="9552" customHeight="1" ht="18.75">
      <c r="A9552" s="1" t="s">
        <v>7833</v>
      </c>
      <c r="B9552" s="1" t="s">
        <v>23825</v>
      </c>
      <c r="C9552" s="1" t="s">
        <v>4488</v>
      </c>
      <c r="D9552" s="1" t="s">
        <v>3601</v>
      </c>
      <c r="E9552" s="1" t="s">
        <v>8096</v>
      </c>
      <c r="F9552" s="1" t="s">
        <v>31625</v>
      </c>
      <c r="G9552" s="1" t="s">
        <v>23826</v>
      </c>
      <c r="H9552" s="1" t="s">
        <v>3604</v>
      </c>
      <c r="I9552" s="1" t="s">
        <v>31626</v>
      </c>
      <c r="J9552" s="1" t="s">
        <v>3615</v>
      </c>
      <c r="K9552" s="1" t="s">
        <v>16372</v>
      </c>
      <c r="L9552" s="1"/>
      <c r="M9552" s="1"/>
    </row>
    <row x14ac:dyDescent="0.25" r="9553" customHeight="1" ht="18.75">
      <c r="A9553" s="1" t="s">
        <v>3693</v>
      </c>
      <c r="B9553" s="1" t="s">
        <v>4144</v>
      </c>
      <c r="C9553" s="1" t="s">
        <v>3619</v>
      </c>
      <c r="D9553" s="1" t="s">
        <v>28428</v>
      </c>
      <c r="E9553" s="1" t="s">
        <v>3664</v>
      </c>
      <c r="F9553" s="1" t="s">
        <v>31627</v>
      </c>
      <c r="G9553" s="1" t="s">
        <v>31628</v>
      </c>
      <c r="H9553" s="1" t="s">
        <v>3604</v>
      </c>
      <c r="I9553" s="1" t="s">
        <v>31629</v>
      </c>
      <c r="J9553" s="1" t="s">
        <v>3615</v>
      </c>
      <c r="K9553" s="1" t="s">
        <v>31630</v>
      </c>
      <c r="L9553" s="1"/>
      <c r="M9553" s="1"/>
    </row>
    <row x14ac:dyDescent="0.25" r="9554" customHeight="1" ht="18.75">
      <c r="A9554" s="1" t="s">
        <v>3598</v>
      </c>
      <c r="B9554" s="1" t="s">
        <v>19642</v>
      </c>
      <c r="C9554" s="1" t="s">
        <v>3600</v>
      </c>
      <c r="D9554" s="1" t="s">
        <v>3601</v>
      </c>
      <c r="E9554" s="1" t="s">
        <v>3611</v>
      </c>
      <c r="F9554" s="1" t="s">
        <v>31631</v>
      </c>
      <c r="G9554" s="1" t="s">
        <v>31573</v>
      </c>
      <c r="H9554" s="1" t="s">
        <v>3604</v>
      </c>
      <c r="I9554" s="1" t="s">
        <v>31632</v>
      </c>
      <c r="J9554" s="1" t="s">
        <v>3615</v>
      </c>
      <c r="K9554" s="1" t="s">
        <v>31633</v>
      </c>
      <c r="L9554" s="1"/>
      <c r="M9554" s="1"/>
    </row>
    <row x14ac:dyDescent="0.25" r="9555" customHeight="1" ht="18.75">
      <c r="A9555" s="1" t="s">
        <v>3693</v>
      </c>
      <c r="B9555" s="1" t="s">
        <v>4162</v>
      </c>
      <c r="C9555" s="1" t="s">
        <v>3619</v>
      </c>
      <c r="D9555" s="1" t="s">
        <v>28428</v>
      </c>
      <c r="E9555" s="1" t="s">
        <v>3664</v>
      </c>
      <c r="F9555" s="1" t="s">
        <v>31634</v>
      </c>
      <c r="G9555" s="1" t="s">
        <v>9533</v>
      </c>
      <c r="H9555" s="1" t="s">
        <v>3604</v>
      </c>
      <c r="I9555" s="1" t="s">
        <v>31635</v>
      </c>
      <c r="J9555" s="1" t="s">
        <v>3615</v>
      </c>
      <c r="K9555" s="1" t="s">
        <v>31636</v>
      </c>
      <c r="L9555" s="1"/>
      <c r="M9555" s="1"/>
    </row>
    <row x14ac:dyDescent="0.25" r="9556" customHeight="1" ht="18.75">
      <c r="A9556" s="1" t="s">
        <v>3598</v>
      </c>
      <c r="B9556" s="1" t="s">
        <v>9116</v>
      </c>
      <c r="C9556" s="1" t="s">
        <v>3600</v>
      </c>
      <c r="D9556" s="1" t="s">
        <v>3601</v>
      </c>
      <c r="E9556" s="1" t="s">
        <v>3664</v>
      </c>
      <c r="F9556" s="1" t="s">
        <v>31637</v>
      </c>
      <c r="G9556" s="1" t="s">
        <v>9118</v>
      </c>
      <c r="H9556" s="1" t="s">
        <v>3604</v>
      </c>
      <c r="I9556" s="1" t="s">
        <v>31638</v>
      </c>
      <c r="J9556" s="1" t="s">
        <v>3615</v>
      </c>
      <c r="K9556" s="1" t="s">
        <v>31639</v>
      </c>
      <c r="L9556" s="1"/>
      <c r="M9556" s="1"/>
    </row>
    <row x14ac:dyDescent="0.25" r="9557" customHeight="1" ht="18.75">
      <c r="A9557" s="1" t="s">
        <v>7833</v>
      </c>
      <c r="B9557" s="1" t="s">
        <v>23825</v>
      </c>
      <c r="C9557" s="1" t="s">
        <v>4488</v>
      </c>
      <c r="D9557" s="1" t="s">
        <v>3601</v>
      </c>
      <c r="E9557" s="1" t="s">
        <v>8096</v>
      </c>
      <c r="F9557" s="1" t="s">
        <v>31640</v>
      </c>
      <c r="G9557" s="1" t="s">
        <v>23826</v>
      </c>
      <c r="H9557" s="1" t="s">
        <v>3604</v>
      </c>
      <c r="I9557" s="1" t="s">
        <v>31641</v>
      </c>
      <c r="J9557" s="1" t="s">
        <v>3615</v>
      </c>
      <c r="K9557" s="1" t="s">
        <v>16380</v>
      </c>
      <c r="L9557" s="1"/>
      <c r="M9557" s="1"/>
    </row>
    <row x14ac:dyDescent="0.25" r="9558" customHeight="1" ht="18.75">
      <c r="A9558" s="1" t="s">
        <v>3598</v>
      </c>
      <c r="B9558" s="1" t="s">
        <v>19642</v>
      </c>
      <c r="C9558" s="1" t="s">
        <v>3600</v>
      </c>
      <c r="D9558" s="1" t="s">
        <v>3601</v>
      </c>
      <c r="E9558" s="1" t="s">
        <v>3611</v>
      </c>
      <c r="F9558" s="1" t="s">
        <v>31642</v>
      </c>
      <c r="G9558" s="1" t="s">
        <v>31573</v>
      </c>
      <c r="H9558" s="1" t="s">
        <v>3604</v>
      </c>
      <c r="I9558" s="1" t="s">
        <v>31643</v>
      </c>
      <c r="J9558" s="1" t="s">
        <v>3615</v>
      </c>
      <c r="K9558" s="1" t="s">
        <v>31644</v>
      </c>
      <c r="L9558" s="1"/>
      <c r="M9558" s="1"/>
    </row>
    <row x14ac:dyDescent="0.25" r="9559" customHeight="1" ht="18.75">
      <c r="A9559" s="1" t="s">
        <v>3693</v>
      </c>
      <c r="B9559" s="1" t="s">
        <v>4162</v>
      </c>
      <c r="C9559" s="1" t="s">
        <v>3619</v>
      </c>
      <c r="D9559" s="1" t="s">
        <v>28428</v>
      </c>
      <c r="E9559" s="1" t="s">
        <v>3664</v>
      </c>
      <c r="F9559" s="1" t="s">
        <v>31645</v>
      </c>
      <c r="G9559" s="1" t="s">
        <v>9092</v>
      </c>
      <c r="H9559" s="1" t="s">
        <v>3604</v>
      </c>
      <c r="I9559" s="1" t="s">
        <v>31646</v>
      </c>
      <c r="J9559" s="1" t="s">
        <v>3615</v>
      </c>
      <c r="K9559" s="1" t="s">
        <v>31647</v>
      </c>
      <c r="L9559" s="1"/>
      <c r="M9559" s="1"/>
    </row>
    <row x14ac:dyDescent="0.25" r="9560" customHeight="1" ht="18.75">
      <c r="A9560" s="1" t="s">
        <v>3598</v>
      </c>
      <c r="B9560" s="1" t="s">
        <v>14119</v>
      </c>
      <c r="C9560" s="1" t="s">
        <v>3600</v>
      </c>
      <c r="D9560" s="1" t="s">
        <v>3601</v>
      </c>
      <c r="E9560" s="1" t="s">
        <v>3664</v>
      </c>
      <c r="F9560" s="1" t="s">
        <v>31648</v>
      </c>
      <c r="G9560" s="1" t="s">
        <v>18054</v>
      </c>
      <c r="H9560" s="1" t="s">
        <v>3604</v>
      </c>
      <c r="I9560" s="1" t="s">
        <v>31649</v>
      </c>
      <c r="J9560" s="1" t="s">
        <v>3615</v>
      </c>
      <c r="K9560" s="1" t="s">
        <v>31650</v>
      </c>
      <c r="L9560" s="1"/>
      <c r="M9560" s="1"/>
    </row>
    <row x14ac:dyDescent="0.25" r="9561" customHeight="1" ht="18.75">
      <c r="A9561" s="1" t="s">
        <v>3693</v>
      </c>
      <c r="B9561" s="1" t="s">
        <v>4162</v>
      </c>
      <c r="C9561" s="1" t="s">
        <v>3619</v>
      </c>
      <c r="D9561" s="1" t="s">
        <v>28428</v>
      </c>
      <c r="E9561" s="1" t="s">
        <v>3664</v>
      </c>
      <c r="F9561" s="1" t="s">
        <v>31651</v>
      </c>
      <c r="G9561" s="1" t="s">
        <v>13737</v>
      </c>
      <c r="H9561" s="1" t="s">
        <v>3604</v>
      </c>
      <c r="I9561" s="1" t="s">
        <v>31652</v>
      </c>
      <c r="J9561" s="1" t="s">
        <v>3615</v>
      </c>
      <c r="K9561" s="1" t="s">
        <v>31653</v>
      </c>
      <c r="L9561" s="1"/>
      <c r="M9561" s="1"/>
    </row>
    <row x14ac:dyDescent="0.25" r="9562" customHeight="1" ht="18.75">
      <c r="A9562" s="1" t="s">
        <v>7833</v>
      </c>
      <c r="B9562" s="1" t="s">
        <v>14934</v>
      </c>
      <c r="C9562" s="1" t="s">
        <v>4488</v>
      </c>
      <c r="D9562" s="1" t="s">
        <v>3601</v>
      </c>
      <c r="E9562" s="1" t="s">
        <v>3664</v>
      </c>
      <c r="F9562" s="1" t="s">
        <v>31654</v>
      </c>
      <c r="G9562" s="1" t="s">
        <v>14935</v>
      </c>
      <c r="H9562" s="1" t="s">
        <v>3604</v>
      </c>
      <c r="I9562" s="1" t="s">
        <v>31655</v>
      </c>
      <c r="J9562" s="1" t="s">
        <v>3615</v>
      </c>
      <c r="K9562" s="1" t="s">
        <v>16380</v>
      </c>
      <c r="L9562" s="1"/>
      <c r="M9562" s="1"/>
    </row>
    <row x14ac:dyDescent="0.25" r="9563" customHeight="1" ht="18.75">
      <c r="A9563" s="1" t="s">
        <v>3693</v>
      </c>
      <c r="B9563" s="1" t="s">
        <v>4174</v>
      </c>
      <c r="C9563" s="1" t="s">
        <v>3619</v>
      </c>
      <c r="D9563" s="1" t="s">
        <v>28428</v>
      </c>
      <c r="E9563" s="1" t="s">
        <v>3664</v>
      </c>
      <c r="F9563" s="1" t="s">
        <v>31656</v>
      </c>
      <c r="G9563" s="1" t="s">
        <v>9545</v>
      </c>
      <c r="H9563" s="1" t="s">
        <v>3604</v>
      </c>
      <c r="I9563" s="1" t="s">
        <v>31657</v>
      </c>
      <c r="J9563" s="1" t="s">
        <v>3615</v>
      </c>
      <c r="K9563" s="1" t="s">
        <v>31658</v>
      </c>
      <c r="L9563" s="1"/>
      <c r="M9563" s="1"/>
    </row>
    <row x14ac:dyDescent="0.25" r="9564" customHeight="1" ht="18.75">
      <c r="A9564" s="1" t="s">
        <v>3598</v>
      </c>
      <c r="B9564" s="1" t="s">
        <v>19642</v>
      </c>
      <c r="C9564" s="1" t="s">
        <v>3600</v>
      </c>
      <c r="D9564" s="1" t="s">
        <v>3601</v>
      </c>
      <c r="E9564" s="1" t="s">
        <v>3611</v>
      </c>
      <c r="F9564" s="1" t="s">
        <v>31659</v>
      </c>
      <c r="G9564" s="1" t="s">
        <v>31573</v>
      </c>
      <c r="H9564" s="1" t="s">
        <v>3604</v>
      </c>
      <c r="I9564" s="1" t="s">
        <v>31660</v>
      </c>
      <c r="J9564" s="1" t="s">
        <v>3615</v>
      </c>
      <c r="K9564" s="1" t="s">
        <v>31661</v>
      </c>
      <c r="L9564" s="1"/>
      <c r="M9564" s="1"/>
    </row>
    <row x14ac:dyDescent="0.25" r="9565" customHeight="1" ht="18.75">
      <c r="A9565" s="1" t="s">
        <v>3693</v>
      </c>
      <c r="B9565" s="1" t="s">
        <v>4174</v>
      </c>
      <c r="C9565" s="1" t="s">
        <v>3619</v>
      </c>
      <c r="D9565" s="1" t="s">
        <v>28428</v>
      </c>
      <c r="E9565" s="1" t="s">
        <v>3664</v>
      </c>
      <c r="F9565" s="1" t="s">
        <v>31662</v>
      </c>
      <c r="G9565" s="1" t="s">
        <v>9542</v>
      </c>
      <c r="H9565" s="1" t="s">
        <v>3604</v>
      </c>
      <c r="I9565" s="1" t="s">
        <v>31663</v>
      </c>
      <c r="J9565" s="1" t="s">
        <v>3615</v>
      </c>
      <c r="K9565" s="1" t="s">
        <v>31664</v>
      </c>
      <c r="L9565" s="1"/>
      <c r="M9565" s="1"/>
    </row>
    <row x14ac:dyDescent="0.25" r="9566" customHeight="1" ht="18.75">
      <c r="A9566" s="1" t="s">
        <v>3598</v>
      </c>
      <c r="B9566" s="1" t="s">
        <v>15780</v>
      </c>
      <c r="C9566" s="1" t="s">
        <v>3600</v>
      </c>
      <c r="D9566" s="1" t="s">
        <v>3601</v>
      </c>
      <c r="E9566" s="1" t="s">
        <v>3664</v>
      </c>
      <c r="F9566" s="1" t="s">
        <v>31665</v>
      </c>
      <c r="G9566" s="1" t="s">
        <v>23126</v>
      </c>
      <c r="H9566" s="1" t="s">
        <v>3604</v>
      </c>
      <c r="I9566" s="1" t="s">
        <v>31666</v>
      </c>
      <c r="J9566" s="1" t="s">
        <v>3615</v>
      </c>
      <c r="K9566" s="1" t="s">
        <v>31667</v>
      </c>
      <c r="L9566" s="1"/>
      <c r="M9566" s="1"/>
    </row>
    <row x14ac:dyDescent="0.25" r="9567" customHeight="1" ht="18.75">
      <c r="A9567" s="1" t="s">
        <v>7833</v>
      </c>
      <c r="B9567" s="1" t="s">
        <v>14934</v>
      </c>
      <c r="C9567" s="1" t="s">
        <v>4488</v>
      </c>
      <c r="D9567" s="1" t="s">
        <v>3601</v>
      </c>
      <c r="E9567" s="1" t="s">
        <v>3664</v>
      </c>
      <c r="F9567" s="1" t="s">
        <v>31668</v>
      </c>
      <c r="G9567" s="1" t="s">
        <v>14935</v>
      </c>
      <c r="H9567" s="1" t="s">
        <v>3604</v>
      </c>
      <c r="I9567" s="1" t="s">
        <v>31669</v>
      </c>
      <c r="J9567" s="1" t="s">
        <v>3615</v>
      </c>
      <c r="K9567" s="1" t="s">
        <v>14260</v>
      </c>
      <c r="L9567" s="1"/>
      <c r="M9567" s="1"/>
    </row>
    <row x14ac:dyDescent="0.25" r="9568" customHeight="1" ht="18.75">
      <c r="A9568" s="1" t="s">
        <v>3693</v>
      </c>
      <c r="B9568" s="1" t="s">
        <v>4208</v>
      </c>
      <c r="C9568" s="1" t="s">
        <v>3619</v>
      </c>
      <c r="D9568" s="1" t="s">
        <v>31579</v>
      </c>
      <c r="E9568" s="1" t="s">
        <v>3664</v>
      </c>
      <c r="F9568" s="1" t="s">
        <v>31670</v>
      </c>
      <c r="G9568" s="1" t="s">
        <v>31671</v>
      </c>
      <c r="H9568" s="1" t="s">
        <v>3604</v>
      </c>
      <c r="I9568" s="1" t="s">
        <v>31672</v>
      </c>
      <c r="J9568" s="1" t="s">
        <v>3615</v>
      </c>
      <c r="K9568" s="1" t="s">
        <v>31673</v>
      </c>
      <c r="L9568" s="1"/>
      <c r="M9568" s="1"/>
    </row>
    <row x14ac:dyDescent="0.25" r="9569" customHeight="1" ht="18.75">
      <c r="A9569" s="1" t="s">
        <v>3598</v>
      </c>
      <c r="B9569" s="1" t="s">
        <v>8191</v>
      </c>
      <c r="C9569" s="1" t="s">
        <v>3600</v>
      </c>
      <c r="D9569" s="1" t="s">
        <v>3601</v>
      </c>
      <c r="E9569" s="1" t="s">
        <v>3611</v>
      </c>
      <c r="F9569" s="1" t="s">
        <v>31674</v>
      </c>
      <c r="G9569" s="1" t="s">
        <v>20591</v>
      </c>
      <c r="H9569" s="1" t="s">
        <v>3604</v>
      </c>
      <c r="I9569" s="1" t="s">
        <v>31675</v>
      </c>
      <c r="J9569" s="1" t="s">
        <v>3615</v>
      </c>
      <c r="K9569" s="1" t="s">
        <v>31676</v>
      </c>
      <c r="L9569" s="1"/>
      <c r="M9569" s="1"/>
    </row>
    <row x14ac:dyDescent="0.25" r="9570" customHeight="1" ht="18.75">
      <c r="A9570" s="1" t="s">
        <v>3693</v>
      </c>
      <c r="B9570" s="1" t="s">
        <v>4136</v>
      </c>
      <c r="C9570" s="1" t="s">
        <v>3619</v>
      </c>
      <c r="D9570" s="1" t="s">
        <v>28428</v>
      </c>
      <c r="E9570" s="1" t="s">
        <v>3664</v>
      </c>
      <c r="F9570" s="1" t="s">
        <v>31677</v>
      </c>
      <c r="G9570" s="1" t="s">
        <v>31678</v>
      </c>
      <c r="H9570" s="1" t="s">
        <v>3604</v>
      </c>
      <c r="I9570" s="1" t="s">
        <v>31679</v>
      </c>
      <c r="J9570" s="1" t="s">
        <v>3615</v>
      </c>
      <c r="K9570" s="1" t="s">
        <v>31680</v>
      </c>
      <c r="L9570" s="1"/>
      <c r="M9570" s="1"/>
    </row>
    <row x14ac:dyDescent="0.25" r="9571" customHeight="1" ht="18.75">
      <c r="A9571" s="1" t="s">
        <v>3693</v>
      </c>
      <c r="B9571" s="1" t="s">
        <v>4136</v>
      </c>
      <c r="C9571" s="1" t="s">
        <v>3619</v>
      </c>
      <c r="D9571" s="1" t="s">
        <v>28428</v>
      </c>
      <c r="E9571" s="1" t="s">
        <v>3664</v>
      </c>
      <c r="F9571" s="1" t="s">
        <v>31681</v>
      </c>
      <c r="G9571" s="1" t="s">
        <v>31678</v>
      </c>
      <c r="H9571" s="1" t="s">
        <v>3604</v>
      </c>
      <c r="I9571" s="1" t="s">
        <v>31682</v>
      </c>
      <c r="J9571" s="1" t="s">
        <v>3615</v>
      </c>
      <c r="K9571" s="1" t="s">
        <v>31683</v>
      </c>
      <c r="L9571" s="1"/>
      <c r="M9571" s="1"/>
    </row>
    <row x14ac:dyDescent="0.25" r="9572" customHeight="1" ht="18.75">
      <c r="A9572" s="1" t="s">
        <v>7833</v>
      </c>
      <c r="B9572" s="1" t="s">
        <v>14934</v>
      </c>
      <c r="C9572" s="1" t="s">
        <v>4488</v>
      </c>
      <c r="D9572" s="1" t="s">
        <v>3601</v>
      </c>
      <c r="E9572" s="1" t="s">
        <v>3664</v>
      </c>
      <c r="F9572" s="1" t="s">
        <v>31684</v>
      </c>
      <c r="G9572" s="1" t="s">
        <v>14935</v>
      </c>
      <c r="H9572" s="1" t="s">
        <v>3604</v>
      </c>
      <c r="I9572" s="1" t="s">
        <v>31685</v>
      </c>
      <c r="J9572" s="1" t="s">
        <v>3615</v>
      </c>
      <c r="K9572" s="1" t="s">
        <v>14263</v>
      </c>
      <c r="L9572" s="1"/>
      <c r="M9572" s="1"/>
    </row>
    <row x14ac:dyDescent="0.25" r="9573" customHeight="1" ht="18.75">
      <c r="A9573" s="1" t="s">
        <v>3693</v>
      </c>
      <c r="B9573" s="1" t="s">
        <v>4136</v>
      </c>
      <c r="C9573" s="1" t="s">
        <v>3619</v>
      </c>
      <c r="D9573" s="1" t="s">
        <v>28428</v>
      </c>
      <c r="E9573" s="1" t="s">
        <v>3664</v>
      </c>
      <c r="F9573" s="1" t="s">
        <v>31686</v>
      </c>
      <c r="G9573" s="1" t="s">
        <v>31678</v>
      </c>
      <c r="H9573" s="1" t="s">
        <v>3604</v>
      </c>
      <c r="I9573" s="1" t="s">
        <v>31687</v>
      </c>
      <c r="J9573" s="1" t="s">
        <v>3615</v>
      </c>
      <c r="K9573" s="1" t="s">
        <v>31688</v>
      </c>
      <c r="L9573" s="1"/>
      <c r="M9573" s="1"/>
    </row>
    <row x14ac:dyDescent="0.25" r="9574" customHeight="1" ht="18.75">
      <c r="A9574" s="1" t="s">
        <v>3598</v>
      </c>
      <c r="B9574" s="1" t="s">
        <v>8191</v>
      </c>
      <c r="C9574" s="1" t="s">
        <v>3600</v>
      </c>
      <c r="D9574" s="1" t="s">
        <v>3601</v>
      </c>
      <c r="E9574" s="1" t="s">
        <v>3611</v>
      </c>
      <c r="F9574" s="1" t="s">
        <v>31689</v>
      </c>
      <c r="G9574" s="1" t="s">
        <v>20591</v>
      </c>
      <c r="H9574" s="1" t="s">
        <v>3604</v>
      </c>
      <c r="I9574" s="1" t="s">
        <v>31690</v>
      </c>
      <c r="J9574" s="1" t="s">
        <v>3615</v>
      </c>
      <c r="K9574" s="1" t="s">
        <v>31691</v>
      </c>
      <c r="L9574" s="1"/>
      <c r="M9574" s="1"/>
    </row>
    <row x14ac:dyDescent="0.25" r="9575" customHeight="1" ht="18.75">
      <c r="A9575" s="1" t="s">
        <v>3693</v>
      </c>
      <c r="B9575" s="1" t="s">
        <v>4181</v>
      </c>
      <c r="C9575" s="1" t="s">
        <v>3619</v>
      </c>
      <c r="D9575" s="1" t="s">
        <v>31579</v>
      </c>
      <c r="E9575" s="1" t="s">
        <v>3664</v>
      </c>
      <c r="F9575" s="1" t="s">
        <v>31692</v>
      </c>
      <c r="G9575" s="1" t="s">
        <v>9565</v>
      </c>
      <c r="H9575" s="1" t="s">
        <v>3604</v>
      </c>
      <c r="I9575" s="1" t="s">
        <v>31693</v>
      </c>
      <c r="J9575" s="1" t="s">
        <v>3615</v>
      </c>
      <c r="K9575" s="1" t="s">
        <v>31694</v>
      </c>
      <c r="L9575" s="1"/>
      <c r="M9575" s="1"/>
    </row>
    <row x14ac:dyDescent="0.25" r="9576" customHeight="1" ht="18.75">
      <c r="A9576" s="1" t="s">
        <v>3693</v>
      </c>
      <c r="B9576" s="1" t="s">
        <v>5797</v>
      </c>
      <c r="C9576" s="1" t="s">
        <v>3619</v>
      </c>
      <c r="D9576" s="1" t="s">
        <v>31579</v>
      </c>
      <c r="E9576" s="1" t="s">
        <v>3664</v>
      </c>
      <c r="F9576" s="1" t="s">
        <v>31695</v>
      </c>
      <c r="G9576" s="1" t="s">
        <v>31696</v>
      </c>
      <c r="H9576" s="1" t="s">
        <v>3604</v>
      </c>
      <c r="I9576" s="1" t="s">
        <v>31697</v>
      </c>
      <c r="J9576" s="1" t="s">
        <v>3615</v>
      </c>
      <c r="K9576" s="1" t="s">
        <v>31698</v>
      </c>
      <c r="L9576" s="1"/>
      <c r="M9576" s="1"/>
    </row>
    <row x14ac:dyDescent="0.25" r="9577" customHeight="1" ht="18.75">
      <c r="A9577" s="1" t="s">
        <v>3598</v>
      </c>
      <c r="B9577" s="1" t="s">
        <v>8191</v>
      </c>
      <c r="C9577" s="1" t="s">
        <v>3600</v>
      </c>
      <c r="D9577" s="1" t="s">
        <v>3601</v>
      </c>
      <c r="E9577" s="1" t="s">
        <v>3611</v>
      </c>
      <c r="F9577" s="1" t="s">
        <v>31699</v>
      </c>
      <c r="G9577" s="1" t="s">
        <v>20591</v>
      </c>
      <c r="H9577" s="1" t="s">
        <v>3604</v>
      </c>
      <c r="I9577" s="1" t="s">
        <v>31700</v>
      </c>
      <c r="J9577" s="1" t="s">
        <v>3615</v>
      </c>
      <c r="K9577" s="1" t="s">
        <v>31701</v>
      </c>
      <c r="L9577" s="1"/>
      <c r="M9577" s="1"/>
    </row>
    <row x14ac:dyDescent="0.25" r="9578" customHeight="1" ht="18.75">
      <c r="A9578" s="1" t="s">
        <v>3693</v>
      </c>
      <c r="B9578" s="1" t="s">
        <v>4125</v>
      </c>
      <c r="C9578" s="1" t="s">
        <v>3619</v>
      </c>
      <c r="D9578" s="1" t="s">
        <v>31579</v>
      </c>
      <c r="E9578" s="1" t="s">
        <v>3664</v>
      </c>
      <c r="F9578" s="1" t="s">
        <v>31702</v>
      </c>
      <c r="G9578" s="1" t="s">
        <v>6301</v>
      </c>
      <c r="H9578" s="1" t="s">
        <v>3604</v>
      </c>
      <c r="I9578" s="1" t="s">
        <v>31703</v>
      </c>
      <c r="J9578" s="1" t="s">
        <v>3615</v>
      </c>
      <c r="K9578" s="1" t="s">
        <v>31704</v>
      </c>
      <c r="L9578" s="1"/>
      <c r="M9578" s="1"/>
    </row>
    <row x14ac:dyDescent="0.25" r="9579" customHeight="1" ht="18.75">
      <c r="A9579" s="1" t="s">
        <v>3693</v>
      </c>
      <c r="B9579" s="1" t="s">
        <v>4125</v>
      </c>
      <c r="C9579" s="1" t="s">
        <v>3619</v>
      </c>
      <c r="D9579" s="1" t="s">
        <v>31579</v>
      </c>
      <c r="E9579" s="1" t="s">
        <v>3664</v>
      </c>
      <c r="F9579" s="1" t="s">
        <v>31705</v>
      </c>
      <c r="G9579" s="1" t="s">
        <v>6301</v>
      </c>
      <c r="H9579" s="1" t="s">
        <v>3604</v>
      </c>
      <c r="I9579" s="1" t="s">
        <v>31706</v>
      </c>
      <c r="J9579" s="1" t="s">
        <v>3615</v>
      </c>
      <c r="K9579" s="1" t="s">
        <v>31707</v>
      </c>
      <c r="L9579" s="1"/>
      <c r="M9579" s="1"/>
    </row>
    <row x14ac:dyDescent="0.25" r="9580" customHeight="1" ht="18.75">
      <c r="A9580" s="1" t="s">
        <v>3693</v>
      </c>
      <c r="B9580" s="1" t="s">
        <v>4125</v>
      </c>
      <c r="C9580" s="1" t="s">
        <v>3619</v>
      </c>
      <c r="D9580" s="1" t="s">
        <v>31579</v>
      </c>
      <c r="E9580" s="1" t="s">
        <v>3664</v>
      </c>
      <c r="F9580" s="1" t="s">
        <v>31708</v>
      </c>
      <c r="G9580" s="1" t="s">
        <v>6301</v>
      </c>
      <c r="H9580" s="1" t="s">
        <v>3604</v>
      </c>
      <c r="I9580" s="1" t="s">
        <v>31709</v>
      </c>
      <c r="J9580" s="1" t="s">
        <v>3615</v>
      </c>
      <c r="K9580" s="1" t="s">
        <v>31710</v>
      </c>
      <c r="L9580" s="1"/>
      <c r="M9580" s="1"/>
    </row>
    <row x14ac:dyDescent="0.25" r="9581" customHeight="1" ht="18.75">
      <c r="A9581" s="1" t="s">
        <v>3598</v>
      </c>
      <c r="B9581" s="1" t="s">
        <v>8191</v>
      </c>
      <c r="C9581" s="1" t="s">
        <v>3600</v>
      </c>
      <c r="D9581" s="1" t="s">
        <v>3601</v>
      </c>
      <c r="E9581" s="1" t="s">
        <v>3611</v>
      </c>
      <c r="F9581" s="1" t="s">
        <v>31711</v>
      </c>
      <c r="G9581" s="1" t="s">
        <v>20591</v>
      </c>
      <c r="H9581" s="1" t="s">
        <v>3604</v>
      </c>
      <c r="I9581" s="1" t="s">
        <v>31712</v>
      </c>
      <c r="J9581" s="1" t="s">
        <v>3615</v>
      </c>
      <c r="K9581" s="1" t="s">
        <v>31713</v>
      </c>
      <c r="L9581" s="1"/>
      <c r="M9581" s="1"/>
    </row>
    <row x14ac:dyDescent="0.25" r="9582" customHeight="1" ht="18.75">
      <c r="A9582" s="1" t="s">
        <v>7833</v>
      </c>
      <c r="B9582" s="1" t="s">
        <v>14486</v>
      </c>
      <c r="C9582" s="1" t="s">
        <v>3619</v>
      </c>
      <c r="D9582" s="1" t="s">
        <v>3601</v>
      </c>
      <c r="E9582" s="1" t="s">
        <v>3981</v>
      </c>
      <c r="F9582" s="1" t="s">
        <v>31714</v>
      </c>
      <c r="G9582" s="1" t="s">
        <v>14650</v>
      </c>
      <c r="H9582" s="1" t="s">
        <v>3604</v>
      </c>
      <c r="I9582" s="1" t="s">
        <v>31715</v>
      </c>
      <c r="J9582" s="1" t="s">
        <v>3615</v>
      </c>
      <c r="K9582" s="1" t="s">
        <v>16372</v>
      </c>
      <c r="L9582" s="1"/>
      <c r="M9582" s="1"/>
    </row>
    <row x14ac:dyDescent="0.25" r="9583" customHeight="1" ht="18.75">
      <c r="A9583" s="1" t="s">
        <v>3693</v>
      </c>
      <c r="B9583" s="1" t="s">
        <v>4136</v>
      </c>
      <c r="C9583" s="1" t="s">
        <v>3619</v>
      </c>
      <c r="D9583" s="1" t="s">
        <v>31579</v>
      </c>
      <c r="E9583" s="1" t="s">
        <v>3664</v>
      </c>
      <c r="F9583" s="1" t="s">
        <v>31716</v>
      </c>
      <c r="G9583" s="1" t="s">
        <v>31678</v>
      </c>
      <c r="H9583" s="1" t="s">
        <v>3604</v>
      </c>
      <c r="I9583" s="1" t="s">
        <v>31717</v>
      </c>
      <c r="J9583" s="1" t="s">
        <v>3615</v>
      </c>
      <c r="K9583" s="1" t="s">
        <v>31718</v>
      </c>
      <c r="L9583" s="1"/>
      <c r="M9583" s="1"/>
    </row>
    <row x14ac:dyDescent="0.25" r="9584" customHeight="1" ht="18.75">
      <c r="A9584" s="1" t="s">
        <v>3598</v>
      </c>
      <c r="B9584" s="1" t="s">
        <v>18062</v>
      </c>
      <c r="C9584" s="1" t="s">
        <v>3600</v>
      </c>
      <c r="D9584" s="1" t="s">
        <v>28428</v>
      </c>
      <c r="E9584" s="1" t="s">
        <v>3664</v>
      </c>
      <c r="F9584" s="1" t="s">
        <v>31719</v>
      </c>
      <c r="G9584" s="1" t="s">
        <v>31720</v>
      </c>
      <c r="H9584" s="1" t="s">
        <v>3604</v>
      </c>
      <c r="I9584" s="1" t="s">
        <v>31721</v>
      </c>
      <c r="J9584" s="1" t="s">
        <v>3615</v>
      </c>
      <c r="K9584" s="1" t="s">
        <v>31722</v>
      </c>
      <c r="L9584" s="1"/>
      <c r="M9584" s="1"/>
    </row>
    <row x14ac:dyDescent="0.25" r="9585" customHeight="1" ht="18.75">
      <c r="A9585" s="1" t="s">
        <v>3693</v>
      </c>
      <c r="B9585" s="1" t="s">
        <v>4148</v>
      </c>
      <c r="C9585" s="1" t="s">
        <v>3600</v>
      </c>
      <c r="D9585" s="1" t="s">
        <v>31579</v>
      </c>
      <c r="E9585" s="1" t="s">
        <v>3664</v>
      </c>
      <c r="F9585" s="1" t="s">
        <v>31723</v>
      </c>
      <c r="G9585" s="1" t="s">
        <v>6603</v>
      </c>
      <c r="H9585" s="1" t="s">
        <v>3604</v>
      </c>
      <c r="I9585" s="1" t="s">
        <v>31724</v>
      </c>
      <c r="J9585" s="1" t="s">
        <v>3615</v>
      </c>
      <c r="K9585" s="1" t="s">
        <v>31725</v>
      </c>
      <c r="L9585" s="1"/>
      <c r="M9585" s="1"/>
    </row>
    <row x14ac:dyDescent="0.25" r="9586" customHeight="1" ht="18.75">
      <c r="A9586" s="1" t="s">
        <v>3598</v>
      </c>
      <c r="B9586" s="1" t="s">
        <v>8191</v>
      </c>
      <c r="C9586" s="1" t="s">
        <v>3600</v>
      </c>
      <c r="D9586" s="1" t="s">
        <v>3601</v>
      </c>
      <c r="E9586" s="1" t="s">
        <v>3611</v>
      </c>
      <c r="F9586" s="1" t="s">
        <v>31726</v>
      </c>
      <c r="G9586" s="1" t="s">
        <v>20591</v>
      </c>
      <c r="H9586" s="1" t="s">
        <v>3604</v>
      </c>
      <c r="I9586" s="1" t="s">
        <v>31727</v>
      </c>
      <c r="J9586" s="1" t="s">
        <v>3615</v>
      </c>
      <c r="K9586" s="1" t="s">
        <v>31728</v>
      </c>
      <c r="L9586" s="1"/>
      <c r="M9586" s="1"/>
    </row>
    <row x14ac:dyDescent="0.25" r="9587" customHeight="1" ht="18.75">
      <c r="A9587" s="1" t="s">
        <v>3693</v>
      </c>
      <c r="B9587" s="1" t="s">
        <v>4166</v>
      </c>
      <c r="C9587" s="1" t="s">
        <v>3619</v>
      </c>
      <c r="D9587" s="1" t="s">
        <v>31579</v>
      </c>
      <c r="E9587" s="1" t="s">
        <v>3664</v>
      </c>
      <c r="F9587" s="1" t="s">
        <v>31729</v>
      </c>
      <c r="G9587" s="1" t="s">
        <v>31730</v>
      </c>
      <c r="H9587" s="1" t="s">
        <v>3604</v>
      </c>
      <c r="I9587" s="1" t="s">
        <v>31731</v>
      </c>
      <c r="J9587" s="1" t="s">
        <v>3615</v>
      </c>
      <c r="K9587" s="1" t="s">
        <v>31732</v>
      </c>
      <c r="L9587" s="1"/>
      <c r="M9587" s="1"/>
    </row>
    <row x14ac:dyDescent="0.25" r="9588" customHeight="1" ht="18.75">
      <c r="A9588" s="1" t="s">
        <v>7833</v>
      </c>
      <c r="B9588" s="1" t="s">
        <v>14486</v>
      </c>
      <c r="C9588" s="1" t="s">
        <v>3619</v>
      </c>
      <c r="D9588" s="1" t="s">
        <v>3601</v>
      </c>
      <c r="E9588" s="1" t="s">
        <v>3981</v>
      </c>
      <c r="F9588" s="1" t="s">
        <v>31733</v>
      </c>
      <c r="G9588" s="1" t="s">
        <v>14650</v>
      </c>
      <c r="H9588" s="1" t="s">
        <v>3604</v>
      </c>
      <c r="I9588" s="1" t="s">
        <v>31734</v>
      </c>
      <c r="J9588" s="1" t="s">
        <v>3615</v>
      </c>
      <c r="K9588" s="1" t="s">
        <v>16378</v>
      </c>
      <c r="L9588" s="1"/>
      <c r="M9588" s="1"/>
    </row>
    <row x14ac:dyDescent="0.25" r="9589" customHeight="1" ht="18.75">
      <c r="A9589" s="1" t="s">
        <v>3693</v>
      </c>
      <c r="B9589" s="1" t="s">
        <v>4174</v>
      </c>
      <c r="C9589" s="1" t="s">
        <v>3619</v>
      </c>
      <c r="D9589" s="1" t="s">
        <v>31579</v>
      </c>
      <c r="E9589" s="1" t="s">
        <v>3664</v>
      </c>
      <c r="F9589" s="1" t="s">
        <v>31735</v>
      </c>
      <c r="G9589" s="1" t="s">
        <v>6347</v>
      </c>
      <c r="H9589" s="1" t="s">
        <v>3604</v>
      </c>
      <c r="I9589" s="1" t="s">
        <v>31736</v>
      </c>
      <c r="J9589" s="1" t="s">
        <v>3615</v>
      </c>
      <c r="K9589" s="1" t="s">
        <v>31737</v>
      </c>
      <c r="L9589" s="1"/>
      <c r="M9589" s="1"/>
    </row>
    <row x14ac:dyDescent="0.25" r="9590" customHeight="1" ht="18.75">
      <c r="A9590" s="1" t="s">
        <v>3598</v>
      </c>
      <c r="B9590" s="1" t="s">
        <v>6728</v>
      </c>
      <c r="C9590" s="1" t="s">
        <v>3600</v>
      </c>
      <c r="D9590" s="1" t="s">
        <v>28428</v>
      </c>
      <c r="E9590" s="1" t="s">
        <v>3664</v>
      </c>
      <c r="F9590" s="1" t="s">
        <v>31738</v>
      </c>
      <c r="G9590" s="1" t="s">
        <v>29153</v>
      </c>
      <c r="H9590" s="1" t="s">
        <v>3604</v>
      </c>
      <c r="I9590" s="1" t="s">
        <v>31739</v>
      </c>
      <c r="J9590" s="1" t="s">
        <v>3615</v>
      </c>
      <c r="K9590" s="1" t="s">
        <v>31740</v>
      </c>
      <c r="L9590" s="1"/>
      <c r="M9590" s="1"/>
    </row>
    <row x14ac:dyDescent="0.25" r="9591" customHeight="1" ht="18.75">
      <c r="A9591" s="1" t="s">
        <v>3693</v>
      </c>
      <c r="B9591" s="1" t="s">
        <v>4174</v>
      </c>
      <c r="C9591" s="1" t="s">
        <v>3619</v>
      </c>
      <c r="D9591" s="1" t="s">
        <v>31579</v>
      </c>
      <c r="E9591" s="1" t="s">
        <v>3664</v>
      </c>
      <c r="F9591" s="1" t="s">
        <v>31741</v>
      </c>
      <c r="G9591" s="1" t="s">
        <v>6347</v>
      </c>
      <c r="H9591" s="1" t="s">
        <v>3604</v>
      </c>
      <c r="I9591" s="1" t="s">
        <v>31742</v>
      </c>
      <c r="J9591" s="1" t="s">
        <v>3615</v>
      </c>
      <c r="K9591" s="1" t="s">
        <v>31743</v>
      </c>
      <c r="L9591" s="1"/>
      <c r="M9591" s="1"/>
    </row>
    <row x14ac:dyDescent="0.25" r="9592" customHeight="1" ht="18.75">
      <c r="A9592" s="1" t="s">
        <v>3598</v>
      </c>
      <c r="B9592" s="1" t="s">
        <v>8191</v>
      </c>
      <c r="C9592" s="1" t="s">
        <v>3600</v>
      </c>
      <c r="D9592" s="1" t="s">
        <v>3601</v>
      </c>
      <c r="E9592" s="1" t="s">
        <v>3611</v>
      </c>
      <c r="F9592" s="1" t="s">
        <v>31744</v>
      </c>
      <c r="G9592" s="1" t="s">
        <v>20591</v>
      </c>
      <c r="H9592" s="1" t="s">
        <v>3604</v>
      </c>
      <c r="I9592" s="1" t="s">
        <v>31745</v>
      </c>
      <c r="J9592" s="1" t="s">
        <v>3615</v>
      </c>
      <c r="K9592" s="1" t="s">
        <v>31746</v>
      </c>
      <c r="L9592" s="1"/>
      <c r="M9592" s="1"/>
    </row>
    <row x14ac:dyDescent="0.25" r="9593" customHeight="1" ht="18.75">
      <c r="A9593" s="1" t="s">
        <v>3693</v>
      </c>
      <c r="B9593" s="1" t="s">
        <v>4174</v>
      </c>
      <c r="C9593" s="1" t="s">
        <v>3619</v>
      </c>
      <c r="D9593" s="1" t="s">
        <v>31579</v>
      </c>
      <c r="E9593" s="1" t="s">
        <v>3664</v>
      </c>
      <c r="F9593" s="1" t="s">
        <v>31747</v>
      </c>
      <c r="G9593" s="1" t="s">
        <v>6347</v>
      </c>
      <c r="H9593" s="1" t="s">
        <v>3604</v>
      </c>
      <c r="I9593" s="1" t="s">
        <v>31748</v>
      </c>
      <c r="J9593" s="1" t="s">
        <v>3615</v>
      </c>
      <c r="K9593" s="1" t="s">
        <v>31749</v>
      </c>
      <c r="L9593" s="1"/>
      <c r="M9593" s="1"/>
    </row>
    <row x14ac:dyDescent="0.25" r="9594" customHeight="1" ht="18.75">
      <c r="A9594" s="1" t="s">
        <v>7833</v>
      </c>
      <c r="B9594" s="1" t="s">
        <v>14486</v>
      </c>
      <c r="C9594" s="1" t="s">
        <v>3619</v>
      </c>
      <c r="D9594" s="1" t="s">
        <v>3601</v>
      </c>
      <c r="E9594" s="1" t="s">
        <v>3981</v>
      </c>
      <c r="F9594" s="1" t="s">
        <v>31750</v>
      </c>
      <c r="G9594" s="1" t="s">
        <v>14650</v>
      </c>
      <c r="H9594" s="1" t="s">
        <v>3604</v>
      </c>
      <c r="I9594" s="1" t="s">
        <v>31751</v>
      </c>
      <c r="J9594" s="1" t="s">
        <v>3615</v>
      </c>
      <c r="K9594" s="1" t="s">
        <v>16380</v>
      </c>
      <c r="L9594" s="1"/>
      <c r="M9594" s="1"/>
    </row>
    <row x14ac:dyDescent="0.25" r="9595" customHeight="1" ht="18.75">
      <c r="A9595" s="1" t="s">
        <v>3598</v>
      </c>
      <c r="B9595" s="1" t="s">
        <v>3663</v>
      </c>
      <c r="C9595" s="1" t="s">
        <v>3600</v>
      </c>
      <c r="D9595" s="1" t="s">
        <v>28428</v>
      </c>
      <c r="E9595" s="1" t="s">
        <v>3664</v>
      </c>
      <c r="F9595" s="1" t="s">
        <v>31752</v>
      </c>
      <c r="G9595" s="1" t="s">
        <v>8349</v>
      </c>
      <c r="H9595" s="1" t="s">
        <v>3604</v>
      </c>
      <c r="I9595" s="1" t="s">
        <v>31753</v>
      </c>
      <c r="J9595" s="1" t="s">
        <v>3615</v>
      </c>
      <c r="K9595" s="1" t="s">
        <v>31754</v>
      </c>
      <c r="L9595" s="1"/>
      <c r="M9595" s="1"/>
    </row>
    <row x14ac:dyDescent="0.25" r="9596" customHeight="1" ht="18.75">
      <c r="A9596" s="1" t="s">
        <v>3693</v>
      </c>
      <c r="B9596" s="1" t="s">
        <v>4181</v>
      </c>
      <c r="C9596" s="1" t="s">
        <v>3619</v>
      </c>
      <c r="D9596" s="1" t="s">
        <v>31579</v>
      </c>
      <c r="E9596" s="1" t="s">
        <v>3664</v>
      </c>
      <c r="F9596" s="1" t="s">
        <v>31755</v>
      </c>
      <c r="G9596" s="1" t="s">
        <v>9565</v>
      </c>
      <c r="H9596" s="1" t="s">
        <v>3604</v>
      </c>
      <c r="I9596" s="1" t="s">
        <v>31756</v>
      </c>
      <c r="J9596" s="1" t="s">
        <v>3615</v>
      </c>
      <c r="K9596" s="1" t="s">
        <v>31757</v>
      </c>
      <c r="L9596" s="1"/>
      <c r="M9596" s="1"/>
    </row>
    <row x14ac:dyDescent="0.25" r="9597" customHeight="1" ht="18.75">
      <c r="A9597" s="1" t="s">
        <v>3598</v>
      </c>
      <c r="B9597" s="1" t="s">
        <v>8191</v>
      </c>
      <c r="C9597" s="1" t="s">
        <v>3600</v>
      </c>
      <c r="D9597" s="1" t="s">
        <v>3601</v>
      </c>
      <c r="E9597" s="1" t="s">
        <v>3611</v>
      </c>
      <c r="F9597" s="1" t="s">
        <v>31758</v>
      </c>
      <c r="G9597" s="1" t="s">
        <v>20591</v>
      </c>
      <c r="H9597" s="1" t="s">
        <v>3604</v>
      </c>
      <c r="I9597" s="1" t="s">
        <v>31759</v>
      </c>
      <c r="J9597" s="1" t="s">
        <v>3615</v>
      </c>
      <c r="K9597" s="1" t="s">
        <v>31760</v>
      </c>
      <c r="L9597" s="1"/>
      <c r="M9597" s="1"/>
    </row>
    <row x14ac:dyDescent="0.25" r="9598" customHeight="1" ht="18.75">
      <c r="A9598" s="1" t="s">
        <v>3693</v>
      </c>
      <c r="B9598" s="1" t="s">
        <v>4181</v>
      </c>
      <c r="C9598" s="1" t="s">
        <v>3619</v>
      </c>
      <c r="D9598" s="1" t="s">
        <v>31579</v>
      </c>
      <c r="E9598" s="1" t="s">
        <v>3664</v>
      </c>
      <c r="F9598" s="1" t="s">
        <v>31761</v>
      </c>
      <c r="G9598" s="1" t="s">
        <v>9565</v>
      </c>
      <c r="H9598" s="1" t="s">
        <v>3604</v>
      </c>
      <c r="I9598" s="1" t="s">
        <v>31762</v>
      </c>
      <c r="J9598" s="1" t="s">
        <v>3615</v>
      </c>
      <c r="K9598" s="1" t="s">
        <v>31757</v>
      </c>
      <c r="L9598" s="1"/>
      <c r="M9598" s="1"/>
    </row>
    <row x14ac:dyDescent="0.25" r="9599" customHeight="1" ht="18.75">
      <c r="A9599" s="1" t="s">
        <v>7833</v>
      </c>
      <c r="B9599" s="1" t="s">
        <v>15046</v>
      </c>
      <c r="C9599" s="1" t="s">
        <v>4488</v>
      </c>
      <c r="D9599" s="1" t="s">
        <v>3601</v>
      </c>
      <c r="E9599" s="1" t="s">
        <v>3664</v>
      </c>
      <c r="F9599" s="1" t="s">
        <v>24237</v>
      </c>
      <c r="G9599" s="1" t="s">
        <v>15047</v>
      </c>
      <c r="H9599" s="1" t="s">
        <v>3604</v>
      </c>
      <c r="I9599" s="1" t="s">
        <v>31763</v>
      </c>
      <c r="J9599" s="1" t="s">
        <v>3615</v>
      </c>
      <c r="K9599" s="1" t="s">
        <v>14269</v>
      </c>
      <c r="L9599" s="1"/>
      <c r="M9599" s="1"/>
    </row>
    <row x14ac:dyDescent="0.25" r="9600" customHeight="1" ht="18.75">
      <c r="A9600" s="1" t="s">
        <v>3693</v>
      </c>
      <c r="B9600" s="1" t="s">
        <v>4181</v>
      </c>
      <c r="C9600" s="1" t="s">
        <v>3619</v>
      </c>
      <c r="D9600" s="1" t="s">
        <v>31579</v>
      </c>
      <c r="E9600" s="1" t="s">
        <v>3664</v>
      </c>
      <c r="F9600" s="1" t="s">
        <v>31764</v>
      </c>
      <c r="G9600" s="1" t="s">
        <v>9565</v>
      </c>
      <c r="H9600" s="1" t="s">
        <v>3604</v>
      </c>
      <c r="I9600" s="1" t="s">
        <v>31765</v>
      </c>
      <c r="J9600" s="1" t="s">
        <v>3615</v>
      </c>
      <c r="K9600" s="1" t="s">
        <v>31766</v>
      </c>
      <c r="L9600" s="1"/>
      <c r="M9600" s="1"/>
    </row>
    <row x14ac:dyDescent="0.25" r="9601" customHeight="1" ht="18.75">
      <c r="A9601" s="1" t="s">
        <v>3598</v>
      </c>
      <c r="B9601" s="1" t="s">
        <v>9449</v>
      </c>
      <c r="C9601" s="1" t="s">
        <v>3600</v>
      </c>
      <c r="D9601" s="1" t="s">
        <v>28428</v>
      </c>
      <c r="E9601" s="1" t="s">
        <v>3664</v>
      </c>
      <c r="F9601" s="1" t="s">
        <v>31767</v>
      </c>
      <c r="G9601" s="1" t="s">
        <v>22422</v>
      </c>
      <c r="H9601" s="1" t="s">
        <v>3604</v>
      </c>
      <c r="I9601" s="1" t="s">
        <v>31768</v>
      </c>
      <c r="J9601" s="1" t="s">
        <v>3615</v>
      </c>
      <c r="K9601" s="1" t="s">
        <v>31769</v>
      </c>
      <c r="L9601" s="1"/>
      <c r="M9601" s="1"/>
    </row>
    <row x14ac:dyDescent="0.25" r="9602" customHeight="1" ht="18.75">
      <c r="A9602" s="1" t="s">
        <v>3693</v>
      </c>
      <c r="B9602" s="1" t="s">
        <v>4181</v>
      </c>
      <c r="C9602" s="1" t="s">
        <v>3619</v>
      </c>
      <c r="D9602" s="1" t="s">
        <v>31579</v>
      </c>
      <c r="E9602" s="1" t="s">
        <v>3664</v>
      </c>
      <c r="F9602" s="1" t="s">
        <v>31770</v>
      </c>
      <c r="G9602" s="1" t="s">
        <v>9565</v>
      </c>
      <c r="H9602" s="1" t="s">
        <v>3604</v>
      </c>
      <c r="I9602" s="1" t="s">
        <v>31771</v>
      </c>
      <c r="J9602" s="1" t="s">
        <v>3615</v>
      </c>
      <c r="K9602" s="1" t="s">
        <v>31772</v>
      </c>
      <c r="L9602" s="1"/>
      <c r="M9602" s="1"/>
    </row>
    <row x14ac:dyDescent="0.25" r="9603" customHeight="1" ht="18.75">
      <c r="A9603" s="1" t="s">
        <v>3598</v>
      </c>
      <c r="B9603" s="1" t="s">
        <v>8191</v>
      </c>
      <c r="C9603" s="1" t="s">
        <v>3600</v>
      </c>
      <c r="D9603" s="1" t="s">
        <v>3601</v>
      </c>
      <c r="E9603" s="1" t="s">
        <v>3611</v>
      </c>
      <c r="F9603" s="1" t="s">
        <v>31773</v>
      </c>
      <c r="G9603" s="1" t="s">
        <v>20591</v>
      </c>
      <c r="H9603" s="1" t="s">
        <v>3604</v>
      </c>
      <c r="I9603" s="1" t="s">
        <v>31774</v>
      </c>
      <c r="J9603" s="1" t="s">
        <v>3615</v>
      </c>
      <c r="K9603" s="1" t="s">
        <v>31775</v>
      </c>
      <c r="L9603" s="1"/>
      <c r="M9603" s="1"/>
    </row>
    <row x14ac:dyDescent="0.25" r="9604" customHeight="1" ht="18.75">
      <c r="A9604" s="1" t="s">
        <v>3693</v>
      </c>
      <c r="B9604" s="1" t="s">
        <v>4181</v>
      </c>
      <c r="C9604" s="1" t="s">
        <v>3619</v>
      </c>
      <c r="D9604" s="1" t="s">
        <v>31579</v>
      </c>
      <c r="E9604" s="1" t="s">
        <v>3664</v>
      </c>
      <c r="F9604" s="1" t="s">
        <v>31776</v>
      </c>
      <c r="G9604" s="1" t="s">
        <v>9565</v>
      </c>
      <c r="H9604" s="1" t="s">
        <v>3604</v>
      </c>
      <c r="I9604" s="1" t="s">
        <v>31777</v>
      </c>
      <c r="J9604" s="1" t="s">
        <v>3615</v>
      </c>
      <c r="K9604" s="1" t="s">
        <v>31757</v>
      </c>
      <c r="L9604" s="1"/>
      <c r="M9604" s="1"/>
    </row>
    <row x14ac:dyDescent="0.25" r="9605" customHeight="1" ht="18.75">
      <c r="A9605" s="1" t="s">
        <v>3693</v>
      </c>
      <c r="B9605" s="1" t="s">
        <v>6330</v>
      </c>
      <c r="C9605" s="1" t="s">
        <v>3619</v>
      </c>
      <c r="D9605" s="1" t="s">
        <v>31579</v>
      </c>
      <c r="E9605" s="1" t="s">
        <v>3664</v>
      </c>
      <c r="F9605" s="1" t="s">
        <v>31778</v>
      </c>
      <c r="G9605" s="1" t="s">
        <v>9552</v>
      </c>
      <c r="H9605" s="1" t="s">
        <v>3604</v>
      </c>
      <c r="I9605" s="1" t="s">
        <v>31779</v>
      </c>
      <c r="J9605" s="1" t="s">
        <v>3615</v>
      </c>
      <c r="K9605" s="1" t="s">
        <v>31780</v>
      </c>
      <c r="L9605" s="1"/>
      <c r="M9605" s="1"/>
    </row>
    <row x14ac:dyDescent="0.25" r="9606" customHeight="1" ht="18.75">
      <c r="A9606" s="1" t="s">
        <v>3598</v>
      </c>
      <c r="B9606" s="1" t="s">
        <v>9449</v>
      </c>
      <c r="C9606" s="1" t="s">
        <v>3600</v>
      </c>
      <c r="D9606" s="1" t="s">
        <v>28428</v>
      </c>
      <c r="E9606" s="1" t="s">
        <v>3664</v>
      </c>
      <c r="F9606" s="1" t="s">
        <v>31781</v>
      </c>
      <c r="G9606" s="1" t="s">
        <v>22426</v>
      </c>
      <c r="H9606" s="1" t="s">
        <v>3604</v>
      </c>
      <c r="I9606" s="1" t="s">
        <v>31782</v>
      </c>
      <c r="J9606" s="1" t="s">
        <v>3615</v>
      </c>
      <c r="K9606" s="1" t="s">
        <v>31783</v>
      </c>
      <c r="L9606" s="1"/>
      <c r="M9606" s="1"/>
    </row>
    <row x14ac:dyDescent="0.25" r="9607" customHeight="1" ht="18.75">
      <c r="A9607" s="1" t="s">
        <v>3598</v>
      </c>
      <c r="B9607" s="1" t="s">
        <v>8191</v>
      </c>
      <c r="C9607" s="1" t="s">
        <v>3600</v>
      </c>
      <c r="D9607" s="1" t="s">
        <v>3601</v>
      </c>
      <c r="E9607" s="1" t="s">
        <v>3611</v>
      </c>
      <c r="F9607" s="1" t="s">
        <v>31784</v>
      </c>
      <c r="G9607" s="1" t="s">
        <v>20591</v>
      </c>
      <c r="H9607" s="1" t="s">
        <v>3604</v>
      </c>
      <c r="I9607" s="1" t="s">
        <v>31785</v>
      </c>
      <c r="J9607" s="1" t="s">
        <v>3615</v>
      </c>
      <c r="K9607" s="1" t="s">
        <v>31786</v>
      </c>
      <c r="L9607" s="1"/>
      <c r="M9607" s="1"/>
    </row>
    <row x14ac:dyDescent="0.25" r="9608" customHeight="1" ht="18.75">
      <c r="A9608" s="1" t="s">
        <v>3693</v>
      </c>
      <c r="B9608" s="1" t="s">
        <v>5797</v>
      </c>
      <c r="C9608" s="1" t="s">
        <v>3619</v>
      </c>
      <c r="D9608" s="1" t="s">
        <v>31579</v>
      </c>
      <c r="E9608" s="1" t="s">
        <v>3664</v>
      </c>
      <c r="F9608" s="1" t="s">
        <v>31787</v>
      </c>
      <c r="G9608" s="1" t="s">
        <v>31696</v>
      </c>
      <c r="H9608" s="1" t="s">
        <v>3604</v>
      </c>
      <c r="I9608" s="1" t="s">
        <v>31788</v>
      </c>
      <c r="J9608" s="1" t="s">
        <v>3615</v>
      </c>
      <c r="K9608" s="1" t="s">
        <v>31789</v>
      </c>
      <c r="L9608" s="1"/>
      <c r="M9608" s="1"/>
    </row>
    <row x14ac:dyDescent="0.25" r="9609" customHeight="1" ht="18.75">
      <c r="A9609" s="1" t="s">
        <v>3693</v>
      </c>
      <c r="B9609" s="1" t="s">
        <v>5797</v>
      </c>
      <c r="C9609" s="1" t="s">
        <v>3619</v>
      </c>
      <c r="D9609" s="1" t="s">
        <v>31579</v>
      </c>
      <c r="E9609" s="1" t="s">
        <v>3664</v>
      </c>
      <c r="F9609" s="1" t="s">
        <v>31790</v>
      </c>
      <c r="G9609" s="1" t="s">
        <v>31696</v>
      </c>
      <c r="H9609" s="1" t="s">
        <v>3604</v>
      </c>
      <c r="I9609" s="1" t="s">
        <v>31791</v>
      </c>
      <c r="J9609" s="1" t="s">
        <v>3615</v>
      </c>
      <c r="K9609" s="1" t="s">
        <v>31792</v>
      </c>
      <c r="L9609" s="1"/>
      <c r="M9609" s="1"/>
    </row>
    <row x14ac:dyDescent="0.25" r="9610" customHeight="1" ht="18.75">
      <c r="A9610" s="1" t="s">
        <v>3598</v>
      </c>
      <c r="B9610" s="1" t="s">
        <v>18092</v>
      </c>
      <c r="C9610" s="1" t="s">
        <v>3600</v>
      </c>
      <c r="D9610" s="1" t="s">
        <v>28428</v>
      </c>
      <c r="E9610" s="1" t="s">
        <v>3664</v>
      </c>
      <c r="F9610" s="1" t="s">
        <v>31793</v>
      </c>
      <c r="G9610" s="1" t="s">
        <v>22422</v>
      </c>
      <c r="H9610" s="1" t="s">
        <v>3604</v>
      </c>
      <c r="I9610" s="1" t="s">
        <v>31794</v>
      </c>
      <c r="J9610" s="1" t="s">
        <v>3615</v>
      </c>
      <c r="K9610" s="1" t="s">
        <v>31795</v>
      </c>
      <c r="L9610" s="1"/>
      <c r="M9610" s="1"/>
    </row>
    <row x14ac:dyDescent="0.25" r="9611" customHeight="1" ht="18.75">
      <c r="A9611" s="1" t="s">
        <v>3598</v>
      </c>
      <c r="B9611" s="1" t="s">
        <v>8191</v>
      </c>
      <c r="C9611" s="1" t="s">
        <v>3600</v>
      </c>
      <c r="D9611" s="1" t="s">
        <v>3601</v>
      </c>
      <c r="E9611" s="1" t="s">
        <v>3611</v>
      </c>
      <c r="F9611" s="1" t="s">
        <v>31796</v>
      </c>
      <c r="G9611" s="1" t="s">
        <v>20591</v>
      </c>
      <c r="H9611" s="1" t="s">
        <v>3604</v>
      </c>
      <c r="I9611" s="1" t="s">
        <v>31797</v>
      </c>
      <c r="J9611" s="1" t="s">
        <v>3615</v>
      </c>
      <c r="K9611" s="1" t="s">
        <v>31798</v>
      </c>
      <c r="L9611" s="1"/>
      <c r="M9611" s="1"/>
    </row>
    <row x14ac:dyDescent="0.25" r="9612" customHeight="1" ht="18.75">
      <c r="A9612" s="1" t="s">
        <v>3693</v>
      </c>
      <c r="B9612" s="1" t="s">
        <v>5797</v>
      </c>
      <c r="C9612" s="1" t="s">
        <v>3619</v>
      </c>
      <c r="D9612" s="1" t="s">
        <v>31579</v>
      </c>
      <c r="E9612" s="1" t="s">
        <v>3664</v>
      </c>
      <c r="F9612" s="1" t="s">
        <v>31799</v>
      </c>
      <c r="G9612" s="1" t="s">
        <v>31696</v>
      </c>
      <c r="H9612" s="1" t="s">
        <v>3604</v>
      </c>
      <c r="I9612" s="1" t="s">
        <v>31800</v>
      </c>
      <c r="J9612" s="1" t="s">
        <v>3615</v>
      </c>
      <c r="K9612" s="1" t="s">
        <v>31792</v>
      </c>
      <c r="L9612" s="1"/>
      <c r="M9612" s="1"/>
    </row>
    <row x14ac:dyDescent="0.25" r="9613" customHeight="1" ht="18.75">
      <c r="A9613" s="1" t="s">
        <v>3693</v>
      </c>
      <c r="B9613" s="1" t="s">
        <v>3720</v>
      </c>
      <c r="C9613" s="1" t="s">
        <v>3619</v>
      </c>
      <c r="D9613" s="1" t="s">
        <v>31579</v>
      </c>
      <c r="E9613" s="1" t="s">
        <v>3664</v>
      </c>
      <c r="F9613" s="1" t="s">
        <v>31801</v>
      </c>
      <c r="G9613" s="1" t="s">
        <v>5815</v>
      </c>
      <c r="H9613" s="1" t="s">
        <v>3604</v>
      </c>
      <c r="I9613" s="1" t="s">
        <v>31802</v>
      </c>
      <c r="J9613" s="1" t="s">
        <v>3615</v>
      </c>
      <c r="K9613" s="1" t="s">
        <v>31803</v>
      </c>
      <c r="L9613" s="1"/>
      <c r="M9613" s="1"/>
    </row>
    <row x14ac:dyDescent="0.25" r="9614" customHeight="1" ht="18.75">
      <c r="A9614" s="1" t="s">
        <v>3693</v>
      </c>
      <c r="B9614" s="1" t="s">
        <v>3720</v>
      </c>
      <c r="C9614" s="1" t="s">
        <v>3619</v>
      </c>
      <c r="D9614" s="1" t="s">
        <v>31579</v>
      </c>
      <c r="E9614" s="1" t="s">
        <v>3664</v>
      </c>
      <c r="F9614" s="1" t="s">
        <v>31804</v>
      </c>
      <c r="G9614" s="1" t="s">
        <v>5815</v>
      </c>
      <c r="H9614" s="1" t="s">
        <v>3604</v>
      </c>
      <c r="I9614" s="1" t="s">
        <v>31805</v>
      </c>
      <c r="J9614" s="1" t="s">
        <v>3615</v>
      </c>
      <c r="K9614" s="1" t="s">
        <v>31806</v>
      </c>
      <c r="L9614" s="1"/>
      <c r="M9614" s="1"/>
    </row>
    <row x14ac:dyDescent="0.25" r="9615" customHeight="1" ht="18.75">
      <c r="A9615" s="1" t="s">
        <v>3598</v>
      </c>
      <c r="B9615" s="1" t="s">
        <v>8191</v>
      </c>
      <c r="C9615" s="1" t="s">
        <v>3600</v>
      </c>
      <c r="D9615" s="1" t="s">
        <v>3601</v>
      </c>
      <c r="E9615" s="1" t="s">
        <v>3611</v>
      </c>
      <c r="F9615" s="1" t="s">
        <v>31807</v>
      </c>
      <c r="G9615" s="1" t="s">
        <v>20591</v>
      </c>
      <c r="H9615" s="1" t="s">
        <v>3604</v>
      </c>
      <c r="I9615" s="1" t="s">
        <v>31808</v>
      </c>
      <c r="J9615" s="1" t="s">
        <v>3615</v>
      </c>
      <c r="K9615" s="1" t="s">
        <v>31809</v>
      </c>
      <c r="L9615" s="1"/>
      <c r="M9615" s="1"/>
    </row>
    <row x14ac:dyDescent="0.25" r="9616" customHeight="1" ht="18.75">
      <c r="A9616" s="1" t="s">
        <v>3598</v>
      </c>
      <c r="B9616" s="1" t="s">
        <v>18092</v>
      </c>
      <c r="C9616" s="1" t="s">
        <v>3600</v>
      </c>
      <c r="D9616" s="1" t="s">
        <v>28428</v>
      </c>
      <c r="E9616" s="1" t="s">
        <v>3664</v>
      </c>
      <c r="F9616" s="1" t="s">
        <v>31810</v>
      </c>
      <c r="G9616" s="1" t="s">
        <v>22426</v>
      </c>
      <c r="H9616" s="1" t="s">
        <v>3604</v>
      </c>
      <c r="I9616" s="1" t="s">
        <v>31811</v>
      </c>
      <c r="J9616" s="1" t="s">
        <v>3615</v>
      </c>
      <c r="K9616" s="1" t="s">
        <v>31812</v>
      </c>
      <c r="L9616" s="1"/>
      <c r="M9616" s="1"/>
    </row>
    <row x14ac:dyDescent="0.25" r="9617" customHeight="1" ht="18.75">
      <c r="A9617" s="1" t="s">
        <v>3693</v>
      </c>
      <c r="B9617" s="1" t="s">
        <v>3720</v>
      </c>
      <c r="C9617" s="1" t="s">
        <v>3619</v>
      </c>
      <c r="D9617" s="1" t="s">
        <v>31579</v>
      </c>
      <c r="E9617" s="1" t="s">
        <v>3664</v>
      </c>
      <c r="F9617" s="1" t="s">
        <v>31813</v>
      </c>
      <c r="G9617" s="1" t="s">
        <v>5815</v>
      </c>
      <c r="H9617" s="1" t="s">
        <v>3604</v>
      </c>
      <c r="I9617" s="1" t="s">
        <v>31814</v>
      </c>
      <c r="J9617" s="1" t="s">
        <v>3615</v>
      </c>
      <c r="K9617" s="1" t="s">
        <v>31815</v>
      </c>
      <c r="L9617" s="1"/>
      <c r="M9617" s="1"/>
    </row>
    <row x14ac:dyDescent="0.25" r="9618" customHeight="1" ht="18.75">
      <c r="A9618" s="1" t="s">
        <v>3693</v>
      </c>
      <c r="B9618" s="1" t="s">
        <v>3720</v>
      </c>
      <c r="C9618" s="1" t="s">
        <v>3619</v>
      </c>
      <c r="D9618" s="1" t="s">
        <v>31579</v>
      </c>
      <c r="E9618" s="1" t="s">
        <v>3664</v>
      </c>
      <c r="F9618" s="1" t="s">
        <v>31816</v>
      </c>
      <c r="G9618" s="1" t="s">
        <v>5815</v>
      </c>
      <c r="H9618" s="1" t="s">
        <v>3604</v>
      </c>
      <c r="I9618" s="1" t="s">
        <v>31817</v>
      </c>
      <c r="J9618" s="1" t="s">
        <v>3615</v>
      </c>
      <c r="K9618" s="1" t="s">
        <v>31803</v>
      </c>
      <c r="L9618" s="1"/>
      <c r="M9618" s="1"/>
    </row>
    <row x14ac:dyDescent="0.25" r="9619" customHeight="1" ht="18.75">
      <c r="A9619" s="1" t="s">
        <v>3598</v>
      </c>
      <c r="B9619" s="1" t="s">
        <v>8191</v>
      </c>
      <c r="C9619" s="1" t="s">
        <v>3600</v>
      </c>
      <c r="D9619" s="1" t="s">
        <v>3601</v>
      </c>
      <c r="E9619" s="1" t="s">
        <v>3611</v>
      </c>
      <c r="F9619" s="1" t="s">
        <v>31818</v>
      </c>
      <c r="G9619" s="1" t="s">
        <v>20591</v>
      </c>
      <c r="H9619" s="1" t="s">
        <v>3604</v>
      </c>
      <c r="I9619" s="1" t="s">
        <v>31819</v>
      </c>
      <c r="J9619" s="1" t="s">
        <v>3615</v>
      </c>
      <c r="K9619" s="1" t="s">
        <v>31820</v>
      </c>
      <c r="L9619" s="1"/>
      <c r="M9619" s="1"/>
    </row>
    <row x14ac:dyDescent="0.25" r="9620" customHeight="1" ht="18.75">
      <c r="A9620" s="1" t="s">
        <v>3693</v>
      </c>
      <c r="B9620" s="1" t="s">
        <v>3720</v>
      </c>
      <c r="C9620" s="1" t="s">
        <v>3619</v>
      </c>
      <c r="D9620" s="1" t="s">
        <v>31579</v>
      </c>
      <c r="E9620" s="1" t="s">
        <v>3664</v>
      </c>
      <c r="F9620" s="1" t="s">
        <v>31821</v>
      </c>
      <c r="G9620" s="1" t="s">
        <v>5815</v>
      </c>
      <c r="H9620" s="1" t="s">
        <v>3604</v>
      </c>
      <c r="I9620" s="1" t="s">
        <v>31822</v>
      </c>
      <c r="J9620" s="1" t="s">
        <v>3615</v>
      </c>
      <c r="K9620" s="1" t="s">
        <v>31803</v>
      </c>
      <c r="L9620" s="1"/>
      <c r="M9620" s="1"/>
    </row>
    <row x14ac:dyDescent="0.25" r="9621" customHeight="1" ht="18.75">
      <c r="A9621" s="1" t="s">
        <v>3693</v>
      </c>
      <c r="B9621" s="1" t="s">
        <v>6216</v>
      </c>
      <c r="C9621" s="1" t="s">
        <v>3619</v>
      </c>
      <c r="D9621" s="1" t="s">
        <v>31579</v>
      </c>
      <c r="E9621" s="1" t="s">
        <v>3664</v>
      </c>
      <c r="F9621" s="1" t="s">
        <v>31823</v>
      </c>
      <c r="G9621" s="1" t="s">
        <v>20744</v>
      </c>
      <c r="H9621" s="1" t="s">
        <v>3604</v>
      </c>
      <c r="I9621" s="1" t="s">
        <v>31824</v>
      </c>
      <c r="J9621" s="1" t="s">
        <v>3615</v>
      </c>
      <c r="K9621" s="1" t="s">
        <v>31825</v>
      </c>
      <c r="L9621" s="1"/>
      <c r="M9621" s="1"/>
    </row>
    <row x14ac:dyDescent="0.25" r="9622" customHeight="1" ht="18.75">
      <c r="A9622" s="1" t="s">
        <v>3693</v>
      </c>
      <c r="B9622" s="1" t="s">
        <v>4257</v>
      </c>
      <c r="C9622" s="1" t="s">
        <v>3619</v>
      </c>
      <c r="D9622" s="1" t="s">
        <v>31579</v>
      </c>
      <c r="E9622" s="1" t="s">
        <v>3664</v>
      </c>
      <c r="F9622" s="1" t="s">
        <v>31826</v>
      </c>
      <c r="G9622" s="1" t="s">
        <v>31827</v>
      </c>
      <c r="H9622" s="1" t="s">
        <v>3604</v>
      </c>
      <c r="I9622" s="1" t="s">
        <v>31828</v>
      </c>
      <c r="J9622" s="1" t="s">
        <v>3615</v>
      </c>
      <c r="K9622" s="1" t="s">
        <v>31829</v>
      </c>
      <c r="L9622" s="1"/>
      <c r="M9622" s="1"/>
    </row>
    <row x14ac:dyDescent="0.25" r="9623" customHeight="1" ht="18.75">
      <c r="A9623" s="1" t="s">
        <v>3598</v>
      </c>
      <c r="B9623" s="1" t="s">
        <v>8191</v>
      </c>
      <c r="C9623" s="1" t="s">
        <v>3600</v>
      </c>
      <c r="D9623" s="1" t="s">
        <v>3601</v>
      </c>
      <c r="E9623" s="1" t="s">
        <v>3611</v>
      </c>
      <c r="F9623" s="1" t="s">
        <v>31830</v>
      </c>
      <c r="G9623" s="1" t="s">
        <v>20591</v>
      </c>
      <c r="H9623" s="1" t="s">
        <v>3604</v>
      </c>
      <c r="I9623" s="1" t="s">
        <v>31831</v>
      </c>
      <c r="J9623" s="1" t="s">
        <v>3615</v>
      </c>
      <c r="K9623" s="1" t="s">
        <v>31832</v>
      </c>
      <c r="L9623" s="1"/>
      <c r="M9623" s="1"/>
    </row>
    <row x14ac:dyDescent="0.25" r="9624" customHeight="1" ht="18.75">
      <c r="A9624" s="1" t="s">
        <v>3598</v>
      </c>
      <c r="B9624" s="1" t="s">
        <v>8191</v>
      </c>
      <c r="C9624" s="1" t="s">
        <v>3600</v>
      </c>
      <c r="D9624" s="1" t="s">
        <v>3601</v>
      </c>
      <c r="E9624" s="1" t="s">
        <v>3611</v>
      </c>
      <c r="F9624" s="1" t="s">
        <v>31833</v>
      </c>
      <c r="G9624" s="1" t="s">
        <v>20591</v>
      </c>
      <c r="H9624" s="1" t="s">
        <v>3604</v>
      </c>
      <c r="I9624" s="1" t="s">
        <v>31834</v>
      </c>
      <c r="J9624" s="1" t="s">
        <v>3615</v>
      </c>
      <c r="K9624" s="1" t="s">
        <v>31835</v>
      </c>
      <c r="L9624" s="1"/>
      <c r="M9624" s="1"/>
    </row>
    <row x14ac:dyDescent="0.25" r="9625" customHeight="1" ht="18.75">
      <c r="A9625" s="1" t="s">
        <v>3598</v>
      </c>
      <c r="B9625" s="1" t="s">
        <v>4781</v>
      </c>
      <c r="C9625" s="1" t="s">
        <v>3600</v>
      </c>
      <c r="D9625" s="1" t="s">
        <v>28428</v>
      </c>
      <c r="E9625" s="1" t="s">
        <v>3664</v>
      </c>
      <c r="F9625" s="1" t="s">
        <v>31836</v>
      </c>
      <c r="G9625" s="1" t="s">
        <v>18482</v>
      </c>
      <c r="H9625" s="1" t="s">
        <v>3604</v>
      </c>
      <c r="I9625" s="1" t="s">
        <v>31837</v>
      </c>
      <c r="J9625" s="1" t="s">
        <v>3615</v>
      </c>
      <c r="K9625" s="1" t="s">
        <v>31838</v>
      </c>
      <c r="L9625" s="1"/>
      <c r="M9625" s="1"/>
    </row>
    <row x14ac:dyDescent="0.25" r="9626" customHeight="1" ht="18.75">
      <c r="A9626" s="1" t="s">
        <v>3598</v>
      </c>
      <c r="B9626" s="1" t="s">
        <v>8191</v>
      </c>
      <c r="C9626" s="1" t="s">
        <v>3600</v>
      </c>
      <c r="D9626" s="1" t="s">
        <v>3601</v>
      </c>
      <c r="E9626" s="1" t="s">
        <v>3611</v>
      </c>
      <c r="F9626" s="1" t="s">
        <v>31839</v>
      </c>
      <c r="G9626" s="1" t="s">
        <v>20591</v>
      </c>
      <c r="H9626" s="1" t="s">
        <v>3604</v>
      </c>
      <c r="I9626" s="1" t="s">
        <v>31840</v>
      </c>
      <c r="J9626" s="1" t="s">
        <v>3615</v>
      </c>
      <c r="K9626" s="1" t="s">
        <v>31841</v>
      </c>
      <c r="L9626" s="1"/>
      <c r="M9626" s="1"/>
    </row>
    <row x14ac:dyDescent="0.25" r="9627" customHeight="1" ht="18.75">
      <c r="A9627" s="1" t="s">
        <v>3598</v>
      </c>
      <c r="B9627" s="1" t="s">
        <v>4781</v>
      </c>
      <c r="C9627" s="1" t="s">
        <v>3600</v>
      </c>
      <c r="D9627" s="1" t="s">
        <v>28428</v>
      </c>
      <c r="E9627" s="1" t="s">
        <v>3664</v>
      </c>
      <c r="F9627" s="1" t="s">
        <v>31842</v>
      </c>
      <c r="G9627" s="1" t="s">
        <v>16117</v>
      </c>
      <c r="H9627" s="1" t="s">
        <v>3604</v>
      </c>
      <c r="I9627" s="1" t="s">
        <v>31843</v>
      </c>
      <c r="J9627" s="1" t="s">
        <v>3615</v>
      </c>
      <c r="K9627" s="1" t="s">
        <v>31844</v>
      </c>
      <c r="L9627" s="1"/>
      <c r="M9627" s="1"/>
    </row>
    <row x14ac:dyDescent="0.25" r="9628" customHeight="1" ht="18.75">
      <c r="A9628" s="1" t="s">
        <v>3598</v>
      </c>
      <c r="B9628" s="1" t="s">
        <v>8191</v>
      </c>
      <c r="C9628" s="1" t="s">
        <v>3600</v>
      </c>
      <c r="D9628" s="1" t="s">
        <v>3601</v>
      </c>
      <c r="E9628" s="1" t="s">
        <v>3611</v>
      </c>
      <c r="F9628" s="1" t="s">
        <v>31845</v>
      </c>
      <c r="G9628" s="1" t="s">
        <v>20591</v>
      </c>
      <c r="H9628" s="1" t="s">
        <v>3604</v>
      </c>
      <c r="I9628" s="1" t="s">
        <v>31846</v>
      </c>
      <c r="J9628" s="1" t="s">
        <v>3615</v>
      </c>
      <c r="K9628" s="1" t="s">
        <v>31847</v>
      </c>
      <c r="L9628" s="1"/>
      <c r="M9628" s="1"/>
    </row>
    <row x14ac:dyDescent="0.25" r="9629" customHeight="1" ht="18.75">
      <c r="A9629" s="1" t="s">
        <v>3598</v>
      </c>
      <c r="B9629" s="1" t="s">
        <v>4781</v>
      </c>
      <c r="C9629" s="1" t="s">
        <v>3600</v>
      </c>
      <c r="D9629" s="1" t="s">
        <v>28428</v>
      </c>
      <c r="E9629" s="1" t="s">
        <v>3664</v>
      </c>
      <c r="F9629" s="1" t="s">
        <v>31848</v>
      </c>
      <c r="G9629" s="1" t="s">
        <v>4691</v>
      </c>
      <c r="H9629" s="1" t="s">
        <v>3604</v>
      </c>
      <c r="I9629" s="1" t="s">
        <v>31849</v>
      </c>
      <c r="J9629" s="1" t="s">
        <v>3615</v>
      </c>
      <c r="K9629" s="1" t="s">
        <v>31850</v>
      </c>
      <c r="L9629" s="1"/>
      <c r="M9629" s="1"/>
    </row>
    <row x14ac:dyDescent="0.25" r="9630" customHeight="1" ht="18.75">
      <c r="A9630" s="1" t="s">
        <v>7833</v>
      </c>
      <c r="B9630" s="1" t="s">
        <v>8204</v>
      </c>
      <c r="C9630" s="1" t="s">
        <v>4488</v>
      </c>
      <c r="D9630" s="1" t="s">
        <v>3601</v>
      </c>
      <c r="E9630" s="1" t="s">
        <v>3611</v>
      </c>
      <c r="F9630" s="1" t="s">
        <v>31851</v>
      </c>
      <c r="G9630" s="1" t="s">
        <v>14247</v>
      </c>
      <c r="H9630" s="1" t="s">
        <v>3604</v>
      </c>
      <c r="I9630" s="1" t="s">
        <v>31852</v>
      </c>
      <c r="J9630" s="1" t="s">
        <v>3606</v>
      </c>
      <c r="K9630" s="1" t="s">
        <v>31853</v>
      </c>
      <c r="L9630" s="1"/>
      <c r="M9630" s="1"/>
    </row>
    <row x14ac:dyDescent="0.25" r="9631" customHeight="1" ht="18.75">
      <c r="A9631" s="1" t="s">
        <v>3693</v>
      </c>
      <c r="B9631" s="1" t="s">
        <v>4257</v>
      </c>
      <c r="C9631" s="1" t="s">
        <v>3619</v>
      </c>
      <c r="D9631" s="1" t="s">
        <v>31579</v>
      </c>
      <c r="E9631" s="1" t="s">
        <v>3664</v>
      </c>
      <c r="F9631" s="1" t="s">
        <v>31854</v>
      </c>
      <c r="G9631" s="1" t="s">
        <v>31827</v>
      </c>
      <c r="H9631" s="1" t="s">
        <v>3604</v>
      </c>
      <c r="I9631" s="1" t="s">
        <v>31855</v>
      </c>
      <c r="J9631" s="1" t="s">
        <v>3615</v>
      </c>
      <c r="K9631" s="1" t="s">
        <v>31856</v>
      </c>
      <c r="L9631" s="1"/>
      <c r="M9631" s="1"/>
    </row>
    <row x14ac:dyDescent="0.25" r="9632" customHeight="1" ht="18.75">
      <c r="A9632" s="1" t="s">
        <v>3598</v>
      </c>
      <c r="B9632" s="1" t="s">
        <v>8191</v>
      </c>
      <c r="C9632" s="1" t="s">
        <v>3600</v>
      </c>
      <c r="D9632" s="1" t="s">
        <v>3601</v>
      </c>
      <c r="E9632" s="1" t="s">
        <v>3611</v>
      </c>
      <c r="F9632" s="1" t="s">
        <v>31857</v>
      </c>
      <c r="G9632" s="1" t="s">
        <v>20591</v>
      </c>
      <c r="H9632" s="1" t="s">
        <v>3604</v>
      </c>
      <c r="I9632" s="1" t="s">
        <v>31858</v>
      </c>
      <c r="J9632" s="1" t="s">
        <v>3615</v>
      </c>
      <c r="K9632" s="1" t="s">
        <v>31859</v>
      </c>
      <c r="L9632" s="1"/>
      <c r="M9632" s="1"/>
    </row>
    <row x14ac:dyDescent="0.25" r="9633" customHeight="1" ht="18.75">
      <c r="A9633" s="1" t="s">
        <v>3598</v>
      </c>
      <c r="B9633" s="1" t="s">
        <v>18092</v>
      </c>
      <c r="C9633" s="1" t="s">
        <v>3600</v>
      </c>
      <c r="D9633" s="1" t="s">
        <v>28428</v>
      </c>
      <c r="E9633" s="1" t="s">
        <v>3664</v>
      </c>
      <c r="F9633" s="1" t="s">
        <v>31860</v>
      </c>
      <c r="G9633" s="1" t="s">
        <v>22385</v>
      </c>
      <c r="H9633" s="1" t="s">
        <v>3604</v>
      </c>
      <c r="I9633" s="1" t="s">
        <v>31861</v>
      </c>
      <c r="J9633" s="1" t="s">
        <v>3615</v>
      </c>
      <c r="K9633" s="1" t="s">
        <v>31862</v>
      </c>
      <c r="L9633" s="1"/>
      <c r="M9633" s="1"/>
    </row>
    <row x14ac:dyDescent="0.25" r="9634" customHeight="1" ht="18.75">
      <c r="A9634" s="1" t="s">
        <v>3693</v>
      </c>
      <c r="B9634" s="1" t="s">
        <v>4225</v>
      </c>
      <c r="C9634" s="1" t="s">
        <v>3619</v>
      </c>
      <c r="D9634" s="1" t="s">
        <v>31579</v>
      </c>
      <c r="E9634" s="1" t="s">
        <v>3664</v>
      </c>
      <c r="F9634" s="1" t="s">
        <v>31863</v>
      </c>
      <c r="G9634" s="1" t="s">
        <v>31864</v>
      </c>
      <c r="H9634" s="1" t="s">
        <v>3604</v>
      </c>
      <c r="I9634" s="1" t="s">
        <v>31865</v>
      </c>
      <c r="J9634" s="1" t="s">
        <v>3615</v>
      </c>
      <c r="K9634" s="1" t="s">
        <v>31866</v>
      </c>
      <c r="L9634" s="1"/>
      <c r="M9634" s="1"/>
    </row>
    <row x14ac:dyDescent="0.25" r="9635" customHeight="1" ht="18.75">
      <c r="A9635" s="1" t="s">
        <v>7833</v>
      </c>
      <c r="B9635" s="1" t="s">
        <v>7834</v>
      </c>
      <c r="C9635" s="1" t="s">
        <v>4488</v>
      </c>
      <c r="D9635" s="1" t="s">
        <v>3601</v>
      </c>
      <c r="E9635" s="1" t="s">
        <v>8096</v>
      </c>
      <c r="F9635" s="1" t="s">
        <v>31867</v>
      </c>
      <c r="G9635" s="1" t="s">
        <v>24155</v>
      </c>
      <c r="H9635" s="1" t="s">
        <v>3604</v>
      </c>
      <c r="I9635" s="1" t="s">
        <v>31868</v>
      </c>
      <c r="J9635" s="1" t="s">
        <v>3615</v>
      </c>
      <c r="K9635" s="1" t="s">
        <v>14564</v>
      </c>
      <c r="L9635" s="1"/>
      <c r="M9635" s="1"/>
    </row>
    <row x14ac:dyDescent="0.25" r="9636" customHeight="1" ht="18.75">
      <c r="A9636" s="1" t="s">
        <v>3693</v>
      </c>
      <c r="B9636" s="1" t="s">
        <v>4257</v>
      </c>
      <c r="C9636" s="1" t="s">
        <v>3619</v>
      </c>
      <c r="D9636" s="1" t="s">
        <v>31579</v>
      </c>
      <c r="E9636" s="1" t="s">
        <v>3664</v>
      </c>
      <c r="F9636" s="1" t="s">
        <v>31869</v>
      </c>
      <c r="G9636" s="1" t="s">
        <v>9035</v>
      </c>
      <c r="H9636" s="1" t="s">
        <v>3604</v>
      </c>
      <c r="I9636" s="1" t="s">
        <v>31870</v>
      </c>
      <c r="J9636" s="1" t="s">
        <v>3615</v>
      </c>
      <c r="K9636" s="1" t="s">
        <v>31871</v>
      </c>
      <c r="L9636" s="1"/>
      <c r="M9636" s="1"/>
    </row>
    <row x14ac:dyDescent="0.25" r="9637" customHeight="1" ht="18.75">
      <c r="A9637" s="1" t="s">
        <v>3598</v>
      </c>
      <c r="B9637" s="1" t="s">
        <v>8191</v>
      </c>
      <c r="C9637" s="1" t="s">
        <v>3600</v>
      </c>
      <c r="D9637" s="1" t="s">
        <v>3601</v>
      </c>
      <c r="E9637" s="1" t="s">
        <v>3611</v>
      </c>
      <c r="F9637" s="1" t="s">
        <v>31872</v>
      </c>
      <c r="G9637" s="1" t="s">
        <v>20591</v>
      </c>
      <c r="H9637" s="1" t="s">
        <v>3604</v>
      </c>
      <c r="I9637" s="1" t="s">
        <v>31873</v>
      </c>
      <c r="J9637" s="1" t="s">
        <v>3615</v>
      </c>
      <c r="K9637" s="1" t="s">
        <v>31874</v>
      </c>
      <c r="L9637" s="1"/>
      <c r="M9637" s="1"/>
    </row>
    <row x14ac:dyDescent="0.25" r="9638" customHeight="1" ht="18.75">
      <c r="A9638" s="1" t="s">
        <v>3617</v>
      </c>
      <c r="B9638" s="1" t="s">
        <v>5570</v>
      </c>
      <c r="C9638" s="1" t="s">
        <v>3619</v>
      </c>
      <c r="D9638" s="1" t="s">
        <v>8373</v>
      </c>
      <c r="E9638" s="1" t="s">
        <v>3981</v>
      </c>
      <c r="F9638" s="1" t="s">
        <v>31875</v>
      </c>
      <c r="G9638" s="1" t="s">
        <v>25720</v>
      </c>
      <c r="H9638" s="1" t="s">
        <v>3604</v>
      </c>
      <c r="I9638" s="1" t="s">
        <v>31876</v>
      </c>
      <c r="J9638" s="1" t="s">
        <v>3606</v>
      </c>
      <c r="K9638" s="1" t="s">
        <v>31877</v>
      </c>
      <c r="L9638" s="1"/>
      <c r="M9638" s="1"/>
    </row>
    <row x14ac:dyDescent="0.25" r="9639" customHeight="1" ht="18.75">
      <c r="A9639" s="1" t="s">
        <v>3693</v>
      </c>
      <c r="B9639" s="1" t="s">
        <v>4257</v>
      </c>
      <c r="C9639" s="1" t="s">
        <v>3619</v>
      </c>
      <c r="D9639" s="1" t="s">
        <v>31579</v>
      </c>
      <c r="E9639" s="1" t="s">
        <v>3664</v>
      </c>
      <c r="F9639" s="1" t="s">
        <v>31878</v>
      </c>
      <c r="G9639" s="1" t="s">
        <v>9035</v>
      </c>
      <c r="H9639" s="1" t="s">
        <v>3604</v>
      </c>
      <c r="I9639" s="1" t="s">
        <v>31879</v>
      </c>
      <c r="J9639" s="1" t="s">
        <v>3615</v>
      </c>
      <c r="K9639" s="1" t="s">
        <v>31880</v>
      </c>
      <c r="L9639" s="1"/>
      <c r="M9639" s="1"/>
    </row>
    <row x14ac:dyDescent="0.25" r="9640" customHeight="1" ht="18.75">
      <c r="A9640" s="1" t="s">
        <v>3598</v>
      </c>
      <c r="B9640" s="1" t="s">
        <v>9025</v>
      </c>
      <c r="C9640" s="1" t="s">
        <v>3600</v>
      </c>
      <c r="D9640" s="1" t="s">
        <v>28428</v>
      </c>
      <c r="E9640" s="1" t="s">
        <v>3664</v>
      </c>
      <c r="F9640" s="1" t="s">
        <v>31881</v>
      </c>
      <c r="G9640" s="1" t="s">
        <v>30092</v>
      </c>
      <c r="H9640" s="1" t="s">
        <v>3604</v>
      </c>
      <c r="I9640" s="1" t="s">
        <v>31882</v>
      </c>
      <c r="J9640" s="1" t="s">
        <v>3615</v>
      </c>
      <c r="K9640" s="1" t="s">
        <v>31883</v>
      </c>
      <c r="L9640" s="1"/>
      <c r="M9640" s="1"/>
    </row>
    <row x14ac:dyDescent="0.25" r="9641" customHeight="1" ht="18.75">
      <c r="A9641" s="1" t="s">
        <v>3693</v>
      </c>
      <c r="B9641" s="1" t="s">
        <v>4125</v>
      </c>
      <c r="C9641" s="1" t="s">
        <v>3619</v>
      </c>
      <c r="D9641" s="1" t="s">
        <v>31579</v>
      </c>
      <c r="E9641" s="1" t="s">
        <v>3664</v>
      </c>
      <c r="F9641" s="1" t="s">
        <v>31884</v>
      </c>
      <c r="G9641" s="1" t="s">
        <v>27108</v>
      </c>
      <c r="H9641" s="1" t="s">
        <v>3604</v>
      </c>
      <c r="I9641" s="1" t="s">
        <v>31885</v>
      </c>
      <c r="J9641" s="1" t="s">
        <v>3615</v>
      </c>
      <c r="K9641" s="1" t="s">
        <v>31886</v>
      </c>
      <c r="L9641" s="1"/>
      <c r="M9641" s="1"/>
    </row>
    <row x14ac:dyDescent="0.25" r="9642" customHeight="1" ht="18.75">
      <c r="A9642" s="1" t="s">
        <v>7833</v>
      </c>
      <c r="B9642" s="1" t="s">
        <v>16395</v>
      </c>
      <c r="C9642" s="1" t="s">
        <v>4488</v>
      </c>
      <c r="D9642" s="1" t="s">
        <v>3601</v>
      </c>
      <c r="E9642" s="1" t="s">
        <v>3664</v>
      </c>
      <c r="F9642" s="1" t="s">
        <v>31887</v>
      </c>
      <c r="G9642" s="1" t="s">
        <v>16396</v>
      </c>
      <c r="H9642" s="1" t="s">
        <v>3604</v>
      </c>
      <c r="I9642" s="1" t="s">
        <v>31888</v>
      </c>
      <c r="J9642" s="1" t="s">
        <v>3615</v>
      </c>
      <c r="K9642" s="1" t="s">
        <v>14269</v>
      </c>
      <c r="L9642" s="1"/>
      <c r="M9642" s="1"/>
    </row>
    <row x14ac:dyDescent="0.25" r="9643" customHeight="1" ht="18.75">
      <c r="A9643" s="1" t="s">
        <v>3693</v>
      </c>
      <c r="B9643" s="1" t="s">
        <v>4181</v>
      </c>
      <c r="C9643" s="1" t="s">
        <v>3619</v>
      </c>
      <c r="D9643" s="1" t="s">
        <v>31579</v>
      </c>
      <c r="E9643" s="1" t="s">
        <v>3664</v>
      </c>
      <c r="F9643" s="1" t="s">
        <v>31889</v>
      </c>
      <c r="G9643" s="1" t="s">
        <v>20756</v>
      </c>
      <c r="H9643" s="1" t="s">
        <v>3604</v>
      </c>
      <c r="I9643" s="1" t="s">
        <v>31890</v>
      </c>
      <c r="J9643" s="1" t="s">
        <v>3615</v>
      </c>
      <c r="K9643" s="1" t="s">
        <v>31891</v>
      </c>
      <c r="L9643" s="1"/>
      <c r="M9643" s="1"/>
    </row>
    <row x14ac:dyDescent="0.25" r="9644" customHeight="1" ht="18.75">
      <c r="A9644" s="1" t="s">
        <v>3598</v>
      </c>
      <c r="B9644" s="1" t="s">
        <v>8191</v>
      </c>
      <c r="C9644" s="1" t="s">
        <v>3600</v>
      </c>
      <c r="D9644" s="1" t="s">
        <v>3601</v>
      </c>
      <c r="E9644" s="1" t="s">
        <v>3611</v>
      </c>
      <c r="F9644" s="1" t="s">
        <v>31892</v>
      </c>
      <c r="G9644" s="1" t="s">
        <v>20591</v>
      </c>
      <c r="H9644" s="1" t="s">
        <v>3604</v>
      </c>
      <c r="I9644" s="1" t="s">
        <v>31893</v>
      </c>
      <c r="J9644" s="1" t="s">
        <v>3615</v>
      </c>
      <c r="K9644" s="1" t="s">
        <v>31894</v>
      </c>
      <c r="L9644" s="1"/>
      <c r="M9644" s="1"/>
    </row>
    <row x14ac:dyDescent="0.25" r="9645" customHeight="1" ht="18.75">
      <c r="A9645" s="1" t="s">
        <v>3598</v>
      </c>
      <c r="B9645" s="1" t="s">
        <v>9246</v>
      </c>
      <c r="C9645" s="1" t="s">
        <v>3600</v>
      </c>
      <c r="D9645" s="1" t="s">
        <v>28428</v>
      </c>
      <c r="E9645" s="1" t="s">
        <v>3664</v>
      </c>
      <c r="F9645" s="1" t="s">
        <v>31895</v>
      </c>
      <c r="G9645" s="1" t="s">
        <v>28742</v>
      </c>
      <c r="H9645" s="1" t="s">
        <v>3604</v>
      </c>
      <c r="I9645" s="1" t="s">
        <v>31896</v>
      </c>
      <c r="J9645" s="1" t="s">
        <v>3615</v>
      </c>
      <c r="K9645" s="1" t="s">
        <v>31897</v>
      </c>
      <c r="L9645" s="1"/>
      <c r="M9645" s="1"/>
    </row>
    <row x14ac:dyDescent="0.25" r="9646" customHeight="1" ht="18.75">
      <c r="A9646" s="1" t="s">
        <v>3693</v>
      </c>
      <c r="B9646" s="1" t="s">
        <v>4257</v>
      </c>
      <c r="C9646" s="1" t="s">
        <v>3619</v>
      </c>
      <c r="D9646" s="1" t="s">
        <v>31579</v>
      </c>
      <c r="E9646" s="1" t="s">
        <v>3664</v>
      </c>
      <c r="F9646" s="1" t="s">
        <v>31898</v>
      </c>
      <c r="G9646" s="1" t="s">
        <v>31899</v>
      </c>
      <c r="H9646" s="1" t="s">
        <v>3604</v>
      </c>
      <c r="I9646" s="1" t="s">
        <v>31900</v>
      </c>
      <c r="J9646" s="1" t="s">
        <v>3615</v>
      </c>
      <c r="K9646" s="1" t="s">
        <v>31901</v>
      </c>
      <c r="L9646" s="1"/>
      <c r="M9646" s="1"/>
    </row>
    <row x14ac:dyDescent="0.25" r="9647" customHeight="1" ht="18.75">
      <c r="A9647" s="1" t="s">
        <v>3617</v>
      </c>
      <c r="B9647" s="1" t="s">
        <v>5570</v>
      </c>
      <c r="C9647" s="1" t="s">
        <v>3619</v>
      </c>
      <c r="D9647" s="1" t="s">
        <v>8373</v>
      </c>
      <c r="E9647" s="1" t="s">
        <v>3981</v>
      </c>
      <c r="F9647" s="1" t="s">
        <v>31902</v>
      </c>
      <c r="G9647" s="1" t="s">
        <v>25720</v>
      </c>
      <c r="H9647" s="1" t="s">
        <v>3604</v>
      </c>
      <c r="I9647" s="1" t="s">
        <v>31903</v>
      </c>
      <c r="J9647" s="1" t="s">
        <v>3606</v>
      </c>
      <c r="K9647" s="1" t="s">
        <v>31904</v>
      </c>
      <c r="L9647" s="1"/>
      <c r="M9647" s="1"/>
    </row>
    <row x14ac:dyDescent="0.25" r="9648" customHeight="1" ht="18.75">
      <c r="A9648" s="1" t="s">
        <v>7833</v>
      </c>
      <c r="B9648" s="1" t="s">
        <v>16395</v>
      </c>
      <c r="C9648" s="1" t="s">
        <v>4488</v>
      </c>
      <c r="D9648" s="1" t="s">
        <v>3601</v>
      </c>
      <c r="E9648" s="1" t="s">
        <v>3664</v>
      </c>
      <c r="F9648" s="1" t="s">
        <v>31905</v>
      </c>
      <c r="G9648" s="1" t="s">
        <v>16396</v>
      </c>
      <c r="H9648" s="1" t="s">
        <v>3604</v>
      </c>
      <c r="I9648" s="1" t="s">
        <v>31906</v>
      </c>
      <c r="J9648" s="1" t="s">
        <v>3615</v>
      </c>
      <c r="K9648" s="1" t="s">
        <v>14260</v>
      </c>
      <c r="L9648" s="1"/>
      <c r="M9648" s="1"/>
    </row>
    <row x14ac:dyDescent="0.25" r="9649" customHeight="1" ht="18.75">
      <c r="A9649" s="1" t="s">
        <v>3693</v>
      </c>
      <c r="B9649" s="1" t="s">
        <v>4208</v>
      </c>
      <c r="C9649" s="1" t="s">
        <v>3619</v>
      </c>
      <c r="D9649" s="1" t="s">
        <v>31579</v>
      </c>
      <c r="E9649" s="1" t="s">
        <v>3664</v>
      </c>
      <c r="F9649" s="1" t="s">
        <v>31907</v>
      </c>
      <c r="G9649" s="1" t="s">
        <v>9393</v>
      </c>
      <c r="H9649" s="1" t="s">
        <v>3604</v>
      </c>
      <c r="I9649" s="1" t="s">
        <v>31908</v>
      </c>
      <c r="J9649" s="1" t="s">
        <v>3615</v>
      </c>
      <c r="K9649" s="1" t="s">
        <v>31909</v>
      </c>
      <c r="L9649" s="1"/>
      <c r="M9649" s="1"/>
    </row>
    <row x14ac:dyDescent="0.25" r="9650" customHeight="1" ht="18.75">
      <c r="A9650" s="1" t="s">
        <v>3598</v>
      </c>
      <c r="B9650" s="1" t="s">
        <v>8191</v>
      </c>
      <c r="C9650" s="1" t="s">
        <v>3600</v>
      </c>
      <c r="D9650" s="1" t="s">
        <v>3601</v>
      </c>
      <c r="E9650" s="1" t="s">
        <v>3611</v>
      </c>
      <c r="F9650" s="1" t="s">
        <v>31910</v>
      </c>
      <c r="G9650" s="1" t="s">
        <v>20591</v>
      </c>
      <c r="H9650" s="1" t="s">
        <v>3604</v>
      </c>
      <c r="I9650" s="1" t="s">
        <v>31911</v>
      </c>
      <c r="J9650" s="1" t="s">
        <v>3615</v>
      </c>
      <c r="K9650" s="1" t="s">
        <v>31912</v>
      </c>
      <c r="L9650" s="1"/>
      <c r="M9650" s="1"/>
    </row>
    <row x14ac:dyDescent="0.25" r="9651" customHeight="1" ht="18.75">
      <c r="A9651" s="1" t="s">
        <v>3617</v>
      </c>
      <c r="B9651" s="1" t="s">
        <v>7904</v>
      </c>
      <c r="C9651" s="1" t="s">
        <v>3619</v>
      </c>
      <c r="D9651" s="1" t="s">
        <v>3601</v>
      </c>
      <c r="E9651" s="1" t="s">
        <v>3893</v>
      </c>
      <c r="F9651" s="1" t="s">
        <v>31913</v>
      </c>
      <c r="G9651" s="1" t="s">
        <v>31914</v>
      </c>
      <c r="H9651" s="1" t="s">
        <v>3604</v>
      </c>
      <c r="I9651" s="1" t="s">
        <v>31915</v>
      </c>
      <c r="J9651" s="1" t="s">
        <v>3606</v>
      </c>
      <c r="K9651" s="1" t="s">
        <v>31916</v>
      </c>
      <c r="L9651" s="1"/>
      <c r="M9651" s="1"/>
    </row>
    <row x14ac:dyDescent="0.25" r="9652" customHeight="1" ht="18.75">
      <c r="A9652" s="1" t="s">
        <v>3598</v>
      </c>
      <c r="B9652" s="1" t="s">
        <v>15397</v>
      </c>
      <c r="C9652" s="1" t="s">
        <v>3600</v>
      </c>
      <c r="D9652" s="1" t="s">
        <v>28428</v>
      </c>
      <c r="E9652" s="1" t="s">
        <v>3664</v>
      </c>
      <c r="F9652" s="1" t="s">
        <v>31917</v>
      </c>
      <c r="G9652" s="1" t="s">
        <v>15399</v>
      </c>
      <c r="H9652" s="1" t="s">
        <v>3604</v>
      </c>
      <c r="I9652" s="1" t="s">
        <v>31918</v>
      </c>
      <c r="J9652" s="1" t="s">
        <v>3615</v>
      </c>
      <c r="K9652" s="1" t="s">
        <v>31919</v>
      </c>
      <c r="L9652" s="1"/>
      <c r="M9652" s="1"/>
    </row>
    <row x14ac:dyDescent="0.25" r="9653" customHeight="1" ht="18.75">
      <c r="A9653" s="1" t="s">
        <v>3693</v>
      </c>
      <c r="B9653" s="1" t="s">
        <v>4208</v>
      </c>
      <c r="C9653" s="1" t="s">
        <v>3619</v>
      </c>
      <c r="D9653" s="1" t="s">
        <v>31579</v>
      </c>
      <c r="E9653" s="1" t="s">
        <v>3664</v>
      </c>
      <c r="F9653" s="1" t="s">
        <v>31920</v>
      </c>
      <c r="G9653" s="1" t="s">
        <v>9393</v>
      </c>
      <c r="H9653" s="1" t="s">
        <v>3604</v>
      </c>
      <c r="I9653" s="1" t="s">
        <v>31921</v>
      </c>
      <c r="J9653" s="1" t="s">
        <v>3615</v>
      </c>
      <c r="K9653" s="1" t="s">
        <v>31922</v>
      </c>
      <c r="L9653" s="1"/>
      <c r="M9653" s="1"/>
    </row>
    <row x14ac:dyDescent="0.25" r="9654" customHeight="1" ht="18.75">
      <c r="A9654" s="1" t="s">
        <v>7833</v>
      </c>
      <c r="B9654" s="1" t="s">
        <v>16395</v>
      </c>
      <c r="C9654" s="1" t="s">
        <v>4488</v>
      </c>
      <c r="D9654" s="1" t="s">
        <v>3601</v>
      </c>
      <c r="E9654" s="1" t="s">
        <v>3664</v>
      </c>
      <c r="F9654" s="1" t="s">
        <v>31923</v>
      </c>
      <c r="G9654" s="1" t="s">
        <v>16396</v>
      </c>
      <c r="H9654" s="1" t="s">
        <v>3604</v>
      </c>
      <c r="I9654" s="1" t="s">
        <v>31924</v>
      </c>
      <c r="J9654" s="1" t="s">
        <v>3615</v>
      </c>
      <c r="K9654" s="1" t="s">
        <v>14263</v>
      </c>
      <c r="L9654" s="1"/>
      <c r="M9654" s="1"/>
    </row>
    <row x14ac:dyDescent="0.25" r="9655" customHeight="1" ht="18.75">
      <c r="A9655" s="1" t="s">
        <v>3693</v>
      </c>
      <c r="B9655" s="1" t="s">
        <v>31925</v>
      </c>
      <c r="C9655" s="1" t="s">
        <v>3619</v>
      </c>
      <c r="D9655" s="1" t="s">
        <v>31579</v>
      </c>
      <c r="E9655" s="1" t="s">
        <v>3664</v>
      </c>
      <c r="F9655" s="1" t="s">
        <v>31926</v>
      </c>
      <c r="G9655" s="1" t="s">
        <v>31927</v>
      </c>
      <c r="H9655" s="1" t="s">
        <v>3604</v>
      </c>
      <c r="I9655" s="1" t="s">
        <v>31928</v>
      </c>
      <c r="J9655" s="1" t="s">
        <v>3615</v>
      </c>
      <c r="K9655" s="1" t="s">
        <v>31929</v>
      </c>
      <c r="L9655" s="1"/>
      <c r="M9655" s="1"/>
    </row>
    <row x14ac:dyDescent="0.25" r="9656" customHeight="1" ht="18.75">
      <c r="A9656" s="1" t="s">
        <v>3598</v>
      </c>
      <c r="B9656" s="1" t="s">
        <v>8191</v>
      </c>
      <c r="C9656" s="1" t="s">
        <v>3600</v>
      </c>
      <c r="D9656" s="1" t="s">
        <v>3601</v>
      </c>
      <c r="E9656" s="1" t="s">
        <v>3611</v>
      </c>
      <c r="F9656" s="1" t="s">
        <v>31930</v>
      </c>
      <c r="G9656" s="1" t="s">
        <v>20591</v>
      </c>
      <c r="H9656" s="1" t="s">
        <v>3604</v>
      </c>
      <c r="I9656" s="1" t="s">
        <v>31931</v>
      </c>
      <c r="J9656" s="1" t="s">
        <v>3615</v>
      </c>
      <c r="K9656" s="1" t="s">
        <v>31932</v>
      </c>
      <c r="L9656" s="1"/>
      <c r="M9656" s="1"/>
    </row>
    <row x14ac:dyDescent="0.25" r="9657" customHeight="1" ht="18.75">
      <c r="A9657" s="1" t="s">
        <v>3693</v>
      </c>
      <c r="B9657" s="1" t="s">
        <v>4263</v>
      </c>
      <c r="C9657" s="1" t="s">
        <v>3619</v>
      </c>
      <c r="D9657" s="1" t="s">
        <v>31579</v>
      </c>
      <c r="E9657" s="1" t="s">
        <v>3664</v>
      </c>
      <c r="F9657" s="1" t="s">
        <v>31933</v>
      </c>
      <c r="G9657" s="1" t="s">
        <v>31934</v>
      </c>
      <c r="H9657" s="1" t="s">
        <v>3604</v>
      </c>
      <c r="I9657" s="1" t="s">
        <v>31935</v>
      </c>
      <c r="J9657" s="1" t="s">
        <v>3615</v>
      </c>
      <c r="K9657" s="1" t="s">
        <v>31936</v>
      </c>
      <c r="L9657" s="1"/>
      <c r="M9657" s="1"/>
    </row>
    <row x14ac:dyDescent="0.25" r="9658" customHeight="1" ht="18.75">
      <c r="A9658" s="1" t="s">
        <v>7833</v>
      </c>
      <c r="B9658" s="1" t="s">
        <v>8204</v>
      </c>
      <c r="C9658" s="1" t="s">
        <v>4488</v>
      </c>
      <c r="D9658" s="1" t="s">
        <v>10630</v>
      </c>
      <c r="E9658" s="1" t="s">
        <v>3611</v>
      </c>
      <c r="F9658" s="1" t="s">
        <v>31937</v>
      </c>
      <c r="G9658" s="1" t="s">
        <v>14247</v>
      </c>
      <c r="H9658" s="1" t="s">
        <v>3604</v>
      </c>
      <c r="I9658" s="1" t="s">
        <v>31938</v>
      </c>
      <c r="J9658" s="1" t="s">
        <v>3606</v>
      </c>
      <c r="K9658" s="1" t="s">
        <v>31939</v>
      </c>
      <c r="L9658" s="1"/>
      <c r="M9658" s="1"/>
    </row>
    <row x14ac:dyDescent="0.25" r="9659" customHeight="1" ht="18.75">
      <c r="A9659" s="1" t="s">
        <v>3598</v>
      </c>
      <c r="B9659" s="1" t="s">
        <v>15397</v>
      </c>
      <c r="C9659" s="1" t="s">
        <v>3600</v>
      </c>
      <c r="D9659" s="1" t="s">
        <v>28428</v>
      </c>
      <c r="E9659" s="1" t="s">
        <v>3664</v>
      </c>
      <c r="F9659" s="1" t="s">
        <v>31940</v>
      </c>
      <c r="G9659" s="1" t="s">
        <v>29582</v>
      </c>
      <c r="H9659" s="1" t="s">
        <v>3604</v>
      </c>
      <c r="I9659" s="1" t="s">
        <v>31941</v>
      </c>
      <c r="J9659" s="1" t="s">
        <v>3615</v>
      </c>
      <c r="K9659" s="1" t="s">
        <v>31942</v>
      </c>
      <c r="L9659" s="1"/>
      <c r="M9659" s="1"/>
    </row>
    <row x14ac:dyDescent="0.25" r="9660" customHeight="1" ht="18.75">
      <c r="A9660" s="1" t="s">
        <v>3598</v>
      </c>
      <c r="B9660" s="1" t="s">
        <v>8191</v>
      </c>
      <c r="C9660" s="1" t="s">
        <v>3600</v>
      </c>
      <c r="D9660" s="1" t="s">
        <v>3601</v>
      </c>
      <c r="E9660" s="1" t="s">
        <v>3611</v>
      </c>
      <c r="F9660" s="1" t="s">
        <v>31943</v>
      </c>
      <c r="G9660" s="1" t="s">
        <v>20591</v>
      </c>
      <c r="H9660" s="1" t="s">
        <v>3604</v>
      </c>
      <c r="I9660" s="1" t="s">
        <v>31944</v>
      </c>
      <c r="J9660" s="1" t="s">
        <v>3615</v>
      </c>
      <c r="K9660" s="1" t="s">
        <v>31945</v>
      </c>
      <c r="L9660" s="1"/>
      <c r="M9660" s="1"/>
    </row>
    <row x14ac:dyDescent="0.25" r="9661" customHeight="1" ht="18.75">
      <c r="A9661" s="1" t="s">
        <v>3617</v>
      </c>
      <c r="B9661" s="1" t="s">
        <v>5570</v>
      </c>
      <c r="C9661" s="1" t="s">
        <v>3619</v>
      </c>
      <c r="D9661" s="1" t="s">
        <v>8373</v>
      </c>
      <c r="E9661" s="1" t="s">
        <v>3981</v>
      </c>
      <c r="F9661" s="1" t="s">
        <v>31946</v>
      </c>
      <c r="G9661" s="1" t="s">
        <v>25720</v>
      </c>
      <c r="H9661" s="1" t="s">
        <v>3604</v>
      </c>
      <c r="I9661" s="1" t="s">
        <v>31947</v>
      </c>
      <c r="J9661" s="1" t="s">
        <v>3606</v>
      </c>
      <c r="K9661" s="1" t="s">
        <v>31948</v>
      </c>
      <c r="L9661" s="1"/>
      <c r="M9661" s="1"/>
    </row>
    <row x14ac:dyDescent="0.25" r="9662" customHeight="1" ht="18.75">
      <c r="A9662" s="1" t="s">
        <v>3598</v>
      </c>
      <c r="B9662" s="1" t="s">
        <v>15397</v>
      </c>
      <c r="C9662" s="1" t="s">
        <v>3600</v>
      </c>
      <c r="D9662" s="1" t="s">
        <v>28428</v>
      </c>
      <c r="E9662" s="1" t="s">
        <v>3664</v>
      </c>
      <c r="F9662" s="1" t="s">
        <v>31949</v>
      </c>
      <c r="G9662" s="1" t="s">
        <v>29589</v>
      </c>
      <c r="H9662" s="1" t="s">
        <v>3604</v>
      </c>
      <c r="I9662" s="1" t="s">
        <v>31950</v>
      </c>
      <c r="J9662" s="1" t="s">
        <v>3615</v>
      </c>
      <c r="K9662" s="1" t="s">
        <v>31951</v>
      </c>
      <c r="L9662" s="1"/>
      <c r="M9662" s="1"/>
    </row>
    <row x14ac:dyDescent="0.25" r="9663" customHeight="1" ht="18.75">
      <c r="A9663" s="1" t="s">
        <v>7833</v>
      </c>
      <c r="B9663" s="1" t="s">
        <v>31952</v>
      </c>
      <c r="C9663" s="1" t="s">
        <v>4488</v>
      </c>
      <c r="D9663" s="1" t="s">
        <v>3601</v>
      </c>
      <c r="E9663" s="1" t="s">
        <v>8096</v>
      </c>
      <c r="F9663" s="1" t="s">
        <v>31953</v>
      </c>
      <c r="G9663" s="1" t="s">
        <v>31954</v>
      </c>
      <c r="H9663" s="1" t="s">
        <v>3604</v>
      </c>
      <c r="I9663" s="1" t="s">
        <v>31955</v>
      </c>
      <c r="J9663" s="1" t="s">
        <v>3615</v>
      </c>
      <c r="K9663" s="1" t="s">
        <v>16372</v>
      </c>
      <c r="L9663" s="1"/>
      <c r="M9663" s="1"/>
    </row>
    <row x14ac:dyDescent="0.25" r="9664" customHeight="1" ht="18.75">
      <c r="A9664" s="1" t="s">
        <v>3617</v>
      </c>
      <c r="B9664" s="1" t="s">
        <v>7904</v>
      </c>
      <c r="C9664" s="1" t="s">
        <v>3619</v>
      </c>
      <c r="D9664" s="1" t="s">
        <v>3601</v>
      </c>
      <c r="E9664" s="1" t="s">
        <v>3893</v>
      </c>
      <c r="F9664" s="1" t="s">
        <v>31956</v>
      </c>
      <c r="G9664" s="1" t="s">
        <v>31914</v>
      </c>
      <c r="H9664" s="1" t="s">
        <v>3604</v>
      </c>
      <c r="I9664" s="1" t="s">
        <v>31957</v>
      </c>
      <c r="J9664" s="1" t="s">
        <v>3606</v>
      </c>
      <c r="K9664" s="1" t="s">
        <v>31958</v>
      </c>
      <c r="L9664" s="1"/>
      <c r="M9664" s="1"/>
    </row>
    <row x14ac:dyDescent="0.25" r="9665" customHeight="1" ht="18.75">
      <c r="A9665" s="1" t="s">
        <v>3598</v>
      </c>
      <c r="B9665" s="1" t="s">
        <v>8191</v>
      </c>
      <c r="C9665" s="1" t="s">
        <v>3600</v>
      </c>
      <c r="D9665" s="1" t="s">
        <v>3601</v>
      </c>
      <c r="E9665" s="1" t="s">
        <v>3611</v>
      </c>
      <c r="F9665" s="1" t="s">
        <v>31959</v>
      </c>
      <c r="G9665" s="1" t="s">
        <v>20591</v>
      </c>
      <c r="H9665" s="1" t="s">
        <v>3604</v>
      </c>
      <c r="I9665" s="1" t="s">
        <v>31960</v>
      </c>
      <c r="J9665" s="1" t="s">
        <v>3615</v>
      </c>
      <c r="K9665" s="1" t="s">
        <v>31961</v>
      </c>
      <c r="L9665" s="1"/>
      <c r="M9665" s="1"/>
    </row>
    <row x14ac:dyDescent="0.25" r="9666" customHeight="1" ht="18.75">
      <c r="A9666" s="1" t="s">
        <v>7833</v>
      </c>
      <c r="B9666" s="1" t="s">
        <v>8204</v>
      </c>
      <c r="C9666" s="1" t="s">
        <v>4488</v>
      </c>
      <c r="D9666" s="1" t="s">
        <v>10630</v>
      </c>
      <c r="E9666" s="1" t="s">
        <v>3611</v>
      </c>
      <c r="F9666" s="1" t="s">
        <v>31962</v>
      </c>
      <c r="G9666" s="1" t="s">
        <v>14247</v>
      </c>
      <c r="H9666" s="1" t="s">
        <v>3604</v>
      </c>
      <c r="I9666" s="1" t="s">
        <v>31963</v>
      </c>
      <c r="J9666" s="1" t="s">
        <v>3606</v>
      </c>
      <c r="K9666" s="1" t="s">
        <v>31964</v>
      </c>
      <c r="L9666" s="1"/>
      <c r="M9666" s="1"/>
    </row>
    <row x14ac:dyDescent="0.25" r="9667" customHeight="1" ht="18.75">
      <c r="A9667" s="1" t="s">
        <v>3598</v>
      </c>
      <c r="B9667" s="1" t="s">
        <v>29574</v>
      </c>
      <c r="C9667" s="1" t="s">
        <v>3600</v>
      </c>
      <c r="D9667" s="1" t="s">
        <v>28428</v>
      </c>
      <c r="E9667" s="1" t="s">
        <v>3664</v>
      </c>
      <c r="F9667" s="1" t="s">
        <v>31965</v>
      </c>
      <c r="G9667" s="1" t="s">
        <v>29589</v>
      </c>
      <c r="H9667" s="1" t="s">
        <v>3604</v>
      </c>
      <c r="I9667" s="1" t="s">
        <v>31966</v>
      </c>
      <c r="J9667" s="1" t="s">
        <v>3615</v>
      </c>
      <c r="K9667" s="1" t="s">
        <v>31967</v>
      </c>
      <c r="L9667" s="1"/>
      <c r="M9667" s="1"/>
    </row>
    <row x14ac:dyDescent="0.25" r="9668" customHeight="1" ht="18.75">
      <c r="A9668" s="1" t="s">
        <v>7833</v>
      </c>
      <c r="B9668" s="1" t="s">
        <v>31952</v>
      </c>
      <c r="C9668" s="1" t="s">
        <v>4488</v>
      </c>
      <c r="D9668" s="1" t="s">
        <v>3601</v>
      </c>
      <c r="E9668" s="1" t="s">
        <v>8096</v>
      </c>
      <c r="F9668" s="1" t="s">
        <v>31968</v>
      </c>
      <c r="G9668" s="1" t="s">
        <v>31954</v>
      </c>
      <c r="H9668" s="1" t="s">
        <v>3604</v>
      </c>
      <c r="I9668" s="1" t="s">
        <v>31969</v>
      </c>
      <c r="J9668" s="1" t="s">
        <v>3615</v>
      </c>
      <c r="K9668" s="1" t="s">
        <v>16380</v>
      </c>
      <c r="L9668" s="1"/>
      <c r="M9668" s="1"/>
    </row>
    <row x14ac:dyDescent="0.25" r="9669" customHeight="1" ht="18.75">
      <c r="A9669" s="1" t="s">
        <v>3598</v>
      </c>
      <c r="B9669" s="1" t="s">
        <v>8191</v>
      </c>
      <c r="C9669" s="1" t="s">
        <v>3600</v>
      </c>
      <c r="D9669" s="1" t="s">
        <v>3601</v>
      </c>
      <c r="E9669" s="1" t="s">
        <v>3611</v>
      </c>
      <c r="F9669" s="1" t="s">
        <v>31970</v>
      </c>
      <c r="G9669" s="1" t="s">
        <v>20591</v>
      </c>
      <c r="H9669" s="1" t="s">
        <v>3604</v>
      </c>
      <c r="I9669" s="1" t="s">
        <v>31971</v>
      </c>
      <c r="J9669" s="1" t="s">
        <v>3615</v>
      </c>
      <c r="K9669" s="1" t="s">
        <v>31972</v>
      </c>
      <c r="L9669" s="1"/>
      <c r="M9669" s="1"/>
    </row>
    <row x14ac:dyDescent="0.25" r="9670" customHeight="1" ht="18.75">
      <c r="A9670" s="1" t="s">
        <v>7833</v>
      </c>
      <c r="B9670" s="1" t="s">
        <v>14416</v>
      </c>
      <c r="C9670" s="1" t="s">
        <v>4488</v>
      </c>
      <c r="D9670" s="1" t="s">
        <v>3601</v>
      </c>
      <c r="E9670" s="1" t="s">
        <v>3664</v>
      </c>
      <c r="F9670" s="1" t="s">
        <v>31973</v>
      </c>
      <c r="G9670" s="1" t="s">
        <v>14417</v>
      </c>
      <c r="H9670" s="1" t="s">
        <v>3604</v>
      </c>
      <c r="I9670" s="1" t="s">
        <v>31974</v>
      </c>
      <c r="J9670" s="1" t="s">
        <v>3615</v>
      </c>
      <c r="K9670" s="1" t="s">
        <v>31975</v>
      </c>
      <c r="L9670" s="1"/>
      <c r="M9670" s="1"/>
    </row>
    <row x14ac:dyDescent="0.25" r="9671" customHeight="1" ht="18.75">
      <c r="A9671" s="1" t="s">
        <v>3598</v>
      </c>
      <c r="B9671" s="1" t="s">
        <v>31976</v>
      </c>
      <c r="C9671" s="1" t="s">
        <v>3600</v>
      </c>
      <c r="D9671" s="1" t="s">
        <v>28428</v>
      </c>
      <c r="E9671" s="1" t="s">
        <v>3664</v>
      </c>
      <c r="F9671" s="1" t="s">
        <v>31977</v>
      </c>
      <c r="G9671" s="1" t="s">
        <v>16424</v>
      </c>
      <c r="H9671" s="1" t="s">
        <v>3604</v>
      </c>
      <c r="I9671" s="1" t="s">
        <v>31978</v>
      </c>
      <c r="J9671" s="1" t="s">
        <v>3615</v>
      </c>
      <c r="K9671" s="1" t="s">
        <v>31979</v>
      </c>
      <c r="L9671" s="1"/>
      <c r="M9671" s="1"/>
    </row>
    <row x14ac:dyDescent="0.25" r="9672" customHeight="1" ht="18.75">
      <c r="A9672" s="1" t="s">
        <v>3598</v>
      </c>
      <c r="B9672" s="1" t="s">
        <v>8191</v>
      </c>
      <c r="C9672" s="1" t="s">
        <v>3600</v>
      </c>
      <c r="D9672" s="1" t="s">
        <v>3601</v>
      </c>
      <c r="E9672" s="1" t="s">
        <v>3611</v>
      </c>
      <c r="F9672" s="1" t="s">
        <v>31980</v>
      </c>
      <c r="G9672" s="1" t="s">
        <v>20591</v>
      </c>
      <c r="H9672" s="1" t="s">
        <v>3604</v>
      </c>
      <c r="I9672" s="1" t="s">
        <v>31981</v>
      </c>
      <c r="J9672" s="1" t="s">
        <v>3615</v>
      </c>
      <c r="K9672" s="1" t="s">
        <v>31982</v>
      </c>
      <c r="L9672" s="1"/>
      <c r="M9672" s="1"/>
    </row>
    <row x14ac:dyDescent="0.25" r="9673" customHeight="1" ht="18.75">
      <c r="A9673" s="1" t="s">
        <v>7833</v>
      </c>
      <c r="B9673" s="1" t="s">
        <v>23350</v>
      </c>
      <c r="C9673" s="1" t="s">
        <v>4488</v>
      </c>
      <c r="D9673" s="1" t="s">
        <v>3601</v>
      </c>
      <c r="E9673" s="1" t="s">
        <v>8096</v>
      </c>
      <c r="F9673" s="1" t="s">
        <v>31983</v>
      </c>
      <c r="G9673" s="1" t="s">
        <v>23822</v>
      </c>
      <c r="H9673" s="1" t="s">
        <v>3604</v>
      </c>
      <c r="I9673" s="1" t="s">
        <v>31984</v>
      </c>
      <c r="J9673" s="1" t="s">
        <v>3615</v>
      </c>
      <c r="K9673" s="1" t="s">
        <v>31985</v>
      </c>
      <c r="L9673" s="1"/>
      <c r="M9673" s="1"/>
    </row>
    <row x14ac:dyDescent="0.25" r="9674" customHeight="1" ht="18.75">
      <c r="A9674" s="1" t="s">
        <v>3598</v>
      </c>
      <c r="B9674" s="1" t="s">
        <v>8191</v>
      </c>
      <c r="C9674" s="1" t="s">
        <v>3600</v>
      </c>
      <c r="D9674" s="1" t="s">
        <v>28428</v>
      </c>
      <c r="E9674" s="1" t="s">
        <v>3981</v>
      </c>
      <c r="F9674" s="1" t="s">
        <v>31986</v>
      </c>
      <c r="G9674" s="1" t="s">
        <v>31166</v>
      </c>
      <c r="H9674" s="1" t="s">
        <v>3604</v>
      </c>
      <c r="I9674" s="1" t="s">
        <v>31987</v>
      </c>
      <c r="J9674" s="1" t="s">
        <v>3615</v>
      </c>
      <c r="K9674" s="1" t="s">
        <v>31988</v>
      </c>
      <c r="L9674" s="1"/>
      <c r="M9674" s="1"/>
    </row>
    <row x14ac:dyDescent="0.25" r="9675" customHeight="1" ht="18.75">
      <c r="A9675" s="1" t="s">
        <v>3598</v>
      </c>
      <c r="B9675" s="1" t="s">
        <v>8191</v>
      </c>
      <c r="C9675" s="1" t="s">
        <v>3600</v>
      </c>
      <c r="D9675" s="1" t="s">
        <v>3601</v>
      </c>
      <c r="E9675" s="1" t="s">
        <v>3611</v>
      </c>
      <c r="F9675" s="1" t="s">
        <v>31989</v>
      </c>
      <c r="G9675" s="1" t="s">
        <v>20591</v>
      </c>
      <c r="H9675" s="1" t="s">
        <v>3604</v>
      </c>
      <c r="I9675" s="1" t="s">
        <v>31990</v>
      </c>
      <c r="J9675" s="1" t="s">
        <v>3615</v>
      </c>
      <c r="K9675" s="1" t="s">
        <v>31991</v>
      </c>
      <c r="L9675" s="1"/>
      <c r="M9675" s="1"/>
    </row>
    <row x14ac:dyDescent="0.25" r="9676" customHeight="1" ht="18.75">
      <c r="A9676" s="1" t="s">
        <v>3617</v>
      </c>
      <c r="B9676" s="1" t="s">
        <v>7904</v>
      </c>
      <c r="C9676" s="1" t="s">
        <v>3619</v>
      </c>
      <c r="D9676" s="1" t="s">
        <v>3601</v>
      </c>
      <c r="E9676" s="1" t="s">
        <v>3893</v>
      </c>
      <c r="F9676" s="1" t="s">
        <v>31992</v>
      </c>
      <c r="G9676" s="1" t="s">
        <v>31914</v>
      </c>
      <c r="H9676" s="1" t="s">
        <v>3604</v>
      </c>
      <c r="I9676" s="1" t="s">
        <v>31993</v>
      </c>
      <c r="J9676" s="1" t="s">
        <v>3606</v>
      </c>
      <c r="K9676" s="1" t="s">
        <v>31994</v>
      </c>
      <c r="L9676" s="1"/>
      <c r="M9676" s="1"/>
    </row>
    <row x14ac:dyDescent="0.25" r="9677" customHeight="1" ht="18.75">
      <c r="A9677" s="1" t="s">
        <v>7833</v>
      </c>
      <c r="B9677" s="1" t="s">
        <v>23350</v>
      </c>
      <c r="C9677" s="1" t="s">
        <v>4488</v>
      </c>
      <c r="D9677" s="1" t="s">
        <v>3601</v>
      </c>
      <c r="E9677" s="1" t="s">
        <v>8096</v>
      </c>
      <c r="F9677" s="1" t="s">
        <v>31995</v>
      </c>
      <c r="G9677" s="1" t="s">
        <v>23822</v>
      </c>
      <c r="H9677" s="1" t="s">
        <v>3604</v>
      </c>
      <c r="I9677" s="1" t="s">
        <v>31996</v>
      </c>
      <c r="J9677" s="1" t="s">
        <v>3615</v>
      </c>
      <c r="K9677" s="1" t="s">
        <v>16372</v>
      </c>
      <c r="L9677" s="1"/>
      <c r="M9677" s="1"/>
    </row>
    <row x14ac:dyDescent="0.25" r="9678" customHeight="1" ht="18.75">
      <c r="A9678" s="1" t="s">
        <v>3598</v>
      </c>
      <c r="B9678" s="1" t="s">
        <v>4273</v>
      </c>
      <c r="C9678" s="1" t="s">
        <v>3600</v>
      </c>
      <c r="D9678" s="1" t="s">
        <v>28428</v>
      </c>
      <c r="E9678" s="1" t="s">
        <v>3664</v>
      </c>
      <c r="F9678" s="1" t="s">
        <v>31997</v>
      </c>
      <c r="G9678" s="1" t="s">
        <v>16607</v>
      </c>
      <c r="H9678" s="1" t="s">
        <v>3604</v>
      </c>
      <c r="I9678" s="1" t="s">
        <v>31998</v>
      </c>
      <c r="J9678" s="1" t="s">
        <v>3615</v>
      </c>
      <c r="K9678" s="1" t="s">
        <v>31999</v>
      </c>
      <c r="L9678" s="1"/>
      <c r="M9678" s="1"/>
    </row>
    <row x14ac:dyDescent="0.25" r="9679" customHeight="1" ht="18.75">
      <c r="A9679" s="1" t="s">
        <v>3598</v>
      </c>
      <c r="B9679" s="1" t="s">
        <v>8191</v>
      </c>
      <c r="C9679" s="1" t="s">
        <v>3600</v>
      </c>
      <c r="D9679" s="1" t="s">
        <v>3601</v>
      </c>
      <c r="E9679" s="1" t="s">
        <v>3611</v>
      </c>
      <c r="F9679" s="1" t="s">
        <v>32000</v>
      </c>
      <c r="G9679" s="1" t="s">
        <v>20591</v>
      </c>
      <c r="H9679" s="1" t="s">
        <v>3604</v>
      </c>
      <c r="I9679" s="1" t="s">
        <v>32001</v>
      </c>
      <c r="J9679" s="1" t="s">
        <v>3615</v>
      </c>
      <c r="K9679" s="1" t="s">
        <v>32002</v>
      </c>
      <c r="L9679" s="1"/>
      <c r="M9679" s="1"/>
    </row>
    <row x14ac:dyDescent="0.25" r="9680" customHeight="1" ht="18.75">
      <c r="A9680" s="1" t="s">
        <v>7833</v>
      </c>
      <c r="B9680" s="1" t="s">
        <v>9837</v>
      </c>
      <c r="C9680" s="1" t="s">
        <v>4488</v>
      </c>
      <c r="D9680" s="1" t="s">
        <v>3601</v>
      </c>
      <c r="E9680" s="1" t="s">
        <v>3664</v>
      </c>
      <c r="F9680" s="1" t="s">
        <v>32003</v>
      </c>
      <c r="G9680" s="1" t="s">
        <v>15364</v>
      </c>
      <c r="H9680" s="1" t="s">
        <v>3604</v>
      </c>
      <c r="I9680" s="1" t="s">
        <v>32004</v>
      </c>
      <c r="J9680" s="1" t="s">
        <v>3615</v>
      </c>
      <c r="K9680" s="1" t="s">
        <v>16380</v>
      </c>
      <c r="L9680" s="1"/>
      <c r="M9680" s="1"/>
    </row>
    <row x14ac:dyDescent="0.25" r="9681" customHeight="1" ht="18.75">
      <c r="A9681" s="1" t="s">
        <v>7833</v>
      </c>
      <c r="B9681" s="1" t="s">
        <v>23350</v>
      </c>
      <c r="C9681" s="1" t="s">
        <v>4488</v>
      </c>
      <c r="D9681" s="1" t="s">
        <v>3601</v>
      </c>
      <c r="E9681" s="1" t="s">
        <v>8096</v>
      </c>
      <c r="F9681" s="1" t="s">
        <v>32005</v>
      </c>
      <c r="G9681" s="1" t="s">
        <v>23822</v>
      </c>
      <c r="H9681" s="1" t="s">
        <v>3604</v>
      </c>
      <c r="I9681" s="1" t="s">
        <v>32006</v>
      </c>
      <c r="J9681" s="1" t="s">
        <v>3615</v>
      </c>
      <c r="K9681" s="1" t="s">
        <v>16380</v>
      </c>
      <c r="L9681" s="1"/>
      <c r="M9681" s="1"/>
    </row>
    <row x14ac:dyDescent="0.25" r="9682" customHeight="1" ht="18.75">
      <c r="A9682" s="1" t="s">
        <v>3598</v>
      </c>
      <c r="B9682" s="1" t="s">
        <v>8191</v>
      </c>
      <c r="C9682" s="1" t="s">
        <v>3600</v>
      </c>
      <c r="D9682" s="1" t="s">
        <v>3601</v>
      </c>
      <c r="E9682" s="1" t="s">
        <v>3611</v>
      </c>
      <c r="F9682" s="1" t="s">
        <v>32007</v>
      </c>
      <c r="G9682" s="1" t="s">
        <v>20591</v>
      </c>
      <c r="H9682" s="1" t="s">
        <v>3604</v>
      </c>
      <c r="I9682" s="1" t="s">
        <v>32008</v>
      </c>
      <c r="J9682" s="1" t="s">
        <v>3615</v>
      </c>
      <c r="K9682" s="1" t="s">
        <v>32009</v>
      </c>
      <c r="L9682" s="1"/>
      <c r="M9682" s="1"/>
    </row>
    <row x14ac:dyDescent="0.25" r="9683" customHeight="1" ht="18.75">
      <c r="A9683" s="1" t="s">
        <v>3598</v>
      </c>
      <c r="B9683" s="1" t="s">
        <v>14108</v>
      </c>
      <c r="C9683" s="1" t="s">
        <v>3600</v>
      </c>
      <c r="D9683" s="1" t="s">
        <v>28428</v>
      </c>
      <c r="E9683" s="1" t="s">
        <v>3664</v>
      </c>
      <c r="F9683" s="1" t="s">
        <v>32010</v>
      </c>
      <c r="G9683" s="1" t="s">
        <v>16620</v>
      </c>
      <c r="H9683" s="1" t="s">
        <v>3604</v>
      </c>
      <c r="I9683" s="1" t="s">
        <v>32011</v>
      </c>
      <c r="J9683" s="1" t="s">
        <v>3615</v>
      </c>
      <c r="K9683" s="1" t="s">
        <v>32012</v>
      </c>
      <c r="L9683" s="1"/>
      <c r="M9683" s="1"/>
    </row>
    <row x14ac:dyDescent="0.25" r="9684" customHeight="1" ht="18.75">
      <c r="A9684" s="1" t="s">
        <v>3617</v>
      </c>
      <c r="B9684" s="1" t="s">
        <v>7904</v>
      </c>
      <c r="C9684" s="1" t="s">
        <v>3619</v>
      </c>
      <c r="D9684" s="1" t="s">
        <v>3601</v>
      </c>
      <c r="E9684" s="1" t="s">
        <v>3893</v>
      </c>
      <c r="F9684" s="1" t="s">
        <v>32013</v>
      </c>
      <c r="G9684" s="1" t="s">
        <v>32014</v>
      </c>
      <c r="H9684" s="1" t="s">
        <v>3604</v>
      </c>
      <c r="I9684" s="1" t="s">
        <v>32015</v>
      </c>
      <c r="J9684" s="1" t="s">
        <v>3606</v>
      </c>
      <c r="K9684" s="1" t="s">
        <v>32016</v>
      </c>
      <c r="L9684" s="1"/>
      <c r="M9684" s="1"/>
    </row>
    <row x14ac:dyDescent="0.25" r="9685" customHeight="1" ht="18.75">
      <c r="A9685" s="1" t="s">
        <v>3598</v>
      </c>
      <c r="B9685" s="1" t="s">
        <v>8191</v>
      </c>
      <c r="C9685" s="1" t="s">
        <v>3600</v>
      </c>
      <c r="D9685" s="1" t="s">
        <v>3601</v>
      </c>
      <c r="E9685" s="1" t="s">
        <v>3611</v>
      </c>
      <c r="F9685" s="1" t="s">
        <v>32017</v>
      </c>
      <c r="G9685" s="1" t="s">
        <v>20591</v>
      </c>
      <c r="H9685" s="1" t="s">
        <v>3604</v>
      </c>
      <c r="I9685" s="1" t="s">
        <v>32018</v>
      </c>
      <c r="J9685" s="1" t="s">
        <v>3615</v>
      </c>
      <c r="K9685" s="1" t="s">
        <v>32019</v>
      </c>
      <c r="L9685" s="1"/>
      <c r="M9685" s="1"/>
    </row>
    <row x14ac:dyDescent="0.25" r="9686" customHeight="1" ht="18.75">
      <c r="A9686" s="1" t="s">
        <v>3598</v>
      </c>
      <c r="B9686" s="1" t="s">
        <v>3814</v>
      </c>
      <c r="C9686" s="1" t="s">
        <v>3600</v>
      </c>
      <c r="D9686" s="1" t="s">
        <v>28428</v>
      </c>
      <c r="E9686" s="1" t="s">
        <v>3664</v>
      </c>
      <c r="F9686" s="1" t="s">
        <v>32020</v>
      </c>
      <c r="G9686" s="1" t="s">
        <v>16131</v>
      </c>
      <c r="H9686" s="1" t="s">
        <v>3604</v>
      </c>
      <c r="I9686" s="1" t="s">
        <v>32021</v>
      </c>
      <c r="J9686" s="1" t="s">
        <v>3615</v>
      </c>
      <c r="K9686" s="1" t="s">
        <v>32022</v>
      </c>
      <c r="L9686" s="1"/>
      <c r="M9686" s="1"/>
    </row>
    <row x14ac:dyDescent="0.25" r="9687" customHeight="1" ht="18.75">
      <c r="A9687" s="1" t="s">
        <v>7833</v>
      </c>
      <c r="B9687" s="1" t="s">
        <v>8204</v>
      </c>
      <c r="C9687" s="1" t="s">
        <v>4488</v>
      </c>
      <c r="D9687" s="1" t="s">
        <v>3601</v>
      </c>
      <c r="E9687" s="1" t="s">
        <v>3611</v>
      </c>
      <c r="F9687" s="1" t="s">
        <v>32023</v>
      </c>
      <c r="G9687" s="1" t="s">
        <v>31384</v>
      </c>
      <c r="H9687" s="1" t="s">
        <v>3604</v>
      </c>
      <c r="I9687" s="1" t="s">
        <v>32024</v>
      </c>
      <c r="J9687" s="1" t="s">
        <v>3606</v>
      </c>
      <c r="K9687" s="1" t="s">
        <v>32025</v>
      </c>
      <c r="L9687" s="1"/>
      <c r="M9687" s="1"/>
    </row>
    <row x14ac:dyDescent="0.25" r="9688" customHeight="1" ht="18.75">
      <c r="A9688" s="1" t="s">
        <v>3598</v>
      </c>
      <c r="B9688" s="1" t="s">
        <v>8191</v>
      </c>
      <c r="C9688" s="1" t="s">
        <v>3600</v>
      </c>
      <c r="D9688" s="1" t="s">
        <v>3601</v>
      </c>
      <c r="E9688" s="1" t="s">
        <v>3611</v>
      </c>
      <c r="F9688" s="1" t="s">
        <v>32026</v>
      </c>
      <c r="G9688" s="1" t="s">
        <v>20591</v>
      </c>
      <c r="H9688" s="1" t="s">
        <v>3604</v>
      </c>
      <c r="I9688" s="1" t="s">
        <v>32027</v>
      </c>
      <c r="J9688" s="1" t="s">
        <v>3615</v>
      </c>
      <c r="K9688" s="1" t="s">
        <v>32028</v>
      </c>
      <c r="L9688" s="1"/>
      <c r="M9688" s="1"/>
    </row>
    <row x14ac:dyDescent="0.25" r="9689" customHeight="1" ht="18.75">
      <c r="A9689" s="1" t="s">
        <v>3598</v>
      </c>
      <c r="B9689" s="1" t="s">
        <v>5260</v>
      </c>
      <c r="C9689" s="1" t="s">
        <v>3600</v>
      </c>
      <c r="D9689" s="1" t="s">
        <v>28428</v>
      </c>
      <c r="E9689" s="1" t="s">
        <v>3664</v>
      </c>
      <c r="F9689" s="1" t="s">
        <v>32029</v>
      </c>
      <c r="G9689" s="1" t="s">
        <v>8658</v>
      </c>
      <c r="H9689" s="1" t="s">
        <v>3604</v>
      </c>
      <c r="I9689" s="1" t="s">
        <v>32030</v>
      </c>
      <c r="J9689" s="1" t="s">
        <v>3615</v>
      </c>
      <c r="K9689" s="1" t="s">
        <v>32031</v>
      </c>
      <c r="L9689" s="1"/>
      <c r="M9689" s="1"/>
    </row>
    <row x14ac:dyDescent="0.25" r="9690" customHeight="1" ht="18.75">
      <c r="A9690" s="1" t="s">
        <v>7833</v>
      </c>
      <c r="B9690" s="1" t="s">
        <v>23350</v>
      </c>
      <c r="C9690" s="1" t="s">
        <v>4488</v>
      </c>
      <c r="D9690" s="1" t="s">
        <v>3601</v>
      </c>
      <c r="E9690" s="1" t="s">
        <v>8096</v>
      </c>
      <c r="F9690" s="1" t="s">
        <v>32032</v>
      </c>
      <c r="G9690" s="1" t="s">
        <v>23822</v>
      </c>
      <c r="H9690" s="1" t="s">
        <v>3604</v>
      </c>
      <c r="I9690" s="1" t="s">
        <v>32033</v>
      </c>
      <c r="J9690" s="1" t="s">
        <v>3606</v>
      </c>
      <c r="K9690" s="1" t="s">
        <v>32034</v>
      </c>
      <c r="L9690" s="1"/>
      <c r="M9690" s="1"/>
    </row>
    <row x14ac:dyDescent="0.25" r="9691" customHeight="1" ht="18.75">
      <c r="A9691" s="1" t="s">
        <v>3598</v>
      </c>
      <c r="B9691" s="1" t="s">
        <v>5260</v>
      </c>
      <c r="C9691" s="1" t="s">
        <v>3600</v>
      </c>
      <c r="D9691" s="1" t="s">
        <v>28428</v>
      </c>
      <c r="E9691" s="1" t="s">
        <v>3664</v>
      </c>
      <c r="F9691" s="1" t="s">
        <v>32035</v>
      </c>
      <c r="G9691" s="1" t="s">
        <v>16627</v>
      </c>
      <c r="H9691" s="1" t="s">
        <v>3604</v>
      </c>
      <c r="I9691" s="1" t="s">
        <v>32036</v>
      </c>
      <c r="J9691" s="1" t="s">
        <v>3615</v>
      </c>
      <c r="K9691" s="1" t="s">
        <v>32037</v>
      </c>
      <c r="L9691" s="1"/>
      <c r="M9691" s="1"/>
    </row>
    <row x14ac:dyDescent="0.25" r="9692" customHeight="1" ht="18.75">
      <c r="A9692" s="1" t="s">
        <v>7833</v>
      </c>
      <c r="B9692" s="1" t="s">
        <v>23350</v>
      </c>
      <c r="C9692" s="1" t="s">
        <v>4488</v>
      </c>
      <c r="D9692" s="1" t="s">
        <v>3601</v>
      </c>
      <c r="E9692" s="1" t="s">
        <v>8096</v>
      </c>
      <c r="F9692" s="1" t="s">
        <v>32038</v>
      </c>
      <c r="G9692" s="1" t="s">
        <v>23822</v>
      </c>
      <c r="H9692" s="1" t="s">
        <v>3604</v>
      </c>
      <c r="I9692" s="1" t="s">
        <v>32039</v>
      </c>
      <c r="J9692" s="1" t="s">
        <v>3606</v>
      </c>
      <c r="K9692" s="1" t="s">
        <v>32034</v>
      </c>
      <c r="L9692" s="1"/>
      <c r="M9692" s="1"/>
    </row>
    <row x14ac:dyDescent="0.25" r="9693" customHeight="1" ht="18.75">
      <c r="A9693" s="1" t="s">
        <v>3598</v>
      </c>
      <c r="B9693" s="1" t="s">
        <v>5260</v>
      </c>
      <c r="C9693" s="1" t="s">
        <v>3600</v>
      </c>
      <c r="D9693" s="1" t="s">
        <v>28428</v>
      </c>
      <c r="E9693" s="1" t="s">
        <v>3664</v>
      </c>
      <c r="F9693" s="1" t="s">
        <v>32040</v>
      </c>
      <c r="G9693" s="1" t="s">
        <v>16637</v>
      </c>
      <c r="H9693" s="1" t="s">
        <v>3604</v>
      </c>
      <c r="I9693" s="1" t="s">
        <v>32041</v>
      </c>
      <c r="J9693" s="1" t="s">
        <v>3615</v>
      </c>
      <c r="K9693" s="1" t="s">
        <v>32042</v>
      </c>
      <c r="L9693" s="1"/>
      <c r="M9693" s="1"/>
    </row>
    <row x14ac:dyDescent="0.25" r="9694" customHeight="1" ht="18.75">
      <c r="A9694" s="1" t="s">
        <v>7833</v>
      </c>
      <c r="B9694" s="1" t="s">
        <v>23350</v>
      </c>
      <c r="C9694" s="1" t="s">
        <v>4488</v>
      </c>
      <c r="D9694" s="1" t="s">
        <v>3601</v>
      </c>
      <c r="E9694" s="1" t="s">
        <v>8096</v>
      </c>
      <c r="F9694" s="1" t="s">
        <v>32043</v>
      </c>
      <c r="G9694" s="1" t="s">
        <v>23822</v>
      </c>
      <c r="H9694" s="1" t="s">
        <v>3604</v>
      </c>
      <c r="I9694" s="1" t="s">
        <v>32044</v>
      </c>
      <c r="J9694" s="1" t="s">
        <v>3606</v>
      </c>
      <c r="K9694" s="1" t="s">
        <v>32045</v>
      </c>
      <c r="L9694" s="1"/>
      <c r="M9694" s="1"/>
    </row>
    <row x14ac:dyDescent="0.25" r="9695" customHeight="1" ht="18.75">
      <c r="A9695" s="1" t="s">
        <v>3598</v>
      </c>
      <c r="B9695" s="1" t="s">
        <v>5260</v>
      </c>
      <c r="C9695" s="1" t="s">
        <v>3600</v>
      </c>
      <c r="D9695" s="1" t="s">
        <v>28428</v>
      </c>
      <c r="E9695" s="1" t="s">
        <v>3664</v>
      </c>
      <c r="F9695" s="1" t="s">
        <v>32046</v>
      </c>
      <c r="G9695" s="1" t="s">
        <v>31257</v>
      </c>
      <c r="H9695" s="1" t="s">
        <v>3604</v>
      </c>
      <c r="I9695" s="1" t="s">
        <v>32047</v>
      </c>
      <c r="J9695" s="1" t="s">
        <v>3615</v>
      </c>
      <c r="K9695" s="1" t="s">
        <v>32048</v>
      </c>
      <c r="L9695" s="1"/>
      <c r="M9695" s="1"/>
    </row>
    <row x14ac:dyDescent="0.25" r="9696" customHeight="1" ht="18.75">
      <c r="A9696" s="1" t="s">
        <v>7833</v>
      </c>
      <c r="B9696" s="1" t="s">
        <v>23350</v>
      </c>
      <c r="C9696" s="1" t="s">
        <v>4488</v>
      </c>
      <c r="D9696" s="1" t="s">
        <v>3601</v>
      </c>
      <c r="E9696" s="1" t="s">
        <v>8096</v>
      </c>
      <c r="F9696" s="1" t="s">
        <v>32049</v>
      </c>
      <c r="G9696" s="1" t="s">
        <v>23822</v>
      </c>
      <c r="H9696" s="1" t="s">
        <v>3604</v>
      </c>
      <c r="I9696" s="1" t="s">
        <v>32050</v>
      </c>
      <c r="J9696" s="1" t="s">
        <v>3606</v>
      </c>
      <c r="K9696" s="1" t="s">
        <v>32045</v>
      </c>
      <c r="L9696" s="1"/>
      <c r="M9696" s="1"/>
    </row>
    <row x14ac:dyDescent="0.25" r="9697" customHeight="1" ht="18.75">
      <c r="A9697" s="1" t="s">
        <v>3598</v>
      </c>
      <c r="B9697" s="1" t="s">
        <v>9236</v>
      </c>
      <c r="C9697" s="1" t="s">
        <v>3600</v>
      </c>
      <c r="D9697" s="1" t="s">
        <v>28428</v>
      </c>
      <c r="E9697" s="1" t="s">
        <v>3664</v>
      </c>
      <c r="F9697" s="1" t="s">
        <v>32051</v>
      </c>
      <c r="G9697" s="1" t="s">
        <v>21866</v>
      </c>
      <c r="H9697" s="1" t="s">
        <v>3604</v>
      </c>
      <c r="I9697" s="1" t="s">
        <v>32052</v>
      </c>
      <c r="J9697" s="1" t="s">
        <v>3615</v>
      </c>
      <c r="K9697" s="1" t="s">
        <v>32053</v>
      </c>
      <c r="L9697" s="1"/>
      <c r="M9697" s="1"/>
    </row>
    <row x14ac:dyDescent="0.25" r="9698" customHeight="1" ht="18.75">
      <c r="A9698" s="1" t="s">
        <v>7833</v>
      </c>
      <c r="B9698" s="1" t="s">
        <v>7834</v>
      </c>
      <c r="C9698" s="1" t="s">
        <v>4488</v>
      </c>
      <c r="D9698" s="1" t="s">
        <v>3601</v>
      </c>
      <c r="E9698" s="1" t="s">
        <v>8096</v>
      </c>
      <c r="F9698" s="1" t="s">
        <v>32054</v>
      </c>
      <c r="G9698" s="1" t="s">
        <v>24155</v>
      </c>
      <c r="H9698" s="1" t="s">
        <v>3604</v>
      </c>
      <c r="I9698" s="1" t="s">
        <v>32055</v>
      </c>
      <c r="J9698" s="1" t="s">
        <v>3615</v>
      </c>
      <c r="K9698" s="1" t="s">
        <v>9164</v>
      </c>
      <c r="L9698" s="1"/>
      <c r="M9698" s="1"/>
    </row>
    <row x14ac:dyDescent="0.25" r="9699" customHeight="1" ht="18.75">
      <c r="A9699" s="1" t="s">
        <v>3693</v>
      </c>
      <c r="B9699" s="1" t="s">
        <v>4144</v>
      </c>
      <c r="C9699" s="1" t="s">
        <v>3619</v>
      </c>
      <c r="D9699" s="1" t="s">
        <v>28428</v>
      </c>
      <c r="E9699" s="1" t="s">
        <v>3664</v>
      </c>
      <c r="F9699" s="1" t="s">
        <v>32056</v>
      </c>
      <c r="G9699" s="1" t="s">
        <v>9063</v>
      </c>
      <c r="H9699" s="1" t="s">
        <v>3604</v>
      </c>
      <c r="I9699" s="1" t="s">
        <v>32057</v>
      </c>
      <c r="J9699" s="1" t="s">
        <v>3615</v>
      </c>
      <c r="K9699" s="1" t="s">
        <v>32058</v>
      </c>
      <c r="L9699" s="1"/>
      <c r="M9699" s="1"/>
    </row>
    <row x14ac:dyDescent="0.25" r="9700" customHeight="1" ht="18.75">
      <c r="A9700" s="1" t="s">
        <v>7833</v>
      </c>
      <c r="B9700" s="1" t="s">
        <v>23350</v>
      </c>
      <c r="C9700" s="1" t="s">
        <v>4488</v>
      </c>
      <c r="D9700" s="1" t="s">
        <v>3601</v>
      </c>
      <c r="E9700" s="1" t="s">
        <v>8096</v>
      </c>
      <c r="F9700" s="1" t="s">
        <v>32059</v>
      </c>
      <c r="G9700" s="1" t="s">
        <v>23822</v>
      </c>
      <c r="H9700" s="1" t="s">
        <v>3604</v>
      </c>
      <c r="I9700" s="1" t="s">
        <v>32060</v>
      </c>
      <c r="J9700" s="1" t="s">
        <v>3606</v>
      </c>
      <c r="K9700" s="1" t="s">
        <v>32061</v>
      </c>
      <c r="L9700" s="1"/>
      <c r="M9700" s="1"/>
    </row>
    <row x14ac:dyDescent="0.25" r="9701" customHeight="1" ht="18.75">
      <c r="A9701" s="1" t="s">
        <v>3693</v>
      </c>
      <c r="B9701" s="1" t="s">
        <v>3720</v>
      </c>
      <c r="C9701" s="1" t="s">
        <v>3619</v>
      </c>
      <c r="D9701" s="1" t="s">
        <v>28428</v>
      </c>
      <c r="E9701" s="1" t="s">
        <v>3664</v>
      </c>
      <c r="F9701" s="1" t="s">
        <v>32062</v>
      </c>
      <c r="G9701" s="1" t="s">
        <v>27098</v>
      </c>
      <c r="H9701" s="1" t="s">
        <v>3604</v>
      </c>
      <c r="I9701" s="1" t="s">
        <v>32063</v>
      </c>
      <c r="J9701" s="1" t="s">
        <v>3615</v>
      </c>
      <c r="K9701" s="1" t="s">
        <v>32064</v>
      </c>
      <c r="L9701" s="1"/>
      <c r="M9701" s="1"/>
    </row>
    <row x14ac:dyDescent="0.25" r="9702" customHeight="1" ht="18.75">
      <c r="A9702" s="1" t="s">
        <v>3598</v>
      </c>
      <c r="B9702" s="1" t="s">
        <v>9236</v>
      </c>
      <c r="C9702" s="1" t="s">
        <v>3600</v>
      </c>
      <c r="D9702" s="1" t="s">
        <v>28428</v>
      </c>
      <c r="E9702" s="1" t="s">
        <v>3664</v>
      </c>
      <c r="F9702" s="1" t="s">
        <v>32065</v>
      </c>
      <c r="G9702" s="1" t="s">
        <v>21228</v>
      </c>
      <c r="H9702" s="1" t="s">
        <v>3604</v>
      </c>
      <c r="I9702" s="1" t="s">
        <v>32066</v>
      </c>
      <c r="J9702" s="1" t="s">
        <v>3615</v>
      </c>
      <c r="K9702" s="1" t="s">
        <v>32067</v>
      </c>
      <c r="L9702" s="1"/>
      <c r="M9702" s="1"/>
    </row>
    <row x14ac:dyDescent="0.25" r="9703" customHeight="1" ht="18.75">
      <c r="A9703" s="1" t="s">
        <v>3693</v>
      </c>
      <c r="B9703" s="1" t="s">
        <v>6563</v>
      </c>
      <c r="C9703" s="1" t="s">
        <v>3600</v>
      </c>
      <c r="D9703" s="1" t="s">
        <v>3601</v>
      </c>
      <c r="E9703" s="1" t="s">
        <v>3664</v>
      </c>
      <c r="F9703" s="1" t="s">
        <v>32068</v>
      </c>
      <c r="G9703" s="1" t="s">
        <v>32069</v>
      </c>
      <c r="H9703" s="1" t="s">
        <v>3604</v>
      </c>
      <c r="I9703" s="1" t="s">
        <v>32070</v>
      </c>
      <c r="J9703" s="1" t="s">
        <v>3615</v>
      </c>
      <c r="K9703" s="1" t="s">
        <v>32071</v>
      </c>
      <c r="L9703" s="1"/>
      <c r="M9703" s="1"/>
    </row>
    <row x14ac:dyDescent="0.25" r="9704" customHeight="1" ht="18.75">
      <c r="A9704" s="1" t="s">
        <v>3617</v>
      </c>
      <c r="B9704" s="1" t="s">
        <v>7904</v>
      </c>
      <c r="C9704" s="1" t="s">
        <v>3619</v>
      </c>
      <c r="D9704" s="1" t="s">
        <v>3601</v>
      </c>
      <c r="E9704" s="1" t="s">
        <v>3981</v>
      </c>
      <c r="F9704" s="1" t="s">
        <v>32072</v>
      </c>
      <c r="G9704" s="1" t="s">
        <v>31914</v>
      </c>
      <c r="H9704" s="1" t="s">
        <v>3604</v>
      </c>
      <c r="I9704" s="1" t="s">
        <v>32073</v>
      </c>
      <c r="J9704" s="1" t="s">
        <v>3606</v>
      </c>
      <c r="K9704" s="1" t="s">
        <v>32074</v>
      </c>
      <c r="L9704" s="1"/>
      <c r="M9704" s="1"/>
    </row>
    <row x14ac:dyDescent="0.25" r="9705" customHeight="1" ht="18.75">
      <c r="A9705" s="1" t="s">
        <v>3693</v>
      </c>
      <c r="B9705" s="1" t="s">
        <v>4181</v>
      </c>
      <c r="C9705" s="1" t="s">
        <v>3619</v>
      </c>
      <c r="D9705" s="1" t="s">
        <v>28428</v>
      </c>
      <c r="E9705" s="1" t="s">
        <v>3664</v>
      </c>
      <c r="F9705" s="1" t="s">
        <v>32075</v>
      </c>
      <c r="G9705" s="1" t="s">
        <v>9565</v>
      </c>
      <c r="H9705" s="1" t="s">
        <v>3604</v>
      </c>
      <c r="I9705" s="1" t="s">
        <v>32076</v>
      </c>
      <c r="J9705" s="1" t="s">
        <v>3615</v>
      </c>
      <c r="K9705" s="1" t="s">
        <v>32077</v>
      </c>
      <c r="L9705" s="1"/>
      <c r="M9705" s="1"/>
    </row>
    <row x14ac:dyDescent="0.25" r="9706" customHeight="1" ht="18.75">
      <c r="A9706" s="1" t="s">
        <v>3693</v>
      </c>
      <c r="B9706" s="1" t="s">
        <v>4181</v>
      </c>
      <c r="C9706" s="1" t="s">
        <v>3619</v>
      </c>
      <c r="D9706" s="1" t="s">
        <v>28428</v>
      </c>
      <c r="E9706" s="1" t="s">
        <v>3664</v>
      </c>
      <c r="F9706" s="1" t="s">
        <v>32078</v>
      </c>
      <c r="G9706" s="1" t="s">
        <v>9565</v>
      </c>
      <c r="H9706" s="1" t="s">
        <v>3604</v>
      </c>
      <c r="I9706" s="1" t="s">
        <v>32079</v>
      </c>
      <c r="J9706" s="1" t="s">
        <v>3615</v>
      </c>
      <c r="K9706" s="1" t="s">
        <v>32080</v>
      </c>
      <c r="L9706" s="1"/>
      <c r="M9706" s="1"/>
    </row>
    <row x14ac:dyDescent="0.25" r="9707" customHeight="1" ht="18.75">
      <c r="A9707" s="1" t="s">
        <v>3693</v>
      </c>
      <c r="B9707" s="1" t="s">
        <v>5797</v>
      </c>
      <c r="C9707" s="1" t="s">
        <v>3619</v>
      </c>
      <c r="D9707" s="1" t="s">
        <v>28428</v>
      </c>
      <c r="E9707" s="1" t="s">
        <v>3664</v>
      </c>
      <c r="F9707" s="1" t="s">
        <v>32081</v>
      </c>
      <c r="G9707" s="1" t="s">
        <v>31696</v>
      </c>
      <c r="H9707" s="1" t="s">
        <v>3604</v>
      </c>
      <c r="I9707" s="1" t="s">
        <v>32082</v>
      </c>
      <c r="J9707" s="1" t="s">
        <v>3615</v>
      </c>
      <c r="K9707" s="1" t="s">
        <v>32083</v>
      </c>
      <c r="L9707" s="1"/>
      <c r="M9707" s="1"/>
    </row>
    <row x14ac:dyDescent="0.25" r="9708" customHeight="1" ht="18.75">
      <c r="A9708" s="1" t="s">
        <v>3693</v>
      </c>
      <c r="B9708" s="1" t="s">
        <v>5797</v>
      </c>
      <c r="C9708" s="1" t="s">
        <v>3619</v>
      </c>
      <c r="D9708" s="1" t="s">
        <v>28428</v>
      </c>
      <c r="E9708" s="1" t="s">
        <v>3664</v>
      </c>
      <c r="F9708" s="1" t="s">
        <v>32084</v>
      </c>
      <c r="G9708" s="1" t="s">
        <v>31696</v>
      </c>
      <c r="H9708" s="1" t="s">
        <v>3604</v>
      </c>
      <c r="I9708" s="1" t="s">
        <v>32085</v>
      </c>
      <c r="J9708" s="1" t="s">
        <v>3615</v>
      </c>
      <c r="K9708" s="1" t="s">
        <v>32086</v>
      </c>
      <c r="L9708" s="1"/>
      <c r="M9708" s="1"/>
    </row>
    <row x14ac:dyDescent="0.25" r="9709" customHeight="1" ht="18.75">
      <c r="A9709" s="1" t="s">
        <v>3693</v>
      </c>
      <c r="B9709" s="1" t="s">
        <v>5797</v>
      </c>
      <c r="C9709" s="1" t="s">
        <v>3619</v>
      </c>
      <c r="D9709" s="1" t="s">
        <v>28428</v>
      </c>
      <c r="E9709" s="1" t="s">
        <v>3664</v>
      </c>
      <c r="F9709" s="1" t="s">
        <v>32087</v>
      </c>
      <c r="G9709" s="1" t="s">
        <v>31696</v>
      </c>
      <c r="H9709" s="1" t="s">
        <v>3604</v>
      </c>
      <c r="I9709" s="1" t="s">
        <v>32088</v>
      </c>
      <c r="J9709" s="1" t="s">
        <v>3615</v>
      </c>
      <c r="K9709" s="1" t="s">
        <v>32089</v>
      </c>
      <c r="L9709" s="1"/>
      <c r="M9709" s="1"/>
    </row>
    <row x14ac:dyDescent="0.25" r="9710" customHeight="1" ht="18.75">
      <c r="A9710" s="1" t="s">
        <v>3693</v>
      </c>
      <c r="B9710" s="1" t="s">
        <v>5797</v>
      </c>
      <c r="C9710" s="1" t="s">
        <v>3619</v>
      </c>
      <c r="D9710" s="1" t="s">
        <v>28428</v>
      </c>
      <c r="E9710" s="1" t="s">
        <v>3664</v>
      </c>
      <c r="F9710" s="1" t="s">
        <v>32090</v>
      </c>
      <c r="G9710" s="1" t="s">
        <v>31696</v>
      </c>
      <c r="H9710" s="1" t="s">
        <v>3604</v>
      </c>
      <c r="I9710" s="1" t="s">
        <v>32091</v>
      </c>
      <c r="J9710" s="1" t="s">
        <v>3615</v>
      </c>
      <c r="K9710" s="1" t="s">
        <v>32092</v>
      </c>
      <c r="L9710" s="1"/>
      <c r="M9710" s="1"/>
    </row>
    <row x14ac:dyDescent="0.25" r="9711" customHeight="1" ht="18.75">
      <c r="A9711" s="1" t="s">
        <v>3693</v>
      </c>
      <c r="B9711" s="1" t="s">
        <v>3720</v>
      </c>
      <c r="C9711" s="1" t="s">
        <v>3619</v>
      </c>
      <c r="D9711" s="1" t="s">
        <v>28428</v>
      </c>
      <c r="E9711" s="1" t="s">
        <v>3664</v>
      </c>
      <c r="F9711" s="1" t="s">
        <v>32093</v>
      </c>
      <c r="G9711" s="1" t="s">
        <v>5815</v>
      </c>
      <c r="H9711" s="1" t="s">
        <v>3604</v>
      </c>
      <c r="I9711" s="1" t="s">
        <v>32094</v>
      </c>
      <c r="J9711" s="1" t="s">
        <v>3615</v>
      </c>
      <c r="K9711" s="1" t="s">
        <v>32095</v>
      </c>
      <c r="L9711" s="1"/>
      <c r="M9711" s="1"/>
    </row>
    <row x14ac:dyDescent="0.25" r="9712" customHeight="1" ht="18.75">
      <c r="A9712" s="1" t="s">
        <v>3693</v>
      </c>
      <c r="B9712" s="1" t="s">
        <v>6216</v>
      </c>
      <c r="C9712" s="1" t="s">
        <v>3619</v>
      </c>
      <c r="D9712" s="1" t="s">
        <v>28428</v>
      </c>
      <c r="E9712" s="1" t="s">
        <v>3664</v>
      </c>
      <c r="F9712" s="1" t="s">
        <v>32096</v>
      </c>
      <c r="G9712" s="1" t="s">
        <v>20744</v>
      </c>
      <c r="H9712" s="1" t="s">
        <v>3604</v>
      </c>
      <c r="I9712" s="1" t="s">
        <v>32097</v>
      </c>
      <c r="J9712" s="1" t="s">
        <v>3615</v>
      </c>
      <c r="K9712" s="1" t="s">
        <v>32098</v>
      </c>
      <c r="L9712" s="1"/>
      <c r="M9712" s="1"/>
    </row>
    <row x14ac:dyDescent="0.25" r="9713" customHeight="1" ht="18.75">
      <c r="A9713" s="1" t="s">
        <v>3693</v>
      </c>
      <c r="B9713" s="1" t="s">
        <v>6216</v>
      </c>
      <c r="C9713" s="1" t="s">
        <v>3619</v>
      </c>
      <c r="D9713" s="1" t="s">
        <v>28428</v>
      </c>
      <c r="E9713" s="1" t="s">
        <v>3664</v>
      </c>
      <c r="F9713" s="1" t="s">
        <v>32099</v>
      </c>
      <c r="G9713" s="1" t="s">
        <v>20744</v>
      </c>
      <c r="H9713" s="1" t="s">
        <v>3604</v>
      </c>
      <c r="I9713" s="1" t="s">
        <v>32100</v>
      </c>
      <c r="J9713" s="1" t="s">
        <v>3615</v>
      </c>
      <c r="K9713" s="1" t="s">
        <v>32101</v>
      </c>
      <c r="L9713" s="1"/>
      <c r="M9713" s="1"/>
    </row>
    <row x14ac:dyDescent="0.25" r="9714" customHeight="1" ht="18.75">
      <c r="A9714" s="1" t="s">
        <v>3693</v>
      </c>
      <c r="B9714" s="1" t="s">
        <v>6216</v>
      </c>
      <c r="C9714" s="1" t="s">
        <v>3619</v>
      </c>
      <c r="D9714" s="1" t="s">
        <v>28428</v>
      </c>
      <c r="E9714" s="1" t="s">
        <v>3664</v>
      </c>
      <c r="F9714" s="1" t="s">
        <v>32102</v>
      </c>
      <c r="G9714" s="1" t="s">
        <v>20744</v>
      </c>
      <c r="H9714" s="1" t="s">
        <v>3604</v>
      </c>
      <c r="I9714" s="1" t="s">
        <v>32103</v>
      </c>
      <c r="J9714" s="1" t="s">
        <v>3615</v>
      </c>
      <c r="K9714" s="1" t="s">
        <v>32086</v>
      </c>
      <c r="L9714" s="1"/>
      <c r="M9714" s="1"/>
    </row>
    <row x14ac:dyDescent="0.25" r="9715" customHeight="1" ht="18.75">
      <c r="A9715" s="1" t="s">
        <v>3693</v>
      </c>
      <c r="B9715" s="1" t="s">
        <v>6216</v>
      </c>
      <c r="C9715" s="1" t="s">
        <v>3619</v>
      </c>
      <c r="D9715" s="1" t="s">
        <v>28428</v>
      </c>
      <c r="E9715" s="1" t="s">
        <v>3664</v>
      </c>
      <c r="F9715" s="1" t="s">
        <v>32104</v>
      </c>
      <c r="G9715" s="1" t="s">
        <v>20744</v>
      </c>
      <c r="H9715" s="1" t="s">
        <v>3604</v>
      </c>
      <c r="I9715" s="1" t="s">
        <v>32105</v>
      </c>
      <c r="J9715" s="1" t="s">
        <v>3615</v>
      </c>
      <c r="K9715" s="1" t="s">
        <v>32106</v>
      </c>
      <c r="L9715" s="1"/>
      <c r="M9715" s="1"/>
    </row>
    <row x14ac:dyDescent="0.25" r="9716" customHeight="1" ht="18.75">
      <c r="A9716" s="1" t="s">
        <v>3693</v>
      </c>
      <c r="B9716" s="1" t="s">
        <v>6216</v>
      </c>
      <c r="C9716" s="1" t="s">
        <v>3619</v>
      </c>
      <c r="D9716" s="1" t="s">
        <v>28428</v>
      </c>
      <c r="E9716" s="1" t="s">
        <v>3664</v>
      </c>
      <c r="F9716" s="1" t="s">
        <v>32107</v>
      </c>
      <c r="G9716" s="1" t="s">
        <v>20744</v>
      </c>
      <c r="H9716" s="1" t="s">
        <v>3604</v>
      </c>
      <c r="I9716" s="1" t="s">
        <v>32108</v>
      </c>
      <c r="J9716" s="1" t="s">
        <v>3615</v>
      </c>
      <c r="K9716" s="1" t="s">
        <v>32109</v>
      </c>
      <c r="L9716" s="1"/>
      <c r="M9716" s="1"/>
    </row>
    <row x14ac:dyDescent="0.25" r="9717" customHeight="1" ht="18.75">
      <c r="A9717" s="1" t="s">
        <v>3693</v>
      </c>
      <c r="B9717" s="1" t="s">
        <v>6216</v>
      </c>
      <c r="C9717" s="1" t="s">
        <v>3619</v>
      </c>
      <c r="D9717" s="1" t="s">
        <v>28428</v>
      </c>
      <c r="E9717" s="1" t="s">
        <v>3664</v>
      </c>
      <c r="F9717" s="1" t="s">
        <v>32110</v>
      </c>
      <c r="G9717" s="1" t="s">
        <v>20744</v>
      </c>
      <c r="H9717" s="1" t="s">
        <v>3604</v>
      </c>
      <c r="I9717" s="1" t="s">
        <v>32111</v>
      </c>
      <c r="J9717" s="1" t="s">
        <v>3615</v>
      </c>
      <c r="K9717" s="1" t="s">
        <v>32092</v>
      </c>
      <c r="L9717" s="1"/>
      <c r="M9717" s="1"/>
    </row>
    <row x14ac:dyDescent="0.25" r="9718" customHeight="1" ht="18.75">
      <c r="A9718" s="1" t="s">
        <v>3693</v>
      </c>
      <c r="B9718" s="1" t="s">
        <v>6216</v>
      </c>
      <c r="C9718" s="1" t="s">
        <v>3619</v>
      </c>
      <c r="D9718" s="1" t="s">
        <v>28428</v>
      </c>
      <c r="E9718" s="1" t="s">
        <v>3664</v>
      </c>
      <c r="F9718" s="1" t="s">
        <v>32112</v>
      </c>
      <c r="G9718" s="1" t="s">
        <v>20744</v>
      </c>
      <c r="H9718" s="1" t="s">
        <v>3604</v>
      </c>
      <c r="I9718" s="1" t="s">
        <v>32113</v>
      </c>
      <c r="J9718" s="1" t="s">
        <v>3615</v>
      </c>
      <c r="K9718" s="1" t="s">
        <v>32083</v>
      </c>
      <c r="L9718" s="1"/>
      <c r="M9718" s="1"/>
    </row>
    <row x14ac:dyDescent="0.25" r="9719" customHeight="1" ht="18.75">
      <c r="A9719" s="1" t="s">
        <v>3617</v>
      </c>
      <c r="B9719" s="1" t="s">
        <v>5578</v>
      </c>
      <c r="C9719" s="1" t="s">
        <v>3619</v>
      </c>
      <c r="D9719" s="1" t="s">
        <v>3601</v>
      </c>
      <c r="E9719" s="1" t="s">
        <v>3611</v>
      </c>
      <c r="F9719" s="1" t="s">
        <v>32114</v>
      </c>
      <c r="G9719" s="1" t="s">
        <v>32115</v>
      </c>
      <c r="H9719" s="1" t="s">
        <v>3604</v>
      </c>
      <c r="I9719" s="1" t="s">
        <v>32116</v>
      </c>
      <c r="J9719" s="1" t="s">
        <v>3615</v>
      </c>
      <c r="K9719" s="1" t="s">
        <v>32115</v>
      </c>
      <c r="L9719" s="1"/>
      <c r="M9719" s="1"/>
    </row>
    <row x14ac:dyDescent="0.25" r="9720" customHeight="1" ht="18.75">
      <c r="A9720" s="1" t="s">
        <v>3693</v>
      </c>
      <c r="B9720" s="1" t="s">
        <v>5974</v>
      </c>
      <c r="C9720" s="1" t="s">
        <v>3619</v>
      </c>
      <c r="D9720" s="1" t="s">
        <v>28428</v>
      </c>
      <c r="E9720" s="1" t="s">
        <v>3664</v>
      </c>
      <c r="F9720" s="1" t="s">
        <v>32117</v>
      </c>
      <c r="G9720" s="1" t="s">
        <v>10082</v>
      </c>
      <c r="H9720" s="1" t="s">
        <v>3604</v>
      </c>
      <c r="I9720" s="1" t="s">
        <v>32118</v>
      </c>
      <c r="J9720" s="1" t="s">
        <v>3615</v>
      </c>
      <c r="K9720" s="1" t="s">
        <v>32119</v>
      </c>
      <c r="L9720" s="1"/>
      <c r="M9720" s="1"/>
    </row>
    <row x14ac:dyDescent="0.25" r="9721" customHeight="1" ht="18.75">
      <c r="A9721" s="1" t="s">
        <v>3693</v>
      </c>
      <c r="B9721" s="1" t="s">
        <v>5974</v>
      </c>
      <c r="C9721" s="1" t="s">
        <v>3619</v>
      </c>
      <c r="D9721" s="1" t="s">
        <v>28428</v>
      </c>
      <c r="E9721" s="1" t="s">
        <v>3664</v>
      </c>
      <c r="F9721" s="1" t="s">
        <v>32120</v>
      </c>
      <c r="G9721" s="1" t="s">
        <v>10082</v>
      </c>
      <c r="H9721" s="1" t="s">
        <v>3604</v>
      </c>
      <c r="I9721" s="1" t="s">
        <v>32121</v>
      </c>
      <c r="J9721" s="1" t="s">
        <v>3615</v>
      </c>
      <c r="K9721" s="1" t="s">
        <v>32122</v>
      </c>
      <c r="L9721" s="1"/>
      <c r="M9721" s="1"/>
    </row>
    <row x14ac:dyDescent="0.25" r="9722" customHeight="1" ht="18.75">
      <c r="A9722" s="1" t="s">
        <v>3617</v>
      </c>
      <c r="B9722" s="1" t="s">
        <v>5578</v>
      </c>
      <c r="C9722" s="1" t="s">
        <v>3619</v>
      </c>
      <c r="D9722" s="1" t="s">
        <v>3601</v>
      </c>
      <c r="E9722" s="1" t="s">
        <v>3611</v>
      </c>
      <c r="F9722" s="1" t="s">
        <v>32123</v>
      </c>
      <c r="G9722" s="1" t="s">
        <v>32124</v>
      </c>
      <c r="H9722" s="1" t="s">
        <v>3604</v>
      </c>
      <c r="I9722" s="1" t="s">
        <v>32125</v>
      </c>
      <c r="J9722" s="1" t="s">
        <v>3615</v>
      </c>
      <c r="K9722" s="1" t="s">
        <v>32124</v>
      </c>
      <c r="L9722" s="1"/>
      <c r="M9722" s="1"/>
    </row>
    <row x14ac:dyDescent="0.25" r="9723" customHeight="1" ht="18.75">
      <c r="A9723" s="1" t="s">
        <v>3693</v>
      </c>
      <c r="B9723" s="1" t="s">
        <v>5974</v>
      </c>
      <c r="C9723" s="1" t="s">
        <v>3619</v>
      </c>
      <c r="D9723" s="1" t="s">
        <v>28428</v>
      </c>
      <c r="E9723" s="1" t="s">
        <v>3664</v>
      </c>
      <c r="F9723" s="1" t="s">
        <v>32126</v>
      </c>
      <c r="G9723" s="1" t="s">
        <v>10082</v>
      </c>
      <c r="H9723" s="1" t="s">
        <v>3604</v>
      </c>
      <c r="I9723" s="1" t="s">
        <v>32127</v>
      </c>
      <c r="J9723" s="1" t="s">
        <v>3615</v>
      </c>
      <c r="K9723" s="1" t="s">
        <v>32128</v>
      </c>
      <c r="L9723" s="1"/>
      <c r="M9723" s="1"/>
    </row>
    <row x14ac:dyDescent="0.25" r="9724" customHeight="1" ht="18.75">
      <c r="A9724" s="1" t="s">
        <v>3617</v>
      </c>
      <c r="B9724" s="1" t="s">
        <v>5578</v>
      </c>
      <c r="C9724" s="1" t="s">
        <v>3619</v>
      </c>
      <c r="D9724" s="1" t="s">
        <v>3601</v>
      </c>
      <c r="E9724" s="1" t="s">
        <v>3611</v>
      </c>
      <c r="F9724" s="1" t="s">
        <v>32129</v>
      </c>
      <c r="G9724" s="1" t="s">
        <v>32130</v>
      </c>
      <c r="H9724" s="1" t="s">
        <v>3604</v>
      </c>
      <c r="I9724" s="1" t="s">
        <v>32131</v>
      </c>
      <c r="J9724" s="1" t="s">
        <v>3615</v>
      </c>
      <c r="K9724" s="1" t="s">
        <v>32130</v>
      </c>
      <c r="L9724" s="1"/>
      <c r="M9724" s="1"/>
    </row>
    <row x14ac:dyDescent="0.25" r="9725" customHeight="1" ht="18.75">
      <c r="A9725" s="1" t="s">
        <v>3693</v>
      </c>
      <c r="B9725" s="1" t="s">
        <v>5598</v>
      </c>
      <c r="C9725" s="1" t="s">
        <v>3600</v>
      </c>
      <c r="D9725" s="1" t="s">
        <v>3601</v>
      </c>
      <c r="E9725" s="1" t="s">
        <v>3664</v>
      </c>
      <c r="F9725" s="1" t="s">
        <v>32132</v>
      </c>
      <c r="G9725" s="1" t="s">
        <v>7102</v>
      </c>
      <c r="H9725" s="1" t="s">
        <v>3604</v>
      </c>
      <c r="I9725" s="1" t="s">
        <v>32133</v>
      </c>
      <c r="J9725" s="1" t="s">
        <v>3615</v>
      </c>
      <c r="K9725" s="1" t="s">
        <v>32134</v>
      </c>
      <c r="L9725" s="1"/>
      <c r="M9725" s="1"/>
    </row>
    <row x14ac:dyDescent="0.25" r="9726" customHeight="1" ht="18.75">
      <c r="A9726" s="1" t="s">
        <v>3617</v>
      </c>
      <c r="B9726" s="1" t="s">
        <v>32135</v>
      </c>
      <c r="C9726" s="1" t="s">
        <v>3619</v>
      </c>
      <c r="D9726" s="1" t="s">
        <v>3601</v>
      </c>
      <c r="E9726" s="1" t="s">
        <v>3611</v>
      </c>
      <c r="F9726" s="1" t="s">
        <v>32136</v>
      </c>
      <c r="G9726" s="1" t="s">
        <v>32137</v>
      </c>
      <c r="H9726" s="1" t="s">
        <v>3604</v>
      </c>
      <c r="I9726" s="1" t="s">
        <v>32138</v>
      </c>
      <c r="J9726" s="1" t="s">
        <v>3615</v>
      </c>
      <c r="K9726" s="1" t="s">
        <v>32137</v>
      </c>
      <c r="L9726" s="1"/>
      <c r="M9726" s="1"/>
    </row>
    <row x14ac:dyDescent="0.25" r="9727" customHeight="1" ht="18.75">
      <c r="A9727" s="1" t="s">
        <v>3617</v>
      </c>
      <c r="B9727" s="1" t="s">
        <v>5578</v>
      </c>
      <c r="C9727" s="1" t="s">
        <v>3619</v>
      </c>
      <c r="D9727" s="1" t="s">
        <v>3601</v>
      </c>
      <c r="E9727" s="1" t="s">
        <v>3611</v>
      </c>
      <c r="F9727" s="1" t="s">
        <v>32139</v>
      </c>
      <c r="G9727" s="1" t="s">
        <v>32140</v>
      </c>
      <c r="H9727" s="1" t="s">
        <v>3604</v>
      </c>
      <c r="I9727" s="1" t="s">
        <v>32141</v>
      </c>
      <c r="J9727" s="1" t="s">
        <v>3615</v>
      </c>
      <c r="K9727" s="1" t="s">
        <v>32140</v>
      </c>
      <c r="L9727" s="1"/>
      <c r="M9727" s="1"/>
    </row>
    <row x14ac:dyDescent="0.25" r="9728" customHeight="1" ht="18.75">
      <c r="A9728" s="1" t="s">
        <v>3693</v>
      </c>
      <c r="B9728" s="1" t="s">
        <v>4214</v>
      </c>
      <c r="C9728" s="1" t="s">
        <v>3600</v>
      </c>
      <c r="D9728" s="1" t="s">
        <v>3601</v>
      </c>
      <c r="E9728" s="1" t="s">
        <v>3664</v>
      </c>
      <c r="F9728" s="1" t="s">
        <v>32142</v>
      </c>
      <c r="G9728" s="1" t="s">
        <v>4726</v>
      </c>
      <c r="H9728" s="1" t="s">
        <v>3604</v>
      </c>
      <c r="I9728" s="1" t="s">
        <v>32143</v>
      </c>
      <c r="J9728" s="1" t="s">
        <v>3615</v>
      </c>
      <c r="K9728" s="1" t="s">
        <v>32144</v>
      </c>
      <c r="L9728" s="1"/>
      <c r="M9728" s="1"/>
    </row>
    <row x14ac:dyDescent="0.25" r="9729" customHeight="1" ht="18.75">
      <c r="A9729" s="1" t="s">
        <v>7833</v>
      </c>
      <c r="B9729" s="1" t="s">
        <v>9837</v>
      </c>
      <c r="C9729" s="1" t="s">
        <v>4488</v>
      </c>
      <c r="D9729" s="1" t="s">
        <v>3601</v>
      </c>
      <c r="E9729" s="1" t="s">
        <v>3752</v>
      </c>
      <c r="F9729" s="1" t="s">
        <v>32145</v>
      </c>
      <c r="G9729" s="1" t="s">
        <v>32146</v>
      </c>
      <c r="H9729" s="1" t="s">
        <v>3604</v>
      </c>
      <c r="I9729" s="1" t="s">
        <v>32147</v>
      </c>
      <c r="J9729" s="1" t="s">
        <v>3615</v>
      </c>
      <c r="K9729" s="1" t="s">
        <v>26435</v>
      </c>
      <c r="L9729" s="1"/>
      <c r="M9729" s="1"/>
    </row>
    <row x14ac:dyDescent="0.25" r="9730" customHeight="1" ht="18.75">
      <c r="A9730" s="1" t="s">
        <v>3617</v>
      </c>
      <c r="B9730" s="1" t="s">
        <v>5578</v>
      </c>
      <c r="C9730" s="1" t="s">
        <v>3619</v>
      </c>
      <c r="D9730" s="1" t="s">
        <v>3601</v>
      </c>
      <c r="E9730" s="1" t="s">
        <v>3611</v>
      </c>
      <c r="F9730" s="1" t="s">
        <v>32148</v>
      </c>
      <c r="G9730" s="1" t="s">
        <v>32149</v>
      </c>
      <c r="H9730" s="1" t="s">
        <v>3604</v>
      </c>
      <c r="I9730" s="1" t="s">
        <v>32150</v>
      </c>
      <c r="J9730" s="1" t="s">
        <v>3615</v>
      </c>
      <c r="K9730" s="1" t="s">
        <v>32149</v>
      </c>
      <c r="L9730" s="1"/>
      <c r="M9730" s="1"/>
    </row>
    <row x14ac:dyDescent="0.25" r="9731" customHeight="1" ht="18.75">
      <c r="A9731" s="1" t="s">
        <v>3693</v>
      </c>
      <c r="B9731" s="1" t="s">
        <v>4257</v>
      </c>
      <c r="C9731" s="1" t="s">
        <v>3619</v>
      </c>
      <c r="D9731" s="1" t="s">
        <v>3601</v>
      </c>
      <c r="E9731" s="1" t="s">
        <v>3664</v>
      </c>
      <c r="F9731" s="1" t="s">
        <v>32151</v>
      </c>
      <c r="G9731" s="1" t="s">
        <v>27267</v>
      </c>
      <c r="H9731" s="1" t="s">
        <v>3604</v>
      </c>
      <c r="I9731" s="1" t="s">
        <v>32152</v>
      </c>
      <c r="J9731" s="1" t="s">
        <v>3615</v>
      </c>
      <c r="K9731" s="1" t="s">
        <v>32153</v>
      </c>
      <c r="L9731" s="1"/>
      <c r="M9731" s="1"/>
    </row>
    <row x14ac:dyDescent="0.25" r="9732" customHeight="1" ht="18.75">
      <c r="A9732" s="1" t="s">
        <v>3617</v>
      </c>
      <c r="B9732" s="1" t="s">
        <v>5578</v>
      </c>
      <c r="C9732" s="1" t="s">
        <v>3619</v>
      </c>
      <c r="D9732" s="1" t="s">
        <v>3601</v>
      </c>
      <c r="E9732" s="1" t="s">
        <v>3611</v>
      </c>
      <c r="F9732" s="1" t="s">
        <v>32154</v>
      </c>
      <c r="G9732" s="1" t="s">
        <v>32155</v>
      </c>
      <c r="H9732" s="1" t="s">
        <v>3604</v>
      </c>
      <c r="I9732" s="1" t="s">
        <v>32156</v>
      </c>
      <c r="J9732" s="1" t="s">
        <v>3615</v>
      </c>
      <c r="K9732" s="1" t="s">
        <v>32155</v>
      </c>
      <c r="L9732" s="1"/>
      <c r="M9732" s="1"/>
    </row>
    <row x14ac:dyDescent="0.25" r="9733" customHeight="1" ht="18.75">
      <c r="A9733" s="1" t="s">
        <v>3693</v>
      </c>
      <c r="B9733" s="1" t="s">
        <v>4214</v>
      </c>
      <c r="C9733" s="1" t="s">
        <v>3600</v>
      </c>
      <c r="D9733" s="1" t="s">
        <v>3601</v>
      </c>
      <c r="E9733" s="1" t="s">
        <v>3664</v>
      </c>
      <c r="F9733" s="1" t="s">
        <v>32157</v>
      </c>
      <c r="G9733" s="1" t="s">
        <v>9997</v>
      </c>
      <c r="H9733" s="1" t="s">
        <v>3604</v>
      </c>
      <c r="I9733" s="1" t="s">
        <v>32158</v>
      </c>
      <c r="J9733" s="1" t="s">
        <v>3615</v>
      </c>
      <c r="K9733" s="1" t="s">
        <v>32159</v>
      </c>
      <c r="L9733" s="1"/>
      <c r="M9733" s="1"/>
    </row>
    <row x14ac:dyDescent="0.25" r="9734" customHeight="1" ht="18.75">
      <c r="A9734" s="1" t="s">
        <v>3617</v>
      </c>
      <c r="B9734" s="1" t="s">
        <v>32135</v>
      </c>
      <c r="C9734" s="1" t="s">
        <v>3619</v>
      </c>
      <c r="D9734" s="1" t="s">
        <v>3601</v>
      </c>
      <c r="E9734" s="1" t="s">
        <v>3611</v>
      </c>
      <c r="F9734" s="1" t="s">
        <v>32160</v>
      </c>
      <c r="G9734" s="1" t="s">
        <v>32161</v>
      </c>
      <c r="H9734" s="1" t="s">
        <v>3604</v>
      </c>
      <c r="I9734" s="1" t="s">
        <v>32162</v>
      </c>
      <c r="J9734" s="1" t="s">
        <v>3615</v>
      </c>
      <c r="K9734" s="1" t="s">
        <v>32161</v>
      </c>
      <c r="L9734" s="1"/>
      <c r="M9734" s="1"/>
    </row>
    <row x14ac:dyDescent="0.25" r="9735" customHeight="1" ht="18.75">
      <c r="A9735" s="1" t="s">
        <v>3693</v>
      </c>
      <c r="B9735" s="1" t="s">
        <v>4214</v>
      </c>
      <c r="C9735" s="1" t="s">
        <v>3600</v>
      </c>
      <c r="D9735" s="1" t="s">
        <v>3601</v>
      </c>
      <c r="E9735" s="1" t="s">
        <v>3664</v>
      </c>
      <c r="F9735" s="1" t="s">
        <v>32163</v>
      </c>
      <c r="G9735" s="1" t="s">
        <v>9997</v>
      </c>
      <c r="H9735" s="1" t="s">
        <v>3604</v>
      </c>
      <c r="I9735" s="1" t="s">
        <v>32164</v>
      </c>
      <c r="J9735" s="1" t="s">
        <v>3615</v>
      </c>
      <c r="K9735" s="1" t="s">
        <v>32159</v>
      </c>
      <c r="L9735" s="1"/>
      <c r="M9735" s="1"/>
    </row>
    <row x14ac:dyDescent="0.25" r="9736" customHeight="1" ht="18.75">
      <c r="A9736" s="1" t="s">
        <v>7833</v>
      </c>
      <c r="B9736" s="1" t="s">
        <v>9837</v>
      </c>
      <c r="C9736" s="1" t="s">
        <v>4488</v>
      </c>
      <c r="D9736" s="1" t="s">
        <v>3601</v>
      </c>
      <c r="E9736" s="1" t="s">
        <v>3752</v>
      </c>
      <c r="F9736" s="1" t="s">
        <v>32165</v>
      </c>
      <c r="G9736" s="1" t="s">
        <v>32146</v>
      </c>
      <c r="H9736" s="1" t="s">
        <v>3604</v>
      </c>
      <c r="I9736" s="1" t="s">
        <v>32166</v>
      </c>
      <c r="J9736" s="1" t="s">
        <v>3615</v>
      </c>
      <c r="K9736" s="1" t="s">
        <v>26429</v>
      </c>
      <c r="L9736" s="1"/>
      <c r="M9736" s="1"/>
    </row>
    <row x14ac:dyDescent="0.25" r="9737" customHeight="1" ht="18.75">
      <c r="A9737" s="1" t="s">
        <v>3617</v>
      </c>
      <c r="B9737" s="1" t="s">
        <v>32135</v>
      </c>
      <c r="C9737" s="1" t="s">
        <v>3619</v>
      </c>
      <c r="D9737" s="1" t="s">
        <v>3601</v>
      </c>
      <c r="E9737" s="1" t="s">
        <v>3611</v>
      </c>
      <c r="F9737" s="1" t="s">
        <v>32167</v>
      </c>
      <c r="G9737" s="1" t="s">
        <v>32168</v>
      </c>
      <c r="H9737" s="1" t="s">
        <v>3604</v>
      </c>
      <c r="I9737" s="1" t="s">
        <v>32169</v>
      </c>
      <c r="J9737" s="1" t="s">
        <v>3615</v>
      </c>
      <c r="K9737" s="1" t="s">
        <v>32168</v>
      </c>
      <c r="L9737" s="1"/>
      <c r="M9737" s="1"/>
    </row>
    <row x14ac:dyDescent="0.25" r="9738" customHeight="1" ht="18.75">
      <c r="A9738" s="1" t="s">
        <v>3693</v>
      </c>
      <c r="B9738" s="1" t="s">
        <v>4214</v>
      </c>
      <c r="C9738" s="1" t="s">
        <v>3600</v>
      </c>
      <c r="D9738" s="1" t="s">
        <v>3601</v>
      </c>
      <c r="E9738" s="1" t="s">
        <v>3664</v>
      </c>
      <c r="F9738" s="1" t="s">
        <v>32170</v>
      </c>
      <c r="G9738" s="1" t="s">
        <v>9997</v>
      </c>
      <c r="H9738" s="1" t="s">
        <v>3604</v>
      </c>
      <c r="I9738" s="1" t="s">
        <v>32171</v>
      </c>
      <c r="J9738" s="1" t="s">
        <v>3615</v>
      </c>
      <c r="K9738" s="1" t="s">
        <v>32159</v>
      </c>
      <c r="L9738" s="1"/>
      <c r="M9738" s="1"/>
    </row>
    <row x14ac:dyDescent="0.25" r="9739" customHeight="1" ht="18.75">
      <c r="A9739" s="1" t="s">
        <v>3617</v>
      </c>
      <c r="B9739" s="1" t="s">
        <v>3617</v>
      </c>
      <c r="C9739" s="1" t="s">
        <v>3619</v>
      </c>
      <c r="D9739" s="1" t="s">
        <v>3601</v>
      </c>
      <c r="E9739" s="1" t="s">
        <v>3611</v>
      </c>
      <c r="F9739" s="1" t="s">
        <v>32172</v>
      </c>
      <c r="G9739" s="1" t="s">
        <v>32173</v>
      </c>
      <c r="H9739" s="1" t="s">
        <v>3604</v>
      </c>
      <c r="I9739" s="1" t="s">
        <v>32174</v>
      </c>
      <c r="J9739" s="1" t="s">
        <v>3615</v>
      </c>
      <c r="K9739" s="1" t="s">
        <v>32173</v>
      </c>
      <c r="L9739" s="1"/>
      <c r="M9739" s="1"/>
    </row>
    <row x14ac:dyDescent="0.25" r="9740" customHeight="1" ht="18.75">
      <c r="A9740" s="1" t="s">
        <v>3693</v>
      </c>
      <c r="B9740" s="1" t="s">
        <v>4214</v>
      </c>
      <c r="C9740" s="1" t="s">
        <v>3600</v>
      </c>
      <c r="D9740" s="1" t="s">
        <v>3601</v>
      </c>
      <c r="E9740" s="1" t="s">
        <v>3664</v>
      </c>
      <c r="F9740" s="1" t="s">
        <v>32175</v>
      </c>
      <c r="G9740" s="1" t="s">
        <v>9997</v>
      </c>
      <c r="H9740" s="1" t="s">
        <v>3604</v>
      </c>
      <c r="I9740" s="1" t="s">
        <v>32176</v>
      </c>
      <c r="J9740" s="1" t="s">
        <v>3615</v>
      </c>
      <c r="K9740" s="1" t="s">
        <v>32159</v>
      </c>
      <c r="L9740" s="1"/>
      <c r="M9740" s="1"/>
    </row>
    <row x14ac:dyDescent="0.25" r="9741" customHeight="1" ht="18.75">
      <c r="A9741" s="1" t="s">
        <v>3617</v>
      </c>
      <c r="B9741" s="1" t="s">
        <v>32135</v>
      </c>
      <c r="C9741" s="1" t="s">
        <v>3619</v>
      </c>
      <c r="D9741" s="1" t="s">
        <v>3601</v>
      </c>
      <c r="E9741" s="1" t="s">
        <v>3611</v>
      </c>
      <c r="F9741" s="1" t="s">
        <v>32177</v>
      </c>
      <c r="G9741" s="1" t="s">
        <v>32178</v>
      </c>
      <c r="H9741" s="1" t="s">
        <v>3604</v>
      </c>
      <c r="I9741" s="1" t="s">
        <v>32179</v>
      </c>
      <c r="J9741" s="1" t="s">
        <v>3615</v>
      </c>
      <c r="K9741" s="1" t="s">
        <v>32178</v>
      </c>
      <c r="L9741" s="1"/>
      <c r="M9741" s="1"/>
    </row>
    <row x14ac:dyDescent="0.25" r="9742" customHeight="1" ht="18.75">
      <c r="A9742" s="1" t="s">
        <v>7833</v>
      </c>
      <c r="B9742" s="1" t="s">
        <v>9837</v>
      </c>
      <c r="C9742" s="1" t="s">
        <v>4488</v>
      </c>
      <c r="D9742" s="1" t="s">
        <v>3601</v>
      </c>
      <c r="E9742" s="1" t="s">
        <v>3752</v>
      </c>
      <c r="F9742" s="1" t="s">
        <v>32180</v>
      </c>
      <c r="G9742" s="1" t="s">
        <v>32146</v>
      </c>
      <c r="H9742" s="1" t="s">
        <v>3604</v>
      </c>
      <c r="I9742" s="1" t="s">
        <v>32181</v>
      </c>
      <c r="J9742" s="1" t="s">
        <v>3615</v>
      </c>
      <c r="K9742" s="1" t="s">
        <v>26432</v>
      </c>
      <c r="L9742" s="1"/>
      <c r="M9742" s="1"/>
    </row>
    <row x14ac:dyDescent="0.25" r="9743" customHeight="1" ht="18.75">
      <c r="A9743" s="1" t="s">
        <v>3617</v>
      </c>
      <c r="B9743" s="1" t="s">
        <v>3617</v>
      </c>
      <c r="C9743" s="1" t="s">
        <v>3619</v>
      </c>
      <c r="D9743" s="1" t="s">
        <v>3601</v>
      </c>
      <c r="E9743" s="1" t="s">
        <v>3611</v>
      </c>
      <c r="F9743" s="1" t="s">
        <v>32182</v>
      </c>
      <c r="G9743" s="1" t="s">
        <v>32183</v>
      </c>
      <c r="H9743" s="1" t="s">
        <v>3604</v>
      </c>
      <c r="I9743" s="1" t="s">
        <v>32184</v>
      </c>
      <c r="J9743" s="1" t="s">
        <v>3615</v>
      </c>
      <c r="K9743" s="1" t="s">
        <v>32183</v>
      </c>
      <c r="L9743" s="1"/>
      <c r="M9743" s="1"/>
    </row>
    <row x14ac:dyDescent="0.25" r="9744" customHeight="1" ht="18.75">
      <c r="A9744" s="1" t="s">
        <v>3617</v>
      </c>
      <c r="B9744" s="1" t="s">
        <v>32135</v>
      </c>
      <c r="C9744" s="1" t="s">
        <v>3619</v>
      </c>
      <c r="D9744" s="1" t="s">
        <v>3601</v>
      </c>
      <c r="E9744" s="1" t="s">
        <v>3611</v>
      </c>
      <c r="F9744" s="1" t="s">
        <v>32185</v>
      </c>
      <c r="G9744" s="1" t="s">
        <v>32186</v>
      </c>
      <c r="H9744" s="1" t="s">
        <v>3604</v>
      </c>
      <c r="I9744" s="1" t="s">
        <v>32187</v>
      </c>
      <c r="J9744" s="1" t="s">
        <v>3615</v>
      </c>
      <c r="K9744" s="1" t="s">
        <v>32186</v>
      </c>
      <c r="L9744" s="1"/>
      <c r="M9744" s="1"/>
    </row>
    <row x14ac:dyDescent="0.25" r="9745" customHeight="1" ht="18.75">
      <c r="A9745" s="1" t="s">
        <v>3693</v>
      </c>
      <c r="B9745" s="1" t="s">
        <v>4214</v>
      </c>
      <c r="C9745" s="1" t="s">
        <v>3600</v>
      </c>
      <c r="D9745" s="1" t="s">
        <v>3601</v>
      </c>
      <c r="E9745" s="1" t="s">
        <v>3664</v>
      </c>
      <c r="F9745" s="1" t="s">
        <v>32188</v>
      </c>
      <c r="G9745" s="1" t="s">
        <v>9997</v>
      </c>
      <c r="H9745" s="1" t="s">
        <v>3604</v>
      </c>
      <c r="I9745" s="1" t="s">
        <v>32189</v>
      </c>
      <c r="J9745" s="1" t="s">
        <v>3615</v>
      </c>
      <c r="K9745" s="1" t="s">
        <v>32159</v>
      </c>
      <c r="L9745" s="1"/>
      <c r="M9745" s="1"/>
    </row>
    <row x14ac:dyDescent="0.25" r="9746" customHeight="1" ht="18.75">
      <c r="A9746" s="1" t="s">
        <v>3693</v>
      </c>
      <c r="B9746" s="1" t="s">
        <v>4214</v>
      </c>
      <c r="C9746" s="1" t="s">
        <v>3600</v>
      </c>
      <c r="D9746" s="1" t="s">
        <v>3601</v>
      </c>
      <c r="E9746" s="1" t="s">
        <v>3664</v>
      </c>
      <c r="F9746" s="1" t="s">
        <v>32190</v>
      </c>
      <c r="G9746" s="1" t="s">
        <v>5953</v>
      </c>
      <c r="H9746" s="1" t="s">
        <v>3604</v>
      </c>
      <c r="I9746" s="1" t="s">
        <v>32191</v>
      </c>
      <c r="J9746" s="1" t="s">
        <v>3615</v>
      </c>
      <c r="K9746" s="1" t="s">
        <v>32192</v>
      </c>
      <c r="L9746" s="1"/>
      <c r="M9746" s="1"/>
    </row>
    <row x14ac:dyDescent="0.25" r="9747" customHeight="1" ht="18.75">
      <c r="A9747" s="1" t="s">
        <v>3617</v>
      </c>
      <c r="B9747" s="1" t="s">
        <v>32135</v>
      </c>
      <c r="C9747" s="1" t="s">
        <v>3619</v>
      </c>
      <c r="D9747" s="1" t="s">
        <v>3601</v>
      </c>
      <c r="E9747" s="1" t="s">
        <v>3611</v>
      </c>
      <c r="F9747" s="1" t="s">
        <v>32193</v>
      </c>
      <c r="G9747" s="1" t="s">
        <v>32194</v>
      </c>
      <c r="H9747" s="1" t="s">
        <v>3604</v>
      </c>
      <c r="I9747" s="1" t="s">
        <v>32195</v>
      </c>
      <c r="J9747" s="1" t="s">
        <v>3615</v>
      </c>
      <c r="K9747" s="1" t="s">
        <v>32194</v>
      </c>
      <c r="L9747" s="1"/>
      <c r="M9747" s="1"/>
    </row>
    <row x14ac:dyDescent="0.25" r="9748" customHeight="1" ht="18.75">
      <c r="A9748" s="1" t="s">
        <v>7833</v>
      </c>
      <c r="B9748" s="1" t="s">
        <v>9837</v>
      </c>
      <c r="C9748" s="1" t="s">
        <v>4488</v>
      </c>
      <c r="D9748" s="1" t="s">
        <v>3601</v>
      </c>
      <c r="E9748" s="1" t="s">
        <v>3752</v>
      </c>
      <c r="F9748" s="1" t="s">
        <v>32196</v>
      </c>
      <c r="G9748" s="1" t="s">
        <v>32146</v>
      </c>
      <c r="H9748" s="1" t="s">
        <v>3604</v>
      </c>
      <c r="I9748" s="1" t="s">
        <v>32197</v>
      </c>
      <c r="J9748" s="1" t="s">
        <v>3615</v>
      </c>
      <c r="K9748" s="1" t="s">
        <v>14919</v>
      </c>
      <c r="L9748" s="1"/>
      <c r="M9748" s="1"/>
    </row>
    <row x14ac:dyDescent="0.25" r="9749" customHeight="1" ht="18.75">
      <c r="A9749" s="1" t="s">
        <v>3617</v>
      </c>
      <c r="B9749" s="1" t="s">
        <v>3617</v>
      </c>
      <c r="C9749" s="1" t="s">
        <v>3619</v>
      </c>
      <c r="D9749" s="1" t="s">
        <v>3601</v>
      </c>
      <c r="E9749" s="1" t="s">
        <v>3611</v>
      </c>
      <c r="F9749" s="1" t="s">
        <v>32198</v>
      </c>
      <c r="G9749" s="1" t="s">
        <v>32199</v>
      </c>
      <c r="H9749" s="1" t="s">
        <v>3604</v>
      </c>
      <c r="I9749" s="1" t="s">
        <v>32200</v>
      </c>
      <c r="J9749" s="1" t="s">
        <v>3615</v>
      </c>
      <c r="K9749" s="1" t="s">
        <v>32199</v>
      </c>
      <c r="L9749" s="1"/>
      <c r="M9749" s="1"/>
    </row>
    <row x14ac:dyDescent="0.25" r="9750" customHeight="1" ht="18.75">
      <c r="A9750" s="1" t="s">
        <v>3693</v>
      </c>
      <c r="B9750" s="1" t="s">
        <v>4214</v>
      </c>
      <c r="C9750" s="1" t="s">
        <v>3600</v>
      </c>
      <c r="D9750" s="1" t="s">
        <v>3601</v>
      </c>
      <c r="E9750" s="1" t="s">
        <v>3664</v>
      </c>
      <c r="F9750" s="1" t="s">
        <v>32201</v>
      </c>
      <c r="G9750" s="1" t="s">
        <v>5953</v>
      </c>
      <c r="H9750" s="1" t="s">
        <v>3604</v>
      </c>
      <c r="I9750" s="1" t="s">
        <v>32202</v>
      </c>
      <c r="J9750" s="1" t="s">
        <v>3615</v>
      </c>
      <c r="K9750" s="1" t="s">
        <v>32192</v>
      </c>
      <c r="L9750" s="1"/>
      <c r="M9750" s="1"/>
    </row>
    <row x14ac:dyDescent="0.25" r="9751" customHeight="1" ht="18.75">
      <c r="A9751" s="1" t="s">
        <v>3617</v>
      </c>
      <c r="B9751" s="1" t="s">
        <v>32135</v>
      </c>
      <c r="C9751" s="1" t="s">
        <v>3619</v>
      </c>
      <c r="D9751" s="1" t="s">
        <v>3601</v>
      </c>
      <c r="E9751" s="1" t="s">
        <v>3611</v>
      </c>
      <c r="F9751" s="1" t="s">
        <v>32203</v>
      </c>
      <c r="G9751" s="1" t="s">
        <v>32204</v>
      </c>
      <c r="H9751" s="1" t="s">
        <v>3604</v>
      </c>
      <c r="I9751" s="1" t="s">
        <v>32205</v>
      </c>
      <c r="J9751" s="1" t="s">
        <v>3615</v>
      </c>
      <c r="K9751" s="1" t="s">
        <v>32204</v>
      </c>
      <c r="L9751" s="1"/>
      <c r="M9751" s="1"/>
    </row>
    <row x14ac:dyDescent="0.25" r="9752" customHeight="1" ht="18.75">
      <c r="A9752" s="1" t="s">
        <v>3693</v>
      </c>
      <c r="B9752" s="1" t="s">
        <v>4214</v>
      </c>
      <c r="C9752" s="1" t="s">
        <v>3600</v>
      </c>
      <c r="D9752" s="1" t="s">
        <v>3601</v>
      </c>
      <c r="E9752" s="1" t="s">
        <v>3664</v>
      </c>
      <c r="F9752" s="1" t="s">
        <v>32206</v>
      </c>
      <c r="G9752" s="1" t="s">
        <v>5953</v>
      </c>
      <c r="H9752" s="1" t="s">
        <v>3604</v>
      </c>
      <c r="I9752" s="1" t="s">
        <v>32207</v>
      </c>
      <c r="J9752" s="1" t="s">
        <v>3615</v>
      </c>
      <c r="K9752" s="1" t="s">
        <v>32192</v>
      </c>
      <c r="L9752" s="1"/>
      <c r="M9752" s="1"/>
    </row>
    <row x14ac:dyDescent="0.25" r="9753" customHeight="1" ht="18.75">
      <c r="A9753" s="1" t="s">
        <v>3617</v>
      </c>
      <c r="B9753" s="1" t="s">
        <v>32135</v>
      </c>
      <c r="C9753" s="1" t="s">
        <v>3619</v>
      </c>
      <c r="D9753" s="1" t="s">
        <v>3601</v>
      </c>
      <c r="E9753" s="1" t="s">
        <v>3611</v>
      </c>
      <c r="F9753" s="1" t="s">
        <v>32208</v>
      </c>
      <c r="G9753" s="1" t="s">
        <v>32209</v>
      </c>
      <c r="H9753" s="1" t="s">
        <v>3604</v>
      </c>
      <c r="I9753" s="1" t="s">
        <v>32210</v>
      </c>
      <c r="J9753" s="1" t="s">
        <v>3615</v>
      </c>
      <c r="K9753" s="1" t="s">
        <v>32209</v>
      </c>
      <c r="L9753" s="1"/>
      <c r="M9753" s="1"/>
    </row>
    <row x14ac:dyDescent="0.25" r="9754" customHeight="1" ht="18.75">
      <c r="A9754" s="1" t="s">
        <v>3617</v>
      </c>
      <c r="B9754" s="1" t="s">
        <v>3617</v>
      </c>
      <c r="C9754" s="1" t="s">
        <v>3619</v>
      </c>
      <c r="D9754" s="1" t="s">
        <v>3601</v>
      </c>
      <c r="E9754" s="1" t="s">
        <v>3611</v>
      </c>
      <c r="F9754" s="1" t="s">
        <v>32211</v>
      </c>
      <c r="G9754" s="1" t="s">
        <v>32212</v>
      </c>
      <c r="H9754" s="1" t="s">
        <v>3604</v>
      </c>
      <c r="I9754" s="1" t="s">
        <v>32213</v>
      </c>
      <c r="J9754" s="1" t="s">
        <v>3615</v>
      </c>
      <c r="K9754" s="1" t="s">
        <v>32212</v>
      </c>
      <c r="L9754" s="1"/>
      <c r="M9754" s="1"/>
    </row>
    <row x14ac:dyDescent="0.25" r="9755" customHeight="1" ht="18.75">
      <c r="A9755" s="1" t="s">
        <v>3693</v>
      </c>
      <c r="B9755" s="1" t="s">
        <v>4214</v>
      </c>
      <c r="C9755" s="1" t="s">
        <v>3600</v>
      </c>
      <c r="D9755" s="1" t="s">
        <v>3601</v>
      </c>
      <c r="E9755" s="1" t="s">
        <v>3664</v>
      </c>
      <c r="F9755" s="1" t="s">
        <v>32214</v>
      </c>
      <c r="G9755" s="1" t="s">
        <v>5953</v>
      </c>
      <c r="H9755" s="1" t="s">
        <v>3604</v>
      </c>
      <c r="I9755" s="1" t="s">
        <v>32215</v>
      </c>
      <c r="J9755" s="1" t="s">
        <v>3615</v>
      </c>
      <c r="K9755" s="1" t="s">
        <v>32192</v>
      </c>
      <c r="L9755" s="1"/>
      <c r="M9755" s="1"/>
    </row>
    <row x14ac:dyDescent="0.25" r="9756" customHeight="1" ht="18.75">
      <c r="A9756" s="1" t="s">
        <v>3617</v>
      </c>
      <c r="B9756" s="1" t="s">
        <v>32135</v>
      </c>
      <c r="C9756" s="1" t="s">
        <v>3619</v>
      </c>
      <c r="D9756" s="1" t="s">
        <v>3601</v>
      </c>
      <c r="E9756" s="1" t="s">
        <v>3611</v>
      </c>
      <c r="F9756" s="1" t="s">
        <v>32216</v>
      </c>
      <c r="G9756" s="1" t="s">
        <v>32217</v>
      </c>
      <c r="H9756" s="1" t="s">
        <v>3604</v>
      </c>
      <c r="I9756" s="1" t="s">
        <v>32218</v>
      </c>
      <c r="J9756" s="1" t="s">
        <v>3615</v>
      </c>
      <c r="K9756" s="1" t="s">
        <v>32217</v>
      </c>
      <c r="L9756" s="1"/>
      <c r="M9756" s="1"/>
    </row>
    <row x14ac:dyDescent="0.25" r="9757" customHeight="1" ht="18.75">
      <c r="A9757" s="1" t="s">
        <v>3617</v>
      </c>
      <c r="B9757" s="1" t="s">
        <v>3617</v>
      </c>
      <c r="C9757" s="1" t="s">
        <v>3619</v>
      </c>
      <c r="D9757" s="1" t="s">
        <v>3601</v>
      </c>
      <c r="E9757" s="1" t="s">
        <v>3611</v>
      </c>
      <c r="F9757" s="1" t="s">
        <v>32219</v>
      </c>
      <c r="G9757" s="1" t="s">
        <v>32220</v>
      </c>
      <c r="H9757" s="1" t="s">
        <v>3604</v>
      </c>
      <c r="I9757" s="1" t="s">
        <v>32221</v>
      </c>
      <c r="J9757" s="1" t="s">
        <v>3615</v>
      </c>
      <c r="K9757" s="1" t="s">
        <v>32220</v>
      </c>
      <c r="L9757" s="1"/>
      <c r="M9757" s="1"/>
    </row>
    <row x14ac:dyDescent="0.25" r="9758" customHeight="1" ht="18.75">
      <c r="A9758" s="1" t="s">
        <v>3693</v>
      </c>
      <c r="B9758" s="1" t="s">
        <v>4214</v>
      </c>
      <c r="C9758" s="1" t="s">
        <v>3600</v>
      </c>
      <c r="D9758" s="1" t="s">
        <v>3601</v>
      </c>
      <c r="E9758" s="1" t="s">
        <v>3664</v>
      </c>
      <c r="F9758" s="1" t="s">
        <v>32222</v>
      </c>
      <c r="G9758" s="1" t="s">
        <v>5953</v>
      </c>
      <c r="H9758" s="1" t="s">
        <v>3604</v>
      </c>
      <c r="I9758" s="1" t="s">
        <v>32223</v>
      </c>
      <c r="J9758" s="1" t="s">
        <v>3615</v>
      </c>
      <c r="K9758" s="1" t="s">
        <v>32192</v>
      </c>
      <c r="L9758" s="1"/>
      <c r="M9758" s="1"/>
    </row>
    <row x14ac:dyDescent="0.25" r="9759" customHeight="1" ht="18.75">
      <c r="A9759" s="1" t="s">
        <v>3617</v>
      </c>
      <c r="B9759" s="1" t="s">
        <v>3617</v>
      </c>
      <c r="C9759" s="1" t="s">
        <v>3619</v>
      </c>
      <c r="D9759" s="1" t="s">
        <v>3601</v>
      </c>
      <c r="E9759" s="1" t="s">
        <v>3611</v>
      </c>
      <c r="F9759" s="1" t="s">
        <v>32224</v>
      </c>
      <c r="G9759" s="1" t="s">
        <v>32225</v>
      </c>
      <c r="H9759" s="1" t="s">
        <v>3604</v>
      </c>
      <c r="I9759" s="1" t="s">
        <v>32226</v>
      </c>
      <c r="J9759" s="1" t="s">
        <v>3615</v>
      </c>
      <c r="K9759" s="1" t="s">
        <v>32225</v>
      </c>
      <c r="L9759" s="1"/>
      <c r="M9759" s="1"/>
    </row>
    <row x14ac:dyDescent="0.25" r="9760" customHeight="1" ht="18.75">
      <c r="A9760" s="1" t="s">
        <v>3617</v>
      </c>
      <c r="B9760" s="1" t="s">
        <v>32135</v>
      </c>
      <c r="C9760" s="1" t="s">
        <v>3619</v>
      </c>
      <c r="D9760" s="1" t="s">
        <v>3601</v>
      </c>
      <c r="E9760" s="1" t="s">
        <v>3611</v>
      </c>
      <c r="F9760" s="1" t="s">
        <v>32227</v>
      </c>
      <c r="G9760" s="1" t="s">
        <v>32228</v>
      </c>
      <c r="H9760" s="1" t="s">
        <v>3604</v>
      </c>
      <c r="I9760" s="1" t="s">
        <v>32229</v>
      </c>
      <c r="J9760" s="1" t="s">
        <v>3615</v>
      </c>
      <c r="K9760" s="1" t="s">
        <v>32228</v>
      </c>
      <c r="L9760" s="1"/>
      <c r="M9760" s="1"/>
    </row>
    <row x14ac:dyDescent="0.25" r="9761" customHeight="1" ht="18.75">
      <c r="A9761" s="1" t="s">
        <v>7833</v>
      </c>
      <c r="B9761" s="1" t="s">
        <v>8204</v>
      </c>
      <c r="C9761" s="1" t="s">
        <v>4488</v>
      </c>
      <c r="D9761" s="1" t="s">
        <v>3601</v>
      </c>
      <c r="E9761" s="1" t="s">
        <v>3611</v>
      </c>
      <c r="F9761" s="1" t="s">
        <v>32230</v>
      </c>
      <c r="G9761" s="1" t="s">
        <v>14247</v>
      </c>
      <c r="H9761" s="1" t="s">
        <v>3604</v>
      </c>
      <c r="I9761" s="1" t="s">
        <v>32231</v>
      </c>
      <c r="J9761" s="1" t="s">
        <v>3606</v>
      </c>
      <c r="K9761" s="1" t="s">
        <v>32232</v>
      </c>
      <c r="L9761" s="1"/>
      <c r="M9761" s="1"/>
    </row>
    <row x14ac:dyDescent="0.25" r="9762" customHeight="1" ht="18.75">
      <c r="A9762" s="1" t="s">
        <v>3693</v>
      </c>
      <c r="B9762" s="1" t="s">
        <v>3720</v>
      </c>
      <c r="C9762" s="1" t="s">
        <v>3619</v>
      </c>
      <c r="D9762" s="1" t="s">
        <v>28428</v>
      </c>
      <c r="E9762" s="1" t="s">
        <v>3664</v>
      </c>
      <c r="F9762" s="1" t="s">
        <v>32093</v>
      </c>
      <c r="G9762" s="1" t="s">
        <v>27350</v>
      </c>
      <c r="H9762" s="1" t="s">
        <v>3604</v>
      </c>
      <c r="I9762" s="1" t="s">
        <v>32233</v>
      </c>
      <c r="J9762" s="1" t="s">
        <v>3615</v>
      </c>
      <c r="K9762" s="1" t="s">
        <v>32092</v>
      </c>
      <c r="L9762" s="1"/>
      <c r="M9762" s="1"/>
    </row>
    <row x14ac:dyDescent="0.25" r="9763" customHeight="1" ht="18.75">
      <c r="A9763" s="1" t="s">
        <v>3617</v>
      </c>
      <c r="B9763" s="1" t="s">
        <v>3617</v>
      </c>
      <c r="C9763" s="1" t="s">
        <v>3619</v>
      </c>
      <c r="D9763" s="1" t="s">
        <v>3601</v>
      </c>
      <c r="E9763" s="1" t="s">
        <v>3611</v>
      </c>
      <c r="F9763" s="1" t="s">
        <v>32234</v>
      </c>
      <c r="G9763" s="1" t="s">
        <v>32235</v>
      </c>
      <c r="H9763" s="1" t="s">
        <v>3604</v>
      </c>
      <c r="I9763" s="1" t="s">
        <v>32236</v>
      </c>
      <c r="J9763" s="1" t="s">
        <v>3615</v>
      </c>
      <c r="K9763" s="1" t="s">
        <v>32235</v>
      </c>
      <c r="L9763" s="1"/>
      <c r="M9763" s="1"/>
    </row>
    <row x14ac:dyDescent="0.25" r="9764" customHeight="1" ht="18.75">
      <c r="A9764" s="1" t="s">
        <v>3693</v>
      </c>
      <c r="B9764" s="1" t="s">
        <v>3720</v>
      </c>
      <c r="C9764" s="1" t="s">
        <v>3619</v>
      </c>
      <c r="D9764" s="1" t="s">
        <v>28428</v>
      </c>
      <c r="E9764" s="1" t="s">
        <v>3664</v>
      </c>
      <c r="F9764" s="1" t="s">
        <v>32093</v>
      </c>
      <c r="G9764" s="1" t="s">
        <v>27341</v>
      </c>
      <c r="H9764" s="1" t="s">
        <v>3604</v>
      </c>
      <c r="I9764" s="1" t="s">
        <v>32237</v>
      </c>
      <c r="J9764" s="1" t="s">
        <v>3615</v>
      </c>
      <c r="K9764" s="1" t="s">
        <v>32238</v>
      </c>
      <c r="L9764" s="1"/>
      <c r="M9764" s="1"/>
    </row>
    <row x14ac:dyDescent="0.25" r="9765" customHeight="1" ht="18.75">
      <c r="A9765" s="1" t="s">
        <v>3617</v>
      </c>
      <c r="B9765" s="1" t="s">
        <v>3617</v>
      </c>
      <c r="C9765" s="1" t="s">
        <v>3619</v>
      </c>
      <c r="D9765" s="1" t="s">
        <v>3601</v>
      </c>
      <c r="E9765" s="1" t="s">
        <v>3611</v>
      </c>
      <c r="F9765" s="1" t="s">
        <v>32239</v>
      </c>
      <c r="G9765" s="1" t="s">
        <v>32240</v>
      </c>
      <c r="H9765" s="1" t="s">
        <v>3604</v>
      </c>
      <c r="I9765" s="1" t="s">
        <v>32241</v>
      </c>
      <c r="J9765" s="1" t="s">
        <v>3615</v>
      </c>
      <c r="K9765" s="1" t="s">
        <v>32240</v>
      </c>
      <c r="L9765" s="1"/>
      <c r="M9765" s="1"/>
    </row>
    <row x14ac:dyDescent="0.25" r="9766" customHeight="1" ht="18.75">
      <c r="A9766" s="1" t="s">
        <v>3693</v>
      </c>
      <c r="B9766" s="1" t="s">
        <v>3720</v>
      </c>
      <c r="C9766" s="1" t="s">
        <v>3619</v>
      </c>
      <c r="D9766" s="1" t="s">
        <v>28428</v>
      </c>
      <c r="E9766" s="1" t="s">
        <v>3664</v>
      </c>
      <c r="F9766" s="1" t="s">
        <v>32242</v>
      </c>
      <c r="G9766" s="1" t="s">
        <v>32243</v>
      </c>
      <c r="H9766" s="1" t="s">
        <v>3604</v>
      </c>
      <c r="I9766" s="1" t="s">
        <v>32244</v>
      </c>
      <c r="J9766" s="1" t="s">
        <v>3615</v>
      </c>
      <c r="K9766" s="1" t="s">
        <v>32245</v>
      </c>
      <c r="L9766" s="1"/>
      <c r="M9766" s="1"/>
    </row>
    <row x14ac:dyDescent="0.25" r="9767" customHeight="1" ht="18.75">
      <c r="A9767" s="1" t="s">
        <v>3617</v>
      </c>
      <c r="B9767" s="1" t="s">
        <v>3617</v>
      </c>
      <c r="C9767" s="1" t="s">
        <v>3619</v>
      </c>
      <c r="D9767" s="1" t="s">
        <v>3601</v>
      </c>
      <c r="E9767" s="1" t="s">
        <v>3611</v>
      </c>
      <c r="F9767" s="1" t="s">
        <v>32246</v>
      </c>
      <c r="G9767" s="1" t="s">
        <v>32173</v>
      </c>
      <c r="H9767" s="1" t="s">
        <v>3604</v>
      </c>
      <c r="I9767" s="1" t="s">
        <v>32247</v>
      </c>
      <c r="J9767" s="1" t="s">
        <v>3615</v>
      </c>
      <c r="K9767" s="1" t="s">
        <v>32173</v>
      </c>
      <c r="L9767" s="1"/>
      <c r="M9767" s="1"/>
    </row>
    <row x14ac:dyDescent="0.25" r="9768" customHeight="1" ht="18.75">
      <c r="A9768" s="1" t="s">
        <v>3693</v>
      </c>
      <c r="B9768" s="1" t="s">
        <v>4204</v>
      </c>
      <c r="C9768" s="1" t="s">
        <v>3600</v>
      </c>
      <c r="D9768" s="1" t="s">
        <v>3601</v>
      </c>
      <c r="E9768" s="1" t="s">
        <v>3893</v>
      </c>
      <c r="F9768" s="1" t="s">
        <v>32248</v>
      </c>
      <c r="G9768" s="1" t="s">
        <v>4443</v>
      </c>
      <c r="H9768" s="1" t="s">
        <v>3604</v>
      </c>
      <c r="I9768" s="1" t="s">
        <v>32249</v>
      </c>
      <c r="J9768" s="1" t="s">
        <v>3615</v>
      </c>
      <c r="K9768" s="1" t="s">
        <v>32250</v>
      </c>
      <c r="L9768" s="1"/>
      <c r="M9768" s="1"/>
    </row>
    <row x14ac:dyDescent="0.25" r="9769" customHeight="1" ht="18.75">
      <c r="A9769" s="1" t="s">
        <v>3617</v>
      </c>
      <c r="B9769" s="1" t="s">
        <v>3617</v>
      </c>
      <c r="C9769" s="1" t="s">
        <v>3619</v>
      </c>
      <c r="D9769" s="1" t="s">
        <v>3601</v>
      </c>
      <c r="E9769" s="1" t="s">
        <v>3611</v>
      </c>
      <c r="F9769" s="1" t="s">
        <v>32251</v>
      </c>
      <c r="G9769" s="1" t="s">
        <v>32183</v>
      </c>
      <c r="H9769" s="1" t="s">
        <v>3604</v>
      </c>
      <c r="I9769" s="1" t="s">
        <v>32252</v>
      </c>
      <c r="J9769" s="1" t="s">
        <v>3615</v>
      </c>
      <c r="K9769" s="1" t="s">
        <v>32183</v>
      </c>
      <c r="L9769" s="1"/>
      <c r="M9769" s="1"/>
    </row>
    <row x14ac:dyDescent="0.25" r="9770" customHeight="1" ht="18.75">
      <c r="A9770" s="1" t="s">
        <v>3693</v>
      </c>
      <c r="B9770" s="1" t="s">
        <v>4204</v>
      </c>
      <c r="C9770" s="1" t="s">
        <v>3600</v>
      </c>
      <c r="D9770" s="1" t="s">
        <v>3601</v>
      </c>
      <c r="E9770" s="1" t="s">
        <v>3893</v>
      </c>
      <c r="F9770" s="1" t="s">
        <v>32253</v>
      </c>
      <c r="G9770" s="1" t="s">
        <v>4443</v>
      </c>
      <c r="H9770" s="1" t="s">
        <v>3604</v>
      </c>
      <c r="I9770" s="1" t="s">
        <v>32254</v>
      </c>
      <c r="J9770" s="1" t="s">
        <v>3615</v>
      </c>
      <c r="K9770" s="1" t="s">
        <v>32255</v>
      </c>
      <c r="L9770" s="1"/>
      <c r="M9770" s="1"/>
    </row>
    <row x14ac:dyDescent="0.25" r="9771" customHeight="1" ht="18.75">
      <c r="A9771" s="1" t="s">
        <v>3693</v>
      </c>
      <c r="B9771" s="1" t="s">
        <v>4204</v>
      </c>
      <c r="C9771" s="1" t="s">
        <v>3600</v>
      </c>
      <c r="D9771" s="1" t="s">
        <v>3601</v>
      </c>
      <c r="E9771" s="1" t="s">
        <v>3893</v>
      </c>
      <c r="F9771" s="1" t="s">
        <v>32256</v>
      </c>
      <c r="G9771" s="1" t="s">
        <v>4443</v>
      </c>
      <c r="H9771" s="1" t="s">
        <v>3604</v>
      </c>
      <c r="I9771" s="1" t="s">
        <v>32257</v>
      </c>
      <c r="J9771" s="1" t="s">
        <v>3615</v>
      </c>
      <c r="K9771" s="1" t="s">
        <v>32255</v>
      </c>
      <c r="L9771" s="1"/>
      <c r="M9771" s="1"/>
    </row>
    <row x14ac:dyDescent="0.25" r="9772" customHeight="1" ht="18.75">
      <c r="A9772" s="1" t="s">
        <v>3693</v>
      </c>
      <c r="B9772" s="1" t="s">
        <v>5598</v>
      </c>
      <c r="C9772" s="1" t="s">
        <v>3600</v>
      </c>
      <c r="D9772" s="1" t="s">
        <v>3601</v>
      </c>
      <c r="E9772" s="1" t="s">
        <v>3664</v>
      </c>
      <c r="F9772" s="1" t="s">
        <v>32258</v>
      </c>
      <c r="G9772" s="1" t="s">
        <v>32259</v>
      </c>
      <c r="H9772" s="1" t="s">
        <v>3604</v>
      </c>
      <c r="I9772" s="1" t="s">
        <v>32260</v>
      </c>
      <c r="J9772" s="1" t="s">
        <v>3615</v>
      </c>
      <c r="K9772" s="1" t="s">
        <v>32261</v>
      </c>
      <c r="L9772" s="1"/>
      <c r="M9772" s="1"/>
    </row>
    <row x14ac:dyDescent="0.25" r="9773" customHeight="1" ht="18.75">
      <c r="A9773" s="1" t="s">
        <v>3693</v>
      </c>
      <c r="B9773" s="1" t="s">
        <v>4083</v>
      </c>
      <c r="C9773" s="1" t="s">
        <v>3600</v>
      </c>
      <c r="D9773" s="1" t="s">
        <v>3601</v>
      </c>
      <c r="E9773" s="1" t="s">
        <v>3893</v>
      </c>
      <c r="F9773" s="1" t="s">
        <v>32262</v>
      </c>
      <c r="G9773" s="1" t="s">
        <v>4346</v>
      </c>
      <c r="H9773" s="1" t="s">
        <v>3604</v>
      </c>
      <c r="I9773" s="1" t="s">
        <v>32263</v>
      </c>
      <c r="J9773" s="1" t="s">
        <v>3615</v>
      </c>
      <c r="K9773" s="1" t="s">
        <v>32264</v>
      </c>
      <c r="L9773" s="1"/>
      <c r="M9773" s="1"/>
    </row>
    <row x14ac:dyDescent="0.25" r="9774" customHeight="1" ht="18.75">
      <c r="A9774" s="1" t="s">
        <v>3693</v>
      </c>
      <c r="B9774" s="1" t="s">
        <v>4125</v>
      </c>
      <c r="C9774" s="1" t="s">
        <v>3619</v>
      </c>
      <c r="D9774" s="1" t="s">
        <v>31579</v>
      </c>
      <c r="E9774" s="1" t="s">
        <v>3664</v>
      </c>
      <c r="F9774" s="1" t="s">
        <v>32265</v>
      </c>
      <c r="G9774" s="1" t="s">
        <v>10271</v>
      </c>
      <c r="H9774" s="1" t="s">
        <v>3604</v>
      </c>
      <c r="I9774" s="1" t="s">
        <v>32266</v>
      </c>
      <c r="J9774" s="1" t="s">
        <v>3615</v>
      </c>
      <c r="K9774" s="1" t="s">
        <v>32267</v>
      </c>
      <c r="L9774" s="1"/>
      <c r="M9774" s="1"/>
    </row>
    <row x14ac:dyDescent="0.25" r="9775" customHeight="1" ht="18.75">
      <c r="A9775" s="1" t="s">
        <v>3598</v>
      </c>
      <c r="B9775" s="1" t="s">
        <v>9012</v>
      </c>
      <c r="C9775" s="1" t="s">
        <v>3600</v>
      </c>
      <c r="D9775" s="1" t="s">
        <v>3601</v>
      </c>
      <c r="E9775" s="1" t="s">
        <v>3893</v>
      </c>
      <c r="F9775" s="1" t="s">
        <v>32268</v>
      </c>
      <c r="G9775" s="1" t="s">
        <v>9014</v>
      </c>
      <c r="H9775" s="1" t="s">
        <v>3604</v>
      </c>
      <c r="I9775" s="1" t="s">
        <v>32269</v>
      </c>
      <c r="J9775" s="1" t="s">
        <v>3606</v>
      </c>
      <c r="K9775" s="1" t="s">
        <v>32270</v>
      </c>
      <c r="L9775" s="1"/>
      <c r="M9775" s="1"/>
    </row>
    <row x14ac:dyDescent="0.25" r="9776" customHeight="1" ht="18.75">
      <c r="A9776" s="1" t="s">
        <v>3693</v>
      </c>
      <c r="B9776" s="1" t="s">
        <v>32271</v>
      </c>
      <c r="C9776" s="1" t="s">
        <v>3600</v>
      </c>
      <c r="D9776" s="1" t="s">
        <v>7994</v>
      </c>
      <c r="E9776" s="1" t="s">
        <v>3664</v>
      </c>
      <c r="F9776" s="1" t="s">
        <v>32272</v>
      </c>
      <c r="G9776" s="1" t="s">
        <v>7096</v>
      </c>
      <c r="H9776" s="1" t="s">
        <v>3604</v>
      </c>
      <c r="I9776" s="1" t="s">
        <v>32273</v>
      </c>
      <c r="J9776" s="1" t="s">
        <v>3615</v>
      </c>
      <c r="K9776" s="1" t="s">
        <v>32274</v>
      </c>
      <c r="L9776" s="1"/>
      <c r="M9776" s="1"/>
    </row>
    <row x14ac:dyDescent="0.25" r="9777" customHeight="1" ht="18.75">
      <c r="A9777" s="1" t="s">
        <v>3693</v>
      </c>
      <c r="B9777" s="1" t="s">
        <v>32275</v>
      </c>
      <c r="C9777" s="1" t="s">
        <v>3600</v>
      </c>
      <c r="D9777" s="1" t="s">
        <v>7994</v>
      </c>
      <c r="E9777" s="1" t="s">
        <v>3664</v>
      </c>
      <c r="F9777" s="1" t="s">
        <v>32276</v>
      </c>
      <c r="G9777" s="1" t="s">
        <v>4735</v>
      </c>
      <c r="H9777" s="1" t="s">
        <v>3604</v>
      </c>
      <c r="I9777" s="1" t="s">
        <v>32277</v>
      </c>
      <c r="J9777" s="1" t="s">
        <v>3615</v>
      </c>
      <c r="K9777" s="1" t="s">
        <v>32278</v>
      </c>
      <c r="L9777" s="1"/>
      <c r="M9777" s="1"/>
    </row>
    <row x14ac:dyDescent="0.25" r="9778" customHeight="1" ht="18.75">
      <c r="A9778" s="1" t="s">
        <v>3693</v>
      </c>
      <c r="B9778" s="1" t="s">
        <v>5974</v>
      </c>
      <c r="C9778" s="1" t="s">
        <v>3619</v>
      </c>
      <c r="D9778" s="1" t="s">
        <v>28428</v>
      </c>
      <c r="E9778" s="1" t="s">
        <v>3664</v>
      </c>
      <c r="F9778" s="1" t="s">
        <v>32279</v>
      </c>
      <c r="G9778" s="1" t="s">
        <v>10082</v>
      </c>
      <c r="H9778" s="1" t="s">
        <v>3604</v>
      </c>
      <c r="I9778" s="1" t="s">
        <v>32280</v>
      </c>
      <c r="J9778" s="1" t="s">
        <v>3615</v>
      </c>
      <c r="K9778" s="1" t="s">
        <v>32281</v>
      </c>
      <c r="L9778" s="1"/>
      <c r="M9778" s="1"/>
    </row>
    <row x14ac:dyDescent="0.25" r="9779" customHeight="1" ht="18.75">
      <c r="A9779" s="1" t="s">
        <v>3598</v>
      </c>
      <c r="B9779" s="1" t="s">
        <v>9025</v>
      </c>
      <c r="C9779" s="1" t="s">
        <v>3600</v>
      </c>
      <c r="D9779" s="1" t="s">
        <v>3601</v>
      </c>
      <c r="E9779" s="1" t="s">
        <v>3664</v>
      </c>
      <c r="F9779" s="1" t="s">
        <v>32282</v>
      </c>
      <c r="G9779" s="1" t="s">
        <v>9027</v>
      </c>
      <c r="H9779" s="1" t="s">
        <v>3604</v>
      </c>
      <c r="I9779" s="1" t="s">
        <v>32283</v>
      </c>
      <c r="J9779" s="1" t="s">
        <v>3615</v>
      </c>
      <c r="K9779" s="1" t="s">
        <v>32284</v>
      </c>
      <c r="L9779" s="1"/>
      <c r="M9779" s="1"/>
    </row>
    <row x14ac:dyDescent="0.25" r="9780" customHeight="1" ht="18.75">
      <c r="A9780" s="1" t="s">
        <v>3617</v>
      </c>
      <c r="B9780" s="1" t="s">
        <v>32135</v>
      </c>
      <c r="C9780" s="1" t="s">
        <v>3619</v>
      </c>
      <c r="D9780" s="1" t="s">
        <v>3601</v>
      </c>
      <c r="E9780" s="1" t="s">
        <v>3611</v>
      </c>
      <c r="F9780" s="1" t="s">
        <v>32285</v>
      </c>
      <c r="G9780" s="1" t="s">
        <v>32286</v>
      </c>
      <c r="H9780" s="1" t="s">
        <v>3604</v>
      </c>
      <c r="I9780" s="1" t="s">
        <v>32287</v>
      </c>
      <c r="J9780" s="1" t="s">
        <v>3615</v>
      </c>
      <c r="K9780" s="1" t="s">
        <v>32286</v>
      </c>
      <c r="L9780" s="1"/>
      <c r="M9780" s="1"/>
    </row>
    <row x14ac:dyDescent="0.25" r="9781" customHeight="1" ht="18.75">
      <c r="A9781" s="1" t="s">
        <v>7833</v>
      </c>
      <c r="B9781" s="1" t="s">
        <v>7872</v>
      </c>
      <c r="C9781" s="1" t="s">
        <v>4488</v>
      </c>
      <c r="D9781" s="1" t="s">
        <v>3601</v>
      </c>
      <c r="E9781" s="1" t="s">
        <v>8096</v>
      </c>
      <c r="F9781" s="1" t="s">
        <v>32288</v>
      </c>
      <c r="G9781" s="1" t="s">
        <v>26450</v>
      </c>
      <c r="H9781" s="1" t="s">
        <v>3604</v>
      </c>
      <c r="I9781" s="1" t="s">
        <v>32289</v>
      </c>
      <c r="J9781" s="1" t="s">
        <v>3615</v>
      </c>
      <c r="K9781" s="1" t="s">
        <v>32290</v>
      </c>
      <c r="L9781" s="1"/>
      <c r="M9781" s="1"/>
    </row>
    <row x14ac:dyDescent="0.25" r="9782" customHeight="1" ht="18.75">
      <c r="A9782" s="1" t="s">
        <v>3693</v>
      </c>
      <c r="B9782" s="1" t="s">
        <v>5974</v>
      </c>
      <c r="C9782" s="1" t="s">
        <v>3619</v>
      </c>
      <c r="D9782" s="1" t="s">
        <v>28428</v>
      </c>
      <c r="E9782" s="1" t="s">
        <v>3664</v>
      </c>
      <c r="F9782" s="1" t="s">
        <v>32291</v>
      </c>
      <c r="G9782" s="1" t="s">
        <v>10082</v>
      </c>
      <c r="H9782" s="1" t="s">
        <v>3604</v>
      </c>
      <c r="I9782" s="1" t="s">
        <v>32292</v>
      </c>
      <c r="J9782" s="1" t="s">
        <v>3615</v>
      </c>
      <c r="K9782" s="1" t="s">
        <v>32293</v>
      </c>
      <c r="L9782" s="1"/>
      <c r="M9782" s="1"/>
    </row>
    <row x14ac:dyDescent="0.25" r="9783" customHeight="1" ht="18.75">
      <c r="A9783" s="1" t="s">
        <v>3617</v>
      </c>
      <c r="B9783" s="1" t="s">
        <v>32135</v>
      </c>
      <c r="C9783" s="1" t="s">
        <v>3619</v>
      </c>
      <c r="D9783" s="1" t="s">
        <v>3601</v>
      </c>
      <c r="E9783" s="1" t="s">
        <v>3611</v>
      </c>
      <c r="F9783" s="1" t="s">
        <v>32294</v>
      </c>
      <c r="G9783" s="1" t="s">
        <v>32295</v>
      </c>
      <c r="H9783" s="1" t="s">
        <v>3604</v>
      </c>
      <c r="I9783" s="1" t="s">
        <v>32296</v>
      </c>
      <c r="J9783" s="1" t="s">
        <v>3615</v>
      </c>
      <c r="K9783" s="1" t="s">
        <v>32295</v>
      </c>
      <c r="L9783" s="1"/>
      <c r="M9783" s="1"/>
    </row>
    <row x14ac:dyDescent="0.25" r="9784" customHeight="1" ht="18.75">
      <c r="A9784" s="1" t="s">
        <v>3598</v>
      </c>
      <c r="B9784" s="1" t="s">
        <v>8581</v>
      </c>
      <c r="C9784" s="1" t="s">
        <v>3600</v>
      </c>
      <c r="D9784" s="1" t="s">
        <v>7994</v>
      </c>
      <c r="E9784" s="1" t="s">
        <v>3664</v>
      </c>
      <c r="F9784" s="1" t="s">
        <v>32297</v>
      </c>
      <c r="G9784" s="1" t="s">
        <v>28999</v>
      </c>
      <c r="H9784" s="1" t="s">
        <v>3604</v>
      </c>
      <c r="I9784" s="1" t="s">
        <v>32298</v>
      </c>
      <c r="J9784" s="1" t="s">
        <v>3615</v>
      </c>
      <c r="K9784" s="1" t="s">
        <v>32299</v>
      </c>
      <c r="L9784" s="1"/>
      <c r="M9784" s="1"/>
    </row>
    <row x14ac:dyDescent="0.25" r="9785" customHeight="1" ht="18.75">
      <c r="A9785" s="1" t="s">
        <v>3693</v>
      </c>
      <c r="B9785" s="1" t="s">
        <v>5619</v>
      </c>
      <c r="C9785" s="1" t="s">
        <v>3600</v>
      </c>
      <c r="D9785" s="1" t="s">
        <v>3601</v>
      </c>
      <c r="E9785" s="1" t="s">
        <v>3664</v>
      </c>
      <c r="F9785" s="1" t="s">
        <v>32300</v>
      </c>
      <c r="G9785" s="1" t="s">
        <v>5624</v>
      </c>
      <c r="H9785" s="1" t="s">
        <v>3604</v>
      </c>
      <c r="I9785" s="1" t="s">
        <v>32301</v>
      </c>
      <c r="J9785" s="1" t="s">
        <v>3615</v>
      </c>
      <c r="K9785" s="1" t="s">
        <v>32302</v>
      </c>
      <c r="L9785" s="1"/>
      <c r="M9785" s="1"/>
    </row>
    <row x14ac:dyDescent="0.25" r="9786" customHeight="1" ht="18.75">
      <c r="A9786" s="1" t="s">
        <v>3598</v>
      </c>
      <c r="B9786" s="1" t="s">
        <v>9025</v>
      </c>
      <c r="C9786" s="1" t="s">
        <v>3600</v>
      </c>
      <c r="D9786" s="1" t="s">
        <v>3601</v>
      </c>
      <c r="E9786" s="1" t="s">
        <v>3664</v>
      </c>
      <c r="F9786" s="1" t="s">
        <v>32303</v>
      </c>
      <c r="G9786" s="1" t="s">
        <v>9027</v>
      </c>
      <c r="H9786" s="1" t="s">
        <v>3604</v>
      </c>
      <c r="I9786" s="1" t="s">
        <v>32304</v>
      </c>
      <c r="J9786" s="1" t="s">
        <v>3615</v>
      </c>
      <c r="K9786" s="1" t="s">
        <v>32305</v>
      </c>
      <c r="L9786" s="1"/>
      <c r="M9786" s="1"/>
    </row>
    <row x14ac:dyDescent="0.25" r="9787" customHeight="1" ht="18.75">
      <c r="A9787" s="1" t="s">
        <v>3693</v>
      </c>
      <c r="B9787" s="1" t="s">
        <v>5619</v>
      </c>
      <c r="C9787" s="1" t="s">
        <v>3600</v>
      </c>
      <c r="D9787" s="1" t="s">
        <v>3601</v>
      </c>
      <c r="E9787" s="1" t="s">
        <v>3664</v>
      </c>
      <c r="F9787" s="1" t="s">
        <v>32306</v>
      </c>
      <c r="G9787" s="1" t="s">
        <v>5624</v>
      </c>
      <c r="H9787" s="1" t="s">
        <v>3604</v>
      </c>
      <c r="I9787" s="1" t="s">
        <v>32307</v>
      </c>
      <c r="J9787" s="1" t="s">
        <v>3615</v>
      </c>
      <c r="K9787" s="1" t="s">
        <v>32302</v>
      </c>
      <c r="L9787" s="1"/>
      <c r="M9787" s="1"/>
    </row>
    <row x14ac:dyDescent="0.25" r="9788" customHeight="1" ht="18.75">
      <c r="A9788" s="1" t="s">
        <v>7833</v>
      </c>
      <c r="B9788" s="1" t="s">
        <v>7856</v>
      </c>
      <c r="C9788" s="1" t="s">
        <v>4488</v>
      </c>
      <c r="D9788" s="1" t="s">
        <v>3601</v>
      </c>
      <c r="E9788" s="1" t="s">
        <v>3664</v>
      </c>
      <c r="F9788" s="1" t="s">
        <v>32308</v>
      </c>
      <c r="G9788" s="1" t="s">
        <v>7858</v>
      </c>
      <c r="H9788" s="1" t="s">
        <v>3604</v>
      </c>
      <c r="I9788" s="1" t="s">
        <v>32309</v>
      </c>
      <c r="J9788" s="1" t="s">
        <v>3606</v>
      </c>
      <c r="K9788" s="1" t="s">
        <v>14573</v>
      </c>
      <c r="L9788" s="1"/>
      <c r="M9788" s="1"/>
    </row>
    <row x14ac:dyDescent="0.25" r="9789" customHeight="1" ht="18.75">
      <c r="A9789" s="1" t="s">
        <v>3693</v>
      </c>
      <c r="B9789" s="1" t="s">
        <v>5619</v>
      </c>
      <c r="C9789" s="1" t="s">
        <v>3600</v>
      </c>
      <c r="D9789" s="1" t="s">
        <v>3601</v>
      </c>
      <c r="E9789" s="1" t="s">
        <v>3664</v>
      </c>
      <c r="F9789" s="1" t="s">
        <v>32310</v>
      </c>
      <c r="G9789" s="1" t="s">
        <v>5624</v>
      </c>
      <c r="H9789" s="1" t="s">
        <v>3604</v>
      </c>
      <c r="I9789" s="1" t="s">
        <v>32311</v>
      </c>
      <c r="J9789" s="1" t="s">
        <v>3615</v>
      </c>
      <c r="K9789" s="1" t="s">
        <v>32302</v>
      </c>
      <c r="L9789" s="1"/>
      <c r="M9789" s="1"/>
    </row>
    <row x14ac:dyDescent="0.25" r="9790" customHeight="1" ht="18.75">
      <c r="A9790" s="1" t="s">
        <v>3693</v>
      </c>
      <c r="B9790" s="1" t="s">
        <v>5594</v>
      </c>
      <c r="C9790" s="1" t="s">
        <v>3600</v>
      </c>
      <c r="D9790" s="1" t="s">
        <v>3601</v>
      </c>
      <c r="E9790" s="1" t="s">
        <v>3664</v>
      </c>
      <c r="F9790" s="1" t="s">
        <v>32312</v>
      </c>
      <c r="G9790" s="1" t="s">
        <v>32313</v>
      </c>
      <c r="H9790" s="1" t="s">
        <v>3604</v>
      </c>
      <c r="I9790" s="1" t="s">
        <v>32314</v>
      </c>
      <c r="J9790" s="1" t="s">
        <v>3615</v>
      </c>
      <c r="K9790" s="1" t="s">
        <v>32315</v>
      </c>
      <c r="L9790" s="1"/>
      <c r="M9790" s="1"/>
    </row>
    <row x14ac:dyDescent="0.25" r="9791" customHeight="1" ht="18.75">
      <c r="A9791" s="1" t="s">
        <v>3598</v>
      </c>
      <c r="B9791" s="1" t="s">
        <v>15397</v>
      </c>
      <c r="C9791" s="1" t="s">
        <v>3600</v>
      </c>
      <c r="D9791" s="1" t="s">
        <v>3601</v>
      </c>
      <c r="E9791" s="1" t="s">
        <v>3752</v>
      </c>
      <c r="F9791" s="1" t="s">
        <v>32316</v>
      </c>
      <c r="G9791" s="1" t="s">
        <v>32317</v>
      </c>
      <c r="H9791" s="1" t="s">
        <v>3604</v>
      </c>
      <c r="I9791" s="1" t="s">
        <v>32318</v>
      </c>
      <c r="J9791" s="1" t="s">
        <v>3615</v>
      </c>
      <c r="K9791" s="1" t="s">
        <v>32319</v>
      </c>
      <c r="L9791" s="1"/>
      <c r="M9791" s="1"/>
    </row>
    <row x14ac:dyDescent="0.25" r="9792" customHeight="1" ht="18.75">
      <c r="A9792" s="1" t="s">
        <v>7833</v>
      </c>
      <c r="B9792" s="1" t="s">
        <v>8204</v>
      </c>
      <c r="C9792" s="1" t="s">
        <v>4488</v>
      </c>
      <c r="D9792" s="1" t="s">
        <v>3601</v>
      </c>
      <c r="E9792" s="1" t="s">
        <v>8096</v>
      </c>
      <c r="F9792" s="1" t="s">
        <v>32320</v>
      </c>
      <c r="G9792" s="1" t="s">
        <v>32321</v>
      </c>
      <c r="H9792" s="1" t="s">
        <v>3604</v>
      </c>
      <c r="I9792" s="1" t="s">
        <v>32322</v>
      </c>
      <c r="J9792" s="1" t="s">
        <v>3615</v>
      </c>
      <c r="K9792" s="1" t="s">
        <v>32290</v>
      </c>
      <c r="L9792" s="1"/>
      <c r="M9792" s="1"/>
    </row>
    <row x14ac:dyDescent="0.25" r="9793" customHeight="1" ht="18.75">
      <c r="A9793" s="1" t="s">
        <v>3693</v>
      </c>
      <c r="B9793" s="1" t="s">
        <v>32323</v>
      </c>
      <c r="C9793" s="1" t="s">
        <v>3600</v>
      </c>
      <c r="D9793" s="1" t="s">
        <v>7994</v>
      </c>
      <c r="E9793" s="1" t="s">
        <v>3893</v>
      </c>
      <c r="F9793" s="1" t="s">
        <v>32324</v>
      </c>
      <c r="G9793" s="1" t="s">
        <v>10562</v>
      </c>
      <c r="H9793" s="1" t="s">
        <v>3604</v>
      </c>
      <c r="I9793" s="1" t="s">
        <v>32325</v>
      </c>
      <c r="J9793" s="1" t="s">
        <v>3615</v>
      </c>
      <c r="K9793" s="1" t="s">
        <v>32326</v>
      </c>
      <c r="L9793" s="1"/>
      <c r="M9793" s="1"/>
    </row>
    <row x14ac:dyDescent="0.25" r="9794" customHeight="1" ht="18.75">
      <c r="A9794" s="1" t="s">
        <v>3598</v>
      </c>
      <c r="B9794" s="1" t="s">
        <v>6954</v>
      </c>
      <c r="C9794" s="1" t="s">
        <v>3600</v>
      </c>
      <c r="D9794" s="1" t="s">
        <v>3601</v>
      </c>
      <c r="E9794" s="1" t="s">
        <v>3611</v>
      </c>
      <c r="F9794" s="1" t="s">
        <v>32327</v>
      </c>
      <c r="G9794" s="1" t="s">
        <v>32328</v>
      </c>
      <c r="H9794" s="1" t="s">
        <v>3604</v>
      </c>
      <c r="I9794" s="1" t="s">
        <v>32329</v>
      </c>
      <c r="J9794" s="1" t="s">
        <v>3615</v>
      </c>
      <c r="K9794" s="1" t="s">
        <v>32330</v>
      </c>
      <c r="L9794" s="1"/>
      <c r="M9794" s="1"/>
    </row>
    <row x14ac:dyDescent="0.25" r="9795" customHeight="1" ht="18.75">
      <c r="A9795" s="1" t="s">
        <v>3598</v>
      </c>
      <c r="B9795" s="1" t="s">
        <v>22047</v>
      </c>
      <c r="C9795" s="1" t="s">
        <v>3600</v>
      </c>
      <c r="D9795" s="1" t="s">
        <v>7994</v>
      </c>
      <c r="E9795" s="1" t="s">
        <v>3664</v>
      </c>
      <c r="F9795" s="1" t="s">
        <v>32331</v>
      </c>
      <c r="G9795" s="1" t="s">
        <v>22053</v>
      </c>
      <c r="H9795" s="1" t="s">
        <v>3604</v>
      </c>
      <c r="I9795" s="1" t="s">
        <v>32332</v>
      </c>
      <c r="J9795" s="1" t="s">
        <v>3615</v>
      </c>
      <c r="K9795" s="1" t="s">
        <v>32333</v>
      </c>
      <c r="L9795" s="1"/>
      <c r="M9795" s="1"/>
    </row>
    <row x14ac:dyDescent="0.25" r="9796" customHeight="1" ht="18.75">
      <c r="A9796" s="1" t="s">
        <v>3693</v>
      </c>
      <c r="B9796" s="1" t="s">
        <v>32323</v>
      </c>
      <c r="C9796" s="1" t="s">
        <v>3600</v>
      </c>
      <c r="D9796" s="1" t="s">
        <v>7994</v>
      </c>
      <c r="E9796" s="1" t="s">
        <v>3893</v>
      </c>
      <c r="F9796" s="1" t="s">
        <v>32334</v>
      </c>
      <c r="G9796" s="1" t="s">
        <v>10565</v>
      </c>
      <c r="H9796" s="1" t="s">
        <v>3604</v>
      </c>
      <c r="I9796" s="1" t="s">
        <v>32335</v>
      </c>
      <c r="J9796" s="1" t="s">
        <v>3615</v>
      </c>
      <c r="K9796" s="1" t="s">
        <v>32336</v>
      </c>
      <c r="L9796" s="1"/>
      <c r="M9796" s="1"/>
    </row>
    <row x14ac:dyDescent="0.25" r="9797" customHeight="1" ht="18.75">
      <c r="A9797" s="1" t="s">
        <v>7833</v>
      </c>
      <c r="B9797" s="1" t="s">
        <v>8095</v>
      </c>
      <c r="C9797" s="1" t="s">
        <v>4488</v>
      </c>
      <c r="D9797" s="1" t="s">
        <v>3601</v>
      </c>
      <c r="E9797" s="1" t="s">
        <v>8096</v>
      </c>
      <c r="F9797" s="1" t="s">
        <v>32337</v>
      </c>
      <c r="G9797" s="1" t="s">
        <v>8170</v>
      </c>
      <c r="H9797" s="1" t="s">
        <v>3604</v>
      </c>
      <c r="I9797" s="1" t="s">
        <v>32338</v>
      </c>
      <c r="J9797" s="1" t="s">
        <v>3615</v>
      </c>
      <c r="K9797" s="1" t="s">
        <v>32290</v>
      </c>
      <c r="L9797" s="1"/>
      <c r="M9797" s="1"/>
    </row>
    <row x14ac:dyDescent="0.25" r="9798" customHeight="1" ht="18.75">
      <c r="A9798" s="1" t="s">
        <v>3617</v>
      </c>
      <c r="B9798" s="1" t="s">
        <v>32135</v>
      </c>
      <c r="C9798" s="1" t="s">
        <v>3619</v>
      </c>
      <c r="D9798" s="1" t="s">
        <v>3601</v>
      </c>
      <c r="E9798" s="1" t="s">
        <v>3611</v>
      </c>
      <c r="F9798" s="1" t="s">
        <v>32339</v>
      </c>
      <c r="G9798" s="1" t="s">
        <v>32340</v>
      </c>
      <c r="H9798" s="1" t="s">
        <v>3604</v>
      </c>
      <c r="I9798" s="1" t="s">
        <v>32341</v>
      </c>
      <c r="J9798" s="1" t="s">
        <v>3615</v>
      </c>
      <c r="K9798" s="1" t="s">
        <v>32340</v>
      </c>
      <c r="L9798" s="1"/>
      <c r="M9798" s="1"/>
    </row>
    <row x14ac:dyDescent="0.25" r="9799" customHeight="1" ht="18.75">
      <c r="A9799" s="1" t="s">
        <v>3693</v>
      </c>
      <c r="B9799" s="1" t="s">
        <v>32342</v>
      </c>
      <c r="C9799" s="1" t="s">
        <v>3600</v>
      </c>
      <c r="D9799" s="1" t="s">
        <v>7994</v>
      </c>
      <c r="E9799" s="1" t="s">
        <v>3893</v>
      </c>
      <c r="F9799" s="1" t="s">
        <v>32343</v>
      </c>
      <c r="G9799" s="1" t="s">
        <v>32344</v>
      </c>
      <c r="H9799" s="1" t="s">
        <v>3604</v>
      </c>
      <c r="I9799" s="1" t="s">
        <v>32345</v>
      </c>
      <c r="J9799" s="1" t="s">
        <v>3615</v>
      </c>
      <c r="K9799" s="1" t="s">
        <v>32346</v>
      </c>
      <c r="L9799" s="1"/>
      <c r="M9799" s="1"/>
    </row>
    <row x14ac:dyDescent="0.25" r="9800" customHeight="1" ht="18.75">
      <c r="A9800" s="1" t="s">
        <v>3617</v>
      </c>
      <c r="B9800" s="1" t="s">
        <v>32135</v>
      </c>
      <c r="C9800" s="1" t="s">
        <v>3619</v>
      </c>
      <c r="D9800" s="1" t="s">
        <v>3601</v>
      </c>
      <c r="E9800" s="1" t="s">
        <v>3611</v>
      </c>
      <c r="F9800" s="1" t="s">
        <v>32347</v>
      </c>
      <c r="G9800" s="1" t="s">
        <v>32348</v>
      </c>
      <c r="H9800" s="1" t="s">
        <v>3604</v>
      </c>
      <c r="I9800" s="1" t="s">
        <v>32349</v>
      </c>
      <c r="J9800" s="1" t="s">
        <v>3615</v>
      </c>
      <c r="K9800" s="1" t="s">
        <v>32348</v>
      </c>
      <c r="L9800" s="1"/>
      <c r="M9800" s="1"/>
    </row>
    <row x14ac:dyDescent="0.25" r="9801" customHeight="1" ht="18.75">
      <c r="A9801" s="1" t="s">
        <v>3598</v>
      </c>
      <c r="B9801" s="1" t="s">
        <v>6954</v>
      </c>
      <c r="C9801" s="1" t="s">
        <v>3600</v>
      </c>
      <c r="D9801" s="1" t="s">
        <v>3601</v>
      </c>
      <c r="E9801" s="1" t="s">
        <v>3611</v>
      </c>
      <c r="F9801" s="1" t="s">
        <v>32350</v>
      </c>
      <c r="G9801" s="1" t="s">
        <v>32351</v>
      </c>
      <c r="H9801" s="1" t="s">
        <v>3604</v>
      </c>
      <c r="I9801" s="1" t="s">
        <v>32352</v>
      </c>
      <c r="J9801" s="1" t="s">
        <v>3615</v>
      </c>
      <c r="K9801" s="1" t="s">
        <v>32353</v>
      </c>
      <c r="L9801" s="1"/>
      <c r="M9801" s="1"/>
    </row>
    <row x14ac:dyDescent="0.25" r="9802" customHeight="1" ht="18.75">
      <c r="A9802" s="1" t="s">
        <v>3693</v>
      </c>
      <c r="B9802" s="1" t="s">
        <v>32354</v>
      </c>
      <c r="C9802" s="1" t="s">
        <v>3600</v>
      </c>
      <c r="D9802" s="1" t="s">
        <v>7994</v>
      </c>
      <c r="E9802" s="1" t="s">
        <v>3893</v>
      </c>
      <c r="F9802" s="1" t="s">
        <v>32355</v>
      </c>
      <c r="G9802" s="1" t="s">
        <v>10559</v>
      </c>
      <c r="H9802" s="1" t="s">
        <v>3604</v>
      </c>
      <c r="I9802" s="1" t="s">
        <v>32356</v>
      </c>
      <c r="J9802" s="1" t="s">
        <v>3615</v>
      </c>
      <c r="K9802" s="1" t="s">
        <v>32357</v>
      </c>
      <c r="L9802" s="1"/>
      <c r="M9802" s="1"/>
    </row>
    <row x14ac:dyDescent="0.25" r="9803" customHeight="1" ht="18.75">
      <c r="A9803" s="1" t="s">
        <v>3598</v>
      </c>
      <c r="B9803" s="1" t="s">
        <v>21772</v>
      </c>
      <c r="C9803" s="1" t="s">
        <v>3600</v>
      </c>
      <c r="D9803" s="1" t="s">
        <v>7994</v>
      </c>
      <c r="E9803" s="1" t="s">
        <v>3664</v>
      </c>
      <c r="F9803" s="1" t="s">
        <v>32358</v>
      </c>
      <c r="G9803" s="1" t="s">
        <v>29614</v>
      </c>
      <c r="H9803" s="1" t="s">
        <v>3604</v>
      </c>
      <c r="I9803" s="1" t="s">
        <v>32359</v>
      </c>
      <c r="J9803" s="1" t="s">
        <v>3615</v>
      </c>
      <c r="K9803" s="1" t="s">
        <v>32360</v>
      </c>
      <c r="L9803" s="1"/>
      <c r="M9803" s="1"/>
    </row>
    <row x14ac:dyDescent="0.25" r="9804" customHeight="1" ht="18.75">
      <c r="A9804" s="1" t="s">
        <v>7833</v>
      </c>
      <c r="B9804" s="1" t="s">
        <v>8095</v>
      </c>
      <c r="C9804" s="1" t="s">
        <v>4488</v>
      </c>
      <c r="D9804" s="1" t="s">
        <v>3601</v>
      </c>
      <c r="E9804" s="1" t="s">
        <v>8096</v>
      </c>
      <c r="F9804" s="1" t="s">
        <v>32361</v>
      </c>
      <c r="G9804" s="1" t="s">
        <v>32362</v>
      </c>
      <c r="H9804" s="1" t="s">
        <v>3604</v>
      </c>
      <c r="I9804" s="1" t="s">
        <v>32363</v>
      </c>
      <c r="J9804" s="1" t="s">
        <v>3615</v>
      </c>
      <c r="K9804" s="1" t="s">
        <v>32364</v>
      </c>
      <c r="L9804" s="1"/>
      <c r="M9804" s="1"/>
    </row>
    <row x14ac:dyDescent="0.25" r="9805" customHeight="1" ht="18.75">
      <c r="A9805" s="1" t="s">
        <v>3693</v>
      </c>
      <c r="B9805" s="1" t="s">
        <v>32365</v>
      </c>
      <c r="C9805" s="1" t="s">
        <v>3600</v>
      </c>
      <c r="D9805" s="1" t="s">
        <v>3601</v>
      </c>
      <c r="E9805" s="1" t="s">
        <v>3893</v>
      </c>
      <c r="F9805" s="1" t="s">
        <v>32366</v>
      </c>
      <c r="G9805" s="1" t="s">
        <v>4344</v>
      </c>
      <c r="H9805" s="1" t="s">
        <v>3604</v>
      </c>
      <c r="I9805" s="1" t="s">
        <v>32367</v>
      </c>
      <c r="J9805" s="1" t="s">
        <v>3615</v>
      </c>
      <c r="K9805" s="1" t="s">
        <v>10612</v>
      </c>
      <c r="L9805" s="1"/>
      <c r="M9805" s="1"/>
    </row>
    <row x14ac:dyDescent="0.25" r="9806" customHeight="1" ht="18.75">
      <c r="A9806" s="1" t="s">
        <v>3598</v>
      </c>
      <c r="B9806" s="1" t="s">
        <v>9012</v>
      </c>
      <c r="C9806" s="1" t="s">
        <v>3600</v>
      </c>
      <c r="D9806" s="1" t="s">
        <v>3601</v>
      </c>
      <c r="E9806" s="1" t="s">
        <v>3893</v>
      </c>
      <c r="F9806" s="1" t="s">
        <v>32368</v>
      </c>
      <c r="G9806" s="1" t="s">
        <v>9014</v>
      </c>
      <c r="H9806" s="1" t="s">
        <v>3604</v>
      </c>
      <c r="I9806" s="1" t="s">
        <v>32369</v>
      </c>
      <c r="J9806" s="1" t="s">
        <v>3606</v>
      </c>
      <c r="K9806" s="1" t="s">
        <v>32370</v>
      </c>
      <c r="L9806" s="1"/>
      <c r="M9806" s="1"/>
    </row>
    <row x14ac:dyDescent="0.25" r="9807" customHeight="1" ht="18.75">
      <c r="A9807" s="1" t="s">
        <v>3693</v>
      </c>
      <c r="B9807" s="1" t="s">
        <v>32371</v>
      </c>
      <c r="C9807" s="1" t="s">
        <v>3600</v>
      </c>
      <c r="D9807" s="1" t="s">
        <v>3601</v>
      </c>
      <c r="E9807" s="1" t="s">
        <v>3893</v>
      </c>
      <c r="F9807" s="1" t="s">
        <v>32372</v>
      </c>
      <c r="G9807" s="1" t="s">
        <v>6678</v>
      </c>
      <c r="H9807" s="1" t="s">
        <v>3604</v>
      </c>
      <c r="I9807" s="1" t="s">
        <v>32373</v>
      </c>
      <c r="J9807" s="1" t="s">
        <v>3615</v>
      </c>
      <c r="K9807" s="1" t="s">
        <v>32374</v>
      </c>
      <c r="L9807" s="1"/>
      <c r="M9807" s="1"/>
    </row>
    <row x14ac:dyDescent="0.25" r="9808" customHeight="1" ht="18.75">
      <c r="A9808" s="1" t="s">
        <v>3617</v>
      </c>
      <c r="B9808" s="1" t="s">
        <v>32135</v>
      </c>
      <c r="C9808" s="1" t="s">
        <v>3619</v>
      </c>
      <c r="D9808" s="1" t="s">
        <v>3601</v>
      </c>
      <c r="E9808" s="1" t="s">
        <v>3611</v>
      </c>
      <c r="F9808" s="1" t="s">
        <v>32375</v>
      </c>
      <c r="G9808" s="1" t="s">
        <v>32376</v>
      </c>
      <c r="H9808" s="1" t="s">
        <v>3604</v>
      </c>
      <c r="I9808" s="1" t="s">
        <v>32377</v>
      </c>
      <c r="J9808" s="1" t="s">
        <v>3615</v>
      </c>
      <c r="K9808" s="1" t="s">
        <v>32376</v>
      </c>
      <c r="L9808" s="1"/>
      <c r="M9808" s="1"/>
    </row>
    <row x14ac:dyDescent="0.25" r="9809" customHeight="1" ht="18.75">
      <c r="A9809" s="1" t="s">
        <v>3617</v>
      </c>
      <c r="B9809" s="1" t="s">
        <v>32135</v>
      </c>
      <c r="C9809" s="1" t="s">
        <v>3619</v>
      </c>
      <c r="D9809" s="1" t="s">
        <v>3601</v>
      </c>
      <c r="E9809" s="1" t="s">
        <v>3611</v>
      </c>
      <c r="F9809" s="1" t="s">
        <v>32378</v>
      </c>
      <c r="G9809" s="1" t="s">
        <v>32379</v>
      </c>
      <c r="H9809" s="1" t="s">
        <v>3604</v>
      </c>
      <c r="I9809" s="1" t="s">
        <v>32380</v>
      </c>
      <c r="J9809" s="1" t="s">
        <v>3615</v>
      </c>
      <c r="K9809" s="1" t="s">
        <v>32379</v>
      </c>
      <c r="L9809" s="1"/>
      <c r="M9809" s="1"/>
    </row>
    <row x14ac:dyDescent="0.25" r="9810" customHeight="1" ht="18.75">
      <c r="A9810" s="1" t="s">
        <v>3598</v>
      </c>
      <c r="B9810" s="1" t="s">
        <v>14025</v>
      </c>
      <c r="C9810" s="1" t="s">
        <v>3600</v>
      </c>
      <c r="D9810" s="1" t="s">
        <v>3601</v>
      </c>
      <c r="E9810" s="1" t="s">
        <v>3664</v>
      </c>
      <c r="F9810" s="1" t="s">
        <v>32381</v>
      </c>
      <c r="G9810" s="1" t="s">
        <v>29496</v>
      </c>
      <c r="H9810" s="1" t="s">
        <v>3604</v>
      </c>
      <c r="I9810" s="1" t="s">
        <v>32382</v>
      </c>
      <c r="J9810" s="1" t="s">
        <v>3615</v>
      </c>
      <c r="K9810" s="1" t="s">
        <v>32383</v>
      </c>
      <c r="L9810" s="1"/>
      <c r="M9810" s="1"/>
    </row>
    <row x14ac:dyDescent="0.25" r="9811" customHeight="1" ht="18.75">
      <c r="A9811" s="1" t="s">
        <v>3617</v>
      </c>
      <c r="B9811" s="1" t="s">
        <v>32135</v>
      </c>
      <c r="C9811" s="1" t="s">
        <v>3619</v>
      </c>
      <c r="D9811" s="1" t="s">
        <v>3601</v>
      </c>
      <c r="E9811" s="1" t="s">
        <v>3611</v>
      </c>
      <c r="F9811" s="1" t="s">
        <v>32384</v>
      </c>
      <c r="G9811" s="1" t="s">
        <v>32385</v>
      </c>
      <c r="H9811" s="1" t="s">
        <v>3604</v>
      </c>
      <c r="I9811" s="1" t="s">
        <v>32386</v>
      </c>
      <c r="J9811" s="1" t="s">
        <v>3615</v>
      </c>
      <c r="K9811" s="1" t="s">
        <v>32385</v>
      </c>
      <c r="L9811" s="1"/>
      <c r="M9811" s="1"/>
    </row>
    <row x14ac:dyDescent="0.25" r="9812" customHeight="1" ht="18.75">
      <c r="A9812" s="1" t="s">
        <v>3617</v>
      </c>
      <c r="B9812" s="1" t="s">
        <v>32135</v>
      </c>
      <c r="C9812" s="1" t="s">
        <v>3619</v>
      </c>
      <c r="D9812" s="1" t="s">
        <v>3601</v>
      </c>
      <c r="E9812" s="1" t="s">
        <v>3611</v>
      </c>
      <c r="F9812" s="1" t="s">
        <v>32387</v>
      </c>
      <c r="G9812" s="1" t="s">
        <v>32388</v>
      </c>
      <c r="H9812" s="1" t="s">
        <v>3604</v>
      </c>
      <c r="I9812" s="1" t="s">
        <v>32389</v>
      </c>
      <c r="J9812" s="1" t="s">
        <v>3615</v>
      </c>
      <c r="K9812" s="1" t="s">
        <v>32388</v>
      </c>
      <c r="L9812" s="1"/>
      <c r="M9812" s="1"/>
    </row>
    <row x14ac:dyDescent="0.25" r="9813" customHeight="1" ht="18.75">
      <c r="A9813" s="1" t="s">
        <v>3598</v>
      </c>
      <c r="B9813" s="1" t="s">
        <v>18092</v>
      </c>
      <c r="C9813" s="1" t="s">
        <v>3600</v>
      </c>
      <c r="D9813" s="1" t="s">
        <v>3601</v>
      </c>
      <c r="E9813" s="1" t="s">
        <v>3664</v>
      </c>
      <c r="F9813" s="1" t="s">
        <v>32390</v>
      </c>
      <c r="G9813" s="1" t="s">
        <v>22422</v>
      </c>
      <c r="H9813" s="1" t="s">
        <v>3604</v>
      </c>
      <c r="I9813" s="1" t="s">
        <v>32391</v>
      </c>
      <c r="J9813" s="1" t="s">
        <v>3615</v>
      </c>
      <c r="K9813" s="1" t="s">
        <v>32392</v>
      </c>
      <c r="L9813" s="1"/>
      <c r="M9813" s="1"/>
    </row>
    <row x14ac:dyDescent="0.25" r="9814" customHeight="1" ht="18.75">
      <c r="A9814" s="1" t="s">
        <v>3617</v>
      </c>
      <c r="B9814" s="1" t="s">
        <v>32135</v>
      </c>
      <c r="C9814" s="1" t="s">
        <v>3619</v>
      </c>
      <c r="D9814" s="1" t="s">
        <v>3601</v>
      </c>
      <c r="E9814" s="1" t="s">
        <v>3611</v>
      </c>
      <c r="F9814" s="1" t="s">
        <v>32393</v>
      </c>
      <c r="G9814" s="1" t="s">
        <v>32394</v>
      </c>
      <c r="H9814" s="1" t="s">
        <v>3604</v>
      </c>
      <c r="I9814" s="1" t="s">
        <v>32395</v>
      </c>
      <c r="J9814" s="1" t="s">
        <v>3615</v>
      </c>
      <c r="K9814" s="1" t="s">
        <v>32394</v>
      </c>
      <c r="L9814" s="1"/>
      <c r="M9814" s="1"/>
    </row>
    <row x14ac:dyDescent="0.25" r="9815" customHeight="1" ht="18.75">
      <c r="A9815" s="1" t="s">
        <v>3598</v>
      </c>
      <c r="B9815" s="1" t="s">
        <v>18092</v>
      </c>
      <c r="C9815" s="1" t="s">
        <v>3600</v>
      </c>
      <c r="D9815" s="1" t="s">
        <v>3601</v>
      </c>
      <c r="E9815" s="1" t="s">
        <v>3664</v>
      </c>
      <c r="F9815" s="1" t="s">
        <v>32396</v>
      </c>
      <c r="G9815" s="1" t="s">
        <v>22426</v>
      </c>
      <c r="H9815" s="1" t="s">
        <v>3604</v>
      </c>
      <c r="I9815" s="1" t="s">
        <v>32397</v>
      </c>
      <c r="J9815" s="1" t="s">
        <v>3615</v>
      </c>
      <c r="K9815" s="1" t="s">
        <v>32398</v>
      </c>
      <c r="L9815" s="1"/>
      <c r="M9815" s="1"/>
    </row>
    <row x14ac:dyDescent="0.25" r="9816" customHeight="1" ht="18.75">
      <c r="A9816" s="1" t="s">
        <v>3617</v>
      </c>
      <c r="B9816" s="1" t="s">
        <v>32135</v>
      </c>
      <c r="C9816" s="1" t="s">
        <v>3619</v>
      </c>
      <c r="D9816" s="1" t="s">
        <v>3601</v>
      </c>
      <c r="E9816" s="1" t="s">
        <v>3611</v>
      </c>
      <c r="F9816" s="1" t="s">
        <v>32399</v>
      </c>
      <c r="G9816" s="1" t="s">
        <v>32400</v>
      </c>
      <c r="H9816" s="1" t="s">
        <v>3604</v>
      </c>
      <c r="I9816" s="1" t="s">
        <v>32401</v>
      </c>
      <c r="J9816" s="1" t="s">
        <v>3615</v>
      </c>
      <c r="K9816" s="1" t="s">
        <v>32400</v>
      </c>
      <c r="L9816" s="1"/>
      <c r="M9816" s="1"/>
    </row>
    <row x14ac:dyDescent="0.25" r="9817" customHeight="1" ht="18.75">
      <c r="A9817" s="1" t="s">
        <v>3598</v>
      </c>
      <c r="B9817" s="1" t="s">
        <v>3751</v>
      </c>
      <c r="C9817" s="1" t="s">
        <v>3600</v>
      </c>
      <c r="D9817" s="1" t="s">
        <v>3601</v>
      </c>
      <c r="E9817" s="1" t="s">
        <v>3664</v>
      </c>
      <c r="F9817" s="1" t="s">
        <v>32402</v>
      </c>
      <c r="G9817" s="1" t="s">
        <v>27385</v>
      </c>
      <c r="H9817" s="1" t="s">
        <v>3604</v>
      </c>
      <c r="I9817" s="1" t="s">
        <v>32403</v>
      </c>
      <c r="J9817" s="1" t="s">
        <v>3615</v>
      </c>
      <c r="K9817" s="1" t="s">
        <v>32404</v>
      </c>
      <c r="L9817" s="1"/>
      <c r="M9817" s="1"/>
    </row>
    <row x14ac:dyDescent="0.25" r="9818" customHeight="1" ht="18.75">
      <c r="A9818" s="1" t="s">
        <v>3617</v>
      </c>
      <c r="B9818" s="1" t="s">
        <v>32135</v>
      </c>
      <c r="C9818" s="1" t="s">
        <v>3619</v>
      </c>
      <c r="D9818" s="1" t="s">
        <v>3601</v>
      </c>
      <c r="E9818" s="1" t="s">
        <v>3611</v>
      </c>
      <c r="F9818" s="1" t="s">
        <v>32405</v>
      </c>
      <c r="G9818" s="1" t="s">
        <v>32286</v>
      </c>
      <c r="H9818" s="1" t="s">
        <v>3604</v>
      </c>
      <c r="I9818" s="1" t="s">
        <v>32406</v>
      </c>
      <c r="J9818" s="1" t="s">
        <v>3615</v>
      </c>
      <c r="K9818" s="1"/>
      <c r="L9818" s="1"/>
      <c r="M9818" s="1"/>
    </row>
    <row x14ac:dyDescent="0.25" r="9819" customHeight="1" ht="18.75">
      <c r="A9819" s="1" t="s">
        <v>3617</v>
      </c>
      <c r="B9819" s="1" t="s">
        <v>32135</v>
      </c>
      <c r="C9819" s="1" t="s">
        <v>3619</v>
      </c>
      <c r="D9819" s="1" t="s">
        <v>3601</v>
      </c>
      <c r="E9819" s="1" t="s">
        <v>3611</v>
      </c>
      <c r="F9819" s="1" t="s">
        <v>32407</v>
      </c>
      <c r="G9819" s="1" t="s">
        <v>32408</v>
      </c>
      <c r="H9819" s="1" t="s">
        <v>3604</v>
      </c>
      <c r="I9819" s="1" t="s">
        <v>32409</v>
      </c>
      <c r="J9819" s="1" t="s">
        <v>3615</v>
      </c>
      <c r="K9819" s="1" t="s">
        <v>32408</v>
      </c>
      <c r="L9819" s="1"/>
      <c r="M9819" s="1"/>
    </row>
    <row x14ac:dyDescent="0.25" r="9820" customHeight="1" ht="18.75">
      <c r="A9820" s="1" t="s">
        <v>3598</v>
      </c>
      <c r="B9820" s="1" t="s">
        <v>3751</v>
      </c>
      <c r="C9820" s="1" t="s">
        <v>3600</v>
      </c>
      <c r="D9820" s="1" t="s">
        <v>3601</v>
      </c>
      <c r="E9820" s="1" t="s">
        <v>3664</v>
      </c>
      <c r="F9820" s="1" t="s">
        <v>32410</v>
      </c>
      <c r="G9820" s="1" t="s">
        <v>27406</v>
      </c>
      <c r="H9820" s="1" t="s">
        <v>3604</v>
      </c>
      <c r="I9820" s="1" t="s">
        <v>32411</v>
      </c>
      <c r="J9820" s="1" t="s">
        <v>3615</v>
      </c>
      <c r="K9820" s="1" t="s">
        <v>32412</v>
      </c>
      <c r="L9820" s="1"/>
      <c r="M9820" s="1"/>
    </row>
    <row x14ac:dyDescent="0.25" r="9821" customHeight="1" ht="18.75">
      <c r="A9821" s="1" t="s">
        <v>3598</v>
      </c>
      <c r="B9821" s="1" t="s">
        <v>3751</v>
      </c>
      <c r="C9821" s="1" t="s">
        <v>3600</v>
      </c>
      <c r="D9821" s="1" t="s">
        <v>3601</v>
      </c>
      <c r="E9821" s="1" t="s">
        <v>3664</v>
      </c>
      <c r="F9821" s="1" t="s">
        <v>32413</v>
      </c>
      <c r="G9821" s="1" t="s">
        <v>32414</v>
      </c>
      <c r="H9821" s="1" t="s">
        <v>3604</v>
      </c>
      <c r="I9821" s="1" t="s">
        <v>32415</v>
      </c>
      <c r="J9821" s="1" t="s">
        <v>3615</v>
      </c>
      <c r="K9821" s="1" t="s">
        <v>32416</v>
      </c>
      <c r="L9821" s="1"/>
      <c r="M9821" s="1"/>
    </row>
    <row x14ac:dyDescent="0.25" r="9822" customHeight="1" ht="18.75">
      <c r="A9822" s="1" t="s">
        <v>3598</v>
      </c>
      <c r="B9822" s="1" t="s">
        <v>9007</v>
      </c>
      <c r="C9822" s="1" t="s">
        <v>3600</v>
      </c>
      <c r="D9822" s="1" t="s">
        <v>3601</v>
      </c>
      <c r="E9822" s="1" t="s">
        <v>3893</v>
      </c>
      <c r="F9822" s="1" t="s">
        <v>32417</v>
      </c>
      <c r="G9822" s="1" t="s">
        <v>9009</v>
      </c>
      <c r="H9822" s="1" t="s">
        <v>3604</v>
      </c>
      <c r="I9822" s="1" t="s">
        <v>32418</v>
      </c>
      <c r="J9822" s="1" t="s">
        <v>3615</v>
      </c>
      <c r="K9822" s="1" t="s">
        <v>32419</v>
      </c>
      <c r="L9822" s="1"/>
      <c r="M9822" s="1"/>
    </row>
    <row x14ac:dyDescent="0.25" r="9823" customHeight="1" ht="18.75">
      <c r="A9823" s="1" t="s">
        <v>3598</v>
      </c>
      <c r="B9823" s="1" t="s">
        <v>3751</v>
      </c>
      <c r="C9823" s="1" t="s">
        <v>3600</v>
      </c>
      <c r="D9823" s="1" t="s">
        <v>3601</v>
      </c>
      <c r="E9823" s="1" t="s">
        <v>3664</v>
      </c>
      <c r="F9823" s="1" t="s">
        <v>32420</v>
      </c>
      <c r="G9823" s="1" t="s">
        <v>32421</v>
      </c>
      <c r="H9823" s="1" t="s">
        <v>3604</v>
      </c>
      <c r="I9823" s="1" t="s">
        <v>32422</v>
      </c>
      <c r="J9823" s="1" t="s">
        <v>3615</v>
      </c>
      <c r="K9823" s="1" t="s">
        <v>32423</v>
      </c>
      <c r="L9823" s="1"/>
      <c r="M9823" s="1"/>
    </row>
    <row x14ac:dyDescent="0.25" r="9824" customHeight="1" ht="18.75">
      <c r="A9824" s="1" t="s">
        <v>3598</v>
      </c>
      <c r="B9824" s="1" t="s">
        <v>9007</v>
      </c>
      <c r="C9824" s="1" t="s">
        <v>3600</v>
      </c>
      <c r="D9824" s="1" t="s">
        <v>3601</v>
      </c>
      <c r="E9824" s="1" t="s">
        <v>3893</v>
      </c>
      <c r="F9824" s="1" t="s">
        <v>32424</v>
      </c>
      <c r="G9824" s="1" t="s">
        <v>9009</v>
      </c>
      <c r="H9824" s="1" t="s">
        <v>3604</v>
      </c>
      <c r="I9824" s="1" t="s">
        <v>32425</v>
      </c>
      <c r="J9824" s="1" t="s">
        <v>3615</v>
      </c>
      <c r="K9824" s="1" t="s">
        <v>32426</v>
      </c>
      <c r="L9824" s="1"/>
      <c r="M9824" s="1"/>
    </row>
    <row x14ac:dyDescent="0.25" r="9825" customHeight="1" ht="18.75">
      <c r="A9825" s="1" t="s">
        <v>3598</v>
      </c>
      <c r="B9825" s="1" t="s">
        <v>5260</v>
      </c>
      <c r="C9825" s="1" t="s">
        <v>3600</v>
      </c>
      <c r="D9825" s="1" t="s">
        <v>3601</v>
      </c>
      <c r="E9825" s="1" t="s">
        <v>3893</v>
      </c>
      <c r="F9825" s="1" t="s">
        <v>32427</v>
      </c>
      <c r="G9825" s="1" t="s">
        <v>17246</v>
      </c>
      <c r="H9825" s="1" t="s">
        <v>3604</v>
      </c>
      <c r="I9825" s="1" t="s">
        <v>32428</v>
      </c>
      <c r="J9825" s="1" t="s">
        <v>3615</v>
      </c>
      <c r="K9825" s="1" t="s">
        <v>32429</v>
      </c>
      <c r="L9825" s="1"/>
      <c r="M9825" s="1"/>
    </row>
    <row x14ac:dyDescent="0.25" r="9826" customHeight="1" ht="18.75">
      <c r="A9826" s="1" t="s">
        <v>3598</v>
      </c>
      <c r="B9826" s="1" t="s">
        <v>5260</v>
      </c>
      <c r="C9826" s="1" t="s">
        <v>3600</v>
      </c>
      <c r="D9826" s="1" t="s">
        <v>3601</v>
      </c>
      <c r="E9826" s="1" t="s">
        <v>3893</v>
      </c>
      <c r="F9826" s="1" t="s">
        <v>32430</v>
      </c>
      <c r="G9826" s="1" t="s">
        <v>17246</v>
      </c>
      <c r="H9826" s="1" t="s">
        <v>3604</v>
      </c>
      <c r="I9826" s="1" t="s">
        <v>32431</v>
      </c>
      <c r="J9826" s="1" t="s">
        <v>3615</v>
      </c>
      <c r="K9826" s="1" t="s">
        <v>32432</v>
      </c>
      <c r="L9826" s="1"/>
      <c r="M9826" s="1"/>
    </row>
    <row x14ac:dyDescent="0.25" r="9827" customHeight="1" ht="18.75">
      <c r="A9827" s="1" t="s">
        <v>3598</v>
      </c>
      <c r="B9827" s="1" t="s">
        <v>4781</v>
      </c>
      <c r="C9827" s="1" t="s">
        <v>3600</v>
      </c>
      <c r="D9827" s="1" t="s">
        <v>3601</v>
      </c>
      <c r="E9827" s="1" t="s">
        <v>3752</v>
      </c>
      <c r="F9827" s="1" t="s">
        <v>32433</v>
      </c>
      <c r="G9827" s="1" t="s">
        <v>32434</v>
      </c>
      <c r="H9827" s="1" t="s">
        <v>3604</v>
      </c>
      <c r="I9827" s="1" t="s">
        <v>32435</v>
      </c>
      <c r="J9827" s="1" t="s">
        <v>3615</v>
      </c>
      <c r="K9827" s="1" t="s">
        <v>32436</v>
      </c>
      <c r="L9827" s="1"/>
      <c r="M9827" s="1"/>
    </row>
    <row x14ac:dyDescent="0.25" r="9828" customHeight="1" ht="18.75">
      <c r="A9828" s="1" t="s">
        <v>3598</v>
      </c>
      <c r="B9828" s="1" t="s">
        <v>13758</v>
      </c>
      <c r="C9828" s="1" t="s">
        <v>3600</v>
      </c>
      <c r="D9828" s="1" t="s">
        <v>3601</v>
      </c>
      <c r="E9828" s="1" t="s">
        <v>3893</v>
      </c>
      <c r="F9828" s="1" t="s">
        <v>32437</v>
      </c>
      <c r="G9828" s="1" t="s">
        <v>15822</v>
      </c>
      <c r="H9828" s="1" t="s">
        <v>3604</v>
      </c>
      <c r="I9828" s="1" t="s">
        <v>32438</v>
      </c>
      <c r="J9828" s="1" t="s">
        <v>3615</v>
      </c>
      <c r="K9828" s="1" t="s">
        <v>32439</v>
      </c>
      <c r="L9828" s="1"/>
      <c r="M9828" s="1"/>
    </row>
    <row x14ac:dyDescent="0.25" r="9829" customHeight="1" ht="18.75">
      <c r="A9829" s="1" t="s">
        <v>3598</v>
      </c>
      <c r="B9829" s="1" t="s">
        <v>4781</v>
      </c>
      <c r="C9829" s="1" t="s">
        <v>3600</v>
      </c>
      <c r="D9829" s="1" t="s">
        <v>3601</v>
      </c>
      <c r="E9829" s="1" t="s">
        <v>3752</v>
      </c>
      <c r="F9829" s="1" t="s">
        <v>32440</v>
      </c>
      <c r="G9829" s="1" t="s">
        <v>21015</v>
      </c>
      <c r="H9829" s="1" t="s">
        <v>3604</v>
      </c>
      <c r="I9829" s="1" t="s">
        <v>32441</v>
      </c>
      <c r="J9829" s="1" t="s">
        <v>3615</v>
      </c>
      <c r="K9829" s="1" t="s">
        <v>32442</v>
      </c>
      <c r="L9829" s="1"/>
      <c r="M9829" s="1"/>
    </row>
    <row x14ac:dyDescent="0.25" r="9830" customHeight="1" ht="18.75">
      <c r="A9830" s="1" t="s">
        <v>3598</v>
      </c>
      <c r="B9830" s="1" t="s">
        <v>4781</v>
      </c>
      <c r="C9830" s="1" t="s">
        <v>3600</v>
      </c>
      <c r="D9830" s="1" t="s">
        <v>3601</v>
      </c>
      <c r="E9830" s="1" t="s">
        <v>3752</v>
      </c>
      <c r="F9830" s="1" t="s">
        <v>32443</v>
      </c>
      <c r="G9830" s="1" t="s">
        <v>32444</v>
      </c>
      <c r="H9830" s="1" t="s">
        <v>3604</v>
      </c>
      <c r="I9830" s="1" t="s">
        <v>32445</v>
      </c>
      <c r="J9830" s="1" t="s">
        <v>3615</v>
      </c>
      <c r="K9830" s="1" t="s">
        <v>32446</v>
      </c>
      <c r="L9830" s="1"/>
      <c r="M9830" s="1"/>
    </row>
    <row x14ac:dyDescent="0.25" r="9831" customHeight="1" ht="18.75">
      <c r="A9831" s="1" t="s">
        <v>3598</v>
      </c>
      <c r="B9831" s="1" t="s">
        <v>4781</v>
      </c>
      <c r="C9831" s="1" t="s">
        <v>3600</v>
      </c>
      <c r="D9831" s="1" t="s">
        <v>3601</v>
      </c>
      <c r="E9831" s="1" t="s">
        <v>3664</v>
      </c>
      <c r="F9831" s="1" t="s">
        <v>32447</v>
      </c>
      <c r="G9831" s="1" t="s">
        <v>20325</v>
      </c>
      <c r="H9831" s="1" t="s">
        <v>3604</v>
      </c>
      <c r="I9831" s="1" t="s">
        <v>32448</v>
      </c>
      <c r="J9831" s="1" t="s">
        <v>3615</v>
      </c>
      <c r="K9831" s="1" t="s">
        <v>32449</v>
      </c>
      <c r="L9831" s="1"/>
      <c r="M9831" s="1"/>
    </row>
    <row x14ac:dyDescent="0.25" r="9832" customHeight="1" ht="18.75">
      <c r="A9832" s="1" t="s">
        <v>3598</v>
      </c>
      <c r="B9832" s="1" t="s">
        <v>18092</v>
      </c>
      <c r="C9832" s="1" t="s">
        <v>3600</v>
      </c>
      <c r="D9832" s="1" t="s">
        <v>3601</v>
      </c>
      <c r="E9832" s="1" t="s">
        <v>3664</v>
      </c>
      <c r="F9832" s="1" t="s">
        <v>32450</v>
      </c>
      <c r="G9832" s="1" t="s">
        <v>22385</v>
      </c>
      <c r="H9832" s="1" t="s">
        <v>3604</v>
      </c>
      <c r="I9832" s="1" t="s">
        <v>32451</v>
      </c>
      <c r="J9832" s="1" t="s">
        <v>3615</v>
      </c>
      <c r="K9832" s="1" t="s">
        <v>32452</v>
      </c>
      <c r="L9832" s="1"/>
      <c r="M9832" s="1"/>
    </row>
    <row x14ac:dyDescent="0.25" r="9833" customHeight="1" ht="18.75">
      <c r="A9833" s="1" t="s">
        <v>3598</v>
      </c>
      <c r="B9833" s="1" t="s">
        <v>9025</v>
      </c>
      <c r="C9833" s="1" t="s">
        <v>3600</v>
      </c>
      <c r="D9833" s="1" t="s">
        <v>3601</v>
      </c>
      <c r="E9833" s="1" t="s">
        <v>3752</v>
      </c>
      <c r="F9833" s="1" t="s">
        <v>32453</v>
      </c>
      <c r="G9833" s="1" t="s">
        <v>32454</v>
      </c>
      <c r="H9833" s="1" t="s">
        <v>3604</v>
      </c>
      <c r="I9833" s="1" t="s">
        <v>32455</v>
      </c>
      <c r="J9833" s="1" t="s">
        <v>3615</v>
      </c>
      <c r="K9833" s="1" t="s">
        <v>32456</v>
      </c>
      <c r="L9833" s="1"/>
      <c r="M9833" s="1"/>
    </row>
    <row x14ac:dyDescent="0.25" r="9834" customHeight="1" ht="18.75">
      <c r="A9834" s="1" t="s">
        <v>3598</v>
      </c>
      <c r="B9834" s="1" t="s">
        <v>14104</v>
      </c>
      <c r="C9834" s="1" t="s">
        <v>3600</v>
      </c>
      <c r="D9834" s="1" t="s">
        <v>3601</v>
      </c>
      <c r="E9834" s="1" t="s">
        <v>3893</v>
      </c>
      <c r="F9834" s="1" t="s">
        <v>32457</v>
      </c>
      <c r="G9834" s="1" t="s">
        <v>14130</v>
      </c>
      <c r="H9834" s="1" t="s">
        <v>3604</v>
      </c>
      <c r="I9834" s="1" t="s">
        <v>32458</v>
      </c>
      <c r="J9834" s="1" t="s">
        <v>3615</v>
      </c>
      <c r="K9834" s="1" t="s">
        <v>32459</v>
      </c>
      <c r="L9834" s="1"/>
      <c r="M9834" s="1"/>
    </row>
    <row x14ac:dyDescent="0.25" r="9835" customHeight="1" ht="18.75">
      <c r="A9835" s="1" t="s">
        <v>3598</v>
      </c>
      <c r="B9835" s="1" t="s">
        <v>9025</v>
      </c>
      <c r="C9835" s="1" t="s">
        <v>3600</v>
      </c>
      <c r="D9835" s="1" t="s">
        <v>3601</v>
      </c>
      <c r="E9835" s="1" t="s">
        <v>3752</v>
      </c>
      <c r="F9835" s="1" t="s">
        <v>32460</v>
      </c>
      <c r="G9835" s="1" t="s">
        <v>32461</v>
      </c>
      <c r="H9835" s="1" t="s">
        <v>3604</v>
      </c>
      <c r="I9835" s="1" t="s">
        <v>32462</v>
      </c>
      <c r="J9835" s="1" t="s">
        <v>3615</v>
      </c>
      <c r="K9835" s="1" t="s">
        <v>32463</v>
      </c>
      <c r="L9835" s="1"/>
      <c r="M9835" s="1"/>
    </row>
    <row x14ac:dyDescent="0.25" r="9836" customHeight="1" ht="18.75">
      <c r="A9836" s="1" t="s">
        <v>7833</v>
      </c>
      <c r="B9836" s="1" t="s">
        <v>14063</v>
      </c>
      <c r="C9836" s="1" t="s">
        <v>4488</v>
      </c>
      <c r="D9836" s="1" t="s">
        <v>3601</v>
      </c>
      <c r="E9836" s="1" t="s">
        <v>3611</v>
      </c>
      <c r="F9836" s="1" t="s">
        <v>32464</v>
      </c>
      <c r="G9836" s="1" t="s">
        <v>26166</v>
      </c>
      <c r="H9836" s="1" t="s">
        <v>3604</v>
      </c>
      <c r="I9836" s="1" t="s">
        <v>32465</v>
      </c>
      <c r="J9836" s="1" t="s">
        <v>3615</v>
      </c>
      <c r="K9836" s="1" t="s">
        <v>32466</v>
      </c>
      <c r="L9836" s="1"/>
      <c r="M9836" s="1"/>
    </row>
    <row x14ac:dyDescent="0.25" r="9837" customHeight="1" ht="18.75">
      <c r="A9837" s="1" t="s">
        <v>3598</v>
      </c>
      <c r="B9837" s="1" t="s">
        <v>5260</v>
      </c>
      <c r="C9837" s="1" t="s">
        <v>3600</v>
      </c>
      <c r="D9837" s="1" t="s">
        <v>3601</v>
      </c>
      <c r="E9837" s="1" t="s">
        <v>3893</v>
      </c>
      <c r="F9837" s="1" t="s">
        <v>32467</v>
      </c>
      <c r="G9837" s="1" t="s">
        <v>17246</v>
      </c>
      <c r="H9837" s="1" t="s">
        <v>3604</v>
      </c>
      <c r="I9837" s="1" t="s">
        <v>32468</v>
      </c>
      <c r="J9837" s="1" t="s">
        <v>3615</v>
      </c>
      <c r="K9837" s="1" t="s">
        <v>32469</v>
      </c>
      <c r="L9837" s="1"/>
      <c r="M9837" s="1"/>
    </row>
    <row x14ac:dyDescent="0.25" r="9838" customHeight="1" ht="18.75">
      <c r="A9838" s="1" t="s">
        <v>3598</v>
      </c>
      <c r="B9838" s="1" t="s">
        <v>9025</v>
      </c>
      <c r="C9838" s="1" t="s">
        <v>3600</v>
      </c>
      <c r="D9838" s="1" t="s">
        <v>3601</v>
      </c>
      <c r="E9838" s="1" t="s">
        <v>3752</v>
      </c>
      <c r="F9838" s="1" t="s">
        <v>32470</v>
      </c>
      <c r="G9838" s="1" t="s">
        <v>32471</v>
      </c>
      <c r="H9838" s="1" t="s">
        <v>3604</v>
      </c>
      <c r="I9838" s="1" t="s">
        <v>32472</v>
      </c>
      <c r="J9838" s="1" t="s">
        <v>3615</v>
      </c>
      <c r="K9838" s="1" t="s">
        <v>32473</v>
      </c>
      <c r="L9838" s="1"/>
      <c r="M9838" s="1"/>
    </row>
    <row x14ac:dyDescent="0.25" r="9839" customHeight="1" ht="18.75">
      <c r="A9839" s="1" t="s">
        <v>7833</v>
      </c>
      <c r="B9839" s="1" t="s">
        <v>7834</v>
      </c>
      <c r="C9839" s="1" t="s">
        <v>4488</v>
      </c>
      <c r="D9839" s="1" t="s">
        <v>3601</v>
      </c>
      <c r="E9839" s="1" t="s">
        <v>8096</v>
      </c>
      <c r="F9839" s="1" t="s">
        <v>32474</v>
      </c>
      <c r="G9839" s="1" t="s">
        <v>24155</v>
      </c>
      <c r="H9839" s="1" t="s">
        <v>3604</v>
      </c>
      <c r="I9839" s="1" t="s">
        <v>32475</v>
      </c>
      <c r="J9839" s="1" t="s">
        <v>3615</v>
      </c>
      <c r="K9839" s="1" t="s">
        <v>9194</v>
      </c>
      <c r="L9839" s="1"/>
      <c r="M9839" s="1"/>
    </row>
    <row x14ac:dyDescent="0.25" r="9840" customHeight="1" ht="18.75">
      <c r="A9840" s="1" t="s">
        <v>3598</v>
      </c>
      <c r="B9840" s="1" t="s">
        <v>6954</v>
      </c>
      <c r="C9840" s="1" t="s">
        <v>3600</v>
      </c>
      <c r="D9840" s="1" t="s">
        <v>3601</v>
      </c>
      <c r="E9840" s="1" t="s">
        <v>3893</v>
      </c>
      <c r="F9840" s="1" t="s">
        <v>32476</v>
      </c>
      <c r="G9840" s="1" t="s">
        <v>14139</v>
      </c>
      <c r="H9840" s="1" t="s">
        <v>3604</v>
      </c>
      <c r="I9840" s="1" t="s">
        <v>32477</v>
      </c>
      <c r="J9840" s="1" t="s">
        <v>3615</v>
      </c>
      <c r="K9840" s="1" t="s">
        <v>32478</v>
      </c>
      <c r="L9840" s="1"/>
      <c r="M9840" s="1"/>
    </row>
    <row x14ac:dyDescent="0.25" r="9841" customHeight="1" ht="18.75">
      <c r="A9841" s="1" t="s">
        <v>3598</v>
      </c>
      <c r="B9841" s="1" t="s">
        <v>9025</v>
      </c>
      <c r="C9841" s="1" t="s">
        <v>3600</v>
      </c>
      <c r="D9841" s="1" t="s">
        <v>3601</v>
      </c>
      <c r="E9841" s="1" t="s">
        <v>3664</v>
      </c>
      <c r="F9841" s="1" t="s">
        <v>32479</v>
      </c>
      <c r="G9841" s="1" t="s">
        <v>28742</v>
      </c>
      <c r="H9841" s="1" t="s">
        <v>3604</v>
      </c>
      <c r="I9841" s="1" t="s">
        <v>32480</v>
      </c>
      <c r="J9841" s="1" t="s">
        <v>3615</v>
      </c>
      <c r="K9841" s="1" t="s">
        <v>32481</v>
      </c>
      <c r="L9841" s="1"/>
      <c r="M9841" s="1"/>
    </row>
    <row x14ac:dyDescent="0.25" r="9842" customHeight="1" ht="18.75">
      <c r="A9842" s="1" t="s">
        <v>3598</v>
      </c>
      <c r="B9842" s="1" t="s">
        <v>6954</v>
      </c>
      <c r="C9842" s="1" t="s">
        <v>3600</v>
      </c>
      <c r="D9842" s="1" t="s">
        <v>3601</v>
      </c>
      <c r="E9842" s="1" t="s">
        <v>3893</v>
      </c>
      <c r="F9842" s="1" t="s">
        <v>32482</v>
      </c>
      <c r="G9842" s="1" t="s">
        <v>14139</v>
      </c>
      <c r="H9842" s="1" t="s">
        <v>3604</v>
      </c>
      <c r="I9842" s="1" t="s">
        <v>32483</v>
      </c>
      <c r="J9842" s="1" t="s">
        <v>3615</v>
      </c>
      <c r="K9842" s="1" t="s">
        <v>32484</v>
      </c>
      <c r="L9842" s="1"/>
      <c r="M9842" s="1"/>
    </row>
    <row x14ac:dyDescent="0.25" r="9843" customHeight="1" ht="18.75">
      <c r="A9843" s="1" t="s">
        <v>7833</v>
      </c>
      <c r="B9843" s="1" t="s">
        <v>7834</v>
      </c>
      <c r="C9843" s="1" t="s">
        <v>4488</v>
      </c>
      <c r="D9843" s="1" t="s">
        <v>3601</v>
      </c>
      <c r="E9843" s="1" t="s">
        <v>3664</v>
      </c>
      <c r="F9843" s="1" t="s">
        <v>32485</v>
      </c>
      <c r="G9843" s="1" t="s">
        <v>24155</v>
      </c>
      <c r="H9843" s="1" t="s">
        <v>3604</v>
      </c>
      <c r="I9843" s="1" t="s">
        <v>32486</v>
      </c>
      <c r="J9843" s="1" t="s">
        <v>3615</v>
      </c>
      <c r="K9843" s="1" t="s">
        <v>14573</v>
      </c>
      <c r="L9843" s="1"/>
      <c r="M9843" s="1"/>
    </row>
    <row x14ac:dyDescent="0.25" r="9844" customHeight="1" ht="18.75">
      <c r="A9844" s="1" t="s">
        <v>3598</v>
      </c>
      <c r="B9844" s="1" t="s">
        <v>9246</v>
      </c>
      <c r="C9844" s="1" t="s">
        <v>3600</v>
      </c>
      <c r="D9844" s="1" t="s">
        <v>3601</v>
      </c>
      <c r="E9844" s="1" t="s">
        <v>3664</v>
      </c>
      <c r="F9844" s="1" t="s">
        <v>32487</v>
      </c>
      <c r="G9844" s="1" t="s">
        <v>28742</v>
      </c>
      <c r="H9844" s="1" t="s">
        <v>3604</v>
      </c>
      <c r="I9844" s="1" t="s">
        <v>32488</v>
      </c>
      <c r="J9844" s="1" t="s">
        <v>3615</v>
      </c>
      <c r="K9844" s="1" t="s">
        <v>32489</v>
      </c>
      <c r="L9844" s="1"/>
      <c r="M9844" s="1"/>
    </row>
    <row x14ac:dyDescent="0.25" r="9845" customHeight="1" ht="18.75">
      <c r="A9845" s="1" t="s">
        <v>3598</v>
      </c>
      <c r="B9845" s="1" t="s">
        <v>9470</v>
      </c>
      <c r="C9845" s="1" t="s">
        <v>3600</v>
      </c>
      <c r="D9845" s="1" t="s">
        <v>3601</v>
      </c>
      <c r="E9845" s="1" t="s">
        <v>3893</v>
      </c>
      <c r="F9845" s="1" t="s">
        <v>32490</v>
      </c>
      <c r="G9845" s="1" t="s">
        <v>30778</v>
      </c>
      <c r="H9845" s="1" t="s">
        <v>3604</v>
      </c>
      <c r="I9845" s="1" t="s">
        <v>32491</v>
      </c>
      <c r="J9845" s="1" t="s">
        <v>3615</v>
      </c>
      <c r="K9845" s="1" t="s">
        <v>32492</v>
      </c>
      <c r="L9845" s="1"/>
      <c r="M9845" s="1"/>
    </row>
    <row x14ac:dyDescent="0.25" r="9846" customHeight="1" ht="18.75">
      <c r="A9846" s="1" t="s">
        <v>7833</v>
      </c>
      <c r="B9846" s="1" t="s">
        <v>7834</v>
      </c>
      <c r="C9846" s="1" t="s">
        <v>4488</v>
      </c>
      <c r="D9846" s="1" t="s">
        <v>3601</v>
      </c>
      <c r="E9846" s="1" t="s">
        <v>3664</v>
      </c>
      <c r="F9846" s="1" t="s">
        <v>32493</v>
      </c>
      <c r="G9846" s="1" t="s">
        <v>24155</v>
      </c>
      <c r="H9846" s="1" t="s">
        <v>3604</v>
      </c>
      <c r="I9846" s="1" t="s">
        <v>32494</v>
      </c>
      <c r="J9846" s="1" t="s">
        <v>3615</v>
      </c>
      <c r="K9846" s="1" t="s">
        <v>32495</v>
      </c>
      <c r="L9846" s="1"/>
      <c r="M9846" s="1"/>
    </row>
    <row x14ac:dyDescent="0.25" r="9847" customHeight="1" ht="18.75">
      <c r="A9847" s="1" t="s">
        <v>3598</v>
      </c>
      <c r="B9847" s="1" t="s">
        <v>8191</v>
      </c>
      <c r="C9847" s="1" t="s">
        <v>3600</v>
      </c>
      <c r="D9847" s="1" t="s">
        <v>3601</v>
      </c>
      <c r="E9847" s="1" t="s">
        <v>3664</v>
      </c>
      <c r="F9847" s="1" t="s">
        <v>32496</v>
      </c>
      <c r="G9847" s="1" t="s">
        <v>16424</v>
      </c>
      <c r="H9847" s="1" t="s">
        <v>3604</v>
      </c>
      <c r="I9847" s="1" t="s">
        <v>32497</v>
      </c>
      <c r="J9847" s="1" t="s">
        <v>3615</v>
      </c>
      <c r="K9847" s="1" t="s">
        <v>32498</v>
      </c>
      <c r="L9847" s="1"/>
      <c r="M9847" s="1"/>
    </row>
    <row x14ac:dyDescent="0.25" r="9848" customHeight="1" ht="18.75">
      <c r="A9848" s="1" t="s">
        <v>3598</v>
      </c>
      <c r="B9848" s="1" t="s">
        <v>9470</v>
      </c>
      <c r="C9848" s="1" t="s">
        <v>3600</v>
      </c>
      <c r="D9848" s="1" t="s">
        <v>3601</v>
      </c>
      <c r="E9848" s="1" t="s">
        <v>3893</v>
      </c>
      <c r="F9848" s="1" t="s">
        <v>32499</v>
      </c>
      <c r="G9848" s="1" t="s">
        <v>30778</v>
      </c>
      <c r="H9848" s="1" t="s">
        <v>3604</v>
      </c>
      <c r="I9848" s="1" t="s">
        <v>32500</v>
      </c>
      <c r="J9848" s="1" t="s">
        <v>3615</v>
      </c>
      <c r="K9848" s="1" t="s">
        <v>32501</v>
      </c>
      <c r="L9848" s="1"/>
      <c r="M9848" s="1"/>
    </row>
    <row x14ac:dyDescent="0.25" r="9849" customHeight="1" ht="18.75">
      <c r="A9849" s="1" t="s">
        <v>7833</v>
      </c>
      <c r="B9849" s="1" t="s">
        <v>7834</v>
      </c>
      <c r="C9849" s="1" t="s">
        <v>4488</v>
      </c>
      <c r="D9849" s="1" t="s">
        <v>3601</v>
      </c>
      <c r="E9849" s="1" t="s">
        <v>8096</v>
      </c>
      <c r="F9849" s="1" t="s">
        <v>32502</v>
      </c>
      <c r="G9849" s="1" t="s">
        <v>24155</v>
      </c>
      <c r="H9849" s="1" t="s">
        <v>3604</v>
      </c>
      <c r="I9849" s="1" t="s">
        <v>32503</v>
      </c>
      <c r="J9849" s="1" t="s">
        <v>3615</v>
      </c>
      <c r="K9849" s="1" t="s">
        <v>8710</v>
      </c>
      <c r="L9849" s="1"/>
      <c r="M9849" s="1"/>
    </row>
    <row x14ac:dyDescent="0.25" r="9850" customHeight="1" ht="18.75">
      <c r="A9850" s="1" t="s">
        <v>3598</v>
      </c>
      <c r="B9850" s="1" t="s">
        <v>31976</v>
      </c>
      <c r="C9850" s="1" t="s">
        <v>3600</v>
      </c>
      <c r="D9850" s="1" t="s">
        <v>3601</v>
      </c>
      <c r="E9850" s="1" t="s">
        <v>3664</v>
      </c>
      <c r="F9850" s="1" t="s">
        <v>32504</v>
      </c>
      <c r="G9850" s="1" t="s">
        <v>16424</v>
      </c>
      <c r="H9850" s="1" t="s">
        <v>3604</v>
      </c>
      <c r="I9850" s="1" t="s">
        <v>32505</v>
      </c>
      <c r="J9850" s="1" t="s">
        <v>3615</v>
      </c>
      <c r="K9850" s="1" t="s">
        <v>32506</v>
      </c>
      <c r="L9850" s="1"/>
      <c r="M9850" s="1"/>
    </row>
    <row x14ac:dyDescent="0.25" r="9851" customHeight="1" ht="18.75">
      <c r="A9851" s="1" t="s">
        <v>3598</v>
      </c>
      <c r="B9851" s="1" t="s">
        <v>9470</v>
      </c>
      <c r="C9851" s="1" t="s">
        <v>3600</v>
      </c>
      <c r="D9851" s="1" t="s">
        <v>3601</v>
      </c>
      <c r="E9851" s="1" t="s">
        <v>3893</v>
      </c>
      <c r="F9851" s="1" t="s">
        <v>32507</v>
      </c>
      <c r="G9851" s="1" t="s">
        <v>30778</v>
      </c>
      <c r="H9851" s="1" t="s">
        <v>3604</v>
      </c>
      <c r="I9851" s="1" t="s">
        <v>32508</v>
      </c>
      <c r="J9851" s="1" t="s">
        <v>3615</v>
      </c>
      <c r="K9851" s="1" t="s">
        <v>32509</v>
      </c>
      <c r="L9851" s="1"/>
      <c r="M9851" s="1"/>
    </row>
    <row x14ac:dyDescent="0.25" r="9852" customHeight="1" ht="18.75">
      <c r="A9852" s="1" t="s">
        <v>7833</v>
      </c>
      <c r="B9852" s="1" t="s">
        <v>7834</v>
      </c>
      <c r="C9852" s="1" t="s">
        <v>4488</v>
      </c>
      <c r="D9852" s="1" t="s">
        <v>3601</v>
      </c>
      <c r="E9852" s="1" t="s">
        <v>8096</v>
      </c>
      <c r="F9852" s="1" t="s">
        <v>32510</v>
      </c>
      <c r="G9852" s="1" t="s">
        <v>24155</v>
      </c>
      <c r="H9852" s="1" t="s">
        <v>3604</v>
      </c>
      <c r="I9852" s="1" t="s">
        <v>32511</v>
      </c>
      <c r="J9852" s="1" t="s">
        <v>3615</v>
      </c>
      <c r="K9852" s="1" t="s">
        <v>8959</v>
      </c>
      <c r="L9852" s="1"/>
      <c r="M9852" s="1"/>
    </row>
    <row x14ac:dyDescent="0.25" r="9853" customHeight="1" ht="18.75">
      <c r="A9853" s="1" t="s">
        <v>3598</v>
      </c>
      <c r="B9853" s="1" t="s">
        <v>9470</v>
      </c>
      <c r="C9853" s="1" t="s">
        <v>3600</v>
      </c>
      <c r="D9853" s="1" t="s">
        <v>3601</v>
      </c>
      <c r="E9853" s="1" t="s">
        <v>3893</v>
      </c>
      <c r="F9853" s="1" t="s">
        <v>32512</v>
      </c>
      <c r="G9853" s="1" t="s">
        <v>30778</v>
      </c>
      <c r="H9853" s="1" t="s">
        <v>3604</v>
      </c>
      <c r="I9853" s="1" t="s">
        <v>32513</v>
      </c>
      <c r="J9853" s="1" t="s">
        <v>3615</v>
      </c>
      <c r="K9853" s="1" t="s">
        <v>32514</v>
      </c>
      <c r="L9853" s="1"/>
      <c r="M9853" s="1"/>
    </row>
    <row x14ac:dyDescent="0.25" r="9854" customHeight="1" ht="18.75">
      <c r="A9854" s="1" t="s">
        <v>7833</v>
      </c>
      <c r="B9854" s="1" t="s">
        <v>7834</v>
      </c>
      <c r="C9854" s="1" t="s">
        <v>4488</v>
      </c>
      <c r="D9854" s="1" t="s">
        <v>3601</v>
      </c>
      <c r="E9854" s="1" t="s">
        <v>8096</v>
      </c>
      <c r="F9854" s="1" t="s">
        <v>32515</v>
      </c>
      <c r="G9854" s="1" t="s">
        <v>24155</v>
      </c>
      <c r="H9854" s="1" t="s">
        <v>3604</v>
      </c>
      <c r="I9854" s="1" t="s">
        <v>32516</v>
      </c>
      <c r="J9854" s="1" t="s">
        <v>3615</v>
      </c>
      <c r="K9854" s="1" t="s">
        <v>8713</v>
      </c>
      <c r="L9854" s="1"/>
      <c r="M9854" s="1"/>
    </row>
    <row x14ac:dyDescent="0.25" r="9855" customHeight="1" ht="18.75">
      <c r="A9855" s="1" t="s">
        <v>3598</v>
      </c>
      <c r="B9855" s="1" t="s">
        <v>20123</v>
      </c>
      <c r="C9855" s="1" t="s">
        <v>3600</v>
      </c>
      <c r="D9855" s="1" t="s">
        <v>3601</v>
      </c>
      <c r="E9855" s="1" t="s">
        <v>3664</v>
      </c>
      <c r="F9855" s="1" t="s">
        <v>32517</v>
      </c>
      <c r="G9855" s="1" t="s">
        <v>29614</v>
      </c>
      <c r="H9855" s="1" t="s">
        <v>3604</v>
      </c>
      <c r="I9855" s="1" t="s">
        <v>32518</v>
      </c>
      <c r="J9855" s="1" t="s">
        <v>3615</v>
      </c>
      <c r="K9855" s="1" t="s">
        <v>32519</v>
      </c>
      <c r="L9855" s="1"/>
      <c r="M9855" s="1"/>
    </row>
    <row x14ac:dyDescent="0.25" r="9856" customHeight="1" ht="18.75">
      <c r="A9856" s="1" t="s">
        <v>3598</v>
      </c>
      <c r="B9856" s="1" t="s">
        <v>4689</v>
      </c>
      <c r="C9856" s="1" t="s">
        <v>3600</v>
      </c>
      <c r="D9856" s="1" t="s">
        <v>3601</v>
      </c>
      <c r="E9856" s="1" t="s">
        <v>3893</v>
      </c>
      <c r="F9856" s="1" t="s">
        <v>32520</v>
      </c>
      <c r="G9856" s="1" t="s">
        <v>7853</v>
      </c>
      <c r="H9856" s="1" t="s">
        <v>3604</v>
      </c>
      <c r="I9856" s="1" t="s">
        <v>32521</v>
      </c>
      <c r="J9856" s="1" t="s">
        <v>3615</v>
      </c>
      <c r="K9856" s="1" t="s">
        <v>32522</v>
      </c>
      <c r="L9856" s="1"/>
      <c r="M9856" s="1"/>
    </row>
    <row x14ac:dyDescent="0.25" r="9857" customHeight="1" ht="18.75">
      <c r="A9857" s="1" t="s">
        <v>7833</v>
      </c>
      <c r="B9857" s="1" t="s">
        <v>7834</v>
      </c>
      <c r="C9857" s="1" t="s">
        <v>4488</v>
      </c>
      <c r="D9857" s="1" t="s">
        <v>3601</v>
      </c>
      <c r="E9857" s="1" t="s">
        <v>8096</v>
      </c>
      <c r="F9857" s="1" t="s">
        <v>32523</v>
      </c>
      <c r="G9857" s="1" t="s">
        <v>24155</v>
      </c>
      <c r="H9857" s="1" t="s">
        <v>3604</v>
      </c>
      <c r="I9857" s="1" t="s">
        <v>32524</v>
      </c>
      <c r="J9857" s="1" t="s">
        <v>3615</v>
      </c>
      <c r="K9857" s="1" t="s">
        <v>8966</v>
      </c>
      <c r="L9857" s="1"/>
      <c r="M9857" s="1"/>
    </row>
    <row x14ac:dyDescent="0.25" r="9858" customHeight="1" ht="18.75">
      <c r="A9858" s="1" t="s">
        <v>3598</v>
      </c>
      <c r="B9858" s="1" t="s">
        <v>4689</v>
      </c>
      <c r="C9858" s="1" t="s">
        <v>3600</v>
      </c>
      <c r="D9858" s="1" t="s">
        <v>3601</v>
      </c>
      <c r="E9858" s="1" t="s">
        <v>3664</v>
      </c>
      <c r="F9858" s="1" t="s">
        <v>32525</v>
      </c>
      <c r="G9858" s="1" t="s">
        <v>16094</v>
      </c>
      <c r="H9858" s="1" t="s">
        <v>3604</v>
      </c>
      <c r="I9858" s="1" t="s">
        <v>32526</v>
      </c>
      <c r="J9858" s="1" t="s">
        <v>3615</v>
      </c>
      <c r="K9858" s="1" t="s">
        <v>32527</v>
      </c>
      <c r="L9858" s="1"/>
      <c r="M9858" s="1"/>
    </row>
    <row x14ac:dyDescent="0.25" r="9859" customHeight="1" ht="18.75">
      <c r="A9859" s="1" t="s">
        <v>3598</v>
      </c>
      <c r="B9859" s="1" t="s">
        <v>4689</v>
      </c>
      <c r="C9859" s="1" t="s">
        <v>3600</v>
      </c>
      <c r="D9859" s="1" t="s">
        <v>3601</v>
      </c>
      <c r="E9859" s="1" t="s">
        <v>3893</v>
      </c>
      <c r="F9859" s="1" t="s">
        <v>32528</v>
      </c>
      <c r="G9859" s="1" t="s">
        <v>7853</v>
      </c>
      <c r="H9859" s="1" t="s">
        <v>3604</v>
      </c>
      <c r="I9859" s="1" t="s">
        <v>32529</v>
      </c>
      <c r="J9859" s="1" t="s">
        <v>3615</v>
      </c>
      <c r="K9859" s="1" t="s">
        <v>32530</v>
      </c>
      <c r="L9859" s="1"/>
      <c r="M9859" s="1"/>
    </row>
    <row x14ac:dyDescent="0.25" r="9860" customHeight="1" ht="18.75">
      <c r="A9860" s="1" t="s">
        <v>7833</v>
      </c>
      <c r="B9860" s="1" t="s">
        <v>7834</v>
      </c>
      <c r="C9860" s="1" t="s">
        <v>4488</v>
      </c>
      <c r="D9860" s="1" t="s">
        <v>3601</v>
      </c>
      <c r="E9860" s="1" t="s">
        <v>8096</v>
      </c>
      <c r="F9860" s="1" t="s">
        <v>32531</v>
      </c>
      <c r="G9860" s="1" t="s">
        <v>24155</v>
      </c>
      <c r="H9860" s="1" t="s">
        <v>3604</v>
      </c>
      <c r="I9860" s="1" t="s">
        <v>32532</v>
      </c>
      <c r="J9860" s="1" t="s">
        <v>3615</v>
      </c>
      <c r="K9860" s="1" t="s">
        <v>20828</v>
      </c>
      <c r="L9860" s="1"/>
      <c r="M9860" s="1"/>
    </row>
    <row x14ac:dyDescent="0.25" r="9861" customHeight="1" ht="18.75">
      <c r="A9861" s="1" t="s">
        <v>3598</v>
      </c>
      <c r="B9861" s="1" t="s">
        <v>13742</v>
      </c>
      <c r="C9861" s="1" t="s">
        <v>3600</v>
      </c>
      <c r="D9861" s="1" t="s">
        <v>3601</v>
      </c>
      <c r="E9861" s="1" t="s">
        <v>3893</v>
      </c>
      <c r="F9861" s="1" t="s">
        <v>32533</v>
      </c>
      <c r="G9861" s="1" t="s">
        <v>15665</v>
      </c>
      <c r="H9861" s="1" t="s">
        <v>3604</v>
      </c>
      <c r="I9861" s="1" t="s">
        <v>32534</v>
      </c>
      <c r="J9861" s="1" t="s">
        <v>3615</v>
      </c>
      <c r="K9861" s="1" t="s">
        <v>32535</v>
      </c>
      <c r="L9861" s="1"/>
      <c r="M9861" s="1"/>
    </row>
    <row x14ac:dyDescent="0.25" r="9862" customHeight="1" ht="18.75">
      <c r="A9862" s="1" t="s">
        <v>3598</v>
      </c>
      <c r="B9862" s="1" t="s">
        <v>4689</v>
      </c>
      <c r="C9862" s="1" t="s">
        <v>3600</v>
      </c>
      <c r="D9862" s="1" t="s">
        <v>3601</v>
      </c>
      <c r="E9862" s="1" t="s">
        <v>3664</v>
      </c>
      <c r="F9862" s="1" t="s">
        <v>32536</v>
      </c>
      <c r="G9862" s="1" t="s">
        <v>32537</v>
      </c>
      <c r="H9862" s="1" t="s">
        <v>3604</v>
      </c>
      <c r="I9862" s="1" t="s">
        <v>32538</v>
      </c>
      <c r="J9862" s="1" t="s">
        <v>3615</v>
      </c>
      <c r="K9862" s="1" t="s">
        <v>32539</v>
      </c>
      <c r="L9862" s="1"/>
      <c r="M9862" s="1"/>
    </row>
    <row x14ac:dyDescent="0.25" r="9863" customHeight="1" ht="18.75">
      <c r="A9863" s="1" t="s">
        <v>7833</v>
      </c>
      <c r="B9863" s="1" t="s">
        <v>7834</v>
      </c>
      <c r="C9863" s="1" t="s">
        <v>4488</v>
      </c>
      <c r="D9863" s="1" t="s">
        <v>3601</v>
      </c>
      <c r="E9863" s="1" t="s">
        <v>3664</v>
      </c>
      <c r="F9863" s="1" t="s">
        <v>32540</v>
      </c>
      <c r="G9863" s="1" t="s">
        <v>32541</v>
      </c>
      <c r="H9863" s="1" t="s">
        <v>3604</v>
      </c>
      <c r="I9863" s="1" t="s">
        <v>32542</v>
      </c>
      <c r="J9863" s="1" t="s">
        <v>3615</v>
      </c>
      <c r="K9863" s="1" t="s">
        <v>32543</v>
      </c>
      <c r="L9863" s="1"/>
      <c r="M9863" s="1"/>
    </row>
    <row x14ac:dyDescent="0.25" r="9864" customHeight="1" ht="18.75">
      <c r="A9864" s="1" t="s">
        <v>3598</v>
      </c>
      <c r="B9864" s="1" t="s">
        <v>13742</v>
      </c>
      <c r="C9864" s="1" t="s">
        <v>3600</v>
      </c>
      <c r="D9864" s="1" t="s">
        <v>3601</v>
      </c>
      <c r="E9864" s="1" t="s">
        <v>3893</v>
      </c>
      <c r="F9864" s="1" t="s">
        <v>32544</v>
      </c>
      <c r="G9864" s="1" t="s">
        <v>15665</v>
      </c>
      <c r="H9864" s="1" t="s">
        <v>3604</v>
      </c>
      <c r="I9864" s="1" t="s">
        <v>32545</v>
      </c>
      <c r="J9864" s="1" t="s">
        <v>3615</v>
      </c>
      <c r="K9864" s="1" t="s">
        <v>32546</v>
      </c>
      <c r="L9864" s="1"/>
      <c r="M9864" s="1"/>
    </row>
    <row x14ac:dyDescent="0.25" r="9865" customHeight="1" ht="18.75">
      <c r="A9865" s="1" t="s">
        <v>3598</v>
      </c>
      <c r="B9865" s="1" t="s">
        <v>4689</v>
      </c>
      <c r="C9865" s="1" t="s">
        <v>3600</v>
      </c>
      <c r="D9865" s="1" t="s">
        <v>3601</v>
      </c>
      <c r="E9865" s="1" t="s">
        <v>3664</v>
      </c>
      <c r="F9865" s="1" t="s">
        <v>32547</v>
      </c>
      <c r="G9865" s="1" t="s">
        <v>19962</v>
      </c>
      <c r="H9865" s="1" t="s">
        <v>3604</v>
      </c>
      <c r="I9865" s="1" t="s">
        <v>32548</v>
      </c>
      <c r="J9865" s="1" t="s">
        <v>3615</v>
      </c>
      <c r="K9865" s="1" t="s">
        <v>32549</v>
      </c>
      <c r="L9865" s="1"/>
      <c r="M9865" s="1"/>
    </row>
    <row x14ac:dyDescent="0.25" r="9866" customHeight="1" ht="18.75">
      <c r="A9866" s="1" t="s">
        <v>7833</v>
      </c>
      <c r="B9866" s="1" t="s">
        <v>7834</v>
      </c>
      <c r="C9866" s="1" t="s">
        <v>4488</v>
      </c>
      <c r="D9866" s="1" t="s">
        <v>3601</v>
      </c>
      <c r="E9866" s="1" t="s">
        <v>8096</v>
      </c>
      <c r="F9866" s="1" t="s">
        <v>32550</v>
      </c>
      <c r="G9866" s="1" t="s">
        <v>26450</v>
      </c>
      <c r="H9866" s="1" t="s">
        <v>3604</v>
      </c>
      <c r="I9866" s="1" t="s">
        <v>32551</v>
      </c>
      <c r="J9866" s="1" t="s">
        <v>3615</v>
      </c>
      <c r="K9866" s="1" t="s">
        <v>32552</v>
      </c>
      <c r="L9866" s="1"/>
      <c r="M9866" s="1"/>
    </row>
    <row x14ac:dyDescent="0.25" r="9867" customHeight="1" ht="18.75">
      <c r="A9867" s="1" t="s">
        <v>3598</v>
      </c>
      <c r="B9867" s="1" t="s">
        <v>13758</v>
      </c>
      <c r="C9867" s="1" t="s">
        <v>3600</v>
      </c>
      <c r="D9867" s="1" t="s">
        <v>3601</v>
      </c>
      <c r="E9867" s="1" t="s">
        <v>3893</v>
      </c>
      <c r="F9867" s="1" t="s">
        <v>32553</v>
      </c>
      <c r="G9867" s="1" t="s">
        <v>15822</v>
      </c>
      <c r="H9867" s="1" t="s">
        <v>3604</v>
      </c>
      <c r="I9867" s="1" t="s">
        <v>32554</v>
      </c>
      <c r="J9867" s="1" t="s">
        <v>3615</v>
      </c>
      <c r="K9867" s="1" t="s">
        <v>32555</v>
      </c>
      <c r="L9867" s="1"/>
      <c r="M9867" s="1"/>
    </row>
    <row x14ac:dyDescent="0.25" r="9868" customHeight="1" ht="18.75">
      <c r="A9868" s="1" t="s">
        <v>3598</v>
      </c>
      <c r="B9868" s="1" t="s">
        <v>4689</v>
      </c>
      <c r="C9868" s="1" t="s">
        <v>3600</v>
      </c>
      <c r="D9868" s="1" t="s">
        <v>3601</v>
      </c>
      <c r="E9868" s="1" t="s">
        <v>3893</v>
      </c>
      <c r="F9868" s="1" t="s">
        <v>32556</v>
      </c>
      <c r="G9868" s="1" t="s">
        <v>20511</v>
      </c>
      <c r="H9868" s="1" t="s">
        <v>3604</v>
      </c>
      <c r="I9868" s="1" t="s">
        <v>32557</v>
      </c>
      <c r="J9868" s="1" t="s">
        <v>3615</v>
      </c>
      <c r="K9868" s="1" t="s">
        <v>32558</v>
      </c>
      <c r="L9868" s="1"/>
      <c r="M9868" s="1"/>
    </row>
    <row x14ac:dyDescent="0.25" r="9869" customHeight="1" ht="18.75">
      <c r="A9869" s="1" t="s">
        <v>7833</v>
      </c>
      <c r="B9869" s="1" t="s">
        <v>7834</v>
      </c>
      <c r="C9869" s="1" t="s">
        <v>4488</v>
      </c>
      <c r="D9869" s="1" t="s">
        <v>3601</v>
      </c>
      <c r="E9869" s="1" t="s">
        <v>8096</v>
      </c>
      <c r="F9869" s="1" t="s">
        <v>32559</v>
      </c>
      <c r="G9869" s="1" t="s">
        <v>32321</v>
      </c>
      <c r="H9869" s="1" t="s">
        <v>3604</v>
      </c>
      <c r="I9869" s="1" t="s">
        <v>32560</v>
      </c>
      <c r="J9869" s="1" t="s">
        <v>3615</v>
      </c>
      <c r="K9869" s="1" t="s">
        <v>32561</v>
      </c>
      <c r="L9869" s="1"/>
      <c r="M9869" s="1"/>
    </row>
    <row x14ac:dyDescent="0.25" r="9870" customHeight="1" ht="18.75">
      <c r="A9870" s="1" t="s">
        <v>3598</v>
      </c>
      <c r="B9870" s="1" t="s">
        <v>13758</v>
      </c>
      <c r="C9870" s="1" t="s">
        <v>3600</v>
      </c>
      <c r="D9870" s="1" t="s">
        <v>3601</v>
      </c>
      <c r="E9870" s="1" t="s">
        <v>3893</v>
      </c>
      <c r="F9870" s="1" t="s">
        <v>32562</v>
      </c>
      <c r="G9870" s="1" t="s">
        <v>15822</v>
      </c>
      <c r="H9870" s="1" t="s">
        <v>3604</v>
      </c>
      <c r="I9870" s="1" t="s">
        <v>32563</v>
      </c>
      <c r="J9870" s="1" t="s">
        <v>3615</v>
      </c>
      <c r="K9870" s="1" t="s">
        <v>32564</v>
      </c>
      <c r="L9870" s="1"/>
      <c r="M9870" s="1"/>
    </row>
    <row x14ac:dyDescent="0.25" r="9871" customHeight="1" ht="18.75">
      <c r="A9871" s="1" t="s">
        <v>3598</v>
      </c>
      <c r="B9871" s="1" t="s">
        <v>4689</v>
      </c>
      <c r="C9871" s="1" t="s">
        <v>3600</v>
      </c>
      <c r="D9871" s="1" t="s">
        <v>3601</v>
      </c>
      <c r="E9871" s="1" t="s">
        <v>3893</v>
      </c>
      <c r="F9871" s="1" t="s">
        <v>32565</v>
      </c>
      <c r="G9871" s="1" t="s">
        <v>7853</v>
      </c>
      <c r="H9871" s="1" t="s">
        <v>3604</v>
      </c>
      <c r="I9871" s="1" t="s">
        <v>32566</v>
      </c>
      <c r="J9871" s="1" t="s">
        <v>3615</v>
      </c>
      <c r="K9871" s="1" t="s">
        <v>32567</v>
      </c>
      <c r="L9871" s="1"/>
      <c r="M9871" s="1"/>
    </row>
    <row x14ac:dyDescent="0.25" r="9872" customHeight="1" ht="18.75">
      <c r="A9872" s="1" t="s">
        <v>7833</v>
      </c>
      <c r="B9872" s="1" t="s">
        <v>7834</v>
      </c>
      <c r="C9872" s="1" t="s">
        <v>4488</v>
      </c>
      <c r="D9872" s="1" t="s">
        <v>3601</v>
      </c>
      <c r="E9872" s="1" t="s">
        <v>8096</v>
      </c>
      <c r="F9872" s="1" t="s">
        <v>32568</v>
      </c>
      <c r="G9872" s="1" t="s">
        <v>32569</v>
      </c>
      <c r="H9872" s="1" t="s">
        <v>3604</v>
      </c>
      <c r="I9872" s="1" t="s">
        <v>32570</v>
      </c>
      <c r="J9872" s="1" t="s">
        <v>3615</v>
      </c>
      <c r="K9872" s="1" t="s">
        <v>32571</v>
      </c>
      <c r="L9872" s="1"/>
      <c r="M9872" s="1"/>
    </row>
    <row x14ac:dyDescent="0.25" r="9873" customHeight="1" ht="18.75">
      <c r="A9873" s="1" t="s">
        <v>3598</v>
      </c>
      <c r="B9873" s="1" t="s">
        <v>4689</v>
      </c>
      <c r="C9873" s="1" t="s">
        <v>3600</v>
      </c>
      <c r="D9873" s="1" t="s">
        <v>3601</v>
      </c>
      <c r="E9873" s="1" t="s">
        <v>3893</v>
      </c>
      <c r="F9873" s="1" t="s">
        <v>32572</v>
      </c>
      <c r="G9873" s="1" t="s">
        <v>7853</v>
      </c>
      <c r="H9873" s="1" t="s">
        <v>3604</v>
      </c>
      <c r="I9873" s="1" t="s">
        <v>32573</v>
      </c>
      <c r="J9873" s="1" t="s">
        <v>3615</v>
      </c>
      <c r="K9873" s="1" t="s">
        <v>32574</v>
      </c>
      <c r="L9873" s="1"/>
      <c r="M9873" s="1"/>
    </row>
    <row x14ac:dyDescent="0.25" r="9874" customHeight="1" ht="18.75">
      <c r="A9874" s="1" t="s">
        <v>7833</v>
      </c>
      <c r="B9874" s="1" t="s">
        <v>7834</v>
      </c>
      <c r="C9874" s="1" t="s">
        <v>4488</v>
      </c>
      <c r="D9874" s="1" t="s">
        <v>3601</v>
      </c>
      <c r="E9874" s="1" t="s">
        <v>8096</v>
      </c>
      <c r="F9874" s="1" t="s">
        <v>32575</v>
      </c>
      <c r="G9874" s="1" t="s">
        <v>8170</v>
      </c>
      <c r="H9874" s="1" t="s">
        <v>3604</v>
      </c>
      <c r="I9874" s="1" t="s">
        <v>32576</v>
      </c>
      <c r="J9874" s="1" t="s">
        <v>3615</v>
      </c>
      <c r="K9874" s="1" t="s">
        <v>32577</v>
      </c>
      <c r="L9874" s="1"/>
      <c r="M9874" s="1"/>
    </row>
    <row x14ac:dyDescent="0.25" r="9875" customHeight="1" ht="18.75">
      <c r="A9875" s="1" t="s">
        <v>3598</v>
      </c>
      <c r="B9875" s="1" t="s">
        <v>4689</v>
      </c>
      <c r="C9875" s="1" t="s">
        <v>3600</v>
      </c>
      <c r="D9875" s="1" t="s">
        <v>3601</v>
      </c>
      <c r="E9875" s="1" t="s">
        <v>3893</v>
      </c>
      <c r="F9875" s="1" t="s">
        <v>32578</v>
      </c>
      <c r="G9875" s="1" t="s">
        <v>7853</v>
      </c>
      <c r="H9875" s="1" t="s">
        <v>3604</v>
      </c>
      <c r="I9875" s="1" t="s">
        <v>32579</v>
      </c>
      <c r="J9875" s="1" t="s">
        <v>3615</v>
      </c>
      <c r="K9875" s="1" t="s">
        <v>32580</v>
      </c>
      <c r="L9875" s="1"/>
      <c r="M9875" s="1"/>
    </row>
    <row x14ac:dyDescent="0.25" r="9876" customHeight="1" ht="18.75">
      <c r="A9876" s="1" t="s">
        <v>7833</v>
      </c>
      <c r="B9876" s="1" t="s">
        <v>7834</v>
      </c>
      <c r="C9876" s="1" t="s">
        <v>4488</v>
      </c>
      <c r="D9876" s="1" t="s">
        <v>3601</v>
      </c>
      <c r="E9876" s="1" t="s">
        <v>8096</v>
      </c>
      <c r="F9876" s="1" t="s">
        <v>32581</v>
      </c>
      <c r="G9876" s="1" t="s">
        <v>32362</v>
      </c>
      <c r="H9876" s="1" t="s">
        <v>3604</v>
      </c>
      <c r="I9876" s="1" t="s">
        <v>32582</v>
      </c>
      <c r="J9876" s="1" t="s">
        <v>3615</v>
      </c>
      <c r="K9876" s="1" t="s">
        <v>32583</v>
      </c>
      <c r="L9876" s="1"/>
      <c r="M9876" s="1"/>
    </row>
    <row x14ac:dyDescent="0.25" r="9877" customHeight="1" ht="18.75">
      <c r="A9877" s="1" t="s">
        <v>3598</v>
      </c>
      <c r="B9877" s="1" t="s">
        <v>4689</v>
      </c>
      <c r="C9877" s="1" t="s">
        <v>3600</v>
      </c>
      <c r="D9877" s="1" t="s">
        <v>3601</v>
      </c>
      <c r="E9877" s="1" t="s">
        <v>3893</v>
      </c>
      <c r="F9877" s="1" t="s">
        <v>32584</v>
      </c>
      <c r="G9877" s="1" t="s">
        <v>7853</v>
      </c>
      <c r="H9877" s="1" t="s">
        <v>3604</v>
      </c>
      <c r="I9877" s="1" t="s">
        <v>32585</v>
      </c>
      <c r="J9877" s="1" t="s">
        <v>3615</v>
      </c>
      <c r="K9877" s="1" t="s">
        <v>32586</v>
      </c>
      <c r="L9877" s="1"/>
      <c r="M9877" s="1"/>
    </row>
    <row x14ac:dyDescent="0.25" r="9878" customHeight="1" ht="18.75">
      <c r="A9878" s="1" t="s">
        <v>7833</v>
      </c>
      <c r="B9878" s="1" t="s">
        <v>7834</v>
      </c>
      <c r="C9878" s="1" t="s">
        <v>4488</v>
      </c>
      <c r="D9878" s="1" t="s">
        <v>3601</v>
      </c>
      <c r="E9878" s="1" t="s">
        <v>8096</v>
      </c>
      <c r="F9878" s="1" t="s">
        <v>32587</v>
      </c>
      <c r="G9878" s="1" t="s">
        <v>32588</v>
      </c>
      <c r="H9878" s="1" t="s">
        <v>3604</v>
      </c>
      <c r="I9878" s="1" t="s">
        <v>32589</v>
      </c>
      <c r="J9878" s="1" t="s">
        <v>3615</v>
      </c>
      <c r="K9878" s="1" t="s">
        <v>21525</v>
      </c>
      <c r="L9878" s="1"/>
      <c r="M9878" s="1"/>
    </row>
    <row x14ac:dyDescent="0.25" r="9879" customHeight="1" ht="18.75">
      <c r="A9879" s="1" t="s">
        <v>3598</v>
      </c>
      <c r="B9879" s="1" t="s">
        <v>4689</v>
      </c>
      <c r="C9879" s="1" t="s">
        <v>3600</v>
      </c>
      <c r="D9879" s="1" t="s">
        <v>3601</v>
      </c>
      <c r="E9879" s="1" t="s">
        <v>3893</v>
      </c>
      <c r="F9879" s="1" t="s">
        <v>32590</v>
      </c>
      <c r="G9879" s="1" t="s">
        <v>7853</v>
      </c>
      <c r="H9879" s="1" t="s">
        <v>3604</v>
      </c>
      <c r="I9879" s="1" t="s">
        <v>32591</v>
      </c>
      <c r="J9879" s="1" t="s">
        <v>3615</v>
      </c>
      <c r="K9879" s="1" t="s">
        <v>32592</v>
      </c>
      <c r="L9879" s="1"/>
      <c r="M9879" s="1"/>
    </row>
    <row x14ac:dyDescent="0.25" r="9880" customHeight="1" ht="18.75">
      <c r="A9880" s="1" t="s">
        <v>7833</v>
      </c>
      <c r="B9880" s="1" t="s">
        <v>7834</v>
      </c>
      <c r="C9880" s="1" t="s">
        <v>4488</v>
      </c>
      <c r="D9880" s="1" t="s">
        <v>3601</v>
      </c>
      <c r="E9880" s="1" t="s">
        <v>8096</v>
      </c>
      <c r="F9880" s="1" t="s">
        <v>32593</v>
      </c>
      <c r="G9880" s="1" t="s">
        <v>32594</v>
      </c>
      <c r="H9880" s="1" t="s">
        <v>3604</v>
      </c>
      <c r="I9880" s="1" t="s">
        <v>32595</v>
      </c>
      <c r="J9880" s="1" t="s">
        <v>3615</v>
      </c>
      <c r="K9880" s="1" t="s">
        <v>21531</v>
      </c>
      <c r="L9880" s="1"/>
      <c r="M9880" s="1"/>
    </row>
    <row x14ac:dyDescent="0.25" r="9881" customHeight="1" ht="18.75">
      <c r="A9881" s="1" t="s">
        <v>3598</v>
      </c>
      <c r="B9881" s="1" t="s">
        <v>13742</v>
      </c>
      <c r="C9881" s="1" t="s">
        <v>3600</v>
      </c>
      <c r="D9881" s="1" t="s">
        <v>28428</v>
      </c>
      <c r="E9881" s="1" t="s">
        <v>3893</v>
      </c>
      <c r="F9881" s="1" t="s">
        <v>32596</v>
      </c>
      <c r="G9881" s="1" t="s">
        <v>32597</v>
      </c>
      <c r="H9881" s="1" t="s">
        <v>3604</v>
      </c>
      <c r="I9881" s="1" t="s">
        <v>32598</v>
      </c>
      <c r="J9881" s="1" t="s">
        <v>3615</v>
      </c>
      <c r="K9881" s="1" t="s">
        <v>32599</v>
      </c>
      <c r="L9881" s="1"/>
      <c r="M9881" s="1"/>
    </row>
    <row x14ac:dyDescent="0.25" r="9882" customHeight="1" ht="18.75">
      <c r="A9882" s="1" t="s">
        <v>3598</v>
      </c>
      <c r="B9882" s="1" t="s">
        <v>5260</v>
      </c>
      <c r="C9882" s="1" t="s">
        <v>3600</v>
      </c>
      <c r="D9882" s="1" t="s">
        <v>3601</v>
      </c>
      <c r="E9882" s="1" t="s">
        <v>3893</v>
      </c>
      <c r="F9882" s="1" t="s">
        <v>32600</v>
      </c>
      <c r="G9882" s="1" t="s">
        <v>17246</v>
      </c>
      <c r="H9882" s="1" t="s">
        <v>3604</v>
      </c>
      <c r="I9882" s="1" t="s">
        <v>32601</v>
      </c>
      <c r="J9882" s="1" t="s">
        <v>3615</v>
      </c>
      <c r="K9882" s="1" t="s">
        <v>32602</v>
      </c>
      <c r="L9882" s="1"/>
      <c r="M9882" s="1"/>
    </row>
    <row x14ac:dyDescent="0.25" r="9883" customHeight="1" ht="18.75">
      <c r="A9883" s="1" t="s">
        <v>7833</v>
      </c>
      <c r="B9883" s="1" t="s">
        <v>7834</v>
      </c>
      <c r="C9883" s="1" t="s">
        <v>4488</v>
      </c>
      <c r="D9883" s="1" t="s">
        <v>3601</v>
      </c>
      <c r="E9883" s="1" t="s">
        <v>8096</v>
      </c>
      <c r="F9883" s="1" t="s">
        <v>32603</v>
      </c>
      <c r="G9883" s="1" t="s">
        <v>32604</v>
      </c>
      <c r="H9883" s="1" t="s">
        <v>3604</v>
      </c>
      <c r="I9883" s="1" t="s">
        <v>32605</v>
      </c>
      <c r="J9883" s="1" t="s">
        <v>3615</v>
      </c>
      <c r="K9883" s="1" t="s">
        <v>32606</v>
      </c>
      <c r="L9883" s="1"/>
      <c r="M9883" s="1"/>
    </row>
    <row x14ac:dyDescent="0.25" r="9884" customHeight="1" ht="18.75">
      <c r="A9884" s="1" t="s">
        <v>3598</v>
      </c>
      <c r="B9884" s="1" t="s">
        <v>19900</v>
      </c>
      <c r="C9884" s="1" t="s">
        <v>3600</v>
      </c>
      <c r="D9884" s="1" t="s">
        <v>28428</v>
      </c>
      <c r="E9884" s="1" t="s">
        <v>3664</v>
      </c>
      <c r="F9884" s="1" t="s">
        <v>32607</v>
      </c>
      <c r="G9884" s="1" t="s">
        <v>19902</v>
      </c>
      <c r="H9884" s="1" t="s">
        <v>3604</v>
      </c>
      <c r="I9884" s="1" t="s">
        <v>32608</v>
      </c>
      <c r="J9884" s="1" t="s">
        <v>3615</v>
      </c>
      <c r="K9884" s="1" t="s">
        <v>32609</v>
      </c>
      <c r="L9884" s="1"/>
      <c r="M9884" s="1"/>
    </row>
    <row x14ac:dyDescent="0.25" r="9885" customHeight="1" ht="18.75">
      <c r="A9885" s="1" t="s">
        <v>3598</v>
      </c>
      <c r="B9885" s="1" t="s">
        <v>5260</v>
      </c>
      <c r="C9885" s="1" t="s">
        <v>3600</v>
      </c>
      <c r="D9885" s="1" t="s">
        <v>3601</v>
      </c>
      <c r="E9885" s="1" t="s">
        <v>3893</v>
      </c>
      <c r="F9885" s="1" t="s">
        <v>32610</v>
      </c>
      <c r="G9885" s="1" t="s">
        <v>17246</v>
      </c>
      <c r="H9885" s="1" t="s">
        <v>3604</v>
      </c>
      <c r="I9885" s="1" t="s">
        <v>32611</v>
      </c>
      <c r="J9885" s="1" t="s">
        <v>3615</v>
      </c>
      <c r="K9885" s="1" t="s">
        <v>32612</v>
      </c>
      <c r="L9885" s="1"/>
      <c r="M9885" s="1"/>
    </row>
    <row x14ac:dyDescent="0.25" r="9886" customHeight="1" ht="18.75">
      <c r="A9886" s="1" t="s">
        <v>7833</v>
      </c>
      <c r="B9886" s="1" t="s">
        <v>7834</v>
      </c>
      <c r="C9886" s="1" t="s">
        <v>4488</v>
      </c>
      <c r="D9886" s="1" t="s">
        <v>3601</v>
      </c>
      <c r="E9886" s="1" t="s">
        <v>8096</v>
      </c>
      <c r="F9886" s="1" t="s">
        <v>32613</v>
      </c>
      <c r="G9886" s="1" t="s">
        <v>32614</v>
      </c>
      <c r="H9886" s="1" t="s">
        <v>3604</v>
      </c>
      <c r="I9886" s="1" t="s">
        <v>32615</v>
      </c>
      <c r="J9886" s="1" t="s">
        <v>3615</v>
      </c>
      <c r="K9886" s="1" t="s">
        <v>28810</v>
      </c>
      <c r="L9886" s="1"/>
      <c r="M9886" s="1"/>
    </row>
    <row x14ac:dyDescent="0.25" r="9887" customHeight="1" ht="18.75">
      <c r="A9887" s="1" t="s">
        <v>3598</v>
      </c>
      <c r="B9887" s="1" t="s">
        <v>19900</v>
      </c>
      <c r="C9887" s="1" t="s">
        <v>3600</v>
      </c>
      <c r="D9887" s="1" t="s">
        <v>28428</v>
      </c>
      <c r="E9887" s="1" t="s">
        <v>3664</v>
      </c>
      <c r="F9887" s="1" t="s">
        <v>32616</v>
      </c>
      <c r="G9887" s="1" t="s">
        <v>32617</v>
      </c>
      <c r="H9887" s="1" t="s">
        <v>3604</v>
      </c>
      <c r="I9887" s="1" t="s">
        <v>32618</v>
      </c>
      <c r="J9887" s="1" t="s">
        <v>3615</v>
      </c>
      <c r="K9887" s="1" t="s">
        <v>32619</v>
      </c>
      <c r="L9887" s="1"/>
      <c r="M9887" s="1"/>
    </row>
    <row x14ac:dyDescent="0.25" r="9888" customHeight="1" ht="18.75">
      <c r="A9888" s="1" t="s">
        <v>3598</v>
      </c>
      <c r="B9888" s="1" t="s">
        <v>5260</v>
      </c>
      <c r="C9888" s="1" t="s">
        <v>3600</v>
      </c>
      <c r="D9888" s="1" t="s">
        <v>3601</v>
      </c>
      <c r="E9888" s="1" t="s">
        <v>3893</v>
      </c>
      <c r="F9888" s="1" t="s">
        <v>32620</v>
      </c>
      <c r="G9888" s="1" t="s">
        <v>17246</v>
      </c>
      <c r="H9888" s="1" t="s">
        <v>3604</v>
      </c>
      <c r="I9888" s="1" t="s">
        <v>32621</v>
      </c>
      <c r="J9888" s="1" t="s">
        <v>3615</v>
      </c>
      <c r="K9888" s="1" t="s">
        <v>32622</v>
      </c>
      <c r="L9888" s="1"/>
      <c r="M9888" s="1"/>
    </row>
    <row x14ac:dyDescent="0.25" r="9889" customHeight="1" ht="18.75">
      <c r="A9889" s="1" t="s">
        <v>7833</v>
      </c>
      <c r="B9889" s="1" t="s">
        <v>7834</v>
      </c>
      <c r="C9889" s="1" t="s">
        <v>4488</v>
      </c>
      <c r="D9889" s="1" t="s">
        <v>3601</v>
      </c>
      <c r="E9889" s="1" t="s">
        <v>8096</v>
      </c>
      <c r="F9889" s="1" t="s">
        <v>32623</v>
      </c>
      <c r="G9889" s="1" t="s">
        <v>7836</v>
      </c>
      <c r="H9889" s="1" t="s">
        <v>3604</v>
      </c>
      <c r="I9889" s="1" t="s">
        <v>32624</v>
      </c>
      <c r="J9889" s="1" t="s">
        <v>3615</v>
      </c>
      <c r="K9889" s="1" t="s">
        <v>28816</v>
      </c>
      <c r="L9889" s="1"/>
      <c r="M9889" s="1"/>
    </row>
    <row x14ac:dyDescent="0.25" r="9890" customHeight="1" ht="18.75">
      <c r="A9890" s="1" t="s">
        <v>3598</v>
      </c>
      <c r="B9890" s="1" t="s">
        <v>17258</v>
      </c>
      <c r="C9890" s="1" t="s">
        <v>3600</v>
      </c>
      <c r="D9890" s="1" t="s">
        <v>28428</v>
      </c>
      <c r="E9890" s="1" t="s">
        <v>3664</v>
      </c>
      <c r="F9890" s="1" t="s">
        <v>32625</v>
      </c>
      <c r="G9890" s="1" t="s">
        <v>20203</v>
      </c>
      <c r="H9890" s="1" t="s">
        <v>3604</v>
      </c>
      <c r="I9890" s="1" t="s">
        <v>32626</v>
      </c>
      <c r="J9890" s="1" t="s">
        <v>3615</v>
      </c>
      <c r="K9890" s="1" t="s">
        <v>32627</v>
      </c>
      <c r="L9890" s="1"/>
      <c r="M9890" s="1"/>
    </row>
    <row x14ac:dyDescent="0.25" r="9891" customHeight="1" ht="18.75">
      <c r="A9891" s="1" t="s">
        <v>3598</v>
      </c>
      <c r="B9891" s="1" t="s">
        <v>5260</v>
      </c>
      <c r="C9891" s="1" t="s">
        <v>3600</v>
      </c>
      <c r="D9891" s="1" t="s">
        <v>3601</v>
      </c>
      <c r="E9891" s="1" t="s">
        <v>3893</v>
      </c>
      <c r="F9891" s="1" t="s">
        <v>32628</v>
      </c>
      <c r="G9891" s="1" t="s">
        <v>17246</v>
      </c>
      <c r="H9891" s="1" t="s">
        <v>3604</v>
      </c>
      <c r="I9891" s="1" t="s">
        <v>32629</v>
      </c>
      <c r="J9891" s="1" t="s">
        <v>3615</v>
      </c>
      <c r="K9891" s="1" t="s">
        <v>32630</v>
      </c>
      <c r="L9891" s="1"/>
      <c r="M9891" s="1"/>
    </row>
    <row x14ac:dyDescent="0.25" r="9892" customHeight="1" ht="18.75">
      <c r="A9892" s="1" t="s">
        <v>7833</v>
      </c>
      <c r="B9892" s="1" t="s">
        <v>7834</v>
      </c>
      <c r="C9892" s="1" t="s">
        <v>4488</v>
      </c>
      <c r="D9892" s="1" t="s">
        <v>3601</v>
      </c>
      <c r="E9892" s="1" t="s">
        <v>8096</v>
      </c>
      <c r="F9892" s="1" t="s">
        <v>32631</v>
      </c>
      <c r="G9892" s="1" t="s">
        <v>7840</v>
      </c>
      <c r="H9892" s="1" t="s">
        <v>3604</v>
      </c>
      <c r="I9892" s="1" t="s">
        <v>32632</v>
      </c>
      <c r="J9892" s="1" t="s">
        <v>3615</v>
      </c>
      <c r="K9892" s="1" t="s">
        <v>28820</v>
      </c>
      <c r="L9892" s="1"/>
      <c r="M9892" s="1"/>
    </row>
    <row x14ac:dyDescent="0.25" r="9893" customHeight="1" ht="18.75">
      <c r="A9893" s="1" t="s">
        <v>3598</v>
      </c>
      <c r="B9893" s="1" t="s">
        <v>17258</v>
      </c>
      <c r="C9893" s="1" t="s">
        <v>3600</v>
      </c>
      <c r="D9893" s="1" t="s">
        <v>28428</v>
      </c>
      <c r="E9893" s="1" t="s">
        <v>3664</v>
      </c>
      <c r="F9893" s="1" t="s">
        <v>32633</v>
      </c>
      <c r="G9893" s="1" t="s">
        <v>20337</v>
      </c>
      <c r="H9893" s="1" t="s">
        <v>3604</v>
      </c>
      <c r="I9893" s="1" t="s">
        <v>32634</v>
      </c>
      <c r="J9893" s="1" t="s">
        <v>3615</v>
      </c>
      <c r="K9893" s="1" t="s">
        <v>32635</v>
      </c>
      <c r="L9893" s="1"/>
      <c r="M9893" s="1"/>
    </row>
    <row x14ac:dyDescent="0.25" r="9894" customHeight="1" ht="18.75">
      <c r="A9894" s="1" t="s">
        <v>3598</v>
      </c>
      <c r="B9894" s="1" t="s">
        <v>14123</v>
      </c>
      <c r="C9894" s="1" t="s">
        <v>3600</v>
      </c>
      <c r="D9894" s="1" t="s">
        <v>3601</v>
      </c>
      <c r="E9894" s="1" t="s">
        <v>3893</v>
      </c>
      <c r="F9894" s="1" t="s">
        <v>32636</v>
      </c>
      <c r="G9894" s="1" t="s">
        <v>14125</v>
      </c>
      <c r="H9894" s="1" t="s">
        <v>3604</v>
      </c>
      <c r="I9894" s="1" t="s">
        <v>32637</v>
      </c>
      <c r="J9894" s="1" t="s">
        <v>3615</v>
      </c>
      <c r="K9894" s="1" t="s">
        <v>32638</v>
      </c>
      <c r="L9894" s="1"/>
      <c r="M9894" s="1"/>
    </row>
    <row x14ac:dyDescent="0.25" r="9895" customHeight="1" ht="18.75">
      <c r="A9895" s="1" t="s">
        <v>7833</v>
      </c>
      <c r="B9895" s="1" t="s">
        <v>7834</v>
      </c>
      <c r="C9895" s="1" t="s">
        <v>4488</v>
      </c>
      <c r="D9895" s="1" t="s">
        <v>3601</v>
      </c>
      <c r="E9895" s="1" t="s">
        <v>8096</v>
      </c>
      <c r="F9895" s="1" t="s">
        <v>32639</v>
      </c>
      <c r="G9895" s="1" t="s">
        <v>7844</v>
      </c>
      <c r="H9895" s="1" t="s">
        <v>3604</v>
      </c>
      <c r="I9895" s="1" t="s">
        <v>32640</v>
      </c>
      <c r="J9895" s="1" t="s">
        <v>3615</v>
      </c>
      <c r="K9895" s="1" t="s">
        <v>32641</v>
      </c>
      <c r="L9895" s="1"/>
      <c r="M9895" s="1"/>
    </row>
    <row x14ac:dyDescent="0.25" r="9896" customHeight="1" ht="18.75">
      <c r="A9896" s="1" t="s">
        <v>3598</v>
      </c>
      <c r="B9896" s="1" t="s">
        <v>6954</v>
      </c>
      <c r="C9896" s="1" t="s">
        <v>3600</v>
      </c>
      <c r="D9896" s="1" t="s">
        <v>28428</v>
      </c>
      <c r="E9896" s="1" t="s">
        <v>32642</v>
      </c>
      <c r="F9896" s="1" t="s">
        <v>32643</v>
      </c>
      <c r="G9896" s="1" t="s">
        <v>19530</v>
      </c>
      <c r="H9896" s="1" t="s">
        <v>3604</v>
      </c>
      <c r="I9896" s="1" t="s">
        <v>32644</v>
      </c>
      <c r="J9896" s="1" t="s">
        <v>3615</v>
      </c>
      <c r="K9896" s="1" t="s">
        <v>32645</v>
      </c>
      <c r="L9896" s="1"/>
      <c r="M9896" s="1"/>
    </row>
    <row x14ac:dyDescent="0.25" r="9897" customHeight="1" ht="18.75">
      <c r="A9897" s="1" t="s">
        <v>3598</v>
      </c>
      <c r="B9897" s="1" t="s">
        <v>14123</v>
      </c>
      <c r="C9897" s="1" t="s">
        <v>3600</v>
      </c>
      <c r="D9897" s="1" t="s">
        <v>3601</v>
      </c>
      <c r="E9897" s="1" t="s">
        <v>3893</v>
      </c>
      <c r="F9897" s="1" t="s">
        <v>32646</v>
      </c>
      <c r="G9897" s="1" t="s">
        <v>14125</v>
      </c>
      <c r="H9897" s="1" t="s">
        <v>3604</v>
      </c>
      <c r="I9897" s="1" t="s">
        <v>32647</v>
      </c>
      <c r="J9897" s="1" t="s">
        <v>3615</v>
      </c>
      <c r="K9897" s="1" t="s">
        <v>32648</v>
      </c>
      <c r="L9897" s="1"/>
      <c r="M9897" s="1"/>
    </row>
    <row x14ac:dyDescent="0.25" r="9898" customHeight="1" ht="18.75">
      <c r="A9898" s="1" t="s">
        <v>7833</v>
      </c>
      <c r="B9898" s="1" t="s">
        <v>7834</v>
      </c>
      <c r="C9898" s="1" t="s">
        <v>4488</v>
      </c>
      <c r="D9898" s="1" t="s">
        <v>3601</v>
      </c>
      <c r="E9898" s="1" t="s">
        <v>3664</v>
      </c>
      <c r="F9898" s="1" t="s">
        <v>32649</v>
      </c>
      <c r="G9898" s="1" t="s">
        <v>32541</v>
      </c>
      <c r="H9898" s="1" t="s">
        <v>3604</v>
      </c>
      <c r="I9898" s="1" t="s">
        <v>32650</v>
      </c>
      <c r="J9898" s="1" t="s">
        <v>3615</v>
      </c>
      <c r="K9898" s="1" t="s">
        <v>32651</v>
      </c>
      <c r="L9898" s="1"/>
      <c r="M9898" s="1"/>
    </row>
    <row x14ac:dyDescent="0.25" r="9899" customHeight="1" ht="18.75">
      <c r="A9899" s="1" t="s">
        <v>3598</v>
      </c>
      <c r="B9899" s="1" t="s">
        <v>6954</v>
      </c>
      <c r="C9899" s="1" t="s">
        <v>3600</v>
      </c>
      <c r="D9899" s="1" t="s">
        <v>28428</v>
      </c>
      <c r="E9899" s="1" t="s">
        <v>32642</v>
      </c>
      <c r="F9899" s="1" t="s">
        <v>32652</v>
      </c>
      <c r="G9899" s="1" t="s">
        <v>32653</v>
      </c>
      <c r="H9899" s="1" t="s">
        <v>3604</v>
      </c>
      <c r="I9899" s="1" t="s">
        <v>32654</v>
      </c>
      <c r="J9899" s="1" t="s">
        <v>3615</v>
      </c>
      <c r="K9899" s="1" t="s">
        <v>32655</v>
      </c>
      <c r="L9899" s="1"/>
      <c r="M9899" s="1"/>
    </row>
    <row x14ac:dyDescent="0.25" r="9900" customHeight="1" ht="18.75">
      <c r="A9900" s="1" t="s">
        <v>3598</v>
      </c>
      <c r="B9900" s="1" t="s">
        <v>14123</v>
      </c>
      <c r="C9900" s="1" t="s">
        <v>3600</v>
      </c>
      <c r="D9900" s="1" t="s">
        <v>3601</v>
      </c>
      <c r="E9900" s="1" t="s">
        <v>3893</v>
      </c>
      <c r="F9900" s="1" t="s">
        <v>32656</v>
      </c>
      <c r="G9900" s="1" t="s">
        <v>14125</v>
      </c>
      <c r="H9900" s="1" t="s">
        <v>3604</v>
      </c>
      <c r="I9900" s="1" t="s">
        <v>32657</v>
      </c>
      <c r="J9900" s="1" t="s">
        <v>3615</v>
      </c>
      <c r="K9900" s="1" t="s">
        <v>32658</v>
      </c>
      <c r="L9900" s="1"/>
      <c r="M9900" s="1"/>
    </row>
    <row x14ac:dyDescent="0.25" r="9901" customHeight="1" ht="18.75">
      <c r="A9901" s="1" t="s">
        <v>7833</v>
      </c>
      <c r="B9901" s="1" t="s">
        <v>7834</v>
      </c>
      <c r="C9901" s="1" t="s">
        <v>4488</v>
      </c>
      <c r="D9901" s="1" t="s">
        <v>3601</v>
      </c>
      <c r="E9901" s="1" t="s">
        <v>8096</v>
      </c>
      <c r="F9901" s="1" t="s">
        <v>32659</v>
      </c>
      <c r="G9901" s="1" t="s">
        <v>26450</v>
      </c>
      <c r="H9901" s="1" t="s">
        <v>3604</v>
      </c>
      <c r="I9901" s="1" t="s">
        <v>32660</v>
      </c>
      <c r="J9901" s="1" t="s">
        <v>3615</v>
      </c>
      <c r="K9901" s="1" t="s">
        <v>20812</v>
      </c>
      <c r="L9901" s="1"/>
      <c r="M9901" s="1"/>
    </row>
    <row x14ac:dyDescent="0.25" r="9902" customHeight="1" ht="18.75">
      <c r="A9902" s="1" t="s">
        <v>3598</v>
      </c>
      <c r="B9902" s="1" t="s">
        <v>18066</v>
      </c>
      <c r="C9902" s="1" t="s">
        <v>3600</v>
      </c>
      <c r="D9902" s="1" t="s">
        <v>28428</v>
      </c>
      <c r="E9902" s="1" t="s">
        <v>3664</v>
      </c>
      <c r="F9902" s="1" t="s">
        <v>32661</v>
      </c>
      <c r="G9902" s="1" t="s">
        <v>32662</v>
      </c>
      <c r="H9902" s="1" t="s">
        <v>3604</v>
      </c>
      <c r="I9902" s="1" t="s">
        <v>32663</v>
      </c>
      <c r="J9902" s="1" t="s">
        <v>3615</v>
      </c>
      <c r="K9902" s="1" t="s">
        <v>32664</v>
      </c>
      <c r="L9902" s="1"/>
      <c r="M9902" s="1"/>
    </row>
    <row x14ac:dyDescent="0.25" r="9903" customHeight="1" ht="18.75">
      <c r="A9903" s="1" t="s">
        <v>3598</v>
      </c>
      <c r="B9903" s="1" t="s">
        <v>14123</v>
      </c>
      <c r="C9903" s="1" t="s">
        <v>3600</v>
      </c>
      <c r="D9903" s="1" t="s">
        <v>3601</v>
      </c>
      <c r="E9903" s="1" t="s">
        <v>3893</v>
      </c>
      <c r="F9903" s="1" t="s">
        <v>32665</v>
      </c>
      <c r="G9903" s="1" t="s">
        <v>14125</v>
      </c>
      <c r="H9903" s="1" t="s">
        <v>3604</v>
      </c>
      <c r="I9903" s="1" t="s">
        <v>32666</v>
      </c>
      <c r="J9903" s="1" t="s">
        <v>3615</v>
      </c>
      <c r="K9903" s="1" t="s">
        <v>32667</v>
      </c>
      <c r="L9903" s="1"/>
      <c r="M9903" s="1"/>
    </row>
    <row x14ac:dyDescent="0.25" r="9904" customHeight="1" ht="18.75">
      <c r="A9904" s="1" t="s">
        <v>7833</v>
      </c>
      <c r="B9904" s="1" t="s">
        <v>7834</v>
      </c>
      <c r="C9904" s="1" t="s">
        <v>4488</v>
      </c>
      <c r="D9904" s="1" t="s">
        <v>3601</v>
      </c>
      <c r="E9904" s="1" t="s">
        <v>8096</v>
      </c>
      <c r="F9904" s="1" t="s">
        <v>32668</v>
      </c>
      <c r="G9904" s="1" t="s">
        <v>32321</v>
      </c>
      <c r="H9904" s="1" t="s">
        <v>3604</v>
      </c>
      <c r="I9904" s="1" t="s">
        <v>32669</v>
      </c>
      <c r="J9904" s="1" t="s">
        <v>3615</v>
      </c>
      <c r="K9904" s="1" t="s">
        <v>28840</v>
      </c>
      <c r="L9904" s="1"/>
      <c r="M9904" s="1"/>
    </row>
    <row x14ac:dyDescent="0.25" r="9905" customHeight="1" ht="18.75">
      <c r="A9905" s="1" t="s">
        <v>3598</v>
      </c>
      <c r="B9905" s="1" t="s">
        <v>14054</v>
      </c>
      <c r="C9905" s="1" t="s">
        <v>3600</v>
      </c>
      <c r="D9905" s="1" t="s">
        <v>28428</v>
      </c>
      <c r="E9905" s="1" t="s">
        <v>3664</v>
      </c>
      <c r="F9905" s="1" t="s">
        <v>32670</v>
      </c>
      <c r="G9905" s="1" t="s">
        <v>32671</v>
      </c>
      <c r="H9905" s="1" t="s">
        <v>3604</v>
      </c>
      <c r="I9905" s="1" t="s">
        <v>32672</v>
      </c>
      <c r="J9905" s="1" t="s">
        <v>3615</v>
      </c>
      <c r="K9905" s="1" t="s">
        <v>32673</v>
      </c>
      <c r="L9905" s="1"/>
      <c r="M9905" s="1"/>
    </row>
    <row x14ac:dyDescent="0.25" r="9906" customHeight="1" ht="18.75">
      <c r="A9906" s="1" t="s">
        <v>3598</v>
      </c>
      <c r="B9906" s="1" t="s">
        <v>14104</v>
      </c>
      <c r="C9906" s="1" t="s">
        <v>3600</v>
      </c>
      <c r="D9906" s="1" t="s">
        <v>3601</v>
      </c>
      <c r="E9906" s="1" t="s">
        <v>3893</v>
      </c>
      <c r="F9906" s="1" t="s">
        <v>32674</v>
      </c>
      <c r="G9906" s="1" t="s">
        <v>14130</v>
      </c>
      <c r="H9906" s="1" t="s">
        <v>3604</v>
      </c>
      <c r="I9906" s="1" t="s">
        <v>32675</v>
      </c>
      <c r="J9906" s="1" t="s">
        <v>3615</v>
      </c>
      <c r="K9906" s="1" t="s">
        <v>32676</v>
      </c>
      <c r="L9906" s="1"/>
      <c r="M9906" s="1"/>
    </row>
    <row x14ac:dyDescent="0.25" r="9907" customHeight="1" ht="18.75">
      <c r="A9907" s="1" t="s">
        <v>7833</v>
      </c>
      <c r="B9907" s="1" t="s">
        <v>7834</v>
      </c>
      <c r="C9907" s="1" t="s">
        <v>4488</v>
      </c>
      <c r="D9907" s="1" t="s">
        <v>3601</v>
      </c>
      <c r="E9907" s="1" t="s">
        <v>8096</v>
      </c>
      <c r="F9907" s="1" t="s">
        <v>32677</v>
      </c>
      <c r="G9907" s="1" t="s">
        <v>32569</v>
      </c>
      <c r="H9907" s="1" t="s">
        <v>3604</v>
      </c>
      <c r="I9907" s="1" t="s">
        <v>32678</v>
      </c>
      <c r="J9907" s="1" t="s">
        <v>3615</v>
      </c>
      <c r="K9907" s="1" t="s">
        <v>32679</v>
      </c>
      <c r="L9907" s="1"/>
      <c r="M9907" s="1"/>
    </row>
    <row x14ac:dyDescent="0.25" r="9908" customHeight="1" ht="18.75">
      <c r="A9908" s="1" t="s">
        <v>3598</v>
      </c>
      <c r="B9908" s="1" t="s">
        <v>14054</v>
      </c>
      <c r="C9908" s="1" t="s">
        <v>3600</v>
      </c>
      <c r="D9908" s="1" t="s">
        <v>28428</v>
      </c>
      <c r="E9908" s="1" t="s">
        <v>3664</v>
      </c>
      <c r="F9908" s="1" t="s">
        <v>32680</v>
      </c>
      <c r="G9908" s="1" t="s">
        <v>20021</v>
      </c>
      <c r="H9908" s="1" t="s">
        <v>3604</v>
      </c>
      <c r="I9908" s="1" t="s">
        <v>32681</v>
      </c>
      <c r="J9908" s="1" t="s">
        <v>3615</v>
      </c>
      <c r="K9908" s="1" t="s">
        <v>32682</v>
      </c>
      <c r="L9908" s="1"/>
      <c r="M9908" s="1"/>
    </row>
    <row x14ac:dyDescent="0.25" r="9909" customHeight="1" ht="18.75">
      <c r="A9909" s="1" t="s">
        <v>3598</v>
      </c>
      <c r="B9909" s="1" t="s">
        <v>14104</v>
      </c>
      <c r="C9909" s="1" t="s">
        <v>3600</v>
      </c>
      <c r="D9909" s="1" t="s">
        <v>3601</v>
      </c>
      <c r="E9909" s="1" t="s">
        <v>3893</v>
      </c>
      <c r="F9909" s="1" t="s">
        <v>32683</v>
      </c>
      <c r="G9909" s="1" t="s">
        <v>14130</v>
      </c>
      <c r="H9909" s="1" t="s">
        <v>3604</v>
      </c>
      <c r="I9909" s="1" t="s">
        <v>32684</v>
      </c>
      <c r="J9909" s="1" t="s">
        <v>3615</v>
      </c>
      <c r="K9909" s="1" t="s">
        <v>32685</v>
      </c>
      <c r="L9909" s="1"/>
      <c r="M9909" s="1"/>
    </row>
    <row x14ac:dyDescent="0.25" r="9910" customHeight="1" ht="18.75">
      <c r="A9910" s="1" t="s">
        <v>7833</v>
      </c>
      <c r="B9910" s="1" t="s">
        <v>7834</v>
      </c>
      <c r="C9910" s="1" t="s">
        <v>4488</v>
      </c>
      <c r="D9910" s="1" t="s">
        <v>3601</v>
      </c>
      <c r="E9910" s="1" t="s">
        <v>8096</v>
      </c>
      <c r="F9910" s="1" t="s">
        <v>32686</v>
      </c>
      <c r="G9910" s="1" t="s">
        <v>8170</v>
      </c>
      <c r="H9910" s="1" t="s">
        <v>3604</v>
      </c>
      <c r="I9910" s="1" t="s">
        <v>32687</v>
      </c>
      <c r="J9910" s="1" t="s">
        <v>3615</v>
      </c>
      <c r="K9910" s="1" t="s">
        <v>8998</v>
      </c>
      <c r="L9910" s="1"/>
      <c r="M9910" s="1"/>
    </row>
    <row x14ac:dyDescent="0.25" r="9911" customHeight="1" ht="18.75">
      <c r="A9911" s="1" t="s">
        <v>3598</v>
      </c>
      <c r="B9911" s="1" t="s">
        <v>9012</v>
      </c>
      <c r="C9911" s="1" t="s">
        <v>3600</v>
      </c>
      <c r="D9911" s="1" t="s">
        <v>28428</v>
      </c>
      <c r="E9911" s="1" t="s">
        <v>3893</v>
      </c>
      <c r="F9911" s="1" t="s">
        <v>32688</v>
      </c>
      <c r="G9911" s="1" t="s">
        <v>20074</v>
      </c>
      <c r="H9911" s="1" t="s">
        <v>3604</v>
      </c>
      <c r="I9911" s="1" t="s">
        <v>32689</v>
      </c>
      <c r="J9911" s="1" t="s">
        <v>3615</v>
      </c>
      <c r="K9911" s="1" t="s">
        <v>32690</v>
      </c>
      <c r="L9911" s="1"/>
      <c r="M9911" s="1"/>
    </row>
    <row x14ac:dyDescent="0.25" r="9912" customHeight="1" ht="18.75">
      <c r="A9912" s="1" t="s">
        <v>3598</v>
      </c>
      <c r="B9912" s="1" t="s">
        <v>13742</v>
      </c>
      <c r="C9912" s="1" t="s">
        <v>3600</v>
      </c>
      <c r="D9912" s="1" t="s">
        <v>3601</v>
      </c>
      <c r="E9912" s="1" t="s">
        <v>3893</v>
      </c>
      <c r="F9912" s="1" t="s">
        <v>32691</v>
      </c>
      <c r="G9912" s="1" t="s">
        <v>15665</v>
      </c>
      <c r="H9912" s="1" t="s">
        <v>3604</v>
      </c>
      <c r="I9912" s="1" t="s">
        <v>32692</v>
      </c>
      <c r="J9912" s="1" t="s">
        <v>3615</v>
      </c>
      <c r="K9912" s="1" t="s">
        <v>32693</v>
      </c>
      <c r="L9912" s="1"/>
      <c r="M9912" s="1"/>
    </row>
    <row x14ac:dyDescent="0.25" r="9913" customHeight="1" ht="18.75">
      <c r="A9913" s="1" t="s">
        <v>7833</v>
      </c>
      <c r="B9913" s="1" t="s">
        <v>7834</v>
      </c>
      <c r="C9913" s="1" t="s">
        <v>4488</v>
      </c>
      <c r="D9913" s="1" t="s">
        <v>3601</v>
      </c>
      <c r="E9913" s="1" t="s">
        <v>8096</v>
      </c>
      <c r="F9913" s="1" t="s">
        <v>32694</v>
      </c>
      <c r="G9913" s="1" t="s">
        <v>32362</v>
      </c>
      <c r="H9913" s="1" t="s">
        <v>3604</v>
      </c>
      <c r="I9913" s="1" t="s">
        <v>32695</v>
      </c>
      <c r="J9913" s="1" t="s">
        <v>3615</v>
      </c>
      <c r="K9913" s="1" t="s">
        <v>32696</v>
      </c>
      <c r="L9913" s="1"/>
      <c r="M9913" s="1"/>
    </row>
    <row x14ac:dyDescent="0.25" r="9914" customHeight="1" ht="18.75">
      <c r="A9914" s="1" t="s">
        <v>3598</v>
      </c>
      <c r="B9914" s="1" t="s">
        <v>14123</v>
      </c>
      <c r="C9914" s="1" t="s">
        <v>3600</v>
      </c>
      <c r="D9914" s="1" t="s">
        <v>28428</v>
      </c>
      <c r="E9914" s="1" t="s">
        <v>3893</v>
      </c>
      <c r="F9914" s="1" t="s">
        <v>32697</v>
      </c>
      <c r="G9914" s="1" t="s">
        <v>15982</v>
      </c>
      <c r="H9914" s="1" t="s">
        <v>3604</v>
      </c>
      <c r="I9914" s="1" t="s">
        <v>32698</v>
      </c>
      <c r="J9914" s="1" t="s">
        <v>3615</v>
      </c>
      <c r="K9914" s="1" t="s">
        <v>32699</v>
      </c>
      <c r="L9914" s="1"/>
      <c r="M9914" s="1"/>
    </row>
    <row x14ac:dyDescent="0.25" r="9915" customHeight="1" ht="18.75">
      <c r="A9915" s="1" t="s">
        <v>3598</v>
      </c>
      <c r="B9915" s="1" t="s">
        <v>13742</v>
      </c>
      <c r="C9915" s="1" t="s">
        <v>3600</v>
      </c>
      <c r="D9915" s="1" t="s">
        <v>3601</v>
      </c>
      <c r="E9915" s="1" t="s">
        <v>3893</v>
      </c>
      <c r="F9915" s="1" t="s">
        <v>32700</v>
      </c>
      <c r="G9915" s="1" t="s">
        <v>15665</v>
      </c>
      <c r="H9915" s="1" t="s">
        <v>3604</v>
      </c>
      <c r="I9915" s="1" t="s">
        <v>32701</v>
      </c>
      <c r="J9915" s="1" t="s">
        <v>3615</v>
      </c>
      <c r="K9915" s="1" t="s">
        <v>32702</v>
      </c>
      <c r="L9915" s="1"/>
      <c r="M9915" s="1"/>
    </row>
    <row x14ac:dyDescent="0.25" r="9916" customHeight="1" ht="18.75">
      <c r="A9916" s="1" t="s">
        <v>7833</v>
      </c>
      <c r="B9916" s="1" t="s">
        <v>7834</v>
      </c>
      <c r="C9916" s="1" t="s">
        <v>4488</v>
      </c>
      <c r="D9916" s="1" t="s">
        <v>3601</v>
      </c>
      <c r="E9916" s="1" t="s">
        <v>3664</v>
      </c>
      <c r="F9916" s="1" t="s">
        <v>32703</v>
      </c>
      <c r="G9916" s="1" t="s">
        <v>24155</v>
      </c>
      <c r="H9916" s="1" t="s">
        <v>3604</v>
      </c>
      <c r="I9916" s="1" t="s">
        <v>32704</v>
      </c>
      <c r="J9916" s="1" t="s">
        <v>3615</v>
      </c>
      <c r="K9916" s="1" t="s">
        <v>32705</v>
      </c>
      <c r="L9916" s="1"/>
      <c r="M9916" s="1"/>
    </row>
    <row x14ac:dyDescent="0.25" r="9917" customHeight="1" ht="18.75">
      <c r="A9917" s="1" t="s">
        <v>3598</v>
      </c>
      <c r="B9917" s="1" t="s">
        <v>14123</v>
      </c>
      <c r="C9917" s="1" t="s">
        <v>3600</v>
      </c>
      <c r="D9917" s="1" t="s">
        <v>28428</v>
      </c>
      <c r="E9917" s="1" t="s">
        <v>3893</v>
      </c>
      <c r="F9917" s="1" t="s">
        <v>32706</v>
      </c>
      <c r="G9917" s="1" t="s">
        <v>28374</v>
      </c>
      <c r="H9917" s="1" t="s">
        <v>3604</v>
      </c>
      <c r="I9917" s="1" t="s">
        <v>32707</v>
      </c>
      <c r="J9917" s="1" t="s">
        <v>3615</v>
      </c>
      <c r="K9917" s="1" t="s">
        <v>32708</v>
      </c>
      <c r="L9917" s="1"/>
      <c r="M9917" s="1"/>
    </row>
    <row x14ac:dyDescent="0.25" r="9918" customHeight="1" ht="18.75">
      <c r="A9918" s="1" t="s">
        <v>3598</v>
      </c>
      <c r="B9918" s="1" t="s">
        <v>20557</v>
      </c>
      <c r="C9918" s="1" t="s">
        <v>3600</v>
      </c>
      <c r="D9918" s="1" t="s">
        <v>3601</v>
      </c>
      <c r="E9918" s="1" t="s">
        <v>3893</v>
      </c>
      <c r="F9918" s="1" t="s">
        <v>32709</v>
      </c>
      <c r="G9918" s="1" t="s">
        <v>27240</v>
      </c>
      <c r="H9918" s="1" t="s">
        <v>3604</v>
      </c>
      <c r="I9918" s="1" t="s">
        <v>32710</v>
      </c>
      <c r="J9918" s="1" t="s">
        <v>3615</v>
      </c>
      <c r="K9918" s="1" t="s">
        <v>32711</v>
      </c>
      <c r="L9918" s="1"/>
      <c r="M9918" s="1"/>
    </row>
    <row x14ac:dyDescent="0.25" r="9919" customHeight="1" ht="18.75">
      <c r="A9919" s="1" t="s">
        <v>7833</v>
      </c>
      <c r="B9919" s="1" t="s">
        <v>7834</v>
      </c>
      <c r="C9919" s="1" t="s">
        <v>4488</v>
      </c>
      <c r="D9919" s="1" t="s">
        <v>3601</v>
      </c>
      <c r="E9919" s="1" t="s">
        <v>8096</v>
      </c>
      <c r="F9919" s="1" t="s">
        <v>32712</v>
      </c>
      <c r="G9919" s="1" t="s">
        <v>24155</v>
      </c>
      <c r="H9919" s="1" t="s">
        <v>3604</v>
      </c>
      <c r="I9919" s="1" t="s">
        <v>32713</v>
      </c>
      <c r="J9919" s="1" t="s">
        <v>3615</v>
      </c>
      <c r="K9919" s="1" t="s">
        <v>8746</v>
      </c>
      <c r="L9919" s="1"/>
      <c r="M9919" s="1"/>
    </row>
    <row x14ac:dyDescent="0.25" r="9920" customHeight="1" ht="18.75">
      <c r="A9920" s="1" t="s">
        <v>3598</v>
      </c>
      <c r="B9920" s="1" t="s">
        <v>18227</v>
      </c>
      <c r="C9920" s="1" t="s">
        <v>3600</v>
      </c>
      <c r="D9920" s="1" t="s">
        <v>28428</v>
      </c>
      <c r="E9920" s="1" t="s">
        <v>3664</v>
      </c>
      <c r="F9920" s="1" t="s">
        <v>32714</v>
      </c>
      <c r="G9920" s="1" t="s">
        <v>32715</v>
      </c>
      <c r="H9920" s="1" t="s">
        <v>3604</v>
      </c>
      <c r="I9920" s="1" t="s">
        <v>32716</v>
      </c>
      <c r="J9920" s="1" t="s">
        <v>3615</v>
      </c>
      <c r="K9920" s="1" t="s">
        <v>32717</v>
      </c>
      <c r="L9920" s="1"/>
      <c r="M9920" s="1"/>
    </row>
    <row x14ac:dyDescent="0.25" r="9921" customHeight="1" ht="18.75">
      <c r="A9921" s="1" t="s">
        <v>3598</v>
      </c>
      <c r="B9921" s="1" t="s">
        <v>20557</v>
      </c>
      <c r="C9921" s="1" t="s">
        <v>3600</v>
      </c>
      <c r="D9921" s="1" t="s">
        <v>3601</v>
      </c>
      <c r="E9921" s="1" t="s">
        <v>3893</v>
      </c>
      <c r="F9921" s="1" t="s">
        <v>32718</v>
      </c>
      <c r="G9921" s="1" t="s">
        <v>27240</v>
      </c>
      <c r="H9921" s="1" t="s">
        <v>3604</v>
      </c>
      <c r="I9921" s="1" t="s">
        <v>32719</v>
      </c>
      <c r="J9921" s="1" t="s">
        <v>3615</v>
      </c>
      <c r="K9921" s="1" t="s">
        <v>32720</v>
      </c>
      <c r="L9921" s="1"/>
      <c r="M9921" s="1"/>
    </row>
    <row x14ac:dyDescent="0.25" r="9922" customHeight="1" ht="18.75">
      <c r="A9922" s="1" t="s">
        <v>7833</v>
      </c>
      <c r="B9922" s="1" t="s">
        <v>7834</v>
      </c>
      <c r="C9922" s="1" t="s">
        <v>4488</v>
      </c>
      <c r="D9922" s="1" t="s">
        <v>3601</v>
      </c>
      <c r="E9922" s="1" t="s">
        <v>8096</v>
      </c>
      <c r="F9922" s="1" t="s">
        <v>32721</v>
      </c>
      <c r="G9922" s="1" t="s">
        <v>24155</v>
      </c>
      <c r="H9922" s="1" t="s">
        <v>3604</v>
      </c>
      <c r="I9922" s="1" t="s">
        <v>32722</v>
      </c>
      <c r="J9922" s="1" t="s">
        <v>3615</v>
      </c>
      <c r="K9922" s="1" t="s">
        <v>8755</v>
      </c>
      <c r="L9922" s="1"/>
      <c r="M9922" s="1"/>
    </row>
    <row x14ac:dyDescent="0.25" r="9923" customHeight="1" ht="18.75">
      <c r="A9923" s="1" t="s">
        <v>3598</v>
      </c>
      <c r="B9923" s="1" t="s">
        <v>5252</v>
      </c>
      <c r="C9923" s="1" t="s">
        <v>3600</v>
      </c>
      <c r="D9923" s="1" t="s">
        <v>28428</v>
      </c>
      <c r="E9923" s="1" t="s">
        <v>3893</v>
      </c>
      <c r="F9923" s="1" t="s">
        <v>32723</v>
      </c>
      <c r="G9923" s="1" t="s">
        <v>19719</v>
      </c>
      <c r="H9923" s="1" t="s">
        <v>3604</v>
      </c>
      <c r="I9923" s="1" t="s">
        <v>32724</v>
      </c>
      <c r="J9923" s="1" t="s">
        <v>3615</v>
      </c>
      <c r="K9923" s="1" t="s">
        <v>32725</v>
      </c>
      <c r="L9923" s="1"/>
      <c r="M9923" s="1"/>
    </row>
    <row x14ac:dyDescent="0.25" r="9924" customHeight="1" ht="18.75">
      <c r="A9924" s="1" t="s">
        <v>3598</v>
      </c>
      <c r="B9924" s="1" t="s">
        <v>13864</v>
      </c>
      <c r="C9924" s="1" t="s">
        <v>3600</v>
      </c>
      <c r="D9924" s="1" t="s">
        <v>3601</v>
      </c>
      <c r="E9924" s="1" t="s">
        <v>3664</v>
      </c>
      <c r="F9924" s="1" t="s">
        <v>32726</v>
      </c>
      <c r="G9924" s="1" t="s">
        <v>26754</v>
      </c>
      <c r="H9924" s="1" t="s">
        <v>3604</v>
      </c>
      <c r="I9924" s="1" t="s">
        <v>32727</v>
      </c>
      <c r="J9924" s="1" t="s">
        <v>3615</v>
      </c>
      <c r="K9924" s="1" t="s">
        <v>32728</v>
      </c>
      <c r="L9924" s="1"/>
      <c r="M9924" s="1"/>
    </row>
    <row x14ac:dyDescent="0.25" r="9925" customHeight="1" ht="18.75">
      <c r="A9925" s="1" t="s">
        <v>7833</v>
      </c>
      <c r="B9925" s="1" t="s">
        <v>7834</v>
      </c>
      <c r="C9925" s="1" t="s">
        <v>4488</v>
      </c>
      <c r="D9925" s="1" t="s">
        <v>3601</v>
      </c>
      <c r="E9925" s="1" t="s">
        <v>8096</v>
      </c>
      <c r="F9925" s="1" t="s">
        <v>32729</v>
      </c>
      <c r="G9925" s="1" t="s">
        <v>24155</v>
      </c>
      <c r="H9925" s="1" t="s">
        <v>3604</v>
      </c>
      <c r="I9925" s="1" t="s">
        <v>32730</v>
      </c>
      <c r="J9925" s="1" t="s">
        <v>3615</v>
      </c>
      <c r="K9925" s="1" t="s">
        <v>8758</v>
      </c>
      <c r="L9925" s="1"/>
      <c r="M9925" s="1"/>
    </row>
    <row x14ac:dyDescent="0.25" r="9926" customHeight="1" ht="18.75">
      <c r="A9926" s="1" t="s">
        <v>3598</v>
      </c>
      <c r="B9926" s="1" t="s">
        <v>19642</v>
      </c>
      <c r="C9926" s="1" t="s">
        <v>3600</v>
      </c>
      <c r="D9926" s="1" t="s">
        <v>28428</v>
      </c>
      <c r="E9926" s="1" t="s">
        <v>3664</v>
      </c>
      <c r="F9926" s="1" t="s">
        <v>32731</v>
      </c>
      <c r="G9926" s="1" t="s">
        <v>32732</v>
      </c>
      <c r="H9926" s="1" t="s">
        <v>3604</v>
      </c>
      <c r="I9926" s="1" t="s">
        <v>32733</v>
      </c>
      <c r="J9926" s="1" t="s">
        <v>3615</v>
      </c>
      <c r="K9926" s="1" t="s">
        <v>32734</v>
      </c>
      <c r="L9926" s="1"/>
      <c r="M9926" s="1"/>
    </row>
    <row x14ac:dyDescent="0.25" r="9927" customHeight="1" ht="18.75">
      <c r="A9927" s="1" t="s">
        <v>3598</v>
      </c>
      <c r="B9927" s="1" t="s">
        <v>9116</v>
      </c>
      <c r="C9927" s="1" t="s">
        <v>3600</v>
      </c>
      <c r="D9927" s="1" t="s">
        <v>3601</v>
      </c>
      <c r="E9927" s="1" t="s">
        <v>3664</v>
      </c>
      <c r="F9927" s="1" t="s">
        <v>32735</v>
      </c>
      <c r="G9927" s="1" t="s">
        <v>9118</v>
      </c>
      <c r="H9927" s="1" t="s">
        <v>3604</v>
      </c>
      <c r="I9927" s="1" t="s">
        <v>32736</v>
      </c>
      <c r="J9927" s="1" t="s">
        <v>3615</v>
      </c>
      <c r="K9927" s="1" t="s">
        <v>32737</v>
      </c>
      <c r="L9927" s="1"/>
      <c r="M9927" s="1"/>
    </row>
    <row x14ac:dyDescent="0.25" r="9928" customHeight="1" ht="18.75">
      <c r="A9928" s="1" t="s">
        <v>7833</v>
      </c>
      <c r="B9928" s="1" t="s">
        <v>7834</v>
      </c>
      <c r="C9928" s="1" t="s">
        <v>4488</v>
      </c>
      <c r="D9928" s="1" t="s">
        <v>3601</v>
      </c>
      <c r="E9928" s="1" t="s">
        <v>8096</v>
      </c>
      <c r="F9928" s="1" t="s">
        <v>32738</v>
      </c>
      <c r="G9928" s="1" t="s">
        <v>24155</v>
      </c>
      <c r="H9928" s="1" t="s">
        <v>3604</v>
      </c>
      <c r="I9928" s="1" t="s">
        <v>32739</v>
      </c>
      <c r="J9928" s="1" t="s">
        <v>3615</v>
      </c>
      <c r="K9928" s="1" t="s">
        <v>9003</v>
      </c>
      <c r="L9928" s="1"/>
      <c r="M9928" s="1"/>
    </row>
    <row x14ac:dyDescent="0.25" r="9929" customHeight="1" ht="18.75">
      <c r="A9929" s="1" t="s">
        <v>3598</v>
      </c>
      <c r="B9929" s="1" t="s">
        <v>5260</v>
      </c>
      <c r="C9929" s="1" t="s">
        <v>3600</v>
      </c>
      <c r="D9929" s="1" t="s">
        <v>28428</v>
      </c>
      <c r="E9929" s="1" t="s">
        <v>3893</v>
      </c>
      <c r="F9929" s="1" t="s">
        <v>32740</v>
      </c>
      <c r="G9929" s="1" t="s">
        <v>19883</v>
      </c>
      <c r="H9929" s="1" t="s">
        <v>3604</v>
      </c>
      <c r="I9929" s="1" t="s">
        <v>32741</v>
      </c>
      <c r="J9929" s="1" t="s">
        <v>3615</v>
      </c>
      <c r="K9929" s="1" t="s">
        <v>32742</v>
      </c>
      <c r="L9929" s="1"/>
      <c r="M9929" s="1"/>
    </row>
    <row x14ac:dyDescent="0.25" r="9930" customHeight="1" ht="18.75">
      <c r="A9930" s="1" t="s">
        <v>3598</v>
      </c>
      <c r="B9930" s="1" t="s">
        <v>9582</v>
      </c>
      <c r="C9930" s="1" t="s">
        <v>3600</v>
      </c>
      <c r="D9930" s="1" t="s">
        <v>3601</v>
      </c>
      <c r="E9930" s="1" t="s">
        <v>3664</v>
      </c>
      <c r="F9930" s="1" t="s">
        <v>32743</v>
      </c>
      <c r="G9930" s="1" t="s">
        <v>18071</v>
      </c>
      <c r="H9930" s="1" t="s">
        <v>3604</v>
      </c>
      <c r="I9930" s="1" t="s">
        <v>32744</v>
      </c>
      <c r="J9930" s="1" t="s">
        <v>3615</v>
      </c>
      <c r="K9930" s="1" t="s">
        <v>32745</v>
      </c>
      <c r="L9930" s="1"/>
      <c r="M9930" s="1"/>
    </row>
    <row x14ac:dyDescent="0.25" r="9931" customHeight="1" ht="18.75">
      <c r="A9931" s="1" t="s">
        <v>7833</v>
      </c>
      <c r="B9931" s="1" t="s">
        <v>7834</v>
      </c>
      <c r="C9931" s="1" t="s">
        <v>4488</v>
      </c>
      <c r="D9931" s="1" t="s">
        <v>3601</v>
      </c>
      <c r="E9931" s="1" t="s">
        <v>8096</v>
      </c>
      <c r="F9931" s="1" t="s">
        <v>32746</v>
      </c>
      <c r="G9931" s="1" t="s">
        <v>24155</v>
      </c>
      <c r="H9931" s="1" t="s">
        <v>3604</v>
      </c>
      <c r="I9931" s="1" t="s">
        <v>32747</v>
      </c>
      <c r="J9931" s="1" t="s">
        <v>3615</v>
      </c>
      <c r="K9931" s="1" t="s">
        <v>20831</v>
      </c>
      <c r="L9931" s="1"/>
      <c r="M9931" s="1"/>
    </row>
    <row x14ac:dyDescent="0.25" r="9932" customHeight="1" ht="18.75">
      <c r="A9932" s="1" t="s">
        <v>3598</v>
      </c>
      <c r="B9932" s="1" t="s">
        <v>18227</v>
      </c>
      <c r="C9932" s="1" t="s">
        <v>3600</v>
      </c>
      <c r="D9932" s="1" t="s">
        <v>28428</v>
      </c>
      <c r="E9932" s="1" t="s">
        <v>3664</v>
      </c>
      <c r="F9932" s="1" t="s">
        <v>32748</v>
      </c>
      <c r="G9932" s="1" t="s">
        <v>32749</v>
      </c>
      <c r="H9932" s="1" t="s">
        <v>3604</v>
      </c>
      <c r="I9932" s="1" t="s">
        <v>32750</v>
      </c>
      <c r="J9932" s="1" t="s">
        <v>3615</v>
      </c>
      <c r="K9932" s="1" t="s">
        <v>32751</v>
      </c>
      <c r="L9932" s="1"/>
      <c r="M9932" s="1"/>
    </row>
    <row x14ac:dyDescent="0.25" r="9933" customHeight="1" ht="18.75">
      <c r="A9933" s="1" t="s">
        <v>3598</v>
      </c>
      <c r="B9933" s="1" t="s">
        <v>3663</v>
      </c>
      <c r="C9933" s="1" t="s">
        <v>3600</v>
      </c>
      <c r="D9933" s="1" t="s">
        <v>3601</v>
      </c>
      <c r="E9933" s="1" t="s">
        <v>3664</v>
      </c>
      <c r="F9933" s="1" t="s">
        <v>32752</v>
      </c>
      <c r="G9933" s="1" t="s">
        <v>7224</v>
      </c>
      <c r="H9933" s="1" t="s">
        <v>3604</v>
      </c>
      <c r="I9933" s="1" t="s">
        <v>32753</v>
      </c>
      <c r="J9933" s="1" t="s">
        <v>3615</v>
      </c>
      <c r="K9933" s="1" t="s">
        <v>32754</v>
      </c>
      <c r="L9933" s="1"/>
      <c r="M9933" s="1"/>
    </row>
    <row x14ac:dyDescent="0.25" r="9934" customHeight="1" ht="18.75">
      <c r="A9934" s="1" t="s">
        <v>7833</v>
      </c>
      <c r="B9934" s="1" t="s">
        <v>7834</v>
      </c>
      <c r="C9934" s="1" t="s">
        <v>4488</v>
      </c>
      <c r="D9934" s="1" t="s">
        <v>3601</v>
      </c>
      <c r="E9934" s="1" t="s">
        <v>8096</v>
      </c>
      <c r="F9934" s="1" t="s">
        <v>32755</v>
      </c>
      <c r="G9934" s="1" t="s">
        <v>32588</v>
      </c>
      <c r="H9934" s="1" t="s">
        <v>3604</v>
      </c>
      <c r="I9934" s="1" t="s">
        <v>32756</v>
      </c>
      <c r="J9934" s="1" t="s">
        <v>3615</v>
      </c>
      <c r="K9934" s="1" t="s">
        <v>21528</v>
      </c>
      <c r="L9934" s="1"/>
      <c r="M9934" s="1"/>
    </row>
    <row x14ac:dyDescent="0.25" r="9935" customHeight="1" ht="18.75">
      <c r="A9935" s="1" t="s">
        <v>3598</v>
      </c>
      <c r="B9935" s="1" t="s">
        <v>5260</v>
      </c>
      <c r="C9935" s="1" t="s">
        <v>3600</v>
      </c>
      <c r="D9935" s="1" t="s">
        <v>28428</v>
      </c>
      <c r="E9935" s="1" t="s">
        <v>3664</v>
      </c>
      <c r="F9935" s="1" t="s">
        <v>32757</v>
      </c>
      <c r="G9935" s="1" t="s">
        <v>31264</v>
      </c>
      <c r="H9935" s="1" t="s">
        <v>3604</v>
      </c>
      <c r="I9935" s="1" t="s">
        <v>32758</v>
      </c>
      <c r="J9935" s="1" t="s">
        <v>3615</v>
      </c>
      <c r="K9935" s="1" t="s">
        <v>32759</v>
      </c>
      <c r="L9935" s="1"/>
      <c r="M9935" s="1"/>
    </row>
    <row x14ac:dyDescent="0.25" r="9936" customHeight="1" ht="18.75">
      <c r="A9936" s="1" t="s">
        <v>7833</v>
      </c>
      <c r="B9936" s="1" t="s">
        <v>7834</v>
      </c>
      <c r="C9936" s="1" t="s">
        <v>4488</v>
      </c>
      <c r="D9936" s="1" t="s">
        <v>3601</v>
      </c>
      <c r="E9936" s="1" t="s">
        <v>8096</v>
      </c>
      <c r="F9936" s="1" t="s">
        <v>32760</v>
      </c>
      <c r="G9936" s="1" t="s">
        <v>32594</v>
      </c>
      <c r="H9936" s="1" t="s">
        <v>3604</v>
      </c>
      <c r="I9936" s="1" t="s">
        <v>32761</v>
      </c>
      <c r="J9936" s="1" t="s">
        <v>3615</v>
      </c>
      <c r="K9936" s="1" t="s">
        <v>21534</v>
      </c>
      <c r="L9936" s="1"/>
      <c r="M9936" s="1"/>
    </row>
    <row x14ac:dyDescent="0.25" r="9937" customHeight="1" ht="18.75">
      <c r="A9937" s="1" t="s">
        <v>3598</v>
      </c>
      <c r="B9937" s="1" t="s">
        <v>3663</v>
      </c>
      <c r="C9937" s="1" t="s">
        <v>3600</v>
      </c>
      <c r="D9937" s="1" t="s">
        <v>3601</v>
      </c>
      <c r="E9937" s="1" t="s">
        <v>3664</v>
      </c>
      <c r="F9937" s="1" t="s">
        <v>32762</v>
      </c>
      <c r="G9937" s="1" t="s">
        <v>7224</v>
      </c>
      <c r="H9937" s="1" t="s">
        <v>3604</v>
      </c>
      <c r="I9937" s="1" t="s">
        <v>32763</v>
      </c>
      <c r="J9937" s="1" t="s">
        <v>3615</v>
      </c>
      <c r="K9937" s="1" t="s">
        <v>32764</v>
      </c>
      <c r="L9937" s="1"/>
      <c r="M9937" s="1"/>
    </row>
    <row x14ac:dyDescent="0.25" r="9938" customHeight="1" ht="18.75">
      <c r="A9938" s="1" t="s">
        <v>3598</v>
      </c>
      <c r="B9938" s="1" t="s">
        <v>6954</v>
      </c>
      <c r="C9938" s="1" t="s">
        <v>3600</v>
      </c>
      <c r="D9938" s="1" t="s">
        <v>28428</v>
      </c>
      <c r="E9938" s="1" t="s">
        <v>3893</v>
      </c>
      <c r="F9938" s="1" t="s">
        <v>32765</v>
      </c>
      <c r="G9938" s="1" t="s">
        <v>30003</v>
      </c>
      <c r="H9938" s="1" t="s">
        <v>3604</v>
      </c>
      <c r="I9938" s="1" t="s">
        <v>32766</v>
      </c>
      <c r="J9938" s="1" t="s">
        <v>3615</v>
      </c>
      <c r="K9938" s="1" t="s">
        <v>32767</v>
      </c>
      <c r="L9938" s="1"/>
      <c r="M9938" s="1"/>
    </row>
    <row x14ac:dyDescent="0.25" r="9939" customHeight="1" ht="18.75">
      <c r="A9939" s="1" t="s">
        <v>3598</v>
      </c>
      <c r="B9939" s="1" t="s">
        <v>19642</v>
      </c>
      <c r="C9939" s="1" t="s">
        <v>3600</v>
      </c>
      <c r="D9939" s="1" t="s">
        <v>3601</v>
      </c>
      <c r="E9939" s="1" t="s">
        <v>3664</v>
      </c>
      <c r="F9939" s="1" t="s">
        <v>32768</v>
      </c>
      <c r="G9939" s="1" t="s">
        <v>19853</v>
      </c>
      <c r="H9939" s="1" t="s">
        <v>3604</v>
      </c>
      <c r="I9939" s="1" t="s">
        <v>32769</v>
      </c>
      <c r="J9939" s="1" t="s">
        <v>3615</v>
      </c>
      <c r="K9939" s="1" t="s">
        <v>32770</v>
      </c>
      <c r="L9939" s="1"/>
      <c r="M9939" s="1"/>
    </row>
    <row x14ac:dyDescent="0.25" r="9940" customHeight="1" ht="18.75">
      <c r="A9940" s="1" t="s">
        <v>7833</v>
      </c>
      <c r="B9940" s="1" t="s">
        <v>7834</v>
      </c>
      <c r="C9940" s="1" t="s">
        <v>4488</v>
      </c>
      <c r="D9940" s="1" t="s">
        <v>3601</v>
      </c>
      <c r="E9940" s="1" t="s">
        <v>8096</v>
      </c>
      <c r="F9940" s="1" t="s">
        <v>32771</v>
      </c>
      <c r="G9940" s="1" t="s">
        <v>32604</v>
      </c>
      <c r="H9940" s="1" t="s">
        <v>3604</v>
      </c>
      <c r="I9940" s="1" t="s">
        <v>32772</v>
      </c>
      <c r="J9940" s="1" t="s">
        <v>3615</v>
      </c>
      <c r="K9940" s="1" t="s">
        <v>32773</v>
      </c>
      <c r="L9940" s="1"/>
      <c r="M9940" s="1"/>
    </row>
    <row x14ac:dyDescent="0.25" r="9941" customHeight="1" ht="18.75">
      <c r="A9941" s="1" t="s">
        <v>3598</v>
      </c>
      <c r="B9941" s="1" t="s">
        <v>9344</v>
      </c>
      <c r="C9941" s="1" t="s">
        <v>3600</v>
      </c>
      <c r="D9941" s="1" t="s">
        <v>28428</v>
      </c>
      <c r="E9941" s="1" t="s">
        <v>3664</v>
      </c>
      <c r="F9941" s="1" t="s">
        <v>32774</v>
      </c>
      <c r="G9941" s="1" t="s">
        <v>9346</v>
      </c>
      <c r="H9941" s="1" t="s">
        <v>3604</v>
      </c>
      <c r="I9941" s="1" t="s">
        <v>32775</v>
      </c>
      <c r="J9941" s="1" t="s">
        <v>3615</v>
      </c>
      <c r="K9941" s="1" t="s">
        <v>32776</v>
      </c>
      <c r="L9941" s="1"/>
      <c r="M9941" s="1"/>
    </row>
    <row x14ac:dyDescent="0.25" r="9942" customHeight="1" ht="18.75">
      <c r="A9942" s="1" t="s">
        <v>7833</v>
      </c>
      <c r="B9942" s="1" t="s">
        <v>7834</v>
      </c>
      <c r="C9942" s="1" t="s">
        <v>4488</v>
      </c>
      <c r="D9942" s="1" t="s">
        <v>3601</v>
      </c>
      <c r="E9942" s="1" t="s">
        <v>8096</v>
      </c>
      <c r="F9942" s="1" t="s">
        <v>32777</v>
      </c>
      <c r="G9942" s="1" t="s">
        <v>32778</v>
      </c>
      <c r="H9942" s="1" t="s">
        <v>3604</v>
      </c>
      <c r="I9942" s="1" t="s">
        <v>32779</v>
      </c>
      <c r="J9942" s="1" t="s">
        <v>3615</v>
      </c>
      <c r="K9942" s="1" t="s">
        <v>28881</v>
      </c>
      <c r="L9942" s="1"/>
      <c r="M9942" s="1"/>
    </row>
    <row x14ac:dyDescent="0.25" r="9943" customHeight="1" ht="18.75">
      <c r="A9943" s="1" t="s">
        <v>3598</v>
      </c>
      <c r="B9943" s="1" t="s">
        <v>19642</v>
      </c>
      <c r="C9943" s="1" t="s">
        <v>3600</v>
      </c>
      <c r="D9943" s="1" t="s">
        <v>3601</v>
      </c>
      <c r="E9943" s="1" t="s">
        <v>3664</v>
      </c>
      <c r="F9943" s="1" t="s">
        <v>32780</v>
      </c>
      <c r="G9943" s="1" t="s">
        <v>19853</v>
      </c>
      <c r="H9943" s="1" t="s">
        <v>3604</v>
      </c>
      <c r="I9943" s="1" t="s">
        <v>32781</v>
      </c>
      <c r="J9943" s="1" t="s">
        <v>3615</v>
      </c>
      <c r="K9943" s="1" t="s">
        <v>32782</v>
      </c>
      <c r="L9943" s="1"/>
      <c r="M9943" s="1"/>
    </row>
    <row x14ac:dyDescent="0.25" r="9944" customHeight="1" ht="18.75">
      <c r="A9944" s="1" t="s">
        <v>3598</v>
      </c>
      <c r="B9944" s="1" t="s">
        <v>14104</v>
      </c>
      <c r="C9944" s="1" t="s">
        <v>3600</v>
      </c>
      <c r="D9944" s="1" t="s">
        <v>28428</v>
      </c>
      <c r="E9944" s="1" t="s">
        <v>3893</v>
      </c>
      <c r="F9944" s="1" t="s">
        <v>32783</v>
      </c>
      <c r="G9944" s="1" t="s">
        <v>14130</v>
      </c>
      <c r="H9944" s="1" t="s">
        <v>3604</v>
      </c>
      <c r="I9944" s="1" t="s">
        <v>32784</v>
      </c>
      <c r="J9944" s="1" t="s">
        <v>3615</v>
      </c>
      <c r="K9944" s="1" t="s">
        <v>32785</v>
      </c>
      <c r="L9944" s="1"/>
      <c r="M9944" s="1"/>
    </row>
    <row x14ac:dyDescent="0.25" r="9945" customHeight="1" ht="18.75">
      <c r="A9945" s="1" t="s">
        <v>7833</v>
      </c>
      <c r="B9945" s="1" t="s">
        <v>7834</v>
      </c>
      <c r="C9945" s="1" t="s">
        <v>4488</v>
      </c>
      <c r="D9945" s="1" t="s">
        <v>3601</v>
      </c>
      <c r="E9945" s="1" t="s">
        <v>8096</v>
      </c>
      <c r="F9945" s="1" t="s">
        <v>32786</v>
      </c>
      <c r="G9945" s="1" t="s">
        <v>32787</v>
      </c>
      <c r="H9945" s="1" t="s">
        <v>3604</v>
      </c>
      <c r="I9945" s="1" t="s">
        <v>32788</v>
      </c>
      <c r="J9945" s="1" t="s">
        <v>3615</v>
      </c>
      <c r="K9945" s="1" t="s">
        <v>32789</v>
      </c>
      <c r="L9945" s="1"/>
      <c r="M9945" s="1"/>
    </row>
    <row x14ac:dyDescent="0.25" r="9946" customHeight="1" ht="18.75">
      <c r="A9946" s="1" t="s">
        <v>3598</v>
      </c>
      <c r="B9946" s="1" t="s">
        <v>14104</v>
      </c>
      <c r="C9946" s="1" t="s">
        <v>3600</v>
      </c>
      <c r="D9946" s="1" t="s">
        <v>28428</v>
      </c>
      <c r="E9946" s="1" t="s">
        <v>3893</v>
      </c>
      <c r="F9946" s="1" t="s">
        <v>32790</v>
      </c>
      <c r="G9946" s="1" t="s">
        <v>14130</v>
      </c>
      <c r="H9946" s="1" t="s">
        <v>3604</v>
      </c>
      <c r="I9946" s="1" t="s">
        <v>32791</v>
      </c>
      <c r="J9946" s="1" t="s">
        <v>3615</v>
      </c>
      <c r="K9946" s="1" t="s">
        <v>32792</v>
      </c>
      <c r="L9946" s="1"/>
      <c r="M9946" s="1"/>
    </row>
    <row x14ac:dyDescent="0.25" r="9947" customHeight="1" ht="18.75">
      <c r="A9947" s="1" t="s">
        <v>7833</v>
      </c>
      <c r="B9947" s="1" t="s">
        <v>7834</v>
      </c>
      <c r="C9947" s="1" t="s">
        <v>4488</v>
      </c>
      <c r="D9947" s="1" t="s">
        <v>3601</v>
      </c>
      <c r="E9947" s="1" t="s">
        <v>8096</v>
      </c>
      <c r="F9947" s="1" t="s">
        <v>32793</v>
      </c>
      <c r="G9947" s="1" t="s">
        <v>32614</v>
      </c>
      <c r="H9947" s="1" t="s">
        <v>3604</v>
      </c>
      <c r="I9947" s="1" t="s">
        <v>32794</v>
      </c>
      <c r="J9947" s="1" t="s">
        <v>3615</v>
      </c>
      <c r="K9947" s="1" t="s">
        <v>28747</v>
      </c>
      <c r="L9947" s="1"/>
      <c r="M9947" s="1"/>
    </row>
    <row x14ac:dyDescent="0.25" r="9948" customHeight="1" ht="18.75">
      <c r="A9948" s="1" t="s">
        <v>3598</v>
      </c>
      <c r="B9948" s="1" t="s">
        <v>8572</v>
      </c>
      <c r="C9948" s="1" t="s">
        <v>3600</v>
      </c>
      <c r="D9948" s="1" t="s">
        <v>28428</v>
      </c>
      <c r="E9948" s="1" t="s">
        <v>3893</v>
      </c>
      <c r="F9948" s="1" t="s">
        <v>32795</v>
      </c>
      <c r="G9948" s="1" t="s">
        <v>20563</v>
      </c>
      <c r="H9948" s="1" t="s">
        <v>3604</v>
      </c>
      <c r="I9948" s="1" t="s">
        <v>32796</v>
      </c>
      <c r="J9948" s="1" t="s">
        <v>3615</v>
      </c>
      <c r="K9948" s="1" t="s">
        <v>32797</v>
      </c>
      <c r="L9948" s="1"/>
      <c r="M9948" s="1"/>
    </row>
    <row x14ac:dyDescent="0.25" r="9949" customHeight="1" ht="18.75">
      <c r="A9949" s="1" t="s">
        <v>7833</v>
      </c>
      <c r="B9949" s="1" t="s">
        <v>7834</v>
      </c>
      <c r="C9949" s="1" t="s">
        <v>4488</v>
      </c>
      <c r="D9949" s="1" t="s">
        <v>3601</v>
      </c>
      <c r="E9949" s="1" t="s">
        <v>8096</v>
      </c>
      <c r="F9949" s="1" t="s">
        <v>32798</v>
      </c>
      <c r="G9949" s="1" t="s">
        <v>7836</v>
      </c>
      <c r="H9949" s="1" t="s">
        <v>3604</v>
      </c>
      <c r="I9949" s="1" t="s">
        <v>32799</v>
      </c>
      <c r="J9949" s="1" t="s">
        <v>3615</v>
      </c>
      <c r="K9949" s="1" t="s">
        <v>28754</v>
      </c>
      <c r="L9949" s="1"/>
      <c r="M9949" s="1"/>
    </row>
    <row x14ac:dyDescent="0.25" r="9950" customHeight="1" ht="18.75">
      <c r="A9950" s="1" t="s">
        <v>3598</v>
      </c>
      <c r="B9950" s="1" t="s">
        <v>8572</v>
      </c>
      <c r="C9950" s="1" t="s">
        <v>3600</v>
      </c>
      <c r="D9950" s="1" t="s">
        <v>28428</v>
      </c>
      <c r="E9950" s="1" t="s">
        <v>3893</v>
      </c>
      <c r="F9950" s="1" t="s">
        <v>32800</v>
      </c>
      <c r="G9950" s="1" t="s">
        <v>20563</v>
      </c>
      <c r="H9950" s="1" t="s">
        <v>3604</v>
      </c>
      <c r="I9950" s="1" t="s">
        <v>32801</v>
      </c>
      <c r="J9950" s="1" t="s">
        <v>3615</v>
      </c>
      <c r="K9950" s="1" t="s">
        <v>32802</v>
      </c>
      <c r="L9950" s="1"/>
      <c r="M9950" s="1"/>
    </row>
    <row x14ac:dyDescent="0.25" r="9951" customHeight="1" ht="18.75">
      <c r="A9951" s="1" t="s">
        <v>7833</v>
      </c>
      <c r="B9951" s="1" t="s">
        <v>7834</v>
      </c>
      <c r="C9951" s="1" t="s">
        <v>4488</v>
      </c>
      <c r="D9951" s="1" t="s">
        <v>3601</v>
      </c>
      <c r="E9951" s="1" t="s">
        <v>8096</v>
      </c>
      <c r="F9951" s="1" t="s">
        <v>32803</v>
      </c>
      <c r="G9951" s="1" t="s">
        <v>7840</v>
      </c>
      <c r="H9951" s="1" t="s">
        <v>3604</v>
      </c>
      <c r="I9951" s="1" t="s">
        <v>32804</v>
      </c>
      <c r="J9951" s="1" t="s">
        <v>3615</v>
      </c>
      <c r="K9951" s="1" t="s">
        <v>28760</v>
      </c>
      <c r="L9951" s="1"/>
      <c r="M9951" s="1"/>
    </row>
    <row x14ac:dyDescent="0.25" r="9952" customHeight="1" ht="18.75">
      <c r="A9952" s="1" t="s">
        <v>3598</v>
      </c>
      <c r="B9952" s="1" t="s">
        <v>8572</v>
      </c>
      <c r="C9952" s="1" t="s">
        <v>3600</v>
      </c>
      <c r="D9952" s="1" t="s">
        <v>28428</v>
      </c>
      <c r="E9952" s="1" t="s">
        <v>3893</v>
      </c>
      <c r="F9952" s="1" t="s">
        <v>32805</v>
      </c>
      <c r="G9952" s="1" t="s">
        <v>20563</v>
      </c>
      <c r="H9952" s="1" t="s">
        <v>3604</v>
      </c>
      <c r="I9952" s="1" t="s">
        <v>32806</v>
      </c>
      <c r="J9952" s="1" t="s">
        <v>3615</v>
      </c>
      <c r="K9952" s="1" t="s">
        <v>32807</v>
      </c>
      <c r="L9952" s="1"/>
      <c r="M9952" s="1"/>
    </row>
    <row x14ac:dyDescent="0.25" r="9953" customHeight="1" ht="18.75">
      <c r="A9953" s="1" t="s">
        <v>7833</v>
      </c>
      <c r="B9953" s="1" t="s">
        <v>7834</v>
      </c>
      <c r="C9953" s="1" t="s">
        <v>4488</v>
      </c>
      <c r="D9953" s="1" t="s">
        <v>3601</v>
      </c>
      <c r="E9953" s="1" t="s">
        <v>8096</v>
      </c>
      <c r="F9953" s="1" t="s">
        <v>32808</v>
      </c>
      <c r="G9953" s="1" t="s">
        <v>7844</v>
      </c>
      <c r="H9953" s="1" t="s">
        <v>3604</v>
      </c>
      <c r="I9953" s="1" t="s">
        <v>32809</v>
      </c>
      <c r="J9953" s="1" t="s">
        <v>3615</v>
      </c>
      <c r="K9953" s="1" t="s">
        <v>32810</v>
      </c>
      <c r="L9953" s="1"/>
      <c r="M9953" s="1"/>
    </row>
    <row x14ac:dyDescent="0.25" r="9954" customHeight="1" ht="18.75">
      <c r="A9954" s="1" t="s">
        <v>7833</v>
      </c>
      <c r="B9954" s="1" t="s">
        <v>7834</v>
      </c>
      <c r="C9954" s="1" t="s">
        <v>4488</v>
      </c>
      <c r="D9954" s="1" t="s">
        <v>3601</v>
      </c>
      <c r="E9954" s="1" t="s">
        <v>8096</v>
      </c>
      <c r="F9954" s="1" t="s">
        <v>32811</v>
      </c>
      <c r="G9954" s="1" t="s">
        <v>32812</v>
      </c>
      <c r="H9954" s="1" t="s">
        <v>3604</v>
      </c>
      <c r="I9954" s="1" t="s">
        <v>32813</v>
      </c>
      <c r="J9954" s="1" t="s">
        <v>3615</v>
      </c>
      <c r="K9954" s="1" t="s">
        <v>28900</v>
      </c>
      <c r="L9954" s="1"/>
      <c r="M9954" s="1"/>
    </row>
    <row x14ac:dyDescent="0.25" r="9955" customHeight="1" ht="18.75">
      <c r="A9955" s="1" t="s">
        <v>3598</v>
      </c>
      <c r="B9955" s="1" t="s">
        <v>9344</v>
      </c>
      <c r="C9955" s="1" t="s">
        <v>3600</v>
      </c>
      <c r="D9955" s="1" t="s">
        <v>28428</v>
      </c>
      <c r="E9955" s="1" t="s">
        <v>3664</v>
      </c>
      <c r="F9955" s="1" t="s">
        <v>32814</v>
      </c>
      <c r="G9955" s="1" t="s">
        <v>9346</v>
      </c>
      <c r="H9955" s="1" t="s">
        <v>3604</v>
      </c>
      <c r="I9955" s="1" t="s">
        <v>32815</v>
      </c>
      <c r="J9955" s="1" t="s">
        <v>3615</v>
      </c>
      <c r="K9955" s="1" t="s">
        <v>32816</v>
      </c>
      <c r="L9955" s="1"/>
      <c r="M9955" s="1"/>
    </row>
    <row x14ac:dyDescent="0.25" r="9956" customHeight="1" ht="18.75">
      <c r="A9956" s="1" t="s">
        <v>7833</v>
      </c>
      <c r="B9956" s="1" t="s">
        <v>7834</v>
      </c>
      <c r="C9956" s="1" t="s">
        <v>4488</v>
      </c>
      <c r="D9956" s="1" t="s">
        <v>3601</v>
      </c>
      <c r="E9956" s="1" t="s">
        <v>8096</v>
      </c>
      <c r="F9956" s="1" t="s">
        <v>32817</v>
      </c>
      <c r="G9956" s="1" t="s">
        <v>24155</v>
      </c>
      <c r="H9956" s="1" t="s">
        <v>3604</v>
      </c>
      <c r="I9956" s="1" t="s">
        <v>32818</v>
      </c>
      <c r="J9956" s="1" t="s">
        <v>3615</v>
      </c>
      <c r="K9956" s="1" t="s">
        <v>28912</v>
      </c>
      <c r="L9956" s="1"/>
      <c r="M9956" s="1"/>
    </row>
    <row x14ac:dyDescent="0.25" r="9957" customHeight="1" ht="18.75">
      <c r="A9957" s="1" t="s">
        <v>3598</v>
      </c>
      <c r="B9957" s="1" t="s">
        <v>29574</v>
      </c>
      <c r="C9957" s="1" t="s">
        <v>3600</v>
      </c>
      <c r="D9957" s="1" t="s">
        <v>28428</v>
      </c>
      <c r="E9957" s="1" t="s">
        <v>3664</v>
      </c>
      <c r="F9957" s="1" t="s">
        <v>32819</v>
      </c>
      <c r="G9957" s="1" t="s">
        <v>15399</v>
      </c>
      <c r="H9957" s="1" t="s">
        <v>3604</v>
      </c>
      <c r="I9957" s="1" t="s">
        <v>32820</v>
      </c>
      <c r="J9957" s="1" t="s">
        <v>3615</v>
      </c>
      <c r="K9957" s="1" t="s">
        <v>32821</v>
      </c>
      <c r="L9957" s="1"/>
      <c r="M9957" s="1"/>
    </row>
    <row x14ac:dyDescent="0.25" r="9958" customHeight="1" ht="18.75">
      <c r="A9958" s="1" t="s">
        <v>3598</v>
      </c>
      <c r="B9958" s="1" t="s">
        <v>19975</v>
      </c>
      <c r="C9958" s="1" t="s">
        <v>3600</v>
      </c>
      <c r="D9958" s="1" t="s">
        <v>28428</v>
      </c>
      <c r="E9958" s="1" t="s">
        <v>3664</v>
      </c>
      <c r="F9958" s="1" t="s">
        <v>32822</v>
      </c>
      <c r="G9958" s="1" t="s">
        <v>31145</v>
      </c>
      <c r="H9958" s="1" t="s">
        <v>3604</v>
      </c>
      <c r="I9958" s="1" t="s">
        <v>32823</v>
      </c>
      <c r="J9958" s="1" t="s">
        <v>3615</v>
      </c>
      <c r="K9958" s="1" t="s">
        <v>32824</v>
      </c>
      <c r="L9958" s="1"/>
      <c r="M9958" s="1"/>
    </row>
    <row x14ac:dyDescent="0.25" r="9959" customHeight="1" ht="18.75">
      <c r="A9959" s="1" t="s">
        <v>3598</v>
      </c>
      <c r="B9959" s="1" t="s">
        <v>4689</v>
      </c>
      <c r="C9959" s="1" t="s">
        <v>3600</v>
      </c>
      <c r="D9959" s="1" t="s">
        <v>28428</v>
      </c>
      <c r="E9959" s="1" t="s">
        <v>3664</v>
      </c>
      <c r="F9959" s="1" t="s">
        <v>32825</v>
      </c>
      <c r="G9959" s="1" t="s">
        <v>32537</v>
      </c>
      <c r="H9959" s="1" t="s">
        <v>3604</v>
      </c>
      <c r="I9959" s="1" t="s">
        <v>32826</v>
      </c>
      <c r="J9959" s="1" t="s">
        <v>3615</v>
      </c>
      <c r="K9959" s="1" t="s">
        <v>32827</v>
      </c>
      <c r="L9959" s="1"/>
      <c r="M9959" s="1"/>
    </row>
    <row x14ac:dyDescent="0.25" r="9960" customHeight="1" ht="18.75">
      <c r="A9960" s="1" t="s">
        <v>3598</v>
      </c>
      <c r="B9960" s="1" t="s">
        <v>5260</v>
      </c>
      <c r="C9960" s="1" t="s">
        <v>3600</v>
      </c>
      <c r="D9960" s="1" t="s">
        <v>28428</v>
      </c>
      <c r="E9960" s="1" t="s">
        <v>3664</v>
      </c>
      <c r="F9960" s="1" t="s">
        <v>32828</v>
      </c>
      <c r="G9960" s="1" t="s">
        <v>21866</v>
      </c>
      <c r="H9960" s="1" t="s">
        <v>3604</v>
      </c>
      <c r="I9960" s="1" t="s">
        <v>32829</v>
      </c>
      <c r="J9960" s="1" t="s">
        <v>3615</v>
      </c>
      <c r="K9960" s="1" t="s">
        <v>32830</v>
      </c>
      <c r="L9960" s="1"/>
      <c r="M9960" s="1"/>
    </row>
    <row x14ac:dyDescent="0.25" r="9961" customHeight="1" ht="18.75">
      <c r="A9961" s="1" t="s">
        <v>3598</v>
      </c>
      <c r="B9961" s="1" t="s">
        <v>22952</v>
      </c>
      <c r="C9961" s="1" t="s">
        <v>3600</v>
      </c>
      <c r="D9961" s="1" t="s">
        <v>28428</v>
      </c>
      <c r="E9961" s="1" t="s">
        <v>3664</v>
      </c>
      <c r="F9961" s="1" t="s">
        <v>32831</v>
      </c>
      <c r="G9961" s="1" t="s">
        <v>27396</v>
      </c>
      <c r="H9961" s="1" t="s">
        <v>3604</v>
      </c>
      <c r="I9961" s="1" t="s">
        <v>32832</v>
      </c>
      <c r="J9961" s="1" t="s">
        <v>3615</v>
      </c>
      <c r="K9961" s="1" t="s">
        <v>32833</v>
      </c>
      <c r="L9961" s="1"/>
      <c r="M9961" s="1"/>
    </row>
    <row x14ac:dyDescent="0.25" r="9962" customHeight="1" ht="18.75">
      <c r="A9962" s="1" t="s">
        <v>3598</v>
      </c>
      <c r="B9962" s="1" t="s">
        <v>9025</v>
      </c>
      <c r="C9962" s="1" t="s">
        <v>3600</v>
      </c>
      <c r="D9962" s="1" t="s">
        <v>28428</v>
      </c>
      <c r="E9962" s="1" t="s">
        <v>3664</v>
      </c>
      <c r="F9962" s="1" t="s">
        <v>32834</v>
      </c>
      <c r="G9962" s="1" t="s">
        <v>28742</v>
      </c>
      <c r="H9962" s="1" t="s">
        <v>3604</v>
      </c>
      <c r="I9962" s="1" t="s">
        <v>32835</v>
      </c>
      <c r="J9962" s="1" t="s">
        <v>3615</v>
      </c>
      <c r="K9962" s="1" t="s">
        <v>32836</v>
      </c>
      <c r="L9962" s="1"/>
      <c r="M9962" s="1"/>
    </row>
    <row x14ac:dyDescent="0.25" r="9963" customHeight="1" ht="18.75">
      <c r="A9963" s="1" t="s">
        <v>3598</v>
      </c>
      <c r="B9963" s="1" t="s">
        <v>9025</v>
      </c>
      <c r="C9963" s="1" t="s">
        <v>3600</v>
      </c>
      <c r="D9963" s="1" t="s">
        <v>28428</v>
      </c>
      <c r="E9963" s="1" t="s">
        <v>3664</v>
      </c>
      <c r="F9963" s="1" t="s">
        <v>32837</v>
      </c>
      <c r="G9963" s="1" t="s">
        <v>21244</v>
      </c>
      <c r="H9963" s="1" t="s">
        <v>3604</v>
      </c>
      <c r="I9963" s="1" t="s">
        <v>32838</v>
      </c>
      <c r="J9963" s="1" t="s">
        <v>3615</v>
      </c>
      <c r="K9963" s="1" t="s">
        <v>32839</v>
      </c>
      <c r="L9963" s="1"/>
      <c r="M9963" s="1"/>
    </row>
    <row x14ac:dyDescent="0.25" r="9964" customHeight="1" ht="18.75">
      <c r="A9964" s="1" t="s">
        <v>3598</v>
      </c>
      <c r="B9964" s="1" t="s">
        <v>5260</v>
      </c>
      <c r="C9964" s="1" t="s">
        <v>3600</v>
      </c>
      <c r="D9964" s="1" t="s">
        <v>28428</v>
      </c>
      <c r="E9964" s="1" t="s">
        <v>3664</v>
      </c>
      <c r="F9964" s="1" t="s">
        <v>32840</v>
      </c>
      <c r="G9964" s="1" t="s">
        <v>21134</v>
      </c>
      <c r="H9964" s="1" t="s">
        <v>3604</v>
      </c>
      <c r="I9964" s="1" t="s">
        <v>32841</v>
      </c>
      <c r="J9964" s="1" t="s">
        <v>3615</v>
      </c>
      <c r="K9964" s="1" t="s">
        <v>32842</v>
      </c>
      <c r="L9964" s="1"/>
      <c r="M9964" s="1"/>
    </row>
    <row x14ac:dyDescent="0.25" r="9965" customHeight="1" ht="18.75">
      <c r="A9965" s="1" t="s">
        <v>3598</v>
      </c>
      <c r="B9965" s="1" t="s">
        <v>5260</v>
      </c>
      <c r="C9965" s="1" t="s">
        <v>3600</v>
      </c>
      <c r="D9965" s="1" t="s">
        <v>28428</v>
      </c>
      <c r="E9965" s="1" t="s">
        <v>3664</v>
      </c>
      <c r="F9965" s="1" t="s">
        <v>32843</v>
      </c>
      <c r="G9965" s="1" t="s">
        <v>21244</v>
      </c>
      <c r="H9965" s="1" t="s">
        <v>3604</v>
      </c>
      <c r="I9965" s="1" t="s">
        <v>32844</v>
      </c>
      <c r="J9965" s="1" t="s">
        <v>3615</v>
      </c>
      <c r="K9965" s="1" t="s">
        <v>32845</v>
      </c>
      <c r="L9965" s="1"/>
      <c r="M9965" s="1"/>
    </row>
    <row x14ac:dyDescent="0.25" r="9966" customHeight="1" ht="18.75">
      <c r="A9966" s="1" t="s">
        <v>3598</v>
      </c>
      <c r="B9966" s="1" t="s">
        <v>9236</v>
      </c>
      <c r="C9966" s="1" t="s">
        <v>3600</v>
      </c>
      <c r="D9966" s="1" t="s">
        <v>28428</v>
      </c>
      <c r="E9966" s="1" t="s">
        <v>3664</v>
      </c>
      <c r="F9966" s="1" t="s">
        <v>32846</v>
      </c>
      <c r="G9966" s="1" t="s">
        <v>21212</v>
      </c>
      <c r="H9966" s="1" t="s">
        <v>3604</v>
      </c>
      <c r="I9966" s="1" t="s">
        <v>32847</v>
      </c>
      <c r="J9966" s="1" t="s">
        <v>3615</v>
      </c>
      <c r="K9966" s="1" t="s">
        <v>32848</v>
      </c>
      <c r="L9966" s="1"/>
      <c r="M9966" s="1"/>
    </row>
    <row x14ac:dyDescent="0.25" r="9967" customHeight="1" ht="18.75">
      <c r="A9967" s="1" t="s">
        <v>3598</v>
      </c>
      <c r="B9967" s="1" t="s">
        <v>32849</v>
      </c>
      <c r="C9967" s="1" t="s">
        <v>3600</v>
      </c>
      <c r="D9967" s="1" t="s">
        <v>8373</v>
      </c>
      <c r="E9967" s="1" t="s">
        <v>3752</v>
      </c>
      <c r="F9967" s="1" t="s">
        <v>32850</v>
      </c>
      <c r="G9967" s="1" t="s">
        <v>32851</v>
      </c>
      <c r="H9967" s="1" t="s">
        <v>3604</v>
      </c>
      <c r="I9967" s="1" t="s">
        <v>32852</v>
      </c>
      <c r="J9967" s="1" t="s">
        <v>3615</v>
      </c>
      <c r="K9967" s="1" t="s">
        <v>32853</v>
      </c>
      <c r="L9967" s="1"/>
      <c r="M9967" s="1"/>
    </row>
    <row x14ac:dyDescent="0.25" r="9968" customHeight="1" ht="18.75">
      <c r="A9968" s="1" t="s">
        <v>3598</v>
      </c>
      <c r="B9968" s="1" t="s">
        <v>32849</v>
      </c>
      <c r="C9968" s="1" t="s">
        <v>3600</v>
      </c>
      <c r="D9968" s="1" t="s">
        <v>8373</v>
      </c>
      <c r="E9968" s="1" t="s">
        <v>3752</v>
      </c>
      <c r="F9968" s="1" t="s">
        <v>32854</v>
      </c>
      <c r="G9968" s="1" t="s">
        <v>32851</v>
      </c>
      <c r="H9968" s="1" t="s">
        <v>3604</v>
      </c>
      <c r="I9968" s="1" t="s">
        <v>32855</v>
      </c>
      <c r="J9968" s="1" t="s">
        <v>3615</v>
      </c>
      <c r="K9968" s="1" t="s">
        <v>32856</v>
      </c>
      <c r="L9968" s="1"/>
      <c r="M9968" s="1"/>
    </row>
    <row x14ac:dyDescent="0.25" r="9969" customHeight="1" ht="18.75">
      <c r="A9969" s="1" t="s">
        <v>3598</v>
      </c>
      <c r="B9969" s="1" t="s">
        <v>32849</v>
      </c>
      <c r="C9969" s="1" t="s">
        <v>3600</v>
      </c>
      <c r="D9969" s="1" t="s">
        <v>8373</v>
      </c>
      <c r="E9969" s="1" t="s">
        <v>3752</v>
      </c>
      <c r="F9969" s="1" t="s">
        <v>32857</v>
      </c>
      <c r="G9969" s="1" t="s">
        <v>32851</v>
      </c>
      <c r="H9969" s="1" t="s">
        <v>3604</v>
      </c>
      <c r="I9969" s="1" t="s">
        <v>32858</v>
      </c>
      <c r="J9969" s="1" t="s">
        <v>3615</v>
      </c>
      <c r="K9969" s="1" t="s">
        <v>32859</v>
      </c>
      <c r="L9969" s="1"/>
      <c r="M9969" s="1"/>
    </row>
    <row x14ac:dyDescent="0.25" r="9970" customHeight="1" ht="18.75">
      <c r="A9970" s="1" t="s">
        <v>3598</v>
      </c>
      <c r="B9970" s="1" t="s">
        <v>8191</v>
      </c>
      <c r="C9970" s="1" t="s">
        <v>3600</v>
      </c>
      <c r="D9970" s="1" t="s">
        <v>3610</v>
      </c>
      <c r="E9970" s="1" t="s">
        <v>3611</v>
      </c>
      <c r="F9970" s="1" t="s">
        <v>32860</v>
      </c>
      <c r="G9970" s="1" t="s">
        <v>20591</v>
      </c>
      <c r="H9970" s="1" t="s">
        <v>3604</v>
      </c>
      <c r="I9970" s="1" t="s">
        <v>32861</v>
      </c>
      <c r="J9970" s="1" t="s">
        <v>3615</v>
      </c>
      <c r="K9970" s="1" t="s">
        <v>32862</v>
      </c>
      <c r="L9970" s="1"/>
      <c r="M9970" s="1"/>
    </row>
    <row x14ac:dyDescent="0.25" r="9971" customHeight="1" ht="18.75">
      <c r="A9971" s="1" t="s">
        <v>7833</v>
      </c>
      <c r="B9971" s="1" t="s">
        <v>18543</v>
      </c>
      <c r="C9971" s="1" t="s">
        <v>4488</v>
      </c>
      <c r="D9971" s="1" t="s">
        <v>3601</v>
      </c>
      <c r="E9971" s="1" t="s">
        <v>3664</v>
      </c>
      <c r="F9971" s="1" t="s">
        <v>32863</v>
      </c>
      <c r="G9971" s="1" t="s">
        <v>14417</v>
      </c>
      <c r="H9971" s="1" t="s">
        <v>3604</v>
      </c>
      <c r="I9971" s="1" t="s">
        <v>32864</v>
      </c>
      <c r="J9971" s="1" t="s">
        <v>3615</v>
      </c>
      <c r="K9971" s="1" t="s">
        <v>14260</v>
      </c>
      <c r="L9971" s="1"/>
      <c r="M9971" s="1"/>
    </row>
    <row x14ac:dyDescent="0.25" r="9972" customHeight="1" ht="18.75">
      <c r="A9972" s="1" t="s">
        <v>3598</v>
      </c>
      <c r="B9972" s="1" t="s">
        <v>8191</v>
      </c>
      <c r="C9972" s="1" t="s">
        <v>3600</v>
      </c>
      <c r="D9972" s="1" t="s">
        <v>3610</v>
      </c>
      <c r="E9972" s="1" t="s">
        <v>3611</v>
      </c>
      <c r="F9972" s="1" t="s">
        <v>32865</v>
      </c>
      <c r="G9972" s="1" t="s">
        <v>20591</v>
      </c>
      <c r="H9972" s="1" t="s">
        <v>3604</v>
      </c>
      <c r="I9972" s="1" t="s">
        <v>32866</v>
      </c>
      <c r="J9972" s="1" t="s">
        <v>3615</v>
      </c>
      <c r="K9972" s="1" t="s">
        <v>32867</v>
      </c>
      <c r="L9972" s="1"/>
      <c r="M9972" s="1"/>
    </row>
    <row x14ac:dyDescent="0.25" r="9973" customHeight="1" ht="18.75">
      <c r="A9973" s="1" t="s">
        <v>7833</v>
      </c>
      <c r="B9973" s="1" t="s">
        <v>18543</v>
      </c>
      <c r="C9973" s="1" t="s">
        <v>4488</v>
      </c>
      <c r="D9973" s="1" t="s">
        <v>3601</v>
      </c>
      <c r="E9973" s="1" t="s">
        <v>3664</v>
      </c>
      <c r="F9973" s="1" t="s">
        <v>32868</v>
      </c>
      <c r="G9973" s="1" t="s">
        <v>14417</v>
      </c>
      <c r="H9973" s="1" t="s">
        <v>3604</v>
      </c>
      <c r="I9973" s="1" t="s">
        <v>32869</v>
      </c>
      <c r="J9973" s="1" t="s">
        <v>3615</v>
      </c>
      <c r="K9973" s="1" t="s">
        <v>14263</v>
      </c>
      <c r="L9973" s="1"/>
      <c r="M9973" s="1"/>
    </row>
    <row x14ac:dyDescent="0.25" r="9974" customHeight="1" ht="18.75">
      <c r="A9974" s="1" t="s">
        <v>3598</v>
      </c>
      <c r="B9974" s="1" t="s">
        <v>18043</v>
      </c>
      <c r="C9974" s="1" t="s">
        <v>3600</v>
      </c>
      <c r="D9974" s="1" t="s">
        <v>533</v>
      </c>
      <c r="E9974" s="1" t="s">
        <v>3611</v>
      </c>
      <c r="F9974" s="1" t="s">
        <v>32870</v>
      </c>
      <c r="G9974" s="1" t="s">
        <v>30389</v>
      </c>
      <c r="H9974" s="1" t="s">
        <v>3604</v>
      </c>
      <c r="I9974" s="1" t="s">
        <v>32871</v>
      </c>
      <c r="J9974" s="1" t="s">
        <v>3615</v>
      </c>
      <c r="K9974" s="1" t="s">
        <v>32872</v>
      </c>
      <c r="L9974" s="1"/>
      <c r="M9974" s="1"/>
    </row>
    <row x14ac:dyDescent="0.25" r="9975" customHeight="1" ht="18.75">
      <c r="A9975" s="1" t="s">
        <v>7833</v>
      </c>
      <c r="B9975" s="1" t="s">
        <v>32873</v>
      </c>
      <c r="C9975" s="1" t="s">
        <v>4488</v>
      </c>
      <c r="D9975" s="1" t="s">
        <v>3601</v>
      </c>
      <c r="E9975" s="1" t="s">
        <v>3664</v>
      </c>
      <c r="F9975" s="1" t="s">
        <v>32874</v>
      </c>
      <c r="G9975" s="1" t="s">
        <v>32875</v>
      </c>
      <c r="H9975" s="1" t="s">
        <v>3604</v>
      </c>
      <c r="I9975" s="1" t="s">
        <v>32876</v>
      </c>
      <c r="J9975" s="1" t="s">
        <v>3615</v>
      </c>
      <c r="K9975" s="1" t="s">
        <v>16372</v>
      </c>
      <c r="L9975" s="1"/>
      <c r="M9975" s="1"/>
    </row>
    <row x14ac:dyDescent="0.25" r="9976" customHeight="1" ht="18.75">
      <c r="A9976" s="1" t="s">
        <v>7833</v>
      </c>
      <c r="B9976" s="1" t="s">
        <v>13857</v>
      </c>
      <c r="C9976" s="1" t="s">
        <v>4488</v>
      </c>
      <c r="D9976" s="1" t="s">
        <v>3601</v>
      </c>
      <c r="E9976" s="1" t="s">
        <v>8096</v>
      </c>
      <c r="F9976" s="1" t="s">
        <v>32877</v>
      </c>
      <c r="G9976" s="1" t="s">
        <v>14927</v>
      </c>
      <c r="H9976" s="1" t="s">
        <v>3604</v>
      </c>
      <c r="I9976" s="1" t="s">
        <v>32878</v>
      </c>
      <c r="J9976" s="1" t="s">
        <v>3615</v>
      </c>
      <c r="K9976" s="1" t="s">
        <v>24317</v>
      </c>
      <c r="L9976" s="1"/>
      <c r="M9976" s="1"/>
    </row>
    <row x14ac:dyDescent="0.25" r="9977" customHeight="1" ht="18.75">
      <c r="A9977" s="1" t="s">
        <v>3598</v>
      </c>
      <c r="B9977" s="1" t="s">
        <v>18043</v>
      </c>
      <c r="C9977" s="1" t="s">
        <v>3600</v>
      </c>
      <c r="D9977" s="1" t="s">
        <v>533</v>
      </c>
      <c r="E9977" s="1" t="s">
        <v>3611</v>
      </c>
      <c r="F9977" s="1" t="s">
        <v>32879</v>
      </c>
      <c r="G9977" s="1" t="s">
        <v>30389</v>
      </c>
      <c r="H9977" s="1" t="s">
        <v>3604</v>
      </c>
      <c r="I9977" s="1" t="s">
        <v>32880</v>
      </c>
      <c r="J9977" s="1" t="s">
        <v>3615</v>
      </c>
      <c r="K9977" s="1" t="s">
        <v>32881</v>
      </c>
      <c r="L9977" s="1"/>
      <c r="M9977" s="1"/>
    </row>
    <row x14ac:dyDescent="0.25" r="9978" customHeight="1" ht="18.75">
      <c r="A9978" s="1" t="s">
        <v>7833</v>
      </c>
      <c r="B9978" s="1" t="s">
        <v>14486</v>
      </c>
      <c r="C9978" s="1" t="s">
        <v>3619</v>
      </c>
      <c r="D9978" s="1" t="s">
        <v>3601</v>
      </c>
      <c r="E9978" s="1" t="s">
        <v>3981</v>
      </c>
      <c r="F9978" s="1" t="s">
        <v>32882</v>
      </c>
      <c r="G9978" s="1" t="s">
        <v>14650</v>
      </c>
      <c r="H9978" s="1" t="s">
        <v>3604</v>
      </c>
      <c r="I9978" s="1" t="s">
        <v>32883</v>
      </c>
      <c r="J9978" s="1" t="s">
        <v>3615</v>
      </c>
      <c r="K9978" s="1" t="s">
        <v>16374</v>
      </c>
      <c r="L9978" s="1"/>
      <c r="M9978" s="1"/>
    </row>
    <row x14ac:dyDescent="0.25" r="9979" customHeight="1" ht="18.75">
      <c r="A9979" s="1" t="s">
        <v>7833</v>
      </c>
      <c r="B9979" s="1" t="s">
        <v>15046</v>
      </c>
      <c r="C9979" s="1" t="s">
        <v>4488</v>
      </c>
      <c r="D9979" s="1" t="s">
        <v>3601</v>
      </c>
      <c r="E9979" s="1" t="s">
        <v>3664</v>
      </c>
      <c r="F9979" s="1" t="s">
        <v>32884</v>
      </c>
      <c r="G9979" s="1" t="s">
        <v>15047</v>
      </c>
      <c r="H9979" s="1" t="s">
        <v>3604</v>
      </c>
      <c r="I9979" s="1" t="s">
        <v>32885</v>
      </c>
      <c r="J9979" s="1" t="s">
        <v>3615</v>
      </c>
      <c r="K9979" s="1" t="s">
        <v>14260</v>
      </c>
      <c r="L9979" s="1"/>
      <c r="M9979" s="1"/>
    </row>
    <row x14ac:dyDescent="0.25" r="9980" customHeight="1" ht="18.75">
      <c r="A9980" s="1" t="s">
        <v>7833</v>
      </c>
      <c r="B9980" s="1" t="s">
        <v>15046</v>
      </c>
      <c r="C9980" s="1" t="s">
        <v>4488</v>
      </c>
      <c r="D9980" s="1" t="s">
        <v>3601</v>
      </c>
      <c r="E9980" s="1" t="s">
        <v>3664</v>
      </c>
      <c r="F9980" s="1" t="s">
        <v>32886</v>
      </c>
      <c r="G9980" s="1" t="s">
        <v>15047</v>
      </c>
      <c r="H9980" s="1" t="s">
        <v>3604</v>
      </c>
      <c r="I9980" s="1" t="s">
        <v>32887</v>
      </c>
      <c r="J9980" s="1" t="s">
        <v>3615</v>
      </c>
      <c r="K9980" s="1" t="s">
        <v>14263</v>
      </c>
      <c r="L9980" s="1"/>
      <c r="M9980" s="1"/>
    </row>
    <row x14ac:dyDescent="0.25" r="9981" customHeight="1" ht="18.75">
      <c r="A9981" s="1" t="s">
        <v>3598</v>
      </c>
      <c r="B9981" s="1" t="s">
        <v>4600</v>
      </c>
      <c r="C9981" s="1" t="s">
        <v>3600</v>
      </c>
      <c r="D9981" s="1" t="s">
        <v>3601</v>
      </c>
      <c r="E9981" s="1" t="s">
        <v>3611</v>
      </c>
      <c r="F9981" s="1" t="s">
        <v>32888</v>
      </c>
      <c r="G9981" s="1" t="s">
        <v>32889</v>
      </c>
      <c r="H9981" s="1" t="s">
        <v>3604</v>
      </c>
      <c r="I9981" s="1" t="s">
        <v>32890</v>
      </c>
      <c r="J9981" s="1" t="s">
        <v>3615</v>
      </c>
      <c r="K9981" s="1" t="s">
        <v>32891</v>
      </c>
      <c r="L9981" s="1"/>
      <c r="M9981" s="1"/>
    </row>
    <row x14ac:dyDescent="0.25" r="9982" customHeight="1" ht="18.75">
      <c r="A9982" s="1" t="s">
        <v>7833</v>
      </c>
      <c r="B9982" s="1" t="s">
        <v>8306</v>
      </c>
      <c r="C9982" s="1" t="s">
        <v>4488</v>
      </c>
      <c r="D9982" s="1" t="s">
        <v>3601</v>
      </c>
      <c r="E9982" s="1" t="s">
        <v>3664</v>
      </c>
      <c r="F9982" s="1" t="s">
        <v>32892</v>
      </c>
      <c r="G9982" s="1" t="s">
        <v>15304</v>
      </c>
      <c r="H9982" s="1" t="s">
        <v>3604</v>
      </c>
      <c r="I9982" s="1" t="s">
        <v>32893</v>
      </c>
      <c r="J9982" s="1" t="s">
        <v>3606</v>
      </c>
      <c r="K9982" s="1" t="s">
        <v>14573</v>
      </c>
      <c r="L9982" s="1"/>
      <c r="M9982" s="1"/>
    </row>
    <row x14ac:dyDescent="0.25" r="9983" customHeight="1" ht="18.75">
      <c r="A9983" s="1" t="s">
        <v>3598</v>
      </c>
      <c r="B9983" s="1" t="s">
        <v>4600</v>
      </c>
      <c r="C9983" s="1" t="s">
        <v>3600</v>
      </c>
      <c r="D9983" s="1" t="s">
        <v>3601</v>
      </c>
      <c r="E9983" s="1" t="s">
        <v>3611</v>
      </c>
      <c r="F9983" s="1" t="s">
        <v>32894</v>
      </c>
      <c r="G9983" s="1" t="s">
        <v>32889</v>
      </c>
      <c r="H9983" s="1" t="s">
        <v>3604</v>
      </c>
      <c r="I9983" s="1" t="s">
        <v>32895</v>
      </c>
      <c r="J9983" s="1" t="s">
        <v>3615</v>
      </c>
      <c r="K9983" s="1" t="s">
        <v>32896</v>
      </c>
      <c r="L9983" s="1"/>
      <c r="M9983" s="1"/>
    </row>
    <row x14ac:dyDescent="0.25" r="9984" customHeight="1" ht="18.75">
      <c r="A9984" s="1" t="s">
        <v>7833</v>
      </c>
      <c r="B9984" s="1" t="s">
        <v>15041</v>
      </c>
      <c r="C9984" s="1" t="s">
        <v>3619</v>
      </c>
      <c r="D9984" s="1" t="s">
        <v>3601</v>
      </c>
      <c r="E9984" s="1" t="s">
        <v>3664</v>
      </c>
      <c r="F9984" s="1" t="s">
        <v>32897</v>
      </c>
      <c r="G9984" s="1" t="s">
        <v>26427</v>
      </c>
      <c r="H9984" s="1" t="s">
        <v>3604</v>
      </c>
      <c r="I9984" s="1" t="s">
        <v>32898</v>
      </c>
      <c r="J9984" s="1" t="s">
        <v>3615</v>
      </c>
      <c r="K9984" s="1" t="s">
        <v>32899</v>
      </c>
      <c r="L9984" s="1"/>
      <c r="M9984" s="1"/>
    </row>
    <row x14ac:dyDescent="0.25" r="9985" customHeight="1" ht="18.75">
      <c r="A9985" s="1" t="s">
        <v>3598</v>
      </c>
      <c r="B9985" s="1" t="s">
        <v>4600</v>
      </c>
      <c r="C9985" s="1" t="s">
        <v>3600</v>
      </c>
      <c r="D9985" s="1" t="s">
        <v>3601</v>
      </c>
      <c r="E9985" s="1" t="s">
        <v>3611</v>
      </c>
      <c r="F9985" s="1" t="s">
        <v>32900</v>
      </c>
      <c r="G9985" s="1" t="s">
        <v>32889</v>
      </c>
      <c r="H9985" s="1" t="s">
        <v>3604</v>
      </c>
      <c r="I9985" s="1" t="s">
        <v>32901</v>
      </c>
      <c r="J9985" s="1" t="s">
        <v>3615</v>
      </c>
      <c r="K9985" s="1" t="s">
        <v>32902</v>
      </c>
      <c r="L9985" s="1"/>
      <c r="M9985" s="1"/>
    </row>
    <row x14ac:dyDescent="0.25" r="9986" customHeight="1" ht="18.75">
      <c r="A9986" s="1" t="s">
        <v>7833</v>
      </c>
      <c r="B9986" s="1" t="s">
        <v>8178</v>
      </c>
      <c r="C9986" s="1" t="s">
        <v>3619</v>
      </c>
      <c r="D9986" s="1" t="s">
        <v>3601</v>
      </c>
      <c r="E9986" s="1" t="s">
        <v>3664</v>
      </c>
      <c r="F9986" s="1" t="s">
        <v>32903</v>
      </c>
      <c r="G9986" s="1" t="s">
        <v>26427</v>
      </c>
      <c r="H9986" s="1" t="s">
        <v>3604</v>
      </c>
      <c r="I9986" s="1" t="s">
        <v>32904</v>
      </c>
      <c r="J9986" s="1" t="s">
        <v>3615</v>
      </c>
      <c r="K9986" s="1" t="s">
        <v>32899</v>
      </c>
      <c r="L9986" s="1"/>
      <c r="M9986" s="1"/>
    </row>
    <row x14ac:dyDescent="0.25" r="9987" customHeight="1" ht="18.75">
      <c r="A9987" s="1" t="s">
        <v>3598</v>
      </c>
      <c r="B9987" s="1" t="s">
        <v>4600</v>
      </c>
      <c r="C9987" s="1" t="s">
        <v>3600</v>
      </c>
      <c r="D9987" s="1" t="s">
        <v>3601</v>
      </c>
      <c r="E9987" s="1" t="s">
        <v>3611</v>
      </c>
      <c r="F9987" s="1" t="s">
        <v>32905</v>
      </c>
      <c r="G9987" s="1" t="s">
        <v>32889</v>
      </c>
      <c r="H9987" s="1" t="s">
        <v>3604</v>
      </c>
      <c r="I9987" s="1" t="s">
        <v>32906</v>
      </c>
      <c r="J9987" s="1" t="s">
        <v>3615</v>
      </c>
      <c r="K9987" s="1" t="s">
        <v>32907</v>
      </c>
      <c r="L9987" s="1"/>
      <c r="M9987" s="1"/>
    </row>
    <row x14ac:dyDescent="0.25" r="9988" customHeight="1" ht="18.75">
      <c r="A9988" s="1" t="s">
        <v>7833</v>
      </c>
      <c r="B9988" s="1" t="s">
        <v>9824</v>
      </c>
      <c r="C9988" s="1" t="s">
        <v>4488</v>
      </c>
      <c r="D9988" s="1" t="s">
        <v>3601</v>
      </c>
      <c r="E9988" s="1" t="s">
        <v>8096</v>
      </c>
      <c r="F9988" s="1" t="s">
        <v>32908</v>
      </c>
      <c r="G9988" s="1" t="s">
        <v>14298</v>
      </c>
      <c r="H9988" s="1" t="s">
        <v>3604</v>
      </c>
      <c r="I9988" s="1" t="s">
        <v>32909</v>
      </c>
      <c r="J9988" s="1" t="s">
        <v>3615</v>
      </c>
      <c r="K9988" s="1" t="s">
        <v>32899</v>
      </c>
      <c r="L9988" s="1"/>
      <c r="M9988" s="1"/>
    </row>
    <row x14ac:dyDescent="0.25" r="9989" customHeight="1" ht="18.75">
      <c r="A9989" s="1" t="s">
        <v>3598</v>
      </c>
      <c r="B9989" s="1" t="s">
        <v>4600</v>
      </c>
      <c r="C9989" s="1" t="s">
        <v>3600</v>
      </c>
      <c r="D9989" s="1" t="s">
        <v>3601</v>
      </c>
      <c r="E9989" s="1" t="s">
        <v>3611</v>
      </c>
      <c r="F9989" s="1" t="s">
        <v>32910</v>
      </c>
      <c r="G9989" s="1" t="s">
        <v>32889</v>
      </c>
      <c r="H9989" s="1" t="s">
        <v>3604</v>
      </c>
      <c r="I9989" s="1" t="s">
        <v>32911</v>
      </c>
      <c r="J9989" s="1" t="s">
        <v>3615</v>
      </c>
      <c r="K9989" s="1" t="s">
        <v>32912</v>
      </c>
      <c r="L9989" s="1"/>
      <c r="M9989" s="1"/>
    </row>
    <row x14ac:dyDescent="0.25" r="9990" customHeight="1" ht="18.75">
      <c r="A9990" s="1" t="s">
        <v>7833</v>
      </c>
      <c r="B9990" s="1" t="s">
        <v>32913</v>
      </c>
      <c r="C9990" s="1" t="s">
        <v>4488</v>
      </c>
      <c r="D9990" s="1" t="s">
        <v>3601</v>
      </c>
      <c r="E9990" s="1" t="s">
        <v>8096</v>
      </c>
      <c r="F9990" s="1" t="s">
        <v>32914</v>
      </c>
      <c r="G9990" s="1" t="s">
        <v>14298</v>
      </c>
      <c r="H9990" s="1" t="s">
        <v>3604</v>
      </c>
      <c r="I9990" s="1" t="s">
        <v>32915</v>
      </c>
      <c r="J9990" s="1" t="s">
        <v>3615</v>
      </c>
      <c r="K9990" s="1" t="s">
        <v>32899</v>
      </c>
      <c r="L9990" s="1"/>
      <c r="M9990" s="1"/>
    </row>
    <row x14ac:dyDescent="0.25" r="9991" customHeight="1" ht="18.75">
      <c r="A9991" s="1" t="s">
        <v>3598</v>
      </c>
      <c r="B9991" s="1" t="s">
        <v>4600</v>
      </c>
      <c r="C9991" s="1" t="s">
        <v>3600</v>
      </c>
      <c r="D9991" s="1" t="s">
        <v>3601</v>
      </c>
      <c r="E9991" s="1" t="s">
        <v>3611</v>
      </c>
      <c r="F9991" s="1" t="s">
        <v>32916</v>
      </c>
      <c r="G9991" s="1" t="s">
        <v>32889</v>
      </c>
      <c r="H9991" s="1" t="s">
        <v>3604</v>
      </c>
      <c r="I9991" s="1" t="s">
        <v>32917</v>
      </c>
      <c r="J9991" s="1" t="s">
        <v>3615</v>
      </c>
      <c r="K9991" s="1" t="s">
        <v>32918</v>
      </c>
      <c r="L9991" s="1"/>
      <c r="M9991" s="1"/>
    </row>
    <row x14ac:dyDescent="0.25" r="9992" customHeight="1" ht="18.75">
      <c r="A9992" s="1" t="s">
        <v>7833</v>
      </c>
      <c r="B9992" s="1" t="s">
        <v>24411</v>
      </c>
      <c r="C9992" s="1" t="s">
        <v>4488</v>
      </c>
      <c r="D9992" s="1" t="s">
        <v>3601</v>
      </c>
      <c r="E9992" s="1" t="s">
        <v>8096</v>
      </c>
      <c r="F9992" s="1" t="s">
        <v>32919</v>
      </c>
      <c r="G9992" s="1" t="s">
        <v>32920</v>
      </c>
      <c r="H9992" s="1" t="s">
        <v>3604</v>
      </c>
      <c r="I9992" s="1" t="s">
        <v>32921</v>
      </c>
      <c r="J9992" s="1" t="s">
        <v>3615</v>
      </c>
      <c r="K9992" s="1" t="s">
        <v>32899</v>
      </c>
      <c r="L9992" s="1"/>
      <c r="M9992" s="1"/>
    </row>
    <row x14ac:dyDescent="0.25" r="9993" customHeight="1" ht="18.75">
      <c r="A9993" s="1" t="s">
        <v>3598</v>
      </c>
      <c r="B9993" s="1" t="s">
        <v>4600</v>
      </c>
      <c r="C9993" s="1" t="s">
        <v>3600</v>
      </c>
      <c r="D9993" s="1" t="s">
        <v>3601</v>
      </c>
      <c r="E9993" s="1" t="s">
        <v>3611</v>
      </c>
      <c r="F9993" s="1" t="s">
        <v>32922</v>
      </c>
      <c r="G9993" s="1" t="s">
        <v>32889</v>
      </c>
      <c r="H9993" s="1" t="s">
        <v>3604</v>
      </c>
      <c r="I9993" s="1" t="s">
        <v>32923</v>
      </c>
      <c r="J9993" s="1" t="s">
        <v>3615</v>
      </c>
      <c r="K9993" s="1" t="s">
        <v>32924</v>
      </c>
      <c r="L9993" s="1"/>
      <c r="M9993" s="1"/>
    </row>
    <row x14ac:dyDescent="0.25" r="9994" customHeight="1" ht="18.75">
      <c r="A9994" s="1" t="s">
        <v>7833</v>
      </c>
      <c r="B9994" s="1" t="s">
        <v>32925</v>
      </c>
      <c r="C9994" s="1" t="s">
        <v>4488</v>
      </c>
      <c r="D9994" s="1" t="s">
        <v>3601</v>
      </c>
      <c r="E9994" s="1" t="s">
        <v>8096</v>
      </c>
      <c r="F9994" s="1" t="s">
        <v>32926</v>
      </c>
      <c r="G9994" s="1" t="s">
        <v>32920</v>
      </c>
      <c r="H9994" s="1" t="s">
        <v>3604</v>
      </c>
      <c r="I9994" s="1" t="s">
        <v>32927</v>
      </c>
      <c r="J9994" s="1" t="s">
        <v>3615</v>
      </c>
      <c r="K9994" s="1" t="s">
        <v>32899</v>
      </c>
      <c r="L9994" s="1"/>
      <c r="M9994" s="1"/>
    </row>
    <row x14ac:dyDescent="0.25" r="9995" customHeight="1" ht="18.75">
      <c r="A9995" s="1" t="s">
        <v>3598</v>
      </c>
      <c r="B9995" s="1" t="s">
        <v>4600</v>
      </c>
      <c r="C9995" s="1" t="s">
        <v>3600</v>
      </c>
      <c r="D9995" s="1" t="s">
        <v>3601</v>
      </c>
      <c r="E9995" s="1" t="s">
        <v>3611</v>
      </c>
      <c r="F9995" s="1" t="s">
        <v>32928</v>
      </c>
      <c r="G9995" s="1" t="s">
        <v>32889</v>
      </c>
      <c r="H9995" s="1" t="s">
        <v>3604</v>
      </c>
      <c r="I9995" s="1" t="s">
        <v>32929</v>
      </c>
      <c r="J9995" s="1" t="s">
        <v>3615</v>
      </c>
      <c r="K9995" s="1" t="s">
        <v>32930</v>
      </c>
      <c r="L9995" s="1"/>
      <c r="M9995" s="1"/>
    </row>
    <row x14ac:dyDescent="0.25" r="9996" customHeight="1" ht="18.75">
      <c r="A9996" s="1" t="s">
        <v>7833</v>
      </c>
      <c r="B9996" s="1" t="s">
        <v>31449</v>
      </c>
      <c r="C9996" s="1" t="s">
        <v>4488</v>
      </c>
      <c r="D9996" s="1" t="s">
        <v>3601</v>
      </c>
      <c r="E9996" s="1" t="s">
        <v>8096</v>
      </c>
      <c r="F9996" s="1" t="s">
        <v>32931</v>
      </c>
      <c r="G9996" s="1" t="s">
        <v>8163</v>
      </c>
      <c r="H9996" s="1" t="s">
        <v>3604</v>
      </c>
      <c r="I9996" s="1" t="s">
        <v>32932</v>
      </c>
      <c r="J9996" s="1" t="s">
        <v>3615</v>
      </c>
      <c r="K9996" s="1" t="s">
        <v>32899</v>
      </c>
      <c r="L9996" s="1"/>
      <c r="M9996" s="1"/>
    </row>
    <row x14ac:dyDescent="0.25" r="9997" customHeight="1" ht="18.75">
      <c r="A9997" s="1" t="s">
        <v>3598</v>
      </c>
      <c r="B9997" s="1" t="s">
        <v>4600</v>
      </c>
      <c r="C9997" s="1" t="s">
        <v>3600</v>
      </c>
      <c r="D9997" s="1" t="s">
        <v>3601</v>
      </c>
      <c r="E9997" s="1" t="s">
        <v>3611</v>
      </c>
      <c r="F9997" s="1" t="s">
        <v>32933</v>
      </c>
      <c r="G9997" s="1" t="s">
        <v>32889</v>
      </c>
      <c r="H9997" s="1" t="s">
        <v>3604</v>
      </c>
      <c r="I9997" s="1" t="s">
        <v>32934</v>
      </c>
      <c r="J9997" s="1" t="s">
        <v>3615</v>
      </c>
      <c r="K9997" s="1" t="s">
        <v>32935</v>
      </c>
      <c r="L9997" s="1"/>
      <c r="M9997" s="1"/>
    </row>
    <row x14ac:dyDescent="0.25" r="9998" customHeight="1" ht="18.75">
      <c r="A9998" s="1" t="s">
        <v>7833</v>
      </c>
      <c r="B9998" s="1" t="s">
        <v>8095</v>
      </c>
      <c r="C9998" s="1" t="s">
        <v>4488</v>
      </c>
      <c r="D9998" s="1" t="s">
        <v>3601</v>
      </c>
      <c r="E9998" s="1" t="s">
        <v>8096</v>
      </c>
      <c r="F9998" s="1" t="s">
        <v>32936</v>
      </c>
      <c r="G9998" s="1" t="s">
        <v>8163</v>
      </c>
      <c r="H9998" s="1" t="s">
        <v>3604</v>
      </c>
      <c r="I9998" s="1" t="s">
        <v>32937</v>
      </c>
      <c r="J9998" s="1" t="s">
        <v>3615</v>
      </c>
      <c r="K9998" s="1" t="s">
        <v>32899</v>
      </c>
      <c r="L9998" s="1"/>
      <c r="M9998" s="1"/>
    </row>
    <row x14ac:dyDescent="0.25" r="9999" customHeight="1" ht="18.75">
      <c r="A9999" s="1" t="s">
        <v>3598</v>
      </c>
      <c r="B9999" s="1" t="s">
        <v>4600</v>
      </c>
      <c r="C9999" s="1" t="s">
        <v>3600</v>
      </c>
      <c r="D9999" s="1" t="s">
        <v>3601</v>
      </c>
      <c r="E9999" s="1" t="s">
        <v>3611</v>
      </c>
      <c r="F9999" s="1" t="s">
        <v>32938</v>
      </c>
      <c r="G9999" s="1" t="s">
        <v>32889</v>
      </c>
      <c r="H9999" s="1" t="s">
        <v>3604</v>
      </c>
      <c r="I9999" s="1" t="s">
        <v>32939</v>
      </c>
      <c r="J9999" s="1" t="s">
        <v>3615</v>
      </c>
      <c r="K9999" s="1" t="s">
        <v>32940</v>
      </c>
      <c r="L9999" s="1"/>
      <c r="M9999" s="1"/>
    </row>
    <row x14ac:dyDescent="0.25" r="10000" customHeight="1" ht="18.75">
      <c r="A10000" s="1" t="s">
        <v>7833</v>
      </c>
      <c r="B10000" s="1" t="s">
        <v>14416</v>
      </c>
      <c r="C10000" s="1" t="s">
        <v>4488</v>
      </c>
      <c r="D10000" s="1" t="s">
        <v>3601</v>
      </c>
      <c r="E10000" s="1" t="s">
        <v>3664</v>
      </c>
      <c r="F10000" s="1" t="s">
        <v>32941</v>
      </c>
      <c r="G10000" s="1" t="s">
        <v>14417</v>
      </c>
      <c r="H10000" s="1" t="s">
        <v>3604</v>
      </c>
      <c r="I10000" s="1" t="s">
        <v>32942</v>
      </c>
      <c r="J10000" s="1" t="s">
        <v>3615</v>
      </c>
      <c r="K10000" s="1" t="s">
        <v>32899</v>
      </c>
      <c r="L10000" s="1"/>
      <c r="M10000" s="1"/>
    </row>
    <row x14ac:dyDescent="0.25" r="10001" customHeight="1" ht="18.75">
      <c r="A10001" s="1" t="s">
        <v>3598</v>
      </c>
      <c r="B10001" s="1" t="s">
        <v>4600</v>
      </c>
      <c r="C10001" s="1" t="s">
        <v>3600</v>
      </c>
      <c r="D10001" s="1" t="s">
        <v>3601</v>
      </c>
      <c r="E10001" s="1" t="s">
        <v>3611</v>
      </c>
      <c r="F10001" s="1" t="s">
        <v>32943</v>
      </c>
      <c r="G10001" s="1" t="s">
        <v>32889</v>
      </c>
      <c r="H10001" s="1" t="s">
        <v>3604</v>
      </c>
      <c r="I10001" s="1" t="s">
        <v>32944</v>
      </c>
      <c r="J10001" s="1" t="s">
        <v>3615</v>
      </c>
      <c r="K10001" s="1" t="s">
        <v>32945</v>
      </c>
      <c r="L10001" s="1"/>
      <c r="M10001" s="1"/>
    </row>
    <row x14ac:dyDescent="0.25" r="10002" customHeight="1" ht="18.75">
      <c r="A10002" s="1" t="s">
        <v>7833</v>
      </c>
      <c r="B10002" s="1" t="s">
        <v>18543</v>
      </c>
      <c r="C10002" s="1" t="s">
        <v>4488</v>
      </c>
      <c r="D10002" s="1" t="s">
        <v>3601</v>
      </c>
      <c r="E10002" s="1" t="s">
        <v>3664</v>
      </c>
      <c r="F10002" s="1" t="s">
        <v>32946</v>
      </c>
      <c r="G10002" s="1" t="s">
        <v>14417</v>
      </c>
      <c r="H10002" s="1" t="s">
        <v>3604</v>
      </c>
      <c r="I10002" s="1" t="s">
        <v>32947</v>
      </c>
      <c r="J10002" s="1" t="s">
        <v>3615</v>
      </c>
      <c r="K10002" s="1" t="s">
        <v>32899</v>
      </c>
      <c r="L10002" s="1"/>
      <c r="M10002" s="1"/>
    </row>
    <row x14ac:dyDescent="0.25" r="10003" customHeight="1" ht="18.75">
      <c r="A10003" s="1" t="s">
        <v>3598</v>
      </c>
      <c r="B10003" s="1" t="s">
        <v>4600</v>
      </c>
      <c r="C10003" s="1" t="s">
        <v>3600</v>
      </c>
      <c r="D10003" s="1" t="s">
        <v>3601</v>
      </c>
      <c r="E10003" s="1" t="s">
        <v>3611</v>
      </c>
      <c r="F10003" s="1" t="s">
        <v>32948</v>
      </c>
      <c r="G10003" s="1" t="s">
        <v>32889</v>
      </c>
      <c r="H10003" s="1" t="s">
        <v>3604</v>
      </c>
      <c r="I10003" s="1" t="s">
        <v>32949</v>
      </c>
      <c r="J10003" s="1" t="s">
        <v>3615</v>
      </c>
      <c r="K10003" s="1" t="s">
        <v>32950</v>
      </c>
      <c r="L10003" s="1"/>
      <c r="M10003" s="1"/>
    </row>
    <row x14ac:dyDescent="0.25" r="10004" customHeight="1" ht="18.75">
      <c r="A10004" s="1" t="s">
        <v>7833</v>
      </c>
      <c r="B10004" s="1" t="s">
        <v>8828</v>
      </c>
      <c r="C10004" s="1" t="s">
        <v>4488</v>
      </c>
      <c r="D10004" s="1" t="s">
        <v>3601</v>
      </c>
      <c r="E10004" s="1" t="s">
        <v>8096</v>
      </c>
      <c r="F10004" s="1" t="s">
        <v>32951</v>
      </c>
      <c r="G10004" s="1" t="s">
        <v>8830</v>
      </c>
      <c r="H10004" s="1" t="s">
        <v>3604</v>
      </c>
      <c r="I10004" s="1" t="s">
        <v>32952</v>
      </c>
      <c r="J10004" s="1" t="s">
        <v>3615</v>
      </c>
      <c r="K10004" s="1" t="s">
        <v>32899</v>
      </c>
      <c r="L10004" s="1"/>
      <c r="M10004" s="1"/>
    </row>
    <row x14ac:dyDescent="0.25" r="10005" customHeight="1" ht="18.75">
      <c r="A10005" s="1" t="s">
        <v>7833</v>
      </c>
      <c r="B10005" s="1" t="s">
        <v>32913</v>
      </c>
      <c r="C10005" s="1" t="s">
        <v>4488</v>
      </c>
      <c r="D10005" s="1" t="s">
        <v>3601</v>
      </c>
      <c r="E10005" s="1" t="s">
        <v>8096</v>
      </c>
      <c r="F10005" s="1" t="s">
        <v>32953</v>
      </c>
      <c r="G10005" s="1" t="s">
        <v>8830</v>
      </c>
      <c r="H10005" s="1" t="s">
        <v>3604</v>
      </c>
      <c r="I10005" s="1" t="s">
        <v>32954</v>
      </c>
      <c r="J10005" s="1" t="s">
        <v>3615</v>
      </c>
      <c r="K10005" s="1" t="s">
        <v>32899</v>
      </c>
      <c r="L10005" s="1"/>
      <c r="M10005" s="1"/>
    </row>
    <row x14ac:dyDescent="0.25" r="10006" customHeight="1" ht="18.75">
      <c r="A10006" s="1" t="s">
        <v>3598</v>
      </c>
      <c r="B10006" s="1" t="s">
        <v>4781</v>
      </c>
      <c r="C10006" s="1" t="s">
        <v>3600</v>
      </c>
      <c r="D10006" s="1" t="s">
        <v>3695</v>
      </c>
      <c r="E10006" s="1" t="s">
        <v>3611</v>
      </c>
      <c r="F10006" s="1" t="s">
        <v>32955</v>
      </c>
      <c r="G10006" s="1" t="s">
        <v>20991</v>
      </c>
      <c r="H10006" s="1" t="s">
        <v>3604</v>
      </c>
      <c r="I10006" s="1" t="s">
        <v>32956</v>
      </c>
      <c r="J10006" s="1" t="s">
        <v>3615</v>
      </c>
      <c r="K10006" s="1" t="s">
        <v>32957</v>
      </c>
      <c r="L10006" s="1"/>
      <c r="M10006" s="1"/>
    </row>
    <row x14ac:dyDescent="0.25" r="10007" customHeight="1" ht="18.75">
      <c r="A10007" s="1" t="s">
        <v>3598</v>
      </c>
      <c r="B10007" s="1" t="s">
        <v>4781</v>
      </c>
      <c r="C10007" s="1" t="s">
        <v>3600</v>
      </c>
      <c r="D10007" s="1" t="s">
        <v>3695</v>
      </c>
      <c r="E10007" s="1" t="s">
        <v>3611</v>
      </c>
      <c r="F10007" s="1" t="s">
        <v>32958</v>
      </c>
      <c r="G10007" s="1" t="s">
        <v>20998</v>
      </c>
      <c r="H10007" s="1" t="s">
        <v>3604</v>
      </c>
      <c r="I10007" s="1" t="s">
        <v>32959</v>
      </c>
      <c r="J10007" s="1" t="s">
        <v>3615</v>
      </c>
      <c r="K10007" s="1" t="s">
        <v>32960</v>
      </c>
      <c r="L10007" s="1"/>
      <c r="M10007" s="1"/>
    </row>
    <row x14ac:dyDescent="0.25" r="10008" customHeight="1" ht="18.75">
      <c r="A10008" s="1" t="s">
        <v>7833</v>
      </c>
      <c r="B10008" s="1" t="s">
        <v>32961</v>
      </c>
      <c r="C10008" s="1" t="s">
        <v>4488</v>
      </c>
      <c r="D10008" s="1" t="s">
        <v>3601</v>
      </c>
      <c r="E10008" s="1" t="s">
        <v>3664</v>
      </c>
      <c r="F10008" s="1" t="s">
        <v>32962</v>
      </c>
      <c r="G10008" s="1" t="s">
        <v>32541</v>
      </c>
      <c r="H10008" s="1" t="s">
        <v>3604</v>
      </c>
      <c r="I10008" s="1" t="s">
        <v>32963</v>
      </c>
      <c r="J10008" s="1" t="s">
        <v>3615</v>
      </c>
      <c r="K10008" s="1" t="s">
        <v>32290</v>
      </c>
      <c r="L10008" s="1"/>
      <c r="M10008" s="1"/>
    </row>
    <row x14ac:dyDescent="0.25" r="10009" customHeight="1" ht="18.75">
      <c r="A10009" s="1" t="s">
        <v>3598</v>
      </c>
      <c r="B10009" s="1" t="s">
        <v>9582</v>
      </c>
      <c r="C10009" s="1" t="s">
        <v>3600</v>
      </c>
      <c r="D10009" s="1" t="s">
        <v>3601</v>
      </c>
      <c r="E10009" s="1" t="s">
        <v>3664</v>
      </c>
      <c r="F10009" s="1" t="s">
        <v>32964</v>
      </c>
      <c r="G10009" s="1" t="s">
        <v>18071</v>
      </c>
      <c r="H10009" s="1" t="s">
        <v>3604</v>
      </c>
      <c r="I10009" s="1" t="s">
        <v>32965</v>
      </c>
      <c r="J10009" s="1" t="s">
        <v>3606</v>
      </c>
      <c r="K10009" s="1" t="s">
        <v>32966</v>
      </c>
      <c r="L10009" s="1"/>
      <c r="M10009" s="1"/>
    </row>
    <row x14ac:dyDescent="0.25" r="10010" customHeight="1" ht="18.75">
      <c r="A10010" s="1" t="s">
        <v>3598</v>
      </c>
      <c r="B10010" s="1" t="s">
        <v>18410</v>
      </c>
      <c r="C10010" s="1" t="s">
        <v>3600</v>
      </c>
      <c r="D10010" s="1" t="s">
        <v>3601</v>
      </c>
      <c r="E10010" s="1" t="s">
        <v>3664</v>
      </c>
      <c r="F10010" s="1" t="s">
        <v>32967</v>
      </c>
      <c r="G10010" s="1" t="s">
        <v>19608</v>
      </c>
      <c r="H10010" s="1" t="s">
        <v>3604</v>
      </c>
      <c r="I10010" s="1" t="s">
        <v>32968</v>
      </c>
      <c r="J10010" s="1" t="s">
        <v>3615</v>
      </c>
      <c r="K10010" s="1" t="s">
        <v>32969</v>
      </c>
      <c r="L10010" s="1"/>
      <c r="M10010" s="1"/>
    </row>
    <row x14ac:dyDescent="0.25" r="10011" customHeight="1" ht="18.75">
      <c r="A10011" s="1" t="s">
        <v>3598</v>
      </c>
      <c r="B10011" s="1" t="s">
        <v>6732</v>
      </c>
      <c r="C10011" s="1" t="s">
        <v>3600</v>
      </c>
      <c r="D10011" s="1" t="s">
        <v>3601</v>
      </c>
      <c r="E10011" s="1" t="s">
        <v>3664</v>
      </c>
      <c r="F10011" s="1" t="s">
        <v>32970</v>
      </c>
      <c r="G10011" s="1" t="s">
        <v>9284</v>
      </c>
      <c r="H10011" s="1" t="s">
        <v>3604</v>
      </c>
      <c r="I10011" s="1" t="s">
        <v>32971</v>
      </c>
      <c r="J10011" s="1" t="s">
        <v>3615</v>
      </c>
      <c r="K10011" s="1" t="s">
        <v>32972</v>
      </c>
      <c r="L10011" s="1"/>
      <c r="M10011" s="1"/>
    </row>
    <row x14ac:dyDescent="0.25" r="10012" customHeight="1" ht="18.75">
      <c r="A10012" s="1" t="s">
        <v>3598</v>
      </c>
      <c r="B10012" s="1" t="s">
        <v>8191</v>
      </c>
      <c r="C10012" s="1" t="s">
        <v>3600</v>
      </c>
      <c r="D10012" s="1" t="s">
        <v>3601</v>
      </c>
      <c r="E10012" s="1" t="s">
        <v>3664</v>
      </c>
      <c r="F10012" s="1" t="s">
        <v>32973</v>
      </c>
      <c r="G10012" s="1" t="s">
        <v>16166</v>
      </c>
      <c r="H10012" s="1" t="s">
        <v>3604</v>
      </c>
      <c r="I10012" s="1" t="s">
        <v>32974</v>
      </c>
      <c r="J10012" s="1" t="s">
        <v>3615</v>
      </c>
      <c r="K10012" s="1" t="s">
        <v>32975</v>
      </c>
      <c r="L10012" s="1"/>
      <c r="M10012" s="1"/>
    </row>
    <row x14ac:dyDescent="0.25" r="10013" customHeight="1" ht="18.75">
      <c r="A10013" s="1" t="s">
        <v>3598</v>
      </c>
      <c r="B10013" s="1" t="s">
        <v>3778</v>
      </c>
      <c r="C10013" s="1" t="s">
        <v>3600</v>
      </c>
      <c r="D10013" s="1" t="s">
        <v>3601</v>
      </c>
      <c r="E10013" s="1" t="s">
        <v>3664</v>
      </c>
      <c r="F10013" s="1" t="s">
        <v>32976</v>
      </c>
      <c r="G10013" s="1" t="s">
        <v>9056</v>
      </c>
      <c r="H10013" s="1" t="s">
        <v>3604</v>
      </c>
      <c r="I10013" s="1" t="s">
        <v>32977</v>
      </c>
      <c r="J10013" s="1" t="s">
        <v>3615</v>
      </c>
      <c r="K10013" s="1" t="s">
        <v>32978</v>
      </c>
      <c r="L10013" s="1"/>
      <c r="M10013" s="1"/>
    </row>
    <row x14ac:dyDescent="0.25" r="10014" customHeight="1" ht="18.75">
      <c r="A10014" s="1" t="s">
        <v>3598</v>
      </c>
      <c r="B10014" s="1" t="s">
        <v>6811</v>
      </c>
      <c r="C10014" s="1" t="s">
        <v>3600</v>
      </c>
      <c r="D10014" s="1" t="s">
        <v>3601</v>
      </c>
      <c r="E10014" s="1" t="s">
        <v>3664</v>
      </c>
      <c r="F10014" s="1" t="s">
        <v>32979</v>
      </c>
      <c r="G10014" s="1" t="s">
        <v>18233</v>
      </c>
      <c r="H10014" s="1" t="s">
        <v>3604</v>
      </c>
      <c r="I10014" s="1" t="s">
        <v>32980</v>
      </c>
      <c r="J10014" s="1" t="s">
        <v>3615</v>
      </c>
      <c r="K10014" s="1" t="s">
        <v>32981</v>
      </c>
      <c r="L10014" s="1"/>
      <c r="M10014" s="1"/>
    </row>
    <row x14ac:dyDescent="0.25" r="10015" customHeight="1" ht="18.75">
      <c r="A10015" s="1" t="s">
        <v>3598</v>
      </c>
      <c r="B10015" s="1" t="s">
        <v>4600</v>
      </c>
      <c r="C10015" s="1" t="s">
        <v>3600</v>
      </c>
      <c r="D10015" s="1" t="s">
        <v>3601</v>
      </c>
      <c r="E10015" s="1" t="s">
        <v>3611</v>
      </c>
      <c r="F10015" s="1" t="s">
        <v>32982</v>
      </c>
      <c r="G10015" s="1" t="s">
        <v>32889</v>
      </c>
      <c r="H10015" s="1" t="s">
        <v>3604</v>
      </c>
      <c r="I10015" s="1" t="s">
        <v>32983</v>
      </c>
      <c r="J10015" s="1" t="s">
        <v>3615</v>
      </c>
      <c r="K10015" s="1" t="s">
        <v>32984</v>
      </c>
      <c r="L10015" s="1"/>
      <c r="M10015" s="1"/>
    </row>
    <row x14ac:dyDescent="0.25" r="10016" customHeight="1" ht="18.75">
      <c r="A10016" s="1" t="s">
        <v>3598</v>
      </c>
      <c r="B10016" s="1" t="s">
        <v>13864</v>
      </c>
      <c r="C10016" s="1" t="s">
        <v>3600</v>
      </c>
      <c r="D10016" s="1" t="s">
        <v>3601</v>
      </c>
      <c r="E10016" s="1" t="s">
        <v>3664</v>
      </c>
      <c r="F10016" s="1" t="s">
        <v>32985</v>
      </c>
      <c r="G10016" s="1" t="s">
        <v>26754</v>
      </c>
      <c r="H10016" s="1" t="s">
        <v>3604</v>
      </c>
      <c r="I10016" s="1" t="s">
        <v>32986</v>
      </c>
      <c r="J10016" s="1" t="s">
        <v>3615</v>
      </c>
      <c r="K10016" s="1" t="s">
        <v>32987</v>
      </c>
      <c r="L10016" s="1"/>
      <c r="M10016" s="1"/>
    </row>
    <row x14ac:dyDescent="0.25" r="10017" customHeight="1" ht="18.75">
      <c r="A10017" s="1" t="s">
        <v>3598</v>
      </c>
      <c r="B10017" s="1" t="s">
        <v>4600</v>
      </c>
      <c r="C10017" s="1" t="s">
        <v>3600</v>
      </c>
      <c r="D10017" s="1" t="s">
        <v>3601</v>
      </c>
      <c r="E10017" s="1" t="s">
        <v>3611</v>
      </c>
      <c r="F10017" s="1" t="s">
        <v>32988</v>
      </c>
      <c r="G10017" s="1" t="s">
        <v>32889</v>
      </c>
      <c r="H10017" s="1" t="s">
        <v>3604</v>
      </c>
      <c r="I10017" s="1" t="s">
        <v>32989</v>
      </c>
      <c r="J10017" s="1" t="s">
        <v>3615</v>
      </c>
      <c r="K10017" s="1" t="s">
        <v>32990</v>
      </c>
      <c r="L10017" s="1"/>
      <c r="M10017" s="1"/>
    </row>
    <row x14ac:dyDescent="0.25" r="10018" customHeight="1" ht="18.75">
      <c r="A10018" s="1" t="s">
        <v>3598</v>
      </c>
      <c r="B10018" s="1" t="s">
        <v>22973</v>
      </c>
      <c r="C10018" s="1" t="s">
        <v>3600</v>
      </c>
      <c r="D10018" s="1" t="s">
        <v>3601</v>
      </c>
      <c r="E10018" s="1" t="s">
        <v>3664</v>
      </c>
      <c r="F10018" s="1" t="s">
        <v>32991</v>
      </c>
      <c r="G10018" s="1" t="s">
        <v>22975</v>
      </c>
      <c r="H10018" s="1" t="s">
        <v>3604</v>
      </c>
      <c r="I10018" s="1" t="s">
        <v>32992</v>
      </c>
      <c r="J10018" s="1" t="s">
        <v>3615</v>
      </c>
      <c r="K10018" s="1" t="s">
        <v>32993</v>
      </c>
      <c r="L10018" s="1"/>
      <c r="M10018" s="1"/>
    </row>
    <row x14ac:dyDescent="0.25" r="10019" customHeight="1" ht="18.75">
      <c r="A10019" s="1" t="s">
        <v>3598</v>
      </c>
      <c r="B10019" s="1" t="s">
        <v>4600</v>
      </c>
      <c r="C10019" s="1" t="s">
        <v>3600</v>
      </c>
      <c r="D10019" s="1" t="s">
        <v>3601</v>
      </c>
      <c r="E10019" s="1" t="s">
        <v>3611</v>
      </c>
      <c r="F10019" s="1" t="s">
        <v>32994</v>
      </c>
      <c r="G10019" s="1" t="s">
        <v>32889</v>
      </c>
      <c r="H10019" s="1" t="s">
        <v>3604</v>
      </c>
      <c r="I10019" s="1" t="s">
        <v>32995</v>
      </c>
      <c r="J10019" s="1" t="s">
        <v>3615</v>
      </c>
      <c r="K10019" s="1" t="s">
        <v>32996</v>
      </c>
      <c r="L10019" s="1"/>
      <c r="M10019" s="1"/>
    </row>
    <row x14ac:dyDescent="0.25" r="10020" customHeight="1" ht="18.75">
      <c r="A10020" s="1" t="s">
        <v>3598</v>
      </c>
      <c r="B10020" s="1" t="s">
        <v>15780</v>
      </c>
      <c r="C10020" s="1" t="s">
        <v>3600</v>
      </c>
      <c r="D10020" s="1" t="s">
        <v>3601</v>
      </c>
      <c r="E10020" s="1" t="s">
        <v>3664</v>
      </c>
      <c r="F10020" s="1" t="s">
        <v>32997</v>
      </c>
      <c r="G10020" s="1" t="s">
        <v>23126</v>
      </c>
      <c r="H10020" s="1" t="s">
        <v>3604</v>
      </c>
      <c r="I10020" s="1" t="s">
        <v>32998</v>
      </c>
      <c r="J10020" s="1" t="s">
        <v>3615</v>
      </c>
      <c r="K10020" s="1" t="s">
        <v>32999</v>
      </c>
      <c r="L10020" s="1"/>
      <c r="M10020" s="1"/>
    </row>
    <row x14ac:dyDescent="0.25" r="10021" customHeight="1" ht="18.75">
      <c r="A10021" s="1" t="s">
        <v>3598</v>
      </c>
      <c r="B10021" s="1" t="s">
        <v>4600</v>
      </c>
      <c r="C10021" s="1" t="s">
        <v>3600</v>
      </c>
      <c r="D10021" s="1" t="s">
        <v>3601</v>
      </c>
      <c r="E10021" s="1" t="s">
        <v>3611</v>
      </c>
      <c r="F10021" s="1" t="s">
        <v>33000</v>
      </c>
      <c r="G10021" s="1" t="s">
        <v>32889</v>
      </c>
      <c r="H10021" s="1" t="s">
        <v>3604</v>
      </c>
      <c r="I10021" s="1" t="s">
        <v>33001</v>
      </c>
      <c r="J10021" s="1" t="s">
        <v>3615</v>
      </c>
      <c r="K10021" s="1" t="s">
        <v>33002</v>
      </c>
      <c r="L10021" s="1"/>
      <c r="M10021" s="1"/>
    </row>
    <row x14ac:dyDescent="0.25" r="10022" customHeight="1" ht="18.75">
      <c r="A10022" s="1" t="s">
        <v>3598</v>
      </c>
      <c r="B10022" s="1" t="s">
        <v>14021</v>
      </c>
      <c r="C10022" s="1" t="s">
        <v>3600</v>
      </c>
      <c r="D10022" s="1" t="s">
        <v>3601</v>
      </c>
      <c r="E10022" s="1" t="s">
        <v>3893</v>
      </c>
      <c r="F10022" s="1" t="s">
        <v>33003</v>
      </c>
      <c r="G10022" s="1" t="s">
        <v>23067</v>
      </c>
      <c r="H10022" s="1" t="s">
        <v>3604</v>
      </c>
      <c r="I10022" s="1" t="s">
        <v>33004</v>
      </c>
      <c r="J10022" s="1" t="s">
        <v>3615</v>
      </c>
      <c r="K10022" s="1" t="s">
        <v>33005</v>
      </c>
      <c r="L10022" s="1"/>
      <c r="M10022" s="1"/>
    </row>
    <row x14ac:dyDescent="0.25" r="10023" customHeight="1" ht="18.75">
      <c r="A10023" s="1" t="s">
        <v>3598</v>
      </c>
      <c r="B10023" s="1" t="s">
        <v>4600</v>
      </c>
      <c r="C10023" s="1" t="s">
        <v>3600</v>
      </c>
      <c r="D10023" s="1" t="s">
        <v>3601</v>
      </c>
      <c r="E10023" s="1" t="s">
        <v>3611</v>
      </c>
      <c r="F10023" s="1" t="s">
        <v>33006</v>
      </c>
      <c r="G10023" s="1" t="s">
        <v>32889</v>
      </c>
      <c r="H10023" s="1" t="s">
        <v>3604</v>
      </c>
      <c r="I10023" s="1" t="s">
        <v>33007</v>
      </c>
      <c r="J10023" s="1" t="s">
        <v>3615</v>
      </c>
      <c r="K10023" s="1" t="s">
        <v>33008</v>
      </c>
      <c r="L10023" s="1"/>
      <c r="M10023" s="1"/>
    </row>
    <row x14ac:dyDescent="0.25" r="10024" customHeight="1" ht="18.75">
      <c r="A10024" s="1" t="s">
        <v>3598</v>
      </c>
      <c r="B10024" s="1" t="s">
        <v>14021</v>
      </c>
      <c r="C10024" s="1" t="s">
        <v>3600</v>
      </c>
      <c r="D10024" s="1" t="s">
        <v>3601</v>
      </c>
      <c r="E10024" s="1" t="s">
        <v>3893</v>
      </c>
      <c r="F10024" s="1" t="s">
        <v>33009</v>
      </c>
      <c r="G10024" s="1" t="s">
        <v>33010</v>
      </c>
      <c r="H10024" s="1" t="s">
        <v>3604</v>
      </c>
      <c r="I10024" s="1" t="s">
        <v>33011</v>
      </c>
      <c r="J10024" s="1" t="s">
        <v>3615</v>
      </c>
      <c r="K10024" s="1" t="s">
        <v>33012</v>
      </c>
      <c r="L10024" s="1"/>
      <c r="M10024" s="1"/>
    </row>
    <row x14ac:dyDescent="0.25" r="10025" customHeight="1" ht="18.75">
      <c r="A10025" s="1" t="s">
        <v>3598</v>
      </c>
      <c r="B10025" s="1" t="s">
        <v>4600</v>
      </c>
      <c r="C10025" s="1" t="s">
        <v>3600</v>
      </c>
      <c r="D10025" s="1" t="s">
        <v>3601</v>
      </c>
      <c r="E10025" s="1" t="s">
        <v>3611</v>
      </c>
      <c r="F10025" s="1" t="s">
        <v>33013</v>
      </c>
      <c r="G10025" s="1" t="s">
        <v>32889</v>
      </c>
      <c r="H10025" s="1" t="s">
        <v>3604</v>
      </c>
      <c r="I10025" s="1" t="s">
        <v>33014</v>
      </c>
      <c r="J10025" s="1" t="s">
        <v>3615</v>
      </c>
      <c r="K10025" s="1" t="s">
        <v>33015</v>
      </c>
      <c r="L10025" s="1"/>
      <c r="M10025" s="1"/>
    </row>
    <row x14ac:dyDescent="0.25" r="10026" customHeight="1" ht="18.75">
      <c r="A10026" s="1" t="s">
        <v>3598</v>
      </c>
      <c r="B10026" s="1" t="s">
        <v>9012</v>
      </c>
      <c r="C10026" s="1" t="s">
        <v>3600</v>
      </c>
      <c r="D10026" s="1" t="s">
        <v>3601</v>
      </c>
      <c r="E10026" s="1" t="s">
        <v>3893</v>
      </c>
      <c r="F10026" s="1" t="s">
        <v>33016</v>
      </c>
      <c r="G10026" s="1" t="s">
        <v>16649</v>
      </c>
      <c r="H10026" s="1" t="s">
        <v>3604</v>
      </c>
      <c r="I10026" s="1" t="s">
        <v>33017</v>
      </c>
      <c r="J10026" s="1" t="s">
        <v>3615</v>
      </c>
      <c r="K10026" s="1" t="s">
        <v>33018</v>
      </c>
      <c r="L10026" s="1"/>
      <c r="M10026" s="1"/>
    </row>
    <row x14ac:dyDescent="0.25" r="10027" customHeight="1" ht="18.75">
      <c r="A10027" s="1" t="s">
        <v>3598</v>
      </c>
      <c r="B10027" s="1" t="s">
        <v>4600</v>
      </c>
      <c r="C10027" s="1" t="s">
        <v>3600</v>
      </c>
      <c r="D10027" s="1" t="s">
        <v>3601</v>
      </c>
      <c r="E10027" s="1" t="s">
        <v>3611</v>
      </c>
      <c r="F10027" s="1" t="s">
        <v>33019</v>
      </c>
      <c r="G10027" s="1" t="s">
        <v>32889</v>
      </c>
      <c r="H10027" s="1" t="s">
        <v>3604</v>
      </c>
      <c r="I10027" s="1" t="s">
        <v>33020</v>
      </c>
      <c r="J10027" s="1" t="s">
        <v>3615</v>
      </c>
      <c r="K10027" s="1" t="s">
        <v>33021</v>
      </c>
      <c r="L10027" s="1"/>
      <c r="M10027" s="1"/>
    </row>
    <row x14ac:dyDescent="0.25" r="10028" customHeight="1" ht="18.75">
      <c r="A10028" s="1" t="s">
        <v>3598</v>
      </c>
      <c r="B10028" s="1" t="s">
        <v>9012</v>
      </c>
      <c r="C10028" s="1" t="s">
        <v>3600</v>
      </c>
      <c r="D10028" s="1" t="s">
        <v>3601</v>
      </c>
      <c r="E10028" s="1" t="s">
        <v>3893</v>
      </c>
      <c r="F10028" s="1" t="s">
        <v>33022</v>
      </c>
      <c r="G10028" s="1" t="s">
        <v>9014</v>
      </c>
      <c r="H10028" s="1" t="s">
        <v>3604</v>
      </c>
      <c r="I10028" s="1" t="s">
        <v>33023</v>
      </c>
      <c r="J10028" s="1" t="s">
        <v>3615</v>
      </c>
      <c r="K10028" s="1" t="s">
        <v>33024</v>
      </c>
      <c r="L10028" s="1"/>
      <c r="M10028" s="1"/>
    </row>
    <row x14ac:dyDescent="0.25" r="10029" customHeight="1" ht="18.75">
      <c r="A10029" s="1" t="s">
        <v>3598</v>
      </c>
      <c r="B10029" s="1" t="s">
        <v>4600</v>
      </c>
      <c r="C10029" s="1" t="s">
        <v>3600</v>
      </c>
      <c r="D10029" s="1" t="s">
        <v>3601</v>
      </c>
      <c r="E10029" s="1" t="s">
        <v>3611</v>
      </c>
      <c r="F10029" s="1" t="s">
        <v>33025</v>
      </c>
      <c r="G10029" s="1" t="s">
        <v>32889</v>
      </c>
      <c r="H10029" s="1" t="s">
        <v>3604</v>
      </c>
      <c r="I10029" s="1" t="s">
        <v>33026</v>
      </c>
      <c r="J10029" s="1" t="s">
        <v>3615</v>
      </c>
      <c r="K10029" s="1" t="s">
        <v>33027</v>
      </c>
      <c r="L10029" s="1"/>
      <c r="M10029" s="1"/>
    </row>
    <row x14ac:dyDescent="0.25" r="10030" customHeight="1" ht="18.75">
      <c r="A10030" s="1" t="s">
        <v>3598</v>
      </c>
      <c r="B10030" s="1" t="s">
        <v>13984</v>
      </c>
      <c r="C10030" s="1" t="s">
        <v>3600</v>
      </c>
      <c r="D10030" s="1" t="s">
        <v>3601</v>
      </c>
      <c r="E10030" s="1" t="s">
        <v>3893</v>
      </c>
      <c r="F10030" s="1" t="s">
        <v>33028</v>
      </c>
      <c r="G10030" s="1" t="s">
        <v>18115</v>
      </c>
      <c r="H10030" s="1" t="s">
        <v>3604</v>
      </c>
      <c r="I10030" s="1" t="s">
        <v>33029</v>
      </c>
      <c r="J10030" s="1" t="s">
        <v>3615</v>
      </c>
      <c r="K10030" s="1" t="s">
        <v>33030</v>
      </c>
      <c r="L10030" s="1"/>
      <c r="M10030" s="1"/>
    </row>
    <row x14ac:dyDescent="0.25" r="10031" customHeight="1" ht="18.75">
      <c r="A10031" s="1" t="s">
        <v>3598</v>
      </c>
      <c r="B10031" s="1" t="s">
        <v>13984</v>
      </c>
      <c r="C10031" s="1" t="s">
        <v>3600</v>
      </c>
      <c r="D10031" s="1" t="s">
        <v>3601</v>
      </c>
      <c r="E10031" s="1" t="s">
        <v>3893</v>
      </c>
      <c r="F10031" s="1" t="s">
        <v>33031</v>
      </c>
      <c r="G10031" s="1" t="s">
        <v>13986</v>
      </c>
      <c r="H10031" s="1" t="s">
        <v>3604</v>
      </c>
      <c r="I10031" s="1" t="s">
        <v>33032</v>
      </c>
      <c r="J10031" s="1" t="s">
        <v>3615</v>
      </c>
      <c r="K10031" s="1" t="s">
        <v>33033</v>
      </c>
      <c r="L10031" s="1"/>
      <c r="M10031" s="1"/>
    </row>
    <row x14ac:dyDescent="0.25" r="10032" customHeight="1" ht="18.75">
      <c r="A10032" s="1" t="s">
        <v>3598</v>
      </c>
      <c r="B10032" s="1" t="s">
        <v>4600</v>
      </c>
      <c r="C10032" s="1" t="s">
        <v>3600</v>
      </c>
      <c r="D10032" s="1" t="s">
        <v>3601</v>
      </c>
      <c r="E10032" s="1" t="s">
        <v>3611</v>
      </c>
      <c r="F10032" s="1" t="s">
        <v>33034</v>
      </c>
      <c r="G10032" s="1" t="s">
        <v>32889</v>
      </c>
      <c r="H10032" s="1" t="s">
        <v>3604</v>
      </c>
      <c r="I10032" s="1" t="s">
        <v>33035</v>
      </c>
      <c r="J10032" s="1" t="s">
        <v>3615</v>
      </c>
      <c r="K10032" s="1" t="s">
        <v>33036</v>
      </c>
      <c r="L10032" s="1"/>
      <c r="M10032" s="1"/>
    </row>
    <row x14ac:dyDescent="0.25" r="10033" customHeight="1" ht="18.75">
      <c r="A10033" s="1" t="s">
        <v>3598</v>
      </c>
      <c r="B10033" s="1" t="s">
        <v>9020</v>
      </c>
      <c r="C10033" s="1" t="s">
        <v>3600</v>
      </c>
      <c r="D10033" s="1" t="s">
        <v>3601</v>
      </c>
      <c r="E10033" s="1" t="s">
        <v>3893</v>
      </c>
      <c r="F10033" s="1" t="s">
        <v>33037</v>
      </c>
      <c r="G10033" s="1" t="s">
        <v>13975</v>
      </c>
      <c r="H10033" s="1" t="s">
        <v>3604</v>
      </c>
      <c r="I10033" s="1" t="s">
        <v>33038</v>
      </c>
      <c r="J10033" s="1" t="s">
        <v>3615</v>
      </c>
      <c r="K10033" s="1" t="s">
        <v>33039</v>
      </c>
      <c r="L10033" s="1"/>
      <c r="M10033" s="1"/>
    </row>
    <row x14ac:dyDescent="0.25" r="10034" customHeight="1" ht="18.75">
      <c r="A10034" s="1" t="s">
        <v>3598</v>
      </c>
      <c r="B10034" s="1" t="s">
        <v>4600</v>
      </c>
      <c r="C10034" s="1" t="s">
        <v>3600</v>
      </c>
      <c r="D10034" s="1" t="s">
        <v>3601</v>
      </c>
      <c r="E10034" s="1" t="s">
        <v>3611</v>
      </c>
      <c r="F10034" s="1" t="s">
        <v>33040</v>
      </c>
      <c r="G10034" s="1" t="s">
        <v>32889</v>
      </c>
      <c r="H10034" s="1" t="s">
        <v>3604</v>
      </c>
      <c r="I10034" s="1" t="s">
        <v>33041</v>
      </c>
      <c r="J10034" s="1" t="s">
        <v>3615</v>
      </c>
      <c r="K10034" s="1" t="s">
        <v>33042</v>
      </c>
      <c r="L10034" s="1"/>
      <c r="M10034" s="1"/>
    </row>
    <row x14ac:dyDescent="0.25" r="10035" customHeight="1" ht="18.75">
      <c r="A10035" s="1" t="s">
        <v>3598</v>
      </c>
      <c r="B10035" s="1" t="s">
        <v>9020</v>
      </c>
      <c r="C10035" s="1" t="s">
        <v>3600</v>
      </c>
      <c r="D10035" s="1" t="s">
        <v>3601</v>
      </c>
      <c r="E10035" s="1" t="s">
        <v>3664</v>
      </c>
      <c r="F10035" s="1" t="s">
        <v>33043</v>
      </c>
      <c r="G10035" s="1" t="s">
        <v>13812</v>
      </c>
      <c r="H10035" s="1" t="s">
        <v>3604</v>
      </c>
      <c r="I10035" s="1" t="s">
        <v>33044</v>
      </c>
      <c r="J10035" s="1" t="s">
        <v>3615</v>
      </c>
      <c r="K10035" s="1" t="s">
        <v>33045</v>
      </c>
      <c r="L10035" s="1"/>
      <c r="M10035" s="1"/>
    </row>
    <row x14ac:dyDescent="0.25" r="10036" customHeight="1" ht="18.75">
      <c r="A10036" s="1" t="s">
        <v>3598</v>
      </c>
      <c r="B10036" s="1" t="s">
        <v>9020</v>
      </c>
      <c r="C10036" s="1" t="s">
        <v>3600</v>
      </c>
      <c r="D10036" s="1" t="s">
        <v>3601</v>
      </c>
      <c r="E10036" s="1" t="s">
        <v>3893</v>
      </c>
      <c r="F10036" s="1" t="s">
        <v>33046</v>
      </c>
      <c r="G10036" s="1" t="s">
        <v>14002</v>
      </c>
      <c r="H10036" s="1" t="s">
        <v>3604</v>
      </c>
      <c r="I10036" s="1" t="s">
        <v>33047</v>
      </c>
      <c r="J10036" s="1" t="s">
        <v>3615</v>
      </c>
      <c r="K10036" s="1" t="s">
        <v>33048</v>
      </c>
      <c r="L10036" s="1"/>
      <c r="M10036" s="1"/>
    </row>
    <row x14ac:dyDescent="0.25" r="10037" customHeight="1" ht="18.75">
      <c r="A10037" s="1" t="s">
        <v>3598</v>
      </c>
      <c r="B10037" s="1" t="s">
        <v>9020</v>
      </c>
      <c r="C10037" s="1" t="s">
        <v>3600</v>
      </c>
      <c r="D10037" s="1" t="s">
        <v>3601</v>
      </c>
      <c r="E10037" s="1" t="s">
        <v>3893</v>
      </c>
      <c r="F10037" s="1" t="s">
        <v>33049</v>
      </c>
      <c r="G10037" s="1" t="s">
        <v>13944</v>
      </c>
      <c r="H10037" s="1" t="s">
        <v>3604</v>
      </c>
      <c r="I10037" s="1" t="s">
        <v>33050</v>
      </c>
      <c r="J10037" s="1" t="s">
        <v>3615</v>
      </c>
      <c r="K10037" s="1" t="s">
        <v>33051</v>
      </c>
      <c r="L10037" s="1"/>
      <c r="M10037" s="1"/>
    </row>
    <row x14ac:dyDescent="0.25" r="10038" customHeight="1" ht="18.75">
      <c r="A10038" s="1" t="s">
        <v>3598</v>
      </c>
      <c r="B10038" s="1" t="s">
        <v>14123</v>
      </c>
      <c r="C10038" s="1" t="s">
        <v>3600</v>
      </c>
      <c r="D10038" s="1" t="s">
        <v>3601</v>
      </c>
      <c r="E10038" s="1" t="s">
        <v>3893</v>
      </c>
      <c r="F10038" s="1" t="s">
        <v>33052</v>
      </c>
      <c r="G10038" s="1" t="s">
        <v>14125</v>
      </c>
      <c r="H10038" s="1" t="s">
        <v>3604</v>
      </c>
      <c r="I10038" s="1" t="s">
        <v>33053</v>
      </c>
      <c r="J10038" s="1" t="s">
        <v>3615</v>
      </c>
      <c r="K10038" s="1" t="s">
        <v>33054</v>
      </c>
      <c r="L10038" s="1"/>
      <c r="M10038" s="1"/>
    </row>
    <row x14ac:dyDescent="0.25" r="10039" customHeight="1" ht="18.75">
      <c r="A10039" s="1" t="s">
        <v>3598</v>
      </c>
      <c r="B10039" s="1" t="s">
        <v>4689</v>
      </c>
      <c r="C10039" s="1" t="s">
        <v>3600</v>
      </c>
      <c r="D10039" s="1" t="s">
        <v>3601</v>
      </c>
      <c r="E10039" s="1" t="s">
        <v>3893</v>
      </c>
      <c r="F10039" s="1" t="s">
        <v>33055</v>
      </c>
      <c r="G10039" s="1" t="s">
        <v>7853</v>
      </c>
      <c r="H10039" s="1" t="s">
        <v>3604</v>
      </c>
      <c r="I10039" s="1" t="s">
        <v>33056</v>
      </c>
      <c r="J10039" s="1" t="s">
        <v>3615</v>
      </c>
      <c r="K10039" s="1" t="s">
        <v>33057</v>
      </c>
      <c r="L10039" s="1"/>
      <c r="M10039" s="1"/>
    </row>
    <row x14ac:dyDescent="0.25" r="10040" customHeight="1" ht="18.75">
      <c r="A10040" s="1" t="s">
        <v>3598</v>
      </c>
      <c r="B10040" s="1" t="s">
        <v>13758</v>
      </c>
      <c r="C10040" s="1" t="s">
        <v>3600</v>
      </c>
      <c r="D10040" s="1" t="s">
        <v>3601</v>
      </c>
      <c r="E10040" s="1" t="s">
        <v>3893</v>
      </c>
      <c r="F10040" s="1" t="s">
        <v>33058</v>
      </c>
      <c r="G10040" s="1" t="s">
        <v>15822</v>
      </c>
      <c r="H10040" s="1" t="s">
        <v>3604</v>
      </c>
      <c r="I10040" s="1" t="s">
        <v>33059</v>
      </c>
      <c r="J10040" s="1" t="s">
        <v>3615</v>
      </c>
      <c r="K10040" s="1" t="s">
        <v>33060</v>
      </c>
      <c r="L10040" s="1"/>
      <c r="M10040" s="1"/>
    </row>
    <row x14ac:dyDescent="0.25" r="10041" customHeight="1" ht="18.75">
      <c r="A10041" s="1" t="s">
        <v>3598</v>
      </c>
      <c r="B10041" s="1" t="s">
        <v>4689</v>
      </c>
      <c r="C10041" s="1" t="s">
        <v>3600</v>
      </c>
      <c r="D10041" s="1" t="s">
        <v>3601</v>
      </c>
      <c r="E10041" s="1" t="s">
        <v>3893</v>
      </c>
      <c r="F10041" s="1" t="s">
        <v>33061</v>
      </c>
      <c r="G10041" s="1" t="s">
        <v>7853</v>
      </c>
      <c r="H10041" s="1" t="s">
        <v>3604</v>
      </c>
      <c r="I10041" s="1" t="s">
        <v>33062</v>
      </c>
      <c r="J10041" s="1" t="s">
        <v>3615</v>
      </c>
      <c r="K10041" s="1" t="s">
        <v>33063</v>
      </c>
      <c r="L10041" s="1"/>
      <c r="M10041" s="1"/>
    </row>
    <row x14ac:dyDescent="0.25" r="10042" customHeight="1" ht="18.75">
      <c r="A10042" s="1" t="s">
        <v>3598</v>
      </c>
      <c r="B10042" s="1" t="s">
        <v>4689</v>
      </c>
      <c r="C10042" s="1" t="s">
        <v>3600</v>
      </c>
      <c r="D10042" s="1" t="s">
        <v>3601</v>
      </c>
      <c r="E10042" s="1" t="s">
        <v>3893</v>
      </c>
      <c r="F10042" s="1" t="s">
        <v>33064</v>
      </c>
      <c r="G10042" s="1" t="s">
        <v>7853</v>
      </c>
      <c r="H10042" s="1" t="s">
        <v>3604</v>
      </c>
      <c r="I10042" s="1" t="s">
        <v>33065</v>
      </c>
      <c r="J10042" s="1" t="s">
        <v>3615</v>
      </c>
      <c r="K10042" s="1" t="s">
        <v>33066</v>
      </c>
      <c r="L10042" s="1"/>
      <c r="M10042" s="1"/>
    </row>
    <row x14ac:dyDescent="0.25" r="10043" customHeight="1" ht="18.75">
      <c r="A10043" s="1" t="s">
        <v>3598</v>
      </c>
      <c r="B10043" s="1" t="s">
        <v>14104</v>
      </c>
      <c r="C10043" s="1" t="s">
        <v>3600</v>
      </c>
      <c r="D10043" s="1" t="s">
        <v>3601</v>
      </c>
      <c r="E10043" s="1" t="s">
        <v>3893</v>
      </c>
      <c r="F10043" s="1" t="s">
        <v>33067</v>
      </c>
      <c r="G10043" s="1" t="s">
        <v>14130</v>
      </c>
      <c r="H10043" s="1" t="s">
        <v>3604</v>
      </c>
      <c r="I10043" s="1" t="s">
        <v>33068</v>
      </c>
      <c r="J10043" s="1" t="s">
        <v>3615</v>
      </c>
      <c r="K10043" s="1" t="s">
        <v>33069</v>
      </c>
      <c r="L10043" s="1"/>
      <c r="M10043" s="1"/>
    </row>
    <row x14ac:dyDescent="0.25" r="10044" customHeight="1" ht="18.75">
      <c r="A10044" s="1" t="s">
        <v>3598</v>
      </c>
      <c r="B10044" s="1" t="s">
        <v>5252</v>
      </c>
      <c r="C10044" s="1" t="s">
        <v>3600</v>
      </c>
      <c r="D10044" s="1" t="s">
        <v>8365</v>
      </c>
      <c r="E10044" s="1" t="s">
        <v>3893</v>
      </c>
      <c r="F10044" s="1" t="s">
        <v>33070</v>
      </c>
      <c r="G10044" s="1" t="s">
        <v>18400</v>
      </c>
      <c r="H10044" s="1" t="s">
        <v>3604</v>
      </c>
      <c r="I10044" s="1" t="s">
        <v>33071</v>
      </c>
      <c r="J10044" s="1" t="s">
        <v>3615</v>
      </c>
      <c r="K10044" s="1" t="s">
        <v>33072</v>
      </c>
      <c r="L10044" s="1"/>
      <c r="M10044" s="1"/>
    </row>
    <row x14ac:dyDescent="0.25" r="10045" customHeight="1" ht="18.75">
      <c r="A10045" s="1" t="s">
        <v>3598</v>
      </c>
      <c r="B10045" s="1" t="s">
        <v>5252</v>
      </c>
      <c r="C10045" s="1" t="s">
        <v>3600</v>
      </c>
      <c r="D10045" s="1" t="s">
        <v>8365</v>
      </c>
      <c r="E10045" s="1" t="s">
        <v>3893</v>
      </c>
      <c r="F10045" s="1" t="s">
        <v>33073</v>
      </c>
      <c r="G10045" s="1" t="s">
        <v>18400</v>
      </c>
      <c r="H10045" s="1" t="s">
        <v>3604</v>
      </c>
      <c r="I10045" s="1" t="s">
        <v>33074</v>
      </c>
      <c r="J10045" s="1" t="s">
        <v>3615</v>
      </c>
      <c r="K10045" s="1" t="s">
        <v>33075</v>
      </c>
      <c r="L10045" s="1"/>
      <c r="M10045" s="1"/>
    </row>
    <row x14ac:dyDescent="0.25" r="10046" customHeight="1" ht="18.75">
      <c r="A10046" s="1" t="s">
        <v>3598</v>
      </c>
      <c r="B10046" s="1" t="s">
        <v>8572</v>
      </c>
      <c r="C10046" s="1" t="s">
        <v>3600</v>
      </c>
      <c r="D10046" s="1" t="s">
        <v>8365</v>
      </c>
      <c r="E10046" s="1" t="s">
        <v>3893</v>
      </c>
      <c r="F10046" s="1" t="s">
        <v>33076</v>
      </c>
      <c r="G10046" s="1" t="s">
        <v>20563</v>
      </c>
      <c r="H10046" s="1" t="s">
        <v>3604</v>
      </c>
      <c r="I10046" s="1" t="s">
        <v>33077</v>
      </c>
      <c r="J10046" s="1" t="s">
        <v>3615</v>
      </c>
      <c r="K10046" s="1" t="s">
        <v>33078</v>
      </c>
      <c r="L10046" s="1"/>
      <c r="M10046" s="1"/>
    </row>
    <row x14ac:dyDescent="0.25" r="10047" customHeight="1" ht="18.75">
      <c r="A10047" s="1" t="s">
        <v>3598</v>
      </c>
      <c r="B10047" s="1" t="s">
        <v>8572</v>
      </c>
      <c r="C10047" s="1" t="s">
        <v>3600</v>
      </c>
      <c r="D10047" s="1" t="s">
        <v>8365</v>
      </c>
      <c r="E10047" s="1" t="s">
        <v>3893</v>
      </c>
      <c r="F10047" s="1" t="s">
        <v>33079</v>
      </c>
      <c r="G10047" s="1" t="s">
        <v>20563</v>
      </c>
      <c r="H10047" s="1" t="s">
        <v>3604</v>
      </c>
      <c r="I10047" s="1" t="s">
        <v>33080</v>
      </c>
      <c r="J10047" s="1" t="s">
        <v>3615</v>
      </c>
      <c r="K10047" s="1" t="s">
        <v>33081</v>
      </c>
      <c r="L10047" s="1"/>
      <c r="M10047" s="1"/>
    </row>
    <row x14ac:dyDescent="0.25" r="10048" customHeight="1" ht="18.75">
      <c r="A10048" s="1" t="s">
        <v>3598</v>
      </c>
      <c r="B10048" s="1" t="s">
        <v>8572</v>
      </c>
      <c r="C10048" s="1" t="s">
        <v>3600</v>
      </c>
      <c r="D10048" s="1" t="s">
        <v>8365</v>
      </c>
      <c r="E10048" s="1" t="s">
        <v>3893</v>
      </c>
      <c r="F10048" s="1" t="s">
        <v>33082</v>
      </c>
      <c r="G10048" s="1" t="s">
        <v>20563</v>
      </c>
      <c r="H10048" s="1" t="s">
        <v>3604</v>
      </c>
      <c r="I10048" s="1" t="s">
        <v>33083</v>
      </c>
      <c r="J10048" s="1" t="s">
        <v>3615</v>
      </c>
      <c r="K10048" s="1" t="s">
        <v>33084</v>
      </c>
      <c r="L10048" s="1"/>
      <c r="M10048" s="1"/>
    </row>
    <row x14ac:dyDescent="0.25" r="10049" customHeight="1" ht="18.75">
      <c r="A10049" s="1" t="s">
        <v>3598</v>
      </c>
      <c r="B10049" s="1" t="s">
        <v>8572</v>
      </c>
      <c r="C10049" s="1" t="s">
        <v>3600</v>
      </c>
      <c r="D10049" s="1" t="s">
        <v>8365</v>
      </c>
      <c r="E10049" s="1" t="s">
        <v>3893</v>
      </c>
      <c r="F10049" s="1" t="s">
        <v>33085</v>
      </c>
      <c r="G10049" s="1" t="s">
        <v>20563</v>
      </c>
      <c r="H10049" s="1" t="s">
        <v>3604</v>
      </c>
      <c r="I10049" s="1" t="s">
        <v>33086</v>
      </c>
      <c r="J10049" s="1" t="s">
        <v>3615</v>
      </c>
      <c r="K10049" s="1" t="s">
        <v>33087</v>
      </c>
      <c r="L10049" s="1"/>
      <c r="M10049" s="1"/>
    </row>
    <row x14ac:dyDescent="0.25" r="10050" customHeight="1" ht="18.75">
      <c r="A10050" s="1" t="s">
        <v>3598</v>
      </c>
      <c r="B10050" s="1" t="s">
        <v>8572</v>
      </c>
      <c r="C10050" s="1" t="s">
        <v>3600</v>
      </c>
      <c r="D10050" s="1" t="s">
        <v>8365</v>
      </c>
      <c r="E10050" s="1" t="s">
        <v>3893</v>
      </c>
      <c r="F10050" s="1" t="s">
        <v>33088</v>
      </c>
      <c r="G10050" s="1" t="s">
        <v>20563</v>
      </c>
      <c r="H10050" s="1" t="s">
        <v>3604</v>
      </c>
      <c r="I10050" s="1" t="s">
        <v>33089</v>
      </c>
      <c r="J10050" s="1" t="s">
        <v>3615</v>
      </c>
      <c r="K10050" s="1" t="s">
        <v>33090</v>
      </c>
      <c r="L10050" s="1"/>
      <c r="M10050" s="1"/>
    </row>
    <row x14ac:dyDescent="0.25" r="10051" customHeight="1" ht="18.75">
      <c r="A10051" s="1" t="s">
        <v>3598</v>
      </c>
      <c r="B10051" s="1" t="s">
        <v>8572</v>
      </c>
      <c r="C10051" s="1" t="s">
        <v>3600</v>
      </c>
      <c r="D10051" s="1" t="s">
        <v>8365</v>
      </c>
      <c r="E10051" s="1" t="s">
        <v>3893</v>
      </c>
      <c r="F10051" s="1" t="s">
        <v>33091</v>
      </c>
      <c r="G10051" s="1" t="s">
        <v>20563</v>
      </c>
      <c r="H10051" s="1" t="s">
        <v>3604</v>
      </c>
      <c r="I10051" s="1" t="s">
        <v>33092</v>
      </c>
      <c r="J10051" s="1" t="s">
        <v>3615</v>
      </c>
      <c r="K10051" s="1" t="s">
        <v>33093</v>
      </c>
      <c r="L10051" s="1"/>
      <c r="M10051" s="1"/>
    </row>
    <row x14ac:dyDescent="0.25" r="10052" customHeight="1" ht="18.75">
      <c r="A10052" s="1" t="s">
        <v>3598</v>
      </c>
      <c r="B10052" s="1" t="s">
        <v>8191</v>
      </c>
      <c r="C10052" s="1" t="s">
        <v>3600</v>
      </c>
      <c r="D10052" s="1" t="s">
        <v>8365</v>
      </c>
      <c r="E10052" s="1" t="s">
        <v>3664</v>
      </c>
      <c r="F10052" s="1" t="s">
        <v>33094</v>
      </c>
      <c r="G10052" s="1" t="s">
        <v>33095</v>
      </c>
      <c r="H10052" s="1" t="s">
        <v>3604</v>
      </c>
      <c r="I10052" s="1" t="s">
        <v>33096</v>
      </c>
      <c r="J10052" s="1" t="s">
        <v>3615</v>
      </c>
      <c r="K10052" s="1" t="s">
        <v>33097</v>
      </c>
      <c r="L10052" s="1"/>
      <c r="M10052" s="1"/>
    </row>
    <row x14ac:dyDescent="0.25" r="10053" customHeight="1" ht="18.75">
      <c r="A10053" s="1" t="s">
        <v>3693</v>
      </c>
      <c r="B10053" s="1" t="s">
        <v>4192</v>
      </c>
      <c r="C10053" s="1" t="s">
        <v>3600</v>
      </c>
      <c r="D10053" s="1" t="s">
        <v>533</v>
      </c>
      <c r="E10053" s="1" t="s">
        <v>3752</v>
      </c>
      <c r="F10053" s="1" t="s">
        <v>33098</v>
      </c>
      <c r="G10053" s="1" t="s">
        <v>9382</v>
      </c>
      <c r="H10053" s="1" t="s">
        <v>3604</v>
      </c>
      <c r="I10053" s="1" t="s">
        <v>33099</v>
      </c>
      <c r="J10053" s="1" t="s">
        <v>3615</v>
      </c>
      <c r="K10053" s="1" t="s">
        <v>33100</v>
      </c>
      <c r="L10053" s="1"/>
      <c r="M10053" s="1"/>
    </row>
    <row x14ac:dyDescent="0.25" r="10054" customHeight="1" ht="18.75">
      <c r="A10054" s="1" t="s">
        <v>3693</v>
      </c>
      <c r="B10054" s="1" t="s">
        <v>4192</v>
      </c>
      <c r="C10054" s="1" t="s">
        <v>3600</v>
      </c>
      <c r="D10054" s="1" t="s">
        <v>533</v>
      </c>
      <c r="E10054" s="1" t="s">
        <v>3752</v>
      </c>
      <c r="F10054" s="1" t="s">
        <v>33101</v>
      </c>
      <c r="G10054" s="1" t="s">
        <v>7024</v>
      </c>
      <c r="H10054" s="1" t="s">
        <v>3604</v>
      </c>
      <c r="I10054" s="1" t="s">
        <v>33102</v>
      </c>
      <c r="J10054" s="1" t="s">
        <v>3615</v>
      </c>
      <c r="K10054" s="1" t="s">
        <v>33103</v>
      </c>
      <c r="L10054" s="1"/>
      <c r="M10054" s="1"/>
    </row>
    <row x14ac:dyDescent="0.25" r="10055" customHeight="1" ht="18.75">
      <c r="A10055" s="1" t="s">
        <v>3693</v>
      </c>
      <c r="B10055" s="1" t="s">
        <v>4192</v>
      </c>
      <c r="C10055" s="1" t="s">
        <v>3600</v>
      </c>
      <c r="D10055" s="1" t="s">
        <v>533</v>
      </c>
      <c r="E10055" s="1" t="s">
        <v>3752</v>
      </c>
      <c r="F10055" s="1" t="s">
        <v>33104</v>
      </c>
      <c r="G10055" s="1" t="s">
        <v>5772</v>
      </c>
      <c r="H10055" s="1" t="s">
        <v>3604</v>
      </c>
      <c r="I10055" s="1" t="s">
        <v>33105</v>
      </c>
      <c r="J10055" s="1" t="s">
        <v>3615</v>
      </c>
      <c r="K10055" s="1" t="s">
        <v>33106</v>
      </c>
      <c r="L10055" s="1"/>
      <c r="M10055" s="1"/>
    </row>
    <row x14ac:dyDescent="0.25" r="10056" customHeight="1" ht="18.75">
      <c r="A10056" s="1" t="s">
        <v>3693</v>
      </c>
      <c r="B10056" s="1" t="s">
        <v>4214</v>
      </c>
      <c r="C10056" s="1" t="s">
        <v>3600</v>
      </c>
      <c r="D10056" s="1" t="s">
        <v>3601</v>
      </c>
      <c r="E10056" s="1" t="s">
        <v>3664</v>
      </c>
      <c r="F10056" s="1" t="s">
        <v>33107</v>
      </c>
      <c r="G10056" s="1" t="s">
        <v>5953</v>
      </c>
      <c r="H10056" s="1" t="s">
        <v>3604</v>
      </c>
      <c r="I10056" s="1" t="s">
        <v>33108</v>
      </c>
      <c r="J10056" s="1" t="s">
        <v>3615</v>
      </c>
      <c r="K10056" s="1" t="s">
        <v>32192</v>
      </c>
      <c r="L10056" s="1"/>
      <c r="M10056" s="1"/>
    </row>
    <row x14ac:dyDescent="0.25" r="10057" customHeight="1" ht="18.75">
      <c r="A10057" s="1" t="s">
        <v>3617</v>
      </c>
      <c r="B10057" s="1" t="s">
        <v>33109</v>
      </c>
      <c r="C10057" s="1" t="s">
        <v>3619</v>
      </c>
      <c r="D10057" s="1" t="s">
        <v>3601</v>
      </c>
      <c r="E10057" s="1" t="s">
        <v>3981</v>
      </c>
      <c r="F10057" s="1" t="s">
        <v>33110</v>
      </c>
      <c r="G10057" s="1" t="s">
        <v>33111</v>
      </c>
      <c r="H10057" s="1" t="s">
        <v>3604</v>
      </c>
      <c r="I10057" s="1" t="s">
        <v>33112</v>
      </c>
      <c r="J10057" s="1" t="s">
        <v>3615</v>
      </c>
      <c r="K10057" s="1" t="s">
        <v>33111</v>
      </c>
      <c r="L10057" s="1"/>
      <c r="M10057" s="1"/>
    </row>
    <row x14ac:dyDescent="0.25" r="10058" customHeight="1" ht="18.75">
      <c r="A10058" s="1" t="s">
        <v>3693</v>
      </c>
      <c r="B10058" s="1" t="s">
        <v>5594</v>
      </c>
      <c r="C10058" s="1" t="s">
        <v>3600</v>
      </c>
      <c r="D10058" s="1" t="s">
        <v>3601</v>
      </c>
      <c r="E10058" s="1" t="s">
        <v>3664</v>
      </c>
      <c r="F10058" s="1" t="s">
        <v>33113</v>
      </c>
      <c r="G10058" s="1" t="s">
        <v>32313</v>
      </c>
      <c r="H10058" s="1" t="s">
        <v>3604</v>
      </c>
      <c r="I10058" s="1" t="s">
        <v>33114</v>
      </c>
      <c r="J10058" s="1" t="s">
        <v>3615</v>
      </c>
      <c r="K10058" s="1" t="s">
        <v>32315</v>
      </c>
      <c r="L10058" s="1"/>
      <c r="M10058" s="1"/>
    </row>
    <row x14ac:dyDescent="0.25" r="10059" customHeight="1" ht="18.75">
      <c r="A10059" s="1" t="s">
        <v>3693</v>
      </c>
      <c r="B10059" s="1" t="s">
        <v>5594</v>
      </c>
      <c r="C10059" s="1" t="s">
        <v>3600</v>
      </c>
      <c r="D10059" s="1" t="s">
        <v>3601</v>
      </c>
      <c r="E10059" s="1" t="s">
        <v>3664</v>
      </c>
      <c r="F10059" s="1" t="s">
        <v>33115</v>
      </c>
      <c r="G10059" s="1" t="s">
        <v>32313</v>
      </c>
      <c r="H10059" s="1" t="s">
        <v>3604</v>
      </c>
      <c r="I10059" s="1" t="s">
        <v>33116</v>
      </c>
      <c r="J10059" s="1" t="s">
        <v>3615</v>
      </c>
      <c r="K10059" s="1" t="s">
        <v>32315</v>
      </c>
      <c r="L10059" s="1"/>
      <c r="M10059" s="1"/>
    </row>
    <row x14ac:dyDescent="0.25" r="10060" customHeight="1" ht="18.75">
      <c r="A10060" s="1" t="s">
        <v>7833</v>
      </c>
      <c r="B10060" s="1" t="s">
        <v>7872</v>
      </c>
      <c r="C10060" s="1" t="s">
        <v>4488</v>
      </c>
      <c r="D10060" s="1" t="s">
        <v>3601</v>
      </c>
      <c r="E10060" s="1" t="s">
        <v>8096</v>
      </c>
      <c r="F10060" s="1" t="s">
        <v>33117</v>
      </c>
      <c r="G10060" s="1" t="s">
        <v>7874</v>
      </c>
      <c r="H10060" s="1" t="s">
        <v>3604</v>
      </c>
      <c r="I10060" s="1" t="s">
        <v>33118</v>
      </c>
      <c r="J10060" s="1" t="s">
        <v>3615</v>
      </c>
      <c r="K10060" s="1" t="s">
        <v>33119</v>
      </c>
      <c r="L10060" s="1"/>
      <c r="M10060" s="1"/>
    </row>
    <row x14ac:dyDescent="0.25" r="10061" customHeight="1" ht="18.75">
      <c r="A10061" s="1" t="s">
        <v>3617</v>
      </c>
      <c r="B10061" s="1" t="s">
        <v>33109</v>
      </c>
      <c r="C10061" s="1" t="s">
        <v>3619</v>
      </c>
      <c r="D10061" s="1" t="s">
        <v>3601</v>
      </c>
      <c r="E10061" s="1" t="s">
        <v>3981</v>
      </c>
      <c r="F10061" s="1" t="s">
        <v>33120</v>
      </c>
      <c r="G10061" s="1" t="s">
        <v>33121</v>
      </c>
      <c r="H10061" s="1" t="s">
        <v>3604</v>
      </c>
      <c r="I10061" s="1" t="s">
        <v>33122</v>
      </c>
      <c r="J10061" s="1" t="s">
        <v>3615</v>
      </c>
      <c r="K10061" s="1" t="s">
        <v>33121</v>
      </c>
      <c r="L10061" s="1"/>
      <c r="M10061" s="1"/>
    </row>
    <row x14ac:dyDescent="0.25" r="10062" customHeight="1" ht="18.75">
      <c r="A10062" s="1" t="s">
        <v>3598</v>
      </c>
      <c r="B10062" s="1" t="s">
        <v>15780</v>
      </c>
      <c r="C10062" s="1" t="s">
        <v>3600</v>
      </c>
      <c r="D10062" s="1" t="s">
        <v>7847</v>
      </c>
      <c r="E10062" s="1" t="s">
        <v>3664</v>
      </c>
      <c r="F10062" s="1" t="s">
        <v>33123</v>
      </c>
      <c r="G10062" s="1" t="s">
        <v>33124</v>
      </c>
      <c r="H10062" s="1" t="s">
        <v>3604</v>
      </c>
      <c r="I10062" s="1" t="s">
        <v>33125</v>
      </c>
      <c r="J10062" s="1" t="s">
        <v>3606</v>
      </c>
      <c r="K10062" s="1"/>
      <c r="L10062" s="1"/>
      <c r="M10062" s="1"/>
    </row>
    <row x14ac:dyDescent="0.25" r="10063" customHeight="1" ht="18.75">
      <c r="A10063" s="1" t="s">
        <v>3693</v>
      </c>
      <c r="B10063" s="1" t="s">
        <v>4192</v>
      </c>
      <c r="C10063" s="1" t="s">
        <v>3600</v>
      </c>
      <c r="D10063" s="1" t="s">
        <v>3695</v>
      </c>
      <c r="E10063" s="1" t="s">
        <v>3664</v>
      </c>
      <c r="F10063" s="1" t="s">
        <v>33126</v>
      </c>
      <c r="G10063" s="1" t="s">
        <v>5214</v>
      </c>
      <c r="H10063" s="1" t="s">
        <v>3604</v>
      </c>
      <c r="I10063" s="1" t="s">
        <v>33127</v>
      </c>
      <c r="J10063" s="1" t="s">
        <v>3615</v>
      </c>
      <c r="K10063" s="1" t="s">
        <v>33128</v>
      </c>
      <c r="L10063" s="1"/>
      <c r="M10063" s="1"/>
    </row>
    <row x14ac:dyDescent="0.25" r="10064" customHeight="1" ht="18.75">
      <c r="A10064" s="1" t="s">
        <v>3693</v>
      </c>
      <c r="B10064" s="1" t="s">
        <v>4192</v>
      </c>
      <c r="C10064" s="1" t="s">
        <v>3600</v>
      </c>
      <c r="D10064" s="1" t="s">
        <v>3695</v>
      </c>
      <c r="E10064" s="1" t="s">
        <v>3664</v>
      </c>
      <c r="F10064" s="1" t="s">
        <v>33129</v>
      </c>
      <c r="G10064" s="1" t="s">
        <v>7024</v>
      </c>
      <c r="H10064" s="1" t="s">
        <v>3604</v>
      </c>
      <c r="I10064" s="1" t="s">
        <v>33130</v>
      </c>
      <c r="J10064" s="1" t="s">
        <v>3615</v>
      </c>
      <c r="K10064" s="1" t="s">
        <v>33128</v>
      </c>
      <c r="L10064" s="1"/>
      <c r="M10064" s="1"/>
    </row>
    <row x14ac:dyDescent="0.25" r="10065" customHeight="1" ht="18.75">
      <c r="A10065" s="1" t="s">
        <v>3693</v>
      </c>
      <c r="B10065" s="1" t="s">
        <v>4192</v>
      </c>
      <c r="C10065" s="1" t="s">
        <v>3600</v>
      </c>
      <c r="D10065" s="1" t="s">
        <v>3695</v>
      </c>
      <c r="E10065" s="1" t="s">
        <v>3893</v>
      </c>
      <c r="F10065" s="1" t="s">
        <v>33131</v>
      </c>
      <c r="G10065" s="1" t="s">
        <v>4349</v>
      </c>
      <c r="H10065" s="1" t="s">
        <v>3604</v>
      </c>
      <c r="I10065" s="1" t="s">
        <v>33132</v>
      </c>
      <c r="J10065" s="1" t="s">
        <v>3615</v>
      </c>
      <c r="K10065" s="1" t="s">
        <v>33133</v>
      </c>
      <c r="L10065" s="1"/>
      <c r="M10065" s="1"/>
    </row>
    <row x14ac:dyDescent="0.25" r="10066" customHeight="1" ht="18.75">
      <c r="A10066" s="1" t="s">
        <v>3693</v>
      </c>
      <c r="B10066" s="1" t="s">
        <v>4192</v>
      </c>
      <c r="C10066" s="1" t="s">
        <v>3600</v>
      </c>
      <c r="D10066" s="1" t="s">
        <v>3695</v>
      </c>
      <c r="E10066" s="1" t="s">
        <v>3893</v>
      </c>
      <c r="F10066" s="1" t="s">
        <v>33134</v>
      </c>
      <c r="G10066" s="1" t="s">
        <v>4349</v>
      </c>
      <c r="H10066" s="1" t="s">
        <v>3604</v>
      </c>
      <c r="I10066" s="1" t="s">
        <v>33135</v>
      </c>
      <c r="J10066" s="1" t="s">
        <v>3615</v>
      </c>
      <c r="K10066" s="1" t="s">
        <v>33133</v>
      </c>
      <c r="L10066" s="1"/>
      <c r="M10066" s="1"/>
    </row>
    <row x14ac:dyDescent="0.25" r="10067" customHeight="1" ht="18.75">
      <c r="A10067" s="1" t="s">
        <v>7833</v>
      </c>
      <c r="B10067" s="1" t="s">
        <v>9824</v>
      </c>
      <c r="C10067" s="1" t="s">
        <v>4488</v>
      </c>
      <c r="D10067" s="1" t="s">
        <v>3601</v>
      </c>
      <c r="E10067" s="1" t="s">
        <v>3611</v>
      </c>
      <c r="F10067" s="1" t="s">
        <v>33136</v>
      </c>
      <c r="G10067" s="1" t="s">
        <v>14305</v>
      </c>
      <c r="H10067" s="1" t="s">
        <v>3604</v>
      </c>
      <c r="I10067" s="1" t="s">
        <v>33137</v>
      </c>
      <c r="J10067" s="1" t="s">
        <v>3606</v>
      </c>
      <c r="K10067" s="1" t="s">
        <v>9134</v>
      </c>
      <c r="L10067" s="1"/>
      <c r="M10067" s="1"/>
    </row>
    <row x14ac:dyDescent="0.25" r="10068" customHeight="1" ht="18.75">
      <c r="A10068" s="1" t="s">
        <v>3617</v>
      </c>
      <c r="B10068" s="1" t="s">
        <v>4455</v>
      </c>
      <c r="C10068" s="1" t="s">
        <v>3619</v>
      </c>
      <c r="D10068" s="1" t="s">
        <v>3695</v>
      </c>
      <c r="E10068" s="1" t="s">
        <v>3730</v>
      </c>
      <c r="F10068" s="1" t="s">
        <v>33138</v>
      </c>
      <c r="G10068" s="1" t="s">
        <v>33139</v>
      </c>
      <c r="H10068" s="1" t="s">
        <v>3604</v>
      </c>
      <c r="I10068" s="1" t="s">
        <v>33140</v>
      </c>
      <c r="J10068" s="1" t="s">
        <v>3606</v>
      </c>
      <c r="K10068" s="1" t="s">
        <v>33141</v>
      </c>
      <c r="L10068" s="1"/>
      <c r="M10068" s="1"/>
    </row>
    <row x14ac:dyDescent="0.25" r="10069" customHeight="1" ht="18.75">
      <c r="A10069" s="1" t="s">
        <v>3598</v>
      </c>
      <c r="B10069" s="1" t="s">
        <v>15780</v>
      </c>
      <c r="C10069" s="1" t="s">
        <v>3600</v>
      </c>
      <c r="D10069" s="1" t="s">
        <v>7847</v>
      </c>
      <c r="E10069" s="1" t="s">
        <v>3981</v>
      </c>
      <c r="F10069" s="1" t="s">
        <v>33142</v>
      </c>
      <c r="G10069" s="1" t="s">
        <v>33124</v>
      </c>
      <c r="H10069" s="1" t="s">
        <v>3604</v>
      </c>
      <c r="I10069" s="1" t="s">
        <v>33143</v>
      </c>
      <c r="J10069" s="1" t="s">
        <v>3606</v>
      </c>
      <c r="K10069" s="1"/>
      <c r="L10069" s="1"/>
      <c r="M10069" s="1"/>
    </row>
    <row x14ac:dyDescent="0.25" r="10070" customHeight="1" ht="18.75">
      <c r="A10070" s="1" t="s">
        <v>7833</v>
      </c>
      <c r="B10070" s="1" t="s">
        <v>9824</v>
      </c>
      <c r="C10070" s="1" t="s">
        <v>4488</v>
      </c>
      <c r="D10070" s="1" t="s">
        <v>3601</v>
      </c>
      <c r="E10070" s="1" t="s">
        <v>3611</v>
      </c>
      <c r="F10070" s="1" t="s">
        <v>33144</v>
      </c>
      <c r="G10070" s="1" t="s">
        <v>14305</v>
      </c>
      <c r="H10070" s="1" t="s">
        <v>3604</v>
      </c>
      <c r="I10070" s="1" t="s">
        <v>33145</v>
      </c>
      <c r="J10070" s="1" t="s">
        <v>3606</v>
      </c>
      <c r="K10070" s="1" t="s">
        <v>9137</v>
      </c>
      <c r="L10070" s="1"/>
      <c r="M10070" s="1"/>
    </row>
    <row x14ac:dyDescent="0.25" r="10071" customHeight="1" ht="18.75">
      <c r="A10071" s="1" t="s">
        <v>7833</v>
      </c>
      <c r="B10071" s="1" t="s">
        <v>7872</v>
      </c>
      <c r="C10071" s="1" t="s">
        <v>4488</v>
      </c>
      <c r="D10071" s="1" t="s">
        <v>3601</v>
      </c>
      <c r="E10071" s="1" t="s">
        <v>8096</v>
      </c>
      <c r="F10071" s="1" t="s">
        <v>33146</v>
      </c>
      <c r="G10071" s="1" t="s">
        <v>7874</v>
      </c>
      <c r="H10071" s="1" t="s">
        <v>3604</v>
      </c>
      <c r="I10071" s="1" t="s">
        <v>33147</v>
      </c>
      <c r="J10071" s="1" t="s">
        <v>3615</v>
      </c>
      <c r="K10071" s="1" t="s">
        <v>33148</v>
      </c>
      <c r="L10071" s="1"/>
      <c r="M10071" s="1"/>
    </row>
    <row x14ac:dyDescent="0.25" r="10072" customHeight="1" ht="18.75">
      <c r="A10072" s="1" t="s">
        <v>3617</v>
      </c>
      <c r="B10072" s="1" t="s">
        <v>33109</v>
      </c>
      <c r="C10072" s="1" t="s">
        <v>3619</v>
      </c>
      <c r="D10072" s="1" t="s">
        <v>3601</v>
      </c>
      <c r="E10072" s="1" t="s">
        <v>3981</v>
      </c>
      <c r="F10072" s="1" t="s">
        <v>33149</v>
      </c>
      <c r="G10072" s="1" t="s">
        <v>33150</v>
      </c>
      <c r="H10072" s="1" t="s">
        <v>3604</v>
      </c>
      <c r="I10072" s="1" t="s">
        <v>33151</v>
      </c>
      <c r="J10072" s="1" t="s">
        <v>3615</v>
      </c>
      <c r="K10072" s="1" t="s">
        <v>33150</v>
      </c>
      <c r="L10072" s="1"/>
      <c r="M10072" s="1"/>
    </row>
    <row x14ac:dyDescent="0.25" r="10073" customHeight="1" ht="18.75">
      <c r="A10073" s="1" t="s">
        <v>7833</v>
      </c>
      <c r="B10073" s="1" t="s">
        <v>9824</v>
      </c>
      <c r="C10073" s="1" t="s">
        <v>4488</v>
      </c>
      <c r="D10073" s="1" t="s">
        <v>3601</v>
      </c>
      <c r="E10073" s="1" t="s">
        <v>3611</v>
      </c>
      <c r="F10073" s="1" t="s">
        <v>33152</v>
      </c>
      <c r="G10073" s="1" t="s">
        <v>14305</v>
      </c>
      <c r="H10073" s="1" t="s">
        <v>3604</v>
      </c>
      <c r="I10073" s="1" t="s">
        <v>33153</v>
      </c>
      <c r="J10073" s="1" t="s">
        <v>3606</v>
      </c>
      <c r="K10073" s="1" t="s">
        <v>33154</v>
      </c>
      <c r="L10073" s="1"/>
      <c r="M10073" s="1"/>
    </row>
    <row x14ac:dyDescent="0.25" r="10074" customHeight="1" ht="18.75">
      <c r="A10074" s="1" t="s">
        <v>3617</v>
      </c>
      <c r="B10074" s="1" t="s">
        <v>4455</v>
      </c>
      <c r="C10074" s="1" t="s">
        <v>3619</v>
      </c>
      <c r="D10074" s="1" t="s">
        <v>7891</v>
      </c>
      <c r="E10074" s="1" t="s">
        <v>3981</v>
      </c>
      <c r="F10074" s="1" t="s">
        <v>33155</v>
      </c>
      <c r="G10074" s="1" t="s">
        <v>33139</v>
      </c>
      <c r="H10074" s="1" t="s">
        <v>3604</v>
      </c>
      <c r="I10074" s="1" t="s">
        <v>33156</v>
      </c>
      <c r="J10074" s="1" t="s">
        <v>3606</v>
      </c>
      <c r="K10074" s="1" t="s">
        <v>33157</v>
      </c>
      <c r="L10074" s="1"/>
      <c r="M10074" s="1"/>
    </row>
    <row x14ac:dyDescent="0.25" r="10075" customHeight="1" ht="18.75">
      <c r="A10075" s="1" t="s">
        <v>7833</v>
      </c>
      <c r="B10075" s="1" t="s">
        <v>14416</v>
      </c>
      <c r="C10075" s="1" t="s">
        <v>4488</v>
      </c>
      <c r="D10075" s="1" t="s">
        <v>3601</v>
      </c>
      <c r="E10075" s="1" t="s">
        <v>3664</v>
      </c>
      <c r="F10075" s="1" t="s">
        <v>33158</v>
      </c>
      <c r="G10075" s="1" t="s">
        <v>14417</v>
      </c>
      <c r="H10075" s="1" t="s">
        <v>3604</v>
      </c>
      <c r="I10075" s="1" t="s">
        <v>33159</v>
      </c>
      <c r="J10075" s="1" t="s">
        <v>3615</v>
      </c>
      <c r="K10075" s="1" t="s">
        <v>33160</v>
      </c>
      <c r="L10075" s="1"/>
      <c r="M10075" s="1"/>
    </row>
    <row x14ac:dyDescent="0.25" r="10076" customHeight="1" ht="18.75">
      <c r="A10076" s="1" t="s">
        <v>7833</v>
      </c>
      <c r="B10076" s="1" t="s">
        <v>9824</v>
      </c>
      <c r="C10076" s="1" t="s">
        <v>4488</v>
      </c>
      <c r="D10076" s="1" t="s">
        <v>3601</v>
      </c>
      <c r="E10076" s="1" t="s">
        <v>3611</v>
      </c>
      <c r="F10076" s="1" t="s">
        <v>33161</v>
      </c>
      <c r="G10076" s="1" t="s">
        <v>14305</v>
      </c>
      <c r="H10076" s="1" t="s">
        <v>3604</v>
      </c>
      <c r="I10076" s="1" t="s">
        <v>33162</v>
      </c>
      <c r="J10076" s="1" t="s">
        <v>3606</v>
      </c>
      <c r="K10076" s="1" t="s">
        <v>33163</v>
      </c>
      <c r="L10076" s="1"/>
      <c r="M10076" s="1"/>
    </row>
    <row x14ac:dyDescent="0.25" r="10077" customHeight="1" ht="18.75">
      <c r="A10077" s="1" t="s">
        <v>3617</v>
      </c>
      <c r="B10077" s="1" t="s">
        <v>33109</v>
      </c>
      <c r="C10077" s="1" t="s">
        <v>3619</v>
      </c>
      <c r="D10077" s="1" t="s">
        <v>3601</v>
      </c>
      <c r="E10077" s="1" t="s">
        <v>3981</v>
      </c>
      <c r="F10077" s="1" t="s">
        <v>33164</v>
      </c>
      <c r="G10077" s="1" t="s">
        <v>33165</v>
      </c>
      <c r="H10077" s="1" t="s">
        <v>3604</v>
      </c>
      <c r="I10077" s="1" t="s">
        <v>33166</v>
      </c>
      <c r="J10077" s="1" t="s">
        <v>3615</v>
      </c>
      <c r="K10077" s="1" t="s">
        <v>33167</v>
      </c>
      <c r="L10077" s="1"/>
      <c r="M10077" s="1"/>
    </row>
    <row x14ac:dyDescent="0.25" r="10078" customHeight="1" ht="18.75">
      <c r="A10078" s="1" t="s">
        <v>7833</v>
      </c>
      <c r="B10078" s="1" t="s">
        <v>33168</v>
      </c>
      <c r="C10078" s="1" t="s">
        <v>4488</v>
      </c>
      <c r="D10078" s="1" t="s">
        <v>3601</v>
      </c>
      <c r="E10078" s="1" t="s">
        <v>3664</v>
      </c>
      <c r="F10078" s="1" t="s">
        <v>33169</v>
      </c>
      <c r="G10078" s="1" t="s">
        <v>33170</v>
      </c>
      <c r="H10078" s="1" t="s">
        <v>3604</v>
      </c>
      <c r="I10078" s="1" t="s">
        <v>33171</v>
      </c>
      <c r="J10078" s="1" t="s">
        <v>3615</v>
      </c>
      <c r="K10078" s="1" t="s">
        <v>17318</v>
      </c>
      <c r="L10078" s="1"/>
      <c r="M10078" s="1"/>
    </row>
    <row x14ac:dyDescent="0.25" r="10079" customHeight="1" ht="18.75">
      <c r="A10079" s="1" t="s">
        <v>3598</v>
      </c>
      <c r="B10079" s="1" t="s">
        <v>4273</v>
      </c>
      <c r="C10079" s="1" t="s">
        <v>3600</v>
      </c>
      <c r="D10079" s="1" t="s">
        <v>28428</v>
      </c>
      <c r="E10079" s="1" t="s">
        <v>3664</v>
      </c>
      <c r="F10079" s="1" t="s">
        <v>33172</v>
      </c>
      <c r="G10079" s="1" t="s">
        <v>33173</v>
      </c>
      <c r="H10079" s="1" t="s">
        <v>3604</v>
      </c>
      <c r="I10079" s="1" t="s">
        <v>33174</v>
      </c>
      <c r="J10079" s="1" t="s">
        <v>3615</v>
      </c>
      <c r="K10079" s="1" t="s">
        <v>33175</v>
      </c>
      <c r="L10079" s="1"/>
      <c r="M10079" s="1"/>
    </row>
    <row x14ac:dyDescent="0.25" r="10080" customHeight="1" ht="18.75">
      <c r="A10080" s="1" t="s">
        <v>7833</v>
      </c>
      <c r="B10080" s="1" t="s">
        <v>33176</v>
      </c>
      <c r="C10080" s="1" t="s">
        <v>4488</v>
      </c>
      <c r="D10080" s="1" t="s">
        <v>3601</v>
      </c>
      <c r="E10080" s="1" t="s">
        <v>3664</v>
      </c>
      <c r="F10080" s="1" t="s">
        <v>33177</v>
      </c>
      <c r="G10080" s="1" t="s">
        <v>33178</v>
      </c>
      <c r="H10080" s="1" t="s">
        <v>3604</v>
      </c>
      <c r="I10080" s="1" t="s">
        <v>33179</v>
      </c>
      <c r="J10080" s="1" t="s">
        <v>3615</v>
      </c>
      <c r="K10080" s="1" t="s">
        <v>17318</v>
      </c>
      <c r="L10080" s="1"/>
      <c r="M10080" s="1"/>
    </row>
    <row x14ac:dyDescent="0.25" r="10081" customHeight="1" ht="18.75">
      <c r="A10081" s="1" t="s">
        <v>3617</v>
      </c>
      <c r="B10081" s="1" t="s">
        <v>4455</v>
      </c>
      <c r="C10081" s="1" t="s">
        <v>3619</v>
      </c>
      <c r="D10081" s="1" t="s">
        <v>7891</v>
      </c>
      <c r="E10081" s="1" t="s">
        <v>3981</v>
      </c>
      <c r="F10081" s="1" t="s">
        <v>33180</v>
      </c>
      <c r="G10081" s="1" t="s">
        <v>33139</v>
      </c>
      <c r="H10081" s="1" t="s">
        <v>3604</v>
      </c>
      <c r="I10081" s="1" t="s">
        <v>33181</v>
      </c>
      <c r="J10081" s="1" t="s">
        <v>3606</v>
      </c>
      <c r="K10081" s="1" t="s">
        <v>33182</v>
      </c>
      <c r="L10081" s="1"/>
      <c r="M10081" s="1"/>
    </row>
    <row x14ac:dyDescent="0.25" r="10082" customHeight="1" ht="18.75">
      <c r="A10082" s="1" t="s">
        <v>3598</v>
      </c>
      <c r="B10082" s="1" t="s">
        <v>3778</v>
      </c>
      <c r="C10082" s="1" t="s">
        <v>3600</v>
      </c>
      <c r="D10082" s="1" t="s">
        <v>28428</v>
      </c>
      <c r="E10082" s="1" t="s">
        <v>3664</v>
      </c>
      <c r="F10082" s="1" t="s">
        <v>33183</v>
      </c>
      <c r="G10082" s="1" t="s">
        <v>31235</v>
      </c>
      <c r="H10082" s="1" t="s">
        <v>3604</v>
      </c>
      <c r="I10082" s="1" t="s">
        <v>33184</v>
      </c>
      <c r="J10082" s="1" t="s">
        <v>3615</v>
      </c>
      <c r="K10082" s="1" t="s">
        <v>33185</v>
      </c>
      <c r="L10082" s="1"/>
      <c r="M10082" s="1"/>
    </row>
    <row x14ac:dyDescent="0.25" r="10083" customHeight="1" ht="18.75">
      <c r="A10083" s="1" t="s">
        <v>7833</v>
      </c>
      <c r="B10083" s="1" t="s">
        <v>33176</v>
      </c>
      <c r="C10083" s="1" t="s">
        <v>4488</v>
      </c>
      <c r="D10083" s="1" t="s">
        <v>3601</v>
      </c>
      <c r="E10083" s="1" t="s">
        <v>3664</v>
      </c>
      <c r="F10083" s="1" t="s">
        <v>33186</v>
      </c>
      <c r="G10083" s="1" t="s">
        <v>33178</v>
      </c>
      <c r="H10083" s="1" t="s">
        <v>3604</v>
      </c>
      <c r="I10083" s="1" t="s">
        <v>33187</v>
      </c>
      <c r="J10083" s="1" t="s">
        <v>3615</v>
      </c>
      <c r="K10083" s="1" t="s">
        <v>17318</v>
      </c>
      <c r="L10083" s="1"/>
      <c r="M10083" s="1"/>
    </row>
    <row x14ac:dyDescent="0.25" r="10084" customHeight="1" ht="18.75">
      <c r="A10084" s="1" t="s">
        <v>3693</v>
      </c>
      <c r="B10084" s="1" t="s">
        <v>5598</v>
      </c>
      <c r="C10084" s="1" t="s">
        <v>3600</v>
      </c>
      <c r="D10084" s="1" t="s">
        <v>3695</v>
      </c>
      <c r="E10084" s="1" t="s">
        <v>3664</v>
      </c>
      <c r="F10084" s="1" t="s">
        <v>33188</v>
      </c>
      <c r="G10084" s="1" t="s">
        <v>33189</v>
      </c>
      <c r="H10084" s="1" t="s">
        <v>3604</v>
      </c>
      <c r="I10084" s="1" t="s">
        <v>33190</v>
      </c>
      <c r="J10084" s="1" t="s">
        <v>3615</v>
      </c>
      <c r="K10084" s="1" t="s">
        <v>33191</v>
      </c>
      <c r="L10084" s="1"/>
      <c r="M10084" s="1"/>
    </row>
    <row x14ac:dyDescent="0.25" r="10085" customHeight="1" ht="18.75">
      <c r="A10085" s="1" t="s">
        <v>3598</v>
      </c>
      <c r="B10085" s="1" t="s">
        <v>3778</v>
      </c>
      <c r="C10085" s="1" t="s">
        <v>3600</v>
      </c>
      <c r="D10085" s="1" t="s">
        <v>28428</v>
      </c>
      <c r="E10085" s="1" t="s">
        <v>3664</v>
      </c>
      <c r="F10085" s="1" t="s">
        <v>33192</v>
      </c>
      <c r="G10085" s="1" t="s">
        <v>31235</v>
      </c>
      <c r="H10085" s="1" t="s">
        <v>3604</v>
      </c>
      <c r="I10085" s="1" t="s">
        <v>33193</v>
      </c>
      <c r="J10085" s="1" t="s">
        <v>3615</v>
      </c>
      <c r="K10085" s="1" t="s">
        <v>33194</v>
      </c>
      <c r="L10085" s="1"/>
      <c r="M10085" s="1"/>
    </row>
    <row x14ac:dyDescent="0.25" r="10086" customHeight="1" ht="18.75">
      <c r="A10086" s="1" t="s">
        <v>7833</v>
      </c>
      <c r="B10086" s="1" t="s">
        <v>33195</v>
      </c>
      <c r="C10086" s="1" t="s">
        <v>4488</v>
      </c>
      <c r="D10086" s="1" t="s">
        <v>3601</v>
      </c>
      <c r="E10086" s="1" t="s">
        <v>3664</v>
      </c>
      <c r="F10086" s="1" t="s">
        <v>33196</v>
      </c>
      <c r="G10086" s="1" t="s">
        <v>20759</v>
      </c>
      <c r="H10086" s="1" t="s">
        <v>3604</v>
      </c>
      <c r="I10086" s="1" t="s">
        <v>33197</v>
      </c>
      <c r="J10086" s="1" t="s">
        <v>3615</v>
      </c>
      <c r="K10086" s="1" t="s">
        <v>17318</v>
      </c>
      <c r="L10086" s="1"/>
      <c r="M10086" s="1"/>
    </row>
    <row x14ac:dyDescent="0.25" r="10087" customHeight="1" ht="18.75">
      <c r="A10087" s="1" t="s">
        <v>3693</v>
      </c>
      <c r="B10087" s="1" t="s">
        <v>4192</v>
      </c>
      <c r="C10087" s="1" t="s">
        <v>3600</v>
      </c>
      <c r="D10087" s="1" t="s">
        <v>533</v>
      </c>
      <c r="E10087" s="1" t="s">
        <v>3611</v>
      </c>
      <c r="F10087" s="1" t="s">
        <v>33198</v>
      </c>
      <c r="G10087" s="1" t="s">
        <v>33199</v>
      </c>
      <c r="H10087" s="1" t="s">
        <v>3604</v>
      </c>
      <c r="I10087" s="1" t="s">
        <v>33200</v>
      </c>
      <c r="J10087" s="1" t="s">
        <v>3615</v>
      </c>
      <c r="K10087" s="1" t="s">
        <v>33201</v>
      </c>
      <c r="L10087" s="1"/>
      <c r="M10087" s="1"/>
    </row>
    <row x14ac:dyDescent="0.25" r="10088" customHeight="1" ht="18.75">
      <c r="A10088" s="1" t="s">
        <v>3693</v>
      </c>
      <c r="B10088" s="1" t="s">
        <v>4192</v>
      </c>
      <c r="C10088" s="1" t="s">
        <v>3600</v>
      </c>
      <c r="D10088" s="1" t="s">
        <v>533</v>
      </c>
      <c r="E10088" s="1" t="s">
        <v>3611</v>
      </c>
      <c r="F10088" s="1" t="s">
        <v>33202</v>
      </c>
      <c r="G10088" s="1" t="s">
        <v>33199</v>
      </c>
      <c r="H10088" s="1" t="s">
        <v>3604</v>
      </c>
      <c r="I10088" s="1" t="s">
        <v>33203</v>
      </c>
      <c r="J10088" s="1" t="s">
        <v>3615</v>
      </c>
      <c r="K10088" s="1" t="s">
        <v>33204</v>
      </c>
      <c r="L10088" s="1"/>
      <c r="M10088" s="1"/>
    </row>
    <row x14ac:dyDescent="0.25" r="10089" customHeight="1" ht="18.75">
      <c r="A10089" s="1" t="s">
        <v>7833</v>
      </c>
      <c r="B10089" s="1" t="s">
        <v>9824</v>
      </c>
      <c r="C10089" s="1" t="s">
        <v>4488</v>
      </c>
      <c r="D10089" s="1" t="s">
        <v>3601</v>
      </c>
      <c r="E10089" s="1" t="s">
        <v>3611</v>
      </c>
      <c r="F10089" s="1" t="s">
        <v>33205</v>
      </c>
      <c r="G10089" s="1" t="s">
        <v>14305</v>
      </c>
      <c r="H10089" s="1" t="s">
        <v>3604</v>
      </c>
      <c r="I10089" s="1" t="s">
        <v>33206</v>
      </c>
      <c r="J10089" s="1" t="s">
        <v>3606</v>
      </c>
      <c r="K10089" s="1" t="s">
        <v>33207</v>
      </c>
      <c r="L10089" s="1"/>
      <c r="M10089" s="1"/>
    </row>
    <row x14ac:dyDescent="0.25" r="10090" customHeight="1" ht="18.75">
      <c r="A10090" s="1" t="s">
        <v>3617</v>
      </c>
      <c r="B10090" s="1" t="s">
        <v>33109</v>
      </c>
      <c r="C10090" s="1" t="s">
        <v>3619</v>
      </c>
      <c r="D10090" s="1" t="s">
        <v>3601</v>
      </c>
      <c r="E10090" s="1" t="s">
        <v>3981</v>
      </c>
      <c r="F10090" s="1" t="s">
        <v>33208</v>
      </c>
      <c r="G10090" s="1" t="s">
        <v>33165</v>
      </c>
      <c r="H10090" s="1" t="s">
        <v>3604</v>
      </c>
      <c r="I10090" s="1" t="s">
        <v>33209</v>
      </c>
      <c r="J10090" s="1" t="s">
        <v>3615</v>
      </c>
      <c r="K10090" s="1" t="s">
        <v>33210</v>
      </c>
      <c r="L10090" s="1"/>
      <c r="M10090" s="1"/>
    </row>
    <row x14ac:dyDescent="0.25" r="10091" customHeight="1" ht="18.75">
      <c r="A10091" s="1" t="s">
        <v>3693</v>
      </c>
      <c r="B10091" s="1" t="s">
        <v>4192</v>
      </c>
      <c r="C10091" s="1" t="s">
        <v>3600</v>
      </c>
      <c r="D10091" s="1" t="s">
        <v>3695</v>
      </c>
      <c r="E10091" s="1" t="s">
        <v>3664</v>
      </c>
      <c r="F10091" s="1" t="s">
        <v>33211</v>
      </c>
      <c r="G10091" s="1" t="s">
        <v>33212</v>
      </c>
      <c r="H10091" s="1" t="s">
        <v>3604</v>
      </c>
      <c r="I10091" s="1" t="s">
        <v>33213</v>
      </c>
      <c r="J10091" s="1" t="s">
        <v>3615</v>
      </c>
      <c r="K10091" s="1" t="s">
        <v>33128</v>
      </c>
      <c r="L10091" s="1"/>
      <c r="M10091" s="1"/>
    </row>
    <row x14ac:dyDescent="0.25" r="10092" customHeight="1" ht="18.75">
      <c r="A10092" s="1" t="s">
        <v>3598</v>
      </c>
      <c r="B10092" s="1" t="s">
        <v>17075</v>
      </c>
      <c r="C10092" s="1" t="s">
        <v>3600</v>
      </c>
      <c r="D10092" s="1" t="s">
        <v>28428</v>
      </c>
      <c r="E10092" s="1" t="s">
        <v>33214</v>
      </c>
      <c r="F10092" s="1" t="s">
        <v>33215</v>
      </c>
      <c r="G10092" s="1" t="s">
        <v>33216</v>
      </c>
      <c r="H10092" s="1" t="s">
        <v>3604</v>
      </c>
      <c r="I10092" s="1" t="s">
        <v>33217</v>
      </c>
      <c r="J10092" s="1" t="s">
        <v>3615</v>
      </c>
      <c r="K10092" s="1" t="s">
        <v>33218</v>
      </c>
      <c r="L10092" s="1"/>
      <c r="M10092" s="1"/>
    </row>
    <row x14ac:dyDescent="0.25" r="10093" customHeight="1" ht="18.75">
      <c r="A10093" s="1" t="s">
        <v>3693</v>
      </c>
      <c r="B10093" s="1" t="s">
        <v>4192</v>
      </c>
      <c r="C10093" s="1" t="s">
        <v>3600</v>
      </c>
      <c r="D10093" s="1" t="s">
        <v>3695</v>
      </c>
      <c r="E10093" s="1" t="s">
        <v>3893</v>
      </c>
      <c r="F10093" s="1" t="s">
        <v>33219</v>
      </c>
      <c r="G10093" s="1" t="s">
        <v>4349</v>
      </c>
      <c r="H10093" s="1" t="s">
        <v>3604</v>
      </c>
      <c r="I10093" s="1" t="s">
        <v>33220</v>
      </c>
      <c r="J10093" s="1" t="s">
        <v>3615</v>
      </c>
      <c r="K10093" s="1" t="s">
        <v>33133</v>
      </c>
      <c r="L10093" s="1"/>
      <c r="M10093" s="1"/>
    </row>
    <row x14ac:dyDescent="0.25" r="10094" customHeight="1" ht="18.75">
      <c r="A10094" s="1" t="s">
        <v>7833</v>
      </c>
      <c r="B10094" s="1" t="s">
        <v>9824</v>
      </c>
      <c r="C10094" s="1" t="s">
        <v>4488</v>
      </c>
      <c r="D10094" s="1" t="s">
        <v>3601</v>
      </c>
      <c r="E10094" s="1" t="s">
        <v>3611</v>
      </c>
      <c r="F10094" s="1" t="s">
        <v>33221</v>
      </c>
      <c r="G10094" s="1" t="s">
        <v>14305</v>
      </c>
      <c r="H10094" s="1" t="s">
        <v>3604</v>
      </c>
      <c r="I10094" s="1" t="s">
        <v>33222</v>
      </c>
      <c r="J10094" s="1" t="s">
        <v>3606</v>
      </c>
      <c r="K10094" s="1" t="s">
        <v>33223</v>
      </c>
      <c r="L10094" s="1"/>
      <c r="M10094" s="1"/>
    </row>
    <row x14ac:dyDescent="0.25" r="10095" customHeight="1" ht="18.75">
      <c r="A10095" s="1" t="s">
        <v>3693</v>
      </c>
      <c r="B10095" s="1" t="s">
        <v>4192</v>
      </c>
      <c r="C10095" s="1" t="s">
        <v>3600</v>
      </c>
      <c r="D10095" s="1" t="s">
        <v>533</v>
      </c>
      <c r="E10095" s="1" t="s">
        <v>3611</v>
      </c>
      <c r="F10095" s="1" t="s">
        <v>33224</v>
      </c>
      <c r="G10095" s="1" t="s">
        <v>7024</v>
      </c>
      <c r="H10095" s="1" t="s">
        <v>3604</v>
      </c>
      <c r="I10095" s="1" t="s">
        <v>33225</v>
      </c>
      <c r="J10095" s="1" t="s">
        <v>3615</v>
      </c>
      <c r="K10095" s="1" t="s">
        <v>33226</v>
      </c>
      <c r="L10095" s="1"/>
      <c r="M10095" s="1"/>
    </row>
    <row x14ac:dyDescent="0.25" r="10096" customHeight="1" ht="18.75">
      <c r="A10096" s="1" t="s">
        <v>3598</v>
      </c>
      <c r="B10096" s="1" t="s">
        <v>19642</v>
      </c>
      <c r="C10096" s="1" t="s">
        <v>3600</v>
      </c>
      <c r="D10096" s="1" t="s">
        <v>28428</v>
      </c>
      <c r="E10096" s="1" t="s">
        <v>33214</v>
      </c>
      <c r="F10096" s="1" t="s">
        <v>33227</v>
      </c>
      <c r="G10096" s="1" t="s">
        <v>33228</v>
      </c>
      <c r="H10096" s="1" t="s">
        <v>3604</v>
      </c>
      <c r="I10096" s="1" t="s">
        <v>33229</v>
      </c>
      <c r="J10096" s="1" t="s">
        <v>3615</v>
      </c>
      <c r="K10096" s="1" t="s">
        <v>33230</v>
      </c>
      <c r="L10096" s="1"/>
      <c r="M10096" s="1"/>
    </row>
    <row x14ac:dyDescent="0.25" r="10097" customHeight="1" ht="18.75">
      <c r="A10097" s="1" t="s">
        <v>3598</v>
      </c>
      <c r="B10097" s="1" t="s">
        <v>22799</v>
      </c>
      <c r="C10097" s="1" t="s">
        <v>3600</v>
      </c>
      <c r="D10097" s="1" t="s">
        <v>3601</v>
      </c>
      <c r="E10097" s="1" t="s">
        <v>3611</v>
      </c>
      <c r="F10097" s="1" t="s">
        <v>33231</v>
      </c>
      <c r="G10097" s="1" t="s">
        <v>33232</v>
      </c>
      <c r="H10097" s="1" t="s">
        <v>3604</v>
      </c>
      <c r="I10097" s="1" t="s">
        <v>33233</v>
      </c>
      <c r="J10097" s="1" t="s">
        <v>3615</v>
      </c>
      <c r="K10097" s="1"/>
      <c r="L10097" s="1"/>
      <c r="M10097" s="1"/>
    </row>
    <row x14ac:dyDescent="0.25" r="10098" customHeight="1" ht="18.75">
      <c r="A10098" s="1" t="s">
        <v>3693</v>
      </c>
      <c r="B10098" s="1" t="s">
        <v>4192</v>
      </c>
      <c r="C10098" s="1" t="s">
        <v>3600</v>
      </c>
      <c r="D10098" s="1" t="s">
        <v>533</v>
      </c>
      <c r="E10098" s="1" t="s">
        <v>3611</v>
      </c>
      <c r="F10098" s="1" t="s">
        <v>33234</v>
      </c>
      <c r="G10098" s="1" t="s">
        <v>7024</v>
      </c>
      <c r="H10098" s="1" t="s">
        <v>3604</v>
      </c>
      <c r="I10098" s="1" t="s">
        <v>33235</v>
      </c>
      <c r="J10098" s="1" t="s">
        <v>3615</v>
      </c>
      <c r="K10098" s="1" t="s">
        <v>33236</v>
      </c>
      <c r="L10098" s="1"/>
      <c r="M10098" s="1"/>
    </row>
    <row x14ac:dyDescent="0.25" r="10099" customHeight="1" ht="18.75">
      <c r="A10099" s="1" t="s">
        <v>3617</v>
      </c>
      <c r="B10099" s="1" t="s">
        <v>17702</v>
      </c>
      <c r="C10099" s="1" t="s">
        <v>3619</v>
      </c>
      <c r="D10099" s="1" t="s">
        <v>3601</v>
      </c>
      <c r="E10099" s="1" t="s">
        <v>3730</v>
      </c>
      <c r="F10099" s="1" t="s">
        <v>33237</v>
      </c>
      <c r="G10099" s="1" t="s">
        <v>33238</v>
      </c>
      <c r="H10099" s="1" t="s">
        <v>3604</v>
      </c>
      <c r="I10099" s="1" t="s">
        <v>33239</v>
      </c>
      <c r="J10099" s="1" t="s">
        <v>3615</v>
      </c>
      <c r="K10099" s="1" t="s">
        <v>24181</v>
      </c>
      <c r="L10099" s="1"/>
      <c r="M10099" s="1"/>
    </row>
    <row x14ac:dyDescent="0.25" r="10100" customHeight="1" ht="18.75">
      <c r="A10100" s="1" t="s">
        <v>3693</v>
      </c>
      <c r="B10100" s="1" t="s">
        <v>4192</v>
      </c>
      <c r="C10100" s="1" t="s">
        <v>3600</v>
      </c>
      <c r="D10100" s="1" t="s">
        <v>533</v>
      </c>
      <c r="E10100" s="1" t="s">
        <v>3611</v>
      </c>
      <c r="F10100" s="1" t="s">
        <v>33240</v>
      </c>
      <c r="G10100" s="1" t="s">
        <v>7024</v>
      </c>
      <c r="H10100" s="1" t="s">
        <v>3604</v>
      </c>
      <c r="I10100" s="1" t="s">
        <v>33241</v>
      </c>
      <c r="J10100" s="1" t="s">
        <v>3615</v>
      </c>
      <c r="K10100" s="1" t="s">
        <v>33242</v>
      </c>
      <c r="L10100" s="1"/>
      <c r="M10100" s="1"/>
    </row>
    <row x14ac:dyDescent="0.25" r="10101" customHeight="1" ht="18.75">
      <c r="A10101" s="1" t="s">
        <v>3598</v>
      </c>
      <c r="B10101" s="1" t="s">
        <v>19642</v>
      </c>
      <c r="C10101" s="1" t="s">
        <v>3600</v>
      </c>
      <c r="D10101" s="1" t="s">
        <v>28428</v>
      </c>
      <c r="E10101" s="1" t="s">
        <v>33214</v>
      </c>
      <c r="F10101" s="1" t="s">
        <v>33243</v>
      </c>
      <c r="G10101" s="1" t="s">
        <v>33244</v>
      </c>
      <c r="H10101" s="1" t="s">
        <v>3604</v>
      </c>
      <c r="I10101" s="1" t="s">
        <v>33245</v>
      </c>
      <c r="J10101" s="1" t="s">
        <v>3615</v>
      </c>
      <c r="K10101" s="1" t="s">
        <v>33246</v>
      </c>
      <c r="L10101" s="1"/>
      <c r="M10101" s="1"/>
    </row>
    <row x14ac:dyDescent="0.25" r="10102" customHeight="1" ht="18.75">
      <c r="A10102" s="1" t="s">
        <v>3693</v>
      </c>
      <c r="B10102" s="1" t="s">
        <v>4192</v>
      </c>
      <c r="C10102" s="1" t="s">
        <v>3600</v>
      </c>
      <c r="D10102" s="1" t="s">
        <v>533</v>
      </c>
      <c r="E10102" s="1" t="s">
        <v>3611</v>
      </c>
      <c r="F10102" s="1" t="s">
        <v>33247</v>
      </c>
      <c r="G10102" s="1" t="s">
        <v>7024</v>
      </c>
      <c r="H10102" s="1" t="s">
        <v>3604</v>
      </c>
      <c r="I10102" s="1" t="s">
        <v>33248</v>
      </c>
      <c r="J10102" s="1" t="s">
        <v>3615</v>
      </c>
      <c r="K10102" s="1" t="s">
        <v>33249</v>
      </c>
      <c r="L10102" s="1"/>
      <c r="M10102" s="1"/>
    </row>
    <row x14ac:dyDescent="0.25" r="10103" customHeight="1" ht="18.75">
      <c r="A10103" s="1" t="s">
        <v>7833</v>
      </c>
      <c r="B10103" s="1" t="s">
        <v>9824</v>
      </c>
      <c r="C10103" s="1" t="s">
        <v>4488</v>
      </c>
      <c r="D10103" s="1" t="s">
        <v>3601</v>
      </c>
      <c r="E10103" s="1" t="s">
        <v>3611</v>
      </c>
      <c r="F10103" s="1" t="s">
        <v>33250</v>
      </c>
      <c r="G10103" s="1" t="s">
        <v>14305</v>
      </c>
      <c r="H10103" s="1" t="s">
        <v>3604</v>
      </c>
      <c r="I10103" s="1" t="s">
        <v>33251</v>
      </c>
      <c r="J10103" s="1" t="s">
        <v>3606</v>
      </c>
      <c r="K10103" s="1" t="s">
        <v>33252</v>
      </c>
      <c r="L10103" s="1"/>
      <c r="M10103" s="1"/>
    </row>
    <row x14ac:dyDescent="0.25" r="10104" customHeight="1" ht="18.75">
      <c r="A10104" s="1" t="s">
        <v>3617</v>
      </c>
      <c r="B10104" s="1" t="s">
        <v>17702</v>
      </c>
      <c r="C10104" s="1" t="s">
        <v>3619</v>
      </c>
      <c r="D10104" s="1" t="s">
        <v>3601</v>
      </c>
      <c r="E10104" s="1" t="s">
        <v>3730</v>
      </c>
      <c r="F10104" s="1" t="s">
        <v>33253</v>
      </c>
      <c r="G10104" s="1" t="s">
        <v>33238</v>
      </c>
      <c r="H10104" s="1" t="s">
        <v>3604</v>
      </c>
      <c r="I10104" s="1" t="s">
        <v>33254</v>
      </c>
      <c r="J10104" s="1" t="s">
        <v>3615</v>
      </c>
      <c r="K10104" s="1" t="s">
        <v>24181</v>
      </c>
      <c r="L10104" s="1"/>
      <c r="M10104" s="1"/>
    </row>
    <row x14ac:dyDescent="0.25" r="10105" customHeight="1" ht="18.75">
      <c r="A10105" s="1" t="s">
        <v>3598</v>
      </c>
      <c r="B10105" s="1" t="s">
        <v>14104</v>
      </c>
      <c r="C10105" s="1" t="s">
        <v>3600</v>
      </c>
      <c r="D10105" s="1" t="s">
        <v>28428</v>
      </c>
      <c r="E10105" s="1" t="s">
        <v>3893</v>
      </c>
      <c r="F10105" s="1" t="s">
        <v>33255</v>
      </c>
      <c r="G10105" s="1" t="s">
        <v>33256</v>
      </c>
      <c r="H10105" s="1" t="s">
        <v>3604</v>
      </c>
      <c r="I10105" s="1" t="s">
        <v>33257</v>
      </c>
      <c r="J10105" s="1" t="s">
        <v>3615</v>
      </c>
      <c r="K10105" s="1" t="s">
        <v>33258</v>
      </c>
      <c r="L10105" s="1"/>
      <c r="M10105" s="1"/>
    </row>
    <row x14ac:dyDescent="0.25" r="10106" customHeight="1" ht="18.75">
      <c r="A10106" s="1" t="s">
        <v>7833</v>
      </c>
      <c r="B10106" s="1" t="s">
        <v>33195</v>
      </c>
      <c r="C10106" s="1" t="s">
        <v>4488</v>
      </c>
      <c r="D10106" s="1" t="s">
        <v>3601</v>
      </c>
      <c r="E10106" s="1" t="s">
        <v>3664</v>
      </c>
      <c r="F10106" s="1" t="s">
        <v>33259</v>
      </c>
      <c r="G10106" s="1" t="s">
        <v>20759</v>
      </c>
      <c r="H10106" s="1" t="s">
        <v>3604</v>
      </c>
      <c r="I10106" s="1" t="s">
        <v>33260</v>
      </c>
      <c r="J10106" s="1" t="s">
        <v>3615</v>
      </c>
      <c r="K10106" s="1" t="s">
        <v>17318</v>
      </c>
      <c r="L10106" s="1"/>
      <c r="M10106" s="1"/>
    </row>
    <row x14ac:dyDescent="0.25" r="10107" customHeight="1" ht="18.75">
      <c r="A10107" s="1" t="s">
        <v>3598</v>
      </c>
      <c r="B10107" s="1" t="s">
        <v>5260</v>
      </c>
      <c r="C10107" s="1" t="s">
        <v>3600</v>
      </c>
      <c r="D10107" s="1" t="s">
        <v>3610</v>
      </c>
      <c r="E10107" s="1" t="s">
        <v>3752</v>
      </c>
      <c r="F10107" s="1" t="s">
        <v>33261</v>
      </c>
      <c r="G10107" s="1" t="s">
        <v>17246</v>
      </c>
      <c r="H10107" s="1" t="s">
        <v>3604</v>
      </c>
      <c r="I10107" s="1" t="s">
        <v>33262</v>
      </c>
      <c r="J10107" s="1" t="s">
        <v>3615</v>
      </c>
      <c r="K10107" s="1" t="s">
        <v>26944</v>
      </c>
      <c r="L10107" s="1"/>
      <c r="M10107" s="1"/>
    </row>
    <row x14ac:dyDescent="0.25" r="10108" customHeight="1" ht="18.75">
      <c r="A10108" s="1" t="s">
        <v>7833</v>
      </c>
      <c r="B10108" s="1" t="s">
        <v>9824</v>
      </c>
      <c r="C10108" s="1" t="s">
        <v>4488</v>
      </c>
      <c r="D10108" s="1" t="s">
        <v>3601</v>
      </c>
      <c r="E10108" s="1" t="s">
        <v>3611</v>
      </c>
      <c r="F10108" s="1" t="s">
        <v>33263</v>
      </c>
      <c r="G10108" s="1" t="s">
        <v>14305</v>
      </c>
      <c r="H10108" s="1" t="s">
        <v>3604</v>
      </c>
      <c r="I10108" s="1" t="s">
        <v>33264</v>
      </c>
      <c r="J10108" s="1" t="s">
        <v>3606</v>
      </c>
      <c r="K10108" s="1" t="s">
        <v>33265</v>
      </c>
      <c r="L10108" s="1"/>
      <c r="M10108" s="1"/>
    </row>
    <row x14ac:dyDescent="0.25" r="10109" customHeight="1" ht="18.75">
      <c r="A10109" s="1" t="s">
        <v>3598</v>
      </c>
      <c r="B10109" s="1" t="s">
        <v>14104</v>
      </c>
      <c r="C10109" s="1" t="s">
        <v>3600</v>
      </c>
      <c r="D10109" s="1" t="s">
        <v>28428</v>
      </c>
      <c r="E10109" s="1" t="s">
        <v>3893</v>
      </c>
      <c r="F10109" s="1" t="s">
        <v>33266</v>
      </c>
      <c r="G10109" s="1" t="s">
        <v>33267</v>
      </c>
      <c r="H10109" s="1" t="s">
        <v>3604</v>
      </c>
      <c r="I10109" s="1" t="s">
        <v>33268</v>
      </c>
      <c r="J10109" s="1" t="s">
        <v>3615</v>
      </c>
      <c r="K10109" s="1" t="s">
        <v>33269</v>
      </c>
      <c r="L10109" s="1"/>
      <c r="M10109" s="1"/>
    </row>
    <row x14ac:dyDescent="0.25" r="10110" customHeight="1" ht="18.75">
      <c r="A10110" s="1" t="s">
        <v>3598</v>
      </c>
      <c r="B10110" s="1" t="s">
        <v>5260</v>
      </c>
      <c r="C10110" s="1" t="s">
        <v>3600</v>
      </c>
      <c r="D10110" s="1" t="s">
        <v>3610</v>
      </c>
      <c r="E10110" s="1" t="s">
        <v>3752</v>
      </c>
      <c r="F10110" s="1" t="s">
        <v>33270</v>
      </c>
      <c r="G10110" s="1" t="s">
        <v>17246</v>
      </c>
      <c r="H10110" s="1" t="s">
        <v>3604</v>
      </c>
      <c r="I10110" s="1" t="s">
        <v>33271</v>
      </c>
      <c r="J10110" s="1" t="s">
        <v>3615</v>
      </c>
      <c r="K10110" s="1" t="s">
        <v>26781</v>
      </c>
      <c r="L10110" s="1"/>
      <c r="M10110" s="1"/>
    </row>
    <row x14ac:dyDescent="0.25" r="10111" customHeight="1" ht="18.75">
      <c r="A10111" s="1" t="s">
        <v>3598</v>
      </c>
      <c r="B10111" s="1" t="s">
        <v>22799</v>
      </c>
      <c r="C10111" s="1" t="s">
        <v>3600</v>
      </c>
      <c r="D10111" s="1" t="s">
        <v>3601</v>
      </c>
      <c r="E10111" s="1" t="s">
        <v>3611</v>
      </c>
      <c r="F10111" s="1" t="s">
        <v>33272</v>
      </c>
      <c r="G10111" s="1" t="s">
        <v>33273</v>
      </c>
      <c r="H10111" s="1" t="s">
        <v>3604</v>
      </c>
      <c r="I10111" s="1" t="s">
        <v>33274</v>
      </c>
      <c r="J10111" s="1" t="s">
        <v>3615</v>
      </c>
      <c r="K10111" s="1"/>
      <c r="L10111" s="1"/>
      <c r="M10111" s="1"/>
    </row>
    <row x14ac:dyDescent="0.25" r="10112" customHeight="1" ht="18.75">
      <c r="A10112" s="1" t="s">
        <v>7833</v>
      </c>
      <c r="B10112" s="1" t="s">
        <v>9824</v>
      </c>
      <c r="C10112" s="1" t="s">
        <v>4488</v>
      </c>
      <c r="D10112" s="1" t="s">
        <v>3601</v>
      </c>
      <c r="E10112" s="1" t="s">
        <v>3611</v>
      </c>
      <c r="F10112" s="1" t="s">
        <v>33275</v>
      </c>
      <c r="G10112" s="1" t="s">
        <v>14305</v>
      </c>
      <c r="H10112" s="1" t="s">
        <v>3604</v>
      </c>
      <c r="I10112" s="1" t="s">
        <v>33276</v>
      </c>
      <c r="J10112" s="1" t="s">
        <v>3606</v>
      </c>
      <c r="K10112" s="1" t="s">
        <v>33163</v>
      </c>
      <c r="L10112" s="1"/>
      <c r="M10112" s="1"/>
    </row>
    <row x14ac:dyDescent="0.25" r="10113" customHeight="1" ht="18.75">
      <c r="A10113" s="1" t="s">
        <v>3598</v>
      </c>
      <c r="B10113" s="1" t="s">
        <v>22799</v>
      </c>
      <c r="C10113" s="1" t="s">
        <v>3600</v>
      </c>
      <c r="D10113" s="1" t="s">
        <v>3601</v>
      </c>
      <c r="E10113" s="1" t="s">
        <v>3611</v>
      </c>
      <c r="F10113" s="1" t="s">
        <v>33277</v>
      </c>
      <c r="G10113" s="1" t="s">
        <v>33278</v>
      </c>
      <c r="H10113" s="1" t="s">
        <v>3604</v>
      </c>
      <c r="I10113" s="1" t="s">
        <v>33279</v>
      </c>
      <c r="J10113" s="1" t="s">
        <v>3615</v>
      </c>
      <c r="K10113" s="1"/>
      <c r="L10113" s="1"/>
      <c r="M10113" s="1"/>
    </row>
    <row x14ac:dyDescent="0.25" r="10114" customHeight="1" ht="18.75">
      <c r="A10114" s="1" t="s">
        <v>3598</v>
      </c>
      <c r="B10114" s="1" t="s">
        <v>5260</v>
      </c>
      <c r="C10114" s="1" t="s">
        <v>3600</v>
      </c>
      <c r="D10114" s="1" t="s">
        <v>3610</v>
      </c>
      <c r="E10114" s="1" t="s">
        <v>3752</v>
      </c>
      <c r="F10114" s="1" t="s">
        <v>33280</v>
      </c>
      <c r="G10114" s="1" t="s">
        <v>17246</v>
      </c>
      <c r="H10114" s="1" t="s">
        <v>3604</v>
      </c>
      <c r="I10114" s="1" t="s">
        <v>33281</v>
      </c>
      <c r="J10114" s="1" t="s">
        <v>3615</v>
      </c>
      <c r="K10114" s="1" t="s">
        <v>26951</v>
      </c>
      <c r="L10114" s="1"/>
      <c r="M10114" s="1"/>
    </row>
    <row x14ac:dyDescent="0.25" r="10115" customHeight="1" ht="18.75">
      <c r="A10115" s="1" t="s">
        <v>3598</v>
      </c>
      <c r="B10115" s="1" t="s">
        <v>22799</v>
      </c>
      <c r="C10115" s="1" t="s">
        <v>3600</v>
      </c>
      <c r="D10115" s="1" t="s">
        <v>3601</v>
      </c>
      <c r="E10115" s="1" t="s">
        <v>3611</v>
      </c>
      <c r="F10115" s="1" t="s">
        <v>33282</v>
      </c>
      <c r="G10115" s="1" t="s">
        <v>33283</v>
      </c>
      <c r="H10115" s="1" t="s">
        <v>3604</v>
      </c>
      <c r="I10115" s="1" t="s">
        <v>33284</v>
      </c>
      <c r="J10115" s="1" t="s">
        <v>3615</v>
      </c>
      <c r="K10115" s="1"/>
      <c r="L10115" s="1"/>
      <c r="M10115" s="1"/>
    </row>
    <row x14ac:dyDescent="0.25" r="10116" customHeight="1" ht="18.75">
      <c r="A10116" s="1" t="s">
        <v>7833</v>
      </c>
      <c r="B10116" s="1" t="s">
        <v>9824</v>
      </c>
      <c r="C10116" s="1" t="s">
        <v>4488</v>
      </c>
      <c r="D10116" s="1" t="s">
        <v>3601</v>
      </c>
      <c r="E10116" s="1" t="s">
        <v>3611</v>
      </c>
      <c r="F10116" s="1" t="s">
        <v>33285</v>
      </c>
      <c r="G10116" s="1" t="s">
        <v>14305</v>
      </c>
      <c r="H10116" s="1" t="s">
        <v>3604</v>
      </c>
      <c r="I10116" s="1" t="s">
        <v>33286</v>
      </c>
      <c r="J10116" s="1" t="s">
        <v>3606</v>
      </c>
      <c r="K10116" s="1" t="s">
        <v>33252</v>
      </c>
      <c r="L10116" s="1"/>
      <c r="M10116" s="1"/>
    </row>
    <row x14ac:dyDescent="0.25" r="10117" customHeight="1" ht="18.75">
      <c r="A10117" s="1" t="s">
        <v>3598</v>
      </c>
      <c r="B10117" s="1" t="s">
        <v>5260</v>
      </c>
      <c r="C10117" s="1" t="s">
        <v>3600</v>
      </c>
      <c r="D10117" s="1" t="s">
        <v>3610</v>
      </c>
      <c r="E10117" s="1" t="s">
        <v>3752</v>
      </c>
      <c r="F10117" s="1" t="s">
        <v>33287</v>
      </c>
      <c r="G10117" s="1" t="s">
        <v>17246</v>
      </c>
      <c r="H10117" s="1" t="s">
        <v>3604</v>
      </c>
      <c r="I10117" s="1" t="s">
        <v>33288</v>
      </c>
      <c r="J10117" s="1" t="s">
        <v>3615</v>
      </c>
      <c r="K10117" s="1" t="s">
        <v>26954</v>
      </c>
      <c r="L10117" s="1"/>
      <c r="M10117" s="1"/>
    </row>
    <row x14ac:dyDescent="0.25" r="10118" customHeight="1" ht="18.75">
      <c r="A10118" s="1" t="s">
        <v>3617</v>
      </c>
      <c r="B10118" s="1" t="s">
        <v>4455</v>
      </c>
      <c r="C10118" s="1" t="s">
        <v>3619</v>
      </c>
      <c r="D10118" s="1" t="s">
        <v>7891</v>
      </c>
      <c r="E10118" s="1" t="s">
        <v>3981</v>
      </c>
      <c r="F10118" s="1" t="s">
        <v>33289</v>
      </c>
      <c r="G10118" s="1" t="s">
        <v>33139</v>
      </c>
      <c r="H10118" s="1" t="s">
        <v>3604</v>
      </c>
      <c r="I10118" s="1" t="s">
        <v>33290</v>
      </c>
      <c r="J10118" s="1" t="s">
        <v>3606</v>
      </c>
      <c r="K10118" s="1" t="s">
        <v>33291</v>
      </c>
      <c r="L10118" s="1"/>
      <c r="M10118" s="1"/>
    </row>
    <row x14ac:dyDescent="0.25" r="10119" customHeight="1" ht="18.75">
      <c r="A10119" s="1" t="s">
        <v>3617</v>
      </c>
      <c r="B10119" s="1" t="s">
        <v>17702</v>
      </c>
      <c r="C10119" s="1" t="s">
        <v>3619</v>
      </c>
      <c r="D10119" s="1" t="s">
        <v>3601</v>
      </c>
      <c r="E10119" s="1" t="s">
        <v>3730</v>
      </c>
      <c r="F10119" s="1" t="s">
        <v>33292</v>
      </c>
      <c r="G10119" s="1" t="s">
        <v>14156</v>
      </c>
      <c r="H10119" s="1" t="s">
        <v>3604</v>
      </c>
      <c r="I10119" s="1" t="s">
        <v>33293</v>
      </c>
      <c r="J10119" s="1" t="s">
        <v>3615</v>
      </c>
      <c r="K10119" s="1" t="s">
        <v>24181</v>
      </c>
      <c r="L10119" s="1"/>
      <c r="M10119" s="1"/>
    </row>
    <row x14ac:dyDescent="0.25" r="10120" customHeight="1" ht="18.75">
      <c r="A10120" s="1" t="s">
        <v>3598</v>
      </c>
      <c r="B10120" s="1" t="s">
        <v>5260</v>
      </c>
      <c r="C10120" s="1" t="s">
        <v>3600</v>
      </c>
      <c r="D10120" s="1" t="s">
        <v>3610</v>
      </c>
      <c r="E10120" s="1" t="s">
        <v>3752</v>
      </c>
      <c r="F10120" s="1" t="s">
        <v>33294</v>
      </c>
      <c r="G10120" s="1" t="s">
        <v>31036</v>
      </c>
      <c r="H10120" s="1" t="s">
        <v>3604</v>
      </c>
      <c r="I10120" s="1" t="s">
        <v>33295</v>
      </c>
      <c r="J10120" s="1" t="s">
        <v>3615</v>
      </c>
      <c r="K10120" s="1" t="s">
        <v>27556</v>
      </c>
      <c r="L10120" s="1"/>
      <c r="M10120" s="1"/>
    </row>
    <row x14ac:dyDescent="0.25" r="10121" customHeight="1" ht="18.75">
      <c r="A10121" s="1" t="s">
        <v>7833</v>
      </c>
      <c r="B10121" s="1" t="s">
        <v>33195</v>
      </c>
      <c r="C10121" s="1" t="s">
        <v>4488</v>
      </c>
      <c r="D10121" s="1" t="s">
        <v>3601</v>
      </c>
      <c r="E10121" s="1" t="s">
        <v>3664</v>
      </c>
      <c r="F10121" s="1" t="s">
        <v>33296</v>
      </c>
      <c r="G10121" s="1" t="s">
        <v>20759</v>
      </c>
      <c r="H10121" s="1" t="s">
        <v>3604</v>
      </c>
      <c r="I10121" s="1" t="s">
        <v>33297</v>
      </c>
      <c r="J10121" s="1" t="s">
        <v>3615</v>
      </c>
      <c r="K10121" s="1" t="s">
        <v>17318</v>
      </c>
      <c r="L10121" s="1"/>
      <c r="M10121" s="1"/>
    </row>
    <row x14ac:dyDescent="0.25" r="10122" customHeight="1" ht="18.75">
      <c r="A10122" s="1" t="s">
        <v>3598</v>
      </c>
      <c r="B10122" s="1" t="s">
        <v>5260</v>
      </c>
      <c r="C10122" s="1" t="s">
        <v>3600</v>
      </c>
      <c r="D10122" s="1" t="s">
        <v>3610</v>
      </c>
      <c r="E10122" s="1" t="s">
        <v>3752</v>
      </c>
      <c r="F10122" s="1" t="s">
        <v>33298</v>
      </c>
      <c r="G10122" s="1" t="s">
        <v>31036</v>
      </c>
      <c r="H10122" s="1" t="s">
        <v>3604</v>
      </c>
      <c r="I10122" s="1" t="s">
        <v>33299</v>
      </c>
      <c r="J10122" s="1" t="s">
        <v>3615</v>
      </c>
      <c r="K10122" s="1" t="s">
        <v>27559</v>
      </c>
      <c r="L10122" s="1"/>
      <c r="M10122" s="1"/>
    </row>
    <row x14ac:dyDescent="0.25" r="10123" customHeight="1" ht="18.75">
      <c r="A10123" s="1" t="s">
        <v>3617</v>
      </c>
      <c r="B10123" s="1" t="s">
        <v>3617</v>
      </c>
      <c r="C10123" s="1" t="s">
        <v>3619</v>
      </c>
      <c r="D10123" s="1" t="s">
        <v>3601</v>
      </c>
      <c r="E10123" s="1" t="s">
        <v>3730</v>
      </c>
      <c r="F10123" s="1" t="s">
        <v>33292</v>
      </c>
      <c r="G10123" s="1" t="s">
        <v>14156</v>
      </c>
      <c r="H10123" s="1" t="s">
        <v>3604</v>
      </c>
      <c r="I10123" s="1" t="s">
        <v>33300</v>
      </c>
      <c r="J10123" s="1" t="s">
        <v>3615</v>
      </c>
      <c r="K10123" s="1" t="s">
        <v>24181</v>
      </c>
      <c r="L10123" s="1"/>
      <c r="M10123" s="1"/>
    </row>
    <row x14ac:dyDescent="0.25" r="10124" customHeight="1" ht="18.75">
      <c r="A10124" s="1" t="s">
        <v>3617</v>
      </c>
      <c r="B10124" s="1" t="s">
        <v>3617</v>
      </c>
      <c r="C10124" s="1" t="s">
        <v>3619</v>
      </c>
      <c r="D10124" s="1" t="s">
        <v>3601</v>
      </c>
      <c r="E10124" s="1" t="s">
        <v>3730</v>
      </c>
      <c r="F10124" s="1" t="s">
        <v>33301</v>
      </c>
      <c r="G10124" s="1" t="s">
        <v>14156</v>
      </c>
      <c r="H10124" s="1" t="s">
        <v>3604</v>
      </c>
      <c r="I10124" s="1" t="s">
        <v>33302</v>
      </c>
      <c r="J10124" s="1" t="s">
        <v>3615</v>
      </c>
      <c r="K10124" s="1" t="s">
        <v>24181</v>
      </c>
      <c r="L10124" s="1"/>
      <c r="M10124" s="1"/>
    </row>
    <row x14ac:dyDescent="0.25" r="10125" customHeight="1" ht="18.75">
      <c r="A10125" s="1" t="s">
        <v>3617</v>
      </c>
      <c r="B10125" s="1" t="s">
        <v>4455</v>
      </c>
      <c r="C10125" s="1" t="s">
        <v>3619</v>
      </c>
      <c r="D10125" s="1" t="s">
        <v>7891</v>
      </c>
      <c r="E10125" s="1" t="s">
        <v>3730</v>
      </c>
      <c r="F10125" s="1" t="s">
        <v>33303</v>
      </c>
      <c r="G10125" s="1" t="s">
        <v>33139</v>
      </c>
      <c r="H10125" s="1" t="s">
        <v>3604</v>
      </c>
      <c r="I10125" s="1" t="s">
        <v>33304</v>
      </c>
      <c r="J10125" s="1" t="s">
        <v>3606</v>
      </c>
      <c r="K10125" s="1" t="s">
        <v>33305</v>
      </c>
      <c r="L10125" s="1"/>
      <c r="M10125" s="1"/>
    </row>
    <row x14ac:dyDescent="0.25" r="10126" customHeight="1" ht="18.75">
      <c r="A10126" s="1" t="s">
        <v>3598</v>
      </c>
      <c r="B10126" s="1" t="s">
        <v>30861</v>
      </c>
      <c r="C10126" s="1" t="s">
        <v>3600</v>
      </c>
      <c r="D10126" s="1" t="s">
        <v>3601</v>
      </c>
      <c r="E10126" s="1" t="s">
        <v>3611</v>
      </c>
      <c r="F10126" s="1" t="s">
        <v>33306</v>
      </c>
      <c r="G10126" s="1" t="s">
        <v>33307</v>
      </c>
      <c r="H10126" s="1" t="s">
        <v>3604</v>
      </c>
      <c r="I10126" s="1" t="s">
        <v>33308</v>
      </c>
      <c r="J10126" s="1" t="s">
        <v>3615</v>
      </c>
      <c r="K10126" s="1"/>
      <c r="L10126" s="1"/>
      <c r="M10126" s="1"/>
    </row>
    <row x14ac:dyDescent="0.25" r="10127" customHeight="1" ht="18.75">
      <c r="A10127" s="1" t="s">
        <v>3598</v>
      </c>
      <c r="B10127" s="1" t="s">
        <v>30861</v>
      </c>
      <c r="C10127" s="1" t="s">
        <v>3600</v>
      </c>
      <c r="D10127" s="1" t="s">
        <v>3601</v>
      </c>
      <c r="E10127" s="1" t="s">
        <v>3611</v>
      </c>
      <c r="F10127" s="1" t="s">
        <v>33309</v>
      </c>
      <c r="G10127" s="1" t="s">
        <v>33310</v>
      </c>
      <c r="H10127" s="1" t="s">
        <v>3604</v>
      </c>
      <c r="I10127" s="1" t="s">
        <v>33311</v>
      </c>
      <c r="J10127" s="1" t="s">
        <v>3615</v>
      </c>
      <c r="K10127" s="1"/>
      <c r="L10127" s="1"/>
      <c r="M10127" s="1"/>
    </row>
    <row x14ac:dyDescent="0.25" r="10128" customHeight="1" ht="18.75">
      <c r="A10128" s="1" t="s">
        <v>3617</v>
      </c>
      <c r="B10128" s="1" t="s">
        <v>33109</v>
      </c>
      <c r="C10128" s="1" t="s">
        <v>3619</v>
      </c>
      <c r="D10128" s="1" t="s">
        <v>3601</v>
      </c>
      <c r="E10128" s="1" t="s">
        <v>3981</v>
      </c>
      <c r="F10128" s="1" t="s">
        <v>33312</v>
      </c>
      <c r="G10128" s="1" t="s">
        <v>33111</v>
      </c>
      <c r="H10128" s="1" t="s">
        <v>3604</v>
      </c>
      <c r="I10128" s="1" t="s">
        <v>33313</v>
      </c>
      <c r="J10128" s="1" t="s">
        <v>3615</v>
      </c>
      <c r="K10128" s="1" t="s">
        <v>33314</v>
      </c>
      <c r="L10128" s="1"/>
      <c r="M10128" s="1"/>
    </row>
    <row x14ac:dyDescent="0.25" r="10129" customHeight="1" ht="18.75">
      <c r="A10129" s="1" t="s">
        <v>7833</v>
      </c>
      <c r="B10129" s="1" t="s">
        <v>9824</v>
      </c>
      <c r="C10129" s="1" t="s">
        <v>4488</v>
      </c>
      <c r="D10129" s="1" t="s">
        <v>3601</v>
      </c>
      <c r="E10129" s="1" t="s">
        <v>3611</v>
      </c>
      <c r="F10129" s="1" t="s">
        <v>33315</v>
      </c>
      <c r="G10129" s="1" t="s">
        <v>14305</v>
      </c>
      <c r="H10129" s="1" t="s">
        <v>3604</v>
      </c>
      <c r="I10129" s="1" t="s">
        <v>33316</v>
      </c>
      <c r="J10129" s="1" t="s">
        <v>3606</v>
      </c>
      <c r="K10129" s="1" t="s">
        <v>33207</v>
      </c>
      <c r="L10129" s="1"/>
      <c r="M10129" s="1"/>
    </row>
    <row x14ac:dyDescent="0.25" r="10130" customHeight="1" ht="18.75">
      <c r="A10130" s="1" t="s">
        <v>3617</v>
      </c>
      <c r="B10130" s="1" t="s">
        <v>17702</v>
      </c>
      <c r="C10130" s="1" t="s">
        <v>3619</v>
      </c>
      <c r="D10130" s="1" t="s">
        <v>3601</v>
      </c>
      <c r="E10130" s="1" t="s">
        <v>3730</v>
      </c>
      <c r="F10130" s="1" t="s">
        <v>33317</v>
      </c>
      <c r="G10130" s="1" t="s">
        <v>17707</v>
      </c>
      <c r="H10130" s="1" t="s">
        <v>3604</v>
      </c>
      <c r="I10130" s="1" t="s">
        <v>33318</v>
      </c>
      <c r="J10130" s="1" t="s">
        <v>3615</v>
      </c>
      <c r="K10130" s="1" t="s">
        <v>24181</v>
      </c>
      <c r="L10130" s="1"/>
      <c r="M10130" s="1"/>
    </row>
    <row x14ac:dyDescent="0.25" r="10131" customHeight="1" ht="18.75">
      <c r="A10131" s="1" t="s">
        <v>3617</v>
      </c>
      <c r="B10131" s="1" t="s">
        <v>4455</v>
      </c>
      <c r="C10131" s="1" t="s">
        <v>3619</v>
      </c>
      <c r="D10131" s="1" t="s">
        <v>7891</v>
      </c>
      <c r="E10131" s="1" t="s">
        <v>3730</v>
      </c>
      <c r="F10131" s="1" t="s">
        <v>33319</v>
      </c>
      <c r="G10131" s="1" t="s">
        <v>33139</v>
      </c>
      <c r="H10131" s="1" t="s">
        <v>3604</v>
      </c>
      <c r="I10131" s="1" t="s">
        <v>33320</v>
      </c>
      <c r="J10131" s="1" t="s">
        <v>3606</v>
      </c>
      <c r="K10131" s="1" t="s">
        <v>33321</v>
      </c>
      <c r="L10131" s="1"/>
      <c r="M10131" s="1"/>
    </row>
    <row x14ac:dyDescent="0.25" r="10132" customHeight="1" ht="18.75">
      <c r="A10132" s="1" t="s">
        <v>3617</v>
      </c>
      <c r="B10132" s="1" t="s">
        <v>17702</v>
      </c>
      <c r="C10132" s="1" t="s">
        <v>3619</v>
      </c>
      <c r="D10132" s="1" t="s">
        <v>3601</v>
      </c>
      <c r="E10132" s="1" t="s">
        <v>3730</v>
      </c>
      <c r="F10132" s="1" t="s">
        <v>33322</v>
      </c>
      <c r="G10132" s="1" t="s">
        <v>17711</v>
      </c>
      <c r="H10132" s="1" t="s">
        <v>3604</v>
      </c>
      <c r="I10132" s="1" t="s">
        <v>33323</v>
      </c>
      <c r="J10132" s="1" t="s">
        <v>3615</v>
      </c>
      <c r="K10132" s="1" t="s">
        <v>24181</v>
      </c>
      <c r="L10132" s="1"/>
      <c r="M10132" s="1"/>
    </row>
    <row x14ac:dyDescent="0.25" r="10133" customHeight="1" ht="18.75">
      <c r="A10133" s="1" t="s">
        <v>3617</v>
      </c>
      <c r="B10133" s="1" t="s">
        <v>33109</v>
      </c>
      <c r="C10133" s="1" t="s">
        <v>3619</v>
      </c>
      <c r="D10133" s="1" t="s">
        <v>3601</v>
      </c>
      <c r="E10133" s="1" t="s">
        <v>3981</v>
      </c>
      <c r="F10133" s="1" t="s">
        <v>33324</v>
      </c>
      <c r="G10133" s="1" t="s">
        <v>33121</v>
      </c>
      <c r="H10133" s="1" t="s">
        <v>3604</v>
      </c>
      <c r="I10133" s="1" t="s">
        <v>33325</v>
      </c>
      <c r="J10133" s="1" t="s">
        <v>3615</v>
      </c>
      <c r="K10133" s="1" t="s">
        <v>33326</v>
      </c>
      <c r="L10133" s="1"/>
      <c r="M10133" s="1"/>
    </row>
    <row x14ac:dyDescent="0.25" r="10134" customHeight="1" ht="18.75">
      <c r="A10134" s="1" t="s">
        <v>3617</v>
      </c>
      <c r="B10134" s="1" t="s">
        <v>4455</v>
      </c>
      <c r="C10134" s="1" t="s">
        <v>3619</v>
      </c>
      <c r="D10134" s="1" t="s">
        <v>7891</v>
      </c>
      <c r="E10134" s="1" t="s">
        <v>3730</v>
      </c>
      <c r="F10134" s="1" t="s">
        <v>33327</v>
      </c>
      <c r="G10134" s="1" t="s">
        <v>33139</v>
      </c>
      <c r="H10134" s="1" t="s">
        <v>3604</v>
      </c>
      <c r="I10134" s="1" t="s">
        <v>33328</v>
      </c>
      <c r="J10134" s="1" t="s">
        <v>3606</v>
      </c>
      <c r="K10134" s="1" t="s">
        <v>33329</v>
      </c>
      <c r="L10134" s="1"/>
      <c r="M10134" s="1"/>
    </row>
    <row x14ac:dyDescent="0.25" r="10135" customHeight="1" ht="18.75">
      <c r="A10135" s="1" t="s">
        <v>3617</v>
      </c>
      <c r="B10135" s="1" t="s">
        <v>33109</v>
      </c>
      <c r="C10135" s="1" t="s">
        <v>3619</v>
      </c>
      <c r="D10135" s="1" t="s">
        <v>3601</v>
      </c>
      <c r="E10135" s="1" t="s">
        <v>3981</v>
      </c>
      <c r="F10135" s="1" t="s">
        <v>33330</v>
      </c>
      <c r="G10135" s="1" t="s">
        <v>33150</v>
      </c>
      <c r="H10135" s="1" t="s">
        <v>3604</v>
      </c>
      <c r="I10135" s="1" t="s">
        <v>33331</v>
      </c>
      <c r="J10135" s="1" t="s">
        <v>3615</v>
      </c>
      <c r="K10135" s="1" t="s">
        <v>33332</v>
      </c>
      <c r="L10135" s="1"/>
      <c r="M10135" s="1"/>
    </row>
    <row x14ac:dyDescent="0.25" r="10136" customHeight="1" ht="18.75">
      <c r="A10136" s="1" t="s">
        <v>7833</v>
      </c>
      <c r="B10136" s="1" t="s">
        <v>33333</v>
      </c>
      <c r="C10136" s="1" t="s">
        <v>4488</v>
      </c>
      <c r="D10136" s="1" t="s">
        <v>3601</v>
      </c>
      <c r="E10136" s="1" t="s">
        <v>3664</v>
      </c>
      <c r="F10136" s="1" t="s">
        <v>33334</v>
      </c>
      <c r="G10136" s="1" t="s">
        <v>33335</v>
      </c>
      <c r="H10136" s="1" t="s">
        <v>3604</v>
      </c>
      <c r="I10136" s="1" t="s">
        <v>33336</v>
      </c>
      <c r="J10136" s="1" t="s">
        <v>3615</v>
      </c>
      <c r="K10136" s="1" t="s">
        <v>16372</v>
      </c>
      <c r="L10136" s="1"/>
      <c r="M10136" s="1"/>
    </row>
    <row x14ac:dyDescent="0.25" r="10137" customHeight="1" ht="18.75">
      <c r="A10137" s="1" t="s">
        <v>3617</v>
      </c>
      <c r="B10137" s="1" t="s">
        <v>4455</v>
      </c>
      <c r="C10137" s="1" t="s">
        <v>3619</v>
      </c>
      <c r="D10137" s="1" t="s">
        <v>7891</v>
      </c>
      <c r="E10137" s="1" t="s">
        <v>3730</v>
      </c>
      <c r="F10137" s="1" t="s">
        <v>33337</v>
      </c>
      <c r="G10137" s="1" t="s">
        <v>33139</v>
      </c>
      <c r="H10137" s="1" t="s">
        <v>3604</v>
      </c>
      <c r="I10137" s="1" t="s">
        <v>33338</v>
      </c>
      <c r="J10137" s="1" t="s">
        <v>3606</v>
      </c>
      <c r="K10137" s="1" t="s">
        <v>33339</v>
      </c>
      <c r="L10137" s="1"/>
      <c r="M10137" s="1"/>
    </row>
    <row x14ac:dyDescent="0.25" r="10138" customHeight="1" ht="18.75">
      <c r="A10138" s="1" t="s">
        <v>3617</v>
      </c>
      <c r="B10138" s="1" t="s">
        <v>17702</v>
      </c>
      <c r="C10138" s="1" t="s">
        <v>3619</v>
      </c>
      <c r="D10138" s="1" t="s">
        <v>3601</v>
      </c>
      <c r="E10138" s="1" t="s">
        <v>3730</v>
      </c>
      <c r="F10138" s="1" t="s">
        <v>33340</v>
      </c>
      <c r="G10138" s="1" t="s">
        <v>17718</v>
      </c>
      <c r="H10138" s="1" t="s">
        <v>3604</v>
      </c>
      <c r="I10138" s="1" t="s">
        <v>33341</v>
      </c>
      <c r="J10138" s="1" t="s">
        <v>3615</v>
      </c>
      <c r="K10138" s="1" t="s">
        <v>24181</v>
      </c>
      <c r="L10138" s="1"/>
      <c r="M10138" s="1"/>
    </row>
    <row x14ac:dyDescent="0.25" r="10139" customHeight="1" ht="18.75">
      <c r="A10139" s="1" t="s">
        <v>3598</v>
      </c>
      <c r="B10139" s="1" t="s">
        <v>5260</v>
      </c>
      <c r="C10139" s="1" t="s">
        <v>3600</v>
      </c>
      <c r="D10139" s="1" t="s">
        <v>3610</v>
      </c>
      <c r="E10139" s="1" t="s">
        <v>3752</v>
      </c>
      <c r="F10139" s="1" t="s">
        <v>33342</v>
      </c>
      <c r="G10139" s="1" t="s">
        <v>29714</v>
      </c>
      <c r="H10139" s="1" t="s">
        <v>3604</v>
      </c>
      <c r="I10139" s="1" t="s">
        <v>33343</v>
      </c>
      <c r="J10139" s="1" t="s">
        <v>3615</v>
      </c>
      <c r="K10139" s="1" t="s">
        <v>27093</v>
      </c>
      <c r="L10139" s="1"/>
      <c r="M10139" s="1"/>
    </row>
    <row x14ac:dyDescent="0.25" r="10140" customHeight="1" ht="18.75">
      <c r="A10140" s="1" t="s">
        <v>3617</v>
      </c>
      <c r="B10140" s="1" t="s">
        <v>17702</v>
      </c>
      <c r="C10140" s="1" t="s">
        <v>3619</v>
      </c>
      <c r="D10140" s="1" t="s">
        <v>3601</v>
      </c>
      <c r="E10140" s="1" t="s">
        <v>3730</v>
      </c>
      <c r="F10140" s="1" t="s">
        <v>33344</v>
      </c>
      <c r="G10140" s="1" t="s">
        <v>17718</v>
      </c>
      <c r="H10140" s="1" t="s">
        <v>3604</v>
      </c>
      <c r="I10140" s="1" t="s">
        <v>33345</v>
      </c>
      <c r="J10140" s="1" t="s">
        <v>3615</v>
      </c>
      <c r="K10140" s="1" t="s">
        <v>24181</v>
      </c>
      <c r="L10140" s="1"/>
      <c r="M10140" s="1"/>
    </row>
    <row x14ac:dyDescent="0.25" r="10141" customHeight="1" ht="18.75">
      <c r="A10141" s="1" t="s">
        <v>7833</v>
      </c>
      <c r="B10141" s="1" t="s">
        <v>24305</v>
      </c>
      <c r="C10141" s="1" t="s">
        <v>4488</v>
      </c>
      <c r="D10141" s="1" t="s">
        <v>3601</v>
      </c>
      <c r="E10141" s="1" t="s">
        <v>3664</v>
      </c>
      <c r="F10141" s="1" t="s">
        <v>33346</v>
      </c>
      <c r="G10141" s="1" t="s">
        <v>33347</v>
      </c>
      <c r="H10141" s="1" t="s">
        <v>3604</v>
      </c>
      <c r="I10141" s="1" t="s">
        <v>33348</v>
      </c>
      <c r="J10141" s="1" t="s">
        <v>3615</v>
      </c>
      <c r="K10141" s="1" t="s">
        <v>16380</v>
      </c>
      <c r="L10141" s="1"/>
      <c r="M10141" s="1"/>
    </row>
    <row x14ac:dyDescent="0.25" r="10142" customHeight="1" ht="18.75">
      <c r="A10142" s="1" t="s">
        <v>3598</v>
      </c>
      <c r="B10142" s="1" t="s">
        <v>5260</v>
      </c>
      <c r="C10142" s="1" t="s">
        <v>3600</v>
      </c>
      <c r="D10142" s="1" t="s">
        <v>3610</v>
      </c>
      <c r="E10142" s="1" t="s">
        <v>3752</v>
      </c>
      <c r="F10142" s="1" t="s">
        <v>33349</v>
      </c>
      <c r="G10142" s="1" t="s">
        <v>29714</v>
      </c>
      <c r="H10142" s="1" t="s">
        <v>3604</v>
      </c>
      <c r="I10142" s="1" t="s">
        <v>33350</v>
      </c>
      <c r="J10142" s="1" t="s">
        <v>3615</v>
      </c>
      <c r="K10142" s="1" t="s">
        <v>27096</v>
      </c>
      <c r="L10142" s="1"/>
      <c r="M10142" s="1"/>
    </row>
    <row x14ac:dyDescent="0.25" r="10143" customHeight="1" ht="18.75">
      <c r="A10143" s="1" t="s">
        <v>3617</v>
      </c>
      <c r="B10143" s="1" t="s">
        <v>17702</v>
      </c>
      <c r="C10143" s="1" t="s">
        <v>3619</v>
      </c>
      <c r="D10143" s="1" t="s">
        <v>3601</v>
      </c>
      <c r="E10143" s="1" t="s">
        <v>3730</v>
      </c>
      <c r="F10143" s="1" t="s">
        <v>33351</v>
      </c>
      <c r="G10143" s="1" t="s">
        <v>17718</v>
      </c>
      <c r="H10143" s="1" t="s">
        <v>3604</v>
      </c>
      <c r="I10143" s="1" t="s">
        <v>33352</v>
      </c>
      <c r="J10143" s="1" t="s">
        <v>3615</v>
      </c>
      <c r="K10143" s="1" t="s">
        <v>24181</v>
      </c>
      <c r="L10143" s="1"/>
      <c r="M10143" s="1"/>
    </row>
    <row x14ac:dyDescent="0.25" r="10144" customHeight="1" ht="18.75">
      <c r="A10144" s="1" t="s">
        <v>3598</v>
      </c>
      <c r="B10144" s="1" t="s">
        <v>5252</v>
      </c>
      <c r="C10144" s="1" t="s">
        <v>3600</v>
      </c>
      <c r="D10144" s="1" t="s">
        <v>3610</v>
      </c>
      <c r="E10144" s="1" t="s">
        <v>3664</v>
      </c>
      <c r="F10144" s="1" t="s">
        <v>33353</v>
      </c>
      <c r="G10144" s="1" t="s">
        <v>18412</v>
      </c>
      <c r="H10144" s="1" t="s">
        <v>3604</v>
      </c>
      <c r="I10144" s="1" t="s">
        <v>33354</v>
      </c>
      <c r="J10144" s="1" t="s">
        <v>3615</v>
      </c>
      <c r="K10144" s="1" t="s">
        <v>26877</v>
      </c>
      <c r="L10144" s="1"/>
      <c r="M10144" s="1"/>
    </row>
    <row x14ac:dyDescent="0.25" r="10145" customHeight="1" ht="18.75">
      <c r="A10145" s="1" t="s">
        <v>3598</v>
      </c>
      <c r="B10145" s="1" t="s">
        <v>5252</v>
      </c>
      <c r="C10145" s="1" t="s">
        <v>3600</v>
      </c>
      <c r="D10145" s="1" t="s">
        <v>3610</v>
      </c>
      <c r="E10145" s="1" t="s">
        <v>3664</v>
      </c>
      <c r="F10145" s="1" t="s">
        <v>33355</v>
      </c>
      <c r="G10145" s="1" t="s">
        <v>18412</v>
      </c>
      <c r="H10145" s="1" t="s">
        <v>3604</v>
      </c>
      <c r="I10145" s="1" t="s">
        <v>33356</v>
      </c>
      <c r="J10145" s="1" t="s">
        <v>3615</v>
      </c>
      <c r="K10145" s="1" t="s">
        <v>26880</v>
      </c>
      <c r="L10145" s="1"/>
      <c r="M10145" s="1"/>
    </row>
    <row x14ac:dyDescent="0.25" r="10146" customHeight="1" ht="18.75">
      <c r="A10146" s="1" t="s">
        <v>3617</v>
      </c>
      <c r="B10146" s="1" t="s">
        <v>17702</v>
      </c>
      <c r="C10146" s="1" t="s">
        <v>3619</v>
      </c>
      <c r="D10146" s="1" t="s">
        <v>3601</v>
      </c>
      <c r="E10146" s="1" t="s">
        <v>3730</v>
      </c>
      <c r="F10146" s="1" t="s">
        <v>33357</v>
      </c>
      <c r="G10146" s="1" t="s">
        <v>33238</v>
      </c>
      <c r="H10146" s="1" t="s">
        <v>3604</v>
      </c>
      <c r="I10146" s="1" t="s">
        <v>33358</v>
      </c>
      <c r="J10146" s="1" t="s">
        <v>3615</v>
      </c>
      <c r="K10146" s="1" t="s">
        <v>33359</v>
      </c>
      <c r="L10146" s="1"/>
      <c r="M10146" s="1"/>
    </row>
    <row x14ac:dyDescent="0.25" r="10147" customHeight="1" ht="18.75">
      <c r="A10147" s="1" t="s">
        <v>3598</v>
      </c>
      <c r="B10147" s="1" t="s">
        <v>5252</v>
      </c>
      <c r="C10147" s="1" t="s">
        <v>3600</v>
      </c>
      <c r="D10147" s="1" t="s">
        <v>3610</v>
      </c>
      <c r="E10147" s="1" t="s">
        <v>3664</v>
      </c>
      <c r="F10147" s="1" t="s">
        <v>33360</v>
      </c>
      <c r="G10147" s="1" t="s">
        <v>18412</v>
      </c>
      <c r="H10147" s="1" t="s">
        <v>3604</v>
      </c>
      <c r="I10147" s="1" t="s">
        <v>33361</v>
      </c>
      <c r="J10147" s="1" t="s">
        <v>3615</v>
      </c>
      <c r="K10147" s="1" t="s">
        <v>26883</v>
      </c>
      <c r="L10147" s="1"/>
      <c r="M10147" s="1"/>
    </row>
    <row x14ac:dyDescent="0.25" r="10148" customHeight="1" ht="18.75">
      <c r="A10148" s="1" t="s">
        <v>3598</v>
      </c>
      <c r="B10148" s="1" t="s">
        <v>5252</v>
      </c>
      <c r="C10148" s="1" t="s">
        <v>3600</v>
      </c>
      <c r="D10148" s="1" t="s">
        <v>3610</v>
      </c>
      <c r="E10148" s="1" t="s">
        <v>3664</v>
      </c>
      <c r="F10148" s="1" t="s">
        <v>33362</v>
      </c>
      <c r="G10148" s="1" t="s">
        <v>18412</v>
      </c>
      <c r="H10148" s="1" t="s">
        <v>3604</v>
      </c>
      <c r="I10148" s="1" t="s">
        <v>33363</v>
      </c>
      <c r="J10148" s="1" t="s">
        <v>3615</v>
      </c>
      <c r="K10148" s="1" t="s">
        <v>26886</v>
      </c>
      <c r="L10148" s="1"/>
      <c r="M10148" s="1"/>
    </row>
    <row x14ac:dyDescent="0.25" r="10149" customHeight="1" ht="18.75">
      <c r="A10149" s="1" t="s">
        <v>3598</v>
      </c>
      <c r="B10149" s="1" t="s">
        <v>14108</v>
      </c>
      <c r="C10149" s="1" t="s">
        <v>3600</v>
      </c>
      <c r="D10149" s="1" t="s">
        <v>3601</v>
      </c>
      <c r="E10149" s="1" t="s">
        <v>3664</v>
      </c>
      <c r="F10149" s="1" t="s">
        <v>33364</v>
      </c>
      <c r="G10149" s="1" t="s">
        <v>22049</v>
      </c>
      <c r="H10149" s="1" t="s">
        <v>3604</v>
      </c>
      <c r="I10149" s="1" t="s">
        <v>33365</v>
      </c>
      <c r="J10149" s="1" t="s">
        <v>3606</v>
      </c>
      <c r="K10149" s="1" t="s">
        <v>33366</v>
      </c>
      <c r="L10149" s="1"/>
      <c r="M10149" s="1"/>
    </row>
    <row x14ac:dyDescent="0.25" r="10150" customHeight="1" ht="18.75">
      <c r="A10150" s="1" t="s">
        <v>3598</v>
      </c>
      <c r="B10150" s="1" t="s">
        <v>14108</v>
      </c>
      <c r="C10150" s="1" t="s">
        <v>3600</v>
      </c>
      <c r="D10150" s="1" t="s">
        <v>3601</v>
      </c>
      <c r="E10150" s="1" t="s">
        <v>3664</v>
      </c>
      <c r="F10150" s="1" t="s">
        <v>33367</v>
      </c>
      <c r="G10150" s="1" t="s">
        <v>22049</v>
      </c>
      <c r="H10150" s="1" t="s">
        <v>3604</v>
      </c>
      <c r="I10150" s="1" t="s">
        <v>33368</v>
      </c>
      <c r="J10150" s="1" t="s">
        <v>3606</v>
      </c>
      <c r="K10150" s="1" t="s">
        <v>33369</v>
      </c>
      <c r="L10150" s="1"/>
      <c r="M10150" s="1"/>
    </row>
    <row x14ac:dyDescent="0.25" r="10151" customHeight="1" ht="18.75">
      <c r="A10151" s="1" t="s">
        <v>3598</v>
      </c>
      <c r="B10151" s="1" t="s">
        <v>33370</v>
      </c>
      <c r="C10151" s="1" t="s">
        <v>3600</v>
      </c>
      <c r="D10151" s="1" t="s">
        <v>3601</v>
      </c>
      <c r="E10151" s="1" t="s">
        <v>3664</v>
      </c>
      <c r="F10151" s="1" t="s">
        <v>33371</v>
      </c>
      <c r="G10151" s="1" t="s">
        <v>8680</v>
      </c>
      <c r="H10151" s="1" t="s">
        <v>3604</v>
      </c>
      <c r="I10151" s="1" t="s">
        <v>33372</v>
      </c>
      <c r="J10151" s="1" t="s">
        <v>3606</v>
      </c>
      <c r="K10151" s="1" t="s">
        <v>33373</v>
      </c>
      <c r="L10151" s="1"/>
      <c r="M10151" s="1"/>
    </row>
    <row x14ac:dyDescent="0.25" r="10152" customHeight="1" ht="18.75">
      <c r="A10152" s="1" t="s">
        <v>3598</v>
      </c>
      <c r="B10152" s="1" t="s">
        <v>5260</v>
      </c>
      <c r="C10152" s="1" t="s">
        <v>3600</v>
      </c>
      <c r="D10152" s="1" t="s">
        <v>533</v>
      </c>
      <c r="E10152" s="1" t="s">
        <v>3752</v>
      </c>
      <c r="F10152" s="1" t="s">
        <v>33374</v>
      </c>
      <c r="G10152" s="1" t="s">
        <v>31036</v>
      </c>
      <c r="H10152" s="1" t="s">
        <v>3604</v>
      </c>
      <c r="I10152" s="1" t="s">
        <v>33375</v>
      </c>
      <c r="J10152" s="1" t="s">
        <v>3615</v>
      </c>
      <c r="K10152" s="1" t="s">
        <v>33376</v>
      </c>
      <c r="L10152" s="1"/>
      <c r="M10152" s="1"/>
    </row>
    <row x14ac:dyDescent="0.25" r="10153" customHeight="1" ht="18.75">
      <c r="A10153" s="1" t="s">
        <v>3598</v>
      </c>
      <c r="B10153" s="1" t="s">
        <v>33370</v>
      </c>
      <c r="C10153" s="1" t="s">
        <v>3600</v>
      </c>
      <c r="D10153" s="1" t="s">
        <v>3601</v>
      </c>
      <c r="E10153" s="1" t="s">
        <v>3664</v>
      </c>
      <c r="F10153" s="1" t="s">
        <v>33377</v>
      </c>
      <c r="G10153" s="1" t="s">
        <v>8680</v>
      </c>
      <c r="H10153" s="1" t="s">
        <v>3604</v>
      </c>
      <c r="I10153" s="1" t="s">
        <v>33378</v>
      </c>
      <c r="J10153" s="1" t="s">
        <v>3606</v>
      </c>
      <c r="K10153" s="1" t="s">
        <v>33379</v>
      </c>
      <c r="L10153" s="1"/>
      <c r="M10153" s="1"/>
    </row>
    <row x14ac:dyDescent="0.25" r="10154" customHeight="1" ht="18.75">
      <c r="A10154" s="1" t="s">
        <v>3598</v>
      </c>
      <c r="B10154" s="1" t="s">
        <v>5260</v>
      </c>
      <c r="C10154" s="1" t="s">
        <v>3600</v>
      </c>
      <c r="D10154" s="1" t="s">
        <v>533</v>
      </c>
      <c r="E10154" s="1" t="s">
        <v>3752</v>
      </c>
      <c r="F10154" s="1" t="s">
        <v>33380</v>
      </c>
      <c r="G10154" s="1" t="s">
        <v>17246</v>
      </c>
      <c r="H10154" s="1" t="s">
        <v>3604</v>
      </c>
      <c r="I10154" s="1" t="s">
        <v>33381</v>
      </c>
      <c r="J10154" s="1" t="s">
        <v>3615</v>
      </c>
      <c r="K10154" s="1" t="s">
        <v>33382</v>
      </c>
      <c r="L10154" s="1"/>
      <c r="M10154" s="1"/>
    </row>
    <row x14ac:dyDescent="0.25" r="10155" customHeight="1" ht="18.75">
      <c r="A10155" s="1" t="s">
        <v>3598</v>
      </c>
      <c r="B10155" s="1" t="s">
        <v>9012</v>
      </c>
      <c r="C10155" s="1" t="s">
        <v>3600</v>
      </c>
      <c r="D10155" s="1" t="s">
        <v>3601</v>
      </c>
      <c r="E10155" s="1" t="s">
        <v>3893</v>
      </c>
      <c r="F10155" s="1" t="s">
        <v>33383</v>
      </c>
      <c r="G10155" s="1" t="s">
        <v>16649</v>
      </c>
      <c r="H10155" s="1" t="s">
        <v>3604</v>
      </c>
      <c r="I10155" s="1" t="s">
        <v>33384</v>
      </c>
      <c r="J10155" s="1" t="s">
        <v>3606</v>
      </c>
      <c r="K10155" s="1" t="s">
        <v>33385</v>
      </c>
      <c r="L10155" s="1"/>
      <c r="M10155" s="1"/>
    </row>
    <row x14ac:dyDescent="0.25" r="10156" customHeight="1" ht="18.75">
      <c r="A10156" s="1" t="s">
        <v>3598</v>
      </c>
      <c r="B10156" s="1" t="s">
        <v>9012</v>
      </c>
      <c r="C10156" s="1" t="s">
        <v>3600</v>
      </c>
      <c r="D10156" s="1" t="s">
        <v>3601</v>
      </c>
      <c r="E10156" s="1" t="s">
        <v>3893</v>
      </c>
      <c r="F10156" s="1" t="s">
        <v>33386</v>
      </c>
      <c r="G10156" s="1" t="s">
        <v>16649</v>
      </c>
      <c r="H10156" s="1" t="s">
        <v>3604</v>
      </c>
      <c r="I10156" s="1" t="s">
        <v>33387</v>
      </c>
      <c r="J10156" s="1" t="s">
        <v>3606</v>
      </c>
      <c r="K10156" s="1" t="s">
        <v>33388</v>
      </c>
      <c r="L10156" s="1"/>
      <c r="M10156" s="1"/>
    </row>
    <row x14ac:dyDescent="0.25" r="10157" customHeight="1" ht="18.75">
      <c r="A10157" s="1" t="s">
        <v>3598</v>
      </c>
      <c r="B10157" s="1" t="s">
        <v>5260</v>
      </c>
      <c r="C10157" s="1" t="s">
        <v>3600</v>
      </c>
      <c r="D10157" s="1" t="s">
        <v>533</v>
      </c>
      <c r="E10157" s="1" t="s">
        <v>3752</v>
      </c>
      <c r="F10157" s="1" t="s">
        <v>33389</v>
      </c>
      <c r="G10157" s="1" t="s">
        <v>17246</v>
      </c>
      <c r="H10157" s="1" t="s">
        <v>3604</v>
      </c>
      <c r="I10157" s="1" t="s">
        <v>33390</v>
      </c>
      <c r="J10157" s="1" t="s">
        <v>3615</v>
      </c>
      <c r="K10157" s="1" t="s">
        <v>33391</v>
      </c>
      <c r="L10157" s="1"/>
      <c r="M10157" s="1"/>
    </row>
    <row x14ac:dyDescent="0.25" r="10158" customHeight="1" ht="18.75">
      <c r="A10158" s="1" t="s">
        <v>3598</v>
      </c>
      <c r="B10158" s="1" t="s">
        <v>19642</v>
      </c>
      <c r="C10158" s="1" t="s">
        <v>3600</v>
      </c>
      <c r="D10158" s="1" t="s">
        <v>3601</v>
      </c>
      <c r="E10158" s="1" t="s">
        <v>3664</v>
      </c>
      <c r="F10158" s="1" t="s">
        <v>33392</v>
      </c>
      <c r="G10158" s="1" t="s">
        <v>22049</v>
      </c>
      <c r="H10158" s="1" t="s">
        <v>3604</v>
      </c>
      <c r="I10158" s="1" t="s">
        <v>33393</v>
      </c>
      <c r="J10158" s="1" t="s">
        <v>3606</v>
      </c>
      <c r="K10158" s="1" t="s">
        <v>33394</v>
      </c>
      <c r="L10158" s="1"/>
      <c r="M10158" s="1"/>
    </row>
    <row x14ac:dyDescent="0.25" r="10159" customHeight="1" ht="18.75">
      <c r="A10159" s="1" t="s">
        <v>3598</v>
      </c>
      <c r="B10159" s="1" t="s">
        <v>19642</v>
      </c>
      <c r="C10159" s="1" t="s">
        <v>3600</v>
      </c>
      <c r="D10159" s="1" t="s">
        <v>3601</v>
      </c>
      <c r="E10159" s="1" t="s">
        <v>3664</v>
      </c>
      <c r="F10159" s="1" t="s">
        <v>33395</v>
      </c>
      <c r="G10159" s="1" t="s">
        <v>22049</v>
      </c>
      <c r="H10159" s="1" t="s">
        <v>3604</v>
      </c>
      <c r="I10159" s="1" t="s">
        <v>33396</v>
      </c>
      <c r="J10159" s="1" t="s">
        <v>3606</v>
      </c>
      <c r="K10159" s="1" t="s">
        <v>33397</v>
      </c>
      <c r="L10159" s="1"/>
      <c r="M10159" s="1"/>
    </row>
    <row x14ac:dyDescent="0.25" r="10160" customHeight="1" ht="18.75">
      <c r="A10160" s="1" t="s">
        <v>3598</v>
      </c>
      <c r="B10160" s="1" t="s">
        <v>19642</v>
      </c>
      <c r="C10160" s="1" t="s">
        <v>3600</v>
      </c>
      <c r="D10160" s="1" t="s">
        <v>3601</v>
      </c>
      <c r="E10160" s="1" t="s">
        <v>3664</v>
      </c>
      <c r="F10160" s="1" t="s">
        <v>33398</v>
      </c>
      <c r="G10160" s="1" t="s">
        <v>8680</v>
      </c>
      <c r="H10160" s="1" t="s">
        <v>3604</v>
      </c>
      <c r="I10160" s="1" t="s">
        <v>33399</v>
      </c>
      <c r="J10160" s="1" t="s">
        <v>3606</v>
      </c>
      <c r="K10160" s="1" t="s">
        <v>33400</v>
      </c>
      <c r="L10160" s="1"/>
      <c r="M10160" s="1"/>
    </row>
    <row x14ac:dyDescent="0.25" r="10161" customHeight="1" ht="18.75">
      <c r="A10161" s="1" t="s">
        <v>3598</v>
      </c>
      <c r="B10161" s="1" t="s">
        <v>19642</v>
      </c>
      <c r="C10161" s="1" t="s">
        <v>3600</v>
      </c>
      <c r="D10161" s="1" t="s">
        <v>3601</v>
      </c>
      <c r="E10161" s="1" t="s">
        <v>3664</v>
      </c>
      <c r="F10161" s="1" t="s">
        <v>33401</v>
      </c>
      <c r="G10161" s="1" t="s">
        <v>8680</v>
      </c>
      <c r="H10161" s="1" t="s">
        <v>3604</v>
      </c>
      <c r="I10161" s="1" t="s">
        <v>33402</v>
      </c>
      <c r="J10161" s="1" t="s">
        <v>3606</v>
      </c>
      <c r="K10161" s="1" t="s">
        <v>33403</v>
      </c>
      <c r="L10161" s="1"/>
      <c r="M10161" s="1"/>
    </row>
    <row x14ac:dyDescent="0.25" r="10162" customHeight="1" ht="18.75">
      <c r="A10162" s="1" t="s">
        <v>3598</v>
      </c>
      <c r="B10162" s="1" t="s">
        <v>9007</v>
      </c>
      <c r="C10162" s="1" t="s">
        <v>3600</v>
      </c>
      <c r="D10162" s="1" t="s">
        <v>3601</v>
      </c>
      <c r="E10162" s="1" t="s">
        <v>3893</v>
      </c>
      <c r="F10162" s="1" t="s">
        <v>33404</v>
      </c>
      <c r="G10162" s="1" t="s">
        <v>9009</v>
      </c>
      <c r="H10162" s="1" t="s">
        <v>3604</v>
      </c>
      <c r="I10162" s="1" t="s">
        <v>33405</v>
      </c>
      <c r="J10162" s="1" t="s">
        <v>3615</v>
      </c>
      <c r="K10162" s="1" t="s">
        <v>33406</v>
      </c>
      <c r="L10162" s="1"/>
      <c r="M10162" s="1"/>
    </row>
    <row x14ac:dyDescent="0.25" r="10163" customHeight="1" ht="18.75">
      <c r="A10163" s="1" t="s">
        <v>3598</v>
      </c>
      <c r="B10163" s="1" t="s">
        <v>14021</v>
      </c>
      <c r="C10163" s="1" t="s">
        <v>3600</v>
      </c>
      <c r="D10163" s="1" t="s">
        <v>3601</v>
      </c>
      <c r="E10163" s="1" t="s">
        <v>3893</v>
      </c>
      <c r="F10163" s="1" t="s">
        <v>33407</v>
      </c>
      <c r="G10163" s="1" t="s">
        <v>16649</v>
      </c>
      <c r="H10163" s="1" t="s">
        <v>3604</v>
      </c>
      <c r="I10163" s="1" t="s">
        <v>33408</v>
      </c>
      <c r="J10163" s="1" t="s">
        <v>3606</v>
      </c>
      <c r="K10163" s="1" t="s">
        <v>33409</v>
      </c>
      <c r="L10163" s="1"/>
      <c r="M10163" s="1"/>
    </row>
    <row x14ac:dyDescent="0.25" r="10164" customHeight="1" ht="18.75">
      <c r="A10164" s="1" t="s">
        <v>3598</v>
      </c>
      <c r="B10164" s="1" t="s">
        <v>9007</v>
      </c>
      <c r="C10164" s="1" t="s">
        <v>3600</v>
      </c>
      <c r="D10164" s="1" t="s">
        <v>3601</v>
      </c>
      <c r="E10164" s="1" t="s">
        <v>3893</v>
      </c>
      <c r="F10164" s="1" t="s">
        <v>33410</v>
      </c>
      <c r="G10164" s="1" t="s">
        <v>9009</v>
      </c>
      <c r="H10164" s="1" t="s">
        <v>3604</v>
      </c>
      <c r="I10164" s="1" t="s">
        <v>33411</v>
      </c>
      <c r="J10164" s="1" t="s">
        <v>3615</v>
      </c>
      <c r="K10164" s="1" t="s">
        <v>33412</v>
      </c>
      <c r="L10164" s="1"/>
      <c r="M10164" s="1"/>
    </row>
    <row x14ac:dyDescent="0.25" r="10165" customHeight="1" ht="18.75">
      <c r="A10165" s="1" t="s">
        <v>3598</v>
      </c>
      <c r="B10165" s="1" t="s">
        <v>14021</v>
      </c>
      <c r="C10165" s="1" t="s">
        <v>3600</v>
      </c>
      <c r="D10165" s="1" t="s">
        <v>3601</v>
      </c>
      <c r="E10165" s="1" t="s">
        <v>3893</v>
      </c>
      <c r="F10165" s="1" t="s">
        <v>33413</v>
      </c>
      <c r="G10165" s="1" t="s">
        <v>16649</v>
      </c>
      <c r="H10165" s="1" t="s">
        <v>3604</v>
      </c>
      <c r="I10165" s="1" t="s">
        <v>33414</v>
      </c>
      <c r="J10165" s="1" t="s">
        <v>3606</v>
      </c>
      <c r="K10165" s="1" t="s">
        <v>33415</v>
      </c>
      <c r="L10165" s="1"/>
      <c r="M10165" s="1"/>
    </row>
    <row x14ac:dyDescent="0.25" r="10166" customHeight="1" ht="18.75">
      <c r="A10166" s="1" t="s">
        <v>3598</v>
      </c>
      <c r="B10166" s="1" t="s">
        <v>20557</v>
      </c>
      <c r="C10166" s="1" t="s">
        <v>3600</v>
      </c>
      <c r="D10166" s="1" t="s">
        <v>3601</v>
      </c>
      <c r="E10166" s="1" t="s">
        <v>3893</v>
      </c>
      <c r="F10166" s="1" t="s">
        <v>33416</v>
      </c>
      <c r="G10166" s="1" t="s">
        <v>27240</v>
      </c>
      <c r="H10166" s="1" t="s">
        <v>3604</v>
      </c>
      <c r="I10166" s="1" t="s">
        <v>33417</v>
      </c>
      <c r="J10166" s="1" t="s">
        <v>3615</v>
      </c>
      <c r="K10166" s="1" t="s">
        <v>33418</v>
      </c>
      <c r="L10166" s="1"/>
      <c r="M10166" s="1"/>
    </row>
    <row x14ac:dyDescent="0.25" r="10167" customHeight="1" ht="18.75">
      <c r="A10167" s="1" t="s">
        <v>7833</v>
      </c>
      <c r="B10167" s="1" t="s">
        <v>33419</v>
      </c>
      <c r="C10167" s="1" t="s">
        <v>4488</v>
      </c>
      <c r="D10167" s="1" t="s">
        <v>3601</v>
      </c>
      <c r="E10167" s="1" t="s">
        <v>3664</v>
      </c>
      <c r="F10167" s="1" t="s">
        <v>33420</v>
      </c>
      <c r="G10167" s="1" t="s">
        <v>33421</v>
      </c>
      <c r="H10167" s="1" t="s">
        <v>3604</v>
      </c>
      <c r="I10167" s="1" t="s">
        <v>33422</v>
      </c>
      <c r="J10167" s="1" t="s">
        <v>3615</v>
      </c>
      <c r="K10167" s="1" t="s">
        <v>23339</v>
      </c>
      <c r="L10167" s="1"/>
      <c r="M10167" s="1"/>
    </row>
    <row x14ac:dyDescent="0.25" r="10168" customHeight="1" ht="18.75">
      <c r="A10168" s="1" t="s">
        <v>7833</v>
      </c>
      <c r="B10168" s="1" t="s">
        <v>33423</v>
      </c>
      <c r="C10168" s="1" t="s">
        <v>3619</v>
      </c>
      <c r="D10168" s="1" t="s">
        <v>3601</v>
      </c>
      <c r="E10168" s="1" t="s">
        <v>3664</v>
      </c>
      <c r="F10168" s="1" t="s">
        <v>33424</v>
      </c>
      <c r="G10168" s="1" t="s">
        <v>33425</v>
      </c>
      <c r="H10168" s="1" t="s">
        <v>3604</v>
      </c>
      <c r="I10168" s="1" t="s">
        <v>33426</v>
      </c>
      <c r="J10168" s="1" t="s">
        <v>3615</v>
      </c>
      <c r="K10168" s="1" t="s">
        <v>23339</v>
      </c>
      <c r="L10168" s="1"/>
      <c r="M10168" s="1"/>
    </row>
    <row x14ac:dyDescent="0.25" r="10169" customHeight="1" ht="18.75">
      <c r="A10169" s="1" t="s">
        <v>3598</v>
      </c>
      <c r="B10169" s="1" t="s">
        <v>23077</v>
      </c>
      <c r="C10169" s="1" t="s">
        <v>3600</v>
      </c>
      <c r="D10169" s="1" t="s">
        <v>3601</v>
      </c>
      <c r="E10169" s="1" t="s">
        <v>3664</v>
      </c>
      <c r="F10169" s="1" t="s">
        <v>33427</v>
      </c>
      <c r="G10169" s="1" t="s">
        <v>23079</v>
      </c>
      <c r="H10169" s="1" t="s">
        <v>3604</v>
      </c>
      <c r="I10169" s="1" t="s">
        <v>33428</v>
      </c>
      <c r="J10169" s="1" t="s">
        <v>3615</v>
      </c>
      <c r="K10169" s="1" t="s">
        <v>33429</v>
      </c>
      <c r="L10169" s="1"/>
      <c r="M10169" s="1"/>
    </row>
    <row x14ac:dyDescent="0.25" r="10170" customHeight="1" ht="18.75">
      <c r="A10170" s="1" t="s">
        <v>7833</v>
      </c>
      <c r="B10170" s="1" t="s">
        <v>33430</v>
      </c>
      <c r="C10170" s="1" t="s">
        <v>3619</v>
      </c>
      <c r="D10170" s="1" t="s">
        <v>3601</v>
      </c>
      <c r="E10170" s="1" t="s">
        <v>3664</v>
      </c>
      <c r="F10170" s="1" t="s">
        <v>33431</v>
      </c>
      <c r="G10170" s="1" t="s">
        <v>33432</v>
      </c>
      <c r="H10170" s="1" t="s">
        <v>3604</v>
      </c>
      <c r="I10170" s="1" t="s">
        <v>33433</v>
      </c>
      <c r="J10170" s="1" t="s">
        <v>3615</v>
      </c>
      <c r="K10170" s="1" t="s">
        <v>23339</v>
      </c>
      <c r="L10170" s="1"/>
      <c r="M10170" s="1"/>
    </row>
    <row x14ac:dyDescent="0.25" r="10171" customHeight="1" ht="18.75">
      <c r="A10171" s="1" t="s">
        <v>3598</v>
      </c>
      <c r="B10171" s="1" t="s">
        <v>23077</v>
      </c>
      <c r="C10171" s="1" t="s">
        <v>3600</v>
      </c>
      <c r="D10171" s="1" t="s">
        <v>3601</v>
      </c>
      <c r="E10171" s="1" t="s">
        <v>3664</v>
      </c>
      <c r="F10171" s="1" t="s">
        <v>33434</v>
      </c>
      <c r="G10171" s="1" t="s">
        <v>23079</v>
      </c>
      <c r="H10171" s="1" t="s">
        <v>3604</v>
      </c>
      <c r="I10171" s="1" t="s">
        <v>33435</v>
      </c>
      <c r="J10171" s="1" t="s">
        <v>3615</v>
      </c>
      <c r="K10171" s="1" t="s">
        <v>33436</v>
      </c>
      <c r="L10171" s="1"/>
      <c r="M10171" s="1"/>
    </row>
    <row x14ac:dyDescent="0.25" r="10172" customHeight="1" ht="18.75">
      <c r="A10172" s="1" t="s">
        <v>7833</v>
      </c>
      <c r="B10172" s="1" t="s">
        <v>33437</v>
      </c>
      <c r="C10172" s="1" t="s">
        <v>4488</v>
      </c>
      <c r="D10172" s="1" t="s">
        <v>3601</v>
      </c>
      <c r="E10172" s="1" t="s">
        <v>8096</v>
      </c>
      <c r="F10172" s="1" t="s">
        <v>33438</v>
      </c>
      <c r="G10172" s="1" t="s">
        <v>32920</v>
      </c>
      <c r="H10172" s="1" t="s">
        <v>3604</v>
      </c>
      <c r="I10172" s="1" t="s">
        <v>33439</v>
      </c>
      <c r="J10172" s="1" t="s">
        <v>3615</v>
      </c>
      <c r="K10172" s="1" t="s">
        <v>23339</v>
      </c>
      <c r="L10172" s="1"/>
      <c r="M10172" s="1"/>
    </row>
    <row x14ac:dyDescent="0.25" r="10173" customHeight="1" ht="18.75">
      <c r="A10173" s="1" t="s">
        <v>7833</v>
      </c>
      <c r="B10173" s="1" t="s">
        <v>33440</v>
      </c>
      <c r="C10173" s="1" t="s">
        <v>4488</v>
      </c>
      <c r="D10173" s="1" t="s">
        <v>3601</v>
      </c>
      <c r="E10173" s="1" t="s">
        <v>8096</v>
      </c>
      <c r="F10173" s="1" t="s">
        <v>33441</v>
      </c>
      <c r="G10173" s="1" t="s">
        <v>33442</v>
      </c>
      <c r="H10173" s="1" t="s">
        <v>3604</v>
      </c>
      <c r="I10173" s="1" t="s">
        <v>33443</v>
      </c>
      <c r="J10173" s="1" t="s">
        <v>3615</v>
      </c>
      <c r="K10173" s="1" t="s">
        <v>23339</v>
      </c>
      <c r="L10173" s="1"/>
      <c r="M10173" s="1"/>
    </row>
    <row x14ac:dyDescent="0.25" r="10174" customHeight="1" ht="18.75">
      <c r="A10174" s="1" t="s">
        <v>3617</v>
      </c>
      <c r="B10174" s="1" t="s">
        <v>33109</v>
      </c>
      <c r="C10174" s="1" t="s">
        <v>3619</v>
      </c>
      <c r="D10174" s="1" t="s">
        <v>3601</v>
      </c>
      <c r="E10174" s="1" t="s">
        <v>3981</v>
      </c>
      <c r="F10174" s="1" t="s">
        <v>33444</v>
      </c>
      <c r="G10174" s="1" t="s">
        <v>33165</v>
      </c>
      <c r="H10174" s="1" t="s">
        <v>3604</v>
      </c>
      <c r="I10174" s="1" t="s">
        <v>33445</v>
      </c>
      <c r="J10174" s="1" t="s">
        <v>3615</v>
      </c>
      <c r="K10174" s="1" t="s">
        <v>33446</v>
      </c>
      <c r="L10174" s="1"/>
      <c r="M10174" s="1"/>
    </row>
    <row x14ac:dyDescent="0.25" r="10175" customHeight="1" ht="18.75">
      <c r="A10175" s="1" t="s">
        <v>7833</v>
      </c>
      <c r="B10175" s="1" t="s">
        <v>33447</v>
      </c>
      <c r="C10175" s="1" t="s">
        <v>4488</v>
      </c>
      <c r="D10175" s="1" t="s">
        <v>3601</v>
      </c>
      <c r="E10175" s="1" t="s">
        <v>8096</v>
      </c>
      <c r="F10175" s="1" t="s">
        <v>33448</v>
      </c>
      <c r="G10175" s="1" t="s">
        <v>33449</v>
      </c>
      <c r="H10175" s="1" t="s">
        <v>3604</v>
      </c>
      <c r="I10175" s="1" t="s">
        <v>33450</v>
      </c>
      <c r="J10175" s="1" t="s">
        <v>3615</v>
      </c>
      <c r="K10175" s="1" t="s">
        <v>23339</v>
      </c>
      <c r="L10175" s="1"/>
      <c r="M10175" s="1"/>
    </row>
    <row x14ac:dyDescent="0.25" r="10176" customHeight="1" ht="18.75">
      <c r="A10176" s="1" t="s">
        <v>3617</v>
      </c>
      <c r="B10176" s="1" t="s">
        <v>33109</v>
      </c>
      <c r="C10176" s="1" t="s">
        <v>3619</v>
      </c>
      <c r="D10176" s="1" t="s">
        <v>3601</v>
      </c>
      <c r="E10176" s="1" t="s">
        <v>3981</v>
      </c>
      <c r="F10176" s="1" t="s">
        <v>33451</v>
      </c>
      <c r="G10176" s="1" t="s">
        <v>33165</v>
      </c>
      <c r="H10176" s="1" t="s">
        <v>3604</v>
      </c>
      <c r="I10176" s="1" t="s">
        <v>33452</v>
      </c>
      <c r="J10176" s="1" t="s">
        <v>3615</v>
      </c>
      <c r="K10176" s="1" t="s">
        <v>33453</v>
      </c>
      <c r="L10176" s="1"/>
      <c r="M10176" s="1"/>
    </row>
    <row x14ac:dyDescent="0.25" r="10177" customHeight="1" ht="18.75">
      <c r="A10177" s="1" t="s">
        <v>3617</v>
      </c>
      <c r="B10177" s="1" t="s">
        <v>33109</v>
      </c>
      <c r="C10177" s="1" t="s">
        <v>3619</v>
      </c>
      <c r="D10177" s="1" t="s">
        <v>3601</v>
      </c>
      <c r="E10177" s="1" t="s">
        <v>3981</v>
      </c>
      <c r="F10177" s="1" t="s">
        <v>33454</v>
      </c>
      <c r="G10177" s="1" t="s">
        <v>33165</v>
      </c>
      <c r="H10177" s="1" t="s">
        <v>3604</v>
      </c>
      <c r="I10177" s="1" t="s">
        <v>33455</v>
      </c>
      <c r="J10177" s="1" t="s">
        <v>3615</v>
      </c>
      <c r="K10177" s="1" t="s">
        <v>33456</v>
      </c>
      <c r="L10177" s="1"/>
      <c r="M10177" s="1"/>
    </row>
    <row x14ac:dyDescent="0.25" r="10178" customHeight="1" ht="18.75">
      <c r="A10178" s="1" t="s">
        <v>3617</v>
      </c>
      <c r="B10178" s="1" t="s">
        <v>33109</v>
      </c>
      <c r="C10178" s="1" t="s">
        <v>3619</v>
      </c>
      <c r="D10178" s="1" t="s">
        <v>3601</v>
      </c>
      <c r="E10178" s="1" t="s">
        <v>3981</v>
      </c>
      <c r="F10178" s="1" t="s">
        <v>33457</v>
      </c>
      <c r="G10178" s="1" t="s">
        <v>33165</v>
      </c>
      <c r="H10178" s="1" t="s">
        <v>3604</v>
      </c>
      <c r="I10178" s="1" t="s">
        <v>33458</v>
      </c>
      <c r="J10178" s="1" t="s">
        <v>3615</v>
      </c>
      <c r="K10178" s="1" t="s">
        <v>33459</v>
      </c>
      <c r="L10178" s="1"/>
      <c r="M10178" s="1"/>
    </row>
    <row x14ac:dyDescent="0.25" r="10179" customHeight="1" ht="18.75">
      <c r="A10179" s="1" t="s">
        <v>3693</v>
      </c>
      <c r="B10179" s="1" t="s">
        <v>4083</v>
      </c>
      <c r="C10179" s="1" t="s">
        <v>3600</v>
      </c>
      <c r="D10179" s="1" t="s">
        <v>533</v>
      </c>
      <c r="E10179" s="1" t="s">
        <v>3664</v>
      </c>
      <c r="F10179" s="1" t="s">
        <v>33460</v>
      </c>
      <c r="G10179" s="1" t="s">
        <v>4553</v>
      </c>
      <c r="H10179" s="1" t="s">
        <v>3604</v>
      </c>
      <c r="I10179" s="1" t="s">
        <v>33461</v>
      </c>
      <c r="J10179" s="1" t="s">
        <v>3615</v>
      </c>
      <c r="K10179" s="1" t="s">
        <v>33462</v>
      </c>
      <c r="L10179" s="1"/>
      <c r="M10179" s="1"/>
    </row>
    <row x14ac:dyDescent="0.25" r="10180" customHeight="1" ht="18.75">
      <c r="A10180" s="1" t="s">
        <v>3693</v>
      </c>
      <c r="B10180" s="1" t="s">
        <v>3942</v>
      </c>
      <c r="C10180" s="1" t="s">
        <v>3600</v>
      </c>
      <c r="D10180" s="1" t="s">
        <v>533</v>
      </c>
      <c r="E10180" s="1" t="s">
        <v>3664</v>
      </c>
      <c r="F10180" s="1" t="s">
        <v>33463</v>
      </c>
      <c r="G10180" s="1" t="s">
        <v>3954</v>
      </c>
      <c r="H10180" s="1" t="s">
        <v>3604</v>
      </c>
      <c r="I10180" s="1" t="s">
        <v>33464</v>
      </c>
      <c r="J10180" s="1" t="s">
        <v>3615</v>
      </c>
      <c r="K10180" s="1" t="s">
        <v>33465</v>
      </c>
      <c r="L10180" s="1"/>
      <c r="M10180" s="1"/>
    </row>
    <row x14ac:dyDescent="0.25" r="10181" customHeight="1" ht="18.75">
      <c r="A10181" s="1" t="s">
        <v>3693</v>
      </c>
      <c r="B10181" s="1" t="s">
        <v>3942</v>
      </c>
      <c r="C10181" s="1" t="s">
        <v>3600</v>
      </c>
      <c r="D10181" s="1" t="s">
        <v>533</v>
      </c>
      <c r="E10181" s="1" t="s">
        <v>3664</v>
      </c>
      <c r="F10181" s="1" t="s">
        <v>33466</v>
      </c>
      <c r="G10181" s="1" t="s">
        <v>33467</v>
      </c>
      <c r="H10181" s="1" t="s">
        <v>3604</v>
      </c>
      <c r="I10181" s="1" t="s">
        <v>33468</v>
      </c>
      <c r="J10181" s="1" t="s">
        <v>3615</v>
      </c>
      <c r="K10181" s="1" t="s">
        <v>33469</v>
      </c>
      <c r="L10181" s="1"/>
      <c r="M10181" s="1"/>
    </row>
    <row x14ac:dyDescent="0.25" r="10182" customHeight="1" ht="18.75">
      <c r="A10182" s="1" t="s">
        <v>3693</v>
      </c>
      <c r="B10182" s="1" t="s">
        <v>3942</v>
      </c>
      <c r="C10182" s="1" t="s">
        <v>3600</v>
      </c>
      <c r="D10182" s="1" t="s">
        <v>533</v>
      </c>
      <c r="E10182" s="1" t="s">
        <v>3664</v>
      </c>
      <c r="F10182" s="1" t="s">
        <v>33470</v>
      </c>
      <c r="G10182" s="1" t="s">
        <v>3944</v>
      </c>
      <c r="H10182" s="1" t="s">
        <v>3604</v>
      </c>
      <c r="I10182" s="1" t="s">
        <v>33471</v>
      </c>
      <c r="J10182" s="1" t="s">
        <v>3615</v>
      </c>
      <c r="K10182" s="1" t="s">
        <v>33472</v>
      </c>
      <c r="L10182" s="1"/>
      <c r="M10182" s="1"/>
    </row>
    <row x14ac:dyDescent="0.25" r="10183" customHeight="1" ht="18.75">
      <c r="A10183" s="1" t="s">
        <v>3693</v>
      </c>
      <c r="B10183" s="1" t="s">
        <v>4214</v>
      </c>
      <c r="C10183" s="1" t="s">
        <v>3600</v>
      </c>
      <c r="D10183" s="1" t="s">
        <v>533</v>
      </c>
      <c r="E10183" s="1" t="s">
        <v>3664</v>
      </c>
      <c r="F10183" s="1" t="s">
        <v>33473</v>
      </c>
      <c r="G10183" s="1" t="s">
        <v>24950</v>
      </c>
      <c r="H10183" s="1" t="s">
        <v>3604</v>
      </c>
      <c r="I10183" s="1" t="s">
        <v>33474</v>
      </c>
      <c r="J10183" s="1" t="s">
        <v>3615</v>
      </c>
      <c r="K10183" s="1" t="s">
        <v>33475</v>
      </c>
      <c r="L10183" s="1"/>
      <c r="M10183" s="1"/>
    </row>
    <row x14ac:dyDescent="0.25" r="10184" customHeight="1" ht="18.75">
      <c r="A10184" s="1" t="s">
        <v>3693</v>
      </c>
      <c r="B10184" s="1" t="s">
        <v>4214</v>
      </c>
      <c r="C10184" s="1" t="s">
        <v>3600</v>
      </c>
      <c r="D10184" s="1" t="s">
        <v>533</v>
      </c>
      <c r="E10184" s="1" t="s">
        <v>3664</v>
      </c>
      <c r="F10184" s="1" t="s">
        <v>33476</v>
      </c>
      <c r="G10184" s="1" t="s">
        <v>5667</v>
      </c>
      <c r="H10184" s="1" t="s">
        <v>3604</v>
      </c>
      <c r="I10184" s="1" t="s">
        <v>33477</v>
      </c>
      <c r="J10184" s="1" t="s">
        <v>3615</v>
      </c>
      <c r="K10184" s="1" t="s">
        <v>33478</v>
      </c>
      <c r="L10184" s="1"/>
      <c r="M10184" s="1"/>
    </row>
    <row x14ac:dyDescent="0.25" r="10185" customHeight="1" ht="18.75">
      <c r="A10185" s="1" t="s">
        <v>3693</v>
      </c>
      <c r="B10185" s="1" t="s">
        <v>4214</v>
      </c>
      <c r="C10185" s="1" t="s">
        <v>3600</v>
      </c>
      <c r="D10185" s="1" t="s">
        <v>533</v>
      </c>
      <c r="E10185" s="1" t="s">
        <v>3664</v>
      </c>
      <c r="F10185" s="1" t="s">
        <v>33479</v>
      </c>
      <c r="G10185" s="1" t="s">
        <v>9997</v>
      </c>
      <c r="H10185" s="1" t="s">
        <v>3604</v>
      </c>
      <c r="I10185" s="1" t="s">
        <v>33480</v>
      </c>
      <c r="J10185" s="1" t="s">
        <v>3615</v>
      </c>
      <c r="K10185" s="1" t="s">
        <v>33481</v>
      </c>
      <c r="L10185" s="1"/>
      <c r="M10185" s="1"/>
    </row>
    <row x14ac:dyDescent="0.25" r="10186" customHeight="1" ht="18.75">
      <c r="A10186" s="1" t="s">
        <v>3693</v>
      </c>
      <c r="B10186" s="1" t="s">
        <v>4214</v>
      </c>
      <c r="C10186" s="1" t="s">
        <v>3600</v>
      </c>
      <c r="D10186" s="1" t="s">
        <v>533</v>
      </c>
      <c r="E10186" s="1" t="s">
        <v>3664</v>
      </c>
      <c r="F10186" s="1" t="s">
        <v>33482</v>
      </c>
      <c r="G10186" s="1" t="s">
        <v>5953</v>
      </c>
      <c r="H10186" s="1" t="s">
        <v>3604</v>
      </c>
      <c r="I10186" s="1" t="s">
        <v>33483</v>
      </c>
      <c r="J10186" s="1" t="s">
        <v>3615</v>
      </c>
      <c r="K10186" s="1" t="s">
        <v>33484</v>
      </c>
      <c r="L10186" s="1"/>
      <c r="M10186" s="1"/>
    </row>
    <row x14ac:dyDescent="0.25" r="10187" customHeight="1" ht="18.75">
      <c r="A10187" s="1" t="s">
        <v>3693</v>
      </c>
      <c r="B10187" s="1" t="s">
        <v>4214</v>
      </c>
      <c r="C10187" s="1" t="s">
        <v>3600</v>
      </c>
      <c r="D10187" s="1" t="s">
        <v>533</v>
      </c>
      <c r="E10187" s="1" t="s">
        <v>3664</v>
      </c>
      <c r="F10187" s="1" t="s">
        <v>33485</v>
      </c>
      <c r="G10187" s="1" t="s">
        <v>4726</v>
      </c>
      <c r="H10187" s="1" t="s">
        <v>3604</v>
      </c>
      <c r="I10187" s="1" t="s">
        <v>33486</v>
      </c>
      <c r="J10187" s="1" t="s">
        <v>3615</v>
      </c>
      <c r="K10187" s="1" t="s">
        <v>33487</v>
      </c>
      <c r="L10187" s="1"/>
      <c r="M10187" s="1"/>
    </row>
    <row x14ac:dyDescent="0.25" r="10188" customHeight="1" ht="18.75">
      <c r="A10188" s="1" t="s">
        <v>3693</v>
      </c>
      <c r="B10188" s="1" t="s">
        <v>4214</v>
      </c>
      <c r="C10188" s="1" t="s">
        <v>3600</v>
      </c>
      <c r="D10188" s="1" t="s">
        <v>533</v>
      </c>
      <c r="E10188" s="1" t="s">
        <v>3981</v>
      </c>
      <c r="F10188" s="1" t="s">
        <v>33488</v>
      </c>
      <c r="G10188" s="1" t="s">
        <v>9382</v>
      </c>
      <c r="H10188" s="1" t="s">
        <v>3604</v>
      </c>
      <c r="I10188" s="1" t="s">
        <v>33489</v>
      </c>
      <c r="J10188" s="1" t="s">
        <v>3615</v>
      </c>
      <c r="K10188" s="1" t="s">
        <v>33490</v>
      </c>
      <c r="L10188" s="1"/>
      <c r="M10188" s="1"/>
    </row>
    <row x14ac:dyDescent="0.25" r="10189" customHeight="1" ht="18.75">
      <c r="A10189" s="1" t="s">
        <v>3693</v>
      </c>
      <c r="B10189" s="1" t="s">
        <v>4214</v>
      </c>
      <c r="C10189" s="1" t="s">
        <v>3600</v>
      </c>
      <c r="D10189" s="1" t="s">
        <v>533</v>
      </c>
      <c r="E10189" s="1" t="s">
        <v>3981</v>
      </c>
      <c r="F10189" s="1" t="s">
        <v>33491</v>
      </c>
      <c r="G10189" s="1" t="s">
        <v>9382</v>
      </c>
      <c r="H10189" s="1" t="s">
        <v>3604</v>
      </c>
      <c r="I10189" s="1" t="s">
        <v>33492</v>
      </c>
      <c r="J10189" s="1" t="s">
        <v>3615</v>
      </c>
      <c r="K10189" s="1" t="s">
        <v>33493</v>
      </c>
      <c r="L10189" s="1"/>
      <c r="M10189" s="1"/>
    </row>
    <row x14ac:dyDescent="0.25" r="10190" customHeight="1" ht="18.75">
      <c r="A10190" s="1" t="s">
        <v>3693</v>
      </c>
      <c r="B10190" s="1" t="s">
        <v>4083</v>
      </c>
      <c r="C10190" s="1" t="s">
        <v>3600</v>
      </c>
      <c r="D10190" s="1" t="s">
        <v>3695</v>
      </c>
      <c r="E10190" s="1" t="s">
        <v>3664</v>
      </c>
      <c r="F10190" s="1" t="s">
        <v>33494</v>
      </c>
      <c r="G10190" s="1" t="s">
        <v>5667</v>
      </c>
      <c r="H10190" s="1" t="s">
        <v>3604</v>
      </c>
      <c r="I10190" s="1" t="s">
        <v>33495</v>
      </c>
      <c r="J10190" s="1" t="s">
        <v>3615</v>
      </c>
      <c r="K10190" s="1" t="s">
        <v>33496</v>
      </c>
      <c r="L10190" s="1"/>
      <c r="M10190" s="1"/>
    </row>
    <row x14ac:dyDescent="0.25" r="10191" customHeight="1" ht="18.75">
      <c r="A10191" s="1" t="s">
        <v>3693</v>
      </c>
      <c r="B10191" s="1" t="s">
        <v>4214</v>
      </c>
      <c r="C10191" s="1" t="s">
        <v>3600</v>
      </c>
      <c r="D10191" s="1" t="s">
        <v>533</v>
      </c>
      <c r="E10191" s="1" t="s">
        <v>3981</v>
      </c>
      <c r="F10191" s="1" t="s">
        <v>33497</v>
      </c>
      <c r="G10191" s="1" t="s">
        <v>4726</v>
      </c>
      <c r="H10191" s="1" t="s">
        <v>3604</v>
      </c>
      <c r="I10191" s="1" t="s">
        <v>33498</v>
      </c>
      <c r="J10191" s="1" t="s">
        <v>3615</v>
      </c>
      <c r="K10191" s="1" t="s">
        <v>33499</v>
      </c>
      <c r="L10191" s="1"/>
      <c r="M10191" s="1"/>
    </row>
    <row x14ac:dyDescent="0.25" r="10192" customHeight="1" ht="18.75">
      <c r="A10192" s="1" t="s">
        <v>3693</v>
      </c>
      <c r="B10192" s="1" t="s">
        <v>5598</v>
      </c>
      <c r="C10192" s="1" t="s">
        <v>3600</v>
      </c>
      <c r="D10192" s="1" t="s">
        <v>3695</v>
      </c>
      <c r="E10192" s="1" t="s">
        <v>3664</v>
      </c>
      <c r="F10192" s="1" t="s">
        <v>33500</v>
      </c>
      <c r="G10192" s="1" t="s">
        <v>33189</v>
      </c>
      <c r="H10192" s="1" t="s">
        <v>3604</v>
      </c>
      <c r="I10192" s="1" t="s">
        <v>33501</v>
      </c>
      <c r="J10192" s="1" t="s">
        <v>3615</v>
      </c>
      <c r="K10192" s="1" t="s">
        <v>33191</v>
      </c>
      <c r="L10192" s="1"/>
      <c r="M10192" s="1"/>
    </row>
    <row x14ac:dyDescent="0.25" r="10193" customHeight="1" ht="18.75">
      <c r="A10193" s="1" t="s">
        <v>3693</v>
      </c>
      <c r="B10193" s="1" t="s">
        <v>5598</v>
      </c>
      <c r="C10193" s="1" t="s">
        <v>3600</v>
      </c>
      <c r="D10193" s="1" t="s">
        <v>3695</v>
      </c>
      <c r="E10193" s="1" t="s">
        <v>3664</v>
      </c>
      <c r="F10193" s="1" t="s">
        <v>33502</v>
      </c>
      <c r="G10193" s="1" t="s">
        <v>33503</v>
      </c>
      <c r="H10193" s="1" t="s">
        <v>3604</v>
      </c>
      <c r="I10193" s="1" t="s">
        <v>33504</v>
      </c>
      <c r="J10193" s="1" t="s">
        <v>3615</v>
      </c>
      <c r="K10193" s="1" t="s">
        <v>33191</v>
      </c>
      <c r="L10193" s="1"/>
      <c r="M10193" s="1"/>
    </row>
    <row x14ac:dyDescent="0.25" r="10194" customHeight="1" ht="18.75">
      <c r="A10194" s="1" t="s">
        <v>7833</v>
      </c>
      <c r="B10194" s="1" t="s">
        <v>8291</v>
      </c>
      <c r="C10194" s="1" t="s">
        <v>4488</v>
      </c>
      <c r="D10194" s="1" t="s">
        <v>3601</v>
      </c>
      <c r="E10194" s="1" t="s">
        <v>3611</v>
      </c>
      <c r="F10194" s="1" t="s">
        <v>33505</v>
      </c>
      <c r="G10194" s="1" t="s">
        <v>33506</v>
      </c>
      <c r="H10194" s="1" t="s">
        <v>3604</v>
      </c>
      <c r="I10194" s="1" t="s">
        <v>33507</v>
      </c>
      <c r="J10194" s="1" t="s">
        <v>3606</v>
      </c>
      <c r="K10194" s="1" t="s">
        <v>33508</v>
      </c>
      <c r="L10194" s="1"/>
      <c r="M10194" s="1"/>
    </row>
    <row x14ac:dyDescent="0.25" r="10195" customHeight="1" ht="18.75">
      <c r="A10195" s="1" t="s">
        <v>3693</v>
      </c>
      <c r="B10195" s="1" t="s">
        <v>5598</v>
      </c>
      <c r="C10195" s="1" t="s">
        <v>3600</v>
      </c>
      <c r="D10195" s="1" t="s">
        <v>3695</v>
      </c>
      <c r="E10195" s="1" t="s">
        <v>3664</v>
      </c>
      <c r="F10195" s="1" t="s">
        <v>33509</v>
      </c>
      <c r="G10195" s="1" t="s">
        <v>33503</v>
      </c>
      <c r="H10195" s="1" t="s">
        <v>3604</v>
      </c>
      <c r="I10195" s="1" t="s">
        <v>33510</v>
      </c>
      <c r="J10195" s="1" t="s">
        <v>3615</v>
      </c>
      <c r="K10195" s="1" t="s">
        <v>33191</v>
      </c>
      <c r="L10195" s="1"/>
      <c r="M10195" s="1"/>
    </row>
    <row x14ac:dyDescent="0.25" r="10196" customHeight="1" ht="18.75">
      <c r="A10196" s="1" t="s">
        <v>3693</v>
      </c>
      <c r="B10196" s="1" t="s">
        <v>4091</v>
      </c>
      <c r="C10196" s="1" t="s">
        <v>3600</v>
      </c>
      <c r="D10196" s="1" t="s">
        <v>3695</v>
      </c>
      <c r="E10196" s="1" t="s">
        <v>3664</v>
      </c>
      <c r="F10196" s="1" t="s">
        <v>33511</v>
      </c>
      <c r="G10196" s="1" t="s">
        <v>21661</v>
      </c>
      <c r="H10196" s="1" t="s">
        <v>3604</v>
      </c>
      <c r="I10196" s="1" t="s">
        <v>33512</v>
      </c>
      <c r="J10196" s="1" t="s">
        <v>3615</v>
      </c>
      <c r="K10196" s="1" t="s">
        <v>33513</v>
      </c>
      <c r="L10196" s="1"/>
      <c r="M10196" s="1"/>
    </row>
    <row x14ac:dyDescent="0.25" r="10197" customHeight="1" ht="18.75">
      <c r="A10197" s="1" t="s">
        <v>3693</v>
      </c>
      <c r="B10197" s="1" t="s">
        <v>4091</v>
      </c>
      <c r="C10197" s="1" t="s">
        <v>3600</v>
      </c>
      <c r="D10197" s="1" t="s">
        <v>3695</v>
      </c>
      <c r="E10197" s="1" t="s">
        <v>3664</v>
      </c>
      <c r="F10197" s="1" t="s">
        <v>33514</v>
      </c>
      <c r="G10197" s="1" t="s">
        <v>21661</v>
      </c>
      <c r="H10197" s="1" t="s">
        <v>3604</v>
      </c>
      <c r="I10197" s="1" t="s">
        <v>33515</v>
      </c>
      <c r="J10197" s="1" t="s">
        <v>3615</v>
      </c>
      <c r="K10197" s="1" t="s">
        <v>33513</v>
      </c>
      <c r="L10197" s="1"/>
      <c r="M10197" s="1"/>
    </row>
    <row x14ac:dyDescent="0.25" r="10198" customHeight="1" ht="18.75">
      <c r="A10198" s="1" t="s">
        <v>7833</v>
      </c>
      <c r="B10198" s="1" t="s">
        <v>8291</v>
      </c>
      <c r="C10198" s="1" t="s">
        <v>4488</v>
      </c>
      <c r="D10198" s="1" t="s">
        <v>3601</v>
      </c>
      <c r="E10198" s="1" t="s">
        <v>3611</v>
      </c>
      <c r="F10198" s="1" t="s">
        <v>33516</v>
      </c>
      <c r="G10198" s="1" t="s">
        <v>33506</v>
      </c>
      <c r="H10198" s="1" t="s">
        <v>3604</v>
      </c>
      <c r="I10198" s="1" t="s">
        <v>33517</v>
      </c>
      <c r="J10198" s="1" t="s">
        <v>3606</v>
      </c>
      <c r="K10198" s="1" t="s">
        <v>33518</v>
      </c>
      <c r="L10198" s="1"/>
      <c r="M10198" s="1"/>
    </row>
    <row x14ac:dyDescent="0.25" r="10199" customHeight="1" ht="18.75">
      <c r="A10199" s="1" t="s">
        <v>3693</v>
      </c>
      <c r="B10199" s="1" t="s">
        <v>4091</v>
      </c>
      <c r="C10199" s="1" t="s">
        <v>3600</v>
      </c>
      <c r="D10199" s="1" t="s">
        <v>3695</v>
      </c>
      <c r="E10199" s="1" t="s">
        <v>3664</v>
      </c>
      <c r="F10199" s="1" t="s">
        <v>33519</v>
      </c>
      <c r="G10199" s="1" t="s">
        <v>21661</v>
      </c>
      <c r="H10199" s="1" t="s">
        <v>3604</v>
      </c>
      <c r="I10199" s="1" t="s">
        <v>33520</v>
      </c>
      <c r="J10199" s="1" t="s">
        <v>3615</v>
      </c>
      <c r="K10199" s="1" t="s">
        <v>33513</v>
      </c>
      <c r="L10199" s="1"/>
      <c r="M10199" s="1"/>
    </row>
    <row x14ac:dyDescent="0.25" r="10200" customHeight="1" ht="18.75">
      <c r="A10200" s="1" t="s">
        <v>3693</v>
      </c>
      <c r="B10200" s="1" t="s">
        <v>4083</v>
      </c>
      <c r="C10200" s="1" t="s">
        <v>3600</v>
      </c>
      <c r="D10200" s="1" t="s">
        <v>3695</v>
      </c>
      <c r="E10200" s="1" t="s">
        <v>3664</v>
      </c>
      <c r="F10200" s="1" t="s">
        <v>33521</v>
      </c>
      <c r="G10200" s="1" t="s">
        <v>4483</v>
      </c>
      <c r="H10200" s="1" t="s">
        <v>3604</v>
      </c>
      <c r="I10200" s="1" t="s">
        <v>33522</v>
      </c>
      <c r="J10200" s="1" t="s">
        <v>3615</v>
      </c>
      <c r="K10200" s="1" t="s">
        <v>33496</v>
      </c>
      <c r="L10200" s="1"/>
      <c r="M10200" s="1"/>
    </row>
    <row x14ac:dyDescent="0.25" r="10201" customHeight="1" ht="18.75">
      <c r="A10201" s="1" t="s">
        <v>3693</v>
      </c>
      <c r="B10201" s="1" t="s">
        <v>4083</v>
      </c>
      <c r="C10201" s="1" t="s">
        <v>3600</v>
      </c>
      <c r="D10201" s="1" t="s">
        <v>3695</v>
      </c>
      <c r="E10201" s="1" t="s">
        <v>3664</v>
      </c>
      <c r="F10201" s="1" t="s">
        <v>33523</v>
      </c>
      <c r="G10201" s="1" t="s">
        <v>4483</v>
      </c>
      <c r="H10201" s="1" t="s">
        <v>3604</v>
      </c>
      <c r="I10201" s="1" t="s">
        <v>33524</v>
      </c>
      <c r="J10201" s="1" t="s">
        <v>3615</v>
      </c>
      <c r="K10201" s="1" t="s">
        <v>33496</v>
      </c>
      <c r="L10201" s="1"/>
      <c r="M10201" s="1"/>
    </row>
    <row x14ac:dyDescent="0.25" r="10202" customHeight="1" ht="18.75">
      <c r="A10202" s="1" t="s">
        <v>3693</v>
      </c>
      <c r="B10202" s="1" t="s">
        <v>4083</v>
      </c>
      <c r="C10202" s="1" t="s">
        <v>3600</v>
      </c>
      <c r="D10202" s="1" t="s">
        <v>3695</v>
      </c>
      <c r="E10202" s="1" t="s">
        <v>3664</v>
      </c>
      <c r="F10202" s="1" t="s">
        <v>33525</v>
      </c>
      <c r="G10202" s="1" t="s">
        <v>4553</v>
      </c>
      <c r="H10202" s="1" t="s">
        <v>3604</v>
      </c>
      <c r="I10202" s="1" t="s">
        <v>33526</v>
      </c>
      <c r="J10202" s="1" t="s">
        <v>3615</v>
      </c>
      <c r="K10202" s="1" t="s">
        <v>33496</v>
      </c>
      <c r="L10202" s="1"/>
      <c r="M10202" s="1"/>
    </row>
    <row x14ac:dyDescent="0.25" r="10203" customHeight="1" ht="18.75">
      <c r="A10203" s="1" t="s">
        <v>3693</v>
      </c>
      <c r="B10203" s="1" t="s">
        <v>4083</v>
      </c>
      <c r="C10203" s="1" t="s">
        <v>3600</v>
      </c>
      <c r="D10203" s="1" t="s">
        <v>3695</v>
      </c>
      <c r="E10203" s="1" t="s">
        <v>3664</v>
      </c>
      <c r="F10203" s="1" t="s">
        <v>33527</v>
      </c>
      <c r="G10203" s="1" t="s">
        <v>4553</v>
      </c>
      <c r="H10203" s="1" t="s">
        <v>3604</v>
      </c>
      <c r="I10203" s="1" t="s">
        <v>33528</v>
      </c>
      <c r="J10203" s="1" t="s">
        <v>3615</v>
      </c>
      <c r="K10203" s="1" t="s">
        <v>33496</v>
      </c>
      <c r="L10203" s="1"/>
      <c r="M10203" s="1"/>
    </row>
    <row x14ac:dyDescent="0.25" r="10204" customHeight="1" ht="18.75">
      <c r="A10204" s="1" t="s">
        <v>7833</v>
      </c>
      <c r="B10204" s="1" t="s">
        <v>8291</v>
      </c>
      <c r="C10204" s="1" t="s">
        <v>4488</v>
      </c>
      <c r="D10204" s="1" t="s">
        <v>3601</v>
      </c>
      <c r="E10204" s="1" t="s">
        <v>3611</v>
      </c>
      <c r="F10204" s="1" t="s">
        <v>33529</v>
      </c>
      <c r="G10204" s="1" t="s">
        <v>33506</v>
      </c>
      <c r="H10204" s="1" t="s">
        <v>3604</v>
      </c>
      <c r="I10204" s="1" t="s">
        <v>33530</v>
      </c>
      <c r="J10204" s="1" t="s">
        <v>3606</v>
      </c>
      <c r="K10204" s="1" t="s">
        <v>33531</v>
      </c>
      <c r="L10204" s="1"/>
      <c r="M10204" s="1"/>
    </row>
    <row x14ac:dyDescent="0.25" r="10205" customHeight="1" ht="18.75">
      <c r="A10205" s="1" t="s">
        <v>3693</v>
      </c>
      <c r="B10205" s="1" t="s">
        <v>4091</v>
      </c>
      <c r="C10205" s="1" t="s">
        <v>3600</v>
      </c>
      <c r="D10205" s="1" t="s">
        <v>3695</v>
      </c>
      <c r="E10205" s="1" t="s">
        <v>3664</v>
      </c>
      <c r="F10205" s="1" t="s">
        <v>33532</v>
      </c>
      <c r="G10205" s="1" t="s">
        <v>4389</v>
      </c>
      <c r="H10205" s="1" t="s">
        <v>3604</v>
      </c>
      <c r="I10205" s="1" t="s">
        <v>33533</v>
      </c>
      <c r="J10205" s="1" t="s">
        <v>3615</v>
      </c>
      <c r="K10205" s="1" t="s">
        <v>33513</v>
      </c>
      <c r="L10205" s="1"/>
      <c r="M10205" s="1"/>
    </row>
    <row x14ac:dyDescent="0.25" r="10206" customHeight="1" ht="18.75">
      <c r="A10206" s="1" t="s">
        <v>3693</v>
      </c>
      <c r="B10206" s="1" t="s">
        <v>4091</v>
      </c>
      <c r="C10206" s="1" t="s">
        <v>3600</v>
      </c>
      <c r="D10206" s="1" t="s">
        <v>3695</v>
      </c>
      <c r="E10206" s="1" t="s">
        <v>3664</v>
      </c>
      <c r="F10206" s="1" t="s">
        <v>33534</v>
      </c>
      <c r="G10206" s="1" t="s">
        <v>4389</v>
      </c>
      <c r="H10206" s="1" t="s">
        <v>3604</v>
      </c>
      <c r="I10206" s="1" t="s">
        <v>33535</v>
      </c>
      <c r="J10206" s="1" t="s">
        <v>3615</v>
      </c>
      <c r="K10206" s="1" t="s">
        <v>33513</v>
      </c>
      <c r="L10206" s="1"/>
      <c r="M10206" s="1"/>
    </row>
    <row x14ac:dyDescent="0.25" r="10207" customHeight="1" ht="18.75">
      <c r="A10207" s="1" t="s">
        <v>3693</v>
      </c>
      <c r="B10207" s="1" t="s">
        <v>4091</v>
      </c>
      <c r="C10207" s="1" t="s">
        <v>3600</v>
      </c>
      <c r="D10207" s="1" t="s">
        <v>3695</v>
      </c>
      <c r="E10207" s="1" t="s">
        <v>3664</v>
      </c>
      <c r="F10207" s="1" t="s">
        <v>33536</v>
      </c>
      <c r="G10207" s="1" t="s">
        <v>4389</v>
      </c>
      <c r="H10207" s="1" t="s">
        <v>3604</v>
      </c>
      <c r="I10207" s="1" t="s">
        <v>33537</v>
      </c>
      <c r="J10207" s="1" t="s">
        <v>3615</v>
      </c>
      <c r="K10207" s="1" t="s">
        <v>33513</v>
      </c>
      <c r="L10207" s="1"/>
      <c r="M10207" s="1"/>
    </row>
    <row x14ac:dyDescent="0.25" r="10208" customHeight="1" ht="18.75">
      <c r="A10208" s="1" t="s">
        <v>3693</v>
      </c>
      <c r="B10208" s="1" t="s">
        <v>4091</v>
      </c>
      <c r="C10208" s="1" t="s">
        <v>3600</v>
      </c>
      <c r="D10208" s="1" t="s">
        <v>3695</v>
      </c>
      <c r="E10208" s="1" t="s">
        <v>3893</v>
      </c>
      <c r="F10208" s="1" t="s">
        <v>33538</v>
      </c>
      <c r="G10208" s="1" t="s">
        <v>4362</v>
      </c>
      <c r="H10208" s="1" t="s">
        <v>3604</v>
      </c>
      <c r="I10208" s="1" t="s">
        <v>33539</v>
      </c>
      <c r="J10208" s="1" t="s">
        <v>3615</v>
      </c>
      <c r="K10208" s="1" t="s">
        <v>33540</v>
      </c>
      <c r="L10208" s="1"/>
      <c r="M10208" s="1"/>
    </row>
    <row x14ac:dyDescent="0.25" r="10209" customHeight="1" ht="18.75">
      <c r="A10209" s="1" t="s">
        <v>3693</v>
      </c>
      <c r="B10209" s="1" t="s">
        <v>4083</v>
      </c>
      <c r="C10209" s="1" t="s">
        <v>3600</v>
      </c>
      <c r="D10209" s="1" t="s">
        <v>8373</v>
      </c>
      <c r="E10209" s="1" t="s">
        <v>3893</v>
      </c>
      <c r="F10209" s="1" t="s">
        <v>33541</v>
      </c>
      <c r="G10209" s="1" t="s">
        <v>4553</v>
      </c>
      <c r="H10209" s="1" t="s">
        <v>3604</v>
      </c>
      <c r="I10209" s="1" t="s">
        <v>33542</v>
      </c>
      <c r="J10209" s="1" t="s">
        <v>3615</v>
      </c>
      <c r="K10209" s="1" t="s">
        <v>33543</v>
      </c>
      <c r="L10209" s="1"/>
      <c r="M10209" s="1"/>
    </row>
    <row x14ac:dyDescent="0.25" r="10210" customHeight="1" ht="18.75">
      <c r="A10210" s="1" t="s">
        <v>7833</v>
      </c>
      <c r="B10210" s="1" t="s">
        <v>8291</v>
      </c>
      <c r="C10210" s="1" t="s">
        <v>4488</v>
      </c>
      <c r="D10210" s="1" t="s">
        <v>3601</v>
      </c>
      <c r="E10210" s="1" t="s">
        <v>3611</v>
      </c>
      <c r="F10210" s="1" t="s">
        <v>33544</v>
      </c>
      <c r="G10210" s="1" t="s">
        <v>33506</v>
      </c>
      <c r="H10210" s="1" t="s">
        <v>3604</v>
      </c>
      <c r="I10210" s="1" t="s">
        <v>33545</v>
      </c>
      <c r="J10210" s="1" t="s">
        <v>3606</v>
      </c>
      <c r="K10210" s="1" t="s">
        <v>33508</v>
      </c>
      <c r="L10210" s="1"/>
      <c r="M10210" s="1"/>
    </row>
    <row x14ac:dyDescent="0.25" r="10211" customHeight="1" ht="18.75">
      <c r="A10211" s="1" t="s">
        <v>3693</v>
      </c>
      <c r="B10211" s="1" t="s">
        <v>4083</v>
      </c>
      <c r="C10211" s="1" t="s">
        <v>3600</v>
      </c>
      <c r="D10211" s="1" t="s">
        <v>8373</v>
      </c>
      <c r="E10211" s="1" t="s">
        <v>3893</v>
      </c>
      <c r="F10211" s="1" t="s">
        <v>33546</v>
      </c>
      <c r="G10211" s="1" t="s">
        <v>4553</v>
      </c>
      <c r="H10211" s="1" t="s">
        <v>3604</v>
      </c>
      <c r="I10211" s="1" t="s">
        <v>33547</v>
      </c>
      <c r="J10211" s="1" t="s">
        <v>3615</v>
      </c>
      <c r="K10211" s="1" t="s">
        <v>33543</v>
      </c>
      <c r="L10211" s="1"/>
      <c r="M10211" s="1"/>
    </row>
    <row x14ac:dyDescent="0.25" r="10212" customHeight="1" ht="18.75">
      <c r="A10212" s="1" t="s">
        <v>3693</v>
      </c>
      <c r="B10212" s="1" t="s">
        <v>4214</v>
      </c>
      <c r="C10212" s="1" t="s">
        <v>3600</v>
      </c>
      <c r="D10212" s="1" t="s">
        <v>533</v>
      </c>
      <c r="E10212" s="1" t="s">
        <v>3752</v>
      </c>
      <c r="F10212" s="1" t="s">
        <v>33548</v>
      </c>
      <c r="G10212" s="1" t="s">
        <v>9997</v>
      </c>
      <c r="H10212" s="1" t="s">
        <v>3604</v>
      </c>
      <c r="I10212" s="1" t="s">
        <v>33549</v>
      </c>
      <c r="J10212" s="1" t="s">
        <v>3615</v>
      </c>
      <c r="K10212" s="1" t="s">
        <v>33550</v>
      </c>
      <c r="L10212" s="1"/>
      <c r="M10212" s="1"/>
    </row>
    <row x14ac:dyDescent="0.25" r="10213" customHeight="1" ht="18.75">
      <c r="A10213" s="1" t="s">
        <v>7833</v>
      </c>
      <c r="B10213" s="1" t="s">
        <v>8291</v>
      </c>
      <c r="C10213" s="1" t="s">
        <v>4488</v>
      </c>
      <c r="D10213" s="1" t="s">
        <v>3601</v>
      </c>
      <c r="E10213" s="1" t="s">
        <v>3611</v>
      </c>
      <c r="F10213" s="1" t="s">
        <v>33551</v>
      </c>
      <c r="G10213" s="1" t="s">
        <v>33506</v>
      </c>
      <c r="H10213" s="1" t="s">
        <v>3604</v>
      </c>
      <c r="I10213" s="1" t="s">
        <v>33552</v>
      </c>
      <c r="J10213" s="1" t="s">
        <v>3606</v>
      </c>
      <c r="K10213" s="1" t="s">
        <v>33508</v>
      </c>
      <c r="L10213" s="1"/>
      <c r="M10213" s="1"/>
    </row>
    <row x14ac:dyDescent="0.25" r="10214" customHeight="1" ht="18.75">
      <c r="A10214" s="1" t="s">
        <v>7833</v>
      </c>
      <c r="B10214" s="1" t="s">
        <v>8269</v>
      </c>
      <c r="C10214" s="1" t="s">
        <v>4488</v>
      </c>
      <c r="D10214" s="1" t="s">
        <v>3601</v>
      </c>
      <c r="E10214" s="1" t="s">
        <v>3611</v>
      </c>
      <c r="F10214" s="1" t="s">
        <v>33553</v>
      </c>
      <c r="G10214" s="1" t="s">
        <v>33554</v>
      </c>
      <c r="H10214" s="1" t="s">
        <v>3604</v>
      </c>
      <c r="I10214" s="1" t="s">
        <v>33555</v>
      </c>
      <c r="J10214" s="1" t="s">
        <v>3606</v>
      </c>
      <c r="K10214" s="1" t="s">
        <v>33556</v>
      </c>
      <c r="L10214" s="1"/>
      <c r="M10214" s="1"/>
    </row>
    <row x14ac:dyDescent="0.25" r="10215" customHeight="1" ht="18.75">
      <c r="A10215" s="1" t="s">
        <v>7833</v>
      </c>
      <c r="B10215" s="1" t="s">
        <v>8291</v>
      </c>
      <c r="C10215" s="1" t="s">
        <v>4488</v>
      </c>
      <c r="D10215" s="1" t="s">
        <v>3601</v>
      </c>
      <c r="E10215" s="1" t="s">
        <v>3611</v>
      </c>
      <c r="F10215" s="1" t="s">
        <v>33557</v>
      </c>
      <c r="G10215" s="1" t="s">
        <v>33506</v>
      </c>
      <c r="H10215" s="1" t="s">
        <v>3604</v>
      </c>
      <c r="I10215" s="1" t="s">
        <v>33558</v>
      </c>
      <c r="J10215" s="1" t="s">
        <v>3606</v>
      </c>
      <c r="K10215" s="1" t="s">
        <v>33559</v>
      </c>
      <c r="L10215" s="1"/>
      <c r="M10215" s="1"/>
    </row>
    <row x14ac:dyDescent="0.25" r="10216" customHeight="1" ht="18.75">
      <c r="A10216" s="1" t="s">
        <v>3693</v>
      </c>
      <c r="B10216" s="1" t="s">
        <v>4083</v>
      </c>
      <c r="C10216" s="1" t="s">
        <v>3600</v>
      </c>
      <c r="D10216" s="1" t="s">
        <v>533</v>
      </c>
      <c r="E10216" s="1" t="s">
        <v>3664</v>
      </c>
      <c r="F10216" s="1" t="s">
        <v>33560</v>
      </c>
      <c r="G10216" s="1" t="s">
        <v>5667</v>
      </c>
      <c r="H10216" s="1" t="s">
        <v>3604</v>
      </c>
      <c r="I10216" s="1" t="s">
        <v>33561</v>
      </c>
      <c r="J10216" s="1" t="s">
        <v>3615</v>
      </c>
      <c r="K10216" s="1" t="s">
        <v>33562</v>
      </c>
      <c r="L10216" s="1"/>
      <c r="M10216" s="1"/>
    </row>
    <row x14ac:dyDescent="0.25" r="10217" customHeight="1" ht="18.75">
      <c r="A10217" s="1" t="s">
        <v>3693</v>
      </c>
      <c r="B10217" s="1" t="s">
        <v>4083</v>
      </c>
      <c r="C10217" s="1" t="s">
        <v>3600</v>
      </c>
      <c r="D10217" s="1" t="s">
        <v>533</v>
      </c>
      <c r="E10217" s="1" t="s">
        <v>3664</v>
      </c>
      <c r="F10217" s="1" t="s">
        <v>33563</v>
      </c>
      <c r="G10217" s="1" t="s">
        <v>10467</v>
      </c>
      <c r="H10217" s="1" t="s">
        <v>3604</v>
      </c>
      <c r="I10217" s="1" t="s">
        <v>33564</v>
      </c>
      <c r="J10217" s="1" t="s">
        <v>3615</v>
      </c>
      <c r="K10217" s="1" t="s">
        <v>33565</v>
      </c>
      <c r="L10217" s="1"/>
      <c r="M10217" s="1"/>
    </row>
    <row x14ac:dyDescent="0.25" r="10218" customHeight="1" ht="18.75">
      <c r="A10218" s="1" t="s">
        <v>3693</v>
      </c>
      <c r="B10218" s="1" t="s">
        <v>4083</v>
      </c>
      <c r="C10218" s="1" t="s">
        <v>3600</v>
      </c>
      <c r="D10218" s="1" t="s">
        <v>533</v>
      </c>
      <c r="E10218" s="1" t="s">
        <v>3664</v>
      </c>
      <c r="F10218" s="1" t="s">
        <v>33566</v>
      </c>
      <c r="G10218" s="1" t="s">
        <v>4483</v>
      </c>
      <c r="H10218" s="1" t="s">
        <v>3604</v>
      </c>
      <c r="I10218" s="1" t="s">
        <v>33567</v>
      </c>
      <c r="J10218" s="1" t="s">
        <v>3615</v>
      </c>
      <c r="K10218" s="1" t="s">
        <v>33568</v>
      </c>
      <c r="L10218" s="1"/>
      <c r="M10218" s="1"/>
    </row>
    <row x14ac:dyDescent="0.25" r="10219" customHeight="1" ht="18.75">
      <c r="A10219" s="1" t="s">
        <v>7833</v>
      </c>
      <c r="B10219" s="1" t="s">
        <v>8291</v>
      </c>
      <c r="C10219" s="1" t="s">
        <v>4488</v>
      </c>
      <c r="D10219" s="1" t="s">
        <v>3601</v>
      </c>
      <c r="E10219" s="1" t="s">
        <v>3611</v>
      </c>
      <c r="F10219" s="1" t="s">
        <v>33569</v>
      </c>
      <c r="G10219" s="1" t="s">
        <v>33506</v>
      </c>
      <c r="H10219" s="1" t="s">
        <v>3604</v>
      </c>
      <c r="I10219" s="1" t="s">
        <v>33570</v>
      </c>
      <c r="J10219" s="1" t="s">
        <v>3606</v>
      </c>
      <c r="K10219" s="1" t="s">
        <v>33571</v>
      </c>
      <c r="L10219" s="1"/>
      <c r="M10219" s="1"/>
    </row>
    <row x14ac:dyDescent="0.25" r="10220" customHeight="1" ht="18.75">
      <c r="A10220" s="1" t="s">
        <v>3693</v>
      </c>
      <c r="B10220" s="1" t="s">
        <v>4083</v>
      </c>
      <c r="C10220" s="1" t="s">
        <v>3600</v>
      </c>
      <c r="D10220" s="1" t="s">
        <v>533</v>
      </c>
      <c r="E10220" s="1" t="s">
        <v>3752</v>
      </c>
      <c r="F10220" s="1" t="s">
        <v>33572</v>
      </c>
      <c r="G10220" s="1" t="s">
        <v>9382</v>
      </c>
      <c r="H10220" s="1" t="s">
        <v>3604</v>
      </c>
      <c r="I10220" s="1" t="s">
        <v>33573</v>
      </c>
      <c r="J10220" s="1" t="s">
        <v>3615</v>
      </c>
      <c r="K10220" s="1" t="s">
        <v>33574</v>
      </c>
      <c r="L10220" s="1"/>
      <c r="M10220" s="1"/>
    </row>
    <row x14ac:dyDescent="0.25" r="10221" customHeight="1" ht="18.75">
      <c r="A10221" s="1" t="s">
        <v>3693</v>
      </c>
      <c r="B10221" s="1" t="s">
        <v>4083</v>
      </c>
      <c r="C10221" s="1" t="s">
        <v>3600</v>
      </c>
      <c r="D10221" s="1" t="s">
        <v>533</v>
      </c>
      <c r="E10221" s="1" t="s">
        <v>3752</v>
      </c>
      <c r="F10221" s="1" t="s">
        <v>33575</v>
      </c>
      <c r="G10221" s="1" t="s">
        <v>9382</v>
      </c>
      <c r="H10221" s="1" t="s">
        <v>3604</v>
      </c>
      <c r="I10221" s="1" t="s">
        <v>33576</v>
      </c>
      <c r="J10221" s="1" t="s">
        <v>3615</v>
      </c>
      <c r="K10221" s="1" t="s">
        <v>33577</v>
      </c>
      <c r="L10221" s="1"/>
      <c r="M10221" s="1"/>
    </row>
    <row x14ac:dyDescent="0.25" r="10222" customHeight="1" ht="18.75">
      <c r="A10222" s="1" t="s">
        <v>3693</v>
      </c>
      <c r="B10222" s="1" t="s">
        <v>4083</v>
      </c>
      <c r="C10222" s="1" t="s">
        <v>3600</v>
      </c>
      <c r="D10222" s="1" t="s">
        <v>533</v>
      </c>
      <c r="E10222" s="1" t="s">
        <v>3893</v>
      </c>
      <c r="F10222" s="1" t="s">
        <v>33578</v>
      </c>
      <c r="G10222" s="1" t="s">
        <v>4424</v>
      </c>
      <c r="H10222" s="1" t="s">
        <v>3604</v>
      </c>
      <c r="I10222" s="1" t="s">
        <v>33579</v>
      </c>
      <c r="J10222" s="1" t="s">
        <v>3615</v>
      </c>
      <c r="K10222" s="1" t="s">
        <v>33580</v>
      </c>
      <c r="L10222" s="1"/>
      <c r="M10222" s="1"/>
    </row>
    <row x14ac:dyDescent="0.25" r="10223" customHeight="1" ht="18.75">
      <c r="A10223" s="1" t="s">
        <v>3693</v>
      </c>
      <c r="B10223" s="1" t="s">
        <v>4083</v>
      </c>
      <c r="C10223" s="1" t="s">
        <v>3600</v>
      </c>
      <c r="D10223" s="1" t="s">
        <v>533</v>
      </c>
      <c r="E10223" s="1" t="s">
        <v>3893</v>
      </c>
      <c r="F10223" s="1" t="s">
        <v>33581</v>
      </c>
      <c r="G10223" s="1" t="s">
        <v>24663</v>
      </c>
      <c r="H10223" s="1" t="s">
        <v>3604</v>
      </c>
      <c r="I10223" s="1" t="s">
        <v>33582</v>
      </c>
      <c r="J10223" s="1" t="s">
        <v>3615</v>
      </c>
      <c r="K10223" s="1" t="s">
        <v>33583</v>
      </c>
      <c r="L10223" s="1"/>
      <c r="M10223" s="1"/>
    </row>
    <row x14ac:dyDescent="0.25" r="10224" customHeight="1" ht="18.75">
      <c r="A10224" s="1" t="s">
        <v>7833</v>
      </c>
      <c r="B10224" s="1" t="s">
        <v>8291</v>
      </c>
      <c r="C10224" s="1" t="s">
        <v>4488</v>
      </c>
      <c r="D10224" s="1" t="s">
        <v>3601</v>
      </c>
      <c r="E10224" s="1" t="s">
        <v>3611</v>
      </c>
      <c r="F10224" s="1" t="s">
        <v>33584</v>
      </c>
      <c r="G10224" s="1" t="s">
        <v>33506</v>
      </c>
      <c r="H10224" s="1" t="s">
        <v>3604</v>
      </c>
      <c r="I10224" s="1" t="s">
        <v>33585</v>
      </c>
      <c r="J10224" s="1" t="s">
        <v>3606</v>
      </c>
      <c r="K10224" s="1" t="s">
        <v>33508</v>
      </c>
      <c r="L10224" s="1"/>
      <c r="M10224" s="1"/>
    </row>
    <row x14ac:dyDescent="0.25" r="10225" customHeight="1" ht="18.75">
      <c r="A10225" s="1" t="s">
        <v>3693</v>
      </c>
      <c r="B10225" s="1" t="s">
        <v>4192</v>
      </c>
      <c r="C10225" s="1" t="s">
        <v>3600</v>
      </c>
      <c r="D10225" s="1" t="s">
        <v>533</v>
      </c>
      <c r="E10225" s="1" t="s">
        <v>3893</v>
      </c>
      <c r="F10225" s="1" t="s">
        <v>33586</v>
      </c>
      <c r="G10225" s="1" t="s">
        <v>4551</v>
      </c>
      <c r="H10225" s="1" t="s">
        <v>3604</v>
      </c>
      <c r="I10225" s="1" t="s">
        <v>33587</v>
      </c>
      <c r="J10225" s="1" t="s">
        <v>3615</v>
      </c>
      <c r="K10225" s="1" t="s">
        <v>33588</v>
      </c>
      <c r="L10225" s="1"/>
      <c r="M10225" s="1"/>
    </row>
    <row x14ac:dyDescent="0.25" r="10226" customHeight="1" ht="18.75">
      <c r="A10226" s="1" t="s">
        <v>3693</v>
      </c>
      <c r="B10226" s="1" t="s">
        <v>4083</v>
      </c>
      <c r="C10226" s="1" t="s">
        <v>3600</v>
      </c>
      <c r="D10226" s="1" t="s">
        <v>7891</v>
      </c>
      <c r="E10226" s="1" t="s">
        <v>3752</v>
      </c>
      <c r="F10226" s="1" t="s">
        <v>33589</v>
      </c>
      <c r="G10226" s="1" t="s">
        <v>10467</v>
      </c>
      <c r="H10226" s="1" t="s">
        <v>3604</v>
      </c>
      <c r="I10226" s="1" t="s">
        <v>33590</v>
      </c>
      <c r="J10226" s="1" t="s">
        <v>3615</v>
      </c>
      <c r="K10226" s="1" t="s">
        <v>33591</v>
      </c>
      <c r="L10226" s="1"/>
      <c r="M10226" s="1"/>
    </row>
    <row x14ac:dyDescent="0.25" r="10227" customHeight="1" ht="18.75">
      <c r="A10227" s="1" t="s">
        <v>3693</v>
      </c>
      <c r="B10227" s="1" t="s">
        <v>4083</v>
      </c>
      <c r="C10227" s="1" t="s">
        <v>3600</v>
      </c>
      <c r="D10227" s="1" t="s">
        <v>7891</v>
      </c>
      <c r="E10227" s="1" t="s">
        <v>3752</v>
      </c>
      <c r="F10227" s="1" t="s">
        <v>33592</v>
      </c>
      <c r="G10227" s="1" t="s">
        <v>4483</v>
      </c>
      <c r="H10227" s="1" t="s">
        <v>3604</v>
      </c>
      <c r="I10227" s="1" t="s">
        <v>33593</v>
      </c>
      <c r="J10227" s="1" t="s">
        <v>3615</v>
      </c>
      <c r="K10227" s="1" t="s">
        <v>33591</v>
      </c>
      <c r="L10227" s="1"/>
      <c r="M10227" s="1"/>
    </row>
    <row x14ac:dyDescent="0.25" r="10228" customHeight="1" ht="18.75">
      <c r="A10228" s="1" t="s">
        <v>3693</v>
      </c>
      <c r="B10228" s="1" t="s">
        <v>4083</v>
      </c>
      <c r="C10228" s="1" t="s">
        <v>3600</v>
      </c>
      <c r="D10228" s="1" t="s">
        <v>7891</v>
      </c>
      <c r="E10228" s="1" t="s">
        <v>3752</v>
      </c>
      <c r="F10228" s="1" t="s">
        <v>33594</v>
      </c>
      <c r="G10228" s="1" t="s">
        <v>4483</v>
      </c>
      <c r="H10228" s="1" t="s">
        <v>3604</v>
      </c>
      <c r="I10228" s="1" t="s">
        <v>33595</v>
      </c>
      <c r="J10228" s="1" t="s">
        <v>3615</v>
      </c>
      <c r="K10228" s="1" t="s">
        <v>33591</v>
      </c>
      <c r="L10228" s="1"/>
      <c r="M10228" s="1"/>
    </row>
    <row x14ac:dyDescent="0.25" r="10229" customHeight="1" ht="18.75">
      <c r="A10229" s="1" t="s">
        <v>3693</v>
      </c>
      <c r="B10229" s="1" t="s">
        <v>4083</v>
      </c>
      <c r="C10229" s="1" t="s">
        <v>3600</v>
      </c>
      <c r="D10229" s="1" t="s">
        <v>7891</v>
      </c>
      <c r="E10229" s="1" t="s">
        <v>3752</v>
      </c>
      <c r="F10229" s="1" t="s">
        <v>33596</v>
      </c>
      <c r="G10229" s="1" t="s">
        <v>4483</v>
      </c>
      <c r="H10229" s="1" t="s">
        <v>3604</v>
      </c>
      <c r="I10229" s="1" t="s">
        <v>33597</v>
      </c>
      <c r="J10229" s="1" t="s">
        <v>3615</v>
      </c>
      <c r="K10229" s="1" t="s">
        <v>33591</v>
      </c>
      <c r="L10229" s="1"/>
      <c r="M10229" s="1"/>
    </row>
    <row x14ac:dyDescent="0.25" r="10230" customHeight="1" ht="18.75">
      <c r="A10230" s="1" t="s">
        <v>7833</v>
      </c>
      <c r="B10230" s="1" t="s">
        <v>8291</v>
      </c>
      <c r="C10230" s="1" t="s">
        <v>4488</v>
      </c>
      <c r="D10230" s="1" t="s">
        <v>3601</v>
      </c>
      <c r="E10230" s="1" t="s">
        <v>3611</v>
      </c>
      <c r="F10230" s="1" t="s">
        <v>33598</v>
      </c>
      <c r="G10230" s="1" t="s">
        <v>33506</v>
      </c>
      <c r="H10230" s="1" t="s">
        <v>3604</v>
      </c>
      <c r="I10230" s="1" t="s">
        <v>33599</v>
      </c>
      <c r="J10230" s="1" t="s">
        <v>3606</v>
      </c>
      <c r="K10230" s="1" t="s">
        <v>33518</v>
      </c>
      <c r="L10230" s="1"/>
      <c r="M10230" s="1"/>
    </row>
    <row x14ac:dyDescent="0.25" r="10231" customHeight="1" ht="18.75">
      <c r="A10231" s="1" t="s">
        <v>3617</v>
      </c>
      <c r="B10231" s="1" t="s">
        <v>4582</v>
      </c>
      <c r="C10231" s="1" t="s">
        <v>4488</v>
      </c>
      <c r="D10231" s="1" t="s">
        <v>3601</v>
      </c>
      <c r="E10231" s="1" t="s">
        <v>4478</v>
      </c>
      <c r="F10231" s="1" t="s">
        <v>33600</v>
      </c>
      <c r="G10231" s="1" t="s">
        <v>10946</v>
      </c>
      <c r="H10231" s="1" t="s">
        <v>3604</v>
      </c>
      <c r="I10231" s="1" t="s">
        <v>33601</v>
      </c>
      <c r="J10231" s="1" t="s">
        <v>3615</v>
      </c>
      <c r="K10231" s="1" t="s">
        <v>25916</v>
      </c>
      <c r="L10231" s="1"/>
      <c r="M10231" s="1"/>
    </row>
    <row x14ac:dyDescent="0.25" r="10232" customHeight="1" ht="18.75">
      <c r="A10232" s="1" t="s">
        <v>3693</v>
      </c>
      <c r="B10232" s="1" t="s">
        <v>4083</v>
      </c>
      <c r="C10232" s="1" t="s">
        <v>3600</v>
      </c>
      <c r="D10232" s="1" t="s">
        <v>533</v>
      </c>
      <c r="E10232" s="1" t="s">
        <v>3893</v>
      </c>
      <c r="F10232" s="1" t="s">
        <v>33602</v>
      </c>
      <c r="G10232" s="1" t="s">
        <v>4377</v>
      </c>
      <c r="H10232" s="1" t="s">
        <v>3604</v>
      </c>
      <c r="I10232" s="1" t="s">
        <v>33603</v>
      </c>
      <c r="J10232" s="1" t="s">
        <v>3615</v>
      </c>
      <c r="K10232" s="1" t="s">
        <v>33604</v>
      </c>
      <c r="L10232" s="1"/>
      <c r="M10232" s="1"/>
    </row>
    <row x14ac:dyDescent="0.25" r="10233" customHeight="1" ht="18.75">
      <c r="A10233" s="1" t="s">
        <v>3693</v>
      </c>
      <c r="B10233" s="1" t="s">
        <v>4083</v>
      </c>
      <c r="C10233" s="1" t="s">
        <v>3600</v>
      </c>
      <c r="D10233" s="1" t="s">
        <v>7891</v>
      </c>
      <c r="E10233" s="1" t="s">
        <v>3752</v>
      </c>
      <c r="F10233" s="1" t="s">
        <v>33605</v>
      </c>
      <c r="G10233" s="1" t="s">
        <v>10467</v>
      </c>
      <c r="H10233" s="1" t="s">
        <v>3604</v>
      </c>
      <c r="I10233" s="1" t="s">
        <v>33606</v>
      </c>
      <c r="J10233" s="1" t="s">
        <v>3615</v>
      </c>
      <c r="K10233" s="1" t="s">
        <v>33591</v>
      </c>
      <c r="L10233" s="1"/>
      <c r="M10233" s="1"/>
    </row>
    <row x14ac:dyDescent="0.25" r="10234" customHeight="1" ht="18.75">
      <c r="A10234" s="1" t="s">
        <v>7833</v>
      </c>
      <c r="B10234" s="1" t="s">
        <v>8291</v>
      </c>
      <c r="C10234" s="1" t="s">
        <v>4488</v>
      </c>
      <c r="D10234" s="1" t="s">
        <v>3601</v>
      </c>
      <c r="E10234" s="1" t="s">
        <v>3611</v>
      </c>
      <c r="F10234" s="1" t="s">
        <v>33607</v>
      </c>
      <c r="G10234" s="1" t="s">
        <v>33506</v>
      </c>
      <c r="H10234" s="1" t="s">
        <v>3604</v>
      </c>
      <c r="I10234" s="1" t="s">
        <v>33608</v>
      </c>
      <c r="J10234" s="1" t="s">
        <v>3606</v>
      </c>
      <c r="K10234" s="1" t="s">
        <v>33609</v>
      </c>
      <c r="L10234" s="1"/>
      <c r="M10234" s="1"/>
    </row>
    <row x14ac:dyDescent="0.25" r="10235" customHeight="1" ht="18.75">
      <c r="A10235" s="1" t="s">
        <v>3693</v>
      </c>
      <c r="B10235" s="1" t="s">
        <v>4083</v>
      </c>
      <c r="C10235" s="1" t="s">
        <v>3600</v>
      </c>
      <c r="D10235" s="1" t="s">
        <v>7891</v>
      </c>
      <c r="E10235" s="1" t="s">
        <v>3752</v>
      </c>
      <c r="F10235" s="1" t="s">
        <v>33610</v>
      </c>
      <c r="G10235" s="1" t="s">
        <v>10467</v>
      </c>
      <c r="H10235" s="1" t="s">
        <v>3604</v>
      </c>
      <c r="I10235" s="1" t="s">
        <v>33611</v>
      </c>
      <c r="J10235" s="1" t="s">
        <v>3615</v>
      </c>
      <c r="K10235" s="1" t="s">
        <v>33591</v>
      </c>
      <c r="L10235" s="1"/>
      <c r="M10235" s="1"/>
    </row>
    <row x14ac:dyDescent="0.25" r="10236" customHeight="1" ht="18.75">
      <c r="A10236" s="1" t="s">
        <v>7833</v>
      </c>
      <c r="B10236" s="1" t="s">
        <v>8291</v>
      </c>
      <c r="C10236" s="1" t="s">
        <v>4488</v>
      </c>
      <c r="D10236" s="1" t="s">
        <v>3601</v>
      </c>
      <c r="E10236" s="1" t="s">
        <v>3611</v>
      </c>
      <c r="F10236" s="1" t="s">
        <v>33612</v>
      </c>
      <c r="G10236" s="1" t="s">
        <v>33506</v>
      </c>
      <c r="H10236" s="1" t="s">
        <v>3604</v>
      </c>
      <c r="I10236" s="1" t="s">
        <v>33613</v>
      </c>
      <c r="J10236" s="1" t="s">
        <v>3606</v>
      </c>
      <c r="K10236" s="1" t="s">
        <v>33559</v>
      </c>
      <c r="L10236" s="1"/>
      <c r="M10236" s="1"/>
    </row>
    <row x14ac:dyDescent="0.25" r="10237" customHeight="1" ht="18.75">
      <c r="A10237" s="1" t="s">
        <v>3693</v>
      </c>
      <c r="B10237" s="1" t="s">
        <v>4214</v>
      </c>
      <c r="C10237" s="1" t="s">
        <v>3600</v>
      </c>
      <c r="D10237" s="1" t="s">
        <v>7891</v>
      </c>
      <c r="E10237" s="1" t="s">
        <v>3752</v>
      </c>
      <c r="F10237" s="1" t="s">
        <v>33614</v>
      </c>
      <c r="G10237" s="1" t="s">
        <v>9997</v>
      </c>
      <c r="H10237" s="1" t="s">
        <v>3604</v>
      </c>
      <c r="I10237" s="1" t="s">
        <v>33615</v>
      </c>
      <c r="J10237" s="1" t="s">
        <v>3615</v>
      </c>
      <c r="K10237" s="1" t="s">
        <v>33616</v>
      </c>
      <c r="L10237" s="1"/>
      <c r="M10237" s="1"/>
    </row>
    <row x14ac:dyDescent="0.25" r="10238" customHeight="1" ht="18.75">
      <c r="A10238" s="1" t="s">
        <v>3617</v>
      </c>
      <c r="B10238" s="1" t="s">
        <v>4455</v>
      </c>
      <c r="C10238" s="1" t="s">
        <v>3619</v>
      </c>
      <c r="D10238" s="1" t="s">
        <v>3695</v>
      </c>
      <c r="E10238" s="1" t="s">
        <v>3730</v>
      </c>
      <c r="F10238" s="1" t="s">
        <v>33617</v>
      </c>
      <c r="G10238" s="1" t="s">
        <v>33139</v>
      </c>
      <c r="H10238" s="1" t="s">
        <v>3604</v>
      </c>
      <c r="I10238" s="1" t="s">
        <v>33618</v>
      </c>
      <c r="J10238" s="1" t="s">
        <v>3606</v>
      </c>
      <c r="K10238" s="1" t="s">
        <v>33619</v>
      </c>
      <c r="L10238" s="1"/>
      <c r="M10238" s="1"/>
    </row>
    <row x14ac:dyDescent="0.25" r="10239" customHeight="1" ht="18.75">
      <c r="A10239" s="1" t="s">
        <v>7833</v>
      </c>
      <c r="B10239" s="1" t="s">
        <v>8269</v>
      </c>
      <c r="C10239" s="1" t="s">
        <v>4488</v>
      </c>
      <c r="D10239" s="1" t="s">
        <v>3601</v>
      </c>
      <c r="E10239" s="1" t="s">
        <v>3611</v>
      </c>
      <c r="F10239" s="1" t="s">
        <v>33620</v>
      </c>
      <c r="G10239" s="1" t="s">
        <v>33554</v>
      </c>
      <c r="H10239" s="1" t="s">
        <v>3604</v>
      </c>
      <c r="I10239" s="1" t="s">
        <v>33621</v>
      </c>
      <c r="J10239" s="1" t="s">
        <v>3606</v>
      </c>
      <c r="K10239" s="1" t="s">
        <v>33622</v>
      </c>
      <c r="L10239" s="1"/>
      <c r="M10239" s="1"/>
    </row>
    <row x14ac:dyDescent="0.25" r="10240" customHeight="1" ht="18.75">
      <c r="A10240" s="1" t="s">
        <v>3617</v>
      </c>
      <c r="B10240" s="1" t="s">
        <v>4455</v>
      </c>
      <c r="C10240" s="1" t="s">
        <v>3619</v>
      </c>
      <c r="D10240" s="1" t="s">
        <v>3695</v>
      </c>
      <c r="E10240" s="1" t="s">
        <v>3730</v>
      </c>
      <c r="F10240" s="1" t="s">
        <v>33623</v>
      </c>
      <c r="G10240" s="1" t="s">
        <v>33139</v>
      </c>
      <c r="H10240" s="1" t="s">
        <v>3604</v>
      </c>
      <c r="I10240" s="1" t="s">
        <v>33624</v>
      </c>
      <c r="J10240" s="1" t="s">
        <v>3606</v>
      </c>
      <c r="K10240" s="1" t="s">
        <v>33625</v>
      </c>
      <c r="L10240" s="1"/>
      <c r="M10240" s="1"/>
    </row>
    <row x14ac:dyDescent="0.25" r="10241" customHeight="1" ht="18.75">
      <c r="A10241" s="1" t="s">
        <v>3693</v>
      </c>
      <c r="B10241" s="1" t="s">
        <v>4214</v>
      </c>
      <c r="C10241" s="1" t="s">
        <v>3600</v>
      </c>
      <c r="D10241" s="1" t="s">
        <v>7891</v>
      </c>
      <c r="E10241" s="1" t="s">
        <v>3752</v>
      </c>
      <c r="F10241" s="1" t="s">
        <v>33626</v>
      </c>
      <c r="G10241" s="1" t="s">
        <v>9997</v>
      </c>
      <c r="H10241" s="1" t="s">
        <v>3604</v>
      </c>
      <c r="I10241" s="1" t="s">
        <v>33627</v>
      </c>
      <c r="J10241" s="1" t="s">
        <v>3615</v>
      </c>
      <c r="K10241" s="1" t="s">
        <v>33616</v>
      </c>
      <c r="L10241" s="1"/>
      <c r="M10241" s="1"/>
    </row>
    <row x14ac:dyDescent="0.25" r="10242" customHeight="1" ht="18.75">
      <c r="A10242" s="1" t="s">
        <v>3598</v>
      </c>
      <c r="B10242" s="1" t="s">
        <v>13864</v>
      </c>
      <c r="C10242" s="1" t="s">
        <v>3600</v>
      </c>
      <c r="D10242" s="1" t="s">
        <v>3610</v>
      </c>
      <c r="E10242" s="1" t="s">
        <v>3664</v>
      </c>
      <c r="F10242" s="1" t="s">
        <v>33628</v>
      </c>
      <c r="G10242" s="1" t="s">
        <v>25942</v>
      </c>
      <c r="H10242" s="1" t="s">
        <v>3604</v>
      </c>
      <c r="I10242" s="1" t="s">
        <v>33629</v>
      </c>
      <c r="J10242" s="1" t="s">
        <v>3615</v>
      </c>
      <c r="K10242" s="1" t="s">
        <v>33630</v>
      </c>
      <c r="L10242" s="1"/>
      <c r="M10242" s="1"/>
    </row>
    <row x14ac:dyDescent="0.25" r="10243" customHeight="1" ht="18.75">
      <c r="A10243" s="1" t="s">
        <v>3617</v>
      </c>
      <c r="B10243" s="1" t="s">
        <v>4455</v>
      </c>
      <c r="C10243" s="1" t="s">
        <v>3619</v>
      </c>
      <c r="D10243" s="1" t="s">
        <v>3695</v>
      </c>
      <c r="E10243" s="1" t="s">
        <v>3730</v>
      </c>
      <c r="F10243" s="1" t="s">
        <v>33631</v>
      </c>
      <c r="G10243" s="1" t="s">
        <v>33139</v>
      </c>
      <c r="H10243" s="1" t="s">
        <v>3604</v>
      </c>
      <c r="I10243" s="1" t="s">
        <v>33632</v>
      </c>
      <c r="J10243" s="1" t="s">
        <v>3606</v>
      </c>
      <c r="K10243" s="1" t="s">
        <v>33633</v>
      </c>
      <c r="L10243" s="1"/>
      <c r="M10243" s="1"/>
    </row>
    <row x14ac:dyDescent="0.25" r="10244" customHeight="1" ht="18.75">
      <c r="A10244" s="1" t="s">
        <v>3693</v>
      </c>
      <c r="B10244" s="1" t="s">
        <v>4214</v>
      </c>
      <c r="C10244" s="1" t="s">
        <v>3600</v>
      </c>
      <c r="D10244" s="1" t="s">
        <v>7891</v>
      </c>
      <c r="E10244" s="1" t="s">
        <v>3752</v>
      </c>
      <c r="F10244" s="1" t="s">
        <v>33634</v>
      </c>
      <c r="G10244" s="1" t="s">
        <v>9997</v>
      </c>
      <c r="H10244" s="1" t="s">
        <v>3604</v>
      </c>
      <c r="I10244" s="1" t="s">
        <v>33635</v>
      </c>
      <c r="J10244" s="1" t="s">
        <v>3615</v>
      </c>
      <c r="K10244" s="1" t="s">
        <v>33616</v>
      </c>
      <c r="L10244" s="1"/>
      <c r="M10244" s="1"/>
    </row>
    <row x14ac:dyDescent="0.25" r="10245" customHeight="1" ht="18.75">
      <c r="A10245" s="1" t="s">
        <v>7833</v>
      </c>
      <c r="B10245" s="1" t="s">
        <v>8291</v>
      </c>
      <c r="C10245" s="1" t="s">
        <v>4488</v>
      </c>
      <c r="D10245" s="1" t="s">
        <v>3601</v>
      </c>
      <c r="E10245" s="1" t="s">
        <v>3611</v>
      </c>
      <c r="F10245" s="1" t="s">
        <v>33636</v>
      </c>
      <c r="G10245" s="1" t="s">
        <v>33506</v>
      </c>
      <c r="H10245" s="1" t="s">
        <v>3604</v>
      </c>
      <c r="I10245" s="1" t="s">
        <v>33637</v>
      </c>
      <c r="J10245" s="1" t="s">
        <v>3606</v>
      </c>
      <c r="K10245" s="1" t="s">
        <v>33571</v>
      </c>
      <c r="L10245" s="1"/>
      <c r="M10245" s="1"/>
    </row>
    <row x14ac:dyDescent="0.25" r="10246" customHeight="1" ht="18.75">
      <c r="A10246" s="1" t="s">
        <v>3598</v>
      </c>
      <c r="B10246" s="1" t="s">
        <v>9273</v>
      </c>
      <c r="C10246" s="1" t="s">
        <v>3600</v>
      </c>
      <c r="D10246" s="1" t="s">
        <v>3610</v>
      </c>
      <c r="E10246" s="1" t="s">
        <v>3752</v>
      </c>
      <c r="F10246" s="1" t="s">
        <v>33638</v>
      </c>
      <c r="G10246" s="1" t="s">
        <v>20164</v>
      </c>
      <c r="H10246" s="1" t="s">
        <v>3604</v>
      </c>
      <c r="I10246" s="1" t="s">
        <v>33639</v>
      </c>
      <c r="J10246" s="1" t="s">
        <v>3615</v>
      </c>
      <c r="K10246" s="1" t="s">
        <v>26951</v>
      </c>
      <c r="L10246" s="1"/>
      <c r="M10246" s="1"/>
    </row>
    <row x14ac:dyDescent="0.25" r="10247" customHeight="1" ht="18.75">
      <c r="A10247" s="1" t="s">
        <v>3693</v>
      </c>
      <c r="B10247" s="1" t="s">
        <v>4214</v>
      </c>
      <c r="C10247" s="1" t="s">
        <v>3600</v>
      </c>
      <c r="D10247" s="1" t="s">
        <v>7891</v>
      </c>
      <c r="E10247" s="1" t="s">
        <v>3752</v>
      </c>
      <c r="F10247" s="1" t="s">
        <v>33640</v>
      </c>
      <c r="G10247" s="1" t="s">
        <v>5953</v>
      </c>
      <c r="H10247" s="1" t="s">
        <v>3604</v>
      </c>
      <c r="I10247" s="1" t="s">
        <v>33641</v>
      </c>
      <c r="J10247" s="1" t="s">
        <v>3615</v>
      </c>
      <c r="K10247" s="1" t="s">
        <v>33616</v>
      </c>
      <c r="L10247" s="1"/>
      <c r="M10247" s="1"/>
    </row>
    <row x14ac:dyDescent="0.25" r="10248" customHeight="1" ht="18.75">
      <c r="A10248" s="1" t="s">
        <v>3598</v>
      </c>
      <c r="B10248" s="1" t="s">
        <v>9273</v>
      </c>
      <c r="C10248" s="1" t="s">
        <v>3600</v>
      </c>
      <c r="D10248" s="1" t="s">
        <v>3610</v>
      </c>
      <c r="E10248" s="1" t="s">
        <v>3664</v>
      </c>
      <c r="F10248" s="1" t="s">
        <v>33642</v>
      </c>
      <c r="G10248" s="1" t="s">
        <v>21157</v>
      </c>
      <c r="H10248" s="1" t="s">
        <v>3604</v>
      </c>
      <c r="I10248" s="1" t="s">
        <v>33643</v>
      </c>
      <c r="J10248" s="1" t="s">
        <v>3615</v>
      </c>
      <c r="K10248" s="1" t="s">
        <v>33644</v>
      </c>
      <c r="L10248" s="1"/>
      <c r="M10248" s="1"/>
    </row>
    <row x14ac:dyDescent="0.25" r="10249" customHeight="1" ht="18.75">
      <c r="A10249" s="1" t="s">
        <v>3693</v>
      </c>
      <c r="B10249" s="1" t="s">
        <v>4214</v>
      </c>
      <c r="C10249" s="1" t="s">
        <v>3600</v>
      </c>
      <c r="D10249" s="1" t="s">
        <v>7891</v>
      </c>
      <c r="E10249" s="1" t="s">
        <v>3752</v>
      </c>
      <c r="F10249" s="1" t="s">
        <v>33645</v>
      </c>
      <c r="G10249" s="1" t="s">
        <v>5953</v>
      </c>
      <c r="H10249" s="1" t="s">
        <v>3604</v>
      </c>
      <c r="I10249" s="1" t="s">
        <v>33646</v>
      </c>
      <c r="J10249" s="1" t="s">
        <v>3615</v>
      </c>
      <c r="K10249" s="1" t="s">
        <v>33616</v>
      </c>
      <c r="L10249" s="1"/>
      <c r="M10249" s="1"/>
    </row>
    <row x14ac:dyDescent="0.25" r="10250" customHeight="1" ht="18.75">
      <c r="A10250" s="1" t="s">
        <v>7833</v>
      </c>
      <c r="B10250" s="1" t="s">
        <v>8269</v>
      </c>
      <c r="C10250" s="1" t="s">
        <v>4488</v>
      </c>
      <c r="D10250" s="1" t="s">
        <v>3601</v>
      </c>
      <c r="E10250" s="1" t="s">
        <v>3611</v>
      </c>
      <c r="F10250" s="1" t="s">
        <v>33647</v>
      </c>
      <c r="G10250" s="1" t="s">
        <v>33554</v>
      </c>
      <c r="H10250" s="1" t="s">
        <v>3604</v>
      </c>
      <c r="I10250" s="1" t="s">
        <v>33648</v>
      </c>
      <c r="J10250" s="1" t="s">
        <v>3606</v>
      </c>
      <c r="K10250" s="1" t="s">
        <v>33649</v>
      </c>
      <c r="L10250" s="1"/>
      <c r="M10250" s="1"/>
    </row>
    <row x14ac:dyDescent="0.25" r="10251" customHeight="1" ht="18.75">
      <c r="A10251" s="1" t="s">
        <v>3693</v>
      </c>
      <c r="B10251" s="1" t="s">
        <v>4214</v>
      </c>
      <c r="C10251" s="1" t="s">
        <v>3600</v>
      </c>
      <c r="D10251" s="1" t="s">
        <v>7891</v>
      </c>
      <c r="E10251" s="1" t="s">
        <v>3752</v>
      </c>
      <c r="F10251" s="1" t="s">
        <v>33650</v>
      </c>
      <c r="G10251" s="1" t="s">
        <v>5953</v>
      </c>
      <c r="H10251" s="1" t="s">
        <v>3604</v>
      </c>
      <c r="I10251" s="1" t="s">
        <v>33651</v>
      </c>
      <c r="J10251" s="1" t="s">
        <v>3615</v>
      </c>
      <c r="K10251" s="1" t="s">
        <v>33616</v>
      </c>
      <c r="L10251" s="1"/>
      <c r="M10251" s="1"/>
    </row>
    <row x14ac:dyDescent="0.25" r="10252" customHeight="1" ht="18.75">
      <c r="A10252" s="1" t="s">
        <v>7833</v>
      </c>
      <c r="B10252" s="1" t="s">
        <v>8291</v>
      </c>
      <c r="C10252" s="1" t="s">
        <v>4488</v>
      </c>
      <c r="D10252" s="1" t="s">
        <v>3601</v>
      </c>
      <c r="E10252" s="1" t="s">
        <v>3611</v>
      </c>
      <c r="F10252" s="1" t="s">
        <v>33652</v>
      </c>
      <c r="G10252" s="1" t="s">
        <v>33506</v>
      </c>
      <c r="H10252" s="1" t="s">
        <v>3604</v>
      </c>
      <c r="I10252" s="1" t="s">
        <v>33653</v>
      </c>
      <c r="J10252" s="1" t="s">
        <v>3606</v>
      </c>
      <c r="K10252" s="1" t="s">
        <v>33559</v>
      </c>
      <c r="L10252" s="1"/>
      <c r="M10252" s="1"/>
    </row>
    <row x14ac:dyDescent="0.25" r="10253" customHeight="1" ht="18.75">
      <c r="A10253" s="1" t="s">
        <v>7833</v>
      </c>
      <c r="B10253" s="1" t="s">
        <v>9824</v>
      </c>
      <c r="C10253" s="1" t="s">
        <v>4488</v>
      </c>
      <c r="D10253" s="1" t="s">
        <v>3601</v>
      </c>
      <c r="E10253" s="1" t="s">
        <v>3611</v>
      </c>
      <c r="F10253" s="1" t="s">
        <v>33654</v>
      </c>
      <c r="G10253" s="1" t="s">
        <v>14305</v>
      </c>
      <c r="H10253" s="1" t="s">
        <v>3604</v>
      </c>
      <c r="I10253" s="1" t="s">
        <v>33655</v>
      </c>
      <c r="J10253" s="1" t="s">
        <v>3606</v>
      </c>
      <c r="K10253" s="1" t="s">
        <v>33559</v>
      </c>
      <c r="L10253" s="1"/>
      <c r="M10253" s="1"/>
    </row>
    <row x14ac:dyDescent="0.25" r="10254" customHeight="1" ht="18.75">
      <c r="A10254" s="1" t="s">
        <v>3693</v>
      </c>
      <c r="B10254" s="1" t="s">
        <v>4192</v>
      </c>
      <c r="C10254" s="1" t="s">
        <v>3600</v>
      </c>
      <c r="D10254" s="1" t="s">
        <v>533</v>
      </c>
      <c r="E10254" s="1" t="s">
        <v>3893</v>
      </c>
      <c r="F10254" s="1" t="s">
        <v>33656</v>
      </c>
      <c r="G10254" s="1" t="s">
        <v>5641</v>
      </c>
      <c r="H10254" s="1" t="s">
        <v>3604</v>
      </c>
      <c r="I10254" s="1" t="s">
        <v>33657</v>
      </c>
      <c r="J10254" s="1" t="s">
        <v>3615</v>
      </c>
      <c r="K10254" s="1" t="s">
        <v>33658</v>
      </c>
      <c r="L10254" s="1"/>
      <c r="M10254" s="1"/>
    </row>
    <row x14ac:dyDescent="0.25" r="10255" customHeight="1" ht="18.75">
      <c r="A10255" s="1" t="s">
        <v>7833</v>
      </c>
      <c r="B10255" s="1" t="s">
        <v>8291</v>
      </c>
      <c r="C10255" s="1" t="s">
        <v>4488</v>
      </c>
      <c r="D10255" s="1" t="s">
        <v>3601</v>
      </c>
      <c r="E10255" s="1" t="s">
        <v>3611</v>
      </c>
      <c r="F10255" s="1" t="s">
        <v>33659</v>
      </c>
      <c r="G10255" s="1" t="s">
        <v>33506</v>
      </c>
      <c r="H10255" s="1" t="s">
        <v>3604</v>
      </c>
      <c r="I10255" s="1" t="s">
        <v>33660</v>
      </c>
      <c r="J10255" s="1" t="s">
        <v>3606</v>
      </c>
      <c r="K10255" s="1" t="s">
        <v>33571</v>
      </c>
      <c r="L10255" s="1"/>
      <c r="M10255" s="1"/>
    </row>
    <row x14ac:dyDescent="0.25" r="10256" customHeight="1" ht="18.75">
      <c r="A10256" s="1" t="s">
        <v>7833</v>
      </c>
      <c r="B10256" s="1" t="s">
        <v>9824</v>
      </c>
      <c r="C10256" s="1" t="s">
        <v>4488</v>
      </c>
      <c r="D10256" s="1" t="s">
        <v>3601</v>
      </c>
      <c r="E10256" s="1" t="s">
        <v>3611</v>
      </c>
      <c r="F10256" s="1" t="s">
        <v>33661</v>
      </c>
      <c r="G10256" s="1" t="s">
        <v>14305</v>
      </c>
      <c r="H10256" s="1" t="s">
        <v>3604</v>
      </c>
      <c r="I10256" s="1" t="s">
        <v>33662</v>
      </c>
      <c r="J10256" s="1" t="s">
        <v>3606</v>
      </c>
      <c r="K10256" s="1" t="s">
        <v>33571</v>
      </c>
      <c r="L10256" s="1"/>
      <c r="M10256" s="1"/>
    </row>
    <row x14ac:dyDescent="0.25" r="10257" customHeight="1" ht="18.75">
      <c r="A10257" s="1" t="s">
        <v>7833</v>
      </c>
      <c r="B10257" s="1" t="s">
        <v>8291</v>
      </c>
      <c r="C10257" s="1" t="s">
        <v>4488</v>
      </c>
      <c r="D10257" s="1" t="s">
        <v>3601</v>
      </c>
      <c r="E10257" s="1" t="s">
        <v>3611</v>
      </c>
      <c r="F10257" s="1" t="s">
        <v>33663</v>
      </c>
      <c r="G10257" s="1" t="s">
        <v>33506</v>
      </c>
      <c r="H10257" s="1" t="s">
        <v>3604</v>
      </c>
      <c r="I10257" s="1" t="s">
        <v>33664</v>
      </c>
      <c r="J10257" s="1" t="s">
        <v>3606</v>
      </c>
      <c r="K10257" s="1" t="s">
        <v>33665</v>
      </c>
      <c r="L10257" s="1"/>
      <c r="M10257" s="1"/>
    </row>
    <row x14ac:dyDescent="0.25" r="10258" customHeight="1" ht="18.75">
      <c r="A10258" s="1" t="s">
        <v>7833</v>
      </c>
      <c r="B10258" s="1" t="s">
        <v>8269</v>
      </c>
      <c r="C10258" s="1" t="s">
        <v>4488</v>
      </c>
      <c r="D10258" s="1" t="s">
        <v>3601</v>
      </c>
      <c r="E10258" s="1" t="s">
        <v>3611</v>
      </c>
      <c r="F10258" s="1" t="s">
        <v>33666</v>
      </c>
      <c r="G10258" s="1" t="s">
        <v>33554</v>
      </c>
      <c r="H10258" s="1" t="s">
        <v>3604</v>
      </c>
      <c r="I10258" s="1" t="s">
        <v>33667</v>
      </c>
      <c r="J10258" s="1" t="s">
        <v>3606</v>
      </c>
      <c r="K10258" s="1" t="s">
        <v>33668</v>
      </c>
      <c r="L10258" s="1"/>
      <c r="M10258" s="1"/>
    </row>
    <row x14ac:dyDescent="0.25" r="10259" customHeight="1" ht="18.75">
      <c r="A10259" s="1" t="s">
        <v>7833</v>
      </c>
      <c r="B10259" s="1" t="s">
        <v>9824</v>
      </c>
      <c r="C10259" s="1" t="s">
        <v>4488</v>
      </c>
      <c r="D10259" s="1" t="s">
        <v>3601</v>
      </c>
      <c r="E10259" s="1" t="s">
        <v>3611</v>
      </c>
      <c r="F10259" s="1" t="s">
        <v>33669</v>
      </c>
      <c r="G10259" s="1" t="s">
        <v>14305</v>
      </c>
      <c r="H10259" s="1" t="s">
        <v>3604</v>
      </c>
      <c r="I10259" s="1" t="s">
        <v>33670</v>
      </c>
      <c r="J10259" s="1" t="s">
        <v>3606</v>
      </c>
      <c r="K10259" s="1" t="s">
        <v>33665</v>
      </c>
      <c r="L10259" s="1"/>
      <c r="M10259" s="1"/>
    </row>
    <row x14ac:dyDescent="0.25" r="10260" customHeight="1" ht="18.75">
      <c r="A10260" s="1" t="s">
        <v>7833</v>
      </c>
      <c r="B10260" s="1" t="s">
        <v>8269</v>
      </c>
      <c r="C10260" s="1" t="s">
        <v>4488</v>
      </c>
      <c r="D10260" s="1" t="s">
        <v>3601</v>
      </c>
      <c r="E10260" s="1" t="s">
        <v>3611</v>
      </c>
      <c r="F10260" s="1" t="s">
        <v>33671</v>
      </c>
      <c r="G10260" s="1" t="s">
        <v>33554</v>
      </c>
      <c r="H10260" s="1" t="s">
        <v>3604</v>
      </c>
      <c r="I10260" s="1" t="s">
        <v>33672</v>
      </c>
      <c r="J10260" s="1" t="s">
        <v>3606</v>
      </c>
      <c r="K10260" s="1" t="s">
        <v>33673</v>
      </c>
      <c r="L10260" s="1"/>
      <c r="M10260" s="1"/>
    </row>
    <row x14ac:dyDescent="0.25" r="10261" customHeight="1" ht="18.75">
      <c r="A10261" s="1" t="s">
        <v>7833</v>
      </c>
      <c r="B10261" s="1" t="s">
        <v>9824</v>
      </c>
      <c r="C10261" s="1" t="s">
        <v>4488</v>
      </c>
      <c r="D10261" s="1" t="s">
        <v>3601</v>
      </c>
      <c r="E10261" s="1" t="s">
        <v>3611</v>
      </c>
      <c r="F10261" s="1" t="s">
        <v>33674</v>
      </c>
      <c r="G10261" s="1" t="s">
        <v>14305</v>
      </c>
      <c r="H10261" s="1" t="s">
        <v>3604</v>
      </c>
      <c r="I10261" s="1" t="s">
        <v>33675</v>
      </c>
      <c r="J10261" s="1" t="s">
        <v>3606</v>
      </c>
      <c r="K10261" s="1" t="s">
        <v>33676</v>
      </c>
      <c r="L10261" s="1"/>
      <c r="M10261" s="1"/>
    </row>
    <row x14ac:dyDescent="0.25" r="10262" customHeight="1" ht="18.75">
      <c r="A10262" s="1" t="s">
        <v>3693</v>
      </c>
      <c r="B10262" s="1" t="s">
        <v>4204</v>
      </c>
      <c r="C10262" s="1" t="s">
        <v>3600</v>
      </c>
      <c r="D10262" s="1" t="s">
        <v>8373</v>
      </c>
      <c r="E10262" s="1" t="s">
        <v>3893</v>
      </c>
      <c r="F10262" s="1" t="s">
        <v>33677</v>
      </c>
      <c r="G10262" s="1" t="s">
        <v>4419</v>
      </c>
      <c r="H10262" s="1" t="s">
        <v>3604</v>
      </c>
      <c r="I10262" s="1" t="s">
        <v>33678</v>
      </c>
      <c r="J10262" s="1" t="s">
        <v>3615</v>
      </c>
      <c r="K10262" s="1" t="s">
        <v>33679</v>
      </c>
      <c r="L10262" s="1"/>
      <c r="M10262" s="1"/>
    </row>
    <row x14ac:dyDescent="0.25" r="10263" customHeight="1" ht="18.75">
      <c r="A10263" s="1" t="s">
        <v>3693</v>
      </c>
      <c r="B10263" s="1" t="s">
        <v>4204</v>
      </c>
      <c r="C10263" s="1" t="s">
        <v>3600</v>
      </c>
      <c r="D10263" s="1" t="s">
        <v>8373</v>
      </c>
      <c r="E10263" s="1" t="s">
        <v>3893</v>
      </c>
      <c r="F10263" s="1" t="s">
        <v>33680</v>
      </c>
      <c r="G10263" s="1" t="s">
        <v>4419</v>
      </c>
      <c r="H10263" s="1" t="s">
        <v>3604</v>
      </c>
      <c r="I10263" s="1" t="s">
        <v>33681</v>
      </c>
      <c r="J10263" s="1" t="s">
        <v>3615</v>
      </c>
      <c r="K10263" s="1" t="s">
        <v>33679</v>
      </c>
      <c r="L10263" s="1"/>
      <c r="M10263" s="1"/>
    </row>
    <row x14ac:dyDescent="0.25" r="10264" customHeight="1" ht="18.75">
      <c r="A10264" s="1" t="s">
        <v>3617</v>
      </c>
      <c r="B10264" s="1" t="s">
        <v>4455</v>
      </c>
      <c r="C10264" s="1" t="s">
        <v>3619</v>
      </c>
      <c r="D10264" s="1" t="s">
        <v>3695</v>
      </c>
      <c r="E10264" s="1" t="s">
        <v>3730</v>
      </c>
      <c r="F10264" s="1" t="s">
        <v>33682</v>
      </c>
      <c r="G10264" s="1" t="s">
        <v>33139</v>
      </c>
      <c r="H10264" s="1" t="s">
        <v>3604</v>
      </c>
      <c r="I10264" s="1" t="s">
        <v>33683</v>
      </c>
      <c r="J10264" s="1" t="s">
        <v>3606</v>
      </c>
      <c r="K10264" s="1" t="s">
        <v>33684</v>
      </c>
      <c r="L10264" s="1"/>
      <c r="M10264" s="1"/>
    </row>
    <row x14ac:dyDescent="0.25" r="10265" customHeight="1" ht="18.75">
      <c r="A10265" s="1" t="s">
        <v>3617</v>
      </c>
      <c r="B10265" s="1" t="s">
        <v>4455</v>
      </c>
      <c r="C10265" s="1" t="s">
        <v>3619</v>
      </c>
      <c r="D10265" s="1" t="s">
        <v>3695</v>
      </c>
      <c r="E10265" s="1" t="s">
        <v>3730</v>
      </c>
      <c r="F10265" s="1" t="s">
        <v>33685</v>
      </c>
      <c r="G10265" s="1" t="s">
        <v>33139</v>
      </c>
      <c r="H10265" s="1" t="s">
        <v>3604</v>
      </c>
      <c r="I10265" s="1" t="s">
        <v>33686</v>
      </c>
      <c r="J10265" s="1" t="s">
        <v>3606</v>
      </c>
      <c r="K10265" s="1" t="s">
        <v>33687</v>
      </c>
      <c r="L10265" s="1"/>
      <c r="M10265" s="1"/>
    </row>
    <row x14ac:dyDescent="0.25" r="10266" customHeight="1" ht="18.75">
      <c r="A10266" s="1" t="s">
        <v>3693</v>
      </c>
      <c r="B10266" s="1" t="s">
        <v>4204</v>
      </c>
      <c r="C10266" s="1" t="s">
        <v>3600</v>
      </c>
      <c r="D10266" s="1" t="s">
        <v>8373</v>
      </c>
      <c r="E10266" s="1" t="s">
        <v>3893</v>
      </c>
      <c r="F10266" s="1" t="s">
        <v>33688</v>
      </c>
      <c r="G10266" s="1" t="s">
        <v>4419</v>
      </c>
      <c r="H10266" s="1" t="s">
        <v>3604</v>
      </c>
      <c r="I10266" s="1" t="s">
        <v>33689</v>
      </c>
      <c r="J10266" s="1" t="s">
        <v>3615</v>
      </c>
      <c r="K10266" s="1" t="s">
        <v>33679</v>
      </c>
      <c r="L10266" s="1"/>
      <c r="M10266" s="1"/>
    </row>
    <row x14ac:dyDescent="0.25" r="10267" customHeight="1" ht="18.75">
      <c r="A10267" s="1" t="s">
        <v>7833</v>
      </c>
      <c r="B10267" s="1" t="s">
        <v>9824</v>
      </c>
      <c r="C10267" s="1" t="s">
        <v>4488</v>
      </c>
      <c r="D10267" s="1" t="s">
        <v>3601</v>
      </c>
      <c r="E10267" s="1" t="s">
        <v>3611</v>
      </c>
      <c r="F10267" s="1" t="s">
        <v>33690</v>
      </c>
      <c r="G10267" s="1" t="s">
        <v>14305</v>
      </c>
      <c r="H10267" s="1" t="s">
        <v>3604</v>
      </c>
      <c r="I10267" s="1" t="s">
        <v>33691</v>
      </c>
      <c r="J10267" s="1" t="s">
        <v>3606</v>
      </c>
      <c r="K10267" s="1" t="s">
        <v>33692</v>
      </c>
      <c r="L10267" s="1"/>
      <c r="M10267" s="1"/>
    </row>
    <row x14ac:dyDescent="0.25" r="10268" customHeight="1" ht="18.75">
      <c r="A10268" s="1" t="s">
        <v>3693</v>
      </c>
      <c r="B10268" s="1" t="s">
        <v>33693</v>
      </c>
      <c r="C10268" s="1" t="s">
        <v>3600</v>
      </c>
      <c r="D10268" s="1" t="s">
        <v>3601</v>
      </c>
      <c r="E10268" s="1" t="s">
        <v>3664</v>
      </c>
      <c r="F10268" s="1" t="s">
        <v>33694</v>
      </c>
      <c r="G10268" s="1" t="s">
        <v>33695</v>
      </c>
      <c r="H10268" s="1" t="s">
        <v>3604</v>
      </c>
      <c r="I10268" s="1" t="s">
        <v>33696</v>
      </c>
      <c r="J10268" s="1" t="s">
        <v>3615</v>
      </c>
      <c r="K10268" s="1" t="s">
        <v>33697</v>
      </c>
      <c r="L10268" s="1"/>
      <c r="M10268" s="1"/>
    </row>
    <row x14ac:dyDescent="0.25" r="10269" customHeight="1" ht="18.75">
      <c r="A10269" s="1" t="s">
        <v>3693</v>
      </c>
      <c r="B10269" s="1" t="s">
        <v>33693</v>
      </c>
      <c r="C10269" s="1" t="s">
        <v>3600</v>
      </c>
      <c r="D10269" s="1" t="s">
        <v>3601</v>
      </c>
      <c r="E10269" s="1" t="s">
        <v>3664</v>
      </c>
      <c r="F10269" s="1" t="s">
        <v>33698</v>
      </c>
      <c r="G10269" s="1" t="s">
        <v>33695</v>
      </c>
      <c r="H10269" s="1" t="s">
        <v>3604</v>
      </c>
      <c r="I10269" s="1" t="s">
        <v>33699</v>
      </c>
      <c r="J10269" s="1" t="s">
        <v>3615</v>
      </c>
      <c r="K10269" s="1" t="s">
        <v>33700</v>
      </c>
      <c r="L10269" s="1"/>
      <c r="M10269" s="1"/>
    </row>
    <row x14ac:dyDescent="0.25" r="10270" customHeight="1" ht="18.75">
      <c r="A10270" s="1" t="s">
        <v>3693</v>
      </c>
      <c r="B10270" s="1" t="s">
        <v>33693</v>
      </c>
      <c r="C10270" s="1" t="s">
        <v>3600</v>
      </c>
      <c r="D10270" s="1" t="s">
        <v>3601</v>
      </c>
      <c r="E10270" s="1" t="s">
        <v>3664</v>
      </c>
      <c r="F10270" s="1" t="s">
        <v>33701</v>
      </c>
      <c r="G10270" s="1" t="s">
        <v>10300</v>
      </c>
      <c r="H10270" s="1" t="s">
        <v>3604</v>
      </c>
      <c r="I10270" s="1" t="s">
        <v>33702</v>
      </c>
      <c r="J10270" s="1" t="s">
        <v>3615</v>
      </c>
      <c r="K10270" s="1" t="s">
        <v>33703</v>
      </c>
      <c r="L10270" s="1"/>
      <c r="M10270" s="1"/>
    </row>
    <row x14ac:dyDescent="0.25" r="10271" customHeight="1" ht="18.75">
      <c r="A10271" s="1" t="s">
        <v>3693</v>
      </c>
      <c r="B10271" s="1" t="s">
        <v>33693</v>
      </c>
      <c r="C10271" s="1" t="s">
        <v>3600</v>
      </c>
      <c r="D10271" s="1" t="s">
        <v>3601</v>
      </c>
      <c r="E10271" s="1" t="s">
        <v>3664</v>
      </c>
      <c r="F10271" s="1" t="s">
        <v>33704</v>
      </c>
      <c r="G10271" s="1" t="s">
        <v>10300</v>
      </c>
      <c r="H10271" s="1" t="s">
        <v>3604</v>
      </c>
      <c r="I10271" s="1" t="s">
        <v>33705</v>
      </c>
      <c r="J10271" s="1" t="s">
        <v>3615</v>
      </c>
      <c r="K10271" s="1" t="s">
        <v>33706</v>
      </c>
      <c r="L10271" s="1"/>
      <c r="M10271" s="1"/>
    </row>
    <row x14ac:dyDescent="0.25" r="10272" customHeight="1" ht="18.75">
      <c r="A10272" s="1" t="s">
        <v>3693</v>
      </c>
      <c r="B10272" s="1" t="s">
        <v>33707</v>
      </c>
      <c r="C10272" s="1" t="s">
        <v>3600</v>
      </c>
      <c r="D10272" s="1" t="s">
        <v>3601</v>
      </c>
      <c r="E10272" s="1" t="s">
        <v>3664</v>
      </c>
      <c r="F10272" s="1" t="s">
        <v>33708</v>
      </c>
      <c r="G10272" s="1" t="s">
        <v>10284</v>
      </c>
      <c r="H10272" s="1" t="s">
        <v>3604</v>
      </c>
      <c r="I10272" s="1" t="s">
        <v>33709</v>
      </c>
      <c r="J10272" s="1" t="s">
        <v>3615</v>
      </c>
      <c r="K10272" s="1" t="s">
        <v>33710</v>
      </c>
      <c r="L10272" s="1"/>
      <c r="M10272" s="1"/>
    </row>
    <row x14ac:dyDescent="0.25" r="10273" customHeight="1" ht="18.75">
      <c r="A10273" s="1" t="s">
        <v>3693</v>
      </c>
      <c r="B10273" s="1" t="s">
        <v>33707</v>
      </c>
      <c r="C10273" s="1" t="s">
        <v>3600</v>
      </c>
      <c r="D10273" s="1" t="s">
        <v>3601</v>
      </c>
      <c r="E10273" s="1" t="s">
        <v>3664</v>
      </c>
      <c r="F10273" s="1" t="s">
        <v>33711</v>
      </c>
      <c r="G10273" s="1" t="s">
        <v>10280</v>
      </c>
      <c r="H10273" s="1" t="s">
        <v>3604</v>
      </c>
      <c r="I10273" s="1" t="s">
        <v>33712</v>
      </c>
      <c r="J10273" s="1" t="s">
        <v>3615</v>
      </c>
      <c r="K10273" s="1" t="s">
        <v>33713</v>
      </c>
      <c r="L10273" s="1"/>
      <c r="M10273" s="1"/>
    </row>
    <row x14ac:dyDescent="0.25" r="10274" customHeight="1" ht="18.75">
      <c r="A10274" s="1" t="s">
        <v>7833</v>
      </c>
      <c r="B10274" s="1" t="s">
        <v>9824</v>
      </c>
      <c r="C10274" s="1" t="s">
        <v>4488</v>
      </c>
      <c r="D10274" s="1" t="s">
        <v>3601</v>
      </c>
      <c r="E10274" s="1" t="s">
        <v>3611</v>
      </c>
      <c r="F10274" s="1" t="s">
        <v>33714</v>
      </c>
      <c r="G10274" s="1" t="s">
        <v>14305</v>
      </c>
      <c r="H10274" s="1" t="s">
        <v>3604</v>
      </c>
      <c r="I10274" s="1" t="s">
        <v>33715</v>
      </c>
      <c r="J10274" s="1" t="s">
        <v>3606</v>
      </c>
      <c r="K10274" s="1" t="s">
        <v>33716</v>
      </c>
      <c r="L10274" s="1"/>
      <c r="M10274" s="1"/>
    </row>
    <row x14ac:dyDescent="0.25" r="10275" customHeight="1" ht="18.75">
      <c r="A10275" s="1" t="s">
        <v>3693</v>
      </c>
      <c r="B10275" s="1" t="s">
        <v>4152</v>
      </c>
      <c r="C10275" s="1" t="s">
        <v>3600</v>
      </c>
      <c r="D10275" s="1" t="s">
        <v>8373</v>
      </c>
      <c r="E10275" s="1" t="s">
        <v>3664</v>
      </c>
      <c r="F10275" s="1" t="s">
        <v>33717</v>
      </c>
      <c r="G10275" s="1" t="s">
        <v>4475</v>
      </c>
      <c r="H10275" s="1" t="s">
        <v>3604</v>
      </c>
      <c r="I10275" s="1" t="s">
        <v>33718</v>
      </c>
      <c r="J10275" s="1" t="s">
        <v>3615</v>
      </c>
      <c r="K10275" s="1" t="s">
        <v>33719</v>
      </c>
      <c r="L10275" s="1"/>
      <c r="M10275" s="1"/>
    </row>
    <row x14ac:dyDescent="0.25" r="10276" customHeight="1" ht="18.75">
      <c r="A10276" s="1" t="s">
        <v>3693</v>
      </c>
      <c r="B10276" s="1" t="s">
        <v>4152</v>
      </c>
      <c r="C10276" s="1" t="s">
        <v>3600</v>
      </c>
      <c r="D10276" s="1" t="s">
        <v>8373</v>
      </c>
      <c r="E10276" s="1" t="s">
        <v>3664</v>
      </c>
      <c r="F10276" s="1" t="s">
        <v>33720</v>
      </c>
      <c r="G10276" s="1" t="s">
        <v>4475</v>
      </c>
      <c r="H10276" s="1" t="s">
        <v>3604</v>
      </c>
      <c r="I10276" s="1" t="s">
        <v>33721</v>
      </c>
      <c r="J10276" s="1" t="s">
        <v>3615</v>
      </c>
      <c r="K10276" s="1" t="s">
        <v>33719</v>
      </c>
      <c r="L10276" s="1"/>
      <c r="M10276" s="1"/>
    </row>
    <row x14ac:dyDescent="0.25" r="10277" customHeight="1" ht="18.75">
      <c r="A10277" s="1" t="s">
        <v>3693</v>
      </c>
      <c r="B10277" s="1" t="s">
        <v>4152</v>
      </c>
      <c r="C10277" s="1" t="s">
        <v>3600</v>
      </c>
      <c r="D10277" s="1" t="s">
        <v>8373</v>
      </c>
      <c r="E10277" s="1" t="s">
        <v>3664</v>
      </c>
      <c r="F10277" s="1" t="s">
        <v>33722</v>
      </c>
      <c r="G10277" s="1" t="s">
        <v>4475</v>
      </c>
      <c r="H10277" s="1" t="s">
        <v>3604</v>
      </c>
      <c r="I10277" s="1" t="s">
        <v>33723</v>
      </c>
      <c r="J10277" s="1" t="s">
        <v>3615</v>
      </c>
      <c r="K10277" s="1" t="s">
        <v>33719</v>
      </c>
      <c r="L10277" s="1"/>
      <c r="M10277" s="1"/>
    </row>
    <row x14ac:dyDescent="0.25" r="10278" customHeight="1" ht="18.75">
      <c r="A10278" s="1" t="s">
        <v>3693</v>
      </c>
      <c r="B10278" s="1" t="s">
        <v>4091</v>
      </c>
      <c r="C10278" s="1" t="s">
        <v>3600</v>
      </c>
      <c r="D10278" s="1" t="s">
        <v>8373</v>
      </c>
      <c r="E10278" s="1" t="s">
        <v>3893</v>
      </c>
      <c r="F10278" s="1" t="s">
        <v>33724</v>
      </c>
      <c r="G10278" s="1" t="s">
        <v>4362</v>
      </c>
      <c r="H10278" s="1" t="s">
        <v>3604</v>
      </c>
      <c r="I10278" s="1" t="s">
        <v>33725</v>
      </c>
      <c r="J10278" s="1" t="s">
        <v>3615</v>
      </c>
      <c r="K10278" s="1" t="s">
        <v>33726</v>
      </c>
      <c r="L10278" s="1"/>
      <c r="M10278" s="1"/>
    </row>
    <row x14ac:dyDescent="0.25" r="10279" customHeight="1" ht="18.75">
      <c r="A10279" s="1" t="s">
        <v>3693</v>
      </c>
      <c r="B10279" s="1" t="s">
        <v>4091</v>
      </c>
      <c r="C10279" s="1" t="s">
        <v>3600</v>
      </c>
      <c r="D10279" s="1" t="s">
        <v>8373</v>
      </c>
      <c r="E10279" s="1" t="s">
        <v>3893</v>
      </c>
      <c r="F10279" s="1" t="s">
        <v>33727</v>
      </c>
      <c r="G10279" s="1" t="s">
        <v>4362</v>
      </c>
      <c r="H10279" s="1" t="s">
        <v>3604</v>
      </c>
      <c r="I10279" s="1" t="s">
        <v>33728</v>
      </c>
      <c r="J10279" s="1" t="s">
        <v>3615</v>
      </c>
      <c r="K10279" s="1" t="s">
        <v>33726</v>
      </c>
      <c r="L10279" s="1"/>
      <c r="M10279" s="1"/>
    </row>
    <row x14ac:dyDescent="0.25" r="10280" customHeight="1" ht="18.75">
      <c r="A10280" s="1" t="s">
        <v>3693</v>
      </c>
      <c r="B10280" s="1" t="s">
        <v>4091</v>
      </c>
      <c r="C10280" s="1" t="s">
        <v>3600</v>
      </c>
      <c r="D10280" s="1" t="s">
        <v>8373</v>
      </c>
      <c r="E10280" s="1" t="s">
        <v>3893</v>
      </c>
      <c r="F10280" s="1" t="s">
        <v>33729</v>
      </c>
      <c r="G10280" s="1" t="s">
        <v>4362</v>
      </c>
      <c r="H10280" s="1" t="s">
        <v>3604</v>
      </c>
      <c r="I10280" s="1" t="s">
        <v>33730</v>
      </c>
      <c r="J10280" s="1" t="s">
        <v>3615</v>
      </c>
      <c r="K10280" s="1" t="s">
        <v>33726</v>
      </c>
      <c r="L10280" s="1"/>
      <c r="M10280" s="1"/>
    </row>
    <row x14ac:dyDescent="0.25" r="10281" customHeight="1" ht="18.75">
      <c r="A10281" s="1" t="s">
        <v>3693</v>
      </c>
      <c r="B10281" s="1" t="s">
        <v>4091</v>
      </c>
      <c r="C10281" s="1" t="s">
        <v>3600</v>
      </c>
      <c r="D10281" s="1" t="s">
        <v>8373</v>
      </c>
      <c r="E10281" s="1" t="s">
        <v>3893</v>
      </c>
      <c r="F10281" s="1" t="s">
        <v>33731</v>
      </c>
      <c r="G10281" s="1" t="s">
        <v>4434</v>
      </c>
      <c r="H10281" s="1" t="s">
        <v>3604</v>
      </c>
      <c r="I10281" s="1" t="s">
        <v>33732</v>
      </c>
      <c r="J10281" s="1" t="s">
        <v>3615</v>
      </c>
      <c r="K10281" s="1" t="s">
        <v>33726</v>
      </c>
      <c r="L10281" s="1"/>
      <c r="M10281" s="1"/>
    </row>
    <row x14ac:dyDescent="0.25" r="10282" customHeight="1" ht="18.75">
      <c r="A10282" s="1" t="s">
        <v>3693</v>
      </c>
      <c r="B10282" s="1" t="s">
        <v>4091</v>
      </c>
      <c r="C10282" s="1" t="s">
        <v>3600</v>
      </c>
      <c r="D10282" s="1" t="s">
        <v>8373</v>
      </c>
      <c r="E10282" s="1" t="s">
        <v>3893</v>
      </c>
      <c r="F10282" s="1" t="s">
        <v>33733</v>
      </c>
      <c r="G10282" s="1" t="s">
        <v>4434</v>
      </c>
      <c r="H10282" s="1" t="s">
        <v>3604</v>
      </c>
      <c r="I10282" s="1" t="s">
        <v>33734</v>
      </c>
      <c r="J10282" s="1" t="s">
        <v>3615</v>
      </c>
      <c r="K10282" s="1" t="s">
        <v>33726</v>
      </c>
      <c r="L10282" s="1"/>
      <c r="M10282" s="1"/>
    </row>
    <row x14ac:dyDescent="0.25" r="10283" customHeight="1" ht="18.75">
      <c r="A10283" s="1" t="s">
        <v>3693</v>
      </c>
      <c r="B10283" s="1" t="s">
        <v>7026</v>
      </c>
      <c r="C10283" s="1" t="s">
        <v>3600</v>
      </c>
      <c r="D10283" s="1" t="s">
        <v>3601</v>
      </c>
      <c r="E10283" s="1" t="s">
        <v>3664</v>
      </c>
      <c r="F10283" s="1" t="s">
        <v>33735</v>
      </c>
      <c r="G10283" s="1" t="s">
        <v>33695</v>
      </c>
      <c r="H10283" s="1" t="s">
        <v>3604</v>
      </c>
      <c r="I10283" s="1" t="s">
        <v>33736</v>
      </c>
      <c r="J10283" s="1" t="s">
        <v>3615</v>
      </c>
      <c r="K10283" s="1" t="s">
        <v>33737</v>
      </c>
      <c r="L10283" s="1"/>
      <c r="M10283" s="1"/>
    </row>
    <row x14ac:dyDescent="0.25" r="10284" customHeight="1" ht="18.75">
      <c r="A10284" s="1" t="s">
        <v>3693</v>
      </c>
      <c r="B10284" s="1" t="s">
        <v>7026</v>
      </c>
      <c r="C10284" s="1" t="s">
        <v>3600</v>
      </c>
      <c r="D10284" s="1" t="s">
        <v>3601</v>
      </c>
      <c r="E10284" s="1" t="s">
        <v>3664</v>
      </c>
      <c r="F10284" s="1" t="s">
        <v>33738</v>
      </c>
      <c r="G10284" s="1" t="s">
        <v>10300</v>
      </c>
      <c r="H10284" s="1" t="s">
        <v>3604</v>
      </c>
      <c r="I10284" s="1" t="s">
        <v>33739</v>
      </c>
      <c r="J10284" s="1" t="s">
        <v>3615</v>
      </c>
      <c r="K10284" s="1" t="s">
        <v>33740</v>
      </c>
      <c r="L10284" s="1"/>
      <c r="M10284" s="1"/>
    </row>
    <row x14ac:dyDescent="0.25" r="10285" customHeight="1" ht="18.75">
      <c r="A10285" s="1" t="s">
        <v>7833</v>
      </c>
      <c r="B10285" s="1" t="s">
        <v>8269</v>
      </c>
      <c r="C10285" s="1" t="s">
        <v>4488</v>
      </c>
      <c r="D10285" s="1" t="s">
        <v>3601</v>
      </c>
      <c r="E10285" s="1" t="s">
        <v>3611</v>
      </c>
      <c r="F10285" s="1" t="s">
        <v>33741</v>
      </c>
      <c r="G10285" s="1" t="s">
        <v>33554</v>
      </c>
      <c r="H10285" s="1" t="s">
        <v>3604</v>
      </c>
      <c r="I10285" s="1" t="s">
        <v>33742</v>
      </c>
      <c r="J10285" s="1" t="s">
        <v>3606</v>
      </c>
      <c r="K10285" s="1" t="s">
        <v>33716</v>
      </c>
      <c r="L10285" s="1"/>
      <c r="M10285" s="1"/>
    </row>
    <row x14ac:dyDescent="0.25" r="10286" customHeight="1" ht="18.75">
      <c r="A10286" s="1" t="s">
        <v>7833</v>
      </c>
      <c r="B10286" s="1" t="s">
        <v>8291</v>
      </c>
      <c r="C10286" s="1" t="s">
        <v>4488</v>
      </c>
      <c r="D10286" s="1" t="s">
        <v>3601</v>
      </c>
      <c r="E10286" s="1" t="s">
        <v>3611</v>
      </c>
      <c r="F10286" s="1" t="s">
        <v>33743</v>
      </c>
      <c r="G10286" s="1" t="s">
        <v>8299</v>
      </c>
      <c r="H10286" s="1" t="s">
        <v>3604</v>
      </c>
      <c r="I10286" s="1" t="s">
        <v>33744</v>
      </c>
      <c r="J10286" s="1" t="s">
        <v>3606</v>
      </c>
      <c r="K10286" s="1" t="s">
        <v>9134</v>
      </c>
      <c r="L10286" s="1"/>
      <c r="M10286" s="1"/>
    </row>
    <row x14ac:dyDescent="0.25" r="10287" customHeight="1" ht="18.75">
      <c r="A10287" s="1" t="s">
        <v>7833</v>
      </c>
      <c r="B10287" s="1" t="s">
        <v>8269</v>
      </c>
      <c r="C10287" s="1" t="s">
        <v>4488</v>
      </c>
      <c r="D10287" s="1" t="s">
        <v>3601</v>
      </c>
      <c r="E10287" s="1" t="s">
        <v>3611</v>
      </c>
      <c r="F10287" s="1" t="s">
        <v>33745</v>
      </c>
      <c r="G10287" s="1" t="s">
        <v>33554</v>
      </c>
      <c r="H10287" s="1" t="s">
        <v>3604</v>
      </c>
      <c r="I10287" s="1" t="s">
        <v>33746</v>
      </c>
      <c r="J10287" s="1" t="s">
        <v>3606</v>
      </c>
      <c r="K10287" s="1" t="s">
        <v>33747</v>
      </c>
      <c r="L10287" s="1"/>
      <c r="M10287" s="1"/>
    </row>
    <row x14ac:dyDescent="0.25" r="10288" customHeight="1" ht="18.75">
      <c r="A10288" s="1" t="s">
        <v>3693</v>
      </c>
      <c r="B10288" s="1" t="s">
        <v>4158</v>
      </c>
      <c r="C10288" s="1" t="s">
        <v>3600</v>
      </c>
      <c r="D10288" s="1" t="s">
        <v>8373</v>
      </c>
      <c r="E10288" s="1" t="s">
        <v>3893</v>
      </c>
      <c r="F10288" s="1" t="s">
        <v>33748</v>
      </c>
      <c r="G10288" s="1" t="s">
        <v>4419</v>
      </c>
      <c r="H10288" s="1" t="s">
        <v>3604</v>
      </c>
      <c r="I10288" s="1" t="s">
        <v>33749</v>
      </c>
      <c r="J10288" s="1" t="s">
        <v>3615</v>
      </c>
      <c r="K10288" s="1" t="s">
        <v>33750</v>
      </c>
      <c r="L10288" s="1"/>
      <c r="M10288" s="1"/>
    </row>
    <row x14ac:dyDescent="0.25" r="10289" customHeight="1" ht="18.75">
      <c r="A10289" s="1" t="s">
        <v>3617</v>
      </c>
      <c r="B10289" s="1" t="s">
        <v>5578</v>
      </c>
      <c r="C10289" s="1" t="s">
        <v>3619</v>
      </c>
      <c r="D10289" s="1" t="s">
        <v>7847</v>
      </c>
      <c r="E10289" s="1" t="s">
        <v>3893</v>
      </c>
      <c r="F10289" s="1" t="s">
        <v>33751</v>
      </c>
      <c r="G10289" s="1" t="s">
        <v>33752</v>
      </c>
      <c r="H10289" s="1" t="s">
        <v>3604</v>
      </c>
      <c r="I10289" s="1" t="s">
        <v>33753</v>
      </c>
      <c r="J10289" s="1" t="s">
        <v>3615</v>
      </c>
      <c r="K10289" s="1" t="s">
        <v>33752</v>
      </c>
      <c r="L10289" s="1"/>
      <c r="M10289" s="1"/>
    </row>
    <row x14ac:dyDescent="0.25" r="10290" customHeight="1" ht="18.75">
      <c r="A10290" s="1" t="s">
        <v>3617</v>
      </c>
      <c r="B10290" s="1" t="s">
        <v>5578</v>
      </c>
      <c r="C10290" s="1" t="s">
        <v>3619</v>
      </c>
      <c r="D10290" s="1" t="s">
        <v>7847</v>
      </c>
      <c r="E10290" s="1" t="s">
        <v>3893</v>
      </c>
      <c r="F10290" s="1" t="s">
        <v>33754</v>
      </c>
      <c r="G10290" s="1" t="s">
        <v>33755</v>
      </c>
      <c r="H10290" s="1" t="s">
        <v>3604</v>
      </c>
      <c r="I10290" s="1" t="s">
        <v>33756</v>
      </c>
      <c r="J10290" s="1" t="s">
        <v>3615</v>
      </c>
      <c r="K10290" s="1" t="s">
        <v>33755</v>
      </c>
      <c r="L10290" s="1"/>
      <c r="M10290" s="1"/>
    </row>
    <row x14ac:dyDescent="0.25" r="10291" customHeight="1" ht="18.75">
      <c r="A10291" s="1" t="s">
        <v>7833</v>
      </c>
      <c r="B10291" s="1" t="s">
        <v>8291</v>
      </c>
      <c r="C10291" s="1" t="s">
        <v>4488</v>
      </c>
      <c r="D10291" s="1" t="s">
        <v>3601</v>
      </c>
      <c r="E10291" s="1" t="s">
        <v>3611</v>
      </c>
      <c r="F10291" s="1" t="s">
        <v>33757</v>
      </c>
      <c r="G10291" s="1" t="s">
        <v>8299</v>
      </c>
      <c r="H10291" s="1" t="s">
        <v>3604</v>
      </c>
      <c r="I10291" s="1" t="s">
        <v>33758</v>
      </c>
      <c r="J10291" s="1" t="s">
        <v>3606</v>
      </c>
      <c r="K10291" s="1" t="s">
        <v>9137</v>
      </c>
      <c r="L10291" s="1"/>
      <c r="M10291" s="1"/>
    </row>
    <row x14ac:dyDescent="0.25" r="10292" customHeight="1" ht="18.75">
      <c r="A10292" s="1" t="s">
        <v>3693</v>
      </c>
      <c r="B10292" s="1" t="s">
        <v>4204</v>
      </c>
      <c r="C10292" s="1" t="s">
        <v>3600</v>
      </c>
      <c r="D10292" s="1" t="s">
        <v>8373</v>
      </c>
      <c r="E10292" s="1" t="s">
        <v>3893</v>
      </c>
      <c r="F10292" s="1" t="s">
        <v>33759</v>
      </c>
      <c r="G10292" s="1" t="s">
        <v>4419</v>
      </c>
      <c r="H10292" s="1" t="s">
        <v>3604</v>
      </c>
      <c r="I10292" s="1" t="s">
        <v>33760</v>
      </c>
      <c r="J10292" s="1" t="s">
        <v>3615</v>
      </c>
      <c r="K10292" s="1" t="s">
        <v>33761</v>
      </c>
      <c r="L10292" s="1"/>
      <c r="M10292" s="1"/>
    </row>
    <row x14ac:dyDescent="0.25" r="10293" customHeight="1" ht="18.75">
      <c r="A10293" s="1" t="s">
        <v>3693</v>
      </c>
      <c r="B10293" s="1" t="s">
        <v>4204</v>
      </c>
      <c r="C10293" s="1" t="s">
        <v>3600</v>
      </c>
      <c r="D10293" s="1" t="s">
        <v>8373</v>
      </c>
      <c r="E10293" s="1" t="s">
        <v>3893</v>
      </c>
      <c r="F10293" s="1" t="s">
        <v>33762</v>
      </c>
      <c r="G10293" s="1" t="s">
        <v>4417</v>
      </c>
      <c r="H10293" s="1" t="s">
        <v>3604</v>
      </c>
      <c r="I10293" s="1" t="s">
        <v>33763</v>
      </c>
      <c r="J10293" s="1" t="s">
        <v>3615</v>
      </c>
      <c r="K10293" s="1" t="s">
        <v>33761</v>
      </c>
      <c r="L10293" s="1"/>
      <c r="M10293" s="1"/>
    </row>
    <row x14ac:dyDescent="0.25" r="10294" customHeight="1" ht="18.75">
      <c r="A10294" s="1" t="s">
        <v>7833</v>
      </c>
      <c r="B10294" s="1" t="s">
        <v>9824</v>
      </c>
      <c r="C10294" s="1" t="s">
        <v>4488</v>
      </c>
      <c r="D10294" s="1" t="s">
        <v>3601</v>
      </c>
      <c r="E10294" s="1" t="s">
        <v>3611</v>
      </c>
      <c r="F10294" s="1" t="s">
        <v>33764</v>
      </c>
      <c r="G10294" s="1" t="s">
        <v>14305</v>
      </c>
      <c r="H10294" s="1" t="s">
        <v>3604</v>
      </c>
      <c r="I10294" s="1" t="s">
        <v>33765</v>
      </c>
      <c r="J10294" s="1" t="s">
        <v>3606</v>
      </c>
      <c r="K10294" s="1" t="s">
        <v>33223</v>
      </c>
      <c r="L10294" s="1"/>
      <c r="M10294" s="1"/>
    </row>
    <row x14ac:dyDescent="0.25" r="10295" customHeight="1" ht="18.75">
      <c r="A10295" s="1" t="s">
        <v>7833</v>
      </c>
      <c r="B10295" s="1" t="s">
        <v>8269</v>
      </c>
      <c r="C10295" s="1" t="s">
        <v>4488</v>
      </c>
      <c r="D10295" s="1" t="s">
        <v>3601</v>
      </c>
      <c r="E10295" s="1" t="s">
        <v>3611</v>
      </c>
      <c r="F10295" s="1" t="s">
        <v>33766</v>
      </c>
      <c r="G10295" s="1" t="s">
        <v>33554</v>
      </c>
      <c r="H10295" s="1" t="s">
        <v>3604</v>
      </c>
      <c r="I10295" s="1" t="s">
        <v>33767</v>
      </c>
      <c r="J10295" s="1" t="s">
        <v>3606</v>
      </c>
      <c r="K10295" s="1" t="s">
        <v>33768</v>
      </c>
      <c r="L10295" s="1"/>
      <c r="M10295" s="1"/>
    </row>
    <row x14ac:dyDescent="0.25" r="10296" customHeight="1" ht="18.75">
      <c r="A10296" s="1" t="s">
        <v>3617</v>
      </c>
      <c r="B10296" s="1" t="s">
        <v>5578</v>
      </c>
      <c r="C10296" s="1" t="s">
        <v>3619</v>
      </c>
      <c r="D10296" s="1" t="s">
        <v>7847</v>
      </c>
      <c r="E10296" s="1" t="s">
        <v>3893</v>
      </c>
      <c r="F10296" s="1" t="s">
        <v>33769</v>
      </c>
      <c r="G10296" s="1" t="s">
        <v>33755</v>
      </c>
      <c r="H10296" s="1" t="s">
        <v>3604</v>
      </c>
      <c r="I10296" s="1" t="s">
        <v>33770</v>
      </c>
      <c r="J10296" s="1" t="s">
        <v>3615</v>
      </c>
      <c r="K10296" s="1" t="s">
        <v>33755</v>
      </c>
      <c r="L10296" s="1"/>
      <c r="M10296" s="1"/>
    </row>
    <row x14ac:dyDescent="0.25" r="10297" customHeight="1" ht="18.75">
      <c r="A10297" s="1" t="s">
        <v>3617</v>
      </c>
      <c r="B10297" s="1" t="s">
        <v>5578</v>
      </c>
      <c r="C10297" s="1" t="s">
        <v>3619</v>
      </c>
      <c r="D10297" s="1" t="s">
        <v>7847</v>
      </c>
      <c r="E10297" s="1" t="s">
        <v>3893</v>
      </c>
      <c r="F10297" s="1" t="s">
        <v>33771</v>
      </c>
      <c r="G10297" s="1" t="s">
        <v>33752</v>
      </c>
      <c r="H10297" s="1" t="s">
        <v>3604</v>
      </c>
      <c r="I10297" s="1" t="s">
        <v>33772</v>
      </c>
      <c r="J10297" s="1" t="s">
        <v>3615</v>
      </c>
      <c r="K10297" s="1" t="s">
        <v>33752</v>
      </c>
      <c r="L10297" s="1"/>
      <c r="M10297" s="1"/>
    </row>
    <row x14ac:dyDescent="0.25" r="10298" customHeight="1" ht="18.75">
      <c r="A10298" s="1" t="s">
        <v>3693</v>
      </c>
      <c r="B10298" s="1" t="s">
        <v>4158</v>
      </c>
      <c r="C10298" s="1" t="s">
        <v>3600</v>
      </c>
      <c r="D10298" s="1" t="s">
        <v>8373</v>
      </c>
      <c r="E10298" s="1" t="s">
        <v>3893</v>
      </c>
      <c r="F10298" s="1" t="s">
        <v>33773</v>
      </c>
      <c r="G10298" s="1" t="s">
        <v>23389</v>
      </c>
      <c r="H10298" s="1" t="s">
        <v>3604</v>
      </c>
      <c r="I10298" s="1" t="s">
        <v>33774</v>
      </c>
      <c r="J10298" s="1" t="s">
        <v>3615</v>
      </c>
      <c r="K10298" s="1" t="s">
        <v>33750</v>
      </c>
      <c r="L10298" s="1"/>
      <c r="M10298" s="1"/>
    </row>
    <row x14ac:dyDescent="0.25" r="10299" customHeight="1" ht="18.75">
      <c r="A10299" s="1" t="s">
        <v>3693</v>
      </c>
      <c r="B10299" s="1" t="s">
        <v>4204</v>
      </c>
      <c r="C10299" s="1" t="s">
        <v>3600</v>
      </c>
      <c r="D10299" s="1" t="s">
        <v>8373</v>
      </c>
      <c r="E10299" s="1" t="s">
        <v>3893</v>
      </c>
      <c r="F10299" s="1" t="s">
        <v>33775</v>
      </c>
      <c r="G10299" s="1" t="s">
        <v>9625</v>
      </c>
      <c r="H10299" s="1" t="s">
        <v>3604</v>
      </c>
      <c r="I10299" s="1" t="s">
        <v>33776</v>
      </c>
      <c r="J10299" s="1" t="s">
        <v>3615</v>
      </c>
      <c r="K10299" s="1" t="s">
        <v>33777</v>
      </c>
      <c r="L10299" s="1"/>
      <c r="M10299" s="1"/>
    </row>
    <row x14ac:dyDescent="0.25" r="10300" customHeight="1" ht="18.75">
      <c r="A10300" s="1" t="s">
        <v>3617</v>
      </c>
      <c r="B10300" s="1" t="s">
        <v>5578</v>
      </c>
      <c r="C10300" s="1" t="s">
        <v>3619</v>
      </c>
      <c r="D10300" s="1" t="s">
        <v>7847</v>
      </c>
      <c r="E10300" s="1" t="s">
        <v>3893</v>
      </c>
      <c r="F10300" s="1" t="s">
        <v>33778</v>
      </c>
      <c r="G10300" s="1" t="s">
        <v>33752</v>
      </c>
      <c r="H10300" s="1" t="s">
        <v>3604</v>
      </c>
      <c r="I10300" s="1" t="s">
        <v>33779</v>
      </c>
      <c r="J10300" s="1" t="s">
        <v>3615</v>
      </c>
      <c r="K10300" s="1" t="s">
        <v>33752</v>
      </c>
      <c r="L10300" s="1"/>
      <c r="M10300" s="1"/>
    </row>
    <row x14ac:dyDescent="0.25" r="10301" customHeight="1" ht="18.75">
      <c r="A10301" s="1" t="s">
        <v>3693</v>
      </c>
      <c r="B10301" s="1" t="s">
        <v>4204</v>
      </c>
      <c r="C10301" s="1" t="s">
        <v>3600</v>
      </c>
      <c r="D10301" s="1" t="s">
        <v>8373</v>
      </c>
      <c r="E10301" s="1" t="s">
        <v>3893</v>
      </c>
      <c r="F10301" s="1" t="s">
        <v>33780</v>
      </c>
      <c r="G10301" s="1" t="s">
        <v>4419</v>
      </c>
      <c r="H10301" s="1" t="s">
        <v>3604</v>
      </c>
      <c r="I10301" s="1" t="s">
        <v>33781</v>
      </c>
      <c r="J10301" s="1" t="s">
        <v>3615</v>
      </c>
      <c r="K10301" s="1" t="s">
        <v>33679</v>
      </c>
      <c r="L10301" s="1"/>
      <c r="M10301" s="1"/>
    </row>
    <row x14ac:dyDescent="0.25" r="10302" customHeight="1" ht="18.75">
      <c r="A10302" s="1" t="s">
        <v>3617</v>
      </c>
      <c r="B10302" s="1" t="s">
        <v>5578</v>
      </c>
      <c r="C10302" s="1" t="s">
        <v>3619</v>
      </c>
      <c r="D10302" s="1" t="s">
        <v>7847</v>
      </c>
      <c r="E10302" s="1" t="s">
        <v>3893</v>
      </c>
      <c r="F10302" s="1" t="s">
        <v>33782</v>
      </c>
      <c r="G10302" s="1" t="s">
        <v>33755</v>
      </c>
      <c r="H10302" s="1" t="s">
        <v>3604</v>
      </c>
      <c r="I10302" s="1" t="s">
        <v>33783</v>
      </c>
      <c r="J10302" s="1" t="s">
        <v>3615</v>
      </c>
      <c r="K10302" s="1" t="s">
        <v>33755</v>
      </c>
      <c r="L10302" s="1"/>
      <c r="M10302" s="1"/>
    </row>
    <row x14ac:dyDescent="0.25" r="10303" customHeight="1" ht="18.75">
      <c r="A10303" s="1" t="s">
        <v>3617</v>
      </c>
      <c r="B10303" s="1" t="s">
        <v>5578</v>
      </c>
      <c r="C10303" s="1" t="s">
        <v>3619</v>
      </c>
      <c r="D10303" s="1" t="s">
        <v>7847</v>
      </c>
      <c r="E10303" s="1" t="s">
        <v>3893</v>
      </c>
      <c r="F10303" s="1" t="s">
        <v>33784</v>
      </c>
      <c r="G10303" s="1" t="s">
        <v>33785</v>
      </c>
      <c r="H10303" s="1" t="s">
        <v>3604</v>
      </c>
      <c r="I10303" s="1" t="s">
        <v>33786</v>
      </c>
      <c r="J10303" s="1" t="s">
        <v>3615</v>
      </c>
      <c r="K10303" s="1" t="s">
        <v>33785</v>
      </c>
      <c r="L10303" s="1"/>
      <c r="M10303" s="1"/>
    </row>
    <row x14ac:dyDescent="0.25" r="10304" customHeight="1" ht="18.75">
      <c r="A10304" s="1" t="s">
        <v>3693</v>
      </c>
      <c r="B10304" s="1" t="s">
        <v>4204</v>
      </c>
      <c r="C10304" s="1" t="s">
        <v>3600</v>
      </c>
      <c r="D10304" s="1" t="s">
        <v>8373</v>
      </c>
      <c r="E10304" s="1" t="s">
        <v>3893</v>
      </c>
      <c r="F10304" s="1" t="s">
        <v>33787</v>
      </c>
      <c r="G10304" s="1" t="s">
        <v>33788</v>
      </c>
      <c r="H10304" s="1" t="s">
        <v>3604</v>
      </c>
      <c r="I10304" s="1" t="s">
        <v>33789</v>
      </c>
      <c r="J10304" s="1" t="s">
        <v>3615</v>
      </c>
      <c r="K10304" s="1" t="s">
        <v>33790</v>
      </c>
      <c r="L10304" s="1"/>
      <c r="M10304" s="1"/>
    </row>
    <row x14ac:dyDescent="0.25" r="10305" customHeight="1" ht="18.75">
      <c r="A10305" s="1" t="s">
        <v>3617</v>
      </c>
      <c r="B10305" s="1" t="s">
        <v>5578</v>
      </c>
      <c r="C10305" s="1" t="s">
        <v>3619</v>
      </c>
      <c r="D10305" s="1" t="s">
        <v>7847</v>
      </c>
      <c r="E10305" s="1" t="s">
        <v>3893</v>
      </c>
      <c r="F10305" s="1" t="s">
        <v>33791</v>
      </c>
      <c r="G10305" s="1" t="s">
        <v>33785</v>
      </c>
      <c r="H10305" s="1" t="s">
        <v>3604</v>
      </c>
      <c r="I10305" s="1" t="s">
        <v>33792</v>
      </c>
      <c r="J10305" s="1" t="s">
        <v>3615</v>
      </c>
      <c r="K10305" s="1" t="s">
        <v>33785</v>
      </c>
      <c r="L10305" s="1"/>
      <c r="M10305" s="1"/>
    </row>
    <row x14ac:dyDescent="0.25" r="10306" customHeight="1" ht="18.75">
      <c r="A10306" s="1" t="s">
        <v>3693</v>
      </c>
      <c r="B10306" s="1" t="s">
        <v>4091</v>
      </c>
      <c r="C10306" s="1" t="s">
        <v>3600</v>
      </c>
      <c r="D10306" s="1" t="s">
        <v>8373</v>
      </c>
      <c r="E10306" s="1" t="s">
        <v>3893</v>
      </c>
      <c r="F10306" s="1" t="s">
        <v>33793</v>
      </c>
      <c r="G10306" s="1" t="s">
        <v>24771</v>
      </c>
      <c r="H10306" s="1" t="s">
        <v>3604</v>
      </c>
      <c r="I10306" s="1" t="s">
        <v>33794</v>
      </c>
      <c r="J10306" s="1" t="s">
        <v>3615</v>
      </c>
      <c r="K10306" s="1" t="s">
        <v>33795</v>
      </c>
      <c r="L10306" s="1"/>
      <c r="M10306" s="1"/>
    </row>
    <row x14ac:dyDescent="0.25" r="10307" customHeight="1" ht="18.75">
      <c r="A10307" s="1" t="s">
        <v>7833</v>
      </c>
      <c r="B10307" s="1" t="s">
        <v>8291</v>
      </c>
      <c r="C10307" s="1" t="s">
        <v>4488</v>
      </c>
      <c r="D10307" s="1" t="s">
        <v>3601</v>
      </c>
      <c r="E10307" s="1" t="s">
        <v>3611</v>
      </c>
      <c r="F10307" s="1" t="s">
        <v>33796</v>
      </c>
      <c r="G10307" s="1" t="s">
        <v>8299</v>
      </c>
      <c r="H10307" s="1" t="s">
        <v>3604</v>
      </c>
      <c r="I10307" s="1" t="s">
        <v>33797</v>
      </c>
      <c r="J10307" s="1" t="s">
        <v>3606</v>
      </c>
      <c r="K10307" s="1" t="s">
        <v>12364</v>
      </c>
      <c r="L10307" s="1"/>
      <c r="M10307" s="1"/>
    </row>
    <row x14ac:dyDescent="0.25" r="10308" customHeight="1" ht="18.75">
      <c r="A10308" s="1" t="s">
        <v>3617</v>
      </c>
      <c r="B10308" s="1" t="s">
        <v>5578</v>
      </c>
      <c r="C10308" s="1" t="s">
        <v>3619</v>
      </c>
      <c r="D10308" s="1" t="s">
        <v>7847</v>
      </c>
      <c r="E10308" s="1" t="s">
        <v>3893</v>
      </c>
      <c r="F10308" s="1" t="s">
        <v>33798</v>
      </c>
      <c r="G10308" s="1" t="s">
        <v>33785</v>
      </c>
      <c r="H10308" s="1" t="s">
        <v>3604</v>
      </c>
      <c r="I10308" s="1" t="s">
        <v>33799</v>
      </c>
      <c r="J10308" s="1" t="s">
        <v>3615</v>
      </c>
      <c r="K10308" s="1" t="s">
        <v>33785</v>
      </c>
      <c r="L10308" s="1"/>
      <c r="M10308" s="1"/>
    </row>
    <row x14ac:dyDescent="0.25" r="10309" customHeight="1" ht="18.75">
      <c r="A10309" s="1" t="s">
        <v>7833</v>
      </c>
      <c r="B10309" s="1" t="s">
        <v>8269</v>
      </c>
      <c r="C10309" s="1" t="s">
        <v>4488</v>
      </c>
      <c r="D10309" s="1" t="s">
        <v>3601</v>
      </c>
      <c r="E10309" s="1" t="s">
        <v>3611</v>
      </c>
      <c r="F10309" s="1" t="s">
        <v>33800</v>
      </c>
      <c r="G10309" s="1" t="s">
        <v>33554</v>
      </c>
      <c r="H10309" s="1" t="s">
        <v>3604</v>
      </c>
      <c r="I10309" s="1" t="s">
        <v>33801</v>
      </c>
      <c r="J10309" s="1" t="s">
        <v>3606</v>
      </c>
      <c r="K10309" s="1" t="s">
        <v>33802</v>
      </c>
      <c r="L10309" s="1"/>
      <c r="M10309" s="1"/>
    </row>
    <row x14ac:dyDescent="0.25" r="10310" customHeight="1" ht="18.75">
      <c r="A10310" s="1" t="s">
        <v>3617</v>
      </c>
      <c r="B10310" s="1" t="s">
        <v>5578</v>
      </c>
      <c r="C10310" s="1" t="s">
        <v>3619</v>
      </c>
      <c r="D10310" s="1" t="s">
        <v>7847</v>
      </c>
      <c r="E10310" s="1" t="s">
        <v>3893</v>
      </c>
      <c r="F10310" s="1" t="s">
        <v>33803</v>
      </c>
      <c r="G10310" s="1" t="s">
        <v>33804</v>
      </c>
      <c r="H10310" s="1" t="s">
        <v>3604</v>
      </c>
      <c r="I10310" s="1" t="s">
        <v>33805</v>
      </c>
      <c r="J10310" s="1" t="s">
        <v>3615</v>
      </c>
      <c r="K10310" s="1" t="s">
        <v>33804</v>
      </c>
      <c r="L10310" s="1"/>
      <c r="M10310" s="1"/>
    </row>
    <row x14ac:dyDescent="0.25" r="10311" customHeight="1" ht="18.75">
      <c r="A10311" s="1" t="s">
        <v>3617</v>
      </c>
      <c r="B10311" s="1" t="s">
        <v>5578</v>
      </c>
      <c r="C10311" s="1" t="s">
        <v>3619</v>
      </c>
      <c r="D10311" s="1" t="s">
        <v>7847</v>
      </c>
      <c r="E10311" s="1" t="s">
        <v>3893</v>
      </c>
      <c r="F10311" s="1" t="s">
        <v>33806</v>
      </c>
      <c r="G10311" s="1" t="s">
        <v>33807</v>
      </c>
      <c r="H10311" s="1" t="s">
        <v>3604</v>
      </c>
      <c r="I10311" s="1" t="s">
        <v>33808</v>
      </c>
      <c r="J10311" s="1" t="s">
        <v>3615</v>
      </c>
      <c r="K10311" s="1" t="s">
        <v>33807</v>
      </c>
      <c r="L10311" s="1"/>
      <c r="M10311" s="1"/>
    </row>
    <row x14ac:dyDescent="0.25" r="10312" customHeight="1" ht="18.75">
      <c r="A10312" s="1" t="s">
        <v>3617</v>
      </c>
      <c r="B10312" s="1" t="s">
        <v>5578</v>
      </c>
      <c r="C10312" s="1" t="s">
        <v>3619</v>
      </c>
      <c r="D10312" s="1" t="s">
        <v>7847</v>
      </c>
      <c r="E10312" s="1" t="s">
        <v>3893</v>
      </c>
      <c r="F10312" s="1" t="s">
        <v>33809</v>
      </c>
      <c r="G10312" s="1" t="s">
        <v>33804</v>
      </c>
      <c r="H10312" s="1" t="s">
        <v>3604</v>
      </c>
      <c r="I10312" s="1" t="s">
        <v>33810</v>
      </c>
      <c r="J10312" s="1" t="s">
        <v>3615</v>
      </c>
      <c r="K10312" s="1" t="s">
        <v>33804</v>
      </c>
      <c r="L10312" s="1"/>
      <c r="M10312" s="1"/>
    </row>
    <row x14ac:dyDescent="0.25" r="10313" customHeight="1" ht="18.75">
      <c r="A10313" s="1" t="s">
        <v>3617</v>
      </c>
      <c r="B10313" s="1" t="s">
        <v>5578</v>
      </c>
      <c r="C10313" s="1" t="s">
        <v>3619</v>
      </c>
      <c r="D10313" s="1" t="s">
        <v>7847</v>
      </c>
      <c r="E10313" s="1" t="s">
        <v>3893</v>
      </c>
      <c r="F10313" s="1" t="s">
        <v>33811</v>
      </c>
      <c r="G10313" s="1" t="s">
        <v>33807</v>
      </c>
      <c r="H10313" s="1" t="s">
        <v>3604</v>
      </c>
      <c r="I10313" s="1" t="s">
        <v>33812</v>
      </c>
      <c r="J10313" s="1" t="s">
        <v>3615</v>
      </c>
      <c r="K10313" s="1" t="s">
        <v>33807</v>
      </c>
      <c r="L10313" s="1"/>
      <c r="M10313" s="1"/>
    </row>
    <row x14ac:dyDescent="0.25" r="10314" customHeight="1" ht="18.75">
      <c r="A10314" s="1" t="s">
        <v>7833</v>
      </c>
      <c r="B10314" s="1" t="s">
        <v>9824</v>
      </c>
      <c r="C10314" s="1" t="s">
        <v>4488</v>
      </c>
      <c r="D10314" s="1" t="s">
        <v>3601</v>
      </c>
      <c r="E10314" s="1" t="s">
        <v>3611</v>
      </c>
      <c r="F10314" s="1" t="s">
        <v>33813</v>
      </c>
      <c r="G10314" s="1" t="s">
        <v>14305</v>
      </c>
      <c r="H10314" s="1" t="s">
        <v>3604</v>
      </c>
      <c r="I10314" s="1" t="s">
        <v>33814</v>
      </c>
      <c r="J10314" s="1" t="s">
        <v>3606</v>
      </c>
      <c r="K10314" s="1" t="s">
        <v>33622</v>
      </c>
      <c r="L10314" s="1"/>
      <c r="M10314" s="1"/>
    </row>
    <row x14ac:dyDescent="0.25" r="10315" customHeight="1" ht="18.75">
      <c r="A10315" s="1" t="s">
        <v>3617</v>
      </c>
      <c r="B10315" s="1" t="s">
        <v>5578</v>
      </c>
      <c r="C10315" s="1" t="s">
        <v>3619</v>
      </c>
      <c r="D10315" s="1" t="s">
        <v>7847</v>
      </c>
      <c r="E10315" s="1" t="s">
        <v>3893</v>
      </c>
      <c r="F10315" s="1" t="s">
        <v>33815</v>
      </c>
      <c r="G10315" s="1" t="s">
        <v>33804</v>
      </c>
      <c r="H10315" s="1" t="s">
        <v>3604</v>
      </c>
      <c r="I10315" s="1" t="s">
        <v>33816</v>
      </c>
      <c r="J10315" s="1" t="s">
        <v>3615</v>
      </c>
      <c r="K10315" s="1" t="s">
        <v>33804</v>
      </c>
      <c r="L10315" s="1"/>
      <c r="M10315" s="1"/>
    </row>
    <row x14ac:dyDescent="0.25" r="10316" customHeight="1" ht="18.75">
      <c r="A10316" s="1" t="s">
        <v>3617</v>
      </c>
      <c r="B10316" s="1" t="s">
        <v>5578</v>
      </c>
      <c r="C10316" s="1" t="s">
        <v>3619</v>
      </c>
      <c r="D10316" s="1" t="s">
        <v>7847</v>
      </c>
      <c r="E10316" s="1" t="s">
        <v>3893</v>
      </c>
      <c r="F10316" s="1" t="s">
        <v>33817</v>
      </c>
      <c r="G10316" s="1" t="s">
        <v>33807</v>
      </c>
      <c r="H10316" s="1" t="s">
        <v>3604</v>
      </c>
      <c r="I10316" s="1" t="s">
        <v>33818</v>
      </c>
      <c r="J10316" s="1" t="s">
        <v>3615</v>
      </c>
      <c r="K10316" s="1" t="s">
        <v>33807</v>
      </c>
      <c r="L10316" s="1"/>
      <c r="M10316" s="1"/>
    </row>
    <row x14ac:dyDescent="0.25" r="10317" customHeight="1" ht="18.75">
      <c r="A10317" s="1" t="s">
        <v>3617</v>
      </c>
      <c r="B10317" s="1" t="s">
        <v>5578</v>
      </c>
      <c r="C10317" s="1" t="s">
        <v>3619</v>
      </c>
      <c r="D10317" s="1" t="s">
        <v>7847</v>
      </c>
      <c r="E10317" s="1" t="s">
        <v>3893</v>
      </c>
      <c r="F10317" s="1" t="s">
        <v>33819</v>
      </c>
      <c r="G10317" s="1" t="s">
        <v>33820</v>
      </c>
      <c r="H10317" s="1" t="s">
        <v>3604</v>
      </c>
      <c r="I10317" s="1" t="s">
        <v>33821</v>
      </c>
      <c r="J10317" s="1" t="s">
        <v>3615</v>
      </c>
      <c r="K10317" s="1" t="s">
        <v>33820</v>
      </c>
      <c r="L10317" s="1"/>
      <c r="M10317" s="1"/>
    </row>
    <row x14ac:dyDescent="0.25" r="10318" customHeight="1" ht="18.75">
      <c r="A10318" s="1" t="s">
        <v>3693</v>
      </c>
      <c r="B10318" s="1" t="s">
        <v>4237</v>
      </c>
      <c r="C10318" s="1" t="s">
        <v>3600</v>
      </c>
      <c r="D10318" s="1" t="s">
        <v>3601</v>
      </c>
      <c r="E10318" s="1" t="s">
        <v>3664</v>
      </c>
      <c r="F10318" s="1" t="s">
        <v>33822</v>
      </c>
      <c r="G10318" s="1" t="s">
        <v>10288</v>
      </c>
      <c r="H10318" s="1" t="s">
        <v>3604</v>
      </c>
      <c r="I10318" s="1" t="s">
        <v>33823</v>
      </c>
      <c r="J10318" s="1" t="s">
        <v>3615</v>
      </c>
      <c r="K10318" s="1" t="s">
        <v>33824</v>
      </c>
      <c r="L10318" s="1"/>
      <c r="M10318" s="1"/>
    </row>
    <row x14ac:dyDescent="0.25" r="10319" customHeight="1" ht="18.75">
      <c r="A10319" s="1" t="s">
        <v>7833</v>
      </c>
      <c r="B10319" s="1" t="s">
        <v>8291</v>
      </c>
      <c r="C10319" s="1" t="s">
        <v>4488</v>
      </c>
      <c r="D10319" s="1" t="s">
        <v>3601</v>
      </c>
      <c r="E10319" s="1" t="s">
        <v>3611</v>
      </c>
      <c r="F10319" s="1" t="s">
        <v>33825</v>
      </c>
      <c r="G10319" s="1" t="s">
        <v>8299</v>
      </c>
      <c r="H10319" s="1" t="s">
        <v>3604</v>
      </c>
      <c r="I10319" s="1" t="s">
        <v>33826</v>
      </c>
      <c r="J10319" s="1" t="s">
        <v>3606</v>
      </c>
      <c r="K10319" s="1" t="s">
        <v>33827</v>
      </c>
      <c r="L10319" s="1"/>
      <c r="M10319" s="1"/>
    </row>
    <row x14ac:dyDescent="0.25" r="10320" customHeight="1" ht="18.75">
      <c r="A10320" s="1" t="s">
        <v>3693</v>
      </c>
      <c r="B10320" s="1" t="s">
        <v>4158</v>
      </c>
      <c r="C10320" s="1" t="s">
        <v>3600</v>
      </c>
      <c r="D10320" s="1" t="s">
        <v>8373</v>
      </c>
      <c r="E10320" s="1" t="s">
        <v>3893</v>
      </c>
      <c r="F10320" s="1" t="s">
        <v>33828</v>
      </c>
      <c r="G10320" s="1" t="s">
        <v>4424</v>
      </c>
      <c r="H10320" s="1" t="s">
        <v>3604</v>
      </c>
      <c r="I10320" s="1" t="s">
        <v>33829</v>
      </c>
      <c r="J10320" s="1" t="s">
        <v>3615</v>
      </c>
      <c r="K10320" s="1" t="s">
        <v>33750</v>
      </c>
      <c r="L10320" s="1"/>
      <c r="M10320" s="1"/>
    </row>
    <row x14ac:dyDescent="0.25" r="10321" customHeight="1" ht="18.75">
      <c r="A10321" s="1" t="s">
        <v>3617</v>
      </c>
      <c r="B10321" s="1" t="s">
        <v>5578</v>
      </c>
      <c r="C10321" s="1" t="s">
        <v>3619</v>
      </c>
      <c r="D10321" s="1" t="s">
        <v>7847</v>
      </c>
      <c r="E10321" s="1" t="s">
        <v>3893</v>
      </c>
      <c r="F10321" s="1" t="s">
        <v>33830</v>
      </c>
      <c r="G10321" s="1" t="s">
        <v>33820</v>
      </c>
      <c r="H10321" s="1" t="s">
        <v>3604</v>
      </c>
      <c r="I10321" s="1" t="s">
        <v>33831</v>
      </c>
      <c r="J10321" s="1" t="s">
        <v>3615</v>
      </c>
      <c r="K10321" s="1" t="s">
        <v>33820</v>
      </c>
      <c r="L10321" s="1"/>
      <c r="M10321" s="1"/>
    </row>
    <row x14ac:dyDescent="0.25" r="10322" customHeight="1" ht="18.75">
      <c r="A10322" s="1" t="s">
        <v>3617</v>
      </c>
      <c r="B10322" s="1" t="s">
        <v>5578</v>
      </c>
      <c r="C10322" s="1" t="s">
        <v>3619</v>
      </c>
      <c r="D10322" s="1" t="s">
        <v>7847</v>
      </c>
      <c r="E10322" s="1" t="s">
        <v>3893</v>
      </c>
      <c r="F10322" s="1" t="s">
        <v>33832</v>
      </c>
      <c r="G10322" s="1" t="s">
        <v>33820</v>
      </c>
      <c r="H10322" s="1" t="s">
        <v>3604</v>
      </c>
      <c r="I10322" s="1" t="s">
        <v>33833</v>
      </c>
      <c r="J10322" s="1" t="s">
        <v>3615</v>
      </c>
      <c r="K10322" s="1" t="s">
        <v>33820</v>
      </c>
      <c r="L10322" s="1"/>
      <c r="M10322" s="1"/>
    </row>
    <row x14ac:dyDescent="0.25" r="10323" customHeight="1" ht="18.75">
      <c r="A10323" s="1" t="s">
        <v>7833</v>
      </c>
      <c r="B10323" s="1" t="s">
        <v>8291</v>
      </c>
      <c r="C10323" s="1" t="s">
        <v>4488</v>
      </c>
      <c r="D10323" s="1" t="s">
        <v>3601</v>
      </c>
      <c r="E10323" s="1" t="s">
        <v>3611</v>
      </c>
      <c r="F10323" s="1" t="s">
        <v>33834</v>
      </c>
      <c r="G10323" s="1" t="s">
        <v>33835</v>
      </c>
      <c r="H10323" s="1" t="s">
        <v>3604</v>
      </c>
      <c r="I10323" s="1" t="s">
        <v>33836</v>
      </c>
      <c r="J10323" s="1" t="s">
        <v>3606</v>
      </c>
      <c r="K10323" s="1" t="s">
        <v>33559</v>
      </c>
      <c r="L10323" s="1"/>
      <c r="M10323" s="1"/>
    </row>
    <row x14ac:dyDescent="0.25" r="10324" customHeight="1" ht="18.75">
      <c r="A10324" s="1" t="s">
        <v>3693</v>
      </c>
      <c r="B10324" s="1" t="s">
        <v>7030</v>
      </c>
      <c r="C10324" s="1" t="s">
        <v>3600</v>
      </c>
      <c r="D10324" s="1" t="s">
        <v>3601</v>
      </c>
      <c r="E10324" s="1" t="s">
        <v>3664</v>
      </c>
      <c r="F10324" s="1" t="s">
        <v>33837</v>
      </c>
      <c r="G10324" s="1" t="s">
        <v>33838</v>
      </c>
      <c r="H10324" s="1" t="s">
        <v>3604</v>
      </c>
      <c r="I10324" s="1" t="s">
        <v>33839</v>
      </c>
      <c r="J10324" s="1" t="s">
        <v>3615</v>
      </c>
      <c r="K10324" s="1" t="s">
        <v>33840</v>
      </c>
      <c r="L10324" s="1"/>
      <c r="M10324" s="1"/>
    </row>
    <row x14ac:dyDescent="0.25" r="10325" customHeight="1" ht="18.75">
      <c r="A10325" s="1" t="s">
        <v>3693</v>
      </c>
      <c r="B10325" s="1" t="s">
        <v>32271</v>
      </c>
      <c r="C10325" s="1" t="s">
        <v>3600</v>
      </c>
      <c r="D10325" s="1" t="s">
        <v>3601</v>
      </c>
      <c r="E10325" s="1" t="s">
        <v>3664</v>
      </c>
      <c r="F10325" s="1" t="s">
        <v>33841</v>
      </c>
      <c r="G10325" s="1" t="s">
        <v>7096</v>
      </c>
      <c r="H10325" s="1" t="s">
        <v>3604</v>
      </c>
      <c r="I10325" s="1" t="s">
        <v>33842</v>
      </c>
      <c r="J10325" s="1" t="s">
        <v>3615</v>
      </c>
      <c r="K10325" s="1" t="s">
        <v>33843</v>
      </c>
      <c r="L10325" s="1"/>
      <c r="M10325" s="1"/>
    </row>
    <row x14ac:dyDescent="0.25" r="10326" customHeight="1" ht="18.75">
      <c r="A10326" s="1" t="s">
        <v>3693</v>
      </c>
      <c r="B10326" s="1" t="s">
        <v>32275</v>
      </c>
      <c r="C10326" s="1" t="s">
        <v>3600</v>
      </c>
      <c r="D10326" s="1" t="s">
        <v>3601</v>
      </c>
      <c r="E10326" s="1" t="s">
        <v>3664</v>
      </c>
      <c r="F10326" s="1" t="s">
        <v>33844</v>
      </c>
      <c r="G10326" s="1" t="s">
        <v>4735</v>
      </c>
      <c r="H10326" s="1" t="s">
        <v>3604</v>
      </c>
      <c r="I10326" s="1" t="s">
        <v>33845</v>
      </c>
      <c r="J10326" s="1" t="s">
        <v>3615</v>
      </c>
      <c r="K10326" s="1" t="s">
        <v>32278</v>
      </c>
      <c r="L10326" s="1"/>
      <c r="M10326" s="1"/>
    </row>
    <row x14ac:dyDescent="0.25" r="10327" customHeight="1" ht="18.75">
      <c r="A10327" s="1" t="s">
        <v>3693</v>
      </c>
      <c r="B10327" s="1" t="s">
        <v>4158</v>
      </c>
      <c r="C10327" s="1" t="s">
        <v>3600</v>
      </c>
      <c r="D10327" s="1" t="s">
        <v>8373</v>
      </c>
      <c r="E10327" s="1" t="s">
        <v>3893</v>
      </c>
      <c r="F10327" s="1" t="s">
        <v>33846</v>
      </c>
      <c r="G10327" s="1" t="s">
        <v>33847</v>
      </c>
      <c r="H10327" s="1" t="s">
        <v>3604</v>
      </c>
      <c r="I10327" s="1" t="s">
        <v>33848</v>
      </c>
      <c r="J10327" s="1" t="s">
        <v>3615</v>
      </c>
      <c r="K10327" s="1" t="s">
        <v>33849</v>
      </c>
      <c r="L10327" s="1"/>
      <c r="M10327" s="1"/>
    </row>
    <row x14ac:dyDescent="0.25" r="10328" customHeight="1" ht="18.75">
      <c r="A10328" s="1" t="s">
        <v>7833</v>
      </c>
      <c r="B10328" s="1" t="s">
        <v>9824</v>
      </c>
      <c r="C10328" s="1" t="s">
        <v>4488</v>
      </c>
      <c r="D10328" s="1" t="s">
        <v>3601</v>
      </c>
      <c r="E10328" s="1" t="s">
        <v>3611</v>
      </c>
      <c r="F10328" s="1" t="s">
        <v>33850</v>
      </c>
      <c r="G10328" s="1" t="s">
        <v>14305</v>
      </c>
      <c r="H10328" s="1" t="s">
        <v>3604</v>
      </c>
      <c r="I10328" s="1" t="s">
        <v>33851</v>
      </c>
      <c r="J10328" s="1" t="s">
        <v>3606</v>
      </c>
      <c r="K10328" s="1" t="s">
        <v>33649</v>
      </c>
      <c r="L10328" s="1"/>
      <c r="M10328" s="1"/>
    </row>
    <row x14ac:dyDescent="0.25" r="10329" customHeight="1" ht="18.75">
      <c r="A10329" s="1" t="s">
        <v>7833</v>
      </c>
      <c r="B10329" s="1" t="s">
        <v>8291</v>
      </c>
      <c r="C10329" s="1" t="s">
        <v>4488</v>
      </c>
      <c r="D10329" s="1" t="s">
        <v>3601</v>
      </c>
      <c r="E10329" s="1" t="s">
        <v>3611</v>
      </c>
      <c r="F10329" s="1" t="s">
        <v>33852</v>
      </c>
      <c r="G10329" s="1" t="s">
        <v>33835</v>
      </c>
      <c r="H10329" s="1" t="s">
        <v>3604</v>
      </c>
      <c r="I10329" s="1" t="s">
        <v>33853</v>
      </c>
      <c r="J10329" s="1" t="s">
        <v>3606</v>
      </c>
      <c r="K10329" s="1" t="s">
        <v>33571</v>
      </c>
      <c r="L10329" s="1"/>
      <c r="M10329" s="1"/>
    </row>
    <row x14ac:dyDescent="0.25" r="10330" customHeight="1" ht="18.75">
      <c r="A10330" s="1" t="s">
        <v>3693</v>
      </c>
      <c r="B10330" s="1" t="s">
        <v>4158</v>
      </c>
      <c r="C10330" s="1" t="s">
        <v>3600</v>
      </c>
      <c r="D10330" s="1" t="s">
        <v>8373</v>
      </c>
      <c r="E10330" s="1" t="s">
        <v>3893</v>
      </c>
      <c r="F10330" s="1" t="s">
        <v>33854</v>
      </c>
      <c r="G10330" s="1" t="s">
        <v>4424</v>
      </c>
      <c r="H10330" s="1" t="s">
        <v>3604</v>
      </c>
      <c r="I10330" s="1" t="s">
        <v>33855</v>
      </c>
      <c r="J10330" s="1" t="s">
        <v>3615</v>
      </c>
      <c r="K10330" s="1" t="s">
        <v>33750</v>
      </c>
      <c r="L10330" s="1"/>
      <c r="M10330" s="1"/>
    </row>
    <row x14ac:dyDescent="0.25" r="10331" customHeight="1" ht="18.75">
      <c r="A10331" s="1" t="s">
        <v>3693</v>
      </c>
      <c r="B10331" s="1" t="s">
        <v>4158</v>
      </c>
      <c r="C10331" s="1" t="s">
        <v>3600</v>
      </c>
      <c r="D10331" s="1" t="s">
        <v>8373</v>
      </c>
      <c r="E10331" s="1" t="s">
        <v>3893</v>
      </c>
      <c r="F10331" s="1" t="s">
        <v>33856</v>
      </c>
      <c r="G10331" s="1" t="s">
        <v>4424</v>
      </c>
      <c r="H10331" s="1" t="s">
        <v>3604</v>
      </c>
      <c r="I10331" s="1" t="s">
        <v>33857</v>
      </c>
      <c r="J10331" s="1" t="s">
        <v>3615</v>
      </c>
      <c r="K10331" s="1" t="s">
        <v>33750</v>
      </c>
      <c r="L10331" s="1"/>
      <c r="M10331" s="1"/>
    </row>
    <row x14ac:dyDescent="0.25" r="10332" customHeight="1" ht="18.75">
      <c r="A10332" s="1" t="s">
        <v>3693</v>
      </c>
      <c r="B10332" s="1" t="s">
        <v>4158</v>
      </c>
      <c r="C10332" s="1" t="s">
        <v>3600</v>
      </c>
      <c r="D10332" s="1" t="s">
        <v>8373</v>
      </c>
      <c r="E10332" s="1" t="s">
        <v>3893</v>
      </c>
      <c r="F10332" s="1" t="s">
        <v>33858</v>
      </c>
      <c r="G10332" s="1" t="s">
        <v>4424</v>
      </c>
      <c r="H10332" s="1" t="s">
        <v>3604</v>
      </c>
      <c r="I10332" s="1" t="s">
        <v>33859</v>
      </c>
      <c r="J10332" s="1" t="s">
        <v>3615</v>
      </c>
      <c r="K10332" s="1" t="s">
        <v>33860</v>
      </c>
      <c r="L10332" s="1"/>
      <c r="M10332" s="1"/>
    </row>
    <row x14ac:dyDescent="0.25" r="10333" customHeight="1" ht="18.75">
      <c r="A10333" s="1" t="s">
        <v>7833</v>
      </c>
      <c r="B10333" s="1" t="s">
        <v>8291</v>
      </c>
      <c r="C10333" s="1" t="s">
        <v>4488</v>
      </c>
      <c r="D10333" s="1" t="s">
        <v>3601</v>
      </c>
      <c r="E10333" s="1" t="s">
        <v>3611</v>
      </c>
      <c r="F10333" s="1" t="s">
        <v>33861</v>
      </c>
      <c r="G10333" s="1" t="s">
        <v>8299</v>
      </c>
      <c r="H10333" s="1" t="s">
        <v>3604</v>
      </c>
      <c r="I10333" s="1" t="s">
        <v>33862</v>
      </c>
      <c r="J10333" s="1" t="s">
        <v>3606</v>
      </c>
      <c r="K10333" s="1" t="s">
        <v>33622</v>
      </c>
      <c r="L10333" s="1"/>
      <c r="M10333" s="1"/>
    </row>
    <row x14ac:dyDescent="0.25" r="10334" customHeight="1" ht="18.75">
      <c r="A10334" s="1" t="s">
        <v>3693</v>
      </c>
      <c r="B10334" s="1" t="s">
        <v>4083</v>
      </c>
      <c r="C10334" s="1" t="s">
        <v>3600</v>
      </c>
      <c r="D10334" s="1" t="s">
        <v>8373</v>
      </c>
      <c r="E10334" s="1" t="s">
        <v>3893</v>
      </c>
      <c r="F10334" s="1" t="s">
        <v>33863</v>
      </c>
      <c r="G10334" s="1" t="s">
        <v>4553</v>
      </c>
      <c r="H10334" s="1" t="s">
        <v>3604</v>
      </c>
      <c r="I10334" s="1" t="s">
        <v>33864</v>
      </c>
      <c r="J10334" s="1" t="s">
        <v>3615</v>
      </c>
      <c r="K10334" s="1" t="s">
        <v>33865</v>
      </c>
      <c r="L10334" s="1"/>
      <c r="M10334" s="1"/>
    </row>
    <row x14ac:dyDescent="0.25" r="10335" customHeight="1" ht="18.75">
      <c r="A10335" s="1" t="s">
        <v>7833</v>
      </c>
      <c r="B10335" s="1" t="s">
        <v>8291</v>
      </c>
      <c r="C10335" s="1" t="s">
        <v>4488</v>
      </c>
      <c r="D10335" s="1" t="s">
        <v>3601</v>
      </c>
      <c r="E10335" s="1" t="s">
        <v>3611</v>
      </c>
      <c r="F10335" s="1" t="s">
        <v>33866</v>
      </c>
      <c r="G10335" s="1" t="s">
        <v>33835</v>
      </c>
      <c r="H10335" s="1" t="s">
        <v>3604</v>
      </c>
      <c r="I10335" s="1" t="s">
        <v>33867</v>
      </c>
      <c r="J10335" s="1" t="s">
        <v>3606</v>
      </c>
      <c r="K10335" s="1" t="s">
        <v>33665</v>
      </c>
      <c r="L10335" s="1"/>
      <c r="M10335" s="1"/>
    </row>
    <row x14ac:dyDescent="0.25" r="10336" customHeight="1" ht="18.75">
      <c r="A10336" s="1" t="s">
        <v>3693</v>
      </c>
      <c r="B10336" s="1" t="s">
        <v>4158</v>
      </c>
      <c r="C10336" s="1" t="s">
        <v>3600</v>
      </c>
      <c r="D10336" s="1" t="s">
        <v>8373</v>
      </c>
      <c r="E10336" s="1" t="s">
        <v>3893</v>
      </c>
      <c r="F10336" s="1" t="s">
        <v>33868</v>
      </c>
      <c r="G10336" s="1" t="s">
        <v>33869</v>
      </c>
      <c r="H10336" s="1" t="s">
        <v>3604</v>
      </c>
      <c r="I10336" s="1" t="s">
        <v>33870</v>
      </c>
      <c r="J10336" s="1" t="s">
        <v>3615</v>
      </c>
      <c r="K10336" s="1" t="s">
        <v>33750</v>
      </c>
      <c r="L10336" s="1"/>
      <c r="M10336" s="1"/>
    </row>
    <row x14ac:dyDescent="0.25" r="10337" customHeight="1" ht="18.75">
      <c r="A10337" s="1" t="s">
        <v>7833</v>
      </c>
      <c r="B10337" s="1" t="s">
        <v>8269</v>
      </c>
      <c r="C10337" s="1" t="s">
        <v>4488</v>
      </c>
      <c r="D10337" s="1" t="s">
        <v>3601</v>
      </c>
      <c r="E10337" s="1" t="s">
        <v>3611</v>
      </c>
      <c r="F10337" s="1" t="s">
        <v>33871</v>
      </c>
      <c r="G10337" s="1" t="s">
        <v>33554</v>
      </c>
      <c r="H10337" s="1" t="s">
        <v>3604</v>
      </c>
      <c r="I10337" s="1" t="s">
        <v>33872</v>
      </c>
      <c r="J10337" s="1" t="s">
        <v>3606</v>
      </c>
      <c r="K10337" s="1" t="s">
        <v>33873</v>
      </c>
      <c r="L10337" s="1"/>
      <c r="M10337" s="1"/>
    </row>
    <row x14ac:dyDescent="0.25" r="10338" customHeight="1" ht="18.75">
      <c r="A10338" s="1" t="s">
        <v>7833</v>
      </c>
      <c r="B10338" s="1" t="s">
        <v>8291</v>
      </c>
      <c r="C10338" s="1" t="s">
        <v>4488</v>
      </c>
      <c r="D10338" s="1" t="s">
        <v>3601</v>
      </c>
      <c r="E10338" s="1" t="s">
        <v>3611</v>
      </c>
      <c r="F10338" s="1" t="s">
        <v>33874</v>
      </c>
      <c r="G10338" s="1" t="s">
        <v>33835</v>
      </c>
      <c r="H10338" s="1" t="s">
        <v>3604</v>
      </c>
      <c r="I10338" s="1" t="s">
        <v>33875</v>
      </c>
      <c r="J10338" s="1" t="s">
        <v>3606</v>
      </c>
      <c r="K10338" s="1" t="s">
        <v>33676</v>
      </c>
      <c r="L10338" s="1"/>
      <c r="M10338" s="1"/>
    </row>
    <row x14ac:dyDescent="0.25" r="10339" customHeight="1" ht="18.75">
      <c r="A10339" s="1" t="s">
        <v>7833</v>
      </c>
      <c r="B10339" s="1" t="s">
        <v>8291</v>
      </c>
      <c r="C10339" s="1" t="s">
        <v>4488</v>
      </c>
      <c r="D10339" s="1" t="s">
        <v>3601</v>
      </c>
      <c r="E10339" s="1" t="s">
        <v>3611</v>
      </c>
      <c r="F10339" s="1" t="s">
        <v>33876</v>
      </c>
      <c r="G10339" s="1" t="s">
        <v>8299</v>
      </c>
      <c r="H10339" s="1" t="s">
        <v>3604</v>
      </c>
      <c r="I10339" s="1" t="s">
        <v>33877</v>
      </c>
      <c r="J10339" s="1" t="s">
        <v>3606</v>
      </c>
      <c r="K10339" s="1" t="s">
        <v>33649</v>
      </c>
      <c r="L10339" s="1"/>
      <c r="M10339" s="1"/>
    </row>
    <row x14ac:dyDescent="0.25" r="10340" customHeight="1" ht="18.75">
      <c r="A10340" s="1" t="s">
        <v>7833</v>
      </c>
      <c r="B10340" s="1" t="s">
        <v>8291</v>
      </c>
      <c r="C10340" s="1" t="s">
        <v>4488</v>
      </c>
      <c r="D10340" s="1" t="s">
        <v>3601</v>
      </c>
      <c r="E10340" s="1" t="s">
        <v>3611</v>
      </c>
      <c r="F10340" s="1" t="s">
        <v>33878</v>
      </c>
      <c r="G10340" s="1" t="s">
        <v>33835</v>
      </c>
      <c r="H10340" s="1" t="s">
        <v>3604</v>
      </c>
      <c r="I10340" s="1" t="s">
        <v>33879</v>
      </c>
      <c r="J10340" s="1" t="s">
        <v>3606</v>
      </c>
      <c r="K10340" s="1" t="s">
        <v>33692</v>
      </c>
      <c r="L10340" s="1"/>
      <c r="M10340" s="1"/>
    </row>
    <row x14ac:dyDescent="0.25" r="10341" customHeight="1" ht="18.75">
      <c r="A10341" s="1" t="s">
        <v>7833</v>
      </c>
      <c r="B10341" s="1" t="s">
        <v>9824</v>
      </c>
      <c r="C10341" s="1" t="s">
        <v>4488</v>
      </c>
      <c r="D10341" s="1" t="s">
        <v>3601</v>
      </c>
      <c r="E10341" s="1" t="s">
        <v>3611</v>
      </c>
      <c r="F10341" s="1" t="s">
        <v>33880</v>
      </c>
      <c r="G10341" s="1" t="s">
        <v>14305</v>
      </c>
      <c r="H10341" s="1" t="s">
        <v>3604</v>
      </c>
      <c r="I10341" s="1" t="s">
        <v>33881</v>
      </c>
      <c r="J10341" s="1" t="s">
        <v>3606</v>
      </c>
      <c r="K10341" s="1" t="s">
        <v>33882</v>
      </c>
      <c r="L10341" s="1"/>
      <c r="M10341" s="1"/>
    </row>
    <row x14ac:dyDescent="0.25" r="10342" customHeight="1" ht="18.75">
      <c r="A10342" s="1" t="s">
        <v>7833</v>
      </c>
      <c r="B10342" s="1" t="s">
        <v>8291</v>
      </c>
      <c r="C10342" s="1" t="s">
        <v>4488</v>
      </c>
      <c r="D10342" s="1" t="s">
        <v>3601</v>
      </c>
      <c r="E10342" s="1" t="s">
        <v>3611</v>
      </c>
      <c r="F10342" s="1" t="s">
        <v>33883</v>
      </c>
      <c r="G10342" s="1" t="s">
        <v>8299</v>
      </c>
      <c r="H10342" s="1" t="s">
        <v>3604</v>
      </c>
      <c r="I10342" s="1" t="s">
        <v>33884</v>
      </c>
      <c r="J10342" s="1" t="s">
        <v>3606</v>
      </c>
      <c r="K10342" s="1" t="s">
        <v>9659</v>
      </c>
      <c r="L10342" s="1"/>
      <c r="M10342" s="1"/>
    </row>
    <row x14ac:dyDescent="0.25" r="10343" customHeight="1" ht="18.75">
      <c r="A10343" s="1" t="s">
        <v>7833</v>
      </c>
      <c r="B10343" s="1" t="s">
        <v>8291</v>
      </c>
      <c r="C10343" s="1" t="s">
        <v>4488</v>
      </c>
      <c r="D10343" s="1" t="s">
        <v>3601</v>
      </c>
      <c r="E10343" s="1" t="s">
        <v>3611</v>
      </c>
      <c r="F10343" s="1" t="s">
        <v>33885</v>
      </c>
      <c r="G10343" s="1" t="s">
        <v>33835</v>
      </c>
      <c r="H10343" s="1" t="s">
        <v>3604</v>
      </c>
      <c r="I10343" s="1" t="s">
        <v>33886</v>
      </c>
      <c r="J10343" s="1" t="s">
        <v>3606</v>
      </c>
      <c r="K10343" s="1" t="s">
        <v>33716</v>
      </c>
      <c r="L10343" s="1"/>
      <c r="M10343" s="1"/>
    </row>
    <row x14ac:dyDescent="0.25" r="10344" customHeight="1" ht="18.75">
      <c r="A10344" s="1" t="s">
        <v>7833</v>
      </c>
      <c r="B10344" s="1" t="s">
        <v>8291</v>
      </c>
      <c r="C10344" s="1" t="s">
        <v>4488</v>
      </c>
      <c r="D10344" s="1" t="s">
        <v>3601</v>
      </c>
      <c r="E10344" s="1" t="s">
        <v>3611</v>
      </c>
      <c r="F10344" s="1" t="s">
        <v>33887</v>
      </c>
      <c r="G10344" s="1" t="s">
        <v>8299</v>
      </c>
      <c r="H10344" s="1" t="s">
        <v>3604</v>
      </c>
      <c r="I10344" s="1" t="s">
        <v>33888</v>
      </c>
      <c r="J10344" s="1" t="s">
        <v>3606</v>
      </c>
      <c r="K10344" s="1" t="s">
        <v>9662</v>
      </c>
      <c r="L10344" s="1"/>
      <c r="M10344" s="1"/>
    </row>
    <row x14ac:dyDescent="0.25" r="10345" customHeight="1" ht="18.75">
      <c r="A10345" s="1" t="s">
        <v>3693</v>
      </c>
      <c r="B10345" s="1" t="s">
        <v>4158</v>
      </c>
      <c r="C10345" s="1" t="s">
        <v>3600</v>
      </c>
      <c r="D10345" s="1" t="s">
        <v>3601</v>
      </c>
      <c r="E10345" s="1" t="s">
        <v>3893</v>
      </c>
      <c r="F10345" s="1" t="s">
        <v>33889</v>
      </c>
      <c r="G10345" s="1" t="s">
        <v>4424</v>
      </c>
      <c r="H10345" s="1" t="s">
        <v>3604</v>
      </c>
      <c r="I10345" s="1" t="s">
        <v>33890</v>
      </c>
      <c r="J10345" s="1" t="s">
        <v>3615</v>
      </c>
      <c r="K10345" s="1" t="s">
        <v>33891</v>
      </c>
      <c r="L10345" s="1"/>
      <c r="M10345" s="1"/>
    </row>
    <row x14ac:dyDescent="0.25" r="10346" customHeight="1" ht="18.75">
      <c r="A10346" s="1" t="s">
        <v>3693</v>
      </c>
      <c r="B10346" s="1" t="s">
        <v>4204</v>
      </c>
      <c r="C10346" s="1" t="s">
        <v>3600</v>
      </c>
      <c r="D10346" s="1" t="s">
        <v>3601</v>
      </c>
      <c r="E10346" s="1" t="s">
        <v>3893</v>
      </c>
      <c r="F10346" s="1" t="s">
        <v>33892</v>
      </c>
      <c r="G10346" s="1" t="s">
        <v>4419</v>
      </c>
      <c r="H10346" s="1" t="s">
        <v>3604</v>
      </c>
      <c r="I10346" s="1" t="s">
        <v>33893</v>
      </c>
      <c r="J10346" s="1" t="s">
        <v>3615</v>
      </c>
      <c r="K10346" s="1" t="s">
        <v>33894</v>
      </c>
      <c r="L10346" s="1"/>
      <c r="M10346" s="1"/>
    </row>
    <row x14ac:dyDescent="0.25" r="10347" customHeight="1" ht="18.75">
      <c r="A10347" s="1" t="s">
        <v>3693</v>
      </c>
      <c r="B10347" s="1" t="s">
        <v>4204</v>
      </c>
      <c r="C10347" s="1" t="s">
        <v>3600</v>
      </c>
      <c r="D10347" s="1" t="s">
        <v>3601</v>
      </c>
      <c r="E10347" s="1" t="s">
        <v>3893</v>
      </c>
      <c r="F10347" s="1" t="s">
        <v>33895</v>
      </c>
      <c r="G10347" s="1" t="s">
        <v>4417</v>
      </c>
      <c r="H10347" s="1" t="s">
        <v>3604</v>
      </c>
      <c r="I10347" s="1" t="s">
        <v>33896</v>
      </c>
      <c r="J10347" s="1" t="s">
        <v>3615</v>
      </c>
      <c r="K10347" s="1" t="s">
        <v>33897</v>
      </c>
      <c r="L10347" s="1"/>
      <c r="M10347" s="1"/>
    </row>
    <row x14ac:dyDescent="0.25" r="10348" customHeight="1" ht="18.75">
      <c r="A10348" s="1" t="s">
        <v>7833</v>
      </c>
      <c r="B10348" s="1" t="s">
        <v>8291</v>
      </c>
      <c r="C10348" s="1" t="s">
        <v>4488</v>
      </c>
      <c r="D10348" s="1" t="s">
        <v>3601</v>
      </c>
      <c r="E10348" s="1" t="s">
        <v>3611</v>
      </c>
      <c r="F10348" s="1" t="s">
        <v>33898</v>
      </c>
      <c r="G10348" s="1" t="s">
        <v>33835</v>
      </c>
      <c r="H10348" s="1" t="s">
        <v>3604</v>
      </c>
      <c r="I10348" s="1" t="s">
        <v>33899</v>
      </c>
      <c r="J10348" s="1" t="s">
        <v>3606</v>
      </c>
      <c r="K10348" s="1" t="s">
        <v>33900</v>
      </c>
      <c r="L10348" s="1"/>
      <c r="M10348" s="1"/>
    </row>
    <row x14ac:dyDescent="0.25" r="10349" customHeight="1" ht="18.75">
      <c r="A10349" s="1" t="s">
        <v>3617</v>
      </c>
      <c r="B10349" s="1" t="s">
        <v>4455</v>
      </c>
      <c r="C10349" s="1" t="s">
        <v>3619</v>
      </c>
      <c r="D10349" s="1" t="s">
        <v>33901</v>
      </c>
      <c r="E10349" s="1" t="s">
        <v>3611</v>
      </c>
      <c r="F10349" s="1" t="s">
        <v>33902</v>
      </c>
      <c r="G10349" s="1" t="s">
        <v>33903</v>
      </c>
      <c r="H10349" s="1" t="s">
        <v>3604</v>
      </c>
      <c r="I10349" s="1" t="s">
        <v>33904</v>
      </c>
      <c r="J10349" s="1" t="s">
        <v>3606</v>
      </c>
      <c r="K10349" s="1" t="s">
        <v>33905</v>
      </c>
      <c r="L10349" s="1"/>
      <c r="M10349" s="1"/>
    </row>
    <row x14ac:dyDescent="0.25" r="10350" customHeight="1" ht="18.75">
      <c r="A10350" s="1" t="s">
        <v>3598</v>
      </c>
      <c r="B10350" s="1" t="s">
        <v>4627</v>
      </c>
      <c r="C10350" s="1" t="s">
        <v>3600</v>
      </c>
      <c r="D10350" s="1" t="s">
        <v>28428</v>
      </c>
      <c r="E10350" s="1" t="s">
        <v>3752</v>
      </c>
      <c r="F10350" s="1" t="s">
        <v>33906</v>
      </c>
      <c r="G10350" s="1" t="s">
        <v>33907</v>
      </c>
      <c r="H10350" s="1" t="s">
        <v>3604</v>
      </c>
      <c r="I10350" s="1" t="s">
        <v>33908</v>
      </c>
      <c r="J10350" s="1" t="s">
        <v>3615</v>
      </c>
      <c r="K10350" s="1" t="s">
        <v>33909</v>
      </c>
      <c r="L10350" s="1"/>
      <c r="M10350" s="1"/>
    </row>
    <row x14ac:dyDescent="0.25" r="10351" customHeight="1" ht="18.75">
      <c r="A10351" s="1" t="s">
        <v>3617</v>
      </c>
      <c r="B10351" s="1" t="s">
        <v>4455</v>
      </c>
      <c r="C10351" s="1" t="s">
        <v>3619</v>
      </c>
      <c r="D10351" s="1" t="s">
        <v>33901</v>
      </c>
      <c r="E10351" s="1" t="s">
        <v>3611</v>
      </c>
      <c r="F10351" s="1" t="s">
        <v>33910</v>
      </c>
      <c r="G10351" s="1" t="s">
        <v>7929</v>
      </c>
      <c r="H10351" s="1" t="s">
        <v>3604</v>
      </c>
      <c r="I10351" s="1" t="s">
        <v>33911</v>
      </c>
      <c r="J10351" s="1" t="s">
        <v>3606</v>
      </c>
      <c r="K10351" s="1" t="s">
        <v>33912</v>
      </c>
      <c r="L10351" s="1"/>
      <c r="M10351" s="1"/>
    </row>
    <row x14ac:dyDescent="0.25" r="10352" customHeight="1" ht="18.75">
      <c r="A10352" s="1" t="s">
        <v>3598</v>
      </c>
      <c r="B10352" s="1" t="s">
        <v>22973</v>
      </c>
      <c r="C10352" s="1" t="s">
        <v>3600</v>
      </c>
      <c r="D10352" s="1" t="s">
        <v>28428</v>
      </c>
      <c r="E10352" s="1" t="s">
        <v>3664</v>
      </c>
      <c r="F10352" s="1" t="s">
        <v>33913</v>
      </c>
      <c r="G10352" s="1" t="s">
        <v>22975</v>
      </c>
      <c r="H10352" s="1" t="s">
        <v>3604</v>
      </c>
      <c r="I10352" s="1" t="s">
        <v>33914</v>
      </c>
      <c r="J10352" s="1" t="s">
        <v>3615</v>
      </c>
      <c r="K10352" s="1" t="s">
        <v>33915</v>
      </c>
      <c r="L10352" s="1"/>
      <c r="M10352" s="1"/>
    </row>
    <row x14ac:dyDescent="0.25" r="10353" customHeight="1" ht="18.75">
      <c r="A10353" s="1" t="s">
        <v>7833</v>
      </c>
      <c r="B10353" s="1" t="s">
        <v>9824</v>
      </c>
      <c r="C10353" s="1" t="s">
        <v>4488</v>
      </c>
      <c r="D10353" s="1" t="s">
        <v>3601</v>
      </c>
      <c r="E10353" s="1" t="s">
        <v>3611</v>
      </c>
      <c r="F10353" s="1" t="s">
        <v>33916</v>
      </c>
      <c r="G10353" s="1" t="s">
        <v>14305</v>
      </c>
      <c r="H10353" s="1" t="s">
        <v>3604</v>
      </c>
      <c r="I10353" s="1" t="s">
        <v>33917</v>
      </c>
      <c r="J10353" s="1" t="s">
        <v>3606</v>
      </c>
      <c r="K10353" s="1" t="s">
        <v>33918</v>
      </c>
      <c r="L10353" s="1"/>
      <c r="M10353" s="1"/>
    </row>
    <row x14ac:dyDescent="0.25" r="10354" customHeight="1" ht="18.75">
      <c r="A10354" s="1" t="s">
        <v>3598</v>
      </c>
      <c r="B10354" s="1" t="s">
        <v>4273</v>
      </c>
      <c r="C10354" s="1" t="s">
        <v>3600</v>
      </c>
      <c r="D10354" s="1" t="s">
        <v>28428</v>
      </c>
      <c r="E10354" s="1" t="s">
        <v>3664</v>
      </c>
      <c r="F10354" s="1" t="s">
        <v>33919</v>
      </c>
      <c r="G10354" s="1" t="s">
        <v>22926</v>
      </c>
      <c r="H10354" s="1" t="s">
        <v>3604</v>
      </c>
      <c r="I10354" s="1" t="s">
        <v>33920</v>
      </c>
      <c r="J10354" s="1" t="s">
        <v>3615</v>
      </c>
      <c r="K10354" s="1" t="s">
        <v>33921</v>
      </c>
      <c r="L10354" s="1"/>
      <c r="M10354" s="1"/>
    </row>
    <row x14ac:dyDescent="0.25" r="10355" customHeight="1" ht="18.75">
      <c r="A10355" s="1" t="s">
        <v>3598</v>
      </c>
      <c r="B10355" s="1" t="s">
        <v>4781</v>
      </c>
      <c r="C10355" s="1" t="s">
        <v>3600</v>
      </c>
      <c r="D10355" s="1" t="s">
        <v>28428</v>
      </c>
      <c r="E10355" s="1" t="s">
        <v>3664</v>
      </c>
      <c r="F10355" s="1" t="s">
        <v>33922</v>
      </c>
      <c r="G10355" s="1" t="s">
        <v>18224</v>
      </c>
      <c r="H10355" s="1" t="s">
        <v>3604</v>
      </c>
      <c r="I10355" s="1" t="s">
        <v>33923</v>
      </c>
      <c r="J10355" s="1" t="s">
        <v>3615</v>
      </c>
      <c r="K10355" s="1" t="s">
        <v>33924</v>
      </c>
      <c r="L10355" s="1"/>
      <c r="M10355" s="1"/>
    </row>
    <row x14ac:dyDescent="0.25" r="10356" customHeight="1" ht="18.75">
      <c r="A10356" s="1" t="s">
        <v>3693</v>
      </c>
      <c r="B10356" s="1" t="s">
        <v>32271</v>
      </c>
      <c r="C10356" s="1" t="s">
        <v>3600</v>
      </c>
      <c r="D10356" s="1" t="s">
        <v>3601</v>
      </c>
      <c r="E10356" s="1" t="s">
        <v>3664</v>
      </c>
      <c r="F10356" s="1" t="s">
        <v>33925</v>
      </c>
      <c r="G10356" s="1" t="s">
        <v>7096</v>
      </c>
      <c r="H10356" s="1" t="s">
        <v>3604</v>
      </c>
      <c r="I10356" s="1" t="s">
        <v>33926</v>
      </c>
      <c r="J10356" s="1" t="s">
        <v>3615</v>
      </c>
      <c r="K10356" s="1" t="s">
        <v>32274</v>
      </c>
      <c r="L10356" s="1"/>
      <c r="M10356" s="1"/>
    </row>
    <row x14ac:dyDescent="0.25" r="10357" customHeight="1" ht="18.75">
      <c r="A10357" s="1" t="s">
        <v>3693</v>
      </c>
      <c r="B10357" s="1" t="s">
        <v>32271</v>
      </c>
      <c r="C10357" s="1" t="s">
        <v>3600</v>
      </c>
      <c r="D10357" s="1" t="s">
        <v>3601</v>
      </c>
      <c r="E10357" s="1" t="s">
        <v>3664</v>
      </c>
      <c r="F10357" s="1" t="s">
        <v>33927</v>
      </c>
      <c r="G10357" s="1" t="s">
        <v>7096</v>
      </c>
      <c r="H10357" s="1" t="s">
        <v>3604</v>
      </c>
      <c r="I10357" s="1" t="s">
        <v>33928</v>
      </c>
      <c r="J10357" s="1" t="s">
        <v>3615</v>
      </c>
      <c r="K10357" s="1" t="s">
        <v>32274</v>
      </c>
      <c r="L10357" s="1"/>
      <c r="M10357" s="1"/>
    </row>
    <row x14ac:dyDescent="0.25" r="10358" customHeight="1" ht="18.75">
      <c r="A10358" s="1" t="s">
        <v>7833</v>
      </c>
      <c r="B10358" s="1" t="s">
        <v>8269</v>
      </c>
      <c r="C10358" s="1" t="s">
        <v>4488</v>
      </c>
      <c r="D10358" s="1" t="s">
        <v>3601</v>
      </c>
      <c r="E10358" s="1" t="s">
        <v>3611</v>
      </c>
      <c r="F10358" s="1" t="s">
        <v>33929</v>
      </c>
      <c r="G10358" s="1" t="s">
        <v>14824</v>
      </c>
      <c r="H10358" s="1" t="s">
        <v>3604</v>
      </c>
      <c r="I10358" s="1" t="s">
        <v>33930</v>
      </c>
      <c r="J10358" s="1" t="s">
        <v>3606</v>
      </c>
      <c r="K10358" s="1" t="s">
        <v>33559</v>
      </c>
      <c r="L10358" s="1"/>
      <c r="M10358" s="1"/>
    </row>
    <row x14ac:dyDescent="0.25" r="10359" customHeight="1" ht="18.75">
      <c r="A10359" s="1" t="s">
        <v>3693</v>
      </c>
      <c r="B10359" s="1" t="s">
        <v>32271</v>
      </c>
      <c r="C10359" s="1" t="s">
        <v>3600</v>
      </c>
      <c r="D10359" s="1" t="s">
        <v>3601</v>
      </c>
      <c r="E10359" s="1" t="s">
        <v>3664</v>
      </c>
      <c r="F10359" s="1" t="s">
        <v>33931</v>
      </c>
      <c r="G10359" s="1" t="s">
        <v>7096</v>
      </c>
      <c r="H10359" s="1" t="s">
        <v>3604</v>
      </c>
      <c r="I10359" s="1" t="s">
        <v>33932</v>
      </c>
      <c r="J10359" s="1" t="s">
        <v>3615</v>
      </c>
      <c r="K10359" s="1" t="s">
        <v>32274</v>
      </c>
      <c r="L10359" s="1"/>
      <c r="M10359" s="1"/>
    </row>
    <row x14ac:dyDescent="0.25" r="10360" customHeight="1" ht="18.75">
      <c r="A10360" s="1" t="s">
        <v>3693</v>
      </c>
      <c r="B10360" s="1" t="s">
        <v>4158</v>
      </c>
      <c r="C10360" s="1" t="s">
        <v>3600</v>
      </c>
      <c r="D10360" s="1" t="s">
        <v>3601</v>
      </c>
      <c r="E10360" s="1" t="s">
        <v>3893</v>
      </c>
      <c r="F10360" s="1" t="s">
        <v>33933</v>
      </c>
      <c r="G10360" s="1" t="s">
        <v>4424</v>
      </c>
      <c r="H10360" s="1" t="s">
        <v>3604</v>
      </c>
      <c r="I10360" s="1" t="s">
        <v>33934</v>
      </c>
      <c r="J10360" s="1" t="s">
        <v>3615</v>
      </c>
      <c r="K10360" s="1" t="s">
        <v>33935</v>
      </c>
      <c r="L10360" s="1"/>
      <c r="M10360" s="1"/>
    </row>
    <row x14ac:dyDescent="0.25" r="10361" customHeight="1" ht="18.75">
      <c r="A10361" s="1" t="s">
        <v>7833</v>
      </c>
      <c r="B10361" s="1" t="s">
        <v>9824</v>
      </c>
      <c r="C10361" s="1" t="s">
        <v>4488</v>
      </c>
      <c r="D10361" s="1" t="s">
        <v>3601</v>
      </c>
      <c r="E10361" s="1" t="s">
        <v>3611</v>
      </c>
      <c r="F10361" s="1" t="s">
        <v>33936</v>
      </c>
      <c r="G10361" s="1" t="s">
        <v>14305</v>
      </c>
      <c r="H10361" s="1" t="s">
        <v>3604</v>
      </c>
      <c r="I10361" s="1" t="s">
        <v>33937</v>
      </c>
      <c r="J10361" s="1" t="s">
        <v>3606</v>
      </c>
      <c r="K10361" s="1" t="s">
        <v>9659</v>
      </c>
      <c r="L10361" s="1"/>
      <c r="M10361" s="1"/>
    </row>
    <row x14ac:dyDescent="0.25" r="10362" customHeight="1" ht="18.75">
      <c r="A10362" s="1" t="s">
        <v>3693</v>
      </c>
      <c r="B10362" s="1" t="s">
        <v>4091</v>
      </c>
      <c r="C10362" s="1" t="s">
        <v>3600</v>
      </c>
      <c r="D10362" s="1" t="s">
        <v>3601</v>
      </c>
      <c r="E10362" s="1" t="s">
        <v>3752</v>
      </c>
      <c r="F10362" s="1" t="s">
        <v>33938</v>
      </c>
      <c r="G10362" s="1" t="s">
        <v>6539</v>
      </c>
      <c r="H10362" s="1" t="s">
        <v>3604</v>
      </c>
      <c r="I10362" s="1" t="s">
        <v>33939</v>
      </c>
      <c r="J10362" s="1" t="s">
        <v>3615</v>
      </c>
      <c r="K10362" s="1" t="s">
        <v>33940</v>
      </c>
      <c r="L10362" s="1"/>
      <c r="M10362" s="1"/>
    </row>
    <row x14ac:dyDescent="0.25" r="10363" customHeight="1" ht="18.75">
      <c r="A10363" s="1" t="s">
        <v>7833</v>
      </c>
      <c r="B10363" s="1" t="s">
        <v>8269</v>
      </c>
      <c r="C10363" s="1" t="s">
        <v>4488</v>
      </c>
      <c r="D10363" s="1" t="s">
        <v>3601</v>
      </c>
      <c r="E10363" s="1" t="s">
        <v>3611</v>
      </c>
      <c r="F10363" s="1" t="s">
        <v>33941</v>
      </c>
      <c r="G10363" s="1" t="s">
        <v>14824</v>
      </c>
      <c r="H10363" s="1" t="s">
        <v>3604</v>
      </c>
      <c r="I10363" s="1" t="s">
        <v>33942</v>
      </c>
      <c r="J10363" s="1" t="s">
        <v>3606</v>
      </c>
      <c r="K10363" s="1" t="s">
        <v>33571</v>
      </c>
      <c r="L10363" s="1"/>
      <c r="M10363" s="1"/>
    </row>
    <row x14ac:dyDescent="0.25" r="10364" customHeight="1" ht="18.75">
      <c r="A10364" s="1" t="s">
        <v>7833</v>
      </c>
      <c r="B10364" s="1" t="s">
        <v>9824</v>
      </c>
      <c r="C10364" s="1" t="s">
        <v>4488</v>
      </c>
      <c r="D10364" s="1" t="s">
        <v>3601</v>
      </c>
      <c r="E10364" s="1" t="s">
        <v>3611</v>
      </c>
      <c r="F10364" s="1" t="s">
        <v>33943</v>
      </c>
      <c r="G10364" s="1" t="s">
        <v>14305</v>
      </c>
      <c r="H10364" s="1" t="s">
        <v>3604</v>
      </c>
      <c r="I10364" s="1" t="s">
        <v>33944</v>
      </c>
      <c r="J10364" s="1" t="s">
        <v>3606</v>
      </c>
      <c r="K10364" s="1" t="s">
        <v>9662</v>
      </c>
      <c r="L10364" s="1"/>
      <c r="M10364" s="1"/>
    </row>
    <row x14ac:dyDescent="0.25" r="10365" customHeight="1" ht="18.75">
      <c r="A10365" s="1" t="s">
        <v>7833</v>
      </c>
      <c r="B10365" s="1" t="s">
        <v>9824</v>
      </c>
      <c r="C10365" s="1" t="s">
        <v>4488</v>
      </c>
      <c r="D10365" s="1" t="s">
        <v>3601</v>
      </c>
      <c r="E10365" s="1" t="s">
        <v>3611</v>
      </c>
      <c r="F10365" s="1" t="s">
        <v>33945</v>
      </c>
      <c r="G10365" s="1" t="s">
        <v>33946</v>
      </c>
      <c r="H10365" s="1" t="s">
        <v>3604</v>
      </c>
      <c r="I10365" s="1" t="s">
        <v>33947</v>
      </c>
      <c r="J10365" s="1" t="s">
        <v>3606</v>
      </c>
      <c r="K10365" s="1" t="s">
        <v>33609</v>
      </c>
      <c r="L10365" s="1"/>
      <c r="M10365" s="1"/>
    </row>
    <row x14ac:dyDescent="0.25" r="10366" customHeight="1" ht="18.75">
      <c r="A10366" s="1" t="s">
        <v>7833</v>
      </c>
      <c r="B10366" s="1" t="s">
        <v>8269</v>
      </c>
      <c r="C10366" s="1" t="s">
        <v>4488</v>
      </c>
      <c r="D10366" s="1" t="s">
        <v>3601</v>
      </c>
      <c r="E10366" s="1" t="s">
        <v>3611</v>
      </c>
      <c r="F10366" s="1" t="s">
        <v>33948</v>
      </c>
      <c r="G10366" s="1" t="s">
        <v>14824</v>
      </c>
      <c r="H10366" s="1" t="s">
        <v>3604</v>
      </c>
      <c r="I10366" s="1" t="s">
        <v>33949</v>
      </c>
      <c r="J10366" s="1" t="s">
        <v>3606</v>
      </c>
      <c r="K10366" s="1" t="s">
        <v>33900</v>
      </c>
      <c r="L10366" s="1"/>
      <c r="M10366" s="1"/>
    </row>
    <row x14ac:dyDescent="0.25" r="10367" customHeight="1" ht="18.75">
      <c r="A10367" s="1" t="s">
        <v>7833</v>
      </c>
      <c r="B10367" s="1" t="s">
        <v>9824</v>
      </c>
      <c r="C10367" s="1" t="s">
        <v>4488</v>
      </c>
      <c r="D10367" s="1" t="s">
        <v>3601</v>
      </c>
      <c r="E10367" s="1" t="s">
        <v>3611</v>
      </c>
      <c r="F10367" s="1" t="s">
        <v>33950</v>
      </c>
      <c r="G10367" s="1" t="s">
        <v>14305</v>
      </c>
      <c r="H10367" s="1" t="s">
        <v>3604</v>
      </c>
      <c r="I10367" s="1" t="s">
        <v>33951</v>
      </c>
      <c r="J10367" s="1" t="s">
        <v>3606</v>
      </c>
      <c r="K10367" s="1" t="s">
        <v>33900</v>
      </c>
      <c r="L10367" s="1"/>
      <c r="M10367" s="1"/>
    </row>
    <row x14ac:dyDescent="0.25" r="10368" customHeight="1" ht="18.75">
      <c r="A10368" s="1" t="s">
        <v>7833</v>
      </c>
      <c r="B10368" s="1" t="s">
        <v>9824</v>
      </c>
      <c r="C10368" s="1" t="s">
        <v>4488</v>
      </c>
      <c r="D10368" s="1" t="s">
        <v>3601</v>
      </c>
      <c r="E10368" s="1" t="s">
        <v>3611</v>
      </c>
      <c r="F10368" s="1" t="s">
        <v>33952</v>
      </c>
      <c r="G10368" s="1" t="s">
        <v>33946</v>
      </c>
      <c r="H10368" s="1" t="s">
        <v>3604</v>
      </c>
      <c r="I10368" s="1" t="s">
        <v>33953</v>
      </c>
      <c r="J10368" s="1" t="s">
        <v>3606</v>
      </c>
      <c r="K10368" s="1" t="s">
        <v>33559</v>
      </c>
      <c r="L10368" s="1"/>
      <c r="M10368" s="1"/>
    </row>
    <row x14ac:dyDescent="0.25" r="10369" customHeight="1" ht="18.75">
      <c r="A10369" s="1" t="s">
        <v>7833</v>
      </c>
      <c r="B10369" s="1" t="s">
        <v>8269</v>
      </c>
      <c r="C10369" s="1" t="s">
        <v>4488</v>
      </c>
      <c r="D10369" s="1" t="s">
        <v>3601</v>
      </c>
      <c r="E10369" s="1" t="s">
        <v>3611</v>
      </c>
      <c r="F10369" s="1" t="s">
        <v>33954</v>
      </c>
      <c r="G10369" s="1" t="s">
        <v>14824</v>
      </c>
      <c r="H10369" s="1" t="s">
        <v>3604</v>
      </c>
      <c r="I10369" s="1" t="s">
        <v>33955</v>
      </c>
      <c r="J10369" s="1" t="s">
        <v>3606</v>
      </c>
      <c r="K10369" s="1" t="s">
        <v>33956</v>
      </c>
      <c r="L10369" s="1"/>
      <c r="M10369" s="1"/>
    </row>
    <row x14ac:dyDescent="0.25" r="10370" customHeight="1" ht="18.75">
      <c r="A10370" s="1" t="s">
        <v>3693</v>
      </c>
      <c r="B10370" s="1" t="s">
        <v>32271</v>
      </c>
      <c r="C10370" s="1" t="s">
        <v>3600</v>
      </c>
      <c r="D10370" s="1" t="s">
        <v>3601</v>
      </c>
      <c r="E10370" s="1" t="s">
        <v>3664</v>
      </c>
      <c r="F10370" s="1" t="s">
        <v>33957</v>
      </c>
      <c r="G10370" s="1" t="s">
        <v>7096</v>
      </c>
      <c r="H10370" s="1" t="s">
        <v>3604</v>
      </c>
      <c r="I10370" s="1" t="s">
        <v>33958</v>
      </c>
      <c r="J10370" s="1" t="s">
        <v>3615</v>
      </c>
      <c r="K10370" s="1" t="s">
        <v>32274</v>
      </c>
      <c r="L10370" s="1"/>
      <c r="M10370" s="1"/>
    </row>
    <row x14ac:dyDescent="0.25" r="10371" customHeight="1" ht="18.75">
      <c r="A10371" s="1" t="s">
        <v>7833</v>
      </c>
      <c r="B10371" s="1" t="s">
        <v>9824</v>
      </c>
      <c r="C10371" s="1" t="s">
        <v>4488</v>
      </c>
      <c r="D10371" s="1" t="s">
        <v>3601</v>
      </c>
      <c r="E10371" s="1" t="s">
        <v>3611</v>
      </c>
      <c r="F10371" s="1" t="s">
        <v>33959</v>
      </c>
      <c r="G10371" s="1" t="s">
        <v>33946</v>
      </c>
      <c r="H10371" s="1" t="s">
        <v>3604</v>
      </c>
      <c r="I10371" s="1" t="s">
        <v>33960</v>
      </c>
      <c r="J10371" s="1" t="s">
        <v>3606</v>
      </c>
      <c r="K10371" s="1" t="s">
        <v>33571</v>
      </c>
      <c r="L10371" s="1"/>
      <c r="M10371" s="1"/>
    </row>
    <row x14ac:dyDescent="0.25" r="10372" customHeight="1" ht="18.75">
      <c r="A10372" s="1" t="s">
        <v>7833</v>
      </c>
      <c r="B10372" s="1" t="s">
        <v>7861</v>
      </c>
      <c r="C10372" s="1" t="s">
        <v>4488</v>
      </c>
      <c r="D10372" s="1" t="s">
        <v>7891</v>
      </c>
      <c r="E10372" s="1" t="s">
        <v>3664</v>
      </c>
      <c r="F10372" s="1" t="s">
        <v>33961</v>
      </c>
      <c r="G10372" s="1" t="s">
        <v>31352</v>
      </c>
      <c r="H10372" s="1" t="s">
        <v>3604</v>
      </c>
      <c r="I10372" s="1" t="s">
        <v>33962</v>
      </c>
      <c r="J10372" s="1" t="s">
        <v>3606</v>
      </c>
      <c r="K10372" s="1" t="s">
        <v>26277</v>
      </c>
      <c r="L10372" s="1"/>
      <c r="M10372" s="1"/>
    </row>
    <row x14ac:dyDescent="0.25" r="10373" customHeight="1" ht="18.75">
      <c r="A10373" s="1" t="s">
        <v>7833</v>
      </c>
      <c r="B10373" s="1" t="s">
        <v>9824</v>
      </c>
      <c r="C10373" s="1" t="s">
        <v>4488</v>
      </c>
      <c r="D10373" s="1" t="s">
        <v>3601</v>
      </c>
      <c r="E10373" s="1" t="s">
        <v>3611</v>
      </c>
      <c r="F10373" s="1" t="s">
        <v>33963</v>
      </c>
      <c r="G10373" s="1" t="s">
        <v>33946</v>
      </c>
      <c r="H10373" s="1" t="s">
        <v>3604</v>
      </c>
      <c r="I10373" s="1" t="s">
        <v>33964</v>
      </c>
      <c r="J10373" s="1" t="s">
        <v>3606</v>
      </c>
      <c r="K10373" s="1" t="s">
        <v>33559</v>
      </c>
      <c r="L10373" s="1"/>
      <c r="M10373" s="1"/>
    </row>
    <row x14ac:dyDescent="0.25" r="10374" customHeight="1" ht="18.75">
      <c r="A10374" s="1" t="s">
        <v>3693</v>
      </c>
      <c r="B10374" s="1" t="s">
        <v>32271</v>
      </c>
      <c r="C10374" s="1" t="s">
        <v>3600</v>
      </c>
      <c r="D10374" s="1" t="s">
        <v>3601</v>
      </c>
      <c r="E10374" s="1" t="s">
        <v>3664</v>
      </c>
      <c r="F10374" s="1" t="s">
        <v>33965</v>
      </c>
      <c r="G10374" s="1" t="s">
        <v>7096</v>
      </c>
      <c r="H10374" s="1" t="s">
        <v>3604</v>
      </c>
      <c r="I10374" s="1" t="s">
        <v>33966</v>
      </c>
      <c r="J10374" s="1" t="s">
        <v>3615</v>
      </c>
      <c r="K10374" s="1" t="s">
        <v>32274</v>
      </c>
      <c r="L10374" s="1"/>
      <c r="M10374" s="1"/>
    </row>
    <row x14ac:dyDescent="0.25" r="10375" customHeight="1" ht="18.75">
      <c r="A10375" s="1" t="s">
        <v>7833</v>
      </c>
      <c r="B10375" s="1" t="s">
        <v>9824</v>
      </c>
      <c r="C10375" s="1" t="s">
        <v>4488</v>
      </c>
      <c r="D10375" s="1" t="s">
        <v>3601</v>
      </c>
      <c r="E10375" s="1" t="s">
        <v>3611</v>
      </c>
      <c r="F10375" s="1" t="s">
        <v>33967</v>
      </c>
      <c r="G10375" s="1" t="s">
        <v>33946</v>
      </c>
      <c r="H10375" s="1" t="s">
        <v>3604</v>
      </c>
      <c r="I10375" s="1" t="s">
        <v>33968</v>
      </c>
      <c r="J10375" s="1" t="s">
        <v>3606</v>
      </c>
      <c r="K10375" s="1" t="s">
        <v>33571</v>
      </c>
      <c r="L10375" s="1"/>
      <c r="M10375" s="1"/>
    </row>
    <row x14ac:dyDescent="0.25" r="10376" customHeight="1" ht="18.75">
      <c r="A10376" s="1" t="s">
        <v>7833</v>
      </c>
      <c r="B10376" s="1" t="s">
        <v>9824</v>
      </c>
      <c r="C10376" s="1" t="s">
        <v>4488</v>
      </c>
      <c r="D10376" s="1" t="s">
        <v>3601</v>
      </c>
      <c r="E10376" s="1" t="s">
        <v>3611</v>
      </c>
      <c r="F10376" s="1" t="s">
        <v>33969</v>
      </c>
      <c r="G10376" s="1" t="s">
        <v>14305</v>
      </c>
      <c r="H10376" s="1" t="s">
        <v>3604</v>
      </c>
      <c r="I10376" s="1" t="s">
        <v>33970</v>
      </c>
      <c r="J10376" s="1" t="s">
        <v>3606</v>
      </c>
      <c r="K10376" s="1" t="s">
        <v>33559</v>
      </c>
      <c r="L10376" s="1"/>
      <c r="M10376" s="1"/>
    </row>
    <row x14ac:dyDescent="0.25" r="10377" customHeight="1" ht="18.75">
      <c r="A10377" s="1" t="s">
        <v>7833</v>
      </c>
      <c r="B10377" s="1" t="s">
        <v>8269</v>
      </c>
      <c r="C10377" s="1" t="s">
        <v>4488</v>
      </c>
      <c r="D10377" s="1" t="s">
        <v>3601</v>
      </c>
      <c r="E10377" s="1" t="s">
        <v>3611</v>
      </c>
      <c r="F10377" s="1" t="s">
        <v>33971</v>
      </c>
      <c r="G10377" s="1" t="s">
        <v>14824</v>
      </c>
      <c r="H10377" s="1" t="s">
        <v>3604</v>
      </c>
      <c r="I10377" s="1" t="s">
        <v>33972</v>
      </c>
      <c r="J10377" s="1" t="s">
        <v>3606</v>
      </c>
      <c r="K10377" s="1" t="s">
        <v>33973</v>
      </c>
      <c r="L10377" s="1"/>
      <c r="M10377" s="1"/>
    </row>
    <row x14ac:dyDescent="0.25" r="10378" customHeight="1" ht="18.75">
      <c r="A10378" s="1" t="s">
        <v>3598</v>
      </c>
      <c r="B10378" s="1" t="s">
        <v>15397</v>
      </c>
      <c r="C10378" s="1" t="s">
        <v>3600</v>
      </c>
      <c r="D10378" s="1" t="s">
        <v>28428</v>
      </c>
      <c r="E10378" s="1" t="s">
        <v>3664</v>
      </c>
      <c r="F10378" s="1" t="s">
        <v>33974</v>
      </c>
      <c r="G10378" s="1" t="s">
        <v>18077</v>
      </c>
      <c r="H10378" s="1" t="s">
        <v>3604</v>
      </c>
      <c r="I10378" s="1" t="s">
        <v>33975</v>
      </c>
      <c r="J10378" s="1" t="s">
        <v>3615</v>
      </c>
      <c r="K10378" s="1" t="s">
        <v>33976</v>
      </c>
      <c r="L10378" s="1"/>
      <c r="M10378" s="1"/>
    </row>
    <row x14ac:dyDescent="0.25" r="10379" customHeight="1" ht="18.75">
      <c r="A10379" s="1" t="s">
        <v>7833</v>
      </c>
      <c r="B10379" s="1" t="s">
        <v>9824</v>
      </c>
      <c r="C10379" s="1" t="s">
        <v>4488</v>
      </c>
      <c r="D10379" s="1" t="s">
        <v>3601</v>
      </c>
      <c r="E10379" s="1" t="s">
        <v>3611</v>
      </c>
      <c r="F10379" s="1" t="s">
        <v>33977</v>
      </c>
      <c r="G10379" s="1" t="s">
        <v>33946</v>
      </c>
      <c r="H10379" s="1" t="s">
        <v>3604</v>
      </c>
      <c r="I10379" s="1" t="s">
        <v>33978</v>
      </c>
      <c r="J10379" s="1" t="s">
        <v>3606</v>
      </c>
      <c r="K10379" s="1" t="s">
        <v>33665</v>
      </c>
      <c r="L10379" s="1"/>
      <c r="M10379" s="1"/>
    </row>
    <row x14ac:dyDescent="0.25" r="10380" customHeight="1" ht="18.75">
      <c r="A10380" s="1" t="s">
        <v>3598</v>
      </c>
      <c r="B10380" s="1" t="s">
        <v>6728</v>
      </c>
      <c r="C10380" s="1" t="s">
        <v>3600</v>
      </c>
      <c r="D10380" s="1" t="s">
        <v>28428</v>
      </c>
      <c r="E10380" s="1" t="s">
        <v>3893</v>
      </c>
      <c r="F10380" s="1" t="s">
        <v>33979</v>
      </c>
      <c r="G10380" s="1" t="s">
        <v>15942</v>
      </c>
      <c r="H10380" s="1" t="s">
        <v>3604</v>
      </c>
      <c r="I10380" s="1" t="s">
        <v>33980</v>
      </c>
      <c r="J10380" s="1" t="s">
        <v>3615</v>
      </c>
      <c r="K10380" s="1" t="s">
        <v>33981</v>
      </c>
      <c r="L10380" s="1"/>
      <c r="M10380" s="1"/>
    </row>
    <row x14ac:dyDescent="0.25" r="10381" customHeight="1" ht="18.75">
      <c r="A10381" s="1" t="s">
        <v>7833</v>
      </c>
      <c r="B10381" s="1" t="s">
        <v>8269</v>
      </c>
      <c r="C10381" s="1" t="s">
        <v>4488</v>
      </c>
      <c r="D10381" s="1" t="s">
        <v>3601</v>
      </c>
      <c r="E10381" s="1" t="s">
        <v>3611</v>
      </c>
      <c r="F10381" s="1" t="s">
        <v>33982</v>
      </c>
      <c r="G10381" s="1" t="s">
        <v>14824</v>
      </c>
      <c r="H10381" s="1" t="s">
        <v>3604</v>
      </c>
      <c r="I10381" s="1" t="s">
        <v>33983</v>
      </c>
      <c r="J10381" s="1" t="s">
        <v>3606</v>
      </c>
      <c r="K10381" s="1" t="s">
        <v>33984</v>
      </c>
      <c r="L10381" s="1"/>
      <c r="M10381" s="1"/>
    </row>
    <row x14ac:dyDescent="0.25" r="10382" customHeight="1" ht="18.75">
      <c r="A10382" s="1" t="s">
        <v>7833</v>
      </c>
      <c r="B10382" s="1" t="s">
        <v>9824</v>
      </c>
      <c r="C10382" s="1" t="s">
        <v>4488</v>
      </c>
      <c r="D10382" s="1" t="s">
        <v>3601</v>
      </c>
      <c r="E10382" s="1" t="s">
        <v>3611</v>
      </c>
      <c r="F10382" s="1" t="s">
        <v>33985</v>
      </c>
      <c r="G10382" s="1" t="s">
        <v>14305</v>
      </c>
      <c r="H10382" s="1" t="s">
        <v>3604</v>
      </c>
      <c r="I10382" s="1" t="s">
        <v>33986</v>
      </c>
      <c r="J10382" s="1" t="s">
        <v>3606</v>
      </c>
      <c r="K10382" s="1" t="s">
        <v>33508</v>
      </c>
      <c r="L10382" s="1"/>
      <c r="M10382" s="1"/>
    </row>
    <row x14ac:dyDescent="0.25" r="10383" customHeight="1" ht="18.75">
      <c r="A10383" s="1" t="s">
        <v>3598</v>
      </c>
      <c r="B10383" s="1" t="s">
        <v>3609</v>
      </c>
      <c r="C10383" s="1" t="s">
        <v>3600</v>
      </c>
      <c r="D10383" s="1" t="s">
        <v>28428</v>
      </c>
      <c r="E10383" s="1" t="s">
        <v>3752</v>
      </c>
      <c r="F10383" s="1" t="s">
        <v>33987</v>
      </c>
      <c r="G10383" s="1" t="s">
        <v>33988</v>
      </c>
      <c r="H10383" s="1" t="s">
        <v>3604</v>
      </c>
      <c r="I10383" s="1" t="s">
        <v>33989</v>
      </c>
      <c r="J10383" s="1" t="s">
        <v>3615</v>
      </c>
      <c r="K10383" s="1" t="s">
        <v>33990</v>
      </c>
      <c r="L10383" s="1"/>
      <c r="M10383" s="1"/>
    </row>
    <row x14ac:dyDescent="0.25" r="10384" customHeight="1" ht="18.75">
      <c r="A10384" s="1" t="s">
        <v>7833</v>
      </c>
      <c r="B10384" s="1" t="s">
        <v>8269</v>
      </c>
      <c r="C10384" s="1" t="s">
        <v>4488</v>
      </c>
      <c r="D10384" s="1" t="s">
        <v>3601</v>
      </c>
      <c r="E10384" s="1" t="s">
        <v>3611</v>
      </c>
      <c r="F10384" s="1" t="s">
        <v>33991</v>
      </c>
      <c r="G10384" s="1" t="s">
        <v>14824</v>
      </c>
      <c r="H10384" s="1" t="s">
        <v>3604</v>
      </c>
      <c r="I10384" s="1" t="s">
        <v>33992</v>
      </c>
      <c r="J10384" s="1" t="s">
        <v>3606</v>
      </c>
      <c r="K10384" s="1" t="s">
        <v>33692</v>
      </c>
      <c r="L10384" s="1"/>
      <c r="M10384" s="1"/>
    </row>
    <row x14ac:dyDescent="0.25" r="10385" customHeight="1" ht="18.75">
      <c r="A10385" s="1" t="s">
        <v>3598</v>
      </c>
      <c r="B10385" s="1" t="s">
        <v>9273</v>
      </c>
      <c r="C10385" s="1" t="s">
        <v>3600</v>
      </c>
      <c r="D10385" s="1" t="s">
        <v>28428</v>
      </c>
      <c r="E10385" s="1" t="s">
        <v>3664</v>
      </c>
      <c r="F10385" s="1" t="s">
        <v>33993</v>
      </c>
      <c r="G10385" s="1" t="s">
        <v>9275</v>
      </c>
      <c r="H10385" s="1" t="s">
        <v>3604</v>
      </c>
      <c r="I10385" s="1" t="s">
        <v>33994</v>
      </c>
      <c r="J10385" s="1" t="s">
        <v>3615</v>
      </c>
      <c r="K10385" s="1" t="s">
        <v>33995</v>
      </c>
      <c r="L10385" s="1"/>
      <c r="M10385" s="1"/>
    </row>
    <row x14ac:dyDescent="0.25" r="10386" customHeight="1" ht="18.75">
      <c r="A10386" s="1" t="s">
        <v>7833</v>
      </c>
      <c r="B10386" s="1" t="s">
        <v>8269</v>
      </c>
      <c r="C10386" s="1" t="s">
        <v>4488</v>
      </c>
      <c r="D10386" s="1" t="s">
        <v>3601</v>
      </c>
      <c r="E10386" s="1" t="s">
        <v>3611</v>
      </c>
      <c r="F10386" s="1" t="s">
        <v>33996</v>
      </c>
      <c r="G10386" s="1" t="s">
        <v>14824</v>
      </c>
      <c r="H10386" s="1" t="s">
        <v>3604</v>
      </c>
      <c r="I10386" s="1" t="s">
        <v>33997</v>
      </c>
      <c r="J10386" s="1" t="s">
        <v>3606</v>
      </c>
      <c r="K10386" s="1" t="s">
        <v>33998</v>
      </c>
      <c r="L10386" s="1"/>
      <c r="M10386" s="1"/>
    </row>
    <row x14ac:dyDescent="0.25" r="10387" customHeight="1" ht="18.75">
      <c r="A10387" s="1" t="s">
        <v>7833</v>
      </c>
      <c r="B10387" s="1" t="s">
        <v>9824</v>
      </c>
      <c r="C10387" s="1" t="s">
        <v>4488</v>
      </c>
      <c r="D10387" s="1" t="s">
        <v>3601</v>
      </c>
      <c r="E10387" s="1" t="s">
        <v>3611</v>
      </c>
      <c r="F10387" s="1" t="s">
        <v>33999</v>
      </c>
      <c r="G10387" s="1" t="s">
        <v>14305</v>
      </c>
      <c r="H10387" s="1" t="s">
        <v>3604</v>
      </c>
      <c r="I10387" s="1" t="s">
        <v>34000</v>
      </c>
      <c r="J10387" s="1" t="s">
        <v>3606</v>
      </c>
      <c r="K10387" s="1" t="s">
        <v>33518</v>
      </c>
      <c r="L10387" s="1"/>
      <c r="M10387" s="1"/>
    </row>
    <row x14ac:dyDescent="0.25" r="10388" customHeight="1" ht="18.75">
      <c r="A10388" s="1" t="s">
        <v>3598</v>
      </c>
      <c r="B10388" s="1" t="s">
        <v>9012</v>
      </c>
      <c r="C10388" s="1" t="s">
        <v>3600</v>
      </c>
      <c r="D10388" s="1" t="s">
        <v>28428</v>
      </c>
      <c r="E10388" s="1" t="s">
        <v>3893</v>
      </c>
      <c r="F10388" s="1" t="s">
        <v>34001</v>
      </c>
      <c r="G10388" s="1" t="s">
        <v>9014</v>
      </c>
      <c r="H10388" s="1" t="s">
        <v>3604</v>
      </c>
      <c r="I10388" s="1" t="s">
        <v>34002</v>
      </c>
      <c r="J10388" s="1" t="s">
        <v>3615</v>
      </c>
      <c r="K10388" s="1" t="s">
        <v>34003</v>
      </c>
      <c r="L10388" s="1"/>
      <c r="M10388" s="1"/>
    </row>
    <row x14ac:dyDescent="0.25" r="10389" customHeight="1" ht="18.75">
      <c r="A10389" s="1" t="s">
        <v>7833</v>
      </c>
      <c r="B10389" s="1" t="s">
        <v>8269</v>
      </c>
      <c r="C10389" s="1" t="s">
        <v>4488</v>
      </c>
      <c r="D10389" s="1" t="s">
        <v>3601</v>
      </c>
      <c r="E10389" s="1" t="s">
        <v>3611</v>
      </c>
      <c r="F10389" s="1" t="s">
        <v>34004</v>
      </c>
      <c r="G10389" s="1" t="s">
        <v>14824</v>
      </c>
      <c r="H10389" s="1" t="s">
        <v>3604</v>
      </c>
      <c r="I10389" s="1" t="s">
        <v>34005</v>
      </c>
      <c r="J10389" s="1" t="s">
        <v>3606</v>
      </c>
      <c r="K10389" s="1" t="s">
        <v>34006</v>
      </c>
      <c r="L10389" s="1"/>
      <c r="M10389" s="1"/>
    </row>
    <row x14ac:dyDescent="0.25" r="10390" customHeight="1" ht="18.75">
      <c r="A10390" s="1" t="s">
        <v>3598</v>
      </c>
      <c r="B10390" s="1" t="s">
        <v>34007</v>
      </c>
      <c r="C10390" s="1" t="s">
        <v>3600</v>
      </c>
      <c r="D10390" s="1" t="s">
        <v>28428</v>
      </c>
      <c r="E10390" s="1" t="s">
        <v>3664</v>
      </c>
      <c r="F10390" s="1" t="s">
        <v>34008</v>
      </c>
      <c r="G10390" s="1" t="s">
        <v>29503</v>
      </c>
      <c r="H10390" s="1" t="s">
        <v>3604</v>
      </c>
      <c r="I10390" s="1" t="s">
        <v>34009</v>
      </c>
      <c r="J10390" s="1" t="s">
        <v>3615</v>
      </c>
      <c r="K10390" s="1" t="s">
        <v>34010</v>
      </c>
      <c r="L10390" s="1"/>
      <c r="M10390" s="1"/>
    </row>
    <row x14ac:dyDescent="0.25" r="10391" customHeight="1" ht="18.75">
      <c r="A10391" s="1" t="s">
        <v>7833</v>
      </c>
      <c r="B10391" s="1" t="s">
        <v>8269</v>
      </c>
      <c r="C10391" s="1" t="s">
        <v>4488</v>
      </c>
      <c r="D10391" s="1" t="s">
        <v>3601</v>
      </c>
      <c r="E10391" s="1" t="s">
        <v>3611</v>
      </c>
      <c r="F10391" s="1" t="s">
        <v>34011</v>
      </c>
      <c r="G10391" s="1" t="s">
        <v>14824</v>
      </c>
      <c r="H10391" s="1" t="s">
        <v>3604</v>
      </c>
      <c r="I10391" s="1" t="s">
        <v>34012</v>
      </c>
      <c r="J10391" s="1" t="s">
        <v>3606</v>
      </c>
      <c r="K10391" s="1" t="s">
        <v>33676</v>
      </c>
      <c r="L10391" s="1"/>
      <c r="M10391" s="1"/>
    </row>
    <row x14ac:dyDescent="0.25" r="10392" customHeight="1" ht="18.75">
      <c r="A10392" s="1" t="s">
        <v>7833</v>
      </c>
      <c r="B10392" s="1" t="s">
        <v>8269</v>
      </c>
      <c r="C10392" s="1" t="s">
        <v>4488</v>
      </c>
      <c r="D10392" s="1" t="s">
        <v>3601</v>
      </c>
      <c r="E10392" s="1" t="s">
        <v>3611</v>
      </c>
      <c r="F10392" s="1" t="s">
        <v>34013</v>
      </c>
      <c r="G10392" s="1" t="s">
        <v>14824</v>
      </c>
      <c r="H10392" s="1" t="s">
        <v>3604</v>
      </c>
      <c r="I10392" s="1" t="s">
        <v>34014</v>
      </c>
      <c r="J10392" s="1" t="s">
        <v>3606</v>
      </c>
      <c r="K10392" s="1" t="s">
        <v>33665</v>
      </c>
      <c r="L10392" s="1"/>
      <c r="M10392" s="1"/>
    </row>
    <row x14ac:dyDescent="0.25" r="10393" customHeight="1" ht="18.75">
      <c r="A10393" s="1" t="s">
        <v>3693</v>
      </c>
      <c r="B10393" s="1" t="s">
        <v>32271</v>
      </c>
      <c r="C10393" s="1" t="s">
        <v>3600</v>
      </c>
      <c r="D10393" s="1" t="s">
        <v>3601</v>
      </c>
      <c r="E10393" s="1" t="s">
        <v>3664</v>
      </c>
      <c r="F10393" s="1" t="s">
        <v>34015</v>
      </c>
      <c r="G10393" s="1" t="s">
        <v>7096</v>
      </c>
      <c r="H10393" s="1" t="s">
        <v>3604</v>
      </c>
      <c r="I10393" s="1" t="s">
        <v>34016</v>
      </c>
      <c r="J10393" s="1" t="s">
        <v>3615</v>
      </c>
      <c r="K10393" s="1" t="s">
        <v>32274</v>
      </c>
      <c r="L10393" s="1"/>
      <c r="M10393" s="1"/>
    </row>
    <row x14ac:dyDescent="0.25" r="10394" customHeight="1" ht="18.75">
      <c r="A10394" s="1" t="s">
        <v>7833</v>
      </c>
      <c r="B10394" s="1" t="s">
        <v>8269</v>
      </c>
      <c r="C10394" s="1" t="s">
        <v>4488</v>
      </c>
      <c r="D10394" s="1" t="s">
        <v>3601</v>
      </c>
      <c r="E10394" s="1" t="s">
        <v>3611</v>
      </c>
      <c r="F10394" s="1" t="s">
        <v>34017</v>
      </c>
      <c r="G10394" s="1" t="s">
        <v>14824</v>
      </c>
      <c r="H10394" s="1" t="s">
        <v>3604</v>
      </c>
      <c r="I10394" s="1" t="s">
        <v>34018</v>
      </c>
      <c r="J10394" s="1" t="s">
        <v>3606</v>
      </c>
      <c r="K10394" s="1" t="s">
        <v>34019</v>
      </c>
      <c r="L10394" s="1"/>
      <c r="M10394" s="1"/>
    </row>
    <row x14ac:dyDescent="0.25" r="10395" customHeight="1" ht="18.75">
      <c r="A10395" s="1" t="s">
        <v>7833</v>
      </c>
      <c r="B10395" s="1" t="s">
        <v>8269</v>
      </c>
      <c r="C10395" s="1" t="s">
        <v>4488</v>
      </c>
      <c r="D10395" s="1" t="s">
        <v>3601</v>
      </c>
      <c r="E10395" s="1" t="s">
        <v>3611</v>
      </c>
      <c r="F10395" s="1" t="s">
        <v>34020</v>
      </c>
      <c r="G10395" s="1" t="s">
        <v>14824</v>
      </c>
      <c r="H10395" s="1" t="s">
        <v>3604</v>
      </c>
      <c r="I10395" s="1" t="s">
        <v>34021</v>
      </c>
      <c r="J10395" s="1" t="s">
        <v>3606</v>
      </c>
      <c r="K10395" s="1" t="s">
        <v>34022</v>
      </c>
      <c r="L10395" s="1"/>
      <c r="M10395" s="1"/>
    </row>
    <row x14ac:dyDescent="0.25" r="10396" customHeight="1" ht="18.75">
      <c r="A10396" s="1" t="s">
        <v>7833</v>
      </c>
      <c r="B10396" s="1" t="s">
        <v>8269</v>
      </c>
      <c r="C10396" s="1" t="s">
        <v>4488</v>
      </c>
      <c r="D10396" s="1" t="s">
        <v>3601</v>
      </c>
      <c r="E10396" s="1" t="s">
        <v>3611</v>
      </c>
      <c r="F10396" s="1" t="s">
        <v>34023</v>
      </c>
      <c r="G10396" s="1" t="s">
        <v>14824</v>
      </c>
      <c r="H10396" s="1" t="s">
        <v>3604</v>
      </c>
      <c r="I10396" s="1" t="s">
        <v>34024</v>
      </c>
      <c r="J10396" s="1" t="s">
        <v>3606</v>
      </c>
      <c r="K10396" s="1" t="s">
        <v>34025</v>
      </c>
      <c r="L10396" s="1"/>
      <c r="M10396" s="1"/>
    </row>
    <row x14ac:dyDescent="0.25" r="10397" customHeight="1" ht="18.75">
      <c r="A10397" s="1" t="s">
        <v>7833</v>
      </c>
      <c r="B10397" s="1" t="s">
        <v>8269</v>
      </c>
      <c r="C10397" s="1" t="s">
        <v>4488</v>
      </c>
      <c r="D10397" s="1" t="s">
        <v>3601</v>
      </c>
      <c r="E10397" s="1" t="s">
        <v>3611</v>
      </c>
      <c r="F10397" s="1" t="s">
        <v>34026</v>
      </c>
      <c r="G10397" s="1" t="s">
        <v>14824</v>
      </c>
      <c r="H10397" s="1" t="s">
        <v>3604</v>
      </c>
      <c r="I10397" s="1" t="s">
        <v>34027</v>
      </c>
      <c r="J10397" s="1" t="s">
        <v>3606</v>
      </c>
      <c r="K10397" s="1" t="s">
        <v>34028</v>
      </c>
      <c r="L10397" s="1"/>
      <c r="M10397" s="1"/>
    </row>
    <row x14ac:dyDescent="0.25" r="10398" customHeight="1" ht="18.75">
      <c r="A10398" s="1" t="s">
        <v>7833</v>
      </c>
      <c r="B10398" s="1" t="s">
        <v>8269</v>
      </c>
      <c r="C10398" s="1" t="s">
        <v>4488</v>
      </c>
      <c r="D10398" s="1" t="s">
        <v>3601</v>
      </c>
      <c r="E10398" s="1" t="s">
        <v>3611</v>
      </c>
      <c r="F10398" s="1" t="s">
        <v>34029</v>
      </c>
      <c r="G10398" s="1" t="s">
        <v>14824</v>
      </c>
      <c r="H10398" s="1" t="s">
        <v>3604</v>
      </c>
      <c r="I10398" s="1" t="s">
        <v>34030</v>
      </c>
      <c r="J10398" s="1" t="s">
        <v>3606</v>
      </c>
      <c r="K10398" s="1" t="s">
        <v>34031</v>
      </c>
      <c r="L10398" s="1"/>
      <c r="M10398" s="1"/>
    </row>
    <row x14ac:dyDescent="0.25" r="10399" customHeight="1" ht="18.75">
      <c r="A10399" s="1" t="s">
        <v>3617</v>
      </c>
      <c r="B10399" s="1" t="s">
        <v>4417</v>
      </c>
      <c r="C10399" s="1" t="s">
        <v>3600</v>
      </c>
      <c r="D10399" s="1" t="s">
        <v>14146</v>
      </c>
      <c r="E10399" s="1" t="s">
        <v>3893</v>
      </c>
      <c r="F10399" s="1" t="s">
        <v>34032</v>
      </c>
      <c r="G10399" s="1" t="s">
        <v>4417</v>
      </c>
      <c r="H10399" s="1" t="s">
        <v>3604</v>
      </c>
      <c r="I10399" s="1" t="s">
        <v>34033</v>
      </c>
      <c r="J10399" s="1" t="s">
        <v>3606</v>
      </c>
      <c r="K10399" s="1" t="s">
        <v>34034</v>
      </c>
      <c r="L10399" s="1"/>
      <c r="M10399" s="1"/>
    </row>
    <row x14ac:dyDescent="0.25" r="10400" customHeight="1" ht="18.75">
      <c r="A10400" s="1" t="s">
        <v>3693</v>
      </c>
      <c r="B10400" s="1" t="s">
        <v>32271</v>
      </c>
      <c r="C10400" s="1" t="s">
        <v>3600</v>
      </c>
      <c r="D10400" s="1" t="s">
        <v>3601</v>
      </c>
      <c r="E10400" s="1" t="s">
        <v>3664</v>
      </c>
      <c r="F10400" s="1" t="s">
        <v>34035</v>
      </c>
      <c r="G10400" s="1" t="s">
        <v>7096</v>
      </c>
      <c r="H10400" s="1" t="s">
        <v>3604</v>
      </c>
      <c r="I10400" s="1" t="s">
        <v>34036</v>
      </c>
      <c r="J10400" s="1" t="s">
        <v>3615</v>
      </c>
      <c r="K10400" s="1" t="s">
        <v>32274</v>
      </c>
      <c r="L10400" s="1"/>
      <c r="M10400" s="1"/>
    </row>
    <row x14ac:dyDescent="0.25" r="10401" customHeight="1" ht="18.75">
      <c r="A10401" s="1" t="s">
        <v>3693</v>
      </c>
      <c r="B10401" s="1" t="s">
        <v>32271</v>
      </c>
      <c r="C10401" s="1" t="s">
        <v>3600</v>
      </c>
      <c r="D10401" s="1" t="s">
        <v>3601</v>
      </c>
      <c r="E10401" s="1" t="s">
        <v>3664</v>
      </c>
      <c r="F10401" s="1" t="s">
        <v>34037</v>
      </c>
      <c r="G10401" s="1" t="s">
        <v>7096</v>
      </c>
      <c r="H10401" s="1" t="s">
        <v>3604</v>
      </c>
      <c r="I10401" s="1" t="s">
        <v>34038</v>
      </c>
      <c r="J10401" s="1" t="s">
        <v>3615</v>
      </c>
      <c r="K10401" s="1" t="s">
        <v>32274</v>
      </c>
      <c r="L10401" s="1"/>
      <c r="M10401" s="1"/>
    </row>
    <row x14ac:dyDescent="0.25" r="10402" customHeight="1" ht="18.75">
      <c r="A10402" s="1" t="s">
        <v>3693</v>
      </c>
      <c r="B10402" s="1" t="s">
        <v>32271</v>
      </c>
      <c r="C10402" s="1" t="s">
        <v>3600</v>
      </c>
      <c r="D10402" s="1" t="s">
        <v>3601</v>
      </c>
      <c r="E10402" s="1" t="s">
        <v>3664</v>
      </c>
      <c r="F10402" s="1" t="s">
        <v>34039</v>
      </c>
      <c r="G10402" s="1" t="s">
        <v>7096</v>
      </c>
      <c r="H10402" s="1" t="s">
        <v>3604</v>
      </c>
      <c r="I10402" s="1" t="s">
        <v>34040</v>
      </c>
      <c r="J10402" s="1" t="s">
        <v>3615</v>
      </c>
      <c r="K10402" s="1" t="s">
        <v>32274</v>
      </c>
      <c r="L10402" s="1"/>
      <c r="M10402" s="1"/>
    </row>
    <row x14ac:dyDescent="0.25" r="10403" customHeight="1" ht="18.75">
      <c r="A10403" s="1" t="s">
        <v>3693</v>
      </c>
      <c r="B10403" s="1" t="s">
        <v>32271</v>
      </c>
      <c r="C10403" s="1" t="s">
        <v>3600</v>
      </c>
      <c r="D10403" s="1" t="s">
        <v>3601</v>
      </c>
      <c r="E10403" s="1" t="s">
        <v>3664</v>
      </c>
      <c r="F10403" s="1" t="s">
        <v>34041</v>
      </c>
      <c r="G10403" s="1" t="s">
        <v>7096</v>
      </c>
      <c r="H10403" s="1" t="s">
        <v>3604</v>
      </c>
      <c r="I10403" s="1" t="s">
        <v>34042</v>
      </c>
      <c r="J10403" s="1" t="s">
        <v>3615</v>
      </c>
      <c r="K10403" s="1" t="s">
        <v>32274</v>
      </c>
      <c r="L10403" s="1"/>
      <c r="M10403" s="1"/>
    </row>
    <row x14ac:dyDescent="0.25" r="10404" customHeight="1" ht="18.75">
      <c r="A10404" s="1" t="s">
        <v>3693</v>
      </c>
      <c r="B10404" s="1" t="s">
        <v>32271</v>
      </c>
      <c r="C10404" s="1" t="s">
        <v>3600</v>
      </c>
      <c r="D10404" s="1" t="s">
        <v>3601</v>
      </c>
      <c r="E10404" s="1" t="s">
        <v>3664</v>
      </c>
      <c r="F10404" s="1" t="s">
        <v>34043</v>
      </c>
      <c r="G10404" s="1" t="s">
        <v>7096</v>
      </c>
      <c r="H10404" s="1" t="s">
        <v>3604</v>
      </c>
      <c r="I10404" s="1" t="s">
        <v>34044</v>
      </c>
      <c r="J10404" s="1" t="s">
        <v>3615</v>
      </c>
      <c r="K10404" s="1" t="s">
        <v>32274</v>
      </c>
      <c r="L10404" s="1"/>
      <c r="M10404" s="1"/>
    </row>
    <row x14ac:dyDescent="0.25" r="10405" customHeight="1" ht="18.75">
      <c r="A10405" s="1" t="s">
        <v>3617</v>
      </c>
      <c r="B10405" s="1" t="s">
        <v>12402</v>
      </c>
      <c r="C10405" s="1" t="s">
        <v>3619</v>
      </c>
      <c r="D10405" s="1" t="s">
        <v>14146</v>
      </c>
      <c r="E10405" s="1" t="s">
        <v>3664</v>
      </c>
      <c r="F10405" s="1" t="s">
        <v>34045</v>
      </c>
      <c r="G10405" s="1" t="s">
        <v>12402</v>
      </c>
      <c r="H10405" s="1" t="s">
        <v>3604</v>
      </c>
      <c r="I10405" s="1" t="s">
        <v>34046</v>
      </c>
      <c r="J10405" s="1" t="s">
        <v>3606</v>
      </c>
      <c r="K10405" s="1" t="s">
        <v>34047</v>
      </c>
      <c r="L10405" s="1"/>
      <c r="M10405" s="1"/>
    </row>
    <row x14ac:dyDescent="0.25" r="10406" customHeight="1" ht="18.75">
      <c r="A10406" s="1" t="s">
        <v>3693</v>
      </c>
      <c r="B10406" s="1" t="s">
        <v>32271</v>
      </c>
      <c r="C10406" s="1" t="s">
        <v>3600</v>
      </c>
      <c r="D10406" s="1" t="s">
        <v>3601</v>
      </c>
      <c r="E10406" s="1" t="s">
        <v>3664</v>
      </c>
      <c r="F10406" s="1" t="s">
        <v>34048</v>
      </c>
      <c r="G10406" s="1" t="s">
        <v>7096</v>
      </c>
      <c r="H10406" s="1" t="s">
        <v>3604</v>
      </c>
      <c r="I10406" s="1" t="s">
        <v>34049</v>
      </c>
      <c r="J10406" s="1" t="s">
        <v>3615</v>
      </c>
      <c r="K10406" s="1" t="s">
        <v>32274</v>
      </c>
      <c r="L10406" s="1"/>
      <c r="M10406" s="1"/>
    </row>
    <row x14ac:dyDescent="0.25" r="10407" customHeight="1" ht="18.75">
      <c r="A10407" s="1" t="s">
        <v>3693</v>
      </c>
      <c r="B10407" s="1" t="s">
        <v>32271</v>
      </c>
      <c r="C10407" s="1" t="s">
        <v>3600</v>
      </c>
      <c r="D10407" s="1" t="s">
        <v>3601</v>
      </c>
      <c r="E10407" s="1" t="s">
        <v>3664</v>
      </c>
      <c r="F10407" s="1" t="s">
        <v>34050</v>
      </c>
      <c r="G10407" s="1" t="s">
        <v>7096</v>
      </c>
      <c r="H10407" s="1" t="s">
        <v>3604</v>
      </c>
      <c r="I10407" s="1" t="s">
        <v>34051</v>
      </c>
      <c r="J10407" s="1" t="s">
        <v>3615</v>
      </c>
      <c r="K10407" s="1" t="s">
        <v>32274</v>
      </c>
      <c r="L10407" s="1"/>
      <c r="M10407" s="1"/>
    </row>
    <row x14ac:dyDescent="0.25" r="10408" customHeight="1" ht="18.75">
      <c r="A10408" s="1" t="s">
        <v>3617</v>
      </c>
      <c r="B10408" s="1" t="s">
        <v>8398</v>
      </c>
      <c r="C10408" s="1" t="s">
        <v>3619</v>
      </c>
      <c r="D10408" s="1" t="s">
        <v>14146</v>
      </c>
      <c r="E10408" s="1" t="s">
        <v>3664</v>
      </c>
      <c r="F10408" s="1" t="s">
        <v>34052</v>
      </c>
      <c r="G10408" s="1" t="s">
        <v>8398</v>
      </c>
      <c r="H10408" s="1" t="s">
        <v>3604</v>
      </c>
      <c r="I10408" s="1" t="s">
        <v>34053</v>
      </c>
      <c r="J10408" s="1" t="s">
        <v>3606</v>
      </c>
      <c r="K10408" s="1" t="s">
        <v>34054</v>
      </c>
      <c r="L10408" s="1"/>
      <c r="M10408" s="1"/>
    </row>
    <row x14ac:dyDescent="0.25" r="10409" customHeight="1" ht="18.75">
      <c r="A10409" s="1" t="s">
        <v>3693</v>
      </c>
      <c r="B10409" s="1" t="s">
        <v>32271</v>
      </c>
      <c r="C10409" s="1" t="s">
        <v>3600</v>
      </c>
      <c r="D10409" s="1" t="s">
        <v>3601</v>
      </c>
      <c r="E10409" s="1" t="s">
        <v>3664</v>
      </c>
      <c r="F10409" s="1" t="s">
        <v>34055</v>
      </c>
      <c r="G10409" s="1" t="s">
        <v>7096</v>
      </c>
      <c r="H10409" s="1" t="s">
        <v>3604</v>
      </c>
      <c r="I10409" s="1" t="s">
        <v>34056</v>
      </c>
      <c r="J10409" s="1" t="s">
        <v>3615</v>
      </c>
      <c r="K10409" s="1" t="s">
        <v>32274</v>
      </c>
      <c r="L10409" s="1"/>
      <c r="M10409" s="1"/>
    </row>
    <row x14ac:dyDescent="0.25" r="10410" customHeight="1" ht="18.75">
      <c r="A10410" s="1" t="s">
        <v>3693</v>
      </c>
      <c r="B10410" s="1" t="s">
        <v>32271</v>
      </c>
      <c r="C10410" s="1" t="s">
        <v>3600</v>
      </c>
      <c r="D10410" s="1" t="s">
        <v>3601</v>
      </c>
      <c r="E10410" s="1" t="s">
        <v>3664</v>
      </c>
      <c r="F10410" s="1" t="s">
        <v>34057</v>
      </c>
      <c r="G10410" s="1" t="s">
        <v>7096</v>
      </c>
      <c r="H10410" s="1" t="s">
        <v>3604</v>
      </c>
      <c r="I10410" s="1" t="s">
        <v>34058</v>
      </c>
      <c r="J10410" s="1" t="s">
        <v>3615</v>
      </c>
      <c r="K10410" s="1" t="s">
        <v>32274</v>
      </c>
      <c r="L10410" s="1"/>
      <c r="M10410" s="1"/>
    </row>
    <row x14ac:dyDescent="0.25" r="10411" customHeight="1" ht="18.75">
      <c r="A10411" s="1" t="s">
        <v>3693</v>
      </c>
      <c r="B10411" s="1" t="s">
        <v>32271</v>
      </c>
      <c r="C10411" s="1" t="s">
        <v>3600</v>
      </c>
      <c r="D10411" s="1" t="s">
        <v>3601</v>
      </c>
      <c r="E10411" s="1" t="s">
        <v>3664</v>
      </c>
      <c r="F10411" s="1" t="s">
        <v>34059</v>
      </c>
      <c r="G10411" s="1" t="s">
        <v>7096</v>
      </c>
      <c r="H10411" s="1" t="s">
        <v>3604</v>
      </c>
      <c r="I10411" s="1" t="s">
        <v>34060</v>
      </c>
      <c r="J10411" s="1" t="s">
        <v>3615</v>
      </c>
      <c r="K10411" s="1" t="s">
        <v>32274</v>
      </c>
      <c r="L10411" s="1"/>
      <c r="M10411" s="1"/>
    </row>
    <row x14ac:dyDescent="0.25" r="10412" customHeight="1" ht="18.75">
      <c r="A10412" s="1" t="s">
        <v>3693</v>
      </c>
      <c r="B10412" s="1" t="s">
        <v>32271</v>
      </c>
      <c r="C10412" s="1" t="s">
        <v>3600</v>
      </c>
      <c r="D10412" s="1" t="s">
        <v>3601</v>
      </c>
      <c r="E10412" s="1" t="s">
        <v>3664</v>
      </c>
      <c r="F10412" s="1" t="s">
        <v>34061</v>
      </c>
      <c r="G10412" s="1" t="s">
        <v>7096</v>
      </c>
      <c r="H10412" s="1" t="s">
        <v>3604</v>
      </c>
      <c r="I10412" s="1" t="s">
        <v>34062</v>
      </c>
      <c r="J10412" s="1" t="s">
        <v>3615</v>
      </c>
      <c r="K10412" s="1" t="s">
        <v>32274</v>
      </c>
      <c r="L10412" s="1"/>
      <c r="M10412" s="1"/>
    </row>
    <row x14ac:dyDescent="0.25" r="10413" customHeight="1" ht="18.75">
      <c r="A10413" s="1" t="s">
        <v>3693</v>
      </c>
      <c r="B10413" s="1" t="s">
        <v>32271</v>
      </c>
      <c r="C10413" s="1" t="s">
        <v>3600</v>
      </c>
      <c r="D10413" s="1" t="s">
        <v>3601</v>
      </c>
      <c r="E10413" s="1" t="s">
        <v>3664</v>
      </c>
      <c r="F10413" s="1" t="s">
        <v>34063</v>
      </c>
      <c r="G10413" s="1" t="s">
        <v>7096</v>
      </c>
      <c r="H10413" s="1" t="s">
        <v>3604</v>
      </c>
      <c r="I10413" s="1" t="s">
        <v>34064</v>
      </c>
      <c r="J10413" s="1" t="s">
        <v>3615</v>
      </c>
      <c r="K10413" s="1" t="s">
        <v>32274</v>
      </c>
      <c r="L10413" s="1"/>
      <c r="M10413" s="1"/>
    </row>
    <row x14ac:dyDescent="0.25" r="10414" customHeight="1" ht="18.75">
      <c r="A10414" s="1" t="s">
        <v>3693</v>
      </c>
      <c r="B10414" s="1" t="s">
        <v>32271</v>
      </c>
      <c r="C10414" s="1" t="s">
        <v>3600</v>
      </c>
      <c r="D10414" s="1" t="s">
        <v>3601</v>
      </c>
      <c r="E10414" s="1" t="s">
        <v>3664</v>
      </c>
      <c r="F10414" s="1" t="s">
        <v>34065</v>
      </c>
      <c r="G10414" s="1" t="s">
        <v>7096</v>
      </c>
      <c r="H10414" s="1" t="s">
        <v>3604</v>
      </c>
      <c r="I10414" s="1" t="s">
        <v>34066</v>
      </c>
      <c r="J10414" s="1" t="s">
        <v>3615</v>
      </c>
      <c r="K10414" s="1" t="s">
        <v>32274</v>
      </c>
      <c r="L10414" s="1"/>
      <c r="M10414" s="1"/>
    </row>
    <row x14ac:dyDescent="0.25" r="10415" customHeight="1" ht="18.75">
      <c r="A10415" s="1" t="s">
        <v>3693</v>
      </c>
      <c r="B10415" s="1" t="s">
        <v>32271</v>
      </c>
      <c r="C10415" s="1" t="s">
        <v>3600</v>
      </c>
      <c r="D10415" s="1" t="s">
        <v>3601</v>
      </c>
      <c r="E10415" s="1" t="s">
        <v>3664</v>
      </c>
      <c r="F10415" s="1" t="s">
        <v>34067</v>
      </c>
      <c r="G10415" s="1" t="s">
        <v>7096</v>
      </c>
      <c r="H10415" s="1" t="s">
        <v>3604</v>
      </c>
      <c r="I10415" s="1" t="s">
        <v>34068</v>
      </c>
      <c r="J10415" s="1" t="s">
        <v>3615</v>
      </c>
      <c r="K10415" s="1" t="s">
        <v>32274</v>
      </c>
      <c r="L10415" s="1"/>
      <c r="M10415" s="1"/>
    </row>
    <row x14ac:dyDescent="0.25" r="10416" customHeight="1" ht="18.75">
      <c r="A10416" s="1" t="s">
        <v>3693</v>
      </c>
      <c r="B10416" s="1" t="s">
        <v>32271</v>
      </c>
      <c r="C10416" s="1" t="s">
        <v>3600</v>
      </c>
      <c r="D10416" s="1" t="s">
        <v>3601</v>
      </c>
      <c r="E10416" s="1" t="s">
        <v>3664</v>
      </c>
      <c r="F10416" s="1" t="s">
        <v>34069</v>
      </c>
      <c r="G10416" s="1" t="s">
        <v>7096</v>
      </c>
      <c r="H10416" s="1" t="s">
        <v>3604</v>
      </c>
      <c r="I10416" s="1" t="s">
        <v>34070</v>
      </c>
      <c r="J10416" s="1" t="s">
        <v>3615</v>
      </c>
      <c r="K10416" s="1" t="s">
        <v>32274</v>
      </c>
      <c r="L10416" s="1"/>
      <c r="M10416" s="1"/>
    </row>
    <row x14ac:dyDescent="0.25" r="10417" customHeight="1" ht="18.75">
      <c r="A10417" s="1" t="s">
        <v>3693</v>
      </c>
      <c r="B10417" s="1" t="s">
        <v>32271</v>
      </c>
      <c r="C10417" s="1" t="s">
        <v>3600</v>
      </c>
      <c r="D10417" s="1" t="s">
        <v>3601</v>
      </c>
      <c r="E10417" s="1" t="s">
        <v>3664</v>
      </c>
      <c r="F10417" s="1" t="s">
        <v>34071</v>
      </c>
      <c r="G10417" s="1" t="s">
        <v>7096</v>
      </c>
      <c r="H10417" s="1" t="s">
        <v>3604</v>
      </c>
      <c r="I10417" s="1" t="s">
        <v>34072</v>
      </c>
      <c r="J10417" s="1" t="s">
        <v>3615</v>
      </c>
      <c r="K10417" s="1" t="s">
        <v>32274</v>
      </c>
      <c r="L10417" s="1"/>
      <c r="M10417" s="1"/>
    </row>
    <row x14ac:dyDescent="0.25" r="10418" customHeight="1" ht="18.75">
      <c r="A10418" s="1" t="s">
        <v>3693</v>
      </c>
      <c r="B10418" s="1" t="s">
        <v>32271</v>
      </c>
      <c r="C10418" s="1" t="s">
        <v>3600</v>
      </c>
      <c r="D10418" s="1" t="s">
        <v>3601</v>
      </c>
      <c r="E10418" s="1" t="s">
        <v>3664</v>
      </c>
      <c r="F10418" s="1" t="s">
        <v>34073</v>
      </c>
      <c r="G10418" s="1" t="s">
        <v>7096</v>
      </c>
      <c r="H10418" s="1" t="s">
        <v>3604</v>
      </c>
      <c r="I10418" s="1" t="s">
        <v>34074</v>
      </c>
      <c r="J10418" s="1" t="s">
        <v>3615</v>
      </c>
      <c r="K10418" s="1" t="s">
        <v>32274</v>
      </c>
      <c r="L10418" s="1"/>
      <c r="M10418" s="1"/>
    </row>
    <row x14ac:dyDescent="0.25" r="10419" customHeight="1" ht="18.75">
      <c r="A10419" s="1" t="s">
        <v>3693</v>
      </c>
      <c r="B10419" s="1" t="s">
        <v>32271</v>
      </c>
      <c r="C10419" s="1" t="s">
        <v>3600</v>
      </c>
      <c r="D10419" s="1" t="s">
        <v>3601</v>
      </c>
      <c r="E10419" s="1" t="s">
        <v>3664</v>
      </c>
      <c r="F10419" s="1" t="s">
        <v>34075</v>
      </c>
      <c r="G10419" s="1" t="s">
        <v>7096</v>
      </c>
      <c r="H10419" s="1" t="s">
        <v>3604</v>
      </c>
      <c r="I10419" s="1" t="s">
        <v>34076</v>
      </c>
      <c r="J10419" s="1" t="s">
        <v>3615</v>
      </c>
      <c r="K10419" s="1" t="s">
        <v>33843</v>
      </c>
      <c r="L10419" s="1"/>
      <c r="M10419" s="1"/>
    </row>
    <row x14ac:dyDescent="0.25" r="10420" customHeight="1" ht="18.75">
      <c r="A10420" s="1" t="s">
        <v>3693</v>
      </c>
      <c r="B10420" s="1" t="s">
        <v>32271</v>
      </c>
      <c r="C10420" s="1" t="s">
        <v>3600</v>
      </c>
      <c r="D10420" s="1" t="s">
        <v>3601</v>
      </c>
      <c r="E10420" s="1" t="s">
        <v>3664</v>
      </c>
      <c r="F10420" s="1" t="s">
        <v>34077</v>
      </c>
      <c r="G10420" s="1" t="s">
        <v>7096</v>
      </c>
      <c r="H10420" s="1" t="s">
        <v>3604</v>
      </c>
      <c r="I10420" s="1" t="s">
        <v>34078</v>
      </c>
      <c r="J10420" s="1" t="s">
        <v>3615</v>
      </c>
      <c r="K10420" s="1" t="s">
        <v>32274</v>
      </c>
      <c r="L10420" s="1"/>
      <c r="M10420" s="1"/>
    </row>
    <row x14ac:dyDescent="0.25" r="10421" customHeight="1" ht="18.75">
      <c r="A10421" s="1" t="s">
        <v>3693</v>
      </c>
      <c r="B10421" s="1" t="s">
        <v>32271</v>
      </c>
      <c r="C10421" s="1" t="s">
        <v>3600</v>
      </c>
      <c r="D10421" s="1" t="s">
        <v>3601</v>
      </c>
      <c r="E10421" s="1" t="s">
        <v>3664</v>
      </c>
      <c r="F10421" s="1" t="s">
        <v>34079</v>
      </c>
      <c r="G10421" s="1" t="s">
        <v>7096</v>
      </c>
      <c r="H10421" s="1" t="s">
        <v>3604</v>
      </c>
      <c r="I10421" s="1" t="s">
        <v>34080</v>
      </c>
      <c r="J10421" s="1" t="s">
        <v>3615</v>
      </c>
      <c r="K10421" s="1" t="s">
        <v>32274</v>
      </c>
      <c r="L10421" s="1"/>
      <c r="M10421" s="1"/>
    </row>
    <row x14ac:dyDescent="0.25" r="10422" customHeight="1" ht="18.75">
      <c r="A10422" s="1" t="s">
        <v>3693</v>
      </c>
      <c r="B10422" s="1" t="s">
        <v>32271</v>
      </c>
      <c r="C10422" s="1" t="s">
        <v>3600</v>
      </c>
      <c r="D10422" s="1" t="s">
        <v>3601</v>
      </c>
      <c r="E10422" s="1" t="s">
        <v>3664</v>
      </c>
      <c r="F10422" s="1" t="s">
        <v>34081</v>
      </c>
      <c r="G10422" s="1" t="s">
        <v>7096</v>
      </c>
      <c r="H10422" s="1" t="s">
        <v>3604</v>
      </c>
      <c r="I10422" s="1" t="s">
        <v>34082</v>
      </c>
      <c r="J10422" s="1" t="s">
        <v>3615</v>
      </c>
      <c r="K10422" s="1" t="s">
        <v>32274</v>
      </c>
      <c r="L10422" s="1"/>
      <c r="M10422" s="1"/>
    </row>
    <row x14ac:dyDescent="0.25" r="10423" customHeight="1" ht="18.75">
      <c r="A10423" s="1" t="s">
        <v>3693</v>
      </c>
      <c r="B10423" s="1" t="s">
        <v>32271</v>
      </c>
      <c r="C10423" s="1" t="s">
        <v>3600</v>
      </c>
      <c r="D10423" s="1" t="s">
        <v>3601</v>
      </c>
      <c r="E10423" s="1" t="s">
        <v>3664</v>
      </c>
      <c r="F10423" s="1" t="s">
        <v>34083</v>
      </c>
      <c r="G10423" s="1" t="s">
        <v>7096</v>
      </c>
      <c r="H10423" s="1" t="s">
        <v>3604</v>
      </c>
      <c r="I10423" s="1" t="s">
        <v>34084</v>
      </c>
      <c r="J10423" s="1" t="s">
        <v>3615</v>
      </c>
      <c r="K10423" s="1" t="s">
        <v>32274</v>
      </c>
      <c r="L10423" s="1"/>
      <c r="M10423" s="1"/>
    </row>
    <row x14ac:dyDescent="0.25" r="10424" customHeight="1" ht="18.75">
      <c r="A10424" s="1" t="s">
        <v>3693</v>
      </c>
      <c r="B10424" s="1" t="s">
        <v>32271</v>
      </c>
      <c r="C10424" s="1" t="s">
        <v>3600</v>
      </c>
      <c r="D10424" s="1" t="s">
        <v>3601</v>
      </c>
      <c r="E10424" s="1" t="s">
        <v>3664</v>
      </c>
      <c r="F10424" s="1" t="s">
        <v>34085</v>
      </c>
      <c r="G10424" s="1" t="s">
        <v>7096</v>
      </c>
      <c r="H10424" s="1" t="s">
        <v>3604</v>
      </c>
      <c r="I10424" s="1" t="s">
        <v>34086</v>
      </c>
      <c r="J10424" s="1" t="s">
        <v>3615</v>
      </c>
      <c r="K10424" s="1" t="s">
        <v>32274</v>
      </c>
      <c r="L10424" s="1"/>
      <c r="M10424" s="1"/>
    </row>
    <row x14ac:dyDescent="0.25" r="10425" customHeight="1" ht="18.75">
      <c r="A10425" s="1" t="s">
        <v>3693</v>
      </c>
      <c r="B10425" s="1" t="s">
        <v>32271</v>
      </c>
      <c r="C10425" s="1" t="s">
        <v>3600</v>
      </c>
      <c r="D10425" s="1" t="s">
        <v>3601</v>
      </c>
      <c r="E10425" s="1" t="s">
        <v>3664</v>
      </c>
      <c r="F10425" s="1" t="s">
        <v>34087</v>
      </c>
      <c r="G10425" s="1" t="s">
        <v>7096</v>
      </c>
      <c r="H10425" s="1" t="s">
        <v>3604</v>
      </c>
      <c r="I10425" s="1" t="s">
        <v>34088</v>
      </c>
      <c r="J10425" s="1" t="s">
        <v>3615</v>
      </c>
      <c r="K10425" s="1" t="s">
        <v>32274</v>
      </c>
      <c r="L10425" s="1"/>
      <c r="M10425" s="1"/>
    </row>
    <row x14ac:dyDescent="0.25" r="10426" customHeight="1" ht="18.75">
      <c r="A10426" s="1" t="s">
        <v>3693</v>
      </c>
      <c r="B10426" s="1" t="s">
        <v>32271</v>
      </c>
      <c r="C10426" s="1" t="s">
        <v>3600</v>
      </c>
      <c r="D10426" s="1" t="s">
        <v>3601</v>
      </c>
      <c r="E10426" s="1" t="s">
        <v>3664</v>
      </c>
      <c r="F10426" s="1" t="s">
        <v>34089</v>
      </c>
      <c r="G10426" s="1" t="s">
        <v>7096</v>
      </c>
      <c r="H10426" s="1" t="s">
        <v>3604</v>
      </c>
      <c r="I10426" s="1" t="s">
        <v>34090</v>
      </c>
      <c r="J10426" s="1" t="s">
        <v>3615</v>
      </c>
      <c r="K10426" s="1" t="s">
        <v>32274</v>
      </c>
      <c r="L10426" s="1"/>
      <c r="M10426" s="1"/>
    </row>
    <row x14ac:dyDescent="0.25" r="10427" customHeight="1" ht="18.75">
      <c r="A10427" s="1" t="s">
        <v>3693</v>
      </c>
      <c r="B10427" s="1" t="s">
        <v>32271</v>
      </c>
      <c r="C10427" s="1" t="s">
        <v>3600</v>
      </c>
      <c r="D10427" s="1" t="s">
        <v>3601</v>
      </c>
      <c r="E10427" s="1" t="s">
        <v>3664</v>
      </c>
      <c r="F10427" s="1" t="s">
        <v>34091</v>
      </c>
      <c r="G10427" s="1" t="s">
        <v>7096</v>
      </c>
      <c r="H10427" s="1" t="s">
        <v>3604</v>
      </c>
      <c r="I10427" s="1" t="s">
        <v>34092</v>
      </c>
      <c r="J10427" s="1" t="s">
        <v>3615</v>
      </c>
      <c r="K10427" s="1" t="s">
        <v>32274</v>
      </c>
      <c r="L10427" s="1"/>
      <c r="M10427" s="1"/>
    </row>
    <row x14ac:dyDescent="0.25" r="10428" customHeight="1" ht="18.75">
      <c r="A10428" s="1" t="s">
        <v>3693</v>
      </c>
      <c r="B10428" s="1" t="s">
        <v>32271</v>
      </c>
      <c r="C10428" s="1" t="s">
        <v>3600</v>
      </c>
      <c r="D10428" s="1" t="s">
        <v>3601</v>
      </c>
      <c r="E10428" s="1" t="s">
        <v>3664</v>
      </c>
      <c r="F10428" s="1" t="s">
        <v>34093</v>
      </c>
      <c r="G10428" s="1" t="s">
        <v>7096</v>
      </c>
      <c r="H10428" s="1" t="s">
        <v>3604</v>
      </c>
      <c r="I10428" s="1" t="s">
        <v>34094</v>
      </c>
      <c r="J10428" s="1" t="s">
        <v>3615</v>
      </c>
      <c r="K10428" s="1" t="s">
        <v>32274</v>
      </c>
      <c r="L10428" s="1"/>
      <c r="M10428" s="1"/>
    </row>
    <row x14ac:dyDescent="0.25" r="10429" customHeight="1" ht="18.75">
      <c r="A10429" s="1" t="s">
        <v>3693</v>
      </c>
      <c r="B10429" s="1" t="s">
        <v>32271</v>
      </c>
      <c r="C10429" s="1" t="s">
        <v>3600</v>
      </c>
      <c r="D10429" s="1" t="s">
        <v>3601</v>
      </c>
      <c r="E10429" s="1" t="s">
        <v>3664</v>
      </c>
      <c r="F10429" s="1" t="s">
        <v>34095</v>
      </c>
      <c r="G10429" s="1" t="s">
        <v>7096</v>
      </c>
      <c r="H10429" s="1" t="s">
        <v>3604</v>
      </c>
      <c r="I10429" s="1" t="s">
        <v>34096</v>
      </c>
      <c r="J10429" s="1" t="s">
        <v>3615</v>
      </c>
      <c r="K10429" s="1" t="s">
        <v>32274</v>
      </c>
      <c r="L10429" s="1"/>
      <c r="M10429" s="1"/>
    </row>
    <row x14ac:dyDescent="0.25" r="10430" customHeight="1" ht="18.75">
      <c r="A10430" s="1" t="s">
        <v>3693</v>
      </c>
      <c r="B10430" s="1" t="s">
        <v>32271</v>
      </c>
      <c r="C10430" s="1" t="s">
        <v>3600</v>
      </c>
      <c r="D10430" s="1" t="s">
        <v>3601</v>
      </c>
      <c r="E10430" s="1" t="s">
        <v>3664</v>
      </c>
      <c r="F10430" s="1" t="s">
        <v>34097</v>
      </c>
      <c r="G10430" s="1" t="s">
        <v>7096</v>
      </c>
      <c r="H10430" s="1" t="s">
        <v>3604</v>
      </c>
      <c r="I10430" s="1" t="s">
        <v>34098</v>
      </c>
      <c r="J10430" s="1" t="s">
        <v>3615</v>
      </c>
      <c r="K10430" s="1" t="s">
        <v>32274</v>
      </c>
      <c r="L10430" s="1"/>
      <c r="M10430" s="1"/>
    </row>
    <row x14ac:dyDescent="0.25" r="10431" customHeight="1" ht="18.75">
      <c r="A10431" s="1" t="s">
        <v>3598</v>
      </c>
      <c r="B10431" s="1" t="s">
        <v>13864</v>
      </c>
      <c r="C10431" s="1" t="s">
        <v>3600</v>
      </c>
      <c r="D10431" s="1" t="s">
        <v>3601</v>
      </c>
      <c r="E10431" s="1" t="s">
        <v>3664</v>
      </c>
      <c r="F10431" s="1" t="s">
        <v>34099</v>
      </c>
      <c r="G10431" s="1" t="s">
        <v>34100</v>
      </c>
      <c r="H10431" s="1" t="s">
        <v>3604</v>
      </c>
      <c r="I10431" s="1" t="s">
        <v>34101</v>
      </c>
      <c r="J10431" s="1" t="s">
        <v>3615</v>
      </c>
      <c r="K10431" s="1" t="s">
        <v>34102</v>
      </c>
      <c r="L10431" s="1"/>
      <c r="M10431" s="1"/>
    </row>
    <row x14ac:dyDescent="0.25" r="10432" customHeight="1" ht="18.75">
      <c r="A10432" s="1" t="s">
        <v>3693</v>
      </c>
      <c r="B10432" s="1" t="s">
        <v>34103</v>
      </c>
      <c r="C10432" s="1" t="s">
        <v>3600</v>
      </c>
      <c r="D10432" s="1" t="s">
        <v>3601</v>
      </c>
      <c r="E10432" s="1" t="s">
        <v>3893</v>
      </c>
      <c r="F10432" s="1" t="s">
        <v>34104</v>
      </c>
      <c r="G10432" s="1" t="s">
        <v>4344</v>
      </c>
      <c r="H10432" s="1" t="s">
        <v>3604</v>
      </c>
      <c r="I10432" s="1" t="s">
        <v>34105</v>
      </c>
      <c r="J10432" s="1" t="s">
        <v>3615</v>
      </c>
      <c r="K10432" s="1" t="s">
        <v>34106</v>
      </c>
      <c r="L10432" s="1"/>
      <c r="M10432" s="1"/>
    </row>
    <row x14ac:dyDescent="0.25" r="10433" customHeight="1" ht="18.75">
      <c r="A10433" s="1" t="s">
        <v>3598</v>
      </c>
      <c r="B10433" s="1" t="s">
        <v>18066</v>
      </c>
      <c r="C10433" s="1" t="s">
        <v>3600</v>
      </c>
      <c r="D10433" s="1" t="s">
        <v>3601</v>
      </c>
      <c r="E10433" s="1" t="s">
        <v>3664</v>
      </c>
      <c r="F10433" s="1" t="s">
        <v>34107</v>
      </c>
      <c r="G10433" s="1" t="s">
        <v>34108</v>
      </c>
      <c r="H10433" s="1" t="s">
        <v>3604</v>
      </c>
      <c r="I10433" s="1" t="s">
        <v>34109</v>
      </c>
      <c r="J10433" s="1" t="s">
        <v>3615</v>
      </c>
      <c r="K10433" s="1" t="s">
        <v>34110</v>
      </c>
      <c r="L10433" s="1"/>
      <c r="M10433" s="1"/>
    </row>
    <row x14ac:dyDescent="0.25" r="10434" customHeight="1" ht="18.75">
      <c r="A10434" s="1" t="s">
        <v>3598</v>
      </c>
      <c r="B10434" s="1" t="s">
        <v>19909</v>
      </c>
      <c r="C10434" s="1" t="s">
        <v>3600</v>
      </c>
      <c r="D10434" s="1" t="s">
        <v>3601</v>
      </c>
      <c r="E10434" s="1" t="s">
        <v>3664</v>
      </c>
      <c r="F10434" s="1" t="s">
        <v>34111</v>
      </c>
      <c r="G10434" s="1" t="s">
        <v>19911</v>
      </c>
      <c r="H10434" s="1" t="s">
        <v>3604</v>
      </c>
      <c r="I10434" s="1" t="s">
        <v>34112</v>
      </c>
      <c r="J10434" s="1" t="s">
        <v>3615</v>
      </c>
      <c r="K10434" s="1" t="s">
        <v>34113</v>
      </c>
      <c r="L10434" s="1"/>
      <c r="M10434" s="1"/>
    </row>
    <row x14ac:dyDescent="0.25" r="10435" customHeight="1" ht="18.75">
      <c r="A10435" s="1" t="s">
        <v>3598</v>
      </c>
      <c r="B10435" s="1" t="s">
        <v>18066</v>
      </c>
      <c r="C10435" s="1" t="s">
        <v>3600</v>
      </c>
      <c r="D10435" s="1" t="s">
        <v>3601</v>
      </c>
      <c r="E10435" s="1" t="s">
        <v>3664</v>
      </c>
      <c r="F10435" s="1" t="s">
        <v>34114</v>
      </c>
      <c r="G10435" s="1" t="s">
        <v>26654</v>
      </c>
      <c r="H10435" s="1" t="s">
        <v>3604</v>
      </c>
      <c r="I10435" s="1" t="s">
        <v>34115</v>
      </c>
      <c r="J10435" s="1" t="s">
        <v>3615</v>
      </c>
      <c r="K10435" s="1" t="s">
        <v>34116</v>
      </c>
      <c r="L10435" s="1"/>
      <c r="M10435" s="1"/>
    </row>
    <row x14ac:dyDescent="0.25" r="10436" customHeight="1" ht="18.75">
      <c r="A10436" s="1" t="s">
        <v>3617</v>
      </c>
      <c r="B10436" s="1" t="s">
        <v>34117</v>
      </c>
      <c r="C10436" s="1" t="s">
        <v>3619</v>
      </c>
      <c r="D10436" s="1" t="s">
        <v>14146</v>
      </c>
      <c r="E10436" s="1" t="s">
        <v>3664</v>
      </c>
      <c r="F10436" s="1" t="s">
        <v>34118</v>
      </c>
      <c r="G10436" s="1" t="s">
        <v>34117</v>
      </c>
      <c r="H10436" s="1" t="s">
        <v>3604</v>
      </c>
      <c r="I10436" s="1" t="s">
        <v>34119</v>
      </c>
      <c r="J10436" s="1" t="s">
        <v>3606</v>
      </c>
      <c r="K10436" s="1" t="s">
        <v>34120</v>
      </c>
      <c r="L10436" s="1"/>
      <c r="M10436" s="1"/>
    </row>
    <row x14ac:dyDescent="0.25" r="10437" customHeight="1" ht="18.75">
      <c r="A10437" s="1" t="s">
        <v>3693</v>
      </c>
      <c r="B10437" s="1" t="s">
        <v>34103</v>
      </c>
      <c r="C10437" s="1" t="s">
        <v>3600</v>
      </c>
      <c r="D10437" s="1" t="s">
        <v>3601</v>
      </c>
      <c r="E10437" s="1" t="s">
        <v>3893</v>
      </c>
      <c r="F10437" s="1" t="s">
        <v>34121</v>
      </c>
      <c r="G10437" s="1" t="s">
        <v>4344</v>
      </c>
      <c r="H10437" s="1" t="s">
        <v>3604</v>
      </c>
      <c r="I10437" s="1" t="s">
        <v>34122</v>
      </c>
      <c r="J10437" s="1" t="s">
        <v>3615</v>
      </c>
      <c r="K10437" s="1" t="s">
        <v>34106</v>
      </c>
      <c r="L10437" s="1"/>
      <c r="M10437" s="1"/>
    </row>
    <row x14ac:dyDescent="0.25" r="10438" customHeight="1" ht="18.75">
      <c r="A10438" s="1" t="s">
        <v>3598</v>
      </c>
      <c r="B10438" s="1" t="s">
        <v>19909</v>
      </c>
      <c r="C10438" s="1" t="s">
        <v>3600</v>
      </c>
      <c r="D10438" s="1" t="s">
        <v>3601</v>
      </c>
      <c r="E10438" s="1" t="s">
        <v>3664</v>
      </c>
      <c r="F10438" s="1" t="s">
        <v>34123</v>
      </c>
      <c r="G10438" s="1" t="s">
        <v>34124</v>
      </c>
      <c r="H10438" s="1" t="s">
        <v>3604</v>
      </c>
      <c r="I10438" s="1" t="s">
        <v>34125</v>
      </c>
      <c r="J10438" s="1" t="s">
        <v>3615</v>
      </c>
      <c r="K10438" s="1" t="s">
        <v>34126</v>
      </c>
      <c r="L10438" s="1"/>
      <c r="M10438" s="1"/>
    </row>
    <row x14ac:dyDescent="0.25" r="10439" customHeight="1" ht="18.75">
      <c r="A10439" s="1" t="s">
        <v>3617</v>
      </c>
      <c r="B10439" s="1" t="s">
        <v>34127</v>
      </c>
      <c r="C10439" s="1" t="s">
        <v>3619</v>
      </c>
      <c r="D10439" s="1" t="s">
        <v>14146</v>
      </c>
      <c r="E10439" s="1" t="s">
        <v>3730</v>
      </c>
      <c r="F10439" s="1" t="s">
        <v>34045</v>
      </c>
      <c r="G10439" s="1" t="s">
        <v>34127</v>
      </c>
      <c r="H10439" s="1" t="s">
        <v>3604</v>
      </c>
      <c r="I10439" s="1" t="s">
        <v>34128</v>
      </c>
      <c r="J10439" s="1" t="s">
        <v>3606</v>
      </c>
      <c r="K10439" s="1" t="s">
        <v>34129</v>
      </c>
      <c r="L10439" s="1"/>
      <c r="M10439" s="1"/>
    </row>
    <row x14ac:dyDescent="0.25" r="10440" customHeight="1" ht="18.75">
      <c r="A10440" s="1" t="s">
        <v>3598</v>
      </c>
      <c r="B10440" s="1" t="s">
        <v>4600</v>
      </c>
      <c r="C10440" s="1" t="s">
        <v>3600</v>
      </c>
      <c r="D10440" s="1" t="s">
        <v>3601</v>
      </c>
      <c r="E10440" s="1" t="s">
        <v>3893</v>
      </c>
      <c r="F10440" s="1" t="s">
        <v>34130</v>
      </c>
      <c r="G10440" s="1" t="s">
        <v>13874</v>
      </c>
      <c r="H10440" s="1" t="s">
        <v>3604</v>
      </c>
      <c r="I10440" s="1" t="s">
        <v>34131</v>
      </c>
      <c r="J10440" s="1" t="s">
        <v>3615</v>
      </c>
      <c r="K10440" s="1" t="s">
        <v>34132</v>
      </c>
      <c r="L10440" s="1"/>
      <c r="M10440" s="1"/>
    </row>
    <row x14ac:dyDescent="0.25" r="10441" customHeight="1" ht="18.75">
      <c r="A10441" s="1" t="s">
        <v>3598</v>
      </c>
      <c r="B10441" s="1" t="s">
        <v>4600</v>
      </c>
      <c r="C10441" s="1" t="s">
        <v>3600</v>
      </c>
      <c r="D10441" s="1" t="s">
        <v>3601</v>
      </c>
      <c r="E10441" s="1" t="s">
        <v>3893</v>
      </c>
      <c r="F10441" s="1" t="s">
        <v>34133</v>
      </c>
      <c r="G10441" s="1" t="s">
        <v>34134</v>
      </c>
      <c r="H10441" s="1" t="s">
        <v>3604</v>
      </c>
      <c r="I10441" s="1" t="s">
        <v>34135</v>
      </c>
      <c r="J10441" s="1" t="s">
        <v>3615</v>
      </c>
      <c r="K10441" s="1" t="s">
        <v>34136</v>
      </c>
      <c r="L10441" s="1"/>
      <c r="M10441" s="1"/>
    </row>
    <row x14ac:dyDescent="0.25" r="10442" customHeight="1" ht="18.75">
      <c r="A10442" s="1" t="s">
        <v>3693</v>
      </c>
      <c r="B10442" s="1" t="s">
        <v>34137</v>
      </c>
      <c r="C10442" s="1" t="s">
        <v>3600</v>
      </c>
      <c r="D10442" s="1" t="s">
        <v>3601</v>
      </c>
      <c r="E10442" s="1" t="s">
        <v>3664</v>
      </c>
      <c r="F10442" s="1" t="s">
        <v>34138</v>
      </c>
      <c r="G10442" s="1" t="s">
        <v>7096</v>
      </c>
      <c r="H10442" s="1" t="s">
        <v>3604</v>
      </c>
      <c r="I10442" s="1" t="s">
        <v>34139</v>
      </c>
      <c r="J10442" s="1" t="s">
        <v>3615</v>
      </c>
      <c r="K10442" s="1" t="s">
        <v>33843</v>
      </c>
      <c r="L10442" s="1"/>
      <c r="M10442" s="1"/>
    </row>
    <row x14ac:dyDescent="0.25" r="10443" customHeight="1" ht="18.75">
      <c r="A10443" s="1" t="s">
        <v>3617</v>
      </c>
      <c r="B10443" s="1" t="s">
        <v>34140</v>
      </c>
      <c r="C10443" s="1" t="s">
        <v>3619</v>
      </c>
      <c r="D10443" s="1" t="s">
        <v>14146</v>
      </c>
      <c r="E10443" s="1" t="s">
        <v>3730</v>
      </c>
      <c r="F10443" s="1" t="s">
        <v>34141</v>
      </c>
      <c r="G10443" s="1" t="s">
        <v>34140</v>
      </c>
      <c r="H10443" s="1" t="s">
        <v>3604</v>
      </c>
      <c r="I10443" s="1" t="s">
        <v>34142</v>
      </c>
      <c r="J10443" s="1" t="s">
        <v>3606</v>
      </c>
      <c r="K10443" s="1" t="s">
        <v>34143</v>
      </c>
      <c r="L10443" s="1"/>
      <c r="M10443" s="1"/>
    </row>
    <row x14ac:dyDescent="0.25" r="10444" customHeight="1" ht="18.75">
      <c r="A10444" s="1" t="s">
        <v>3598</v>
      </c>
      <c r="B10444" s="1" t="s">
        <v>4600</v>
      </c>
      <c r="C10444" s="1" t="s">
        <v>3600</v>
      </c>
      <c r="D10444" s="1" t="s">
        <v>3601</v>
      </c>
      <c r="E10444" s="1" t="s">
        <v>3893</v>
      </c>
      <c r="F10444" s="1" t="s">
        <v>34144</v>
      </c>
      <c r="G10444" s="1" t="s">
        <v>13903</v>
      </c>
      <c r="H10444" s="1" t="s">
        <v>3604</v>
      </c>
      <c r="I10444" s="1" t="s">
        <v>34145</v>
      </c>
      <c r="J10444" s="1" t="s">
        <v>3615</v>
      </c>
      <c r="K10444" s="1" t="s">
        <v>34146</v>
      </c>
      <c r="L10444" s="1"/>
      <c r="M10444" s="1"/>
    </row>
    <row x14ac:dyDescent="0.25" r="10445" customHeight="1" ht="18.75">
      <c r="A10445" s="1" t="s">
        <v>3693</v>
      </c>
      <c r="B10445" s="1" t="s">
        <v>34103</v>
      </c>
      <c r="C10445" s="1" t="s">
        <v>3600</v>
      </c>
      <c r="D10445" s="1" t="s">
        <v>3601</v>
      </c>
      <c r="E10445" s="1" t="s">
        <v>3893</v>
      </c>
      <c r="F10445" s="1" t="s">
        <v>34147</v>
      </c>
      <c r="G10445" s="1" t="s">
        <v>4344</v>
      </c>
      <c r="H10445" s="1" t="s">
        <v>3604</v>
      </c>
      <c r="I10445" s="1" t="s">
        <v>34148</v>
      </c>
      <c r="J10445" s="1" t="s">
        <v>3615</v>
      </c>
      <c r="K10445" s="1" t="s">
        <v>34106</v>
      </c>
      <c r="L10445" s="1"/>
      <c r="M10445" s="1"/>
    </row>
    <row x14ac:dyDescent="0.25" r="10446" customHeight="1" ht="18.75">
      <c r="A10446" s="1" t="s">
        <v>3693</v>
      </c>
      <c r="B10446" s="1" t="s">
        <v>34103</v>
      </c>
      <c r="C10446" s="1" t="s">
        <v>3600</v>
      </c>
      <c r="D10446" s="1" t="s">
        <v>3601</v>
      </c>
      <c r="E10446" s="1" t="s">
        <v>3893</v>
      </c>
      <c r="F10446" s="1" t="s">
        <v>34149</v>
      </c>
      <c r="G10446" s="1" t="s">
        <v>4344</v>
      </c>
      <c r="H10446" s="1" t="s">
        <v>3604</v>
      </c>
      <c r="I10446" s="1" t="s">
        <v>34150</v>
      </c>
      <c r="J10446" s="1" t="s">
        <v>3615</v>
      </c>
      <c r="K10446" s="1" t="s">
        <v>34106</v>
      </c>
      <c r="L10446" s="1"/>
      <c r="M10446" s="1"/>
    </row>
    <row x14ac:dyDescent="0.25" r="10447" customHeight="1" ht="18.75">
      <c r="A10447" s="1" t="s">
        <v>3693</v>
      </c>
      <c r="B10447" s="1" t="s">
        <v>34103</v>
      </c>
      <c r="C10447" s="1" t="s">
        <v>3600</v>
      </c>
      <c r="D10447" s="1" t="s">
        <v>3601</v>
      </c>
      <c r="E10447" s="1" t="s">
        <v>3893</v>
      </c>
      <c r="F10447" s="1" t="s">
        <v>34151</v>
      </c>
      <c r="G10447" s="1" t="s">
        <v>4344</v>
      </c>
      <c r="H10447" s="1" t="s">
        <v>3604</v>
      </c>
      <c r="I10447" s="1" t="s">
        <v>34152</v>
      </c>
      <c r="J10447" s="1" t="s">
        <v>3615</v>
      </c>
      <c r="K10447" s="1" t="s">
        <v>34106</v>
      </c>
      <c r="L10447" s="1"/>
      <c r="M10447" s="1"/>
    </row>
    <row x14ac:dyDescent="0.25" r="10448" customHeight="1" ht="18.75">
      <c r="A10448" s="1" t="s">
        <v>3693</v>
      </c>
      <c r="B10448" s="1" t="s">
        <v>34103</v>
      </c>
      <c r="C10448" s="1" t="s">
        <v>3600</v>
      </c>
      <c r="D10448" s="1" t="s">
        <v>3601</v>
      </c>
      <c r="E10448" s="1" t="s">
        <v>3893</v>
      </c>
      <c r="F10448" s="1" t="s">
        <v>34153</v>
      </c>
      <c r="G10448" s="1" t="s">
        <v>4344</v>
      </c>
      <c r="H10448" s="1" t="s">
        <v>3604</v>
      </c>
      <c r="I10448" s="1" t="s">
        <v>34154</v>
      </c>
      <c r="J10448" s="1" t="s">
        <v>3615</v>
      </c>
      <c r="K10448" s="1" t="s">
        <v>34106</v>
      </c>
      <c r="L10448" s="1"/>
      <c r="M10448" s="1"/>
    </row>
    <row x14ac:dyDescent="0.25" r="10449" customHeight="1" ht="18.75">
      <c r="A10449" s="1" t="s">
        <v>3598</v>
      </c>
      <c r="B10449" s="1" t="s">
        <v>15780</v>
      </c>
      <c r="C10449" s="1" t="s">
        <v>3600</v>
      </c>
      <c r="D10449" s="1" t="s">
        <v>3601</v>
      </c>
      <c r="E10449" s="1" t="s">
        <v>3664</v>
      </c>
      <c r="F10449" s="1" t="s">
        <v>34155</v>
      </c>
      <c r="G10449" s="1" t="s">
        <v>20537</v>
      </c>
      <c r="H10449" s="1" t="s">
        <v>3604</v>
      </c>
      <c r="I10449" s="1" t="s">
        <v>34156</v>
      </c>
      <c r="J10449" s="1" t="s">
        <v>3615</v>
      </c>
      <c r="K10449" s="1" t="s">
        <v>34157</v>
      </c>
      <c r="L10449" s="1"/>
      <c r="M10449" s="1"/>
    </row>
    <row x14ac:dyDescent="0.25" r="10450" customHeight="1" ht="18.75">
      <c r="A10450" s="1" t="s">
        <v>3693</v>
      </c>
      <c r="B10450" s="1" t="s">
        <v>34103</v>
      </c>
      <c r="C10450" s="1" t="s">
        <v>3600</v>
      </c>
      <c r="D10450" s="1" t="s">
        <v>3601</v>
      </c>
      <c r="E10450" s="1" t="s">
        <v>3893</v>
      </c>
      <c r="F10450" s="1" t="s">
        <v>34158</v>
      </c>
      <c r="G10450" s="1" t="s">
        <v>4344</v>
      </c>
      <c r="H10450" s="1" t="s">
        <v>3604</v>
      </c>
      <c r="I10450" s="1" t="s">
        <v>34159</v>
      </c>
      <c r="J10450" s="1" t="s">
        <v>3615</v>
      </c>
      <c r="K10450" s="1" t="s">
        <v>34106</v>
      </c>
      <c r="L10450" s="1"/>
      <c r="M10450" s="1"/>
    </row>
    <row x14ac:dyDescent="0.25" r="10451" customHeight="1" ht="18.75">
      <c r="A10451" s="1" t="s">
        <v>3617</v>
      </c>
      <c r="B10451" s="1" t="s">
        <v>12383</v>
      </c>
      <c r="C10451" s="1" t="s">
        <v>3619</v>
      </c>
      <c r="D10451" s="1" t="s">
        <v>14146</v>
      </c>
      <c r="E10451" s="1" t="s">
        <v>3664</v>
      </c>
      <c r="F10451" s="1" t="s">
        <v>34160</v>
      </c>
      <c r="G10451" s="1" t="s">
        <v>12383</v>
      </c>
      <c r="H10451" s="1" t="s">
        <v>3604</v>
      </c>
      <c r="I10451" s="1" t="s">
        <v>34161</v>
      </c>
      <c r="J10451" s="1" t="s">
        <v>3606</v>
      </c>
      <c r="K10451" s="1" t="s">
        <v>34162</v>
      </c>
      <c r="L10451" s="1"/>
      <c r="M10451" s="1"/>
    </row>
    <row x14ac:dyDescent="0.25" r="10452" customHeight="1" ht="18.75">
      <c r="A10452" s="1" t="s">
        <v>3598</v>
      </c>
      <c r="B10452" s="1" t="s">
        <v>18096</v>
      </c>
      <c r="C10452" s="1" t="s">
        <v>3600</v>
      </c>
      <c r="D10452" s="1" t="s">
        <v>3601</v>
      </c>
      <c r="E10452" s="1" t="s">
        <v>3664</v>
      </c>
      <c r="F10452" s="1" t="s">
        <v>34163</v>
      </c>
      <c r="G10452" s="1" t="s">
        <v>20541</v>
      </c>
      <c r="H10452" s="1" t="s">
        <v>3604</v>
      </c>
      <c r="I10452" s="1" t="s">
        <v>34164</v>
      </c>
      <c r="J10452" s="1" t="s">
        <v>3615</v>
      </c>
      <c r="K10452" s="1" t="s">
        <v>34165</v>
      </c>
      <c r="L10452" s="1"/>
      <c r="M10452" s="1"/>
    </row>
    <row x14ac:dyDescent="0.25" r="10453" customHeight="1" ht="18.75">
      <c r="A10453" s="1" t="s">
        <v>3693</v>
      </c>
      <c r="B10453" s="1" t="s">
        <v>4267</v>
      </c>
      <c r="C10453" s="1" t="s">
        <v>3600</v>
      </c>
      <c r="D10453" s="1" t="s">
        <v>3601</v>
      </c>
      <c r="E10453" s="1" t="s">
        <v>3611</v>
      </c>
      <c r="F10453" s="1" t="s">
        <v>34166</v>
      </c>
      <c r="G10453" s="1" t="s">
        <v>23537</v>
      </c>
      <c r="H10453" s="1" t="s">
        <v>3604</v>
      </c>
      <c r="I10453" s="1" t="s">
        <v>34167</v>
      </c>
      <c r="J10453" s="1" t="s">
        <v>3615</v>
      </c>
      <c r="K10453" s="1" t="s">
        <v>34168</v>
      </c>
      <c r="L10453" s="1"/>
      <c r="M10453" s="1"/>
    </row>
    <row x14ac:dyDescent="0.25" r="10454" customHeight="1" ht="18.75">
      <c r="A10454" s="1" t="s">
        <v>3693</v>
      </c>
      <c r="B10454" s="1" t="s">
        <v>4267</v>
      </c>
      <c r="C10454" s="1" t="s">
        <v>3600</v>
      </c>
      <c r="D10454" s="1" t="s">
        <v>3601</v>
      </c>
      <c r="E10454" s="1" t="s">
        <v>3611</v>
      </c>
      <c r="F10454" s="1" t="s">
        <v>34169</v>
      </c>
      <c r="G10454" s="1" t="s">
        <v>34170</v>
      </c>
      <c r="H10454" s="1" t="s">
        <v>3604</v>
      </c>
      <c r="I10454" s="1" t="s">
        <v>34171</v>
      </c>
      <c r="J10454" s="1" t="s">
        <v>3615</v>
      </c>
      <c r="K10454" s="1" t="s">
        <v>34168</v>
      </c>
      <c r="L10454" s="1"/>
      <c r="M10454" s="1"/>
    </row>
    <row x14ac:dyDescent="0.25" r="10455" customHeight="1" ht="18.75">
      <c r="A10455" s="1" t="s">
        <v>3598</v>
      </c>
      <c r="B10455" s="1" t="s">
        <v>15780</v>
      </c>
      <c r="C10455" s="1" t="s">
        <v>3600</v>
      </c>
      <c r="D10455" s="1" t="s">
        <v>3601</v>
      </c>
      <c r="E10455" s="1" t="s">
        <v>3664</v>
      </c>
      <c r="F10455" s="1" t="s">
        <v>34172</v>
      </c>
      <c r="G10455" s="1" t="s">
        <v>20537</v>
      </c>
      <c r="H10455" s="1" t="s">
        <v>3604</v>
      </c>
      <c r="I10455" s="1" t="s">
        <v>34173</v>
      </c>
      <c r="J10455" s="1" t="s">
        <v>3615</v>
      </c>
      <c r="K10455" s="1" t="s">
        <v>34174</v>
      </c>
      <c r="L10455" s="1"/>
      <c r="M10455" s="1"/>
    </row>
    <row x14ac:dyDescent="0.25" r="10456" customHeight="1" ht="18.75">
      <c r="A10456" s="1" t="s">
        <v>3693</v>
      </c>
      <c r="B10456" s="1" t="s">
        <v>4267</v>
      </c>
      <c r="C10456" s="1" t="s">
        <v>3600</v>
      </c>
      <c r="D10456" s="1" t="s">
        <v>3601</v>
      </c>
      <c r="E10456" s="1" t="s">
        <v>3611</v>
      </c>
      <c r="F10456" s="1" t="s">
        <v>34175</v>
      </c>
      <c r="G10456" s="1" t="s">
        <v>34170</v>
      </c>
      <c r="H10456" s="1" t="s">
        <v>3604</v>
      </c>
      <c r="I10456" s="1" t="s">
        <v>34176</v>
      </c>
      <c r="J10456" s="1" t="s">
        <v>3615</v>
      </c>
      <c r="K10456" s="1" t="s">
        <v>34177</v>
      </c>
      <c r="L10456" s="1"/>
      <c r="M10456" s="1"/>
    </row>
    <row x14ac:dyDescent="0.25" r="10457" customHeight="1" ht="18.75">
      <c r="A10457" s="1" t="s">
        <v>3693</v>
      </c>
      <c r="B10457" s="1" t="s">
        <v>4267</v>
      </c>
      <c r="C10457" s="1" t="s">
        <v>3600</v>
      </c>
      <c r="D10457" s="1" t="s">
        <v>3601</v>
      </c>
      <c r="E10457" s="1" t="s">
        <v>3611</v>
      </c>
      <c r="F10457" s="1" t="s">
        <v>34178</v>
      </c>
      <c r="G10457" s="1" t="s">
        <v>23537</v>
      </c>
      <c r="H10457" s="1" t="s">
        <v>3604</v>
      </c>
      <c r="I10457" s="1" t="s">
        <v>34179</v>
      </c>
      <c r="J10457" s="1" t="s">
        <v>3615</v>
      </c>
      <c r="K10457" s="1" t="s">
        <v>34177</v>
      </c>
      <c r="L10457" s="1"/>
      <c r="M10457" s="1"/>
    </row>
    <row x14ac:dyDescent="0.25" r="10458" customHeight="1" ht="18.75">
      <c r="A10458" s="1" t="s">
        <v>3693</v>
      </c>
      <c r="B10458" s="1" t="s">
        <v>4083</v>
      </c>
      <c r="C10458" s="1" t="s">
        <v>3600</v>
      </c>
      <c r="D10458" s="1" t="s">
        <v>3601</v>
      </c>
      <c r="E10458" s="1" t="s">
        <v>3893</v>
      </c>
      <c r="F10458" s="1" t="s">
        <v>34180</v>
      </c>
      <c r="G10458" s="1" t="s">
        <v>4346</v>
      </c>
      <c r="H10458" s="1" t="s">
        <v>3604</v>
      </c>
      <c r="I10458" s="1" t="s">
        <v>34181</v>
      </c>
      <c r="J10458" s="1" t="s">
        <v>3615</v>
      </c>
      <c r="K10458" s="1" t="s">
        <v>34182</v>
      </c>
      <c r="L10458" s="1"/>
      <c r="M10458" s="1"/>
    </row>
    <row x14ac:dyDescent="0.25" r="10459" customHeight="1" ht="18.75">
      <c r="A10459" s="1" t="s">
        <v>3617</v>
      </c>
      <c r="B10459" s="1" t="s">
        <v>34183</v>
      </c>
      <c r="C10459" s="1" t="s">
        <v>3619</v>
      </c>
      <c r="D10459" s="1" t="s">
        <v>14146</v>
      </c>
      <c r="E10459" s="1" t="s">
        <v>3893</v>
      </c>
      <c r="F10459" s="1" t="s">
        <v>34184</v>
      </c>
      <c r="G10459" s="1" t="s">
        <v>34183</v>
      </c>
      <c r="H10459" s="1" t="s">
        <v>3604</v>
      </c>
      <c r="I10459" s="1" t="s">
        <v>34185</v>
      </c>
      <c r="J10459" s="1" t="s">
        <v>3615</v>
      </c>
      <c r="K10459" s="1" t="s">
        <v>34186</v>
      </c>
      <c r="L10459" s="1"/>
      <c r="M10459" s="1"/>
    </row>
    <row x14ac:dyDescent="0.25" r="10460" customHeight="1" ht="18.75">
      <c r="A10460" s="1" t="s">
        <v>3693</v>
      </c>
      <c r="B10460" s="1" t="s">
        <v>4204</v>
      </c>
      <c r="C10460" s="1" t="s">
        <v>3600</v>
      </c>
      <c r="D10460" s="1" t="s">
        <v>3601</v>
      </c>
      <c r="E10460" s="1" t="s">
        <v>3893</v>
      </c>
      <c r="F10460" s="1" t="s">
        <v>34187</v>
      </c>
      <c r="G10460" s="1" t="s">
        <v>4419</v>
      </c>
      <c r="H10460" s="1" t="s">
        <v>3604</v>
      </c>
      <c r="I10460" s="1" t="s">
        <v>34188</v>
      </c>
      <c r="J10460" s="1" t="s">
        <v>3615</v>
      </c>
      <c r="K10460" s="1" t="s">
        <v>34189</v>
      </c>
      <c r="L10460" s="1"/>
      <c r="M10460" s="1"/>
    </row>
    <row x14ac:dyDescent="0.25" r="10461" customHeight="1" ht="18.75">
      <c r="A10461" s="1" t="s">
        <v>3693</v>
      </c>
      <c r="B10461" s="1" t="s">
        <v>4204</v>
      </c>
      <c r="C10461" s="1" t="s">
        <v>3600</v>
      </c>
      <c r="D10461" s="1" t="s">
        <v>3601</v>
      </c>
      <c r="E10461" s="1" t="s">
        <v>3893</v>
      </c>
      <c r="F10461" s="1" t="s">
        <v>34190</v>
      </c>
      <c r="G10461" s="1" t="s">
        <v>4419</v>
      </c>
      <c r="H10461" s="1" t="s">
        <v>3604</v>
      </c>
      <c r="I10461" s="1" t="s">
        <v>34191</v>
      </c>
      <c r="J10461" s="1" t="s">
        <v>3615</v>
      </c>
      <c r="K10461" s="1" t="s">
        <v>34189</v>
      </c>
      <c r="L10461" s="1"/>
      <c r="M10461" s="1"/>
    </row>
    <row x14ac:dyDescent="0.25" r="10462" customHeight="1" ht="18.75">
      <c r="A10462" s="1" t="s">
        <v>3617</v>
      </c>
      <c r="B10462" s="1" t="s">
        <v>34192</v>
      </c>
      <c r="C10462" s="1" t="s">
        <v>3619</v>
      </c>
      <c r="D10462" s="1" t="s">
        <v>14146</v>
      </c>
      <c r="E10462" s="1" t="s">
        <v>3730</v>
      </c>
      <c r="F10462" s="1" t="s">
        <v>34193</v>
      </c>
      <c r="G10462" s="1" t="s">
        <v>34192</v>
      </c>
      <c r="H10462" s="1" t="s">
        <v>3604</v>
      </c>
      <c r="I10462" s="1" t="s">
        <v>34194</v>
      </c>
      <c r="J10462" s="1" t="s">
        <v>3606</v>
      </c>
      <c r="K10462" s="1" t="s">
        <v>34195</v>
      </c>
      <c r="L10462" s="1"/>
      <c r="M10462" s="1"/>
    </row>
    <row x14ac:dyDescent="0.25" r="10463" customHeight="1" ht="18.75">
      <c r="A10463" s="1" t="s">
        <v>3617</v>
      </c>
      <c r="B10463" s="1" t="s">
        <v>14155</v>
      </c>
      <c r="C10463" s="1" t="s">
        <v>3619</v>
      </c>
      <c r="D10463" s="1" t="s">
        <v>14146</v>
      </c>
      <c r="E10463" s="1" t="s">
        <v>3730</v>
      </c>
      <c r="F10463" s="1" t="s">
        <v>34196</v>
      </c>
      <c r="G10463" s="1" t="s">
        <v>14155</v>
      </c>
      <c r="H10463" s="1" t="s">
        <v>3604</v>
      </c>
      <c r="I10463" s="1" t="s">
        <v>34197</v>
      </c>
      <c r="J10463" s="1" t="s">
        <v>3606</v>
      </c>
      <c r="K10463" s="1" t="s">
        <v>34198</v>
      </c>
      <c r="L10463" s="1"/>
      <c r="M10463" s="1"/>
    </row>
    <row x14ac:dyDescent="0.25" r="10464" customHeight="1" ht="18.75">
      <c r="A10464" s="1" t="s">
        <v>3617</v>
      </c>
      <c r="B10464" s="1" t="s">
        <v>13056</v>
      </c>
      <c r="C10464" s="1" t="s">
        <v>4488</v>
      </c>
      <c r="D10464" s="1" t="s">
        <v>14146</v>
      </c>
      <c r="E10464" s="1" t="s">
        <v>34199</v>
      </c>
      <c r="F10464" s="1" t="s">
        <v>34200</v>
      </c>
      <c r="G10464" s="1" t="s">
        <v>13056</v>
      </c>
      <c r="H10464" s="1" t="s">
        <v>3604</v>
      </c>
      <c r="I10464" s="1" t="s">
        <v>34201</v>
      </c>
      <c r="J10464" s="1" t="s">
        <v>3615</v>
      </c>
      <c r="K10464" s="1" t="s">
        <v>34202</v>
      </c>
      <c r="L10464" s="1"/>
      <c r="M10464" s="1"/>
    </row>
    <row x14ac:dyDescent="0.25" r="10465" customHeight="1" ht="18.75">
      <c r="A10465" s="1" t="s">
        <v>3693</v>
      </c>
      <c r="B10465" s="1" t="s">
        <v>4204</v>
      </c>
      <c r="C10465" s="1" t="s">
        <v>3600</v>
      </c>
      <c r="D10465" s="1" t="s">
        <v>3601</v>
      </c>
      <c r="E10465" s="1" t="s">
        <v>3893</v>
      </c>
      <c r="F10465" s="1" t="s">
        <v>34203</v>
      </c>
      <c r="G10465" s="1" t="s">
        <v>4419</v>
      </c>
      <c r="H10465" s="1" t="s">
        <v>3604</v>
      </c>
      <c r="I10465" s="1" t="s">
        <v>34204</v>
      </c>
      <c r="J10465" s="1" t="s">
        <v>3615</v>
      </c>
      <c r="K10465" s="1" t="s">
        <v>34189</v>
      </c>
      <c r="L10465" s="1"/>
      <c r="M10465" s="1"/>
    </row>
    <row x14ac:dyDescent="0.25" r="10466" customHeight="1" ht="18.75">
      <c r="A10466" s="1" t="s">
        <v>3693</v>
      </c>
      <c r="B10466" s="1" t="s">
        <v>4204</v>
      </c>
      <c r="C10466" s="1" t="s">
        <v>3600</v>
      </c>
      <c r="D10466" s="1" t="s">
        <v>3601</v>
      </c>
      <c r="E10466" s="1" t="s">
        <v>3893</v>
      </c>
      <c r="F10466" s="1" t="s">
        <v>34205</v>
      </c>
      <c r="G10466" s="1" t="s">
        <v>4419</v>
      </c>
      <c r="H10466" s="1" t="s">
        <v>3604</v>
      </c>
      <c r="I10466" s="1" t="s">
        <v>34206</v>
      </c>
      <c r="J10466" s="1" t="s">
        <v>3615</v>
      </c>
      <c r="K10466" s="1" t="s">
        <v>34189</v>
      </c>
      <c r="L10466" s="1"/>
      <c r="M10466" s="1"/>
    </row>
    <row x14ac:dyDescent="0.25" r="10467" customHeight="1" ht="18.75">
      <c r="A10467" s="1" t="s">
        <v>3693</v>
      </c>
      <c r="B10467" s="1" t="s">
        <v>4204</v>
      </c>
      <c r="C10467" s="1" t="s">
        <v>3600</v>
      </c>
      <c r="D10467" s="1" t="s">
        <v>3601</v>
      </c>
      <c r="E10467" s="1" t="s">
        <v>3893</v>
      </c>
      <c r="F10467" s="1" t="s">
        <v>34207</v>
      </c>
      <c r="G10467" s="1" t="s">
        <v>4417</v>
      </c>
      <c r="H10467" s="1" t="s">
        <v>3604</v>
      </c>
      <c r="I10467" s="1" t="s">
        <v>34208</v>
      </c>
      <c r="J10467" s="1" t="s">
        <v>3615</v>
      </c>
      <c r="K10467" s="1" t="s">
        <v>34209</v>
      </c>
      <c r="L10467" s="1"/>
      <c r="M10467" s="1"/>
    </row>
    <row x14ac:dyDescent="0.25" r="10468" customHeight="1" ht="18.75">
      <c r="A10468" s="1" t="s">
        <v>3617</v>
      </c>
      <c r="B10468" s="1" t="s">
        <v>13066</v>
      </c>
      <c r="C10468" s="1" t="s">
        <v>4488</v>
      </c>
      <c r="D10468" s="1" t="s">
        <v>14146</v>
      </c>
      <c r="E10468" s="1" t="s">
        <v>34199</v>
      </c>
      <c r="F10468" s="1" t="s">
        <v>34210</v>
      </c>
      <c r="G10468" s="1" t="s">
        <v>13066</v>
      </c>
      <c r="H10468" s="1" t="s">
        <v>3604</v>
      </c>
      <c r="I10468" s="1" t="s">
        <v>34211</v>
      </c>
      <c r="J10468" s="1" t="s">
        <v>3615</v>
      </c>
      <c r="K10468" s="1" t="s">
        <v>34212</v>
      </c>
      <c r="L10468" s="1"/>
      <c r="M10468" s="1"/>
    </row>
    <row x14ac:dyDescent="0.25" r="10469" customHeight="1" ht="18.75">
      <c r="A10469" s="1" t="s">
        <v>3693</v>
      </c>
      <c r="B10469" s="1" t="s">
        <v>4204</v>
      </c>
      <c r="C10469" s="1" t="s">
        <v>3600</v>
      </c>
      <c r="D10469" s="1" t="s">
        <v>3601</v>
      </c>
      <c r="E10469" s="1" t="s">
        <v>3893</v>
      </c>
      <c r="F10469" s="1" t="s">
        <v>34213</v>
      </c>
      <c r="G10469" s="1" t="s">
        <v>4417</v>
      </c>
      <c r="H10469" s="1" t="s">
        <v>3604</v>
      </c>
      <c r="I10469" s="1" t="s">
        <v>34214</v>
      </c>
      <c r="J10469" s="1" t="s">
        <v>3615</v>
      </c>
      <c r="K10469" s="1" t="s">
        <v>34209</v>
      </c>
      <c r="L10469" s="1"/>
      <c r="M10469" s="1"/>
    </row>
    <row x14ac:dyDescent="0.25" r="10470" customHeight="1" ht="18.75">
      <c r="A10470" s="1" t="s">
        <v>3617</v>
      </c>
      <c r="B10470" s="1" t="s">
        <v>34215</v>
      </c>
      <c r="C10470" s="1" t="s">
        <v>3619</v>
      </c>
      <c r="D10470" s="1" t="s">
        <v>14146</v>
      </c>
      <c r="E10470" s="1" t="s">
        <v>3730</v>
      </c>
      <c r="F10470" s="1" t="s">
        <v>34216</v>
      </c>
      <c r="G10470" s="1" t="s">
        <v>34215</v>
      </c>
      <c r="H10470" s="1" t="s">
        <v>3604</v>
      </c>
      <c r="I10470" s="1" t="s">
        <v>34217</v>
      </c>
      <c r="J10470" s="1" t="s">
        <v>3615</v>
      </c>
      <c r="K10470" s="1" t="s">
        <v>34218</v>
      </c>
      <c r="L10470" s="1"/>
      <c r="M10470" s="1"/>
    </row>
    <row x14ac:dyDescent="0.25" r="10471" customHeight="1" ht="18.75">
      <c r="A10471" s="1" t="s">
        <v>3693</v>
      </c>
      <c r="B10471" s="1" t="s">
        <v>4204</v>
      </c>
      <c r="C10471" s="1" t="s">
        <v>3600</v>
      </c>
      <c r="D10471" s="1" t="s">
        <v>3601</v>
      </c>
      <c r="E10471" s="1" t="s">
        <v>3893</v>
      </c>
      <c r="F10471" s="1" t="s">
        <v>34219</v>
      </c>
      <c r="G10471" s="1" t="s">
        <v>4417</v>
      </c>
      <c r="H10471" s="1" t="s">
        <v>3604</v>
      </c>
      <c r="I10471" s="1" t="s">
        <v>34220</v>
      </c>
      <c r="J10471" s="1" t="s">
        <v>3615</v>
      </c>
      <c r="K10471" s="1" t="s">
        <v>34209</v>
      </c>
      <c r="L10471" s="1"/>
      <c r="M10471" s="1"/>
    </row>
    <row x14ac:dyDescent="0.25" r="10472" customHeight="1" ht="18.75">
      <c r="A10472" s="1" t="s">
        <v>3693</v>
      </c>
      <c r="B10472" s="1" t="s">
        <v>4204</v>
      </c>
      <c r="C10472" s="1" t="s">
        <v>3600</v>
      </c>
      <c r="D10472" s="1" t="s">
        <v>3601</v>
      </c>
      <c r="E10472" s="1" t="s">
        <v>3893</v>
      </c>
      <c r="F10472" s="1" t="s">
        <v>34221</v>
      </c>
      <c r="G10472" s="1" t="s">
        <v>4417</v>
      </c>
      <c r="H10472" s="1" t="s">
        <v>3604</v>
      </c>
      <c r="I10472" s="1" t="s">
        <v>34222</v>
      </c>
      <c r="J10472" s="1" t="s">
        <v>3615</v>
      </c>
      <c r="K10472" s="1" t="s">
        <v>34209</v>
      </c>
      <c r="L10472" s="1"/>
      <c r="M10472" s="1"/>
    </row>
    <row x14ac:dyDescent="0.25" r="10473" customHeight="1" ht="18.75">
      <c r="A10473" s="1" t="s">
        <v>3693</v>
      </c>
      <c r="B10473" s="1" t="s">
        <v>4204</v>
      </c>
      <c r="C10473" s="1" t="s">
        <v>3600</v>
      </c>
      <c r="D10473" s="1" t="s">
        <v>3601</v>
      </c>
      <c r="E10473" s="1" t="s">
        <v>3893</v>
      </c>
      <c r="F10473" s="1" t="s">
        <v>34223</v>
      </c>
      <c r="G10473" s="1" t="s">
        <v>26994</v>
      </c>
      <c r="H10473" s="1" t="s">
        <v>3604</v>
      </c>
      <c r="I10473" s="1" t="s">
        <v>34224</v>
      </c>
      <c r="J10473" s="1" t="s">
        <v>3615</v>
      </c>
      <c r="K10473" s="1" t="s">
        <v>34225</v>
      </c>
      <c r="L10473" s="1"/>
      <c r="M10473" s="1"/>
    </row>
    <row x14ac:dyDescent="0.25" r="10474" customHeight="1" ht="18.75">
      <c r="A10474" s="1" t="s">
        <v>3693</v>
      </c>
      <c r="B10474" s="1" t="s">
        <v>4204</v>
      </c>
      <c r="C10474" s="1" t="s">
        <v>3600</v>
      </c>
      <c r="D10474" s="1" t="s">
        <v>3601</v>
      </c>
      <c r="E10474" s="1" t="s">
        <v>3893</v>
      </c>
      <c r="F10474" s="1" t="s">
        <v>34226</v>
      </c>
      <c r="G10474" s="1" t="s">
        <v>26994</v>
      </c>
      <c r="H10474" s="1" t="s">
        <v>3604</v>
      </c>
      <c r="I10474" s="1" t="s">
        <v>34227</v>
      </c>
      <c r="J10474" s="1" t="s">
        <v>3615</v>
      </c>
      <c r="K10474" s="1" t="s">
        <v>34225</v>
      </c>
      <c r="L10474" s="1"/>
      <c r="M10474" s="1"/>
    </row>
    <row x14ac:dyDescent="0.25" r="10475" customHeight="1" ht="18.75">
      <c r="A10475" s="1" t="s">
        <v>3693</v>
      </c>
      <c r="B10475" s="1" t="s">
        <v>4204</v>
      </c>
      <c r="C10475" s="1" t="s">
        <v>3600</v>
      </c>
      <c r="D10475" s="1" t="s">
        <v>3601</v>
      </c>
      <c r="E10475" s="1" t="s">
        <v>3893</v>
      </c>
      <c r="F10475" s="1" t="s">
        <v>34228</v>
      </c>
      <c r="G10475" s="1" t="s">
        <v>26994</v>
      </c>
      <c r="H10475" s="1" t="s">
        <v>3604</v>
      </c>
      <c r="I10475" s="1" t="s">
        <v>34229</v>
      </c>
      <c r="J10475" s="1" t="s">
        <v>3615</v>
      </c>
      <c r="K10475" s="1" t="s">
        <v>34225</v>
      </c>
      <c r="L10475" s="1"/>
      <c r="M10475" s="1"/>
    </row>
    <row x14ac:dyDescent="0.25" r="10476" customHeight="1" ht="18.75">
      <c r="A10476" s="1" t="s">
        <v>3617</v>
      </c>
      <c r="B10476" s="1" t="s">
        <v>34230</v>
      </c>
      <c r="C10476" s="1" t="s">
        <v>3619</v>
      </c>
      <c r="D10476" s="1" t="s">
        <v>14146</v>
      </c>
      <c r="E10476" s="1" t="s">
        <v>3730</v>
      </c>
      <c r="F10476" s="1" t="s">
        <v>34231</v>
      </c>
      <c r="G10476" s="1" t="s">
        <v>34230</v>
      </c>
      <c r="H10476" s="1" t="s">
        <v>3604</v>
      </c>
      <c r="I10476" s="1" t="s">
        <v>34232</v>
      </c>
      <c r="J10476" s="1" t="s">
        <v>3615</v>
      </c>
      <c r="K10476" s="1" t="s">
        <v>34233</v>
      </c>
      <c r="L10476" s="1"/>
      <c r="M10476" s="1"/>
    </row>
    <row x14ac:dyDescent="0.25" r="10477" customHeight="1" ht="18.75">
      <c r="A10477" s="1" t="s">
        <v>3617</v>
      </c>
      <c r="B10477" s="1" t="s">
        <v>34234</v>
      </c>
      <c r="C10477" s="1" t="s">
        <v>3619</v>
      </c>
      <c r="D10477" s="1" t="s">
        <v>14146</v>
      </c>
      <c r="E10477" s="1" t="s">
        <v>3730</v>
      </c>
      <c r="F10477" s="1" t="s">
        <v>34235</v>
      </c>
      <c r="G10477" s="1" t="s">
        <v>34234</v>
      </c>
      <c r="H10477" s="1" t="s">
        <v>3604</v>
      </c>
      <c r="I10477" s="1" t="s">
        <v>34236</v>
      </c>
      <c r="J10477" s="1" t="s">
        <v>3615</v>
      </c>
      <c r="K10477" s="1" t="s">
        <v>34237</v>
      </c>
      <c r="L10477" s="1"/>
      <c r="M10477" s="1"/>
    </row>
    <row x14ac:dyDescent="0.25" r="10478" customHeight="1" ht="18.75">
      <c r="A10478" s="1" t="s">
        <v>3617</v>
      </c>
      <c r="B10478" s="1" t="s">
        <v>34238</v>
      </c>
      <c r="C10478" s="1" t="s">
        <v>3619</v>
      </c>
      <c r="D10478" s="1" t="s">
        <v>14146</v>
      </c>
      <c r="E10478" s="1" t="s">
        <v>3730</v>
      </c>
      <c r="F10478" s="1" t="s">
        <v>34239</v>
      </c>
      <c r="G10478" s="1" t="s">
        <v>34238</v>
      </c>
      <c r="H10478" s="1" t="s">
        <v>3604</v>
      </c>
      <c r="I10478" s="1" t="s">
        <v>34240</v>
      </c>
      <c r="J10478" s="1" t="s">
        <v>3615</v>
      </c>
      <c r="K10478" s="1" t="s">
        <v>34241</v>
      </c>
      <c r="L10478" s="1"/>
      <c r="M10478" s="1"/>
    </row>
    <row x14ac:dyDescent="0.25" r="10479" customHeight="1" ht="18.75">
      <c r="A10479" s="1" t="s">
        <v>3617</v>
      </c>
      <c r="B10479" s="1" t="s">
        <v>34242</v>
      </c>
      <c r="C10479" s="1" t="s">
        <v>3619</v>
      </c>
      <c r="D10479" s="1" t="s">
        <v>14146</v>
      </c>
      <c r="E10479" s="1" t="s">
        <v>3730</v>
      </c>
      <c r="F10479" s="1" t="s">
        <v>34243</v>
      </c>
      <c r="G10479" s="1" t="s">
        <v>34242</v>
      </c>
      <c r="H10479" s="1" t="s">
        <v>3604</v>
      </c>
      <c r="I10479" s="1" t="s">
        <v>34244</v>
      </c>
      <c r="J10479" s="1" t="s">
        <v>3615</v>
      </c>
      <c r="K10479" s="1" t="s">
        <v>34245</v>
      </c>
      <c r="L10479" s="1"/>
      <c r="M10479" s="1"/>
    </row>
    <row x14ac:dyDescent="0.25" r="10480" customHeight="1" ht="18.75">
      <c r="A10480" s="1" t="s">
        <v>3617</v>
      </c>
      <c r="B10480" s="1" t="s">
        <v>34246</v>
      </c>
      <c r="C10480" s="1" t="s">
        <v>3619</v>
      </c>
      <c r="D10480" s="1" t="s">
        <v>14146</v>
      </c>
      <c r="E10480" s="1" t="s">
        <v>3730</v>
      </c>
      <c r="F10480" s="1" t="s">
        <v>34247</v>
      </c>
      <c r="G10480" s="1" t="s">
        <v>34246</v>
      </c>
      <c r="H10480" s="1" t="s">
        <v>3604</v>
      </c>
      <c r="I10480" s="1" t="s">
        <v>34248</v>
      </c>
      <c r="J10480" s="1" t="s">
        <v>3615</v>
      </c>
      <c r="K10480" s="1" t="s">
        <v>34249</v>
      </c>
      <c r="L10480" s="1"/>
      <c r="M10480" s="1"/>
    </row>
    <row x14ac:dyDescent="0.25" r="10481" customHeight="1" ht="18.75">
      <c r="A10481" s="1" t="s">
        <v>3617</v>
      </c>
      <c r="B10481" s="1" t="s">
        <v>34250</v>
      </c>
      <c r="C10481" s="1" t="s">
        <v>3619</v>
      </c>
      <c r="D10481" s="1" t="s">
        <v>14146</v>
      </c>
      <c r="E10481" s="1" t="s">
        <v>3730</v>
      </c>
      <c r="F10481" s="1" t="s">
        <v>34251</v>
      </c>
      <c r="G10481" s="1" t="s">
        <v>34250</v>
      </c>
      <c r="H10481" s="1" t="s">
        <v>3604</v>
      </c>
      <c r="I10481" s="1" t="s">
        <v>34252</v>
      </c>
      <c r="J10481" s="1" t="s">
        <v>3615</v>
      </c>
      <c r="K10481" s="1" t="s">
        <v>34253</v>
      </c>
      <c r="L10481" s="1"/>
      <c r="M10481" s="1"/>
    </row>
    <row x14ac:dyDescent="0.25" r="10482" customHeight="1" ht="18.75">
      <c r="A10482" s="1" t="s">
        <v>3617</v>
      </c>
      <c r="B10482" s="1" t="s">
        <v>34254</v>
      </c>
      <c r="C10482" s="1" t="s">
        <v>3619</v>
      </c>
      <c r="D10482" s="1" t="s">
        <v>14146</v>
      </c>
      <c r="E10482" s="1" t="s">
        <v>3730</v>
      </c>
      <c r="F10482" s="1" t="s">
        <v>34255</v>
      </c>
      <c r="G10482" s="1" t="s">
        <v>34254</v>
      </c>
      <c r="H10482" s="1" t="s">
        <v>3604</v>
      </c>
      <c r="I10482" s="1" t="s">
        <v>34256</v>
      </c>
      <c r="J10482" s="1" t="s">
        <v>3615</v>
      </c>
      <c r="K10482" s="1" t="s">
        <v>34257</v>
      </c>
      <c r="L10482" s="1"/>
      <c r="M10482" s="1"/>
    </row>
    <row x14ac:dyDescent="0.25" r="10483" customHeight="1" ht="18.75">
      <c r="A10483" s="1" t="s">
        <v>3617</v>
      </c>
      <c r="B10483" s="1" t="s">
        <v>34258</v>
      </c>
      <c r="C10483" s="1" t="s">
        <v>3619</v>
      </c>
      <c r="D10483" s="1" t="s">
        <v>14146</v>
      </c>
      <c r="E10483" s="1" t="s">
        <v>3730</v>
      </c>
      <c r="F10483" s="1" t="s">
        <v>34259</v>
      </c>
      <c r="G10483" s="1" t="s">
        <v>34258</v>
      </c>
      <c r="H10483" s="1" t="s">
        <v>3604</v>
      </c>
      <c r="I10483" s="1" t="s">
        <v>34260</v>
      </c>
      <c r="J10483" s="1" t="s">
        <v>3615</v>
      </c>
      <c r="K10483" s="1" t="s">
        <v>34261</v>
      </c>
      <c r="L10483" s="1"/>
      <c r="M10483" s="1"/>
    </row>
    <row x14ac:dyDescent="0.25" r="10484" customHeight="1" ht="18.75">
      <c r="A10484" s="1" t="s">
        <v>3598</v>
      </c>
      <c r="B10484" s="1" t="s">
        <v>9012</v>
      </c>
      <c r="C10484" s="1" t="s">
        <v>3600</v>
      </c>
      <c r="D10484" s="1" t="s">
        <v>3601</v>
      </c>
      <c r="E10484" s="1" t="s">
        <v>3893</v>
      </c>
      <c r="F10484" s="1" t="s">
        <v>34262</v>
      </c>
      <c r="G10484" s="1" t="s">
        <v>16649</v>
      </c>
      <c r="H10484" s="1" t="s">
        <v>3604</v>
      </c>
      <c r="I10484" s="1" t="s">
        <v>34263</v>
      </c>
      <c r="J10484" s="1" t="s">
        <v>3615</v>
      </c>
      <c r="K10484" s="1" t="s">
        <v>34264</v>
      </c>
      <c r="L10484" s="1"/>
      <c r="M10484" s="1"/>
    </row>
    <row x14ac:dyDescent="0.25" r="10485" customHeight="1" ht="18.75">
      <c r="A10485" s="1" t="s">
        <v>3617</v>
      </c>
      <c r="B10485" s="1" t="s">
        <v>34265</v>
      </c>
      <c r="C10485" s="1" t="s">
        <v>3619</v>
      </c>
      <c r="D10485" s="1" t="s">
        <v>14146</v>
      </c>
      <c r="E10485" s="1" t="s">
        <v>3981</v>
      </c>
      <c r="F10485" s="1" t="s">
        <v>34266</v>
      </c>
      <c r="G10485" s="1" t="s">
        <v>34265</v>
      </c>
      <c r="H10485" s="1" t="s">
        <v>3604</v>
      </c>
      <c r="I10485" s="1" t="s">
        <v>34267</v>
      </c>
      <c r="J10485" s="1" t="s">
        <v>3615</v>
      </c>
      <c r="K10485" s="1" t="s">
        <v>17968</v>
      </c>
      <c r="L10485" s="1"/>
      <c r="M10485" s="1"/>
    </row>
    <row x14ac:dyDescent="0.25" r="10486" customHeight="1" ht="18.75">
      <c r="A10486" s="1" t="s">
        <v>3598</v>
      </c>
      <c r="B10486" s="1" t="s">
        <v>9012</v>
      </c>
      <c r="C10486" s="1" t="s">
        <v>3600</v>
      </c>
      <c r="D10486" s="1" t="s">
        <v>3601</v>
      </c>
      <c r="E10486" s="1" t="s">
        <v>3893</v>
      </c>
      <c r="F10486" s="1" t="s">
        <v>34268</v>
      </c>
      <c r="G10486" s="1" t="s">
        <v>16649</v>
      </c>
      <c r="H10486" s="1" t="s">
        <v>3604</v>
      </c>
      <c r="I10486" s="1" t="s">
        <v>34269</v>
      </c>
      <c r="J10486" s="1" t="s">
        <v>3615</v>
      </c>
      <c r="K10486" s="1" t="s">
        <v>34270</v>
      </c>
      <c r="L10486" s="1"/>
      <c r="M10486" s="1"/>
    </row>
    <row x14ac:dyDescent="0.25" r="10487" customHeight="1" ht="18.75">
      <c r="A10487" s="1" t="s">
        <v>3617</v>
      </c>
      <c r="B10487" s="1" t="s">
        <v>8544</v>
      </c>
      <c r="C10487" s="1" t="s">
        <v>3619</v>
      </c>
      <c r="D10487" s="1" t="s">
        <v>14146</v>
      </c>
      <c r="E10487" s="1" t="s">
        <v>34199</v>
      </c>
      <c r="F10487" s="1" t="s">
        <v>34200</v>
      </c>
      <c r="G10487" s="1" t="s">
        <v>8544</v>
      </c>
      <c r="H10487" s="1" t="s">
        <v>3604</v>
      </c>
      <c r="I10487" s="1" t="s">
        <v>34271</v>
      </c>
      <c r="J10487" s="1" t="s">
        <v>3615</v>
      </c>
      <c r="K10487" s="1" t="s">
        <v>34272</v>
      </c>
      <c r="L10487" s="1"/>
      <c r="M10487" s="1"/>
    </row>
    <row x14ac:dyDescent="0.25" r="10488" customHeight="1" ht="18.75">
      <c r="A10488" s="1" t="s">
        <v>3617</v>
      </c>
      <c r="B10488" s="1" t="s">
        <v>8544</v>
      </c>
      <c r="C10488" s="1" t="s">
        <v>3619</v>
      </c>
      <c r="D10488" s="1" t="s">
        <v>14146</v>
      </c>
      <c r="E10488" s="1" t="s">
        <v>34199</v>
      </c>
      <c r="F10488" s="1" t="s">
        <v>34200</v>
      </c>
      <c r="G10488" s="1" t="s">
        <v>8544</v>
      </c>
      <c r="H10488" s="1" t="s">
        <v>3604</v>
      </c>
      <c r="I10488" s="1" t="s">
        <v>34273</v>
      </c>
      <c r="J10488" s="1" t="s">
        <v>3615</v>
      </c>
      <c r="K10488" s="1" t="s">
        <v>34272</v>
      </c>
      <c r="L10488" s="1"/>
      <c r="M10488" s="1"/>
    </row>
    <row x14ac:dyDescent="0.25" r="10489" customHeight="1" ht="18.75">
      <c r="A10489" s="1" t="s">
        <v>3598</v>
      </c>
      <c r="B10489" s="1" t="s">
        <v>9012</v>
      </c>
      <c r="C10489" s="1" t="s">
        <v>3600</v>
      </c>
      <c r="D10489" s="1" t="s">
        <v>3601</v>
      </c>
      <c r="E10489" s="1" t="s">
        <v>3893</v>
      </c>
      <c r="F10489" s="1" t="s">
        <v>34274</v>
      </c>
      <c r="G10489" s="1" t="s">
        <v>34275</v>
      </c>
      <c r="H10489" s="1" t="s">
        <v>3604</v>
      </c>
      <c r="I10489" s="1" t="s">
        <v>34276</v>
      </c>
      <c r="J10489" s="1" t="s">
        <v>3615</v>
      </c>
      <c r="K10489" s="1" t="s">
        <v>34277</v>
      </c>
      <c r="L10489" s="1"/>
      <c r="M10489" s="1"/>
    </row>
    <row x14ac:dyDescent="0.25" r="10490" customHeight="1" ht="18.75">
      <c r="A10490" s="1" t="s">
        <v>3598</v>
      </c>
      <c r="B10490" s="1" t="s">
        <v>19642</v>
      </c>
      <c r="C10490" s="1" t="s">
        <v>3600</v>
      </c>
      <c r="D10490" s="1" t="s">
        <v>3601</v>
      </c>
      <c r="E10490" s="1" t="s">
        <v>3664</v>
      </c>
      <c r="F10490" s="1" t="s">
        <v>34278</v>
      </c>
      <c r="G10490" s="1" t="s">
        <v>20211</v>
      </c>
      <c r="H10490" s="1" t="s">
        <v>3604</v>
      </c>
      <c r="I10490" s="1" t="s">
        <v>34279</v>
      </c>
      <c r="J10490" s="1" t="s">
        <v>3615</v>
      </c>
      <c r="K10490" s="1" t="s">
        <v>34280</v>
      </c>
      <c r="L10490" s="1"/>
      <c r="M10490" s="1"/>
    </row>
    <row x14ac:dyDescent="0.25" r="10491" customHeight="1" ht="18.75">
      <c r="A10491" s="1" t="s">
        <v>3617</v>
      </c>
      <c r="B10491" s="1" t="s">
        <v>6359</v>
      </c>
      <c r="C10491" s="1" t="s">
        <v>3619</v>
      </c>
      <c r="D10491" s="1" t="s">
        <v>14146</v>
      </c>
      <c r="E10491" s="1" t="s">
        <v>3730</v>
      </c>
      <c r="F10491" s="1" t="s">
        <v>34281</v>
      </c>
      <c r="G10491" s="1" t="s">
        <v>6359</v>
      </c>
      <c r="H10491" s="1" t="s">
        <v>3604</v>
      </c>
      <c r="I10491" s="1" t="s">
        <v>34282</v>
      </c>
      <c r="J10491" s="1" t="s">
        <v>3615</v>
      </c>
      <c r="K10491" s="1" t="s">
        <v>17976</v>
      </c>
      <c r="L10491" s="1"/>
      <c r="M10491" s="1"/>
    </row>
    <row x14ac:dyDescent="0.25" r="10492" customHeight="1" ht="18.75">
      <c r="A10492" s="1" t="s">
        <v>3617</v>
      </c>
      <c r="B10492" s="1" t="s">
        <v>34283</v>
      </c>
      <c r="C10492" s="1" t="s">
        <v>3619</v>
      </c>
      <c r="D10492" s="1" t="s">
        <v>14146</v>
      </c>
      <c r="E10492" s="1" t="s">
        <v>3730</v>
      </c>
      <c r="F10492" s="1" t="s">
        <v>34284</v>
      </c>
      <c r="G10492" s="1" t="s">
        <v>34283</v>
      </c>
      <c r="H10492" s="1" t="s">
        <v>3604</v>
      </c>
      <c r="I10492" s="1" t="s">
        <v>34285</v>
      </c>
      <c r="J10492" s="1" t="s">
        <v>3615</v>
      </c>
      <c r="K10492" s="1" t="s">
        <v>17979</v>
      </c>
      <c r="L10492" s="1"/>
      <c r="M10492" s="1"/>
    </row>
    <row x14ac:dyDescent="0.25" r="10493" customHeight="1" ht="18.75">
      <c r="A10493" s="1" t="s">
        <v>3598</v>
      </c>
      <c r="B10493" s="1" t="s">
        <v>9025</v>
      </c>
      <c r="C10493" s="1" t="s">
        <v>3600</v>
      </c>
      <c r="D10493" s="1" t="s">
        <v>8365</v>
      </c>
      <c r="E10493" s="1" t="s">
        <v>3752</v>
      </c>
      <c r="F10493" s="1" t="s">
        <v>34286</v>
      </c>
      <c r="G10493" s="1" t="s">
        <v>34287</v>
      </c>
      <c r="H10493" s="1" t="s">
        <v>3604</v>
      </c>
      <c r="I10493" s="1" t="s">
        <v>34288</v>
      </c>
      <c r="J10493" s="1" t="s">
        <v>3615</v>
      </c>
      <c r="K10493" s="1" t="s">
        <v>34289</v>
      </c>
      <c r="L10493" s="1"/>
      <c r="M10493" s="1"/>
    </row>
    <row x14ac:dyDescent="0.25" r="10494" customHeight="1" ht="18.75">
      <c r="A10494" s="1" t="s">
        <v>3598</v>
      </c>
      <c r="B10494" s="1" t="s">
        <v>9236</v>
      </c>
      <c r="C10494" s="1" t="s">
        <v>3600</v>
      </c>
      <c r="D10494" s="1" t="s">
        <v>8365</v>
      </c>
      <c r="E10494" s="1" t="s">
        <v>3752</v>
      </c>
      <c r="F10494" s="1" t="s">
        <v>34290</v>
      </c>
      <c r="G10494" s="1" t="s">
        <v>34291</v>
      </c>
      <c r="H10494" s="1" t="s">
        <v>3604</v>
      </c>
      <c r="I10494" s="1" t="s">
        <v>34292</v>
      </c>
      <c r="J10494" s="1" t="s">
        <v>3615</v>
      </c>
      <c r="K10494" s="1" t="s">
        <v>34293</v>
      </c>
      <c r="L10494" s="1"/>
      <c r="M10494" s="1"/>
    </row>
    <row x14ac:dyDescent="0.25" r="10495" customHeight="1" ht="18.75">
      <c r="A10495" s="1" t="s">
        <v>3598</v>
      </c>
      <c r="B10495" s="1" t="s">
        <v>5260</v>
      </c>
      <c r="C10495" s="1" t="s">
        <v>3600</v>
      </c>
      <c r="D10495" s="1" t="s">
        <v>8365</v>
      </c>
      <c r="E10495" s="1" t="s">
        <v>3664</v>
      </c>
      <c r="F10495" s="1" t="s">
        <v>34294</v>
      </c>
      <c r="G10495" s="1" t="s">
        <v>34295</v>
      </c>
      <c r="H10495" s="1" t="s">
        <v>3604</v>
      </c>
      <c r="I10495" s="1" t="s">
        <v>34296</v>
      </c>
      <c r="J10495" s="1" t="s">
        <v>3615</v>
      </c>
      <c r="K10495" s="1" t="s">
        <v>34297</v>
      </c>
      <c r="L10495" s="1"/>
      <c r="M10495" s="1"/>
    </row>
    <row x14ac:dyDescent="0.25" r="10496" customHeight="1" ht="18.75">
      <c r="A10496" s="1" t="s">
        <v>3598</v>
      </c>
      <c r="B10496" s="1" t="s">
        <v>19918</v>
      </c>
      <c r="C10496" s="1" t="s">
        <v>3600</v>
      </c>
      <c r="D10496" s="1" t="s">
        <v>3601</v>
      </c>
      <c r="E10496" s="1" t="s">
        <v>3893</v>
      </c>
      <c r="F10496" s="1" t="s">
        <v>34298</v>
      </c>
      <c r="G10496" s="1" t="s">
        <v>19920</v>
      </c>
      <c r="H10496" s="1" t="s">
        <v>3604</v>
      </c>
      <c r="I10496" s="1" t="s">
        <v>34299</v>
      </c>
      <c r="J10496" s="1" t="s">
        <v>3606</v>
      </c>
      <c r="K10496" s="1" t="s">
        <v>34300</v>
      </c>
      <c r="L10496" s="1"/>
      <c r="M10496" s="1"/>
    </row>
    <row x14ac:dyDescent="0.25" r="10497" customHeight="1" ht="18.75">
      <c r="A10497" s="1" t="s">
        <v>3598</v>
      </c>
      <c r="B10497" s="1" t="s">
        <v>9273</v>
      </c>
      <c r="C10497" s="1" t="s">
        <v>3600</v>
      </c>
      <c r="D10497" s="1" t="s">
        <v>533</v>
      </c>
      <c r="E10497" s="1" t="s">
        <v>3664</v>
      </c>
      <c r="F10497" s="1" t="s">
        <v>34301</v>
      </c>
      <c r="G10497" s="1" t="s">
        <v>9275</v>
      </c>
      <c r="H10497" s="1" t="s">
        <v>3604</v>
      </c>
      <c r="I10497" s="1" t="s">
        <v>34302</v>
      </c>
      <c r="J10497" s="1" t="s">
        <v>3615</v>
      </c>
      <c r="K10497" s="1" t="s">
        <v>28360</v>
      </c>
      <c r="L10497" s="1"/>
      <c r="M10497" s="1"/>
    </row>
    <row x14ac:dyDescent="0.25" r="10498" customHeight="1" ht="18.75">
      <c r="A10498" s="1" t="s">
        <v>3598</v>
      </c>
      <c r="B10498" s="1" t="s">
        <v>9007</v>
      </c>
      <c r="C10498" s="1" t="s">
        <v>3600</v>
      </c>
      <c r="D10498" s="1" t="s">
        <v>7891</v>
      </c>
      <c r="E10498" s="1" t="s">
        <v>3893</v>
      </c>
      <c r="F10498" s="1" t="s">
        <v>34303</v>
      </c>
      <c r="G10498" s="1" t="s">
        <v>15029</v>
      </c>
      <c r="H10498" s="1" t="s">
        <v>3604</v>
      </c>
      <c r="I10498" s="1" t="s">
        <v>34304</v>
      </c>
      <c r="J10498" s="1" t="s">
        <v>3615</v>
      </c>
      <c r="K10498" s="1" t="s">
        <v>34305</v>
      </c>
      <c r="L10498" s="1"/>
      <c r="M10498" s="1"/>
    </row>
    <row x14ac:dyDescent="0.25" r="10499" customHeight="1" ht="18.75">
      <c r="A10499" s="1" t="s">
        <v>3598</v>
      </c>
      <c r="B10499" s="1" t="s">
        <v>17075</v>
      </c>
      <c r="C10499" s="1" t="s">
        <v>3600</v>
      </c>
      <c r="D10499" s="1" t="s">
        <v>3610</v>
      </c>
      <c r="E10499" s="1" t="s">
        <v>3752</v>
      </c>
      <c r="F10499" s="1" t="s">
        <v>34306</v>
      </c>
      <c r="G10499" s="1" t="s">
        <v>27719</v>
      </c>
      <c r="H10499" s="1" t="s">
        <v>3604</v>
      </c>
      <c r="I10499" s="1" t="s">
        <v>34307</v>
      </c>
      <c r="J10499" s="1" t="s">
        <v>3615</v>
      </c>
      <c r="K10499" s="1" t="s">
        <v>26845</v>
      </c>
      <c r="L10499" s="1"/>
      <c r="M10499" s="1"/>
    </row>
    <row x14ac:dyDescent="0.25" r="10500" customHeight="1" ht="18.75">
      <c r="A10500" s="1" t="s">
        <v>3598</v>
      </c>
      <c r="B10500" s="1" t="s">
        <v>34007</v>
      </c>
      <c r="C10500" s="1" t="s">
        <v>3600</v>
      </c>
      <c r="D10500" s="1" t="s">
        <v>3601</v>
      </c>
      <c r="E10500" s="1" t="s">
        <v>3664</v>
      </c>
      <c r="F10500" s="1" t="s">
        <v>34308</v>
      </c>
      <c r="G10500" s="1" t="s">
        <v>29503</v>
      </c>
      <c r="H10500" s="1" t="s">
        <v>3604</v>
      </c>
      <c r="I10500" s="1" t="s">
        <v>34309</v>
      </c>
      <c r="J10500" s="1" t="s">
        <v>3615</v>
      </c>
      <c r="K10500" s="1" t="s">
        <v>34310</v>
      </c>
      <c r="L10500" s="1"/>
      <c r="M10500" s="1"/>
    </row>
    <row x14ac:dyDescent="0.25" r="10501" customHeight="1" ht="18.75">
      <c r="A10501" s="1" t="s">
        <v>3598</v>
      </c>
      <c r="B10501" s="1" t="s">
        <v>9025</v>
      </c>
      <c r="C10501" s="1" t="s">
        <v>3600</v>
      </c>
      <c r="D10501" s="1" t="s">
        <v>3610</v>
      </c>
      <c r="E10501" s="1" t="s">
        <v>3752</v>
      </c>
      <c r="F10501" s="1" t="s">
        <v>34311</v>
      </c>
      <c r="G10501" s="1" t="s">
        <v>34312</v>
      </c>
      <c r="H10501" s="1" t="s">
        <v>3604</v>
      </c>
      <c r="I10501" s="1" t="s">
        <v>34313</v>
      </c>
      <c r="J10501" s="1" t="s">
        <v>3615</v>
      </c>
      <c r="K10501" s="1" t="s">
        <v>26790</v>
      </c>
      <c r="L10501" s="1"/>
      <c r="M10501" s="1"/>
    </row>
    <row x14ac:dyDescent="0.25" r="10502" customHeight="1" ht="18.75">
      <c r="A10502" s="1" t="s">
        <v>3598</v>
      </c>
      <c r="B10502" s="1" t="s">
        <v>4781</v>
      </c>
      <c r="C10502" s="1" t="s">
        <v>3600</v>
      </c>
      <c r="D10502" s="1" t="s">
        <v>3601</v>
      </c>
      <c r="E10502" s="1" t="s">
        <v>3752</v>
      </c>
      <c r="F10502" s="1" t="s">
        <v>34314</v>
      </c>
      <c r="G10502" s="1" t="s">
        <v>34315</v>
      </c>
      <c r="H10502" s="1" t="s">
        <v>3604</v>
      </c>
      <c r="I10502" s="1" t="s">
        <v>34316</v>
      </c>
      <c r="J10502" s="1" t="s">
        <v>3615</v>
      </c>
      <c r="K10502" s="1" t="s">
        <v>34317</v>
      </c>
      <c r="L10502" s="1"/>
      <c r="M10502" s="1"/>
    </row>
    <row x14ac:dyDescent="0.25" r="10503" customHeight="1" ht="18.75">
      <c r="A10503" s="1" t="s">
        <v>3598</v>
      </c>
      <c r="B10503" s="1" t="s">
        <v>5260</v>
      </c>
      <c r="C10503" s="1" t="s">
        <v>3600</v>
      </c>
      <c r="D10503" s="1" t="s">
        <v>3601</v>
      </c>
      <c r="E10503" s="1" t="s">
        <v>3664</v>
      </c>
      <c r="F10503" s="1" t="s">
        <v>34318</v>
      </c>
      <c r="G10503" s="1" t="s">
        <v>9107</v>
      </c>
      <c r="H10503" s="1" t="s">
        <v>3604</v>
      </c>
      <c r="I10503" s="1" t="s">
        <v>34319</v>
      </c>
      <c r="J10503" s="1" t="s">
        <v>3615</v>
      </c>
      <c r="K10503" s="1" t="s">
        <v>34320</v>
      </c>
      <c r="L10503" s="1"/>
      <c r="M10503" s="1"/>
    </row>
    <row x14ac:dyDescent="0.25" r="10504" customHeight="1" ht="18.75">
      <c r="A10504" s="1" t="s">
        <v>3598</v>
      </c>
      <c r="B10504" s="1" t="s">
        <v>9025</v>
      </c>
      <c r="C10504" s="1" t="s">
        <v>3600</v>
      </c>
      <c r="D10504" s="1" t="s">
        <v>3610</v>
      </c>
      <c r="E10504" s="1" t="s">
        <v>3752</v>
      </c>
      <c r="F10504" s="1" t="s">
        <v>34321</v>
      </c>
      <c r="G10504" s="1" t="s">
        <v>30080</v>
      </c>
      <c r="H10504" s="1" t="s">
        <v>3604</v>
      </c>
      <c r="I10504" s="1" t="s">
        <v>34322</v>
      </c>
      <c r="J10504" s="1" t="s">
        <v>3615</v>
      </c>
      <c r="K10504" s="1" t="s">
        <v>26802</v>
      </c>
      <c r="L10504" s="1"/>
      <c r="M10504" s="1"/>
    </row>
    <row x14ac:dyDescent="0.25" r="10505" customHeight="1" ht="18.75">
      <c r="A10505" s="1" t="s">
        <v>3598</v>
      </c>
      <c r="B10505" s="1" t="s">
        <v>9025</v>
      </c>
      <c r="C10505" s="1" t="s">
        <v>3600</v>
      </c>
      <c r="D10505" s="1" t="s">
        <v>3610</v>
      </c>
      <c r="E10505" s="1" t="s">
        <v>3752</v>
      </c>
      <c r="F10505" s="1" t="s">
        <v>34323</v>
      </c>
      <c r="G10505" s="1" t="s">
        <v>30084</v>
      </c>
      <c r="H10505" s="1" t="s">
        <v>3604</v>
      </c>
      <c r="I10505" s="1" t="s">
        <v>34324</v>
      </c>
      <c r="J10505" s="1" t="s">
        <v>3615</v>
      </c>
      <c r="K10505" s="1" t="s">
        <v>34325</v>
      </c>
      <c r="L10505" s="1"/>
      <c r="M10505" s="1"/>
    </row>
    <row x14ac:dyDescent="0.25" r="10506" customHeight="1" ht="18.75">
      <c r="A10506" s="1" t="s">
        <v>3598</v>
      </c>
      <c r="B10506" s="1" t="s">
        <v>9025</v>
      </c>
      <c r="C10506" s="1" t="s">
        <v>3600</v>
      </c>
      <c r="D10506" s="1" t="s">
        <v>3610</v>
      </c>
      <c r="E10506" s="1" t="s">
        <v>3752</v>
      </c>
      <c r="F10506" s="1" t="s">
        <v>34326</v>
      </c>
      <c r="G10506" s="1" t="s">
        <v>32461</v>
      </c>
      <c r="H10506" s="1" t="s">
        <v>3604</v>
      </c>
      <c r="I10506" s="1" t="s">
        <v>34327</v>
      </c>
      <c r="J10506" s="1" t="s">
        <v>3615</v>
      </c>
      <c r="K10506" s="1" t="s">
        <v>34328</v>
      </c>
      <c r="L10506" s="1"/>
      <c r="M10506" s="1"/>
    </row>
    <row x14ac:dyDescent="0.25" r="10507" customHeight="1" ht="18.75">
      <c r="A10507" s="1" t="s">
        <v>3598</v>
      </c>
      <c r="B10507" s="1" t="s">
        <v>9025</v>
      </c>
      <c r="C10507" s="1" t="s">
        <v>3600</v>
      </c>
      <c r="D10507" s="1" t="s">
        <v>3610</v>
      </c>
      <c r="E10507" s="1" t="s">
        <v>3752</v>
      </c>
      <c r="F10507" s="1" t="s">
        <v>34329</v>
      </c>
      <c r="G10507" s="1" t="s">
        <v>32471</v>
      </c>
      <c r="H10507" s="1" t="s">
        <v>3604</v>
      </c>
      <c r="I10507" s="1" t="s">
        <v>34330</v>
      </c>
      <c r="J10507" s="1" t="s">
        <v>3615</v>
      </c>
      <c r="K10507" s="1" t="s">
        <v>34331</v>
      </c>
      <c r="L10507" s="1"/>
      <c r="M10507" s="1"/>
    </row>
    <row x14ac:dyDescent="0.25" r="10508" customHeight="1" ht="18.75">
      <c r="A10508" s="1" t="s">
        <v>3598</v>
      </c>
      <c r="B10508" s="1" t="s">
        <v>9025</v>
      </c>
      <c r="C10508" s="1" t="s">
        <v>3600</v>
      </c>
      <c r="D10508" s="1" t="s">
        <v>3610</v>
      </c>
      <c r="E10508" s="1" t="s">
        <v>3752</v>
      </c>
      <c r="F10508" s="1" t="s">
        <v>34332</v>
      </c>
      <c r="G10508" s="1" t="s">
        <v>32471</v>
      </c>
      <c r="H10508" s="1" t="s">
        <v>3604</v>
      </c>
      <c r="I10508" s="1" t="s">
        <v>34333</v>
      </c>
      <c r="J10508" s="1" t="s">
        <v>3615</v>
      </c>
      <c r="K10508" s="1" t="s">
        <v>34334</v>
      </c>
      <c r="L10508" s="1"/>
      <c r="M10508" s="1"/>
    </row>
    <row x14ac:dyDescent="0.25" r="10509" customHeight="1" ht="18.75">
      <c r="A10509" s="1" t="s">
        <v>3598</v>
      </c>
      <c r="B10509" s="1" t="s">
        <v>9025</v>
      </c>
      <c r="C10509" s="1" t="s">
        <v>3600</v>
      </c>
      <c r="D10509" s="1" t="s">
        <v>3610</v>
      </c>
      <c r="E10509" s="1" t="s">
        <v>3752</v>
      </c>
      <c r="F10509" s="1" t="s">
        <v>34335</v>
      </c>
      <c r="G10509" s="1" t="s">
        <v>32471</v>
      </c>
      <c r="H10509" s="1" t="s">
        <v>3604</v>
      </c>
      <c r="I10509" s="1" t="s">
        <v>34336</v>
      </c>
      <c r="J10509" s="1" t="s">
        <v>3615</v>
      </c>
      <c r="K10509" s="1" t="s">
        <v>34337</v>
      </c>
      <c r="L10509" s="1"/>
      <c r="M10509" s="1"/>
    </row>
    <row x14ac:dyDescent="0.25" r="10510" customHeight="1" ht="18.75">
      <c r="A10510" s="1" t="s">
        <v>3598</v>
      </c>
      <c r="B10510" s="1" t="s">
        <v>3751</v>
      </c>
      <c r="C10510" s="1" t="s">
        <v>3600</v>
      </c>
      <c r="D10510" s="1" t="s">
        <v>3610</v>
      </c>
      <c r="E10510" s="1" t="s">
        <v>3752</v>
      </c>
      <c r="F10510" s="1" t="s">
        <v>34338</v>
      </c>
      <c r="G10510" s="1" t="s">
        <v>34339</v>
      </c>
      <c r="H10510" s="1" t="s">
        <v>3604</v>
      </c>
      <c r="I10510" s="1" t="s">
        <v>34340</v>
      </c>
      <c r="J10510" s="1" t="s">
        <v>3615</v>
      </c>
      <c r="K10510" s="1" t="s">
        <v>26672</v>
      </c>
      <c r="L10510" s="1"/>
      <c r="M10510" s="1"/>
    </row>
    <row x14ac:dyDescent="0.25" r="10511" customHeight="1" ht="18.75">
      <c r="A10511" s="1" t="s">
        <v>3617</v>
      </c>
      <c r="B10511" s="1" t="s">
        <v>34341</v>
      </c>
      <c r="C10511" s="1" t="s">
        <v>3619</v>
      </c>
      <c r="D10511" s="1" t="s">
        <v>14146</v>
      </c>
      <c r="E10511" s="1" t="s">
        <v>3730</v>
      </c>
      <c r="F10511" s="1" t="s">
        <v>6281</v>
      </c>
      <c r="G10511" s="1" t="s">
        <v>34341</v>
      </c>
      <c r="H10511" s="1" t="s">
        <v>3604</v>
      </c>
      <c r="I10511" s="1" t="s">
        <v>34342</v>
      </c>
      <c r="J10511" s="1" t="s">
        <v>3615</v>
      </c>
      <c r="K10511" s="1" t="s">
        <v>17982</v>
      </c>
      <c r="L10511" s="1"/>
      <c r="M10511" s="1"/>
    </row>
    <row x14ac:dyDescent="0.25" r="10512" customHeight="1" ht="18.75">
      <c r="A10512" s="1" t="s">
        <v>3598</v>
      </c>
      <c r="B10512" s="1" t="s">
        <v>9025</v>
      </c>
      <c r="C10512" s="1" t="s">
        <v>3600</v>
      </c>
      <c r="D10512" s="1" t="s">
        <v>3610</v>
      </c>
      <c r="E10512" s="1" t="s">
        <v>3752</v>
      </c>
      <c r="F10512" s="1" t="s">
        <v>34343</v>
      </c>
      <c r="G10512" s="1" t="s">
        <v>30080</v>
      </c>
      <c r="H10512" s="1" t="s">
        <v>3604</v>
      </c>
      <c r="I10512" s="1" t="s">
        <v>34344</v>
      </c>
      <c r="J10512" s="1" t="s">
        <v>3615</v>
      </c>
      <c r="K10512" s="1" t="s">
        <v>26799</v>
      </c>
      <c r="L10512" s="1"/>
      <c r="M10512" s="1"/>
    </row>
    <row x14ac:dyDescent="0.25" r="10513" customHeight="1" ht="18.75">
      <c r="A10513" s="1" t="s">
        <v>3598</v>
      </c>
      <c r="B10513" s="1" t="s">
        <v>9025</v>
      </c>
      <c r="C10513" s="1" t="s">
        <v>3600</v>
      </c>
      <c r="D10513" s="1" t="s">
        <v>3610</v>
      </c>
      <c r="E10513" s="1" t="s">
        <v>3752</v>
      </c>
      <c r="F10513" s="1" t="s">
        <v>34345</v>
      </c>
      <c r="G10513" s="1" t="s">
        <v>34346</v>
      </c>
      <c r="H10513" s="1" t="s">
        <v>3604</v>
      </c>
      <c r="I10513" s="1" t="s">
        <v>34347</v>
      </c>
      <c r="J10513" s="1" t="s">
        <v>3615</v>
      </c>
      <c r="K10513" s="1" t="s">
        <v>34348</v>
      </c>
      <c r="L10513" s="1"/>
      <c r="M10513" s="1"/>
    </row>
    <row x14ac:dyDescent="0.25" r="10514" customHeight="1" ht="18.75">
      <c r="A10514" s="1" t="s">
        <v>3617</v>
      </c>
      <c r="B10514" s="1" t="s">
        <v>34349</v>
      </c>
      <c r="C10514" s="1" t="s">
        <v>3619</v>
      </c>
      <c r="D10514" s="1" t="s">
        <v>14146</v>
      </c>
      <c r="E10514" s="1" t="s">
        <v>3730</v>
      </c>
      <c r="F10514" s="1" t="s">
        <v>34350</v>
      </c>
      <c r="G10514" s="1" t="s">
        <v>34349</v>
      </c>
      <c r="H10514" s="1" t="s">
        <v>3604</v>
      </c>
      <c r="I10514" s="1" t="s">
        <v>34351</v>
      </c>
      <c r="J10514" s="1" t="s">
        <v>3615</v>
      </c>
      <c r="K10514" s="1" t="s">
        <v>17989</v>
      </c>
      <c r="L10514" s="1"/>
      <c r="M10514" s="1"/>
    </row>
    <row x14ac:dyDescent="0.25" r="10515" customHeight="1" ht="18.75">
      <c r="A10515" s="1" t="s">
        <v>3617</v>
      </c>
      <c r="B10515" s="1" t="s">
        <v>34352</v>
      </c>
      <c r="C10515" s="1" t="s">
        <v>3619</v>
      </c>
      <c r="D10515" s="1" t="s">
        <v>14146</v>
      </c>
      <c r="E10515" s="1" t="s">
        <v>3730</v>
      </c>
      <c r="F10515" s="1" t="s">
        <v>6277</v>
      </c>
      <c r="G10515" s="1" t="s">
        <v>34352</v>
      </c>
      <c r="H10515" s="1" t="s">
        <v>3604</v>
      </c>
      <c r="I10515" s="1" t="s">
        <v>34353</v>
      </c>
      <c r="J10515" s="1" t="s">
        <v>3615</v>
      </c>
      <c r="K10515" s="1" t="s">
        <v>17996</v>
      </c>
      <c r="L10515" s="1"/>
      <c r="M10515" s="1"/>
    </row>
    <row x14ac:dyDescent="0.25" r="10516" customHeight="1" ht="18.75">
      <c r="A10516" s="1" t="s">
        <v>3598</v>
      </c>
      <c r="B10516" s="1" t="s">
        <v>9025</v>
      </c>
      <c r="C10516" s="1" t="s">
        <v>3600</v>
      </c>
      <c r="D10516" s="1" t="s">
        <v>3610</v>
      </c>
      <c r="E10516" s="1" t="s">
        <v>3752</v>
      </c>
      <c r="F10516" s="1" t="s">
        <v>34354</v>
      </c>
      <c r="G10516" s="1" t="s">
        <v>30084</v>
      </c>
      <c r="H10516" s="1" t="s">
        <v>3604</v>
      </c>
      <c r="I10516" s="1" t="s">
        <v>34355</v>
      </c>
      <c r="J10516" s="1" t="s">
        <v>3615</v>
      </c>
      <c r="K10516" s="1" t="s">
        <v>34356</v>
      </c>
      <c r="L10516" s="1"/>
      <c r="M10516" s="1"/>
    </row>
    <row x14ac:dyDescent="0.25" r="10517" customHeight="1" ht="18.75">
      <c r="A10517" s="1" t="s">
        <v>3598</v>
      </c>
      <c r="B10517" s="1" t="s">
        <v>9025</v>
      </c>
      <c r="C10517" s="1" t="s">
        <v>3600</v>
      </c>
      <c r="D10517" s="1" t="s">
        <v>3610</v>
      </c>
      <c r="E10517" s="1" t="s">
        <v>3752</v>
      </c>
      <c r="F10517" s="1" t="s">
        <v>34357</v>
      </c>
      <c r="G10517" s="1" t="s">
        <v>32461</v>
      </c>
      <c r="H10517" s="1" t="s">
        <v>3604</v>
      </c>
      <c r="I10517" s="1" t="s">
        <v>34358</v>
      </c>
      <c r="J10517" s="1" t="s">
        <v>3615</v>
      </c>
      <c r="K10517" s="1" t="s">
        <v>34359</v>
      </c>
      <c r="L10517" s="1"/>
      <c r="M10517" s="1"/>
    </row>
    <row x14ac:dyDescent="0.25" r="10518" customHeight="1" ht="18.75">
      <c r="A10518" s="1" t="s">
        <v>3598</v>
      </c>
      <c r="B10518" s="1" t="s">
        <v>9020</v>
      </c>
      <c r="C10518" s="1" t="s">
        <v>3600</v>
      </c>
      <c r="D10518" s="1" t="s">
        <v>3601</v>
      </c>
      <c r="E10518" s="1" t="s">
        <v>3893</v>
      </c>
      <c r="F10518" s="1" t="s">
        <v>34360</v>
      </c>
      <c r="G10518" s="1" t="s">
        <v>34361</v>
      </c>
      <c r="H10518" s="1" t="s">
        <v>3604</v>
      </c>
      <c r="I10518" s="1" t="s">
        <v>34362</v>
      </c>
      <c r="J10518" s="1" t="s">
        <v>3615</v>
      </c>
      <c r="K10518" s="1" t="s">
        <v>34363</v>
      </c>
      <c r="L10518" s="1"/>
      <c r="M10518" s="1"/>
    </row>
    <row x14ac:dyDescent="0.25" r="10519" customHeight="1" ht="18.75">
      <c r="A10519" s="1" t="s">
        <v>3598</v>
      </c>
      <c r="B10519" s="1" t="s">
        <v>18096</v>
      </c>
      <c r="C10519" s="1" t="s">
        <v>3600</v>
      </c>
      <c r="D10519" s="1" t="s">
        <v>3601</v>
      </c>
      <c r="E10519" s="1" t="s">
        <v>3893</v>
      </c>
      <c r="F10519" s="1" t="s">
        <v>34364</v>
      </c>
      <c r="G10519" s="1" t="s">
        <v>20370</v>
      </c>
      <c r="H10519" s="1" t="s">
        <v>3604</v>
      </c>
      <c r="I10519" s="1" t="s">
        <v>34365</v>
      </c>
      <c r="J10519" s="1" t="s">
        <v>3615</v>
      </c>
      <c r="K10519" s="1" t="s">
        <v>34366</v>
      </c>
      <c r="L10519" s="1"/>
      <c r="M10519" s="1"/>
    </row>
    <row x14ac:dyDescent="0.25" r="10520" customHeight="1" ht="18.75">
      <c r="A10520" s="1" t="s">
        <v>3598</v>
      </c>
      <c r="B10520" s="1" t="s">
        <v>18096</v>
      </c>
      <c r="C10520" s="1" t="s">
        <v>3600</v>
      </c>
      <c r="D10520" s="1" t="s">
        <v>3601</v>
      </c>
      <c r="E10520" s="1" t="s">
        <v>3893</v>
      </c>
      <c r="F10520" s="1" t="s">
        <v>34367</v>
      </c>
      <c r="G10520" s="1" t="s">
        <v>20370</v>
      </c>
      <c r="H10520" s="1" t="s">
        <v>3604</v>
      </c>
      <c r="I10520" s="1" t="s">
        <v>34368</v>
      </c>
      <c r="J10520" s="1" t="s">
        <v>3615</v>
      </c>
      <c r="K10520" s="1" t="s">
        <v>34369</v>
      </c>
      <c r="L10520" s="1"/>
      <c r="M10520" s="1"/>
    </row>
    <row x14ac:dyDescent="0.25" r="10521" customHeight="1" ht="18.75">
      <c r="A10521" s="1" t="s">
        <v>3598</v>
      </c>
      <c r="B10521" s="1" t="s">
        <v>3778</v>
      </c>
      <c r="C10521" s="1" t="s">
        <v>3600</v>
      </c>
      <c r="D10521" s="1" t="s">
        <v>3601</v>
      </c>
      <c r="E10521" s="1" t="s">
        <v>3664</v>
      </c>
      <c r="F10521" s="1" t="s">
        <v>34370</v>
      </c>
      <c r="G10521" s="1" t="s">
        <v>31235</v>
      </c>
      <c r="H10521" s="1" t="s">
        <v>3604</v>
      </c>
      <c r="I10521" s="1" t="s">
        <v>34371</v>
      </c>
      <c r="J10521" s="1" t="s">
        <v>3615</v>
      </c>
      <c r="K10521" s="1" t="s">
        <v>34372</v>
      </c>
      <c r="L10521" s="1"/>
      <c r="M10521" s="1"/>
    </row>
    <row x14ac:dyDescent="0.25" r="10522" customHeight="1" ht="18.75">
      <c r="A10522" s="1" t="s">
        <v>3598</v>
      </c>
      <c r="B10522" s="1" t="s">
        <v>3778</v>
      </c>
      <c r="C10522" s="1" t="s">
        <v>3600</v>
      </c>
      <c r="D10522" s="1" t="s">
        <v>3601</v>
      </c>
      <c r="E10522" s="1" t="s">
        <v>3664</v>
      </c>
      <c r="F10522" s="1" t="s">
        <v>34373</v>
      </c>
      <c r="G10522" s="1" t="s">
        <v>31235</v>
      </c>
      <c r="H10522" s="1" t="s">
        <v>3604</v>
      </c>
      <c r="I10522" s="1" t="s">
        <v>34374</v>
      </c>
      <c r="J10522" s="1" t="s">
        <v>3615</v>
      </c>
      <c r="K10522" s="1" t="s">
        <v>34375</v>
      </c>
      <c r="L10522" s="1"/>
      <c r="M10522" s="1"/>
    </row>
    <row x14ac:dyDescent="0.25" r="10523" customHeight="1" ht="18.75">
      <c r="A10523" s="1" t="s">
        <v>3598</v>
      </c>
      <c r="B10523" s="1" t="s">
        <v>3778</v>
      </c>
      <c r="C10523" s="1" t="s">
        <v>3600</v>
      </c>
      <c r="D10523" s="1" t="s">
        <v>3601</v>
      </c>
      <c r="E10523" s="1" t="s">
        <v>3664</v>
      </c>
      <c r="F10523" s="1" t="s">
        <v>34376</v>
      </c>
      <c r="G10523" s="1" t="s">
        <v>31235</v>
      </c>
      <c r="H10523" s="1" t="s">
        <v>3604</v>
      </c>
      <c r="I10523" s="1" t="s">
        <v>34377</v>
      </c>
      <c r="J10523" s="1" t="s">
        <v>3615</v>
      </c>
      <c r="K10523" s="1" t="s">
        <v>34378</v>
      </c>
      <c r="L10523" s="1"/>
      <c r="M10523" s="1"/>
    </row>
    <row x14ac:dyDescent="0.25" r="10524" customHeight="1" ht="18.75">
      <c r="A10524" s="1" t="s">
        <v>3598</v>
      </c>
      <c r="B10524" s="1" t="s">
        <v>15780</v>
      </c>
      <c r="C10524" s="1" t="s">
        <v>3600</v>
      </c>
      <c r="D10524" s="1" t="s">
        <v>3601</v>
      </c>
      <c r="E10524" s="1" t="s">
        <v>3664</v>
      </c>
      <c r="F10524" s="1" t="s">
        <v>34379</v>
      </c>
      <c r="G10524" s="1" t="s">
        <v>34380</v>
      </c>
      <c r="H10524" s="1" t="s">
        <v>3604</v>
      </c>
      <c r="I10524" s="1" t="s">
        <v>34381</v>
      </c>
      <c r="J10524" s="1" t="s">
        <v>3606</v>
      </c>
      <c r="K10524" s="1" t="s">
        <v>34382</v>
      </c>
      <c r="L10524" s="1"/>
      <c r="M10524" s="1"/>
    </row>
    <row x14ac:dyDescent="0.25" r="10525" customHeight="1" ht="18.75">
      <c r="A10525" s="1" t="s">
        <v>3598</v>
      </c>
      <c r="B10525" s="1" t="s">
        <v>3778</v>
      </c>
      <c r="C10525" s="1" t="s">
        <v>3600</v>
      </c>
      <c r="D10525" s="1" t="s">
        <v>3601</v>
      </c>
      <c r="E10525" s="1" t="s">
        <v>3664</v>
      </c>
      <c r="F10525" s="1" t="s">
        <v>34383</v>
      </c>
      <c r="G10525" s="1" t="s">
        <v>20049</v>
      </c>
      <c r="H10525" s="1" t="s">
        <v>3604</v>
      </c>
      <c r="I10525" s="1" t="s">
        <v>34384</v>
      </c>
      <c r="J10525" s="1" t="s">
        <v>3606</v>
      </c>
      <c r="K10525" s="1" t="s">
        <v>34385</v>
      </c>
      <c r="L10525" s="1"/>
      <c r="M10525" s="1"/>
    </row>
    <row x14ac:dyDescent="0.25" r="10526" customHeight="1" ht="18.75">
      <c r="A10526" s="1" t="s">
        <v>3598</v>
      </c>
      <c r="B10526" s="1" t="s">
        <v>4689</v>
      </c>
      <c r="C10526" s="1" t="s">
        <v>3600</v>
      </c>
      <c r="D10526" s="1" t="s">
        <v>7891</v>
      </c>
      <c r="E10526" s="1" t="s">
        <v>3664</v>
      </c>
      <c r="F10526" s="1" t="s">
        <v>34386</v>
      </c>
      <c r="G10526" s="1" t="s">
        <v>7853</v>
      </c>
      <c r="H10526" s="1" t="s">
        <v>3604</v>
      </c>
      <c r="I10526" s="1" t="s">
        <v>34387</v>
      </c>
      <c r="J10526" s="1" t="s">
        <v>3615</v>
      </c>
      <c r="K10526" s="1" t="s">
        <v>34388</v>
      </c>
      <c r="L10526" s="1"/>
      <c r="M10526" s="1"/>
    </row>
    <row x14ac:dyDescent="0.25" r="10527" customHeight="1" ht="18.75">
      <c r="A10527" s="1" t="s">
        <v>3598</v>
      </c>
      <c r="B10527" s="1" t="s">
        <v>3778</v>
      </c>
      <c r="C10527" s="1" t="s">
        <v>3600</v>
      </c>
      <c r="D10527" s="1" t="s">
        <v>3601</v>
      </c>
      <c r="E10527" s="1" t="s">
        <v>3664</v>
      </c>
      <c r="F10527" s="1" t="s">
        <v>34389</v>
      </c>
      <c r="G10527" s="1" t="s">
        <v>8961</v>
      </c>
      <c r="H10527" s="1" t="s">
        <v>3604</v>
      </c>
      <c r="I10527" s="1" t="s">
        <v>34390</v>
      </c>
      <c r="J10527" s="1" t="s">
        <v>3606</v>
      </c>
      <c r="K10527" s="1" t="s">
        <v>34391</v>
      </c>
      <c r="L10527" s="1"/>
      <c r="M10527" s="1"/>
    </row>
    <row x14ac:dyDescent="0.25" r="10528" customHeight="1" ht="18.75">
      <c r="A10528" s="1" t="s">
        <v>3598</v>
      </c>
      <c r="B10528" s="1" t="s">
        <v>3778</v>
      </c>
      <c r="C10528" s="1" t="s">
        <v>3600</v>
      </c>
      <c r="D10528" s="1" t="s">
        <v>3601</v>
      </c>
      <c r="E10528" s="1" t="s">
        <v>3664</v>
      </c>
      <c r="F10528" s="1" t="s">
        <v>34392</v>
      </c>
      <c r="G10528" s="1" t="s">
        <v>20053</v>
      </c>
      <c r="H10528" s="1" t="s">
        <v>3604</v>
      </c>
      <c r="I10528" s="1" t="s">
        <v>34393</v>
      </c>
      <c r="J10528" s="1" t="s">
        <v>3606</v>
      </c>
      <c r="K10528" s="1" t="s">
        <v>34394</v>
      </c>
      <c r="L10528" s="1"/>
      <c r="M10528" s="1"/>
    </row>
    <row x14ac:dyDescent="0.25" r="10529" customHeight="1" ht="18.75">
      <c r="A10529" s="1" t="s">
        <v>3617</v>
      </c>
      <c r="B10529" s="1" t="s">
        <v>11580</v>
      </c>
      <c r="C10529" s="1" t="s">
        <v>3619</v>
      </c>
      <c r="D10529" s="1" t="s">
        <v>14146</v>
      </c>
      <c r="E10529" s="1" t="s">
        <v>34199</v>
      </c>
      <c r="F10529" s="1" t="s">
        <v>34395</v>
      </c>
      <c r="G10529" s="1" t="s">
        <v>11580</v>
      </c>
      <c r="H10529" s="1" t="s">
        <v>3604</v>
      </c>
      <c r="I10529" s="1" t="s">
        <v>34396</v>
      </c>
      <c r="J10529" s="1" t="s">
        <v>3615</v>
      </c>
      <c r="K10529" s="1" t="s">
        <v>34397</v>
      </c>
      <c r="L10529" s="1"/>
      <c r="M10529" s="1"/>
    </row>
    <row x14ac:dyDescent="0.25" r="10530" customHeight="1" ht="18.75">
      <c r="A10530" s="1" t="s">
        <v>3617</v>
      </c>
      <c r="B10530" s="1" t="s">
        <v>8544</v>
      </c>
      <c r="C10530" s="1" t="s">
        <v>3619</v>
      </c>
      <c r="D10530" s="1" t="s">
        <v>14146</v>
      </c>
      <c r="E10530" s="1" t="s">
        <v>34199</v>
      </c>
      <c r="F10530" s="1" t="s">
        <v>34398</v>
      </c>
      <c r="G10530" s="1" t="s">
        <v>8544</v>
      </c>
      <c r="H10530" s="1" t="s">
        <v>3604</v>
      </c>
      <c r="I10530" s="1" t="s">
        <v>34399</v>
      </c>
      <c r="J10530" s="1" t="s">
        <v>3615</v>
      </c>
      <c r="K10530" s="1" t="s">
        <v>34272</v>
      </c>
      <c r="L10530" s="1"/>
      <c r="M10530" s="1"/>
    </row>
    <row x14ac:dyDescent="0.25" r="10531" customHeight="1" ht="18.75">
      <c r="A10531" s="1" t="s">
        <v>3617</v>
      </c>
      <c r="B10531" s="1" t="s">
        <v>11580</v>
      </c>
      <c r="C10531" s="1" t="s">
        <v>3619</v>
      </c>
      <c r="D10531" s="1" t="s">
        <v>14146</v>
      </c>
      <c r="E10531" s="1" t="s">
        <v>34199</v>
      </c>
      <c r="F10531" s="1" t="s">
        <v>34400</v>
      </c>
      <c r="G10531" s="1" t="s">
        <v>11580</v>
      </c>
      <c r="H10531" s="1" t="s">
        <v>3604</v>
      </c>
      <c r="I10531" s="1" t="s">
        <v>34401</v>
      </c>
      <c r="J10531" s="1" t="s">
        <v>3615</v>
      </c>
      <c r="K10531" s="1" t="s">
        <v>34397</v>
      </c>
      <c r="L10531" s="1"/>
      <c r="M10531" s="1"/>
    </row>
    <row x14ac:dyDescent="0.25" r="10532" customHeight="1" ht="18.75">
      <c r="A10532" s="1" t="s">
        <v>3598</v>
      </c>
      <c r="B10532" s="1" t="s">
        <v>4689</v>
      </c>
      <c r="C10532" s="1" t="s">
        <v>3600</v>
      </c>
      <c r="D10532" s="1" t="s">
        <v>7891</v>
      </c>
      <c r="E10532" s="1" t="s">
        <v>3664</v>
      </c>
      <c r="F10532" s="1" t="s">
        <v>34402</v>
      </c>
      <c r="G10532" s="1" t="s">
        <v>7853</v>
      </c>
      <c r="H10532" s="1" t="s">
        <v>3604</v>
      </c>
      <c r="I10532" s="1" t="s">
        <v>34403</v>
      </c>
      <c r="J10532" s="1" t="s">
        <v>3615</v>
      </c>
      <c r="K10532" s="1" t="s">
        <v>34404</v>
      </c>
      <c r="L10532" s="1"/>
      <c r="M10532" s="1"/>
    </row>
    <row x14ac:dyDescent="0.25" r="10533" customHeight="1" ht="18.75">
      <c r="A10533" s="1" t="s">
        <v>3617</v>
      </c>
      <c r="B10533" s="1" t="s">
        <v>11112</v>
      </c>
      <c r="C10533" s="1" t="s">
        <v>3619</v>
      </c>
      <c r="D10533" s="1" t="s">
        <v>14146</v>
      </c>
      <c r="E10533" s="1" t="s">
        <v>3893</v>
      </c>
      <c r="F10533" s="1" t="s">
        <v>34405</v>
      </c>
      <c r="G10533" s="1" t="s">
        <v>11112</v>
      </c>
      <c r="H10533" s="1" t="s">
        <v>3604</v>
      </c>
      <c r="I10533" s="1" t="s">
        <v>34406</v>
      </c>
      <c r="J10533" s="1" t="s">
        <v>3615</v>
      </c>
      <c r="K10533" s="1" t="s">
        <v>34407</v>
      </c>
      <c r="L10533" s="1"/>
      <c r="M10533" s="1"/>
    </row>
    <row x14ac:dyDescent="0.25" r="10534" customHeight="1" ht="18.75">
      <c r="A10534" s="1" t="s">
        <v>3598</v>
      </c>
      <c r="B10534" s="1" t="s">
        <v>9449</v>
      </c>
      <c r="C10534" s="1" t="s">
        <v>3600</v>
      </c>
      <c r="D10534" s="1" t="s">
        <v>7891</v>
      </c>
      <c r="E10534" s="1" t="s">
        <v>3752</v>
      </c>
      <c r="F10534" s="1" t="s">
        <v>34408</v>
      </c>
      <c r="G10534" s="1" t="s">
        <v>18086</v>
      </c>
      <c r="H10534" s="1" t="s">
        <v>3604</v>
      </c>
      <c r="I10534" s="1" t="s">
        <v>34409</v>
      </c>
      <c r="J10534" s="1" t="s">
        <v>3615</v>
      </c>
      <c r="K10534" s="1" t="s">
        <v>34410</v>
      </c>
      <c r="L10534" s="1"/>
      <c r="M10534" s="1"/>
    </row>
    <row x14ac:dyDescent="0.25" r="10535" customHeight="1" ht="18.75">
      <c r="A10535" s="1" t="s">
        <v>3598</v>
      </c>
      <c r="B10535" s="1" t="s">
        <v>9449</v>
      </c>
      <c r="C10535" s="1" t="s">
        <v>3600</v>
      </c>
      <c r="D10535" s="1" t="s">
        <v>7891</v>
      </c>
      <c r="E10535" s="1" t="s">
        <v>3752</v>
      </c>
      <c r="F10535" s="1" t="s">
        <v>34411</v>
      </c>
      <c r="G10535" s="1" t="s">
        <v>18086</v>
      </c>
      <c r="H10535" s="1" t="s">
        <v>3604</v>
      </c>
      <c r="I10535" s="1" t="s">
        <v>34412</v>
      </c>
      <c r="J10535" s="1" t="s">
        <v>3615</v>
      </c>
      <c r="K10535" s="1" t="s">
        <v>34413</v>
      </c>
      <c r="L10535" s="1"/>
      <c r="M10535" s="1"/>
    </row>
    <row x14ac:dyDescent="0.25" r="10536" customHeight="1" ht="18.75">
      <c r="A10536" s="1" t="s">
        <v>3598</v>
      </c>
      <c r="B10536" s="1" t="s">
        <v>9449</v>
      </c>
      <c r="C10536" s="1" t="s">
        <v>3600</v>
      </c>
      <c r="D10536" s="1" t="s">
        <v>7891</v>
      </c>
      <c r="E10536" s="1" t="s">
        <v>3752</v>
      </c>
      <c r="F10536" s="1" t="s">
        <v>34414</v>
      </c>
      <c r="G10536" s="1" t="s">
        <v>18086</v>
      </c>
      <c r="H10536" s="1" t="s">
        <v>3604</v>
      </c>
      <c r="I10536" s="1" t="s">
        <v>34415</v>
      </c>
      <c r="J10536" s="1" t="s">
        <v>3615</v>
      </c>
      <c r="K10536" s="1" t="s">
        <v>34416</v>
      </c>
      <c r="L10536" s="1"/>
      <c r="M10536" s="1"/>
    </row>
    <row x14ac:dyDescent="0.25" r="10537" customHeight="1" ht="18.75">
      <c r="A10537" s="1" t="s">
        <v>3598</v>
      </c>
      <c r="B10537" s="1" t="s">
        <v>4685</v>
      </c>
      <c r="C10537" s="1" t="s">
        <v>3600</v>
      </c>
      <c r="D10537" s="1" t="s">
        <v>3601</v>
      </c>
      <c r="E10537" s="1" t="s">
        <v>3664</v>
      </c>
      <c r="F10537" s="1" t="s">
        <v>34417</v>
      </c>
      <c r="G10537" s="1" t="s">
        <v>17381</v>
      </c>
      <c r="H10537" s="1" t="s">
        <v>3604</v>
      </c>
      <c r="I10537" s="1" t="s">
        <v>34418</v>
      </c>
      <c r="J10537" s="1" t="s">
        <v>3615</v>
      </c>
      <c r="K10537" s="1" t="s">
        <v>34419</v>
      </c>
      <c r="L10537" s="1"/>
      <c r="M10537" s="1"/>
    </row>
    <row x14ac:dyDescent="0.25" r="10538" customHeight="1" ht="18.75">
      <c r="A10538" s="1" t="s">
        <v>3598</v>
      </c>
      <c r="B10538" s="1" t="s">
        <v>5256</v>
      </c>
      <c r="C10538" s="1" t="s">
        <v>3600</v>
      </c>
      <c r="D10538" s="1" t="s">
        <v>7891</v>
      </c>
      <c r="E10538" s="1" t="s">
        <v>3752</v>
      </c>
      <c r="F10538" s="1" t="s">
        <v>34420</v>
      </c>
      <c r="G10538" s="1" t="s">
        <v>18037</v>
      </c>
      <c r="H10538" s="1" t="s">
        <v>3604</v>
      </c>
      <c r="I10538" s="1" t="s">
        <v>34421</v>
      </c>
      <c r="J10538" s="1" t="s">
        <v>3615</v>
      </c>
      <c r="K10538" s="1" t="s">
        <v>34410</v>
      </c>
      <c r="L10538" s="1"/>
      <c r="M10538" s="1"/>
    </row>
    <row x14ac:dyDescent="0.25" r="10539" customHeight="1" ht="18.75">
      <c r="A10539" s="1" t="s">
        <v>3598</v>
      </c>
      <c r="B10539" s="1" t="s">
        <v>4685</v>
      </c>
      <c r="C10539" s="1" t="s">
        <v>3600</v>
      </c>
      <c r="D10539" s="1" t="s">
        <v>3601</v>
      </c>
      <c r="E10539" s="1" t="s">
        <v>3664</v>
      </c>
      <c r="F10539" s="1" t="s">
        <v>34422</v>
      </c>
      <c r="G10539" s="1" t="s">
        <v>34423</v>
      </c>
      <c r="H10539" s="1" t="s">
        <v>3604</v>
      </c>
      <c r="I10539" s="1" t="s">
        <v>34424</v>
      </c>
      <c r="J10539" s="1" t="s">
        <v>3615</v>
      </c>
      <c r="K10539" s="1" t="s">
        <v>34425</v>
      </c>
      <c r="L10539" s="1"/>
      <c r="M10539" s="1"/>
    </row>
    <row x14ac:dyDescent="0.25" r="10540" customHeight="1" ht="18.75">
      <c r="A10540" s="1" t="s">
        <v>3598</v>
      </c>
      <c r="B10540" s="1" t="s">
        <v>5256</v>
      </c>
      <c r="C10540" s="1" t="s">
        <v>3600</v>
      </c>
      <c r="D10540" s="1" t="s">
        <v>7891</v>
      </c>
      <c r="E10540" s="1" t="s">
        <v>3752</v>
      </c>
      <c r="F10540" s="1" t="s">
        <v>34426</v>
      </c>
      <c r="G10540" s="1" t="s">
        <v>18037</v>
      </c>
      <c r="H10540" s="1" t="s">
        <v>3604</v>
      </c>
      <c r="I10540" s="1" t="s">
        <v>34427</v>
      </c>
      <c r="J10540" s="1" t="s">
        <v>3615</v>
      </c>
      <c r="K10540" s="1" t="s">
        <v>34413</v>
      </c>
      <c r="L10540" s="1"/>
      <c r="M10540" s="1"/>
    </row>
    <row x14ac:dyDescent="0.25" r="10541" customHeight="1" ht="18.75">
      <c r="A10541" s="1" t="s">
        <v>3598</v>
      </c>
      <c r="B10541" s="1" t="s">
        <v>4685</v>
      </c>
      <c r="C10541" s="1" t="s">
        <v>3600</v>
      </c>
      <c r="D10541" s="1" t="s">
        <v>3601</v>
      </c>
      <c r="E10541" s="1" t="s">
        <v>3664</v>
      </c>
      <c r="F10541" s="1" t="s">
        <v>34428</v>
      </c>
      <c r="G10541" s="1" t="s">
        <v>34429</v>
      </c>
      <c r="H10541" s="1" t="s">
        <v>3604</v>
      </c>
      <c r="I10541" s="1" t="s">
        <v>34430</v>
      </c>
      <c r="J10541" s="1" t="s">
        <v>3615</v>
      </c>
      <c r="K10541" s="1" t="s">
        <v>34431</v>
      </c>
      <c r="L10541" s="1"/>
      <c r="M10541" s="1"/>
    </row>
    <row x14ac:dyDescent="0.25" r="10542" customHeight="1" ht="18.75">
      <c r="A10542" s="1" t="s">
        <v>3598</v>
      </c>
      <c r="B10542" s="1" t="s">
        <v>5256</v>
      </c>
      <c r="C10542" s="1" t="s">
        <v>3600</v>
      </c>
      <c r="D10542" s="1" t="s">
        <v>7891</v>
      </c>
      <c r="E10542" s="1" t="s">
        <v>3752</v>
      </c>
      <c r="F10542" s="1" t="s">
        <v>34432</v>
      </c>
      <c r="G10542" s="1" t="s">
        <v>18037</v>
      </c>
      <c r="H10542" s="1" t="s">
        <v>3604</v>
      </c>
      <c r="I10542" s="1" t="s">
        <v>34433</v>
      </c>
      <c r="J10542" s="1" t="s">
        <v>3615</v>
      </c>
      <c r="K10542" s="1" t="s">
        <v>34416</v>
      </c>
      <c r="L10542" s="1"/>
      <c r="M10542" s="1"/>
    </row>
    <row x14ac:dyDescent="0.25" r="10543" customHeight="1" ht="18.75">
      <c r="A10543" s="1" t="s">
        <v>3617</v>
      </c>
      <c r="B10543" s="1" t="s">
        <v>34434</v>
      </c>
      <c r="C10543" s="1" t="s">
        <v>3619</v>
      </c>
      <c r="D10543" s="1" t="s">
        <v>14146</v>
      </c>
      <c r="E10543" s="1" t="s">
        <v>3893</v>
      </c>
      <c r="F10543" s="1" t="s">
        <v>34435</v>
      </c>
      <c r="G10543" s="1" t="s">
        <v>34434</v>
      </c>
      <c r="H10543" s="1" t="s">
        <v>3604</v>
      </c>
      <c r="I10543" s="1" t="s">
        <v>34436</v>
      </c>
      <c r="J10543" s="1" t="s">
        <v>3615</v>
      </c>
      <c r="K10543" s="1" t="s">
        <v>34437</v>
      </c>
      <c r="L10543" s="1"/>
      <c r="M10543" s="1"/>
    </row>
    <row x14ac:dyDescent="0.25" r="10544" customHeight="1" ht="18.75">
      <c r="A10544" s="1" t="s">
        <v>3598</v>
      </c>
      <c r="B10544" s="1" t="s">
        <v>9236</v>
      </c>
      <c r="C10544" s="1" t="s">
        <v>3600</v>
      </c>
      <c r="D10544" s="1" t="s">
        <v>7891</v>
      </c>
      <c r="E10544" s="1" t="s">
        <v>3752</v>
      </c>
      <c r="F10544" s="1" t="s">
        <v>34438</v>
      </c>
      <c r="G10544" s="1" t="s">
        <v>9238</v>
      </c>
      <c r="H10544" s="1" t="s">
        <v>3604</v>
      </c>
      <c r="I10544" s="1" t="s">
        <v>34439</v>
      </c>
      <c r="J10544" s="1" t="s">
        <v>3615</v>
      </c>
      <c r="K10544" s="1" t="s">
        <v>34410</v>
      </c>
      <c r="L10544" s="1"/>
      <c r="M10544" s="1"/>
    </row>
    <row x14ac:dyDescent="0.25" r="10545" customHeight="1" ht="18.75">
      <c r="A10545" s="1" t="s">
        <v>3598</v>
      </c>
      <c r="B10545" s="1" t="s">
        <v>4685</v>
      </c>
      <c r="C10545" s="1" t="s">
        <v>3600</v>
      </c>
      <c r="D10545" s="1" t="s">
        <v>3601</v>
      </c>
      <c r="E10545" s="1" t="s">
        <v>3664</v>
      </c>
      <c r="F10545" s="1" t="s">
        <v>34440</v>
      </c>
      <c r="G10545" s="1" t="s">
        <v>17385</v>
      </c>
      <c r="H10545" s="1" t="s">
        <v>3604</v>
      </c>
      <c r="I10545" s="1" t="s">
        <v>34441</v>
      </c>
      <c r="J10545" s="1" t="s">
        <v>3615</v>
      </c>
      <c r="K10545" s="1" t="s">
        <v>34442</v>
      </c>
      <c r="L10545" s="1"/>
      <c r="M10545" s="1"/>
    </row>
    <row x14ac:dyDescent="0.25" r="10546" customHeight="1" ht="18.75">
      <c r="A10546" s="1" t="s">
        <v>3617</v>
      </c>
      <c r="B10546" s="1" t="s">
        <v>34183</v>
      </c>
      <c r="C10546" s="1" t="s">
        <v>3619</v>
      </c>
      <c r="D10546" s="1" t="s">
        <v>14146</v>
      </c>
      <c r="E10546" s="1" t="s">
        <v>3893</v>
      </c>
      <c r="F10546" s="1" t="s">
        <v>34443</v>
      </c>
      <c r="G10546" s="1" t="s">
        <v>34183</v>
      </c>
      <c r="H10546" s="1" t="s">
        <v>3604</v>
      </c>
      <c r="I10546" s="1" t="s">
        <v>34444</v>
      </c>
      <c r="J10546" s="1" t="s">
        <v>3615</v>
      </c>
      <c r="K10546" s="1" t="s">
        <v>34186</v>
      </c>
      <c r="L10546" s="1"/>
      <c r="M10546" s="1"/>
    </row>
    <row x14ac:dyDescent="0.25" r="10547" customHeight="1" ht="18.75">
      <c r="A10547" s="1" t="s">
        <v>3598</v>
      </c>
      <c r="B10547" s="1" t="s">
        <v>9236</v>
      </c>
      <c r="C10547" s="1" t="s">
        <v>3600</v>
      </c>
      <c r="D10547" s="1" t="s">
        <v>7891</v>
      </c>
      <c r="E10547" s="1" t="s">
        <v>3752</v>
      </c>
      <c r="F10547" s="1" t="s">
        <v>34445</v>
      </c>
      <c r="G10547" s="1" t="s">
        <v>9238</v>
      </c>
      <c r="H10547" s="1" t="s">
        <v>3604</v>
      </c>
      <c r="I10547" s="1" t="s">
        <v>34446</v>
      </c>
      <c r="J10547" s="1" t="s">
        <v>3615</v>
      </c>
      <c r="K10547" s="1" t="s">
        <v>34416</v>
      </c>
      <c r="L10547" s="1"/>
      <c r="M10547" s="1"/>
    </row>
    <row x14ac:dyDescent="0.25" r="10548" customHeight="1" ht="18.75">
      <c r="A10548" s="1" t="s">
        <v>3598</v>
      </c>
      <c r="B10548" s="1" t="s">
        <v>4685</v>
      </c>
      <c r="C10548" s="1" t="s">
        <v>3600</v>
      </c>
      <c r="D10548" s="1" t="s">
        <v>3601</v>
      </c>
      <c r="E10548" s="1" t="s">
        <v>3664</v>
      </c>
      <c r="F10548" s="1" t="s">
        <v>34447</v>
      </c>
      <c r="G10548" s="1" t="s">
        <v>34448</v>
      </c>
      <c r="H10548" s="1" t="s">
        <v>3604</v>
      </c>
      <c r="I10548" s="1" t="s">
        <v>34449</v>
      </c>
      <c r="J10548" s="1" t="s">
        <v>3615</v>
      </c>
      <c r="K10548" s="1" t="s">
        <v>34450</v>
      </c>
      <c r="L10548" s="1"/>
      <c r="M10548" s="1"/>
    </row>
    <row x14ac:dyDescent="0.25" r="10549" customHeight="1" ht="18.75">
      <c r="A10549" s="1" t="s">
        <v>3598</v>
      </c>
      <c r="B10549" s="1" t="s">
        <v>6728</v>
      </c>
      <c r="C10549" s="1" t="s">
        <v>3600</v>
      </c>
      <c r="D10549" s="1" t="s">
        <v>7891</v>
      </c>
      <c r="E10549" s="1" t="s">
        <v>3664</v>
      </c>
      <c r="F10549" s="1" t="s">
        <v>34451</v>
      </c>
      <c r="G10549" s="1" t="s">
        <v>15942</v>
      </c>
      <c r="H10549" s="1" t="s">
        <v>3604</v>
      </c>
      <c r="I10549" s="1" t="s">
        <v>34452</v>
      </c>
      <c r="J10549" s="1" t="s">
        <v>3615</v>
      </c>
      <c r="K10549" s="1" t="s">
        <v>34453</v>
      </c>
      <c r="L10549" s="1"/>
      <c r="M10549" s="1"/>
    </row>
    <row x14ac:dyDescent="0.25" r="10550" customHeight="1" ht="18.75">
      <c r="A10550" s="1" t="s">
        <v>3598</v>
      </c>
      <c r="B10550" s="1" t="s">
        <v>22973</v>
      </c>
      <c r="C10550" s="1" t="s">
        <v>3600</v>
      </c>
      <c r="D10550" s="1" t="s">
        <v>3601</v>
      </c>
      <c r="E10550" s="1" t="s">
        <v>3981</v>
      </c>
      <c r="F10550" s="1" t="s">
        <v>34454</v>
      </c>
      <c r="G10550" s="1" t="s">
        <v>30668</v>
      </c>
      <c r="H10550" s="1" t="s">
        <v>3604</v>
      </c>
      <c r="I10550" s="1" t="s">
        <v>34455</v>
      </c>
      <c r="J10550" s="1" t="s">
        <v>3615</v>
      </c>
      <c r="K10550" s="1" t="s">
        <v>34456</v>
      </c>
      <c r="L10550" s="1"/>
      <c r="M10550" s="1"/>
    </row>
    <row x14ac:dyDescent="0.25" r="10551" customHeight="1" ht="18.75">
      <c r="A10551" s="1" t="s">
        <v>3598</v>
      </c>
      <c r="B10551" s="1" t="s">
        <v>6732</v>
      </c>
      <c r="C10551" s="1" t="s">
        <v>3600</v>
      </c>
      <c r="D10551" s="1" t="s">
        <v>7891</v>
      </c>
      <c r="E10551" s="1" t="s">
        <v>3752</v>
      </c>
      <c r="F10551" s="1" t="s">
        <v>34457</v>
      </c>
      <c r="G10551" s="1" t="s">
        <v>9284</v>
      </c>
      <c r="H10551" s="1" t="s">
        <v>3604</v>
      </c>
      <c r="I10551" s="1" t="s">
        <v>34458</v>
      </c>
      <c r="J10551" s="1" t="s">
        <v>3615</v>
      </c>
      <c r="K10551" s="1" t="s">
        <v>34410</v>
      </c>
      <c r="L10551" s="1"/>
      <c r="M10551" s="1"/>
    </row>
    <row x14ac:dyDescent="0.25" r="10552" customHeight="1" ht="18.75">
      <c r="A10552" s="1" t="s">
        <v>3598</v>
      </c>
      <c r="B10552" s="1" t="s">
        <v>22973</v>
      </c>
      <c r="C10552" s="1" t="s">
        <v>3600</v>
      </c>
      <c r="D10552" s="1" t="s">
        <v>3601</v>
      </c>
      <c r="E10552" s="1" t="s">
        <v>3664</v>
      </c>
      <c r="F10552" s="1" t="s">
        <v>34459</v>
      </c>
      <c r="G10552" s="1" t="s">
        <v>34460</v>
      </c>
      <c r="H10552" s="1" t="s">
        <v>3604</v>
      </c>
      <c r="I10552" s="1" t="s">
        <v>34461</v>
      </c>
      <c r="J10552" s="1" t="s">
        <v>3615</v>
      </c>
      <c r="K10552" s="1" t="s">
        <v>34462</v>
      </c>
      <c r="L10552" s="1"/>
      <c r="M10552" s="1"/>
    </row>
    <row x14ac:dyDescent="0.25" r="10553" customHeight="1" ht="18.75">
      <c r="A10553" s="1" t="s">
        <v>3598</v>
      </c>
      <c r="B10553" s="1" t="s">
        <v>6732</v>
      </c>
      <c r="C10553" s="1" t="s">
        <v>3600</v>
      </c>
      <c r="D10553" s="1" t="s">
        <v>7891</v>
      </c>
      <c r="E10553" s="1" t="s">
        <v>3752</v>
      </c>
      <c r="F10553" s="1" t="s">
        <v>34463</v>
      </c>
      <c r="G10553" s="1" t="s">
        <v>9284</v>
      </c>
      <c r="H10553" s="1" t="s">
        <v>3604</v>
      </c>
      <c r="I10553" s="1" t="s">
        <v>34464</v>
      </c>
      <c r="J10553" s="1" t="s">
        <v>3615</v>
      </c>
      <c r="K10553" s="1" t="s">
        <v>34413</v>
      </c>
      <c r="L10553" s="1"/>
      <c r="M10553" s="1"/>
    </row>
    <row x14ac:dyDescent="0.25" r="10554" customHeight="1" ht="18.75">
      <c r="A10554" s="1" t="s">
        <v>3598</v>
      </c>
      <c r="B10554" s="1" t="s">
        <v>22973</v>
      </c>
      <c r="C10554" s="1" t="s">
        <v>3600</v>
      </c>
      <c r="D10554" s="1" t="s">
        <v>3601</v>
      </c>
      <c r="E10554" s="1" t="s">
        <v>3664</v>
      </c>
      <c r="F10554" s="1" t="s">
        <v>34465</v>
      </c>
      <c r="G10554" s="1" t="s">
        <v>34466</v>
      </c>
      <c r="H10554" s="1" t="s">
        <v>3604</v>
      </c>
      <c r="I10554" s="1" t="s">
        <v>34467</v>
      </c>
      <c r="J10554" s="1" t="s">
        <v>3615</v>
      </c>
      <c r="K10554" s="1" t="s">
        <v>34468</v>
      </c>
      <c r="L10554" s="1"/>
      <c r="M10554" s="1"/>
    </row>
    <row x14ac:dyDescent="0.25" r="10555" customHeight="1" ht="18.75">
      <c r="A10555" s="1" t="s">
        <v>3598</v>
      </c>
      <c r="B10555" s="1" t="s">
        <v>6732</v>
      </c>
      <c r="C10555" s="1" t="s">
        <v>3600</v>
      </c>
      <c r="D10555" s="1" t="s">
        <v>7891</v>
      </c>
      <c r="E10555" s="1" t="s">
        <v>3752</v>
      </c>
      <c r="F10555" s="1" t="s">
        <v>34469</v>
      </c>
      <c r="G10555" s="1" t="s">
        <v>9284</v>
      </c>
      <c r="H10555" s="1" t="s">
        <v>3604</v>
      </c>
      <c r="I10555" s="1" t="s">
        <v>34470</v>
      </c>
      <c r="J10555" s="1" t="s">
        <v>3615</v>
      </c>
      <c r="K10555" s="1" t="s">
        <v>34416</v>
      </c>
      <c r="L10555" s="1"/>
      <c r="M10555" s="1"/>
    </row>
    <row x14ac:dyDescent="0.25" r="10556" customHeight="1" ht="18.75">
      <c r="A10556" s="1" t="s">
        <v>3598</v>
      </c>
      <c r="B10556" s="1" t="s">
        <v>22973</v>
      </c>
      <c r="C10556" s="1" t="s">
        <v>3600</v>
      </c>
      <c r="D10556" s="1" t="s">
        <v>3601</v>
      </c>
      <c r="E10556" s="1" t="s">
        <v>3981</v>
      </c>
      <c r="F10556" s="1" t="s">
        <v>34471</v>
      </c>
      <c r="G10556" s="1" t="s">
        <v>34472</v>
      </c>
      <c r="H10556" s="1" t="s">
        <v>3604</v>
      </c>
      <c r="I10556" s="1" t="s">
        <v>34473</v>
      </c>
      <c r="J10556" s="1" t="s">
        <v>3615</v>
      </c>
      <c r="K10556" s="1" t="s">
        <v>34474</v>
      </c>
      <c r="L10556" s="1"/>
      <c r="M10556" s="1"/>
    </row>
    <row x14ac:dyDescent="0.25" r="10557" customHeight="1" ht="18.75">
      <c r="A10557" s="1" t="s">
        <v>3598</v>
      </c>
      <c r="B10557" s="1" t="s">
        <v>6728</v>
      </c>
      <c r="C10557" s="1" t="s">
        <v>3600</v>
      </c>
      <c r="D10557" s="1" t="s">
        <v>8373</v>
      </c>
      <c r="E10557" s="1" t="s">
        <v>3664</v>
      </c>
      <c r="F10557" s="1" t="s">
        <v>34475</v>
      </c>
      <c r="G10557" s="1" t="s">
        <v>34476</v>
      </c>
      <c r="H10557" s="1" t="s">
        <v>3604</v>
      </c>
      <c r="I10557" s="1" t="s">
        <v>34477</v>
      </c>
      <c r="J10557" s="1" t="s">
        <v>3615</v>
      </c>
      <c r="K10557" s="1" t="s">
        <v>34478</v>
      </c>
      <c r="L10557" s="1"/>
      <c r="M10557" s="1"/>
    </row>
    <row x14ac:dyDescent="0.25" r="10558" customHeight="1" ht="18.75">
      <c r="A10558" s="1" t="s">
        <v>3598</v>
      </c>
      <c r="B10558" s="1" t="s">
        <v>17075</v>
      </c>
      <c r="C10558" s="1" t="s">
        <v>3600</v>
      </c>
      <c r="D10558" s="1" t="s">
        <v>3601</v>
      </c>
      <c r="E10558" s="1" t="s">
        <v>3664</v>
      </c>
      <c r="F10558" s="1" t="s">
        <v>34479</v>
      </c>
      <c r="G10558" s="1" t="s">
        <v>34480</v>
      </c>
      <c r="H10558" s="1" t="s">
        <v>3604</v>
      </c>
      <c r="I10558" s="1" t="s">
        <v>34481</v>
      </c>
      <c r="J10558" s="1" t="s">
        <v>3615</v>
      </c>
      <c r="K10558" s="1" t="s">
        <v>34482</v>
      </c>
      <c r="L10558" s="1"/>
      <c r="M10558" s="1"/>
    </row>
    <row x14ac:dyDescent="0.25" r="10559" customHeight="1" ht="18.75">
      <c r="A10559" s="1" t="s">
        <v>3598</v>
      </c>
      <c r="B10559" s="1" t="s">
        <v>3778</v>
      </c>
      <c r="C10559" s="1" t="s">
        <v>3600</v>
      </c>
      <c r="D10559" s="1" t="s">
        <v>7891</v>
      </c>
      <c r="E10559" s="1" t="s">
        <v>3981</v>
      </c>
      <c r="F10559" s="1" t="s">
        <v>34483</v>
      </c>
      <c r="G10559" s="1" t="s">
        <v>9056</v>
      </c>
      <c r="H10559" s="1" t="s">
        <v>3604</v>
      </c>
      <c r="I10559" s="1" t="s">
        <v>34484</v>
      </c>
      <c r="J10559" s="1" t="s">
        <v>3615</v>
      </c>
      <c r="K10559" s="1" t="s">
        <v>34485</v>
      </c>
      <c r="L10559" s="1"/>
      <c r="M10559" s="1"/>
    </row>
    <row x14ac:dyDescent="0.25" r="10560" customHeight="1" ht="18.75">
      <c r="A10560" s="1" t="s">
        <v>3598</v>
      </c>
      <c r="B10560" s="1" t="s">
        <v>14038</v>
      </c>
      <c r="C10560" s="1" t="s">
        <v>3600</v>
      </c>
      <c r="D10560" s="1" t="s">
        <v>3601</v>
      </c>
      <c r="E10560" s="1" t="s">
        <v>3664</v>
      </c>
      <c r="F10560" s="1" t="s">
        <v>34486</v>
      </c>
      <c r="G10560" s="1" t="s">
        <v>20006</v>
      </c>
      <c r="H10560" s="1" t="s">
        <v>3604</v>
      </c>
      <c r="I10560" s="1" t="s">
        <v>34487</v>
      </c>
      <c r="J10560" s="1" t="s">
        <v>3615</v>
      </c>
      <c r="K10560" s="1" t="s">
        <v>34488</v>
      </c>
      <c r="L10560" s="1"/>
      <c r="M10560" s="1"/>
    </row>
    <row x14ac:dyDescent="0.25" r="10561" customHeight="1" ht="18.75">
      <c r="A10561" s="1" t="s">
        <v>3617</v>
      </c>
      <c r="B10561" s="1" t="s">
        <v>34489</v>
      </c>
      <c r="C10561" s="1" t="s">
        <v>3619</v>
      </c>
      <c r="D10561" s="1" t="s">
        <v>14146</v>
      </c>
      <c r="E10561" s="1" t="s">
        <v>3730</v>
      </c>
      <c r="F10561" s="1" t="s">
        <v>34490</v>
      </c>
      <c r="G10561" s="1" t="s">
        <v>34489</v>
      </c>
      <c r="H10561" s="1" t="s">
        <v>3604</v>
      </c>
      <c r="I10561" s="1" t="s">
        <v>34491</v>
      </c>
      <c r="J10561" s="1" t="s">
        <v>3615</v>
      </c>
      <c r="K10561" s="1" t="s">
        <v>17993</v>
      </c>
      <c r="L10561" s="1"/>
      <c r="M10561" s="1"/>
    </row>
    <row x14ac:dyDescent="0.25" r="10562" customHeight="1" ht="18.75">
      <c r="A10562" s="1" t="s">
        <v>3598</v>
      </c>
      <c r="B10562" s="1" t="s">
        <v>15557</v>
      </c>
      <c r="C10562" s="1" t="s">
        <v>3600</v>
      </c>
      <c r="D10562" s="1" t="s">
        <v>7891</v>
      </c>
      <c r="E10562" s="1" t="s">
        <v>3611</v>
      </c>
      <c r="F10562" s="1" t="s">
        <v>34492</v>
      </c>
      <c r="G10562" s="1" t="s">
        <v>15566</v>
      </c>
      <c r="H10562" s="1" t="s">
        <v>3604</v>
      </c>
      <c r="I10562" s="1" t="s">
        <v>34493</v>
      </c>
      <c r="J10562" s="1" t="s">
        <v>3615</v>
      </c>
      <c r="K10562" s="1" t="s">
        <v>34494</v>
      </c>
      <c r="L10562" s="1"/>
      <c r="M10562" s="1"/>
    </row>
    <row x14ac:dyDescent="0.25" r="10563" customHeight="1" ht="18.75">
      <c r="A10563" s="1" t="s">
        <v>3598</v>
      </c>
      <c r="B10563" s="1" t="s">
        <v>14132</v>
      </c>
      <c r="C10563" s="1" t="s">
        <v>3600</v>
      </c>
      <c r="D10563" s="1" t="s">
        <v>3601</v>
      </c>
      <c r="E10563" s="1" t="s">
        <v>3664</v>
      </c>
      <c r="F10563" s="1" t="s">
        <v>34495</v>
      </c>
      <c r="G10563" s="1" t="s">
        <v>34496</v>
      </c>
      <c r="H10563" s="1" t="s">
        <v>3604</v>
      </c>
      <c r="I10563" s="1" t="s">
        <v>34497</v>
      </c>
      <c r="J10563" s="1" t="s">
        <v>3615</v>
      </c>
      <c r="K10563" s="1" t="s">
        <v>34498</v>
      </c>
      <c r="L10563" s="1"/>
      <c r="M10563" s="1"/>
    </row>
    <row x14ac:dyDescent="0.25" r="10564" customHeight="1" ht="18.75">
      <c r="A10564" s="1" t="s">
        <v>3598</v>
      </c>
      <c r="B10564" s="1" t="s">
        <v>15557</v>
      </c>
      <c r="C10564" s="1" t="s">
        <v>3600</v>
      </c>
      <c r="D10564" s="1" t="s">
        <v>7891</v>
      </c>
      <c r="E10564" s="1" t="s">
        <v>3611</v>
      </c>
      <c r="F10564" s="1" t="s">
        <v>34499</v>
      </c>
      <c r="G10564" s="1" t="s">
        <v>15566</v>
      </c>
      <c r="H10564" s="1" t="s">
        <v>3604</v>
      </c>
      <c r="I10564" s="1" t="s">
        <v>34500</v>
      </c>
      <c r="J10564" s="1" t="s">
        <v>3615</v>
      </c>
      <c r="K10564" s="1" t="s">
        <v>34501</v>
      </c>
      <c r="L10564" s="1"/>
      <c r="M10564" s="1"/>
    </row>
    <row x14ac:dyDescent="0.25" r="10565" customHeight="1" ht="18.75">
      <c r="A10565" s="1" t="s">
        <v>3617</v>
      </c>
      <c r="B10565" s="1" t="s">
        <v>34352</v>
      </c>
      <c r="C10565" s="1" t="s">
        <v>3619</v>
      </c>
      <c r="D10565" s="1" t="s">
        <v>14146</v>
      </c>
      <c r="E10565" s="1" t="s">
        <v>3730</v>
      </c>
      <c r="F10565" s="1" t="s">
        <v>34502</v>
      </c>
      <c r="G10565" s="1" t="s">
        <v>34352</v>
      </c>
      <c r="H10565" s="1" t="s">
        <v>3604</v>
      </c>
      <c r="I10565" s="1" t="s">
        <v>34503</v>
      </c>
      <c r="J10565" s="1" t="s">
        <v>3615</v>
      </c>
      <c r="K10565" s="1" t="s">
        <v>17996</v>
      </c>
      <c r="L10565" s="1"/>
      <c r="M10565" s="1"/>
    </row>
    <row x14ac:dyDescent="0.25" r="10566" customHeight="1" ht="18.75">
      <c r="A10566" s="1" t="s">
        <v>3598</v>
      </c>
      <c r="B10566" s="1" t="s">
        <v>14132</v>
      </c>
      <c r="C10566" s="1" t="s">
        <v>3600</v>
      </c>
      <c r="D10566" s="1" t="s">
        <v>3601</v>
      </c>
      <c r="E10566" s="1" t="s">
        <v>3664</v>
      </c>
      <c r="F10566" s="1" t="s">
        <v>34504</v>
      </c>
      <c r="G10566" s="1" t="s">
        <v>17385</v>
      </c>
      <c r="H10566" s="1" t="s">
        <v>3604</v>
      </c>
      <c r="I10566" s="1" t="s">
        <v>34505</v>
      </c>
      <c r="J10566" s="1" t="s">
        <v>3615</v>
      </c>
      <c r="K10566" s="1" t="s">
        <v>34506</v>
      </c>
      <c r="L10566" s="1"/>
      <c r="M10566" s="1"/>
    </row>
    <row x14ac:dyDescent="0.25" r="10567" customHeight="1" ht="18.75">
      <c r="A10567" s="1" t="s">
        <v>3598</v>
      </c>
      <c r="B10567" s="1" t="s">
        <v>14132</v>
      </c>
      <c r="C10567" s="1" t="s">
        <v>3600</v>
      </c>
      <c r="D10567" s="1" t="s">
        <v>3601</v>
      </c>
      <c r="E10567" s="1" t="s">
        <v>3664</v>
      </c>
      <c r="F10567" s="1" t="s">
        <v>34507</v>
      </c>
      <c r="G10567" s="1" t="s">
        <v>20396</v>
      </c>
      <c r="H10567" s="1" t="s">
        <v>3604</v>
      </c>
      <c r="I10567" s="1" t="s">
        <v>34508</v>
      </c>
      <c r="J10567" s="1" t="s">
        <v>3615</v>
      </c>
      <c r="K10567" s="1" t="s">
        <v>34509</v>
      </c>
      <c r="L10567" s="1"/>
      <c r="M10567" s="1"/>
    </row>
    <row x14ac:dyDescent="0.25" r="10568" customHeight="1" ht="18.75">
      <c r="A10568" s="1" t="s">
        <v>3617</v>
      </c>
      <c r="B10568" s="1" t="s">
        <v>34510</v>
      </c>
      <c r="C10568" s="1" t="s">
        <v>3619</v>
      </c>
      <c r="D10568" s="1" t="s">
        <v>14146</v>
      </c>
      <c r="E10568" s="1" t="s">
        <v>3730</v>
      </c>
      <c r="F10568" s="1" t="s">
        <v>34511</v>
      </c>
      <c r="G10568" s="1" t="s">
        <v>34510</v>
      </c>
      <c r="H10568" s="1" t="s">
        <v>3604</v>
      </c>
      <c r="I10568" s="1" t="s">
        <v>34512</v>
      </c>
      <c r="J10568" s="1" t="s">
        <v>3615</v>
      </c>
      <c r="K10568" s="1" t="s">
        <v>34513</v>
      </c>
      <c r="L10568" s="1"/>
      <c r="M10568" s="1"/>
    </row>
    <row x14ac:dyDescent="0.25" r="10569" customHeight="1" ht="18.75">
      <c r="A10569" s="1" t="s">
        <v>3598</v>
      </c>
      <c r="B10569" s="1" t="s">
        <v>18066</v>
      </c>
      <c r="C10569" s="1" t="s">
        <v>3600</v>
      </c>
      <c r="D10569" s="1" t="s">
        <v>3601</v>
      </c>
      <c r="E10569" s="1" t="s">
        <v>3664</v>
      </c>
      <c r="F10569" s="1" t="s">
        <v>34514</v>
      </c>
      <c r="G10569" s="1" t="s">
        <v>34108</v>
      </c>
      <c r="H10569" s="1" t="s">
        <v>3604</v>
      </c>
      <c r="I10569" s="1" t="s">
        <v>34515</v>
      </c>
      <c r="J10569" s="1" t="s">
        <v>3615</v>
      </c>
      <c r="K10569" s="1" t="s">
        <v>34516</v>
      </c>
      <c r="L10569" s="1"/>
      <c r="M10569" s="1"/>
    </row>
    <row x14ac:dyDescent="0.25" r="10570" customHeight="1" ht="18.75">
      <c r="A10570" s="1" t="s">
        <v>3598</v>
      </c>
      <c r="B10570" s="1" t="s">
        <v>13864</v>
      </c>
      <c r="C10570" s="1" t="s">
        <v>3600</v>
      </c>
      <c r="D10570" s="1" t="s">
        <v>533</v>
      </c>
      <c r="E10570" s="1" t="s">
        <v>3611</v>
      </c>
      <c r="F10570" s="1" t="s">
        <v>34517</v>
      </c>
      <c r="G10570" s="1" t="s">
        <v>34518</v>
      </c>
      <c r="H10570" s="1" t="s">
        <v>3604</v>
      </c>
      <c r="I10570" s="1" t="s">
        <v>34519</v>
      </c>
      <c r="J10570" s="1" t="s">
        <v>3606</v>
      </c>
      <c r="K10570" s="1" t="s">
        <v>34520</v>
      </c>
      <c r="L10570" s="1"/>
      <c r="M10570" s="1"/>
    </row>
    <row x14ac:dyDescent="0.25" r="10571" customHeight="1" ht="18.75">
      <c r="A10571" s="1" t="s">
        <v>3617</v>
      </c>
      <c r="B10571" s="1" t="s">
        <v>34521</v>
      </c>
      <c r="C10571" s="1" t="s">
        <v>3619</v>
      </c>
      <c r="D10571" s="1" t="s">
        <v>14146</v>
      </c>
      <c r="E10571" s="1" t="s">
        <v>3730</v>
      </c>
      <c r="F10571" s="1" t="s">
        <v>34522</v>
      </c>
      <c r="G10571" s="1" t="s">
        <v>34521</v>
      </c>
      <c r="H10571" s="1" t="s">
        <v>3604</v>
      </c>
      <c r="I10571" s="1" t="s">
        <v>34523</v>
      </c>
      <c r="J10571" s="1" t="s">
        <v>3615</v>
      </c>
      <c r="K10571" s="1" t="s">
        <v>18003</v>
      </c>
      <c r="L10571" s="1"/>
      <c r="M10571" s="1"/>
    </row>
    <row x14ac:dyDescent="0.25" r="10572" customHeight="1" ht="18.75">
      <c r="A10572" s="1" t="s">
        <v>3598</v>
      </c>
      <c r="B10572" s="1" t="s">
        <v>9582</v>
      </c>
      <c r="C10572" s="1" t="s">
        <v>3600</v>
      </c>
      <c r="D10572" s="1" t="s">
        <v>3601</v>
      </c>
      <c r="E10572" s="1" t="s">
        <v>3664</v>
      </c>
      <c r="F10572" s="1" t="s">
        <v>34524</v>
      </c>
      <c r="G10572" s="1" t="s">
        <v>9584</v>
      </c>
      <c r="H10572" s="1" t="s">
        <v>3604</v>
      </c>
      <c r="I10572" s="1" t="s">
        <v>34525</v>
      </c>
      <c r="J10572" s="1" t="s">
        <v>3615</v>
      </c>
      <c r="K10572" s="1" t="s">
        <v>34526</v>
      </c>
      <c r="L10572" s="1"/>
      <c r="M10572" s="1"/>
    </row>
    <row x14ac:dyDescent="0.25" r="10573" customHeight="1" ht="18.75">
      <c r="A10573" s="1" t="s">
        <v>3617</v>
      </c>
      <c r="B10573" s="1" t="s">
        <v>3920</v>
      </c>
      <c r="C10573" s="1" t="s">
        <v>3619</v>
      </c>
      <c r="D10573" s="1" t="s">
        <v>14146</v>
      </c>
      <c r="E10573" s="1" t="s">
        <v>3893</v>
      </c>
      <c r="F10573" s="1" t="s">
        <v>34527</v>
      </c>
      <c r="G10573" s="1" t="s">
        <v>3920</v>
      </c>
      <c r="H10573" s="1" t="s">
        <v>3604</v>
      </c>
      <c r="I10573" s="1" t="s">
        <v>34528</v>
      </c>
      <c r="J10573" s="1" t="s">
        <v>3615</v>
      </c>
      <c r="K10573" s="1" t="s">
        <v>34529</v>
      </c>
      <c r="L10573" s="1"/>
      <c r="M10573" s="1"/>
    </row>
    <row x14ac:dyDescent="0.25" r="10574" customHeight="1" ht="18.75">
      <c r="A10574" s="1" t="s">
        <v>3617</v>
      </c>
      <c r="B10574" s="1" t="s">
        <v>34530</v>
      </c>
      <c r="C10574" s="1" t="s">
        <v>3619</v>
      </c>
      <c r="D10574" s="1" t="s">
        <v>14146</v>
      </c>
      <c r="E10574" s="1" t="s">
        <v>3730</v>
      </c>
      <c r="F10574" s="1" t="s">
        <v>34522</v>
      </c>
      <c r="G10574" s="1" t="s">
        <v>34530</v>
      </c>
      <c r="H10574" s="1" t="s">
        <v>3604</v>
      </c>
      <c r="I10574" s="1" t="s">
        <v>34531</v>
      </c>
      <c r="J10574" s="1" t="s">
        <v>3615</v>
      </c>
      <c r="K10574" s="1" t="s">
        <v>18007</v>
      </c>
      <c r="L10574" s="1"/>
      <c r="M10574" s="1"/>
    </row>
    <row x14ac:dyDescent="0.25" r="10575" customHeight="1" ht="18.75">
      <c r="A10575" s="1" t="s">
        <v>3598</v>
      </c>
      <c r="B10575" s="1" t="s">
        <v>9273</v>
      </c>
      <c r="C10575" s="1" t="s">
        <v>3600</v>
      </c>
      <c r="D10575" s="1" t="s">
        <v>3601</v>
      </c>
      <c r="E10575" s="1" t="s">
        <v>3664</v>
      </c>
      <c r="F10575" s="1" t="s">
        <v>34532</v>
      </c>
      <c r="G10575" s="1" t="s">
        <v>21157</v>
      </c>
      <c r="H10575" s="1" t="s">
        <v>3604</v>
      </c>
      <c r="I10575" s="1" t="s">
        <v>34533</v>
      </c>
      <c r="J10575" s="1" t="s">
        <v>3615</v>
      </c>
      <c r="K10575" s="1" t="s">
        <v>34534</v>
      </c>
      <c r="L10575" s="1"/>
      <c r="M10575" s="1"/>
    </row>
    <row x14ac:dyDescent="0.25" r="10576" customHeight="1" ht="18.75">
      <c r="A10576" s="1" t="s">
        <v>3617</v>
      </c>
      <c r="B10576" s="1" t="s">
        <v>3905</v>
      </c>
      <c r="C10576" s="1" t="s">
        <v>3619</v>
      </c>
      <c r="D10576" s="1" t="s">
        <v>14146</v>
      </c>
      <c r="E10576" s="1" t="s">
        <v>3893</v>
      </c>
      <c r="F10576" s="1" t="s">
        <v>6281</v>
      </c>
      <c r="G10576" s="1" t="s">
        <v>3905</v>
      </c>
      <c r="H10576" s="1" t="s">
        <v>3604</v>
      </c>
      <c r="I10576" s="1" t="s">
        <v>34535</v>
      </c>
      <c r="J10576" s="1" t="s">
        <v>3606</v>
      </c>
      <c r="K10576" s="1" t="s">
        <v>34536</v>
      </c>
      <c r="L10576" s="1"/>
      <c r="M10576" s="1"/>
    </row>
    <row x14ac:dyDescent="0.25" r="10577" customHeight="1" ht="18.75">
      <c r="A10577" s="1" t="s">
        <v>3617</v>
      </c>
      <c r="B10577" s="1" t="s">
        <v>34537</v>
      </c>
      <c r="C10577" s="1" t="s">
        <v>3619</v>
      </c>
      <c r="D10577" s="1" t="s">
        <v>14146</v>
      </c>
      <c r="E10577" s="1" t="s">
        <v>3893</v>
      </c>
      <c r="F10577" s="1" t="s">
        <v>6281</v>
      </c>
      <c r="G10577" s="1" t="s">
        <v>34537</v>
      </c>
      <c r="H10577" s="1" t="s">
        <v>3604</v>
      </c>
      <c r="I10577" s="1" t="s">
        <v>34538</v>
      </c>
      <c r="J10577" s="1" t="s">
        <v>3606</v>
      </c>
      <c r="K10577" s="1" t="s">
        <v>34539</v>
      </c>
      <c r="L10577" s="1"/>
      <c r="M10577" s="1"/>
    </row>
    <row x14ac:dyDescent="0.25" r="10578" customHeight="1" ht="18.75">
      <c r="A10578" s="1" t="s">
        <v>3598</v>
      </c>
      <c r="B10578" s="1" t="s">
        <v>9273</v>
      </c>
      <c r="C10578" s="1" t="s">
        <v>3600</v>
      </c>
      <c r="D10578" s="1" t="s">
        <v>3601</v>
      </c>
      <c r="E10578" s="1" t="s">
        <v>3664</v>
      </c>
      <c r="F10578" s="1" t="s">
        <v>34540</v>
      </c>
      <c r="G10578" s="1" t="s">
        <v>20045</v>
      </c>
      <c r="H10578" s="1" t="s">
        <v>3604</v>
      </c>
      <c r="I10578" s="1" t="s">
        <v>34541</v>
      </c>
      <c r="J10578" s="1" t="s">
        <v>3615</v>
      </c>
      <c r="K10578" s="1" t="s">
        <v>34542</v>
      </c>
      <c r="L10578" s="1"/>
      <c r="M10578" s="1"/>
    </row>
    <row x14ac:dyDescent="0.25" r="10579" customHeight="1" ht="18.75">
      <c r="A10579" s="1" t="s">
        <v>3617</v>
      </c>
      <c r="B10579" s="1" t="s">
        <v>34543</v>
      </c>
      <c r="C10579" s="1" t="s">
        <v>3619</v>
      </c>
      <c r="D10579" s="1" t="s">
        <v>14146</v>
      </c>
      <c r="E10579" s="1" t="s">
        <v>3893</v>
      </c>
      <c r="F10579" s="1" t="s">
        <v>34544</v>
      </c>
      <c r="G10579" s="1" t="s">
        <v>34543</v>
      </c>
      <c r="H10579" s="1" t="s">
        <v>3604</v>
      </c>
      <c r="I10579" s="1" t="s">
        <v>34545</v>
      </c>
      <c r="J10579" s="1" t="s">
        <v>3606</v>
      </c>
      <c r="K10579" s="1" t="s">
        <v>34546</v>
      </c>
      <c r="L10579" s="1"/>
      <c r="M10579" s="1"/>
    </row>
    <row x14ac:dyDescent="0.25" r="10580" customHeight="1" ht="18.75">
      <c r="A10580" s="1" t="s">
        <v>3598</v>
      </c>
      <c r="B10580" s="1" t="s">
        <v>19909</v>
      </c>
      <c r="C10580" s="1" t="s">
        <v>3600</v>
      </c>
      <c r="D10580" s="1" t="s">
        <v>3601</v>
      </c>
      <c r="E10580" s="1" t="s">
        <v>3664</v>
      </c>
      <c r="F10580" s="1" t="s">
        <v>34547</v>
      </c>
      <c r="G10580" s="1" t="s">
        <v>19915</v>
      </c>
      <c r="H10580" s="1" t="s">
        <v>3604</v>
      </c>
      <c r="I10580" s="1" t="s">
        <v>34548</v>
      </c>
      <c r="J10580" s="1" t="s">
        <v>3615</v>
      </c>
      <c r="K10580" s="1" t="s">
        <v>34549</v>
      </c>
      <c r="L10580" s="1"/>
      <c r="M10580" s="1"/>
    </row>
    <row x14ac:dyDescent="0.25" r="10581" customHeight="1" ht="18.75">
      <c r="A10581" s="1" t="s">
        <v>3617</v>
      </c>
      <c r="B10581" s="1" t="s">
        <v>8448</v>
      </c>
      <c r="C10581" s="1" t="s">
        <v>3619</v>
      </c>
      <c r="D10581" s="1" t="s">
        <v>14146</v>
      </c>
      <c r="E10581" s="1" t="s">
        <v>3893</v>
      </c>
      <c r="F10581" s="1" t="s">
        <v>34550</v>
      </c>
      <c r="G10581" s="1" t="s">
        <v>8448</v>
      </c>
      <c r="H10581" s="1" t="s">
        <v>3604</v>
      </c>
      <c r="I10581" s="1" t="s">
        <v>34551</v>
      </c>
      <c r="J10581" s="1" t="s">
        <v>3615</v>
      </c>
      <c r="K10581" s="1" t="s">
        <v>34552</v>
      </c>
      <c r="L10581" s="1"/>
      <c r="M10581" s="1"/>
    </row>
    <row x14ac:dyDescent="0.25" r="10582" customHeight="1" ht="18.75">
      <c r="A10582" s="1" t="s">
        <v>3598</v>
      </c>
      <c r="B10582" s="1" t="s">
        <v>19909</v>
      </c>
      <c r="C10582" s="1" t="s">
        <v>3600</v>
      </c>
      <c r="D10582" s="1" t="s">
        <v>3601</v>
      </c>
      <c r="E10582" s="1" t="s">
        <v>3981</v>
      </c>
      <c r="F10582" s="1" t="s">
        <v>34553</v>
      </c>
      <c r="G10582" s="1" t="s">
        <v>34554</v>
      </c>
      <c r="H10582" s="1" t="s">
        <v>3604</v>
      </c>
      <c r="I10582" s="1" t="s">
        <v>34555</v>
      </c>
      <c r="J10582" s="1" t="s">
        <v>3615</v>
      </c>
      <c r="K10582" s="1" t="s">
        <v>34556</v>
      </c>
      <c r="L10582" s="1"/>
      <c r="M10582" s="1"/>
    </row>
    <row x14ac:dyDescent="0.25" r="10583" customHeight="1" ht="18.75">
      <c r="A10583" s="1" t="s">
        <v>3617</v>
      </c>
      <c r="B10583" s="1" t="s">
        <v>8467</v>
      </c>
      <c r="C10583" s="1" t="s">
        <v>3619</v>
      </c>
      <c r="D10583" s="1" t="s">
        <v>14146</v>
      </c>
      <c r="E10583" s="1" t="s">
        <v>3893</v>
      </c>
      <c r="F10583" s="1" t="s">
        <v>34550</v>
      </c>
      <c r="G10583" s="1" t="s">
        <v>8467</v>
      </c>
      <c r="H10583" s="1" t="s">
        <v>3604</v>
      </c>
      <c r="I10583" s="1" t="s">
        <v>34557</v>
      </c>
      <c r="J10583" s="1" t="s">
        <v>3615</v>
      </c>
      <c r="K10583" s="1" t="s">
        <v>34558</v>
      </c>
      <c r="L10583" s="1"/>
      <c r="M10583" s="1"/>
    </row>
    <row x14ac:dyDescent="0.25" r="10584" customHeight="1" ht="18.75">
      <c r="A10584" s="1" t="s">
        <v>3598</v>
      </c>
      <c r="B10584" s="1" t="s">
        <v>14108</v>
      </c>
      <c r="C10584" s="1" t="s">
        <v>3600</v>
      </c>
      <c r="D10584" s="1" t="s">
        <v>3610</v>
      </c>
      <c r="E10584" s="1" t="s">
        <v>3664</v>
      </c>
      <c r="F10584" s="1" t="s">
        <v>34559</v>
      </c>
      <c r="G10584" s="1" t="s">
        <v>22049</v>
      </c>
      <c r="H10584" s="1" t="s">
        <v>3604</v>
      </c>
      <c r="I10584" s="1" t="s">
        <v>34560</v>
      </c>
      <c r="J10584" s="1" t="s">
        <v>3606</v>
      </c>
      <c r="K10584" s="1" t="s">
        <v>34561</v>
      </c>
      <c r="L10584" s="1"/>
      <c r="M10584" s="1"/>
    </row>
    <row x14ac:dyDescent="0.25" r="10585" customHeight="1" ht="18.75">
      <c r="A10585" s="1" t="s">
        <v>3598</v>
      </c>
      <c r="B10585" s="1" t="s">
        <v>14119</v>
      </c>
      <c r="C10585" s="1" t="s">
        <v>3600</v>
      </c>
      <c r="D10585" s="1" t="s">
        <v>3601</v>
      </c>
      <c r="E10585" s="1" t="s">
        <v>3664</v>
      </c>
      <c r="F10585" s="1" t="s">
        <v>34562</v>
      </c>
      <c r="G10585" s="1" t="s">
        <v>20318</v>
      </c>
      <c r="H10585" s="1" t="s">
        <v>3604</v>
      </c>
      <c r="I10585" s="1" t="s">
        <v>34563</v>
      </c>
      <c r="J10585" s="1" t="s">
        <v>3615</v>
      </c>
      <c r="K10585" s="1" t="s">
        <v>34564</v>
      </c>
      <c r="L10585" s="1"/>
      <c r="M10585" s="1"/>
    </row>
    <row x14ac:dyDescent="0.25" r="10586" customHeight="1" ht="18.75">
      <c r="A10586" s="1" t="s">
        <v>3598</v>
      </c>
      <c r="B10586" s="1" t="s">
        <v>5239</v>
      </c>
      <c r="C10586" s="1" t="s">
        <v>3600</v>
      </c>
      <c r="D10586" s="1" t="s">
        <v>28428</v>
      </c>
      <c r="E10586" s="1" t="s">
        <v>3664</v>
      </c>
      <c r="F10586" s="1" t="s">
        <v>34565</v>
      </c>
      <c r="G10586" s="1" t="s">
        <v>34566</v>
      </c>
      <c r="H10586" s="1" t="s">
        <v>3604</v>
      </c>
      <c r="I10586" s="1" t="s">
        <v>34567</v>
      </c>
      <c r="J10586" s="1" t="s">
        <v>3615</v>
      </c>
      <c r="K10586" s="1" t="s">
        <v>34568</v>
      </c>
      <c r="L10586" s="1"/>
      <c r="M10586" s="1"/>
    </row>
    <row x14ac:dyDescent="0.25" r="10587" customHeight="1" ht="18.75">
      <c r="A10587" s="1" t="s">
        <v>3598</v>
      </c>
      <c r="B10587" s="1" t="s">
        <v>14119</v>
      </c>
      <c r="C10587" s="1" t="s">
        <v>3600</v>
      </c>
      <c r="D10587" s="1" t="s">
        <v>3601</v>
      </c>
      <c r="E10587" s="1" t="s">
        <v>3664</v>
      </c>
      <c r="F10587" s="1" t="s">
        <v>34569</v>
      </c>
      <c r="G10587" s="1" t="s">
        <v>34570</v>
      </c>
      <c r="H10587" s="1" t="s">
        <v>3604</v>
      </c>
      <c r="I10587" s="1" t="s">
        <v>34571</v>
      </c>
      <c r="J10587" s="1" t="s">
        <v>3615</v>
      </c>
      <c r="K10587" s="1" t="s">
        <v>34572</v>
      </c>
      <c r="L10587" s="1"/>
      <c r="M10587" s="1"/>
    </row>
    <row x14ac:dyDescent="0.25" r="10588" customHeight="1" ht="18.75">
      <c r="A10588" s="1" t="s">
        <v>3598</v>
      </c>
      <c r="B10588" s="1" t="s">
        <v>17258</v>
      </c>
      <c r="C10588" s="1" t="s">
        <v>3600</v>
      </c>
      <c r="D10588" s="1" t="s">
        <v>28428</v>
      </c>
      <c r="E10588" s="1" t="s">
        <v>3752</v>
      </c>
      <c r="F10588" s="1" t="s">
        <v>34573</v>
      </c>
      <c r="G10588" s="1" t="s">
        <v>20203</v>
      </c>
      <c r="H10588" s="1" t="s">
        <v>3604</v>
      </c>
      <c r="I10588" s="1" t="s">
        <v>34574</v>
      </c>
      <c r="J10588" s="1" t="s">
        <v>3615</v>
      </c>
      <c r="K10588" s="1" t="s">
        <v>34575</v>
      </c>
      <c r="L10588" s="1"/>
      <c r="M10588" s="1"/>
    </row>
    <row x14ac:dyDescent="0.25" r="10589" customHeight="1" ht="18.75">
      <c r="A10589" s="1" t="s">
        <v>3598</v>
      </c>
      <c r="B10589" s="1" t="s">
        <v>14119</v>
      </c>
      <c r="C10589" s="1" t="s">
        <v>3600</v>
      </c>
      <c r="D10589" s="1" t="s">
        <v>3601</v>
      </c>
      <c r="E10589" s="1" t="s">
        <v>3664</v>
      </c>
      <c r="F10589" s="1" t="s">
        <v>34576</v>
      </c>
      <c r="G10589" s="1" t="s">
        <v>34577</v>
      </c>
      <c r="H10589" s="1" t="s">
        <v>3604</v>
      </c>
      <c r="I10589" s="1" t="s">
        <v>34578</v>
      </c>
      <c r="J10589" s="1" t="s">
        <v>3615</v>
      </c>
      <c r="K10589" s="1" t="s">
        <v>34579</v>
      </c>
      <c r="L10589" s="1"/>
      <c r="M10589" s="1"/>
    </row>
    <row x14ac:dyDescent="0.25" r="10590" customHeight="1" ht="18.75">
      <c r="A10590" s="1" t="s">
        <v>3598</v>
      </c>
      <c r="B10590" s="1" t="s">
        <v>17258</v>
      </c>
      <c r="C10590" s="1" t="s">
        <v>3600</v>
      </c>
      <c r="D10590" s="1" t="s">
        <v>28428</v>
      </c>
      <c r="E10590" s="1" t="s">
        <v>3752</v>
      </c>
      <c r="F10590" s="1" t="s">
        <v>34580</v>
      </c>
      <c r="G10590" s="1" t="s">
        <v>20337</v>
      </c>
      <c r="H10590" s="1" t="s">
        <v>3604</v>
      </c>
      <c r="I10590" s="1" t="s">
        <v>34581</v>
      </c>
      <c r="J10590" s="1" t="s">
        <v>3615</v>
      </c>
      <c r="K10590" s="1" t="s">
        <v>34582</v>
      </c>
      <c r="L10590" s="1"/>
      <c r="M10590" s="1"/>
    </row>
    <row x14ac:dyDescent="0.25" r="10591" customHeight="1" ht="18.75">
      <c r="A10591" s="1" t="s">
        <v>3598</v>
      </c>
      <c r="B10591" s="1" t="s">
        <v>14119</v>
      </c>
      <c r="C10591" s="1" t="s">
        <v>3600</v>
      </c>
      <c r="D10591" s="1" t="s">
        <v>3601</v>
      </c>
      <c r="E10591" s="1" t="s">
        <v>3664</v>
      </c>
      <c r="F10591" s="1" t="s">
        <v>34583</v>
      </c>
      <c r="G10591" s="1" t="s">
        <v>27772</v>
      </c>
      <c r="H10591" s="1" t="s">
        <v>3604</v>
      </c>
      <c r="I10591" s="1" t="s">
        <v>34584</v>
      </c>
      <c r="J10591" s="1" t="s">
        <v>3615</v>
      </c>
      <c r="K10591" s="1" t="s">
        <v>34585</v>
      </c>
      <c r="L10591" s="1"/>
      <c r="M10591" s="1"/>
    </row>
    <row x14ac:dyDescent="0.25" r="10592" customHeight="1" ht="18.75">
      <c r="A10592" s="1" t="s">
        <v>3598</v>
      </c>
      <c r="B10592" s="1" t="s">
        <v>18096</v>
      </c>
      <c r="C10592" s="1" t="s">
        <v>3600</v>
      </c>
      <c r="D10592" s="1" t="s">
        <v>3601</v>
      </c>
      <c r="E10592" s="1" t="s">
        <v>3893</v>
      </c>
      <c r="F10592" s="1" t="s">
        <v>34586</v>
      </c>
      <c r="G10592" s="1" t="s">
        <v>20370</v>
      </c>
      <c r="H10592" s="1" t="s">
        <v>3604</v>
      </c>
      <c r="I10592" s="1" t="s">
        <v>34587</v>
      </c>
      <c r="J10592" s="1" t="s">
        <v>3615</v>
      </c>
      <c r="K10592" s="1" t="s">
        <v>34588</v>
      </c>
      <c r="L10592" s="1"/>
      <c r="M10592" s="1"/>
    </row>
    <row x14ac:dyDescent="0.25" r="10593" customHeight="1" ht="18.75">
      <c r="A10593" s="1" t="s">
        <v>3598</v>
      </c>
      <c r="B10593" s="1" t="s">
        <v>8191</v>
      </c>
      <c r="C10593" s="1" t="s">
        <v>3600</v>
      </c>
      <c r="D10593" s="1" t="s">
        <v>3601</v>
      </c>
      <c r="E10593" s="1" t="s">
        <v>3611</v>
      </c>
      <c r="F10593" s="1" t="s">
        <v>34589</v>
      </c>
      <c r="G10593" s="1" t="s">
        <v>20591</v>
      </c>
      <c r="H10593" s="1" t="s">
        <v>3604</v>
      </c>
      <c r="I10593" s="1" t="s">
        <v>34590</v>
      </c>
      <c r="J10593" s="1" t="s">
        <v>3606</v>
      </c>
      <c r="K10593" s="1" t="s">
        <v>34591</v>
      </c>
      <c r="L10593" s="1"/>
      <c r="M10593" s="1"/>
    </row>
    <row x14ac:dyDescent="0.25" r="10594" customHeight="1" ht="18.75">
      <c r="A10594" s="1" t="s">
        <v>3598</v>
      </c>
      <c r="B10594" s="1" t="s">
        <v>3778</v>
      </c>
      <c r="C10594" s="1" t="s">
        <v>3600</v>
      </c>
      <c r="D10594" s="1" t="s">
        <v>3601</v>
      </c>
      <c r="E10594" s="1" t="s">
        <v>3664</v>
      </c>
      <c r="F10594" s="1" t="s">
        <v>34592</v>
      </c>
      <c r="G10594" s="1" t="s">
        <v>20299</v>
      </c>
      <c r="H10594" s="1" t="s">
        <v>3604</v>
      </c>
      <c r="I10594" s="1" t="s">
        <v>34593</v>
      </c>
      <c r="J10594" s="1" t="s">
        <v>3615</v>
      </c>
      <c r="K10594" s="1" t="s">
        <v>34369</v>
      </c>
      <c r="L10594" s="1"/>
      <c r="M10594" s="1"/>
    </row>
    <row x14ac:dyDescent="0.25" r="10595" customHeight="1" ht="18.75">
      <c r="A10595" s="1" t="s">
        <v>3598</v>
      </c>
      <c r="B10595" s="1" t="s">
        <v>8191</v>
      </c>
      <c r="C10595" s="1" t="s">
        <v>3600</v>
      </c>
      <c r="D10595" s="1" t="s">
        <v>3601</v>
      </c>
      <c r="E10595" s="1" t="s">
        <v>3611</v>
      </c>
      <c r="F10595" s="1" t="s">
        <v>34594</v>
      </c>
      <c r="G10595" s="1" t="s">
        <v>20591</v>
      </c>
      <c r="H10595" s="1" t="s">
        <v>3604</v>
      </c>
      <c r="I10595" s="1" t="s">
        <v>34595</v>
      </c>
      <c r="J10595" s="1" t="s">
        <v>3606</v>
      </c>
      <c r="K10595" s="1" t="s">
        <v>34596</v>
      </c>
      <c r="L10595" s="1"/>
      <c r="M10595" s="1"/>
    </row>
    <row x14ac:dyDescent="0.25" r="10596" customHeight="1" ht="18.75">
      <c r="A10596" s="1" t="s">
        <v>3598</v>
      </c>
      <c r="B10596" s="1" t="s">
        <v>3778</v>
      </c>
      <c r="C10596" s="1" t="s">
        <v>3600</v>
      </c>
      <c r="D10596" s="1" t="s">
        <v>3601</v>
      </c>
      <c r="E10596" s="1" t="s">
        <v>3664</v>
      </c>
      <c r="F10596" s="1" t="s">
        <v>34597</v>
      </c>
      <c r="G10596" s="1" t="s">
        <v>15768</v>
      </c>
      <c r="H10596" s="1" t="s">
        <v>3604</v>
      </c>
      <c r="I10596" s="1" t="s">
        <v>34598</v>
      </c>
      <c r="J10596" s="1" t="s">
        <v>3606</v>
      </c>
      <c r="K10596" s="1" t="s">
        <v>34599</v>
      </c>
      <c r="L10596" s="1"/>
      <c r="M10596" s="1"/>
    </row>
    <row x14ac:dyDescent="0.25" r="10597" customHeight="1" ht="18.75">
      <c r="A10597" s="1" t="s">
        <v>3617</v>
      </c>
      <c r="B10597" s="1" t="s">
        <v>8483</v>
      </c>
      <c r="C10597" s="1" t="s">
        <v>3619</v>
      </c>
      <c r="D10597" s="1" t="s">
        <v>14146</v>
      </c>
      <c r="E10597" s="1" t="s">
        <v>3893</v>
      </c>
      <c r="F10597" s="1" t="s">
        <v>6281</v>
      </c>
      <c r="G10597" s="1" t="s">
        <v>34600</v>
      </c>
      <c r="H10597" s="1" t="s">
        <v>3604</v>
      </c>
      <c r="I10597" s="1" t="s">
        <v>34601</v>
      </c>
      <c r="J10597" s="1" t="s">
        <v>3615</v>
      </c>
      <c r="K10597" s="1" t="s">
        <v>34602</v>
      </c>
      <c r="L10597" s="1"/>
      <c r="M10597" s="1"/>
    </row>
    <row x14ac:dyDescent="0.25" r="10598" customHeight="1" ht="18.75">
      <c r="A10598" s="1" t="s">
        <v>3598</v>
      </c>
      <c r="B10598" s="1" t="s">
        <v>3778</v>
      </c>
      <c r="C10598" s="1" t="s">
        <v>3600</v>
      </c>
      <c r="D10598" s="1" t="s">
        <v>3601</v>
      </c>
      <c r="E10598" s="1" t="s">
        <v>3664</v>
      </c>
      <c r="F10598" s="1" t="s">
        <v>34603</v>
      </c>
      <c r="G10598" s="1" t="s">
        <v>15768</v>
      </c>
      <c r="H10598" s="1" t="s">
        <v>3604</v>
      </c>
      <c r="I10598" s="1" t="s">
        <v>34604</v>
      </c>
      <c r="J10598" s="1" t="s">
        <v>3606</v>
      </c>
      <c r="K10598" s="1" t="s">
        <v>34605</v>
      </c>
      <c r="L10598" s="1"/>
      <c r="M10598" s="1"/>
    </row>
    <row x14ac:dyDescent="0.25" r="10599" customHeight="1" ht="18.75">
      <c r="A10599" s="1" t="s">
        <v>3617</v>
      </c>
      <c r="B10599" s="1" t="s">
        <v>34606</v>
      </c>
      <c r="C10599" s="1" t="s">
        <v>3619</v>
      </c>
      <c r="D10599" s="1" t="s">
        <v>14146</v>
      </c>
      <c r="E10599" s="1" t="s">
        <v>3893</v>
      </c>
      <c r="F10599" s="1" t="s">
        <v>34607</v>
      </c>
      <c r="G10599" s="1" t="s">
        <v>34606</v>
      </c>
      <c r="H10599" s="1" t="s">
        <v>3604</v>
      </c>
      <c r="I10599" s="1" t="s">
        <v>34608</v>
      </c>
      <c r="J10599" s="1" t="s">
        <v>3615</v>
      </c>
      <c r="K10599" s="1" t="s">
        <v>34609</v>
      </c>
      <c r="L10599" s="1"/>
      <c r="M10599" s="1"/>
    </row>
    <row x14ac:dyDescent="0.25" r="10600" customHeight="1" ht="18.75">
      <c r="A10600" s="1" t="s">
        <v>3598</v>
      </c>
      <c r="B10600" s="1" t="s">
        <v>3778</v>
      </c>
      <c r="C10600" s="1" t="s">
        <v>3600</v>
      </c>
      <c r="D10600" s="1" t="s">
        <v>3601</v>
      </c>
      <c r="E10600" s="1" t="s">
        <v>3664</v>
      </c>
      <c r="F10600" s="1" t="s">
        <v>34610</v>
      </c>
      <c r="G10600" s="1" t="s">
        <v>15768</v>
      </c>
      <c r="H10600" s="1" t="s">
        <v>3604</v>
      </c>
      <c r="I10600" s="1" t="s">
        <v>34611</v>
      </c>
      <c r="J10600" s="1" t="s">
        <v>3606</v>
      </c>
      <c r="K10600" s="1" t="s">
        <v>34612</v>
      </c>
      <c r="L10600" s="1"/>
      <c r="M10600" s="1"/>
    </row>
    <row x14ac:dyDescent="0.25" r="10601" customHeight="1" ht="18.75">
      <c r="A10601" s="1" t="s">
        <v>3617</v>
      </c>
      <c r="B10601" s="1" t="s">
        <v>34613</v>
      </c>
      <c r="C10601" s="1" t="s">
        <v>3619</v>
      </c>
      <c r="D10601" s="1" t="s">
        <v>14146</v>
      </c>
      <c r="E10601" s="1" t="s">
        <v>3893</v>
      </c>
      <c r="F10601" s="1" t="s">
        <v>34550</v>
      </c>
      <c r="G10601" s="1" t="s">
        <v>34613</v>
      </c>
      <c r="H10601" s="1" t="s">
        <v>3604</v>
      </c>
      <c r="I10601" s="1" t="s">
        <v>34614</v>
      </c>
      <c r="J10601" s="1" t="s">
        <v>3606</v>
      </c>
      <c r="K10601" s="1" t="s">
        <v>34615</v>
      </c>
      <c r="L10601" s="1"/>
      <c r="M10601" s="1"/>
    </row>
    <row x14ac:dyDescent="0.25" r="10602" customHeight="1" ht="18.75">
      <c r="A10602" s="1" t="s">
        <v>3598</v>
      </c>
      <c r="B10602" s="1" t="s">
        <v>15780</v>
      </c>
      <c r="C10602" s="1" t="s">
        <v>3600</v>
      </c>
      <c r="D10602" s="1" t="s">
        <v>3601</v>
      </c>
      <c r="E10602" s="1" t="s">
        <v>3664</v>
      </c>
      <c r="F10602" s="1" t="s">
        <v>34616</v>
      </c>
      <c r="G10602" s="1" t="s">
        <v>20289</v>
      </c>
      <c r="H10602" s="1" t="s">
        <v>3604</v>
      </c>
      <c r="I10602" s="1" t="s">
        <v>34617</v>
      </c>
      <c r="J10602" s="1" t="s">
        <v>3606</v>
      </c>
      <c r="K10602" s="1" t="s">
        <v>34618</v>
      </c>
      <c r="L10602" s="1"/>
      <c r="M10602" s="1"/>
    </row>
    <row x14ac:dyDescent="0.25" r="10603" customHeight="1" ht="18.75">
      <c r="A10603" s="1" t="s">
        <v>3598</v>
      </c>
      <c r="B10603" s="1" t="s">
        <v>5239</v>
      </c>
      <c r="C10603" s="1" t="s">
        <v>3600</v>
      </c>
      <c r="D10603" s="1" t="s">
        <v>7891</v>
      </c>
      <c r="E10603" s="1" t="s">
        <v>3664</v>
      </c>
      <c r="F10603" s="1" t="s">
        <v>34619</v>
      </c>
      <c r="G10603" s="1" t="s">
        <v>9288</v>
      </c>
      <c r="H10603" s="1" t="s">
        <v>3604</v>
      </c>
      <c r="I10603" s="1" t="s">
        <v>34620</v>
      </c>
      <c r="J10603" s="1" t="s">
        <v>3615</v>
      </c>
      <c r="K10603" s="1" t="s">
        <v>34621</v>
      </c>
      <c r="L10603" s="1"/>
      <c r="M10603" s="1"/>
    </row>
    <row x14ac:dyDescent="0.25" r="10604" customHeight="1" ht="18.75">
      <c r="A10604" s="1" t="s">
        <v>3598</v>
      </c>
      <c r="B10604" s="1" t="s">
        <v>15780</v>
      </c>
      <c r="C10604" s="1" t="s">
        <v>3600</v>
      </c>
      <c r="D10604" s="1" t="s">
        <v>3601</v>
      </c>
      <c r="E10604" s="1" t="s">
        <v>3664</v>
      </c>
      <c r="F10604" s="1" t="s">
        <v>34622</v>
      </c>
      <c r="G10604" s="1" t="s">
        <v>20289</v>
      </c>
      <c r="H10604" s="1" t="s">
        <v>3604</v>
      </c>
      <c r="I10604" s="1" t="s">
        <v>34623</v>
      </c>
      <c r="J10604" s="1" t="s">
        <v>3606</v>
      </c>
      <c r="K10604" s="1" t="s">
        <v>34624</v>
      </c>
      <c r="L10604" s="1"/>
      <c r="M10604" s="1"/>
    </row>
    <row x14ac:dyDescent="0.25" r="10605" customHeight="1" ht="18.75">
      <c r="A10605" s="1" t="s">
        <v>3598</v>
      </c>
      <c r="B10605" s="1" t="s">
        <v>19642</v>
      </c>
      <c r="C10605" s="1" t="s">
        <v>3600</v>
      </c>
      <c r="D10605" s="1" t="s">
        <v>7891</v>
      </c>
      <c r="E10605" s="1" t="s">
        <v>33214</v>
      </c>
      <c r="F10605" s="1" t="s">
        <v>34625</v>
      </c>
      <c r="G10605" s="1" t="s">
        <v>34626</v>
      </c>
      <c r="H10605" s="1" t="s">
        <v>3604</v>
      </c>
      <c r="I10605" s="1" t="s">
        <v>34627</v>
      </c>
      <c r="J10605" s="1" t="s">
        <v>3615</v>
      </c>
      <c r="K10605" s="1" t="s">
        <v>34628</v>
      </c>
      <c r="L10605" s="1"/>
      <c r="M10605" s="1"/>
    </row>
    <row x14ac:dyDescent="0.25" r="10606" customHeight="1" ht="18.75">
      <c r="A10606" s="1" t="s">
        <v>3598</v>
      </c>
      <c r="B10606" s="1" t="s">
        <v>15780</v>
      </c>
      <c r="C10606" s="1" t="s">
        <v>3600</v>
      </c>
      <c r="D10606" s="1" t="s">
        <v>3601</v>
      </c>
      <c r="E10606" s="1" t="s">
        <v>3664</v>
      </c>
      <c r="F10606" s="1" t="s">
        <v>34629</v>
      </c>
      <c r="G10606" s="1" t="s">
        <v>20289</v>
      </c>
      <c r="H10606" s="1" t="s">
        <v>3604</v>
      </c>
      <c r="I10606" s="1" t="s">
        <v>34630</v>
      </c>
      <c r="J10606" s="1" t="s">
        <v>3606</v>
      </c>
      <c r="K10606" s="1" t="s">
        <v>34631</v>
      </c>
      <c r="L10606" s="1"/>
      <c r="M10606" s="1"/>
    </row>
    <row x14ac:dyDescent="0.25" r="10607" customHeight="1" ht="18.75">
      <c r="A10607" s="1" t="s">
        <v>3598</v>
      </c>
      <c r="B10607" s="1" t="s">
        <v>19642</v>
      </c>
      <c r="C10607" s="1" t="s">
        <v>3600</v>
      </c>
      <c r="D10607" s="1" t="s">
        <v>7891</v>
      </c>
      <c r="E10607" s="1" t="s">
        <v>33214</v>
      </c>
      <c r="F10607" s="1" t="s">
        <v>34632</v>
      </c>
      <c r="G10607" s="1" t="s">
        <v>34626</v>
      </c>
      <c r="H10607" s="1" t="s">
        <v>3604</v>
      </c>
      <c r="I10607" s="1" t="s">
        <v>34633</v>
      </c>
      <c r="J10607" s="1" t="s">
        <v>3615</v>
      </c>
      <c r="K10607" s="1" t="s">
        <v>34634</v>
      </c>
      <c r="L10607" s="1"/>
      <c r="M10607" s="1"/>
    </row>
    <row x14ac:dyDescent="0.25" r="10608" customHeight="1" ht="18.75">
      <c r="A10608" s="1" t="s">
        <v>3598</v>
      </c>
      <c r="B10608" s="1" t="s">
        <v>15780</v>
      </c>
      <c r="C10608" s="1" t="s">
        <v>3600</v>
      </c>
      <c r="D10608" s="1" t="s">
        <v>3601</v>
      </c>
      <c r="E10608" s="1" t="s">
        <v>3664</v>
      </c>
      <c r="F10608" s="1" t="s">
        <v>34635</v>
      </c>
      <c r="G10608" s="1" t="s">
        <v>20537</v>
      </c>
      <c r="H10608" s="1" t="s">
        <v>3604</v>
      </c>
      <c r="I10608" s="1" t="s">
        <v>34636</v>
      </c>
      <c r="J10608" s="1" t="s">
        <v>3606</v>
      </c>
      <c r="K10608" s="1" t="s">
        <v>34637</v>
      </c>
      <c r="L10608" s="1"/>
      <c r="M10608" s="1"/>
    </row>
    <row x14ac:dyDescent="0.25" r="10609" customHeight="1" ht="18.75">
      <c r="A10609" s="1" t="s">
        <v>3598</v>
      </c>
      <c r="B10609" s="1" t="s">
        <v>19642</v>
      </c>
      <c r="C10609" s="1" t="s">
        <v>3600</v>
      </c>
      <c r="D10609" s="1" t="s">
        <v>7891</v>
      </c>
      <c r="E10609" s="1" t="s">
        <v>3752</v>
      </c>
      <c r="F10609" s="1" t="s">
        <v>34638</v>
      </c>
      <c r="G10609" s="1" t="s">
        <v>19853</v>
      </c>
      <c r="H10609" s="1" t="s">
        <v>3604</v>
      </c>
      <c r="I10609" s="1" t="s">
        <v>34639</v>
      </c>
      <c r="J10609" s="1" t="s">
        <v>3615</v>
      </c>
      <c r="K10609" s="1" t="s">
        <v>34494</v>
      </c>
      <c r="L10609" s="1"/>
      <c r="M10609" s="1"/>
    </row>
    <row x14ac:dyDescent="0.25" r="10610" customHeight="1" ht="18.75">
      <c r="A10610" s="1" t="s">
        <v>3617</v>
      </c>
      <c r="B10610" s="1" t="s">
        <v>34640</v>
      </c>
      <c r="C10610" s="1" t="s">
        <v>3619</v>
      </c>
      <c r="D10610" s="1" t="s">
        <v>14146</v>
      </c>
      <c r="E10610" s="1" t="s">
        <v>3893</v>
      </c>
      <c r="F10610" s="1" t="s">
        <v>6281</v>
      </c>
      <c r="G10610" s="1" t="s">
        <v>34640</v>
      </c>
      <c r="H10610" s="1" t="s">
        <v>3604</v>
      </c>
      <c r="I10610" s="1" t="s">
        <v>34641</v>
      </c>
      <c r="J10610" s="1" t="s">
        <v>3606</v>
      </c>
      <c r="K10610" s="1" t="s">
        <v>34642</v>
      </c>
      <c r="L10610" s="1"/>
      <c r="M10610" s="1"/>
    </row>
    <row x14ac:dyDescent="0.25" r="10611" customHeight="1" ht="18.75">
      <c r="A10611" s="1" t="s">
        <v>3598</v>
      </c>
      <c r="B10611" s="1" t="s">
        <v>19642</v>
      </c>
      <c r="C10611" s="1" t="s">
        <v>3600</v>
      </c>
      <c r="D10611" s="1" t="s">
        <v>7891</v>
      </c>
      <c r="E10611" s="1" t="s">
        <v>3752</v>
      </c>
      <c r="F10611" s="1" t="s">
        <v>34643</v>
      </c>
      <c r="G10611" s="1" t="s">
        <v>19853</v>
      </c>
      <c r="H10611" s="1" t="s">
        <v>3604</v>
      </c>
      <c r="I10611" s="1" t="s">
        <v>34644</v>
      </c>
      <c r="J10611" s="1" t="s">
        <v>3615</v>
      </c>
      <c r="K10611" s="1" t="s">
        <v>34501</v>
      </c>
      <c r="L10611" s="1"/>
      <c r="M10611" s="1"/>
    </row>
    <row x14ac:dyDescent="0.25" r="10612" customHeight="1" ht="18.75">
      <c r="A10612" s="1" t="s">
        <v>3617</v>
      </c>
      <c r="B10612" s="1" t="s">
        <v>34645</v>
      </c>
      <c r="C10612" s="1" t="s">
        <v>3619</v>
      </c>
      <c r="D10612" s="1" t="s">
        <v>14146</v>
      </c>
      <c r="E10612" s="1" t="s">
        <v>3730</v>
      </c>
      <c r="F10612" s="1" t="s">
        <v>34281</v>
      </c>
      <c r="G10612" s="1" t="s">
        <v>34645</v>
      </c>
      <c r="H10612" s="1" t="s">
        <v>3604</v>
      </c>
      <c r="I10612" s="1" t="s">
        <v>34646</v>
      </c>
      <c r="J10612" s="1" t="s">
        <v>3615</v>
      </c>
      <c r="K10612" s="1" t="s">
        <v>34647</v>
      </c>
      <c r="L10612" s="1"/>
      <c r="M10612" s="1"/>
    </row>
    <row x14ac:dyDescent="0.25" r="10613" customHeight="1" ht="18.75">
      <c r="A10613" s="1" t="s">
        <v>3598</v>
      </c>
      <c r="B10613" s="1" t="s">
        <v>19975</v>
      </c>
      <c r="C10613" s="1" t="s">
        <v>3600</v>
      </c>
      <c r="D10613" s="1" t="s">
        <v>7891</v>
      </c>
      <c r="E10613" s="1" t="s">
        <v>3752</v>
      </c>
      <c r="F10613" s="1" t="s">
        <v>34648</v>
      </c>
      <c r="G10613" s="1" t="s">
        <v>34649</v>
      </c>
      <c r="H10613" s="1" t="s">
        <v>3604</v>
      </c>
      <c r="I10613" s="1" t="s">
        <v>34650</v>
      </c>
      <c r="J10613" s="1" t="s">
        <v>3615</v>
      </c>
      <c r="K10613" s="1" t="s">
        <v>34494</v>
      </c>
      <c r="L10613" s="1"/>
      <c r="M10613" s="1"/>
    </row>
    <row x14ac:dyDescent="0.25" r="10614" customHeight="1" ht="18.75">
      <c r="A10614" s="1" t="s">
        <v>3598</v>
      </c>
      <c r="B10614" s="1" t="s">
        <v>19975</v>
      </c>
      <c r="C10614" s="1" t="s">
        <v>3600</v>
      </c>
      <c r="D10614" s="1" t="s">
        <v>7891</v>
      </c>
      <c r="E10614" s="1" t="s">
        <v>3752</v>
      </c>
      <c r="F10614" s="1" t="s">
        <v>34651</v>
      </c>
      <c r="G10614" s="1" t="s">
        <v>34649</v>
      </c>
      <c r="H10614" s="1" t="s">
        <v>3604</v>
      </c>
      <c r="I10614" s="1" t="s">
        <v>34652</v>
      </c>
      <c r="J10614" s="1" t="s">
        <v>3615</v>
      </c>
      <c r="K10614" s="1" t="s">
        <v>34653</v>
      </c>
      <c r="L10614" s="1"/>
      <c r="M10614" s="1"/>
    </row>
    <row x14ac:dyDescent="0.25" r="10615" customHeight="1" ht="18.75">
      <c r="A10615" s="1" t="s">
        <v>3617</v>
      </c>
      <c r="B10615" s="1" t="s">
        <v>34654</v>
      </c>
      <c r="C10615" s="1" t="s">
        <v>3619</v>
      </c>
      <c r="D10615" s="1" t="s">
        <v>14146</v>
      </c>
      <c r="E10615" s="1" t="s">
        <v>3893</v>
      </c>
      <c r="F10615" s="1" t="s">
        <v>34655</v>
      </c>
      <c r="G10615" s="1" t="s">
        <v>34654</v>
      </c>
      <c r="H10615" s="1" t="s">
        <v>3604</v>
      </c>
      <c r="I10615" s="1" t="s">
        <v>34656</v>
      </c>
      <c r="J10615" s="1" t="s">
        <v>3606</v>
      </c>
      <c r="K10615" s="1" t="s">
        <v>34657</v>
      </c>
      <c r="L10615" s="1"/>
      <c r="M10615" s="1"/>
    </row>
    <row x14ac:dyDescent="0.25" r="10616" customHeight="1" ht="18.75">
      <c r="A10616" s="1" t="s">
        <v>3617</v>
      </c>
      <c r="B10616" s="1" t="s">
        <v>34658</v>
      </c>
      <c r="C10616" s="1" t="s">
        <v>3619</v>
      </c>
      <c r="D10616" s="1" t="s">
        <v>14146</v>
      </c>
      <c r="E10616" s="1" t="s">
        <v>3730</v>
      </c>
      <c r="F10616" s="1" t="s">
        <v>34659</v>
      </c>
      <c r="G10616" s="1" t="s">
        <v>34658</v>
      </c>
      <c r="H10616" s="1" t="s">
        <v>3604</v>
      </c>
      <c r="I10616" s="1" t="s">
        <v>34660</v>
      </c>
      <c r="J10616" s="1" t="s">
        <v>3615</v>
      </c>
      <c r="K10616" s="1" t="s">
        <v>17960</v>
      </c>
      <c r="L10616" s="1"/>
      <c r="M10616" s="1"/>
    </row>
    <row x14ac:dyDescent="0.25" r="10617" customHeight="1" ht="18.75">
      <c r="A10617" s="1" t="s">
        <v>3598</v>
      </c>
      <c r="B10617" s="1" t="s">
        <v>19975</v>
      </c>
      <c r="C10617" s="1" t="s">
        <v>3600</v>
      </c>
      <c r="D10617" s="1" t="s">
        <v>7891</v>
      </c>
      <c r="E10617" s="1" t="s">
        <v>3752</v>
      </c>
      <c r="F10617" s="1" t="s">
        <v>34661</v>
      </c>
      <c r="G10617" s="1" t="s">
        <v>34649</v>
      </c>
      <c r="H10617" s="1" t="s">
        <v>3604</v>
      </c>
      <c r="I10617" s="1" t="s">
        <v>34662</v>
      </c>
      <c r="J10617" s="1" t="s">
        <v>3615</v>
      </c>
      <c r="K10617" s="1" t="s">
        <v>34501</v>
      </c>
      <c r="L10617" s="1"/>
      <c r="M10617" s="1"/>
    </row>
    <row x14ac:dyDescent="0.25" r="10618" customHeight="1" ht="18.75">
      <c r="A10618" s="1" t="s">
        <v>3617</v>
      </c>
      <c r="B10618" s="1" t="s">
        <v>34663</v>
      </c>
      <c r="C10618" s="1" t="s">
        <v>3619</v>
      </c>
      <c r="D10618" s="1" t="s">
        <v>14146</v>
      </c>
      <c r="E10618" s="1" t="s">
        <v>3730</v>
      </c>
      <c r="F10618" s="1" t="s">
        <v>34550</v>
      </c>
      <c r="G10618" s="1" t="s">
        <v>34663</v>
      </c>
      <c r="H10618" s="1" t="s">
        <v>3604</v>
      </c>
      <c r="I10618" s="1" t="s">
        <v>34664</v>
      </c>
      <c r="J10618" s="1" t="s">
        <v>3615</v>
      </c>
      <c r="K10618" s="1" t="s">
        <v>17976</v>
      </c>
      <c r="L10618" s="1"/>
      <c r="M10618" s="1"/>
    </row>
    <row x14ac:dyDescent="0.25" r="10619" customHeight="1" ht="18.75">
      <c r="A10619" s="1" t="s">
        <v>3693</v>
      </c>
      <c r="B10619" s="1" t="s">
        <v>34665</v>
      </c>
      <c r="C10619" s="1" t="s">
        <v>3600</v>
      </c>
      <c r="D10619" s="1" t="s">
        <v>3601</v>
      </c>
      <c r="E10619" s="1" t="s">
        <v>3664</v>
      </c>
      <c r="F10619" s="1" t="s">
        <v>34666</v>
      </c>
      <c r="G10619" s="1" t="s">
        <v>31628</v>
      </c>
      <c r="H10619" s="1" t="s">
        <v>3604</v>
      </c>
      <c r="I10619" s="1" t="s">
        <v>34667</v>
      </c>
      <c r="J10619" s="1" t="s">
        <v>3615</v>
      </c>
      <c r="K10619" s="1" t="s">
        <v>34668</v>
      </c>
      <c r="L10619" s="1"/>
      <c r="M10619" s="1"/>
    </row>
    <row x14ac:dyDescent="0.25" r="10620" customHeight="1" ht="18.75">
      <c r="A10620" s="1" t="s">
        <v>3693</v>
      </c>
      <c r="B10620" s="1" t="s">
        <v>34665</v>
      </c>
      <c r="C10620" s="1" t="s">
        <v>3600</v>
      </c>
      <c r="D10620" s="1" t="s">
        <v>3601</v>
      </c>
      <c r="E10620" s="1" t="s">
        <v>3664</v>
      </c>
      <c r="F10620" s="1" t="s">
        <v>34669</v>
      </c>
      <c r="G10620" s="1" t="s">
        <v>31628</v>
      </c>
      <c r="H10620" s="1" t="s">
        <v>3604</v>
      </c>
      <c r="I10620" s="1" t="s">
        <v>34670</v>
      </c>
      <c r="J10620" s="1" t="s">
        <v>3615</v>
      </c>
      <c r="K10620" s="1" t="s">
        <v>34668</v>
      </c>
      <c r="L10620" s="1"/>
      <c r="M10620" s="1"/>
    </row>
    <row x14ac:dyDescent="0.25" r="10621" customHeight="1" ht="18.75">
      <c r="A10621" s="1" t="s">
        <v>3617</v>
      </c>
      <c r="B10621" s="1" t="s">
        <v>17711</v>
      </c>
      <c r="C10621" s="1" t="s">
        <v>3619</v>
      </c>
      <c r="D10621" s="1" t="s">
        <v>14146</v>
      </c>
      <c r="E10621" s="1" t="s">
        <v>3730</v>
      </c>
      <c r="F10621" s="1" t="s">
        <v>34671</v>
      </c>
      <c r="G10621" s="1" t="s">
        <v>17711</v>
      </c>
      <c r="H10621" s="1" t="s">
        <v>3604</v>
      </c>
      <c r="I10621" s="1" t="s">
        <v>34672</v>
      </c>
      <c r="J10621" s="1" t="s">
        <v>3606</v>
      </c>
      <c r="K10621" s="1" t="s">
        <v>34257</v>
      </c>
      <c r="L10621" s="1"/>
      <c r="M10621" s="1"/>
    </row>
    <row x14ac:dyDescent="0.25" r="10622" customHeight="1" ht="18.75">
      <c r="A10622" s="1" t="s">
        <v>3617</v>
      </c>
      <c r="B10622" s="1" t="s">
        <v>34673</v>
      </c>
      <c r="C10622" s="1" t="s">
        <v>3619</v>
      </c>
      <c r="D10622" s="1" t="s">
        <v>14146</v>
      </c>
      <c r="E10622" s="1" t="s">
        <v>3730</v>
      </c>
      <c r="F10622" s="1" t="s">
        <v>34671</v>
      </c>
      <c r="G10622" s="1" t="s">
        <v>34673</v>
      </c>
      <c r="H10622" s="1" t="s">
        <v>3604</v>
      </c>
      <c r="I10622" s="1" t="s">
        <v>34674</v>
      </c>
      <c r="J10622" s="1" t="s">
        <v>3615</v>
      </c>
      <c r="K10622" s="1" t="s">
        <v>17982</v>
      </c>
      <c r="L10622" s="1"/>
      <c r="M10622" s="1"/>
    </row>
    <row x14ac:dyDescent="0.25" r="10623" customHeight="1" ht="18.75">
      <c r="A10623" s="1" t="s">
        <v>3598</v>
      </c>
      <c r="B10623" s="1" t="s">
        <v>14038</v>
      </c>
      <c r="C10623" s="1" t="s">
        <v>3600</v>
      </c>
      <c r="D10623" s="1" t="s">
        <v>3601</v>
      </c>
      <c r="E10623" s="1" t="s">
        <v>3664</v>
      </c>
      <c r="F10623" s="1" t="s">
        <v>34675</v>
      </c>
      <c r="G10623" s="1" t="s">
        <v>18048</v>
      </c>
      <c r="H10623" s="1" t="s">
        <v>3604</v>
      </c>
      <c r="I10623" s="1" t="s">
        <v>34676</v>
      </c>
      <c r="J10623" s="1" t="s">
        <v>3606</v>
      </c>
      <c r="K10623" s="1" t="s">
        <v>34677</v>
      </c>
      <c r="L10623" s="1"/>
      <c r="M10623" s="1"/>
    </row>
    <row x14ac:dyDescent="0.25" r="10624" customHeight="1" ht="18.75">
      <c r="A10624" s="1" t="s">
        <v>3598</v>
      </c>
      <c r="B10624" s="1" t="s">
        <v>4273</v>
      </c>
      <c r="C10624" s="1" t="s">
        <v>3600</v>
      </c>
      <c r="D10624" s="1" t="s">
        <v>28428</v>
      </c>
      <c r="E10624" s="1" t="s">
        <v>3664</v>
      </c>
      <c r="F10624" s="1" t="s">
        <v>34678</v>
      </c>
      <c r="G10624" s="1" t="s">
        <v>33173</v>
      </c>
      <c r="H10624" s="1" t="s">
        <v>3604</v>
      </c>
      <c r="I10624" s="1" t="s">
        <v>34679</v>
      </c>
      <c r="J10624" s="1" t="s">
        <v>3615</v>
      </c>
      <c r="K10624" s="1" t="s">
        <v>34680</v>
      </c>
      <c r="L10624" s="1"/>
      <c r="M10624" s="1"/>
    </row>
    <row x14ac:dyDescent="0.25" r="10625" customHeight="1" ht="18.75">
      <c r="A10625" s="1" t="s">
        <v>3598</v>
      </c>
      <c r="B10625" s="1" t="s">
        <v>8191</v>
      </c>
      <c r="C10625" s="1" t="s">
        <v>3600</v>
      </c>
      <c r="D10625" s="1" t="s">
        <v>3601</v>
      </c>
      <c r="E10625" s="1" t="s">
        <v>3611</v>
      </c>
      <c r="F10625" s="1" t="s">
        <v>34681</v>
      </c>
      <c r="G10625" s="1" t="s">
        <v>20591</v>
      </c>
      <c r="H10625" s="1" t="s">
        <v>3604</v>
      </c>
      <c r="I10625" s="1" t="s">
        <v>34682</v>
      </c>
      <c r="J10625" s="1" t="s">
        <v>3606</v>
      </c>
      <c r="K10625" s="1" t="s">
        <v>34683</v>
      </c>
      <c r="L10625" s="1"/>
      <c r="M10625" s="1"/>
    </row>
    <row x14ac:dyDescent="0.25" r="10626" customHeight="1" ht="18.75">
      <c r="A10626" s="1" t="s">
        <v>3598</v>
      </c>
      <c r="B10626" s="1" t="s">
        <v>9236</v>
      </c>
      <c r="C10626" s="1" t="s">
        <v>3600</v>
      </c>
      <c r="D10626" s="1" t="s">
        <v>8365</v>
      </c>
      <c r="E10626" s="1" t="s">
        <v>3752</v>
      </c>
      <c r="F10626" s="1" t="s">
        <v>34684</v>
      </c>
      <c r="G10626" s="1" t="s">
        <v>27460</v>
      </c>
      <c r="H10626" s="1" t="s">
        <v>3604</v>
      </c>
      <c r="I10626" s="1" t="s">
        <v>34685</v>
      </c>
      <c r="J10626" s="1" t="s">
        <v>3615</v>
      </c>
      <c r="K10626" s="1" t="s">
        <v>34686</v>
      </c>
      <c r="L10626" s="1"/>
      <c r="M10626" s="1"/>
    </row>
    <row x14ac:dyDescent="0.25" r="10627" customHeight="1" ht="18.75">
      <c r="A10627" s="1" t="s">
        <v>3598</v>
      </c>
      <c r="B10627" s="1" t="s">
        <v>5260</v>
      </c>
      <c r="C10627" s="1" t="s">
        <v>3600</v>
      </c>
      <c r="D10627" s="1" t="s">
        <v>8365</v>
      </c>
      <c r="E10627" s="1" t="s">
        <v>3664</v>
      </c>
      <c r="F10627" s="1" t="s">
        <v>34687</v>
      </c>
      <c r="G10627" s="1" t="s">
        <v>31257</v>
      </c>
      <c r="H10627" s="1" t="s">
        <v>3604</v>
      </c>
      <c r="I10627" s="1" t="s">
        <v>34688</v>
      </c>
      <c r="J10627" s="1" t="s">
        <v>3615</v>
      </c>
      <c r="K10627" s="1" t="s">
        <v>34689</v>
      </c>
      <c r="L10627" s="1"/>
      <c r="M10627" s="1"/>
    </row>
    <row x14ac:dyDescent="0.25" r="10628" customHeight="1" ht="18.75">
      <c r="A10628" s="1" t="s">
        <v>3598</v>
      </c>
      <c r="B10628" s="1" t="s">
        <v>20557</v>
      </c>
      <c r="C10628" s="1" t="s">
        <v>3600</v>
      </c>
      <c r="D10628" s="1" t="s">
        <v>3601</v>
      </c>
      <c r="E10628" s="1" t="s">
        <v>3893</v>
      </c>
      <c r="F10628" s="1" t="s">
        <v>34690</v>
      </c>
      <c r="G10628" s="1" t="s">
        <v>27240</v>
      </c>
      <c r="H10628" s="1" t="s">
        <v>3604</v>
      </c>
      <c r="I10628" s="1" t="s">
        <v>34691</v>
      </c>
      <c r="J10628" s="1" t="s">
        <v>3606</v>
      </c>
      <c r="K10628" s="1" t="s">
        <v>34692</v>
      </c>
      <c r="L10628" s="1"/>
      <c r="M10628" s="1"/>
    </row>
    <row x14ac:dyDescent="0.25" r="10629" customHeight="1" ht="18.75">
      <c r="A10629" s="1" t="s">
        <v>3598</v>
      </c>
      <c r="B10629" s="1" t="s">
        <v>19909</v>
      </c>
      <c r="C10629" s="1" t="s">
        <v>3600</v>
      </c>
      <c r="D10629" s="1" t="s">
        <v>3601</v>
      </c>
      <c r="E10629" s="1" t="s">
        <v>3664</v>
      </c>
      <c r="F10629" s="1" t="s">
        <v>34693</v>
      </c>
      <c r="G10629" s="1" t="s">
        <v>34124</v>
      </c>
      <c r="H10629" s="1" t="s">
        <v>3604</v>
      </c>
      <c r="I10629" s="1" t="s">
        <v>34694</v>
      </c>
      <c r="J10629" s="1" t="s">
        <v>3615</v>
      </c>
      <c r="K10629" s="1" t="s">
        <v>34695</v>
      </c>
      <c r="L10629" s="1"/>
      <c r="M10629" s="1"/>
    </row>
    <row x14ac:dyDescent="0.25" r="10630" customHeight="1" ht="18.75">
      <c r="A10630" s="1" t="s">
        <v>3617</v>
      </c>
      <c r="B10630" s="1" t="s">
        <v>12536</v>
      </c>
      <c r="C10630" s="1" t="s">
        <v>3619</v>
      </c>
      <c r="D10630" s="1" t="s">
        <v>14146</v>
      </c>
      <c r="E10630" s="1" t="s">
        <v>3730</v>
      </c>
      <c r="F10630" s="1" t="s">
        <v>34696</v>
      </c>
      <c r="G10630" s="1" t="s">
        <v>12536</v>
      </c>
      <c r="H10630" s="1" t="s">
        <v>3604</v>
      </c>
      <c r="I10630" s="1" t="s">
        <v>34697</v>
      </c>
      <c r="J10630" s="1" t="s">
        <v>3615</v>
      </c>
      <c r="K10630" s="1" t="s">
        <v>34698</v>
      </c>
      <c r="L10630" s="1"/>
      <c r="M10630" s="1"/>
    </row>
    <row x14ac:dyDescent="0.25" r="10631" customHeight="1" ht="18.75">
      <c r="A10631" s="1" t="s">
        <v>3617</v>
      </c>
      <c r="B10631" s="1" t="s">
        <v>12578</v>
      </c>
      <c r="C10631" s="1" t="s">
        <v>3619</v>
      </c>
      <c r="D10631" s="1" t="s">
        <v>14146</v>
      </c>
      <c r="E10631" s="1" t="s">
        <v>3730</v>
      </c>
      <c r="F10631" s="1" t="s">
        <v>34696</v>
      </c>
      <c r="G10631" s="1" t="s">
        <v>12578</v>
      </c>
      <c r="H10631" s="1" t="s">
        <v>3604</v>
      </c>
      <c r="I10631" s="1" t="s">
        <v>34699</v>
      </c>
      <c r="J10631" s="1" t="s">
        <v>3615</v>
      </c>
      <c r="K10631" s="1" t="s">
        <v>34700</v>
      </c>
      <c r="L10631" s="1"/>
      <c r="M10631" s="1"/>
    </row>
    <row x14ac:dyDescent="0.25" r="10632" customHeight="1" ht="18.75">
      <c r="A10632" s="1" t="s">
        <v>3617</v>
      </c>
      <c r="B10632" s="1" t="s">
        <v>34701</v>
      </c>
      <c r="C10632" s="1" t="s">
        <v>3619</v>
      </c>
      <c r="D10632" s="1" t="s">
        <v>14146</v>
      </c>
      <c r="E10632" s="1" t="s">
        <v>3730</v>
      </c>
      <c r="F10632" s="1" t="s">
        <v>34696</v>
      </c>
      <c r="G10632" s="1" t="s">
        <v>34702</v>
      </c>
      <c r="H10632" s="1" t="s">
        <v>3604</v>
      </c>
      <c r="I10632" s="1" t="s">
        <v>34703</v>
      </c>
      <c r="J10632" s="1" t="s">
        <v>3615</v>
      </c>
      <c r="K10632" s="1" t="s">
        <v>34704</v>
      </c>
      <c r="L10632" s="1"/>
      <c r="M10632" s="1"/>
    </row>
    <row x14ac:dyDescent="0.25" r="10633" customHeight="1" ht="18.75">
      <c r="A10633" s="1" t="s">
        <v>3617</v>
      </c>
      <c r="B10633" s="1" t="s">
        <v>5217</v>
      </c>
      <c r="C10633" s="1" t="s">
        <v>3619</v>
      </c>
      <c r="D10633" s="1" t="s">
        <v>14146</v>
      </c>
      <c r="E10633" s="1" t="s">
        <v>3730</v>
      </c>
      <c r="F10633" s="1" t="s">
        <v>34696</v>
      </c>
      <c r="G10633" s="1" t="s">
        <v>34705</v>
      </c>
      <c r="H10633" s="1" t="s">
        <v>3604</v>
      </c>
      <c r="I10633" s="1" t="s">
        <v>34706</v>
      </c>
      <c r="J10633" s="1" t="s">
        <v>3615</v>
      </c>
      <c r="K10633" s="1" t="s">
        <v>34707</v>
      </c>
      <c r="L10633" s="1"/>
      <c r="M10633" s="1"/>
    </row>
    <row x14ac:dyDescent="0.25" r="10634" customHeight="1" ht="18.75">
      <c r="A10634" s="1" t="s">
        <v>3598</v>
      </c>
      <c r="B10634" s="1" t="s">
        <v>13864</v>
      </c>
      <c r="C10634" s="1" t="s">
        <v>3600</v>
      </c>
      <c r="D10634" s="1" t="s">
        <v>3610</v>
      </c>
      <c r="E10634" s="1" t="s">
        <v>3752</v>
      </c>
      <c r="F10634" s="1" t="s">
        <v>34708</v>
      </c>
      <c r="G10634" s="1" t="s">
        <v>25638</v>
      </c>
      <c r="H10634" s="1" t="s">
        <v>3604</v>
      </c>
      <c r="I10634" s="1" t="s">
        <v>34709</v>
      </c>
      <c r="J10634" s="1" t="s">
        <v>3615</v>
      </c>
      <c r="K10634" s="1" t="s">
        <v>34710</v>
      </c>
      <c r="L10634" s="1"/>
      <c r="M10634" s="1"/>
    </row>
    <row x14ac:dyDescent="0.25" r="10635" customHeight="1" ht="18.75">
      <c r="A10635" s="1" t="s">
        <v>3617</v>
      </c>
      <c r="B10635" s="1" t="s">
        <v>34711</v>
      </c>
      <c r="C10635" s="1" t="s">
        <v>3619</v>
      </c>
      <c r="D10635" s="1" t="s">
        <v>14146</v>
      </c>
      <c r="E10635" s="1" t="s">
        <v>3893</v>
      </c>
      <c r="F10635" s="1" t="s">
        <v>34696</v>
      </c>
      <c r="G10635" s="1" t="s">
        <v>34711</v>
      </c>
      <c r="H10635" s="1" t="s">
        <v>3604</v>
      </c>
      <c r="I10635" s="1" t="s">
        <v>34712</v>
      </c>
      <c r="J10635" s="1" t="s">
        <v>3615</v>
      </c>
      <c r="K10635" s="1" t="s">
        <v>34713</v>
      </c>
      <c r="L10635" s="1"/>
      <c r="M10635" s="1"/>
    </row>
    <row x14ac:dyDescent="0.25" r="10636" customHeight="1" ht="18.75">
      <c r="A10636" s="1" t="s">
        <v>3598</v>
      </c>
      <c r="B10636" s="1" t="s">
        <v>13864</v>
      </c>
      <c r="C10636" s="1" t="s">
        <v>3600</v>
      </c>
      <c r="D10636" s="1" t="s">
        <v>3610</v>
      </c>
      <c r="E10636" s="1" t="s">
        <v>3752</v>
      </c>
      <c r="F10636" s="1" t="s">
        <v>34714</v>
      </c>
      <c r="G10636" s="1" t="s">
        <v>25638</v>
      </c>
      <c r="H10636" s="1" t="s">
        <v>3604</v>
      </c>
      <c r="I10636" s="1" t="s">
        <v>34715</v>
      </c>
      <c r="J10636" s="1" t="s">
        <v>3615</v>
      </c>
      <c r="K10636" s="1" t="s">
        <v>34716</v>
      </c>
      <c r="L10636" s="1"/>
      <c r="M10636" s="1"/>
    </row>
    <row x14ac:dyDescent="0.25" r="10637" customHeight="1" ht="18.75">
      <c r="A10637" s="1" t="s">
        <v>3598</v>
      </c>
      <c r="B10637" s="1" t="s">
        <v>13864</v>
      </c>
      <c r="C10637" s="1" t="s">
        <v>3600</v>
      </c>
      <c r="D10637" s="1" t="s">
        <v>3610</v>
      </c>
      <c r="E10637" s="1" t="s">
        <v>3752</v>
      </c>
      <c r="F10637" s="1" t="s">
        <v>34717</v>
      </c>
      <c r="G10637" s="1" t="s">
        <v>25638</v>
      </c>
      <c r="H10637" s="1" t="s">
        <v>3604</v>
      </c>
      <c r="I10637" s="1" t="s">
        <v>34718</v>
      </c>
      <c r="J10637" s="1" t="s">
        <v>3615</v>
      </c>
      <c r="K10637" s="1" t="s">
        <v>34719</v>
      </c>
      <c r="L10637" s="1"/>
      <c r="M10637" s="1"/>
    </row>
    <row x14ac:dyDescent="0.25" r="10638" customHeight="1" ht="18.75">
      <c r="A10638" s="1" t="s">
        <v>3617</v>
      </c>
      <c r="B10638" s="1" t="s">
        <v>10661</v>
      </c>
      <c r="C10638" s="1" t="s">
        <v>3619</v>
      </c>
      <c r="D10638" s="1" t="s">
        <v>14146</v>
      </c>
      <c r="E10638" s="1" t="s">
        <v>3893</v>
      </c>
      <c r="F10638" s="1" t="s">
        <v>34696</v>
      </c>
      <c r="G10638" s="1" t="s">
        <v>10661</v>
      </c>
      <c r="H10638" s="1" t="s">
        <v>3604</v>
      </c>
      <c r="I10638" s="1" t="s">
        <v>34720</v>
      </c>
      <c r="J10638" s="1" t="s">
        <v>3615</v>
      </c>
      <c r="K10638" s="1" t="s">
        <v>34721</v>
      </c>
      <c r="L10638" s="1"/>
      <c r="M10638" s="1"/>
    </row>
    <row x14ac:dyDescent="0.25" r="10639" customHeight="1" ht="18.75">
      <c r="A10639" s="1" t="s">
        <v>3617</v>
      </c>
      <c r="B10639" s="1" t="s">
        <v>10665</v>
      </c>
      <c r="C10639" s="1" t="s">
        <v>3619</v>
      </c>
      <c r="D10639" s="1" t="s">
        <v>14146</v>
      </c>
      <c r="E10639" s="1" t="s">
        <v>3893</v>
      </c>
      <c r="F10639" s="1" t="s">
        <v>34696</v>
      </c>
      <c r="G10639" s="1" t="s">
        <v>10665</v>
      </c>
      <c r="H10639" s="1" t="s">
        <v>3604</v>
      </c>
      <c r="I10639" s="1" t="s">
        <v>34722</v>
      </c>
      <c r="J10639" s="1" t="s">
        <v>3615</v>
      </c>
      <c r="K10639" s="1" t="s">
        <v>34723</v>
      </c>
      <c r="L10639" s="1"/>
      <c r="M10639" s="1"/>
    </row>
    <row x14ac:dyDescent="0.25" r="10640" customHeight="1" ht="18.75">
      <c r="A10640" s="1" t="s">
        <v>3598</v>
      </c>
      <c r="B10640" s="1" t="s">
        <v>9025</v>
      </c>
      <c r="C10640" s="1" t="s">
        <v>3600</v>
      </c>
      <c r="D10640" s="1" t="s">
        <v>3610</v>
      </c>
      <c r="E10640" s="1" t="s">
        <v>3752</v>
      </c>
      <c r="F10640" s="1" t="s">
        <v>34724</v>
      </c>
      <c r="G10640" s="1" t="s">
        <v>9027</v>
      </c>
      <c r="H10640" s="1" t="s">
        <v>3604</v>
      </c>
      <c r="I10640" s="1" t="s">
        <v>34725</v>
      </c>
      <c r="J10640" s="1" t="s">
        <v>3615</v>
      </c>
      <c r="K10640" s="1" t="s">
        <v>34726</v>
      </c>
      <c r="L10640" s="1"/>
      <c r="M10640" s="1"/>
    </row>
    <row x14ac:dyDescent="0.25" r="10641" customHeight="1" ht="18.75">
      <c r="A10641" s="1" t="s">
        <v>3617</v>
      </c>
      <c r="B10641" s="1" t="s">
        <v>10665</v>
      </c>
      <c r="C10641" s="1" t="s">
        <v>3619</v>
      </c>
      <c r="D10641" s="1" t="s">
        <v>14146</v>
      </c>
      <c r="E10641" s="1" t="s">
        <v>3893</v>
      </c>
      <c r="F10641" s="1" t="s">
        <v>34696</v>
      </c>
      <c r="G10641" s="1" t="s">
        <v>10665</v>
      </c>
      <c r="H10641" s="1" t="s">
        <v>3604</v>
      </c>
      <c r="I10641" s="1" t="s">
        <v>34727</v>
      </c>
      <c r="J10641" s="1" t="s">
        <v>3615</v>
      </c>
      <c r="K10641" s="1" t="s">
        <v>34723</v>
      </c>
      <c r="L10641" s="1"/>
      <c r="M10641" s="1"/>
    </row>
    <row x14ac:dyDescent="0.25" r="10642" customHeight="1" ht="18.75">
      <c r="A10642" s="1" t="s">
        <v>3693</v>
      </c>
      <c r="B10642" s="1" t="s">
        <v>6216</v>
      </c>
      <c r="C10642" s="1" t="s">
        <v>3619</v>
      </c>
      <c r="D10642" s="1" t="s">
        <v>28428</v>
      </c>
      <c r="E10642" s="1" t="s">
        <v>3664</v>
      </c>
      <c r="F10642" s="1" t="s">
        <v>34728</v>
      </c>
      <c r="G10642" s="1" t="s">
        <v>20744</v>
      </c>
      <c r="H10642" s="1" t="s">
        <v>3604</v>
      </c>
      <c r="I10642" s="1" t="s">
        <v>34729</v>
      </c>
      <c r="J10642" s="1" t="s">
        <v>3615</v>
      </c>
      <c r="K10642" s="1" t="s">
        <v>34730</v>
      </c>
      <c r="L10642" s="1"/>
      <c r="M10642" s="1"/>
    </row>
    <row x14ac:dyDescent="0.25" r="10643" customHeight="1" ht="18.75">
      <c r="A10643" s="1" t="s">
        <v>3598</v>
      </c>
      <c r="B10643" s="1" t="s">
        <v>9025</v>
      </c>
      <c r="C10643" s="1" t="s">
        <v>3600</v>
      </c>
      <c r="D10643" s="1" t="s">
        <v>3610</v>
      </c>
      <c r="E10643" s="1" t="s">
        <v>3752</v>
      </c>
      <c r="F10643" s="1" t="s">
        <v>34731</v>
      </c>
      <c r="G10643" s="1" t="s">
        <v>9027</v>
      </c>
      <c r="H10643" s="1" t="s">
        <v>3604</v>
      </c>
      <c r="I10643" s="1" t="s">
        <v>34732</v>
      </c>
      <c r="J10643" s="1" t="s">
        <v>3615</v>
      </c>
      <c r="K10643" s="1" t="s">
        <v>34733</v>
      </c>
      <c r="L10643" s="1"/>
      <c r="M10643" s="1"/>
    </row>
    <row x14ac:dyDescent="0.25" r="10644" customHeight="1" ht="18.75">
      <c r="A10644" s="1" t="s">
        <v>3617</v>
      </c>
      <c r="B10644" s="1" t="s">
        <v>13430</v>
      </c>
      <c r="C10644" s="1" t="s">
        <v>3619</v>
      </c>
      <c r="D10644" s="1" t="s">
        <v>14146</v>
      </c>
      <c r="E10644" s="1" t="s">
        <v>3893</v>
      </c>
      <c r="F10644" s="1" t="s">
        <v>34696</v>
      </c>
      <c r="G10644" s="1" t="s">
        <v>13430</v>
      </c>
      <c r="H10644" s="1" t="s">
        <v>3604</v>
      </c>
      <c r="I10644" s="1" t="s">
        <v>34734</v>
      </c>
      <c r="J10644" s="1" t="s">
        <v>3615</v>
      </c>
      <c r="K10644" s="1" t="s">
        <v>34735</v>
      </c>
      <c r="L10644" s="1"/>
      <c r="M10644" s="1"/>
    </row>
    <row x14ac:dyDescent="0.25" r="10645" customHeight="1" ht="18.75">
      <c r="A10645" s="1" t="s">
        <v>3617</v>
      </c>
      <c r="B10645" s="1" t="s">
        <v>34736</v>
      </c>
      <c r="C10645" s="1" t="s">
        <v>3619</v>
      </c>
      <c r="D10645" s="1" t="s">
        <v>14146</v>
      </c>
      <c r="E10645" s="1" t="s">
        <v>3893</v>
      </c>
      <c r="F10645" s="1" t="s">
        <v>34696</v>
      </c>
      <c r="G10645" s="1" t="s">
        <v>34736</v>
      </c>
      <c r="H10645" s="1" t="s">
        <v>3604</v>
      </c>
      <c r="I10645" s="1" t="s">
        <v>34737</v>
      </c>
      <c r="J10645" s="1" t="s">
        <v>3615</v>
      </c>
      <c r="K10645" s="1" t="s">
        <v>34738</v>
      </c>
      <c r="L10645" s="1"/>
      <c r="M10645" s="1"/>
    </row>
    <row x14ac:dyDescent="0.25" r="10646" customHeight="1" ht="18.75">
      <c r="A10646" s="1" t="s">
        <v>3598</v>
      </c>
      <c r="B10646" s="1" t="s">
        <v>9025</v>
      </c>
      <c r="C10646" s="1" t="s">
        <v>3600</v>
      </c>
      <c r="D10646" s="1" t="s">
        <v>3610</v>
      </c>
      <c r="E10646" s="1" t="s">
        <v>3752</v>
      </c>
      <c r="F10646" s="1" t="s">
        <v>34739</v>
      </c>
      <c r="G10646" s="1" t="s">
        <v>31054</v>
      </c>
      <c r="H10646" s="1" t="s">
        <v>3604</v>
      </c>
      <c r="I10646" s="1" t="s">
        <v>34740</v>
      </c>
      <c r="J10646" s="1" t="s">
        <v>3615</v>
      </c>
      <c r="K10646" s="1" t="s">
        <v>34741</v>
      </c>
      <c r="L10646" s="1"/>
      <c r="M10646" s="1"/>
    </row>
    <row x14ac:dyDescent="0.25" r="10647" customHeight="1" ht="18.75">
      <c r="A10647" s="1" t="s">
        <v>3693</v>
      </c>
      <c r="B10647" s="1" t="s">
        <v>4204</v>
      </c>
      <c r="C10647" s="1" t="s">
        <v>3600</v>
      </c>
      <c r="D10647" s="1" t="s">
        <v>3601</v>
      </c>
      <c r="E10647" s="1" t="s">
        <v>3893</v>
      </c>
      <c r="F10647" s="1" t="s">
        <v>34742</v>
      </c>
      <c r="G10647" s="1" t="s">
        <v>4443</v>
      </c>
      <c r="H10647" s="1" t="s">
        <v>3604</v>
      </c>
      <c r="I10647" s="1" t="s">
        <v>34743</v>
      </c>
      <c r="J10647" s="1" t="s">
        <v>3615</v>
      </c>
      <c r="K10647" s="1" t="s">
        <v>32255</v>
      </c>
      <c r="L10647" s="1"/>
      <c r="M10647" s="1"/>
    </row>
    <row x14ac:dyDescent="0.25" r="10648" customHeight="1" ht="18.75">
      <c r="A10648" s="1" t="s">
        <v>3617</v>
      </c>
      <c r="B10648" s="1" t="s">
        <v>34744</v>
      </c>
      <c r="C10648" s="1" t="s">
        <v>3619</v>
      </c>
      <c r="D10648" s="1" t="s">
        <v>14146</v>
      </c>
      <c r="E10648" s="1" t="s">
        <v>3893</v>
      </c>
      <c r="F10648" s="1" t="s">
        <v>34696</v>
      </c>
      <c r="G10648" s="1" t="s">
        <v>34744</v>
      </c>
      <c r="H10648" s="1" t="s">
        <v>3604</v>
      </c>
      <c r="I10648" s="1" t="s">
        <v>34745</v>
      </c>
      <c r="J10648" s="1" t="s">
        <v>3615</v>
      </c>
      <c r="K10648" s="1" t="s">
        <v>34746</v>
      </c>
      <c r="L10648" s="1"/>
      <c r="M10648" s="1"/>
    </row>
    <row x14ac:dyDescent="0.25" r="10649" customHeight="1" ht="18.75">
      <c r="A10649" s="1" t="s">
        <v>3617</v>
      </c>
      <c r="B10649" s="1" t="s">
        <v>34747</v>
      </c>
      <c r="C10649" s="1" t="s">
        <v>3619</v>
      </c>
      <c r="D10649" s="1" t="s">
        <v>14146</v>
      </c>
      <c r="E10649" s="1" t="s">
        <v>3730</v>
      </c>
      <c r="F10649" s="1" t="s">
        <v>34748</v>
      </c>
      <c r="G10649" s="1" t="s">
        <v>34747</v>
      </c>
      <c r="H10649" s="1" t="s">
        <v>3604</v>
      </c>
      <c r="I10649" s="1" t="s">
        <v>34749</v>
      </c>
      <c r="J10649" s="1" t="s">
        <v>3615</v>
      </c>
      <c r="K10649" s="1" t="s">
        <v>34750</v>
      </c>
      <c r="L10649" s="1"/>
      <c r="M10649" s="1"/>
    </row>
    <row x14ac:dyDescent="0.25" r="10650" customHeight="1" ht="18.75">
      <c r="A10650" s="1" t="s">
        <v>3598</v>
      </c>
      <c r="B10650" s="1" t="s">
        <v>9025</v>
      </c>
      <c r="C10650" s="1" t="s">
        <v>3600</v>
      </c>
      <c r="D10650" s="1" t="s">
        <v>3610</v>
      </c>
      <c r="E10650" s="1" t="s">
        <v>3752</v>
      </c>
      <c r="F10650" s="1" t="s">
        <v>34751</v>
      </c>
      <c r="G10650" s="1" t="s">
        <v>31054</v>
      </c>
      <c r="H10650" s="1" t="s">
        <v>3604</v>
      </c>
      <c r="I10650" s="1" t="s">
        <v>34752</v>
      </c>
      <c r="J10650" s="1" t="s">
        <v>3615</v>
      </c>
      <c r="K10650" s="1" t="s">
        <v>34753</v>
      </c>
      <c r="L10650" s="1"/>
      <c r="M10650" s="1"/>
    </row>
    <row x14ac:dyDescent="0.25" r="10651" customHeight="1" ht="18.75">
      <c r="A10651" s="1" t="s">
        <v>3617</v>
      </c>
      <c r="B10651" s="1" t="s">
        <v>17707</v>
      </c>
      <c r="C10651" s="1" t="s">
        <v>3619</v>
      </c>
      <c r="D10651" s="1" t="s">
        <v>14146</v>
      </c>
      <c r="E10651" s="1" t="s">
        <v>3730</v>
      </c>
      <c r="F10651" s="1" t="s">
        <v>34754</v>
      </c>
      <c r="G10651" s="1" t="s">
        <v>17707</v>
      </c>
      <c r="H10651" s="1" t="s">
        <v>3604</v>
      </c>
      <c r="I10651" s="1" t="s">
        <v>34755</v>
      </c>
      <c r="J10651" s="1" t="s">
        <v>3615</v>
      </c>
      <c r="K10651" s="1" t="s">
        <v>34756</v>
      </c>
      <c r="L10651" s="1"/>
      <c r="M10651" s="1"/>
    </row>
    <row x14ac:dyDescent="0.25" r="10652" customHeight="1" ht="18.75">
      <c r="A10652" s="1" t="s">
        <v>3617</v>
      </c>
      <c r="B10652" s="1" t="s">
        <v>34757</v>
      </c>
      <c r="C10652" s="1" t="s">
        <v>3619</v>
      </c>
      <c r="D10652" s="1" t="s">
        <v>14146</v>
      </c>
      <c r="E10652" s="1" t="s">
        <v>3730</v>
      </c>
      <c r="F10652" s="1" t="s">
        <v>34758</v>
      </c>
      <c r="G10652" s="1" t="s">
        <v>34757</v>
      </c>
      <c r="H10652" s="1" t="s">
        <v>3604</v>
      </c>
      <c r="I10652" s="1" t="s">
        <v>34759</v>
      </c>
      <c r="J10652" s="1" t="s">
        <v>3615</v>
      </c>
      <c r="K10652" s="1" t="s">
        <v>34760</v>
      </c>
      <c r="L10652" s="1"/>
      <c r="M10652" s="1"/>
    </row>
    <row x14ac:dyDescent="0.25" r="10653" customHeight="1" ht="18.75">
      <c r="A10653" s="1" t="s">
        <v>3617</v>
      </c>
      <c r="B10653" s="1" t="s">
        <v>34761</v>
      </c>
      <c r="C10653" s="1" t="s">
        <v>3619</v>
      </c>
      <c r="D10653" s="1" t="s">
        <v>14146</v>
      </c>
      <c r="E10653" s="1" t="s">
        <v>3730</v>
      </c>
      <c r="F10653" s="1" t="s">
        <v>34762</v>
      </c>
      <c r="G10653" s="1" t="s">
        <v>34761</v>
      </c>
      <c r="H10653" s="1" t="s">
        <v>3604</v>
      </c>
      <c r="I10653" s="1" t="s">
        <v>34763</v>
      </c>
      <c r="J10653" s="1" t="s">
        <v>3615</v>
      </c>
      <c r="K10653" s="1" t="s">
        <v>34764</v>
      </c>
      <c r="L10653" s="1"/>
      <c r="M10653" s="1"/>
    </row>
    <row x14ac:dyDescent="0.25" r="10654" customHeight="1" ht="18.75">
      <c r="A10654" s="1" t="s">
        <v>3693</v>
      </c>
      <c r="B10654" s="1" t="s">
        <v>4214</v>
      </c>
      <c r="C10654" s="1" t="s">
        <v>3600</v>
      </c>
      <c r="D10654" s="1" t="s">
        <v>3601</v>
      </c>
      <c r="E10654" s="1" t="s">
        <v>3664</v>
      </c>
      <c r="F10654" s="1" t="s">
        <v>34765</v>
      </c>
      <c r="G10654" s="1" t="s">
        <v>4726</v>
      </c>
      <c r="H10654" s="1" t="s">
        <v>3604</v>
      </c>
      <c r="I10654" s="1" t="s">
        <v>34766</v>
      </c>
      <c r="J10654" s="1" t="s">
        <v>3615</v>
      </c>
      <c r="K10654" s="1" t="s">
        <v>34767</v>
      </c>
      <c r="L10654" s="1"/>
      <c r="M10654" s="1"/>
    </row>
    <row x14ac:dyDescent="0.25" r="10655" customHeight="1" ht="18.75">
      <c r="A10655" s="1" t="s">
        <v>3617</v>
      </c>
      <c r="B10655" s="1" t="s">
        <v>34768</v>
      </c>
      <c r="C10655" s="1" t="s">
        <v>3619</v>
      </c>
      <c r="D10655" s="1" t="s">
        <v>14146</v>
      </c>
      <c r="E10655" s="1" t="s">
        <v>3730</v>
      </c>
      <c r="F10655" s="1" t="s">
        <v>34769</v>
      </c>
      <c r="G10655" s="1" t="s">
        <v>34768</v>
      </c>
      <c r="H10655" s="1" t="s">
        <v>3604</v>
      </c>
      <c r="I10655" s="1" t="s">
        <v>34770</v>
      </c>
      <c r="J10655" s="1" t="s">
        <v>3615</v>
      </c>
      <c r="K10655" s="1" t="s">
        <v>34771</v>
      </c>
      <c r="L10655" s="1"/>
      <c r="M10655" s="1"/>
    </row>
    <row x14ac:dyDescent="0.25" r="10656" customHeight="1" ht="18.75">
      <c r="A10656" s="1" t="s">
        <v>3617</v>
      </c>
      <c r="B10656" s="1" t="s">
        <v>34772</v>
      </c>
      <c r="C10656" s="1" t="s">
        <v>3619</v>
      </c>
      <c r="D10656" s="1" t="s">
        <v>14146</v>
      </c>
      <c r="E10656" s="1" t="s">
        <v>3730</v>
      </c>
      <c r="F10656" s="1" t="s">
        <v>34773</v>
      </c>
      <c r="G10656" s="1" t="s">
        <v>34772</v>
      </c>
      <c r="H10656" s="1" t="s">
        <v>3604</v>
      </c>
      <c r="I10656" s="1" t="s">
        <v>34774</v>
      </c>
      <c r="J10656" s="1" t="s">
        <v>3615</v>
      </c>
      <c r="K10656" s="1" t="s">
        <v>34775</v>
      </c>
      <c r="L10656" s="1"/>
      <c r="M10656" s="1"/>
    </row>
    <row x14ac:dyDescent="0.25" r="10657" customHeight="1" ht="18.75">
      <c r="A10657" s="1" t="s">
        <v>3617</v>
      </c>
      <c r="B10657" s="1" t="s">
        <v>34776</v>
      </c>
      <c r="C10657" s="1" t="s">
        <v>3619</v>
      </c>
      <c r="D10657" s="1" t="s">
        <v>14146</v>
      </c>
      <c r="E10657" s="1" t="s">
        <v>3730</v>
      </c>
      <c r="F10657" s="1" t="s">
        <v>34777</v>
      </c>
      <c r="G10657" s="1" t="s">
        <v>34776</v>
      </c>
      <c r="H10657" s="1" t="s">
        <v>3604</v>
      </c>
      <c r="I10657" s="1" t="s">
        <v>34778</v>
      </c>
      <c r="J10657" s="1" t="s">
        <v>3615</v>
      </c>
      <c r="K10657" s="1" t="s">
        <v>34779</v>
      </c>
      <c r="L10657" s="1"/>
      <c r="M10657" s="1"/>
    </row>
    <row x14ac:dyDescent="0.25" r="10658" customHeight="1" ht="18.75">
      <c r="A10658" s="1" t="s">
        <v>3617</v>
      </c>
      <c r="B10658" s="1" t="s">
        <v>14167</v>
      </c>
      <c r="C10658" s="1" t="s">
        <v>3619</v>
      </c>
      <c r="D10658" s="1" t="s">
        <v>14146</v>
      </c>
      <c r="E10658" s="1" t="s">
        <v>3730</v>
      </c>
      <c r="F10658" s="1" t="s">
        <v>34780</v>
      </c>
      <c r="G10658" s="1" t="s">
        <v>14167</v>
      </c>
      <c r="H10658" s="1" t="s">
        <v>3604</v>
      </c>
      <c r="I10658" s="1" t="s">
        <v>34781</v>
      </c>
      <c r="J10658" s="1" t="s">
        <v>3615</v>
      </c>
      <c r="K10658" s="1" t="s">
        <v>34782</v>
      </c>
      <c r="L10658" s="1"/>
      <c r="M10658" s="1"/>
    </row>
    <row x14ac:dyDescent="0.25" r="10659" customHeight="1" ht="18.75">
      <c r="A10659" s="1" t="s">
        <v>3617</v>
      </c>
      <c r="B10659" s="1" t="s">
        <v>34783</v>
      </c>
      <c r="C10659" s="1" t="s">
        <v>3619</v>
      </c>
      <c r="D10659" s="1" t="s">
        <v>14146</v>
      </c>
      <c r="E10659" s="1" t="s">
        <v>3730</v>
      </c>
      <c r="F10659" s="1" t="s">
        <v>34784</v>
      </c>
      <c r="G10659" s="1" t="s">
        <v>34783</v>
      </c>
      <c r="H10659" s="1" t="s">
        <v>3604</v>
      </c>
      <c r="I10659" s="1" t="s">
        <v>34785</v>
      </c>
      <c r="J10659" s="1" t="s">
        <v>3615</v>
      </c>
      <c r="K10659" s="1" t="s">
        <v>34786</v>
      </c>
      <c r="L10659" s="1"/>
      <c r="M10659" s="1"/>
    </row>
    <row x14ac:dyDescent="0.25" r="10660" customHeight="1" ht="18.75">
      <c r="A10660" s="1" t="s">
        <v>3617</v>
      </c>
      <c r="B10660" s="1" t="s">
        <v>34787</v>
      </c>
      <c r="C10660" s="1" t="s">
        <v>3619</v>
      </c>
      <c r="D10660" s="1" t="s">
        <v>14146</v>
      </c>
      <c r="E10660" s="1" t="s">
        <v>3730</v>
      </c>
      <c r="F10660" s="1" t="s">
        <v>34788</v>
      </c>
      <c r="G10660" s="1" t="s">
        <v>34787</v>
      </c>
      <c r="H10660" s="1" t="s">
        <v>3604</v>
      </c>
      <c r="I10660" s="1" t="s">
        <v>34789</v>
      </c>
      <c r="J10660" s="1" t="s">
        <v>3615</v>
      </c>
      <c r="K10660" s="1" t="s">
        <v>34790</v>
      </c>
      <c r="L10660" s="1"/>
      <c r="M10660" s="1"/>
    </row>
    <row x14ac:dyDescent="0.25" r="10661" customHeight="1" ht="18.75">
      <c r="A10661" s="1" t="s">
        <v>3617</v>
      </c>
      <c r="B10661" s="1" t="s">
        <v>34791</v>
      </c>
      <c r="C10661" s="1" t="s">
        <v>3619</v>
      </c>
      <c r="D10661" s="1" t="s">
        <v>14146</v>
      </c>
      <c r="E10661" s="1" t="s">
        <v>3730</v>
      </c>
      <c r="F10661" s="1" t="s">
        <v>34792</v>
      </c>
      <c r="G10661" s="1" t="s">
        <v>34793</v>
      </c>
      <c r="H10661" s="1" t="s">
        <v>3604</v>
      </c>
      <c r="I10661" s="1" t="s">
        <v>34794</v>
      </c>
      <c r="J10661" s="1" t="s">
        <v>3615</v>
      </c>
      <c r="K10661" s="1" t="s">
        <v>34795</v>
      </c>
      <c r="L10661" s="1"/>
      <c r="M10661" s="1"/>
    </row>
    <row x14ac:dyDescent="0.25" r="10662" customHeight="1" ht="18.75">
      <c r="A10662" s="1" t="s">
        <v>3693</v>
      </c>
      <c r="B10662" s="1" t="s">
        <v>4091</v>
      </c>
      <c r="C10662" s="1" t="s">
        <v>3600</v>
      </c>
      <c r="D10662" s="1" t="s">
        <v>3601</v>
      </c>
      <c r="E10662" s="1" t="s">
        <v>3752</v>
      </c>
      <c r="F10662" s="1" t="s">
        <v>34796</v>
      </c>
      <c r="G10662" s="1" t="s">
        <v>4434</v>
      </c>
      <c r="H10662" s="1" t="s">
        <v>3604</v>
      </c>
      <c r="I10662" s="1" t="s">
        <v>34797</v>
      </c>
      <c r="J10662" s="1" t="s">
        <v>3615</v>
      </c>
      <c r="K10662" s="1" t="s">
        <v>34798</v>
      </c>
      <c r="L10662" s="1"/>
      <c r="M10662" s="1"/>
    </row>
    <row x14ac:dyDescent="0.25" r="10663" customHeight="1" ht="18.75">
      <c r="A10663" s="1" t="s">
        <v>3617</v>
      </c>
      <c r="B10663" s="1" t="s">
        <v>34799</v>
      </c>
      <c r="C10663" s="1" t="s">
        <v>3619</v>
      </c>
      <c r="D10663" s="1" t="s">
        <v>14146</v>
      </c>
      <c r="E10663" s="1" t="s">
        <v>3730</v>
      </c>
      <c r="F10663" s="1" t="s">
        <v>34800</v>
      </c>
      <c r="G10663" s="1" t="s">
        <v>34801</v>
      </c>
      <c r="H10663" s="1" t="s">
        <v>3604</v>
      </c>
      <c r="I10663" s="1" t="s">
        <v>34802</v>
      </c>
      <c r="J10663" s="1" t="s">
        <v>3615</v>
      </c>
      <c r="K10663" s="1" t="s">
        <v>34803</v>
      </c>
      <c r="L10663" s="1"/>
      <c r="M10663" s="1"/>
    </row>
    <row x14ac:dyDescent="0.25" r="10664" customHeight="1" ht="18.75">
      <c r="A10664" s="1" t="s">
        <v>3617</v>
      </c>
      <c r="B10664" s="1" t="s">
        <v>34804</v>
      </c>
      <c r="C10664" s="1" t="s">
        <v>3619</v>
      </c>
      <c r="D10664" s="1" t="s">
        <v>14146</v>
      </c>
      <c r="E10664" s="1" t="s">
        <v>3893</v>
      </c>
      <c r="F10664" s="1" t="s">
        <v>34805</v>
      </c>
      <c r="G10664" s="1" t="s">
        <v>34804</v>
      </c>
      <c r="H10664" s="1" t="s">
        <v>3604</v>
      </c>
      <c r="I10664" s="1" t="s">
        <v>34806</v>
      </c>
      <c r="J10664" s="1" t="s">
        <v>3615</v>
      </c>
      <c r="K10664" s="1" t="s">
        <v>34807</v>
      </c>
      <c r="L10664" s="1"/>
      <c r="M10664" s="1"/>
    </row>
    <row x14ac:dyDescent="0.25" r="10665" customHeight="1" ht="18.75">
      <c r="A10665" s="1" t="s">
        <v>3598</v>
      </c>
      <c r="B10665" s="1" t="s">
        <v>3751</v>
      </c>
      <c r="C10665" s="1" t="s">
        <v>3600</v>
      </c>
      <c r="D10665" s="1" t="s">
        <v>3610</v>
      </c>
      <c r="E10665" s="1" t="s">
        <v>3664</v>
      </c>
      <c r="F10665" s="1" t="s">
        <v>34808</v>
      </c>
      <c r="G10665" s="1" t="s">
        <v>27385</v>
      </c>
      <c r="H10665" s="1" t="s">
        <v>3604</v>
      </c>
      <c r="I10665" s="1" t="s">
        <v>34809</v>
      </c>
      <c r="J10665" s="1" t="s">
        <v>3615</v>
      </c>
      <c r="K10665" s="1" t="s">
        <v>27441</v>
      </c>
      <c r="L10665" s="1"/>
      <c r="M10665" s="1"/>
    </row>
    <row x14ac:dyDescent="0.25" r="10666" customHeight="1" ht="18.75">
      <c r="A10666" s="1" t="s">
        <v>3617</v>
      </c>
      <c r="B10666" s="1" t="s">
        <v>17686</v>
      </c>
      <c r="C10666" s="1" t="s">
        <v>3619</v>
      </c>
      <c r="D10666" s="1" t="s">
        <v>14146</v>
      </c>
      <c r="E10666" s="1" t="s">
        <v>3893</v>
      </c>
      <c r="F10666" s="1" t="s">
        <v>34810</v>
      </c>
      <c r="G10666" s="1" t="s">
        <v>17686</v>
      </c>
      <c r="H10666" s="1" t="s">
        <v>3604</v>
      </c>
      <c r="I10666" s="1" t="s">
        <v>34811</v>
      </c>
      <c r="J10666" s="1" t="s">
        <v>3615</v>
      </c>
      <c r="K10666" s="1" t="s">
        <v>34812</v>
      </c>
      <c r="L10666" s="1"/>
      <c r="M10666" s="1"/>
    </row>
    <row x14ac:dyDescent="0.25" r="10667" customHeight="1" ht="18.75">
      <c r="A10667" s="1" t="s">
        <v>3617</v>
      </c>
      <c r="B10667" s="1" t="s">
        <v>34761</v>
      </c>
      <c r="C10667" s="1" t="s">
        <v>3619</v>
      </c>
      <c r="D10667" s="1" t="s">
        <v>14146</v>
      </c>
      <c r="E10667" s="1" t="s">
        <v>3730</v>
      </c>
      <c r="F10667" s="1" t="s">
        <v>34813</v>
      </c>
      <c r="G10667" s="1" t="s">
        <v>34761</v>
      </c>
      <c r="H10667" s="1" t="s">
        <v>3604</v>
      </c>
      <c r="I10667" s="1" t="s">
        <v>34814</v>
      </c>
      <c r="J10667" s="1" t="s">
        <v>3615</v>
      </c>
      <c r="K10667" s="1" t="s">
        <v>34764</v>
      </c>
      <c r="L10667" s="1"/>
      <c r="M10667" s="1"/>
    </row>
    <row x14ac:dyDescent="0.25" r="10668" customHeight="1" ht="18.75">
      <c r="A10668" s="1" t="s">
        <v>3598</v>
      </c>
      <c r="B10668" s="1" t="s">
        <v>19642</v>
      </c>
      <c r="C10668" s="1" t="s">
        <v>3600</v>
      </c>
      <c r="D10668" s="1" t="s">
        <v>3695</v>
      </c>
      <c r="E10668" s="1" t="s">
        <v>3611</v>
      </c>
      <c r="F10668" s="1" t="s">
        <v>34815</v>
      </c>
      <c r="G10668" s="1" t="s">
        <v>34626</v>
      </c>
      <c r="H10668" s="1" t="s">
        <v>3604</v>
      </c>
      <c r="I10668" s="1" t="s">
        <v>34816</v>
      </c>
      <c r="J10668" s="1" t="s">
        <v>3615</v>
      </c>
      <c r="K10668" s="1" t="s">
        <v>34817</v>
      </c>
      <c r="L10668" s="1"/>
      <c r="M10668" s="1"/>
    </row>
    <row x14ac:dyDescent="0.25" r="10669" customHeight="1" ht="18.75">
      <c r="A10669" s="1" t="s">
        <v>3598</v>
      </c>
      <c r="B10669" s="1" t="s">
        <v>19642</v>
      </c>
      <c r="C10669" s="1" t="s">
        <v>3600</v>
      </c>
      <c r="D10669" s="1" t="s">
        <v>3695</v>
      </c>
      <c r="E10669" s="1" t="s">
        <v>3611</v>
      </c>
      <c r="F10669" s="1" t="s">
        <v>34818</v>
      </c>
      <c r="G10669" s="1" t="s">
        <v>34626</v>
      </c>
      <c r="H10669" s="1" t="s">
        <v>3604</v>
      </c>
      <c r="I10669" s="1" t="s">
        <v>34819</v>
      </c>
      <c r="J10669" s="1" t="s">
        <v>3615</v>
      </c>
      <c r="K10669" s="1" t="s">
        <v>34820</v>
      </c>
      <c r="L10669" s="1"/>
      <c r="M10669" s="1"/>
    </row>
    <row x14ac:dyDescent="0.25" r="10670" customHeight="1" ht="18.75">
      <c r="A10670" s="1" t="s">
        <v>3598</v>
      </c>
      <c r="B10670" s="1" t="s">
        <v>19642</v>
      </c>
      <c r="C10670" s="1" t="s">
        <v>3600</v>
      </c>
      <c r="D10670" s="1" t="s">
        <v>3695</v>
      </c>
      <c r="E10670" s="1" t="s">
        <v>3611</v>
      </c>
      <c r="F10670" s="1" t="s">
        <v>34821</v>
      </c>
      <c r="G10670" s="1" t="s">
        <v>34626</v>
      </c>
      <c r="H10670" s="1" t="s">
        <v>3604</v>
      </c>
      <c r="I10670" s="1" t="s">
        <v>34822</v>
      </c>
      <c r="J10670" s="1" t="s">
        <v>3615</v>
      </c>
      <c r="K10670" s="1" t="s">
        <v>34823</v>
      </c>
      <c r="L10670" s="1"/>
      <c r="M10670" s="1"/>
    </row>
    <row x14ac:dyDescent="0.25" r="10671" customHeight="1" ht="18.75">
      <c r="A10671" s="1" t="s">
        <v>3598</v>
      </c>
      <c r="B10671" s="1" t="s">
        <v>5252</v>
      </c>
      <c r="C10671" s="1" t="s">
        <v>3600</v>
      </c>
      <c r="D10671" s="1" t="s">
        <v>3695</v>
      </c>
      <c r="E10671" s="1" t="s">
        <v>3752</v>
      </c>
      <c r="F10671" s="1" t="s">
        <v>34824</v>
      </c>
      <c r="G10671" s="1" t="s">
        <v>34825</v>
      </c>
      <c r="H10671" s="1" t="s">
        <v>3604</v>
      </c>
      <c r="I10671" s="1" t="s">
        <v>34826</v>
      </c>
      <c r="J10671" s="1" t="s">
        <v>3615</v>
      </c>
      <c r="K10671" s="1" t="s">
        <v>34827</v>
      </c>
      <c r="L10671" s="1"/>
      <c r="M10671" s="1"/>
    </row>
    <row x14ac:dyDescent="0.25" r="10672" customHeight="1" ht="18.75">
      <c r="A10672" s="1" t="s">
        <v>3598</v>
      </c>
      <c r="B10672" s="1" t="s">
        <v>5252</v>
      </c>
      <c r="C10672" s="1" t="s">
        <v>3600</v>
      </c>
      <c r="D10672" s="1" t="s">
        <v>3695</v>
      </c>
      <c r="E10672" s="1" t="s">
        <v>3752</v>
      </c>
      <c r="F10672" s="1" t="s">
        <v>34828</v>
      </c>
      <c r="G10672" s="1" t="s">
        <v>34825</v>
      </c>
      <c r="H10672" s="1" t="s">
        <v>3604</v>
      </c>
      <c r="I10672" s="1" t="s">
        <v>34829</v>
      </c>
      <c r="J10672" s="1" t="s">
        <v>3615</v>
      </c>
      <c r="K10672" s="1" t="s">
        <v>34830</v>
      </c>
      <c r="L10672" s="1"/>
      <c r="M10672" s="1"/>
    </row>
    <row x14ac:dyDescent="0.25" r="10673" customHeight="1" ht="18.75">
      <c r="A10673" s="1" t="s">
        <v>3598</v>
      </c>
      <c r="B10673" s="1" t="s">
        <v>5252</v>
      </c>
      <c r="C10673" s="1" t="s">
        <v>3600</v>
      </c>
      <c r="D10673" s="1" t="s">
        <v>3695</v>
      </c>
      <c r="E10673" s="1" t="s">
        <v>3752</v>
      </c>
      <c r="F10673" s="1" t="s">
        <v>34831</v>
      </c>
      <c r="G10673" s="1" t="s">
        <v>34825</v>
      </c>
      <c r="H10673" s="1" t="s">
        <v>3604</v>
      </c>
      <c r="I10673" s="1" t="s">
        <v>34832</v>
      </c>
      <c r="J10673" s="1" t="s">
        <v>3615</v>
      </c>
      <c r="K10673" s="1" t="s">
        <v>34833</v>
      </c>
      <c r="L10673" s="1"/>
      <c r="M10673" s="1"/>
    </row>
    <row x14ac:dyDescent="0.25" r="10674" customHeight="1" ht="18.75">
      <c r="A10674" s="1" t="s">
        <v>3693</v>
      </c>
      <c r="B10674" s="1" t="s">
        <v>4214</v>
      </c>
      <c r="C10674" s="1" t="s">
        <v>3600</v>
      </c>
      <c r="D10674" s="1" t="s">
        <v>533</v>
      </c>
      <c r="E10674" s="1" t="s">
        <v>3752</v>
      </c>
      <c r="F10674" s="1" t="s">
        <v>34834</v>
      </c>
      <c r="G10674" s="1" t="s">
        <v>34835</v>
      </c>
      <c r="H10674" s="1" t="s">
        <v>3604</v>
      </c>
      <c r="I10674" s="1" t="s">
        <v>34836</v>
      </c>
      <c r="J10674" s="1" t="s">
        <v>3615</v>
      </c>
      <c r="K10674" s="1" t="s">
        <v>34837</v>
      </c>
      <c r="L10674" s="1"/>
      <c r="M10674" s="1"/>
    </row>
    <row x14ac:dyDescent="0.25" r="10675" customHeight="1" ht="18.75">
      <c r="A10675" s="1" t="s">
        <v>3617</v>
      </c>
      <c r="B10675" s="1" t="s">
        <v>34747</v>
      </c>
      <c r="C10675" s="1" t="s">
        <v>3619</v>
      </c>
      <c r="D10675" s="1" t="s">
        <v>14146</v>
      </c>
      <c r="E10675" s="1" t="s">
        <v>3730</v>
      </c>
      <c r="F10675" s="1" t="s">
        <v>34838</v>
      </c>
      <c r="G10675" s="1" t="s">
        <v>34747</v>
      </c>
      <c r="H10675" s="1" t="s">
        <v>3604</v>
      </c>
      <c r="I10675" s="1" t="s">
        <v>34839</v>
      </c>
      <c r="J10675" s="1" t="s">
        <v>3615</v>
      </c>
      <c r="K10675" s="1" t="s">
        <v>34750</v>
      </c>
      <c r="L10675" s="1"/>
      <c r="M10675" s="1"/>
    </row>
    <row x14ac:dyDescent="0.25" r="10676" customHeight="1" ht="18.75">
      <c r="A10676" s="1" t="s">
        <v>3598</v>
      </c>
      <c r="B10676" s="1" t="s">
        <v>18043</v>
      </c>
      <c r="C10676" s="1" t="s">
        <v>3600</v>
      </c>
      <c r="D10676" s="1" t="s">
        <v>533</v>
      </c>
      <c r="E10676" s="1" t="s">
        <v>3611</v>
      </c>
      <c r="F10676" s="1" t="s">
        <v>34840</v>
      </c>
      <c r="G10676" s="1" t="s">
        <v>34841</v>
      </c>
      <c r="H10676" s="1" t="s">
        <v>3604</v>
      </c>
      <c r="I10676" s="1" t="s">
        <v>34842</v>
      </c>
      <c r="J10676" s="1" t="s">
        <v>3615</v>
      </c>
      <c r="K10676" s="1" t="s">
        <v>34843</v>
      </c>
      <c r="L10676" s="1"/>
      <c r="M10676" s="1"/>
    </row>
    <row x14ac:dyDescent="0.25" r="10677" customHeight="1" ht="18.75">
      <c r="A10677" s="1" t="s">
        <v>3598</v>
      </c>
      <c r="B10677" s="1" t="s">
        <v>18043</v>
      </c>
      <c r="C10677" s="1" t="s">
        <v>3600</v>
      </c>
      <c r="D10677" s="1" t="s">
        <v>533</v>
      </c>
      <c r="E10677" s="1" t="s">
        <v>3611</v>
      </c>
      <c r="F10677" s="1" t="s">
        <v>34844</v>
      </c>
      <c r="G10677" s="1" t="s">
        <v>34845</v>
      </c>
      <c r="H10677" s="1" t="s">
        <v>3604</v>
      </c>
      <c r="I10677" s="1" t="s">
        <v>34846</v>
      </c>
      <c r="J10677" s="1" t="s">
        <v>3615</v>
      </c>
      <c r="K10677" s="1" t="s">
        <v>25609</v>
      </c>
      <c r="L10677" s="1"/>
      <c r="M10677" s="1"/>
    </row>
    <row x14ac:dyDescent="0.25" r="10678" customHeight="1" ht="18.75">
      <c r="A10678" s="1" t="s">
        <v>3617</v>
      </c>
      <c r="B10678" s="1" t="s">
        <v>34847</v>
      </c>
      <c r="C10678" s="1" t="s">
        <v>3619</v>
      </c>
      <c r="D10678" s="1" t="s">
        <v>14146</v>
      </c>
      <c r="E10678" s="1" t="s">
        <v>3730</v>
      </c>
      <c r="F10678" s="1" t="s">
        <v>34848</v>
      </c>
      <c r="G10678" s="1" t="s">
        <v>34847</v>
      </c>
      <c r="H10678" s="1" t="s">
        <v>3604</v>
      </c>
      <c r="I10678" s="1" t="s">
        <v>34849</v>
      </c>
      <c r="J10678" s="1" t="s">
        <v>3615</v>
      </c>
      <c r="K10678" s="1" t="s">
        <v>34850</v>
      </c>
      <c r="L10678" s="1"/>
      <c r="M10678" s="1"/>
    </row>
    <row x14ac:dyDescent="0.25" r="10679" customHeight="1" ht="18.75">
      <c r="A10679" s="1" t="s">
        <v>3617</v>
      </c>
      <c r="B10679" s="1" t="s">
        <v>34851</v>
      </c>
      <c r="C10679" s="1" t="s">
        <v>3619</v>
      </c>
      <c r="D10679" s="1" t="s">
        <v>14146</v>
      </c>
      <c r="E10679" s="1" t="s">
        <v>34199</v>
      </c>
      <c r="F10679" s="1" t="s">
        <v>34852</v>
      </c>
      <c r="G10679" s="1" t="s">
        <v>34851</v>
      </c>
      <c r="H10679" s="1" t="s">
        <v>3604</v>
      </c>
      <c r="I10679" s="1" t="s">
        <v>34853</v>
      </c>
      <c r="J10679" s="1" t="s">
        <v>3615</v>
      </c>
      <c r="K10679" s="1" t="s">
        <v>34854</v>
      </c>
      <c r="L10679" s="1"/>
      <c r="M10679" s="1"/>
    </row>
    <row x14ac:dyDescent="0.25" r="10680" customHeight="1" ht="18.75">
      <c r="A10680" s="1" t="s">
        <v>3617</v>
      </c>
      <c r="B10680" s="1" t="s">
        <v>34855</v>
      </c>
      <c r="C10680" s="1" t="s">
        <v>3619</v>
      </c>
      <c r="D10680" s="1" t="s">
        <v>14146</v>
      </c>
      <c r="E10680" s="1" t="s">
        <v>3893</v>
      </c>
      <c r="F10680" s="1" t="s">
        <v>34856</v>
      </c>
      <c r="G10680" s="1" t="s">
        <v>34855</v>
      </c>
      <c r="H10680" s="1" t="s">
        <v>3604</v>
      </c>
      <c r="I10680" s="1" t="s">
        <v>34857</v>
      </c>
      <c r="J10680" s="1" t="s">
        <v>3615</v>
      </c>
      <c r="K10680" s="1" t="s">
        <v>34858</v>
      </c>
      <c r="L10680" s="1"/>
      <c r="M10680" s="1"/>
    </row>
    <row x14ac:dyDescent="0.25" r="10681" customHeight="1" ht="18.75">
      <c r="A10681" s="1" t="s">
        <v>3617</v>
      </c>
      <c r="B10681" s="1" t="s">
        <v>34859</v>
      </c>
      <c r="C10681" s="1" t="s">
        <v>3619</v>
      </c>
      <c r="D10681" s="1" t="s">
        <v>14146</v>
      </c>
      <c r="E10681" s="1" t="s">
        <v>3893</v>
      </c>
      <c r="F10681" s="1" t="s">
        <v>34860</v>
      </c>
      <c r="G10681" s="1" t="s">
        <v>34859</v>
      </c>
      <c r="H10681" s="1" t="s">
        <v>3604</v>
      </c>
      <c r="I10681" s="1" t="s">
        <v>34861</v>
      </c>
      <c r="J10681" s="1" t="s">
        <v>3615</v>
      </c>
      <c r="K10681" s="1" t="s">
        <v>34407</v>
      </c>
      <c r="L10681" s="1"/>
      <c r="M10681" s="1"/>
    </row>
    <row x14ac:dyDescent="0.25" r="10682" customHeight="1" ht="18.75">
      <c r="A10682" s="1" t="s">
        <v>3617</v>
      </c>
      <c r="B10682" s="1" t="s">
        <v>34862</v>
      </c>
      <c r="C10682" s="1" t="s">
        <v>3619</v>
      </c>
      <c r="D10682" s="1" t="s">
        <v>14146</v>
      </c>
      <c r="E10682" s="1" t="s">
        <v>3730</v>
      </c>
      <c r="F10682" s="1" t="s">
        <v>34863</v>
      </c>
      <c r="G10682" s="1" t="s">
        <v>34862</v>
      </c>
      <c r="H10682" s="1" t="s">
        <v>3604</v>
      </c>
      <c r="I10682" s="1" t="s">
        <v>34864</v>
      </c>
      <c r="J10682" s="1" t="s">
        <v>3615</v>
      </c>
      <c r="K10682" s="1" t="s">
        <v>34865</v>
      </c>
      <c r="L10682" s="1"/>
      <c r="M10682" s="1"/>
    </row>
    <row x14ac:dyDescent="0.25" r="10683" customHeight="1" ht="18.75">
      <c r="A10683" s="1" t="s">
        <v>3617</v>
      </c>
      <c r="B10683" s="1" t="s">
        <v>34851</v>
      </c>
      <c r="C10683" s="1" t="s">
        <v>3619</v>
      </c>
      <c r="D10683" s="1" t="s">
        <v>14146</v>
      </c>
      <c r="E10683" s="1" t="s">
        <v>34199</v>
      </c>
      <c r="F10683" s="1" t="s">
        <v>34866</v>
      </c>
      <c r="G10683" s="1" t="s">
        <v>34851</v>
      </c>
      <c r="H10683" s="1" t="s">
        <v>3604</v>
      </c>
      <c r="I10683" s="1" t="s">
        <v>34867</v>
      </c>
      <c r="J10683" s="1" t="s">
        <v>3615</v>
      </c>
      <c r="K10683" s="1" t="s">
        <v>34854</v>
      </c>
      <c r="L10683" s="1"/>
      <c r="M10683" s="1"/>
    </row>
    <row x14ac:dyDescent="0.25" r="10684" customHeight="1" ht="18.75">
      <c r="A10684" s="1" t="s">
        <v>3598</v>
      </c>
      <c r="B10684" s="1" t="s">
        <v>19642</v>
      </c>
      <c r="C10684" s="1" t="s">
        <v>3600</v>
      </c>
      <c r="D10684" s="1" t="s">
        <v>3610</v>
      </c>
      <c r="E10684" s="1" t="s">
        <v>33214</v>
      </c>
      <c r="F10684" s="1" t="s">
        <v>34868</v>
      </c>
      <c r="G10684" s="1" t="s">
        <v>31528</v>
      </c>
      <c r="H10684" s="1" t="s">
        <v>3604</v>
      </c>
      <c r="I10684" s="1" t="s">
        <v>34869</v>
      </c>
      <c r="J10684" s="1" t="s">
        <v>3615</v>
      </c>
      <c r="K10684" s="1" t="s">
        <v>34870</v>
      </c>
      <c r="L10684" s="1"/>
      <c r="M10684" s="1"/>
    </row>
    <row x14ac:dyDescent="0.25" r="10685" customHeight="1" ht="18.75">
      <c r="A10685" s="1" t="s">
        <v>3598</v>
      </c>
      <c r="B10685" s="1" t="s">
        <v>19642</v>
      </c>
      <c r="C10685" s="1" t="s">
        <v>3600</v>
      </c>
      <c r="D10685" s="1" t="s">
        <v>3610</v>
      </c>
      <c r="E10685" s="1" t="s">
        <v>3752</v>
      </c>
      <c r="F10685" s="1" t="s">
        <v>34871</v>
      </c>
      <c r="G10685" s="1" t="s">
        <v>19853</v>
      </c>
      <c r="H10685" s="1" t="s">
        <v>3604</v>
      </c>
      <c r="I10685" s="1" t="s">
        <v>34872</v>
      </c>
      <c r="J10685" s="1" t="s">
        <v>3615</v>
      </c>
      <c r="K10685" s="1" t="s">
        <v>34873</v>
      </c>
      <c r="L10685" s="1"/>
      <c r="M10685" s="1"/>
    </row>
    <row x14ac:dyDescent="0.25" r="10686" customHeight="1" ht="18.75">
      <c r="A10686" s="1" t="s">
        <v>3617</v>
      </c>
      <c r="B10686" s="1" t="s">
        <v>34851</v>
      </c>
      <c r="C10686" s="1" t="s">
        <v>3619</v>
      </c>
      <c r="D10686" s="1" t="s">
        <v>14146</v>
      </c>
      <c r="E10686" s="1" t="s">
        <v>34199</v>
      </c>
      <c r="F10686" s="1" t="s">
        <v>34874</v>
      </c>
      <c r="G10686" s="1" t="s">
        <v>34851</v>
      </c>
      <c r="H10686" s="1" t="s">
        <v>3604</v>
      </c>
      <c r="I10686" s="1" t="s">
        <v>34875</v>
      </c>
      <c r="J10686" s="1" t="s">
        <v>3615</v>
      </c>
      <c r="K10686" s="1" t="s">
        <v>34854</v>
      </c>
      <c r="L10686" s="1"/>
      <c r="M10686" s="1"/>
    </row>
    <row x14ac:dyDescent="0.25" r="10687" customHeight="1" ht="18.75">
      <c r="A10687" s="1" t="s">
        <v>3598</v>
      </c>
      <c r="B10687" s="1" t="s">
        <v>5252</v>
      </c>
      <c r="C10687" s="1" t="s">
        <v>3600</v>
      </c>
      <c r="D10687" s="1" t="s">
        <v>3610</v>
      </c>
      <c r="E10687" s="1" t="s">
        <v>3752</v>
      </c>
      <c r="F10687" s="1" t="s">
        <v>34876</v>
      </c>
      <c r="G10687" s="1" t="s">
        <v>18400</v>
      </c>
      <c r="H10687" s="1" t="s">
        <v>3604</v>
      </c>
      <c r="I10687" s="1" t="s">
        <v>34877</v>
      </c>
      <c r="J10687" s="1" t="s">
        <v>3615</v>
      </c>
      <c r="K10687" s="1" t="s">
        <v>34878</v>
      </c>
      <c r="L10687" s="1"/>
      <c r="M10687" s="1"/>
    </row>
    <row x14ac:dyDescent="0.25" r="10688" customHeight="1" ht="18.75">
      <c r="A10688" s="1" t="s">
        <v>3617</v>
      </c>
      <c r="B10688" s="1" t="s">
        <v>34879</v>
      </c>
      <c r="C10688" s="1" t="s">
        <v>3619</v>
      </c>
      <c r="D10688" s="1" t="s">
        <v>14146</v>
      </c>
      <c r="E10688" s="1" t="s">
        <v>34199</v>
      </c>
      <c r="F10688" s="1" t="s">
        <v>34880</v>
      </c>
      <c r="G10688" s="1" t="s">
        <v>34879</v>
      </c>
      <c r="H10688" s="1" t="s">
        <v>3604</v>
      </c>
      <c r="I10688" s="1" t="s">
        <v>34881</v>
      </c>
      <c r="J10688" s="1" t="s">
        <v>3615</v>
      </c>
      <c r="K10688" s="1" t="s">
        <v>34272</v>
      </c>
      <c r="L10688" s="1"/>
      <c r="M10688" s="1"/>
    </row>
    <row x14ac:dyDescent="0.25" r="10689" customHeight="1" ht="18.75">
      <c r="A10689" s="1" t="s">
        <v>3598</v>
      </c>
      <c r="B10689" s="1" t="s">
        <v>5252</v>
      </c>
      <c r="C10689" s="1" t="s">
        <v>3600</v>
      </c>
      <c r="D10689" s="1" t="s">
        <v>3610</v>
      </c>
      <c r="E10689" s="1" t="s">
        <v>3752</v>
      </c>
      <c r="F10689" s="1" t="s">
        <v>34882</v>
      </c>
      <c r="G10689" s="1" t="s">
        <v>18400</v>
      </c>
      <c r="H10689" s="1" t="s">
        <v>3604</v>
      </c>
      <c r="I10689" s="1" t="s">
        <v>34883</v>
      </c>
      <c r="J10689" s="1" t="s">
        <v>3615</v>
      </c>
      <c r="K10689" s="1" t="s">
        <v>34884</v>
      </c>
      <c r="L10689" s="1"/>
      <c r="M10689" s="1"/>
    </row>
    <row x14ac:dyDescent="0.25" r="10690" customHeight="1" ht="18.75">
      <c r="A10690" s="1" t="s">
        <v>3617</v>
      </c>
      <c r="B10690" s="1" t="s">
        <v>34862</v>
      </c>
      <c r="C10690" s="1" t="s">
        <v>3619</v>
      </c>
      <c r="D10690" s="1" t="s">
        <v>14146</v>
      </c>
      <c r="E10690" s="1" t="s">
        <v>3730</v>
      </c>
      <c r="F10690" s="1" t="s">
        <v>34885</v>
      </c>
      <c r="G10690" s="1" t="s">
        <v>34862</v>
      </c>
      <c r="H10690" s="1" t="s">
        <v>3604</v>
      </c>
      <c r="I10690" s="1" t="s">
        <v>34886</v>
      </c>
      <c r="J10690" s="1" t="s">
        <v>3615</v>
      </c>
      <c r="K10690" s="1" t="s">
        <v>34865</v>
      </c>
      <c r="L10690" s="1"/>
      <c r="M10690" s="1"/>
    </row>
    <row x14ac:dyDescent="0.25" r="10691" customHeight="1" ht="18.75">
      <c r="A10691" s="1" t="s">
        <v>3598</v>
      </c>
      <c r="B10691" s="1" t="s">
        <v>19642</v>
      </c>
      <c r="C10691" s="1" t="s">
        <v>3600</v>
      </c>
      <c r="D10691" s="1" t="s">
        <v>7891</v>
      </c>
      <c r="E10691" s="1" t="s">
        <v>33214</v>
      </c>
      <c r="F10691" s="1" t="s">
        <v>34887</v>
      </c>
      <c r="G10691" s="1" t="s">
        <v>31528</v>
      </c>
      <c r="H10691" s="1" t="s">
        <v>3604</v>
      </c>
      <c r="I10691" s="1" t="s">
        <v>34888</v>
      </c>
      <c r="J10691" s="1" t="s">
        <v>3615</v>
      </c>
      <c r="K10691" s="1" t="s">
        <v>34889</v>
      </c>
      <c r="L10691" s="1"/>
      <c r="M10691" s="1"/>
    </row>
    <row x14ac:dyDescent="0.25" r="10692" customHeight="1" ht="18.75">
      <c r="A10692" s="1" t="s">
        <v>3598</v>
      </c>
      <c r="B10692" s="1" t="s">
        <v>19642</v>
      </c>
      <c r="C10692" s="1" t="s">
        <v>3600</v>
      </c>
      <c r="D10692" s="1" t="s">
        <v>7891</v>
      </c>
      <c r="E10692" s="1" t="s">
        <v>33214</v>
      </c>
      <c r="F10692" s="1" t="s">
        <v>34890</v>
      </c>
      <c r="G10692" s="1" t="s">
        <v>31528</v>
      </c>
      <c r="H10692" s="1" t="s">
        <v>3604</v>
      </c>
      <c r="I10692" s="1" t="s">
        <v>34891</v>
      </c>
      <c r="J10692" s="1" t="s">
        <v>3615</v>
      </c>
      <c r="K10692" s="1" t="s">
        <v>34892</v>
      </c>
      <c r="L10692" s="1"/>
      <c r="M10692" s="1"/>
    </row>
    <row x14ac:dyDescent="0.25" r="10693" customHeight="1" ht="18.75">
      <c r="A10693" s="1" t="s">
        <v>3598</v>
      </c>
      <c r="B10693" s="1" t="s">
        <v>19642</v>
      </c>
      <c r="C10693" s="1" t="s">
        <v>3600</v>
      </c>
      <c r="D10693" s="1" t="s">
        <v>7891</v>
      </c>
      <c r="E10693" s="1" t="s">
        <v>33214</v>
      </c>
      <c r="F10693" s="1" t="s">
        <v>34893</v>
      </c>
      <c r="G10693" s="1" t="s">
        <v>31573</v>
      </c>
      <c r="H10693" s="1" t="s">
        <v>3604</v>
      </c>
      <c r="I10693" s="1" t="s">
        <v>34894</v>
      </c>
      <c r="J10693" s="1" t="s">
        <v>3615</v>
      </c>
      <c r="K10693" s="1" t="s">
        <v>34895</v>
      </c>
      <c r="L10693" s="1"/>
      <c r="M10693" s="1"/>
    </row>
    <row x14ac:dyDescent="0.25" r="10694" customHeight="1" ht="18.75">
      <c r="A10694" s="1" t="s">
        <v>3598</v>
      </c>
      <c r="B10694" s="1" t="s">
        <v>19642</v>
      </c>
      <c r="C10694" s="1" t="s">
        <v>3600</v>
      </c>
      <c r="D10694" s="1" t="s">
        <v>7891</v>
      </c>
      <c r="E10694" s="1" t="s">
        <v>33214</v>
      </c>
      <c r="F10694" s="1" t="s">
        <v>34896</v>
      </c>
      <c r="G10694" s="1" t="s">
        <v>31573</v>
      </c>
      <c r="H10694" s="1" t="s">
        <v>3604</v>
      </c>
      <c r="I10694" s="1" t="s">
        <v>34897</v>
      </c>
      <c r="J10694" s="1" t="s">
        <v>3615</v>
      </c>
      <c r="K10694" s="1" t="s">
        <v>34898</v>
      </c>
      <c r="L10694" s="1"/>
      <c r="M10694" s="1"/>
    </row>
    <row x14ac:dyDescent="0.25" r="10695" customHeight="1" ht="18.75">
      <c r="A10695" s="1" t="s">
        <v>3598</v>
      </c>
      <c r="B10695" s="1" t="s">
        <v>4273</v>
      </c>
      <c r="C10695" s="1" t="s">
        <v>3600</v>
      </c>
      <c r="D10695" s="1" t="s">
        <v>533</v>
      </c>
      <c r="E10695" s="1" t="s">
        <v>3611</v>
      </c>
      <c r="F10695" s="1" t="s">
        <v>34899</v>
      </c>
      <c r="G10695" s="1" t="s">
        <v>22926</v>
      </c>
      <c r="H10695" s="1" t="s">
        <v>3604</v>
      </c>
      <c r="I10695" s="1" t="s">
        <v>34900</v>
      </c>
      <c r="J10695" s="1" t="s">
        <v>3615</v>
      </c>
      <c r="K10695" s="1" t="s">
        <v>34901</v>
      </c>
      <c r="L10695" s="1"/>
      <c r="M10695" s="1"/>
    </row>
    <row x14ac:dyDescent="0.25" r="10696" customHeight="1" ht="18.75">
      <c r="A10696" s="1" t="s">
        <v>3598</v>
      </c>
      <c r="B10696" s="1" t="s">
        <v>19642</v>
      </c>
      <c r="C10696" s="1" t="s">
        <v>3600</v>
      </c>
      <c r="D10696" s="1" t="s">
        <v>7891</v>
      </c>
      <c r="E10696" s="1" t="s">
        <v>33214</v>
      </c>
      <c r="F10696" s="1" t="s">
        <v>34902</v>
      </c>
      <c r="G10696" s="1" t="s">
        <v>31573</v>
      </c>
      <c r="H10696" s="1" t="s">
        <v>3604</v>
      </c>
      <c r="I10696" s="1" t="s">
        <v>34903</v>
      </c>
      <c r="J10696" s="1" t="s">
        <v>3615</v>
      </c>
      <c r="K10696" s="1" t="s">
        <v>34904</v>
      </c>
      <c r="L10696" s="1"/>
      <c r="M10696" s="1"/>
    </row>
    <row x14ac:dyDescent="0.25" r="10697" customHeight="1" ht="18.75">
      <c r="A10697" s="1" t="s">
        <v>3598</v>
      </c>
      <c r="B10697" s="1" t="s">
        <v>17075</v>
      </c>
      <c r="C10697" s="1" t="s">
        <v>3600</v>
      </c>
      <c r="D10697" s="1" t="s">
        <v>533</v>
      </c>
      <c r="E10697" s="1" t="s">
        <v>3611</v>
      </c>
      <c r="F10697" s="1" t="s">
        <v>34905</v>
      </c>
      <c r="G10697" s="1" t="s">
        <v>17077</v>
      </c>
      <c r="H10697" s="1" t="s">
        <v>3604</v>
      </c>
      <c r="I10697" s="1" t="s">
        <v>34906</v>
      </c>
      <c r="J10697" s="1" t="s">
        <v>3615</v>
      </c>
      <c r="K10697" s="1" t="s">
        <v>34907</v>
      </c>
      <c r="L10697" s="1"/>
      <c r="M10697" s="1"/>
    </row>
    <row x14ac:dyDescent="0.25" r="10698" customHeight="1" ht="18.75">
      <c r="A10698" s="1" t="s">
        <v>3598</v>
      </c>
      <c r="B10698" s="1" t="s">
        <v>8191</v>
      </c>
      <c r="C10698" s="1" t="s">
        <v>3600</v>
      </c>
      <c r="D10698" s="1" t="s">
        <v>3601</v>
      </c>
      <c r="E10698" s="1" t="s">
        <v>3611</v>
      </c>
      <c r="F10698" s="1" t="s">
        <v>34908</v>
      </c>
      <c r="G10698" s="1" t="s">
        <v>20591</v>
      </c>
      <c r="H10698" s="1" t="s">
        <v>3604</v>
      </c>
      <c r="I10698" s="1" t="s">
        <v>34909</v>
      </c>
      <c r="J10698" s="1" t="s">
        <v>3606</v>
      </c>
      <c r="K10698" s="1" t="s">
        <v>34910</v>
      </c>
      <c r="L10698" s="1"/>
      <c r="M10698" s="1"/>
    </row>
    <row x14ac:dyDescent="0.25" r="10699" customHeight="1" ht="18.75">
      <c r="A10699" s="1" t="s">
        <v>3598</v>
      </c>
      <c r="B10699" s="1" t="s">
        <v>8191</v>
      </c>
      <c r="C10699" s="1" t="s">
        <v>3600</v>
      </c>
      <c r="D10699" s="1" t="s">
        <v>3601</v>
      </c>
      <c r="E10699" s="1" t="s">
        <v>3611</v>
      </c>
      <c r="F10699" s="1" t="s">
        <v>34911</v>
      </c>
      <c r="G10699" s="1" t="s">
        <v>20591</v>
      </c>
      <c r="H10699" s="1" t="s">
        <v>3604</v>
      </c>
      <c r="I10699" s="1" t="s">
        <v>34912</v>
      </c>
      <c r="J10699" s="1" t="s">
        <v>3615</v>
      </c>
      <c r="K10699" s="1" t="s">
        <v>34913</v>
      </c>
      <c r="L10699" s="1"/>
      <c r="M10699" s="1"/>
    </row>
    <row x14ac:dyDescent="0.25" r="10700" customHeight="1" ht="18.75">
      <c r="A10700" s="1" t="s">
        <v>3598</v>
      </c>
      <c r="B10700" s="1" t="s">
        <v>4600</v>
      </c>
      <c r="C10700" s="1" t="s">
        <v>3600</v>
      </c>
      <c r="D10700" s="1" t="s">
        <v>3601</v>
      </c>
      <c r="E10700" s="1" t="s">
        <v>3611</v>
      </c>
      <c r="F10700" s="1" t="s">
        <v>34914</v>
      </c>
      <c r="G10700" s="1" t="s">
        <v>32889</v>
      </c>
      <c r="H10700" s="1" t="s">
        <v>3604</v>
      </c>
      <c r="I10700" s="1" t="s">
        <v>34915</v>
      </c>
      <c r="J10700" s="1" t="s">
        <v>3615</v>
      </c>
      <c r="K10700" s="1" t="s">
        <v>34916</v>
      </c>
      <c r="L10700" s="1"/>
      <c r="M10700" s="1"/>
    </row>
    <row x14ac:dyDescent="0.25" r="10701" customHeight="1" ht="18.75">
      <c r="A10701" s="1" t="s">
        <v>3598</v>
      </c>
      <c r="B10701" s="1" t="s">
        <v>4600</v>
      </c>
      <c r="C10701" s="1" t="s">
        <v>3600</v>
      </c>
      <c r="D10701" s="1" t="s">
        <v>3601</v>
      </c>
      <c r="E10701" s="1" t="s">
        <v>3611</v>
      </c>
      <c r="F10701" s="1" t="s">
        <v>34917</v>
      </c>
      <c r="G10701" s="1" t="s">
        <v>32889</v>
      </c>
      <c r="H10701" s="1" t="s">
        <v>3604</v>
      </c>
      <c r="I10701" s="1" t="s">
        <v>34918</v>
      </c>
      <c r="J10701" s="1" t="s">
        <v>3615</v>
      </c>
      <c r="K10701" s="1" t="s">
        <v>34919</v>
      </c>
      <c r="L10701" s="1"/>
      <c r="M10701" s="1"/>
    </row>
    <row x14ac:dyDescent="0.25" r="10702" customHeight="1" ht="18.75">
      <c r="A10702" s="1" t="s">
        <v>3598</v>
      </c>
      <c r="B10702" s="1" t="s">
        <v>4600</v>
      </c>
      <c r="C10702" s="1" t="s">
        <v>3600</v>
      </c>
      <c r="D10702" s="1" t="s">
        <v>3601</v>
      </c>
      <c r="E10702" s="1" t="s">
        <v>3611</v>
      </c>
      <c r="F10702" s="1" t="s">
        <v>34920</v>
      </c>
      <c r="G10702" s="1" t="s">
        <v>32889</v>
      </c>
      <c r="H10702" s="1" t="s">
        <v>3604</v>
      </c>
      <c r="I10702" s="1" t="s">
        <v>34921</v>
      </c>
      <c r="J10702" s="1" t="s">
        <v>3615</v>
      </c>
      <c r="K10702" s="1" t="s">
        <v>34922</v>
      </c>
      <c r="L10702" s="1"/>
      <c r="M10702" s="1"/>
    </row>
    <row x14ac:dyDescent="0.25" r="10703" customHeight="1" ht="18.75">
      <c r="A10703" s="1" t="s">
        <v>3598</v>
      </c>
      <c r="B10703" s="1" t="s">
        <v>4600</v>
      </c>
      <c r="C10703" s="1" t="s">
        <v>3600</v>
      </c>
      <c r="D10703" s="1" t="s">
        <v>3601</v>
      </c>
      <c r="E10703" s="1" t="s">
        <v>3611</v>
      </c>
      <c r="F10703" s="1" t="s">
        <v>34923</v>
      </c>
      <c r="G10703" s="1" t="s">
        <v>32889</v>
      </c>
      <c r="H10703" s="1" t="s">
        <v>3604</v>
      </c>
      <c r="I10703" s="1" t="s">
        <v>34924</v>
      </c>
      <c r="J10703" s="1" t="s">
        <v>3615</v>
      </c>
      <c r="K10703" s="1" t="s">
        <v>34925</v>
      </c>
      <c r="L10703" s="1"/>
      <c r="M10703" s="1"/>
    </row>
    <row x14ac:dyDescent="0.25" r="10704" customHeight="1" ht="18.75">
      <c r="A10704" s="1" t="s">
        <v>3598</v>
      </c>
      <c r="B10704" s="1" t="s">
        <v>18043</v>
      </c>
      <c r="C10704" s="1" t="s">
        <v>3600</v>
      </c>
      <c r="D10704" s="1" t="s">
        <v>3601</v>
      </c>
      <c r="E10704" s="1" t="s">
        <v>3611</v>
      </c>
      <c r="F10704" s="1" t="s">
        <v>34926</v>
      </c>
      <c r="G10704" s="1" t="s">
        <v>30389</v>
      </c>
      <c r="H10704" s="1" t="s">
        <v>3604</v>
      </c>
      <c r="I10704" s="1" t="s">
        <v>34927</v>
      </c>
      <c r="J10704" s="1" t="s">
        <v>3615</v>
      </c>
      <c r="K10704" s="1" t="s">
        <v>34928</v>
      </c>
      <c r="L10704" s="1"/>
      <c r="M10704" s="1"/>
    </row>
    <row x14ac:dyDescent="0.25" r="10705" customHeight="1" ht="18.75">
      <c r="A10705" s="1" t="s">
        <v>3598</v>
      </c>
      <c r="B10705" s="1" t="s">
        <v>18043</v>
      </c>
      <c r="C10705" s="1" t="s">
        <v>3600</v>
      </c>
      <c r="D10705" s="1" t="s">
        <v>3601</v>
      </c>
      <c r="E10705" s="1" t="s">
        <v>3611</v>
      </c>
      <c r="F10705" s="1" t="s">
        <v>34929</v>
      </c>
      <c r="G10705" s="1" t="s">
        <v>30389</v>
      </c>
      <c r="H10705" s="1" t="s">
        <v>3604</v>
      </c>
      <c r="I10705" s="1" t="s">
        <v>34930</v>
      </c>
      <c r="J10705" s="1" t="s">
        <v>3615</v>
      </c>
      <c r="K10705" s="1" t="s">
        <v>34931</v>
      </c>
      <c r="L10705" s="1"/>
      <c r="M10705" s="1"/>
    </row>
    <row x14ac:dyDescent="0.25" r="10706" customHeight="1" ht="18.75">
      <c r="A10706" s="1" t="s">
        <v>3598</v>
      </c>
      <c r="B10706" s="1" t="s">
        <v>18062</v>
      </c>
      <c r="C10706" s="1" t="s">
        <v>3600</v>
      </c>
      <c r="D10706" s="1" t="s">
        <v>3601</v>
      </c>
      <c r="E10706" s="1" t="s">
        <v>3664</v>
      </c>
      <c r="F10706" s="1" t="s">
        <v>34932</v>
      </c>
      <c r="G10706" s="1" t="s">
        <v>18064</v>
      </c>
      <c r="H10706" s="1" t="s">
        <v>3604</v>
      </c>
      <c r="I10706" s="1" t="s">
        <v>34933</v>
      </c>
      <c r="J10706" s="1" t="s">
        <v>3615</v>
      </c>
      <c r="K10706" s="1" t="s">
        <v>34934</v>
      </c>
      <c r="L10706" s="1"/>
      <c r="M10706" s="1"/>
    </row>
    <row x14ac:dyDescent="0.25" r="10707" customHeight="1" ht="18.75">
      <c r="A10707" s="1" t="s">
        <v>3598</v>
      </c>
      <c r="B10707" s="1" t="s">
        <v>9012</v>
      </c>
      <c r="C10707" s="1" t="s">
        <v>3600</v>
      </c>
      <c r="D10707" s="1" t="s">
        <v>3601</v>
      </c>
      <c r="E10707" s="1" t="s">
        <v>3893</v>
      </c>
      <c r="F10707" s="1" t="s">
        <v>34935</v>
      </c>
      <c r="G10707" s="1" t="s">
        <v>16649</v>
      </c>
      <c r="H10707" s="1" t="s">
        <v>3604</v>
      </c>
      <c r="I10707" s="1" t="s">
        <v>34936</v>
      </c>
      <c r="J10707" s="1" t="s">
        <v>3615</v>
      </c>
      <c r="K10707" s="1" t="s">
        <v>34937</v>
      </c>
      <c r="L10707" s="1"/>
      <c r="M10707" s="1"/>
    </row>
    <row x14ac:dyDescent="0.25" r="10708" customHeight="1" ht="18.75">
      <c r="A10708" s="1" t="s">
        <v>3598</v>
      </c>
      <c r="B10708" s="1" t="s">
        <v>19642</v>
      </c>
      <c r="C10708" s="1" t="s">
        <v>3600</v>
      </c>
      <c r="D10708" s="1" t="s">
        <v>7891</v>
      </c>
      <c r="E10708" s="1" t="s">
        <v>33214</v>
      </c>
      <c r="F10708" s="1" t="s">
        <v>34938</v>
      </c>
      <c r="G10708" s="1" t="s">
        <v>31528</v>
      </c>
      <c r="H10708" s="1" t="s">
        <v>3604</v>
      </c>
      <c r="I10708" s="1" t="s">
        <v>34939</v>
      </c>
      <c r="J10708" s="1" t="s">
        <v>3615</v>
      </c>
      <c r="K10708" s="1" t="s">
        <v>34940</v>
      </c>
      <c r="L10708" s="1"/>
      <c r="M10708" s="1"/>
    </row>
    <row x14ac:dyDescent="0.25" r="10709" customHeight="1" ht="18.75">
      <c r="A10709" s="1" t="s">
        <v>3598</v>
      </c>
      <c r="B10709" s="1" t="s">
        <v>14054</v>
      </c>
      <c r="C10709" s="1" t="s">
        <v>3600</v>
      </c>
      <c r="D10709" s="1" t="s">
        <v>3601</v>
      </c>
      <c r="E10709" s="1" t="s">
        <v>3752</v>
      </c>
      <c r="F10709" s="1" t="s">
        <v>34941</v>
      </c>
      <c r="G10709" s="1" t="s">
        <v>32671</v>
      </c>
      <c r="H10709" s="1" t="s">
        <v>3604</v>
      </c>
      <c r="I10709" s="1" t="s">
        <v>34942</v>
      </c>
      <c r="J10709" s="1" t="s">
        <v>3615</v>
      </c>
      <c r="K10709" s="1" t="s">
        <v>34943</v>
      </c>
      <c r="L10709" s="1"/>
      <c r="M10709" s="1"/>
    </row>
    <row x14ac:dyDescent="0.25" r="10710" customHeight="1" ht="18.75">
      <c r="A10710" s="1" t="s">
        <v>3598</v>
      </c>
      <c r="B10710" s="1" t="s">
        <v>15397</v>
      </c>
      <c r="C10710" s="1" t="s">
        <v>3600</v>
      </c>
      <c r="D10710" s="1" t="s">
        <v>3601</v>
      </c>
      <c r="E10710" s="1" t="s">
        <v>3664</v>
      </c>
      <c r="F10710" s="1" t="s">
        <v>34944</v>
      </c>
      <c r="G10710" s="1" t="s">
        <v>29538</v>
      </c>
      <c r="H10710" s="1" t="s">
        <v>3604</v>
      </c>
      <c r="I10710" s="1" t="s">
        <v>34945</v>
      </c>
      <c r="J10710" s="1" t="s">
        <v>3606</v>
      </c>
      <c r="K10710" s="1" t="s">
        <v>34946</v>
      </c>
      <c r="L10710" s="1"/>
      <c r="M10710" s="1"/>
    </row>
    <row x14ac:dyDescent="0.25" r="10711" customHeight="1" ht="18.75">
      <c r="A10711" s="1" t="s">
        <v>3598</v>
      </c>
      <c r="B10711" s="1" t="s">
        <v>5239</v>
      </c>
      <c r="C10711" s="1" t="s">
        <v>3600</v>
      </c>
      <c r="D10711" s="1" t="s">
        <v>3601</v>
      </c>
      <c r="E10711" s="1" t="s">
        <v>3664</v>
      </c>
      <c r="F10711" s="1" t="s">
        <v>34947</v>
      </c>
      <c r="G10711" s="1" t="s">
        <v>28999</v>
      </c>
      <c r="H10711" s="1" t="s">
        <v>3604</v>
      </c>
      <c r="I10711" s="1" t="s">
        <v>34948</v>
      </c>
      <c r="J10711" s="1" t="s">
        <v>3606</v>
      </c>
      <c r="K10711" s="1" t="s">
        <v>34949</v>
      </c>
      <c r="L10711" s="1"/>
      <c r="M10711" s="1"/>
    </row>
    <row x14ac:dyDescent="0.25" r="10712" customHeight="1" ht="18.75">
      <c r="A10712" s="1" t="s">
        <v>3598</v>
      </c>
      <c r="B10712" s="1" t="s">
        <v>34950</v>
      </c>
      <c r="C10712" s="1" t="s">
        <v>3600</v>
      </c>
      <c r="D10712" s="1" t="s">
        <v>3601</v>
      </c>
      <c r="E10712" s="1" t="s">
        <v>3664</v>
      </c>
      <c r="F10712" s="1" t="s">
        <v>34951</v>
      </c>
      <c r="G10712" s="1" t="s">
        <v>34952</v>
      </c>
      <c r="H10712" s="1" t="s">
        <v>3604</v>
      </c>
      <c r="I10712" s="1" t="s">
        <v>34953</v>
      </c>
      <c r="J10712" s="1" t="s">
        <v>3606</v>
      </c>
      <c r="K10712" s="1" t="s">
        <v>34954</v>
      </c>
      <c r="L10712" s="1"/>
      <c r="M10712" s="1"/>
    </row>
    <row x14ac:dyDescent="0.25" r="10713" customHeight="1" ht="18.75">
      <c r="A10713" s="1" t="s">
        <v>3598</v>
      </c>
      <c r="B10713" s="1" t="s">
        <v>9344</v>
      </c>
      <c r="C10713" s="1" t="s">
        <v>3600</v>
      </c>
      <c r="D10713" s="1" t="s">
        <v>3601</v>
      </c>
      <c r="E10713" s="1" t="s">
        <v>3664</v>
      </c>
      <c r="F10713" s="1" t="s">
        <v>34955</v>
      </c>
      <c r="G10713" s="1" t="s">
        <v>21948</v>
      </c>
      <c r="H10713" s="1" t="s">
        <v>3604</v>
      </c>
      <c r="I10713" s="1" t="s">
        <v>34956</v>
      </c>
      <c r="J10713" s="1" t="s">
        <v>3606</v>
      </c>
      <c r="K10713" s="1" t="s">
        <v>34957</v>
      </c>
      <c r="L10713" s="1"/>
      <c r="M10713" s="1"/>
    </row>
    <row x14ac:dyDescent="0.25" r="10714" customHeight="1" ht="18.75">
      <c r="A10714" s="1" t="s">
        <v>3598</v>
      </c>
      <c r="B10714" s="1" t="s">
        <v>9344</v>
      </c>
      <c r="C10714" s="1" t="s">
        <v>3600</v>
      </c>
      <c r="D10714" s="1" t="s">
        <v>3601</v>
      </c>
      <c r="E10714" s="1" t="s">
        <v>3664</v>
      </c>
      <c r="F10714" s="1" t="s">
        <v>34958</v>
      </c>
      <c r="G10714" s="1" t="s">
        <v>21948</v>
      </c>
      <c r="H10714" s="1" t="s">
        <v>3604</v>
      </c>
      <c r="I10714" s="1" t="s">
        <v>34959</v>
      </c>
      <c r="J10714" s="1" t="s">
        <v>3606</v>
      </c>
      <c r="K10714" s="1" t="s">
        <v>34960</v>
      </c>
      <c r="L10714" s="1"/>
      <c r="M10714" s="1"/>
    </row>
    <row x14ac:dyDescent="0.25" r="10715" customHeight="1" ht="18.75">
      <c r="A10715" s="1" t="s">
        <v>3598</v>
      </c>
      <c r="B10715" s="1" t="s">
        <v>28821</v>
      </c>
      <c r="C10715" s="1" t="s">
        <v>3600</v>
      </c>
      <c r="D10715" s="1" t="s">
        <v>7994</v>
      </c>
      <c r="E10715" s="1" t="s">
        <v>3664</v>
      </c>
      <c r="F10715" s="1" t="s">
        <v>34961</v>
      </c>
      <c r="G10715" s="1" t="s">
        <v>28823</v>
      </c>
      <c r="H10715" s="1" t="s">
        <v>3604</v>
      </c>
      <c r="I10715" s="1" t="s">
        <v>34962</v>
      </c>
      <c r="J10715" s="1" t="s">
        <v>3606</v>
      </c>
      <c r="K10715" s="1" t="s">
        <v>34963</v>
      </c>
      <c r="L10715" s="1"/>
      <c r="M10715" s="1"/>
    </row>
    <row x14ac:dyDescent="0.25" r="10716" customHeight="1" ht="18.75">
      <c r="A10716" s="1" t="s">
        <v>3598</v>
      </c>
      <c r="B10716" s="1" t="s">
        <v>28821</v>
      </c>
      <c r="C10716" s="1" t="s">
        <v>3600</v>
      </c>
      <c r="D10716" s="1" t="s">
        <v>7994</v>
      </c>
      <c r="E10716" s="1" t="s">
        <v>3664</v>
      </c>
      <c r="F10716" s="1" t="s">
        <v>34964</v>
      </c>
      <c r="G10716" s="1" t="s">
        <v>28823</v>
      </c>
      <c r="H10716" s="1" t="s">
        <v>3604</v>
      </c>
      <c r="I10716" s="1" t="s">
        <v>34965</v>
      </c>
      <c r="J10716" s="1" t="s">
        <v>3606</v>
      </c>
      <c r="K10716" s="1" t="s">
        <v>34966</v>
      </c>
      <c r="L10716" s="1"/>
      <c r="M10716" s="1"/>
    </row>
    <row x14ac:dyDescent="0.25" r="10717" customHeight="1" ht="18.75">
      <c r="A10717" s="1" t="s">
        <v>3598</v>
      </c>
      <c r="B10717" s="1" t="s">
        <v>22144</v>
      </c>
      <c r="C10717" s="1" t="s">
        <v>3600</v>
      </c>
      <c r="D10717" s="1" t="s">
        <v>7994</v>
      </c>
      <c r="E10717" s="1" t="s">
        <v>3664</v>
      </c>
      <c r="F10717" s="1" t="s">
        <v>34967</v>
      </c>
      <c r="G10717" s="1" t="s">
        <v>22146</v>
      </c>
      <c r="H10717" s="1" t="s">
        <v>3604</v>
      </c>
      <c r="I10717" s="1" t="s">
        <v>34968</v>
      </c>
      <c r="J10717" s="1" t="s">
        <v>3606</v>
      </c>
      <c r="K10717" s="1" t="s">
        <v>34969</v>
      </c>
      <c r="L10717" s="1"/>
      <c r="M10717" s="1"/>
    </row>
    <row x14ac:dyDescent="0.25" r="10718" customHeight="1" ht="18.75">
      <c r="A10718" s="1" t="s">
        <v>3598</v>
      </c>
      <c r="B10718" s="1" t="s">
        <v>22144</v>
      </c>
      <c r="C10718" s="1" t="s">
        <v>3600</v>
      </c>
      <c r="D10718" s="1" t="s">
        <v>7994</v>
      </c>
      <c r="E10718" s="1" t="s">
        <v>3664</v>
      </c>
      <c r="F10718" s="1" t="s">
        <v>34970</v>
      </c>
      <c r="G10718" s="1" t="s">
        <v>22146</v>
      </c>
      <c r="H10718" s="1" t="s">
        <v>3604</v>
      </c>
      <c r="I10718" s="1" t="s">
        <v>34971</v>
      </c>
      <c r="J10718" s="1" t="s">
        <v>3606</v>
      </c>
      <c r="K10718" s="1" t="s">
        <v>34972</v>
      </c>
      <c r="L10718" s="1"/>
      <c r="M10718" s="1"/>
    </row>
    <row x14ac:dyDescent="0.25" r="10719" customHeight="1" ht="18.75">
      <c r="A10719" s="1" t="s">
        <v>3598</v>
      </c>
      <c r="B10719" s="1" t="s">
        <v>22144</v>
      </c>
      <c r="C10719" s="1" t="s">
        <v>3600</v>
      </c>
      <c r="D10719" s="1" t="s">
        <v>7994</v>
      </c>
      <c r="E10719" s="1" t="s">
        <v>3664</v>
      </c>
      <c r="F10719" s="1" t="s">
        <v>34973</v>
      </c>
      <c r="G10719" s="1" t="s">
        <v>22146</v>
      </c>
      <c r="H10719" s="1" t="s">
        <v>3604</v>
      </c>
      <c r="I10719" s="1" t="s">
        <v>34974</v>
      </c>
      <c r="J10719" s="1" t="s">
        <v>3606</v>
      </c>
      <c r="K10719" s="1" t="s">
        <v>34975</v>
      </c>
      <c r="L10719" s="1"/>
      <c r="M10719" s="1"/>
    </row>
    <row x14ac:dyDescent="0.25" r="10720" customHeight="1" ht="18.75">
      <c r="A10720" s="1" t="s">
        <v>3598</v>
      </c>
      <c r="B10720" s="1" t="s">
        <v>22144</v>
      </c>
      <c r="C10720" s="1" t="s">
        <v>3600</v>
      </c>
      <c r="D10720" s="1" t="s">
        <v>7994</v>
      </c>
      <c r="E10720" s="1" t="s">
        <v>3664</v>
      </c>
      <c r="F10720" s="1" t="s">
        <v>34976</v>
      </c>
      <c r="G10720" s="1" t="s">
        <v>22146</v>
      </c>
      <c r="H10720" s="1" t="s">
        <v>3604</v>
      </c>
      <c r="I10720" s="1" t="s">
        <v>34977</v>
      </c>
      <c r="J10720" s="1" t="s">
        <v>3606</v>
      </c>
      <c r="K10720" s="1" t="s">
        <v>34978</v>
      </c>
      <c r="L10720" s="1"/>
      <c r="M10720" s="1"/>
    </row>
    <row x14ac:dyDescent="0.25" r="10721" customHeight="1" ht="18.75">
      <c r="A10721" s="1" t="s">
        <v>3598</v>
      </c>
      <c r="B10721" s="1" t="s">
        <v>16715</v>
      </c>
      <c r="C10721" s="1" t="s">
        <v>3600</v>
      </c>
      <c r="D10721" s="1" t="s">
        <v>7994</v>
      </c>
      <c r="E10721" s="1" t="s">
        <v>3893</v>
      </c>
      <c r="F10721" s="1" t="s">
        <v>34979</v>
      </c>
      <c r="G10721" s="1" t="s">
        <v>16717</v>
      </c>
      <c r="H10721" s="1" t="s">
        <v>3604</v>
      </c>
      <c r="I10721" s="1" t="s">
        <v>34980</v>
      </c>
      <c r="J10721" s="1" t="s">
        <v>3606</v>
      </c>
      <c r="K10721" s="1" t="s">
        <v>34981</v>
      </c>
      <c r="L10721" s="1"/>
      <c r="M10721" s="1"/>
    </row>
    <row x14ac:dyDescent="0.25" r="10722" customHeight="1" ht="18.75">
      <c r="A10722" s="1" t="s">
        <v>3598</v>
      </c>
      <c r="B10722" s="1" t="s">
        <v>16715</v>
      </c>
      <c r="C10722" s="1" t="s">
        <v>3600</v>
      </c>
      <c r="D10722" s="1" t="s">
        <v>7994</v>
      </c>
      <c r="E10722" s="1" t="s">
        <v>3893</v>
      </c>
      <c r="F10722" s="1" t="s">
        <v>34982</v>
      </c>
      <c r="G10722" s="1" t="s">
        <v>16717</v>
      </c>
      <c r="H10722" s="1" t="s">
        <v>3604</v>
      </c>
      <c r="I10722" s="1" t="s">
        <v>34983</v>
      </c>
      <c r="J10722" s="1" t="s">
        <v>3606</v>
      </c>
      <c r="K10722" s="1" t="s">
        <v>34984</v>
      </c>
      <c r="L10722" s="1"/>
      <c r="M10722" s="1"/>
    </row>
    <row x14ac:dyDescent="0.25" r="10723" customHeight="1" ht="18.75">
      <c r="A10723" s="1" t="s">
        <v>3598</v>
      </c>
      <c r="B10723" s="1" t="s">
        <v>16715</v>
      </c>
      <c r="C10723" s="1" t="s">
        <v>3600</v>
      </c>
      <c r="D10723" s="1" t="s">
        <v>7994</v>
      </c>
      <c r="E10723" s="1" t="s">
        <v>3893</v>
      </c>
      <c r="F10723" s="1" t="s">
        <v>34985</v>
      </c>
      <c r="G10723" s="1" t="s">
        <v>16717</v>
      </c>
      <c r="H10723" s="1" t="s">
        <v>3604</v>
      </c>
      <c r="I10723" s="1" t="s">
        <v>34986</v>
      </c>
      <c r="J10723" s="1" t="s">
        <v>3606</v>
      </c>
      <c r="K10723" s="1" t="s">
        <v>34987</v>
      </c>
      <c r="L10723" s="1"/>
      <c r="M10723" s="1"/>
    </row>
    <row x14ac:dyDescent="0.25" r="10724" customHeight="1" ht="18.75">
      <c r="A10724" s="1" t="s">
        <v>3598</v>
      </c>
      <c r="B10724" s="1" t="s">
        <v>16715</v>
      </c>
      <c r="C10724" s="1" t="s">
        <v>3600</v>
      </c>
      <c r="D10724" s="1" t="s">
        <v>7994</v>
      </c>
      <c r="E10724" s="1" t="s">
        <v>3893</v>
      </c>
      <c r="F10724" s="1" t="s">
        <v>34988</v>
      </c>
      <c r="G10724" s="1" t="s">
        <v>16717</v>
      </c>
      <c r="H10724" s="1" t="s">
        <v>3604</v>
      </c>
      <c r="I10724" s="1" t="s">
        <v>34989</v>
      </c>
      <c r="J10724" s="1" t="s">
        <v>3606</v>
      </c>
      <c r="K10724" s="1" t="s">
        <v>34990</v>
      </c>
      <c r="L10724" s="1"/>
      <c r="M10724" s="1"/>
    </row>
    <row x14ac:dyDescent="0.25" r="10725" customHeight="1" ht="18.75">
      <c r="A10725" s="1" t="s">
        <v>3598</v>
      </c>
      <c r="B10725" s="1" t="s">
        <v>16715</v>
      </c>
      <c r="C10725" s="1" t="s">
        <v>3600</v>
      </c>
      <c r="D10725" s="1" t="s">
        <v>7994</v>
      </c>
      <c r="E10725" s="1" t="s">
        <v>3893</v>
      </c>
      <c r="F10725" s="1" t="s">
        <v>34991</v>
      </c>
      <c r="G10725" s="1" t="s">
        <v>16717</v>
      </c>
      <c r="H10725" s="1" t="s">
        <v>3604</v>
      </c>
      <c r="I10725" s="1" t="s">
        <v>34992</v>
      </c>
      <c r="J10725" s="1" t="s">
        <v>3606</v>
      </c>
      <c r="K10725" s="1" t="s">
        <v>34993</v>
      </c>
      <c r="L10725" s="1"/>
      <c r="M10725" s="1"/>
    </row>
    <row x14ac:dyDescent="0.25" r="10726" customHeight="1" ht="18.75">
      <c r="A10726" s="1" t="s">
        <v>3598</v>
      </c>
      <c r="B10726" s="1" t="s">
        <v>16715</v>
      </c>
      <c r="C10726" s="1" t="s">
        <v>3600</v>
      </c>
      <c r="D10726" s="1" t="s">
        <v>7994</v>
      </c>
      <c r="E10726" s="1" t="s">
        <v>3893</v>
      </c>
      <c r="F10726" s="1" t="s">
        <v>34994</v>
      </c>
      <c r="G10726" s="1" t="s">
        <v>16717</v>
      </c>
      <c r="H10726" s="1" t="s">
        <v>3604</v>
      </c>
      <c r="I10726" s="1" t="s">
        <v>34995</v>
      </c>
      <c r="J10726" s="1" t="s">
        <v>3606</v>
      </c>
      <c r="K10726" s="1" t="s">
        <v>34996</v>
      </c>
      <c r="L10726" s="1"/>
      <c r="M10726" s="1"/>
    </row>
    <row x14ac:dyDescent="0.25" r="10727" customHeight="1" ht="18.75">
      <c r="A10727" s="1" t="s">
        <v>3598</v>
      </c>
      <c r="B10727" s="1" t="s">
        <v>28664</v>
      </c>
      <c r="C10727" s="1" t="s">
        <v>3600</v>
      </c>
      <c r="D10727" s="1" t="s">
        <v>7994</v>
      </c>
      <c r="E10727" s="1" t="s">
        <v>3893</v>
      </c>
      <c r="F10727" s="1" t="s">
        <v>34997</v>
      </c>
      <c r="G10727" s="1" t="s">
        <v>28666</v>
      </c>
      <c r="H10727" s="1" t="s">
        <v>3604</v>
      </c>
      <c r="I10727" s="1" t="s">
        <v>34998</v>
      </c>
      <c r="J10727" s="1" t="s">
        <v>3606</v>
      </c>
      <c r="K10727" s="1" t="s">
        <v>34999</v>
      </c>
      <c r="L10727" s="1"/>
      <c r="M10727" s="1"/>
    </row>
    <row x14ac:dyDescent="0.25" r="10728" customHeight="1" ht="18.75">
      <c r="A10728" s="1" t="s">
        <v>3598</v>
      </c>
      <c r="B10728" s="1" t="s">
        <v>28664</v>
      </c>
      <c r="C10728" s="1" t="s">
        <v>3600</v>
      </c>
      <c r="D10728" s="1" t="s">
        <v>7994</v>
      </c>
      <c r="E10728" s="1" t="s">
        <v>3893</v>
      </c>
      <c r="F10728" s="1" t="s">
        <v>35000</v>
      </c>
      <c r="G10728" s="1" t="s">
        <v>28666</v>
      </c>
      <c r="H10728" s="1" t="s">
        <v>3604</v>
      </c>
      <c r="I10728" s="1" t="s">
        <v>35001</v>
      </c>
      <c r="J10728" s="1" t="s">
        <v>3606</v>
      </c>
      <c r="K10728" s="1" t="s">
        <v>35002</v>
      </c>
      <c r="L10728" s="1"/>
      <c r="M10728" s="1"/>
    </row>
    <row x14ac:dyDescent="0.25" r="10729" customHeight="1" ht="18.75">
      <c r="A10729" s="1" t="s">
        <v>3598</v>
      </c>
      <c r="B10729" s="1" t="s">
        <v>28664</v>
      </c>
      <c r="C10729" s="1" t="s">
        <v>3600</v>
      </c>
      <c r="D10729" s="1" t="s">
        <v>7994</v>
      </c>
      <c r="E10729" s="1" t="s">
        <v>3893</v>
      </c>
      <c r="F10729" s="1" t="s">
        <v>35003</v>
      </c>
      <c r="G10729" s="1" t="s">
        <v>28666</v>
      </c>
      <c r="H10729" s="1" t="s">
        <v>3604</v>
      </c>
      <c r="I10729" s="1" t="s">
        <v>35004</v>
      </c>
      <c r="J10729" s="1" t="s">
        <v>3606</v>
      </c>
      <c r="K10729" s="1" t="s">
        <v>35005</v>
      </c>
      <c r="L10729" s="1"/>
      <c r="M10729" s="1"/>
    </row>
    <row x14ac:dyDescent="0.25" r="10730" customHeight="1" ht="18.75">
      <c r="A10730" s="1" t="s">
        <v>3598</v>
      </c>
      <c r="B10730" s="1" t="s">
        <v>28664</v>
      </c>
      <c r="C10730" s="1" t="s">
        <v>3600</v>
      </c>
      <c r="D10730" s="1" t="s">
        <v>7994</v>
      </c>
      <c r="E10730" s="1" t="s">
        <v>3893</v>
      </c>
      <c r="F10730" s="1" t="s">
        <v>35006</v>
      </c>
      <c r="G10730" s="1" t="s">
        <v>28666</v>
      </c>
      <c r="H10730" s="1" t="s">
        <v>3604</v>
      </c>
      <c r="I10730" s="1" t="s">
        <v>35007</v>
      </c>
      <c r="J10730" s="1" t="s">
        <v>3606</v>
      </c>
      <c r="K10730" s="1" t="s">
        <v>35008</v>
      </c>
      <c r="L10730" s="1"/>
      <c r="M10730" s="1"/>
    </row>
    <row x14ac:dyDescent="0.25" r="10731" customHeight="1" ht="18.75">
      <c r="A10731" s="1" t="s">
        <v>3598</v>
      </c>
      <c r="B10731" s="1" t="s">
        <v>28664</v>
      </c>
      <c r="C10731" s="1" t="s">
        <v>3600</v>
      </c>
      <c r="D10731" s="1" t="s">
        <v>7994</v>
      </c>
      <c r="E10731" s="1" t="s">
        <v>3893</v>
      </c>
      <c r="F10731" s="1" t="s">
        <v>35009</v>
      </c>
      <c r="G10731" s="1" t="s">
        <v>28666</v>
      </c>
      <c r="H10731" s="1" t="s">
        <v>3604</v>
      </c>
      <c r="I10731" s="1" t="s">
        <v>35010</v>
      </c>
      <c r="J10731" s="1" t="s">
        <v>3606</v>
      </c>
      <c r="K10731" s="1" t="s">
        <v>35011</v>
      </c>
      <c r="L10731" s="1"/>
      <c r="M10731" s="1"/>
    </row>
    <row x14ac:dyDescent="0.25" r="10732" customHeight="1" ht="18.75">
      <c r="A10732" s="1" t="s">
        <v>3598</v>
      </c>
      <c r="B10732" s="1" t="s">
        <v>28664</v>
      </c>
      <c r="C10732" s="1" t="s">
        <v>3600</v>
      </c>
      <c r="D10732" s="1" t="s">
        <v>7994</v>
      </c>
      <c r="E10732" s="1" t="s">
        <v>3893</v>
      </c>
      <c r="F10732" s="1" t="s">
        <v>35012</v>
      </c>
      <c r="G10732" s="1" t="s">
        <v>28666</v>
      </c>
      <c r="H10732" s="1" t="s">
        <v>3604</v>
      </c>
      <c r="I10732" s="1" t="s">
        <v>35013</v>
      </c>
      <c r="J10732" s="1" t="s">
        <v>3606</v>
      </c>
      <c r="K10732" s="1" t="s">
        <v>35014</v>
      </c>
      <c r="L10732" s="1"/>
      <c r="M10732" s="1"/>
    </row>
    <row x14ac:dyDescent="0.25" r="10733" customHeight="1" ht="18.75">
      <c r="A10733" s="1" t="s">
        <v>3598</v>
      </c>
      <c r="B10733" s="1" t="s">
        <v>8651</v>
      </c>
      <c r="C10733" s="1" t="s">
        <v>3600</v>
      </c>
      <c r="D10733" s="1" t="s">
        <v>7994</v>
      </c>
      <c r="E10733" s="1" t="s">
        <v>3664</v>
      </c>
      <c r="F10733" s="1" t="s">
        <v>35015</v>
      </c>
      <c r="G10733" s="1" t="s">
        <v>8653</v>
      </c>
      <c r="H10733" s="1" t="s">
        <v>3604</v>
      </c>
      <c r="I10733" s="1" t="s">
        <v>35016</v>
      </c>
      <c r="J10733" s="1" t="s">
        <v>3606</v>
      </c>
      <c r="K10733" s="1" t="s">
        <v>35017</v>
      </c>
      <c r="L10733" s="1"/>
      <c r="M10733" s="1"/>
    </row>
    <row x14ac:dyDescent="0.25" r="10734" customHeight="1" ht="18.75">
      <c r="A10734" s="1" t="s">
        <v>3598</v>
      </c>
      <c r="B10734" s="1" t="s">
        <v>8651</v>
      </c>
      <c r="C10734" s="1" t="s">
        <v>3600</v>
      </c>
      <c r="D10734" s="1" t="s">
        <v>7994</v>
      </c>
      <c r="E10734" s="1" t="s">
        <v>3664</v>
      </c>
      <c r="F10734" s="1" t="s">
        <v>35018</v>
      </c>
      <c r="G10734" s="1" t="s">
        <v>8653</v>
      </c>
      <c r="H10734" s="1" t="s">
        <v>3604</v>
      </c>
      <c r="I10734" s="1" t="s">
        <v>35019</v>
      </c>
      <c r="J10734" s="1" t="s">
        <v>3606</v>
      </c>
      <c r="K10734" s="1" t="s">
        <v>35020</v>
      </c>
      <c r="L10734" s="1"/>
      <c r="M10734" s="1"/>
    </row>
    <row x14ac:dyDescent="0.25" r="10735" customHeight="1" ht="18.75">
      <c r="A10735" s="1" t="s">
        <v>3598</v>
      </c>
      <c r="B10735" s="1" t="s">
        <v>8651</v>
      </c>
      <c r="C10735" s="1" t="s">
        <v>3600</v>
      </c>
      <c r="D10735" s="1" t="s">
        <v>7994</v>
      </c>
      <c r="E10735" s="1" t="s">
        <v>3664</v>
      </c>
      <c r="F10735" s="1" t="s">
        <v>35021</v>
      </c>
      <c r="G10735" s="1" t="s">
        <v>8653</v>
      </c>
      <c r="H10735" s="1" t="s">
        <v>3604</v>
      </c>
      <c r="I10735" s="1" t="s">
        <v>35022</v>
      </c>
      <c r="J10735" s="1" t="s">
        <v>3606</v>
      </c>
      <c r="K10735" s="1" t="s">
        <v>35023</v>
      </c>
      <c r="L10735" s="1"/>
      <c r="M10735" s="1"/>
    </row>
    <row x14ac:dyDescent="0.25" r="10736" customHeight="1" ht="18.75">
      <c r="A10736" s="1" t="s">
        <v>3598</v>
      </c>
      <c r="B10736" s="1" t="s">
        <v>8651</v>
      </c>
      <c r="C10736" s="1" t="s">
        <v>3600</v>
      </c>
      <c r="D10736" s="1" t="s">
        <v>7994</v>
      </c>
      <c r="E10736" s="1" t="s">
        <v>3664</v>
      </c>
      <c r="F10736" s="1" t="s">
        <v>35024</v>
      </c>
      <c r="G10736" s="1" t="s">
        <v>8653</v>
      </c>
      <c r="H10736" s="1" t="s">
        <v>3604</v>
      </c>
      <c r="I10736" s="1" t="s">
        <v>35025</v>
      </c>
      <c r="J10736" s="1" t="s">
        <v>3606</v>
      </c>
      <c r="K10736" s="1" t="s">
        <v>35026</v>
      </c>
      <c r="L10736" s="1"/>
      <c r="M10736" s="1"/>
    </row>
    <row x14ac:dyDescent="0.25" r="10737" customHeight="1" ht="18.75">
      <c r="A10737" s="1" t="s">
        <v>3598</v>
      </c>
      <c r="B10737" s="1" t="s">
        <v>8651</v>
      </c>
      <c r="C10737" s="1" t="s">
        <v>3600</v>
      </c>
      <c r="D10737" s="1" t="s">
        <v>7994</v>
      </c>
      <c r="E10737" s="1" t="s">
        <v>3664</v>
      </c>
      <c r="F10737" s="1" t="s">
        <v>35027</v>
      </c>
      <c r="G10737" s="1" t="s">
        <v>8653</v>
      </c>
      <c r="H10737" s="1" t="s">
        <v>3604</v>
      </c>
      <c r="I10737" s="1" t="s">
        <v>35028</v>
      </c>
      <c r="J10737" s="1" t="s">
        <v>3606</v>
      </c>
      <c r="K10737" s="1" t="s">
        <v>35029</v>
      </c>
      <c r="L10737" s="1"/>
      <c r="M10737" s="1"/>
    </row>
    <row x14ac:dyDescent="0.25" r="10738" customHeight="1" ht="18.75">
      <c r="A10738" s="1" t="s">
        <v>3598</v>
      </c>
      <c r="B10738" s="1" t="s">
        <v>8651</v>
      </c>
      <c r="C10738" s="1" t="s">
        <v>3600</v>
      </c>
      <c r="D10738" s="1" t="s">
        <v>7994</v>
      </c>
      <c r="E10738" s="1" t="s">
        <v>3664</v>
      </c>
      <c r="F10738" s="1" t="s">
        <v>35030</v>
      </c>
      <c r="G10738" s="1" t="s">
        <v>8653</v>
      </c>
      <c r="H10738" s="1" t="s">
        <v>3604</v>
      </c>
      <c r="I10738" s="1" t="s">
        <v>35031</v>
      </c>
      <c r="J10738" s="1" t="s">
        <v>3606</v>
      </c>
      <c r="K10738" s="1" t="s">
        <v>35032</v>
      </c>
      <c r="L10738" s="1"/>
      <c r="M10738" s="1"/>
    </row>
    <row x14ac:dyDescent="0.25" r="10739" customHeight="1" ht="18.75">
      <c r="A10739" s="1" t="s">
        <v>3598</v>
      </c>
      <c r="B10739" s="1" t="s">
        <v>8651</v>
      </c>
      <c r="C10739" s="1" t="s">
        <v>3600</v>
      </c>
      <c r="D10739" s="1" t="s">
        <v>7994</v>
      </c>
      <c r="E10739" s="1" t="s">
        <v>3664</v>
      </c>
      <c r="F10739" s="1" t="s">
        <v>35033</v>
      </c>
      <c r="G10739" s="1" t="s">
        <v>8653</v>
      </c>
      <c r="H10739" s="1" t="s">
        <v>3604</v>
      </c>
      <c r="I10739" s="1" t="s">
        <v>35034</v>
      </c>
      <c r="J10739" s="1" t="s">
        <v>3606</v>
      </c>
      <c r="K10739" s="1" t="s">
        <v>35035</v>
      </c>
      <c r="L10739" s="1"/>
      <c r="M10739" s="1"/>
    </row>
    <row x14ac:dyDescent="0.25" r="10740" customHeight="1" ht="18.75">
      <c r="A10740" s="1" t="s">
        <v>3598</v>
      </c>
      <c r="B10740" s="1" t="s">
        <v>8651</v>
      </c>
      <c r="C10740" s="1" t="s">
        <v>3600</v>
      </c>
      <c r="D10740" s="1" t="s">
        <v>7994</v>
      </c>
      <c r="E10740" s="1" t="s">
        <v>3664</v>
      </c>
      <c r="F10740" s="1" t="s">
        <v>35036</v>
      </c>
      <c r="G10740" s="1" t="s">
        <v>8653</v>
      </c>
      <c r="H10740" s="1" t="s">
        <v>3604</v>
      </c>
      <c r="I10740" s="1" t="s">
        <v>35037</v>
      </c>
      <c r="J10740" s="1" t="s">
        <v>3606</v>
      </c>
      <c r="K10740" s="1" t="s">
        <v>35038</v>
      </c>
      <c r="L10740" s="1"/>
      <c r="M10740" s="1"/>
    </row>
    <row x14ac:dyDescent="0.25" r="10741" customHeight="1" ht="18.75">
      <c r="A10741" s="1" t="s">
        <v>3598</v>
      </c>
      <c r="B10741" s="1" t="s">
        <v>8651</v>
      </c>
      <c r="C10741" s="1" t="s">
        <v>3600</v>
      </c>
      <c r="D10741" s="1" t="s">
        <v>7994</v>
      </c>
      <c r="E10741" s="1" t="s">
        <v>3664</v>
      </c>
      <c r="F10741" s="1" t="s">
        <v>35039</v>
      </c>
      <c r="G10741" s="1" t="s">
        <v>8653</v>
      </c>
      <c r="H10741" s="1" t="s">
        <v>3604</v>
      </c>
      <c r="I10741" s="1" t="s">
        <v>35040</v>
      </c>
      <c r="J10741" s="1" t="s">
        <v>3606</v>
      </c>
      <c r="K10741" s="1" t="s">
        <v>35041</v>
      </c>
      <c r="L10741" s="1"/>
      <c r="M10741" s="1"/>
    </row>
    <row x14ac:dyDescent="0.25" r="10742" customHeight="1" ht="18.75">
      <c r="A10742" s="1" t="s">
        <v>3598</v>
      </c>
      <c r="B10742" s="1" t="s">
        <v>29574</v>
      </c>
      <c r="C10742" s="1" t="s">
        <v>3600</v>
      </c>
      <c r="D10742" s="1" t="s">
        <v>3601</v>
      </c>
      <c r="E10742" s="1" t="s">
        <v>3664</v>
      </c>
      <c r="F10742" s="1" t="s">
        <v>35042</v>
      </c>
      <c r="G10742" s="1" t="s">
        <v>34570</v>
      </c>
      <c r="H10742" s="1" t="s">
        <v>3604</v>
      </c>
      <c r="I10742" s="1" t="s">
        <v>35043</v>
      </c>
      <c r="J10742" s="1" t="s">
        <v>3606</v>
      </c>
      <c r="K10742" s="1" t="s">
        <v>35044</v>
      </c>
      <c r="L10742" s="1"/>
      <c r="M10742" s="1"/>
    </row>
    <row x14ac:dyDescent="0.25" r="10743" customHeight="1" ht="18.75">
      <c r="A10743" s="1" t="s">
        <v>3598</v>
      </c>
      <c r="B10743" s="1" t="s">
        <v>29574</v>
      </c>
      <c r="C10743" s="1" t="s">
        <v>3600</v>
      </c>
      <c r="D10743" s="1" t="s">
        <v>3601</v>
      </c>
      <c r="E10743" s="1" t="s">
        <v>3664</v>
      </c>
      <c r="F10743" s="1" t="s">
        <v>35045</v>
      </c>
      <c r="G10743" s="1" t="s">
        <v>34570</v>
      </c>
      <c r="H10743" s="1" t="s">
        <v>3604</v>
      </c>
      <c r="I10743" s="1" t="s">
        <v>35046</v>
      </c>
      <c r="J10743" s="1" t="s">
        <v>3606</v>
      </c>
      <c r="K10743" s="1" t="s">
        <v>35047</v>
      </c>
      <c r="L10743" s="1"/>
      <c r="M10743" s="1"/>
    </row>
    <row x14ac:dyDescent="0.25" r="10744" customHeight="1" ht="18.75">
      <c r="A10744" s="1" t="s">
        <v>3598</v>
      </c>
      <c r="B10744" s="1" t="s">
        <v>14108</v>
      </c>
      <c r="C10744" s="1" t="s">
        <v>3600</v>
      </c>
      <c r="D10744" s="1" t="s">
        <v>3601</v>
      </c>
      <c r="E10744" s="1" t="s">
        <v>3664</v>
      </c>
      <c r="F10744" s="1" t="s">
        <v>35048</v>
      </c>
      <c r="G10744" s="1" t="s">
        <v>30661</v>
      </c>
      <c r="H10744" s="1" t="s">
        <v>3604</v>
      </c>
      <c r="I10744" s="1" t="s">
        <v>35049</v>
      </c>
      <c r="J10744" s="1" t="s">
        <v>3606</v>
      </c>
      <c r="K10744" s="1" t="s">
        <v>35050</v>
      </c>
      <c r="L10744" s="1"/>
      <c r="M10744" s="1"/>
    </row>
    <row x14ac:dyDescent="0.25" r="10745" customHeight="1" ht="18.75">
      <c r="A10745" s="1" t="s">
        <v>3598</v>
      </c>
      <c r="B10745" s="1" t="s">
        <v>14108</v>
      </c>
      <c r="C10745" s="1" t="s">
        <v>3600</v>
      </c>
      <c r="D10745" s="1" t="s">
        <v>3601</v>
      </c>
      <c r="E10745" s="1" t="s">
        <v>3664</v>
      </c>
      <c r="F10745" s="1" t="s">
        <v>35051</v>
      </c>
      <c r="G10745" s="1" t="s">
        <v>30661</v>
      </c>
      <c r="H10745" s="1" t="s">
        <v>3604</v>
      </c>
      <c r="I10745" s="1" t="s">
        <v>35052</v>
      </c>
      <c r="J10745" s="1" t="s">
        <v>3606</v>
      </c>
      <c r="K10745" s="1" t="s">
        <v>35053</v>
      </c>
      <c r="L10745" s="1"/>
      <c r="M10745" s="1"/>
    </row>
    <row x14ac:dyDescent="0.25" r="10746" customHeight="1" ht="18.75">
      <c r="A10746" s="1" t="s">
        <v>3598</v>
      </c>
      <c r="B10746" s="1" t="s">
        <v>14119</v>
      </c>
      <c r="C10746" s="1" t="s">
        <v>3600</v>
      </c>
      <c r="D10746" s="1" t="s">
        <v>3601</v>
      </c>
      <c r="E10746" s="1" t="s">
        <v>3664</v>
      </c>
      <c r="F10746" s="1" t="s">
        <v>35054</v>
      </c>
      <c r="G10746" s="1" t="s">
        <v>34570</v>
      </c>
      <c r="H10746" s="1" t="s">
        <v>3604</v>
      </c>
      <c r="I10746" s="1" t="s">
        <v>35055</v>
      </c>
      <c r="J10746" s="1" t="s">
        <v>3606</v>
      </c>
      <c r="K10746" s="1" t="s">
        <v>35056</v>
      </c>
      <c r="L10746" s="1"/>
      <c r="M10746" s="1"/>
    </row>
    <row x14ac:dyDescent="0.25" r="10747" customHeight="1" ht="18.75">
      <c r="A10747" s="1" t="s">
        <v>3598</v>
      </c>
      <c r="B10747" s="1" t="s">
        <v>14119</v>
      </c>
      <c r="C10747" s="1" t="s">
        <v>3600</v>
      </c>
      <c r="D10747" s="1" t="s">
        <v>3601</v>
      </c>
      <c r="E10747" s="1" t="s">
        <v>3664</v>
      </c>
      <c r="F10747" s="1" t="s">
        <v>35057</v>
      </c>
      <c r="G10747" s="1" t="s">
        <v>34570</v>
      </c>
      <c r="H10747" s="1" t="s">
        <v>3604</v>
      </c>
      <c r="I10747" s="1" t="s">
        <v>35058</v>
      </c>
      <c r="J10747" s="1" t="s">
        <v>3606</v>
      </c>
      <c r="K10747" s="1" t="s">
        <v>35059</v>
      </c>
      <c r="L10747" s="1"/>
      <c r="M10747" s="1"/>
    </row>
    <row x14ac:dyDescent="0.25" r="10748" customHeight="1" ht="18.75">
      <c r="A10748" s="1" t="s">
        <v>3598</v>
      </c>
      <c r="B10748" s="1" t="s">
        <v>15557</v>
      </c>
      <c r="C10748" s="1" t="s">
        <v>3600</v>
      </c>
      <c r="D10748" s="1" t="s">
        <v>3601</v>
      </c>
      <c r="E10748" s="1" t="s">
        <v>3664</v>
      </c>
      <c r="F10748" s="1" t="s">
        <v>35060</v>
      </c>
      <c r="G10748" s="1" t="s">
        <v>30661</v>
      </c>
      <c r="H10748" s="1" t="s">
        <v>3604</v>
      </c>
      <c r="I10748" s="1" t="s">
        <v>35061</v>
      </c>
      <c r="J10748" s="1" t="s">
        <v>3606</v>
      </c>
      <c r="K10748" s="1" t="s">
        <v>35062</v>
      </c>
      <c r="L10748" s="1"/>
      <c r="M10748" s="1"/>
    </row>
    <row x14ac:dyDescent="0.25" r="10749" customHeight="1" ht="18.75">
      <c r="A10749" s="1" t="s">
        <v>3598</v>
      </c>
      <c r="B10749" s="1" t="s">
        <v>15557</v>
      </c>
      <c r="C10749" s="1" t="s">
        <v>3600</v>
      </c>
      <c r="D10749" s="1" t="s">
        <v>3601</v>
      </c>
      <c r="E10749" s="1" t="s">
        <v>3664</v>
      </c>
      <c r="F10749" s="1" t="s">
        <v>35063</v>
      </c>
      <c r="G10749" s="1" t="s">
        <v>30661</v>
      </c>
      <c r="H10749" s="1" t="s">
        <v>3604</v>
      </c>
      <c r="I10749" s="1" t="s">
        <v>35064</v>
      </c>
      <c r="J10749" s="1" t="s">
        <v>3606</v>
      </c>
      <c r="K10749" s="1" t="s">
        <v>35065</v>
      </c>
      <c r="L10749" s="1"/>
      <c r="M10749" s="1"/>
    </row>
    <row x14ac:dyDescent="0.25" r="10750" customHeight="1" ht="18.75">
      <c r="A10750" s="1" t="s">
        <v>3598</v>
      </c>
      <c r="B10750" s="1" t="s">
        <v>3778</v>
      </c>
      <c r="C10750" s="1" t="s">
        <v>3600</v>
      </c>
      <c r="D10750" s="1" t="s">
        <v>533</v>
      </c>
      <c r="E10750" s="1" t="s">
        <v>3779</v>
      </c>
      <c r="F10750" s="1" t="s">
        <v>35066</v>
      </c>
      <c r="G10750" s="1" t="s">
        <v>9056</v>
      </c>
      <c r="H10750" s="1" t="s">
        <v>3604</v>
      </c>
      <c r="I10750" s="1" t="s">
        <v>35067</v>
      </c>
      <c r="J10750" s="1" t="s">
        <v>3615</v>
      </c>
      <c r="K10750" s="1" t="s">
        <v>35068</v>
      </c>
      <c r="L10750" s="1"/>
      <c r="M10750" s="1"/>
    </row>
    <row x14ac:dyDescent="0.25" r="10751" customHeight="1" ht="18.75">
      <c r="A10751" s="1" t="s">
        <v>3598</v>
      </c>
      <c r="B10751" s="1" t="s">
        <v>8191</v>
      </c>
      <c r="C10751" s="1" t="s">
        <v>3600</v>
      </c>
      <c r="D10751" s="1" t="s">
        <v>533</v>
      </c>
      <c r="E10751" s="1" t="s">
        <v>3611</v>
      </c>
      <c r="F10751" s="1" t="s">
        <v>35069</v>
      </c>
      <c r="G10751" s="1" t="s">
        <v>29596</v>
      </c>
      <c r="H10751" s="1" t="s">
        <v>3604</v>
      </c>
      <c r="I10751" s="1" t="s">
        <v>35070</v>
      </c>
      <c r="J10751" s="1" t="s">
        <v>3615</v>
      </c>
      <c r="K10751" s="1" t="s">
        <v>25609</v>
      </c>
      <c r="L10751" s="1"/>
      <c r="M10751" s="1"/>
    </row>
    <row x14ac:dyDescent="0.25" r="10752" customHeight="1" ht="18.75">
      <c r="A10752" s="1" t="s">
        <v>3598</v>
      </c>
      <c r="B10752" s="1" t="s">
        <v>6954</v>
      </c>
      <c r="C10752" s="1" t="s">
        <v>3600</v>
      </c>
      <c r="D10752" s="1" t="s">
        <v>533</v>
      </c>
      <c r="E10752" s="1" t="s">
        <v>3611</v>
      </c>
      <c r="F10752" s="1" t="s">
        <v>35071</v>
      </c>
      <c r="G10752" s="1" t="s">
        <v>14139</v>
      </c>
      <c r="H10752" s="1" t="s">
        <v>3604</v>
      </c>
      <c r="I10752" s="1" t="s">
        <v>35072</v>
      </c>
      <c r="J10752" s="1" t="s">
        <v>3615</v>
      </c>
      <c r="K10752" s="1" t="s">
        <v>35073</v>
      </c>
      <c r="L10752" s="1"/>
      <c r="M10752" s="1"/>
    </row>
    <row x14ac:dyDescent="0.25" r="10753" customHeight="1" ht="18.75">
      <c r="A10753" s="1" t="s">
        <v>3598</v>
      </c>
      <c r="B10753" s="1" t="s">
        <v>6954</v>
      </c>
      <c r="C10753" s="1" t="s">
        <v>3600</v>
      </c>
      <c r="D10753" s="1" t="s">
        <v>533</v>
      </c>
      <c r="E10753" s="1" t="s">
        <v>3611</v>
      </c>
      <c r="F10753" s="1" t="s">
        <v>35074</v>
      </c>
      <c r="G10753" s="1" t="s">
        <v>35075</v>
      </c>
      <c r="H10753" s="1" t="s">
        <v>3604</v>
      </c>
      <c r="I10753" s="1" t="s">
        <v>35076</v>
      </c>
      <c r="J10753" s="1" t="s">
        <v>3615</v>
      </c>
      <c r="K10753" s="1" t="s">
        <v>35077</v>
      </c>
      <c r="L10753" s="1"/>
      <c r="M10753" s="1"/>
    </row>
    <row x14ac:dyDescent="0.25" r="10754" customHeight="1" ht="18.75">
      <c r="A10754" s="1" t="s">
        <v>3598</v>
      </c>
      <c r="B10754" s="1" t="s">
        <v>19909</v>
      </c>
      <c r="C10754" s="1" t="s">
        <v>3600</v>
      </c>
      <c r="D10754" s="1" t="s">
        <v>533</v>
      </c>
      <c r="E10754" s="1" t="s">
        <v>3611</v>
      </c>
      <c r="F10754" s="1" t="s">
        <v>35078</v>
      </c>
      <c r="G10754" s="1" t="s">
        <v>19911</v>
      </c>
      <c r="H10754" s="1" t="s">
        <v>3604</v>
      </c>
      <c r="I10754" s="1" t="s">
        <v>35079</v>
      </c>
      <c r="J10754" s="1" t="s">
        <v>3615</v>
      </c>
      <c r="K10754" s="1" t="s">
        <v>34843</v>
      </c>
      <c r="L10754" s="1"/>
      <c r="M10754" s="1"/>
    </row>
    <row x14ac:dyDescent="0.25" r="10755" customHeight="1" ht="18.75">
      <c r="A10755" s="1" t="s">
        <v>3598</v>
      </c>
      <c r="B10755" s="1" t="s">
        <v>17075</v>
      </c>
      <c r="C10755" s="1" t="s">
        <v>3600</v>
      </c>
      <c r="D10755" s="1" t="s">
        <v>533</v>
      </c>
      <c r="E10755" s="1" t="s">
        <v>3611</v>
      </c>
      <c r="F10755" s="1" t="s">
        <v>35080</v>
      </c>
      <c r="G10755" s="1" t="s">
        <v>35081</v>
      </c>
      <c r="H10755" s="1" t="s">
        <v>3604</v>
      </c>
      <c r="I10755" s="1" t="s">
        <v>35082</v>
      </c>
      <c r="J10755" s="1" t="s">
        <v>3615</v>
      </c>
      <c r="K10755" s="1" t="s">
        <v>34843</v>
      </c>
      <c r="L10755" s="1"/>
      <c r="M10755" s="1"/>
    </row>
    <row x14ac:dyDescent="0.25" r="10756" customHeight="1" ht="18.75">
      <c r="A10756" s="1" t="s">
        <v>3598</v>
      </c>
      <c r="B10756" s="1" t="s">
        <v>17075</v>
      </c>
      <c r="C10756" s="1" t="s">
        <v>3600</v>
      </c>
      <c r="D10756" s="1" t="s">
        <v>533</v>
      </c>
      <c r="E10756" s="1" t="s">
        <v>3611</v>
      </c>
      <c r="F10756" s="1" t="s">
        <v>35083</v>
      </c>
      <c r="G10756" s="1" t="s">
        <v>35084</v>
      </c>
      <c r="H10756" s="1" t="s">
        <v>3604</v>
      </c>
      <c r="I10756" s="1" t="s">
        <v>35085</v>
      </c>
      <c r="J10756" s="1" t="s">
        <v>3615</v>
      </c>
      <c r="K10756" s="1" t="s">
        <v>34901</v>
      </c>
      <c r="L10756" s="1"/>
      <c r="M10756" s="1"/>
    </row>
    <row x14ac:dyDescent="0.25" r="10757" customHeight="1" ht="18.75">
      <c r="A10757" s="1" t="s">
        <v>3598</v>
      </c>
      <c r="B10757" s="1" t="s">
        <v>6954</v>
      </c>
      <c r="C10757" s="1" t="s">
        <v>3600</v>
      </c>
      <c r="D10757" s="1" t="s">
        <v>533</v>
      </c>
      <c r="E10757" s="1" t="s">
        <v>3611</v>
      </c>
      <c r="F10757" s="1" t="s">
        <v>35086</v>
      </c>
      <c r="G10757" s="1" t="s">
        <v>29973</v>
      </c>
      <c r="H10757" s="1" t="s">
        <v>3604</v>
      </c>
      <c r="I10757" s="1" t="s">
        <v>35087</v>
      </c>
      <c r="J10757" s="1" t="s">
        <v>3615</v>
      </c>
      <c r="K10757" s="1" t="s">
        <v>35088</v>
      </c>
      <c r="L10757" s="1"/>
      <c r="M10757" s="1"/>
    </row>
    <row x14ac:dyDescent="0.25" r="10758" customHeight="1" ht="18.75">
      <c r="A10758" s="1" t="s">
        <v>3598</v>
      </c>
      <c r="B10758" s="1" t="s">
        <v>6954</v>
      </c>
      <c r="C10758" s="1" t="s">
        <v>3600</v>
      </c>
      <c r="D10758" s="1" t="s">
        <v>533</v>
      </c>
      <c r="E10758" s="1" t="s">
        <v>3611</v>
      </c>
      <c r="F10758" s="1" t="s">
        <v>35089</v>
      </c>
      <c r="G10758" s="1" t="s">
        <v>19612</v>
      </c>
      <c r="H10758" s="1" t="s">
        <v>3604</v>
      </c>
      <c r="I10758" s="1" t="s">
        <v>35090</v>
      </c>
      <c r="J10758" s="1" t="s">
        <v>3615</v>
      </c>
      <c r="K10758" s="1" t="s">
        <v>35091</v>
      </c>
      <c r="L10758" s="1"/>
      <c r="M10758" s="1"/>
    </row>
    <row x14ac:dyDescent="0.25" r="10759" customHeight="1" ht="18.75">
      <c r="A10759" s="1" t="s">
        <v>3598</v>
      </c>
      <c r="B10759" s="1" t="s">
        <v>6954</v>
      </c>
      <c r="C10759" s="1" t="s">
        <v>3600</v>
      </c>
      <c r="D10759" s="1" t="s">
        <v>3610</v>
      </c>
      <c r="E10759" s="1" t="s">
        <v>3611</v>
      </c>
      <c r="F10759" s="1" t="s">
        <v>35092</v>
      </c>
      <c r="G10759" s="1" t="s">
        <v>29973</v>
      </c>
      <c r="H10759" s="1" t="s">
        <v>3604</v>
      </c>
      <c r="I10759" s="1" t="s">
        <v>35093</v>
      </c>
      <c r="J10759" s="1" t="s">
        <v>3615</v>
      </c>
      <c r="K10759" s="1" t="s">
        <v>35094</v>
      </c>
      <c r="L10759" s="1"/>
      <c r="M10759" s="1"/>
    </row>
    <row x14ac:dyDescent="0.25" r="10760" customHeight="1" ht="18.75">
      <c r="A10760" s="1" t="s">
        <v>3598</v>
      </c>
      <c r="B10760" s="1" t="s">
        <v>6954</v>
      </c>
      <c r="C10760" s="1" t="s">
        <v>3600</v>
      </c>
      <c r="D10760" s="1" t="s">
        <v>3610</v>
      </c>
      <c r="E10760" s="1" t="s">
        <v>3611</v>
      </c>
      <c r="F10760" s="1" t="s">
        <v>35095</v>
      </c>
      <c r="G10760" s="1" t="s">
        <v>29973</v>
      </c>
      <c r="H10760" s="1" t="s">
        <v>3604</v>
      </c>
      <c r="I10760" s="1" t="s">
        <v>35096</v>
      </c>
      <c r="J10760" s="1" t="s">
        <v>3615</v>
      </c>
      <c r="K10760" s="1" t="s">
        <v>35097</v>
      </c>
      <c r="L10760" s="1"/>
      <c r="M10760" s="1"/>
    </row>
    <row x14ac:dyDescent="0.25" r="10761" customHeight="1" ht="18.75">
      <c r="A10761" s="1" t="s">
        <v>3598</v>
      </c>
      <c r="B10761" s="1" t="s">
        <v>3778</v>
      </c>
      <c r="C10761" s="1" t="s">
        <v>3600</v>
      </c>
      <c r="D10761" s="1" t="s">
        <v>533</v>
      </c>
      <c r="E10761" s="1" t="s">
        <v>3779</v>
      </c>
      <c r="F10761" s="1" t="s">
        <v>35098</v>
      </c>
      <c r="G10761" s="1" t="s">
        <v>35099</v>
      </c>
      <c r="H10761" s="1" t="s">
        <v>3604</v>
      </c>
      <c r="I10761" s="1" t="s">
        <v>35100</v>
      </c>
      <c r="J10761" s="1" t="s">
        <v>3615</v>
      </c>
      <c r="K10761" s="1" t="s">
        <v>35101</v>
      </c>
      <c r="L10761" s="1"/>
      <c r="M10761" s="1"/>
    </row>
    <row x14ac:dyDescent="0.25" r="10762" customHeight="1" ht="18.75">
      <c r="A10762" s="1" t="s">
        <v>3598</v>
      </c>
      <c r="B10762" s="1" t="s">
        <v>15557</v>
      </c>
      <c r="C10762" s="1" t="s">
        <v>3600</v>
      </c>
      <c r="D10762" s="1" t="s">
        <v>28428</v>
      </c>
      <c r="E10762" s="1" t="s">
        <v>3664</v>
      </c>
      <c r="F10762" s="1" t="s">
        <v>35102</v>
      </c>
      <c r="G10762" s="1" t="s">
        <v>15566</v>
      </c>
      <c r="H10762" s="1" t="s">
        <v>3604</v>
      </c>
      <c r="I10762" s="1" t="s">
        <v>35103</v>
      </c>
      <c r="J10762" s="1" t="s">
        <v>3615</v>
      </c>
      <c r="K10762" s="1" t="s">
        <v>35104</v>
      </c>
      <c r="L10762" s="1"/>
      <c r="M10762" s="1"/>
    </row>
    <row x14ac:dyDescent="0.25" r="10763" customHeight="1" ht="18.75">
      <c r="A10763" s="1" t="s">
        <v>3598</v>
      </c>
      <c r="B10763" s="1" t="s">
        <v>4781</v>
      </c>
      <c r="C10763" s="1" t="s">
        <v>3600</v>
      </c>
      <c r="D10763" s="1" t="s">
        <v>28428</v>
      </c>
      <c r="E10763" s="1" t="s">
        <v>3664</v>
      </c>
      <c r="F10763" s="1" t="s">
        <v>35105</v>
      </c>
      <c r="G10763" s="1" t="s">
        <v>18224</v>
      </c>
      <c r="H10763" s="1" t="s">
        <v>3604</v>
      </c>
      <c r="I10763" s="1" t="s">
        <v>35106</v>
      </c>
      <c r="J10763" s="1" t="s">
        <v>3615</v>
      </c>
      <c r="K10763" s="1" t="s">
        <v>35107</v>
      </c>
      <c r="L10763" s="1"/>
      <c r="M10763" s="1"/>
    </row>
    <row x14ac:dyDescent="0.25" r="10764" customHeight="1" ht="18.75">
      <c r="A10764" s="1" t="s">
        <v>3598</v>
      </c>
      <c r="B10764" s="1" t="s">
        <v>9116</v>
      </c>
      <c r="C10764" s="1" t="s">
        <v>3600</v>
      </c>
      <c r="D10764" s="1" t="s">
        <v>28428</v>
      </c>
      <c r="E10764" s="1" t="s">
        <v>3664</v>
      </c>
      <c r="F10764" s="1" t="s">
        <v>35108</v>
      </c>
      <c r="G10764" s="1" t="s">
        <v>9118</v>
      </c>
      <c r="H10764" s="1" t="s">
        <v>3604</v>
      </c>
      <c r="I10764" s="1" t="s">
        <v>35109</v>
      </c>
      <c r="J10764" s="1" t="s">
        <v>3615</v>
      </c>
      <c r="K10764" s="1" t="s">
        <v>35110</v>
      </c>
      <c r="L10764" s="1"/>
      <c r="M10764" s="1"/>
    </row>
    <row x14ac:dyDescent="0.25" r="10765" customHeight="1" ht="18.75">
      <c r="A10765" s="1" t="s">
        <v>3598</v>
      </c>
      <c r="B10765" s="1" t="s">
        <v>18066</v>
      </c>
      <c r="C10765" s="1" t="s">
        <v>3600</v>
      </c>
      <c r="D10765" s="1" t="s">
        <v>28428</v>
      </c>
      <c r="E10765" s="1" t="s">
        <v>3664</v>
      </c>
      <c r="F10765" s="1" t="s">
        <v>35111</v>
      </c>
      <c r="G10765" s="1" t="s">
        <v>18068</v>
      </c>
      <c r="H10765" s="1" t="s">
        <v>3604</v>
      </c>
      <c r="I10765" s="1" t="s">
        <v>35112</v>
      </c>
      <c r="J10765" s="1" t="s">
        <v>3615</v>
      </c>
      <c r="K10765" s="1" t="s">
        <v>35113</v>
      </c>
      <c r="L10765" s="1"/>
      <c r="M10765" s="1"/>
    </row>
    <row x14ac:dyDescent="0.25" r="10766" customHeight="1" ht="18.75">
      <c r="A10766" s="1" t="s">
        <v>3598</v>
      </c>
      <c r="B10766" s="1" t="s">
        <v>14119</v>
      </c>
      <c r="C10766" s="1" t="s">
        <v>3600</v>
      </c>
      <c r="D10766" s="1" t="s">
        <v>28428</v>
      </c>
      <c r="E10766" s="1" t="s">
        <v>3664</v>
      </c>
      <c r="F10766" s="1" t="s">
        <v>35114</v>
      </c>
      <c r="G10766" s="1" t="s">
        <v>18054</v>
      </c>
      <c r="H10766" s="1" t="s">
        <v>3604</v>
      </c>
      <c r="I10766" s="1" t="s">
        <v>35115</v>
      </c>
      <c r="J10766" s="1" t="s">
        <v>3615</v>
      </c>
      <c r="K10766" s="1" t="s">
        <v>35116</v>
      </c>
      <c r="L10766" s="1"/>
      <c r="M10766" s="1"/>
    </row>
    <row x14ac:dyDescent="0.25" r="10767" customHeight="1" ht="18.75">
      <c r="A10767" s="1" t="s">
        <v>3598</v>
      </c>
      <c r="B10767" s="1" t="s">
        <v>18066</v>
      </c>
      <c r="C10767" s="1" t="s">
        <v>3600</v>
      </c>
      <c r="D10767" s="1" t="s">
        <v>3601</v>
      </c>
      <c r="E10767" s="1" t="s">
        <v>3664</v>
      </c>
      <c r="F10767" s="1" t="s">
        <v>35117</v>
      </c>
      <c r="G10767" s="1" t="s">
        <v>18068</v>
      </c>
      <c r="H10767" s="1" t="s">
        <v>3604</v>
      </c>
      <c r="I10767" s="1" t="s">
        <v>35118</v>
      </c>
      <c r="J10767" s="1" t="s">
        <v>3615</v>
      </c>
      <c r="K10767" s="1" t="s">
        <v>35119</v>
      </c>
      <c r="L10767" s="1"/>
      <c r="M10767" s="1"/>
    </row>
    <row x14ac:dyDescent="0.25" r="10768" customHeight="1" ht="18.75">
      <c r="A10768" s="1" t="s">
        <v>3598</v>
      </c>
      <c r="B10768" s="1" t="s">
        <v>14054</v>
      </c>
      <c r="C10768" s="1" t="s">
        <v>3600</v>
      </c>
      <c r="D10768" s="1" t="s">
        <v>3601</v>
      </c>
      <c r="E10768" s="1" t="s">
        <v>3664</v>
      </c>
      <c r="F10768" s="1" t="s">
        <v>35120</v>
      </c>
      <c r="G10768" s="1" t="s">
        <v>32671</v>
      </c>
      <c r="H10768" s="1" t="s">
        <v>3604</v>
      </c>
      <c r="I10768" s="1" t="s">
        <v>35121</v>
      </c>
      <c r="J10768" s="1" t="s">
        <v>3615</v>
      </c>
      <c r="K10768" s="1" t="s">
        <v>35122</v>
      </c>
      <c r="L10768" s="1"/>
      <c r="M10768" s="1"/>
    </row>
    <row x14ac:dyDescent="0.25" r="10769" customHeight="1" ht="18.75">
      <c r="A10769" s="1" t="s">
        <v>3598</v>
      </c>
      <c r="B10769" s="1" t="s">
        <v>6954</v>
      </c>
      <c r="C10769" s="1" t="s">
        <v>3600</v>
      </c>
      <c r="D10769" s="1" t="s">
        <v>3610</v>
      </c>
      <c r="E10769" s="1" t="s">
        <v>3611</v>
      </c>
      <c r="F10769" s="1" t="s">
        <v>35123</v>
      </c>
      <c r="G10769" s="1" t="s">
        <v>19612</v>
      </c>
      <c r="H10769" s="1" t="s">
        <v>3604</v>
      </c>
      <c r="I10769" s="1" t="s">
        <v>35124</v>
      </c>
      <c r="J10769" s="1" t="s">
        <v>3615</v>
      </c>
      <c r="K10769" s="1" t="s">
        <v>35125</v>
      </c>
      <c r="L10769" s="1"/>
      <c r="M10769" s="1"/>
    </row>
    <row x14ac:dyDescent="0.25" r="10770" customHeight="1" ht="18.75">
      <c r="A10770" s="1" t="s">
        <v>3598</v>
      </c>
      <c r="B10770" s="1" t="s">
        <v>6954</v>
      </c>
      <c r="C10770" s="1" t="s">
        <v>3600</v>
      </c>
      <c r="D10770" s="1" t="s">
        <v>3610</v>
      </c>
      <c r="E10770" s="1" t="s">
        <v>3611</v>
      </c>
      <c r="F10770" s="1" t="s">
        <v>35126</v>
      </c>
      <c r="G10770" s="1" t="s">
        <v>19612</v>
      </c>
      <c r="H10770" s="1" t="s">
        <v>3604</v>
      </c>
      <c r="I10770" s="1" t="s">
        <v>35127</v>
      </c>
      <c r="J10770" s="1" t="s">
        <v>3615</v>
      </c>
      <c r="K10770" s="1" t="s">
        <v>35128</v>
      </c>
      <c r="L10770" s="1"/>
      <c r="M10770" s="1"/>
    </row>
    <row x14ac:dyDescent="0.25" r="10771" customHeight="1" ht="18.75">
      <c r="A10771" s="1" t="s">
        <v>3598</v>
      </c>
      <c r="B10771" s="1" t="s">
        <v>6954</v>
      </c>
      <c r="C10771" s="1" t="s">
        <v>3600</v>
      </c>
      <c r="D10771" s="1" t="s">
        <v>3695</v>
      </c>
      <c r="E10771" s="1" t="s">
        <v>3611</v>
      </c>
      <c r="F10771" s="1" t="s">
        <v>35129</v>
      </c>
      <c r="G10771" s="1" t="s">
        <v>29973</v>
      </c>
      <c r="H10771" s="1" t="s">
        <v>3604</v>
      </c>
      <c r="I10771" s="1" t="s">
        <v>35130</v>
      </c>
      <c r="J10771" s="1" t="s">
        <v>3615</v>
      </c>
      <c r="K10771" s="1" t="s">
        <v>35131</v>
      </c>
      <c r="L10771" s="1"/>
      <c r="M10771" s="1"/>
    </row>
    <row x14ac:dyDescent="0.25" r="10772" customHeight="1" ht="18.75">
      <c r="A10772" s="1" t="s">
        <v>3598</v>
      </c>
      <c r="B10772" s="1" t="s">
        <v>6954</v>
      </c>
      <c r="C10772" s="1" t="s">
        <v>3600</v>
      </c>
      <c r="D10772" s="1" t="s">
        <v>3695</v>
      </c>
      <c r="E10772" s="1" t="s">
        <v>3611</v>
      </c>
      <c r="F10772" s="1" t="s">
        <v>35132</v>
      </c>
      <c r="G10772" s="1" t="s">
        <v>29973</v>
      </c>
      <c r="H10772" s="1" t="s">
        <v>3604</v>
      </c>
      <c r="I10772" s="1" t="s">
        <v>35133</v>
      </c>
      <c r="J10772" s="1" t="s">
        <v>3615</v>
      </c>
      <c r="K10772" s="1" t="s">
        <v>35134</v>
      </c>
      <c r="L10772" s="1"/>
      <c r="M10772" s="1"/>
    </row>
    <row x14ac:dyDescent="0.25" r="10773" customHeight="1" ht="18.75">
      <c r="A10773" s="1" t="s">
        <v>3598</v>
      </c>
      <c r="B10773" s="1" t="s">
        <v>6954</v>
      </c>
      <c r="C10773" s="1" t="s">
        <v>3600</v>
      </c>
      <c r="D10773" s="1" t="s">
        <v>3695</v>
      </c>
      <c r="E10773" s="1" t="s">
        <v>3611</v>
      </c>
      <c r="F10773" s="1" t="s">
        <v>35135</v>
      </c>
      <c r="G10773" s="1" t="s">
        <v>29973</v>
      </c>
      <c r="H10773" s="1" t="s">
        <v>3604</v>
      </c>
      <c r="I10773" s="1" t="s">
        <v>35136</v>
      </c>
      <c r="J10773" s="1" t="s">
        <v>3615</v>
      </c>
      <c r="K10773" s="1" t="s">
        <v>35137</v>
      </c>
      <c r="L10773" s="1"/>
      <c r="M10773" s="1"/>
    </row>
    <row x14ac:dyDescent="0.25" r="10774" customHeight="1" ht="18.75">
      <c r="A10774" s="1" t="s">
        <v>3598</v>
      </c>
      <c r="B10774" s="1" t="s">
        <v>6954</v>
      </c>
      <c r="C10774" s="1" t="s">
        <v>3600</v>
      </c>
      <c r="D10774" s="1" t="s">
        <v>3695</v>
      </c>
      <c r="E10774" s="1" t="s">
        <v>3611</v>
      </c>
      <c r="F10774" s="1" t="s">
        <v>35138</v>
      </c>
      <c r="G10774" s="1" t="s">
        <v>19612</v>
      </c>
      <c r="H10774" s="1" t="s">
        <v>3604</v>
      </c>
      <c r="I10774" s="1" t="s">
        <v>35139</v>
      </c>
      <c r="J10774" s="1" t="s">
        <v>3615</v>
      </c>
      <c r="K10774" s="1" t="s">
        <v>35140</v>
      </c>
      <c r="L10774" s="1"/>
      <c r="M10774" s="1"/>
    </row>
    <row x14ac:dyDescent="0.25" r="10775" customHeight="1" ht="18.75">
      <c r="A10775" s="1" t="s">
        <v>3598</v>
      </c>
      <c r="B10775" s="1" t="s">
        <v>6954</v>
      </c>
      <c r="C10775" s="1" t="s">
        <v>3600</v>
      </c>
      <c r="D10775" s="1" t="s">
        <v>3695</v>
      </c>
      <c r="E10775" s="1" t="s">
        <v>3611</v>
      </c>
      <c r="F10775" s="1" t="s">
        <v>35141</v>
      </c>
      <c r="G10775" s="1" t="s">
        <v>19612</v>
      </c>
      <c r="H10775" s="1" t="s">
        <v>3604</v>
      </c>
      <c r="I10775" s="1" t="s">
        <v>35142</v>
      </c>
      <c r="J10775" s="1" t="s">
        <v>3615</v>
      </c>
      <c r="K10775" s="1" t="s">
        <v>35143</v>
      </c>
      <c r="L10775" s="1"/>
      <c r="M10775" s="1"/>
    </row>
    <row x14ac:dyDescent="0.25" r="10776" customHeight="1" ht="18.75">
      <c r="A10776" s="1" t="s">
        <v>3598</v>
      </c>
      <c r="B10776" s="1" t="s">
        <v>6954</v>
      </c>
      <c r="C10776" s="1" t="s">
        <v>3600</v>
      </c>
      <c r="D10776" s="1" t="s">
        <v>3695</v>
      </c>
      <c r="E10776" s="1" t="s">
        <v>3611</v>
      </c>
      <c r="F10776" s="1" t="s">
        <v>35144</v>
      </c>
      <c r="G10776" s="1" t="s">
        <v>19612</v>
      </c>
      <c r="H10776" s="1" t="s">
        <v>3604</v>
      </c>
      <c r="I10776" s="1" t="s">
        <v>35145</v>
      </c>
      <c r="J10776" s="1" t="s">
        <v>3615</v>
      </c>
      <c r="K10776" s="1" t="s">
        <v>35146</v>
      </c>
      <c r="L10776" s="1"/>
      <c r="M10776" s="1"/>
    </row>
    <row x14ac:dyDescent="0.25" r="10777" customHeight="1" ht="18.75">
      <c r="A10777" s="1" t="s">
        <v>3598</v>
      </c>
      <c r="B10777" s="1" t="s">
        <v>6954</v>
      </c>
      <c r="C10777" s="1" t="s">
        <v>3600</v>
      </c>
      <c r="D10777" s="1" t="s">
        <v>3695</v>
      </c>
      <c r="E10777" s="1" t="s">
        <v>3611</v>
      </c>
      <c r="F10777" s="1" t="s">
        <v>35147</v>
      </c>
      <c r="G10777" s="1" t="s">
        <v>19612</v>
      </c>
      <c r="H10777" s="1" t="s">
        <v>3604</v>
      </c>
      <c r="I10777" s="1" t="s">
        <v>35148</v>
      </c>
      <c r="J10777" s="1" t="s">
        <v>3615</v>
      </c>
      <c r="K10777" s="1" t="s">
        <v>35149</v>
      </c>
      <c r="L10777" s="1"/>
      <c r="M10777" s="1"/>
    </row>
    <row x14ac:dyDescent="0.25" r="10778" customHeight="1" ht="18.75">
      <c r="A10778" s="1" t="s">
        <v>3598</v>
      </c>
      <c r="B10778" s="1" t="s">
        <v>4689</v>
      </c>
      <c r="C10778" s="1" t="s">
        <v>3600</v>
      </c>
      <c r="D10778" s="1" t="s">
        <v>533</v>
      </c>
      <c r="E10778" s="1" t="s">
        <v>3611</v>
      </c>
      <c r="F10778" s="1" t="s">
        <v>35150</v>
      </c>
      <c r="G10778" s="1" t="s">
        <v>20511</v>
      </c>
      <c r="H10778" s="1" t="s">
        <v>3604</v>
      </c>
      <c r="I10778" s="1" t="s">
        <v>35151</v>
      </c>
      <c r="J10778" s="1" t="s">
        <v>3606</v>
      </c>
      <c r="K10778" s="1" t="s">
        <v>34843</v>
      </c>
      <c r="L10778" s="1"/>
      <c r="M10778" s="1"/>
    </row>
    <row x14ac:dyDescent="0.25" r="10779" customHeight="1" ht="18.75">
      <c r="A10779" s="1" t="s">
        <v>3598</v>
      </c>
      <c r="B10779" s="1" t="s">
        <v>6954</v>
      </c>
      <c r="C10779" s="1" t="s">
        <v>3600</v>
      </c>
      <c r="D10779" s="1" t="s">
        <v>3601</v>
      </c>
      <c r="E10779" s="1" t="s">
        <v>3611</v>
      </c>
      <c r="F10779" s="1" t="s">
        <v>35152</v>
      </c>
      <c r="G10779" s="1" t="s">
        <v>29973</v>
      </c>
      <c r="H10779" s="1" t="s">
        <v>3604</v>
      </c>
      <c r="I10779" s="1" t="s">
        <v>35153</v>
      </c>
      <c r="J10779" s="1" t="s">
        <v>3615</v>
      </c>
      <c r="K10779" s="1" t="s">
        <v>35154</v>
      </c>
      <c r="L10779" s="1"/>
      <c r="M10779" s="1"/>
    </row>
    <row x14ac:dyDescent="0.25" r="10780" customHeight="1" ht="18.75">
      <c r="A10780" s="1" t="s">
        <v>3598</v>
      </c>
      <c r="B10780" s="1" t="s">
        <v>6954</v>
      </c>
      <c r="C10780" s="1" t="s">
        <v>3600</v>
      </c>
      <c r="D10780" s="1" t="s">
        <v>3601</v>
      </c>
      <c r="E10780" s="1" t="s">
        <v>3611</v>
      </c>
      <c r="F10780" s="1" t="s">
        <v>35155</v>
      </c>
      <c r="G10780" s="1" t="s">
        <v>19612</v>
      </c>
      <c r="H10780" s="1" t="s">
        <v>3604</v>
      </c>
      <c r="I10780" s="1" t="s">
        <v>35156</v>
      </c>
      <c r="J10780" s="1" t="s">
        <v>3615</v>
      </c>
      <c r="K10780" s="1" t="s">
        <v>35157</v>
      </c>
      <c r="L10780" s="1"/>
      <c r="M10780" s="1"/>
    </row>
    <row x14ac:dyDescent="0.25" r="10781" customHeight="1" ht="18.75">
      <c r="A10781" s="1" t="s">
        <v>3598</v>
      </c>
      <c r="B10781" s="1" t="s">
        <v>4689</v>
      </c>
      <c r="C10781" s="1" t="s">
        <v>3600</v>
      </c>
      <c r="D10781" s="1" t="s">
        <v>3601</v>
      </c>
      <c r="E10781" s="1" t="s">
        <v>3893</v>
      </c>
      <c r="F10781" s="1" t="s">
        <v>35158</v>
      </c>
      <c r="G10781" s="1" t="s">
        <v>19954</v>
      </c>
      <c r="H10781" s="1" t="s">
        <v>3604</v>
      </c>
      <c r="I10781" s="1" t="s">
        <v>35159</v>
      </c>
      <c r="J10781" s="1" t="s">
        <v>3615</v>
      </c>
      <c r="K10781" s="1" t="s">
        <v>35160</v>
      </c>
      <c r="L10781" s="1"/>
      <c r="M10781" s="1"/>
    </row>
    <row x14ac:dyDescent="0.25" r="10782" customHeight="1" ht="18.75">
      <c r="A10782" s="1" t="s">
        <v>3598</v>
      </c>
      <c r="B10782" s="1" t="s">
        <v>4689</v>
      </c>
      <c r="C10782" s="1" t="s">
        <v>3600</v>
      </c>
      <c r="D10782" s="1" t="s">
        <v>3601</v>
      </c>
      <c r="E10782" s="1" t="s">
        <v>3893</v>
      </c>
      <c r="F10782" s="1" t="s">
        <v>35161</v>
      </c>
      <c r="G10782" s="1" t="s">
        <v>20501</v>
      </c>
      <c r="H10782" s="1" t="s">
        <v>3604</v>
      </c>
      <c r="I10782" s="1" t="s">
        <v>35162</v>
      </c>
      <c r="J10782" s="1" t="s">
        <v>3615</v>
      </c>
      <c r="K10782" s="1" t="s">
        <v>35163</v>
      </c>
      <c r="L10782" s="1"/>
      <c r="M10782" s="1"/>
    </row>
    <row x14ac:dyDescent="0.25" r="10783" customHeight="1" ht="18.75">
      <c r="A10783" s="1" t="s">
        <v>3598</v>
      </c>
      <c r="B10783" s="1" t="s">
        <v>4689</v>
      </c>
      <c r="C10783" s="1" t="s">
        <v>3600</v>
      </c>
      <c r="D10783" s="1" t="s">
        <v>3601</v>
      </c>
      <c r="E10783" s="1" t="s">
        <v>3893</v>
      </c>
      <c r="F10783" s="1" t="s">
        <v>35164</v>
      </c>
      <c r="G10783" s="1" t="s">
        <v>20511</v>
      </c>
      <c r="H10783" s="1" t="s">
        <v>3604</v>
      </c>
      <c r="I10783" s="1" t="s">
        <v>35165</v>
      </c>
      <c r="J10783" s="1" t="s">
        <v>3615</v>
      </c>
      <c r="K10783" s="1" t="s">
        <v>35166</v>
      </c>
      <c r="L10783" s="1"/>
      <c r="M10783" s="1"/>
    </row>
    <row x14ac:dyDescent="0.25" r="10784" customHeight="1" ht="18.75">
      <c r="A10784" s="1" t="s">
        <v>3598</v>
      </c>
      <c r="B10784" s="1" t="s">
        <v>4689</v>
      </c>
      <c r="C10784" s="1" t="s">
        <v>3600</v>
      </c>
      <c r="D10784" s="1" t="s">
        <v>3601</v>
      </c>
      <c r="E10784" s="1" t="s">
        <v>3893</v>
      </c>
      <c r="F10784" s="1" t="s">
        <v>35167</v>
      </c>
      <c r="G10784" s="1" t="s">
        <v>19954</v>
      </c>
      <c r="H10784" s="1" t="s">
        <v>3604</v>
      </c>
      <c r="I10784" s="1" t="s">
        <v>35168</v>
      </c>
      <c r="J10784" s="1" t="s">
        <v>3615</v>
      </c>
      <c r="K10784" s="1" t="s">
        <v>35169</v>
      </c>
      <c r="L10784" s="1"/>
      <c r="M10784" s="1"/>
    </row>
    <row x14ac:dyDescent="0.25" r="10785" customHeight="1" ht="18.75">
      <c r="A10785" s="1" t="s">
        <v>3598</v>
      </c>
      <c r="B10785" s="1" t="s">
        <v>4689</v>
      </c>
      <c r="C10785" s="1" t="s">
        <v>3600</v>
      </c>
      <c r="D10785" s="1" t="s">
        <v>3601</v>
      </c>
      <c r="E10785" s="1" t="s">
        <v>3893</v>
      </c>
      <c r="F10785" s="1" t="s">
        <v>35170</v>
      </c>
      <c r="G10785" s="1" t="s">
        <v>20501</v>
      </c>
      <c r="H10785" s="1" t="s">
        <v>3604</v>
      </c>
      <c r="I10785" s="1" t="s">
        <v>35171</v>
      </c>
      <c r="J10785" s="1" t="s">
        <v>3615</v>
      </c>
      <c r="K10785" s="1" t="s">
        <v>35172</v>
      </c>
      <c r="L10785" s="1"/>
      <c r="M10785" s="1"/>
    </row>
    <row x14ac:dyDescent="0.25" r="10786" customHeight="1" ht="18.75">
      <c r="A10786" s="1" t="s">
        <v>3598</v>
      </c>
      <c r="B10786" s="1" t="s">
        <v>4689</v>
      </c>
      <c r="C10786" s="1" t="s">
        <v>3600</v>
      </c>
      <c r="D10786" s="1" t="s">
        <v>3601</v>
      </c>
      <c r="E10786" s="1" t="s">
        <v>3893</v>
      </c>
      <c r="F10786" s="1" t="s">
        <v>35173</v>
      </c>
      <c r="G10786" s="1" t="s">
        <v>20511</v>
      </c>
      <c r="H10786" s="1" t="s">
        <v>3604</v>
      </c>
      <c r="I10786" s="1" t="s">
        <v>35174</v>
      </c>
      <c r="J10786" s="1" t="s">
        <v>3615</v>
      </c>
      <c r="K10786" s="1" t="s">
        <v>35175</v>
      </c>
      <c r="L10786" s="1"/>
      <c r="M10786" s="1"/>
    </row>
    <row x14ac:dyDescent="0.25" r="10787" customHeight="1" ht="18.75">
      <c r="A10787" s="1" t="s">
        <v>3617</v>
      </c>
      <c r="B10787" s="1" t="s">
        <v>4589</v>
      </c>
      <c r="C10787" s="1" t="s">
        <v>3619</v>
      </c>
      <c r="D10787" s="1" t="s">
        <v>7994</v>
      </c>
      <c r="E10787" s="1" t="s">
        <v>3730</v>
      </c>
      <c r="F10787" s="1" t="s">
        <v>35176</v>
      </c>
      <c r="G10787" s="1" t="s">
        <v>35177</v>
      </c>
      <c r="H10787" s="1" t="s">
        <v>3604</v>
      </c>
      <c r="I10787" s="1" t="s">
        <v>35178</v>
      </c>
      <c r="J10787" s="1" t="s">
        <v>3606</v>
      </c>
      <c r="K10787" s="1" t="s">
        <v>35179</v>
      </c>
      <c r="L10787" s="1"/>
      <c r="M10787" s="1"/>
    </row>
    <row x14ac:dyDescent="0.25" r="10788" customHeight="1" ht="18.75">
      <c r="A10788" s="1" t="s">
        <v>3693</v>
      </c>
      <c r="B10788" s="1" t="s">
        <v>4091</v>
      </c>
      <c r="C10788" s="1" t="s">
        <v>3600</v>
      </c>
      <c r="D10788" s="1" t="s">
        <v>8100</v>
      </c>
      <c r="E10788" s="1" t="s">
        <v>3893</v>
      </c>
      <c r="F10788" s="1" t="s">
        <v>35180</v>
      </c>
      <c r="G10788" s="1" t="s">
        <v>5837</v>
      </c>
      <c r="H10788" s="1" t="s">
        <v>3606</v>
      </c>
      <c r="I10788" s="1" t="s">
        <v>35181</v>
      </c>
      <c r="J10788" s="1" t="s">
        <v>3615</v>
      </c>
      <c r="K10788" s="1" t="s">
        <v>35182</v>
      </c>
      <c r="L10788" s="1"/>
      <c r="M10788" s="1"/>
    </row>
    <row x14ac:dyDescent="0.25" r="10789" customHeight="1" ht="18.75">
      <c r="A10789" s="1" t="s">
        <v>3693</v>
      </c>
      <c r="B10789" s="1" t="s">
        <v>4091</v>
      </c>
      <c r="C10789" s="1" t="s">
        <v>3600</v>
      </c>
      <c r="D10789" s="1" t="s">
        <v>8100</v>
      </c>
      <c r="E10789" s="1" t="s">
        <v>3893</v>
      </c>
      <c r="F10789" s="1" t="s">
        <v>35183</v>
      </c>
      <c r="G10789" s="1" t="s">
        <v>5837</v>
      </c>
      <c r="H10789" s="1" t="s">
        <v>3606</v>
      </c>
      <c r="I10789" s="1" t="s">
        <v>35184</v>
      </c>
      <c r="J10789" s="1" t="s">
        <v>3615</v>
      </c>
      <c r="K10789" s="1" t="s">
        <v>35185</v>
      </c>
      <c r="L10789" s="1"/>
      <c r="M10789" s="1"/>
    </row>
    <row x14ac:dyDescent="0.25" r="10790" customHeight="1" ht="18.75">
      <c r="A10790" s="1" t="s">
        <v>3693</v>
      </c>
      <c r="B10790" s="1" t="s">
        <v>4144</v>
      </c>
      <c r="C10790" s="1" t="s">
        <v>3619</v>
      </c>
      <c r="D10790" s="1" t="s">
        <v>7847</v>
      </c>
      <c r="E10790" s="1" t="s">
        <v>3664</v>
      </c>
      <c r="F10790" s="1" t="s">
        <v>35186</v>
      </c>
      <c r="G10790" s="1" t="s">
        <v>10161</v>
      </c>
      <c r="H10790" s="1" t="s">
        <v>3606</v>
      </c>
      <c r="I10790" s="1" t="s">
        <v>35187</v>
      </c>
      <c r="J10790" s="1" t="s">
        <v>3615</v>
      </c>
      <c r="K10790" s="1" t="s">
        <v>35188</v>
      </c>
      <c r="L10790" s="1"/>
      <c r="M10790" s="1"/>
    </row>
    <row x14ac:dyDescent="0.25" r="10791" customHeight="1" ht="18.75">
      <c r="A10791" s="1" t="s">
        <v>3598</v>
      </c>
      <c r="B10791" s="1" t="s">
        <v>9007</v>
      </c>
      <c r="C10791" s="1" t="s">
        <v>3600</v>
      </c>
      <c r="D10791" s="1" t="s">
        <v>533</v>
      </c>
      <c r="E10791" s="1" t="s">
        <v>3893</v>
      </c>
      <c r="F10791" s="1" t="s">
        <v>35189</v>
      </c>
      <c r="G10791" s="1" t="s">
        <v>9009</v>
      </c>
      <c r="H10791" s="1" t="s">
        <v>3604</v>
      </c>
      <c r="I10791" s="1" t="s">
        <v>35190</v>
      </c>
      <c r="J10791" s="1" t="s">
        <v>3615</v>
      </c>
      <c r="K10791" s="1" t="s">
        <v>35191</v>
      </c>
      <c r="L10791" s="1"/>
      <c r="M10791" s="1"/>
    </row>
    <row x14ac:dyDescent="0.25" r="10792" customHeight="1" ht="18.75">
      <c r="A10792" s="1" t="s">
        <v>5496</v>
      </c>
      <c r="B10792" s="1" t="s">
        <v>13135</v>
      </c>
      <c r="C10792" s="1" t="s">
        <v>4488</v>
      </c>
      <c r="D10792" s="1" t="s">
        <v>7847</v>
      </c>
      <c r="E10792" s="1" t="s">
        <v>4478</v>
      </c>
      <c r="F10792" s="1" t="s">
        <v>35192</v>
      </c>
      <c r="G10792" s="1" t="s">
        <v>35193</v>
      </c>
      <c r="H10792" s="1" t="s">
        <v>3606</v>
      </c>
      <c r="I10792" s="1" t="s">
        <v>35194</v>
      </c>
      <c r="J10792" s="1" t="s">
        <v>3615</v>
      </c>
      <c r="K10792" s="1" t="s">
        <v>35195</v>
      </c>
      <c r="L10792" s="1"/>
      <c r="M10792" s="1"/>
    </row>
    <row x14ac:dyDescent="0.25" r="10793" customHeight="1" ht="18.75">
      <c r="A10793" s="1" t="s">
        <v>3693</v>
      </c>
      <c r="B10793" s="1" t="s">
        <v>3942</v>
      </c>
      <c r="C10793" s="1" t="s">
        <v>3600</v>
      </c>
      <c r="D10793" s="1" t="s">
        <v>7847</v>
      </c>
      <c r="E10793" s="1" t="s">
        <v>3664</v>
      </c>
      <c r="F10793" s="1" t="s">
        <v>35196</v>
      </c>
      <c r="G10793" s="1" t="s">
        <v>3954</v>
      </c>
      <c r="H10793" s="1" t="s">
        <v>3606</v>
      </c>
      <c r="I10793" s="1" t="s">
        <v>35197</v>
      </c>
      <c r="J10793" s="1" t="s">
        <v>3615</v>
      </c>
      <c r="K10793" s="1" t="s">
        <v>35198</v>
      </c>
      <c r="L10793" s="1"/>
      <c r="M10793" s="1"/>
    </row>
    <row x14ac:dyDescent="0.25" r="10794" customHeight="1" ht="18.75">
      <c r="A10794" s="1" t="s">
        <v>7833</v>
      </c>
      <c r="B10794" s="1" t="s">
        <v>8269</v>
      </c>
      <c r="C10794" s="1" t="s">
        <v>4488</v>
      </c>
      <c r="D10794" s="1" t="s">
        <v>7847</v>
      </c>
      <c r="E10794" s="1" t="s">
        <v>8096</v>
      </c>
      <c r="F10794" s="1" t="s">
        <v>35199</v>
      </c>
      <c r="G10794" s="1" t="s">
        <v>35200</v>
      </c>
      <c r="H10794" s="1" t="s">
        <v>3606</v>
      </c>
      <c r="I10794" s="1" t="s">
        <v>35201</v>
      </c>
      <c r="J10794" s="1" t="s">
        <v>3615</v>
      </c>
      <c r="K10794" s="1" t="s">
        <v>35202</v>
      </c>
      <c r="L10794" s="1"/>
      <c r="M10794" s="1"/>
    </row>
    <row x14ac:dyDescent="0.25" r="10795" customHeight="1" ht="18.75">
      <c r="A10795" s="1" t="s">
        <v>7833</v>
      </c>
      <c r="B10795" s="1" t="s">
        <v>8269</v>
      </c>
      <c r="C10795" s="1" t="s">
        <v>4488</v>
      </c>
      <c r="D10795" s="1" t="s">
        <v>7847</v>
      </c>
      <c r="E10795" s="1" t="s">
        <v>8096</v>
      </c>
      <c r="F10795" s="1" t="s">
        <v>35203</v>
      </c>
      <c r="G10795" s="1" t="s">
        <v>35200</v>
      </c>
      <c r="H10795" s="1" t="s">
        <v>3606</v>
      </c>
      <c r="I10795" s="1" t="s">
        <v>35204</v>
      </c>
      <c r="J10795" s="1" t="s">
        <v>3615</v>
      </c>
      <c r="K10795" s="1" t="s">
        <v>35205</v>
      </c>
      <c r="L10795" s="1"/>
      <c r="M10795" s="1"/>
    </row>
    <row x14ac:dyDescent="0.25" r="10796" customHeight="1" ht="18.75">
      <c r="A10796" s="1" t="s">
        <v>7833</v>
      </c>
      <c r="B10796" s="1" t="s">
        <v>8269</v>
      </c>
      <c r="C10796" s="1" t="s">
        <v>4488</v>
      </c>
      <c r="D10796" s="1" t="s">
        <v>8100</v>
      </c>
      <c r="E10796" s="1" t="s">
        <v>8096</v>
      </c>
      <c r="F10796" s="1" t="s">
        <v>35206</v>
      </c>
      <c r="G10796" s="1" t="s">
        <v>35207</v>
      </c>
      <c r="H10796" s="1" t="s">
        <v>3606</v>
      </c>
      <c r="I10796" s="1" t="s">
        <v>35208</v>
      </c>
      <c r="J10796" s="1" t="s">
        <v>3615</v>
      </c>
      <c r="K10796" s="1" t="s">
        <v>35209</v>
      </c>
      <c r="L10796" s="1"/>
      <c r="M10796" s="1"/>
    </row>
    <row x14ac:dyDescent="0.25" r="10797" customHeight="1" ht="18.75">
      <c r="A10797" s="1" t="s">
        <v>7833</v>
      </c>
      <c r="B10797" s="1" t="s">
        <v>8269</v>
      </c>
      <c r="C10797" s="1" t="s">
        <v>4488</v>
      </c>
      <c r="D10797" s="1" t="s">
        <v>8100</v>
      </c>
      <c r="E10797" s="1" t="s">
        <v>8096</v>
      </c>
      <c r="F10797" s="1" t="s">
        <v>35210</v>
      </c>
      <c r="G10797" s="1" t="s">
        <v>35207</v>
      </c>
      <c r="H10797" s="1" t="s">
        <v>3606</v>
      </c>
      <c r="I10797" s="1" t="s">
        <v>35211</v>
      </c>
      <c r="J10797" s="1" t="s">
        <v>3615</v>
      </c>
      <c r="K10797" s="1" t="s">
        <v>35212</v>
      </c>
      <c r="L10797" s="1"/>
      <c r="M10797" s="1"/>
    </row>
    <row x14ac:dyDescent="0.25" r="10798" customHeight="1" ht="18.75">
      <c r="A10798" s="1" t="s">
        <v>7833</v>
      </c>
      <c r="B10798" s="1" t="s">
        <v>8269</v>
      </c>
      <c r="C10798" s="1" t="s">
        <v>4488</v>
      </c>
      <c r="D10798" s="1" t="s">
        <v>8100</v>
      </c>
      <c r="E10798" s="1" t="s">
        <v>8096</v>
      </c>
      <c r="F10798" s="1" t="s">
        <v>35213</v>
      </c>
      <c r="G10798" s="1" t="s">
        <v>35207</v>
      </c>
      <c r="H10798" s="1" t="s">
        <v>3606</v>
      </c>
      <c r="I10798" s="1" t="s">
        <v>35214</v>
      </c>
      <c r="J10798" s="1" t="s">
        <v>3615</v>
      </c>
      <c r="K10798" s="1" t="s">
        <v>35215</v>
      </c>
      <c r="L10798" s="1"/>
      <c r="M10798" s="1"/>
    </row>
    <row x14ac:dyDescent="0.25" r="10799" customHeight="1" ht="18.75">
      <c r="A10799" s="1" t="s">
        <v>7833</v>
      </c>
      <c r="B10799" s="1" t="s">
        <v>8269</v>
      </c>
      <c r="C10799" s="1" t="s">
        <v>4488</v>
      </c>
      <c r="D10799" s="1" t="s">
        <v>8100</v>
      </c>
      <c r="E10799" s="1" t="s">
        <v>8096</v>
      </c>
      <c r="F10799" s="1" t="s">
        <v>35216</v>
      </c>
      <c r="G10799" s="1" t="s">
        <v>35217</v>
      </c>
      <c r="H10799" s="1" t="s">
        <v>3606</v>
      </c>
      <c r="I10799" s="1" t="s">
        <v>35218</v>
      </c>
      <c r="J10799" s="1" t="s">
        <v>3615</v>
      </c>
      <c r="K10799" s="1" t="s">
        <v>35219</v>
      </c>
      <c r="L10799" s="1"/>
      <c r="M10799" s="1"/>
    </row>
    <row x14ac:dyDescent="0.25" r="10800" customHeight="1" ht="18.75">
      <c r="A10800" s="1" t="s">
        <v>7833</v>
      </c>
      <c r="B10800" s="1" t="s">
        <v>15046</v>
      </c>
      <c r="C10800" s="1" t="s">
        <v>4488</v>
      </c>
      <c r="D10800" s="1" t="s">
        <v>8116</v>
      </c>
      <c r="E10800" s="1" t="s">
        <v>3664</v>
      </c>
      <c r="F10800" s="1" t="s">
        <v>35220</v>
      </c>
      <c r="G10800" s="1" t="s">
        <v>35221</v>
      </c>
      <c r="H10800" s="1" t="s">
        <v>3606</v>
      </c>
      <c r="I10800" s="1" t="s">
        <v>35222</v>
      </c>
      <c r="J10800" s="1" t="s">
        <v>3615</v>
      </c>
      <c r="K10800" s="1" t="s">
        <v>8290</v>
      </c>
      <c r="L10800" s="1"/>
      <c r="M10800" s="1"/>
    </row>
    <row x14ac:dyDescent="0.25" r="10801" customHeight="1" ht="18.75">
      <c r="A10801" s="1" t="s">
        <v>7833</v>
      </c>
      <c r="B10801" s="1" t="s">
        <v>9837</v>
      </c>
      <c r="C10801" s="1" t="s">
        <v>4488</v>
      </c>
      <c r="D10801" s="1" t="s">
        <v>7847</v>
      </c>
      <c r="E10801" s="1" t="s">
        <v>3664</v>
      </c>
      <c r="F10801" s="1" t="s">
        <v>35223</v>
      </c>
      <c r="G10801" s="1" t="s">
        <v>35224</v>
      </c>
      <c r="H10801" s="1" t="s">
        <v>3606</v>
      </c>
      <c r="I10801" s="1" t="s">
        <v>35225</v>
      </c>
      <c r="J10801" s="1" t="s">
        <v>3615</v>
      </c>
      <c r="K10801" s="1" t="s">
        <v>35226</v>
      </c>
      <c r="L10801" s="1"/>
      <c r="M10801" s="1"/>
    </row>
    <row x14ac:dyDescent="0.25" r="10802" customHeight="1" ht="18.75">
      <c r="A10802" s="1" t="s">
        <v>7833</v>
      </c>
      <c r="B10802" s="1" t="s">
        <v>8291</v>
      </c>
      <c r="C10802" s="1" t="s">
        <v>4488</v>
      </c>
      <c r="D10802" s="1" t="s">
        <v>8100</v>
      </c>
      <c r="E10802" s="1" t="s">
        <v>8096</v>
      </c>
      <c r="F10802" s="1" t="s">
        <v>35227</v>
      </c>
      <c r="G10802" s="1" t="s">
        <v>35228</v>
      </c>
      <c r="H10802" s="1" t="s">
        <v>3606</v>
      </c>
      <c r="I10802" s="1" t="s">
        <v>35229</v>
      </c>
      <c r="J10802" s="1" t="s">
        <v>3615</v>
      </c>
      <c r="K10802" s="1" t="s">
        <v>35212</v>
      </c>
      <c r="L10802" s="1"/>
      <c r="M10802" s="1"/>
    </row>
    <row x14ac:dyDescent="0.25" r="10803" customHeight="1" ht="18.75">
      <c r="A10803" s="1" t="s">
        <v>7833</v>
      </c>
      <c r="B10803" s="1" t="s">
        <v>8291</v>
      </c>
      <c r="C10803" s="1" t="s">
        <v>4488</v>
      </c>
      <c r="D10803" s="1" t="s">
        <v>8100</v>
      </c>
      <c r="E10803" s="1" t="s">
        <v>8096</v>
      </c>
      <c r="F10803" s="1" t="s">
        <v>35230</v>
      </c>
      <c r="G10803" s="1" t="s">
        <v>35228</v>
      </c>
      <c r="H10803" s="1" t="s">
        <v>3606</v>
      </c>
      <c r="I10803" s="1" t="s">
        <v>35231</v>
      </c>
      <c r="J10803" s="1" t="s">
        <v>3615</v>
      </c>
      <c r="K10803" s="1" t="s">
        <v>35215</v>
      </c>
      <c r="L10803" s="1"/>
      <c r="M10803" s="1"/>
    </row>
    <row x14ac:dyDescent="0.25" r="10804" customHeight="1" ht="18.75">
      <c r="A10804" s="1" t="s">
        <v>7833</v>
      </c>
      <c r="B10804" s="1" t="s">
        <v>14063</v>
      </c>
      <c r="C10804" s="1" t="s">
        <v>4488</v>
      </c>
      <c r="D10804" s="1" t="s">
        <v>7847</v>
      </c>
      <c r="E10804" s="1" t="s">
        <v>3981</v>
      </c>
      <c r="F10804" s="1" t="s">
        <v>35232</v>
      </c>
      <c r="G10804" s="1" t="s">
        <v>26166</v>
      </c>
      <c r="H10804" s="1" t="s">
        <v>3606</v>
      </c>
      <c r="I10804" s="1" t="s">
        <v>35233</v>
      </c>
      <c r="J10804" s="1" t="s">
        <v>3615</v>
      </c>
      <c r="K10804" s="1" t="s">
        <v>35234</v>
      </c>
      <c r="L10804" s="1"/>
      <c r="M10804" s="1"/>
    </row>
    <row x14ac:dyDescent="0.25" r="10805" customHeight="1" ht="18.75">
      <c r="A10805" s="1" t="s">
        <v>7833</v>
      </c>
      <c r="B10805" s="1" t="s">
        <v>9216</v>
      </c>
      <c r="C10805" s="1" t="s">
        <v>4488</v>
      </c>
      <c r="D10805" s="1" t="s">
        <v>7847</v>
      </c>
      <c r="E10805" s="1" t="s">
        <v>3664</v>
      </c>
      <c r="F10805" s="1" t="s">
        <v>35235</v>
      </c>
      <c r="G10805" s="1" t="s">
        <v>15516</v>
      </c>
      <c r="H10805" s="1" t="s">
        <v>3606</v>
      </c>
      <c r="I10805" s="1" t="s">
        <v>35236</v>
      </c>
      <c r="J10805" s="1" t="s">
        <v>3615</v>
      </c>
      <c r="K10805" s="1" t="s">
        <v>11280</v>
      </c>
      <c r="L10805" s="1"/>
      <c r="M10805" s="1"/>
    </row>
    <row x14ac:dyDescent="0.25" r="10806" customHeight="1" ht="18.75">
      <c r="A10806" s="1" t="s">
        <v>3693</v>
      </c>
      <c r="B10806" s="1" t="s">
        <v>4091</v>
      </c>
      <c r="C10806" s="1" t="s">
        <v>3600</v>
      </c>
      <c r="D10806" s="1" t="s">
        <v>8100</v>
      </c>
      <c r="E10806" s="1" t="s">
        <v>3893</v>
      </c>
      <c r="F10806" s="1" t="s">
        <v>35237</v>
      </c>
      <c r="G10806" s="1" t="s">
        <v>4468</v>
      </c>
      <c r="H10806" s="1" t="s">
        <v>3606</v>
      </c>
      <c r="I10806" s="1" t="s">
        <v>35238</v>
      </c>
      <c r="J10806" s="1" t="s">
        <v>3615</v>
      </c>
      <c r="K10806" s="1" t="s">
        <v>35239</v>
      </c>
      <c r="L10806" s="1"/>
      <c r="M10806" s="1"/>
    </row>
    <row x14ac:dyDescent="0.25" r="10807" customHeight="1" ht="18.75">
      <c r="A10807" s="1" t="s">
        <v>3693</v>
      </c>
      <c r="B10807" s="1" t="s">
        <v>4091</v>
      </c>
      <c r="C10807" s="1" t="s">
        <v>3600</v>
      </c>
      <c r="D10807" s="1" t="s">
        <v>8100</v>
      </c>
      <c r="E10807" s="1" t="s">
        <v>3893</v>
      </c>
      <c r="F10807" s="1" t="s">
        <v>35240</v>
      </c>
      <c r="G10807" s="1" t="s">
        <v>4468</v>
      </c>
      <c r="H10807" s="1" t="s">
        <v>3606</v>
      </c>
      <c r="I10807" s="1" t="s">
        <v>35241</v>
      </c>
      <c r="J10807" s="1" t="s">
        <v>3615</v>
      </c>
      <c r="K10807" s="1" t="s">
        <v>35239</v>
      </c>
      <c r="L10807" s="1"/>
      <c r="M10807" s="1"/>
    </row>
    <row x14ac:dyDescent="0.25" r="10808" customHeight="1" ht="18.75">
      <c r="A10808" s="1" t="s">
        <v>3693</v>
      </c>
      <c r="B10808" s="1" t="s">
        <v>4091</v>
      </c>
      <c r="C10808" s="1" t="s">
        <v>3600</v>
      </c>
      <c r="D10808" s="1" t="s">
        <v>8100</v>
      </c>
      <c r="E10808" s="1" t="s">
        <v>3893</v>
      </c>
      <c r="F10808" s="1" t="s">
        <v>35242</v>
      </c>
      <c r="G10808" s="1" t="s">
        <v>35243</v>
      </c>
      <c r="H10808" s="1" t="s">
        <v>3606</v>
      </c>
      <c r="I10808" s="1" t="s">
        <v>35244</v>
      </c>
      <c r="J10808" s="1" t="s">
        <v>3615</v>
      </c>
      <c r="K10808" s="1" t="s">
        <v>35245</v>
      </c>
      <c r="L10808" s="1"/>
      <c r="M10808" s="1"/>
    </row>
    <row x14ac:dyDescent="0.25" r="10809" customHeight="1" ht="18.75">
      <c r="A10809" s="1" t="s">
        <v>3693</v>
      </c>
      <c r="B10809" s="1" t="s">
        <v>4091</v>
      </c>
      <c r="C10809" s="1" t="s">
        <v>3600</v>
      </c>
      <c r="D10809" s="1" t="s">
        <v>8100</v>
      </c>
      <c r="E10809" s="1" t="s">
        <v>3893</v>
      </c>
      <c r="F10809" s="1" t="s">
        <v>35246</v>
      </c>
      <c r="G10809" s="1" t="s">
        <v>4362</v>
      </c>
      <c r="H10809" s="1" t="s">
        <v>3606</v>
      </c>
      <c r="I10809" s="1" t="s">
        <v>35247</v>
      </c>
      <c r="J10809" s="1" t="s">
        <v>3615</v>
      </c>
      <c r="K10809" s="1" t="s">
        <v>35185</v>
      </c>
      <c r="L10809" s="1"/>
      <c r="M10809" s="1"/>
    </row>
    <row x14ac:dyDescent="0.25" r="10810" customHeight="1" ht="18.75">
      <c r="A10810" s="1" t="s">
        <v>3693</v>
      </c>
      <c r="B10810" s="1" t="s">
        <v>4091</v>
      </c>
      <c r="C10810" s="1" t="s">
        <v>3600</v>
      </c>
      <c r="D10810" s="1" t="s">
        <v>8100</v>
      </c>
      <c r="E10810" s="1" t="s">
        <v>3893</v>
      </c>
      <c r="F10810" s="1" t="s">
        <v>35248</v>
      </c>
      <c r="G10810" s="1" t="s">
        <v>4362</v>
      </c>
      <c r="H10810" s="1" t="s">
        <v>3606</v>
      </c>
      <c r="I10810" s="1" t="s">
        <v>35249</v>
      </c>
      <c r="J10810" s="1" t="s">
        <v>3615</v>
      </c>
      <c r="K10810" s="1" t="s">
        <v>35182</v>
      </c>
      <c r="L10810" s="1"/>
      <c r="M10810" s="1"/>
    </row>
    <row x14ac:dyDescent="0.25" r="10811" customHeight="1" ht="18.75">
      <c r="A10811" s="1" t="s">
        <v>3693</v>
      </c>
      <c r="B10811" s="1" t="s">
        <v>5598</v>
      </c>
      <c r="C10811" s="1" t="s">
        <v>3600</v>
      </c>
      <c r="D10811" s="1" t="s">
        <v>8100</v>
      </c>
      <c r="E10811" s="1" t="s">
        <v>3664</v>
      </c>
      <c r="F10811" s="1" t="s">
        <v>35250</v>
      </c>
      <c r="G10811" s="1" t="s">
        <v>35251</v>
      </c>
      <c r="H10811" s="1" t="s">
        <v>3606</v>
      </c>
      <c r="I10811" s="1" t="s">
        <v>35252</v>
      </c>
      <c r="J10811" s="1" t="s">
        <v>3615</v>
      </c>
      <c r="K10811" s="1" t="s">
        <v>35253</v>
      </c>
      <c r="L10811" s="1"/>
      <c r="M10811" s="1"/>
    </row>
    <row x14ac:dyDescent="0.25" r="10812" customHeight="1" ht="18.75">
      <c r="A10812" s="1" t="s">
        <v>3693</v>
      </c>
      <c r="B10812" s="1" t="s">
        <v>5598</v>
      </c>
      <c r="C10812" s="1" t="s">
        <v>3600</v>
      </c>
      <c r="D10812" s="1" t="s">
        <v>8100</v>
      </c>
      <c r="E10812" s="1" t="s">
        <v>3664</v>
      </c>
      <c r="F10812" s="1" t="s">
        <v>35254</v>
      </c>
      <c r="G10812" s="1" t="s">
        <v>35255</v>
      </c>
      <c r="H10812" s="1" t="s">
        <v>3606</v>
      </c>
      <c r="I10812" s="1" t="s">
        <v>35256</v>
      </c>
      <c r="J10812" s="1" t="s">
        <v>3615</v>
      </c>
      <c r="K10812" s="1" t="s">
        <v>35257</v>
      </c>
      <c r="L10812" s="1"/>
      <c r="M10812" s="1"/>
    </row>
    <row x14ac:dyDescent="0.25" r="10813" customHeight="1" ht="18.75">
      <c r="A10813" s="1" t="s">
        <v>3693</v>
      </c>
      <c r="B10813" s="1" t="s">
        <v>4263</v>
      </c>
      <c r="C10813" s="1" t="s">
        <v>3619</v>
      </c>
      <c r="D10813" s="1" t="s">
        <v>8116</v>
      </c>
      <c r="E10813" s="1" t="s">
        <v>3611</v>
      </c>
      <c r="F10813" s="1" t="s">
        <v>35258</v>
      </c>
      <c r="G10813" s="1" t="s">
        <v>35259</v>
      </c>
      <c r="H10813" s="1" t="s">
        <v>3606</v>
      </c>
      <c r="I10813" s="1" t="s">
        <v>35260</v>
      </c>
      <c r="J10813" s="1" t="s">
        <v>3615</v>
      </c>
      <c r="K10813" s="1" t="s">
        <v>35261</v>
      </c>
      <c r="L10813" s="1"/>
      <c r="M10813" s="1"/>
    </row>
    <row x14ac:dyDescent="0.25" r="10814" customHeight="1" ht="18.75">
      <c r="A10814" s="1" t="s">
        <v>3693</v>
      </c>
      <c r="B10814" s="1" t="s">
        <v>4263</v>
      </c>
      <c r="C10814" s="1" t="s">
        <v>3619</v>
      </c>
      <c r="D10814" s="1" t="s">
        <v>8116</v>
      </c>
      <c r="E10814" s="1" t="s">
        <v>3611</v>
      </c>
      <c r="F10814" s="1" t="s">
        <v>35262</v>
      </c>
      <c r="G10814" s="1" t="s">
        <v>35263</v>
      </c>
      <c r="H10814" s="1" t="s">
        <v>3606</v>
      </c>
      <c r="I10814" s="1" t="s">
        <v>35264</v>
      </c>
      <c r="J10814" s="1" t="s">
        <v>3615</v>
      </c>
      <c r="K10814" s="1" t="s">
        <v>35265</v>
      </c>
      <c r="L10814" s="1"/>
      <c r="M10814" s="1"/>
    </row>
    <row x14ac:dyDescent="0.25" r="10815" customHeight="1" ht="18.75">
      <c r="A10815" s="1" t="s">
        <v>3693</v>
      </c>
      <c r="B10815" s="1" t="s">
        <v>4148</v>
      </c>
      <c r="C10815" s="1" t="s">
        <v>3600</v>
      </c>
      <c r="D10815" s="1" t="s">
        <v>8116</v>
      </c>
      <c r="E10815" s="1" t="s">
        <v>3664</v>
      </c>
      <c r="F10815" s="1" t="s">
        <v>35266</v>
      </c>
      <c r="G10815" s="1" t="s">
        <v>35267</v>
      </c>
      <c r="H10815" s="1" t="s">
        <v>3606</v>
      </c>
      <c r="I10815" s="1" t="s">
        <v>35268</v>
      </c>
      <c r="J10815" s="1" t="s">
        <v>3615</v>
      </c>
      <c r="K10815" s="1" t="s">
        <v>35269</v>
      </c>
      <c r="L10815" s="1"/>
      <c r="M10815" s="1"/>
    </row>
    <row x14ac:dyDescent="0.25" r="10816" customHeight="1" ht="18.75">
      <c r="A10816" s="1" t="s">
        <v>3693</v>
      </c>
      <c r="B10816" s="1" t="s">
        <v>5974</v>
      </c>
      <c r="C10816" s="1" t="s">
        <v>3619</v>
      </c>
      <c r="D10816" s="1" t="s">
        <v>8116</v>
      </c>
      <c r="E10816" s="1" t="s">
        <v>3664</v>
      </c>
      <c r="F10816" s="1" t="s">
        <v>35270</v>
      </c>
      <c r="G10816" s="1" t="s">
        <v>35271</v>
      </c>
      <c r="H10816" s="1" t="s">
        <v>3606</v>
      </c>
      <c r="I10816" s="1" t="s">
        <v>35272</v>
      </c>
      <c r="J10816" s="1" t="s">
        <v>3615</v>
      </c>
      <c r="K10816" s="1" t="s">
        <v>35273</v>
      </c>
      <c r="L10816" s="1"/>
      <c r="M10816" s="1"/>
    </row>
    <row x14ac:dyDescent="0.25" r="10817" customHeight="1" ht="18.75">
      <c r="A10817" s="1" t="s">
        <v>3693</v>
      </c>
      <c r="B10817" s="1" t="s">
        <v>4083</v>
      </c>
      <c r="C10817" s="1" t="s">
        <v>3600</v>
      </c>
      <c r="D10817" s="1" t="s">
        <v>8100</v>
      </c>
      <c r="E10817" s="1" t="s">
        <v>3893</v>
      </c>
      <c r="F10817" s="1" t="s">
        <v>35274</v>
      </c>
      <c r="G10817" s="1" t="s">
        <v>4346</v>
      </c>
      <c r="H10817" s="1" t="s">
        <v>3606</v>
      </c>
      <c r="I10817" s="1" t="s">
        <v>35275</v>
      </c>
      <c r="J10817" s="1" t="s">
        <v>3615</v>
      </c>
      <c r="K10817" s="1" t="s">
        <v>35276</v>
      </c>
      <c r="L10817" s="1"/>
      <c r="M10817" s="1"/>
    </row>
    <row x14ac:dyDescent="0.25" r="10818" customHeight="1" ht="18.75">
      <c r="A10818" s="1" t="s">
        <v>3693</v>
      </c>
      <c r="B10818" s="1" t="s">
        <v>4083</v>
      </c>
      <c r="C10818" s="1" t="s">
        <v>3600</v>
      </c>
      <c r="D10818" s="1" t="s">
        <v>8100</v>
      </c>
      <c r="E10818" s="1" t="s">
        <v>3893</v>
      </c>
      <c r="F10818" s="1" t="s">
        <v>35277</v>
      </c>
      <c r="G10818" s="1" t="s">
        <v>4346</v>
      </c>
      <c r="H10818" s="1" t="s">
        <v>3606</v>
      </c>
      <c r="I10818" s="1" t="s">
        <v>35278</v>
      </c>
      <c r="J10818" s="1" t="s">
        <v>3615</v>
      </c>
      <c r="K10818" s="1" t="s">
        <v>35276</v>
      </c>
      <c r="L10818" s="1"/>
      <c r="M10818" s="1"/>
    </row>
    <row x14ac:dyDescent="0.25" r="10819" customHeight="1" ht="18.75">
      <c r="A10819" s="1" t="s">
        <v>3693</v>
      </c>
      <c r="B10819" s="1" t="s">
        <v>4083</v>
      </c>
      <c r="C10819" s="1" t="s">
        <v>3600</v>
      </c>
      <c r="D10819" s="1" t="s">
        <v>8100</v>
      </c>
      <c r="E10819" s="1" t="s">
        <v>3893</v>
      </c>
      <c r="F10819" s="1" t="s">
        <v>35279</v>
      </c>
      <c r="G10819" s="1" t="s">
        <v>4346</v>
      </c>
      <c r="H10819" s="1" t="s">
        <v>3606</v>
      </c>
      <c r="I10819" s="1" t="s">
        <v>35280</v>
      </c>
      <c r="J10819" s="1" t="s">
        <v>3615</v>
      </c>
      <c r="K10819" s="1" t="s">
        <v>35276</v>
      </c>
      <c r="L10819" s="1"/>
      <c r="M10819" s="1"/>
    </row>
    <row x14ac:dyDescent="0.25" r="10820" customHeight="1" ht="18.75">
      <c r="A10820" s="1" t="s">
        <v>3693</v>
      </c>
      <c r="B10820" s="1" t="s">
        <v>4083</v>
      </c>
      <c r="C10820" s="1" t="s">
        <v>3600</v>
      </c>
      <c r="D10820" s="1" t="s">
        <v>8100</v>
      </c>
      <c r="E10820" s="1" t="s">
        <v>3893</v>
      </c>
      <c r="F10820" s="1" t="s">
        <v>35281</v>
      </c>
      <c r="G10820" s="1" t="s">
        <v>4370</v>
      </c>
      <c r="H10820" s="1" t="s">
        <v>3606</v>
      </c>
      <c r="I10820" s="1" t="s">
        <v>35282</v>
      </c>
      <c r="J10820" s="1" t="s">
        <v>3615</v>
      </c>
      <c r="K10820" s="1" t="s">
        <v>35283</v>
      </c>
      <c r="L10820" s="1"/>
      <c r="M10820" s="1"/>
    </row>
    <row x14ac:dyDescent="0.25" r="10821" customHeight="1" ht="18.75">
      <c r="A10821" s="1" t="s">
        <v>3693</v>
      </c>
      <c r="B10821" s="1" t="s">
        <v>4083</v>
      </c>
      <c r="C10821" s="1" t="s">
        <v>3600</v>
      </c>
      <c r="D10821" s="1" t="s">
        <v>8100</v>
      </c>
      <c r="E10821" s="1" t="s">
        <v>3893</v>
      </c>
      <c r="F10821" s="1" t="s">
        <v>35284</v>
      </c>
      <c r="G10821" s="1" t="s">
        <v>4370</v>
      </c>
      <c r="H10821" s="1" t="s">
        <v>3606</v>
      </c>
      <c r="I10821" s="1" t="s">
        <v>35285</v>
      </c>
      <c r="J10821" s="1" t="s">
        <v>3615</v>
      </c>
      <c r="K10821" s="1" t="s">
        <v>35286</v>
      </c>
      <c r="L10821" s="1"/>
      <c r="M10821" s="1"/>
    </row>
    <row x14ac:dyDescent="0.25" r="10822" customHeight="1" ht="18.75">
      <c r="A10822" s="1" t="s">
        <v>3693</v>
      </c>
      <c r="B10822" s="1" t="s">
        <v>4083</v>
      </c>
      <c r="C10822" s="1" t="s">
        <v>3600</v>
      </c>
      <c r="D10822" s="1" t="s">
        <v>8100</v>
      </c>
      <c r="E10822" s="1" t="s">
        <v>3893</v>
      </c>
      <c r="F10822" s="1" t="s">
        <v>35287</v>
      </c>
      <c r="G10822" s="1" t="s">
        <v>4370</v>
      </c>
      <c r="H10822" s="1" t="s">
        <v>3606</v>
      </c>
      <c r="I10822" s="1" t="s">
        <v>35288</v>
      </c>
      <c r="J10822" s="1" t="s">
        <v>3615</v>
      </c>
      <c r="K10822" s="1" t="s">
        <v>35286</v>
      </c>
      <c r="L10822" s="1"/>
      <c r="M10822" s="1"/>
    </row>
    <row x14ac:dyDescent="0.25" r="10823" customHeight="1" ht="18.75">
      <c r="A10823" s="1" t="s">
        <v>3693</v>
      </c>
      <c r="B10823" s="1" t="s">
        <v>4083</v>
      </c>
      <c r="C10823" s="1" t="s">
        <v>3600</v>
      </c>
      <c r="D10823" s="1" t="s">
        <v>8100</v>
      </c>
      <c r="E10823" s="1" t="s">
        <v>3893</v>
      </c>
      <c r="F10823" s="1" t="s">
        <v>35289</v>
      </c>
      <c r="G10823" s="1" t="s">
        <v>35290</v>
      </c>
      <c r="H10823" s="1" t="s">
        <v>3606</v>
      </c>
      <c r="I10823" s="1" t="s">
        <v>35291</v>
      </c>
      <c r="J10823" s="1" t="s">
        <v>3615</v>
      </c>
      <c r="K10823" s="1" t="s">
        <v>34182</v>
      </c>
      <c r="L10823" s="1"/>
      <c r="M10823" s="1"/>
    </row>
    <row x14ac:dyDescent="0.25" r="10824" customHeight="1" ht="18.75">
      <c r="A10824" s="1" t="s">
        <v>3693</v>
      </c>
      <c r="B10824" s="1" t="s">
        <v>4083</v>
      </c>
      <c r="C10824" s="1" t="s">
        <v>3600</v>
      </c>
      <c r="D10824" s="1" t="s">
        <v>8100</v>
      </c>
      <c r="E10824" s="1" t="s">
        <v>3893</v>
      </c>
      <c r="F10824" s="1" t="s">
        <v>35292</v>
      </c>
      <c r="G10824" s="1" t="s">
        <v>4377</v>
      </c>
      <c r="H10824" s="1" t="s">
        <v>3606</v>
      </c>
      <c r="I10824" s="1" t="s">
        <v>35293</v>
      </c>
      <c r="J10824" s="1" t="s">
        <v>3615</v>
      </c>
      <c r="K10824" s="1" t="s">
        <v>35294</v>
      </c>
      <c r="L10824" s="1"/>
      <c r="M10824" s="1"/>
    </row>
    <row x14ac:dyDescent="0.25" r="10825" customHeight="1" ht="18.75">
      <c r="A10825" s="1" t="s">
        <v>3693</v>
      </c>
      <c r="B10825" s="1" t="s">
        <v>4083</v>
      </c>
      <c r="C10825" s="1" t="s">
        <v>3600</v>
      </c>
      <c r="D10825" s="1" t="s">
        <v>8100</v>
      </c>
      <c r="E10825" s="1" t="s">
        <v>3893</v>
      </c>
      <c r="F10825" s="1" t="s">
        <v>35295</v>
      </c>
      <c r="G10825" s="1" t="s">
        <v>4377</v>
      </c>
      <c r="H10825" s="1" t="s">
        <v>3606</v>
      </c>
      <c r="I10825" s="1" t="s">
        <v>35296</v>
      </c>
      <c r="J10825" s="1" t="s">
        <v>3615</v>
      </c>
      <c r="K10825" s="1" t="s">
        <v>35294</v>
      </c>
      <c r="L10825" s="1"/>
      <c r="M10825" s="1"/>
    </row>
    <row x14ac:dyDescent="0.25" r="10826" customHeight="1" ht="18.75">
      <c r="A10826" s="1" t="s">
        <v>3693</v>
      </c>
      <c r="B10826" s="1" t="s">
        <v>4083</v>
      </c>
      <c r="C10826" s="1" t="s">
        <v>3600</v>
      </c>
      <c r="D10826" s="1" t="s">
        <v>8100</v>
      </c>
      <c r="E10826" s="1" t="s">
        <v>3893</v>
      </c>
      <c r="F10826" s="1" t="s">
        <v>35297</v>
      </c>
      <c r="G10826" s="1" t="s">
        <v>4377</v>
      </c>
      <c r="H10826" s="1" t="s">
        <v>3606</v>
      </c>
      <c r="I10826" s="1" t="s">
        <v>35298</v>
      </c>
      <c r="J10826" s="1" t="s">
        <v>3615</v>
      </c>
      <c r="K10826" s="1" t="s">
        <v>35294</v>
      </c>
      <c r="L10826" s="1"/>
      <c r="M10826" s="1"/>
    </row>
    <row x14ac:dyDescent="0.25" r="10827" customHeight="1" ht="18.75">
      <c r="A10827" s="1" t="s">
        <v>3693</v>
      </c>
      <c r="B10827" s="1" t="s">
        <v>4181</v>
      </c>
      <c r="C10827" s="1" t="s">
        <v>3619</v>
      </c>
      <c r="D10827" s="1" t="s">
        <v>8116</v>
      </c>
      <c r="E10827" s="1" t="s">
        <v>3664</v>
      </c>
      <c r="F10827" s="1" t="s">
        <v>35299</v>
      </c>
      <c r="G10827" s="1" t="s">
        <v>35300</v>
      </c>
      <c r="H10827" s="1" t="s">
        <v>3606</v>
      </c>
      <c r="I10827" s="1" t="s">
        <v>35301</v>
      </c>
      <c r="J10827" s="1" t="s">
        <v>3615</v>
      </c>
      <c r="K10827" s="1" t="s">
        <v>35302</v>
      </c>
      <c r="L10827" s="1"/>
      <c r="M10827" s="1"/>
    </row>
    <row x14ac:dyDescent="0.25" r="10828" customHeight="1" ht="18.75">
      <c r="A10828" s="1" t="s">
        <v>3693</v>
      </c>
      <c r="B10828" s="1" t="s">
        <v>4181</v>
      </c>
      <c r="C10828" s="1" t="s">
        <v>3619</v>
      </c>
      <c r="D10828" s="1" t="s">
        <v>8116</v>
      </c>
      <c r="E10828" s="1" t="s">
        <v>3664</v>
      </c>
      <c r="F10828" s="1" t="s">
        <v>35303</v>
      </c>
      <c r="G10828" s="1" t="s">
        <v>9987</v>
      </c>
      <c r="H10828" s="1" t="s">
        <v>3606</v>
      </c>
      <c r="I10828" s="1" t="s">
        <v>35304</v>
      </c>
      <c r="J10828" s="1" t="s">
        <v>3615</v>
      </c>
      <c r="K10828" s="1" t="s">
        <v>35305</v>
      </c>
      <c r="L10828" s="1"/>
      <c r="M10828" s="1"/>
    </row>
    <row x14ac:dyDescent="0.25" r="10829" customHeight="1" ht="18.75">
      <c r="A10829" s="1" t="s">
        <v>3693</v>
      </c>
      <c r="B10829" s="1" t="s">
        <v>4181</v>
      </c>
      <c r="C10829" s="1" t="s">
        <v>3619</v>
      </c>
      <c r="D10829" s="1" t="s">
        <v>8100</v>
      </c>
      <c r="E10829" s="1" t="s">
        <v>3664</v>
      </c>
      <c r="F10829" s="1" t="s">
        <v>35306</v>
      </c>
      <c r="G10829" s="1" t="s">
        <v>35307</v>
      </c>
      <c r="H10829" s="1" t="s">
        <v>3606</v>
      </c>
      <c r="I10829" s="1" t="s">
        <v>35308</v>
      </c>
      <c r="J10829" s="1" t="s">
        <v>3615</v>
      </c>
      <c r="K10829" s="1" t="s">
        <v>35309</v>
      </c>
      <c r="L10829" s="1"/>
      <c r="M10829" s="1"/>
    </row>
    <row x14ac:dyDescent="0.25" r="10830" customHeight="1" ht="18.75">
      <c r="A10830" s="1" t="s">
        <v>3693</v>
      </c>
      <c r="B10830" s="1" t="s">
        <v>4144</v>
      </c>
      <c r="C10830" s="1" t="s">
        <v>3619</v>
      </c>
      <c r="D10830" s="1" t="s">
        <v>7847</v>
      </c>
      <c r="E10830" s="1" t="s">
        <v>3664</v>
      </c>
      <c r="F10830" s="1" t="s">
        <v>35310</v>
      </c>
      <c r="G10830" s="1" t="s">
        <v>35311</v>
      </c>
      <c r="H10830" s="1" t="s">
        <v>3606</v>
      </c>
      <c r="I10830" s="1" t="s">
        <v>35312</v>
      </c>
      <c r="J10830" s="1" t="s">
        <v>3615</v>
      </c>
      <c r="K10830" s="1" t="s">
        <v>35313</v>
      </c>
      <c r="L10830" s="1"/>
      <c r="M10830" s="1"/>
    </row>
    <row x14ac:dyDescent="0.25" r="10831" customHeight="1" ht="18.75">
      <c r="A10831" s="1" t="s">
        <v>3693</v>
      </c>
      <c r="B10831" s="1" t="s">
        <v>4144</v>
      </c>
      <c r="C10831" s="1" t="s">
        <v>3619</v>
      </c>
      <c r="D10831" s="1" t="s">
        <v>8100</v>
      </c>
      <c r="E10831" s="1" t="s">
        <v>3664</v>
      </c>
      <c r="F10831" s="1" t="s">
        <v>35314</v>
      </c>
      <c r="G10831" s="1" t="s">
        <v>9045</v>
      </c>
      <c r="H10831" s="1" t="s">
        <v>3606</v>
      </c>
      <c r="I10831" s="1" t="s">
        <v>35315</v>
      </c>
      <c r="J10831" s="1" t="s">
        <v>3615</v>
      </c>
      <c r="K10831" s="1" t="s">
        <v>35316</v>
      </c>
      <c r="L10831" s="1"/>
      <c r="M10831" s="1"/>
    </row>
    <row x14ac:dyDescent="0.25" r="10832" customHeight="1" ht="18.75">
      <c r="A10832" s="1" t="s">
        <v>3693</v>
      </c>
      <c r="B10832" s="1" t="s">
        <v>4144</v>
      </c>
      <c r="C10832" s="1" t="s">
        <v>3619</v>
      </c>
      <c r="D10832" s="1" t="s">
        <v>7847</v>
      </c>
      <c r="E10832" s="1" t="s">
        <v>3664</v>
      </c>
      <c r="F10832" s="1" t="s">
        <v>35317</v>
      </c>
      <c r="G10832" s="1" t="s">
        <v>35318</v>
      </c>
      <c r="H10832" s="1" t="s">
        <v>3606</v>
      </c>
      <c r="I10832" s="1" t="s">
        <v>35319</v>
      </c>
      <c r="J10832" s="1" t="s">
        <v>3615</v>
      </c>
      <c r="K10832" s="1" t="s">
        <v>35320</v>
      </c>
      <c r="L10832" s="1"/>
      <c r="M10832" s="1"/>
    </row>
    <row x14ac:dyDescent="0.25" r="10833" customHeight="1" ht="18.75">
      <c r="A10833" s="1" t="s">
        <v>3693</v>
      </c>
      <c r="B10833" s="1" t="s">
        <v>4144</v>
      </c>
      <c r="C10833" s="1" t="s">
        <v>3619</v>
      </c>
      <c r="D10833" s="1" t="s">
        <v>7847</v>
      </c>
      <c r="E10833" s="1" t="s">
        <v>3664</v>
      </c>
      <c r="F10833" s="1" t="s">
        <v>35321</v>
      </c>
      <c r="G10833" s="1" t="s">
        <v>35318</v>
      </c>
      <c r="H10833" s="1" t="s">
        <v>3606</v>
      </c>
      <c r="I10833" s="1" t="s">
        <v>35322</v>
      </c>
      <c r="J10833" s="1" t="s">
        <v>3615</v>
      </c>
      <c r="K10833" s="1" t="s">
        <v>35320</v>
      </c>
      <c r="L10833" s="1"/>
      <c r="M10833" s="1"/>
    </row>
    <row x14ac:dyDescent="0.25" r="10834" customHeight="1" ht="18.75">
      <c r="A10834" s="1" t="s">
        <v>3693</v>
      </c>
      <c r="B10834" s="1" t="s">
        <v>4214</v>
      </c>
      <c r="C10834" s="1" t="s">
        <v>3600</v>
      </c>
      <c r="D10834" s="1" t="s">
        <v>7847</v>
      </c>
      <c r="E10834" s="1" t="s">
        <v>3664</v>
      </c>
      <c r="F10834" s="1" t="s">
        <v>35323</v>
      </c>
      <c r="G10834" s="1" t="s">
        <v>9997</v>
      </c>
      <c r="H10834" s="1" t="s">
        <v>3606</v>
      </c>
      <c r="I10834" s="1" t="s">
        <v>35324</v>
      </c>
      <c r="J10834" s="1" t="s">
        <v>3615</v>
      </c>
      <c r="K10834" s="1" t="s">
        <v>32159</v>
      </c>
      <c r="L10834" s="1"/>
      <c r="M10834" s="1"/>
    </row>
    <row x14ac:dyDescent="0.25" r="10835" customHeight="1" ht="18.75">
      <c r="A10835" s="1" t="s">
        <v>3693</v>
      </c>
      <c r="B10835" s="1" t="s">
        <v>4214</v>
      </c>
      <c r="C10835" s="1" t="s">
        <v>3600</v>
      </c>
      <c r="D10835" s="1" t="s">
        <v>7847</v>
      </c>
      <c r="E10835" s="1" t="s">
        <v>3664</v>
      </c>
      <c r="F10835" s="1" t="s">
        <v>35325</v>
      </c>
      <c r="G10835" s="1" t="s">
        <v>5953</v>
      </c>
      <c r="H10835" s="1" t="s">
        <v>3606</v>
      </c>
      <c r="I10835" s="1" t="s">
        <v>35326</v>
      </c>
      <c r="J10835" s="1" t="s">
        <v>3615</v>
      </c>
      <c r="K10835" s="1" t="s">
        <v>32192</v>
      </c>
      <c r="L10835" s="1"/>
      <c r="M10835" s="1"/>
    </row>
    <row x14ac:dyDescent="0.25" r="10836" customHeight="1" ht="18.75">
      <c r="A10836" s="1" t="s">
        <v>3693</v>
      </c>
      <c r="B10836" s="1" t="s">
        <v>4158</v>
      </c>
      <c r="C10836" s="1" t="s">
        <v>3600</v>
      </c>
      <c r="D10836" s="1" t="s">
        <v>8100</v>
      </c>
      <c r="E10836" s="1" t="s">
        <v>3893</v>
      </c>
      <c r="F10836" s="1" t="s">
        <v>35327</v>
      </c>
      <c r="G10836" s="1" t="s">
        <v>4424</v>
      </c>
      <c r="H10836" s="1" t="s">
        <v>3606</v>
      </c>
      <c r="I10836" s="1" t="s">
        <v>35328</v>
      </c>
      <c r="J10836" s="1" t="s">
        <v>3615</v>
      </c>
      <c r="K10836" s="1" t="s">
        <v>35329</v>
      </c>
      <c r="L10836" s="1"/>
      <c r="M10836" s="1"/>
    </row>
    <row x14ac:dyDescent="0.25" r="10837" customHeight="1" ht="18.75">
      <c r="A10837" s="1" t="s">
        <v>3693</v>
      </c>
      <c r="B10837" s="1" t="s">
        <v>3957</v>
      </c>
      <c r="C10837" s="1" t="s">
        <v>3600</v>
      </c>
      <c r="D10837" s="1" t="s">
        <v>7847</v>
      </c>
      <c r="E10837" s="1" t="s">
        <v>3664</v>
      </c>
      <c r="F10837" s="1" t="s">
        <v>35330</v>
      </c>
      <c r="G10837" s="1" t="s">
        <v>4005</v>
      </c>
      <c r="H10837" s="1" t="s">
        <v>3606</v>
      </c>
      <c r="I10837" s="1" t="s">
        <v>35331</v>
      </c>
      <c r="J10837" s="1" t="s">
        <v>3615</v>
      </c>
      <c r="K10837" s="1" t="s">
        <v>35332</v>
      </c>
      <c r="L10837" s="1"/>
      <c r="M10837" s="1"/>
    </row>
    <row x14ac:dyDescent="0.25" r="10838" customHeight="1" ht="18.75">
      <c r="A10838" s="1" t="s">
        <v>3693</v>
      </c>
      <c r="B10838" s="1" t="s">
        <v>4136</v>
      </c>
      <c r="C10838" s="1" t="s">
        <v>3619</v>
      </c>
      <c r="D10838" s="1" t="s">
        <v>7847</v>
      </c>
      <c r="E10838" s="1" t="s">
        <v>3664</v>
      </c>
      <c r="F10838" s="1" t="s">
        <v>35333</v>
      </c>
      <c r="G10838" s="1" t="s">
        <v>27114</v>
      </c>
      <c r="H10838" s="1" t="s">
        <v>3606</v>
      </c>
      <c r="I10838" s="1" t="s">
        <v>35334</v>
      </c>
      <c r="J10838" s="1" t="s">
        <v>3615</v>
      </c>
      <c r="K10838" s="1" t="s">
        <v>35335</v>
      </c>
      <c r="L10838" s="1"/>
      <c r="M10838" s="1"/>
    </row>
    <row x14ac:dyDescent="0.25" r="10839" customHeight="1" ht="18.75">
      <c r="A10839" s="1" t="s">
        <v>3693</v>
      </c>
      <c r="B10839" s="1" t="s">
        <v>4136</v>
      </c>
      <c r="C10839" s="1" t="s">
        <v>3619</v>
      </c>
      <c r="D10839" s="1" t="s">
        <v>7847</v>
      </c>
      <c r="E10839" s="1" t="s">
        <v>3664</v>
      </c>
      <c r="F10839" s="1" t="s">
        <v>35336</v>
      </c>
      <c r="G10839" s="1" t="s">
        <v>27120</v>
      </c>
      <c r="H10839" s="1" t="s">
        <v>3606</v>
      </c>
      <c r="I10839" s="1" t="s">
        <v>35337</v>
      </c>
      <c r="J10839" s="1" t="s">
        <v>3615</v>
      </c>
      <c r="K10839" s="1" t="s">
        <v>35338</v>
      </c>
      <c r="L10839" s="1"/>
      <c r="M10839" s="1"/>
    </row>
    <row x14ac:dyDescent="0.25" r="10840" customHeight="1" ht="18.75">
      <c r="A10840" s="1" t="s">
        <v>3693</v>
      </c>
      <c r="B10840" s="1" t="s">
        <v>6755</v>
      </c>
      <c r="C10840" s="1" t="s">
        <v>3600</v>
      </c>
      <c r="D10840" s="1" t="s">
        <v>7847</v>
      </c>
      <c r="E10840" s="1" t="s">
        <v>3752</v>
      </c>
      <c r="F10840" s="1" t="s">
        <v>35339</v>
      </c>
      <c r="G10840" s="1" t="s">
        <v>4556</v>
      </c>
      <c r="H10840" s="1" t="s">
        <v>3606</v>
      </c>
      <c r="I10840" s="1" t="s">
        <v>35340</v>
      </c>
      <c r="J10840" s="1" t="s">
        <v>3615</v>
      </c>
      <c r="K10840" s="1" t="s">
        <v>35341</v>
      </c>
      <c r="L10840" s="1"/>
      <c r="M10840" s="1"/>
    </row>
    <row x14ac:dyDescent="0.25" r="10841" customHeight="1" ht="18.75">
      <c r="A10841" s="1" t="s">
        <v>3693</v>
      </c>
      <c r="B10841" s="1" t="s">
        <v>6755</v>
      </c>
      <c r="C10841" s="1" t="s">
        <v>3600</v>
      </c>
      <c r="D10841" s="1" t="s">
        <v>8116</v>
      </c>
      <c r="E10841" s="1" t="s">
        <v>3611</v>
      </c>
      <c r="F10841" s="1" t="s">
        <v>35342</v>
      </c>
      <c r="G10841" s="1" t="s">
        <v>35343</v>
      </c>
      <c r="H10841" s="1" t="s">
        <v>3606</v>
      </c>
      <c r="I10841" s="1" t="s">
        <v>35344</v>
      </c>
      <c r="J10841" s="1" t="s">
        <v>3615</v>
      </c>
      <c r="K10841" s="1" t="s">
        <v>35345</v>
      </c>
      <c r="L10841" s="1"/>
      <c r="M10841" s="1"/>
    </row>
    <row x14ac:dyDescent="0.25" r="10842" customHeight="1" ht="18.75">
      <c r="A10842" s="1" t="s">
        <v>3693</v>
      </c>
      <c r="B10842" s="1" t="s">
        <v>6680</v>
      </c>
      <c r="C10842" s="1" t="s">
        <v>3600</v>
      </c>
      <c r="D10842" s="1" t="s">
        <v>8116</v>
      </c>
      <c r="E10842" s="1" t="s">
        <v>3611</v>
      </c>
      <c r="F10842" s="1" t="s">
        <v>35346</v>
      </c>
      <c r="G10842" s="1" t="s">
        <v>35347</v>
      </c>
      <c r="H10842" s="1" t="s">
        <v>3606</v>
      </c>
      <c r="I10842" s="1" t="s">
        <v>35348</v>
      </c>
      <c r="J10842" s="1" t="s">
        <v>3615</v>
      </c>
      <c r="K10842" s="1" t="s">
        <v>35349</v>
      </c>
      <c r="L10842" s="1"/>
      <c r="M10842" s="1"/>
    </row>
    <row x14ac:dyDescent="0.25" r="10843" customHeight="1" ht="18.75">
      <c r="A10843" s="1" t="s">
        <v>3693</v>
      </c>
      <c r="B10843" s="1" t="s">
        <v>6680</v>
      </c>
      <c r="C10843" s="1" t="s">
        <v>3600</v>
      </c>
      <c r="D10843" s="1" t="s">
        <v>8116</v>
      </c>
      <c r="E10843" s="1" t="s">
        <v>3611</v>
      </c>
      <c r="F10843" s="1" t="s">
        <v>35350</v>
      </c>
      <c r="G10843" s="1" t="s">
        <v>35351</v>
      </c>
      <c r="H10843" s="1" t="s">
        <v>3606</v>
      </c>
      <c r="I10843" s="1" t="s">
        <v>35352</v>
      </c>
      <c r="J10843" s="1" t="s">
        <v>3615</v>
      </c>
      <c r="K10843" s="1" t="s">
        <v>35353</v>
      </c>
      <c r="L10843" s="1"/>
      <c r="M10843" s="1"/>
    </row>
    <row x14ac:dyDescent="0.25" r="10844" customHeight="1" ht="18.75">
      <c r="A10844" s="1" t="s">
        <v>3693</v>
      </c>
      <c r="B10844" s="1" t="s">
        <v>6680</v>
      </c>
      <c r="C10844" s="1" t="s">
        <v>3600</v>
      </c>
      <c r="D10844" s="1" t="s">
        <v>8116</v>
      </c>
      <c r="E10844" s="1" t="s">
        <v>3611</v>
      </c>
      <c r="F10844" s="1" t="s">
        <v>35354</v>
      </c>
      <c r="G10844" s="1" t="s">
        <v>35355</v>
      </c>
      <c r="H10844" s="1" t="s">
        <v>3606</v>
      </c>
      <c r="I10844" s="1" t="s">
        <v>35356</v>
      </c>
      <c r="J10844" s="1" t="s">
        <v>3615</v>
      </c>
      <c r="K10844" s="1" t="s">
        <v>35357</v>
      </c>
      <c r="L10844" s="1"/>
      <c r="M10844" s="1"/>
    </row>
    <row x14ac:dyDescent="0.25" r="10845" customHeight="1" ht="18.75">
      <c r="A10845" s="1" t="s">
        <v>3693</v>
      </c>
      <c r="B10845" s="1" t="s">
        <v>6680</v>
      </c>
      <c r="C10845" s="1" t="s">
        <v>3600</v>
      </c>
      <c r="D10845" s="1" t="s">
        <v>8116</v>
      </c>
      <c r="E10845" s="1" t="s">
        <v>3611</v>
      </c>
      <c r="F10845" s="1" t="s">
        <v>35358</v>
      </c>
      <c r="G10845" s="1" t="s">
        <v>35359</v>
      </c>
      <c r="H10845" s="1" t="s">
        <v>3606</v>
      </c>
      <c r="I10845" s="1" t="s">
        <v>35360</v>
      </c>
      <c r="J10845" s="1" t="s">
        <v>3615</v>
      </c>
      <c r="K10845" s="1" t="s">
        <v>35361</v>
      </c>
      <c r="L10845" s="1"/>
      <c r="M10845" s="1"/>
    </row>
    <row x14ac:dyDescent="0.25" r="10846" customHeight="1" ht="18.75">
      <c r="A10846" s="1" t="s">
        <v>3693</v>
      </c>
      <c r="B10846" s="1" t="s">
        <v>6680</v>
      </c>
      <c r="C10846" s="1" t="s">
        <v>3600</v>
      </c>
      <c r="D10846" s="1" t="s">
        <v>8116</v>
      </c>
      <c r="E10846" s="1" t="s">
        <v>3611</v>
      </c>
      <c r="F10846" s="1" t="s">
        <v>35362</v>
      </c>
      <c r="G10846" s="1" t="s">
        <v>35363</v>
      </c>
      <c r="H10846" s="1" t="s">
        <v>3606</v>
      </c>
      <c r="I10846" s="1" t="s">
        <v>35364</v>
      </c>
      <c r="J10846" s="1" t="s">
        <v>3615</v>
      </c>
      <c r="K10846" s="1" t="s">
        <v>35365</v>
      </c>
      <c r="L10846" s="1"/>
      <c r="M10846" s="1"/>
    </row>
    <row x14ac:dyDescent="0.25" r="10847" customHeight="1" ht="18.75">
      <c r="A10847" s="1" t="s">
        <v>3693</v>
      </c>
      <c r="B10847" s="1" t="s">
        <v>6680</v>
      </c>
      <c r="C10847" s="1" t="s">
        <v>3600</v>
      </c>
      <c r="D10847" s="1" t="s">
        <v>8116</v>
      </c>
      <c r="E10847" s="1" t="s">
        <v>3611</v>
      </c>
      <c r="F10847" s="1" t="s">
        <v>35366</v>
      </c>
      <c r="G10847" s="1" t="s">
        <v>35367</v>
      </c>
      <c r="H10847" s="1" t="s">
        <v>3606</v>
      </c>
      <c r="I10847" s="1" t="s">
        <v>35368</v>
      </c>
      <c r="J10847" s="1" t="s">
        <v>3615</v>
      </c>
      <c r="K10847" s="1" t="s">
        <v>35369</v>
      </c>
      <c r="L10847" s="1"/>
      <c r="M10847" s="1"/>
    </row>
    <row x14ac:dyDescent="0.25" r="10848" customHeight="1" ht="18.75">
      <c r="A10848" s="1" t="s">
        <v>3693</v>
      </c>
      <c r="B10848" s="1" t="s">
        <v>6680</v>
      </c>
      <c r="C10848" s="1" t="s">
        <v>3600</v>
      </c>
      <c r="D10848" s="1" t="s">
        <v>8116</v>
      </c>
      <c r="E10848" s="1" t="s">
        <v>3611</v>
      </c>
      <c r="F10848" s="1" t="s">
        <v>35370</v>
      </c>
      <c r="G10848" s="1" t="s">
        <v>35371</v>
      </c>
      <c r="H10848" s="1" t="s">
        <v>3606</v>
      </c>
      <c r="I10848" s="1" t="s">
        <v>35372</v>
      </c>
      <c r="J10848" s="1" t="s">
        <v>3615</v>
      </c>
      <c r="K10848" s="1" t="s">
        <v>35373</v>
      </c>
      <c r="L10848" s="1"/>
      <c r="M10848" s="1"/>
    </row>
    <row x14ac:dyDescent="0.25" r="10849" customHeight="1" ht="18.75">
      <c r="A10849" s="1" t="s">
        <v>3693</v>
      </c>
      <c r="B10849" s="1" t="s">
        <v>6680</v>
      </c>
      <c r="C10849" s="1" t="s">
        <v>3600</v>
      </c>
      <c r="D10849" s="1" t="s">
        <v>8116</v>
      </c>
      <c r="E10849" s="1" t="s">
        <v>3611</v>
      </c>
      <c r="F10849" s="1" t="s">
        <v>35374</v>
      </c>
      <c r="G10849" s="1" t="s">
        <v>35375</v>
      </c>
      <c r="H10849" s="1" t="s">
        <v>3606</v>
      </c>
      <c r="I10849" s="1" t="s">
        <v>35376</v>
      </c>
      <c r="J10849" s="1" t="s">
        <v>3615</v>
      </c>
      <c r="K10849" s="1" t="s">
        <v>35377</v>
      </c>
      <c r="L10849" s="1"/>
      <c r="M10849" s="1"/>
    </row>
    <row x14ac:dyDescent="0.25" r="10850" customHeight="1" ht="18.75">
      <c r="A10850" s="1" t="s">
        <v>3693</v>
      </c>
      <c r="B10850" s="1" t="s">
        <v>6680</v>
      </c>
      <c r="C10850" s="1" t="s">
        <v>3600</v>
      </c>
      <c r="D10850" s="1" t="s">
        <v>8116</v>
      </c>
      <c r="E10850" s="1" t="s">
        <v>3611</v>
      </c>
      <c r="F10850" s="1" t="s">
        <v>35378</v>
      </c>
      <c r="G10850" s="1" t="s">
        <v>35379</v>
      </c>
      <c r="H10850" s="1" t="s">
        <v>3606</v>
      </c>
      <c r="I10850" s="1" t="s">
        <v>35380</v>
      </c>
      <c r="J10850" s="1" t="s">
        <v>3615</v>
      </c>
      <c r="K10850" s="1" t="s">
        <v>35381</v>
      </c>
      <c r="L10850" s="1"/>
      <c r="M10850" s="1"/>
    </row>
    <row x14ac:dyDescent="0.25" r="10851" customHeight="1" ht="18.75">
      <c r="A10851" s="1" t="s">
        <v>3693</v>
      </c>
      <c r="B10851" s="1" t="s">
        <v>6680</v>
      </c>
      <c r="C10851" s="1" t="s">
        <v>3600</v>
      </c>
      <c r="D10851" s="1" t="s">
        <v>8116</v>
      </c>
      <c r="E10851" s="1" t="s">
        <v>3611</v>
      </c>
      <c r="F10851" s="1" t="s">
        <v>35382</v>
      </c>
      <c r="G10851" s="1" t="s">
        <v>35383</v>
      </c>
      <c r="H10851" s="1" t="s">
        <v>3606</v>
      </c>
      <c r="I10851" s="1" t="s">
        <v>35384</v>
      </c>
      <c r="J10851" s="1" t="s">
        <v>3615</v>
      </c>
      <c r="K10851" s="1" t="s">
        <v>35385</v>
      </c>
      <c r="L10851" s="1"/>
      <c r="M10851" s="1"/>
    </row>
    <row x14ac:dyDescent="0.25" r="10852" customHeight="1" ht="18.75">
      <c r="A10852" s="1" t="s">
        <v>3693</v>
      </c>
      <c r="B10852" s="1" t="s">
        <v>4229</v>
      </c>
      <c r="C10852" s="1" t="s">
        <v>3619</v>
      </c>
      <c r="D10852" s="1" t="s">
        <v>8100</v>
      </c>
      <c r="E10852" s="1" t="s">
        <v>3664</v>
      </c>
      <c r="F10852" s="1" t="s">
        <v>35386</v>
      </c>
      <c r="G10852" s="1" t="s">
        <v>9067</v>
      </c>
      <c r="H10852" s="1" t="s">
        <v>3606</v>
      </c>
      <c r="I10852" s="1" t="s">
        <v>35387</v>
      </c>
      <c r="J10852" s="1" t="s">
        <v>3615</v>
      </c>
      <c r="K10852" s="1" t="s">
        <v>35388</v>
      </c>
      <c r="L10852" s="1"/>
      <c r="M10852" s="1"/>
    </row>
    <row x14ac:dyDescent="0.25" r="10853" customHeight="1" ht="18.75">
      <c r="A10853" s="1" t="s">
        <v>3693</v>
      </c>
      <c r="B10853" s="1" t="s">
        <v>4229</v>
      </c>
      <c r="C10853" s="1" t="s">
        <v>3619</v>
      </c>
      <c r="D10853" s="1" t="s">
        <v>8100</v>
      </c>
      <c r="E10853" s="1" t="s">
        <v>3664</v>
      </c>
      <c r="F10853" s="1" t="s">
        <v>35389</v>
      </c>
      <c r="G10853" s="1" t="s">
        <v>7669</v>
      </c>
      <c r="H10853" s="1" t="s">
        <v>3606</v>
      </c>
      <c r="I10853" s="1" t="s">
        <v>35390</v>
      </c>
      <c r="J10853" s="1" t="s">
        <v>3615</v>
      </c>
      <c r="K10853" s="1" t="s">
        <v>35391</v>
      </c>
      <c r="L10853" s="1"/>
      <c r="M10853" s="1"/>
    </row>
    <row x14ac:dyDescent="0.25" r="10854" customHeight="1" ht="18.75">
      <c r="A10854" s="1" t="s">
        <v>3693</v>
      </c>
      <c r="B10854" s="1" t="s">
        <v>4229</v>
      </c>
      <c r="C10854" s="1" t="s">
        <v>3619</v>
      </c>
      <c r="D10854" s="1" t="s">
        <v>8100</v>
      </c>
      <c r="E10854" s="1" t="s">
        <v>3664</v>
      </c>
      <c r="F10854" s="1" t="s">
        <v>35392</v>
      </c>
      <c r="G10854" s="1" t="s">
        <v>35393</v>
      </c>
      <c r="H10854" s="1" t="s">
        <v>3606</v>
      </c>
      <c r="I10854" s="1" t="s">
        <v>35394</v>
      </c>
      <c r="J10854" s="1" t="s">
        <v>3615</v>
      </c>
      <c r="K10854" s="1" t="s">
        <v>35395</v>
      </c>
      <c r="L10854" s="1"/>
      <c r="M10854" s="1"/>
    </row>
    <row x14ac:dyDescent="0.25" r="10855" customHeight="1" ht="18.75">
      <c r="A10855" s="1" t="s">
        <v>3693</v>
      </c>
      <c r="B10855" s="1" t="s">
        <v>4257</v>
      </c>
      <c r="C10855" s="1" t="s">
        <v>3619</v>
      </c>
      <c r="D10855" s="1" t="s">
        <v>8100</v>
      </c>
      <c r="E10855" s="1" t="s">
        <v>3664</v>
      </c>
      <c r="F10855" s="1" t="s">
        <v>35396</v>
      </c>
      <c r="G10855" s="1" t="s">
        <v>35397</v>
      </c>
      <c r="H10855" s="1" t="s">
        <v>3606</v>
      </c>
      <c r="I10855" s="1" t="s">
        <v>35398</v>
      </c>
      <c r="J10855" s="1" t="s">
        <v>3615</v>
      </c>
      <c r="K10855" s="1" t="s">
        <v>35399</v>
      </c>
      <c r="L10855" s="1"/>
      <c r="M10855" s="1"/>
    </row>
    <row x14ac:dyDescent="0.25" r="10856" customHeight="1" ht="18.75">
      <c r="A10856" s="1" t="s">
        <v>3693</v>
      </c>
      <c r="B10856" s="1" t="s">
        <v>4162</v>
      </c>
      <c r="C10856" s="1" t="s">
        <v>3619</v>
      </c>
      <c r="D10856" s="1" t="s">
        <v>8100</v>
      </c>
      <c r="E10856" s="1" t="s">
        <v>3981</v>
      </c>
      <c r="F10856" s="1" t="s">
        <v>35400</v>
      </c>
      <c r="G10856" s="1" t="s">
        <v>35401</v>
      </c>
      <c r="H10856" s="1" t="s">
        <v>3606</v>
      </c>
      <c r="I10856" s="1" t="s">
        <v>35402</v>
      </c>
      <c r="J10856" s="1" t="s">
        <v>3615</v>
      </c>
      <c r="K10856" s="1" t="s">
        <v>35403</v>
      </c>
      <c r="L10856" s="1"/>
      <c r="M10856" s="1"/>
    </row>
    <row x14ac:dyDescent="0.25" r="10857" customHeight="1" ht="18.75">
      <c r="A10857" s="1" t="s">
        <v>3693</v>
      </c>
      <c r="B10857" s="1" t="s">
        <v>4091</v>
      </c>
      <c r="C10857" s="1" t="s">
        <v>3600</v>
      </c>
      <c r="D10857" s="1" t="s">
        <v>8100</v>
      </c>
      <c r="E10857" s="1" t="s">
        <v>3893</v>
      </c>
      <c r="F10857" s="1" t="s">
        <v>35404</v>
      </c>
      <c r="G10857" s="1" t="s">
        <v>4468</v>
      </c>
      <c r="H10857" s="1" t="s">
        <v>3606</v>
      </c>
      <c r="I10857" s="1" t="s">
        <v>35405</v>
      </c>
      <c r="J10857" s="1" t="s">
        <v>3615</v>
      </c>
      <c r="K10857" s="1" t="s">
        <v>35239</v>
      </c>
      <c r="L10857" s="1"/>
      <c r="M10857" s="1"/>
    </row>
    <row x14ac:dyDescent="0.25" r="10858" customHeight="1" ht="18.75">
      <c r="A10858" s="1" t="s">
        <v>3693</v>
      </c>
      <c r="B10858" s="1" t="s">
        <v>4136</v>
      </c>
      <c r="C10858" s="1" t="s">
        <v>3619</v>
      </c>
      <c r="D10858" s="1" t="s">
        <v>8100</v>
      </c>
      <c r="E10858" s="1" t="s">
        <v>3664</v>
      </c>
      <c r="F10858" s="1" t="s">
        <v>35406</v>
      </c>
      <c r="G10858" s="1" t="s">
        <v>35407</v>
      </c>
      <c r="H10858" s="1" t="s">
        <v>3606</v>
      </c>
      <c r="I10858" s="1" t="s">
        <v>35408</v>
      </c>
      <c r="J10858" s="1" t="s">
        <v>3615</v>
      </c>
      <c r="K10858" s="1" t="s">
        <v>35409</v>
      </c>
      <c r="L10858" s="1"/>
      <c r="M10858" s="1"/>
    </row>
    <row x14ac:dyDescent="0.25" r="10859" customHeight="1" ht="18.75">
      <c r="A10859" s="1" t="s">
        <v>3598</v>
      </c>
      <c r="B10859" s="1" t="s">
        <v>4781</v>
      </c>
      <c r="C10859" s="1" t="s">
        <v>3600</v>
      </c>
      <c r="D10859" s="1" t="s">
        <v>7847</v>
      </c>
      <c r="E10859" s="1" t="s">
        <v>3664</v>
      </c>
      <c r="F10859" s="1" t="s">
        <v>35410</v>
      </c>
      <c r="G10859" s="1" t="s">
        <v>35411</v>
      </c>
      <c r="H10859" s="1" t="s">
        <v>3606</v>
      </c>
      <c r="I10859" s="1" t="s">
        <v>35412</v>
      </c>
      <c r="J10859" s="1" t="s">
        <v>3615</v>
      </c>
      <c r="K10859" s="1" t="s">
        <v>35413</v>
      </c>
      <c r="L10859" s="1"/>
      <c r="M10859" s="1"/>
    </row>
    <row x14ac:dyDescent="0.25" r="10860" customHeight="1" ht="18.75">
      <c r="A10860" s="1" t="s">
        <v>3598</v>
      </c>
      <c r="B10860" s="1" t="s">
        <v>3814</v>
      </c>
      <c r="C10860" s="1" t="s">
        <v>3600</v>
      </c>
      <c r="D10860" s="1" t="s">
        <v>7847</v>
      </c>
      <c r="E10860" s="1" t="s">
        <v>3664</v>
      </c>
      <c r="F10860" s="1" t="s">
        <v>35414</v>
      </c>
      <c r="G10860" s="1" t="s">
        <v>35415</v>
      </c>
      <c r="H10860" s="1" t="s">
        <v>3606</v>
      </c>
      <c r="I10860" s="1" t="s">
        <v>35416</v>
      </c>
      <c r="J10860" s="1" t="s">
        <v>3615</v>
      </c>
      <c r="K10860" s="1" t="s">
        <v>35417</v>
      </c>
      <c r="L10860" s="1"/>
      <c r="M10860" s="1"/>
    </row>
    <row x14ac:dyDescent="0.25" r="10861" customHeight="1" ht="18.75">
      <c r="A10861" s="1" t="s">
        <v>3598</v>
      </c>
      <c r="B10861" s="1" t="s">
        <v>3751</v>
      </c>
      <c r="C10861" s="1" t="s">
        <v>3600</v>
      </c>
      <c r="D10861" s="1" t="s">
        <v>8100</v>
      </c>
      <c r="E10861" s="1" t="s">
        <v>3664</v>
      </c>
      <c r="F10861" s="1" t="s">
        <v>35418</v>
      </c>
      <c r="G10861" s="1" t="s">
        <v>35419</v>
      </c>
      <c r="H10861" s="1" t="s">
        <v>3606</v>
      </c>
      <c r="I10861" s="1" t="s">
        <v>35420</v>
      </c>
      <c r="J10861" s="1" t="s">
        <v>3615</v>
      </c>
      <c r="K10861" s="1" t="s">
        <v>35421</v>
      </c>
      <c r="L10861" s="1"/>
      <c r="M10861" s="1"/>
    </row>
    <row x14ac:dyDescent="0.25" r="10862" customHeight="1" ht="18.75">
      <c r="A10862" s="1" t="s">
        <v>3598</v>
      </c>
      <c r="B10862" s="1" t="s">
        <v>3751</v>
      </c>
      <c r="C10862" s="1" t="s">
        <v>3600</v>
      </c>
      <c r="D10862" s="1" t="s">
        <v>7847</v>
      </c>
      <c r="E10862" s="1" t="s">
        <v>3664</v>
      </c>
      <c r="F10862" s="1" t="s">
        <v>35422</v>
      </c>
      <c r="G10862" s="1" t="s">
        <v>20362</v>
      </c>
      <c r="H10862" s="1" t="s">
        <v>3606</v>
      </c>
      <c r="I10862" s="1" t="s">
        <v>35423</v>
      </c>
      <c r="J10862" s="1" t="s">
        <v>3615</v>
      </c>
      <c r="K10862" s="1" t="s">
        <v>25542</v>
      </c>
      <c r="L10862" s="1"/>
      <c r="M10862" s="1"/>
    </row>
    <row x14ac:dyDescent="0.25" r="10863" customHeight="1" ht="18.75">
      <c r="A10863" s="1" t="s">
        <v>3598</v>
      </c>
      <c r="B10863" s="1" t="s">
        <v>4273</v>
      </c>
      <c r="C10863" s="1" t="s">
        <v>3600</v>
      </c>
      <c r="D10863" s="1" t="s">
        <v>8100</v>
      </c>
      <c r="E10863" s="1" t="s">
        <v>3664</v>
      </c>
      <c r="F10863" s="1" t="s">
        <v>35424</v>
      </c>
      <c r="G10863" s="1" t="s">
        <v>21678</v>
      </c>
      <c r="H10863" s="1" t="s">
        <v>3606</v>
      </c>
      <c r="I10863" s="1" t="s">
        <v>35425</v>
      </c>
      <c r="J10863" s="1" t="s">
        <v>3615</v>
      </c>
      <c r="K10863" s="1" t="s">
        <v>35426</v>
      </c>
      <c r="L10863" s="1"/>
      <c r="M10863" s="1"/>
    </row>
    <row x14ac:dyDescent="0.25" r="10864" customHeight="1" ht="18.75">
      <c r="A10864" s="1" t="s">
        <v>3598</v>
      </c>
      <c r="B10864" s="1" t="s">
        <v>8082</v>
      </c>
      <c r="C10864" s="1" t="s">
        <v>3600</v>
      </c>
      <c r="D10864" s="1" t="s">
        <v>7847</v>
      </c>
      <c r="E10864" s="1" t="s">
        <v>3664</v>
      </c>
      <c r="F10864" s="1" t="s">
        <v>35427</v>
      </c>
      <c r="G10864" s="1" t="s">
        <v>35428</v>
      </c>
      <c r="H10864" s="1" t="s">
        <v>3606</v>
      </c>
      <c r="I10864" s="1" t="s">
        <v>35429</v>
      </c>
      <c r="J10864" s="1" t="s">
        <v>3615</v>
      </c>
      <c r="K10864" s="1" t="s">
        <v>25542</v>
      </c>
      <c r="L10864" s="1"/>
      <c r="M10864" s="1"/>
    </row>
    <row x14ac:dyDescent="0.25" r="10865" customHeight="1" ht="18.75">
      <c r="A10865" s="1" t="s">
        <v>3598</v>
      </c>
      <c r="B10865" s="1" t="s">
        <v>9231</v>
      </c>
      <c r="C10865" s="1" t="s">
        <v>3600</v>
      </c>
      <c r="D10865" s="1" t="s">
        <v>7847</v>
      </c>
      <c r="E10865" s="1" t="s">
        <v>3664</v>
      </c>
      <c r="F10865" s="1" t="s">
        <v>35430</v>
      </c>
      <c r="G10865" s="1" t="s">
        <v>27207</v>
      </c>
      <c r="H10865" s="1" t="s">
        <v>3606</v>
      </c>
      <c r="I10865" s="1" t="s">
        <v>35431</v>
      </c>
      <c r="J10865" s="1" t="s">
        <v>3615</v>
      </c>
      <c r="K10865" s="1" t="s">
        <v>35432</v>
      </c>
      <c r="L10865" s="1"/>
      <c r="M10865" s="1"/>
    </row>
    <row x14ac:dyDescent="0.25" r="10866" customHeight="1" ht="18.75">
      <c r="A10866" s="1" t="s">
        <v>3598</v>
      </c>
      <c r="B10866" s="1" t="s">
        <v>9231</v>
      </c>
      <c r="C10866" s="1" t="s">
        <v>3600</v>
      </c>
      <c r="D10866" s="1" t="s">
        <v>7847</v>
      </c>
      <c r="E10866" s="1" t="s">
        <v>3664</v>
      </c>
      <c r="F10866" s="1" t="s">
        <v>35433</v>
      </c>
      <c r="G10866" s="1" t="s">
        <v>27191</v>
      </c>
      <c r="H10866" s="1" t="s">
        <v>3606</v>
      </c>
      <c r="I10866" s="1" t="s">
        <v>35434</v>
      </c>
      <c r="J10866" s="1" t="s">
        <v>3615</v>
      </c>
      <c r="K10866" s="1" t="s">
        <v>35435</v>
      </c>
      <c r="L10866" s="1"/>
      <c r="M10866" s="1"/>
    </row>
    <row x14ac:dyDescent="0.25" r="10867" customHeight="1" ht="18.75">
      <c r="A10867" s="1" t="s">
        <v>3598</v>
      </c>
      <c r="B10867" s="1" t="s">
        <v>9025</v>
      </c>
      <c r="C10867" s="1" t="s">
        <v>3600</v>
      </c>
      <c r="D10867" s="1" t="s">
        <v>8100</v>
      </c>
      <c r="E10867" s="1" t="s">
        <v>3664</v>
      </c>
      <c r="F10867" s="1" t="s">
        <v>35436</v>
      </c>
      <c r="G10867" s="1" t="s">
        <v>31071</v>
      </c>
      <c r="H10867" s="1" t="s">
        <v>3606</v>
      </c>
      <c r="I10867" s="1" t="s">
        <v>35437</v>
      </c>
      <c r="J10867" s="1" t="s">
        <v>3615</v>
      </c>
      <c r="K10867" s="1" t="s">
        <v>35426</v>
      </c>
      <c r="L10867" s="1"/>
      <c r="M10867" s="1"/>
    </row>
    <row x14ac:dyDescent="0.25" r="10868" customHeight="1" ht="18.75">
      <c r="A10868" s="1" t="s">
        <v>3598</v>
      </c>
      <c r="B10868" s="1" t="s">
        <v>5260</v>
      </c>
      <c r="C10868" s="1" t="s">
        <v>3600</v>
      </c>
      <c r="D10868" s="1" t="s">
        <v>7847</v>
      </c>
      <c r="E10868" s="1" t="s">
        <v>3893</v>
      </c>
      <c r="F10868" s="1" t="s">
        <v>35438</v>
      </c>
      <c r="G10868" s="1" t="s">
        <v>35439</v>
      </c>
      <c r="H10868" s="1" t="s">
        <v>3606</v>
      </c>
      <c r="I10868" s="1" t="s">
        <v>35440</v>
      </c>
      <c r="J10868" s="1" t="s">
        <v>3615</v>
      </c>
      <c r="K10868" s="1" t="s">
        <v>35441</v>
      </c>
      <c r="L10868" s="1"/>
      <c r="M10868" s="1"/>
    </row>
    <row x14ac:dyDescent="0.25" r="10869" customHeight="1" ht="18.75">
      <c r="A10869" s="1" t="s">
        <v>3598</v>
      </c>
      <c r="B10869" s="1" t="s">
        <v>5260</v>
      </c>
      <c r="C10869" s="1" t="s">
        <v>3600</v>
      </c>
      <c r="D10869" s="1" t="s">
        <v>7847</v>
      </c>
      <c r="E10869" s="1" t="s">
        <v>3893</v>
      </c>
      <c r="F10869" s="1" t="s">
        <v>35442</v>
      </c>
      <c r="G10869" s="1" t="s">
        <v>35439</v>
      </c>
      <c r="H10869" s="1" t="s">
        <v>3606</v>
      </c>
      <c r="I10869" s="1" t="s">
        <v>35443</v>
      </c>
      <c r="J10869" s="1" t="s">
        <v>3615</v>
      </c>
      <c r="K10869" s="1" t="s">
        <v>35444</v>
      </c>
      <c r="L10869" s="1"/>
      <c r="M10869" s="1"/>
    </row>
    <row x14ac:dyDescent="0.25" r="10870" customHeight="1" ht="18.75">
      <c r="A10870" s="1" t="s">
        <v>3598</v>
      </c>
      <c r="B10870" s="1" t="s">
        <v>5260</v>
      </c>
      <c r="C10870" s="1" t="s">
        <v>3600</v>
      </c>
      <c r="D10870" s="1" t="s">
        <v>7847</v>
      </c>
      <c r="E10870" s="1" t="s">
        <v>3893</v>
      </c>
      <c r="F10870" s="1" t="s">
        <v>35445</v>
      </c>
      <c r="G10870" s="1" t="s">
        <v>35439</v>
      </c>
      <c r="H10870" s="1" t="s">
        <v>3606</v>
      </c>
      <c r="I10870" s="1" t="s">
        <v>35446</v>
      </c>
      <c r="J10870" s="1" t="s">
        <v>3615</v>
      </c>
      <c r="K10870" s="1" t="s">
        <v>35447</v>
      </c>
      <c r="L10870" s="1"/>
      <c r="M10870" s="1"/>
    </row>
    <row x14ac:dyDescent="0.25" r="10871" customHeight="1" ht="18.75">
      <c r="A10871" s="1" t="s">
        <v>3598</v>
      </c>
      <c r="B10871" s="1" t="s">
        <v>19909</v>
      </c>
      <c r="C10871" s="1" t="s">
        <v>3600</v>
      </c>
      <c r="D10871" s="1" t="s">
        <v>8100</v>
      </c>
      <c r="E10871" s="1" t="s">
        <v>3611</v>
      </c>
      <c r="F10871" s="1" t="s">
        <v>35448</v>
      </c>
      <c r="G10871" s="1" t="s">
        <v>19911</v>
      </c>
      <c r="H10871" s="1" t="s">
        <v>3606</v>
      </c>
      <c r="I10871" s="1" t="s">
        <v>35449</v>
      </c>
      <c r="J10871" s="1" t="s">
        <v>3615</v>
      </c>
      <c r="K10871" s="1" t="s">
        <v>35450</v>
      </c>
      <c r="L10871" s="1"/>
      <c r="M10871" s="1"/>
    </row>
    <row x14ac:dyDescent="0.25" r="10872" customHeight="1" ht="18.75">
      <c r="A10872" s="1" t="s">
        <v>3598</v>
      </c>
      <c r="B10872" s="1" t="s">
        <v>13864</v>
      </c>
      <c r="C10872" s="1" t="s">
        <v>3600</v>
      </c>
      <c r="D10872" s="1" t="s">
        <v>7847</v>
      </c>
      <c r="E10872" s="1" t="s">
        <v>3664</v>
      </c>
      <c r="F10872" s="1" t="s">
        <v>35451</v>
      </c>
      <c r="G10872" s="1" t="s">
        <v>35452</v>
      </c>
      <c r="H10872" s="1" t="s">
        <v>3606</v>
      </c>
      <c r="I10872" s="1" t="s">
        <v>35453</v>
      </c>
      <c r="J10872" s="1" t="s">
        <v>3615</v>
      </c>
      <c r="K10872" s="1" t="s">
        <v>35454</v>
      </c>
      <c r="L10872" s="1"/>
      <c r="M10872" s="1"/>
    </row>
    <row x14ac:dyDescent="0.25" r="10873" customHeight="1" ht="18.75">
      <c r="A10873" s="1" t="s">
        <v>3598</v>
      </c>
      <c r="B10873" s="1" t="s">
        <v>13864</v>
      </c>
      <c r="C10873" s="1" t="s">
        <v>3600</v>
      </c>
      <c r="D10873" s="1" t="s">
        <v>8100</v>
      </c>
      <c r="E10873" s="1" t="s">
        <v>3664</v>
      </c>
      <c r="F10873" s="1" t="s">
        <v>35455</v>
      </c>
      <c r="G10873" s="1" t="s">
        <v>35456</v>
      </c>
      <c r="H10873" s="1" t="s">
        <v>3606</v>
      </c>
      <c r="I10873" s="1" t="s">
        <v>35457</v>
      </c>
      <c r="J10873" s="1" t="s">
        <v>3615</v>
      </c>
      <c r="K10873" s="1" t="s">
        <v>35458</v>
      </c>
      <c r="L10873" s="1"/>
      <c r="M10873" s="1"/>
    </row>
    <row x14ac:dyDescent="0.25" r="10874" customHeight="1" ht="18.75">
      <c r="A10874" s="1" t="s">
        <v>3598</v>
      </c>
      <c r="B10874" s="1" t="s">
        <v>19642</v>
      </c>
      <c r="C10874" s="1" t="s">
        <v>3600</v>
      </c>
      <c r="D10874" s="1" t="s">
        <v>8100</v>
      </c>
      <c r="E10874" s="1" t="s">
        <v>3664</v>
      </c>
      <c r="F10874" s="1" t="s">
        <v>35459</v>
      </c>
      <c r="G10874" s="1" t="s">
        <v>35460</v>
      </c>
      <c r="H10874" s="1" t="s">
        <v>3606</v>
      </c>
      <c r="I10874" s="1" t="s">
        <v>35461</v>
      </c>
      <c r="J10874" s="1" t="s">
        <v>3615</v>
      </c>
      <c r="K10874" s="1" t="s">
        <v>35462</v>
      </c>
      <c r="L10874" s="1"/>
      <c r="M10874" s="1"/>
    </row>
    <row x14ac:dyDescent="0.25" r="10875" customHeight="1" ht="18.75">
      <c r="A10875" s="1" t="s">
        <v>3598</v>
      </c>
      <c r="B10875" s="1" t="s">
        <v>19642</v>
      </c>
      <c r="C10875" s="1" t="s">
        <v>3600</v>
      </c>
      <c r="D10875" s="1" t="s">
        <v>8100</v>
      </c>
      <c r="E10875" s="1" t="s">
        <v>3664</v>
      </c>
      <c r="F10875" s="1" t="s">
        <v>35463</v>
      </c>
      <c r="G10875" s="1" t="s">
        <v>35460</v>
      </c>
      <c r="H10875" s="1" t="s">
        <v>3606</v>
      </c>
      <c r="I10875" s="1" t="s">
        <v>35464</v>
      </c>
      <c r="J10875" s="1" t="s">
        <v>3615</v>
      </c>
      <c r="K10875" s="1" t="s">
        <v>35465</v>
      </c>
      <c r="L10875" s="1"/>
      <c r="M10875" s="1"/>
    </row>
    <row x14ac:dyDescent="0.25" r="10876" customHeight="1" ht="18.75">
      <c r="A10876" s="1" t="s">
        <v>3598</v>
      </c>
      <c r="B10876" s="1" t="s">
        <v>19642</v>
      </c>
      <c r="C10876" s="1" t="s">
        <v>3600</v>
      </c>
      <c r="D10876" s="1" t="s">
        <v>8100</v>
      </c>
      <c r="E10876" s="1" t="s">
        <v>3664</v>
      </c>
      <c r="F10876" s="1" t="s">
        <v>35466</v>
      </c>
      <c r="G10876" s="1" t="s">
        <v>35460</v>
      </c>
      <c r="H10876" s="1" t="s">
        <v>3606</v>
      </c>
      <c r="I10876" s="1" t="s">
        <v>35467</v>
      </c>
      <c r="J10876" s="1" t="s">
        <v>3615</v>
      </c>
      <c r="K10876" s="1" t="s">
        <v>35468</v>
      </c>
      <c r="L10876" s="1"/>
      <c r="M10876" s="1"/>
    </row>
    <row x14ac:dyDescent="0.25" r="10877" customHeight="1" ht="18.75">
      <c r="A10877" s="1" t="s">
        <v>3598</v>
      </c>
      <c r="B10877" s="1" t="s">
        <v>18043</v>
      </c>
      <c r="C10877" s="1" t="s">
        <v>3600</v>
      </c>
      <c r="D10877" s="1" t="s">
        <v>8100</v>
      </c>
      <c r="E10877" s="1" t="s">
        <v>3664</v>
      </c>
      <c r="F10877" s="1" t="s">
        <v>35469</v>
      </c>
      <c r="G10877" s="1" t="s">
        <v>35470</v>
      </c>
      <c r="H10877" s="1" t="s">
        <v>3606</v>
      </c>
      <c r="I10877" s="1" t="s">
        <v>35471</v>
      </c>
      <c r="J10877" s="1" t="s">
        <v>3615</v>
      </c>
      <c r="K10877" s="1" t="s">
        <v>35421</v>
      </c>
      <c r="L10877" s="1"/>
      <c r="M10877" s="1"/>
    </row>
    <row x14ac:dyDescent="0.25" r="10878" customHeight="1" ht="18.75">
      <c r="A10878" s="1" t="s">
        <v>3598</v>
      </c>
      <c r="B10878" s="1" t="s">
        <v>18043</v>
      </c>
      <c r="C10878" s="1" t="s">
        <v>3600</v>
      </c>
      <c r="D10878" s="1" t="s">
        <v>8100</v>
      </c>
      <c r="E10878" s="1" t="s">
        <v>3664</v>
      </c>
      <c r="F10878" s="1" t="s">
        <v>35472</v>
      </c>
      <c r="G10878" s="1" t="s">
        <v>35473</v>
      </c>
      <c r="H10878" s="1" t="s">
        <v>3606</v>
      </c>
      <c r="I10878" s="1" t="s">
        <v>35474</v>
      </c>
      <c r="J10878" s="1" t="s">
        <v>3615</v>
      </c>
      <c r="K10878" s="1" t="s">
        <v>35475</v>
      </c>
      <c r="L10878" s="1"/>
      <c r="M10878" s="1"/>
    </row>
    <row x14ac:dyDescent="0.25" r="10879" customHeight="1" ht="18.75">
      <c r="A10879" s="1" t="s">
        <v>3598</v>
      </c>
      <c r="B10879" s="1" t="s">
        <v>4689</v>
      </c>
      <c r="C10879" s="1" t="s">
        <v>3600</v>
      </c>
      <c r="D10879" s="1" t="s">
        <v>7847</v>
      </c>
      <c r="E10879" s="1" t="s">
        <v>3752</v>
      </c>
      <c r="F10879" s="1" t="s">
        <v>35476</v>
      </c>
      <c r="G10879" s="1" t="s">
        <v>7853</v>
      </c>
      <c r="H10879" s="1" t="s">
        <v>3606</v>
      </c>
      <c r="I10879" s="1" t="s">
        <v>35477</v>
      </c>
      <c r="J10879" s="1" t="s">
        <v>3615</v>
      </c>
      <c r="K10879" s="1" t="s">
        <v>35478</v>
      </c>
      <c r="L10879" s="1"/>
      <c r="M10879" s="1"/>
    </row>
    <row x14ac:dyDescent="0.25" r="10880" customHeight="1" ht="18.75">
      <c r="A10880" s="1" t="s">
        <v>3598</v>
      </c>
      <c r="B10880" s="1" t="s">
        <v>4689</v>
      </c>
      <c r="C10880" s="1" t="s">
        <v>3600</v>
      </c>
      <c r="D10880" s="1" t="s">
        <v>7847</v>
      </c>
      <c r="E10880" s="1" t="s">
        <v>3664</v>
      </c>
      <c r="F10880" s="1" t="s">
        <v>35479</v>
      </c>
      <c r="G10880" s="1" t="s">
        <v>18016</v>
      </c>
      <c r="H10880" s="1" t="s">
        <v>3606</v>
      </c>
      <c r="I10880" s="1" t="s">
        <v>35480</v>
      </c>
      <c r="J10880" s="1" t="s">
        <v>3615</v>
      </c>
      <c r="K10880" s="1" t="s">
        <v>35481</v>
      </c>
      <c r="L10880" s="1"/>
      <c r="M10880" s="1"/>
    </row>
    <row x14ac:dyDescent="0.25" r="10881" customHeight="1" ht="18.75">
      <c r="A10881" s="1" t="s">
        <v>3598</v>
      </c>
      <c r="B10881" s="1" t="s">
        <v>4689</v>
      </c>
      <c r="C10881" s="1" t="s">
        <v>3600</v>
      </c>
      <c r="D10881" s="1" t="s">
        <v>7847</v>
      </c>
      <c r="E10881" s="1" t="s">
        <v>3664</v>
      </c>
      <c r="F10881" s="1" t="s">
        <v>35482</v>
      </c>
      <c r="G10881" s="1" t="s">
        <v>35483</v>
      </c>
      <c r="H10881" s="1" t="s">
        <v>3606</v>
      </c>
      <c r="I10881" s="1" t="s">
        <v>35484</v>
      </c>
      <c r="J10881" s="1" t="s">
        <v>3615</v>
      </c>
      <c r="K10881" s="1" t="s">
        <v>35485</v>
      </c>
      <c r="L10881" s="1"/>
      <c r="M10881" s="1"/>
    </row>
    <row x14ac:dyDescent="0.25" r="10882" customHeight="1" ht="18.75">
      <c r="A10882" s="1" t="s">
        <v>3598</v>
      </c>
      <c r="B10882" s="1" t="s">
        <v>4689</v>
      </c>
      <c r="C10882" s="1" t="s">
        <v>3600</v>
      </c>
      <c r="D10882" s="1" t="s">
        <v>7847</v>
      </c>
      <c r="E10882" s="1" t="s">
        <v>3893</v>
      </c>
      <c r="F10882" s="1" t="s">
        <v>35486</v>
      </c>
      <c r="G10882" s="1" t="s">
        <v>35487</v>
      </c>
      <c r="H10882" s="1" t="s">
        <v>3606</v>
      </c>
      <c r="I10882" s="1" t="s">
        <v>35488</v>
      </c>
      <c r="J10882" s="1" t="s">
        <v>3615</v>
      </c>
      <c r="K10882" s="1" t="s">
        <v>35441</v>
      </c>
      <c r="L10882" s="1"/>
      <c r="M10882" s="1"/>
    </row>
    <row x14ac:dyDescent="0.25" r="10883" customHeight="1" ht="18.75">
      <c r="A10883" s="1" t="s">
        <v>3598</v>
      </c>
      <c r="B10883" s="1" t="s">
        <v>4689</v>
      </c>
      <c r="C10883" s="1" t="s">
        <v>3600</v>
      </c>
      <c r="D10883" s="1" t="s">
        <v>7847</v>
      </c>
      <c r="E10883" s="1" t="s">
        <v>3893</v>
      </c>
      <c r="F10883" s="1" t="s">
        <v>35489</v>
      </c>
      <c r="G10883" s="1" t="s">
        <v>35487</v>
      </c>
      <c r="H10883" s="1" t="s">
        <v>3606</v>
      </c>
      <c r="I10883" s="1" t="s">
        <v>35490</v>
      </c>
      <c r="J10883" s="1" t="s">
        <v>3615</v>
      </c>
      <c r="K10883" s="1" t="s">
        <v>35444</v>
      </c>
      <c r="L10883" s="1"/>
      <c r="M10883" s="1"/>
    </row>
    <row x14ac:dyDescent="0.25" r="10884" customHeight="1" ht="18.75">
      <c r="A10884" s="1" t="s">
        <v>3598</v>
      </c>
      <c r="B10884" s="1" t="s">
        <v>4689</v>
      </c>
      <c r="C10884" s="1" t="s">
        <v>3600</v>
      </c>
      <c r="D10884" s="1" t="s">
        <v>7847</v>
      </c>
      <c r="E10884" s="1" t="s">
        <v>3893</v>
      </c>
      <c r="F10884" s="1" t="s">
        <v>35491</v>
      </c>
      <c r="G10884" s="1" t="s">
        <v>35487</v>
      </c>
      <c r="H10884" s="1" t="s">
        <v>3606</v>
      </c>
      <c r="I10884" s="1" t="s">
        <v>35492</v>
      </c>
      <c r="J10884" s="1" t="s">
        <v>3615</v>
      </c>
      <c r="K10884" s="1" t="s">
        <v>35447</v>
      </c>
      <c r="L10884" s="1"/>
      <c r="M10884" s="1"/>
    </row>
    <row x14ac:dyDescent="0.25" r="10885" customHeight="1" ht="18.75">
      <c r="A10885" s="1" t="s">
        <v>3598</v>
      </c>
      <c r="B10885" s="1" t="s">
        <v>8191</v>
      </c>
      <c r="C10885" s="1" t="s">
        <v>3600</v>
      </c>
      <c r="D10885" s="1" t="s">
        <v>8100</v>
      </c>
      <c r="E10885" s="1" t="s">
        <v>3664</v>
      </c>
      <c r="F10885" s="1" t="s">
        <v>35493</v>
      </c>
      <c r="G10885" s="1" t="s">
        <v>35494</v>
      </c>
      <c r="H10885" s="1" t="s">
        <v>3606</v>
      </c>
      <c r="I10885" s="1" t="s">
        <v>35495</v>
      </c>
      <c r="J10885" s="1" t="s">
        <v>3615</v>
      </c>
      <c r="K10885" s="1" t="s">
        <v>35421</v>
      </c>
      <c r="L10885" s="1"/>
      <c r="M10885" s="1"/>
    </row>
    <row x14ac:dyDescent="0.25" r="10886" customHeight="1" ht="18.75">
      <c r="A10886" s="1" t="s">
        <v>3598</v>
      </c>
      <c r="B10886" s="1" t="s">
        <v>8191</v>
      </c>
      <c r="C10886" s="1" t="s">
        <v>3600</v>
      </c>
      <c r="D10886" s="1" t="s">
        <v>7847</v>
      </c>
      <c r="E10886" s="1" t="s">
        <v>3752</v>
      </c>
      <c r="F10886" s="1" t="s">
        <v>35496</v>
      </c>
      <c r="G10886" s="1" t="s">
        <v>35497</v>
      </c>
      <c r="H10886" s="1" t="s">
        <v>3606</v>
      </c>
      <c r="I10886" s="1" t="s">
        <v>35498</v>
      </c>
      <c r="J10886" s="1" t="s">
        <v>3615</v>
      </c>
      <c r="K10886" s="1" t="s">
        <v>35499</v>
      </c>
      <c r="L10886" s="1"/>
      <c r="M10886" s="1"/>
    </row>
    <row x14ac:dyDescent="0.25" r="10887" customHeight="1" ht="18.75">
      <c r="A10887" s="1" t="s">
        <v>3598</v>
      </c>
      <c r="B10887" s="1" t="s">
        <v>14123</v>
      </c>
      <c r="C10887" s="1" t="s">
        <v>3600</v>
      </c>
      <c r="D10887" s="1" t="s">
        <v>8100</v>
      </c>
      <c r="E10887" s="1" t="s">
        <v>3893</v>
      </c>
      <c r="F10887" s="1" t="s">
        <v>35500</v>
      </c>
      <c r="G10887" s="1" t="s">
        <v>35501</v>
      </c>
      <c r="H10887" s="1" t="s">
        <v>3606</v>
      </c>
      <c r="I10887" s="1" t="s">
        <v>35502</v>
      </c>
      <c r="J10887" s="1" t="s">
        <v>3615</v>
      </c>
      <c r="K10887" s="1" t="s">
        <v>35503</v>
      </c>
      <c r="L10887" s="1"/>
      <c r="M10887" s="1"/>
    </row>
    <row x14ac:dyDescent="0.25" r="10888" customHeight="1" ht="18.75">
      <c r="A10888" s="1" t="s">
        <v>3598</v>
      </c>
      <c r="B10888" s="1" t="s">
        <v>14123</v>
      </c>
      <c r="C10888" s="1" t="s">
        <v>3600</v>
      </c>
      <c r="D10888" s="1" t="s">
        <v>8100</v>
      </c>
      <c r="E10888" s="1" t="s">
        <v>3893</v>
      </c>
      <c r="F10888" s="1" t="s">
        <v>35504</v>
      </c>
      <c r="G10888" s="1" t="s">
        <v>35501</v>
      </c>
      <c r="H10888" s="1" t="s">
        <v>3606</v>
      </c>
      <c r="I10888" s="1" t="s">
        <v>35505</v>
      </c>
      <c r="J10888" s="1" t="s">
        <v>3615</v>
      </c>
      <c r="K10888" s="1" t="s">
        <v>35506</v>
      </c>
      <c r="L10888" s="1"/>
      <c r="M10888" s="1"/>
    </row>
    <row x14ac:dyDescent="0.25" r="10889" customHeight="1" ht="18.75">
      <c r="A10889" s="1" t="s">
        <v>3598</v>
      </c>
      <c r="B10889" s="1" t="s">
        <v>14123</v>
      </c>
      <c r="C10889" s="1" t="s">
        <v>3600</v>
      </c>
      <c r="D10889" s="1" t="s">
        <v>8100</v>
      </c>
      <c r="E10889" s="1" t="s">
        <v>3893</v>
      </c>
      <c r="F10889" s="1" t="s">
        <v>35507</v>
      </c>
      <c r="G10889" s="1" t="s">
        <v>35501</v>
      </c>
      <c r="H10889" s="1" t="s">
        <v>3606</v>
      </c>
      <c r="I10889" s="1" t="s">
        <v>35508</v>
      </c>
      <c r="J10889" s="1" t="s">
        <v>3615</v>
      </c>
      <c r="K10889" s="1" t="s">
        <v>35509</v>
      </c>
      <c r="L10889" s="1"/>
      <c r="M10889" s="1"/>
    </row>
    <row x14ac:dyDescent="0.25" r="10890" customHeight="1" ht="18.75">
      <c r="A10890" s="1" t="s">
        <v>3598</v>
      </c>
      <c r="B10890" s="1" t="s">
        <v>14123</v>
      </c>
      <c r="C10890" s="1" t="s">
        <v>3600</v>
      </c>
      <c r="D10890" s="1" t="s">
        <v>7847</v>
      </c>
      <c r="E10890" s="1" t="s">
        <v>3893</v>
      </c>
      <c r="F10890" s="1" t="s">
        <v>35510</v>
      </c>
      <c r="G10890" s="1" t="s">
        <v>35511</v>
      </c>
      <c r="H10890" s="1" t="s">
        <v>3606</v>
      </c>
      <c r="I10890" s="1" t="s">
        <v>35512</v>
      </c>
      <c r="J10890" s="1" t="s">
        <v>3615</v>
      </c>
      <c r="K10890" s="1" t="s">
        <v>35513</v>
      </c>
      <c r="L10890" s="1"/>
      <c r="M10890" s="1"/>
    </row>
    <row x14ac:dyDescent="0.25" r="10891" customHeight="1" ht="18.75">
      <c r="A10891" s="1" t="s">
        <v>3598</v>
      </c>
      <c r="B10891" s="1" t="s">
        <v>14123</v>
      </c>
      <c r="C10891" s="1" t="s">
        <v>3600</v>
      </c>
      <c r="D10891" s="1" t="s">
        <v>7847</v>
      </c>
      <c r="E10891" s="1" t="s">
        <v>3893</v>
      </c>
      <c r="F10891" s="1" t="s">
        <v>35514</v>
      </c>
      <c r="G10891" s="1" t="s">
        <v>35515</v>
      </c>
      <c r="H10891" s="1" t="s">
        <v>3606</v>
      </c>
      <c r="I10891" s="1" t="s">
        <v>35516</v>
      </c>
      <c r="J10891" s="1" t="s">
        <v>3615</v>
      </c>
      <c r="K10891" s="1" t="s">
        <v>35517</v>
      </c>
      <c r="L10891" s="1"/>
      <c r="M10891" s="1"/>
    </row>
    <row x14ac:dyDescent="0.25" r="10892" customHeight="1" ht="18.75">
      <c r="A10892" s="1" t="s">
        <v>3598</v>
      </c>
      <c r="B10892" s="1" t="s">
        <v>14123</v>
      </c>
      <c r="C10892" s="1" t="s">
        <v>3600</v>
      </c>
      <c r="D10892" s="1" t="s">
        <v>7847</v>
      </c>
      <c r="E10892" s="1" t="s">
        <v>3893</v>
      </c>
      <c r="F10892" s="1" t="s">
        <v>35518</v>
      </c>
      <c r="G10892" s="1" t="s">
        <v>35515</v>
      </c>
      <c r="H10892" s="1" t="s">
        <v>3606</v>
      </c>
      <c r="I10892" s="1" t="s">
        <v>35519</v>
      </c>
      <c r="J10892" s="1" t="s">
        <v>3615</v>
      </c>
      <c r="K10892" s="1" t="s">
        <v>35520</v>
      </c>
      <c r="L10892" s="1"/>
      <c r="M10892" s="1"/>
    </row>
    <row x14ac:dyDescent="0.25" r="10893" customHeight="1" ht="18.75">
      <c r="A10893" s="1" t="s">
        <v>3598</v>
      </c>
      <c r="B10893" s="1" t="s">
        <v>14123</v>
      </c>
      <c r="C10893" s="1" t="s">
        <v>3600</v>
      </c>
      <c r="D10893" s="1" t="s">
        <v>7847</v>
      </c>
      <c r="E10893" s="1" t="s">
        <v>3893</v>
      </c>
      <c r="F10893" s="1" t="s">
        <v>35521</v>
      </c>
      <c r="G10893" s="1" t="s">
        <v>35515</v>
      </c>
      <c r="H10893" s="1" t="s">
        <v>3606</v>
      </c>
      <c r="I10893" s="1" t="s">
        <v>35522</v>
      </c>
      <c r="J10893" s="1" t="s">
        <v>3615</v>
      </c>
      <c r="K10893" s="1" t="s">
        <v>35523</v>
      </c>
      <c r="L10893" s="1"/>
      <c r="M10893" s="1"/>
    </row>
    <row x14ac:dyDescent="0.25" r="10894" customHeight="1" ht="18.75">
      <c r="A10894" s="1" t="s">
        <v>3598</v>
      </c>
      <c r="B10894" s="1" t="s">
        <v>14123</v>
      </c>
      <c r="C10894" s="1" t="s">
        <v>3600</v>
      </c>
      <c r="D10894" s="1" t="s">
        <v>8100</v>
      </c>
      <c r="E10894" s="1" t="s">
        <v>3893</v>
      </c>
      <c r="F10894" s="1" t="s">
        <v>35524</v>
      </c>
      <c r="G10894" s="1" t="s">
        <v>35525</v>
      </c>
      <c r="H10894" s="1" t="s">
        <v>3606</v>
      </c>
      <c r="I10894" s="1" t="s">
        <v>35526</v>
      </c>
      <c r="J10894" s="1" t="s">
        <v>3615</v>
      </c>
      <c r="K10894" s="1" t="s">
        <v>35527</v>
      </c>
      <c r="L10894" s="1"/>
      <c r="M10894" s="1"/>
    </row>
    <row x14ac:dyDescent="0.25" r="10895" customHeight="1" ht="18.75">
      <c r="A10895" s="1" t="s">
        <v>3598</v>
      </c>
      <c r="B10895" s="1" t="s">
        <v>14123</v>
      </c>
      <c r="C10895" s="1" t="s">
        <v>3600</v>
      </c>
      <c r="D10895" s="1" t="s">
        <v>8100</v>
      </c>
      <c r="E10895" s="1" t="s">
        <v>3893</v>
      </c>
      <c r="F10895" s="1" t="s">
        <v>35528</v>
      </c>
      <c r="G10895" s="1" t="s">
        <v>35525</v>
      </c>
      <c r="H10895" s="1" t="s">
        <v>3606</v>
      </c>
      <c r="I10895" s="1" t="s">
        <v>35529</v>
      </c>
      <c r="J10895" s="1" t="s">
        <v>3615</v>
      </c>
      <c r="K10895" s="1" t="s">
        <v>35530</v>
      </c>
      <c r="L10895" s="1"/>
      <c r="M10895" s="1"/>
    </row>
    <row x14ac:dyDescent="0.25" r="10896" customHeight="1" ht="18.75">
      <c r="A10896" s="1" t="s">
        <v>3598</v>
      </c>
      <c r="B10896" s="1" t="s">
        <v>14123</v>
      </c>
      <c r="C10896" s="1" t="s">
        <v>3600</v>
      </c>
      <c r="D10896" s="1" t="s">
        <v>8100</v>
      </c>
      <c r="E10896" s="1" t="s">
        <v>3893</v>
      </c>
      <c r="F10896" s="1" t="s">
        <v>35531</v>
      </c>
      <c r="G10896" s="1" t="s">
        <v>35525</v>
      </c>
      <c r="H10896" s="1" t="s">
        <v>3606</v>
      </c>
      <c r="I10896" s="1" t="s">
        <v>35532</v>
      </c>
      <c r="J10896" s="1" t="s">
        <v>3615</v>
      </c>
      <c r="K10896" s="1" t="s">
        <v>35533</v>
      </c>
      <c r="L10896" s="1"/>
      <c r="M10896" s="1"/>
    </row>
    <row x14ac:dyDescent="0.25" r="10897" customHeight="1" ht="18.75">
      <c r="A10897" s="1" t="s">
        <v>3598</v>
      </c>
      <c r="B10897" s="1" t="s">
        <v>14123</v>
      </c>
      <c r="C10897" s="1" t="s">
        <v>3600</v>
      </c>
      <c r="D10897" s="1" t="s">
        <v>8100</v>
      </c>
      <c r="E10897" s="1" t="s">
        <v>3893</v>
      </c>
      <c r="F10897" s="1" t="s">
        <v>35534</v>
      </c>
      <c r="G10897" s="1" t="s">
        <v>8609</v>
      </c>
      <c r="H10897" s="1" t="s">
        <v>3606</v>
      </c>
      <c r="I10897" s="1" t="s">
        <v>35535</v>
      </c>
      <c r="J10897" s="1" t="s">
        <v>3615</v>
      </c>
      <c r="K10897" s="1" t="s">
        <v>35536</v>
      </c>
      <c r="L10897" s="1"/>
      <c r="M10897" s="1"/>
    </row>
    <row x14ac:dyDescent="0.25" r="10898" customHeight="1" ht="18.75">
      <c r="A10898" s="1" t="s">
        <v>3598</v>
      </c>
      <c r="B10898" s="1" t="s">
        <v>14123</v>
      </c>
      <c r="C10898" s="1" t="s">
        <v>3600</v>
      </c>
      <c r="D10898" s="1" t="s">
        <v>8100</v>
      </c>
      <c r="E10898" s="1" t="s">
        <v>3893</v>
      </c>
      <c r="F10898" s="1" t="s">
        <v>35537</v>
      </c>
      <c r="G10898" s="1" t="s">
        <v>8609</v>
      </c>
      <c r="H10898" s="1" t="s">
        <v>3606</v>
      </c>
      <c r="I10898" s="1" t="s">
        <v>35538</v>
      </c>
      <c r="J10898" s="1" t="s">
        <v>3615</v>
      </c>
      <c r="K10898" s="1" t="s">
        <v>35539</v>
      </c>
      <c r="L10898" s="1"/>
      <c r="M10898" s="1"/>
    </row>
    <row x14ac:dyDescent="0.25" r="10899" customHeight="1" ht="18.75">
      <c r="A10899" s="1" t="s">
        <v>3598</v>
      </c>
      <c r="B10899" s="1" t="s">
        <v>14123</v>
      </c>
      <c r="C10899" s="1" t="s">
        <v>3600</v>
      </c>
      <c r="D10899" s="1" t="s">
        <v>8100</v>
      </c>
      <c r="E10899" s="1" t="s">
        <v>3893</v>
      </c>
      <c r="F10899" s="1" t="s">
        <v>35540</v>
      </c>
      <c r="G10899" s="1" t="s">
        <v>8609</v>
      </c>
      <c r="H10899" s="1" t="s">
        <v>3606</v>
      </c>
      <c r="I10899" s="1" t="s">
        <v>35541</v>
      </c>
      <c r="J10899" s="1" t="s">
        <v>3615</v>
      </c>
      <c r="K10899" s="1" t="s">
        <v>35542</v>
      </c>
      <c r="L10899" s="1"/>
      <c r="M10899" s="1"/>
    </row>
    <row x14ac:dyDescent="0.25" r="10900" customHeight="1" ht="18.75">
      <c r="A10900" s="1" t="s">
        <v>3598</v>
      </c>
      <c r="B10900" s="1" t="s">
        <v>9007</v>
      </c>
      <c r="C10900" s="1" t="s">
        <v>3600</v>
      </c>
      <c r="D10900" s="1" t="s">
        <v>7847</v>
      </c>
      <c r="E10900" s="1" t="s">
        <v>3893</v>
      </c>
      <c r="F10900" s="1" t="s">
        <v>35543</v>
      </c>
      <c r="G10900" s="1" t="s">
        <v>19942</v>
      </c>
      <c r="H10900" s="1" t="s">
        <v>3606</v>
      </c>
      <c r="I10900" s="1" t="s">
        <v>35544</v>
      </c>
      <c r="J10900" s="1" t="s">
        <v>3615</v>
      </c>
      <c r="K10900" s="1" t="s">
        <v>35545</v>
      </c>
      <c r="L10900" s="1"/>
      <c r="M10900" s="1"/>
    </row>
    <row x14ac:dyDescent="0.25" r="10901" customHeight="1" ht="18.75">
      <c r="A10901" s="1" t="s">
        <v>3598</v>
      </c>
      <c r="B10901" s="1" t="s">
        <v>9007</v>
      </c>
      <c r="C10901" s="1" t="s">
        <v>3600</v>
      </c>
      <c r="D10901" s="1" t="s">
        <v>7847</v>
      </c>
      <c r="E10901" s="1" t="s">
        <v>3893</v>
      </c>
      <c r="F10901" s="1" t="s">
        <v>35546</v>
      </c>
      <c r="G10901" s="1" t="s">
        <v>35547</v>
      </c>
      <c r="H10901" s="1" t="s">
        <v>3606</v>
      </c>
      <c r="I10901" s="1" t="s">
        <v>35548</v>
      </c>
      <c r="J10901" s="1" t="s">
        <v>3615</v>
      </c>
      <c r="K10901" s="1" t="s">
        <v>35549</v>
      </c>
      <c r="L10901" s="1"/>
      <c r="M10901" s="1"/>
    </row>
    <row x14ac:dyDescent="0.25" r="10902" customHeight="1" ht="18.75">
      <c r="A10902" s="1" t="s">
        <v>3598</v>
      </c>
      <c r="B10902" s="1" t="s">
        <v>9007</v>
      </c>
      <c r="C10902" s="1" t="s">
        <v>3600</v>
      </c>
      <c r="D10902" s="1" t="s">
        <v>7847</v>
      </c>
      <c r="E10902" s="1" t="s">
        <v>3893</v>
      </c>
      <c r="F10902" s="1" t="s">
        <v>35550</v>
      </c>
      <c r="G10902" s="1" t="s">
        <v>35547</v>
      </c>
      <c r="H10902" s="1" t="s">
        <v>3606</v>
      </c>
      <c r="I10902" s="1" t="s">
        <v>35551</v>
      </c>
      <c r="J10902" s="1" t="s">
        <v>3615</v>
      </c>
      <c r="K10902" s="1" t="s">
        <v>35552</v>
      </c>
      <c r="L10902" s="1"/>
      <c r="M10902" s="1"/>
    </row>
    <row x14ac:dyDescent="0.25" r="10903" customHeight="1" ht="18.75">
      <c r="A10903" s="1" t="s">
        <v>3598</v>
      </c>
      <c r="B10903" s="1" t="s">
        <v>9007</v>
      </c>
      <c r="C10903" s="1" t="s">
        <v>3600</v>
      </c>
      <c r="D10903" s="1" t="s">
        <v>7847</v>
      </c>
      <c r="E10903" s="1" t="s">
        <v>3893</v>
      </c>
      <c r="F10903" s="1" t="s">
        <v>35553</v>
      </c>
      <c r="G10903" s="1" t="s">
        <v>35547</v>
      </c>
      <c r="H10903" s="1" t="s">
        <v>3606</v>
      </c>
      <c r="I10903" s="1" t="s">
        <v>35554</v>
      </c>
      <c r="J10903" s="1" t="s">
        <v>3615</v>
      </c>
      <c r="K10903" s="1" t="s">
        <v>35555</v>
      </c>
      <c r="L10903" s="1"/>
      <c r="M10903" s="1"/>
    </row>
    <row x14ac:dyDescent="0.25" r="10904" customHeight="1" ht="18.75">
      <c r="A10904" s="1" t="s">
        <v>3598</v>
      </c>
      <c r="B10904" s="1" t="s">
        <v>13758</v>
      </c>
      <c r="C10904" s="1" t="s">
        <v>3600</v>
      </c>
      <c r="D10904" s="1" t="s">
        <v>7847</v>
      </c>
      <c r="E10904" s="1" t="s">
        <v>3664</v>
      </c>
      <c r="F10904" s="1" t="s">
        <v>35556</v>
      </c>
      <c r="G10904" s="1" t="s">
        <v>35557</v>
      </c>
      <c r="H10904" s="1" t="s">
        <v>3606</v>
      </c>
      <c r="I10904" s="1" t="s">
        <v>35558</v>
      </c>
      <c r="J10904" s="1" t="s">
        <v>3615</v>
      </c>
      <c r="K10904" s="1" t="s">
        <v>25542</v>
      </c>
      <c r="L10904" s="1"/>
      <c r="M10904" s="1"/>
    </row>
    <row x14ac:dyDescent="0.25" r="10905" customHeight="1" ht="18.75">
      <c r="A10905" s="1" t="s">
        <v>3598</v>
      </c>
      <c r="B10905" s="1" t="s">
        <v>14104</v>
      </c>
      <c r="C10905" s="1" t="s">
        <v>3600</v>
      </c>
      <c r="D10905" s="1" t="s">
        <v>7847</v>
      </c>
      <c r="E10905" s="1" t="s">
        <v>3752</v>
      </c>
      <c r="F10905" s="1" t="s">
        <v>35559</v>
      </c>
      <c r="G10905" s="1" t="s">
        <v>14130</v>
      </c>
      <c r="H10905" s="1" t="s">
        <v>3606</v>
      </c>
      <c r="I10905" s="1" t="s">
        <v>35560</v>
      </c>
      <c r="J10905" s="1" t="s">
        <v>3615</v>
      </c>
      <c r="K10905" s="1" t="s">
        <v>35561</v>
      </c>
      <c r="L10905" s="1"/>
      <c r="M10905" s="1"/>
    </row>
    <row x14ac:dyDescent="0.25" r="10906" customHeight="1" ht="18.75">
      <c r="A10906" s="1" t="s">
        <v>3598</v>
      </c>
      <c r="B10906" s="1" t="s">
        <v>14104</v>
      </c>
      <c r="C10906" s="1" t="s">
        <v>3600</v>
      </c>
      <c r="D10906" s="1" t="s">
        <v>8100</v>
      </c>
      <c r="E10906" s="1" t="s">
        <v>3893</v>
      </c>
      <c r="F10906" s="1" t="s">
        <v>35562</v>
      </c>
      <c r="G10906" s="1" t="s">
        <v>35563</v>
      </c>
      <c r="H10906" s="1" t="s">
        <v>3606</v>
      </c>
      <c r="I10906" s="1" t="s">
        <v>35564</v>
      </c>
      <c r="J10906" s="1" t="s">
        <v>3615</v>
      </c>
      <c r="K10906" s="1" t="s">
        <v>35565</v>
      </c>
      <c r="L10906" s="1"/>
      <c r="M10906" s="1"/>
    </row>
    <row x14ac:dyDescent="0.25" r="10907" customHeight="1" ht="18.75">
      <c r="A10907" s="1" t="s">
        <v>3598</v>
      </c>
      <c r="B10907" s="1" t="s">
        <v>14104</v>
      </c>
      <c r="C10907" s="1" t="s">
        <v>3600</v>
      </c>
      <c r="D10907" s="1" t="s">
        <v>8100</v>
      </c>
      <c r="E10907" s="1" t="s">
        <v>3893</v>
      </c>
      <c r="F10907" s="1" t="s">
        <v>35566</v>
      </c>
      <c r="G10907" s="1" t="s">
        <v>35563</v>
      </c>
      <c r="H10907" s="1" t="s">
        <v>3606</v>
      </c>
      <c r="I10907" s="1" t="s">
        <v>35567</v>
      </c>
      <c r="J10907" s="1" t="s">
        <v>3615</v>
      </c>
      <c r="K10907" s="1" t="s">
        <v>35568</v>
      </c>
      <c r="L10907" s="1"/>
      <c r="M10907" s="1"/>
    </row>
    <row x14ac:dyDescent="0.25" r="10908" customHeight="1" ht="18.75">
      <c r="A10908" s="1" t="s">
        <v>3598</v>
      </c>
      <c r="B10908" s="1" t="s">
        <v>14104</v>
      </c>
      <c r="C10908" s="1" t="s">
        <v>3600</v>
      </c>
      <c r="D10908" s="1" t="s">
        <v>8100</v>
      </c>
      <c r="E10908" s="1" t="s">
        <v>3893</v>
      </c>
      <c r="F10908" s="1" t="s">
        <v>35569</v>
      </c>
      <c r="G10908" s="1" t="s">
        <v>35563</v>
      </c>
      <c r="H10908" s="1" t="s">
        <v>3606</v>
      </c>
      <c r="I10908" s="1" t="s">
        <v>35570</v>
      </c>
      <c r="J10908" s="1" t="s">
        <v>3615</v>
      </c>
      <c r="K10908" s="1" t="s">
        <v>35571</v>
      </c>
      <c r="L10908" s="1"/>
      <c r="M10908" s="1"/>
    </row>
    <row x14ac:dyDescent="0.25" r="10909" customHeight="1" ht="18.75">
      <c r="A10909" s="1" t="s">
        <v>3598</v>
      </c>
      <c r="B10909" s="1" t="s">
        <v>18066</v>
      </c>
      <c r="C10909" s="1" t="s">
        <v>3600</v>
      </c>
      <c r="D10909" s="1" t="s">
        <v>7847</v>
      </c>
      <c r="E10909" s="1" t="s">
        <v>3664</v>
      </c>
      <c r="F10909" s="1" t="s">
        <v>35572</v>
      </c>
      <c r="G10909" s="1" t="s">
        <v>35573</v>
      </c>
      <c r="H10909" s="1" t="s">
        <v>3606</v>
      </c>
      <c r="I10909" s="1" t="s">
        <v>35574</v>
      </c>
      <c r="J10909" s="1" t="s">
        <v>3615</v>
      </c>
      <c r="K10909" s="1" t="s">
        <v>35413</v>
      </c>
      <c r="L10909" s="1"/>
      <c r="M10909" s="1"/>
    </row>
    <row x14ac:dyDescent="0.25" r="10910" customHeight="1" ht="18.75">
      <c r="A10910" s="1" t="s">
        <v>3598</v>
      </c>
      <c r="B10910" s="1" t="s">
        <v>15569</v>
      </c>
      <c r="C10910" s="1" t="s">
        <v>3600</v>
      </c>
      <c r="D10910" s="1" t="s">
        <v>7847</v>
      </c>
      <c r="E10910" s="1" t="s">
        <v>3664</v>
      </c>
      <c r="F10910" s="1" t="s">
        <v>35575</v>
      </c>
      <c r="G10910" s="1" t="s">
        <v>35576</v>
      </c>
      <c r="H10910" s="1" t="s">
        <v>3606</v>
      </c>
      <c r="I10910" s="1" t="s">
        <v>35577</v>
      </c>
      <c r="J10910" s="1" t="s">
        <v>3615</v>
      </c>
      <c r="K10910" s="1" t="s">
        <v>35435</v>
      </c>
      <c r="L10910" s="1"/>
      <c r="M10910" s="1"/>
    </row>
    <row x14ac:dyDescent="0.25" r="10911" customHeight="1" ht="18.75">
      <c r="A10911" s="1" t="s">
        <v>3598</v>
      </c>
      <c r="B10911" s="1" t="s">
        <v>15569</v>
      </c>
      <c r="C10911" s="1" t="s">
        <v>3600</v>
      </c>
      <c r="D10911" s="1" t="s">
        <v>7847</v>
      </c>
      <c r="E10911" s="1" t="s">
        <v>3752</v>
      </c>
      <c r="F10911" s="1" t="s">
        <v>35578</v>
      </c>
      <c r="G10911" s="1" t="s">
        <v>35579</v>
      </c>
      <c r="H10911" s="1" t="s">
        <v>3606</v>
      </c>
      <c r="I10911" s="1" t="s">
        <v>35580</v>
      </c>
      <c r="J10911" s="1" t="s">
        <v>3615</v>
      </c>
      <c r="K10911" s="1" t="s">
        <v>35581</v>
      </c>
      <c r="L10911" s="1"/>
      <c r="M10911" s="1"/>
    </row>
    <row x14ac:dyDescent="0.25" r="10912" customHeight="1" ht="18.75">
      <c r="A10912" s="1" t="s">
        <v>3693</v>
      </c>
      <c r="B10912" s="1" t="s">
        <v>4204</v>
      </c>
      <c r="C10912" s="1" t="s">
        <v>3600</v>
      </c>
      <c r="D10912" s="1" t="s">
        <v>7847</v>
      </c>
      <c r="E10912" s="1" t="s">
        <v>3981</v>
      </c>
      <c r="F10912" s="1" t="s">
        <v>35582</v>
      </c>
      <c r="G10912" s="1" t="s">
        <v>9625</v>
      </c>
      <c r="H10912" s="1" t="s">
        <v>3606</v>
      </c>
      <c r="I10912" s="1" t="s">
        <v>35583</v>
      </c>
      <c r="J10912" s="1" t="s">
        <v>3615</v>
      </c>
      <c r="K10912" s="1" t="s">
        <v>35584</v>
      </c>
      <c r="L10912" s="1"/>
      <c r="M10912" s="1"/>
    </row>
    <row x14ac:dyDescent="0.25" r="10913" customHeight="1" ht="18.75">
      <c r="A10913" s="1" t="s">
        <v>3598</v>
      </c>
      <c r="B10913" s="1" t="s">
        <v>8082</v>
      </c>
      <c r="C10913" s="1" t="s">
        <v>3600</v>
      </c>
      <c r="D10913" s="1" t="s">
        <v>7847</v>
      </c>
      <c r="E10913" s="1" t="s">
        <v>3664</v>
      </c>
      <c r="F10913" s="1" t="s">
        <v>35585</v>
      </c>
      <c r="G10913" s="1" t="s">
        <v>35586</v>
      </c>
      <c r="H10913" s="1" t="s">
        <v>3606</v>
      </c>
      <c r="I10913" s="1" t="s">
        <v>35587</v>
      </c>
      <c r="J10913" s="1" t="s">
        <v>3615</v>
      </c>
      <c r="K10913" s="1" t="s">
        <v>35588</v>
      </c>
      <c r="L10913" s="1"/>
      <c r="M10913" s="1"/>
    </row>
    <row x14ac:dyDescent="0.25" r="10914" customHeight="1" ht="18.75">
      <c r="A10914" s="1" t="s">
        <v>3598</v>
      </c>
      <c r="B10914" s="1" t="s">
        <v>4689</v>
      </c>
      <c r="C10914" s="1" t="s">
        <v>3600</v>
      </c>
      <c r="D10914" s="1" t="s">
        <v>7847</v>
      </c>
      <c r="E10914" s="1" t="s">
        <v>3664</v>
      </c>
      <c r="F10914" s="1" t="s">
        <v>35589</v>
      </c>
      <c r="G10914" s="1" t="s">
        <v>18016</v>
      </c>
      <c r="H10914" s="1" t="s">
        <v>3606</v>
      </c>
      <c r="I10914" s="1" t="s">
        <v>35590</v>
      </c>
      <c r="J10914" s="1" t="s">
        <v>3615</v>
      </c>
      <c r="K10914" s="1" t="s">
        <v>35591</v>
      </c>
      <c r="L10914" s="1"/>
      <c r="M10914" s="1"/>
    </row>
    <row x14ac:dyDescent="0.25" r="10915" customHeight="1" ht="18.75">
      <c r="A10915" s="1" t="s">
        <v>3598</v>
      </c>
      <c r="B10915" s="1" t="s">
        <v>20557</v>
      </c>
      <c r="C10915" s="1" t="s">
        <v>3600</v>
      </c>
      <c r="D10915" s="1" t="s">
        <v>8100</v>
      </c>
      <c r="E10915" s="1" t="s">
        <v>3893</v>
      </c>
      <c r="F10915" s="1" t="s">
        <v>35592</v>
      </c>
      <c r="G10915" s="1" t="s">
        <v>35593</v>
      </c>
      <c r="H10915" s="1" t="s">
        <v>3606</v>
      </c>
      <c r="I10915" s="1" t="s">
        <v>35594</v>
      </c>
      <c r="J10915" s="1" t="s">
        <v>3615</v>
      </c>
      <c r="K10915" s="1" t="s">
        <v>35565</v>
      </c>
      <c r="L10915" s="1"/>
      <c r="M10915" s="1"/>
    </row>
    <row x14ac:dyDescent="0.25" r="10916" customHeight="1" ht="18.75">
      <c r="A10916" s="1" t="s">
        <v>7833</v>
      </c>
      <c r="B10916" s="1" t="s">
        <v>8828</v>
      </c>
      <c r="C10916" s="1" t="s">
        <v>4488</v>
      </c>
      <c r="D10916" s="1" t="s">
        <v>7847</v>
      </c>
      <c r="E10916" s="1" t="s">
        <v>3752</v>
      </c>
      <c r="F10916" s="1" t="s">
        <v>35595</v>
      </c>
      <c r="G10916" s="1" t="s">
        <v>35596</v>
      </c>
      <c r="H10916" s="1" t="s">
        <v>3606</v>
      </c>
      <c r="I10916" s="1" t="s">
        <v>35597</v>
      </c>
      <c r="J10916" s="1" t="s">
        <v>3615</v>
      </c>
      <c r="K10916" s="1" t="s">
        <v>8186</v>
      </c>
      <c r="L10916" s="1"/>
      <c r="M10916" s="1"/>
    </row>
    <row x14ac:dyDescent="0.25" r="10917" customHeight="1" ht="18.75">
      <c r="A10917" s="1" t="s">
        <v>5496</v>
      </c>
      <c r="B10917" s="1" t="s">
        <v>5222</v>
      </c>
      <c r="C10917" s="1" t="s">
        <v>3619</v>
      </c>
      <c r="D10917" s="1" t="s">
        <v>7847</v>
      </c>
      <c r="E10917" s="1" t="s">
        <v>3730</v>
      </c>
      <c r="F10917" s="1" t="s">
        <v>35598</v>
      </c>
      <c r="G10917" s="1" t="s">
        <v>35599</v>
      </c>
      <c r="H10917" s="1" t="s">
        <v>3606</v>
      </c>
      <c r="I10917" s="1" t="s">
        <v>35600</v>
      </c>
      <c r="J10917" s="1" t="s">
        <v>3615</v>
      </c>
      <c r="K10917" s="1" t="s">
        <v>35195</v>
      </c>
      <c r="L10917" s="1"/>
      <c r="M10917" s="1"/>
    </row>
    <row x14ac:dyDescent="0.25" r="10918" customHeight="1" ht="18.75">
      <c r="A10918" s="1" t="s">
        <v>5496</v>
      </c>
      <c r="B10918" s="1" t="s">
        <v>5222</v>
      </c>
      <c r="C10918" s="1" t="s">
        <v>3619</v>
      </c>
      <c r="D10918" s="1" t="s">
        <v>7847</v>
      </c>
      <c r="E10918" s="1" t="s">
        <v>3730</v>
      </c>
      <c r="F10918" s="1" t="s">
        <v>35601</v>
      </c>
      <c r="G10918" s="1" t="s">
        <v>35599</v>
      </c>
      <c r="H10918" s="1" t="s">
        <v>3606</v>
      </c>
      <c r="I10918" s="1" t="s">
        <v>35602</v>
      </c>
      <c r="J10918" s="1" t="s">
        <v>3615</v>
      </c>
      <c r="K10918" s="1" t="s">
        <v>35603</v>
      </c>
      <c r="L10918" s="1"/>
      <c r="M10918" s="1"/>
    </row>
    <row x14ac:dyDescent="0.25" r="10919" customHeight="1" ht="18.75">
      <c r="A10919" s="1" t="s">
        <v>5496</v>
      </c>
      <c r="B10919" s="1" t="s">
        <v>5222</v>
      </c>
      <c r="C10919" s="1" t="s">
        <v>3619</v>
      </c>
      <c r="D10919" s="1" t="s">
        <v>7847</v>
      </c>
      <c r="E10919" s="1" t="s">
        <v>3730</v>
      </c>
      <c r="F10919" s="1" t="s">
        <v>35604</v>
      </c>
      <c r="G10919" s="1" t="s">
        <v>35599</v>
      </c>
      <c r="H10919" s="1" t="s">
        <v>3606</v>
      </c>
      <c r="I10919" s="1" t="s">
        <v>35605</v>
      </c>
      <c r="J10919" s="1" t="s">
        <v>3615</v>
      </c>
      <c r="K10919" s="1" t="s">
        <v>35606</v>
      </c>
      <c r="L10919" s="1"/>
      <c r="M10919" s="1"/>
    </row>
    <row x14ac:dyDescent="0.25" r="10920" customHeight="1" ht="18.75">
      <c r="A10920" s="1" t="s">
        <v>5496</v>
      </c>
      <c r="B10920" s="1" t="s">
        <v>5222</v>
      </c>
      <c r="C10920" s="1" t="s">
        <v>3619</v>
      </c>
      <c r="D10920" s="1" t="s">
        <v>8100</v>
      </c>
      <c r="E10920" s="1" t="s">
        <v>3730</v>
      </c>
      <c r="F10920" s="1" t="s">
        <v>35607</v>
      </c>
      <c r="G10920" s="1" t="s">
        <v>35608</v>
      </c>
      <c r="H10920" s="1" t="s">
        <v>3606</v>
      </c>
      <c r="I10920" s="1" t="s">
        <v>35609</v>
      </c>
      <c r="J10920" s="1" t="s">
        <v>3615</v>
      </c>
      <c r="K10920" s="1" t="s">
        <v>35610</v>
      </c>
      <c r="L10920" s="1"/>
      <c r="M10920" s="1"/>
    </row>
    <row x14ac:dyDescent="0.25" r="10921" customHeight="1" ht="18.75">
      <c r="A10921" s="1" t="s">
        <v>5496</v>
      </c>
      <c r="B10921" s="1" t="s">
        <v>3980</v>
      </c>
      <c r="C10921" s="1" t="s">
        <v>3619</v>
      </c>
      <c r="D10921" s="1" t="s">
        <v>8100</v>
      </c>
      <c r="E10921" s="1" t="s">
        <v>3730</v>
      </c>
      <c r="F10921" s="1" t="s">
        <v>35611</v>
      </c>
      <c r="G10921" s="1" t="s">
        <v>35612</v>
      </c>
      <c r="H10921" s="1" t="s">
        <v>3606</v>
      </c>
      <c r="I10921" s="1" t="s">
        <v>35613</v>
      </c>
      <c r="J10921" s="1" t="s">
        <v>3615</v>
      </c>
      <c r="K10921" s="1" t="s">
        <v>35614</v>
      </c>
      <c r="L10921" s="1"/>
      <c r="M10921" s="1"/>
    </row>
    <row x14ac:dyDescent="0.25" r="10922" customHeight="1" ht="18.75">
      <c r="A10922" s="1" t="s">
        <v>5496</v>
      </c>
      <c r="B10922" s="1" t="s">
        <v>3980</v>
      </c>
      <c r="C10922" s="1" t="s">
        <v>3619</v>
      </c>
      <c r="D10922" s="1" t="s">
        <v>8100</v>
      </c>
      <c r="E10922" s="1" t="s">
        <v>3730</v>
      </c>
      <c r="F10922" s="1" t="s">
        <v>35615</v>
      </c>
      <c r="G10922" s="1" t="s">
        <v>35612</v>
      </c>
      <c r="H10922" s="1" t="s">
        <v>3606</v>
      </c>
      <c r="I10922" s="1" t="s">
        <v>35616</v>
      </c>
      <c r="J10922" s="1" t="s">
        <v>3615</v>
      </c>
      <c r="K10922" s="1" t="s">
        <v>35617</v>
      </c>
      <c r="L10922" s="1"/>
      <c r="M10922" s="1"/>
    </row>
    <row x14ac:dyDescent="0.25" r="10923" customHeight="1" ht="18.75">
      <c r="A10923" s="1" t="s">
        <v>5496</v>
      </c>
      <c r="B10923" s="1" t="s">
        <v>3980</v>
      </c>
      <c r="C10923" s="1" t="s">
        <v>3619</v>
      </c>
      <c r="D10923" s="1" t="s">
        <v>8100</v>
      </c>
      <c r="E10923" s="1" t="s">
        <v>3730</v>
      </c>
      <c r="F10923" s="1" t="s">
        <v>35618</v>
      </c>
      <c r="G10923" s="1" t="s">
        <v>35612</v>
      </c>
      <c r="H10923" s="1" t="s">
        <v>3606</v>
      </c>
      <c r="I10923" s="1" t="s">
        <v>35619</v>
      </c>
      <c r="J10923" s="1" t="s">
        <v>3615</v>
      </c>
      <c r="K10923" s="1" t="s">
        <v>35620</v>
      </c>
      <c r="L10923" s="1"/>
      <c r="M10923" s="1"/>
    </row>
    <row x14ac:dyDescent="0.25" r="10924" customHeight="1" ht="18.75">
      <c r="A10924" s="1" t="s">
        <v>5496</v>
      </c>
      <c r="B10924" s="1" t="s">
        <v>3980</v>
      </c>
      <c r="C10924" s="1" t="s">
        <v>3619</v>
      </c>
      <c r="D10924" s="1" t="s">
        <v>8100</v>
      </c>
      <c r="E10924" s="1" t="s">
        <v>3730</v>
      </c>
      <c r="F10924" s="1" t="s">
        <v>35621</v>
      </c>
      <c r="G10924" s="1" t="s">
        <v>35622</v>
      </c>
      <c r="H10924" s="1" t="s">
        <v>3606</v>
      </c>
      <c r="I10924" s="1" t="s">
        <v>35623</v>
      </c>
      <c r="J10924" s="1" t="s">
        <v>3615</v>
      </c>
      <c r="K10924" s="1" t="s">
        <v>35624</v>
      </c>
      <c r="L10924" s="1"/>
      <c r="M10924" s="1"/>
    </row>
    <row x14ac:dyDescent="0.25" r="10925" customHeight="1" ht="18.75">
      <c r="A10925" s="1" t="s">
        <v>5496</v>
      </c>
      <c r="B10925" s="1" t="s">
        <v>4461</v>
      </c>
      <c r="C10925" s="1" t="s">
        <v>3619</v>
      </c>
      <c r="D10925" s="1" t="s">
        <v>7847</v>
      </c>
      <c r="E10925" s="1" t="s">
        <v>3730</v>
      </c>
      <c r="F10925" s="1" t="s">
        <v>35625</v>
      </c>
      <c r="G10925" s="1" t="s">
        <v>35626</v>
      </c>
      <c r="H10925" s="1" t="s">
        <v>3606</v>
      </c>
      <c r="I10925" s="1" t="s">
        <v>35627</v>
      </c>
      <c r="J10925" s="1" t="s">
        <v>3615</v>
      </c>
      <c r="K10925" s="1" t="s">
        <v>35628</v>
      </c>
      <c r="L10925" s="1"/>
      <c r="M10925" s="1"/>
    </row>
    <row x14ac:dyDescent="0.25" r="10926" customHeight="1" ht="18.75">
      <c r="A10926" s="1" t="s">
        <v>5496</v>
      </c>
      <c r="B10926" s="1" t="s">
        <v>4461</v>
      </c>
      <c r="C10926" s="1" t="s">
        <v>3619</v>
      </c>
      <c r="D10926" s="1" t="s">
        <v>7847</v>
      </c>
      <c r="E10926" s="1" t="s">
        <v>3730</v>
      </c>
      <c r="F10926" s="1" t="s">
        <v>35629</v>
      </c>
      <c r="G10926" s="1" t="s">
        <v>35626</v>
      </c>
      <c r="H10926" s="1" t="s">
        <v>3606</v>
      </c>
      <c r="I10926" s="1" t="s">
        <v>35630</v>
      </c>
      <c r="J10926" s="1" t="s">
        <v>3615</v>
      </c>
      <c r="K10926" s="1" t="s">
        <v>35631</v>
      </c>
      <c r="L10926" s="1"/>
      <c r="M10926" s="1"/>
    </row>
    <row x14ac:dyDescent="0.25" r="10927" customHeight="1" ht="18.75">
      <c r="A10927" s="1" t="s">
        <v>5496</v>
      </c>
      <c r="B10927" s="1" t="s">
        <v>4461</v>
      </c>
      <c r="C10927" s="1" t="s">
        <v>3619</v>
      </c>
      <c r="D10927" s="1" t="s">
        <v>7847</v>
      </c>
      <c r="E10927" s="1" t="s">
        <v>3730</v>
      </c>
      <c r="F10927" s="1" t="s">
        <v>35632</v>
      </c>
      <c r="G10927" s="1" t="s">
        <v>35626</v>
      </c>
      <c r="H10927" s="1" t="s">
        <v>3606</v>
      </c>
      <c r="I10927" s="1" t="s">
        <v>35633</v>
      </c>
      <c r="J10927" s="1" t="s">
        <v>3615</v>
      </c>
      <c r="K10927" s="1" t="s">
        <v>35634</v>
      </c>
      <c r="L10927" s="1"/>
      <c r="M10927" s="1"/>
    </row>
    <row x14ac:dyDescent="0.25" r="10928" customHeight="1" ht="18.75">
      <c r="A10928" s="1" t="s">
        <v>5496</v>
      </c>
      <c r="B10928" s="1" t="s">
        <v>4461</v>
      </c>
      <c r="C10928" s="1" t="s">
        <v>3619</v>
      </c>
      <c r="D10928" s="1" t="s">
        <v>7847</v>
      </c>
      <c r="E10928" s="1" t="s">
        <v>3730</v>
      </c>
      <c r="F10928" s="1" t="s">
        <v>35635</v>
      </c>
      <c r="G10928" s="1" t="s">
        <v>35636</v>
      </c>
      <c r="H10928" s="1" t="s">
        <v>3606</v>
      </c>
      <c r="I10928" s="1" t="s">
        <v>35637</v>
      </c>
      <c r="J10928" s="1" t="s">
        <v>3615</v>
      </c>
      <c r="K10928" s="1" t="s">
        <v>35638</v>
      </c>
      <c r="L10928" s="1"/>
      <c r="M10928" s="1"/>
    </row>
    <row x14ac:dyDescent="0.25" r="10929" customHeight="1" ht="18.75">
      <c r="A10929" s="1" t="s">
        <v>5496</v>
      </c>
      <c r="B10929" s="1" t="s">
        <v>3892</v>
      </c>
      <c r="C10929" s="1" t="s">
        <v>3619</v>
      </c>
      <c r="D10929" s="1" t="s">
        <v>7847</v>
      </c>
      <c r="E10929" s="1" t="s">
        <v>3893</v>
      </c>
      <c r="F10929" s="1" t="s">
        <v>35639</v>
      </c>
      <c r="G10929" s="1" t="s">
        <v>35640</v>
      </c>
      <c r="H10929" s="1" t="s">
        <v>3606</v>
      </c>
      <c r="I10929" s="1" t="s">
        <v>35641</v>
      </c>
      <c r="J10929" s="1" t="s">
        <v>3615</v>
      </c>
      <c r="K10929" s="1" t="s">
        <v>35634</v>
      </c>
      <c r="L10929" s="1"/>
      <c r="M10929" s="1"/>
    </row>
    <row x14ac:dyDescent="0.25" r="10930" customHeight="1" ht="18.75">
      <c r="A10930" s="1" t="s">
        <v>5496</v>
      </c>
      <c r="B10930" s="1" t="s">
        <v>3892</v>
      </c>
      <c r="C10930" s="1" t="s">
        <v>3619</v>
      </c>
      <c r="D10930" s="1" t="s">
        <v>7847</v>
      </c>
      <c r="E10930" s="1" t="s">
        <v>3893</v>
      </c>
      <c r="F10930" s="1" t="s">
        <v>35642</v>
      </c>
      <c r="G10930" s="1" t="s">
        <v>35643</v>
      </c>
      <c r="H10930" s="1" t="s">
        <v>3606</v>
      </c>
      <c r="I10930" s="1" t="s">
        <v>35644</v>
      </c>
      <c r="J10930" s="1" t="s">
        <v>3615</v>
      </c>
      <c r="K10930" s="1" t="s">
        <v>35645</v>
      </c>
      <c r="L10930" s="1"/>
      <c r="M10930" s="1"/>
    </row>
    <row x14ac:dyDescent="0.25" r="10931" customHeight="1" ht="18.75">
      <c r="A10931" s="1" t="s">
        <v>5496</v>
      </c>
      <c r="B10931" s="1" t="s">
        <v>3892</v>
      </c>
      <c r="C10931" s="1" t="s">
        <v>3619</v>
      </c>
      <c r="D10931" s="1" t="s">
        <v>7847</v>
      </c>
      <c r="E10931" s="1" t="s">
        <v>3893</v>
      </c>
      <c r="F10931" s="1" t="s">
        <v>35646</v>
      </c>
      <c r="G10931" s="1" t="s">
        <v>35647</v>
      </c>
      <c r="H10931" s="1" t="s">
        <v>3606</v>
      </c>
      <c r="I10931" s="1" t="s">
        <v>35648</v>
      </c>
      <c r="J10931" s="1" t="s">
        <v>3615</v>
      </c>
      <c r="K10931" s="1" t="s">
        <v>35649</v>
      </c>
      <c r="L10931" s="1"/>
      <c r="M10931" s="1"/>
    </row>
    <row x14ac:dyDescent="0.25" r="10932" customHeight="1" ht="18.75">
      <c r="A10932" s="1" t="s">
        <v>5496</v>
      </c>
      <c r="B10932" s="1" t="s">
        <v>4589</v>
      </c>
      <c r="C10932" s="1" t="s">
        <v>3619</v>
      </c>
      <c r="D10932" s="1" t="s">
        <v>35650</v>
      </c>
      <c r="E10932" s="1" t="s">
        <v>3893</v>
      </c>
      <c r="F10932" s="1" t="s">
        <v>35651</v>
      </c>
      <c r="G10932" s="1" t="s">
        <v>35652</v>
      </c>
      <c r="H10932" s="1" t="s">
        <v>3606</v>
      </c>
      <c r="I10932" s="1" t="s">
        <v>35653</v>
      </c>
      <c r="J10932" s="1" t="s">
        <v>3615</v>
      </c>
      <c r="K10932" s="1" t="s">
        <v>35654</v>
      </c>
      <c r="L10932" s="1"/>
      <c r="M10932" s="1"/>
    </row>
    <row x14ac:dyDescent="0.25" r="10933" customHeight="1" ht="18.75">
      <c r="A10933" s="1" t="s">
        <v>5496</v>
      </c>
      <c r="B10933" s="1" t="s">
        <v>4589</v>
      </c>
      <c r="C10933" s="1" t="s">
        <v>3619</v>
      </c>
      <c r="D10933" s="1" t="s">
        <v>35650</v>
      </c>
      <c r="E10933" s="1" t="s">
        <v>3893</v>
      </c>
      <c r="F10933" s="1" t="s">
        <v>35655</v>
      </c>
      <c r="G10933" s="1" t="s">
        <v>35656</v>
      </c>
      <c r="H10933" s="1" t="s">
        <v>3606</v>
      </c>
      <c r="I10933" s="1" t="s">
        <v>35657</v>
      </c>
      <c r="J10933" s="1" t="s">
        <v>3615</v>
      </c>
      <c r="K10933" s="1" t="s">
        <v>35658</v>
      </c>
      <c r="L10933" s="1"/>
      <c r="M10933" s="1"/>
    </row>
    <row x14ac:dyDescent="0.25" r="10934" customHeight="1" ht="18.75">
      <c r="A10934" s="1" t="s">
        <v>5496</v>
      </c>
      <c r="B10934" s="1" t="s">
        <v>4286</v>
      </c>
      <c r="C10934" s="1" t="s">
        <v>3619</v>
      </c>
      <c r="D10934" s="1" t="s">
        <v>7847</v>
      </c>
      <c r="E10934" s="1" t="s">
        <v>3730</v>
      </c>
      <c r="F10934" s="1" t="s">
        <v>35659</v>
      </c>
      <c r="G10934" s="1" t="s">
        <v>35660</v>
      </c>
      <c r="H10934" s="1" t="s">
        <v>3606</v>
      </c>
      <c r="I10934" s="1" t="s">
        <v>35661</v>
      </c>
      <c r="J10934" s="1" t="s">
        <v>3615</v>
      </c>
      <c r="K10934" s="1" t="s">
        <v>35662</v>
      </c>
      <c r="L10934" s="1"/>
      <c r="M10934" s="1"/>
    </row>
    <row x14ac:dyDescent="0.25" r="10935" customHeight="1" ht="18.75">
      <c r="A10935" s="1" t="s">
        <v>5496</v>
      </c>
      <c r="B10935" s="1" t="s">
        <v>4286</v>
      </c>
      <c r="C10935" s="1" t="s">
        <v>3619</v>
      </c>
      <c r="D10935" s="1" t="s">
        <v>7847</v>
      </c>
      <c r="E10935" s="1" t="s">
        <v>3730</v>
      </c>
      <c r="F10935" s="1" t="s">
        <v>35663</v>
      </c>
      <c r="G10935" s="1" t="s">
        <v>35664</v>
      </c>
      <c r="H10935" s="1" t="s">
        <v>3606</v>
      </c>
      <c r="I10935" s="1" t="s">
        <v>35665</v>
      </c>
      <c r="J10935" s="1" t="s">
        <v>3615</v>
      </c>
      <c r="K10935" s="1" t="s">
        <v>35666</v>
      </c>
      <c r="L10935" s="1"/>
      <c r="M10935" s="1"/>
    </row>
    <row x14ac:dyDescent="0.25" r="10936" customHeight="1" ht="18.75">
      <c r="A10936" s="1" t="s">
        <v>5496</v>
      </c>
      <c r="B10936" s="1" t="s">
        <v>4614</v>
      </c>
      <c r="C10936" s="1" t="s">
        <v>3619</v>
      </c>
      <c r="D10936" s="1" t="s">
        <v>8116</v>
      </c>
      <c r="E10936" s="1" t="s">
        <v>3981</v>
      </c>
      <c r="F10936" s="1" t="s">
        <v>35667</v>
      </c>
      <c r="G10936" s="1" t="s">
        <v>35668</v>
      </c>
      <c r="H10936" s="1" t="s">
        <v>3606</v>
      </c>
      <c r="I10936" s="1" t="s">
        <v>35669</v>
      </c>
      <c r="J10936" s="1" t="s">
        <v>3615</v>
      </c>
      <c r="K10936" s="1" t="s">
        <v>35670</v>
      </c>
      <c r="L10936" s="1"/>
      <c r="M10936" s="1"/>
    </row>
    <row x14ac:dyDescent="0.25" r="10937" customHeight="1" ht="18.75">
      <c r="A10937" s="1" t="s">
        <v>5496</v>
      </c>
      <c r="B10937" s="1" t="s">
        <v>4614</v>
      </c>
      <c r="C10937" s="1" t="s">
        <v>3619</v>
      </c>
      <c r="D10937" s="1" t="s">
        <v>8116</v>
      </c>
      <c r="E10937" s="1" t="s">
        <v>3981</v>
      </c>
      <c r="F10937" s="1" t="s">
        <v>35671</v>
      </c>
      <c r="G10937" s="1" t="s">
        <v>35672</v>
      </c>
      <c r="H10937" s="1" t="s">
        <v>3606</v>
      </c>
      <c r="I10937" s="1" t="s">
        <v>35673</v>
      </c>
      <c r="J10937" s="1" t="s">
        <v>3615</v>
      </c>
      <c r="K10937" s="1" t="s">
        <v>35674</v>
      </c>
      <c r="L10937" s="1"/>
      <c r="M10937" s="1"/>
    </row>
    <row x14ac:dyDescent="0.25" r="10938" customHeight="1" ht="18.75">
      <c r="A10938" s="1" t="s">
        <v>5496</v>
      </c>
      <c r="B10938" s="1" t="s">
        <v>4614</v>
      </c>
      <c r="C10938" s="1" t="s">
        <v>3619</v>
      </c>
      <c r="D10938" s="1" t="s">
        <v>8116</v>
      </c>
      <c r="E10938" s="1" t="s">
        <v>3981</v>
      </c>
      <c r="F10938" s="1" t="s">
        <v>35675</v>
      </c>
      <c r="G10938" s="1" t="s">
        <v>35676</v>
      </c>
      <c r="H10938" s="1" t="s">
        <v>3606</v>
      </c>
      <c r="I10938" s="1" t="s">
        <v>35677</v>
      </c>
      <c r="J10938" s="1" t="s">
        <v>3615</v>
      </c>
      <c r="K10938" s="1" t="s">
        <v>35678</v>
      </c>
      <c r="L10938" s="1"/>
      <c r="M10938" s="1"/>
    </row>
    <row x14ac:dyDescent="0.25" r="10939" customHeight="1" ht="18.75">
      <c r="A10939" s="1" t="s">
        <v>5496</v>
      </c>
      <c r="B10939" s="1" t="s">
        <v>4614</v>
      </c>
      <c r="C10939" s="1" t="s">
        <v>3619</v>
      </c>
      <c r="D10939" s="1" t="s">
        <v>8116</v>
      </c>
      <c r="E10939" s="1" t="s">
        <v>3981</v>
      </c>
      <c r="F10939" s="1" t="s">
        <v>35679</v>
      </c>
      <c r="G10939" s="1" t="s">
        <v>35680</v>
      </c>
      <c r="H10939" s="1" t="s">
        <v>3606</v>
      </c>
      <c r="I10939" s="1" t="s">
        <v>35681</v>
      </c>
      <c r="J10939" s="1" t="s">
        <v>3615</v>
      </c>
      <c r="K10939" s="1" t="s">
        <v>35682</v>
      </c>
      <c r="L10939" s="1"/>
      <c r="M10939" s="1"/>
    </row>
    <row x14ac:dyDescent="0.25" r="10940" customHeight="1" ht="18.75">
      <c r="A10940" s="1" t="s">
        <v>5496</v>
      </c>
      <c r="B10940" s="1" t="s">
        <v>3729</v>
      </c>
      <c r="C10940" s="1" t="s">
        <v>3619</v>
      </c>
      <c r="D10940" s="1" t="s">
        <v>8116</v>
      </c>
      <c r="E10940" s="1" t="s">
        <v>3730</v>
      </c>
      <c r="F10940" s="1" t="s">
        <v>35683</v>
      </c>
      <c r="G10940" s="1" t="s">
        <v>35684</v>
      </c>
      <c r="H10940" s="1" t="s">
        <v>3606</v>
      </c>
      <c r="I10940" s="1" t="s">
        <v>35685</v>
      </c>
      <c r="J10940" s="1" t="s">
        <v>3615</v>
      </c>
      <c r="K10940" s="1" t="s">
        <v>35686</v>
      </c>
      <c r="L10940" s="1"/>
      <c r="M10940" s="1"/>
    </row>
    <row x14ac:dyDescent="0.25" r="10941" customHeight="1" ht="18.75">
      <c r="A10941" s="1" t="s">
        <v>5496</v>
      </c>
      <c r="B10941" s="1" t="s">
        <v>3729</v>
      </c>
      <c r="C10941" s="1" t="s">
        <v>3619</v>
      </c>
      <c r="D10941" s="1" t="s">
        <v>8116</v>
      </c>
      <c r="E10941" s="1" t="s">
        <v>3730</v>
      </c>
      <c r="F10941" s="1" t="s">
        <v>35687</v>
      </c>
      <c r="G10941" s="1" t="s">
        <v>35688</v>
      </c>
      <c r="H10941" s="1" t="s">
        <v>3606</v>
      </c>
      <c r="I10941" s="1" t="s">
        <v>35689</v>
      </c>
      <c r="J10941" s="1" t="s">
        <v>3615</v>
      </c>
      <c r="K10941" s="1" t="s">
        <v>35670</v>
      </c>
      <c r="L10941" s="1"/>
      <c r="M10941" s="1"/>
    </row>
    <row x14ac:dyDescent="0.25" r="10942" customHeight="1" ht="18.75">
      <c r="A10942" s="1" t="s">
        <v>5496</v>
      </c>
      <c r="B10942" s="1" t="s">
        <v>3729</v>
      </c>
      <c r="C10942" s="1" t="s">
        <v>3619</v>
      </c>
      <c r="D10942" s="1" t="s">
        <v>8116</v>
      </c>
      <c r="E10942" s="1" t="s">
        <v>3730</v>
      </c>
      <c r="F10942" s="1" t="s">
        <v>35690</v>
      </c>
      <c r="G10942" s="1" t="s">
        <v>35691</v>
      </c>
      <c r="H10942" s="1" t="s">
        <v>3606</v>
      </c>
      <c r="I10942" s="1" t="s">
        <v>35692</v>
      </c>
      <c r="J10942" s="1" t="s">
        <v>3615</v>
      </c>
      <c r="K10942" s="1" t="s">
        <v>35693</v>
      </c>
      <c r="L10942" s="1"/>
      <c r="M10942" s="1"/>
    </row>
    <row x14ac:dyDescent="0.25" r="10943" customHeight="1" ht="18.75">
      <c r="A10943" s="1" t="s">
        <v>5496</v>
      </c>
      <c r="B10943" s="1" t="s">
        <v>3729</v>
      </c>
      <c r="C10943" s="1" t="s">
        <v>3619</v>
      </c>
      <c r="D10943" s="1" t="s">
        <v>8116</v>
      </c>
      <c r="E10943" s="1" t="s">
        <v>3730</v>
      </c>
      <c r="F10943" s="1" t="s">
        <v>35694</v>
      </c>
      <c r="G10943" s="1" t="s">
        <v>35695</v>
      </c>
      <c r="H10943" s="1" t="s">
        <v>3606</v>
      </c>
      <c r="I10943" s="1" t="s">
        <v>35696</v>
      </c>
      <c r="J10943" s="1" t="s">
        <v>3615</v>
      </c>
      <c r="K10943" s="1" t="s">
        <v>35697</v>
      </c>
      <c r="L10943" s="1"/>
      <c r="M10943" s="1"/>
    </row>
    <row x14ac:dyDescent="0.25" r="10944" customHeight="1" ht="18.75">
      <c r="A10944" s="1" t="s">
        <v>5496</v>
      </c>
      <c r="B10944" s="1" t="s">
        <v>3729</v>
      </c>
      <c r="C10944" s="1" t="s">
        <v>3619</v>
      </c>
      <c r="D10944" s="1" t="s">
        <v>8116</v>
      </c>
      <c r="E10944" s="1" t="s">
        <v>3730</v>
      </c>
      <c r="F10944" s="1" t="s">
        <v>35698</v>
      </c>
      <c r="G10944" s="1" t="s">
        <v>35699</v>
      </c>
      <c r="H10944" s="1" t="s">
        <v>3606</v>
      </c>
      <c r="I10944" s="1" t="s">
        <v>35700</v>
      </c>
      <c r="J10944" s="1" t="s">
        <v>3615</v>
      </c>
      <c r="K10944" s="1" t="s">
        <v>35701</v>
      </c>
      <c r="L10944" s="1"/>
      <c r="M10944" s="1"/>
    </row>
    <row x14ac:dyDescent="0.25" r="10945" customHeight="1" ht="18.75">
      <c r="A10945" s="1" t="s">
        <v>5496</v>
      </c>
      <c r="B10945" s="1" t="s">
        <v>3729</v>
      </c>
      <c r="C10945" s="1" t="s">
        <v>3619</v>
      </c>
      <c r="D10945" s="1" t="s">
        <v>8116</v>
      </c>
      <c r="E10945" s="1" t="s">
        <v>3730</v>
      </c>
      <c r="F10945" s="1" t="s">
        <v>35702</v>
      </c>
      <c r="G10945" s="1" t="s">
        <v>3748</v>
      </c>
      <c r="H10945" s="1" t="s">
        <v>3606</v>
      </c>
      <c r="I10945" s="1" t="s">
        <v>35703</v>
      </c>
      <c r="J10945" s="1" t="s">
        <v>3615</v>
      </c>
      <c r="K10945" s="1" t="s">
        <v>5991</v>
      </c>
      <c r="L10945" s="1"/>
      <c r="M10945" s="1"/>
    </row>
    <row x14ac:dyDescent="0.25" r="10946" customHeight="1" ht="18.75">
      <c r="A10946" s="1" t="s">
        <v>5496</v>
      </c>
      <c r="B10946" s="1" t="s">
        <v>5578</v>
      </c>
      <c r="C10946" s="1" t="s">
        <v>3619</v>
      </c>
      <c r="D10946" s="1" t="s">
        <v>8100</v>
      </c>
      <c r="E10946" s="1" t="s">
        <v>3893</v>
      </c>
      <c r="F10946" s="1" t="s">
        <v>35704</v>
      </c>
      <c r="G10946" s="1" t="s">
        <v>35705</v>
      </c>
      <c r="H10946" s="1" t="s">
        <v>3606</v>
      </c>
      <c r="I10946" s="1" t="s">
        <v>35706</v>
      </c>
      <c r="J10946" s="1" t="s">
        <v>3615</v>
      </c>
      <c r="K10946" s="1" t="s">
        <v>35707</v>
      </c>
      <c r="L10946" s="1"/>
      <c r="M10946" s="1"/>
    </row>
    <row x14ac:dyDescent="0.25" r="10947" customHeight="1" ht="18.75">
      <c r="A10947" s="1" t="s">
        <v>5496</v>
      </c>
      <c r="B10947" s="1" t="s">
        <v>5578</v>
      </c>
      <c r="C10947" s="1" t="s">
        <v>3619</v>
      </c>
      <c r="D10947" s="1" t="s">
        <v>8100</v>
      </c>
      <c r="E10947" s="1" t="s">
        <v>3893</v>
      </c>
      <c r="F10947" s="1" t="s">
        <v>35708</v>
      </c>
      <c r="G10947" s="1" t="s">
        <v>11891</v>
      </c>
      <c r="H10947" s="1" t="s">
        <v>3606</v>
      </c>
      <c r="I10947" s="1" t="s">
        <v>35709</v>
      </c>
      <c r="J10947" s="1" t="s">
        <v>3615</v>
      </c>
      <c r="K10947" s="1" t="s">
        <v>35710</v>
      </c>
      <c r="L10947" s="1"/>
      <c r="M10947" s="1"/>
    </row>
    <row x14ac:dyDescent="0.25" r="10948" customHeight="1" ht="18.75">
      <c r="A10948" s="1" t="s">
        <v>5496</v>
      </c>
      <c r="B10948" s="1" t="s">
        <v>5578</v>
      </c>
      <c r="C10948" s="1" t="s">
        <v>3619</v>
      </c>
      <c r="D10948" s="1" t="s">
        <v>8100</v>
      </c>
      <c r="E10948" s="1" t="s">
        <v>3893</v>
      </c>
      <c r="F10948" s="1" t="s">
        <v>35711</v>
      </c>
      <c r="G10948" s="1" t="s">
        <v>11891</v>
      </c>
      <c r="H10948" s="1" t="s">
        <v>3606</v>
      </c>
      <c r="I10948" s="1" t="s">
        <v>35712</v>
      </c>
      <c r="J10948" s="1" t="s">
        <v>3615</v>
      </c>
      <c r="K10948" s="1" t="s">
        <v>35713</v>
      </c>
      <c r="L10948" s="1"/>
      <c r="M10948" s="1"/>
    </row>
    <row x14ac:dyDescent="0.25" r="10949" customHeight="1" ht="18.75">
      <c r="A10949" s="1" t="s">
        <v>5496</v>
      </c>
      <c r="B10949" s="1" t="s">
        <v>5578</v>
      </c>
      <c r="C10949" s="1" t="s">
        <v>3619</v>
      </c>
      <c r="D10949" s="1" t="s">
        <v>7847</v>
      </c>
      <c r="E10949" s="1" t="s">
        <v>3893</v>
      </c>
      <c r="F10949" s="1" t="s">
        <v>35714</v>
      </c>
      <c r="G10949" s="1" t="s">
        <v>11824</v>
      </c>
      <c r="H10949" s="1" t="s">
        <v>3606</v>
      </c>
      <c r="I10949" s="1" t="s">
        <v>35715</v>
      </c>
      <c r="J10949" s="1" t="s">
        <v>3615</v>
      </c>
      <c r="K10949" s="1" t="s">
        <v>35716</v>
      </c>
      <c r="L10949" s="1"/>
      <c r="M10949" s="1"/>
    </row>
    <row x14ac:dyDescent="0.25" r="10950" customHeight="1" ht="18.75">
      <c r="A10950" s="1" t="s">
        <v>5496</v>
      </c>
      <c r="B10950" s="1" t="s">
        <v>5578</v>
      </c>
      <c r="C10950" s="1" t="s">
        <v>3619</v>
      </c>
      <c r="D10950" s="1" t="s">
        <v>7847</v>
      </c>
      <c r="E10950" s="1" t="s">
        <v>3893</v>
      </c>
      <c r="F10950" s="1" t="s">
        <v>35717</v>
      </c>
      <c r="G10950" s="1" t="s">
        <v>11824</v>
      </c>
      <c r="H10950" s="1" t="s">
        <v>3606</v>
      </c>
      <c r="I10950" s="1" t="s">
        <v>35718</v>
      </c>
      <c r="J10950" s="1" t="s">
        <v>3615</v>
      </c>
      <c r="K10950" s="1" t="s">
        <v>35719</v>
      </c>
      <c r="L10950" s="1"/>
      <c r="M10950" s="1"/>
    </row>
    <row x14ac:dyDescent="0.25" r="10951" customHeight="1" ht="18.75">
      <c r="A10951" s="1" t="s">
        <v>5496</v>
      </c>
      <c r="B10951" s="1" t="s">
        <v>5578</v>
      </c>
      <c r="C10951" s="1" t="s">
        <v>3619</v>
      </c>
      <c r="D10951" s="1" t="s">
        <v>7847</v>
      </c>
      <c r="E10951" s="1" t="s">
        <v>3893</v>
      </c>
      <c r="F10951" s="1" t="s">
        <v>35720</v>
      </c>
      <c r="G10951" s="1" t="s">
        <v>11824</v>
      </c>
      <c r="H10951" s="1" t="s">
        <v>3606</v>
      </c>
      <c r="I10951" s="1" t="s">
        <v>35721</v>
      </c>
      <c r="J10951" s="1" t="s">
        <v>3615</v>
      </c>
      <c r="K10951" s="1" t="s">
        <v>35722</v>
      </c>
      <c r="L10951" s="1"/>
      <c r="M10951" s="1"/>
    </row>
    <row x14ac:dyDescent="0.25" r="10952" customHeight="1" ht="18.75">
      <c r="A10952" s="1" t="s">
        <v>5496</v>
      </c>
      <c r="B10952" s="1" t="s">
        <v>5578</v>
      </c>
      <c r="C10952" s="1" t="s">
        <v>3619</v>
      </c>
      <c r="D10952" s="1" t="s">
        <v>35650</v>
      </c>
      <c r="E10952" s="1" t="s">
        <v>3664</v>
      </c>
      <c r="F10952" s="1" t="s">
        <v>35723</v>
      </c>
      <c r="G10952" s="1" t="s">
        <v>35724</v>
      </c>
      <c r="H10952" s="1" t="s">
        <v>3606</v>
      </c>
      <c r="I10952" s="1" t="s">
        <v>35725</v>
      </c>
      <c r="J10952" s="1" t="s">
        <v>3615</v>
      </c>
      <c r="K10952" s="1" t="s">
        <v>35726</v>
      </c>
      <c r="L10952" s="1"/>
      <c r="M10952" s="1"/>
    </row>
    <row x14ac:dyDescent="0.25" r="10953" customHeight="1" ht="18.75">
      <c r="A10953" s="1" t="s">
        <v>5496</v>
      </c>
      <c r="B10953" s="1" t="s">
        <v>5578</v>
      </c>
      <c r="C10953" s="1" t="s">
        <v>3619</v>
      </c>
      <c r="D10953" s="1" t="s">
        <v>35650</v>
      </c>
      <c r="E10953" s="1" t="s">
        <v>3664</v>
      </c>
      <c r="F10953" s="1" t="s">
        <v>35727</v>
      </c>
      <c r="G10953" s="1" t="s">
        <v>35728</v>
      </c>
      <c r="H10953" s="1" t="s">
        <v>3606</v>
      </c>
      <c r="I10953" s="1" t="s">
        <v>35729</v>
      </c>
      <c r="J10953" s="1" t="s">
        <v>3615</v>
      </c>
      <c r="K10953" s="1" t="s">
        <v>35730</v>
      </c>
      <c r="L10953" s="1"/>
      <c r="M10953" s="1"/>
    </row>
    <row x14ac:dyDescent="0.25" r="10954" customHeight="1" ht="18.75">
      <c r="A10954" s="1" t="s">
        <v>5496</v>
      </c>
      <c r="B10954" s="1" t="s">
        <v>5578</v>
      </c>
      <c r="C10954" s="1" t="s">
        <v>3619</v>
      </c>
      <c r="D10954" s="1" t="s">
        <v>35650</v>
      </c>
      <c r="E10954" s="1" t="s">
        <v>3664</v>
      </c>
      <c r="F10954" s="1" t="s">
        <v>35731</v>
      </c>
      <c r="G10954" s="1" t="s">
        <v>35728</v>
      </c>
      <c r="H10954" s="1" t="s">
        <v>3606</v>
      </c>
      <c r="I10954" s="1" t="s">
        <v>35732</v>
      </c>
      <c r="J10954" s="1" t="s">
        <v>3615</v>
      </c>
      <c r="K10954" s="1" t="s">
        <v>35733</v>
      </c>
      <c r="L10954" s="1"/>
      <c r="M10954" s="1"/>
    </row>
    <row x14ac:dyDescent="0.25" r="10955" customHeight="1" ht="18.75">
      <c r="A10955" s="1" t="s">
        <v>5496</v>
      </c>
      <c r="B10955" s="1" t="s">
        <v>5578</v>
      </c>
      <c r="C10955" s="1" t="s">
        <v>3619</v>
      </c>
      <c r="D10955" s="1" t="s">
        <v>35650</v>
      </c>
      <c r="E10955" s="1" t="s">
        <v>3664</v>
      </c>
      <c r="F10955" s="1" t="s">
        <v>35734</v>
      </c>
      <c r="G10955" s="1" t="s">
        <v>35724</v>
      </c>
      <c r="H10955" s="1" t="s">
        <v>3606</v>
      </c>
      <c r="I10955" s="1" t="s">
        <v>35735</v>
      </c>
      <c r="J10955" s="1" t="s">
        <v>3615</v>
      </c>
      <c r="K10955" s="1" t="s">
        <v>35736</v>
      </c>
      <c r="L10955" s="1"/>
      <c r="M10955" s="1"/>
    </row>
    <row x14ac:dyDescent="0.25" r="10956" customHeight="1" ht="18.75">
      <c r="A10956" s="1" t="s">
        <v>5496</v>
      </c>
      <c r="B10956" s="1" t="s">
        <v>5578</v>
      </c>
      <c r="C10956" s="1" t="s">
        <v>3619</v>
      </c>
      <c r="D10956" s="1" t="s">
        <v>35650</v>
      </c>
      <c r="E10956" s="1" t="s">
        <v>3664</v>
      </c>
      <c r="F10956" s="1" t="s">
        <v>35737</v>
      </c>
      <c r="G10956" s="1" t="s">
        <v>35728</v>
      </c>
      <c r="H10956" s="1" t="s">
        <v>3606</v>
      </c>
      <c r="I10956" s="1" t="s">
        <v>35738</v>
      </c>
      <c r="J10956" s="1" t="s">
        <v>3615</v>
      </c>
      <c r="K10956" s="1" t="s">
        <v>35739</v>
      </c>
      <c r="L10956" s="1"/>
      <c r="M10956" s="1"/>
    </row>
    <row x14ac:dyDescent="0.25" r="10957" customHeight="1" ht="18.75">
      <c r="A10957" s="1" t="s">
        <v>5496</v>
      </c>
      <c r="B10957" s="1" t="s">
        <v>13485</v>
      </c>
      <c r="C10957" s="1" t="s">
        <v>3619</v>
      </c>
      <c r="D10957" s="1" t="s">
        <v>35650</v>
      </c>
      <c r="E10957" s="1" t="s">
        <v>3664</v>
      </c>
      <c r="F10957" s="1" t="s">
        <v>35740</v>
      </c>
      <c r="G10957" s="1" t="s">
        <v>35741</v>
      </c>
      <c r="H10957" s="1" t="s">
        <v>3606</v>
      </c>
      <c r="I10957" s="1" t="s">
        <v>35742</v>
      </c>
      <c r="J10957" s="1" t="s">
        <v>3615</v>
      </c>
      <c r="K10957" s="1" t="s">
        <v>35743</v>
      </c>
      <c r="L10957" s="1"/>
      <c r="M10957" s="1"/>
    </row>
    <row x14ac:dyDescent="0.25" r="10958" customHeight="1" ht="18.75">
      <c r="A10958" s="1" t="s">
        <v>5496</v>
      </c>
      <c r="B10958" s="1" t="s">
        <v>13485</v>
      </c>
      <c r="C10958" s="1" t="s">
        <v>3619</v>
      </c>
      <c r="D10958" s="1" t="s">
        <v>8100</v>
      </c>
      <c r="E10958" s="1" t="s">
        <v>3981</v>
      </c>
      <c r="F10958" s="1" t="s">
        <v>35744</v>
      </c>
      <c r="G10958" s="1" t="s">
        <v>13600</v>
      </c>
      <c r="H10958" s="1" t="s">
        <v>3606</v>
      </c>
      <c r="I10958" s="1" t="s">
        <v>35745</v>
      </c>
      <c r="J10958" s="1" t="s">
        <v>3615</v>
      </c>
      <c r="K10958" s="1" t="s">
        <v>35746</v>
      </c>
      <c r="L10958" s="1"/>
      <c r="M10958" s="1"/>
    </row>
    <row x14ac:dyDescent="0.25" r="10959" customHeight="1" ht="18.75">
      <c r="A10959" s="1" t="s">
        <v>5496</v>
      </c>
      <c r="B10959" s="1" t="s">
        <v>13485</v>
      </c>
      <c r="C10959" s="1" t="s">
        <v>3619</v>
      </c>
      <c r="D10959" s="1" t="s">
        <v>35650</v>
      </c>
      <c r="E10959" s="1" t="s">
        <v>3664</v>
      </c>
      <c r="F10959" s="1" t="s">
        <v>35747</v>
      </c>
      <c r="G10959" s="1" t="s">
        <v>35748</v>
      </c>
      <c r="H10959" s="1" t="s">
        <v>3606</v>
      </c>
      <c r="I10959" s="1" t="s">
        <v>35749</v>
      </c>
      <c r="J10959" s="1" t="s">
        <v>3615</v>
      </c>
      <c r="K10959" s="1" t="s">
        <v>35750</v>
      </c>
      <c r="L10959" s="1"/>
      <c r="M10959" s="1"/>
    </row>
    <row x14ac:dyDescent="0.25" r="10960" customHeight="1" ht="18.75">
      <c r="A10960" s="1" t="s">
        <v>5496</v>
      </c>
      <c r="B10960" s="1" t="s">
        <v>13135</v>
      </c>
      <c r="C10960" s="1" t="s">
        <v>4488</v>
      </c>
      <c r="D10960" s="1" t="s">
        <v>7847</v>
      </c>
      <c r="E10960" s="1" t="s">
        <v>4478</v>
      </c>
      <c r="F10960" s="1" t="s">
        <v>35192</v>
      </c>
      <c r="G10960" s="1" t="s">
        <v>35751</v>
      </c>
      <c r="H10960" s="1" t="s">
        <v>3606</v>
      </c>
      <c r="I10960" s="1" t="s">
        <v>35752</v>
      </c>
      <c r="J10960" s="1" t="s">
        <v>3615</v>
      </c>
      <c r="K10960" s="1" t="s">
        <v>35195</v>
      </c>
      <c r="L10960" s="1"/>
      <c r="M10960" s="1"/>
    </row>
    <row x14ac:dyDescent="0.25" r="10961" customHeight="1" ht="18.75">
      <c r="A10961" s="1" t="s">
        <v>5496</v>
      </c>
      <c r="B10961" s="1" t="s">
        <v>13135</v>
      </c>
      <c r="C10961" s="1" t="s">
        <v>4488</v>
      </c>
      <c r="D10961" s="1" t="s">
        <v>7847</v>
      </c>
      <c r="E10961" s="1" t="s">
        <v>4478</v>
      </c>
      <c r="F10961" s="1" t="s">
        <v>35753</v>
      </c>
      <c r="G10961" s="1" t="s">
        <v>35751</v>
      </c>
      <c r="H10961" s="1" t="s">
        <v>3606</v>
      </c>
      <c r="I10961" s="1" t="s">
        <v>35754</v>
      </c>
      <c r="J10961" s="1" t="s">
        <v>3615</v>
      </c>
      <c r="K10961" s="1" t="s">
        <v>35603</v>
      </c>
      <c r="L10961" s="1"/>
      <c r="M10961" s="1"/>
    </row>
    <row x14ac:dyDescent="0.25" r="10962" customHeight="1" ht="18.75">
      <c r="A10962" s="1" t="s">
        <v>5496</v>
      </c>
      <c r="B10962" s="1" t="s">
        <v>13135</v>
      </c>
      <c r="C10962" s="1" t="s">
        <v>4488</v>
      </c>
      <c r="D10962" s="1" t="s">
        <v>7847</v>
      </c>
      <c r="E10962" s="1" t="s">
        <v>4478</v>
      </c>
      <c r="F10962" s="1" t="s">
        <v>35755</v>
      </c>
      <c r="G10962" s="1" t="s">
        <v>35751</v>
      </c>
      <c r="H10962" s="1" t="s">
        <v>3606</v>
      </c>
      <c r="I10962" s="1" t="s">
        <v>35756</v>
      </c>
      <c r="J10962" s="1" t="s">
        <v>3615</v>
      </c>
      <c r="K10962" s="1" t="s">
        <v>35606</v>
      </c>
      <c r="L10962" s="1"/>
      <c r="M10962" s="1"/>
    </row>
    <row x14ac:dyDescent="0.25" r="10963" customHeight="1" ht="18.75">
      <c r="A10963" s="1" t="s">
        <v>5496</v>
      </c>
      <c r="B10963" s="1" t="s">
        <v>13135</v>
      </c>
      <c r="C10963" s="1" t="s">
        <v>4488</v>
      </c>
      <c r="D10963" s="1" t="s">
        <v>7847</v>
      </c>
      <c r="E10963" s="1" t="s">
        <v>4478</v>
      </c>
      <c r="F10963" s="1" t="s">
        <v>35757</v>
      </c>
      <c r="G10963" s="1" t="s">
        <v>35758</v>
      </c>
      <c r="H10963" s="1" t="s">
        <v>3606</v>
      </c>
      <c r="I10963" s="1" t="s">
        <v>35759</v>
      </c>
      <c r="J10963" s="1" t="s">
        <v>3615</v>
      </c>
      <c r="K10963" s="1" t="s">
        <v>35760</v>
      </c>
      <c r="L10963" s="1"/>
      <c r="M10963" s="1"/>
    </row>
    <row x14ac:dyDescent="0.25" r="10964" customHeight="1" ht="18.75">
      <c r="A10964" s="1" t="s">
        <v>5496</v>
      </c>
      <c r="B10964" s="1" t="s">
        <v>35761</v>
      </c>
      <c r="C10964" s="1" t="s">
        <v>3619</v>
      </c>
      <c r="D10964" s="1" t="s">
        <v>7847</v>
      </c>
      <c r="E10964" s="1" t="s">
        <v>3981</v>
      </c>
      <c r="F10964" s="1" t="s">
        <v>35762</v>
      </c>
      <c r="G10964" s="1" t="s">
        <v>35763</v>
      </c>
      <c r="H10964" s="1" t="s">
        <v>3606</v>
      </c>
      <c r="I10964" s="1" t="s">
        <v>35764</v>
      </c>
      <c r="J10964" s="1" t="s">
        <v>3615</v>
      </c>
      <c r="K10964" s="1" t="s">
        <v>35765</v>
      </c>
      <c r="L10964" s="1"/>
      <c r="M10964" s="1"/>
    </row>
    <row x14ac:dyDescent="0.25" r="10965" customHeight="1" ht="18.75">
      <c r="A10965" s="1" t="s">
        <v>5496</v>
      </c>
      <c r="B10965" s="1" t="s">
        <v>35761</v>
      </c>
      <c r="C10965" s="1" t="s">
        <v>3619</v>
      </c>
      <c r="D10965" s="1" t="s">
        <v>7847</v>
      </c>
      <c r="E10965" s="1" t="s">
        <v>3981</v>
      </c>
      <c r="F10965" s="1" t="s">
        <v>35766</v>
      </c>
      <c r="G10965" s="1" t="s">
        <v>35767</v>
      </c>
      <c r="H10965" s="1" t="s">
        <v>3606</v>
      </c>
      <c r="I10965" s="1" t="s">
        <v>35768</v>
      </c>
      <c r="J10965" s="1" t="s">
        <v>3615</v>
      </c>
      <c r="K10965" s="1" t="s">
        <v>35769</v>
      </c>
      <c r="L10965" s="1"/>
      <c r="M10965" s="1"/>
    </row>
    <row x14ac:dyDescent="0.25" r="10966" customHeight="1" ht="18.75">
      <c r="A10966" s="1" t="s">
        <v>5496</v>
      </c>
      <c r="B10966" s="1" t="s">
        <v>5578</v>
      </c>
      <c r="C10966" s="1" t="s">
        <v>3619</v>
      </c>
      <c r="D10966" s="1" t="s">
        <v>35650</v>
      </c>
      <c r="E10966" s="1" t="s">
        <v>3664</v>
      </c>
      <c r="F10966" s="1" t="s">
        <v>35770</v>
      </c>
      <c r="G10966" s="1" t="s">
        <v>35724</v>
      </c>
      <c r="H10966" s="1" t="s">
        <v>3606</v>
      </c>
      <c r="I10966" s="1" t="s">
        <v>35771</v>
      </c>
      <c r="J10966" s="1" t="s">
        <v>3615</v>
      </c>
      <c r="K10966" s="1" t="s">
        <v>35772</v>
      </c>
      <c r="L10966" s="1"/>
      <c r="M10966" s="1"/>
    </row>
    <row x14ac:dyDescent="0.25" r="10967" customHeight="1" ht="18.75">
      <c r="A10967" s="1" t="s">
        <v>3598</v>
      </c>
      <c r="B10967" s="1" t="s">
        <v>35773</v>
      </c>
      <c r="C10967" s="1" t="s">
        <v>3600</v>
      </c>
      <c r="D10967" s="1" t="s">
        <v>14146</v>
      </c>
      <c r="E10967" s="1" t="s">
        <v>3664</v>
      </c>
      <c r="F10967" s="1" t="s">
        <v>35774</v>
      </c>
      <c r="G10967" s="1" t="s">
        <v>35775</v>
      </c>
      <c r="H10967" s="1" t="s">
        <v>3606</v>
      </c>
      <c r="I10967" s="1" t="s">
        <v>35776</v>
      </c>
      <c r="J10967" s="1" t="s">
        <v>3615</v>
      </c>
      <c r="K10967" s="1" t="s">
        <v>35777</v>
      </c>
      <c r="L10967" s="1"/>
      <c r="M10967" s="1"/>
    </row>
    <row x14ac:dyDescent="0.25" r="10968" customHeight="1" ht="18.75">
      <c r="A10968" s="1" t="s">
        <v>3598</v>
      </c>
      <c r="B10968" s="1" t="s">
        <v>6954</v>
      </c>
      <c r="C10968" s="1" t="s">
        <v>3600</v>
      </c>
      <c r="D10968" s="1" t="s">
        <v>3601</v>
      </c>
      <c r="E10968" s="1" t="s">
        <v>3664</v>
      </c>
      <c r="F10968" s="1" t="s">
        <v>35778</v>
      </c>
      <c r="G10968" s="1" t="s">
        <v>35779</v>
      </c>
      <c r="H10968" s="1" t="s">
        <v>3606</v>
      </c>
      <c r="I10968" s="1" t="s">
        <v>35780</v>
      </c>
      <c r="J10968" s="1" t="s">
        <v>3615</v>
      </c>
      <c r="K10968" s="1" t="s">
        <v>35781</v>
      </c>
      <c r="L10968" s="1"/>
      <c r="M10968" s="1"/>
    </row>
    <row x14ac:dyDescent="0.25" r="10969" customHeight="1" ht="18.75">
      <c r="A10969" s="1" t="s">
        <v>3598</v>
      </c>
      <c r="B10969" s="1" t="s">
        <v>6954</v>
      </c>
      <c r="C10969" s="1" t="s">
        <v>3600</v>
      </c>
      <c r="D10969" s="1" t="s">
        <v>3601</v>
      </c>
      <c r="E10969" s="1" t="s">
        <v>3664</v>
      </c>
      <c r="F10969" s="1" t="s">
        <v>35782</v>
      </c>
      <c r="G10969" s="1" t="s">
        <v>35779</v>
      </c>
      <c r="H10969" s="1" t="s">
        <v>3606</v>
      </c>
      <c r="I10969" s="1" t="s">
        <v>35783</v>
      </c>
      <c r="J10969" s="1" t="s">
        <v>3615</v>
      </c>
      <c r="K10969" s="1" t="s">
        <v>35784</v>
      </c>
      <c r="L10969" s="1"/>
      <c r="M10969" s="1"/>
    </row>
    <row x14ac:dyDescent="0.25" r="10970" customHeight="1" ht="18.75">
      <c r="A10970" s="1" t="s">
        <v>3598</v>
      </c>
      <c r="B10970" s="1" t="s">
        <v>6954</v>
      </c>
      <c r="C10970" s="1" t="s">
        <v>3600</v>
      </c>
      <c r="D10970" s="1" t="s">
        <v>3601</v>
      </c>
      <c r="E10970" s="1" t="s">
        <v>3664</v>
      </c>
      <c r="F10970" s="1" t="s">
        <v>35785</v>
      </c>
      <c r="G10970" s="1" t="s">
        <v>35779</v>
      </c>
      <c r="H10970" s="1" t="s">
        <v>3606</v>
      </c>
      <c r="I10970" s="1" t="s">
        <v>35786</v>
      </c>
      <c r="J10970" s="1" t="s">
        <v>3615</v>
      </c>
      <c r="K10970" s="1" t="s">
        <v>35787</v>
      </c>
      <c r="L10970" s="1"/>
      <c r="M10970" s="1"/>
    </row>
    <row x14ac:dyDescent="0.25" r="10971" customHeight="1" ht="18.75">
      <c r="A10971" s="1" t="s">
        <v>3598</v>
      </c>
      <c r="B10971" s="1" t="s">
        <v>6954</v>
      </c>
      <c r="C10971" s="1" t="s">
        <v>3600</v>
      </c>
      <c r="D10971" s="1" t="s">
        <v>3601</v>
      </c>
      <c r="E10971" s="1" t="s">
        <v>3664</v>
      </c>
      <c r="F10971" s="1" t="s">
        <v>35788</v>
      </c>
      <c r="G10971" s="1" t="s">
        <v>35789</v>
      </c>
      <c r="H10971" s="1" t="s">
        <v>3606</v>
      </c>
      <c r="I10971" s="1" t="s">
        <v>35790</v>
      </c>
      <c r="J10971" s="1" t="s">
        <v>3615</v>
      </c>
      <c r="K10971" s="1" t="s">
        <v>35791</v>
      </c>
      <c r="L10971" s="1"/>
      <c r="M10971" s="1"/>
    </row>
    <row x14ac:dyDescent="0.25" r="10972" customHeight="1" ht="18.75">
      <c r="A10972" s="1" t="s">
        <v>3598</v>
      </c>
      <c r="B10972" s="1" t="s">
        <v>6954</v>
      </c>
      <c r="C10972" s="1" t="s">
        <v>3600</v>
      </c>
      <c r="D10972" s="1" t="s">
        <v>3601</v>
      </c>
      <c r="E10972" s="1" t="s">
        <v>3664</v>
      </c>
      <c r="F10972" s="1" t="s">
        <v>35792</v>
      </c>
      <c r="G10972" s="1" t="s">
        <v>35789</v>
      </c>
      <c r="H10972" s="1" t="s">
        <v>3606</v>
      </c>
      <c r="I10972" s="1" t="s">
        <v>35793</v>
      </c>
      <c r="J10972" s="1" t="s">
        <v>3615</v>
      </c>
      <c r="K10972" s="1" t="s">
        <v>35794</v>
      </c>
      <c r="L10972" s="1"/>
      <c r="M10972" s="1"/>
    </row>
    <row x14ac:dyDescent="0.25" r="10973" customHeight="1" ht="18.75">
      <c r="A10973" s="1" t="s">
        <v>3598</v>
      </c>
      <c r="B10973" s="1" t="s">
        <v>6954</v>
      </c>
      <c r="C10973" s="1" t="s">
        <v>3600</v>
      </c>
      <c r="D10973" s="1" t="s">
        <v>3601</v>
      </c>
      <c r="E10973" s="1" t="s">
        <v>3664</v>
      </c>
      <c r="F10973" s="1" t="s">
        <v>35795</v>
      </c>
      <c r="G10973" s="1" t="s">
        <v>35789</v>
      </c>
      <c r="H10973" s="1" t="s">
        <v>3606</v>
      </c>
      <c r="I10973" s="1" t="s">
        <v>35796</v>
      </c>
      <c r="J10973" s="1" t="s">
        <v>3615</v>
      </c>
      <c r="K10973" s="1" t="s">
        <v>35797</v>
      </c>
      <c r="L10973" s="1"/>
      <c r="M10973" s="1"/>
    </row>
    <row x14ac:dyDescent="0.25" r="10974" customHeight="1" ht="18.75">
      <c r="A10974" s="1" t="s">
        <v>3598</v>
      </c>
      <c r="B10974" s="1" t="s">
        <v>6954</v>
      </c>
      <c r="C10974" s="1" t="s">
        <v>3600</v>
      </c>
      <c r="D10974" s="1" t="s">
        <v>3601</v>
      </c>
      <c r="E10974" s="1" t="s">
        <v>3664</v>
      </c>
      <c r="F10974" s="1" t="s">
        <v>35798</v>
      </c>
      <c r="G10974" s="1" t="s">
        <v>35799</v>
      </c>
      <c r="H10974" s="1" t="s">
        <v>3606</v>
      </c>
      <c r="I10974" s="1" t="s">
        <v>35800</v>
      </c>
      <c r="J10974" s="1" t="s">
        <v>3615</v>
      </c>
      <c r="K10974" s="1" t="s">
        <v>35801</v>
      </c>
      <c r="L10974" s="1"/>
      <c r="M10974" s="1"/>
    </row>
    <row x14ac:dyDescent="0.25" r="10975" customHeight="1" ht="18.75">
      <c r="A10975" s="1" t="s">
        <v>3598</v>
      </c>
      <c r="B10975" s="1" t="s">
        <v>35802</v>
      </c>
      <c r="C10975" s="1" t="s">
        <v>3600</v>
      </c>
      <c r="D10975" s="1" t="s">
        <v>3601</v>
      </c>
      <c r="E10975" s="1" t="s">
        <v>3611</v>
      </c>
      <c r="F10975" s="1" t="s">
        <v>35803</v>
      </c>
      <c r="G10975" s="1" t="s">
        <v>35804</v>
      </c>
      <c r="H10975" s="1" t="s">
        <v>3606</v>
      </c>
      <c r="I10975" s="1" t="s">
        <v>35805</v>
      </c>
      <c r="J10975" s="1" t="s">
        <v>3615</v>
      </c>
      <c r="K10975" s="1" t="s">
        <v>35806</v>
      </c>
      <c r="L10975" s="1"/>
      <c r="M10975" s="1"/>
    </row>
    <row x14ac:dyDescent="0.25" r="10976" customHeight="1" ht="18.75">
      <c r="A10976" s="1" t="s">
        <v>3598</v>
      </c>
      <c r="B10976" s="1" t="s">
        <v>35802</v>
      </c>
      <c r="C10976" s="1" t="s">
        <v>3600</v>
      </c>
      <c r="D10976" s="1" t="s">
        <v>3601</v>
      </c>
      <c r="E10976" s="1" t="s">
        <v>3611</v>
      </c>
      <c r="F10976" s="1" t="s">
        <v>35807</v>
      </c>
      <c r="G10976" s="1" t="s">
        <v>35808</v>
      </c>
      <c r="H10976" s="1" t="s">
        <v>3606</v>
      </c>
      <c r="I10976" s="1" t="s">
        <v>35809</v>
      </c>
      <c r="J10976" s="1" t="s">
        <v>3615</v>
      </c>
      <c r="K10976" s="1" t="s">
        <v>35810</v>
      </c>
      <c r="L10976" s="1"/>
      <c r="M10976" s="1"/>
    </row>
    <row x14ac:dyDescent="0.25" r="10977" customHeight="1" ht="18.75">
      <c r="A10977" s="1" t="s">
        <v>3598</v>
      </c>
      <c r="B10977" s="1" t="s">
        <v>35802</v>
      </c>
      <c r="C10977" s="1" t="s">
        <v>3600</v>
      </c>
      <c r="D10977" s="1" t="s">
        <v>3601</v>
      </c>
      <c r="E10977" s="1" t="s">
        <v>3611</v>
      </c>
      <c r="F10977" s="1" t="s">
        <v>35811</v>
      </c>
      <c r="G10977" s="1" t="s">
        <v>35812</v>
      </c>
      <c r="H10977" s="1" t="s">
        <v>3606</v>
      </c>
      <c r="I10977" s="1" t="s">
        <v>35813</v>
      </c>
      <c r="J10977" s="1" t="s">
        <v>3615</v>
      </c>
      <c r="K10977" s="1" t="s">
        <v>35814</v>
      </c>
      <c r="L10977" s="1"/>
      <c r="M10977" s="1"/>
    </row>
    <row x14ac:dyDescent="0.25" r="10978" customHeight="1" ht="18.75">
      <c r="A10978" s="1" t="s">
        <v>3598</v>
      </c>
      <c r="B10978" s="1" t="s">
        <v>35802</v>
      </c>
      <c r="C10978" s="1" t="s">
        <v>3600</v>
      </c>
      <c r="D10978" s="1" t="s">
        <v>3601</v>
      </c>
      <c r="E10978" s="1" t="s">
        <v>3981</v>
      </c>
      <c r="F10978" s="1" t="s">
        <v>35815</v>
      </c>
      <c r="G10978" s="1" t="s">
        <v>35816</v>
      </c>
      <c r="H10978" s="1" t="s">
        <v>3606</v>
      </c>
      <c r="I10978" s="1" t="s">
        <v>35817</v>
      </c>
      <c r="J10978" s="1" t="s">
        <v>3615</v>
      </c>
      <c r="K10978" s="1" t="s">
        <v>35818</v>
      </c>
      <c r="L10978" s="1"/>
      <c r="M10978" s="1"/>
    </row>
    <row x14ac:dyDescent="0.25" r="10979" customHeight="1" ht="18.75">
      <c r="A10979" s="1" t="s">
        <v>3598</v>
      </c>
      <c r="B10979" s="1" t="s">
        <v>35802</v>
      </c>
      <c r="C10979" s="1" t="s">
        <v>3600</v>
      </c>
      <c r="D10979" s="1" t="s">
        <v>3601</v>
      </c>
      <c r="E10979" s="1" t="s">
        <v>3611</v>
      </c>
      <c r="F10979" s="1" t="s">
        <v>35819</v>
      </c>
      <c r="G10979" s="1" t="s">
        <v>35820</v>
      </c>
      <c r="H10979" s="1" t="s">
        <v>3606</v>
      </c>
      <c r="I10979" s="1" t="s">
        <v>35821</v>
      </c>
      <c r="J10979" s="1" t="s">
        <v>3615</v>
      </c>
      <c r="K10979" s="1" t="s">
        <v>35822</v>
      </c>
      <c r="L10979" s="1"/>
      <c r="M10979" s="1"/>
    </row>
    <row x14ac:dyDescent="0.25" r="10980" customHeight="1" ht="18.75">
      <c r="A10980" s="1" t="s">
        <v>3598</v>
      </c>
      <c r="B10980" s="1" t="s">
        <v>35802</v>
      </c>
      <c r="C10980" s="1" t="s">
        <v>3600</v>
      </c>
      <c r="D10980" s="1" t="s">
        <v>3601</v>
      </c>
      <c r="E10980" s="1" t="s">
        <v>3611</v>
      </c>
      <c r="F10980" s="1" t="s">
        <v>35823</v>
      </c>
      <c r="G10980" s="1" t="s">
        <v>35824</v>
      </c>
      <c r="H10980" s="1" t="s">
        <v>3606</v>
      </c>
      <c r="I10980" s="1" t="s">
        <v>35825</v>
      </c>
      <c r="J10980" s="1" t="s">
        <v>3615</v>
      </c>
      <c r="K10980" s="1" t="s">
        <v>35826</v>
      </c>
      <c r="L10980" s="1"/>
      <c r="M10980" s="1"/>
    </row>
    <row x14ac:dyDescent="0.25" r="10981" customHeight="1" ht="18.75">
      <c r="A10981" s="1" t="s">
        <v>3598</v>
      </c>
      <c r="B10981" s="1" t="s">
        <v>35802</v>
      </c>
      <c r="C10981" s="1" t="s">
        <v>3600</v>
      </c>
      <c r="D10981" s="1" t="s">
        <v>3601</v>
      </c>
      <c r="E10981" s="1" t="s">
        <v>3611</v>
      </c>
      <c r="F10981" s="1" t="s">
        <v>35827</v>
      </c>
      <c r="G10981" s="1" t="s">
        <v>35828</v>
      </c>
      <c r="H10981" s="1" t="s">
        <v>3606</v>
      </c>
      <c r="I10981" s="1" t="s">
        <v>35829</v>
      </c>
      <c r="J10981" s="1" t="s">
        <v>3615</v>
      </c>
      <c r="K10981" s="1" t="s">
        <v>35830</v>
      </c>
      <c r="L10981" s="1"/>
      <c r="M10981" s="1"/>
    </row>
    <row x14ac:dyDescent="0.25" r="10982" customHeight="1" ht="18.75">
      <c r="A10982" s="1" t="s">
        <v>3598</v>
      </c>
      <c r="B10982" s="1" t="s">
        <v>35802</v>
      </c>
      <c r="C10982" s="1" t="s">
        <v>3600</v>
      </c>
      <c r="D10982" s="1" t="s">
        <v>3601</v>
      </c>
      <c r="E10982" s="1" t="s">
        <v>3981</v>
      </c>
      <c r="F10982" s="1" t="s">
        <v>35831</v>
      </c>
      <c r="G10982" s="1" t="s">
        <v>35832</v>
      </c>
      <c r="H10982" s="1" t="s">
        <v>3606</v>
      </c>
      <c r="I10982" s="1" t="s">
        <v>35833</v>
      </c>
      <c r="J10982" s="1" t="s">
        <v>3615</v>
      </c>
      <c r="K10982" s="1" t="s">
        <v>35834</v>
      </c>
      <c r="L10982" s="1"/>
      <c r="M10982" s="1"/>
    </row>
    <row x14ac:dyDescent="0.25" r="10983" customHeight="1" ht="18.75">
      <c r="A10983" s="1" t="s">
        <v>3598</v>
      </c>
      <c r="B10983" s="1" t="s">
        <v>35802</v>
      </c>
      <c r="C10983" s="1" t="s">
        <v>3600</v>
      </c>
      <c r="D10983" s="1" t="s">
        <v>3601</v>
      </c>
      <c r="E10983" s="1" t="s">
        <v>3981</v>
      </c>
      <c r="F10983" s="1" t="s">
        <v>35835</v>
      </c>
      <c r="G10983" s="1" t="s">
        <v>35836</v>
      </c>
      <c r="H10983" s="1" t="s">
        <v>3606</v>
      </c>
      <c r="I10983" s="1" t="s">
        <v>35837</v>
      </c>
      <c r="J10983" s="1" t="s">
        <v>3615</v>
      </c>
      <c r="K10983" s="1" t="s">
        <v>35838</v>
      </c>
      <c r="L10983" s="1"/>
      <c r="M10983" s="1"/>
    </row>
    <row x14ac:dyDescent="0.25" r="10984" customHeight="1" ht="18.75">
      <c r="A10984" s="1" t="s">
        <v>3598</v>
      </c>
      <c r="B10984" s="1" t="s">
        <v>35802</v>
      </c>
      <c r="C10984" s="1" t="s">
        <v>3600</v>
      </c>
      <c r="D10984" s="1" t="s">
        <v>3601</v>
      </c>
      <c r="E10984" s="1" t="s">
        <v>3752</v>
      </c>
      <c r="F10984" s="1" t="s">
        <v>35839</v>
      </c>
      <c r="G10984" s="1" t="s">
        <v>35840</v>
      </c>
      <c r="H10984" s="1" t="s">
        <v>3606</v>
      </c>
      <c r="I10984" s="1" t="s">
        <v>35841</v>
      </c>
      <c r="J10984" s="1" t="s">
        <v>3615</v>
      </c>
      <c r="K10984" s="1" t="s">
        <v>35842</v>
      </c>
      <c r="L10984" s="1"/>
      <c r="M10984" s="1"/>
    </row>
    <row x14ac:dyDescent="0.25" r="10985" customHeight="1" ht="18.75">
      <c r="A10985" s="1" t="s">
        <v>3598</v>
      </c>
      <c r="B10985" s="1" t="s">
        <v>35802</v>
      </c>
      <c r="C10985" s="1" t="s">
        <v>3600</v>
      </c>
      <c r="D10985" s="1" t="s">
        <v>3601</v>
      </c>
      <c r="E10985" s="1" t="s">
        <v>3981</v>
      </c>
      <c r="F10985" s="1" t="s">
        <v>35843</v>
      </c>
      <c r="G10985" s="1" t="s">
        <v>35844</v>
      </c>
      <c r="H10985" s="1" t="s">
        <v>3606</v>
      </c>
      <c r="I10985" s="1" t="s">
        <v>35845</v>
      </c>
      <c r="J10985" s="1" t="s">
        <v>3615</v>
      </c>
      <c r="K10985" s="1" t="s">
        <v>35846</v>
      </c>
      <c r="L10985" s="1"/>
      <c r="M10985" s="1"/>
    </row>
    <row x14ac:dyDescent="0.25" r="10986" customHeight="1" ht="18.75">
      <c r="A10986" s="1" t="s">
        <v>3598</v>
      </c>
      <c r="B10986" s="1" t="s">
        <v>35802</v>
      </c>
      <c r="C10986" s="1" t="s">
        <v>3600</v>
      </c>
      <c r="D10986" s="1" t="s">
        <v>3601</v>
      </c>
      <c r="E10986" s="1" t="s">
        <v>3752</v>
      </c>
      <c r="F10986" s="1" t="s">
        <v>35847</v>
      </c>
      <c r="G10986" s="1" t="s">
        <v>35848</v>
      </c>
      <c r="H10986" s="1" t="s">
        <v>3606</v>
      </c>
      <c r="I10986" s="1" t="s">
        <v>35849</v>
      </c>
      <c r="J10986" s="1" t="s">
        <v>3615</v>
      </c>
      <c r="K10986" s="1" t="s">
        <v>35850</v>
      </c>
      <c r="L10986" s="1"/>
      <c r="M10986" s="1"/>
    </row>
    <row x14ac:dyDescent="0.25" r="10987" customHeight="1" ht="18.75">
      <c r="A10987" s="1" t="s">
        <v>3598</v>
      </c>
      <c r="B10987" s="1" t="s">
        <v>35802</v>
      </c>
      <c r="C10987" s="1" t="s">
        <v>3600</v>
      </c>
      <c r="D10987" s="1" t="s">
        <v>3601</v>
      </c>
      <c r="E10987" s="1" t="s">
        <v>3981</v>
      </c>
      <c r="F10987" s="1" t="s">
        <v>35851</v>
      </c>
      <c r="G10987" s="1" t="s">
        <v>35832</v>
      </c>
      <c r="H10987" s="1" t="s">
        <v>3606</v>
      </c>
      <c r="I10987" s="1" t="s">
        <v>35852</v>
      </c>
      <c r="J10987" s="1" t="s">
        <v>3615</v>
      </c>
      <c r="K10987" s="1" t="s">
        <v>35853</v>
      </c>
      <c r="L10987" s="1"/>
      <c r="M10987" s="1"/>
    </row>
    <row x14ac:dyDescent="0.25" r="10988" customHeight="1" ht="18.75">
      <c r="A10988" s="1" t="s">
        <v>3598</v>
      </c>
      <c r="B10988" s="1" t="s">
        <v>35802</v>
      </c>
      <c r="C10988" s="1" t="s">
        <v>3600</v>
      </c>
      <c r="D10988" s="1" t="s">
        <v>3601</v>
      </c>
      <c r="E10988" s="1" t="s">
        <v>3981</v>
      </c>
      <c r="F10988" s="1" t="s">
        <v>35854</v>
      </c>
      <c r="G10988" s="1" t="s">
        <v>35836</v>
      </c>
      <c r="H10988" s="1" t="s">
        <v>3606</v>
      </c>
      <c r="I10988" s="1" t="s">
        <v>35855</v>
      </c>
      <c r="J10988" s="1" t="s">
        <v>3615</v>
      </c>
      <c r="K10988" s="1" t="s">
        <v>35856</v>
      </c>
      <c r="L10988" s="1"/>
      <c r="M10988" s="1"/>
    </row>
    <row x14ac:dyDescent="0.25" r="10989" customHeight="1" ht="18.75">
      <c r="A10989" s="1" t="s">
        <v>3598</v>
      </c>
      <c r="B10989" s="1" t="s">
        <v>35802</v>
      </c>
      <c r="C10989" s="1" t="s">
        <v>3600</v>
      </c>
      <c r="D10989" s="1" t="s">
        <v>3601</v>
      </c>
      <c r="E10989" s="1" t="s">
        <v>3752</v>
      </c>
      <c r="F10989" s="1" t="s">
        <v>35857</v>
      </c>
      <c r="G10989" s="1" t="s">
        <v>35858</v>
      </c>
      <c r="H10989" s="1" t="s">
        <v>3606</v>
      </c>
      <c r="I10989" s="1" t="s">
        <v>35859</v>
      </c>
      <c r="J10989" s="1" t="s">
        <v>3615</v>
      </c>
      <c r="K10989" s="1" t="s">
        <v>35860</v>
      </c>
      <c r="L10989" s="1"/>
      <c r="M10989" s="1"/>
    </row>
    <row x14ac:dyDescent="0.25" r="10990" customHeight="1" ht="18.75">
      <c r="A10990" s="1" t="s">
        <v>3598</v>
      </c>
      <c r="B10990" s="1" t="s">
        <v>35802</v>
      </c>
      <c r="C10990" s="1" t="s">
        <v>3600</v>
      </c>
      <c r="D10990" s="1" t="s">
        <v>3601</v>
      </c>
      <c r="E10990" s="1" t="s">
        <v>3981</v>
      </c>
      <c r="F10990" s="1" t="s">
        <v>35861</v>
      </c>
      <c r="G10990" s="1" t="s">
        <v>35844</v>
      </c>
      <c r="H10990" s="1" t="s">
        <v>3606</v>
      </c>
      <c r="I10990" s="1" t="s">
        <v>35862</v>
      </c>
      <c r="J10990" s="1" t="s">
        <v>3615</v>
      </c>
      <c r="K10990" s="1" t="s">
        <v>35863</v>
      </c>
      <c r="L10990" s="1"/>
      <c r="M10990" s="1"/>
    </row>
    <row x14ac:dyDescent="0.25" r="10991" customHeight="1" ht="18.75">
      <c r="A10991" s="1" t="s">
        <v>3598</v>
      </c>
      <c r="B10991" s="1" t="s">
        <v>35864</v>
      </c>
      <c r="C10991" s="1" t="s">
        <v>3600</v>
      </c>
      <c r="D10991" s="1" t="s">
        <v>3601</v>
      </c>
      <c r="E10991" s="1" t="s">
        <v>3981</v>
      </c>
      <c r="F10991" s="1" t="s">
        <v>35865</v>
      </c>
      <c r="G10991" s="1" t="s">
        <v>35866</v>
      </c>
      <c r="H10991" s="1" t="s">
        <v>3606</v>
      </c>
      <c r="I10991" s="1" t="s">
        <v>35867</v>
      </c>
      <c r="J10991" s="1" t="s">
        <v>3615</v>
      </c>
      <c r="K10991" s="1" t="s">
        <v>35868</v>
      </c>
      <c r="L10991" s="1"/>
      <c r="M10991" s="1"/>
    </row>
    <row x14ac:dyDescent="0.25" r="10992" customHeight="1" ht="18.75">
      <c r="A10992" s="1" t="s">
        <v>3598</v>
      </c>
      <c r="B10992" s="1" t="s">
        <v>35869</v>
      </c>
      <c r="C10992" s="1" t="s">
        <v>3600</v>
      </c>
      <c r="D10992" s="1" t="s">
        <v>3601</v>
      </c>
      <c r="E10992" s="1" t="s">
        <v>3981</v>
      </c>
      <c r="F10992" s="1" t="s">
        <v>35870</v>
      </c>
      <c r="G10992" s="1" t="s">
        <v>35871</v>
      </c>
      <c r="H10992" s="1" t="s">
        <v>3606</v>
      </c>
      <c r="I10992" s="1" t="s">
        <v>35872</v>
      </c>
      <c r="J10992" s="1" t="s">
        <v>3615</v>
      </c>
      <c r="K10992" s="1" t="s">
        <v>35873</v>
      </c>
      <c r="L10992" s="1"/>
      <c r="M10992" s="1"/>
    </row>
    <row x14ac:dyDescent="0.25" r="10993" customHeight="1" ht="18.75">
      <c r="A10993" s="1" t="s">
        <v>3598</v>
      </c>
      <c r="B10993" s="1" t="s">
        <v>3751</v>
      </c>
      <c r="C10993" s="1" t="s">
        <v>3600</v>
      </c>
      <c r="D10993" s="1" t="s">
        <v>3601</v>
      </c>
      <c r="E10993" s="1" t="s">
        <v>3664</v>
      </c>
      <c r="F10993" s="1" t="s">
        <v>35874</v>
      </c>
      <c r="G10993" s="1" t="s">
        <v>35875</v>
      </c>
      <c r="H10993" s="1" t="s">
        <v>3606</v>
      </c>
      <c r="I10993" s="1" t="s">
        <v>35876</v>
      </c>
      <c r="J10993" s="1" t="s">
        <v>3615</v>
      </c>
      <c r="K10993" s="1" t="s">
        <v>35877</v>
      </c>
      <c r="L10993" s="1"/>
      <c r="M10993" s="1"/>
    </row>
    <row x14ac:dyDescent="0.25" r="10994" customHeight="1" ht="18.75">
      <c r="A10994" s="1" t="s">
        <v>3598</v>
      </c>
      <c r="B10994" s="1" t="s">
        <v>35802</v>
      </c>
      <c r="C10994" s="1" t="s">
        <v>3600</v>
      </c>
      <c r="D10994" s="1" t="s">
        <v>3601</v>
      </c>
      <c r="E10994" s="1" t="s">
        <v>3752</v>
      </c>
      <c r="F10994" s="1" t="s">
        <v>35878</v>
      </c>
      <c r="G10994" s="1" t="s">
        <v>35879</v>
      </c>
      <c r="H10994" s="1" t="s">
        <v>3606</v>
      </c>
      <c r="I10994" s="1" t="s">
        <v>35880</v>
      </c>
      <c r="J10994" s="1" t="s">
        <v>3615</v>
      </c>
      <c r="K10994" s="1" t="s">
        <v>35881</v>
      </c>
      <c r="L10994" s="1"/>
      <c r="M10994" s="1"/>
    </row>
    <row x14ac:dyDescent="0.25" r="10995" customHeight="1" ht="18.75">
      <c r="A10995" s="1" t="s">
        <v>3598</v>
      </c>
      <c r="B10995" s="1" t="s">
        <v>35802</v>
      </c>
      <c r="C10995" s="1" t="s">
        <v>3600</v>
      </c>
      <c r="D10995" s="1" t="s">
        <v>3601</v>
      </c>
      <c r="E10995" s="1" t="s">
        <v>3752</v>
      </c>
      <c r="F10995" s="1" t="s">
        <v>35882</v>
      </c>
      <c r="G10995" s="1" t="s">
        <v>35883</v>
      </c>
      <c r="H10995" s="1" t="s">
        <v>3606</v>
      </c>
      <c r="I10995" s="1" t="s">
        <v>35884</v>
      </c>
      <c r="J10995" s="1" t="s">
        <v>3615</v>
      </c>
      <c r="K10995" s="1" t="s">
        <v>35885</v>
      </c>
      <c r="L10995" s="1"/>
      <c r="M10995" s="1"/>
    </row>
    <row x14ac:dyDescent="0.25" r="10996" customHeight="1" ht="18.75">
      <c r="A10996" s="1" t="s">
        <v>3598</v>
      </c>
      <c r="B10996" s="1" t="s">
        <v>35802</v>
      </c>
      <c r="C10996" s="1" t="s">
        <v>3600</v>
      </c>
      <c r="D10996" s="1" t="s">
        <v>3601</v>
      </c>
      <c r="E10996" s="1" t="s">
        <v>3752</v>
      </c>
      <c r="F10996" s="1" t="s">
        <v>35886</v>
      </c>
      <c r="G10996" s="1" t="s">
        <v>35832</v>
      </c>
      <c r="H10996" s="1" t="s">
        <v>3606</v>
      </c>
      <c r="I10996" s="1" t="s">
        <v>35887</v>
      </c>
      <c r="J10996" s="1" t="s">
        <v>3615</v>
      </c>
      <c r="K10996" s="1" t="s">
        <v>35888</v>
      </c>
      <c r="L10996" s="1"/>
      <c r="M10996" s="1"/>
    </row>
    <row x14ac:dyDescent="0.25" r="10997" customHeight="1" ht="18.75">
      <c r="A10997" s="1" t="s">
        <v>3598</v>
      </c>
      <c r="B10997" s="1" t="s">
        <v>35802</v>
      </c>
      <c r="C10997" s="1" t="s">
        <v>3600</v>
      </c>
      <c r="D10997" s="1" t="s">
        <v>3601</v>
      </c>
      <c r="E10997" s="1" t="s">
        <v>3752</v>
      </c>
      <c r="F10997" s="1" t="s">
        <v>35889</v>
      </c>
      <c r="G10997" s="1" t="s">
        <v>35836</v>
      </c>
      <c r="H10997" s="1" t="s">
        <v>3606</v>
      </c>
      <c r="I10997" s="1" t="s">
        <v>35890</v>
      </c>
      <c r="J10997" s="1" t="s">
        <v>3615</v>
      </c>
      <c r="K10997" s="1" t="s">
        <v>35891</v>
      </c>
      <c r="L10997" s="1"/>
      <c r="M10997" s="1"/>
    </row>
    <row x14ac:dyDescent="0.25" r="10998" customHeight="1" ht="18.75">
      <c r="A10998" s="1" t="s">
        <v>3598</v>
      </c>
      <c r="B10998" s="1" t="s">
        <v>35802</v>
      </c>
      <c r="C10998" s="1" t="s">
        <v>3600</v>
      </c>
      <c r="D10998" s="1" t="s">
        <v>3601</v>
      </c>
      <c r="E10998" s="1" t="s">
        <v>3981</v>
      </c>
      <c r="F10998" s="1" t="s">
        <v>35892</v>
      </c>
      <c r="G10998" s="1" t="s">
        <v>35893</v>
      </c>
      <c r="H10998" s="1" t="s">
        <v>3606</v>
      </c>
      <c r="I10998" s="1" t="s">
        <v>35894</v>
      </c>
      <c r="J10998" s="1" t="s">
        <v>3615</v>
      </c>
      <c r="K10998" s="1" t="s">
        <v>35895</v>
      </c>
      <c r="L10998" s="1"/>
      <c r="M10998" s="1"/>
    </row>
    <row x14ac:dyDescent="0.25" r="10999" customHeight="1" ht="18.75">
      <c r="A10999" s="1" t="s">
        <v>5496</v>
      </c>
      <c r="B10999" s="1" t="s">
        <v>3903</v>
      </c>
      <c r="C10999" s="1" t="s">
        <v>3619</v>
      </c>
      <c r="D10999" s="1" t="s">
        <v>3601</v>
      </c>
      <c r="E10999" s="1" t="s">
        <v>3893</v>
      </c>
      <c r="F10999" s="1" t="s">
        <v>35896</v>
      </c>
      <c r="G10999" s="1" t="s">
        <v>35897</v>
      </c>
      <c r="H10999" s="1" t="s">
        <v>35898</v>
      </c>
      <c r="I10999" s="1" t="s">
        <v>35899</v>
      </c>
      <c r="J10999" s="1" t="s">
        <v>3615</v>
      </c>
      <c r="K10999" s="1" t="s">
        <v>35900</v>
      </c>
      <c r="L10999" s="1"/>
      <c r="M10999" s="1"/>
    </row>
    <row x14ac:dyDescent="0.25" r="11000" customHeight="1" ht="18.75">
      <c r="A11000" s="1" t="s">
        <v>5496</v>
      </c>
      <c r="B11000" s="1" t="s">
        <v>3903</v>
      </c>
      <c r="C11000" s="1" t="s">
        <v>3619</v>
      </c>
      <c r="D11000" s="1" t="s">
        <v>3601</v>
      </c>
      <c r="E11000" s="1" t="s">
        <v>3893</v>
      </c>
      <c r="F11000" s="1" t="s">
        <v>35901</v>
      </c>
      <c r="G11000" s="1" t="s">
        <v>35897</v>
      </c>
      <c r="H11000" s="1" t="s">
        <v>35898</v>
      </c>
      <c r="I11000" s="1" t="s">
        <v>35902</v>
      </c>
      <c r="J11000" s="1" t="s">
        <v>3615</v>
      </c>
      <c r="K11000" s="1" t="s">
        <v>35900</v>
      </c>
      <c r="L11000" s="1"/>
      <c r="M11000" s="1"/>
    </row>
    <row x14ac:dyDescent="0.25" r="11001" customHeight="1" ht="18.75">
      <c r="A11001" s="1" t="s">
        <v>5496</v>
      </c>
      <c r="B11001" s="1" t="s">
        <v>3903</v>
      </c>
      <c r="C11001" s="1" t="s">
        <v>3619</v>
      </c>
      <c r="D11001" s="1" t="s">
        <v>3601</v>
      </c>
      <c r="E11001" s="1" t="s">
        <v>3893</v>
      </c>
      <c r="F11001" s="1" t="s">
        <v>35903</v>
      </c>
      <c r="G11001" s="1" t="s">
        <v>35897</v>
      </c>
      <c r="H11001" s="1" t="s">
        <v>35898</v>
      </c>
      <c r="I11001" s="1" t="s">
        <v>35904</v>
      </c>
      <c r="J11001" s="1" t="s">
        <v>3615</v>
      </c>
      <c r="K11001" s="1" t="s">
        <v>35905</v>
      </c>
      <c r="L11001" s="1"/>
      <c r="M11001" s="1"/>
    </row>
    <row x14ac:dyDescent="0.25" r="11002" customHeight="1" ht="18.75">
      <c r="A11002" s="1" t="s">
        <v>5496</v>
      </c>
      <c r="B11002" s="1" t="s">
        <v>3903</v>
      </c>
      <c r="C11002" s="1" t="s">
        <v>3619</v>
      </c>
      <c r="D11002" s="1" t="s">
        <v>3601</v>
      </c>
      <c r="E11002" s="1" t="s">
        <v>3893</v>
      </c>
      <c r="F11002" s="1" t="s">
        <v>35906</v>
      </c>
      <c r="G11002" s="1" t="s">
        <v>35897</v>
      </c>
      <c r="H11002" s="1" t="s">
        <v>35898</v>
      </c>
      <c r="I11002" s="1" t="s">
        <v>35907</v>
      </c>
      <c r="J11002" s="1" t="s">
        <v>3615</v>
      </c>
      <c r="K11002" s="1" t="s">
        <v>35905</v>
      </c>
      <c r="L11002" s="1"/>
      <c r="M11002" s="1"/>
    </row>
    <row x14ac:dyDescent="0.25" r="11003" customHeight="1" ht="18.75">
      <c r="A11003" s="1" t="s">
        <v>5496</v>
      </c>
      <c r="B11003" s="1" t="s">
        <v>7904</v>
      </c>
      <c r="C11003" s="1" t="s">
        <v>3619</v>
      </c>
      <c r="D11003" s="1" t="s">
        <v>533</v>
      </c>
      <c r="E11003" s="1" t="s">
        <v>3893</v>
      </c>
      <c r="F11003" s="1" t="s">
        <v>35908</v>
      </c>
      <c r="G11003" s="1" t="s">
        <v>35909</v>
      </c>
      <c r="H11003" s="1" t="s">
        <v>35898</v>
      </c>
      <c r="I11003" s="1" t="s">
        <v>35910</v>
      </c>
      <c r="J11003" s="1" t="s">
        <v>3615</v>
      </c>
      <c r="K11003" s="1" t="s">
        <v>35900</v>
      </c>
      <c r="L11003" s="1"/>
      <c r="M11003" s="1"/>
    </row>
    <row x14ac:dyDescent="0.25" r="11004" customHeight="1" ht="18.75">
      <c r="A11004" s="1" t="s">
        <v>5496</v>
      </c>
      <c r="B11004" s="1" t="s">
        <v>7904</v>
      </c>
      <c r="C11004" s="1" t="s">
        <v>3619</v>
      </c>
      <c r="D11004" s="1" t="s">
        <v>533</v>
      </c>
      <c r="E11004" s="1" t="s">
        <v>3893</v>
      </c>
      <c r="F11004" s="1" t="s">
        <v>35911</v>
      </c>
      <c r="G11004" s="1" t="s">
        <v>35912</v>
      </c>
      <c r="H11004" s="1"/>
      <c r="I11004" s="1"/>
      <c r="J11004" s="1" t="s">
        <v>3615</v>
      </c>
      <c r="K11004" s="1"/>
      <c r="L11004" s="1"/>
      <c r="M11004" s="1"/>
    </row>
    <row x14ac:dyDescent="0.25" r="11005" customHeight="1" ht="18.75">
      <c r="A11005" s="1" t="s">
        <v>5496</v>
      </c>
      <c r="B11005" s="1" t="s">
        <v>7904</v>
      </c>
      <c r="C11005" s="1" t="s">
        <v>3619</v>
      </c>
      <c r="D11005" s="1" t="s">
        <v>3610</v>
      </c>
      <c r="E11005" s="1" t="s">
        <v>3893</v>
      </c>
      <c r="F11005" s="1" t="s">
        <v>35913</v>
      </c>
      <c r="G11005" s="1" t="s">
        <v>35912</v>
      </c>
      <c r="H11005" s="1"/>
      <c r="I11005" s="1"/>
      <c r="J11005" s="1" t="s">
        <v>3615</v>
      </c>
      <c r="K11005" s="1"/>
      <c r="L11005" s="1"/>
      <c r="M11005" s="1"/>
    </row>
    <row x14ac:dyDescent="0.25" r="11006" customHeight="1" ht="18.75">
      <c r="A11006" s="1" t="s">
        <v>5496</v>
      </c>
      <c r="B11006" s="1" t="s">
        <v>7904</v>
      </c>
      <c r="C11006" s="1" t="s">
        <v>3619</v>
      </c>
      <c r="D11006" s="1" t="s">
        <v>3610</v>
      </c>
      <c r="E11006" s="1" t="s">
        <v>3893</v>
      </c>
      <c r="F11006" s="1" t="s">
        <v>35914</v>
      </c>
      <c r="G11006" s="1" t="s">
        <v>35912</v>
      </c>
      <c r="H11006" s="1"/>
      <c r="I11006" s="1"/>
      <c r="J11006" s="1" t="s">
        <v>3615</v>
      </c>
      <c r="K11006" s="1"/>
      <c r="L11006" s="1"/>
      <c r="M11006" s="1"/>
    </row>
    <row x14ac:dyDescent="0.25" r="11007" customHeight="1" ht="18.75">
      <c r="A11007" s="1" t="s">
        <v>5496</v>
      </c>
      <c r="B11007" s="1" t="s">
        <v>7904</v>
      </c>
      <c r="C11007" s="1" t="s">
        <v>3619</v>
      </c>
      <c r="D11007" s="1" t="s">
        <v>3695</v>
      </c>
      <c r="E11007" s="1" t="s">
        <v>3893</v>
      </c>
      <c r="F11007" s="1" t="s">
        <v>35915</v>
      </c>
      <c r="G11007" s="1" t="s">
        <v>35916</v>
      </c>
      <c r="H11007" s="1"/>
      <c r="I11007" s="1"/>
      <c r="J11007" s="1" t="s">
        <v>3615</v>
      </c>
      <c r="K11007" s="1"/>
      <c r="L11007" s="1"/>
      <c r="M11007" s="1"/>
    </row>
    <row x14ac:dyDescent="0.25" r="11008" customHeight="1" ht="18.75">
      <c r="A11008" s="1" t="s">
        <v>5496</v>
      </c>
      <c r="B11008" s="1" t="s">
        <v>7904</v>
      </c>
      <c r="C11008" s="1" t="s">
        <v>3619</v>
      </c>
      <c r="D11008" s="1" t="s">
        <v>3695</v>
      </c>
      <c r="E11008" s="1" t="s">
        <v>3893</v>
      </c>
      <c r="F11008" s="1" t="s">
        <v>35917</v>
      </c>
      <c r="G11008" s="1" t="s">
        <v>35912</v>
      </c>
      <c r="H11008" s="1"/>
      <c r="I11008" s="1"/>
      <c r="J11008" s="1" t="s">
        <v>3615</v>
      </c>
      <c r="K11008" s="1"/>
      <c r="L11008" s="1"/>
      <c r="M11008" s="1"/>
    </row>
    <row x14ac:dyDescent="0.25" r="11009" customHeight="1" ht="18.75">
      <c r="A11009" s="1" t="s">
        <v>5496</v>
      </c>
      <c r="B11009" s="1" t="s">
        <v>7904</v>
      </c>
      <c r="C11009" s="1" t="s">
        <v>3619</v>
      </c>
      <c r="D11009" s="1" t="s">
        <v>3695</v>
      </c>
      <c r="E11009" s="1" t="s">
        <v>3893</v>
      </c>
      <c r="F11009" s="1" t="s">
        <v>35918</v>
      </c>
      <c r="G11009" s="1" t="s">
        <v>35912</v>
      </c>
      <c r="H11009" s="1"/>
      <c r="I11009" s="1"/>
      <c r="J11009" s="1" t="s">
        <v>3615</v>
      </c>
      <c r="K11009" s="1"/>
      <c r="L11009" s="1"/>
      <c r="M11009" s="1"/>
    </row>
    <row x14ac:dyDescent="0.25" r="11010" customHeight="1" ht="18.75">
      <c r="A11010" s="1" t="s">
        <v>5496</v>
      </c>
      <c r="B11010" s="1" t="s">
        <v>7904</v>
      </c>
      <c r="C11010" s="1" t="s">
        <v>3619</v>
      </c>
      <c r="D11010" s="1" t="s">
        <v>3695</v>
      </c>
      <c r="E11010" s="1" t="s">
        <v>3893</v>
      </c>
      <c r="F11010" s="1" t="s">
        <v>35919</v>
      </c>
      <c r="G11010" s="1" t="s">
        <v>35909</v>
      </c>
      <c r="H11010" s="1"/>
      <c r="I11010" s="1"/>
      <c r="J11010" s="1" t="s">
        <v>3615</v>
      </c>
      <c r="K11010" s="1"/>
      <c r="L11010" s="1"/>
      <c r="M11010" s="1"/>
    </row>
    <row x14ac:dyDescent="0.25" r="11011" customHeight="1" ht="18.75">
      <c r="A11011" s="1" t="s">
        <v>5496</v>
      </c>
      <c r="B11011" s="1" t="s">
        <v>7904</v>
      </c>
      <c r="C11011" s="1" t="s">
        <v>3619</v>
      </c>
      <c r="D11011" s="1" t="s">
        <v>3695</v>
      </c>
      <c r="E11011" s="1" t="s">
        <v>3893</v>
      </c>
      <c r="F11011" s="1" t="s">
        <v>35920</v>
      </c>
      <c r="G11011" s="1" t="s">
        <v>35909</v>
      </c>
      <c r="H11011" s="1"/>
      <c r="I11011" s="1"/>
      <c r="J11011" s="1" t="s">
        <v>3615</v>
      </c>
      <c r="K11011" s="1"/>
      <c r="L11011" s="1"/>
      <c r="M11011" s="1"/>
    </row>
    <row x14ac:dyDescent="0.25" r="11012" customHeight="1" ht="18.75">
      <c r="A11012" s="1" t="s">
        <v>5496</v>
      </c>
      <c r="B11012" s="1" t="s">
        <v>7904</v>
      </c>
      <c r="C11012" s="1" t="s">
        <v>3619</v>
      </c>
      <c r="D11012" s="1" t="s">
        <v>3695</v>
      </c>
      <c r="E11012" s="1" t="s">
        <v>3893</v>
      </c>
      <c r="F11012" s="1" t="s">
        <v>35921</v>
      </c>
      <c r="G11012" s="1" t="s">
        <v>35909</v>
      </c>
      <c r="H11012" s="1"/>
      <c r="I11012" s="1"/>
      <c r="J11012" s="1" t="s">
        <v>3615</v>
      </c>
      <c r="K11012" s="1"/>
      <c r="L11012" s="1"/>
      <c r="M11012" s="1"/>
    </row>
    <row x14ac:dyDescent="0.25" r="11013" customHeight="1" ht="18.75">
      <c r="A11013" s="1" t="s">
        <v>5496</v>
      </c>
      <c r="B11013" s="1" t="s">
        <v>3980</v>
      </c>
      <c r="C11013" s="1" t="s">
        <v>3619</v>
      </c>
      <c r="D11013" s="1" t="s">
        <v>3601</v>
      </c>
      <c r="E11013" s="1" t="s">
        <v>3730</v>
      </c>
      <c r="F11013" s="1" t="s">
        <v>35922</v>
      </c>
      <c r="G11013" s="1" t="s">
        <v>35923</v>
      </c>
      <c r="H11013" s="1" t="s">
        <v>35898</v>
      </c>
      <c r="I11013" s="1" t="s">
        <v>35924</v>
      </c>
      <c r="J11013" s="1" t="s">
        <v>3615</v>
      </c>
      <c r="K11013" s="1" t="s">
        <v>35925</v>
      </c>
      <c r="L11013" s="1"/>
      <c r="M11013" s="1"/>
    </row>
    <row x14ac:dyDescent="0.25" r="11014" customHeight="1" ht="18.75">
      <c r="A11014" s="1" t="s">
        <v>5496</v>
      </c>
      <c r="B11014" s="1" t="s">
        <v>6354</v>
      </c>
      <c r="C11014" s="1" t="s">
        <v>3619</v>
      </c>
      <c r="D11014" s="1" t="s">
        <v>3601</v>
      </c>
      <c r="E11014" s="1" t="s">
        <v>3730</v>
      </c>
      <c r="F11014" s="1" t="s">
        <v>35926</v>
      </c>
      <c r="G11014" s="1" t="s">
        <v>7496</v>
      </c>
      <c r="H11014" s="1" t="s">
        <v>35898</v>
      </c>
      <c r="I11014" s="1" t="s">
        <v>35927</v>
      </c>
      <c r="J11014" s="1" t="s">
        <v>3615</v>
      </c>
      <c r="K11014" s="1" t="s">
        <v>35928</v>
      </c>
      <c r="L11014" s="1"/>
      <c r="M11014" s="1"/>
    </row>
    <row x14ac:dyDescent="0.25" r="11015" customHeight="1" ht="18.75">
      <c r="A11015" s="1" t="s">
        <v>5496</v>
      </c>
      <c r="B11015" s="1" t="s">
        <v>33109</v>
      </c>
      <c r="C11015" s="1" t="s">
        <v>3619</v>
      </c>
      <c r="D11015" s="1" t="s">
        <v>3601</v>
      </c>
      <c r="E11015" s="1" t="s">
        <v>3981</v>
      </c>
      <c r="F11015" s="1" t="s">
        <v>35929</v>
      </c>
      <c r="G11015" s="1" t="s">
        <v>33165</v>
      </c>
      <c r="H11015" s="1" t="s">
        <v>35898</v>
      </c>
      <c r="I11015" s="1" t="s">
        <v>35930</v>
      </c>
      <c r="J11015" s="1" t="s">
        <v>3615</v>
      </c>
      <c r="K11015" s="1" t="s">
        <v>35931</v>
      </c>
      <c r="L11015" s="1"/>
      <c r="M11015" s="1"/>
    </row>
    <row x14ac:dyDescent="0.25" r="11016" customHeight="1" ht="18.75">
      <c r="A11016" s="1" t="s">
        <v>5496</v>
      </c>
      <c r="B11016" s="1" t="s">
        <v>33109</v>
      </c>
      <c r="C11016" s="1" t="s">
        <v>3619</v>
      </c>
      <c r="D11016" s="1" t="s">
        <v>3601</v>
      </c>
      <c r="E11016" s="1" t="s">
        <v>3981</v>
      </c>
      <c r="F11016" s="1" t="s">
        <v>35932</v>
      </c>
      <c r="G11016" s="1" t="s">
        <v>33165</v>
      </c>
      <c r="H11016" s="1" t="s">
        <v>35898</v>
      </c>
      <c r="I11016" s="1" t="s">
        <v>35933</v>
      </c>
      <c r="J11016" s="1" t="s">
        <v>3615</v>
      </c>
      <c r="K11016" s="1" t="s">
        <v>35934</v>
      </c>
      <c r="L11016" s="1"/>
      <c r="M11016" s="1"/>
    </row>
    <row x14ac:dyDescent="0.25" r="11017" customHeight="1" ht="18.75">
      <c r="A11017" s="1" t="s">
        <v>5496</v>
      </c>
      <c r="B11017" s="1" t="s">
        <v>6383</v>
      </c>
      <c r="C11017" s="1" t="s">
        <v>3619</v>
      </c>
      <c r="D11017" s="1" t="s">
        <v>3601</v>
      </c>
      <c r="E11017" s="1" t="s">
        <v>3981</v>
      </c>
      <c r="F11017" s="1" t="s">
        <v>35935</v>
      </c>
      <c r="G11017" s="1" t="s">
        <v>6385</v>
      </c>
      <c r="H11017" s="1" t="s">
        <v>35898</v>
      </c>
      <c r="I11017" s="1" t="s">
        <v>35936</v>
      </c>
      <c r="J11017" s="1" t="s">
        <v>3615</v>
      </c>
      <c r="K11017" s="1" t="s">
        <v>35937</v>
      </c>
      <c r="L11017" s="1"/>
      <c r="M11017" s="1"/>
    </row>
    <row x14ac:dyDescent="0.25" r="11018" customHeight="1" ht="18.75">
      <c r="A11018" s="1" t="s">
        <v>5496</v>
      </c>
      <c r="B11018" s="1" t="s">
        <v>35938</v>
      </c>
      <c r="C11018" s="1" t="s">
        <v>3619</v>
      </c>
      <c r="D11018" s="1" t="s">
        <v>3601</v>
      </c>
      <c r="E11018" s="1" t="s">
        <v>3730</v>
      </c>
      <c r="F11018" s="1" t="s">
        <v>35939</v>
      </c>
      <c r="G11018" s="1" t="s">
        <v>34663</v>
      </c>
      <c r="H11018" s="1" t="s">
        <v>35898</v>
      </c>
      <c r="I11018" s="1" t="s">
        <v>35940</v>
      </c>
      <c r="J11018" s="1" t="s">
        <v>3615</v>
      </c>
      <c r="K11018" s="1" t="s">
        <v>35941</v>
      </c>
      <c r="L11018" s="1"/>
      <c r="M11018" s="1"/>
    </row>
    <row x14ac:dyDescent="0.25" r="11019" customHeight="1" ht="18.75">
      <c r="A11019" s="1" t="s">
        <v>5496</v>
      </c>
      <c r="B11019" s="1" t="s">
        <v>35942</v>
      </c>
      <c r="C11019" s="1" t="s">
        <v>3619</v>
      </c>
      <c r="D11019" s="1" t="s">
        <v>3601</v>
      </c>
      <c r="E11019" s="1" t="s">
        <v>3730</v>
      </c>
      <c r="F11019" s="1" t="s">
        <v>35943</v>
      </c>
      <c r="G11019" s="1" t="s">
        <v>35944</v>
      </c>
      <c r="H11019" s="1" t="s">
        <v>35898</v>
      </c>
      <c r="I11019" s="1" t="s">
        <v>35945</v>
      </c>
      <c r="J11019" s="1" t="s">
        <v>3615</v>
      </c>
      <c r="K11019" s="1" t="s">
        <v>35900</v>
      </c>
      <c r="L11019" s="1"/>
      <c r="M11019" s="1"/>
    </row>
    <row x14ac:dyDescent="0.25" r="11020" customHeight="1" ht="18.75">
      <c r="A11020" s="1" t="s">
        <v>5496</v>
      </c>
      <c r="B11020" s="1" t="s">
        <v>35942</v>
      </c>
      <c r="C11020" s="1" t="s">
        <v>3619</v>
      </c>
      <c r="D11020" s="1" t="s">
        <v>3601</v>
      </c>
      <c r="E11020" s="1" t="s">
        <v>3730</v>
      </c>
      <c r="F11020" s="1" t="s">
        <v>35946</v>
      </c>
      <c r="G11020" s="1" t="s">
        <v>35944</v>
      </c>
      <c r="H11020" s="1" t="s">
        <v>35898</v>
      </c>
      <c r="I11020" s="1" t="s">
        <v>35947</v>
      </c>
      <c r="J11020" s="1" t="s">
        <v>3615</v>
      </c>
      <c r="K11020" s="1" t="s">
        <v>35900</v>
      </c>
      <c r="L11020" s="1"/>
      <c r="M11020" s="1"/>
    </row>
    <row x14ac:dyDescent="0.25" r="11021" customHeight="1" ht="18.75">
      <c r="A11021" s="1" t="s">
        <v>5496</v>
      </c>
      <c r="B11021" s="1" t="s">
        <v>35942</v>
      </c>
      <c r="C11021" s="1" t="s">
        <v>3619</v>
      </c>
      <c r="D11021" s="1" t="s">
        <v>3601</v>
      </c>
      <c r="E11021" s="1" t="s">
        <v>3730</v>
      </c>
      <c r="F11021" s="1" t="s">
        <v>35948</v>
      </c>
      <c r="G11021" s="1" t="s">
        <v>35944</v>
      </c>
      <c r="H11021" s="1" t="s">
        <v>35898</v>
      </c>
      <c r="I11021" s="1" t="s">
        <v>35949</v>
      </c>
      <c r="J11021" s="1" t="s">
        <v>3615</v>
      </c>
      <c r="K11021" s="1" t="s">
        <v>35950</v>
      </c>
      <c r="L11021" s="1"/>
      <c r="M11021" s="1"/>
    </row>
    <row x14ac:dyDescent="0.25" r="11022" customHeight="1" ht="18.75">
      <c r="A11022" s="1" t="s">
        <v>5496</v>
      </c>
      <c r="B11022" s="1" t="s">
        <v>35951</v>
      </c>
      <c r="C11022" s="1" t="s">
        <v>3619</v>
      </c>
      <c r="D11022" s="1" t="s">
        <v>3601</v>
      </c>
      <c r="E11022" s="1" t="s">
        <v>3730</v>
      </c>
      <c r="F11022" s="1" t="s">
        <v>35952</v>
      </c>
      <c r="G11022" s="1" t="s">
        <v>35953</v>
      </c>
      <c r="H11022" s="1" t="s">
        <v>35898</v>
      </c>
      <c r="I11022" s="1" t="s">
        <v>35954</v>
      </c>
      <c r="J11022" s="1" t="s">
        <v>3615</v>
      </c>
      <c r="K11022" s="1" t="s">
        <v>35900</v>
      </c>
      <c r="L11022" s="1"/>
      <c r="M11022" s="1"/>
    </row>
    <row x14ac:dyDescent="0.25" r="11023" customHeight="1" ht="18.75">
      <c r="A11023" s="1" t="s">
        <v>5496</v>
      </c>
      <c r="B11023" s="1" t="s">
        <v>35951</v>
      </c>
      <c r="C11023" s="1" t="s">
        <v>3619</v>
      </c>
      <c r="D11023" s="1" t="s">
        <v>3601</v>
      </c>
      <c r="E11023" s="1" t="s">
        <v>3730</v>
      </c>
      <c r="F11023" s="1" t="s">
        <v>35955</v>
      </c>
      <c r="G11023" s="1" t="s">
        <v>35953</v>
      </c>
      <c r="H11023" s="1" t="s">
        <v>35898</v>
      </c>
      <c r="I11023" s="1" t="s">
        <v>35956</v>
      </c>
      <c r="J11023" s="1" t="s">
        <v>3615</v>
      </c>
      <c r="K11023" s="1" t="s">
        <v>35957</v>
      </c>
      <c r="L11023" s="1"/>
      <c r="M11023" s="1"/>
    </row>
    <row x14ac:dyDescent="0.25" r="11024" customHeight="1" ht="18.75">
      <c r="A11024" s="1" t="s">
        <v>5496</v>
      </c>
      <c r="B11024" s="1" t="s">
        <v>35958</v>
      </c>
      <c r="C11024" s="1" t="s">
        <v>3619</v>
      </c>
      <c r="D11024" s="1" t="s">
        <v>7994</v>
      </c>
      <c r="E11024" s="1" t="s">
        <v>3730</v>
      </c>
      <c r="F11024" s="1" t="s">
        <v>35959</v>
      </c>
      <c r="G11024" s="1" t="s">
        <v>35960</v>
      </c>
      <c r="H11024" s="1"/>
      <c r="I11024" s="1"/>
      <c r="J11024" s="1" t="s">
        <v>3615</v>
      </c>
      <c r="K11024" s="1" t="s">
        <v>35961</v>
      </c>
      <c r="L11024" s="1"/>
      <c r="M11024" s="1"/>
    </row>
    <row x14ac:dyDescent="0.25" r="11025" customHeight="1" ht="18.75">
      <c r="A11025" s="1" t="s">
        <v>5496</v>
      </c>
      <c r="B11025" s="1" t="s">
        <v>35962</v>
      </c>
      <c r="C11025" s="1" t="s">
        <v>3619</v>
      </c>
      <c r="D11025" s="1" t="s">
        <v>7994</v>
      </c>
      <c r="E11025" s="1" t="s">
        <v>3730</v>
      </c>
      <c r="F11025" s="1" t="s">
        <v>35963</v>
      </c>
      <c r="G11025" s="1" t="s">
        <v>35964</v>
      </c>
      <c r="H11025" s="1"/>
      <c r="I11025" s="1"/>
      <c r="J11025" s="1" t="s">
        <v>3615</v>
      </c>
      <c r="K11025" s="1"/>
      <c r="L11025" s="1"/>
      <c r="M11025" s="1"/>
    </row>
    <row x14ac:dyDescent="0.25" r="11026" customHeight="1" ht="18.75">
      <c r="A11026" s="1" t="s">
        <v>5496</v>
      </c>
      <c r="B11026" s="1" t="s">
        <v>35951</v>
      </c>
      <c r="C11026" s="1" t="s">
        <v>3619</v>
      </c>
      <c r="D11026" s="1" t="s">
        <v>3601</v>
      </c>
      <c r="E11026" s="1" t="s">
        <v>3730</v>
      </c>
      <c r="F11026" s="1" t="s">
        <v>35965</v>
      </c>
      <c r="G11026" s="1" t="s">
        <v>35953</v>
      </c>
      <c r="H11026" s="1" t="s">
        <v>35898</v>
      </c>
      <c r="I11026" s="1" t="s">
        <v>35966</v>
      </c>
      <c r="J11026" s="1" t="s">
        <v>3615</v>
      </c>
      <c r="K11026" s="1" t="s">
        <v>35900</v>
      </c>
      <c r="L11026" s="1"/>
      <c r="M11026" s="1"/>
    </row>
    <row x14ac:dyDescent="0.25" r="11027" customHeight="1" ht="18.75">
      <c r="A11027" s="1" t="s">
        <v>5496</v>
      </c>
      <c r="B11027" s="1" t="s">
        <v>35967</v>
      </c>
      <c r="C11027" s="1" t="s">
        <v>3619</v>
      </c>
      <c r="D11027" s="1" t="s">
        <v>3601</v>
      </c>
      <c r="E11027" s="1" t="s">
        <v>3730</v>
      </c>
      <c r="F11027" s="1" t="s">
        <v>35968</v>
      </c>
      <c r="G11027" s="1" t="s">
        <v>35969</v>
      </c>
      <c r="H11027" s="1" t="s">
        <v>35898</v>
      </c>
      <c r="I11027" s="1" t="s">
        <v>35970</v>
      </c>
      <c r="J11027" s="1" t="s">
        <v>3615</v>
      </c>
      <c r="K11027" s="1" t="s">
        <v>35971</v>
      </c>
      <c r="L11027" s="1"/>
      <c r="M11027" s="1"/>
    </row>
    <row x14ac:dyDescent="0.25" r="11028" customHeight="1" ht="18.75">
      <c r="A11028" s="1" t="s">
        <v>3598</v>
      </c>
      <c r="B11028" s="1" t="s">
        <v>3814</v>
      </c>
      <c r="C11028" s="1" t="s">
        <v>3600</v>
      </c>
      <c r="D11028" s="1" t="s">
        <v>7994</v>
      </c>
      <c r="E11028" s="1" t="s">
        <v>3664</v>
      </c>
      <c r="F11028" s="1" t="s">
        <v>35972</v>
      </c>
      <c r="G11028" s="1" t="s">
        <v>35973</v>
      </c>
      <c r="H11028" s="1" t="s">
        <v>35898</v>
      </c>
      <c r="I11028" s="1" t="s">
        <v>35974</v>
      </c>
      <c r="J11028" s="1" t="s">
        <v>3615</v>
      </c>
      <c r="K11028" s="1" t="s">
        <v>35975</v>
      </c>
      <c r="L11028" s="1"/>
      <c r="M11028" s="1"/>
    </row>
    <row x14ac:dyDescent="0.25" r="11029" customHeight="1" ht="18.75">
      <c r="A11029" s="1" t="s">
        <v>3598</v>
      </c>
      <c r="B11029" s="1" t="s">
        <v>13864</v>
      </c>
      <c r="C11029" s="1" t="s">
        <v>3600</v>
      </c>
      <c r="D11029" s="1" t="s">
        <v>3695</v>
      </c>
      <c r="E11029" s="1" t="s">
        <v>3664</v>
      </c>
      <c r="F11029" s="1" t="s">
        <v>35976</v>
      </c>
      <c r="G11029" s="1" t="s">
        <v>35977</v>
      </c>
      <c r="H11029" s="1" t="s">
        <v>35898</v>
      </c>
      <c r="I11029" s="1" t="s">
        <v>35978</v>
      </c>
      <c r="J11029" s="1" t="s">
        <v>3615</v>
      </c>
      <c r="K11029" s="1" t="s">
        <v>35979</v>
      </c>
      <c r="L11029" s="1"/>
      <c r="M11029" s="1"/>
    </row>
    <row x14ac:dyDescent="0.25" r="11030" customHeight="1" ht="18.75">
      <c r="A11030" s="1" t="s">
        <v>3598</v>
      </c>
      <c r="B11030" s="1" t="s">
        <v>13864</v>
      </c>
      <c r="C11030" s="1" t="s">
        <v>3600</v>
      </c>
      <c r="D11030" s="1" t="s">
        <v>3695</v>
      </c>
      <c r="E11030" s="1" t="s">
        <v>3664</v>
      </c>
      <c r="F11030" s="1" t="s">
        <v>35980</v>
      </c>
      <c r="G11030" s="1" t="s">
        <v>35977</v>
      </c>
      <c r="H11030" s="1" t="s">
        <v>35898</v>
      </c>
      <c r="I11030" s="1" t="s">
        <v>35981</v>
      </c>
      <c r="J11030" s="1" t="s">
        <v>3615</v>
      </c>
      <c r="K11030" s="1" t="s">
        <v>35982</v>
      </c>
      <c r="L11030" s="1"/>
      <c r="M11030" s="1"/>
    </row>
    <row x14ac:dyDescent="0.25" r="11031" customHeight="1" ht="18.75">
      <c r="A11031" s="1" t="s">
        <v>3598</v>
      </c>
      <c r="B11031" s="1" t="s">
        <v>13864</v>
      </c>
      <c r="C11031" s="1" t="s">
        <v>3600</v>
      </c>
      <c r="D11031" s="1" t="s">
        <v>3695</v>
      </c>
      <c r="E11031" s="1" t="s">
        <v>3664</v>
      </c>
      <c r="F11031" s="1" t="s">
        <v>35983</v>
      </c>
      <c r="G11031" s="1" t="s">
        <v>35977</v>
      </c>
      <c r="H11031" s="1" t="s">
        <v>35898</v>
      </c>
      <c r="I11031" s="1" t="s">
        <v>35984</v>
      </c>
      <c r="J11031" s="1" t="s">
        <v>3615</v>
      </c>
      <c r="K11031" s="1" t="s">
        <v>35985</v>
      </c>
      <c r="L11031" s="1"/>
      <c r="M11031" s="1"/>
    </row>
    <row x14ac:dyDescent="0.25" r="11032" customHeight="1" ht="18.75">
      <c r="A11032" s="1" t="s">
        <v>3598</v>
      </c>
      <c r="B11032" s="1" t="s">
        <v>13864</v>
      </c>
      <c r="C11032" s="1" t="s">
        <v>3600</v>
      </c>
      <c r="D11032" s="1" t="s">
        <v>3695</v>
      </c>
      <c r="E11032" s="1" t="s">
        <v>3664</v>
      </c>
      <c r="F11032" s="1" t="s">
        <v>35986</v>
      </c>
      <c r="G11032" s="1" t="s">
        <v>35987</v>
      </c>
      <c r="H11032" s="1" t="s">
        <v>35898</v>
      </c>
      <c r="I11032" s="1" t="s">
        <v>35988</v>
      </c>
      <c r="J11032" s="1" t="s">
        <v>3615</v>
      </c>
      <c r="K11032" s="1" t="s">
        <v>35989</v>
      </c>
      <c r="L11032" s="1"/>
      <c r="M11032" s="1"/>
    </row>
    <row x14ac:dyDescent="0.25" r="11033" customHeight="1" ht="18.75">
      <c r="A11033" s="1" t="s">
        <v>3598</v>
      </c>
      <c r="B11033" s="1" t="s">
        <v>13864</v>
      </c>
      <c r="C11033" s="1" t="s">
        <v>3600</v>
      </c>
      <c r="D11033" s="1" t="s">
        <v>3695</v>
      </c>
      <c r="E11033" s="1" t="s">
        <v>3664</v>
      </c>
      <c r="F11033" s="1" t="s">
        <v>35990</v>
      </c>
      <c r="G11033" s="1" t="s">
        <v>35987</v>
      </c>
      <c r="H11033" s="1" t="s">
        <v>35898</v>
      </c>
      <c r="I11033" s="1" t="s">
        <v>35991</v>
      </c>
      <c r="J11033" s="1" t="s">
        <v>3615</v>
      </c>
      <c r="K11033" s="1" t="s">
        <v>31171</v>
      </c>
      <c r="L11033" s="1"/>
      <c r="M11033" s="1"/>
    </row>
    <row x14ac:dyDescent="0.25" r="11034" customHeight="1" ht="18.75">
      <c r="A11034" s="1" t="s">
        <v>3598</v>
      </c>
      <c r="B11034" s="1" t="s">
        <v>13864</v>
      </c>
      <c r="C11034" s="1" t="s">
        <v>3600</v>
      </c>
      <c r="D11034" s="1" t="s">
        <v>3695</v>
      </c>
      <c r="E11034" s="1" t="s">
        <v>3664</v>
      </c>
      <c r="F11034" s="1" t="s">
        <v>35992</v>
      </c>
      <c r="G11034" s="1" t="s">
        <v>35987</v>
      </c>
      <c r="H11034" s="1" t="s">
        <v>35898</v>
      </c>
      <c r="I11034" s="1" t="s">
        <v>35993</v>
      </c>
      <c r="J11034" s="1" t="s">
        <v>3615</v>
      </c>
      <c r="K11034" s="1" t="s">
        <v>31178</v>
      </c>
      <c r="L11034" s="1"/>
      <c r="M11034" s="1"/>
    </row>
    <row x14ac:dyDescent="0.25" r="11035" customHeight="1" ht="18.75">
      <c r="A11035" s="1" t="s">
        <v>3598</v>
      </c>
      <c r="B11035" s="1" t="s">
        <v>9236</v>
      </c>
      <c r="C11035" s="1" t="s">
        <v>3600</v>
      </c>
      <c r="D11035" s="1" t="s">
        <v>3695</v>
      </c>
      <c r="E11035" s="1" t="s">
        <v>3752</v>
      </c>
      <c r="F11035" s="1" t="s">
        <v>35994</v>
      </c>
      <c r="G11035" s="1" t="s">
        <v>35995</v>
      </c>
      <c r="H11035" s="1" t="s">
        <v>35898</v>
      </c>
      <c r="I11035" s="1" t="s">
        <v>35996</v>
      </c>
      <c r="J11035" s="1" t="s">
        <v>3615</v>
      </c>
      <c r="K11035" s="1" t="s">
        <v>35997</v>
      </c>
      <c r="L11035" s="1"/>
      <c r="M11035" s="1"/>
    </row>
    <row x14ac:dyDescent="0.25" r="11036" customHeight="1" ht="18.75">
      <c r="A11036" s="1" t="s">
        <v>3598</v>
      </c>
      <c r="B11036" s="1" t="s">
        <v>9236</v>
      </c>
      <c r="C11036" s="1" t="s">
        <v>3600</v>
      </c>
      <c r="D11036" s="1" t="s">
        <v>3695</v>
      </c>
      <c r="E11036" s="1" t="s">
        <v>3752</v>
      </c>
      <c r="F11036" s="1" t="s">
        <v>35998</v>
      </c>
      <c r="G11036" s="1" t="s">
        <v>35995</v>
      </c>
      <c r="H11036" s="1" t="s">
        <v>35898</v>
      </c>
      <c r="I11036" s="1" t="s">
        <v>35999</v>
      </c>
      <c r="J11036" s="1" t="s">
        <v>3615</v>
      </c>
      <c r="K11036" s="1" t="s">
        <v>36000</v>
      </c>
      <c r="L11036" s="1"/>
      <c r="M11036" s="1"/>
    </row>
    <row x14ac:dyDescent="0.25" r="11037" customHeight="1" ht="18.75">
      <c r="A11037" s="1" t="s">
        <v>3598</v>
      </c>
      <c r="B11037" s="1" t="s">
        <v>9236</v>
      </c>
      <c r="C11037" s="1" t="s">
        <v>3600</v>
      </c>
      <c r="D11037" s="1" t="s">
        <v>3695</v>
      </c>
      <c r="E11037" s="1" t="s">
        <v>3752</v>
      </c>
      <c r="F11037" s="1" t="s">
        <v>36001</v>
      </c>
      <c r="G11037" s="1" t="s">
        <v>35995</v>
      </c>
      <c r="H11037" s="1" t="s">
        <v>35898</v>
      </c>
      <c r="I11037" s="1" t="s">
        <v>36002</v>
      </c>
      <c r="J11037" s="1" t="s">
        <v>3615</v>
      </c>
      <c r="K11037" s="1" t="s">
        <v>36003</v>
      </c>
      <c r="L11037" s="1"/>
      <c r="M11037" s="1"/>
    </row>
    <row x14ac:dyDescent="0.25" r="11038" customHeight="1" ht="18.75">
      <c r="A11038" s="1" t="s">
        <v>3598</v>
      </c>
      <c r="B11038" s="1" t="s">
        <v>8191</v>
      </c>
      <c r="C11038" s="1" t="s">
        <v>3600</v>
      </c>
      <c r="D11038" s="1" t="s">
        <v>3695</v>
      </c>
      <c r="E11038" s="1" t="s">
        <v>3752</v>
      </c>
      <c r="F11038" s="1" t="s">
        <v>36004</v>
      </c>
      <c r="G11038" s="1" t="s">
        <v>36005</v>
      </c>
      <c r="H11038" s="1" t="s">
        <v>35898</v>
      </c>
      <c r="I11038" s="1" t="s">
        <v>36006</v>
      </c>
      <c r="J11038" s="1" t="s">
        <v>3615</v>
      </c>
      <c r="K11038" s="1" t="s">
        <v>36007</v>
      </c>
      <c r="L11038" s="1"/>
      <c r="M11038" s="1"/>
    </row>
    <row x14ac:dyDescent="0.25" r="11039" customHeight="1" ht="18.75">
      <c r="A11039" s="1" t="s">
        <v>3598</v>
      </c>
      <c r="B11039" s="1" t="s">
        <v>8191</v>
      </c>
      <c r="C11039" s="1" t="s">
        <v>3600</v>
      </c>
      <c r="D11039" s="1" t="s">
        <v>3695</v>
      </c>
      <c r="E11039" s="1" t="s">
        <v>3752</v>
      </c>
      <c r="F11039" s="1" t="s">
        <v>36008</v>
      </c>
      <c r="G11039" s="1" t="s">
        <v>36005</v>
      </c>
      <c r="H11039" s="1" t="s">
        <v>35898</v>
      </c>
      <c r="I11039" s="1" t="s">
        <v>36009</v>
      </c>
      <c r="J11039" s="1" t="s">
        <v>3615</v>
      </c>
      <c r="K11039" s="1" t="s">
        <v>25885</v>
      </c>
      <c r="L11039" s="1"/>
      <c r="M11039" s="1"/>
    </row>
    <row x14ac:dyDescent="0.25" r="11040" customHeight="1" ht="18.75">
      <c r="A11040" s="1" t="s">
        <v>3598</v>
      </c>
      <c r="B11040" s="1" t="s">
        <v>8191</v>
      </c>
      <c r="C11040" s="1" t="s">
        <v>3600</v>
      </c>
      <c r="D11040" s="1" t="s">
        <v>3695</v>
      </c>
      <c r="E11040" s="1" t="s">
        <v>3752</v>
      </c>
      <c r="F11040" s="1" t="s">
        <v>36010</v>
      </c>
      <c r="G11040" s="1" t="s">
        <v>36005</v>
      </c>
      <c r="H11040" s="1" t="s">
        <v>35898</v>
      </c>
      <c r="I11040" s="1" t="s">
        <v>36011</v>
      </c>
      <c r="J11040" s="1" t="s">
        <v>3615</v>
      </c>
      <c r="K11040" s="1" t="s">
        <v>25888</v>
      </c>
      <c r="L11040" s="1"/>
      <c r="M11040" s="1"/>
    </row>
    <row x14ac:dyDescent="0.25" r="11041" customHeight="1" ht="18.75">
      <c r="A11041" s="1" t="s">
        <v>3598</v>
      </c>
      <c r="B11041" s="1" t="s">
        <v>8191</v>
      </c>
      <c r="C11041" s="1" t="s">
        <v>3600</v>
      </c>
      <c r="D11041" s="1" t="s">
        <v>3695</v>
      </c>
      <c r="E11041" s="1" t="s">
        <v>3981</v>
      </c>
      <c r="F11041" s="1" t="s">
        <v>36012</v>
      </c>
      <c r="G11041" s="1" t="s">
        <v>36013</v>
      </c>
      <c r="H11041" s="1" t="s">
        <v>35898</v>
      </c>
      <c r="I11041" s="1" t="s">
        <v>36014</v>
      </c>
      <c r="J11041" s="1" t="s">
        <v>3615</v>
      </c>
      <c r="K11041" s="1" t="s">
        <v>36015</v>
      </c>
      <c r="L11041" s="1"/>
      <c r="M11041" s="1"/>
    </row>
    <row x14ac:dyDescent="0.25" r="11042" customHeight="1" ht="18.75">
      <c r="A11042" s="1" t="s">
        <v>3598</v>
      </c>
      <c r="B11042" s="1" t="s">
        <v>8191</v>
      </c>
      <c r="C11042" s="1" t="s">
        <v>3600</v>
      </c>
      <c r="D11042" s="1" t="s">
        <v>3695</v>
      </c>
      <c r="E11042" s="1" t="s">
        <v>3981</v>
      </c>
      <c r="F11042" s="1" t="s">
        <v>36016</v>
      </c>
      <c r="G11042" s="1" t="s">
        <v>36013</v>
      </c>
      <c r="H11042" s="1" t="s">
        <v>35898</v>
      </c>
      <c r="I11042" s="1" t="s">
        <v>36017</v>
      </c>
      <c r="J11042" s="1" t="s">
        <v>3615</v>
      </c>
      <c r="K11042" s="1" t="s">
        <v>36018</v>
      </c>
      <c r="L11042" s="1"/>
      <c r="M11042" s="1"/>
    </row>
    <row x14ac:dyDescent="0.25" r="11043" customHeight="1" ht="18.75">
      <c r="A11043" s="1" t="s">
        <v>3598</v>
      </c>
      <c r="B11043" s="1" t="s">
        <v>8191</v>
      </c>
      <c r="C11043" s="1" t="s">
        <v>3600</v>
      </c>
      <c r="D11043" s="1" t="s">
        <v>3695</v>
      </c>
      <c r="E11043" s="1" t="s">
        <v>3981</v>
      </c>
      <c r="F11043" s="1" t="s">
        <v>36019</v>
      </c>
      <c r="G11043" s="1" t="s">
        <v>36013</v>
      </c>
      <c r="H11043" s="1" t="s">
        <v>35898</v>
      </c>
      <c r="I11043" s="1" t="s">
        <v>36020</v>
      </c>
      <c r="J11043" s="1" t="s">
        <v>3615</v>
      </c>
      <c r="K11043" s="1" t="s">
        <v>36021</v>
      </c>
      <c r="L11043" s="1"/>
      <c r="M11043" s="1"/>
    </row>
    <row x14ac:dyDescent="0.25" r="11044" customHeight="1" ht="18.75">
      <c r="A11044" s="1" t="s">
        <v>3598</v>
      </c>
      <c r="B11044" s="1" t="s">
        <v>8191</v>
      </c>
      <c r="C11044" s="1" t="s">
        <v>3600</v>
      </c>
      <c r="D11044" s="1" t="s">
        <v>3695</v>
      </c>
      <c r="E11044" s="1" t="s">
        <v>3981</v>
      </c>
      <c r="F11044" s="1" t="s">
        <v>36022</v>
      </c>
      <c r="G11044" s="1" t="s">
        <v>36023</v>
      </c>
      <c r="H11044" s="1" t="s">
        <v>35898</v>
      </c>
      <c r="I11044" s="1" t="s">
        <v>36024</v>
      </c>
      <c r="J11044" s="1" t="s">
        <v>3615</v>
      </c>
      <c r="K11044" s="1" t="s">
        <v>36025</v>
      </c>
      <c r="L11044" s="1"/>
      <c r="M11044" s="1"/>
    </row>
    <row x14ac:dyDescent="0.25" r="11045" customHeight="1" ht="18.75">
      <c r="A11045" s="1" t="s">
        <v>3598</v>
      </c>
      <c r="B11045" s="1" t="s">
        <v>8191</v>
      </c>
      <c r="C11045" s="1" t="s">
        <v>3600</v>
      </c>
      <c r="D11045" s="1" t="s">
        <v>3695</v>
      </c>
      <c r="E11045" s="1" t="s">
        <v>3981</v>
      </c>
      <c r="F11045" s="1" t="s">
        <v>36026</v>
      </c>
      <c r="G11045" s="1" t="s">
        <v>36023</v>
      </c>
      <c r="H11045" s="1" t="s">
        <v>35898</v>
      </c>
      <c r="I11045" s="1" t="s">
        <v>36027</v>
      </c>
      <c r="J11045" s="1" t="s">
        <v>3615</v>
      </c>
      <c r="K11045" s="1" t="s">
        <v>36028</v>
      </c>
      <c r="L11045" s="1"/>
      <c r="M11045" s="1"/>
    </row>
    <row x14ac:dyDescent="0.25" r="11046" customHeight="1" ht="18.75">
      <c r="A11046" s="1" t="s">
        <v>3598</v>
      </c>
      <c r="B11046" s="1" t="s">
        <v>8191</v>
      </c>
      <c r="C11046" s="1" t="s">
        <v>3600</v>
      </c>
      <c r="D11046" s="1" t="s">
        <v>3695</v>
      </c>
      <c r="E11046" s="1" t="s">
        <v>3981</v>
      </c>
      <c r="F11046" s="1" t="s">
        <v>36029</v>
      </c>
      <c r="G11046" s="1" t="s">
        <v>36023</v>
      </c>
      <c r="H11046" s="1" t="s">
        <v>35898</v>
      </c>
      <c r="I11046" s="1" t="s">
        <v>36030</v>
      </c>
      <c r="J11046" s="1" t="s">
        <v>3615</v>
      </c>
      <c r="K11046" s="1" t="s">
        <v>36031</v>
      </c>
      <c r="L11046" s="1"/>
      <c r="M11046" s="1"/>
    </row>
    <row x14ac:dyDescent="0.25" r="11047" customHeight="1" ht="18.75">
      <c r="A11047" s="1" t="s">
        <v>3598</v>
      </c>
      <c r="B11047" s="1" t="s">
        <v>3663</v>
      </c>
      <c r="C11047" s="1" t="s">
        <v>3600</v>
      </c>
      <c r="D11047" s="1" t="s">
        <v>3695</v>
      </c>
      <c r="E11047" s="1" t="s">
        <v>3752</v>
      </c>
      <c r="F11047" s="1" t="s">
        <v>36032</v>
      </c>
      <c r="G11047" s="1" t="s">
        <v>19184</v>
      </c>
      <c r="H11047" s="1" t="s">
        <v>35898</v>
      </c>
      <c r="I11047" s="1" t="s">
        <v>36033</v>
      </c>
      <c r="J11047" s="1" t="s">
        <v>3615</v>
      </c>
      <c r="K11047" s="1" t="s">
        <v>36034</v>
      </c>
      <c r="L11047" s="1"/>
      <c r="M11047" s="1"/>
    </row>
    <row x14ac:dyDescent="0.25" r="11048" customHeight="1" ht="18.75">
      <c r="A11048" s="1" t="s">
        <v>3598</v>
      </c>
      <c r="B11048" s="1" t="s">
        <v>3663</v>
      </c>
      <c r="C11048" s="1" t="s">
        <v>3600</v>
      </c>
      <c r="D11048" s="1" t="s">
        <v>3695</v>
      </c>
      <c r="E11048" s="1" t="s">
        <v>3752</v>
      </c>
      <c r="F11048" s="1" t="s">
        <v>36035</v>
      </c>
      <c r="G11048" s="1" t="s">
        <v>19184</v>
      </c>
      <c r="H11048" s="1" t="s">
        <v>35898</v>
      </c>
      <c r="I11048" s="1" t="s">
        <v>36036</v>
      </c>
      <c r="J11048" s="1" t="s">
        <v>3615</v>
      </c>
      <c r="K11048" s="1" t="s">
        <v>36037</v>
      </c>
      <c r="L11048" s="1"/>
      <c r="M11048" s="1"/>
    </row>
    <row x14ac:dyDescent="0.25" r="11049" customHeight="1" ht="18.75">
      <c r="A11049" s="1" t="s">
        <v>3598</v>
      </c>
      <c r="B11049" s="1" t="s">
        <v>3663</v>
      </c>
      <c r="C11049" s="1" t="s">
        <v>3600</v>
      </c>
      <c r="D11049" s="1" t="s">
        <v>3695</v>
      </c>
      <c r="E11049" s="1" t="s">
        <v>3752</v>
      </c>
      <c r="F11049" s="1" t="s">
        <v>36038</v>
      </c>
      <c r="G11049" s="1" t="s">
        <v>19184</v>
      </c>
      <c r="H11049" s="1" t="s">
        <v>35898</v>
      </c>
      <c r="I11049" s="1" t="s">
        <v>36039</v>
      </c>
      <c r="J11049" s="1" t="s">
        <v>3615</v>
      </c>
      <c r="K11049" s="1" t="s">
        <v>36040</v>
      </c>
      <c r="L11049" s="1"/>
      <c r="M11049" s="1"/>
    </row>
    <row x14ac:dyDescent="0.25" r="11050" customHeight="1" ht="18.75">
      <c r="A11050" s="1" t="s">
        <v>3598</v>
      </c>
      <c r="B11050" s="1" t="s">
        <v>3663</v>
      </c>
      <c r="C11050" s="1" t="s">
        <v>3600</v>
      </c>
      <c r="D11050" s="1" t="s">
        <v>3695</v>
      </c>
      <c r="E11050" s="1" t="s">
        <v>3752</v>
      </c>
      <c r="F11050" s="1" t="s">
        <v>36041</v>
      </c>
      <c r="G11050" s="1" t="s">
        <v>36042</v>
      </c>
      <c r="H11050" s="1" t="s">
        <v>35898</v>
      </c>
      <c r="I11050" s="1" t="s">
        <v>36043</v>
      </c>
      <c r="J11050" s="1" t="s">
        <v>3615</v>
      </c>
      <c r="K11050" s="1" t="s">
        <v>36044</v>
      </c>
      <c r="L11050" s="1"/>
      <c r="M11050" s="1"/>
    </row>
    <row x14ac:dyDescent="0.25" r="11051" customHeight="1" ht="18.75">
      <c r="A11051" s="1" t="s">
        <v>3598</v>
      </c>
      <c r="B11051" s="1" t="s">
        <v>3663</v>
      </c>
      <c r="C11051" s="1" t="s">
        <v>3600</v>
      </c>
      <c r="D11051" s="1" t="s">
        <v>3695</v>
      </c>
      <c r="E11051" s="1" t="s">
        <v>3664</v>
      </c>
      <c r="F11051" s="1" t="s">
        <v>36045</v>
      </c>
      <c r="G11051" s="1" t="s">
        <v>3670</v>
      </c>
      <c r="H11051" s="1" t="s">
        <v>35898</v>
      </c>
      <c r="I11051" s="1" t="s">
        <v>36046</v>
      </c>
      <c r="J11051" s="1" t="s">
        <v>3615</v>
      </c>
      <c r="K11051" s="1" t="s">
        <v>36047</v>
      </c>
      <c r="L11051" s="1"/>
      <c r="M11051" s="1"/>
    </row>
    <row x14ac:dyDescent="0.25" r="11052" customHeight="1" ht="18.75">
      <c r="A11052" s="1" t="s">
        <v>3598</v>
      </c>
      <c r="B11052" s="1" t="s">
        <v>3663</v>
      </c>
      <c r="C11052" s="1" t="s">
        <v>3600</v>
      </c>
      <c r="D11052" s="1" t="s">
        <v>3695</v>
      </c>
      <c r="E11052" s="1" t="s">
        <v>3664</v>
      </c>
      <c r="F11052" s="1" t="s">
        <v>36048</v>
      </c>
      <c r="G11052" s="1" t="s">
        <v>3670</v>
      </c>
      <c r="H11052" s="1" t="s">
        <v>35898</v>
      </c>
      <c r="I11052" s="1" t="s">
        <v>36049</v>
      </c>
      <c r="J11052" s="1" t="s">
        <v>3615</v>
      </c>
      <c r="K11052" s="1" t="s">
        <v>36050</v>
      </c>
      <c r="L11052" s="1"/>
      <c r="M11052" s="1"/>
    </row>
    <row x14ac:dyDescent="0.25" r="11053" customHeight="1" ht="18.75">
      <c r="A11053" s="1" t="s">
        <v>3598</v>
      </c>
      <c r="B11053" s="1" t="s">
        <v>3663</v>
      </c>
      <c r="C11053" s="1" t="s">
        <v>3600</v>
      </c>
      <c r="D11053" s="1" t="s">
        <v>3695</v>
      </c>
      <c r="E11053" s="1" t="s">
        <v>3664</v>
      </c>
      <c r="F11053" s="1" t="s">
        <v>36051</v>
      </c>
      <c r="G11053" s="1" t="s">
        <v>3670</v>
      </c>
      <c r="H11053" s="1" t="s">
        <v>35898</v>
      </c>
      <c r="I11053" s="1" t="s">
        <v>36052</v>
      </c>
      <c r="J11053" s="1" t="s">
        <v>3615</v>
      </c>
      <c r="K11053" s="1" t="s">
        <v>36053</v>
      </c>
      <c r="L11053" s="1"/>
      <c r="M11053" s="1"/>
    </row>
    <row x14ac:dyDescent="0.25" r="11054" customHeight="1" ht="18.75">
      <c r="A11054" s="1" t="s">
        <v>3598</v>
      </c>
      <c r="B11054" s="1" t="s">
        <v>3663</v>
      </c>
      <c r="C11054" s="1" t="s">
        <v>3600</v>
      </c>
      <c r="D11054" s="1" t="s">
        <v>3695</v>
      </c>
      <c r="E11054" s="1" t="s">
        <v>3664</v>
      </c>
      <c r="F11054" s="1" t="s">
        <v>36054</v>
      </c>
      <c r="G11054" s="1" t="s">
        <v>3674</v>
      </c>
      <c r="H11054" s="1" t="s">
        <v>35898</v>
      </c>
      <c r="I11054" s="1" t="s">
        <v>36055</v>
      </c>
      <c r="J11054" s="1" t="s">
        <v>3615</v>
      </c>
      <c r="K11054" s="1" t="s">
        <v>36056</v>
      </c>
      <c r="L11054" s="1"/>
      <c r="M11054" s="1"/>
    </row>
    <row x14ac:dyDescent="0.25" r="11055" customHeight="1" ht="18.75">
      <c r="A11055" s="1" t="s">
        <v>3598</v>
      </c>
      <c r="B11055" s="1" t="s">
        <v>3663</v>
      </c>
      <c r="C11055" s="1" t="s">
        <v>3600</v>
      </c>
      <c r="D11055" s="1" t="s">
        <v>3695</v>
      </c>
      <c r="E11055" s="1" t="s">
        <v>3664</v>
      </c>
      <c r="F11055" s="1" t="s">
        <v>36057</v>
      </c>
      <c r="G11055" s="1" t="s">
        <v>3674</v>
      </c>
      <c r="H11055" s="1" t="s">
        <v>35898</v>
      </c>
      <c r="I11055" s="1" t="s">
        <v>36058</v>
      </c>
      <c r="J11055" s="1" t="s">
        <v>3615</v>
      </c>
      <c r="K11055" s="1" t="s">
        <v>36059</v>
      </c>
      <c r="L11055" s="1"/>
      <c r="M11055" s="1"/>
    </row>
    <row x14ac:dyDescent="0.25" r="11056" customHeight="1" ht="18.75">
      <c r="A11056" s="1" t="s">
        <v>3598</v>
      </c>
      <c r="B11056" s="1" t="s">
        <v>3663</v>
      </c>
      <c r="C11056" s="1" t="s">
        <v>3600</v>
      </c>
      <c r="D11056" s="1" t="s">
        <v>3695</v>
      </c>
      <c r="E11056" s="1" t="s">
        <v>3664</v>
      </c>
      <c r="F11056" s="1" t="s">
        <v>36060</v>
      </c>
      <c r="G11056" s="1" t="s">
        <v>3674</v>
      </c>
      <c r="H11056" s="1" t="s">
        <v>35898</v>
      </c>
      <c r="I11056" s="1" t="s">
        <v>36061</v>
      </c>
      <c r="J11056" s="1" t="s">
        <v>3615</v>
      </c>
      <c r="K11056" s="1" t="s">
        <v>36062</v>
      </c>
      <c r="L11056" s="1"/>
      <c r="M11056" s="1"/>
    </row>
    <row x14ac:dyDescent="0.25" r="11057" customHeight="1" ht="18.75">
      <c r="A11057" s="1" t="s">
        <v>3598</v>
      </c>
      <c r="B11057" s="1" t="s">
        <v>3663</v>
      </c>
      <c r="C11057" s="1" t="s">
        <v>3600</v>
      </c>
      <c r="D11057" s="1" t="s">
        <v>3695</v>
      </c>
      <c r="E11057" s="1" t="s">
        <v>3752</v>
      </c>
      <c r="F11057" s="1" t="s">
        <v>36063</v>
      </c>
      <c r="G11057" s="1" t="s">
        <v>36042</v>
      </c>
      <c r="H11057" s="1" t="s">
        <v>35898</v>
      </c>
      <c r="I11057" s="1" t="s">
        <v>36064</v>
      </c>
      <c r="J11057" s="1" t="s">
        <v>3615</v>
      </c>
      <c r="K11057" s="1" t="s">
        <v>36065</v>
      </c>
      <c r="L11057" s="1"/>
      <c r="M11057" s="1"/>
    </row>
    <row x14ac:dyDescent="0.25" r="11058" customHeight="1" ht="18.75">
      <c r="A11058" s="1" t="s">
        <v>3598</v>
      </c>
      <c r="B11058" s="1" t="s">
        <v>3663</v>
      </c>
      <c r="C11058" s="1" t="s">
        <v>3600</v>
      </c>
      <c r="D11058" s="1" t="s">
        <v>3695</v>
      </c>
      <c r="E11058" s="1" t="s">
        <v>3752</v>
      </c>
      <c r="F11058" s="1" t="s">
        <v>36066</v>
      </c>
      <c r="G11058" s="1" t="s">
        <v>36042</v>
      </c>
      <c r="H11058" s="1" t="s">
        <v>35898</v>
      </c>
      <c r="I11058" s="1" t="s">
        <v>36067</v>
      </c>
      <c r="J11058" s="1" t="s">
        <v>3615</v>
      </c>
      <c r="K11058" s="1" t="s">
        <v>36068</v>
      </c>
      <c r="L11058" s="1"/>
      <c r="M11058" s="1"/>
    </row>
    <row x14ac:dyDescent="0.25" r="11059" customHeight="1" ht="18.75">
      <c r="A11059" s="1" t="s">
        <v>3598</v>
      </c>
      <c r="B11059" s="1" t="s">
        <v>14038</v>
      </c>
      <c r="C11059" s="1" t="s">
        <v>3600</v>
      </c>
      <c r="D11059" s="1" t="s">
        <v>3695</v>
      </c>
      <c r="E11059" s="1" t="s">
        <v>3752</v>
      </c>
      <c r="F11059" s="1" t="s">
        <v>36069</v>
      </c>
      <c r="G11059" s="1" t="s">
        <v>36070</v>
      </c>
      <c r="H11059" s="1" t="s">
        <v>35898</v>
      </c>
      <c r="I11059" s="1" t="s">
        <v>36071</v>
      </c>
      <c r="J11059" s="1" t="s">
        <v>3615</v>
      </c>
      <c r="K11059" s="1" t="s">
        <v>36007</v>
      </c>
      <c r="L11059" s="1"/>
      <c r="M11059" s="1"/>
    </row>
    <row x14ac:dyDescent="0.25" r="11060" customHeight="1" ht="18.75">
      <c r="A11060" s="1" t="s">
        <v>3598</v>
      </c>
      <c r="B11060" s="1" t="s">
        <v>14038</v>
      </c>
      <c r="C11060" s="1" t="s">
        <v>3600</v>
      </c>
      <c r="D11060" s="1" t="s">
        <v>3695</v>
      </c>
      <c r="E11060" s="1" t="s">
        <v>3752</v>
      </c>
      <c r="F11060" s="1" t="s">
        <v>36072</v>
      </c>
      <c r="G11060" s="1" t="s">
        <v>36070</v>
      </c>
      <c r="H11060" s="1" t="s">
        <v>35898</v>
      </c>
      <c r="I11060" s="1" t="s">
        <v>36073</v>
      </c>
      <c r="J11060" s="1" t="s">
        <v>3615</v>
      </c>
      <c r="K11060" s="1" t="s">
        <v>25885</v>
      </c>
      <c r="L11060" s="1"/>
      <c r="M11060" s="1"/>
    </row>
    <row x14ac:dyDescent="0.25" r="11061" customHeight="1" ht="18.75">
      <c r="A11061" s="1" t="s">
        <v>3598</v>
      </c>
      <c r="B11061" s="1" t="s">
        <v>14038</v>
      </c>
      <c r="C11061" s="1" t="s">
        <v>3600</v>
      </c>
      <c r="D11061" s="1" t="s">
        <v>3695</v>
      </c>
      <c r="E11061" s="1" t="s">
        <v>3752</v>
      </c>
      <c r="F11061" s="1" t="s">
        <v>36074</v>
      </c>
      <c r="G11061" s="1" t="s">
        <v>36070</v>
      </c>
      <c r="H11061" s="1" t="s">
        <v>35898</v>
      </c>
      <c r="I11061" s="1" t="s">
        <v>36075</v>
      </c>
      <c r="J11061" s="1" t="s">
        <v>3615</v>
      </c>
      <c r="K11061" s="1" t="s">
        <v>25888</v>
      </c>
      <c r="L11061" s="1"/>
      <c r="M11061" s="1"/>
    </row>
    <row x14ac:dyDescent="0.25" r="11062" customHeight="1" ht="18.75">
      <c r="A11062" s="1" t="s">
        <v>3598</v>
      </c>
      <c r="B11062" s="1" t="s">
        <v>14038</v>
      </c>
      <c r="C11062" s="1" t="s">
        <v>3600</v>
      </c>
      <c r="D11062" s="1" t="s">
        <v>3695</v>
      </c>
      <c r="E11062" s="1" t="s">
        <v>3752</v>
      </c>
      <c r="F11062" s="1" t="s">
        <v>36076</v>
      </c>
      <c r="G11062" s="1" t="s">
        <v>36077</v>
      </c>
      <c r="H11062" s="1" t="s">
        <v>35898</v>
      </c>
      <c r="I11062" s="1" t="s">
        <v>36078</v>
      </c>
      <c r="J11062" s="1" t="s">
        <v>3615</v>
      </c>
      <c r="K11062" s="1" t="s">
        <v>36079</v>
      </c>
      <c r="L11062" s="1"/>
      <c r="M11062" s="1"/>
    </row>
    <row x14ac:dyDescent="0.25" r="11063" customHeight="1" ht="18.75">
      <c r="A11063" s="1" t="s">
        <v>3598</v>
      </c>
      <c r="B11063" s="1" t="s">
        <v>14038</v>
      </c>
      <c r="C11063" s="1" t="s">
        <v>3600</v>
      </c>
      <c r="D11063" s="1" t="s">
        <v>3695</v>
      </c>
      <c r="E11063" s="1" t="s">
        <v>3752</v>
      </c>
      <c r="F11063" s="1" t="s">
        <v>36080</v>
      </c>
      <c r="G11063" s="1" t="s">
        <v>36077</v>
      </c>
      <c r="H11063" s="1" t="s">
        <v>35898</v>
      </c>
      <c r="I11063" s="1" t="s">
        <v>36081</v>
      </c>
      <c r="J11063" s="1" t="s">
        <v>3615</v>
      </c>
      <c r="K11063" s="1" t="s">
        <v>36082</v>
      </c>
      <c r="L11063" s="1"/>
      <c r="M11063" s="1"/>
    </row>
    <row x14ac:dyDescent="0.25" r="11064" customHeight="1" ht="18.75">
      <c r="A11064" s="1" t="s">
        <v>3598</v>
      </c>
      <c r="B11064" s="1" t="s">
        <v>14038</v>
      </c>
      <c r="C11064" s="1" t="s">
        <v>3600</v>
      </c>
      <c r="D11064" s="1" t="s">
        <v>3695</v>
      </c>
      <c r="E11064" s="1" t="s">
        <v>3752</v>
      </c>
      <c r="F11064" s="1" t="s">
        <v>36083</v>
      </c>
      <c r="G11064" s="1" t="s">
        <v>36077</v>
      </c>
      <c r="H11064" s="1" t="s">
        <v>35898</v>
      </c>
      <c r="I11064" s="1" t="s">
        <v>36084</v>
      </c>
      <c r="J11064" s="1" t="s">
        <v>3615</v>
      </c>
      <c r="K11064" s="1" t="s">
        <v>36085</v>
      </c>
      <c r="L11064" s="1"/>
      <c r="M11064" s="1"/>
    </row>
    <row x14ac:dyDescent="0.25" r="11065" customHeight="1" ht="18.75">
      <c r="A11065" s="1" t="s">
        <v>5496</v>
      </c>
      <c r="B11065" s="1" t="s">
        <v>8870</v>
      </c>
      <c r="C11065" s="1" t="s">
        <v>3600</v>
      </c>
      <c r="D11065" s="1" t="s">
        <v>3601</v>
      </c>
      <c r="E11065" s="1" t="s">
        <v>3893</v>
      </c>
      <c r="F11065" s="1" t="s">
        <v>36086</v>
      </c>
      <c r="G11065" s="1" t="s">
        <v>36087</v>
      </c>
      <c r="H11065" s="1" t="s">
        <v>35898</v>
      </c>
      <c r="I11065" s="1" t="s">
        <v>36088</v>
      </c>
      <c r="J11065" s="1" t="s">
        <v>3615</v>
      </c>
      <c r="K11065" s="1" t="s">
        <v>35900</v>
      </c>
      <c r="L11065" s="1"/>
      <c r="M11065" s="1"/>
    </row>
    <row x14ac:dyDescent="0.25" r="11066" customHeight="1" ht="18.75">
      <c r="A11066" s="1" t="s">
        <v>5496</v>
      </c>
      <c r="B11066" s="1" t="s">
        <v>8870</v>
      </c>
      <c r="C11066" s="1" t="s">
        <v>3600</v>
      </c>
      <c r="D11066" s="1" t="s">
        <v>3601</v>
      </c>
      <c r="E11066" s="1" t="s">
        <v>3893</v>
      </c>
      <c r="F11066" s="1" t="s">
        <v>36089</v>
      </c>
      <c r="G11066" s="1" t="s">
        <v>36087</v>
      </c>
      <c r="H11066" s="1" t="s">
        <v>35898</v>
      </c>
      <c r="I11066" s="1" t="s">
        <v>36090</v>
      </c>
      <c r="J11066" s="1" t="s">
        <v>3615</v>
      </c>
      <c r="K11066" s="1" t="s">
        <v>35900</v>
      </c>
      <c r="L11066" s="1"/>
      <c r="M11066" s="1"/>
    </row>
    <row x14ac:dyDescent="0.25" r="11067" customHeight="1" ht="18.75">
      <c r="A11067" s="1" t="s">
        <v>5496</v>
      </c>
      <c r="B11067" s="1" t="s">
        <v>4614</v>
      </c>
      <c r="C11067" s="1" t="s">
        <v>3619</v>
      </c>
      <c r="D11067" s="1" t="s">
        <v>3601</v>
      </c>
      <c r="E11067" s="1" t="s">
        <v>3893</v>
      </c>
      <c r="F11067" s="1" t="s">
        <v>36091</v>
      </c>
      <c r="G11067" s="1" t="s">
        <v>5014</v>
      </c>
      <c r="H11067" s="1" t="s">
        <v>35898</v>
      </c>
      <c r="I11067" s="1" t="s">
        <v>36092</v>
      </c>
      <c r="J11067" s="1" t="s">
        <v>3615</v>
      </c>
      <c r="K11067" s="1"/>
      <c r="L11067" s="1"/>
      <c r="M11067" s="1"/>
    </row>
    <row x14ac:dyDescent="0.25" r="11068" customHeight="1" ht="18.75">
      <c r="A11068" s="1" t="s">
        <v>5496</v>
      </c>
      <c r="B11068" s="1" t="s">
        <v>4614</v>
      </c>
      <c r="C11068" s="1" t="s">
        <v>3619</v>
      </c>
      <c r="D11068" s="1" t="s">
        <v>3601</v>
      </c>
      <c r="E11068" s="1" t="s">
        <v>3893</v>
      </c>
      <c r="F11068" s="1" t="s">
        <v>36093</v>
      </c>
      <c r="G11068" s="1" t="s">
        <v>3905</v>
      </c>
      <c r="H11068" s="1" t="s">
        <v>35898</v>
      </c>
      <c r="I11068" s="1" t="s">
        <v>36094</v>
      </c>
      <c r="J11068" s="1" t="s">
        <v>3615</v>
      </c>
      <c r="K11068" s="1"/>
      <c r="L11068" s="1"/>
      <c r="M11068" s="1"/>
    </row>
    <row x14ac:dyDescent="0.25" r="11069" customHeight="1" ht="18.75">
      <c r="A11069" s="1" t="s">
        <v>5496</v>
      </c>
      <c r="B11069" s="1" t="s">
        <v>4614</v>
      </c>
      <c r="C11069" s="1" t="s">
        <v>3619</v>
      </c>
      <c r="D11069" s="1" t="s">
        <v>3601</v>
      </c>
      <c r="E11069" s="1" t="s">
        <v>3893</v>
      </c>
      <c r="F11069" s="1" t="s">
        <v>36095</v>
      </c>
      <c r="G11069" s="1" t="s">
        <v>34613</v>
      </c>
      <c r="H11069" s="1" t="s">
        <v>35898</v>
      </c>
      <c r="I11069" s="1" t="s">
        <v>36096</v>
      </c>
      <c r="J11069" s="1" t="s">
        <v>3615</v>
      </c>
      <c r="K11069" s="1"/>
      <c r="L11069" s="1"/>
      <c r="M11069" s="1"/>
    </row>
    <row x14ac:dyDescent="0.25" r="11070" customHeight="1" ht="18.75">
      <c r="A11070" s="1" t="s">
        <v>5496</v>
      </c>
      <c r="B11070" s="1" t="s">
        <v>4614</v>
      </c>
      <c r="C11070" s="1" t="s">
        <v>3619</v>
      </c>
      <c r="D11070" s="1" t="s">
        <v>3601</v>
      </c>
      <c r="E11070" s="1" t="s">
        <v>3893</v>
      </c>
      <c r="F11070" s="1" t="s">
        <v>36097</v>
      </c>
      <c r="G11070" s="1" t="s">
        <v>36098</v>
      </c>
      <c r="H11070" s="1" t="s">
        <v>35898</v>
      </c>
      <c r="I11070" s="1" t="s">
        <v>36099</v>
      </c>
      <c r="J11070" s="1" t="s">
        <v>3615</v>
      </c>
      <c r="K11070" s="1"/>
      <c r="L11070" s="1"/>
      <c r="M11070" s="1"/>
    </row>
    <row x14ac:dyDescent="0.25" r="11071" customHeight="1" ht="18.75">
      <c r="A11071" s="1" t="s">
        <v>5496</v>
      </c>
      <c r="B11071" s="1" t="s">
        <v>4614</v>
      </c>
      <c r="C11071" s="1" t="s">
        <v>3619</v>
      </c>
      <c r="D11071" s="1" t="s">
        <v>3601</v>
      </c>
      <c r="E11071" s="1" t="s">
        <v>3893</v>
      </c>
      <c r="F11071" s="1" t="s">
        <v>36100</v>
      </c>
      <c r="G11071" s="1" t="s">
        <v>36101</v>
      </c>
      <c r="H11071" s="1" t="s">
        <v>35898</v>
      </c>
      <c r="I11071" s="1" t="s">
        <v>36102</v>
      </c>
      <c r="J11071" s="1" t="s">
        <v>3615</v>
      </c>
      <c r="K11071" s="1"/>
      <c r="L11071" s="1"/>
      <c r="M11071" s="1"/>
    </row>
    <row x14ac:dyDescent="0.25" r="11072" customHeight="1" ht="18.75">
      <c r="A11072" s="1" t="s">
        <v>5496</v>
      </c>
      <c r="B11072" s="1" t="s">
        <v>4614</v>
      </c>
      <c r="C11072" s="1" t="s">
        <v>3619</v>
      </c>
      <c r="D11072" s="1" t="s">
        <v>3601</v>
      </c>
      <c r="E11072" s="1" t="s">
        <v>3893</v>
      </c>
      <c r="F11072" s="1" t="s">
        <v>36103</v>
      </c>
      <c r="G11072" s="1" t="s">
        <v>36104</v>
      </c>
      <c r="H11072" s="1" t="s">
        <v>35898</v>
      </c>
      <c r="I11072" s="1" t="s">
        <v>36105</v>
      </c>
      <c r="J11072" s="1" t="s">
        <v>3615</v>
      </c>
      <c r="K11072" s="1"/>
      <c r="L11072" s="1"/>
      <c r="M11072" s="1"/>
    </row>
    <row x14ac:dyDescent="0.25" r="11073" customHeight="1" ht="18.75">
      <c r="A11073" s="1" t="s">
        <v>5496</v>
      </c>
      <c r="B11073" s="1" t="s">
        <v>4614</v>
      </c>
      <c r="C11073" s="1" t="s">
        <v>3619</v>
      </c>
      <c r="D11073" s="1" t="s">
        <v>3601</v>
      </c>
      <c r="E11073" s="1" t="s">
        <v>3893</v>
      </c>
      <c r="F11073" s="1" t="s">
        <v>36106</v>
      </c>
      <c r="G11073" s="1" t="s">
        <v>36107</v>
      </c>
      <c r="H11073" s="1" t="s">
        <v>35898</v>
      </c>
      <c r="I11073" s="1" t="s">
        <v>36108</v>
      </c>
      <c r="J11073" s="1" t="s">
        <v>3615</v>
      </c>
      <c r="K11073" s="1"/>
      <c r="L11073" s="1"/>
      <c r="M11073" s="1"/>
    </row>
    <row x14ac:dyDescent="0.25" r="11074" customHeight="1" ht="18.75">
      <c r="A11074" s="1" t="s">
        <v>3693</v>
      </c>
      <c r="B11074" s="1" t="s">
        <v>4148</v>
      </c>
      <c r="C11074" s="1" t="s">
        <v>3600</v>
      </c>
      <c r="D11074" s="1" t="s">
        <v>3601</v>
      </c>
      <c r="E11074" s="1" t="s">
        <v>3664</v>
      </c>
      <c r="F11074" s="1" t="s">
        <v>36109</v>
      </c>
      <c r="G11074" s="1" t="s">
        <v>4150</v>
      </c>
      <c r="H11074" s="1" t="s">
        <v>35898</v>
      </c>
      <c r="I11074" s="1" t="s">
        <v>36110</v>
      </c>
      <c r="J11074" s="1" t="s">
        <v>3615</v>
      </c>
      <c r="K11074" s="1"/>
      <c r="L11074" s="1"/>
      <c r="M11074" s="1"/>
    </row>
    <row x14ac:dyDescent="0.25" r="11075" customHeight="1" ht="18.75">
      <c r="A11075" s="1" t="s">
        <v>3693</v>
      </c>
      <c r="B11075" s="1" t="s">
        <v>4148</v>
      </c>
      <c r="C11075" s="1" t="s">
        <v>3600</v>
      </c>
      <c r="D11075" s="1" t="s">
        <v>3601</v>
      </c>
      <c r="E11075" s="1" t="s">
        <v>3664</v>
      </c>
      <c r="F11075" s="1" t="s">
        <v>36111</v>
      </c>
      <c r="G11075" s="1" t="s">
        <v>4150</v>
      </c>
      <c r="H11075" s="1" t="s">
        <v>35898</v>
      </c>
      <c r="I11075" s="1" t="s">
        <v>36112</v>
      </c>
      <c r="J11075" s="1" t="s">
        <v>3615</v>
      </c>
      <c r="K11075" s="1"/>
      <c r="L11075" s="1"/>
      <c r="M11075" s="1"/>
    </row>
    <row x14ac:dyDescent="0.25" r="11076" customHeight="1" ht="18.75">
      <c r="A11076" s="1" t="s">
        <v>3693</v>
      </c>
      <c r="B11076" s="1" t="s">
        <v>4158</v>
      </c>
      <c r="C11076" s="1" t="s">
        <v>3600</v>
      </c>
      <c r="D11076" s="1" t="s">
        <v>3601</v>
      </c>
      <c r="E11076" s="1" t="s">
        <v>3893</v>
      </c>
      <c r="F11076" s="1" t="s">
        <v>36113</v>
      </c>
      <c r="G11076" s="1" t="s">
        <v>4160</v>
      </c>
      <c r="H11076" s="1" t="s">
        <v>35898</v>
      </c>
      <c r="I11076" s="1" t="s">
        <v>36114</v>
      </c>
      <c r="J11076" s="1" t="s">
        <v>3615</v>
      </c>
      <c r="K11076" s="1"/>
      <c r="L11076" s="1"/>
      <c r="M11076" s="1"/>
    </row>
    <row x14ac:dyDescent="0.25" r="11077" customHeight="1" ht="18.75">
      <c r="A11077" s="1" t="s">
        <v>3693</v>
      </c>
      <c r="B11077" s="1" t="s">
        <v>4158</v>
      </c>
      <c r="C11077" s="1" t="s">
        <v>3600</v>
      </c>
      <c r="D11077" s="1" t="s">
        <v>3601</v>
      </c>
      <c r="E11077" s="1" t="s">
        <v>3893</v>
      </c>
      <c r="F11077" s="1" t="s">
        <v>36115</v>
      </c>
      <c r="G11077" s="1" t="s">
        <v>4160</v>
      </c>
      <c r="H11077" s="1" t="s">
        <v>35898</v>
      </c>
      <c r="I11077" s="1" t="s">
        <v>36116</v>
      </c>
      <c r="J11077" s="1" t="s">
        <v>3615</v>
      </c>
      <c r="K11077" s="1"/>
      <c r="L11077" s="1"/>
      <c r="M11077" s="1"/>
    </row>
    <row x14ac:dyDescent="0.25" r="11078" customHeight="1" ht="18.75">
      <c r="A11078" s="1" t="s">
        <v>3693</v>
      </c>
      <c r="B11078" s="1" t="s">
        <v>6563</v>
      </c>
      <c r="C11078" s="1" t="s">
        <v>3600</v>
      </c>
      <c r="D11078" s="1" t="s">
        <v>3601</v>
      </c>
      <c r="E11078" s="1" t="s">
        <v>3664</v>
      </c>
      <c r="F11078" s="1" t="s">
        <v>36117</v>
      </c>
      <c r="G11078" s="1" t="s">
        <v>6565</v>
      </c>
      <c r="H11078" s="1" t="s">
        <v>35898</v>
      </c>
      <c r="I11078" s="1" t="s">
        <v>36118</v>
      </c>
      <c r="J11078" s="1" t="s">
        <v>3615</v>
      </c>
      <c r="K11078" s="1"/>
      <c r="L11078" s="1"/>
      <c r="M11078" s="1"/>
    </row>
    <row x14ac:dyDescent="0.25" r="11079" customHeight="1" ht="18.75">
      <c r="A11079" s="1" t="s">
        <v>3693</v>
      </c>
      <c r="B11079" s="1" t="s">
        <v>6563</v>
      </c>
      <c r="C11079" s="1" t="s">
        <v>3600</v>
      </c>
      <c r="D11079" s="1" t="s">
        <v>3601</v>
      </c>
      <c r="E11079" s="1" t="s">
        <v>3664</v>
      </c>
      <c r="F11079" s="1" t="s">
        <v>36119</v>
      </c>
      <c r="G11079" s="1" t="s">
        <v>6565</v>
      </c>
      <c r="H11079" s="1" t="s">
        <v>35898</v>
      </c>
      <c r="I11079" s="1" t="s">
        <v>36120</v>
      </c>
      <c r="J11079" s="1" t="s">
        <v>3615</v>
      </c>
      <c r="K11079" s="1"/>
      <c r="L11079" s="1"/>
      <c r="M11079" s="1"/>
    </row>
    <row x14ac:dyDescent="0.25" r="11080" customHeight="1" ht="18.75">
      <c r="A11080" s="1" t="s">
        <v>3693</v>
      </c>
      <c r="B11080" s="1" t="s">
        <v>6563</v>
      </c>
      <c r="C11080" s="1" t="s">
        <v>3600</v>
      </c>
      <c r="D11080" s="1" t="s">
        <v>3601</v>
      </c>
      <c r="E11080" s="1" t="s">
        <v>3664</v>
      </c>
      <c r="F11080" s="1" t="s">
        <v>36121</v>
      </c>
      <c r="G11080" s="1" t="s">
        <v>6565</v>
      </c>
      <c r="H11080" s="1" t="s">
        <v>35898</v>
      </c>
      <c r="I11080" s="1" t="s">
        <v>36122</v>
      </c>
      <c r="J11080" s="1" t="s">
        <v>3615</v>
      </c>
      <c r="K11080" s="1" t="s">
        <v>36123</v>
      </c>
      <c r="L11080" s="1"/>
      <c r="M11080" s="1"/>
    </row>
    <row x14ac:dyDescent="0.25" r="11081" customHeight="1" ht="18.75">
      <c r="A11081" s="1" t="s">
        <v>3693</v>
      </c>
      <c r="B11081" s="1" t="s">
        <v>6563</v>
      </c>
      <c r="C11081" s="1" t="s">
        <v>3600</v>
      </c>
      <c r="D11081" s="1" t="s">
        <v>3601</v>
      </c>
      <c r="E11081" s="1" t="s">
        <v>3664</v>
      </c>
      <c r="F11081" s="1" t="s">
        <v>36124</v>
      </c>
      <c r="G11081" s="1" t="s">
        <v>6565</v>
      </c>
      <c r="H11081" s="1" t="s">
        <v>35898</v>
      </c>
      <c r="I11081" s="1" t="s">
        <v>36125</v>
      </c>
      <c r="J11081" s="1" t="s">
        <v>3615</v>
      </c>
      <c r="K11081" s="1" t="s">
        <v>36126</v>
      </c>
      <c r="L11081" s="1"/>
      <c r="M11081" s="1"/>
    </row>
    <row x14ac:dyDescent="0.25" r="11082" customHeight="1" ht="18.75">
      <c r="A11082" s="1" t="s">
        <v>3693</v>
      </c>
      <c r="B11082" s="1" t="s">
        <v>4125</v>
      </c>
      <c r="C11082" s="1" t="s">
        <v>3619</v>
      </c>
      <c r="D11082" s="1" t="s">
        <v>3601</v>
      </c>
      <c r="E11082" s="1" t="s">
        <v>3664</v>
      </c>
      <c r="F11082" s="1" t="s">
        <v>36127</v>
      </c>
      <c r="G11082" s="1" t="s">
        <v>10271</v>
      </c>
      <c r="H11082" s="1" t="s">
        <v>35898</v>
      </c>
      <c r="I11082" s="1" t="s">
        <v>36128</v>
      </c>
      <c r="J11082" s="1" t="s">
        <v>3615</v>
      </c>
      <c r="K11082" s="1"/>
      <c r="L11082" s="1"/>
      <c r="M11082" s="1"/>
    </row>
    <row x14ac:dyDescent="0.25" r="11083" customHeight="1" ht="18.75">
      <c r="A11083" s="1" t="s">
        <v>3693</v>
      </c>
      <c r="B11083" s="1" t="s">
        <v>4125</v>
      </c>
      <c r="C11083" s="1" t="s">
        <v>3619</v>
      </c>
      <c r="D11083" s="1" t="s">
        <v>3601</v>
      </c>
      <c r="E11083" s="1" t="s">
        <v>3664</v>
      </c>
      <c r="F11083" s="1" t="s">
        <v>36129</v>
      </c>
      <c r="G11083" s="1" t="s">
        <v>10425</v>
      </c>
      <c r="H11083" s="1" t="s">
        <v>35898</v>
      </c>
      <c r="I11083" s="1" t="s">
        <v>36130</v>
      </c>
      <c r="J11083" s="1" t="s">
        <v>3615</v>
      </c>
      <c r="K11083" s="1"/>
      <c r="L11083" s="1"/>
      <c r="M11083" s="1"/>
    </row>
    <row x14ac:dyDescent="0.25" r="11084" customHeight="1" ht="18.75">
      <c r="A11084" s="1" t="s">
        <v>3693</v>
      </c>
      <c r="B11084" s="1" t="s">
        <v>4125</v>
      </c>
      <c r="C11084" s="1" t="s">
        <v>3619</v>
      </c>
      <c r="D11084" s="1" t="s">
        <v>3601</v>
      </c>
      <c r="E11084" s="1" t="s">
        <v>3664</v>
      </c>
      <c r="F11084" s="1" t="s">
        <v>36131</v>
      </c>
      <c r="G11084" s="1" t="s">
        <v>4126</v>
      </c>
      <c r="H11084" s="1" t="s">
        <v>35898</v>
      </c>
      <c r="I11084" s="1" t="s">
        <v>36132</v>
      </c>
      <c r="J11084" s="1" t="s">
        <v>3615</v>
      </c>
      <c r="K11084" s="1"/>
      <c r="L11084" s="1"/>
      <c r="M11084" s="1"/>
    </row>
    <row x14ac:dyDescent="0.25" r="11085" customHeight="1" ht="18.75">
      <c r="A11085" s="1" t="s">
        <v>3693</v>
      </c>
      <c r="B11085" s="1" t="s">
        <v>4125</v>
      </c>
      <c r="C11085" s="1" t="s">
        <v>3619</v>
      </c>
      <c r="D11085" s="1" t="s">
        <v>3601</v>
      </c>
      <c r="E11085" s="1" t="s">
        <v>3664</v>
      </c>
      <c r="F11085" s="1" t="s">
        <v>36133</v>
      </c>
      <c r="G11085" s="1" t="s">
        <v>27108</v>
      </c>
      <c r="H11085" s="1" t="s">
        <v>35898</v>
      </c>
      <c r="I11085" s="1" t="s">
        <v>36134</v>
      </c>
      <c r="J11085" s="1" t="s">
        <v>3615</v>
      </c>
      <c r="K11085" s="1"/>
      <c r="L11085" s="1"/>
      <c r="M11085" s="1"/>
    </row>
    <row x14ac:dyDescent="0.25" r="11086" customHeight="1" ht="18.75">
      <c r="A11086" s="1" t="s">
        <v>3693</v>
      </c>
      <c r="B11086" s="1" t="s">
        <v>4125</v>
      </c>
      <c r="C11086" s="1" t="s">
        <v>3619</v>
      </c>
      <c r="D11086" s="1" t="s">
        <v>3601</v>
      </c>
      <c r="E11086" s="1" t="s">
        <v>3664</v>
      </c>
      <c r="F11086" s="1" t="s">
        <v>36135</v>
      </c>
      <c r="G11086" s="1" t="s">
        <v>36136</v>
      </c>
      <c r="H11086" s="1" t="s">
        <v>35898</v>
      </c>
      <c r="I11086" s="1" t="s">
        <v>36137</v>
      </c>
      <c r="J11086" s="1" t="s">
        <v>3615</v>
      </c>
      <c r="K11086" s="1"/>
      <c r="L11086" s="1"/>
      <c r="M11086" s="1"/>
    </row>
    <row x14ac:dyDescent="0.25" r="11087" customHeight="1" ht="18.75">
      <c r="A11087" s="1" t="s">
        <v>3693</v>
      </c>
      <c r="B11087" s="1" t="s">
        <v>4125</v>
      </c>
      <c r="C11087" s="1" t="s">
        <v>3619</v>
      </c>
      <c r="D11087" s="1" t="s">
        <v>3601</v>
      </c>
      <c r="E11087" s="1" t="s">
        <v>3664</v>
      </c>
      <c r="F11087" s="1" t="s">
        <v>36138</v>
      </c>
      <c r="G11087" s="1" t="s">
        <v>36139</v>
      </c>
      <c r="H11087" s="1" t="s">
        <v>35898</v>
      </c>
      <c r="I11087" s="1" t="s">
        <v>36140</v>
      </c>
      <c r="J11087" s="1" t="s">
        <v>3615</v>
      </c>
      <c r="K11087" s="1"/>
      <c r="L11087" s="1"/>
      <c r="M11087" s="1"/>
    </row>
    <row x14ac:dyDescent="0.25" r="11088" customHeight="1" ht="18.75">
      <c r="A11088" s="1" t="s">
        <v>3598</v>
      </c>
      <c r="B11088" s="1" t="s">
        <v>3751</v>
      </c>
      <c r="C11088" s="1" t="s">
        <v>3600</v>
      </c>
      <c r="D11088" s="1" t="s">
        <v>3695</v>
      </c>
      <c r="E11088" s="1" t="s">
        <v>3664</v>
      </c>
      <c r="F11088" s="1" t="s">
        <v>36141</v>
      </c>
      <c r="G11088" s="1" t="s">
        <v>27406</v>
      </c>
      <c r="H11088" s="1" t="s">
        <v>35898</v>
      </c>
      <c r="I11088" s="1" t="s">
        <v>36142</v>
      </c>
      <c r="J11088" s="1" t="s">
        <v>3615</v>
      </c>
      <c r="K11088" s="1"/>
      <c r="L11088" s="1"/>
      <c r="M11088" s="1"/>
    </row>
    <row x14ac:dyDescent="0.25" r="11089" customHeight="1" ht="18.75">
      <c r="A11089" s="1" t="s">
        <v>3598</v>
      </c>
      <c r="B11089" s="1" t="s">
        <v>3751</v>
      </c>
      <c r="C11089" s="1" t="s">
        <v>3600</v>
      </c>
      <c r="D11089" s="1" t="s">
        <v>3695</v>
      </c>
      <c r="E11089" s="1" t="s">
        <v>3664</v>
      </c>
      <c r="F11089" s="1" t="s">
        <v>36143</v>
      </c>
      <c r="G11089" s="1" t="s">
        <v>27413</v>
      </c>
      <c r="H11089" s="1" t="s">
        <v>35898</v>
      </c>
      <c r="I11089" s="1" t="s">
        <v>36144</v>
      </c>
      <c r="J11089" s="1" t="s">
        <v>3615</v>
      </c>
      <c r="K11089" s="1"/>
      <c r="L11089" s="1"/>
      <c r="M11089" s="1"/>
    </row>
    <row x14ac:dyDescent="0.25" r="11090" customHeight="1" ht="18.75">
      <c r="A11090" s="1" t="s">
        <v>3598</v>
      </c>
      <c r="B11090" s="1" t="s">
        <v>3751</v>
      </c>
      <c r="C11090" s="1" t="s">
        <v>3600</v>
      </c>
      <c r="D11090" s="1" t="s">
        <v>3695</v>
      </c>
      <c r="E11090" s="1" t="s">
        <v>3664</v>
      </c>
      <c r="F11090" s="1" t="s">
        <v>36145</v>
      </c>
      <c r="G11090" s="1" t="s">
        <v>27413</v>
      </c>
      <c r="H11090" s="1" t="s">
        <v>35898</v>
      </c>
      <c r="I11090" s="1" t="s">
        <v>36146</v>
      </c>
      <c r="J11090" s="1" t="s">
        <v>3615</v>
      </c>
      <c r="K11090" s="1"/>
      <c r="L11090" s="1"/>
      <c r="M11090" s="1"/>
    </row>
    <row x14ac:dyDescent="0.25" r="11091" customHeight="1" ht="18.75">
      <c r="A11091" s="1" t="s">
        <v>3598</v>
      </c>
      <c r="B11091" s="1" t="s">
        <v>9025</v>
      </c>
      <c r="C11091" s="1" t="s">
        <v>3600</v>
      </c>
      <c r="D11091" s="1" t="s">
        <v>3695</v>
      </c>
      <c r="E11091" s="1" t="s">
        <v>3664</v>
      </c>
      <c r="F11091" s="1" t="s">
        <v>36147</v>
      </c>
      <c r="G11091" s="1" t="s">
        <v>9196</v>
      </c>
      <c r="H11091" s="1" t="s">
        <v>35898</v>
      </c>
      <c r="I11091" s="1" t="s">
        <v>36148</v>
      </c>
      <c r="J11091" s="1" t="s">
        <v>3615</v>
      </c>
      <c r="K11091" s="1"/>
      <c r="L11091" s="1"/>
      <c r="M11091" s="1"/>
    </row>
    <row x14ac:dyDescent="0.25" r="11092" customHeight="1" ht="18.75">
      <c r="A11092" s="1" t="s">
        <v>7833</v>
      </c>
      <c r="B11092" s="1" t="s">
        <v>16395</v>
      </c>
      <c r="C11092" s="1" t="s">
        <v>4488</v>
      </c>
      <c r="D11092" s="1" t="s">
        <v>31579</v>
      </c>
      <c r="E11092" s="1" t="s">
        <v>3664</v>
      </c>
      <c r="F11092" s="1" t="s">
        <v>36149</v>
      </c>
      <c r="G11092" s="1" t="s">
        <v>36150</v>
      </c>
      <c r="H11092" s="1" t="s">
        <v>35898</v>
      </c>
      <c r="I11092" s="1" t="s">
        <v>36151</v>
      </c>
      <c r="J11092" s="1" t="s">
        <v>3615</v>
      </c>
      <c r="K11092" s="1"/>
      <c r="L11092" s="1"/>
      <c r="M11092" s="1"/>
    </row>
    <row x14ac:dyDescent="0.25" r="11093" customHeight="1" ht="18.75">
      <c r="A11093" s="1" t="s">
        <v>7833</v>
      </c>
      <c r="B11093" s="1" t="s">
        <v>14416</v>
      </c>
      <c r="C11093" s="1" t="s">
        <v>4488</v>
      </c>
      <c r="D11093" s="1" t="s">
        <v>31579</v>
      </c>
      <c r="E11093" s="1" t="s">
        <v>3664</v>
      </c>
      <c r="F11093" s="1" t="s">
        <v>36152</v>
      </c>
      <c r="G11093" s="1" t="s">
        <v>36153</v>
      </c>
      <c r="H11093" s="1" t="s">
        <v>35898</v>
      </c>
      <c r="I11093" s="1" t="s">
        <v>36154</v>
      </c>
      <c r="J11093" s="1" t="s">
        <v>3615</v>
      </c>
      <c r="K11093" s="1"/>
      <c r="L11093" s="1"/>
      <c r="M11093" s="1"/>
    </row>
    <row x14ac:dyDescent="0.25" r="11094" customHeight="1" ht="18.75">
      <c r="A11094" s="1" t="s">
        <v>3598</v>
      </c>
      <c r="B11094" s="1" t="s">
        <v>9025</v>
      </c>
      <c r="C11094" s="1" t="s">
        <v>3600</v>
      </c>
      <c r="D11094" s="1" t="s">
        <v>3695</v>
      </c>
      <c r="E11094" s="1" t="s">
        <v>3664</v>
      </c>
      <c r="F11094" s="1" t="s">
        <v>36155</v>
      </c>
      <c r="G11094" s="1" t="s">
        <v>9196</v>
      </c>
      <c r="H11094" s="1" t="s">
        <v>35898</v>
      </c>
      <c r="I11094" s="1" t="s">
        <v>36156</v>
      </c>
      <c r="J11094" s="1" t="s">
        <v>3615</v>
      </c>
      <c r="K11094" s="1"/>
      <c r="L11094" s="1"/>
      <c r="M11094" s="1"/>
    </row>
    <row x14ac:dyDescent="0.25" r="11095" customHeight="1" ht="18.75">
      <c r="A11095" s="1" t="s">
        <v>3598</v>
      </c>
      <c r="B11095" s="1" t="s">
        <v>9025</v>
      </c>
      <c r="C11095" s="1" t="s">
        <v>3600</v>
      </c>
      <c r="D11095" s="1" t="s">
        <v>3695</v>
      </c>
      <c r="E11095" s="1" t="s">
        <v>3664</v>
      </c>
      <c r="F11095" s="1" t="s">
        <v>36157</v>
      </c>
      <c r="G11095" s="1" t="s">
        <v>9196</v>
      </c>
      <c r="H11095" s="1" t="s">
        <v>35898</v>
      </c>
      <c r="I11095" s="1" t="s">
        <v>36158</v>
      </c>
      <c r="J11095" s="1" t="s">
        <v>3615</v>
      </c>
      <c r="K11095" s="1"/>
      <c r="L11095" s="1"/>
      <c r="M11095" s="1"/>
    </row>
    <row x14ac:dyDescent="0.25" r="11096" customHeight="1" ht="18.75">
      <c r="A11096" s="1" t="s">
        <v>3598</v>
      </c>
      <c r="B11096" s="1" t="s">
        <v>9025</v>
      </c>
      <c r="C11096" s="1" t="s">
        <v>3600</v>
      </c>
      <c r="D11096" s="1" t="s">
        <v>3695</v>
      </c>
      <c r="E11096" s="1" t="s">
        <v>3752</v>
      </c>
      <c r="F11096" s="1" t="s">
        <v>36159</v>
      </c>
      <c r="G11096" s="1" t="s">
        <v>31097</v>
      </c>
      <c r="H11096" s="1" t="s">
        <v>35898</v>
      </c>
      <c r="I11096" s="1" t="s">
        <v>36160</v>
      </c>
      <c r="J11096" s="1" t="s">
        <v>3615</v>
      </c>
      <c r="K11096" s="1"/>
      <c r="L11096" s="1"/>
      <c r="M11096" s="1"/>
    </row>
    <row x14ac:dyDescent="0.25" r="11097" customHeight="1" ht="18.75">
      <c r="A11097" s="1" t="s">
        <v>7833</v>
      </c>
      <c r="B11097" s="1" t="s">
        <v>32873</v>
      </c>
      <c r="C11097" s="1" t="s">
        <v>4488</v>
      </c>
      <c r="D11097" s="1" t="s">
        <v>31579</v>
      </c>
      <c r="E11097" s="1" t="s">
        <v>3664</v>
      </c>
      <c r="F11097" s="1" t="s">
        <v>36161</v>
      </c>
      <c r="G11097" s="1" t="s">
        <v>36162</v>
      </c>
      <c r="H11097" s="1" t="s">
        <v>35898</v>
      </c>
      <c r="I11097" s="1" t="s">
        <v>36163</v>
      </c>
      <c r="J11097" s="1" t="s">
        <v>3615</v>
      </c>
      <c r="K11097" s="1"/>
      <c r="L11097" s="1"/>
      <c r="M11097" s="1"/>
    </row>
    <row x14ac:dyDescent="0.25" r="11098" customHeight="1" ht="18.75">
      <c r="A11098" s="1" t="s">
        <v>3598</v>
      </c>
      <c r="B11098" s="1" t="s">
        <v>9025</v>
      </c>
      <c r="C11098" s="1" t="s">
        <v>3600</v>
      </c>
      <c r="D11098" s="1" t="s">
        <v>3695</v>
      </c>
      <c r="E11098" s="1" t="s">
        <v>3752</v>
      </c>
      <c r="F11098" s="1" t="s">
        <v>36164</v>
      </c>
      <c r="G11098" s="1" t="s">
        <v>31097</v>
      </c>
      <c r="H11098" s="1" t="s">
        <v>35898</v>
      </c>
      <c r="I11098" s="1" t="s">
        <v>36165</v>
      </c>
      <c r="J11098" s="1" t="s">
        <v>3615</v>
      </c>
      <c r="K11098" s="1"/>
      <c r="L11098" s="1"/>
      <c r="M11098" s="1"/>
    </row>
    <row x14ac:dyDescent="0.25" r="11099" customHeight="1" ht="18.75">
      <c r="A11099" s="1" t="s">
        <v>7833</v>
      </c>
      <c r="B11099" s="1" t="s">
        <v>32873</v>
      </c>
      <c r="C11099" s="1" t="s">
        <v>4488</v>
      </c>
      <c r="D11099" s="1" t="s">
        <v>31579</v>
      </c>
      <c r="E11099" s="1" t="s">
        <v>3664</v>
      </c>
      <c r="F11099" s="1" t="s">
        <v>36166</v>
      </c>
      <c r="G11099" s="1" t="s">
        <v>36167</v>
      </c>
      <c r="H11099" s="1" t="s">
        <v>35898</v>
      </c>
      <c r="I11099" s="1" t="s">
        <v>36168</v>
      </c>
      <c r="J11099" s="1" t="s">
        <v>3615</v>
      </c>
      <c r="K11099" s="1"/>
      <c r="L11099" s="1"/>
      <c r="M11099" s="1"/>
    </row>
    <row x14ac:dyDescent="0.25" r="11100" customHeight="1" ht="18.75">
      <c r="A11100" s="1" t="s">
        <v>3598</v>
      </c>
      <c r="B11100" s="1" t="s">
        <v>9025</v>
      </c>
      <c r="C11100" s="1" t="s">
        <v>3600</v>
      </c>
      <c r="D11100" s="1" t="s">
        <v>3695</v>
      </c>
      <c r="E11100" s="1" t="s">
        <v>3752</v>
      </c>
      <c r="F11100" s="1" t="s">
        <v>36169</v>
      </c>
      <c r="G11100" s="1" t="s">
        <v>31097</v>
      </c>
      <c r="H11100" s="1" t="s">
        <v>35898</v>
      </c>
      <c r="I11100" s="1" t="s">
        <v>36170</v>
      </c>
      <c r="J11100" s="1" t="s">
        <v>3615</v>
      </c>
      <c r="K11100" s="1"/>
      <c r="L11100" s="1"/>
      <c r="M11100" s="1"/>
    </row>
    <row x14ac:dyDescent="0.25" r="11101" customHeight="1" ht="18.75">
      <c r="A11101" s="1" t="s">
        <v>3598</v>
      </c>
      <c r="B11101" s="1" t="s">
        <v>18043</v>
      </c>
      <c r="C11101" s="1" t="s">
        <v>3600</v>
      </c>
      <c r="D11101" s="1" t="s">
        <v>3695</v>
      </c>
      <c r="E11101" s="1" t="s">
        <v>3664</v>
      </c>
      <c r="F11101" s="1" t="s">
        <v>36171</v>
      </c>
      <c r="G11101" s="1" t="s">
        <v>36172</v>
      </c>
      <c r="H11101" s="1" t="s">
        <v>35898</v>
      </c>
      <c r="I11101" s="1" t="s">
        <v>36173</v>
      </c>
      <c r="J11101" s="1" t="s">
        <v>3615</v>
      </c>
      <c r="K11101" s="1"/>
      <c r="L11101" s="1"/>
      <c r="M11101" s="1"/>
    </row>
    <row x14ac:dyDescent="0.25" r="11102" customHeight="1" ht="18.75">
      <c r="A11102" s="1" t="s">
        <v>3598</v>
      </c>
      <c r="B11102" s="1" t="s">
        <v>18043</v>
      </c>
      <c r="C11102" s="1" t="s">
        <v>3600</v>
      </c>
      <c r="D11102" s="1" t="s">
        <v>3695</v>
      </c>
      <c r="E11102" s="1" t="s">
        <v>3664</v>
      </c>
      <c r="F11102" s="1" t="s">
        <v>36174</v>
      </c>
      <c r="G11102" s="1" t="s">
        <v>36172</v>
      </c>
      <c r="H11102" s="1" t="s">
        <v>35898</v>
      </c>
      <c r="I11102" s="1" t="s">
        <v>36175</v>
      </c>
      <c r="J11102" s="1" t="s">
        <v>3615</v>
      </c>
      <c r="K11102" s="1"/>
      <c r="L11102" s="1"/>
      <c r="M11102" s="1"/>
    </row>
    <row x14ac:dyDescent="0.25" r="11103" customHeight="1" ht="18.75">
      <c r="A11103" s="1" t="s">
        <v>3598</v>
      </c>
      <c r="B11103" s="1" t="s">
        <v>18043</v>
      </c>
      <c r="C11103" s="1" t="s">
        <v>3600</v>
      </c>
      <c r="D11103" s="1" t="s">
        <v>3695</v>
      </c>
      <c r="E11103" s="1" t="s">
        <v>3664</v>
      </c>
      <c r="F11103" s="1" t="s">
        <v>36176</v>
      </c>
      <c r="G11103" s="1" t="s">
        <v>36172</v>
      </c>
      <c r="H11103" s="1" t="s">
        <v>35898</v>
      </c>
      <c r="I11103" s="1" t="s">
        <v>36177</v>
      </c>
      <c r="J11103" s="1" t="s">
        <v>3615</v>
      </c>
      <c r="K11103" s="1"/>
      <c r="L11103" s="1"/>
      <c r="M11103" s="1"/>
    </row>
    <row x14ac:dyDescent="0.25" r="11104" customHeight="1" ht="18.75">
      <c r="A11104" s="1" t="s">
        <v>3693</v>
      </c>
      <c r="B11104" s="1" t="s">
        <v>4083</v>
      </c>
      <c r="C11104" s="1" t="s">
        <v>3600</v>
      </c>
      <c r="D11104" s="1" t="s">
        <v>3601</v>
      </c>
      <c r="E11104" s="1" t="s">
        <v>3611</v>
      </c>
      <c r="F11104" s="1" t="s">
        <v>36178</v>
      </c>
      <c r="G11104" s="1" t="s">
        <v>5695</v>
      </c>
      <c r="H11104" s="1" t="s">
        <v>35898</v>
      </c>
      <c r="I11104" s="1" t="s">
        <v>36179</v>
      </c>
      <c r="J11104" s="1" t="s">
        <v>3615</v>
      </c>
      <c r="K11104" s="1" t="s">
        <v>36180</v>
      </c>
      <c r="L11104" s="1"/>
      <c r="M11104" s="1"/>
    </row>
    <row x14ac:dyDescent="0.25" r="11105" customHeight="1" ht="18.75">
      <c r="A11105" s="1" t="s">
        <v>3693</v>
      </c>
      <c r="B11105" s="1" t="s">
        <v>4083</v>
      </c>
      <c r="C11105" s="1" t="s">
        <v>3600</v>
      </c>
      <c r="D11105" s="1" t="s">
        <v>3601</v>
      </c>
      <c r="E11105" s="1" t="s">
        <v>3611</v>
      </c>
      <c r="F11105" s="1" t="s">
        <v>36181</v>
      </c>
      <c r="G11105" s="1" t="s">
        <v>36182</v>
      </c>
      <c r="H11105" s="1" t="s">
        <v>35898</v>
      </c>
      <c r="I11105" s="1" t="s">
        <v>36183</v>
      </c>
      <c r="J11105" s="1" t="s">
        <v>3615</v>
      </c>
      <c r="K11105" s="1" t="s">
        <v>36184</v>
      </c>
      <c r="L11105" s="1"/>
      <c r="M11105" s="1"/>
    </row>
    <row x14ac:dyDescent="0.25" r="11106" customHeight="1" ht="18.75">
      <c r="A11106" s="1" t="s">
        <v>3598</v>
      </c>
      <c r="B11106" s="1" t="s">
        <v>8191</v>
      </c>
      <c r="C11106" s="1" t="s">
        <v>3600</v>
      </c>
      <c r="D11106" s="1" t="s">
        <v>3695</v>
      </c>
      <c r="E11106" s="1" t="s">
        <v>3664</v>
      </c>
      <c r="F11106" s="1" t="s">
        <v>36185</v>
      </c>
      <c r="G11106" s="1" t="s">
        <v>36186</v>
      </c>
      <c r="H11106" s="1" t="s">
        <v>35898</v>
      </c>
      <c r="I11106" s="1" t="s">
        <v>36187</v>
      </c>
      <c r="J11106" s="1" t="s">
        <v>3615</v>
      </c>
      <c r="K11106" s="1"/>
      <c r="L11106" s="1"/>
      <c r="M11106" s="1"/>
    </row>
    <row x14ac:dyDescent="0.25" r="11107" customHeight="1" ht="18.75">
      <c r="A11107" s="1" t="s">
        <v>3598</v>
      </c>
      <c r="B11107" s="1" t="s">
        <v>8191</v>
      </c>
      <c r="C11107" s="1" t="s">
        <v>3600</v>
      </c>
      <c r="D11107" s="1" t="s">
        <v>3695</v>
      </c>
      <c r="E11107" s="1" t="s">
        <v>3664</v>
      </c>
      <c r="F11107" s="1" t="s">
        <v>36188</v>
      </c>
      <c r="G11107" s="1" t="s">
        <v>36186</v>
      </c>
      <c r="H11107" s="1" t="s">
        <v>35898</v>
      </c>
      <c r="I11107" s="1" t="s">
        <v>36189</v>
      </c>
      <c r="J11107" s="1" t="s">
        <v>3615</v>
      </c>
      <c r="K11107" s="1"/>
      <c r="L11107" s="1"/>
      <c r="M11107" s="1"/>
    </row>
    <row x14ac:dyDescent="0.25" r="11108" customHeight="1" ht="18.75">
      <c r="A11108" s="1" t="s">
        <v>3598</v>
      </c>
      <c r="B11108" s="1" t="s">
        <v>8191</v>
      </c>
      <c r="C11108" s="1" t="s">
        <v>3600</v>
      </c>
      <c r="D11108" s="1" t="s">
        <v>3695</v>
      </c>
      <c r="E11108" s="1" t="s">
        <v>3664</v>
      </c>
      <c r="F11108" s="1" t="s">
        <v>36190</v>
      </c>
      <c r="G11108" s="1" t="s">
        <v>36186</v>
      </c>
      <c r="H11108" s="1" t="s">
        <v>35898</v>
      </c>
      <c r="I11108" s="1" t="s">
        <v>36191</v>
      </c>
      <c r="J11108" s="1" t="s">
        <v>3615</v>
      </c>
      <c r="K11108" s="1"/>
      <c r="L11108" s="1"/>
      <c r="M11108" s="1"/>
    </row>
    <row x14ac:dyDescent="0.25" r="11109" customHeight="1" ht="18.75">
      <c r="A11109" s="1" t="s">
        <v>3693</v>
      </c>
      <c r="B11109" s="1" t="s">
        <v>4091</v>
      </c>
      <c r="C11109" s="1" t="s">
        <v>3600</v>
      </c>
      <c r="D11109" s="1" t="s">
        <v>3601</v>
      </c>
      <c r="E11109" s="1" t="s">
        <v>3611</v>
      </c>
      <c r="F11109" s="1" t="s">
        <v>36192</v>
      </c>
      <c r="G11109" s="1" t="s">
        <v>4706</v>
      </c>
      <c r="H11109" s="1" t="s">
        <v>35898</v>
      </c>
      <c r="I11109" s="1" t="s">
        <v>36193</v>
      </c>
      <c r="J11109" s="1" t="s">
        <v>3615</v>
      </c>
      <c r="K11109" s="1" t="s">
        <v>36194</v>
      </c>
      <c r="L11109" s="1"/>
      <c r="M11109" s="1"/>
    </row>
    <row x14ac:dyDescent="0.25" r="11110" customHeight="1" ht="18.75">
      <c r="A11110" s="1" t="s">
        <v>3598</v>
      </c>
      <c r="B11110" s="1" t="s">
        <v>4273</v>
      </c>
      <c r="C11110" s="1" t="s">
        <v>3600</v>
      </c>
      <c r="D11110" s="1" t="s">
        <v>3601</v>
      </c>
      <c r="E11110" s="1" t="s">
        <v>3664</v>
      </c>
      <c r="F11110" s="1" t="s">
        <v>36195</v>
      </c>
      <c r="G11110" s="1" t="s">
        <v>29600</v>
      </c>
      <c r="H11110" s="1" t="s">
        <v>35898</v>
      </c>
      <c r="I11110" s="1" t="s">
        <v>36196</v>
      </c>
      <c r="J11110" s="1" t="s">
        <v>3615</v>
      </c>
      <c r="K11110" s="1"/>
      <c r="L11110" s="1"/>
      <c r="M11110" s="1"/>
    </row>
    <row x14ac:dyDescent="0.25" r="11111" customHeight="1" ht="18.75">
      <c r="A11111" s="1" t="s">
        <v>3693</v>
      </c>
      <c r="B11111" s="1" t="s">
        <v>4091</v>
      </c>
      <c r="C11111" s="1" t="s">
        <v>3600</v>
      </c>
      <c r="D11111" s="1" t="s">
        <v>3601</v>
      </c>
      <c r="E11111" s="1" t="s">
        <v>3611</v>
      </c>
      <c r="F11111" s="1" t="s">
        <v>36197</v>
      </c>
      <c r="G11111" s="1" t="s">
        <v>36198</v>
      </c>
      <c r="H11111" s="1" t="s">
        <v>35898</v>
      </c>
      <c r="I11111" s="1" t="s">
        <v>36199</v>
      </c>
      <c r="J11111" s="1" t="s">
        <v>3615</v>
      </c>
      <c r="K11111" s="1" t="s">
        <v>36200</v>
      </c>
      <c r="L11111" s="1"/>
      <c r="M11111" s="1"/>
    </row>
    <row x14ac:dyDescent="0.25" r="11112" customHeight="1" ht="18.75">
      <c r="A11112" s="1" t="s">
        <v>3598</v>
      </c>
      <c r="B11112" s="1" t="s">
        <v>4273</v>
      </c>
      <c r="C11112" s="1" t="s">
        <v>3600</v>
      </c>
      <c r="D11112" s="1" t="s">
        <v>3601</v>
      </c>
      <c r="E11112" s="1" t="s">
        <v>3664</v>
      </c>
      <c r="F11112" s="1" t="s">
        <v>36201</v>
      </c>
      <c r="G11112" s="1" t="s">
        <v>29600</v>
      </c>
      <c r="H11112" s="1" t="s">
        <v>35898</v>
      </c>
      <c r="I11112" s="1" t="s">
        <v>36202</v>
      </c>
      <c r="J11112" s="1" t="s">
        <v>3615</v>
      </c>
      <c r="K11112" s="1"/>
      <c r="L11112" s="1"/>
      <c r="M11112" s="1"/>
    </row>
    <row x14ac:dyDescent="0.25" r="11113" customHeight="1" ht="18.75">
      <c r="A11113" s="1" t="s">
        <v>3598</v>
      </c>
      <c r="B11113" s="1" t="s">
        <v>9025</v>
      </c>
      <c r="C11113" s="1" t="s">
        <v>3600</v>
      </c>
      <c r="D11113" s="1" t="s">
        <v>3601</v>
      </c>
      <c r="E11113" s="1" t="s">
        <v>3664</v>
      </c>
      <c r="F11113" s="1" t="s">
        <v>36203</v>
      </c>
      <c r="G11113" s="1" t="s">
        <v>28742</v>
      </c>
      <c r="H11113" s="1" t="s">
        <v>35898</v>
      </c>
      <c r="I11113" s="1" t="s">
        <v>36204</v>
      </c>
      <c r="J11113" s="1" t="s">
        <v>3615</v>
      </c>
      <c r="K11113" s="1"/>
      <c r="L11113" s="1"/>
      <c r="M11113" s="1"/>
    </row>
    <row x14ac:dyDescent="0.25" r="11114" customHeight="1" ht="18.75">
      <c r="A11114" s="1" t="s">
        <v>3598</v>
      </c>
      <c r="B11114" s="1" t="s">
        <v>9025</v>
      </c>
      <c r="C11114" s="1" t="s">
        <v>3600</v>
      </c>
      <c r="D11114" s="1" t="s">
        <v>3601</v>
      </c>
      <c r="E11114" s="1" t="s">
        <v>3664</v>
      </c>
      <c r="F11114" s="1" t="s">
        <v>36205</v>
      </c>
      <c r="G11114" s="1" t="s">
        <v>21244</v>
      </c>
      <c r="H11114" s="1" t="s">
        <v>35898</v>
      </c>
      <c r="I11114" s="1" t="s">
        <v>36206</v>
      </c>
      <c r="J11114" s="1" t="s">
        <v>3615</v>
      </c>
      <c r="K11114" s="1"/>
      <c r="L11114" s="1"/>
      <c r="M11114" s="1"/>
    </row>
    <row x14ac:dyDescent="0.25" r="11115" customHeight="1" ht="18.75">
      <c r="A11115" s="1" t="s">
        <v>3598</v>
      </c>
      <c r="B11115" s="1" t="s">
        <v>9025</v>
      </c>
      <c r="C11115" s="1" t="s">
        <v>3600</v>
      </c>
      <c r="D11115" s="1" t="s">
        <v>3601</v>
      </c>
      <c r="E11115" s="1" t="s">
        <v>3664</v>
      </c>
      <c r="F11115" s="1" t="s">
        <v>36207</v>
      </c>
      <c r="G11115" s="1" t="s">
        <v>21260</v>
      </c>
      <c r="H11115" s="1" t="s">
        <v>35898</v>
      </c>
      <c r="I11115" s="1" t="s">
        <v>36208</v>
      </c>
      <c r="J11115" s="1" t="s">
        <v>3615</v>
      </c>
      <c r="K11115" s="1"/>
      <c r="L11115" s="1"/>
      <c r="M11115" s="1"/>
    </row>
    <row x14ac:dyDescent="0.25" r="11116" customHeight="1" ht="18.75">
      <c r="A11116" s="1" t="s">
        <v>3598</v>
      </c>
      <c r="B11116" s="1" t="s">
        <v>9025</v>
      </c>
      <c r="C11116" s="1" t="s">
        <v>3600</v>
      </c>
      <c r="D11116" s="1" t="s">
        <v>3601</v>
      </c>
      <c r="E11116" s="1" t="s">
        <v>3664</v>
      </c>
      <c r="F11116" s="1" t="s">
        <v>36209</v>
      </c>
      <c r="G11116" s="1" t="s">
        <v>29600</v>
      </c>
      <c r="H11116" s="1" t="s">
        <v>35898</v>
      </c>
      <c r="I11116" s="1" t="s">
        <v>36210</v>
      </c>
      <c r="J11116" s="1" t="s">
        <v>3615</v>
      </c>
      <c r="K11116" s="1"/>
      <c r="L11116" s="1"/>
      <c r="M11116" s="1"/>
    </row>
    <row x14ac:dyDescent="0.25" r="11117" customHeight="1" ht="18.75">
      <c r="A11117" s="1" t="s">
        <v>3598</v>
      </c>
      <c r="B11117" s="1" t="s">
        <v>9025</v>
      </c>
      <c r="C11117" s="1" t="s">
        <v>3600</v>
      </c>
      <c r="D11117" s="1" t="s">
        <v>3601</v>
      </c>
      <c r="E11117" s="1" t="s">
        <v>3664</v>
      </c>
      <c r="F11117" s="1" t="s">
        <v>36211</v>
      </c>
      <c r="G11117" s="1" t="s">
        <v>28742</v>
      </c>
      <c r="H11117" s="1" t="s">
        <v>35898</v>
      </c>
      <c r="I11117" s="1" t="s">
        <v>36212</v>
      </c>
      <c r="J11117" s="1" t="s">
        <v>3615</v>
      </c>
      <c r="K11117" s="1"/>
      <c r="L11117" s="1"/>
      <c r="M11117" s="1"/>
    </row>
    <row x14ac:dyDescent="0.25" r="11118" customHeight="1" ht="18.75">
      <c r="A11118" s="1" t="s">
        <v>3598</v>
      </c>
      <c r="B11118" s="1" t="s">
        <v>9025</v>
      </c>
      <c r="C11118" s="1" t="s">
        <v>3600</v>
      </c>
      <c r="D11118" s="1" t="s">
        <v>3601</v>
      </c>
      <c r="E11118" s="1" t="s">
        <v>3664</v>
      </c>
      <c r="F11118" s="1" t="s">
        <v>36213</v>
      </c>
      <c r="G11118" s="1" t="s">
        <v>36214</v>
      </c>
      <c r="H11118" s="1" t="s">
        <v>35898</v>
      </c>
      <c r="I11118" s="1" t="s">
        <v>36215</v>
      </c>
      <c r="J11118" s="1" t="s">
        <v>3615</v>
      </c>
      <c r="K11118" s="1"/>
      <c r="L11118" s="1"/>
      <c r="M11118" s="1"/>
    </row>
    <row x14ac:dyDescent="0.25" r="11119" customHeight="1" ht="18.75">
      <c r="A11119" s="1" t="s">
        <v>3598</v>
      </c>
      <c r="B11119" s="1" t="s">
        <v>9025</v>
      </c>
      <c r="C11119" s="1" t="s">
        <v>3600</v>
      </c>
      <c r="D11119" s="1" t="s">
        <v>3601</v>
      </c>
      <c r="E11119" s="1" t="s">
        <v>3664</v>
      </c>
      <c r="F11119" s="1" t="s">
        <v>36216</v>
      </c>
      <c r="G11119" s="1" t="s">
        <v>21260</v>
      </c>
      <c r="H11119" s="1" t="s">
        <v>35898</v>
      </c>
      <c r="I11119" s="1" t="s">
        <v>36217</v>
      </c>
      <c r="J11119" s="1" t="s">
        <v>3615</v>
      </c>
      <c r="K11119" s="1"/>
      <c r="L11119" s="1"/>
      <c r="M11119" s="1"/>
    </row>
    <row x14ac:dyDescent="0.25" r="11120" customHeight="1" ht="18.75">
      <c r="A11120" s="1" t="s">
        <v>3598</v>
      </c>
      <c r="B11120" s="1" t="s">
        <v>9025</v>
      </c>
      <c r="C11120" s="1" t="s">
        <v>3600</v>
      </c>
      <c r="D11120" s="1" t="s">
        <v>3601</v>
      </c>
      <c r="E11120" s="1" t="s">
        <v>3664</v>
      </c>
      <c r="F11120" s="1" t="s">
        <v>36218</v>
      </c>
      <c r="G11120" s="1" t="s">
        <v>29600</v>
      </c>
      <c r="H11120" s="1" t="s">
        <v>35898</v>
      </c>
      <c r="I11120" s="1" t="s">
        <v>36219</v>
      </c>
      <c r="J11120" s="1" t="s">
        <v>3615</v>
      </c>
      <c r="K11120" s="1"/>
      <c r="L11120" s="1"/>
      <c r="M11120" s="1"/>
    </row>
    <row x14ac:dyDescent="0.25" r="11121" customHeight="1" ht="18.75">
      <c r="A11121" s="1" t="s">
        <v>3598</v>
      </c>
      <c r="B11121" s="1" t="s">
        <v>5260</v>
      </c>
      <c r="C11121" s="1" t="s">
        <v>3600</v>
      </c>
      <c r="D11121" s="1" t="s">
        <v>3601</v>
      </c>
      <c r="E11121" s="1" t="s">
        <v>3664</v>
      </c>
      <c r="F11121" s="1" t="s">
        <v>36220</v>
      </c>
      <c r="G11121" s="1" t="s">
        <v>21244</v>
      </c>
      <c r="H11121" s="1" t="s">
        <v>35898</v>
      </c>
      <c r="I11121" s="1" t="s">
        <v>36221</v>
      </c>
      <c r="J11121" s="1" t="s">
        <v>3615</v>
      </c>
      <c r="K11121" s="1"/>
      <c r="L11121" s="1"/>
      <c r="M11121" s="1"/>
    </row>
    <row x14ac:dyDescent="0.25" r="11122" customHeight="1" ht="18.75">
      <c r="A11122" s="1" t="s">
        <v>3598</v>
      </c>
      <c r="B11122" s="1" t="s">
        <v>5260</v>
      </c>
      <c r="C11122" s="1" t="s">
        <v>3600</v>
      </c>
      <c r="D11122" s="1" t="s">
        <v>3601</v>
      </c>
      <c r="E11122" s="1" t="s">
        <v>3664</v>
      </c>
      <c r="F11122" s="1" t="s">
        <v>36222</v>
      </c>
      <c r="G11122" s="1" t="s">
        <v>21260</v>
      </c>
      <c r="H11122" s="1" t="s">
        <v>35898</v>
      </c>
      <c r="I11122" s="1" t="s">
        <v>36223</v>
      </c>
      <c r="J11122" s="1" t="s">
        <v>3615</v>
      </c>
      <c r="K11122" s="1"/>
      <c r="L11122" s="1"/>
      <c r="M11122" s="1"/>
    </row>
    <row x14ac:dyDescent="0.25" r="11123" customHeight="1" ht="18.75">
      <c r="A11123" s="1" t="s">
        <v>3598</v>
      </c>
      <c r="B11123" s="1" t="s">
        <v>5260</v>
      </c>
      <c r="C11123" s="1" t="s">
        <v>3600</v>
      </c>
      <c r="D11123" s="1" t="s">
        <v>3601</v>
      </c>
      <c r="E11123" s="1" t="s">
        <v>3664</v>
      </c>
      <c r="F11123" s="1" t="s">
        <v>36224</v>
      </c>
      <c r="G11123" s="1" t="s">
        <v>21244</v>
      </c>
      <c r="H11123" s="1" t="s">
        <v>35898</v>
      </c>
      <c r="I11123" s="1" t="s">
        <v>36225</v>
      </c>
      <c r="J11123" s="1" t="s">
        <v>3615</v>
      </c>
      <c r="K11123" s="1"/>
      <c r="L11123" s="1"/>
      <c r="M11123" s="1"/>
    </row>
    <row x14ac:dyDescent="0.25" r="11124" customHeight="1" ht="18.75">
      <c r="A11124" s="1" t="s">
        <v>3598</v>
      </c>
      <c r="B11124" s="1" t="s">
        <v>5260</v>
      </c>
      <c r="C11124" s="1" t="s">
        <v>3600</v>
      </c>
      <c r="D11124" s="1" t="s">
        <v>3601</v>
      </c>
      <c r="E11124" s="1" t="s">
        <v>3664</v>
      </c>
      <c r="F11124" s="1" t="s">
        <v>36226</v>
      </c>
      <c r="G11124" s="1" t="s">
        <v>21260</v>
      </c>
      <c r="H11124" s="1" t="s">
        <v>35898</v>
      </c>
      <c r="I11124" s="1" t="s">
        <v>36227</v>
      </c>
      <c r="J11124" s="1" t="s">
        <v>3615</v>
      </c>
      <c r="K11124" s="1"/>
      <c r="L11124" s="1"/>
      <c r="M11124" s="1"/>
    </row>
    <row x14ac:dyDescent="0.25" r="11125" customHeight="1" ht="18.75">
      <c r="A11125" s="1" t="s">
        <v>3598</v>
      </c>
      <c r="B11125" s="1" t="s">
        <v>9246</v>
      </c>
      <c r="C11125" s="1" t="s">
        <v>3600</v>
      </c>
      <c r="D11125" s="1" t="s">
        <v>3601</v>
      </c>
      <c r="E11125" s="1" t="s">
        <v>3664</v>
      </c>
      <c r="F11125" s="1" t="s">
        <v>36228</v>
      </c>
      <c r="G11125" s="1" t="s">
        <v>28742</v>
      </c>
      <c r="H11125" s="1" t="s">
        <v>35898</v>
      </c>
      <c r="I11125" s="1" t="s">
        <v>36229</v>
      </c>
      <c r="J11125" s="1" t="s">
        <v>3615</v>
      </c>
      <c r="K11125" s="1"/>
      <c r="L11125" s="1"/>
      <c r="M11125" s="1"/>
    </row>
    <row x14ac:dyDescent="0.25" r="11126" customHeight="1" ht="18.75">
      <c r="A11126" s="1" t="s">
        <v>3598</v>
      </c>
      <c r="B11126" s="1" t="s">
        <v>9246</v>
      </c>
      <c r="C11126" s="1" t="s">
        <v>3600</v>
      </c>
      <c r="D11126" s="1" t="s">
        <v>3601</v>
      </c>
      <c r="E11126" s="1" t="s">
        <v>3664</v>
      </c>
      <c r="F11126" s="1" t="s">
        <v>36230</v>
      </c>
      <c r="G11126" s="1" t="s">
        <v>28742</v>
      </c>
      <c r="H11126" s="1" t="s">
        <v>35898</v>
      </c>
      <c r="I11126" s="1" t="s">
        <v>36231</v>
      </c>
      <c r="J11126" s="1" t="s">
        <v>3615</v>
      </c>
      <c r="K11126" s="1"/>
      <c r="L11126" s="1"/>
      <c r="M11126" s="1"/>
    </row>
    <row x14ac:dyDescent="0.25" r="11127" customHeight="1" ht="18.75">
      <c r="A11127" s="1" t="s">
        <v>7833</v>
      </c>
      <c r="B11127" s="1" t="s">
        <v>7856</v>
      </c>
      <c r="C11127" s="1" t="s">
        <v>4488</v>
      </c>
      <c r="D11127" s="1" t="s">
        <v>3601</v>
      </c>
      <c r="E11127" s="1" t="s">
        <v>3664</v>
      </c>
      <c r="F11127" s="1" t="s">
        <v>36232</v>
      </c>
      <c r="G11127" s="1" t="s">
        <v>36233</v>
      </c>
      <c r="H11127" s="1" t="s">
        <v>35898</v>
      </c>
      <c r="I11127" s="1" t="s">
        <v>36234</v>
      </c>
      <c r="J11127" s="1" t="s">
        <v>3615</v>
      </c>
      <c r="K11127" s="1"/>
      <c r="L11127" s="1"/>
      <c r="M11127" s="1"/>
    </row>
    <row x14ac:dyDescent="0.25" r="11128" customHeight="1" ht="18.75">
      <c r="A11128" s="1" t="s">
        <v>7833</v>
      </c>
      <c r="B11128" s="1" t="s">
        <v>7856</v>
      </c>
      <c r="C11128" s="1" t="s">
        <v>4488</v>
      </c>
      <c r="D11128" s="1" t="s">
        <v>3601</v>
      </c>
      <c r="E11128" s="1" t="s">
        <v>3611</v>
      </c>
      <c r="F11128" s="1" t="s">
        <v>36235</v>
      </c>
      <c r="G11128" s="1" t="s">
        <v>36236</v>
      </c>
      <c r="H11128" s="1" t="s">
        <v>35898</v>
      </c>
      <c r="I11128" s="1" t="s">
        <v>36237</v>
      </c>
      <c r="J11128" s="1" t="s">
        <v>3615</v>
      </c>
      <c r="K11128" s="1"/>
      <c r="L11128" s="1"/>
      <c r="M11128" s="1"/>
    </row>
    <row x14ac:dyDescent="0.25" r="11129" customHeight="1" ht="18.75">
      <c r="A11129" s="1" t="s">
        <v>7833</v>
      </c>
      <c r="B11129" s="1" t="s">
        <v>7856</v>
      </c>
      <c r="C11129" s="1" t="s">
        <v>4488</v>
      </c>
      <c r="D11129" s="1" t="s">
        <v>3601</v>
      </c>
      <c r="E11129" s="1" t="s">
        <v>3611</v>
      </c>
      <c r="F11129" s="1" t="s">
        <v>36238</v>
      </c>
      <c r="G11129" s="1" t="s">
        <v>36239</v>
      </c>
      <c r="H11129" s="1" t="s">
        <v>35898</v>
      </c>
      <c r="I11129" s="1" t="s">
        <v>36240</v>
      </c>
      <c r="J11129" s="1" t="s">
        <v>3615</v>
      </c>
      <c r="K11129" s="1"/>
      <c r="L11129" s="1"/>
      <c r="M11129" s="1"/>
    </row>
    <row x14ac:dyDescent="0.25" r="11130" customHeight="1" ht="18.75">
      <c r="A11130" s="1" t="s">
        <v>7833</v>
      </c>
      <c r="B11130" s="1" t="s">
        <v>7856</v>
      </c>
      <c r="C11130" s="1" t="s">
        <v>4488</v>
      </c>
      <c r="D11130" s="1" t="s">
        <v>3601</v>
      </c>
      <c r="E11130" s="1" t="s">
        <v>3611</v>
      </c>
      <c r="F11130" s="1" t="s">
        <v>36241</v>
      </c>
      <c r="G11130" s="1" t="s">
        <v>36242</v>
      </c>
      <c r="H11130" s="1" t="s">
        <v>35898</v>
      </c>
      <c r="I11130" s="1" t="s">
        <v>36243</v>
      </c>
      <c r="J11130" s="1" t="s">
        <v>3615</v>
      </c>
      <c r="K11130" s="1"/>
      <c r="L11130" s="1"/>
      <c r="M11130" s="1"/>
    </row>
    <row x14ac:dyDescent="0.25" r="11131" customHeight="1" ht="18.75">
      <c r="A11131" s="1" t="s">
        <v>7833</v>
      </c>
      <c r="B11131" s="1" t="s">
        <v>8178</v>
      </c>
      <c r="C11131" s="1" t="s">
        <v>3619</v>
      </c>
      <c r="D11131" s="1" t="s">
        <v>3601</v>
      </c>
      <c r="E11131" s="1" t="s">
        <v>3664</v>
      </c>
      <c r="F11131" s="1" t="s">
        <v>36244</v>
      </c>
      <c r="G11131" s="1" t="s">
        <v>36245</v>
      </c>
      <c r="H11131" s="1" t="s">
        <v>35898</v>
      </c>
      <c r="I11131" s="1" t="s">
        <v>36246</v>
      </c>
      <c r="J11131" s="1" t="s">
        <v>3615</v>
      </c>
      <c r="K11131" s="1"/>
      <c r="L11131" s="1"/>
      <c r="M11131" s="1"/>
    </row>
    <row x14ac:dyDescent="0.25" r="11132" customHeight="1" ht="18.75">
      <c r="A11132" s="1" t="s">
        <v>7833</v>
      </c>
      <c r="B11132" s="1" t="s">
        <v>8178</v>
      </c>
      <c r="C11132" s="1" t="s">
        <v>3619</v>
      </c>
      <c r="D11132" s="1" t="s">
        <v>3601</v>
      </c>
      <c r="E11132" s="1" t="s">
        <v>3981</v>
      </c>
      <c r="F11132" s="1" t="s">
        <v>36247</v>
      </c>
      <c r="G11132" s="1" t="s">
        <v>8188</v>
      </c>
      <c r="H11132" s="1" t="s">
        <v>35898</v>
      </c>
      <c r="I11132" s="1" t="s">
        <v>36248</v>
      </c>
      <c r="J11132" s="1" t="s">
        <v>3615</v>
      </c>
      <c r="K11132" s="1"/>
      <c r="L11132" s="1"/>
      <c r="M11132" s="1"/>
    </row>
    <row x14ac:dyDescent="0.25" r="11133" customHeight="1" ht="18.75">
      <c r="A11133" s="1" t="s">
        <v>7833</v>
      </c>
      <c r="B11133" s="1" t="s">
        <v>8178</v>
      </c>
      <c r="C11133" s="1" t="s">
        <v>3619</v>
      </c>
      <c r="D11133" s="1" t="s">
        <v>3601</v>
      </c>
      <c r="E11133" s="1" t="s">
        <v>3664</v>
      </c>
      <c r="F11133" s="1" t="s">
        <v>36249</v>
      </c>
      <c r="G11133" s="1" t="s">
        <v>8184</v>
      </c>
      <c r="H11133" s="1" t="s">
        <v>35898</v>
      </c>
      <c r="I11133" s="1" t="s">
        <v>36250</v>
      </c>
      <c r="J11133" s="1" t="s">
        <v>3615</v>
      </c>
      <c r="K11133" s="1"/>
      <c r="L11133" s="1"/>
      <c r="M11133" s="1"/>
    </row>
    <row x14ac:dyDescent="0.25" r="11134" customHeight="1" ht="18.75">
      <c r="A11134" s="1" t="s">
        <v>7833</v>
      </c>
      <c r="B11134" s="1" t="s">
        <v>8306</v>
      </c>
      <c r="C11134" s="1" t="s">
        <v>4488</v>
      </c>
      <c r="D11134" s="1" t="s">
        <v>3601</v>
      </c>
      <c r="E11134" s="1" t="s">
        <v>3664</v>
      </c>
      <c r="F11134" s="1" t="s">
        <v>36251</v>
      </c>
      <c r="G11134" s="1" t="s">
        <v>36252</v>
      </c>
      <c r="H11134" s="1" t="s">
        <v>35898</v>
      </c>
      <c r="I11134" s="1" t="s">
        <v>36253</v>
      </c>
      <c r="J11134" s="1" t="s">
        <v>3615</v>
      </c>
      <c r="K11134" s="1"/>
      <c r="L11134" s="1"/>
      <c r="M11134" s="1"/>
    </row>
    <row x14ac:dyDescent="0.25" r="11135" customHeight="1" ht="18.75">
      <c r="A11135" s="1" t="s">
        <v>3693</v>
      </c>
      <c r="B11135" s="1" t="s">
        <v>4125</v>
      </c>
      <c r="C11135" s="1" t="s">
        <v>3619</v>
      </c>
      <c r="D11135" s="1" t="s">
        <v>3601</v>
      </c>
      <c r="E11135" s="1" t="s">
        <v>3664</v>
      </c>
      <c r="F11135" s="1" t="s">
        <v>36254</v>
      </c>
      <c r="G11135" s="1" t="s">
        <v>4126</v>
      </c>
      <c r="H11135" s="1" t="s">
        <v>35898</v>
      </c>
      <c r="I11135" s="1" t="s">
        <v>36255</v>
      </c>
      <c r="J11135" s="1" t="s">
        <v>3615</v>
      </c>
      <c r="K11135" s="1"/>
      <c r="L11135" s="1"/>
      <c r="M11135" s="1"/>
    </row>
    <row x14ac:dyDescent="0.25" r="11136" customHeight="1" ht="18.75">
      <c r="A11136" s="1" t="s">
        <v>3693</v>
      </c>
      <c r="B11136" s="1" t="s">
        <v>9398</v>
      </c>
      <c r="C11136" s="1" t="s">
        <v>3619</v>
      </c>
      <c r="D11136" s="1" t="s">
        <v>3601</v>
      </c>
      <c r="E11136" s="1" t="s">
        <v>3664</v>
      </c>
      <c r="F11136" s="1" t="s">
        <v>36256</v>
      </c>
      <c r="G11136" s="1" t="s">
        <v>9542</v>
      </c>
      <c r="H11136" s="1" t="s">
        <v>35898</v>
      </c>
      <c r="I11136" s="1" t="s">
        <v>36257</v>
      </c>
      <c r="J11136" s="1" t="s">
        <v>3615</v>
      </c>
      <c r="K11136" s="1"/>
      <c r="L11136" s="1"/>
      <c r="M11136" s="1"/>
    </row>
    <row x14ac:dyDescent="0.25" r="11137" customHeight="1" ht="18.75">
      <c r="A11137" s="1" t="s">
        <v>5496</v>
      </c>
      <c r="B11137" s="1" t="s">
        <v>24399</v>
      </c>
      <c r="C11137" s="1" t="s">
        <v>3619</v>
      </c>
      <c r="D11137" s="1" t="s">
        <v>31579</v>
      </c>
      <c r="E11137" s="1" t="s">
        <v>3664</v>
      </c>
      <c r="F11137" s="1" t="s">
        <v>36258</v>
      </c>
      <c r="G11137" s="1" t="s">
        <v>24401</v>
      </c>
      <c r="H11137" s="1" t="s">
        <v>35898</v>
      </c>
      <c r="I11137" s="1" t="s">
        <v>36259</v>
      </c>
      <c r="J11137" s="1" t="s">
        <v>3615</v>
      </c>
      <c r="K11137" s="1" t="s">
        <v>36260</v>
      </c>
      <c r="L11137" s="1"/>
      <c r="M11137" s="1"/>
    </row>
    <row x14ac:dyDescent="0.25" r="11138" customHeight="1" ht="18.75">
      <c r="A11138" s="1" t="s">
        <v>5496</v>
      </c>
      <c r="B11138" s="1" t="s">
        <v>24399</v>
      </c>
      <c r="C11138" s="1" t="s">
        <v>3619</v>
      </c>
      <c r="D11138" s="1" t="s">
        <v>31579</v>
      </c>
      <c r="E11138" s="1" t="s">
        <v>3664</v>
      </c>
      <c r="F11138" s="1" t="s">
        <v>36261</v>
      </c>
      <c r="G11138" s="1" t="s">
        <v>36262</v>
      </c>
      <c r="H11138" s="1" t="s">
        <v>35898</v>
      </c>
      <c r="I11138" s="1" t="s">
        <v>36263</v>
      </c>
      <c r="J11138" s="1" t="s">
        <v>3615</v>
      </c>
      <c r="K11138" s="1" t="s">
        <v>36264</v>
      </c>
      <c r="L11138" s="1"/>
      <c r="M11138" s="1"/>
    </row>
    <row x14ac:dyDescent="0.25" r="11139" customHeight="1" ht="18.75">
      <c r="A11139" s="1" t="s">
        <v>5496</v>
      </c>
      <c r="B11139" s="1" t="s">
        <v>24399</v>
      </c>
      <c r="C11139" s="1" t="s">
        <v>3619</v>
      </c>
      <c r="D11139" s="1" t="s">
        <v>31579</v>
      </c>
      <c r="E11139" s="1" t="s">
        <v>3664</v>
      </c>
      <c r="F11139" s="1" t="s">
        <v>36265</v>
      </c>
      <c r="G11139" s="1" t="s">
        <v>36266</v>
      </c>
      <c r="H11139" s="1" t="s">
        <v>35898</v>
      </c>
      <c r="I11139" s="1" t="s">
        <v>36267</v>
      </c>
      <c r="J11139" s="1" t="s">
        <v>3615</v>
      </c>
      <c r="K11139" s="1" t="s">
        <v>36268</v>
      </c>
      <c r="L11139" s="1"/>
      <c r="M11139" s="1"/>
    </row>
    <row x14ac:dyDescent="0.25" r="11140" customHeight="1" ht="18.75">
      <c r="A11140" s="1" t="s">
        <v>5496</v>
      </c>
      <c r="B11140" s="1" t="s">
        <v>24399</v>
      </c>
      <c r="C11140" s="1" t="s">
        <v>3619</v>
      </c>
      <c r="D11140" s="1" t="s">
        <v>31579</v>
      </c>
      <c r="E11140" s="1" t="s">
        <v>3664</v>
      </c>
      <c r="F11140" s="1" t="s">
        <v>36269</v>
      </c>
      <c r="G11140" s="1" t="s">
        <v>24401</v>
      </c>
      <c r="H11140" s="1" t="s">
        <v>35898</v>
      </c>
      <c r="I11140" s="1" t="s">
        <v>36270</v>
      </c>
      <c r="J11140" s="1" t="s">
        <v>3615</v>
      </c>
      <c r="K11140" s="1" t="s">
        <v>36271</v>
      </c>
      <c r="L11140" s="1"/>
      <c r="M11140" s="1"/>
    </row>
    <row x14ac:dyDescent="0.25" r="11141" customHeight="1" ht="18.75">
      <c r="A11141" s="1" t="s">
        <v>5496</v>
      </c>
      <c r="B11141" s="1" t="s">
        <v>24399</v>
      </c>
      <c r="C11141" s="1" t="s">
        <v>3619</v>
      </c>
      <c r="D11141" s="1" t="s">
        <v>31579</v>
      </c>
      <c r="E11141" s="1" t="s">
        <v>3664</v>
      </c>
      <c r="F11141" s="1" t="s">
        <v>36272</v>
      </c>
      <c r="G11141" s="1" t="s">
        <v>36273</v>
      </c>
      <c r="H11141" s="1" t="s">
        <v>35898</v>
      </c>
      <c r="I11141" s="1" t="s">
        <v>36274</v>
      </c>
      <c r="J11141" s="1" t="s">
        <v>3615</v>
      </c>
      <c r="K11141" s="1" t="s">
        <v>36275</v>
      </c>
      <c r="L11141" s="1"/>
      <c r="M11141" s="1"/>
    </row>
    <row x14ac:dyDescent="0.25" r="11142" customHeight="1" ht="18.75">
      <c r="A11142" s="1" t="s">
        <v>5496</v>
      </c>
      <c r="B11142" s="1" t="s">
        <v>24399</v>
      </c>
      <c r="C11142" s="1" t="s">
        <v>3619</v>
      </c>
      <c r="D11142" s="1" t="s">
        <v>31579</v>
      </c>
      <c r="E11142" s="1" t="s">
        <v>3664</v>
      </c>
      <c r="F11142" s="1" t="s">
        <v>36276</v>
      </c>
      <c r="G11142" s="1" t="s">
        <v>36277</v>
      </c>
      <c r="H11142" s="1" t="s">
        <v>35898</v>
      </c>
      <c r="I11142" s="1" t="s">
        <v>36278</v>
      </c>
      <c r="J11142" s="1" t="s">
        <v>3615</v>
      </c>
      <c r="K11142" s="1" t="s">
        <v>36279</v>
      </c>
      <c r="L11142" s="1"/>
      <c r="M11142" s="1"/>
    </row>
    <row x14ac:dyDescent="0.25" r="11143" customHeight="1" ht="18.75">
      <c r="A11143" s="1" t="s">
        <v>5496</v>
      </c>
      <c r="B11143" s="1" t="s">
        <v>24399</v>
      </c>
      <c r="C11143" s="1" t="s">
        <v>3619</v>
      </c>
      <c r="D11143" s="1" t="s">
        <v>31579</v>
      </c>
      <c r="E11143" s="1" t="s">
        <v>3664</v>
      </c>
      <c r="F11143" s="1" t="s">
        <v>36280</v>
      </c>
      <c r="G11143" s="1" t="s">
        <v>36281</v>
      </c>
      <c r="H11143" s="1" t="s">
        <v>35898</v>
      </c>
      <c r="I11143" s="1" t="s">
        <v>36282</v>
      </c>
      <c r="J11143" s="1" t="s">
        <v>3615</v>
      </c>
      <c r="K11143" s="1" t="s">
        <v>36283</v>
      </c>
      <c r="L11143" s="1"/>
      <c r="M11143" s="1"/>
    </row>
    <row x14ac:dyDescent="0.25" r="11144" customHeight="1" ht="18.75">
      <c r="A11144" s="1" t="s">
        <v>5496</v>
      </c>
      <c r="B11144" s="1" t="s">
        <v>24399</v>
      </c>
      <c r="C11144" s="1" t="s">
        <v>3619</v>
      </c>
      <c r="D11144" s="1" t="s">
        <v>31579</v>
      </c>
      <c r="E11144" s="1" t="s">
        <v>3664</v>
      </c>
      <c r="F11144" s="1" t="s">
        <v>36284</v>
      </c>
      <c r="G11144" s="1" t="s">
        <v>36285</v>
      </c>
      <c r="H11144" s="1" t="s">
        <v>35898</v>
      </c>
      <c r="I11144" s="1" t="s">
        <v>36286</v>
      </c>
      <c r="J11144" s="1" t="s">
        <v>3615</v>
      </c>
      <c r="K11144" s="1" t="s">
        <v>36287</v>
      </c>
      <c r="L11144" s="1"/>
      <c r="M11144" s="1"/>
    </row>
    <row x14ac:dyDescent="0.25" r="11145" customHeight="1" ht="18.75">
      <c r="A11145" s="1" t="s">
        <v>3693</v>
      </c>
      <c r="B11145" s="1" t="s">
        <v>4083</v>
      </c>
      <c r="C11145" s="1" t="s">
        <v>3600</v>
      </c>
      <c r="D11145" s="1" t="s">
        <v>3601</v>
      </c>
      <c r="E11145" s="1" t="s">
        <v>3893</v>
      </c>
      <c r="F11145" s="1" t="s">
        <v>36288</v>
      </c>
      <c r="G11145" s="1" t="s">
        <v>4344</v>
      </c>
      <c r="H11145" s="1" t="s">
        <v>35898</v>
      </c>
      <c r="I11145" s="1" t="s">
        <v>36289</v>
      </c>
      <c r="J11145" s="1" t="s">
        <v>3615</v>
      </c>
      <c r="K11145" s="1"/>
      <c r="L11145" s="1"/>
      <c r="M11145" s="1"/>
    </row>
    <row x14ac:dyDescent="0.25" r="11146" customHeight="1" ht="18.75">
      <c r="A11146" s="1" t="s">
        <v>3693</v>
      </c>
      <c r="B11146" s="1" t="s">
        <v>4083</v>
      </c>
      <c r="C11146" s="1" t="s">
        <v>3600</v>
      </c>
      <c r="D11146" s="1" t="s">
        <v>3601</v>
      </c>
      <c r="E11146" s="1" t="s">
        <v>3893</v>
      </c>
      <c r="F11146" s="1" t="s">
        <v>36290</v>
      </c>
      <c r="G11146" s="1" t="s">
        <v>4344</v>
      </c>
      <c r="H11146" s="1" t="s">
        <v>35898</v>
      </c>
      <c r="I11146" s="1" t="s">
        <v>36291</v>
      </c>
      <c r="J11146" s="1" t="s">
        <v>3615</v>
      </c>
      <c r="K11146" s="1"/>
      <c r="L11146" s="1"/>
      <c r="M11146" s="1"/>
    </row>
    <row x14ac:dyDescent="0.25" r="11147" customHeight="1" ht="18.75">
      <c r="A11147" s="1" t="s">
        <v>3693</v>
      </c>
      <c r="B11147" s="1" t="s">
        <v>4083</v>
      </c>
      <c r="C11147" s="1" t="s">
        <v>3600</v>
      </c>
      <c r="D11147" s="1" t="s">
        <v>3601</v>
      </c>
      <c r="E11147" s="1" t="s">
        <v>3893</v>
      </c>
      <c r="F11147" s="1" t="s">
        <v>36292</v>
      </c>
      <c r="G11147" s="1" t="s">
        <v>4344</v>
      </c>
      <c r="H11147" s="1" t="s">
        <v>35898</v>
      </c>
      <c r="I11147" s="1" t="s">
        <v>36293</v>
      </c>
      <c r="J11147" s="1" t="s">
        <v>3615</v>
      </c>
      <c r="K11147" s="1"/>
      <c r="L11147" s="1"/>
      <c r="M11147" s="1"/>
    </row>
    <row x14ac:dyDescent="0.25" r="11148" customHeight="1" ht="18.75">
      <c r="A11148" s="1" t="s">
        <v>3693</v>
      </c>
      <c r="B11148" s="1" t="s">
        <v>4083</v>
      </c>
      <c r="C11148" s="1" t="s">
        <v>3600</v>
      </c>
      <c r="D11148" s="1" t="s">
        <v>3601</v>
      </c>
      <c r="E11148" s="1" t="s">
        <v>3893</v>
      </c>
      <c r="F11148" s="1" t="s">
        <v>36294</v>
      </c>
      <c r="G11148" s="1" t="s">
        <v>4346</v>
      </c>
      <c r="H11148" s="1" t="s">
        <v>35898</v>
      </c>
      <c r="I11148" s="1" t="s">
        <v>36295</v>
      </c>
      <c r="J11148" s="1" t="s">
        <v>3615</v>
      </c>
      <c r="K11148" s="1"/>
      <c r="L11148" s="1"/>
      <c r="M11148" s="1"/>
    </row>
    <row x14ac:dyDescent="0.25" r="11149" customHeight="1" ht="18.75">
      <c r="A11149" s="1" t="s">
        <v>3693</v>
      </c>
      <c r="B11149" s="1" t="s">
        <v>4083</v>
      </c>
      <c r="C11149" s="1" t="s">
        <v>3600</v>
      </c>
      <c r="D11149" s="1" t="s">
        <v>3601</v>
      </c>
      <c r="E11149" s="1" t="s">
        <v>3893</v>
      </c>
      <c r="F11149" s="1" t="s">
        <v>36296</v>
      </c>
      <c r="G11149" s="1" t="s">
        <v>4346</v>
      </c>
      <c r="H11149" s="1" t="s">
        <v>35898</v>
      </c>
      <c r="I11149" s="1" t="s">
        <v>36297</v>
      </c>
      <c r="J11149" s="1" t="s">
        <v>3615</v>
      </c>
      <c r="K11149" s="1"/>
      <c r="L11149" s="1"/>
      <c r="M11149" s="1"/>
    </row>
    <row x14ac:dyDescent="0.25" r="11150" customHeight="1" ht="18.75">
      <c r="A11150" s="1" t="s">
        <v>3693</v>
      </c>
      <c r="B11150" s="1" t="s">
        <v>4083</v>
      </c>
      <c r="C11150" s="1" t="s">
        <v>3600</v>
      </c>
      <c r="D11150" s="1" t="s">
        <v>3601</v>
      </c>
      <c r="E11150" s="1" t="s">
        <v>3893</v>
      </c>
      <c r="F11150" s="1" t="s">
        <v>36298</v>
      </c>
      <c r="G11150" s="1" t="s">
        <v>4346</v>
      </c>
      <c r="H11150" s="1" t="s">
        <v>35898</v>
      </c>
      <c r="I11150" s="1" t="s">
        <v>36299</v>
      </c>
      <c r="J11150" s="1" t="s">
        <v>3615</v>
      </c>
      <c r="K11150" s="1"/>
      <c r="L11150" s="1"/>
      <c r="M11150" s="1"/>
    </row>
    <row x14ac:dyDescent="0.25" r="11151" customHeight="1" ht="18.75">
      <c r="A11151" s="1" t="s">
        <v>3693</v>
      </c>
      <c r="B11151" s="1" t="s">
        <v>4083</v>
      </c>
      <c r="C11151" s="1" t="s">
        <v>3600</v>
      </c>
      <c r="D11151" s="1" t="s">
        <v>3601</v>
      </c>
      <c r="E11151" s="1" t="s">
        <v>3893</v>
      </c>
      <c r="F11151" s="1" t="s">
        <v>36300</v>
      </c>
      <c r="G11151" s="1" t="s">
        <v>4346</v>
      </c>
      <c r="H11151" s="1" t="s">
        <v>35898</v>
      </c>
      <c r="I11151" s="1" t="s">
        <v>36301</v>
      </c>
      <c r="J11151" s="1" t="s">
        <v>3615</v>
      </c>
      <c r="K11151" s="1"/>
      <c r="L11151" s="1"/>
      <c r="M11151" s="1"/>
    </row>
    <row x14ac:dyDescent="0.25" r="11152" customHeight="1" ht="18.75">
      <c r="A11152" s="1" t="s">
        <v>3693</v>
      </c>
      <c r="B11152" s="1" t="s">
        <v>4083</v>
      </c>
      <c r="C11152" s="1" t="s">
        <v>3600</v>
      </c>
      <c r="D11152" s="1" t="s">
        <v>3610</v>
      </c>
      <c r="E11152" s="1" t="s">
        <v>3893</v>
      </c>
      <c r="F11152" s="1" t="s">
        <v>36302</v>
      </c>
      <c r="G11152" s="1" t="s">
        <v>4344</v>
      </c>
      <c r="H11152" s="1" t="s">
        <v>35898</v>
      </c>
      <c r="I11152" s="1" t="s">
        <v>36303</v>
      </c>
      <c r="J11152" s="1" t="s">
        <v>3615</v>
      </c>
      <c r="K11152" s="1" t="s">
        <v>36304</v>
      </c>
      <c r="L11152" s="1"/>
      <c r="M11152" s="1"/>
    </row>
    <row x14ac:dyDescent="0.25" r="11153" customHeight="1" ht="18.75">
      <c r="A11153" s="1" t="s">
        <v>3693</v>
      </c>
      <c r="B11153" s="1" t="s">
        <v>4083</v>
      </c>
      <c r="C11153" s="1" t="s">
        <v>3600</v>
      </c>
      <c r="D11153" s="1" t="s">
        <v>3610</v>
      </c>
      <c r="E11153" s="1" t="s">
        <v>3893</v>
      </c>
      <c r="F11153" s="1" t="s">
        <v>36305</v>
      </c>
      <c r="G11153" s="1" t="s">
        <v>4346</v>
      </c>
      <c r="H11153" s="1" t="s">
        <v>35898</v>
      </c>
      <c r="I11153" s="1" t="s">
        <v>36306</v>
      </c>
      <c r="J11153" s="1" t="s">
        <v>3615</v>
      </c>
      <c r="K11153" s="1" t="s">
        <v>36307</v>
      </c>
      <c r="L11153" s="1"/>
      <c r="M11153" s="1"/>
    </row>
    <row x14ac:dyDescent="0.25" r="11154" customHeight="1" ht="18.75">
      <c r="A11154" s="1" t="s">
        <v>3693</v>
      </c>
      <c r="B11154" s="1" t="s">
        <v>4083</v>
      </c>
      <c r="C11154" s="1" t="s">
        <v>3600</v>
      </c>
      <c r="D11154" s="1" t="s">
        <v>3610</v>
      </c>
      <c r="E11154" s="1" t="s">
        <v>3893</v>
      </c>
      <c r="F11154" s="1" t="s">
        <v>36308</v>
      </c>
      <c r="G11154" s="1" t="s">
        <v>4344</v>
      </c>
      <c r="H11154" s="1" t="s">
        <v>35898</v>
      </c>
      <c r="I11154" s="1" t="s">
        <v>36309</v>
      </c>
      <c r="J11154" s="1" t="s">
        <v>3615</v>
      </c>
      <c r="K11154" s="1" t="s">
        <v>36310</v>
      </c>
      <c r="L11154" s="1"/>
      <c r="M11154" s="1"/>
    </row>
    <row x14ac:dyDescent="0.25" r="11155" customHeight="1" ht="18.75">
      <c r="A11155" s="1" t="s">
        <v>3693</v>
      </c>
      <c r="B11155" s="1" t="s">
        <v>4083</v>
      </c>
      <c r="C11155" s="1" t="s">
        <v>3600</v>
      </c>
      <c r="D11155" s="1" t="s">
        <v>3610</v>
      </c>
      <c r="E11155" s="1" t="s">
        <v>3893</v>
      </c>
      <c r="F11155" s="1" t="s">
        <v>36311</v>
      </c>
      <c r="G11155" s="1" t="s">
        <v>4346</v>
      </c>
      <c r="H11155" s="1" t="s">
        <v>35898</v>
      </c>
      <c r="I11155" s="1" t="s">
        <v>36312</v>
      </c>
      <c r="J11155" s="1" t="s">
        <v>3615</v>
      </c>
      <c r="K11155" s="1" t="s">
        <v>36313</v>
      </c>
      <c r="L11155" s="1"/>
      <c r="M11155" s="1"/>
    </row>
    <row x14ac:dyDescent="0.25" r="11156" customHeight="1" ht="18.75">
      <c r="A11156" s="1" t="s">
        <v>3693</v>
      </c>
      <c r="B11156" s="1" t="s">
        <v>4091</v>
      </c>
      <c r="C11156" s="1" t="s">
        <v>3600</v>
      </c>
      <c r="D11156" s="1" t="s">
        <v>3601</v>
      </c>
      <c r="E11156" s="1" t="s">
        <v>3893</v>
      </c>
      <c r="F11156" s="1" t="s">
        <v>36314</v>
      </c>
      <c r="G11156" s="1" t="s">
        <v>4346</v>
      </c>
      <c r="H11156" s="1" t="s">
        <v>35898</v>
      </c>
      <c r="I11156" s="1" t="s">
        <v>36315</v>
      </c>
      <c r="J11156" s="1" t="s">
        <v>3615</v>
      </c>
      <c r="K11156" s="1"/>
      <c r="L11156" s="1"/>
      <c r="M11156" s="1"/>
    </row>
    <row x14ac:dyDescent="0.25" r="11157" customHeight="1" ht="18.75">
      <c r="A11157" s="1" t="s">
        <v>3693</v>
      </c>
      <c r="B11157" s="1" t="s">
        <v>4091</v>
      </c>
      <c r="C11157" s="1" t="s">
        <v>3600</v>
      </c>
      <c r="D11157" s="1" t="s">
        <v>3610</v>
      </c>
      <c r="E11157" s="1" t="s">
        <v>3893</v>
      </c>
      <c r="F11157" s="1" t="s">
        <v>36316</v>
      </c>
      <c r="G11157" s="1" t="s">
        <v>4344</v>
      </c>
      <c r="H11157" s="1" t="s">
        <v>35898</v>
      </c>
      <c r="I11157" s="1" t="s">
        <v>36317</v>
      </c>
      <c r="J11157" s="1" t="s">
        <v>3615</v>
      </c>
      <c r="K11157" s="1" t="s">
        <v>36318</v>
      </c>
      <c r="L11157" s="1"/>
      <c r="M11157" s="1"/>
    </row>
    <row x14ac:dyDescent="0.25" r="11158" customHeight="1" ht="18.75">
      <c r="A11158" s="1" t="s">
        <v>3693</v>
      </c>
      <c r="B11158" s="1" t="s">
        <v>4091</v>
      </c>
      <c r="C11158" s="1" t="s">
        <v>3600</v>
      </c>
      <c r="D11158" s="1" t="s">
        <v>3610</v>
      </c>
      <c r="E11158" s="1" t="s">
        <v>3893</v>
      </c>
      <c r="F11158" s="1" t="s">
        <v>36319</v>
      </c>
      <c r="G11158" s="1" t="s">
        <v>4346</v>
      </c>
      <c r="H11158" s="1" t="s">
        <v>35898</v>
      </c>
      <c r="I11158" s="1" t="s">
        <v>36320</v>
      </c>
      <c r="J11158" s="1" t="s">
        <v>3615</v>
      </c>
      <c r="K11158" s="1" t="s">
        <v>36321</v>
      </c>
      <c r="L11158" s="1"/>
      <c r="M11158" s="1"/>
    </row>
    <row x14ac:dyDescent="0.25" r="11159" customHeight="1" ht="18.75">
      <c r="A11159" s="1" t="s">
        <v>3693</v>
      </c>
      <c r="B11159" s="1" t="s">
        <v>4091</v>
      </c>
      <c r="C11159" s="1" t="s">
        <v>3600</v>
      </c>
      <c r="D11159" s="1" t="s">
        <v>3610</v>
      </c>
      <c r="E11159" s="1" t="s">
        <v>3893</v>
      </c>
      <c r="F11159" s="1" t="s">
        <v>36322</v>
      </c>
      <c r="G11159" s="1" t="s">
        <v>4344</v>
      </c>
      <c r="H11159" s="1" t="s">
        <v>35898</v>
      </c>
      <c r="I11159" s="1" t="s">
        <v>36323</v>
      </c>
      <c r="J11159" s="1" t="s">
        <v>3615</v>
      </c>
      <c r="K11159" s="1" t="s">
        <v>36324</v>
      </c>
      <c r="L11159" s="1"/>
      <c r="M11159" s="1"/>
    </row>
    <row x14ac:dyDescent="0.25" r="11160" customHeight="1" ht="18.75">
      <c r="A11160" s="1" t="s">
        <v>3693</v>
      </c>
      <c r="B11160" s="1" t="s">
        <v>4091</v>
      </c>
      <c r="C11160" s="1" t="s">
        <v>3600</v>
      </c>
      <c r="D11160" s="1" t="s">
        <v>3610</v>
      </c>
      <c r="E11160" s="1" t="s">
        <v>3893</v>
      </c>
      <c r="F11160" s="1" t="s">
        <v>36325</v>
      </c>
      <c r="G11160" s="1" t="s">
        <v>4346</v>
      </c>
      <c r="H11160" s="1" t="s">
        <v>35898</v>
      </c>
      <c r="I11160" s="1" t="s">
        <v>36326</v>
      </c>
      <c r="J11160" s="1" t="s">
        <v>3615</v>
      </c>
      <c r="K11160" s="1" t="s">
        <v>36327</v>
      </c>
      <c r="L11160" s="1"/>
      <c r="M11160" s="1"/>
    </row>
    <row x14ac:dyDescent="0.25" r="11161" customHeight="1" ht="18.75">
      <c r="A11161" s="1" t="s">
        <v>3693</v>
      </c>
      <c r="B11161" s="1" t="s">
        <v>3720</v>
      </c>
      <c r="C11161" s="1" t="s">
        <v>3619</v>
      </c>
      <c r="D11161" s="1" t="s">
        <v>3601</v>
      </c>
      <c r="E11161" s="1" t="s">
        <v>3664</v>
      </c>
      <c r="F11161" s="1" t="s">
        <v>36328</v>
      </c>
      <c r="G11161" s="1" t="s">
        <v>4219</v>
      </c>
      <c r="H11161" s="1" t="s">
        <v>35898</v>
      </c>
      <c r="I11161" s="1" t="s">
        <v>36329</v>
      </c>
      <c r="J11161" s="1" t="s">
        <v>3615</v>
      </c>
      <c r="K11161" s="1"/>
      <c r="L11161" s="1"/>
      <c r="M11161" s="1"/>
    </row>
    <row x14ac:dyDescent="0.25" r="11162" customHeight="1" ht="18.75">
      <c r="A11162" s="1" t="s">
        <v>3598</v>
      </c>
      <c r="B11162" s="1" t="s">
        <v>3751</v>
      </c>
      <c r="C11162" s="1" t="s">
        <v>3600</v>
      </c>
      <c r="D11162" s="1" t="s">
        <v>3695</v>
      </c>
      <c r="E11162" s="1" t="s">
        <v>3664</v>
      </c>
      <c r="F11162" s="1" t="s">
        <v>36330</v>
      </c>
      <c r="G11162" s="1" t="s">
        <v>27413</v>
      </c>
      <c r="H11162" s="1" t="s">
        <v>35898</v>
      </c>
      <c r="I11162" s="1" t="s">
        <v>36331</v>
      </c>
      <c r="J11162" s="1" t="s">
        <v>3615</v>
      </c>
      <c r="K11162" s="1"/>
      <c r="L11162" s="1"/>
      <c r="M11162" s="1"/>
    </row>
    <row x14ac:dyDescent="0.25" r="11163" customHeight="1" ht="18.75">
      <c r="A11163" s="1" t="s">
        <v>3598</v>
      </c>
      <c r="B11163" s="1" t="s">
        <v>3778</v>
      </c>
      <c r="C11163" s="1" t="s">
        <v>3600</v>
      </c>
      <c r="D11163" s="1" t="s">
        <v>3601</v>
      </c>
      <c r="E11163" s="1" t="s">
        <v>3664</v>
      </c>
      <c r="F11163" s="1" t="s">
        <v>36332</v>
      </c>
      <c r="G11163" s="1" t="s">
        <v>36333</v>
      </c>
      <c r="H11163" s="1" t="s">
        <v>35898</v>
      </c>
      <c r="I11163" s="1" t="s">
        <v>36334</v>
      </c>
      <c r="J11163" s="1" t="s">
        <v>3615</v>
      </c>
      <c r="K11163" s="1"/>
      <c r="L11163" s="1"/>
      <c r="M11163" s="1"/>
    </row>
    <row x14ac:dyDescent="0.25" r="11164" customHeight="1" ht="18.75">
      <c r="A11164" s="1" t="s">
        <v>3598</v>
      </c>
      <c r="B11164" s="1" t="s">
        <v>3778</v>
      </c>
      <c r="C11164" s="1" t="s">
        <v>3600</v>
      </c>
      <c r="D11164" s="1" t="s">
        <v>3601</v>
      </c>
      <c r="E11164" s="1" t="s">
        <v>3664</v>
      </c>
      <c r="F11164" s="1" t="s">
        <v>36335</v>
      </c>
      <c r="G11164" s="1" t="s">
        <v>36333</v>
      </c>
      <c r="H11164" s="1" t="s">
        <v>35898</v>
      </c>
      <c r="I11164" s="1" t="s">
        <v>36336</v>
      </c>
      <c r="J11164" s="1" t="s">
        <v>3615</v>
      </c>
      <c r="K11164" s="1"/>
      <c r="L11164" s="1"/>
      <c r="M11164" s="1"/>
    </row>
    <row x14ac:dyDescent="0.25" r="11165" customHeight="1" ht="18.75">
      <c r="A11165" s="1" t="s">
        <v>3598</v>
      </c>
      <c r="B11165" s="1" t="s">
        <v>6954</v>
      </c>
      <c r="C11165" s="1" t="s">
        <v>3600</v>
      </c>
      <c r="D11165" s="1" t="s">
        <v>3601</v>
      </c>
      <c r="E11165" s="1" t="s">
        <v>3664</v>
      </c>
      <c r="F11165" s="1" t="s">
        <v>36337</v>
      </c>
      <c r="G11165" s="1" t="s">
        <v>16982</v>
      </c>
      <c r="H11165" s="1" t="s">
        <v>35898</v>
      </c>
      <c r="I11165" s="1" t="s">
        <v>36338</v>
      </c>
      <c r="J11165" s="1" t="s">
        <v>3615</v>
      </c>
      <c r="K11165" s="1"/>
      <c r="L11165" s="1"/>
      <c r="M11165" s="1"/>
    </row>
    <row x14ac:dyDescent="0.25" r="11166" customHeight="1" ht="18.75">
      <c r="A11166" s="1" t="s">
        <v>3598</v>
      </c>
      <c r="B11166" s="1" t="s">
        <v>6954</v>
      </c>
      <c r="C11166" s="1" t="s">
        <v>3600</v>
      </c>
      <c r="D11166" s="1" t="s">
        <v>3601</v>
      </c>
      <c r="E11166" s="1" t="s">
        <v>3664</v>
      </c>
      <c r="F11166" s="1" t="s">
        <v>36339</v>
      </c>
      <c r="G11166" s="1" t="s">
        <v>16814</v>
      </c>
      <c r="H11166" s="1" t="s">
        <v>35898</v>
      </c>
      <c r="I11166" s="1" t="s">
        <v>36340</v>
      </c>
      <c r="J11166" s="1" t="s">
        <v>3615</v>
      </c>
      <c r="K11166" s="1"/>
      <c r="L11166" s="1"/>
      <c r="M11166" s="1"/>
    </row>
    <row x14ac:dyDescent="0.25" r="11167" customHeight="1" ht="18.75">
      <c r="A11167" s="1" t="s">
        <v>3598</v>
      </c>
      <c r="B11167" s="1" t="s">
        <v>6954</v>
      </c>
      <c r="C11167" s="1" t="s">
        <v>3600</v>
      </c>
      <c r="D11167" s="1" t="s">
        <v>3601</v>
      </c>
      <c r="E11167" s="1" t="s">
        <v>3664</v>
      </c>
      <c r="F11167" s="1" t="s">
        <v>36341</v>
      </c>
      <c r="G11167" s="1" t="s">
        <v>16824</v>
      </c>
      <c r="H11167" s="1" t="s">
        <v>35898</v>
      </c>
      <c r="I11167" s="1" t="s">
        <v>36342</v>
      </c>
      <c r="J11167" s="1" t="s">
        <v>3615</v>
      </c>
      <c r="K11167" s="1"/>
      <c r="L11167" s="1"/>
      <c r="M11167" s="1"/>
    </row>
    <row x14ac:dyDescent="0.25" r="11168" customHeight="1" ht="18.75">
      <c r="A11168" s="1" t="s">
        <v>3598</v>
      </c>
      <c r="B11168" s="1" t="s">
        <v>6954</v>
      </c>
      <c r="C11168" s="1" t="s">
        <v>3600</v>
      </c>
      <c r="D11168" s="1" t="s">
        <v>3601</v>
      </c>
      <c r="E11168" s="1" t="s">
        <v>3893</v>
      </c>
      <c r="F11168" s="1" t="s">
        <v>36343</v>
      </c>
      <c r="G11168" s="1" t="s">
        <v>6524</v>
      </c>
      <c r="H11168" s="1" t="s">
        <v>35898</v>
      </c>
      <c r="I11168" s="1" t="s">
        <v>36344</v>
      </c>
      <c r="J11168" s="1" t="s">
        <v>3615</v>
      </c>
      <c r="K11168" s="1"/>
      <c r="L11168" s="1"/>
      <c r="M11168" s="1"/>
    </row>
    <row x14ac:dyDescent="0.25" r="11169" customHeight="1" ht="18.75">
      <c r="A11169" s="1" t="s">
        <v>3598</v>
      </c>
      <c r="B11169" s="1" t="s">
        <v>6954</v>
      </c>
      <c r="C11169" s="1" t="s">
        <v>3600</v>
      </c>
      <c r="D11169" s="1" t="s">
        <v>3601</v>
      </c>
      <c r="E11169" s="1" t="s">
        <v>3664</v>
      </c>
      <c r="F11169" s="1" t="s">
        <v>36345</v>
      </c>
      <c r="G11169" s="1" t="s">
        <v>16982</v>
      </c>
      <c r="H11169" s="1" t="s">
        <v>35898</v>
      </c>
      <c r="I11169" s="1" t="s">
        <v>36346</v>
      </c>
      <c r="J11169" s="1" t="s">
        <v>3615</v>
      </c>
      <c r="K11169" s="1"/>
      <c r="L11169" s="1"/>
      <c r="M11169" s="1"/>
    </row>
    <row x14ac:dyDescent="0.25" r="11170" customHeight="1" ht="18.75">
      <c r="A11170" s="1" t="s">
        <v>3598</v>
      </c>
      <c r="B11170" s="1" t="s">
        <v>6954</v>
      </c>
      <c r="C11170" s="1" t="s">
        <v>3600</v>
      </c>
      <c r="D11170" s="1" t="s">
        <v>3601</v>
      </c>
      <c r="E11170" s="1" t="s">
        <v>3664</v>
      </c>
      <c r="F11170" s="1" t="s">
        <v>36347</v>
      </c>
      <c r="G11170" s="1" t="s">
        <v>16814</v>
      </c>
      <c r="H11170" s="1" t="s">
        <v>35898</v>
      </c>
      <c r="I11170" s="1" t="s">
        <v>36348</v>
      </c>
      <c r="J11170" s="1" t="s">
        <v>3615</v>
      </c>
      <c r="K11170" s="1"/>
      <c r="L11170" s="1"/>
      <c r="M11170" s="1"/>
    </row>
    <row x14ac:dyDescent="0.25" r="11171" customHeight="1" ht="18.75">
      <c r="A11171" s="1" t="s">
        <v>3598</v>
      </c>
      <c r="B11171" s="1" t="s">
        <v>6954</v>
      </c>
      <c r="C11171" s="1" t="s">
        <v>3600</v>
      </c>
      <c r="D11171" s="1" t="s">
        <v>3601</v>
      </c>
      <c r="E11171" s="1" t="s">
        <v>3664</v>
      </c>
      <c r="F11171" s="1" t="s">
        <v>36349</v>
      </c>
      <c r="G11171" s="1" t="s">
        <v>16824</v>
      </c>
      <c r="H11171" s="1" t="s">
        <v>35898</v>
      </c>
      <c r="I11171" s="1" t="s">
        <v>36350</v>
      </c>
      <c r="J11171" s="1" t="s">
        <v>3615</v>
      </c>
      <c r="K11171" s="1"/>
      <c r="L11171" s="1"/>
      <c r="M11171" s="1"/>
    </row>
    <row x14ac:dyDescent="0.25" r="11172" customHeight="1" ht="18.75">
      <c r="A11172" s="1" t="s">
        <v>3598</v>
      </c>
      <c r="B11172" s="1" t="s">
        <v>6954</v>
      </c>
      <c r="C11172" s="1" t="s">
        <v>3600</v>
      </c>
      <c r="D11172" s="1" t="s">
        <v>3601</v>
      </c>
      <c r="E11172" s="1" t="s">
        <v>3893</v>
      </c>
      <c r="F11172" s="1" t="s">
        <v>36351</v>
      </c>
      <c r="G11172" s="1" t="s">
        <v>6524</v>
      </c>
      <c r="H11172" s="1" t="s">
        <v>35898</v>
      </c>
      <c r="I11172" s="1" t="s">
        <v>36352</v>
      </c>
      <c r="J11172" s="1" t="s">
        <v>3615</v>
      </c>
      <c r="K11172" s="1"/>
      <c r="L11172" s="1"/>
      <c r="M11172" s="1"/>
    </row>
    <row x14ac:dyDescent="0.25" r="11173" customHeight="1" ht="18.75">
      <c r="A11173" s="1" t="s">
        <v>3598</v>
      </c>
      <c r="B11173" s="1" t="s">
        <v>36353</v>
      </c>
      <c r="C11173" s="1" t="s">
        <v>3600</v>
      </c>
      <c r="D11173" s="1" t="s">
        <v>3601</v>
      </c>
      <c r="E11173" s="1" t="s">
        <v>3664</v>
      </c>
      <c r="F11173" s="1" t="s">
        <v>36354</v>
      </c>
      <c r="G11173" s="1" t="s">
        <v>36333</v>
      </c>
      <c r="H11173" s="1" t="s">
        <v>35898</v>
      </c>
      <c r="I11173" s="1" t="s">
        <v>36355</v>
      </c>
      <c r="J11173" s="1" t="s">
        <v>3615</v>
      </c>
      <c r="K11173" s="1"/>
      <c r="L11173" s="1"/>
      <c r="M11173" s="1"/>
    </row>
    <row x14ac:dyDescent="0.25" r="11174" customHeight="1" ht="18.75">
      <c r="A11174" s="1" t="s">
        <v>3598</v>
      </c>
      <c r="B11174" s="1" t="s">
        <v>36353</v>
      </c>
      <c r="C11174" s="1" t="s">
        <v>3600</v>
      </c>
      <c r="D11174" s="1" t="s">
        <v>3601</v>
      </c>
      <c r="E11174" s="1" t="s">
        <v>3664</v>
      </c>
      <c r="F11174" s="1" t="s">
        <v>36356</v>
      </c>
      <c r="G11174" s="1" t="s">
        <v>20289</v>
      </c>
      <c r="H11174" s="1" t="s">
        <v>35898</v>
      </c>
      <c r="I11174" s="1" t="s">
        <v>36357</v>
      </c>
      <c r="J11174" s="1" t="s">
        <v>3615</v>
      </c>
      <c r="K11174" s="1"/>
      <c r="L11174" s="1"/>
      <c r="M11174" s="1"/>
    </row>
    <row x14ac:dyDescent="0.25" r="11175" customHeight="1" ht="18.75">
      <c r="A11175" s="1" t="s">
        <v>3598</v>
      </c>
      <c r="B11175" s="1" t="s">
        <v>36353</v>
      </c>
      <c r="C11175" s="1" t="s">
        <v>3600</v>
      </c>
      <c r="D11175" s="1" t="s">
        <v>3601</v>
      </c>
      <c r="E11175" s="1" t="s">
        <v>3664</v>
      </c>
      <c r="F11175" s="1" t="s">
        <v>36358</v>
      </c>
      <c r="G11175" s="1" t="s">
        <v>36359</v>
      </c>
      <c r="H11175" s="1" t="s">
        <v>35898</v>
      </c>
      <c r="I11175" s="1" t="s">
        <v>36360</v>
      </c>
      <c r="J11175" s="1" t="s">
        <v>3615</v>
      </c>
      <c r="K11175" s="1"/>
      <c r="L11175" s="1"/>
      <c r="M11175" s="1"/>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6199"/>
  <sheetViews>
    <sheetView workbookViewId="0"/>
  </sheetViews>
  <sheetFormatPr defaultRowHeight="15" x14ac:dyDescent="0.25"/>
  <cols>
    <col min="1" max="1" style="15" width="9.147857142857141" customWidth="1" bestFit="1"/>
    <col min="2" max="2" style="15" width="9.147857142857141" customWidth="1" bestFit="1"/>
    <col min="3" max="3" style="15" width="42.29071428571429" customWidth="1" bestFit="1"/>
    <col min="4" max="4" style="15" width="51.57642857142857" customWidth="1" bestFit="1"/>
    <col min="5" max="5" style="15" width="9.147857142857141" customWidth="1" bestFit="1"/>
    <col min="6" max="6" style="15" width="22.719285714285714" customWidth="1" bestFit="1"/>
    <col min="7" max="7" style="15" width="9.147857142857141" customWidth="1" bestFit="1"/>
    <col min="8" max="8" style="15" width="19.576428571428572" customWidth="1" bestFit="1"/>
    <col min="9" max="9" style="16" width="19.576428571428572" customWidth="1" bestFit="1"/>
    <col min="10" max="10" style="15" width="19.576428571428572" customWidth="1" bestFit="1"/>
    <col min="11" max="11" style="15" width="19.576428571428572" customWidth="1" bestFit="1"/>
    <col min="12" max="12" style="15" width="23.862142857142857" customWidth="1" bestFit="1"/>
    <col min="13" max="13" style="15" width="21.719285714285714" customWidth="1" bestFit="1"/>
    <col min="14" max="14" style="15" width="43.29071428571429" customWidth="1" bestFit="1"/>
    <col min="15" max="15" style="15" width="43.29071428571429" customWidth="1" bestFit="1"/>
    <col min="16" max="16" style="15" width="43.29071428571429" customWidth="1" bestFit="1"/>
    <col min="17" max="17" style="15" width="11.719285714285713" customWidth="1" bestFit="1"/>
    <col min="18" max="18" style="15" width="13.576428571428572" customWidth="1" bestFit="1"/>
    <col min="19" max="19" style="15" width="13.576428571428572" customWidth="1" bestFit="1"/>
    <col min="20" max="20" style="15" width="13.576428571428572" customWidth="1" bestFit="1"/>
    <col min="21" max="21" style="15" width="13.576428571428572" customWidth="1" bestFit="1"/>
    <col min="22" max="22" style="15" width="13.576428571428572" customWidth="1" bestFit="1"/>
    <col min="23" max="23" style="15" width="13.576428571428572" customWidth="1" bestFit="1"/>
    <col min="24" max="24" style="15" width="13.576428571428572" customWidth="1" bestFit="1"/>
  </cols>
  <sheetData>
    <row x14ac:dyDescent="0.25" r="1" customHeight="1" ht="18.75">
      <c r="A1" s="1"/>
      <c r="B1" s="1"/>
      <c r="C1" s="1"/>
      <c r="D1" s="1"/>
      <c r="E1" s="1"/>
      <c r="F1" s="1"/>
      <c r="G1" s="1"/>
      <c r="H1" s="1"/>
      <c r="I1" s="2"/>
      <c r="J1" s="1"/>
      <c r="K1" s="1"/>
      <c r="L1" s="1"/>
      <c r="M1" s="1"/>
      <c r="N1" s="1"/>
      <c r="O1" s="1"/>
      <c r="P1" s="1"/>
      <c r="Q1" s="1"/>
      <c r="R1" s="1"/>
      <c r="S1" s="1"/>
      <c r="T1" s="1"/>
      <c r="U1" s="1"/>
      <c r="V1" s="1"/>
      <c r="W1" s="1"/>
      <c r="X1" s="1"/>
    </row>
    <row x14ac:dyDescent="0.25" r="2" customHeight="1" ht="18.75">
      <c r="A2" s="1"/>
      <c r="B2" s="1"/>
      <c r="C2" s="1"/>
      <c r="D2" s="1"/>
      <c r="E2" s="1"/>
      <c r="F2" s="1"/>
      <c r="G2" s="1"/>
      <c r="H2" s="1"/>
      <c r="I2" s="2"/>
      <c r="J2" s="1"/>
      <c r="K2" s="1"/>
      <c r="L2" s="1"/>
      <c r="M2" s="1"/>
      <c r="N2" s="1"/>
      <c r="O2" s="1"/>
      <c r="P2" s="1"/>
      <c r="Q2" s="1"/>
      <c r="R2" s="1"/>
      <c r="S2" s="1"/>
      <c r="T2" s="1"/>
      <c r="U2" s="1"/>
      <c r="V2" s="1"/>
      <c r="W2" s="1"/>
      <c r="X2" s="1"/>
    </row>
    <row x14ac:dyDescent="0.25" r="3" customHeight="1" ht="18.75">
      <c r="A3" s="1"/>
      <c r="B3" s="1"/>
      <c r="C3" s="1"/>
      <c r="D3" s="1"/>
      <c r="E3" s="1"/>
      <c r="F3" s="1"/>
      <c r="G3" s="1"/>
      <c r="H3" s="1"/>
      <c r="I3" s="2"/>
      <c r="J3" s="1"/>
      <c r="K3" s="1"/>
      <c r="L3" s="1"/>
      <c r="M3" s="1"/>
      <c r="N3" s="1"/>
      <c r="O3" s="1"/>
      <c r="P3" s="1"/>
      <c r="Q3" s="1"/>
      <c r="R3" s="1"/>
      <c r="S3" s="1"/>
      <c r="T3" s="1"/>
      <c r="U3" s="1"/>
      <c r="V3" s="1"/>
      <c r="W3" s="1"/>
      <c r="X3" s="1"/>
    </row>
    <row x14ac:dyDescent="0.25" r="4" customHeight="1" ht="18.75">
      <c r="A4" s="1"/>
      <c r="B4" s="1"/>
      <c r="C4" s="3" t="s">
        <v>0</v>
      </c>
      <c r="D4" s="3" t="s">
        <v>1</v>
      </c>
      <c r="E4" s="1"/>
      <c r="F4" s="3" t="s">
        <v>2</v>
      </c>
      <c r="G4" s="1"/>
      <c r="H4" s="3" t="s">
        <v>3</v>
      </c>
      <c r="I4" s="2"/>
      <c r="J4" s="4" t="s">
        <v>4</v>
      </c>
      <c r="K4" s="5" t="s">
        <v>5</v>
      </c>
      <c r="L4" s="4" t="s">
        <v>6</v>
      </c>
      <c r="M4" s="6" t="s">
        <v>7</v>
      </c>
      <c r="N4" s="1"/>
      <c r="O4" s="1"/>
      <c r="P4" s="1"/>
      <c r="Q4" s="1"/>
      <c r="R4" s="1"/>
      <c r="S4" s="1"/>
      <c r="T4" s="1"/>
      <c r="U4" s="1"/>
      <c r="V4" s="1"/>
      <c r="W4" s="1"/>
      <c r="X4" s="1"/>
    </row>
    <row x14ac:dyDescent="0.25" r="5" customHeight="1" ht="18.75">
      <c r="A5" s="1"/>
      <c r="B5" s="1"/>
      <c r="C5" s="3" t="s">
        <v>8</v>
      </c>
      <c r="D5" s="3" t="s">
        <v>9</v>
      </c>
      <c r="E5" s="1"/>
      <c r="F5" s="3" t="s">
        <v>10</v>
      </c>
      <c r="G5" s="1"/>
      <c r="H5" s="3" t="s">
        <v>4</v>
      </c>
      <c r="I5" s="2"/>
      <c r="J5" s="7" t="s">
        <v>4</v>
      </c>
      <c r="K5" s="3" t="s">
        <v>11</v>
      </c>
      <c r="L5" s="3" t="s">
        <v>12</v>
      </c>
      <c r="M5" s="3" t="s">
        <v>11</v>
      </c>
      <c r="N5" s="1"/>
      <c r="O5" s="1"/>
      <c r="P5" s="1"/>
      <c r="Q5" s="1"/>
      <c r="R5" s="1"/>
      <c r="S5" s="1"/>
      <c r="T5" s="1"/>
      <c r="U5" s="1"/>
      <c r="V5" s="1"/>
      <c r="W5" s="1"/>
      <c r="X5" s="1"/>
    </row>
    <row x14ac:dyDescent="0.25" r="6" customHeight="1" ht="18.75">
      <c r="A6" s="1"/>
      <c r="B6" s="1"/>
      <c r="C6" s="3" t="s">
        <v>13</v>
      </c>
      <c r="D6" s="3" t="s">
        <v>14</v>
      </c>
      <c r="E6" s="1"/>
      <c r="F6" s="3" t="s">
        <v>15</v>
      </c>
      <c r="G6" s="1"/>
      <c r="H6" s="3" t="s">
        <v>5</v>
      </c>
      <c r="I6" s="2"/>
      <c r="J6" s="1"/>
      <c r="K6" s="3" t="s">
        <v>16</v>
      </c>
      <c r="L6" s="3" t="s">
        <v>17</v>
      </c>
      <c r="M6" s="3" t="s">
        <v>18</v>
      </c>
      <c r="N6" s="1"/>
      <c r="O6" s="1"/>
      <c r="P6" s="1"/>
      <c r="Q6" s="1"/>
      <c r="R6" s="1"/>
      <c r="S6" s="1"/>
      <c r="T6" s="1"/>
      <c r="U6" s="1"/>
      <c r="V6" s="1"/>
      <c r="W6" s="1"/>
      <c r="X6" s="1"/>
    </row>
    <row x14ac:dyDescent="0.25" r="7" customHeight="1" ht="18.75">
      <c r="A7" s="1"/>
      <c r="B7" s="1"/>
      <c r="C7" s="3" t="s">
        <v>19</v>
      </c>
      <c r="D7" s="8" t="s">
        <v>20</v>
      </c>
      <c r="E7" s="1"/>
      <c r="F7" s="1"/>
      <c r="G7" s="1"/>
      <c r="H7" s="3" t="s">
        <v>6</v>
      </c>
      <c r="I7" s="2"/>
      <c r="J7" s="1"/>
      <c r="K7" s="3" t="s">
        <v>21</v>
      </c>
      <c r="L7" s="3" t="s">
        <v>22</v>
      </c>
      <c r="M7" s="3" t="s">
        <v>23</v>
      </c>
      <c r="N7" s="1"/>
      <c r="O7" s="1"/>
      <c r="P7" s="1"/>
      <c r="Q7" s="1"/>
      <c r="R7" s="1"/>
      <c r="S7" s="1"/>
      <c r="T7" s="1"/>
      <c r="U7" s="1"/>
      <c r="V7" s="1"/>
      <c r="W7" s="1"/>
      <c r="X7" s="1"/>
    </row>
    <row x14ac:dyDescent="0.25" r="8" customHeight="1" ht="18.75">
      <c r="A8" s="1"/>
      <c r="B8" s="1"/>
      <c r="C8" s="3" t="s">
        <v>24</v>
      </c>
      <c r="D8" s="3" t="s">
        <v>25</v>
      </c>
      <c r="E8" s="1"/>
      <c r="F8" s="1"/>
      <c r="G8" s="1"/>
      <c r="H8" s="3" t="s">
        <v>7</v>
      </c>
      <c r="I8" s="2"/>
      <c r="J8" s="1"/>
      <c r="K8" s="3" t="s">
        <v>26</v>
      </c>
      <c r="L8" s="1"/>
      <c r="M8" s="3" t="s">
        <v>27</v>
      </c>
      <c r="N8" s="1"/>
      <c r="O8" s="1"/>
      <c r="P8" s="1"/>
      <c r="Q8" s="1"/>
      <c r="R8" s="1"/>
      <c r="S8" s="1"/>
      <c r="T8" s="1"/>
      <c r="U8" s="1"/>
      <c r="V8" s="1"/>
      <c r="W8" s="1"/>
      <c r="X8" s="1"/>
    </row>
    <row x14ac:dyDescent="0.25" r="9" customHeight="1" ht="18.75">
      <c r="A9" s="1"/>
      <c r="B9" s="1"/>
      <c r="C9" s="3" t="s">
        <v>28</v>
      </c>
      <c r="D9" s="3" t="s">
        <v>29</v>
      </c>
      <c r="E9" s="1"/>
      <c r="F9" s="1"/>
      <c r="G9" s="1"/>
      <c r="H9" s="1"/>
      <c r="I9" s="2"/>
      <c r="J9" s="1"/>
      <c r="K9" s="1"/>
      <c r="L9" s="1"/>
      <c r="M9" s="3" t="s">
        <v>30</v>
      </c>
      <c r="N9" s="1"/>
      <c r="O9" s="1"/>
      <c r="P9" s="1"/>
      <c r="Q9" s="1"/>
      <c r="R9" s="1"/>
      <c r="S9" s="1"/>
      <c r="T9" s="1"/>
      <c r="U9" s="1"/>
      <c r="V9" s="1"/>
      <c r="W9" s="1"/>
      <c r="X9" s="1"/>
    </row>
    <row x14ac:dyDescent="0.25" r="10" customHeight="1" ht="18.75">
      <c r="A10" s="1"/>
      <c r="B10" s="1"/>
      <c r="C10" s="3" t="s">
        <v>31</v>
      </c>
      <c r="D10" s="3" t="s">
        <v>32</v>
      </c>
      <c r="E10" s="1"/>
      <c r="F10" s="1"/>
      <c r="G10" s="1"/>
      <c r="H10" s="1"/>
      <c r="I10" s="2"/>
      <c r="J10" s="1"/>
      <c r="K10" s="1"/>
      <c r="L10" s="1"/>
      <c r="M10" s="3" t="s">
        <v>16</v>
      </c>
      <c r="N10" s="1"/>
      <c r="O10" s="1"/>
      <c r="P10" s="1"/>
      <c r="Q10" s="1"/>
      <c r="R10" s="1"/>
      <c r="S10" s="1"/>
      <c r="T10" s="1"/>
      <c r="U10" s="1"/>
      <c r="V10" s="1"/>
      <c r="W10" s="1"/>
      <c r="X10" s="1"/>
    </row>
    <row x14ac:dyDescent="0.25" r="11" customHeight="1" ht="18.75">
      <c r="A11" s="1"/>
      <c r="B11" s="1"/>
      <c r="C11" s="3" t="s">
        <v>33</v>
      </c>
      <c r="D11" s="3" t="s">
        <v>34</v>
      </c>
      <c r="E11" s="1"/>
      <c r="F11" s="1"/>
      <c r="G11" s="1"/>
      <c r="H11" s="1"/>
      <c r="I11" s="2"/>
      <c r="J11" s="1"/>
      <c r="K11" s="1"/>
      <c r="L11" s="1"/>
      <c r="M11" s="1"/>
      <c r="N11" s="1"/>
      <c r="O11" s="1"/>
      <c r="P11" s="1"/>
      <c r="Q11" s="1"/>
      <c r="R11" s="1"/>
      <c r="S11" s="1"/>
      <c r="T11" s="1"/>
      <c r="U11" s="1"/>
      <c r="V11" s="1"/>
      <c r="W11" s="1"/>
      <c r="X11" s="1"/>
    </row>
    <row x14ac:dyDescent="0.25" r="12" customHeight="1" ht="18.75">
      <c r="A12" s="1"/>
      <c r="B12" s="1"/>
      <c r="C12" s="3" t="s">
        <v>35</v>
      </c>
      <c r="D12" s="3" t="s">
        <v>36</v>
      </c>
      <c r="E12" s="1"/>
      <c r="F12" s="1"/>
      <c r="G12" s="1"/>
      <c r="H12" s="1"/>
      <c r="I12" s="2"/>
      <c r="J12" s="1"/>
      <c r="K12" s="1"/>
      <c r="L12" s="1"/>
      <c r="M12" s="1"/>
      <c r="N12" s="1"/>
      <c r="O12" s="1"/>
      <c r="P12" s="1"/>
      <c r="Q12" s="1"/>
      <c r="R12" s="1"/>
      <c r="S12" s="1"/>
      <c r="T12" s="1"/>
      <c r="U12" s="1"/>
      <c r="V12" s="1"/>
      <c r="W12" s="1"/>
      <c r="X12" s="1"/>
    </row>
    <row x14ac:dyDescent="0.25" r="13" customHeight="1" ht="18.75">
      <c r="A13" s="1"/>
      <c r="B13" s="1"/>
      <c r="C13" s="3" t="s">
        <v>37</v>
      </c>
      <c r="D13" s="3" t="s">
        <v>38</v>
      </c>
      <c r="E13" s="1"/>
      <c r="F13" s="1"/>
      <c r="G13" s="1"/>
      <c r="H13" s="1"/>
      <c r="I13" s="2"/>
      <c r="J13" s="1"/>
      <c r="K13" s="1"/>
      <c r="L13" s="1"/>
      <c r="M13" s="1"/>
      <c r="N13" s="1"/>
      <c r="O13" s="1"/>
      <c r="P13" s="1"/>
      <c r="Q13" s="1"/>
      <c r="R13" s="1"/>
      <c r="S13" s="1"/>
      <c r="T13" s="1"/>
      <c r="U13" s="1"/>
      <c r="V13" s="1"/>
      <c r="W13" s="1"/>
      <c r="X13" s="1"/>
    </row>
    <row x14ac:dyDescent="0.25" r="14" customHeight="1" ht="18.75">
      <c r="A14" s="1"/>
      <c r="B14" s="1"/>
      <c r="C14" s="3" t="s">
        <v>39</v>
      </c>
      <c r="D14" s="3" t="s">
        <v>40</v>
      </c>
      <c r="E14" s="1"/>
      <c r="F14" s="3" t="s">
        <v>41</v>
      </c>
      <c r="G14" s="1"/>
      <c r="H14" s="9" t="s">
        <v>42</v>
      </c>
      <c r="I14" s="10"/>
      <c r="J14" s="11" t="s">
        <v>43</v>
      </c>
      <c r="K14" s="11" t="s">
        <v>43</v>
      </c>
      <c r="L14" s="11" t="s">
        <v>43</v>
      </c>
      <c r="M14" s="11" t="s">
        <v>43</v>
      </c>
      <c r="N14" s="11" t="s">
        <v>43</v>
      </c>
      <c r="O14" s="1"/>
      <c r="P14" s="1"/>
      <c r="Q14" s="11" t="s">
        <v>43</v>
      </c>
      <c r="R14" s="11" t="s">
        <v>43</v>
      </c>
      <c r="S14" s="11" t="s">
        <v>43</v>
      </c>
      <c r="T14" s="11" t="s">
        <v>43</v>
      </c>
      <c r="U14" s="11" t="s">
        <v>43</v>
      </c>
      <c r="V14" s="1"/>
      <c r="W14" s="1"/>
      <c r="X14" s="1"/>
    </row>
    <row x14ac:dyDescent="0.25" r="15" customHeight="1" ht="18.75">
      <c r="A15" s="1"/>
      <c r="B15" s="1"/>
      <c r="C15" s="3" t="s">
        <v>44</v>
      </c>
      <c r="D15" s="3" t="s">
        <v>45</v>
      </c>
      <c r="E15" s="1"/>
      <c r="F15" s="3" t="s">
        <v>46</v>
      </c>
      <c r="G15" s="1"/>
      <c r="H15" s="3" t="s">
        <v>47</v>
      </c>
      <c r="I15" s="2"/>
      <c r="J15" s="12" t="s">
        <v>48</v>
      </c>
      <c r="K15" s="12" t="s">
        <v>49</v>
      </c>
      <c r="L15" s="6" t="s">
        <v>50</v>
      </c>
      <c r="M15" s="12" t="s">
        <v>51</v>
      </c>
      <c r="N15" s="6" t="s">
        <v>52</v>
      </c>
      <c r="O15" s="12" t="s">
        <v>53</v>
      </c>
      <c r="P15" s="12" t="s">
        <v>54</v>
      </c>
      <c r="Q15" s="6" t="s">
        <v>55</v>
      </c>
      <c r="R15" s="12" t="s">
        <v>56</v>
      </c>
      <c r="S15" s="6" t="s">
        <v>57</v>
      </c>
      <c r="T15" s="12" t="s">
        <v>21</v>
      </c>
      <c r="U15" s="6" t="s">
        <v>58</v>
      </c>
      <c r="V15" s="12" t="s">
        <v>59</v>
      </c>
      <c r="W15" s="6" t="s">
        <v>60</v>
      </c>
      <c r="X15" s="12" t="s">
        <v>61</v>
      </c>
    </row>
    <row x14ac:dyDescent="0.25" r="16" customHeight="1" ht="18.75">
      <c r="A16" s="1"/>
      <c r="B16" s="1"/>
      <c r="C16" s="3" t="s">
        <v>62</v>
      </c>
      <c r="D16" s="3" t="s">
        <v>63</v>
      </c>
      <c r="E16" s="1"/>
      <c r="F16" s="3" t="s">
        <v>64</v>
      </c>
      <c r="G16" s="1"/>
      <c r="H16" s="3" t="s">
        <v>65</v>
      </c>
      <c r="I16" s="2"/>
      <c r="J16" s="3" t="s">
        <v>11</v>
      </c>
      <c r="K16" s="1" t="s">
        <v>66</v>
      </c>
      <c r="L16" s="13" t="s">
        <v>23</v>
      </c>
      <c r="M16" s="13" t="s">
        <v>27</v>
      </c>
      <c r="N16" s="13" t="s">
        <v>30</v>
      </c>
      <c r="O16" s="13" t="s">
        <v>16</v>
      </c>
      <c r="P16" s="13" t="s">
        <v>67</v>
      </c>
      <c r="Q16" s="3" t="s">
        <v>11</v>
      </c>
      <c r="R16" s="13" t="s">
        <v>68</v>
      </c>
      <c r="S16" s="13" t="s">
        <v>26</v>
      </c>
      <c r="T16" s="13" t="s">
        <v>21</v>
      </c>
      <c r="U16" s="13" t="s">
        <v>5</v>
      </c>
      <c r="V16" s="13" t="s">
        <v>69</v>
      </c>
      <c r="W16" s="13" t="s">
        <v>11</v>
      </c>
      <c r="X16" s="13" t="s">
        <v>70</v>
      </c>
    </row>
    <row x14ac:dyDescent="0.25" r="17" customHeight="1" ht="18.75">
      <c r="A17" s="1"/>
      <c r="B17" s="1"/>
      <c r="C17" s="3" t="s">
        <v>71</v>
      </c>
      <c r="D17" s="3" t="s">
        <v>72</v>
      </c>
      <c r="E17" s="1"/>
      <c r="F17" s="3" t="s">
        <v>73</v>
      </c>
      <c r="G17" s="1"/>
      <c r="H17" s="1"/>
      <c r="I17" s="2"/>
      <c r="J17" s="1"/>
      <c r="K17" s="13" t="s">
        <v>74</v>
      </c>
      <c r="L17" s="1"/>
      <c r="M17" s="1"/>
      <c r="N17" s="13" t="s">
        <v>74</v>
      </c>
      <c r="O17" s="13" t="s">
        <v>74</v>
      </c>
      <c r="P17" s="13" t="s">
        <v>74</v>
      </c>
      <c r="Q17" s="1"/>
      <c r="R17" s="13" t="s">
        <v>67</v>
      </c>
      <c r="S17" s="1"/>
      <c r="T17" s="3" t="s">
        <v>75</v>
      </c>
      <c r="U17" s="13" t="s">
        <v>7</v>
      </c>
      <c r="V17" s="13" t="s">
        <v>76</v>
      </c>
      <c r="W17" s="13" t="s">
        <v>77</v>
      </c>
      <c r="X17" s="13" t="s">
        <v>78</v>
      </c>
    </row>
    <row x14ac:dyDescent="0.25" r="18" customHeight="1" ht="18.75">
      <c r="A18" s="1"/>
      <c r="B18" s="1"/>
      <c r="C18" s="1"/>
      <c r="D18" s="1"/>
      <c r="E18" s="1"/>
      <c r="F18" s="1"/>
      <c r="G18" s="1"/>
      <c r="H18" s="1"/>
      <c r="I18" s="2"/>
      <c r="J18" s="1"/>
      <c r="K18" s="13" t="s">
        <v>75</v>
      </c>
      <c r="L18" s="1"/>
      <c r="M18" s="1"/>
      <c r="N18" s="3" t="s">
        <v>75</v>
      </c>
      <c r="O18" s="3" t="s">
        <v>75</v>
      </c>
      <c r="P18" s="3" t="s">
        <v>75</v>
      </c>
      <c r="Q18" s="1"/>
      <c r="R18" s="13" t="s">
        <v>74</v>
      </c>
      <c r="S18" s="1"/>
      <c r="T18" s="14" t="s">
        <v>74</v>
      </c>
      <c r="U18" s="13" t="s">
        <v>79</v>
      </c>
      <c r="V18" s="13" t="s">
        <v>80</v>
      </c>
      <c r="W18" s="1"/>
      <c r="X18" s="13" t="s">
        <v>81</v>
      </c>
    </row>
    <row x14ac:dyDescent="0.25" r="19" customHeight="1" ht="18.75">
      <c r="A19" s="1"/>
      <c r="B19" s="1"/>
      <c r="C19" s="1"/>
      <c r="D19" s="1"/>
      <c r="E19" s="1"/>
      <c r="F19" s="1"/>
      <c r="G19" s="1"/>
      <c r="H19" s="1"/>
      <c r="I19" s="2"/>
      <c r="J19" s="1"/>
      <c r="K19" s="1"/>
      <c r="L19" s="1"/>
      <c r="M19" s="1"/>
      <c r="N19" s="3" t="s">
        <v>82</v>
      </c>
      <c r="O19" s="3" t="s">
        <v>82</v>
      </c>
      <c r="P19" s="3" t="s">
        <v>82</v>
      </c>
      <c r="Q19" s="1"/>
      <c r="R19" s="3" t="s">
        <v>75</v>
      </c>
      <c r="S19" s="1"/>
      <c r="T19" s="1"/>
      <c r="U19" s="1"/>
      <c r="V19" s="13" t="s">
        <v>83</v>
      </c>
      <c r="W19" s="1"/>
      <c r="X19" s="13" t="s">
        <v>84</v>
      </c>
    </row>
    <row x14ac:dyDescent="0.25" r="20" customHeight="1" ht="18.75">
      <c r="A20" s="1"/>
      <c r="B20" s="1"/>
      <c r="C20" s="1"/>
      <c r="D20" s="1"/>
      <c r="E20" s="1"/>
      <c r="F20" s="1"/>
      <c r="G20" s="1"/>
      <c r="H20" s="1"/>
      <c r="I20" s="2"/>
      <c r="J20" s="1"/>
      <c r="K20" s="1"/>
      <c r="L20" s="1"/>
      <c r="M20" s="1"/>
      <c r="N20" s="1"/>
      <c r="O20" s="1"/>
      <c r="P20" s="1"/>
      <c r="Q20" s="1"/>
      <c r="R20" s="3" t="s">
        <v>82</v>
      </c>
      <c r="S20" s="1"/>
      <c r="T20" s="1"/>
      <c r="U20" s="1"/>
      <c r="V20" s="1"/>
      <c r="W20" s="1"/>
      <c r="X20" s="1"/>
    </row>
    <row x14ac:dyDescent="0.25" r="21" customHeight="1" ht="18.75">
      <c r="A21" s="1"/>
      <c r="B21" s="1"/>
      <c r="C21" s="1"/>
      <c r="D21" s="1"/>
      <c r="E21" s="1"/>
      <c r="F21" s="1"/>
      <c r="G21" s="1"/>
      <c r="H21" s="1"/>
      <c r="I21" s="2"/>
      <c r="J21" s="1"/>
      <c r="K21" s="1"/>
      <c r="L21" s="1"/>
      <c r="M21" s="1"/>
      <c r="N21" s="1"/>
      <c r="O21" s="1"/>
      <c r="P21" s="1"/>
      <c r="Q21" s="1"/>
      <c r="R21" s="1"/>
      <c r="S21" s="1"/>
      <c r="T21" s="1"/>
      <c r="U21" s="1"/>
      <c r="V21" s="1"/>
      <c r="W21" s="1"/>
      <c r="X21" s="1"/>
    </row>
    <row x14ac:dyDescent="0.25" r="22" customHeight="1" ht="18.75">
      <c r="A22" s="1"/>
      <c r="B22" s="1"/>
      <c r="C22" s="1"/>
      <c r="D22" s="1"/>
      <c r="E22" s="1"/>
      <c r="F22" s="1"/>
      <c r="G22" s="1"/>
      <c r="H22" s="1"/>
      <c r="I22" s="2"/>
      <c r="J22" s="1"/>
      <c r="K22" s="1"/>
      <c r="L22" s="1"/>
      <c r="M22" s="1"/>
      <c r="N22" s="1"/>
      <c r="O22" s="1"/>
      <c r="P22" s="1"/>
      <c r="Q22" s="1"/>
      <c r="R22" s="1"/>
      <c r="S22" s="1"/>
      <c r="T22" s="1"/>
      <c r="U22" s="1"/>
      <c r="V22" s="1"/>
      <c r="W22" s="1"/>
      <c r="X22" s="1"/>
    </row>
    <row x14ac:dyDescent="0.25" r="23" customHeight="1" ht="18.75">
      <c r="A23" s="1"/>
      <c r="B23" s="1"/>
      <c r="C23" s="1"/>
      <c r="D23" s="1"/>
      <c r="E23" s="1"/>
      <c r="F23" s="1"/>
      <c r="G23" s="1"/>
      <c r="H23" s="1"/>
      <c r="I23" s="2"/>
      <c r="J23" s="1"/>
      <c r="K23" s="1"/>
      <c r="L23" s="1"/>
      <c r="M23" s="1"/>
      <c r="N23" s="1"/>
      <c r="O23" s="1"/>
      <c r="P23" s="1"/>
      <c r="Q23" s="1"/>
      <c r="R23" s="1"/>
      <c r="S23" s="1"/>
      <c r="T23" s="1"/>
      <c r="U23" s="1"/>
      <c r="V23" s="1"/>
      <c r="W23" s="1"/>
      <c r="X23" s="1"/>
    </row>
    <row x14ac:dyDescent="0.25" r="24" customHeight="1" ht="18.75">
      <c r="A24" s="1"/>
      <c r="B24" s="1"/>
      <c r="C24" s="1"/>
      <c r="D24" s="1"/>
      <c r="E24" s="3" t="s">
        <v>10</v>
      </c>
      <c r="F24" s="3" t="s">
        <v>85</v>
      </c>
      <c r="G24" s="1"/>
      <c r="H24" s="1"/>
      <c r="I24" s="2"/>
      <c r="J24" s="1"/>
      <c r="K24" s="1"/>
      <c r="L24" s="1"/>
      <c r="M24" s="1"/>
      <c r="N24" s="1"/>
      <c r="O24" s="1"/>
      <c r="P24" s="1"/>
      <c r="Q24" s="1"/>
      <c r="R24" s="1"/>
      <c r="S24" s="1"/>
      <c r="T24" s="1"/>
      <c r="U24" s="1"/>
      <c r="V24" s="1"/>
      <c r="W24" s="1"/>
      <c r="X24" s="1"/>
    </row>
    <row x14ac:dyDescent="0.25" r="25" customHeight="1" ht="18.75">
      <c r="A25" s="1"/>
      <c r="B25" s="1"/>
      <c r="C25" s="1"/>
      <c r="D25" s="1"/>
      <c r="E25" s="3" t="s">
        <v>10</v>
      </c>
      <c r="F25" s="3" t="s">
        <v>86</v>
      </c>
      <c r="G25" s="1"/>
      <c r="H25" s="1"/>
      <c r="I25" s="2"/>
      <c r="J25" s="1"/>
      <c r="K25" s="1"/>
      <c r="L25" s="1"/>
      <c r="M25" s="1"/>
      <c r="N25" s="1"/>
      <c r="O25" s="1"/>
      <c r="P25" s="1"/>
      <c r="Q25" s="1"/>
      <c r="R25" s="1"/>
      <c r="S25" s="1"/>
      <c r="T25" s="1"/>
      <c r="U25" s="1"/>
      <c r="V25" s="1"/>
      <c r="W25" s="1"/>
      <c r="X25" s="1"/>
    </row>
    <row x14ac:dyDescent="0.25" r="26" customHeight="1" ht="18.75">
      <c r="A26" s="1"/>
      <c r="B26" s="1"/>
      <c r="C26" s="1"/>
      <c r="D26" s="1"/>
      <c r="E26" s="3" t="s">
        <v>10</v>
      </c>
      <c r="F26" s="3" t="s">
        <v>87</v>
      </c>
      <c r="G26" s="1"/>
      <c r="H26" s="1"/>
      <c r="I26" s="2"/>
      <c r="J26" s="1"/>
      <c r="K26" s="1"/>
      <c r="L26" s="1"/>
      <c r="M26" s="1"/>
      <c r="N26" s="1"/>
      <c r="O26" s="1"/>
      <c r="P26" s="1"/>
      <c r="Q26" s="1"/>
      <c r="R26" s="1"/>
      <c r="S26" s="1"/>
      <c r="T26" s="1"/>
      <c r="U26" s="1"/>
      <c r="V26" s="1"/>
      <c r="W26" s="1"/>
      <c r="X26" s="1"/>
    </row>
    <row x14ac:dyDescent="0.25" r="27" customHeight="1" ht="18.75">
      <c r="A27" s="1"/>
      <c r="B27" s="1"/>
      <c r="C27" s="1"/>
      <c r="D27" s="1"/>
      <c r="E27" s="3" t="s">
        <v>10</v>
      </c>
      <c r="F27" s="3" t="s">
        <v>88</v>
      </c>
      <c r="G27" s="1"/>
      <c r="H27" s="1"/>
      <c r="I27" s="2"/>
      <c r="J27" s="1"/>
      <c r="K27" s="1"/>
      <c r="L27" s="1"/>
      <c r="M27" s="1"/>
      <c r="N27" s="1"/>
      <c r="O27" s="1"/>
      <c r="P27" s="1"/>
      <c r="Q27" s="1"/>
      <c r="R27" s="1"/>
      <c r="S27" s="1"/>
      <c r="T27" s="1"/>
      <c r="U27" s="1"/>
      <c r="V27" s="1"/>
      <c r="W27" s="1"/>
      <c r="X27" s="1"/>
    </row>
    <row x14ac:dyDescent="0.25" r="28" customHeight="1" ht="18.75">
      <c r="A28" s="1"/>
      <c r="B28" s="1"/>
      <c r="C28" s="3" t="s">
        <v>89</v>
      </c>
      <c r="D28" s="3" t="s">
        <v>90</v>
      </c>
      <c r="E28" s="3" t="s">
        <v>15</v>
      </c>
      <c r="F28" s="3" t="s">
        <v>91</v>
      </c>
      <c r="G28" s="1"/>
      <c r="H28" s="1"/>
      <c r="I28" s="2"/>
      <c r="J28" s="1"/>
      <c r="K28" s="1"/>
      <c r="L28" s="1"/>
      <c r="M28" s="1"/>
      <c r="N28" s="1"/>
      <c r="O28" s="1"/>
      <c r="P28" s="1"/>
      <c r="Q28" s="1"/>
      <c r="R28" s="1"/>
      <c r="S28" s="1"/>
      <c r="T28" s="1"/>
      <c r="U28" s="1"/>
      <c r="V28" s="1"/>
      <c r="W28" s="1"/>
      <c r="X28" s="1"/>
    </row>
    <row x14ac:dyDescent="0.25" r="29" customHeight="1" ht="18.75">
      <c r="A29" s="1"/>
      <c r="B29" s="1"/>
      <c r="C29" s="1"/>
      <c r="D29" s="3" t="s">
        <v>92</v>
      </c>
      <c r="E29" s="3" t="s">
        <v>15</v>
      </c>
      <c r="F29" s="3" t="s">
        <v>93</v>
      </c>
      <c r="G29" s="1"/>
      <c r="H29" s="1"/>
      <c r="I29" s="2"/>
      <c r="J29" s="1"/>
      <c r="K29" s="1"/>
      <c r="L29" s="1"/>
      <c r="M29" s="1"/>
      <c r="N29" s="1"/>
      <c r="O29" s="1"/>
      <c r="P29" s="1"/>
      <c r="Q29" s="1"/>
      <c r="R29" s="1"/>
      <c r="S29" s="1"/>
      <c r="T29" s="1"/>
      <c r="U29" s="1"/>
      <c r="V29" s="1"/>
      <c r="W29" s="1"/>
      <c r="X29" s="1"/>
    </row>
    <row x14ac:dyDescent="0.25" r="30" customHeight="1" ht="18.75">
      <c r="A30" s="1"/>
      <c r="B30" s="1"/>
      <c r="C30" s="3" t="s">
        <v>94</v>
      </c>
      <c r="D30" s="3" t="s">
        <v>95</v>
      </c>
      <c r="E30" s="3" t="s">
        <v>15</v>
      </c>
      <c r="F30" s="3" t="s">
        <v>96</v>
      </c>
      <c r="G30" s="1"/>
      <c r="H30" s="1"/>
      <c r="I30" s="2"/>
      <c r="J30" s="1"/>
      <c r="K30" s="1"/>
      <c r="L30" s="1"/>
      <c r="M30" s="1"/>
      <c r="N30" s="1"/>
      <c r="O30" s="1"/>
      <c r="P30" s="1"/>
      <c r="Q30" s="1"/>
      <c r="R30" s="1"/>
      <c r="S30" s="1"/>
      <c r="T30" s="1"/>
      <c r="U30" s="1"/>
      <c r="V30" s="1"/>
      <c r="W30" s="1"/>
      <c r="X30" s="1"/>
    </row>
    <row x14ac:dyDescent="0.25" r="31" customHeight="1" ht="18.75">
      <c r="A31" s="1"/>
      <c r="B31" s="1"/>
      <c r="C31" s="3" t="s">
        <v>97</v>
      </c>
      <c r="D31" s="3" t="s">
        <v>98</v>
      </c>
      <c r="E31" s="3" t="s">
        <v>15</v>
      </c>
      <c r="F31" s="3" t="s">
        <v>99</v>
      </c>
      <c r="G31" s="1"/>
      <c r="H31" s="1"/>
      <c r="I31" s="2"/>
      <c r="J31" s="1"/>
      <c r="K31" s="1"/>
      <c r="L31" s="1"/>
      <c r="M31" s="1"/>
      <c r="N31" s="1"/>
      <c r="O31" s="1"/>
      <c r="P31" s="1"/>
      <c r="Q31" s="1"/>
      <c r="R31" s="1"/>
      <c r="S31" s="1"/>
      <c r="T31" s="1"/>
      <c r="U31" s="1"/>
      <c r="V31" s="1"/>
      <c r="W31" s="1"/>
      <c r="X31" s="1"/>
    </row>
    <row x14ac:dyDescent="0.25" r="32" customHeight="1" ht="18.75">
      <c r="A32" s="1"/>
      <c r="B32" s="1"/>
      <c r="C32" s="3" t="s">
        <v>100</v>
      </c>
      <c r="D32" s="3" t="s">
        <v>101</v>
      </c>
      <c r="E32" s="3" t="s">
        <v>15</v>
      </c>
      <c r="F32" s="3" t="s">
        <v>102</v>
      </c>
      <c r="G32" s="1"/>
      <c r="H32" s="1"/>
      <c r="I32" s="2"/>
      <c r="J32" s="1"/>
      <c r="K32" s="1"/>
      <c r="L32" s="1"/>
      <c r="M32" s="1"/>
      <c r="N32" s="1"/>
      <c r="O32" s="1"/>
      <c r="P32" s="1"/>
      <c r="Q32" s="1"/>
      <c r="R32" s="1"/>
      <c r="S32" s="1"/>
      <c r="T32" s="1"/>
      <c r="U32" s="1"/>
      <c r="V32" s="1"/>
      <c r="W32" s="1"/>
      <c r="X32" s="1"/>
    </row>
    <row x14ac:dyDescent="0.25" r="33" customHeight="1" ht="18.75">
      <c r="A33" s="1"/>
      <c r="B33" s="1"/>
      <c r="C33" s="3" t="s">
        <v>94</v>
      </c>
      <c r="D33" s="3" t="s">
        <v>103</v>
      </c>
      <c r="E33" s="3" t="s">
        <v>15</v>
      </c>
      <c r="F33" s="3" t="s">
        <v>104</v>
      </c>
      <c r="G33" s="1"/>
      <c r="H33" s="1"/>
      <c r="I33" s="2"/>
      <c r="J33" s="1"/>
      <c r="K33" s="1"/>
      <c r="L33" s="1"/>
      <c r="M33" s="1"/>
      <c r="N33" s="1"/>
      <c r="O33" s="1"/>
      <c r="P33" s="1"/>
      <c r="Q33" s="1"/>
      <c r="R33" s="1"/>
      <c r="S33" s="1"/>
      <c r="T33" s="1"/>
      <c r="U33" s="1"/>
      <c r="V33" s="1"/>
      <c r="W33" s="1"/>
      <c r="X33" s="1"/>
    </row>
    <row x14ac:dyDescent="0.25" r="34" customHeight="1" ht="18.75">
      <c r="A34" s="1"/>
      <c r="B34" s="1"/>
      <c r="C34" s="3" t="s">
        <v>94</v>
      </c>
      <c r="D34" s="3" t="s">
        <v>98</v>
      </c>
      <c r="E34" s="3" t="s">
        <v>15</v>
      </c>
      <c r="F34" s="3" t="s">
        <v>105</v>
      </c>
      <c r="G34" s="1"/>
      <c r="H34" s="1"/>
      <c r="I34" s="2"/>
      <c r="J34" s="1"/>
      <c r="K34" s="1"/>
      <c r="L34" s="1"/>
      <c r="M34" s="1"/>
      <c r="N34" s="1"/>
      <c r="O34" s="1"/>
      <c r="P34" s="1"/>
      <c r="Q34" s="1"/>
      <c r="R34" s="1"/>
      <c r="S34" s="1"/>
      <c r="T34" s="1"/>
      <c r="U34" s="1"/>
      <c r="V34" s="1"/>
      <c r="W34" s="1"/>
      <c r="X34" s="1"/>
    </row>
    <row x14ac:dyDescent="0.25" r="35" customHeight="1" ht="18.75">
      <c r="A35" s="1"/>
      <c r="B35" s="1"/>
      <c r="C35" s="3" t="s">
        <v>106</v>
      </c>
      <c r="D35" s="3" t="s">
        <v>103</v>
      </c>
      <c r="E35" s="3" t="s">
        <v>15</v>
      </c>
      <c r="F35" s="3" t="s">
        <v>107</v>
      </c>
      <c r="G35" s="1"/>
      <c r="H35" s="1"/>
      <c r="I35" s="2"/>
      <c r="J35" s="1"/>
      <c r="K35" s="1"/>
      <c r="L35" s="1"/>
      <c r="M35" s="1"/>
      <c r="N35" s="1"/>
      <c r="O35" s="1"/>
      <c r="P35" s="1"/>
      <c r="Q35" s="1"/>
      <c r="R35" s="1"/>
      <c r="S35" s="1"/>
      <c r="T35" s="1"/>
      <c r="U35" s="1"/>
      <c r="V35" s="1"/>
      <c r="W35" s="1"/>
      <c r="X35" s="1"/>
    </row>
    <row x14ac:dyDescent="0.25" r="36" customHeight="1" ht="18.75">
      <c r="A36" s="1"/>
      <c r="B36" s="1"/>
      <c r="C36" s="3" t="s">
        <v>108</v>
      </c>
      <c r="D36" s="3" t="s">
        <v>103</v>
      </c>
      <c r="E36" s="3" t="s">
        <v>15</v>
      </c>
      <c r="F36" s="3" t="s">
        <v>109</v>
      </c>
      <c r="G36" s="1"/>
      <c r="H36" s="1"/>
      <c r="I36" s="2"/>
      <c r="J36" s="1"/>
      <c r="K36" s="1"/>
      <c r="L36" s="1"/>
      <c r="M36" s="1"/>
      <c r="N36" s="1"/>
      <c r="O36" s="1"/>
      <c r="P36" s="1"/>
      <c r="Q36" s="1"/>
      <c r="R36" s="1"/>
      <c r="S36" s="1"/>
      <c r="T36" s="1"/>
      <c r="U36" s="1"/>
      <c r="V36" s="1"/>
      <c r="W36" s="1"/>
      <c r="X36" s="1"/>
    </row>
    <row x14ac:dyDescent="0.25" r="37" customHeight="1" ht="18.75">
      <c r="A37" s="1"/>
      <c r="B37" s="1"/>
      <c r="C37" s="3" t="s">
        <v>97</v>
      </c>
      <c r="D37" s="3" t="s">
        <v>103</v>
      </c>
      <c r="E37" s="3" t="s">
        <v>15</v>
      </c>
      <c r="F37" s="3" t="s">
        <v>110</v>
      </c>
      <c r="G37" s="1"/>
      <c r="H37" s="1"/>
      <c r="I37" s="2"/>
      <c r="J37" s="1"/>
      <c r="K37" s="1"/>
      <c r="L37" s="1"/>
      <c r="M37" s="1"/>
      <c r="N37" s="1"/>
      <c r="O37" s="1"/>
      <c r="P37" s="1"/>
      <c r="Q37" s="1"/>
      <c r="R37" s="1"/>
      <c r="S37" s="1"/>
      <c r="T37" s="1"/>
      <c r="U37" s="1"/>
      <c r="V37" s="1"/>
      <c r="W37" s="1"/>
      <c r="X37" s="1"/>
    </row>
    <row x14ac:dyDescent="0.25" r="38" customHeight="1" ht="18.75">
      <c r="A38" s="1"/>
      <c r="B38" s="1"/>
      <c r="C38" s="3" t="s">
        <v>108</v>
      </c>
      <c r="D38" s="3" t="s">
        <v>98</v>
      </c>
      <c r="E38" s="3" t="s">
        <v>15</v>
      </c>
      <c r="F38" s="3" t="s">
        <v>111</v>
      </c>
      <c r="G38" s="1"/>
      <c r="H38" s="1"/>
      <c r="I38" s="2"/>
      <c r="J38" s="1"/>
      <c r="K38" s="1"/>
      <c r="L38" s="1"/>
      <c r="M38" s="1"/>
      <c r="N38" s="1"/>
      <c r="O38" s="1"/>
      <c r="P38" s="1"/>
      <c r="Q38" s="1"/>
      <c r="R38" s="1"/>
      <c r="S38" s="1"/>
      <c r="T38" s="1"/>
      <c r="U38" s="1"/>
      <c r="V38" s="1"/>
      <c r="W38" s="1"/>
      <c r="X38" s="1"/>
    </row>
    <row x14ac:dyDescent="0.25" r="39" customHeight="1" ht="18.75">
      <c r="A39" s="1"/>
      <c r="B39" s="1"/>
      <c r="C39" s="3" t="s">
        <v>94</v>
      </c>
      <c r="D39" s="3" t="s">
        <v>112</v>
      </c>
      <c r="E39" s="3" t="s">
        <v>15</v>
      </c>
      <c r="F39" s="3" t="s">
        <v>113</v>
      </c>
      <c r="G39" s="1"/>
      <c r="H39" s="1"/>
      <c r="I39" s="2"/>
      <c r="J39" s="1"/>
      <c r="K39" s="1"/>
      <c r="L39" s="1"/>
      <c r="M39" s="1"/>
      <c r="N39" s="1"/>
      <c r="O39" s="1"/>
      <c r="P39" s="1"/>
      <c r="Q39" s="1"/>
      <c r="R39" s="1"/>
      <c r="S39" s="1"/>
      <c r="T39" s="1"/>
      <c r="U39" s="1"/>
      <c r="V39" s="1"/>
      <c r="W39" s="1"/>
      <c r="X39" s="1"/>
    </row>
    <row x14ac:dyDescent="0.25" r="40" customHeight="1" ht="18.75">
      <c r="A40" s="1"/>
      <c r="B40" s="1"/>
      <c r="C40" s="3" t="s">
        <v>94</v>
      </c>
      <c r="D40" s="3" t="s">
        <v>101</v>
      </c>
      <c r="E40" s="3" t="s">
        <v>15</v>
      </c>
      <c r="F40" s="3" t="s">
        <v>114</v>
      </c>
      <c r="G40" s="1"/>
      <c r="H40" s="1"/>
      <c r="I40" s="2"/>
      <c r="J40" s="1"/>
      <c r="K40" s="1"/>
      <c r="L40" s="1"/>
      <c r="M40" s="1"/>
      <c r="N40" s="1"/>
      <c r="O40" s="1"/>
      <c r="P40" s="1"/>
      <c r="Q40" s="1"/>
      <c r="R40" s="1"/>
      <c r="S40" s="1"/>
      <c r="T40" s="1"/>
      <c r="U40" s="1"/>
      <c r="V40" s="1"/>
      <c r="W40" s="1"/>
      <c r="X40" s="1"/>
    </row>
    <row x14ac:dyDescent="0.25" r="41" customHeight="1" ht="18.75">
      <c r="A41" s="1"/>
      <c r="B41" s="1"/>
      <c r="C41" s="3" t="s">
        <v>100</v>
      </c>
      <c r="D41" s="3" t="s">
        <v>98</v>
      </c>
      <c r="E41" s="3" t="s">
        <v>15</v>
      </c>
      <c r="F41" s="3" t="s">
        <v>115</v>
      </c>
      <c r="G41" s="1"/>
      <c r="H41" s="1"/>
      <c r="I41" s="2"/>
      <c r="J41" s="1"/>
      <c r="K41" s="1"/>
      <c r="L41" s="1"/>
      <c r="M41" s="1"/>
      <c r="N41" s="1"/>
      <c r="O41" s="1"/>
      <c r="P41" s="1"/>
      <c r="Q41" s="1"/>
      <c r="R41" s="1"/>
      <c r="S41" s="1"/>
      <c r="T41" s="1"/>
      <c r="U41" s="1"/>
      <c r="V41" s="1"/>
      <c r="W41" s="1"/>
      <c r="X41" s="1"/>
    </row>
    <row x14ac:dyDescent="0.25" r="42" customHeight="1" ht="18.75">
      <c r="A42" s="1"/>
      <c r="B42" s="1"/>
      <c r="C42" s="3" t="s">
        <v>100</v>
      </c>
      <c r="D42" s="3" t="s">
        <v>103</v>
      </c>
      <c r="E42" s="3" t="s">
        <v>15</v>
      </c>
      <c r="F42" s="3" t="s">
        <v>116</v>
      </c>
      <c r="G42" s="1"/>
      <c r="H42" s="1"/>
      <c r="I42" s="2"/>
      <c r="J42" s="1"/>
      <c r="K42" s="1"/>
      <c r="L42" s="1"/>
      <c r="M42" s="1"/>
      <c r="N42" s="1"/>
      <c r="O42" s="1"/>
      <c r="P42" s="1"/>
      <c r="Q42" s="1"/>
      <c r="R42" s="1"/>
      <c r="S42" s="1"/>
      <c r="T42" s="1"/>
      <c r="U42" s="1"/>
      <c r="V42" s="1"/>
      <c r="W42" s="1"/>
      <c r="X42" s="1"/>
    </row>
    <row x14ac:dyDescent="0.25" r="43" customHeight="1" ht="18.75">
      <c r="A43" s="1"/>
      <c r="B43" s="1"/>
      <c r="C43" s="3" t="s">
        <v>117</v>
      </c>
      <c r="D43" s="3" t="s">
        <v>118</v>
      </c>
      <c r="E43" s="1"/>
      <c r="F43" s="1"/>
      <c r="G43" s="1"/>
      <c r="H43" s="1"/>
      <c r="I43" s="2"/>
      <c r="J43" s="1"/>
      <c r="K43" s="1"/>
      <c r="L43" s="1"/>
      <c r="M43" s="1"/>
      <c r="N43" s="1"/>
      <c r="O43" s="1"/>
      <c r="P43" s="1"/>
      <c r="Q43" s="1"/>
      <c r="R43" s="1"/>
      <c r="S43" s="1"/>
      <c r="T43" s="1"/>
      <c r="U43" s="1"/>
      <c r="V43" s="1"/>
      <c r="W43" s="1"/>
      <c r="X43" s="1"/>
    </row>
    <row x14ac:dyDescent="0.25" r="44" customHeight="1" ht="18.75">
      <c r="A44" s="1"/>
      <c r="B44" s="1"/>
      <c r="C44" s="3" t="s">
        <v>106</v>
      </c>
      <c r="D44" s="3" t="s">
        <v>98</v>
      </c>
      <c r="E44" s="1"/>
      <c r="F44" s="1"/>
      <c r="G44" s="1"/>
      <c r="H44" s="1"/>
      <c r="I44" s="2"/>
      <c r="J44" s="1"/>
      <c r="K44" s="1"/>
      <c r="L44" s="1"/>
      <c r="M44" s="1"/>
      <c r="N44" s="1"/>
      <c r="O44" s="1"/>
      <c r="P44" s="1"/>
      <c r="Q44" s="1"/>
      <c r="R44" s="1"/>
      <c r="S44" s="1"/>
      <c r="T44" s="1"/>
      <c r="U44" s="1"/>
      <c r="V44" s="1"/>
      <c r="W44" s="1"/>
      <c r="X44" s="1"/>
    </row>
    <row x14ac:dyDescent="0.25" r="45" customHeight="1" ht="18.75">
      <c r="A45" s="1"/>
      <c r="B45" s="1"/>
      <c r="C45" s="3" t="s">
        <v>94</v>
      </c>
      <c r="D45" s="3" t="s">
        <v>119</v>
      </c>
      <c r="E45" s="1"/>
      <c r="F45" s="1"/>
      <c r="G45" s="1"/>
      <c r="H45" s="1"/>
      <c r="I45" s="2"/>
      <c r="J45" s="1"/>
      <c r="K45" s="1"/>
      <c r="L45" s="1"/>
      <c r="M45" s="1"/>
      <c r="N45" s="1"/>
      <c r="O45" s="1"/>
      <c r="P45" s="1"/>
      <c r="Q45" s="1"/>
      <c r="R45" s="1"/>
      <c r="S45" s="1"/>
      <c r="T45" s="1"/>
      <c r="U45" s="1"/>
      <c r="V45" s="1"/>
      <c r="W45" s="1"/>
      <c r="X45" s="1"/>
    </row>
    <row x14ac:dyDescent="0.25" r="46" customHeight="1" ht="18.75">
      <c r="A46" s="1"/>
      <c r="B46" s="1"/>
      <c r="C46" s="3" t="s">
        <v>120</v>
      </c>
      <c r="D46" s="3" t="s">
        <v>103</v>
      </c>
      <c r="E46" s="1"/>
      <c r="F46" s="1"/>
      <c r="G46" s="1"/>
      <c r="H46" s="1"/>
      <c r="I46" s="2"/>
      <c r="J46" s="1"/>
      <c r="K46" s="1"/>
      <c r="L46" s="1"/>
      <c r="M46" s="1"/>
      <c r="N46" s="1"/>
      <c r="O46" s="1"/>
      <c r="P46" s="1"/>
      <c r="Q46" s="1"/>
      <c r="R46" s="1"/>
      <c r="S46" s="1"/>
      <c r="T46" s="1"/>
      <c r="U46" s="1"/>
      <c r="V46" s="1"/>
      <c r="W46" s="1"/>
      <c r="X46" s="1"/>
    </row>
    <row x14ac:dyDescent="0.25" r="47" customHeight="1" ht="18.75">
      <c r="A47" s="1"/>
      <c r="B47" s="1"/>
      <c r="C47" s="3" t="s">
        <v>97</v>
      </c>
      <c r="D47" s="3" t="s">
        <v>112</v>
      </c>
      <c r="E47" s="1"/>
      <c r="F47" s="1"/>
      <c r="G47" s="1"/>
      <c r="H47" s="1"/>
      <c r="I47" s="2"/>
      <c r="J47" s="1"/>
      <c r="K47" s="1"/>
      <c r="L47" s="1"/>
      <c r="M47" s="1"/>
      <c r="N47" s="1"/>
      <c r="O47" s="1"/>
      <c r="P47" s="1"/>
      <c r="Q47" s="1"/>
      <c r="R47" s="1"/>
      <c r="S47" s="1"/>
      <c r="T47" s="1"/>
      <c r="U47" s="1"/>
      <c r="V47" s="1"/>
      <c r="W47" s="1"/>
      <c r="X47" s="1"/>
    </row>
    <row x14ac:dyDescent="0.25" r="48" customHeight="1" ht="18.75">
      <c r="A48" s="1"/>
      <c r="B48" s="1"/>
      <c r="C48" s="3" t="s">
        <v>121</v>
      </c>
      <c r="D48" s="3" t="s">
        <v>118</v>
      </c>
      <c r="E48" s="1"/>
      <c r="F48" s="1"/>
      <c r="G48" s="1"/>
      <c r="H48" s="1"/>
      <c r="I48" s="2"/>
      <c r="J48" s="1"/>
      <c r="K48" s="1"/>
      <c r="L48" s="1"/>
      <c r="M48" s="1"/>
      <c r="N48" s="1"/>
      <c r="O48" s="1"/>
      <c r="P48" s="1"/>
      <c r="Q48" s="1"/>
      <c r="R48" s="1"/>
      <c r="S48" s="1"/>
      <c r="T48" s="1"/>
      <c r="U48" s="1"/>
      <c r="V48" s="1"/>
      <c r="W48" s="1"/>
      <c r="X48" s="1"/>
    </row>
    <row x14ac:dyDescent="0.25" r="49" customHeight="1" ht="18.75">
      <c r="A49" s="1"/>
      <c r="B49" s="1"/>
      <c r="C49" s="3" t="s">
        <v>122</v>
      </c>
      <c r="D49" s="3" t="s">
        <v>123</v>
      </c>
      <c r="E49" s="1"/>
      <c r="F49" s="1"/>
      <c r="G49" s="1"/>
      <c r="H49" s="1"/>
      <c r="I49" s="2"/>
      <c r="J49" s="1"/>
      <c r="K49" s="1"/>
      <c r="L49" s="1"/>
      <c r="M49" s="1"/>
      <c r="N49" s="1"/>
      <c r="O49" s="1"/>
      <c r="P49" s="1"/>
      <c r="Q49" s="1"/>
      <c r="R49" s="1"/>
      <c r="S49" s="1"/>
      <c r="T49" s="1"/>
      <c r="U49" s="1"/>
      <c r="V49" s="1"/>
      <c r="W49" s="1"/>
      <c r="X49" s="1"/>
    </row>
    <row x14ac:dyDescent="0.25" r="50" customHeight="1" ht="18.75">
      <c r="A50" s="1"/>
      <c r="B50" s="1"/>
      <c r="C50" s="3" t="s">
        <v>106</v>
      </c>
      <c r="D50" s="3" t="s">
        <v>123</v>
      </c>
      <c r="E50" s="1"/>
      <c r="F50" s="1"/>
      <c r="G50" s="1"/>
      <c r="H50" s="1"/>
      <c r="I50" s="2"/>
      <c r="J50" s="1"/>
      <c r="K50" s="1"/>
      <c r="L50" s="1"/>
      <c r="M50" s="1"/>
      <c r="N50" s="1"/>
      <c r="O50" s="1"/>
      <c r="P50" s="1"/>
      <c r="Q50" s="1"/>
      <c r="R50" s="1"/>
      <c r="S50" s="1"/>
      <c r="T50" s="1"/>
      <c r="U50" s="1"/>
      <c r="V50" s="1"/>
      <c r="W50" s="1"/>
      <c r="X50" s="1"/>
    </row>
    <row x14ac:dyDescent="0.25" r="51" customHeight="1" ht="18.75">
      <c r="A51" s="1"/>
      <c r="B51" s="1"/>
      <c r="C51" s="3" t="s">
        <v>94</v>
      </c>
      <c r="D51" s="3" t="s">
        <v>124</v>
      </c>
      <c r="E51" s="1"/>
      <c r="F51" s="1"/>
      <c r="G51" s="1"/>
      <c r="H51" s="1"/>
      <c r="I51" s="2"/>
      <c r="J51" s="1"/>
      <c r="K51" s="1"/>
      <c r="L51" s="1"/>
      <c r="M51" s="1"/>
      <c r="N51" s="1"/>
      <c r="O51" s="1"/>
      <c r="P51" s="1"/>
      <c r="Q51" s="1"/>
      <c r="R51" s="1"/>
      <c r="S51" s="1"/>
      <c r="T51" s="1"/>
      <c r="U51" s="1"/>
      <c r="V51" s="1"/>
      <c r="W51" s="1"/>
      <c r="X51" s="1"/>
    </row>
    <row x14ac:dyDescent="0.25" r="52" customHeight="1" ht="18.75">
      <c r="A52" s="1"/>
      <c r="B52" s="1"/>
      <c r="C52" s="3" t="s">
        <v>106</v>
      </c>
      <c r="D52" s="3" t="s">
        <v>124</v>
      </c>
      <c r="E52" s="1"/>
      <c r="F52" s="1"/>
      <c r="G52" s="1"/>
      <c r="H52" s="1"/>
      <c r="I52" s="2"/>
      <c r="J52" s="1"/>
      <c r="K52" s="1"/>
      <c r="L52" s="1"/>
      <c r="M52" s="1"/>
      <c r="N52" s="1"/>
      <c r="O52" s="1"/>
      <c r="P52" s="1"/>
      <c r="Q52" s="1"/>
      <c r="R52" s="1"/>
      <c r="S52" s="1"/>
      <c r="T52" s="1"/>
      <c r="U52" s="1"/>
      <c r="V52" s="1"/>
      <c r="W52" s="1"/>
      <c r="X52" s="1"/>
    </row>
    <row x14ac:dyDescent="0.25" r="53" customHeight="1" ht="18.75">
      <c r="A53" s="1"/>
      <c r="B53" s="1"/>
      <c r="C53" s="3" t="s">
        <v>100</v>
      </c>
      <c r="D53" s="3" t="s">
        <v>124</v>
      </c>
      <c r="E53" s="1"/>
      <c r="F53" s="1"/>
      <c r="G53" s="1"/>
      <c r="H53" s="1"/>
      <c r="I53" s="2"/>
      <c r="J53" s="1"/>
      <c r="K53" s="1"/>
      <c r="L53" s="1"/>
      <c r="M53" s="1"/>
      <c r="N53" s="1"/>
      <c r="O53" s="1"/>
      <c r="P53" s="1"/>
      <c r="Q53" s="1"/>
      <c r="R53" s="1"/>
      <c r="S53" s="1"/>
      <c r="T53" s="1"/>
      <c r="U53" s="1"/>
      <c r="V53" s="1"/>
      <c r="W53" s="1"/>
      <c r="X53" s="1"/>
    </row>
    <row x14ac:dyDescent="0.25" r="54" customHeight="1" ht="18.75">
      <c r="A54" s="1"/>
      <c r="B54" s="1"/>
      <c r="C54" s="3" t="s">
        <v>94</v>
      </c>
      <c r="D54" s="3" t="s">
        <v>125</v>
      </c>
      <c r="E54" s="1"/>
      <c r="F54" s="1"/>
      <c r="G54" s="1"/>
      <c r="H54" s="1"/>
      <c r="I54" s="2"/>
      <c r="J54" s="1"/>
      <c r="K54" s="1"/>
      <c r="L54" s="1"/>
      <c r="M54" s="1"/>
      <c r="N54" s="1"/>
      <c r="O54" s="1"/>
      <c r="P54" s="1"/>
      <c r="Q54" s="1"/>
      <c r="R54" s="1"/>
      <c r="S54" s="1"/>
      <c r="T54" s="1"/>
      <c r="U54" s="1"/>
      <c r="V54" s="1"/>
      <c r="W54" s="1"/>
      <c r="X54" s="1"/>
    </row>
    <row x14ac:dyDescent="0.25" r="55" customHeight="1" ht="18.75">
      <c r="A55" s="1"/>
      <c r="B55" s="1"/>
      <c r="C55" s="3" t="s">
        <v>106</v>
      </c>
      <c r="D55" s="3" t="s">
        <v>101</v>
      </c>
      <c r="E55" s="1"/>
      <c r="F55" s="1"/>
      <c r="G55" s="1"/>
      <c r="H55" s="1"/>
      <c r="I55" s="2"/>
      <c r="J55" s="1"/>
      <c r="K55" s="1"/>
      <c r="L55" s="1"/>
      <c r="M55" s="1"/>
      <c r="N55" s="1"/>
      <c r="O55" s="1"/>
      <c r="P55" s="1"/>
      <c r="Q55" s="1"/>
      <c r="R55" s="1"/>
      <c r="S55" s="1"/>
      <c r="T55" s="1"/>
      <c r="U55" s="1"/>
      <c r="V55" s="1"/>
      <c r="W55" s="1"/>
      <c r="X55" s="1"/>
    </row>
    <row x14ac:dyDescent="0.25" r="56" customHeight="1" ht="18.75">
      <c r="A56" s="1"/>
      <c r="B56" s="1"/>
      <c r="C56" s="3" t="s">
        <v>106</v>
      </c>
      <c r="D56" s="3" t="s">
        <v>125</v>
      </c>
      <c r="E56" s="1"/>
      <c r="F56" s="1"/>
      <c r="G56" s="1"/>
      <c r="H56" s="1"/>
      <c r="I56" s="2"/>
      <c r="J56" s="1"/>
      <c r="K56" s="1"/>
      <c r="L56" s="1"/>
      <c r="M56" s="1"/>
      <c r="N56" s="1"/>
      <c r="O56" s="1"/>
      <c r="P56" s="1"/>
      <c r="Q56" s="1"/>
      <c r="R56" s="1"/>
      <c r="S56" s="1"/>
      <c r="T56" s="1"/>
      <c r="U56" s="1"/>
      <c r="V56" s="1"/>
      <c r="W56" s="1"/>
      <c r="X56" s="1"/>
    </row>
    <row x14ac:dyDescent="0.25" r="57" customHeight="1" ht="18.75">
      <c r="A57" s="1"/>
      <c r="B57" s="1"/>
      <c r="C57" s="3" t="s">
        <v>108</v>
      </c>
      <c r="D57" s="3" t="s">
        <v>101</v>
      </c>
      <c r="E57" s="1"/>
      <c r="F57" s="1"/>
      <c r="G57" s="1"/>
      <c r="H57" s="1"/>
      <c r="I57" s="2"/>
      <c r="J57" s="1"/>
      <c r="K57" s="1"/>
      <c r="L57" s="1"/>
      <c r="M57" s="1"/>
      <c r="N57" s="1"/>
      <c r="O57" s="1"/>
      <c r="P57" s="1"/>
      <c r="Q57" s="1"/>
      <c r="R57" s="1"/>
      <c r="S57" s="1"/>
      <c r="T57" s="1"/>
      <c r="U57" s="1"/>
      <c r="V57" s="1"/>
      <c r="W57" s="1"/>
      <c r="X57" s="1"/>
    </row>
    <row x14ac:dyDescent="0.25" r="58" customHeight="1" ht="18.75">
      <c r="A58" s="1"/>
      <c r="B58" s="1"/>
      <c r="C58" s="3" t="s">
        <v>100</v>
      </c>
      <c r="D58" s="3" t="s">
        <v>125</v>
      </c>
      <c r="E58" s="1"/>
      <c r="F58" s="1"/>
      <c r="G58" s="1"/>
      <c r="H58" s="1"/>
      <c r="I58" s="2"/>
      <c r="J58" s="1"/>
      <c r="K58" s="1"/>
      <c r="L58" s="1"/>
      <c r="M58" s="1"/>
      <c r="N58" s="1"/>
      <c r="O58" s="1"/>
      <c r="P58" s="1"/>
      <c r="Q58" s="1"/>
      <c r="R58" s="1"/>
      <c r="S58" s="1"/>
      <c r="T58" s="1"/>
      <c r="U58" s="1"/>
      <c r="V58" s="1"/>
      <c r="W58" s="1"/>
      <c r="X58" s="1"/>
    </row>
    <row x14ac:dyDescent="0.25" r="59" customHeight="1" ht="18.75">
      <c r="A59" s="1"/>
      <c r="B59" s="1"/>
      <c r="C59" s="3" t="s">
        <v>100</v>
      </c>
      <c r="D59" s="3" t="s">
        <v>119</v>
      </c>
      <c r="E59" s="1"/>
      <c r="F59" s="1"/>
      <c r="G59" s="1"/>
      <c r="H59" s="1"/>
      <c r="I59" s="2"/>
      <c r="J59" s="1"/>
      <c r="K59" s="1"/>
      <c r="L59" s="1"/>
      <c r="M59" s="1"/>
      <c r="N59" s="1"/>
      <c r="O59" s="1"/>
      <c r="P59" s="1"/>
      <c r="Q59" s="1"/>
      <c r="R59" s="1"/>
      <c r="S59" s="1"/>
      <c r="T59" s="1"/>
      <c r="U59" s="1"/>
      <c r="V59" s="1"/>
      <c r="W59" s="1"/>
      <c r="X59" s="1"/>
    </row>
    <row x14ac:dyDescent="0.25" r="60" customHeight="1" ht="18.75">
      <c r="A60" s="1"/>
      <c r="B60" s="1"/>
      <c r="C60" s="3" t="s">
        <v>108</v>
      </c>
      <c r="D60" s="3" t="s">
        <v>112</v>
      </c>
      <c r="E60" s="1"/>
      <c r="F60" s="1"/>
      <c r="G60" s="1"/>
      <c r="H60" s="1"/>
      <c r="I60" s="2"/>
      <c r="J60" s="1"/>
      <c r="K60" s="1"/>
      <c r="L60" s="1"/>
      <c r="M60" s="1"/>
      <c r="N60" s="1"/>
      <c r="O60" s="1"/>
      <c r="P60" s="1"/>
      <c r="Q60" s="1"/>
      <c r="R60" s="1"/>
      <c r="S60" s="1"/>
      <c r="T60" s="1"/>
      <c r="U60" s="1"/>
      <c r="V60" s="1"/>
      <c r="W60" s="1"/>
      <c r="X60" s="1"/>
    </row>
    <row x14ac:dyDescent="0.25" r="61" customHeight="1" ht="18.75">
      <c r="A61" s="1"/>
      <c r="B61" s="1"/>
      <c r="C61" s="3" t="s">
        <v>106</v>
      </c>
      <c r="D61" s="3" t="s">
        <v>95</v>
      </c>
      <c r="E61" s="1"/>
      <c r="F61" s="1"/>
      <c r="G61" s="1"/>
      <c r="H61" s="1"/>
      <c r="I61" s="2"/>
      <c r="J61" s="1"/>
      <c r="K61" s="1"/>
      <c r="L61" s="1"/>
      <c r="M61" s="1"/>
      <c r="N61" s="1"/>
      <c r="O61" s="1"/>
      <c r="P61" s="1"/>
      <c r="Q61" s="1"/>
      <c r="R61" s="1"/>
      <c r="S61" s="1"/>
      <c r="T61" s="1"/>
      <c r="U61" s="1"/>
      <c r="V61" s="1"/>
      <c r="W61" s="1"/>
      <c r="X61" s="1"/>
    </row>
    <row x14ac:dyDescent="0.25" r="62" customHeight="1" ht="18.75">
      <c r="A62" s="1"/>
      <c r="B62" s="1"/>
      <c r="C62" s="3" t="s">
        <v>94</v>
      </c>
      <c r="D62" s="3" t="s">
        <v>126</v>
      </c>
      <c r="E62" s="1"/>
      <c r="F62" s="1"/>
      <c r="G62" s="1"/>
      <c r="H62" s="1"/>
      <c r="I62" s="2"/>
      <c r="J62" s="1"/>
      <c r="K62" s="1"/>
      <c r="L62" s="1"/>
      <c r="M62" s="1"/>
      <c r="N62" s="1"/>
      <c r="O62" s="1"/>
      <c r="P62" s="1"/>
      <c r="Q62" s="1"/>
      <c r="R62" s="1"/>
      <c r="S62" s="1"/>
      <c r="T62" s="1"/>
      <c r="U62" s="1"/>
      <c r="V62" s="1"/>
      <c r="W62" s="1"/>
      <c r="X62" s="1"/>
    </row>
    <row x14ac:dyDescent="0.25" r="63" customHeight="1" ht="18.75">
      <c r="A63" s="1"/>
      <c r="B63" s="1"/>
      <c r="C63" s="3" t="s">
        <v>106</v>
      </c>
      <c r="D63" s="3" t="s">
        <v>112</v>
      </c>
      <c r="E63" s="1"/>
      <c r="F63" s="1"/>
      <c r="G63" s="1"/>
      <c r="H63" s="1"/>
      <c r="I63" s="2"/>
      <c r="J63" s="1"/>
      <c r="K63" s="1"/>
      <c r="L63" s="1"/>
      <c r="M63" s="1"/>
      <c r="N63" s="1"/>
      <c r="O63" s="1"/>
      <c r="P63" s="1"/>
      <c r="Q63" s="1"/>
      <c r="R63" s="1"/>
      <c r="S63" s="1"/>
      <c r="T63" s="1"/>
      <c r="U63" s="1"/>
      <c r="V63" s="1"/>
      <c r="W63" s="1"/>
      <c r="X63" s="1"/>
    </row>
    <row x14ac:dyDescent="0.25" r="64" customHeight="1" ht="18.75">
      <c r="A64" s="1"/>
      <c r="B64" s="1"/>
      <c r="C64" s="3" t="s">
        <v>100</v>
      </c>
      <c r="D64" s="3" t="s">
        <v>95</v>
      </c>
      <c r="E64" s="1"/>
      <c r="F64" s="1"/>
      <c r="G64" s="1"/>
      <c r="H64" s="1"/>
      <c r="I64" s="2"/>
      <c r="J64" s="1"/>
      <c r="K64" s="1"/>
      <c r="L64" s="1"/>
      <c r="M64" s="1"/>
      <c r="N64" s="1"/>
      <c r="O64" s="1"/>
      <c r="P64" s="1"/>
      <c r="Q64" s="1"/>
      <c r="R64" s="1"/>
      <c r="S64" s="1"/>
      <c r="T64" s="1"/>
      <c r="U64" s="1"/>
      <c r="V64" s="1"/>
      <c r="W64" s="1"/>
      <c r="X64" s="1"/>
    </row>
    <row x14ac:dyDescent="0.25" r="65" customHeight="1" ht="18.75">
      <c r="A65" s="1"/>
      <c r="B65" s="1"/>
      <c r="C65" s="3" t="s">
        <v>97</v>
      </c>
      <c r="D65" s="3" t="s">
        <v>126</v>
      </c>
      <c r="E65" s="1"/>
      <c r="F65" s="1"/>
      <c r="G65" s="1"/>
      <c r="H65" s="1"/>
      <c r="I65" s="2"/>
      <c r="J65" s="1"/>
      <c r="K65" s="1"/>
      <c r="L65" s="1"/>
      <c r="M65" s="1"/>
      <c r="N65" s="1"/>
      <c r="O65" s="1"/>
      <c r="P65" s="1"/>
      <c r="Q65" s="1"/>
      <c r="R65" s="1"/>
      <c r="S65" s="1"/>
      <c r="T65" s="1"/>
      <c r="U65" s="1"/>
      <c r="V65" s="1"/>
      <c r="W65" s="1"/>
      <c r="X65" s="1"/>
    </row>
    <row x14ac:dyDescent="0.25" r="66" customHeight="1" ht="18.75">
      <c r="A66" s="1"/>
      <c r="B66" s="1"/>
      <c r="C66" s="3" t="s">
        <v>94</v>
      </c>
      <c r="D66" s="3" t="s">
        <v>123</v>
      </c>
      <c r="E66" s="1"/>
      <c r="F66" s="1"/>
      <c r="G66" s="1"/>
      <c r="H66" s="1"/>
      <c r="I66" s="2"/>
      <c r="J66" s="1"/>
      <c r="K66" s="1"/>
      <c r="L66" s="1"/>
      <c r="M66" s="1"/>
      <c r="N66" s="1"/>
      <c r="O66" s="1"/>
      <c r="P66" s="1"/>
      <c r="Q66" s="1"/>
      <c r="R66" s="1"/>
      <c r="S66" s="1"/>
      <c r="T66" s="1"/>
      <c r="U66" s="1"/>
      <c r="V66" s="1"/>
      <c r="W66" s="1"/>
      <c r="X66" s="1"/>
    </row>
    <row x14ac:dyDescent="0.25" r="67" customHeight="1" ht="18.75">
      <c r="A67" s="1"/>
      <c r="B67" s="1"/>
      <c r="C67" s="3" t="s">
        <v>127</v>
      </c>
      <c r="D67" s="3" t="s">
        <v>128</v>
      </c>
      <c r="E67" s="1"/>
      <c r="F67" s="1"/>
      <c r="G67" s="1"/>
      <c r="H67" s="1"/>
      <c r="I67" s="2"/>
      <c r="J67" s="1"/>
      <c r="K67" s="1"/>
      <c r="L67" s="1"/>
      <c r="M67" s="1"/>
      <c r="N67" s="1"/>
      <c r="O67" s="1"/>
      <c r="P67" s="1"/>
      <c r="Q67" s="1"/>
      <c r="R67" s="1"/>
      <c r="S67" s="1"/>
      <c r="T67" s="1"/>
      <c r="U67" s="1"/>
      <c r="V67" s="1"/>
      <c r="W67" s="1"/>
      <c r="X67" s="1"/>
    </row>
    <row x14ac:dyDescent="0.25" r="68" customHeight="1" ht="18.75">
      <c r="A68" s="1"/>
      <c r="B68" s="1"/>
      <c r="C68" s="3" t="s">
        <v>127</v>
      </c>
      <c r="D68" s="3" t="s">
        <v>129</v>
      </c>
      <c r="E68" s="1"/>
      <c r="F68" s="1"/>
      <c r="G68" s="1"/>
      <c r="H68" s="1"/>
      <c r="I68" s="2"/>
      <c r="J68" s="1"/>
      <c r="K68" s="1"/>
      <c r="L68" s="1"/>
      <c r="M68" s="1"/>
      <c r="N68" s="1"/>
      <c r="O68" s="1"/>
      <c r="P68" s="1"/>
      <c r="Q68" s="1"/>
      <c r="R68" s="1"/>
      <c r="S68" s="1"/>
      <c r="T68" s="1"/>
      <c r="U68" s="1"/>
      <c r="V68" s="1"/>
      <c r="W68" s="1"/>
      <c r="X68" s="1"/>
    </row>
    <row x14ac:dyDescent="0.25" r="69" customHeight="1" ht="18.75">
      <c r="A69" s="1"/>
      <c r="B69" s="1"/>
      <c r="C69" s="3" t="s">
        <v>127</v>
      </c>
      <c r="D69" s="3" t="s">
        <v>130</v>
      </c>
      <c r="E69" s="1"/>
      <c r="F69" s="1"/>
      <c r="G69" s="1"/>
      <c r="H69" s="1"/>
      <c r="I69" s="2"/>
      <c r="J69" s="1"/>
      <c r="K69" s="1"/>
      <c r="L69" s="1"/>
      <c r="M69" s="1"/>
      <c r="N69" s="1"/>
      <c r="O69" s="1"/>
      <c r="P69" s="1"/>
      <c r="Q69" s="1"/>
      <c r="R69" s="1"/>
      <c r="S69" s="1"/>
      <c r="T69" s="1"/>
      <c r="U69" s="1"/>
      <c r="V69" s="1"/>
      <c r="W69" s="1"/>
      <c r="X69" s="1"/>
    </row>
    <row x14ac:dyDescent="0.25" r="70" customHeight="1" ht="18.75">
      <c r="A70" s="1"/>
      <c r="B70" s="1"/>
      <c r="C70" s="3" t="s">
        <v>131</v>
      </c>
      <c r="D70" s="3" t="s">
        <v>132</v>
      </c>
      <c r="E70" s="1"/>
      <c r="F70" s="1"/>
      <c r="G70" s="1"/>
      <c r="H70" s="1"/>
      <c r="I70" s="2"/>
      <c r="J70" s="1"/>
      <c r="K70" s="1"/>
      <c r="L70" s="1"/>
      <c r="M70" s="1"/>
      <c r="N70" s="1"/>
      <c r="O70" s="1"/>
      <c r="P70" s="1"/>
      <c r="Q70" s="1"/>
      <c r="R70" s="1"/>
      <c r="S70" s="1"/>
      <c r="T70" s="1"/>
      <c r="U70" s="1"/>
      <c r="V70" s="1"/>
      <c r="W70" s="1"/>
      <c r="X70" s="1"/>
    </row>
    <row x14ac:dyDescent="0.25" r="71" customHeight="1" ht="18.75">
      <c r="A71" s="1"/>
      <c r="B71" s="1"/>
      <c r="C71" s="3" t="s">
        <v>127</v>
      </c>
      <c r="D71" s="3" t="s">
        <v>133</v>
      </c>
      <c r="E71" s="1"/>
      <c r="F71" s="1"/>
      <c r="G71" s="1"/>
      <c r="H71" s="1"/>
      <c r="I71" s="2"/>
      <c r="J71" s="1"/>
      <c r="K71" s="1"/>
      <c r="L71" s="1"/>
      <c r="M71" s="1"/>
      <c r="N71" s="1"/>
      <c r="O71" s="1"/>
      <c r="P71" s="1"/>
      <c r="Q71" s="1"/>
      <c r="R71" s="1"/>
      <c r="S71" s="1"/>
      <c r="T71" s="1"/>
      <c r="U71" s="1"/>
      <c r="V71" s="1"/>
      <c r="W71" s="1"/>
      <c r="X71" s="1"/>
    </row>
    <row x14ac:dyDescent="0.25" r="72" customHeight="1" ht="18.75">
      <c r="A72" s="1"/>
      <c r="B72" s="1"/>
      <c r="C72" s="3" t="s">
        <v>127</v>
      </c>
      <c r="D72" s="3" t="s">
        <v>134</v>
      </c>
      <c r="E72" s="1"/>
      <c r="F72" s="1"/>
      <c r="G72" s="1"/>
      <c r="H72" s="1"/>
      <c r="I72" s="2"/>
      <c r="J72" s="1"/>
      <c r="K72" s="1"/>
      <c r="L72" s="1"/>
      <c r="M72" s="1"/>
      <c r="N72" s="1"/>
      <c r="O72" s="1"/>
      <c r="P72" s="1"/>
      <c r="Q72" s="1"/>
      <c r="R72" s="1"/>
      <c r="S72" s="1"/>
      <c r="T72" s="1"/>
      <c r="U72" s="1"/>
      <c r="V72" s="1"/>
      <c r="W72" s="1"/>
      <c r="X72" s="1"/>
    </row>
    <row x14ac:dyDescent="0.25" r="73" customHeight="1" ht="18.75">
      <c r="A73" s="1"/>
      <c r="B73" s="1"/>
      <c r="C73" s="3" t="s">
        <v>127</v>
      </c>
      <c r="D73" s="3" t="s">
        <v>135</v>
      </c>
      <c r="E73" s="1"/>
      <c r="F73" s="1"/>
      <c r="G73" s="1"/>
      <c r="H73" s="1"/>
      <c r="I73" s="2"/>
      <c r="J73" s="1"/>
      <c r="K73" s="1"/>
      <c r="L73" s="1"/>
      <c r="M73" s="1"/>
      <c r="N73" s="1"/>
      <c r="O73" s="1"/>
      <c r="P73" s="1"/>
      <c r="Q73" s="1"/>
      <c r="R73" s="1"/>
      <c r="S73" s="1"/>
      <c r="T73" s="1"/>
      <c r="U73" s="1"/>
      <c r="V73" s="1"/>
      <c r="W73" s="1"/>
      <c r="X73" s="1"/>
    </row>
    <row x14ac:dyDescent="0.25" r="74" customHeight="1" ht="18.75">
      <c r="A74" s="1"/>
      <c r="B74" s="1"/>
      <c r="C74" s="3" t="s">
        <v>127</v>
      </c>
      <c r="D74" s="3" t="s">
        <v>136</v>
      </c>
      <c r="E74" s="1"/>
      <c r="F74" s="1"/>
      <c r="G74" s="1"/>
      <c r="H74" s="1"/>
      <c r="I74" s="2"/>
      <c r="J74" s="1"/>
      <c r="K74" s="1"/>
      <c r="L74" s="1"/>
      <c r="M74" s="1"/>
      <c r="N74" s="1"/>
      <c r="O74" s="1"/>
      <c r="P74" s="1"/>
      <c r="Q74" s="1"/>
      <c r="R74" s="1"/>
      <c r="S74" s="1"/>
      <c r="T74" s="1"/>
      <c r="U74" s="1"/>
      <c r="V74" s="1"/>
      <c r="W74" s="1"/>
      <c r="X74" s="1"/>
    </row>
    <row x14ac:dyDescent="0.25" r="75" customHeight="1" ht="18.75">
      <c r="A75" s="1"/>
      <c r="B75" s="1"/>
      <c r="C75" s="3" t="s">
        <v>127</v>
      </c>
      <c r="D75" s="3" t="s">
        <v>132</v>
      </c>
      <c r="E75" s="1"/>
      <c r="F75" s="1"/>
      <c r="G75" s="1"/>
      <c r="H75" s="1"/>
      <c r="I75" s="2"/>
      <c r="J75" s="1"/>
      <c r="K75" s="1"/>
      <c r="L75" s="1"/>
      <c r="M75" s="1"/>
      <c r="N75" s="1"/>
      <c r="O75" s="1"/>
      <c r="P75" s="1"/>
      <c r="Q75" s="1"/>
      <c r="R75" s="1"/>
      <c r="S75" s="1"/>
      <c r="T75" s="1"/>
      <c r="U75" s="1"/>
      <c r="V75" s="1"/>
      <c r="W75" s="1"/>
      <c r="X75" s="1"/>
    </row>
    <row x14ac:dyDescent="0.25" r="76" customHeight="1" ht="18.75">
      <c r="A76" s="1"/>
      <c r="B76" s="1"/>
      <c r="C76" s="3" t="s">
        <v>137</v>
      </c>
      <c r="D76" s="3" t="s">
        <v>138</v>
      </c>
      <c r="E76" s="1"/>
      <c r="F76" s="1"/>
      <c r="G76" s="1"/>
      <c r="H76" s="1"/>
      <c r="I76" s="2"/>
      <c r="J76" s="1"/>
      <c r="K76" s="1"/>
      <c r="L76" s="1"/>
      <c r="M76" s="1"/>
      <c r="N76" s="1"/>
      <c r="O76" s="1"/>
      <c r="P76" s="1"/>
      <c r="Q76" s="1"/>
      <c r="R76" s="1"/>
      <c r="S76" s="1"/>
      <c r="T76" s="1"/>
      <c r="U76" s="1"/>
      <c r="V76" s="1"/>
      <c r="W76" s="1"/>
      <c r="X76" s="1"/>
    </row>
    <row x14ac:dyDescent="0.25" r="77" customHeight="1" ht="18.75">
      <c r="A77" s="1"/>
      <c r="B77" s="1"/>
      <c r="C77" s="3" t="s">
        <v>137</v>
      </c>
      <c r="D77" s="3" t="s">
        <v>139</v>
      </c>
      <c r="E77" s="1"/>
      <c r="F77" s="1"/>
      <c r="G77" s="1"/>
      <c r="H77" s="1"/>
      <c r="I77" s="2"/>
      <c r="J77" s="1"/>
      <c r="K77" s="1"/>
      <c r="L77" s="1"/>
      <c r="M77" s="1"/>
      <c r="N77" s="1"/>
      <c r="O77" s="1"/>
      <c r="P77" s="1"/>
      <c r="Q77" s="1"/>
      <c r="R77" s="1"/>
      <c r="S77" s="1"/>
      <c r="T77" s="1"/>
      <c r="U77" s="1"/>
      <c r="V77" s="1"/>
      <c r="W77" s="1"/>
      <c r="X77" s="1"/>
    </row>
    <row x14ac:dyDescent="0.25" r="78" customHeight="1" ht="18.75">
      <c r="A78" s="1"/>
      <c r="B78" s="1"/>
      <c r="C78" s="3" t="s">
        <v>137</v>
      </c>
      <c r="D78" s="3" t="s">
        <v>140</v>
      </c>
      <c r="E78" s="1"/>
      <c r="F78" s="1"/>
      <c r="G78" s="1"/>
      <c r="H78" s="1"/>
      <c r="I78" s="2"/>
      <c r="J78" s="1"/>
      <c r="K78" s="1"/>
      <c r="L78" s="1"/>
      <c r="M78" s="1"/>
      <c r="N78" s="1"/>
      <c r="O78" s="1"/>
      <c r="P78" s="1"/>
      <c r="Q78" s="1"/>
      <c r="R78" s="1"/>
      <c r="S78" s="1"/>
      <c r="T78" s="1"/>
      <c r="U78" s="1"/>
      <c r="V78" s="1"/>
      <c r="W78" s="1"/>
      <c r="X78" s="1"/>
    </row>
    <row x14ac:dyDescent="0.25" r="79" customHeight="1" ht="18.75">
      <c r="A79" s="1"/>
      <c r="B79" s="1"/>
      <c r="C79" s="3" t="s">
        <v>141</v>
      </c>
      <c r="D79" s="3" t="s">
        <v>142</v>
      </c>
      <c r="E79" s="1"/>
      <c r="F79" s="1"/>
      <c r="G79" s="1"/>
      <c r="H79" s="1"/>
      <c r="I79" s="2"/>
      <c r="J79" s="1"/>
      <c r="K79" s="1"/>
      <c r="L79" s="1"/>
      <c r="M79" s="1"/>
      <c r="N79" s="1"/>
      <c r="O79" s="1"/>
      <c r="P79" s="1"/>
      <c r="Q79" s="1"/>
      <c r="R79" s="1"/>
      <c r="S79" s="1"/>
      <c r="T79" s="1"/>
      <c r="U79" s="1"/>
      <c r="V79" s="1"/>
      <c r="W79" s="1"/>
      <c r="X79" s="1"/>
    </row>
    <row x14ac:dyDescent="0.25" r="80" customHeight="1" ht="18.75">
      <c r="A80" s="1"/>
      <c r="B80" s="1"/>
      <c r="C80" s="1"/>
      <c r="D80" s="1"/>
      <c r="E80" s="1"/>
      <c r="F80" s="1"/>
      <c r="G80" s="1"/>
      <c r="H80" s="1"/>
      <c r="I80" s="2"/>
      <c r="J80" s="1"/>
      <c r="K80" s="1"/>
      <c r="L80" s="1"/>
      <c r="M80" s="1"/>
      <c r="N80" s="1"/>
      <c r="O80" s="1"/>
      <c r="P80" s="1"/>
      <c r="Q80" s="1"/>
      <c r="R80" s="1"/>
      <c r="S80" s="1"/>
      <c r="T80" s="1"/>
      <c r="U80" s="1"/>
      <c r="V80" s="1"/>
      <c r="W80" s="1"/>
      <c r="X80" s="1"/>
    </row>
    <row x14ac:dyDescent="0.25" r="81" customHeight="1" ht="18.75">
      <c r="A81" s="1"/>
      <c r="B81" s="1"/>
      <c r="C81" s="3" t="s">
        <v>143</v>
      </c>
      <c r="D81" s="3" t="s">
        <v>144</v>
      </c>
      <c r="E81" s="1"/>
      <c r="F81" s="1"/>
      <c r="G81" s="1"/>
      <c r="H81" s="1"/>
      <c r="I81" s="2"/>
      <c r="J81" s="1"/>
      <c r="K81" s="1"/>
      <c r="L81" s="1"/>
      <c r="M81" s="1"/>
      <c r="N81" s="1"/>
      <c r="O81" s="1"/>
      <c r="P81" s="1"/>
      <c r="Q81" s="1"/>
      <c r="R81" s="1"/>
      <c r="S81" s="1"/>
      <c r="T81" s="1"/>
      <c r="U81" s="1"/>
      <c r="V81" s="1"/>
      <c r="W81" s="1"/>
      <c r="X81" s="1"/>
    </row>
    <row x14ac:dyDescent="0.25" r="82" customHeight="1" ht="18.75">
      <c r="A82" s="1"/>
      <c r="B82" s="1"/>
      <c r="C82" s="3" t="s">
        <v>145</v>
      </c>
      <c r="D82" s="3" t="s">
        <v>146</v>
      </c>
      <c r="E82" s="1"/>
      <c r="F82" s="1"/>
      <c r="G82" s="1"/>
      <c r="H82" s="1"/>
      <c r="I82" s="2"/>
      <c r="J82" s="1"/>
      <c r="K82" s="1"/>
      <c r="L82" s="1"/>
      <c r="M82" s="1"/>
      <c r="N82" s="1"/>
      <c r="O82" s="1"/>
      <c r="P82" s="1"/>
      <c r="Q82" s="1"/>
      <c r="R82" s="1"/>
      <c r="S82" s="1"/>
      <c r="T82" s="1"/>
      <c r="U82" s="1"/>
      <c r="V82" s="1"/>
      <c r="W82" s="1"/>
      <c r="X82" s="1"/>
    </row>
    <row x14ac:dyDescent="0.25" r="83" customHeight="1" ht="18.75">
      <c r="A83" s="1"/>
      <c r="B83" s="1"/>
      <c r="C83" s="3" t="s">
        <v>147</v>
      </c>
      <c r="D83" s="3" t="s">
        <v>146</v>
      </c>
      <c r="E83" s="1"/>
      <c r="F83" s="1"/>
      <c r="G83" s="1"/>
      <c r="H83" s="1"/>
      <c r="I83" s="2"/>
      <c r="J83" s="1"/>
      <c r="K83" s="1"/>
      <c r="L83" s="1"/>
      <c r="M83" s="1"/>
      <c r="N83" s="1"/>
      <c r="O83" s="1"/>
      <c r="P83" s="1"/>
      <c r="Q83" s="1"/>
      <c r="R83" s="1"/>
      <c r="S83" s="1"/>
      <c r="T83" s="1"/>
      <c r="U83" s="1"/>
      <c r="V83" s="1"/>
      <c r="W83" s="1"/>
      <c r="X83" s="1"/>
    </row>
    <row x14ac:dyDescent="0.25" r="84" customHeight="1" ht="18.75">
      <c r="A84" s="1"/>
      <c r="B84" s="1"/>
      <c r="C84" s="3" t="s">
        <v>143</v>
      </c>
      <c r="D84" s="3" t="s">
        <v>148</v>
      </c>
      <c r="E84" s="1"/>
      <c r="F84" s="1"/>
      <c r="G84" s="1"/>
      <c r="H84" s="1"/>
      <c r="I84" s="2"/>
      <c r="J84" s="1"/>
      <c r="K84" s="1"/>
      <c r="L84" s="1"/>
      <c r="M84" s="1"/>
      <c r="N84" s="1"/>
      <c r="O84" s="1"/>
      <c r="P84" s="1"/>
      <c r="Q84" s="1"/>
      <c r="R84" s="1"/>
      <c r="S84" s="1"/>
      <c r="T84" s="1"/>
      <c r="U84" s="1"/>
      <c r="V84" s="1"/>
      <c r="W84" s="1"/>
      <c r="X84" s="1"/>
    </row>
    <row x14ac:dyDescent="0.25" r="85" customHeight="1" ht="18.75">
      <c r="A85" s="1"/>
      <c r="B85" s="1"/>
      <c r="C85" s="3" t="s">
        <v>143</v>
      </c>
      <c r="D85" s="3" t="s">
        <v>149</v>
      </c>
      <c r="E85" s="1"/>
      <c r="F85" s="1"/>
      <c r="G85" s="1"/>
      <c r="H85" s="1"/>
      <c r="I85" s="2"/>
      <c r="J85" s="1"/>
      <c r="K85" s="1"/>
      <c r="L85" s="1"/>
      <c r="M85" s="1"/>
      <c r="N85" s="1"/>
      <c r="O85" s="1"/>
      <c r="P85" s="1"/>
      <c r="Q85" s="1"/>
      <c r="R85" s="1"/>
      <c r="S85" s="1"/>
      <c r="T85" s="1"/>
      <c r="U85" s="1"/>
      <c r="V85" s="1"/>
      <c r="W85" s="1"/>
      <c r="X85" s="1"/>
    </row>
    <row x14ac:dyDescent="0.25" r="86" customHeight="1" ht="18.75">
      <c r="A86" s="1"/>
      <c r="B86" s="1"/>
      <c r="C86" s="3" t="s">
        <v>147</v>
      </c>
      <c r="D86" s="3" t="s">
        <v>149</v>
      </c>
      <c r="E86" s="1"/>
      <c r="F86" s="1"/>
      <c r="G86" s="1"/>
      <c r="H86" s="1"/>
      <c r="I86" s="2"/>
      <c r="J86" s="1"/>
      <c r="K86" s="1"/>
      <c r="L86" s="1"/>
      <c r="M86" s="1"/>
      <c r="N86" s="1"/>
      <c r="O86" s="1"/>
      <c r="P86" s="1"/>
      <c r="Q86" s="1"/>
      <c r="R86" s="1"/>
      <c r="S86" s="1"/>
      <c r="T86" s="1"/>
      <c r="U86" s="1"/>
      <c r="V86" s="1"/>
      <c r="W86" s="1"/>
      <c r="X86" s="1"/>
    </row>
    <row x14ac:dyDescent="0.25" r="87" customHeight="1" ht="18.75">
      <c r="A87" s="1"/>
      <c r="B87" s="1"/>
      <c r="C87" s="3" t="s">
        <v>150</v>
      </c>
      <c r="D87" s="3" t="s">
        <v>151</v>
      </c>
      <c r="E87" s="1"/>
      <c r="F87" s="1"/>
      <c r="G87" s="1"/>
      <c r="H87" s="1"/>
      <c r="I87" s="2"/>
      <c r="J87" s="1"/>
      <c r="K87" s="1"/>
      <c r="L87" s="1"/>
      <c r="M87" s="1"/>
      <c r="N87" s="1"/>
      <c r="O87" s="1"/>
      <c r="P87" s="1"/>
      <c r="Q87" s="1"/>
      <c r="R87" s="1"/>
      <c r="S87" s="1"/>
      <c r="T87" s="1"/>
      <c r="U87" s="1"/>
      <c r="V87" s="1"/>
      <c r="W87" s="1"/>
      <c r="X87" s="1"/>
    </row>
    <row x14ac:dyDescent="0.25" r="88" customHeight="1" ht="18.75">
      <c r="A88" s="1"/>
      <c r="B88" s="1"/>
      <c r="C88" s="3" t="s">
        <v>152</v>
      </c>
      <c r="D88" s="3" t="s">
        <v>151</v>
      </c>
      <c r="E88" s="1"/>
      <c r="F88" s="1"/>
      <c r="G88" s="1"/>
      <c r="H88" s="1"/>
      <c r="I88" s="2"/>
      <c r="J88" s="1"/>
      <c r="K88" s="1"/>
      <c r="L88" s="1"/>
      <c r="M88" s="1"/>
      <c r="N88" s="1"/>
      <c r="O88" s="1"/>
      <c r="P88" s="1"/>
      <c r="Q88" s="1"/>
      <c r="R88" s="1"/>
      <c r="S88" s="1"/>
      <c r="T88" s="1"/>
      <c r="U88" s="1"/>
      <c r="V88" s="1"/>
      <c r="W88" s="1"/>
      <c r="X88" s="1"/>
    </row>
    <row x14ac:dyDescent="0.25" r="89" customHeight="1" ht="18.75">
      <c r="A89" s="1"/>
      <c r="B89" s="1"/>
      <c r="C89" s="3" t="s">
        <v>153</v>
      </c>
      <c r="D89" s="3" t="s">
        <v>151</v>
      </c>
      <c r="E89" s="1"/>
      <c r="F89" s="1"/>
      <c r="G89" s="1"/>
      <c r="H89" s="1"/>
      <c r="I89" s="2"/>
      <c r="J89" s="1"/>
      <c r="K89" s="1"/>
      <c r="L89" s="1"/>
      <c r="M89" s="1"/>
      <c r="N89" s="1"/>
      <c r="O89" s="1"/>
      <c r="P89" s="1"/>
      <c r="Q89" s="1"/>
      <c r="R89" s="1"/>
      <c r="S89" s="1"/>
      <c r="T89" s="1"/>
      <c r="U89" s="1"/>
      <c r="V89" s="1"/>
      <c r="W89" s="1"/>
      <c r="X89" s="1"/>
    </row>
    <row x14ac:dyDescent="0.25" r="90" customHeight="1" ht="18.75">
      <c r="A90" s="1"/>
      <c r="B90" s="1"/>
      <c r="C90" s="3" t="s">
        <v>154</v>
      </c>
      <c r="D90" s="3" t="s">
        <v>155</v>
      </c>
      <c r="E90" s="1"/>
      <c r="F90" s="1"/>
      <c r="G90" s="1"/>
      <c r="H90" s="1"/>
      <c r="I90" s="2"/>
      <c r="J90" s="1"/>
      <c r="K90" s="1"/>
      <c r="L90" s="1"/>
      <c r="M90" s="1"/>
      <c r="N90" s="1"/>
      <c r="O90" s="1"/>
      <c r="P90" s="1"/>
      <c r="Q90" s="1"/>
      <c r="R90" s="1"/>
      <c r="S90" s="1"/>
      <c r="T90" s="1"/>
      <c r="U90" s="1"/>
      <c r="V90" s="1"/>
      <c r="W90" s="1"/>
      <c r="X90" s="1"/>
    </row>
    <row x14ac:dyDescent="0.25" r="91" customHeight="1" ht="18.75">
      <c r="A91" s="1"/>
      <c r="B91" s="1"/>
      <c r="C91" s="3" t="s">
        <v>156</v>
      </c>
      <c r="D91" s="3" t="s">
        <v>157</v>
      </c>
      <c r="E91" s="1"/>
      <c r="F91" s="1"/>
      <c r="G91" s="1"/>
      <c r="H91" s="1"/>
      <c r="I91" s="2"/>
      <c r="J91" s="1"/>
      <c r="K91" s="1"/>
      <c r="L91" s="1"/>
      <c r="M91" s="1"/>
      <c r="N91" s="1"/>
      <c r="O91" s="1"/>
      <c r="P91" s="1"/>
      <c r="Q91" s="1"/>
      <c r="R91" s="1"/>
      <c r="S91" s="1"/>
      <c r="T91" s="1"/>
      <c r="U91" s="1"/>
      <c r="V91" s="1"/>
      <c r="W91" s="1"/>
      <c r="X91" s="1"/>
    </row>
    <row x14ac:dyDescent="0.25" r="92" customHeight="1" ht="18.75">
      <c r="A92" s="1"/>
      <c r="B92" s="1"/>
      <c r="C92" s="3" t="s">
        <v>158</v>
      </c>
      <c r="D92" s="3" t="s">
        <v>151</v>
      </c>
      <c r="E92" s="1"/>
      <c r="F92" s="1"/>
      <c r="G92" s="1"/>
      <c r="H92" s="1"/>
      <c r="I92" s="2"/>
      <c r="J92" s="1"/>
      <c r="K92" s="1"/>
      <c r="L92" s="1"/>
      <c r="M92" s="1"/>
      <c r="N92" s="1"/>
      <c r="O92" s="1"/>
      <c r="P92" s="1"/>
      <c r="Q92" s="1"/>
      <c r="R92" s="1"/>
      <c r="S92" s="1"/>
      <c r="T92" s="1"/>
      <c r="U92" s="1"/>
      <c r="V92" s="1"/>
      <c r="W92" s="1"/>
      <c r="X92" s="1"/>
    </row>
    <row x14ac:dyDescent="0.25" r="93" customHeight="1" ht="18.75">
      <c r="A93" s="1"/>
      <c r="B93" s="1"/>
      <c r="C93" s="3" t="s">
        <v>159</v>
      </c>
      <c r="D93" s="3" t="s">
        <v>151</v>
      </c>
      <c r="E93" s="1"/>
      <c r="F93" s="1"/>
      <c r="G93" s="1"/>
      <c r="H93" s="1"/>
      <c r="I93" s="2"/>
      <c r="J93" s="1"/>
      <c r="K93" s="1"/>
      <c r="L93" s="1"/>
      <c r="M93" s="1"/>
      <c r="N93" s="1"/>
      <c r="O93" s="1"/>
      <c r="P93" s="1"/>
      <c r="Q93" s="1"/>
      <c r="R93" s="1"/>
      <c r="S93" s="1"/>
      <c r="T93" s="1"/>
      <c r="U93" s="1"/>
      <c r="V93" s="1"/>
      <c r="W93" s="1"/>
      <c r="X93" s="1"/>
    </row>
    <row x14ac:dyDescent="0.25" r="94" customHeight="1" ht="18.75">
      <c r="A94" s="1"/>
      <c r="B94" s="1"/>
      <c r="C94" s="3" t="s">
        <v>160</v>
      </c>
      <c r="D94" s="3" t="s">
        <v>151</v>
      </c>
      <c r="E94" s="1"/>
      <c r="F94" s="1"/>
      <c r="G94" s="1"/>
      <c r="H94" s="1"/>
      <c r="I94" s="2"/>
      <c r="J94" s="1"/>
      <c r="K94" s="1"/>
      <c r="L94" s="1"/>
      <c r="M94" s="1"/>
      <c r="N94" s="1"/>
      <c r="O94" s="1"/>
      <c r="P94" s="1"/>
      <c r="Q94" s="1"/>
      <c r="R94" s="1"/>
      <c r="S94" s="1"/>
      <c r="T94" s="1"/>
      <c r="U94" s="1"/>
      <c r="V94" s="1"/>
      <c r="W94" s="1"/>
      <c r="X94" s="1"/>
    </row>
    <row x14ac:dyDescent="0.25" r="95" customHeight="1" ht="18.75">
      <c r="A95" s="1"/>
      <c r="B95" s="1"/>
      <c r="C95" s="3" t="s">
        <v>161</v>
      </c>
      <c r="D95" s="3" t="s">
        <v>155</v>
      </c>
      <c r="E95" s="1"/>
      <c r="F95" s="1"/>
      <c r="G95" s="1"/>
      <c r="H95" s="1"/>
      <c r="I95" s="2"/>
      <c r="J95" s="1"/>
      <c r="K95" s="1"/>
      <c r="L95" s="1"/>
      <c r="M95" s="1"/>
      <c r="N95" s="1"/>
      <c r="O95" s="1"/>
      <c r="P95" s="1"/>
      <c r="Q95" s="1"/>
      <c r="R95" s="1"/>
      <c r="S95" s="1"/>
      <c r="T95" s="1"/>
      <c r="U95" s="1"/>
      <c r="V95" s="1"/>
      <c r="W95" s="1"/>
      <c r="X95" s="1"/>
    </row>
    <row x14ac:dyDescent="0.25" r="96" customHeight="1" ht="18.75">
      <c r="A96" s="1"/>
      <c r="B96" s="1"/>
      <c r="C96" s="3" t="s">
        <v>121</v>
      </c>
      <c r="D96" s="3" t="s">
        <v>157</v>
      </c>
      <c r="E96" s="1"/>
      <c r="F96" s="1"/>
      <c r="G96" s="1"/>
      <c r="H96" s="1"/>
      <c r="I96" s="2"/>
      <c r="J96" s="1"/>
      <c r="K96" s="1"/>
      <c r="L96" s="1"/>
      <c r="M96" s="1"/>
      <c r="N96" s="1"/>
      <c r="O96" s="1"/>
      <c r="P96" s="1"/>
      <c r="Q96" s="1"/>
      <c r="R96" s="1"/>
      <c r="S96" s="1"/>
      <c r="T96" s="1"/>
      <c r="U96" s="1"/>
      <c r="V96" s="1"/>
      <c r="W96" s="1"/>
      <c r="X96" s="1"/>
    </row>
    <row x14ac:dyDescent="0.25" r="97" customHeight="1" ht="18.75">
      <c r="A97" s="1"/>
      <c r="B97" s="1"/>
      <c r="C97" s="3" t="s">
        <v>121</v>
      </c>
      <c r="D97" s="3" t="s">
        <v>162</v>
      </c>
      <c r="E97" s="1"/>
      <c r="F97" s="1"/>
      <c r="G97" s="1"/>
      <c r="H97" s="1"/>
      <c r="I97" s="2"/>
      <c r="J97" s="1"/>
      <c r="K97" s="1"/>
      <c r="L97" s="1"/>
      <c r="M97" s="1"/>
      <c r="N97" s="1"/>
      <c r="O97" s="1"/>
      <c r="P97" s="1"/>
      <c r="Q97" s="1"/>
      <c r="R97" s="1"/>
      <c r="S97" s="1"/>
      <c r="T97" s="1"/>
      <c r="U97" s="1"/>
      <c r="V97" s="1"/>
      <c r="W97" s="1"/>
      <c r="X97" s="1"/>
    </row>
    <row x14ac:dyDescent="0.25" r="98" customHeight="1" ht="18.75">
      <c r="A98" s="1"/>
      <c r="B98" s="1"/>
      <c r="C98" s="3" t="s">
        <v>121</v>
      </c>
      <c r="D98" s="3" t="s">
        <v>163</v>
      </c>
      <c r="E98" s="1"/>
      <c r="F98" s="1"/>
      <c r="G98" s="1"/>
      <c r="H98" s="1"/>
      <c r="I98" s="2"/>
      <c r="J98" s="1"/>
      <c r="K98" s="1"/>
      <c r="L98" s="1"/>
      <c r="M98" s="1"/>
      <c r="N98" s="1"/>
      <c r="O98" s="1"/>
      <c r="P98" s="1"/>
      <c r="Q98" s="1"/>
      <c r="R98" s="1"/>
      <c r="S98" s="1"/>
      <c r="T98" s="1"/>
      <c r="U98" s="1"/>
      <c r="V98" s="1"/>
      <c r="W98" s="1"/>
      <c r="X98" s="1"/>
    </row>
    <row x14ac:dyDescent="0.25" r="99" customHeight="1" ht="18.75">
      <c r="A99" s="1"/>
      <c r="B99" s="1"/>
      <c r="C99" s="3" t="s">
        <v>121</v>
      </c>
      <c r="D99" s="3" t="s">
        <v>164</v>
      </c>
      <c r="E99" s="1"/>
      <c r="F99" s="1"/>
      <c r="G99" s="1"/>
      <c r="H99" s="1"/>
      <c r="I99" s="2"/>
      <c r="J99" s="1"/>
      <c r="K99" s="1"/>
      <c r="L99" s="1"/>
      <c r="M99" s="1"/>
      <c r="N99" s="1"/>
      <c r="O99" s="1"/>
      <c r="P99" s="1"/>
      <c r="Q99" s="1"/>
      <c r="R99" s="1"/>
      <c r="S99" s="1"/>
      <c r="T99" s="1"/>
      <c r="U99" s="1"/>
      <c r="V99" s="1"/>
      <c r="W99" s="1"/>
      <c r="X99" s="1"/>
    </row>
    <row x14ac:dyDescent="0.25" r="100" customHeight="1" ht="18.75">
      <c r="A100" s="1"/>
      <c r="B100" s="1"/>
      <c r="C100" s="3" t="s">
        <v>121</v>
      </c>
      <c r="D100" s="3" t="s">
        <v>165</v>
      </c>
      <c r="E100" s="1"/>
      <c r="F100" s="1"/>
      <c r="G100" s="1"/>
      <c r="H100" s="1"/>
      <c r="I100" s="2"/>
      <c r="J100" s="1"/>
      <c r="K100" s="1"/>
      <c r="L100" s="1"/>
      <c r="M100" s="1"/>
      <c r="N100" s="1"/>
      <c r="O100" s="1"/>
      <c r="P100" s="1"/>
      <c r="Q100" s="1"/>
      <c r="R100" s="1"/>
      <c r="S100" s="1"/>
      <c r="T100" s="1"/>
      <c r="U100" s="1"/>
      <c r="V100" s="1"/>
      <c r="W100" s="1"/>
      <c r="X100" s="1"/>
    </row>
    <row x14ac:dyDescent="0.25" r="101" customHeight="1" ht="18.75">
      <c r="A101" s="1"/>
      <c r="B101" s="1"/>
      <c r="C101" s="3" t="s">
        <v>121</v>
      </c>
      <c r="D101" s="3" t="s">
        <v>166</v>
      </c>
      <c r="E101" s="1"/>
      <c r="F101" s="1"/>
      <c r="G101" s="1"/>
      <c r="H101" s="1"/>
      <c r="I101" s="2"/>
      <c r="J101" s="1"/>
      <c r="K101" s="1"/>
      <c r="L101" s="1"/>
      <c r="M101" s="1"/>
      <c r="N101" s="1"/>
      <c r="O101" s="1"/>
      <c r="P101" s="1"/>
      <c r="Q101" s="1"/>
      <c r="R101" s="1"/>
      <c r="S101" s="1"/>
      <c r="T101" s="1"/>
      <c r="U101" s="1"/>
      <c r="V101" s="1"/>
      <c r="W101" s="1"/>
      <c r="X101" s="1"/>
    </row>
    <row x14ac:dyDescent="0.25" r="102" customHeight="1" ht="18.75">
      <c r="A102" s="1"/>
      <c r="B102" s="1"/>
      <c r="C102" s="3" t="s">
        <v>121</v>
      </c>
      <c r="D102" s="3" t="s">
        <v>167</v>
      </c>
      <c r="E102" s="1"/>
      <c r="F102" s="1"/>
      <c r="G102" s="1"/>
      <c r="H102" s="1"/>
      <c r="I102" s="2"/>
      <c r="J102" s="1"/>
      <c r="K102" s="1"/>
      <c r="L102" s="1"/>
      <c r="M102" s="1"/>
      <c r="N102" s="1"/>
      <c r="O102" s="1"/>
      <c r="P102" s="1"/>
      <c r="Q102" s="1"/>
      <c r="R102" s="1"/>
      <c r="S102" s="1"/>
      <c r="T102" s="1"/>
      <c r="U102" s="1"/>
      <c r="V102" s="1"/>
      <c r="W102" s="1"/>
      <c r="X102" s="1"/>
    </row>
    <row x14ac:dyDescent="0.25" r="103" customHeight="1" ht="18.75">
      <c r="A103" s="1"/>
      <c r="B103" s="1"/>
      <c r="C103" s="3" t="s">
        <v>121</v>
      </c>
      <c r="D103" s="3" t="s">
        <v>168</v>
      </c>
      <c r="E103" s="1"/>
      <c r="F103" s="1"/>
      <c r="G103" s="1"/>
      <c r="H103" s="1"/>
      <c r="I103" s="2"/>
      <c r="J103" s="1"/>
      <c r="K103" s="1"/>
      <c r="L103" s="1"/>
      <c r="M103" s="1"/>
      <c r="N103" s="1"/>
      <c r="O103" s="1"/>
      <c r="P103" s="1"/>
      <c r="Q103" s="1"/>
      <c r="R103" s="1"/>
      <c r="S103" s="1"/>
      <c r="T103" s="1"/>
      <c r="U103" s="1"/>
      <c r="V103" s="1"/>
      <c r="W103" s="1"/>
      <c r="X103" s="1"/>
    </row>
    <row x14ac:dyDescent="0.25" r="104" customHeight="1" ht="18.75">
      <c r="A104" s="1"/>
      <c r="B104" s="1"/>
      <c r="C104" s="3" t="s">
        <v>121</v>
      </c>
      <c r="D104" s="3" t="s">
        <v>169</v>
      </c>
      <c r="E104" s="1"/>
      <c r="F104" s="1"/>
      <c r="G104" s="1"/>
      <c r="H104" s="1"/>
      <c r="I104" s="2"/>
      <c r="J104" s="1"/>
      <c r="K104" s="1"/>
      <c r="L104" s="1"/>
      <c r="M104" s="1"/>
      <c r="N104" s="1"/>
      <c r="O104" s="1"/>
      <c r="P104" s="1"/>
      <c r="Q104" s="1"/>
      <c r="R104" s="1"/>
      <c r="S104" s="1"/>
      <c r="T104" s="1"/>
      <c r="U104" s="1"/>
      <c r="V104" s="1"/>
      <c r="W104" s="1"/>
      <c r="X104" s="1"/>
    </row>
    <row x14ac:dyDescent="0.25" r="105" customHeight="1" ht="18.75">
      <c r="A105" s="1"/>
      <c r="B105" s="1"/>
      <c r="C105" s="3" t="s">
        <v>121</v>
      </c>
      <c r="D105" s="3" t="s">
        <v>170</v>
      </c>
      <c r="E105" s="1"/>
      <c r="F105" s="1"/>
      <c r="G105" s="1"/>
      <c r="H105" s="1"/>
      <c r="I105" s="2"/>
      <c r="J105" s="1"/>
      <c r="K105" s="1"/>
      <c r="L105" s="1"/>
      <c r="M105" s="1"/>
      <c r="N105" s="1"/>
      <c r="O105" s="1"/>
      <c r="P105" s="1"/>
      <c r="Q105" s="1"/>
      <c r="R105" s="1"/>
      <c r="S105" s="1"/>
      <c r="T105" s="1"/>
      <c r="U105" s="1"/>
      <c r="V105" s="1"/>
      <c r="W105" s="1"/>
      <c r="X105" s="1"/>
    </row>
    <row x14ac:dyDescent="0.25" r="106" customHeight="1" ht="18.75">
      <c r="A106" s="1"/>
      <c r="B106" s="1"/>
      <c r="C106" s="3" t="s">
        <v>121</v>
      </c>
      <c r="D106" s="3" t="s">
        <v>171</v>
      </c>
      <c r="E106" s="1"/>
      <c r="F106" s="1"/>
      <c r="G106" s="1"/>
      <c r="H106" s="1"/>
      <c r="I106" s="2"/>
      <c r="J106" s="1"/>
      <c r="K106" s="1"/>
      <c r="L106" s="1"/>
      <c r="M106" s="1"/>
      <c r="N106" s="1"/>
      <c r="O106" s="1"/>
      <c r="P106" s="1"/>
      <c r="Q106" s="1"/>
      <c r="R106" s="1"/>
      <c r="S106" s="1"/>
      <c r="T106" s="1"/>
      <c r="U106" s="1"/>
      <c r="V106" s="1"/>
      <c r="W106" s="1"/>
      <c r="X106" s="1"/>
    </row>
    <row x14ac:dyDescent="0.25" r="107" customHeight="1" ht="18.75">
      <c r="A107" s="1"/>
      <c r="B107" s="1"/>
      <c r="C107" s="3" t="s">
        <v>121</v>
      </c>
      <c r="D107" s="3" t="s">
        <v>172</v>
      </c>
      <c r="E107" s="1"/>
      <c r="F107" s="1"/>
      <c r="G107" s="1"/>
      <c r="H107" s="1"/>
      <c r="I107" s="2"/>
      <c r="J107" s="1"/>
      <c r="K107" s="1"/>
      <c r="L107" s="1"/>
      <c r="M107" s="1"/>
      <c r="N107" s="1"/>
      <c r="O107" s="1"/>
      <c r="P107" s="1"/>
      <c r="Q107" s="1"/>
      <c r="R107" s="1"/>
      <c r="S107" s="1"/>
      <c r="T107" s="1"/>
      <c r="U107" s="1"/>
      <c r="V107" s="1"/>
      <c r="W107" s="1"/>
      <c r="X107" s="1"/>
    </row>
    <row x14ac:dyDescent="0.25" r="108" customHeight="1" ht="18.75">
      <c r="A108" s="1"/>
      <c r="B108" s="1"/>
      <c r="C108" s="3" t="s">
        <v>121</v>
      </c>
      <c r="D108" s="3" t="s">
        <v>173</v>
      </c>
      <c r="E108" s="1"/>
      <c r="F108" s="1"/>
      <c r="G108" s="1"/>
      <c r="H108" s="1"/>
      <c r="I108" s="2"/>
      <c r="J108" s="1"/>
      <c r="K108" s="1"/>
      <c r="L108" s="1"/>
      <c r="M108" s="1"/>
      <c r="N108" s="1"/>
      <c r="O108" s="1"/>
      <c r="P108" s="1"/>
      <c r="Q108" s="1"/>
      <c r="R108" s="1"/>
      <c r="S108" s="1"/>
      <c r="T108" s="1"/>
      <c r="U108" s="1"/>
      <c r="V108" s="1"/>
      <c r="W108" s="1"/>
      <c r="X108" s="1"/>
    </row>
    <row x14ac:dyDescent="0.25" r="109" customHeight="1" ht="18.75">
      <c r="A109" s="1"/>
      <c r="B109" s="1"/>
      <c r="C109" s="3" t="s">
        <v>143</v>
      </c>
      <c r="D109" s="3" t="s">
        <v>174</v>
      </c>
      <c r="E109" s="1"/>
      <c r="F109" s="1"/>
      <c r="G109" s="1"/>
      <c r="H109" s="1"/>
      <c r="I109" s="2"/>
      <c r="J109" s="1"/>
      <c r="K109" s="1"/>
      <c r="L109" s="1"/>
      <c r="M109" s="1"/>
      <c r="N109" s="1"/>
      <c r="O109" s="1"/>
      <c r="P109" s="1"/>
      <c r="Q109" s="1"/>
      <c r="R109" s="1"/>
      <c r="S109" s="1"/>
      <c r="T109" s="1"/>
      <c r="U109" s="1"/>
      <c r="V109" s="1"/>
      <c r="W109" s="1"/>
      <c r="X109" s="1"/>
    </row>
    <row x14ac:dyDescent="0.25" r="110" customHeight="1" ht="18.75">
      <c r="A110" s="1"/>
      <c r="B110" s="1"/>
      <c r="C110" s="3" t="s">
        <v>143</v>
      </c>
      <c r="D110" s="3" t="s">
        <v>175</v>
      </c>
      <c r="E110" s="1"/>
      <c r="F110" s="1"/>
      <c r="G110" s="1"/>
      <c r="H110" s="1"/>
      <c r="I110" s="2"/>
      <c r="J110" s="1"/>
      <c r="K110" s="1"/>
      <c r="L110" s="1"/>
      <c r="M110" s="1"/>
      <c r="N110" s="1"/>
      <c r="O110" s="1"/>
      <c r="P110" s="1"/>
      <c r="Q110" s="1"/>
      <c r="R110" s="1"/>
      <c r="S110" s="1"/>
      <c r="T110" s="1"/>
      <c r="U110" s="1"/>
      <c r="V110" s="1"/>
      <c r="W110" s="1"/>
      <c r="X110" s="1"/>
    </row>
    <row x14ac:dyDescent="0.25" r="111" customHeight="1" ht="18.75">
      <c r="A111" s="1"/>
      <c r="B111" s="1"/>
      <c r="C111" s="3" t="s">
        <v>147</v>
      </c>
      <c r="D111" s="3" t="s">
        <v>176</v>
      </c>
      <c r="E111" s="1"/>
      <c r="F111" s="1"/>
      <c r="G111" s="1"/>
      <c r="H111" s="1"/>
      <c r="I111" s="2"/>
      <c r="J111" s="1"/>
      <c r="K111" s="1"/>
      <c r="L111" s="1"/>
      <c r="M111" s="1"/>
      <c r="N111" s="1"/>
      <c r="O111" s="1"/>
      <c r="P111" s="1"/>
      <c r="Q111" s="1"/>
      <c r="R111" s="1"/>
      <c r="S111" s="1"/>
      <c r="T111" s="1"/>
      <c r="U111" s="1"/>
      <c r="V111" s="1"/>
      <c r="W111" s="1"/>
      <c r="X111" s="1"/>
    </row>
    <row x14ac:dyDescent="0.25" r="112" customHeight="1" ht="18.75">
      <c r="A112" s="1"/>
      <c r="B112" s="1"/>
      <c r="C112" s="3" t="s">
        <v>121</v>
      </c>
      <c r="D112" s="3" t="s">
        <v>177</v>
      </c>
      <c r="E112" s="1"/>
      <c r="F112" s="1"/>
      <c r="G112" s="1"/>
      <c r="H112" s="1"/>
      <c r="I112" s="2"/>
      <c r="J112" s="1"/>
      <c r="K112" s="1"/>
      <c r="L112" s="1"/>
      <c r="M112" s="1"/>
      <c r="N112" s="1"/>
      <c r="O112" s="1"/>
      <c r="P112" s="1"/>
      <c r="Q112" s="1"/>
      <c r="R112" s="1"/>
      <c r="S112" s="1"/>
      <c r="T112" s="1"/>
      <c r="U112" s="1"/>
      <c r="V112" s="1"/>
      <c r="W112" s="1"/>
      <c r="X112" s="1"/>
    </row>
    <row x14ac:dyDescent="0.25" r="113" customHeight="1" ht="18.75">
      <c r="A113" s="1"/>
      <c r="B113" s="1"/>
      <c r="C113" s="3" t="s">
        <v>143</v>
      </c>
      <c r="D113" s="3" t="s">
        <v>178</v>
      </c>
      <c r="E113" s="1"/>
      <c r="F113" s="1"/>
      <c r="G113" s="1"/>
      <c r="H113" s="1"/>
      <c r="I113" s="2"/>
      <c r="J113" s="1"/>
      <c r="K113" s="1"/>
      <c r="L113" s="1"/>
      <c r="M113" s="1"/>
      <c r="N113" s="1"/>
      <c r="O113" s="1"/>
      <c r="P113" s="1"/>
      <c r="Q113" s="1"/>
      <c r="R113" s="1"/>
      <c r="S113" s="1"/>
      <c r="T113" s="1"/>
      <c r="U113" s="1"/>
      <c r="V113" s="1"/>
      <c r="W113" s="1"/>
      <c r="X113" s="1"/>
    </row>
    <row x14ac:dyDescent="0.25" r="114" customHeight="1" ht="18.75">
      <c r="A114" s="1"/>
      <c r="B114" s="1"/>
      <c r="C114" s="3" t="s">
        <v>147</v>
      </c>
      <c r="D114" s="3" t="s">
        <v>179</v>
      </c>
      <c r="E114" s="1"/>
      <c r="F114" s="1"/>
      <c r="G114" s="1"/>
      <c r="H114" s="1"/>
      <c r="I114" s="2"/>
      <c r="J114" s="1"/>
      <c r="K114" s="1"/>
      <c r="L114" s="1"/>
      <c r="M114" s="1"/>
      <c r="N114" s="1"/>
      <c r="O114" s="1"/>
      <c r="P114" s="1"/>
      <c r="Q114" s="1"/>
      <c r="R114" s="1"/>
      <c r="S114" s="1"/>
      <c r="T114" s="1"/>
      <c r="U114" s="1"/>
      <c r="V114" s="1"/>
      <c r="W114" s="1"/>
      <c r="X114" s="1"/>
    </row>
    <row x14ac:dyDescent="0.25" r="115" customHeight="1" ht="18.75">
      <c r="A115" s="1"/>
      <c r="B115" s="1"/>
      <c r="C115" s="3" t="s">
        <v>121</v>
      </c>
      <c r="D115" s="3" t="s">
        <v>180</v>
      </c>
      <c r="E115" s="1"/>
      <c r="F115" s="1"/>
      <c r="G115" s="1"/>
      <c r="H115" s="1"/>
      <c r="I115" s="2"/>
      <c r="J115" s="1"/>
      <c r="K115" s="1"/>
      <c r="L115" s="1"/>
      <c r="M115" s="1"/>
      <c r="N115" s="1"/>
      <c r="O115" s="1"/>
      <c r="P115" s="1"/>
      <c r="Q115" s="1"/>
      <c r="R115" s="1"/>
      <c r="S115" s="1"/>
      <c r="T115" s="1"/>
      <c r="U115" s="1"/>
      <c r="V115" s="1"/>
      <c r="W115" s="1"/>
      <c r="X115" s="1"/>
    </row>
    <row x14ac:dyDescent="0.25" r="116" customHeight="1" ht="18.75">
      <c r="A116" s="1"/>
      <c r="B116" s="1"/>
      <c r="C116" s="3" t="s">
        <v>121</v>
      </c>
      <c r="D116" s="3" t="s">
        <v>181</v>
      </c>
      <c r="E116" s="1"/>
      <c r="F116" s="1"/>
      <c r="G116" s="1"/>
      <c r="H116" s="1"/>
      <c r="I116" s="2"/>
      <c r="J116" s="1"/>
      <c r="K116" s="1"/>
      <c r="L116" s="1"/>
      <c r="M116" s="1"/>
      <c r="N116" s="1"/>
      <c r="O116" s="1"/>
      <c r="P116" s="1"/>
      <c r="Q116" s="1"/>
      <c r="R116" s="1"/>
      <c r="S116" s="1"/>
      <c r="T116" s="1"/>
      <c r="U116" s="1"/>
      <c r="V116" s="1"/>
      <c r="W116" s="1"/>
      <c r="X116" s="1"/>
    </row>
    <row x14ac:dyDescent="0.25" r="117" customHeight="1" ht="18.75">
      <c r="A117" s="1"/>
      <c r="B117" s="1"/>
      <c r="C117" s="3" t="s">
        <v>143</v>
      </c>
      <c r="D117" s="3" t="s">
        <v>182</v>
      </c>
      <c r="E117" s="1"/>
      <c r="F117" s="1"/>
      <c r="G117" s="1"/>
      <c r="H117" s="1"/>
      <c r="I117" s="2"/>
      <c r="J117" s="1"/>
      <c r="K117" s="1"/>
      <c r="L117" s="1"/>
      <c r="M117" s="1"/>
      <c r="N117" s="1"/>
      <c r="O117" s="1"/>
      <c r="P117" s="1"/>
      <c r="Q117" s="1"/>
      <c r="R117" s="1"/>
      <c r="S117" s="1"/>
      <c r="T117" s="1"/>
      <c r="U117" s="1"/>
      <c r="V117" s="1"/>
      <c r="W117" s="1"/>
      <c r="X117" s="1"/>
    </row>
    <row x14ac:dyDescent="0.25" r="118" customHeight="1" ht="18.75">
      <c r="A118" s="1"/>
      <c r="B118" s="1"/>
      <c r="C118" s="3" t="s">
        <v>143</v>
      </c>
      <c r="D118" s="3" t="s">
        <v>183</v>
      </c>
      <c r="E118" s="1"/>
      <c r="F118" s="1"/>
      <c r="G118" s="1"/>
      <c r="H118" s="1"/>
      <c r="I118" s="2"/>
      <c r="J118" s="1"/>
      <c r="K118" s="1"/>
      <c r="L118" s="1"/>
      <c r="M118" s="1"/>
      <c r="N118" s="1"/>
      <c r="O118" s="1"/>
      <c r="P118" s="1"/>
      <c r="Q118" s="1"/>
      <c r="R118" s="1"/>
      <c r="S118" s="1"/>
      <c r="T118" s="1"/>
      <c r="U118" s="1"/>
      <c r="V118" s="1"/>
      <c r="W118" s="1"/>
      <c r="X118" s="1"/>
    </row>
    <row x14ac:dyDescent="0.25" r="119" customHeight="1" ht="18.75">
      <c r="A119" s="1"/>
      <c r="B119" s="1"/>
      <c r="C119" s="3" t="s">
        <v>147</v>
      </c>
      <c r="D119" s="3" t="s">
        <v>184</v>
      </c>
      <c r="E119" s="1"/>
      <c r="F119" s="1"/>
      <c r="G119" s="1"/>
      <c r="H119" s="1"/>
      <c r="I119" s="2"/>
      <c r="J119" s="1"/>
      <c r="K119" s="1"/>
      <c r="L119" s="1"/>
      <c r="M119" s="1"/>
      <c r="N119" s="1"/>
      <c r="O119" s="1"/>
      <c r="P119" s="1"/>
      <c r="Q119" s="1"/>
      <c r="R119" s="1"/>
      <c r="S119" s="1"/>
      <c r="T119" s="1"/>
      <c r="U119" s="1"/>
      <c r="V119" s="1"/>
      <c r="W119" s="1"/>
      <c r="X119" s="1"/>
    </row>
    <row x14ac:dyDescent="0.25" r="120" customHeight="1" ht="18.75">
      <c r="A120" s="1"/>
      <c r="B120" s="1"/>
      <c r="C120" s="3" t="s">
        <v>121</v>
      </c>
      <c r="D120" s="3" t="s">
        <v>185</v>
      </c>
      <c r="E120" s="1"/>
      <c r="F120" s="1"/>
      <c r="G120" s="1"/>
      <c r="H120" s="1"/>
      <c r="I120" s="2"/>
      <c r="J120" s="1"/>
      <c r="K120" s="1"/>
      <c r="L120" s="1"/>
      <c r="M120" s="1"/>
      <c r="N120" s="1"/>
      <c r="O120" s="1"/>
      <c r="P120" s="1"/>
      <c r="Q120" s="1"/>
      <c r="R120" s="1"/>
      <c r="S120" s="1"/>
      <c r="T120" s="1"/>
      <c r="U120" s="1"/>
      <c r="V120" s="1"/>
      <c r="W120" s="1"/>
      <c r="X120" s="1"/>
    </row>
    <row x14ac:dyDescent="0.25" r="121" customHeight="1" ht="18.75">
      <c r="A121" s="1"/>
      <c r="B121" s="1"/>
      <c r="C121" s="3" t="s">
        <v>147</v>
      </c>
      <c r="D121" s="3" t="s">
        <v>186</v>
      </c>
      <c r="E121" s="1"/>
      <c r="F121" s="1"/>
      <c r="G121" s="1"/>
      <c r="H121" s="1"/>
      <c r="I121" s="2"/>
      <c r="J121" s="1"/>
      <c r="K121" s="1"/>
      <c r="L121" s="1"/>
      <c r="M121" s="1"/>
      <c r="N121" s="1"/>
      <c r="O121" s="1"/>
      <c r="P121" s="1"/>
      <c r="Q121" s="1"/>
      <c r="R121" s="1"/>
      <c r="S121" s="1"/>
      <c r="T121" s="1"/>
      <c r="U121" s="1"/>
      <c r="V121" s="1"/>
      <c r="W121" s="1"/>
      <c r="X121" s="1"/>
    </row>
    <row x14ac:dyDescent="0.25" r="122" customHeight="1" ht="18.75">
      <c r="A122" s="1"/>
      <c r="B122" s="1"/>
      <c r="C122" s="3" t="s">
        <v>147</v>
      </c>
      <c r="D122" s="3" t="s">
        <v>187</v>
      </c>
      <c r="E122" s="1"/>
      <c r="F122" s="1"/>
      <c r="G122" s="1"/>
      <c r="H122" s="1"/>
      <c r="I122" s="2"/>
      <c r="J122" s="1"/>
      <c r="K122" s="1"/>
      <c r="L122" s="1"/>
      <c r="M122" s="1"/>
      <c r="N122" s="1"/>
      <c r="O122" s="1"/>
      <c r="P122" s="1"/>
      <c r="Q122" s="1"/>
      <c r="R122" s="1"/>
      <c r="S122" s="1"/>
      <c r="T122" s="1"/>
      <c r="U122" s="1"/>
      <c r="V122" s="1"/>
      <c r="W122" s="1"/>
      <c r="X122" s="1"/>
    </row>
    <row x14ac:dyDescent="0.25" r="123" customHeight="1" ht="18.75">
      <c r="A123" s="1"/>
      <c r="B123" s="1"/>
      <c r="C123" s="3" t="s">
        <v>143</v>
      </c>
      <c r="D123" s="3" t="s">
        <v>188</v>
      </c>
      <c r="E123" s="1"/>
      <c r="F123" s="1"/>
      <c r="G123" s="1"/>
      <c r="H123" s="1"/>
      <c r="I123" s="2"/>
      <c r="J123" s="1"/>
      <c r="K123" s="1"/>
      <c r="L123" s="1"/>
      <c r="M123" s="1"/>
      <c r="N123" s="1"/>
      <c r="O123" s="1"/>
      <c r="P123" s="1"/>
      <c r="Q123" s="1"/>
      <c r="R123" s="1"/>
      <c r="S123" s="1"/>
      <c r="T123" s="1"/>
      <c r="U123" s="1"/>
      <c r="V123" s="1"/>
      <c r="W123" s="1"/>
      <c r="X123" s="1"/>
    </row>
    <row x14ac:dyDescent="0.25" r="124" customHeight="1" ht="18.75">
      <c r="A124" s="1"/>
      <c r="B124" s="1"/>
      <c r="C124" s="3" t="s">
        <v>143</v>
      </c>
      <c r="D124" s="3" t="s">
        <v>189</v>
      </c>
      <c r="E124" s="1"/>
      <c r="F124" s="1"/>
      <c r="G124" s="1"/>
      <c r="H124" s="1"/>
      <c r="I124" s="2"/>
      <c r="J124" s="1"/>
      <c r="K124" s="1"/>
      <c r="L124" s="1"/>
      <c r="M124" s="1"/>
      <c r="N124" s="1"/>
      <c r="O124" s="1"/>
      <c r="P124" s="1"/>
      <c r="Q124" s="1"/>
      <c r="R124" s="1"/>
      <c r="S124" s="1"/>
      <c r="T124" s="1"/>
      <c r="U124" s="1"/>
      <c r="V124" s="1"/>
      <c r="W124" s="1"/>
      <c r="X124" s="1"/>
    </row>
    <row x14ac:dyDescent="0.25" r="125" customHeight="1" ht="18.75">
      <c r="A125" s="1"/>
      <c r="B125" s="1"/>
      <c r="C125" s="3" t="s">
        <v>143</v>
      </c>
      <c r="D125" s="3" t="s">
        <v>190</v>
      </c>
      <c r="E125" s="1"/>
      <c r="F125" s="1"/>
      <c r="G125" s="1"/>
      <c r="H125" s="1"/>
      <c r="I125" s="2"/>
      <c r="J125" s="1"/>
      <c r="K125" s="1"/>
      <c r="L125" s="1"/>
      <c r="M125" s="1"/>
      <c r="N125" s="1"/>
      <c r="O125" s="1"/>
      <c r="P125" s="1"/>
      <c r="Q125" s="1"/>
      <c r="R125" s="1"/>
      <c r="S125" s="1"/>
      <c r="T125" s="1"/>
      <c r="U125" s="1"/>
      <c r="V125" s="1"/>
      <c r="W125" s="1"/>
      <c r="X125" s="1"/>
    </row>
    <row x14ac:dyDescent="0.25" r="126" customHeight="1" ht="18.75">
      <c r="A126" s="1"/>
      <c r="B126" s="1"/>
      <c r="C126" s="3" t="s">
        <v>143</v>
      </c>
      <c r="D126" s="3" t="s">
        <v>191</v>
      </c>
      <c r="E126" s="1"/>
      <c r="F126" s="1"/>
      <c r="G126" s="1"/>
      <c r="H126" s="1"/>
      <c r="I126" s="2"/>
      <c r="J126" s="1"/>
      <c r="K126" s="1"/>
      <c r="L126" s="1"/>
      <c r="M126" s="1"/>
      <c r="N126" s="1"/>
      <c r="O126" s="1"/>
      <c r="P126" s="1"/>
      <c r="Q126" s="1"/>
      <c r="R126" s="1"/>
      <c r="S126" s="1"/>
      <c r="T126" s="1"/>
      <c r="U126" s="1"/>
      <c r="V126" s="1"/>
      <c r="W126" s="1"/>
      <c r="X126" s="1"/>
    </row>
    <row x14ac:dyDescent="0.25" r="127" customHeight="1" ht="18.75">
      <c r="A127" s="1"/>
      <c r="B127" s="1"/>
      <c r="C127" s="3" t="s">
        <v>147</v>
      </c>
      <c r="D127" s="3" t="s">
        <v>192</v>
      </c>
      <c r="E127" s="1"/>
      <c r="F127" s="1"/>
      <c r="G127" s="1"/>
      <c r="H127" s="1"/>
      <c r="I127" s="2"/>
      <c r="J127" s="1"/>
      <c r="K127" s="1"/>
      <c r="L127" s="1"/>
      <c r="M127" s="1"/>
      <c r="N127" s="1"/>
      <c r="O127" s="1"/>
      <c r="P127" s="1"/>
      <c r="Q127" s="1"/>
      <c r="R127" s="1"/>
      <c r="S127" s="1"/>
      <c r="T127" s="1"/>
      <c r="U127" s="1"/>
      <c r="V127" s="1"/>
      <c r="W127" s="1"/>
      <c r="X127" s="1"/>
    </row>
    <row x14ac:dyDescent="0.25" r="128" customHeight="1" ht="18.75">
      <c r="A128" s="1"/>
      <c r="B128" s="1"/>
      <c r="C128" s="3" t="s">
        <v>147</v>
      </c>
      <c r="D128" s="3" t="s">
        <v>193</v>
      </c>
      <c r="E128" s="1"/>
      <c r="F128" s="1"/>
      <c r="G128" s="1"/>
      <c r="H128" s="1"/>
      <c r="I128" s="2"/>
      <c r="J128" s="1"/>
      <c r="K128" s="1"/>
      <c r="L128" s="1"/>
      <c r="M128" s="1"/>
      <c r="N128" s="1"/>
      <c r="O128" s="1"/>
      <c r="P128" s="1"/>
      <c r="Q128" s="1"/>
      <c r="R128" s="1"/>
      <c r="S128" s="1"/>
      <c r="T128" s="1"/>
      <c r="U128" s="1"/>
      <c r="V128" s="1"/>
      <c r="W128" s="1"/>
      <c r="X128" s="1"/>
    </row>
    <row x14ac:dyDescent="0.25" r="129" customHeight="1" ht="18.75">
      <c r="A129" s="1"/>
      <c r="B129" s="1"/>
      <c r="C129" s="3" t="s">
        <v>121</v>
      </c>
      <c r="D129" s="3" t="s">
        <v>194</v>
      </c>
      <c r="E129" s="1"/>
      <c r="F129" s="1"/>
      <c r="G129" s="1"/>
      <c r="H129" s="1"/>
      <c r="I129" s="2"/>
      <c r="J129" s="1"/>
      <c r="K129" s="1"/>
      <c r="L129" s="1"/>
      <c r="M129" s="1"/>
      <c r="N129" s="1"/>
      <c r="O129" s="1"/>
      <c r="P129" s="1"/>
      <c r="Q129" s="1"/>
      <c r="R129" s="1"/>
      <c r="S129" s="1"/>
      <c r="T129" s="1"/>
      <c r="U129" s="1"/>
      <c r="V129" s="1"/>
      <c r="W129" s="1"/>
      <c r="X129" s="1"/>
    </row>
    <row x14ac:dyDescent="0.25" r="130" customHeight="1" ht="18.75">
      <c r="A130" s="1"/>
      <c r="B130" s="1"/>
      <c r="C130" s="3" t="s">
        <v>147</v>
      </c>
      <c r="D130" s="3" t="s">
        <v>195</v>
      </c>
      <c r="E130" s="1"/>
      <c r="F130" s="1"/>
      <c r="G130" s="1"/>
      <c r="H130" s="1"/>
      <c r="I130" s="2"/>
      <c r="J130" s="1"/>
      <c r="K130" s="1"/>
      <c r="L130" s="1"/>
      <c r="M130" s="1"/>
      <c r="N130" s="1"/>
      <c r="O130" s="1"/>
      <c r="P130" s="1"/>
      <c r="Q130" s="1"/>
      <c r="R130" s="1"/>
      <c r="S130" s="1"/>
      <c r="T130" s="1"/>
      <c r="U130" s="1"/>
      <c r="V130" s="1"/>
      <c r="W130" s="1"/>
      <c r="X130" s="1"/>
    </row>
    <row x14ac:dyDescent="0.25" r="131" customHeight="1" ht="18.75">
      <c r="A131" s="1"/>
      <c r="B131" s="1"/>
      <c r="C131" s="3" t="s">
        <v>143</v>
      </c>
      <c r="D131" s="3" t="s">
        <v>196</v>
      </c>
      <c r="E131" s="1"/>
      <c r="F131" s="1"/>
      <c r="G131" s="1"/>
      <c r="H131" s="1"/>
      <c r="I131" s="2"/>
      <c r="J131" s="1"/>
      <c r="K131" s="1"/>
      <c r="L131" s="1"/>
      <c r="M131" s="1"/>
      <c r="N131" s="1"/>
      <c r="O131" s="1"/>
      <c r="P131" s="1"/>
      <c r="Q131" s="1"/>
      <c r="R131" s="1"/>
      <c r="S131" s="1"/>
      <c r="T131" s="1"/>
      <c r="U131" s="1"/>
      <c r="V131" s="1"/>
      <c r="W131" s="1"/>
      <c r="X131" s="1"/>
    </row>
    <row x14ac:dyDescent="0.25" r="132" customHeight="1" ht="18.75">
      <c r="A132" s="1"/>
      <c r="B132" s="1"/>
      <c r="C132" s="3" t="s">
        <v>143</v>
      </c>
      <c r="D132" s="3" t="s">
        <v>197</v>
      </c>
      <c r="E132" s="1"/>
      <c r="F132" s="1"/>
      <c r="G132" s="1"/>
      <c r="H132" s="1"/>
      <c r="I132" s="2"/>
      <c r="J132" s="1"/>
      <c r="K132" s="1"/>
      <c r="L132" s="1"/>
      <c r="M132" s="1"/>
      <c r="N132" s="1"/>
      <c r="O132" s="1"/>
      <c r="P132" s="1"/>
      <c r="Q132" s="1"/>
      <c r="R132" s="1"/>
      <c r="S132" s="1"/>
      <c r="T132" s="1"/>
      <c r="U132" s="1"/>
      <c r="V132" s="1"/>
      <c r="W132" s="1"/>
      <c r="X132" s="1"/>
    </row>
    <row x14ac:dyDescent="0.25" r="133" customHeight="1" ht="18.75">
      <c r="A133" s="1"/>
      <c r="B133" s="1"/>
      <c r="C133" s="3" t="s">
        <v>143</v>
      </c>
      <c r="D133" s="3" t="s">
        <v>198</v>
      </c>
      <c r="E133" s="1"/>
      <c r="F133" s="1"/>
      <c r="G133" s="1"/>
      <c r="H133" s="1"/>
      <c r="I133" s="2"/>
      <c r="J133" s="1"/>
      <c r="K133" s="1"/>
      <c r="L133" s="1"/>
      <c r="M133" s="1"/>
      <c r="N133" s="1"/>
      <c r="O133" s="1"/>
      <c r="P133" s="1"/>
      <c r="Q133" s="1"/>
      <c r="R133" s="1"/>
      <c r="S133" s="1"/>
      <c r="T133" s="1"/>
      <c r="U133" s="1"/>
      <c r="V133" s="1"/>
      <c r="W133" s="1"/>
      <c r="X133" s="1"/>
    </row>
    <row x14ac:dyDescent="0.25" r="134" customHeight="1" ht="18.75">
      <c r="A134" s="1"/>
      <c r="B134" s="1"/>
      <c r="C134" s="3" t="s">
        <v>143</v>
      </c>
      <c r="D134" s="3" t="s">
        <v>199</v>
      </c>
      <c r="E134" s="1"/>
      <c r="F134" s="1"/>
      <c r="G134" s="1"/>
      <c r="H134" s="1"/>
      <c r="I134" s="2"/>
      <c r="J134" s="1"/>
      <c r="K134" s="1"/>
      <c r="L134" s="1"/>
      <c r="M134" s="1"/>
      <c r="N134" s="1"/>
      <c r="O134" s="1"/>
      <c r="P134" s="1"/>
      <c r="Q134" s="1"/>
      <c r="R134" s="1"/>
      <c r="S134" s="1"/>
      <c r="T134" s="1"/>
      <c r="U134" s="1"/>
      <c r="V134" s="1"/>
      <c r="W134" s="1"/>
      <c r="X134" s="1"/>
    </row>
    <row x14ac:dyDescent="0.25" r="135" customHeight="1" ht="18.75">
      <c r="A135" s="1"/>
      <c r="B135" s="1"/>
      <c r="C135" s="3" t="s">
        <v>147</v>
      </c>
      <c r="D135" s="3" t="s">
        <v>194</v>
      </c>
      <c r="E135" s="1"/>
      <c r="F135" s="1"/>
      <c r="G135" s="1"/>
      <c r="H135" s="1"/>
      <c r="I135" s="2"/>
      <c r="J135" s="1"/>
      <c r="K135" s="1"/>
      <c r="L135" s="1"/>
      <c r="M135" s="1"/>
      <c r="N135" s="1"/>
      <c r="O135" s="1"/>
      <c r="P135" s="1"/>
      <c r="Q135" s="1"/>
      <c r="R135" s="1"/>
      <c r="S135" s="1"/>
      <c r="T135" s="1"/>
      <c r="U135" s="1"/>
      <c r="V135" s="1"/>
      <c r="W135" s="1"/>
      <c r="X135" s="1"/>
    </row>
    <row x14ac:dyDescent="0.25" r="136" customHeight="1" ht="18.75">
      <c r="A136" s="1"/>
      <c r="B136" s="1"/>
      <c r="C136" s="3" t="s">
        <v>147</v>
      </c>
      <c r="D136" s="3" t="s">
        <v>200</v>
      </c>
      <c r="E136" s="1"/>
      <c r="F136" s="1"/>
      <c r="G136" s="1"/>
      <c r="H136" s="1"/>
      <c r="I136" s="2"/>
      <c r="J136" s="1"/>
      <c r="K136" s="1"/>
      <c r="L136" s="1"/>
      <c r="M136" s="1"/>
      <c r="N136" s="1"/>
      <c r="O136" s="1"/>
      <c r="P136" s="1"/>
      <c r="Q136" s="1"/>
      <c r="R136" s="1"/>
      <c r="S136" s="1"/>
      <c r="T136" s="1"/>
      <c r="U136" s="1"/>
      <c r="V136" s="1"/>
      <c r="W136" s="1"/>
      <c r="X136" s="1"/>
    </row>
    <row x14ac:dyDescent="0.25" r="137" customHeight="1" ht="18.75">
      <c r="A137" s="1"/>
      <c r="B137" s="1"/>
      <c r="C137" s="3" t="s">
        <v>143</v>
      </c>
      <c r="D137" s="3" t="s">
        <v>201</v>
      </c>
      <c r="E137" s="1"/>
      <c r="F137" s="1"/>
      <c r="G137" s="1"/>
      <c r="H137" s="1"/>
      <c r="I137" s="2"/>
      <c r="J137" s="1"/>
      <c r="K137" s="1"/>
      <c r="L137" s="1"/>
      <c r="M137" s="1"/>
      <c r="N137" s="1"/>
      <c r="O137" s="1"/>
      <c r="P137" s="1"/>
      <c r="Q137" s="1"/>
      <c r="R137" s="1"/>
      <c r="S137" s="1"/>
      <c r="T137" s="1"/>
      <c r="U137" s="1"/>
      <c r="V137" s="1"/>
      <c r="W137" s="1"/>
      <c r="X137" s="1"/>
    </row>
    <row x14ac:dyDescent="0.25" r="138" customHeight="1" ht="18.75">
      <c r="A138" s="1"/>
      <c r="B138" s="1"/>
      <c r="C138" s="3" t="s">
        <v>143</v>
      </c>
      <c r="D138" s="3" t="s">
        <v>202</v>
      </c>
      <c r="E138" s="1"/>
      <c r="F138" s="1"/>
      <c r="G138" s="1"/>
      <c r="H138" s="1"/>
      <c r="I138" s="2"/>
      <c r="J138" s="1"/>
      <c r="K138" s="1"/>
      <c r="L138" s="1"/>
      <c r="M138" s="1"/>
      <c r="N138" s="1"/>
      <c r="O138" s="1"/>
      <c r="P138" s="1"/>
      <c r="Q138" s="1"/>
      <c r="R138" s="1"/>
      <c r="S138" s="1"/>
      <c r="T138" s="1"/>
      <c r="U138" s="1"/>
      <c r="V138" s="1"/>
      <c r="W138" s="1"/>
      <c r="X138" s="1"/>
    </row>
    <row x14ac:dyDescent="0.25" r="139" customHeight="1" ht="18.75">
      <c r="A139" s="1"/>
      <c r="B139" s="1"/>
      <c r="C139" s="3" t="s">
        <v>143</v>
      </c>
      <c r="D139" s="3" t="s">
        <v>203</v>
      </c>
      <c r="E139" s="1"/>
      <c r="F139" s="1"/>
      <c r="G139" s="1"/>
      <c r="H139" s="1"/>
      <c r="I139" s="2"/>
      <c r="J139" s="1"/>
      <c r="K139" s="1"/>
      <c r="L139" s="1"/>
      <c r="M139" s="1"/>
      <c r="N139" s="1"/>
      <c r="O139" s="1"/>
      <c r="P139" s="1"/>
      <c r="Q139" s="1"/>
      <c r="R139" s="1"/>
      <c r="S139" s="1"/>
      <c r="T139" s="1"/>
      <c r="U139" s="1"/>
      <c r="V139" s="1"/>
      <c r="W139" s="1"/>
      <c r="X139" s="1"/>
    </row>
    <row x14ac:dyDescent="0.25" r="140" customHeight="1" ht="18.75">
      <c r="A140" s="1"/>
      <c r="B140" s="1"/>
      <c r="C140" s="3" t="s">
        <v>147</v>
      </c>
      <c r="D140" s="3" t="s">
        <v>204</v>
      </c>
      <c r="E140" s="1"/>
      <c r="F140" s="1"/>
      <c r="G140" s="1"/>
      <c r="H140" s="1"/>
      <c r="I140" s="2"/>
      <c r="J140" s="1"/>
      <c r="K140" s="1"/>
      <c r="L140" s="1"/>
      <c r="M140" s="1"/>
      <c r="N140" s="1"/>
      <c r="O140" s="1"/>
      <c r="P140" s="1"/>
      <c r="Q140" s="1"/>
      <c r="R140" s="1"/>
      <c r="S140" s="1"/>
      <c r="T140" s="1"/>
      <c r="U140" s="1"/>
      <c r="V140" s="1"/>
      <c r="W140" s="1"/>
      <c r="X140" s="1"/>
    </row>
    <row x14ac:dyDescent="0.25" r="141" customHeight="1" ht="18.75">
      <c r="A141" s="1"/>
      <c r="B141" s="1"/>
      <c r="C141" s="3" t="s">
        <v>147</v>
      </c>
      <c r="D141" s="3" t="s">
        <v>205</v>
      </c>
      <c r="E141" s="1"/>
      <c r="F141" s="1"/>
      <c r="G141" s="1"/>
      <c r="H141" s="1"/>
      <c r="I141" s="2"/>
      <c r="J141" s="1"/>
      <c r="K141" s="1"/>
      <c r="L141" s="1"/>
      <c r="M141" s="1"/>
      <c r="N141" s="1"/>
      <c r="O141" s="1"/>
      <c r="P141" s="1"/>
      <c r="Q141" s="1"/>
      <c r="R141" s="1"/>
      <c r="S141" s="1"/>
      <c r="T141" s="1"/>
      <c r="U141" s="1"/>
      <c r="V141" s="1"/>
      <c r="W141" s="1"/>
      <c r="X141" s="1"/>
    </row>
    <row x14ac:dyDescent="0.25" r="142" customHeight="1" ht="18.75">
      <c r="A142" s="1"/>
      <c r="B142" s="1"/>
      <c r="C142" s="3" t="s">
        <v>147</v>
      </c>
      <c r="D142" s="3" t="s">
        <v>206</v>
      </c>
      <c r="E142" s="1"/>
      <c r="F142" s="1"/>
      <c r="G142" s="1"/>
      <c r="H142" s="1"/>
      <c r="I142" s="2"/>
      <c r="J142" s="1"/>
      <c r="K142" s="1"/>
      <c r="L142" s="1"/>
      <c r="M142" s="1"/>
      <c r="N142" s="1"/>
      <c r="O142" s="1"/>
      <c r="P142" s="1"/>
      <c r="Q142" s="1"/>
      <c r="R142" s="1"/>
      <c r="S142" s="1"/>
      <c r="T142" s="1"/>
      <c r="U142" s="1"/>
      <c r="V142" s="1"/>
      <c r="W142" s="1"/>
      <c r="X142" s="1"/>
    </row>
    <row x14ac:dyDescent="0.25" r="143" customHeight="1" ht="18.75">
      <c r="A143" s="1"/>
      <c r="B143" s="1"/>
      <c r="C143" s="3" t="s">
        <v>143</v>
      </c>
      <c r="D143" s="3" t="s">
        <v>207</v>
      </c>
      <c r="E143" s="1"/>
      <c r="F143" s="1"/>
      <c r="G143" s="1"/>
      <c r="H143" s="1"/>
      <c r="I143" s="2"/>
      <c r="J143" s="1"/>
      <c r="K143" s="1"/>
      <c r="L143" s="1"/>
      <c r="M143" s="1"/>
      <c r="N143" s="1"/>
      <c r="O143" s="1"/>
      <c r="P143" s="1"/>
      <c r="Q143" s="1"/>
      <c r="R143" s="1"/>
      <c r="S143" s="1"/>
      <c r="T143" s="1"/>
      <c r="U143" s="1"/>
      <c r="V143" s="1"/>
      <c r="W143" s="1"/>
      <c r="X143" s="1"/>
    </row>
    <row x14ac:dyDescent="0.25" r="144" customHeight="1" ht="18.75">
      <c r="A144" s="1"/>
      <c r="B144" s="1"/>
      <c r="C144" s="3" t="s">
        <v>143</v>
      </c>
      <c r="D144" s="3" t="s">
        <v>208</v>
      </c>
      <c r="E144" s="1"/>
      <c r="F144" s="1"/>
      <c r="G144" s="1"/>
      <c r="H144" s="1"/>
      <c r="I144" s="2"/>
      <c r="J144" s="1"/>
      <c r="K144" s="1"/>
      <c r="L144" s="1"/>
      <c r="M144" s="1"/>
      <c r="N144" s="1"/>
      <c r="O144" s="1"/>
      <c r="P144" s="1"/>
      <c r="Q144" s="1"/>
      <c r="R144" s="1"/>
      <c r="S144" s="1"/>
      <c r="T144" s="1"/>
      <c r="U144" s="1"/>
      <c r="V144" s="1"/>
      <c r="W144" s="1"/>
      <c r="X144" s="1"/>
    </row>
    <row x14ac:dyDescent="0.25" r="145" customHeight="1" ht="18.75">
      <c r="A145" s="1"/>
      <c r="B145" s="1"/>
      <c r="C145" s="3" t="s">
        <v>143</v>
      </c>
      <c r="D145" s="3" t="s">
        <v>209</v>
      </c>
      <c r="E145" s="1"/>
      <c r="F145" s="1"/>
      <c r="G145" s="1"/>
      <c r="H145" s="1"/>
      <c r="I145" s="2"/>
      <c r="J145" s="1"/>
      <c r="K145" s="1"/>
      <c r="L145" s="1"/>
      <c r="M145" s="1"/>
      <c r="N145" s="1"/>
      <c r="O145" s="1"/>
      <c r="P145" s="1"/>
      <c r="Q145" s="1"/>
      <c r="R145" s="1"/>
      <c r="S145" s="1"/>
      <c r="T145" s="1"/>
      <c r="U145" s="1"/>
      <c r="V145" s="1"/>
      <c r="W145" s="1"/>
      <c r="X145" s="1"/>
    </row>
    <row x14ac:dyDescent="0.25" r="146" customHeight="1" ht="18.75">
      <c r="A146" s="1"/>
      <c r="B146" s="1"/>
      <c r="C146" s="3" t="s">
        <v>121</v>
      </c>
      <c r="D146" s="3" t="s">
        <v>210</v>
      </c>
      <c r="E146" s="1"/>
      <c r="F146" s="1"/>
      <c r="G146" s="1"/>
      <c r="H146" s="1"/>
      <c r="I146" s="2"/>
      <c r="J146" s="1"/>
      <c r="K146" s="1"/>
      <c r="L146" s="1"/>
      <c r="M146" s="1"/>
      <c r="N146" s="1"/>
      <c r="O146" s="1"/>
      <c r="P146" s="1"/>
      <c r="Q146" s="1"/>
      <c r="R146" s="1"/>
      <c r="S146" s="1"/>
      <c r="T146" s="1"/>
      <c r="U146" s="1"/>
      <c r="V146" s="1"/>
      <c r="W146" s="1"/>
      <c r="X146" s="1"/>
    </row>
    <row x14ac:dyDescent="0.25" r="147" customHeight="1" ht="18.75">
      <c r="A147" s="1"/>
      <c r="B147" s="1"/>
      <c r="C147" s="3" t="s">
        <v>147</v>
      </c>
      <c r="D147" s="3" t="s">
        <v>211</v>
      </c>
      <c r="E147" s="1"/>
      <c r="F147" s="1"/>
      <c r="G147" s="1"/>
      <c r="H147" s="1"/>
      <c r="I147" s="2"/>
      <c r="J147" s="1"/>
      <c r="K147" s="1"/>
      <c r="L147" s="1"/>
      <c r="M147" s="1"/>
      <c r="N147" s="1"/>
      <c r="O147" s="1"/>
      <c r="P147" s="1"/>
      <c r="Q147" s="1"/>
      <c r="R147" s="1"/>
      <c r="S147" s="1"/>
      <c r="T147" s="1"/>
      <c r="U147" s="1"/>
      <c r="V147" s="1"/>
      <c r="W147" s="1"/>
      <c r="X147" s="1"/>
    </row>
    <row x14ac:dyDescent="0.25" r="148" customHeight="1" ht="18.75">
      <c r="A148" s="1"/>
      <c r="B148" s="1"/>
      <c r="C148" s="3" t="s">
        <v>147</v>
      </c>
      <c r="D148" s="3" t="s">
        <v>212</v>
      </c>
      <c r="E148" s="1"/>
      <c r="F148" s="1"/>
      <c r="G148" s="1"/>
      <c r="H148" s="1"/>
      <c r="I148" s="2"/>
      <c r="J148" s="1"/>
      <c r="K148" s="1"/>
      <c r="L148" s="1"/>
      <c r="M148" s="1"/>
      <c r="N148" s="1"/>
      <c r="O148" s="1"/>
      <c r="P148" s="1"/>
      <c r="Q148" s="1"/>
      <c r="R148" s="1"/>
      <c r="S148" s="1"/>
      <c r="T148" s="1"/>
      <c r="U148" s="1"/>
      <c r="V148" s="1"/>
      <c r="W148" s="1"/>
      <c r="X148" s="1"/>
    </row>
    <row x14ac:dyDescent="0.25" r="149" customHeight="1" ht="18.75">
      <c r="A149" s="1"/>
      <c r="B149" s="1"/>
      <c r="C149" s="3" t="s">
        <v>143</v>
      </c>
      <c r="D149" s="3" t="s">
        <v>213</v>
      </c>
      <c r="E149" s="1"/>
      <c r="F149" s="1"/>
      <c r="G149" s="1"/>
      <c r="H149" s="1"/>
      <c r="I149" s="2"/>
      <c r="J149" s="1"/>
      <c r="K149" s="1"/>
      <c r="L149" s="1"/>
      <c r="M149" s="1"/>
      <c r="N149" s="1"/>
      <c r="O149" s="1"/>
      <c r="P149" s="1"/>
      <c r="Q149" s="1"/>
      <c r="R149" s="1"/>
      <c r="S149" s="1"/>
      <c r="T149" s="1"/>
      <c r="U149" s="1"/>
      <c r="V149" s="1"/>
      <c r="W149" s="1"/>
      <c r="X149" s="1"/>
    </row>
    <row x14ac:dyDescent="0.25" r="150" customHeight="1" ht="18.75">
      <c r="A150" s="1"/>
      <c r="B150" s="1"/>
      <c r="C150" s="3" t="s">
        <v>143</v>
      </c>
      <c r="D150" s="3" t="s">
        <v>214</v>
      </c>
      <c r="E150" s="1"/>
      <c r="F150" s="1"/>
      <c r="G150" s="1"/>
      <c r="H150" s="1"/>
      <c r="I150" s="2"/>
      <c r="J150" s="1"/>
      <c r="K150" s="1"/>
      <c r="L150" s="1"/>
      <c r="M150" s="1"/>
      <c r="N150" s="1"/>
      <c r="O150" s="1"/>
      <c r="P150" s="1"/>
      <c r="Q150" s="1"/>
      <c r="R150" s="1"/>
      <c r="S150" s="1"/>
      <c r="T150" s="1"/>
      <c r="U150" s="1"/>
      <c r="V150" s="1"/>
      <c r="W150" s="1"/>
      <c r="X150" s="1"/>
    </row>
    <row x14ac:dyDescent="0.25" r="151" customHeight="1" ht="18.75">
      <c r="A151" s="1"/>
      <c r="B151" s="1"/>
      <c r="C151" s="3" t="s">
        <v>143</v>
      </c>
      <c r="D151" s="3" t="s">
        <v>215</v>
      </c>
      <c r="E151" s="1"/>
      <c r="F151" s="1"/>
      <c r="G151" s="1"/>
      <c r="H151" s="1"/>
      <c r="I151" s="2"/>
      <c r="J151" s="1"/>
      <c r="K151" s="1"/>
      <c r="L151" s="1"/>
      <c r="M151" s="1"/>
      <c r="N151" s="1"/>
      <c r="O151" s="1"/>
      <c r="P151" s="1"/>
      <c r="Q151" s="1"/>
      <c r="R151" s="1"/>
      <c r="S151" s="1"/>
      <c r="T151" s="1"/>
      <c r="U151" s="1"/>
      <c r="V151" s="1"/>
      <c r="W151" s="1"/>
      <c r="X151" s="1"/>
    </row>
    <row x14ac:dyDescent="0.25" r="152" customHeight="1" ht="18.75">
      <c r="A152" s="1"/>
      <c r="B152" s="1"/>
      <c r="C152" s="3" t="s">
        <v>143</v>
      </c>
      <c r="D152" s="3" t="s">
        <v>216</v>
      </c>
      <c r="E152" s="1"/>
      <c r="F152" s="1"/>
      <c r="G152" s="1"/>
      <c r="H152" s="1"/>
      <c r="I152" s="2"/>
      <c r="J152" s="1"/>
      <c r="K152" s="1"/>
      <c r="L152" s="1"/>
      <c r="M152" s="1"/>
      <c r="N152" s="1"/>
      <c r="O152" s="1"/>
      <c r="P152" s="1"/>
      <c r="Q152" s="1"/>
      <c r="R152" s="1"/>
      <c r="S152" s="1"/>
      <c r="T152" s="1"/>
      <c r="U152" s="1"/>
      <c r="V152" s="1"/>
      <c r="W152" s="1"/>
      <c r="X152" s="1"/>
    </row>
    <row x14ac:dyDescent="0.25" r="153" customHeight="1" ht="18.75">
      <c r="A153" s="1"/>
      <c r="B153" s="1"/>
      <c r="C153" s="3" t="s">
        <v>143</v>
      </c>
      <c r="D153" s="3" t="s">
        <v>217</v>
      </c>
      <c r="E153" s="1"/>
      <c r="F153" s="1"/>
      <c r="G153" s="1"/>
      <c r="H153" s="1"/>
      <c r="I153" s="2"/>
      <c r="J153" s="1"/>
      <c r="K153" s="1"/>
      <c r="L153" s="1"/>
      <c r="M153" s="1"/>
      <c r="N153" s="1"/>
      <c r="O153" s="1"/>
      <c r="P153" s="1"/>
      <c r="Q153" s="1"/>
      <c r="R153" s="1"/>
      <c r="S153" s="1"/>
      <c r="T153" s="1"/>
      <c r="U153" s="1"/>
      <c r="V153" s="1"/>
      <c r="W153" s="1"/>
      <c r="X153" s="1"/>
    </row>
    <row x14ac:dyDescent="0.25" r="154" customHeight="1" ht="18.75">
      <c r="A154" s="1"/>
      <c r="B154" s="1"/>
      <c r="C154" s="3" t="s">
        <v>121</v>
      </c>
      <c r="D154" s="3" t="s">
        <v>218</v>
      </c>
      <c r="E154" s="1"/>
      <c r="F154" s="1"/>
      <c r="G154" s="1"/>
      <c r="H154" s="1"/>
      <c r="I154" s="2"/>
      <c r="J154" s="1"/>
      <c r="K154" s="1"/>
      <c r="L154" s="1"/>
      <c r="M154" s="1"/>
      <c r="N154" s="1"/>
      <c r="O154" s="1"/>
      <c r="P154" s="1"/>
      <c r="Q154" s="1"/>
      <c r="R154" s="1"/>
      <c r="S154" s="1"/>
      <c r="T154" s="1"/>
      <c r="U154" s="1"/>
      <c r="V154" s="1"/>
      <c r="W154" s="1"/>
      <c r="X154" s="1"/>
    </row>
    <row x14ac:dyDescent="0.25" r="155" customHeight="1" ht="18.75">
      <c r="A155" s="1"/>
      <c r="B155" s="1"/>
      <c r="C155" s="3" t="s">
        <v>143</v>
      </c>
      <c r="D155" s="3" t="s">
        <v>219</v>
      </c>
      <c r="E155" s="1"/>
      <c r="F155" s="1"/>
      <c r="G155" s="1"/>
      <c r="H155" s="1"/>
      <c r="I155" s="2"/>
      <c r="J155" s="1"/>
      <c r="K155" s="1"/>
      <c r="L155" s="1"/>
      <c r="M155" s="1"/>
      <c r="N155" s="1"/>
      <c r="O155" s="1"/>
      <c r="P155" s="1"/>
      <c r="Q155" s="1"/>
      <c r="R155" s="1"/>
      <c r="S155" s="1"/>
      <c r="T155" s="1"/>
      <c r="U155" s="1"/>
      <c r="V155" s="1"/>
      <c r="W155" s="1"/>
      <c r="X155" s="1"/>
    </row>
    <row x14ac:dyDescent="0.25" r="156" customHeight="1" ht="18.75">
      <c r="A156" s="1"/>
      <c r="B156" s="1"/>
      <c r="C156" s="3" t="s">
        <v>143</v>
      </c>
      <c r="D156" s="3" t="s">
        <v>220</v>
      </c>
      <c r="E156" s="1"/>
      <c r="F156" s="1"/>
      <c r="G156" s="1"/>
      <c r="H156" s="1"/>
      <c r="I156" s="2"/>
      <c r="J156" s="1"/>
      <c r="K156" s="1"/>
      <c r="L156" s="1"/>
      <c r="M156" s="1"/>
      <c r="N156" s="1"/>
      <c r="O156" s="1"/>
      <c r="P156" s="1"/>
      <c r="Q156" s="1"/>
      <c r="R156" s="1"/>
      <c r="S156" s="1"/>
      <c r="T156" s="1"/>
      <c r="U156" s="1"/>
      <c r="V156" s="1"/>
      <c r="W156" s="1"/>
      <c r="X156" s="1"/>
    </row>
    <row x14ac:dyDescent="0.25" r="157" customHeight="1" ht="18.75">
      <c r="A157" s="1"/>
      <c r="B157" s="1"/>
      <c r="C157" s="3" t="s">
        <v>147</v>
      </c>
      <c r="D157" s="3" t="s">
        <v>221</v>
      </c>
      <c r="E157" s="1"/>
      <c r="F157" s="1"/>
      <c r="G157" s="1"/>
      <c r="H157" s="1"/>
      <c r="I157" s="2"/>
      <c r="J157" s="1"/>
      <c r="K157" s="1"/>
      <c r="L157" s="1"/>
      <c r="M157" s="1"/>
      <c r="N157" s="1"/>
      <c r="O157" s="1"/>
      <c r="P157" s="1"/>
      <c r="Q157" s="1"/>
      <c r="R157" s="1"/>
      <c r="S157" s="1"/>
      <c r="T157" s="1"/>
      <c r="U157" s="1"/>
      <c r="V157" s="1"/>
      <c r="W157" s="1"/>
      <c r="X157" s="1"/>
    </row>
    <row x14ac:dyDescent="0.25" r="158" customHeight="1" ht="18.75">
      <c r="A158" s="1"/>
      <c r="B158" s="1"/>
      <c r="C158" s="3" t="s">
        <v>143</v>
      </c>
      <c r="D158" s="3" t="s">
        <v>222</v>
      </c>
      <c r="E158" s="1"/>
      <c r="F158" s="1"/>
      <c r="G158" s="1"/>
      <c r="H158" s="1"/>
      <c r="I158" s="2"/>
      <c r="J158" s="1"/>
      <c r="K158" s="1"/>
      <c r="L158" s="1"/>
      <c r="M158" s="1"/>
      <c r="N158" s="1"/>
      <c r="O158" s="1"/>
      <c r="P158" s="1"/>
      <c r="Q158" s="1"/>
      <c r="R158" s="1"/>
      <c r="S158" s="1"/>
      <c r="T158" s="1"/>
      <c r="U158" s="1"/>
      <c r="V158" s="1"/>
      <c r="W158" s="1"/>
      <c r="X158" s="1"/>
    </row>
    <row x14ac:dyDescent="0.25" r="159" customHeight="1" ht="18.75">
      <c r="A159" s="1"/>
      <c r="B159" s="1"/>
      <c r="C159" s="3" t="s">
        <v>147</v>
      </c>
      <c r="D159" s="3" t="s">
        <v>223</v>
      </c>
      <c r="E159" s="1"/>
      <c r="F159" s="1"/>
      <c r="G159" s="1"/>
      <c r="H159" s="1"/>
      <c r="I159" s="2"/>
      <c r="J159" s="1"/>
      <c r="K159" s="1"/>
      <c r="L159" s="1"/>
      <c r="M159" s="1"/>
      <c r="N159" s="1"/>
      <c r="O159" s="1"/>
      <c r="P159" s="1"/>
      <c r="Q159" s="1"/>
      <c r="R159" s="1"/>
      <c r="S159" s="1"/>
      <c r="T159" s="1"/>
      <c r="U159" s="1"/>
      <c r="V159" s="1"/>
      <c r="W159" s="1"/>
      <c r="X159" s="1"/>
    </row>
    <row x14ac:dyDescent="0.25" r="160" customHeight="1" ht="18.75">
      <c r="A160" s="1"/>
      <c r="B160" s="1"/>
      <c r="C160" s="3" t="s">
        <v>147</v>
      </c>
      <c r="D160" s="3" t="s">
        <v>224</v>
      </c>
      <c r="E160" s="1"/>
      <c r="F160" s="1"/>
      <c r="G160" s="1"/>
      <c r="H160" s="1"/>
      <c r="I160" s="2"/>
      <c r="J160" s="1"/>
      <c r="K160" s="1"/>
      <c r="L160" s="1"/>
      <c r="M160" s="1"/>
      <c r="N160" s="1"/>
      <c r="O160" s="1"/>
      <c r="P160" s="1"/>
      <c r="Q160" s="1"/>
      <c r="R160" s="1"/>
      <c r="S160" s="1"/>
      <c r="T160" s="1"/>
      <c r="U160" s="1"/>
      <c r="V160" s="1"/>
      <c r="W160" s="1"/>
      <c r="X160" s="1"/>
    </row>
    <row x14ac:dyDescent="0.25" r="161" customHeight="1" ht="18.75">
      <c r="A161" s="1"/>
      <c r="B161" s="1"/>
      <c r="C161" s="3" t="s">
        <v>143</v>
      </c>
      <c r="D161" s="3" t="s">
        <v>225</v>
      </c>
      <c r="E161" s="1"/>
      <c r="F161" s="1"/>
      <c r="G161" s="1"/>
      <c r="H161" s="1"/>
      <c r="I161" s="2"/>
      <c r="J161" s="1"/>
      <c r="K161" s="1"/>
      <c r="L161" s="1"/>
      <c r="M161" s="1"/>
      <c r="N161" s="1"/>
      <c r="O161" s="1"/>
      <c r="P161" s="1"/>
      <c r="Q161" s="1"/>
      <c r="R161" s="1"/>
      <c r="S161" s="1"/>
      <c r="T161" s="1"/>
      <c r="U161" s="1"/>
      <c r="V161" s="1"/>
      <c r="W161" s="1"/>
      <c r="X161" s="1"/>
    </row>
    <row x14ac:dyDescent="0.25" r="162" customHeight="1" ht="18.75">
      <c r="A162" s="1"/>
      <c r="B162" s="1"/>
      <c r="C162" s="3" t="s">
        <v>143</v>
      </c>
      <c r="D162" s="3" t="s">
        <v>226</v>
      </c>
      <c r="E162" s="1"/>
      <c r="F162" s="1"/>
      <c r="G162" s="1"/>
      <c r="H162" s="1"/>
      <c r="I162" s="2"/>
      <c r="J162" s="1"/>
      <c r="K162" s="1"/>
      <c r="L162" s="1"/>
      <c r="M162" s="1"/>
      <c r="N162" s="1"/>
      <c r="O162" s="1"/>
      <c r="P162" s="1"/>
      <c r="Q162" s="1"/>
      <c r="R162" s="1"/>
      <c r="S162" s="1"/>
      <c r="T162" s="1"/>
      <c r="U162" s="1"/>
      <c r="V162" s="1"/>
      <c r="W162" s="1"/>
      <c r="X162" s="1"/>
    </row>
    <row x14ac:dyDescent="0.25" r="163" customHeight="1" ht="18.75">
      <c r="A163" s="1"/>
      <c r="B163" s="1"/>
      <c r="C163" s="3" t="s">
        <v>147</v>
      </c>
      <c r="D163" s="3" t="s">
        <v>227</v>
      </c>
      <c r="E163" s="1"/>
      <c r="F163" s="1"/>
      <c r="G163" s="1"/>
      <c r="H163" s="1"/>
      <c r="I163" s="2"/>
      <c r="J163" s="1"/>
      <c r="K163" s="1"/>
      <c r="L163" s="1"/>
      <c r="M163" s="1"/>
      <c r="N163" s="1"/>
      <c r="O163" s="1"/>
      <c r="P163" s="1"/>
      <c r="Q163" s="1"/>
      <c r="R163" s="1"/>
      <c r="S163" s="1"/>
      <c r="T163" s="1"/>
      <c r="U163" s="1"/>
      <c r="V163" s="1"/>
      <c r="W163" s="1"/>
      <c r="X163" s="1"/>
    </row>
    <row x14ac:dyDescent="0.25" r="164" customHeight="1" ht="18.75">
      <c r="A164" s="1"/>
      <c r="B164" s="1"/>
      <c r="C164" s="3" t="s">
        <v>147</v>
      </c>
      <c r="D164" s="3" t="s">
        <v>228</v>
      </c>
      <c r="E164" s="1"/>
      <c r="F164" s="1"/>
      <c r="G164" s="1"/>
      <c r="H164" s="1"/>
      <c r="I164" s="2"/>
      <c r="J164" s="1"/>
      <c r="K164" s="1"/>
      <c r="L164" s="1"/>
      <c r="M164" s="1"/>
      <c r="N164" s="1"/>
      <c r="O164" s="1"/>
      <c r="P164" s="1"/>
      <c r="Q164" s="1"/>
      <c r="R164" s="1"/>
      <c r="S164" s="1"/>
      <c r="T164" s="1"/>
      <c r="U164" s="1"/>
      <c r="V164" s="1"/>
      <c r="W164" s="1"/>
      <c r="X164" s="1"/>
    </row>
    <row x14ac:dyDescent="0.25" r="165" customHeight="1" ht="18.75">
      <c r="A165" s="1"/>
      <c r="B165" s="1"/>
      <c r="C165" s="3" t="s">
        <v>147</v>
      </c>
      <c r="D165" s="3" t="s">
        <v>229</v>
      </c>
      <c r="E165" s="1"/>
      <c r="F165" s="1"/>
      <c r="G165" s="1"/>
      <c r="H165" s="1"/>
      <c r="I165" s="2"/>
      <c r="J165" s="1"/>
      <c r="K165" s="1"/>
      <c r="L165" s="1"/>
      <c r="M165" s="1"/>
      <c r="N165" s="1"/>
      <c r="O165" s="1"/>
      <c r="P165" s="1"/>
      <c r="Q165" s="1"/>
      <c r="R165" s="1"/>
      <c r="S165" s="1"/>
      <c r="T165" s="1"/>
      <c r="U165" s="1"/>
      <c r="V165" s="1"/>
      <c r="W165" s="1"/>
      <c r="X165" s="1"/>
    </row>
    <row x14ac:dyDescent="0.25" r="166" customHeight="1" ht="18.75">
      <c r="A166" s="1"/>
      <c r="B166" s="1"/>
      <c r="C166" s="3" t="s">
        <v>143</v>
      </c>
      <c r="D166" s="3" t="s">
        <v>230</v>
      </c>
      <c r="E166" s="1"/>
      <c r="F166" s="1"/>
      <c r="G166" s="1"/>
      <c r="H166" s="1"/>
      <c r="I166" s="2"/>
      <c r="J166" s="1"/>
      <c r="K166" s="1"/>
      <c r="L166" s="1"/>
      <c r="M166" s="1"/>
      <c r="N166" s="1"/>
      <c r="O166" s="1"/>
      <c r="P166" s="1"/>
      <c r="Q166" s="1"/>
      <c r="R166" s="1"/>
      <c r="S166" s="1"/>
      <c r="T166" s="1"/>
      <c r="U166" s="1"/>
      <c r="V166" s="1"/>
      <c r="W166" s="1"/>
      <c r="X166" s="1"/>
    </row>
    <row x14ac:dyDescent="0.25" r="167" customHeight="1" ht="18.75">
      <c r="A167" s="1"/>
      <c r="B167" s="1"/>
      <c r="C167" s="3" t="s">
        <v>143</v>
      </c>
      <c r="D167" s="3" t="s">
        <v>231</v>
      </c>
      <c r="E167" s="1"/>
      <c r="F167" s="1"/>
      <c r="G167" s="1"/>
      <c r="H167" s="1"/>
      <c r="I167" s="2"/>
      <c r="J167" s="1"/>
      <c r="K167" s="1"/>
      <c r="L167" s="1"/>
      <c r="M167" s="1"/>
      <c r="N167" s="1"/>
      <c r="O167" s="1"/>
      <c r="P167" s="1"/>
      <c r="Q167" s="1"/>
      <c r="R167" s="1"/>
      <c r="S167" s="1"/>
      <c r="T167" s="1"/>
      <c r="U167" s="1"/>
      <c r="V167" s="1"/>
      <c r="W167" s="1"/>
      <c r="X167" s="1"/>
    </row>
    <row x14ac:dyDescent="0.25" r="168" customHeight="1" ht="18.75">
      <c r="A168" s="1"/>
      <c r="B168" s="1"/>
      <c r="C168" s="3" t="s">
        <v>121</v>
      </c>
      <c r="D168" s="3" t="s">
        <v>232</v>
      </c>
      <c r="E168" s="1"/>
      <c r="F168" s="1"/>
      <c r="G168" s="1"/>
      <c r="H168" s="1"/>
      <c r="I168" s="2"/>
      <c r="J168" s="1"/>
      <c r="K168" s="1"/>
      <c r="L168" s="1"/>
      <c r="M168" s="1"/>
      <c r="N168" s="1"/>
      <c r="O168" s="1"/>
      <c r="P168" s="1"/>
      <c r="Q168" s="1"/>
      <c r="R168" s="1"/>
      <c r="S168" s="1"/>
      <c r="T168" s="1"/>
      <c r="U168" s="1"/>
      <c r="V168" s="1"/>
      <c r="W168" s="1"/>
      <c r="X168" s="1"/>
    </row>
    <row x14ac:dyDescent="0.25" r="169" customHeight="1" ht="18.75">
      <c r="A169" s="1"/>
      <c r="B169" s="1"/>
      <c r="C169" s="3" t="s">
        <v>143</v>
      </c>
      <c r="D169" s="3" t="s">
        <v>233</v>
      </c>
      <c r="E169" s="1"/>
      <c r="F169" s="1"/>
      <c r="G169" s="1"/>
      <c r="H169" s="1"/>
      <c r="I169" s="2"/>
      <c r="J169" s="1"/>
      <c r="K169" s="1"/>
      <c r="L169" s="1"/>
      <c r="M169" s="1"/>
      <c r="N169" s="1"/>
      <c r="O169" s="1"/>
      <c r="P169" s="1"/>
      <c r="Q169" s="1"/>
      <c r="R169" s="1"/>
      <c r="S169" s="1"/>
      <c r="T169" s="1"/>
      <c r="U169" s="1"/>
      <c r="V169" s="1"/>
      <c r="W169" s="1"/>
      <c r="X169" s="1"/>
    </row>
    <row x14ac:dyDescent="0.25" r="170" customHeight="1" ht="18.75">
      <c r="A170" s="1"/>
      <c r="B170" s="1"/>
      <c r="C170" s="3" t="s">
        <v>121</v>
      </c>
      <c r="D170" s="3" t="s">
        <v>233</v>
      </c>
      <c r="E170" s="1"/>
      <c r="F170" s="1"/>
      <c r="G170" s="1"/>
      <c r="H170" s="1"/>
      <c r="I170" s="2"/>
      <c r="J170" s="1"/>
      <c r="K170" s="1"/>
      <c r="L170" s="1"/>
      <c r="M170" s="1"/>
      <c r="N170" s="1"/>
      <c r="O170" s="1"/>
      <c r="P170" s="1"/>
      <c r="Q170" s="1"/>
      <c r="R170" s="1"/>
      <c r="S170" s="1"/>
      <c r="T170" s="1"/>
      <c r="U170" s="1"/>
      <c r="V170" s="1"/>
      <c r="W170" s="1"/>
      <c r="X170" s="1"/>
    </row>
    <row x14ac:dyDescent="0.25" r="171" customHeight="1" ht="18.75">
      <c r="A171" s="1"/>
      <c r="B171" s="1"/>
      <c r="C171" s="3" t="s">
        <v>143</v>
      </c>
      <c r="D171" s="3" t="s">
        <v>234</v>
      </c>
      <c r="E171" s="1"/>
      <c r="F171" s="1"/>
      <c r="G171" s="1"/>
      <c r="H171" s="1"/>
      <c r="I171" s="2"/>
      <c r="J171" s="1"/>
      <c r="K171" s="1"/>
      <c r="L171" s="1"/>
      <c r="M171" s="1"/>
      <c r="N171" s="1"/>
      <c r="O171" s="1"/>
      <c r="P171" s="1"/>
      <c r="Q171" s="1"/>
      <c r="R171" s="1"/>
      <c r="S171" s="1"/>
      <c r="T171" s="1"/>
      <c r="U171" s="1"/>
      <c r="V171" s="1"/>
      <c r="W171" s="1"/>
      <c r="X171" s="1"/>
    </row>
    <row x14ac:dyDescent="0.25" r="172" customHeight="1" ht="18.75">
      <c r="A172" s="1"/>
      <c r="B172" s="1"/>
      <c r="C172" s="3" t="s">
        <v>143</v>
      </c>
      <c r="D172" s="3" t="s">
        <v>235</v>
      </c>
      <c r="E172" s="1"/>
      <c r="F172" s="1"/>
      <c r="G172" s="1"/>
      <c r="H172" s="1"/>
      <c r="I172" s="2"/>
      <c r="J172" s="1"/>
      <c r="K172" s="1"/>
      <c r="L172" s="1"/>
      <c r="M172" s="1"/>
      <c r="N172" s="1"/>
      <c r="O172" s="1"/>
      <c r="P172" s="1"/>
      <c r="Q172" s="1"/>
      <c r="R172" s="1"/>
      <c r="S172" s="1"/>
      <c r="T172" s="1"/>
      <c r="U172" s="1"/>
      <c r="V172" s="1"/>
      <c r="W172" s="1"/>
      <c r="X172" s="1"/>
    </row>
    <row x14ac:dyDescent="0.25" r="173" customHeight="1" ht="18.75">
      <c r="A173" s="1"/>
      <c r="B173" s="1"/>
      <c r="C173" s="3" t="s">
        <v>147</v>
      </c>
      <c r="D173" s="3" t="s">
        <v>236</v>
      </c>
      <c r="E173" s="1"/>
      <c r="F173" s="1"/>
      <c r="G173" s="1"/>
      <c r="H173" s="1"/>
      <c r="I173" s="2"/>
      <c r="J173" s="1"/>
      <c r="K173" s="1"/>
      <c r="L173" s="1"/>
      <c r="M173" s="1"/>
      <c r="N173" s="1"/>
      <c r="O173" s="1"/>
      <c r="P173" s="1"/>
      <c r="Q173" s="1"/>
      <c r="R173" s="1"/>
      <c r="S173" s="1"/>
      <c r="T173" s="1"/>
      <c r="U173" s="1"/>
      <c r="V173" s="1"/>
      <c r="W173" s="1"/>
      <c r="X173" s="1"/>
    </row>
    <row x14ac:dyDescent="0.25" r="174" customHeight="1" ht="18.75">
      <c r="A174" s="1"/>
      <c r="B174" s="1"/>
      <c r="C174" s="3" t="s">
        <v>143</v>
      </c>
      <c r="D174" s="3" t="s">
        <v>237</v>
      </c>
      <c r="E174" s="1"/>
      <c r="F174" s="1"/>
      <c r="G174" s="1"/>
      <c r="H174" s="1"/>
      <c r="I174" s="2"/>
      <c r="J174" s="1"/>
      <c r="K174" s="1"/>
      <c r="L174" s="1"/>
      <c r="M174" s="1"/>
      <c r="N174" s="1"/>
      <c r="O174" s="1"/>
      <c r="P174" s="1"/>
      <c r="Q174" s="1"/>
      <c r="R174" s="1"/>
      <c r="S174" s="1"/>
      <c r="T174" s="1"/>
      <c r="U174" s="1"/>
      <c r="V174" s="1"/>
      <c r="W174" s="1"/>
      <c r="X174" s="1"/>
    </row>
    <row x14ac:dyDescent="0.25" r="175" customHeight="1" ht="18.75">
      <c r="A175" s="1"/>
      <c r="B175" s="1"/>
      <c r="C175" s="3" t="s">
        <v>143</v>
      </c>
      <c r="D175" s="3" t="s">
        <v>238</v>
      </c>
      <c r="E175" s="1"/>
      <c r="F175" s="1"/>
      <c r="G175" s="1"/>
      <c r="H175" s="1"/>
      <c r="I175" s="2"/>
      <c r="J175" s="1"/>
      <c r="K175" s="1"/>
      <c r="L175" s="1"/>
      <c r="M175" s="1"/>
      <c r="N175" s="1"/>
      <c r="O175" s="1"/>
      <c r="P175" s="1"/>
      <c r="Q175" s="1"/>
      <c r="R175" s="1"/>
      <c r="S175" s="1"/>
      <c r="T175" s="1"/>
      <c r="U175" s="1"/>
      <c r="V175" s="1"/>
      <c r="W175" s="1"/>
      <c r="X175" s="1"/>
    </row>
    <row x14ac:dyDescent="0.25" r="176" customHeight="1" ht="18.75">
      <c r="A176" s="1"/>
      <c r="B176" s="1"/>
      <c r="C176" s="3" t="s">
        <v>143</v>
      </c>
      <c r="D176" s="3" t="s">
        <v>239</v>
      </c>
      <c r="E176" s="1"/>
      <c r="F176" s="1"/>
      <c r="G176" s="1"/>
      <c r="H176" s="1"/>
      <c r="I176" s="2"/>
      <c r="J176" s="1"/>
      <c r="K176" s="1"/>
      <c r="L176" s="1"/>
      <c r="M176" s="1"/>
      <c r="N176" s="1"/>
      <c r="O176" s="1"/>
      <c r="P176" s="1"/>
      <c r="Q176" s="1"/>
      <c r="R176" s="1"/>
      <c r="S176" s="1"/>
      <c r="T176" s="1"/>
      <c r="U176" s="1"/>
      <c r="V176" s="1"/>
      <c r="W176" s="1"/>
      <c r="X176" s="1"/>
    </row>
    <row x14ac:dyDescent="0.25" r="177" customHeight="1" ht="18.75">
      <c r="A177" s="1"/>
      <c r="B177" s="1"/>
      <c r="C177" s="3" t="s">
        <v>143</v>
      </c>
      <c r="D177" s="3" t="s">
        <v>240</v>
      </c>
      <c r="E177" s="1"/>
      <c r="F177" s="1"/>
      <c r="G177" s="1"/>
      <c r="H177" s="1"/>
      <c r="I177" s="2"/>
      <c r="J177" s="1"/>
      <c r="K177" s="1"/>
      <c r="L177" s="1"/>
      <c r="M177" s="1"/>
      <c r="N177" s="1"/>
      <c r="O177" s="1"/>
      <c r="P177" s="1"/>
      <c r="Q177" s="1"/>
      <c r="R177" s="1"/>
      <c r="S177" s="1"/>
      <c r="T177" s="1"/>
      <c r="U177" s="1"/>
      <c r="V177" s="1"/>
      <c r="W177" s="1"/>
      <c r="X177" s="1"/>
    </row>
    <row x14ac:dyDescent="0.25" r="178" customHeight="1" ht="18.75">
      <c r="A178" s="1"/>
      <c r="B178" s="1"/>
      <c r="C178" s="3" t="s">
        <v>121</v>
      </c>
      <c r="D178" s="3" t="s">
        <v>241</v>
      </c>
      <c r="E178" s="1"/>
      <c r="F178" s="1"/>
      <c r="G178" s="1"/>
      <c r="H178" s="1"/>
      <c r="I178" s="2"/>
      <c r="J178" s="1"/>
      <c r="K178" s="1"/>
      <c r="L178" s="1"/>
      <c r="M178" s="1"/>
      <c r="N178" s="1"/>
      <c r="O178" s="1"/>
      <c r="P178" s="1"/>
      <c r="Q178" s="1"/>
      <c r="R178" s="1"/>
      <c r="S178" s="1"/>
      <c r="T178" s="1"/>
      <c r="U178" s="1"/>
      <c r="V178" s="1"/>
      <c r="W178" s="1"/>
      <c r="X178" s="1"/>
    </row>
    <row x14ac:dyDescent="0.25" r="179" customHeight="1" ht="18.75">
      <c r="A179" s="1"/>
      <c r="B179" s="1"/>
      <c r="C179" s="3" t="s">
        <v>143</v>
      </c>
      <c r="D179" s="3" t="s">
        <v>242</v>
      </c>
      <c r="E179" s="1"/>
      <c r="F179" s="1"/>
      <c r="G179" s="1"/>
      <c r="H179" s="1"/>
      <c r="I179" s="2"/>
      <c r="J179" s="1"/>
      <c r="K179" s="1"/>
      <c r="L179" s="1"/>
      <c r="M179" s="1"/>
      <c r="N179" s="1"/>
      <c r="O179" s="1"/>
      <c r="P179" s="1"/>
      <c r="Q179" s="1"/>
      <c r="R179" s="1"/>
      <c r="S179" s="1"/>
      <c r="T179" s="1"/>
      <c r="U179" s="1"/>
      <c r="V179" s="1"/>
      <c r="W179" s="1"/>
      <c r="X179" s="1"/>
    </row>
    <row x14ac:dyDescent="0.25" r="180" customHeight="1" ht="18.75">
      <c r="A180" s="1"/>
      <c r="B180" s="1"/>
      <c r="C180" s="3" t="s">
        <v>143</v>
      </c>
      <c r="D180" s="3" t="s">
        <v>243</v>
      </c>
      <c r="E180" s="1"/>
      <c r="F180" s="1"/>
      <c r="G180" s="1"/>
      <c r="H180" s="1"/>
      <c r="I180" s="2"/>
      <c r="J180" s="1"/>
      <c r="K180" s="1"/>
      <c r="L180" s="1"/>
      <c r="M180" s="1"/>
      <c r="N180" s="1"/>
      <c r="O180" s="1"/>
      <c r="P180" s="1"/>
      <c r="Q180" s="1"/>
      <c r="R180" s="1"/>
      <c r="S180" s="1"/>
      <c r="T180" s="1"/>
      <c r="U180" s="1"/>
      <c r="V180" s="1"/>
      <c r="W180" s="1"/>
      <c r="X180" s="1"/>
    </row>
    <row x14ac:dyDescent="0.25" r="181" customHeight="1" ht="18.75">
      <c r="A181" s="1"/>
      <c r="B181" s="1"/>
      <c r="C181" s="3" t="s">
        <v>143</v>
      </c>
      <c r="D181" s="3" t="s">
        <v>244</v>
      </c>
      <c r="E181" s="1"/>
      <c r="F181" s="1"/>
      <c r="G181" s="1"/>
      <c r="H181" s="1"/>
      <c r="I181" s="2"/>
      <c r="J181" s="1"/>
      <c r="K181" s="1"/>
      <c r="L181" s="1"/>
      <c r="M181" s="1"/>
      <c r="N181" s="1"/>
      <c r="O181" s="1"/>
      <c r="P181" s="1"/>
      <c r="Q181" s="1"/>
      <c r="R181" s="1"/>
      <c r="S181" s="1"/>
      <c r="T181" s="1"/>
      <c r="U181" s="1"/>
      <c r="V181" s="1"/>
      <c r="W181" s="1"/>
      <c r="X181" s="1"/>
    </row>
    <row x14ac:dyDescent="0.25" r="182" customHeight="1" ht="18.75">
      <c r="A182" s="1"/>
      <c r="B182" s="1"/>
      <c r="C182" s="3" t="s">
        <v>147</v>
      </c>
      <c r="D182" s="3" t="s">
        <v>245</v>
      </c>
      <c r="E182" s="1"/>
      <c r="F182" s="1"/>
      <c r="G182" s="1"/>
      <c r="H182" s="1"/>
      <c r="I182" s="2"/>
      <c r="J182" s="1"/>
      <c r="K182" s="1"/>
      <c r="L182" s="1"/>
      <c r="M182" s="1"/>
      <c r="N182" s="1"/>
      <c r="O182" s="1"/>
      <c r="P182" s="1"/>
      <c r="Q182" s="1"/>
      <c r="R182" s="1"/>
      <c r="S182" s="1"/>
      <c r="T182" s="1"/>
      <c r="U182" s="1"/>
      <c r="V182" s="1"/>
      <c r="W182" s="1"/>
      <c r="X182" s="1"/>
    </row>
    <row x14ac:dyDescent="0.25" r="183" customHeight="1" ht="18.75">
      <c r="A183" s="1"/>
      <c r="B183" s="1"/>
      <c r="C183" s="3" t="s">
        <v>143</v>
      </c>
      <c r="D183" s="3" t="s">
        <v>246</v>
      </c>
      <c r="E183" s="1"/>
      <c r="F183" s="1"/>
      <c r="G183" s="1"/>
      <c r="H183" s="1"/>
      <c r="I183" s="2"/>
      <c r="J183" s="1"/>
      <c r="K183" s="1"/>
      <c r="L183" s="1"/>
      <c r="M183" s="1"/>
      <c r="N183" s="1"/>
      <c r="O183" s="1"/>
      <c r="P183" s="1"/>
      <c r="Q183" s="1"/>
      <c r="R183" s="1"/>
      <c r="S183" s="1"/>
      <c r="T183" s="1"/>
      <c r="U183" s="1"/>
      <c r="V183" s="1"/>
      <c r="W183" s="1"/>
      <c r="X183" s="1"/>
    </row>
    <row x14ac:dyDescent="0.25" r="184" customHeight="1" ht="18.75">
      <c r="A184" s="1"/>
      <c r="B184" s="1"/>
      <c r="C184" s="3" t="s">
        <v>143</v>
      </c>
      <c r="D184" s="3" t="s">
        <v>247</v>
      </c>
      <c r="E184" s="1"/>
      <c r="F184" s="1"/>
      <c r="G184" s="1"/>
      <c r="H184" s="1"/>
      <c r="I184" s="2"/>
      <c r="J184" s="1"/>
      <c r="K184" s="1"/>
      <c r="L184" s="1"/>
      <c r="M184" s="1"/>
      <c r="N184" s="1"/>
      <c r="O184" s="1"/>
      <c r="P184" s="1"/>
      <c r="Q184" s="1"/>
      <c r="R184" s="1"/>
      <c r="S184" s="1"/>
      <c r="T184" s="1"/>
      <c r="U184" s="1"/>
      <c r="V184" s="1"/>
      <c r="W184" s="1"/>
      <c r="X184" s="1"/>
    </row>
    <row x14ac:dyDescent="0.25" r="185" customHeight="1" ht="18.75">
      <c r="A185" s="1"/>
      <c r="B185" s="1"/>
      <c r="C185" s="3" t="s">
        <v>147</v>
      </c>
      <c r="D185" s="3" t="s">
        <v>248</v>
      </c>
      <c r="E185" s="1"/>
      <c r="F185" s="1"/>
      <c r="G185" s="1"/>
      <c r="H185" s="1"/>
      <c r="I185" s="2"/>
      <c r="J185" s="1"/>
      <c r="K185" s="1"/>
      <c r="L185" s="1"/>
      <c r="M185" s="1"/>
      <c r="N185" s="1"/>
      <c r="O185" s="1"/>
      <c r="P185" s="1"/>
      <c r="Q185" s="1"/>
      <c r="R185" s="1"/>
      <c r="S185" s="1"/>
      <c r="T185" s="1"/>
      <c r="U185" s="1"/>
      <c r="V185" s="1"/>
      <c r="W185" s="1"/>
      <c r="X185" s="1"/>
    </row>
    <row x14ac:dyDescent="0.25" r="186" customHeight="1" ht="18.75">
      <c r="A186" s="1"/>
      <c r="B186" s="1"/>
      <c r="C186" s="3" t="s">
        <v>143</v>
      </c>
      <c r="D186" s="3" t="s">
        <v>249</v>
      </c>
      <c r="E186" s="1"/>
      <c r="F186" s="1"/>
      <c r="G186" s="1"/>
      <c r="H186" s="1"/>
      <c r="I186" s="2"/>
      <c r="J186" s="1"/>
      <c r="K186" s="1"/>
      <c r="L186" s="1"/>
      <c r="M186" s="1"/>
      <c r="N186" s="1"/>
      <c r="O186" s="1"/>
      <c r="P186" s="1"/>
      <c r="Q186" s="1"/>
      <c r="R186" s="1"/>
      <c r="S186" s="1"/>
      <c r="T186" s="1"/>
      <c r="U186" s="1"/>
      <c r="V186" s="1"/>
      <c r="W186" s="1"/>
      <c r="X186" s="1"/>
    </row>
    <row x14ac:dyDescent="0.25" r="187" customHeight="1" ht="18.75">
      <c r="A187" s="1"/>
      <c r="B187" s="1"/>
      <c r="C187" s="3" t="s">
        <v>143</v>
      </c>
      <c r="D187" s="3" t="s">
        <v>250</v>
      </c>
      <c r="E187" s="1"/>
      <c r="F187" s="1"/>
      <c r="G187" s="1"/>
      <c r="H187" s="1"/>
      <c r="I187" s="2"/>
      <c r="J187" s="1"/>
      <c r="K187" s="1"/>
      <c r="L187" s="1"/>
      <c r="M187" s="1"/>
      <c r="N187" s="1"/>
      <c r="O187" s="1"/>
      <c r="P187" s="1"/>
      <c r="Q187" s="1"/>
      <c r="R187" s="1"/>
      <c r="S187" s="1"/>
      <c r="T187" s="1"/>
      <c r="U187" s="1"/>
      <c r="V187" s="1"/>
      <c r="W187" s="1"/>
      <c r="X187" s="1"/>
    </row>
    <row x14ac:dyDescent="0.25" r="188" customHeight="1" ht="18.75">
      <c r="A188" s="1"/>
      <c r="B188" s="1"/>
      <c r="C188" s="3" t="s">
        <v>143</v>
      </c>
      <c r="D188" s="3" t="s">
        <v>251</v>
      </c>
      <c r="E188" s="1"/>
      <c r="F188" s="1"/>
      <c r="G188" s="1"/>
      <c r="H188" s="1"/>
      <c r="I188" s="2"/>
      <c r="J188" s="1"/>
      <c r="K188" s="1"/>
      <c r="L188" s="1"/>
      <c r="M188" s="1"/>
      <c r="N188" s="1"/>
      <c r="O188" s="1"/>
      <c r="P188" s="1"/>
      <c r="Q188" s="1"/>
      <c r="R188" s="1"/>
      <c r="S188" s="1"/>
      <c r="T188" s="1"/>
      <c r="U188" s="1"/>
      <c r="V188" s="1"/>
      <c r="W188" s="1"/>
      <c r="X188" s="1"/>
    </row>
    <row x14ac:dyDescent="0.25" r="189" customHeight="1" ht="18.75">
      <c r="A189" s="1"/>
      <c r="B189" s="1"/>
      <c r="C189" s="3" t="s">
        <v>147</v>
      </c>
      <c r="D189" s="3" t="s">
        <v>251</v>
      </c>
      <c r="E189" s="1"/>
      <c r="F189" s="1"/>
      <c r="G189" s="1"/>
      <c r="H189" s="1"/>
      <c r="I189" s="2"/>
      <c r="J189" s="1"/>
      <c r="K189" s="1"/>
      <c r="L189" s="1"/>
      <c r="M189" s="1"/>
      <c r="N189" s="1"/>
      <c r="O189" s="1"/>
      <c r="P189" s="1"/>
      <c r="Q189" s="1"/>
      <c r="R189" s="1"/>
      <c r="S189" s="1"/>
      <c r="T189" s="1"/>
      <c r="U189" s="1"/>
      <c r="V189" s="1"/>
      <c r="W189" s="1"/>
      <c r="X189" s="1"/>
    </row>
    <row x14ac:dyDescent="0.25" r="190" customHeight="1" ht="18.75">
      <c r="A190" s="1"/>
      <c r="B190" s="1"/>
      <c r="C190" s="3" t="s">
        <v>121</v>
      </c>
      <c r="D190" s="3" t="s">
        <v>252</v>
      </c>
      <c r="E190" s="1"/>
      <c r="F190" s="1"/>
      <c r="G190" s="1"/>
      <c r="H190" s="1"/>
      <c r="I190" s="2"/>
      <c r="J190" s="1"/>
      <c r="K190" s="1"/>
      <c r="L190" s="1"/>
      <c r="M190" s="1"/>
      <c r="N190" s="1"/>
      <c r="O190" s="1"/>
      <c r="P190" s="1"/>
      <c r="Q190" s="1"/>
      <c r="R190" s="1"/>
      <c r="S190" s="1"/>
      <c r="T190" s="1"/>
      <c r="U190" s="1"/>
      <c r="V190" s="1"/>
      <c r="W190" s="1"/>
      <c r="X190" s="1"/>
    </row>
    <row x14ac:dyDescent="0.25" r="191" customHeight="1" ht="18.75">
      <c r="A191" s="1"/>
      <c r="B191" s="1"/>
      <c r="C191" s="3" t="s">
        <v>121</v>
      </c>
      <c r="D191" s="3" t="s">
        <v>253</v>
      </c>
      <c r="E191" s="1"/>
      <c r="F191" s="1"/>
      <c r="G191" s="1"/>
      <c r="H191" s="1"/>
      <c r="I191" s="2"/>
      <c r="J191" s="1"/>
      <c r="K191" s="1"/>
      <c r="L191" s="1"/>
      <c r="M191" s="1"/>
      <c r="N191" s="1"/>
      <c r="O191" s="1"/>
      <c r="P191" s="1"/>
      <c r="Q191" s="1"/>
      <c r="R191" s="1"/>
      <c r="S191" s="1"/>
      <c r="T191" s="1"/>
      <c r="U191" s="1"/>
      <c r="V191" s="1"/>
      <c r="W191" s="1"/>
      <c r="X191" s="1"/>
    </row>
    <row x14ac:dyDescent="0.25" r="192" customHeight="1" ht="18.75">
      <c r="A192" s="1"/>
      <c r="B192" s="1"/>
      <c r="C192" s="3" t="s">
        <v>143</v>
      </c>
      <c r="D192" s="3" t="s">
        <v>252</v>
      </c>
      <c r="E192" s="1"/>
      <c r="F192" s="1"/>
      <c r="G192" s="1"/>
      <c r="H192" s="1"/>
      <c r="I192" s="2"/>
      <c r="J192" s="1"/>
      <c r="K192" s="1"/>
      <c r="L192" s="1"/>
      <c r="M192" s="1"/>
      <c r="N192" s="1"/>
      <c r="O192" s="1"/>
      <c r="P192" s="1"/>
      <c r="Q192" s="1"/>
      <c r="R192" s="1"/>
      <c r="S192" s="1"/>
      <c r="T192" s="1"/>
      <c r="U192" s="1"/>
      <c r="V192" s="1"/>
      <c r="W192" s="1"/>
      <c r="X192" s="1"/>
    </row>
    <row x14ac:dyDescent="0.25" r="193" customHeight="1" ht="18.75">
      <c r="A193" s="1"/>
      <c r="B193" s="1"/>
      <c r="C193" s="3" t="s">
        <v>121</v>
      </c>
      <c r="D193" s="3" t="s">
        <v>254</v>
      </c>
      <c r="E193" s="1"/>
      <c r="F193" s="1"/>
      <c r="G193" s="1"/>
      <c r="H193" s="1"/>
      <c r="I193" s="2"/>
      <c r="J193" s="1"/>
      <c r="K193" s="1"/>
      <c r="L193" s="1"/>
      <c r="M193" s="1"/>
      <c r="N193" s="1"/>
      <c r="O193" s="1"/>
      <c r="P193" s="1"/>
      <c r="Q193" s="1"/>
      <c r="R193" s="1"/>
      <c r="S193" s="1"/>
      <c r="T193" s="1"/>
      <c r="U193" s="1"/>
      <c r="V193" s="1"/>
      <c r="W193" s="1"/>
      <c r="X193" s="1"/>
    </row>
    <row x14ac:dyDescent="0.25" r="194" customHeight="1" ht="18.75">
      <c r="A194" s="1"/>
      <c r="B194" s="1"/>
      <c r="C194" s="3" t="s">
        <v>121</v>
      </c>
      <c r="D194" s="3" t="s">
        <v>255</v>
      </c>
      <c r="E194" s="1"/>
      <c r="F194" s="1"/>
      <c r="G194" s="1"/>
      <c r="H194" s="1"/>
      <c r="I194" s="2"/>
      <c r="J194" s="1"/>
      <c r="K194" s="1"/>
      <c r="L194" s="1"/>
      <c r="M194" s="1"/>
      <c r="N194" s="1"/>
      <c r="O194" s="1"/>
      <c r="P194" s="1"/>
      <c r="Q194" s="1"/>
      <c r="R194" s="1"/>
      <c r="S194" s="1"/>
      <c r="T194" s="1"/>
      <c r="U194" s="1"/>
      <c r="V194" s="1"/>
      <c r="W194" s="1"/>
      <c r="X194" s="1"/>
    </row>
    <row x14ac:dyDescent="0.25" r="195" customHeight="1" ht="18.75">
      <c r="A195" s="1"/>
      <c r="B195" s="1"/>
      <c r="C195" s="3" t="s">
        <v>147</v>
      </c>
      <c r="D195" s="3" t="s">
        <v>256</v>
      </c>
      <c r="E195" s="1"/>
      <c r="F195" s="1"/>
      <c r="G195" s="1"/>
      <c r="H195" s="1"/>
      <c r="I195" s="2"/>
      <c r="J195" s="1"/>
      <c r="K195" s="1"/>
      <c r="L195" s="1"/>
      <c r="M195" s="1"/>
      <c r="N195" s="1"/>
      <c r="O195" s="1"/>
      <c r="P195" s="1"/>
      <c r="Q195" s="1"/>
      <c r="R195" s="1"/>
      <c r="S195" s="1"/>
      <c r="T195" s="1"/>
      <c r="U195" s="1"/>
      <c r="V195" s="1"/>
      <c r="W195" s="1"/>
      <c r="X195" s="1"/>
    </row>
    <row x14ac:dyDescent="0.25" r="196" customHeight="1" ht="18.75">
      <c r="A196" s="1"/>
      <c r="B196" s="1"/>
      <c r="C196" s="3" t="s">
        <v>143</v>
      </c>
      <c r="D196" s="3" t="s">
        <v>257</v>
      </c>
      <c r="E196" s="1"/>
      <c r="F196" s="1"/>
      <c r="G196" s="1"/>
      <c r="H196" s="1"/>
      <c r="I196" s="2"/>
      <c r="J196" s="1"/>
      <c r="K196" s="1"/>
      <c r="L196" s="1"/>
      <c r="M196" s="1"/>
      <c r="N196" s="1"/>
      <c r="O196" s="1"/>
      <c r="P196" s="1"/>
      <c r="Q196" s="1"/>
      <c r="R196" s="1"/>
      <c r="S196" s="1"/>
      <c r="T196" s="1"/>
      <c r="U196" s="1"/>
      <c r="V196" s="1"/>
      <c r="W196" s="1"/>
      <c r="X196" s="1"/>
    </row>
    <row x14ac:dyDescent="0.25" r="197" customHeight="1" ht="18.75">
      <c r="A197" s="1"/>
      <c r="B197" s="1"/>
      <c r="C197" s="3" t="s">
        <v>94</v>
      </c>
      <c r="D197" s="3" t="s">
        <v>258</v>
      </c>
      <c r="E197" s="1"/>
      <c r="F197" s="1"/>
      <c r="G197" s="1"/>
      <c r="H197" s="1"/>
      <c r="I197" s="2"/>
      <c r="J197" s="1"/>
      <c r="K197" s="1"/>
      <c r="L197" s="1"/>
      <c r="M197" s="1"/>
      <c r="N197" s="1"/>
      <c r="O197" s="1"/>
      <c r="P197" s="1"/>
      <c r="Q197" s="1"/>
      <c r="R197" s="1"/>
      <c r="S197" s="1"/>
      <c r="T197" s="1"/>
      <c r="U197" s="1"/>
      <c r="V197" s="1"/>
      <c r="W197" s="1"/>
      <c r="X197" s="1"/>
    </row>
    <row x14ac:dyDescent="0.25" r="198" customHeight="1" ht="18.75">
      <c r="A198" s="1"/>
      <c r="B198" s="1"/>
      <c r="C198" s="3" t="s">
        <v>94</v>
      </c>
      <c r="D198" s="3" t="s">
        <v>259</v>
      </c>
      <c r="E198" s="1"/>
      <c r="F198" s="1"/>
      <c r="G198" s="1"/>
      <c r="H198" s="1"/>
      <c r="I198" s="2"/>
      <c r="J198" s="1"/>
      <c r="K198" s="1"/>
      <c r="L198" s="1"/>
      <c r="M198" s="1"/>
      <c r="N198" s="1"/>
      <c r="O198" s="1"/>
      <c r="P198" s="1"/>
      <c r="Q198" s="1"/>
      <c r="R198" s="1"/>
      <c r="S198" s="1"/>
      <c r="T198" s="1"/>
      <c r="U198" s="1"/>
      <c r="V198" s="1"/>
      <c r="W198" s="1"/>
      <c r="X198" s="1"/>
    </row>
    <row x14ac:dyDescent="0.25" r="199" customHeight="1" ht="18.75">
      <c r="A199" s="1"/>
      <c r="B199" s="1"/>
      <c r="C199" s="3" t="s">
        <v>147</v>
      </c>
      <c r="D199" s="3" t="s">
        <v>260</v>
      </c>
      <c r="E199" s="1"/>
      <c r="F199" s="1"/>
      <c r="G199" s="1"/>
      <c r="H199" s="1"/>
      <c r="I199" s="2"/>
      <c r="J199" s="1"/>
      <c r="K199" s="1"/>
      <c r="L199" s="1"/>
      <c r="M199" s="1"/>
      <c r="N199" s="1"/>
      <c r="O199" s="1"/>
      <c r="P199" s="1"/>
      <c r="Q199" s="1"/>
      <c r="R199" s="1"/>
      <c r="S199" s="1"/>
      <c r="T199" s="1"/>
      <c r="U199" s="1"/>
      <c r="V199" s="1"/>
      <c r="W199" s="1"/>
      <c r="X199" s="1"/>
    </row>
    <row x14ac:dyDescent="0.25" r="200" customHeight="1" ht="18.75">
      <c r="A200" s="1"/>
      <c r="B200" s="1"/>
      <c r="C200" s="3" t="s">
        <v>261</v>
      </c>
      <c r="D200" s="3" t="s">
        <v>262</v>
      </c>
      <c r="E200" s="1"/>
      <c r="F200" s="1"/>
      <c r="G200" s="1"/>
      <c r="H200" s="1"/>
      <c r="I200" s="2"/>
      <c r="J200" s="1"/>
      <c r="K200" s="1"/>
      <c r="L200" s="1"/>
      <c r="M200" s="1"/>
      <c r="N200" s="1"/>
      <c r="O200" s="1"/>
      <c r="P200" s="1"/>
      <c r="Q200" s="1"/>
      <c r="R200" s="1"/>
      <c r="S200" s="1"/>
      <c r="T200" s="1"/>
      <c r="U200" s="1"/>
      <c r="V200" s="1"/>
      <c r="W200" s="1"/>
      <c r="X200" s="1"/>
    </row>
    <row x14ac:dyDescent="0.25" r="201" customHeight="1" ht="18.75">
      <c r="A201" s="1"/>
      <c r="B201" s="1"/>
      <c r="C201" s="3" t="s">
        <v>261</v>
      </c>
      <c r="D201" s="3" t="s">
        <v>263</v>
      </c>
      <c r="E201" s="1"/>
      <c r="F201" s="1"/>
      <c r="G201" s="1"/>
      <c r="H201" s="1"/>
      <c r="I201" s="2"/>
      <c r="J201" s="1"/>
      <c r="K201" s="1"/>
      <c r="L201" s="1"/>
      <c r="M201" s="1"/>
      <c r="N201" s="1"/>
      <c r="O201" s="1"/>
      <c r="P201" s="1"/>
      <c r="Q201" s="1"/>
      <c r="R201" s="1"/>
      <c r="S201" s="1"/>
      <c r="T201" s="1"/>
      <c r="U201" s="1"/>
      <c r="V201" s="1"/>
      <c r="W201" s="1"/>
      <c r="X201" s="1"/>
    </row>
    <row x14ac:dyDescent="0.25" r="202" customHeight="1" ht="18.75">
      <c r="A202" s="1"/>
      <c r="B202" s="1"/>
      <c r="C202" s="3" t="s">
        <v>261</v>
      </c>
      <c r="D202" s="3" t="s">
        <v>264</v>
      </c>
      <c r="E202" s="1"/>
      <c r="F202" s="1"/>
      <c r="G202" s="1"/>
      <c r="H202" s="1"/>
      <c r="I202" s="2"/>
      <c r="J202" s="1"/>
      <c r="K202" s="1"/>
      <c r="L202" s="1"/>
      <c r="M202" s="1"/>
      <c r="N202" s="1"/>
      <c r="O202" s="1"/>
      <c r="P202" s="1"/>
      <c r="Q202" s="1"/>
      <c r="R202" s="1"/>
      <c r="S202" s="1"/>
      <c r="T202" s="1"/>
      <c r="U202" s="1"/>
      <c r="V202" s="1"/>
      <c r="W202" s="1"/>
      <c r="X202" s="1"/>
    </row>
    <row x14ac:dyDescent="0.25" r="203" customHeight="1" ht="18.75">
      <c r="A203" s="1"/>
      <c r="B203" s="1"/>
      <c r="C203" s="3" t="s">
        <v>261</v>
      </c>
      <c r="D203" s="3" t="s">
        <v>265</v>
      </c>
      <c r="E203" s="1"/>
      <c r="F203" s="1"/>
      <c r="G203" s="1"/>
      <c r="H203" s="1"/>
      <c r="I203" s="2"/>
      <c r="J203" s="1"/>
      <c r="K203" s="1"/>
      <c r="L203" s="1"/>
      <c r="M203" s="1"/>
      <c r="N203" s="1"/>
      <c r="O203" s="1"/>
      <c r="P203" s="1"/>
      <c r="Q203" s="1"/>
      <c r="R203" s="1"/>
      <c r="S203" s="1"/>
      <c r="T203" s="1"/>
      <c r="U203" s="1"/>
      <c r="V203" s="1"/>
      <c r="W203" s="1"/>
      <c r="X203" s="1"/>
    </row>
    <row x14ac:dyDescent="0.25" r="204" customHeight="1" ht="18.75">
      <c r="A204" s="1"/>
      <c r="B204" s="1"/>
      <c r="C204" s="3" t="s">
        <v>261</v>
      </c>
      <c r="D204" s="3" t="s">
        <v>266</v>
      </c>
      <c r="E204" s="1"/>
      <c r="F204" s="1"/>
      <c r="G204" s="1"/>
      <c r="H204" s="1"/>
      <c r="I204" s="2"/>
      <c r="J204" s="1"/>
      <c r="K204" s="1"/>
      <c r="L204" s="1"/>
      <c r="M204" s="1"/>
      <c r="N204" s="1"/>
      <c r="O204" s="1"/>
      <c r="P204" s="1"/>
      <c r="Q204" s="1"/>
      <c r="R204" s="1"/>
      <c r="S204" s="1"/>
      <c r="T204" s="1"/>
      <c r="U204" s="1"/>
      <c r="V204" s="1"/>
      <c r="W204" s="1"/>
      <c r="X204" s="1"/>
    </row>
    <row x14ac:dyDescent="0.25" r="205" customHeight="1" ht="18.75">
      <c r="A205" s="1"/>
      <c r="B205" s="1"/>
      <c r="C205" s="3" t="s">
        <v>261</v>
      </c>
      <c r="D205" s="3" t="s">
        <v>267</v>
      </c>
      <c r="E205" s="1"/>
      <c r="F205" s="1"/>
      <c r="G205" s="1"/>
      <c r="H205" s="1"/>
      <c r="I205" s="2"/>
      <c r="J205" s="1"/>
      <c r="K205" s="1"/>
      <c r="L205" s="1"/>
      <c r="M205" s="1"/>
      <c r="N205" s="1"/>
      <c r="O205" s="1"/>
      <c r="P205" s="1"/>
      <c r="Q205" s="1"/>
      <c r="R205" s="1"/>
      <c r="S205" s="1"/>
      <c r="T205" s="1"/>
      <c r="U205" s="1"/>
      <c r="V205" s="1"/>
      <c r="W205" s="1"/>
      <c r="X205" s="1"/>
    </row>
    <row x14ac:dyDescent="0.25" r="206" customHeight="1" ht="18.75">
      <c r="A206" s="1"/>
      <c r="B206" s="1"/>
      <c r="C206" s="3" t="s">
        <v>261</v>
      </c>
      <c r="D206" s="3" t="s">
        <v>268</v>
      </c>
      <c r="E206" s="1"/>
      <c r="F206" s="1"/>
      <c r="G206" s="1"/>
      <c r="H206" s="1"/>
      <c r="I206" s="2"/>
      <c r="J206" s="1"/>
      <c r="K206" s="1"/>
      <c r="L206" s="1"/>
      <c r="M206" s="1"/>
      <c r="N206" s="1"/>
      <c r="O206" s="1"/>
      <c r="P206" s="1"/>
      <c r="Q206" s="1"/>
      <c r="R206" s="1"/>
      <c r="S206" s="1"/>
      <c r="T206" s="1"/>
      <c r="U206" s="1"/>
      <c r="V206" s="1"/>
      <c r="W206" s="1"/>
      <c r="X206" s="1"/>
    </row>
    <row x14ac:dyDescent="0.25" r="207" customHeight="1" ht="18.75">
      <c r="A207" s="1"/>
      <c r="B207" s="1"/>
      <c r="C207" s="3" t="s">
        <v>261</v>
      </c>
      <c r="D207" s="3" t="s">
        <v>269</v>
      </c>
      <c r="E207" s="1"/>
      <c r="F207" s="1"/>
      <c r="G207" s="1"/>
      <c r="H207" s="1"/>
      <c r="I207" s="2"/>
      <c r="J207" s="1"/>
      <c r="K207" s="1"/>
      <c r="L207" s="1"/>
      <c r="M207" s="1"/>
      <c r="N207" s="1"/>
      <c r="O207" s="1"/>
      <c r="P207" s="1"/>
      <c r="Q207" s="1"/>
      <c r="R207" s="1"/>
      <c r="S207" s="1"/>
      <c r="T207" s="1"/>
      <c r="U207" s="1"/>
      <c r="V207" s="1"/>
      <c r="W207" s="1"/>
      <c r="X207" s="1"/>
    </row>
    <row x14ac:dyDescent="0.25" r="208" customHeight="1" ht="18.75">
      <c r="A208" s="1"/>
      <c r="B208" s="1"/>
      <c r="C208" s="3" t="s">
        <v>145</v>
      </c>
      <c r="D208" s="3" t="s">
        <v>270</v>
      </c>
      <c r="E208" s="1"/>
      <c r="F208" s="1"/>
      <c r="G208" s="1"/>
      <c r="H208" s="1"/>
      <c r="I208" s="2"/>
      <c r="J208" s="1"/>
      <c r="K208" s="1"/>
      <c r="L208" s="1"/>
      <c r="M208" s="1"/>
      <c r="N208" s="1"/>
      <c r="O208" s="1"/>
      <c r="P208" s="1"/>
      <c r="Q208" s="1"/>
      <c r="R208" s="1"/>
      <c r="S208" s="1"/>
      <c r="T208" s="1"/>
      <c r="U208" s="1"/>
      <c r="V208" s="1"/>
      <c r="W208" s="1"/>
      <c r="X208" s="1"/>
    </row>
    <row x14ac:dyDescent="0.25" r="209" customHeight="1" ht="18.75">
      <c r="A209" s="1"/>
      <c r="B209" s="1"/>
      <c r="C209" s="3" t="s">
        <v>145</v>
      </c>
      <c r="D209" s="3" t="s">
        <v>271</v>
      </c>
      <c r="E209" s="1"/>
      <c r="F209" s="1"/>
      <c r="G209" s="1"/>
      <c r="H209" s="1"/>
      <c r="I209" s="2"/>
      <c r="J209" s="1"/>
      <c r="K209" s="1"/>
      <c r="L209" s="1"/>
      <c r="M209" s="1"/>
      <c r="N209" s="1"/>
      <c r="O209" s="1"/>
      <c r="P209" s="1"/>
      <c r="Q209" s="1"/>
      <c r="R209" s="1"/>
      <c r="S209" s="1"/>
      <c r="T209" s="1"/>
      <c r="U209" s="1"/>
      <c r="V209" s="1"/>
      <c r="W209" s="1"/>
      <c r="X209" s="1"/>
    </row>
    <row x14ac:dyDescent="0.25" r="210" customHeight="1" ht="18.75">
      <c r="A210" s="1"/>
      <c r="B210" s="1"/>
      <c r="C210" s="3" t="s">
        <v>145</v>
      </c>
      <c r="D210" s="3" t="s">
        <v>272</v>
      </c>
      <c r="E210" s="1"/>
      <c r="F210" s="1"/>
      <c r="G210" s="1"/>
      <c r="H210" s="1"/>
      <c r="I210" s="2"/>
      <c r="J210" s="1"/>
      <c r="K210" s="1"/>
      <c r="L210" s="1"/>
      <c r="M210" s="1"/>
      <c r="N210" s="1"/>
      <c r="O210" s="1"/>
      <c r="P210" s="1"/>
      <c r="Q210" s="1"/>
      <c r="R210" s="1"/>
      <c r="S210" s="1"/>
      <c r="T210" s="1"/>
      <c r="U210" s="1"/>
      <c r="V210" s="1"/>
      <c r="W210" s="1"/>
      <c r="X210" s="1"/>
    </row>
    <row x14ac:dyDescent="0.25" r="211" customHeight="1" ht="18.75">
      <c r="A211" s="1"/>
      <c r="B211" s="1"/>
      <c r="C211" s="3" t="s">
        <v>145</v>
      </c>
      <c r="D211" s="3" t="s">
        <v>273</v>
      </c>
      <c r="E211" s="1"/>
      <c r="F211" s="1"/>
      <c r="G211" s="1"/>
      <c r="H211" s="1"/>
      <c r="I211" s="2"/>
      <c r="J211" s="1"/>
      <c r="K211" s="1"/>
      <c r="L211" s="1"/>
      <c r="M211" s="1"/>
      <c r="N211" s="1"/>
      <c r="O211" s="1"/>
      <c r="P211" s="1"/>
      <c r="Q211" s="1"/>
      <c r="R211" s="1"/>
      <c r="S211" s="1"/>
      <c r="T211" s="1"/>
      <c r="U211" s="1"/>
      <c r="V211" s="1"/>
      <c r="W211" s="1"/>
      <c r="X211" s="1"/>
    </row>
    <row x14ac:dyDescent="0.25" r="212" customHeight="1" ht="18.75">
      <c r="A212" s="1"/>
      <c r="B212" s="1"/>
      <c r="C212" s="3" t="s">
        <v>145</v>
      </c>
      <c r="D212" s="3" t="s">
        <v>274</v>
      </c>
      <c r="E212" s="1"/>
      <c r="F212" s="1"/>
      <c r="G212" s="1"/>
      <c r="H212" s="1"/>
      <c r="I212" s="2"/>
      <c r="J212" s="1"/>
      <c r="K212" s="1"/>
      <c r="L212" s="1"/>
      <c r="M212" s="1"/>
      <c r="N212" s="1"/>
      <c r="O212" s="1"/>
      <c r="P212" s="1"/>
      <c r="Q212" s="1"/>
      <c r="R212" s="1"/>
      <c r="S212" s="1"/>
      <c r="T212" s="1"/>
      <c r="U212" s="1"/>
      <c r="V212" s="1"/>
      <c r="W212" s="1"/>
      <c r="X212" s="1"/>
    </row>
    <row x14ac:dyDescent="0.25" r="213" customHeight="1" ht="18.75">
      <c r="A213" s="1"/>
      <c r="B213" s="1"/>
      <c r="C213" s="3" t="s">
        <v>145</v>
      </c>
      <c r="D213" s="3" t="s">
        <v>275</v>
      </c>
      <c r="E213" s="1"/>
      <c r="F213" s="1"/>
      <c r="G213" s="1"/>
      <c r="H213" s="1"/>
      <c r="I213" s="2"/>
      <c r="J213" s="1"/>
      <c r="K213" s="1"/>
      <c r="L213" s="1"/>
      <c r="M213" s="1"/>
      <c r="N213" s="1"/>
      <c r="O213" s="1"/>
      <c r="P213" s="1"/>
      <c r="Q213" s="1"/>
      <c r="R213" s="1"/>
      <c r="S213" s="1"/>
      <c r="T213" s="1"/>
      <c r="U213" s="1"/>
      <c r="V213" s="1"/>
      <c r="W213" s="1"/>
      <c r="X213" s="1"/>
    </row>
    <row x14ac:dyDescent="0.25" r="214" customHeight="1" ht="18.75">
      <c r="A214" s="1"/>
      <c r="B214" s="1"/>
      <c r="C214" s="3" t="s">
        <v>145</v>
      </c>
      <c r="D214" s="3" t="s">
        <v>276</v>
      </c>
      <c r="E214" s="1"/>
      <c r="F214" s="1"/>
      <c r="G214" s="1"/>
      <c r="H214" s="1"/>
      <c r="I214" s="2"/>
      <c r="J214" s="1"/>
      <c r="K214" s="1"/>
      <c r="L214" s="1"/>
      <c r="M214" s="1"/>
      <c r="N214" s="1"/>
      <c r="O214" s="1"/>
      <c r="P214" s="1"/>
      <c r="Q214" s="1"/>
      <c r="R214" s="1"/>
      <c r="S214" s="1"/>
      <c r="T214" s="1"/>
      <c r="U214" s="1"/>
      <c r="V214" s="1"/>
      <c r="W214" s="1"/>
      <c r="X214" s="1"/>
    </row>
    <row x14ac:dyDescent="0.25" r="215" customHeight="1" ht="18.75">
      <c r="A215" s="1"/>
      <c r="B215" s="1"/>
      <c r="C215" s="3" t="s">
        <v>145</v>
      </c>
      <c r="D215" s="3" t="s">
        <v>277</v>
      </c>
      <c r="E215" s="1"/>
      <c r="F215" s="1"/>
      <c r="G215" s="1"/>
      <c r="H215" s="1"/>
      <c r="I215" s="2"/>
      <c r="J215" s="1"/>
      <c r="K215" s="1"/>
      <c r="L215" s="1"/>
      <c r="M215" s="1"/>
      <c r="N215" s="1"/>
      <c r="O215" s="1"/>
      <c r="P215" s="1"/>
      <c r="Q215" s="1"/>
      <c r="R215" s="1"/>
      <c r="S215" s="1"/>
      <c r="T215" s="1"/>
      <c r="U215" s="1"/>
      <c r="V215" s="1"/>
      <c r="W215" s="1"/>
      <c r="X215" s="1"/>
    </row>
    <row x14ac:dyDescent="0.25" r="216" customHeight="1" ht="18.75">
      <c r="A216" s="1"/>
      <c r="B216" s="1"/>
      <c r="C216" s="3" t="s">
        <v>145</v>
      </c>
      <c r="D216" s="3" t="s">
        <v>278</v>
      </c>
      <c r="E216" s="1"/>
      <c r="F216" s="1"/>
      <c r="G216" s="1"/>
      <c r="H216" s="1"/>
      <c r="I216" s="2"/>
      <c r="J216" s="1"/>
      <c r="K216" s="1"/>
      <c r="L216" s="1"/>
      <c r="M216" s="1"/>
      <c r="N216" s="1"/>
      <c r="O216" s="1"/>
      <c r="P216" s="1"/>
      <c r="Q216" s="1"/>
      <c r="R216" s="1"/>
      <c r="S216" s="1"/>
      <c r="T216" s="1"/>
      <c r="U216" s="1"/>
      <c r="V216" s="1"/>
      <c r="W216" s="1"/>
      <c r="X216" s="1"/>
    </row>
    <row x14ac:dyDescent="0.25" r="217" customHeight="1" ht="18.75">
      <c r="A217" s="1"/>
      <c r="B217" s="1"/>
      <c r="C217" s="3" t="s">
        <v>145</v>
      </c>
      <c r="D217" s="3" t="s">
        <v>279</v>
      </c>
      <c r="E217" s="1"/>
      <c r="F217" s="1"/>
      <c r="G217" s="1"/>
      <c r="H217" s="1"/>
      <c r="I217" s="2"/>
      <c r="J217" s="1"/>
      <c r="K217" s="1"/>
      <c r="L217" s="1"/>
      <c r="M217" s="1"/>
      <c r="N217" s="1"/>
      <c r="O217" s="1"/>
      <c r="P217" s="1"/>
      <c r="Q217" s="1"/>
      <c r="R217" s="1"/>
      <c r="S217" s="1"/>
      <c r="T217" s="1"/>
      <c r="U217" s="1"/>
      <c r="V217" s="1"/>
      <c r="W217" s="1"/>
      <c r="X217" s="1"/>
    </row>
    <row x14ac:dyDescent="0.25" r="218" customHeight="1" ht="18.75">
      <c r="A218" s="1"/>
      <c r="B218" s="1"/>
      <c r="C218" s="3" t="s">
        <v>145</v>
      </c>
      <c r="D218" s="3" t="s">
        <v>280</v>
      </c>
      <c r="E218" s="1"/>
      <c r="F218" s="1"/>
      <c r="G218" s="1"/>
      <c r="H218" s="1"/>
      <c r="I218" s="2"/>
      <c r="J218" s="1"/>
      <c r="K218" s="1"/>
      <c r="L218" s="1"/>
      <c r="M218" s="1"/>
      <c r="N218" s="1"/>
      <c r="O218" s="1"/>
      <c r="P218" s="1"/>
      <c r="Q218" s="1"/>
      <c r="R218" s="1"/>
      <c r="S218" s="1"/>
      <c r="T218" s="1"/>
      <c r="U218" s="1"/>
      <c r="V218" s="1"/>
      <c r="W218" s="1"/>
      <c r="X218" s="1"/>
    </row>
    <row x14ac:dyDescent="0.25" r="219" customHeight="1" ht="18.75">
      <c r="A219" s="1"/>
      <c r="B219" s="1"/>
      <c r="C219" s="3" t="s">
        <v>145</v>
      </c>
      <c r="D219" s="3" t="s">
        <v>281</v>
      </c>
      <c r="E219" s="1"/>
      <c r="F219" s="1"/>
      <c r="G219" s="1"/>
      <c r="H219" s="1"/>
      <c r="I219" s="2"/>
      <c r="J219" s="1"/>
      <c r="K219" s="1"/>
      <c r="L219" s="1"/>
      <c r="M219" s="1"/>
      <c r="N219" s="1"/>
      <c r="O219" s="1"/>
      <c r="P219" s="1"/>
      <c r="Q219" s="1"/>
      <c r="R219" s="1"/>
      <c r="S219" s="1"/>
      <c r="T219" s="1"/>
      <c r="U219" s="1"/>
      <c r="V219" s="1"/>
      <c r="W219" s="1"/>
      <c r="X219" s="1"/>
    </row>
    <row x14ac:dyDescent="0.25" r="220" customHeight="1" ht="18.75">
      <c r="A220" s="1"/>
      <c r="B220" s="1"/>
      <c r="C220" s="3" t="s">
        <v>145</v>
      </c>
      <c r="D220" s="3" t="s">
        <v>282</v>
      </c>
      <c r="E220" s="1"/>
      <c r="F220" s="1"/>
      <c r="G220" s="1"/>
      <c r="H220" s="1"/>
      <c r="I220" s="2"/>
      <c r="J220" s="1"/>
      <c r="K220" s="1"/>
      <c r="L220" s="1"/>
      <c r="M220" s="1"/>
      <c r="N220" s="1"/>
      <c r="O220" s="1"/>
      <c r="P220" s="1"/>
      <c r="Q220" s="1"/>
      <c r="R220" s="1"/>
      <c r="S220" s="1"/>
      <c r="T220" s="1"/>
      <c r="U220" s="1"/>
      <c r="V220" s="1"/>
      <c r="W220" s="1"/>
      <c r="X220" s="1"/>
    </row>
    <row x14ac:dyDescent="0.25" r="221" customHeight="1" ht="18.75">
      <c r="A221" s="1"/>
      <c r="B221" s="1"/>
      <c r="C221" s="3" t="s">
        <v>145</v>
      </c>
      <c r="D221" s="3" t="s">
        <v>283</v>
      </c>
      <c r="E221" s="1"/>
      <c r="F221" s="1"/>
      <c r="G221" s="1"/>
      <c r="H221" s="1"/>
      <c r="I221" s="2"/>
      <c r="J221" s="1"/>
      <c r="K221" s="1"/>
      <c r="L221" s="1"/>
      <c r="M221" s="1"/>
      <c r="N221" s="1"/>
      <c r="O221" s="1"/>
      <c r="P221" s="1"/>
      <c r="Q221" s="1"/>
      <c r="R221" s="1"/>
      <c r="S221" s="1"/>
      <c r="T221" s="1"/>
      <c r="U221" s="1"/>
      <c r="V221" s="1"/>
      <c r="W221" s="1"/>
      <c r="X221" s="1"/>
    </row>
    <row x14ac:dyDescent="0.25" r="222" customHeight="1" ht="18.75">
      <c r="A222" s="1"/>
      <c r="B222" s="1"/>
      <c r="C222" s="3" t="s">
        <v>145</v>
      </c>
      <c r="D222" s="3" t="s">
        <v>284</v>
      </c>
      <c r="E222" s="1"/>
      <c r="F222" s="1"/>
      <c r="G222" s="1"/>
      <c r="H222" s="1"/>
      <c r="I222" s="2"/>
      <c r="J222" s="1"/>
      <c r="K222" s="1"/>
      <c r="L222" s="1"/>
      <c r="M222" s="1"/>
      <c r="N222" s="1"/>
      <c r="O222" s="1"/>
      <c r="P222" s="1"/>
      <c r="Q222" s="1"/>
      <c r="R222" s="1"/>
      <c r="S222" s="1"/>
      <c r="T222" s="1"/>
      <c r="U222" s="1"/>
      <c r="V222" s="1"/>
      <c r="W222" s="1"/>
      <c r="X222" s="1"/>
    </row>
    <row x14ac:dyDescent="0.25" r="223" customHeight="1" ht="18.75">
      <c r="A223" s="1"/>
      <c r="B223" s="1"/>
      <c r="C223" s="3" t="s">
        <v>145</v>
      </c>
      <c r="D223" s="3" t="s">
        <v>285</v>
      </c>
      <c r="E223" s="1"/>
      <c r="F223" s="1"/>
      <c r="G223" s="1"/>
      <c r="H223" s="1"/>
      <c r="I223" s="2"/>
      <c r="J223" s="1"/>
      <c r="K223" s="1"/>
      <c r="L223" s="1"/>
      <c r="M223" s="1"/>
      <c r="N223" s="1"/>
      <c r="O223" s="1"/>
      <c r="P223" s="1"/>
      <c r="Q223" s="1"/>
      <c r="R223" s="1"/>
      <c r="S223" s="1"/>
      <c r="T223" s="1"/>
      <c r="U223" s="1"/>
      <c r="V223" s="1"/>
      <c r="W223" s="1"/>
      <c r="X223" s="1"/>
    </row>
    <row x14ac:dyDescent="0.25" r="224" customHeight="1" ht="18.75">
      <c r="A224" s="1"/>
      <c r="B224" s="1"/>
      <c r="C224" s="3" t="s">
        <v>145</v>
      </c>
      <c r="D224" s="3" t="s">
        <v>286</v>
      </c>
      <c r="E224" s="1"/>
      <c r="F224" s="1"/>
      <c r="G224" s="1"/>
      <c r="H224" s="1"/>
      <c r="I224" s="2"/>
      <c r="J224" s="1"/>
      <c r="K224" s="1"/>
      <c r="L224" s="1"/>
      <c r="M224" s="1"/>
      <c r="N224" s="1"/>
      <c r="O224" s="1"/>
      <c r="P224" s="1"/>
      <c r="Q224" s="1"/>
      <c r="R224" s="1"/>
      <c r="S224" s="1"/>
      <c r="T224" s="1"/>
      <c r="U224" s="1"/>
      <c r="V224" s="1"/>
      <c r="W224" s="1"/>
      <c r="X224" s="1"/>
    </row>
    <row x14ac:dyDescent="0.25" r="225" customHeight="1" ht="18.75">
      <c r="A225" s="1"/>
      <c r="B225" s="1"/>
      <c r="C225" s="3" t="s">
        <v>145</v>
      </c>
      <c r="D225" s="3" t="s">
        <v>287</v>
      </c>
      <c r="E225" s="1"/>
      <c r="F225" s="1"/>
      <c r="G225" s="1"/>
      <c r="H225" s="1"/>
      <c r="I225" s="2"/>
      <c r="J225" s="1"/>
      <c r="K225" s="1"/>
      <c r="L225" s="1"/>
      <c r="M225" s="1"/>
      <c r="N225" s="1"/>
      <c r="O225" s="1"/>
      <c r="P225" s="1"/>
      <c r="Q225" s="1"/>
      <c r="R225" s="1"/>
      <c r="S225" s="1"/>
      <c r="T225" s="1"/>
      <c r="U225" s="1"/>
      <c r="V225" s="1"/>
      <c r="W225" s="1"/>
      <c r="X225" s="1"/>
    </row>
    <row x14ac:dyDescent="0.25" r="226" customHeight="1" ht="18.75">
      <c r="A226" s="1"/>
      <c r="B226" s="1"/>
      <c r="C226" s="3" t="s">
        <v>145</v>
      </c>
      <c r="D226" s="3" t="s">
        <v>288</v>
      </c>
      <c r="E226" s="1"/>
      <c r="F226" s="1"/>
      <c r="G226" s="1"/>
      <c r="H226" s="1"/>
      <c r="I226" s="2"/>
      <c r="J226" s="1"/>
      <c r="K226" s="1"/>
      <c r="L226" s="1"/>
      <c r="M226" s="1"/>
      <c r="N226" s="1"/>
      <c r="O226" s="1"/>
      <c r="P226" s="1"/>
      <c r="Q226" s="1"/>
      <c r="R226" s="1"/>
      <c r="S226" s="1"/>
      <c r="T226" s="1"/>
      <c r="U226" s="1"/>
      <c r="V226" s="1"/>
      <c r="W226" s="1"/>
      <c r="X226" s="1"/>
    </row>
    <row x14ac:dyDescent="0.25" r="227" customHeight="1" ht="18.75">
      <c r="A227" s="1"/>
      <c r="B227" s="1"/>
      <c r="C227" s="3" t="s">
        <v>145</v>
      </c>
      <c r="D227" s="3" t="s">
        <v>289</v>
      </c>
      <c r="E227" s="1"/>
      <c r="F227" s="1"/>
      <c r="G227" s="1"/>
      <c r="H227" s="1"/>
      <c r="I227" s="2"/>
      <c r="J227" s="1"/>
      <c r="K227" s="1"/>
      <c r="L227" s="1"/>
      <c r="M227" s="1"/>
      <c r="N227" s="1"/>
      <c r="O227" s="1"/>
      <c r="P227" s="1"/>
      <c r="Q227" s="1"/>
      <c r="R227" s="1"/>
      <c r="S227" s="1"/>
      <c r="T227" s="1"/>
      <c r="U227" s="1"/>
      <c r="V227" s="1"/>
      <c r="W227" s="1"/>
      <c r="X227" s="1"/>
    </row>
    <row x14ac:dyDescent="0.25" r="228" customHeight="1" ht="18.75">
      <c r="A228" s="1"/>
      <c r="B228" s="1"/>
      <c r="C228" s="3" t="s">
        <v>145</v>
      </c>
      <c r="D228" s="3" t="s">
        <v>290</v>
      </c>
      <c r="E228" s="1"/>
      <c r="F228" s="1"/>
      <c r="G228" s="1"/>
      <c r="H228" s="1"/>
      <c r="I228" s="2"/>
      <c r="J228" s="1"/>
      <c r="K228" s="1"/>
      <c r="L228" s="1"/>
      <c r="M228" s="1"/>
      <c r="N228" s="1"/>
      <c r="O228" s="1"/>
      <c r="P228" s="1"/>
      <c r="Q228" s="1"/>
      <c r="R228" s="1"/>
      <c r="S228" s="1"/>
      <c r="T228" s="1"/>
      <c r="U228" s="1"/>
      <c r="V228" s="1"/>
      <c r="W228" s="1"/>
      <c r="X228" s="1"/>
    </row>
    <row x14ac:dyDescent="0.25" r="229" customHeight="1" ht="18.75">
      <c r="A229" s="1"/>
      <c r="B229" s="1"/>
      <c r="C229" s="3" t="s">
        <v>145</v>
      </c>
      <c r="D229" s="3" t="s">
        <v>291</v>
      </c>
      <c r="E229" s="1"/>
      <c r="F229" s="1"/>
      <c r="G229" s="1"/>
      <c r="H229" s="1"/>
      <c r="I229" s="2"/>
      <c r="J229" s="1"/>
      <c r="K229" s="1"/>
      <c r="L229" s="1"/>
      <c r="M229" s="1"/>
      <c r="N229" s="1"/>
      <c r="O229" s="1"/>
      <c r="P229" s="1"/>
      <c r="Q229" s="1"/>
      <c r="R229" s="1"/>
      <c r="S229" s="1"/>
      <c r="T229" s="1"/>
      <c r="U229" s="1"/>
      <c r="V229" s="1"/>
      <c r="W229" s="1"/>
      <c r="X229" s="1"/>
    </row>
    <row x14ac:dyDescent="0.25" r="230" customHeight="1" ht="18.75">
      <c r="A230" s="1"/>
      <c r="B230" s="1"/>
      <c r="C230" s="3" t="s">
        <v>292</v>
      </c>
      <c r="D230" s="3" t="s">
        <v>293</v>
      </c>
      <c r="E230" s="1"/>
      <c r="F230" s="1"/>
      <c r="G230" s="1"/>
      <c r="H230" s="1"/>
      <c r="I230" s="2"/>
      <c r="J230" s="1"/>
      <c r="K230" s="1"/>
      <c r="L230" s="1"/>
      <c r="M230" s="1"/>
      <c r="N230" s="1"/>
      <c r="O230" s="1"/>
      <c r="P230" s="1"/>
      <c r="Q230" s="1"/>
      <c r="R230" s="1"/>
      <c r="S230" s="1"/>
      <c r="T230" s="1"/>
      <c r="U230" s="1"/>
      <c r="V230" s="1"/>
      <c r="W230" s="1"/>
      <c r="X230" s="1"/>
    </row>
    <row x14ac:dyDescent="0.25" r="231" customHeight="1" ht="18.75">
      <c r="A231" s="1"/>
      <c r="B231" s="1"/>
      <c r="C231" s="3" t="s">
        <v>292</v>
      </c>
      <c r="D231" s="3" t="s">
        <v>294</v>
      </c>
      <c r="E231" s="1"/>
      <c r="F231" s="1"/>
      <c r="G231" s="1"/>
      <c r="H231" s="1"/>
      <c r="I231" s="2"/>
      <c r="J231" s="1"/>
      <c r="K231" s="1"/>
      <c r="L231" s="1"/>
      <c r="M231" s="1"/>
      <c r="N231" s="1"/>
      <c r="O231" s="1"/>
      <c r="P231" s="1"/>
      <c r="Q231" s="1"/>
      <c r="R231" s="1"/>
      <c r="S231" s="1"/>
      <c r="T231" s="1"/>
      <c r="U231" s="1"/>
      <c r="V231" s="1"/>
      <c r="W231" s="1"/>
      <c r="X231" s="1"/>
    </row>
    <row x14ac:dyDescent="0.25" r="232" customHeight="1" ht="18.75">
      <c r="A232" s="1"/>
      <c r="B232" s="1"/>
      <c r="C232" s="3" t="s">
        <v>292</v>
      </c>
      <c r="D232" s="3" t="s">
        <v>295</v>
      </c>
      <c r="E232" s="1"/>
      <c r="F232" s="1"/>
      <c r="G232" s="1"/>
      <c r="H232" s="1"/>
      <c r="I232" s="2"/>
      <c r="J232" s="1"/>
      <c r="K232" s="1"/>
      <c r="L232" s="1"/>
      <c r="M232" s="1"/>
      <c r="N232" s="1"/>
      <c r="O232" s="1"/>
      <c r="P232" s="1"/>
      <c r="Q232" s="1"/>
      <c r="R232" s="1"/>
      <c r="S232" s="1"/>
      <c r="T232" s="1"/>
      <c r="U232" s="1"/>
      <c r="V232" s="1"/>
      <c r="W232" s="1"/>
      <c r="X232" s="1"/>
    </row>
    <row x14ac:dyDescent="0.25" r="233" customHeight="1" ht="18.75">
      <c r="A233" s="1"/>
      <c r="B233" s="1"/>
      <c r="C233" s="3" t="s">
        <v>292</v>
      </c>
      <c r="D233" s="3" t="s">
        <v>296</v>
      </c>
      <c r="E233" s="1"/>
      <c r="F233" s="1"/>
      <c r="G233" s="1"/>
      <c r="H233" s="1"/>
      <c r="I233" s="2"/>
      <c r="J233" s="1"/>
      <c r="K233" s="1"/>
      <c r="L233" s="1"/>
      <c r="M233" s="1"/>
      <c r="N233" s="1"/>
      <c r="O233" s="1"/>
      <c r="P233" s="1"/>
      <c r="Q233" s="1"/>
      <c r="R233" s="1"/>
      <c r="S233" s="1"/>
      <c r="T233" s="1"/>
      <c r="U233" s="1"/>
      <c r="V233" s="1"/>
      <c r="W233" s="1"/>
      <c r="X233" s="1"/>
    </row>
    <row x14ac:dyDescent="0.25" r="234" customHeight="1" ht="18.75">
      <c r="A234" s="1"/>
      <c r="B234" s="1"/>
      <c r="C234" s="3" t="s">
        <v>121</v>
      </c>
      <c r="D234" s="3" t="s">
        <v>204</v>
      </c>
      <c r="E234" s="1"/>
      <c r="F234" s="1"/>
      <c r="G234" s="1"/>
      <c r="H234" s="1"/>
      <c r="I234" s="2"/>
      <c r="J234" s="1"/>
      <c r="K234" s="1"/>
      <c r="L234" s="1"/>
      <c r="M234" s="1"/>
      <c r="N234" s="1"/>
      <c r="O234" s="1"/>
      <c r="P234" s="1"/>
      <c r="Q234" s="1"/>
      <c r="R234" s="1"/>
      <c r="S234" s="1"/>
      <c r="T234" s="1"/>
      <c r="U234" s="1"/>
      <c r="V234" s="1"/>
      <c r="W234" s="1"/>
      <c r="X234" s="1"/>
    </row>
    <row x14ac:dyDescent="0.25" r="235" customHeight="1" ht="18.75">
      <c r="A235" s="1"/>
      <c r="B235" s="1"/>
      <c r="C235" s="3" t="s">
        <v>121</v>
      </c>
      <c r="D235" s="3" t="s">
        <v>227</v>
      </c>
      <c r="E235" s="1"/>
      <c r="F235" s="1"/>
      <c r="G235" s="1"/>
      <c r="H235" s="1"/>
      <c r="I235" s="2"/>
      <c r="J235" s="1"/>
      <c r="K235" s="1"/>
      <c r="L235" s="1"/>
      <c r="M235" s="1"/>
      <c r="N235" s="1"/>
      <c r="O235" s="1"/>
      <c r="P235" s="1"/>
      <c r="Q235" s="1"/>
      <c r="R235" s="1"/>
      <c r="S235" s="1"/>
      <c r="T235" s="1"/>
      <c r="U235" s="1"/>
      <c r="V235" s="1"/>
      <c r="W235" s="1"/>
      <c r="X235" s="1"/>
    </row>
    <row x14ac:dyDescent="0.25" r="236" customHeight="1" ht="18.75">
      <c r="A236" s="1"/>
      <c r="B236" s="1"/>
      <c r="C236" s="3" t="s">
        <v>297</v>
      </c>
      <c r="D236" s="3" t="s">
        <v>298</v>
      </c>
      <c r="E236" s="1"/>
      <c r="F236" s="1"/>
      <c r="G236" s="1"/>
      <c r="H236" s="1"/>
      <c r="I236" s="2"/>
      <c r="J236" s="1"/>
      <c r="K236" s="1"/>
      <c r="L236" s="1"/>
      <c r="M236" s="1"/>
      <c r="N236" s="1"/>
      <c r="O236" s="1"/>
      <c r="P236" s="1"/>
      <c r="Q236" s="1"/>
      <c r="R236" s="1"/>
      <c r="S236" s="1"/>
      <c r="T236" s="1"/>
      <c r="U236" s="1"/>
      <c r="V236" s="1"/>
      <c r="W236" s="1"/>
      <c r="X236" s="1"/>
    </row>
    <row x14ac:dyDescent="0.25" r="237" customHeight="1" ht="18.75">
      <c r="A237" s="1"/>
      <c r="B237" s="1"/>
      <c r="C237" s="3" t="s">
        <v>141</v>
      </c>
      <c r="D237" s="3" t="s">
        <v>299</v>
      </c>
      <c r="E237" s="1"/>
      <c r="F237" s="1"/>
      <c r="G237" s="1"/>
      <c r="H237" s="1"/>
      <c r="I237" s="2"/>
      <c r="J237" s="1"/>
      <c r="K237" s="1"/>
      <c r="L237" s="1"/>
      <c r="M237" s="1"/>
      <c r="N237" s="1"/>
      <c r="O237" s="1"/>
      <c r="P237" s="1"/>
      <c r="Q237" s="1"/>
      <c r="R237" s="1"/>
      <c r="S237" s="1"/>
      <c r="T237" s="1"/>
      <c r="U237" s="1"/>
      <c r="V237" s="1"/>
      <c r="W237" s="1"/>
      <c r="X237" s="1"/>
    </row>
    <row x14ac:dyDescent="0.25" r="238" customHeight="1" ht="18.75">
      <c r="A238" s="1"/>
      <c r="B238" s="1"/>
      <c r="C238" s="3" t="s">
        <v>300</v>
      </c>
      <c r="D238" s="3" t="s">
        <v>301</v>
      </c>
      <c r="E238" s="1"/>
      <c r="F238" s="1"/>
      <c r="G238" s="1"/>
      <c r="H238" s="1"/>
      <c r="I238" s="2"/>
      <c r="J238" s="1"/>
      <c r="K238" s="1"/>
      <c r="L238" s="1"/>
      <c r="M238" s="1"/>
      <c r="N238" s="1"/>
      <c r="O238" s="1"/>
      <c r="P238" s="1"/>
      <c r="Q238" s="1"/>
      <c r="R238" s="1"/>
      <c r="S238" s="1"/>
      <c r="T238" s="1"/>
      <c r="U238" s="1"/>
      <c r="V238" s="1"/>
      <c r="W238" s="1"/>
      <c r="X238" s="1"/>
    </row>
    <row x14ac:dyDescent="0.25" r="239" customHeight="1" ht="18.75">
      <c r="A239" s="1"/>
      <c r="B239" s="1"/>
      <c r="C239" s="3" t="s">
        <v>300</v>
      </c>
      <c r="D239" s="3" t="s">
        <v>302</v>
      </c>
      <c r="E239" s="1"/>
      <c r="F239" s="1"/>
      <c r="G239" s="1"/>
      <c r="H239" s="1"/>
      <c r="I239" s="2"/>
      <c r="J239" s="1"/>
      <c r="K239" s="1"/>
      <c r="L239" s="1"/>
      <c r="M239" s="1"/>
      <c r="N239" s="1"/>
      <c r="O239" s="1"/>
      <c r="P239" s="1"/>
      <c r="Q239" s="1"/>
      <c r="R239" s="1"/>
      <c r="S239" s="1"/>
      <c r="T239" s="1"/>
      <c r="U239" s="1"/>
      <c r="V239" s="1"/>
      <c r="W239" s="1"/>
      <c r="X239" s="1"/>
    </row>
    <row x14ac:dyDescent="0.25" r="240" customHeight="1" ht="18.75">
      <c r="A240" s="1"/>
      <c r="B240" s="1"/>
      <c r="C240" s="3" t="s">
        <v>121</v>
      </c>
      <c r="D240" s="3" t="s">
        <v>303</v>
      </c>
      <c r="E240" s="1"/>
      <c r="F240" s="1"/>
      <c r="G240" s="1"/>
      <c r="H240" s="1"/>
      <c r="I240" s="2"/>
      <c r="J240" s="1"/>
      <c r="K240" s="1"/>
      <c r="L240" s="1"/>
      <c r="M240" s="1"/>
      <c r="N240" s="1"/>
      <c r="O240" s="1"/>
      <c r="P240" s="1"/>
      <c r="Q240" s="1"/>
      <c r="R240" s="1"/>
      <c r="S240" s="1"/>
      <c r="T240" s="1"/>
      <c r="U240" s="1"/>
      <c r="V240" s="1"/>
      <c r="W240" s="1"/>
      <c r="X240" s="1"/>
    </row>
    <row x14ac:dyDescent="0.25" r="241" customHeight="1" ht="18.75">
      <c r="A241" s="1"/>
      <c r="B241" s="1"/>
      <c r="C241" s="3" t="s">
        <v>300</v>
      </c>
      <c r="D241" s="3" t="s">
        <v>304</v>
      </c>
      <c r="E241" s="1"/>
      <c r="F241" s="1"/>
      <c r="G241" s="1"/>
      <c r="H241" s="1"/>
      <c r="I241" s="2"/>
      <c r="J241" s="1"/>
      <c r="K241" s="1"/>
      <c r="L241" s="1"/>
      <c r="M241" s="1"/>
      <c r="N241" s="1"/>
      <c r="O241" s="1"/>
      <c r="P241" s="1"/>
      <c r="Q241" s="1"/>
      <c r="R241" s="1"/>
      <c r="S241" s="1"/>
      <c r="T241" s="1"/>
      <c r="U241" s="1"/>
      <c r="V241" s="1"/>
      <c r="W241" s="1"/>
      <c r="X241" s="1"/>
    </row>
    <row x14ac:dyDescent="0.25" r="242" customHeight="1" ht="18.75">
      <c r="A242" s="1"/>
      <c r="B242" s="1"/>
      <c r="C242" s="3" t="s">
        <v>300</v>
      </c>
      <c r="D242" s="3" t="s">
        <v>305</v>
      </c>
      <c r="E242" s="1"/>
      <c r="F242" s="1"/>
      <c r="G242" s="1"/>
      <c r="H242" s="1"/>
      <c r="I242" s="2"/>
      <c r="J242" s="1"/>
      <c r="K242" s="1"/>
      <c r="L242" s="1"/>
      <c r="M242" s="1"/>
      <c r="N242" s="1"/>
      <c r="O242" s="1"/>
      <c r="P242" s="1"/>
      <c r="Q242" s="1"/>
      <c r="R242" s="1"/>
      <c r="S242" s="1"/>
      <c r="T242" s="1"/>
      <c r="U242" s="1"/>
      <c r="V242" s="1"/>
      <c r="W242" s="1"/>
      <c r="X242" s="1"/>
    </row>
    <row x14ac:dyDescent="0.25" r="243" customHeight="1" ht="18.75">
      <c r="A243" s="1"/>
      <c r="B243" s="1"/>
      <c r="C243" s="3" t="s">
        <v>306</v>
      </c>
      <c r="D243" s="3" t="s">
        <v>307</v>
      </c>
      <c r="E243" s="1"/>
      <c r="F243" s="1"/>
      <c r="G243" s="1"/>
      <c r="H243" s="1"/>
      <c r="I243" s="2"/>
      <c r="J243" s="1"/>
      <c r="K243" s="1"/>
      <c r="L243" s="1"/>
      <c r="M243" s="1"/>
      <c r="N243" s="1"/>
      <c r="O243" s="1"/>
      <c r="P243" s="1"/>
      <c r="Q243" s="1"/>
      <c r="R243" s="1"/>
      <c r="S243" s="1"/>
      <c r="T243" s="1"/>
      <c r="U243" s="1"/>
      <c r="V243" s="1"/>
      <c r="W243" s="1"/>
      <c r="X243" s="1"/>
    </row>
    <row x14ac:dyDescent="0.25" r="244" customHeight="1" ht="18.75">
      <c r="A244" s="1"/>
      <c r="B244" s="1"/>
      <c r="C244" s="3" t="s">
        <v>300</v>
      </c>
      <c r="D244" s="3" t="s">
        <v>308</v>
      </c>
      <c r="E244" s="1"/>
      <c r="F244" s="1"/>
      <c r="G244" s="1"/>
      <c r="H244" s="1"/>
      <c r="I244" s="2"/>
      <c r="J244" s="1"/>
      <c r="K244" s="1"/>
      <c r="L244" s="1"/>
      <c r="M244" s="1"/>
      <c r="N244" s="1"/>
      <c r="O244" s="1"/>
      <c r="P244" s="1"/>
      <c r="Q244" s="1"/>
      <c r="R244" s="1"/>
      <c r="S244" s="1"/>
      <c r="T244" s="1"/>
      <c r="U244" s="1"/>
      <c r="V244" s="1"/>
      <c r="W244" s="1"/>
      <c r="X244" s="1"/>
    </row>
    <row x14ac:dyDescent="0.25" r="245" customHeight="1" ht="18.75">
      <c r="A245" s="1"/>
      <c r="B245" s="1"/>
      <c r="C245" s="3" t="s">
        <v>121</v>
      </c>
      <c r="D245" s="3" t="s">
        <v>309</v>
      </c>
      <c r="E245" s="1"/>
      <c r="F245" s="1"/>
      <c r="G245" s="1"/>
      <c r="H245" s="1"/>
      <c r="I245" s="2"/>
      <c r="J245" s="1"/>
      <c r="K245" s="1"/>
      <c r="L245" s="1"/>
      <c r="M245" s="1"/>
      <c r="N245" s="1"/>
      <c r="O245" s="1"/>
      <c r="P245" s="1"/>
      <c r="Q245" s="1"/>
      <c r="R245" s="1"/>
      <c r="S245" s="1"/>
      <c r="T245" s="1"/>
      <c r="U245" s="1"/>
      <c r="V245" s="1"/>
      <c r="W245" s="1"/>
      <c r="X245" s="1"/>
    </row>
    <row x14ac:dyDescent="0.25" r="246" customHeight="1" ht="18.75">
      <c r="A246" s="1"/>
      <c r="B246" s="1"/>
      <c r="C246" s="3" t="s">
        <v>121</v>
      </c>
      <c r="D246" s="3" t="s">
        <v>310</v>
      </c>
      <c r="E246" s="1"/>
      <c r="F246" s="1"/>
      <c r="G246" s="1"/>
      <c r="H246" s="1"/>
      <c r="I246" s="2"/>
      <c r="J246" s="1"/>
      <c r="K246" s="1"/>
      <c r="L246" s="1"/>
      <c r="M246" s="1"/>
      <c r="N246" s="1"/>
      <c r="O246" s="1"/>
      <c r="P246" s="1"/>
      <c r="Q246" s="1"/>
      <c r="R246" s="1"/>
      <c r="S246" s="1"/>
      <c r="T246" s="1"/>
      <c r="U246" s="1"/>
      <c r="V246" s="1"/>
      <c r="W246" s="1"/>
      <c r="X246" s="1"/>
    </row>
    <row x14ac:dyDescent="0.25" r="247" customHeight="1" ht="18.75">
      <c r="A247" s="1"/>
      <c r="B247" s="1"/>
      <c r="C247" s="3" t="s">
        <v>300</v>
      </c>
      <c r="D247" s="3" t="s">
        <v>311</v>
      </c>
      <c r="E247" s="1"/>
      <c r="F247" s="1"/>
      <c r="G247" s="1"/>
      <c r="H247" s="1"/>
      <c r="I247" s="2"/>
      <c r="J247" s="1"/>
      <c r="K247" s="1"/>
      <c r="L247" s="1"/>
      <c r="M247" s="1"/>
      <c r="N247" s="1"/>
      <c r="O247" s="1"/>
      <c r="P247" s="1"/>
      <c r="Q247" s="1"/>
      <c r="R247" s="1"/>
      <c r="S247" s="1"/>
      <c r="T247" s="1"/>
      <c r="U247" s="1"/>
      <c r="V247" s="1"/>
      <c r="W247" s="1"/>
      <c r="X247" s="1"/>
    </row>
    <row x14ac:dyDescent="0.25" r="248" customHeight="1" ht="18.75">
      <c r="A248" s="1"/>
      <c r="B248" s="1"/>
      <c r="C248" s="3" t="s">
        <v>300</v>
      </c>
      <c r="D248" s="3" t="s">
        <v>312</v>
      </c>
      <c r="E248" s="1"/>
      <c r="F248" s="1"/>
      <c r="G248" s="1"/>
      <c r="H248" s="1"/>
      <c r="I248" s="2"/>
      <c r="J248" s="1"/>
      <c r="K248" s="1"/>
      <c r="L248" s="1"/>
      <c r="M248" s="1"/>
      <c r="N248" s="1"/>
      <c r="O248" s="1"/>
      <c r="P248" s="1"/>
      <c r="Q248" s="1"/>
      <c r="R248" s="1"/>
      <c r="S248" s="1"/>
      <c r="T248" s="1"/>
      <c r="U248" s="1"/>
      <c r="V248" s="1"/>
      <c r="W248" s="1"/>
      <c r="X248" s="1"/>
    </row>
    <row x14ac:dyDescent="0.25" r="249" customHeight="1" ht="18.75">
      <c r="A249" s="1"/>
      <c r="B249" s="1"/>
      <c r="C249" s="3" t="s">
        <v>306</v>
      </c>
      <c r="D249" s="3" t="s">
        <v>313</v>
      </c>
      <c r="E249" s="1"/>
      <c r="F249" s="1"/>
      <c r="G249" s="1"/>
      <c r="H249" s="1"/>
      <c r="I249" s="2"/>
      <c r="J249" s="1"/>
      <c r="K249" s="1"/>
      <c r="L249" s="1"/>
      <c r="M249" s="1"/>
      <c r="N249" s="1"/>
      <c r="O249" s="1"/>
      <c r="P249" s="1"/>
      <c r="Q249" s="1"/>
      <c r="R249" s="1"/>
      <c r="S249" s="1"/>
      <c r="T249" s="1"/>
      <c r="U249" s="1"/>
      <c r="V249" s="1"/>
      <c r="W249" s="1"/>
      <c r="X249" s="1"/>
    </row>
    <row x14ac:dyDescent="0.25" r="250" customHeight="1" ht="18.75">
      <c r="A250" s="1"/>
      <c r="B250" s="1"/>
      <c r="C250" s="3" t="s">
        <v>300</v>
      </c>
      <c r="D250" s="3" t="s">
        <v>314</v>
      </c>
      <c r="E250" s="1"/>
      <c r="F250" s="1"/>
      <c r="G250" s="1"/>
      <c r="H250" s="1"/>
      <c r="I250" s="2"/>
      <c r="J250" s="1"/>
      <c r="K250" s="1"/>
      <c r="L250" s="1"/>
      <c r="M250" s="1"/>
      <c r="N250" s="1"/>
      <c r="O250" s="1"/>
      <c r="P250" s="1"/>
      <c r="Q250" s="1"/>
      <c r="R250" s="1"/>
      <c r="S250" s="1"/>
      <c r="T250" s="1"/>
      <c r="U250" s="1"/>
      <c r="V250" s="1"/>
      <c r="W250" s="1"/>
      <c r="X250" s="1"/>
    </row>
    <row x14ac:dyDescent="0.25" r="251" customHeight="1" ht="18.75">
      <c r="A251" s="1"/>
      <c r="B251" s="1"/>
      <c r="C251" s="3" t="s">
        <v>300</v>
      </c>
      <c r="D251" s="3" t="s">
        <v>315</v>
      </c>
      <c r="E251" s="1"/>
      <c r="F251" s="1"/>
      <c r="G251" s="1"/>
      <c r="H251" s="1"/>
      <c r="I251" s="2"/>
      <c r="J251" s="1"/>
      <c r="K251" s="1"/>
      <c r="L251" s="1"/>
      <c r="M251" s="1"/>
      <c r="N251" s="1"/>
      <c r="O251" s="1"/>
      <c r="P251" s="1"/>
      <c r="Q251" s="1"/>
      <c r="R251" s="1"/>
      <c r="S251" s="1"/>
      <c r="T251" s="1"/>
      <c r="U251" s="1"/>
      <c r="V251" s="1"/>
      <c r="W251" s="1"/>
      <c r="X251" s="1"/>
    </row>
    <row x14ac:dyDescent="0.25" r="252" customHeight="1" ht="18.75">
      <c r="A252" s="1"/>
      <c r="B252" s="1"/>
      <c r="C252" s="3" t="s">
        <v>300</v>
      </c>
      <c r="D252" s="3" t="s">
        <v>316</v>
      </c>
      <c r="E252" s="1"/>
      <c r="F252" s="1"/>
      <c r="G252" s="1"/>
      <c r="H252" s="1"/>
      <c r="I252" s="2"/>
      <c r="J252" s="1"/>
      <c r="K252" s="1"/>
      <c r="L252" s="1"/>
      <c r="M252" s="1"/>
      <c r="N252" s="1"/>
      <c r="O252" s="1"/>
      <c r="P252" s="1"/>
      <c r="Q252" s="1"/>
      <c r="R252" s="1"/>
      <c r="S252" s="1"/>
      <c r="T252" s="1"/>
      <c r="U252" s="1"/>
      <c r="V252" s="1"/>
      <c r="W252" s="1"/>
      <c r="X252" s="1"/>
    </row>
    <row x14ac:dyDescent="0.25" r="253" customHeight="1" ht="18.75">
      <c r="A253" s="1"/>
      <c r="B253" s="1"/>
      <c r="C253" s="3" t="s">
        <v>300</v>
      </c>
      <c r="D253" s="3" t="s">
        <v>317</v>
      </c>
      <c r="E253" s="1"/>
      <c r="F253" s="1"/>
      <c r="G253" s="1"/>
      <c r="H253" s="1"/>
      <c r="I253" s="2"/>
      <c r="J253" s="1"/>
      <c r="K253" s="1"/>
      <c r="L253" s="1"/>
      <c r="M253" s="1"/>
      <c r="N253" s="1"/>
      <c r="O253" s="1"/>
      <c r="P253" s="1"/>
      <c r="Q253" s="1"/>
      <c r="R253" s="1"/>
      <c r="S253" s="1"/>
      <c r="T253" s="1"/>
      <c r="U253" s="1"/>
      <c r="V253" s="1"/>
      <c r="W253" s="1"/>
      <c r="X253" s="1"/>
    </row>
    <row x14ac:dyDescent="0.25" r="254" customHeight="1" ht="18.75">
      <c r="A254" s="1"/>
      <c r="B254" s="1"/>
      <c r="C254" s="3" t="s">
        <v>306</v>
      </c>
      <c r="D254" s="3" t="s">
        <v>318</v>
      </c>
      <c r="E254" s="1"/>
      <c r="F254" s="1"/>
      <c r="G254" s="1"/>
      <c r="H254" s="1"/>
      <c r="I254" s="2"/>
      <c r="J254" s="1"/>
      <c r="K254" s="1"/>
      <c r="L254" s="1"/>
      <c r="M254" s="1"/>
      <c r="N254" s="1"/>
      <c r="O254" s="1"/>
      <c r="P254" s="1"/>
      <c r="Q254" s="1"/>
      <c r="R254" s="1"/>
      <c r="S254" s="1"/>
      <c r="T254" s="1"/>
      <c r="U254" s="1"/>
      <c r="V254" s="1"/>
      <c r="W254" s="1"/>
      <c r="X254" s="1"/>
    </row>
    <row x14ac:dyDescent="0.25" r="255" customHeight="1" ht="18.75">
      <c r="A255" s="1"/>
      <c r="B255" s="1"/>
      <c r="C255" s="3" t="s">
        <v>300</v>
      </c>
      <c r="D255" s="3" t="s">
        <v>319</v>
      </c>
      <c r="E255" s="1"/>
      <c r="F255" s="1"/>
      <c r="G255" s="1"/>
      <c r="H255" s="1"/>
      <c r="I255" s="2"/>
      <c r="J255" s="1"/>
      <c r="K255" s="1"/>
      <c r="L255" s="1"/>
      <c r="M255" s="1"/>
      <c r="N255" s="1"/>
      <c r="O255" s="1"/>
      <c r="P255" s="1"/>
      <c r="Q255" s="1"/>
      <c r="R255" s="1"/>
      <c r="S255" s="1"/>
      <c r="T255" s="1"/>
      <c r="U255" s="1"/>
      <c r="V255" s="1"/>
      <c r="W255" s="1"/>
      <c r="X255" s="1"/>
    </row>
    <row x14ac:dyDescent="0.25" r="256" customHeight="1" ht="18.75">
      <c r="A256" s="1"/>
      <c r="B256" s="1"/>
      <c r="C256" s="3" t="s">
        <v>306</v>
      </c>
      <c r="D256" s="3" t="s">
        <v>320</v>
      </c>
      <c r="E256" s="1"/>
      <c r="F256" s="1"/>
      <c r="G256" s="1"/>
      <c r="H256" s="1"/>
      <c r="I256" s="2"/>
      <c r="J256" s="1"/>
      <c r="K256" s="1"/>
      <c r="L256" s="1"/>
      <c r="M256" s="1"/>
      <c r="N256" s="1"/>
      <c r="O256" s="1"/>
      <c r="P256" s="1"/>
      <c r="Q256" s="1"/>
      <c r="R256" s="1"/>
      <c r="S256" s="1"/>
      <c r="T256" s="1"/>
      <c r="U256" s="1"/>
      <c r="V256" s="1"/>
      <c r="W256" s="1"/>
      <c r="X256" s="1"/>
    </row>
    <row x14ac:dyDescent="0.25" r="257" customHeight="1" ht="18.75">
      <c r="A257" s="1"/>
      <c r="B257" s="1"/>
      <c r="C257" s="3" t="s">
        <v>300</v>
      </c>
      <c r="D257" s="3" t="s">
        <v>321</v>
      </c>
      <c r="E257" s="1"/>
      <c r="F257" s="1"/>
      <c r="G257" s="1"/>
      <c r="H257" s="1"/>
      <c r="I257" s="2"/>
      <c r="J257" s="1"/>
      <c r="K257" s="1"/>
      <c r="L257" s="1"/>
      <c r="M257" s="1"/>
      <c r="N257" s="1"/>
      <c r="O257" s="1"/>
      <c r="P257" s="1"/>
      <c r="Q257" s="1"/>
      <c r="R257" s="1"/>
      <c r="S257" s="1"/>
      <c r="T257" s="1"/>
      <c r="U257" s="1"/>
      <c r="V257" s="1"/>
      <c r="W257" s="1"/>
      <c r="X257" s="1"/>
    </row>
    <row x14ac:dyDescent="0.25" r="258" customHeight="1" ht="18.75">
      <c r="A258" s="1"/>
      <c r="B258" s="1"/>
      <c r="C258" s="3" t="s">
        <v>300</v>
      </c>
      <c r="D258" s="3" t="s">
        <v>322</v>
      </c>
      <c r="E258" s="1"/>
      <c r="F258" s="1"/>
      <c r="G258" s="1"/>
      <c r="H258" s="1"/>
      <c r="I258" s="2"/>
      <c r="J258" s="1"/>
      <c r="K258" s="1"/>
      <c r="L258" s="1"/>
      <c r="M258" s="1"/>
      <c r="N258" s="1"/>
      <c r="O258" s="1"/>
      <c r="P258" s="1"/>
      <c r="Q258" s="1"/>
      <c r="R258" s="1"/>
      <c r="S258" s="1"/>
      <c r="T258" s="1"/>
      <c r="U258" s="1"/>
      <c r="V258" s="1"/>
      <c r="W258" s="1"/>
      <c r="X258" s="1"/>
    </row>
    <row x14ac:dyDescent="0.25" r="259" customHeight="1" ht="18.75">
      <c r="A259" s="1"/>
      <c r="B259" s="1"/>
      <c r="C259" s="3" t="s">
        <v>121</v>
      </c>
      <c r="D259" s="3" t="s">
        <v>323</v>
      </c>
      <c r="E259" s="1"/>
      <c r="F259" s="1"/>
      <c r="G259" s="1"/>
      <c r="H259" s="1"/>
      <c r="I259" s="2"/>
      <c r="J259" s="1"/>
      <c r="K259" s="1"/>
      <c r="L259" s="1"/>
      <c r="M259" s="1"/>
      <c r="N259" s="1"/>
      <c r="O259" s="1"/>
      <c r="P259" s="1"/>
      <c r="Q259" s="1"/>
      <c r="R259" s="1"/>
      <c r="S259" s="1"/>
      <c r="T259" s="1"/>
      <c r="U259" s="1"/>
      <c r="V259" s="1"/>
      <c r="W259" s="1"/>
      <c r="X259" s="1"/>
    </row>
    <row x14ac:dyDescent="0.25" r="260" customHeight="1" ht="18.75">
      <c r="A260" s="1"/>
      <c r="B260" s="1"/>
      <c r="C260" s="3" t="s">
        <v>300</v>
      </c>
      <c r="D260" s="3" t="s">
        <v>324</v>
      </c>
      <c r="E260" s="1"/>
      <c r="F260" s="1"/>
      <c r="G260" s="1"/>
      <c r="H260" s="1"/>
      <c r="I260" s="2"/>
      <c r="J260" s="1"/>
      <c r="K260" s="1"/>
      <c r="L260" s="1"/>
      <c r="M260" s="1"/>
      <c r="N260" s="1"/>
      <c r="O260" s="1"/>
      <c r="P260" s="1"/>
      <c r="Q260" s="1"/>
      <c r="R260" s="1"/>
      <c r="S260" s="1"/>
      <c r="T260" s="1"/>
      <c r="U260" s="1"/>
      <c r="V260" s="1"/>
      <c r="W260" s="1"/>
      <c r="X260" s="1"/>
    </row>
    <row x14ac:dyDescent="0.25" r="261" customHeight="1" ht="18.75">
      <c r="A261" s="1"/>
      <c r="B261" s="1"/>
      <c r="C261" s="3" t="s">
        <v>300</v>
      </c>
      <c r="D261" s="3" t="s">
        <v>325</v>
      </c>
      <c r="E261" s="1"/>
      <c r="F261" s="1"/>
      <c r="G261" s="1"/>
      <c r="H261" s="1"/>
      <c r="I261" s="2"/>
      <c r="J261" s="1"/>
      <c r="K261" s="1"/>
      <c r="L261" s="1"/>
      <c r="M261" s="1"/>
      <c r="N261" s="1"/>
      <c r="O261" s="1"/>
      <c r="P261" s="1"/>
      <c r="Q261" s="1"/>
      <c r="R261" s="1"/>
      <c r="S261" s="1"/>
      <c r="T261" s="1"/>
      <c r="U261" s="1"/>
      <c r="V261" s="1"/>
      <c r="W261" s="1"/>
      <c r="X261" s="1"/>
    </row>
    <row x14ac:dyDescent="0.25" r="262" customHeight="1" ht="18.75">
      <c r="A262" s="1"/>
      <c r="B262" s="1"/>
      <c r="C262" s="3" t="s">
        <v>306</v>
      </c>
      <c r="D262" s="3" t="s">
        <v>326</v>
      </c>
      <c r="E262" s="1"/>
      <c r="F262" s="1"/>
      <c r="G262" s="1"/>
      <c r="H262" s="1"/>
      <c r="I262" s="2"/>
      <c r="J262" s="1"/>
      <c r="K262" s="1"/>
      <c r="L262" s="1"/>
      <c r="M262" s="1"/>
      <c r="N262" s="1"/>
      <c r="O262" s="1"/>
      <c r="P262" s="1"/>
      <c r="Q262" s="1"/>
      <c r="R262" s="1"/>
      <c r="S262" s="1"/>
      <c r="T262" s="1"/>
      <c r="U262" s="1"/>
      <c r="V262" s="1"/>
      <c r="W262" s="1"/>
      <c r="X262" s="1"/>
    </row>
    <row x14ac:dyDescent="0.25" r="263" customHeight="1" ht="18.75">
      <c r="A263" s="1"/>
      <c r="B263" s="1"/>
      <c r="C263" s="3" t="s">
        <v>141</v>
      </c>
      <c r="D263" s="3" t="s">
        <v>327</v>
      </c>
      <c r="E263" s="1"/>
      <c r="F263" s="1"/>
      <c r="G263" s="1"/>
      <c r="H263" s="1"/>
      <c r="I263" s="2"/>
      <c r="J263" s="1"/>
      <c r="K263" s="1"/>
      <c r="L263" s="1"/>
      <c r="M263" s="1"/>
      <c r="N263" s="1"/>
      <c r="O263" s="1"/>
      <c r="P263" s="1"/>
      <c r="Q263" s="1"/>
      <c r="R263" s="1"/>
      <c r="S263" s="1"/>
      <c r="T263" s="1"/>
      <c r="U263" s="1"/>
      <c r="V263" s="1"/>
      <c r="W263" s="1"/>
      <c r="X263" s="1"/>
    </row>
    <row x14ac:dyDescent="0.25" r="264" customHeight="1" ht="18.75">
      <c r="A264" s="1"/>
      <c r="B264" s="1"/>
      <c r="C264" s="3" t="s">
        <v>300</v>
      </c>
      <c r="D264" s="3" t="s">
        <v>328</v>
      </c>
      <c r="E264" s="1"/>
      <c r="F264" s="1"/>
      <c r="G264" s="1"/>
      <c r="H264" s="1"/>
      <c r="I264" s="2"/>
      <c r="J264" s="1"/>
      <c r="K264" s="1"/>
      <c r="L264" s="1"/>
      <c r="M264" s="1"/>
      <c r="N264" s="1"/>
      <c r="O264" s="1"/>
      <c r="P264" s="1"/>
      <c r="Q264" s="1"/>
      <c r="R264" s="1"/>
      <c r="S264" s="1"/>
      <c r="T264" s="1"/>
      <c r="U264" s="1"/>
      <c r="V264" s="1"/>
      <c r="W264" s="1"/>
      <c r="X264" s="1"/>
    </row>
    <row x14ac:dyDescent="0.25" r="265" customHeight="1" ht="18.75">
      <c r="A265" s="1"/>
      <c r="B265" s="1"/>
      <c r="C265" s="3" t="s">
        <v>300</v>
      </c>
      <c r="D265" s="3" t="s">
        <v>329</v>
      </c>
      <c r="E265" s="1"/>
      <c r="F265" s="1"/>
      <c r="G265" s="1"/>
      <c r="H265" s="1"/>
      <c r="I265" s="2"/>
      <c r="J265" s="1"/>
      <c r="K265" s="1"/>
      <c r="L265" s="1"/>
      <c r="M265" s="1"/>
      <c r="N265" s="1"/>
      <c r="O265" s="1"/>
      <c r="P265" s="1"/>
      <c r="Q265" s="1"/>
      <c r="R265" s="1"/>
      <c r="S265" s="1"/>
      <c r="T265" s="1"/>
      <c r="U265" s="1"/>
      <c r="V265" s="1"/>
      <c r="W265" s="1"/>
      <c r="X265" s="1"/>
    </row>
    <row x14ac:dyDescent="0.25" r="266" customHeight="1" ht="18.75">
      <c r="A266" s="1"/>
      <c r="B266" s="1"/>
      <c r="C266" s="3" t="s">
        <v>300</v>
      </c>
      <c r="D266" s="3" t="s">
        <v>330</v>
      </c>
      <c r="E266" s="1"/>
      <c r="F266" s="1"/>
      <c r="G266" s="1"/>
      <c r="H266" s="1"/>
      <c r="I266" s="2"/>
      <c r="J266" s="1"/>
      <c r="K266" s="1"/>
      <c r="L266" s="1"/>
      <c r="M266" s="1"/>
      <c r="N266" s="1"/>
      <c r="O266" s="1"/>
      <c r="P266" s="1"/>
      <c r="Q266" s="1"/>
      <c r="R266" s="1"/>
      <c r="S266" s="1"/>
      <c r="T266" s="1"/>
      <c r="U266" s="1"/>
      <c r="V266" s="1"/>
      <c r="W266" s="1"/>
      <c r="X266" s="1"/>
    </row>
    <row x14ac:dyDescent="0.25" r="267" customHeight="1" ht="18.75">
      <c r="A267" s="1"/>
      <c r="B267" s="1"/>
      <c r="C267" s="3" t="s">
        <v>300</v>
      </c>
      <c r="D267" s="3" t="s">
        <v>331</v>
      </c>
      <c r="E267" s="1"/>
      <c r="F267" s="1"/>
      <c r="G267" s="1"/>
      <c r="H267" s="1"/>
      <c r="I267" s="2"/>
      <c r="J267" s="1"/>
      <c r="K267" s="1"/>
      <c r="L267" s="1"/>
      <c r="M267" s="1"/>
      <c r="N267" s="1"/>
      <c r="O267" s="1"/>
      <c r="P267" s="1"/>
      <c r="Q267" s="1"/>
      <c r="R267" s="1"/>
      <c r="S267" s="1"/>
      <c r="T267" s="1"/>
      <c r="U267" s="1"/>
      <c r="V267" s="1"/>
      <c r="W267" s="1"/>
      <c r="X267" s="1"/>
    </row>
    <row x14ac:dyDescent="0.25" r="268" customHeight="1" ht="18.75">
      <c r="A268" s="1"/>
      <c r="B268" s="1"/>
      <c r="C268" s="3" t="s">
        <v>300</v>
      </c>
      <c r="D268" s="3" t="s">
        <v>332</v>
      </c>
      <c r="E268" s="1"/>
      <c r="F268" s="1"/>
      <c r="G268" s="1"/>
      <c r="H268" s="1"/>
      <c r="I268" s="2"/>
      <c r="J268" s="1"/>
      <c r="K268" s="1"/>
      <c r="L268" s="1"/>
      <c r="M268" s="1"/>
      <c r="N268" s="1"/>
      <c r="O268" s="1"/>
      <c r="P268" s="1"/>
      <c r="Q268" s="1"/>
      <c r="R268" s="1"/>
      <c r="S268" s="1"/>
      <c r="T268" s="1"/>
      <c r="U268" s="1"/>
      <c r="V268" s="1"/>
      <c r="W268" s="1"/>
      <c r="X268" s="1"/>
    </row>
    <row x14ac:dyDescent="0.25" r="269" customHeight="1" ht="18.75">
      <c r="A269" s="1"/>
      <c r="B269" s="1"/>
      <c r="C269" s="3" t="s">
        <v>300</v>
      </c>
      <c r="D269" s="3" t="s">
        <v>333</v>
      </c>
      <c r="E269" s="1"/>
      <c r="F269" s="1"/>
      <c r="G269" s="1"/>
      <c r="H269" s="1"/>
      <c r="I269" s="2"/>
      <c r="J269" s="1"/>
      <c r="K269" s="1"/>
      <c r="L269" s="1"/>
      <c r="M269" s="1"/>
      <c r="N269" s="1"/>
      <c r="O269" s="1"/>
      <c r="P269" s="1"/>
      <c r="Q269" s="1"/>
      <c r="R269" s="1"/>
      <c r="S269" s="1"/>
      <c r="T269" s="1"/>
      <c r="U269" s="1"/>
      <c r="V269" s="1"/>
      <c r="W269" s="1"/>
      <c r="X269" s="1"/>
    </row>
    <row x14ac:dyDescent="0.25" r="270" customHeight="1" ht="18.75">
      <c r="A270" s="1"/>
      <c r="B270" s="1"/>
      <c r="C270" s="3" t="s">
        <v>300</v>
      </c>
      <c r="D270" s="3" t="s">
        <v>334</v>
      </c>
      <c r="E270" s="1"/>
      <c r="F270" s="1"/>
      <c r="G270" s="1"/>
      <c r="H270" s="1"/>
      <c r="I270" s="2"/>
      <c r="J270" s="1"/>
      <c r="K270" s="1"/>
      <c r="L270" s="1"/>
      <c r="M270" s="1"/>
      <c r="N270" s="1"/>
      <c r="O270" s="1"/>
      <c r="P270" s="1"/>
      <c r="Q270" s="1"/>
      <c r="R270" s="1"/>
      <c r="S270" s="1"/>
      <c r="T270" s="1"/>
      <c r="U270" s="1"/>
      <c r="V270" s="1"/>
      <c r="W270" s="1"/>
      <c r="X270" s="1"/>
    </row>
    <row x14ac:dyDescent="0.25" r="271" customHeight="1" ht="18.75">
      <c r="A271" s="1"/>
      <c r="B271" s="1"/>
      <c r="C271" s="3" t="s">
        <v>300</v>
      </c>
      <c r="D271" s="3" t="s">
        <v>335</v>
      </c>
      <c r="E271" s="1"/>
      <c r="F271" s="1"/>
      <c r="G271" s="1"/>
      <c r="H271" s="1"/>
      <c r="I271" s="2"/>
      <c r="J271" s="1"/>
      <c r="K271" s="1"/>
      <c r="L271" s="1"/>
      <c r="M271" s="1"/>
      <c r="N271" s="1"/>
      <c r="O271" s="1"/>
      <c r="P271" s="1"/>
      <c r="Q271" s="1"/>
      <c r="R271" s="1"/>
      <c r="S271" s="1"/>
      <c r="T271" s="1"/>
      <c r="U271" s="1"/>
      <c r="V271" s="1"/>
      <c r="W271" s="1"/>
      <c r="X271" s="1"/>
    </row>
    <row x14ac:dyDescent="0.25" r="272" customHeight="1" ht="18.75">
      <c r="A272" s="1"/>
      <c r="B272" s="1"/>
      <c r="C272" s="3" t="s">
        <v>300</v>
      </c>
      <c r="D272" s="3" t="s">
        <v>336</v>
      </c>
      <c r="E272" s="1"/>
      <c r="F272" s="1"/>
      <c r="G272" s="1"/>
      <c r="H272" s="1"/>
      <c r="I272" s="2"/>
      <c r="J272" s="1"/>
      <c r="K272" s="1"/>
      <c r="L272" s="1"/>
      <c r="M272" s="1"/>
      <c r="N272" s="1"/>
      <c r="O272" s="1"/>
      <c r="P272" s="1"/>
      <c r="Q272" s="1"/>
      <c r="R272" s="1"/>
      <c r="S272" s="1"/>
      <c r="T272" s="1"/>
      <c r="U272" s="1"/>
      <c r="V272" s="1"/>
      <c r="W272" s="1"/>
      <c r="X272" s="1"/>
    </row>
    <row x14ac:dyDescent="0.25" r="273" customHeight="1" ht="18.75">
      <c r="A273" s="1"/>
      <c r="B273" s="1"/>
      <c r="C273" s="3" t="s">
        <v>300</v>
      </c>
      <c r="D273" s="3" t="s">
        <v>337</v>
      </c>
      <c r="E273" s="1"/>
      <c r="F273" s="1"/>
      <c r="G273" s="1"/>
      <c r="H273" s="1"/>
      <c r="I273" s="2"/>
      <c r="J273" s="1"/>
      <c r="K273" s="1"/>
      <c r="L273" s="1"/>
      <c r="M273" s="1"/>
      <c r="N273" s="1"/>
      <c r="O273" s="1"/>
      <c r="P273" s="1"/>
      <c r="Q273" s="1"/>
      <c r="R273" s="1"/>
      <c r="S273" s="1"/>
      <c r="T273" s="1"/>
      <c r="U273" s="1"/>
      <c r="V273" s="1"/>
      <c r="W273" s="1"/>
      <c r="X273" s="1"/>
    </row>
    <row x14ac:dyDescent="0.25" r="274" customHeight="1" ht="18.75">
      <c r="A274" s="1"/>
      <c r="B274" s="1"/>
      <c r="C274" s="3" t="s">
        <v>300</v>
      </c>
      <c r="D274" s="3" t="s">
        <v>338</v>
      </c>
      <c r="E274" s="1"/>
      <c r="F274" s="1"/>
      <c r="G274" s="1"/>
      <c r="H274" s="1"/>
      <c r="I274" s="2"/>
      <c r="J274" s="1"/>
      <c r="K274" s="1"/>
      <c r="L274" s="1"/>
      <c r="M274" s="1"/>
      <c r="N274" s="1"/>
      <c r="O274" s="1"/>
      <c r="P274" s="1"/>
      <c r="Q274" s="1"/>
      <c r="R274" s="1"/>
      <c r="S274" s="1"/>
      <c r="T274" s="1"/>
      <c r="U274" s="1"/>
      <c r="V274" s="1"/>
      <c r="W274" s="1"/>
      <c r="X274" s="1"/>
    </row>
    <row x14ac:dyDescent="0.25" r="275" customHeight="1" ht="18.75">
      <c r="A275" s="1"/>
      <c r="B275" s="1"/>
      <c r="C275" s="3" t="s">
        <v>300</v>
      </c>
      <c r="D275" s="3" t="s">
        <v>339</v>
      </c>
      <c r="E275" s="1"/>
      <c r="F275" s="1"/>
      <c r="G275" s="1"/>
      <c r="H275" s="1"/>
      <c r="I275" s="2"/>
      <c r="J275" s="1"/>
      <c r="K275" s="1"/>
      <c r="L275" s="1"/>
      <c r="M275" s="1"/>
      <c r="N275" s="1"/>
      <c r="O275" s="1"/>
      <c r="P275" s="1"/>
      <c r="Q275" s="1"/>
      <c r="R275" s="1"/>
      <c r="S275" s="1"/>
      <c r="T275" s="1"/>
      <c r="U275" s="1"/>
      <c r="V275" s="1"/>
      <c r="W275" s="1"/>
      <c r="X275" s="1"/>
    </row>
    <row x14ac:dyDescent="0.25" r="276" customHeight="1" ht="18.75">
      <c r="A276" s="1"/>
      <c r="B276" s="1"/>
      <c r="C276" s="3" t="s">
        <v>300</v>
      </c>
      <c r="D276" s="3" t="s">
        <v>340</v>
      </c>
      <c r="E276" s="1"/>
      <c r="F276" s="1"/>
      <c r="G276" s="1"/>
      <c r="H276" s="1"/>
      <c r="I276" s="2"/>
      <c r="J276" s="1"/>
      <c r="K276" s="1"/>
      <c r="L276" s="1"/>
      <c r="M276" s="1"/>
      <c r="N276" s="1"/>
      <c r="O276" s="1"/>
      <c r="P276" s="1"/>
      <c r="Q276" s="1"/>
      <c r="R276" s="1"/>
      <c r="S276" s="1"/>
      <c r="T276" s="1"/>
      <c r="U276" s="1"/>
      <c r="V276" s="1"/>
      <c r="W276" s="1"/>
      <c r="X276" s="1"/>
    </row>
    <row x14ac:dyDescent="0.25" r="277" customHeight="1" ht="18.75">
      <c r="A277" s="1"/>
      <c r="B277" s="1"/>
      <c r="C277" s="3" t="s">
        <v>300</v>
      </c>
      <c r="D277" s="3" t="s">
        <v>341</v>
      </c>
      <c r="E277" s="1"/>
      <c r="F277" s="1"/>
      <c r="G277" s="1"/>
      <c r="H277" s="1"/>
      <c r="I277" s="2"/>
      <c r="J277" s="1"/>
      <c r="K277" s="1"/>
      <c r="L277" s="1"/>
      <c r="M277" s="1"/>
      <c r="N277" s="1"/>
      <c r="O277" s="1"/>
      <c r="P277" s="1"/>
      <c r="Q277" s="1"/>
      <c r="R277" s="1"/>
      <c r="S277" s="1"/>
      <c r="T277" s="1"/>
      <c r="U277" s="1"/>
      <c r="V277" s="1"/>
      <c r="W277" s="1"/>
      <c r="X277" s="1"/>
    </row>
    <row x14ac:dyDescent="0.25" r="278" customHeight="1" ht="18.75">
      <c r="A278" s="1"/>
      <c r="B278" s="1"/>
      <c r="C278" s="3" t="s">
        <v>300</v>
      </c>
      <c r="D278" s="3" t="s">
        <v>342</v>
      </c>
      <c r="E278" s="1"/>
      <c r="F278" s="1"/>
      <c r="G278" s="1"/>
      <c r="H278" s="1"/>
      <c r="I278" s="2"/>
      <c r="J278" s="1"/>
      <c r="K278" s="1"/>
      <c r="L278" s="1"/>
      <c r="M278" s="1"/>
      <c r="N278" s="1"/>
      <c r="O278" s="1"/>
      <c r="P278" s="1"/>
      <c r="Q278" s="1"/>
      <c r="R278" s="1"/>
      <c r="S278" s="1"/>
      <c r="T278" s="1"/>
      <c r="U278" s="1"/>
      <c r="V278" s="1"/>
      <c r="W278" s="1"/>
      <c r="X278" s="1"/>
    </row>
    <row x14ac:dyDescent="0.25" r="279" customHeight="1" ht="18.75">
      <c r="A279" s="1"/>
      <c r="B279" s="1"/>
      <c r="C279" s="3" t="s">
        <v>121</v>
      </c>
      <c r="D279" s="3" t="s">
        <v>343</v>
      </c>
      <c r="E279" s="1"/>
      <c r="F279" s="1"/>
      <c r="G279" s="1"/>
      <c r="H279" s="1"/>
      <c r="I279" s="2"/>
      <c r="J279" s="1"/>
      <c r="K279" s="1"/>
      <c r="L279" s="1"/>
      <c r="M279" s="1"/>
      <c r="N279" s="1"/>
      <c r="O279" s="1"/>
      <c r="P279" s="1"/>
      <c r="Q279" s="1"/>
      <c r="R279" s="1"/>
      <c r="S279" s="1"/>
      <c r="T279" s="1"/>
      <c r="U279" s="1"/>
      <c r="V279" s="1"/>
      <c r="W279" s="1"/>
      <c r="X279" s="1"/>
    </row>
    <row x14ac:dyDescent="0.25" r="280" customHeight="1" ht="18.75">
      <c r="A280" s="1"/>
      <c r="B280" s="1"/>
      <c r="C280" s="3" t="s">
        <v>300</v>
      </c>
      <c r="D280" s="3" t="s">
        <v>344</v>
      </c>
      <c r="E280" s="1"/>
      <c r="F280" s="1"/>
      <c r="G280" s="1"/>
      <c r="H280" s="1"/>
      <c r="I280" s="2"/>
      <c r="J280" s="1"/>
      <c r="K280" s="1"/>
      <c r="L280" s="1"/>
      <c r="M280" s="1"/>
      <c r="N280" s="1"/>
      <c r="O280" s="1"/>
      <c r="P280" s="1"/>
      <c r="Q280" s="1"/>
      <c r="R280" s="1"/>
      <c r="S280" s="1"/>
      <c r="T280" s="1"/>
      <c r="U280" s="1"/>
      <c r="V280" s="1"/>
      <c r="W280" s="1"/>
      <c r="X280" s="1"/>
    </row>
    <row x14ac:dyDescent="0.25" r="281" customHeight="1" ht="18.75">
      <c r="A281" s="1"/>
      <c r="B281" s="1"/>
      <c r="C281" s="3" t="s">
        <v>121</v>
      </c>
      <c r="D281" s="3" t="s">
        <v>345</v>
      </c>
      <c r="E281" s="1"/>
      <c r="F281" s="1"/>
      <c r="G281" s="1"/>
      <c r="H281" s="1"/>
      <c r="I281" s="2"/>
      <c r="J281" s="1"/>
      <c r="K281" s="1"/>
      <c r="L281" s="1"/>
      <c r="M281" s="1"/>
      <c r="N281" s="1"/>
      <c r="O281" s="1"/>
      <c r="P281" s="1"/>
      <c r="Q281" s="1"/>
      <c r="R281" s="1"/>
      <c r="S281" s="1"/>
      <c r="T281" s="1"/>
      <c r="U281" s="1"/>
      <c r="V281" s="1"/>
      <c r="W281" s="1"/>
      <c r="X281" s="1"/>
    </row>
    <row x14ac:dyDescent="0.25" r="282" customHeight="1" ht="18.75">
      <c r="A282" s="1"/>
      <c r="B282" s="1"/>
      <c r="C282" s="3" t="s">
        <v>300</v>
      </c>
      <c r="D282" s="3" t="s">
        <v>346</v>
      </c>
      <c r="E282" s="1"/>
      <c r="F282" s="1"/>
      <c r="G282" s="1"/>
      <c r="H282" s="1"/>
      <c r="I282" s="2"/>
      <c r="J282" s="1"/>
      <c r="K282" s="1"/>
      <c r="L282" s="1"/>
      <c r="M282" s="1"/>
      <c r="N282" s="1"/>
      <c r="O282" s="1"/>
      <c r="P282" s="1"/>
      <c r="Q282" s="1"/>
      <c r="R282" s="1"/>
      <c r="S282" s="1"/>
      <c r="T282" s="1"/>
      <c r="U282" s="1"/>
      <c r="V282" s="1"/>
      <c r="W282" s="1"/>
      <c r="X282" s="1"/>
    </row>
    <row x14ac:dyDescent="0.25" r="283" customHeight="1" ht="18.75">
      <c r="A283" s="1"/>
      <c r="B283" s="1"/>
      <c r="C283" s="3" t="s">
        <v>300</v>
      </c>
      <c r="D283" s="3" t="s">
        <v>347</v>
      </c>
      <c r="E283" s="1"/>
      <c r="F283" s="1"/>
      <c r="G283" s="1"/>
      <c r="H283" s="1"/>
      <c r="I283" s="2"/>
      <c r="J283" s="1"/>
      <c r="K283" s="1"/>
      <c r="L283" s="1"/>
      <c r="M283" s="1"/>
      <c r="N283" s="1"/>
      <c r="O283" s="1"/>
      <c r="P283" s="1"/>
      <c r="Q283" s="1"/>
      <c r="R283" s="1"/>
      <c r="S283" s="1"/>
      <c r="T283" s="1"/>
      <c r="U283" s="1"/>
      <c r="V283" s="1"/>
      <c r="W283" s="1"/>
      <c r="X283" s="1"/>
    </row>
    <row x14ac:dyDescent="0.25" r="284" customHeight="1" ht="18.75">
      <c r="A284" s="1"/>
      <c r="B284" s="1"/>
      <c r="C284" s="3" t="s">
        <v>121</v>
      </c>
      <c r="D284" s="3" t="s">
        <v>348</v>
      </c>
      <c r="E284" s="1"/>
      <c r="F284" s="1"/>
      <c r="G284" s="1"/>
      <c r="H284" s="1"/>
      <c r="I284" s="2"/>
      <c r="J284" s="1"/>
      <c r="K284" s="1"/>
      <c r="L284" s="1"/>
      <c r="M284" s="1"/>
      <c r="N284" s="1"/>
      <c r="O284" s="1"/>
      <c r="P284" s="1"/>
      <c r="Q284" s="1"/>
      <c r="R284" s="1"/>
      <c r="S284" s="1"/>
      <c r="T284" s="1"/>
      <c r="U284" s="1"/>
      <c r="V284" s="1"/>
      <c r="W284" s="1"/>
      <c r="X284" s="1"/>
    </row>
    <row x14ac:dyDescent="0.25" r="285" customHeight="1" ht="18.75">
      <c r="A285" s="1"/>
      <c r="B285" s="1"/>
      <c r="C285" s="3" t="s">
        <v>300</v>
      </c>
      <c r="D285" s="3" t="s">
        <v>349</v>
      </c>
      <c r="E285" s="1"/>
      <c r="F285" s="1"/>
      <c r="G285" s="1"/>
      <c r="H285" s="1"/>
      <c r="I285" s="2"/>
      <c r="J285" s="1"/>
      <c r="K285" s="1"/>
      <c r="L285" s="1"/>
      <c r="M285" s="1"/>
      <c r="N285" s="1"/>
      <c r="O285" s="1"/>
      <c r="P285" s="1"/>
      <c r="Q285" s="1"/>
      <c r="R285" s="1"/>
      <c r="S285" s="1"/>
      <c r="T285" s="1"/>
      <c r="U285" s="1"/>
      <c r="V285" s="1"/>
      <c r="W285" s="1"/>
      <c r="X285" s="1"/>
    </row>
    <row x14ac:dyDescent="0.25" r="286" customHeight="1" ht="18.75">
      <c r="A286" s="1"/>
      <c r="B286" s="1"/>
      <c r="C286" s="3" t="s">
        <v>300</v>
      </c>
      <c r="D286" s="3" t="s">
        <v>350</v>
      </c>
      <c r="E286" s="1"/>
      <c r="F286" s="1"/>
      <c r="G286" s="1"/>
      <c r="H286" s="1"/>
      <c r="I286" s="2"/>
      <c r="J286" s="1"/>
      <c r="K286" s="1"/>
      <c r="L286" s="1"/>
      <c r="M286" s="1"/>
      <c r="N286" s="1"/>
      <c r="O286" s="1"/>
      <c r="P286" s="1"/>
      <c r="Q286" s="1"/>
      <c r="R286" s="1"/>
      <c r="S286" s="1"/>
      <c r="T286" s="1"/>
      <c r="U286" s="1"/>
      <c r="V286" s="1"/>
      <c r="W286" s="1"/>
      <c r="X286" s="1"/>
    </row>
    <row x14ac:dyDescent="0.25" r="287" customHeight="1" ht="18.75">
      <c r="A287" s="1"/>
      <c r="B287" s="1"/>
      <c r="C287" s="3" t="s">
        <v>300</v>
      </c>
      <c r="D287" s="3" t="s">
        <v>351</v>
      </c>
      <c r="E287" s="1"/>
      <c r="F287" s="1"/>
      <c r="G287" s="1"/>
      <c r="H287" s="1"/>
      <c r="I287" s="2"/>
      <c r="J287" s="1"/>
      <c r="K287" s="1"/>
      <c r="L287" s="1"/>
      <c r="M287" s="1"/>
      <c r="N287" s="1"/>
      <c r="O287" s="1"/>
      <c r="P287" s="1"/>
      <c r="Q287" s="1"/>
      <c r="R287" s="1"/>
      <c r="S287" s="1"/>
      <c r="T287" s="1"/>
      <c r="U287" s="1"/>
      <c r="V287" s="1"/>
      <c r="W287" s="1"/>
      <c r="X287" s="1"/>
    </row>
    <row x14ac:dyDescent="0.25" r="288" customHeight="1" ht="18.75">
      <c r="A288" s="1"/>
      <c r="B288" s="1"/>
      <c r="C288" s="3" t="s">
        <v>141</v>
      </c>
      <c r="D288" s="3" t="s">
        <v>352</v>
      </c>
      <c r="E288" s="1"/>
      <c r="F288" s="1"/>
      <c r="G288" s="1"/>
      <c r="H288" s="1"/>
      <c r="I288" s="2"/>
      <c r="J288" s="1"/>
      <c r="K288" s="1"/>
      <c r="L288" s="1"/>
      <c r="M288" s="1"/>
      <c r="N288" s="1"/>
      <c r="O288" s="1"/>
      <c r="P288" s="1"/>
      <c r="Q288" s="1"/>
      <c r="R288" s="1"/>
      <c r="S288" s="1"/>
      <c r="T288" s="1"/>
      <c r="U288" s="1"/>
      <c r="V288" s="1"/>
      <c r="W288" s="1"/>
      <c r="X288" s="1"/>
    </row>
    <row x14ac:dyDescent="0.25" r="289" customHeight="1" ht="18.75">
      <c r="A289" s="1"/>
      <c r="B289" s="1"/>
      <c r="C289" s="3" t="s">
        <v>300</v>
      </c>
      <c r="D289" s="3" t="s">
        <v>353</v>
      </c>
      <c r="E289" s="1"/>
      <c r="F289" s="1"/>
      <c r="G289" s="1"/>
      <c r="H289" s="1"/>
      <c r="I289" s="2"/>
      <c r="J289" s="1"/>
      <c r="K289" s="1"/>
      <c r="L289" s="1"/>
      <c r="M289" s="1"/>
      <c r="N289" s="1"/>
      <c r="O289" s="1"/>
      <c r="P289" s="1"/>
      <c r="Q289" s="1"/>
      <c r="R289" s="1"/>
      <c r="S289" s="1"/>
      <c r="T289" s="1"/>
      <c r="U289" s="1"/>
      <c r="V289" s="1"/>
      <c r="W289" s="1"/>
      <c r="X289" s="1"/>
    </row>
    <row x14ac:dyDescent="0.25" r="290" customHeight="1" ht="18.75">
      <c r="A290" s="1"/>
      <c r="B290" s="1"/>
      <c r="C290" s="3" t="s">
        <v>300</v>
      </c>
      <c r="D290" s="3" t="s">
        <v>354</v>
      </c>
      <c r="E290" s="1"/>
      <c r="F290" s="1"/>
      <c r="G290" s="1"/>
      <c r="H290" s="1"/>
      <c r="I290" s="2"/>
      <c r="J290" s="1"/>
      <c r="K290" s="1"/>
      <c r="L290" s="1"/>
      <c r="M290" s="1"/>
      <c r="N290" s="1"/>
      <c r="O290" s="1"/>
      <c r="P290" s="1"/>
      <c r="Q290" s="1"/>
      <c r="R290" s="1"/>
      <c r="S290" s="1"/>
      <c r="T290" s="1"/>
      <c r="U290" s="1"/>
      <c r="V290" s="1"/>
      <c r="W290" s="1"/>
      <c r="X290" s="1"/>
    </row>
    <row x14ac:dyDescent="0.25" r="291" customHeight="1" ht="18.75">
      <c r="A291" s="1"/>
      <c r="B291" s="1"/>
      <c r="C291" s="3" t="s">
        <v>300</v>
      </c>
      <c r="D291" s="3" t="s">
        <v>355</v>
      </c>
      <c r="E291" s="1"/>
      <c r="F291" s="1"/>
      <c r="G291" s="1"/>
      <c r="H291" s="1"/>
      <c r="I291" s="2"/>
      <c r="J291" s="1"/>
      <c r="K291" s="1"/>
      <c r="L291" s="1"/>
      <c r="M291" s="1"/>
      <c r="N291" s="1"/>
      <c r="O291" s="1"/>
      <c r="P291" s="1"/>
      <c r="Q291" s="1"/>
      <c r="R291" s="1"/>
      <c r="S291" s="1"/>
      <c r="T291" s="1"/>
      <c r="U291" s="1"/>
      <c r="V291" s="1"/>
      <c r="W291" s="1"/>
      <c r="X291" s="1"/>
    </row>
    <row x14ac:dyDescent="0.25" r="292" customHeight="1" ht="18.75">
      <c r="A292" s="1"/>
      <c r="B292" s="1"/>
      <c r="C292" s="3" t="s">
        <v>300</v>
      </c>
      <c r="D292" s="3" t="s">
        <v>356</v>
      </c>
      <c r="E292" s="1"/>
      <c r="F292" s="1"/>
      <c r="G292" s="1"/>
      <c r="H292" s="1"/>
      <c r="I292" s="2"/>
      <c r="J292" s="1"/>
      <c r="K292" s="1"/>
      <c r="L292" s="1"/>
      <c r="M292" s="1"/>
      <c r="N292" s="1"/>
      <c r="O292" s="1"/>
      <c r="P292" s="1"/>
      <c r="Q292" s="1"/>
      <c r="R292" s="1"/>
      <c r="S292" s="1"/>
      <c r="T292" s="1"/>
      <c r="U292" s="1"/>
      <c r="V292" s="1"/>
      <c r="W292" s="1"/>
      <c r="X292" s="1"/>
    </row>
    <row x14ac:dyDescent="0.25" r="293" customHeight="1" ht="18.75">
      <c r="A293" s="1"/>
      <c r="B293" s="1"/>
      <c r="C293" s="3" t="s">
        <v>300</v>
      </c>
      <c r="D293" s="3" t="s">
        <v>357</v>
      </c>
      <c r="E293" s="1"/>
      <c r="F293" s="1"/>
      <c r="G293" s="1"/>
      <c r="H293" s="1"/>
      <c r="I293" s="2"/>
      <c r="J293" s="1"/>
      <c r="K293" s="1"/>
      <c r="L293" s="1"/>
      <c r="M293" s="1"/>
      <c r="N293" s="1"/>
      <c r="O293" s="1"/>
      <c r="P293" s="1"/>
      <c r="Q293" s="1"/>
      <c r="R293" s="1"/>
      <c r="S293" s="1"/>
      <c r="T293" s="1"/>
      <c r="U293" s="1"/>
      <c r="V293" s="1"/>
      <c r="W293" s="1"/>
      <c r="X293" s="1"/>
    </row>
    <row x14ac:dyDescent="0.25" r="294" customHeight="1" ht="18.75">
      <c r="A294" s="1"/>
      <c r="B294" s="1"/>
      <c r="C294" s="3" t="s">
        <v>300</v>
      </c>
      <c r="D294" s="3" t="s">
        <v>358</v>
      </c>
      <c r="E294" s="1"/>
      <c r="F294" s="1"/>
      <c r="G294" s="1"/>
      <c r="H294" s="1"/>
      <c r="I294" s="2"/>
      <c r="J294" s="1"/>
      <c r="K294" s="1"/>
      <c r="L294" s="1"/>
      <c r="M294" s="1"/>
      <c r="N294" s="1"/>
      <c r="O294" s="1"/>
      <c r="P294" s="1"/>
      <c r="Q294" s="1"/>
      <c r="R294" s="1"/>
      <c r="S294" s="1"/>
      <c r="T294" s="1"/>
      <c r="U294" s="1"/>
      <c r="V294" s="1"/>
      <c r="W294" s="1"/>
      <c r="X294" s="1"/>
    </row>
    <row x14ac:dyDescent="0.25" r="295" customHeight="1" ht="18.75">
      <c r="A295" s="1"/>
      <c r="B295" s="1"/>
      <c r="C295" s="3" t="s">
        <v>121</v>
      </c>
      <c r="D295" s="3" t="s">
        <v>359</v>
      </c>
      <c r="E295" s="1"/>
      <c r="F295" s="1"/>
      <c r="G295" s="1"/>
      <c r="H295" s="1"/>
      <c r="I295" s="2"/>
      <c r="J295" s="1"/>
      <c r="K295" s="1"/>
      <c r="L295" s="1"/>
      <c r="M295" s="1"/>
      <c r="N295" s="1"/>
      <c r="O295" s="1"/>
      <c r="P295" s="1"/>
      <c r="Q295" s="1"/>
      <c r="R295" s="1"/>
      <c r="S295" s="1"/>
      <c r="T295" s="1"/>
      <c r="U295" s="1"/>
      <c r="V295" s="1"/>
      <c r="W295" s="1"/>
      <c r="X295" s="1"/>
    </row>
    <row x14ac:dyDescent="0.25" r="296" customHeight="1" ht="18.75">
      <c r="A296" s="1"/>
      <c r="B296" s="1"/>
      <c r="C296" s="3" t="s">
        <v>300</v>
      </c>
      <c r="D296" s="3" t="s">
        <v>360</v>
      </c>
      <c r="E296" s="1"/>
      <c r="F296" s="1"/>
      <c r="G296" s="1"/>
      <c r="H296" s="1"/>
      <c r="I296" s="2"/>
      <c r="J296" s="1"/>
      <c r="K296" s="1"/>
      <c r="L296" s="1"/>
      <c r="M296" s="1"/>
      <c r="N296" s="1"/>
      <c r="O296" s="1"/>
      <c r="P296" s="1"/>
      <c r="Q296" s="1"/>
      <c r="R296" s="1"/>
      <c r="S296" s="1"/>
      <c r="T296" s="1"/>
      <c r="U296" s="1"/>
      <c r="V296" s="1"/>
      <c r="W296" s="1"/>
      <c r="X296" s="1"/>
    </row>
    <row x14ac:dyDescent="0.25" r="297" customHeight="1" ht="18.75">
      <c r="A297" s="1"/>
      <c r="B297" s="1"/>
      <c r="C297" s="3" t="s">
        <v>300</v>
      </c>
      <c r="D297" s="3" t="s">
        <v>361</v>
      </c>
      <c r="E297" s="1"/>
      <c r="F297" s="1"/>
      <c r="G297" s="1"/>
      <c r="H297" s="1"/>
      <c r="I297" s="2"/>
      <c r="J297" s="1"/>
      <c r="K297" s="1"/>
      <c r="L297" s="1"/>
      <c r="M297" s="1"/>
      <c r="N297" s="1"/>
      <c r="O297" s="1"/>
      <c r="P297" s="1"/>
      <c r="Q297" s="1"/>
      <c r="R297" s="1"/>
      <c r="S297" s="1"/>
      <c r="T297" s="1"/>
      <c r="U297" s="1"/>
      <c r="V297" s="1"/>
      <c r="W297" s="1"/>
      <c r="X297" s="1"/>
    </row>
    <row x14ac:dyDescent="0.25" r="298" customHeight="1" ht="18.75">
      <c r="A298" s="1"/>
      <c r="B298" s="1"/>
      <c r="C298" s="3" t="s">
        <v>300</v>
      </c>
      <c r="D298" s="3" t="s">
        <v>362</v>
      </c>
      <c r="E298" s="1"/>
      <c r="F298" s="1"/>
      <c r="G298" s="1"/>
      <c r="H298" s="1"/>
      <c r="I298" s="2"/>
      <c r="J298" s="1"/>
      <c r="K298" s="1"/>
      <c r="L298" s="1"/>
      <c r="M298" s="1"/>
      <c r="N298" s="1"/>
      <c r="O298" s="1"/>
      <c r="P298" s="1"/>
      <c r="Q298" s="1"/>
      <c r="R298" s="1"/>
      <c r="S298" s="1"/>
      <c r="T298" s="1"/>
      <c r="U298" s="1"/>
      <c r="V298" s="1"/>
      <c r="W298" s="1"/>
      <c r="X298" s="1"/>
    </row>
    <row x14ac:dyDescent="0.25" r="299" customHeight="1" ht="18.75">
      <c r="A299" s="1"/>
      <c r="B299" s="1"/>
      <c r="C299" s="3" t="s">
        <v>121</v>
      </c>
      <c r="D299" s="3" t="s">
        <v>363</v>
      </c>
      <c r="E299" s="1"/>
      <c r="F299" s="1"/>
      <c r="G299" s="1"/>
      <c r="H299" s="1"/>
      <c r="I299" s="2"/>
      <c r="J299" s="1"/>
      <c r="K299" s="1"/>
      <c r="L299" s="1"/>
      <c r="M299" s="1"/>
      <c r="N299" s="1"/>
      <c r="O299" s="1"/>
      <c r="P299" s="1"/>
      <c r="Q299" s="1"/>
      <c r="R299" s="1"/>
      <c r="S299" s="1"/>
      <c r="T299" s="1"/>
      <c r="U299" s="1"/>
      <c r="V299" s="1"/>
      <c r="W299" s="1"/>
      <c r="X299" s="1"/>
    </row>
    <row x14ac:dyDescent="0.25" r="300" customHeight="1" ht="18.75">
      <c r="A300" s="1"/>
      <c r="B300" s="1"/>
      <c r="C300" s="3" t="s">
        <v>300</v>
      </c>
      <c r="D300" s="3" t="s">
        <v>364</v>
      </c>
      <c r="E300" s="1"/>
      <c r="F300" s="1"/>
      <c r="G300" s="1"/>
      <c r="H300" s="1"/>
      <c r="I300" s="2"/>
      <c r="J300" s="1"/>
      <c r="K300" s="1"/>
      <c r="L300" s="1"/>
      <c r="M300" s="1"/>
      <c r="N300" s="1"/>
      <c r="O300" s="1"/>
      <c r="P300" s="1"/>
      <c r="Q300" s="1"/>
      <c r="R300" s="1"/>
      <c r="S300" s="1"/>
      <c r="T300" s="1"/>
      <c r="U300" s="1"/>
      <c r="V300" s="1"/>
      <c r="W300" s="1"/>
      <c r="X300" s="1"/>
    </row>
    <row x14ac:dyDescent="0.25" r="301" customHeight="1" ht="18.75">
      <c r="A301" s="1"/>
      <c r="B301" s="1"/>
      <c r="C301" s="3" t="s">
        <v>300</v>
      </c>
      <c r="D301" s="3" t="s">
        <v>365</v>
      </c>
      <c r="E301" s="1"/>
      <c r="F301" s="1"/>
      <c r="G301" s="1"/>
      <c r="H301" s="1"/>
      <c r="I301" s="2"/>
      <c r="J301" s="1"/>
      <c r="K301" s="1"/>
      <c r="L301" s="1"/>
      <c r="M301" s="1"/>
      <c r="N301" s="1"/>
      <c r="O301" s="1"/>
      <c r="P301" s="1"/>
      <c r="Q301" s="1"/>
      <c r="R301" s="1"/>
      <c r="S301" s="1"/>
      <c r="T301" s="1"/>
      <c r="U301" s="1"/>
      <c r="V301" s="1"/>
      <c r="W301" s="1"/>
      <c r="X301" s="1"/>
    </row>
    <row x14ac:dyDescent="0.25" r="302" customHeight="1" ht="18.75">
      <c r="A302" s="1"/>
      <c r="B302" s="1"/>
      <c r="C302" s="3" t="s">
        <v>300</v>
      </c>
      <c r="D302" s="3" t="s">
        <v>366</v>
      </c>
      <c r="E302" s="1"/>
      <c r="F302" s="1"/>
      <c r="G302" s="1"/>
      <c r="H302" s="1"/>
      <c r="I302" s="2"/>
      <c r="J302" s="1"/>
      <c r="K302" s="1"/>
      <c r="L302" s="1"/>
      <c r="M302" s="1"/>
      <c r="N302" s="1"/>
      <c r="O302" s="1"/>
      <c r="P302" s="1"/>
      <c r="Q302" s="1"/>
      <c r="R302" s="1"/>
      <c r="S302" s="1"/>
      <c r="T302" s="1"/>
      <c r="U302" s="1"/>
      <c r="V302" s="1"/>
      <c r="W302" s="1"/>
      <c r="X302" s="1"/>
    </row>
    <row x14ac:dyDescent="0.25" r="303" customHeight="1" ht="18.75">
      <c r="A303" s="1"/>
      <c r="B303" s="1"/>
      <c r="C303" s="3" t="s">
        <v>300</v>
      </c>
      <c r="D303" s="3" t="s">
        <v>367</v>
      </c>
      <c r="E303" s="1"/>
      <c r="F303" s="1"/>
      <c r="G303" s="1"/>
      <c r="H303" s="1"/>
      <c r="I303" s="2"/>
      <c r="J303" s="1"/>
      <c r="K303" s="1"/>
      <c r="L303" s="1"/>
      <c r="M303" s="1"/>
      <c r="N303" s="1"/>
      <c r="O303" s="1"/>
      <c r="P303" s="1"/>
      <c r="Q303" s="1"/>
      <c r="R303" s="1"/>
      <c r="S303" s="1"/>
      <c r="T303" s="1"/>
      <c r="U303" s="1"/>
      <c r="V303" s="1"/>
      <c r="W303" s="1"/>
      <c r="X303" s="1"/>
    </row>
    <row x14ac:dyDescent="0.25" r="304" customHeight="1" ht="18.75">
      <c r="A304" s="1"/>
      <c r="B304" s="1"/>
      <c r="C304" s="3" t="s">
        <v>300</v>
      </c>
      <c r="D304" s="3" t="s">
        <v>368</v>
      </c>
      <c r="E304" s="1"/>
      <c r="F304" s="1"/>
      <c r="G304" s="1"/>
      <c r="H304" s="1"/>
      <c r="I304" s="2"/>
      <c r="J304" s="1"/>
      <c r="K304" s="1"/>
      <c r="L304" s="1"/>
      <c r="M304" s="1"/>
      <c r="N304" s="1"/>
      <c r="O304" s="1"/>
      <c r="P304" s="1"/>
      <c r="Q304" s="1"/>
      <c r="R304" s="1"/>
      <c r="S304" s="1"/>
      <c r="T304" s="1"/>
      <c r="U304" s="1"/>
      <c r="V304" s="1"/>
      <c r="W304" s="1"/>
      <c r="X304" s="1"/>
    </row>
    <row x14ac:dyDescent="0.25" r="305" customHeight="1" ht="18.75">
      <c r="A305" s="1"/>
      <c r="B305" s="1"/>
      <c r="C305" s="3" t="s">
        <v>300</v>
      </c>
      <c r="D305" s="3" t="s">
        <v>369</v>
      </c>
      <c r="E305" s="1"/>
      <c r="F305" s="1"/>
      <c r="G305" s="1"/>
      <c r="H305" s="1"/>
      <c r="I305" s="2"/>
      <c r="J305" s="1"/>
      <c r="K305" s="1"/>
      <c r="L305" s="1"/>
      <c r="M305" s="1"/>
      <c r="N305" s="1"/>
      <c r="O305" s="1"/>
      <c r="P305" s="1"/>
      <c r="Q305" s="1"/>
      <c r="R305" s="1"/>
      <c r="S305" s="1"/>
      <c r="T305" s="1"/>
      <c r="U305" s="1"/>
      <c r="V305" s="1"/>
      <c r="W305" s="1"/>
      <c r="X305" s="1"/>
    </row>
    <row x14ac:dyDescent="0.25" r="306" customHeight="1" ht="18.75">
      <c r="A306" s="1"/>
      <c r="B306" s="1"/>
      <c r="C306" s="3" t="s">
        <v>300</v>
      </c>
      <c r="D306" s="3" t="s">
        <v>370</v>
      </c>
      <c r="E306" s="1"/>
      <c r="F306" s="1"/>
      <c r="G306" s="1"/>
      <c r="H306" s="1"/>
      <c r="I306" s="2"/>
      <c r="J306" s="1"/>
      <c r="K306" s="1"/>
      <c r="L306" s="1"/>
      <c r="M306" s="1"/>
      <c r="N306" s="1"/>
      <c r="O306" s="1"/>
      <c r="P306" s="1"/>
      <c r="Q306" s="1"/>
      <c r="R306" s="1"/>
      <c r="S306" s="1"/>
      <c r="T306" s="1"/>
      <c r="U306" s="1"/>
      <c r="V306" s="1"/>
      <c r="W306" s="1"/>
      <c r="X306" s="1"/>
    </row>
    <row x14ac:dyDescent="0.25" r="307" customHeight="1" ht="18.75">
      <c r="A307" s="1"/>
      <c r="B307" s="1"/>
      <c r="C307" s="3" t="s">
        <v>300</v>
      </c>
      <c r="D307" s="3" t="s">
        <v>371</v>
      </c>
      <c r="E307" s="1"/>
      <c r="F307" s="1"/>
      <c r="G307" s="1"/>
      <c r="H307" s="1"/>
      <c r="I307" s="2"/>
      <c r="J307" s="1"/>
      <c r="K307" s="1"/>
      <c r="L307" s="1"/>
      <c r="M307" s="1"/>
      <c r="N307" s="1"/>
      <c r="O307" s="1"/>
      <c r="P307" s="1"/>
      <c r="Q307" s="1"/>
      <c r="R307" s="1"/>
      <c r="S307" s="1"/>
      <c r="T307" s="1"/>
      <c r="U307" s="1"/>
      <c r="V307" s="1"/>
      <c r="W307" s="1"/>
      <c r="X307" s="1"/>
    </row>
    <row x14ac:dyDescent="0.25" r="308" customHeight="1" ht="18.75">
      <c r="A308" s="1"/>
      <c r="B308" s="1"/>
      <c r="C308" s="3" t="s">
        <v>300</v>
      </c>
      <c r="D308" s="3" t="s">
        <v>372</v>
      </c>
      <c r="E308" s="1"/>
      <c r="F308" s="1"/>
      <c r="G308" s="1"/>
      <c r="H308" s="1"/>
      <c r="I308" s="2"/>
      <c r="J308" s="1"/>
      <c r="K308" s="1"/>
      <c r="L308" s="1"/>
      <c r="M308" s="1"/>
      <c r="N308" s="1"/>
      <c r="O308" s="1"/>
      <c r="P308" s="1"/>
      <c r="Q308" s="1"/>
      <c r="R308" s="1"/>
      <c r="S308" s="1"/>
      <c r="T308" s="1"/>
      <c r="U308" s="1"/>
      <c r="V308" s="1"/>
      <c r="W308" s="1"/>
      <c r="X308" s="1"/>
    </row>
    <row x14ac:dyDescent="0.25" r="309" customHeight="1" ht="18.75">
      <c r="A309" s="1"/>
      <c r="B309" s="1"/>
      <c r="C309" s="3" t="s">
        <v>141</v>
      </c>
      <c r="D309" s="3" t="s">
        <v>373</v>
      </c>
      <c r="E309" s="1"/>
      <c r="F309" s="1"/>
      <c r="G309" s="1"/>
      <c r="H309" s="1"/>
      <c r="I309" s="2"/>
      <c r="J309" s="1"/>
      <c r="K309" s="1"/>
      <c r="L309" s="1"/>
      <c r="M309" s="1"/>
      <c r="N309" s="1"/>
      <c r="O309" s="1"/>
      <c r="P309" s="1"/>
      <c r="Q309" s="1"/>
      <c r="R309" s="1"/>
      <c r="S309" s="1"/>
      <c r="T309" s="1"/>
      <c r="U309" s="1"/>
      <c r="V309" s="1"/>
      <c r="W309" s="1"/>
      <c r="X309" s="1"/>
    </row>
    <row x14ac:dyDescent="0.25" r="310" customHeight="1" ht="18.75">
      <c r="A310" s="1"/>
      <c r="B310" s="1"/>
      <c r="C310" s="3" t="s">
        <v>300</v>
      </c>
      <c r="D310" s="3" t="s">
        <v>374</v>
      </c>
      <c r="E310" s="1"/>
      <c r="F310" s="1"/>
      <c r="G310" s="1"/>
      <c r="H310" s="1"/>
      <c r="I310" s="2"/>
      <c r="J310" s="1"/>
      <c r="K310" s="1"/>
      <c r="L310" s="1"/>
      <c r="M310" s="1"/>
      <c r="N310" s="1"/>
      <c r="O310" s="1"/>
      <c r="P310" s="1"/>
      <c r="Q310" s="1"/>
      <c r="R310" s="1"/>
      <c r="S310" s="1"/>
      <c r="T310" s="1"/>
      <c r="U310" s="1"/>
      <c r="V310" s="1"/>
      <c r="W310" s="1"/>
      <c r="X310" s="1"/>
    </row>
    <row x14ac:dyDescent="0.25" r="311" customHeight="1" ht="18.75">
      <c r="A311" s="1"/>
      <c r="B311" s="1"/>
      <c r="C311" s="3" t="s">
        <v>141</v>
      </c>
      <c r="D311" s="3" t="s">
        <v>375</v>
      </c>
      <c r="E311" s="1"/>
      <c r="F311" s="1"/>
      <c r="G311" s="1"/>
      <c r="H311" s="1"/>
      <c r="I311" s="2"/>
      <c r="J311" s="1"/>
      <c r="K311" s="1"/>
      <c r="L311" s="1"/>
      <c r="M311" s="1"/>
      <c r="N311" s="1"/>
      <c r="O311" s="1"/>
      <c r="P311" s="1"/>
      <c r="Q311" s="1"/>
      <c r="R311" s="1"/>
      <c r="S311" s="1"/>
      <c r="T311" s="1"/>
      <c r="U311" s="1"/>
      <c r="V311" s="1"/>
      <c r="W311" s="1"/>
      <c r="X311" s="1"/>
    </row>
    <row x14ac:dyDescent="0.25" r="312" customHeight="1" ht="18.75">
      <c r="A312" s="1"/>
      <c r="B312" s="1"/>
      <c r="C312" s="3" t="s">
        <v>121</v>
      </c>
      <c r="D312" s="3" t="s">
        <v>376</v>
      </c>
      <c r="E312" s="1"/>
      <c r="F312" s="1"/>
      <c r="G312" s="1"/>
      <c r="H312" s="1"/>
      <c r="I312" s="2"/>
      <c r="J312" s="1"/>
      <c r="K312" s="1"/>
      <c r="L312" s="1"/>
      <c r="M312" s="1"/>
      <c r="N312" s="1"/>
      <c r="O312" s="1"/>
      <c r="P312" s="1"/>
      <c r="Q312" s="1"/>
      <c r="R312" s="1"/>
      <c r="S312" s="1"/>
      <c r="T312" s="1"/>
      <c r="U312" s="1"/>
      <c r="V312" s="1"/>
      <c r="W312" s="1"/>
      <c r="X312" s="1"/>
    </row>
    <row x14ac:dyDescent="0.25" r="313" customHeight="1" ht="18.75">
      <c r="A313" s="1"/>
      <c r="B313" s="1"/>
      <c r="C313" s="3" t="s">
        <v>141</v>
      </c>
      <c r="D313" s="3" t="s">
        <v>377</v>
      </c>
      <c r="E313" s="1"/>
      <c r="F313" s="1"/>
      <c r="G313" s="1"/>
      <c r="H313" s="1"/>
      <c r="I313" s="2"/>
      <c r="J313" s="1"/>
      <c r="K313" s="1"/>
      <c r="L313" s="1"/>
      <c r="M313" s="1"/>
      <c r="N313" s="1"/>
      <c r="O313" s="1"/>
      <c r="P313" s="1"/>
      <c r="Q313" s="1"/>
      <c r="R313" s="1"/>
      <c r="S313" s="1"/>
      <c r="T313" s="1"/>
      <c r="U313" s="1"/>
      <c r="V313" s="1"/>
      <c r="W313" s="1"/>
      <c r="X313" s="1"/>
    </row>
    <row x14ac:dyDescent="0.25" r="314" customHeight="1" ht="18.75">
      <c r="A314" s="1"/>
      <c r="B314" s="1"/>
      <c r="C314" s="3" t="s">
        <v>121</v>
      </c>
      <c r="D314" s="3" t="s">
        <v>378</v>
      </c>
      <c r="E314" s="1"/>
      <c r="F314" s="1"/>
      <c r="G314" s="1"/>
      <c r="H314" s="1"/>
      <c r="I314" s="2"/>
      <c r="J314" s="1"/>
      <c r="K314" s="1"/>
      <c r="L314" s="1"/>
      <c r="M314" s="1"/>
      <c r="N314" s="1"/>
      <c r="O314" s="1"/>
      <c r="P314" s="1"/>
      <c r="Q314" s="1"/>
      <c r="R314" s="1"/>
      <c r="S314" s="1"/>
      <c r="T314" s="1"/>
      <c r="U314" s="1"/>
      <c r="V314" s="1"/>
      <c r="W314" s="1"/>
      <c r="X314" s="1"/>
    </row>
    <row x14ac:dyDescent="0.25" r="315" customHeight="1" ht="18.75">
      <c r="A315" s="1"/>
      <c r="B315" s="1"/>
      <c r="C315" s="3" t="s">
        <v>300</v>
      </c>
      <c r="D315" s="3" t="s">
        <v>379</v>
      </c>
      <c r="E315" s="1"/>
      <c r="F315" s="1"/>
      <c r="G315" s="1"/>
      <c r="H315" s="1"/>
      <c r="I315" s="2"/>
      <c r="J315" s="1"/>
      <c r="K315" s="1"/>
      <c r="L315" s="1"/>
      <c r="M315" s="1"/>
      <c r="N315" s="1"/>
      <c r="O315" s="1"/>
      <c r="P315" s="1"/>
      <c r="Q315" s="1"/>
      <c r="R315" s="1"/>
      <c r="S315" s="1"/>
      <c r="T315" s="1"/>
      <c r="U315" s="1"/>
      <c r="V315" s="1"/>
      <c r="W315" s="1"/>
      <c r="X315" s="1"/>
    </row>
    <row x14ac:dyDescent="0.25" r="316" customHeight="1" ht="18.75">
      <c r="A316" s="1"/>
      <c r="B316" s="1"/>
      <c r="C316" s="3" t="s">
        <v>121</v>
      </c>
      <c r="D316" s="3" t="s">
        <v>380</v>
      </c>
      <c r="E316" s="1"/>
      <c r="F316" s="1"/>
      <c r="G316" s="1"/>
      <c r="H316" s="1"/>
      <c r="I316" s="2"/>
      <c r="J316" s="1"/>
      <c r="K316" s="1"/>
      <c r="L316" s="1"/>
      <c r="M316" s="1"/>
      <c r="N316" s="1"/>
      <c r="O316" s="1"/>
      <c r="P316" s="1"/>
      <c r="Q316" s="1"/>
      <c r="R316" s="1"/>
      <c r="S316" s="1"/>
      <c r="T316" s="1"/>
      <c r="U316" s="1"/>
      <c r="V316" s="1"/>
      <c r="W316" s="1"/>
      <c r="X316" s="1"/>
    </row>
    <row x14ac:dyDescent="0.25" r="317" customHeight="1" ht="18.75">
      <c r="A317" s="1"/>
      <c r="B317" s="1"/>
      <c r="C317" s="3" t="s">
        <v>300</v>
      </c>
      <c r="D317" s="3" t="s">
        <v>381</v>
      </c>
      <c r="E317" s="1"/>
      <c r="F317" s="1"/>
      <c r="G317" s="1"/>
      <c r="H317" s="1"/>
      <c r="I317" s="2"/>
      <c r="J317" s="1"/>
      <c r="K317" s="1"/>
      <c r="L317" s="1"/>
      <c r="M317" s="1"/>
      <c r="N317" s="1"/>
      <c r="O317" s="1"/>
      <c r="P317" s="1"/>
      <c r="Q317" s="1"/>
      <c r="R317" s="1"/>
      <c r="S317" s="1"/>
      <c r="T317" s="1"/>
      <c r="U317" s="1"/>
      <c r="V317" s="1"/>
      <c r="W317" s="1"/>
      <c r="X317" s="1"/>
    </row>
    <row x14ac:dyDescent="0.25" r="318" customHeight="1" ht="18.75">
      <c r="A318" s="1"/>
      <c r="B318" s="1"/>
      <c r="C318" s="3" t="s">
        <v>141</v>
      </c>
      <c r="D318" s="3" t="s">
        <v>382</v>
      </c>
      <c r="E318" s="1"/>
      <c r="F318" s="1"/>
      <c r="G318" s="1"/>
      <c r="H318" s="1"/>
      <c r="I318" s="2"/>
      <c r="J318" s="1"/>
      <c r="K318" s="1"/>
      <c r="L318" s="1"/>
      <c r="M318" s="1"/>
      <c r="N318" s="1"/>
      <c r="O318" s="1"/>
      <c r="P318" s="1"/>
      <c r="Q318" s="1"/>
      <c r="R318" s="1"/>
      <c r="S318" s="1"/>
      <c r="T318" s="1"/>
      <c r="U318" s="1"/>
      <c r="V318" s="1"/>
      <c r="W318" s="1"/>
      <c r="X318" s="1"/>
    </row>
    <row x14ac:dyDescent="0.25" r="319" customHeight="1" ht="18.75">
      <c r="A319" s="1"/>
      <c r="B319" s="1"/>
      <c r="C319" s="3" t="s">
        <v>300</v>
      </c>
      <c r="D319" s="3" t="s">
        <v>383</v>
      </c>
      <c r="E319" s="1"/>
      <c r="F319" s="1"/>
      <c r="G319" s="1"/>
      <c r="H319" s="1"/>
      <c r="I319" s="2"/>
      <c r="J319" s="1"/>
      <c r="K319" s="1"/>
      <c r="L319" s="1"/>
      <c r="M319" s="1"/>
      <c r="N319" s="1"/>
      <c r="O319" s="1"/>
      <c r="P319" s="1"/>
      <c r="Q319" s="1"/>
      <c r="R319" s="1"/>
      <c r="S319" s="1"/>
      <c r="T319" s="1"/>
      <c r="U319" s="1"/>
      <c r="V319" s="1"/>
      <c r="W319" s="1"/>
      <c r="X319" s="1"/>
    </row>
    <row x14ac:dyDescent="0.25" r="320" customHeight="1" ht="18.75">
      <c r="A320" s="1"/>
      <c r="B320" s="1"/>
      <c r="C320" s="3" t="s">
        <v>141</v>
      </c>
      <c r="D320" s="3" t="s">
        <v>384</v>
      </c>
      <c r="E320" s="1"/>
      <c r="F320" s="1"/>
      <c r="G320" s="1"/>
      <c r="H320" s="1"/>
      <c r="I320" s="2"/>
      <c r="J320" s="1"/>
      <c r="K320" s="1"/>
      <c r="L320" s="1"/>
      <c r="M320" s="1"/>
      <c r="N320" s="1"/>
      <c r="O320" s="1"/>
      <c r="P320" s="1"/>
      <c r="Q320" s="1"/>
      <c r="R320" s="1"/>
      <c r="S320" s="1"/>
      <c r="T320" s="1"/>
      <c r="U320" s="1"/>
      <c r="V320" s="1"/>
      <c r="W320" s="1"/>
      <c r="X320" s="1"/>
    </row>
    <row x14ac:dyDescent="0.25" r="321" customHeight="1" ht="18.75">
      <c r="A321" s="1"/>
      <c r="B321" s="1"/>
      <c r="C321" s="3" t="s">
        <v>306</v>
      </c>
      <c r="D321" s="3" t="s">
        <v>385</v>
      </c>
      <c r="E321" s="1"/>
      <c r="F321" s="1"/>
      <c r="G321" s="1"/>
      <c r="H321" s="1"/>
      <c r="I321" s="2"/>
      <c r="J321" s="1"/>
      <c r="K321" s="1"/>
      <c r="L321" s="1"/>
      <c r="M321" s="1"/>
      <c r="N321" s="1"/>
      <c r="O321" s="1"/>
      <c r="P321" s="1"/>
      <c r="Q321" s="1"/>
      <c r="R321" s="1"/>
      <c r="S321" s="1"/>
      <c r="T321" s="1"/>
      <c r="U321" s="1"/>
      <c r="V321" s="1"/>
      <c r="W321" s="1"/>
      <c r="X321" s="1"/>
    </row>
    <row x14ac:dyDescent="0.25" r="322" customHeight="1" ht="18.75">
      <c r="A322" s="1"/>
      <c r="B322" s="1"/>
      <c r="C322" s="3" t="s">
        <v>121</v>
      </c>
      <c r="D322" s="3" t="s">
        <v>386</v>
      </c>
      <c r="E322" s="1"/>
      <c r="F322" s="1"/>
      <c r="G322" s="1"/>
      <c r="H322" s="1"/>
      <c r="I322" s="2"/>
      <c r="J322" s="1"/>
      <c r="K322" s="1"/>
      <c r="L322" s="1"/>
      <c r="M322" s="1"/>
      <c r="N322" s="1"/>
      <c r="O322" s="1"/>
      <c r="P322" s="1"/>
      <c r="Q322" s="1"/>
      <c r="R322" s="1"/>
      <c r="S322" s="1"/>
      <c r="T322" s="1"/>
      <c r="U322" s="1"/>
      <c r="V322" s="1"/>
      <c r="W322" s="1"/>
      <c r="X322" s="1"/>
    </row>
    <row x14ac:dyDescent="0.25" r="323" customHeight="1" ht="18.75">
      <c r="A323" s="1"/>
      <c r="B323" s="1"/>
      <c r="C323" s="3" t="s">
        <v>300</v>
      </c>
      <c r="D323" s="3" t="s">
        <v>387</v>
      </c>
      <c r="E323" s="1"/>
      <c r="F323" s="1"/>
      <c r="G323" s="1"/>
      <c r="H323" s="1"/>
      <c r="I323" s="2"/>
      <c r="J323" s="1"/>
      <c r="K323" s="1"/>
      <c r="L323" s="1"/>
      <c r="M323" s="1"/>
      <c r="N323" s="1"/>
      <c r="O323" s="1"/>
      <c r="P323" s="1"/>
      <c r="Q323" s="1"/>
      <c r="R323" s="1"/>
      <c r="S323" s="1"/>
      <c r="T323" s="1"/>
      <c r="U323" s="1"/>
      <c r="V323" s="1"/>
      <c r="W323" s="1"/>
      <c r="X323" s="1"/>
    </row>
    <row x14ac:dyDescent="0.25" r="324" customHeight="1" ht="18.75">
      <c r="A324" s="1"/>
      <c r="B324" s="1"/>
      <c r="C324" s="3" t="s">
        <v>121</v>
      </c>
      <c r="D324" s="3" t="s">
        <v>388</v>
      </c>
      <c r="E324" s="1"/>
      <c r="F324" s="1"/>
      <c r="G324" s="1"/>
      <c r="H324" s="1"/>
      <c r="I324" s="2"/>
      <c r="J324" s="1"/>
      <c r="K324" s="1"/>
      <c r="L324" s="1"/>
      <c r="M324" s="1"/>
      <c r="N324" s="1"/>
      <c r="O324" s="1"/>
      <c r="P324" s="1"/>
      <c r="Q324" s="1"/>
      <c r="R324" s="1"/>
      <c r="S324" s="1"/>
      <c r="T324" s="1"/>
      <c r="U324" s="1"/>
      <c r="V324" s="1"/>
      <c r="W324" s="1"/>
      <c r="X324" s="1"/>
    </row>
    <row x14ac:dyDescent="0.25" r="325" customHeight="1" ht="18.75">
      <c r="A325" s="1"/>
      <c r="B325" s="1"/>
      <c r="C325" s="3" t="s">
        <v>121</v>
      </c>
      <c r="D325" s="3" t="s">
        <v>389</v>
      </c>
      <c r="E325" s="1"/>
      <c r="F325" s="1"/>
      <c r="G325" s="1"/>
      <c r="H325" s="1"/>
      <c r="I325" s="2"/>
      <c r="J325" s="1"/>
      <c r="K325" s="1"/>
      <c r="L325" s="1"/>
      <c r="M325" s="1"/>
      <c r="N325" s="1"/>
      <c r="O325" s="1"/>
      <c r="P325" s="1"/>
      <c r="Q325" s="1"/>
      <c r="R325" s="1"/>
      <c r="S325" s="1"/>
      <c r="T325" s="1"/>
      <c r="U325" s="1"/>
      <c r="V325" s="1"/>
      <c r="W325" s="1"/>
      <c r="X325" s="1"/>
    </row>
    <row x14ac:dyDescent="0.25" r="326" customHeight="1" ht="18.75">
      <c r="A326" s="1"/>
      <c r="B326" s="1"/>
      <c r="C326" s="3" t="s">
        <v>306</v>
      </c>
      <c r="D326" s="3" t="s">
        <v>390</v>
      </c>
      <c r="E326" s="1"/>
      <c r="F326" s="1"/>
      <c r="G326" s="1"/>
      <c r="H326" s="1"/>
      <c r="I326" s="2"/>
      <c r="J326" s="1"/>
      <c r="K326" s="1"/>
      <c r="L326" s="1"/>
      <c r="M326" s="1"/>
      <c r="N326" s="1"/>
      <c r="O326" s="1"/>
      <c r="P326" s="1"/>
      <c r="Q326" s="1"/>
      <c r="R326" s="1"/>
      <c r="S326" s="1"/>
      <c r="T326" s="1"/>
      <c r="U326" s="1"/>
      <c r="V326" s="1"/>
      <c r="W326" s="1"/>
      <c r="X326" s="1"/>
    </row>
    <row x14ac:dyDescent="0.25" r="327" customHeight="1" ht="18.75">
      <c r="A327" s="1"/>
      <c r="B327" s="1"/>
      <c r="C327" s="3" t="s">
        <v>300</v>
      </c>
      <c r="D327" s="3" t="s">
        <v>391</v>
      </c>
      <c r="E327" s="1"/>
      <c r="F327" s="1"/>
      <c r="G327" s="1"/>
      <c r="H327" s="1"/>
      <c r="I327" s="2"/>
      <c r="J327" s="1"/>
      <c r="K327" s="1"/>
      <c r="L327" s="1"/>
      <c r="M327" s="1"/>
      <c r="N327" s="1"/>
      <c r="O327" s="1"/>
      <c r="P327" s="1"/>
      <c r="Q327" s="1"/>
      <c r="R327" s="1"/>
      <c r="S327" s="1"/>
      <c r="T327" s="1"/>
      <c r="U327" s="1"/>
      <c r="V327" s="1"/>
      <c r="W327" s="1"/>
      <c r="X327" s="1"/>
    </row>
    <row x14ac:dyDescent="0.25" r="328" customHeight="1" ht="18.75">
      <c r="A328" s="1"/>
      <c r="B328" s="1"/>
      <c r="C328" s="3" t="s">
        <v>300</v>
      </c>
      <c r="D328" s="3" t="s">
        <v>392</v>
      </c>
      <c r="E328" s="1"/>
      <c r="F328" s="1"/>
      <c r="G328" s="1"/>
      <c r="H328" s="1"/>
      <c r="I328" s="2"/>
      <c r="J328" s="1"/>
      <c r="K328" s="1"/>
      <c r="L328" s="1"/>
      <c r="M328" s="1"/>
      <c r="N328" s="1"/>
      <c r="O328" s="1"/>
      <c r="P328" s="1"/>
      <c r="Q328" s="1"/>
      <c r="R328" s="1"/>
      <c r="S328" s="1"/>
      <c r="T328" s="1"/>
      <c r="U328" s="1"/>
      <c r="V328" s="1"/>
      <c r="W328" s="1"/>
      <c r="X328" s="1"/>
    </row>
    <row x14ac:dyDescent="0.25" r="329" customHeight="1" ht="18.75">
      <c r="A329" s="1"/>
      <c r="B329" s="1"/>
      <c r="C329" s="3" t="s">
        <v>141</v>
      </c>
      <c r="D329" s="3" t="s">
        <v>393</v>
      </c>
      <c r="E329" s="1"/>
      <c r="F329" s="1"/>
      <c r="G329" s="1"/>
      <c r="H329" s="1"/>
      <c r="I329" s="2"/>
      <c r="J329" s="1"/>
      <c r="K329" s="1"/>
      <c r="L329" s="1"/>
      <c r="M329" s="1"/>
      <c r="N329" s="1"/>
      <c r="O329" s="1"/>
      <c r="P329" s="1"/>
      <c r="Q329" s="1"/>
      <c r="R329" s="1"/>
      <c r="S329" s="1"/>
      <c r="T329" s="1"/>
      <c r="U329" s="1"/>
      <c r="V329" s="1"/>
      <c r="W329" s="1"/>
      <c r="X329" s="1"/>
    </row>
    <row x14ac:dyDescent="0.25" r="330" customHeight="1" ht="18.75">
      <c r="A330" s="1"/>
      <c r="B330" s="1"/>
      <c r="C330" s="3" t="s">
        <v>121</v>
      </c>
      <c r="D330" s="3" t="s">
        <v>394</v>
      </c>
      <c r="E330" s="1"/>
      <c r="F330" s="1"/>
      <c r="G330" s="1"/>
      <c r="H330" s="1"/>
      <c r="I330" s="2"/>
      <c r="J330" s="1"/>
      <c r="K330" s="1"/>
      <c r="L330" s="1"/>
      <c r="M330" s="1"/>
      <c r="N330" s="1"/>
      <c r="O330" s="1"/>
      <c r="P330" s="1"/>
      <c r="Q330" s="1"/>
      <c r="R330" s="1"/>
      <c r="S330" s="1"/>
      <c r="T330" s="1"/>
      <c r="U330" s="1"/>
      <c r="V330" s="1"/>
      <c r="W330" s="1"/>
      <c r="X330" s="1"/>
    </row>
    <row x14ac:dyDescent="0.25" r="331" customHeight="1" ht="18.75">
      <c r="A331" s="1"/>
      <c r="B331" s="1"/>
      <c r="C331" s="3" t="s">
        <v>306</v>
      </c>
      <c r="D331" s="3" t="s">
        <v>395</v>
      </c>
      <c r="E331" s="1"/>
      <c r="F331" s="1"/>
      <c r="G331" s="1"/>
      <c r="H331" s="1"/>
      <c r="I331" s="2"/>
      <c r="J331" s="1"/>
      <c r="K331" s="1"/>
      <c r="L331" s="1"/>
      <c r="M331" s="1"/>
      <c r="N331" s="1"/>
      <c r="O331" s="1"/>
      <c r="P331" s="1"/>
      <c r="Q331" s="1"/>
      <c r="R331" s="1"/>
      <c r="S331" s="1"/>
      <c r="T331" s="1"/>
      <c r="U331" s="1"/>
      <c r="V331" s="1"/>
      <c r="W331" s="1"/>
      <c r="X331" s="1"/>
    </row>
    <row x14ac:dyDescent="0.25" r="332" customHeight="1" ht="18.75">
      <c r="A332" s="1"/>
      <c r="B332" s="1"/>
      <c r="C332" s="3" t="s">
        <v>141</v>
      </c>
      <c r="D332" s="3" t="s">
        <v>396</v>
      </c>
      <c r="E332" s="1"/>
      <c r="F332" s="1"/>
      <c r="G332" s="1"/>
      <c r="H332" s="1"/>
      <c r="I332" s="2"/>
      <c r="J332" s="1"/>
      <c r="K332" s="1"/>
      <c r="L332" s="1"/>
      <c r="M332" s="1"/>
      <c r="N332" s="1"/>
      <c r="O332" s="1"/>
      <c r="P332" s="1"/>
      <c r="Q332" s="1"/>
      <c r="R332" s="1"/>
      <c r="S332" s="1"/>
      <c r="T332" s="1"/>
      <c r="U332" s="1"/>
      <c r="V332" s="1"/>
      <c r="W332" s="1"/>
      <c r="X332" s="1"/>
    </row>
    <row x14ac:dyDescent="0.25" r="333" customHeight="1" ht="18.75">
      <c r="A333" s="1"/>
      <c r="B333" s="1"/>
      <c r="C333" s="3" t="s">
        <v>300</v>
      </c>
      <c r="D333" s="3" t="s">
        <v>397</v>
      </c>
      <c r="E333" s="1"/>
      <c r="F333" s="1"/>
      <c r="G333" s="1"/>
      <c r="H333" s="1"/>
      <c r="I333" s="2"/>
      <c r="J333" s="1"/>
      <c r="K333" s="1"/>
      <c r="L333" s="1"/>
      <c r="M333" s="1"/>
      <c r="N333" s="1"/>
      <c r="O333" s="1"/>
      <c r="P333" s="1"/>
      <c r="Q333" s="1"/>
      <c r="R333" s="1"/>
      <c r="S333" s="1"/>
      <c r="T333" s="1"/>
      <c r="U333" s="1"/>
      <c r="V333" s="1"/>
      <c r="W333" s="1"/>
      <c r="X333" s="1"/>
    </row>
    <row x14ac:dyDescent="0.25" r="334" customHeight="1" ht="18.75">
      <c r="A334" s="1"/>
      <c r="B334" s="1"/>
      <c r="C334" s="3" t="s">
        <v>300</v>
      </c>
      <c r="D334" s="3" t="s">
        <v>398</v>
      </c>
      <c r="E334" s="1"/>
      <c r="F334" s="1"/>
      <c r="G334" s="1"/>
      <c r="H334" s="1"/>
      <c r="I334" s="2"/>
      <c r="J334" s="1"/>
      <c r="K334" s="1"/>
      <c r="L334" s="1"/>
      <c r="M334" s="1"/>
      <c r="N334" s="1"/>
      <c r="O334" s="1"/>
      <c r="P334" s="1"/>
      <c r="Q334" s="1"/>
      <c r="R334" s="1"/>
      <c r="S334" s="1"/>
      <c r="T334" s="1"/>
      <c r="U334" s="1"/>
      <c r="V334" s="1"/>
      <c r="W334" s="1"/>
      <c r="X334" s="1"/>
    </row>
    <row x14ac:dyDescent="0.25" r="335" customHeight="1" ht="18.75">
      <c r="A335" s="1"/>
      <c r="B335" s="1"/>
      <c r="C335" s="3" t="s">
        <v>300</v>
      </c>
      <c r="D335" s="3" t="s">
        <v>399</v>
      </c>
      <c r="E335" s="1"/>
      <c r="F335" s="1"/>
      <c r="G335" s="1"/>
      <c r="H335" s="1"/>
      <c r="I335" s="2"/>
      <c r="J335" s="1"/>
      <c r="K335" s="1"/>
      <c r="L335" s="1"/>
      <c r="M335" s="1"/>
      <c r="N335" s="1"/>
      <c r="O335" s="1"/>
      <c r="P335" s="1"/>
      <c r="Q335" s="1"/>
      <c r="R335" s="1"/>
      <c r="S335" s="1"/>
      <c r="T335" s="1"/>
      <c r="U335" s="1"/>
      <c r="V335" s="1"/>
      <c r="W335" s="1"/>
      <c r="X335" s="1"/>
    </row>
    <row x14ac:dyDescent="0.25" r="336" customHeight="1" ht="18.75">
      <c r="A336" s="1"/>
      <c r="B336" s="1"/>
      <c r="C336" s="3" t="s">
        <v>300</v>
      </c>
      <c r="D336" s="3" t="s">
        <v>400</v>
      </c>
      <c r="E336" s="1"/>
      <c r="F336" s="1"/>
      <c r="G336" s="1"/>
      <c r="H336" s="1"/>
      <c r="I336" s="2"/>
      <c r="J336" s="1"/>
      <c r="K336" s="1"/>
      <c r="L336" s="1"/>
      <c r="M336" s="1"/>
      <c r="N336" s="1"/>
      <c r="O336" s="1"/>
      <c r="P336" s="1"/>
      <c r="Q336" s="1"/>
      <c r="R336" s="1"/>
      <c r="S336" s="1"/>
      <c r="T336" s="1"/>
      <c r="U336" s="1"/>
      <c r="V336" s="1"/>
      <c r="W336" s="1"/>
      <c r="X336" s="1"/>
    </row>
    <row x14ac:dyDescent="0.25" r="337" customHeight="1" ht="18.75">
      <c r="A337" s="1"/>
      <c r="B337" s="1"/>
      <c r="C337" s="3" t="s">
        <v>300</v>
      </c>
      <c r="D337" s="3" t="s">
        <v>401</v>
      </c>
      <c r="E337" s="1"/>
      <c r="F337" s="1"/>
      <c r="G337" s="1"/>
      <c r="H337" s="1"/>
      <c r="I337" s="2"/>
      <c r="J337" s="1"/>
      <c r="K337" s="1"/>
      <c r="L337" s="1"/>
      <c r="M337" s="1"/>
      <c r="N337" s="1"/>
      <c r="O337" s="1"/>
      <c r="P337" s="1"/>
      <c r="Q337" s="1"/>
      <c r="R337" s="1"/>
      <c r="S337" s="1"/>
      <c r="T337" s="1"/>
      <c r="U337" s="1"/>
      <c r="V337" s="1"/>
      <c r="W337" s="1"/>
      <c r="X337" s="1"/>
    </row>
    <row x14ac:dyDescent="0.25" r="338" customHeight="1" ht="18.75">
      <c r="A338" s="1"/>
      <c r="B338" s="1"/>
      <c r="C338" s="3" t="s">
        <v>300</v>
      </c>
      <c r="D338" s="3" t="s">
        <v>402</v>
      </c>
      <c r="E338" s="1"/>
      <c r="F338" s="1"/>
      <c r="G338" s="1"/>
      <c r="H338" s="1"/>
      <c r="I338" s="2"/>
      <c r="J338" s="1"/>
      <c r="K338" s="1"/>
      <c r="L338" s="1"/>
      <c r="M338" s="1"/>
      <c r="N338" s="1"/>
      <c r="O338" s="1"/>
      <c r="P338" s="1"/>
      <c r="Q338" s="1"/>
      <c r="R338" s="1"/>
      <c r="S338" s="1"/>
      <c r="T338" s="1"/>
      <c r="U338" s="1"/>
      <c r="V338" s="1"/>
      <c r="W338" s="1"/>
      <c r="X338" s="1"/>
    </row>
    <row x14ac:dyDescent="0.25" r="339" customHeight="1" ht="18.75">
      <c r="A339" s="1"/>
      <c r="B339" s="1"/>
      <c r="C339" s="3" t="s">
        <v>306</v>
      </c>
      <c r="D339" s="3" t="s">
        <v>403</v>
      </c>
      <c r="E339" s="1"/>
      <c r="F339" s="1"/>
      <c r="G339" s="1"/>
      <c r="H339" s="1"/>
      <c r="I339" s="2"/>
      <c r="J339" s="1"/>
      <c r="K339" s="1"/>
      <c r="L339" s="1"/>
      <c r="M339" s="1"/>
      <c r="N339" s="1"/>
      <c r="O339" s="1"/>
      <c r="P339" s="1"/>
      <c r="Q339" s="1"/>
      <c r="R339" s="1"/>
      <c r="S339" s="1"/>
      <c r="T339" s="1"/>
      <c r="U339" s="1"/>
      <c r="V339" s="1"/>
      <c r="W339" s="1"/>
      <c r="X339" s="1"/>
    </row>
    <row x14ac:dyDescent="0.25" r="340" customHeight="1" ht="18.75">
      <c r="A340" s="1"/>
      <c r="B340" s="1"/>
      <c r="C340" s="3" t="s">
        <v>121</v>
      </c>
      <c r="D340" s="3" t="s">
        <v>403</v>
      </c>
      <c r="E340" s="1"/>
      <c r="F340" s="1"/>
      <c r="G340" s="1"/>
      <c r="H340" s="1"/>
      <c r="I340" s="2"/>
      <c r="J340" s="1"/>
      <c r="K340" s="1"/>
      <c r="L340" s="1"/>
      <c r="M340" s="1"/>
      <c r="N340" s="1"/>
      <c r="O340" s="1"/>
      <c r="P340" s="1"/>
      <c r="Q340" s="1"/>
      <c r="R340" s="1"/>
      <c r="S340" s="1"/>
      <c r="T340" s="1"/>
      <c r="U340" s="1"/>
      <c r="V340" s="1"/>
      <c r="W340" s="1"/>
      <c r="X340" s="1"/>
    </row>
    <row x14ac:dyDescent="0.25" r="341" customHeight="1" ht="18.75">
      <c r="A341" s="1"/>
      <c r="B341" s="1"/>
      <c r="C341" s="3" t="s">
        <v>404</v>
      </c>
      <c r="D341" s="3" t="s">
        <v>405</v>
      </c>
      <c r="E341" s="1"/>
      <c r="F341" s="1"/>
      <c r="G341" s="1"/>
      <c r="H341" s="1"/>
      <c r="I341" s="2"/>
      <c r="J341" s="1"/>
      <c r="K341" s="1"/>
      <c r="L341" s="1"/>
      <c r="M341" s="1"/>
      <c r="N341" s="1"/>
      <c r="O341" s="1"/>
      <c r="P341" s="1"/>
      <c r="Q341" s="1"/>
      <c r="R341" s="1"/>
      <c r="S341" s="1"/>
      <c r="T341" s="1"/>
      <c r="U341" s="1"/>
      <c r="V341" s="1"/>
      <c r="W341" s="1"/>
      <c r="X341" s="1"/>
    </row>
    <row x14ac:dyDescent="0.25" r="342" customHeight="1" ht="18.75">
      <c r="A342" s="1"/>
      <c r="B342" s="1"/>
      <c r="C342" s="3" t="s">
        <v>121</v>
      </c>
      <c r="D342" s="3" t="s">
        <v>406</v>
      </c>
      <c r="E342" s="1"/>
      <c r="F342" s="1"/>
      <c r="G342" s="1"/>
      <c r="H342" s="1"/>
      <c r="I342" s="2"/>
      <c r="J342" s="1"/>
      <c r="K342" s="1"/>
      <c r="L342" s="1"/>
      <c r="M342" s="1"/>
      <c r="N342" s="1"/>
      <c r="O342" s="1"/>
      <c r="P342" s="1"/>
      <c r="Q342" s="1"/>
      <c r="R342" s="1"/>
      <c r="S342" s="1"/>
      <c r="T342" s="1"/>
      <c r="U342" s="1"/>
      <c r="V342" s="1"/>
      <c r="W342" s="1"/>
      <c r="X342" s="1"/>
    </row>
    <row x14ac:dyDescent="0.25" r="343" customHeight="1" ht="18.75">
      <c r="A343" s="1"/>
      <c r="B343" s="1"/>
      <c r="C343" s="3" t="s">
        <v>300</v>
      </c>
      <c r="D343" s="3" t="s">
        <v>407</v>
      </c>
      <c r="E343" s="1"/>
      <c r="F343" s="1"/>
      <c r="G343" s="1"/>
      <c r="H343" s="1"/>
      <c r="I343" s="2"/>
      <c r="J343" s="1"/>
      <c r="K343" s="1"/>
      <c r="L343" s="1"/>
      <c r="M343" s="1"/>
      <c r="N343" s="1"/>
      <c r="O343" s="1"/>
      <c r="P343" s="1"/>
      <c r="Q343" s="1"/>
      <c r="R343" s="1"/>
      <c r="S343" s="1"/>
      <c r="T343" s="1"/>
      <c r="U343" s="1"/>
      <c r="V343" s="1"/>
      <c r="W343" s="1"/>
      <c r="X343" s="1"/>
    </row>
    <row x14ac:dyDescent="0.25" r="344" customHeight="1" ht="18.75">
      <c r="A344" s="1"/>
      <c r="B344" s="1"/>
      <c r="C344" s="3" t="s">
        <v>141</v>
      </c>
      <c r="D344" s="3" t="s">
        <v>408</v>
      </c>
      <c r="E344" s="1"/>
      <c r="F344" s="1"/>
      <c r="G344" s="1"/>
      <c r="H344" s="1"/>
      <c r="I344" s="2"/>
      <c r="J344" s="1"/>
      <c r="K344" s="1"/>
      <c r="L344" s="1"/>
      <c r="M344" s="1"/>
      <c r="N344" s="1"/>
      <c r="O344" s="1"/>
      <c r="P344" s="1"/>
      <c r="Q344" s="1"/>
      <c r="R344" s="1"/>
      <c r="S344" s="1"/>
      <c r="T344" s="1"/>
      <c r="U344" s="1"/>
      <c r="V344" s="1"/>
      <c r="W344" s="1"/>
      <c r="X344" s="1"/>
    </row>
    <row x14ac:dyDescent="0.25" r="345" customHeight="1" ht="18.75">
      <c r="A345" s="1"/>
      <c r="B345" s="1"/>
      <c r="C345" s="3" t="s">
        <v>141</v>
      </c>
      <c r="D345" s="3" t="s">
        <v>409</v>
      </c>
      <c r="E345" s="1"/>
      <c r="F345" s="1"/>
      <c r="G345" s="1"/>
      <c r="H345" s="1"/>
      <c r="I345" s="2"/>
      <c r="J345" s="1"/>
      <c r="K345" s="1"/>
      <c r="L345" s="1"/>
      <c r="M345" s="1"/>
      <c r="N345" s="1"/>
      <c r="O345" s="1"/>
      <c r="P345" s="1"/>
      <c r="Q345" s="1"/>
      <c r="R345" s="1"/>
      <c r="S345" s="1"/>
      <c r="T345" s="1"/>
      <c r="U345" s="1"/>
      <c r="V345" s="1"/>
      <c r="W345" s="1"/>
      <c r="X345" s="1"/>
    </row>
    <row x14ac:dyDescent="0.25" r="346" customHeight="1" ht="18.75">
      <c r="A346" s="1"/>
      <c r="B346" s="1"/>
      <c r="C346" s="3" t="s">
        <v>300</v>
      </c>
      <c r="D346" s="3" t="s">
        <v>410</v>
      </c>
      <c r="E346" s="1"/>
      <c r="F346" s="1"/>
      <c r="G346" s="1"/>
      <c r="H346" s="1"/>
      <c r="I346" s="2"/>
      <c r="J346" s="1"/>
      <c r="K346" s="1"/>
      <c r="L346" s="1"/>
      <c r="M346" s="1"/>
      <c r="N346" s="1"/>
      <c r="O346" s="1"/>
      <c r="P346" s="1"/>
      <c r="Q346" s="1"/>
      <c r="R346" s="1"/>
      <c r="S346" s="1"/>
      <c r="T346" s="1"/>
      <c r="U346" s="1"/>
      <c r="V346" s="1"/>
      <c r="W346" s="1"/>
      <c r="X346" s="1"/>
    </row>
    <row x14ac:dyDescent="0.25" r="347" customHeight="1" ht="18.75">
      <c r="A347" s="1"/>
      <c r="B347" s="1"/>
      <c r="C347" s="3" t="s">
        <v>300</v>
      </c>
      <c r="D347" s="3" t="s">
        <v>411</v>
      </c>
      <c r="E347" s="1"/>
      <c r="F347" s="1"/>
      <c r="G347" s="1"/>
      <c r="H347" s="1"/>
      <c r="I347" s="2"/>
      <c r="J347" s="1"/>
      <c r="K347" s="1"/>
      <c r="L347" s="1"/>
      <c r="M347" s="1"/>
      <c r="N347" s="1"/>
      <c r="O347" s="1"/>
      <c r="P347" s="1"/>
      <c r="Q347" s="1"/>
      <c r="R347" s="1"/>
      <c r="S347" s="1"/>
      <c r="T347" s="1"/>
      <c r="U347" s="1"/>
      <c r="V347" s="1"/>
      <c r="W347" s="1"/>
      <c r="X347" s="1"/>
    </row>
    <row x14ac:dyDescent="0.25" r="348" customHeight="1" ht="18.75">
      <c r="A348" s="1"/>
      <c r="B348" s="1"/>
      <c r="C348" s="3" t="s">
        <v>141</v>
      </c>
      <c r="D348" s="3" t="s">
        <v>412</v>
      </c>
      <c r="E348" s="1"/>
      <c r="F348" s="1"/>
      <c r="G348" s="1"/>
      <c r="H348" s="1"/>
      <c r="I348" s="2"/>
      <c r="J348" s="1"/>
      <c r="K348" s="1"/>
      <c r="L348" s="1"/>
      <c r="M348" s="1"/>
      <c r="N348" s="1"/>
      <c r="O348" s="1"/>
      <c r="P348" s="1"/>
      <c r="Q348" s="1"/>
      <c r="R348" s="1"/>
      <c r="S348" s="1"/>
      <c r="T348" s="1"/>
      <c r="U348" s="1"/>
      <c r="V348" s="1"/>
      <c r="W348" s="1"/>
      <c r="X348" s="1"/>
    </row>
    <row x14ac:dyDescent="0.25" r="349" customHeight="1" ht="18.75">
      <c r="A349" s="1"/>
      <c r="B349" s="1"/>
      <c r="C349" s="3" t="s">
        <v>300</v>
      </c>
      <c r="D349" s="3" t="s">
        <v>413</v>
      </c>
      <c r="E349" s="1"/>
      <c r="F349" s="1"/>
      <c r="G349" s="1"/>
      <c r="H349" s="1"/>
      <c r="I349" s="2"/>
      <c r="J349" s="1"/>
      <c r="K349" s="1"/>
      <c r="L349" s="1"/>
      <c r="M349" s="1"/>
      <c r="N349" s="1"/>
      <c r="O349" s="1"/>
      <c r="P349" s="1"/>
      <c r="Q349" s="1"/>
      <c r="R349" s="1"/>
      <c r="S349" s="1"/>
      <c r="T349" s="1"/>
      <c r="U349" s="1"/>
      <c r="V349" s="1"/>
      <c r="W349" s="1"/>
      <c r="X349" s="1"/>
    </row>
    <row x14ac:dyDescent="0.25" r="350" customHeight="1" ht="18.75">
      <c r="A350" s="1"/>
      <c r="B350" s="1"/>
      <c r="C350" s="3" t="s">
        <v>300</v>
      </c>
      <c r="D350" s="3" t="s">
        <v>414</v>
      </c>
      <c r="E350" s="1"/>
      <c r="F350" s="1"/>
      <c r="G350" s="1"/>
      <c r="H350" s="1"/>
      <c r="I350" s="2"/>
      <c r="J350" s="1"/>
      <c r="K350" s="1"/>
      <c r="L350" s="1"/>
      <c r="M350" s="1"/>
      <c r="N350" s="1"/>
      <c r="O350" s="1"/>
      <c r="P350" s="1"/>
      <c r="Q350" s="1"/>
      <c r="R350" s="1"/>
      <c r="S350" s="1"/>
      <c r="T350" s="1"/>
      <c r="U350" s="1"/>
      <c r="V350" s="1"/>
      <c r="W350" s="1"/>
      <c r="X350" s="1"/>
    </row>
    <row x14ac:dyDescent="0.25" r="351" customHeight="1" ht="18.75">
      <c r="A351" s="1"/>
      <c r="B351" s="1"/>
      <c r="C351" s="3" t="s">
        <v>306</v>
      </c>
      <c r="D351" s="3" t="s">
        <v>415</v>
      </c>
      <c r="E351" s="1"/>
      <c r="F351" s="1"/>
      <c r="G351" s="1"/>
      <c r="H351" s="1"/>
      <c r="I351" s="2"/>
      <c r="J351" s="1"/>
      <c r="K351" s="1"/>
      <c r="L351" s="1"/>
      <c r="M351" s="1"/>
      <c r="N351" s="1"/>
      <c r="O351" s="1"/>
      <c r="P351" s="1"/>
      <c r="Q351" s="1"/>
      <c r="R351" s="1"/>
      <c r="S351" s="1"/>
      <c r="T351" s="1"/>
      <c r="U351" s="1"/>
      <c r="V351" s="1"/>
      <c r="W351" s="1"/>
      <c r="X351" s="1"/>
    </row>
    <row x14ac:dyDescent="0.25" r="352" customHeight="1" ht="18.75">
      <c r="A352" s="1"/>
      <c r="B352" s="1"/>
      <c r="C352" s="3" t="s">
        <v>121</v>
      </c>
      <c r="D352" s="3" t="s">
        <v>416</v>
      </c>
      <c r="E352" s="1"/>
      <c r="F352" s="1"/>
      <c r="G352" s="1"/>
      <c r="H352" s="1"/>
      <c r="I352" s="2"/>
      <c r="J352" s="1"/>
      <c r="K352" s="1"/>
      <c r="L352" s="1"/>
      <c r="M352" s="1"/>
      <c r="N352" s="1"/>
      <c r="O352" s="1"/>
      <c r="P352" s="1"/>
      <c r="Q352" s="1"/>
      <c r="R352" s="1"/>
      <c r="S352" s="1"/>
      <c r="T352" s="1"/>
      <c r="U352" s="1"/>
      <c r="V352" s="1"/>
      <c r="W352" s="1"/>
      <c r="X352" s="1"/>
    </row>
    <row x14ac:dyDescent="0.25" r="353" customHeight="1" ht="18.75">
      <c r="A353" s="1"/>
      <c r="B353" s="1"/>
      <c r="C353" s="3" t="s">
        <v>141</v>
      </c>
      <c r="D353" s="3" t="s">
        <v>417</v>
      </c>
      <c r="E353" s="1"/>
      <c r="F353" s="1"/>
      <c r="G353" s="1"/>
      <c r="H353" s="1"/>
      <c r="I353" s="2"/>
      <c r="J353" s="1"/>
      <c r="K353" s="1"/>
      <c r="L353" s="1"/>
      <c r="M353" s="1"/>
      <c r="N353" s="1"/>
      <c r="O353" s="1"/>
      <c r="P353" s="1"/>
      <c r="Q353" s="1"/>
      <c r="R353" s="1"/>
      <c r="S353" s="1"/>
      <c r="T353" s="1"/>
      <c r="U353" s="1"/>
      <c r="V353" s="1"/>
      <c r="W353" s="1"/>
      <c r="X353" s="1"/>
    </row>
    <row x14ac:dyDescent="0.25" r="354" customHeight="1" ht="18.75">
      <c r="A354" s="1"/>
      <c r="B354" s="1"/>
      <c r="C354" s="3" t="s">
        <v>300</v>
      </c>
      <c r="D354" s="3" t="s">
        <v>418</v>
      </c>
      <c r="E354" s="1"/>
      <c r="F354" s="1"/>
      <c r="G354" s="1"/>
      <c r="H354" s="1"/>
      <c r="I354" s="2"/>
      <c r="J354" s="1"/>
      <c r="K354" s="1"/>
      <c r="L354" s="1"/>
      <c r="M354" s="1"/>
      <c r="N354" s="1"/>
      <c r="O354" s="1"/>
      <c r="P354" s="1"/>
      <c r="Q354" s="1"/>
      <c r="R354" s="1"/>
      <c r="S354" s="1"/>
      <c r="T354" s="1"/>
      <c r="U354" s="1"/>
      <c r="V354" s="1"/>
      <c r="W354" s="1"/>
      <c r="X354" s="1"/>
    </row>
    <row x14ac:dyDescent="0.25" r="355" customHeight="1" ht="18.75">
      <c r="A355" s="1"/>
      <c r="B355" s="1"/>
      <c r="C355" s="3" t="s">
        <v>300</v>
      </c>
      <c r="D355" s="3" t="s">
        <v>419</v>
      </c>
      <c r="E355" s="1"/>
      <c r="F355" s="1"/>
      <c r="G355" s="1"/>
      <c r="H355" s="1"/>
      <c r="I355" s="2"/>
      <c r="J355" s="1"/>
      <c r="K355" s="1"/>
      <c r="L355" s="1"/>
      <c r="M355" s="1"/>
      <c r="N355" s="1"/>
      <c r="O355" s="1"/>
      <c r="P355" s="1"/>
      <c r="Q355" s="1"/>
      <c r="R355" s="1"/>
      <c r="S355" s="1"/>
      <c r="T355" s="1"/>
      <c r="U355" s="1"/>
      <c r="V355" s="1"/>
      <c r="W355" s="1"/>
      <c r="X355" s="1"/>
    </row>
    <row x14ac:dyDescent="0.25" r="356" customHeight="1" ht="18.75">
      <c r="A356" s="1"/>
      <c r="B356" s="1"/>
      <c r="C356" s="3" t="s">
        <v>300</v>
      </c>
      <c r="D356" s="3" t="s">
        <v>420</v>
      </c>
      <c r="E356" s="1"/>
      <c r="F356" s="1"/>
      <c r="G356" s="1"/>
      <c r="H356" s="1"/>
      <c r="I356" s="2"/>
      <c r="J356" s="1"/>
      <c r="K356" s="1"/>
      <c r="L356" s="1"/>
      <c r="M356" s="1"/>
      <c r="N356" s="1"/>
      <c r="O356" s="1"/>
      <c r="P356" s="1"/>
      <c r="Q356" s="1"/>
      <c r="R356" s="1"/>
      <c r="S356" s="1"/>
      <c r="T356" s="1"/>
      <c r="U356" s="1"/>
      <c r="V356" s="1"/>
      <c r="W356" s="1"/>
      <c r="X356" s="1"/>
    </row>
    <row x14ac:dyDescent="0.25" r="357" customHeight="1" ht="18.75">
      <c r="A357" s="1"/>
      <c r="B357" s="1"/>
      <c r="C357" s="3" t="s">
        <v>300</v>
      </c>
      <c r="D357" s="3" t="s">
        <v>421</v>
      </c>
      <c r="E357" s="1"/>
      <c r="F357" s="1"/>
      <c r="G357" s="1"/>
      <c r="H357" s="1"/>
      <c r="I357" s="2"/>
      <c r="J357" s="1"/>
      <c r="K357" s="1"/>
      <c r="L357" s="1"/>
      <c r="M357" s="1"/>
      <c r="N357" s="1"/>
      <c r="O357" s="1"/>
      <c r="P357" s="1"/>
      <c r="Q357" s="1"/>
      <c r="R357" s="1"/>
      <c r="S357" s="1"/>
      <c r="T357" s="1"/>
      <c r="U357" s="1"/>
      <c r="V357" s="1"/>
      <c r="W357" s="1"/>
      <c r="X357" s="1"/>
    </row>
    <row x14ac:dyDescent="0.25" r="358" customHeight="1" ht="18.75">
      <c r="A358" s="1"/>
      <c r="B358" s="1"/>
      <c r="C358" s="3" t="s">
        <v>300</v>
      </c>
      <c r="D358" s="3" t="s">
        <v>422</v>
      </c>
      <c r="E358" s="1"/>
      <c r="F358" s="1"/>
      <c r="G358" s="1"/>
      <c r="H358" s="1"/>
      <c r="I358" s="2"/>
      <c r="J358" s="1"/>
      <c r="K358" s="1"/>
      <c r="L358" s="1"/>
      <c r="M358" s="1"/>
      <c r="N358" s="1"/>
      <c r="O358" s="1"/>
      <c r="P358" s="1"/>
      <c r="Q358" s="1"/>
      <c r="R358" s="1"/>
      <c r="S358" s="1"/>
      <c r="T358" s="1"/>
      <c r="U358" s="1"/>
      <c r="V358" s="1"/>
      <c r="W358" s="1"/>
      <c r="X358" s="1"/>
    </row>
    <row x14ac:dyDescent="0.25" r="359" customHeight="1" ht="18.75">
      <c r="A359" s="1"/>
      <c r="B359" s="1"/>
      <c r="C359" s="3" t="s">
        <v>300</v>
      </c>
      <c r="D359" s="3" t="s">
        <v>423</v>
      </c>
      <c r="E359" s="1"/>
      <c r="F359" s="1"/>
      <c r="G359" s="1"/>
      <c r="H359" s="1"/>
      <c r="I359" s="2"/>
      <c r="J359" s="1"/>
      <c r="K359" s="1"/>
      <c r="L359" s="1"/>
      <c r="M359" s="1"/>
      <c r="N359" s="1"/>
      <c r="O359" s="1"/>
      <c r="P359" s="1"/>
      <c r="Q359" s="1"/>
      <c r="R359" s="1"/>
      <c r="S359" s="1"/>
      <c r="T359" s="1"/>
      <c r="U359" s="1"/>
      <c r="V359" s="1"/>
      <c r="W359" s="1"/>
      <c r="X359" s="1"/>
    </row>
    <row x14ac:dyDescent="0.25" r="360" customHeight="1" ht="18.75">
      <c r="A360" s="1"/>
      <c r="B360" s="1"/>
      <c r="C360" s="3" t="s">
        <v>306</v>
      </c>
      <c r="D360" s="3" t="s">
        <v>424</v>
      </c>
      <c r="E360" s="1"/>
      <c r="F360" s="1"/>
      <c r="G360" s="1"/>
      <c r="H360" s="1"/>
      <c r="I360" s="2"/>
      <c r="J360" s="1"/>
      <c r="K360" s="1"/>
      <c r="L360" s="1"/>
      <c r="M360" s="1"/>
      <c r="N360" s="1"/>
      <c r="O360" s="1"/>
      <c r="P360" s="1"/>
      <c r="Q360" s="1"/>
      <c r="R360" s="1"/>
      <c r="S360" s="1"/>
      <c r="T360" s="1"/>
      <c r="U360" s="1"/>
      <c r="V360" s="1"/>
      <c r="W360" s="1"/>
      <c r="X360" s="1"/>
    </row>
    <row x14ac:dyDescent="0.25" r="361" customHeight="1" ht="18.75">
      <c r="A361" s="1"/>
      <c r="B361" s="1"/>
      <c r="C361" s="3" t="s">
        <v>300</v>
      </c>
      <c r="D361" s="3" t="s">
        <v>425</v>
      </c>
      <c r="E361" s="1"/>
      <c r="F361" s="1"/>
      <c r="G361" s="1"/>
      <c r="H361" s="1"/>
      <c r="I361" s="2"/>
      <c r="J361" s="1"/>
      <c r="K361" s="1"/>
      <c r="L361" s="1"/>
      <c r="M361" s="1"/>
      <c r="N361" s="1"/>
      <c r="O361" s="1"/>
      <c r="P361" s="1"/>
      <c r="Q361" s="1"/>
      <c r="R361" s="1"/>
      <c r="S361" s="1"/>
      <c r="T361" s="1"/>
      <c r="U361" s="1"/>
      <c r="V361" s="1"/>
      <c r="W361" s="1"/>
      <c r="X361" s="1"/>
    </row>
    <row x14ac:dyDescent="0.25" r="362" customHeight="1" ht="18.75">
      <c r="A362" s="1"/>
      <c r="B362" s="1"/>
      <c r="C362" s="3" t="s">
        <v>300</v>
      </c>
      <c r="D362" s="3" t="s">
        <v>426</v>
      </c>
      <c r="E362" s="1"/>
      <c r="F362" s="1"/>
      <c r="G362" s="1"/>
      <c r="H362" s="1"/>
      <c r="I362" s="2"/>
      <c r="J362" s="1"/>
      <c r="K362" s="1"/>
      <c r="L362" s="1"/>
      <c r="M362" s="1"/>
      <c r="N362" s="1"/>
      <c r="O362" s="1"/>
      <c r="P362" s="1"/>
      <c r="Q362" s="1"/>
      <c r="R362" s="1"/>
      <c r="S362" s="1"/>
      <c r="T362" s="1"/>
      <c r="U362" s="1"/>
      <c r="V362" s="1"/>
      <c r="W362" s="1"/>
      <c r="X362" s="1"/>
    </row>
    <row x14ac:dyDescent="0.25" r="363" customHeight="1" ht="18.75">
      <c r="A363" s="1"/>
      <c r="B363" s="1"/>
      <c r="C363" s="3" t="s">
        <v>300</v>
      </c>
      <c r="D363" s="3" t="s">
        <v>427</v>
      </c>
      <c r="E363" s="1"/>
      <c r="F363" s="1"/>
      <c r="G363" s="1"/>
      <c r="H363" s="1"/>
      <c r="I363" s="2"/>
      <c r="J363" s="1"/>
      <c r="K363" s="1"/>
      <c r="L363" s="1"/>
      <c r="M363" s="1"/>
      <c r="N363" s="1"/>
      <c r="O363" s="1"/>
      <c r="P363" s="1"/>
      <c r="Q363" s="1"/>
      <c r="R363" s="1"/>
      <c r="S363" s="1"/>
      <c r="T363" s="1"/>
      <c r="U363" s="1"/>
      <c r="V363" s="1"/>
      <c r="W363" s="1"/>
      <c r="X363" s="1"/>
    </row>
    <row x14ac:dyDescent="0.25" r="364" customHeight="1" ht="18.75">
      <c r="A364" s="1"/>
      <c r="B364" s="1"/>
      <c r="C364" s="3" t="s">
        <v>141</v>
      </c>
      <c r="D364" s="3" t="s">
        <v>428</v>
      </c>
      <c r="E364" s="1"/>
      <c r="F364" s="1"/>
      <c r="G364" s="1"/>
      <c r="H364" s="1"/>
      <c r="I364" s="2"/>
      <c r="J364" s="1"/>
      <c r="K364" s="1"/>
      <c r="L364" s="1"/>
      <c r="M364" s="1"/>
      <c r="N364" s="1"/>
      <c r="O364" s="1"/>
      <c r="P364" s="1"/>
      <c r="Q364" s="1"/>
      <c r="R364" s="1"/>
      <c r="S364" s="1"/>
      <c r="T364" s="1"/>
      <c r="U364" s="1"/>
      <c r="V364" s="1"/>
      <c r="W364" s="1"/>
      <c r="X364" s="1"/>
    </row>
    <row x14ac:dyDescent="0.25" r="365" customHeight="1" ht="18.75">
      <c r="A365" s="1"/>
      <c r="B365" s="1"/>
      <c r="C365" s="3" t="s">
        <v>141</v>
      </c>
      <c r="D365" s="3" t="s">
        <v>429</v>
      </c>
      <c r="E365" s="1"/>
      <c r="F365" s="1"/>
      <c r="G365" s="1"/>
      <c r="H365" s="1"/>
      <c r="I365" s="2"/>
      <c r="J365" s="1"/>
      <c r="K365" s="1"/>
      <c r="L365" s="1"/>
      <c r="M365" s="1"/>
      <c r="N365" s="1"/>
      <c r="O365" s="1"/>
      <c r="P365" s="1"/>
      <c r="Q365" s="1"/>
      <c r="R365" s="1"/>
      <c r="S365" s="1"/>
      <c r="T365" s="1"/>
      <c r="U365" s="1"/>
      <c r="V365" s="1"/>
      <c r="W365" s="1"/>
      <c r="X365" s="1"/>
    </row>
    <row x14ac:dyDescent="0.25" r="366" customHeight="1" ht="18.75">
      <c r="A366" s="1"/>
      <c r="B366" s="1"/>
      <c r="C366" s="3" t="s">
        <v>300</v>
      </c>
      <c r="D366" s="3" t="s">
        <v>430</v>
      </c>
      <c r="E366" s="1"/>
      <c r="F366" s="1"/>
      <c r="G366" s="1"/>
      <c r="H366" s="1"/>
      <c r="I366" s="2"/>
      <c r="J366" s="1"/>
      <c r="K366" s="1"/>
      <c r="L366" s="1"/>
      <c r="M366" s="1"/>
      <c r="N366" s="1"/>
      <c r="O366" s="1"/>
      <c r="P366" s="1"/>
      <c r="Q366" s="1"/>
      <c r="R366" s="1"/>
      <c r="S366" s="1"/>
      <c r="T366" s="1"/>
      <c r="U366" s="1"/>
      <c r="V366" s="1"/>
      <c r="W366" s="1"/>
      <c r="X366" s="1"/>
    </row>
    <row x14ac:dyDescent="0.25" r="367" customHeight="1" ht="18.75">
      <c r="A367" s="1"/>
      <c r="B367" s="1"/>
      <c r="C367" s="3" t="s">
        <v>300</v>
      </c>
      <c r="D367" s="3" t="s">
        <v>431</v>
      </c>
      <c r="E367" s="1"/>
      <c r="F367" s="1"/>
      <c r="G367" s="1"/>
      <c r="H367" s="1"/>
      <c r="I367" s="2"/>
      <c r="J367" s="1"/>
      <c r="K367" s="1"/>
      <c r="L367" s="1"/>
      <c r="M367" s="1"/>
      <c r="N367" s="1"/>
      <c r="O367" s="1"/>
      <c r="P367" s="1"/>
      <c r="Q367" s="1"/>
      <c r="R367" s="1"/>
      <c r="S367" s="1"/>
      <c r="T367" s="1"/>
      <c r="U367" s="1"/>
      <c r="V367" s="1"/>
      <c r="W367" s="1"/>
      <c r="X367" s="1"/>
    </row>
    <row x14ac:dyDescent="0.25" r="368" customHeight="1" ht="18.75">
      <c r="A368" s="1"/>
      <c r="B368" s="1"/>
      <c r="C368" s="3" t="s">
        <v>141</v>
      </c>
      <c r="D368" s="3" t="s">
        <v>432</v>
      </c>
      <c r="E368" s="1"/>
      <c r="F368" s="1"/>
      <c r="G368" s="1"/>
      <c r="H368" s="1"/>
      <c r="I368" s="2"/>
      <c r="J368" s="1"/>
      <c r="K368" s="1"/>
      <c r="L368" s="1"/>
      <c r="M368" s="1"/>
      <c r="N368" s="1"/>
      <c r="O368" s="1"/>
      <c r="P368" s="1"/>
      <c r="Q368" s="1"/>
      <c r="R368" s="1"/>
      <c r="S368" s="1"/>
      <c r="T368" s="1"/>
      <c r="U368" s="1"/>
      <c r="V368" s="1"/>
      <c r="W368" s="1"/>
      <c r="X368" s="1"/>
    </row>
    <row x14ac:dyDescent="0.25" r="369" customHeight="1" ht="18.75">
      <c r="A369" s="1"/>
      <c r="B369" s="1"/>
      <c r="C369" s="3" t="s">
        <v>300</v>
      </c>
      <c r="D369" s="3" t="s">
        <v>433</v>
      </c>
      <c r="E369" s="1"/>
      <c r="F369" s="1"/>
      <c r="G369" s="1"/>
      <c r="H369" s="1"/>
      <c r="I369" s="2"/>
      <c r="J369" s="1"/>
      <c r="K369" s="1"/>
      <c r="L369" s="1"/>
      <c r="M369" s="1"/>
      <c r="N369" s="1"/>
      <c r="O369" s="1"/>
      <c r="P369" s="1"/>
      <c r="Q369" s="1"/>
      <c r="R369" s="1"/>
      <c r="S369" s="1"/>
      <c r="T369" s="1"/>
      <c r="U369" s="1"/>
      <c r="V369" s="1"/>
      <c r="W369" s="1"/>
      <c r="X369" s="1"/>
    </row>
    <row x14ac:dyDescent="0.25" r="370" customHeight="1" ht="18.75">
      <c r="A370" s="1"/>
      <c r="B370" s="1"/>
      <c r="C370" s="3" t="s">
        <v>300</v>
      </c>
      <c r="D370" s="3" t="s">
        <v>434</v>
      </c>
      <c r="E370" s="1"/>
      <c r="F370" s="1"/>
      <c r="G370" s="1"/>
      <c r="H370" s="1"/>
      <c r="I370" s="2"/>
      <c r="J370" s="1"/>
      <c r="K370" s="1"/>
      <c r="L370" s="1"/>
      <c r="M370" s="1"/>
      <c r="N370" s="1"/>
      <c r="O370" s="1"/>
      <c r="P370" s="1"/>
      <c r="Q370" s="1"/>
      <c r="R370" s="1"/>
      <c r="S370" s="1"/>
      <c r="T370" s="1"/>
      <c r="U370" s="1"/>
      <c r="V370" s="1"/>
      <c r="W370" s="1"/>
      <c r="X370" s="1"/>
    </row>
    <row x14ac:dyDescent="0.25" r="371" customHeight="1" ht="18.75">
      <c r="A371" s="1"/>
      <c r="B371" s="1"/>
      <c r="C371" s="3" t="s">
        <v>300</v>
      </c>
      <c r="D371" s="3" t="s">
        <v>435</v>
      </c>
      <c r="E371" s="1"/>
      <c r="F371" s="1"/>
      <c r="G371" s="1"/>
      <c r="H371" s="1"/>
      <c r="I371" s="2"/>
      <c r="J371" s="1"/>
      <c r="K371" s="1"/>
      <c r="L371" s="1"/>
      <c r="M371" s="1"/>
      <c r="N371" s="1"/>
      <c r="O371" s="1"/>
      <c r="P371" s="1"/>
      <c r="Q371" s="1"/>
      <c r="R371" s="1"/>
      <c r="S371" s="1"/>
      <c r="T371" s="1"/>
      <c r="U371" s="1"/>
      <c r="V371" s="1"/>
      <c r="W371" s="1"/>
      <c r="X371" s="1"/>
    </row>
    <row x14ac:dyDescent="0.25" r="372" customHeight="1" ht="18.75">
      <c r="A372" s="1"/>
      <c r="B372" s="1"/>
      <c r="C372" s="3" t="s">
        <v>300</v>
      </c>
      <c r="D372" s="3" t="s">
        <v>436</v>
      </c>
      <c r="E372" s="1"/>
      <c r="F372" s="1"/>
      <c r="G372" s="1"/>
      <c r="H372" s="1"/>
      <c r="I372" s="2"/>
      <c r="J372" s="1"/>
      <c r="K372" s="1"/>
      <c r="L372" s="1"/>
      <c r="M372" s="1"/>
      <c r="N372" s="1"/>
      <c r="O372" s="1"/>
      <c r="P372" s="1"/>
      <c r="Q372" s="1"/>
      <c r="R372" s="1"/>
      <c r="S372" s="1"/>
      <c r="T372" s="1"/>
      <c r="U372" s="1"/>
      <c r="V372" s="1"/>
      <c r="W372" s="1"/>
      <c r="X372" s="1"/>
    </row>
    <row x14ac:dyDescent="0.25" r="373" customHeight="1" ht="18.75">
      <c r="A373" s="1"/>
      <c r="B373" s="1"/>
      <c r="C373" s="3" t="s">
        <v>121</v>
      </c>
      <c r="D373" s="3" t="s">
        <v>437</v>
      </c>
      <c r="E373" s="1"/>
      <c r="F373" s="1"/>
      <c r="G373" s="1"/>
      <c r="H373" s="1"/>
      <c r="I373" s="2"/>
      <c r="J373" s="1"/>
      <c r="K373" s="1"/>
      <c r="L373" s="1"/>
      <c r="M373" s="1"/>
      <c r="N373" s="1"/>
      <c r="O373" s="1"/>
      <c r="P373" s="1"/>
      <c r="Q373" s="1"/>
      <c r="R373" s="1"/>
      <c r="S373" s="1"/>
      <c r="T373" s="1"/>
      <c r="U373" s="1"/>
      <c r="V373" s="1"/>
      <c r="W373" s="1"/>
      <c r="X373" s="1"/>
    </row>
    <row x14ac:dyDescent="0.25" r="374" customHeight="1" ht="18.75">
      <c r="A374" s="1"/>
      <c r="B374" s="1"/>
      <c r="C374" s="3" t="s">
        <v>121</v>
      </c>
      <c r="D374" s="3" t="s">
        <v>438</v>
      </c>
      <c r="E374" s="1"/>
      <c r="F374" s="1"/>
      <c r="G374" s="1"/>
      <c r="H374" s="1"/>
      <c r="I374" s="2"/>
      <c r="J374" s="1"/>
      <c r="K374" s="1"/>
      <c r="L374" s="1"/>
      <c r="M374" s="1"/>
      <c r="N374" s="1"/>
      <c r="O374" s="1"/>
      <c r="P374" s="1"/>
      <c r="Q374" s="1"/>
      <c r="R374" s="1"/>
      <c r="S374" s="1"/>
      <c r="T374" s="1"/>
      <c r="U374" s="1"/>
      <c r="V374" s="1"/>
      <c r="W374" s="1"/>
      <c r="X374" s="1"/>
    </row>
    <row x14ac:dyDescent="0.25" r="375" customHeight="1" ht="18.75">
      <c r="A375" s="1"/>
      <c r="B375" s="1"/>
      <c r="C375" s="3" t="s">
        <v>141</v>
      </c>
      <c r="D375" s="3" t="s">
        <v>439</v>
      </c>
      <c r="E375" s="1"/>
      <c r="F375" s="1"/>
      <c r="G375" s="1"/>
      <c r="H375" s="1"/>
      <c r="I375" s="2"/>
      <c r="J375" s="1"/>
      <c r="K375" s="1"/>
      <c r="L375" s="1"/>
      <c r="M375" s="1"/>
      <c r="N375" s="1"/>
      <c r="O375" s="1"/>
      <c r="P375" s="1"/>
      <c r="Q375" s="1"/>
      <c r="R375" s="1"/>
      <c r="S375" s="1"/>
      <c r="T375" s="1"/>
      <c r="U375" s="1"/>
      <c r="V375" s="1"/>
      <c r="W375" s="1"/>
      <c r="X375" s="1"/>
    </row>
    <row x14ac:dyDescent="0.25" r="376" customHeight="1" ht="18.75">
      <c r="A376" s="1"/>
      <c r="B376" s="1"/>
      <c r="C376" s="3" t="s">
        <v>300</v>
      </c>
      <c r="D376" s="3" t="s">
        <v>440</v>
      </c>
      <c r="E376" s="1"/>
      <c r="F376" s="1"/>
      <c r="G376" s="1"/>
      <c r="H376" s="1"/>
      <c r="I376" s="2"/>
      <c r="J376" s="1"/>
      <c r="K376" s="1"/>
      <c r="L376" s="1"/>
      <c r="M376" s="1"/>
      <c r="N376" s="1"/>
      <c r="O376" s="1"/>
      <c r="P376" s="1"/>
      <c r="Q376" s="1"/>
      <c r="R376" s="1"/>
      <c r="S376" s="1"/>
      <c r="T376" s="1"/>
      <c r="U376" s="1"/>
      <c r="V376" s="1"/>
      <c r="W376" s="1"/>
      <c r="X376" s="1"/>
    </row>
    <row x14ac:dyDescent="0.25" r="377" customHeight="1" ht="18.75">
      <c r="A377" s="1"/>
      <c r="B377" s="1"/>
      <c r="C377" s="3" t="s">
        <v>300</v>
      </c>
      <c r="D377" s="3" t="s">
        <v>441</v>
      </c>
      <c r="E377" s="1"/>
      <c r="F377" s="1"/>
      <c r="G377" s="1"/>
      <c r="H377" s="1"/>
      <c r="I377" s="2"/>
      <c r="J377" s="1"/>
      <c r="K377" s="1"/>
      <c r="L377" s="1"/>
      <c r="M377" s="1"/>
      <c r="N377" s="1"/>
      <c r="O377" s="1"/>
      <c r="P377" s="1"/>
      <c r="Q377" s="1"/>
      <c r="R377" s="1"/>
      <c r="S377" s="1"/>
      <c r="T377" s="1"/>
      <c r="U377" s="1"/>
      <c r="V377" s="1"/>
      <c r="W377" s="1"/>
      <c r="X377" s="1"/>
    </row>
    <row x14ac:dyDescent="0.25" r="378" customHeight="1" ht="18.75">
      <c r="A378" s="1"/>
      <c r="B378" s="1"/>
      <c r="C378" s="3" t="s">
        <v>300</v>
      </c>
      <c r="D378" s="3" t="s">
        <v>442</v>
      </c>
      <c r="E378" s="1"/>
      <c r="F378" s="1"/>
      <c r="G378" s="1"/>
      <c r="H378" s="1"/>
      <c r="I378" s="2"/>
      <c r="J378" s="1"/>
      <c r="K378" s="1"/>
      <c r="L378" s="1"/>
      <c r="M378" s="1"/>
      <c r="N378" s="1"/>
      <c r="O378" s="1"/>
      <c r="P378" s="1"/>
      <c r="Q378" s="1"/>
      <c r="R378" s="1"/>
      <c r="S378" s="1"/>
      <c r="T378" s="1"/>
      <c r="U378" s="1"/>
      <c r="V378" s="1"/>
      <c r="W378" s="1"/>
      <c r="X378" s="1"/>
    </row>
    <row x14ac:dyDescent="0.25" r="379" customHeight="1" ht="18.75">
      <c r="A379" s="1"/>
      <c r="B379" s="1"/>
      <c r="C379" s="3" t="s">
        <v>121</v>
      </c>
      <c r="D379" s="3" t="s">
        <v>443</v>
      </c>
      <c r="E379" s="1"/>
      <c r="F379" s="1"/>
      <c r="G379" s="1"/>
      <c r="H379" s="1"/>
      <c r="I379" s="2"/>
      <c r="J379" s="1"/>
      <c r="K379" s="1"/>
      <c r="L379" s="1"/>
      <c r="M379" s="1"/>
      <c r="N379" s="1"/>
      <c r="O379" s="1"/>
      <c r="P379" s="1"/>
      <c r="Q379" s="1"/>
      <c r="R379" s="1"/>
      <c r="S379" s="1"/>
      <c r="T379" s="1"/>
      <c r="U379" s="1"/>
      <c r="V379" s="1"/>
      <c r="W379" s="1"/>
      <c r="X379" s="1"/>
    </row>
    <row x14ac:dyDescent="0.25" r="380" customHeight="1" ht="18.75">
      <c r="A380" s="1"/>
      <c r="B380" s="1"/>
      <c r="C380" s="3" t="s">
        <v>141</v>
      </c>
      <c r="D380" s="3" t="s">
        <v>444</v>
      </c>
      <c r="E380" s="1"/>
      <c r="F380" s="1"/>
      <c r="G380" s="1"/>
      <c r="H380" s="1"/>
      <c r="I380" s="2"/>
      <c r="J380" s="1"/>
      <c r="K380" s="1"/>
      <c r="L380" s="1"/>
      <c r="M380" s="1"/>
      <c r="N380" s="1"/>
      <c r="O380" s="1"/>
      <c r="P380" s="1"/>
      <c r="Q380" s="1"/>
      <c r="R380" s="1"/>
      <c r="S380" s="1"/>
      <c r="T380" s="1"/>
      <c r="U380" s="1"/>
      <c r="V380" s="1"/>
      <c r="W380" s="1"/>
      <c r="X380" s="1"/>
    </row>
    <row x14ac:dyDescent="0.25" r="381" customHeight="1" ht="18.75">
      <c r="A381" s="1"/>
      <c r="B381" s="1"/>
      <c r="C381" s="3" t="s">
        <v>141</v>
      </c>
      <c r="D381" s="3" t="s">
        <v>445</v>
      </c>
      <c r="E381" s="1"/>
      <c r="F381" s="1"/>
      <c r="G381" s="1"/>
      <c r="H381" s="1"/>
      <c r="I381" s="2"/>
      <c r="J381" s="1"/>
      <c r="K381" s="1"/>
      <c r="L381" s="1"/>
      <c r="M381" s="1"/>
      <c r="N381" s="1"/>
      <c r="O381" s="1"/>
      <c r="P381" s="1"/>
      <c r="Q381" s="1"/>
      <c r="R381" s="1"/>
      <c r="S381" s="1"/>
      <c r="T381" s="1"/>
      <c r="U381" s="1"/>
      <c r="V381" s="1"/>
      <c r="W381" s="1"/>
      <c r="X381" s="1"/>
    </row>
    <row x14ac:dyDescent="0.25" r="382" customHeight="1" ht="18.75">
      <c r="A382" s="1"/>
      <c r="B382" s="1"/>
      <c r="C382" s="3" t="s">
        <v>141</v>
      </c>
      <c r="D382" s="3" t="s">
        <v>446</v>
      </c>
      <c r="E382" s="1"/>
      <c r="F382" s="1"/>
      <c r="G382" s="1"/>
      <c r="H382" s="1"/>
      <c r="I382" s="2"/>
      <c r="J382" s="1"/>
      <c r="K382" s="1"/>
      <c r="L382" s="1"/>
      <c r="M382" s="1"/>
      <c r="N382" s="1"/>
      <c r="O382" s="1"/>
      <c r="P382" s="1"/>
      <c r="Q382" s="1"/>
      <c r="R382" s="1"/>
      <c r="S382" s="1"/>
      <c r="T382" s="1"/>
      <c r="U382" s="1"/>
      <c r="V382" s="1"/>
      <c r="W382" s="1"/>
      <c r="X382" s="1"/>
    </row>
    <row x14ac:dyDescent="0.25" r="383" customHeight="1" ht="18.75">
      <c r="A383" s="1"/>
      <c r="B383" s="1"/>
      <c r="C383" s="3" t="s">
        <v>300</v>
      </c>
      <c r="D383" s="3" t="s">
        <v>447</v>
      </c>
      <c r="E383" s="1"/>
      <c r="F383" s="1"/>
      <c r="G383" s="1"/>
      <c r="H383" s="1"/>
      <c r="I383" s="2"/>
      <c r="J383" s="1"/>
      <c r="K383" s="1"/>
      <c r="L383" s="1"/>
      <c r="M383" s="1"/>
      <c r="N383" s="1"/>
      <c r="O383" s="1"/>
      <c r="P383" s="1"/>
      <c r="Q383" s="1"/>
      <c r="R383" s="1"/>
      <c r="S383" s="1"/>
      <c r="T383" s="1"/>
      <c r="U383" s="1"/>
      <c r="V383" s="1"/>
      <c r="W383" s="1"/>
      <c r="X383" s="1"/>
    </row>
    <row x14ac:dyDescent="0.25" r="384" customHeight="1" ht="18.75">
      <c r="A384" s="1"/>
      <c r="B384" s="1"/>
      <c r="C384" s="3" t="s">
        <v>121</v>
      </c>
      <c r="D384" s="3" t="s">
        <v>448</v>
      </c>
      <c r="E384" s="1"/>
      <c r="F384" s="1"/>
      <c r="G384" s="1"/>
      <c r="H384" s="1"/>
      <c r="I384" s="2"/>
      <c r="J384" s="1"/>
      <c r="K384" s="1"/>
      <c r="L384" s="1"/>
      <c r="M384" s="1"/>
      <c r="N384" s="1"/>
      <c r="O384" s="1"/>
      <c r="P384" s="1"/>
      <c r="Q384" s="1"/>
      <c r="R384" s="1"/>
      <c r="S384" s="1"/>
      <c r="T384" s="1"/>
      <c r="U384" s="1"/>
      <c r="V384" s="1"/>
      <c r="W384" s="1"/>
      <c r="X384" s="1"/>
    </row>
    <row x14ac:dyDescent="0.25" r="385" customHeight="1" ht="18.75">
      <c r="A385" s="1"/>
      <c r="B385" s="1"/>
      <c r="C385" s="3" t="s">
        <v>300</v>
      </c>
      <c r="D385" s="3" t="s">
        <v>449</v>
      </c>
      <c r="E385" s="1"/>
      <c r="F385" s="1"/>
      <c r="G385" s="1"/>
      <c r="H385" s="1"/>
      <c r="I385" s="2"/>
      <c r="J385" s="1"/>
      <c r="K385" s="1"/>
      <c r="L385" s="1"/>
      <c r="M385" s="1"/>
      <c r="N385" s="1"/>
      <c r="O385" s="1"/>
      <c r="P385" s="1"/>
      <c r="Q385" s="1"/>
      <c r="R385" s="1"/>
      <c r="S385" s="1"/>
      <c r="T385" s="1"/>
      <c r="U385" s="1"/>
      <c r="V385" s="1"/>
      <c r="W385" s="1"/>
      <c r="X385" s="1"/>
    </row>
    <row x14ac:dyDescent="0.25" r="386" customHeight="1" ht="18.75">
      <c r="A386" s="1"/>
      <c r="B386" s="1"/>
      <c r="C386" s="3" t="s">
        <v>121</v>
      </c>
      <c r="D386" s="3" t="s">
        <v>450</v>
      </c>
      <c r="E386" s="1"/>
      <c r="F386" s="1"/>
      <c r="G386" s="1"/>
      <c r="H386" s="1"/>
      <c r="I386" s="2"/>
      <c r="J386" s="1"/>
      <c r="K386" s="1"/>
      <c r="L386" s="1"/>
      <c r="M386" s="1"/>
      <c r="N386" s="1"/>
      <c r="O386" s="1"/>
      <c r="P386" s="1"/>
      <c r="Q386" s="1"/>
      <c r="R386" s="1"/>
      <c r="S386" s="1"/>
      <c r="T386" s="1"/>
      <c r="U386" s="1"/>
      <c r="V386" s="1"/>
      <c r="W386" s="1"/>
      <c r="X386" s="1"/>
    </row>
    <row x14ac:dyDescent="0.25" r="387" customHeight="1" ht="18.75">
      <c r="A387" s="1"/>
      <c r="B387" s="1"/>
      <c r="C387" s="3" t="s">
        <v>300</v>
      </c>
      <c r="D387" s="3" t="s">
        <v>451</v>
      </c>
      <c r="E387" s="1"/>
      <c r="F387" s="1"/>
      <c r="G387" s="1"/>
      <c r="H387" s="1"/>
      <c r="I387" s="2"/>
      <c r="J387" s="1"/>
      <c r="K387" s="1"/>
      <c r="L387" s="1"/>
      <c r="M387" s="1"/>
      <c r="N387" s="1"/>
      <c r="O387" s="1"/>
      <c r="P387" s="1"/>
      <c r="Q387" s="1"/>
      <c r="R387" s="1"/>
      <c r="S387" s="1"/>
      <c r="T387" s="1"/>
      <c r="U387" s="1"/>
      <c r="V387" s="1"/>
      <c r="W387" s="1"/>
      <c r="X387" s="1"/>
    </row>
    <row x14ac:dyDescent="0.25" r="388" customHeight="1" ht="18.75">
      <c r="A388" s="1"/>
      <c r="B388" s="1"/>
      <c r="C388" s="3" t="s">
        <v>300</v>
      </c>
      <c r="D388" s="3" t="s">
        <v>452</v>
      </c>
      <c r="E388" s="1"/>
      <c r="F388" s="1"/>
      <c r="G388" s="1"/>
      <c r="H388" s="1"/>
      <c r="I388" s="2"/>
      <c r="J388" s="1"/>
      <c r="K388" s="1"/>
      <c r="L388" s="1"/>
      <c r="M388" s="1"/>
      <c r="N388" s="1"/>
      <c r="O388" s="1"/>
      <c r="P388" s="1"/>
      <c r="Q388" s="1"/>
      <c r="R388" s="1"/>
      <c r="S388" s="1"/>
      <c r="T388" s="1"/>
      <c r="U388" s="1"/>
      <c r="V388" s="1"/>
      <c r="W388" s="1"/>
      <c r="X388" s="1"/>
    </row>
    <row x14ac:dyDescent="0.25" r="389" customHeight="1" ht="18.75">
      <c r="A389" s="1"/>
      <c r="B389" s="1"/>
      <c r="C389" s="3" t="s">
        <v>300</v>
      </c>
      <c r="D389" s="3" t="s">
        <v>453</v>
      </c>
      <c r="E389" s="1"/>
      <c r="F389" s="1"/>
      <c r="G389" s="1"/>
      <c r="H389" s="1"/>
      <c r="I389" s="2"/>
      <c r="J389" s="1"/>
      <c r="K389" s="1"/>
      <c r="L389" s="1"/>
      <c r="M389" s="1"/>
      <c r="N389" s="1"/>
      <c r="O389" s="1"/>
      <c r="P389" s="1"/>
      <c r="Q389" s="1"/>
      <c r="R389" s="1"/>
      <c r="S389" s="1"/>
      <c r="T389" s="1"/>
      <c r="U389" s="1"/>
      <c r="V389" s="1"/>
      <c r="W389" s="1"/>
      <c r="X389" s="1"/>
    </row>
    <row x14ac:dyDescent="0.25" r="390" customHeight="1" ht="18.75">
      <c r="A390" s="1"/>
      <c r="B390" s="1"/>
      <c r="C390" s="3" t="s">
        <v>300</v>
      </c>
      <c r="D390" s="3" t="s">
        <v>454</v>
      </c>
      <c r="E390" s="1"/>
      <c r="F390" s="1"/>
      <c r="G390" s="1"/>
      <c r="H390" s="1"/>
      <c r="I390" s="2"/>
      <c r="J390" s="1"/>
      <c r="K390" s="1"/>
      <c r="L390" s="1"/>
      <c r="M390" s="1"/>
      <c r="N390" s="1"/>
      <c r="O390" s="1"/>
      <c r="P390" s="1"/>
      <c r="Q390" s="1"/>
      <c r="R390" s="1"/>
      <c r="S390" s="1"/>
      <c r="T390" s="1"/>
      <c r="U390" s="1"/>
      <c r="V390" s="1"/>
      <c r="W390" s="1"/>
      <c r="X390" s="1"/>
    </row>
    <row x14ac:dyDescent="0.25" r="391" customHeight="1" ht="18.75">
      <c r="A391" s="1"/>
      <c r="B391" s="1"/>
      <c r="C391" s="3" t="s">
        <v>141</v>
      </c>
      <c r="D391" s="3" t="s">
        <v>455</v>
      </c>
      <c r="E391" s="1"/>
      <c r="F391" s="1"/>
      <c r="G391" s="1"/>
      <c r="H391" s="1"/>
      <c r="I391" s="2"/>
      <c r="J391" s="1"/>
      <c r="K391" s="1"/>
      <c r="L391" s="1"/>
      <c r="M391" s="1"/>
      <c r="N391" s="1"/>
      <c r="O391" s="1"/>
      <c r="P391" s="1"/>
      <c r="Q391" s="1"/>
      <c r="R391" s="1"/>
      <c r="S391" s="1"/>
      <c r="T391" s="1"/>
      <c r="U391" s="1"/>
      <c r="V391" s="1"/>
      <c r="W391" s="1"/>
      <c r="X391" s="1"/>
    </row>
    <row x14ac:dyDescent="0.25" r="392" customHeight="1" ht="18.75">
      <c r="A392" s="1"/>
      <c r="B392" s="1"/>
      <c r="C392" s="3" t="s">
        <v>121</v>
      </c>
      <c r="D392" s="3" t="s">
        <v>456</v>
      </c>
      <c r="E392" s="1"/>
      <c r="F392" s="1"/>
      <c r="G392" s="1"/>
      <c r="H392" s="1"/>
      <c r="I392" s="2"/>
      <c r="J392" s="1"/>
      <c r="K392" s="1"/>
      <c r="L392" s="1"/>
      <c r="M392" s="1"/>
      <c r="N392" s="1"/>
      <c r="O392" s="1"/>
      <c r="P392" s="1"/>
      <c r="Q392" s="1"/>
      <c r="R392" s="1"/>
      <c r="S392" s="1"/>
      <c r="T392" s="1"/>
      <c r="U392" s="1"/>
      <c r="V392" s="1"/>
      <c r="W392" s="1"/>
      <c r="X392" s="1"/>
    </row>
    <row x14ac:dyDescent="0.25" r="393" customHeight="1" ht="18.75">
      <c r="A393" s="1"/>
      <c r="B393" s="1"/>
      <c r="C393" s="3" t="s">
        <v>141</v>
      </c>
      <c r="D393" s="3" t="s">
        <v>457</v>
      </c>
      <c r="E393" s="1"/>
      <c r="F393" s="1"/>
      <c r="G393" s="1"/>
      <c r="H393" s="1"/>
      <c r="I393" s="2"/>
      <c r="J393" s="1"/>
      <c r="K393" s="1"/>
      <c r="L393" s="1"/>
      <c r="M393" s="1"/>
      <c r="N393" s="1"/>
      <c r="O393" s="1"/>
      <c r="P393" s="1"/>
      <c r="Q393" s="1"/>
      <c r="R393" s="1"/>
      <c r="S393" s="1"/>
      <c r="T393" s="1"/>
      <c r="U393" s="1"/>
      <c r="V393" s="1"/>
      <c r="W393" s="1"/>
      <c r="X393" s="1"/>
    </row>
    <row x14ac:dyDescent="0.25" r="394" customHeight="1" ht="18.75">
      <c r="A394" s="1"/>
      <c r="B394" s="1"/>
      <c r="C394" s="3" t="s">
        <v>300</v>
      </c>
      <c r="D394" s="3" t="s">
        <v>458</v>
      </c>
      <c r="E394" s="1"/>
      <c r="F394" s="1"/>
      <c r="G394" s="1"/>
      <c r="H394" s="1"/>
      <c r="I394" s="2"/>
      <c r="J394" s="1"/>
      <c r="K394" s="1"/>
      <c r="L394" s="1"/>
      <c r="M394" s="1"/>
      <c r="N394" s="1"/>
      <c r="O394" s="1"/>
      <c r="P394" s="1"/>
      <c r="Q394" s="1"/>
      <c r="R394" s="1"/>
      <c r="S394" s="1"/>
      <c r="T394" s="1"/>
      <c r="U394" s="1"/>
      <c r="V394" s="1"/>
      <c r="W394" s="1"/>
      <c r="X394" s="1"/>
    </row>
    <row x14ac:dyDescent="0.25" r="395" customHeight="1" ht="18.75">
      <c r="A395" s="1"/>
      <c r="B395" s="1"/>
      <c r="C395" s="3" t="s">
        <v>300</v>
      </c>
      <c r="D395" s="3" t="s">
        <v>459</v>
      </c>
      <c r="E395" s="1"/>
      <c r="F395" s="1"/>
      <c r="G395" s="1"/>
      <c r="H395" s="1"/>
      <c r="I395" s="2"/>
      <c r="J395" s="1"/>
      <c r="K395" s="1"/>
      <c r="L395" s="1"/>
      <c r="M395" s="1"/>
      <c r="N395" s="1"/>
      <c r="O395" s="1"/>
      <c r="P395" s="1"/>
      <c r="Q395" s="1"/>
      <c r="R395" s="1"/>
      <c r="S395" s="1"/>
      <c r="T395" s="1"/>
      <c r="U395" s="1"/>
      <c r="V395" s="1"/>
      <c r="W395" s="1"/>
      <c r="X395" s="1"/>
    </row>
    <row x14ac:dyDescent="0.25" r="396" customHeight="1" ht="18.75">
      <c r="A396" s="1"/>
      <c r="B396" s="1"/>
      <c r="C396" s="3" t="s">
        <v>306</v>
      </c>
      <c r="D396" s="3" t="s">
        <v>460</v>
      </c>
      <c r="E396" s="1"/>
      <c r="F396" s="1"/>
      <c r="G396" s="1"/>
      <c r="H396" s="1"/>
      <c r="I396" s="2"/>
      <c r="J396" s="1"/>
      <c r="K396" s="1"/>
      <c r="L396" s="1"/>
      <c r="M396" s="1"/>
      <c r="N396" s="1"/>
      <c r="O396" s="1"/>
      <c r="P396" s="1"/>
      <c r="Q396" s="1"/>
      <c r="R396" s="1"/>
      <c r="S396" s="1"/>
      <c r="T396" s="1"/>
      <c r="U396" s="1"/>
      <c r="V396" s="1"/>
      <c r="W396" s="1"/>
      <c r="X396" s="1"/>
    </row>
    <row x14ac:dyDescent="0.25" r="397" customHeight="1" ht="18.75">
      <c r="A397" s="1"/>
      <c r="B397" s="1"/>
      <c r="C397" s="3" t="s">
        <v>121</v>
      </c>
      <c r="D397" s="3" t="s">
        <v>461</v>
      </c>
      <c r="E397" s="1"/>
      <c r="F397" s="1"/>
      <c r="G397" s="1"/>
      <c r="H397" s="1"/>
      <c r="I397" s="2"/>
      <c r="J397" s="1"/>
      <c r="K397" s="1"/>
      <c r="L397" s="1"/>
      <c r="M397" s="1"/>
      <c r="N397" s="1"/>
      <c r="O397" s="1"/>
      <c r="P397" s="1"/>
      <c r="Q397" s="1"/>
      <c r="R397" s="1"/>
      <c r="S397" s="1"/>
      <c r="T397" s="1"/>
      <c r="U397" s="1"/>
      <c r="V397" s="1"/>
      <c r="W397" s="1"/>
      <c r="X397" s="1"/>
    </row>
    <row x14ac:dyDescent="0.25" r="398" customHeight="1" ht="18.75">
      <c r="A398" s="1"/>
      <c r="B398" s="1"/>
      <c r="C398" s="3" t="s">
        <v>300</v>
      </c>
      <c r="D398" s="3" t="s">
        <v>462</v>
      </c>
      <c r="E398" s="1"/>
      <c r="F398" s="1"/>
      <c r="G398" s="1"/>
      <c r="H398" s="1"/>
      <c r="I398" s="2"/>
      <c r="J398" s="1"/>
      <c r="K398" s="1"/>
      <c r="L398" s="1"/>
      <c r="M398" s="1"/>
      <c r="N398" s="1"/>
      <c r="O398" s="1"/>
      <c r="P398" s="1"/>
      <c r="Q398" s="1"/>
      <c r="R398" s="1"/>
      <c r="S398" s="1"/>
      <c r="T398" s="1"/>
      <c r="U398" s="1"/>
      <c r="V398" s="1"/>
      <c r="W398" s="1"/>
      <c r="X398" s="1"/>
    </row>
    <row x14ac:dyDescent="0.25" r="399" customHeight="1" ht="18.75">
      <c r="A399" s="1"/>
      <c r="B399" s="1"/>
      <c r="C399" s="3" t="s">
        <v>141</v>
      </c>
      <c r="D399" s="3" t="s">
        <v>463</v>
      </c>
      <c r="E399" s="1"/>
      <c r="F399" s="1"/>
      <c r="G399" s="1"/>
      <c r="H399" s="1"/>
      <c r="I399" s="2"/>
      <c r="J399" s="1"/>
      <c r="K399" s="1"/>
      <c r="L399" s="1"/>
      <c r="M399" s="1"/>
      <c r="N399" s="1"/>
      <c r="O399" s="1"/>
      <c r="P399" s="1"/>
      <c r="Q399" s="1"/>
      <c r="R399" s="1"/>
      <c r="S399" s="1"/>
      <c r="T399" s="1"/>
      <c r="U399" s="1"/>
      <c r="V399" s="1"/>
      <c r="W399" s="1"/>
      <c r="X399" s="1"/>
    </row>
    <row x14ac:dyDescent="0.25" r="400" customHeight="1" ht="18.75">
      <c r="A400" s="1"/>
      <c r="B400" s="1"/>
      <c r="C400" s="3" t="s">
        <v>300</v>
      </c>
      <c r="D400" s="3" t="s">
        <v>464</v>
      </c>
      <c r="E400" s="1"/>
      <c r="F400" s="1"/>
      <c r="G400" s="1"/>
      <c r="H400" s="1"/>
      <c r="I400" s="2"/>
      <c r="J400" s="1"/>
      <c r="K400" s="1"/>
      <c r="L400" s="1"/>
      <c r="M400" s="1"/>
      <c r="N400" s="1"/>
      <c r="O400" s="1"/>
      <c r="P400" s="1"/>
      <c r="Q400" s="1"/>
      <c r="R400" s="1"/>
      <c r="S400" s="1"/>
      <c r="T400" s="1"/>
      <c r="U400" s="1"/>
      <c r="V400" s="1"/>
      <c r="W400" s="1"/>
      <c r="X400" s="1"/>
    </row>
    <row x14ac:dyDescent="0.25" r="401" customHeight="1" ht="18.75">
      <c r="A401" s="1"/>
      <c r="B401" s="1"/>
      <c r="C401" s="3" t="s">
        <v>300</v>
      </c>
      <c r="D401" s="3" t="s">
        <v>465</v>
      </c>
      <c r="E401" s="1"/>
      <c r="F401" s="1"/>
      <c r="G401" s="1"/>
      <c r="H401" s="1"/>
      <c r="I401" s="2"/>
      <c r="J401" s="1"/>
      <c r="K401" s="1"/>
      <c r="L401" s="1"/>
      <c r="M401" s="1"/>
      <c r="N401" s="1"/>
      <c r="O401" s="1"/>
      <c r="P401" s="1"/>
      <c r="Q401" s="1"/>
      <c r="R401" s="1"/>
      <c r="S401" s="1"/>
      <c r="T401" s="1"/>
      <c r="U401" s="1"/>
      <c r="V401" s="1"/>
      <c r="W401" s="1"/>
      <c r="X401" s="1"/>
    </row>
    <row x14ac:dyDescent="0.25" r="402" customHeight="1" ht="18.75">
      <c r="A402" s="1"/>
      <c r="B402" s="1"/>
      <c r="C402" s="3" t="s">
        <v>300</v>
      </c>
      <c r="D402" s="3" t="s">
        <v>466</v>
      </c>
      <c r="E402" s="1"/>
      <c r="F402" s="1"/>
      <c r="G402" s="1"/>
      <c r="H402" s="1"/>
      <c r="I402" s="2"/>
      <c r="J402" s="1"/>
      <c r="K402" s="1"/>
      <c r="L402" s="1"/>
      <c r="M402" s="1"/>
      <c r="N402" s="1"/>
      <c r="O402" s="1"/>
      <c r="P402" s="1"/>
      <c r="Q402" s="1"/>
      <c r="R402" s="1"/>
      <c r="S402" s="1"/>
      <c r="T402" s="1"/>
      <c r="U402" s="1"/>
      <c r="V402" s="1"/>
      <c r="W402" s="1"/>
      <c r="X402" s="1"/>
    </row>
    <row x14ac:dyDescent="0.25" r="403" customHeight="1" ht="18.75">
      <c r="A403" s="1"/>
      <c r="B403" s="1"/>
      <c r="C403" s="3" t="s">
        <v>141</v>
      </c>
      <c r="D403" s="3" t="s">
        <v>467</v>
      </c>
      <c r="E403" s="1"/>
      <c r="F403" s="1"/>
      <c r="G403" s="1"/>
      <c r="H403" s="1"/>
      <c r="I403" s="2"/>
      <c r="J403" s="1"/>
      <c r="K403" s="1"/>
      <c r="L403" s="1"/>
      <c r="M403" s="1"/>
      <c r="N403" s="1"/>
      <c r="O403" s="1"/>
      <c r="P403" s="1"/>
      <c r="Q403" s="1"/>
      <c r="R403" s="1"/>
      <c r="S403" s="1"/>
      <c r="T403" s="1"/>
      <c r="U403" s="1"/>
      <c r="V403" s="1"/>
      <c r="W403" s="1"/>
      <c r="X403" s="1"/>
    </row>
    <row x14ac:dyDescent="0.25" r="404" customHeight="1" ht="18.75">
      <c r="A404" s="1"/>
      <c r="B404" s="1"/>
      <c r="C404" s="3" t="s">
        <v>300</v>
      </c>
      <c r="D404" s="3" t="s">
        <v>468</v>
      </c>
      <c r="E404" s="1"/>
      <c r="F404" s="1"/>
      <c r="G404" s="1"/>
      <c r="H404" s="1"/>
      <c r="I404" s="2"/>
      <c r="J404" s="1"/>
      <c r="K404" s="1"/>
      <c r="L404" s="1"/>
      <c r="M404" s="1"/>
      <c r="N404" s="1"/>
      <c r="O404" s="1"/>
      <c r="P404" s="1"/>
      <c r="Q404" s="1"/>
      <c r="R404" s="1"/>
      <c r="S404" s="1"/>
      <c r="T404" s="1"/>
      <c r="U404" s="1"/>
      <c r="V404" s="1"/>
      <c r="W404" s="1"/>
      <c r="X404" s="1"/>
    </row>
    <row x14ac:dyDescent="0.25" r="405" customHeight="1" ht="18.75">
      <c r="A405" s="1"/>
      <c r="B405" s="1"/>
      <c r="C405" s="3" t="s">
        <v>404</v>
      </c>
      <c r="D405" s="3" t="s">
        <v>469</v>
      </c>
      <c r="E405" s="1"/>
      <c r="F405" s="1"/>
      <c r="G405" s="1"/>
      <c r="H405" s="1"/>
      <c r="I405" s="2"/>
      <c r="J405" s="1"/>
      <c r="K405" s="1"/>
      <c r="L405" s="1"/>
      <c r="M405" s="1"/>
      <c r="N405" s="1"/>
      <c r="O405" s="1"/>
      <c r="P405" s="1"/>
      <c r="Q405" s="1"/>
      <c r="R405" s="1"/>
      <c r="S405" s="1"/>
      <c r="T405" s="1"/>
      <c r="U405" s="1"/>
      <c r="V405" s="1"/>
      <c r="W405" s="1"/>
      <c r="X405" s="1"/>
    </row>
    <row x14ac:dyDescent="0.25" r="406" customHeight="1" ht="18.75">
      <c r="A406" s="1"/>
      <c r="B406" s="1"/>
      <c r="C406" s="3" t="s">
        <v>121</v>
      </c>
      <c r="D406" s="3" t="s">
        <v>470</v>
      </c>
      <c r="E406" s="1"/>
      <c r="F406" s="1"/>
      <c r="G406" s="1"/>
      <c r="H406" s="1"/>
      <c r="I406" s="2"/>
      <c r="J406" s="1"/>
      <c r="K406" s="1"/>
      <c r="L406" s="1"/>
      <c r="M406" s="1"/>
      <c r="N406" s="1"/>
      <c r="O406" s="1"/>
      <c r="P406" s="1"/>
      <c r="Q406" s="1"/>
      <c r="R406" s="1"/>
      <c r="S406" s="1"/>
      <c r="T406" s="1"/>
      <c r="U406" s="1"/>
      <c r="V406" s="1"/>
      <c r="W406" s="1"/>
      <c r="X406" s="1"/>
    </row>
    <row x14ac:dyDescent="0.25" r="407" customHeight="1" ht="18.75">
      <c r="A407" s="1"/>
      <c r="B407" s="1"/>
      <c r="C407" s="3" t="s">
        <v>300</v>
      </c>
      <c r="D407" s="3" t="s">
        <v>471</v>
      </c>
      <c r="E407" s="1"/>
      <c r="F407" s="1"/>
      <c r="G407" s="1"/>
      <c r="H407" s="1"/>
      <c r="I407" s="2"/>
      <c r="J407" s="1"/>
      <c r="K407" s="1"/>
      <c r="L407" s="1"/>
      <c r="M407" s="1"/>
      <c r="N407" s="1"/>
      <c r="O407" s="1"/>
      <c r="P407" s="1"/>
      <c r="Q407" s="1"/>
      <c r="R407" s="1"/>
      <c r="S407" s="1"/>
      <c r="T407" s="1"/>
      <c r="U407" s="1"/>
      <c r="V407" s="1"/>
      <c r="W407" s="1"/>
      <c r="X407" s="1"/>
    </row>
    <row x14ac:dyDescent="0.25" r="408" customHeight="1" ht="18.75">
      <c r="A408" s="1"/>
      <c r="B408" s="1"/>
      <c r="C408" s="3" t="s">
        <v>300</v>
      </c>
      <c r="D408" s="3" t="s">
        <v>472</v>
      </c>
      <c r="E408" s="1"/>
      <c r="F408" s="1"/>
      <c r="G408" s="1"/>
      <c r="H408" s="1"/>
      <c r="I408" s="2"/>
      <c r="J408" s="1"/>
      <c r="K408" s="1"/>
      <c r="L408" s="1"/>
      <c r="M408" s="1"/>
      <c r="N408" s="1"/>
      <c r="O408" s="1"/>
      <c r="P408" s="1"/>
      <c r="Q408" s="1"/>
      <c r="R408" s="1"/>
      <c r="S408" s="1"/>
      <c r="T408" s="1"/>
      <c r="U408" s="1"/>
      <c r="V408" s="1"/>
      <c r="W408" s="1"/>
      <c r="X408" s="1"/>
    </row>
    <row x14ac:dyDescent="0.25" r="409" customHeight="1" ht="18.75">
      <c r="A409" s="1"/>
      <c r="B409" s="1"/>
      <c r="C409" s="3" t="s">
        <v>300</v>
      </c>
      <c r="D409" s="3" t="s">
        <v>473</v>
      </c>
      <c r="E409" s="1"/>
      <c r="F409" s="1"/>
      <c r="G409" s="1"/>
      <c r="H409" s="1"/>
      <c r="I409" s="2"/>
      <c r="J409" s="1"/>
      <c r="K409" s="1"/>
      <c r="L409" s="1"/>
      <c r="M409" s="1"/>
      <c r="N409" s="1"/>
      <c r="O409" s="1"/>
      <c r="P409" s="1"/>
      <c r="Q409" s="1"/>
      <c r="R409" s="1"/>
      <c r="S409" s="1"/>
      <c r="T409" s="1"/>
      <c r="U409" s="1"/>
      <c r="V409" s="1"/>
      <c r="W409" s="1"/>
      <c r="X409" s="1"/>
    </row>
    <row x14ac:dyDescent="0.25" r="410" customHeight="1" ht="18.75">
      <c r="A410" s="1"/>
      <c r="B410" s="1"/>
      <c r="C410" s="3" t="s">
        <v>300</v>
      </c>
      <c r="D410" s="3" t="s">
        <v>474</v>
      </c>
      <c r="E410" s="1"/>
      <c r="F410" s="1"/>
      <c r="G410" s="1"/>
      <c r="H410" s="1"/>
      <c r="I410" s="2"/>
      <c r="J410" s="1"/>
      <c r="K410" s="1"/>
      <c r="L410" s="1"/>
      <c r="M410" s="1"/>
      <c r="N410" s="1"/>
      <c r="O410" s="1"/>
      <c r="P410" s="1"/>
      <c r="Q410" s="1"/>
      <c r="R410" s="1"/>
      <c r="S410" s="1"/>
      <c r="T410" s="1"/>
      <c r="U410" s="1"/>
      <c r="V410" s="1"/>
      <c r="W410" s="1"/>
      <c r="X410" s="1"/>
    </row>
    <row x14ac:dyDescent="0.25" r="411" customHeight="1" ht="18.75">
      <c r="A411" s="1"/>
      <c r="B411" s="1"/>
      <c r="C411" s="3" t="s">
        <v>141</v>
      </c>
      <c r="D411" s="3" t="s">
        <v>475</v>
      </c>
      <c r="E411" s="1"/>
      <c r="F411" s="1"/>
      <c r="G411" s="1"/>
      <c r="H411" s="1"/>
      <c r="I411" s="2"/>
      <c r="J411" s="1"/>
      <c r="K411" s="1"/>
      <c r="L411" s="1"/>
      <c r="M411" s="1"/>
      <c r="N411" s="1"/>
      <c r="O411" s="1"/>
      <c r="P411" s="1"/>
      <c r="Q411" s="1"/>
      <c r="R411" s="1"/>
      <c r="S411" s="1"/>
      <c r="T411" s="1"/>
      <c r="U411" s="1"/>
      <c r="V411" s="1"/>
      <c r="W411" s="1"/>
      <c r="X411" s="1"/>
    </row>
    <row x14ac:dyDescent="0.25" r="412" customHeight="1" ht="18.75">
      <c r="A412" s="1"/>
      <c r="B412" s="1"/>
      <c r="C412" s="3" t="s">
        <v>300</v>
      </c>
      <c r="D412" s="3" t="s">
        <v>476</v>
      </c>
      <c r="E412" s="1"/>
      <c r="F412" s="1"/>
      <c r="G412" s="1"/>
      <c r="H412" s="1"/>
      <c r="I412" s="2"/>
      <c r="J412" s="1"/>
      <c r="K412" s="1"/>
      <c r="L412" s="1"/>
      <c r="M412" s="1"/>
      <c r="N412" s="1"/>
      <c r="O412" s="1"/>
      <c r="P412" s="1"/>
      <c r="Q412" s="1"/>
      <c r="R412" s="1"/>
      <c r="S412" s="1"/>
      <c r="T412" s="1"/>
      <c r="U412" s="1"/>
      <c r="V412" s="1"/>
      <c r="W412" s="1"/>
      <c r="X412" s="1"/>
    </row>
    <row x14ac:dyDescent="0.25" r="413" customHeight="1" ht="18.75">
      <c r="A413" s="1"/>
      <c r="B413" s="1"/>
      <c r="C413" s="3" t="s">
        <v>300</v>
      </c>
      <c r="D413" s="3" t="s">
        <v>477</v>
      </c>
      <c r="E413" s="1"/>
      <c r="F413" s="1"/>
      <c r="G413" s="1"/>
      <c r="H413" s="1"/>
      <c r="I413" s="2"/>
      <c r="J413" s="1"/>
      <c r="K413" s="1"/>
      <c r="L413" s="1"/>
      <c r="M413" s="1"/>
      <c r="N413" s="1"/>
      <c r="O413" s="1"/>
      <c r="P413" s="1"/>
      <c r="Q413" s="1"/>
      <c r="R413" s="1"/>
      <c r="S413" s="1"/>
      <c r="T413" s="1"/>
      <c r="U413" s="1"/>
      <c r="V413" s="1"/>
      <c r="W413" s="1"/>
      <c r="X413" s="1"/>
    </row>
    <row x14ac:dyDescent="0.25" r="414" customHeight="1" ht="18.75">
      <c r="A414" s="1"/>
      <c r="B414" s="1"/>
      <c r="C414" s="3" t="s">
        <v>300</v>
      </c>
      <c r="D414" s="3" t="s">
        <v>478</v>
      </c>
      <c r="E414" s="1"/>
      <c r="F414" s="1"/>
      <c r="G414" s="1"/>
      <c r="H414" s="1"/>
      <c r="I414" s="2"/>
      <c r="J414" s="1"/>
      <c r="K414" s="1"/>
      <c r="L414" s="1"/>
      <c r="M414" s="1"/>
      <c r="N414" s="1"/>
      <c r="O414" s="1"/>
      <c r="P414" s="1"/>
      <c r="Q414" s="1"/>
      <c r="R414" s="1"/>
      <c r="S414" s="1"/>
      <c r="T414" s="1"/>
      <c r="U414" s="1"/>
      <c r="V414" s="1"/>
      <c r="W414" s="1"/>
      <c r="X414" s="1"/>
    </row>
    <row x14ac:dyDescent="0.25" r="415" customHeight="1" ht="18.75">
      <c r="A415" s="1"/>
      <c r="B415" s="1"/>
      <c r="C415" s="3" t="s">
        <v>300</v>
      </c>
      <c r="D415" s="3" t="s">
        <v>479</v>
      </c>
      <c r="E415" s="1"/>
      <c r="F415" s="1"/>
      <c r="G415" s="1"/>
      <c r="H415" s="1"/>
      <c r="I415" s="2"/>
      <c r="J415" s="1"/>
      <c r="K415" s="1"/>
      <c r="L415" s="1"/>
      <c r="M415" s="1"/>
      <c r="N415" s="1"/>
      <c r="O415" s="1"/>
      <c r="P415" s="1"/>
      <c r="Q415" s="1"/>
      <c r="R415" s="1"/>
      <c r="S415" s="1"/>
      <c r="T415" s="1"/>
      <c r="U415" s="1"/>
      <c r="V415" s="1"/>
      <c r="W415" s="1"/>
      <c r="X415" s="1"/>
    </row>
    <row x14ac:dyDescent="0.25" r="416" customHeight="1" ht="18.75">
      <c r="A416" s="1"/>
      <c r="B416" s="1"/>
      <c r="C416" s="3" t="s">
        <v>300</v>
      </c>
      <c r="D416" s="3" t="s">
        <v>480</v>
      </c>
      <c r="E416" s="1"/>
      <c r="F416" s="1"/>
      <c r="G416" s="1"/>
      <c r="H416" s="1"/>
      <c r="I416" s="2"/>
      <c r="J416" s="1"/>
      <c r="K416" s="1"/>
      <c r="L416" s="1"/>
      <c r="M416" s="1"/>
      <c r="N416" s="1"/>
      <c r="O416" s="1"/>
      <c r="P416" s="1"/>
      <c r="Q416" s="1"/>
      <c r="R416" s="1"/>
      <c r="S416" s="1"/>
      <c r="T416" s="1"/>
      <c r="U416" s="1"/>
      <c r="V416" s="1"/>
      <c r="W416" s="1"/>
      <c r="X416" s="1"/>
    </row>
    <row x14ac:dyDescent="0.25" r="417" customHeight="1" ht="18.75">
      <c r="A417" s="1"/>
      <c r="B417" s="1"/>
      <c r="C417" s="3" t="s">
        <v>300</v>
      </c>
      <c r="D417" s="3" t="s">
        <v>481</v>
      </c>
      <c r="E417" s="1"/>
      <c r="F417" s="1"/>
      <c r="G417" s="1"/>
      <c r="H417" s="1"/>
      <c r="I417" s="2"/>
      <c r="J417" s="1"/>
      <c r="K417" s="1"/>
      <c r="L417" s="1"/>
      <c r="M417" s="1"/>
      <c r="N417" s="1"/>
      <c r="O417" s="1"/>
      <c r="P417" s="1"/>
      <c r="Q417" s="1"/>
      <c r="R417" s="1"/>
      <c r="S417" s="1"/>
      <c r="T417" s="1"/>
      <c r="U417" s="1"/>
      <c r="V417" s="1"/>
      <c r="W417" s="1"/>
      <c r="X417" s="1"/>
    </row>
    <row x14ac:dyDescent="0.25" r="418" customHeight="1" ht="18.75">
      <c r="A418" s="1"/>
      <c r="B418" s="1"/>
      <c r="C418" s="3" t="s">
        <v>404</v>
      </c>
      <c r="D418" s="3" t="s">
        <v>482</v>
      </c>
      <c r="E418" s="1"/>
      <c r="F418" s="1"/>
      <c r="G418" s="1"/>
      <c r="H418" s="1"/>
      <c r="I418" s="2"/>
      <c r="J418" s="1"/>
      <c r="K418" s="1"/>
      <c r="L418" s="1"/>
      <c r="M418" s="1"/>
      <c r="N418" s="1"/>
      <c r="O418" s="1"/>
      <c r="P418" s="1"/>
      <c r="Q418" s="1"/>
      <c r="R418" s="1"/>
      <c r="S418" s="1"/>
      <c r="T418" s="1"/>
      <c r="U418" s="1"/>
      <c r="V418" s="1"/>
      <c r="W418" s="1"/>
      <c r="X418" s="1"/>
    </row>
    <row x14ac:dyDescent="0.25" r="419" customHeight="1" ht="18.75">
      <c r="A419" s="1"/>
      <c r="B419" s="1"/>
      <c r="C419" s="3" t="s">
        <v>141</v>
      </c>
      <c r="D419" s="3" t="s">
        <v>483</v>
      </c>
      <c r="E419" s="1"/>
      <c r="F419" s="1"/>
      <c r="G419" s="1"/>
      <c r="H419" s="1"/>
      <c r="I419" s="2"/>
      <c r="J419" s="1"/>
      <c r="K419" s="1"/>
      <c r="L419" s="1"/>
      <c r="M419" s="1"/>
      <c r="N419" s="1"/>
      <c r="O419" s="1"/>
      <c r="P419" s="1"/>
      <c r="Q419" s="1"/>
      <c r="R419" s="1"/>
      <c r="S419" s="1"/>
      <c r="T419" s="1"/>
      <c r="U419" s="1"/>
      <c r="V419" s="1"/>
      <c r="W419" s="1"/>
      <c r="X419" s="1"/>
    </row>
    <row x14ac:dyDescent="0.25" r="420" customHeight="1" ht="18.75">
      <c r="A420" s="1"/>
      <c r="B420" s="1"/>
      <c r="C420" s="3" t="s">
        <v>300</v>
      </c>
      <c r="D420" s="3" t="s">
        <v>484</v>
      </c>
      <c r="E420" s="1"/>
      <c r="F420" s="1"/>
      <c r="G420" s="1"/>
      <c r="H420" s="1"/>
      <c r="I420" s="2"/>
      <c r="J420" s="1"/>
      <c r="K420" s="1"/>
      <c r="L420" s="1"/>
      <c r="M420" s="1"/>
      <c r="N420" s="1"/>
      <c r="O420" s="1"/>
      <c r="P420" s="1"/>
      <c r="Q420" s="1"/>
      <c r="R420" s="1"/>
      <c r="S420" s="1"/>
      <c r="T420" s="1"/>
      <c r="U420" s="1"/>
      <c r="V420" s="1"/>
      <c r="W420" s="1"/>
      <c r="X420" s="1"/>
    </row>
    <row x14ac:dyDescent="0.25" r="421" customHeight="1" ht="18.75">
      <c r="A421" s="1"/>
      <c r="B421" s="1"/>
      <c r="C421" s="3" t="s">
        <v>300</v>
      </c>
      <c r="D421" s="3" t="s">
        <v>485</v>
      </c>
      <c r="E421" s="1"/>
      <c r="F421" s="1"/>
      <c r="G421" s="1"/>
      <c r="H421" s="1"/>
      <c r="I421" s="2"/>
      <c r="J421" s="1"/>
      <c r="K421" s="1"/>
      <c r="L421" s="1"/>
      <c r="M421" s="1"/>
      <c r="N421" s="1"/>
      <c r="O421" s="1"/>
      <c r="P421" s="1"/>
      <c r="Q421" s="1"/>
      <c r="R421" s="1"/>
      <c r="S421" s="1"/>
      <c r="T421" s="1"/>
      <c r="U421" s="1"/>
      <c r="V421" s="1"/>
      <c r="W421" s="1"/>
      <c r="X421" s="1"/>
    </row>
    <row x14ac:dyDescent="0.25" r="422" customHeight="1" ht="18.75">
      <c r="A422" s="1"/>
      <c r="B422" s="1"/>
      <c r="C422" s="3" t="s">
        <v>300</v>
      </c>
      <c r="D422" s="3" t="s">
        <v>486</v>
      </c>
      <c r="E422" s="1"/>
      <c r="F422" s="1"/>
      <c r="G422" s="1"/>
      <c r="H422" s="1"/>
      <c r="I422" s="2"/>
      <c r="J422" s="1"/>
      <c r="K422" s="1"/>
      <c r="L422" s="1"/>
      <c r="M422" s="1"/>
      <c r="N422" s="1"/>
      <c r="O422" s="1"/>
      <c r="P422" s="1"/>
      <c r="Q422" s="1"/>
      <c r="R422" s="1"/>
      <c r="S422" s="1"/>
      <c r="T422" s="1"/>
      <c r="U422" s="1"/>
      <c r="V422" s="1"/>
      <c r="W422" s="1"/>
      <c r="X422" s="1"/>
    </row>
    <row x14ac:dyDescent="0.25" r="423" customHeight="1" ht="18.75">
      <c r="A423" s="1"/>
      <c r="B423" s="1"/>
      <c r="C423" s="3" t="s">
        <v>300</v>
      </c>
      <c r="D423" s="3" t="s">
        <v>487</v>
      </c>
      <c r="E423" s="1"/>
      <c r="F423" s="1"/>
      <c r="G423" s="1"/>
      <c r="H423" s="1"/>
      <c r="I423" s="2"/>
      <c r="J423" s="1"/>
      <c r="K423" s="1"/>
      <c r="L423" s="1"/>
      <c r="M423" s="1"/>
      <c r="N423" s="1"/>
      <c r="O423" s="1"/>
      <c r="P423" s="1"/>
      <c r="Q423" s="1"/>
      <c r="R423" s="1"/>
      <c r="S423" s="1"/>
      <c r="T423" s="1"/>
      <c r="U423" s="1"/>
      <c r="V423" s="1"/>
      <c r="W423" s="1"/>
      <c r="X423" s="1"/>
    </row>
    <row x14ac:dyDescent="0.25" r="424" customHeight="1" ht="18.75">
      <c r="A424" s="1"/>
      <c r="B424" s="1"/>
      <c r="C424" s="3" t="s">
        <v>121</v>
      </c>
      <c r="D424" s="3" t="s">
        <v>488</v>
      </c>
      <c r="E424" s="1"/>
      <c r="F424" s="1"/>
      <c r="G424" s="1"/>
      <c r="H424" s="1"/>
      <c r="I424" s="2"/>
      <c r="J424" s="1"/>
      <c r="K424" s="1"/>
      <c r="L424" s="1"/>
      <c r="M424" s="1"/>
      <c r="N424" s="1"/>
      <c r="O424" s="1"/>
      <c r="P424" s="1"/>
      <c r="Q424" s="1"/>
      <c r="R424" s="1"/>
      <c r="S424" s="1"/>
      <c r="T424" s="1"/>
      <c r="U424" s="1"/>
      <c r="V424" s="1"/>
      <c r="W424" s="1"/>
      <c r="X424" s="1"/>
    </row>
    <row x14ac:dyDescent="0.25" r="425" customHeight="1" ht="18.75">
      <c r="A425" s="1"/>
      <c r="B425" s="1"/>
      <c r="C425" s="3" t="s">
        <v>300</v>
      </c>
      <c r="D425" s="3" t="s">
        <v>489</v>
      </c>
      <c r="E425" s="1"/>
      <c r="F425" s="1"/>
      <c r="G425" s="1"/>
      <c r="H425" s="1"/>
      <c r="I425" s="2"/>
      <c r="J425" s="1"/>
      <c r="K425" s="1"/>
      <c r="L425" s="1"/>
      <c r="M425" s="1"/>
      <c r="N425" s="1"/>
      <c r="O425" s="1"/>
      <c r="P425" s="1"/>
      <c r="Q425" s="1"/>
      <c r="R425" s="1"/>
      <c r="S425" s="1"/>
      <c r="T425" s="1"/>
      <c r="U425" s="1"/>
      <c r="V425" s="1"/>
      <c r="W425" s="1"/>
      <c r="X425" s="1"/>
    </row>
    <row x14ac:dyDescent="0.25" r="426" customHeight="1" ht="18.75">
      <c r="A426" s="1"/>
      <c r="B426" s="1"/>
      <c r="C426" s="3" t="s">
        <v>300</v>
      </c>
      <c r="D426" s="3" t="s">
        <v>490</v>
      </c>
      <c r="E426" s="1"/>
      <c r="F426" s="1"/>
      <c r="G426" s="1"/>
      <c r="H426" s="1"/>
      <c r="I426" s="2"/>
      <c r="J426" s="1"/>
      <c r="K426" s="1"/>
      <c r="L426" s="1"/>
      <c r="M426" s="1"/>
      <c r="N426" s="1"/>
      <c r="O426" s="1"/>
      <c r="P426" s="1"/>
      <c r="Q426" s="1"/>
      <c r="R426" s="1"/>
      <c r="S426" s="1"/>
      <c r="T426" s="1"/>
      <c r="U426" s="1"/>
      <c r="V426" s="1"/>
      <c r="W426" s="1"/>
      <c r="X426" s="1"/>
    </row>
    <row x14ac:dyDescent="0.25" r="427" customHeight="1" ht="18.75">
      <c r="A427" s="1"/>
      <c r="B427" s="1"/>
      <c r="C427" s="3" t="s">
        <v>300</v>
      </c>
      <c r="D427" s="3" t="s">
        <v>491</v>
      </c>
      <c r="E427" s="1"/>
      <c r="F427" s="1"/>
      <c r="G427" s="1"/>
      <c r="H427" s="1"/>
      <c r="I427" s="2"/>
      <c r="J427" s="1"/>
      <c r="K427" s="1"/>
      <c r="L427" s="1"/>
      <c r="M427" s="1"/>
      <c r="N427" s="1"/>
      <c r="O427" s="1"/>
      <c r="P427" s="1"/>
      <c r="Q427" s="1"/>
      <c r="R427" s="1"/>
      <c r="S427" s="1"/>
      <c r="T427" s="1"/>
      <c r="U427" s="1"/>
      <c r="V427" s="1"/>
      <c r="W427" s="1"/>
      <c r="X427" s="1"/>
    </row>
    <row x14ac:dyDescent="0.25" r="428" customHeight="1" ht="18.75">
      <c r="A428" s="1"/>
      <c r="B428" s="1"/>
      <c r="C428" s="3" t="s">
        <v>141</v>
      </c>
      <c r="D428" s="3" t="s">
        <v>492</v>
      </c>
      <c r="E428" s="1"/>
      <c r="F428" s="1"/>
      <c r="G428" s="1"/>
      <c r="H428" s="1"/>
      <c r="I428" s="2"/>
      <c r="J428" s="1"/>
      <c r="K428" s="1"/>
      <c r="L428" s="1"/>
      <c r="M428" s="1"/>
      <c r="N428" s="1"/>
      <c r="O428" s="1"/>
      <c r="P428" s="1"/>
      <c r="Q428" s="1"/>
      <c r="R428" s="1"/>
      <c r="S428" s="1"/>
      <c r="T428" s="1"/>
      <c r="U428" s="1"/>
      <c r="V428" s="1"/>
      <c r="W428" s="1"/>
      <c r="X428" s="1"/>
    </row>
    <row x14ac:dyDescent="0.25" r="429" customHeight="1" ht="18.75">
      <c r="A429" s="1"/>
      <c r="B429" s="1"/>
      <c r="C429" s="3" t="s">
        <v>404</v>
      </c>
      <c r="D429" s="3" t="s">
        <v>493</v>
      </c>
      <c r="E429" s="1"/>
      <c r="F429" s="1"/>
      <c r="G429" s="1"/>
      <c r="H429" s="1"/>
      <c r="I429" s="2"/>
      <c r="J429" s="1"/>
      <c r="K429" s="1"/>
      <c r="L429" s="1"/>
      <c r="M429" s="1"/>
      <c r="N429" s="1"/>
      <c r="O429" s="1"/>
      <c r="P429" s="1"/>
      <c r="Q429" s="1"/>
      <c r="R429" s="1"/>
      <c r="S429" s="1"/>
      <c r="T429" s="1"/>
      <c r="U429" s="1"/>
      <c r="V429" s="1"/>
      <c r="W429" s="1"/>
      <c r="X429" s="1"/>
    </row>
    <row x14ac:dyDescent="0.25" r="430" customHeight="1" ht="18.75">
      <c r="A430" s="1"/>
      <c r="B430" s="1"/>
      <c r="C430" s="3" t="s">
        <v>300</v>
      </c>
      <c r="D430" s="3" t="s">
        <v>494</v>
      </c>
      <c r="E430" s="1"/>
      <c r="F430" s="1"/>
      <c r="G430" s="1"/>
      <c r="H430" s="1"/>
      <c r="I430" s="2"/>
      <c r="J430" s="1"/>
      <c r="K430" s="1"/>
      <c r="L430" s="1"/>
      <c r="M430" s="1"/>
      <c r="N430" s="1"/>
      <c r="O430" s="1"/>
      <c r="P430" s="1"/>
      <c r="Q430" s="1"/>
      <c r="R430" s="1"/>
      <c r="S430" s="1"/>
      <c r="T430" s="1"/>
      <c r="U430" s="1"/>
      <c r="V430" s="1"/>
      <c r="W430" s="1"/>
      <c r="X430" s="1"/>
    </row>
    <row x14ac:dyDescent="0.25" r="431" customHeight="1" ht="18.75">
      <c r="A431" s="1"/>
      <c r="B431" s="1"/>
      <c r="C431" s="3" t="s">
        <v>495</v>
      </c>
      <c r="D431" s="3" t="s">
        <v>496</v>
      </c>
      <c r="E431" s="1"/>
      <c r="F431" s="1"/>
      <c r="G431" s="1"/>
      <c r="H431" s="1"/>
      <c r="I431" s="2"/>
      <c r="J431" s="1"/>
      <c r="K431" s="1"/>
      <c r="L431" s="1"/>
      <c r="M431" s="1"/>
      <c r="N431" s="1"/>
      <c r="O431" s="1"/>
      <c r="P431" s="1"/>
      <c r="Q431" s="1"/>
      <c r="R431" s="1"/>
      <c r="S431" s="1"/>
      <c r="T431" s="1"/>
      <c r="U431" s="1"/>
      <c r="V431" s="1"/>
      <c r="W431" s="1"/>
      <c r="X431" s="1"/>
    </row>
    <row x14ac:dyDescent="0.25" r="432" customHeight="1" ht="18.75">
      <c r="A432" s="1"/>
      <c r="B432" s="1"/>
      <c r="C432" s="3" t="s">
        <v>121</v>
      </c>
      <c r="D432" s="3" t="s">
        <v>497</v>
      </c>
      <c r="E432" s="1"/>
      <c r="F432" s="1"/>
      <c r="G432" s="1"/>
      <c r="H432" s="1"/>
      <c r="I432" s="2"/>
      <c r="J432" s="1"/>
      <c r="K432" s="1"/>
      <c r="L432" s="1"/>
      <c r="M432" s="1"/>
      <c r="N432" s="1"/>
      <c r="O432" s="1"/>
      <c r="P432" s="1"/>
      <c r="Q432" s="1"/>
      <c r="R432" s="1"/>
      <c r="S432" s="1"/>
      <c r="T432" s="1"/>
      <c r="U432" s="1"/>
      <c r="V432" s="1"/>
      <c r="W432" s="1"/>
      <c r="X432" s="1"/>
    </row>
    <row x14ac:dyDescent="0.25" r="433" customHeight="1" ht="18.75">
      <c r="A433" s="1"/>
      <c r="B433" s="1"/>
      <c r="C433" s="3" t="s">
        <v>121</v>
      </c>
      <c r="D433" s="3" t="s">
        <v>498</v>
      </c>
      <c r="E433" s="1"/>
      <c r="F433" s="1"/>
      <c r="G433" s="1"/>
      <c r="H433" s="1"/>
      <c r="I433" s="2"/>
      <c r="J433" s="1"/>
      <c r="K433" s="1"/>
      <c r="L433" s="1"/>
      <c r="M433" s="1"/>
      <c r="N433" s="1"/>
      <c r="O433" s="1"/>
      <c r="P433" s="1"/>
      <c r="Q433" s="1"/>
      <c r="R433" s="1"/>
      <c r="S433" s="1"/>
      <c r="T433" s="1"/>
      <c r="U433" s="1"/>
      <c r="V433" s="1"/>
      <c r="W433" s="1"/>
      <c r="X433" s="1"/>
    </row>
    <row x14ac:dyDescent="0.25" r="434" customHeight="1" ht="18.75">
      <c r="A434" s="1"/>
      <c r="B434" s="1"/>
      <c r="C434" s="3" t="s">
        <v>121</v>
      </c>
      <c r="D434" s="3" t="s">
        <v>499</v>
      </c>
      <c r="E434" s="1"/>
      <c r="F434" s="1"/>
      <c r="G434" s="1"/>
      <c r="H434" s="1"/>
      <c r="I434" s="2"/>
      <c r="J434" s="1"/>
      <c r="K434" s="1"/>
      <c r="L434" s="1"/>
      <c r="M434" s="1"/>
      <c r="N434" s="1"/>
      <c r="O434" s="1"/>
      <c r="P434" s="1"/>
      <c r="Q434" s="1"/>
      <c r="R434" s="1"/>
      <c r="S434" s="1"/>
      <c r="T434" s="1"/>
      <c r="U434" s="1"/>
      <c r="V434" s="1"/>
      <c r="W434" s="1"/>
      <c r="X434" s="1"/>
    </row>
    <row x14ac:dyDescent="0.25" r="435" customHeight="1" ht="18.75">
      <c r="A435" s="1"/>
      <c r="B435" s="1"/>
      <c r="C435" s="3" t="s">
        <v>121</v>
      </c>
      <c r="D435" s="3" t="s">
        <v>500</v>
      </c>
      <c r="E435" s="1"/>
      <c r="F435" s="1"/>
      <c r="G435" s="1"/>
      <c r="H435" s="1"/>
      <c r="I435" s="2"/>
      <c r="J435" s="1"/>
      <c r="K435" s="1"/>
      <c r="L435" s="1"/>
      <c r="M435" s="1"/>
      <c r="N435" s="1"/>
      <c r="O435" s="1"/>
      <c r="P435" s="1"/>
      <c r="Q435" s="1"/>
      <c r="R435" s="1"/>
      <c r="S435" s="1"/>
      <c r="T435" s="1"/>
      <c r="U435" s="1"/>
      <c r="V435" s="1"/>
      <c r="W435" s="1"/>
      <c r="X435" s="1"/>
    </row>
    <row x14ac:dyDescent="0.25" r="436" customHeight="1" ht="18.75">
      <c r="A436" s="1"/>
      <c r="B436" s="1"/>
      <c r="C436" s="3" t="s">
        <v>300</v>
      </c>
      <c r="D436" s="3" t="s">
        <v>501</v>
      </c>
      <c r="E436" s="1"/>
      <c r="F436" s="1"/>
      <c r="G436" s="1"/>
      <c r="H436" s="1"/>
      <c r="I436" s="2"/>
      <c r="J436" s="1"/>
      <c r="K436" s="1"/>
      <c r="L436" s="1"/>
      <c r="M436" s="1"/>
      <c r="N436" s="1"/>
      <c r="O436" s="1"/>
      <c r="P436" s="1"/>
      <c r="Q436" s="1"/>
      <c r="R436" s="1"/>
      <c r="S436" s="1"/>
      <c r="T436" s="1"/>
      <c r="U436" s="1"/>
      <c r="V436" s="1"/>
      <c r="W436" s="1"/>
      <c r="X436" s="1"/>
    </row>
    <row x14ac:dyDescent="0.25" r="437" customHeight="1" ht="18.75">
      <c r="A437" s="1"/>
      <c r="B437" s="1"/>
      <c r="C437" s="3" t="s">
        <v>300</v>
      </c>
      <c r="D437" s="3" t="s">
        <v>502</v>
      </c>
      <c r="E437" s="1"/>
      <c r="F437" s="1"/>
      <c r="G437" s="1"/>
      <c r="H437" s="1"/>
      <c r="I437" s="2"/>
      <c r="J437" s="1"/>
      <c r="K437" s="1"/>
      <c r="L437" s="1"/>
      <c r="M437" s="1"/>
      <c r="N437" s="1"/>
      <c r="O437" s="1"/>
      <c r="P437" s="1"/>
      <c r="Q437" s="1"/>
      <c r="R437" s="1"/>
      <c r="S437" s="1"/>
      <c r="T437" s="1"/>
      <c r="U437" s="1"/>
      <c r="V437" s="1"/>
      <c r="W437" s="1"/>
      <c r="X437" s="1"/>
    </row>
    <row x14ac:dyDescent="0.25" r="438" customHeight="1" ht="18.75">
      <c r="A438" s="1"/>
      <c r="B438" s="1"/>
      <c r="C438" s="3" t="s">
        <v>300</v>
      </c>
      <c r="D438" s="3" t="s">
        <v>503</v>
      </c>
      <c r="E438" s="1"/>
      <c r="F438" s="1"/>
      <c r="G438" s="1"/>
      <c r="H438" s="1"/>
      <c r="I438" s="2"/>
      <c r="J438" s="1"/>
      <c r="K438" s="1"/>
      <c r="L438" s="1"/>
      <c r="M438" s="1"/>
      <c r="N438" s="1"/>
      <c r="O438" s="1"/>
      <c r="P438" s="1"/>
      <c r="Q438" s="1"/>
      <c r="R438" s="1"/>
      <c r="S438" s="1"/>
      <c r="T438" s="1"/>
      <c r="U438" s="1"/>
      <c r="V438" s="1"/>
      <c r="W438" s="1"/>
      <c r="X438" s="1"/>
    </row>
    <row x14ac:dyDescent="0.25" r="439" customHeight="1" ht="18.75">
      <c r="A439" s="1"/>
      <c r="B439" s="1"/>
      <c r="C439" s="3" t="s">
        <v>300</v>
      </c>
      <c r="D439" s="3" t="s">
        <v>504</v>
      </c>
      <c r="E439" s="1"/>
      <c r="F439" s="1"/>
      <c r="G439" s="1"/>
      <c r="H439" s="1"/>
      <c r="I439" s="2"/>
      <c r="J439" s="1"/>
      <c r="K439" s="1"/>
      <c r="L439" s="1"/>
      <c r="M439" s="1"/>
      <c r="N439" s="1"/>
      <c r="O439" s="1"/>
      <c r="P439" s="1"/>
      <c r="Q439" s="1"/>
      <c r="R439" s="1"/>
      <c r="S439" s="1"/>
      <c r="T439" s="1"/>
      <c r="U439" s="1"/>
      <c r="V439" s="1"/>
      <c r="W439" s="1"/>
      <c r="X439" s="1"/>
    </row>
    <row x14ac:dyDescent="0.25" r="440" customHeight="1" ht="18.75">
      <c r="A440" s="1"/>
      <c r="B440" s="1"/>
      <c r="C440" s="3" t="s">
        <v>141</v>
      </c>
      <c r="D440" s="3" t="s">
        <v>505</v>
      </c>
      <c r="E440" s="1"/>
      <c r="F440" s="1"/>
      <c r="G440" s="1"/>
      <c r="H440" s="1"/>
      <c r="I440" s="2"/>
      <c r="J440" s="1"/>
      <c r="K440" s="1"/>
      <c r="L440" s="1"/>
      <c r="M440" s="1"/>
      <c r="N440" s="1"/>
      <c r="O440" s="1"/>
      <c r="P440" s="1"/>
      <c r="Q440" s="1"/>
      <c r="R440" s="1"/>
      <c r="S440" s="1"/>
      <c r="T440" s="1"/>
      <c r="U440" s="1"/>
      <c r="V440" s="1"/>
      <c r="W440" s="1"/>
      <c r="X440" s="1"/>
    </row>
    <row x14ac:dyDescent="0.25" r="441" customHeight="1" ht="18.75">
      <c r="A441" s="1"/>
      <c r="B441" s="1"/>
      <c r="C441" s="3" t="s">
        <v>300</v>
      </c>
      <c r="D441" s="3" t="s">
        <v>506</v>
      </c>
      <c r="E441" s="1"/>
      <c r="F441" s="1"/>
      <c r="G441" s="1"/>
      <c r="H441" s="1"/>
      <c r="I441" s="2"/>
      <c r="J441" s="1"/>
      <c r="K441" s="1"/>
      <c r="L441" s="1"/>
      <c r="M441" s="1"/>
      <c r="N441" s="1"/>
      <c r="O441" s="1"/>
      <c r="P441" s="1"/>
      <c r="Q441" s="1"/>
      <c r="R441" s="1"/>
      <c r="S441" s="1"/>
      <c r="T441" s="1"/>
      <c r="U441" s="1"/>
      <c r="V441" s="1"/>
      <c r="W441" s="1"/>
      <c r="X441" s="1"/>
    </row>
    <row x14ac:dyDescent="0.25" r="442" customHeight="1" ht="18.75">
      <c r="A442" s="1"/>
      <c r="B442" s="1"/>
      <c r="C442" s="3" t="s">
        <v>300</v>
      </c>
      <c r="D442" s="3" t="s">
        <v>507</v>
      </c>
      <c r="E442" s="1"/>
      <c r="F442" s="1"/>
      <c r="G442" s="1"/>
      <c r="H442" s="1"/>
      <c r="I442" s="2"/>
      <c r="J442" s="1"/>
      <c r="K442" s="1"/>
      <c r="L442" s="1"/>
      <c r="M442" s="1"/>
      <c r="N442" s="1"/>
      <c r="O442" s="1"/>
      <c r="P442" s="1"/>
      <c r="Q442" s="1"/>
      <c r="R442" s="1"/>
      <c r="S442" s="1"/>
      <c r="T442" s="1"/>
      <c r="U442" s="1"/>
      <c r="V442" s="1"/>
      <c r="W442" s="1"/>
      <c r="X442" s="1"/>
    </row>
    <row x14ac:dyDescent="0.25" r="443" customHeight="1" ht="18.75">
      <c r="A443" s="1"/>
      <c r="B443" s="1"/>
      <c r="C443" s="3" t="s">
        <v>121</v>
      </c>
      <c r="D443" s="3" t="s">
        <v>508</v>
      </c>
      <c r="E443" s="1"/>
      <c r="F443" s="1"/>
      <c r="G443" s="1"/>
      <c r="H443" s="1"/>
      <c r="I443" s="2"/>
      <c r="J443" s="1"/>
      <c r="K443" s="1"/>
      <c r="L443" s="1"/>
      <c r="M443" s="1"/>
      <c r="N443" s="1"/>
      <c r="O443" s="1"/>
      <c r="P443" s="1"/>
      <c r="Q443" s="1"/>
      <c r="R443" s="1"/>
      <c r="S443" s="1"/>
      <c r="T443" s="1"/>
      <c r="U443" s="1"/>
      <c r="V443" s="1"/>
      <c r="W443" s="1"/>
      <c r="X443" s="1"/>
    </row>
    <row x14ac:dyDescent="0.25" r="444" customHeight="1" ht="18.75">
      <c r="A444" s="1"/>
      <c r="B444" s="1"/>
      <c r="C444" s="3" t="s">
        <v>121</v>
      </c>
      <c r="D444" s="3" t="s">
        <v>509</v>
      </c>
      <c r="E444" s="1"/>
      <c r="F444" s="1"/>
      <c r="G444" s="1"/>
      <c r="H444" s="1"/>
      <c r="I444" s="2"/>
      <c r="J444" s="1"/>
      <c r="K444" s="1"/>
      <c r="L444" s="1"/>
      <c r="M444" s="1"/>
      <c r="N444" s="1"/>
      <c r="O444" s="1"/>
      <c r="P444" s="1"/>
      <c r="Q444" s="1"/>
      <c r="R444" s="1"/>
      <c r="S444" s="1"/>
      <c r="T444" s="1"/>
      <c r="U444" s="1"/>
      <c r="V444" s="1"/>
      <c r="W444" s="1"/>
      <c r="X444" s="1"/>
    </row>
    <row x14ac:dyDescent="0.25" r="445" customHeight="1" ht="18.75">
      <c r="A445" s="1"/>
      <c r="B445" s="1"/>
      <c r="C445" s="3" t="s">
        <v>141</v>
      </c>
      <c r="D445" s="3" t="s">
        <v>510</v>
      </c>
      <c r="E445" s="1"/>
      <c r="F445" s="1"/>
      <c r="G445" s="1"/>
      <c r="H445" s="1"/>
      <c r="I445" s="2"/>
      <c r="J445" s="1"/>
      <c r="K445" s="1"/>
      <c r="L445" s="1"/>
      <c r="M445" s="1"/>
      <c r="N445" s="1"/>
      <c r="O445" s="1"/>
      <c r="P445" s="1"/>
      <c r="Q445" s="1"/>
      <c r="R445" s="1"/>
      <c r="S445" s="1"/>
      <c r="T445" s="1"/>
      <c r="U445" s="1"/>
      <c r="V445" s="1"/>
      <c r="W445" s="1"/>
      <c r="X445" s="1"/>
    </row>
    <row x14ac:dyDescent="0.25" r="446" customHeight="1" ht="18.75">
      <c r="A446" s="1"/>
      <c r="B446" s="1"/>
      <c r="C446" s="3" t="s">
        <v>300</v>
      </c>
      <c r="D446" s="3" t="s">
        <v>511</v>
      </c>
      <c r="E446" s="1"/>
      <c r="F446" s="1"/>
      <c r="G446" s="1"/>
      <c r="H446" s="1"/>
      <c r="I446" s="2"/>
      <c r="J446" s="1"/>
      <c r="K446" s="1"/>
      <c r="L446" s="1"/>
      <c r="M446" s="1"/>
      <c r="N446" s="1"/>
      <c r="O446" s="1"/>
      <c r="P446" s="1"/>
      <c r="Q446" s="1"/>
      <c r="R446" s="1"/>
      <c r="S446" s="1"/>
      <c r="T446" s="1"/>
      <c r="U446" s="1"/>
      <c r="V446" s="1"/>
      <c r="W446" s="1"/>
      <c r="X446" s="1"/>
    </row>
    <row x14ac:dyDescent="0.25" r="447" customHeight="1" ht="18.75">
      <c r="A447" s="1"/>
      <c r="B447" s="1"/>
      <c r="C447" s="3" t="s">
        <v>300</v>
      </c>
      <c r="D447" s="3" t="s">
        <v>512</v>
      </c>
      <c r="E447" s="1"/>
      <c r="F447" s="1"/>
      <c r="G447" s="1"/>
      <c r="H447" s="1"/>
      <c r="I447" s="2"/>
      <c r="J447" s="1"/>
      <c r="K447" s="1"/>
      <c r="L447" s="1"/>
      <c r="M447" s="1"/>
      <c r="N447" s="1"/>
      <c r="O447" s="1"/>
      <c r="P447" s="1"/>
      <c r="Q447" s="1"/>
      <c r="R447" s="1"/>
      <c r="S447" s="1"/>
      <c r="T447" s="1"/>
      <c r="U447" s="1"/>
      <c r="V447" s="1"/>
      <c r="W447" s="1"/>
      <c r="X447" s="1"/>
    </row>
    <row x14ac:dyDescent="0.25" r="448" customHeight="1" ht="18.75">
      <c r="A448" s="1"/>
      <c r="B448" s="1"/>
      <c r="C448" s="3" t="s">
        <v>300</v>
      </c>
      <c r="D448" s="3" t="s">
        <v>513</v>
      </c>
      <c r="E448" s="1"/>
      <c r="F448" s="1"/>
      <c r="G448" s="1"/>
      <c r="H448" s="1"/>
      <c r="I448" s="2"/>
      <c r="J448" s="1"/>
      <c r="K448" s="1"/>
      <c r="L448" s="1"/>
      <c r="M448" s="1"/>
      <c r="N448" s="1"/>
      <c r="O448" s="1"/>
      <c r="P448" s="1"/>
      <c r="Q448" s="1"/>
      <c r="R448" s="1"/>
      <c r="S448" s="1"/>
      <c r="T448" s="1"/>
      <c r="U448" s="1"/>
      <c r="V448" s="1"/>
      <c r="W448" s="1"/>
      <c r="X448" s="1"/>
    </row>
    <row x14ac:dyDescent="0.25" r="449" customHeight="1" ht="18.75">
      <c r="A449" s="1"/>
      <c r="B449" s="1"/>
      <c r="C449" s="3" t="s">
        <v>495</v>
      </c>
      <c r="D449" s="3" t="s">
        <v>514</v>
      </c>
      <c r="E449" s="1"/>
      <c r="F449" s="1"/>
      <c r="G449" s="1"/>
      <c r="H449" s="1"/>
      <c r="I449" s="2"/>
      <c r="J449" s="1"/>
      <c r="K449" s="1"/>
      <c r="L449" s="1"/>
      <c r="M449" s="1"/>
      <c r="N449" s="1"/>
      <c r="O449" s="1"/>
      <c r="P449" s="1"/>
      <c r="Q449" s="1"/>
      <c r="R449" s="1"/>
      <c r="S449" s="1"/>
      <c r="T449" s="1"/>
      <c r="U449" s="1"/>
      <c r="V449" s="1"/>
      <c r="W449" s="1"/>
      <c r="X449" s="1"/>
    </row>
    <row x14ac:dyDescent="0.25" r="450" customHeight="1" ht="18.75">
      <c r="A450" s="1"/>
      <c r="B450" s="1"/>
      <c r="C450" s="3" t="s">
        <v>300</v>
      </c>
      <c r="D450" s="3" t="s">
        <v>515</v>
      </c>
      <c r="E450" s="1"/>
      <c r="F450" s="1"/>
      <c r="G450" s="1"/>
      <c r="H450" s="1"/>
      <c r="I450" s="2"/>
      <c r="J450" s="1"/>
      <c r="K450" s="1"/>
      <c r="L450" s="1"/>
      <c r="M450" s="1"/>
      <c r="N450" s="1"/>
      <c r="O450" s="1"/>
      <c r="P450" s="1"/>
      <c r="Q450" s="1"/>
      <c r="R450" s="1"/>
      <c r="S450" s="1"/>
      <c r="T450" s="1"/>
      <c r="U450" s="1"/>
      <c r="V450" s="1"/>
      <c r="W450" s="1"/>
      <c r="X450" s="1"/>
    </row>
    <row x14ac:dyDescent="0.25" r="451" customHeight="1" ht="18.75">
      <c r="A451" s="1"/>
      <c r="B451" s="1"/>
      <c r="C451" s="3" t="s">
        <v>300</v>
      </c>
      <c r="D451" s="3" t="s">
        <v>516</v>
      </c>
      <c r="E451" s="1"/>
      <c r="F451" s="1"/>
      <c r="G451" s="1"/>
      <c r="H451" s="1"/>
      <c r="I451" s="2"/>
      <c r="J451" s="1"/>
      <c r="K451" s="1"/>
      <c r="L451" s="1"/>
      <c r="M451" s="1"/>
      <c r="N451" s="1"/>
      <c r="O451" s="1"/>
      <c r="P451" s="1"/>
      <c r="Q451" s="1"/>
      <c r="R451" s="1"/>
      <c r="S451" s="1"/>
      <c r="T451" s="1"/>
      <c r="U451" s="1"/>
      <c r="V451" s="1"/>
      <c r="W451" s="1"/>
      <c r="X451" s="1"/>
    </row>
    <row x14ac:dyDescent="0.25" r="452" customHeight="1" ht="18.75">
      <c r="A452" s="1"/>
      <c r="B452" s="1"/>
      <c r="C452" s="3" t="s">
        <v>300</v>
      </c>
      <c r="D452" s="3" t="s">
        <v>517</v>
      </c>
      <c r="E452" s="1"/>
      <c r="F452" s="1"/>
      <c r="G452" s="1"/>
      <c r="H452" s="1"/>
      <c r="I452" s="2"/>
      <c r="J452" s="1"/>
      <c r="K452" s="1"/>
      <c r="L452" s="1"/>
      <c r="M452" s="1"/>
      <c r="N452" s="1"/>
      <c r="O452" s="1"/>
      <c r="P452" s="1"/>
      <c r="Q452" s="1"/>
      <c r="R452" s="1"/>
      <c r="S452" s="1"/>
      <c r="T452" s="1"/>
      <c r="U452" s="1"/>
      <c r="V452" s="1"/>
      <c r="W452" s="1"/>
      <c r="X452" s="1"/>
    </row>
    <row x14ac:dyDescent="0.25" r="453" customHeight="1" ht="18.75">
      <c r="A453" s="1"/>
      <c r="B453" s="1"/>
      <c r="C453" s="3" t="s">
        <v>300</v>
      </c>
      <c r="D453" s="3" t="s">
        <v>518</v>
      </c>
      <c r="E453" s="1"/>
      <c r="F453" s="1"/>
      <c r="G453" s="1"/>
      <c r="H453" s="1"/>
      <c r="I453" s="2"/>
      <c r="J453" s="1"/>
      <c r="K453" s="1"/>
      <c r="L453" s="1"/>
      <c r="M453" s="1"/>
      <c r="N453" s="1"/>
      <c r="O453" s="1"/>
      <c r="P453" s="1"/>
      <c r="Q453" s="1"/>
      <c r="R453" s="1"/>
      <c r="S453" s="1"/>
      <c r="T453" s="1"/>
      <c r="U453" s="1"/>
      <c r="V453" s="1"/>
      <c r="W453" s="1"/>
      <c r="X453" s="1"/>
    </row>
    <row x14ac:dyDescent="0.25" r="454" customHeight="1" ht="18.75">
      <c r="A454" s="1"/>
      <c r="B454" s="1"/>
      <c r="C454" s="3" t="s">
        <v>121</v>
      </c>
      <c r="D454" s="3" t="s">
        <v>519</v>
      </c>
      <c r="E454" s="1"/>
      <c r="F454" s="1"/>
      <c r="G454" s="1"/>
      <c r="H454" s="1"/>
      <c r="I454" s="2"/>
      <c r="J454" s="1"/>
      <c r="K454" s="1"/>
      <c r="L454" s="1"/>
      <c r="M454" s="1"/>
      <c r="N454" s="1"/>
      <c r="O454" s="1"/>
      <c r="P454" s="1"/>
      <c r="Q454" s="1"/>
      <c r="R454" s="1"/>
      <c r="S454" s="1"/>
      <c r="T454" s="1"/>
      <c r="U454" s="1"/>
      <c r="V454" s="1"/>
      <c r="W454" s="1"/>
      <c r="X454" s="1"/>
    </row>
    <row x14ac:dyDescent="0.25" r="455" customHeight="1" ht="18.75">
      <c r="A455" s="1"/>
      <c r="B455" s="1"/>
      <c r="C455" s="3" t="s">
        <v>300</v>
      </c>
      <c r="D455" s="3" t="s">
        <v>80</v>
      </c>
      <c r="E455" s="1"/>
      <c r="F455" s="1"/>
      <c r="G455" s="1"/>
      <c r="H455" s="1"/>
      <c r="I455" s="2"/>
      <c r="J455" s="1"/>
      <c r="K455" s="1"/>
      <c r="L455" s="1"/>
      <c r="M455" s="1"/>
      <c r="N455" s="1"/>
      <c r="O455" s="1"/>
      <c r="P455" s="1"/>
      <c r="Q455" s="1"/>
      <c r="R455" s="1"/>
      <c r="S455" s="1"/>
      <c r="T455" s="1"/>
      <c r="U455" s="1"/>
      <c r="V455" s="1"/>
      <c r="W455" s="1"/>
      <c r="X455" s="1"/>
    </row>
    <row x14ac:dyDescent="0.25" r="456" customHeight="1" ht="18.75">
      <c r="A456" s="1"/>
      <c r="B456" s="1"/>
      <c r="C456" s="3" t="s">
        <v>495</v>
      </c>
      <c r="D456" s="3" t="s">
        <v>520</v>
      </c>
      <c r="E456" s="1"/>
      <c r="F456" s="1"/>
      <c r="G456" s="1"/>
      <c r="H456" s="1"/>
      <c r="I456" s="2"/>
      <c r="J456" s="1"/>
      <c r="K456" s="1"/>
      <c r="L456" s="1"/>
      <c r="M456" s="1"/>
      <c r="N456" s="1"/>
      <c r="O456" s="1"/>
      <c r="P456" s="1"/>
      <c r="Q456" s="1"/>
      <c r="R456" s="1"/>
      <c r="S456" s="1"/>
      <c r="T456" s="1"/>
      <c r="U456" s="1"/>
      <c r="V456" s="1"/>
      <c r="W456" s="1"/>
      <c r="X456" s="1"/>
    </row>
    <row x14ac:dyDescent="0.25" r="457" customHeight="1" ht="18.75">
      <c r="A457" s="1"/>
      <c r="B457" s="1"/>
      <c r="C457" s="3" t="s">
        <v>121</v>
      </c>
      <c r="D457" s="3" t="s">
        <v>521</v>
      </c>
      <c r="E457" s="1"/>
      <c r="F457" s="1"/>
      <c r="G457" s="1"/>
      <c r="H457" s="1"/>
      <c r="I457" s="2"/>
      <c r="J457" s="1"/>
      <c r="K457" s="1"/>
      <c r="L457" s="1"/>
      <c r="M457" s="1"/>
      <c r="N457" s="1"/>
      <c r="O457" s="1"/>
      <c r="P457" s="1"/>
      <c r="Q457" s="1"/>
      <c r="R457" s="1"/>
      <c r="S457" s="1"/>
      <c r="T457" s="1"/>
      <c r="U457" s="1"/>
      <c r="V457" s="1"/>
      <c r="W457" s="1"/>
      <c r="X457" s="1"/>
    </row>
    <row x14ac:dyDescent="0.25" r="458" customHeight="1" ht="18.75">
      <c r="A458" s="1"/>
      <c r="B458" s="1"/>
      <c r="C458" s="3" t="s">
        <v>300</v>
      </c>
      <c r="D458" s="3" t="s">
        <v>522</v>
      </c>
      <c r="E458" s="1"/>
      <c r="F458" s="1"/>
      <c r="G458" s="1"/>
      <c r="H458" s="1"/>
      <c r="I458" s="2"/>
      <c r="J458" s="1"/>
      <c r="K458" s="1"/>
      <c r="L458" s="1"/>
      <c r="M458" s="1"/>
      <c r="N458" s="1"/>
      <c r="O458" s="1"/>
      <c r="P458" s="1"/>
      <c r="Q458" s="1"/>
      <c r="R458" s="1"/>
      <c r="S458" s="1"/>
      <c r="T458" s="1"/>
      <c r="U458" s="1"/>
      <c r="V458" s="1"/>
      <c r="W458" s="1"/>
      <c r="X458" s="1"/>
    </row>
    <row x14ac:dyDescent="0.25" r="459" customHeight="1" ht="18.75">
      <c r="A459" s="1"/>
      <c r="B459" s="1"/>
      <c r="C459" s="3" t="s">
        <v>121</v>
      </c>
      <c r="D459" s="3" t="s">
        <v>523</v>
      </c>
      <c r="E459" s="1"/>
      <c r="F459" s="1"/>
      <c r="G459" s="1"/>
      <c r="H459" s="1"/>
      <c r="I459" s="2"/>
      <c r="J459" s="1"/>
      <c r="K459" s="1"/>
      <c r="L459" s="1"/>
      <c r="M459" s="1"/>
      <c r="N459" s="1"/>
      <c r="O459" s="1"/>
      <c r="P459" s="1"/>
      <c r="Q459" s="1"/>
      <c r="R459" s="1"/>
      <c r="S459" s="1"/>
      <c r="T459" s="1"/>
      <c r="U459" s="1"/>
      <c r="V459" s="1"/>
      <c r="W459" s="1"/>
      <c r="X459" s="1"/>
    </row>
    <row x14ac:dyDescent="0.25" r="460" customHeight="1" ht="18.75">
      <c r="A460" s="1"/>
      <c r="B460" s="1"/>
      <c r="C460" s="3" t="s">
        <v>300</v>
      </c>
      <c r="D460" s="3" t="s">
        <v>524</v>
      </c>
      <c r="E460" s="1"/>
      <c r="F460" s="1"/>
      <c r="G460" s="1"/>
      <c r="H460" s="1"/>
      <c r="I460" s="2"/>
      <c r="J460" s="1"/>
      <c r="K460" s="1"/>
      <c r="L460" s="1"/>
      <c r="M460" s="1"/>
      <c r="N460" s="1"/>
      <c r="O460" s="1"/>
      <c r="P460" s="1"/>
      <c r="Q460" s="1"/>
      <c r="R460" s="1"/>
      <c r="S460" s="1"/>
      <c r="T460" s="1"/>
      <c r="U460" s="1"/>
      <c r="V460" s="1"/>
      <c r="W460" s="1"/>
      <c r="X460" s="1"/>
    </row>
    <row x14ac:dyDescent="0.25" r="461" customHeight="1" ht="18.75">
      <c r="A461" s="1"/>
      <c r="B461" s="1"/>
      <c r="C461" s="3" t="s">
        <v>404</v>
      </c>
      <c r="D461" s="3" t="s">
        <v>525</v>
      </c>
      <c r="E461" s="1"/>
      <c r="F461" s="1"/>
      <c r="G461" s="1"/>
      <c r="H461" s="1"/>
      <c r="I461" s="2"/>
      <c r="J461" s="1"/>
      <c r="K461" s="1"/>
      <c r="L461" s="1"/>
      <c r="M461" s="1"/>
      <c r="N461" s="1"/>
      <c r="O461" s="1"/>
      <c r="P461" s="1"/>
      <c r="Q461" s="1"/>
      <c r="R461" s="1"/>
      <c r="S461" s="1"/>
      <c r="T461" s="1"/>
      <c r="U461" s="1"/>
      <c r="V461" s="1"/>
      <c r="W461" s="1"/>
      <c r="X461" s="1"/>
    </row>
    <row x14ac:dyDescent="0.25" r="462" customHeight="1" ht="18.75">
      <c r="A462" s="1"/>
      <c r="B462" s="1"/>
      <c r="C462" s="3" t="s">
        <v>404</v>
      </c>
      <c r="D462" s="3" t="s">
        <v>526</v>
      </c>
      <c r="E462" s="1"/>
      <c r="F462" s="1"/>
      <c r="G462" s="1"/>
      <c r="H462" s="1"/>
      <c r="I462" s="2"/>
      <c r="J462" s="1"/>
      <c r="K462" s="1"/>
      <c r="L462" s="1"/>
      <c r="M462" s="1"/>
      <c r="N462" s="1"/>
      <c r="O462" s="1"/>
      <c r="P462" s="1"/>
      <c r="Q462" s="1"/>
      <c r="R462" s="1"/>
      <c r="S462" s="1"/>
      <c r="T462" s="1"/>
      <c r="U462" s="1"/>
      <c r="V462" s="1"/>
      <c r="W462" s="1"/>
      <c r="X462" s="1"/>
    </row>
    <row x14ac:dyDescent="0.25" r="463" customHeight="1" ht="18.75">
      <c r="A463" s="1"/>
      <c r="B463" s="1"/>
      <c r="C463" s="3" t="s">
        <v>300</v>
      </c>
      <c r="D463" s="3" t="s">
        <v>527</v>
      </c>
      <c r="E463" s="1"/>
      <c r="F463" s="1"/>
      <c r="G463" s="1"/>
      <c r="H463" s="1"/>
      <c r="I463" s="2"/>
      <c r="J463" s="1"/>
      <c r="K463" s="1"/>
      <c r="L463" s="1"/>
      <c r="M463" s="1"/>
      <c r="N463" s="1"/>
      <c r="O463" s="1"/>
      <c r="P463" s="1"/>
      <c r="Q463" s="1"/>
      <c r="R463" s="1"/>
      <c r="S463" s="1"/>
      <c r="T463" s="1"/>
      <c r="U463" s="1"/>
      <c r="V463" s="1"/>
      <c r="W463" s="1"/>
      <c r="X463" s="1"/>
    </row>
    <row x14ac:dyDescent="0.25" r="464" customHeight="1" ht="18.75">
      <c r="A464" s="1"/>
      <c r="B464" s="1"/>
      <c r="C464" s="3" t="s">
        <v>141</v>
      </c>
      <c r="D464" s="3" t="s">
        <v>528</v>
      </c>
      <c r="E464" s="1"/>
      <c r="F464" s="1"/>
      <c r="G464" s="1"/>
      <c r="H464" s="1"/>
      <c r="I464" s="2"/>
      <c r="J464" s="1"/>
      <c r="K464" s="1"/>
      <c r="L464" s="1"/>
      <c r="M464" s="1"/>
      <c r="N464" s="1"/>
      <c r="O464" s="1"/>
      <c r="P464" s="1"/>
      <c r="Q464" s="1"/>
      <c r="R464" s="1"/>
      <c r="S464" s="1"/>
      <c r="T464" s="1"/>
      <c r="U464" s="1"/>
      <c r="V464" s="1"/>
      <c r="W464" s="1"/>
      <c r="X464" s="1"/>
    </row>
    <row x14ac:dyDescent="0.25" r="465" customHeight="1" ht="18.75">
      <c r="A465" s="1"/>
      <c r="B465" s="1"/>
      <c r="C465" s="3" t="s">
        <v>141</v>
      </c>
      <c r="D465" s="3" t="s">
        <v>529</v>
      </c>
      <c r="E465" s="1"/>
      <c r="F465" s="1"/>
      <c r="G465" s="1"/>
      <c r="H465" s="1"/>
      <c r="I465" s="2"/>
      <c r="J465" s="1"/>
      <c r="K465" s="1"/>
      <c r="L465" s="1"/>
      <c r="M465" s="1"/>
      <c r="N465" s="1"/>
      <c r="O465" s="1"/>
      <c r="P465" s="1"/>
      <c r="Q465" s="1"/>
      <c r="R465" s="1"/>
      <c r="S465" s="1"/>
      <c r="T465" s="1"/>
      <c r="U465" s="1"/>
      <c r="V465" s="1"/>
      <c r="W465" s="1"/>
      <c r="X465" s="1"/>
    </row>
    <row x14ac:dyDescent="0.25" r="466" customHeight="1" ht="18.75">
      <c r="A466" s="1"/>
      <c r="B466" s="1"/>
      <c r="C466" s="3" t="s">
        <v>300</v>
      </c>
      <c r="D466" s="3" t="s">
        <v>530</v>
      </c>
      <c r="E466" s="1"/>
      <c r="F466" s="1"/>
      <c r="G466" s="1"/>
      <c r="H466" s="1"/>
      <c r="I466" s="2"/>
      <c r="J466" s="1"/>
      <c r="K466" s="1"/>
      <c r="L466" s="1"/>
      <c r="M466" s="1"/>
      <c r="N466" s="1"/>
      <c r="O466" s="1"/>
      <c r="P466" s="1"/>
      <c r="Q466" s="1"/>
      <c r="R466" s="1"/>
      <c r="S466" s="1"/>
      <c r="T466" s="1"/>
      <c r="U466" s="1"/>
      <c r="V466" s="1"/>
      <c r="W466" s="1"/>
      <c r="X466" s="1"/>
    </row>
    <row x14ac:dyDescent="0.25" r="467" customHeight="1" ht="18.75">
      <c r="A467" s="1"/>
      <c r="B467" s="1"/>
      <c r="C467" s="3" t="s">
        <v>121</v>
      </c>
      <c r="D467" s="3" t="s">
        <v>531</v>
      </c>
      <c r="E467" s="1"/>
      <c r="F467" s="1"/>
      <c r="G467" s="1"/>
      <c r="H467" s="1"/>
      <c r="I467" s="2"/>
      <c r="J467" s="1"/>
      <c r="K467" s="1"/>
      <c r="L467" s="1"/>
      <c r="M467" s="1"/>
      <c r="N467" s="1"/>
      <c r="O467" s="1"/>
      <c r="P467" s="1"/>
      <c r="Q467" s="1"/>
      <c r="R467" s="1"/>
      <c r="S467" s="1"/>
      <c r="T467" s="1"/>
      <c r="U467" s="1"/>
      <c r="V467" s="1"/>
      <c r="W467" s="1"/>
      <c r="X467" s="1"/>
    </row>
    <row x14ac:dyDescent="0.25" r="468" customHeight="1" ht="18.75">
      <c r="A468" s="1"/>
      <c r="B468" s="1"/>
      <c r="C468" s="3" t="s">
        <v>300</v>
      </c>
      <c r="D468" s="3" t="s">
        <v>532</v>
      </c>
      <c r="E468" s="1"/>
      <c r="F468" s="1"/>
      <c r="G468" s="1"/>
      <c r="H468" s="1"/>
      <c r="I468" s="2"/>
      <c r="J468" s="1"/>
      <c r="K468" s="1"/>
      <c r="L468" s="1"/>
      <c r="M468" s="1"/>
      <c r="N468" s="1"/>
      <c r="O468" s="1"/>
      <c r="P468" s="1"/>
      <c r="Q468" s="1"/>
      <c r="R468" s="1"/>
      <c r="S468" s="1"/>
      <c r="T468" s="1"/>
      <c r="U468" s="1"/>
      <c r="V468" s="1"/>
      <c r="W468" s="1"/>
      <c r="X468" s="1"/>
    </row>
    <row x14ac:dyDescent="0.25" r="469" customHeight="1" ht="18.75">
      <c r="A469" s="1"/>
      <c r="B469" s="1"/>
      <c r="C469" s="3" t="s">
        <v>300</v>
      </c>
      <c r="D469" s="3" t="s">
        <v>533</v>
      </c>
      <c r="E469" s="1"/>
      <c r="F469" s="1"/>
      <c r="G469" s="1"/>
      <c r="H469" s="1"/>
      <c r="I469" s="2"/>
      <c r="J469" s="1"/>
      <c r="K469" s="1"/>
      <c r="L469" s="1"/>
      <c r="M469" s="1"/>
      <c r="N469" s="1"/>
      <c r="O469" s="1"/>
      <c r="P469" s="1"/>
      <c r="Q469" s="1"/>
      <c r="R469" s="1"/>
      <c r="S469" s="1"/>
      <c r="T469" s="1"/>
      <c r="U469" s="1"/>
      <c r="V469" s="1"/>
      <c r="W469" s="1"/>
      <c r="X469" s="1"/>
    </row>
    <row x14ac:dyDescent="0.25" r="470" customHeight="1" ht="18.75">
      <c r="A470" s="1"/>
      <c r="B470" s="1"/>
      <c r="C470" s="3" t="s">
        <v>300</v>
      </c>
      <c r="D470" s="3" t="s">
        <v>534</v>
      </c>
      <c r="E470" s="1"/>
      <c r="F470" s="1"/>
      <c r="G470" s="1"/>
      <c r="H470" s="1"/>
      <c r="I470" s="2"/>
      <c r="J470" s="1"/>
      <c r="K470" s="1"/>
      <c r="L470" s="1"/>
      <c r="M470" s="1"/>
      <c r="N470" s="1"/>
      <c r="O470" s="1"/>
      <c r="P470" s="1"/>
      <c r="Q470" s="1"/>
      <c r="R470" s="1"/>
      <c r="S470" s="1"/>
      <c r="T470" s="1"/>
      <c r="U470" s="1"/>
      <c r="V470" s="1"/>
      <c r="W470" s="1"/>
      <c r="X470" s="1"/>
    </row>
    <row x14ac:dyDescent="0.25" r="471" customHeight="1" ht="18.75">
      <c r="A471" s="1"/>
      <c r="B471" s="1"/>
      <c r="C471" s="3" t="s">
        <v>121</v>
      </c>
      <c r="D471" s="3" t="s">
        <v>535</v>
      </c>
      <c r="E471" s="1"/>
      <c r="F471" s="1"/>
      <c r="G471" s="1"/>
      <c r="H471" s="1"/>
      <c r="I471" s="2"/>
      <c r="J471" s="1"/>
      <c r="K471" s="1"/>
      <c r="L471" s="1"/>
      <c r="M471" s="1"/>
      <c r="N471" s="1"/>
      <c r="O471" s="1"/>
      <c r="P471" s="1"/>
      <c r="Q471" s="1"/>
      <c r="R471" s="1"/>
      <c r="S471" s="1"/>
      <c r="T471" s="1"/>
      <c r="U471" s="1"/>
      <c r="V471" s="1"/>
      <c r="W471" s="1"/>
      <c r="X471" s="1"/>
    </row>
    <row x14ac:dyDescent="0.25" r="472" customHeight="1" ht="18.75">
      <c r="A472" s="1"/>
      <c r="B472" s="1"/>
      <c r="C472" s="3" t="s">
        <v>300</v>
      </c>
      <c r="D472" s="3" t="s">
        <v>536</v>
      </c>
      <c r="E472" s="1"/>
      <c r="F472" s="1"/>
      <c r="G472" s="1"/>
      <c r="H472" s="1"/>
      <c r="I472" s="2"/>
      <c r="J472" s="1"/>
      <c r="K472" s="1"/>
      <c r="L472" s="1"/>
      <c r="M472" s="1"/>
      <c r="N472" s="1"/>
      <c r="O472" s="1"/>
      <c r="P472" s="1"/>
      <c r="Q472" s="1"/>
      <c r="R472" s="1"/>
      <c r="S472" s="1"/>
      <c r="T472" s="1"/>
      <c r="U472" s="1"/>
      <c r="V472" s="1"/>
      <c r="W472" s="1"/>
      <c r="X472" s="1"/>
    </row>
    <row x14ac:dyDescent="0.25" r="473" customHeight="1" ht="18.75">
      <c r="A473" s="1"/>
      <c r="B473" s="1"/>
      <c r="C473" s="3" t="s">
        <v>300</v>
      </c>
      <c r="D473" s="3" t="s">
        <v>537</v>
      </c>
      <c r="E473" s="1"/>
      <c r="F473" s="1"/>
      <c r="G473" s="1"/>
      <c r="H473" s="1"/>
      <c r="I473" s="2"/>
      <c r="J473" s="1"/>
      <c r="K473" s="1"/>
      <c r="L473" s="1"/>
      <c r="M473" s="1"/>
      <c r="N473" s="1"/>
      <c r="O473" s="1"/>
      <c r="P473" s="1"/>
      <c r="Q473" s="1"/>
      <c r="R473" s="1"/>
      <c r="S473" s="1"/>
      <c r="T473" s="1"/>
      <c r="U473" s="1"/>
      <c r="V473" s="1"/>
      <c r="W473" s="1"/>
      <c r="X473" s="1"/>
    </row>
    <row x14ac:dyDescent="0.25" r="474" customHeight="1" ht="18.75">
      <c r="A474" s="1"/>
      <c r="B474" s="1"/>
      <c r="C474" s="3" t="s">
        <v>121</v>
      </c>
      <c r="D474" s="3" t="s">
        <v>538</v>
      </c>
      <c r="E474" s="1"/>
      <c r="F474" s="1"/>
      <c r="G474" s="1"/>
      <c r="H474" s="1"/>
      <c r="I474" s="2"/>
      <c r="J474" s="1"/>
      <c r="K474" s="1"/>
      <c r="L474" s="1"/>
      <c r="M474" s="1"/>
      <c r="N474" s="1"/>
      <c r="O474" s="1"/>
      <c r="P474" s="1"/>
      <c r="Q474" s="1"/>
      <c r="R474" s="1"/>
      <c r="S474" s="1"/>
      <c r="T474" s="1"/>
      <c r="U474" s="1"/>
      <c r="V474" s="1"/>
      <c r="W474" s="1"/>
      <c r="X474" s="1"/>
    </row>
    <row x14ac:dyDescent="0.25" r="475" customHeight="1" ht="18.75">
      <c r="A475" s="1"/>
      <c r="B475" s="1"/>
      <c r="C475" s="3" t="s">
        <v>121</v>
      </c>
      <c r="D475" s="3" t="s">
        <v>539</v>
      </c>
      <c r="E475" s="1"/>
      <c r="F475" s="1"/>
      <c r="G475" s="1"/>
      <c r="H475" s="1"/>
      <c r="I475" s="2"/>
      <c r="J475" s="1"/>
      <c r="K475" s="1"/>
      <c r="L475" s="1"/>
      <c r="M475" s="1"/>
      <c r="N475" s="1"/>
      <c r="O475" s="1"/>
      <c r="P475" s="1"/>
      <c r="Q475" s="1"/>
      <c r="R475" s="1"/>
      <c r="S475" s="1"/>
      <c r="T475" s="1"/>
      <c r="U475" s="1"/>
      <c r="V475" s="1"/>
      <c r="W475" s="1"/>
      <c r="X475" s="1"/>
    </row>
    <row x14ac:dyDescent="0.25" r="476" customHeight="1" ht="18.75">
      <c r="A476" s="1"/>
      <c r="B476" s="1"/>
      <c r="C476" s="3" t="s">
        <v>121</v>
      </c>
      <c r="D476" s="3" t="s">
        <v>540</v>
      </c>
      <c r="E476" s="1"/>
      <c r="F476" s="1"/>
      <c r="G476" s="1"/>
      <c r="H476" s="1"/>
      <c r="I476" s="2"/>
      <c r="J476" s="1"/>
      <c r="K476" s="1"/>
      <c r="L476" s="1"/>
      <c r="M476" s="1"/>
      <c r="N476" s="1"/>
      <c r="O476" s="1"/>
      <c r="P476" s="1"/>
      <c r="Q476" s="1"/>
      <c r="R476" s="1"/>
      <c r="S476" s="1"/>
      <c r="T476" s="1"/>
      <c r="U476" s="1"/>
      <c r="V476" s="1"/>
      <c r="W476" s="1"/>
      <c r="X476" s="1"/>
    </row>
    <row x14ac:dyDescent="0.25" r="477" customHeight="1" ht="18.75">
      <c r="A477" s="1"/>
      <c r="B477" s="1"/>
      <c r="C477" s="3" t="s">
        <v>141</v>
      </c>
      <c r="D477" s="3" t="s">
        <v>541</v>
      </c>
      <c r="E477" s="1"/>
      <c r="F477" s="1"/>
      <c r="G477" s="1"/>
      <c r="H477" s="1"/>
      <c r="I477" s="2"/>
      <c r="J477" s="1"/>
      <c r="K477" s="1"/>
      <c r="L477" s="1"/>
      <c r="M477" s="1"/>
      <c r="N477" s="1"/>
      <c r="O477" s="1"/>
      <c r="P477" s="1"/>
      <c r="Q477" s="1"/>
      <c r="R477" s="1"/>
      <c r="S477" s="1"/>
      <c r="T477" s="1"/>
      <c r="U477" s="1"/>
      <c r="V477" s="1"/>
      <c r="W477" s="1"/>
      <c r="X477" s="1"/>
    </row>
    <row x14ac:dyDescent="0.25" r="478" customHeight="1" ht="18.75">
      <c r="A478" s="1"/>
      <c r="B478" s="1"/>
      <c r="C478" s="3" t="s">
        <v>300</v>
      </c>
      <c r="D478" s="3" t="s">
        <v>542</v>
      </c>
      <c r="E478" s="1"/>
      <c r="F478" s="1"/>
      <c r="G478" s="1"/>
      <c r="H478" s="1"/>
      <c r="I478" s="2"/>
      <c r="J478" s="1"/>
      <c r="K478" s="1"/>
      <c r="L478" s="1"/>
      <c r="M478" s="1"/>
      <c r="N478" s="1"/>
      <c r="O478" s="1"/>
      <c r="P478" s="1"/>
      <c r="Q478" s="1"/>
      <c r="R478" s="1"/>
      <c r="S478" s="1"/>
      <c r="T478" s="1"/>
      <c r="U478" s="1"/>
      <c r="V478" s="1"/>
      <c r="W478" s="1"/>
      <c r="X478" s="1"/>
    </row>
    <row x14ac:dyDescent="0.25" r="479" customHeight="1" ht="18.75">
      <c r="A479" s="1"/>
      <c r="B479" s="1"/>
      <c r="C479" s="3" t="s">
        <v>495</v>
      </c>
      <c r="D479" s="3" t="s">
        <v>543</v>
      </c>
      <c r="E479" s="1"/>
      <c r="F479" s="1"/>
      <c r="G479" s="1"/>
      <c r="H479" s="1"/>
      <c r="I479" s="2"/>
      <c r="J479" s="1"/>
      <c r="K479" s="1"/>
      <c r="L479" s="1"/>
      <c r="M479" s="1"/>
      <c r="N479" s="1"/>
      <c r="O479" s="1"/>
      <c r="P479" s="1"/>
      <c r="Q479" s="1"/>
      <c r="R479" s="1"/>
      <c r="S479" s="1"/>
      <c r="T479" s="1"/>
      <c r="U479" s="1"/>
      <c r="V479" s="1"/>
      <c r="W479" s="1"/>
      <c r="X479" s="1"/>
    </row>
    <row x14ac:dyDescent="0.25" r="480" customHeight="1" ht="18.75">
      <c r="A480" s="1"/>
      <c r="B480" s="1"/>
      <c r="C480" s="3" t="s">
        <v>141</v>
      </c>
      <c r="D480" s="3" t="s">
        <v>544</v>
      </c>
      <c r="E480" s="1"/>
      <c r="F480" s="1"/>
      <c r="G480" s="1"/>
      <c r="H480" s="1"/>
      <c r="I480" s="2"/>
      <c r="J480" s="1"/>
      <c r="K480" s="1"/>
      <c r="L480" s="1"/>
      <c r="M480" s="1"/>
      <c r="N480" s="1"/>
      <c r="O480" s="1"/>
      <c r="P480" s="1"/>
      <c r="Q480" s="1"/>
      <c r="R480" s="1"/>
      <c r="S480" s="1"/>
      <c r="T480" s="1"/>
      <c r="U480" s="1"/>
      <c r="V480" s="1"/>
      <c r="W480" s="1"/>
      <c r="X480" s="1"/>
    </row>
    <row x14ac:dyDescent="0.25" r="481" customHeight="1" ht="18.75">
      <c r="A481" s="1"/>
      <c r="B481" s="1"/>
      <c r="C481" s="3" t="s">
        <v>141</v>
      </c>
      <c r="D481" s="3" t="s">
        <v>545</v>
      </c>
      <c r="E481" s="1"/>
      <c r="F481" s="1"/>
      <c r="G481" s="1"/>
      <c r="H481" s="1"/>
      <c r="I481" s="2"/>
      <c r="J481" s="1"/>
      <c r="K481" s="1"/>
      <c r="L481" s="1"/>
      <c r="M481" s="1"/>
      <c r="N481" s="1"/>
      <c r="O481" s="1"/>
      <c r="P481" s="1"/>
      <c r="Q481" s="1"/>
      <c r="R481" s="1"/>
      <c r="S481" s="1"/>
      <c r="T481" s="1"/>
      <c r="U481" s="1"/>
      <c r="V481" s="1"/>
      <c r="W481" s="1"/>
      <c r="X481" s="1"/>
    </row>
    <row x14ac:dyDescent="0.25" r="482" customHeight="1" ht="18.75">
      <c r="A482" s="1"/>
      <c r="B482" s="1"/>
      <c r="C482" s="3" t="s">
        <v>141</v>
      </c>
      <c r="D482" s="3" t="s">
        <v>546</v>
      </c>
      <c r="E482" s="1"/>
      <c r="F482" s="1"/>
      <c r="G482" s="1"/>
      <c r="H482" s="1"/>
      <c r="I482" s="2"/>
      <c r="J482" s="1"/>
      <c r="K482" s="1"/>
      <c r="L482" s="1"/>
      <c r="M482" s="1"/>
      <c r="N482" s="1"/>
      <c r="O482" s="1"/>
      <c r="P482" s="1"/>
      <c r="Q482" s="1"/>
      <c r="R482" s="1"/>
      <c r="S482" s="1"/>
      <c r="T482" s="1"/>
      <c r="U482" s="1"/>
      <c r="V482" s="1"/>
      <c r="W482" s="1"/>
      <c r="X482" s="1"/>
    </row>
    <row x14ac:dyDescent="0.25" r="483" customHeight="1" ht="18.75">
      <c r="A483" s="1"/>
      <c r="B483" s="1"/>
      <c r="C483" s="3" t="s">
        <v>300</v>
      </c>
      <c r="D483" s="3" t="s">
        <v>547</v>
      </c>
      <c r="E483" s="1"/>
      <c r="F483" s="1"/>
      <c r="G483" s="1"/>
      <c r="H483" s="1"/>
      <c r="I483" s="2"/>
      <c r="J483" s="1"/>
      <c r="K483" s="1"/>
      <c r="L483" s="1"/>
      <c r="M483" s="1"/>
      <c r="N483" s="1"/>
      <c r="O483" s="1"/>
      <c r="P483" s="1"/>
      <c r="Q483" s="1"/>
      <c r="R483" s="1"/>
      <c r="S483" s="1"/>
      <c r="T483" s="1"/>
      <c r="U483" s="1"/>
      <c r="V483" s="1"/>
      <c r="W483" s="1"/>
      <c r="X483" s="1"/>
    </row>
    <row x14ac:dyDescent="0.25" r="484" customHeight="1" ht="18.75">
      <c r="A484" s="1"/>
      <c r="B484" s="1"/>
      <c r="C484" s="3" t="s">
        <v>141</v>
      </c>
      <c r="D484" s="3" t="s">
        <v>548</v>
      </c>
      <c r="E484" s="1"/>
      <c r="F484" s="1"/>
      <c r="G484" s="1"/>
      <c r="H484" s="1"/>
      <c r="I484" s="2"/>
      <c r="J484" s="1"/>
      <c r="K484" s="1"/>
      <c r="L484" s="1"/>
      <c r="M484" s="1"/>
      <c r="N484" s="1"/>
      <c r="O484" s="1"/>
      <c r="P484" s="1"/>
      <c r="Q484" s="1"/>
      <c r="R484" s="1"/>
      <c r="S484" s="1"/>
      <c r="T484" s="1"/>
      <c r="U484" s="1"/>
      <c r="V484" s="1"/>
      <c r="W484" s="1"/>
      <c r="X484" s="1"/>
    </row>
    <row x14ac:dyDescent="0.25" r="485" customHeight="1" ht="18.75">
      <c r="A485" s="1"/>
      <c r="B485" s="1"/>
      <c r="C485" s="3" t="s">
        <v>300</v>
      </c>
      <c r="D485" s="3" t="s">
        <v>549</v>
      </c>
      <c r="E485" s="1"/>
      <c r="F485" s="1"/>
      <c r="G485" s="1"/>
      <c r="H485" s="1"/>
      <c r="I485" s="2"/>
      <c r="J485" s="1"/>
      <c r="K485" s="1"/>
      <c r="L485" s="1"/>
      <c r="M485" s="1"/>
      <c r="N485" s="1"/>
      <c r="O485" s="1"/>
      <c r="P485" s="1"/>
      <c r="Q485" s="1"/>
      <c r="R485" s="1"/>
      <c r="S485" s="1"/>
      <c r="T485" s="1"/>
      <c r="U485" s="1"/>
      <c r="V485" s="1"/>
      <c r="W485" s="1"/>
      <c r="X485" s="1"/>
    </row>
    <row x14ac:dyDescent="0.25" r="486" customHeight="1" ht="18.75">
      <c r="A486" s="1"/>
      <c r="B486" s="1"/>
      <c r="C486" s="3" t="s">
        <v>300</v>
      </c>
      <c r="D486" s="3" t="s">
        <v>550</v>
      </c>
      <c r="E486" s="1"/>
      <c r="F486" s="1"/>
      <c r="G486" s="1"/>
      <c r="H486" s="1"/>
      <c r="I486" s="2"/>
      <c r="J486" s="1"/>
      <c r="K486" s="1"/>
      <c r="L486" s="1"/>
      <c r="M486" s="1"/>
      <c r="N486" s="1"/>
      <c r="O486" s="1"/>
      <c r="P486" s="1"/>
      <c r="Q486" s="1"/>
      <c r="R486" s="1"/>
      <c r="S486" s="1"/>
      <c r="T486" s="1"/>
      <c r="U486" s="1"/>
      <c r="V486" s="1"/>
      <c r="W486" s="1"/>
      <c r="X486" s="1"/>
    </row>
    <row x14ac:dyDescent="0.25" r="487" customHeight="1" ht="18.75">
      <c r="A487" s="1"/>
      <c r="B487" s="1"/>
      <c r="C487" s="3" t="s">
        <v>300</v>
      </c>
      <c r="D487" s="3" t="s">
        <v>551</v>
      </c>
      <c r="E487" s="1"/>
      <c r="F487" s="1"/>
      <c r="G487" s="1"/>
      <c r="H487" s="1"/>
      <c r="I487" s="2"/>
      <c r="J487" s="1"/>
      <c r="K487" s="1"/>
      <c r="L487" s="1"/>
      <c r="M487" s="1"/>
      <c r="N487" s="1"/>
      <c r="O487" s="1"/>
      <c r="P487" s="1"/>
      <c r="Q487" s="1"/>
      <c r="R487" s="1"/>
      <c r="S487" s="1"/>
      <c r="T487" s="1"/>
      <c r="U487" s="1"/>
      <c r="V487" s="1"/>
      <c r="W487" s="1"/>
      <c r="X487" s="1"/>
    </row>
    <row x14ac:dyDescent="0.25" r="488" customHeight="1" ht="18.75">
      <c r="A488" s="1"/>
      <c r="B488" s="1"/>
      <c r="C488" s="3" t="s">
        <v>141</v>
      </c>
      <c r="D488" s="3" t="s">
        <v>552</v>
      </c>
      <c r="E488" s="1"/>
      <c r="F488" s="1"/>
      <c r="G488" s="1"/>
      <c r="H488" s="1"/>
      <c r="I488" s="2"/>
      <c r="J488" s="1"/>
      <c r="K488" s="1"/>
      <c r="L488" s="1"/>
      <c r="M488" s="1"/>
      <c r="N488" s="1"/>
      <c r="O488" s="1"/>
      <c r="P488" s="1"/>
      <c r="Q488" s="1"/>
      <c r="R488" s="1"/>
      <c r="S488" s="1"/>
      <c r="T488" s="1"/>
      <c r="U488" s="1"/>
      <c r="V488" s="1"/>
      <c r="W488" s="1"/>
      <c r="X488" s="1"/>
    </row>
    <row x14ac:dyDescent="0.25" r="489" customHeight="1" ht="18.75">
      <c r="A489" s="1"/>
      <c r="B489" s="1"/>
      <c r="C489" s="3" t="s">
        <v>121</v>
      </c>
      <c r="D489" s="3" t="s">
        <v>553</v>
      </c>
      <c r="E489" s="1"/>
      <c r="F489" s="1"/>
      <c r="G489" s="1"/>
      <c r="H489" s="1"/>
      <c r="I489" s="2"/>
      <c r="J489" s="1"/>
      <c r="K489" s="1"/>
      <c r="L489" s="1"/>
      <c r="M489" s="1"/>
      <c r="N489" s="1"/>
      <c r="O489" s="1"/>
      <c r="P489" s="1"/>
      <c r="Q489" s="1"/>
      <c r="R489" s="1"/>
      <c r="S489" s="1"/>
      <c r="T489" s="1"/>
      <c r="U489" s="1"/>
      <c r="V489" s="1"/>
      <c r="W489" s="1"/>
      <c r="X489" s="1"/>
    </row>
    <row x14ac:dyDescent="0.25" r="490" customHeight="1" ht="18.75">
      <c r="A490" s="1"/>
      <c r="B490" s="1"/>
      <c r="C490" s="3" t="s">
        <v>300</v>
      </c>
      <c r="D490" s="3" t="s">
        <v>554</v>
      </c>
      <c r="E490" s="1"/>
      <c r="F490" s="1"/>
      <c r="G490" s="1"/>
      <c r="H490" s="1"/>
      <c r="I490" s="2"/>
      <c r="J490" s="1"/>
      <c r="K490" s="1"/>
      <c r="L490" s="1"/>
      <c r="M490" s="1"/>
      <c r="N490" s="1"/>
      <c r="O490" s="1"/>
      <c r="P490" s="1"/>
      <c r="Q490" s="1"/>
      <c r="R490" s="1"/>
      <c r="S490" s="1"/>
      <c r="T490" s="1"/>
      <c r="U490" s="1"/>
      <c r="V490" s="1"/>
      <c r="W490" s="1"/>
      <c r="X490" s="1"/>
    </row>
    <row x14ac:dyDescent="0.25" r="491" customHeight="1" ht="18.75">
      <c r="A491" s="1"/>
      <c r="B491" s="1"/>
      <c r="C491" s="3" t="s">
        <v>300</v>
      </c>
      <c r="D491" s="3" t="s">
        <v>555</v>
      </c>
      <c r="E491" s="1"/>
      <c r="F491" s="1"/>
      <c r="G491" s="1"/>
      <c r="H491" s="1"/>
      <c r="I491" s="2"/>
      <c r="J491" s="1"/>
      <c r="K491" s="1"/>
      <c r="L491" s="1"/>
      <c r="M491" s="1"/>
      <c r="N491" s="1"/>
      <c r="O491" s="1"/>
      <c r="P491" s="1"/>
      <c r="Q491" s="1"/>
      <c r="R491" s="1"/>
      <c r="S491" s="1"/>
      <c r="T491" s="1"/>
      <c r="U491" s="1"/>
      <c r="V491" s="1"/>
      <c r="W491" s="1"/>
      <c r="X491" s="1"/>
    </row>
    <row x14ac:dyDescent="0.25" r="492" customHeight="1" ht="18.75">
      <c r="A492" s="1"/>
      <c r="B492" s="1"/>
      <c r="C492" s="3" t="s">
        <v>300</v>
      </c>
      <c r="D492" s="3" t="s">
        <v>556</v>
      </c>
      <c r="E492" s="1"/>
      <c r="F492" s="1"/>
      <c r="G492" s="1"/>
      <c r="H492" s="1"/>
      <c r="I492" s="2"/>
      <c r="J492" s="1"/>
      <c r="K492" s="1"/>
      <c r="L492" s="1"/>
      <c r="M492" s="1"/>
      <c r="N492" s="1"/>
      <c r="O492" s="1"/>
      <c r="P492" s="1"/>
      <c r="Q492" s="1"/>
      <c r="R492" s="1"/>
      <c r="S492" s="1"/>
      <c r="T492" s="1"/>
      <c r="U492" s="1"/>
      <c r="V492" s="1"/>
      <c r="W492" s="1"/>
      <c r="X492" s="1"/>
    </row>
    <row x14ac:dyDescent="0.25" r="493" customHeight="1" ht="18.75">
      <c r="A493" s="1"/>
      <c r="B493" s="1"/>
      <c r="C493" s="3" t="s">
        <v>404</v>
      </c>
      <c r="D493" s="3" t="s">
        <v>557</v>
      </c>
      <c r="E493" s="1"/>
      <c r="F493" s="1"/>
      <c r="G493" s="1"/>
      <c r="H493" s="1"/>
      <c r="I493" s="2"/>
      <c r="J493" s="1"/>
      <c r="K493" s="1"/>
      <c r="L493" s="1"/>
      <c r="M493" s="1"/>
      <c r="N493" s="1"/>
      <c r="O493" s="1"/>
      <c r="P493" s="1"/>
      <c r="Q493" s="1"/>
      <c r="R493" s="1"/>
      <c r="S493" s="1"/>
      <c r="T493" s="1"/>
      <c r="U493" s="1"/>
      <c r="V493" s="1"/>
      <c r="W493" s="1"/>
      <c r="X493" s="1"/>
    </row>
    <row x14ac:dyDescent="0.25" r="494" customHeight="1" ht="18.75">
      <c r="A494" s="1"/>
      <c r="B494" s="1"/>
      <c r="C494" s="3" t="s">
        <v>141</v>
      </c>
      <c r="D494" s="3" t="s">
        <v>558</v>
      </c>
      <c r="E494" s="1"/>
      <c r="F494" s="1"/>
      <c r="G494" s="1"/>
      <c r="H494" s="1"/>
      <c r="I494" s="2"/>
      <c r="J494" s="1"/>
      <c r="K494" s="1"/>
      <c r="L494" s="1"/>
      <c r="M494" s="1"/>
      <c r="N494" s="1"/>
      <c r="O494" s="1"/>
      <c r="P494" s="1"/>
      <c r="Q494" s="1"/>
      <c r="R494" s="1"/>
      <c r="S494" s="1"/>
      <c r="T494" s="1"/>
      <c r="U494" s="1"/>
      <c r="V494" s="1"/>
      <c r="W494" s="1"/>
      <c r="X494" s="1"/>
    </row>
    <row x14ac:dyDescent="0.25" r="495" customHeight="1" ht="18.75">
      <c r="A495" s="1"/>
      <c r="B495" s="1"/>
      <c r="C495" s="3" t="s">
        <v>121</v>
      </c>
      <c r="D495" s="3" t="s">
        <v>559</v>
      </c>
      <c r="E495" s="1"/>
      <c r="F495" s="1"/>
      <c r="G495" s="1"/>
      <c r="H495" s="1"/>
      <c r="I495" s="2"/>
      <c r="J495" s="1"/>
      <c r="K495" s="1"/>
      <c r="L495" s="1"/>
      <c r="M495" s="1"/>
      <c r="N495" s="1"/>
      <c r="O495" s="1"/>
      <c r="P495" s="1"/>
      <c r="Q495" s="1"/>
      <c r="R495" s="1"/>
      <c r="S495" s="1"/>
      <c r="T495" s="1"/>
      <c r="U495" s="1"/>
      <c r="V495" s="1"/>
      <c r="W495" s="1"/>
      <c r="X495" s="1"/>
    </row>
    <row x14ac:dyDescent="0.25" r="496" customHeight="1" ht="18.75">
      <c r="A496" s="1"/>
      <c r="B496" s="1"/>
      <c r="C496" s="3" t="s">
        <v>300</v>
      </c>
      <c r="D496" s="3" t="s">
        <v>560</v>
      </c>
      <c r="E496" s="1"/>
      <c r="F496" s="1"/>
      <c r="G496" s="1"/>
      <c r="H496" s="1"/>
      <c r="I496" s="2"/>
      <c r="J496" s="1"/>
      <c r="K496" s="1"/>
      <c r="L496" s="1"/>
      <c r="M496" s="1"/>
      <c r="N496" s="1"/>
      <c r="O496" s="1"/>
      <c r="P496" s="1"/>
      <c r="Q496" s="1"/>
      <c r="R496" s="1"/>
      <c r="S496" s="1"/>
      <c r="T496" s="1"/>
      <c r="U496" s="1"/>
      <c r="V496" s="1"/>
      <c r="W496" s="1"/>
      <c r="X496" s="1"/>
    </row>
    <row x14ac:dyDescent="0.25" r="497" customHeight="1" ht="18.75">
      <c r="A497" s="1"/>
      <c r="B497" s="1"/>
      <c r="C497" s="3" t="s">
        <v>300</v>
      </c>
      <c r="D497" s="3" t="s">
        <v>561</v>
      </c>
      <c r="E497" s="1"/>
      <c r="F497" s="1"/>
      <c r="G497" s="1"/>
      <c r="H497" s="1"/>
      <c r="I497" s="2"/>
      <c r="J497" s="1"/>
      <c r="K497" s="1"/>
      <c r="L497" s="1"/>
      <c r="M497" s="1"/>
      <c r="N497" s="1"/>
      <c r="O497" s="1"/>
      <c r="P497" s="1"/>
      <c r="Q497" s="1"/>
      <c r="R497" s="1"/>
      <c r="S497" s="1"/>
      <c r="T497" s="1"/>
      <c r="U497" s="1"/>
      <c r="V497" s="1"/>
      <c r="W497" s="1"/>
      <c r="X497" s="1"/>
    </row>
    <row x14ac:dyDescent="0.25" r="498" customHeight="1" ht="18.75">
      <c r="A498" s="1"/>
      <c r="B498" s="1"/>
      <c r="C498" s="3" t="s">
        <v>300</v>
      </c>
      <c r="D498" s="3" t="s">
        <v>562</v>
      </c>
      <c r="E498" s="1"/>
      <c r="F498" s="1"/>
      <c r="G498" s="1"/>
      <c r="H498" s="1"/>
      <c r="I498" s="2"/>
      <c r="J498" s="1"/>
      <c r="K498" s="1"/>
      <c r="L498" s="1"/>
      <c r="M498" s="1"/>
      <c r="N498" s="1"/>
      <c r="O498" s="1"/>
      <c r="P498" s="1"/>
      <c r="Q498" s="1"/>
      <c r="R498" s="1"/>
      <c r="S498" s="1"/>
      <c r="T498" s="1"/>
      <c r="U498" s="1"/>
      <c r="V498" s="1"/>
      <c r="W498" s="1"/>
      <c r="X498" s="1"/>
    </row>
    <row x14ac:dyDescent="0.25" r="499" customHeight="1" ht="18.75">
      <c r="A499" s="1"/>
      <c r="B499" s="1"/>
      <c r="C499" s="3" t="s">
        <v>141</v>
      </c>
      <c r="D499" s="3" t="s">
        <v>563</v>
      </c>
      <c r="E499" s="1"/>
      <c r="F499" s="1"/>
      <c r="G499" s="1"/>
      <c r="H499" s="1"/>
      <c r="I499" s="2"/>
      <c r="J499" s="1"/>
      <c r="K499" s="1"/>
      <c r="L499" s="1"/>
      <c r="M499" s="1"/>
      <c r="N499" s="1"/>
      <c r="O499" s="1"/>
      <c r="P499" s="1"/>
      <c r="Q499" s="1"/>
      <c r="R499" s="1"/>
      <c r="S499" s="1"/>
      <c r="T499" s="1"/>
      <c r="U499" s="1"/>
      <c r="V499" s="1"/>
      <c r="W499" s="1"/>
      <c r="X499" s="1"/>
    </row>
    <row x14ac:dyDescent="0.25" r="500" customHeight="1" ht="18.75">
      <c r="A500" s="1"/>
      <c r="B500" s="1"/>
      <c r="C500" s="3" t="s">
        <v>300</v>
      </c>
      <c r="D500" s="3" t="s">
        <v>564</v>
      </c>
      <c r="E500" s="1"/>
      <c r="F500" s="1"/>
      <c r="G500" s="1"/>
      <c r="H500" s="1"/>
      <c r="I500" s="2"/>
      <c r="J500" s="1"/>
      <c r="K500" s="1"/>
      <c r="L500" s="1"/>
      <c r="M500" s="1"/>
      <c r="N500" s="1"/>
      <c r="O500" s="1"/>
      <c r="P500" s="1"/>
      <c r="Q500" s="1"/>
      <c r="R500" s="1"/>
      <c r="S500" s="1"/>
      <c r="T500" s="1"/>
      <c r="U500" s="1"/>
      <c r="V500" s="1"/>
      <c r="W500" s="1"/>
      <c r="X500" s="1"/>
    </row>
    <row x14ac:dyDescent="0.25" r="501" customHeight="1" ht="18.75">
      <c r="A501" s="1"/>
      <c r="B501" s="1"/>
      <c r="C501" s="3" t="s">
        <v>300</v>
      </c>
      <c r="D501" s="3" t="s">
        <v>565</v>
      </c>
      <c r="E501" s="1"/>
      <c r="F501" s="1"/>
      <c r="G501" s="1"/>
      <c r="H501" s="1"/>
      <c r="I501" s="2"/>
      <c r="J501" s="1"/>
      <c r="K501" s="1"/>
      <c r="L501" s="1"/>
      <c r="M501" s="1"/>
      <c r="N501" s="1"/>
      <c r="O501" s="1"/>
      <c r="P501" s="1"/>
      <c r="Q501" s="1"/>
      <c r="R501" s="1"/>
      <c r="S501" s="1"/>
      <c r="T501" s="1"/>
      <c r="U501" s="1"/>
      <c r="V501" s="1"/>
      <c r="W501" s="1"/>
      <c r="X501" s="1"/>
    </row>
    <row x14ac:dyDescent="0.25" r="502" customHeight="1" ht="18.75">
      <c r="A502" s="1"/>
      <c r="B502" s="1"/>
      <c r="C502" s="3" t="s">
        <v>121</v>
      </c>
      <c r="D502" s="3" t="s">
        <v>566</v>
      </c>
      <c r="E502" s="1"/>
      <c r="F502" s="1"/>
      <c r="G502" s="1"/>
      <c r="H502" s="1"/>
      <c r="I502" s="2"/>
      <c r="J502" s="1"/>
      <c r="K502" s="1"/>
      <c r="L502" s="1"/>
      <c r="M502" s="1"/>
      <c r="N502" s="1"/>
      <c r="O502" s="1"/>
      <c r="P502" s="1"/>
      <c r="Q502" s="1"/>
      <c r="R502" s="1"/>
      <c r="S502" s="1"/>
      <c r="T502" s="1"/>
      <c r="U502" s="1"/>
      <c r="V502" s="1"/>
      <c r="W502" s="1"/>
      <c r="X502" s="1"/>
    </row>
    <row x14ac:dyDescent="0.25" r="503" customHeight="1" ht="18.75">
      <c r="A503" s="1"/>
      <c r="B503" s="1"/>
      <c r="C503" s="3" t="s">
        <v>300</v>
      </c>
      <c r="D503" s="3" t="s">
        <v>567</v>
      </c>
      <c r="E503" s="1"/>
      <c r="F503" s="1"/>
      <c r="G503" s="1"/>
      <c r="H503" s="1"/>
      <c r="I503" s="2"/>
      <c r="J503" s="1"/>
      <c r="K503" s="1"/>
      <c r="L503" s="1"/>
      <c r="M503" s="1"/>
      <c r="N503" s="1"/>
      <c r="O503" s="1"/>
      <c r="P503" s="1"/>
      <c r="Q503" s="1"/>
      <c r="R503" s="1"/>
      <c r="S503" s="1"/>
      <c r="T503" s="1"/>
      <c r="U503" s="1"/>
      <c r="V503" s="1"/>
      <c r="W503" s="1"/>
      <c r="X503" s="1"/>
    </row>
    <row x14ac:dyDescent="0.25" r="504" customHeight="1" ht="18.75">
      <c r="A504" s="1"/>
      <c r="B504" s="1"/>
      <c r="C504" s="3" t="s">
        <v>121</v>
      </c>
      <c r="D504" s="3" t="s">
        <v>568</v>
      </c>
      <c r="E504" s="1"/>
      <c r="F504" s="1"/>
      <c r="G504" s="1"/>
      <c r="H504" s="1"/>
      <c r="I504" s="2"/>
      <c r="J504" s="1"/>
      <c r="K504" s="1"/>
      <c r="L504" s="1"/>
      <c r="M504" s="1"/>
      <c r="N504" s="1"/>
      <c r="O504" s="1"/>
      <c r="P504" s="1"/>
      <c r="Q504" s="1"/>
      <c r="R504" s="1"/>
      <c r="S504" s="1"/>
      <c r="T504" s="1"/>
      <c r="U504" s="1"/>
      <c r="V504" s="1"/>
      <c r="W504" s="1"/>
      <c r="X504" s="1"/>
    </row>
    <row x14ac:dyDescent="0.25" r="505" customHeight="1" ht="18.75">
      <c r="A505" s="1"/>
      <c r="B505" s="1"/>
      <c r="C505" s="3" t="s">
        <v>300</v>
      </c>
      <c r="D505" s="3" t="s">
        <v>569</v>
      </c>
      <c r="E505" s="1"/>
      <c r="F505" s="1"/>
      <c r="G505" s="1"/>
      <c r="H505" s="1"/>
      <c r="I505" s="2"/>
      <c r="J505" s="1"/>
      <c r="K505" s="1"/>
      <c r="L505" s="1"/>
      <c r="M505" s="1"/>
      <c r="N505" s="1"/>
      <c r="O505" s="1"/>
      <c r="P505" s="1"/>
      <c r="Q505" s="1"/>
      <c r="R505" s="1"/>
      <c r="S505" s="1"/>
      <c r="T505" s="1"/>
      <c r="U505" s="1"/>
      <c r="V505" s="1"/>
      <c r="W505" s="1"/>
      <c r="X505" s="1"/>
    </row>
    <row x14ac:dyDescent="0.25" r="506" customHeight="1" ht="18.75">
      <c r="A506" s="1"/>
      <c r="B506" s="1"/>
      <c r="C506" s="3" t="s">
        <v>141</v>
      </c>
      <c r="D506" s="3" t="s">
        <v>570</v>
      </c>
      <c r="E506" s="1"/>
      <c r="F506" s="1"/>
      <c r="G506" s="1"/>
      <c r="H506" s="1"/>
      <c r="I506" s="2"/>
      <c r="J506" s="1"/>
      <c r="K506" s="1"/>
      <c r="L506" s="1"/>
      <c r="M506" s="1"/>
      <c r="N506" s="1"/>
      <c r="O506" s="1"/>
      <c r="P506" s="1"/>
      <c r="Q506" s="1"/>
      <c r="R506" s="1"/>
      <c r="S506" s="1"/>
      <c r="T506" s="1"/>
      <c r="U506" s="1"/>
      <c r="V506" s="1"/>
      <c r="W506" s="1"/>
      <c r="X506" s="1"/>
    </row>
    <row x14ac:dyDescent="0.25" r="507" customHeight="1" ht="18.75">
      <c r="A507" s="1"/>
      <c r="B507" s="1"/>
      <c r="C507" s="3" t="s">
        <v>141</v>
      </c>
      <c r="D507" s="3" t="s">
        <v>571</v>
      </c>
      <c r="E507" s="1"/>
      <c r="F507" s="1"/>
      <c r="G507" s="1"/>
      <c r="H507" s="1"/>
      <c r="I507" s="2"/>
      <c r="J507" s="1"/>
      <c r="K507" s="1"/>
      <c r="L507" s="1"/>
      <c r="M507" s="1"/>
      <c r="N507" s="1"/>
      <c r="O507" s="1"/>
      <c r="P507" s="1"/>
      <c r="Q507" s="1"/>
      <c r="R507" s="1"/>
      <c r="S507" s="1"/>
      <c r="T507" s="1"/>
      <c r="U507" s="1"/>
      <c r="V507" s="1"/>
      <c r="W507" s="1"/>
      <c r="X507" s="1"/>
    </row>
    <row x14ac:dyDescent="0.25" r="508" customHeight="1" ht="18.75">
      <c r="A508" s="1"/>
      <c r="B508" s="1"/>
      <c r="C508" s="3" t="s">
        <v>300</v>
      </c>
      <c r="D508" s="3" t="s">
        <v>572</v>
      </c>
      <c r="E508" s="1"/>
      <c r="F508" s="1"/>
      <c r="G508" s="1"/>
      <c r="H508" s="1"/>
      <c r="I508" s="2"/>
      <c r="J508" s="1"/>
      <c r="K508" s="1"/>
      <c r="L508" s="1"/>
      <c r="M508" s="1"/>
      <c r="N508" s="1"/>
      <c r="O508" s="1"/>
      <c r="P508" s="1"/>
      <c r="Q508" s="1"/>
      <c r="R508" s="1"/>
      <c r="S508" s="1"/>
      <c r="T508" s="1"/>
      <c r="U508" s="1"/>
      <c r="V508" s="1"/>
      <c r="W508" s="1"/>
      <c r="X508" s="1"/>
    </row>
    <row x14ac:dyDescent="0.25" r="509" customHeight="1" ht="18.75">
      <c r="A509" s="1"/>
      <c r="B509" s="1"/>
      <c r="C509" s="3" t="s">
        <v>300</v>
      </c>
      <c r="D509" s="3" t="s">
        <v>573</v>
      </c>
      <c r="E509" s="1"/>
      <c r="F509" s="1"/>
      <c r="G509" s="1"/>
      <c r="H509" s="1"/>
      <c r="I509" s="2"/>
      <c r="J509" s="1"/>
      <c r="K509" s="1"/>
      <c r="L509" s="1"/>
      <c r="M509" s="1"/>
      <c r="N509" s="1"/>
      <c r="O509" s="1"/>
      <c r="P509" s="1"/>
      <c r="Q509" s="1"/>
      <c r="R509" s="1"/>
      <c r="S509" s="1"/>
      <c r="T509" s="1"/>
      <c r="U509" s="1"/>
      <c r="V509" s="1"/>
      <c r="W509" s="1"/>
      <c r="X509" s="1"/>
    </row>
    <row x14ac:dyDescent="0.25" r="510" customHeight="1" ht="18.75">
      <c r="A510" s="1"/>
      <c r="B510" s="1"/>
      <c r="C510" s="3" t="s">
        <v>121</v>
      </c>
      <c r="D510" s="3" t="s">
        <v>574</v>
      </c>
      <c r="E510" s="1"/>
      <c r="F510" s="1"/>
      <c r="G510" s="1"/>
      <c r="H510" s="1"/>
      <c r="I510" s="2"/>
      <c r="J510" s="1"/>
      <c r="K510" s="1"/>
      <c r="L510" s="1"/>
      <c r="M510" s="1"/>
      <c r="N510" s="1"/>
      <c r="O510" s="1"/>
      <c r="P510" s="1"/>
      <c r="Q510" s="1"/>
      <c r="R510" s="1"/>
      <c r="S510" s="1"/>
      <c r="T510" s="1"/>
      <c r="U510" s="1"/>
      <c r="V510" s="1"/>
      <c r="W510" s="1"/>
      <c r="X510" s="1"/>
    </row>
    <row x14ac:dyDescent="0.25" r="511" customHeight="1" ht="18.75">
      <c r="A511" s="1"/>
      <c r="B511" s="1"/>
      <c r="C511" s="3" t="s">
        <v>495</v>
      </c>
      <c r="D511" s="3" t="s">
        <v>575</v>
      </c>
      <c r="E511" s="1"/>
      <c r="F511" s="1"/>
      <c r="G511" s="1"/>
      <c r="H511" s="1"/>
      <c r="I511" s="2"/>
      <c r="J511" s="1"/>
      <c r="K511" s="1"/>
      <c r="L511" s="1"/>
      <c r="M511" s="1"/>
      <c r="N511" s="1"/>
      <c r="O511" s="1"/>
      <c r="P511" s="1"/>
      <c r="Q511" s="1"/>
      <c r="R511" s="1"/>
      <c r="S511" s="1"/>
      <c r="T511" s="1"/>
      <c r="U511" s="1"/>
      <c r="V511" s="1"/>
      <c r="W511" s="1"/>
      <c r="X511" s="1"/>
    </row>
    <row x14ac:dyDescent="0.25" r="512" customHeight="1" ht="18.75">
      <c r="A512" s="1"/>
      <c r="B512" s="1"/>
      <c r="C512" s="3" t="s">
        <v>141</v>
      </c>
      <c r="D512" s="3" t="s">
        <v>576</v>
      </c>
      <c r="E512" s="1"/>
      <c r="F512" s="1"/>
      <c r="G512" s="1"/>
      <c r="H512" s="1"/>
      <c r="I512" s="2"/>
      <c r="J512" s="1"/>
      <c r="K512" s="1"/>
      <c r="L512" s="1"/>
      <c r="M512" s="1"/>
      <c r="N512" s="1"/>
      <c r="O512" s="1"/>
      <c r="P512" s="1"/>
      <c r="Q512" s="1"/>
      <c r="R512" s="1"/>
      <c r="S512" s="1"/>
      <c r="T512" s="1"/>
      <c r="U512" s="1"/>
      <c r="V512" s="1"/>
      <c r="W512" s="1"/>
      <c r="X512" s="1"/>
    </row>
    <row x14ac:dyDescent="0.25" r="513" customHeight="1" ht="18.75">
      <c r="A513" s="1"/>
      <c r="B513" s="1"/>
      <c r="C513" s="3" t="s">
        <v>300</v>
      </c>
      <c r="D513" s="3" t="s">
        <v>577</v>
      </c>
      <c r="E513" s="1"/>
      <c r="F513" s="1"/>
      <c r="G513" s="1"/>
      <c r="H513" s="1"/>
      <c r="I513" s="2"/>
      <c r="J513" s="1"/>
      <c r="K513" s="1"/>
      <c r="L513" s="1"/>
      <c r="M513" s="1"/>
      <c r="N513" s="1"/>
      <c r="O513" s="1"/>
      <c r="P513" s="1"/>
      <c r="Q513" s="1"/>
      <c r="R513" s="1"/>
      <c r="S513" s="1"/>
      <c r="T513" s="1"/>
      <c r="U513" s="1"/>
      <c r="V513" s="1"/>
      <c r="W513" s="1"/>
      <c r="X513" s="1"/>
    </row>
    <row x14ac:dyDescent="0.25" r="514" customHeight="1" ht="18.75">
      <c r="A514" s="1"/>
      <c r="B514" s="1"/>
      <c r="C514" s="3" t="s">
        <v>300</v>
      </c>
      <c r="D514" s="3" t="s">
        <v>578</v>
      </c>
      <c r="E514" s="1"/>
      <c r="F514" s="1"/>
      <c r="G514" s="1"/>
      <c r="H514" s="1"/>
      <c r="I514" s="2"/>
      <c r="J514" s="1"/>
      <c r="K514" s="1"/>
      <c r="L514" s="1"/>
      <c r="M514" s="1"/>
      <c r="N514" s="1"/>
      <c r="O514" s="1"/>
      <c r="P514" s="1"/>
      <c r="Q514" s="1"/>
      <c r="R514" s="1"/>
      <c r="S514" s="1"/>
      <c r="T514" s="1"/>
      <c r="U514" s="1"/>
      <c r="V514" s="1"/>
      <c r="W514" s="1"/>
      <c r="X514" s="1"/>
    </row>
    <row x14ac:dyDescent="0.25" r="515" customHeight="1" ht="18.75">
      <c r="A515" s="1"/>
      <c r="B515" s="1"/>
      <c r="C515" s="3" t="s">
        <v>300</v>
      </c>
      <c r="D515" s="3" t="s">
        <v>579</v>
      </c>
      <c r="E515" s="1"/>
      <c r="F515" s="1"/>
      <c r="G515" s="1"/>
      <c r="H515" s="1"/>
      <c r="I515" s="2"/>
      <c r="J515" s="1"/>
      <c r="K515" s="1"/>
      <c r="L515" s="1"/>
      <c r="M515" s="1"/>
      <c r="N515" s="1"/>
      <c r="O515" s="1"/>
      <c r="P515" s="1"/>
      <c r="Q515" s="1"/>
      <c r="R515" s="1"/>
      <c r="S515" s="1"/>
      <c r="T515" s="1"/>
      <c r="U515" s="1"/>
      <c r="V515" s="1"/>
      <c r="W515" s="1"/>
      <c r="X515" s="1"/>
    </row>
    <row x14ac:dyDescent="0.25" r="516" customHeight="1" ht="18.75">
      <c r="A516" s="1"/>
      <c r="B516" s="1"/>
      <c r="C516" s="3" t="s">
        <v>141</v>
      </c>
      <c r="D516" s="3" t="s">
        <v>580</v>
      </c>
      <c r="E516" s="1"/>
      <c r="F516" s="1"/>
      <c r="G516" s="1"/>
      <c r="H516" s="1"/>
      <c r="I516" s="2"/>
      <c r="J516" s="1"/>
      <c r="K516" s="1"/>
      <c r="L516" s="1"/>
      <c r="M516" s="1"/>
      <c r="N516" s="1"/>
      <c r="O516" s="1"/>
      <c r="P516" s="1"/>
      <c r="Q516" s="1"/>
      <c r="R516" s="1"/>
      <c r="S516" s="1"/>
      <c r="T516" s="1"/>
      <c r="U516" s="1"/>
      <c r="V516" s="1"/>
      <c r="W516" s="1"/>
      <c r="X516" s="1"/>
    </row>
    <row x14ac:dyDescent="0.25" r="517" customHeight="1" ht="18.75">
      <c r="A517" s="1"/>
      <c r="B517" s="1"/>
      <c r="C517" s="3" t="s">
        <v>121</v>
      </c>
      <c r="D517" s="3" t="s">
        <v>581</v>
      </c>
      <c r="E517" s="1"/>
      <c r="F517" s="1"/>
      <c r="G517" s="1"/>
      <c r="H517" s="1"/>
      <c r="I517" s="2"/>
      <c r="J517" s="1"/>
      <c r="K517" s="1"/>
      <c r="L517" s="1"/>
      <c r="M517" s="1"/>
      <c r="N517" s="1"/>
      <c r="O517" s="1"/>
      <c r="P517" s="1"/>
      <c r="Q517" s="1"/>
      <c r="R517" s="1"/>
      <c r="S517" s="1"/>
      <c r="T517" s="1"/>
      <c r="U517" s="1"/>
      <c r="V517" s="1"/>
      <c r="W517" s="1"/>
      <c r="X517" s="1"/>
    </row>
    <row x14ac:dyDescent="0.25" r="518" customHeight="1" ht="18.75">
      <c r="A518" s="1"/>
      <c r="B518" s="1"/>
      <c r="C518" s="3" t="s">
        <v>300</v>
      </c>
      <c r="D518" s="3" t="s">
        <v>582</v>
      </c>
      <c r="E518" s="1"/>
      <c r="F518" s="1"/>
      <c r="G518" s="1"/>
      <c r="H518" s="1"/>
      <c r="I518" s="2"/>
      <c r="J518" s="1"/>
      <c r="K518" s="1"/>
      <c r="L518" s="1"/>
      <c r="M518" s="1"/>
      <c r="N518" s="1"/>
      <c r="O518" s="1"/>
      <c r="P518" s="1"/>
      <c r="Q518" s="1"/>
      <c r="R518" s="1"/>
      <c r="S518" s="1"/>
      <c r="T518" s="1"/>
      <c r="U518" s="1"/>
      <c r="V518" s="1"/>
      <c r="W518" s="1"/>
      <c r="X518" s="1"/>
    </row>
    <row x14ac:dyDescent="0.25" r="519" customHeight="1" ht="18.75">
      <c r="A519" s="1"/>
      <c r="B519" s="1"/>
      <c r="C519" s="3" t="s">
        <v>300</v>
      </c>
      <c r="D519" s="3" t="s">
        <v>583</v>
      </c>
      <c r="E519" s="1"/>
      <c r="F519" s="1"/>
      <c r="G519" s="1"/>
      <c r="H519" s="1"/>
      <c r="I519" s="2"/>
      <c r="J519" s="1"/>
      <c r="K519" s="1"/>
      <c r="L519" s="1"/>
      <c r="M519" s="1"/>
      <c r="N519" s="1"/>
      <c r="O519" s="1"/>
      <c r="P519" s="1"/>
      <c r="Q519" s="1"/>
      <c r="R519" s="1"/>
      <c r="S519" s="1"/>
      <c r="T519" s="1"/>
      <c r="U519" s="1"/>
      <c r="V519" s="1"/>
      <c r="W519" s="1"/>
      <c r="X519" s="1"/>
    </row>
    <row x14ac:dyDescent="0.25" r="520" customHeight="1" ht="18.75">
      <c r="A520" s="1"/>
      <c r="B520" s="1"/>
      <c r="C520" s="3" t="s">
        <v>300</v>
      </c>
      <c r="D520" s="3" t="s">
        <v>584</v>
      </c>
      <c r="E520" s="1"/>
      <c r="F520" s="1"/>
      <c r="G520" s="1"/>
      <c r="H520" s="1"/>
      <c r="I520" s="2"/>
      <c r="J520" s="1"/>
      <c r="K520" s="1"/>
      <c r="L520" s="1"/>
      <c r="M520" s="1"/>
      <c r="N520" s="1"/>
      <c r="O520" s="1"/>
      <c r="P520" s="1"/>
      <c r="Q520" s="1"/>
      <c r="R520" s="1"/>
      <c r="S520" s="1"/>
      <c r="T520" s="1"/>
      <c r="U520" s="1"/>
      <c r="V520" s="1"/>
      <c r="W520" s="1"/>
      <c r="X520" s="1"/>
    </row>
    <row x14ac:dyDescent="0.25" r="521" customHeight="1" ht="18.75">
      <c r="A521" s="1"/>
      <c r="B521" s="1"/>
      <c r="C521" s="3" t="s">
        <v>300</v>
      </c>
      <c r="D521" s="3" t="s">
        <v>585</v>
      </c>
      <c r="E521" s="1"/>
      <c r="F521" s="1"/>
      <c r="G521" s="1"/>
      <c r="H521" s="1"/>
      <c r="I521" s="2"/>
      <c r="J521" s="1"/>
      <c r="K521" s="1"/>
      <c r="L521" s="1"/>
      <c r="M521" s="1"/>
      <c r="N521" s="1"/>
      <c r="O521" s="1"/>
      <c r="P521" s="1"/>
      <c r="Q521" s="1"/>
      <c r="R521" s="1"/>
      <c r="S521" s="1"/>
      <c r="T521" s="1"/>
      <c r="U521" s="1"/>
      <c r="V521" s="1"/>
      <c r="W521" s="1"/>
      <c r="X521" s="1"/>
    </row>
    <row x14ac:dyDescent="0.25" r="522" customHeight="1" ht="18.75">
      <c r="A522" s="1"/>
      <c r="B522" s="1"/>
      <c r="C522" s="3" t="s">
        <v>300</v>
      </c>
      <c r="D522" s="3" t="s">
        <v>586</v>
      </c>
      <c r="E522" s="1"/>
      <c r="F522" s="1"/>
      <c r="G522" s="1"/>
      <c r="H522" s="1"/>
      <c r="I522" s="2"/>
      <c r="J522" s="1"/>
      <c r="K522" s="1"/>
      <c r="L522" s="1"/>
      <c r="M522" s="1"/>
      <c r="N522" s="1"/>
      <c r="O522" s="1"/>
      <c r="P522" s="1"/>
      <c r="Q522" s="1"/>
      <c r="R522" s="1"/>
      <c r="S522" s="1"/>
      <c r="T522" s="1"/>
      <c r="U522" s="1"/>
      <c r="V522" s="1"/>
      <c r="W522" s="1"/>
      <c r="X522" s="1"/>
    </row>
    <row x14ac:dyDescent="0.25" r="523" customHeight="1" ht="18.75">
      <c r="A523" s="1"/>
      <c r="B523" s="1"/>
      <c r="C523" s="3" t="s">
        <v>300</v>
      </c>
      <c r="D523" s="3" t="s">
        <v>493</v>
      </c>
      <c r="E523" s="1"/>
      <c r="F523" s="1"/>
      <c r="G523" s="1"/>
      <c r="H523" s="1"/>
      <c r="I523" s="2"/>
      <c r="J523" s="1"/>
      <c r="K523" s="1"/>
      <c r="L523" s="1"/>
      <c r="M523" s="1"/>
      <c r="N523" s="1"/>
      <c r="O523" s="1"/>
      <c r="P523" s="1"/>
      <c r="Q523" s="1"/>
      <c r="R523" s="1"/>
      <c r="S523" s="1"/>
      <c r="T523" s="1"/>
      <c r="U523" s="1"/>
      <c r="V523" s="1"/>
      <c r="W523" s="1"/>
      <c r="X523" s="1"/>
    </row>
    <row x14ac:dyDescent="0.25" r="524" customHeight="1" ht="18.75">
      <c r="A524" s="1"/>
      <c r="B524" s="1"/>
      <c r="C524" s="3" t="s">
        <v>121</v>
      </c>
      <c r="D524" s="3" t="s">
        <v>587</v>
      </c>
      <c r="E524" s="1"/>
      <c r="F524" s="1"/>
      <c r="G524" s="1"/>
      <c r="H524" s="1"/>
      <c r="I524" s="2"/>
      <c r="J524" s="1"/>
      <c r="K524" s="1"/>
      <c r="L524" s="1"/>
      <c r="M524" s="1"/>
      <c r="N524" s="1"/>
      <c r="O524" s="1"/>
      <c r="P524" s="1"/>
      <c r="Q524" s="1"/>
      <c r="R524" s="1"/>
      <c r="S524" s="1"/>
      <c r="T524" s="1"/>
      <c r="U524" s="1"/>
      <c r="V524" s="1"/>
      <c r="W524" s="1"/>
      <c r="X524" s="1"/>
    </row>
    <row x14ac:dyDescent="0.25" r="525" customHeight="1" ht="18.75">
      <c r="A525" s="1"/>
      <c r="B525" s="1"/>
      <c r="C525" s="3" t="s">
        <v>300</v>
      </c>
      <c r="D525" s="3" t="s">
        <v>588</v>
      </c>
      <c r="E525" s="1"/>
      <c r="F525" s="1"/>
      <c r="G525" s="1"/>
      <c r="H525" s="1"/>
      <c r="I525" s="2"/>
      <c r="J525" s="1"/>
      <c r="K525" s="1"/>
      <c r="L525" s="1"/>
      <c r="M525" s="1"/>
      <c r="N525" s="1"/>
      <c r="O525" s="1"/>
      <c r="P525" s="1"/>
      <c r="Q525" s="1"/>
      <c r="R525" s="1"/>
      <c r="S525" s="1"/>
      <c r="T525" s="1"/>
      <c r="U525" s="1"/>
      <c r="V525" s="1"/>
      <c r="W525" s="1"/>
      <c r="X525" s="1"/>
    </row>
    <row x14ac:dyDescent="0.25" r="526" customHeight="1" ht="18.75">
      <c r="A526" s="1"/>
      <c r="B526" s="1"/>
      <c r="C526" s="3" t="s">
        <v>121</v>
      </c>
      <c r="D526" s="3" t="s">
        <v>589</v>
      </c>
      <c r="E526" s="1"/>
      <c r="F526" s="1"/>
      <c r="G526" s="1"/>
      <c r="H526" s="1"/>
      <c r="I526" s="2"/>
      <c r="J526" s="1"/>
      <c r="K526" s="1"/>
      <c r="L526" s="1"/>
      <c r="M526" s="1"/>
      <c r="N526" s="1"/>
      <c r="O526" s="1"/>
      <c r="P526" s="1"/>
      <c r="Q526" s="1"/>
      <c r="R526" s="1"/>
      <c r="S526" s="1"/>
      <c r="T526" s="1"/>
      <c r="U526" s="1"/>
      <c r="V526" s="1"/>
      <c r="W526" s="1"/>
      <c r="X526" s="1"/>
    </row>
    <row x14ac:dyDescent="0.25" r="527" customHeight="1" ht="18.75">
      <c r="A527" s="1"/>
      <c r="B527" s="1"/>
      <c r="C527" s="3" t="s">
        <v>300</v>
      </c>
      <c r="D527" s="3" t="s">
        <v>590</v>
      </c>
      <c r="E527" s="1"/>
      <c r="F527" s="1"/>
      <c r="G527" s="1"/>
      <c r="H527" s="1"/>
      <c r="I527" s="2"/>
      <c r="J527" s="1"/>
      <c r="K527" s="1"/>
      <c r="L527" s="1"/>
      <c r="M527" s="1"/>
      <c r="N527" s="1"/>
      <c r="O527" s="1"/>
      <c r="P527" s="1"/>
      <c r="Q527" s="1"/>
      <c r="R527" s="1"/>
      <c r="S527" s="1"/>
      <c r="T527" s="1"/>
      <c r="U527" s="1"/>
      <c r="V527" s="1"/>
      <c r="W527" s="1"/>
      <c r="X527" s="1"/>
    </row>
    <row x14ac:dyDescent="0.25" r="528" customHeight="1" ht="18.75">
      <c r="A528" s="1"/>
      <c r="B528" s="1"/>
      <c r="C528" s="3" t="s">
        <v>300</v>
      </c>
      <c r="D528" s="3" t="s">
        <v>591</v>
      </c>
      <c r="E528" s="1"/>
      <c r="F528" s="1"/>
      <c r="G528" s="1"/>
      <c r="H528" s="1"/>
      <c r="I528" s="2"/>
      <c r="J528" s="1"/>
      <c r="K528" s="1"/>
      <c r="L528" s="1"/>
      <c r="M528" s="1"/>
      <c r="N528" s="1"/>
      <c r="O528" s="1"/>
      <c r="P528" s="1"/>
      <c r="Q528" s="1"/>
      <c r="R528" s="1"/>
      <c r="S528" s="1"/>
      <c r="T528" s="1"/>
      <c r="U528" s="1"/>
      <c r="V528" s="1"/>
      <c r="W528" s="1"/>
      <c r="X528" s="1"/>
    </row>
    <row x14ac:dyDescent="0.25" r="529" customHeight="1" ht="18.75">
      <c r="A529" s="1"/>
      <c r="B529" s="1"/>
      <c r="C529" s="3" t="s">
        <v>300</v>
      </c>
      <c r="D529" s="3" t="s">
        <v>592</v>
      </c>
      <c r="E529" s="1"/>
      <c r="F529" s="1"/>
      <c r="G529" s="1"/>
      <c r="H529" s="1"/>
      <c r="I529" s="2"/>
      <c r="J529" s="1"/>
      <c r="K529" s="1"/>
      <c r="L529" s="1"/>
      <c r="M529" s="1"/>
      <c r="N529" s="1"/>
      <c r="O529" s="1"/>
      <c r="P529" s="1"/>
      <c r="Q529" s="1"/>
      <c r="R529" s="1"/>
      <c r="S529" s="1"/>
      <c r="T529" s="1"/>
      <c r="U529" s="1"/>
      <c r="V529" s="1"/>
      <c r="W529" s="1"/>
      <c r="X529" s="1"/>
    </row>
    <row x14ac:dyDescent="0.25" r="530" customHeight="1" ht="18.75">
      <c r="A530" s="1"/>
      <c r="B530" s="1"/>
      <c r="C530" s="3" t="s">
        <v>141</v>
      </c>
      <c r="D530" s="3" t="s">
        <v>593</v>
      </c>
      <c r="E530" s="1"/>
      <c r="F530" s="1"/>
      <c r="G530" s="1"/>
      <c r="H530" s="1"/>
      <c r="I530" s="2"/>
      <c r="J530" s="1"/>
      <c r="K530" s="1"/>
      <c r="L530" s="1"/>
      <c r="M530" s="1"/>
      <c r="N530" s="1"/>
      <c r="O530" s="1"/>
      <c r="P530" s="1"/>
      <c r="Q530" s="1"/>
      <c r="R530" s="1"/>
      <c r="S530" s="1"/>
      <c r="T530" s="1"/>
      <c r="U530" s="1"/>
      <c r="V530" s="1"/>
      <c r="W530" s="1"/>
      <c r="X530" s="1"/>
    </row>
    <row x14ac:dyDescent="0.25" r="531" customHeight="1" ht="18.75">
      <c r="A531" s="1"/>
      <c r="B531" s="1"/>
      <c r="C531" s="3" t="s">
        <v>300</v>
      </c>
      <c r="D531" s="3" t="s">
        <v>594</v>
      </c>
      <c r="E531" s="1"/>
      <c r="F531" s="1"/>
      <c r="G531" s="1"/>
      <c r="H531" s="1"/>
      <c r="I531" s="2"/>
      <c r="J531" s="1"/>
      <c r="K531" s="1"/>
      <c r="L531" s="1"/>
      <c r="M531" s="1"/>
      <c r="N531" s="1"/>
      <c r="O531" s="1"/>
      <c r="P531" s="1"/>
      <c r="Q531" s="1"/>
      <c r="R531" s="1"/>
      <c r="S531" s="1"/>
      <c r="T531" s="1"/>
      <c r="U531" s="1"/>
      <c r="V531" s="1"/>
      <c r="W531" s="1"/>
      <c r="X531" s="1"/>
    </row>
    <row x14ac:dyDescent="0.25" r="532" customHeight="1" ht="18.75">
      <c r="A532" s="1"/>
      <c r="B532" s="1"/>
      <c r="C532" s="3" t="s">
        <v>300</v>
      </c>
      <c r="D532" s="3" t="s">
        <v>595</v>
      </c>
      <c r="E532" s="1"/>
      <c r="F532" s="1"/>
      <c r="G532" s="1"/>
      <c r="H532" s="1"/>
      <c r="I532" s="2"/>
      <c r="J532" s="1"/>
      <c r="K532" s="1"/>
      <c r="L532" s="1"/>
      <c r="M532" s="1"/>
      <c r="N532" s="1"/>
      <c r="O532" s="1"/>
      <c r="P532" s="1"/>
      <c r="Q532" s="1"/>
      <c r="R532" s="1"/>
      <c r="S532" s="1"/>
      <c r="T532" s="1"/>
      <c r="U532" s="1"/>
      <c r="V532" s="1"/>
      <c r="W532" s="1"/>
      <c r="X532" s="1"/>
    </row>
    <row x14ac:dyDescent="0.25" r="533" customHeight="1" ht="18.75">
      <c r="A533" s="1"/>
      <c r="B533" s="1"/>
      <c r="C533" s="3" t="s">
        <v>141</v>
      </c>
      <c r="D533" s="3" t="s">
        <v>596</v>
      </c>
      <c r="E533" s="1"/>
      <c r="F533" s="1"/>
      <c r="G533" s="1"/>
      <c r="H533" s="1"/>
      <c r="I533" s="2"/>
      <c r="J533" s="1"/>
      <c r="K533" s="1"/>
      <c r="L533" s="1"/>
      <c r="M533" s="1"/>
      <c r="N533" s="1"/>
      <c r="O533" s="1"/>
      <c r="P533" s="1"/>
      <c r="Q533" s="1"/>
      <c r="R533" s="1"/>
      <c r="S533" s="1"/>
      <c r="T533" s="1"/>
      <c r="U533" s="1"/>
      <c r="V533" s="1"/>
      <c r="W533" s="1"/>
      <c r="X533" s="1"/>
    </row>
    <row x14ac:dyDescent="0.25" r="534" customHeight="1" ht="18.75">
      <c r="A534" s="1"/>
      <c r="B534" s="1"/>
      <c r="C534" s="3" t="s">
        <v>121</v>
      </c>
      <c r="D534" s="3" t="s">
        <v>597</v>
      </c>
      <c r="E534" s="1"/>
      <c r="F534" s="1"/>
      <c r="G534" s="1"/>
      <c r="H534" s="1"/>
      <c r="I534" s="2"/>
      <c r="J534" s="1"/>
      <c r="K534" s="1"/>
      <c r="L534" s="1"/>
      <c r="M534" s="1"/>
      <c r="N534" s="1"/>
      <c r="O534" s="1"/>
      <c r="P534" s="1"/>
      <c r="Q534" s="1"/>
      <c r="R534" s="1"/>
      <c r="S534" s="1"/>
      <c r="T534" s="1"/>
      <c r="U534" s="1"/>
      <c r="V534" s="1"/>
      <c r="W534" s="1"/>
      <c r="X534" s="1"/>
    </row>
    <row x14ac:dyDescent="0.25" r="535" customHeight="1" ht="18.75">
      <c r="A535" s="1"/>
      <c r="B535" s="1"/>
      <c r="C535" s="3" t="s">
        <v>300</v>
      </c>
      <c r="D535" s="3" t="s">
        <v>598</v>
      </c>
      <c r="E535" s="1"/>
      <c r="F535" s="1"/>
      <c r="G535" s="1"/>
      <c r="H535" s="1"/>
      <c r="I535" s="2"/>
      <c r="J535" s="1"/>
      <c r="K535" s="1"/>
      <c r="L535" s="1"/>
      <c r="M535" s="1"/>
      <c r="N535" s="1"/>
      <c r="O535" s="1"/>
      <c r="P535" s="1"/>
      <c r="Q535" s="1"/>
      <c r="R535" s="1"/>
      <c r="S535" s="1"/>
      <c r="T535" s="1"/>
      <c r="U535" s="1"/>
      <c r="V535" s="1"/>
      <c r="W535" s="1"/>
      <c r="X535" s="1"/>
    </row>
    <row x14ac:dyDescent="0.25" r="536" customHeight="1" ht="18.75">
      <c r="A536" s="1"/>
      <c r="B536" s="1"/>
      <c r="C536" s="3" t="s">
        <v>300</v>
      </c>
      <c r="D536" s="3" t="s">
        <v>599</v>
      </c>
      <c r="E536" s="1"/>
      <c r="F536" s="1"/>
      <c r="G536" s="1"/>
      <c r="H536" s="1"/>
      <c r="I536" s="2"/>
      <c r="J536" s="1"/>
      <c r="K536" s="1"/>
      <c r="L536" s="1"/>
      <c r="M536" s="1"/>
      <c r="N536" s="1"/>
      <c r="O536" s="1"/>
      <c r="P536" s="1"/>
      <c r="Q536" s="1"/>
      <c r="R536" s="1"/>
      <c r="S536" s="1"/>
      <c r="T536" s="1"/>
      <c r="U536" s="1"/>
      <c r="V536" s="1"/>
      <c r="W536" s="1"/>
      <c r="X536" s="1"/>
    </row>
    <row x14ac:dyDescent="0.25" r="537" customHeight="1" ht="18.75">
      <c r="A537" s="1"/>
      <c r="B537" s="1"/>
      <c r="C537" s="3" t="s">
        <v>141</v>
      </c>
      <c r="D537" s="3" t="s">
        <v>600</v>
      </c>
      <c r="E537" s="1"/>
      <c r="F537" s="1"/>
      <c r="G537" s="1"/>
      <c r="H537" s="1"/>
      <c r="I537" s="2"/>
      <c r="J537" s="1"/>
      <c r="K537" s="1"/>
      <c r="L537" s="1"/>
      <c r="M537" s="1"/>
      <c r="N537" s="1"/>
      <c r="O537" s="1"/>
      <c r="P537" s="1"/>
      <c r="Q537" s="1"/>
      <c r="R537" s="1"/>
      <c r="S537" s="1"/>
      <c r="T537" s="1"/>
      <c r="U537" s="1"/>
      <c r="V537" s="1"/>
      <c r="W537" s="1"/>
      <c r="X537" s="1"/>
    </row>
    <row x14ac:dyDescent="0.25" r="538" customHeight="1" ht="18.75">
      <c r="A538" s="1"/>
      <c r="B538" s="1"/>
      <c r="C538" s="3" t="s">
        <v>121</v>
      </c>
      <c r="D538" s="3" t="s">
        <v>601</v>
      </c>
      <c r="E538" s="1"/>
      <c r="F538" s="1"/>
      <c r="G538" s="1"/>
      <c r="H538" s="1"/>
      <c r="I538" s="2"/>
      <c r="J538" s="1"/>
      <c r="K538" s="1"/>
      <c r="L538" s="1"/>
      <c r="M538" s="1"/>
      <c r="N538" s="1"/>
      <c r="O538" s="1"/>
      <c r="P538" s="1"/>
      <c r="Q538" s="1"/>
      <c r="R538" s="1"/>
      <c r="S538" s="1"/>
      <c r="T538" s="1"/>
      <c r="U538" s="1"/>
      <c r="V538" s="1"/>
      <c r="W538" s="1"/>
      <c r="X538" s="1"/>
    </row>
    <row x14ac:dyDescent="0.25" r="539" customHeight="1" ht="18.75">
      <c r="A539" s="1"/>
      <c r="B539" s="1"/>
      <c r="C539" s="3" t="s">
        <v>121</v>
      </c>
      <c r="D539" s="3" t="s">
        <v>602</v>
      </c>
      <c r="E539" s="1"/>
      <c r="F539" s="1"/>
      <c r="G539" s="1"/>
      <c r="H539" s="1"/>
      <c r="I539" s="2"/>
      <c r="J539" s="1"/>
      <c r="K539" s="1"/>
      <c r="L539" s="1"/>
      <c r="M539" s="1"/>
      <c r="N539" s="1"/>
      <c r="O539" s="1"/>
      <c r="P539" s="1"/>
      <c r="Q539" s="1"/>
      <c r="R539" s="1"/>
      <c r="S539" s="1"/>
      <c r="T539" s="1"/>
      <c r="U539" s="1"/>
      <c r="V539" s="1"/>
      <c r="W539" s="1"/>
      <c r="X539" s="1"/>
    </row>
    <row x14ac:dyDescent="0.25" r="540" customHeight="1" ht="18.75">
      <c r="A540" s="1"/>
      <c r="B540" s="1"/>
      <c r="C540" s="3" t="s">
        <v>300</v>
      </c>
      <c r="D540" s="3" t="s">
        <v>603</v>
      </c>
      <c r="E540" s="1"/>
      <c r="F540" s="1"/>
      <c r="G540" s="1"/>
      <c r="H540" s="1"/>
      <c r="I540" s="2"/>
      <c r="J540" s="1"/>
      <c r="K540" s="1"/>
      <c r="L540" s="1"/>
      <c r="M540" s="1"/>
      <c r="N540" s="1"/>
      <c r="O540" s="1"/>
      <c r="P540" s="1"/>
      <c r="Q540" s="1"/>
      <c r="R540" s="1"/>
      <c r="S540" s="1"/>
      <c r="T540" s="1"/>
      <c r="U540" s="1"/>
      <c r="V540" s="1"/>
      <c r="W540" s="1"/>
      <c r="X540" s="1"/>
    </row>
    <row x14ac:dyDescent="0.25" r="541" customHeight="1" ht="18.75">
      <c r="A541" s="1"/>
      <c r="B541" s="1"/>
      <c r="C541" s="3" t="s">
        <v>300</v>
      </c>
      <c r="D541" s="3" t="s">
        <v>604</v>
      </c>
      <c r="E541" s="1"/>
      <c r="F541" s="1"/>
      <c r="G541" s="1"/>
      <c r="H541" s="1"/>
      <c r="I541" s="2"/>
      <c r="J541" s="1"/>
      <c r="K541" s="1"/>
      <c r="L541" s="1"/>
      <c r="M541" s="1"/>
      <c r="N541" s="1"/>
      <c r="O541" s="1"/>
      <c r="P541" s="1"/>
      <c r="Q541" s="1"/>
      <c r="R541" s="1"/>
      <c r="S541" s="1"/>
      <c r="T541" s="1"/>
      <c r="U541" s="1"/>
      <c r="V541" s="1"/>
      <c r="W541" s="1"/>
      <c r="X541" s="1"/>
    </row>
    <row x14ac:dyDescent="0.25" r="542" customHeight="1" ht="18.75">
      <c r="A542" s="1"/>
      <c r="B542" s="1"/>
      <c r="C542" s="3" t="s">
        <v>300</v>
      </c>
      <c r="D542" s="3" t="s">
        <v>605</v>
      </c>
      <c r="E542" s="1"/>
      <c r="F542" s="1"/>
      <c r="G542" s="1"/>
      <c r="H542" s="1"/>
      <c r="I542" s="2"/>
      <c r="J542" s="1"/>
      <c r="K542" s="1"/>
      <c r="L542" s="1"/>
      <c r="M542" s="1"/>
      <c r="N542" s="1"/>
      <c r="O542" s="1"/>
      <c r="P542" s="1"/>
      <c r="Q542" s="1"/>
      <c r="R542" s="1"/>
      <c r="S542" s="1"/>
      <c r="T542" s="1"/>
      <c r="U542" s="1"/>
      <c r="V542" s="1"/>
      <c r="W542" s="1"/>
      <c r="X542" s="1"/>
    </row>
    <row x14ac:dyDescent="0.25" r="543" customHeight="1" ht="18.75">
      <c r="A543" s="1"/>
      <c r="B543" s="1"/>
      <c r="C543" s="3" t="s">
        <v>300</v>
      </c>
      <c r="D543" s="3" t="s">
        <v>606</v>
      </c>
      <c r="E543" s="1"/>
      <c r="F543" s="1"/>
      <c r="G543" s="1"/>
      <c r="H543" s="1"/>
      <c r="I543" s="2"/>
      <c r="J543" s="1"/>
      <c r="K543" s="1"/>
      <c r="L543" s="1"/>
      <c r="M543" s="1"/>
      <c r="N543" s="1"/>
      <c r="O543" s="1"/>
      <c r="P543" s="1"/>
      <c r="Q543" s="1"/>
      <c r="R543" s="1"/>
      <c r="S543" s="1"/>
      <c r="T543" s="1"/>
      <c r="U543" s="1"/>
      <c r="V543" s="1"/>
      <c r="W543" s="1"/>
      <c r="X543" s="1"/>
    </row>
    <row x14ac:dyDescent="0.25" r="544" customHeight="1" ht="18.75">
      <c r="A544" s="1"/>
      <c r="B544" s="1"/>
      <c r="C544" s="3" t="s">
        <v>300</v>
      </c>
      <c r="D544" s="3" t="s">
        <v>607</v>
      </c>
      <c r="E544" s="1"/>
      <c r="F544" s="1"/>
      <c r="G544" s="1"/>
      <c r="H544" s="1"/>
      <c r="I544" s="2"/>
      <c r="J544" s="1"/>
      <c r="K544" s="1"/>
      <c r="L544" s="1"/>
      <c r="M544" s="1"/>
      <c r="N544" s="1"/>
      <c r="O544" s="1"/>
      <c r="P544" s="1"/>
      <c r="Q544" s="1"/>
      <c r="R544" s="1"/>
      <c r="S544" s="1"/>
      <c r="T544" s="1"/>
      <c r="U544" s="1"/>
      <c r="V544" s="1"/>
      <c r="W544" s="1"/>
      <c r="X544" s="1"/>
    </row>
    <row x14ac:dyDescent="0.25" r="545" customHeight="1" ht="18.75">
      <c r="A545" s="1"/>
      <c r="B545" s="1"/>
      <c r="C545" s="3" t="s">
        <v>121</v>
      </c>
      <c r="D545" s="3" t="s">
        <v>493</v>
      </c>
      <c r="E545" s="1"/>
      <c r="F545" s="1"/>
      <c r="G545" s="1"/>
      <c r="H545" s="1"/>
      <c r="I545" s="2"/>
      <c r="J545" s="1"/>
      <c r="K545" s="1"/>
      <c r="L545" s="1"/>
      <c r="M545" s="1"/>
      <c r="N545" s="1"/>
      <c r="O545" s="1"/>
      <c r="P545" s="1"/>
      <c r="Q545" s="1"/>
      <c r="R545" s="1"/>
      <c r="S545" s="1"/>
      <c r="T545" s="1"/>
      <c r="U545" s="1"/>
      <c r="V545" s="1"/>
      <c r="W545" s="1"/>
      <c r="X545" s="1"/>
    </row>
    <row x14ac:dyDescent="0.25" r="546" customHeight="1" ht="18.75">
      <c r="A546" s="1"/>
      <c r="B546" s="1"/>
      <c r="C546" s="3" t="s">
        <v>121</v>
      </c>
      <c r="D546" s="3" t="s">
        <v>608</v>
      </c>
      <c r="E546" s="1"/>
      <c r="F546" s="1"/>
      <c r="G546" s="1"/>
      <c r="H546" s="1"/>
      <c r="I546" s="2"/>
      <c r="J546" s="1"/>
      <c r="K546" s="1"/>
      <c r="L546" s="1"/>
      <c r="M546" s="1"/>
      <c r="N546" s="1"/>
      <c r="O546" s="1"/>
      <c r="P546" s="1"/>
      <c r="Q546" s="1"/>
      <c r="R546" s="1"/>
      <c r="S546" s="1"/>
      <c r="T546" s="1"/>
      <c r="U546" s="1"/>
      <c r="V546" s="1"/>
      <c r="W546" s="1"/>
      <c r="X546" s="1"/>
    </row>
    <row x14ac:dyDescent="0.25" r="547" customHeight="1" ht="18.75">
      <c r="A547" s="1"/>
      <c r="B547" s="1"/>
      <c r="C547" s="3" t="s">
        <v>404</v>
      </c>
      <c r="D547" s="3" t="s">
        <v>609</v>
      </c>
      <c r="E547" s="1"/>
      <c r="F547" s="1"/>
      <c r="G547" s="1"/>
      <c r="H547" s="1"/>
      <c r="I547" s="2"/>
      <c r="J547" s="1"/>
      <c r="K547" s="1"/>
      <c r="L547" s="1"/>
      <c r="M547" s="1"/>
      <c r="N547" s="1"/>
      <c r="O547" s="1"/>
      <c r="P547" s="1"/>
      <c r="Q547" s="1"/>
      <c r="R547" s="1"/>
      <c r="S547" s="1"/>
      <c r="T547" s="1"/>
      <c r="U547" s="1"/>
      <c r="V547" s="1"/>
      <c r="W547" s="1"/>
      <c r="X547" s="1"/>
    </row>
    <row x14ac:dyDescent="0.25" r="548" customHeight="1" ht="18.75">
      <c r="A548" s="1"/>
      <c r="B548" s="1"/>
      <c r="C548" s="3" t="s">
        <v>300</v>
      </c>
      <c r="D548" s="3" t="s">
        <v>610</v>
      </c>
      <c r="E548" s="1"/>
      <c r="F548" s="1"/>
      <c r="G548" s="1"/>
      <c r="H548" s="1"/>
      <c r="I548" s="2"/>
      <c r="J548" s="1"/>
      <c r="K548" s="1"/>
      <c r="L548" s="1"/>
      <c r="M548" s="1"/>
      <c r="N548" s="1"/>
      <c r="O548" s="1"/>
      <c r="P548" s="1"/>
      <c r="Q548" s="1"/>
      <c r="R548" s="1"/>
      <c r="S548" s="1"/>
      <c r="T548" s="1"/>
      <c r="U548" s="1"/>
      <c r="V548" s="1"/>
      <c r="W548" s="1"/>
      <c r="X548" s="1"/>
    </row>
    <row x14ac:dyDescent="0.25" r="549" customHeight="1" ht="18.75">
      <c r="A549" s="1"/>
      <c r="B549" s="1"/>
      <c r="C549" s="3" t="s">
        <v>300</v>
      </c>
      <c r="D549" s="3" t="s">
        <v>611</v>
      </c>
      <c r="E549" s="1"/>
      <c r="F549" s="1"/>
      <c r="G549" s="1"/>
      <c r="H549" s="1"/>
      <c r="I549" s="2"/>
      <c r="J549" s="1"/>
      <c r="K549" s="1"/>
      <c r="L549" s="1"/>
      <c r="M549" s="1"/>
      <c r="N549" s="1"/>
      <c r="O549" s="1"/>
      <c r="P549" s="1"/>
      <c r="Q549" s="1"/>
      <c r="R549" s="1"/>
      <c r="S549" s="1"/>
      <c r="T549" s="1"/>
      <c r="U549" s="1"/>
      <c r="V549" s="1"/>
      <c r="W549" s="1"/>
      <c r="X549" s="1"/>
    </row>
    <row x14ac:dyDescent="0.25" r="550" customHeight="1" ht="18.75">
      <c r="A550" s="1"/>
      <c r="B550" s="1"/>
      <c r="C550" s="3" t="s">
        <v>121</v>
      </c>
      <c r="D550" s="3" t="s">
        <v>612</v>
      </c>
      <c r="E550" s="1"/>
      <c r="F550" s="1"/>
      <c r="G550" s="1"/>
      <c r="H550" s="1"/>
      <c r="I550" s="2"/>
      <c r="J550" s="1"/>
      <c r="K550" s="1"/>
      <c r="L550" s="1"/>
      <c r="M550" s="1"/>
      <c r="N550" s="1"/>
      <c r="O550" s="1"/>
      <c r="P550" s="1"/>
      <c r="Q550" s="1"/>
      <c r="R550" s="1"/>
      <c r="S550" s="1"/>
      <c r="T550" s="1"/>
      <c r="U550" s="1"/>
      <c r="V550" s="1"/>
      <c r="W550" s="1"/>
      <c r="X550" s="1"/>
    </row>
    <row x14ac:dyDescent="0.25" r="551" customHeight="1" ht="18.75">
      <c r="A551" s="1"/>
      <c r="B551" s="1"/>
      <c r="C551" s="3" t="s">
        <v>300</v>
      </c>
      <c r="D551" s="3" t="s">
        <v>613</v>
      </c>
      <c r="E551" s="1"/>
      <c r="F551" s="1"/>
      <c r="G551" s="1"/>
      <c r="H551" s="1"/>
      <c r="I551" s="2"/>
      <c r="J551" s="1"/>
      <c r="K551" s="1"/>
      <c r="L551" s="1"/>
      <c r="M551" s="1"/>
      <c r="N551" s="1"/>
      <c r="O551" s="1"/>
      <c r="P551" s="1"/>
      <c r="Q551" s="1"/>
      <c r="R551" s="1"/>
      <c r="S551" s="1"/>
      <c r="T551" s="1"/>
      <c r="U551" s="1"/>
      <c r="V551" s="1"/>
      <c r="W551" s="1"/>
      <c r="X551" s="1"/>
    </row>
    <row x14ac:dyDescent="0.25" r="552" customHeight="1" ht="18.75">
      <c r="A552" s="1"/>
      <c r="B552" s="1"/>
      <c r="C552" s="3" t="s">
        <v>300</v>
      </c>
      <c r="D552" s="3" t="s">
        <v>614</v>
      </c>
      <c r="E552" s="1"/>
      <c r="F552" s="1"/>
      <c r="G552" s="1"/>
      <c r="H552" s="1"/>
      <c r="I552" s="2"/>
      <c r="J552" s="1"/>
      <c r="K552" s="1"/>
      <c r="L552" s="1"/>
      <c r="M552" s="1"/>
      <c r="N552" s="1"/>
      <c r="O552" s="1"/>
      <c r="P552" s="1"/>
      <c r="Q552" s="1"/>
      <c r="R552" s="1"/>
      <c r="S552" s="1"/>
      <c r="T552" s="1"/>
      <c r="U552" s="1"/>
      <c r="V552" s="1"/>
      <c r="W552" s="1"/>
      <c r="X552" s="1"/>
    </row>
    <row x14ac:dyDescent="0.25" r="553" customHeight="1" ht="18.75">
      <c r="A553" s="1"/>
      <c r="B553" s="1"/>
      <c r="C553" s="3" t="s">
        <v>300</v>
      </c>
      <c r="D553" s="3" t="s">
        <v>615</v>
      </c>
      <c r="E553" s="1"/>
      <c r="F553" s="1"/>
      <c r="G553" s="1"/>
      <c r="H553" s="1"/>
      <c r="I553" s="2"/>
      <c r="J553" s="1"/>
      <c r="K553" s="1"/>
      <c r="L553" s="1"/>
      <c r="M553" s="1"/>
      <c r="N553" s="1"/>
      <c r="O553" s="1"/>
      <c r="P553" s="1"/>
      <c r="Q553" s="1"/>
      <c r="R553" s="1"/>
      <c r="S553" s="1"/>
      <c r="T553" s="1"/>
      <c r="U553" s="1"/>
      <c r="V553" s="1"/>
      <c r="W553" s="1"/>
      <c r="X553" s="1"/>
    </row>
    <row x14ac:dyDescent="0.25" r="554" customHeight="1" ht="18.75">
      <c r="A554" s="1"/>
      <c r="B554" s="1"/>
      <c r="C554" s="3" t="s">
        <v>300</v>
      </c>
      <c r="D554" s="3" t="s">
        <v>616</v>
      </c>
      <c r="E554" s="1"/>
      <c r="F554" s="1"/>
      <c r="G554" s="1"/>
      <c r="H554" s="1"/>
      <c r="I554" s="2"/>
      <c r="J554" s="1"/>
      <c r="K554" s="1"/>
      <c r="L554" s="1"/>
      <c r="M554" s="1"/>
      <c r="N554" s="1"/>
      <c r="O554" s="1"/>
      <c r="P554" s="1"/>
      <c r="Q554" s="1"/>
      <c r="R554" s="1"/>
      <c r="S554" s="1"/>
      <c r="T554" s="1"/>
      <c r="U554" s="1"/>
      <c r="V554" s="1"/>
      <c r="W554" s="1"/>
      <c r="X554" s="1"/>
    </row>
    <row x14ac:dyDescent="0.25" r="555" customHeight="1" ht="18.75">
      <c r="A555" s="1"/>
      <c r="B555" s="1"/>
      <c r="C555" s="3" t="s">
        <v>300</v>
      </c>
      <c r="D555" s="3" t="s">
        <v>617</v>
      </c>
      <c r="E555" s="1"/>
      <c r="F555" s="1"/>
      <c r="G555" s="1"/>
      <c r="H555" s="1"/>
      <c r="I555" s="2"/>
      <c r="J555" s="1"/>
      <c r="K555" s="1"/>
      <c r="L555" s="1"/>
      <c r="M555" s="1"/>
      <c r="N555" s="1"/>
      <c r="O555" s="1"/>
      <c r="P555" s="1"/>
      <c r="Q555" s="1"/>
      <c r="R555" s="1"/>
      <c r="S555" s="1"/>
      <c r="T555" s="1"/>
      <c r="U555" s="1"/>
      <c r="V555" s="1"/>
      <c r="W555" s="1"/>
      <c r="X555" s="1"/>
    </row>
    <row x14ac:dyDescent="0.25" r="556" customHeight="1" ht="18.75">
      <c r="A556" s="1"/>
      <c r="B556" s="1"/>
      <c r="C556" s="3" t="s">
        <v>121</v>
      </c>
      <c r="D556" s="3" t="s">
        <v>618</v>
      </c>
      <c r="E556" s="1"/>
      <c r="F556" s="1"/>
      <c r="G556" s="1"/>
      <c r="H556" s="1"/>
      <c r="I556" s="2"/>
      <c r="J556" s="1"/>
      <c r="K556" s="1"/>
      <c r="L556" s="1"/>
      <c r="M556" s="1"/>
      <c r="N556" s="1"/>
      <c r="O556" s="1"/>
      <c r="P556" s="1"/>
      <c r="Q556" s="1"/>
      <c r="R556" s="1"/>
      <c r="S556" s="1"/>
      <c r="T556" s="1"/>
      <c r="U556" s="1"/>
      <c r="V556" s="1"/>
      <c r="W556" s="1"/>
      <c r="X556" s="1"/>
    </row>
    <row x14ac:dyDescent="0.25" r="557" customHeight="1" ht="18.75">
      <c r="A557" s="1"/>
      <c r="B557" s="1"/>
      <c r="C557" s="3" t="s">
        <v>121</v>
      </c>
      <c r="D557" s="3" t="s">
        <v>619</v>
      </c>
      <c r="E557" s="1"/>
      <c r="F557" s="1"/>
      <c r="G557" s="1"/>
      <c r="H557" s="1"/>
      <c r="I557" s="2"/>
      <c r="J557" s="1"/>
      <c r="K557" s="1"/>
      <c r="L557" s="1"/>
      <c r="M557" s="1"/>
      <c r="N557" s="1"/>
      <c r="O557" s="1"/>
      <c r="P557" s="1"/>
      <c r="Q557" s="1"/>
      <c r="R557" s="1"/>
      <c r="S557" s="1"/>
      <c r="T557" s="1"/>
      <c r="U557" s="1"/>
      <c r="V557" s="1"/>
      <c r="W557" s="1"/>
      <c r="X557" s="1"/>
    </row>
    <row x14ac:dyDescent="0.25" r="558" customHeight="1" ht="18.75">
      <c r="A558" s="1"/>
      <c r="B558" s="1"/>
      <c r="C558" s="3" t="s">
        <v>141</v>
      </c>
      <c r="D558" s="3" t="s">
        <v>620</v>
      </c>
      <c r="E558" s="1"/>
      <c r="F558" s="1"/>
      <c r="G558" s="1"/>
      <c r="H558" s="1"/>
      <c r="I558" s="2"/>
      <c r="J558" s="1"/>
      <c r="K558" s="1"/>
      <c r="L558" s="1"/>
      <c r="M558" s="1"/>
      <c r="N558" s="1"/>
      <c r="O558" s="1"/>
      <c r="P558" s="1"/>
      <c r="Q558" s="1"/>
      <c r="R558" s="1"/>
      <c r="S558" s="1"/>
      <c r="T558" s="1"/>
      <c r="U558" s="1"/>
      <c r="V558" s="1"/>
      <c r="W558" s="1"/>
      <c r="X558" s="1"/>
    </row>
    <row x14ac:dyDescent="0.25" r="559" customHeight="1" ht="18.75">
      <c r="A559" s="1"/>
      <c r="B559" s="1"/>
      <c r="C559" s="3" t="s">
        <v>300</v>
      </c>
      <c r="D559" s="3" t="s">
        <v>621</v>
      </c>
      <c r="E559" s="1"/>
      <c r="F559" s="1"/>
      <c r="G559" s="1"/>
      <c r="H559" s="1"/>
      <c r="I559" s="2"/>
      <c r="J559" s="1"/>
      <c r="K559" s="1"/>
      <c r="L559" s="1"/>
      <c r="M559" s="1"/>
      <c r="N559" s="1"/>
      <c r="O559" s="1"/>
      <c r="P559" s="1"/>
      <c r="Q559" s="1"/>
      <c r="R559" s="1"/>
      <c r="S559" s="1"/>
      <c r="T559" s="1"/>
      <c r="U559" s="1"/>
      <c r="V559" s="1"/>
      <c r="W559" s="1"/>
      <c r="X559" s="1"/>
    </row>
    <row x14ac:dyDescent="0.25" r="560" customHeight="1" ht="18.75">
      <c r="A560" s="1"/>
      <c r="B560" s="1"/>
      <c r="C560" s="3" t="s">
        <v>300</v>
      </c>
      <c r="D560" s="3" t="s">
        <v>622</v>
      </c>
      <c r="E560" s="1"/>
      <c r="F560" s="1"/>
      <c r="G560" s="1"/>
      <c r="H560" s="1"/>
      <c r="I560" s="2"/>
      <c r="J560" s="1"/>
      <c r="K560" s="1"/>
      <c r="L560" s="1"/>
      <c r="M560" s="1"/>
      <c r="N560" s="1"/>
      <c r="O560" s="1"/>
      <c r="P560" s="1"/>
      <c r="Q560" s="1"/>
      <c r="R560" s="1"/>
      <c r="S560" s="1"/>
      <c r="T560" s="1"/>
      <c r="U560" s="1"/>
      <c r="V560" s="1"/>
      <c r="W560" s="1"/>
      <c r="X560" s="1"/>
    </row>
    <row x14ac:dyDescent="0.25" r="561" customHeight="1" ht="18.75">
      <c r="A561" s="1"/>
      <c r="B561" s="1"/>
      <c r="C561" s="3" t="s">
        <v>300</v>
      </c>
      <c r="D561" s="3" t="s">
        <v>623</v>
      </c>
      <c r="E561" s="1"/>
      <c r="F561" s="1"/>
      <c r="G561" s="1"/>
      <c r="H561" s="1"/>
      <c r="I561" s="2"/>
      <c r="J561" s="1"/>
      <c r="K561" s="1"/>
      <c r="L561" s="1"/>
      <c r="M561" s="1"/>
      <c r="N561" s="1"/>
      <c r="O561" s="1"/>
      <c r="P561" s="1"/>
      <c r="Q561" s="1"/>
      <c r="R561" s="1"/>
      <c r="S561" s="1"/>
      <c r="T561" s="1"/>
      <c r="U561" s="1"/>
      <c r="V561" s="1"/>
      <c r="W561" s="1"/>
      <c r="X561" s="1"/>
    </row>
    <row x14ac:dyDescent="0.25" r="562" customHeight="1" ht="18.75">
      <c r="A562" s="1"/>
      <c r="B562" s="1"/>
      <c r="C562" s="3" t="s">
        <v>300</v>
      </c>
      <c r="D562" s="3" t="s">
        <v>624</v>
      </c>
      <c r="E562" s="1"/>
      <c r="F562" s="1"/>
      <c r="G562" s="1"/>
      <c r="H562" s="1"/>
      <c r="I562" s="2"/>
      <c r="J562" s="1"/>
      <c r="K562" s="1"/>
      <c r="L562" s="1"/>
      <c r="M562" s="1"/>
      <c r="N562" s="1"/>
      <c r="O562" s="1"/>
      <c r="P562" s="1"/>
      <c r="Q562" s="1"/>
      <c r="R562" s="1"/>
      <c r="S562" s="1"/>
      <c r="T562" s="1"/>
      <c r="U562" s="1"/>
      <c r="V562" s="1"/>
      <c r="W562" s="1"/>
      <c r="X562" s="1"/>
    </row>
    <row x14ac:dyDescent="0.25" r="563" customHeight="1" ht="18.75">
      <c r="A563" s="1"/>
      <c r="B563" s="1"/>
      <c r="C563" s="3" t="s">
        <v>94</v>
      </c>
      <c r="D563" s="3" t="s">
        <v>625</v>
      </c>
      <c r="E563" s="1"/>
      <c r="F563" s="1"/>
      <c r="G563" s="1"/>
      <c r="H563" s="1"/>
      <c r="I563" s="2"/>
      <c r="J563" s="1"/>
      <c r="K563" s="1"/>
      <c r="L563" s="1"/>
      <c r="M563" s="1"/>
      <c r="N563" s="1"/>
      <c r="O563" s="1"/>
      <c r="P563" s="1"/>
      <c r="Q563" s="1"/>
      <c r="R563" s="1"/>
      <c r="S563" s="1"/>
      <c r="T563" s="1"/>
      <c r="U563" s="1"/>
      <c r="V563" s="1"/>
      <c r="W563" s="1"/>
      <c r="X563" s="1"/>
    </row>
    <row x14ac:dyDescent="0.25" r="564" customHeight="1" ht="18.75">
      <c r="A564" s="1"/>
      <c r="B564" s="1"/>
      <c r="C564" s="3" t="s">
        <v>300</v>
      </c>
      <c r="D564" s="3" t="s">
        <v>626</v>
      </c>
      <c r="E564" s="1"/>
      <c r="F564" s="1"/>
      <c r="G564" s="1"/>
      <c r="H564" s="1"/>
      <c r="I564" s="2"/>
      <c r="J564" s="1"/>
      <c r="K564" s="1"/>
      <c r="L564" s="1"/>
      <c r="M564" s="1"/>
      <c r="N564" s="1"/>
      <c r="O564" s="1"/>
      <c r="P564" s="1"/>
      <c r="Q564" s="1"/>
      <c r="R564" s="1"/>
      <c r="S564" s="1"/>
      <c r="T564" s="1"/>
      <c r="U564" s="1"/>
      <c r="V564" s="1"/>
      <c r="W564" s="1"/>
      <c r="X564" s="1"/>
    </row>
    <row x14ac:dyDescent="0.25" r="565" customHeight="1" ht="18.75">
      <c r="A565" s="1"/>
      <c r="B565" s="1"/>
      <c r="C565" s="3" t="s">
        <v>121</v>
      </c>
      <c r="D565" s="3" t="s">
        <v>627</v>
      </c>
      <c r="E565" s="1"/>
      <c r="F565" s="1"/>
      <c r="G565" s="1"/>
      <c r="H565" s="1"/>
      <c r="I565" s="2"/>
      <c r="J565" s="1"/>
      <c r="K565" s="1"/>
      <c r="L565" s="1"/>
      <c r="M565" s="1"/>
      <c r="N565" s="1"/>
      <c r="O565" s="1"/>
      <c r="P565" s="1"/>
      <c r="Q565" s="1"/>
      <c r="R565" s="1"/>
      <c r="S565" s="1"/>
      <c r="T565" s="1"/>
      <c r="U565" s="1"/>
      <c r="V565" s="1"/>
      <c r="W565" s="1"/>
      <c r="X565" s="1"/>
    </row>
    <row x14ac:dyDescent="0.25" r="566" customHeight="1" ht="18.75">
      <c r="A566" s="1"/>
      <c r="B566" s="1"/>
      <c r="C566" s="3" t="s">
        <v>300</v>
      </c>
      <c r="D566" s="3" t="s">
        <v>628</v>
      </c>
      <c r="E566" s="1"/>
      <c r="F566" s="1"/>
      <c r="G566" s="1"/>
      <c r="H566" s="1"/>
      <c r="I566" s="2"/>
      <c r="J566" s="1"/>
      <c r="K566" s="1"/>
      <c r="L566" s="1"/>
      <c r="M566" s="1"/>
      <c r="N566" s="1"/>
      <c r="O566" s="1"/>
      <c r="P566" s="1"/>
      <c r="Q566" s="1"/>
      <c r="R566" s="1"/>
      <c r="S566" s="1"/>
      <c r="T566" s="1"/>
      <c r="U566" s="1"/>
      <c r="V566" s="1"/>
      <c r="W566" s="1"/>
      <c r="X566" s="1"/>
    </row>
    <row x14ac:dyDescent="0.25" r="567" customHeight="1" ht="18.75">
      <c r="A567" s="1"/>
      <c r="B567" s="1"/>
      <c r="C567" s="3" t="s">
        <v>141</v>
      </c>
      <c r="D567" s="3" t="s">
        <v>629</v>
      </c>
      <c r="E567" s="1"/>
      <c r="F567" s="1"/>
      <c r="G567" s="1"/>
      <c r="H567" s="1"/>
      <c r="I567" s="2"/>
      <c r="J567" s="1"/>
      <c r="K567" s="1"/>
      <c r="L567" s="1"/>
      <c r="M567" s="1"/>
      <c r="N567" s="1"/>
      <c r="O567" s="1"/>
      <c r="P567" s="1"/>
      <c r="Q567" s="1"/>
      <c r="R567" s="1"/>
      <c r="S567" s="1"/>
      <c r="T567" s="1"/>
      <c r="U567" s="1"/>
      <c r="V567" s="1"/>
      <c r="W567" s="1"/>
      <c r="X567" s="1"/>
    </row>
    <row x14ac:dyDescent="0.25" r="568" customHeight="1" ht="18.75">
      <c r="A568" s="1"/>
      <c r="B568" s="1"/>
      <c r="C568" s="3" t="s">
        <v>300</v>
      </c>
      <c r="D568" s="3" t="s">
        <v>630</v>
      </c>
      <c r="E568" s="1"/>
      <c r="F568" s="1"/>
      <c r="G568" s="1"/>
      <c r="H568" s="1"/>
      <c r="I568" s="2"/>
      <c r="J568" s="1"/>
      <c r="K568" s="1"/>
      <c r="L568" s="1"/>
      <c r="M568" s="1"/>
      <c r="N568" s="1"/>
      <c r="O568" s="1"/>
      <c r="P568" s="1"/>
      <c r="Q568" s="1"/>
      <c r="R568" s="1"/>
      <c r="S568" s="1"/>
      <c r="T568" s="1"/>
      <c r="U568" s="1"/>
      <c r="V568" s="1"/>
      <c r="W568" s="1"/>
      <c r="X568" s="1"/>
    </row>
    <row x14ac:dyDescent="0.25" r="569" customHeight="1" ht="18.75">
      <c r="A569" s="1"/>
      <c r="B569" s="1"/>
      <c r="C569" s="3" t="s">
        <v>300</v>
      </c>
      <c r="D569" s="3" t="s">
        <v>631</v>
      </c>
      <c r="E569" s="1"/>
      <c r="F569" s="1"/>
      <c r="G569" s="1"/>
      <c r="H569" s="1"/>
      <c r="I569" s="2"/>
      <c r="J569" s="1"/>
      <c r="K569" s="1"/>
      <c r="L569" s="1"/>
      <c r="M569" s="1"/>
      <c r="N569" s="1"/>
      <c r="O569" s="1"/>
      <c r="P569" s="1"/>
      <c r="Q569" s="1"/>
      <c r="R569" s="1"/>
      <c r="S569" s="1"/>
      <c r="T569" s="1"/>
      <c r="U569" s="1"/>
      <c r="V569" s="1"/>
      <c r="W569" s="1"/>
      <c r="X569" s="1"/>
    </row>
    <row x14ac:dyDescent="0.25" r="570" customHeight="1" ht="18.75">
      <c r="A570" s="1"/>
      <c r="B570" s="1"/>
      <c r="C570" s="3" t="s">
        <v>121</v>
      </c>
      <c r="D570" s="3" t="s">
        <v>632</v>
      </c>
      <c r="E570" s="1"/>
      <c r="F570" s="1"/>
      <c r="G570" s="1"/>
      <c r="H570" s="1"/>
      <c r="I570" s="2"/>
      <c r="J570" s="1"/>
      <c r="K570" s="1"/>
      <c r="L570" s="1"/>
      <c r="M570" s="1"/>
      <c r="N570" s="1"/>
      <c r="O570" s="1"/>
      <c r="P570" s="1"/>
      <c r="Q570" s="1"/>
      <c r="R570" s="1"/>
      <c r="S570" s="1"/>
      <c r="T570" s="1"/>
      <c r="U570" s="1"/>
      <c r="V570" s="1"/>
      <c r="W570" s="1"/>
      <c r="X570" s="1"/>
    </row>
    <row x14ac:dyDescent="0.25" r="571" customHeight="1" ht="18.75">
      <c r="A571" s="1"/>
      <c r="B571" s="1"/>
      <c r="C571" s="3" t="s">
        <v>300</v>
      </c>
      <c r="D571" s="3" t="s">
        <v>633</v>
      </c>
      <c r="E571" s="1"/>
      <c r="F571" s="1"/>
      <c r="G571" s="1"/>
      <c r="H571" s="1"/>
      <c r="I571" s="2"/>
      <c r="J571" s="1"/>
      <c r="K571" s="1"/>
      <c r="L571" s="1"/>
      <c r="M571" s="1"/>
      <c r="N571" s="1"/>
      <c r="O571" s="1"/>
      <c r="P571" s="1"/>
      <c r="Q571" s="1"/>
      <c r="R571" s="1"/>
      <c r="S571" s="1"/>
      <c r="T571" s="1"/>
      <c r="U571" s="1"/>
      <c r="V571" s="1"/>
      <c r="W571" s="1"/>
      <c r="X571" s="1"/>
    </row>
    <row x14ac:dyDescent="0.25" r="572" customHeight="1" ht="18.75">
      <c r="A572" s="1"/>
      <c r="B572" s="1"/>
      <c r="C572" s="3" t="s">
        <v>300</v>
      </c>
      <c r="D572" s="3" t="s">
        <v>634</v>
      </c>
      <c r="E572" s="1"/>
      <c r="F572" s="1"/>
      <c r="G572" s="1"/>
      <c r="H572" s="1"/>
      <c r="I572" s="2"/>
      <c r="J572" s="1"/>
      <c r="K572" s="1"/>
      <c r="L572" s="1"/>
      <c r="M572" s="1"/>
      <c r="N572" s="1"/>
      <c r="O572" s="1"/>
      <c r="P572" s="1"/>
      <c r="Q572" s="1"/>
      <c r="R572" s="1"/>
      <c r="S572" s="1"/>
      <c r="T572" s="1"/>
      <c r="U572" s="1"/>
      <c r="V572" s="1"/>
      <c r="W572" s="1"/>
      <c r="X572" s="1"/>
    </row>
    <row x14ac:dyDescent="0.25" r="573" customHeight="1" ht="18.75">
      <c r="A573" s="1"/>
      <c r="B573" s="1"/>
      <c r="C573" s="3" t="s">
        <v>121</v>
      </c>
      <c r="D573" s="3" t="s">
        <v>635</v>
      </c>
      <c r="E573" s="1"/>
      <c r="F573" s="1"/>
      <c r="G573" s="1"/>
      <c r="H573" s="1"/>
      <c r="I573" s="2"/>
      <c r="J573" s="1"/>
      <c r="K573" s="1"/>
      <c r="L573" s="1"/>
      <c r="M573" s="1"/>
      <c r="N573" s="1"/>
      <c r="O573" s="1"/>
      <c r="P573" s="1"/>
      <c r="Q573" s="1"/>
      <c r="R573" s="1"/>
      <c r="S573" s="1"/>
      <c r="T573" s="1"/>
      <c r="U573" s="1"/>
      <c r="V573" s="1"/>
      <c r="W573" s="1"/>
      <c r="X573" s="1"/>
    </row>
    <row x14ac:dyDescent="0.25" r="574" customHeight="1" ht="18.75">
      <c r="A574" s="1"/>
      <c r="B574" s="1"/>
      <c r="C574" s="3" t="s">
        <v>300</v>
      </c>
      <c r="D574" s="3" t="s">
        <v>636</v>
      </c>
      <c r="E574" s="1"/>
      <c r="F574" s="1"/>
      <c r="G574" s="1"/>
      <c r="H574" s="1"/>
      <c r="I574" s="2"/>
      <c r="J574" s="1"/>
      <c r="K574" s="1"/>
      <c r="L574" s="1"/>
      <c r="M574" s="1"/>
      <c r="N574" s="1"/>
      <c r="O574" s="1"/>
      <c r="P574" s="1"/>
      <c r="Q574" s="1"/>
      <c r="R574" s="1"/>
      <c r="S574" s="1"/>
      <c r="T574" s="1"/>
      <c r="U574" s="1"/>
      <c r="V574" s="1"/>
      <c r="W574" s="1"/>
      <c r="X574" s="1"/>
    </row>
    <row x14ac:dyDescent="0.25" r="575" customHeight="1" ht="18.75">
      <c r="A575" s="1"/>
      <c r="B575" s="1"/>
      <c r="C575" s="3" t="s">
        <v>121</v>
      </c>
      <c r="D575" s="3" t="s">
        <v>637</v>
      </c>
      <c r="E575" s="1"/>
      <c r="F575" s="1"/>
      <c r="G575" s="1"/>
      <c r="H575" s="1"/>
      <c r="I575" s="2"/>
      <c r="J575" s="1"/>
      <c r="K575" s="1"/>
      <c r="L575" s="1"/>
      <c r="M575" s="1"/>
      <c r="N575" s="1"/>
      <c r="O575" s="1"/>
      <c r="P575" s="1"/>
      <c r="Q575" s="1"/>
      <c r="R575" s="1"/>
      <c r="S575" s="1"/>
      <c r="T575" s="1"/>
      <c r="U575" s="1"/>
      <c r="V575" s="1"/>
      <c r="W575" s="1"/>
      <c r="X575" s="1"/>
    </row>
    <row x14ac:dyDescent="0.25" r="576" customHeight="1" ht="18.75">
      <c r="A576" s="1"/>
      <c r="B576" s="1"/>
      <c r="C576" s="3" t="s">
        <v>300</v>
      </c>
      <c r="D576" s="3" t="s">
        <v>638</v>
      </c>
      <c r="E576" s="1"/>
      <c r="F576" s="1"/>
      <c r="G576" s="1"/>
      <c r="H576" s="1"/>
      <c r="I576" s="2"/>
      <c r="J576" s="1"/>
      <c r="K576" s="1"/>
      <c r="L576" s="1"/>
      <c r="M576" s="1"/>
      <c r="N576" s="1"/>
      <c r="O576" s="1"/>
      <c r="P576" s="1"/>
      <c r="Q576" s="1"/>
      <c r="R576" s="1"/>
      <c r="S576" s="1"/>
      <c r="T576" s="1"/>
      <c r="U576" s="1"/>
      <c r="V576" s="1"/>
      <c r="W576" s="1"/>
      <c r="X576" s="1"/>
    </row>
    <row x14ac:dyDescent="0.25" r="577" customHeight="1" ht="18.75">
      <c r="A577" s="1"/>
      <c r="B577" s="1"/>
      <c r="C577" s="3" t="s">
        <v>639</v>
      </c>
      <c r="D577" s="3" t="s">
        <v>640</v>
      </c>
      <c r="E577" s="1"/>
      <c r="F577" s="1"/>
      <c r="G577" s="1"/>
      <c r="H577" s="1"/>
      <c r="I577" s="2"/>
      <c r="J577" s="1"/>
      <c r="K577" s="1"/>
      <c r="L577" s="1"/>
      <c r="M577" s="1"/>
      <c r="N577" s="1"/>
      <c r="O577" s="1"/>
      <c r="P577" s="1"/>
      <c r="Q577" s="1"/>
      <c r="R577" s="1"/>
      <c r="S577" s="1"/>
      <c r="T577" s="1"/>
      <c r="U577" s="1"/>
      <c r="V577" s="1"/>
      <c r="W577" s="1"/>
      <c r="X577" s="1"/>
    </row>
    <row x14ac:dyDescent="0.25" r="578" customHeight="1" ht="18.75">
      <c r="A578" s="1"/>
      <c r="B578" s="1"/>
      <c r="C578" s="3" t="s">
        <v>300</v>
      </c>
      <c r="D578" s="3" t="s">
        <v>641</v>
      </c>
      <c r="E578" s="1"/>
      <c r="F578" s="1"/>
      <c r="G578" s="1"/>
      <c r="H578" s="1"/>
      <c r="I578" s="2"/>
      <c r="J578" s="1"/>
      <c r="K578" s="1"/>
      <c r="L578" s="1"/>
      <c r="M578" s="1"/>
      <c r="N578" s="1"/>
      <c r="O578" s="1"/>
      <c r="P578" s="1"/>
      <c r="Q578" s="1"/>
      <c r="R578" s="1"/>
      <c r="S578" s="1"/>
      <c r="T578" s="1"/>
      <c r="U578" s="1"/>
      <c r="V578" s="1"/>
      <c r="W578" s="1"/>
      <c r="X578" s="1"/>
    </row>
    <row x14ac:dyDescent="0.25" r="579" customHeight="1" ht="18.75">
      <c r="A579" s="1"/>
      <c r="B579" s="1"/>
      <c r="C579" s="3" t="s">
        <v>404</v>
      </c>
      <c r="D579" s="3" t="s">
        <v>642</v>
      </c>
      <c r="E579" s="1"/>
      <c r="F579" s="1"/>
      <c r="G579" s="1"/>
      <c r="H579" s="1"/>
      <c r="I579" s="2"/>
      <c r="J579" s="1"/>
      <c r="K579" s="1"/>
      <c r="L579" s="1"/>
      <c r="M579" s="1"/>
      <c r="N579" s="1"/>
      <c r="O579" s="1"/>
      <c r="P579" s="1"/>
      <c r="Q579" s="1"/>
      <c r="R579" s="1"/>
      <c r="S579" s="1"/>
      <c r="T579" s="1"/>
      <c r="U579" s="1"/>
      <c r="V579" s="1"/>
      <c r="W579" s="1"/>
      <c r="X579" s="1"/>
    </row>
    <row x14ac:dyDescent="0.25" r="580" customHeight="1" ht="18.75">
      <c r="A580" s="1"/>
      <c r="B580" s="1"/>
      <c r="C580" s="3" t="s">
        <v>300</v>
      </c>
      <c r="D580" s="3" t="s">
        <v>643</v>
      </c>
      <c r="E580" s="1"/>
      <c r="F580" s="1"/>
      <c r="G580" s="1"/>
      <c r="H580" s="1"/>
      <c r="I580" s="2"/>
      <c r="J580" s="1"/>
      <c r="K580" s="1"/>
      <c r="L580" s="1"/>
      <c r="M580" s="1"/>
      <c r="N580" s="1"/>
      <c r="O580" s="1"/>
      <c r="P580" s="1"/>
      <c r="Q580" s="1"/>
      <c r="R580" s="1"/>
      <c r="S580" s="1"/>
      <c r="T580" s="1"/>
      <c r="U580" s="1"/>
      <c r="V580" s="1"/>
      <c r="W580" s="1"/>
      <c r="X580" s="1"/>
    </row>
    <row x14ac:dyDescent="0.25" r="581" customHeight="1" ht="18.75">
      <c r="A581" s="1"/>
      <c r="B581" s="1"/>
      <c r="C581" s="3" t="s">
        <v>121</v>
      </c>
      <c r="D581" s="3" t="s">
        <v>249</v>
      </c>
      <c r="E581" s="1"/>
      <c r="F581" s="1"/>
      <c r="G581" s="1"/>
      <c r="H581" s="1"/>
      <c r="I581" s="2"/>
      <c r="J581" s="1"/>
      <c r="K581" s="1"/>
      <c r="L581" s="1"/>
      <c r="M581" s="1"/>
      <c r="N581" s="1"/>
      <c r="O581" s="1"/>
      <c r="P581" s="1"/>
      <c r="Q581" s="1"/>
      <c r="R581" s="1"/>
      <c r="S581" s="1"/>
      <c r="T581" s="1"/>
      <c r="U581" s="1"/>
      <c r="V581" s="1"/>
      <c r="W581" s="1"/>
      <c r="X581" s="1"/>
    </row>
    <row x14ac:dyDescent="0.25" r="582" customHeight="1" ht="18.75">
      <c r="A582" s="1"/>
      <c r="B582" s="1"/>
      <c r="C582" s="3" t="s">
        <v>300</v>
      </c>
      <c r="D582" s="3" t="s">
        <v>644</v>
      </c>
      <c r="E582" s="1"/>
      <c r="F582" s="1"/>
      <c r="G582" s="1"/>
      <c r="H582" s="1"/>
      <c r="I582" s="2"/>
      <c r="J582" s="1"/>
      <c r="K582" s="1"/>
      <c r="L582" s="1"/>
      <c r="M582" s="1"/>
      <c r="N582" s="1"/>
      <c r="O582" s="1"/>
      <c r="P582" s="1"/>
      <c r="Q582" s="1"/>
      <c r="R582" s="1"/>
      <c r="S582" s="1"/>
      <c r="T582" s="1"/>
      <c r="U582" s="1"/>
      <c r="V582" s="1"/>
      <c r="W582" s="1"/>
      <c r="X582" s="1"/>
    </row>
    <row x14ac:dyDescent="0.25" r="583" customHeight="1" ht="18.75">
      <c r="A583" s="1"/>
      <c r="B583" s="1"/>
      <c r="C583" s="3" t="s">
        <v>495</v>
      </c>
      <c r="D583" s="3" t="s">
        <v>645</v>
      </c>
      <c r="E583" s="1"/>
      <c r="F583" s="1"/>
      <c r="G583" s="1"/>
      <c r="H583" s="1"/>
      <c r="I583" s="2"/>
      <c r="J583" s="1"/>
      <c r="K583" s="1"/>
      <c r="L583" s="1"/>
      <c r="M583" s="1"/>
      <c r="N583" s="1"/>
      <c r="O583" s="1"/>
      <c r="P583" s="1"/>
      <c r="Q583" s="1"/>
      <c r="R583" s="1"/>
      <c r="S583" s="1"/>
      <c r="T583" s="1"/>
      <c r="U583" s="1"/>
      <c r="V583" s="1"/>
      <c r="W583" s="1"/>
      <c r="X583" s="1"/>
    </row>
    <row x14ac:dyDescent="0.25" r="584" customHeight="1" ht="18.75">
      <c r="A584" s="1"/>
      <c r="B584" s="1"/>
      <c r="C584" s="3" t="s">
        <v>639</v>
      </c>
      <c r="D584" s="3" t="s">
        <v>646</v>
      </c>
      <c r="E584" s="1"/>
      <c r="F584" s="1"/>
      <c r="G584" s="1"/>
      <c r="H584" s="1"/>
      <c r="I584" s="2"/>
      <c r="J584" s="1"/>
      <c r="K584" s="1"/>
      <c r="L584" s="1"/>
      <c r="M584" s="1"/>
      <c r="N584" s="1"/>
      <c r="O584" s="1"/>
      <c r="P584" s="1"/>
      <c r="Q584" s="1"/>
      <c r="R584" s="1"/>
      <c r="S584" s="1"/>
      <c r="T584" s="1"/>
      <c r="U584" s="1"/>
      <c r="V584" s="1"/>
      <c r="W584" s="1"/>
      <c r="X584" s="1"/>
    </row>
    <row x14ac:dyDescent="0.25" r="585" customHeight="1" ht="18.75">
      <c r="A585" s="1"/>
      <c r="B585" s="1"/>
      <c r="C585" s="3" t="s">
        <v>300</v>
      </c>
      <c r="D585" s="3" t="s">
        <v>647</v>
      </c>
      <c r="E585" s="1"/>
      <c r="F585" s="1"/>
      <c r="G585" s="1"/>
      <c r="H585" s="1"/>
      <c r="I585" s="2"/>
      <c r="J585" s="1"/>
      <c r="K585" s="1"/>
      <c r="L585" s="1"/>
      <c r="M585" s="1"/>
      <c r="N585" s="1"/>
      <c r="O585" s="1"/>
      <c r="P585" s="1"/>
      <c r="Q585" s="1"/>
      <c r="R585" s="1"/>
      <c r="S585" s="1"/>
      <c r="T585" s="1"/>
      <c r="U585" s="1"/>
      <c r="V585" s="1"/>
      <c r="W585" s="1"/>
      <c r="X585" s="1"/>
    </row>
    <row x14ac:dyDescent="0.25" r="586" customHeight="1" ht="18.75">
      <c r="A586" s="1"/>
      <c r="B586" s="1"/>
      <c r="C586" s="3" t="s">
        <v>300</v>
      </c>
      <c r="D586" s="3" t="s">
        <v>648</v>
      </c>
      <c r="E586" s="1"/>
      <c r="F586" s="1"/>
      <c r="G586" s="1"/>
      <c r="H586" s="1"/>
      <c r="I586" s="2"/>
      <c r="J586" s="1"/>
      <c r="K586" s="1"/>
      <c r="L586" s="1"/>
      <c r="M586" s="1"/>
      <c r="N586" s="1"/>
      <c r="O586" s="1"/>
      <c r="P586" s="1"/>
      <c r="Q586" s="1"/>
      <c r="R586" s="1"/>
      <c r="S586" s="1"/>
      <c r="T586" s="1"/>
      <c r="U586" s="1"/>
      <c r="V586" s="1"/>
      <c r="W586" s="1"/>
      <c r="X586" s="1"/>
    </row>
    <row x14ac:dyDescent="0.25" r="587" customHeight="1" ht="18.75">
      <c r="A587" s="1"/>
      <c r="B587" s="1"/>
      <c r="C587" s="3" t="s">
        <v>300</v>
      </c>
      <c r="D587" s="3" t="s">
        <v>649</v>
      </c>
      <c r="E587" s="1"/>
      <c r="F587" s="1"/>
      <c r="G587" s="1"/>
      <c r="H587" s="1"/>
      <c r="I587" s="2"/>
      <c r="J587" s="1"/>
      <c r="K587" s="1"/>
      <c r="L587" s="1"/>
      <c r="M587" s="1"/>
      <c r="N587" s="1"/>
      <c r="O587" s="1"/>
      <c r="P587" s="1"/>
      <c r="Q587" s="1"/>
      <c r="R587" s="1"/>
      <c r="S587" s="1"/>
      <c r="T587" s="1"/>
      <c r="U587" s="1"/>
      <c r="V587" s="1"/>
      <c r="W587" s="1"/>
      <c r="X587" s="1"/>
    </row>
    <row x14ac:dyDescent="0.25" r="588" customHeight="1" ht="18.75">
      <c r="A588" s="1"/>
      <c r="B588" s="1"/>
      <c r="C588" s="3" t="s">
        <v>300</v>
      </c>
      <c r="D588" s="3" t="s">
        <v>650</v>
      </c>
      <c r="E588" s="1"/>
      <c r="F588" s="1"/>
      <c r="G588" s="1"/>
      <c r="H588" s="1"/>
      <c r="I588" s="2"/>
      <c r="J588" s="1"/>
      <c r="K588" s="1"/>
      <c r="L588" s="1"/>
      <c r="M588" s="1"/>
      <c r="N588" s="1"/>
      <c r="O588" s="1"/>
      <c r="P588" s="1"/>
      <c r="Q588" s="1"/>
      <c r="R588" s="1"/>
      <c r="S588" s="1"/>
      <c r="T588" s="1"/>
      <c r="U588" s="1"/>
      <c r="V588" s="1"/>
      <c r="W588" s="1"/>
      <c r="X588" s="1"/>
    </row>
    <row x14ac:dyDescent="0.25" r="589" customHeight="1" ht="18.75">
      <c r="A589" s="1"/>
      <c r="B589" s="1"/>
      <c r="C589" s="3" t="s">
        <v>300</v>
      </c>
      <c r="D589" s="3" t="s">
        <v>651</v>
      </c>
      <c r="E589" s="1"/>
      <c r="F589" s="1"/>
      <c r="G589" s="1"/>
      <c r="H589" s="1"/>
      <c r="I589" s="2"/>
      <c r="J589" s="1"/>
      <c r="K589" s="1"/>
      <c r="L589" s="1"/>
      <c r="M589" s="1"/>
      <c r="N589" s="1"/>
      <c r="O589" s="1"/>
      <c r="P589" s="1"/>
      <c r="Q589" s="1"/>
      <c r="R589" s="1"/>
      <c r="S589" s="1"/>
      <c r="T589" s="1"/>
      <c r="U589" s="1"/>
      <c r="V589" s="1"/>
      <c r="W589" s="1"/>
      <c r="X589" s="1"/>
    </row>
    <row x14ac:dyDescent="0.25" r="590" customHeight="1" ht="18.75">
      <c r="A590" s="1"/>
      <c r="B590" s="1"/>
      <c r="C590" s="3" t="s">
        <v>121</v>
      </c>
      <c r="D590" s="3" t="s">
        <v>652</v>
      </c>
      <c r="E590" s="1"/>
      <c r="F590" s="1"/>
      <c r="G590" s="1"/>
      <c r="H590" s="1"/>
      <c r="I590" s="2"/>
      <c r="J590" s="1"/>
      <c r="K590" s="1"/>
      <c r="L590" s="1"/>
      <c r="M590" s="1"/>
      <c r="N590" s="1"/>
      <c r="O590" s="1"/>
      <c r="P590" s="1"/>
      <c r="Q590" s="1"/>
      <c r="R590" s="1"/>
      <c r="S590" s="1"/>
      <c r="T590" s="1"/>
      <c r="U590" s="1"/>
      <c r="V590" s="1"/>
      <c r="W590" s="1"/>
      <c r="X590" s="1"/>
    </row>
    <row x14ac:dyDescent="0.25" r="591" customHeight="1" ht="18.75">
      <c r="A591" s="1"/>
      <c r="B591" s="1"/>
      <c r="C591" s="3" t="s">
        <v>300</v>
      </c>
      <c r="D591" s="3" t="s">
        <v>653</v>
      </c>
      <c r="E591" s="1"/>
      <c r="F591" s="1"/>
      <c r="G591" s="1"/>
      <c r="H591" s="1"/>
      <c r="I591" s="2"/>
      <c r="J591" s="1"/>
      <c r="K591" s="1"/>
      <c r="L591" s="1"/>
      <c r="M591" s="1"/>
      <c r="N591" s="1"/>
      <c r="O591" s="1"/>
      <c r="P591" s="1"/>
      <c r="Q591" s="1"/>
      <c r="R591" s="1"/>
      <c r="S591" s="1"/>
      <c r="T591" s="1"/>
      <c r="U591" s="1"/>
      <c r="V591" s="1"/>
      <c r="W591" s="1"/>
      <c r="X591" s="1"/>
    </row>
    <row x14ac:dyDescent="0.25" r="592" customHeight="1" ht="18.75">
      <c r="A592" s="1"/>
      <c r="B592" s="1"/>
      <c r="C592" s="3" t="s">
        <v>639</v>
      </c>
      <c r="D592" s="3" t="s">
        <v>302</v>
      </c>
      <c r="E592" s="1"/>
      <c r="F592" s="1"/>
      <c r="G592" s="1"/>
      <c r="H592" s="1"/>
      <c r="I592" s="2"/>
      <c r="J592" s="1"/>
      <c r="K592" s="1"/>
      <c r="L592" s="1"/>
      <c r="M592" s="1"/>
      <c r="N592" s="1"/>
      <c r="O592" s="1"/>
      <c r="P592" s="1"/>
      <c r="Q592" s="1"/>
      <c r="R592" s="1"/>
      <c r="S592" s="1"/>
      <c r="T592" s="1"/>
      <c r="U592" s="1"/>
      <c r="V592" s="1"/>
      <c r="W592" s="1"/>
      <c r="X592" s="1"/>
    </row>
    <row x14ac:dyDescent="0.25" r="593" customHeight="1" ht="18.75">
      <c r="A593" s="1"/>
      <c r="B593" s="1"/>
      <c r="C593" s="3" t="s">
        <v>121</v>
      </c>
      <c r="D593" s="3" t="s">
        <v>654</v>
      </c>
      <c r="E593" s="1"/>
      <c r="F593" s="1"/>
      <c r="G593" s="1"/>
      <c r="H593" s="1"/>
      <c r="I593" s="2"/>
      <c r="J593" s="1"/>
      <c r="K593" s="1"/>
      <c r="L593" s="1"/>
      <c r="M593" s="1"/>
      <c r="N593" s="1"/>
      <c r="O593" s="1"/>
      <c r="P593" s="1"/>
      <c r="Q593" s="1"/>
      <c r="R593" s="1"/>
      <c r="S593" s="1"/>
      <c r="T593" s="1"/>
      <c r="U593" s="1"/>
      <c r="V593" s="1"/>
      <c r="W593" s="1"/>
      <c r="X593" s="1"/>
    </row>
    <row x14ac:dyDescent="0.25" r="594" customHeight="1" ht="18.75">
      <c r="A594" s="1"/>
      <c r="B594" s="1"/>
      <c r="C594" s="3" t="s">
        <v>300</v>
      </c>
      <c r="D594" s="3" t="s">
        <v>655</v>
      </c>
      <c r="E594" s="1"/>
      <c r="F594" s="1"/>
      <c r="G594" s="1"/>
      <c r="H594" s="1"/>
      <c r="I594" s="2"/>
      <c r="J594" s="1"/>
      <c r="K594" s="1"/>
      <c r="L594" s="1"/>
      <c r="M594" s="1"/>
      <c r="N594" s="1"/>
      <c r="O594" s="1"/>
      <c r="P594" s="1"/>
      <c r="Q594" s="1"/>
      <c r="R594" s="1"/>
      <c r="S594" s="1"/>
      <c r="T594" s="1"/>
      <c r="U594" s="1"/>
      <c r="V594" s="1"/>
      <c r="W594" s="1"/>
      <c r="X594" s="1"/>
    </row>
    <row x14ac:dyDescent="0.25" r="595" customHeight="1" ht="18.75">
      <c r="A595" s="1"/>
      <c r="B595" s="1"/>
      <c r="C595" s="3" t="s">
        <v>300</v>
      </c>
      <c r="D595" s="3" t="s">
        <v>656</v>
      </c>
      <c r="E595" s="1"/>
      <c r="F595" s="1"/>
      <c r="G595" s="1"/>
      <c r="H595" s="1"/>
      <c r="I595" s="2"/>
      <c r="J595" s="1"/>
      <c r="K595" s="1"/>
      <c r="L595" s="1"/>
      <c r="M595" s="1"/>
      <c r="N595" s="1"/>
      <c r="O595" s="1"/>
      <c r="P595" s="1"/>
      <c r="Q595" s="1"/>
      <c r="R595" s="1"/>
      <c r="S595" s="1"/>
      <c r="T595" s="1"/>
      <c r="U595" s="1"/>
      <c r="V595" s="1"/>
      <c r="W595" s="1"/>
      <c r="X595" s="1"/>
    </row>
    <row x14ac:dyDescent="0.25" r="596" customHeight="1" ht="18.75">
      <c r="A596" s="1"/>
      <c r="B596" s="1"/>
      <c r="C596" s="3" t="s">
        <v>121</v>
      </c>
      <c r="D596" s="3" t="s">
        <v>657</v>
      </c>
      <c r="E596" s="1"/>
      <c r="F596" s="1"/>
      <c r="G596" s="1"/>
      <c r="H596" s="1"/>
      <c r="I596" s="2"/>
      <c r="J596" s="1"/>
      <c r="K596" s="1"/>
      <c r="L596" s="1"/>
      <c r="M596" s="1"/>
      <c r="N596" s="1"/>
      <c r="O596" s="1"/>
      <c r="P596" s="1"/>
      <c r="Q596" s="1"/>
      <c r="R596" s="1"/>
      <c r="S596" s="1"/>
      <c r="T596" s="1"/>
      <c r="U596" s="1"/>
      <c r="V596" s="1"/>
      <c r="W596" s="1"/>
      <c r="X596" s="1"/>
    </row>
    <row x14ac:dyDescent="0.25" r="597" customHeight="1" ht="18.75">
      <c r="A597" s="1"/>
      <c r="B597" s="1"/>
      <c r="C597" s="3" t="s">
        <v>121</v>
      </c>
      <c r="D597" s="3" t="s">
        <v>658</v>
      </c>
      <c r="E597" s="1"/>
      <c r="F597" s="1"/>
      <c r="G597" s="1"/>
      <c r="H597" s="1"/>
      <c r="I597" s="2"/>
      <c r="J597" s="1"/>
      <c r="K597" s="1"/>
      <c r="L597" s="1"/>
      <c r="M597" s="1"/>
      <c r="N597" s="1"/>
      <c r="O597" s="1"/>
      <c r="P597" s="1"/>
      <c r="Q597" s="1"/>
      <c r="R597" s="1"/>
      <c r="S597" s="1"/>
      <c r="T597" s="1"/>
      <c r="U597" s="1"/>
      <c r="V597" s="1"/>
      <c r="W597" s="1"/>
      <c r="X597" s="1"/>
    </row>
    <row x14ac:dyDescent="0.25" r="598" customHeight="1" ht="18.75">
      <c r="A598" s="1"/>
      <c r="B598" s="1"/>
      <c r="C598" s="3" t="s">
        <v>300</v>
      </c>
      <c r="D598" s="3" t="s">
        <v>659</v>
      </c>
      <c r="E598" s="1"/>
      <c r="F598" s="1"/>
      <c r="G598" s="1"/>
      <c r="H598" s="1"/>
      <c r="I598" s="2"/>
      <c r="J598" s="1"/>
      <c r="K598" s="1"/>
      <c r="L598" s="1"/>
      <c r="M598" s="1"/>
      <c r="N598" s="1"/>
      <c r="O598" s="1"/>
      <c r="P598" s="1"/>
      <c r="Q598" s="1"/>
      <c r="R598" s="1"/>
      <c r="S598" s="1"/>
      <c r="T598" s="1"/>
      <c r="U598" s="1"/>
      <c r="V598" s="1"/>
      <c r="W598" s="1"/>
      <c r="X598" s="1"/>
    </row>
    <row x14ac:dyDescent="0.25" r="599" customHeight="1" ht="18.75">
      <c r="A599" s="1"/>
      <c r="B599" s="1"/>
      <c r="C599" s="3" t="s">
        <v>300</v>
      </c>
      <c r="D599" s="3" t="s">
        <v>660</v>
      </c>
      <c r="E599" s="1"/>
      <c r="F599" s="1"/>
      <c r="G599" s="1"/>
      <c r="H599" s="1"/>
      <c r="I599" s="2"/>
      <c r="J599" s="1"/>
      <c r="K599" s="1"/>
      <c r="L599" s="1"/>
      <c r="M599" s="1"/>
      <c r="N599" s="1"/>
      <c r="O599" s="1"/>
      <c r="P599" s="1"/>
      <c r="Q599" s="1"/>
      <c r="R599" s="1"/>
      <c r="S599" s="1"/>
      <c r="T599" s="1"/>
      <c r="U599" s="1"/>
      <c r="V599" s="1"/>
      <c r="W599" s="1"/>
      <c r="X599" s="1"/>
    </row>
    <row x14ac:dyDescent="0.25" r="600" customHeight="1" ht="18.75">
      <c r="A600" s="1"/>
      <c r="B600" s="1"/>
      <c r="C600" s="3" t="s">
        <v>404</v>
      </c>
      <c r="D600" s="3" t="s">
        <v>661</v>
      </c>
      <c r="E600" s="1"/>
      <c r="F600" s="1"/>
      <c r="G600" s="1"/>
      <c r="H600" s="1"/>
      <c r="I600" s="2"/>
      <c r="J600" s="1"/>
      <c r="K600" s="1"/>
      <c r="L600" s="1"/>
      <c r="M600" s="1"/>
      <c r="N600" s="1"/>
      <c r="O600" s="1"/>
      <c r="P600" s="1"/>
      <c r="Q600" s="1"/>
      <c r="R600" s="1"/>
      <c r="S600" s="1"/>
      <c r="T600" s="1"/>
      <c r="U600" s="1"/>
      <c r="V600" s="1"/>
      <c r="W600" s="1"/>
      <c r="X600" s="1"/>
    </row>
    <row x14ac:dyDescent="0.25" r="601" customHeight="1" ht="18.75">
      <c r="A601" s="1"/>
      <c r="B601" s="1"/>
      <c r="C601" s="3" t="s">
        <v>300</v>
      </c>
      <c r="D601" s="3" t="s">
        <v>662</v>
      </c>
      <c r="E601" s="1"/>
      <c r="F601" s="1"/>
      <c r="G601" s="1"/>
      <c r="H601" s="1"/>
      <c r="I601" s="2"/>
      <c r="J601" s="1"/>
      <c r="K601" s="1"/>
      <c r="L601" s="1"/>
      <c r="M601" s="1"/>
      <c r="N601" s="1"/>
      <c r="O601" s="1"/>
      <c r="P601" s="1"/>
      <c r="Q601" s="1"/>
      <c r="R601" s="1"/>
      <c r="S601" s="1"/>
      <c r="T601" s="1"/>
      <c r="U601" s="1"/>
      <c r="V601" s="1"/>
      <c r="W601" s="1"/>
      <c r="X601" s="1"/>
    </row>
    <row x14ac:dyDescent="0.25" r="602" customHeight="1" ht="18.75">
      <c r="A602" s="1"/>
      <c r="B602" s="1"/>
      <c r="C602" s="3" t="s">
        <v>404</v>
      </c>
      <c r="D602" s="3" t="s">
        <v>663</v>
      </c>
      <c r="E602" s="1"/>
      <c r="F602" s="1"/>
      <c r="G602" s="1"/>
      <c r="H602" s="1"/>
      <c r="I602" s="2"/>
      <c r="J602" s="1"/>
      <c r="K602" s="1"/>
      <c r="L602" s="1"/>
      <c r="M602" s="1"/>
      <c r="N602" s="1"/>
      <c r="O602" s="1"/>
      <c r="P602" s="1"/>
      <c r="Q602" s="1"/>
      <c r="R602" s="1"/>
      <c r="S602" s="1"/>
      <c r="T602" s="1"/>
      <c r="U602" s="1"/>
      <c r="V602" s="1"/>
      <c r="W602" s="1"/>
      <c r="X602" s="1"/>
    </row>
    <row x14ac:dyDescent="0.25" r="603" customHeight="1" ht="18.75">
      <c r="A603" s="1"/>
      <c r="B603" s="1"/>
      <c r="C603" s="3" t="s">
        <v>300</v>
      </c>
      <c r="D603" s="3" t="s">
        <v>664</v>
      </c>
      <c r="E603" s="1"/>
      <c r="F603" s="1"/>
      <c r="G603" s="1"/>
      <c r="H603" s="1"/>
      <c r="I603" s="2"/>
      <c r="J603" s="1"/>
      <c r="K603" s="1"/>
      <c r="L603" s="1"/>
      <c r="M603" s="1"/>
      <c r="N603" s="1"/>
      <c r="O603" s="1"/>
      <c r="P603" s="1"/>
      <c r="Q603" s="1"/>
      <c r="R603" s="1"/>
      <c r="S603" s="1"/>
      <c r="T603" s="1"/>
      <c r="U603" s="1"/>
      <c r="V603" s="1"/>
      <c r="W603" s="1"/>
      <c r="X603" s="1"/>
    </row>
    <row x14ac:dyDescent="0.25" r="604" customHeight="1" ht="18.75">
      <c r="A604" s="1"/>
      <c r="B604" s="1"/>
      <c r="C604" s="3" t="s">
        <v>300</v>
      </c>
      <c r="D604" s="3" t="s">
        <v>665</v>
      </c>
      <c r="E604" s="1"/>
      <c r="F604" s="1"/>
      <c r="G604" s="1"/>
      <c r="H604" s="1"/>
      <c r="I604" s="2"/>
      <c r="J604" s="1"/>
      <c r="K604" s="1"/>
      <c r="L604" s="1"/>
      <c r="M604" s="1"/>
      <c r="N604" s="1"/>
      <c r="O604" s="1"/>
      <c r="P604" s="1"/>
      <c r="Q604" s="1"/>
      <c r="R604" s="1"/>
      <c r="S604" s="1"/>
      <c r="T604" s="1"/>
      <c r="U604" s="1"/>
      <c r="V604" s="1"/>
      <c r="W604" s="1"/>
      <c r="X604" s="1"/>
    </row>
    <row x14ac:dyDescent="0.25" r="605" customHeight="1" ht="18.75">
      <c r="A605" s="1"/>
      <c r="B605" s="1"/>
      <c r="C605" s="3" t="s">
        <v>300</v>
      </c>
      <c r="D605" s="3" t="s">
        <v>666</v>
      </c>
      <c r="E605" s="1"/>
      <c r="F605" s="1"/>
      <c r="G605" s="1"/>
      <c r="H605" s="1"/>
      <c r="I605" s="2"/>
      <c r="J605" s="1"/>
      <c r="K605" s="1"/>
      <c r="L605" s="1"/>
      <c r="M605" s="1"/>
      <c r="N605" s="1"/>
      <c r="O605" s="1"/>
      <c r="P605" s="1"/>
      <c r="Q605" s="1"/>
      <c r="R605" s="1"/>
      <c r="S605" s="1"/>
      <c r="T605" s="1"/>
      <c r="U605" s="1"/>
      <c r="V605" s="1"/>
      <c r="W605" s="1"/>
      <c r="X605" s="1"/>
    </row>
    <row x14ac:dyDescent="0.25" r="606" customHeight="1" ht="18.75">
      <c r="A606" s="1"/>
      <c r="B606" s="1"/>
      <c r="C606" s="3" t="s">
        <v>300</v>
      </c>
      <c r="D606" s="3" t="s">
        <v>667</v>
      </c>
      <c r="E606" s="1"/>
      <c r="F606" s="1"/>
      <c r="G606" s="1"/>
      <c r="H606" s="1"/>
      <c r="I606" s="2"/>
      <c r="J606" s="1"/>
      <c r="K606" s="1"/>
      <c r="L606" s="1"/>
      <c r="M606" s="1"/>
      <c r="N606" s="1"/>
      <c r="O606" s="1"/>
      <c r="P606" s="1"/>
      <c r="Q606" s="1"/>
      <c r="R606" s="1"/>
      <c r="S606" s="1"/>
      <c r="T606" s="1"/>
      <c r="U606" s="1"/>
      <c r="V606" s="1"/>
      <c r="W606" s="1"/>
      <c r="X606" s="1"/>
    </row>
    <row x14ac:dyDescent="0.25" r="607" customHeight="1" ht="18.75">
      <c r="A607" s="1"/>
      <c r="B607" s="1"/>
      <c r="C607" s="3" t="s">
        <v>121</v>
      </c>
      <c r="D607" s="3" t="s">
        <v>668</v>
      </c>
      <c r="E607" s="1"/>
      <c r="F607" s="1"/>
      <c r="G607" s="1"/>
      <c r="H607" s="1"/>
      <c r="I607" s="2"/>
      <c r="J607" s="1"/>
      <c r="K607" s="1"/>
      <c r="L607" s="1"/>
      <c r="M607" s="1"/>
      <c r="N607" s="1"/>
      <c r="O607" s="1"/>
      <c r="P607" s="1"/>
      <c r="Q607" s="1"/>
      <c r="R607" s="1"/>
      <c r="S607" s="1"/>
      <c r="T607" s="1"/>
      <c r="U607" s="1"/>
      <c r="V607" s="1"/>
      <c r="W607" s="1"/>
      <c r="X607" s="1"/>
    </row>
    <row x14ac:dyDescent="0.25" r="608" customHeight="1" ht="18.75">
      <c r="A608" s="1"/>
      <c r="B608" s="1"/>
      <c r="C608" s="3" t="s">
        <v>121</v>
      </c>
      <c r="D608" s="3" t="s">
        <v>669</v>
      </c>
      <c r="E608" s="1"/>
      <c r="F608" s="1"/>
      <c r="G608" s="1"/>
      <c r="H608" s="1"/>
      <c r="I608" s="2"/>
      <c r="J608" s="1"/>
      <c r="K608" s="1"/>
      <c r="L608" s="1"/>
      <c r="M608" s="1"/>
      <c r="N608" s="1"/>
      <c r="O608" s="1"/>
      <c r="P608" s="1"/>
      <c r="Q608" s="1"/>
      <c r="R608" s="1"/>
      <c r="S608" s="1"/>
      <c r="T608" s="1"/>
      <c r="U608" s="1"/>
      <c r="V608" s="1"/>
      <c r="W608" s="1"/>
      <c r="X608" s="1"/>
    </row>
    <row x14ac:dyDescent="0.25" r="609" customHeight="1" ht="18.75">
      <c r="A609" s="1"/>
      <c r="B609" s="1"/>
      <c r="C609" s="3" t="s">
        <v>300</v>
      </c>
      <c r="D609" s="3" t="s">
        <v>670</v>
      </c>
      <c r="E609" s="1"/>
      <c r="F609" s="1"/>
      <c r="G609" s="1"/>
      <c r="H609" s="1"/>
      <c r="I609" s="2"/>
      <c r="J609" s="1"/>
      <c r="K609" s="1"/>
      <c r="L609" s="1"/>
      <c r="M609" s="1"/>
      <c r="N609" s="1"/>
      <c r="O609" s="1"/>
      <c r="P609" s="1"/>
      <c r="Q609" s="1"/>
      <c r="R609" s="1"/>
      <c r="S609" s="1"/>
      <c r="T609" s="1"/>
      <c r="U609" s="1"/>
      <c r="V609" s="1"/>
      <c r="W609" s="1"/>
      <c r="X609" s="1"/>
    </row>
    <row x14ac:dyDescent="0.25" r="610" customHeight="1" ht="18.75">
      <c r="A610" s="1"/>
      <c r="B610" s="1"/>
      <c r="C610" s="3" t="s">
        <v>300</v>
      </c>
      <c r="D610" s="3" t="s">
        <v>671</v>
      </c>
      <c r="E610" s="1"/>
      <c r="F610" s="1"/>
      <c r="G610" s="1"/>
      <c r="H610" s="1"/>
      <c r="I610" s="2"/>
      <c r="J610" s="1"/>
      <c r="K610" s="1"/>
      <c r="L610" s="1"/>
      <c r="M610" s="1"/>
      <c r="N610" s="1"/>
      <c r="O610" s="1"/>
      <c r="P610" s="1"/>
      <c r="Q610" s="1"/>
      <c r="R610" s="1"/>
      <c r="S610" s="1"/>
      <c r="T610" s="1"/>
      <c r="U610" s="1"/>
      <c r="V610" s="1"/>
      <c r="W610" s="1"/>
      <c r="X610" s="1"/>
    </row>
    <row x14ac:dyDescent="0.25" r="611" customHeight="1" ht="18.75">
      <c r="A611" s="1"/>
      <c r="B611" s="1"/>
      <c r="C611" s="3" t="s">
        <v>141</v>
      </c>
      <c r="D611" s="3" t="s">
        <v>672</v>
      </c>
      <c r="E611" s="1"/>
      <c r="F611" s="1"/>
      <c r="G611" s="1"/>
      <c r="H611" s="1"/>
      <c r="I611" s="2"/>
      <c r="J611" s="1"/>
      <c r="K611" s="1"/>
      <c r="L611" s="1"/>
      <c r="M611" s="1"/>
      <c r="N611" s="1"/>
      <c r="O611" s="1"/>
      <c r="P611" s="1"/>
      <c r="Q611" s="1"/>
      <c r="R611" s="1"/>
      <c r="S611" s="1"/>
      <c r="T611" s="1"/>
      <c r="U611" s="1"/>
      <c r="V611" s="1"/>
      <c r="W611" s="1"/>
      <c r="X611" s="1"/>
    </row>
    <row x14ac:dyDescent="0.25" r="612" customHeight="1" ht="18.75">
      <c r="A612" s="1"/>
      <c r="B612" s="1"/>
      <c r="C612" s="3" t="s">
        <v>121</v>
      </c>
      <c r="D612" s="3" t="s">
        <v>673</v>
      </c>
      <c r="E612" s="1"/>
      <c r="F612" s="1"/>
      <c r="G612" s="1"/>
      <c r="H612" s="1"/>
      <c r="I612" s="2"/>
      <c r="J612" s="1"/>
      <c r="K612" s="1"/>
      <c r="L612" s="1"/>
      <c r="M612" s="1"/>
      <c r="N612" s="1"/>
      <c r="O612" s="1"/>
      <c r="P612" s="1"/>
      <c r="Q612" s="1"/>
      <c r="R612" s="1"/>
      <c r="S612" s="1"/>
      <c r="T612" s="1"/>
      <c r="U612" s="1"/>
      <c r="V612" s="1"/>
      <c r="W612" s="1"/>
      <c r="X612" s="1"/>
    </row>
    <row x14ac:dyDescent="0.25" r="613" customHeight="1" ht="18.75">
      <c r="A613" s="1"/>
      <c r="B613" s="1"/>
      <c r="C613" s="3" t="s">
        <v>121</v>
      </c>
      <c r="D613" s="3" t="s">
        <v>674</v>
      </c>
      <c r="E613" s="1"/>
      <c r="F613" s="1"/>
      <c r="G613" s="1"/>
      <c r="H613" s="1"/>
      <c r="I613" s="2"/>
      <c r="J613" s="1"/>
      <c r="K613" s="1"/>
      <c r="L613" s="1"/>
      <c r="M613" s="1"/>
      <c r="N613" s="1"/>
      <c r="O613" s="1"/>
      <c r="P613" s="1"/>
      <c r="Q613" s="1"/>
      <c r="R613" s="1"/>
      <c r="S613" s="1"/>
      <c r="T613" s="1"/>
      <c r="U613" s="1"/>
      <c r="V613" s="1"/>
      <c r="W613" s="1"/>
      <c r="X613" s="1"/>
    </row>
    <row x14ac:dyDescent="0.25" r="614" customHeight="1" ht="18.75">
      <c r="A614" s="1"/>
      <c r="B614" s="1"/>
      <c r="C614" s="3" t="s">
        <v>300</v>
      </c>
      <c r="D614" s="3" t="s">
        <v>675</v>
      </c>
      <c r="E614" s="1"/>
      <c r="F614" s="1"/>
      <c r="G614" s="1"/>
      <c r="H614" s="1"/>
      <c r="I614" s="2"/>
      <c r="J614" s="1"/>
      <c r="K614" s="1"/>
      <c r="L614" s="1"/>
      <c r="M614" s="1"/>
      <c r="N614" s="1"/>
      <c r="O614" s="1"/>
      <c r="P614" s="1"/>
      <c r="Q614" s="1"/>
      <c r="R614" s="1"/>
      <c r="S614" s="1"/>
      <c r="T614" s="1"/>
      <c r="U614" s="1"/>
      <c r="V614" s="1"/>
      <c r="W614" s="1"/>
      <c r="X614" s="1"/>
    </row>
    <row x14ac:dyDescent="0.25" r="615" customHeight="1" ht="18.75">
      <c r="A615" s="1"/>
      <c r="B615" s="1"/>
      <c r="C615" s="3" t="s">
        <v>121</v>
      </c>
      <c r="D615" s="3" t="s">
        <v>676</v>
      </c>
      <c r="E615" s="1"/>
      <c r="F615" s="1"/>
      <c r="G615" s="1"/>
      <c r="H615" s="1"/>
      <c r="I615" s="2"/>
      <c r="J615" s="1"/>
      <c r="K615" s="1"/>
      <c r="L615" s="1"/>
      <c r="M615" s="1"/>
      <c r="N615" s="1"/>
      <c r="O615" s="1"/>
      <c r="P615" s="1"/>
      <c r="Q615" s="1"/>
      <c r="R615" s="1"/>
      <c r="S615" s="1"/>
      <c r="T615" s="1"/>
      <c r="U615" s="1"/>
      <c r="V615" s="1"/>
      <c r="W615" s="1"/>
      <c r="X615" s="1"/>
    </row>
    <row x14ac:dyDescent="0.25" r="616" customHeight="1" ht="18.75">
      <c r="A616" s="1"/>
      <c r="B616" s="1"/>
      <c r="C616" s="3" t="s">
        <v>121</v>
      </c>
      <c r="D616" s="3" t="s">
        <v>677</v>
      </c>
      <c r="E616" s="1"/>
      <c r="F616" s="1"/>
      <c r="G616" s="1"/>
      <c r="H616" s="1"/>
      <c r="I616" s="2"/>
      <c r="J616" s="1"/>
      <c r="K616" s="1"/>
      <c r="L616" s="1"/>
      <c r="M616" s="1"/>
      <c r="N616" s="1"/>
      <c r="O616" s="1"/>
      <c r="P616" s="1"/>
      <c r="Q616" s="1"/>
      <c r="R616" s="1"/>
      <c r="S616" s="1"/>
      <c r="T616" s="1"/>
      <c r="U616" s="1"/>
      <c r="V616" s="1"/>
      <c r="W616" s="1"/>
      <c r="X616" s="1"/>
    </row>
    <row x14ac:dyDescent="0.25" r="617" customHeight="1" ht="18.75">
      <c r="A617" s="1"/>
      <c r="B617" s="1"/>
      <c r="C617" s="3" t="s">
        <v>300</v>
      </c>
      <c r="D617" s="3" t="s">
        <v>678</v>
      </c>
      <c r="E617" s="1"/>
      <c r="F617" s="1"/>
      <c r="G617" s="1"/>
      <c r="H617" s="1"/>
      <c r="I617" s="2"/>
      <c r="J617" s="1"/>
      <c r="K617" s="1"/>
      <c r="L617" s="1"/>
      <c r="M617" s="1"/>
      <c r="N617" s="1"/>
      <c r="O617" s="1"/>
      <c r="P617" s="1"/>
      <c r="Q617" s="1"/>
      <c r="R617" s="1"/>
      <c r="S617" s="1"/>
      <c r="T617" s="1"/>
      <c r="U617" s="1"/>
      <c r="V617" s="1"/>
      <c r="W617" s="1"/>
      <c r="X617" s="1"/>
    </row>
    <row x14ac:dyDescent="0.25" r="618" customHeight="1" ht="18.75">
      <c r="A618" s="1"/>
      <c r="B618" s="1"/>
      <c r="C618" s="3" t="s">
        <v>300</v>
      </c>
      <c r="D618" s="3" t="s">
        <v>679</v>
      </c>
      <c r="E618" s="1"/>
      <c r="F618" s="1"/>
      <c r="G618" s="1"/>
      <c r="H618" s="1"/>
      <c r="I618" s="2"/>
      <c r="J618" s="1"/>
      <c r="K618" s="1"/>
      <c r="L618" s="1"/>
      <c r="M618" s="1"/>
      <c r="N618" s="1"/>
      <c r="O618" s="1"/>
      <c r="P618" s="1"/>
      <c r="Q618" s="1"/>
      <c r="R618" s="1"/>
      <c r="S618" s="1"/>
      <c r="T618" s="1"/>
      <c r="U618" s="1"/>
      <c r="V618" s="1"/>
      <c r="W618" s="1"/>
      <c r="X618" s="1"/>
    </row>
    <row x14ac:dyDescent="0.25" r="619" customHeight="1" ht="18.75">
      <c r="A619" s="1"/>
      <c r="B619" s="1"/>
      <c r="C619" s="3" t="s">
        <v>300</v>
      </c>
      <c r="D619" s="3" t="s">
        <v>680</v>
      </c>
      <c r="E619" s="1"/>
      <c r="F619" s="1"/>
      <c r="G619" s="1"/>
      <c r="H619" s="1"/>
      <c r="I619" s="2"/>
      <c r="J619" s="1"/>
      <c r="K619" s="1"/>
      <c r="L619" s="1"/>
      <c r="M619" s="1"/>
      <c r="N619" s="1"/>
      <c r="O619" s="1"/>
      <c r="P619" s="1"/>
      <c r="Q619" s="1"/>
      <c r="R619" s="1"/>
      <c r="S619" s="1"/>
      <c r="T619" s="1"/>
      <c r="U619" s="1"/>
      <c r="V619" s="1"/>
      <c r="W619" s="1"/>
      <c r="X619" s="1"/>
    </row>
    <row x14ac:dyDescent="0.25" r="620" customHeight="1" ht="18.75">
      <c r="A620" s="1"/>
      <c r="B620" s="1"/>
      <c r="C620" s="3" t="s">
        <v>300</v>
      </c>
      <c r="D620" s="3" t="s">
        <v>681</v>
      </c>
      <c r="E620" s="1"/>
      <c r="F620" s="1"/>
      <c r="G620" s="1"/>
      <c r="H620" s="1"/>
      <c r="I620" s="2"/>
      <c r="J620" s="1"/>
      <c r="K620" s="1"/>
      <c r="L620" s="1"/>
      <c r="M620" s="1"/>
      <c r="N620" s="1"/>
      <c r="O620" s="1"/>
      <c r="P620" s="1"/>
      <c r="Q620" s="1"/>
      <c r="R620" s="1"/>
      <c r="S620" s="1"/>
      <c r="T620" s="1"/>
      <c r="U620" s="1"/>
      <c r="V620" s="1"/>
      <c r="W620" s="1"/>
      <c r="X620" s="1"/>
    </row>
    <row x14ac:dyDescent="0.25" r="621" customHeight="1" ht="18.75">
      <c r="A621" s="1"/>
      <c r="B621" s="1"/>
      <c r="C621" s="3" t="s">
        <v>300</v>
      </c>
      <c r="D621" s="3" t="s">
        <v>682</v>
      </c>
      <c r="E621" s="1"/>
      <c r="F621" s="1"/>
      <c r="G621" s="1"/>
      <c r="H621" s="1"/>
      <c r="I621" s="2"/>
      <c r="J621" s="1"/>
      <c r="K621" s="1"/>
      <c r="L621" s="1"/>
      <c r="M621" s="1"/>
      <c r="N621" s="1"/>
      <c r="O621" s="1"/>
      <c r="P621" s="1"/>
      <c r="Q621" s="1"/>
      <c r="R621" s="1"/>
      <c r="S621" s="1"/>
      <c r="T621" s="1"/>
      <c r="U621" s="1"/>
      <c r="V621" s="1"/>
      <c r="W621" s="1"/>
      <c r="X621" s="1"/>
    </row>
    <row x14ac:dyDescent="0.25" r="622" customHeight="1" ht="18.75">
      <c r="A622" s="1"/>
      <c r="B622" s="1"/>
      <c r="C622" s="3" t="s">
        <v>300</v>
      </c>
      <c r="D622" s="3" t="s">
        <v>683</v>
      </c>
      <c r="E622" s="1"/>
      <c r="F622" s="1"/>
      <c r="G622" s="1"/>
      <c r="H622" s="1"/>
      <c r="I622" s="2"/>
      <c r="J622" s="1"/>
      <c r="K622" s="1"/>
      <c r="L622" s="1"/>
      <c r="M622" s="1"/>
      <c r="N622" s="1"/>
      <c r="O622" s="1"/>
      <c r="P622" s="1"/>
      <c r="Q622" s="1"/>
      <c r="R622" s="1"/>
      <c r="S622" s="1"/>
      <c r="T622" s="1"/>
      <c r="U622" s="1"/>
      <c r="V622" s="1"/>
      <c r="W622" s="1"/>
      <c r="X622" s="1"/>
    </row>
    <row x14ac:dyDescent="0.25" r="623" customHeight="1" ht="18.75">
      <c r="A623" s="1"/>
      <c r="B623" s="1"/>
      <c r="C623" s="3" t="s">
        <v>300</v>
      </c>
      <c r="D623" s="3" t="s">
        <v>684</v>
      </c>
      <c r="E623" s="1"/>
      <c r="F623" s="1"/>
      <c r="G623" s="1"/>
      <c r="H623" s="1"/>
      <c r="I623" s="2"/>
      <c r="J623" s="1"/>
      <c r="K623" s="1"/>
      <c r="L623" s="1"/>
      <c r="M623" s="1"/>
      <c r="N623" s="1"/>
      <c r="O623" s="1"/>
      <c r="P623" s="1"/>
      <c r="Q623" s="1"/>
      <c r="R623" s="1"/>
      <c r="S623" s="1"/>
      <c r="T623" s="1"/>
      <c r="U623" s="1"/>
      <c r="V623" s="1"/>
      <c r="W623" s="1"/>
      <c r="X623" s="1"/>
    </row>
    <row x14ac:dyDescent="0.25" r="624" customHeight="1" ht="18.75">
      <c r="A624" s="1"/>
      <c r="B624" s="1"/>
      <c r="C624" s="3" t="s">
        <v>300</v>
      </c>
      <c r="D624" s="3" t="s">
        <v>685</v>
      </c>
      <c r="E624" s="1"/>
      <c r="F624" s="1"/>
      <c r="G624" s="1"/>
      <c r="H624" s="1"/>
      <c r="I624" s="2"/>
      <c r="J624" s="1"/>
      <c r="K624" s="1"/>
      <c r="L624" s="1"/>
      <c r="M624" s="1"/>
      <c r="N624" s="1"/>
      <c r="O624" s="1"/>
      <c r="P624" s="1"/>
      <c r="Q624" s="1"/>
      <c r="R624" s="1"/>
      <c r="S624" s="1"/>
      <c r="T624" s="1"/>
      <c r="U624" s="1"/>
      <c r="V624" s="1"/>
      <c r="W624" s="1"/>
      <c r="X624" s="1"/>
    </row>
    <row x14ac:dyDescent="0.25" r="625" customHeight="1" ht="18.75">
      <c r="A625" s="1"/>
      <c r="B625" s="1"/>
      <c r="C625" s="3" t="s">
        <v>639</v>
      </c>
      <c r="D625" s="3" t="s">
        <v>686</v>
      </c>
      <c r="E625" s="1"/>
      <c r="F625" s="1"/>
      <c r="G625" s="1"/>
      <c r="H625" s="1"/>
      <c r="I625" s="2"/>
      <c r="J625" s="1"/>
      <c r="K625" s="1"/>
      <c r="L625" s="1"/>
      <c r="M625" s="1"/>
      <c r="N625" s="1"/>
      <c r="O625" s="1"/>
      <c r="P625" s="1"/>
      <c r="Q625" s="1"/>
      <c r="R625" s="1"/>
      <c r="S625" s="1"/>
      <c r="T625" s="1"/>
      <c r="U625" s="1"/>
      <c r="V625" s="1"/>
      <c r="W625" s="1"/>
      <c r="X625" s="1"/>
    </row>
    <row x14ac:dyDescent="0.25" r="626" customHeight="1" ht="18.75">
      <c r="A626" s="1"/>
      <c r="B626" s="1"/>
      <c r="C626" s="3" t="s">
        <v>300</v>
      </c>
      <c r="D626" s="3" t="s">
        <v>687</v>
      </c>
      <c r="E626" s="1"/>
      <c r="F626" s="1"/>
      <c r="G626" s="1"/>
      <c r="H626" s="1"/>
      <c r="I626" s="2"/>
      <c r="J626" s="1"/>
      <c r="K626" s="1"/>
      <c r="L626" s="1"/>
      <c r="M626" s="1"/>
      <c r="N626" s="1"/>
      <c r="O626" s="1"/>
      <c r="P626" s="1"/>
      <c r="Q626" s="1"/>
      <c r="R626" s="1"/>
      <c r="S626" s="1"/>
      <c r="T626" s="1"/>
      <c r="U626" s="1"/>
      <c r="V626" s="1"/>
      <c r="W626" s="1"/>
      <c r="X626" s="1"/>
    </row>
    <row x14ac:dyDescent="0.25" r="627" customHeight="1" ht="18.75">
      <c r="A627" s="1"/>
      <c r="B627" s="1"/>
      <c r="C627" s="3" t="s">
        <v>300</v>
      </c>
      <c r="D627" s="3" t="s">
        <v>688</v>
      </c>
      <c r="E627" s="1"/>
      <c r="F627" s="1"/>
      <c r="G627" s="1"/>
      <c r="H627" s="1"/>
      <c r="I627" s="2"/>
      <c r="J627" s="1"/>
      <c r="K627" s="1"/>
      <c r="L627" s="1"/>
      <c r="M627" s="1"/>
      <c r="N627" s="1"/>
      <c r="O627" s="1"/>
      <c r="P627" s="1"/>
      <c r="Q627" s="1"/>
      <c r="R627" s="1"/>
      <c r="S627" s="1"/>
      <c r="T627" s="1"/>
      <c r="U627" s="1"/>
      <c r="V627" s="1"/>
      <c r="W627" s="1"/>
      <c r="X627" s="1"/>
    </row>
    <row x14ac:dyDescent="0.25" r="628" customHeight="1" ht="18.75">
      <c r="A628" s="1"/>
      <c r="B628" s="1"/>
      <c r="C628" s="3" t="s">
        <v>300</v>
      </c>
      <c r="D628" s="3" t="s">
        <v>689</v>
      </c>
      <c r="E628" s="1"/>
      <c r="F628" s="1"/>
      <c r="G628" s="1"/>
      <c r="H628" s="1"/>
      <c r="I628" s="2"/>
      <c r="J628" s="1"/>
      <c r="K628" s="1"/>
      <c r="L628" s="1"/>
      <c r="M628" s="1"/>
      <c r="N628" s="1"/>
      <c r="O628" s="1"/>
      <c r="P628" s="1"/>
      <c r="Q628" s="1"/>
      <c r="R628" s="1"/>
      <c r="S628" s="1"/>
      <c r="T628" s="1"/>
      <c r="U628" s="1"/>
      <c r="V628" s="1"/>
      <c r="W628" s="1"/>
      <c r="X628" s="1"/>
    </row>
    <row x14ac:dyDescent="0.25" r="629" customHeight="1" ht="18.75">
      <c r="A629" s="1"/>
      <c r="B629" s="1"/>
      <c r="C629" s="3" t="s">
        <v>121</v>
      </c>
      <c r="D629" s="3" t="s">
        <v>503</v>
      </c>
      <c r="E629" s="1"/>
      <c r="F629" s="1"/>
      <c r="G629" s="1"/>
      <c r="H629" s="1"/>
      <c r="I629" s="2"/>
      <c r="J629" s="1"/>
      <c r="K629" s="1"/>
      <c r="L629" s="1"/>
      <c r="M629" s="1"/>
      <c r="N629" s="1"/>
      <c r="O629" s="1"/>
      <c r="P629" s="1"/>
      <c r="Q629" s="1"/>
      <c r="R629" s="1"/>
      <c r="S629" s="1"/>
      <c r="T629" s="1"/>
      <c r="U629" s="1"/>
      <c r="V629" s="1"/>
      <c r="W629" s="1"/>
      <c r="X629" s="1"/>
    </row>
    <row x14ac:dyDescent="0.25" r="630" customHeight="1" ht="18.75">
      <c r="A630" s="1"/>
      <c r="B630" s="1"/>
      <c r="C630" s="3" t="s">
        <v>300</v>
      </c>
      <c r="D630" s="3" t="s">
        <v>690</v>
      </c>
      <c r="E630" s="1"/>
      <c r="F630" s="1"/>
      <c r="G630" s="1"/>
      <c r="H630" s="1"/>
      <c r="I630" s="2"/>
      <c r="J630" s="1"/>
      <c r="K630" s="1"/>
      <c r="L630" s="1"/>
      <c r="M630" s="1"/>
      <c r="N630" s="1"/>
      <c r="O630" s="1"/>
      <c r="P630" s="1"/>
      <c r="Q630" s="1"/>
      <c r="R630" s="1"/>
      <c r="S630" s="1"/>
      <c r="T630" s="1"/>
      <c r="U630" s="1"/>
      <c r="V630" s="1"/>
      <c r="W630" s="1"/>
      <c r="X630" s="1"/>
    </row>
    <row x14ac:dyDescent="0.25" r="631" customHeight="1" ht="18.75">
      <c r="A631" s="1"/>
      <c r="B631" s="1"/>
      <c r="C631" s="3" t="s">
        <v>121</v>
      </c>
      <c r="D631" s="3" t="s">
        <v>691</v>
      </c>
      <c r="E631" s="1"/>
      <c r="F631" s="1"/>
      <c r="G631" s="1"/>
      <c r="H631" s="1"/>
      <c r="I631" s="2"/>
      <c r="J631" s="1"/>
      <c r="K631" s="1"/>
      <c r="L631" s="1"/>
      <c r="M631" s="1"/>
      <c r="N631" s="1"/>
      <c r="O631" s="1"/>
      <c r="P631" s="1"/>
      <c r="Q631" s="1"/>
      <c r="R631" s="1"/>
      <c r="S631" s="1"/>
      <c r="T631" s="1"/>
      <c r="U631" s="1"/>
      <c r="V631" s="1"/>
      <c r="W631" s="1"/>
      <c r="X631" s="1"/>
    </row>
    <row x14ac:dyDescent="0.25" r="632" customHeight="1" ht="18.75">
      <c r="A632" s="1"/>
      <c r="B632" s="1"/>
      <c r="C632" s="3" t="s">
        <v>300</v>
      </c>
      <c r="D632" s="3" t="s">
        <v>692</v>
      </c>
      <c r="E632" s="1"/>
      <c r="F632" s="1"/>
      <c r="G632" s="1"/>
      <c r="H632" s="1"/>
      <c r="I632" s="2"/>
      <c r="J632" s="1"/>
      <c r="K632" s="1"/>
      <c r="L632" s="1"/>
      <c r="M632" s="1"/>
      <c r="N632" s="1"/>
      <c r="O632" s="1"/>
      <c r="P632" s="1"/>
      <c r="Q632" s="1"/>
      <c r="R632" s="1"/>
      <c r="S632" s="1"/>
      <c r="T632" s="1"/>
      <c r="U632" s="1"/>
      <c r="V632" s="1"/>
      <c r="W632" s="1"/>
      <c r="X632" s="1"/>
    </row>
    <row x14ac:dyDescent="0.25" r="633" customHeight="1" ht="18.75">
      <c r="A633" s="1"/>
      <c r="B633" s="1"/>
      <c r="C633" s="3" t="s">
        <v>141</v>
      </c>
      <c r="D633" s="3" t="s">
        <v>693</v>
      </c>
      <c r="E633" s="1"/>
      <c r="F633" s="1"/>
      <c r="G633" s="1"/>
      <c r="H633" s="1"/>
      <c r="I633" s="2"/>
      <c r="J633" s="1"/>
      <c r="K633" s="1"/>
      <c r="L633" s="1"/>
      <c r="M633" s="1"/>
      <c r="N633" s="1"/>
      <c r="O633" s="1"/>
      <c r="P633" s="1"/>
      <c r="Q633" s="1"/>
      <c r="R633" s="1"/>
      <c r="S633" s="1"/>
      <c r="T633" s="1"/>
      <c r="U633" s="1"/>
      <c r="V633" s="1"/>
      <c r="W633" s="1"/>
      <c r="X633" s="1"/>
    </row>
    <row x14ac:dyDescent="0.25" r="634" customHeight="1" ht="18.75">
      <c r="A634" s="1"/>
      <c r="B634" s="1"/>
      <c r="C634" s="3" t="s">
        <v>300</v>
      </c>
      <c r="D634" s="3" t="s">
        <v>694</v>
      </c>
      <c r="E634" s="1"/>
      <c r="F634" s="1"/>
      <c r="G634" s="1"/>
      <c r="H634" s="1"/>
      <c r="I634" s="2"/>
      <c r="J634" s="1"/>
      <c r="K634" s="1"/>
      <c r="L634" s="1"/>
      <c r="M634" s="1"/>
      <c r="N634" s="1"/>
      <c r="O634" s="1"/>
      <c r="P634" s="1"/>
      <c r="Q634" s="1"/>
      <c r="R634" s="1"/>
      <c r="S634" s="1"/>
      <c r="T634" s="1"/>
      <c r="U634" s="1"/>
      <c r="V634" s="1"/>
      <c r="W634" s="1"/>
      <c r="X634" s="1"/>
    </row>
    <row x14ac:dyDescent="0.25" r="635" customHeight="1" ht="18.75">
      <c r="A635" s="1"/>
      <c r="B635" s="1"/>
      <c r="C635" s="3" t="s">
        <v>121</v>
      </c>
      <c r="D635" s="3" t="s">
        <v>695</v>
      </c>
      <c r="E635" s="1"/>
      <c r="F635" s="1"/>
      <c r="G635" s="1"/>
      <c r="H635" s="1"/>
      <c r="I635" s="2"/>
      <c r="J635" s="1"/>
      <c r="K635" s="1"/>
      <c r="L635" s="1"/>
      <c r="M635" s="1"/>
      <c r="N635" s="1"/>
      <c r="O635" s="1"/>
      <c r="P635" s="1"/>
      <c r="Q635" s="1"/>
      <c r="R635" s="1"/>
      <c r="S635" s="1"/>
      <c r="T635" s="1"/>
      <c r="U635" s="1"/>
      <c r="V635" s="1"/>
      <c r="W635" s="1"/>
      <c r="X635" s="1"/>
    </row>
    <row x14ac:dyDescent="0.25" r="636" customHeight="1" ht="18.75">
      <c r="A636" s="1"/>
      <c r="B636" s="1"/>
      <c r="C636" s="3" t="s">
        <v>639</v>
      </c>
      <c r="D636" s="3" t="s">
        <v>696</v>
      </c>
      <c r="E636" s="1"/>
      <c r="F636" s="1"/>
      <c r="G636" s="1"/>
      <c r="H636" s="1"/>
      <c r="I636" s="2"/>
      <c r="J636" s="1"/>
      <c r="K636" s="1"/>
      <c r="L636" s="1"/>
      <c r="M636" s="1"/>
      <c r="N636" s="1"/>
      <c r="O636" s="1"/>
      <c r="P636" s="1"/>
      <c r="Q636" s="1"/>
      <c r="R636" s="1"/>
      <c r="S636" s="1"/>
      <c r="T636" s="1"/>
      <c r="U636" s="1"/>
      <c r="V636" s="1"/>
      <c r="W636" s="1"/>
      <c r="X636" s="1"/>
    </row>
    <row x14ac:dyDescent="0.25" r="637" customHeight="1" ht="18.75">
      <c r="A637" s="1"/>
      <c r="B637" s="1"/>
      <c r="C637" s="3" t="s">
        <v>404</v>
      </c>
      <c r="D637" s="3" t="s">
        <v>697</v>
      </c>
      <c r="E637" s="1"/>
      <c r="F637" s="1"/>
      <c r="G637" s="1"/>
      <c r="H637" s="1"/>
      <c r="I637" s="2"/>
      <c r="J637" s="1"/>
      <c r="K637" s="1"/>
      <c r="L637" s="1"/>
      <c r="M637" s="1"/>
      <c r="N637" s="1"/>
      <c r="O637" s="1"/>
      <c r="P637" s="1"/>
      <c r="Q637" s="1"/>
      <c r="R637" s="1"/>
      <c r="S637" s="1"/>
      <c r="T637" s="1"/>
      <c r="U637" s="1"/>
      <c r="V637" s="1"/>
      <c r="W637" s="1"/>
      <c r="X637" s="1"/>
    </row>
    <row x14ac:dyDescent="0.25" r="638" customHeight="1" ht="18.75">
      <c r="A638" s="1"/>
      <c r="B638" s="1"/>
      <c r="C638" s="3" t="s">
        <v>121</v>
      </c>
      <c r="D638" s="3" t="s">
        <v>698</v>
      </c>
      <c r="E638" s="1"/>
      <c r="F638" s="1"/>
      <c r="G638" s="1"/>
      <c r="H638" s="1"/>
      <c r="I638" s="2"/>
      <c r="J638" s="1"/>
      <c r="K638" s="1"/>
      <c r="L638" s="1"/>
      <c r="M638" s="1"/>
      <c r="N638" s="1"/>
      <c r="O638" s="1"/>
      <c r="P638" s="1"/>
      <c r="Q638" s="1"/>
      <c r="R638" s="1"/>
      <c r="S638" s="1"/>
      <c r="T638" s="1"/>
      <c r="U638" s="1"/>
      <c r="V638" s="1"/>
      <c r="W638" s="1"/>
      <c r="X638" s="1"/>
    </row>
    <row x14ac:dyDescent="0.25" r="639" customHeight="1" ht="18.75">
      <c r="A639" s="1"/>
      <c r="B639" s="1"/>
      <c r="C639" s="3" t="s">
        <v>300</v>
      </c>
      <c r="D639" s="3" t="s">
        <v>699</v>
      </c>
      <c r="E639" s="1"/>
      <c r="F639" s="1"/>
      <c r="G639" s="1"/>
      <c r="H639" s="1"/>
      <c r="I639" s="2"/>
      <c r="J639" s="1"/>
      <c r="K639" s="1"/>
      <c r="L639" s="1"/>
      <c r="M639" s="1"/>
      <c r="N639" s="1"/>
      <c r="O639" s="1"/>
      <c r="P639" s="1"/>
      <c r="Q639" s="1"/>
      <c r="R639" s="1"/>
      <c r="S639" s="1"/>
      <c r="T639" s="1"/>
      <c r="U639" s="1"/>
      <c r="V639" s="1"/>
      <c r="W639" s="1"/>
      <c r="X639" s="1"/>
    </row>
    <row x14ac:dyDescent="0.25" r="640" customHeight="1" ht="18.75">
      <c r="A640" s="1"/>
      <c r="B640" s="1"/>
      <c r="C640" s="3" t="s">
        <v>121</v>
      </c>
      <c r="D640" s="3" t="s">
        <v>700</v>
      </c>
      <c r="E640" s="1"/>
      <c r="F640" s="1"/>
      <c r="G640" s="1"/>
      <c r="H640" s="1"/>
      <c r="I640" s="2"/>
      <c r="J640" s="1"/>
      <c r="K640" s="1"/>
      <c r="L640" s="1"/>
      <c r="M640" s="1"/>
      <c r="N640" s="1"/>
      <c r="O640" s="1"/>
      <c r="P640" s="1"/>
      <c r="Q640" s="1"/>
      <c r="R640" s="1"/>
      <c r="S640" s="1"/>
      <c r="T640" s="1"/>
      <c r="U640" s="1"/>
      <c r="V640" s="1"/>
      <c r="W640" s="1"/>
      <c r="X640" s="1"/>
    </row>
    <row x14ac:dyDescent="0.25" r="641" customHeight="1" ht="18.75">
      <c r="A641" s="1"/>
      <c r="B641" s="1"/>
      <c r="C641" s="3" t="s">
        <v>300</v>
      </c>
      <c r="D641" s="3" t="s">
        <v>701</v>
      </c>
      <c r="E641" s="1"/>
      <c r="F641" s="1"/>
      <c r="G641" s="1"/>
      <c r="H641" s="1"/>
      <c r="I641" s="2"/>
      <c r="J641" s="1"/>
      <c r="K641" s="1"/>
      <c r="L641" s="1"/>
      <c r="M641" s="1"/>
      <c r="N641" s="1"/>
      <c r="O641" s="1"/>
      <c r="P641" s="1"/>
      <c r="Q641" s="1"/>
      <c r="R641" s="1"/>
      <c r="S641" s="1"/>
      <c r="T641" s="1"/>
      <c r="U641" s="1"/>
      <c r="V641" s="1"/>
      <c r="W641" s="1"/>
      <c r="X641" s="1"/>
    </row>
    <row x14ac:dyDescent="0.25" r="642" customHeight="1" ht="18.75">
      <c r="A642" s="1"/>
      <c r="B642" s="1"/>
      <c r="C642" s="3" t="s">
        <v>141</v>
      </c>
      <c r="D642" s="3" t="s">
        <v>702</v>
      </c>
      <c r="E642" s="1"/>
      <c r="F642" s="1"/>
      <c r="G642" s="1"/>
      <c r="H642" s="1"/>
      <c r="I642" s="2"/>
      <c r="J642" s="1"/>
      <c r="K642" s="1"/>
      <c r="L642" s="1"/>
      <c r="M642" s="1"/>
      <c r="N642" s="1"/>
      <c r="O642" s="1"/>
      <c r="P642" s="1"/>
      <c r="Q642" s="1"/>
      <c r="R642" s="1"/>
      <c r="S642" s="1"/>
      <c r="T642" s="1"/>
      <c r="U642" s="1"/>
      <c r="V642" s="1"/>
      <c r="W642" s="1"/>
      <c r="X642" s="1"/>
    </row>
    <row x14ac:dyDescent="0.25" r="643" customHeight="1" ht="18.75">
      <c r="A643" s="1"/>
      <c r="B643" s="1"/>
      <c r="C643" s="3" t="s">
        <v>121</v>
      </c>
      <c r="D643" s="3" t="s">
        <v>703</v>
      </c>
      <c r="E643" s="1"/>
      <c r="F643" s="1"/>
      <c r="G643" s="1"/>
      <c r="H643" s="1"/>
      <c r="I643" s="2"/>
      <c r="J643" s="1"/>
      <c r="K643" s="1"/>
      <c r="L643" s="1"/>
      <c r="M643" s="1"/>
      <c r="N643" s="1"/>
      <c r="O643" s="1"/>
      <c r="P643" s="1"/>
      <c r="Q643" s="1"/>
      <c r="R643" s="1"/>
      <c r="S643" s="1"/>
      <c r="T643" s="1"/>
      <c r="U643" s="1"/>
      <c r="V643" s="1"/>
      <c r="W643" s="1"/>
      <c r="X643" s="1"/>
    </row>
    <row x14ac:dyDescent="0.25" r="644" customHeight="1" ht="18.75">
      <c r="A644" s="1"/>
      <c r="B644" s="1"/>
      <c r="C644" s="3" t="s">
        <v>300</v>
      </c>
      <c r="D644" s="3" t="s">
        <v>704</v>
      </c>
      <c r="E644" s="1"/>
      <c r="F644" s="1"/>
      <c r="G644" s="1"/>
      <c r="H644" s="1"/>
      <c r="I644" s="2"/>
      <c r="J644" s="1"/>
      <c r="K644" s="1"/>
      <c r="L644" s="1"/>
      <c r="M644" s="1"/>
      <c r="N644" s="1"/>
      <c r="O644" s="1"/>
      <c r="P644" s="1"/>
      <c r="Q644" s="1"/>
      <c r="R644" s="1"/>
      <c r="S644" s="1"/>
      <c r="T644" s="1"/>
      <c r="U644" s="1"/>
      <c r="V644" s="1"/>
      <c r="W644" s="1"/>
      <c r="X644" s="1"/>
    </row>
    <row x14ac:dyDescent="0.25" r="645" customHeight="1" ht="18.75">
      <c r="A645" s="1"/>
      <c r="B645" s="1"/>
      <c r="C645" s="3" t="s">
        <v>300</v>
      </c>
      <c r="D645" s="3" t="s">
        <v>705</v>
      </c>
      <c r="E645" s="1"/>
      <c r="F645" s="1"/>
      <c r="G645" s="1"/>
      <c r="H645" s="1"/>
      <c r="I645" s="2"/>
      <c r="J645" s="1"/>
      <c r="K645" s="1"/>
      <c r="L645" s="1"/>
      <c r="M645" s="1"/>
      <c r="N645" s="1"/>
      <c r="O645" s="1"/>
      <c r="P645" s="1"/>
      <c r="Q645" s="1"/>
      <c r="R645" s="1"/>
      <c r="S645" s="1"/>
      <c r="T645" s="1"/>
      <c r="U645" s="1"/>
      <c r="V645" s="1"/>
      <c r="W645" s="1"/>
      <c r="X645" s="1"/>
    </row>
    <row x14ac:dyDescent="0.25" r="646" customHeight="1" ht="18.75">
      <c r="A646" s="1"/>
      <c r="B646" s="1"/>
      <c r="C646" s="3" t="s">
        <v>300</v>
      </c>
      <c r="D646" s="3" t="s">
        <v>706</v>
      </c>
      <c r="E646" s="1"/>
      <c r="F646" s="1"/>
      <c r="G646" s="1"/>
      <c r="H646" s="1"/>
      <c r="I646" s="2"/>
      <c r="J646" s="1"/>
      <c r="K646" s="1"/>
      <c r="L646" s="1"/>
      <c r="M646" s="1"/>
      <c r="N646" s="1"/>
      <c r="O646" s="1"/>
      <c r="P646" s="1"/>
      <c r="Q646" s="1"/>
      <c r="R646" s="1"/>
      <c r="S646" s="1"/>
      <c r="T646" s="1"/>
      <c r="U646" s="1"/>
      <c r="V646" s="1"/>
      <c r="W646" s="1"/>
      <c r="X646" s="1"/>
    </row>
    <row x14ac:dyDescent="0.25" r="647" customHeight="1" ht="18.75">
      <c r="A647" s="1"/>
      <c r="B647" s="1"/>
      <c r="C647" s="3" t="s">
        <v>495</v>
      </c>
      <c r="D647" s="3" t="s">
        <v>707</v>
      </c>
      <c r="E647" s="1"/>
      <c r="F647" s="1"/>
      <c r="G647" s="1"/>
      <c r="H647" s="1"/>
      <c r="I647" s="2"/>
      <c r="J647" s="1"/>
      <c r="K647" s="1"/>
      <c r="L647" s="1"/>
      <c r="M647" s="1"/>
      <c r="N647" s="1"/>
      <c r="O647" s="1"/>
      <c r="P647" s="1"/>
      <c r="Q647" s="1"/>
      <c r="R647" s="1"/>
      <c r="S647" s="1"/>
      <c r="T647" s="1"/>
      <c r="U647" s="1"/>
      <c r="V647" s="1"/>
      <c r="W647" s="1"/>
      <c r="X647" s="1"/>
    </row>
    <row x14ac:dyDescent="0.25" r="648" customHeight="1" ht="18.75">
      <c r="A648" s="1"/>
      <c r="B648" s="1"/>
      <c r="C648" s="3" t="s">
        <v>300</v>
      </c>
      <c r="D648" s="3" t="s">
        <v>708</v>
      </c>
      <c r="E648" s="1"/>
      <c r="F648" s="1"/>
      <c r="G648" s="1"/>
      <c r="H648" s="1"/>
      <c r="I648" s="2"/>
      <c r="J648" s="1"/>
      <c r="K648" s="1"/>
      <c r="L648" s="1"/>
      <c r="M648" s="1"/>
      <c r="N648" s="1"/>
      <c r="O648" s="1"/>
      <c r="P648" s="1"/>
      <c r="Q648" s="1"/>
      <c r="R648" s="1"/>
      <c r="S648" s="1"/>
      <c r="T648" s="1"/>
      <c r="U648" s="1"/>
      <c r="V648" s="1"/>
      <c r="W648" s="1"/>
      <c r="X648" s="1"/>
    </row>
    <row x14ac:dyDescent="0.25" r="649" customHeight="1" ht="18.75">
      <c r="A649" s="1"/>
      <c r="B649" s="1"/>
      <c r="C649" s="3" t="s">
        <v>121</v>
      </c>
      <c r="D649" s="3" t="s">
        <v>709</v>
      </c>
      <c r="E649" s="1"/>
      <c r="F649" s="1"/>
      <c r="G649" s="1"/>
      <c r="H649" s="1"/>
      <c r="I649" s="2"/>
      <c r="J649" s="1"/>
      <c r="K649" s="1"/>
      <c r="L649" s="1"/>
      <c r="M649" s="1"/>
      <c r="N649" s="1"/>
      <c r="O649" s="1"/>
      <c r="P649" s="1"/>
      <c r="Q649" s="1"/>
      <c r="R649" s="1"/>
      <c r="S649" s="1"/>
      <c r="T649" s="1"/>
      <c r="U649" s="1"/>
      <c r="V649" s="1"/>
      <c r="W649" s="1"/>
      <c r="X649" s="1"/>
    </row>
    <row x14ac:dyDescent="0.25" r="650" customHeight="1" ht="18.75">
      <c r="A650" s="1"/>
      <c r="B650" s="1"/>
      <c r="C650" s="3" t="s">
        <v>300</v>
      </c>
      <c r="D650" s="3" t="s">
        <v>710</v>
      </c>
      <c r="E650" s="1"/>
      <c r="F650" s="1"/>
      <c r="G650" s="1"/>
      <c r="H650" s="1"/>
      <c r="I650" s="2"/>
      <c r="J650" s="1"/>
      <c r="K650" s="1"/>
      <c r="L650" s="1"/>
      <c r="M650" s="1"/>
      <c r="N650" s="1"/>
      <c r="O650" s="1"/>
      <c r="P650" s="1"/>
      <c r="Q650" s="1"/>
      <c r="R650" s="1"/>
      <c r="S650" s="1"/>
      <c r="T650" s="1"/>
      <c r="U650" s="1"/>
      <c r="V650" s="1"/>
      <c r="W650" s="1"/>
      <c r="X650" s="1"/>
    </row>
    <row x14ac:dyDescent="0.25" r="651" customHeight="1" ht="18.75">
      <c r="A651" s="1"/>
      <c r="B651" s="1"/>
      <c r="C651" s="3" t="s">
        <v>300</v>
      </c>
      <c r="D651" s="3" t="s">
        <v>711</v>
      </c>
      <c r="E651" s="1"/>
      <c r="F651" s="1"/>
      <c r="G651" s="1"/>
      <c r="H651" s="1"/>
      <c r="I651" s="2"/>
      <c r="J651" s="1"/>
      <c r="K651" s="1"/>
      <c r="L651" s="1"/>
      <c r="M651" s="1"/>
      <c r="N651" s="1"/>
      <c r="O651" s="1"/>
      <c r="P651" s="1"/>
      <c r="Q651" s="1"/>
      <c r="R651" s="1"/>
      <c r="S651" s="1"/>
      <c r="T651" s="1"/>
      <c r="U651" s="1"/>
      <c r="V651" s="1"/>
      <c r="W651" s="1"/>
      <c r="X651" s="1"/>
    </row>
    <row x14ac:dyDescent="0.25" r="652" customHeight="1" ht="18.75">
      <c r="A652" s="1"/>
      <c r="B652" s="1"/>
      <c r="C652" s="3" t="s">
        <v>300</v>
      </c>
      <c r="D652" s="3" t="s">
        <v>712</v>
      </c>
      <c r="E652" s="1"/>
      <c r="F652" s="1"/>
      <c r="G652" s="1"/>
      <c r="H652" s="1"/>
      <c r="I652" s="2"/>
      <c r="J652" s="1"/>
      <c r="K652" s="1"/>
      <c r="L652" s="1"/>
      <c r="M652" s="1"/>
      <c r="N652" s="1"/>
      <c r="O652" s="1"/>
      <c r="P652" s="1"/>
      <c r="Q652" s="1"/>
      <c r="R652" s="1"/>
      <c r="S652" s="1"/>
      <c r="T652" s="1"/>
      <c r="U652" s="1"/>
      <c r="V652" s="1"/>
      <c r="W652" s="1"/>
      <c r="X652" s="1"/>
    </row>
    <row x14ac:dyDescent="0.25" r="653" customHeight="1" ht="18.75">
      <c r="A653" s="1"/>
      <c r="B653" s="1"/>
      <c r="C653" s="3" t="s">
        <v>404</v>
      </c>
      <c r="D653" s="3" t="s">
        <v>713</v>
      </c>
      <c r="E653" s="1"/>
      <c r="F653" s="1"/>
      <c r="G653" s="1"/>
      <c r="H653" s="1"/>
      <c r="I653" s="2"/>
      <c r="J653" s="1"/>
      <c r="K653" s="1"/>
      <c r="L653" s="1"/>
      <c r="M653" s="1"/>
      <c r="N653" s="1"/>
      <c r="O653" s="1"/>
      <c r="P653" s="1"/>
      <c r="Q653" s="1"/>
      <c r="R653" s="1"/>
      <c r="S653" s="1"/>
      <c r="T653" s="1"/>
      <c r="U653" s="1"/>
      <c r="V653" s="1"/>
      <c r="W653" s="1"/>
      <c r="X653" s="1"/>
    </row>
    <row x14ac:dyDescent="0.25" r="654" customHeight="1" ht="18.75">
      <c r="A654" s="1"/>
      <c r="B654" s="1"/>
      <c r="C654" s="3" t="s">
        <v>300</v>
      </c>
      <c r="D654" s="3" t="s">
        <v>714</v>
      </c>
      <c r="E654" s="1"/>
      <c r="F654" s="1"/>
      <c r="G654" s="1"/>
      <c r="H654" s="1"/>
      <c r="I654" s="2"/>
      <c r="J654" s="1"/>
      <c r="K654" s="1"/>
      <c r="L654" s="1"/>
      <c r="M654" s="1"/>
      <c r="N654" s="1"/>
      <c r="O654" s="1"/>
      <c r="P654" s="1"/>
      <c r="Q654" s="1"/>
      <c r="R654" s="1"/>
      <c r="S654" s="1"/>
      <c r="T654" s="1"/>
      <c r="U654" s="1"/>
      <c r="V654" s="1"/>
      <c r="W654" s="1"/>
      <c r="X654" s="1"/>
    </row>
    <row x14ac:dyDescent="0.25" r="655" customHeight="1" ht="18.75">
      <c r="A655" s="1"/>
      <c r="B655" s="1"/>
      <c r="C655" s="3" t="s">
        <v>300</v>
      </c>
      <c r="D655" s="3" t="s">
        <v>715</v>
      </c>
      <c r="E655" s="1"/>
      <c r="F655" s="1"/>
      <c r="G655" s="1"/>
      <c r="H655" s="1"/>
      <c r="I655" s="2"/>
      <c r="J655" s="1"/>
      <c r="K655" s="1"/>
      <c r="L655" s="1"/>
      <c r="M655" s="1"/>
      <c r="N655" s="1"/>
      <c r="O655" s="1"/>
      <c r="P655" s="1"/>
      <c r="Q655" s="1"/>
      <c r="R655" s="1"/>
      <c r="S655" s="1"/>
      <c r="T655" s="1"/>
      <c r="U655" s="1"/>
      <c r="V655" s="1"/>
      <c r="W655" s="1"/>
      <c r="X655" s="1"/>
    </row>
    <row x14ac:dyDescent="0.25" r="656" customHeight="1" ht="18.75">
      <c r="A656" s="1"/>
      <c r="B656" s="1"/>
      <c r="C656" s="3" t="s">
        <v>639</v>
      </c>
      <c r="D656" s="3" t="s">
        <v>716</v>
      </c>
      <c r="E656" s="1"/>
      <c r="F656" s="1"/>
      <c r="G656" s="1"/>
      <c r="H656" s="1"/>
      <c r="I656" s="2"/>
      <c r="J656" s="1"/>
      <c r="K656" s="1"/>
      <c r="L656" s="1"/>
      <c r="M656" s="1"/>
      <c r="N656" s="1"/>
      <c r="O656" s="1"/>
      <c r="P656" s="1"/>
      <c r="Q656" s="1"/>
      <c r="R656" s="1"/>
      <c r="S656" s="1"/>
      <c r="T656" s="1"/>
      <c r="U656" s="1"/>
      <c r="V656" s="1"/>
      <c r="W656" s="1"/>
      <c r="X656" s="1"/>
    </row>
    <row x14ac:dyDescent="0.25" r="657" customHeight="1" ht="18.75">
      <c r="A657" s="1"/>
      <c r="B657" s="1"/>
      <c r="C657" s="3" t="s">
        <v>300</v>
      </c>
      <c r="D657" s="3" t="s">
        <v>717</v>
      </c>
      <c r="E657" s="1"/>
      <c r="F657" s="1"/>
      <c r="G657" s="1"/>
      <c r="H657" s="1"/>
      <c r="I657" s="2"/>
      <c r="J657" s="1"/>
      <c r="K657" s="1"/>
      <c r="L657" s="1"/>
      <c r="M657" s="1"/>
      <c r="N657" s="1"/>
      <c r="O657" s="1"/>
      <c r="P657" s="1"/>
      <c r="Q657" s="1"/>
      <c r="R657" s="1"/>
      <c r="S657" s="1"/>
      <c r="T657" s="1"/>
      <c r="U657" s="1"/>
      <c r="V657" s="1"/>
      <c r="W657" s="1"/>
      <c r="X657" s="1"/>
    </row>
    <row x14ac:dyDescent="0.25" r="658" customHeight="1" ht="18.75">
      <c r="A658" s="1"/>
      <c r="B658" s="1"/>
      <c r="C658" s="3" t="s">
        <v>639</v>
      </c>
      <c r="D658" s="3" t="s">
        <v>718</v>
      </c>
      <c r="E658" s="1"/>
      <c r="F658" s="1"/>
      <c r="G658" s="1"/>
      <c r="H658" s="1"/>
      <c r="I658" s="2"/>
      <c r="J658" s="1"/>
      <c r="K658" s="1"/>
      <c r="L658" s="1"/>
      <c r="M658" s="1"/>
      <c r="N658" s="1"/>
      <c r="O658" s="1"/>
      <c r="P658" s="1"/>
      <c r="Q658" s="1"/>
      <c r="R658" s="1"/>
      <c r="S658" s="1"/>
      <c r="T658" s="1"/>
      <c r="U658" s="1"/>
      <c r="V658" s="1"/>
      <c r="W658" s="1"/>
      <c r="X658" s="1"/>
    </row>
    <row x14ac:dyDescent="0.25" r="659" customHeight="1" ht="18.75">
      <c r="A659" s="1"/>
      <c r="B659" s="1"/>
      <c r="C659" s="3" t="s">
        <v>639</v>
      </c>
      <c r="D659" s="3" t="s">
        <v>719</v>
      </c>
      <c r="E659" s="1"/>
      <c r="F659" s="1"/>
      <c r="G659" s="1"/>
      <c r="H659" s="1"/>
      <c r="I659" s="2"/>
      <c r="J659" s="1"/>
      <c r="K659" s="1"/>
      <c r="L659" s="1"/>
      <c r="M659" s="1"/>
      <c r="N659" s="1"/>
      <c r="O659" s="1"/>
      <c r="P659" s="1"/>
      <c r="Q659" s="1"/>
      <c r="R659" s="1"/>
      <c r="S659" s="1"/>
      <c r="T659" s="1"/>
      <c r="U659" s="1"/>
      <c r="V659" s="1"/>
      <c r="W659" s="1"/>
      <c r="X659" s="1"/>
    </row>
    <row x14ac:dyDescent="0.25" r="660" customHeight="1" ht="18.75">
      <c r="A660" s="1"/>
      <c r="B660" s="1"/>
      <c r="C660" s="3" t="s">
        <v>121</v>
      </c>
      <c r="D660" s="3" t="s">
        <v>720</v>
      </c>
      <c r="E660" s="1"/>
      <c r="F660" s="1"/>
      <c r="G660" s="1"/>
      <c r="H660" s="1"/>
      <c r="I660" s="2"/>
      <c r="J660" s="1"/>
      <c r="K660" s="1"/>
      <c r="L660" s="1"/>
      <c r="M660" s="1"/>
      <c r="N660" s="1"/>
      <c r="O660" s="1"/>
      <c r="P660" s="1"/>
      <c r="Q660" s="1"/>
      <c r="R660" s="1"/>
      <c r="S660" s="1"/>
      <c r="T660" s="1"/>
      <c r="U660" s="1"/>
      <c r="V660" s="1"/>
      <c r="W660" s="1"/>
      <c r="X660" s="1"/>
    </row>
    <row x14ac:dyDescent="0.25" r="661" customHeight="1" ht="18.75">
      <c r="A661" s="1"/>
      <c r="B661" s="1"/>
      <c r="C661" s="3" t="s">
        <v>300</v>
      </c>
      <c r="D661" s="3" t="s">
        <v>721</v>
      </c>
      <c r="E661" s="1"/>
      <c r="F661" s="1"/>
      <c r="G661" s="1"/>
      <c r="H661" s="1"/>
      <c r="I661" s="2"/>
      <c r="J661" s="1"/>
      <c r="K661" s="1"/>
      <c r="L661" s="1"/>
      <c r="M661" s="1"/>
      <c r="N661" s="1"/>
      <c r="O661" s="1"/>
      <c r="P661" s="1"/>
      <c r="Q661" s="1"/>
      <c r="R661" s="1"/>
      <c r="S661" s="1"/>
      <c r="T661" s="1"/>
      <c r="U661" s="1"/>
      <c r="V661" s="1"/>
      <c r="W661" s="1"/>
      <c r="X661" s="1"/>
    </row>
    <row x14ac:dyDescent="0.25" r="662" customHeight="1" ht="18.75">
      <c r="A662" s="1"/>
      <c r="B662" s="1"/>
      <c r="C662" s="3" t="s">
        <v>404</v>
      </c>
      <c r="D662" s="3" t="s">
        <v>722</v>
      </c>
      <c r="E662" s="1"/>
      <c r="F662" s="1"/>
      <c r="G662" s="1"/>
      <c r="H662" s="1"/>
      <c r="I662" s="2"/>
      <c r="J662" s="1"/>
      <c r="K662" s="1"/>
      <c r="L662" s="1"/>
      <c r="M662" s="1"/>
      <c r="N662" s="1"/>
      <c r="O662" s="1"/>
      <c r="P662" s="1"/>
      <c r="Q662" s="1"/>
      <c r="R662" s="1"/>
      <c r="S662" s="1"/>
      <c r="T662" s="1"/>
      <c r="U662" s="1"/>
      <c r="V662" s="1"/>
      <c r="W662" s="1"/>
      <c r="X662" s="1"/>
    </row>
    <row x14ac:dyDescent="0.25" r="663" customHeight="1" ht="18.75">
      <c r="A663" s="1"/>
      <c r="B663" s="1"/>
      <c r="C663" s="3" t="s">
        <v>404</v>
      </c>
      <c r="D663" s="3" t="s">
        <v>723</v>
      </c>
      <c r="E663" s="1"/>
      <c r="F663" s="1"/>
      <c r="G663" s="1"/>
      <c r="H663" s="1"/>
      <c r="I663" s="2"/>
      <c r="J663" s="1"/>
      <c r="K663" s="1"/>
      <c r="L663" s="1"/>
      <c r="M663" s="1"/>
      <c r="N663" s="1"/>
      <c r="O663" s="1"/>
      <c r="P663" s="1"/>
      <c r="Q663" s="1"/>
      <c r="R663" s="1"/>
      <c r="S663" s="1"/>
      <c r="T663" s="1"/>
      <c r="U663" s="1"/>
      <c r="V663" s="1"/>
      <c r="W663" s="1"/>
      <c r="X663" s="1"/>
    </row>
    <row x14ac:dyDescent="0.25" r="664" customHeight="1" ht="18.75">
      <c r="A664" s="1"/>
      <c r="B664" s="1"/>
      <c r="C664" s="3" t="s">
        <v>121</v>
      </c>
      <c r="D664" s="3" t="s">
        <v>724</v>
      </c>
      <c r="E664" s="1"/>
      <c r="F664" s="1"/>
      <c r="G664" s="1"/>
      <c r="H664" s="1"/>
      <c r="I664" s="2"/>
      <c r="J664" s="1"/>
      <c r="K664" s="1"/>
      <c r="L664" s="1"/>
      <c r="M664" s="1"/>
      <c r="N664" s="1"/>
      <c r="O664" s="1"/>
      <c r="P664" s="1"/>
      <c r="Q664" s="1"/>
      <c r="R664" s="1"/>
      <c r="S664" s="1"/>
      <c r="T664" s="1"/>
      <c r="U664" s="1"/>
      <c r="V664" s="1"/>
      <c r="W664" s="1"/>
      <c r="X664" s="1"/>
    </row>
    <row x14ac:dyDescent="0.25" r="665" customHeight="1" ht="18.75">
      <c r="A665" s="1"/>
      <c r="B665" s="1"/>
      <c r="C665" s="3" t="s">
        <v>121</v>
      </c>
      <c r="D665" s="3" t="s">
        <v>725</v>
      </c>
      <c r="E665" s="1"/>
      <c r="F665" s="1"/>
      <c r="G665" s="1"/>
      <c r="H665" s="1"/>
      <c r="I665" s="2"/>
      <c r="J665" s="1"/>
      <c r="K665" s="1"/>
      <c r="L665" s="1"/>
      <c r="M665" s="1"/>
      <c r="N665" s="1"/>
      <c r="O665" s="1"/>
      <c r="P665" s="1"/>
      <c r="Q665" s="1"/>
      <c r="R665" s="1"/>
      <c r="S665" s="1"/>
      <c r="T665" s="1"/>
      <c r="U665" s="1"/>
      <c r="V665" s="1"/>
      <c r="W665" s="1"/>
      <c r="X665" s="1"/>
    </row>
    <row x14ac:dyDescent="0.25" r="666" customHeight="1" ht="18.75">
      <c r="A666" s="1"/>
      <c r="B666" s="1"/>
      <c r="C666" s="3" t="s">
        <v>121</v>
      </c>
      <c r="D666" s="3" t="s">
        <v>726</v>
      </c>
      <c r="E666" s="1"/>
      <c r="F666" s="1"/>
      <c r="G666" s="1"/>
      <c r="H666" s="1"/>
      <c r="I666" s="2"/>
      <c r="J666" s="1"/>
      <c r="K666" s="1"/>
      <c r="L666" s="1"/>
      <c r="M666" s="1"/>
      <c r="N666" s="1"/>
      <c r="O666" s="1"/>
      <c r="P666" s="1"/>
      <c r="Q666" s="1"/>
      <c r="R666" s="1"/>
      <c r="S666" s="1"/>
      <c r="T666" s="1"/>
      <c r="U666" s="1"/>
      <c r="V666" s="1"/>
      <c r="W666" s="1"/>
      <c r="X666" s="1"/>
    </row>
    <row x14ac:dyDescent="0.25" r="667" customHeight="1" ht="18.75">
      <c r="A667" s="1"/>
      <c r="B667" s="1"/>
      <c r="C667" s="3" t="s">
        <v>300</v>
      </c>
      <c r="D667" s="3" t="s">
        <v>727</v>
      </c>
      <c r="E667" s="1"/>
      <c r="F667" s="1"/>
      <c r="G667" s="1"/>
      <c r="H667" s="1"/>
      <c r="I667" s="2"/>
      <c r="J667" s="1"/>
      <c r="K667" s="1"/>
      <c r="L667" s="1"/>
      <c r="M667" s="1"/>
      <c r="N667" s="1"/>
      <c r="O667" s="1"/>
      <c r="P667" s="1"/>
      <c r="Q667" s="1"/>
      <c r="R667" s="1"/>
      <c r="S667" s="1"/>
      <c r="T667" s="1"/>
      <c r="U667" s="1"/>
      <c r="V667" s="1"/>
      <c r="W667" s="1"/>
      <c r="X667" s="1"/>
    </row>
    <row x14ac:dyDescent="0.25" r="668" customHeight="1" ht="18.75">
      <c r="A668" s="1"/>
      <c r="B668" s="1"/>
      <c r="C668" s="3" t="s">
        <v>121</v>
      </c>
      <c r="D668" s="3" t="s">
        <v>728</v>
      </c>
      <c r="E668" s="1"/>
      <c r="F668" s="1"/>
      <c r="G668" s="1"/>
      <c r="H668" s="1"/>
      <c r="I668" s="2"/>
      <c r="J668" s="1"/>
      <c r="K668" s="1"/>
      <c r="L668" s="1"/>
      <c r="M668" s="1"/>
      <c r="N668" s="1"/>
      <c r="O668" s="1"/>
      <c r="P668" s="1"/>
      <c r="Q668" s="1"/>
      <c r="R668" s="1"/>
      <c r="S668" s="1"/>
      <c r="T668" s="1"/>
      <c r="U668" s="1"/>
      <c r="V668" s="1"/>
      <c r="W668" s="1"/>
      <c r="X668" s="1"/>
    </row>
    <row x14ac:dyDescent="0.25" r="669" customHeight="1" ht="18.75">
      <c r="A669" s="1"/>
      <c r="B669" s="1"/>
      <c r="C669" s="3" t="s">
        <v>121</v>
      </c>
      <c r="D669" s="3" t="s">
        <v>729</v>
      </c>
      <c r="E669" s="1"/>
      <c r="F669" s="1"/>
      <c r="G669" s="1"/>
      <c r="H669" s="1"/>
      <c r="I669" s="2"/>
      <c r="J669" s="1"/>
      <c r="K669" s="1"/>
      <c r="L669" s="1"/>
      <c r="M669" s="1"/>
      <c r="N669" s="1"/>
      <c r="O669" s="1"/>
      <c r="P669" s="1"/>
      <c r="Q669" s="1"/>
      <c r="R669" s="1"/>
      <c r="S669" s="1"/>
      <c r="T669" s="1"/>
      <c r="U669" s="1"/>
      <c r="V669" s="1"/>
      <c r="W669" s="1"/>
      <c r="X669" s="1"/>
    </row>
    <row x14ac:dyDescent="0.25" r="670" customHeight="1" ht="18.75">
      <c r="A670" s="1"/>
      <c r="B670" s="1"/>
      <c r="C670" s="3" t="s">
        <v>121</v>
      </c>
      <c r="D670" s="3" t="s">
        <v>730</v>
      </c>
      <c r="E670" s="1"/>
      <c r="F670" s="1"/>
      <c r="G670" s="1"/>
      <c r="H670" s="1"/>
      <c r="I670" s="2"/>
      <c r="J670" s="1"/>
      <c r="K670" s="1"/>
      <c r="L670" s="1"/>
      <c r="M670" s="1"/>
      <c r="N670" s="1"/>
      <c r="O670" s="1"/>
      <c r="P670" s="1"/>
      <c r="Q670" s="1"/>
      <c r="R670" s="1"/>
      <c r="S670" s="1"/>
      <c r="T670" s="1"/>
      <c r="U670" s="1"/>
      <c r="V670" s="1"/>
      <c r="W670" s="1"/>
      <c r="X670" s="1"/>
    </row>
    <row x14ac:dyDescent="0.25" r="671" customHeight="1" ht="18.75">
      <c r="A671" s="1"/>
      <c r="B671" s="1"/>
      <c r="C671" s="3" t="s">
        <v>300</v>
      </c>
      <c r="D671" s="3" t="s">
        <v>731</v>
      </c>
      <c r="E671" s="1"/>
      <c r="F671" s="1"/>
      <c r="G671" s="1"/>
      <c r="H671" s="1"/>
      <c r="I671" s="2"/>
      <c r="J671" s="1"/>
      <c r="K671" s="1"/>
      <c r="L671" s="1"/>
      <c r="M671" s="1"/>
      <c r="N671" s="1"/>
      <c r="O671" s="1"/>
      <c r="P671" s="1"/>
      <c r="Q671" s="1"/>
      <c r="R671" s="1"/>
      <c r="S671" s="1"/>
      <c r="T671" s="1"/>
      <c r="U671" s="1"/>
      <c r="V671" s="1"/>
      <c r="W671" s="1"/>
      <c r="X671" s="1"/>
    </row>
    <row x14ac:dyDescent="0.25" r="672" customHeight="1" ht="18.75">
      <c r="A672" s="1"/>
      <c r="B672" s="1"/>
      <c r="C672" s="3" t="s">
        <v>121</v>
      </c>
      <c r="D672" s="3" t="s">
        <v>732</v>
      </c>
      <c r="E672" s="1"/>
      <c r="F672" s="1"/>
      <c r="G672" s="1"/>
      <c r="H672" s="1"/>
      <c r="I672" s="2"/>
      <c r="J672" s="1"/>
      <c r="K672" s="1"/>
      <c r="L672" s="1"/>
      <c r="M672" s="1"/>
      <c r="N672" s="1"/>
      <c r="O672" s="1"/>
      <c r="P672" s="1"/>
      <c r="Q672" s="1"/>
      <c r="R672" s="1"/>
      <c r="S672" s="1"/>
      <c r="T672" s="1"/>
      <c r="U672" s="1"/>
      <c r="V672" s="1"/>
      <c r="W672" s="1"/>
      <c r="X672" s="1"/>
    </row>
    <row x14ac:dyDescent="0.25" r="673" customHeight="1" ht="18.75">
      <c r="A673" s="1"/>
      <c r="B673" s="1"/>
      <c r="C673" s="3" t="s">
        <v>300</v>
      </c>
      <c r="D673" s="3" t="s">
        <v>733</v>
      </c>
      <c r="E673" s="1"/>
      <c r="F673" s="1"/>
      <c r="G673" s="1"/>
      <c r="H673" s="1"/>
      <c r="I673" s="2"/>
      <c r="J673" s="1"/>
      <c r="K673" s="1"/>
      <c r="L673" s="1"/>
      <c r="M673" s="1"/>
      <c r="N673" s="1"/>
      <c r="O673" s="1"/>
      <c r="P673" s="1"/>
      <c r="Q673" s="1"/>
      <c r="R673" s="1"/>
      <c r="S673" s="1"/>
      <c r="T673" s="1"/>
      <c r="U673" s="1"/>
      <c r="V673" s="1"/>
      <c r="W673" s="1"/>
      <c r="X673" s="1"/>
    </row>
    <row x14ac:dyDescent="0.25" r="674" customHeight="1" ht="18.75">
      <c r="A674" s="1"/>
      <c r="B674" s="1"/>
      <c r="C674" s="3" t="s">
        <v>121</v>
      </c>
      <c r="D674" s="3" t="s">
        <v>734</v>
      </c>
      <c r="E674" s="1"/>
      <c r="F674" s="1"/>
      <c r="G674" s="1"/>
      <c r="H674" s="1"/>
      <c r="I674" s="2"/>
      <c r="J674" s="1"/>
      <c r="K674" s="1"/>
      <c r="L674" s="1"/>
      <c r="M674" s="1"/>
      <c r="N674" s="1"/>
      <c r="O674" s="1"/>
      <c r="P674" s="1"/>
      <c r="Q674" s="1"/>
      <c r="R674" s="1"/>
      <c r="S674" s="1"/>
      <c r="T674" s="1"/>
      <c r="U674" s="1"/>
      <c r="V674" s="1"/>
      <c r="W674" s="1"/>
      <c r="X674" s="1"/>
    </row>
    <row x14ac:dyDescent="0.25" r="675" customHeight="1" ht="18.75">
      <c r="A675" s="1"/>
      <c r="B675" s="1"/>
      <c r="C675" s="3" t="s">
        <v>300</v>
      </c>
      <c r="D675" s="3" t="s">
        <v>735</v>
      </c>
      <c r="E675" s="1"/>
      <c r="F675" s="1"/>
      <c r="G675" s="1"/>
      <c r="H675" s="1"/>
      <c r="I675" s="2"/>
      <c r="J675" s="1"/>
      <c r="K675" s="1"/>
      <c r="L675" s="1"/>
      <c r="M675" s="1"/>
      <c r="N675" s="1"/>
      <c r="O675" s="1"/>
      <c r="P675" s="1"/>
      <c r="Q675" s="1"/>
      <c r="R675" s="1"/>
      <c r="S675" s="1"/>
      <c r="T675" s="1"/>
      <c r="U675" s="1"/>
      <c r="V675" s="1"/>
      <c r="W675" s="1"/>
      <c r="X675" s="1"/>
    </row>
    <row x14ac:dyDescent="0.25" r="676" customHeight="1" ht="18.75">
      <c r="A676" s="1"/>
      <c r="B676" s="1"/>
      <c r="C676" s="3" t="s">
        <v>495</v>
      </c>
      <c r="D676" s="3" t="s">
        <v>736</v>
      </c>
      <c r="E676" s="1"/>
      <c r="F676" s="1"/>
      <c r="G676" s="1"/>
      <c r="H676" s="1"/>
      <c r="I676" s="2"/>
      <c r="J676" s="1"/>
      <c r="K676" s="1"/>
      <c r="L676" s="1"/>
      <c r="M676" s="1"/>
      <c r="N676" s="1"/>
      <c r="O676" s="1"/>
      <c r="P676" s="1"/>
      <c r="Q676" s="1"/>
      <c r="R676" s="1"/>
      <c r="S676" s="1"/>
      <c r="T676" s="1"/>
      <c r="U676" s="1"/>
      <c r="V676" s="1"/>
      <c r="W676" s="1"/>
      <c r="X676" s="1"/>
    </row>
    <row x14ac:dyDescent="0.25" r="677" customHeight="1" ht="18.75">
      <c r="A677" s="1"/>
      <c r="B677" s="1"/>
      <c r="C677" s="3" t="s">
        <v>121</v>
      </c>
      <c r="D677" s="3" t="s">
        <v>737</v>
      </c>
      <c r="E677" s="1"/>
      <c r="F677" s="1"/>
      <c r="G677" s="1"/>
      <c r="H677" s="1"/>
      <c r="I677" s="2"/>
      <c r="J677" s="1"/>
      <c r="K677" s="1"/>
      <c r="L677" s="1"/>
      <c r="M677" s="1"/>
      <c r="N677" s="1"/>
      <c r="O677" s="1"/>
      <c r="P677" s="1"/>
      <c r="Q677" s="1"/>
      <c r="R677" s="1"/>
      <c r="S677" s="1"/>
      <c r="T677" s="1"/>
      <c r="U677" s="1"/>
      <c r="V677" s="1"/>
      <c r="W677" s="1"/>
      <c r="X677" s="1"/>
    </row>
    <row x14ac:dyDescent="0.25" r="678" customHeight="1" ht="18.75">
      <c r="A678" s="1"/>
      <c r="B678" s="1"/>
      <c r="C678" s="3" t="s">
        <v>300</v>
      </c>
      <c r="D678" s="3" t="s">
        <v>738</v>
      </c>
      <c r="E678" s="1"/>
      <c r="F678" s="1"/>
      <c r="G678" s="1"/>
      <c r="H678" s="1"/>
      <c r="I678" s="2"/>
      <c r="J678" s="1"/>
      <c r="K678" s="1"/>
      <c r="L678" s="1"/>
      <c r="M678" s="1"/>
      <c r="N678" s="1"/>
      <c r="O678" s="1"/>
      <c r="P678" s="1"/>
      <c r="Q678" s="1"/>
      <c r="R678" s="1"/>
      <c r="S678" s="1"/>
      <c r="T678" s="1"/>
      <c r="U678" s="1"/>
      <c r="V678" s="1"/>
      <c r="W678" s="1"/>
      <c r="X678" s="1"/>
    </row>
    <row x14ac:dyDescent="0.25" r="679" customHeight="1" ht="18.75">
      <c r="A679" s="1"/>
      <c r="B679" s="1"/>
      <c r="C679" s="3" t="s">
        <v>300</v>
      </c>
      <c r="D679" s="3" t="s">
        <v>739</v>
      </c>
      <c r="E679" s="1"/>
      <c r="F679" s="1"/>
      <c r="G679" s="1"/>
      <c r="H679" s="1"/>
      <c r="I679" s="2"/>
      <c r="J679" s="1"/>
      <c r="K679" s="1"/>
      <c r="L679" s="1"/>
      <c r="M679" s="1"/>
      <c r="N679" s="1"/>
      <c r="O679" s="1"/>
      <c r="P679" s="1"/>
      <c r="Q679" s="1"/>
      <c r="R679" s="1"/>
      <c r="S679" s="1"/>
      <c r="T679" s="1"/>
      <c r="U679" s="1"/>
      <c r="V679" s="1"/>
      <c r="W679" s="1"/>
      <c r="X679" s="1"/>
    </row>
    <row x14ac:dyDescent="0.25" r="680" customHeight="1" ht="18.75">
      <c r="A680" s="1"/>
      <c r="B680" s="1"/>
      <c r="C680" s="3" t="s">
        <v>300</v>
      </c>
      <c r="D680" s="3" t="s">
        <v>740</v>
      </c>
      <c r="E680" s="1"/>
      <c r="F680" s="1"/>
      <c r="G680" s="1"/>
      <c r="H680" s="1"/>
      <c r="I680" s="2"/>
      <c r="J680" s="1"/>
      <c r="K680" s="1"/>
      <c r="L680" s="1"/>
      <c r="M680" s="1"/>
      <c r="N680" s="1"/>
      <c r="O680" s="1"/>
      <c r="P680" s="1"/>
      <c r="Q680" s="1"/>
      <c r="R680" s="1"/>
      <c r="S680" s="1"/>
      <c r="T680" s="1"/>
      <c r="U680" s="1"/>
      <c r="V680" s="1"/>
      <c r="W680" s="1"/>
      <c r="X680" s="1"/>
    </row>
    <row x14ac:dyDescent="0.25" r="681" customHeight="1" ht="18.75">
      <c r="A681" s="1"/>
      <c r="B681" s="1"/>
      <c r="C681" s="3" t="s">
        <v>300</v>
      </c>
      <c r="D681" s="3" t="s">
        <v>741</v>
      </c>
      <c r="E681" s="1"/>
      <c r="F681" s="1"/>
      <c r="G681" s="1"/>
      <c r="H681" s="1"/>
      <c r="I681" s="2"/>
      <c r="J681" s="1"/>
      <c r="K681" s="1"/>
      <c r="L681" s="1"/>
      <c r="M681" s="1"/>
      <c r="N681" s="1"/>
      <c r="O681" s="1"/>
      <c r="P681" s="1"/>
      <c r="Q681" s="1"/>
      <c r="R681" s="1"/>
      <c r="S681" s="1"/>
      <c r="T681" s="1"/>
      <c r="U681" s="1"/>
      <c r="V681" s="1"/>
      <c r="W681" s="1"/>
      <c r="X681" s="1"/>
    </row>
    <row x14ac:dyDescent="0.25" r="682" customHeight="1" ht="18.75">
      <c r="A682" s="1"/>
      <c r="B682" s="1"/>
      <c r="C682" s="3" t="s">
        <v>300</v>
      </c>
      <c r="D682" s="3" t="s">
        <v>742</v>
      </c>
      <c r="E682" s="1"/>
      <c r="F682" s="1"/>
      <c r="G682" s="1"/>
      <c r="H682" s="1"/>
      <c r="I682" s="2"/>
      <c r="J682" s="1"/>
      <c r="K682" s="1"/>
      <c r="L682" s="1"/>
      <c r="M682" s="1"/>
      <c r="N682" s="1"/>
      <c r="O682" s="1"/>
      <c r="P682" s="1"/>
      <c r="Q682" s="1"/>
      <c r="R682" s="1"/>
      <c r="S682" s="1"/>
      <c r="T682" s="1"/>
      <c r="U682" s="1"/>
      <c r="V682" s="1"/>
      <c r="W682" s="1"/>
      <c r="X682" s="1"/>
    </row>
    <row x14ac:dyDescent="0.25" r="683" customHeight="1" ht="18.75">
      <c r="A683" s="1"/>
      <c r="B683" s="1"/>
      <c r="C683" s="3" t="s">
        <v>300</v>
      </c>
      <c r="D683" s="3" t="s">
        <v>743</v>
      </c>
      <c r="E683" s="1"/>
      <c r="F683" s="1"/>
      <c r="G683" s="1"/>
      <c r="H683" s="1"/>
      <c r="I683" s="2"/>
      <c r="J683" s="1"/>
      <c r="K683" s="1"/>
      <c r="L683" s="1"/>
      <c r="M683" s="1"/>
      <c r="N683" s="1"/>
      <c r="O683" s="1"/>
      <c r="P683" s="1"/>
      <c r="Q683" s="1"/>
      <c r="R683" s="1"/>
      <c r="S683" s="1"/>
      <c r="T683" s="1"/>
      <c r="U683" s="1"/>
      <c r="V683" s="1"/>
      <c r="W683" s="1"/>
      <c r="X683" s="1"/>
    </row>
    <row x14ac:dyDescent="0.25" r="684" customHeight="1" ht="18.75">
      <c r="A684" s="1"/>
      <c r="B684" s="1"/>
      <c r="C684" s="3" t="s">
        <v>121</v>
      </c>
      <c r="D684" s="3" t="s">
        <v>744</v>
      </c>
      <c r="E684" s="1"/>
      <c r="F684" s="1"/>
      <c r="G684" s="1"/>
      <c r="H684" s="1"/>
      <c r="I684" s="2"/>
      <c r="J684" s="1"/>
      <c r="K684" s="1"/>
      <c r="L684" s="1"/>
      <c r="M684" s="1"/>
      <c r="N684" s="1"/>
      <c r="O684" s="1"/>
      <c r="P684" s="1"/>
      <c r="Q684" s="1"/>
      <c r="R684" s="1"/>
      <c r="S684" s="1"/>
      <c r="T684" s="1"/>
      <c r="U684" s="1"/>
      <c r="V684" s="1"/>
      <c r="W684" s="1"/>
      <c r="X684" s="1"/>
    </row>
    <row x14ac:dyDescent="0.25" r="685" customHeight="1" ht="18.75">
      <c r="A685" s="1"/>
      <c r="B685" s="1"/>
      <c r="C685" s="3" t="s">
        <v>404</v>
      </c>
      <c r="D685" s="3" t="s">
        <v>745</v>
      </c>
      <c r="E685" s="1"/>
      <c r="F685" s="1"/>
      <c r="G685" s="1"/>
      <c r="H685" s="1"/>
      <c r="I685" s="2"/>
      <c r="J685" s="1"/>
      <c r="K685" s="1"/>
      <c r="L685" s="1"/>
      <c r="M685" s="1"/>
      <c r="N685" s="1"/>
      <c r="O685" s="1"/>
      <c r="P685" s="1"/>
      <c r="Q685" s="1"/>
      <c r="R685" s="1"/>
      <c r="S685" s="1"/>
      <c r="T685" s="1"/>
      <c r="U685" s="1"/>
      <c r="V685" s="1"/>
      <c r="W685" s="1"/>
      <c r="X685" s="1"/>
    </row>
    <row x14ac:dyDescent="0.25" r="686" customHeight="1" ht="18.75">
      <c r="A686" s="1"/>
      <c r="B686" s="1"/>
      <c r="C686" s="3" t="s">
        <v>300</v>
      </c>
      <c r="D686" s="3" t="s">
        <v>746</v>
      </c>
      <c r="E686" s="1"/>
      <c r="F686" s="1"/>
      <c r="G686" s="1"/>
      <c r="H686" s="1"/>
      <c r="I686" s="2"/>
      <c r="J686" s="1"/>
      <c r="K686" s="1"/>
      <c r="L686" s="1"/>
      <c r="M686" s="1"/>
      <c r="N686" s="1"/>
      <c r="O686" s="1"/>
      <c r="P686" s="1"/>
      <c r="Q686" s="1"/>
      <c r="R686" s="1"/>
      <c r="S686" s="1"/>
      <c r="T686" s="1"/>
      <c r="U686" s="1"/>
      <c r="V686" s="1"/>
      <c r="W686" s="1"/>
      <c r="X686" s="1"/>
    </row>
    <row x14ac:dyDescent="0.25" r="687" customHeight="1" ht="18.75">
      <c r="A687" s="1"/>
      <c r="B687" s="1"/>
      <c r="C687" s="3" t="s">
        <v>300</v>
      </c>
      <c r="D687" s="3" t="s">
        <v>747</v>
      </c>
      <c r="E687" s="1"/>
      <c r="F687" s="1"/>
      <c r="G687" s="1"/>
      <c r="H687" s="1"/>
      <c r="I687" s="2"/>
      <c r="J687" s="1"/>
      <c r="K687" s="1"/>
      <c r="L687" s="1"/>
      <c r="M687" s="1"/>
      <c r="N687" s="1"/>
      <c r="O687" s="1"/>
      <c r="P687" s="1"/>
      <c r="Q687" s="1"/>
      <c r="R687" s="1"/>
      <c r="S687" s="1"/>
      <c r="T687" s="1"/>
      <c r="U687" s="1"/>
      <c r="V687" s="1"/>
      <c r="W687" s="1"/>
      <c r="X687" s="1"/>
    </row>
    <row x14ac:dyDescent="0.25" r="688" customHeight="1" ht="18.75">
      <c r="A688" s="1"/>
      <c r="B688" s="1"/>
      <c r="C688" s="3" t="s">
        <v>300</v>
      </c>
      <c r="D688" s="3" t="s">
        <v>748</v>
      </c>
      <c r="E688" s="1"/>
      <c r="F688" s="1"/>
      <c r="G688" s="1"/>
      <c r="H688" s="1"/>
      <c r="I688" s="2"/>
      <c r="J688" s="1"/>
      <c r="K688" s="1"/>
      <c r="L688" s="1"/>
      <c r="M688" s="1"/>
      <c r="N688" s="1"/>
      <c r="O688" s="1"/>
      <c r="P688" s="1"/>
      <c r="Q688" s="1"/>
      <c r="R688" s="1"/>
      <c r="S688" s="1"/>
      <c r="T688" s="1"/>
      <c r="U688" s="1"/>
      <c r="V688" s="1"/>
      <c r="W688" s="1"/>
      <c r="X688" s="1"/>
    </row>
    <row x14ac:dyDescent="0.25" r="689" customHeight="1" ht="18.75">
      <c r="A689" s="1"/>
      <c r="B689" s="1"/>
      <c r="C689" s="3" t="s">
        <v>300</v>
      </c>
      <c r="D689" s="3" t="s">
        <v>749</v>
      </c>
      <c r="E689" s="1"/>
      <c r="F689" s="1"/>
      <c r="G689" s="1"/>
      <c r="H689" s="1"/>
      <c r="I689" s="2"/>
      <c r="J689" s="1"/>
      <c r="K689" s="1"/>
      <c r="L689" s="1"/>
      <c r="M689" s="1"/>
      <c r="N689" s="1"/>
      <c r="O689" s="1"/>
      <c r="P689" s="1"/>
      <c r="Q689" s="1"/>
      <c r="R689" s="1"/>
      <c r="S689" s="1"/>
      <c r="T689" s="1"/>
      <c r="U689" s="1"/>
      <c r="V689" s="1"/>
      <c r="W689" s="1"/>
      <c r="X689" s="1"/>
    </row>
    <row x14ac:dyDescent="0.25" r="690" customHeight="1" ht="18.75">
      <c r="A690" s="1"/>
      <c r="B690" s="1"/>
      <c r="C690" s="3" t="s">
        <v>141</v>
      </c>
      <c r="D690" s="3" t="s">
        <v>750</v>
      </c>
      <c r="E690" s="1"/>
      <c r="F690" s="1"/>
      <c r="G690" s="1"/>
      <c r="H690" s="1"/>
      <c r="I690" s="2"/>
      <c r="J690" s="1"/>
      <c r="K690" s="1"/>
      <c r="L690" s="1"/>
      <c r="M690" s="1"/>
      <c r="N690" s="1"/>
      <c r="O690" s="1"/>
      <c r="P690" s="1"/>
      <c r="Q690" s="1"/>
      <c r="R690" s="1"/>
      <c r="S690" s="1"/>
      <c r="T690" s="1"/>
      <c r="U690" s="1"/>
      <c r="V690" s="1"/>
      <c r="W690" s="1"/>
      <c r="X690" s="1"/>
    </row>
    <row x14ac:dyDescent="0.25" r="691" customHeight="1" ht="18.75">
      <c r="A691" s="1"/>
      <c r="B691" s="1"/>
      <c r="C691" s="3" t="s">
        <v>121</v>
      </c>
      <c r="D691" s="3" t="s">
        <v>751</v>
      </c>
      <c r="E691" s="1"/>
      <c r="F691" s="1"/>
      <c r="G691" s="1"/>
      <c r="H691" s="1"/>
      <c r="I691" s="2"/>
      <c r="J691" s="1"/>
      <c r="K691" s="1"/>
      <c r="L691" s="1"/>
      <c r="M691" s="1"/>
      <c r="N691" s="1"/>
      <c r="O691" s="1"/>
      <c r="P691" s="1"/>
      <c r="Q691" s="1"/>
      <c r="R691" s="1"/>
      <c r="S691" s="1"/>
      <c r="T691" s="1"/>
      <c r="U691" s="1"/>
      <c r="V691" s="1"/>
      <c r="W691" s="1"/>
      <c r="X691" s="1"/>
    </row>
    <row x14ac:dyDescent="0.25" r="692" customHeight="1" ht="18.75">
      <c r="A692" s="1"/>
      <c r="B692" s="1"/>
      <c r="C692" s="3" t="s">
        <v>121</v>
      </c>
      <c r="D692" s="3" t="s">
        <v>752</v>
      </c>
      <c r="E692" s="1"/>
      <c r="F692" s="1"/>
      <c r="G692" s="1"/>
      <c r="H692" s="1"/>
      <c r="I692" s="2"/>
      <c r="J692" s="1"/>
      <c r="K692" s="1"/>
      <c r="L692" s="1"/>
      <c r="M692" s="1"/>
      <c r="N692" s="1"/>
      <c r="O692" s="1"/>
      <c r="P692" s="1"/>
      <c r="Q692" s="1"/>
      <c r="R692" s="1"/>
      <c r="S692" s="1"/>
      <c r="T692" s="1"/>
      <c r="U692" s="1"/>
      <c r="V692" s="1"/>
      <c r="W692" s="1"/>
      <c r="X692" s="1"/>
    </row>
    <row x14ac:dyDescent="0.25" r="693" customHeight="1" ht="18.75">
      <c r="A693" s="1"/>
      <c r="B693" s="1"/>
      <c r="C693" s="3" t="s">
        <v>121</v>
      </c>
      <c r="D693" s="3" t="s">
        <v>753</v>
      </c>
      <c r="E693" s="1"/>
      <c r="F693" s="1"/>
      <c r="G693" s="1"/>
      <c r="H693" s="1"/>
      <c r="I693" s="2"/>
      <c r="J693" s="1"/>
      <c r="K693" s="1"/>
      <c r="L693" s="1"/>
      <c r="M693" s="1"/>
      <c r="N693" s="1"/>
      <c r="O693" s="1"/>
      <c r="P693" s="1"/>
      <c r="Q693" s="1"/>
      <c r="R693" s="1"/>
      <c r="S693" s="1"/>
      <c r="T693" s="1"/>
      <c r="U693" s="1"/>
      <c r="V693" s="1"/>
      <c r="W693" s="1"/>
      <c r="X693" s="1"/>
    </row>
    <row x14ac:dyDescent="0.25" r="694" customHeight="1" ht="18.75">
      <c r="A694" s="1"/>
      <c r="B694" s="1"/>
      <c r="C694" s="3" t="s">
        <v>300</v>
      </c>
      <c r="D694" s="3" t="s">
        <v>754</v>
      </c>
      <c r="E694" s="1"/>
      <c r="F694" s="1"/>
      <c r="G694" s="1"/>
      <c r="H694" s="1"/>
      <c r="I694" s="2"/>
      <c r="J694" s="1"/>
      <c r="K694" s="1"/>
      <c r="L694" s="1"/>
      <c r="M694" s="1"/>
      <c r="N694" s="1"/>
      <c r="O694" s="1"/>
      <c r="P694" s="1"/>
      <c r="Q694" s="1"/>
      <c r="R694" s="1"/>
      <c r="S694" s="1"/>
      <c r="T694" s="1"/>
      <c r="U694" s="1"/>
      <c r="V694" s="1"/>
      <c r="W694" s="1"/>
      <c r="X694" s="1"/>
    </row>
    <row x14ac:dyDescent="0.25" r="695" customHeight="1" ht="18.75">
      <c r="A695" s="1"/>
      <c r="B695" s="1"/>
      <c r="C695" s="3" t="s">
        <v>300</v>
      </c>
      <c r="D695" s="3" t="s">
        <v>755</v>
      </c>
      <c r="E695" s="1"/>
      <c r="F695" s="1"/>
      <c r="G695" s="1"/>
      <c r="H695" s="1"/>
      <c r="I695" s="2"/>
      <c r="J695" s="1"/>
      <c r="K695" s="1"/>
      <c r="L695" s="1"/>
      <c r="M695" s="1"/>
      <c r="N695" s="1"/>
      <c r="O695" s="1"/>
      <c r="P695" s="1"/>
      <c r="Q695" s="1"/>
      <c r="R695" s="1"/>
      <c r="S695" s="1"/>
      <c r="T695" s="1"/>
      <c r="U695" s="1"/>
      <c r="V695" s="1"/>
      <c r="W695" s="1"/>
      <c r="X695" s="1"/>
    </row>
    <row x14ac:dyDescent="0.25" r="696" customHeight="1" ht="18.75">
      <c r="A696" s="1"/>
      <c r="B696" s="1"/>
      <c r="C696" s="3" t="s">
        <v>121</v>
      </c>
      <c r="D696" s="3" t="s">
        <v>756</v>
      </c>
      <c r="E696" s="1"/>
      <c r="F696" s="1"/>
      <c r="G696" s="1"/>
      <c r="H696" s="1"/>
      <c r="I696" s="2"/>
      <c r="J696" s="1"/>
      <c r="K696" s="1"/>
      <c r="L696" s="1"/>
      <c r="M696" s="1"/>
      <c r="N696" s="1"/>
      <c r="O696" s="1"/>
      <c r="P696" s="1"/>
      <c r="Q696" s="1"/>
      <c r="R696" s="1"/>
      <c r="S696" s="1"/>
      <c r="T696" s="1"/>
      <c r="U696" s="1"/>
      <c r="V696" s="1"/>
      <c r="W696" s="1"/>
      <c r="X696" s="1"/>
    </row>
    <row x14ac:dyDescent="0.25" r="697" customHeight="1" ht="18.75">
      <c r="A697" s="1"/>
      <c r="B697" s="1"/>
      <c r="C697" s="3" t="s">
        <v>300</v>
      </c>
      <c r="D697" s="3" t="s">
        <v>757</v>
      </c>
      <c r="E697" s="1"/>
      <c r="F697" s="1"/>
      <c r="G697" s="1"/>
      <c r="H697" s="1"/>
      <c r="I697" s="2"/>
      <c r="J697" s="1"/>
      <c r="K697" s="1"/>
      <c r="L697" s="1"/>
      <c r="M697" s="1"/>
      <c r="N697" s="1"/>
      <c r="O697" s="1"/>
      <c r="P697" s="1"/>
      <c r="Q697" s="1"/>
      <c r="R697" s="1"/>
      <c r="S697" s="1"/>
      <c r="T697" s="1"/>
      <c r="U697" s="1"/>
      <c r="V697" s="1"/>
      <c r="W697" s="1"/>
      <c r="X697" s="1"/>
    </row>
    <row x14ac:dyDescent="0.25" r="698" customHeight="1" ht="18.75">
      <c r="A698" s="1"/>
      <c r="B698" s="1"/>
      <c r="C698" s="3" t="s">
        <v>300</v>
      </c>
      <c r="D698" s="3" t="s">
        <v>758</v>
      </c>
      <c r="E698" s="1"/>
      <c r="F698" s="1"/>
      <c r="G698" s="1"/>
      <c r="H698" s="1"/>
      <c r="I698" s="2"/>
      <c r="J698" s="1"/>
      <c r="K698" s="1"/>
      <c r="L698" s="1"/>
      <c r="M698" s="1"/>
      <c r="N698" s="1"/>
      <c r="O698" s="1"/>
      <c r="P698" s="1"/>
      <c r="Q698" s="1"/>
      <c r="R698" s="1"/>
      <c r="S698" s="1"/>
      <c r="T698" s="1"/>
      <c r="U698" s="1"/>
      <c r="V698" s="1"/>
      <c r="W698" s="1"/>
      <c r="X698" s="1"/>
    </row>
    <row x14ac:dyDescent="0.25" r="699" customHeight="1" ht="18.75">
      <c r="A699" s="1"/>
      <c r="B699" s="1"/>
      <c r="C699" s="3" t="s">
        <v>300</v>
      </c>
      <c r="D699" s="3" t="s">
        <v>759</v>
      </c>
      <c r="E699" s="1"/>
      <c r="F699" s="1"/>
      <c r="G699" s="1"/>
      <c r="H699" s="1"/>
      <c r="I699" s="2"/>
      <c r="J699" s="1"/>
      <c r="K699" s="1"/>
      <c r="L699" s="1"/>
      <c r="M699" s="1"/>
      <c r="N699" s="1"/>
      <c r="O699" s="1"/>
      <c r="P699" s="1"/>
      <c r="Q699" s="1"/>
      <c r="R699" s="1"/>
      <c r="S699" s="1"/>
      <c r="T699" s="1"/>
      <c r="U699" s="1"/>
      <c r="V699" s="1"/>
      <c r="W699" s="1"/>
      <c r="X699" s="1"/>
    </row>
    <row x14ac:dyDescent="0.25" r="700" customHeight="1" ht="18.75">
      <c r="A700" s="1"/>
      <c r="B700" s="1"/>
      <c r="C700" s="3" t="s">
        <v>121</v>
      </c>
      <c r="D700" s="3" t="s">
        <v>760</v>
      </c>
      <c r="E700" s="1"/>
      <c r="F700" s="1"/>
      <c r="G700" s="1"/>
      <c r="H700" s="1"/>
      <c r="I700" s="2"/>
      <c r="J700" s="1"/>
      <c r="K700" s="1"/>
      <c r="L700" s="1"/>
      <c r="M700" s="1"/>
      <c r="N700" s="1"/>
      <c r="O700" s="1"/>
      <c r="P700" s="1"/>
      <c r="Q700" s="1"/>
      <c r="R700" s="1"/>
      <c r="S700" s="1"/>
      <c r="T700" s="1"/>
      <c r="U700" s="1"/>
      <c r="V700" s="1"/>
      <c r="W700" s="1"/>
      <c r="X700" s="1"/>
    </row>
    <row x14ac:dyDescent="0.25" r="701" customHeight="1" ht="18.75">
      <c r="A701" s="1"/>
      <c r="B701" s="1"/>
      <c r="C701" s="3" t="s">
        <v>121</v>
      </c>
      <c r="D701" s="3" t="s">
        <v>761</v>
      </c>
      <c r="E701" s="1"/>
      <c r="F701" s="1"/>
      <c r="G701" s="1"/>
      <c r="H701" s="1"/>
      <c r="I701" s="2"/>
      <c r="J701" s="1"/>
      <c r="K701" s="1"/>
      <c r="L701" s="1"/>
      <c r="M701" s="1"/>
      <c r="N701" s="1"/>
      <c r="O701" s="1"/>
      <c r="P701" s="1"/>
      <c r="Q701" s="1"/>
      <c r="R701" s="1"/>
      <c r="S701" s="1"/>
      <c r="T701" s="1"/>
      <c r="U701" s="1"/>
      <c r="V701" s="1"/>
      <c r="W701" s="1"/>
      <c r="X701" s="1"/>
    </row>
    <row x14ac:dyDescent="0.25" r="702" customHeight="1" ht="18.75">
      <c r="A702" s="1"/>
      <c r="B702" s="1"/>
      <c r="C702" s="3" t="s">
        <v>121</v>
      </c>
      <c r="D702" s="3" t="s">
        <v>762</v>
      </c>
      <c r="E702" s="1"/>
      <c r="F702" s="1"/>
      <c r="G702" s="1"/>
      <c r="H702" s="1"/>
      <c r="I702" s="2"/>
      <c r="J702" s="1"/>
      <c r="K702" s="1"/>
      <c r="L702" s="1"/>
      <c r="M702" s="1"/>
      <c r="N702" s="1"/>
      <c r="O702" s="1"/>
      <c r="P702" s="1"/>
      <c r="Q702" s="1"/>
      <c r="R702" s="1"/>
      <c r="S702" s="1"/>
      <c r="T702" s="1"/>
      <c r="U702" s="1"/>
      <c r="V702" s="1"/>
      <c r="W702" s="1"/>
      <c r="X702" s="1"/>
    </row>
    <row x14ac:dyDescent="0.25" r="703" customHeight="1" ht="18.75">
      <c r="A703" s="1"/>
      <c r="B703" s="1"/>
      <c r="C703" s="3" t="s">
        <v>121</v>
      </c>
      <c r="D703" s="3" t="s">
        <v>763</v>
      </c>
      <c r="E703" s="1"/>
      <c r="F703" s="1"/>
      <c r="G703" s="1"/>
      <c r="H703" s="1"/>
      <c r="I703" s="2"/>
      <c r="J703" s="1"/>
      <c r="K703" s="1"/>
      <c r="L703" s="1"/>
      <c r="M703" s="1"/>
      <c r="N703" s="1"/>
      <c r="O703" s="1"/>
      <c r="P703" s="1"/>
      <c r="Q703" s="1"/>
      <c r="R703" s="1"/>
      <c r="S703" s="1"/>
      <c r="T703" s="1"/>
      <c r="U703" s="1"/>
      <c r="V703" s="1"/>
      <c r="W703" s="1"/>
      <c r="X703" s="1"/>
    </row>
    <row x14ac:dyDescent="0.25" r="704" customHeight="1" ht="18.75">
      <c r="A704" s="1"/>
      <c r="B704" s="1"/>
      <c r="C704" s="3" t="s">
        <v>300</v>
      </c>
      <c r="D704" s="3" t="s">
        <v>764</v>
      </c>
      <c r="E704" s="1"/>
      <c r="F704" s="1"/>
      <c r="G704" s="1"/>
      <c r="H704" s="1"/>
      <c r="I704" s="2"/>
      <c r="J704" s="1"/>
      <c r="K704" s="1"/>
      <c r="L704" s="1"/>
      <c r="M704" s="1"/>
      <c r="N704" s="1"/>
      <c r="O704" s="1"/>
      <c r="P704" s="1"/>
      <c r="Q704" s="1"/>
      <c r="R704" s="1"/>
      <c r="S704" s="1"/>
      <c r="T704" s="1"/>
      <c r="U704" s="1"/>
      <c r="V704" s="1"/>
      <c r="W704" s="1"/>
      <c r="X704" s="1"/>
    </row>
    <row x14ac:dyDescent="0.25" r="705" customHeight="1" ht="18.75">
      <c r="A705" s="1"/>
      <c r="B705" s="1"/>
      <c r="C705" s="3" t="s">
        <v>300</v>
      </c>
      <c r="D705" s="3" t="s">
        <v>765</v>
      </c>
      <c r="E705" s="1"/>
      <c r="F705" s="1"/>
      <c r="G705" s="1"/>
      <c r="H705" s="1"/>
      <c r="I705" s="2"/>
      <c r="J705" s="1"/>
      <c r="K705" s="1"/>
      <c r="L705" s="1"/>
      <c r="M705" s="1"/>
      <c r="N705" s="1"/>
      <c r="O705" s="1"/>
      <c r="P705" s="1"/>
      <c r="Q705" s="1"/>
      <c r="R705" s="1"/>
      <c r="S705" s="1"/>
      <c r="T705" s="1"/>
      <c r="U705" s="1"/>
      <c r="V705" s="1"/>
      <c r="W705" s="1"/>
      <c r="X705" s="1"/>
    </row>
    <row x14ac:dyDescent="0.25" r="706" customHeight="1" ht="18.75">
      <c r="A706" s="1"/>
      <c r="B706" s="1"/>
      <c r="C706" s="3" t="s">
        <v>121</v>
      </c>
      <c r="D706" s="3" t="s">
        <v>766</v>
      </c>
      <c r="E706" s="1"/>
      <c r="F706" s="1"/>
      <c r="G706" s="1"/>
      <c r="H706" s="1"/>
      <c r="I706" s="2"/>
      <c r="J706" s="1"/>
      <c r="K706" s="1"/>
      <c r="L706" s="1"/>
      <c r="M706" s="1"/>
      <c r="N706" s="1"/>
      <c r="O706" s="1"/>
      <c r="P706" s="1"/>
      <c r="Q706" s="1"/>
      <c r="R706" s="1"/>
      <c r="S706" s="1"/>
      <c r="T706" s="1"/>
      <c r="U706" s="1"/>
      <c r="V706" s="1"/>
      <c r="W706" s="1"/>
      <c r="X706" s="1"/>
    </row>
    <row x14ac:dyDescent="0.25" r="707" customHeight="1" ht="18.75">
      <c r="A707" s="1"/>
      <c r="B707" s="1"/>
      <c r="C707" s="3" t="s">
        <v>300</v>
      </c>
      <c r="D707" s="3" t="s">
        <v>767</v>
      </c>
      <c r="E707" s="1"/>
      <c r="F707" s="1"/>
      <c r="G707" s="1"/>
      <c r="H707" s="1"/>
      <c r="I707" s="2"/>
      <c r="J707" s="1"/>
      <c r="K707" s="1"/>
      <c r="L707" s="1"/>
      <c r="M707" s="1"/>
      <c r="N707" s="1"/>
      <c r="O707" s="1"/>
      <c r="P707" s="1"/>
      <c r="Q707" s="1"/>
      <c r="R707" s="1"/>
      <c r="S707" s="1"/>
      <c r="T707" s="1"/>
      <c r="U707" s="1"/>
      <c r="V707" s="1"/>
      <c r="W707" s="1"/>
      <c r="X707" s="1"/>
    </row>
    <row x14ac:dyDescent="0.25" r="708" customHeight="1" ht="18.75">
      <c r="A708" s="1"/>
      <c r="B708" s="1"/>
      <c r="C708" s="3" t="s">
        <v>121</v>
      </c>
      <c r="D708" s="3" t="s">
        <v>768</v>
      </c>
      <c r="E708" s="1"/>
      <c r="F708" s="1"/>
      <c r="G708" s="1"/>
      <c r="H708" s="1"/>
      <c r="I708" s="2"/>
      <c r="J708" s="1"/>
      <c r="K708" s="1"/>
      <c r="L708" s="1"/>
      <c r="M708" s="1"/>
      <c r="N708" s="1"/>
      <c r="O708" s="1"/>
      <c r="P708" s="1"/>
      <c r="Q708" s="1"/>
      <c r="R708" s="1"/>
      <c r="S708" s="1"/>
      <c r="T708" s="1"/>
      <c r="U708" s="1"/>
      <c r="V708" s="1"/>
      <c r="W708" s="1"/>
      <c r="X708" s="1"/>
    </row>
    <row x14ac:dyDescent="0.25" r="709" customHeight="1" ht="18.75">
      <c r="A709" s="1"/>
      <c r="B709" s="1"/>
      <c r="C709" s="3" t="s">
        <v>121</v>
      </c>
      <c r="D709" s="3" t="s">
        <v>769</v>
      </c>
      <c r="E709" s="1"/>
      <c r="F709" s="1"/>
      <c r="G709" s="1"/>
      <c r="H709" s="1"/>
      <c r="I709" s="2"/>
      <c r="J709" s="1"/>
      <c r="K709" s="1"/>
      <c r="L709" s="1"/>
      <c r="M709" s="1"/>
      <c r="N709" s="1"/>
      <c r="O709" s="1"/>
      <c r="P709" s="1"/>
      <c r="Q709" s="1"/>
      <c r="R709" s="1"/>
      <c r="S709" s="1"/>
      <c r="T709" s="1"/>
      <c r="U709" s="1"/>
      <c r="V709" s="1"/>
      <c r="W709" s="1"/>
      <c r="X709" s="1"/>
    </row>
    <row x14ac:dyDescent="0.25" r="710" customHeight="1" ht="18.75">
      <c r="A710" s="1"/>
      <c r="B710" s="1"/>
      <c r="C710" s="3" t="s">
        <v>121</v>
      </c>
      <c r="D710" s="3" t="s">
        <v>770</v>
      </c>
      <c r="E710" s="1"/>
      <c r="F710" s="1"/>
      <c r="G710" s="1"/>
      <c r="H710" s="1"/>
      <c r="I710" s="2"/>
      <c r="J710" s="1"/>
      <c r="K710" s="1"/>
      <c r="L710" s="1"/>
      <c r="M710" s="1"/>
      <c r="N710" s="1"/>
      <c r="O710" s="1"/>
      <c r="P710" s="1"/>
      <c r="Q710" s="1"/>
      <c r="R710" s="1"/>
      <c r="S710" s="1"/>
      <c r="T710" s="1"/>
      <c r="U710" s="1"/>
      <c r="V710" s="1"/>
      <c r="W710" s="1"/>
      <c r="X710" s="1"/>
    </row>
    <row x14ac:dyDescent="0.25" r="711" customHeight="1" ht="18.75">
      <c r="A711" s="1"/>
      <c r="B711" s="1"/>
      <c r="C711" s="3" t="s">
        <v>121</v>
      </c>
      <c r="D711" s="3" t="s">
        <v>771</v>
      </c>
      <c r="E711" s="1"/>
      <c r="F711" s="1"/>
      <c r="G711" s="1"/>
      <c r="H711" s="1"/>
      <c r="I711" s="2"/>
      <c r="J711" s="1"/>
      <c r="K711" s="1"/>
      <c r="L711" s="1"/>
      <c r="M711" s="1"/>
      <c r="N711" s="1"/>
      <c r="O711" s="1"/>
      <c r="P711" s="1"/>
      <c r="Q711" s="1"/>
      <c r="R711" s="1"/>
      <c r="S711" s="1"/>
      <c r="T711" s="1"/>
      <c r="U711" s="1"/>
      <c r="V711" s="1"/>
      <c r="W711" s="1"/>
      <c r="X711" s="1"/>
    </row>
    <row x14ac:dyDescent="0.25" r="712" customHeight="1" ht="18.75">
      <c r="A712" s="1"/>
      <c r="B712" s="1"/>
      <c r="C712" s="3" t="s">
        <v>300</v>
      </c>
      <c r="D712" s="3" t="s">
        <v>772</v>
      </c>
      <c r="E712" s="1"/>
      <c r="F712" s="1"/>
      <c r="G712" s="1"/>
      <c r="H712" s="1"/>
      <c r="I712" s="2"/>
      <c r="J712" s="1"/>
      <c r="K712" s="1"/>
      <c r="L712" s="1"/>
      <c r="M712" s="1"/>
      <c r="N712" s="1"/>
      <c r="O712" s="1"/>
      <c r="P712" s="1"/>
      <c r="Q712" s="1"/>
      <c r="R712" s="1"/>
      <c r="S712" s="1"/>
      <c r="T712" s="1"/>
      <c r="U712" s="1"/>
      <c r="V712" s="1"/>
      <c r="W712" s="1"/>
      <c r="X712" s="1"/>
    </row>
    <row x14ac:dyDescent="0.25" r="713" customHeight="1" ht="18.75">
      <c r="A713" s="1"/>
      <c r="B713" s="1"/>
      <c r="C713" s="3" t="s">
        <v>121</v>
      </c>
      <c r="D713" s="3" t="s">
        <v>773</v>
      </c>
      <c r="E713" s="1"/>
      <c r="F713" s="1"/>
      <c r="G713" s="1"/>
      <c r="H713" s="1"/>
      <c r="I713" s="2"/>
      <c r="J713" s="1"/>
      <c r="K713" s="1"/>
      <c r="L713" s="1"/>
      <c r="M713" s="1"/>
      <c r="N713" s="1"/>
      <c r="O713" s="1"/>
      <c r="P713" s="1"/>
      <c r="Q713" s="1"/>
      <c r="R713" s="1"/>
      <c r="S713" s="1"/>
      <c r="T713" s="1"/>
      <c r="U713" s="1"/>
      <c r="V713" s="1"/>
      <c r="W713" s="1"/>
      <c r="X713" s="1"/>
    </row>
    <row x14ac:dyDescent="0.25" r="714" customHeight="1" ht="18.75">
      <c r="A714" s="1"/>
      <c r="B714" s="1"/>
      <c r="C714" s="3" t="s">
        <v>121</v>
      </c>
      <c r="D714" s="3" t="s">
        <v>774</v>
      </c>
      <c r="E714" s="1"/>
      <c r="F714" s="1"/>
      <c r="G714" s="1"/>
      <c r="H714" s="1"/>
      <c r="I714" s="2"/>
      <c r="J714" s="1"/>
      <c r="K714" s="1"/>
      <c r="L714" s="1"/>
      <c r="M714" s="1"/>
      <c r="N714" s="1"/>
      <c r="O714" s="1"/>
      <c r="P714" s="1"/>
      <c r="Q714" s="1"/>
      <c r="R714" s="1"/>
      <c r="S714" s="1"/>
      <c r="T714" s="1"/>
      <c r="U714" s="1"/>
      <c r="V714" s="1"/>
      <c r="W714" s="1"/>
      <c r="X714" s="1"/>
    </row>
    <row x14ac:dyDescent="0.25" r="715" customHeight="1" ht="18.75">
      <c r="A715" s="1"/>
      <c r="B715" s="1"/>
      <c r="C715" s="3" t="s">
        <v>121</v>
      </c>
      <c r="D715" s="3" t="s">
        <v>775</v>
      </c>
      <c r="E715" s="1"/>
      <c r="F715" s="1"/>
      <c r="G715" s="1"/>
      <c r="H715" s="1"/>
      <c r="I715" s="2"/>
      <c r="J715" s="1"/>
      <c r="K715" s="1"/>
      <c r="L715" s="1"/>
      <c r="M715" s="1"/>
      <c r="N715" s="1"/>
      <c r="O715" s="1"/>
      <c r="P715" s="1"/>
      <c r="Q715" s="1"/>
      <c r="R715" s="1"/>
      <c r="S715" s="1"/>
      <c r="T715" s="1"/>
      <c r="U715" s="1"/>
      <c r="V715" s="1"/>
      <c r="W715" s="1"/>
      <c r="X715" s="1"/>
    </row>
    <row x14ac:dyDescent="0.25" r="716" customHeight="1" ht="18.75">
      <c r="A716" s="1"/>
      <c r="B716" s="1"/>
      <c r="C716" s="3" t="s">
        <v>121</v>
      </c>
      <c r="D716" s="3" t="s">
        <v>776</v>
      </c>
      <c r="E716" s="1"/>
      <c r="F716" s="1"/>
      <c r="G716" s="1"/>
      <c r="H716" s="1"/>
      <c r="I716" s="2"/>
      <c r="J716" s="1"/>
      <c r="K716" s="1"/>
      <c r="L716" s="1"/>
      <c r="M716" s="1"/>
      <c r="N716" s="1"/>
      <c r="O716" s="1"/>
      <c r="P716" s="1"/>
      <c r="Q716" s="1"/>
      <c r="R716" s="1"/>
      <c r="S716" s="1"/>
      <c r="T716" s="1"/>
      <c r="U716" s="1"/>
      <c r="V716" s="1"/>
      <c r="W716" s="1"/>
      <c r="X716" s="1"/>
    </row>
    <row x14ac:dyDescent="0.25" r="717" customHeight="1" ht="18.75">
      <c r="A717" s="1"/>
      <c r="B717" s="1"/>
      <c r="C717" s="3" t="s">
        <v>121</v>
      </c>
      <c r="D717" s="3" t="s">
        <v>777</v>
      </c>
      <c r="E717" s="1"/>
      <c r="F717" s="1"/>
      <c r="G717" s="1"/>
      <c r="H717" s="1"/>
      <c r="I717" s="2"/>
      <c r="J717" s="1"/>
      <c r="K717" s="1"/>
      <c r="L717" s="1"/>
      <c r="M717" s="1"/>
      <c r="N717" s="1"/>
      <c r="O717" s="1"/>
      <c r="P717" s="1"/>
      <c r="Q717" s="1"/>
      <c r="R717" s="1"/>
      <c r="S717" s="1"/>
      <c r="T717" s="1"/>
      <c r="U717" s="1"/>
      <c r="V717" s="1"/>
      <c r="W717" s="1"/>
      <c r="X717" s="1"/>
    </row>
    <row x14ac:dyDescent="0.25" r="718" customHeight="1" ht="18.75">
      <c r="A718" s="1"/>
      <c r="B718" s="1"/>
      <c r="C718" s="3" t="s">
        <v>300</v>
      </c>
      <c r="D718" s="3" t="s">
        <v>778</v>
      </c>
      <c r="E718" s="1"/>
      <c r="F718" s="1"/>
      <c r="G718" s="1"/>
      <c r="H718" s="1"/>
      <c r="I718" s="2"/>
      <c r="J718" s="1"/>
      <c r="K718" s="1"/>
      <c r="L718" s="1"/>
      <c r="M718" s="1"/>
      <c r="N718" s="1"/>
      <c r="O718" s="1"/>
      <c r="P718" s="1"/>
      <c r="Q718" s="1"/>
      <c r="R718" s="1"/>
      <c r="S718" s="1"/>
      <c r="T718" s="1"/>
      <c r="U718" s="1"/>
      <c r="V718" s="1"/>
      <c r="W718" s="1"/>
      <c r="X718" s="1"/>
    </row>
    <row x14ac:dyDescent="0.25" r="719" customHeight="1" ht="18.75">
      <c r="A719" s="1"/>
      <c r="B719" s="1"/>
      <c r="C719" s="3" t="s">
        <v>300</v>
      </c>
      <c r="D719" s="3" t="s">
        <v>779</v>
      </c>
      <c r="E719" s="1"/>
      <c r="F719" s="1"/>
      <c r="G719" s="1"/>
      <c r="H719" s="1"/>
      <c r="I719" s="2"/>
      <c r="J719" s="1"/>
      <c r="K719" s="1"/>
      <c r="L719" s="1"/>
      <c r="M719" s="1"/>
      <c r="N719" s="1"/>
      <c r="O719" s="1"/>
      <c r="P719" s="1"/>
      <c r="Q719" s="1"/>
      <c r="R719" s="1"/>
      <c r="S719" s="1"/>
      <c r="T719" s="1"/>
      <c r="U719" s="1"/>
      <c r="V719" s="1"/>
      <c r="W719" s="1"/>
      <c r="X719" s="1"/>
    </row>
    <row x14ac:dyDescent="0.25" r="720" customHeight="1" ht="18.75">
      <c r="A720" s="1"/>
      <c r="B720" s="1"/>
      <c r="C720" s="3" t="s">
        <v>121</v>
      </c>
      <c r="D720" s="3" t="s">
        <v>780</v>
      </c>
      <c r="E720" s="1"/>
      <c r="F720" s="1"/>
      <c r="G720" s="1"/>
      <c r="H720" s="1"/>
      <c r="I720" s="2"/>
      <c r="J720" s="1"/>
      <c r="K720" s="1"/>
      <c r="L720" s="1"/>
      <c r="M720" s="1"/>
      <c r="N720" s="1"/>
      <c r="O720" s="1"/>
      <c r="P720" s="1"/>
      <c r="Q720" s="1"/>
      <c r="R720" s="1"/>
      <c r="S720" s="1"/>
      <c r="T720" s="1"/>
      <c r="U720" s="1"/>
      <c r="V720" s="1"/>
      <c r="W720" s="1"/>
      <c r="X720" s="1"/>
    </row>
    <row x14ac:dyDescent="0.25" r="721" customHeight="1" ht="18.75">
      <c r="A721" s="1"/>
      <c r="B721" s="1"/>
      <c r="C721" s="3" t="s">
        <v>404</v>
      </c>
      <c r="D721" s="3" t="s">
        <v>781</v>
      </c>
      <c r="E721" s="1"/>
      <c r="F721" s="1"/>
      <c r="G721" s="1"/>
      <c r="H721" s="1"/>
      <c r="I721" s="2"/>
      <c r="J721" s="1"/>
      <c r="K721" s="1"/>
      <c r="L721" s="1"/>
      <c r="M721" s="1"/>
      <c r="N721" s="1"/>
      <c r="O721" s="1"/>
      <c r="P721" s="1"/>
      <c r="Q721" s="1"/>
      <c r="R721" s="1"/>
      <c r="S721" s="1"/>
      <c r="T721" s="1"/>
      <c r="U721" s="1"/>
      <c r="V721" s="1"/>
      <c r="W721" s="1"/>
      <c r="X721" s="1"/>
    </row>
    <row x14ac:dyDescent="0.25" r="722" customHeight="1" ht="18.75">
      <c r="A722" s="1"/>
      <c r="B722" s="1"/>
      <c r="C722" s="3" t="s">
        <v>404</v>
      </c>
      <c r="D722" s="3" t="s">
        <v>782</v>
      </c>
      <c r="E722" s="1"/>
      <c r="F722" s="1"/>
      <c r="G722" s="1"/>
      <c r="H722" s="1"/>
      <c r="I722" s="2"/>
      <c r="J722" s="1"/>
      <c r="K722" s="1"/>
      <c r="L722" s="1"/>
      <c r="M722" s="1"/>
      <c r="N722" s="1"/>
      <c r="O722" s="1"/>
      <c r="P722" s="1"/>
      <c r="Q722" s="1"/>
      <c r="R722" s="1"/>
      <c r="S722" s="1"/>
      <c r="T722" s="1"/>
      <c r="U722" s="1"/>
      <c r="V722" s="1"/>
      <c r="W722" s="1"/>
      <c r="X722" s="1"/>
    </row>
    <row x14ac:dyDescent="0.25" r="723" customHeight="1" ht="18.75">
      <c r="A723" s="1"/>
      <c r="B723" s="1"/>
      <c r="C723" s="3" t="s">
        <v>404</v>
      </c>
      <c r="D723" s="3" t="s">
        <v>783</v>
      </c>
      <c r="E723" s="1"/>
      <c r="F723" s="1"/>
      <c r="G723" s="1"/>
      <c r="H723" s="1"/>
      <c r="I723" s="2"/>
      <c r="J723" s="1"/>
      <c r="K723" s="1"/>
      <c r="L723" s="1"/>
      <c r="M723" s="1"/>
      <c r="N723" s="1"/>
      <c r="O723" s="1"/>
      <c r="P723" s="1"/>
      <c r="Q723" s="1"/>
      <c r="R723" s="1"/>
      <c r="S723" s="1"/>
      <c r="T723" s="1"/>
      <c r="U723" s="1"/>
      <c r="V723" s="1"/>
      <c r="W723" s="1"/>
      <c r="X723" s="1"/>
    </row>
    <row x14ac:dyDescent="0.25" r="724" customHeight="1" ht="18.75">
      <c r="A724" s="1"/>
      <c r="B724" s="1"/>
      <c r="C724" s="3" t="s">
        <v>495</v>
      </c>
      <c r="D724" s="3" t="s">
        <v>784</v>
      </c>
      <c r="E724" s="1"/>
      <c r="F724" s="1"/>
      <c r="G724" s="1"/>
      <c r="H724" s="1"/>
      <c r="I724" s="2"/>
      <c r="J724" s="1"/>
      <c r="K724" s="1"/>
      <c r="L724" s="1"/>
      <c r="M724" s="1"/>
      <c r="N724" s="1"/>
      <c r="O724" s="1"/>
      <c r="P724" s="1"/>
      <c r="Q724" s="1"/>
      <c r="R724" s="1"/>
      <c r="S724" s="1"/>
      <c r="T724" s="1"/>
      <c r="U724" s="1"/>
      <c r="V724" s="1"/>
      <c r="W724" s="1"/>
      <c r="X724" s="1"/>
    </row>
    <row x14ac:dyDescent="0.25" r="725" customHeight="1" ht="18.75">
      <c r="A725" s="1"/>
      <c r="B725" s="1"/>
      <c r="C725" s="3" t="s">
        <v>300</v>
      </c>
      <c r="D725" s="3" t="s">
        <v>785</v>
      </c>
      <c r="E725" s="1"/>
      <c r="F725" s="1"/>
      <c r="G725" s="1"/>
      <c r="H725" s="1"/>
      <c r="I725" s="2"/>
      <c r="J725" s="1"/>
      <c r="K725" s="1"/>
      <c r="L725" s="1"/>
      <c r="M725" s="1"/>
      <c r="N725" s="1"/>
      <c r="O725" s="1"/>
      <c r="P725" s="1"/>
      <c r="Q725" s="1"/>
      <c r="R725" s="1"/>
      <c r="S725" s="1"/>
      <c r="T725" s="1"/>
      <c r="U725" s="1"/>
      <c r="V725" s="1"/>
      <c r="W725" s="1"/>
      <c r="X725" s="1"/>
    </row>
    <row x14ac:dyDescent="0.25" r="726" customHeight="1" ht="18.75">
      <c r="A726" s="1"/>
      <c r="B726" s="1"/>
      <c r="C726" s="3" t="s">
        <v>300</v>
      </c>
      <c r="D726" s="3" t="s">
        <v>725</v>
      </c>
      <c r="E726" s="1"/>
      <c r="F726" s="1"/>
      <c r="G726" s="1"/>
      <c r="H726" s="1"/>
      <c r="I726" s="2"/>
      <c r="J726" s="1"/>
      <c r="K726" s="1"/>
      <c r="L726" s="1"/>
      <c r="M726" s="1"/>
      <c r="N726" s="1"/>
      <c r="O726" s="1"/>
      <c r="P726" s="1"/>
      <c r="Q726" s="1"/>
      <c r="R726" s="1"/>
      <c r="S726" s="1"/>
      <c r="T726" s="1"/>
      <c r="U726" s="1"/>
      <c r="V726" s="1"/>
      <c r="W726" s="1"/>
      <c r="X726" s="1"/>
    </row>
    <row x14ac:dyDescent="0.25" r="727" customHeight="1" ht="18.75">
      <c r="A727" s="1"/>
      <c r="B727" s="1"/>
      <c r="C727" s="3" t="s">
        <v>121</v>
      </c>
      <c r="D727" s="3" t="s">
        <v>786</v>
      </c>
      <c r="E727" s="1"/>
      <c r="F727" s="1"/>
      <c r="G727" s="1"/>
      <c r="H727" s="1"/>
      <c r="I727" s="2"/>
      <c r="J727" s="1"/>
      <c r="K727" s="1"/>
      <c r="L727" s="1"/>
      <c r="M727" s="1"/>
      <c r="N727" s="1"/>
      <c r="O727" s="1"/>
      <c r="P727" s="1"/>
      <c r="Q727" s="1"/>
      <c r="R727" s="1"/>
      <c r="S727" s="1"/>
      <c r="T727" s="1"/>
      <c r="U727" s="1"/>
      <c r="V727" s="1"/>
      <c r="W727" s="1"/>
      <c r="X727" s="1"/>
    </row>
    <row x14ac:dyDescent="0.25" r="728" customHeight="1" ht="18.75">
      <c r="A728" s="1"/>
      <c r="B728" s="1"/>
      <c r="C728" s="3" t="s">
        <v>300</v>
      </c>
      <c r="D728" s="3" t="s">
        <v>787</v>
      </c>
      <c r="E728" s="1"/>
      <c r="F728" s="1"/>
      <c r="G728" s="1"/>
      <c r="H728" s="1"/>
      <c r="I728" s="2"/>
      <c r="J728" s="1"/>
      <c r="K728" s="1"/>
      <c r="L728" s="1"/>
      <c r="M728" s="1"/>
      <c r="N728" s="1"/>
      <c r="O728" s="1"/>
      <c r="P728" s="1"/>
      <c r="Q728" s="1"/>
      <c r="R728" s="1"/>
      <c r="S728" s="1"/>
      <c r="T728" s="1"/>
      <c r="U728" s="1"/>
      <c r="V728" s="1"/>
      <c r="W728" s="1"/>
      <c r="X728" s="1"/>
    </row>
    <row x14ac:dyDescent="0.25" r="729" customHeight="1" ht="18.75">
      <c r="A729" s="1"/>
      <c r="B729" s="1"/>
      <c r="C729" s="3" t="s">
        <v>121</v>
      </c>
      <c r="D729" s="3" t="s">
        <v>788</v>
      </c>
      <c r="E729" s="1"/>
      <c r="F729" s="1"/>
      <c r="G729" s="1"/>
      <c r="H729" s="1"/>
      <c r="I729" s="2"/>
      <c r="J729" s="1"/>
      <c r="K729" s="1"/>
      <c r="L729" s="1"/>
      <c r="M729" s="1"/>
      <c r="N729" s="1"/>
      <c r="O729" s="1"/>
      <c r="P729" s="1"/>
      <c r="Q729" s="1"/>
      <c r="R729" s="1"/>
      <c r="S729" s="1"/>
      <c r="T729" s="1"/>
      <c r="U729" s="1"/>
      <c r="V729" s="1"/>
      <c r="W729" s="1"/>
      <c r="X729" s="1"/>
    </row>
    <row x14ac:dyDescent="0.25" r="730" customHeight="1" ht="18.75">
      <c r="A730" s="1"/>
      <c r="B730" s="1"/>
      <c r="C730" s="3" t="s">
        <v>121</v>
      </c>
      <c r="D730" s="3" t="s">
        <v>789</v>
      </c>
      <c r="E730" s="1"/>
      <c r="F730" s="1"/>
      <c r="G730" s="1"/>
      <c r="H730" s="1"/>
      <c r="I730" s="2"/>
      <c r="J730" s="1"/>
      <c r="K730" s="1"/>
      <c r="L730" s="1"/>
      <c r="M730" s="1"/>
      <c r="N730" s="1"/>
      <c r="O730" s="1"/>
      <c r="P730" s="1"/>
      <c r="Q730" s="1"/>
      <c r="R730" s="1"/>
      <c r="S730" s="1"/>
      <c r="T730" s="1"/>
      <c r="U730" s="1"/>
      <c r="V730" s="1"/>
      <c r="W730" s="1"/>
      <c r="X730" s="1"/>
    </row>
    <row x14ac:dyDescent="0.25" r="731" customHeight="1" ht="18.75">
      <c r="A731" s="1"/>
      <c r="B731" s="1"/>
      <c r="C731" s="3" t="s">
        <v>121</v>
      </c>
      <c r="D731" s="3" t="s">
        <v>790</v>
      </c>
      <c r="E731" s="1"/>
      <c r="F731" s="1"/>
      <c r="G731" s="1"/>
      <c r="H731" s="1"/>
      <c r="I731" s="2"/>
      <c r="J731" s="1"/>
      <c r="K731" s="1"/>
      <c r="L731" s="1"/>
      <c r="M731" s="1"/>
      <c r="N731" s="1"/>
      <c r="O731" s="1"/>
      <c r="P731" s="1"/>
      <c r="Q731" s="1"/>
      <c r="R731" s="1"/>
      <c r="S731" s="1"/>
      <c r="T731" s="1"/>
      <c r="U731" s="1"/>
      <c r="V731" s="1"/>
      <c r="W731" s="1"/>
      <c r="X731" s="1"/>
    </row>
    <row x14ac:dyDescent="0.25" r="732" customHeight="1" ht="18.75">
      <c r="A732" s="1"/>
      <c r="B732" s="1"/>
      <c r="C732" s="3" t="s">
        <v>121</v>
      </c>
      <c r="D732" s="3" t="s">
        <v>791</v>
      </c>
      <c r="E732" s="1"/>
      <c r="F732" s="1"/>
      <c r="G732" s="1"/>
      <c r="H732" s="1"/>
      <c r="I732" s="2"/>
      <c r="J732" s="1"/>
      <c r="K732" s="1"/>
      <c r="L732" s="1"/>
      <c r="M732" s="1"/>
      <c r="N732" s="1"/>
      <c r="O732" s="1"/>
      <c r="P732" s="1"/>
      <c r="Q732" s="1"/>
      <c r="R732" s="1"/>
      <c r="S732" s="1"/>
      <c r="T732" s="1"/>
      <c r="U732" s="1"/>
      <c r="V732" s="1"/>
      <c r="W732" s="1"/>
      <c r="X732" s="1"/>
    </row>
    <row x14ac:dyDescent="0.25" r="733" customHeight="1" ht="18.75">
      <c r="A733" s="1"/>
      <c r="B733" s="1"/>
      <c r="C733" s="3" t="s">
        <v>300</v>
      </c>
      <c r="D733" s="3" t="s">
        <v>792</v>
      </c>
      <c r="E733" s="1"/>
      <c r="F733" s="1"/>
      <c r="G733" s="1"/>
      <c r="H733" s="1"/>
      <c r="I733" s="2"/>
      <c r="J733" s="1"/>
      <c r="K733" s="1"/>
      <c r="L733" s="1"/>
      <c r="M733" s="1"/>
      <c r="N733" s="1"/>
      <c r="O733" s="1"/>
      <c r="P733" s="1"/>
      <c r="Q733" s="1"/>
      <c r="R733" s="1"/>
      <c r="S733" s="1"/>
      <c r="T733" s="1"/>
      <c r="U733" s="1"/>
      <c r="V733" s="1"/>
      <c r="W733" s="1"/>
      <c r="X733" s="1"/>
    </row>
    <row x14ac:dyDescent="0.25" r="734" customHeight="1" ht="18.75">
      <c r="A734" s="1"/>
      <c r="B734" s="1"/>
      <c r="C734" s="3" t="s">
        <v>300</v>
      </c>
      <c r="D734" s="3" t="s">
        <v>793</v>
      </c>
      <c r="E734" s="1"/>
      <c r="F734" s="1"/>
      <c r="G734" s="1"/>
      <c r="H734" s="1"/>
      <c r="I734" s="2"/>
      <c r="J734" s="1"/>
      <c r="K734" s="1"/>
      <c r="L734" s="1"/>
      <c r="M734" s="1"/>
      <c r="N734" s="1"/>
      <c r="O734" s="1"/>
      <c r="P734" s="1"/>
      <c r="Q734" s="1"/>
      <c r="R734" s="1"/>
      <c r="S734" s="1"/>
      <c r="T734" s="1"/>
      <c r="U734" s="1"/>
      <c r="V734" s="1"/>
      <c r="W734" s="1"/>
      <c r="X734" s="1"/>
    </row>
    <row x14ac:dyDescent="0.25" r="735" customHeight="1" ht="18.75">
      <c r="A735" s="1"/>
      <c r="B735" s="1"/>
      <c r="C735" s="3" t="s">
        <v>121</v>
      </c>
      <c r="D735" s="3" t="s">
        <v>794</v>
      </c>
      <c r="E735" s="1"/>
      <c r="F735" s="1"/>
      <c r="G735" s="1"/>
      <c r="H735" s="1"/>
      <c r="I735" s="2"/>
      <c r="J735" s="1"/>
      <c r="K735" s="1"/>
      <c r="L735" s="1"/>
      <c r="M735" s="1"/>
      <c r="N735" s="1"/>
      <c r="O735" s="1"/>
      <c r="P735" s="1"/>
      <c r="Q735" s="1"/>
      <c r="R735" s="1"/>
      <c r="S735" s="1"/>
      <c r="T735" s="1"/>
      <c r="U735" s="1"/>
      <c r="V735" s="1"/>
      <c r="W735" s="1"/>
      <c r="X735" s="1"/>
    </row>
    <row x14ac:dyDescent="0.25" r="736" customHeight="1" ht="18.75">
      <c r="A736" s="1"/>
      <c r="B736" s="1"/>
      <c r="C736" s="3" t="s">
        <v>121</v>
      </c>
      <c r="D736" s="3" t="s">
        <v>795</v>
      </c>
      <c r="E736" s="1"/>
      <c r="F736" s="1"/>
      <c r="G736" s="1"/>
      <c r="H736" s="1"/>
      <c r="I736" s="2"/>
      <c r="J736" s="1"/>
      <c r="K736" s="1"/>
      <c r="L736" s="1"/>
      <c r="M736" s="1"/>
      <c r="N736" s="1"/>
      <c r="O736" s="1"/>
      <c r="P736" s="1"/>
      <c r="Q736" s="1"/>
      <c r="R736" s="1"/>
      <c r="S736" s="1"/>
      <c r="T736" s="1"/>
      <c r="U736" s="1"/>
      <c r="V736" s="1"/>
      <c r="W736" s="1"/>
      <c r="X736" s="1"/>
    </row>
    <row x14ac:dyDescent="0.25" r="737" customHeight="1" ht="18.75">
      <c r="A737" s="1"/>
      <c r="B737" s="1"/>
      <c r="C737" s="3" t="s">
        <v>300</v>
      </c>
      <c r="D737" s="3" t="s">
        <v>796</v>
      </c>
      <c r="E737" s="1"/>
      <c r="F737" s="1"/>
      <c r="G737" s="1"/>
      <c r="H737" s="1"/>
      <c r="I737" s="2"/>
      <c r="J737" s="1"/>
      <c r="K737" s="1"/>
      <c r="L737" s="1"/>
      <c r="M737" s="1"/>
      <c r="N737" s="1"/>
      <c r="O737" s="1"/>
      <c r="P737" s="1"/>
      <c r="Q737" s="1"/>
      <c r="R737" s="1"/>
      <c r="S737" s="1"/>
      <c r="T737" s="1"/>
      <c r="U737" s="1"/>
      <c r="V737" s="1"/>
      <c r="W737" s="1"/>
      <c r="X737" s="1"/>
    </row>
    <row x14ac:dyDescent="0.25" r="738" customHeight="1" ht="18.75">
      <c r="A738" s="1"/>
      <c r="B738" s="1"/>
      <c r="C738" s="3" t="s">
        <v>121</v>
      </c>
      <c r="D738" s="3" t="s">
        <v>797</v>
      </c>
      <c r="E738" s="1"/>
      <c r="F738" s="1"/>
      <c r="G738" s="1"/>
      <c r="H738" s="1"/>
      <c r="I738" s="2"/>
      <c r="J738" s="1"/>
      <c r="K738" s="1"/>
      <c r="L738" s="1"/>
      <c r="M738" s="1"/>
      <c r="N738" s="1"/>
      <c r="O738" s="1"/>
      <c r="P738" s="1"/>
      <c r="Q738" s="1"/>
      <c r="R738" s="1"/>
      <c r="S738" s="1"/>
      <c r="T738" s="1"/>
      <c r="U738" s="1"/>
      <c r="V738" s="1"/>
      <c r="W738" s="1"/>
      <c r="X738" s="1"/>
    </row>
    <row x14ac:dyDescent="0.25" r="739" customHeight="1" ht="18.75">
      <c r="A739" s="1"/>
      <c r="B739" s="1"/>
      <c r="C739" s="3" t="s">
        <v>121</v>
      </c>
      <c r="D739" s="3" t="s">
        <v>798</v>
      </c>
      <c r="E739" s="1"/>
      <c r="F739" s="1"/>
      <c r="G739" s="1"/>
      <c r="H739" s="1"/>
      <c r="I739" s="2"/>
      <c r="J739" s="1"/>
      <c r="K739" s="1"/>
      <c r="L739" s="1"/>
      <c r="M739" s="1"/>
      <c r="N739" s="1"/>
      <c r="O739" s="1"/>
      <c r="P739" s="1"/>
      <c r="Q739" s="1"/>
      <c r="R739" s="1"/>
      <c r="S739" s="1"/>
      <c r="T739" s="1"/>
      <c r="U739" s="1"/>
      <c r="V739" s="1"/>
      <c r="W739" s="1"/>
      <c r="X739" s="1"/>
    </row>
    <row x14ac:dyDescent="0.25" r="740" customHeight="1" ht="18.75">
      <c r="A740" s="1"/>
      <c r="B740" s="1"/>
      <c r="C740" s="3" t="s">
        <v>121</v>
      </c>
      <c r="D740" s="3" t="s">
        <v>799</v>
      </c>
      <c r="E740" s="1"/>
      <c r="F740" s="1"/>
      <c r="G740" s="1"/>
      <c r="H740" s="1"/>
      <c r="I740" s="2"/>
      <c r="J740" s="1"/>
      <c r="K740" s="1"/>
      <c r="L740" s="1"/>
      <c r="M740" s="1"/>
      <c r="N740" s="1"/>
      <c r="O740" s="1"/>
      <c r="P740" s="1"/>
      <c r="Q740" s="1"/>
      <c r="R740" s="1"/>
      <c r="S740" s="1"/>
      <c r="T740" s="1"/>
      <c r="U740" s="1"/>
      <c r="V740" s="1"/>
      <c r="W740" s="1"/>
      <c r="X740" s="1"/>
    </row>
    <row x14ac:dyDescent="0.25" r="741" customHeight="1" ht="18.75">
      <c r="A741" s="1"/>
      <c r="B741" s="1"/>
      <c r="C741" s="3" t="s">
        <v>121</v>
      </c>
      <c r="D741" s="3" t="s">
        <v>800</v>
      </c>
      <c r="E741" s="1"/>
      <c r="F741" s="1"/>
      <c r="G741" s="1"/>
      <c r="H741" s="1"/>
      <c r="I741" s="2"/>
      <c r="J741" s="1"/>
      <c r="K741" s="1"/>
      <c r="L741" s="1"/>
      <c r="M741" s="1"/>
      <c r="N741" s="1"/>
      <c r="O741" s="1"/>
      <c r="P741" s="1"/>
      <c r="Q741" s="1"/>
      <c r="R741" s="1"/>
      <c r="S741" s="1"/>
      <c r="T741" s="1"/>
      <c r="U741" s="1"/>
      <c r="V741" s="1"/>
      <c r="W741" s="1"/>
      <c r="X741" s="1"/>
    </row>
    <row x14ac:dyDescent="0.25" r="742" customHeight="1" ht="18.75">
      <c r="A742" s="1"/>
      <c r="B742" s="1"/>
      <c r="C742" s="3" t="s">
        <v>121</v>
      </c>
      <c r="D742" s="3" t="s">
        <v>801</v>
      </c>
      <c r="E742" s="1"/>
      <c r="F742" s="1"/>
      <c r="G742" s="1"/>
      <c r="H742" s="1"/>
      <c r="I742" s="2"/>
      <c r="J742" s="1"/>
      <c r="K742" s="1"/>
      <c r="L742" s="1"/>
      <c r="M742" s="1"/>
      <c r="N742" s="1"/>
      <c r="O742" s="1"/>
      <c r="P742" s="1"/>
      <c r="Q742" s="1"/>
      <c r="R742" s="1"/>
      <c r="S742" s="1"/>
      <c r="T742" s="1"/>
      <c r="U742" s="1"/>
      <c r="V742" s="1"/>
      <c r="W742" s="1"/>
      <c r="X742" s="1"/>
    </row>
    <row x14ac:dyDescent="0.25" r="743" customHeight="1" ht="18.75">
      <c r="A743" s="1"/>
      <c r="B743" s="1"/>
      <c r="C743" s="3" t="s">
        <v>404</v>
      </c>
      <c r="D743" s="3" t="s">
        <v>802</v>
      </c>
      <c r="E743" s="1"/>
      <c r="F743" s="1"/>
      <c r="G743" s="1"/>
      <c r="H743" s="1"/>
      <c r="I743" s="2"/>
      <c r="J743" s="1"/>
      <c r="K743" s="1"/>
      <c r="L743" s="1"/>
      <c r="M743" s="1"/>
      <c r="N743" s="1"/>
      <c r="O743" s="1"/>
      <c r="P743" s="1"/>
      <c r="Q743" s="1"/>
      <c r="R743" s="1"/>
      <c r="S743" s="1"/>
      <c r="T743" s="1"/>
      <c r="U743" s="1"/>
      <c r="V743" s="1"/>
      <c r="W743" s="1"/>
      <c r="X743" s="1"/>
    </row>
    <row x14ac:dyDescent="0.25" r="744" customHeight="1" ht="18.75">
      <c r="A744" s="1"/>
      <c r="B744" s="1"/>
      <c r="C744" s="3" t="s">
        <v>300</v>
      </c>
      <c r="D744" s="3" t="s">
        <v>803</v>
      </c>
      <c r="E744" s="1"/>
      <c r="F744" s="1"/>
      <c r="G744" s="1"/>
      <c r="H744" s="1"/>
      <c r="I744" s="2"/>
      <c r="J744" s="1"/>
      <c r="K744" s="1"/>
      <c r="L744" s="1"/>
      <c r="M744" s="1"/>
      <c r="N744" s="1"/>
      <c r="O744" s="1"/>
      <c r="P744" s="1"/>
      <c r="Q744" s="1"/>
      <c r="R744" s="1"/>
      <c r="S744" s="1"/>
      <c r="T744" s="1"/>
      <c r="U744" s="1"/>
      <c r="V744" s="1"/>
      <c r="W744" s="1"/>
      <c r="X744" s="1"/>
    </row>
    <row x14ac:dyDescent="0.25" r="745" customHeight="1" ht="18.75">
      <c r="A745" s="1"/>
      <c r="B745" s="1"/>
      <c r="C745" s="3" t="s">
        <v>121</v>
      </c>
      <c r="D745" s="3" t="s">
        <v>804</v>
      </c>
      <c r="E745" s="1"/>
      <c r="F745" s="1"/>
      <c r="G745" s="1"/>
      <c r="H745" s="1"/>
      <c r="I745" s="2"/>
      <c r="J745" s="1"/>
      <c r="K745" s="1"/>
      <c r="L745" s="1"/>
      <c r="M745" s="1"/>
      <c r="N745" s="1"/>
      <c r="O745" s="1"/>
      <c r="P745" s="1"/>
      <c r="Q745" s="1"/>
      <c r="R745" s="1"/>
      <c r="S745" s="1"/>
      <c r="T745" s="1"/>
      <c r="U745" s="1"/>
      <c r="V745" s="1"/>
      <c r="W745" s="1"/>
      <c r="X745" s="1"/>
    </row>
    <row x14ac:dyDescent="0.25" r="746" customHeight="1" ht="18.75">
      <c r="A746" s="1"/>
      <c r="B746" s="1"/>
      <c r="C746" s="3" t="s">
        <v>121</v>
      </c>
      <c r="D746" s="3" t="s">
        <v>805</v>
      </c>
      <c r="E746" s="1"/>
      <c r="F746" s="1"/>
      <c r="G746" s="1"/>
      <c r="H746" s="1"/>
      <c r="I746" s="2"/>
      <c r="J746" s="1"/>
      <c r="K746" s="1"/>
      <c r="L746" s="1"/>
      <c r="M746" s="1"/>
      <c r="N746" s="1"/>
      <c r="O746" s="1"/>
      <c r="P746" s="1"/>
      <c r="Q746" s="1"/>
      <c r="R746" s="1"/>
      <c r="S746" s="1"/>
      <c r="T746" s="1"/>
      <c r="U746" s="1"/>
      <c r="V746" s="1"/>
      <c r="W746" s="1"/>
      <c r="X746" s="1"/>
    </row>
    <row x14ac:dyDescent="0.25" r="747" customHeight="1" ht="18.75">
      <c r="A747" s="1"/>
      <c r="B747" s="1"/>
      <c r="C747" s="3" t="s">
        <v>300</v>
      </c>
      <c r="D747" s="3" t="s">
        <v>806</v>
      </c>
      <c r="E747" s="1"/>
      <c r="F747" s="1"/>
      <c r="G747" s="1"/>
      <c r="H747" s="1"/>
      <c r="I747" s="2"/>
      <c r="J747" s="1"/>
      <c r="K747" s="1"/>
      <c r="L747" s="1"/>
      <c r="M747" s="1"/>
      <c r="N747" s="1"/>
      <c r="O747" s="1"/>
      <c r="P747" s="1"/>
      <c r="Q747" s="1"/>
      <c r="R747" s="1"/>
      <c r="S747" s="1"/>
      <c r="T747" s="1"/>
      <c r="U747" s="1"/>
      <c r="V747" s="1"/>
      <c r="W747" s="1"/>
      <c r="X747" s="1"/>
    </row>
    <row x14ac:dyDescent="0.25" r="748" customHeight="1" ht="18.75">
      <c r="A748" s="1"/>
      <c r="B748" s="1"/>
      <c r="C748" s="3" t="s">
        <v>300</v>
      </c>
      <c r="D748" s="3" t="s">
        <v>807</v>
      </c>
      <c r="E748" s="1"/>
      <c r="F748" s="1"/>
      <c r="G748" s="1"/>
      <c r="H748" s="1"/>
      <c r="I748" s="2"/>
      <c r="J748" s="1"/>
      <c r="K748" s="1"/>
      <c r="L748" s="1"/>
      <c r="M748" s="1"/>
      <c r="N748" s="1"/>
      <c r="O748" s="1"/>
      <c r="P748" s="1"/>
      <c r="Q748" s="1"/>
      <c r="R748" s="1"/>
      <c r="S748" s="1"/>
      <c r="T748" s="1"/>
      <c r="U748" s="1"/>
      <c r="V748" s="1"/>
      <c r="W748" s="1"/>
      <c r="X748" s="1"/>
    </row>
    <row x14ac:dyDescent="0.25" r="749" customHeight="1" ht="18.75">
      <c r="A749" s="1"/>
      <c r="B749" s="1"/>
      <c r="C749" s="3" t="s">
        <v>300</v>
      </c>
      <c r="D749" s="3" t="s">
        <v>808</v>
      </c>
      <c r="E749" s="1"/>
      <c r="F749" s="1"/>
      <c r="G749" s="1"/>
      <c r="H749" s="1"/>
      <c r="I749" s="2"/>
      <c r="J749" s="1"/>
      <c r="K749" s="1"/>
      <c r="L749" s="1"/>
      <c r="M749" s="1"/>
      <c r="N749" s="1"/>
      <c r="O749" s="1"/>
      <c r="P749" s="1"/>
      <c r="Q749" s="1"/>
      <c r="R749" s="1"/>
      <c r="S749" s="1"/>
      <c r="T749" s="1"/>
      <c r="U749" s="1"/>
      <c r="V749" s="1"/>
      <c r="W749" s="1"/>
      <c r="X749" s="1"/>
    </row>
    <row x14ac:dyDescent="0.25" r="750" customHeight="1" ht="18.75">
      <c r="A750" s="1"/>
      <c r="B750" s="1"/>
      <c r="C750" s="3" t="s">
        <v>639</v>
      </c>
      <c r="D750" s="3" t="s">
        <v>809</v>
      </c>
      <c r="E750" s="1"/>
      <c r="F750" s="1"/>
      <c r="G750" s="1"/>
      <c r="H750" s="1"/>
      <c r="I750" s="2"/>
      <c r="J750" s="1"/>
      <c r="K750" s="1"/>
      <c r="L750" s="1"/>
      <c r="M750" s="1"/>
      <c r="N750" s="1"/>
      <c r="O750" s="1"/>
      <c r="P750" s="1"/>
      <c r="Q750" s="1"/>
      <c r="R750" s="1"/>
      <c r="S750" s="1"/>
      <c r="T750" s="1"/>
      <c r="U750" s="1"/>
      <c r="V750" s="1"/>
      <c r="W750" s="1"/>
      <c r="X750" s="1"/>
    </row>
    <row x14ac:dyDescent="0.25" r="751" customHeight="1" ht="18.75">
      <c r="A751" s="1"/>
      <c r="B751" s="1"/>
      <c r="C751" s="3" t="s">
        <v>121</v>
      </c>
      <c r="D751" s="3" t="s">
        <v>810</v>
      </c>
      <c r="E751" s="1"/>
      <c r="F751" s="1"/>
      <c r="G751" s="1"/>
      <c r="H751" s="1"/>
      <c r="I751" s="2"/>
      <c r="J751" s="1"/>
      <c r="K751" s="1"/>
      <c r="L751" s="1"/>
      <c r="M751" s="1"/>
      <c r="N751" s="1"/>
      <c r="O751" s="1"/>
      <c r="P751" s="1"/>
      <c r="Q751" s="1"/>
      <c r="R751" s="1"/>
      <c r="S751" s="1"/>
      <c r="T751" s="1"/>
      <c r="U751" s="1"/>
      <c r="V751" s="1"/>
      <c r="W751" s="1"/>
      <c r="X751" s="1"/>
    </row>
    <row x14ac:dyDescent="0.25" r="752" customHeight="1" ht="18.75">
      <c r="A752" s="1"/>
      <c r="B752" s="1"/>
      <c r="C752" s="3" t="s">
        <v>300</v>
      </c>
      <c r="D752" s="3" t="s">
        <v>811</v>
      </c>
      <c r="E752" s="1"/>
      <c r="F752" s="1"/>
      <c r="G752" s="1"/>
      <c r="H752" s="1"/>
      <c r="I752" s="2"/>
      <c r="J752" s="1"/>
      <c r="K752" s="1"/>
      <c r="L752" s="1"/>
      <c r="M752" s="1"/>
      <c r="N752" s="1"/>
      <c r="O752" s="1"/>
      <c r="P752" s="1"/>
      <c r="Q752" s="1"/>
      <c r="R752" s="1"/>
      <c r="S752" s="1"/>
      <c r="T752" s="1"/>
      <c r="U752" s="1"/>
      <c r="V752" s="1"/>
      <c r="W752" s="1"/>
      <c r="X752" s="1"/>
    </row>
    <row x14ac:dyDescent="0.25" r="753" customHeight="1" ht="18.75">
      <c r="A753" s="1"/>
      <c r="B753" s="1"/>
      <c r="C753" s="3" t="s">
        <v>300</v>
      </c>
      <c r="D753" s="3" t="s">
        <v>812</v>
      </c>
      <c r="E753" s="1"/>
      <c r="F753" s="1"/>
      <c r="G753" s="1"/>
      <c r="H753" s="1"/>
      <c r="I753" s="2"/>
      <c r="J753" s="1"/>
      <c r="K753" s="1"/>
      <c r="L753" s="1"/>
      <c r="M753" s="1"/>
      <c r="N753" s="1"/>
      <c r="O753" s="1"/>
      <c r="P753" s="1"/>
      <c r="Q753" s="1"/>
      <c r="R753" s="1"/>
      <c r="S753" s="1"/>
      <c r="T753" s="1"/>
      <c r="U753" s="1"/>
      <c r="V753" s="1"/>
      <c r="W753" s="1"/>
      <c r="X753" s="1"/>
    </row>
    <row x14ac:dyDescent="0.25" r="754" customHeight="1" ht="18.75">
      <c r="A754" s="1"/>
      <c r="B754" s="1"/>
      <c r="C754" s="3" t="s">
        <v>300</v>
      </c>
      <c r="D754" s="3" t="s">
        <v>813</v>
      </c>
      <c r="E754" s="1"/>
      <c r="F754" s="1"/>
      <c r="G754" s="1"/>
      <c r="H754" s="1"/>
      <c r="I754" s="2"/>
      <c r="J754" s="1"/>
      <c r="K754" s="1"/>
      <c r="L754" s="1"/>
      <c r="M754" s="1"/>
      <c r="N754" s="1"/>
      <c r="O754" s="1"/>
      <c r="P754" s="1"/>
      <c r="Q754" s="1"/>
      <c r="R754" s="1"/>
      <c r="S754" s="1"/>
      <c r="T754" s="1"/>
      <c r="U754" s="1"/>
      <c r="V754" s="1"/>
      <c r="W754" s="1"/>
      <c r="X754" s="1"/>
    </row>
    <row x14ac:dyDescent="0.25" r="755" customHeight="1" ht="18.75">
      <c r="A755" s="1"/>
      <c r="B755" s="1"/>
      <c r="C755" s="3" t="s">
        <v>300</v>
      </c>
      <c r="D755" s="3" t="s">
        <v>814</v>
      </c>
      <c r="E755" s="1"/>
      <c r="F755" s="1"/>
      <c r="G755" s="1"/>
      <c r="H755" s="1"/>
      <c r="I755" s="2"/>
      <c r="J755" s="1"/>
      <c r="K755" s="1"/>
      <c r="L755" s="1"/>
      <c r="M755" s="1"/>
      <c r="N755" s="1"/>
      <c r="O755" s="1"/>
      <c r="P755" s="1"/>
      <c r="Q755" s="1"/>
      <c r="R755" s="1"/>
      <c r="S755" s="1"/>
      <c r="T755" s="1"/>
      <c r="U755" s="1"/>
      <c r="V755" s="1"/>
      <c r="W755" s="1"/>
      <c r="X755" s="1"/>
    </row>
    <row x14ac:dyDescent="0.25" r="756" customHeight="1" ht="18.75">
      <c r="A756" s="1"/>
      <c r="B756" s="1"/>
      <c r="C756" s="3" t="s">
        <v>404</v>
      </c>
      <c r="D756" s="3" t="s">
        <v>815</v>
      </c>
      <c r="E756" s="1"/>
      <c r="F756" s="1"/>
      <c r="G756" s="1"/>
      <c r="H756" s="1"/>
      <c r="I756" s="2"/>
      <c r="J756" s="1"/>
      <c r="K756" s="1"/>
      <c r="L756" s="1"/>
      <c r="M756" s="1"/>
      <c r="N756" s="1"/>
      <c r="O756" s="1"/>
      <c r="P756" s="1"/>
      <c r="Q756" s="1"/>
      <c r="R756" s="1"/>
      <c r="S756" s="1"/>
      <c r="T756" s="1"/>
      <c r="U756" s="1"/>
      <c r="V756" s="1"/>
      <c r="W756" s="1"/>
      <c r="X756" s="1"/>
    </row>
    <row x14ac:dyDescent="0.25" r="757" customHeight="1" ht="18.75">
      <c r="A757" s="1"/>
      <c r="B757" s="1"/>
      <c r="C757" s="3" t="s">
        <v>121</v>
      </c>
      <c r="D757" s="3" t="s">
        <v>816</v>
      </c>
      <c r="E757" s="1"/>
      <c r="F757" s="1"/>
      <c r="G757" s="1"/>
      <c r="H757" s="1"/>
      <c r="I757" s="2"/>
      <c r="J757" s="1"/>
      <c r="K757" s="1"/>
      <c r="L757" s="1"/>
      <c r="M757" s="1"/>
      <c r="N757" s="1"/>
      <c r="O757" s="1"/>
      <c r="P757" s="1"/>
      <c r="Q757" s="1"/>
      <c r="R757" s="1"/>
      <c r="S757" s="1"/>
      <c r="T757" s="1"/>
      <c r="U757" s="1"/>
      <c r="V757" s="1"/>
      <c r="W757" s="1"/>
      <c r="X757" s="1"/>
    </row>
    <row x14ac:dyDescent="0.25" r="758" customHeight="1" ht="18.75">
      <c r="A758" s="1"/>
      <c r="B758" s="1"/>
      <c r="C758" s="3" t="s">
        <v>121</v>
      </c>
      <c r="D758" s="3" t="s">
        <v>817</v>
      </c>
      <c r="E758" s="1"/>
      <c r="F758" s="1"/>
      <c r="G758" s="1"/>
      <c r="H758" s="1"/>
      <c r="I758" s="2"/>
      <c r="J758" s="1"/>
      <c r="K758" s="1"/>
      <c r="L758" s="1"/>
      <c r="M758" s="1"/>
      <c r="N758" s="1"/>
      <c r="O758" s="1"/>
      <c r="P758" s="1"/>
      <c r="Q758" s="1"/>
      <c r="R758" s="1"/>
      <c r="S758" s="1"/>
      <c r="T758" s="1"/>
      <c r="U758" s="1"/>
      <c r="V758" s="1"/>
      <c r="W758" s="1"/>
      <c r="X758" s="1"/>
    </row>
    <row x14ac:dyDescent="0.25" r="759" customHeight="1" ht="18.75">
      <c r="A759" s="1"/>
      <c r="B759" s="1"/>
      <c r="C759" s="3" t="s">
        <v>404</v>
      </c>
      <c r="D759" s="3" t="s">
        <v>818</v>
      </c>
      <c r="E759" s="1"/>
      <c r="F759" s="1"/>
      <c r="G759" s="1"/>
      <c r="H759" s="1"/>
      <c r="I759" s="2"/>
      <c r="J759" s="1"/>
      <c r="K759" s="1"/>
      <c r="L759" s="1"/>
      <c r="M759" s="1"/>
      <c r="N759" s="1"/>
      <c r="O759" s="1"/>
      <c r="P759" s="1"/>
      <c r="Q759" s="1"/>
      <c r="R759" s="1"/>
      <c r="S759" s="1"/>
      <c r="T759" s="1"/>
      <c r="U759" s="1"/>
      <c r="V759" s="1"/>
      <c r="W759" s="1"/>
      <c r="X759" s="1"/>
    </row>
    <row x14ac:dyDescent="0.25" r="760" customHeight="1" ht="18.75">
      <c r="A760" s="1"/>
      <c r="B760" s="1"/>
      <c r="C760" s="3" t="s">
        <v>121</v>
      </c>
      <c r="D760" s="3" t="s">
        <v>819</v>
      </c>
      <c r="E760" s="1"/>
      <c r="F760" s="1"/>
      <c r="G760" s="1"/>
      <c r="H760" s="1"/>
      <c r="I760" s="2"/>
      <c r="J760" s="1"/>
      <c r="K760" s="1"/>
      <c r="L760" s="1"/>
      <c r="M760" s="1"/>
      <c r="N760" s="1"/>
      <c r="O760" s="1"/>
      <c r="P760" s="1"/>
      <c r="Q760" s="1"/>
      <c r="R760" s="1"/>
      <c r="S760" s="1"/>
      <c r="T760" s="1"/>
      <c r="U760" s="1"/>
      <c r="V760" s="1"/>
      <c r="W760" s="1"/>
      <c r="X760" s="1"/>
    </row>
    <row x14ac:dyDescent="0.25" r="761" customHeight="1" ht="18.75">
      <c r="A761" s="1"/>
      <c r="B761" s="1"/>
      <c r="C761" s="3" t="s">
        <v>121</v>
      </c>
      <c r="D761" s="3" t="s">
        <v>820</v>
      </c>
      <c r="E761" s="1"/>
      <c r="F761" s="1"/>
      <c r="G761" s="1"/>
      <c r="H761" s="1"/>
      <c r="I761" s="2"/>
      <c r="J761" s="1"/>
      <c r="K761" s="1"/>
      <c r="L761" s="1"/>
      <c r="M761" s="1"/>
      <c r="N761" s="1"/>
      <c r="O761" s="1"/>
      <c r="P761" s="1"/>
      <c r="Q761" s="1"/>
      <c r="R761" s="1"/>
      <c r="S761" s="1"/>
      <c r="T761" s="1"/>
      <c r="U761" s="1"/>
      <c r="V761" s="1"/>
      <c r="W761" s="1"/>
      <c r="X761" s="1"/>
    </row>
    <row x14ac:dyDescent="0.25" r="762" customHeight="1" ht="18.75">
      <c r="A762" s="1"/>
      <c r="B762" s="1"/>
      <c r="C762" s="3" t="s">
        <v>121</v>
      </c>
      <c r="D762" s="3" t="s">
        <v>821</v>
      </c>
      <c r="E762" s="1"/>
      <c r="F762" s="1"/>
      <c r="G762" s="1"/>
      <c r="H762" s="1"/>
      <c r="I762" s="2"/>
      <c r="J762" s="1"/>
      <c r="K762" s="1"/>
      <c r="L762" s="1"/>
      <c r="M762" s="1"/>
      <c r="N762" s="1"/>
      <c r="O762" s="1"/>
      <c r="P762" s="1"/>
      <c r="Q762" s="1"/>
      <c r="R762" s="1"/>
      <c r="S762" s="1"/>
      <c r="T762" s="1"/>
      <c r="U762" s="1"/>
      <c r="V762" s="1"/>
      <c r="W762" s="1"/>
      <c r="X762" s="1"/>
    </row>
    <row x14ac:dyDescent="0.25" r="763" customHeight="1" ht="18.75">
      <c r="A763" s="1"/>
      <c r="B763" s="1"/>
      <c r="C763" s="3" t="s">
        <v>300</v>
      </c>
      <c r="D763" s="3" t="s">
        <v>822</v>
      </c>
      <c r="E763" s="1"/>
      <c r="F763" s="1"/>
      <c r="G763" s="1"/>
      <c r="H763" s="1"/>
      <c r="I763" s="2"/>
      <c r="J763" s="1"/>
      <c r="K763" s="1"/>
      <c r="L763" s="1"/>
      <c r="M763" s="1"/>
      <c r="N763" s="1"/>
      <c r="O763" s="1"/>
      <c r="P763" s="1"/>
      <c r="Q763" s="1"/>
      <c r="R763" s="1"/>
      <c r="S763" s="1"/>
      <c r="T763" s="1"/>
      <c r="U763" s="1"/>
      <c r="V763" s="1"/>
      <c r="W763" s="1"/>
      <c r="X763" s="1"/>
    </row>
    <row x14ac:dyDescent="0.25" r="764" customHeight="1" ht="18.75">
      <c r="A764" s="1"/>
      <c r="B764" s="1"/>
      <c r="C764" s="3" t="s">
        <v>121</v>
      </c>
      <c r="D764" s="3" t="s">
        <v>823</v>
      </c>
      <c r="E764" s="1"/>
      <c r="F764" s="1"/>
      <c r="G764" s="1"/>
      <c r="H764" s="1"/>
      <c r="I764" s="2"/>
      <c r="J764" s="1"/>
      <c r="K764" s="1"/>
      <c r="L764" s="1"/>
      <c r="M764" s="1"/>
      <c r="N764" s="1"/>
      <c r="O764" s="1"/>
      <c r="P764" s="1"/>
      <c r="Q764" s="1"/>
      <c r="R764" s="1"/>
      <c r="S764" s="1"/>
      <c r="T764" s="1"/>
      <c r="U764" s="1"/>
      <c r="V764" s="1"/>
      <c r="W764" s="1"/>
      <c r="X764" s="1"/>
    </row>
    <row x14ac:dyDescent="0.25" r="765" customHeight="1" ht="18.75">
      <c r="A765" s="1"/>
      <c r="B765" s="1"/>
      <c r="C765" s="3" t="s">
        <v>300</v>
      </c>
      <c r="D765" s="3" t="s">
        <v>824</v>
      </c>
      <c r="E765" s="1"/>
      <c r="F765" s="1"/>
      <c r="G765" s="1"/>
      <c r="H765" s="1"/>
      <c r="I765" s="2"/>
      <c r="J765" s="1"/>
      <c r="K765" s="1"/>
      <c r="L765" s="1"/>
      <c r="M765" s="1"/>
      <c r="N765" s="1"/>
      <c r="O765" s="1"/>
      <c r="P765" s="1"/>
      <c r="Q765" s="1"/>
      <c r="R765" s="1"/>
      <c r="S765" s="1"/>
      <c r="T765" s="1"/>
      <c r="U765" s="1"/>
      <c r="V765" s="1"/>
      <c r="W765" s="1"/>
      <c r="X765" s="1"/>
    </row>
    <row x14ac:dyDescent="0.25" r="766" customHeight="1" ht="18.75">
      <c r="A766" s="1"/>
      <c r="B766" s="1"/>
      <c r="C766" s="3" t="s">
        <v>300</v>
      </c>
      <c r="D766" s="3" t="s">
        <v>825</v>
      </c>
      <c r="E766" s="1"/>
      <c r="F766" s="1"/>
      <c r="G766" s="1"/>
      <c r="H766" s="1"/>
      <c r="I766" s="2"/>
      <c r="J766" s="1"/>
      <c r="K766" s="1"/>
      <c r="L766" s="1"/>
      <c r="M766" s="1"/>
      <c r="N766" s="1"/>
      <c r="O766" s="1"/>
      <c r="P766" s="1"/>
      <c r="Q766" s="1"/>
      <c r="R766" s="1"/>
      <c r="S766" s="1"/>
      <c r="T766" s="1"/>
      <c r="U766" s="1"/>
      <c r="V766" s="1"/>
      <c r="W766" s="1"/>
      <c r="X766" s="1"/>
    </row>
    <row x14ac:dyDescent="0.25" r="767" customHeight="1" ht="18.75">
      <c r="A767" s="1"/>
      <c r="B767" s="1"/>
      <c r="C767" s="3" t="s">
        <v>121</v>
      </c>
      <c r="D767" s="3" t="s">
        <v>826</v>
      </c>
      <c r="E767" s="1"/>
      <c r="F767" s="1"/>
      <c r="G767" s="1"/>
      <c r="H767" s="1"/>
      <c r="I767" s="2"/>
      <c r="J767" s="1"/>
      <c r="K767" s="1"/>
      <c r="L767" s="1"/>
      <c r="M767" s="1"/>
      <c r="N767" s="1"/>
      <c r="O767" s="1"/>
      <c r="P767" s="1"/>
      <c r="Q767" s="1"/>
      <c r="R767" s="1"/>
      <c r="S767" s="1"/>
      <c r="T767" s="1"/>
      <c r="U767" s="1"/>
      <c r="V767" s="1"/>
      <c r="W767" s="1"/>
      <c r="X767" s="1"/>
    </row>
    <row x14ac:dyDescent="0.25" r="768" customHeight="1" ht="18.75">
      <c r="A768" s="1"/>
      <c r="B768" s="1"/>
      <c r="C768" s="3" t="s">
        <v>300</v>
      </c>
      <c r="D768" s="3" t="s">
        <v>827</v>
      </c>
      <c r="E768" s="1"/>
      <c r="F768" s="1"/>
      <c r="G768" s="1"/>
      <c r="H768" s="1"/>
      <c r="I768" s="2"/>
      <c r="J768" s="1"/>
      <c r="K768" s="1"/>
      <c r="L768" s="1"/>
      <c r="M768" s="1"/>
      <c r="N768" s="1"/>
      <c r="O768" s="1"/>
      <c r="P768" s="1"/>
      <c r="Q768" s="1"/>
      <c r="R768" s="1"/>
      <c r="S768" s="1"/>
      <c r="T768" s="1"/>
      <c r="U768" s="1"/>
      <c r="V768" s="1"/>
      <c r="W768" s="1"/>
      <c r="X768" s="1"/>
    </row>
    <row x14ac:dyDescent="0.25" r="769" customHeight="1" ht="18.75">
      <c r="A769" s="1"/>
      <c r="B769" s="1"/>
      <c r="C769" s="3" t="s">
        <v>121</v>
      </c>
      <c r="D769" s="3" t="s">
        <v>828</v>
      </c>
      <c r="E769" s="1"/>
      <c r="F769" s="1"/>
      <c r="G769" s="1"/>
      <c r="H769" s="1"/>
      <c r="I769" s="2"/>
      <c r="J769" s="1"/>
      <c r="K769" s="1"/>
      <c r="L769" s="1"/>
      <c r="M769" s="1"/>
      <c r="N769" s="1"/>
      <c r="O769" s="1"/>
      <c r="P769" s="1"/>
      <c r="Q769" s="1"/>
      <c r="R769" s="1"/>
      <c r="S769" s="1"/>
      <c r="T769" s="1"/>
      <c r="U769" s="1"/>
      <c r="V769" s="1"/>
      <c r="W769" s="1"/>
      <c r="X769" s="1"/>
    </row>
    <row x14ac:dyDescent="0.25" r="770" customHeight="1" ht="18.75">
      <c r="A770" s="1"/>
      <c r="B770" s="1"/>
      <c r="C770" s="3" t="s">
        <v>121</v>
      </c>
      <c r="D770" s="3" t="s">
        <v>829</v>
      </c>
      <c r="E770" s="1"/>
      <c r="F770" s="1"/>
      <c r="G770" s="1"/>
      <c r="H770" s="1"/>
      <c r="I770" s="2"/>
      <c r="J770" s="1"/>
      <c r="K770" s="1"/>
      <c r="L770" s="1"/>
      <c r="M770" s="1"/>
      <c r="N770" s="1"/>
      <c r="O770" s="1"/>
      <c r="P770" s="1"/>
      <c r="Q770" s="1"/>
      <c r="R770" s="1"/>
      <c r="S770" s="1"/>
      <c r="T770" s="1"/>
      <c r="U770" s="1"/>
      <c r="V770" s="1"/>
      <c r="W770" s="1"/>
      <c r="X770" s="1"/>
    </row>
    <row x14ac:dyDescent="0.25" r="771" customHeight="1" ht="18.75">
      <c r="A771" s="1"/>
      <c r="B771" s="1"/>
      <c r="C771" s="3" t="s">
        <v>300</v>
      </c>
      <c r="D771" s="3" t="s">
        <v>830</v>
      </c>
      <c r="E771" s="1"/>
      <c r="F771" s="1"/>
      <c r="G771" s="1"/>
      <c r="H771" s="1"/>
      <c r="I771" s="2"/>
      <c r="J771" s="1"/>
      <c r="K771" s="1"/>
      <c r="L771" s="1"/>
      <c r="M771" s="1"/>
      <c r="N771" s="1"/>
      <c r="O771" s="1"/>
      <c r="P771" s="1"/>
      <c r="Q771" s="1"/>
      <c r="R771" s="1"/>
      <c r="S771" s="1"/>
      <c r="T771" s="1"/>
      <c r="U771" s="1"/>
      <c r="V771" s="1"/>
      <c r="W771" s="1"/>
      <c r="X771" s="1"/>
    </row>
    <row x14ac:dyDescent="0.25" r="772" customHeight="1" ht="18.75">
      <c r="A772" s="1"/>
      <c r="B772" s="1"/>
      <c r="C772" s="3" t="s">
        <v>121</v>
      </c>
      <c r="D772" s="3" t="s">
        <v>831</v>
      </c>
      <c r="E772" s="1"/>
      <c r="F772" s="1"/>
      <c r="G772" s="1"/>
      <c r="H772" s="1"/>
      <c r="I772" s="2"/>
      <c r="J772" s="1"/>
      <c r="K772" s="1"/>
      <c r="L772" s="1"/>
      <c r="M772" s="1"/>
      <c r="N772" s="1"/>
      <c r="O772" s="1"/>
      <c r="P772" s="1"/>
      <c r="Q772" s="1"/>
      <c r="R772" s="1"/>
      <c r="S772" s="1"/>
      <c r="T772" s="1"/>
      <c r="U772" s="1"/>
      <c r="V772" s="1"/>
      <c r="W772" s="1"/>
      <c r="X772" s="1"/>
    </row>
    <row x14ac:dyDescent="0.25" r="773" customHeight="1" ht="18.75">
      <c r="A773" s="1"/>
      <c r="B773" s="1"/>
      <c r="C773" s="3" t="s">
        <v>121</v>
      </c>
      <c r="D773" s="3" t="s">
        <v>785</v>
      </c>
      <c r="E773" s="1"/>
      <c r="F773" s="1"/>
      <c r="G773" s="1"/>
      <c r="H773" s="1"/>
      <c r="I773" s="2"/>
      <c r="J773" s="1"/>
      <c r="K773" s="1"/>
      <c r="L773" s="1"/>
      <c r="M773" s="1"/>
      <c r="N773" s="1"/>
      <c r="O773" s="1"/>
      <c r="P773" s="1"/>
      <c r="Q773" s="1"/>
      <c r="R773" s="1"/>
      <c r="S773" s="1"/>
      <c r="T773" s="1"/>
      <c r="U773" s="1"/>
      <c r="V773" s="1"/>
      <c r="W773" s="1"/>
      <c r="X773" s="1"/>
    </row>
    <row x14ac:dyDescent="0.25" r="774" customHeight="1" ht="18.75">
      <c r="A774" s="1"/>
      <c r="B774" s="1"/>
      <c r="C774" s="3" t="s">
        <v>300</v>
      </c>
      <c r="D774" s="3" t="s">
        <v>832</v>
      </c>
      <c r="E774" s="1"/>
      <c r="F774" s="1"/>
      <c r="G774" s="1"/>
      <c r="H774" s="1"/>
      <c r="I774" s="2"/>
      <c r="J774" s="1"/>
      <c r="K774" s="1"/>
      <c r="L774" s="1"/>
      <c r="M774" s="1"/>
      <c r="N774" s="1"/>
      <c r="O774" s="1"/>
      <c r="P774" s="1"/>
      <c r="Q774" s="1"/>
      <c r="R774" s="1"/>
      <c r="S774" s="1"/>
      <c r="T774" s="1"/>
      <c r="U774" s="1"/>
      <c r="V774" s="1"/>
      <c r="W774" s="1"/>
      <c r="X774" s="1"/>
    </row>
    <row x14ac:dyDescent="0.25" r="775" customHeight="1" ht="18.75">
      <c r="A775" s="1"/>
      <c r="B775" s="1"/>
      <c r="C775" s="3" t="s">
        <v>121</v>
      </c>
      <c r="D775" s="3" t="s">
        <v>530</v>
      </c>
      <c r="E775" s="1"/>
      <c r="F775" s="1"/>
      <c r="G775" s="1"/>
      <c r="H775" s="1"/>
      <c r="I775" s="2"/>
      <c r="J775" s="1"/>
      <c r="K775" s="1"/>
      <c r="L775" s="1"/>
      <c r="M775" s="1"/>
      <c r="N775" s="1"/>
      <c r="O775" s="1"/>
      <c r="P775" s="1"/>
      <c r="Q775" s="1"/>
      <c r="R775" s="1"/>
      <c r="S775" s="1"/>
      <c r="T775" s="1"/>
      <c r="U775" s="1"/>
      <c r="V775" s="1"/>
      <c r="W775" s="1"/>
      <c r="X775" s="1"/>
    </row>
    <row x14ac:dyDescent="0.25" r="776" customHeight="1" ht="18.75">
      <c r="A776" s="1"/>
      <c r="B776" s="1"/>
      <c r="C776" s="3" t="s">
        <v>300</v>
      </c>
      <c r="D776" s="3" t="s">
        <v>833</v>
      </c>
      <c r="E776" s="1"/>
      <c r="F776" s="1"/>
      <c r="G776" s="1"/>
      <c r="H776" s="1"/>
      <c r="I776" s="2"/>
      <c r="J776" s="1"/>
      <c r="K776" s="1"/>
      <c r="L776" s="1"/>
      <c r="M776" s="1"/>
      <c r="N776" s="1"/>
      <c r="O776" s="1"/>
      <c r="P776" s="1"/>
      <c r="Q776" s="1"/>
      <c r="R776" s="1"/>
      <c r="S776" s="1"/>
      <c r="T776" s="1"/>
      <c r="U776" s="1"/>
      <c r="V776" s="1"/>
      <c r="W776" s="1"/>
      <c r="X776" s="1"/>
    </row>
    <row x14ac:dyDescent="0.25" r="777" customHeight="1" ht="18.75">
      <c r="A777" s="1"/>
      <c r="B777" s="1"/>
      <c r="C777" s="3" t="s">
        <v>121</v>
      </c>
      <c r="D777" s="3" t="s">
        <v>834</v>
      </c>
      <c r="E777" s="1"/>
      <c r="F777" s="1"/>
      <c r="G777" s="1"/>
      <c r="H777" s="1"/>
      <c r="I777" s="2"/>
      <c r="J777" s="1"/>
      <c r="K777" s="1"/>
      <c r="L777" s="1"/>
      <c r="M777" s="1"/>
      <c r="N777" s="1"/>
      <c r="O777" s="1"/>
      <c r="P777" s="1"/>
      <c r="Q777" s="1"/>
      <c r="R777" s="1"/>
      <c r="S777" s="1"/>
      <c r="T777" s="1"/>
      <c r="U777" s="1"/>
      <c r="V777" s="1"/>
      <c r="W777" s="1"/>
      <c r="X777" s="1"/>
    </row>
    <row x14ac:dyDescent="0.25" r="778" customHeight="1" ht="18.75">
      <c r="A778" s="1"/>
      <c r="B778" s="1"/>
      <c r="C778" s="3" t="s">
        <v>121</v>
      </c>
      <c r="D778" s="3" t="s">
        <v>835</v>
      </c>
      <c r="E778" s="1"/>
      <c r="F778" s="1"/>
      <c r="G778" s="1"/>
      <c r="H778" s="1"/>
      <c r="I778" s="2"/>
      <c r="J778" s="1"/>
      <c r="K778" s="1"/>
      <c r="L778" s="1"/>
      <c r="M778" s="1"/>
      <c r="N778" s="1"/>
      <c r="O778" s="1"/>
      <c r="P778" s="1"/>
      <c r="Q778" s="1"/>
      <c r="R778" s="1"/>
      <c r="S778" s="1"/>
      <c r="T778" s="1"/>
      <c r="U778" s="1"/>
      <c r="V778" s="1"/>
      <c r="W778" s="1"/>
      <c r="X778" s="1"/>
    </row>
    <row x14ac:dyDescent="0.25" r="779" customHeight="1" ht="18.75">
      <c r="A779" s="1"/>
      <c r="B779" s="1"/>
      <c r="C779" s="3" t="s">
        <v>300</v>
      </c>
      <c r="D779" s="3" t="s">
        <v>836</v>
      </c>
      <c r="E779" s="1"/>
      <c r="F779" s="1"/>
      <c r="G779" s="1"/>
      <c r="H779" s="1"/>
      <c r="I779" s="2"/>
      <c r="J779" s="1"/>
      <c r="K779" s="1"/>
      <c r="L779" s="1"/>
      <c r="M779" s="1"/>
      <c r="N779" s="1"/>
      <c r="O779" s="1"/>
      <c r="P779" s="1"/>
      <c r="Q779" s="1"/>
      <c r="R779" s="1"/>
      <c r="S779" s="1"/>
      <c r="T779" s="1"/>
      <c r="U779" s="1"/>
      <c r="V779" s="1"/>
      <c r="W779" s="1"/>
      <c r="X779" s="1"/>
    </row>
    <row x14ac:dyDescent="0.25" r="780" customHeight="1" ht="18.75">
      <c r="A780" s="1"/>
      <c r="B780" s="1"/>
      <c r="C780" s="3" t="s">
        <v>121</v>
      </c>
      <c r="D780" s="3" t="s">
        <v>837</v>
      </c>
      <c r="E780" s="1"/>
      <c r="F780" s="1"/>
      <c r="G780" s="1"/>
      <c r="H780" s="1"/>
      <c r="I780" s="2"/>
      <c r="J780" s="1"/>
      <c r="K780" s="1"/>
      <c r="L780" s="1"/>
      <c r="M780" s="1"/>
      <c r="N780" s="1"/>
      <c r="O780" s="1"/>
      <c r="P780" s="1"/>
      <c r="Q780" s="1"/>
      <c r="R780" s="1"/>
      <c r="S780" s="1"/>
      <c r="T780" s="1"/>
      <c r="U780" s="1"/>
      <c r="V780" s="1"/>
      <c r="W780" s="1"/>
      <c r="X780" s="1"/>
    </row>
    <row x14ac:dyDescent="0.25" r="781" customHeight="1" ht="18.75">
      <c r="A781" s="1"/>
      <c r="B781" s="1"/>
      <c r="C781" s="3" t="s">
        <v>121</v>
      </c>
      <c r="D781" s="3" t="s">
        <v>838</v>
      </c>
      <c r="E781" s="1"/>
      <c r="F781" s="1"/>
      <c r="G781" s="1"/>
      <c r="H781" s="1"/>
      <c r="I781" s="2"/>
      <c r="J781" s="1"/>
      <c r="K781" s="1"/>
      <c r="L781" s="1"/>
      <c r="M781" s="1"/>
      <c r="N781" s="1"/>
      <c r="O781" s="1"/>
      <c r="P781" s="1"/>
      <c r="Q781" s="1"/>
      <c r="R781" s="1"/>
      <c r="S781" s="1"/>
      <c r="T781" s="1"/>
      <c r="U781" s="1"/>
      <c r="V781" s="1"/>
      <c r="W781" s="1"/>
      <c r="X781" s="1"/>
    </row>
    <row x14ac:dyDescent="0.25" r="782" customHeight="1" ht="18.75">
      <c r="A782" s="1"/>
      <c r="B782" s="1"/>
      <c r="C782" s="3" t="s">
        <v>300</v>
      </c>
      <c r="D782" s="3" t="s">
        <v>839</v>
      </c>
      <c r="E782" s="1"/>
      <c r="F782" s="1"/>
      <c r="G782" s="1"/>
      <c r="H782" s="1"/>
      <c r="I782" s="2"/>
      <c r="J782" s="1"/>
      <c r="K782" s="1"/>
      <c r="L782" s="1"/>
      <c r="M782" s="1"/>
      <c r="N782" s="1"/>
      <c r="O782" s="1"/>
      <c r="P782" s="1"/>
      <c r="Q782" s="1"/>
      <c r="R782" s="1"/>
      <c r="S782" s="1"/>
      <c r="T782" s="1"/>
      <c r="U782" s="1"/>
      <c r="V782" s="1"/>
      <c r="W782" s="1"/>
      <c r="X782" s="1"/>
    </row>
    <row x14ac:dyDescent="0.25" r="783" customHeight="1" ht="18.75">
      <c r="A783" s="1"/>
      <c r="B783" s="1"/>
      <c r="C783" s="3" t="s">
        <v>300</v>
      </c>
      <c r="D783" s="3" t="s">
        <v>840</v>
      </c>
      <c r="E783" s="1"/>
      <c r="F783" s="1"/>
      <c r="G783" s="1"/>
      <c r="H783" s="1"/>
      <c r="I783" s="2"/>
      <c r="J783" s="1"/>
      <c r="K783" s="1"/>
      <c r="L783" s="1"/>
      <c r="M783" s="1"/>
      <c r="N783" s="1"/>
      <c r="O783" s="1"/>
      <c r="P783" s="1"/>
      <c r="Q783" s="1"/>
      <c r="R783" s="1"/>
      <c r="S783" s="1"/>
      <c r="T783" s="1"/>
      <c r="U783" s="1"/>
      <c r="V783" s="1"/>
      <c r="W783" s="1"/>
      <c r="X783" s="1"/>
    </row>
    <row x14ac:dyDescent="0.25" r="784" customHeight="1" ht="18.75">
      <c r="A784" s="1"/>
      <c r="B784" s="1"/>
      <c r="C784" s="3" t="s">
        <v>121</v>
      </c>
      <c r="D784" s="3" t="s">
        <v>841</v>
      </c>
      <c r="E784" s="1"/>
      <c r="F784" s="1"/>
      <c r="G784" s="1"/>
      <c r="H784" s="1"/>
      <c r="I784" s="2"/>
      <c r="J784" s="1"/>
      <c r="K784" s="1"/>
      <c r="L784" s="1"/>
      <c r="M784" s="1"/>
      <c r="N784" s="1"/>
      <c r="O784" s="1"/>
      <c r="P784" s="1"/>
      <c r="Q784" s="1"/>
      <c r="R784" s="1"/>
      <c r="S784" s="1"/>
      <c r="T784" s="1"/>
      <c r="U784" s="1"/>
      <c r="V784" s="1"/>
      <c r="W784" s="1"/>
      <c r="X784" s="1"/>
    </row>
    <row x14ac:dyDescent="0.25" r="785" customHeight="1" ht="18.75">
      <c r="A785" s="1"/>
      <c r="B785" s="1"/>
      <c r="C785" s="3" t="s">
        <v>300</v>
      </c>
      <c r="D785" s="3" t="s">
        <v>842</v>
      </c>
      <c r="E785" s="1"/>
      <c r="F785" s="1"/>
      <c r="G785" s="1"/>
      <c r="H785" s="1"/>
      <c r="I785" s="2"/>
      <c r="J785" s="1"/>
      <c r="K785" s="1"/>
      <c r="L785" s="1"/>
      <c r="M785" s="1"/>
      <c r="N785" s="1"/>
      <c r="O785" s="1"/>
      <c r="P785" s="1"/>
      <c r="Q785" s="1"/>
      <c r="R785" s="1"/>
      <c r="S785" s="1"/>
      <c r="T785" s="1"/>
      <c r="U785" s="1"/>
      <c r="V785" s="1"/>
      <c r="W785" s="1"/>
      <c r="X785" s="1"/>
    </row>
    <row x14ac:dyDescent="0.25" r="786" customHeight="1" ht="18.75">
      <c r="A786" s="1"/>
      <c r="B786" s="1"/>
      <c r="C786" s="3" t="s">
        <v>121</v>
      </c>
      <c r="D786" s="3" t="s">
        <v>843</v>
      </c>
      <c r="E786" s="1"/>
      <c r="F786" s="1"/>
      <c r="G786" s="1"/>
      <c r="H786" s="1"/>
      <c r="I786" s="2"/>
      <c r="J786" s="1"/>
      <c r="K786" s="1"/>
      <c r="L786" s="1"/>
      <c r="M786" s="1"/>
      <c r="N786" s="1"/>
      <c r="O786" s="1"/>
      <c r="P786" s="1"/>
      <c r="Q786" s="1"/>
      <c r="R786" s="1"/>
      <c r="S786" s="1"/>
      <c r="T786" s="1"/>
      <c r="U786" s="1"/>
      <c r="V786" s="1"/>
      <c r="W786" s="1"/>
      <c r="X786" s="1"/>
    </row>
    <row x14ac:dyDescent="0.25" r="787" customHeight="1" ht="18.75">
      <c r="A787" s="1"/>
      <c r="B787" s="1"/>
      <c r="C787" s="3" t="s">
        <v>639</v>
      </c>
      <c r="D787" s="3" t="s">
        <v>844</v>
      </c>
      <c r="E787" s="1"/>
      <c r="F787" s="1"/>
      <c r="G787" s="1"/>
      <c r="H787" s="1"/>
      <c r="I787" s="2"/>
      <c r="J787" s="1"/>
      <c r="K787" s="1"/>
      <c r="L787" s="1"/>
      <c r="M787" s="1"/>
      <c r="N787" s="1"/>
      <c r="O787" s="1"/>
      <c r="P787" s="1"/>
      <c r="Q787" s="1"/>
      <c r="R787" s="1"/>
      <c r="S787" s="1"/>
      <c r="T787" s="1"/>
      <c r="U787" s="1"/>
      <c r="V787" s="1"/>
      <c r="W787" s="1"/>
      <c r="X787" s="1"/>
    </row>
    <row x14ac:dyDescent="0.25" r="788" customHeight="1" ht="18.75">
      <c r="A788" s="1"/>
      <c r="B788" s="1"/>
      <c r="C788" s="3" t="s">
        <v>300</v>
      </c>
      <c r="D788" s="3" t="s">
        <v>845</v>
      </c>
      <c r="E788" s="1"/>
      <c r="F788" s="1"/>
      <c r="G788" s="1"/>
      <c r="H788" s="1"/>
      <c r="I788" s="2"/>
      <c r="J788" s="1"/>
      <c r="K788" s="1"/>
      <c r="L788" s="1"/>
      <c r="M788" s="1"/>
      <c r="N788" s="1"/>
      <c r="O788" s="1"/>
      <c r="P788" s="1"/>
      <c r="Q788" s="1"/>
      <c r="R788" s="1"/>
      <c r="S788" s="1"/>
      <c r="T788" s="1"/>
      <c r="U788" s="1"/>
      <c r="V788" s="1"/>
      <c r="W788" s="1"/>
      <c r="X788" s="1"/>
    </row>
    <row x14ac:dyDescent="0.25" r="789" customHeight="1" ht="18.75">
      <c r="A789" s="1"/>
      <c r="B789" s="1"/>
      <c r="C789" s="3" t="s">
        <v>300</v>
      </c>
      <c r="D789" s="3" t="s">
        <v>846</v>
      </c>
      <c r="E789" s="1"/>
      <c r="F789" s="1"/>
      <c r="G789" s="1"/>
      <c r="H789" s="1"/>
      <c r="I789" s="2"/>
      <c r="J789" s="1"/>
      <c r="K789" s="1"/>
      <c r="L789" s="1"/>
      <c r="M789" s="1"/>
      <c r="N789" s="1"/>
      <c r="O789" s="1"/>
      <c r="P789" s="1"/>
      <c r="Q789" s="1"/>
      <c r="R789" s="1"/>
      <c r="S789" s="1"/>
      <c r="T789" s="1"/>
      <c r="U789" s="1"/>
      <c r="V789" s="1"/>
      <c r="W789" s="1"/>
      <c r="X789" s="1"/>
    </row>
    <row x14ac:dyDescent="0.25" r="790" customHeight="1" ht="18.75">
      <c r="A790" s="1"/>
      <c r="B790" s="1"/>
      <c r="C790" s="3" t="s">
        <v>300</v>
      </c>
      <c r="D790" s="3" t="s">
        <v>847</v>
      </c>
      <c r="E790" s="1"/>
      <c r="F790" s="1"/>
      <c r="G790" s="1"/>
      <c r="H790" s="1"/>
      <c r="I790" s="2"/>
      <c r="J790" s="1"/>
      <c r="K790" s="1"/>
      <c r="L790" s="1"/>
      <c r="M790" s="1"/>
      <c r="N790" s="1"/>
      <c r="O790" s="1"/>
      <c r="P790" s="1"/>
      <c r="Q790" s="1"/>
      <c r="R790" s="1"/>
      <c r="S790" s="1"/>
      <c r="T790" s="1"/>
      <c r="U790" s="1"/>
      <c r="V790" s="1"/>
      <c r="W790" s="1"/>
      <c r="X790" s="1"/>
    </row>
    <row x14ac:dyDescent="0.25" r="791" customHeight="1" ht="18.75">
      <c r="A791" s="1"/>
      <c r="B791" s="1"/>
      <c r="C791" s="3" t="s">
        <v>300</v>
      </c>
      <c r="D791" s="3" t="s">
        <v>848</v>
      </c>
      <c r="E791" s="1"/>
      <c r="F791" s="1"/>
      <c r="G791" s="1"/>
      <c r="H791" s="1"/>
      <c r="I791" s="2"/>
      <c r="J791" s="1"/>
      <c r="K791" s="1"/>
      <c r="L791" s="1"/>
      <c r="M791" s="1"/>
      <c r="N791" s="1"/>
      <c r="O791" s="1"/>
      <c r="P791" s="1"/>
      <c r="Q791" s="1"/>
      <c r="R791" s="1"/>
      <c r="S791" s="1"/>
      <c r="T791" s="1"/>
      <c r="U791" s="1"/>
      <c r="V791" s="1"/>
      <c r="W791" s="1"/>
      <c r="X791" s="1"/>
    </row>
    <row x14ac:dyDescent="0.25" r="792" customHeight="1" ht="18.75">
      <c r="A792" s="1"/>
      <c r="B792" s="1"/>
      <c r="C792" s="3" t="s">
        <v>300</v>
      </c>
      <c r="D792" s="3" t="s">
        <v>849</v>
      </c>
      <c r="E792" s="1"/>
      <c r="F792" s="1"/>
      <c r="G792" s="1"/>
      <c r="H792" s="1"/>
      <c r="I792" s="2"/>
      <c r="J792" s="1"/>
      <c r="K792" s="1"/>
      <c r="L792" s="1"/>
      <c r="M792" s="1"/>
      <c r="N792" s="1"/>
      <c r="O792" s="1"/>
      <c r="P792" s="1"/>
      <c r="Q792" s="1"/>
      <c r="R792" s="1"/>
      <c r="S792" s="1"/>
      <c r="T792" s="1"/>
      <c r="U792" s="1"/>
      <c r="V792" s="1"/>
      <c r="W792" s="1"/>
      <c r="X792" s="1"/>
    </row>
    <row x14ac:dyDescent="0.25" r="793" customHeight="1" ht="18.75">
      <c r="A793" s="1"/>
      <c r="B793" s="1"/>
      <c r="C793" s="3" t="s">
        <v>121</v>
      </c>
      <c r="D793" s="3" t="s">
        <v>850</v>
      </c>
      <c r="E793" s="1"/>
      <c r="F793" s="1"/>
      <c r="G793" s="1"/>
      <c r="H793" s="1"/>
      <c r="I793" s="2"/>
      <c r="J793" s="1"/>
      <c r="K793" s="1"/>
      <c r="L793" s="1"/>
      <c r="M793" s="1"/>
      <c r="N793" s="1"/>
      <c r="O793" s="1"/>
      <c r="P793" s="1"/>
      <c r="Q793" s="1"/>
      <c r="R793" s="1"/>
      <c r="S793" s="1"/>
      <c r="T793" s="1"/>
      <c r="U793" s="1"/>
      <c r="V793" s="1"/>
      <c r="W793" s="1"/>
      <c r="X793" s="1"/>
    </row>
    <row x14ac:dyDescent="0.25" r="794" customHeight="1" ht="18.75">
      <c r="A794" s="1"/>
      <c r="B794" s="1"/>
      <c r="C794" s="3" t="s">
        <v>300</v>
      </c>
      <c r="D794" s="3" t="s">
        <v>851</v>
      </c>
      <c r="E794" s="1"/>
      <c r="F794" s="1"/>
      <c r="G794" s="1"/>
      <c r="H794" s="1"/>
      <c r="I794" s="2"/>
      <c r="J794" s="1"/>
      <c r="K794" s="1"/>
      <c r="L794" s="1"/>
      <c r="M794" s="1"/>
      <c r="N794" s="1"/>
      <c r="O794" s="1"/>
      <c r="P794" s="1"/>
      <c r="Q794" s="1"/>
      <c r="R794" s="1"/>
      <c r="S794" s="1"/>
      <c r="T794" s="1"/>
      <c r="U794" s="1"/>
      <c r="V794" s="1"/>
      <c r="W794" s="1"/>
      <c r="X794" s="1"/>
    </row>
    <row x14ac:dyDescent="0.25" r="795" customHeight="1" ht="18.75">
      <c r="A795" s="1"/>
      <c r="B795" s="1"/>
      <c r="C795" s="3" t="s">
        <v>300</v>
      </c>
      <c r="D795" s="3" t="s">
        <v>852</v>
      </c>
      <c r="E795" s="1"/>
      <c r="F795" s="1"/>
      <c r="G795" s="1"/>
      <c r="H795" s="1"/>
      <c r="I795" s="2"/>
      <c r="J795" s="1"/>
      <c r="K795" s="1"/>
      <c r="L795" s="1"/>
      <c r="M795" s="1"/>
      <c r="N795" s="1"/>
      <c r="O795" s="1"/>
      <c r="P795" s="1"/>
      <c r="Q795" s="1"/>
      <c r="R795" s="1"/>
      <c r="S795" s="1"/>
      <c r="T795" s="1"/>
      <c r="U795" s="1"/>
      <c r="V795" s="1"/>
      <c r="W795" s="1"/>
      <c r="X795" s="1"/>
    </row>
    <row x14ac:dyDescent="0.25" r="796" customHeight="1" ht="18.75">
      <c r="A796" s="1"/>
      <c r="B796" s="1"/>
      <c r="C796" s="3" t="s">
        <v>300</v>
      </c>
      <c r="D796" s="3" t="s">
        <v>853</v>
      </c>
      <c r="E796" s="1"/>
      <c r="F796" s="1"/>
      <c r="G796" s="1"/>
      <c r="H796" s="1"/>
      <c r="I796" s="2"/>
      <c r="J796" s="1"/>
      <c r="K796" s="1"/>
      <c r="L796" s="1"/>
      <c r="M796" s="1"/>
      <c r="N796" s="1"/>
      <c r="O796" s="1"/>
      <c r="P796" s="1"/>
      <c r="Q796" s="1"/>
      <c r="R796" s="1"/>
      <c r="S796" s="1"/>
      <c r="T796" s="1"/>
      <c r="U796" s="1"/>
      <c r="V796" s="1"/>
      <c r="W796" s="1"/>
      <c r="X796" s="1"/>
    </row>
    <row x14ac:dyDescent="0.25" r="797" customHeight="1" ht="18.75">
      <c r="A797" s="1"/>
      <c r="B797" s="1"/>
      <c r="C797" s="3" t="s">
        <v>300</v>
      </c>
      <c r="D797" s="3" t="s">
        <v>854</v>
      </c>
      <c r="E797" s="1"/>
      <c r="F797" s="1"/>
      <c r="G797" s="1"/>
      <c r="H797" s="1"/>
      <c r="I797" s="2"/>
      <c r="J797" s="1"/>
      <c r="K797" s="1"/>
      <c r="L797" s="1"/>
      <c r="M797" s="1"/>
      <c r="N797" s="1"/>
      <c r="O797" s="1"/>
      <c r="P797" s="1"/>
      <c r="Q797" s="1"/>
      <c r="R797" s="1"/>
      <c r="S797" s="1"/>
      <c r="T797" s="1"/>
      <c r="U797" s="1"/>
      <c r="V797" s="1"/>
      <c r="W797" s="1"/>
      <c r="X797" s="1"/>
    </row>
    <row x14ac:dyDescent="0.25" r="798" customHeight="1" ht="18.75">
      <c r="A798" s="1"/>
      <c r="B798" s="1"/>
      <c r="C798" s="3" t="s">
        <v>300</v>
      </c>
      <c r="D798" s="3" t="s">
        <v>855</v>
      </c>
      <c r="E798" s="1"/>
      <c r="F798" s="1"/>
      <c r="G798" s="1"/>
      <c r="H798" s="1"/>
      <c r="I798" s="2"/>
      <c r="J798" s="1"/>
      <c r="K798" s="1"/>
      <c r="L798" s="1"/>
      <c r="M798" s="1"/>
      <c r="N798" s="1"/>
      <c r="O798" s="1"/>
      <c r="P798" s="1"/>
      <c r="Q798" s="1"/>
      <c r="R798" s="1"/>
      <c r="S798" s="1"/>
      <c r="T798" s="1"/>
      <c r="U798" s="1"/>
      <c r="V798" s="1"/>
      <c r="W798" s="1"/>
      <c r="X798" s="1"/>
    </row>
    <row x14ac:dyDescent="0.25" r="799" customHeight="1" ht="18.75">
      <c r="A799" s="1"/>
      <c r="B799" s="1"/>
      <c r="C799" s="3" t="s">
        <v>300</v>
      </c>
      <c r="D799" s="3" t="s">
        <v>856</v>
      </c>
      <c r="E799" s="1"/>
      <c r="F799" s="1"/>
      <c r="G799" s="1"/>
      <c r="H799" s="1"/>
      <c r="I799" s="2"/>
      <c r="J799" s="1"/>
      <c r="K799" s="1"/>
      <c r="L799" s="1"/>
      <c r="M799" s="1"/>
      <c r="N799" s="1"/>
      <c r="O799" s="1"/>
      <c r="P799" s="1"/>
      <c r="Q799" s="1"/>
      <c r="R799" s="1"/>
      <c r="S799" s="1"/>
      <c r="T799" s="1"/>
      <c r="U799" s="1"/>
      <c r="V799" s="1"/>
      <c r="W799" s="1"/>
      <c r="X799" s="1"/>
    </row>
    <row x14ac:dyDescent="0.25" r="800" customHeight="1" ht="18.75">
      <c r="A800" s="1"/>
      <c r="B800" s="1"/>
      <c r="C800" s="3" t="s">
        <v>121</v>
      </c>
      <c r="D800" s="3" t="s">
        <v>857</v>
      </c>
      <c r="E800" s="1"/>
      <c r="F800" s="1"/>
      <c r="G800" s="1"/>
      <c r="H800" s="1"/>
      <c r="I800" s="2"/>
      <c r="J800" s="1"/>
      <c r="K800" s="1"/>
      <c r="L800" s="1"/>
      <c r="M800" s="1"/>
      <c r="N800" s="1"/>
      <c r="O800" s="1"/>
      <c r="P800" s="1"/>
      <c r="Q800" s="1"/>
      <c r="R800" s="1"/>
      <c r="S800" s="1"/>
      <c r="T800" s="1"/>
      <c r="U800" s="1"/>
      <c r="V800" s="1"/>
      <c r="W800" s="1"/>
      <c r="X800" s="1"/>
    </row>
    <row x14ac:dyDescent="0.25" r="801" customHeight="1" ht="18.75">
      <c r="A801" s="1"/>
      <c r="B801" s="1"/>
      <c r="C801" s="3" t="s">
        <v>121</v>
      </c>
      <c r="D801" s="3" t="s">
        <v>858</v>
      </c>
      <c r="E801" s="1"/>
      <c r="F801" s="1"/>
      <c r="G801" s="1"/>
      <c r="H801" s="1"/>
      <c r="I801" s="2"/>
      <c r="J801" s="1"/>
      <c r="K801" s="1"/>
      <c r="L801" s="1"/>
      <c r="M801" s="1"/>
      <c r="N801" s="1"/>
      <c r="O801" s="1"/>
      <c r="P801" s="1"/>
      <c r="Q801" s="1"/>
      <c r="R801" s="1"/>
      <c r="S801" s="1"/>
      <c r="T801" s="1"/>
      <c r="U801" s="1"/>
      <c r="V801" s="1"/>
      <c r="W801" s="1"/>
      <c r="X801" s="1"/>
    </row>
    <row x14ac:dyDescent="0.25" r="802" customHeight="1" ht="18.75">
      <c r="A802" s="1"/>
      <c r="B802" s="1"/>
      <c r="C802" s="3" t="s">
        <v>121</v>
      </c>
      <c r="D802" s="3" t="s">
        <v>859</v>
      </c>
      <c r="E802" s="1"/>
      <c r="F802" s="1"/>
      <c r="G802" s="1"/>
      <c r="H802" s="1"/>
      <c r="I802" s="2"/>
      <c r="J802" s="1"/>
      <c r="K802" s="1"/>
      <c r="L802" s="1"/>
      <c r="M802" s="1"/>
      <c r="N802" s="1"/>
      <c r="O802" s="1"/>
      <c r="P802" s="1"/>
      <c r="Q802" s="1"/>
      <c r="R802" s="1"/>
      <c r="S802" s="1"/>
      <c r="T802" s="1"/>
      <c r="U802" s="1"/>
      <c r="V802" s="1"/>
      <c r="W802" s="1"/>
      <c r="X802" s="1"/>
    </row>
    <row x14ac:dyDescent="0.25" r="803" customHeight="1" ht="18.75">
      <c r="A803" s="1"/>
      <c r="B803" s="1"/>
      <c r="C803" s="3" t="s">
        <v>300</v>
      </c>
      <c r="D803" s="3" t="s">
        <v>860</v>
      </c>
      <c r="E803" s="1"/>
      <c r="F803" s="1"/>
      <c r="G803" s="1"/>
      <c r="H803" s="1"/>
      <c r="I803" s="2"/>
      <c r="J803" s="1"/>
      <c r="K803" s="1"/>
      <c r="L803" s="1"/>
      <c r="M803" s="1"/>
      <c r="N803" s="1"/>
      <c r="O803" s="1"/>
      <c r="P803" s="1"/>
      <c r="Q803" s="1"/>
      <c r="R803" s="1"/>
      <c r="S803" s="1"/>
      <c r="T803" s="1"/>
      <c r="U803" s="1"/>
      <c r="V803" s="1"/>
      <c r="W803" s="1"/>
      <c r="X803" s="1"/>
    </row>
    <row x14ac:dyDescent="0.25" r="804" customHeight="1" ht="18.75">
      <c r="A804" s="1"/>
      <c r="B804" s="1"/>
      <c r="C804" s="3" t="s">
        <v>121</v>
      </c>
      <c r="D804" s="3" t="s">
        <v>861</v>
      </c>
      <c r="E804" s="1"/>
      <c r="F804" s="1"/>
      <c r="G804" s="1"/>
      <c r="H804" s="1"/>
      <c r="I804" s="2"/>
      <c r="J804" s="1"/>
      <c r="K804" s="1"/>
      <c r="L804" s="1"/>
      <c r="M804" s="1"/>
      <c r="N804" s="1"/>
      <c r="O804" s="1"/>
      <c r="P804" s="1"/>
      <c r="Q804" s="1"/>
      <c r="R804" s="1"/>
      <c r="S804" s="1"/>
      <c r="T804" s="1"/>
      <c r="U804" s="1"/>
      <c r="V804" s="1"/>
      <c r="W804" s="1"/>
      <c r="X804" s="1"/>
    </row>
    <row x14ac:dyDescent="0.25" r="805" customHeight="1" ht="18.75">
      <c r="A805" s="1"/>
      <c r="B805" s="1"/>
      <c r="C805" s="3" t="s">
        <v>121</v>
      </c>
      <c r="D805" s="3" t="s">
        <v>862</v>
      </c>
      <c r="E805" s="1"/>
      <c r="F805" s="1"/>
      <c r="G805" s="1"/>
      <c r="H805" s="1"/>
      <c r="I805" s="2"/>
      <c r="J805" s="1"/>
      <c r="K805" s="1"/>
      <c r="L805" s="1"/>
      <c r="M805" s="1"/>
      <c r="N805" s="1"/>
      <c r="O805" s="1"/>
      <c r="P805" s="1"/>
      <c r="Q805" s="1"/>
      <c r="R805" s="1"/>
      <c r="S805" s="1"/>
      <c r="T805" s="1"/>
      <c r="U805" s="1"/>
      <c r="V805" s="1"/>
      <c r="W805" s="1"/>
      <c r="X805" s="1"/>
    </row>
    <row x14ac:dyDescent="0.25" r="806" customHeight="1" ht="18.75">
      <c r="A806" s="1"/>
      <c r="B806" s="1"/>
      <c r="C806" s="3" t="s">
        <v>300</v>
      </c>
      <c r="D806" s="3" t="s">
        <v>863</v>
      </c>
      <c r="E806" s="1"/>
      <c r="F806" s="1"/>
      <c r="G806" s="1"/>
      <c r="H806" s="1"/>
      <c r="I806" s="2"/>
      <c r="J806" s="1"/>
      <c r="K806" s="1"/>
      <c r="L806" s="1"/>
      <c r="M806" s="1"/>
      <c r="N806" s="1"/>
      <c r="O806" s="1"/>
      <c r="P806" s="1"/>
      <c r="Q806" s="1"/>
      <c r="R806" s="1"/>
      <c r="S806" s="1"/>
      <c r="T806" s="1"/>
      <c r="U806" s="1"/>
      <c r="V806" s="1"/>
      <c r="W806" s="1"/>
      <c r="X806" s="1"/>
    </row>
    <row x14ac:dyDescent="0.25" r="807" customHeight="1" ht="18.75">
      <c r="A807" s="1"/>
      <c r="B807" s="1"/>
      <c r="C807" s="3" t="s">
        <v>121</v>
      </c>
      <c r="D807" s="3" t="s">
        <v>864</v>
      </c>
      <c r="E807" s="1"/>
      <c r="F807" s="1"/>
      <c r="G807" s="1"/>
      <c r="H807" s="1"/>
      <c r="I807" s="2"/>
      <c r="J807" s="1"/>
      <c r="K807" s="1"/>
      <c r="L807" s="1"/>
      <c r="M807" s="1"/>
      <c r="N807" s="1"/>
      <c r="O807" s="1"/>
      <c r="P807" s="1"/>
      <c r="Q807" s="1"/>
      <c r="R807" s="1"/>
      <c r="S807" s="1"/>
      <c r="T807" s="1"/>
      <c r="U807" s="1"/>
      <c r="V807" s="1"/>
      <c r="W807" s="1"/>
      <c r="X807" s="1"/>
    </row>
    <row x14ac:dyDescent="0.25" r="808" customHeight="1" ht="18.75">
      <c r="A808" s="1"/>
      <c r="B808" s="1"/>
      <c r="C808" s="3" t="s">
        <v>121</v>
      </c>
      <c r="D808" s="3" t="s">
        <v>865</v>
      </c>
      <c r="E808" s="1"/>
      <c r="F808" s="1"/>
      <c r="G808" s="1"/>
      <c r="H808" s="1"/>
      <c r="I808" s="2"/>
      <c r="J808" s="1"/>
      <c r="K808" s="1"/>
      <c r="L808" s="1"/>
      <c r="M808" s="1"/>
      <c r="N808" s="1"/>
      <c r="O808" s="1"/>
      <c r="P808" s="1"/>
      <c r="Q808" s="1"/>
      <c r="R808" s="1"/>
      <c r="S808" s="1"/>
      <c r="T808" s="1"/>
      <c r="U808" s="1"/>
      <c r="V808" s="1"/>
      <c r="W808" s="1"/>
      <c r="X808" s="1"/>
    </row>
    <row x14ac:dyDescent="0.25" r="809" customHeight="1" ht="18.75">
      <c r="A809" s="1"/>
      <c r="B809" s="1"/>
      <c r="C809" s="3" t="s">
        <v>121</v>
      </c>
      <c r="D809" s="3" t="s">
        <v>866</v>
      </c>
      <c r="E809" s="1"/>
      <c r="F809" s="1"/>
      <c r="G809" s="1"/>
      <c r="H809" s="1"/>
      <c r="I809" s="2"/>
      <c r="J809" s="1"/>
      <c r="K809" s="1"/>
      <c r="L809" s="1"/>
      <c r="M809" s="1"/>
      <c r="N809" s="1"/>
      <c r="O809" s="1"/>
      <c r="P809" s="1"/>
      <c r="Q809" s="1"/>
      <c r="R809" s="1"/>
      <c r="S809" s="1"/>
      <c r="T809" s="1"/>
      <c r="U809" s="1"/>
      <c r="V809" s="1"/>
      <c r="W809" s="1"/>
      <c r="X809" s="1"/>
    </row>
    <row x14ac:dyDescent="0.25" r="810" customHeight="1" ht="18.75">
      <c r="A810" s="1"/>
      <c r="B810" s="1"/>
      <c r="C810" s="3" t="s">
        <v>300</v>
      </c>
      <c r="D810" s="3" t="s">
        <v>867</v>
      </c>
      <c r="E810" s="1"/>
      <c r="F810" s="1"/>
      <c r="G810" s="1"/>
      <c r="H810" s="1"/>
      <c r="I810" s="2"/>
      <c r="J810" s="1"/>
      <c r="K810" s="1"/>
      <c r="L810" s="1"/>
      <c r="M810" s="1"/>
      <c r="N810" s="1"/>
      <c r="O810" s="1"/>
      <c r="P810" s="1"/>
      <c r="Q810" s="1"/>
      <c r="R810" s="1"/>
      <c r="S810" s="1"/>
      <c r="T810" s="1"/>
      <c r="U810" s="1"/>
      <c r="V810" s="1"/>
      <c r="W810" s="1"/>
      <c r="X810" s="1"/>
    </row>
    <row x14ac:dyDescent="0.25" r="811" customHeight="1" ht="18.75">
      <c r="A811" s="1"/>
      <c r="B811" s="1"/>
      <c r="C811" s="3" t="s">
        <v>300</v>
      </c>
      <c r="D811" s="3" t="s">
        <v>868</v>
      </c>
      <c r="E811" s="1"/>
      <c r="F811" s="1"/>
      <c r="G811" s="1"/>
      <c r="H811" s="1"/>
      <c r="I811" s="2"/>
      <c r="J811" s="1"/>
      <c r="K811" s="1"/>
      <c r="L811" s="1"/>
      <c r="M811" s="1"/>
      <c r="N811" s="1"/>
      <c r="O811" s="1"/>
      <c r="P811" s="1"/>
      <c r="Q811" s="1"/>
      <c r="R811" s="1"/>
      <c r="S811" s="1"/>
      <c r="T811" s="1"/>
      <c r="U811" s="1"/>
      <c r="V811" s="1"/>
      <c r="W811" s="1"/>
      <c r="X811" s="1"/>
    </row>
    <row x14ac:dyDescent="0.25" r="812" customHeight="1" ht="18.75">
      <c r="A812" s="1"/>
      <c r="B812" s="1"/>
      <c r="C812" s="3" t="s">
        <v>300</v>
      </c>
      <c r="D812" s="3" t="s">
        <v>869</v>
      </c>
      <c r="E812" s="1"/>
      <c r="F812" s="1"/>
      <c r="G812" s="1"/>
      <c r="H812" s="1"/>
      <c r="I812" s="2"/>
      <c r="J812" s="1"/>
      <c r="K812" s="1"/>
      <c r="L812" s="1"/>
      <c r="M812" s="1"/>
      <c r="N812" s="1"/>
      <c r="O812" s="1"/>
      <c r="P812" s="1"/>
      <c r="Q812" s="1"/>
      <c r="R812" s="1"/>
      <c r="S812" s="1"/>
      <c r="T812" s="1"/>
      <c r="U812" s="1"/>
      <c r="V812" s="1"/>
      <c r="W812" s="1"/>
      <c r="X812" s="1"/>
    </row>
    <row x14ac:dyDescent="0.25" r="813" customHeight="1" ht="18.75">
      <c r="A813" s="1"/>
      <c r="B813" s="1"/>
      <c r="C813" s="3" t="s">
        <v>300</v>
      </c>
      <c r="D813" s="3" t="s">
        <v>870</v>
      </c>
      <c r="E813" s="1"/>
      <c r="F813" s="1"/>
      <c r="G813" s="1"/>
      <c r="H813" s="1"/>
      <c r="I813" s="2"/>
      <c r="J813" s="1"/>
      <c r="K813" s="1"/>
      <c r="L813" s="1"/>
      <c r="M813" s="1"/>
      <c r="N813" s="1"/>
      <c r="O813" s="1"/>
      <c r="P813" s="1"/>
      <c r="Q813" s="1"/>
      <c r="R813" s="1"/>
      <c r="S813" s="1"/>
      <c r="T813" s="1"/>
      <c r="U813" s="1"/>
      <c r="V813" s="1"/>
      <c r="W813" s="1"/>
      <c r="X813" s="1"/>
    </row>
    <row x14ac:dyDescent="0.25" r="814" customHeight="1" ht="18.75">
      <c r="A814" s="1"/>
      <c r="B814" s="1"/>
      <c r="C814" s="3" t="s">
        <v>300</v>
      </c>
      <c r="D814" s="3" t="s">
        <v>871</v>
      </c>
      <c r="E814" s="1"/>
      <c r="F814" s="1"/>
      <c r="G814" s="1"/>
      <c r="H814" s="1"/>
      <c r="I814" s="2"/>
      <c r="J814" s="1"/>
      <c r="K814" s="1"/>
      <c r="L814" s="1"/>
      <c r="M814" s="1"/>
      <c r="N814" s="1"/>
      <c r="O814" s="1"/>
      <c r="P814" s="1"/>
      <c r="Q814" s="1"/>
      <c r="R814" s="1"/>
      <c r="S814" s="1"/>
      <c r="T814" s="1"/>
      <c r="U814" s="1"/>
      <c r="V814" s="1"/>
      <c r="W814" s="1"/>
      <c r="X814" s="1"/>
    </row>
    <row x14ac:dyDescent="0.25" r="815" customHeight="1" ht="18.75">
      <c r="A815" s="1"/>
      <c r="B815" s="1"/>
      <c r="C815" s="3" t="s">
        <v>121</v>
      </c>
      <c r="D815" s="3" t="s">
        <v>872</v>
      </c>
      <c r="E815" s="1"/>
      <c r="F815" s="1"/>
      <c r="G815" s="1"/>
      <c r="H815" s="1"/>
      <c r="I815" s="2"/>
      <c r="J815" s="1"/>
      <c r="K815" s="1"/>
      <c r="L815" s="1"/>
      <c r="M815" s="1"/>
      <c r="N815" s="1"/>
      <c r="O815" s="1"/>
      <c r="P815" s="1"/>
      <c r="Q815" s="1"/>
      <c r="R815" s="1"/>
      <c r="S815" s="1"/>
      <c r="T815" s="1"/>
      <c r="U815" s="1"/>
      <c r="V815" s="1"/>
      <c r="W815" s="1"/>
      <c r="X815" s="1"/>
    </row>
    <row x14ac:dyDescent="0.25" r="816" customHeight="1" ht="18.75">
      <c r="A816" s="1"/>
      <c r="B816" s="1"/>
      <c r="C816" s="3" t="s">
        <v>300</v>
      </c>
      <c r="D816" s="3" t="s">
        <v>873</v>
      </c>
      <c r="E816" s="1"/>
      <c r="F816" s="1"/>
      <c r="G816" s="1"/>
      <c r="H816" s="1"/>
      <c r="I816" s="2"/>
      <c r="J816" s="1"/>
      <c r="K816" s="1"/>
      <c r="L816" s="1"/>
      <c r="M816" s="1"/>
      <c r="N816" s="1"/>
      <c r="O816" s="1"/>
      <c r="P816" s="1"/>
      <c r="Q816" s="1"/>
      <c r="R816" s="1"/>
      <c r="S816" s="1"/>
      <c r="T816" s="1"/>
      <c r="U816" s="1"/>
      <c r="V816" s="1"/>
      <c r="W816" s="1"/>
      <c r="X816" s="1"/>
    </row>
    <row x14ac:dyDescent="0.25" r="817" customHeight="1" ht="18.75">
      <c r="A817" s="1"/>
      <c r="B817" s="1"/>
      <c r="C817" s="3" t="s">
        <v>121</v>
      </c>
      <c r="D817" s="3" t="s">
        <v>874</v>
      </c>
      <c r="E817" s="1"/>
      <c r="F817" s="1"/>
      <c r="G817" s="1"/>
      <c r="H817" s="1"/>
      <c r="I817" s="2"/>
      <c r="J817" s="1"/>
      <c r="K817" s="1"/>
      <c r="L817" s="1"/>
      <c r="M817" s="1"/>
      <c r="N817" s="1"/>
      <c r="O817" s="1"/>
      <c r="P817" s="1"/>
      <c r="Q817" s="1"/>
      <c r="R817" s="1"/>
      <c r="S817" s="1"/>
      <c r="T817" s="1"/>
      <c r="U817" s="1"/>
      <c r="V817" s="1"/>
      <c r="W817" s="1"/>
      <c r="X817" s="1"/>
    </row>
    <row x14ac:dyDescent="0.25" r="818" customHeight="1" ht="18.75">
      <c r="A818" s="1"/>
      <c r="B818" s="1"/>
      <c r="C818" s="3" t="s">
        <v>121</v>
      </c>
      <c r="D818" s="3" t="s">
        <v>875</v>
      </c>
      <c r="E818" s="1"/>
      <c r="F818" s="1"/>
      <c r="G818" s="1"/>
      <c r="H818" s="1"/>
      <c r="I818" s="2"/>
      <c r="J818" s="1"/>
      <c r="K818" s="1"/>
      <c r="L818" s="1"/>
      <c r="M818" s="1"/>
      <c r="N818" s="1"/>
      <c r="O818" s="1"/>
      <c r="P818" s="1"/>
      <c r="Q818" s="1"/>
      <c r="R818" s="1"/>
      <c r="S818" s="1"/>
      <c r="T818" s="1"/>
      <c r="U818" s="1"/>
      <c r="V818" s="1"/>
      <c r="W818" s="1"/>
      <c r="X818" s="1"/>
    </row>
    <row x14ac:dyDescent="0.25" r="819" customHeight="1" ht="18.75">
      <c r="A819" s="1"/>
      <c r="B819" s="1"/>
      <c r="C819" s="3" t="s">
        <v>121</v>
      </c>
      <c r="D819" s="3" t="s">
        <v>846</v>
      </c>
      <c r="E819" s="1"/>
      <c r="F819" s="1"/>
      <c r="G819" s="1"/>
      <c r="H819" s="1"/>
      <c r="I819" s="2"/>
      <c r="J819" s="1"/>
      <c r="K819" s="1"/>
      <c r="L819" s="1"/>
      <c r="M819" s="1"/>
      <c r="N819" s="1"/>
      <c r="O819" s="1"/>
      <c r="P819" s="1"/>
      <c r="Q819" s="1"/>
      <c r="R819" s="1"/>
      <c r="S819" s="1"/>
      <c r="T819" s="1"/>
      <c r="U819" s="1"/>
      <c r="V819" s="1"/>
      <c r="W819" s="1"/>
      <c r="X819" s="1"/>
    </row>
    <row x14ac:dyDescent="0.25" r="820" customHeight="1" ht="18.75">
      <c r="A820" s="1"/>
      <c r="B820" s="1"/>
      <c r="C820" s="3" t="s">
        <v>121</v>
      </c>
      <c r="D820" s="3" t="s">
        <v>876</v>
      </c>
      <c r="E820" s="1"/>
      <c r="F820" s="1"/>
      <c r="G820" s="1"/>
      <c r="H820" s="1"/>
      <c r="I820" s="2"/>
      <c r="J820" s="1"/>
      <c r="K820" s="1"/>
      <c r="L820" s="1"/>
      <c r="M820" s="1"/>
      <c r="N820" s="1"/>
      <c r="O820" s="1"/>
      <c r="P820" s="1"/>
      <c r="Q820" s="1"/>
      <c r="R820" s="1"/>
      <c r="S820" s="1"/>
      <c r="T820" s="1"/>
      <c r="U820" s="1"/>
      <c r="V820" s="1"/>
      <c r="W820" s="1"/>
      <c r="X820" s="1"/>
    </row>
    <row x14ac:dyDescent="0.25" r="821" customHeight="1" ht="18.75">
      <c r="A821" s="1"/>
      <c r="B821" s="1"/>
      <c r="C821" s="3" t="s">
        <v>121</v>
      </c>
      <c r="D821" s="3" t="s">
        <v>877</v>
      </c>
      <c r="E821" s="1"/>
      <c r="F821" s="1"/>
      <c r="G821" s="1"/>
      <c r="H821" s="1"/>
      <c r="I821" s="2"/>
      <c r="J821" s="1"/>
      <c r="K821" s="1"/>
      <c r="L821" s="1"/>
      <c r="M821" s="1"/>
      <c r="N821" s="1"/>
      <c r="O821" s="1"/>
      <c r="P821" s="1"/>
      <c r="Q821" s="1"/>
      <c r="R821" s="1"/>
      <c r="S821" s="1"/>
      <c r="T821" s="1"/>
      <c r="U821" s="1"/>
      <c r="V821" s="1"/>
      <c r="W821" s="1"/>
      <c r="X821" s="1"/>
    </row>
    <row x14ac:dyDescent="0.25" r="822" customHeight="1" ht="18.75">
      <c r="A822" s="1"/>
      <c r="B822" s="1"/>
      <c r="C822" s="3" t="s">
        <v>300</v>
      </c>
      <c r="D822" s="3" t="s">
        <v>878</v>
      </c>
      <c r="E822" s="1"/>
      <c r="F822" s="1"/>
      <c r="G822" s="1"/>
      <c r="H822" s="1"/>
      <c r="I822" s="2"/>
      <c r="J822" s="1"/>
      <c r="K822" s="1"/>
      <c r="L822" s="1"/>
      <c r="M822" s="1"/>
      <c r="N822" s="1"/>
      <c r="O822" s="1"/>
      <c r="P822" s="1"/>
      <c r="Q822" s="1"/>
      <c r="R822" s="1"/>
      <c r="S822" s="1"/>
      <c r="T822" s="1"/>
      <c r="U822" s="1"/>
      <c r="V822" s="1"/>
      <c r="W822" s="1"/>
      <c r="X822" s="1"/>
    </row>
    <row x14ac:dyDescent="0.25" r="823" customHeight="1" ht="18.75">
      <c r="A823" s="1"/>
      <c r="B823" s="1"/>
      <c r="C823" s="3" t="s">
        <v>300</v>
      </c>
      <c r="D823" s="3" t="s">
        <v>879</v>
      </c>
      <c r="E823" s="1"/>
      <c r="F823" s="1"/>
      <c r="G823" s="1"/>
      <c r="H823" s="1"/>
      <c r="I823" s="2"/>
      <c r="J823" s="1"/>
      <c r="K823" s="1"/>
      <c r="L823" s="1"/>
      <c r="M823" s="1"/>
      <c r="N823" s="1"/>
      <c r="O823" s="1"/>
      <c r="P823" s="1"/>
      <c r="Q823" s="1"/>
      <c r="R823" s="1"/>
      <c r="S823" s="1"/>
      <c r="T823" s="1"/>
      <c r="U823" s="1"/>
      <c r="V823" s="1"/>
      <c r="W823" s="1"/>
      <c r="X823" s="1"/>
    </row>
    <row x14ac:dyDescent="0.25" r="824" customHeight="1" ht="18.75">
      <c r="A824" s="1"/>
      <c r="B824" s="1"/>
      <c r="C824" s="3" t="s">
        <v>121</v>
      </c>
      <c r="D824" s="3" t="s">
        <v>880</v>
      </c>
      <c r="E824" s="1"/>
      <c r="F824" s="1"/>
      <c r="G824" s="1"/>
      <c r="H824" s="1"/>
      <c r="I824" s="2"/>
      <c r="J824" s="1"/>
      <c r="K824" s="1"/>
      <c r="L824" s="1"/>
      <c r="M824" s="1"/>
      <c r="N824" s="1"/>
      <c r="O824" s="1"/>
      <c r="P824" s="1"/>
      <c r="Q824" s="1"/>
      <c r="R824" s="1"/>
      <c r="S824" s="1"/>
      <c r="T824" s="1"/>
      <c r="U824" s="1"/>
      <c r="V824" s="1"/>
      <c r="W824" s="1"/>
      <c r="X824" s="1"/>
    </row>
    <row x14ac:dyDescent="0.25" r="825" customHeight="1" ht="18.75">
      <c r="A825" s="1"/>
      <c r="B825" s="1"/>
      <c r="C825" s="3" t="s">
        <v>404</v>
      </c>
      <c r="D825" s="3" t="s">
        <v>881</v>
      </c>
      <c r="E825" s="1"/>
      <c r="F825" s="1"/>
      <c r="G825" s="1"/>
      <c r="H825" s="1"/>
      <c r="I825" s="2"/>
      <c r="J825" s="1"/>
      <c r="K825" s="1"/>
      <c r="L825" s="1"/>
      <c r="M825" s="1"/>
      <c r="N825" s="1"/>
      <c r="O825" s="1"/>
      <c r="P825" s="1"/>
      <c r="Q825" s="1"/>
      <c r="R825" s="1"/>
      <c r="S825" s="1"/>
      <c r="T825" s="1"/>
      <c r="U825" s="1"/>
      <c r="V825" s="1"/>
      <c r="W825" s="1"/>
      <c r="X825" s="1"/>
    </row>
    <row x14ac:dyDescent="0.25" r="826" customHeight="1" ht="18.75">
      <c r="A826" s="1"/>
      <c r="B826" s="1"/>
      <c r="C826" s="3" t="s">
        <v>300</v>
      </c>
      <c r="D826" s="3" t="s">
        <v>882</v>
      </c>
      <c r="E826" s="1"/>
      <c r="F826" s="1"/>
      <c r="G826" s="1"/>
      <c r="H826" s="1"/>
      <c r="I826" s="2"/>
      <c r="J826" s="1"/>
      <c r="K826" s="1"/>
      <c r="L826" s="1"/>
      <c r="M826" s="1"/>
      <c r="N826" s="1"/>
      <c r="O826" s="1"/>
      <c r="P826" s="1"/>
      <c r="Q826" s="1"/>
      <c r="R826" s="1"/>
      <c r="S826" s="1"/>
      <c r="T826" s="1"/>
      <c r="U826" s="1"/>
      <c r="V826" s="1"/>
      <c r="W826" s="1"/>
      <c r="X826" s="1"/>
    </row>
    <row x14ac:dyDescent="0.25" r="827" customHeight="1" ht="18.75">
      <c r="A827" s="1"/>
      <c r="B827" s="1"/>
      <c r="C827" s="3" t="s">
        <v>121</v>
      </c>
      <c r="D827" s="3" t="s">
        <v>883</v>
      </c>
      <c r="E827" s="1"/>
      <c r="F827" s="1"/>
      <c r="G827" s="1"/>
      <c r="H827" s="1"/>
      <c r="I827" s="2"/>
      <c r="J827" s="1"/>
      <c r="K827" s="1"/>
      <c r="L827" s="1"/>
      <c r="M827" s="1"/>
      <c r="N827" s="1"/>
      <c r="O827" s="1"/>
      <c r="P827" s="1"/>
      <c r="Q827" s="1"/>
      <c r="R827" s="1"/>
      <c r="S827" s="1"/>
      <c r="T827" s="1"/>
      <c r="U827" s="1"/>
      <c r="V827" s="1"/>
      <c r="W827" s="1"/>
      <c r="X827" s="1"/>
    </row>
    <row x14ac:dyDescent="0.25" r="828" customHeight="1" ht="18.75">
      <c r="A828" s="1"/>
      <c r="B828" s="1"/>
      <c r="C828" s="3" t="s">
        <v>121</v>
      </c>
      <c r="D828" s="3" t="s">
        <v>884</v>
      </c>
      <c r="E828" s="1"/>
      <c r="F828" s="1"/>
      <c r="G828" s="1"/>
      <c r="H828" s="1"/>
      <c r="I828" s="2"/>
      <c r="J828" s="1"/>
      <c r="K828" s="1"/>
      <c r="L828" s="1"/>
      <c r="M828" s="1"/>
      <c r="N828" s="1"/>
      <c r="O828" s="1"/>
      <c r="P828" s="1"/>
      <c r="Q828" s="1"/>
      <c r="R828" s="1"/>
      <c r="S828" s="1"/>
      <c r="T828" s="1"/>
      <c r="U828" s="1"/>
      <c r="V828" s="1"/>
      <c r="W828" s="1"/>
      <c r="X828" s="1"/>
    </row>
    <row x14ac:dyDescent="0.25" r="829" customHeight="1" ht="18.75">
      <c r="A829" s="1"/>
      <c r="B829" s="1"/>
      <c r="C829" s="3" t="s">
        <v>121</v>
      </c>
      <c r="D829" s="3" t="s">
        <v>670</v>
      </c>
      <c r="E829" s="1"/>
      <c r="F829" s="1"/>
      <c r="G829" s="1"/>
      <c r="H829" s="1"/>
      <c r="I829" s="2"/>
      <c r="J829" s="1"/>
      <c r="K829" s="1"/>
      <c r="L829" s="1"/>
      <c r="M829" s="1"/>
      <c r="N829" s="1"/>
      <c r="O829" s="1"/>
      <c r="P829" s="1"/>
      <c r="Q829" s="1"/>
      <c r="R829" s="1"/>
      <c r="S829" s="1"/>
      <c r="T829" s="1"/>
      <c r="U829" s="1"/>
      <c r="V829" s="1"/>
      <c r="W829" s="1"/>
      <c r="X829" s="1"/>
    </row>
    <row x14ac:dyDescent="0.25" r="830" customHeight="1" ht="18.75">
      <c r="A830" s="1"/>
      <c r="B830" s="1"/>
      <c r="C830" s="3" t="s">
        <v>121</v>
      </c>
      <c r="D830" s="3" t="s">
        <v>885</v>
      </c>
      <c r="E830" s="1"/>
      <c r="F830" s="1"/>
      <c r="G830" s="1"/>
      <c r="H830" s="1"/>
      <c r="I830" s="2"/>
      <c r="J830" s="1"/>
      <c r="K830" s="1"/>
      <c r="L830" s="1"/>
      <c r="M830" s="1"/>
      <c r="N830" s="1"/>
      <c r="O830" s="1"/>
      <c r="P830" s="1"/>
      <c r="Q830" s="1"/>
      <c r="R830" s="1"/>
      <c r="S830" s="1"/>
      <c r="T830" s="1"/>
      <c r="U830" s="1"/>
      <c r="V830" s="1"/>
      <c r="W830" s="1"/>
      <c r="X830" s="1"/>
    </row>
    <row x14ac:dyDescent="0.25" r="831" customHeight="1" ht="18.75">
      <c r="A831" s="1"/>
      <c r="B831" s="1"/>
      <c r="C831" s="3" t="s">
        <v>300</v>
      </c>
      <c r="D831" s="3" t="s">
        <v>886</v>
      </c>
      <c r="E831" s="1"/>
      <c r="F831" s="1"/>
      <c r="G831" s="1"/>
      <c r="H831" s="1"/>
      <c r="I831" s="2"/>
      <c r="J831" s="1"/>
      <c r="K831" s="1"/>
      <c r="L831" s="1"/>
      <c r="M831" s="1"/>
      <c r="N831" s="1"/>
      <c r="O831" s="1"/>
      <c r="P831" s="1"/>
      <c r="Q831" s="1"/>
      <c r="R831" s="1"/>
      <c r="S831" s="1"/>
      <c r="T831" s="1"/>
      <c r="U831" s="1"/>
      <c r="V831" s="1"/>
      <c r="W831" s="1"/>
      <c r="X831" s="1"/>
    </row>
    <row x14ac:dyDescent="0.25" r="832" customHeight="1" ht="18.75">
      <c r="A832" s="1"/>
      <c r="B832" s="1"/>
      <c r="C832" s="3" t="s">
        <v>300</v>
      </c>
      <c r="D832" s="3" t="s">
        <v>887</v>
      </c>
      <c r="E832" s="1"/>
      <c r="F832" s="1"/>
      <c r="G832" s="1"/>
      <c r="H832" s="1"/>
      <c r="I832" s="2"/>
      <c r="J832" s="1"/>
      <c r="K832" s="1"/>
      <c r="L832" s="1"/>
      <c r="M832" s="1"/>
      <c r="N832" s="1"/>
      <c r="O832" s="1"/>
      <c r="P832" s="1"/>
      <c r="Q832" s="1"/>
      <c r="R832" s="1"/>
      <c r="S832" s="1"/>
      <c r="T832" s="1"/>
      <c r="U832" s="1"/>
      <c r="V832" s="1"/>
      <c r="W832" s="1"/>
      <c r="X832" s="1"/>
    </row>
    <row x14ac:dyDescent="0.25" r="833" customHeight="1" ht="18.75">
      <c r="A833" s="1"/>
      <c r="B833" s="1"/>
      <c r="C833" s="3" t="s">
        <v>404</v>
      </c>
      <c r="D833" s="3" t="s">
        <v>880</v>
      </c>
      <c r="E833" s="1"/>
      <c r="F833" s="1"/>
      <c r="G833" s="1"/>
      <c r="H833" s="1"/>
      <c r="I833" s="2"/>
      <c r="J833" s="1"/>
      <c r="K833" s="1"/>
      <c r="L833" s="1"/>
      <c r="M833" s="1"/>
      <c r="N833" s="1"/>
      <c r="O833" s="1"/>
      <c r="P833" s="1"/>
      <c r="Q833" s="1"/>
      <c r="R833" s="1"/>
      <c r="S833" s="1"/>
      <c r="T833" s="1"/>
      <c r="U833" s="1"/>
      <c r="V833" s="1"/>
      <c r="W833" s="1"/>
      <c r="X833" s="1"/>
    </row>
    <row x14ac:dyDescent="0.25" r="834" customHeight="1" ht="18.75">
      <c r="A834" s="1"/>
      <c r="B834" s="1"/>
      <c r="C834" s="3" t="s">
        <v>121</v>
      </c>
      <c r="D834" s="3" t="s">
        <v>888</v>
      </c>
      <c r="E834" s="1"/>
      <c r="F834" s="1"/>
      <c r="G834" s="1"/>
      <c r="H834" s="1"/>
      <c r="I834" s="2"/>
      <c r="J834" s="1"/>
      <c r="K834" s="1"/>
      <c r="L834" s="1"/>
      <c r="M834" s="1"/>
      <c r="N834" s="1"/>
      <c r="O834" s="1"/>
      <c r="P834" s="1"/>
      <c r="Q834" s="1"/>
      <c r="R834" s="1"/>
      <c r="S834" s="1"/>
      <c r="T834" s="1"/>
      <c r="U834" s="1"/>
      <c r="V834" s="1"/>
      <c r="W834" s="1"/>
      <c r="X834" s="1"/>
    </row>
    <row x14ac:dyDescent="0.25" r="835" customHeight="1" ht="18.75">
      <c r="A835" s="1"/>
      <c r="B835" s="1"/>
      <c r="C835" s="3" t="s">
        <v>121</v>
      </c>
      <c r="D835" s="3" t="s">
        <v>688</v>
      </c>
      <c r="E835" s="1"/>
      <c r="F835" s="1"/>
      <c r="G835" s="1"/>
      <c r="H835" s="1"/>
      <c r="I835" s="2"/>
      <c r="J835" s="1"/>
      <c r="K835" s="1"/>
      <c r="L835" s="1"/>
      <c r="M835" s="1"/>
      <c r="N835" s="1"/>
      <c r="O835" s="1"/>
      <c r="P835" s="1"/>
      <c r="Q835" s="1"/>
      <c r="R835" s="1"/>
      <c r="S835" s="1"/>
      <c r="T835" s="1"/>
      <c r="U835" s="1"/>
      <c r="V835" s="1"/>
      <c r="W835" s="1"/>
      <c r="X835" s="1"/>
    </row>
    <row x14ac:dyDescent="0.25" r="836" customHeight="1" ht="18.75">
      <c r="A836" s="1"/>
      <c r="B836" s="1"/>
      <c r="C836" s="3" t="s">
        <v>121</v>
      </c>
      <c r="D836" s="3" t="s">
        <v>889</v>
      </c>
      <c r="E836" s="1"/>
      <c r="F836" s="1"/>
      <c r="G836" s="1"/>
      <c r="H836" s="1"/>
      <c r="I836" s="2"/>
      <c r="J836" s="1"/>
      <c r="K836" s="1"/>
      <c r="L836" s="1"/>
      <c r="M836" s="1"/>
      <c r="N836" s="1"/>
      <c r="O836" s="1"/>
      <c r="P836" s="1"/>
      <c r="Q836" s="1"/>
      <c r="R836" s="1"/>
      <c r="S836" s="1"/>
      <c r="T836" s="1"/>
      <c r="U836" s="1"/>
      <c r="V836" s="1"/>
      <c r="W836" s="1"/>
      <c r="X836" s="1"/>
    </row>
    <row x14ac:dyDescent="0.25" r="837" customHeight="1" ht="18.75">
      <c r="A837" s="1"/>
      <c r="B837" s="1"/>
      <c r="C837" s="3" t="s">
        <v>121</v>
      </c>
      <c r="D837" s="3" t="s">
        <v>890</v>
      </c>
      <c r="E837" s="1"/>
      <c r="F837" s="1"/>
      <c r="G837" s="1"/>
      <c r="H837" s="1"/>
      <c r="I837" s="2"/>
      <c r="J837" s="1"/>
      <c r="K837" s="1"/>
      <c r="L837" s="1"/>
      <c r="M837" s="1"/>
      <c r="N837" s="1"/>
      <c r="O837" s="1"/>
      <c r="P837" s="1"/>
      <c r="Q837" s="1"/>
      <c r="R837" s="1"/>
      <c r="S837" s="1"/>
      <c r="T837" s="1"/>
      <c r="U837" s="1"/>
      <c r="V837" s="1"/>
      <c r="W837" s="1"/>
      <c r="X837" s="1"/>
    </row>
    <row x14ac:dyDescent="0.25" r="838" customHeight="1" ht="18.75">
      <c r="A838" s="1"/>
      <c r="B838" s="1"/>
      <c r="C838" s="3" t="s">
        <v>121</v>
      </c>
      <c r="D838" s="3" t="s">
        <v>891</v>
      </c>
      <c r="E838" s="1"/>
      <c r="F838" s="1"/>
      <c r="G838" s="1"/>
      <c r="H838" s="1"/>
      <c r="I838" s="2"/>
      <c r="J838" s="1"/>
      <c r="K838" s="1"/>
      <c r="L838" s="1"/>
      <c r="M838" s="1"/>
      <c r="N838" s="1"/>
      <c r="O838" s="1"/>
      <c r="P838" s="1"/>
      <c r="Q838" s="1"/>
      <c r="R838" s="1"/>
      <c r="S838" s="1"/>
      <c r="T838" s="1"/>
      <c r="U838" s="1"/>
      <c r="V838" s="1"/>
      <c r="W838" s="1"/>
      <c r="X838" s="1"/>
    </row>
    <row x14ac:dyDescent="0.25" r="839" customHeight="1" ht="18.75">
      <c r="A839" s="1"/>
      <c r="B839" s="1"/>
      <c r="C839" s="3" t="s">
        <v>121</v>
      </c>
      <c r="D839" s="3" t="s">
        <v>892</v>
      </c>
      <c r="E839" s="1"/>
      <c r="F839" s="1"/>
      <c r="G839" s="1"/>
      <c r="H839" s="1"/>
      <c r="I839" s="2"/>
      <c r="J839" s="1"/>
      <c r="K839" s="1"/>
      <c r="L839" s="1"/>
      <c r="M839" s="1"/>
      <c r="N839" s="1"/>
      <c r="O839" s="1"/>
      <c r="P839" s="1"/>
      <c r="Q839" s="1"/>
      <c r="R839" s="1"/>
      <c r="S839" s="1"/>
      <c r="T839" s="1"/>
      <c r="U839" s="1"/>
      <c r="V839" s="1"/>
      <c r="W839" s="1"/>
      <c r="X839" s="1"/>
    </row>
    <row x14ac:dyDescent="0.25" r="840" customHeight="1" ht="18.75">
      <c r="A840" s="1"/>
      <c r="B840" s="1"/>
      <c r="C840" s="3" t="s">
        <v>121</v>
      </c>
      <c r="D840" s="3" t="s">
        <v>893</v>
      </c>
      <c r="E840" s="1"/>
      <c r="F840" s="1"/>
      <c r="G840" s="1"/>
      <c r="H840" s="1"/>
      <c r="I840" s="2"/>
      <c r="J840" s="1"/>
      <c r="K840" s="1"/>
      <c r="L840" s="1"/>
      <c r="M840" s="1"/>
      <c r="N840" s="1"/>
      <c r="O840" s="1"/>
      <c r="P840" s="1"/>
      <c r="Q840" s="1"/>
      <c r="R840" s="1"/>
      <c r="S840" s="1"/>
      <c r="T840" s="1"/>
      <c r="U840" s="1"/>
      <c r="V840" s="1"/>
      <c r="W840" s="1"/>
      <c r="X840" s="1"/>
    </row>
    <row x14ac:dyDescent="0.25" r="841" customHeight="1" ht="18.75">
      <c r="A841" s="1"/>
      <c r="B841" s="1"/>
      <c r="C841" s="3" t="s">
        <v>300</v>
      </c>
      <c r="D841" s="3" t="s">
        <v>894</v>
      </c>
      <c r="E841" s="1"/>
      <c r="F841" s="1"/>
      <c r="G841" s="1"/>
      <c r="H841" s="1"/>
      <c r="I841" s="2"/>
      <c r="J841" s="1"/>
      <c r="K841" s="1"/>
      <c r="L841" s="1"/>
      <c r="M841" s="1"/>
      <c r="N841" s="1"/>
      <c r="O841" s="1"/>
      <c r="P841" s="1"/>
      <c r="Q841" s="1"/>
      <c r="R841" s="1"/>
      <c r="S841" s="1"/>
      <c r="T841" s="1"/>
      <c r="U841" s="1"/>
      <c r="V841" s="1"/>
      <c r="W841" s="1"/>
      <c r="X841" s="1"/>
    </row>
    <row x14ac:dyDescent="0.25" r="842" customHeight="1" ht="18.75">
      <c r="A842" s="1"/>
      <c r="B842" s="1"/>
      <c r="C842" s="3" t="s">
        <v>300</v>
      </c>
      <c r="D842" s="3" t="s">
        <v>895</v>
      </c>
      <c r="E842" s="1"/>
      <c r="F842" s="1"/>
      <c r="G842" s="1"/>
      <c r="H842" s="1"/>
      <c r="I842" s="2"/>
      <c r="J842" s="1"/>
      <c r="K842" s="1"/>
      <c r="L842" s="1"/>
      <c r="M842" s="1"/>
      <c r="N842" s="1"/>
      <c r="O842" s="1"/>
      <c r="P842" s="1"/>
      <c r="Q842" s="1"/>
      <c r="R842" s="1"/>
      <c r="S842" s="1"/>
      <c r="T842" s="1"/>
      <c r="U842" s="1"/>
      <c r="V842" s="1"/>
      <c r="W842" s="1"/>
      <c r="X842" s="1"/>
    </row>
    <row x14ac:dyDescent="0.25" r="843" customHeight="1" ht="18.75">
      <c r="A843" s="1"/>
      <c r="B843" s="1"/>
      <c r="C843" s="3" t="s">
        <v>404</v>
      </c>
      <c r="D843" s="3" t="s">
        <v>896</v>
      </c>
      <c r="E843" s="1"/>
      <c r="F843" s="1"/>
      <c r="G843" s="1"/>
      <c r="H843" s="1"/>
      <c r="I843" s="2"/>
      <c r="J843" s="1"/>
      <c r="K843" s="1"/>
      <c r="L843" s="1"/>
      <c r="M843" s="1"/>
      <c r="N843" s="1"/>
      <c r="O843" s="1"/>
      <c r="P843" s="1"/>
      <c r="Q843" s="1"/>
      <c r="R843" s="1"/>
      <c r="S843" s="1"/>
      <c r="T843" s="1"/>
      <c r="U843" s="1"/>
      <c r="V843" s="1"/>
      <c r="W843" s="1"/>
      <c r="X843" s="1"/>
    </row>
    <row x14ac:dyDescent="0.25" r="844" customHeight="1" ht="18.75">
      <c r="A844" s="1"/>
      <c r="B844" s="1"/>
      <c r="C844" s="3" t="s">
        <v>121</v>
      </c>
      <c r="D844" s="3" t="s">
        <v>897</v>
      </c>
      <c r="E844" s="1"/>
      <c r="F844" s="1"/>
      <c r="G844" s="1"/>
      <c r="H844" s="1"/>
      <c r="I844" s="2"/>
      <c r="J844" s="1"/>
      <c r="K844" s="1"/>
      <c r="L844" s="1"/>
      <c r="M844" s="1"/>
      <c r="N844" s="1"/>
      <c r="O844" s="1"/>
      <c r="P844" s="1"/>
      <c r="Q844" s="1"/>
      <c r="R844" s="1"/>
      <c r="S844" s="1"/>
      <c r="T844" s="1"/>
      <c r="U844" s="1"/>
      <c r="V844" s="1"/>
      <c r="W844" s="1"/>
      <c r="X844" s="1"/>
    </row>
    <row x14ac:dyDescent="0.25" r="845" customHeight="1" ht="18.75">
      <c r="A845" s="1"/>
      <c r="B845" s="1"/>
      <c r="C845" s="3" t="s">
        <v>121</v>
      </c>
      <c r="D845" s="3" t="s">
        <v>898</v>
      </c>
      <c r="E845" s="1"/>
      <c r="F845" s="1"/>
      <c r="G845" s="1"/>
      <c r="H845" s="1"/>
      <c r="I845" s="2"/>
      <c r="J845" s="1"/>
      <c r="K845" s="1"/>
      <c r="L845" s="1"/>
      <c r="M845" s="1"/>
      <c r="N845" s="1"/>
      <c r="O845" s="1"/>
      <c r="P845" s="1"/>
      <c r="Q845" s="1"/>
      <c r="R845" s="1"/>
      <c r="S845" s="1"/>
      <c r="T845" s="1"/>
      <c r="U845" s="1"/>
      <c r="V845" s="1"/>
      <c r="W845" s="1"/>
      <c r="X845" s="1"/>
    </row>
    <row x14ac:dyDescent="0.25" r="846" customHeight="1" ht="18.75">
      <c r="A846" s="1"/>
      <c r="B846" s="1"/>
      <c r="C846" s="3" t="s">
        <v>121</v>
      </c>
      <c r="D846" s="3" t="s">
        <v>899</v>
      </c>
      <c r="E846" s="1"/>
      <c r="F846" s="1"/>
      <c r="G846" s="1"/>
      <c r="H846" s="1"/>
      <c r="I846" s="2"/>
      <c r="J846" s="1"/>
      <c r="K846" s="1"/>
      <c r="L846" s="1"/>
      <c r="M846" s="1"/>
      <c r="N846" s="1"/>
      <c r="O846" s="1"/>
      <c r="P846" s="1"/>
      <c r="Q846" s="1"/>
      <c r="R846" s="1"/>
      <c r="S846" s="1"/>
      <c r="T846" s="1"/>
      <c r="U846" s="1"/>
      <c r="V846" s="1"/>
      <c r="W846" s="1"/>
      <c r="X846" s="1"/>
    </row>
    <row x14ac:dyDescent="0.25" r="847" customHeight="1" ht="18.75">
      <c r="A847" s="1"/>
      <c r="B847" s="1"/>
      <c r="C847" s="3" t="s">
        <v>121</v>
      </c>
      <c r="D847" s="3" t="s">
        <v>900</v>
      </c>
      <c r="E847" s="1"/>
      <c r="F847" s="1"/>
      <c r="G847" s="1"/>
      <c r="H847" s="1"/>
      <c r="I847" s="2"/>
      <c r="J847" s="1"/>
      <c r="K847" s="1"/>
      <c r="L847" s="1"/>
      <c r="M847" s="1"/>
      <c r="N847" s="1"/>
      <c r="O847" s="1"/>
      <c r="P847" s="1"/>
      <c r="Q847" s="1"/>
      <c r="R847" s="1"/>
      <c r="S847" s="1"/>
      <c r="T847" s="1"/>
      <c r="U847" s="1"/>
      <c r="V847" s="1"/>
      <c r="W847" s="1"/>
      <c r="X847" s="1"/>
    </row>
    <row x14ac:dyDescent="0.25" r="848" customHeight="1" ht="18.75">
      <c r="A848" s="1"/>
      <c r="B848" s="1"/>
      <c r="C848" s="3" t="s">
        <v>121</v>
      </c>
      <c r="D848" s="3" t="s">
        <v>901</v>
      </c>
      <c r="E848" s="1"/>
      <c r="F848" s="1"/>
      <c r="G848" s="1"/>
      <c r="H848" s="1"/>
      <c r="I848" s="2"/>
      <c r="J848" s="1"/>
      <c r="K848" s="1"/>
      <c r="L848" s="1"/>
      <c r="M848" s="1"/>
      <c r="N848" s="1"/>
      <c r="O848" s="1"/>
      <c r="P848" s="1"/>
      <c r="Q848" s="1"/>
      <c r="R848" s="1"/>
      <c r="S848" s="1"/>
      <c r="T848" s="1"/>
      <c r="U848" s="1"/>
      <c r="V848" s="1"/>
      <c r="W848" s="1"/>
      <c r="X848" s="1"/>
    </row>
    <row x14ac:dyDescent="0.25" r="849" customHeight="1" ht="18.75">
      <c r="A849" s="1"/>
      <c r="B849" s="1"/>
      <c r="C849" s="3" t="s">
        <v>121</v>
      </c>
      <c r="D849" s="3" t="s">
        <v>902</v>
      </c>
      <c r="E849" s="1"/>
      <c r="F849" s="1"/>
      <c r="G849" s="1"/>
      <c r="H849" s="1"/>
      <c r="I849" s="2"/>
      <c r="J849" s="1"/>
      <c r="K849" s="1"/>
      <c r="L849" s="1"/>
      <c r="M849" s="1"/>
      <c r="N849" s="1"/>
      <c r="O849" s="1"/>
      <c r="P849" s="1"/>
      <c r="Q849" s="1"/>
      <c r="R849" s="1"/>
      <c r="S849" s="1"/>
      <c r="T849" s="1"/>
      <c r="U849" s="1"/>
      <c r="V849" s="1"/>
      <c r="W849" s="1"/>
      <c r="X849" s="1"/>
    </row>
    <row x14ac:dyDescent="0.25" r="850" customHeight="1" ht="18.75">
      <c r="A850" s="1"/>
      <c r="B850" s="1"/>
      <c r="C850" s="3" t="s">
        <v>300</v>
      </c>
      <c r="D850" s="3" t="s">
        <v>903</v>
      </c>
      <c r="E850" s="1"/>
      <c r="F850" s="1"/>
      <c r="G850" s="1"/>
      <c r="H850" s="1"/>
      <c r="I850" s="2"/>
      <c r="J850" s="1"/>
      <c r="K850" s="1"/>
      <c r="L850" s="1"/>
      <c r="M850" s="1"/>
      <c r="N850" s="1"/>
      <c r="O850" s="1"/>
      <c r="P850" s="1"/>
      <c r="Q850" s="1"/>
      <c r="R850" s="1"/>
      <c r="S850" s="1"/>
      <c r="T850" s="1"/>
      <c r="U850" s="1"/>
      <c r="V850" s="1"/>
      <c r="W850" s="1"/>
      <c r="X850" s="1"/>
    </row>
    <row x14ac:dyDescent="0.25" r="851" customHeight="1" ht="18.75">
      <c r="A851" s="1"/>
      <c r="B851" s="1"/>
      <c r="C851" s="3" t="s">
        <v>121</v>
      </c>
      <c r="D851" s="3" t="s">
        <v>904</v>
      </c>
      <c r="E851" s="1"/>
      <c r="F851" s="1"/>
      <c r="G851" s="1"/>
      <c r="H851" s="1"/>
      <c r="I851" s="2"/>
      <c r="J851" s="1"/>
      <c r="K851" s="1"/>
      <c r="L851" s="1"/>
      <c r="M851" s="1"/>
      <c r="N851" s="1"/>
      <c r="O851" s="1"/>
      <c r="P851" s="1"/>
      <c r="Q851" s="1"/>
      <c r="R851" s="1"/>
      <c r="S851" s="1"/>
      <c r="T851" s="1"/>
      <c r="U851" s="1"/>
      <c r="V851" s="1"/>
      <c r="W851" s="1"/>
      <c r="X851" s="1"/>
    </row>
    <row x14ac:dyDescent="0.25" r="852" customHeight="1" ht="18.75">
      <c r="A852" s="1"/>
      <c r="B852" s="1"/>
      <c r="C852" s="3" t="s">
        <v>121</v>
      </c>
      <c r="D852" s="3" t="s">
        <v>905</v>
      </c>
      <c r="E852" s="1"/>
      <c r="F852" s="1"/>
      <c r="G852" s="1"/>
      <c r="H852" s="1"/>
      <c r="I852" s="2"/>
      <c r="J852" s="1"/>
      <c r="K852" s="1"/>
      <c r="L852" s="1"/>
      <c r="M852" s="1"/>
      <c r="N852" s="1"/>
      <c r="O852" s="1"/>
      <c r="P852" s="1"/>
      <c r="Q852" s="1"/>
      <c r="R852" s="1"/>
      <c r="S852" s="1"/>
      <c r="T852" s="1"/>
      <c r="U852" s="1"/>
      <c r="V852" s="1"/>
      <c r="W852" s="1"/>
      <c r="X852" s="1"/>
    </row>
    <row x14ac:dyDescent="0.25" r="853" customHeight="1" ht="18.75">
      <c r="A853" s="1"/>
      <c r="B853" s="1"/>
      <c r="C853" s="3" t="s">
        <v>300</v>
      </c>
      <c r="D853" s="3" t="s">
        <v>906</v>
      </c>
      <c r="E853" s="1"/>
      <c r="F853" s="1"/>
      <c r="G853" s="1"/>
      <c r="H853" s="1"/>
      <c r="I853" s="2"/>
      <c r="J853" s="1"/>
      <c r="K853" s="1"/>
      <c r="L853" s="1"/>
      <c r="M853" s="1"/>
      <c r="N853" s="1"/>
      <c r="O853" s="1"/>
      <c r="P853" s="1"/>
      <c r="Q853" s="1"/>
      <c r="R853" s="1"/>
      <c r="S853" s="1"/>
      <c r="T853" s="1"/>
      <c r="U853" s="1"/>
      <c r="V853" s="1"/>
      <c r="W853" s="1"/>
      <c r="X853" s="1"/>
    </row>
    <row x14ac:dyDescent="0.25" r="854" customHeight="1" ht="18.75">
      <c r="A854" s="1"/>
      <c r="B854" s="1"/>
      <c r="C854" s="3" t="s">
        <v>404</v>
      </c>
      <c r="D854" s="3" t="s">
        <v>907</v>
      </c>
      <c r="E854" s="1"/>
      <c r="F854" s="1"/>
      <c r="G854" s="1"/>
      <c r="H854" s="1"/>
      <c r="I854" s="2"/>
      <c r="J854" s="1"/>
      <c r="K854" s="1"/>
      <c r="L854" s="1"/>
      <c r="M854" s="1"/>
      <c r="N854" s="1"/>
      <c r="O854" s="1"/>
      <c r="P854" s="1"/>
      <c r="Q854" s="1"/>
      <c r="R854" s="1"/>
      <c r="S854" s="1"/>
      <c r="T854" s="1"/>
      <c r="U854" s="1"/>
      <c r="V854" s="1"/>
      <c r="W854" s="1"/>
      <c r="X854" s="1"/>
    </row>
    <row x14ac:dyDescent="0.25" r="855" customHeight="1" ht="18.75">
      <c r="A855" s="1"/>
      <c r="B855" s="1"/>
      <c r="C855" s="3" t="s">
        <v>121</v>
      </c>
      <c r="D855" s="3" t="s">
        <v>908</v>
      </c>
      <c r="E855" s="1"/>
      <c r="F855" s="1"/>
      <c r="G855" s="1"/>
      <c r="H855" s="1"/>
      <c r="I855" s="2"/>
      <c r="J855" s="1"/>
      <c r="K855" s="1"/>
      <c r="L855" s="1"/>
      <c r="M855" s="1"/>
      <c r="N855" s="1"/>
      <c r="O855" s="1"/>
      <c r="P855" s="1"/>
      <c r="Q855" s="1"/>
      <c r="R855" s="1"/>
      <c r="S855" s="1"/>
      <c r="T855" s="1"/>
      <c r="U855" s="1"/>
      <c r="V855" s="1"/>
      <c r="W855" s="1"/>
      <c r="X855" s="1"/>
    </row>
    <row x14ac:dyDescent="0.25" r="856" customHeight="1" ht="18.75">
      <c r="A856" s="1"/>
      <c r="B856" s="1"/>
      <c r="C856" s="3" t="s">
        <v>121</v>
      </c>
      <c r="D856" s="3" t="s">
        <v>909</v>
      </c>
      <c r="E856" s="1"/>
      <c r="F856" s="1"/>
      <c r="G856" s="1"/>
      <c r="H856" s="1"/>
      <c r="I856" s="2"/>
      <c r="J856" s="1"/>
      <c r="K856" s="1"/>
      <c r="L856" s="1"/>
      <c r="M856" s="1"/>
      <c r="N856" s="1"/>
      <c r="O856" s="1"/>
      <c r="P856" s="1"/>
      <c r="Q856" s="1"/>
      <c r="R856" s="1"/>
      <c r="S856" s="1"/>
      <c r="T856" s="1"/>
      <c r="U856" s="1"/>
      <c r="V856" s="1"/>
      <c r="W856" s="1"/>
      <c r="X856" s="1"/>
    </row>
    <row x14ac:dyDescent="0.25" r="857" customHeight="1" ht="18.75">
      <c r="A857" s="1"/>
      <c r="B857" s="1"/>
      <c r="C857" s="3" t="s">
        <v>121</v>
      </c>
      <c r="D857" s="3" t="s">
        <v>910</v>
      </c>
      <c r="E857" s="1"/>
      <c r="F857" s="1"/>
      <c r="G857" s="1"/>
      <c r="H857" s="1"/>
      <c r="I857" s="2"/>
      <c r="J857" s="1"/>
      <c r="K857" s="1"/>
      <c r="L857" s="1"/>
      <c r="M857" s="1"/>
      <c r="N857" s="1"/>
      <c r="O857" s="1"/>
      <c r="P857" s="1"/>
      <c r="Q857" s="1"/>
      <c r="R857" s="1"/>
      <c r="S857" s="1"/>
      <c r="T857" s="1"/>
      <c r="U857" s="1"/>
      <c r="V857" s="1"/>
      <c r="W857" s="1"/>
      <c r="X857" s="1"/>
    </row>
    <row x14ac:dyDescent="0.25" r="858" customHeight="1" ht="18.75">
      <c r="A858" s="1"/>
      <c r="B858" s="1"/>
      <c r="C858" s="3" t="s">
        <v>300</v>
      </c>
      <c r="D858" s="3" t="s">
        <v>911</v>
      </c>
      <c r="E858" s="1"/>
      <c r="F858" s="1"/>
      <c r="G858" s="1"/>
      <c r="H858" s="1"/>
      <c r="I858" s="2"/>
      <c r="J858" s="1"/>
      <c r="K858" s="1"/>
      <c r="L858" s="1"/>
      <c r="M858" s="1"/>
      <c r="N858" s="1"/>
      <c r="O858" s="1"/>
      <c r="P858" s="1"/>
      <c r="Q858" s="1"/>
      <c r="R858" s="1"/>
      <c r="S858" s="1"/>
      <c r="T858" s="1"/>
      <c r="U858" s="1"/>
      <c r="V858" s="1"/>
      <c r="W858" s="1"/>
      <c r="X858" s="1"/>
    </row>
    <row x14ac:dyDescent="0.25" r="859" customHeight="1" ht="18.75">
      <c r="A859" s="1"/>
      <c r="B859" s="1"/>
      <c r="C859" s="3" t="s">
        <v>912</v>
      </c>
      <c r="D859" s="3" t="s">
        <v>913</v>
      </c>
      <c r="E859" s="1"/>
      <c r="F859" s="1"/>
      <c r="G859" s="1"/>
      <c r="H859" s="1"/>
      <c r="I859" s="2"/>
      <c r="J859" s="1"/>
      <c r="K859" s="1"/>
      <c r="L859" s="1"/>
      <c r="M859" s="1"/>
      <c r="N859" s="1"/>
      <c r="O859" s="1"/>
      <c r="P859" s="1"/>
      <c r="Q859" s="1"/>
      <c r="R859" s="1"/>
      <c r="S859" s="1"/>
      <c r="T859" s="1"/>
      <c r="U859" s="1"/>
      <c r="V859" s="1"/>
      <c r="W859" s="1"/>
      <c r="X859" s="1"/>
    </row>
    <row x14ac:dyDescent="0.25" r="860" customHeight="1" ht="18.75">
      <c r="A860" s="1"/>
      <c r="B860" s="1"/>
      <c r="C860" s="3" t="s">
        <v>914</v>
      </c>
      <c r="D860" s="3" t="s">
        <v>915</v>
      </c>
      <c r="E860" s="1"/>
      <c r="F860" s="1"/>
      <c r="G860" s="1"/>
      <c r="H860" s="1"/>
      <c r="I860" s="2"/>
      <c r="J860" s="1"/>
      <c r="K860" s="1"/>
      <c r="L860" s="1"/>
      <c r="M860" s="1"/>
      <c r="N860" s="1"/>
      <c r="O860" s="1"/>
      <c r="P860" s="1"/>
      <c r="Q860" s="1"/>
      <c r="R860" s="1"/>
      <c r="S860" s="1"/>
      <c r="T860" s="1"/>
      <c r="U860" s="1"/>
      <c r="V860" s="1"/>
      <c r="W860" s="1"/>
      <c r="X860" s="1"/>
    </row>
    <row x14ac:dyDescent="0.25" r="861" customHeight="1" ht="18.75">
      <c r="A861" s="1"/>
      <c r="B861" s="1"/>
      <c r="C861" s="3" t="s">
        <v>916</v>
      </c>
      <c r="D861" s="3" t="s">
        <v>915</v>
      </c>
      <c r="E861" s="1"/>
      <c r="F861" s="1"/>
      <c r="G861" s="1"/>
      <c r="H861" s="1"/>
      <c r="I861" s="2"/>
      <c r="J861" s="1"/>
      <c r="K861" s="1"/>
      <c r="L861" s="1"/>
      <c r="M861" s="1"/>
      <c r="N861" s="1"/>
      <c r="O861" s="1"/>
      <c r="P861" s="1"/>
      <c r="Q861" s="1"/>
      <c r="R861" s="1"/>
      <c r="S861" s="1"/>
      <c r="T861" s="1"/>
      <c r="U861" s="1"/>
      <c r="V861" s="1"/>
      <c r="W861" s="1"/>
      <c r="X861" s="1"/>
    </row>
    <row x14ac:dyDescent="0.25" r="862" customHeight="1" ht="18.75">
      <c r="A862" s="1"/>
      <c r="B862" s="1"/>
      <c r="C862" s="3" t="s">
        <v>916</v>
      </c>
      <c r="D862" s="3" t="s">
        <v>917</v>
      </c>
      <c r="E862" s="1"/>
      <c r="F862" s="1"/>
      <c r="G862" s="1"/>
      <c r="H862" s="1"/>
      <c r="I862" s="2"/>
      <c r="J862" s="1"/>
      <c r="K862" s="1"/>
      <c r="L862" s="1"/>
      <c r="M862" s="1"/>
      <c r="N862" s="1"/>
      <c r="O862" s="1"/>
      <c r="P862" s="1"/>
      <c r="Q862" s="1"/>
      <c r="R862" s="1"/>
      <c r="S862" s="1"/>
      <c r="T862" s="1"/>
      <c r="U862" s="1"/>
      <c r="V862" s="1"/>
      <c r="W862" s="1"/>
      <c r="X862" s="1"/>
    </row>
    <row x14ac:dyDescent="0.25" r="863" customHeight="1" ht="18.75">
      <c r="A863" s="1"/>
      <c r="B863" s="1"/>
      <c r="C863" s="3" t="s">
        <v>916</v>
      </c>
      <c r="D863" s="3" t="s">
        <v>918</v>
      </c>
      <c r="E863" s="1"/>
      <c r="F863" s="1"/>
      <c r="G863" s="1"/>
      <c r="H863" s="1"/>
      <c r="I863" s="2"/>
      <c r="J863" s="1"/>
      <c r="K863" s="1"/>
      <c r="L863" s="1"/>
      <c r="M863" s="1"/>
      <c r="N863" s="1"/>
      <c r="O863" s="1"/>
      <c r="P863" s="1"/>
      <c r="Q863" s="1"/>
      <c r="R863" s="1"/>
      <c r="S863" s="1"/>
      <c r="T863" s="1"/>
      <c r="U863" s="1"/>
      <c r="V863" s="1"/>
      <c r="W863" s="1"/>
      <c r="X863" s="1"/>
    </row>
    <row x14ac:dyDescent="0.25" r="864" customHeight="1" ht="18.75">
      <c r="A864" s="1"/>
      <c r="B864" s="1"/>
      <c r="C864" s="3" t="s">
        <v>916</v>
      </c>
      <c r="D864" s="3" t="s">
        <v>919</v>
      </c>
      <c r="E864" s="1"/>
      <c r="F864" s="1"/>
      <c r="G864" s="1"/>
      <c r="H864" s="1"/>
      <c r="I864" s="2"/>
      <c r="J864" s="1"/>
      <c r="K864" s="1"/>
      <c r="L864" s="1"/>
      <c r="M864" s="1"/>
      <c r="N864" s="1"/>
      <c r="O864" s="1"/>
      <c r="P864" s="1"/>
      <c r="Q864" s="1"/>
      <c r="R864" s="1"/>
      <c r="S864" s="1"/>
      <c r="T864" s="1"/>
      <c r="U864" s="1"/>
      <c r="V864" s="1"/>
      <c r="W864" s="1"/>
      <c r="X864" s="1"/>
    </row>
    <row x14ac:dyDescent="0.25" r="865" customHeight="1" ht="18.75">
      <c r="A865" s="1"/>
      <c r="B865" s="1"/>
      <c r="C865" s="3" t="s">
        <v>916</v>
      </c>
      <c r="D865" s="3" t="s">
        <v>920</v>
      </c>
      <c r="E865" s="1"/>
      <c r="F865" s="1"/>
      <c r="G865" s="1"/>
      <c r="H865" s="1"/>
      <c r="I865" s="2"/>
      <c r="J865" s="1"/>
      <c r="K865" s="1"/>
      <c r="L865" s="1"/>
      <c r="M865" s="1"/>
      <c r="N865" s="1"/>
      <c r="O865" s="1"/>
      <c r="P865" s="1"/>
      <c r="Q865" s="1"/>
      <c r="R865" s="1"/>
      <c r="S865" s="1"/>
      <c r="T865" s="1"/>
      <c r="U865" s="1"/>
      <c r="V865" s="1"/>
      <c r="W865" s="1"/>
      <c r="X865" s="1"/>
    </row>
    <row x14ac:dyDescent="0.25" r="866" customHeight="1" ht="18.75">
      <c r="A866" s="1"/>
      <c r="B866" s="1"/>
      <c r="C866" s="3" t="s">
        <v>916</v>
      </c>
      <c r="D866" s="3" t="s">
        <v>921</v>
      </c>
      <c r="E866" s="1"/>
      <c r="F866" s="1"/>
      <c r="G866" s="1"/>
      <c r="H866" s="1"/>
      <c r="I866" s="2"/>
      <c r="J866" s="1"/>
      <c r="K866" s="1"/>
      <c r="L866" s="1"/>
      <c r="M866" s="1"/>
      <c r="N866" s="1"/>
      <c r="O866" s="1"/>
      <c r="P866" s="1"/>
      <c r="Q866" s="1"/>
      <c r="R866" s="1"/>
      <c r="S866" s="1"/>
      <c r="T866" s="1"/>
      <c r="U866" s="1"/>
      <c r="V866" s="1"/>
      <c r="W866" s="1"/>
      <c r="X866" s="1"/>
    </row>
    <row x14ac:dyDescent="0.25" r="867" customHeight="1" ht="18.75">
      <c r="A867" s="1"/>
      <c r="B867" s="1"/>
      <c r="C867" s="3" t="s">
        <v>916</v>
      </c>
      <c r="D867" s="3" t="s">
        <v>922</v>
      </c>
      <c r="E867" s="1"/>
      <c r="F867" s="1"/>
      <c r="G867" s="1"/>
      <c r="H867" s="1"/>
      <c r="I867" s="2"/>
      <c r="J867" s="1"/>
      <c r="K867" s="1"/>
      <c r="L867" s="1"/>
      <c r="M867" s="1"/>
      <c r="N867" s="1"/>
      <c r="O867" s="1"/>
      <c r="P867" s="1"/>
      <c r="Q867" s="1"/>
      <c r="R867" s="1"/>
      <c r="S867" s="1"/>
      <c r="T867" s="1"/>
      <c r="U867" s="1"/>
      <c r="V867" s="1"/>
      <c r="W867" s="1"/>
      <c r="X867" s="1"/>
    </row>
    <row x14ac:dyDescent="0.25" r="868" customHeight="1" ht="18.75">
      <c r="A868" s="1"/>
      <c r="B868" s="1"/>
      <c r="C868" s="3" t="s">
        <v>916</v>
      </c>
      <c r="D868" s="3" t="s">
        <v>923</v>
      </c>
      <c r="E868" s="1"/>
      <c r="F868" s="1"/>
      <c r="G868" s="1"/>
      <c r="H868" s="1"/>
      <c r="I868" s="2"/>
      <c r="J868" s="1"/>
      <c r="K868" s="1"/>
      <c r="L868" s="1"/>
      <c r="M868" s="1"/>
      <c r="N868" s="1"/>
      <c r="O868" s="1"/>
      <c r="P868" s="1"/>
      <c r="Q868" s="1"/>
      <c r="R868" s="1"/>
      <c r="S868" s="1"/>
      <c r="T868" s="1"/>
      <c r="U868" s="1"/>
      <c r="V868" s="1"/>
      <c r="W868" s="1"/>
      <c r="X868" s="1"/>
    </row>
    <row x14ac:dyDescent="0.25" r="869" customHeight="1" ht="18.75">
      <c r="A869" s="1"/>
      <c r="B869" s="1"/>
      <c r="C869" s="3" t="s">
        <v>914</v>
      </c>
      <c r="D869" s="3" t="s">
        <v>923</v>
      </c>
      <c r="E869" s="1"/>
      <c r="F869" s="1"/>
      <c r="G869" s="1"/>
      <c r="H869" s="1"/>
      <c r="I869" s="2"/>
      <c r="J869" s="1"/>
      <c r="K869" s="1"/>
      <c r="L869" s="1"/>
      <c r="M869" s="1"/>
      <c r="N869" s="1"/>
      <c r="O869" s="1"/>
      <c r="P869" s="1"/>
      <c r="Q869" s="1"/>
      <c r="R869" s="1"/>
      <c r="S869" s="1"/>
      <c r="T869" s="1"/>
      <c r="U869" s="1"/>
      <c r="V869" s="1"/>
      <c r="W869" s="1"/>
      <c r="X869" s="1"/>
    </row>
    <row x14ac:dyDescent="0.25" r="870" customHeight="1" ht="18.75">
      <c r="A870" s="1"/>
      <c r="B870" s="1"/>
      <c r="C870" s="3" t="s">
        <v>916</v>
      </c>
      <c r="D870" s="3" t="s">
        <v>924</v>
      </c>
      <c r="E870" s="1"/>
      <c r="F870" s="1"/>
      <c r="G870" s="1"/>
      <c r="H870" s="1"/>
      <c r="I870" s="2"/>
      <c r="J870" s="1"/>
      <c r="K870" s="1"/>
      <c r="L870" s="1"/>
      <c r="M870" s="1"/>
      <c r="N870" s="1"/>
      <c r="O870" s="1"/>
      <c r="P870" s="1"/>
      <c r="Q870" s="1"/>
      <c r="R870" s="1"/>
      <c r="S870" s="1"/>
      <c r="T870" s="1"/>
      <c r="U870" s="1"/>
      <c r="V870" s="1"/>
      <c r="W870" s="1"/>
      <c r="X870" s="1"/>
    </row>
    <row x14ac:dyDescent="0.25" r="871" customHeight="1" ht="18.75">
      <c r="A871" s="1"/>
      <c r="B871" s="1"/>
      <c r="C871" s="3" t="s">
        <v>916</v>
      </c>
      <c r="D871" s="3" t="s">
        <v>925</v>
      </c>
      <c r="E871" s="1"/>
      <c r="F871" s="1"/>
      <c r="G871" s="1"/>
      <c r="H871" s="1"/>
      <c r="I871" s="2"/>
      <c r="J871" s="1"/>
      <c r="K871" s="1"/>
      <c r="L871" s="1"/>
      <c r="M871" s="1"/>
      <c r="N871" s="1"/>
      <c r="O871" s="1"/>
      <c r="P871" s="1"/>
      <c r="Q871" s="1"/>
      <c r="R871" s="1"/>
      <c r="S871" s="1"/>
      <c r="T871" s="1"/>
      <c r="U871" s="1"/>
      <c r="V871" s="1"/>
      <c r="W871" s="1"/>
      <c r="X871" s="1"/>
    </row>
    <row x14ac:dyDescent="0.25" r="872" customHeight="1" ht="18.75">
      <c r="A872" s="1"/>
      <c r="B872" s="1"/>
      <c r="C872" s="3" t="s">
        <v>916</v>
      </c>
      <c r="D872" s="3" t="s">
        <v>926</v>
      </c>
      <c r="E872" s="1"/>
      <c r="F872" s="1"/>
      <c r="G872" s="1"/>
      <c r="H872" s="1"/>
      <c r="I872" s="2"/>
      <c r="J872" s="1"/>
      <c r="K872" s="1"/>
      <c r="L872" s="1"/>
      <c r="M872" s="1"/>
      <c r="N872" s="1"/>
      <c r="O872" s="1"/>
      <c r="P872" s="1"/>
      <c r="Q872" s="1"/>
      <c r="R872" s="1"/>
      <c r="S872" s="1"/>
      <c r="T872" s="1"/>
      <c r="U872" s="1"/>
      <c r="V872" s="1"/>
      <c r="W872" s="1"/>
      <c r="X872" s="1"/>
    </row>
    <row x14ac:dyDescent="0.25" r="873" customHeight="1" ht="18.75">
      <c r="A873" s="1"/>
      <c r="B873" s="1"/>
      <c r="C873" s="3" t="s">
        <v>916</v>
      </c>
      <c r="D873" s="3" t="s">
        <v>927</v>
      </c>
      <c r="E873" s="1"/>
      <c r="F873" s="1"/>
      <c r="G873" s="1"/>
      <c r="H873" s="1"/>
      <c r="I873" s="2"/>
      <c r="J873" s="1"/>
      <c r="K873" s="1"/>
      <c r="L873" s="1"/>
      <c r="M873" s="1"/>
      <c r="N873" s="1"/>
      <c r="O873" s="1"/>
      <c r="P873" s="1"/>
      <c r="Q873" s="1"/>
      <c r="R873" s="1"/>
      <c r="S873" s="1"/>
      <c r="T873" s="1"/>
      <c r="U873" s="1"/>
      <c r="V873" s="1"/>
      <c r="W873" s="1"/>
      <c r="X873" s="1"/>
    </row>
    <row x14ac:dyDescent="0.25" r="874" customHeight="1" ht="18.75">
      <c r="A874" s="1"/>
      <c r="B874" s="1"/>
      <c r="C874" s="3" t="s">
        <v>916</v>
      </c>
      <c r="D874" s="3" t="s">
        <v>928</v>
      </c>
      <c r="E874" s="1"/>
      <c r="F874" s="1"/>
      <c r="G874" s="1"/>
      <c r="H874" s="1"/>
      <c r="I874" s="2"/>
      <c r="J874" s="1"/>
      <c r="K874" s="1"/>
      <c r="L874" s="1"/>
      <c r="M874" s="1"/>
      <c r="N874" s="1"/>
      <c r="O874" s="1"/>
      <c r="P874" s="1"/>
      <c r="Q874" s="1"/>
      <c r="R874" s="1"/>
      <c r="S874" s="1"/>
      <c r="T874" s="1"/>
      <c r="U874" s="1"/>
      <c r="V874" s="1"/>
      <c r="W874" s="1"/>
      <c r="X874" s="1"/>
    </row>
    <row x14ac:dyDescent="0.25" r="875" customHeight="1" ht="18.75">
      <c r="A875" s="1"/>
      <c r="B875" s="1"/>
      <c r="C875" s="3" t="s">
        <v>916</v>
      </c>
      <c r="D875" s="3" t="s">
        <v>929</v>
      </c>
      <c r="E875" s="1"/>
      <c r="F875" s="1"/>
      <c r="G875" s="1"/>
      <c r="H875" s="1"/>
      <c r="I875" s="2"/>
      <c r="J875" s="1"/>
      <c r="K875" s="1"/>
      <c r="L875" s="1"/>
      <c r="M875" s="1"/>
      <c r="N875" s="1"/>
      <c r="O875" s="1"/>
      <c r="P875" s="1"/>
      <c r="Q875" s="1"/>
      <c r="R875" s="1"/>
      <c r="S875" s="1"/>
      <c r="T875" s="1"/>
      <c r="U875" s="1"/>
      <c r="V875" s="1"/>
      <c r="W875" s="1"/>
      <c r="X875" s="1"/>
    </row>
    <row x14ac:dyDescent="0.25" r="876" customHeight="1" ht="18.75">
      <c r="A876" s="1"/>
      <c r="B876" s="1"/>
      <c r="C876" s="3" t="s">
        <v>914</v>
      </c>
      <c r="D876" s="3" t="s">
        <v>930</v>
      </c>
      <c r="E876" s="1"/>
      <c r="F876" s="1"/>
      <c r="G876" s="1"/>
      <c r="H876" s="1"/>
      <c r="I876" s="2"/>
      <c r="J876" s="1"/>
      <c r="K876" s="1"/>
      <c r="L876" s="1"/>
      <c r="M876" s="1"/>
      <c r="N876" s="1"/>
      <c r="O876" s="1"/>
      <c r="P876" s="1"/>
      <c r="Q876" s="1"/>
      <c r="R876" s="1"/>
      <c r="S876" s="1"/>
      <c r="T876" s="1"/>
      <c r="U876" s="1"/>
      <c r="V876" s="1"/>
      <c r="W876" s="1"/>
      <c r="X876" s="1"/>
    </row>
    <row x14ac:dyDescent="0.25" r="877" customHeight="1" ht="18.75">
      <c r="A877" s="1"/>
      <c r="B877" s="1"/>
      <c r="C877" s="3" t="s">
        <v>916</v>
      </c>
      <c r="D877" s="3" t="s">
        <v>931</v>
      </c>
      <c r="E877" s="1"/>
      <c r="F877" s="1"/>
      <c r="G877" s="1"/>
      <c r="H877" s="1"/>
      <c r="I877" s="2"/>
      <c r="J877" s="1"/>
      <c r="K877" s="1"/>
      <c r="L877" s="1"/>
      <c r="M877" s="1"/>
      <c r="N877" s="1"/>
      <c r="O877" s="1"/>
      <c r="P877" s="1"/>
      <c r="Q877" s="1"/>
      <c r="R877" s="1"/>
      <c r="S877" s="1"/>
      <c r="T877" s="1"/>
      <c r="U877" s="1"/>
      <c r="V877" s="1"/>
      <c r="W877" s="1"/>
      <c r="X877" s="1"/>
    </row>
    <row x14ac:dyDescent="0.25" r="878" customHeight="1" ht="18.75">
      <c r="A878" s="1"/>
      <c r="B878" s="1"/>
      <c r="C878" s="3" t="s">
        <v>914</v>
      </c>
      <c r="D878" s="3" t="s">
        <v>932</v>
      </c>
      <c r="E878" s="1"/>
      <c r="F878" s="1"/>
      <c r="G878" s="1"/>
      <c r="H878" s="1"/>
      <c r="I878" s="2"/>
      <c r="J878" s="1"/>
      <c r="K878" s="1"/>
      <c r="L878" s="1"/>
      <c r="M878" s="1"/>
      <c r="N878" s="1"/>
      <c r="O878" s="1"/>
      <c r="P878" s="1"/>
      <c r="Q878" s="1"/>
      <c r="R878" s="1"/>
      <c r="S878" s="1"/>
      <c r="T878" s="1"/>
      <c r="U878" s="1"/>
      <c r="V878" s="1"/>
      <c r="W878" s="1"/>
      <c r="X878" s="1"/>
    </row>
    <row x14ac:dyDescent="0.25" r="879" customHeight="1" ht="18.75">
      <c r="A879" s="1"/>
      <c r="B879" s="1"/>
      <c r="C879" s="3" t="s">
        <v>916</v>
      </c>
      <c r="D879" s="3" t="s">
        <v>933</v>
      </c>
      <c r="E879" s="1"/>
      <c r="F879" s="1"/>
      <c r="G879" s="1"/>
      <c r="H879" s="1"/>
      <c r="I879" s="2"/>
      <c r="J879" s="1"/>
      <c r="K879" s="1"/>
      <c r="L879" s="1"/>
      <c r="M879" s="1"/>
      <c r="N879" s="1"/>
      <c r="O879" s="1"/>
      <c r="P879" s="1"/>
      <c r="Q879" s="1"/>
      <c r="R879" s="1"/>
      <c r="S879" s="1"/>
      <c r="T879" s="1"/>
      <c r="U879" s="1"/>
      <c r="V879" s="1"/>
      <c r="W879" s="1"/>
      <c r="X879" s="1"/>
    </row>
    <row x14ac:dyDescent="0.25" r="880" customHeight="1" ht="18.75">
      <c r="A880" s="1"/>
      <c r="B880" s="1"/>
      <c r="C880" s="3" t="s">
        <v>916</v>
      </c>
      <c r="D880" s="3" t="s">
        <v>934</v>
      </c>
      <c r="E880" s="1"/>
      <c r="F880" s="1"/>
      <c r="G880" s="1"/>
      <c r="H880" s="1"/>
      <c r="I880" s="2"/>
      <c r="J880" s="1"/>
      <c r="K880" s="1"/>
      <c r="L880" s="1"/>
      <c r="M880" s="1"/>
      <c r="N880" s="1"/>
      <c r="O880" s="1"/>
      <c r="P880" s="1"/>
      <c r="Q880" s="1"/>
      <c r="R880" s="1"/>
      <c r="S880" s="1"/>
      <c r="T880" s="1"/>
      <c r="U880" s="1"/>
      <c r="V880" s="1"/>
      <c r="W880" s="1"/>
      <c r="X880" s="1"/>
    </row>
    <row x14ac:dyDescent="0.25" r="881" customHeight="1" ht="18.75">
      <c r="A881" s="1"/>
      <c r="B881" s="1"/>
      <c r="C881" s="3" t="s">
        <v>916</v>
      </c>
      <c r="D881" s="3" t="s">
        <v>935</v>
      </c>
      <c r="E881" s="1"/>
      <c r="F881" s="1"/>
      <c r="G881" s="1"/>
      <c r="H881" s="1"/>
      <c r="I881" s="2"/>
      <c r="J881" s="1"/>
      <c r="K881" s="1"/>
      <c r="L881" s="1"/>
      <c r="M881" s="1"/>
      <c r="N881" s="1"/>
      <c r="O881" s="1"/>
      <c r="P881" s="1"/>
      <c r="Q881" s="1"/>
      <c r="R881" s="1"/>
      <c r="S881" s="1"/>
      <c r="T881" s="1"/>
      <c r="U881" s="1"/>
      <c r="V881" s="1"/>
      <c r="W881" s="1"/>
      <c r="X881" s="1"/>
    </row>
    <row x14ac:dyDescent="0.25" r="882" customHeight="1" ht="18.75">
      <c r="A882" s="1"/>
      <c r="B882" s="1"/>
      <c r="C882" s="3" t="s">
        <v>914</v>
      </c>
      <c r="D882" s="3" t="s">
        <v>936</v>
      </c>
      <c r="E882" s="1"/>
      <c r="F882" s="1"/>
      <c r="G882" s="1"/>
      <c r="H882" s="1"/>
      <c r="I882" s="2"/>
      <c r="J882" s="1"/>
      <c r="K882" s="1"/>
      <c r="L882" s="1"/>
      <c r="M882" s="1"/>
      <c r="N882" s="1"/>
      <c r="O882" s="1"/>
      <c r="P882" s="1"/>
      <c r="Q882" s="1"/>
      <c r="R882" s="1"/>
      <c r="S882" s="1"/>
      <c r="T882" s="1"/>
      <c r="U882" s="1"/>
      <c r="V882" s="1"/>
      <c r="W882" s="1"/>
      <c r="X882" s="1"/>
    </row>
    <row x14ac:dyDescent="0.25" r="883" customHeight="1" ht="18.75">
      <c r="A883" s="1"/>
      <c r="B883" s="1"/>
      <c r="C883" s="3" t="s">
        <v>916</v>
      </c>
      <c r="D883" s="3" t="s">
        <v>937</v>
      </c>
      <c r="E883" s="1"/>
      <c r="F883" s="1"/>
      <c r="G883" s="1"/>
      <c r="H883" s="1"/>
      <c r="I883" s="2"/>
      <c r="J883" s="1"/>
      <c r="K883" s="1"/>
      <c r="L883" s="1"/>
      <c r="M883" s="1"/>
      <c r="N883" s="1"/>
      <c r="O883" s="1"/>
      <c r="P883" s="1"/>
      <c r="Q883" s="1"/>
      <c r="R883" s="1"/>
      <c r="S883" s="1"/>
      <c r="T883" s="1"/>
      <c r="U883" s="1"/>
      <c r="V883" s="1"/>
      <c r="W883" s="1"/>
      <c r="X883" s="1"/>
    </row>
    <row x14ac:dyDescent="0.25" r="884" customHeight="1" ht="18.75">
      <c r="A884" s="1"/>
      <c r="B884" s="1"/>
      <c r="C884" s="3" t="s">
        <v>912</v>
      </c>
      <c r="D884" s="3" t="s">
        <v>938</v>
      </c>
      <c r="E884" s="1"/>
      <c r="F884" s="1"/>
      <c r="G884" s="1"/>
      <c r="H884" s="1"/>
      <c r="I884" s="2"/>
      <c r="J884" s="1"/>
      <c r="K884" s="1"/>
      <c r="L884" s="1"/>
      <c r="M884" s="1"/>
      <c r="N884" s="1"/>
      <c r="O884" s="1"/>
      <c r="P884" s="1"/>
      <c r="Q884" s="1"/>
      <c r="R884" s="1"/>
      <c r="S884" s="1"/>
      <c r="T884" s="1"/>
      <c r="U884" s="1"/>
      <c r="V884" s="1"/>
      <c r="W884" s="1"/>
      <c r="X884" s="1"/>
    </row>
    <row x14ac:dyDescent="0.25" r="885" customHeight="1" ht="18.75">
      <c r="A885" s="1"/>
      <c r="B885" s="1"/>
      <c r="C885" s="3" t="s">
        <v>916</v>
      </c>
      <c r="D885" s="3" t="s">
        <v>298</v>
      </c>
      <c r="E885" s="1"/>
      <c r="F885" s="1"/>
      <c r="G885" s="1"/>
      <c r="H885" s="1"/>
      <c r="I885" s="2"/>
      <c r="J885" s="1"/>
      <c r="K885" s="1"/>
      <c r="L885" s="1"/>
      <c r="M885" s="1"/>
      <c r="N885" s="1"/>
      <c r="O885" s="1"/>
      <c r="P885" s="1"/>
      <c r="Q885" s="1"/>
      <c r="R885" s="1"/>
      <c r="S885" s="1"/>
      <c r="T885" s="1"/>
      <c r="U885" s="1"/>
      <c r="V885" s="1"/>
      <c r="W885" s="1"/>
      <c r="X885" s="1"/>
    </row>
    <row x14ac:dyDescent="0.25" r="886" customHeight="1" ht="18.75">
      <c r="A886" s="1"/>
      <c r="B886" s="1"/>
      <c r="C886" s="3" t="s">
        <v>143</v>
      </c>
      <c r="D886" s="3" t="s">
        <v>939</v>
      </c>
      <c r="E886" s="1"/>
      <c r="F886" s="1"/>
      <c r="G886" s="1"/>
      <c r="H886" s="1"/>
      <c r="I886" s="2"/>
      <c r="J886" s="1"/>
      <c r="K886" s="1"/>
      <c r="L886" s="1"/>
      <c r="M886" s="1"/>
      <c r="N886" s="1"/>
      <c r="O886" s="1"/>
      <c r="P886" s="1"/>
      <c r="Q886" s="1"/>
      <c r="R886" s="1"/>
      <c r="S886" s="1"/>
      <c r="T886" s="1"/>
      <c r="U886" s="1"/>
      <c r="V886" s="1"/>
      <c r="W886" s="1"/>
      <c r="X886" s="1"/>
    </row>
    <row x14ac:dyDescent="0.25" r="887" customHeight="1" ht="18.75">
      <c r="A887" s="1"/>
      <c r="B887" s="1"/>
      <c r="C887" s="3" t="s">
        <v>147</v>
      </c>
      <c r="D887" s="3" t="s">
        <v>940</v>
      </c>
      <c r="E887" s="1"/>
      <c r="F887" s="1"/>
      <c r="G887" s="1"/>
      <c r="H887" s="1"/>
      <c r="I887" s="2"/>
      <c r="J887" s="1"/>
      <c r="K887" s="1"/>
      <c r="L887" s="1"/>
      <c r="M887" s="1"/>
      <c r="N887" s="1"/>
      <c r="O887" s="1"/>
      <c r="P887" s="1"/>
      <c r="Q887" s="1"/>
      <c r="R887" s="1"/>
      <c r="S887" s="1"/>
      <c r="T887" s="1"/>
      <c r="U887" s="1"/>
      <c r="V887" s="1"/>
      <c r="W887" s="1"/>
      <c r="X887" s="1"/>
    </row>
    <row x14ac:dyDescent="0.25" r="888" customHeight="1" ht="18.75">
      <c r="A888" s="1"/>
      <c r="B888" s="1"/>
      <c r="C888" s="3" t="s">
        <v>121</v>
      </c>
      <c r="D888" s="3" t="s">
        <v>941</v>
      </c>
      <c r="E888" s="1"/>
      <c r="F888" s="1"/>
      <c r="G888" s="1"/>
      <c r="H888" s="1"/>
      <c r="I888" s="2"/>
      <c r="J888" s="1"/>
      <c r="K888" s="1"/>
      <c r="L888" s="1"/>
      <c r="M888" s="1"/>
      <c r="N888" s="1"/>
      <c r="O888" s="1"/>
      <c r="P888" s="1"/>
      <c r="Q888" s="1"/>
      <c r="R888" s="1"/>
      <c r="S888" s="1"/>
      <c r="T888" s="1"/>
      <c r="U888" s="1"/>
      <c r="V888" s="1"/>
      <c r="W888" s="1"/>
      <c r="X888" s="1"/>
    </row>
    <row x14ac:dyDescent="0.25" r="889" customHeight="1" ht="18.75">
      <c r="A889" s="1"/>
      <c r="B889" s="1"/>
      <c r="C889" s="3" t="s">
        <v>121</v>
      </c>
      <c r="D889" s="3" t="s">
        <v>942</v>
      </c>
      <c r="E889" s="1"/>
      <c r="F889" s="1"/>
      <c r="G889" s="1"/>
      <c r="H889" s="1"/>
      <c r="I889" s="2"/>
      <c r="J889" s="1"/>
      <c r="K889" s="1"/>
      <c r="L889" s="1"/>
      <c r="M889" s="1"/>
      <c r="N889" s="1"/>
      <c r="O889" s="1"/>
      <c r="P889" s="1"/>
      <c r="Q889" s="1"/>
      <c r="R889" s="1"/>
      <c r="S889" s="1"/>
      <c r="T889" s="1"/>
      <c r="U889" s="1"/>
      <c r="V889" s="1"/>
      <c r="W889" s="1"/>
      <c r="X889" s="1"/>
    </row>
    <row x14ac:dyDescent="0.25" r="890" customHeight="1" ht="18.75">
      <c r="A890" s="1"/>
      <c r="B890" s="1"/>
      <c r="C890" s="3" t="s">
        <v>143</v>
      </c>
      <c r="D890" s="3" t="s">
        <v>943</v>
      </c>
      <c r="E890" s="1"/>
      <c r="F890" s="1"/>
      <c r="G890" s="1"/>
      <c r="H890" s="1"/>
      <c r="I890" s="2"/>
      <c r="J890" s="1"/>
      <c r="K890" s="1"/>
      <c r="L890" s="1"/>
      <c r="M890" s="1"/>
      <c r="N890" s="1"/>
      <c r="O890" s="1"/>
      <c r="P890" s="1"/>
      <c r="Q890" s="1"/>
      <c r="R890" s="1"/>
      <c r="S890" s="1"/>
      <c r="T890" s="1"/>
      <c r="U890" s="1"/>
      <c r="V890" s="1"/>
      <c r="W890" s="1"/>
      <c r="X890" s="1"/>
    </row>
    <row x14ac:dyDescent="0.25" r="891" customHeight="1" ht="18.75">
      <c r="A891" s="1"/>
      <c r="B891" s="1"/>
      <c r="C891" s="3" t="s">
        <v>121</v>
      </c>
      <c r="D891" s="3" t="s">
        <v>944</v>
      </c>
      <c r="E891" s="1"/>
      <c r="F891" s="1"/>
      <c r="G891" s="1"/>
      <c r="H891" s="1"/>
      <c r="I891" s="2"/>
      <c r="J891" s="1"/>
      <c r="K891" s="1"/>
      <c r="L891" s="1"/>
      <c r="M891" s="1"/>
      <c r="N891" s="1"/>
      <c r="O891" s="1"/>
      <c r="P891" s="1"/>
      <c r="Q891" s="1"/>
      <c r="R891" s="1"/>
      <c r="S891" s="1"/>
      <c r="T891" s="1"/>
      <c r="U891" s="1"/>
      <c r="V891" s="1"/>
      <c r="W891" s="1"/>
      <c r="X891" s="1"/>
    </row>
    <row x14ac:dyDescent="0.25" r="892" customHeight="1" ht="18.75">
      <c r="A892" s="1"/>
      <c r="B892" s="1"/>
      <c r="C892" s="3" t="s">
        <v>121</v>
      </c>
      <c r="D892" s="3" t="s">
        <v>945</v>
      </c>
      <c r="E892" s="1"/>
      <c r="F892" s="1"/>
      <c r="G892" s="1"/>
      <c r="H892" s="1"/>
      <c r="I892" s="2"/>
      <c r="J892" s="1"/>
      <c r="K892" s="1"/>
      <c r="L892" s="1"/>
      <c r="M892" s="1"/>
      <c r="N892" s="1"/>
      <c r="O892" s="1"/>
      <c r="P892" s="1"/>
      <c r="Q892" s="1"/>
      <c r="R892" s="1"/>
      <c r="S892" s="1"/>
      <c r="T892" s="1"/>
      <c r="U892" s="1"/>
      <c r="V892" s="1"/>
      <c r="W892" s="1"/>
      <c r="X892" s="1"/>
    </row>
    <row x14ac:dyDescent="0.25" r="893" customHeight="1" ht="18.75">
      <c r="A893" s="1"/>
      <c r="B893" s="1"/>
      <c r="C893" s="3" t="s">
        <v>147</v>
      </c>
      <c r="D893" s="3" t="s">
        <v>946</v>
      </c>
      <c r="E893" s="1"/>
      <c r="F893" s="1"/>
      <c r="G893" s="1"/>
      <c r="H893" s="1"/>
      <c r="I893" s="2"/>
      <c r="J893" s="1"/>
      <c r="K893" s="1"/>
      <c r="L893" s="1"/>
      <c r="M893" s="1"/>
      <c r="N893" s="1"/>
      <c r="O893" s="1"/>
      <c r="P893" s="1"/>
      <c r="Q893" s="1"/>
      <c r="R893" s="1"/>
      <c r="S893" s="1"/>
      <c r="T893" s="1"/>
      <c r="U893" s="1"/>
      <c r="V893" s="1"/>
      <c r="W893" s="1"/>
      <c r="X893" s="1"/>
    </row>
    <row x14ac:dyDescent="0.25" r="894" customHeight="1" ht="18.75">
      <c r="A894" s="1"/>
      <c r="B894" s="1"/>
      <c r="C894" s="3" t="s">
        <v>147</v>
      </c>
      <c r="D894" s="3" t="s">
        <v>947</v>
      </c>
      <c r="E894" s="1"/>
      <c r="F894" s="1"/>
      <c r="G894" s="1"/>
      <c r="H894" s="1"/>
      <c r="I894" s="2"/>
      <c r="J894" s="1"/>
      <c r="K894" s="1"/>
      <c r="L894" s="1"/>
      <c r="M894" s="1"/>
      <c r="N894" s="1"/>
      <c r="O894" s="1"/>
      <c r="P894" s="1"/>
      <c r="Q894" s="1"/>
      <c r="R894" s="1"/>
      <c r="S894" s="1"/>
      <c r="T894" s="1"/>
      <c r="U894" s="1"/>
      <c r="V894" s="1"/>
      <c r="W894" s="1"/>
      <c r="X894" s="1"/>
    </row>
    <row x14ac:dyDescent="0.25" r="895" customHeight="1" ht="18.75">
      <c r="A895" s="1"/>
      <c r="B895" s="1"/>
      <c r="C895" s="3" t="s">
        <v>121</v>
      </c>
      <c r="D895" s="3" t="s">
        <v>948</v>
      </c>
      <c r="E895" s="1"/>
      <c r="F895" s="1"/>
      <c r="G895" s="1"/>
      <c r="H895" s="1"/>
      <c r="I895" s="2"/>
      <c r="J895" s="1"/>
      <c r="K895" s="1"/>
      <c r="L895" s="1"/>
      <c r="M895" s="1"/>
      <c r="N895" s="1"/>
      <c r="O895" s="1"/>
      <c r="P895" s="1"/>
      <c r="Q895" s="1"/>
      <c r="R895" s="1"/>
      <c r="S895" s="1"/>
      <c r="T895" s="1"/>
      <c r="U895" s="1"/>
      <c r="V895" s="1"/>
      <c r="W895" s="1"/>
      <c r="X895" s="1"/>
    </row>
    <row x14ac:dyDescent="0.25" r="896" customHeight="1" ht="18.75">
      <c r="A896" s="1"/>
      <c r="B896" s="1"/>
      <c r="C896" s="3" t="s">
        <v>143</v>
      </c>
      <c r="D896" s="3" t="s">
        <v>949</v>
      </c>
      <c r="E896" s="1"/>
      <c r="F896" s="1"/>
      <c r="G896" s="1"/>
      <c r="H896" s="1"/>
      <c r="I896" s="2"/>
      <c r="J896" s="1"/>
      <c r="K896" s="1"/>
      <c r="L896" s="1"/>
      <c r="M896" s="1"/>
      <c r="N896" s="1"/>
      <c r="O896" s="1"/>
      <c r="P896" s="1"/>
      <c r="Q896" s="1"/>
      <c r="R896" s="1"/>
      <c r="S896" s="1"/>
      <c r="T896" s="1"/>
      <c r="U896" s="1"/>
      <c r="V896" s="1"/>
      <c r="W896" s="1"/>
      <c r="X896" s="1"/>
    </row>
    <row x14ac:dyDescent="0.25" r="897" customHeight="1" ht="18.75">
      <c r="A897" s="1"/>
      <c r="B897" s="1"/>
      <c r="C897" s="3" t="s">
        <v>121</v>
      </c>
      <c r="D897" s="3" t="s">
        <v>950</v>
      </c>
      <c r="E897" s="1"/>
      <c r="F897" s="1"/>
      <c r="G897" s="1"/>
      <c r="H897" s="1"/>
      <c r="I897" s="2"/>
      <c r="J897" s="1"/>
      <c r="K897" s="1"/>
      <c r="L897" s="1"/>
      <c r="M897" s="1"/>
      <c r="N897" s="1"/>
      <c r="O897" s="1"/>
      <c r="P897" s="1"/>
      <c r="Q897" s="1"/>
      <c r="R897" s="1"/>
      <c r="S897" s="1"/>
      <c r="T897" s="1"/>
      <c r="U897" s="1"/>
      <c r="V897" s="1"/>
      <c r="W897" s="1"/>
      <c r="X897" s="1"/>
    </row>
    <row x14ac:dyDescent="0.25" r="898" customHeight="1" ht="18.75">
      <c r="A898" s="1"/>
      <c r="B898" s="1"/>
      <c r="C898" s="3" t="s">
        <v>143</v>
      </c>
      <c r="D898" s="3" t="s">
        <v>951</v>
      </c>
      <c r="E898" s="1"/>
      <c r="F898" s="1"/>
      <c r="G898" s="1"/>
      <c r="H898" s="1"/>
      <c r="I898" s="2"/>
      <c r="J898" s="1"/>
      <c r="K898" s="1"/>
      <c r="L898" s="1"/>
      <c r="M898" s="1"/>
      <c r="N898" s="1"/>
      <c r="O898" s="1"/>
      <c r="P898" s="1"/>
      <c r="Q898" s="1"/>
      <c r="R898" s="1"/>
      <c r="S898" s="1"/>
      <c r="T898" s="1"/>
      <c r="U898" s="1"/>
      <c r="V898" s="1"/>
      <c r="W898" s="1"/>
      <c r="X898" s="1"/>
    </row>
    <row x14ac:dyDescent="0.25" r="899" customHeight="1" ht="18.75">
      <c r="A899" s="1"/>
      <c r="B899" s="1"/>
      <c r="C899" s="3" t="s">
        <v>147</v>
      </c>
      <c r="D899" s="3" t="s">
        <v>952</v>
      </c>
      <c r="E899" s="1"/>
      <c r="F899" s="1"/>
      <c r="G899" s="1"/>
      <c r="H899" s="1"/>
      <c r="I899" s="2"/>
      <c r="J899" s="1"/>
      <c r="K899" s="1"/>
      <c r="L899" s="1"/>
      <c r="M899" s="1"/>
      <c r="N899" s="1"/>
      <c r="O899" s="1"/>
      <c r="P899" s="1"/>
      <c r="Q899" s="1"/>
      <c r="R899" s="1"/>
      <c r="S899" s="1"/>
      <c r="T899" s="1"/>
      <c r="U899" s="1"/>
      <c r="V899" s="1"/>
      <c r="W899" s="1"/>
      <c r="X899" s="1"/>
    </row>
    <row x14ac:dyDescent="0.25" r="900" customHeight="1" ht="18.75">
      <c r="A900" s="1"/>
      <c r="B900" s="1"/>
      <c r="C900" s="3" t="s">
        <v>147</v>
      </c>
      <c r="D900" s="3" t="s">
        <v>953</v>
      </c>
      <c r="E900" s="1"/>
      <c r="F900" s="1"/>
      <c r="G900" s="1"/>
      <c r="H900" s="1"/>
      <c r="I900" s="2"/>
      <c r="J900" s="1"/>
      <c r="K900" s="1"/>
      <c r="L900" s="1"/>
      <c r="M900" s="1"/>
      <c r="N900" s="1"/>
      <c r="O900" s="1"/>
      <c r="P900" s="1"/>
      <c r="Q900" s="1"/>
      <c r="R900" s="1"/>
      <c r="S900" s="1"/>
      <c r="T900" s="1"/>
      <c r="U900" s="1"/>
      <c r="V900" s="1"/>
      <c r="W900" s="1"/>
      <c r="X900" s="1"/>
    </row>
    <row x14ac:dyDescent="0.25" r="901" customHeight="1" ht="18.75">
      <c r="A901" s="1"/>
      <c r="B901" s="1"/>
      <c r="C901" s="3" t="s">
        <v>147</v>
      </c>
      <c r="D901" s="3" t="s">
        <v>954</v>
      </c>
      <c r="E901" s="1"/>
      <c r="F901" s="1"/>
      <c r="G901" s="1"/>
      <c r="H901" s="1"/>
      <c r="I901" s="2"/>
      <c r="J901" s="1"/>
      <c r="K901" s="1"/>
      <c r="L901" s="1"/>
      <c r="M901" s="1"/>
      <c r="N901" s="1"/>
      <c r="O901" s="1"/>
      <c r="P901" s="1"/>
      <c r="Q901" s="1"/>
      <c r="R901" s="1"/>
      <c r="S901" s="1"/>
      <c r="T901" s="1"/>
      <c r="U901" s="1"/>
      <c r="V901" s="1"/>
      <c r="W901" s="1"/>
      <c r="X901" s="1"/>
    </row>
    <row x14ac:dyDescent="0.25" r="902" customHeight="1" ht="18.75">
      <c r="A902" s="1"/>
      <c r="B902" s="1"/>
      <c r="C902" s="3" t="s">
        <v>147</v>
      </c>
      <c r="D902" s="3" t="s">
        <v>955</v>
      </c>
      <c r="E902" s="1"/>
      <c r="F902" s="1"/>
      <c r="G902" s="1"/>
      <c r="H902" s="1"/>
      <c r="I902" s="2"/>
      <c r="J902" s="1"/>
      <c r="K902" s="1"/>
      <c r="L902" s="1"/>
      <c r="M902" s="1"/>
      <c r="N902" s="1"/>
      <c r="O902" s="1"/>
      <c r="P902" s="1"/>
      <c r="Q902" s="1"/>
      <c r="R902" s="1"/>
      <c r="S902" s="1"/>
      <c r="T902" s="1"/>
      <c r="U902" s="1"/>
      <c r="V902" s="1"/>
      <c r="W902" s="1"/>
      <c r="X902" s="1"/>
    </row>
    <row x14ac:dyDescent="0.25" r="903" customHeight="1" ht="18.75">
      <c r="A903" s="1"/>
      <c r="B903" s="1"/>
      <c r="C903" s="3" t="s">
        <v>147</v>
      </c>
      <c r="D903" s="3" t="s">
        <v>956</v>
      </c>
      <c r="E903" s="1"/>
      <c r="F903" s="1"/>
      <c r="G903" s="1"/>
      <c r="H903" s="1"/>
      <c r="I903" s="2"/>
      <c r="J903" s="1"/>
      <c r="K903" s="1"/>
      <c r="L903" s="1"/>
      <c r="M903" s="1"/>
      <c r="N903" s="1"/>
      <c r="O903" s="1"/>
      <c r="P903" s="1"/>
      <c r="Q903" s="1"/>
      <c r="R903" s="1"/>
      <c r="S903" s="1"/>
      <c r="T903" s="1"/>
      <c r="U903" s="1"/>
      <c r="V903" s="1"/>
      <c r="W903" s="1"/>
      <c r="X903" s="1"/>
    </row>
    <row x14ac:dyDescent="0.25" r="904" customHeight="1" ht="18.75">
      <c r="A904" s="1"/>
      <c r="B904" s="1"/>
      <c r="C904" s="3" t="s">
        <v>143</v>
      </c>
      <c r="D904" s="3" t="s">
        <v>957</v>
      </c>
      <c r="E904" s="1"/>
      <c r="F904" s="1"/>
      <c r="G904" s="1"/>
      <c r="H904" s="1"/>
      <c r="I904" s="2"/>
      <c r="J904" s="1"/>
      <c r="K904" s="1"/>
      <c r="L904" s="1"/>
      <c r="M904" s="1"/>
      <c r="N904" s="1"/>
      <c r="O904" s="1"/>
      <c r="P904" s="1"/>
      <c r="Q904" s="1"/>
      <c r="R904" s="1"/>
      <c r="S904" s="1"/>
      <c r="T904" s="1"/>
      <c r="U904" s="1"/>
      <c r="V904" s="1"/>
      <c r="W904" s="1"/>
      <c r="X904" s="1"/>
    </row>
    <row x14ac:dyDescent="0.25" r="905" customHeight="1" ht="18.75">
      <c r="A905" s="1"/>
      <c r="B905" s="1"/>
      <c r="C905" s="3" t="s">
        <v>143</v>
      </c>
      <c r="D905" s="3" t="s">
        <v>958</v>
      </c>
      <c r="E905" s="1"/>
      <c r="F905" s="1"/>
      <c r="G905" s="1"/>
      <c r="H905" s="1"/>
      <c r="I905" s="2"/>
      <c r="J905" s="1"/>
      <c r="K905" s="1"/>
      <c r="L905" s="1"/>
      <c r="M905" s="1"/>
      <c r="N905" s="1"/>
      <c r="O905" s="1"/>
      <c r="P905" s="1"/>
      <c r="Q905" s="1"/>
      <c r="R905" s="1"/>
      <c r="S905" s="1"/>
      <c r="T905" s="1"/>
      <c r="U905" s="1"/>
      <c r="V905" s="1"/>
      <c r="W905" s="1"/>
      <c r="X905" s="1"/>
    </row>
    <row x14ac:dyDescent="0.25" r="906" customHeight="1" ht="18.75">
      <c r="A906" s="1"/>
      <c r="B906" s="1"/>
      <c r="C906" s="3" t="s">
        <v>143</v>
      </c>
      <c r="D906" s="3" t="s">
        <v>959</v>
      </c>
      <c r="E906" s="1"/>
      <c r="F906" s="1"/>
      <c r="G906" s="1"/>
      <c r="H906" s="1"/>
      <c r="I906" s="2"/>
      <c r="J906" s="1"/>
      <c r="K906" s="1"/>
      <c r="L906" s="1"/>
      <c r="M906" s="1"/>
      <c r="N906" s="1"/>
      <c r="O906" s="1"/>
      <c r="P906" s="1"/>
      <c r="Q906" s="1"/>
      <c r="R906" s="1"/>
      <c r="S906" s="1"/>
      <c r="T906" s="1"/>
      <c r="U906" s="1"/>
      <c r="V906" s="1"/>
      <c r="W906" s="1"/>
      <c r="X906" s="1"/>
    </row>
    <row x14ac:dyDescent="0.25" r="907" customHeight="1" ht="18.75">
      <c r="A907" s="1"/>
      <c r="B907" s="1"/>
      <c r="C907" s="3" t="s">
        <v>147</v>
      </c>
      <c r="D907" s="3" t="s">
        <v>960</v>
      </c>
      <c r="E907" s="1"/>
      <c r="F907" s="1"/>
      <c r="G907" s="1"/>
      <c r="H907" s="1"/>
      <c r="I907" s="2"/>
      <c r="J907" s="1"/>
      <c r="K907" s="1"/>
      <c r="L907" s="1"/>
      <c r="M907" s="1"/>
      <c r="N907" s="1"/>
      <c r="O907" s="1"/>
      <c r="P907" s="1"/>
      <c r="Q907" s="1"/>
      <c r="R907" s="1"/>
      <c r="S907" s="1"/>
      <c r="T907" s="1"/>
      <c r="U907" s="1"/>
      <c r="V907" s="1"/>
      <c r="W907" s="1"/>
      <c r="X907" s="1"/>
    </row>
    <row x14ac:dyDescent="0.25" r="908" customHeight="1" ht="18.75">
      <c r="A908" s="1"/>
      <c r="B908" s="1"/>
      <c r="C908" s="3" t="s">
        <v>143</v>
      </c>
      <c r="D908" s="3" t="s">
        <v>961</v>
      </c>
      <c r="E908" s="1"/>
      <c r="F908" s="1"/>
      <c r="G908" s="1"/>
      <c r="H908" s="1"/>
      <c r="I908" s="2"/>
      <c r="J908" s="1"/>
      <c r="K908" s="1"/>
      <c r="L908" s="1"/>
      <c r="M908" s="1"/>
      <c r="N908" s="1"/>
      <c r="O908" s="1"/>
      <c r="P908" s="1"/>
      <c r="Q908" s="1"/>
      <c r="R908" s="1"/>
      <c r="S908" s="1"/>
      <c r="T908" s="1"/>
      <c r="U908" s="1"/>
      <c r="V908" s="1"/>
      <c r="W908" s="1"/>
      <c r="X908" s="1"/>
    </row>
    <row x14ac:dyDescent="0.25" r="909" customHeight="1" ht="18.75">
      <c r="A909" s="1"/>
      <c r="B909" s="1"/>
      <c r="C909" s="3" t="s">
        <v>261</v>
      </c>
      <c r="D909" s="3" t="s">
        <v>962</v>
      </c>
      <c r="E909" s="1"/>
      <c r="F909" s="1"/>
      <c r="G909" s="1"/>
      <c r="H909" s="1"/>
      <c r="I909" s="2"/>
      <c r="J909" s="1"/>
      <c r="K909" s="1"/>
      <c r="L909" s="1"/>
      <c r="M909" s="1"/>
      <c r="N909" s="1"/>
      <c r="O909" s="1"/>
      <c r="P909" s="1"/>
      <c r="Q909" s="1"/>
      <c r="R909" s="1"/>
      <c r="S909" s="1"/>
      <c r="T909" s="1"/>
      <c r="U909" s="1"/>
      <c r="V909" s="1"/>
      <c r="W909" s="1"/>
      <c r="X909" s="1"/>
    </row>
    <row x14ac:dyDescent="0.25" r="910" customHeight="1" ht="18.75">
      <c r="A910" s="1"/>
      <c r="B910" s="1"/>
      <c r="C910" s="3" t="s">
        <v>145</v>
      </c>
      <c r="D910" s="3" t="s">
        <v>963</v>
      </c>
      <c r="E910" s="1"/>
      <c r="F910" s="1"/>
      <c r="G910" s="1"/>
      <c r="H910" s="1"/>
      <c r="I910" s="2"/>
      <c r="J910" s="1"/>
      <c r="K910" s="1"/>
      <c r="L910" s="1"/>
      <c r="M910" s="1"/>
      <c r="N910" s="1"/>
      <c r="O910" s="1"/>
      <c r="P910" s="1"/>
      <c r="Q910" s="1"/>
      <c r="R910" s="1"/>
      <c r="S910" s="1"/>
      <c r="T910" s="1"/>
      <c r="U910" s="1"/>
      <c r="V910" s="1"/>
      <c r="W910" s="1"/>
      <c r="X910" s="1"/>
    </row>
    <row x14ac:dyDescent="0.25" r="911" customHeight="1" ht="18.75">
      <c r="A911" s="1"/>
      <c r="B911" s="1"/>
      <c r="C911" s="3" t="s">
        <v>145</v>
      </c>
      <c r="D911" s="3" t="s">
        <v>964</v>
      </c>
      <c r="E911" s="1"/>
      <c r="F911" s="1"/>
      <c r="G911" s="1"/>
      <c r="H911" s="1"/>
      <c r="I911" s="2"/>
      <c r="J911" s="1"/>
      <c r="K911" s="1"/>
      <c r="L911" s="1"/>
      <c r="M911" s="1"/>
      <c r="N911" s="1"/>
      <c r="O911" s="1"/>
      <c r="P911" s="1"/>
      <c r="Q911" s="1"/>
      <c r="R911" s="1"/>
      <c r="S911" s="1"/>
      <c r="T911" s="1"/>
      <c r="U911" s="1"/>
      <c r="V911" s="1"/>
      <c r="W911" s="1"/>
      <c r="X911" s="1"/>
    </row>
    <row x14ac:dyDescent="0.25" r="912" customHeight="1" ht="18.75">
      <c r="A912" s="1"/>
      <c r="B912" s="1"/>
      <c r="C912" s="3" t="s">
        <v>145</v>
      </c>
      <c r="D912" s="3" t="s">
        <v>965</v>
      </c>
      <c r="E912" s="1"/>
      <c r="F912" s="1"/>
      <c r="G912" s="1"/>
      <c r="H912" s="1"/>
      <c r="I912" s="2"/>
      <c r="J912" s="1"/>
      <c r="K912" s="1"/>
      <c r="L912" s="1"/>
      <c r="M912" s="1"/>
      <c r="N912" s="1"/>
      <c r="O912" s="1"/>
      <c r="P912" s="1"/>
      <c r="Q912" s="1"/>
      <c r="R912" s="1"/>
      <c r="S912" s="1"/>
      <c r="T912" s="1"/>
      <c r="U912" s="1"/>
      <c r="V912" s="1"/>
      <c r="W912" s="1"/>
      <c r="X912" s="1"/>
    </row>
    <row x14ac:dyDescent="0.25" r="913" customHeight="1" ht="18.75">
      <c r="A913" s="1"/>
      <c r="B913" s="1"/>
      <c r="C913" s="3" t="s">
        <v>145</v>
      </c>
      <c r="D913" s="3" t="s">
        <v>966</v>
      </c>
      <c r="E913" s="1"/>
      <c r="F913" s="1"/>
      <c r="G913" s="1"/>
      <c r="H913" s="1"/>
      <c r="I913" s="2"/>
      <c r="J913" s="1"/>
      <c r="K913" s="1"/>
      <c r="L913" s="1"/>
      <c r="M913" s="1"/>
      <c r="N913" s="1"/>
      <c r="O913" s="1"/>
      <c r="P913" s="1"/>
      <c r="Q913" s="1"/>
      <c r="R913" s="1"/>
      <c r="S913" s="1"/>
      <c r="T913" s="1"/>
      <c r="U913" s="1"/>
      <c r="V913" s="1"/>
      <c r="W913" s="1"/>
      <c r="X913" s="1"/>
    </row>
    <row x14ac:dyDescent="0.25" r="914" customHeight="1" ht="18.75">
      <c r="A914" s="1"/>
      <c r="B914" s="1"/>
      <c r="C914" s="3" t="s">
        <v>145</v>
      </c>
      <c r="D914" s="3" t="s">
        <v>967</v>
      </c>
      <c r="E914" s="1"/>
      <c r="F914" s="1"/>
      <c r="G914" s="1"/>
      <c r="H914" s="1"/>
      <c r="I914" s="2"/>
      <c r="J914" s="1"/>
      <c r="K914" s="1"/>
      <c r="L914" s="1"/>
      <c r="M914" s="1"/>
      <c r="N914" s="1"/>
      <c r="O914" s="1"/>
      <c r="P914" s="1"/>
      <c r="Q914" s="1"/>
      <c r="R914" s="1"/>
      <c r="S914" s="1"/>
      <c r="T914" s="1"/>
      <c r="U914" s="1"/>
      <c r="V914" s="1"/>
      <c r="W914" s="1"/>
      <c r="X914" s="1"/>
    </row>
    <row x14ac:dyDescent="0.25" r="915" customHeight="1" ht="18.75">
      <c r="A915" s="1"/>
      <c r="B915" s="1"/>
      <c r="C915" s="3" t="s">
        <v>145</v>
      </c>
      <c r="D915" s="3" t="s">
        <v>968</v>
      </c>
      <c r="E915" s="1"/>
      <c r="F915" s="1"/>
      <c r="G915" s="1"/>
      <c r="H915" s="1"/>
      <c r="I915" s="2"/>
      <c r="J915" s="1"/>
      <c r="K915" s="1"/>
      <c r="L915" s="1"/>
      <c r="M915" s="1"/>
      <c r="N915" s="1"/>
      <c r="O915" s="1"/>
      <c r="P915" s="1"/>
      <c r="Q915" s="1"/>
      <c r="R915" s="1"/>
      <c r="S915" s="1"/>
      <c r="T915" s="1"/>
      <c r="U915" s="1"/>
      <c r="V915" s="1"/>
      <c r="W915" s="1"/>
      <c r="X915" s="1"/>
    </row>
    <row x14ac:dyDescent="0.25" r="916" customHeight="1" ht="18.75">
      <c r="A916" s="1"/>
      <c r="B916" s="1"/>
      <c r="C916" s="3" t="s">
        <v>292</v>
      </c>
      <c r="D916" s="3" t="s">
        <v>969</v>
      </c>
      <c r="E916" s="1"/>
      <c r="F916" s="1"/>
      <c r="G916" s="1"/>
      <c r="H916" s="1"/>
      <c r="I916" s="2"/>
      <c r="J916" s="1"/>
      <c r="K916" s="1"/>
      <c r="L916" s="1"/>
      <c r="M916" s="1"/>
      <c r="N916" s="1"/>
      <c r="O916" s="1"/>
      <c r="P916" s="1"/>
      <c r="Q916" s="1"/>
      <c r="R916" s="1"/>
      <c r="S916" s="1"/>
      <c r="T916" s="1"/>
      <c r="U916" s="1"/>
      <c r="V916" s="1"/>
      <c r="W916" s="1"/>
      <c r="X916" s="1"/>
    </row>
    <row x14ac:dyDescent="0.25" r="917" customHeight="1" ht="18.75">
      <c r="A917" s="1"/>
      <c r="B917" s="1"/>
      <c r="C917" s="3" t="s">
        <v>292</v>
      </c>
      <c r="D917" s="3" t="s">
        <v>970</v>
      </c>
      <c r="E917" s="1"/>
      <c r="F917" s="1"/>
      <c r="G917" s="1"/>
      <c r="H917" s="1"/>
      <c r="I917" s="2"/>
      <c r="J917" s="1"/>
      <c r="K917" s="1"/>
      <c r="L917" s="1"/>
      <c r="M917" s="1"/>
      <c r="N917" s="1"/>
      <c r="O917" s="1"/>
      <c r="P917" s="1"/>
      <c r="Q917" s="1"/>
      <c r="R917" s="1"/>
      <c r="S917" s="1"/>
      <c r="T917" s="1"/>
      <c r="U917" s="1"/>
      <c r="V917" s="1"/>
      <c r="W917" s="1"/>
      <c r="X917" s="1"/>
    </row>
    <row x14ac:dyDescent="0.25" r="918" customHeight="1" ht="18.75">
      <c r="A918" s="1"/>
      <c r="B918" s="1"/>
      <c r="C918" s="3" t="s">
        <v>121</v>
      </c>
      <c r="D918" s="3" t="s">
        <v>971</v>
      </c>
      <c r="E918" s="1"/>
      <c r="F918" s="1"/>
      <c r="G918" s="1"/>
      <c r="H918" s="1"/>
      <c r="I918" s="2"/>
      <c r="J918" s="1"/>
      <c r="K918" s="1"/>
      <c r="L918" s="1"/>
      <c r="M918" s="1"/>
      <c r="N918" s="1"/>
      <c r="O918" s="1"/>
      <c r="P918" s="1"/>
      <c r="Q918" s="1"/>
      <c r="R918" s="1"/>
      <c r="S918" s="1"/>
      <c r="T918" s="1"/>
      <c r="U918" s="1"/>
      <c r="V918" s="1"/>
      <c r="W918" s="1"/>
      <c r="X918" s="1"/>
    </row>
    <row x14ac:dyDescent="0.25" r="919" customHeight="1" ht="18.75">
      <c r="A919" s="1"/>
      <c r="B919" s="1"/>
      <c r="C919" s="3" t="s">
        <v>143</v>
      </c>
      <c r="D919" s="3" t="s">
        <v>972</v>
      </c>
      <c r="E919" s="1"/>
      <c r="F919" s="1"/>
      <c r="G919" s="1"/>
      <c r="H919" s="1"/>
      <c r="I919" s="2"/>
      <c r="J919" s="1"/>
      <c r="K919" s="1"/>
      <c r="L919" s="1"/>
      <c r="M919" s="1"/>
      <c r="N919" s="1"/>
      <c r="O919" s="1"/>
      <c r="P919" s="1"/>
      <c r="Q919" s="1"/>
      <c r="R919" s="1"/>
      <c r="S919" s="1"/>
      <c r="T919" s="1"/>
      <c r="U919" s="1"/>
      <c r="V919" s="1"/>
      <c r="W919" s="1"/>
      <c r="X919" s="1"/>
    </row>
    <row x14ac:dyDescent="0.25" r="920" customHeight="1" ht="18.75">
      <c r="A920" s="1"/>
      <c r="B920" s="1"/>
      <c r="C920" s="3" t="s">
        <v>121</v>
      </c>
      <c r="D920" s="3" t="s">
        <v>973</v>
      </c>
      <c r="E920" s="1"/>
      <c r="F920" s="1"/>
      <c r="G920" s="1"/>
      <c r="H920" s="1"/>
      <c r="I920" s="2"/>
      <c r="J920" s="1"/>
      <c r="K920" s="1"/>
      <c r="L920" s="1"/>
      <c r="M920" s="1"/>
      <c r="N920" s="1"/>
      <c r="O920" s="1"/>
      <c r="P920" s="1"/>
      <c r="Q920" s="1"/>
      <c r="R920" s="1"/>
      <c r="S920" s="1"/>
      <c r="T920" s="1"/>
      <c r="U920" s="1"/>
      <c r="V920" s="1"/>
      <c r="W920" s="1"/>
      <c r="X920" s="1"/>
    </row>
    <row x14ac:dyDescent="0.25" r="921" customHeight="1" ht="18.75">
      <c r="A921" s="1"/>
      <c r="B921" s="1"/>
      <c r="C921" s="3" t="s">
        <v>147</v>
      </c>
      <c r="D921" s="3" t="s">
        <v>974</v>
      </c>
      <c r="E921" s="1"/>
      <c r="F921" s="1"/>
      <c r="G921" s="1"/>
      <c r="H921" s="1"/>
      <c r="I921" s="2"/>
      <c r="J921" s="1"/>
      <c r="K921" s="1"/>
      <c r="L921" s="1"/>
      <c r="M921" s="1"/>
      <c r="N921" s="1"/>
      <c r="O921" s="1"/>
      <c r="P921" s="1"/>
      <c r="Q921" s="1"/>
      <c r="R921" s="1"/>
      <c r="S921" s="1"/>
      <c r="T921" s="1"/>
      <c r="U921" s="1"/>
      <c r="V921" s="1"/>
      <c r="W921" s="1"/>
      <c r="X921" s="1"/>
    </row>
    <row x14ac:dyDescent="0.25" r="922" customHeight="1" ht="18.75">
      <c r="A922" s="1"/>
      <c r="B922" s="1"/>
      <c r="C922" s="3" t="s">
        <v>121</v>
      </c>
      <c r="D922" s="3" t="s">
        <v>475</v>
      </c>
      <c r="E922" s="1"/>
      <c r="F922" s="1"/>
      <c r="G922" s="1"/>
      <c r="H922" s="1"/>
      <c r="I922" s="2"/>
      <c r="J922" s="1"/>
      <c r="K922" s="1"/>
      <c r="L922" s="1"/>
      <c r="M922" s="1"/>
      <c r="N922" s="1"/>
      <c r="O922" s="1"/>
      <c r="P922" s="1"/>
      <c r="Q922" s="1"/>
      <c r="R922" s="1"/>
      <c r="S922" s="1"/>
      <c r="T922" s="1"/>
      <c r="U922" s="1"/>
      <c r="V922" s="1"/>
      <c r="W922" s="1"/>
      <c r="X922" s="1"/>
    </row>
    <row x14ac:dyDescent="0.25" r="923" customHeight="1" ht="18.75">
      <c r="A923" s="1"/>
      <c r="B923" s="1"/>
      <c r="C923" s="3" t="s">
        <v>121</v>
      </c>
      <c r="D923" s="3" t="s">
        <v>975</v>
      </c>
      <c r="E923" s="1"/>
      <c r="F923" s="1"/>
      <c r="G923" s="1"/>
      <c r="H923" s="1"/>
      <c r="I923" s="2"/>
      <c r="J923" s="1"/>
      <c r="K923" s="1"/>
      <c r="L923" s="1"/>
      <c r="M923" s="1"/>
      <c r="N923" s="1"/>
      <c r="O923" s="1"/>
      <c r="P923" s="1"/>
      <c r="Q923" s="1"/>
      <c r="R923" s="1"/>
      <c r="S923" s="1"/>
      <c r="T923" s="1"/>
      <c r="U923" s="1"/>
      <c r="V923" s="1"/>
      <c r="W923" s="1"/>
      <c r="X923" s="1"/>
    </row>
    <row x14ac:dyDescent="0.25" r="924" customHeight="1" ht="18.75">
      <c r="A924" s="1"/>
      <c r="B924" s="1"/>
      <c r="C924" s="3" t="s">
        <v>147</v>
      </c>
      <c r="D924" s="3" t="s">
        <v>976</v>
      </c>
      <c r="E924" s="1"/>
      <c r="F924" s="1"/>
      <c r="G924" s="1"/>
      <c r="H924" s="1"/>
      <c r="I924" s="2"/>
      <c r="J924" s="1"/>
      <c r="K924" s="1"/>
      <c r="L924" s="1"/>
      <c r="M924" s="1"/>
      <c r="N924" s="1"/>
      <c r="O924" s="1"/>
      <c r="P924" s="1"/>
      <c r="Q924" s="1"/>
      <c r="R924" s="1"/>
      <c r="S924" s="1"/>
      <c r="T924" s="1"/>
      <c r="U924" s="1"/>
      <c r="V924" s="1"/>
      <c r="W924" s="1"/>
      <c r="X924" s="1"/>
    </row>
    <row x14ac:dyDescent="0.25" r="925" customHeight="1" ht="18.75">
      <c r="A925" s="1"/>
      <c r="B925" s="1"/>
      <c r="C925" s="3" t="s">
        <v>147</v>
      </c>
      <c r="D925" s="3" t="s">
        <v>977</v>
      </c>
      <c r="E925" s="1"/>
      <c r="F925" s="1"/>
      <c r="G925" s="1"/>
      <c r="H925" s="1"/>
      <c r="I925" s="2"/>
      <c r="J925" s="1"/>
      <c r="K925" s="1"/>
      <c r="L925" s="1"/>
      <c r="M925" s="1"/>
      <c r="N925" s="1"/>
      <c r="O925" s="1"/>
      <c r="P925" s="1"/>
      <c r="Q925" s="1"/>
      <c r="R925" s="1"/>
      <c r="S925" s="1"/>
      <c r="T925" s="1"/>
      <c r="U925" s="1"/>
      <c r="V925" s="1"/>
      <c r="W925" s="1"/>
      <c r="X925" s="1"/>
    </row>
    <row x14ac:dyDescent="0.25" r="926" customHeight="1" ht="18.75">
      <c r="A926" s="1"/>
      <c r="B926" s="1"/>
      <c r="C926" s="3" t="s">
        <v>147</v>
      </c>
      <c r="D926" s="3" t="s">
        <v>978</v>
      </c>
      <c r="E926" s="1"/>
      <c r="F926" s="1"/>
      <c r="G926" s="1"/>
      <c r="H926" s="1"/>
      <c r="I926" s="2"/>
      <c r="J926" s="1"/>
      <c r="K926" s="1"/>
      <c r="L926" s="1"/>
      <c r="M926" s="1"/>
      <c r="N926" s="1"/>
      <c r="O926" s="1"/>
      <c r="P926" s="1"/>
      <c r="Q926" s="1"/>
      <c r="R926" s="1"/>
      <c r="S926" s="1"/>
      <c r="T926" s="1"/>
      <c r="U926" s="1"/>
      <c r="V926" s="1"/>
      <c r="W926" s="1"/>
      <c r="X926" s="1"/>
    </row>
    <row x14ac:dyDescent="0.25" r="927" customHeight="1" ht="18.75">
      <c r="A927" s="1"/>
      <c r="B927" s="1"/>
      <c r="C927" s="3" t="s">
        <v>147</v>
      </c>
      <c r="D927" s="3" t="s">
        <v>979</v>
      </c>
      <c r="E927" s="1"/>
      <c r="F927" s="1"/>
      <c r="G927" s="1"/>
      <c r="H927" s="1"/>
      <c r="I927" s="2"/>
      <c r="J927" s="1"/>
      <c r="K927" s="1"/>
      <c r="L927" s="1"/>
      <c r="M927" s="1"/>
      <c r="N927" s="1"/>
      <c r="O927" s="1"/>
      <c r="P927" s="1"/>
      <c r="Q927" s="1"/>
      <c r="R927" s="1"/>
      <c r="S927" s="1"/>
      <c r="T927" s="1"/>
      <c r="U927" s="1"/>
      <c r="V927" s="1"/>
      <c r="W927" s="1"/>
      <c r="X927" s="1"/>
    </row>
    <row x14ac:dyDescent="0.25" r="928" customHeight="1" ht="18.75">
      <c r="A928" s="1"/>
      <c r="B928" s="1"/>
      <c r="C928" s="3" t="s">
        <v>147</v>
      </c>
      <c r="D928" s="3" t="s">
        <v>980</v>
      </c>
      <c r="E928" s="1"/>
      <c r="F928" s="1"/>
      <c r="G928" s="1"/>
      <c r="H928" s="1"/>
      <c r="I928" s="2"/>
      <c r="J928" s="1"/>
      <c r="K928" s="1"/>
      <c r="L928" s="1"/>
      <c r="M928" s="1"/>
      <c r="N928" s="1"/>
      <c r="O928" s="1"/>
      <c r="P928" s="1"/>
      <c r="Q928" s="1"/>
      <c r="R928" s="1"/>
      <c r="S928" s="1"/>
      <c r="T928" s="1"/>
      <c r="U928" s="1"/>
      <c r="V928" s="1"/>
      <c r="W928" s="1"/>
      <c r="X928" s="1"/>
    </row>
    <row x14ac:dyDescent="0.25" r="929" customHeight="1" ht="18.75">
      <c r="A929" s="1"/>
      <c r="B929" s="1"/>
      <c r="C929" s="3" t="s">
        <v>143</v>
      </c>
      <c r="D929" s="3" t="s">
        <v>981</v>
      </c>
      <c r="E929" s="1"/>
      <c r="F929" s="1"/>
      <c r="G929" s="1"/>
      <c r="H929" s="1"/>
      <c r="I929" s="2"/>
      <c r="J929" s="1"/>
      <c r="K929" s="1"/>
      <c r="L929" s="1"/>
      <c r="M929" s="1"/>
      <c r="N929" s="1"/>
      <c r="O929" s="1"/>
      <c r="P929" s="1"/>
      <c r="Q929" s="1"/>
      <c r="R929" s="1"/>
      <c r="S929" s="1"/>
      <c r="T929" s="1"/>
      <c r="U929" s="1"/>
      <c r="V929" s="1"/>
      <c r="W929" s="1"/>
      <c r="X929" s="1"/>
    </row>
    <row x14ac:dyDescent="0.25" r="930" customHeight="1" ht="18.75">
      <c r="A930" s="1"/>
      <c r="B930" s="1"/>
      <c r="C930" s="3" t="s">
        <v>147</v>
      </c>
      <c r="D930" s="3" t="s">
        <v>982</v>
      </c>
      <c r="E930" s="1"/>
      <c r="F930" s="1"/>
      <c r="G930" s="1"/>
      <c r="H930" s="1"/>
      <c r="I930" s="2"/>
      <c r="J930" s="1"/>
      <c r="K930" s="1"/>
      <c r="L930" s="1"/>
      <c r="M930" s="1"/>
      <c r="N930" s="1"/>
      <c r="O930" s="1"/>
      <c r="P930" s="1"/>
      <c r="Q930" s="1"/>
      <c r="R930" s="1"/>
      <c r="S930" s="1"/>
      <c r="T930" s="1"/>
      <c r="U930" s="1"/>
      <c r="V930" s="1"/>
      <c r="W930" s="1"/>
      <c r="X930" s="1"/>
    </row>
    <row x14ac:dyDescent="0.25" r="931" customHeight="1" ht="18.75">
      <c r="A931" s="1"/>
      <c r="B931" s="1"/>
      <c r="C931" s="3" t="s">
        <v>143</v>
      </c>
      <c r="D931" s="3" t="s">
        <v>983</v>
      </c>
      <c r="E931" s="1"/>
      <c r="F931" s="1"/>
      <c r="G931" s="1"/>
      <c r="H931" s="1"/>
      <c r="I931" s="2"/>
      <c r="J931" s="1"/>
      <c r="K931" s="1"/>
      <c r="L931" s="1"/>
      <c r="M931" s="1"/>
      <c r="N931" s="1"/>
      <c r="O931" s="1"/>
      <c r="P931" s="1"/>
      <c r="Q931" s="1"/>
      <c r="R931" s="1"/>
      <c r="S931" s="1"/>
      <c r="T931" s="1"/>
      <c r="U931" s="1"/>
      <c r="V931" s="1"/>
      <c r="W931" s="1"/>
      <c r="X931" s="1"/>
    </row>
    <row x14ac:dyDescent="0.25" r="932" customHeight="1" ht="18.75">
      <c r="A932" s="1"/>
      <c r="B932" s="1"/>
      <c r="C932" s="3" t="s">
        <v>261</v>
      </c>
      <c r="D932" s="3" t="s">
        <v>984</v>
      </c>
      <c r="E932" s="1"/>
      <c r="F932" s="1"/>
      <c r="G932" s="1"/>
      <c r="H932" s="1"/>
      <c r="I932" s="2"/>
      <c r="J932" s="1"/>
      <c r="K932" s="1"/>
      <c r="L932" s="1"/>
      <c r="M932" s="1"/>
      <c r="N932" s="1"/>
      <c r="O932" s="1"/>
      <c r="P932" s="1"/>
      <c r="Q932" s="1"/>
      <c r="R932" s="1"/>
      <c r="S932" s="1"/>
      <c r="T932" s="1"/>
      <c r="U932" s="1"/>
      <c r="V932" s="1"/>
      <c r="W932" s="1"/>
      <c r="X932" s="1"/>
    </row>
    <row x14ac:dyDescent="0.25" r="933" customHeight="1" ht="18.75">
      <c r="A933" s="1"/>
      <c r="B933" s="1"/>
      <c r="C933" s="3" t="s">
        <v>145</v>
      </c>
      <c r="D933" s="3" t="s">
        <v>985</v>
      </c>
      <c r="E933" s="1"/>
      <c r="F933" s="1"/>
      <c r="G933" s="1"/>
      <c r="H933" s="1"/>
      <c r="I933" s="2"/>
      <c r="J933" s="1"/>
      <c r="K933" s="1"/>
      <c r="L933" s="1"/>
      <c r="M933" s="1"/>
      <c r="N933" s="1"/>
      <c r="O933" s="1"/>
      <c r="P933" s="1"/>
      <c r="Q933" s="1"/>
      <c r="R933" s="1"/>
      <c r="S933" s="1"/>
      <c r="T933" s="1"/>
      <c r="U933" s="1"/>
      <c r="V933" s="1"/>
      <c r="W933" s="1"/>
      <c r="X933" s="1"/>
    </row>
    <row x14ac:dyDescent="0.25" r="934" customHeight="1" ht="18.75">
      <c r="A934" s="1"/>
      <c r="B934" s="1"/>
      <c r="C934" s="3" t="s">
        <v>292</v>
      </c>
      <c r="D934" s="3" t="s">
        <v>986</v>
      </c>
      <c r="E934" s="1"/>
      <c r="F934" s="1"/>
      <c r="G934" s="1"/>
      <c r="H934" s="1"/>
      <c r="I934" s="2"/>
      <c r="J934" s="1"/>
      <c r="K934" s="1"/>
      <c r="L934" s="1"/>
      <c r="M934" s="1"/>
      <c r="N934" s="1"/>
      <c r="O934" s="1"/>
      <c r="P934" s="1"/>
      <c r="Q934" s="1"/>
      <c r="R934" s="1"/>
      <c r="S934" s="1"/>
      <c r="T934" s="1"/>
      <c r="U934" s="1"/>
      <c r="V934" s="1"/>
      <c r="W934" s="1"/>
      <c r="X934" s="1"/>
    </row>
    <row x14ac:dyDescent="0.25" r="935" customHeight="1" ht="18.75">
      <c r="A935" s="1"/>
      <c r="B935" s="1"/>
      <c r="C935" s="3" t="s">
        <v>108</v>
      </c>
      <c r="D935" s="3" t="s">
        <v>987</v>
      </c>
      <c r="E935" s="1"/>
      <c r="F935" s="1"/>
      <c r="G935" s="1"/>
      <c r="H935" s="1"/>
      <c r="I935" s="2"/>
      <c r="J935" s="1"/>
      <c r="K935" s="1"/>
      <c r="L935" s="1"/>
      <c r="M935" s="1"/>
      <c r="N935" s="1"/>
      <c r="O935" s="1"/>
      <c r="P935" s="1"/>
      <c r="Q935" s="1"/>
      <c r="R935" s="1"/>
      <c r="S935" s="1"/>
      <c r="T935" s="1"/>
      <c r="U935" s="1"/>
      <c r="V935" s="1"/>
      <c r="W935" s="1"/>
      <c r="X935" s="1"/>
    </row>
    <row x14ac:dyDescent="0.25" r="936" customHeight="1" ht="18.75">
      <c r="A936" s="1"/>
      <c r="B936" s="1"/>
      <c r="C936" s="3" t="s">
        <v>147</v>
      </c>
      <c r="D936" s="3" t="s">
        <v>101</v>
      </c>
      <c r="E936" s="1"/>
      <c r="F936" s="1"/>
      <c r="G936" s="1"/>
      <c r="H936" s="1"/>
      <c r="I936" s="2"/>
      <c r="J936" s="1"/>
      <c r="K936" s="1"/>
      <c r="L936" s="1"/>
      <c r="M936" s="1"/>
      <c r="N936" s="1"/>
      <c r="O936" s="1"/>
      <c r="P936" s="1"/>
      <c r="Q936" s="1"/>
      <c r="R936" s="1"/>
      <c r="S936" s="1"/>
      <c r="T936" s="1"/>
      <c r="U936" s="1"/>
      <c r="V936" s="1"/>
      <c r="W936" s="1"/>
      <c r="X936" s="1"/>
    </row>
    <row x14ac:dyDescent="0.25" r="937" customHeight="1" ht="18.75">
      <c r="A937" s="1"/>
      <c r="B937" s="1"/>
      <c r="C937" s="3" t="s">
        <v>147</v>
      </c>
      <c r="D937" s="3" t="s">
        <v>988</v>
      </c>
      <c r="E937" s="1"/>
      <c r="F937" s="1"/>
      <c r="G937" s="1"/>
      <c r="H937" s="1"/>
      <c r="I937" s="2"/>
      <c r="J937" s="1"/>
      <c r="K937" s="1"/>
      <c r="L937" s="1"/>
      <c r="M937" s="1"/>
      <c r="N937" s="1"/>
      <c r="O937" s="1"/>
      <c r="P937" s="1"/>
      <c r="Q937" s="1"/>
      <c r="R937" s="1"/>
      <c r="S937" s="1"/>
      <c r="T937" s="1"/>
      <c r="U937" s="1"/>
      <c r="V937" s="1"/>
      <c r="W937" s="1"/>
      <c r="X937" s="1"/>
    </row>
    <row x14ac:dyDescent="0.25" r="938" customHeight="1" ht="18.75">
      <c r="A938" s="1"/>
      <c r="B938" s="1"/>
      <c r="C938" s="3" t="s">
        <v>147</v>
      </c>
      <c r="D938" s="3" t="s">
        <v>989</v>
      </c>
      <c r="E938" s="1"/>
      <c r="F938" s="1"/>
      <c r="G938" s="1"/>
      <c r="H938" s="1"/>
      <c r="I938" s="2"/>
      <c r="J938" s="1"/>
      <c r="K938" s="1"/>
      <c r="L938" s="1"/>
      <c r="M938" s="1"/>
      <c r="N938" s="1"/>
      <c r="O938" s="1"/>
      <c r="P938" s="1"/>
      <c r="Q938" s="1"/>
      <c r="R938" s="1"/>
      <c r="S938" s="1"/>
      <c r="T938" s="1"/>
      <c r="U938" s="1"/>
      <c r="V938" s="1"/>
      <c r="W938" s="1"/>
      <c r="X938" s="1"/>
    </row>
    <row x14ac:dyDescent="0.25" r="939" customHeight="1" ht="18.75">
      <c r="A939" s="1"/>
      <c r="B939" s="1"/>
      <c r="C939" s="3" t="s">
        <v>143</v>
      </c>
      <c r="D939" s="3" t="s">
        <v>988</v>
      </c>
      <c r="E939" s="1"/>
      <c r="F939" s="1"/>
      <c r="G939" s="1"/>
      <c r="H939" s="1"/>
      <c r="I939" s="2"/>
      <c r="J939" s="1"/>
      <c r="K939" s="1"/>
      <c r="L939" s="1"/>
      <c r="M939" s="1"/>
      <c r="N939" s="1"/>
      <c r="O939" s="1"/>
      <c r="P939" s="1"/>
      <c r="Q939" s="1"/>
      <c r="R939" s="1"/>
      <c r="S939" s="1"/>
      <c r="T939" s="1"/>
      <c r="U939" s="1"/>
      <c r="V939" s="1"/>
      <c r="W939" s="1"/>
      <c r="X939" s="1"/>
    </row>
    <row x14ac:dyDescent="0.25" r="940" customHeight="1" ht="18.75">
      <c r="A940" s="1"/>
      <c r="B940" s="1"/>
      <c r="C940" s="3" t="s">
        <v>990</v>
      </c>
      <c r="D940" s="3" t="s">
        <v>95</v>
      </c>
      <c r="E940" s="1"/>
      <c r="F940" s="1"/>
      <c r="G940" s="1"/>
      <c r="H940" s="1"/>
      <c r="I940" s="2"/>
      <c r="J940" s="1"/>
      <c r="K940" s="1"/>
      <c r="L940" s="1"/>
      <c r="M940" s="1"/>
      <c r="N940" s="1"/>
      <c r="O940" s="1"/>
      <c r="P940" s="1"/>
      <c r="Q940" s="1"/>
      <c r="R940" s="1"/>
      <c r="S940" s="1"/>
      <c r="T940" s="1"/>
      <c r="U940" s="1"/>
      <c r="V940" s="1"/>
      <c r="W940" s="1"/>
      <c r="X940" s="1"/>
    </row>
    <row x14ac:dyDescent="0.25" r="941" customHeight="1" ht="18.75">
      <c r="A941" s="1"/>
      <c r="B941" s="1"/>
      <c r="C941" s="3" t="s">
        <v>990</v>
      </c>
      <c r="D941" s="3" t="s">
        <v>146</v>
      </c>
      <c r="E941" s="1"/>
      <c r="F941" s="1"/>
      <c r="G941" s="1"/>
      <c r="H941" s="1"/>
      <c r="I941" s="2"/>
      <c r="J941" s="1"/>
      <c r="K941" s="1"/>
      <c r="L941" s="1"/>
      <c r="M941" s="1"/>
      <c r="N941" s="1"/>
      <c r="O941" s="1"/>
      <c r="P941" s="1"/>
      <c r="Q941" s="1"/>
      <c r="R941" s="1"/>
      <c r="S941" s="1"/>
      <c r="T941" s="1"/>
      <c r="U941" s="1"/>
      <c r="V941" s="1"/>
      <c r="W941" s="1"/>
      <c r="X941" s="1"/>
    </row>
    <row x14ac:dyDescent="0.25" r="942" customHeight="1" ht="18.75">
      <c r="A942" s="1"/>
      <c r="B942" s="1"/>
      <c r="C942" s="3" t="s">
        <v>916</v>
      </c>
      <c r="D942" s="3" t="s">
        <v>991</v>
      </c>
      <c r="E942" s="1"/>
      <c r="F942" s="1"/>
      <c r="G942" s="1"/>
      <c r="H942" s="1"/>
      <c r="I942" s="2"/>
      <c r="J942" s="1"/>
      <c r="K942" s="1"/>
      <c r="L942" s="1"/>
      <c r="M942" s="1"/>
      <c r="N942" s="1"/>
      <c r="O942" s="1"/>
      <c r="P942" s="1"/>
      <c r="Q942" s="1"/>
      <c r="R942" s="1"/>
      <c r="S942" s="1"/>
      <c r="T942" s="1"/>
      <c r="U942" s="1"/>
      <c r="V942" s="1"/>
      <c r="W942" s="1"/>
      <c r="X942" s="1"/>
    </row>
    <row x14ac:dyDescent="0.25" r="943" customHeight="1" ht="18.75">
      <c r="A943" s="1"/>
      <c r="B943" s="1"/>
      <c r="C943" s="3" t="s">
        <v>992</v>
      </c>
      <c r="D943" s="3" t="s">
        <v>993</v>
      </c>
      <c r="E943" s="1"/>
      <c r="F943" s="1"/>
      <c r="G943" s="1"/>
      <c r="H943" s="1"/>
      <c r="I943" s="2"/>
      <c r="J943" s="1"/>
      <c r="K943" s="1"/>
      <c r="L943" s="1"/>
      <c r="M943" s="1"/>
      <c r="N943" s="1"/>
      <c r="O943" s="1"/>
      <c r="P943" s="1"/>
      <c r="Q943" s="1"/>
      <c r="R943" s="1"/>
      <c r="S943" s="1"/>
      <c r="T943" s="1"/>
      <c r="U943" s="1"/>
      <c r="V943" s="1"/>
      <c r="W943" s="1"/>
      <c r="X943" s="1"/>
    </row>
    <row x14ac:dyDescent="0.25" r="944" customHeight="1" ht="18.75">
      <c r="A944" s="1"/>
      <c r="B944" s="1"/>
      <c r="C944" s="3" t="s">
        <v>916</v>
      </c>
      <c r="D944" s="1"/>
      <c r="E944" s="1"/>
      <c r="F944" s="1"/>
      <c r="G944" s="1"/>
      <c r="H944" s="1"/>
      <c r="I944" s="2"/>
      <c r="J944" s="1"/>
      <c r="K944" s="1"/>
      <c r="L944" s="1"/>
      <c r="M944" s="1"/>
      <c r="N944" s="1"/>
      <c r="O944" s="1"/>
      <c r="P944" s="1"/>
      <c r="Q944" s="1"/>
      <c r="R944" s="1"/>
      <c r="S944" s="1"/>
      <c r="T944" s="1"/>
      <c r="U944" s="1"/>
      <c r="V944" s="1"/>
      <c r="W944" s="1"/>
      <c r="X944" s="1"/>
    </row>
    <row x14ac:dyDescent="0.25" r="945" customHeight="1" ht="18.75">
      <c r="A945" s="1"/>
      <c r="B945" s="1"/>
      <c r="C945" s="3" t="s">
        <v>916</v>
      </c>
      <c r="D945" s="3" t="s">
        <v>994</v>
      </c>
      <c r="E945" s="1"/>
      <c r="F945" s="1"/>
      <c r="G945" s="1"/>
      <c r="H945" s="1"/>
      <c r="I945" s="2"/>
      <c r="J945" s="1"/>
      <c r="K945" s="1"/>
      <c r="L945" s="1"/>
      <c r="M945" s="1"/>
      <c r="N945" s="1"/>
      <c r="O945" s="1"/>
      <c r="P945" s="1"/>
      <c r="Q945" s="1"/>
      <c r="R945" s="1"/>
      <c r="S945" s="1"/>
      <c r="T945" s="1"/>
      <c r="U945" s="1"/>
      <c r="V945" s="1"/>
      <c r="W945" s="1"/>
      <c r="X945" s="1"/>
    </row>
    <row x14ac:dyDescent="0.25" r="946" customHeight="1" ht="18.75">
      <c r="A946" s="1"/>
      <c r="B946" s="1"/>
      <c r="C946" s="3" t="s">
        <v>121</v>
      </c>
      <c r="D946" s="3" t="s">
        <v>994</v>
      </c>
      <c r="E946" s="1"/>
      <c r="F946" s="1"/>
      <c r="G946" s="1"/>
      <c r="H946" s="1"/>
      <c r="I946" s="2"/>
      <c r="J946" s="1"/>
      <c r="K946" s="1"/>
      <c r="L946" s="1"/>
      <c r="M946" s="1"/>
      <c r="N946" s="1"/>
      <c r="O946" s="1"/>
      <c r="P946" s="1"/>
      <c r="Q946" s="1"/>
      <c r="R946" s="1"/>
      <c r="S946" s="1"/>
      <c r="T946" s="1"/>
      <c r="U946" s="1"/>
      <c r="V946" s="1"/>
      <c r="W946" s="1"/>
      <c r="X946" s="1"/>
    </row>
    <row x14ac:dyDescent="0.25" r="947" customHeight="1" ht="18.75">
      <c r="A947" s="1"/>
      <c r="B947" s="1"/>
      <c r="C947" s="3" t="s">
        <v>995</v>
      </c>
      <c r="D947" s="3" t="s">
        <v>995</v>
      </c>
      <c r="E947" s="1"/>
      <c r="F947" s="1"/>
      <c r="G947" s="1"/>
      <c r="H947" s="1"/>
      <c r="I947" s="2"/>
      <c r="J947" s="1"/>
      <c r="K947" s="1"/>
      <c r="L947" s="1"/>
      <c r="M947" s="1"/>
      <c r="N947" s="1"/>
      <c r="O947" s="1"/>
      <c r="P947" s="1"/>
      <c r="Q947" s="1"/>
      <c r="R947" s="1"/>
      <c r="S947" s="1"/>
      <c r="T947" s="1"/>
      <c r="U947" s="1"/>
      <c r="V947" s="1"/>
      <c r="W947" s="1"/>
      <c r="X947" s="1"/>
    </row>
    <row x14ac:dyDescent="0.25" r="948" customHeight="1" ht="18.75">
      <c r="A948" s="1"/>
      <c r="B948" s="1"/>
      <c r="C948" s="3" t="s">
        <v>121</v>
      </c>
      <c r="D948" s="3" t="s">
        <v>996</v>
      </c>
      <c r="E948" s="1"/>
      <c r="F948" s="1"/>
      <c r="G948" s="1"/>
      <c r="H948" s="1"/>
      <c r="I948" s="2"/>
      <c r="J948" s="1"/>
      <c r="K948" s="1"/>
      <c r="L948" s="1"/>
      <c r="M948" s="1"/>
      <c r="N948" s="1"/>
      <c r="O948" s="1"/>
      <c r="P948" s="1"/>
      <c r="Q948" s="1"/>
      <c r="R948" s="1"/>
      <c r="S948" s="1"/>
      <c r="T948" s="1"/>
      <c r="U948" s="1"/>
      <c r="V948" s="1"/>
      <c r="W948" s="1"/>
      <c r="X948" s="1"/>
    </row>
    <row x14ac:dyDescent="0.25" r="949" customHeight="1" ht="18.75">
      <c r="A949" s="1"/>
      <c r="B949" s="1"/>
      <c r="C949" s="3" t="s">
        <v>121</v>
      </c>
      <c r="D949" s="3" t="s">
        <v>997</v>
      </c>
      <c r="E949" s="1"/>
      <c r="F949" s="1"/>
      <c r="G949" s="1"/>
      <c r="H949" s="1"/>
      <c r="I949" s="2"/>
      <c r="J949" s="1"/>
      <c r="K949" s="1"/>
      <c r="L949" s="1"/>
      <c r="M949" s="1"/>
      <c r="N949" s="1"/>
      <c r="O949" s="1"/>
      <c r="P949" s="1"/>
      <c r="Q949" s="1"/>
      <c r="R949" s="1"/>
      <c r="S949" s="1"/>
      <c r="T949" s="1"/>
      <c r="U949" s="1"/>
      <c r="V949" s="1"/>
      <c r="W949" s="1"/>
      <c r="X949" s="1"/>
    </row>
    <row x14ac:dyDescent="0.25" r="950" customHeight="1" ht="18.75">
      <c r="A950" s="1"/>
      <c r="B950" s="1"/>
      <c r="C950" s="3" t="s">
        <v>121</v>
      </c>
      <c r="D950" s="3" t="s">
        <v>998</v>
      </c>
      <c r="E950" s="1"/>
      <c r="F950" s="1"/>
      <c r="G950" s="1"/>
      <c r="H950" s="1"/>
      <c r="I950" s="2"/>
      <c r="J950" s="1"/>
      <c r="K950" s="1"/>
      <c r="L950" s="1"/>
      <c r="M950" s="1"/>
      <c r="N950" s="1"/>
      <c r="O950" s="1"/>
      <c r="P950" s="1"/>
      <c r="Q950" s="1"/>
      <c r="R950" s="1"/>
      <c r="S950" s="1"/>
      <c r="T950" s="1"/>
      <c r="U950" s="1"/>
      <c r="V950" s="1"/>
      <c r="W950" s="1"/>
      <c r="X950" s="1"/>
    </row>
    <row x14ac:dyDescent="0.25" r="951" customHeight="1" ht="18.75">
      <c r="A951" s="1"/>
      <c r="B951" s="1"/>
      <c r="C951" s="3" t="s">
        <v>121</v>
      </c>
      <c r="D951" s="3" t="s">
        <v>999</v>
      </c>
      <c r="E951" s="1"/>
      <c r="F951" s="1"/>
      <c r="G951" s="1"/>
      <c r="H951" s="1"/>
      <c r="I951" s="2"/>
      <c r="J951" s="1"/>
      <c r="K951" s="1"/>
      <c r="L951" s="1"/>
      <c r="M951" s="1"/>
      <c r="N951" s="1"/>
      <c r="O951" s="1"/>
      <c r="P951" s="1"/>
      <c r="Q951" s="1"/>
      <c r="R951" s="1"/>
      <c r="S951" s="1"/>
      <c r="T951" s="1"/>
      <c r="U951" s="1"/>
      <c r="V951" s="1"/>
      <c r="W951" s="1"/>
      <c r="X951" s="1"/>
    </row>
    <row x14ac:dyDescent="0.25" r="952" customHeight="1" ht="18.75">
      <c r="A952" s="1"/>
      <c r="B952" s="1"/>
      <c r="C952" s="3" t="s">
        <v>121</v>
      </c>
      <c r="D952" s="3" t="s">
        <v>1000</v>
      </c>
      <c r="E952" s="1"/>
      <c r="F952" s="1"/>
      <c r="G952" s="1"/>
      <c r="H952" s="1"/>
      <c r="I952" s="2"/>
      <c r="J952" s="1"/>
      <c r="K952" s="1"/>
      <c r="L952" s="1"/>
      <c r="M952" s="1"/>
      <c r="N952" s="1"/>
      <c r="O952" s="1"/>
      <c r="P952" s="1"/>
      <c r="Q952" s="1"/>
      <c r="R952" s="1"/>
      <c r="S952" s="1"/>
      <c r="T952" s="1"/>
      <c r="U952" s="1"/>
      <c r="V952" s="1"/>
      <c r="W952" s="1"/>
      <c r="X952" s="1"/>
    </row>
    <row x14ac:dyDescent="0.25" r="953" customHeight="1" ht="18.75">
      <c r="A953" s="1"/>
      <c r="B953" s="1"/>
      <c r="C953" s="3" t="s">
        <v>121</v>
      </c>
      <c r="D953" s="3" t="s">
        <v>1001</v>
      </c>
      <c r="E953" s="1"/>
      <c r="F953" s="1"/>
      <c r="G953" s="1"/>
      <c r="H953" s="1"/>
      <c r="I953" s="2"/>
      <c r="J953" s="1"/>
      <c r="K953" s="1"/>
      <c r="L953" s="1"/>
      <c r="M953" s="1"/>
      <c r="N953" s="1"/>
      <c r="O953" s="1"/>
      <c r="P953" s="1"/>
      <c r="Q953" s="1"/>
      <c r="R953" s="1"/>
      <c r="S953" s="1"/>
      <c r="T953" s="1"/>
      <c r="U953" s="1"/>
      <c r="V953" s="1"/>
      <c r="W953" s="1"/>
      <c r="X953" s="1"/>
    </row>
    <row x14ac:dyDescent="0.25" r="954" customHeight="1" ht="18.75">
      <c r="A954" s="1"/>
      <c r="B954" s="1"/>
      <c r="C954" s="3" t="s">
        <v>121</v>
      </c>
      <c r="D954" s="3" t="s">
        <v>1002</v>
      </c>
      <c r="E954" s="1"/>
      <c r="F954" s="1"/>
      <c r="G954" s="1"/>
      <c r="H954" s="1"/>
      <c r="I954" s="2"/>
      <c r="J954" s="1"/>
      <c r="K954" s="1"/>
      <c r="L954" s="1"/>
      <c r="M954" s="1"/>
      <c r="N954" s="1"/>
      <c r="O954" s="1"/>
      <c r="P954" s="1"/>
      <c r="Q954" s="1"/>
      <c r="R954" s="1"/>
      <c r="S954" s="1"/>
      <c r="T954" s="1"/>
      <c r="U954" s="1"/>
      <c r="V954" s="1"/>
      <c r="W954" s="1"/>
      <c r="X954" s="1"/>
    </row>
    <row x14ac:dyDescent="0.25" r="955" customHeight="1" ht="18.75">
      <c r="A955" s="1"/>
      <c r="B955" s="1"/>
      <c r="C955" s="3" t="s">
        <v>121</v>
      </c>
      <c r="D955" s="3" t="s">
        <v>1003</v>
      </c>
      <c r="E955" s="1"/>
      <c r="F955" s="1"/>
      <c r="G955" s="1"/>
      <c r="H955" s="1"/>
      <c r="I955" s="2"/>
      <c r="J955" s="1"/>
      <c r="K955" s="1"/>
      <c r="L955" s="1"/>
      <c r="M955" s="1"/>
      <c r="N955" s="1"/>
      <c r="O955" s="1"/>
      <c r="P955" s="1"/>
      <c r="Q955" s="1"/>
      <c r="R955" s="1"/>
      <c r="S955" s="1"/>
      <c r="T955" s="1"/>
      <c r="U955" s="1"/>
      <c r="V955" s="1"/>
      <c r="W955" s="1"/>
      <c r="X955" s="1"/>
    </row>
    <row x14ac:dyDescent="0.25" r="956" customHeight="1" ht="18.75">
      <c r="A956" s="1"/>
      <c r="B956" s="1"/>
      <c r="C956" s="3" t="s">
        <v>121</v>
      </c>
      <c r="D956" s="3" t="s">
        <v>1004</v>
      </c>
      <c r="E956" s="1"/>
      <c r="F956" s="1"/>
      <c r="G956" s="1"/>
      <c r="H956" s="1"/>
      <c r="I956" s="2"/>
      <c r="J956" s="1"/>
      <c r="K956" s="1"/>
      <c r="L956" s="1"/>
      <c r="M956" s="1"/>
      <c r="N956" s="1"/>
      <c r="O956" s="1"/>
      <c r="P956" s="1"/>
      <c r="Q956" s="1"/>
      <c r="R956" s="1"/>
      <c r="S956" s="1"/>
      <c r="T956" s="1"/>
      <c r="U956" s="1"/>
      <c r="V956" s="1"/>
      <c r="W956" s="1"/>
      <c r="X956" s="1"/>
    </row>
    <row x14ac:dyDescent="0.25" r="957" customHeight="1" ht="18.75">
      <c r="A957" s="1"/>
      <c r="B957" s="1"/>
      <c r="C957" s="3" t="s">
        <v>121</v>
      </c>
      <c r="D957" s="3" t="s">
        <v>1005</v>
      </c>
      <c r="E957" s="1"/>
      <c r="F957" s="1"/>
      <c r="G957" s="1"/>
      <c r="H957" s="1"/>
      <c r="I957" s="2"/>
      <c r="J957" s="1"/>
      <c r="K957" s="1"/>
      <c r="L957" s="1"/>
      <c r="M957" s="1"/>
      <c r="N957" s="1"/>
      <c r="O957" s="1"/>
      <c r="P957" s="1"/>
      <c r="Q957" s="1"/>
      <c r="R957" s="1"/>
      <c r="S957" s="1"/>
      <c r="T957" s="1"/>
      <c r="U957" s="1"/>
      <c r="V957" s="1"/>
      <c r="W957" s="1"/>
      <c r="X957" s="1"/>
    </row>
    <row x14ac:dyDescent="0.25" r="958" customHeight="1" ht="18.75">
      <c r="A958" s="1"/>
      <c r="B958" s="1"/>
      <c r="C958" s="3" t="s">
        <v>121</v>
      </c>
      <c r="D958" s="3" t="s">
        <v>1006</v>
      </c>
      <c r="E958" s="1"/>
      <c r="F958" s="1"/>
      <c r="G958" s="1"/>
      <c r="H958" s="1"/>
      <c r="I958" s="2"/>
      <c r="J958" s="1"/>
      <c r="K958" s="1"/>
      <c r="L958" s="1"/>
      <c r="M958" s="1"/>
      <c r="N958" s="1"/>
      <c r="O958" s="1"/>
      <c r="P958" s="1"/>
      <c r="Q958" s="1"/>
      <c r="R958" s="1"/>
      <c r="S958" s="1"/>
      <c r="T958" s="1"/>
      <c r="U958" s="1"/>
      <c r="V958" s="1"/>
      <c r="W958" s="1"/>
      <c r="X958" s="1"/>
    </row>
    <row x14ac:dyDescent="0.25" r="959" customHeight="1" ht="18.75">
      <c r="A959" s="1"/>
      <c r="B959" s="1"/>
      <c r="C959" s="3" t="s">
        <v>121</v>
      </c>
      <c r="D959" s="3" t="s">
        <v>1007</v>
      </c>
      <c r="E959" s="1"/>
      <c r="F959" s="1"/>
      <c r="G959" s="1"/>
      <c r="H959" s="1"/>
      <c r="I959" s="2"/>
      <c r="J959" s="1"/>
      <c r="K959" s="1"/>
      <c r="L959" s="1"/>
      <c r="M959" s="1"/>
      <c r="N959" s="1"/>
      <c r="O959" s="1"/>
      <c r="P959" s="1"/>
      <c r="Q959" s="1"/>
      <c r="R959" s="1"/>
      <c r="S959" s="1"/>
      <c r="T959" s="1"/>
      <c r="U959" s="1"/>
      <c r="V959" s="1"/>
      <c r="W959" s="1"/>
      <c r="X959" s="1"/>
    </row>
    <row x14ac:dyDescent="0.25" r="960" customHeight="1" ht="18.75">
      <c r="A960" s="1"/>
      <c r="B960" s="1"/>
      <c r="C960" s="3" t="s">
        <v>121</v>
      </c>
      <c r="D960" s="3" t="s">
        <v>1008</v>
      </c>
      <c r="E960" s="1"/>
      <c r="F960" s="1"/>
      <c r="G960" s="1"/>
      <c r="H960" s="1"/>
      <c r="I960" s="2"/>
      <c r="J960" s="1"/>
      <c r="K960" s="1"/>
      <c r="L960" s="1"/>
      <c r="M960" s="1"/>
      <c r="N960" s="1"/>
      <c r="O960" s="1"/>
      <c r="P960" s="1"/>
      <c r="Q960" s="1"/>
      <c r="R960" s="1"/>
      <c r="S960" s="1"/>
      <c r="T960" s="1"/>
      <c r="U960" s="1"/>
      <c r="V960" s="1"/>
      <c r="W960" s="1"/>
      <c r="X960" s="1"/>
    </row>
    <row x14ac:dyDescent="0.25" r="961" customHeight="1" ht="18.75">
      <c r="A961" s="1"/>
      <c r="B961" s="1"/>
      <c r="C961" s="3" t="s">
        <v>121</v>
      </c>
      <c r="D961" s="3" t="s">
        <v>1009</v>
      </c>
      <c r="E961" s="1"/>
      <c r="F961" s="1"/>
      <c r="G961" s="1"/>
      <c r="H961" s="1"/>
      <c r="I961" s="2"/>
      <c r="J961" s="1"/>
      <c r="K961" s="1"/>
      <c r="L961" s="1"/>
      <c r="M961" s="1"/>
      <c r="N961" s="1"/>
      <c r="O961" s="1"/>
      <c r="P961" s="1"/>
      <c r="Q961" s="1"/>
      <c r="R961" s="1"/>
      <c r="S961" s="1"/>
      <c r="T961" s="1"/>
      <c r="U961" s="1"/>
      <c r="V961" s="1"/>
      <c r="W961" s="1"/>
      <c r="X961" s="1"/>
    </row>
    <row x14ac:dyDescent="0.25" r="962" customHeight="1" ht="18.75">
      <c r="A962" s="1"/>
      <c r="B962" s="1"/>
      <c r="C962" s="3" t="s">
        <v>121</v>
      </c>
      <c r="D962" s="3" t="s">
        <v>1010</v>
      </c>
      <c r="E962" s="1"/>
      <c r="F962" s="1"/>
      <c r="G962" s="1"/>
      <c r="H962" s="1"/>
      <c r="I962" s="2"/>
      <c r="J962" s="1"/>
      <c r="K962" s="1"/>
      <c r="L962" s="1"/>
      <c r="M962" s="1"/>
      <c r="N962" s="1"/>
      <c r="O962" s="1"/>
      <c r="P962" s="1"/>
      <c r="Q962" s="1"/>
      <c r="R962" s="1"/>
      <c r="S962" s="1"/>
      <c r="T962" s="1"/>
      <c r="U962" s="1"/>
      <c r="V962" s="1"/>
      <c r="W962" s="1"/>
      <c r="X962" s="1"/>
    </row>
    <row x14ac:dyDescent="0.25" r="963" customHeight="1" ht="18.75">
      <c r="A963" s="1"/>
      <c r="B963" s="1"/>
      <c r="C963" s="3" t="s">
        <v>121</v>
      </c>
      <c r="D963" s="3" t="s">
        <v>1011</v>
      </c>
      <c r="E963" s="1"/>
      <c r="F963" s="1"/>
      <c r="G963" s="1"/>
      <c r="H963" s="1"/>
      <c r="I963" s="2"/>
      <c r="J963" s="1"/>
      <c r="K963" s="1"/>
      <c r="L963" s="1"/>
      <c r="M963" s="1"/>
      <c r="N963" s="1"/>
      <c r="O963" s="1"/>
      <c r="P963" s="1"/>
      <c r="Q963" s="1"/>
      <c r="R963" s="1"/>
      <c r="S963" s="1"/>
      <c r="T963" s="1"/>
      <c r="U963" s="1"/>
      <c r="V963" s="1"/>
      <c r="W963" s="1"/>
      <c r="X963" s="1"/>
    </row>
    <row x14ac:dyDescent="0.25" r="964" customHeight="1" ht="18.75">
      <c r="A964" s="1"/>
      <c r="B964" s="1"/>
      <c r="C964" s="3" t="s">
        <v>121</v>
      </c>
      <c r="D964" s="3" t="s">
        <v>1012</v>
      </c>
      <c r="E964" s="1"/>
      <c r="F964" s="1"/>
      <c r="G964" s="1"/>
      <c r="H964" s="1"/>
      <c r="I964" s="2"/>
      <c r="J964" s="1"/>
      <c r="K964" s="1"/>
      <c r="L964" s="1"/>
      <c r="M964" s="1"/>
      <c r="N964" s="1"/>
      <c r="O964" s="1"/>
      <c r="P964" s="1"/>
      <c r="Q964" s="1"/>
      <c r="R964" s="1"/>
      <c r="S964" s="1"/>
      <c r="T964" s="1"/>
      <c r="U964" s="1"/>
      <c r="V964" s="1"/>
      <c r="W964" s="1"/>
      <c r="X964" s="1"/>
    </row>
    <row x14ac:dyDescent="0.25" r="965" customHeight="1" ht="18.75">
      <c r="A965" s="1"/>
      <c r="B965" s="1"/>
      <c r="C965" s="3" t="s">
        <v>121</v>
      </c>
      <c r="D965" s="3" t="s">
        <v>1013</v>
      </c>
      <c r="E965" s="1"/>
      <c r="F965" s="1"/>
      <c r="G965" s="1"/>
      <c r="H965" s="1"/>
      <c r="I965" s="2"/>
      <c r="J965" s="1"/>
      <c r="K965" s="1"/>
      <c r="L965" s="1"/>
      <c r="M965" s="1"/>
      <c r="N965" s="1"/>
      <c r="O965" s="1"/>
      <c r="P965" s="1"/>
      <c r="Q965" s="1"/>
      <c r="R965" s="1"/>
      <c r="S965" s="1"/>
      <c r="T965" s="1"/>
      <c r="U965" s="1"/>
      <c r="V965" s="1"/>
      <c r="W965" s="1"/>
      <c r="X965" s="1"/>
    </row>
    <row x14ac:dyDescent="0.25" r="966" customHeight="1" ht="18.75">
      <c r="A966" s="1"/>
      <c r="B966" s="1"/>
      <c r="C966" s="3" t="s">
        <v>121</v>
      </c>
      <c r="D966" s="3" t="s">
        <v>1014</v>
      </c>
      <c r="E966" s="1"/>
      <c r="F966" s="1"/>
      <c r="G966" s="1"/>
      <c r="H966" s="1"/>
      <c r="I966" s="2"/>
      <c r="J966" s="1"/>
      <c r="K966" s="1"/>
      <c r="L966" s="1"/>
      <c r="M966" s="1"/>
      <c r="N966" s="1"/>
      <c r="O966" s="1"/>
      <c r="P966" s="1"/>
      <c r="Q966" s="1"/>
      <c r="R966" s="1"/>
      <c r="S966" s="1"/>
      <c r="T966" s="1"/>
      <c r="U966" s="1"/>
      <c r="V966" s="1"/>
      <c r="W966" s="1"/>
      <c r="X966" s="1"/>
    </row>
    <row x14ac:dyDescent="0.25" r="967" customHeight="1" ht="18.75">
      <c r="A967" s="1"/>
      <c r="B967" s="1"/>
      <c r="C967" s="3" t="s">
        <v>121</v>
      </c>
      <c r="D967" s="3" t="s">
        <v>1015</v>
      </c>
      <c r="E967" s="1"/>
      <c r="F967" s="1"/>
      <c r="G967" s="1"/>
      <c r="H967" s="1"/>
      <c r="I967" s="2"/>
      <c r="J967" s="1"/>
      <c r="K967" s="1"/>
      <c r="L967" s="1"/>
      <c r="M967" s="1"/>
      <c r="N967" s="1"/>
      <c r="O967" s="1"/>
      <c r="P967" s="1"/>
      <c r="Q967" s="1"/>
      <c r="R967" s="1"/>
      <c r="S967" s="1"/>
      <c r="T967" s="1"/>
      <c r="U967" s="1"/>
      <c r="V967" s="1"/>
      <c r="W967" s="1"/>
      <c r="X967" s="1"/>
    </row>
    <row x14ac:dyDescent="0.25" r="968" customHeight="1" ht="18.75">
      <c r="A968" s="1"/>
      <c r="B968" s="1"/>
      <c r="C968" s="3" t="s">
        <v>121</v>
      </c>
      <c r="D968" s="3" t="s">
        <v>1016</v>
      </c>
      <c r="E968" s="1"/>
      <c r="F968" s="1"/>
      <c r="G968" s="1"/>
      <c r="H968" s="1"/>
      <c r="I968" s="2"/>
      <c r="J968" s="1"/>
      <c r="K968" s="1"/>
      <c r="L968" s="1"/>
      <c r="M968" s="1"/>
      <c r="N968" s="1"/>
      <c r="O968" s="1"/>
      <c r="P968" s="1"/>
      <c r="Q968" s="1"/>
      <c r="R968" s="1"/>
      <c r="S968" s="1"/>
      <c r="T968" s="1"/>
      <c r="U968" s="1"/>
      <c r="V968" s="1"/>
      <c r="W968" s="1"/>
      <c r="X968" s="1"/>
    </row>
    <row x14ac:dyDescent="0.25" r="969" customHeight="1" ht="18.75">
      <c r="A969" s="1"/>
      <c r="B969" s="1"/>
      <c r="C969" s="3" t="s">
        <v>121</v>
      </c>
      <c r="D969" s="3" t="s">
        <v>1017</v>
      </c>
      <c r="E969" s="1"/>
      <c r="F969" s="1"/>
      <c r="G969" s="1"/>
      <c r="H969" s="1"/>
      <c r="I969" s="2"/>
      <c r="J969" s="1"/>
      <c r="K969" s="1"/>
      <c r="L969" s="1"/>
      <c r="M969" s="1"/>
      <c r="N969" s="1"/>
      <c r="O969" s="1"/>
      <c r="P969" s="1"/>
      <c r="Q969" s="1"/>
      <c r="R969" s="1"/>
      <c r="S969" s="1"/>
      <c r="T969" s="1"/>
      <c r="U969" s="1"/>
      <c r="V969" s="1"/>
      <c r="W969" s="1"/>
      <c r="X969" s="1"/>
    </row>
    <row x14ac:dyDescent="0.25" r="970" customHeight="1" ht="18.75">
      <c r="A970" s="1"/>
      <c r="B970" s="1"/>
      <c r="C970" s="3" t="s">
        <v>121</v>
      </c>
      <c r="D970" s="3" t="s">
        <v>1018</v>
      </c>
      <c r="E970" s="1"/>
      <c r="F970" s="1"/>
      <c r="G970" s="1"/>
      <c r="H970" s="1"/>
      <c r="I970" s="2"/>
      <c r="J970" s="1"/>
      <c r="K970" s="1"/>
      <c r="L970" s="1"/>
      <c r="M970" s="1"/>
      <c r="N970" s="1"/>
      <c r="O970" s="1"/>
      <c r="P970" s="1"/>
      <c r="Q970" s="1"/>
      <c r="R970" s="1"/>
      <c r="S970" s="1"/>
      <c r="T970" s="1"/>
      <c r="U970" s="1"/>
      <c r="V970" s="1"/>
      <c r="W970" s="1"/>
      <c r="X970" s="1"/>
    </row>
    <row x14ac:dyDescent="0.25" r="971" customHeight="1" ht="18.75">
      <c r="A971" s="1"/>
      <c r="B971" s="1"/>
      <c r="C971" s="3" t="s">
        <v>1019</v>
      </c>
      <c r="D971" s="3" t="s">
        <v>1020</v>
      </c>
      <c r="E971" s="1"/>
      <c r="F971" s="1"/>
      <c r="G971" s="1"/>
      <c r="H971" s="1"/>
      <c r="I971" s="2"/>
      <c r="J971" s="1"/>
      <c r="K971" s="1"/>
      <c r="L971" s="1"/>
      <c r="M971" s="1"/>
      <c r="N971" s="1"/>
      <c r="O971" s="1"/>
      <c r="P971" s="1"/>
      <c r="Q971" s="1"/>
      <c r="R971" s="1"/>
      <c r="S971" s="1"/>
      <c r="T971" s="1"/>
      <c r="U971" s="1"/>
      <c r="V971" s="1"/>
      <c r="W971" s="1"/>
      <c r="X971" s="1"/>
    </row>
    <row x14ac:dyDescent="0.25" r="972" customHeight="1" ht="18.75">
      <c r="A972" s="1"/>
      <c r="B972" s="1"/>
      <c r="C972" s="3" t="s">
        <v>1019</v>
      </c>
      <c r="D972" s="3" t="s">
        <v>1021</v>
      </c>
      <c r="E972" s="1"/>
      <c r="F972" s="1"/>
      <c r="G972" s="1"/>
      <c r="H972" s="1"/>
      <c r="I972" s="2"/>
      <c r="J972" s="1"/>
      <c r="K972" s="1"/>
      <c r="L972" s="1"/>
      <c r="M972" s="1"/>
      <c r="N972" s="1"/>
      <c r="O972" s="1"/>
      <c r="P972" s="1"/>
      <c r="Q972" s="1"/>
      <c r="R972" s="1"/>
      <c r="S972" s="1"/>
      <c r="T972" s="1"/>
      <c r="U972" s="1"/>
      <c r="V972" s="1"/>
      <c r="W972" s="1"/>
      <c r="X972" s="1"/>
    </row>
    <row x14ac:dyDescent="0.25" r="973" customHeight="1" ht="18.75">
      <c r="A973" s="1"/>
      <c r="B973" s="1"/>
      <c r="C973" s="3" t="s">
        <v>1019</v>
      </c>
      <c r="D973" s="3" t="s">
        <v>1022</v>
      </c>
      <c r="E973" s="1"/>
      <c r="F973" s="1"/>
      <c r="G973" s="1"/>
      <c r="H973" s="1"/>
      <c r="I973" s="2"/>
      <c r="J973" s="1"/>
      <c r="K973" s="1"/>
      <c r="L973" s="1"/>
      <c r="M973" s="1"/>
      <c r="N973" s="1"/>
      <c r="O973" s="1"/>
      <c r="P973" s="1"/>
      <c r="Q973" s="1"/>
      <c r="R973" s="1"/>
      <c r="S973" s="1"/>
      <c r="T973" s="1"/>
      <c r="U973" s="1"/>
      <c r="V973" s="1"/>
      <c r="W973" s="1"/>
      <c r="X973" s="1"/>
    </row>
    <row x14ac:dyDescent="0.25" r="974" customHeight="1" ht="18.75">
      <c r="A974" s="1"/>
      <c r="B974" s="1"/>
      <c r="C974" s="3" t="s">
        <v>1019</v>
      </c>
      <c r="D974" s="3" t="s">
        <v>1023</v>
      </c>
      <c r="E974" s="1"/>
      <c r="F974" s="1"/>
      <c r="G974" s="1"/>
      <c r="H974" s="1"/>
      <c r="I974" s="2"/>
      <c r="J974" s="1"/>
      <c r="K974" s="1"/>
      <c r="L974" s="1"/>
      <c r="M974" s="1"/>
      <c r="N974" s="1"/>
      <c r="O974" s="1"/>
      <c r="P974" s="1"/>
      <c r="Q974" s="1"/>
      <c r="R974" s="1"/>
      <c r="S974" s="1"/>
      <c r="T974" s="1"/>
      <c r="U974" s="1"/>
      <c r="V974" s="1"/>
      <c r="W974" s="1"/>
      <c r="X974" s="1"/>
    </row>
    <row x14ac:dyDescent="0.25" r="975" customHeight="1" ht="18.75">
      <c r="A975" s="1"/>
      <c r="B975" s="1"/>
      <c r="C975" s="3" t="s">
        <v>1019</v>
      </c>
      <c r="D975" s="3" t="s">
        <v>1024</v>
      </c>
      <c r="E975" s="1"/>
      <c r="F975" s="1"/>
      <c r="G975" s="1"/>
      <c r="H975" s="1"/>
      <c r="I975" s="2"/>
      <c r="J975" s="1"/>
      <c r="K975" s="1"/>
      <c r="L975" s="1"/>
      <c r="M975" s="1"/>
      <c r="N975" s="1"/>
      <c r="O975" s="1"/>
      <c r="P975" s="1"/>
      <c r="Q975" s="1"/>
      <c r="R975" s="1"/>
      <c r="S975" s="1"/>
      <c r="T975" s="1"/>
      <c r="U975" s="1"/>
      <c r="V975" s="1"/>
      <c r="W975" s="1"/>
      <c r="X975" s="1"/>
    </row>
    <row x14ac:dyDescent="0.25" r="976" customHeight="1" ht="18.75">
      <c r="A976" s="1"/>
      <c r="B976" s="1"/>
      <c r="C976" s="3" t="s">
        <v>1019</v>
      </c>
      <c r="D976" s="3" t="s">
        <v>1025</v>
      </c>
      <c r="E976" s="1"/>
      <c r="F976" s="1"/>
      <c r="G976" s="1"/>
      <c r="H976" s="1"/>
      <c r="I976" s="2"/>
      <c r="J976" s="1"/>
      <c r="K976" s="1"/>
      <c r="L976" s="1"/>
      <c r="M976" s="1"/>
      <c r="N976" s="1"/>
      <c r="O976" s="1"/>
      <c r="P976" s="1"/>
      <c r="Q976" s="1"/>
      <c r="R976" s="1"/>
      <c r="S976" s="1"/>
      <c r="T976" s="1"/>
      <c r="U976" s="1"/>
      <c r="V976" s="1"/>
      <c r="W976" s="1"/>
      <c r="X976" s="1"/>
    </row>
    <row x14ac:dyDescent="0.25" r="977" customHeight="1" ht="18.75">
      <c r="A977" s="1"/>
      <c r="B977" s="1"/>
      <c r="C977" s="3" t="s">
        <v>1019</v>
      </c>
      <c r="D977" s="3" t="s">
        <v>1026</v>
      </c>
      <c r="E977" s="1"/>
      <c r="F977" s="1"/>
      <c r="G977" s="1"/>
      <c r="H977" s="1"/>
      <c r="I977" s="2"/>
      <c r="J977" s="1"/>
      <c r="K977" s="1"/>
      <c r="L977" s="1"/>
      <c r="M977" s="1"/>
      <c r="N977" s="1"/>
      <c r="O977" s="1"/>
      <c r="P977" s="1"/>
      <c r="Q977" s="1"/>
      <c r="R977" s="1"/>
      <c r="S977" s="1"/>
      <c r="T977" s="1"/>
      <c r="U977" s="1"/>
      <c r="V977" s="1"/>
      <c r="W977" s="1"/>
      <c r="X977" s="1"/>
    </row>
    <row x14ac:dyDescent="0.25" r="978" customHeight="1" ht="18.75">
      <c r="A978" s="1"/>
      <c r="B978" s="1"/>
      <c r="C978" s="3" t="s">
        <v>1019</v>
      </c>
      <c r="D978" s="3" t="s">
        <v>1027</v>
      </c>
      <c r="E978" s="1"/>
      <c r="F978" s="1"/>
      <c r="G978" s="1"/>
      <c r="H978" s="1"/>
      <c r="I978" s="2"/>
      <c r="J978" s="1"/>
      <c r="K978" s="1"/>
      <c r="L978" s="1"/>
      <c r="M978" s="1"/>
      <c r="N978" s="1"/>
      <c r="O978" s="1"/>
      <c r="P978" s="1"/>
      <c r="Q978" s="1"/>
      <c r="R978" s="1"/>
      <c r="S978" s="1"/>
      <c r="T978" s="1"/>
      <c r="U978" s="1"/>
      <c r="V978" s="1"/>
      <c r="W978" s="1"/>
      <c r="X978" s="1"/>
    </row>
    <row x14ac:dyDescent="0.25" r="979" customHeight="1" ht="18.75">
      <c r="A979" s="1"/>
      <c r="B979" s="1"/>
      <c r="C979" s="3" t="s">
        <v>1019</v>
      </c>
      <c r="D979" s="3" t="s">
        <v>1028</v>
      </c>
      <c r="E979" s="1"/>
      <c r="F979" s="1"/>
      <c r="G979" s="1"/>
      <c r="H979" s="1"/>
      <c r="I979" s="2"/>
      <c r="J979" s="1"/>
      <c r="K979" s="1"/>
      <c r="L979" s="1"/>
      <c r="M979" s="1"/>
      <c r="N979" s="1"/>
      <c r="O979" s="1"/>
      <c r="P979" s="1"/>
      <c r="Q979" s="1"/>
      <c r="R979" s="1"/>
      <c r="S979" s="1"/>
      <c r="T979" s="1"/>
      <c r="U979" s="1"/>
      <c r="V979" s="1"/>
      <c r="W979" s="1"/>
      <c r="X979" s="1"/>
    </row>
    <row x14ac:dyDescent="0.25" r="980" customHeight="1" ht="18.75">
      <c r="A980" s="1"/>
      <c r="B980" s="1"/>
      <c r="C980" s="3" t="s">
        <v>1019</v>
      </c>
      <c r="D980" s="3" t="s">
        <v>1029</v>
      </c>
      <c r="E980" s="1"/>
      <c r="F980" s="1"/>
      <c r="G980" s="1"/>
      <c r="H980" s="1"/>
      <c r="I980" s="2"/>
      <c r="J980" s="1"/>
      <c r="K980" s="1"/>
      <c r="L980" s="1"/>
      <c r="M980" s="1"/>
      <c r="N980" s="1"/>
      <c r="O980" s="1"/>
      <c r="P980" s="1"/>
      <c r="Q980" s="1"/>
      <c r="R980" s="1"/>
      <c r="S980" s="1"/>
      <c r="T980" s="1"/>
      <c r="U980" s="1"/>
      <c r="V980" s="1"/>
      <c r="W980" s="1"/>
      <c r="X980" s="1"/>
    </row>
    <row x14ac:dyDescent="0.25" r="981" customHeight="1" ht="18.75">
      <c r="A981" s="1"/>
      <c r="B981" s="1"/>
      <c r="C981" s="3" t="s">
        <v>1019</v>
      </c>
      <c r="D981" s="3" t="s">
        <v>1030</v>
      </c>
      <c r="E981" s="1"/>
      <c r="F981" s="1"/>
      <c r="G981" s="1"/>
      <c r="H981" s="1"/>
      <c r="I981" s="2"/>
      <c r="J981" s="1"/>
      <c r="K981" s="1"/>
      <c r="L981" s="1"/>
      <c r="M981" s="1"/>
      <c r="N981" s="1"/>
      <c r="O981" s="1"/>
      <c r="P981" s="1"/>
      <c r="Q981" s="1"/>
      <c r="R981" s="1"/>
      <c r="S981" s="1"/>
      <c r="T981" s="1"/>
      <c r="U981" s="1"/>
      <c r="V981" s="1"/>
      <c r="W981" s="1"/>
      <c r="X981" s="1"/>
    </row>
    <row x14ac:dyDescent="0.25" r="982" customHeight="1" ht="18.75">
      <c r="A982" s="1"/>
      <c r="B982" s="1"/>
      <c r="C982" s="3" t="s">
        <v>1019</v>
      </c>
      <c r="D982" s="3" t="s">
        <v>1031</v>
      </c>
      <c r="E982" s="1"/>
      <c r="F982" s="1"/>
      <c r="G982" s="1"/>
      <c r="H982" s="1"/>
      <c r="I982" s="2"/>
      <c r="J982" s="1"/>
      <c r="K982" s="1"/>
      <c r="L982" s="1"/>
      <c r="M982" s="1"/>
      <c r="N982" s="1"/>
      <c r="O982" s="1"/>
      <c r="P982" s="1"/>
      <c r="Q982" s="1"/>
      <c r="R982" s="1"/>
      <c r="S982" s="1"/>
      <c r="T982" s="1"/>
      <c r="U982" s="1"/>
      <c r="V982" s="1"/>
      <c r="W982" s="1"/>
      <c r="X982" s="1"/>
    </row>
    <row x14ac:dyDescent="0.25" r="983" customHeight="1" ht="18.75">
      <c r="A983" s="1"/>
      <c r="B983" s="1"/>
      <c r="C983" s="3" t="s">
        <v>1019</v>
      </c>
      <c r="D983" s="3" t="s">
        <v>1032</v>
      </c>
      <c r="E983" s="1"/>
      <c r="F983" s="1"/>
      <c r="G983" s="1"/>
      <c r="H983" s="1"/>
      <c r="I983" s="2"/>
      <c r="J983" s="1"/>
      <c r="K983" s="1"/>
      <c r="L983" s="1"/>
      <c r="M983" s="1"/>
      <c r="N983" s="1"/>
      <c r="O983" s="1"/>
      <c r="P983" s="1"/>
      <c r="Q983" s="1"/>
      <c r="R983" s="1"/>
      <c r="S983" s="1"/>
      <c r="T983" s="1"/>
      <c r="U983" s="1"/>
      <c r="V983" s="1"/>
      <c r="W983" s="1"/>
      <c r="X983" s="1"/>
    </row>
    <row x14ac:dyDescent="0.25" r="984" customHeight="1" ht="18.75">
      <c r="A984" s="1"/>
      <c r="B984" s="1"/>
      <c r="C984" s="3" t="s">
        <v>1019</v>
      </c>
      <c r="D984" s="3" t="s">
        <v>1033</v>
      </c>
      <c r="E984" s="1"/>
      <c r="F984" s="1"/>
      <c r="G984" s="1"/>
      <c r="H984" s="1"/>
      <c r="I984" s="2"/>
      <c r="J984" s="1"/>
      <c r="K984" s="1"/>
      <c r="L984" s="1"/>
      <c r="M984" s="1"/>
      <c r="N984" s="1"/>
      <c r="O984" s="1"/>
      <c r="P984" s="1"/>
      <c r="Q984" s="1"/>
      <c r="R984" s="1"/>
      <c r="S984" s="1"/>
      <c r="T984" s="1"/>
      <c r="U984" s="1"/>
      <c r="V984" s="1"/>
      <c r="W984" s="1"/>
      <c r="X984" s="1"/>
    </row>
    <row x14ac:dyDescent="0.25" r="985" customHeight="1" ht="18.75">
      <c r="A985" s="1"/>
      <c r="B985" s="1"/>
      <c r="C985" s="3" t="s">
        <v>1019</v>
      </c>
      <c r="D985" s="3" t="s">
        <v>1034</v>
      </c>
      <c r="E985" s="1"/>
      <c r="F985" s="1"/>
      <c r="G985" s="1"/>
      <c r="H985" s="1"/>
      <c r="I985" s="2"/>
      <c r="J985" s="1"/>
      <c r="K985" s="1"/>
      <c r="L985" s="1"/>
      <c r="M985" s="1"/>
      <c r="N985" s="1"/>
      <c r="O985" s="1"/>
      <c r="P985" s="1"/>
      <c r="Q985" s="1"/>
      <c r="R985" s="1"/>
      <c r="S985" s="1"/>
      <c r="T985" s="1"/>
      <c r="U985" s="1"/>
      <c r="V985" s="1"/>
      <c r="W985" s="1"/>
      <c r="X985" s="1"/>
    </row>
    <row x14ac:dyDescent="0.25" r="986" customHeight="1" ht="18.75">
      <c r="A986" s="1"/>
      <c r="B986" s="1"/>
      <c r="C986" s="3" t="s">
        <v>1019</v>
      </c>
      <c r="D986" s="3" t="s">
        <v>1035</v>
      </c>
      <c r="E986" s="1"/>
      <c r="F986" s="1"/>
      <c r="G986" s="1"/>
      <c r="H986" s="1"/>
      <c r="I986" s="2"/>
      <c r="J986" s="1"/>
      <c r="K986" s="1"/>
      <c r="L986" s="1"/>
      <c r="M986" s="1"/>
      <c r="N986" s="1"/>
      <c r="O986" s="1"/>
      <c r="P986" s="1"/>
      <c r="Q986" s="1"/>
      <c r="R986" s="1"/>
      <c r="S986" s="1"/>
      <c r="T986" s="1"/>
      <c r="U986" s="1"/>
      <c r="V986" s="1"/>
      <c r="W986" s="1"/>
      <c r="X986" s="1"/>
    </row>
    <row x14ac:dyDescent="0.25" r="987" customHeight="1" ht="18.75">
      <c r="A987" s="1"/>
      <c r="B987" s="1"/>
      <c r="C987" s="3" t="s">
        <v>1019</v>
      </c>
      <c r="D987" s="3" t="s">
        <v>1036</v>
      </c>
      <c r="E987" s="1"/>
      <c r="F987" s="1"/>
      <c r="G987" s="1"/>
      <c r="H987" s="1"/>
      <c r="I987" s="2"/>
      <c r="J987" s="1"/>
      <c r="K987" s="1"/>
      <c r="L987" s="1"/>
      <c r="M987" s="1"/>
      <c r="N987" s="1"/>
      <c r="O987" s="1"/>
      <c r="P987" s="1"/>
      <c r="Q987" s="1"/>
      <c r="R987" s="1"/>
      <c r="S987" s="1"/>
      <c r="T987" s="1"/>
      <c r="U987" s="1"/>
      <c r="V987" s="1"/>
      <c r="W987" s="1"/>
      <c r="X987" s="1"/>
    </row>
    <row x14ac:dyDescent="0.25" r="988" customHeight="1" ht="18.75">
      <c r="A988" s="1"/>
      <c r="B988" s="1"/>
      <c r="C988" s="3" t="s">
        <v>1019</v>
      </c>
      <c r="D988" s="3" t="s">
        <v>1037</v>
      </c>
      <c r="E988" s="1"/>
      <c r="F988" s="1"/>
      <c r="G988" s="1"/>
      <c r="H988" s="1"/>
      <c r="I988" s="2"/>
      <c r="J988" s="1"/>
      <c r="K988" s="1"/>
      <c r="L988" s="1"/>
      <c r="M988" s="1"/>
      <c r="N988" s="1"/>
      <c r="O988" s="1"/>
      <c r="P988" s="1"/>
      <c r="Q988" s="1"/>
      <c r="R988" s="1"/>
      <c r="S988" s="1"/>
      <c r="T988" s="1"/>
      <c r="U988" s="1"/>
      <c r="V988" s="1"/>
      <c r="W988" s="1"/>
      <c r="X988" s="1"/>
    </row>
    <row x14ac:dyDescent="0.25" r="989" customHeight="1" ht="18.75">
      <c r="A989" s="1"/>
      <c r="B989" s="1"/>
      <c r="C989" s="3" t="s">
        <v>1019</v>
      </c>
      <c r="D989" s="3" t="s">
        <v>1038</v>
      </c>
      <c r="E989" s="1"/>
      <c r="F989" s="1"/>
      <c r="G989" s="1"/>
      <c r="H989" s="1"/>
      <c r="I989" s="2"/>
      <c r="J989" s="1"/>
      <c r="K989" s="1"/>
      <c r="L989" s="1"/>
      <c r="M989" s="1"/>
      <c r="N989" s="1"/>
      <c r="O989" s="1"/>
      <c r="P989" s="1"/>
      <c r="Q989" s="1"/>
      <c r="R989" s="1"/>
      <c r="S989" s="1"/>
      <c r="T989" s="1"/>
      <c r="U989" s="1"/>
      <c r="V989" s="1"/>
      <c r="W989" s="1"/>
      <c r="X989" s="1"/>
    </row>
    <row x14ac:dyDescent="0.25" r="990" customHeight="1" ht="18.75">
      <c r="A990" s="1"/>
      <c r="B990" s="1"/>
      <c r="C990" s="3" t="s">
        <v>1019</v>
      </c>
      <c r="D990" s="3" t="s">
        <v>1039</v>
      </c>
      <c r="E990" s="1"/>
      <c r="F990" s="1"/>
      <c r="G990" s="1"/>
      <c r="H990" s="1"/>
      <c r="I990" s="2"/>
      <c r="J990" s="1"/>
      <c r="K990" s="1"/>
      <c r="L990" s="1"/>
      <c r="M990" s="1"/>
      <c r="N990" s="1"/>
      <c r="O990" s="1"/>
      <c r="P990" s="1"/>
      <c r="Q990" s="1"/>
      <c r="R990" s="1"/>
      <c r="S990" s="1"/>
      <c r="T990" s="1"/>
      <c r="U990" s="1"/>
      <c r="V990" s="1"/>
      <c r="W990" s="1"/>
      <c r="X990" s="1"/>
    </row>
    <row x14ac:dyDescent="0.25" r="991" customHeight="1" ht="18.75">
      <c r="A991" s="1"/>
      <c r="B991" s="1"/>
      <c r="C991" s="3" t="s">
        <v>1019</v>
      </c>
      <c r="D991" s="3" t="s">
        <v>1040</v>
      </c>
      <c r="E991" s="1"/>
      <c r="F991" s="1"/>
      <c r="G991" s="1"/>
      <c r="H991" s="1"/>
      <c r="I991" s="2"/>
      <c r="J991" s="1"/>
      <c r="K991" s="1"/>
      <c r="L991" s="1"/>
      <c r="M991" s="1"/>
      <c r="N991" s="1"/>
      <c r="O991" s="1"/>
      <c r="P991" s="1"/>
      <c r="Q991" s="1"/>
      <c r="R991" s="1"/>
      <c r="S991" s="1"/>
      <c r="T991" s="1"/>
      <c r="U991" s="1"/>
      <c r="V991" s="1"/>
      <c r="W991" s="1"/>
      <c r="X991" s="1"/>
    </row>
    <row x14ac:dyDescent="0.25" r="992" customHeight="1" ht="18.75">
      <c r="A992" s="1"/>
      <c r="B992" s="1"/>
      <c r="C992" s="3" t="s">
        <v>1019</v>
      </c>
      <c r="D992" s="3" t="s">
        <v>1041</v>
      </c>
      <c r="E992" s="1"/>
      <c r="F992" s="1"/>
      <c r="G992" s="1"/>
      <c r="H992" s="1"/>
      <c r="I992" s="2"/>
      <c r="J992" s="1"/>
      <c r="K992" s="1"/>
      <c r="L992" s="1"/>
      <c r="M992" s="1"/>
      <c r="N992" s="1"/>
      <c r="O992" s="1"/>
      <c r="P992" s="1"/>
      <c r="Q992" s="1"/>
      <c r="R992" s="1"/>
      <c r="S992" s="1"/>
      <c r="T992" s="1"/>
      <c r="U992" s="1"/>
      <c r="V992" s="1"/>
      <c r="W992" s="1"/>
      <c r="X992" s="1"/>
    </row>
    <row x14ac:dyDescent="0.25" r="993" customHeight="1" ht="18.75">
      <c r="A993" s="1"/>
      <c r="B993" s="1"/>
      <c r="C993" s="3" t="s">
        <v>1019</v>
      </c>
      <c r="D993" s="3" t="s">
        <v>1042</v>
      </c>
      <c r="E993" s="1"/>
      <c r="F993" s="1"/>
      <c r="G993" s="1"/>
      <c r="H993" s="1"/>
      <c r="I993" s="2"/>
      <c r="J993" s="1"/>
      <c r="K993" s="1"/>
      <c r="L993" s="1"/>
      <c r="M993" s="1"/>
      <c r="N993" s="1"/>
      <c r="O993" s="1"/>
      <c r="P993" s="1"/>
      <c r="Q993" s="1"/>
      <c r="R993" s="1"/>
      <c r="S993" s="1"/>
      <c r="T993" s="1"/>
      <c r="U993" s="1"/>
      <c r="V993" s="1"/>
      <c r="W993" s="1"/>
      <c r="X993" s="1"/>
    </row>
    <row x14ac:dyDescent="0.25" r="994" customHeight="1" ht="18.75">
      <c r="A994" s="1"/>
      <c r="B994" s="1"/>
      <c r="C994" s="3" t="s">
        <v>1019</v>
      </c>
      <c r="D994" s="3" t="s">
        <v>1043</v>
      </c>
      <c r="E994" s="1"/>
      <c r="F994" s="1"/>
      <c r="G994" s="1"/>
      <c r="H994" s="1"/>
      <c r="I994" s="2"/>
      <c r="J994" s="1"/>
      <c r="K994" s="1"/>
      <c r="L994" s="1"/>
      <c r="M994" s="1"/>
      <c r="N994" s="1"/>
      <c r="O994" s="1"/>
      <c r="P994" s="1"/>
      <c r="Q994" s="1"/>
      <c r="R994" s="1"/>
      <c r="S994" s="1"/>
      <c r="T994" s="1"/>
      <c r="U994" s="1"/>
      <c r="V994" s="1"/>
      <c r="W994" s="1"/>
      <c r="X994" s="1"/>
    </row>
    <row x14ac:dyDescent="0.25" r="995" customHeight="1" ht="18.75">
      <c r="A995" s="1"/>
      <c r="B995" s="1"/>
      <c r="C995" s="3" t="s">
        <v>1019</v>
      </c>
      <c r="D995" s="3" t="s">
        <v>1044</v>
      </c>
      <c r="E995" s="1"/>
      <c r="F995" s="1"/>
      <c r="G995" s="1"/>
      <c r="H995" s="1"/>
      <c r="I995" s="2"/>
      <c r="J995" s="1"/>
      <c r="K995" s="1"/>
      <c r="L995" s="1"/>
      <c r="M995" s="1"/>
      <c r="N995" s="1"/>
      <c r="O995" s="1"/>
      <c r="P995" s="1"/>
      <c r="Q995" s="1"/>
      <c r="R995" s="1"/>
      <c r="S995" s="1"/>
      <c r="T995" s="1"/>
      <c r="U995" s="1"/>
      <c r="V995" s="1"/>
      <c r="W995" s="1"/>
      <c r="X995" s="1"/>
    </row>
    <row x14ac:dyDescent="0.25" r="996" customHeight="1" ht="18.75">
      <c r="A996" s="1"/>
      <c r="B996" s="1"/>
      <c r="C996" s="3" t="s">
        <v>1019</v>
      </c>
      <c r="D996" s="3" t="s">
        <v>1045</v>
      </c>
      <c r="E996" s="1"/>
      <c r="F996" s="1"/>
      <c r="G996" s="1"/>
      <c r="H996" s="1"/>
      <c r="I996" s="2"/>
      <c r="J996" s="1"/>
      <c r="K996" s="1"/>
      <c r="L996" s="1"/>
      <c r="M996" s="1"/>
      <c r="N996" s="1"/>
      <c r="O996" s="1"/>
      <c r="P996" s="1"/>
      <c r="Q996" s="1"/>
      <c r="R996" s="1"/>
      <c r="S996" s="1"/>
      <c r="T996" s="1"/>
      <c r="U996" s="1"/>
      <c r="V996" s="1"/>
      <c r="W996" s="1"/>
      <c r="X996" s="1"/>
    </row>
    <row x14ac:dyDescent="0.25" r="997" customHeight="1" ht="18.75">
      <c r="A997" s="1"/>
      <c r="B997" s="1"/>
      <c r="C997" s="3" t="s">
        <v>1019</v>
      </c>
      <c r="D997" s="3" t="s">
        <v>1046</v>
      </c>
      <c r="E997" s="1"/>
      <c r="F997" s="1"/>
      <c r="G997" s="1"/>
      <c r="H997" s="1"/>
      <c r="I997" s="2"/>
      <c r="J997" s="1"/>
      <c r="K997" s="1"/>
      <c r="L997" s="1"/>
      <c r="M997" s="1"/>
      <c r="N997" s="1"/>
      <c r="O997" s="1"/>
      <c r="P997" s="1"/>
      <c r="Q997" s="1"/>
      <c r="R997" s="1"/>
      <c r="S997" s="1"/>
      <c r="T997" s="1"/>
      <c r="U997" s="1"/>
      <c r="V997" s="1"/>
      <c r="W997" s="1"/>
      <c r="X997" s="1"/>
    </row>
    <row x14ac:dyDescent="0.25" r="998" customHeight="1" ht="18.75">
      <c r="A998" s="1"/>
      <c r="B998" s="1"/>
      <c r="C998" s="3" t="s">
        <v>1019</v>
      </c>
      <c r="D998" s="3" t="s">
        <v>1047</v>
      </c>
      <c r="E998" s="1"/>
      <c r="F998" s="1"/>
      <c r="G998" s="1"/>
      <c r="H998" s="1"/>
      <c r="I998" s="2"/>
      <c r="J998" s="1"/>
      <c r="K998" s="1"/>
      <c r="L998" s="1"/>
      <c r="M998" s="1"/>
      <c r="N998" s="1"/>
      <c r="O998" s="1"/>
      <c r="P998" s="1"/>
      <c r="Q998" s="1"/>
      <c r="R998" s="1"/>
      <c r="S998" s="1"/>
      <c r="T998" s="1"/>
      <c r="U998" s="1"/>
      <c r="V998" s="1"/>
      <c r="W998" s="1"/>
      <c r="X998" s="1"/>
    </row>
    <row x14ac:dyDescent="0.25" r="999" customHeight="1" ht="18.75">
      <c r="A999" s="1"/>
      <c r="B999" s="1"/>
      <c r="C999" s="3" t="s">
        <v>1019</v>
      </c>
      <c r="D999" s="3" t="s">
        <v>1048</v>
      </c>
      <c r="E999" s="1"/>
      <c r="F999" s="1"/>
      <c r="G999" s="1"/>
      <c r="H999" s="1"/>
      <c r="I999" s="2"/>
      <c r="J999" s="1"/>
      <c r="K999" s="1"/>
      <c r="L999" s="1"/>
      <c r="M999" s="1"/>
      <c r="N999" s="1"/>
      <c r="O999" s="1"/>
      <c r="P999" s="1"/>
      <c r="Q999" s="1"/>
      <c r="R999" s="1"/>
      <c r="S999" s="1"/>
      <c r="T999" s="1"/>
      <c r="U999" s="1"/>
      <c r="V999" s="1"/>
      <c r="W999" s="1"/>
      <c r="X999" s="1"/>
    </row>
    <row x14ac:dyDescent="0.25" r="1000" customHeight="1" ht="18.75">
      <c r="A1000" s="1"/>
      <c r="B1000" s="1"/>
      <c r="C1000" s="3" t="s">
        <v>1019</v>
      </c>
      <c r="D1000" s="3" t="s">
        <v>1049</v>
      </c>
      <c r="E1000" s="1"/>
      <c r="F1000" s="1"/>
      <c r="G1000" s="1"/>
      <c r="H1000" s="1"/>
      <c r="I1000" s="2"/>
      <c r="J1000" s="1"/>
      <c r="K1000" s="1"/>
      <c r="L1000" s="1"/>
      <c r="M1000" s="1"/>
      <c r="N1000" s="1"/>
      <c r="O1000" s="1"/>
      <c r="P1000" s="1"/>
      <c r="Q1000" s="1"/>
      <c r="R1000" s="1"/>
      <c r="S1000" s="1"/>
      <c r="T1000" s="1"/>
      <c r="U1000" s="1"/>
      <c r="V1000" s="1"/>
      <c r="W1000" s="1"/>
      <c r="X1000" s="1"/>
    </row>
    <row x14ac:dyDescent="0.25" r="1001" customHeight="1" ht="18.75">
      <c r="A1001" s="1"/>
      <c r="B1001" s="1"/>
      <c r="C1001" s="3" t="s">
        <v>1019</v>
      </c>
      <c r="D1001" s="3" t="s">
        <v>1050</v>
      </c>
      <c r="E1001" s="1"/>
      <c r="F1001" s="1"/>
      <c r="G1001" s="1"/>
      <c r="H1001" s="1"/>
      <c r="I1001" s="2"/>
      <c r="J1001" s="1"/>
      <c r="K1001" s="1"/>
      <c r="L1001" s="1"/>
      <c r="M1001" s="1"/>
      <c r="N1001" s="1"/>
      <c r="O1001" s="1"/>
      <c r="P1001" s="1"/>
      <c r="Q1001" s="1"/>
      <c r="R1001" s="1"/>
      <c r="S1001" s="1"/>
      <c r="T1001" s="1"/>
      <c r="U1001" s="1"/>
      <c r="V1001" s="1"/>
      <c r="W1001" s="1"/>
      <c r="X1001" s="1"/>
    </row>
    <row x14ac:dyDescent="0.25" r="1002" customHeight="1" ht="18.75">
      <c r="A1002" s="1"/>
      <c r="B1002" s="1"/>
      <c r="C1002" s="3" t="s">
        <v>1019</v>
      </c>
      <c r="D1002" s="3" t="s">
        <v>1051</v>
      </c>
      <c r="E1002" s="1"/>
      <c r="F1002" s="1"/>
      <c r="G1002" s="1"/>
      <c r="H1002" s="1"/>
      <c r="I1002" s="2"/>
      <c r="J1002" s="1"/>
      <c r="K1002" s="1"/>
      <c r="L1002" s="1"/>
      <c r="M1002" s="1"/>
      <c r="N1002" s="1"/>
      <c r="O1002" s="1"/>
      <c r="P1002" s="1"/>
      <c r="Q1002" s="1"/>
      <c r="R1002" s="1"/>
      <c r="S1002" s="1"/>
      <c r="T1002" s="1"/>
      <c r="U1002" s="1"/>
      <c r="V1002" s="1"/>
      <c r="W1002" s="1"/>
      <c r="X1002" s="1"/>
    </row>
    <row x14ac:dyDescent="0.25" r="1003" customHeight="1" ht="18.75">
      <c r="A1003" s="1"/>
      <c r="B1003" s="1"/>
      <c r="C1003" s="3" t="s">
        <v>1019</v>
      </c>
      <c r="D1003" s="3" t="s">
        <v>1052</v>
      </c>
      <c r="E1003" s="1"/>
      <c r="F1003" s="1"/>
      <c r="G1003" s="1"/>
      <c r="H1003" s="1"/>
      <c r="I1003" s="2"/>
      <c r="J1003" s="1"/>
      <c r="K1003" s="1"/>
      <c r="L1003" s="1"/>
      <c r="M1003" s="1"/>
      <c r="N1003" s="1"/>
      <c r="O1003" s="1"/>
      <c r="P1003" s="1"/>
      <c r="Q1003" s="1"/>
      <c r="R1003" s="1"/>
      <c r="S1003" s="1"/>
      <c r="T1003" s="1"/>
      <c r="U1003" s="1"/>
      <c r="V1003" s="1"/>
      <c r="W1003" s="1"/>
      <c r="X1003" s="1"/>
    </row>
    <row x14ac:dyDescent="0.25" r="1004" customHeight="1" ht="18.75">
      <c r="A1004" s="1"/>
      <c r="B1004" s="1"/>
      <c r="C1004" s="3" t="s">
        <v>1019</v>
      </c>
      <c r="D1004" s="3" t="s">
        <v>1053</v>
      </c>
      <c r="E1004" s="1"/>
      <c r="F1004" s="1"/>
      <c r="G1004" s="1"/>
      <c r="H1004" s="1"/>
      <c r="I1004" s="2"/>
      <c r="J1004" s="1"/>
      <c r="K1004" s="1"/>
      <c r="L1004" s="1"/>
      <c r="M1004" s="1"/>
      <c r="N1004" s="1"/>
      <c r="O1004" s="1"/>
      <c r="P1004" s="1"/>
      <c r="Q1004" s="1"/>
      <c r="R1004" s="1"/>
      <c r="S1004" s="1"/>
      <c r="T1004" s="1"/>
      <c r="U1004" s="1"/>
      <c r="V1004" s="1"/>
      <c r="W1004" s="1"/>
      <c r="X1004" s="1"/>
    </row>
    <row x14ac:dyDescent="0.25" r="1005" customHeight="1" ht="18.75">
      <c r="A1005" s="1"/>
      <c r="B1005" s="1"/>
      <c r="C1005" s="3" t="s">
        <v>1019</v>
      </c>
      <c r="D1005" s="3" t="s">
        <v>1054</v>
      </c>
      <c r="E1005" s="1"/>
      <c r="F1005" s="1"/>
      <c r="G1005" s="1"/>
      <c r="H1005" s="1"/>
      <c r="I1005" s="2"/>
      <c r="J1005" s="1"/>
      <c r="K1005" s="1"/>
      <c r="L1005" s="1"/>
      <c r="M1005" s="1"/>
      <c r="N1005" s="1"/>
      <c r="O1005" s="1"/>
      <c r="P1005" s="1"/>
      <c r="Q1005" s="1"/>
      <c r="R1005" s="1"/>
      <c r="S1005" s="1"/>
      <c r="T1005" s="1"/>
      <c r="U1005" s="1"/>
      <c r="V1005" s="1"/>
      <c r="W1005" s="1"/>
      <c r="X1005" s="1"/>
    </row>
    <row x14ac:dyDescent="0.25" r="1006" customHeight="1" ht="18.75">
      <c r="A1006" s="1"/>
      <c r="B1006" s="1"/>
      <c r="C1006" s="3" t="s">
        <v>1019</v>
      </c>
      <c r="D1006" s="3" t="s">
        <v>1055</v>
      </c>
      <c r="E1006" s="1"/>
      <c r="F1006" s="1"/>
      <c r="G1006" s="1"/>
      <c r="H1006" s="1"/>
      <c r="I1006" s="2"/>
      <c r="J1006" s="1"/>
      <c r="K1006" s="1"/>
      <c r="L1006" s="1"/>
      <c r="M1006" s="1"/>
      <c r="N1006" s="1"/>
      <c r="O1006" s="1"/>
      <c r="P1006" s="1"/>
      <c r="Q1006" s="1"/>
      <c r="R1006" s="1"/>
      <c r="S1006" s="1"/>
      <c r="T1006" s="1"/>
      <c r="U1006" s="1"/>
      <c r="V1006" s="1"/>
      <c r="W1006" s="1"/>
      <c r="X1006" s="1"/>
    </row>
    <row x14ac:dyDescent="0.25" r="1007" customHeight="1" ht="18.75">
      <c r="A1007" s="1"/>
      <c r="B1007" s="1"/>
      <c r="C1007" s="3" t="s">
        <v>1019</v>
      </c>
      <c r="D1007" s="3" t="s">
        <v>1056</v>
      </c>
      <c r="E1007" s="1"/>
      <c r="F1007" s="1"/>
      <c r="G1007" s="1"/>
      <c r="H1007" s="1"/>
      <c r="I1007" s="2"/>
      <c r="J1007" s="1"/>
      <c r="K1007" s="1"/>
      <c r="L1007" s="1"/>
      <c r="M1007" s="1"/>
      <c r="N1007" s="1"/>
      <c r="O1007" s="1"/>
      <c r="P1007" s="1"/>
      <c r="Q1007" s="1"/>
      <c r="R1007" s="1"/>
      <c r="S1007" s="1"/>
      <c r="T1007" s="1"/>
      <c r="U1007" s="1"/>
      <c r="V1007" s="1"/>
      <c r="W1007" s="1"/>
      <c r="X1007" s="1"/>
    </row>
    <row x14ac:dyDescent="0.25" r="1008" customHeight="1" ht="18.75">
      <c r="A1008" s="1"/>
      <c r="B1008" s="1"/>
      <c r="C1008" s="3" t="s">
        <v>1019</v>
      </c>
      <c r="D1008" s="3" t="s">
        <v>1057</v>
      </c>
      <c r="E1008" s="1"/>
      <c r="F1008" s="1"/>
      <c r="G1008" s="1"/>
      <c r="H1008" s="1"/>
      <c r="I1008" s="2"/>
      <c r="J1008" s="1"/>
      <c r="K1008" s="1"/>
      <c r="L1008" s="1"/>
      <c r="M1008" s="1"/>
      <c r="N1008" s="1"/>
      <c r="O1008" s="1"/>
      <c r="P1008" s="1"/>
      <c r="Q1008" s="1"/>
      <c r="R1008" s="1"/>
      <c r="S1008" s="1"/>
      <c r="T1008" s="1"/>
      <c r="U1008" s="1"/>
      <c r="V1008" s="1"/>
      <c r="W1008" s="1"/>
      <c r="X1008" s="1"/>
    </row>
    <row x14ac:dyDescent="0.25" r="1009" customHeight="1" ht="18.75">
      <c r="A1009" s="1"/>
      <c r="B1009" s="1"/>
      <c r="C1009" s="3" t="s">
        <v>1019</v>
      </c>
      <c r="D1009" s="3" t="s">
        <v>1058</v>
      </c>
      <c r="E1009" s="1"/>
      <c r="F1009" s="1"/>
      <c r="G1009" s="1"/>
      <c r="H1009" s="1"/>
      <c r="I1009" s="2"/>
      <c r="J1009" s="1"/>
      <c r="K1009" s="1"/>
      <c r="L1009" s="1"/>
      <c r="M1009" s="1"/>
      <c r="N1009" s="1"/>
      <c r="O1009" s="1"/>
      <c r="P1009" s="1"/>
      <c r="Q1009" s="1"/>
      <c r="R1009" s="1"/>
      <c r="S1009" s="1"/>
      <c r="T1009" s="1"/>
      <c r="U1009" s="1"/>
      <c r="V1009" s="1"/>
      <c r="W1009" s="1"/>
      <c r="X1009" s="1"/>
    </row>
    <row x14ac:dyDescent="0.25" r="1010" customHeight="1" ht="18.75">
      <c r="A1010" s="1"/>
      <c r="B1010" s="1"/>
      <c r="C1010" s="3" t="s">
        <v>1019</v>
      </c>
      <c r="D1010" s="3" t="s">
        <v>1059</v>
      </c>
      <c r="E1010" s="1"/>
      <c r="F1010" s="1"/>
      <c r="G1010" s="1"/>
      <c r="H1010" s="1"/>
      <c r="I1010" s="2"/>
      <c r="J1010" s="1"/>
      <c r="K1010" s="1"/>
      <c r="L1010" s="1"/>
      <c r="M1010" s="1"/>
      <c r="N1010" s="1"/>
      <c r="O1010" s="1"/>
      <c r="P1010" s="1"/>
      <c r="Q1010" s="1"/>
      <c r="R1010" s="1"/>
      <c r="S1010" s="1"/>
      <c r="T1010" s="1"/>
      <c r="U1010" s="1"/>
      <c r="V1010" s="1"/>
      <c r="W1010" s="1"/>
      <c r="X1010" s="1"/>
    </row>
    <row x14ac:dyDescent="0.25" r="1011" customHeight="1" ht="18.75">
      <c r="A1011" s="1"/>
      <c r="B1011" s="1"/>
      <c r="C1011" s="3" t="s">
        <v>1019</v>
      </c>
      <c r="D1011" s="3" t="s">
        <v>1060</v>
      </c>
      <c r="E1011" s="1"/>
      <c r="F1011" s="1"/>
      <c r="G1011" s="1"/>
      <c r="H1011" s="1"/>
      <c r="I1011" s="2"/>
      <c r="J1011" s="1"/>
      <c r="K1011" s="1"/>
      <c r="L1011" s="1"/>
      <c r="M1011" s="1"/>
      <c r="N1011" s="1"/>
      <c r="O1011" s="1"/>
      <c r="P1011" s="1"/>
      <c r="Q1011" s="1"/>
      <c r="R1011" s="1"/>
      <c r="S1011" s="1"/>
      <c r="T1011" s="1"/>
      <c r="U1011" s="1"/>
      <c r="V1011" s="1"/>
      <c r="W1011" s="1"/>
      <c r="X1011" s="1"/>
    </row>
    <row x14ac:dyDescent="0.25" r="1012" customHeight="1" ht="18.75">
      <c r="A1012" s="1"/>
      <c r="B1012" s="1"/>
      <c r="C1012" s="3" t="s">
        <v>1019</v>
      </c>
      <c r="D1012" s="3" t="s">
        <v>1061</v>
      </c>
      <c r="E1012" s="1"/>
      <c r="F1012" s="1"/>
      <c r="G1012" s="1"/>
      <c r="H1012" s="1"/>
      <c r="I1012" s="2"/>
      <c r="J1012" s="1"/>
      <c r="K1012" s="1"/>
      <c r="L1012" s="1"/>
      <c r="M1012" s="1"/>
      <c r="N1012" s="1"/>
      <c r="O1012" s="1"/>
      <c r="P1012" s="1"/>
      <c r="Q1012" s="1"/>
      <c r="R1012" s="1"/>
      <c r="S1012" s="1"/>
      <c r="T1012" s="1"/>
      <c r="U1012" s="1"/>
      <c r="V1012" s="1"/>
      <c r="W1012" s="1"/>
      <c r="X1012" s="1"/>
    </row>
    <row x14ac:dyDescent="0.25" r="1013" customHeight="1" ht="18.75">
      <c r="A1013" s="1"/>
      <c r="B1013" s="1"/>
      <c r="C1013" s="3" t="s">
        <v>1019</v>
      </c>
      <c r="D1013" s="3" t="s">
        <v>1062</v>
      </c>
      <c r="E1013" s="1"/>
      <c r="F1013" s="1"/>
      <c r="G1013" s="1"/>
      <c r="H1013" s="1"/>
      <c r="I1013" s="2"/>
      <c r="J1013" s="1"/>
      <c r="K1013" s="1"/>
      <c r="L1013" s="1"/>
      <c r="M1013" s="1"/>
      <c r="N1013" s="1"/>
      <c r="O1013" s="1"/>
      <c r="P1013" s="1"/>
      <c r="Q1013" s="1"/>
      <c r="R1013" s="1"/>
      <c r="S1013" s="1"/>
      <c r="T1013" s="1"/>
      <c r="U1013" s="1"/>
      <c r="V1013" s="1"/>
      <c r="W1013" s="1"/>
      <c r="X1013" s="1"/>
    </row>
    <row x14ac:dyDescent="0.25" r="1014" customHeight="1" ht="18.75">
      <c r="A1014" s="1"/>
      <c r="B1014" s="1"/>
      <c r="C1014" s="3" t="s">
        <v>1019</v>
      </c>
      <c r="D1014" s="3" t="s">
        <v>1063</v>
      </c>
      <c r="E1014" s="1"/>
      <c r="F1014" s="1"/>
      <c r="G1014" s="1"/>
      <c r="H1014" s="1"/>
      <c r="I1014" s="2"/>
      <c r="J1014" s="1"/>
      <c r="K1014" s="1"/>
      <c r="L1014" s="1"/>
      <c r="M1014" s="1"/>
      <c r="N1014" s="1"/>
      <c r="O1014" s="1"/>
      <c r="P1014" s="1"/>
      <c r="Q1014" s="1"/>
      <c r="R1014" s="1"/>
      <c r="S1014" s="1"/>
      <c r="T1014" s="1"/>
      <c r="U1014" s="1"/>
      <c r="V1014" s="1"/>
      <c r="W1014" s="1"/>
      <c r="X1014" s="1"/>
    </row>
    <row x14ac:dyDescent="0.25" r="1015" customHeight="1" ht="18.75">
      <c r="A1015" s="1"/>
      <c r="B1015" s="1"/>
      <c r="C1015" s="3" t="s">
        <v>1019</v>
      </c>
      <c r="D1015" s="3" t="s">
        <v>1064</v>
      </c>
      <c r="E1015" s="1"/>
      <c r="F1015" s="1"/>
      <c r="G1015" s="1"/>
      <c r="H1015" s="1"/>
      <c r="I1015" s="2"/>
      <c r="J1015" s="1"/>
      <c r="K1015" s="1"/>
      <c r="L1015" s="1"/>
      <c r="M1015" s="1"/>
      <c r="N1015" s="1"/>
      <c r="O1015" s="1"/>
      <c r="P1015" s="1"/>
      <c r="Q1015" s="1"/>
      <c r="R1015" s="1"/>
      <c r="S1015" s="1"/>
      <c r="T1015" s="1"/>
      <c r="U1015" s="1"/>
      <c r="V1015" s="1"/>
      <c r="W1015" s="1"/>
      <c r="X1015" s="1"/>
    </row>
    <row x14ac:dyDescent="0.25" r="1016" customHeight="1" ht="18.75">
      <c r="A1016" s="1"/>
      <c r="B1016" s="1"/>
      <c r="C1016" s="3" t="s">
        <v>1019</v>
      </c>
      <c r="D1016" s="3" t="s">
        <v>1065</v>
      </c>
      <c r="E1016" s="1"/>
      <c r="F1016" s="1"/>
      <c r="G1016" s="1"/>
      <c r="H1016" s="1"/>
      <c r="I1016" s="2"/>
      <c r="J1016" s="1"/>
      <c r="K1016" s="1"/>
      <c r="L1016" s="1"/>
      <c r="M1016" s="1"/>
      <c r="N1016" s="1"/>
      <c r="O1016" s="1"/>
      <c r="P1016" s="1"/>
      <c r="Q1016" s="1"/>
      <c r="R1016" s="1"/>
      <c r="S1016" s="1"/>
      <c r="T1016" s="1"/>
      <c r="U1016" s="1"/>
      <c r="V1016" s="1"/>
      <c r="W1016" s="1"/>
      <c r="X1016" s="1"/>
    </row>
    <row x14ac:dyDescent="0.25" r="1017" customHeight="1" ht="18.75">
      <c r="A1017" s="1"/>
      <c r="B1017" s="1"/>
      <c r="C1017" s="3" t="s">
        <v>1019</v>
      </c>
      <c r="D1017" s="3" t="s">
        <v>1066</v>
      </c>
      <c r="E1017" s="1"/>
      <c r="F1017" s="1"/>
      <c r="G1017" s="1"/>
      <c r="H1017" s="1"/>
      <c r="I1017" s="2"/>
      <c r="J1017" s="1"/>
      <c r="K1017" s="1"/>
      <c r="L1017" s="1"/>
      <c r="M1017" s="1"/>
      <c r="N1017" s="1"/>
      <c r="O1017" s="1"/>
      <c r="P1017" s="1"/>
      <c r="Q1017" s="1"/>
      <c r="R1017" s="1"/>
      <c r="S1017" s="1"/>
      <c r="T1017" s="1"/>
      <c r="U1017" s="1"/>
      <c r="V1017" s="1"/>
      <c r="W1017" s="1"/>
      <c r="X1017" s="1"/>
    </row>
    <row x14ac:dyDescent="0.25" r="1018" customHeight="1" ht="18.75">
      <c r="A1018" s="1"/>
      <c r="B1018" s="1"/>
      <c r="C1018" s="3" t="s">
        <v>1019</v>
      </c>
      <c r="D1018" s="3" t="s">
        <v>1067</v>
      </c>
      <c r="E1018" s="1"/>
      <c r="F1018" s="1"/>
      <c r="G1018" s="1"/>
      <c r="H1018" s="1"/>
      <c r="I1018" s="2"/>
      <c r="J1018" s="1"/>
      <c r="K1018" s="1"/>
      <c r="L1018" s="1"/>
      <c r="M1018" s="1"/>
      <c r="N1018" s="1"/>
      <c r="O1018" s="1"/>
      <c r="P1018" s="1"/>
      <c r="Q1018" s="1"/>
      <c r="R1018" s="1"/>
      <c r="S1018" s="1"/>
      <c r="T1018" s="1"/>
      <c r="U1018" s="1"/>
      <c r="V1018" s="1"/>
      <c r="W1018" s="1"/>
      <c r="X1018" s="1"/>
    </row>
    <row x14ac:dyDescent="0.25" r="1019" customHeight="1" ht="18.75">
      <c r="A1019" s="1"/>
      <c r="B1019" s="1"/>
      <c r="C1019" s="3" t="s">
        <v>1019</v>
      </c>
      <c r="D1019" s="3" t="s">
        <v>1068</v>
      </c>
      <c r="E1019" s="1"/>
      <c r="F1019" s="1"/>
      <c r="G1019" s="1"/>
      <c r="H1019" s="1"/>
      <c r="I1019" s="2"/>
      <c r="J1019" s="1"/>
      <c r="K1019" s="1"/>
      <c r="L1019" s="1"/>
      <c r="M1019" s="1"/>
      <c r="N1019" s="1"/>
      <c r="O1019" s="1"/>
      <c r="P1019" s="1"/>
      <c r="Q1019" s="1"/>
      <c r="R1019" s="1"/>
      <c r="S1019" s="1"/>
      <c r="T1019" s="1"/>
      <c r="U1019" s="1"/>
      <c r="V1019" s="1"/>
      <c r="W1019" s="1"/>
      <c r="X1019" s="1"/>
    </row>
    <row x14ac:dyDescent="0.25" r="1020" customHeight="1" ht="18.75">
      <c r="A1020" s="1"/>
      <c r="B1020" s="1"/>
      <c r="C1020" s="3" t="s">
        <v>1019</v>
      </c>
      <c r="D1020" s="3" t="s">
        <v>1069</v>
      </c>
      <c r="E1020" s="1"/>
      <c r="F1020" s="1"/>
      <c r="G1020" s="1"/>
      <c r="H1020" s="1"/>
      <c r="I1020" s="2"/>
      <c r="J1020" s="1"/>
      <c r="K1020" s="1"/>
      <c r="L1020" s="1"/>
      <c r="M1020" s="1"/>
      <c r="N1020" s="1"/>
      <c r="O1020" s="1"/>
      <c r="P1020" s="1"/>
      <c r="Q1020" s="1"/>
      <c r="R1020" s="1"/>
      <c r="S1020" s="1"/>
      <c r="T1020" s="1"/>
      <c r="U1020" s="1"/>
      <c r="V1020" s="1"/>
      <c r="W1020" s="1"/>
      <c r="X1020" s="1"/>
    </row>
    <row x14ac:dyDescent="0.25" r="1021" customHeight="1" ht="18.75">
      <c r="A1021" s="1"/>
      <c r="B1021" s="1"/>
      <c r="C1021" s="3" t="s">
        <v>1019</v>
      </c>
      <c r="D1021" s="3" t="s">
        <v>1070</v>
      </c>
      <c r="E1021" s="1"/>
      <c r="F1021" s="1"/>
      <c r="G1021" s="1"/>
      <c r="H1021" s="1"/>
      <c r="I1021" s="2"/>
      <c r="J1021" s="1"/>
      <c r="K1021" s="1"/>
      <c r="L1021" s="1"/>
      <c r="M1021" s="1"/>
      <c r="N1021" s="1"/>
      <c r="O1021" s="1"/>
      <c r="P1021" s="1"/>
      <c r="Q1021" s="1"/>
      <c r="R1021" s="1"/>
      <c r="S1021" s="1"/>
      <c r="T1021" s="1"/>
      <c r="U1021" s="1"/>
      <c r="V1021" s="1"/>
      <c r="W1021" s="1"/>
      <c r="X1021" s="1"/>
    </row>
    <row x14ac:dyDescent="0.25" r="1022" customHeight="1" ht="18.75">
      <c r="A1022" s="1"/>
      <c r="B1022" s="1"/>
      <c r="C1022" s="3" t="s">
        <v>1019</v>
      </c>
      <c r="D1022" s="3" t="s">
        <v>1071</v>
      </c>
      <c r="E1022" s="1"/>
      <c r="F1022" s="1"/>
      <c r="G1022" s="1"/>
      <c r="H1022" s="1"/>
      <c r="I1022" s="2"/>
      <c r="J1022" s="1"/>
      <c r="K1022" s="1"/>
      <c r="L1022" s="1"/>
      <c r="M1022" s="1"/>
      <c r="N1022" s="1"/>
      <c r="O1022" s="1"/>
      <c r="P1022" s="1"/>
      <c r="Q1022" s="1"/>
      <c r="R1022" s="1"/>
      <c r="S1022" s="1"/>
      <c r="T1022" s="1"/>
      <c r="U1022" s="1"/>
      <c r="V1022" s="1"/>
      <c r="W1022" s="1"/>
      <c r="X1022" s="1"/>
    </row>
    <row x14ac:dyDescent="0.25" r="1023" customHeight="1" ht="18.75">
      <c r="A1023" s="1"/>
      <c r="B1023" s="1"/>
      <c r="C1023" s="3" t="s">
        <v>1019</v>
      </c>
      <c r="D1023" s="3" t="s">
        <v>1072</v>
      </c>
      <c r="E1023" s="1"/>
      <c r="F1023" s="1"/>
      <c r="G1023" s="1"/>
      <c r="H1023" s="1"/>
      <c r="I1023" s="2"/>
      <c r="J1023" s="1"/>
      <c r="K1023" s="1"/>
      <c r="L1023" s="1"/>
      <c r="M1023" s="1"/>
      <c r="N1023" s="1"/>
      <c r="O1023" s="1"/>
      <c r="P1023" s="1"/>
      <c r="Q1023" s="1"/>
      <c r="R1023" s="1"/>
      <c r="S1023" s="1"/>
      <c r="T1023" s="1"/>
      <c r="U1023" s="1"/>
      <c r="V1023" s="1"/>
      <c r="W1023" s="1"/>
      <c r="X1023" s="1"/>
    </row>
    <row x14ac:dyDescent="0.25" r="1024" customHeight="1" ht="18.75">
      <c r="A1024" s="1"/>
      <c r="B1024" s="1"/>
      <c r="C1024" s="3" t="s">
        <v>1019</v>
      </c>
      <c r="D1024" s="3" t="s">
        <v>1073</v>
      </c>
      <c r="E1024" s="1"/>
      <c r="F1024" s="1"/>
      <c r="G1024" s="1"/>
      <c r="H1024" s="1"/>
      <c r="I1024" s="2"/>
      <c r="J1024" s="1"/>
      <c r="K1024" s="1"/>
      <c r="L1024" s="1"/>
      <c r="M1024" s="1"/>
      <c r="N1024" s="1"/>
      <c r="O1024" s="1"/>
      <c r="P1024" s="1"/>
      <c r="Q1024" s="1"/>
      <c r="R1024" s="1"/>
      <c r="S1024" s="1"/>
      <c r="T1024" s="1"/>
      <c r="U1024" s="1"/>
      <c r="V1024" s="1"/>
      <c r="W1024" s="1"/>
      <c r="X1024" s="1"/>
    </row>
    <row x14ac:dyDescent="0.25" r="1025" customHeight="1" ht="18.75">
      <c r="A1025" s="1"/>
      <c r="B1025" s="1"/>
      <c r="C1025" s="3" t="s">
        <v>1019</v>
      </c>
      <c r="D1025" s="3" t="s">
        <v>1074</v>
      </c>
      <c r="E1025" s="1"/>
      <c r="F1025" s="1"/>
      <c r="G1025" s="1"/>
      <c r="H1025" s="1"/>
      <c r="I1025" s="2"/>
      <c r="J1025" s="1"/>
      <c r="K1025" s="1"/>
      <c r="L1025" s="1"/>
      <c r="M1025" s="1"/>
      <c r="N1025" s="1"/>
      <c r="O1025" s="1"/>
      <c r="P1025" s="1"/>
      <c r="Q1025" s="1"/>
      <c r="R1025" s="1"/>
      <c r="S1025" s="1"/>
      <c r="T1025" s="1"/>
      <c r="U1025" s="1"/>
      <c r="V1025" s="1"/>
      <c r="W1025" s="1"/>
      <c r="X1025" s="1"/>
    </row>
    <row x14ac:dyDescent="0.25" r="1026" customHeight="1" ht="18.75">
      <c r="A1026" s="1"/>
      <c r="B1026" s="1"/>
      <c r="C1026" s="3" t="s">
        <v>1019</v>
      </c>
      <c r="D1026" s="3" t="s">
        <v>26</v>
      </c>
      <c r="E1026" s="1"/>
      <c r="F1026" s="1"/>
      <c r="G1026" s="1"/>
      <c r="H1026" s="1"/>
      <c r="I1026" s="2"/>
      <c r="J1026" s="1"/>
      <c r="K1026" s="1"/>
      <c r="L1026" s="1"/>
      <c r="M1026" s="1"/>
      <c r="N1026" s="1"/>
      <c r="O1026" s="1"/>
      <c r="P1026" s="1"/>
      <c r="Q1026" s="1"/>
      <c r="R1026" s="1"/>
      <c r="S1026" s="1"/>
      <c r="T1026" s="1"/>
      <c r="U1026" s="1"/>
      <c r="V1026" s="1"/>
      <c r="W1026" s="1"/>
      <c r="X1026" s="1"/>
    </row>
    <row x14ac:dyDescent="0.25" r="1027" customHeight="1" ht="18.75">
      <c r="A1027" s="1"/>
      <c r="B1027" s="1"/>
      <c r="C1027" s="3" t="s">
        <v>1019</v>
      </c>
      <c r="D1027" s="3" t="s">
        <v>1075</v>
      </c>
      <c r="E1027" s="1"/>
      <c r="F1027" s="1"/>
      <c r="G1027" s="1"/>
      <c r="H1027" s="1"/>
      <c r="I1027" s="2"/>
      <c r="J1027" s="1"/>
      <c r="K1027" s="1"/>
      <c r="L1027" s="1"/>
      <c r="M1027" s="1"/>
      <c r="N1027" s="1"/>
      <c r="O1027" s="1"/>
      <c r="P1027" s="1"/>
      <c r="Q1027" s="1"/>
      <c r="R1027" s="1"/>
      <c r="S1027" s="1"/>
      <c r="T1027" s="1"/>
      <c r="U1027" s="1"/>
      <c r="V1027" s="1"/>
      <c r="W1027" s="1"/>
      <c r="X1027" s="1"/>
    </row>
    <row x14ac:dyDescent="0.25" r="1028" customHeight="1" ht="18.75">
      <c r="A1028" s="1"/>
      <c r="B1028" s="1"/>
      <c r="C1028" s="3" t="s">
        <v>1019</v>
      </c>
      <c r="D1028" s="3" t="s">
        <v>1076</v>
      </c>
      <c r="E1028" s="1"/>
      <c r="F1028" s="1"/>
      <c r="G1028" s="1"/>
      <c r="H1028" s="1"/>
      <c r="I1028" s="2"/>
      <c r="J1028" s="1"/>
      <c r="K1028" s="1"/>
      <c r="L1028" s="1"/>
      <c r="M1028" s="1"/>
      <c r="N1028" s="1"/>
      <c r="O1028" s="1"/>
      <c r="P1028" s="1"/>
      <c r="Q1028" s="1"/>
      <c r="R1028" s="1"/>
      <c r="S1028" s="1"/>
      <c r="T1028" s="1"/>
      <c r="U1028" s="1"/>
      <c r="V1028" s="1"/>
      <c r="W1028" s="1"/>
      <c r="X1028" s="1"/>
    </row>
    <row x14ac:dyDescent="0.25" r="1029" customHeight="1" ht="18.75">
      <c r="A1029" s="1"/>
      <c r="B1029" s="1"/>
      <c r="C1029" s="3" t="s">
        <v>1019</v>
      </c>
      <c r="D1029" s="3" t="s">
        <v>1077</v>
      </c>
      <c r="E1029" s="1"/>
      <c r="F1029" s="1"/>
      <c r="G1029" s="1"/>
      <c r="H1029" s="1"/>
      <c r="I1029" s="2"/>
      <c r="J1029" s="1"/>
      <c r="K1029" s="1"/>
      <c r="L1029" s="1"/>
      <c r="M1029" s="1"/>
      <c r="N1029" s="1"/>
      <c r="O1029" s="1"/>
      <c r="P1029" s="1"/>
      <c r="Q1029" s="1"/>
      <c r="R1029" s="1"/>
      <c r="S1029" s="1"/>
      <c r="T1029" s="1"/>
      <c r="U1029" s="1"/>
      <c r="V1029" s="1"/>
      <c r="W1029" s="1"/>
      <c r="X1029" s="1"/>
    </row>
    <row x14ac:dyDescent="0.25" r="1030" customHeight="1" ht="18.75">
      <c r="A1030" s="1"/>
      <c r="B1030" s="1"/>
      <c r="C1030" s="3" t="s">
        <v>1019</v>
      </c>
      <c r="D1030" s="3" t="s">
        <v>1078</v>
      </c>
      <c r="E1030" s="1"/>
      <c r="F1030" s="1"/>
      <c r="G1030" s="1"/>
      <c r="H1030" s="1"/>
      <c r="I1030" s="2"/>
      <c r="J1030" s="1"/>
      <c r="K1030" s="1"/>
      <c r="L1030" s="1"/>
      <c r="M1030" s="1"/>
      <c r="N1030" s="1"/>
      <c r="O1030" s="1"/>
      <c r="P1030" s="1"/>
      <c r="Q1030" s="1"/>
      <c r="R1030" s="1"/>
      <c r="S1030" s="1"/>
      <c r="T1030" s="1"/>
      <c r="U1030" s="1"/>
      <c r="V1030" s="1"/>
      <c r="W1030" s="1"/>
      <c r="X1030" s="1"/>
    </row>
    <row x14ac:dyDescent="0.25" r="1031" customHeight="1" ht="18.75">
      <c r="A1031" s="1"/>
      <c r="B1031" s="1"/>
      <c r="C1031" s="3" t="s">
        <v>137</v>
      </c>
      <c r="D1031" s="3" t="s">
        <v>1079</v>
      </c>
      <c r="E1031" s="1"/>
      <c r="F1031" s="1"/>
      <c r="G1031" s="1"/>
      <c r="H1031" s="1"/>
      <c r="I1031" s="2"/>
      <c r="J1031" s="1"/>
      <c r="K1031" s="1"/>
      <c r="L1031" s="1"/>
      <c r="M1031" s="1"/>
      <c r="N1031" s="1"/>
      <c r="O1031" s="1"/>
      <c r="P1031" s="1"/>
      <c r="Q1031" s="1"/>
      <c r="R1031" s="1"/>
      <c r="S1031" s="1"/>
      <c r="T1031" s="1"/>
      <c r="U1031" s="1"/>
      <c r="V1031" s="1"/>
      <c r="W1031" s="1"/>
      <c r="X1031" s="1"/>
    </row>
    <row x14ac:dyDescent="0.25" r="1032" customHeight="1" ht="18.75">
      <c r="A1032" s="1"/>
      <c r="B1032" s="1"/>
      <c r="C1032" s="3" t="s">
        <v>137</v>
      </c>
      <c r="D1032" s="3" t="s">
        <v>1080</v>
      </c>
      <c r="E1032" s="1"/>
      <c r="F1032" s="1"/>
      <c r="G1032" s="1"/>
      <c r="H1032" s="1"/>
      <c r="I1032" s="2"/>
      <c r="J1032" s="1"/>
      <c r="K1032" s="1"/>
      <c r="L1032" s="1"/>
      <c r="M1032" s="1"/>
      <c r="N1032" s="1"/>
      <c r="O1032" s="1"/>
      <c r="P1032" s="1"/>
      <c r="Q1032" s="1"/>
      <c r="R1032" s="1"/>
      <c r="S1032" s="1"/>
      <c r="T1032" s="1"/>
      <c r="U1032" s="1"/>
      <c r="V1032" s="1"/>
      <c r="W1032" s="1"/>
      <c r="X1032" s="1"/>
    </row>
    <row x14ac:dyDescent="0.25" r="1033" customHeight="1" ht="18.75">
      <c r="A1033" s="1"/>
      <c r="B1033" s="1"/>
      <c r="C1033" s="3" t="s">
        <v>137</v>
      </c>
      <c r="D1033" s="3" t="s">
        <v>1081</v>
      </c>
      <c r="E1033" s="1"/>
      <c r="F1033" s="1"/>
      <c r="G1033" s="1"/>
      <c r="H1033" s="1"/>
      <c r="I1033" s="2"/>
      <c r="J1033" s="1"/>
      <c r="K1033" s="1"/>
      <c r="L1033" s="1"/>
      <c r="M1033" s="1"/>
      <c r="N1033" s="1"/>
      <c r="O1033" s="1"/>
      <c r="P1033" s="1"/>
      <c r="Q1033" s="1"/>
      <c r="R1033" s="1"/>
      <c r="S1033" s="1"/>
      <c r="T1033" s="1"/>
      <c r="U1033" s="1"/>
      <c r="V1033" s="1"/>
      <c r="W1033" s="1"/>
      <c r="X1033" s="1"/>
    </row>
    <row x14ac:dyDescent="0.25" r="1034" customHeight="1" ht="18.75">
      <c r="A1034" s="1"/>
      <c r="B1034" s="1"/>
      <c r="C1034" s="3" t="s">
        <v>137</v>
      </c>
      <c r="D1034" s="3" t="s">
        <v>1082</v>
      </c>
      <c r="E1034" s="1"/>
      <c r="F1034" s="1"/>
      <c r="G1034" s="1"/>
      <c r="H1034" s="1"/>
      <c r="I1034" s="2"/>
      <c r="J1034" s="1"/>
      <c r="K1034" s="1"/>
      <c r="L1034" s="1"/>
      <c r="M1034" s="1"/>
      <c r="N1034" s="1"/>
      <c r="O1034" s="1"/>
      <c r="P1034" s="1"/>
      <c r="Q1034" s="1"/>
      <c r="R1034" s="1"/>
      <c r="S1034" s="1"/>
      <c r="T1034" s="1"/>
      <c r="U1034" s="1"/>
      <c r="V1034" s="1"/>
      <c r="W1034" s="1"/>
      <c r="X1034" s="1"/>
    </row>
    <row x14ac:dyDescent="0.25" r="1035" customHeight="1" ht="18.75">
      <c r="A1035" s="1"/>
      <c r="B1035" s="1"/>
      <c r="C1035" s="3" t="s">
        <v>137</v>
      </c>
      <c r="D1035" s="3" t="s">
        <v>1083</v>
      </c>
      <c r="E1035" s="1"/>
      <c r="F1035" s="1"/>
      <c r="G1035" s="1"/>
      <c r="H1035" s="1"/>
      <c r="I1035" s="2"/>
      <c r="J1035" s="1"/>
      <c r="K1035" s="1"/>
      <c r="L1035" s="1"/>
      <c r="M1035" s="1"/>
      <c r="N1035" s="1"/>
      <c r="O1035" s="1"/>
      <c r="P1035" s="1"/>
      <c r="Q1035" s="1"/>
      <c r="R1035" s="1"/>
      <c r="S1035" s="1"/>
      <c r="T1035" s="1"/>
      <c r="U1035" s="1"/>
      <c r="V1035" s="1"/>
      <c r="W1035" s="1"/>
      <c r="X1035" s="1"/>
    </row>
    <row x14ac:dyDescent="0.25" r="1036" customHeight="1" ht="18.75">
      <c r="A1036" s="1"/>
      <c r="B1036" s="1"/>
      <c r="C1036" s="3" t="s">
        <v>137</v>
      </c>
      <c r="D1036" s="3" t="s">
        <v>1084</v>
      </c>
      <c r="E1036" s="1"/>
      <c r="F1036" s="1"/>
      <c r="G1036" s="1"/>
      <c r="H1036" s="1"/>
      <c r="I1036" s="2"/>
      <c r="J1036" s="1"/>
      <c r="K1036" s="1"/>
      <c r="L1036" s="1"/>
      <c r="M1036" s="1"/>
      <c r="N1036" s="1"/>
      <c r="O1036" s="1"/>
      <c r="P1036" s="1"/>
      <c r="Q1036" s="1"/>
      <c r="R1036" s="1"/>
      <c r="S1036" s="1"/>
      <c r="T1036" s="1"/>
      <c r="U1036" s="1"/>
      <c r="V1036" s="1"/>
      <c r="W1036" s="1"/>
      <c r="X1036" s="1"/>
    </row>
    <row x14ac:dyDescent="0.25" r="1037" customHeight="1" ht="18.75">
      <c r="A1037" s="1"/>
      <c r="B1037" s="1"/>
      <c r="C1037" s="3" t="s">
        <v>137</v>
      </c>
      <c r="D1037" s="3" t="s">
        <v>1085</v>
      </c>
      <c r="E1037" s="1"/>
      <c r="F1037" s="1"/>
      <c r="G1037" s="1"/>
      <c r="H1037" s="1"/>
      <c r="I1037" s="2"/>
      <c r="J1037" s="1"/>
      <c r="K1037" s="1"/>
      <c r="L1037" s="1"/>
      <c r="M1037" s="1"/>
      <c r="N1037" s="1"/>
      <c r="O1037" s="1"/>
      <c r="P1037" s="1"/>
      <c r="Q1037" s="1"/>
      <c r="R1037" s="1"/>
      <c r="S1037" s="1"/>
      <c r="T1037" s="1"/>
      <c r="U1037" s="1"/>
      <c r="V1037" s="1"/>
      <c r="W1037" s="1"/>
      <c r="X1037" s="1"/>
    </row>
    <row x14ac:dyDescent="0.25" r="1038" customHeight="1" ht="18.75">
      <c r="A1038" s="1"/>
      <c r="B1038" s="1"/>
      <c r="C1038" s="3" t="s">
        <v>137</v>
      </c>
      <c r="D1038" s="3" t="s">
        <v>1086</v>
      </c>
      <c r="E1038" s="1"/>
      <c r="F1038" s="1"/>
      <c r="G1038" s="1"/>
      <c r="H1038" s="1"/>
      <c r="I1038" s="2"/>
      <c r="J1038" s="1"/>
      <c r="K1038" s="1"/>
      <c r="L1038" s="1"/>
      <c r="M1038" s="1"/>
      <c r="N1038" s="1"/>
      <c r="O1038" s="1"/>
      <c r="P1038" s="1"/>
      <c r="Q1038" s="1"/>
      <c r="R1038" s="1"/>
      <c r="S1038" s="1"/>
      <c r="T1038" s="1"/>
      <c r="U1038" s="1"/>
      <c r="V1038" s="1"/>
      <c r="W1038" s="1"/>
      <c r="X1038" s="1"/>
    </row>
    <row x14ac:dyDescent="0.25" r="1039" customHeight="1" ht="18.75">
      <c r="A1039" s="1"/>
      <c r="B1039" s="1"/>
      <c r="C1039" s="3" t="s">
        <v>137</v>
      </c>
      <c r="D1039" s="3" t="s">
        <v>1087</v>
      </c>
      <c r="E1039" s="1"/>
      <c r="F1039" s="1"/>
      <c r="G1039" s="1"/>
      <c r="H1039" s="1"/>
      <c r="I1039" s="2"/>
      <c r="J1039" s="1"/>
      <c r="K1039" s="1"/>
      <c r="L1039" s="1"/>
      <c r="M1039" s="1"/>
      <c r="N1039" s="1"/>
      <c r="O1039" s="1"/>
      <c r="P1039" s="1"/>
      <c r="Q1039" s="1"/>
      <c r="R1039" s="1"/>
      <c r="S1039" s="1"/>
      <c r="T1039" s="1"/>
      <c r="U1039" s="1"/>
      <c r="V1039" s="1"/>
      <c r="W1039" s="1"/>
      <c r="X1039" s="1"/>
    </row>
    <row x14ac:dyDescent="0.25" r="1040" customHeight="1" ht="18.75">
      <c r="A1040" s="1"/>
      <c r="B1040" s="1"/>
      <c r="C1040" s="3" t="s">
        <v>137</v>
      </c>
      <c r="D1040" s="3" t="s">
        <v>1088</v>
      </c>
      <c r="E1040" s="1"/>
      <c r="F1040" s="1"/>
      <c r="G1040" s="1"/>
      <c r="H1040" s="1"/>
      <c r="I1040" s="2"/>
      <c r="J1040" s="1"/>
      <c r="K1040" s="1"/>
      <c r="L1040" s="1"/>
      <c r="M1040" s="1"/>
      <c r="N1040" s="1"/>
      <c r="O1040" s="1"/>
      <c r="P1040" s="1"/>
      <c r="Q1040" s="1"/>
      <c r="R1040" s="1"/>
      <c r="S1040" s="1"/>
      <c r="T1040" s="1"/>
      <c r="U1040" s="1"/>
      <c r="V1040" s="1"/>
      <c r="W1040" s="1"/>
      <c r="X1040" s="1"/>
    </row>
    <row x14ac:dyDescent="0.25" r="1041" customHeight="1" ht="18.75">
      <c r="A1041" s="1"/>
      <c r="B1041" s="1"/>
      <c r="C1041" s="3" t="s">
        <v>137</v>
      </c>
      <c r="D1041" s="3" t="s">
        <v>1089</v>
      </c>
      <c r="E1041" s="1"/>
      <c r="F1041" s="1"/>
      <c r="G1041" s="1"/>
      <c r="H1041" s="1"/>
      <c r="I1041" s="2"/>
      <c r="J1041" s="1"/>
      <c r="K1041" s="1"/>
      <c r="L1041" s="1"/>
      <c r="M1041" s="1"/>
      <c r="N1041" s="1"/>
      <c r="O1041" s="1"/>
      <c r="P1041" s="1"/>
      <c r="Q1041" s="1"/>
      <c r="R1041" s="1"/>
      <c r="S1041" s="1"/>
      <c r="T1041" s="1"/>
      <c r="U1041" s="1"/>
      <c r="V1041" s="1"/>
      <c r="W1041" s="1"/>
      <c r="X1041" s="1"/>
    </row>
    <row x14ac:dyDescent="0.25" r="1042" customHeight="1" ht="18.75">
      <c r="A1042" s="1"/>
      <c r="B1042" s="1"/>
      <c r="C1042" s="3" t="s">
        <v>137</v>
      </c>
      <c r="D1042" s="3" t="s">
        <v>1090</v>
      </c>
      <c r="E1042" s="1"/>
      <c r="F1042" s="1"/>
      <c r="G1042" s="1"/>
      <c r="H1042" s="1"/>
      <c r="I1042" s="2"/>
      <c r="J1042" s="1"/>
      <c r="K1042" s="1"/>
      <c r="L1042" s="1"/>
      <c r="M1042" s="1"/>
      <c r="N1042" s="1"/>
      <c r="O1042" s="1"/>
      <c r="P1042" s="1"/>
      <c r="Q1042" s="1"/>
      <c r="R1042" s="1"/>
      <c r="S1042" s="1"/>
      <c r="T1042" s="1"/>
      <c r="U1042" s="1"/>
      <c r="V1042" s="1"/>
      <c r="W1042" s="1"/>
      <c r="X1042" s="1"/>
    </row>
    <row x14ac:dyDescent="0.25" r="1043" customHeight="1" ht="18.75">
      <c r="A1043" s="1"/>
      <c r="B1043" s="1"/>
      <c r="C1043" s="3" t="s">
        <v>137</v>
      </c>
      <c r="D1043" s="3" t="s">
        <v>1091</v>
      </c>
      <c r="E1043" s="1"/>
      <c r="F1043" s="1"/>
      <c r="G1043" s="1"/>
      <c r="H1043" s="1"/>
      <c r="I1043" s="2"/>
      <c r="J1043" s="1"/>
      <c r="K1043" s="1"/>
      <c r="L1043" s="1"/>
      <c r="M1043" s="1"/>
      <c r="N1043" s="1"/>
      <c r="O1043" s="1"/>
      <c r="P1043" s="1"/>
      <c r="Q1043" s="1"/>
      <c r="R1043" s="1"/>
      <c r="S1043" s="1"/>
      <c r="T1043" s="1"/>
      <c r="U1043" s="1"/>
      <c r="V1043" s="1"/>
      <c r="W1043" s="1"/>
      <c r="X1043" s="1"/>
    </row>
    <row x14ac:dyDescent="0.25" r="1044" customHeight="1" ht="18.75">
      <c r="A1044" s="1"/>
      <c r="B1044" s="1"/>
      <c r="C1044" s="3" t="s">
        <v>137</v>
      </c>
      <c r="D1044" s="3" t="s">
        <v>1092</v>
      </c>
      <c r="E1044" s="1"/>
      <c r="F1044" s="1"/>
      <c r="G1044" s="1"/>
      <c r="H1044" s="1"/>
      <c r="I1044" s="2"/>
      <c r="J1044" s="1"/>
      <c r="K1044" s="1"/>
      <c r="L1044" s="1"/>
      <c r="M1044" s="1"/>
      <c r="N1044" s="1"/>
      <c r="O1044" s="1"/>
      <c r="P1044" s="1"/>
      <c r="Q1044" s="1"/>
      <c r="R1044" s="1"/>
      <c r="S1044" s="1"/>
      <c r="T1044" s="1"/>
      <c r="U1044" s="1"/>
      <c r="V1044" s="1"/>
      <c r="W1044" s="1"/>
      <c r="X1044" s="1"/>
    </row>
    <row x14ac:dyDescent="0.25" r="1045" customHeight="1" ht="18.75">
      <c r="A1045" s="1"/>
      <c r="B1045" s="1"/>
      <c r="C1045" s="3" t="s">
        <v>137</v>
      </c>
      <c r="D1045" s="3" t="s">
        <v>1093</v>
      </c>
      <c r="E1045" s="1"/>
      <c r="F1045" s="1"/>
      <c r="G1045" s="1"/>
      <c r="H1045" s="1"/>
      <c r="I1045" s="2"/>
      <c r="J1045" s="1"/>
      <c r="K1045" s="1"/>
      <c r="L1045" s="1"/>
      <c r="M1045" s="1"/>
      <c r="N1045" s="1"/>
      <c r="O1045" s="1"/>
      <c r="P1045" s="1"/>
      <c r="Q1045" s="1"/>
      <c r="R1045" s="1"/>
      <c r="S1045" s="1"/>
      <c r="T1045" s="1"/>
      <c r="U1045" s="1"/>
      <c r="V1045" s="1"/>
      <c r="W1045" s="1"/>
      <c r="X1045" s="1"/>
    </row>
    <row x14ac:dyDescent="0.25" r="1046" customHeight="1" ht="18.75">
      <c r="A1046" s="1"/>
      <c r="B1046" s="1"/>
      <c r="C1046" s="3" t="s">
        <v>137</v>
      </c>
      <c r="D1046" s="3" t="s">
        <v>1094</v>
      </c>
      <c r="E1046" s="1"/>
      <c r="F1046" s="1"/>
      <c r="G1046" s="1"/>
      <c r="H1046" s="1"/>
      <c r="I1046" s="2"/>
      <c r="J1046" s="1"/>
      <c r="K1046" s="1"/>
      <c r="L1046" s="1"/>
      <c r="M1046" s="1"/>
      <c r="N1046" s="1"/>
      <c r="O1046" s="1"/>
      <c r="P1046" s="1"/>
      <c r="Q1046" s="1"/>
      <c r="R1046" s="1"/>
      <c r="S1046" s="1"/>
      <c r="T1046" s="1"/>
      <c r="U1046" s="1"/>
      <c r="V1046" s="1"/>
      <c r="W1046" s="1"/>
      <c r="X1046" s="1"/>
    </row>
    <row x14ac:dyDescent="0.25" r="1047" customHeight="1" ht="18.75">
      <c r="A1047" s="1"/>
      <c r="B1047" s="1"/>
      <c r="C1047" s="3" t="s">
        <v>137</v>
      </c>
      <c r="D1047" s="3" t="s">
        <v>1095</v>
      </c>
      <c r="E1047" s="1"/>
      <c r="F1047" s="1"/>
      <c r="G1047" s="1"/>
      <c r="H1047" s="1"/>
      <c r="I1047" s="2"/>
      <c r="J1047" s="1"/>
      <c r="K1047" s="1"/>
      <c r="L1047" s="1"/>
      <c r="M1047" s="1"/>
      <c r="N1047" s="1"/>
      <c r="O1047" s="1"/>
      <c r="P1047" s="1"/>
      <c r="Q1047" s="1"/>
      <c r="R1047" s="1"/>
      <c r="S1047" s="1"/>
      <c r="T1047" s="1"/>
      <c r="U1047" s="1"/>
      <c r="V1047" s="1"/>
      <c r="W1047" s="1"/>
      <c r="X1047" s="1"/>
    </row>
    <row x14ac:dyDescent="0.25" r="1048" customHeight="1" ht="18.75">
      <c r="A1048" s="1"/>
      <c r="B1048" s="1"/>
      <c r="C1048" s="3" t="s">
        <v>137</v>
      </c>
      <c r="D1048" s="3" t="s">
        <v>1096</v>
      </c>
      <c r="E1048" s="1"/>
      <c r="F1048" s="1"/>
      <c r="G1048" s="1"/>
      <c r="H1048" s="1"/>
      <c r="I1048" s="2"/>
      <c r="J1048" s="1"/>
      <c r="K1048" s="1"/>
      <c r="L1048" s="1"/>
      <c r="M1048" s="1"/>
      <c r="N1048" s="1"/>
      <c r="O1048" s="1"/>
      <c r="P1048" s="1"/>
      <c r="Q1048" s="1"/>
      <c r="R1048" s="1"/>
      <c r="S1048" s="1"/>
      <c r="T1048" s="1"/>
      <c r="U1048" s="1"/>
      <c r="V1048" s="1"/>
      <c r="W1048" s="1"/>
      <c r="X1048" s="1"/>
    </row>
    <row x14ac:dyDescent="0.25" r="1049" customHeight="1" ht="18.75">
      <c r="A1049" s="1"/>
      <c r="B1049" s="1"/>
      <c r="C1049" s="3" t="s">
        <v>137</v>
      </c>
      <c r="D1049" s="3" t="s">
        <v>1097</v>
      </c>
      <c r="E1049" s="1"/>
      <c r="F1049" s="1"/>
      <c r="G1049" s="1"/>
      <c r="H1049" s="1"/>
      <c r="I1049" s="2"/>
      <c r="J1049" s="1"/>
      <c r="K1049" s="1"/>
      <c r="L1049" s="1"/>
      <c r="M1049" s="1"/>
      <c r="N1049" s="1"/>
      <c r="O1049" s="1"/>
      <c r="P1049" s="1"/>
      <c r="Q1049" s="1"/>
      <c r="R1049" s="1"/>
      <c r="S1049" s="1"/>
      <c r="T1049" s="1"/>
      <c r="U1049" s="1"/>
      <c r="V1049" s="1"/>
      <c r="W1049" s="1"/>
      <c r="X1049" s="1"/>
    </row>
    <row x14ac:dyDescent="0.25" r="1050" customHeight="1" ht="18.75">
      <c r="A1050" s="1"/>
      <c r="B1050" s="1"/>
      <c r="C1050" s="3" t="s">
        <v>137</v>
      </c>
      <c r="D1050" s="3" t="s">
        <v>1098</v>
      </c>
      <c r="E1050" s="1"/>
      <c r="F1050" s="1"/>
      <c r="G1050" s="1"/>
      <c r="H1050" s="1"/>
      <c r="I1050" s="2"/>
      <c r="J1050" s="1"/>
      <c r="K1050" s="1"/>
      <c r="L1050" s="1"/>
      <c r="M1050" s="1"/>
      <c r="N1050" s="1"/>
      <c r="O1050" s="1"/>
      <c r="P1050" s="1"/>
      <c r="Q1050" s="1"/>
      <c r="R1050" s="1"/>
      <c r="S1050" s="1"/>
      <c r="T1050" s="1"/>
      <c r="U1050" s="1"/>
      <c r="V1050" s="1"/>
      <c r="W1050" s="1"/>
      <c r="X1050" s="1"/>
    </row>
    <row x14ac:dyDescent="0.25" r="1051" customHeight="1" ht="18.75">
      <c r="A1051" s="1"/>
      <c r="B1051" s="1"/>
      <c r="C1051" s="3" t="s">
        <v>137</v>
      </c>
      <c r="D1051" s="3" t="s">
        <v>1099</v>
      </c>
      <c r="E1051" s="1"/>
      <c r="F1051" s="1"/>
      <c r="G1051" s="1"/>
      <c r="H1051" s="1"/>
      <c r="I1051" s="2"/>
      <c r="J1051" s="1"/>
      <c r="K1051" s="1"/>
      <c r="L1051" s="1"/>
      <c r="M1051" s="1"/>
      <c r="N1051" s="1"/>
      <c r="O1051" s="1"/>
      <c r="P1051" s="1"/>
      <c r="Q1051" s="1"/>
      <c r="R1051" s="1"/>
      <c r="S1051" s="1"/>
      <c r="T1051" s="1"/>
      <c r="U1051" s="1"/>
      <c r="V1051" s="1"/>
      <c r="W1051" s="1"/>
      <c r="X1051" s="1"/>
    </row>
    <row x14ac:dyDescent="0.25" r="1052" customHeight="1" ht="18.75">
      <c r="A1052" s="1"/>
      <c r="B1052" s="1"/>
      <c r="C1052" s="3" t="s">
        <v>137</v>
      </c>
      <c r="D1052" s="3" t="s">
        <v>1100</v>
      </c>
      <c r="E1052" s="1"/>
      <c r="F1052" s="1"/>
      <c r="G1052" s="1"/>
      <c r="H1052" s="1"/>
      <c r="I1052" s="2"/>
      <c r="J1052" s="1"/>
      <c r="K1052" s="1"/>
      <c r="L1052" s="1"/>
      <c r="M1052" s="1"/>
      <c r="N1052" s="1"/>
      <c r="O1052" s="1"/>
      <c r="P1052" s="1"/>
      <c r="Q1052" s="1"/>
      <c r="R1052" s="1"/>
      <c r="S1052" s="1"/>
      <c r="T1052" s="1"/>
      <c r="U1052" s="1"/>
      <c r="V1052" s="1"/>
      <c r="W1052" s="1"/>
      <c r="X1052" s="1"/>
    </row>
    <row x14ac:dyDescent="0.25" r="1053" customHeight="1" ht="18.75">
      <c r="A1053" s="1"/>
      <c r="B1053" s="1"/>
      <c r="C1053" s="3" t="s">
        <v>137</v>
      </c>
      <c r="D1053" s="3" t="s">
        <v>1101</v>
      </c>
      <c r="E1053" s="1"/>
      <c r="F1053" s="1"/>
      <c r="G1053" s="1"/>
      <c r="H1053" s="1"/>
      <c r="I1053" s="2"/>
      <c r="J1053" s="1"/>
      <c r="K1053" s="1"/>
      <c r="L1053" s="1"/>
      <c r="M1053" s="1"/>
      <c r="N1053" s="1"/>
      <c r="O1053" s="1"/>
      <c r="P1053" s="1"/>
      <c r="Q1053" s="1"/>
      <c r="R1053" s="1"/>
      <c r="S1053" s="1"/>
      <c r="T1053" s="1"/>
      <c r="U1053" s="1"/>
      <c r="V1053" s="1"/>
      <c r="W1053" s="1"/>
      <c r="X1053" s="1"/>
    </row>
    <row x14ac:dyDescent="0.25" r="1054" customHeight="1" ht="18.75">
      <c r="A1054" s="1"/>
      <c r="B1054" s="1"/>
      <c r="C1054" s="3" t="s">
        <v>147</v>
      </c>
      <c r="D1054" s="3" t="s">
        <v>1102</v>
      </c>
      <c r="E1054" s="1"/>
      <c r="F1054" s="1"/>
      <c r="G1054" s="1"/>
      <c r="H1054" s="1"/>
      <c r="I1054" s="2"/>
      <c r="J1054" s="1"/>
      <c r="K1054" s="1"/>
      <c r="L1054" s="1"/>
      <c r="M1054" s="1"/>
      <c r="N1054" s="1"/>
      <c r="O1054" s="1"/>
      <c r="P1054" s="1"/>
      <c r="Q1054" s="1"/>
      <c r="R1054" s="1"/>
      <c r="S1054" s="1"/>
      <c r="T1054" s="1"/>
      <c r="U1054" s="1"/>
      <c r="V1054" s="1"/>
      <c r="W1054" s="1"/>
      <c r="X1054" s="1"/>
    </row>
    <row x14ac:dyDescent="0.25" r="1055" customHeight="1" ht="18.75">
      <c r="A1055" s="1"/>
      <c r="B1055" s="1"/>
      <c r="C1055" s="3" t="s">
        <v>147</v>
      </c>
      <c r="D1055" s="3" t="s">
        <v>1103</v>
      </c>
      <c r="E1055" s="1"/>
      <c r="F1055" s="1"/>
      <c r="G1055" s="1"/>
      <c r="H1055" s="1"/>
      <c r="I1055" s="2"/>
      <c r="J1055" s="1"/>
      <c r="K1055" s="1"/>
      <c r="L1055" s="1"/>
      <c r="M1055" s="1"/>
      <c r="N1055" s="1"/>
      <c r="O1055" s="1"/>
      <c r="P1055" s="1"/>
      <c r="Q1055" s="1"/>
      <c r="R1055" s="1"/>
      <c r="S1055" s="1"/>
      <c r="T1055" s="1"/>
      <c r="U1055" s="1"/>
      <c r="V1055" s="1"/>
      <c r="W1055" s="1"/>
      <c r="X1055" s="1"/>
    </row>
    <row x14ac:dyDescent="0.25" r="1056" customHeight="1" ht="18.75">
      <c r="A1056" s="1"/>
      <c r="B1056" s="1"/>
      <c r="C1056" s="3" t="s">
        <v>147</v>
      </c>
      <c r="D1056" s="3" t="s">
        <v>1104</v>
      </c>
      <c r="E1056" s="1"/>
      <c r="F1056" s="1"/>
      <c r="G1056" s="1"/>
      <c r="H1056" s="1"/>
      <c r="I1056" s="2"/>
      <c r="J1056" s="1"/>
      <c r="K1056" s="1"/>
      <c r="L1056" s="1"/>
      <c r="M1056" s="1"/>
      <c r="N1056" s="1"/>
      <c r="O1056" s="1"/>
      <c r="P1056" s="1"/>
      <c r="Q1056" s="1"/>
      <c r="R1056" s="1"/>
      <c r="S1056" s="1"/>
      <c r="T1056" s="1"/>
      <c r="U1056" s="1"/>
      <c r="V1056" s="1"/>
      <c r="W1056" s="1"/>
      <c r="X1056" s="1"/>
    </row>
    <row x14ac:dyDescent="0.25" r="1057" customHeight="1" ht="18.75">
      <c r="A1057" s="1"/>
      <c r="B1057" s="1"/>
      <c r="C1057" s="3" t="s">
        <v>639</v>
      </c>
      <c r="D1057" s="3" t="s">
        <v>1105</v>
      </c>
      <c r="E1057" s="1"/>
      <c r="F1057" s="1"/>
      <c r="G1057" s="1"/>
      <c r="H1057" s="1"/>
      <c r="I1057" s="2"/>
      <c r="J1057" s="1"/>
      <c r="K1057" s="1"/>
      <c r="L1057" s="1"/>
      <c r="M1057" s="1"/>
      <c r="N1057" s="1"/>
      <c r="O1057" s="1"/>
      <c r="P1057" s="1"/>
      <c r="Q1057" s="1"/>
      <c r="R1057" s="1"/>
      <c r="S1057" s="1"/>
      <c r="T1057" s="1"/>
      <c r="U1057" s="1"/>
      <c r="V1057" s="1"/>
      <c r="W1057" s="1"/>
      <c r="X1057" s="1"/>
    </row>
    <row x14ac:dyDescent="0.25" r="1058" customHeight="1" ht="18.75">
      <c r="A1058" s="1"/>
      <c r="B1058" s="1"/>
      <c r="C1058" s="3" t="s">
        <v>147</v>
      </c>
      <c r="D1058" s="3" t="s">
        <v>1106</v>
      </c>
      <c r="E1058" s="1"/>
      <c r="F1058" s="1"/>
      <c r="G1058" s="1"/>
      <c r="H1058" s="1"/>
      <c r="I1058" s="2"/>
      <c r="J1058" s="1"/>
      <c r="K1058" s="1"/>
      <c r="L1058" s="1"/>
      <c r="M1058" s="1"/>
      <c r="N1058" s="1"/>
      <c r="O1058" s="1"/>
      <c r="P1058" s="1"/>
      <c r="Q1058" s="1"/>
      <c r="R1058" s="1"/>
      <c r="S1058" s="1"/>
      <c r="T1058" s="1"/>
      <c r="U1058" s="1"/>
      <c r="V1058" s="1"/>
      <c r="W1058" s="1"/>
      <c r="X1058" s="1"/>
    </row>
    <row x14ac:dyDescent="0.25" r="1059" customHeight="1" ht="18.75">
      <c r="A1059" s="1"/>
      <c r="B1059" s="1"/>
      <c r="C1059" s="3" t="s">
        <v>147</v>
      </c>
      <c r="D1059" s="3" t="s">
        <v>1107</v>
      </c>
      <c r="E1059" s="1"/>
      <c r="F1059" s="1"/>
      <c r="G1059" s="1"/>
      <c r="H1059" s="1"/>
      <c r="I1059" s="2"/>
      <c r="J1059" s="1"/>
      <c r="K1059" s="1"/>
      <c r="L1059" s="1"/>
      <c r="M1059" s="1"/>
      <c r="N1059" s="1"/>
      <c r="O1059" s="1"/>
      <c r="P1059" s="1"/>
      <c r="Q1059" s="1"/>
      <c r="R1059" s="1"/>
      <c r="S1059" s="1"/>
      <c r="T1059" s="1"/>
      <c r="U1059" s="1"/>
      <c r="V1059" s="1"/>
      <c r="W1059" s="1"/>
      <c r="X1059" s="1"/>
    </row>
    <row x14ac:dyDescent="0.25" r="1060" customHeight="1" ht="18.75">
      <c r="A1060" s="1"/>
      <c r="B1060" s="1"/>
      <c r="C1060" s="3" t="s">
        <v>147</v>
      </c>
      <c r="D1060" s="3" t="s">
        <v>1108</v>
      </c>
      <c r="E1060" s="1"/>
      <c r="F1060" s="1"/>
      <c r="G1060" s="1"/>
      <c r="H1060" s="1"/>
      <c r="I1060" s="2"/>
      <c r="J1060" s="1"/>
      <c r="K1060" s="1"/>
      <c r="L1060" s="1"/>
      <c r="M1060" s="1"/>
      <c r="N1060" s="1"/>
      <c r="O1060" s="1"/>
      <c r="P1060" s="1"/>
      <c r="Q1060" s="1"/>
      <c r="R1060" s="1"/>
      <c r="S1060" s="1"/>
      <c r="T1060" s="1"/>
      <c r="U1060" s="1"/>
      <c r="V1060" s="1"/>
      <c r="W1060" s="1"/>
      <c r="X1060" s="1"/>
    </row>
    <row x14ac:dyDescent="0.25" r="1061" customHeight="1" ht="18.75">
      <c r="A1061" s="1"/>
      <c r="B1061" s="1"/>
      <c r="C1061" s="3" t="s">
        <v>147</v>
      </c>
      <c r="D1061" s="3" t="s">
        <v>1109</v>
      </c>
      <c r="E1061" s="1"/>
      <c r="F1061" s="1"/>
      <c r="G1061" s="1"/>
      <c r="H1061" s="1"/>
      <c r="I1061" s="2"/>
      <c r="J1061" s="1"/>
      <c r="K1061" s="1"/>
      <c r="L1061" s="1"/>
      <c r="M1061" s="1"/>
      <c r="N1061" s="1"/>
      <c r="O1061" s="1"/>
      <c r="P1061" s="1"/>
      <c r="Q1061" s="1"/>
      <c r="R1061" s="1"/>
      <c r="S1061" s="1"/>
      <c r="T1061" s="1"/>
      <c r="U1061" s="1"/>
      <c r="V1061" s="1"/>
      <c r="W1061" s="1"/>
      <c r="X1061" s="1"/>
    </row>
    <row x14ac:dyDescent="0.25" r="1062" customHeight="1" ht="18.75">
      <c r="A1062" s="1"/>
      <c r="B1062" s="1"/>
      <c r="C1062" s="3" t="s">
        <v>147</v>
      </c>
      <c r="D1062" s="3" t="s">
        <v>1110</v>
      </c>
      <c r="E1062" s="1"/>
      <c r="F1062" s="1"/>
      <c r="G1062" s="1"/>
      <c r="H1062" s="1"/>
      <c r="I1062" s="2"/>
      <c r="J1062" s="1"/>
      <c r="K1062" s="1"/>
      <c r="L1062" s="1"/>
      <c r="M1062" s="1"/>
      <c r="N1062" s="1"/>
      <c r="O1062" s="1"/>
      <c r="P1062" s="1"/>
      <c r="Q1062" s="1"/>
      <c r="R1062" s="1"/>
      <c r="S1062" s="1"/>
      <c r="T1062" s="1"/>
      <c r="U1062" s="1"/>
      <c r="V1062" s="1"/>
      <c r="W1062" s="1"/>
      <c r="X1062" s="1"/>
    </row>
    <row x14ac:dyDescent="0.25" r="1063" customHeight="1" ht="18.75">
      <c r="A1063" s="1"/>
      <c r="B1063" s="1"/>
      <c r="C1063" s="3" t="s">
        <v>147</v>
      </c>
      <c r="D1063" s="3" t="s">
        <v>1111</v>
      </c>
      <c r="E1063" s="1"/>
      <c r="F1063" s="1"/>
      <c r="G1063" s="1"/>
      <c r="H1063" s="1"/>
      <c r="I1063" s="2"/>
      <c r="J1063" s="1"/>
      <c r="K1063" s="1"/>
      <c r="L1063" s="1"/>
      <c r="M1063" s="1"/>
      <c r="N1063" s="1"/>
      <c r="O1063" s="1"/>
      <c r="P1063" s="1"/>
      <c r="Q1063" s="1"/>
      <c r="R1063" s="1"/>
      <c r="S1063" s="1"/>
      <c r="T1063" s="1"/>
      <c r="U1063" s="1"/>
      <c r="V1063" s="1"/>
      <c r="W1063" s="1"/>
      <c r="X1063" s="1"/>
    </row>
    <row x14ac:dyDescent="0.25" r="1064" customHeight="1" ht="18.75">
      <c r="A1064" s="1"/>
      <c r="B1064" s="1"/>
      <c r="C1064" s="3" t="s">
        <v>147</v>
      </c>
      <c r="D1064" s="3" t="s">
        <v>1112</v>
      </c>
      <c r="E1064" s="1"/>
      <c r="F1064" s="1"/>
      <c r="G1064" s="1"/>
      <c r="H1064" s="1"/>
      <c r="I1064" s="2"/>
      <c r="J1064" s="1"/>
      <c r="K1064" s="1"/>
      <c r="L1064" s="1"/>
      <c r="M1064" s="1"/>
      <c r="N1064" s="1"/>
      <c r="O1064" s="1"/>
      <c r="P1064" s="1"/>
      <c r="Q1064" s="1"/>
      <c r="R1064" s="1"/>
      <c r="S1064" s="1"/>
      <c r="T1064" s="1"/>
      <c r="U1064" s="1"/>
      <c r="V1064" s="1"/>
      <c r="W1064" s="1"/>
      <c r="X1064" s="1"/>
    </row>
    <row x14ac:dyDescent="0.25" r="1065" customHeight="1" ht="18.75">
      <c r="A1065" s="1"/>
      <c r="B1065" s="1"/>
      <c r="C1065" s="3" t="s">
        <v>147</v>
      </c>
      <c r="D1065" s="3" t="s">
        <v>1113</v>
      </c>
      <c r="E1065" s="1"/>
      <c r="F1065" s="1"/>
      <c r="G1065" s="1"/>
      <c r="H1065" s="1"/>
      <c r="I1065" s="2"/>
      <c r="J1065" s="1"/>
      <c r="K1065" s="1"/>
      <c r="L1065" s="1"/>
      <c r="M1065" s="1"/>
      <c r="N1065" s="1"/>
      <c r="O1065" s="1"/>
      <c r="P1065" s="1"/>
      <c r="Q1065" s="1"/>
      <c r="R1065" s="1"/>
      <c r="S1065" s="1"/>
      <c r="T1065" s="1"/>
      <c r="U1065" s="1"/>
      <c r="V1065" s="1"/>
      <c r="W1065" s="1"/>
      <c r="X1065" s="1"/>
    </row>
    <row x14ac:dyDescent="0.25" r="1066" customHeight="1" ht="18.75">
      <c r="A1066" s="1"/>
      <c r="B1066" s="1"/>
      <c r="C1066" s="3" t="s">
        <v>300</v>
      </c>
      <c r="D1066" s="3" t="s">
        <v>1113</v>
      </c>
      <c r="E1066" s="1"/>
      <c r="F1066" s="1"/>
      <c r="G1066" s="1"/>
      <c r="H1066" s="1"/>
      <c r="I1066" s="2"/>
      <c r="J1066" s="1"/>
      <c r="K1066" s="1"/>
      <c r="L1066" s="1"/>
      <c r="M1066" s="1"/>
      <c r="N1066" s="1"/>
      <c r="O1066" s="1"/>
      <c r="P1066" s="1"/>
      <c r="Q1066" s="1"/>
      <c r="R1066" s="1"/>
      <c r="S1066" s="1"/>
      <c r="T1066" s="1"/>
      <c r="U1066" s="1"/>
      <c r="V1066" s="1"/>
      <c r="W1066" s="1"/>
      <c r="X1066" s="1"/>
    </row>
    <row x14ac:dyDescent="0.25" r="1067" customHeight="1" ht="18.75">
      <c r="A1067" s="1"/>
      <c r="B1067" s="1"/>
      <c r="C1067" s="3" t="s">
        <v>147</v>
      </c>
      <c r="D1067" s="3" t="s">
        <v>1114</v>
      </c>
      <c r="E1067" s="1"/>
      <c r="F1067" s="1"/>
      <c r="G1067" s="1"/>
      <c r="H1067" s="1"/>
      <c r="I1067" s="2"/>
      <c r="J1067" s="1"/>
      <c r="K1067" s="1"/>
      <c r="L1067" s="1"/>
      <c r="M1067" s="1"/>
      <c r="N1067" s="1"/>
      <c r="O1067" s="1"/>
      <c r="P1067" s="1"/>
      <c r="Q1067" s="1"/>
      <c r="R1067" s="1"/>
      <c r="S1067" s="1"/>
      <c r="T1067" s="1"/>
      <c r="U1067" s="1"/>
      <c r="V1067" s="1"/>
      <c r="W1067" s="1"/>
      <c r="X1067" s="1"/>
    </row>
    <row x14ac:dyDescent="0.25" r="1068" customHeight="1" ht="18.75">
      <c r="A1068" s="1"/>
      <c r="B1068" s="1"/>
      <c r="C1068" s="3" t="s">
        <v>300</v>
      </c>
      <c r="D1068" s="3" t="s">
        <v>1115</v>
      </c>
      <c r="E1068" s="1"/>
      <c r="F1068" s="1"/>
      <c r="G1068" s="1"/>
      <c r="H1068" s="1"/>
      <c r="I1068" s="2"/>
      <c r="J1068" s="1"/>
      <c r="K1068" s="1"/>
      <c r="L1068" s="1"/>
      <c r="M1068" s="1"/>
      <c r="N1068" s="1"/>
      <c r="O1068" s="1"/>
      <c r="P1068" s="1"/>
      <c r="Q1068" s="1"/>
      <c r="R1068" s="1"/>
      <c r="S1068" s="1"/>
      <c r="T1068" s="1"/>
      <c r="U1068" s="1"/>
      <c r="V1068" s="1"/>
      <c r="W1068" s="1"/>
      <c r="X1068" s="1"/>
    </row>
    <row x14ac:dyDescent="0.25" r="1069" customHeight="1" ht="18.75">
      <c r="A1069" s="1"/>
      <c r="B1069" s="1"/>
      <c r="C1069" s="3" t="s">
        <v>147</v>
      </c>
      <c r="D1069" s="3" t="s">
        <v>1116</v>
      </c>
      <c r="E1069" s="1"/>
      <c r="F1069" s="1"/>
      <c r="G1069" s="1"/>
      <c r="H1069" s="1"/>
      <c r="I1069" s="2"/>
      <c r="J1069" s="1"/>
      <c r="K1069" s="1"/>
      <c r="L1069" s="1"/>
      <c r="M1069" s="1"/>
      <c r="N1069" s="1"/>
      <c r="O1069" s="1"/>
      <c r="P1069" s="1"/>
      <c r="Q1069" s="1"/>
      <c r="R1069" s="1"/>
      <c r="S1069" s="1"/>
      <c r="T1069" s="1"/>
      <c r="U1069" s="1"/>
      <c r="V1069" s="1"/>
      <c r="W1069" s="1"/>
      <c r="X1069" s="1"/>
    </row>
    <row x14ac:dyDescent="0.25" r="1070" customHeight="1" ht="18.75">
      <c r="A1070" s="1"/>
      <c r="B1070" s="1"/>
      <c r="C1070" s="3" t="s">
        <v>147</v>
      </c>
      <c r="D1070" s="3" t="s">
        <v>1117</v>
      </c>
      <c r="E1070" s="1"/>
      <c r="F1070" s="1"/>
      <c r="G1070" s="1"/>
      <c r="H1070" s="1"/>
      <c r="I1070" s="2"/>
      <c r="J1070" s="1"/>
      <c r="K1070" s="1"/>
      <c r="L1070" s="1"/>
      <c r="M1070" s="1"/>
      <c r="N1070" s="1"/>
      <c r="O1070" s="1"/>
      <c r="P1070" s="1"/>
      <c r="Q1070" s="1"/>
      <c r="R1070" s="1"/>
      <c r="S1070" s="1"/>
      <c r="T1070" s="1"/>
      <c r="U1070" s="1"/>
      <c r="V1070" s="1"/>
      <c r="W1070" s="1"/>
      <c r="X1070" s="1"/>
    </row>
    <row x14ac:dyDescent="0.25" r="1071" customHeight="1" ht="18.75">
      <c r="A1071" s="1"/>
      <c r="B1071" s="1"/>
      <c r="C1071" s="3" t="s">
        <v>147</v>
      </c>
      <c r="D1071" s="3" t="s">
        <v>1115</v>
      </c>
      <c r="E1071" s="1"/>
      <c r="F1071" s="1"/>
      <c r="G1071" s="1"/>
      <c r="H1071" s="1"/>
      <c r="I1071" s="2"/>
      <c r="J1071" s="1"/>
      <c r="K1071" s="1"/>
      <c r="L1071" s="1"/>
      <c r="M1071" s="1"/>
      <c r="N1071" s="1"/>
      <c r="O1071" s="1"/>
      <c r="P1071" s="1"/>
      <c r="Q1071" s="1"/>
      <c r="R1071" s="1"/>
      <c r="S1071" s="1"/>
      <c r="T1071" s="1"/>
      <c r="U1071" s="1"/>
      <c r="V1071" s="1"/>
      <c r="W1071" s="1"/>
      <c r="X1071" s="1"/>
    </row>
    <row x14ac:dyDescent="0.25" r="1072" customHeight="1" ht="18.75">
      <c r="A1072" s="1"/>
      <c r="B1072" s="1"/>
      <c r="C1072" s="3" t="s">
        <v>147</v>
      </c>
      <c r="D1072" s="3" t="s">
        <v>1118</v>
      </c>
      <c r="E1072" s="1"/>
      <c r="F1072" s="1"/>
      <c r="G1072" s="1"/>
      <c r="H1072" s="1"/>
      <c r="I1072" s="2"/>
      <c r="J1072" s="1"/>
      <c r="K1072" s="1"/>
      <c r="L1072" s="1"/>
      <c r="M1072" s="1"/>
      <c r="N1072" s="1"/>
      <c r="O1072" s="1"/>
      <c r="P1072" s="1"/>
      <c r="Q1072" s="1"/>
      <c r="R1072" s="1"/>
      <c r="S1072" s="1"/>
      <c r="T1072" s="1"/>
      <c r="U1072" s="1"/>
      <c r="V1072" s="1"/>
      <c r="W1072" s="1"/>
      <c r="X1072" s="1"/>
    </row>
    <row x14ac:dyDescent="0.25" r="1073" customHeight="1" ht="18.75">
      <c r="A1073" s="1"/>
      <c r="B1073" s="1"/>
      <c r="C1073" s="3" t="s">
        <v>916</v>
      </c>
      <c r="D1073" s="3" t="s">
        <v>1119</v>
      </c>
      <c r="E1073" s="1"/>
      <c r="F1073" s="1"/>
      <c r="G1073" s="1"/>
      <c r="H1073" s="1"/>
      <c r="I1073" s="2"/>
      <c r="J1073" s="1"/>
      <c r="K1073" s="1"/>
      <c r="L1073" s="1"/>
      <c r="M1073" s="1"/>
      <c r="N1073" s="1"/>
      <c r="O1073" s="1"/>
      <c r="P1073" s="1"/>
      <c r="Q1073" s="1"/>
      <c r="R1073" s="1"/>
      <c r="S1073" s="1"/>
      <c r="T1073" s="1"/>
      <c r="U1073" s="1"/>
      <c r="V1073" s="1"/>
      <c r="W1073" s="1"/>
      <c r="X1073" s="1"/>
    </row>
    <row x14ac:dyDescent="0.25" r="1074" customHeight="1" ht="18.75">
      <c r="A1074" s="1"/>
      <c r="B1074" s="1"/>
      <c r="C1074" s="3" t="s">
        <v>916</v>
      </c>
      <c r="D1074" s="3" t="s">
        <v>1120</v>
      </c>
      <c r="E1074" s="1"/>
      <c r="F1074" s="1"/>
      <c r="G1074" s="1"/>
      <c r="H1074" s="1"/>
      <c r="I1074" s="2"/>
      <c r="J1074" s="1"/>
      <c r="K1074" s="1"/>
      <c r="L1074" s="1"/>
      <c r="M1074" s="1"/>
      <c r="N1074" s="1"/>
      <c r="O1074" s="1"/>
      <c r="P1074" s="1"/>
      <c r="Q1074" s="1"/>
      <c r="R1074" s="1"/>
      <c r="S1074" s="1"/>
      <c r="T1074" s="1"/>
      <c r="U1074" s="1"/>
      <c r="V1074" s="1"/>
      <c r="W1074" s="1"/>
      <c r="X1074" s="1"/>
    </row>
    <row x14ac:dyDescent="0.25" r="1075" customHeight="1" ht="18.75">
      <c r="A1075" s="1"/>
      <c r="B1075" s="1"/>
      <c r="C1075" s="3" t="s">
        <v>121</v>
      </c>
      <c r="D1075" s="3" t="s">
        <v>1120</v>
      </c>
      <c r="E1075" s="1"/>
      <c r="F1075" s="1"/>
      <c r="G1075" s="1"/>
      <c r="H1075" s="1"/>
      <c r="I1075" s="2"/>
      <c r="J1075" s="1"/>
      <c r="K1075" s="1"/>
      <c r="L1075" s="1"/>
      <c r="M1075" s="1"/>
      <c r="N1075" s="1"/>
      <c r="O1075" s="1"/>
      <c r="P1075" s="1"/>
      <c r="Q1075" s="1"/>
      <c r="R1075" s="1"/>
      <c r="S1075" s="1"/>
      <c r="T1075" s="1"/>
      <c r="U1075" s="1"/>
      <c r="V1075" s="1"/>
      <c r="W1075" s="1"/>
      <c r="X1075" s="1"/>
    </row>
    <row x14ac:dyDescent="0.25" r="1076" customHeight="1" ht="18.75">
      <c r="A1076" s="1"/>
      <c r="B1076" s="1"/>
      <c r="C1076" s="3" t="s">
        <v>121</v>
      </c>
      <c r="D1076" s="3" t="s">
        <v>920</v>
      </c>
      <c r="E1076" s="1"/>
      <c r="F1076" s="1"/>
      <c r="G1076" s="1"/>
      <c r="H1076" s="1"/>
      <c r="I1076" s="2"/>
      <c r="J1076" s="1"/>
      <c r="K1076" s="1"/>
      <c r="L1076" s="1"/>
      <c r="M1076" s="1"/>
      <c r="N1076" s="1"/>
      <c r="O1076" s="1"/>
      <c r="P1076" s="1"/>
      <c r="Q1076" s="1"/>
      <c r="R1076" s="1"/>
      <c r="S1076" s="1"/>
      <c r="T1076" s="1"/>
      <c r="U1076" s="1"/>
      <c r="V1076" s="1"/>
      <c r="W1076" s="1"/>
      <c r="X1076" s="1"/>
    </row>
    <row x14ac:dyDescent="0.25" r="1077" customHeight="1" ht="18.75">
      <c r="A1077" s="1"/>
      <c r="B1077" s="1"/>
      <c r="C1077" s="3" t="s">
        <v>1121</v>
      </c>
      <c r="D1077" s="3" t="s">
        <v>1122</v>
      </c>
      <c r="E1077" s="1"/>
      <c r="F1077" s="1"/>
      <c r="G1077" s="1"/>
      <c r="H1077" s="1"/>
      <c r="I1077" s="2"/>
      <c r="J1077" s="1"/>
      <c r="K1077" s="1"/>
      <c r="L1077" s="1"/>
      <c r="M1077" s="1"/>
      <c r="N1077" s="1"/>
      <c r="O1077" s="1"/>
      <c r="P1077" s="1"/>
      <c r="Q1077" s="1"/>
      <c r="R1077" s="1"/>
      <c r="S1077" s="1"/>
      <c r="T1077" s="1"/>
      <c r="U1077" s="1"/>
      <c r="V1077" s="1"/>
      <c r="W1077" s="1"/>
      <c r="X1077" s="1"/>
    </row>
    <row x14ac:dyDescent="0.25" r="1078" customHeight="1" ht="18.75">
      <c r="A1078" s="1"/>
      <c r="B1078" s="1"/>
      <c r="C1078" s="3" t="s">
        <v>916</v>
      </c>
      <c r="D1078" s="3" t="s">
        <v>1123</v>
      </c>
      <c r="E1078" s="1"/>
      <c r="F1078" s="1"/>
      <c r="G1078" s="1"/>
      <c r="H1078" s="1"/>
      <c r="I1078" s="2"/>
      <c r="J1078" s="1"/>
      <c r="K1078" s="1"/>
      <c r="L1078" s="1"/>
      <c r="M1078" s="1"/>
      <c r="N1078" s="1"/>
      <c r="O1078" s="1"/>
      <c r="P1078" s="1"/>
      <c r="Q1078" s="1"/>
      <c r="R1078" s="1"/>
      <c r="S1078" s="1"/>
      <c r="T1078" s="1"/>
      <c r="U1078" s="1"/>
      <c r="V1078" s="1"/>
      <c r="W1078" s="1"/>
      <c r="X1078" s="1"/>
    </row>
    <row x14ac:dyDescent="0.25" r="1079" customHeight="1" ht="18.75">
      <c r="A1079" s="1"/>
      <c r="B1079" s="1"/>
      <c r="C1079" s="3" t="s">
        <v>94</v>
      </c>
      <c r="D1079" s="3" t="s">
        <v>1124</v>
      </c>
      <c r="E1079" s="1"/>
      <c r="F1079" s="1"/>
      <c r="G1079" s="1"/>
      <c r="H1079" s="1"/>
      <c r="I1079" s="2"/>
      <c r="J1079" s="1"/>
      <c r="K1079" s="1"/>
      <c r="L1079" s="1"/>
      <c r="M1079" s="1"/>
      <c r="N1079" s="1"/>
      <c r="O1079" s="1"/>
      <c r="P1079" s="1"/>
      <c r="Q1079" s="1"/>
      <c r="R1079" s="1"/>
      <c r="S1079" s="1"/>
      <c r="T1079" s="1"/>
      <c r="U1079" s="1"/>
      <c r="V1079" s="1"/>
      <c r="W1079" s="1"/>
      <c r="X1079" s="1"/>
    </row>
    <row x14ac:dyDescent="0.25" r="1080" customHeight="1" ht="18.75">
      <c r="A1080" s="1"/>
      <c r="B1080" s="1"/>
      <c r="C1080" s="3" t="s">
        <v>94</v>
      </c>
      <c r="D1080" s="3" t="s">
        <v>1125</v>
      </c>
      <c r="E1080" s="1"/>
      <c r="F1080" s="1"/>
      <c r="G1080" s="1"/>
      <c r="H1080" s="1"/>
      <c r="I1080" s="2"/>
      <c r="J1080" s="1"/>
      <c r="K1080" s="1"/>
      <c r="L1080" s="1"/>
      <c r="M1080" s="1"/>
      <c r="N1080" s="1"/>
      <c r="O1080" s="1"/>
      <c r="P1080" s="1"/>
      <c r="Q1080" s="1"/>
      <c r="R1080" s="1"/>
      <c r="S1080" s="1"/>
      <c r="T1080" s="1"/>
      <c r="U1080" s="1"/>
      <c r="V1080" s="1"/>
      <c r="W1080" s="1"/>
      <c r="X1080" s="1"/>
    </row>
    <row x14ac:dyDescent="0.25" r="1081" customHeight="1" ht="18.75">
      <c r="A1081" s="1"/>
      <c r="B1081" s="1"/>
      <c r="C1081" s="3" t="s">
        <v>94</v>
      </c>
      <c r="D1081" s="3" t="s">
        <v>1126</v>
      </c>
      <c r="E1081" s="1"/>
      <c r="F1081" s="1"/>
      <c r="G1081" s="1"/>
      <c r="H1081" s="1"/>
      <c r="I1081" s="2"/>
      <c r="J1081" s="1"/>
      <c r="K1081" s="1"/>
      <c r="L1081" s="1"/>
      <c r="M1081" s="1"/>
      <c r="N1081" s="1"/>
      <c r="O1081" s="1"/>
      <c r="P1081" s="1"/>
      <c r="Q1081" s="1"/>
      <c r="R1081" s="1"/>
      <c r="S1081" s="1"/>
      <c r="T1081" s="1"/>
      <c r="U1081" s="1"/>
      <c r="V1081" s="1"/>
      <c r="W1081" s="1"/>
      <c r="X1081" s="1"/>
    </row>
    <row x14ac:dyDescent="0.25" r="1082" customHeight="1" ht="18.75">
      <c r="A1082" s="1"/>
      <c r="B1082" s="1"/>
      <c r="C1082" s="3" t="s">
        <v>94</v>
      </c>
      <c r="D1082" s="3" t="s">
        <v>1127</v>
      </c>
      <c r="E1082" s="1"/>
      <c r="F1082" s="1"/>
      <c r="G1082" s="1"/>
      <c r="H1082" s="1"/>
      <c r="I1082" s="2"/>
      <c r="J1082" s="1"/>
      <c r="K1082" s="1"/>
      <c r="L1082" s="1"/>
      <c r="M1082" s="1"/>
      <c r="N1082" s="1"/>
      <c r="O1082" s="1"/>
      <c r="P1082" s="1"/>
      <c r="Q1082" s="1"/>
      <c r="R1082" s="1"/>
      <c r="S1082" s="1"/>
      <c r="T1082" s="1"/>
      <c r="U1082" s="1"/>
      <c r="V1082" s="1"/>
      <c r="W1082" s="1"/>
      <c r="X1082" s="1"/>
    </row>
    <row x14ac:dyDescent="0.25" r="1083" customHeight="1" ht="18.75">
      <c r="A1083" s="1"/>
      <c r="B1083" s="1"/>
      <c r="C1083" s="3" t="s">
        <v>300</v>
      </c>
      <c r="D1083" s="3" t="s">
        <v>1128</v>
      </c>
      <c r="E1083" s="1"/>
      <c r="F1083" s="1"/>
      <c r="G1083" s="1"/>
      <c r="H1083" s="1"/>
      <c r="I1083" s="2"/>
      <c r="J1083" s="1"/>
      <c r="K1083" s="1"/>
      <c r="L1083" s="1"/>
      <c r="M1083" s="1"/>
      <c r="N1083" s="1"/>
      <c r="O1083" s="1"/>
      <c r="P1083" s="1"/>
      <c r="Q1083" s="1"/>
      <c r="R1083" s="1"/>
      <c r="S1083" s="1"/>
      <c r="T1083" s="1"/>
      <c r="U1083" s="1"/>
      <c r="V1083" s="1"/>
      <c r="W1083" s="1"/>
      <c r="X1083" s="1"/>
    </row>
    <row x14ac:dyDescent="0.25" r="1084" customHeight="1" ht="18.75">
      <c r="A1084" s="1"/>
      <c r="B1084" s="1"/>
      <c r="C1084" s="3" t="s">
        <v>300</v>
      </c>
      <c r="D1084" s="3" t="s">
        <v>1129</v>
      </c>
      <c r="E1084" s="1"/>
      <c r="F1084" s="1"/>
      <c r="G1084" s="1"/>
      <c r="H1084" s="1"/>
      <c r="I1084" s="2"/>
      <c r="J1084" s="1"/>
      <c r="K1084" s="1"/>
      <c r="L1084" s="1"/>
      <c r="M1084" s="1"/>
      <c r="N1084" s="1"/>
      <c r="O1084" s="1"/>
      <c r="P1084" s="1"/>
      <c r="Q1084" s="1"/>
      <c r="R1084" s="1"/>
      <c r="S1084" s="1"/>
      <c r="T1084" s="1"/>
      <c r="U1084" s="1"/>
      <c r="V1084" s="1"/>
      <c r="W1084" s="1"/>
      <c r="X1084" s="1"/>
    </row>
    <row x14ac:dyDescent="0.25" r="1085" customHeight="1" ht="18.75">
      <c r="A1085" s="1"/>
      <c r="B1085" s="1"/>
      <c r="C1085" s="3" t="s">
        <v>300</v>
      </c>
      <c r="D1085" s="3" t="s">
        <v>1130</v>
      </c>
      <c r="E1085" s="1"/>
      <c r="F1085" s="1"/>
      <c r="G1085" s="1"/>
      <c r="H1085" s="1"/>
      <c r="I1085" s="2"/>
      <c r="J1085" s="1"/>
      <c r="K1085" s="1"/>
      <c r="L1085" s="1"/>
      <c r="M1085" s="1"/>
      <c r="N1085" s="1"/>
      <c r="O1085" s="1"/>
      <c r="P1085" s="1"/>
      <c r="Q1085" s="1"/>
      <c r="R1085" s="1"/>
      <c r="S1085" s="1"/>
      <c r="T1085" s="1"/>
      <c r="U1085" s="1"/>
      <c r="V1085" s="1"/>
      <c r="W1085" s="1"/>
      <c r="X1085" s="1"/>
    </row>
    <row x14ac:dyDescent="0.25" r="1086" customHeight="1" ht="18.75">
      <c r="A1086" s="1"/>
      <c r="B1086" s="1"/>
      <c r="C1086" s="3" t="s">
        <v>300</v>
      </c>
      <c r="D1086" s="3" t="s">
        <v>1131</v>
      </c>
      <c r="E1086" s="1"/>
      <c r="F1086" s="1"/>
      <c r="G1086" s="1"/>
      <c r="H1086" s="1"/>
      <c r="I1086" s="2"/>
      <c r="J1086" s="1"/>
      <c r="K1086" s="1"/>
      <c r="L1086" s="1"/>
      <c r="M1086" s="1"/>
      <c r="N1086" s="1"/>
      <c r="O1086" s="1"/>
      <c r="P1086" s="1"/>
      <c r="Q1086" s="1"/>
      <c r="R1086" s="1"/>
      <c r="S1086" s="1"/>
      <c r="T1086" s="1"/>
      <c r="U1086" s="1"/>
      <c r="V1086" s="1"/>
      <c r="W1086" s="1"/>
      <c r="X1086" s="1"/>
    </row>
    <row x14ac:dyDescent="0.25" r="1087" customHeight="1" ht="18.75">
      <c r="A1087" s="1"/>
      <c r="B1087" s="1"/>
      <c r="C1087" s="3" t="s">
        <v>300</v>
      </c>
      <c r="D1087" s="3" t="s">
        <v>1132</v>
      </c>
      <c r="E1087" s="1"/>
      <c r="F1087" s="1"/>
      <c r="G1087" s="1"/>
      <c r="H1087" s="1"/>
      <c r="I1087" s="2"/>
      <c r="J1087" s="1"/>
      <c r="K1087" s="1"/>
      <c r="L1087" s="1"/>
      <c r="M1087" s="1"/>
      <c r="N1087" s="1"/>
      <c r="O1087" s="1"/>
      <c r="P1087" s="1"/>
      <c r="Q1087" s="1"/>
      <c r="R1087" s="1"/>
      <c r="S1087" s="1"/>
      <c r="T1087" s="1"/>
      <c r="U1087" s="1"/>
      <c r="V1087" s="1"/>
      <c r="W1087" s="1"/>
      <c r="X1087" s="1"/>
    </row>
    <row x14ac:dyDescent="0.25" r="1088" customHeight="1" ht="18.75">
      <c r="A1088" s="1"/>
      <c r="B1088" s="1"/>
      <c r="C1088" s="3" t="s">
        <v>639</v>
      </c>
      <c r="D1088" s="3" t="s">
        <v>1133</v>
      </c>
      <c r="E1088" s="1"/>
      <c r="F1088" s="1"/>
      <c r="G1088" s="1"/>
      <c r="H1088" s="1"/>
      <c r="I1088" s="2"/>
      <c r="J1088" s="1"/>
      <c r="K1088" s="1"/>
      <c r="L1088" s="1"/>
      <c r="M1088" s="1"/>
      <c r="N1088" s="1"/>
      <c r="O1088" s="1"/>
      <c r="P1088" s="1"/>
      <c r="Q1088" s="1"/>
      <c r="R1088" s="1"/>
      <c r="S1088" s="1"/>
      <c r="T1088" s="1"/>
      <c r="U1088" s="1"/>
      <c r="V1088" s="1"/>
      <c r="W1088" s="1"/>
      <c r="X1088" s="1"/>
    </row>
    <row x14ac:dyDescent="0.25" r="1089" customHeight="1" ht="18.75">
      <c r="A1089" s="1"/>
      <c r="B1089" s="1"/>
      <c r="C1089" s="3" t="s">
        <v>639</v>
      </c>
      <c r="D1089" s="3" t="s">
        <v>1134</v>
      </c>
      <c r="E1089" s="1"/>
      <c r="F1089" s="1"/>
      <c r="G1089" s="1"/>
      <c r="H1089" s="1"/>
      <c r="I1089" s="2"/>
      <c r="J1089" s="1"/>
      <c r="K1089" s="1"/>
      <c r="L1089" s="1"/>
      <c r="M1089" s="1"/>
      <c r="N1089" s="1"/>
      <c r="O1089" s="1"/>
      <c r="P1089" s="1"/>
      <c r="Q1089" s="1"/>
      <c r="R1089" s="1"/>
      <c r="S1089" s="1"/>
      <c r="T1089" s="1"/>
      <c r="U1089" s="1"/>
      <c r="V1089" s="1"/>
      <c r="W1089" s="1"/>
      <c r="X1089" s="1"/>
    </row>
    <row x14ac:dyDescent="0.25" r="1090" customHeight="1" ht="18.75">
      <c r="A1090" s="1"/>
      <c r="B1090" s="1"/>
      <c r="C1090" s="3" t="s">
        <v>639</v>
      </c>
      <c r="D1090" s="3" t="s">
        <v>1135</v>
      </c>
      <c r="E1090" s="1"/>
      <c r="F1090" s="1"/>
      <c r="G1090" s="1"/>
      <c r="H1090" s="1"/>
      <c r="I1090" s="2"/>
      <c r="J1090" s="1"/>
      <c r="K1090" s="1"/>
      <c r="L1090" s="1"/>
      <c r="M1090" s="1"/>
      <c r="N1090" s="1"/>
      <c r="O1090" s="1"/>
      <c r="P1090" s="1"/>
      <c r="Q1090" s="1"/>
      <c r="R1090" s="1"/>
      <c r="S1090" s="1"/>
      <c r="T1090" s="1"/>
      <c r="U1090" s="1"/>
      <c r="V1090" s="1"/>
      <c r="W1090" s="1"/>
      <c r="X1090" s="1"/>
    </row>
    <row x14ac:dyDescent="0.25" r="1091" customHeight="1" ht="18.75">
      <c r="A1091" s="1"/>
      <c r="B1091" s="1"/>
      <c r="C1091" s="3" t="s">
        <v>639</v>
      </c>
      <c r="D1091" s="3" t="s">
        <v>1136</v>
      </c>
      <c r="E1091" s="1"/>
      <c r="F1091" s="1"/>
      <c r="G1091" s="1"/>
      <c r="H1091" s="1"/>
      <c r="I1091" s="2"/>
      <c r="J1091" s="1"/>
      <c r="K1091" s="1"/>
      <c r="L1091" s="1"/>
      <c r="M1091" s="1"/>
      <c r="N1091" s="1"/>
      <c r="O1091" s="1"/>
      <c r="P1091" s="1"/>
      <c r="Q1091" s="1"/>
      <c r="R1091" s="1"/>
      <c r="S1091" s="1"/>
      <c r="T1091" s="1"/>
      <c r="U1091" s="1"/>
      <c r="V1091" s="1"/>
      <c r="W1091" s="1"/>
      <c r="X1091" s="1"/>
    </row>
    <row x14ac:dyDescent="0.25" r="1092" customHeight="1" ht="18.75">
      <c r="A1092" s="1"/>
      <c r="B1092" s="1"/>
      <c r="C1092" s="3" t="s">
        <v>639</v>
      </c>
      <c r="D1092" s="3" t="s">
        <v>1137</v>
      </c>
      <c r="E1092" s="1"/>
      <c r="F1092" s="1"/>
      <c r="G1092" s="1"/>
      <c r="H1092" s="1"/>
      <c r="I1092" s="2"/>
      <c r="J1092" s="1"/>
      <c r="K1092" s="1"/>
      <c r="L1092" s="1"/>
      <c r="M1092" s="1"/>
      <c r="N1092" s="1"/>
      <c r="O1092" s="1"/>
      <c r="P1092" s="1"/>
      <c r="Q1092" s="1"/>
      <c r="R1092" s="1"/>
      <c r="S1092" s="1"/>
      <c r="T1092" s="1"/>
      <c r="U1092" s="1"/>
      <c r="V1092" s="1"/>
      <c r="W1092" s="1"/>
      <c r="X1092" s="1"/>
    </row>
    <row x14ac:dyDescent="0.25" r="1093" customHeight="1" ht="18.75">
      <c r="A1093" s="1"/>
      <c r="B1093" s="1"/>
      <c r="C1093" s="3" t="s">
        <v>639</v>
      </c>
      <c r="D1093" s="3" t="s">
        <v>1138</v>
      </c>
      <c r="E1093" s="1"/>
      <c r="F1093" s="1"/>
      <c r="G1093" s="1"/>
      <c r="H1093" s="1"/>
      <c r="I1093" s="2"/>
      <c r="J1093" s="1"/>
      <c r="K1093" s="1"/>
      <c r="L1093" s="1"/>
      <c r="M1093" s="1"/>
      <c r="N1093" s="1"/>
      <c r="O1093" s="1"/>
      <c r="P1093" s="1"/>
      <c r="Q1093" s="1"/>
      <c r="R1093" s="1"/>
      <c r="S1093" s="1"/>
      <c r="T1093" s="1"/>
      <c r="U1093" s="1"/>
      <c r="V1093" s="1"/>
      <c r="W1093" s="1"/>
      <c r="X1093" s="1"/>
    </row>
    <row x14ac:dyDescent="0.25" r="1094" customHeight="1" ht="18.75">
      <c r="A1094" s="1"/>
      <c r="B1094" s="1"/>
      <c r="C1094" s="3" t="s">
        <v>639</v>
      </c>
      <c r="D1094" s="3" t="s">
        <v>1139</v>
      </c>
      <c r="E1094" s="1"/>
      <c r="F1094" s="1"/>
      <c r="G1094" s="1"/>
      <c r="H1094" s="1"/>
      <c r="I1094" s="2"/>
      <c r="J1094" s="1"/>
      <c r="K1094" s="1"/>
      <c r="L1094" s="1"/>
      <c r="M1094" s="1"/>
      <c r="N1094" s="1"/>
      <c r="O1094" s="1"/>
      <c r="P1094" s="1"/>
      <c r="Q1094" s="1"/>
      <c r="R1094" s="1"/>
      <c r="S1094" s="1"/>
      <c r="T1094" s="1"/>
      <c r="U1094" s="1"/>
      <c r="V1094" s="1"/>
      <c r="W1094" s="1"/>
      <c r="X1094" s="1"/>
    </row>
    <row x14ac:dyDescent="0.25" r="1095" customHeight="1" ht="18.75">
      <c r="A1095" s="1"/>
      <c r="B1095" s="1"/>
      <c r="C1095" s="3" t="s">
        <v>639</v>
      </c>
      <c r="D1095" s="3" t="s">
        <v>1140</v>
      </c>
      <c r="E1095" s="1"/>
      <c r="F1095" s="1"/>
      <c r="G1095" s="1"/>
      <c r="H1095" s="1"/>
      <c r="I1095" s="2"/>
      <c r="J1095" s="1"/>
      <c r="K1095" s="1"/>
      <c r="L1095" s="1"/>
      <c r="M1095" s="1"/>
      <c r="N1095" s="1"/>
      <c r="O1095" s="1"/>
      <c r="P1095" s="1"/>
      <c r="Q1095" s="1"/>
      <c r="R1095" s="1"/>
      <c r="S1095" s="1"/>
      <c r="T1095" s="1"/>
      <c r="U1095" s="1"/>
      <c r="V1095" s="1"/>
      <c r="W1095" s="1"/>
      <c r="X1095" s="1"/>
    </row>
    <row x14ac:dyDescent="0.25" r="1096" customHeight="1" ht="18.75">
      <c r="A1096" s="1"/>
      <c r="B1096" s="1"/>
      <c r="C1096" s="3" t="s">
        <v>639</v>
      </c>
      <c r="D1096" s="3" t="s">
        <v>1141</v>
      </c>
      <c r="E1096" s="1"/>
      <c r="F1096" s="1"/>
      <c r="G1096" s="1"/>
      <c r="H1096" s="1"/>
      <c r="I1096" s="2"/>
      <c r="J1096" s="1"/>
      <c r="K1096" s="1"/>
      <c r="L1096" s="1"/>
      <c r="M1096" s="1"/>
      <c r="N1096" s="1"/>
      <c r="O1096" s="1"/>
      <c r="P1096" s="1"/>
      <c r="Q1096" s="1"/>
      <c r="R1096" s="1"/>
      <c r="S1096" s="1"/>
      <c r="T1096" s="1"/>
      <c r="U1096" s="1"/>
      <c r="V1096" s="1"/>
      <c r="W1096" s="1"/>
      <c r="X1096" s="1"/>
    </row>
    <row x14ac:dyDescent="0.25" r="1097" customHeight="1" ht="18.75">
      <c r="A1097" s="1"/>
      <c r="B1097" s="1"/>
      <c r="C1097" s="3" t="s">
        <v>639</v>
      </c>
      <c r="D1097" s="3" t="s">
        <v>1142</v>
      </c>
      <c r="E1097" s="1"/>
      <c r="F1097" s="1"/>
      <c r="G1097" s="1"/>
      <c r="H1097" s="1"/>
      <c r="I1097" s="2"/>
      <c r="J1097" s="1"/>
      <c r="K1097" s="1"/>
      <c r="L1097" s="1"/>
      <c r="M1097" s="1"/>
      <c r="N1097" s="1"/>
      <c r="O1097" s="1"/>
      <c r="P1097" s="1"/>
      <c r="Q1097" s="1"/>
      <c r="R1097" s="1"/>
      <c r="S1097" s="1"/>
      <c r="T1097" s="1"/>
      <c r="U1097" s="1"/>
      <c r="V1097" s="1"/>
      <c r="W1097" s="1"/>
      <c r="X1097" s="1"/>
    </row>
    <row x14ac:dyDescent="0.25" r="1098" customHeight="1" ht="18.75">
      <c r="A1098" s="1"/>
      <c r="B1098" s="1"/>
      <c r="C1098" s="3" t="s">
        <v>639</v>
      </c>
      <c r="D1098" s="3" t="s">
        <v>1143</v>
      </c>
      <c r="E1098" s="1"/>
      <c r="F1098" s="1"/>
      <c r="G1098" s="1"/>
      <c r="H1098" s="1"/>
      <c r="I1098" s="2"/>
      <c r="J1098" s="1"/>
      <c r="K1098" s="1"/>
      <c r="L1098" s="1"/>
      <c r="M1098" s="1"/>
      <c r="N1098" s="1"/>
      <c r="O1098" s="1"/>
      <c r="P1098" s="1"/>
      <c r="Q1098" s="1"/>
      <c r="R1098" s="1"/>
      <c r="S1098" s="1"/>
      <c r="T1098" s="1"/>
      <c r="U1098" s="1"/>
      <c r="V1098" s="1"/>
      <c r="W1098" s="1"/>
      <c r="X1098" s="1"/>
    </row>
    <row x14ac:dyDescent="0.25" r="1099" customHeight="1" ht="18.75">
      <c r="A1099" s="1"/>
      <c r="B1099" s="1"/>
      <c r="C1099" s="3" t="s">
        <v>639</v>
      </c>
      <c r="D1099" s="3" t="s">
        <v>1144</v>
      </c>
      <c r="E1099" s="1"/>
      <c r="F1099" s="1"/>
      <c r="G1099" s="1"/>
      <c r="H1099" s="1"/>
      <c r="I1099" s="2"/>
      <c r="J1099" s="1"/>
      <c r="K1099" s="1"/>
      <c r="L1099" s="1"/>
      <c r="M1099" s="1"/>
      <c r="N1099" s="1"/>
      <c r="O1099" s="1"/>
      <c r="P1099" s="1"/>
      <c r="Q1099" s="1"/>
      <c r="R1099" s="1"/>
      <c r="S1099" s="1"/>
      <c r="T1099" s="1"/>
      <c r="U1099" s="1"/>
      <c r="V1099" s="1"/>
      <c r="W1099" s="1"/>
      <c r="X1099" s="1"/>
    </row>
    <row x14ac:dyDescent="0.25" r="1100" customHeight="1" ht="18.75">
      <c r="A1100" s="1"/>
      <c r="B1100" s="1"/>
      <c r="C1100" s="3" t="s">
        <v>639</v>
      </c>
      <c r="D1100" s="3" t="s">
        <v>1145</v>
      </c>
      <c r="E1100" s="1"/>
      <c r="F1100" s="1"/>
      <c r="G1100" s="1"/>
      <c r="H1100" s="1"/>
      <c r="I1100" s="2"/>
      <c r="J1100" s="1"/>
      <c r="K1100" s="1"/>
      <c r="L1100" s="1"/>
      <c r="M1100" s="1"/>
      <c r="N1100" s="1"/>
      <c r="O1100" s="1"/>
      <c r="P1100" s="1"/>
      <c r="Q1100" s="1"/>
      <c r="R1100" s="1"/>
      <c r="S1100" s="1"/>
      <c r="T1100" s="1"/>
      <c r="U1100" s="1"/>
      <c r="V1100" s="1"/>
      <c r="W1100" s="1"/>
      <c r="X1100" s="1"/>
    </row>
    <row x14ac:dyDescent="0.25" r="1101" customHeight="1" ht="18.75">
      <c r="A1101" s="1"/>
      <c r="B1101" s="1"/>
      <c r="C1101" s="3" t="s">
        <v>639</v>
      </c>
      <c r="D1101" s="3" t="s">
        <v>1146</v>
      </c>
      <c r="E1101" s="1"/>
      <c r="F1101" s="1"/>
      <c r="G1101" s="1"/>
      <c r="H1101" s="1"/>
      <c r="I1101" s="2"/>
      <c r="J1101" s="1"/>
      <c r="K1101" s="1"/>
      <c r="L1101" s="1"/>
      <c r="M1101" s="1"/>
      <c r="N1101" s="1"/>
      <c r="O1101" s="1"/>
      <c r="P1101" s="1"/>
      <c r="Q1101" s="1"/>
      <c r="R1101" s="1"/>
      <c r="S1101" s="1"/>
      <c r="T1101" s="1"/>
      <c r="U1101" s="1"/>
      <c r="V1101" s="1"/>
      <c r="W1101" s="1"/>
      <c r="X1101" s="1"/>
    </row>
    <row x14ac:dyDescent="0.25" r="1102" customHeight="1" ht="18.75">
      <c r="A1102" s="1"/>
      <c r="B1102" s="1"/>
      <c r="C1102" s="3" t="s">
        <v>639</v>
      </c>
      <c r="D1102" s="3" t="s">
        <v>1147</v>
      </c>
      <c r="E1102" s="1"/>
      <c r="F1102" s="1"/>
      <c r="G1102" s="1"/>
      <c r="H1102" s="1"/>
      <c r="I1102" s="2"/>
      <c r="J1102" s="1"/>
      <c r="K1102" s="1"/>
      <c r="L1102" s="1"/>
      <c r="M1102" s="1"/>
      <c r="N1102" s="1"/>
      <c r="O1102" s="1"/>
      <c r="P1102" s="1"/>
      <c r="Q1102" s="1"/>
      <c r="R1102" s="1"/>
      <c r="S1102" s="1"/>
      <c r="T1102" s="1"/>
      <c r="U1102" s="1"/>
      <c r="V1102" s="1"/>
      <c r="W1102" s="1"/>
      <c r="X1102" s="1"/>
    </row>
    <row x14ac:dyDescent="0.25" r="1103" customHeight="1" ht="18.75">
      <c r="A1103" s="1"/>
      <c r="B1103" s="1"/>
      <c r="C1103" s="3" t="s">
        <v>639</v>
      </c>
      <c r="D1103" s="3" t="s">
        <v>1148</v>
      </c>
      <c r="E1103" s="1"/>
      <c r="F1103" s="1"/>
      <c r="G1103" s="1"/>
      <c r="H1103" s="1"/>
      <c r="I1103" s="2"/>
      <c r="J1103" s="1"/>
      <c r="K1103" s="1"/>
      <c r="L1103" s="1"/>
      <c r="M1103" s="1"/>
      <c r="N1103" s="1"/>
      <c r="O1103" s="1"/>
      <c r="P1103" s="1"/>
      <c r="Q1103" s="1"/>
      <c r="R1103" s="1"/>
      <c r="S1103" s="1"/>
      <c r="T1103" s="1"/>
      <c r="U1103" s="1"/>
      <c r="V1103" s="1"/>
      <c r="W1103" s="1"/>
      <c r="X1103" s="1"/>
    </row>
    <row x14ac:dyDescent="0.25" r="1104" customHeight="1" ht="18.75">
      <c r="A1104" s="1"/>
      <c r="B1104" s="1"/>
      <c r="C1104" s="3" t="s">
        <v>639</v>
      </c>
      <c r="D1104" s="3" t="s">
        <v>1149</v>
      </c>
      <c r="E1104" s="1"/>
      <c r="F1104" s="1"/>
      <c r="G1104" s="1"/>
      <c r="H1104" s="1"/>
      <c r="I1104" s="2"/>
      <c r="J1104" s="1"/>
      <c r="K1104" s="1"/>
      <c r="L1104" s="1"/>
      <c r="M1104" s="1"/>
      <c r="N1104" s="1"/>
      <c r="O1104" s="1"/>
      <c r="P1104" s="1"/>
      <c r="Q1104" s="1"/>
      <c r="R1104" s="1"/>
      <c r="S1104" s="1"/>
      <c r="T1104" s="1"/>
      <c r="U1104" s="1"/>
      <c r="V1104" s="1"/>
      <c r="W1104" s="1"/>
      <c r="X1104" s="1"/>
    </row>
    <row x14ac:dyDescent="0.25" r="1105" customHeight="1" ht="18.75">
      <c r="A1105" s="1"/>
      <c r="B1105" s="1"/>
      <c r="C1105" s="3" t="s">
        <v>639</v>
      </c>
      <c r="D1105" s="3" t="s">
        <v>1150</v>
      </c>
      <c r="E1105" s="1"/>
      <c r="F1105" s="1"/>
      <c r="G1105" s="1"/>
      <c r="H1105" s="1"/>
      <c r="I1105" s="2"/>
      <c r="J1105" s="1"/>
      <c r="K1105" s="1"/>
      <c r="L1105" s="1"/>
      <c r="M1105" s="1"/>
      <c r="N1105" s="1"/>
      <c r="O1105" s="1"/>
      <c r="P1105" s="1"/>
      <c r="Q1105" s="1"/>
      <c r="R1105" s="1"/>
      <c r="S1105" s="1"/>
      <c r="T1105" s="1"/>
      <c r="U1105" s="1"/>
      <c r="V1105" s="1"/>
      <c r="W1105" s="1"/>
      <c r="X1105" s="1"/>
    </row>
    <row x14ac:dyDescent="0.25" r="1106" customHeight="1" ht="18.75">
      <c r="A1106" s="1"/>
      <c r="B1106" s="1"/>
      <c r="C1106" s="3" t="s">
        <v>639</v>
      </c>
      <c r="D1106" s="3" t="s">
        <v>1129</v>
      </c>
      <c r="E1106" s="1"/>
      <c r="F1106" s="1"/>
      <c r="G1106" s="1"/>
      <c r="H1106" s="1"/>
      <c r="I1106" s="2"/>
      <c r="J1106" s="1"/>
      <c r="K1106" s="1"/>
      <c r="L1106" s="1"/>
      <c r="M1106" s="1"/>
      <c r="N1106" s="1"/>
      <c r="O1106" s="1"/>
      <c r="P1106" s="1"/>
      <c r="Q1106" s="1"/>
      <c r="R1106" s="1"/>
      <c r="S1106" s="1"/>
      <c r="T1106" s="1"/>
      <c r="U1106" s="1"/>
      <c r="V1106" s="1"/>
      <c r="W1106" s="1"/>
      <c r="X1106" s="1"/>
    </row>
    <row x14ac:dyDescent="0.25" r="1107" customHeight="1" ht="18.75">
      <c r="A1107" s="1"/>
      <c r="B1107" s="1"/>
      <c r="C1107" s="3" t="s">
        <v>639</v>
      </c>
      <c r="D1107" s="3" t="s">
        <v>1151</v>
      </c>
      <c r="E1107" s="1"/>
      <c r="F1107" s="1"/>
      <c r="G1107" s="1"/>
      <c r="H1107" s="1"/>
      <c r="I1107" s="2"/>
      <c r="J1107" s="1"/>
      <c r="K1107" s="1"/>
      <c r="L1107" s="1"/>
      <c r="M1107" s="1"/>
      <c r="N1107" s="1"/>
      <c r="O1107" s="1"/>
      <c r="P1107" s="1"/>
      <c r="Q1107" s="1"/>
      <c r="R1107" s="1"/>
      <c r="S1107" s="1"/>
      <c r="T1107" s="1"/>
      <c r="U1107" s="1"/>
      <c r="V1107" s="1"/>
      <c r="W1107" s="1"/>
      <c r="X1107" s="1"/>
    </row>
    <row x14ac:dyDescent="0.25" r="1108" customHeight="1" ht="18.75">
      <c r="A1108" s="1"/>
      <c r="B1108" s="1"/>
      <c r="C1108" s="3" t="s">
        <v>639</v>
      </c>
      <c r="D1108" s="3" t="s">
        <v>1152</v>
      </c>
      <c r="E1108" s="1"/>
      <c r="F1108" s="1"/>
      <c r="G1108" s="1"/>
      <c r="H1108" s="1"/>
      <c r="I1108" s="2"/>
      <c r="J1108" s="1"/>
      <c r="K1108" s="1"/>
      <c r="L1108" s="1"/>
      <c r="M1108" s="1"/>
      <c r="N1108" s="1"/>
      <c r="O1108" s="1"/>
      <c r="P1108" s="1"/>
      <c r="Q1108" s="1"/>
      <c r="R1108" s="1"/>
      <c r="S1108" s="1"/>
      <c r="T1108" s="1"/>
      <c r="U1108" s="1"/>
      <c r="V1108" s="1"/>
      <c r="W1108" s="1"/>
      <c r="X1108" s="1"/>
    </row>
    <row x14ac:dyDescent="0.25" r="1109" customHeight="1" ht="18.75">
      <c r="A1109" s="1"/>
      <c r="B1109" s="1"/>
      <c r="C1109" s="3" t="s">
        <v>639</v>
      </c>
      <c r="D1109" s="3" t="s">
        <v>1153</v>
      </c>
      <c r="E1109" s="1"/>
      <c r="F1109" s="1"/>
      <c r="G1109" s="1"/>
      <c r="H1109" s="1"/>
      <c r="I1109" s="2"/>
      <c r="J1109" s="1"/>
      <c r="K1109" s="1"/>
      <c r="L1109" s="1"/>
      <c r="M1109" s="1"/>
      <c r="N1109" s="1"/>
      <c r="O1109" s="1"/>
      <c r="P1109" s="1"/>
      <c r="Q1109" s="1"/>
      <c r="R1109" s="1"/>
      <c r="S1109" s="1"/>
      <c r="T1109" s="1"/>
      <c r="U1109" s="1"/>
      <c r="V1109" s="1"/>
      <c r="W1109" s="1"/>
      <c r="X1109" s="1"/>
    </row>
    <row x14ac:dyDescent="0.25" r="1110" customHeight="1" ht="18.75">
      <c r="A1110" s="1"/>
      <c r="B1110" s="1"/>
      <c r="C1110" s="3" t="s">
        <v>639</v>
      </c>
      <c r="D1110" s="3" t="s">
        <v>1154</v>
      </c>
      <c r="E1110" s="1"/>
      <c r="F1110" s="1"/>
      <c r="G1110" s="1"/>
      <c r="H1110" s="1"/>
      <c r="I1110" s="2"/>
      <c r="J1110" s="1"/>
      <c r="K1110" s="1"/>
      <c r="L1110" s="1"/>
      <c r="M1110" s="1"/>
      <c r="N1110" s="1"/>
      <c r="O1110" s="1"/>
      <c r="P1110" s="1"/>
      <c r="Q1110" s="1"/>
      <c r="R1110" s="1"/>
      <c r="S1110" s="1"/>
      <c r="T1110" s="1"/>
      <c r="U1110" s="1"/>
      <c r="V1110" s="1"/>
      <c r="W1110" s="1"/>
      <c r="X1110" s="1"/>
    </row>
    <row x14ac:dyDescent="0.25" r="1111" customHeight="1" ht="18.75">
      <c r="A1111" s="1"/>
      <c r="B1111" s="1"/>
      <c r="C1111" s="3" t="s">
        <v>639</v>
      </c>
      <c r="D1111" s="3" t="s">
        <v>1155</v>
      </c>
      <c r="E1111" s="1"/>
      <c r="F1111" s="1"/>
      <c r="G1111" s="1"/>
      <c r="H1111" s="1"/>
      <c r="I1111" s="2"/>
      <c r="J1111" s="1"/>
      <c r="K1111" s="1"/>
      <c r="L1111" s="1"/>
      <c r="M1111" s="1"/>
      <c r="N1111" s="1"/>
      <c r="O1111" s="1"/>
      <c r="P1111" s="1"/>
      <c r="Q1111" s="1"/>
      <c r="R1111" s="1"/>
      <c r="S1111" s="1"/>
      <c r="T1111" s="1"/>
      <c r="U1111" s="1"/>
      <c r="V1111" s="1"/>
      <c r="W1111" s="1"/>
      <c r="X1111" s="1"/>
    </row>
    <row x14ac:dyDescent="0.25" r="1112" customHeight="1" ht="18.75">
      <c r="A1112" s="1"/>
      <c r="B1112" s="1"/>
      <c r="C1112" s="3" t="s">
        <v>639</v>
      </c>
      <c r="D1112" s="3" t="s">
        <v>1156</v>
      </c>
      <c r="E1112" s="1"/>
      <c r="F1112" s="1"/>
      <c r="G1112" s="1"/>
      <c r="H1112" s="1"/>
      <c r="I1112" s="2"/>
      <c r="J1112" s="1"/>
      <c r="K1112" s="1"/>
      <c r="L1112" s="1"/>
      <c r="M1112" s="1"/>
      <c r="N1112" s="1"/>
      <c r="O1112" s="1"/>
      <c r="P1112" s="1"/>
      <c r="Q1112" s="1"/>
      <c r="R1112" s="1"/>
      <c r="S1112" s="1"/>
      <c r="T1112" s="1"/>
      <c r="U1112" s="1"/>
      <c r="V1112" s="1"/>
      <c r="W1112" s="1"/>
      <c r="X1112" s="1"/>
    </row>
    <row x14ac:dyDescent="0.25" r="1113" customHeight="1" ht="18.75">
      <c r="A1113" s="1"/>
      <c r="B1113" s="1"/>
      <c r="C1113" s="3" t="s">
        <v>639</v>
      </c>
      <c r="D1113" s="3" t="s">
        <v>1131</v>
      </c>
      <c r="E1113" s="1"/>
      <c r="F1113" s="1"/>
      <c r="G1113" s="1"/>
      <c r="H1113" s="1"/>
      <c r="I1113" s="2"/>
      <c r="J1113" s="1"/>
      <c r="K1113" s="1"/>
      <c r="L1113" s="1"/>
      <c r="M1113" s="1"/>
      <c r="N1113" s="1"/>
      <c r="O1113" s="1"/>
      <c r="P1113" s="1"/>
      <c r="Q1113" s="1"/>
      <c r="R1113" s="1"/>
      <c r="S1113" s="1"/>
      <c r="T1113" s="1"/>
      <c r="U1113" s="1"/>
      <c r="V1113" s="1"/>
      <c r="W1113" s="1"/>
      <c r="X1113" s="1"/>
    </row>
    <row x14ac:dyDescent="0.25" r="1114" customHeight="1" ht="18.75">
      <c r="A1114" s="1"/>
      <c r="B1114" s="1"/>
      <c r="C1114" s="3" t="s">
        <v>639</v>
      </c>
      <c r="D1114" s="3" t="s">
        <v>1157</v>
      </c>
      <c r="E1114" s="1"/>
      <c r="F1114" s="1"/>
      <c r="G1114" s="1"/>
      <c r="H1114" s="1"/>
      <c r="I1114" s="2"/>
      <c r="J1114" s="1"/>
      <c r="K1114" s="1"/>
      <c r="L1114" s="1"/>
      <c r="M1114" s="1"/>
      <c r="N1114" s="1"/>
      <c r="O1114" s="1"/>
      <c r="P1114" s="1"/>
      <c r="Q1114" s="1"/>
      <c r="R1114" s="1"/>
      <c r="S1114" s="1"/>
      <c r="T1114" s="1"/>
      <c r="U1114" s="1"/>
      <c r="V1114" s="1"/>
      <c r="W1114" s="1"/>
      <c r="X1114" s="1"/>
    </row>
    <row x14ac:dyDescent="0.25" r="1115" customHeight="1" ht="18.75">
      <c r="A1115" s="1"/>
      <c r="B1115" s="1"/>
      <c r="C1115" s="3" t="s">
        <v>639</v>
      </c>
      <c r="D1115" s="3" t="s">
        <v>1158</v>
      </c>
      <c r="E1115" s="1"/>
      <c r="F1115" s="1"/>
      <c r="G1115" s="1"/>
      <c r="H1115" s="1"/>
      <c r="I1115" s="2"/>
      <c r="J1115" s="1"/>
      <c r="K1115" s="1"/>
      <c r="L1115" s="1"/>
      <c r="M1115" s="1"/>
      <c r="N1115" s="1"/>
      <c r="O1115" s="1"/>
      <c r="P1115" s="1"/>
      <c r="Q1115" s="1"/>
      <c r="R1115" s="1"/>
      <c r="S1115" s="1"/>
      <c r="T1115" s="1"/>
      <c r="U1115" s="1"/>
      <c r="V1115" s="1"/>
      <c r="W1115" s="1"/>
      <c r="X1115" s="1"/>
    </row>
    <row x14ac:dyDescent="0.25" r="1116" customHeight="1" ht="18.75">
      <c r="A1116" s="1"/>
      <c r="B1116" s="1"/>
      <c r="C1116" s="3" t="s">
        <v>639</v>
      </c>
      <c r="D1116" s="3" t="s">
        <v>1159</v>
      </c>
      <c r="E1116" s="1"/>
      <c r="F1116" s="1"/>
      <c r="G1116" s="1"/>
      <c r="H1116" s="1"/>
      <c r="I1116" s="2"/>
      <c r="J1116" s="1"/>
      <c r="K1116" s="1"/>
      <c r="L1116" s="1"/>
      <c r="M1116" s="1"/>
      <c r="N1116" s="1"/>
      <c r="O1116" s="1"/>
      <c r="P1116" s="1"/>
      <c r="Q1116" s="1"/>
      <c r="R1116" s="1"/>
      <c r="S1116" s="1"/>
      <c r="T1116" s="1"/>
      <c r="U1116" s="1"/>
      <c r="V1116" s="1"/>
      <c r="W1116" s="1"/>
      <c r="X1116" s="1"/>
    </row>
    <row x14ac:dyDescent="0.25" r="1117" customHeight="1" ht="18.75">
      <c r="A1117" s="1"/>
      <c r="B1117" s="1"/>
      <c r="C1117" s="3" t="s">
        <v>639</v>
      </c>
      <c r="D1117" s="3" t="s">
        <v>1160</v>
      </c>
      <c r="E1117" s="1"/>
      <c r="F1117" s="1"/>
      <c r="G1117" s="1"/>
      <c r="H1117" s="1"/>
      <c r="I1117" s="2"/>
      <c r="J1117" s="1"/>
      <c r="K1117" s="1"/>
      <c r="L1117" s="1"/>
      <c r="M1117" s="1"/>
      <c r="N1117" s="1"/>
      <c r="O1117" s="1"/>
      <c r="P1117" s="1"/>
      <c r="Q1117" s="1"/>
      <c r="R1117" s="1"/>
      <c r="S1117" s="1"/>
      <c r="T1117" s="1"/>
      <c r="U1117" s="1"/>
      <c r="V1117" s="1"/>
      <c r="W1117" s="1"/>
      <c r="X1117" s="1"/>
    </row>
    <row x14ac:dyDescent="0.25" r="1118" customHeight="1" ht="18.75">
      <c r="A1118" s="1"/>
      <c r="B1118" s="1"/>
      <c r="C1118" s="3" t="s">
        <v>121</v>
      </c>
      <c r="D1118" s="3" t="s">
        <v>1135</v>
      </c>
      <c r="E1118" s="1"/>
      <c r="F1118" s="1"/>
      <c r="G1118" s="1"/>
      <c r="H1118" s="1"/>
      <c r="I1118" s="2"/>
      <c r="J1118" s="1"/>
      <c r="K1118" s="1"/>
      <c r="L1118" s="1"/>
      <c r="M1118" s="1"/>
      <c r="N1118" s="1"/>
      <c r="O1118" s="1"/>
      <c r="P1118" s="1"/>
      <c r="Q1118" s="1"/>
      <c r="R1118" s="1"/>
      <c r="S1118" s="1"/>
      <c r="T1118" s="1"/>
      <c r="U1118" s="1"/>
      <c r="V1118" s="1"/>
      <c r="W1118" s="1"/>
      <c r="X1118" s="1"/>
    </row>
    <row x14ac:dyDescent="0.25" r="1119" customHeight="1" ht="18.75">
      <c r="A1119" s="1"/>
      <c r="B1119" s="1"/>
      <c r="C1119" s="3" t="s">
        <v>121</v>
      </c>
      <c r="D1119" s="3" t="s">
        <v>1161</v>
      </c>
      <c r="E1119" s="1"/>
      <c r="F1119" s="1"/>
      <c r="G1119" s="1"/>
      <c r="H1119" s="1"/>
      <c r="I1119" s="2"/>
      <c r="J1119" s="1"/>
      <c r="K1119" s="1"/>
      <c r="L1119" s="1"/>
      <c r="M1119" s="1"/>
      <c r="N1119" s="1"/>
      <c r="O1119" s="1"/>
      <c r="P1119" s="1"/>
      <c r="Q1119" s="1"/>
      <c r="R1119" s="1"/>
      <c r="S1119" s="1"/>
      <c r="T1119" s="1"/>
      <c r="U1119" s="1"/>
      <c r="V1119" s="1"/>
      <c r="W1119" s="1"/>
      <c r="X1119" s="1"/>
    </row>
    <row x14ac:dyDescent="0.25" r="1120" customHeight="1" ht="18.75">
      <c r="A1120" s="1"/>
      <c r="B1120" s="1"/>
      <c r="C1120" s="3" t="s">
        <v>121</v>
      </c>
      <c r="D1120" s="3" t="s">
        <v>1162</v>
      </c>
      <c r="E1120" s="1"/>
      <c r="F1120" s="1"/>
      <c r="G1120" s="1"/>
      <c r="H1120" s="1"/>
      <c r="I1120" s="2"/>
      <c r="J1120" s="1"/>
      <c r="K1120" s="1"/>
      <c r="L1120" s="1"/>
      <c r="M1120" s="1"/>
      <c r="N1120" s="1"/>
      <c r="O1120" s="1"/>
      <c r="P1120" s="1"/>
      <c r="Q1120" s="1"/>
      <c r="R1120" s="1"/>
      <c r="S1120" s="1"/>
      <c r="T1120" s="1"/>
      <c r="U1120" s="1"/>
      <c r="V1120" s="1"/>
      <c r="W1120" s="1"/>
      <c r="X1120" s="1"/>
    </row>
    <row x14ac:dyDescent="0.25" r="1121" customHeight="1" ht="18.75">
      <c r="A1121" s="1"/>
      <c r="B1121" s="1"/>
      <c r="C1121" s="3" t="s">
        <v>121</v>
      </c>
      <c r="D1121" s="3" t="s">
        <v>1163</v>
      </c>
      <c r="E1121" s="1"/>
      <c r="F1121" s="1"/>
      <c r="G1121" s="1"/>
      <c r="H1121" s="1"/>
      <c r="I1121" s="2"/>
      <c r="J1121" s="1"/>
      <c r="K1121" s="1"/>
      <c r="L1121" s="1"/>
      <c r="M1121" s="1"/>
      <c r="N1121" s="1"/>
      <c r="O1121" s="1"/>
      <c r="P1121" s="1"/>
      <c r="Q1121" s="1"/>
      <c r="R1121" s="1"/>
      <c r="S1121" s="1"/>
      <c r="T1121" s="1"/>
      <c r="U1121" s="1"/>
      <c r="V1121" s="1"/>
      <c r="W1121" s="1"/>
      <c r="X1121" s="1"/>
    </row>
    <row x14ac:dyDescent="0.25" r="1122" customHeight="1" ht="18.75">
      <c r="A1122" s="1"/>
      <c r="B1122" s="1"/>
      <c r="C1122" s="3" t="s">
        <v>121</v>
      </c>
      <c r="D1122" s="3" t="s">
        <v>1164</v>
      </c>
      <c r="E1122" s="1"/>
      <c r="F1122" s="1"/>
      <c r="G1122" s="1"/>
      <c r="H1122" s="1"/>
      <c r="I1122" s="2"/>
      <c r="J1122" s="1"/>
      <c r="K1122" s="1"/>
      <c r="L1122" s="1"/>
      <c r="M1122" s="1"/>
      <c r="N1122" s="1"/>
      <c r="O1122" s="1"/>
      <c r="P1122" s="1"/>
      <c r="Q1122" s="1"/>
      <c r="R1122" s="1"/>
      <c r="S1122" s="1"/>
      <c r="T1122" s="1"/>
      <c r="U1122" s="1"/>
      <c r="V1122" s="1"/>
      <c r="W1122" s="1"/>
      <c r="X1122" s="1"/>
    </row>
    <row x14ac:dyDescent="0.25" r="1123" customHeight="1" ht="18.75">
      <c r="A1123" s="1"/>
      <c r="B1123" s="1"/>
      <c r="C1123" s="3" t="s">
        <v>121</v>
      </c>
      <c r="D1123" s="3" t="s">
        <v>1165</v>
      </c>
      <c r="E1123" s="1"/>
      <c r="F1123" s="1"/>
      <c r="G1123" s="1"/>
      <c r="H1123" s="1"/>
      <c r="I1123" s="2"/>
      <c r="J1123" s="1"/>
      <c r="K1123" s="1"/>
      <c r="L1123" s="1"/>
      <c r="M1123" s="1"/>
      <c r="N1123" s="1"/>
      <c r="O1123" s="1"/>
      <c r="P1123" s="1"/>
      <c r="Q1123" s="1"/>
      <c r="R1123" s="1"/>
      <c r="S1123" s="1"/>
      <c r="T1123" s="1"/>
      <c r="U1123" s="1"/>
      <c r="V1123" s="1"/>
      <c r="W1123" s="1"/>
      <c r="X1123" s="1"/>
    </row>
    <row x14ac:dyDescent="0.25" r="1124" customHeight="1" ht="18.75">
      <c r="A1124" s="1"/>
      <c r="B1124" s="1"/>
      <c r="C1124" s="3" t="s">
        <v>121</v>
      </c>
      <c r="D1124" s="3" t="s">
        <v>1166</v>
      </c>
      <c r="E1124" s="1"/>
      <c r="F1124" s="1"/>
      <c r="G1124" s="1"/>
      <c r="H1124" s="1"/>
      <c r="I1124" s="2"/>
      <c r="J1124" s="1"/>
      <c r="K1124" s="1"/>
      <c r="L1124" s="1"/>
      <c r="M1124" s="1"/>
      <c r="N1124" s="1"/>
      <c r="O1124" s="1"/>
      <c r="P1124" s="1"/>
      <c r="Q1124" s="1"/>
      <c r="R1124" s="1"/>
      <c r="S1124" s="1"/>
      <c r="T1124" s="1"/>
      <c r="U1124" s="1"/>
      <c r="V1124" s="1"/>
      <c r="W1124" s="1"/>
      <c r="X1124" s="1"/>
    </row>
    <row x14ac:dyDescent="0.25" r="1125" customHeight="1" ht="18.75">
      <c r="A1125" s="1"/>
      <c r="B1125" s="1"/>
      <c r="C1125" s="3" t="s">
        <v>121</v>
      </c>
      <c r="D1125" s="3" t="s">
        <v>1167</v>
      </c>
      <c r="E1125" s="1"/>
      <c r="F1125" s="1"/>
      <c r="G1125" s="1"/>
      <c r="H1125" s="1"/>
      <c r="I1125" s="2"/>
      <c r="J1125" s="1"/>
      <c r="K1125" s="1"/>
      <c r="L1125" s="1"/>
      <c r="M1125" s="1"/>
      <c r="N1125" s="1"/>
      <c r="O1125" s="1"/>
      <c r="P1125" s="1"/>
      <c r="Q1125" s="1"/>
      <c r="R1125" s="1"/>
      <c r="S1125" s="1"/>
      <c r="T1125" s="1"/>
      <c r="U1125" s="1"/>
      <c r="V1125" s="1"/>
      <c r="W1125" s="1"/>
      <c r="X1125" s="1"/>
    </row>
    <row x14ac:dyDescent="0.25" r="1126" customHeight="1" ht="18.75">
      <c r="A1126" s="1"/>
      <c r="B1126" s="1"/>
      <c r="C1126" s="3" t="s">
        <v>121</v>
      </c>
      <c r="D1126" s="3" t="s">
        <v>1168</v>
      </c>
      <c r="E1126" s="1"/>
      <c r="F1126" s="1"/>
      <c r="G1126" s="1"/>
      <c r="H1126" s="1"/>
      <c r="I1126" s="2"/>
      <c r="J1126" s="1"/>
      <c r="K1126" s="1"/>
      <c r="L1126" s="1"/>
      <c r="M1126" s="1"/>
      <c r="N1126" s="1"/>
      <c r="O1126" s="1"/>
      <c r="P1126" s="1"/>
      <c r="Q1126" s="1"/>
      <c r="R1126" s="1"/>
      <c r="S1126" s="1"/>
      <c r="T1126" s="1"/>
      <c r="U1126" s="1"/>
      <c r="V1126" s="1"/>
      <c r="W1126" s="1"/>
      <c r="X1126" s="1"/>
    </row>
    <row x14ac:dyDescent="0.25" r="1127" customHeight="1" ht="18.75">
      <c r="A1127" s="1"/>
      <c r="B1127" s="1"/>
      <c r="C1127" s="3" t="s">
        <v>121</v>
      </c>
      <c r="D1127" s="3" t="s">
        <v>1151</v>
      </c>
      <c r="E1127" s="1"/>
      <c r="F1127" s="1"/>
      <c r="G1127" s="1"/>
      <c r="H1127" s="1"/>
      <c r="I1127" s="2"/>
      <c r="J1127" s="1"/>
      <c r="K1127" s="1"/>
      <c r="L1127" s="1"/>
      <c r="M1127" s="1"/>
      <c r="N1127" s="1"/>
      <c r="O1127" s="1"/>
      <c r="P1127" s="1"/>
      <c r="Q1127" s="1"/>
      <c r="R1127" s="1"/>
      <c r="S1127" s="1"/>
      <c r="T1127" s="1"/>
      <c r="U1127" s="1"/>
      <c r="V1127" s="1"/>
      <c r="W1127" s="1"/>
      <c r="X1127" s="1"/>
    </row>
    <row x14ac:dyDescent="0.25" r="1128" customHeight="1" ht="18.75">
      <c r="A1128" s="1"/>
      <c r="B1128" s="1"/>
      <c r="C1128" s="3" t="s">
        <v>121</v>
      </c>
      <c r="D1128" s="3" t="s">
        <v>1169</v>
      </c>
      <c r="E1128" s="1"/>
      <c r="F1128" s="1"/>
      <c r="G1128" s="1"/>
      <c r="H1128" s="1"/>
      <c r="I1128" s="2"/>
      <c r="J1128" s="1"/>
      <c r="K1128" s="1"/>
      <c r="L1128" s="1"/>
      <c r="M1128" s="1"/>
      <c r="N1128" s="1"/>
      <c r="O1128" s="1"/>
      <c r="P1128" s="1"/>
      <c r="Q1128" s="1"/>
      <c r="R1128" s="1"/>
      <c r="S1128" s="1"/>
      <c r="T1128" s="1"/>
      <c r="U1128" s="1"/>
      <c r="V1128" s="1"/>
      <c r="W1128" s="1"/>
      <c r="X1128" s="1"/>
    </row>
    <row x14ac:dyDescent="0.25" r="1129" customHeight="1" ht="18.75">
      <c r="A1129" s="1"/>
      <c r="B1129" s="1"/>
      <c r="C1129" s="3" t="s">
        <v>121</v>
      </c>
      <c r="D1129" s="3" t="s">
        <v>1170</v>
      </c>
      <c r="E1129" s="1"/>
      <c r="F1129" s="1"/>
      <c r="G1129" s="1"/>
      <c r="H1129" s="1"/>
      <c r="I1129" s="2"/>
      <c r="J1129" s="1"/>
      <c r="K1129" s="1"/>
      <c r="L1129" s="1"/>
      <c r="M1129" s="1"/>
      <c r="N1129" s="1"/>
      <c r="O1129" s="1"/>
      <c r="P1129" s="1"/>
      <c r="Q1129" s="1"/>
      <c r="R1129" s="1"/>
      <c r="S1129" s="1"/>
      <c r="T1129" s="1"/>
      <c r="U1129" s="1"/>
      <c r="V1129" s="1"/>
      <c r="W1129" s="1"/>
      <c r="X1129" s="1"/>
    </row>
    <row x14ac:dyDescent="0.25" r="1130" customHeight="1" ht="18.75">
      <c r="A1130" s="1"/>
      <c r="B1130" s="1"/>
      <c r="C1130" s="3" t="s">
        <v>639</v>
      </c>
      <c r="D1130" s="3" t="s">
        <v>1171</v>
      </c>
      <c r="E1130" s="1"/>
      <c r="F1130" s="1"/>
      <c r="G1130" s="1"/>
      <c r="H1130" s="1"/>
      <c r="I1130" s="2"/>
      <c r="J1130" s="1"/>
      <c r="K1130" s="1"/>
      <c r="L1130" s="1"/>
      <c r="M1130" s="1"/>
      <c r="N1130" s="1"/>
      <c r="O1130" s="1"/>
      <c r="P1130" s="1"/>
      <c r="Q1130" s="1"/>
      <c r="R1130" s="1"/>
      <c r="S1130" s="1"/>
      <c r="T1130" s="1"/>
      <c r="U1130" s="1"/>
      <c r="V1130" s="1"/>
      <c r="W1130" s="1"/>
      <c r="X1130" s="1"/>
    </row>
    <row x14ac:dyDescent="0.25" r="1131" customHeight="1" ht="18.75">
      <c r="A1131" s="1"/>
      <c r="B1131" s="1"/>
      <c r="C1131" s="3" t="s">
        <v>94</v>
      </c>
      <c r="D1131" s="3" t="s">
        <v>1172</v>
      </c>
      <c r="E1131" s="1"/>
      <c r="F1131" s="1"/>
      <c r="G1131" s="1"/>
      <c r="H1131" s="1"/>
      <c r="I1131" s="2"/>
      <c r="J1131" s="1"/>
      <c r="K1131" s="1"/>
      <c r="L1131" s="1"/>
      <c r="M1131" s="1"/>
      <c r="N1131" s="1"/>
      <c r="O1131" s="1"/>
      <c r="P1131" s="1"/>
      <c r="Q1131" s="1"/>
      <c r="R1131" s="1"/>
      <c r="S1131" s="1"/>
      <c r="T1131" s="1"/>
      <c r="U1131" s="1"/>
      <c r="V1131" s="1"/>
      <c r="W1131" s="1"/>
      <c r="X1131" s="1"/>
    </row>
    <row x14ac:dyDescent="0.25" r="1132" customHeight="1" ht="18.75">
      <c r="A1132" s="1"/>
      <c r="B1132" s="1"/>
      <c r="C1132" s="3" t="s">
        <v>94</v>
      </c>
      <c r="D1132" s="3" t="s">
        <v>1173</v>
      </c>
      <c r="E1132" s="1"/>
      <c r="F1132" s="1"/>
      <c r="G1132" s="1"/>
      <c r="H1132" s="1"/>
      <c r="I1132" s="2"/>
      <c r="J1132" s="1"/>
      <c r="K1132" s="1"/>
      <c r="L1132" s="1"/>
      <c r="M1132" s="1"/>
      <c r="N1132" s="1"/>
      <c r="O1132" s="1"/>
      <c r="P1132" s="1"/>
      <c r="Q1132" s="1"/>
      <c r="R1132" s="1"/>
      <c r="S1132" s="1"/>
      <c r="T1132" s="1"/>
      <c r="U1132" s="1"/>
      <c r="V1132" s="1"/>
      <c r="W1132" s="1"/>
      <c r="X1132" s="1"/>
    </row>
    <row x14ac:dyDescent="0.25" r="1133" customHeight="1" ht="18.75">
      <c r="A1133" s="1"/>
      <c r="B1133" s="1"/>
      <c r="C1133" s="3" t="s">
        <v>121</v>
      </c>
      <c r="D1133" s="3" t="s">
        <v>1174</v>
      </c>
      <c r="E1133" s="1"/>
      <c r="F1133" s="1"/>
      <c r="G1133" s="1"/>
      <c r="H1133" s="1"/>
      <c r="I1133" s="2"/>
      <c r="J1133" s="1"/>
      <c r="K1133" s="1"/>
      <c r="L1133" s="1"/>
      <c r="M1133" s="1"/>
      <c r="N1133" s="1"/>
      <c r="O1133" s="1"/>
      <c r="P1133" s="1"/>
      <c r="Q1133" s="1"/>
      <c r="R1133" s="1"/>
      <c r="S1133" s="1"/>
      <c r="T1133" s="1"/>
      <c r="U1133" s="1"/>
      <c r="V1133" s="1"/>
      <c r="W1133" s="1"/>
      <c r="X1133" s="1"/>
    </row>
    <row x14ac:dyDescent="0.25" r="1134" customHeight="1" ht="18.75">
      <c r="A1134" s="1"/>
      <c r="B1134" s="1"/>
      <c r="C1134" s="3" t="s">
        <v>94</v>
      </c>
      <c r="D1134" s="3" t="s">
        <v>1175</v>
      </c>
      <c r="E1134" s="1"/>
      <c r="F1134" s="1"/>
      <c r="G1134" s="1"/>
      <c r="H1134" s="1"/>
      <c r="I1134" s="2"/>
      <c r="J1134" s="1"/>
      <c r="K1134" s="1"/>
      <c r="L1134" s="1"/>
      <c r="M1134" s="1"/>
      <c r="N1134" s="1"/>
      <c r="O1134" s="1"/>
      <c r="P1134" s="1"/>
      <c r="Q1134" s="1"/>
      <c r="R1134" s="1"/>
      <c r="S1134" s="1"/>
      <c r="T1134" s="1"/>
      <c r="U1134" s="1"/>
      <c r="V1134" s="1"/>
      <c r="W1134" s="1"/>
      <c r="X1134" s="1"/>
    </row>
    <row x14ac:dyDescent="0.25" r="1135" customHeight="1" ht="18.75">
      <c r="A1135" s="1"/>
      <c r="B1135" s="1"/>
      <c r="C1135" s="3" t="s">
        <v>106</v>
      </c>
      <c r="D1135" s="3" t="s">
        <v>1176</v>
      </c>
      <c r="E1135" s="1"/>
      <c r="F1135" s="1"/>
      <c r="G1135" s="1"/>
      <c r="H1135" s="1"/>
      <c r="I1135" s="2"/>
      <c r="J1135" s="1"/>
      <c r="K1135" s="1"/>
      <c r="L1135" s="1"/>
      <c r="M1135" s="1"/>
      <c r="N1135" s="1"/>
      <c r="O1135" s="1"/>
      <c r="P1135" s="1"/>
      <c r="Q1135" s="1"/>
      <c r="R1135" s="1"/>
      <c r="S1135" s="1"/>
      <c r="T1135" s="1"/>
      <c r="U1135" s="1"/>
      <c r="V1135" s="1"/>
      <c r="W1135" s="1"/>
      <c r="X1135" s="1"/>
    </row>
    <row x14ac:dyDescent="0.25" r="1136" customHeight="1" ht="18.75">
      <c r="A1136" s="1"/>
      <c r="B1136" s="1"/>
      <c r="C1136" s="3" t="s">
        <v>94</v>
      </c>
      <c r="D1136" s="3" t="s">
        <v>1177</v>
      </c>
      <c r="E1136" s="1"/>
      <c r="F1136" s="1"/>
      <c r="G1136" s="1"/>
      <c r="H1136" s="1"/>
      <c r="I1136" s="2"/>
      <c r="J1136" s="1"/>
      <c r="K1136" s="1"/>
      <c r="L1136" s="1"/>
      <c r="M1136" s="1"/>
      <c r="N1136" s="1"/>
      <c r="O1136" s="1"/>
      <c r="P1136" s="1"/>
      <c r="Q1136" s="1"/>
      <c r="R1136" s="1"/>
      <c r="S1136" s="1"/>
      <c r="T1136" s="1"/>
      <c r="U1136" s="1"/>
      <c r="V1136" s="1"/>
      <c r="W1136" s="1"/>
      <c r="X1136" s="1"/>
    </row>
    <row x14ac:dyDescent="0.25" r="1137" customHeight="1" ht="18.75">
      <c r="A1137" s="1"/>
      <c r="B1137" s="1"/>
      <c r="C1137" s="3" t="s">
        <v>106</v>
      </c>
      <c r="D1137" s="3" t="s">
        <v>1178</v>
      </c>
      <c r="E1137" s="1"/>
      <c r="F1137" s="1"/>
      <c r="G1137" s="1"/>
      <c r="H1137" s="1"/>
      <c r="I1137" s="2"/>
      <c r="J1137" s="1"/>
      <c r="K1137" s="1"/>
      <c r="L1137" s="1"/>
      <c r="M1137" s="1"/>
      <c r="N1137" s="1"/>
      <c r="O1137" s="1"/>
      <c r="P1137" s="1"/>
      <c r="Q1137" s="1"/>
      <c r="R1137" s="1"/>
      <c r="S1137" s="1"/>
      <c r="T1137" s="1"/>
      <c r="U1137" s="1"/>
      <c r="V1137" s="1"/>
      <c r="W1137" s="1"/>
      <c r="X1137" s="1"/>
    </row>
    <row x14ac:dyDescent="0.25" r="1138" customHeight="1" ht="18.75">
      <c r="A1138" s="1"/>
      <c r="B1138" s="1"/>
      <c r="C1138" s="3" t="s">
        <v>94</v>
      </c>
      <c r="D1138" s="3" t="s">
        <v>1179</v>
      </c>
      <c r="E1138" s="1"/>
      <c r="F1138" s="1"/>
      <c r="G1138" s="1"/>
      <c r="H1138" s="1"/>
      <c r="I1138" s="2"/>
      <c r="J1138" s="1"/>
      <c r="K1138" s="1"/>
      <c r="L1138" s="1"/>
      <c r="M1138" s="1"/>
      <c r="N1138" s="1"/>
      <c r="O1138" s="1"/>
      <c r="P1138" s="1"/>
      <c r="Q1138" s="1"/>
      <c r="R1138" s="1"/>
      <c r="S1138" s="1"/>
      <c r="T1138" s="1"/>
      <c r="U1138" s="1"/>
      <c r="V1138" s="1"/>
      <c r="W1138" s="1"/>
      <c r="X1138" s="1"/>
    </row>
    <row x14ac:dyDescent="0.25" r="1139" customHeight="1" ht="18.75">
      <c r="A1139" s="1"/>
      <c r="B1139" s="1"/>
      <c r="C1139" s="3" t="s">
        <v>106</v>
      </c>
      <c r="D1139" s="3" t="s">
        <v>1180</v>
      </c>
      <c r="E1139" s="1"/>
      <c r="F1139" s="1"/>
      <c r="G1139" s="1"/>
      <c r="H1139" s="1"/>
      <c r="I1139" s="2"/>
      <c r="J1139" s="1"/>
      <c r="K1139" s="1"/>
      <c r="L1139" s="1"/>
      <c r="M1139" s="1"/>
      <c r="N1139" s="1"/>
      <c r="O1139" s="1"/>
      <c r="P1139" s="1"/>
      <c r="Q1139" s="1"/>
      <c r="R1139" s="1"/>
      <c r="S1139" s="1"/>
      <c r="T1139" s="1"/>
      <c r="U1139" s="1"/>
      <c r="V1139" s="1"/>
      <c r="W1139" s="1"/>
      <c r="X1139" s="1"/>
    </row>
    <row x14ac:dyDescent="0.25" r="1140" customHeight="1" ht="18.75">
      <c r="A1140" s="1"/>
      <c r="B1140" s="1"/>
      <c r="C1140" s="3" t="s">
        <v>94</v>
      </c>
      <c r="D1140" s="3" t="s">
        <v>1181</v>
      </c>
      <c r="E1140" s="1"/>
      <c r="F1140" s="1"/>
      <c r="G1140" s="1"/>
      <c r="H1140" s="1"/>
      <c r="I1140" s="2"/>
      <c r="J1140" s="1"/>
      <c r="K1140" s="1"/>
      <c r="L1140" s="1"/>
      <c r="M1140" s="1"/>
      <c r="N1140" s="1"/>
      <c r="O1140" s="1"/>
      <c r="P1140" s="1"/>
      <c r="Q1140" s="1"/>
      <c r="R1140" s="1"/>
      <c r="S1140" s="1"/>
      <c r="T1140" s="1"/>
      <c r="U1140" s="1"/>
      <c r="V1140" s="1"/>
      <c r="W1140" s="1"/>
      <c r="X1140" s="1"/>
    </row>
    <row x14ac:dyDescent="0.25" r="1141" customHeight="1" ht="18.75">
      <c r="A1141" s="1"/>
      <c r="B1141" s="1"/>
      <c r="C1141" s="3" t="s">
        <v>94</v>
      </c>
      <c r="D1141" s="3" t="s">
        <v>1182</v>
      </c>
      <c r="E1141" s="1"/>
      <c r="F1141" s="1"/>
      <c r="G1141" s="1"/>
      <c r="H1141" s="1"/>
      <c r="I1141" s="2"/>
      <c r="J1141" s="1"/>
      <c r="K1141" s="1"/>
      <c r="L1141" s="1"/>
      <c r="M1141" s="1"/>
      <c r="N1141" s="1"/>
      <c r="O1141" s="1"/>
      <c r="P1141" s="1"/>
      <c r="Q1141" s="1"/>
      <c r="R1141" s="1"/>
      <c r="S1141" s="1"/>
      <c r="T1141" s="1"/>
      <c r="U1141" s="1"/>
      <c r="V1141" s="1"/>
      <c r="W1141" s="1"/>
      <c r="X1141" s="1"/>
    </row>
    <row x14ac:dyDescent="0.25" r="1142" customHeight="1" ht="18.75">
      <c r="A1142" s="1"/>
      <c r="B1142" s="1"/>
      <c r="C1142" s="3" t="s">
        <v>94</v>
      </c>
      <c r="D1142" s="3" t="s">
        <v>1183</v>
      </c>
      <c r="E1142" s="1"/>
      <c r="F1142" s="1"/>
      <c r="G1142" s="1"/>
      <c r="H1142" s="1"/>
      <c r="I1142" s="2"/>
      <c r="J1142" s="1"/>
      <c r="K1142" s="1"/>
      <c r="L1142" s="1"/>
      <c r="M1142" s="1"/>
      <c r="N1142" s="1"/>
      <c r="O1142" s="1"/>
      <c r="P1142" s="1"/>
      <c r="Q1142" s="1"/>
      <c r="R1142" s="1"/>
      <c r="S1142" s="1"/>
      <c r="T1142" s="1"/>
      <c r="U1142" s="1"/>
      <c r="V1142" s="1"/>
      <c r="W1142" s="1"/>
      <c r="X1142" s="1"/>
    </row>
    <row x14ac:dyDescent="0.25" r="1143" customHeight="1" ht="18.75">
      <c r="A1143" s="1"/>
      <c r="B1143" s="1"/>
      <c r="C1143" s="3" t="s">
        <v>94</v>
      </c>
      <c r="D1143" s="3" t="s">
        <v>1184</v>
      </c>
      <c r="E1143" s="1"/>
      <c r="F1143" s="1"/>
      <c r="G1143" s="1"/>
      <c r="H1143" s="1"/>
      <c r="I1143" s="2"/>
      <c r="J1143" s="1"/>
      <c r="K1143" s="1"/>
      <c r="L1143" s="1"/>
      <c r="M1143" s="1"/>
      <c r="N1143" s="1"/>
      <c r="O1143" s="1"/>
      <c r="P1143" s="1"/>
      <c r="Q1143" s="1"/>
      <c r="R1143" s="1"/>
      <c r="S1143" s="1"/>
      <c r="T1143" s="1"/>
      <c r="U1143" s="1"/>
      <c r="V1143" s="1"/>
      <c r="W1143" s="1"/>
      <c r="X1143" s="1"/>
    </row>
    <row x14ac:dyDescent="0.25" r="1144" customHeight="1" ht="18.75">
      <c r="A1144" s="1"/>
      <c r="B1144" s="1"/>
      <c r="C1144" s="3" t="s">
        <v>94</v>
      </c>
      <c r="D1144" s="3" t="s">
        <v>1185</v>
      </c>
      <c r="E1144" s="1"/>
      <c r="F1144" s="1"/>
      <c r="G1144" s="1"/>
      <c r="H1144" s="1"/>
      <c r="I1144" s="2"/>
      <c r="J1144" s="1"/>
      <c r="K1144" s="1"/>
      <c r="L1144" s="1"/>
      <c r="M1144" s="1"/>
      <c r="N1144" s="1"/>
      <c r="O1144" s="1"/>
      <c r="P1144" s="1"/>
      <c r="Q1144" s="1"/>
      <c r="R1144" s="1"/>
      <c r="S1144" s="1"/>
      <c r="T1144" s="1"/>
      <c r="U1144" s="1"/>
      <c r="V1144" s="1"/>
      <c r="W1144" s="1"/>
      <c r="X1144" s="1"/>
    </row>
    <row x14ac:dyDescent="0.25" r="1145" customHeight="1" ht="18.75">
      <c r="A1145" s="1"/>
      <c r="B1145" s="1"/>
      <c r="C1145" s="3" t="s">
        <v>106</v>
      </c>
      <c r="D1145" s="3" t="s">
        <v>1186</v>
      </c>
      <c r="E1145" s="1"/>
      <c r="F1145" s="1"/>
      <c r="G1145" s="1"/>
      <c r="H1145" s="1"/>
      <c r="I1145" s="2"/>
      <c r="J1145" s="1"/>
      <c r="K1145" s="1"/>
      <c r="L1145" s="1"/>
      <c r="M1145" s="1"/>
      <c r="N1145" s="1"/>
      <c r="O1145" s="1"/>
      <c r="P1145" s="1"/>
      <c r="Q1145" s="1"/>
      <c r="R1145" s="1"/>
      <c r="S1145" s="1"/>
      <c r="T1145" s="1"/>
      <c r="U1145" s="1"/>
      <c r="V1145" s="1"/>
      <c r="W1145" s="1"/>
      <c r="X1145" s="1"/>
    </row>
    <row x14ac:dyDescent="0.25" r="1146" customHeight="1" ht="18.75">
      <c r="A1146" s="1"/>
      <c r="B1146" s="1"/>
      <c r="C1146" s="3" t="s">
        <v>94</v>
      </c>
      <c r="D1146" s="3" t="s">
        <v>1187</v>
      </c>
      <c r="E1146" s="1"/>
      <c r="F1146" s="1"/>
      <c r="G1146" s="1"/>
      <c r="H1146" s="1"/>
      <c r="I1146" s="2"/>
      <c r="J1146" s="1"/>
      <c r="K1146" s="1"/>
      <c r="L1146" s="1"/>
      <c r="M1146" s="1"/>
      <c r="N1146" s="1"/>
      <c r="O1146" s="1"/>
      <c r="P1146" s="1"/>
      <c r="Q1146" s="1"/>
      <c r="R1146" s="1"/>
      <c r="S1146" s="1"/>
      <c r="T1146" s="1"/>
      <c r="U1146" s="1"/>
      <c r="V1146" s="1"/>
      <c r="W1146" s="1"/>
      <c r="X1146" s="1"/>
    </row>
    <row x14ac:dyDescent="0.25" r="1147" customHeight="1" ht="18.75">
      <c r="A1147" s="1"/>
      <c r="B1147" s="1"/>
      <c r="C1147" s="3" t="s">
        <v>94</v>
      </c>
      <c r="D1147" s="3" t="s">
        <v>1188</v>
      </c>
      <c r="E1147" s="1"/>
      <c r="F1147" s="1"/>
      <c r="G1147" s="1"/>
      <c r="H1147" s="1"/>
      <c r="I1147" s="2"/>
      <c r="J1147" s="1"/>
      <c r="K1147" s="1"/>
      <c r="L1147" s="1"/>
      <c r="M1147" s="1"/>
      <c r="N1147" s="1"/>
      <c r="O1147" s="1"/>
      <c r="P1147" s="1"/>
      <c r="Q1147" s="1"/>
      <c r="R1147" s="1"/>
      <c r="S1147" s="1"/>
      <c r="T1147" s="1"/>
      <c r="U1147" s="1"/>
      <c r="V1147" s="1"/>
      <c r="W1147" s="1"/>
      <c r="X1147" s="1"/>
    </row>
    <row x14ac:dyDescent="0.25" r="1148" customHeight="1" ht="18.75">
      <c r="A1148" s="1"/>
      <c r="B1148" s="1"/>
      <c r="C1148" s="3" t="s">
        <v>94</v>
      </c>
      <c r="D1148" s="3" t="s">
        <v>1189</v>
      </c>
      <c r="E1148" s="1"/>
      <c r="F1148" s="1"/>
      <c r="G1148" s="1"/>
      <c r="H1148" s="1"/>
      <c r="I1148" s="2"/>
      <c r="J1148" s="1"/>
      <c r="K1148" s="1"/>
      <c r="L1148" s="1"/>
      <c r="M1148" s="1"/>
      <c r="N1148" s="1"/>
      <c r="O1148" s="1"/>
      <c r="P1148" s="1"/>
      <c r="Q1148" s="1"/>
      <c r="R1148" s="1"/>
      <c r="S1148" s="1"/>
      <c r="T1148" s="1"/>
      <c r="U1148" s="1"/>
      <c r="V1148" s="1"/>
      <c r="W1148" s="1"/>
      <c r="X1148" s="1"/>
    </row>
    <row x14ac:dyDescent="0.25" r="1149" customHeight="1" ht="18.75">
      <c r="A1149" s="1"/>
      <c r="B1149" s="1"/>
      <c r="C1149" s="3" t="s">
        <v>94</v>
      </c>
      <c r="D1149" s="3" t="s">
        <v>1190</v>
      </c>
      <c r="E1149" s="1"/>
      <c r="F1149" s="1"/>
      <c r="G1149" s="1"/>
      <c r="H1149" s="1"/>
      <c r="I1149" s="2"/>
      <c r="J1149" s="1"/>
      <c r="K1149" s="1"/>
      <c r="L1149" s="1"/>
      <c r="M1149" s="1"/>
      <c r="N1149" s="1"/>
      <c r="O1149" s="1"/>
      <c r="P1149" s="1"/>
      <c r="Q1149" s="1"/>
      <c r="R1149" s="1"/>
      <c r="S1149" s="1"/>
      <c r="T1149" s="1"/>
      <c r="U1149" s="1"/>
      <c r="V1149" s="1"/>
      <c r="W1149" s="1"/>
      <c r="X1149" s="1"/>
    </row>
    <row x14ac:dyDescent="0.25" r="1150" customHeight="1" ht="18.75">
      <c r="A1150" s="1"/>
      <c r="B1150" s="1"/>
      <c r="C1150" s="3" t="s">
        <v>121</v>
      </c>
      <c r="D1150" s="3" t="s">
        <v>1191</v>
      </c>
      <c r="E1150" s="1"/>
      <c r="F1150" s="1"/>
      <c r="G1150" s="1"/>
      <c r="H1150" s="1"/>
      <c r="I1150" s="2"/>
      <c r="J1150" s="1"/>
      <c r="K1150" s="1"/>
      <c r="L1150" s="1"/>
      <c r="M1150" s="1"/>
      <c r="N1150" s="1"/>
      <c r="O1150" s="1"/>
      <c r="P1150" s="1"/>
      <c r="Q1150" s="1"/>
      <c r="R1150" s="1"/>
      <c r="S1150" s="1"/>
      <c r="T1150" s="1"/>
      <c r="U1150" s="1"/>
      <c r="V1150" s="1"/>
      <c r="W1150" s="1"/>
      <c r="X1150" s="1"/>
    </row>
    <row x14ac:dyDescent="0.25" r="1151" customHeight="1" ht="18.75">
      <c r="A1151" s="1"/>
      <c r="B1151" s="1"/>
      <c r="C1151" s="3" t="s">
        <v>94</v>
      </c>
      <c r="D1151" s="3" t="s">
        <v>1192</v>
      </c>
      <c r="E1151" s="1"/>
      <c r="F1151" s="1"/>
      <c r="G1151" s="1"/>
      <c r="H1151" s="1"/>
      <c r="I1151" s="2"/>
      <c r="J1151" s="1"/>
      <c r="K1151" s="1"/>
      <c r="L1151" s="1"/>
      <c r="M1151" s="1"/>
      <c r="N1151" s="1"/>
      <c r="O1151" s="1"/>
      <c r="P1151" s="1"/>
      <c r="Q1151" s="1"/>
      <c r="R1151" s="1"/>
      <c r="S1151" s="1"/>
      <c r="T1151" s="1"/>
      <c r="U1151" s="1"/>
      <c r="V1151" s="1"/>
      <c r="W1151" s="1"/>
      <c r="X1151" s="1"/>
    </row>
    <row x14ac:dyDescent="0.25" r="1152" customHeight="1" ht="18.75">
      <c r="A1152" s="1"/>
      <c r="B1152" s="1"/>
      <c r="C1152" s="3" t="s">
        <v>94</v>
      </c>
      <c r="D1152" s="3" t="s">
        <v>1193</v>
      </c>
      <c r="E1152" s="1"/>
      <c r="F1152" s="1"/>
      <c r="G1152" s="1"/>
      <c r="H1152" s="1"/>
      <c r="I1152" s="2"/>
      <c r="J1152" s="1"/>
      <c r="K1152" s="1"/>
      <c r="L1152" s="1"/>
      <c r="M1152" s="1"/>
      <c r="N1152" s="1"/>
      <c r="O1152" s="1"/>
      <c r="P1152" s="1"/>
      <c r="Q1152" s="1"/>
      <c r="R1152" s="1"/>
      <c r="S1152" s="1"/>
      <c r="T1152" s="1"/>
      <c r="U1152" s="1"/>
      <c r="V1152" s="1"/>
      <c r="W1152" s="1"/>
      <c r="X1152" s="1"/>
    </row>
    <row x14ac:dyDescent="0.25" r="1153" customHeight="1" ht="18.75">
      <c r="A1153" s="1"/>
      <c r="B1153" s="1"/>
      <c r="C1153" s="3" t="s">
        <v>94</v>
      </c>
      <c r="D1153" s="3" t="s">
        <v>1194</v>
      </c>
      <c r="E1153" s="1"/>
      <c r="F1153" s="1"/>
      <c r="G1153" s="1"/>
      <c r="H1153" s="1"/>
      <c r="I1153" s="2"/>
      <c r="J1153" s="1"/>
      <c r="K1153" s="1"/>
      <c r="L1153" s="1"/>
      <c r="M1153" s="1"/>
      <c r="N1153" s="1"/>
      <c r="O1153" s="1"/>
      <c r="P1153" s="1"/>
      <c r="Q1153" s="1"/>
      <c r="R1153" s="1"/>
      <c r="S1153" s="1"/>
      <c r="T1153" s="1"/>
      <c r="U1153" s="1"/>
      <c r="V1153" s="1"/>
      <c r="W1153" s="1"/>
      <c r="X1153" s="1"/>
    </row>
    <row x14ac:dyDescent="0.25" r="1154" customHeight="1" ht="18.75">
      <c r="A1154" s="1"/>
      <c r="B1154" s="1"/>
      <c r="C1154" s="3" t="s">
        <v>94</v>
      </c>
      <c r="D1154" s="3" t="s">
        <v>1195</v>
      </c>
      <c r="E1154" s="1"/>
      <c r="F1154" s="1"/>
      <c r="G1154" s="1"/>
      <c r="H1154" s="1"/>
      <c r="I1154" s="2"/>
      <c r="J1154" s="1"/>
      <c r="K1154" s="1"/>
      <c r="L1154" s="1"/>
      <c r="M1154" s="1"/>
      <c r="N1154" s="1"/>
      <c r="O1154" s="1"/>
      <c r="P1154" s="1"/>
      <c r="Q1154" s="1"/>
      <c r="R1154" s="1"/>
      <c r="S1154" s="1"/>
      <c r="T1154" s="1"/>
      <c r="U1154" s="1"/>
      <c r="V1154" s="1"/>
      <c r="W1154" s="1"/>
      <c r="X1154" s="1"/>
    </row>
    <row x14ac:dyDescent="0.25" r="1155" customHeight="1" ht="18.75">
      <c r="A1155" s="1"/>
      <c r="B1155" s="1"/>
      <c r="C1155" s="3" t="s">
        <v>94</v>
      </c>
      <c r="D1155" s="3" t="s">
        <v>1196</v>
      </c>
      <c r="E1155" s="1"/>
      <c r="F1155" s="1"/>
      <c r="G1155" s="1"/>
      <c r="H1155" s="1"/>
      <c r="I1155" s="2"/>
      <c r="J1155" s="1"/>
      <c r="K1155" s="1"/>
      <c r="L1155" s="1"/>
      <c r="M1155" s="1"/>
      <c r="N1155" s="1"/>
      <c r="O1155" s="1"/>
      <c r="P1155" s="1"/>
      <c r="Q1155" s="1"/>
      <c r="R1155" s="1"/>
      <c r="S1155" s="1"/>
      <c r="T1155" s="1"/>
      <c r="U1155" s="1"/>
      <c r="V1155" s="1"/>
      <c r="W1155" s="1"/>
      <c r="X1155" s="1"/>
    </row>
    <row x14ac:dyDescent="0.25" r="1156" customHeight="1" ht="18.75">
      <c r="A1156" s="1"/>
      <c r="B1156" s="1"/>
      <c r="C1156" s="3" t="s">
        <v>94</v>
      </c>
      <c r="D1156" s="3" t="s">
        <v>1197</v>
      </c>
      <c r="E1156" s="1"/>
      <c r="F1156" s="1"/>
      <c r="G1156" s="1"/>
      <c r="H1156" s="1"/>
      <c r="I1156" s="2"/>
      <c r="J1156" s="1"/>
      <c r="K1156" s="1"/>
      <c r="L1156" s="1"/>
      <c r="M1156" s="1"/>
      <c r="N1156" s="1"/>
      <c r="O1156" s="1"/>
      <c r="P1156" s="1"/>
      <c r="Q1156" s="1"/>
      <c r="R1156" s="1"/>
      <c r="S1156" s="1"/>
      <c r="T1156" s="1"/>
      <c r="U1156" s="1"/>
      <c r="V1156" s="1"/>
      <c r="W1156" s="1"/>
      <c r="X1156" s="1"/>
    </row>
    <row x14ac:dyDescent="0.25" r="1157" customHeight="1" ht="18.75">
      <c r="A1157" s="1"/>
      <c r="B1157" s="1"/>
      <c r="C1157" s="3" t="s">
        <v>94</v>
      </c>
      <c r="D1157" s="3" t="s">
        <v>1198</v>
      </c>
      <c r="E1157" s="1"/>
      <c r="F1157" s="1"/>
      <c r="G1157" s="1"/>
      <c r="H1157" s="1"/>
      <c r="I1157" s="2"/>
      <c r="J1157" s="1"/>
      <c r="K1157" s="1"/>
      <c r="L1157" s="1"/>
      <c r="M1157" s="1"/>
      <c r="N1157" s="1"/>
      <c r="O1157" s="1"/>
      <c r="P1157" s="1"/>
      <c r="Q1157" s="1"/>
      <c r="R1157" s="1"/>
      <c r="S1157" s="1"/>
      <c r="T1157" s="1"/>
      <c r="U1157" s="1"/>
      <c r="V1157" s="1"/>
      <c r="W1157" s="1"/>
      <c r="X1157" s="1"/>
    </row>
    <row x14ac:dyDescent="0.25" r="1158" customHeight="1" ht="18.75">
      <c r="A1158" s="1"/>
      <c r="B1158" s="1"/>
      <c r="C1158" s="3" t="s">
        <v>94</v>
      </c>
      <c r="D1158" s="3" t="s">
        <v>1199</v>
      </c>
      <c r="E1158" s="1"/>
      <c r="F1158" s="1"/>
      <c r="G1158" s="1"/>
      <c r="H1158" s="1"/>
      <c r="I1158" s="2"/>
      <c r="J1158" s="1"/>
      <c r="K1158" s="1"/>
      <c r="L1158" s="1"/>
      <c r="M1158" s="1"/>
      <c r="N1158" s="1"/>
      <c r="O1158" s="1"/>
      <c r="P1158" s="1"/>
      <c r="Q1158" s="1"/>
      <c r="R1158" s="1"/>
      <c r="S1158" s="1"/>
      <c r="T1158" s="1"/>
      <c r="U1158" s="1"/>
      <c r="V1158" s="1"/>
      <c r="W1158" s="1"/>
      <c r="X1158" s="1"/>
    </row>
    <row x14ac:dyDescent="0.25" r="1159" customHeight="1" ht="18.75">
      <c r="A1159" s="1"/>
      <c r="B1159" s="1"/>
      <c r="C1159" s="3" t="s">
        <v>94</v>
      </c>
      <c r="D1159" s="3" t="s">
        <v>1200</v>
      </c>
      <c r="E1159" s="1"/>
      <c r="F1159" s="1"/>
      <c r="G1159" s="1"/>
      <c r="H1159" s="1"/>
      <c r="I1159" s="2"/>
      <c r="J1159" s="1"/>
      <c r="K1159" s="1"/>
      <c r="L1159" s="1"/>
      <c r="M1159" s="1"/>
      <c r="N1159" s="1"/>
      <c r="O1159" s="1"/>
      <c r="P1159" s="1"/>
      <c r="Q1159" s="1"/>
      <c r="R1159" s="1"/>
      <c r="S1159" s="1"/>
      <c r="T1159" s="1"/>
      <c r="U1159" s="1"/>
      <c r="V1159" s="1"/>
      <c r="W1159" s="1"/>
      <c r="X1159" s="1"/>
    </row>
    <row x14ac:dyDescent="0.25" r="1160" customHeight="1" ht="18.75">
      <c r="A1160" s="1"/>
      <c r="B1160" s="1"/>
      <c r="C1160" s="3" t="s">
        <v>94</v>
      </c>
      <c r="D1160" s="3" t="s">
        <v>1201</v>
      </c>
      <c r="E1160" s="1"/>
      <c r="F1160" s="1"/>
      <c r="G1160" s="1"/>
      <c r="H1160" s="1"/>
      <c r="I1160" s="2"/>
      <c r="J1160" s="1"/>
      <c r="K1160" s="1"/>
      <c r="L1160" s="1"/>
      <c r="M1160" s="1"/>
      <c r="N1160" s="1"/>
      <c r="O1160" s="1"/>
      <c r="P1160" s="1"/>
      <c r="Q1160" s="1"/>
      <c r="R1160" s="1"/>
      <c r="S1160" s="1"/>
      <c r="T1160" s="1"/>
      <c r="U1160" s="1"/>
      <c r="V1160" s="1"/>
      <c r="W1160" s="1"/>
      <c r="X1160" s="1"/>
    </row>
    <row x14ac:dyDescent="0.25" r="1161" customHeight="1" ht="18.75">
      <c r="A1161" s="1"/>
      <c r="B1161" s="1"/>
      <c r="C1161" s="3" t="s">
        <v>94</v>
      </c>
      <c r="D1161" s="3" t="s">
        <v>1202</v>
      </c>
      <c r="E1161" s="1"/>
      <c r="F1161" s="1"/>
      <c r="G1161" s="1"/>
      <c r="H1161" s="1"/>
      <c r="I1161" s="2"/>
      <c r="J1161" s="1"/>
      <c r="K1161" s="1"/>
      <c r="L1161" s="1"/>
      <c r="M1161" s="1"/>
      <c r="N1161" s="1"/>
      <c r="O1161" s="1"/>
      <c r="P1161" s="1"/>
      <c r="Q1161" s="1"/>
      <c r="R1161" s="1"/>
      <c r="S1161" s="1"/>
      <c r="T1161" s="1"/>
      <c r="U1161" s="1"/>
      <c r="V1161" s="1"/>
      <c r="W1161" s="1"/>
      <c r="X1161" s="1"/>
    </row>
    <row x14ac:dyDescent="0.25" r="1162" customHeight="1" ht="18.75">
      <c r="A1162" s="1"/>
      <c r="B1162" s="1"/>
      <c r="C1162" s="3" t="s">
        <v>94</v>
      </c>
      <c r="D1162" s="3" t="s">
        <v>1203</v>
      </c>
      <c r="E1162" s="1"/>
      <c r="F1162" s="1"/>
      <c r="G1162" s="1"/>
      <c r="H1162" s="1"/>
      <c r="I1162" s="2"/>
      <c r="J1162" s="1"/>
      <c r="K1162" s="1"/>
      <c r="L1162" s="1"/>
      <c r="M1162" s="1"/>
      <c r="N1162" s="1"/>
      <c r="O1162" s="1"/>
      <c r="P1162" s="1"/>
      <c r="Q1162" s="1"/>
      <c r="R1162" s="1"/>
      <c r="S1162" s="1"/>
      <c r="T1162" s="1"/>
      <c r="U1162" s="1"/>
      <c r="V1162" s="1"/>
      <c r="W1162" s="1"/>
      <c r="X1162" s="1"/>
    </row>
    <row x14ac:dyDescent="0.25" r="1163" customHeight="1" ht="18.75">
      <c r="A1163" s="1"/>
      <c r="B1163" s="1"/>
      <c r="C1163" s="3" t="s">
        <v>94</v>
      </c>
      <c r="D1163" s="3" t="s">
        <v>1204</v>
      </c>
      <c r="E1163" s="1"/>
      <c r="F1163" s="1"/>
      <c r="G1163" s="1"/>
      <c r="H1163" s="1"/>
      <c r="I1163" s="2"/>
      <c r="J1163" s="1"/>
      <c r="K1163" s="1"/>
      <c r="L1163" s="1"/>
      <c r="M1163" s="1"/>
      <c r="N1163" s="1"/>
      <c r="O1163" s="1"/>
      <c r="P1163" s="1"/>
      <c r="Q1163" s="1"/>
      <c r="R1163" s="1"/>
      <c r="S1163" s="1"/>
      <c r="T1163" s="1"/>
      <c r="U1163" s="1"/>
      <c r="V1163" s="1"/>
      <c r="W1163" s="1"/>
      <c r="X1163" s="1"/>
    </row>
    <row x14ac:dyDescent="0.25" r="1164" customHeight="1" ht="18.75">
      <c r="A1164" s="1"/>
      <c r="B1164" s="1"/>
      <c r="C1164" s="3" t="s">
        <v>94</v>
      </c>
      <c r="D1164" s="3" t="s">
        <v>1205</v>
      </c>
      <c r="E1164" s="1"/>
      <c r="F1164" s="1"/>
      <c r="G1164" s="1"/>
      <c r="H1164" s="1"/>
      <c r="I1164" s="2"/>
      <c r="J1164" s="1"/>
      <c r="K1164" s="1"/>
      <c r="L1164" s="1"/>
      <c r="M1164" s="1"/>
      <c r="N1164" s="1"/>
      <c r="O1164" s="1"/>
      <c r="P1164" s="1"/>
      <c r="Q1164" s="1"/>
      <c r="R1164" s="1"/>
      <c r="S1164" s="1"/>
      <c r="T1164" s="1"/>
      <c r="U1164" s="1"/>
      <c r="V1164" s="1"/>
      <c r="W1164" s="1"/>
      <c r="X1164" s="1"/>
    </row>
    <row x14ac:dyDescent="0.25" r="1165" customHeight="1" ht="18.75">
      <c r="A1165" s="1"/>
      <c r="B1165" s="1"/>
      <c r="C1165" s="3" t="s">
        <v>121</v>
      </c>
      <c r="D1165" s="3" t="s">
        <v>1206</v>
      </c>
      <c r="E1165" s="1"/>
      <c r="F1165" s="1"/>
      <c r="G1165" s="1"/>
      <c r="H1165" s="1"/>
      <c r="I1165" s="2"/>
      <c r="J1165" s="1"/>
      <c r="K1165" s="1"/>
      <c r="L1165" s="1"/>
      <c r="M1165" s="1"/>
      <c r="N1165" s="1"/>
      <c r="O1165" s="1"/>
      <c r="P1165" s="1"/>
      <c r="Q1165" s="1"/>
      <c r="R1165" s="1"/>
      <c r="S1165" s="1"/>
      <c r="T1165" s="1"/>
      <c r="U1165" s="1"/>
      <c r="V1165" s="1"/>
      <c r="W1165" s="1"/>
      <c r="X1165" s="1"/>
    </row>
    <row x14ac:dyDescent="0.25" r="1166" customHeight="1" ht="18.75">
      <c r="A1166" s="1"/>
      <c r="B1166" s="1"/>
      <c r="C1166" s="3" t="s">
        <v>121</v>
      </c>
      <c r="D1166" s="3" t="s">
        <v>1207</v>
      </c>
      <c r="E1166" s="1"/>
      <c r="F1166" s="1"/>
      <c r="G1166" s="1"/>
      <c r="H1166" s="1"/>
      <c r="I1166" s="2"/>
      <c r="J1166" s="1"/>
      <c r="K1166" s="1"/>
      <c r="L1166" s="1"/>
      <c r="M1166" s="1"/>
      <c r="N1166" s="1"/>
      <c r="O1166" s="1"/>
      <c r="P1166" s="1"/>
      <c r="Q1166" s="1"/>
      <c r="R1166" s="1"/>
      <c r="S1166" s="1"/>
      <c r="T1166" s="1"/>
      <c r="U1166" s="1"/>
      <c r="V1166" s="1"/>
      <c r="W1166" s="1"/>
      <c r="X1166" s="1"/>
    </row>
    <row x14ac:dyDescent="0.25" r="1167" customHeight="1" ht="18.75">
      <c r="A1167" s="1"/>
      <c r="B1167" s="1"/>
      <c r="C1167" s="3" t="s">
        <v>94</v>
      </c>
      <c r="D1167" s="3" t="s">
        <v>1208</v>
      </c>
      <c r="E1167" s="1"/>
      <c r="F1167" s="1"/>
      <c r="G1167" s="1"/>
      <c r="H1167" s="1"/>
      <c r="I1167" s="2"/>
      <c r="J1167" s="1"/>
      <c r="K1167" s="1"/>
      <c r="L1167" s="1"/>
      <c r="M1167" s="1"/>
      <c r="N1167" s="1"/>
      <c r="O1167" s="1"/>
      <c r="P1167" s="1"/>
      <c r="Q1167" s="1"/>
      <c r="R1167" s="1"/>
      <c r="S1167" s="1"/>
      <c r="T1167" s="1"/>
      <c r="U1167" s="1"/>
      <c r="V1167" s="1"/>
      <c r="W1167" s="1"/>
      <c r="X1167" s="1"/>
    </row>
    <row x14ac:dyDescent="0.25" r="1168" customHeight="1" ht="18.75">
      <c r="A1168" s="1"/>
      <c r="B1168" s="1"/>
      <c r="C1168" s="3" t="s">
        <v>121</v>
      </c>
      <c r="D1168" s="3" t="s">
        <v>1209</v>
      </c>
      <c r="E1168" s="1"/>
      <c r="F1168" s="1"/>
      <c r="G1168" s="1"/>
      <c r="H1168" s="1"/>
      <c r="I1168" s="2"/>
      <c r="J1168" s="1"/>
      <c r="K1168" s="1"/>
      <c r="L1168" s="1"/>
      <c r="M1168" s="1"/>
      <c r="N1168" s="1"/>
      <c r="O1168" s="1"/>
      <c r="P1168" s="1"/>
      <c r="Q1168" s="1"/>
      <c r="R1168" s="1"/>
      <c r="S1168" s="1"/>
      <c r="T1168" s="1"/>
      <c r="U1168" s="1"/>
      <c r="V1168" s="1"/>
      <c r="W1168" s="1"/>
      <c r="X1168" s="1"/>
    </row>
    <row x14ac:dyDescent="0.25" r="1169" customHeight="1" ht="18.75">
      <c r="A1169" s="1"/>
      <c r="B1169" s="1"/>
      <c r="C1169" s="3" t="s">
        <v>94</v>
      </c>
      <c r="D1169" s="3" t="s">
        <v>1210</v>
      </c>
      <c r="E1169" s="1"/>
      <c r="F1169" s="1"/>
      <c r="G1169" s="1"/>
      <c r="H1169" s="1"/>
      <c r="I1169" s="2"/>
      <c r="J1169" s="1"/>
      <c r="K1169" s="1"/>
      <c r="L1169" s="1"/>
      <c r="M1169" s="1"/>
      <c r="N1169" s="1"/>
      <c r="O1169" s="1"/>
      <c r="P1169" s="1"/>
      <c r="Q1169" s="1"/>
      <c r="R1169" s="1"/>
      <c r="S1169" s="1"/>
      <c r="T1169" s="1"/>
      <c r="U1169" s="1"/>
      <c r="V1169" s="1"/>
      <c r="W1169" s="1"/>
      <c r="X1169" s="1"/>
    </row>
    <row x14ac:dyDescent="0.25" r="1170" customHeight="1" ht="18.75">
      <c r="A1170" s="1"/>
      <c r="B1170" s="1"/>
      <c r="C1170" s="3" t="s">
        <v>94</v>
      </c>
      <c r="D1170" s="3" t="s">
        <v>1211</v>
      </c>
      <c r="E1170" s="1"/>
      <c r="F1170" s="1"/>
      <c r="G1170" s="1"/>
      <c r="H1170" s="1"/>
      <c r="I1170" s="2"/>
      <c r="J1170" s="1"/>
      <c r="K1170" s="1"/>
      <c r="L1170" s="1"/>
      <c r="M1170" s="1"/>
      <c r="N1170" s="1"/>
      <c r="O1170" s="1"/>
      <c r="P1170" s="1"/>
      <c r="Q1170" s="1"/>
      <c r="R1170" s="1"/>
      <c r="S1170" s="1"/>
      <c r="T1170" s="1"/>
      <c r="U1170" s="1"/>
      <c r="V1170" s="1"/>
      <c r="W1170" s="1"/>
      <c r="X1170" s="1"/>
    </row>
    <row x14ac:dyDescent="0.25" r="1171" customHeight="1" ht="18.75">
      <c r="A1171" s="1"/>
      <c r="B1171" s="1"/>
      <c r="C1171" s="3" t="s">
        <v>106</v>
      </c>
      <c r="D1171" s="3" t="s">
        <v>1212</v>
      </c>
      <c r="E1171" s="1"/>
      <c r="F1171" s="1"/>
      <c r="G1171" s="1"/>
      <c r="H1171" s="1"/>
      <c r="I1171" s="2"/>
      <c r="J1171" s="1"/>
      <c r="K1171" s="1"/>
      <c r="L1171" s="1"/>
      <c r="M1171" s="1"/>
      <c r="N1171" s="1"/>
      <c r="O1171" s="1"/>
      <c r="P1171" s="1"/>
      <c r="Q1171" s="1"/>
      <c r="R1171" s="1"/>
      <c r="S1171" s="1"/>
      <c r="T1171" s="1"/>
      <c r="U1171" s="1"/>
      <c r="V1171" s="1"/>
      <c r="W1171" s="1"/>
      <c r="X1171" s="1"/>
    </row>
    <row x14ac:dyDescent="0.25" r="1172" customHeight="1" ht="18.75">
      <c r="A1172" s="1"/>
      <c r="B1172" s="1"/>
      <c r="C1172" s="3" t="s">
        <v>94</v>
      </c>
      <c r="D1172" s="3" t="s">
        <v>1213</v>
      </c>
      <c r="E1172" s="1"/>
      <c r="F1172" s="1"/>
      <c r="G1172" s="1"/>
      <c r="H1172" s="1"/>
      <c r="I1172" s="2"/>
      <c r="J1172" s="1"/>
      <c r="K1172" s="1"/>
      <c r="L1172" s="1"/>
      <c r="M1172" s="1"/>
      <c r="N1172" s="1"/>
      <c r="O1172" s="1"/>
      <c r="P1172" s="1"/>
      <c r="Q1172" s="1"/>
      <c r="R1172" s="1"/>
      <c r="S1172" s="1"/>
      <c r="T1172" s="1"/>
      <c r="U1172" s="1"/>
      <c r="V1172" s="1"/>
      <c r="W1172" s="1"/>
      <c r="X1172" s="1"/>
    </row>
    <row x14ac:dyDescent="0.25" r="1173" customHeight="1" ht="18.75">
      <c r="A1173" s="1"/>
      <c r="B1173" s="1"/>
      <c r="C1173" s="3" t="s">
        <v>94</v>
      </c>
      <c r="D1173" s="3" t="s">
        <v>1214</v>
      </c>
      <c r="E1173" s="1"/>
      <c r="F1173" s="1"/>
      <c r="G1173" s="1"/>
      <c r="H1173" s="1"/>
      <c r="I1173" s="2"/>
      <c r="J1173" s="1"/>
      <c r="K1173" s="1"/>
      <c r="L1173" s="1"/>
      <c r="M1173" s="1"/>
      <c r="N1173" s="1"/>
      <c r="O1173" s="1"/>
      <c r="P1173" s="1"/>
      <c r="Q1173" s="1"/>
      <c r="R1173" s="1"/>
      <c r="S1173" s="1"/>
      <c r="T1173" s="1"/>
      <c r="U1173" s="1"/>
      <c r="V1173" s="1"/>
      <c r="W1173" s="1"/>
      <c r="X1173" s="1"/>
    </row>
    <row x14ac:dyDescent="0.25" r="1174" customHeight="1" ht="18.75">
      <c r="A1174" s="1"/>
      <c r="B1174" s="1"/>
      <c r="C1174" s="3" t="s">
        <v>94</v>
      </c>
      <c r="D1174" s="3" t="s">
        <v>1215</v>
      </c>
      <c r="E1174" s="1"/>
      <c r="F1174" s="1"/>
      <c r="G1174" s="1"/>
      <c r="H1174" s="1"/>
      <c r="I1174" s="2"/>
      <c r="J1174" s="1"/>
      <c r="K1174" s="1"/>
      <c r="L1174" s="1"/>
      <c r="M1174" s="1"/>
      <c r="N1174" s="1"/>
      <c r="O1174" s="1"/>
      <c r="P1174" s="1"/>
      <c r="Q1174" s="1"/>
      <c r="R1174" s="1"/>
      <c r="S1174" s="1"/>
      <c r="T1174" s="1"/>
      <c r="U1174" s="1"/>
      <c r="V1174" s="1"/>
      <c r="W1174" s="1"/>
      <c r="X1174" s="1"/>
    </row>
    <row x14ac:dyDescent="0.25" r="1175" customHeight="1" ht="18.75">
      <c r="A1175" s="1"/>
      <c r="B1175" s="1"/>
      <c r="C1175" s="3" t="s">
        <v>121</v>
      </c>
      <c r="D1175" s="3" t="s">
        <v>1216</v>
      </c>
      <c r="E1175" s="1"/>
      <c r="F1175" s="1"/>
      <c r="G1175" s="1"/>
      <c r="H1175" s="1"/>
      <c r="I1175" s="2"/>
      <c r="J1175" s="1"/>
      <c r="K1175" s="1"/>
      <c r="L1175" s="1"/>
      <c r="M1175" s="1"/>
      <c r="N1175" s="1"/>
      <c r="O1175" s="1"/>
      <c r="P1175" s="1"/>
      <c r="Q1175" s="1"/>
      <c r="R1175" s="1"/>
      <c r="S1175" s="1"/>
      <c r="T1175" s="1"/>
      <c r="U1175" s="1"/>
      <c r="V1175" s="1"/>
      <c r="W1175" s="1"/>
      <c r="X1175" s="1"/>
    </row>
    <row x14ac:dyDescent="0.25" r="1176" customHeight="1" ht="18.75">
      <c r="A1176" s="1"/>
      <c r="B1176" s="1"/>
      <c r="C1176" s="3" t="s">
        <v>121</v>
      </c>
      <c r="D1176" s="3" t="s">
        <v>1217</v>
      </c>
      <c r="E1176" s="1"/>
      <c r="F1176" s="1"/>
      <c r="G1176" s="1"/>
      <c r="H1176" s="1"/>
      <c r="I1176" s="2"/>
      <c r="J1176" s="1"/>
      <c r="K1176" s="1"/>
      <c r="L1176" s="1"/>
      <c r="M1176" s="1"/>
      <c r="N1176" s="1"/>
      <c r="O1176" s="1"/>
      <c r="P1176" s="1"/>
      <c r="Q1176" s="1"/>
      <c r="R1176" s="1"/>
      <c r="S1176" s="1"/>
      <c r="T1176" s="1"/>
      <c r="U1176" s="1"/>
      <c r="V1176" s="1"/>
      <c r="W1176" s="1"/>
      <c r="X1176" s="1"/>
    </row>
    <row x14ac:dyDescent="0.25" r="1177" customHeight="1" ht="18.75">
      <c r="A1177" s="1"/>
      <c r="B1177" s="1"/>
      <c r="C1177" s="3" t="s">
        <v>94</v>
      </c>
      <c r="D1177" s="3" t="s">
        <v>1218</v>
      </c>
      <c r="E1177" s="1"/>
      <c r="F1177" s="1"/>
      <c r="G1177" s="1"/>
      <c r="H1177" s="1"/>
      <c r="I1177" s="2"/>
      <c r="J1177" s="1"/>
      <c r="K1177" s="1"/>
      <c r="L1177" s="1"/>
      <c r="M1177" s="1"/>
      <c r="N1177" s="1"/>
      <c r="O1177" s="1"/>
      <c r="P1177" s="1"/>
      <c r="Q1177" s="1"/>
      <c r="R1177" s="1"/>
      <c r="S1177" s="1"/>
      <c r="T1177" s="1"/>
      <c r="U1177" s="1"/>
      <c r="V1177" s="1"/>
      <c r="W1177" s="1"/>
      <c r="X1177" s="1"/>
    </row>
    <row x14ac:dyDescent="0.25" r="1178" customHeight="1" ht="18.75">
      <c r="A1178" s="1"/>
      <c r="B1178" s="1"/>
      <c r="C1178" s="3" t="s">
        <v>94</v>
      </c>
      <c r="D1178" s="3" t="s">
        <v>1219</v>
      </c>
      <c r="E1178" s="1"/>
      <c r="F1178" s="1"/>
      <c r="G1178" s="1"/>
      <c r="H1178" s="1"/>
      <c r="I1178" s="2"/>
      <c r="J1178" s="1"/>
      <c r="K1178" s="1"/>
      <c r="L1178" s="1"/>
      <c r="M1178" s="1"/>
      <c r="N1178" s="1"/>
      <c r="O1178" s="1"/>
      <c r="P1178" s="1"/>
      <c r="Q1178" s="1"/>
      <c r="R1178" s="1"/>
      <c r="S1178" s="1"/>
      <c r="T1178" s="1"/>
      <c r="U1178" s="1"/>
      <c r="V1178" s="1"/>
      <c r="W1178" s="1"/>
      <c r="X1178" s="1"/>
    </row>
    <row x14ac:dyDescent="0.25" r="1179" customHeight="1" ht="18.75">
      <c r="A1179" s="1"/>
      <c r="B1179" s="1"/>
      <c r="C1179" s="3" t="s">
        <v>121</v>
      </c>
      <c r="D1179" s="3" t="s">
        <v>1220</v>
      </c>
      <c r="E1179" s="1"/>
      <c r="F1179" s="1"/>
      <c r="G1179" s="1"/>
      <c r="H1179" s="1"/>
      <c r="I1179" s="2"/>
      <c r="J1179" s="1"/>
      <c r="K1179" s="1"/>
      <c r="L1179" s="1"/>
      <c r="M1179" s="1"/>
      <c r="N1179" s="1"/>
      <c r="O1179" s="1"/>
      <c r="P1179" s="1"/>
      <c r="Q1179" s="1"/>
      <c r="R1179" s="1"/>
      <c r="S1179" s="1"/>
      <c r="T1179" s="1"/>
      <c r="U1179" s="1"/>
      <c r="V1179" s="1"/>
      <c r="W1179" s="1"/>
      <c r="X1179" s="1"/>
    </row>
    <row x14ac:dyDescent="0.25" r="1180" customHeight="1" ht="18.75">
      <c r="A1180" s="1"/>
      <c r="B1180" s="1"/>
      <c r="C1180" s="3" t="s">
        <v>121</v>
      </c>
      <c r="D1180" s="3" t="s">
        <v>1221</v>
      </c>
      <c r="E1180" s="1"/>
      <c r="F1180" s="1"/>
      <c r="G1180" s="1"/>
      <c r="H1180" s="1"/>
      <c r="I1180" s="2"/>
      <c r="J1180" s="1"/>
      <c r="K1180" s="1"/>
      <c r="L1180" s="1"/>
      <c r="M1180" s="1"/>
      <c r="N1180" s="1"/>
      <c r="O1180" s="1"/>
      <c r="P1180" s="1"/>
      <c r="Q1180" s="1"/>
      <c r="R1180" s="1"/>
      <c r="S1180" s="1"/>
      <c r="T1180" s="1"/>
      <c r="U1180" s="1"/>
      <c r="V1180" s="1"/>
      <c r="W1180" s="1"/>
      <c r="X1180" s="1"/>
    </row>
    <row x14ac:dyDescent="0.25" r="1181" customHeight="1" ht="18.75">
      <c r="A1181" s="1"/>
      <c r="B1181" s="1"/>
      <c r="C1181" s="3" t="s">
        <v>121</v>
      </c>
      <c r="D1181" s="3" t="s">
        <v>1222</v>
      </c>
      <c r="E1181" s="1"/>
      <c r="F1181" s="1"/>
      <c r="G1181" s="1"/>
      <c r="H1181" s="1"/>
      <c r="I1181" s="2"/>
      <c r="J1181" s="1"/>
      <c r="K1181" s="1"/>
      <c r="L1181" s="1"/>
      <c r="M1181" s="1"/>
      <c r="N1181" s="1"/>
      <c r="O1181" s="1"/>
      <c r="P1181" s="1"/>
      <c r="Q1181" s="1"/>
      <c r="R1181" s="1"/>
      <c r="S1181" s="1"/>
      <c r="T1181" s="1"/>
      <c r="U1181" s="1"/>
      <c r="V1181" s="1"/>
      <c r="W1181" s="1"/>
      <c r="X1181" s="1"/>
    </row>
    <row x14ac:dyDescent="0.25" r="1182" customHeight="1" ht="18.75">
      <c r="A1182" s="1"/>
      <c r="B1182" s="1"/>
      <c r="C1182" s="3" t="s">
        <v>121</v>
      </c>
      <c r="D1182" s="3" t="s">
        <v>1223</v>
      </c>
      <c r="E1182" s="1"/>
      <c r="F1182" s="1"/>
      <c r="G1182" s="1"/>
      <c r="H1182" s="1"/>
      <c r="I1182" s="2"/>
      <c r="J1182" s="1"/>
      <c r="K1182" s="1"/>
      <c r="L1182" s="1"/>
      <c r="M1182" s="1"/>
      <c r="N1182" s="1"/>
      <c r="O1182" s="1"/>
      <c r="P1182" s="1"/>
      <c r="Q1182" s="1"/>
      <c r="R1182" s="1"/>
      <c r="S1182" s="1"/>
      <c r="T1182" s="1"/>
      <c r="U1182" s="1"/>
      <c r="V1182" s="1"/>
      <c r="W1182" s="1"/>
      <c r="X1182" s="1"/>
    </row>
    <row x14ac:dyDescent="0.25" r="1183" customHeight="1" ht="18.75">
      <c r="A1183" s="1"/>
      <c r="B1183" s="1"/>
      <c r="C1183" s="3" t="s">
        <v>94</v>
      </c>
      <c r="D1183" s="3" t="s">
        <v>1224</v>
      </c>
      <c r="E1183" s="1"/>
      <c r="F1183" s="1"/>
      <c r="G1183" s="1"/>
      <c r="H1183" s="1"/>
      <c r="I1183" s="2"/>
      <c r="J1183" s="1"/>
      <c r="K1183" s="1"/>
      <c r="L1183" s="1"/>
      <c r="M1183" s="1"/>
      <c r="N1183" s="1"/>
      <c r="O1183" s="1"/>
      <c r="P1183" s="1"/>
      <c r="Q1183" s="1"/>
      <c r="R1183" s="1"/>
      <c r="S1183" s="1"/>
      <c r="T1183" s="1"/>
      <c r="U1183" s="1"/>
      <c r="V1183" s="1"/>
      <c r="W1183" s="1"/>
      <c r="X1183" s="1"/>
    </row>
    <row x14ac:dyDescent="0.25" r="1184" customHeight="1" ht="18.75">
      <c r="A1184" s="1"/>
      <c r="B1184" s="1"/>
      <c r="C1184" s="3" t="s">
        <v>94</v>
      </c>
      <c r="D1184" s="3" t="s">
        <v>1225</v>
      </c>
      <c r="E1184" s="1"/>
      <c r="F1184" s="1"/>
      <c r="G1184" s="1"/>
      <c r="H1184" s="1"/>
      <c r="I1184" s="2"/>
      <c r="J1184" s="1"/>
      <c r="K1184" s="1"/>
      <c r="L1184" s="1"/>
      <c r="M1184" s="1"/>
      <c r="N1184" s="1"/>
      <c r="O1184" s="1"/>
      <c r="P1184" s="1"/>
      <c r="Q1184" s="1"/>
      <c r="R1184" s="1"/>
      <c r="S1184" s="1"/>
      <c r="T1184" s="1"/>
      <c r="U1184" s="1"/>
      <c r="V1184" s="1"/>
      <c r="W1184" s="1"/>
      <c r="X1184" s="1"/>
    </row>
    <row x14ac:dyDescent="0.25" r="1185" customHeight="1" ht="18.75">
      <c r="A1185" s="1"/>
      <c r="B1185" s="1"/>
      <c r="C1185" s="3" t="s">
        <v>94</v>
      </c>
      <c r="D1185" s="3" t="s">
        <v>1226</v>
      </c>
      <c r="E1185" s="1"/>
      <c r="F1185" s="1"/>
      <c r="G1185" s="1"/>
      <c r="H1185" s="1"/>
      <c r="I1185" s="2"/>
      <c r="J1185" s="1"/>
      <c r="K1185" s="1"/>
      <c r="L1185" s="1"/>
      <c r="M1185" s="1"/>
      <c r="N1185" s="1"/>
      <c r="O1185" s="1"/>
      <c r="P1185" s="1"/>
      <c r="Q1185" s="1"/>
      <c r="R1185" s="1"/>
      <c r="S1185" s="1"/>
      <c r="T1185" s="1"/>
      <c r="U1185" s="1"/>
      <c r="V1185" s="1"/>
      <c r="W1185" s="1"/>
      <c r="X1185" s="1"/>
    </row>
    <row x14ac:dyDescent="0.25" r="1186" customHeight="1" ht="18.75">
      <c r="A1186" s="1"/>
      <c r="B1186" s="1"/>
      <c r="C1186" s="3" t="s">
        <v>121</v>
      </c>
      <c r="D1186" s="3" t="s">
        <v>1227</v>
      </c>
      <c r="E1186" s="1"/>
      <c r="F1186" s="1"/>
      <c r="G1186" s="1"/>
      <c r="H1186" s="1"/>
      <c r="I1186" s="2"/>
      <c r="J1186" s="1"/>
      <c r="K1186" s="1"/>
      <c r="L1186" s="1"/>
      <c r="M1186" s="1"/>
      <c r="N1186" s="1"/>
      <c r="O1186" s="1"/>
      <c r="P1186" s="1"/>
      <c r="Q1186" s="1"/>
      <c r="R1186" s="1"/>
      <c r="S1186" s="1"/>
      <c r="T1186" s="1"/>
      <c r="U1186" s="1"/>
      <c r="V1186" s="1"/>
      <c r="W1186" s="1"/>
      <c r="X1186" s="1"/>
    </row>
    <row x14ac:dyDescent="0.25" r="1187" customHeight="1" ht="18.75">
      <c r="A1187" s="1"/>
      <c r="B1187" s="1"/>
      <c r="C1187" s="3" t="s">
        <v>94</v>
      </c>
      <c r="D1187" s="3" t="s">
        <v>1228</v>
      </c>
      <c r="E1187" s="1"/>
      <c r="F1187" s="1"/>
      <c r="G1187" s="1"/>
      <c r="H1187" s="1"/>
      <c r="I1187" s="2"/>
      <c r="J1187" s="1"/>
      <c r="K1187" s="1"/>
      <c r="L1187" s="1"/>
      <c r="M1187" s="1"/>
      <c r="N1187" s="1"/>
      <c r="O1187" s="1"/>
      <c r="P1187" s="1"/>
      <c r="Q1187" s="1"/>
      <c r="R1187" s="1"/>
      <c r="S1187" s="1"/>
      <c r="T1187" s="1"/>
      <c r="U1187" s="1"/>
      <c r="V1187" s="1"/>
      <c r="W1187" s="1"/>
      <c r="X1187" s="1"/>
    </row>
    <row x14ac:dyDescent="0.25" r="1188" customHeight="1" ht="18.75">
      <c r="A1188" s="1"/>
      <c r="B1188" s="1"/>
      <c r="C1188" s="3" t="s">
        <v>94</v>
      </c>
      <c r="D1188" s="3" t="s">
        <v>1229</v>
      </c>
      <c r="E1188" s="1"/>
      <c r="F1188" s="1"/>
      <c r="G1188" s="1"/>
      <c r="H1188" s="1"/>
      <c r="I1188" s="2"/>
      <c r="J1188" s="1"/>
      <c r="K1188" s="1"/>
      <c r="L1188" s="1"/>
      <c r="M1188" s="1"/>
      <c r="N1188" s="1"/>
      <c r="O1188" s="1"/>
      <c r="P1188" s="1"/>
      <c r="Q1188" s="1"/>
      <c r="R1188" s="1"/>
      <c r="S1188" s="1"/>
      <c r="T1188" s="1"/>
      <c r="U1188" s="1"/>
      <c r="V1188" s="1"/>
      <c r="W1188" s="1"/>
      <c r="X1188" s="1"/>
    </row>
    <row x14ac:dyDescent="0.25" r="1189" customHeight="1" ht="18.75">
      <c r="A1189" s="1"/>
      <c r="B1189" s="1"/>
      <c r="C1189" s="3" t="s">
        <v>94</v>
      </c>
      <c r="D1189" s="3" t="s">
        <v>1230</v>
      </c>
      <c r="E1189" s="1"/>
      <c r="F1189" s="1"/>
      <c r="G1189" s="1"/>
      <c r="H1189" s="1"/>
      <c r="I1189" s="2"/>
      <c r="J1189" s="1"/>
      <c r="K1189" s="1"/>
      <c r="L1189" s="1"/>
      <c r="M1189" s="1"/>
      <c r="N1189" s="1"/>
      <c r="O1189" s="1"/>
      <c r="P1189" s="1"/>
      <c r="Q1189" s="1"/>
      <c r="R1189" s="1"/>
      <c r="S1189" s="1"/>
      <c r="T1189" s="1"/>
      <c r="U1189" s="1"/>
      <c r="V1189" s="1"/>
      <c r="W1189" s="1"/>
      <c r="X1189" s="1"/>
    </row>
    <row x14ac:dyDescent="0.25" r="1190" customHeight="1" ht="18.75">
      <c r="A1190" s="1"/>
      <c r="B1190" s="1"/>
      <c r="C1190" s="3" t="s">
        <v>121</v>
      </c>
      <c r="D1190" s="3" t="s">
        <v>1231</v>
      </c>
      <c r="E1190" s="1"/>
      <c r="F1190" s="1"/>
      <c r="G1190" s="1"/>
      <c r="H1190" s="1"/>
      <c r="I1190" s="2"/>
      <c r="J1190" s="1"/>
      <c r="K1190" s="1"/>
      <c r="L1190" s="1"/>
      <c r="M1190" s="1"/>
      <c r="N1190" s="1"/>
      <c r="O1190" s="1"/>
      <c r="P1190" s="1"/>
      <c r="Q1190" s="1"/>
      <c r="R1190" s="1"/>
      <c r="S1190" s="1"/>
      <c r="T1190" s="1"/>
      <c r="U1190" s="1"/>
      <c r="V1190" s="1"/>
      <c r="W1190" s="1"/>
      <c r="X1190" s="1"/>
    </row>
    <row x14ac:dyDescent="0.25" r="1191" customHeight="1" ht="18.75">
      <c r="A1191" s="1"/>
      <c r="B1191" s="1"/>
      <c r="C1191" s="3" t="s">
        <v>94</v>
      </c>
      <c r="D1191" s="3" t="s">
        <v>1232</v>
      </c>
      <c r="E1191" s="1"/>
      <c r="F1191" s="1"/>
      <c r="G1191" s="1"/>
      <c r="H1191" s="1"/>
      <c r="I1191" s="2"/>
      <c r="J1191" s="1"/>
      <c r="K1191" s="1"/>
      <c r="L1191" s="1"/>
      <c r="M1191" s="1"/>
      <c r="N1191" s="1"/>
      <c r="O1191" s="1"/>
      <c r="P1191" s="1"/>
      <c r="Q1191" s="1"/>
      <c r="R1191" s="1"/>
      <c r="S1191" s="1"/>
      <c r="T1191" s="1"/>
      <c r="U1191" s="1"/>
      <c r="V1191" s="1"/>
      <c r="W1191" s="1"/>
      <c r="X1191" s="1"/>
    </row>
    <row x14ac:dyDescent="0.25" r="1192" customHeight="1" ht="18.75">
      <c r="A1192" s="1"/>
      <c r="B1192" s="1"/>
      <c r="C1192" s="3" t="s">
        <v>94</v>
      </c>
      <c r="D1192" s="3" t="s">
        <v>1233</v>
      </c>
      <c r="E1192" s="1"/>
      <c r="F1192" s="1"/>
      <c r="G1192" s="1"/>
      <c r="H1192" s="1"/>
      <c r="I1192" s="2"/>
      <c r="J1192" s="1"/>
      <c r="K1192" s="1"/>
      <c r="L1192" s="1"/>
      <c r="M1192" s="1"/>
      <c r="N1192" s="1"/>
      <c r="O1192" s="1"/>
      <c r="P1192" s="1"/>
      <c r="Q1192" s="1"/>
      <c r="R1192" s="1"/>
      <c r="S1192" s="1"/>
      <c r="T1192" s="1"/>
      <c r="U1192" s="1"/>
      <c r="V1192" s="1"/>
      <c r="W1192" s="1"/>
      <c r="X1192" s="1"/>
    </row>
    <row x14ac:dyDescent="0.25" r="1193" customHeight="1" ht="18.75">
      <c r="A1193" s="1"/>
      <c r="B1193" s="1"/>
      <c r="C1193" s="3" t="s">
        <v>121</v>
      </c>
      <c r="D1193" s="3" t="s">
        <v>1234</v>
      </c>
      <c r="E1193" s="1"/>
      <c r="F1193" s="1"/>
      <c r="G1193" s="1"/>
      <c r="H1193" s="1"/>
      <c r="I1193" s="2"/>
      <c r="J1193" s="1"/>
      <c r="K1193" s="1"/>
      <c r="L1193" s="1"/>
      <c r="M1193" s="1"/>
      <c r="N1193" s="1"/>
      <c r="O1193" s="1"/>
      <c r="P1193" s="1"/>
      <c r="Q1193" s="1"/>
      <c r="R1193" s="1"/>
      <c r="S1193" s="1"/>
      <c r="T1193" s="1"/>
      <c r="U1193" s="1"/>
      <c r="V1193" s="1"/>
      <c r="W1193" s="1"/>
      <c r="X1193" s="1"/>
    </row>
    <row x14ac:dyDescent="0.25" r="1194" customHeight="1" ht="18.75">
      <c r="A1194" s="1"/>
      <c r="B1194" s="1"/>
      <c r="C1194" s="3" t="s">
        <v>94</v>
      </c>
      <c r="D1194" s="3" t="s">
        <v>1235</v>
      </c>
      <c r="E1194" s="1"/>
      <c r="F1194" s="1"/>
      <c r="G1194" s="1"/>
      <c r="H1194" s="1"/>
      <c r="I1194" s="2"/>
      <c r="J1194" s="1"/>
      <c r="K1194" s="1"/>
      <c r="L1194" s="1"/>
      <c r="M1194" s="1"/>
      <c r="N1194" s="1"/>
      <c r="O1194" s="1"/>
      <c r="P1194" s="1"/>
      <c r="Q1194" s="1"/>
      <c r="R1194" s="1"/>
      <c r="S1194" s="1"/>
      <c r="T1194" s="1"/>
      <c r="U1194" s="1"/>
      <c r="V1194" s="1"/>
      <c r="W1194" s="1"/>
      <c r="X1194" s="1"/>
    </row>
    <row x14ac:dyDescent="0.25" r="1195" customHeight="1" ht="18.75">
      <c r="A1195" s="1"/>
      <c r="B1195" s="1"/>
      <c r="C1195" s="3" t="s">
        <v>121</v>
      </c>
      <c r="D1195" s="3" t="s">
        <v>1236</v>
      </c>
      <c r="E1195" s="1"/>
      <c r="F1195" s="1"/>
      <c r="G1195" s="1"/>
      <c r="H1195" s="1"/>
      <c r="I1195" s="2"/>
      <c r="J1195" s="1"/>
      <c r="K1195" s="1"/>
      <c r="L1195" s="1"/>
      <c r="M1195" s="1"/>
      <c r="N1195" s="1"/>
      <c r="O1195" s="1"/>
      <c r="P1195" s="1"/>
      <c r="Q1195" s="1"/>
      <c r="R1195" s="1"/>
      <c r="S1195" s="1"/>
      <c r="T1195" s="1"/>
      <c r="U1195" s="1"/>
      <c r="V1195" s="1"/>
      <c r="W1195" s="1"/>
      <c r="X1195" s="1"/>
    </row>
    <row x14ac:dyDescent="0.25" r="1196" customHeight="1" ht="18.75">
      <c r="A1196" s="1"/>
      <c r="B1196" s="1"/>
      <c r="C1196" s="3" t="s">
        <v>94</v>
      </c>
      <c r="D1196" s="3" t="s">
        <v>1237</v>
      </c>
      <c r="E1196" s="1"/>
      <c r="F1196" s="1"/>
      <c r="G1196" s="1"/>
      <c r="H1196" s="1"/>
      <c r="I1196" s="2"/>
      <c r="J1196" s="1"/>
      <c r="K1196" s="1"/>
      <c r="L1196" s="1"/>
      <c r="M1196" s="1"/>
      <c r="N1196" s="1"/>
      <c r="O1196" s="1"/>
      <c r="P1196" s="1"/>
      <c r="Q1196" s="1"/>
      <c r="R1196" s="1"/>
      <c r="S1196" s="1"/>
      <c r="T1196" s="1"/>
      <c r="U1196" s="1"/>
      <c r="V1196" s="1"/>
      <c r="W1196" s="1"/>
      <c r="X1196" s="1"/>
    </row>
    <row x14ac:dyDescent="0.25" r="1197" customHeight="1" ht="18.75">
      <c r="A1197" s="1"/>
      <c r="B1197" s="1"/>
      <c r="C1197" s="3" t="s">
        <v>121</v>
      </c>
      <c r="D1197" s="3" t="s">
        <v>1238</v>
      </c>
      <c r="E1197" s="1"/>
      <c r="F1197" s="1"/>
      <c r="G1197" s="1"/>
      <c r="H1197" s="1"/>
      <c r="I1197" s="2"/>
      <c r="J1197" s="1"/>
      <c r="K1197" s="1"/>
      <c r="L1197" s="1"/>
      <c r="M1197" s="1"/>
      <c r="N1197" s="1"/>
      <c r="O1197" s="1"/>
      <c r="P1197" s="1"/>
      <c r="Q1197" s="1"/>
      <c r="R1197" s="1"/>
      <c r="S1197" s="1"/>
      <c r="T1197" s="1"/>
      <c r="U1197" s="1"/>
      <c r="V1197" s="1"/>
      <c r="W1197" s="1"/>
      <c r="X1197" s="1"/>
    </row>
    <row x14ac:dyDescent="0.25" r="1198" customHeight="1" ht="18.75">
      <c r="A1198" s="1"/>
      <c r="B1198" s="1"/>
      <c r="C1198" s="3" t="s">
        <v>94</v>
      </c>
      <c r="D1198" s="3" t="s">
        <v>1239</v>
      </c>
      <c r="E1198" s="1"/>
      <c r="F1198" s="1"/>
      <c r="G1198" s="1"/>
      <c r="H1198" s="1"/>
      <c r="I1198" s="2"/>
      <c r="J1198" s="1"/>
      <c r="K1198" s="1"/>
      <c r="L1198" s="1"/>
      <c r="M1198" s="1"/>
      <c r="N1198" s="1"/>
      <c r="O1198" s="1"/>
      <c r="P1198" s="1"/>
      <c r="Q1198" s="1"/>
      <c r="R1198" s="1"/>
      <c r="S1198" s="1"/>
      <c r="T1198" s="1"/>
      <c r="U1198" s="1"/>
      <c r="V1198" s="1"/>
      <c r="W1198" s="1"/>
      <c r="X1198" s="1"/>
    </row>
    <row x14ac:dyDescent="0.25" r="1199" customHeight="1" ht="18.75">
      <c r="A1199" s="1"/>
      <c r="B1199" s="1"/>
      <c r="C1199" s="3" t="s">
        <v>94</v>
      </c>
      <c r="D1199" s="3" t="s">
        <v>1240</v>
      </c>
      <c r="E1199" s="1"/>
      <c r="F1199" s="1"/>
      <c r="G1199" s="1"/>
      <c r="H1199" s="1"/>
      <c r="I1199" s="2"/>
      <c r="J1199" s="1"/>
      <c r="K1199" s="1"/>
      <c r="L1199" s="1"/>
      <c r="M1199" s="1"/>
      <c r="N1199" s="1"/>
      <c r="O1199" s="1"/>
      <c r="P1199" s="1"/>
      <c r="Q1199" s="1"/>
      <c r="R1199" s="1"/>
      <c r="S1199" s="1"/>
      <c r="T1199" s="1"/>
      <c r="U1199" s="1"/>
      <c r="V1199" s="1"/>
      <c r="W1199" s="1"/>
      <c r="X1199" s="1"/>
    </row>
    <row x14ac:dyDescent="0.25" r="1200" customHeight="1" ht="18.75">
      <c r="A1200" s="1"/>
      <c r="B1200" s="1"/>
      <c r="C1200" s="3" t="s">
        <v>121</v>
      </c>
      <c r="D1200" s="3" t="s">
        <v>1241</v>
      </c>
      <c r="E1200" s="1"/>
      <c r="F1200" s="1"/>
      <c r="G1200" s="1"/>
      <c r="H1200" s="1"/>
      <c r="I1200" s="2"/>
      <c r="J1200" s="1"/>
      <c r="K1200" s="1"/>
      <c r="L1200" s="1"/>
      <c r="M1200" s="1"/>
      <c r="N1200" s="1"/>
      <c r="O1200" s="1"/>
      <c r="P1200" s="1"/>
      <c r="Q1200" s="1"/>
      <c r="R1200" s="1"/>
      <c r="S1200" s="1"/>
      <c r="T1200" s="1"/>
      <c r="U1200" s="1"/>
      <c r="V1200" s="1"/>
      <c r="W1200" s="1"/>
      <c r="X1200" s="1"/>
    </row>
    <row x14ac:dyDescent="0.25" r="1201" customHeight="1" ht="18.75">
      <c r="A1201" s="1"/>
      <c r="B1201" s="1"/>
      <c r="C1201" s="3" t="s">
        <v>121</v>
      </c>
      <c r="D1201" s="3" t="s">
        <v>1242</v>
      </c>
      <c r="E1201" s="1"/>
      <c r="F1201" s="1"/>
      <c r="G1201" s="1"/>
      <c r="H1201" s="1"/>
      <c r="I1201" s="2"/>
      <c r="J1201" s="1"/>
      <c r="K1201" s="1"/>
      <c r="L1201" s="1"/>
      <c r="M1201" s="1"/>
      <c r="N1201" s="1"/>
      <c r="O1201" s="1"/>
      <c r="P1201" s="1"/>
      <c r="Q1201" s="1"/>
      <c r="R1201" s="1"/>
      <c r="S1201" s="1"/>
      <c r="T1201" s="1"/>
      <c r="U1201" s="1"/>
      <c r="V1201" s="1"/>
      <c r="W1201" s="1"/>
      <c r="X1201" s="1"/>
    </row>
    <row x14ac:dyDescent="0.25" r="1202" customHeight="1" ht="18.75">
      <c r="A1202" s="1"/>
      <c r="B1202" s="1"/>
      <c r="C1202" s="3" t="s">
        <v>121</v>
      </c>
      <c r="D1202" s="3" t="s">
        <v>1243</v>
      </c>
      <c r="E1202" s="1"/>
      <c r="F1202" s="1"/>
      <c r="G1202" s="1"/>
      <c r="H1202" s="1"/>
      <c r="I1202" s="2"/>
      <c r="J1202" s="1"/>
      <c r="K1202" s="1"/>
      <c r="L1202" s="1"/>
      <c r="M1202" s="1"/>
      <c r="N1202" s="1"/>
      <c r="O1202" s="1"/>
      <c r="P1202" s="1"/>
      <c r="Q1202" s="1"/>
      <c r="R1202" s="1"/>
      <c r="S1202" s="1"/>
      <c r="T1202" s="1"/>
      <c r="U1202" s="1"/>
      <c r="V1202" s="1"/>
      <c r="W1202" s="1"/>
      <c r="X1202" s="1"/>
    </row>
    <row x14ac:dyDescent="0.25" r="1203" customHeight="1" ht="18.75">
      <c r="A1203" s="1"/>
      <c r="B1203" s="1"/>
      <c r="C1203" s="3" t="s">
        <v>94</v>
      </c>
      <c r="D1203" s="3" t="s">
        <v>1244</v>
      </c>
      <c r="E1203" s="1"/>
      <c r="F1203" s="1"/>
      <c r="G1203" s="1"/>
      <c r="H1203" s="1"/>
      <c r="I1203" s="2"/>
      <c r="J1203" s="1"/>
      <c r="K1203" s="1"/>
      <c r="L1203" s="1"/>
      <c r="M1203" s="1"/>
      <c r="N1203" s="1"/>
      <c r="O1203" s="1"/>
      <c r="P1203" s="1"/>
      <c r="Q1203" s="1"/>
      <c r="R1203" s="1"/>
      <c r="S1203" s="1"/>
      <c r="T1203" s="1"/>
      <c r="U1203" s="1"/>
      <c r="V1203" s="1"/>
      <c r="W1203" s="1"/>
      <c r="X1203" s="1"/>
    </row>
    <row x14ac:dyDescent="0.25" r="1204" customHeight="1" ht="18.75">
      <c r="A1204" s="1"/>
      <c r="B1204" s="1"/>
      <c r="C1204" s="3" t="s">
        <v>94</v>
      </c>
      <c r="D1204" s="3" t="s">
        <v>1245</v>
      </c>
      <c r="E1204" s="1"/>
      <c r="F1204" s="1"/>
      <c r="G1204" s="1"/>
      <c r="H1204" s="1"/>
      <c r="I1204" s="2"/>
      <c r="J1204" s="1"/>
      <c r="K1204" s="1"/>
      <c r="L1204" s="1"/>
      <c r="M1204" s="1"/>
      <c r="N1204" s="1"/>
      <c r="O1204" s="1"/>
      <c r="P1204" s="1"/>
      <c r="Q1204" s="1"/>
      <c r="R1204" s="1"/>
      <c r="S1204" s="1"/>
      <c r="T1204" s="1"/>
      <c r="U1204" s="1"/>
      <c r="V1204" s="1"/>
      <c r="W1204" s="1"/>
      <c r="X1204" s="1"/>
    </row>
    <row x14ac:dyDescent="0.25" r="1205" customHeight="1" ht="18.75">
      <c r="A1205" s="1"/>
      <c r="B1205" s="1"/>
      <c r="C1205" s="3" t="s">
        <v>94</v>
      </c>
      <c r="D1205" s="3" t="s">
        <v>1246</v>
      </c>
      <c r="E1205" s="1"/>
      <c r="F1205" s="1"/>
      <c r="G1205" s="1"/>
      <c r="H1205" s="1"/>
      <c r="I1205" s="2"/>
      <c r="J1205" s="1"/>
      <c r="K1205" s="1"/>
      <c r="L1205" s="1"/>
      <c r="M1205" s="1"/>
      <c r="N1205" s="1"/>
      <c r="O1205" s="1"/>
      <c r="P1205" s="1"/>
      <c r="Q1205" s="1"/>
      <c r="R1205" s="1"/>
      <c r="S1205" s="1"/>
      <c r="T1205" s="1"/>
      <c r="U1205" s="1"/>
      <c r="V1205" s="1"/>
      <c r="W1205" s="1"/>
      <c r="X1205" s="1"/>
    </row>
    <row x14ac:dyDescent="0.25" r="1206" customHeight="1" ht="18.75">
      <c r="A1206" s="1"/>
      <c r="B1206" s="1"/>
      <c r="C1206" s="3" t="s">
        <v>94</v>
      </c>
      <c r="D1206" s="3" t="s">
        <v>1247</v>
      </c>
      <c r="E1206" s="1"/>
      <c r="F1206" s="1"/>
      <c r="G1206" s="1"/>
      <c r="H1206" s="1"/>
      <c r="I1206" s="2"/>
      <c r="J1206" s="1"/>
      <c r="K1206" s="1"/>
      <c r="L1206" s="1"/>
      <c r="M1206" s="1"/>
      <c r="N1206" s="1"/>
      <c r="O1206" s="1"/>
      <c r="P1206" s="1"/>
      <c r="Q1206" s="1"/>
      <c r="R1206" s="1"/>
      <c r="S1206" s="1"/>
      <c r="T1206" s="1"/>
      <c r="U1206" s="1"/>
      <c r="V1206" s="1"/>
      <c r="W1206" s="1"/>
      <c r="X1206" s="1"/>
    </row>
    <row x14ac:dyDescent="0.25" r="1207" customHeight="1" ht="18.75">
      <c r="A1207" s="1"/>
      <c r="B1207" s="1"/>
      <c r="C1207" s="3" t="s">
        <v>94</v>
      </c>
      <c r="D1207" s="3" t="s">
        <v>1248</v>
      </c>
      <c r="E1207" s="1"/>
      <c r="F1207" s="1"/>
      <c r="G1207" s="1"/>
      <c r="H1207" s="1"/>
      <c r="I1207" s="2"/>
      <c r="J1207" s="1"/>
      <c r="K1207" s="1"/>
      <c r="L1207" s="1"/>
      <c r="M1207" s="1"/>
      <c r="N1207" s="1"/>
      <c r="O1207" s="1"/>
      <c r="P1207" s="1"/>
      <c r="Q1207" s="1"/>
      <c r="R1207" s="1"/>
      <c r="S1207" s="1"/>
      <c r="T1207" s="1"/>
      <c r="U1207" s="1"/>
      <c r="V1207" s="1"/>
      <c r="W1207" s="1"/>
      <c r="X1207" s="1"/>
    </row>
    <row x14ac:dyDescent="0.25" r="1208" customHeight="1" ht="18.75">
      <c r="A1208" s="1"/>
      <c r="B1208" s="1"/>
      <c r="C1208" s="3" t="s">
        <v>121</v>
      </c>
      <c r="D1208" s="3" t="s">
        <v>1249</v>
      </c>
      <c r="E1208" s="1"/>
      <c r="F1208" s="1"/>
      <c r="G1208" s="1"/>
      <c r="H1208" s="1"/>
      <c r="I1208" s="2"/>
      <c r="J1208" s="1"/>
      <c r="K1208" s="1"/>
      <c r="L1208" s="1"/>
      <c r="M1208" s="1"/>
      <c r="N1208" s="1"/>
      <c r="O1208" s="1"/>
      <c r="P1208" s="1"/>
      <c r="Q1208" s="1"/>
      <c r="R1208" s="1"/>
      <c r="S1208" s="1"/>
      <c r="T1208" s="1"/>
      <c r="U1208" s="1"/>
      <c r="V1208" s="1"/>
      <c r="W1208" s="1"/>
      <c r="X1208" s="1"/>
    </row>
    <row x14ac:dyDescent="0.25" r="1209" customHeight="1" ht="18.75">
      <c r="A1209" s="1"/>
      <c r="B1209" s="1"/>
      <c r="C1209" s="3" t="s">
        <v>121</v>
      </c>
      <c r="D1209" s="3" t="s">
        <v>1250</v>
      </c>
      <c r="E1209" s="1"/>
      <c r="F1209" s="1"/>
      <c r="G1209" s="1"/>
      <c r="H1209" s="1"/>
      <c r="I1209" s="2"/>
      <c r="J1209" s="1"/>
      <c r="K1209" s="1"/>
      <c r="L1209" s="1"/>
      <c r="M1209" s="1"/>
      <c r="N1209" s="1"/>
      <c r="O1209" s="1"/>
      <c r="P1209" s="1"/>
      <c r="Q1209" s="1"/>
      <c r="R1209" s="1"/>
      <c r="S1209" s="1"/>
      <c r="T1209" s="1"/>
      <c r="U1209" s="1"/>
      <c r="V1209" s="1"/>
      <c r="W1209" s="1"/>
      <c r="X1209" s="1"/>
    </row>
    <row x14ac:dyDescent="0.25" r="1210" customHeight="1" ht="18.75">
      <c r="A1210" s="1"/>
      <c r="B1210" s="1"/>
      <c r="C1210" s="3" t="s">
        <v>94</v>
      </c>
      <c r="D1210" s="3" t="s">
        <v>1251</v>
      </c>
      <c r="E1210" s="1"/>
      <c r="F1210" s="1"/>
      <c r="G1210" s="1"/>
      <c r="H1210" s="1"/>
      <c r="I1210" s="2"/>
      <c r="J1210" s="1"/>
      <c r="K1210" s="1"/>
      <c r="L1210" s="1"/>
      <c r="M1210" s="1"/>
      <c r="N1210" s="1"/>
      <c r="O1210" s="1"/>
      <c r="P1210" s="1"/>
      <c r="Q1210" s="1"/>
      <c r="R1210" s="1"/>
      <c r="S1210" s="1"/>
      <c r="T1210" s="1"/>
      <c r="U1210" s="1"/>
      <c r="V1210" s="1"/>
      <c r="W1210" s="1"/>
      <c r="X1210" s="1"/>
    </row>
    <row x14ac:dyDescent="0.25" r="1211" customHeight="1" ht="18.75">
      <c r="A1211" s="1"/>
      <c r="B1211" s="1"/>
      <c r="C1211" s="3" t="s">
        <v>94</v>
      </c>
      <c r="D1211" s="3" t="s">
        <v>1252</v>
      </c>
      <c r="E1211" s="1"/>
      <c r="F1211" s="1"/>
      <c r="G1211" s="1"/>
      <c r="H1211" s="1"/>
      <c r="I1211" s="2"/>
      <c r="J1211" s="1"/>
      <c r="K1211" s="1"/>
      <c r="L1211" s="1"/>
      <c r="M1211" s="1"/>
      <c r="N1211" s="1"/>
      <c r="O1211" s="1"/>
      <c r="P1211" s="1"/>
      <c r="Q1211" s="1"/>
      <c r="R1211" s="1"/>
      <c r="S1211" s="1"/>
      <c r="T1211" s="1"/>
      <c r="U1211" s="1"/>
      <c r="V1211" s="1"/>
      <c r="W1211" s="1"/>
      <c r="X1211" s="1"/>
    </row>
    <row x14ac:dyDescent="0.25" r="1212" customHeight="1" ht="18.75">
      <c r="A1212" s="1"/>
      <c r="B1212" s="1"/>
      <c r="C1212" s="3" t="s">
        <v>94</v>
      </c>
      <c r="D1212" s="3" t="s">
        <v>1253</v>
      </c>
      <c r="E1212" s="1"/>
      <c r="F1212" s="1"/>
      <c r="G1212" s="1"/>
      <c r="H1212" s="1"/>
      <c r="I1212" s="2"/>
      <c r="J1212" s="1"/>
      <c r="K1212" s="1"/>
      <c r="L1212" s="1"/>
      <c r="M1212" s="1"/>
      <c r="N1212" s="1"/>
      <c r="O1212" s="1"/>
      <c r="P1212" s="1"/>
      <c r="Q1212" s="1"/>
      <c r="R1212" s="1"/>
      <c r="S1212" s="1"/>
      <c r="T1212" s="1"/>
      <c r="U1212" s="1"/>
      <c r="V1212" s="1"/>
      <c r="W1212" s="1"/>
      <c r="X1212" s="1"/>
    </row>
    <row x14ac:dyDescent="0.25" r="1213" customHeight="1" ht="18.75">
      <c r="A1213" s="1"/>
      <c r="B1213" s="1"/>
      <c r="C1213" s="3" t="s">
        <v>94</v>
      </c>
      <c r="D1213" s="3" t="s">
        <v>1254</v>
      </c>
      <c r="E1213" s="1"/>
      <c r="F1213" s="1"/>
      <c r="G1213" s="1"/>
      <c r="H1213" s="1"/>
      <c r="I1213" s="2"/>
      <c r="J1213" s="1"/>
      <c r="K1213" s="1"/>
      <c r="L1213" s="1"/>
      <c r="M1213" s="1"/>
      <c r="N1213" s="1"/>
      <c r="O1213" s="1"/>
      <c r="P1213" s="1"/>
      <c r="Q1213" s="1"/>
      <c r="R1213" s="1"/>
      <c r="S1213" s="1"/>
      <c r="T1213" s="1"/>
      <c r="U1213" s="1"/>
      <c r="V1213" s="1"/>
      <c r="W1213" s="1"/>
      <c r="X1213" s="1"/>
    </row>
    <row x14ac:dyDescent="0.25" r="1214" customHeight="1" ht="18.75">
      <c r="A1214" s="1"/>
      <c r="B1214" s="1"/>
      <c r="C1214" s="3" t="s">
        <v>94</v>
      </c>
      <c r="D1214" s="3" t="s">
        <v>1255</v>
      </c>
      <c r="E1214" s="1"/>
      <c r="F1214" s="1"/>
      <c r="G1214" s="1"/>
      <c r="H1214" s="1"/>
      <c r="I1214" s="2"/>
      <c r="J1214" s="1"/>
      <c r="K1214" s="1"/>
      <c r="L1214" s="1"/>
      <c r="M1214" s="1"/>
      <c r="N1214" s="1"/>
      <c r="O1214" s="1"/>
      <c r="P1214" s="1"/>
      <c r="Q1214" s="1"/>
      <c r="R1214" s="1"/>
      <c r="S1214" s="1"/>
      <c r="T1214" s="1"/>
      <c r="U1214" s="1"/>
      <c r="V1214" s="1"/>
      <c r="W1214" s="1"/>
      <c r="X1214" s="1"/>
    </row>
    <row x14ac:dyDescent="0.25" r="1215" customHeight="1" ht="18.75">
      <c r="A1215" s="1"/>
      <c r="B1215" s="1"/>
      <c r="C1215" s="3" t="s">
        <v>94</v>
      </c>
      <c r="D1215" s="3" t="s">
        <v>1256</v>
      </c>
      <c r="E1215" s="1"/>
      <c r="F1215" s="1"/>
      <c r="G1215" s="1"/>
      <c r="H1215" s="1"/>
      <c r="I1215" s="2"/>
      <c r="J1215" s="1"/>
      <c r="K1215" s="1"/>
      <c r="L1215" s="1"/>
      <c r="M1215" s="1"/>
      <c r="N1215" s="1"/>
      <c r="O1215" s="1"/>
      <c r="P1215" s="1"/>
      <c r="Q1215" s="1"/>
      <c r="R1215" s="1"/>
      <c r="S1215" s="1"/>
      <c r="T1215" s="1"/>
      <c r="U1215" s="1"/>
      <c r="V1215" s="1"/>
      <c r="W1215" s="1"/>
      <c r="X1215" s="1"/>
    </row>
    <row x14ac:dyDescent="0.25" r="1216" customHeight="1" ht="18.75">
      <c r="A1216" s="1"/>
      <c r="B1216" s="1"/>
      <c r="C1216" s="3" t="s">
        <v>94</v>
      </c>
      <c r="D1216" s="3" t="s">
        <v>1257</v>
      </c>
      <c r="E1216" s="1"/>
      <c r="F1216" s="1"/>
      <c r="G1216" s="1"/>
      <c r="H1216" s="1"/>
      <c r="I1216" s="2"/>
      <c r="J1216" s="1"/>
      <c r="K1216" s="1"/>
      <c r="L1216" s="1"/>
      <c r="M1216" s="1"/>
      <c r="N1216" s="1"/>
      <c r="O1216" s="1"/>
      <c r="P1216" s="1"/>
      <c r="Q1216" s="1"/>
      <c r="R1216" s="1"/>
      <c r="S1216" s="1"/>
      <c r="T1216" s="1"/>
      <c r="U1216" s="1"/>
      <c r="V1216" s="1"/>
      <c r="W1216" s="1"/>
      <c r="X1216" s="1"/>
    </row>
    <row x14ac:dyDescent="0.25" r="1217" customHeight="1" ht="18.75">
      <c r="A1217" s="1"/>
      <c r="B1217" s="1"/>
      <c r="C1217" s="3" t="s">
        <v>121</v>
      </c>
      <c r="D1217" s="3" t="s">
        <v>1258</v>
      </c>
      <c r="E1217" s="1"/>
      <c r="F1217" s="1"/>
      <c r="G1217" s="1"/>
      <c r="H1217" s="1"/>
      <c r="I1217" s="2"/>
      <c r="J1217" s="1"/>
      <c r="K1217" s="1"/>
      <c r="L1217" s="1"/>
      <c r="M1217" s="1"/>
      <c r="N1217" s="1"/>
      <c r="O1217" s="1"/>
      <c r="P1217" s="1"/>
      <c r="Q1217" s="1"/>
      <c r="R1217" s="1"/>
      <c r="S1217" s="1"/>
      <c r="T1217" s="1"/>
      <c r="U1217" s="1"/>
      <c r="V1217" s="1"/>
      <c r="W1217" s="1"/>
      <c r="X1217" s="1"/>
    </row>
    <row x14ac:dyDescent="0.25" r="1218" customHeight="1" ht="18.75">
      <c r="A1218" s="1"/>
      <c r="B1218" s="1"/>
      <c r="C1218" s="3" t="s">
        <v>94</v>
      </c>
      <c r="D1218" s="3" t="s">
        <v>1259</v>
      </c>
      <c r="E1218" s="1"/>
      <c r="F1218" s="1"/>
      <c r="G1218" s="1"/>
      <c r="H1218" s="1"/>
      <c r="I1218" s="2"/>
      <c r="J1218" s="1"/>
      <c r="K1218" s="1"/>
      <c r="L1218" s="1"/>
      <c r="M1218" s="1"/>
      <c r="N1218" s="1"/>
      <c r="O1218" s="1"/>
      <c r="P1218" s="1"/>
      <c r="Q1218" s="1"/>
      <c r="R1218" s="1"/>
      <c r="S1218" s="1"/>
      <c r="T1218" s="1"/>
      <c r="U1218" s="1"/>
      <c r="V1218" s="1"/>
      <c r="W1218" s="1"/>
      <c r="X1218" s="1"/>
    </row>
    <row x14ac:dyDescent="0.25" r="1219" customHeight="1" ht="18.75">
      <c r="A1219" s="1"/>
      <c r="B1219" s="1"/>
      <c r="C1219" s="3" t="s">
        <v>121</v>
      </c>
      <c r="D1219" s="3" t="s">
        <v>1260</v>
      </c>
      <c r="E1219" s="1"/>
      <c r="F1219" s="1"/>
      <c r="G1219" s="1"/>
      <c r="H1219" s="1"/>
      <c r="I1219" s="2"/>
      <c r="J1219" s="1"/>
      <c r="K1219" s="1"/>
      <c r="L1219" s="1"/>
      <c r="M1219" s="1"/>
      <c r="N1219" s="1"/>
      <c r="O1219" s="1"/>
      <c r="P1219" s="1"/>
      <c r="Q1219" s="1"/>
      <c r="R1219" s="1"/>
      <c r="S1219" s="1"/>
      <c r="T1219" s="1"/>
      <c r="U1219" s="1"/>
      <c r="V1219" s="1"/>
      <c r="W1219" s="1"/>
      <c r="X1219" s="1"/>
    </row>
    <row x14ac:dyDescent="0.25" r="1220" customHeight="1" ht="18.75">
      <c r="A1220" s="1"/>
      <c r="B1220" s="1"/>
      <c r="C1220" s="3" t="s">
        <v>121</v>
      </c>
      <c r="D1220" s="3" t="s">
        <v>1261</v>
      </c>
      <c r="E1220" s="1"/>
      <c r="F1220" s="1"/>
      <c r="G1220" s="1"/>
      <c r="H1220" s="1"/>
      <c r="I1220" s="2"/>
      <c r="J1220" s="1"/>
      <c r="K1220" s="1"/>
      <c r="L1220" s="1"/>
      <c r="M1220" s="1"/>
      <c r="N1220" s="1"/>
      <c r="O1220" s="1"/>
      <c r="P1220" s="1"/>
      <c r="Q1220" s="1"/>
      <c r="R1220" s="1"/>
      <c r="S1220" s="1"/>
      <c r="T1220" s="1"/>
      <c r="U1220" s="1"/>
      <c r="V1220" s="1"/>
      <c r="W1220" s="1"/>
      <c r="X1220" s="1"/>
    </row>
    <row x14ac:dyDescent="0.25" r="1221" customHeight="1" ht="18.75">
      <c r="A1221" s="1"/>
      <c r="B1221" s="1"/>
      <c r="C1221" s="3" t="s">
        <v>94</v>
      </c>
      <c r="D1221" s="3" t="s">
        <v>1262</v>
      </c>
      <c r="E1221" s="1"/>
      <c r="F1221" s="1"/>
      <c r="G1221" s="1"/>
      <c r="H1221" s="1"/>
      <c r="I1221" s="2"/>
      <c r="J1221" s="1"/>
      <c r="K1221" s="1"/>
      <c r="L1221" s="1"/>
      <c r="M1221" s="1"/>
      <c r="N1221" s="1"/>
      <c r="O1221" s="1"/>
      <c r="P1221" s="1"/>
      <c r="Q1221" s="1"/>
      <c r="R1221" s="1"/>
      <c r="S1221" s="1"/>
      <c r="T1221" s="1"/>
      <c r="U1221" s="1"/>
      <c r="V1221" s="1"/>
      <c r="W1221" s="1"/>
      <c r="X1221" s="1"/>
    </row>
    <row x14ac:dyDescent="0.25" r="1222" customHeight="1" ht="18.75">
      <c r="A1222" s="1"/>
      <c r="B1222" s="1"/>
      <c r="C1222" s="3" t="s">
        <v>94</v>
      </c>
      <c r="D1222" s="3" t="s">
        <v>1263</v>
      </c>
      <c r="E1222" s="1"/>
      <c r="F1222" s="1"/>
      <c r="G1222" s="1"/>
      <c r="H1222" s="1"/>
      <c r="I1222" s="2"/>
      <c r="J1222" s="1"/>
      <c r="K1222" s="1"/>
      <c r="L1222" s="1"/>
      <c r="M1222" s="1"/>
      <c r="N1222" s="1"/>
      <c r="O1222" s="1"/>
      <c r="P1222" s="1"/>
      <c r="Q1222" s="1"/>
      <c r="R1222" s="1"/>
      <c r="S1222" s="1"/>
      <c r="T1222" s="1"/>
      <c r="U1222" s="1"/>
      <c r="V1222" s="1"/>
      <c r="W1222" s="1"/>
      <c r="X1222" s="1"/>
    </row>
    <row x14ac:dyDescent="0.25" r="1223" customHeight="1" ht="18.75">
      <c r="A1223" s="1"/>
      <c r="B1223" s="1"/>
      <c r="C1223" s="3" t="s">
        <v>94</v>
      </c>
      <c r="D1223" s="3" t="s">
        <v>1264</v>
      </c>
      <c r="E1223" s="1"/>
      <c r="F1223" s="1"/>
      <c r="G1223" s="1"/>
      <c r="H1223" s="1"/>
      <c r="I1223" s="2"/>
      <c r="J1223" s="1"/>
      <c r="K1223" s="1"/>
      <c r="L1223" s="1"/>
      <c r="M1223" s="1"/>
      <c r="N1223" s="1"/>
      <c r="O1223" s="1"/>
      <c r="P1223" s="1"/>
      <c r="Q1223" s="1"/>
      <c r="R1223" s="1"/>
      <c r="S1223" s="1"/>
      <c r="T1223" s="1"/>
      <c r="U1223" s="1"/>
      <c r="V1223" s="1"/>
      <c r="W1223" s="1"/>
      <c r="X1223" s="1"/>
    </row>
    <row x14ac:dyDescent="0.25" r="1224" customHeight="1" ht="18.75">
      <c r="A1224" s="1"/>
      <c r="B1224" s="1"/>
      <c r="C1224" s="3" t="s">
        <v>94</v>
      </c>
      <c r="D1224" s="3" t="s">
        <v>1265</v>
      </c>
      <c r="E1224" s="1"/>
      <c r="F1224" s="1"/>
      <c r="G1224" s="1"/>
      <c r="H1224" s="1"/>
      <c r="I1224" s="2"/>
      <c r="J1224" s="1"/>
      <c r="K1224" s="1"/>
      <c r="L1224" s="1"/>
      <c r="M1224" s="1"/>
      <c r="N1224" s="1"/>
      <c r="O1224" s="1"/>
      <c r="P1224" s="1"/>
      <c r="Q1224" s="1"/>
      <c r="R1224" s="1"/>
      <c r="S1224" s="1"/>
      <c r="T1224" s="1"/>
      <c r="U1224" s="1"/>
      <c r="V1224" s="1"/>
      <c r="W1224" s="1"/>
      <c r="X1224" s="1"/>
    </row>
    <row x14ac:dyDescent="0.25" r="1225" customHeight="1" ht="18.75">
      <c r="A1225" s="1"/>
      <c r="B1225" s="1"/>
      <c r="C1225" s="3" t="s">
        <v>94</v>
      </c>
      <c r="D1225" s="3" t="s">
        <v>1266</v>
      </c>
      <c r="E1225" s="1"/>
      <c r="F1225" s="1"/>
      <c r="G1225" s="1"/>
      <c r="H1225" s="1"/>
      <c r="I1225" s="2"/>
      <c r="J1225" s="1"/>
      <c r="K1225" s="1"/>
      <c r="L1225" s="1"/>
      <c r="M1225" s="1"/>
      <c r="N1225" s="1"/>
      <c r="O1225" s="1"/>
      <c r="P1225" s="1"/>
      <c r="Q1225" s="1"/>
      <c r="R1225" s="1"/>
      <c r="S1225" s="1"/>
      <c r="T1225" s="1"/>
      <c r="U1225" s="1"/>
      <c r="V1225" s="1"/>
      <c r="W1225" s="1"/>
      <c r="X1225" s="1"/>
    </row>
    <row x14ac:dyDescent="0.25" r="1226" customHeight="1" ht="18.75">
      <c r="A1226" s="1"/>
      <c r="B1226" s="1"/>
      <c r="C1226" s="3" t="s">
        <v>106</v>
      </c>
      <c r="D1226" s="3" t="s">
        <v>1267</v>
      </c>
      <c r="E1226" s="1"/>
      <c r="F1226" s="1"/>
      <c r="G1226" s="1"/>
      <c r="H1226" s="1"/>
      <c r="I1226" s="2"/>
      <c r="J1226" s="1"/>
      <c r="K1226" s="1"/>
      <c r="L1226" s="1"/>
      <c r="M1226" s="1"/>
      <c r="N1226" s="1"/>
      <c r="O1226" s="1"/>
      <c r="P1226" s="1"/>
      <c r="Q1226" s="1"/>
      <c r="R1226" s="1"/>
      <c r="S1226" s="1"/>
      <c r="T1226" s="1"/>
      <c r="U1226" s="1"/>
      <c r="V1226" s="1"/>
      <c r="W1226" s="1"/>
      <c r="X1226" s="1"/>
    </row>
    <row x14ac:dyDescent="0.25" r="1227" customHeight="1" ht="18.75">
      <c r="A1227" s="1"/>
      <c r="B1227" s="1"/>
      <c r="C1227" s="3" t="s">
        <v>141</v>
      </c>
      <c r="D1227" s="3" t="s">
        <v>1268</v>
      </c>
      <c r="E1227" s="1"/>
      <c r="F1227" s="1"/>
      <c r="G1227" s="1"/>
      <c r="H1227" s="1"/>
      <c r="I1227" s="2"/>
      <c r="J1227" s="1"/>
      <c r="K1227" s="1"/>
      <c r="L1227" s="1"/>
      <c r="M1227" s="1"/>
      <c r="N1227" s="1"/>
      <c r="O1227" s="1"/>
      <c r="P1227" s="1"/>
      <c r="Q1227" s="1"/>
      <c r="R1227" s="1"/>
      <c r="S1227" s="1"/>
      <c r="T1227" s="1"/>
      <c r="U1227" s="1"/>
      <c r="V1227" s="1"/>
      <c r="W1227" s="1"/>
      <c r="X1227" s="1"/>
    </row>
    <row x14ac:dyDescent="0.25" r="1228" customHeight="1" ht="18.75">
      <c r="A1228" s="1"/>
      <c r="B1228" s="1"/>
      <c r="C1228" s="3" t="s">
        <v>106</v>
      </c>
      <c r="D1228" s="3" t="s">
        <v>1269</v>
      </c>
      <c r="E1228" s="1"/>
      <c r="F1228" s="1"/>
      <c r="G1228" s="1"/>
      <c r="H1228" s="1"/>
      <c r="I1228" s="2"/>
      <c r="J1228" s="1"/>
      <c r="K1228" s="1"/>
      <c r="L1228" s="1"/>
      <c r="M1228" s="1"/>
      <c r="N1228" s="1"/>
      <c r="O1228" s="1"/>
      <c r="P1228" s="1"/>
      <c r="Q1228" s="1"/>
      <c r="R1228" s="1"/>
      <c r="S1228" s="1"/>
      <c r="T1228" s="1"/>
      <c r="U1228" s="1"/>
      <c r="V1228" s="1"/>
      <c r="W1228" s="1"/>
      <c r="X1228" s="1"/>
    </row>
    <row x14ac:dyDescent="0.25" r="1229" customHeight="1" ht="18.75">
      <c r="A1229" s="1"/>
      <c r="B1229" s="1"/>
      <c r="C1229" s="3" t="s">
        <v>94</v>
      </c>
      <c r="D1229" s="3" t="s">
        <v>1270</v>
      </c>
      <c r="E1229" s="1"/>
      <c r="F1229" s="1"/>
      <c r="G1229" s="1"/>
      <c r="H1229" s="1"/>
      <c r="I1229" s="2"/>
      <c r="J1229" s="1"/>
      <c r="K1229" s="1"/>
      <c r="L1229" s="1"/>
      <c r="M1229" s="1"/>
      <c r="N1229" s="1"/>
      <c r="O1229" s="1"/>
      <c r="P1229" s="1"/>
      <c r="Q1229" s="1"/>
      <c r="R1229" s="1"/>
      <c r="S1229" s="1"/>
      <c r="T1229" s="1"/>
      <c r="U1229" s="1"/>
      <c r="V1229" s="1"/>
      <c r="W1229" s="1"/>
      <c r="X1229" s="1"/>
    </row>
    <row x14ac:dyDescent="0.25" r="1230" customHeight="1" ht="18.75">
      <c r="A1230" s="1"/>
      <c r="B1230" s="1"/>
      <c r="C1230" s="3" t="s">
        <v>121</v>
      </c>
      <c r="D1230" s="3" t="s">
        <v>1271</v>
      </c>
      <c r="E1230" s="1"/>
      <c r="F1230" s="1"/>
      <c r="G1230" s="1"/>
      <c r="H1230" s="1"/>
      <c r="I1230" s="2"/>
      <c r="J1230" s="1"/>
      <c r="K1230" s="1"/>
      <c r="L1230" s="1"/>
      <c r="M1230" s="1"/>
      <c r="N1230" s="1"/>
      <c r="O1230" s="1"/>
      <c r="P1230" s="1"/>
      <c r="Q1230" s="1"/>
      <c r="R1230" s="1"/>
      <c r="S1230" s="1"/>
      <c r="T1230" s="1"/>
      <c r="U1230" s="1"/>
      <c r="V1230" s="1"/>
      <c r="W1230" s="1"/>
      <c r="X1230" s="1"/>
    </row>
    <row x14ac:dyDescent="0.25" r="1231" customHeight="1" ht="18.75">
      <c r="A1231" s="1"/>
      <c r="B1231" s="1"/>
      <c r="C1231" s="3" t="s">
        <v>94</v>
      </c>
      <c r="D1231" s="3" t="s">
        <v>1272</v>
      </c>
      <c r="E1231" s="1"/>
      <c r="F1231" s="1"/>
      <c r="G1231" s="1"/>
      <c r="H1231" s="1"/>
      <c r="I1231" s="2"/>
      <c r="J1231" s="1"/>
      <c r="K1231" s="1"/>
      <c r="L1231" s="1"/>
      <c r="M1231" s="1"/>
      <c r="N1231" s="1"/>
      <c r="O1231" s="1"/>
      <c r="P1231" s="1"/>
      <c r="Q1231" s="1"/>
      <c r="R1231" s="1"/>
      <c r="S1231" s="1"/>
      <c r="T1231" s="1"/>
      <c r="U1231" s="1"/>
      <c r="V1231" s="1"/>
      <c r="W1231" s="1"/>
      <c r="X1231" s="1"/>
    </row>
    <row x14ac:dyDescent="0.25" r="1232" customHeight="1" ht="18.75">
      <c r="A1232" s="1"/>
      <c r="B1232" s="1"/>
      <c r="C1232" s="3" t="s">
        <v>94</v>
      </c>
      <c r="D1232" s="3" t="s">
        <v>1273</v>
      </c>
      <c r="E1232" s="1"/>
      <c r="F1232" s="1"/>
      <c r="G1232" s="1"/>
      <c r="H1232" s="1"/>
      <c r="I1232" s="2"/>
      <c r="J1232" s="1"/>
      <c r="K1232" s="1"/>
      <c r="L1232" s="1"/>
      <c r="M1232" s="1"/>
      <c r="N1232" s="1"/>
      <c r="O1232" s="1"/>
      <c r="P1232" s="1"/>
      <c r="Q1232" s="1"/>
      <c r="R1232" s="1"/>
      <c r="S1232" s="1"/>
      <c r="T1232" s="1"/>
      <c r="U1232" s="1"/>
      <c r="V1232" s="1"/>
      <c r="W1232" s="1"/>
      <c r="X1232" s="1"/>
    </row>
    <row x14ac:dyDescent="0.25" r="1233" customHeight="1" ht="18.75">
      <c r="A1233" s="1"/>
      <c r="B1233" s="1"/>
      <c r="C1233" s="3" t="s">
        <v>94</v>
      </c>
      <c r="D1233" s="3" t="s">
        <v>1274</v>
      </c>
      <c r="E1233" s="1"/>
      <c r="F1233" s="1"/>
      <c r="G1233" s="1"/>
      <c r="H1233" s="1"/>
      <c r="I1233" s="2"/>
      <c r="J1233" s="1"/>
      <c r="K1233" s="1"/>
      <c r="L1233" s="1"/>
      <c r="M1233" s="1"/>
      <c r="N1233" s="1"/>
      <c r="O1233" s="1"/>
      <c r="P1233" s="1"/>
      <c r="Q1233" s="1"/>
      <c r="R1233" s="1"/>
      <c r="S1233" s="1"/>
      <c r="T1233" s="1"/>
      <c r="U1233" s="1"/>
      <c r="V1233" s="1"/>
      <c r="W1233" s="1"/>
      <c r="X1233" s="1"/>
    </row>
    <row x14ac:dyDescent="0.25" r="1234" customHeight="1" ht="18.75">
      <c r="A1234" s="1"/>
      <c r="B1234" s="1"/>
      <c r="C1234" s="3" t="s">
        <v>94</v>
      </c>
      <c r="D1234" s="3" t="s">
        <v>1207</v>
      </c>
      <c r="E1234" s="1"/>
      <c r="F1234" s="1"/>
      <c r="G1234" s="1"/>
      <c r="H1234" s="1"/>
      <c r="I1234" s="2"/>
      <c r="J1234" s="1"/>
      <c r="K1234" s="1"/>
      <c r="L1234" s="1"/>
      <c r="M1234" s="1"/>
      <c r="N1234" s="1"/>
      <c r="O1234" s="1"/>
      <c r="P1234" s="1"/>
      <c r="Q1234" s="1"/>
      <c r="R1234" s="1"/>
      <c r="S1234" s="1"/>
      <c r="T1234" s="1"/>
      <c r="U1234" s="1"/>
      <c r="V1234" s="1"/>
      <c r="W1234" s="1"/>
      <c r="X1234" s="1"/>
    </row>
    <row x14ac:dyDescent="0.25" r="1235" customHeight="1" ht="18.75">
      <c r="A1235" s="1"/>
      <c r="B1235" s="1"/>
      <c r="C1235" s="3" t="s">
        <v>106</v>
      </c>
      <c r="D1235" s="3" t="s">
        <v>1275</v>
      </c>
      <c r="E1235" s="1"/>
      <c r="F1235" s="1"/>
      <c r="G1235" s="1"/>
      <c r="H1235" s="1"/>
      <c r="I1235" s="2"/>
      <c r="J1235" s="1"/>
      <c r="K1235" s="1"/>
      <c r="L1235" s="1"/>
      <c r="M1235" s="1"/>
      <c r="N1235" s="1"/>
      <c r="O1235" s="1"/>
      <c r="P1235" s="1"/>
      <c r="Q1235" s="1"/>
      <c r="R1235" s="1"/>
      <c r="S1235" s="1"/>
      <c r="T1235" s="1"/>
      <c r="U1235" s="1"/>
      <c r="V1235" s="1"/>
      <c r="W1235" s="1"/>
      <c r="X1235" s="1"/>
    </row>
    <row x14ac:dyDescent="0.25" r="1236" customHeight="1" ht="18.75">
      <c r="A1236" s="1"/>
      <c r="B1236" s="1"/>
      <c r="C1236" s="3" t="s">
        <v>121</v>
      </c>
      <c r="D1236" s="3" t="s">
        <v>1276</v>
      </c>
      <c r="E1236" s="1"/>
      <c r="F1236" s="1"/>
      <c r="G1236" s="1"/>
      <c r="H1236" s="1"/>
      <c r="I1236" s="2"/>
      <c r="J1236" s="1"/>
      <c r="K1236" s="1"/>
      <c r="L1236" s="1"/>
      <c r="M1236" s="1"/>
      <c r="N1236" s="1"/>
      <c r="O1236" s="1"/>
      <c r="P1236" s="1"/>
      <c r="Q1236" s="1"/>
      <c r="R1236" s="1"/>
      <c r="S1236" s="1"/>
      <c r="T1236" s="1"/>
      <c r="U1236" s="1"/>
      <c r="V1236" s="1"/>
      <c r="W1236" s="1"/>
      <c r="X1236" s="1"/>
    </row>
    <row x14ac:dyDescent="0.25" r="1237" customHeight="1" ht="18.75">
      <c r="A1237" s="1"/>
      <c r="B1237" s="1"/>
      <c r="C1237" s="3" t="s">
        <v>94</v>
      </c>
      <c r="D1237" s="3" t="s">
        <v>1277</v>
      </c>
      <c r="E1237" s="1"/>
      <c r="F1237" s="1"/>
      <c r="G1237" s="1"/>
      <c r="H1237" s="1"/>
      <c r="I1237" s="2"/>
      <c r="J1237" s="1"/>
      <c r="K1237" s="1"/>
      <c r="L1237" s="1"/>
      <c r="M1237" s="1"/>
      <c r="N1237" s="1"/>
      <c r="O1237" s="1"/>
      <c r="P1237" s="1"/>
      <c r="Q1237" s="1"/>
      <c r="R1237" s="1"/>
      <c r="S1237" s="1"/>
      <c r="T1237" s="1"/>
      <c r="U1237" s="1"/>
      <c r="V1237" s="1"/>
      <c r="W1237" s="1"/>
      <c r="X1237" s="1"/>
    </row>
    <row x14ac:dyDescent="0.25" r="1238" customHeight="1" ht="18.75">
      <c r="A1238" s="1"/>
      <c r="B1238" s="1"/>
      <c r="C1238" s="3" t="s">
        <v>121</v>
      </c>
      <c r="D1238" s="3" t="s">
        <v>1278</v>
      </c>
      <c r="E1238" s="1"/>
      <c r="F1238" s="1"/>
      <c r="G1238" s="1"/>
      <c r="H1238" s="1"/>
      <c r="I1238" s="2"/>
      <c r="J1238" s="1"/>
      <c r="K1238" s="1"/>
      <c r="L1238" s="1"/>
      <c r="M1238" s="1"/>
      <c r="N1238" s="1"/>
      <c r="O1238" s="1"/>
      <c r="P1238" s="1"/>
      <c r="Q1238" s="1"/>
      <c r="R1238" s="1"/>
      <c r="S1238" s="1"/>
      <c r="T1238" s="1"/>
      <c r="U1238" s="1"/>
      <c r="V1238" s="1"/>
      <c r="W1238" s="1"/>
      <c r="X1238" s="1"/>
    </row>
    <row x14ac:dyDescent="0.25" r="1239" customHeight="1" ht="18.75">
      <c r="A1239" s="1"/>
      <c r="B1239" s="1"/>
      <c r="C1239" s="3" t="s">
        <v>94</v>
      </c>
      <c r="D1239" s="3" t="s">
        <v>674</v>
      </c>
      <c r="E1239" s="1"/>
      <c r="F1239" s="1"/>
      <c r="G1239" s="1"/>
      <c r="H1239" s="1"/>
      <c r="I1239" s="2"/>
      <c r="J1239" s="1"/>
      <c r="K1239" s="1"/>
      <c r="L1239" s="1"/>
      <c r="M1239" s="1"/>
      <c r="N1239" s="1"/>
      <c r="O1239" s="1"/>
      <c r="P1239" s="1"/>
      <c r="Q1239" s="1"/>
      <c r="R1239" s="1"/>
      <c r="S1239" s="1"/>
      <c r="T1239" s="1"/>
      <c r="U1239" s="1"/>
      <c r="V1239" s="1"/>
      <c r="W1239" s="1"/>
      <c r="X1239" s="1"/>
    </row>
    <row x14ac:dyDescent="0.25" r="1240" customHeight="1" ht="18.75">
      <c r="A1240" s="1"/>
      <c r="B1240" s="1"/>
      <c r="C1240" s="3" t="s">
        <v>94</v>
      </c>
      <c r="D1240" s="3" t="s">
        <v>1279</v>
      </c>
      <c r="E1240" s="1"/>
      <c r="F1240" s="1"/>
      <c r="G1240" s="1"/>
      <c r="H1240" s="1"/>
      <c r="I1240" s="2"/>
      <c r="J1240" s="1"/>
      <c r="K1240" s="1"/>
      <c r="L1240" s="1"/>
      <c r="M1240" s="1"/>
      <c r="N1240" s="1"/>
      <c r="O1240" s="1"/>
      <c r="P1240" s="1"/>
      <c r="Q1240" s="1"/>
      <c r="R1240" s="1"/>
      <c r="S1240" s="1"/>
      <c r="T1240" s="1"/>
      <c r="U1240" s="1"/>
      <c r="V1240" s="1"/>
      <c r="W1240" s="1"/>
      <c r="X1240" s="1"/>
    </row>
    <row x14ac:dyDescent="0.25" r="1241" customHeight="1" ht="18.75">
      <c r="A1241" s="1"/>
      <c r="B1241" s="1"/>
      <c r="C1241" s="3" t="s">
        <v>121</v>
      </c>
      <c r="D1241" s="3" t="s">
        <v>1280</v>
      </c>
      <c r="E1241" s="1"/>
      <c r="F1241" s="1"/>
      <c r="G1241" s="1"/>
      <c r="H1241" s="1"/>
      <c r="I1241" s="2"/>
      <c r="J1241" s="1"/>
      <c r="K1241" s="1"/>
      <c r="L1241" s="1"/>
      <c r="M1241" s="1"/>
      <c r="N1241" s="1"/>
      <c r="O1241" s="1"/>
      <c r="P1241" s="1"/>
      <c r="Q1241" s="1"/>
      <c r="R1241" s="1"/>
      <c r="S1241" s="1"/>
      <c r="T1241" s="1"/>
      <c r="U1241" s="1"/>
      <c r="V1241" s="1"/>
      <c r="W1241" s="1"/>
      <c r="X1241" s="1"/>
    </row>
    <row x14ac:dyDescent="0.25" r="1242" customHeight="1" ht="18.75">
      <c r="A1242" s="1"/>
      <c r="B1242" s="1"/>
      <c r="C1242" s="3" t="s">
        <v>94</v>
      </c>
      <c r="D1242" s="3" t="s">
        <v>1281</v>
      </c>
      <c r="E1242" s="1"/>
      <c r="F1242" s="1"/>
      <c r="G1242" s="1"/>
      <c r="H1242" s="1"/>
      <c r="I1242" s="2"/>
      <c r="J1242" s="1"/>
      <c r="K1242" s="1"/>
      <c r="L1242" s="1"/>
      <c r="M1242" s="1"/>
      <c r="N1242" s="1"/>
      <c r="O1242" s="1"/>
      <c r="P1242" s="1"/>
      <c r="Q1242" s="1"/>
      <c r="R1242" s="1"/>
      <c r="S1242" s="1"/>
      <c r="T1242" s="1"/>
      <c r="U1242" s="1"/>
      <c r="V1242" s="1"/>
      <c r="W1242" s="1"/>
      <c r="X1242" s="1"/>
    </row>
    <row x14ac:dyDescent="0.25" r="1243" customHeight="1" ht="18.75">
      <c r="A1243" s="1"/>
      <c r="B1243" s="1"/>
      <c r="C1243" s="3" t="s">
        <v>94</v>
      </c>
      <c r="D1243" s="3" t="s">
        <v>1282</v>
      </c>
      <c r="E1243" s="1"/>
      <c r="F1243" s="1"/>
      <c r="G1243" s="1"/>
      <c r="H1243" s="1"/>
      <c r="I1243" s="2"/>
      <c r="J1243" s="1"/>
      <c r="K1243" s="1"/>
      <c r="L1243" s="1"/>
      <c r="M1243" s="1"/>
      <c r="N1243" s="1"/>
      <c r="O1243" s="1"/>
      <c r="P1243" s="1"/>
      <c r="Q1243" s="1"/>
      <c r="R1243" s="1"/>
      <c r="S1243" s="1"/>
      <c r="T1243" s="1"/>
      <c r="U1243" s="1"/>
      <c r="V1243" s="1"/>
      <c r="W1243" s="1"/>
      <c r="X1243" s="1"/>
    </row>
    <row x14ac:dyDescent="0.25" r="1244" customHeight="1" ht="18.75">
      <c r="A1244" s="1"/>
      <c r="B1244" s="1"/>
      <c r="C1244" s="3" t="s">
        <v>121</v>
      </c>
      <c r="D1244" s="3" t="s">
        <v>1283</v>
      </c>
      <c r="E1244" s="1"/>
      <c r="F1244" s="1"/>
      <c r="G1244" s="1"/>
      <c r="H1244" s="1"/>
      <c r="I1244" s="2"/>
      <c r="J1244" s="1"/>
      <c r="K1244" s="1"/>
      <c r="L1244" s="1"/>
      <c r="M1244" s="1"/>
      <c r="N1244" s="1"/>
      <c r="O1244" s="1"/>
      <c r="P1244" s="1"/>
      <c r="Q1244" s="1"/>
      <c r="R1244" s="1"/>
      <c r="S1244" s="1"/>
      <c r="T1244" s="1"/>
      <c r="U1244" s="1"/>
      <c r="V1244" s="1"/>
      <c r="W1244" s="1"/>
      <c r="X1244" s="1"/>
    </row>
    <row x14ac:dyDescent="0.25" r="1245" customHeight="1" ht="18.75">
      <c r="A1245" s="1"/>
      <c r="B1245" s="1"/>
      <c r="C1245" s="3" t="s">
        <v>94</v>
      </c>
      <c r="D1245" s="3" t="s">
        <v>1284</v>
      </c>
      <c r="E1245" s="1"/>
      <c r="F1245" s="1"/>
      <c r="G1245" s="1"/>
      <c r="H1245" s="1"/>
      <c r="I1245" s="2"/>
      <c r="J1245" s="1"/>
      <c r="K1245" s="1"/>
      <c r="L1245" s="1"/>
      <c r="M1245" s="1"/>
      <c r="N1245" s="1"/>
      <c r="O1245" s="1"/>
      <c r="P1245" s="1"/>
      <c r="Q1245" s="1"/>
      <c r="R1245" s="1"/>
      <c r="S1245" s="1"/>
      <c r="T1245" s="1"/>
      <c r="U1245" s="1"/>
      <c r="V1245" s="1"/>
      <c r="W1245" s="1"/>
      <c r="X1245" s="1"/>
    </row>
    <row x14ac:dyDescent="0.25" r="1246" customHeight="1" ht="18.75">
      <c r="A1246" s="1"/>
      <c r="B1246" s="1"/>
      <c r="C1246" s="3" t="s">
        <v>94</v>
      </c>
      <c r="D1246" s="3" t="s">
        <v>1285</v>
      </c>
      <c r="E1246" s="1"/>
      <c r="F1246" s="1"/>
      <c r="G1246" s="1"/>
      <c r="H1246" s="1"/>
      <c r="I1246" s="2"/>
      <c r="J1246" s="1"/>
      <c r="K1246" s="1"/>
      <c r="L1246" s="1"/>
      <c r="M1246" s="1"/>
      <c r="N1246" s="1"/>
      <c r="O1246" s="1"/>
      <c r="P1246" s="1"/>
      <c r="Q1246" s="1"/>
      <c r="R1246" s="1"/>
      <c r="S1246" s="1"/>
      <c r="T1246" s="1"/>
      <c r="U1246" s="1"/>
      <c r="V1246" s="1"/>
      <c r="W1246" s="1"/>
      <c r="X1246" s="1"/>
    </row>
    <row x14ac:dyDescent="0.25" r="1247" customHeight="1" ht="18.75">
      <c r="A1247" s="1"/>
      <c r="B1247" s="1"/>
      <c r="C1247" s="3" t="s">
        <v>94</v>
      </c>
      <c r="D1247" s="3" t="s">
        <v>1286</v>
      </c>
      <c r="E1247" s="1"/>
      <c r="F1247" s="1"/>
      <c r="G1247" s="1"/>
      <c r="H1247" s="1"/>
      <c r="I1247" s="2"/>
      <c r="J1247" s="1"/>
      <c r="K1247" s="1"/>
      <c r="L1247" s="1"/>
      <c r="M1247" s="1"/>
      <c r="N1247" s="1"/>
      <c r="O1247" s="1"/>
      <c r="P1247" s="1"/>
      <c r="Q1247" s="1"/>
      <c r="R1247" s="1"/>
      <c r="S1247" s="1"/>
      <c r="T1247" s="1"/>
      <c r="U1247" s="1"/>
      <c r="V1247" s="1"/>
      <c r="W1247" s="1"/>
      <c r="X1247" s="1"/>
    </row>
    <row x14ac:dyDescent="0.25" r="1248" customHeight="1" ht="18.75">
      <c r="A1248" s="1"/>
      <c r="B1248" s="1"/>
      <c r="C1248" s="3" t="s">
        <v>94</v>
      </c>
      <c r="D1248" s="3" t="s">
        <v>1287</v>
      </c>
      <c r="E1248" s="1"/>
      <c r="F1248" s="1"/>
      <c r="G1248" s="1"/>
      <c r="H1248" s="1"/>
      <c r="I1248" s="2"/>
      <c r="J1248" s="1"/>
      <c r="K1248" s="1"/>
      <c r="L1248" s="1"/>
      <c r="M1248" s="1"/>
      <c r="N1248" s="1"/>
      <c r="O1248" s="1"/>
      <c r="P1248" s="1"/>
      <c r="Q1248" s="1"/>
      <c r="R1248" s="1"/>
      <c r="S1248" s="1"/>
      <c r="T1248" s="1"/>
      <c r="U1248" s="1"/>
      <c r="V1248" s="1"/>
      <c r="W1248" s="1"/>
      <c r="X1248" s="1"/>
    </row>
    <row x14ac:dyDescent="0.25" r="1249" customHeight="1" ht="18.75">
      <c r="A1249" s="1"/>
      <c r="B1249" s="1"/>
      <c r="C1249" s="3" t="s">
        <v>94</v>
      </c>
      <c r="D1249" s="3" t="s">
        <v>1288</v>
      </c>
      <c r="E1249" s="1"/>
      <c r="F1249" s="1"/>
      <c r="G1249" s="1"/>
      <c r="H1249" s="1"/>
      <c r="I1249" s="2"/>
      <c r="J1249" s="1"/>
      <c r="K1249" s="1"/>
      <c r="L1249" s="1"/>
      <c r="M1249" s="1"/>
      <c r="N1249" s="1"/>
      <c r="O1249" s="1"/>
      <c r="P1249" s="1"/>
      <c r="Q1249" s="1"/>
      <c r="R1249" s="1"/>
      <c r="S1249" s="1"/>
      <c r="T1249" s="1"/>
      <c r="U1249" s="1"/>
      <c r="V1249" s="1"/>
      <c r="W1249" s="1"/>
      <c r="X1249" s="1"/>
    </row>
    <row x14ac:dyDescent="0.25" r="1250" customHeight="1" ht="18.75">
      <c r="A1250" s="1"/>
      <c r="B1250" s="1"/>
      <c r="C1250" s="3" t="s">
        <v>94</v>
      </c>
      <c r="D1250" s="3" t="s">
        <v>1289</v>
      </c>
      <c r="E1250" s="1"/>
      <c r="F1250" s="1"/>
      <c r="G1250" s="1"/>
      <c r="H1250" s="1"/>
      <c r="I1250" s="2"/>
      <c r="J1250" s="1"/>
      <c r="K1250" s="1"/>
      <c r="L1250" s="1"/>
      <c r="M1250" s="1"/>
      <c r="N1250" s="1"/>
      <c r="O1250" s="1"/>
      <c r="P1250" s="1"/>
      <c r="Q1250" s="1"/>
      <c r="R1250" s="1"/>
      <c r="S1250" s="1"/>
      <c r="T1250" s="1"/>
      <c r="U1250" s="1"/>
      <c r="V1250" s="1"/>
      <c r="W1250" s="1"/>
      <c r="X1250" s="1"/>
    </row>
    <row x14ac:dyDescent="0.25" r="1251" customHeight="1" ht="18.75">
      <c r="A1251" s="1"/>
      <c r="B1251" s="1"/>
      <c r="C1251" s="3" t="s">
        <v>94</v>
      </c>
      <c r="D1251" s="3" t="s">
        <v>1290</v>
      </c>
      <c r="E1251" s="1"/>
      <c r="F1251" s="1"/>
      <c r="G1251" s="1"/>
      <c r="H1251" s="1"/>
      <c r="I1251" s="2"/>
      <c r="J1251" s="1"/>
      <c r="K1251" s="1"/>
      <c r="L1251" s="1"/>
      <c r="M1251" s="1"/>
      <c r="N1251" s="1"/>
      <c r="O1251" s="1"/>
      <c r="P1251" s="1"/>
      <c r="Q1251" s="1"/>
      <c r="R1251" s="1"/>
      <c r="S1251" s="1"/>
      <c r="T1251" s="1"/>
      <c r="U1251" s="1"/>
      <c r="V1251" s="1"/>
      <c r="W1251" s="1"/>
      <c r="X1251" s="1"/>
    </row>
    <row x14ac:dyDescent="0.25" r="1252" customHeight="1" ht="18.75">
      <c r="A1252" s="1"/>
      <c r="B1252" s="1"/>
      <c r="C1252" s="3" t="s">
        <v>94</v>
      </c>
      <c r="D1252" s="3" t="s">
        <v>1291</v>
      </c>
      <c r="E1252" s="1"/>
      <c r="F1252" s="1"/>
      <c r="G1252" s="1"/>
      <c r="H1252" s="1"/>
      <c r="I1252" s="2"/>
      <c r="J1252" s="1"/>
      <c r="K1252" s="1"/>
      <c r="L1252" s="1"/>
      <c r="M1252" s="1"/>
      <c r="N1252" s="1"/>
      <c r="O1252" s="1"/>
      <c r="P1252" s="1"/>
      <c r="Q1252" s="1"/>
      <c r="R1252" s="1"/>
      <c r="S1252" s="1"/>
      <c r="T1252" s="1"/>
      <c r="U1252" s="1"/>
      <c r="V1252" s="1"/>
      <c r="W1252" s="1"/>
      <c r="X1252" s="1"/>
    </row>
    <row x14ac:dyDescent="0.25" r="1253" customHeight="1" ht="18.75">
      <c r="A1253" s="1"/>
      <c r="B1253" s="1"/>
      <c r="C1253" s="3" t="s">
        <v>94</v>
      </c>
      <c r="D1253" s="3" t="s">
        <v>1292</v>
      </c>
      <c r="E1253" s="1"/>
      <c r="F1253" s="1"/>
      <c r="G1253" s="1"/>
      <c r="H1253" s="1"/>
      <c r="I1253" s="2"/>
      <c r="J1253" s="1"/>
      <c r="K1253" s="1"/>
      <c r="L1253" s="1"/>
      <c r="M1253" s="1"/>
      <c r="N1253" s="1"/>
      <c r="O1253" s="1"/>
      <c r="P1253" s="1"/>
      <c r="Q1253" s="1"/>
      <c r="R1253" s="1"/>
      <c r="S1253" s="1"/>
      <c r="T1253" s="1"/>
      <c r="U1253" s="1"/>
      <c r="V1253" s="1"/>
      <c r="W1253" s="1"/>
      <c r="X1253" s="1"/>
    </row>
    <row x14ac:dyDescent="0.25" r="1254" customHeight="1" ht="18.75">
      <c r="A1254" s="1"/>
      <c r="B1254" s="1"/>
      <c r="C1254" s="3" t="s">
        <v>94</v>
      </c>
      <c r="D1254" s="3" t="s">
        <v>1293</v>
      </c>
      <c r="E1254" s="1"/>
      <c r="F1254" s="1"/>
      <c r="G1254" s="1"/>
      <c r="H1254" s="1"/>
      <c r="I1254" s="2"/>
      <c r="J1254" s="1"/>
      <c r="K1254" s="1"/>
      <c r="L1254" s="1"/>
      <c r="M1254" s="1"/>
      <c r="N1254" s="1"/>
      <c r="O1254" s="1"/>
      <c r="P1254" s="1"/>
      <c r="Q1254" s="1"/>
      <c r="R1254" s="1"/>
      <c r="S1254" s="1"/>
      <c r="T1254" s="1"/>
      <c r="U1254" s="1"/>
      <c r="V1254" s="1"/>
      <c r="W1254" s="1"/>
      <c r="X1254" s="1"/>
    </row>
    <row x14ac:dyDescent="0.25" r="1255" customHeight="1" ht="18.75">
      <c r="A1255" s="1"/>
      <c r="B1255" s="1"/>
      <c r="C1255" s="3" t="s">
        <v>94</v>
      </c>
      <c r="D1255" s="3" t="s">
        <v>1294</v>
      </c>
      <c r="E1255" s="1"/>
      <c r="F1255" s="1"/>
      <c r="G1255" s="1"/>
      <c r="H1255" s="1"/>
      <c r="I1255" s="2"/>
      <c r="J1255" s="1"/>
      <c r="K1255" s="1"/>
      <c r="L1255" s="1"/>
      <c r="M1255" s="1"/>
      <c r="N1255" s="1"/>
      <c r="O1255" s="1"/>
      <c r="P1255" s="1"/>
      <c r="Q1255" s="1"/>
      <c r="R1255" s="1"/>
      <c r="S1255" s="1"/>
      <c r="T1255" s="1"/>
      <c r="U1255" s="1"/>
      <c r="V1255" s="1"/>
      <c r="W1255" s="1"/>
      <c r="X1255" s="1"/>
    </row>
    <row x14ac:dyDescent="0.25" r="1256" customHeight="1" ht="18.75">
      <c r="A1256" s="1"/>
      <c r="B1256" s="1"/>
      <c r="C1256" s="3" t="s">
        <v>94</v>
      </c>
      <c r="D1256" s="3" t="s">
        <v>519</v>
      </c>
      <c r="E1256" s="1"/>
      <c r="F1256" s="1"/>
      <c r="G1256" s="1"/>
      <c r="H1256" s="1"/>
      <c r="I1256" s="2"/>
      <c r="J1256" s="1"/>
      <c r="K1256" s="1"/>
      <c r="L1256" s="1"/>
      <c r="M1256" s="1"/>
      <c r="N1256" s="1"/>
      <c r="O1256" s="1"/>
      <c r="P1256" s="1"/>
      <c r="Q1256" s="1"/>
      <c r="R1256" s="1"/>
      <c r="S1256" s="1"/>
      <c r="T1256" s="1"/>
      <c r="U1256" s="1"/>
      <c r="V1256" s="1"/>
      <c r="W1256" s="1"/>
      <c r="X1256" s="1"/>
    </row>
    <row x14ac:dyDescent="0.25" r="1257" customHeight="1" ht="18.75">
      <c r="A1257" s="1"/>
      <c r="B1257" s="1"/>
      <c r="C1257" s="3" t="s">
        <v>94</v>
      </c>
      <c r="D1257" s="3" t="s">
        <v>1295</v>
      </c>
      <c r="E1257" s="1"/>
      <c r="F1257" s="1"/>
      <c r="G1257" s="1"/>
      <c r="H1257" s="1"/>
      <c r="I1257" s="2"/>
      <c r="J1257" s="1"/>
      <c r="K1257" s="1"/>
      <c r="L1257" s="1"/>
      <c r="M1257" s="1"/>
      <c r="N1257" s="1"/>
      <c r="O1257" s="1"/>
      <c r="P1257" s="1"/>
      <c r="Q1257" s="1"/>
      <c r="R1257" s="1"/>
      <c r="S1257" s="1"/>
      <c r="T1257" s="1"/>
      <c r="U1257" s="1"/>
      <c r="V1257" s="1"/>
      <c r="W1257" s="1"/>
      <c r="X1257" s="1"/>
    </row>
    <row x14ac:dyDescent="0.25" r="1258" customHeight="1" ht="18.75">
      <c r="A1258" s="1"/>
      <c r="B1258" s="1"/>
      <c r="C1258" s="3" t="s">
        <v>141</v>
      </c>
      <c r="D1258" s="3" t="s">
        <v>1296</v>
      </c>
      <c r="E1258" s="1"/>
      <c r="F1258" s="1"/>
      <c r="G1258" s="1"/>
      <c r="H1258" s="1"/>
      <c r="I1258" s="2"/>
      <c r="J1258" s="1"/>
      <c r="K1258" s="1"/>
      <c r="L1258" s="1"/>
      <c r="M1258" s="1"/>
      <c r="N1258" s="1"/>
      <c r="O1258" s="1"/>
      <c r="P1258" s="1"/>
      <c r="Q1258" s="1"/>
      <c r="R1258" s="1"/>
      <c r="S1258" s="1"/>
      <c r="T1258" s="1"/>
      <c r="U1258" s="1"/>
      <c r="V1258" s="1"/>
      <c r="W1258" s="1"/>
      <c r="X1258" s="1"/>
    </row>
    <row x14ac:dyDescent="0.25" r="1259" customHeight="1" ht="18.75">
      <c r="A1259" s="1"/>
      <c r="B1259" s="1"/>
      <c r="C1259" s="3" t="s">
        <v>121</v>
      </c>
      <c r="D1259" s="3" t="s">
        <v>1297</v>
      </c>
      <c r="E1259" s="1"/>
      <c r="F1259" s="1"/>
      <c r="G1259" s="1"/>
      <c r="H1259" s="1"/>
      <c r="I1259" s="2"/>
      <c r="J1259" s="1"/>
      <c r="K1259" s="1"/>
      <c r="L1259" s="1"/>
      <c r="M1259" s="1"/>
      <c r="N1259" s="1"/>
      <c r="O1259" s="1"/>
      <c r="P1259" s="1"/>
      <c r="Q1259" s="1"/>
      <c r="R1259" s="1"/>
      <c r="S1259" s="1"/>
      <c r="T1259" s="1"/>
      <c r="U1259" s="1"/>
      <c r="V1259" s="1"/>
      <c r="W1259" s="1"/>
      <c r="X1259" s="1"/>
    </row>
    <row x14ac:dyDescent="0.25" r="1260" customHeight="1" ht="18.75">
      <c r="A1260" s="1"/>
      <c r="B1260" s="1"/>
      <c r="C1260" s="3" t="s">
        <v>121</v>
      </c>
      <c r="D1260" s="3" t="s">
        <v>1298</v>
      </c>
      <c r="E1260" s="1"/>
      <c r="F1260" s="1"/>
      <c r="G1260" s="1"/>
      <c r="H1260" s="1"/>
      <c r="I1260" s="2"/>
      <c r="J1260" s="1"/>
      <c r="K1260" s="1"/>
      <c r="L1260" s="1"/>
      <c r="M1260" s="1"/>
      <c r="N1260" s="1"/>
      <c r="O1260" s="1"/>
      <c r="P1260" s="1"/>
      <c r="Q1260" s="1"/>
      <c r="R1260" s="1"/>
      <c r="S1260" s="1"/>
      <c r="T1260" s="1"/>
      <c r="U1260" s="1"/>
      <c r="V1260" s="1"/>
      <c r="W1260" s="1"/>
      <c r="X1260" s="1"/>
    </row>
    <row x14ac:dyDescent="0.25" r="1261" customHeight="1" ht="18.75">
      <c r="A1261" s="1"/>
      <c r="B1261" s="1"/>
      <c r="C1261" s="3" t="s">
        <v>121</v>
      </c>
      <c r="D1261" s="3" t="s">
        <v>1299</v>
      </c>
      <c r="E1261" s="1"/>
      <c r="F1261" s="1"/>
      <c r="G1261" s="1"/>
      <c r="H1261" s="1"/>
      <c r="I1261" s="2"/>
      <c r="J1261" s="1"/>
      <c r="K1261" s="1"/>
      <c r="L1261" s="1"/>
      <c r="M1261" s="1"/>
      <c r="N1261" s="1"/>
      <c r="O1261" s="1"/>
      <c r="P1261" s="1"/>
      <c r="Q1261" s="1"/>
      <c r="R1261" s="1"/>
      <c r="S1261" s="1"/>
      <c r="T1261" s="1"/>
      <c r="U1261" s="1"/>
      <c r="V1261" s="1"/>
      <c r="W1261" s="1"/>
      <c r="X1261" s="1"/>
    </row>
    <row x14ac:dyDescent="0.25" r="1262" customHeight="1" ht="18.75">
      <c r="A1262" s="1"/>
      <c r="B1262" s="1"/>
      <c r="C1262" s="3" t="s">
        <v>94</v>
      </c>
      <c r="D1262" s="3" t="s">
        <v>1300</v>
      </c>
      <c r="E1262" s="1"/>
      <c r="F1262" s="1"/>
      <c r="G1262" s="1"/>
      <c r="H1262" s="1"/>
      <c r="I1262" s="2"/>
      <c r="J1262" s="1"/>
      <c r="K1262" s="1"/>
      <c r="L1262" s="1"/>
      <c r="M1262" s="1"/>
      <c r="N1262" s="1"/>
      <c r="O1262" s="1"/>
      <c r="P1262" s="1"/>
      <c r="Q1262" s="1"/>
      <c r="R1262" s="1"/>
      <c r="S1262" s="1"/>
      <c r="T1262" s="1"/>
      <c r="U1262" s="1"/>
      <c r="V1262" s="1"/>
      <c r="W1262" s="1"/>
      <c r="X1262" s="1"/>
    </row>
    <row x14ac:dyDescent="0.25" r="1263" customHeight="1" ht="18.75">
      <c r="A1263" s="1"/>
      <c r="B1263" s="1"/>
      <c r="C1263" s="3" t="s">
        <v>94</v>
      </c>
      <c r="D1263" s="3" t="s">
        <v>1301</v>
      </c>
      <c r="E1263" s="1"/>
      <c r="F1263" s="1"/>
      <c r="G1263" s="1"/>
      <c r="H1263" s="1"/>
      <c r="I1263" s="2"/>
      <c r="J1263" s="1"/>
      <c r="K1263" s="1"/>
      <c r="L1263" s="1"/>
      <c r="M1263" s="1"/>
      <c r="N1263" s="1"/>
      <c r="O1263" s="1"/>
      <c r="P1263" s="1"/>
      <c r="Q1263" s="1"/>
      <c r="R1263" s="1"/>
      <c r="S1263" s="1"/>
      <c r="T1263" s="1"/>
      <c r="U1263" s="1"/>
      <c r="V1263" s="1"/>
      <c r="W1263" s="1"/>
      <c r="X1263" s="1"/>
    </row>
    <row x14ac:dyDescent="0.25" r="1264" customHeight="1" ht="18.75">
      <c r="A1264" s="1"/>
      <c r="B1264" s="1"/>
      <c r="C1264" s="3" t="s">
        <v>94</v>
      </c>
      <c r="D1264" s="3" t="s">
        <v>1302</v>
      </c>
      <c r="E1264" s="1"/>
      <c r="F1264" s="1"/>
      <c r="G1264" s="1"/>
      <c r="H1264" s="1"/>
      <c r="I1264" s="2"/>
      <c r="J1264" s="1"/>
      <c r="K1264" s="1"/>
      <c r="L1264" s="1"/>
      <c r="M1264" s="1"/>
      <c r="N1264" s="1"/>
      <c r="O1264" s="1"/>
      <c r="P1264" s="1"/>
      <c r="Q1264" s="1"/>
      <c r="R1264" s="1"/>
      <c r="S1264" s="1"/>
      <c r="T1264" s="1"/>
      <c r="U1264" s="1"/>
      <c r="V1264" s="1"/>
      <c r="W1264" s="1"/>
      <c r="X1264" s="1"/>
    </row>
    <row x14ac:dyDescent="0.25" r="1265" customHeight="1" ht="18.75">
      <c r="A1265" s="1"/>
      <c r="B1265" s="1"/>
      <c r="C1265" s="3" t="s">
        <v>94</v>
      </c>
      <c r="D1265" s="3" t="s">
        <v>1303</v>
      </c>
      <c r="E1265" s="1"/>
      <c r="F1265" s="1"/>
      <c r="G1265" s="1"/>
      <c r="H1265" s="1"/>
      <c r="I1265" s="2"/>
      <c r="J1265" s="1"/>
      <c r="K1265" s="1"/>
      <c r="L1265" s="1"/>
      <c r="M1265" s="1"/>
      <c r="N1265" s="1"/>
      <c r="O1265" s="1"/>
      <c r="P1265" s="1"/>
      <c r="Q1265" s="1"/>
      <c r="R1265" s="1"/>
      <c r="S1265" s="1"/>
      <c r="T1265" s="1"/>
      <c r="U1265" s="1"/>
      <c r="V1265" s="1"/>
      <c r="W1265" s="1"/>
      <c r="X1265" s="1"/>
    </row>
    <row x14ac:dyDescent="0.25" r="1266" customHeight="1" ht="18.75">
      <c r="A1266" s="1"/>
      <c r="B1266" s="1"/>
      <c r="C1266" s="3" t="s">
        <v>94</v>
      </c>
      <c r="D1266" s="3" t="s">
        <v>1304</v>
      </c>
      <c r="E1266" s="1"/>
      <c r="F1266" s="1"/>
      <c r="G1266" s="1"/>
      <c r="H1266" s="1"/>
      <c r="I1266" s="2"/>
      <c r="J1266" s="1"/>
      <c r="K1266" s="1"/>
      <c r="L1266" s="1"/>
      <c r="M1266" s="1"/>
      <c r="N1266" s="1"/>
      <c r="O1266" s="1"/>
      <c r="P1266" s="1"/>
      <c r="Q1266" s="1"/>
      <c r="R1266" s="1"/>
      <c r="S1266" s="1"/>
      <c r="T1266" s="1"/>
      <c r="U1266" s="1"/>
      <c r="V1266" s="1"/>
      <c r="W1266" s="1"/>
      <c r="X1266" s="1"/>
    </row>
    <row x14ac:dyDescent="0.25" r="1267" customHeight="1" ht="18.75">
      <c r="A1267" s="1"/>
      <c r="B1267" s="1"/>
      <c r="C1267" s="3" t="s">
        <v>94</v>
      </c>
      <c r="D1267" s="3" t="s">
        <v>1305</v>
      </c>
      <c r="E1267" s="1"/>
      <c r="F1267" s="1"/>
      <c r="G1267" s="1"/>
      <c r="H1267" s="1"/>
      <c r="I1267" s="2"/>
      <c r="J1267" s="1"/>
      <c r="K1267" s="1"/>
      <c r="L1267" s="1"/>
      <c r="M1267" s="1"/>
      <c r="N1267" s="1"/>
      <c r="O1267" s="1"/>
      <c r="P1267" s="1"/>
      <c r="Q1267" s="1"/>
      <c r="R1267" s="1"/>
      <c r="S1267" s="1"/>
      <c r="T1267" s="1"/>
      <c r="U1267" s="1"/>
      <c r="V1267" s="1"/>
      <c r="W1267" s="1"/>
      <c r="X1267" s="1"/>
    </row>
    <row x14ac:dyDescent="0.25" r="1268" customHeight="1" ht="18.75">
      <c r="A1268" s="1"/>
      <c r="B1268" s="1"/>
      <c r="C1268" s="3" t="s">
        <v>94</v>
      </c>
      <c r="D1268" s="3" t="s">
        <v>1306</v>
      </c>
      <c r="E1268" s="1"/>
      <c r="F1268" s="1"/>
      <c r="G1268" s="1"/>
      <c r="H1268" s="1"/>
      <c r="I1268" s="2"/>
      <c r="J1268" s="1"/>
      <c r="K1268" s="1"/>
      <c r="L1268" s="1"/>
      <c r="M1268" s="1"/>
      <c r="N1268" s="1"/>
      <c r="O1268" s="1"/>
      <c r="P1268" s="1"/>
      <c r="Q1268" s="1"/>
      <c r="R1268" s="1"/>
      <c r="S1268" s="1"/>
      <c r="T1268" s="1"/>
      <c r="U1268" s="1"/>
      <c r="V1268" s="1"/>
      <c r="W1268" s="1"/>
      <c r="X1268" s="1"/>
    </row>
    <row x14ac:dyDescent="0.25" r="1269" customHeight="1" ht="18.75">
      <c r="A1269" s="1"/>
      <c r="B1269" s="1"/>
      <c r="C1269" s="3" t="s">
        <v>141</v>
      </c>
      <c r="D1269" s="3" t="s">
        <v>1307</v>
      </c>
      <c r="E1269" s="1"/>
      <c r="F1269" s="1"/>
      <c r="G1269" s="1"/>
      <c r="H1269" s="1"/>
      <c r="I1269" s="2"/>
      <c r="J1269" s="1"/>
      <c r="K1269" s="1"/>
      <c r="L1269" s="1"/>
      <c r="M1269" s="1"/>
      <c r="N1269" s="1"/>
      <c r="O1269" s="1"/>
      <c r="P1269" s="1"/>
      <c r="Q1269" s="1"/>
      <c r="R1269" s="1"/>
      <c r="S1269" s="1"/>
      <c r="T1269" s="1"/>
      <c r="U1269" s="1"/>
      <c r="V1269" s="1"/>
      <c r="W1269" s="1"/>
      <c r="X1269" s="1"/>
    </row>
    <row x14ac:dyDescent="0.25" r="1270" customHeight="1" ht="18.75">
      <c r="A1270" s="1"/>
      <c r="B1270" s="1"/>
      <c r="C1270" s="3" t="s">
        <v>94</v>
      </c>
      <c r="D1270" s="3" t="s">
        <v>1308</v>
      </c>
      <c r="E1270" s="1"/>
      <c r="F1270" s="1"/>
      <c r="G1270" s="1"/>
      <c r="H1270" s="1"/>
      <c r="I1270" s="2"/>
      <c r="J1270" s="1"/>
      <c r="K1270" s="1"/>
      <c r="L1270" s="1"/>
      <c r="M1270" s="1"/>
      <c r="N1270" s="1"/>
      <c r="O1270" s="1"/>
      <c r="P1270" s="1"/>
      <c r="Q1270" s="1"/>
      <c r="R1270" s="1"/>
      <c r="S1270" s="1"/>
      <c r="T1270" s="1"/>
      <c r="U1270" s="1"/>
      <c r="V1270" s="1"/>
      <c r="W1270" s="1"/>
      <c r="X1270" s="1"/>
    </row>
    <row x14ac:dyDescent="0.25" r="1271" customHeight="1" ht="18.75">
      <c r="A1271" s="1"/>
      <c r="B1271" s="1"/>
      <c r="C1271" s="3" t="s">
        <v>94</v>
      </c>
      <c r="D1271" s="3" t="s">
        <v>1309</v>
      </c>
      <c r="E1271" s="1"/>
      <c r="F1271" s="1"/>
      <c r="G1271" s="1"/>
      <c r="H1271" s="1"/>
      <c r="I1271" s="2"/>
      <c r="J1271" s="1"/>
      <c r="K1271" s="1"/>
      <c r="L1271" s="1"/>
      <c r="M1271" s="1"/>
      <c r="N1271" s="1"/>
      <c r="O1271" s="1"/>
      <c r="P1271" s="1"/>
      <c r="Q1271" s="1"/>
      <c r="R1271" s="1"/>
      <c r="S1271" s="1"/>
      <c r="T1271" s="1"/>
      <c r="U1271" s="1"/>
      <c r="V1271" s="1"/>
      <c r="W1271" s="1"/>
      <c r="X1271" s="1"/>
    </row>
    <row x14ac:dyDescent="0.25" r="1272" customHeight="1" ht="18.75">
      <c r="A1272" s="1"/>
      <c r="B1272" s="1"/>
      <c r="C1272" s="3" t="s">
        <v>94</v>
      </c>
      <c r="D1272" s="3" t="s">
        <v>1310</v>
      </c>
      <c r="E1272" s="1"/>
      <c r="F1272" s="1"/>
      <c r="G1272" s="1"/>
      <c r="H1272" s="1"/>
      <c r="I1272" s="2"/>
      <c r="J1272" s="1"/>
      <c r="K1272" s="1"/>
      <c r="L1272" s="1"/>
      <c r="M1272" s="1"/>
      <c r="N1272" s="1"/>
      <c r="O1272" s="1"/>
      <c r="P1272" s="1"/>
      <c r="Q1272" s="1"/>
      <c r="R1272" s="1"/>
      <c r="S1272" s="1"/>
      <c r="T1272" s="1"/>
      <c r="U1272" s="1"/>
      <c r="V1272" s="1"/>
      <c r="W1272" s="1"/>
      <c r="X1272" s="1"/>
    </row>
    <row x14ac:dyDescent="0.25" r="1273" customHeight="1" ht="18.75">
      <c r="A1273" s="1"/>
      <c r="B1273" s="1"/>
      <c r="C1273" s="3" t="s">
        <v>94</v>
      </c>
      <c r="D1273" s="3" t="s">
        <v>1311</v>
      </c>
      <c r="E1273" s="1"/>
      <c r="F1273" s="1"/>
      <c r="G1273" s="1"/>
      <c r="H1273" s="1"/>
      <c r="I1273" s="2"/>
      <c r="J1273" s="1"/>
      <c r="K1273" s="1"/>
      <c r="L1273" s="1"/>
      <c r="M1273" s="1"/>
      <c r="N1273" s="1"/>
      <c r="O1273" s="1"/>
      <c r="P1273" s="1"/>
      <c r="Q1273" s="1"/>
      <c r="R1273" s="1"/>
      <c r="S1273" s="1"/>
      <c r="T1273" s="1"/>
      <c r="U1273" s="1"/>
      <c r="V1273" s="1"/>
      <c r="W1273" s="1"/>
      <c r="X1273" s="1"/>
    </row>
    <row x14ac:dyDescent="0.25" r="1274" customHeight="1" ht="18.75">
      <c r="A1274" s="1"/>
      <c r="B1274" s="1"/>
      <c r="C1274" s="3" t="s">
        <v>94</v>
      </c>
      <c r="D1274" s="3" t="s">
        <v>1312</v>
      </c>
      <c r="E1274" s="1"/>
      <c r="F1274" s="1"/>
      <c r="G1274" s="1"/>
      <c r="H1274" s="1"/>
      <c r="I1274" s="2"/>
      <c r="J1274" s="1"/>
      <c r="K1274" s="1"/>
      <c r="L1274" s="1"/>
      <c r="M1274" s="1"/>
      <c r="N1274" s="1"/>
      <c r="O1274" s="1"/>
      <c r="P1274" s="1"/>
      <c r="Q1274" s="1"/>
      <c r="R1274" s="1"/>
      <c r="S1274" s="1"/>
      <c r="T1274" s="1"/>
      <c r="U1274" s="1"/>
      <c r="V1274" s="1"/>
      <c r="W1274" s="1"/>
      <c r="X1274" s="1"/>
    </row>
    <row x14ac:dyDescent="0.25" r="1275" customHeight="1" ht="18.75">
      <c r="A1275" s="1"/>
      <c r="B1275" s="1"/>
      <c r="C1275" s="3" t="s">
        <v>121</v>
      </c>
      <c r="D1275" s="3" t="s">
        <v>1313</v>
      </c>
      <c r="E1275" s="1"/>
      <c r="F1275" s="1"/>
      <c r="G1275" s="1"/>
      <c r="H1275" s="1"/>
      <c r="I1275" s="2"/>
      <c r="J1275" s="1"/>
      <c r="K1275" s="1"/>
      <c r="L1275" s="1"/>
      <c r="M1275" s="1"/>
      <c r="N1275" s="1"/>
      <c r="O1275" s="1"/>
      <c r="P1275" s="1"/>
      <c r="Q1275" s="1"/>
      <c r="R1275" s="1"/>
      <c r="S1275" s="1"/>
      <c r="T1275" s="1"/>
      <c r="U1275" s="1"/>
      <c r="V1275" s="1"/>
      <c r="W1275" s="1"/>
      <c r="X1275" s="1"/>
    </row>
    <row x14ac:dyDescent="0.25" r="1276" customHeight="1" ht="18.75">
      <c r="A1276" s="1"/>
      <c r="B1276" s="1"/>
      <c r="C1276" s="3" t="s">
        <v>94</v>
      </c>
      <c r="D1276" s="3" t="s">
        <v>1314</v>
      </c>
      <c r="E1276" s="1"/>
      <c r="F1276" s="1"/>
      <c r="G1276" s="1"/>
      <c r="H1276" s="1"/>
      <c r="I1276" s="2"/>
      <c r="J1276" s="1"/>
      <c r="K1276" s="1"/>
      <c r="L1276" s="1"/>
      <c r="M1276" s="1"/>
      <c r="N1276" s="1"/>
      <c r="O1276" s="1"/>
      <c r="P1276" s="1"/>
      <c r="Q1276" s="1"/>
      <c r="R1276" s="1"/>
      <c r="S1276" s="1"/>
      <c r="T1276" s="1"/>
      <c r="U1276" s="1"/>
      <c r="V1276" s="1"/>
      <c r="W1276" s="1"/>
      <c r="X1276" s="1"/>
    </row>
    <row x14ac:dyDescent="0.25" r="1277" customHeight="1" ht="18.75">
      <c r="A1277" s="1"/>
      <c r="B1277" s="1"/>
      <c r="C1277" s="3" t="s">
        <v>121</v>
      </c>
      <c r="D1277" s="3" t="s">
        <v>1315</v>
      </c>
      <c r="E1277" s="1"/>
      <c r="F1277" s="1"/>
      <c r="G1277" s="1"/>
      <c r="H1277" s="1"/>
      <c r="I1277" s="2"/>
      <c r="J1277" s="1"/>
      <c r="K1277" s="1"/>
      <c r="L1277" s="1"/>
      <c r="M1277" s="1"/>
      <c r="N1277" s="1"/>
      <c r="O1277" s="1"/>
      <c r="P1277" s="1"/>
      <c r="Q1277" s="1"/>
      <c r="R1277" s="1"/>
      <c r="S1277" s="1"/>
      <c r="T1277" s="1"/>
      <c r="U1277" s="1"/>
      <c r="V1277" s="1"/>
      <c r="W1277" s="1"/>
      <c r="X1277" s="1"/>
    </row>
    <row x14ac:dyDescent="0.25" r="1278" customHeight="1" ht="18.75">
      <c r="A1278" s="1"/>
      <c r="B1278" s="1"/>
      <c r="C1278" s="3" t="s">
        <v>94</v>
      </c>
      <c r="D1278" s="3" t="s">
        <v>1316</v>
      </c>
      <c r="E1278" s="1"/>
      <c r="F1278" s="1"/>
      <c r="G1278" s="1"/>
      <c r="H1278" s="1"/>
      <c r="I1278" s="2"/>
      <c r="J1278" s="1"/>
      <c r="K1278" s="1"/>
      <c r="L1278" s="1"/>
      <c r="M1278" s="1"/>
      <c r="N1278" s="1"/>
      <c r="O1278" s="1"/>
      <c r="P1278" s="1"/>
      <c r="Q1278" s="1"/>
      <c r="R1278" s="1"/>
      <c r="S1278" s="1"/>
      <c r="T1278" s="1"/>
      <c r="U1278" s="1"/>
      <c r="V1278" s="1"/>
      <c r="W1278" s="1"/>
      <c r="X1278" s="1"/>
    </row>
    <row x14ac:dyDescent="0.25" r="1279" customHeight="1" ht="18.75">
      <c r="A1279" s="1"/>
      <c r="B1279" s="1"/>
      <c r="C1279" s="3" t="s">
        <v>121</v>
      </c>
      <c r="D1279" s="3" t="s">
        <v>1317</v>
      </c>
      <c r="E1279" s="1"/>
      <c r="F1279" s="1"/>
      <c r="G1279" s="1"/>
      <c r="H1279" s="1"/>
      <c r="I1279" s="2"/>
      <c r="J1279" s="1"/>
      <c r="K1279" s="1"/>
      <c r="L1279" s="1"/>
      <c r="M1279" s="1"/>
      <c r="N1279" s="1"/>
      <c r="O1279" s="1"/>
      <c r="P1279" s="1"/>
      <c r="Q1279" s="1"/>
      <c r="R1279" s="1"/>
      <c r="S1279" s="1"/>
      <c r="T1279" s="1"/>
      <c r="U1279" s="1"/>
      <c r="V1279" s="1"/>
      <c r="W1279" s="1"/>
      <c r="X1279" s="1"/>
    </row>
    <row x14ac:dyDescent="0.25" r="1280" customHeight="1" ht="18.75">
      <c r="A1280" s="1"/>
      <c r="B1280" s="1"/>
      <c r="C1280" s="3" t="s">
        <v>94</v>
      </c>
      <c r="D1280" s="3" t="s">
        <v>1318</v>
      </c>
      <c r="E1280" s="1"/>
      <c r="F1280" s="1"/>
      <c r="G1280" s="1"/>
      <c r="H1280" s="1"/>
      <c r="I1280" s="2"/>
      <c r="J1280" s="1"/>
      <c r="K1280" s="1"/>
      <c r="L1280" s="1"/>
      <c r="M1280" s="1"/>
      <c r="N1280" s="1"/>
      <c r="O1280" s="1"/>
      <c r="P1280" s="1"/>
      <c r="Q1280" s="1"/>
      <c r="R1280" s="1"/>
      <c r="S1280" s="1"/>
      <c r="T1280" s="1"/>
      <c r="U1280" s="1"/>
      <c r="V1280" s="1"/>
      <c r="W1280" s="1"/>
      <c r="X1280" s="1"/>
    </row>
    <row x14ac:dyDescent="0.25" r="1281" customHeight="1" ht="18.75">
      <c r="A1281" s="1"/>
      <c r="B1281" s="1"/>
      <c r="C1281" s="3" t="s">
        <v>94</v>
      </c>
      <c r="D1281" s="3" t="s">
        <v>1319</v>
      </c>
      <c r="E1281" s="1"/>
      <c r="F1281" s="1"/>
      <c r="G1281" s="1"/>
      <c r="H1281" s="1"/>
      <c r="I1281" s="2"/>
      <c r="J1281" s="1"/>
      <c r="K1281" s="1"/>
      <c r="L1281" s="1"/>
      <c r="M1281" s="1"/>
      <c r="N1281" s="1"/>
      <c r="O1281" s="1"/>
      <c r="P1281" s="1"/>
      <c r="Q1281" s="1"/>
      <c r="R1281" s="1"/>
      <c r="S1281" s="1"/>
      <c r="T1281" s="1"/>
      <c r="U1281" s="1"/>
      <c r="V1281" s="1"/>
      <c r="W1281" s="1"/>
      <c r="X1281" s="1"/>
    </row>
    <row x14ac:dyDescent="0.25" r="1282" customHeight="1" ht="18.75">
      <c r="A1282" s="1"/>
      <c r="B1282" s="1"/>
      <c r="C1282" s="3" t="s">
        <v>94</v>
      </c>
      <c r="D1282" s="3" t="s">
        <v>1320</v>
      </c>
      <c r="E1282" s="1"/>
      <c r="F1282" s="1"/>
      <c r="G1282" s="1"/>
      <c r="H1282" s="1"/>
      <c r="I1282" s="2"/>
      <c r="J1282" s="1"/>
      <c r="K1282" s="1"/>
      <c r="L1282" s="1"/>
      <c r="M1282" s="1"/>
      <c r="N1282" s="1"/>
      <c r="O1282" s="1"/>
      <c r="P1282" s="1"/>
      <c r="Q1282" s="1"/>
      <c r="R1282" s="1"/>
      <c r="S1282" s="1"/>
      <c r="T1282" s="1"/>
      <c r="U1282" s="1"/>
      <c r="V1282" s="1"/>
      <c r="W1282" s="1"/>
      <c r="X1282" s="1"/>
    </row>
    <row x14ac:dyDescent="0.25" r="1283" customHeight="1" ht="18.75">
      <c r="A1283" s="1"/>
      <c r="B1283" s="1"/>
      <c r="C1283" s="3" t="s">
        <v>94</v>
      </c>
      <c r="D1283" s="3" t="s">
        <v>1321</v>
      </c>
      <c r="E1283" s="1"/>
      <c r="F1283" s="1"/>
      <c r="G1283" s="1"/>
      <c r="H1283" s="1"/>
      <c r="I1283" s="2"/>
      <c r="J1283" s="1"/>
      <c r="K1283" s="1"/>
      <c r="L1283" s="1"/>
      <c r="M1283" s="1"/>
      <c r="N1283" s="1"/>
      <c r="O1283" s="1"/>
      <c r="P1283" s="1"/>
      <c r="Q1283" s="1"/>
      <c r="R1283" s="1"/>
      <c r="S1283" s="1"/>
      <c r="T1283" s="1"/>
      <c r="U1283" s="1"/>
      <c r="V1283" s="1"/>
      <c r="W1283" s="1"/>
      <c r="X1283" s="1"/>
    </row>
    <row x14ac:dyDescent="0.25" r="1284" customHeight="1" ht="18.75">
      <c r="A1284" s="1"/>
      <c r="B1284" s="1"/>
      <c r="C1284" s="3" t="s">
        <v>94</v>
      </c>
      <c r="D1284" s="3" t="s">
        <v>1322</v>
      </c>
      <c r="E1284" s="1"/>
      <c r="F1284" s="1"/>
      <c r="G1284" s="1"/>
      <c r="H1284" s="1"/>
      <c r="I1284" s="2"/>
      <c r="J1284" s="1"/>
      <c r="K1284" s="1"/>
      <c r="L1284" s="1"/>
      <c r="M1284" s="1"/>
      <c r="N1284" s="1"/>
      <c r="O1284" s="1"/>
      <c r="P1284" s="1"/>
      <c r="Q1284" s="1"/>
      <c r="R1284" s="1"/>
      <c r="S1284" s="1"/>
      <c r="T1284" s="1"/>
      <c r="U1284" s="1"/>
      <c r="V1284" s="1"/>
      <c r="W1284" s="1"/>
      <c r="X1284" s="1"/>
    </row>
    <row x14ac:dyDescent="0.25" r="1285" customHeight="1" ht="18.75">
      <c r="A1285" s="1"/>
      <c r="B1285" s="1"/>
      <c r="C1285" s="3" t="s">
        <v>94</v>
      </c>
      <c r="D1285" s="3" t="s">
        <v>1323</v>
      </c>
      <c r="E1285" s="1"/>
      <c r="F1285" s="1"/>
      <c r="G1285" s="1"/>
      <c r="H1285" s="1"/>
      <c r="I1285" s="2"/>
      <c r="J1285" s="1"/>
      <c r="K1285" s="1"/>
      <c r="L1285" s="1"/>
      <c r="M1285" s="1"/>
      <c r="N1285" s="1"/>
      <c r="O1285" s="1"/>
      <c r="P1285" s="1"/>
      <c r="Q1285" s="1"/>
      <c r="R1285" s="1"/>
      <c r="S1285" s="1"/>
      <c r="T1285" s="1"/>
      <c r="U1285" s="1"/>
      <c r="V1285" s="1"/>
      <c r="W1285" s="1"/>
      <c r="X1285" s="1"/>
    </row>
    <row x14ac:dyDescent="0.25" r="1286" customHeight="1" ht="18.75">
      <c r="A1286" s="1"/>
      <c r="B1286" s="1"/>
      <c r="C1286" s="3" t="s">
        <v>121</v>
      </c>
      <c r="D1286" s="3" t="s">
        <v>1324</v>
      </c>
      <c r="E1286" s="1"/>
      <c r="F1286" s="1"/>
      <c r="G1286" s="1"/>
      <c r="H1286" s="1"/>
      <c r="I1286" s="2"/>
      <c r="J1286" s="1"/>
      <c r="K1286" s="1"/>
      <c r="L1286" s="1"/>
      <c r="M1286" s="1"/>
      <c r="N1286" s="1"/>
      <c r="O1286" s="1"/>
      <c r="P1286" s="1"/>
      <c r="Q1286" s="1"/>
      <c r="R1286" s="1"/>
      <c r="S1286" s="1"/>
      <c r="T1286" s="1"/>
      <c r="U1286" s="1"/>
      <c r="V1286" s="1"/>
      <c r="W1286" s="1"/>
      <c r="X1286" s="1"/>
    </row>
    <row x14ac:dyDescent="0.25" r="1287" customHeight="1" ht="18.75">
      <c r="A1287" s="1"/>
      <c r="B1287" s="1"/>
      <c r="C1287" s="3" t="s">
        <v>94</v>
      </c>
      <c r="D1287" s="3" t="s">
        <v>1325</v>
      </c>
      <c r="E1287" s="1"/>
      <c r="F1287" s="1"/>
      <c r="G1287" s="1"/>
      <c r="H1287" s="1"/>
      <c r="I1287" s="2"/>
      <c r="J1287" s="1"/>
      <c r="K1287" s="1"/>
      <c r="L1287" s="1"/>
      <c r="M1287" s="1"/>
      <c r="N1287" s="1"/>
      <c r="O1287" s="1"/>
      <c r="P1287" s="1"/>
      <c r="Q1287" s="1"/>
      <c r="R1287" s="1"/>
      <c r="S1287" s="1"/>
      <c r="T1287" s="1"/>
      <c r="U1287" s="1"/>
      <c r="V1287" s="1"/>
      <c r="W1287" s="1"/>
      <c r="X1287" s="1"/>
    </row>
    <row x14ac:dyDescent="0.25" r="1288" customHeight="1" ht="18.75">
      <c r="A1288" s="1"/>
      <c r="B1288" s="1"/>
      <c r="C1288" s="3" t="s">
        <v>141</v>
      </c>
      <c r="D1288" s="3" t="s">
        <v>1326</v>
      </c>
      <c r="E1288" s="1"/>
      <c r="F1288" s="1"/>
      <c r="G1288" s="1"/>
      <c r="H1288" s="1"/>
      <c r="I1288" s="2"/>
      <c r="J1288" s="1"/>
      <c r="K1288" s="1"/>
      <c r="L1288" s="1"/>
      <c r="M1288" s="1"/>
      <c r="N1288" s="1"/>
      <c r="O1288" s="1"/>
      <c r="P1288" s="1"/>
      <c r="Q1288" s="1"/>
      <c r="R1288" s="1"/>
      <c r="S1288" s="1"/>
      <c r="T1288" s="1"/>
      <c r="U1288" s="1"/>
      <c r="V1288" s="1"/>
      <c r="W1288" s="1"/>
      <c r="X1288" s="1"/>
    </row>
    <row x14ac:dyDescent="0.25" r="1289" customHeight="1" ht="18.75">
      <c r="A1289" s="1"/>
      <c r="B1289" s="1"/>
      <c r="C1289" s="3" t="s">
        <v>94</v>
      </c>
      <c r="D1289" s="3" t="s">
        <v>1327</v>
      </c>
      <c r="E1289" s="1"/>
      <c r="F1289" s="1"/>
      <c r="G1289" s="1"/>
      <c r="H1289" s="1"/>
      <c r="I1289" s="2"/>
      <c r="J1289" s="1"/>
      <c r="K1289" s="1"/>
      <c r="L1289" s="1"/>
      <c r="M1289" s="1"/>
      <c r="N1289" s="1"/>
      <c r="O1289" s="1"/>
      <c r="P1289" s="1"/>
      <c r="Q1289" s="1"/>
      <c r="R1289" s="1"/>
      <c r="S1289" s="1"/>
      <c r="T1289" s="1"/>
      <c r="U1289" s="1"/>
      <c r="V1289" s="1"/>
      <c r="W1289" s="1"/>
      <c r="X1289" s="1"/>
    </row>
    <row x14ac:dyDescent="0.25" r="1290" customHeight="1" ht="18.75">
      <c r="A1290" s="1"/>
      <c r="B1290" s="1"/>
      <c r="C1290" s="3" t="s">
        <v>94</v>
      </c>
      <c r="D1290" s="3" t="s">
        <v>1328</v>
      </c>
      <c r="E1290" s="1"/>
      <c r="F1290" s="1"/>
      <c r="G1290" s="1"/>
      <c r="H1290" s="1"/>
      <c r="I1290" s="2"/>
      <c r="J1290" s="1"/>
      <c r="K1290" s="1"/>
      <c r="L1290" s="1"/>
      <c r="M1290" s="1"/>
      <c r="N1290" s="1"/>
      <c r="O1290" s="1"/>
      <c r="P1290" s="1"/>
      <c r="Q1290" s="1"/>
      <c r="R1290" s="1"/>
      <c r="S1290" s="1"/>
      <c r="T1290" s="1"/>
      <c r="U1290" s="1"/>
      <c r="V1290" s="1"/>
      <c r="W1290" s="1"/>
      <c r="X1290" s="1"/>
    </row>
    <row x14ac:dyDescent="0.25" r="1291" customHeight="1" ht="18.75">
      <c r="A1291" s="1"/>
      <c r="B1291" s="1"/>
      <c r="C1291" s="3" t="s">
        <v>121</v>
      </c>
      <c r="D1291" s="3" t="s">
        <v>1329</v>
      </c>
      <c r="E1291" s="1"/>
      <c r="F1291" s="1"/>
      <c r="G1291" s="1"/>
      <c r="H1291" s="1"/>
      <c r="I1291" s="2"/>
      <c r="J1291" s="1"/>
      <c r="K1291" s="1"/>
      <c r="L1291" s="1"/>
      <c r="M1291" s="1"/>
      <c r="N1291" s="1"/>
      <c r="O1291" s="1"/>
      <c r="P1291" s="1"/>
      <c r="Q1291" s="1"/>
      <c r="R1291" s="1"/>
      <c r="S1291" s="1"/>
      <c r="T1291" s="1"/>
      <c r="U1291" s="1"/>
      <c r="V1291" s="1"/>
      <c r="W1291" s="1"/>
      <c r="X1291" s="1"/>
    </row>
    <row x14ac:dyDescent="0.25" r="1292" customHeight="1" ht="18.75">
      <c r="A1292" s="1"/>
      <c r="B1292" s="1"/>
      <c r="C1292" s="3" t="s">
        <v>121</v>
      </c>
      <c r="D1292" s="3" t="s">
        <v>1330</v>
      </c>
      <c r="E1292" s="1"/>
      <c r="F1292" s="1"/>
      <c r="G1292" s="1"/>
      <c r="H1292" s="1"/>
      <c r="I1292" s="2"/>
      <c r="J1292" s="1"/>
      <c r="K1292" s="1"/>
      <c r="L1292" s="1"/>
      <c r="M1292" s="1"/>
      <c r="N1292" s="1"/>
      <c r="O1292" s="1"/>
      <c r="P1292" s="1"/>
      <c r="Q1292" s="1"/>
      <c r="R1292" s="1"/>
      <c r="S1292" s="1"/>
      <c r="T1292" s="1"/>
      <c r="U1292" s="1"/>
      <c r="V1292" s="1"/>
      <c r="W1292" s="1"/>
      <c r="X1292" s="1"/>
    </row>
    <row x14ac:dyDescent="0.25" r="1293" customHeight="1" ht="18.75">
      <c r="A1293" s="1"/>
      <c r="B1293" s="1"/>
      <c r="C1293" s="3" t="s">
        <v>94</v>
      </c>
      <c r="D1293" s="3" t="s">
        <v>1331</v>
      </c>
      <c r="E1293" s="1"/>
      <c r="F1293" s="1"/>
      <c r="G1293" s="1"/>
      <c r="H1293" s="1"/>
      <c r="I1293" s="2"/>
      <c r="J1293" s="1"/>
      <c r="K1293" s="1"/>
      <c r="L1293" s="1"/>
      <c r="M1293" s="1"/>
      <c r="N1293" s="1"/>
      <c r="O1293" s="1"/>
      <c r="P1293" s="1"/>
      <c r="Q1293" s="1"/>
      <c r="R1293" s="1"/>
      <c r="S1293" s="1"/>
      <c r="T1293" s="1"/>
      <c r="U1293" s="1"/>
      <c r="V1293" s="1"/>
      <c r="W1293" s="1"/>
      <c r="X1293" s="1"/>
    </row>
    <row x14ac:dyDescent="0.25" r="1294" customHeight="1" ht="18.75">
      <c r="A1294" s="1"/>
      <c r="B1294" s="1"/>
      <c r="C1294" s="3" t="s">
        <v>121</v>
      </c>
      <c r="D1294" s="3" t="s">
        <v>1257</v>
      </c>
      <c r="E1294" s="1"/>
      <c r="F1294" s="1"/>
      <c r="G1294" s="1"/>
      <c r="H1294" s="1"/>
      <c r="I1294" s="2"/>
      <c r="J1294" s="1"/>
      <c r="K1294" s="1"/>
      <c r="L1294" s="1"/>
      <c r="M1294" s="1"/>
      <c r="N1294" s="1"/>
      <c r="O1294" s="1"/>
      <c r="P1294" s="1"/>
      <c r="Q1294" s="1"/>
      <c r="R1294" s="1"/>
      <c r="S1294" s="1"/>
      <c r="T1294" s="1"/>
      <c r="U1294" s="1"/>
      <c r="V1294" s="1"/>
      <c r="W1294" s="1"/>
      <c r="X1294" s="1"/>
    </row>
    <row x14ac:dyDescent="0.25" r="1295" customHeight="1" ht="18.75">
      <c r="A1295" s="1"/>
      <c r="B1295" s="1"/>
      <c r="C1295" s="3" t="s">
        <v>94</v>
      </c>
      <c r="D1295" s="3" t="s">
        <v>1332</v>
      </c>
      <c r="E1295" s="1"/>
      <c r="F1295" s="1"/>
      <c r="G1295" s="1"/>
      <c r="H1295" s="1"/>
      <c r="I1295" s="2"/>
      <c r="J1295" s="1"/>
      <c r="K1295" s="1"/>
      <c r="L1295" s="1"/>
      <c r="M1295" s="1"/>
      <c r="N1295" s="1"/>
      <c r="O1295" s="1"/>
      <c r="P1295" s="1"/>
      <c r="Q1295" s="1"/>
      <c r="R1295" s="1"/>
      <c r="S1295" s="1"/>
      <c r="T1295" s="1"/>
      <c r="U1295" s="1"/>
      <c r="V1295" s="1"/>
      <c r="W1295" s="1"/>
      <c r="X1295" s="1"/>
    </row>
    <row x14ac:dyDescent="0.25" r="1296" customHeight="1" ht="18.75">
      <c r="A1296" s="1"/>
      <c r="B1296" s="1"/>
      <c r="C1296" s="3" t="s">
        <v>121</v>
      </c>
      <c r="D1296" s="3" t="s">
        <v>1333</v>
      </c>
      <c r="E1296" s="1"/>
      <c r="F1296" s="1"/>
      <c r="G1296" s="1"/>
      <c r="H1296" s="1"/>
      <c r="I1296" s="2"/>
      <c r="J1296" s="1"/>
      <c r="K1296" s="1"/>
      <c r="L1296" s="1"/>
      <c r="M1296" s="1"/>
      <c r="N1296" s="1"/>
      <c r="O1296" s="1"/>
      <c r="P1296" s="1"/>
      <c r="Q1296" s="1"/>
      <c r="R1296" s="1"/>
      <c r="S1296" s="1"/>
      <c r="T1296" s="1"/>
      <c r="U1296" s="1"/>
      <c r="V1296" s="1"/>
      <c r="W1296" s="1"/>
      <c r="X1296" s="1"/>
    </row>
    <row x14ac:dyDescent="0.25" r="1297" customHeight="1" ht="18.75">
      <c r="A1297" s="1"/>
      <c r="B1297" s="1"/>
      <c r="C1297" s="3" t="s">
        <v>94</v>
      </c>
      <c r="D1297" s="3" t="s">
        <v>1334</v>
      </c>
      <c r="E1297" s="1"/>
      <c r="F1297" s="1"/>
      <c r="G1297" s="1"/>
      <c r="H1297" s="1"/>
      <c r="I1297" s="2"/>
      <c r="J1297" s="1"/>
      <c r="K1297" s="1"/>
      <c r="L1297" s="1"/>
      <c r="M1297" s="1"/>
      <c r="N1297" s="1"/>
      <c r="O1297" s="1"/>
      <c r="P1297" s="1"/>
      <c r="Q1297" s="1"/>
      <c r="R1297" s="1"/>
      <c r="S1297" s="1"/>
      <c r="T1297" s="1"/>
      <c r="U1297" s="1"/>
      <c r="V1297" s="1"/>
      <c r="W1297" s="1"/>
      <c r="X1297" s="1"/>
    </row>
    <row x14ac:dyDescent="0.25" r="1298" customHeight="1" ht="18.75">
      <c r="A1298" s="1"/>
      <c r="B1298" s="1"/>
      <c r="C1298" s="3" t="s">
        <v>94</v>
      </c>
      <c r="D1298" s="3" t="s">
        <v>1335</v>
      </c>
      <c r="E1298" s="1"/>
      <c r="F1298" s="1"/>
      <c r="G1298" s="1"/>
      <c r="H1298" s="1"/>
      <c r="I1298" s="2"/>
      <c r="J1298" s="1"/>
      <c r="K1298" s="1"/>
      <c r="L1298" s="1"/>
      <c r="M1298" s="1"/>
      <c r="N1298" s="1"/>
      <c r="O1298" s="1"/>
      <c r="P1298" s="1"/>
      <c r="Q1298" s="1"/>
      <c r="R1298" s="1"/>
      <c r="S1298" s="1"/>
      <c r="T1298" s="1"/>
      <c r="U1298" s="1"/>
      <c r="V1298" s="1"/>
      <c r="W1298" s="1"/>
      <c r="X1298" s="1"/>
    </row>
    <row x14ac:dyDescent="0.25" r="1299" customHeight="1" ht="18.75">
      <c r="A1299" s="1"/>
      <c r="B1299" s="1"/>
      <c r="C1299" s="3" t="s">
        <v>94</v>
      </c>
      <c r="D1299" s="3" t="s">
        <v>1336</v>
      </c>
      <c r="E1299" s="1"/>
      <c r="F1299" s="1"/>
      <c r="G1299" s="1"/>
      <c r="H1299" s="1"/>
      <c r="I1299" s="2"/>
      <c r="J1299" s="1"/>
      <c r="K1299" s="1"/>
      <c r="L1299" s="1"/>
      <c r="M1299" s="1"/>
      <c r="N1299" s="1"/>
      <c r="O1299" s="1"/>
      <c r="P1299" s="1"/>
      <c r="Q1299" s="1"/>
      <c r="R1299" s="1"/>
      <c r="S1299" s="1"/>
      <c r="T1299" s="1"/>
      <c r="U1299" s="1"/>
      <c r="V1299" s="1"/>
      <c r="W1299" s="1"/>
      <c r="X1299" s="1"/>
    </row>
    <row x14ac:dyDescent="0.25" r="1300" customHeight="1" ht="18.75">
      <c r="A1300" s="1"/>
      <c r="B1300" s="1"/>
      <c r="C1300" s="3" t="s">
        <v>94</v>
      </c>
      <c r="D1300" s="3" t="s">
        <v>1337</v>
      </c>
      <c r="E1300" s="1"/>
      <c r="F1300" s="1"/>
      <c r="G1300" s="1"/>
      <c r="H1300" s="1"/>
      <c r="I1300" s="2"/>
      <c r="J1300" s="1"/>
      <c r="K1300" s="1"/>
      <c r="L1300" s="1"/>
      <c r="M1300" s="1"/>
      <c r="N1300" s="1"/>
      <c r="O1300" s="1"/>
      <c r="P1300" s="1"/>
      <c r="Q1300" s="1"/>
      <c r="R1300" s="1"/>
      <c r="S1300" s="1"/>
      <c r="T1300" s="1"/>
      <c r="U1300" s="1"/>
      <c r="V1300" s="1"/>
      <c r="W1300" s="1"/>
      <c r="X1300" s="1"/>
    </row>
    <row x14ac:dyDescent="0.25" r="1301" customHeight="1" ht="18.75">
      <c r="A1301" s="1"/>
      <c r="B1301" s="1"/>
      <c r="C1301" s="3" t="s">
        <v>94</v>
      </c>
      <c r="D1301" s="3" t="s">
        <v>233</v>
      </c>
      <c r="E1301" s="1"/>
      <c r="F1301" s="1"/>
      <c r="G1301" s="1"/>
      <c r="H1301" s="1"/>
      <c r="I1301" s="2"/>
      <c r="J1301" s="1"/>
      <c r="K1301" s="1"/>
      <c r="L1301" s="1"/>
      <c r="M1301" s="1"/>
      <c r="N1301" s="1"/>
      <c r="O1301" s="1"/>
      <c r="P1301" s="1"/>
      <c r="Q1301" s="1"/>
      <c r="R1301" s="1"/>
      <c r="S1301" s="1"/>
      <c r="T1301" s="1"/>
      <c r="U1301" s="1"/>
      <c r="V1301" s="1"/>
      <c r="W1301" s="1"/>
      <c r="X1301" s="1"/>
    </row>
    <row x14ac:dyDescent="0.25" r="1302" customHeight="1" ht="18.75">
      <c r="A1302" s="1"/>
      <c r="B1302" s="1"/>
      <c r="C1302" s="3" t="s">
        <v>94</v>
      </c>
      <c r="D1302" s="3" t="s">
        <v>1338</v>
      </c>
      <c r="E1302" s="1"/>
      <c r="F1302" s="1"/>
      <c r="G1302" s="1"/>
      <c r="H1302" s="1"/>
      <c r="I1302" s="2"/>
      <c r="J1302" s="1"/>
      <c r="K1302" s="1"/>
      <c r="L1302" s="1"/>
      <c r="M1302" s="1"/>
      <c r="N1302" s="1"/>
      <c r="O1302" s="1"/>
      <c r="P1302" s="1"/>
      <c r="Q1302" s="1"/>
      <c r="R1302" s="1"/>
      <c r="S1302" s="1"/>
      <c r="T1302" s="1"/>
      <c r="U1302" s="1"/>
      <c r="V1302" s="1"/>
      <c r="W1302" s="1"/>
      <c r="X1302" s="1"/>
    </row>
    <row x14ac:dyDescent="0.25" r="1303" customHeight="1" ht="18.75">
      <c r="A1303" s="1"/>
      <c r="B1303" s="1"/>
      <c r="C1303" s="3" t="s">
        <v>94</v>
      </c>
      <c r="D1303" s="3" t="s">
        <v>245</v>
      </c>
      <c r="E1303" s="1"/>
      <c r="F1303" s="1"/>
      <c r="G1303" s="1"/>
      <c r="H1303" s="1"/>
      <c r="I1303" s="2"/>
      <c r="J1303" s="1"/>
      <c r="K1303" s="1"/>
      <c r="L1303" s="1"/>
      <c r="M1303" s="1"/>
      <c r="N1303" s="1"/>
      <c r="O1303" s="1"/>
      <c r="P1303" s="1"/>
      <c r="Q1303" s="1"/>
      <c r="R1303" s="1"/>
      <c r="S1303" s="1"/>
      <c r="T1303" s="1"/>
      <c r="U1303" s="1"/>
      <c r="V1303" s="1"/>
      <c r="W1303" s="1"/>
      <c r="X1303" s="1"/>
    </row>
    <row x14ac:dyDescent="0.25" r="1304" customHeight="1" ht="18.75">
      <c r="A1304" s="1"/>
      <c r="B1304" s="1"/>
      <c r="C1304" s="3" t="s">
        <v>94</v>
      </c>
      <c r="D1304" s="3" t="s">
        <v>1339</v>
      </c>
      <c r="E1304" s="1"/>
      <c r="F1304" s="1"/>
      <c r="G1304" s="1"/>
      <c r="H1304" s="1"/>
      <c r="I1304" s="2"/>
      <c r="J1304" s="1"/>
      <c r="K1304" s="1"/>
      <c r="L1304" s="1"/>
      <c r="M1304" s="1"/>
      <c r="N1304" s="1"/>
      <c r="O1304" s="1"/>
      <c r="P1304" s="1"/>
      <c r="Q1304" s="1"/>
      <c r="R1304" s="1"/>
      <c r="S1304" s="1"/>
      <c r="T1304" s="1"/>
      <c r="U1304" s="1"/>
      <c r="V1304" s="1"/>
      <c r="W1304" s="1"/>
      <c r="X1304" s="1"/>
    </row>
    <row x14ac:dyDescent="0.25" r="1305" customHeight="1" ht="18.75">
      <c r="A1305" s="1"/>
      <c r="B1305" s="1"/>
      <c r="C1305" s="3" t="s">
        <v>94</v>
      </c>
      <c r="D1305" s="3" t="s">
        <v>1234</v>
      </c>
      <c r="E1305" s="1"/>
      <c r="F1305" s="1"/>
      <c r="G1305" s="1"/>
      <c r="H1305" s="1"/>
      <c r="I1305" s="2"/>
      <c r="J1305" s="1"/>
      <c r="K1305" s="1"/>
      <c r="L1305" s="1"/>
      <c r="M1305" s="1"/>
      <c r="N1305" s="1"/>
      <c r="O1305" s="1"/>
      <c r="P1305" s="1"/>
      <c r="Q1305" s="1"/>
      <c r="R1305" s="1"/>
      <c r="S1305" s="1"/>
      <c r="T1305" s="1"/>
      <c r="U1305" s="1"/>
      <c r="V1305" s="1"/>
      <c r="W1305" s="1"/>
      <c r="X1305" s="1"/>
    </row>
    <row x14ac:dyDescent="0.25" r="1306" customHeight="1" ht="18.75">
      <c r="A1306" s="1"/>
      <c r="B1306" s="1"/>
      <c r="C1306" s="3" t="s">
        <v>94</v>
      </c>
      <c r="D1306" s="3" t="s">
        <v>1340</v>
      </c>
      <c r="E1306" s="1"/>
      <c r="F1306" s="1"/>
      <c r="G1306" s="1"/>
      <c r="H1306" s="1"/>
      <c r="I1306" s="2"/>
      <c r="J1306" s="1"/>
      <c r="K1306" s="1"/>
      <c r="L1306" s="1"/>
      <c r="M1306" s="1"/>
      <c r="N1306" s="1"/>
      <c r="O1306" s="1"/>
      <c r="P1306" s="1"/>
      <c r="Q1306" s="1"/>
      <c r="R1306" s="1"/>
      <c r="S1306" s="1"/>
      <c r="T1306" s="1"/>
      <c r="U1306" s="1"/>
      <c r="V1306" s="1"/>
      <c r="W1306" s="1"/>
      <c r="X1306" s="1"/>
    </row>
    <row x14ac:dyDescent="0.25" r="1307" customHeight="1" ht="18.75">
      <c r="A1307" s="1"/>
      <c r="B1307" s="1"/>
      <c r="C1307" s="3" t="s">
        <v>94</v>
      </c>
      <c r="D1307" s="3" t="s">
        <v>1341</v>
      </c>
      <c r="E1307" s="1"/>
      <c r="F1307" s="1"/>
      <c r="G1307" s="1"/>
      <c r="H1307" s="1"/>
      <c r="I1307" s="2"/>
      <c r="J1307" s="1"/>
      <c r="K1307" s="1"/>
      <c r="L1307" s="1"/>
      <c r="M1307" s="1"/>
      <c r="N1307" s="1"/>
      <c r="O1307" s="1"/>
      <c r="P1307" s="1"/>
      <c r="Q1307" s="1"/>
      <c r="R1307" s="1"/>
      <c r="S1307" s="1"/>
      <c r="T1307" s="1"/>
      <c r="U1307" s="1"/>
      <c r="V1307" s="1"/>
      <c r="W1307" s="1"/>
      <c r="X1307" s="1"/>
    </row>
    <row x14ac:dyDescent="0.25" r="1308" customHeight="1" ht="18.75">
      <c r="A1308" s="1"/>
      <c r="B1308" s="1"/>
      <c r="C1308" s="3" t="s">
        <v>94</v>
      </c>
      <c r="D1308" s="3" t="s">
        <v>1342</v>
      </c>
      <c r="E1308" s="1"/>
      <c r="F1308" s="1"/>
      <c r="G1308" s="1"/>
      <c r="H1308" s="1"/>
      <c r="I1308" s="2"/>
      <c r="J1308" s="1"/>
      <c r="K1308" s="1"/>
      <c r="L1308" s="1"/>
      <c r="M1308" s="1"/>
      <c r="N1308" s="1"/>
      <c r="O1308" s="1"/>
      <c r="P1308" s="1"/>
      <c r="Q1308" s="1"/>
      <c r="R1308" s="1"/>
      <c r="S1308" s="1"/>
      <c r="T1308" s="1"/>
      <c r="U1308" s="1"/>
      <c r="V1308" s="1"/>
      <c r="W1308" s="1"/>
      <c r="X1308" s="1"/>
    </row>
    <row x14ac:dyDescent="0.25" r="1309" customHeight="1" ht="18.75">
      <c r="A1309" s="1"/>
      <c r="B1309" s="1"/>
      <c r="C1309" s="3" t="s">
        <v>94</v>
      </c>
      <c r="D1309" s="3" t="s">
        <v>1343</v>
      </c>
      <c r="E1309" s="1"/>
      <c r="F1309" s="1"/>
      <c r="G1309" s="1"/>
      <c r="H1309" s="1"/>
      <c r="I1309" s="2"/>
      <c r="J1309" s="1"/>
      <c r="K1309" s="1"/>
      <c r="L1309" s="1"/>
      <c r="M1309" s="1"/>
      <c r="N1309" s="1"/>
      <c r="O1309" s="1"/>
      <c r="P1309" s="1"/>
      <c r="Q1309" s="1"/>
      <c r="R1309" s="1"/>
      <c r="S1309" s="1"/>
      <c r="T1309" s="1"/>
      <c r="U1309" s="1"/>
      <c r="V1309" s="1"/>
      <c r="W1309" s="1"/>
      <c r="X1309" s="1"/>
    </row>
    <row x14ac:dyDescent="0.25" r="1310" customHeight="1" ht="18.75">
      <c r="A1310" s="1"/>
      <c r="B1310" s="1"/>
      <c r="C1310" s="3" t="s">
        <v>94</v>
      </c>
      <c r="D1310" s="3" t="s">
        <v>1344</v>
      </c>
      <c r="E1310" s="1"/>
      <c r="F1310" s="1"/>
      <c r="G1310" s="1"/>
      <c r="H1310" s="1"/>
      <c r="I1310" s="2"/>
      <c r="J1310" s="1"/>
      <c r="K1310" s="1"/>
      <c r="L1310" s="1"/>
      <c r="M1310" s="1"/>
      <c r="N1310" s="1"/>
      <c r="O1310" s="1"/>
      <c r="P1310" s="1"/>
      <c r="Q1310" s="1"/>
      <c r="R1310" s="1"/>
      <c r="S1310" s="1"/>
      <c r="T1310" s="1"/>
      <c r="U1310" s="1"/>
      <c r="V1310" s="1"/>
      <c r="W1310" s="1"/>
      <c r="X1310" s="1"/>
    </row>
    <row x14ac:dyDescent="0.25" r="1311" customHeight="1" ht="18.75">
      <c r="A1311" s="1"/>
      <c r="B1311" s="1"/>
      <c r="C1311" s="3" t="s">
        <v>94</v>
      </c>
      <c r="D1311" s="3" t="s">
        <v>1345</v>
      </c>
      <c r="E1311" s="1"/>
      <c r="F1311" s="1"/>
      <c r="G1311" s="1"/>
      <c r="H1311" s="1"/>
      <c r="I1311" s="2"/>
      <c r="J1311" s="1"/>
      <c r="K1311" s="1"/>
      <c r="L1311" s="1"/>
      <c r="M1311" s="1"/>
      <c r="N1311" s="1"/>
      <c r="O1311" s="1"/>
      <c r="P1311" s="1"/>
      <c r="Q1311" s="1"/>
      <c r="R1311" s="1"/>
      <c r="S1311" s="1"/>
      <c r="T1311" s="1"/>
      <c r="U1311" s="1"/>
      <c r="V1311" s="1"/>
      <c r="W1311" s="1"/>
      <c r="X1311" s="1"/>
    </row>
    <row x14ac:dyDescent="0.25" r="1312" customHeight="1" ht="18.75">
      <c r="A1312" s="1"/>
      <c r="B1312" s="1"/>
      <c r="C1312" s="3" t="s">
        <v>94</v>
      </c>
      <c r="D1312" s="3" t="s">
        <v>1346</v>
      </c>
      <c r="E1312" s="1"/>
      <c r="F1312" s="1"/>
      <c r="G1312" s="1"/>
      <c r="H1312" s="1"/>
      <c r="I1312" s="2"/>
      <c r="J1312" s="1"/>
      <c r="K1312" s="1"/>
      <c r="L1312" s="1"/>
      <c r="M1312" s="1"/>
      <c r="N1312" s="1"/>
      <c r="O1312" s="1"/>
      <c r="P1312" s="1"/>
      <c r="Q1312" s="1"/>
      <c r="R1312" s="1"/>
      <c r="S1312" s="1"/>
      <c r="T1312" s="1"/>
      <c r="U1312" s="1"/>
      <c r="V1312" s="1"/>
      <c r="W1312" s="1"/>
      <c r="X1312" s="1"/>
    </row>
    <row x14ac:dyDescent="0.25" r="1313" customHeight="1" ht="18.75">
      <c r="A1313" s="1"/>
      <c r="B1313" s="1"/>
      <c r="C1313" s="3" t="s">
        <v>94</v>
      </c>
      <c r="D1313" s="3" t="s">
        <v>1347</v>
      </c>
      <c r="E1313" s="1"/>
      <c r="F1313" s="1"/>
      <c r="G1313" s="1"/>
      <c r="H1313" s="1"/>
      <c r="I1313" s="2"/>
      <c r="J1313" s="1"/>
      <c r="K1313" s="1"/>
      <c r="L1313" s="1"/>
      <c r="M1313" s="1"/>
      <c r="N1313" s="1"/>
      <c r="O1313" s="1"/>
      <c r="P1313" s="1"/>
      <c r="Q1313" s="1"/>
      <c r="R1313" s="1"/>
      <c r="S1313" s="1"/>
      <c r="T1313" s="1"/>
      <c r="U1313" s="1"/>
      <c r="V1313" s="1"/>
      <c r="W1313" s="1"/>
      <c r="X1313" s="1"/>
    </row>
    <row x14ac:dyDescent="0.25" r="1314" customHeight="1" ht="18.75">
      <c r="A1314" s="1"/>
      <c r="B1314" s="1"/>
      <c r="C1314" s="3" t="s">
        <v>121</v>
      </c>
      <c r="D1314" s="3" t="s">
        <v>1179</v>
      </c>
      <c r="E1314" s="1"/>
      <c r="F1314" s="1"/>
      <c r="G1314" s="1"/>
      <c r="H1314" s="1"/>
      <c r="I1314" s="2"/>
      <c r="J1314" s="1"/>
      <c r="K1314" s="1"/>
      <c r="L1314" s="1"/>
      <c r="M1314" s="1"/>
      <c r="N1314" s="1"/>
      <c r="O1314" s="1"/>
      <c r="P1314" s="1"/>
      <c r="Q1314" s="1"/>
      <c r="R1314" s="1"/>
      <c r="S1314" s="1"/>
      <c r="T1314" s="1"/>
      <c r="U1314" s="1"/>
      <c r="V1314" s="1"/>
      <c r="W1314" s="1"/>
      <c r="X1314" s="1"/>
    </row>
    <row x14ac:dyDescent="0.25" r="1315" customHeight="1" ht="18.75">
      <c r="A1315" s="1"/>
      <c r="B1315" s="1"/>
      <c r="C1315" s="3" t="s">
        <v>121</v>
      </c>
      <c r="D1315" s="3" t="s">
        <v>1201</v>
      </c>
      <c r="E1315" s="1"/>
      <c r="F1315" s="1"/>
      <c r="G1315" s="1"/>
      <c r="H1315" s="1"/>
      <c r="I1315" s="2"/>
      <c r="J1315" s="1"/>
      <c r="K1315" s="1"/>
      <c r="L1315" s="1"/>
      <c r="M1315" s="1"/>
      <c r="N1315" s="1"/>
      <c r="O1315" s="1"/>
      <c r="P1315" s="1"/>
      <c r="Q1315" s="1"/>
      <c r="R1315" s="1"/>
      <c r="S1315" s="1"/>
      <c r="T1315" s="1"/>
      <c r="U1315" s="1"/>
      <c r="V1315" s="1"/>
      <c r="W1315" s="1"/>
      <c r="X1315" s="1"/>
    </row>
    <row x14ac:dyDescent="0.25" r="1316" customHeight="1" ht="18.75">
      <c r="A1316" s="1"/>
      <c r="B1316" s="1"/>
      <c r="C1316" s="3" t="s">
        <v>121</v>
      </c>
      <c r="D1316" s="3" t="s">
        <v>1267</v>
      </c>
      <c r="E1316" s="1"/>
      <c r="F1316" s="1"/>
      <c r="G1316" s="1"/>
      <c r="H1316" s="1"/>
      <c r="I1316" s="2"/>
      <c r="J1316" s="1"/>
      <c r="K1316" s="1"/>
      <c r="L1316" s="1"/>
      <c r="M1316" s="1"/>
      <c r="N1316" s="1"/>
      <c r="O1316" s="1"/>
      <c r="P1316" s="1"/>
      <c r="Q1316" s="1"/>
      <c r="R1316" s="1"/>
      <c r="S1316" s="1"/>
      <c r="T1316" s="1"/>
      <c r="U1316" s="1"/>
      <c r="V1316" s="1"/>
      <c r="W1316" s="1"/>
      <c r="X1316" s="1"/>
    </row>
    <row x14ac:dyDescent="0.25" r="1317" customHeight="1" ht="18.75">
      <c r="A1317" s="1"/>
      <c r="B1317" s="1"/>
      <c r="C1317" s="3" t="s">
        <v>121</v>
      </c>
      <c r="D1317" s="3" t="s">
        <v>1348</v>
      </c>
      <c r="E1317" s="1"/>
      <c r="F1317" s="1"/>
      <c r="G1317" s="1"/>
      <c r="H1317" s="1"/>
      <c r="I1317" s="2"/>
      <c r="J1317" s="1"/>
      <c r="K1317" s="1"/>
      <c r="L1317" s="1"/>
      <c r="M1317" s="1"/>
      <c r="N1317" s="1"/>
      <c r="O1317" s="1"/>
      <c r="P1317" s="1"/>
      <c r="Q1317" s="1"/>
      <c r="R1317" s="1"/>
      <c r="S1317" s="1"/>
      <c r="T1317" s="1"/>
      <c r="U1317" s="1"/>
      <c r="V1317" s="1"/>
      <c r="W1317" s="1"/>
      <c r="X1317" s="1"/>
    </row>
    <row x14ac:dyDescent="0.25" r="1318" customHeight="1" ht="18.75">
      <c r="A1318" s="1"/>
      <c r="B1318" s="1"/>
      <c r="C1318" s="3" t="s">
        <v>121</v>
      </c>
      <c r="D1318" s="3" t="s">
        <v>1245</v>
      </c>
      <c r="E1318" s="1"/>
      <c r="F1318" s="1"/>
      <c r="G1318" s="1"/>
      <c r="H1318" s="1"/>
      <c r="I1318" s="2"/>
      <c r="J1318" s="1"/>
      <c r="K1318" s="1"/>
      <c r="L1318" s="1"/>
      <c r="M1318" s="1"/>
      <c r="N1318" s="1"/>
      <c r="O1318" s="1"/>
      <c r="P1318" s="1"/>
      <c r="Q1318" s="1"/>
      <c r="R1318" s="1"/>
      <c r="S1318" s="1"/>
      <c r="T1318" s="1"/>
      <c r="U1318" s="1"/>
      <c r="V1318" s="1"/>
      <c r="W1318" s="1"/>
      <c r="X1318" s="1"/>
    </row>
    <row x14ac:dyDescent="0.25" r="1319" customHeight="1" ht="18.75">
      <c r="A1319" s="1"/>
      <c r="B1319" s="1"/>
      <c r="C1319" s="3" t="s">
        <v>121</v>
      </c>
      <c r="D1319" s="3" t="s">
        <v>1349</v>
      </c>
      <c r="E1319" s="1"/>
      <c r="F1319" s="1"/>
      <c r="G1319" s="1"/>
      <c r="H1319" s="1"/>
      <c r="I1319" s="2"/>
      <c r="J1319" s="1"/>
      <c r="K1319" s="1"/>
      <c r="L1319" s="1"/>
      <c r="M1319" s="1"/>
      <c r="N1319" s="1"/>
      <c r="O1319" s="1"/>
      <c r="P1319" s="1"/>
      <c r="Q1319" s="1"/>
      <c r="R1319" s="1"/>
      <c r="S1319" s="1"/>
      <c r="T1319" s="1"/>
      <c r="U1319" s="1"/>
      <c r="V1319" s="1"/>
      <c r="W1319" s="1"/>
      <c r="X1319" s="1"/>
    </row>
    <row x14ac:dyDescent="0.25" r="1320" customHeight="1" ht="18.75">
      <c r="A1320" s="1"/>
      <c r="B1320" s="1"/>
      <c r="C1320" s="3" t="s">
        <v>121</v>
      </c>
      <c r="D1320" s="3" t="s">
        <v>1252</v>
      </c>
      <c r="E1320" s="1"/>
      <c r="F1320" s="1"/>
      <c r="G1320" s="1"/>
      <c r="H1320" s="1"/>
      <c r="I1320" s="2"/>
      <c r="J1320" s="1"/>
      <c r="K1320" s="1"/>
      <c r="L1320" s="1"/>
      <c r="M1320" s="1"/>
      <c r="N1320" s="1"/>
      <c r="O1320" s="1"/>
      <c r="P1320" s="1"/>
      <c r="Q1320" s="1"/>
      <c r="R1320" s="1"/>
      <c r="S1320" s="1"/>
      <c r="T1320" s="1"/>
      <c r="U1320" s="1"/>
      <c r="V1320" s="1"/>
      <c r="W1320" s="1"/>
      <c r="X1320" s="1"/>
    </row>
    <row x14ac:dyDescent="0.25" r="1321" customHeight="1" ht="18.75">
      <c r="A1321" s="1"/>
      <c r="B1321" s="1"/>
      <c r="C1321" s="3" t="s">
        <v>121</v>
      </c>
      <c r="D1321" s="3" t="s">
        <v>1255</v>
      </c>
      <c r="E1321" s="1"/>
      <c r="F1321" s="1"/>
      <c r="G1321" s="1"/>
      <c r="H1321" s="1"/>
      <c r="I1321" s="2"/>
      <c r="J1321" s="1"/>
      <c r="K1321" s="1"/>
      <c r="L1321" s="1"/>
      <c r="M1321" s="1"/>
      <c r="N1321" s="1"/>
      <c r="O1321" s="1"/>
      <c r="P1321" s="1"/>
      <c r="Q1321" s="1"/>
      <c r="R1321" s="1"/>
      <c r="S1321" s="1"/>
      <c r="T1321" s="1"/>
      <c r="U1321" s="1"/>
      <c r="V1321" s="1"/>
      <c r="W1321" s="1"/>
      <c r="X1321" s="1"/>
    </row>
    <row x14ac:dyDescent="0.25" r="1322" customHeight="1" ht="18.75">
      <c r="A1322" s="1"/>
      <c r="B1322" s="1"/>
      <c r="C1322" s="3" t="s">
        <v>121</v>
      </c>
      <c r="D1322" s="3" t="s">
        <v>1259</v>
      </c>
      <c r="E1322" s="1"/>
      <c r="F1322" s="1"/>
      <c r="G1322" s="1"/>
      <c r="H1322" s="1"/>
      <c r="I1322" s="2"/>
      <c r="J1322" s="1"/>
      <c r="K1322" s="1"/>
      <c r="L1322" s="1"/>
      <c r="M1322" s="1"/>
      <c r="N1322" s="1"/>
      <c r="O1322" s="1"/>
      <c r="P1322" s="1"/>
      <c r="Q1322" s="1"/>
      <c r="R1322" s="1"/>
      <c r="S1322" s="1"/>
      <c r="T1322" s="1"/>
      <c r="U1322" s="1"/>
      <c r="V1322" s="1"/>
      <c r="W1322" s="1"/>
      <c r="X1322" s="1"/>
    </row>
    <row x14ac:dyDescent="0.25" r="1323" customHeight="1" ht="18.75">
      <c r="A1323" s="1"/>
      <c r="B1323" s="1"/>
      <c r="C1323" s="3" t="s">
        <v>100</v>
      </c>
      <c r="D1323" s="3" t="s">
        <v>1350</v>
      </c>
      <c r="E1323" s="1"/>
      <c r="F1323" s="1"/>
      <c r="G1323" s="1"/>
      <c r="H1323" s="1"/>
      <c r="I1323" s="2"/>
      <c r="J1323" s="1"/>
      <c r="K1323" s="1"/>
      <c r="L1323" s="1"/>
      <c r="M1323" s="1"/>
      <c r="N1323" s="1"/>
      <c r="O1323" s="1"/>
      <c r="P1323" s="1"/>
      <c r="Q1323" s="1"/>
      <c r="R1323" s="1"/>
      <c r="S1323" s="1"/>
      <c r="T1323" s="1"/>
      <c r="U1323" s="1"/>
      <c r="V1323" s="1"/>
      <c r="W1323" s="1"/>
      <c r="X1323" s="1"/>
    </row>
    <row x14ac:dyDescent="0.25" r="1324" customHeight="1" ht="18.75">
      <c r="A1324" s="1"/>
      <c r="B1324" s="1"/>
      <c r="C1324" s="3" t="s">
        <v>100</v>
      </c>
      <c r="D1324" s="3" t="s">
        <v>1351</v>
      </c>
      <c r="E1324" s="1"/>
      <c r="F1324" s="1"/>
      <c r="G1324" s="1"/>
      <c r="H1324" s="1"/>
      <c r="I1324" s="2"/>
      <c r="J1324" s="1"/>
      <c r="K1324" s="1"/>
      <c r="L1324" s="1"/>
      <c r="M1324" s="1"/>
      <c r="N1324" s="1"/>
      <c r="O1324" s="1"/>
      <c r="P1324" s="1"/>
      <c r="Q1324" s="1"/>
      <c r="R1324" s="1"/>
      <c r="S1324" s="1"/>
      <c r="T1324" s="1"/>
      <c r="U1324" s="1"/>
      <c r="V1324" s="1"/>
      <c r="W1324" s="1"/>
      <c r="X1324" s="1"/>
    </row>
    <row x14ac:dyDescent="0.25" r="1325" customHeight="1" ht="18.75">
      <c r="A1325" s="1"/>
      <c r="B1325" s="1"/>
      <c r="C1325" s="3" t="s">
        <v>100</v>
      </c>
      <c r="D1325" s="3" t="s">
        <v>1352</v>
      </c>
      <c r="E1325" s="1"/>
      <c r="F1325" s="1"/>
      <c r="G1325" s="1"/>
      <c r="H1325" s="1"/>
      <c r="I1325" s="2"/>
      <c r="J1325" s="1"/>
      <c r="K1325" s="1"/>
      <c r="L1325" s="1"/>
      <c r="M1325" s="1"/>
      <c r="N1325" s="1"/>
      <c r="O1325" s="1"/>
      <c r="P1325" s="1"/>
      <c r="Q1325" s="1"/>
      <c r="R1325" s="1"/>
      <c r="S1325" s="1"/>
      <c r="T1325" s="1"/>
      <c r="U1325" s="1"/>
      <c r="V1325" s="1"/>
      <c r="W1325" s="1"/>
      <c r="X1325" s="1"/>
    </row>
    <row x14ac:dyDescent="0.25" r="1326" customHeight="1" ht="18.75">
      <c r="A1326" s="1"/>
      <c r="B1326" s="1"/>
      <c r="C1326" s="3" t="s">
        <v>100</v>
      </c>
      <c r="D1326" s="3" t="s">
        <v>1353</v>
      </c>
      <c r="E1326" s="1"/>
      <c r="F1326" s="1"/>
      <c r="G1326" s="1"/>
      <c r="H1326" s="1"/>
      <c r="I1326" s="2"/>
      <c r="J1326" s="1"/>
      <c r="K1326" s="1"/>
      <c r="L1326" s="1"/>
      <c r="M1326" s="1"/>
      <c r="N1326" s="1"/>
      <c r="O1326" s="1"/>
      <c r="P1326" s="1"/>
      <c r="Q1326" s="1"/>
      <c r="R1326" s="1"/>
      <c r="S1326" s="1"/>
      <c r="T1326" s="1"/>
      <c r="U1326" s="1"/>
      <c r="V1326" s="1"/>
      <c r="W1326" s="1"/>
      <c r="X1326" s="1"/>
    </row>
    <row x14ac:dyDescent="0.25" r="1327" customHeight="1" ht="18.75">
      <c r="A1327" s="1"/>
      <c r="B1327" s="1"/>
      <c r="C1327" s="3" t="s">
        <v>100</v>
      </c>
      <c r="D1327" s="3" t="s">
        <v>1354</v>
      </c>
      <c r="E1327" s="1"/>
      <c r="F1327" s="1"/>
      <c r="G1327" s="1"/>
      <c r="H1327" s="1"/>
      <c r="I1327" s="2"/>
      <c r="J1327" s="1"/>
      <c r="K1327" s="1"/>
      <c r="L1327" s="1"/>
      <c r="M1327" s="1"/>
      <c r="N1327" s="1"/>
      <c r="O1327" s="1"/>
      <c r="P1327" s="1"/>
      <c r="Q1327" s="1"/>
      <c r="R1327" s="1"/>
      <c r="S1327" s="1"/>
      <c r="T1327" s="1"/>
      <c r="U1327" s="1"/>
      <c r="V1327" s="1"/>
      <c r="W1327" s="1"/>
      <c r="X1327" s="1"/>
    </row>
    <row x14ac:dyDescent="0.25" r="1328" customHeight="1" ht="18.75">
      <c r="A1328" s="1"/>
      <c r="B1328" s="1"/>
      <c r="C1328" s="3" t="s">
        <v>100</v>
      </c>
      <c r="D1328" s="3" t="s">
        <v>1355</v>
      </c>
      <c r="E1328" s="1"/>
      <c r="F1328" s="1"/>
      <c r="G1328" s="1"/>
      <c r="H1328" s="1"/>
      <c r="I1328" s="2"/>
      <c r="J1328" s="1"/>
      <c r="K1328" s="1"/>
      <c r="L1328" s="1"/>
      <c r="M1328" s="1"/>
      <c r="N1328" s="1"/>
      <c r="O1328" s="1"/>
      <c r="P1328" s="1"/>
      <c r="Q1328" s="1"/>
      <c r="R1328" s="1"/>
      <c r="S1328" s="1"/>
      <c r="T1328" s="1"/>
      <c r="U1328" s="1"/>
      <c r="V1328" s="1"/>
      <c r="W1328" s="1"/>
      <c r="X1328" s="1"/>
    </row>
    <row x14ac:dyDescent="0.25" r="1329" customHeight="1" ht="18.75">
      <c r="A1329" s="1"/>
      <c r="B1329" s="1"/>
      <c r="C1329" s="3" t="s">
        <v>100</v>
      </c>
      <c r="D1329" s="3" t="s">
        <v>1356</v>
      </c>
      <c r="E1329" s="1"/>
      <c r="F1329" s="1"/>
      <c r="G1329" s="1"/>
      <c r="H1329" s="1"/>
      <c r="I1329" s="2"/>
      <c r="J1329" s="1"/>
      <c r="K1329" s="1"/>
      <c r="L1329" s="1"/>
      <c r="M1329" s="1"/>
      <c r="N1329" s="1"/>
      <c r="O1329" s="1"/>
      <c r="P1329" s="1"/>
      <c r="Q1329" s="1"/>
      <c r="R1329" s="1"/>
      <c r="S1329" s="1"/>
      <c r="T1329" s="1"/>
      <c r="U1329" s="1"/>
      <c r="V1329" s="1"/>
      <c r="W1329" s="1"/>
      <c r="X1329" s="1"/>
    </row>
    <row x14ac:dyDescent="0.25" r="1330" customHeight="1" ht="18.75">
      <c r="A1330" s="1"/>
      <c r="B1330" s="1"/>
      <c r="C1330" s="3" t="s">
        <v>100</v>
      </c>
      <c r="D1330" s="3" t="s">
        <v>1357</v>
      </c>
      <c r="E1330" s="1"/>
      <c r="F1330" s="1"/>
      <c r="G1330" s="1"/>
      <c r="H1330" s="1"/>
      <c r="I1330" s="2"/>
      <c r="J1330" s="1"/>
      <c r="K1330" s="1"/>
      <c r="L1330" s="1"/>
      <c r="M1330" s="1"/>
      <c r="N1330" s="1"/>
      <c r="O1330" s="1"/>
      <c r="P1330" s="1"/>
      <c r="Q1330" s="1"/>
      <c r="R1330" s="1"/>
      <c r="S1330" s="1"/>
      <c r="T1330" s="1"/>
      <c r="U1330" s="1"/>
      <c r="V1330" s="1"/>
      <c r="W1330" s="1"/>
      <c r="X1330" s="1"/>
    </row>
    <row x14ac:dyDescent="0.25" r="1331" customHeight="1" ht="18.75">
      <c r="A1331" s="1"/>
      <c r="B1331" s="1"/>
      <c r="C1331" s="3" t="s">
        <v>100</v>
      </c>
      <c r="D1331" s="3" t="s">
        <v>1358</v>
      </c>
      <c r="E1331" s="1"/>
      <c r="F1331" s="1"/>
      <c r="G1331" s="1"/>
      <c r="H1331" s="1"/>
      <c r="I1331" s="2"/>
      <c r="J1331" s="1"/>
      <c r="K1331" s="1"/>
      <c r="L1331" s="1"/>
      <c r="M1331" s="1"/>
      <c r="N1331" s="1"/>
      <c r="O1331" s="1"/>
      <c r="P1331" s="1"/>
      <c r="Q1331" s="1"/>
      <c r="R1331" s="1"/>
      <c r="S1331" s="1"/>
      <c r="T1331" s="1"/>
      <c r="U1331" s="1"/>
      <c r="V1331" s="1"/>
      <c r="W1331" s="1"/>
      <c r="X1331" s="1"/>
    </row>
    <row x14ac:dyDescent="0.25" r="1332" customHeight="1" ht="18.75">
      <c r="A1332" s="1"/>
      <c r="B1332" s="1"/>
      <c r="C1332" s="3" t="s">
        <v>100</v>
      </c>
      <c r="D1332" s="3" t="s">
        <v>1359</v>
      </c>
      <c r="E1332" s="1"/>
      <c r="F1332" s="1"/>
      <c r="G1332" s="1"/>
      <c r="H1332" s="1"/>
      <c r="I1332" s="2"/>
      <c r="J1332" s="1"/>
      <c r="K1332" s="1"/>
      <c r="L1332" s="1"/>
      <c r="M1332" s="1"/>
      <c r="N1332" s="1"/>
      <c r="O1332" s="1"/>
      <c r="P1332" s="1"/>
      <c r="Q1332" s="1"/>
      <c r="R1332" s="1"/>
      <c r="S1332" s="1"/>
      <c r="T1332" s="1"/>
      <c r="U1332" s="1"/>
      <c r="V1332" s="1"/>
      <c r="W1332" s="1"/>
      <c r="X1332" s="1"/>
    </row>
    <row x14ac:dyDescent="0.25" r="1333" customHeight="1" ht="18.75">
      <c r="A1333" s="1"/>
      <c r="B1333" s="1"/>
      <c r="C1333" s="3" t="s">
        <v>100</v>
      </c>
      <c r="D1333" s="3" t="s">
        <v>1360</v>
      </c>
      <c r="E1333" s="1"/>
      <c r="F1333" s="1"/>
      <c r="G1333" s="1"/>
      <c r="H1333" s="1"/>
      <c r="I1333" s="2"/>
      <c r="J1333" s="1"/>
      <c r="K1333" s="1"/>
      <c r="L1333" s="1"/>
      <c r="M1333" s="1"/>
      <c r="N1333" s="1"/>
      <c r="O1333" s="1"/>
      <c r="P1333" s="1"/>
      <c r="Q1333" s="1"/>
      <c r="R1333" s="1"/>
      <c r="S1333" s="1"/>
      <c r="T1333" s="1"/>
      <c r="U1333" s="1"/>
      <c r="V1333" s="1"/>
      <c r="W1333" s="1"/>
      <c r="X1333" s="1"/>
    </row>
    <row x14ac:dyDescent="0.25" r="1334" customHeight="1" ht="18.75">
      <c r="A1334" s="1"/>
      <c r="B1334" s="1"/>
      <c r="C1334" s="3" t="s">
        <v>100</v>
      </c>
      <c r="D1334" s="3" t="s">
        <v>1361</v>
      </c>
      <c r="E1334" s="1"/>
      <c r="F1334" s="1"/>
      <c r="G1334" s="1"/>
      <c r="H1334" s="1"/>
      <c r="I1334" s="2"/>
      <c r="J1334" s="1"/>
      <c r="K1334" s="1"/>
      <c r="L1334" s="1"/>
      <c r="M1334" s="1"/>
      <c r="N1334" s="1"/>
      <c r="O1334" s="1"/>
      <c r="P1334" s="1"/>
      <c r="Q1334" s="1"/>
      <c r="R1334" s="1"/>
      <c r="S1334" s="1"/>
      <c r="T1334" s="1"/>
      <c r="U1334" s="1"/>
      <c r="V1334" s="1"/>
      <c r="W1334" s="1"/>
      <c r="X1334" s="1"/>
    </row>
    <row x14ac:dyDescent="0.25" r="1335" customHeight="1" ht="18.75">
      <c r="A1335" s="1"/>
      <c r="B1335" s="1"/>
      <c r="C1335" s="3" t="s">
        <v>100</v>
      </c>
      <c r="D1335" s="3" t="s">
        <v>1362</v>
      </c>
      <c r="E1335" s="1"/>
      <c r="F1335" s="1"/>
      <c r="G1335" s="1"/>
      <c r="H1335" s="1"/>
      <c r="I1335" s="2"/>
      <c r="J1335" s="1"/>
      <c r="K1335" s="1"/>
      <c r="L1335" s="1"/>
      <c r="M1335" s="1"/>
      <c r="N1335" s="1"/>
      <c r="O1335" s="1"/>
      <c r="P1335" s="1"/>
      <c r="Q1335" s="1"/>
      <c r="R1335" s="1"/>
      <c r="S1335" s="1"/>
      <c r="T1335" s="1"/>
      <c r="U1335" s="1"/>
      <c r="V1335" s="1"/>
      <c r="W1335" s="1"/>
      <c r="X1335" s="1"/>
    </row>
    <row x14ac:dyDescent="0.25" r="1336" customHeight="1" ht="18.75">
      <c r="A1336" s="1"/>
      <c r="B1336" s="1"/>
      <c r="C1336" s="3" t="s">
        <v>100</v>
      </c>
      <c r="D1336" s="3" t="s">
        <v>1363</v>
      </c>
      <c r="E1336" s="1"/>
      <c r="F1336" s="1"/>
      <c r="G1336" s="1"/>
      <c r="H1336" s="1"/>
      <c r="I1336" s="2"/>
      <c r="J1336" s="1"/>
      <c r="K1336" s="1"/>
      <c r="L1336" s="1"/>
      <c r="M1336" s="1"/>
      <c r="N1336" s="1"/>
      <c r="O1336" s="1"/>
      <c r="P1336" s="1"/>
      <c r="Q1336" s="1"/>
      <c r="R1336" s="1"/>
      <c r="S1336" s="1"/>
      <c r="T1336" s="1"/>
      <c r="U1336" s="1"/>
      <c r="V1336" s="1"/>
      <c r="W1336" s="1"/>
      <c r="X1336" s="1"/>
    </row>
    <row x14ac:dyDescent="0.25" r="1337" customHeight="1" ht="18.75">
      <c r="A1337" s="1"/>
      <c r="B1337" s="1"/>
      <c r="C1337" s="3" t="s">
        <v>100</v>
      </c>
      <c r="D1337" s="3" t="s">
        <v>1364</v>
      </c>
      <c r="E1337" s="1"/>
      <c r="F1337" s="1"/>
      <c r="G1337" s="1"/>
      <c r="H1337" s="1"/>
      <c r="I1337" s="2"/>
      <c r="J1337" s="1"/>
      <c r="K1337" s="1"/>
      <c r="L1337" s="1"/>
      <c r="M1337" s="1"/>
      <c r="N1337" s="1"/>
      <c r="O1337" s="1"/>
      <c r="P1337" s="1"/>
      <c r="Q1337" s="1"/>
      <c r="R1337" s="1"/>
      <c r="S1337" s="1"/>
      <c r="T1337" s="1"/>
      <c r="U1337" s="1"/>
      <c r="V1337" s="1"/>
      <c r="W1337" s="1"/>
      <c r="X1337" s="1"/>
    </row>
    <row x14ac:dyDescent="0.25" r="1338" customHeight="1" ht="18.75">
      <c r="A1338" s="1"/>
      <c r="B1338" s="1"/>
      <c r="C1338" s="3" t="s">
        <v>100</v>
      </c>
      <c r="D1338" s="3" t="s">
        <v>1365</v>
      </c>
      <c r="E1338" s="1"/>
      <c r="F1338" s="1"/>
      <c r="G1338" s="1"/>
      <c r="H1338" s="1"/>
      <c r="I1338" s="2"/>
      <c r="J1338" s="1"/>
      <c r="K1338" s="1"/>
      <c r="L1338" s="1"/>
      <c r="M1338" s="1"/>
      <c r="N1338" s="1"/>
      <c r="O1338" s="1"/>
      <c r="P1338" s="1"/>
      <c r="Q1338" s="1"/>
      <c r="R1338" s="1"/>
      <c r="S1338" s="1"/>
      <c r="T1338" s="1"/>
      <c r="U1338" s="1"/>
      <c r="V1338" s="1"/>
      <c r="W1338" s="1"/>
      <c r="X1338" s="1"/>
    </row>
    <row x14ac:dyDescent="0.25" r="1339" customHeight="1" ht="18.75">
      <c r="A1339" s="1"/>
      <c r="B1339" s="1"/>
      <c r="C1339" s="3" t="s">
        <v>100</v>
      </c>
      <c r="D1339" s="3" t="s">
        <v>1366</v>
      </c>
      <c r="E1339" s="1"/>
      <c r="F1339" s="1"/>
      <c r="G1339" s="1"/>
      <c r="H1339" s="1"/>
      <c r="I1339" s="2"/>
      <c r="J1339" s="1"/>
      <c r="K1339" s="1"/>
      <c r="L1339" s="1"/>
      <c r="M1339" s="1"/>
      <c r="N1339" s="1"/>
      <c r="O1339" s="1"/>
      <c r="P1339" s="1"/>
      <c r="Q1339" s="1"/>
      <c r="R1339" s="1"/>
      <c r="S1339" s="1"/>
      <c r="T1339" s="1"/>
      <c r="U1339" s="1"/>
      <c r="V1339" s="1"/>
      <c r="W1339" s="1"/>
      <c r="X1339" s="1"/>
    </row>
    <row x14ac:dyDescent="0.25" r="1340" customHeight="1" ht="18.75">
      <c r="A1340" s="1"/>
      <c r="B1340" s="1"/>
      <c r="C1340" s="3" t="s">
        <v>100</v>
      </c>
      <c r="D1340" s="3" t="s">
        <v>1367</v>
      </c>
      <c r="E1340" s="1"/>
      <c r="F1340" s="1"/>
      <c r="G1340" s="1"/>
      <c r="H1340" s="1"/>
      <c r="I1340" s="2"/>
      <c r="J1340" s="1"/>
      <c r="K1340" s="1"/>
      <c r="L1340" s="1"/>
      <c r="M1340" s="1"/>
      <c r="N1340" s="1"/>
      <c r="O1340" s="1"/>
      <c r="P1340" s="1"/>
      <c r="Q1340" s="1"/>
      <c r="R1340" s="1"/>
      <c r="S1340" s="1"/>
      <c r="T1340" s="1"/>
      <c r="U1340" s="1"/>
      <c r="V1340" s="1"/>
      <c r="W1340" s="1"/>
      <c r="X1340" s="1"/>
    </row>
    <row x14ac:dyDescent="0.25" r="1341" customHeight="1" ht="18.75">
      <c r="A1341" s="1"/>
      <c r="B1341" s="1"/>
      <c r="C1341" s="3" t="s">
        <v>100</v>
      </c>
      <c r="D1341" s="3" t="s">
        <v>1368</v>
      </c>
      <c r="E1341" s="1"/>
      <c r="F1341" s="1"/>
      <c r="G1341" s="1"/>
      <c r="H1341" s="1"/>
      <c r="I1341" s="2"/>
      <c r="J1341" s="1"/>
      <c r="K1341" s="1"/>
      <c r="L1341" s="1"/>
      <c r="M1341" s="1"/>
      <c r="N1341" s="1"/>
      <c r="O1341" s="1"/>
      <c r="P1341" s="1"/>
      <c r="Q1341" s="1"/>
      <c r="R1341" s="1"/>
      <c r="S1341" s="1"/>
      <c r="T1341" s="1"/>
      <c r="U1341" s="1"/>
      <c r="V1341" s="1"/>
      <c r="W1341" s="1"/>
      <c r="X1341" s="1"/>
    </row>
    <row x14ac:dyDescent="0.25" r="1342" customHeight="1" ht="18.75">
      <c r="A1342" s="1"/>
      <c r="B1342" s="1"/>
      <c r="C1342" s="3" t="s">
        <v>100</v>
      </c>
      <c r="D1342" s="3" t="s">
        <v>1369</v>
      </c>
      <c r="E1342" s="1"/>
      <c r="F1342" s="1"/>
      <c r="G1342" s="1"/>
      <c r="H1342" s="1"/>
      <c r="I1342" s="2"/>
      <c r="J1342" s="1"/>
      <c r="K1342" s="1"/>
      <c r="L1342" s="1"/>
      <c r="M1342" s="1"/>
      <c r="N1342" s="1"/>
      <c r="O1342" s="1"/>
      <c r="P1342" s="1"/>
      <c r="Q1342" s="1"/>
      <c r="R1342" s="1"/>
      <c r="S1342" s="1"/>
      <c r="T1342" s="1"/>
      <c r="U1342" s="1"/>
      <c r="V1342" s="1"/>
      <c r="W1342" s="1"/>
      <c r="X1342" s="1"/>
    </row>
    <row x14ac:dyDescent="0.25" r="1343" customHeight="1" ht="18.75">
      <c r="A1343" s="1"/>
      <c r="B1343" s="1"/>
      <c r="C1343" s="3" t="s">
        <v>100</v>
      </c>
      <c r="D1343" s="3" t="s">
        <v>1370</v>
      </c>
      <c r="E1343" s="1"/>
      <c r="F1343" s="1"/>
      <c r="G1343" s="1"/>
      <c r="H1343" s="1"/>
      <c r="I1343" s="2"/>
      <c r="J1343" s="1"/>
      <c r="K1343" s="1"/>
      <c r="L1343" s="1"/>
      <c r="M1343" s="1"/>
      <c r="N1343" s="1"/>
      <c r="O1343" s="1"/>
      <c r="P1343" s="1"/>
      <c r="Q1343" s="1"/>
      <c r="R1343" s="1"/>
      <c r="S1343" s="1"/>
      <c r="T1343" s="1"/>
      <c r="U1343" s="1"/>
      <c r="V1343" s="1"/>
      <c r="W1343" s="1"/>
      <c r="X1343" s="1"/>
    </row>
    <row x14ac:dyDescent="0.25" r="1344" customHeight="1" ht="18.75">
      <c r="A1344" s="1"/>
      <c r="B1344" s="1"/>
      <c r="C1344" s="3" t="s">
        <v>100</v>
      </c>
      <c r="D1344" s="3" t="s">
        <v>1371</v>
      </c>
      <c r="E1344" s="1"/>
      <c r="F1344" s="1"/>
      <c r="G1344" s="1"/>
      <c r="H1344" s="1"/>
      <c r="I1344" s="2"/>
      <c r="J1344" s="1"/>
      <c r="K1344" s="1"/>
      <c r="L1344" s="1"/>
      <c r="M1344" s="1"/>
      <c r="N1344" s="1"/>
      <c r="O1344" s="1"/>
      <c r="P1344" s="1"/>
      <c r="Q1344" s="1"/>
      <c r="R1344" s="1"/>
      <c r="S1344" s="1"/>
      <c r="T1344" s="1"/>
      <c r="U1344" s="1"/>
      <c r="V1344" s="1"/>
      <c r="W1344" s="1"/>
      <c r="X1344" s="1"/>
    </row>
    <row x14ac:dyDescent="0.25" r="1345" customHeight="1" ht="18.75">
      <c r="A1345" s="1"/>
      <c r="B1345" s="1"/>
      <c r="C1345" s="3" t="s">
        <v>100</v>
      </c>
      <c r="D1345" s="3" t="s">
        <v>1372</v>
      </c>
      <c r="E1345" s="1"/>
      <c r="F1345" s="1"/>
      <c r="G1345" s="1"/>
      <c r="H1345" s="1"/>
      <c r="I1345" s="2"/>
      <c r="J1345" s="1"/>
      <c r="K1345" s="1"/>
      <c r="L1345" s="1"/>
      <c r="M1345" s="1"/>
      <c r="N1345" s="1"/>
      <c r="O1345" s="1"/>
      <c r="P1345" s="1"/>
      <c r="Q1345" s="1"/>
      <c r="R1345" s="1"/>
      <c r="S1345" s="1"/>
      <c r="T1345" s="1"/>
      <c r="U1345" s="1"/>
      <c r="V1345" s="1"/>
      <c r="W1345" s="1"/>
      <c r="X1345" s="1"/>
    </row>
    <row x14ac:dyDescent="0.25" r="1346" customHeight="1" ht="18.75">
      <c r="A1346" s="1"/>
      <c r="B1346" s="1"/>
      <c r="C1346" s="3" t="s">
        <v>100</v>
      </c>
      <c r="D1346" s="3" t="s">
        <v>1373</v>
      </c>
      <c r="E1346" s="1"/>
      <c r="F1346" s="1"/>
      <c r="G1346" s="1"/>
      <c r="H1346" s="1"/>
      <c r="I1346" s="2"/>
      <c r="J1346" s="1"/>
      <c r="K1346" s="1"/>
      <c r="L1346" s="1"/>
      <c r="M1346" s="1"/>
      <c r="N1346" s="1"/>
      <c r="O1346" s="1"/>
      <c r="P1346" s="1"/>
      <c r="Q1346" s="1"/>
      <c r="R1346" s="1"/>
      <c r="S1346" s="1"/>
      <c r="T1346" s="1"/>
      <c r="U1346" s="1"/>
      <c r="V1346" s="1"/>
      <c r="W1346" s="1"/>
      <c r="X1346" s="1"/>
    </row>
    <row x14ac:dyDescent="0.25" r="1347" customHeight="1" ht="18.75">
      <c r="A1347" s="1"/>
      <c r="B1347" s="1"/>
      <c r="C1347" s="3" t="s">
        <v>100</v>
      </c>
      <c r="D1347" s="3" t="s">
        <v>1374</v>
      </c>
      <c r="E1347" s="1"/>
      <c r="F1347" s="1"/>
      <c r="G1347" s="1"/>
      <c r="H1347" s="1"/>
      <c r="I1347" s="2"/>
      <c r="J1347" s="1"/>
      <c r="K1347" s="1"/>
      <c r="L1347" s="1"/>
      <c r="M1347" s="1"/>
      <c r="N1347" s="1"/>
      <c r="O1347" s="1"/>
      <c r="P1347" s="1"/>
      <c r="Q1347" s="1"/>
      <c r="R1347" s="1"/>
      <c r="S1347" s="1"/>
      <c r="T1347" s="1"/>
      <c r="U1347" s="1"/>
      <c r="V1347" s="1"/>
      <c r="W1347" s="1"/>
      <c r="X1347" s="1"/>
    </row>
    <row x14ac:dyDescent="0.25" r="1348" customHeight="1" ht="18.75">
      <c r="A1348" s="1"/>
      <c r="B1348" s="1"/>
      <c r="C1348" s="3" t="s">
        <v>100</v>
      </c>
      <c r="D1348" s="3" t="s">
        <v>1375</v>
      </c>
      <c r="E1348" s="1"/>
      <c r="F1348" s="1"/>
      <c r="G1348" s="1"/>
      <c r="H1348" s="1"/>
      <c r="I1348" s="2"/>
      <c r="J1348" s="1"/>
      <c r="K1348" s="1"/>
      <c r="L1348" s="1"/>
      <c r="M1348" s="1"/>
      <c r="N1348" s="1"/>
      <c r="O1348" s="1"/>
      <c r="P1348" s="1"/>
      <c r="Q1348" s="1"/>
      <c r="R1348" s="1"/>
      <c r="S1348" s="1"/>
      <c r="T1348" s="1"/>
      <c r="U1348" s="1"/>
      <c r="V1348" s="1"/>
      <c r="W1348" s="1"/>
      <c r="X1348" s="1"/>
    </row>
    <row x14ac:dyDescent="0.25" r="1349" customHeight="1" ht="18.75">
      <c r="A1349" s="1"/>
      <c r="B1349" s="1"/>
      <c r="C1349" s="3" t="s">
        <v>100</v>
      </c>
      <c r="D1349" s="3" t="s">
        <v>1376</v>
      </c>
      <c r="E1349" s="1"/>
      <c r="F1349" s="1"/>
      <c r="G1349" s="1"/>
      <c r="H1349" s="1"/>
      <c r="I1349" s="2"/>
      <c r="J1349" s="1"/>
      <c r="K1349" s="1"/>
      <c r="L1349" s="1"/>
      <c r="M1349" s="1"/>
      <c r="N1349" s="1"/>
      <c r="O1349" s="1"/>
      <c r="P1349" s="1"/>
      <c r="Q1349" s="1"/>
      <c r="R1349" s="1"/>
      <c r="S1349" s="1"/>
      <c r="T1349" s="1"/>
      <c r="U1349" s="1"/>
      <c r="V1349" s="1"/>
      <c r="W1349" s="1"/>
      <c r="X1349" s="1"/>
    </row>
    <row x14ac:dyDescent="0.25" r="1350" customHeight="1" ht="18.75">
      <c r="A1350" s="1"/>
      <c r="B1350" s="1"/>
      <c r="C1350" s="3" t="s">
        <v>100</v>
      </c>
      <c r="D1350" s="3" t="s">
        <v>1377</v>
      </c>
      <c r="E1350" s="1"/>
      <c r="F1350" s="1"/>
      <c r="G1350" s="1"/>
      <c r="H1350" s="1"/>
      <c r="I1350" s="2"/>
      <c r="J1350" s="1"/>
      <c r="K1350" s="1"/>
      <c r="L1350" s="1"/>
      <c r="M1350" s="1"/>
      <c r="N1350" s="1"/>
      <c r="O1350" s="1"/>
      <c r="P1350" s="1"/>
      <c r="Q1350" s="1"/>
      <c r="R1350" s="1"/>
      <c r="S1350" s="1"/>
      <c r="T1350" s="1"/>
      <c r="U1350" s="1"/>
      <c r="V1350" s="1"/>
      <c r="W1350" s="1"/>
      <c r="X1350" s="1"/>
    </row>
    <row x14ac:dyDescent="0.25" r="1351" customHeight="1" ht="18.75">
      <c r="A1351" s="1"/>
      <c r="B1351" s="1"/>
      <c r="C1351" s="3" t="s">
        <v>100</v>
      </c>
      <c r="D1351" s="3" t="s">
        <v>1378</v>
      </c>
      <c r="E1351" s="1"/>
      <c r="F1351" s="1"/>
      <c r="G1351" s="1"/>
      <c r="H1351" s="1"/>
      <c r="I1351" s="2"/>
      <c r="J1351" s="1"/>
      <c r="K1351" s="1"/>
      <c r="L1351" s="1"/>
      <c r="M1351" s="1"/>
      <c r="N1351" s="1"/>
      <c r="O1351" s="1"/>
      <c r="P1351" s="1"/>
      <c r="Q1351" s="1"/>
      <c r="R1351" s="1"/>
      <c r="S1351" s="1"/>
      <c r="T1351" s="1"/>
      <c r="U1351" s="1"/>
      <c r="V1351" s="1"/>
      <c r="W1351" s="1"/>
      <c r="X1351" s="1"/>
    </row>
    <row x14ac:dyDescent="0.25" r="1352" customHeight="1" ht="18.75">
      <c r="A1352" s="1"/>
      <c r="B1352" s="1"/>
      <c r="C1352" s="3" t="s">
        <v>100</v>
      </c>
      <c r="D1352" s="3" t="s">
        <v>1379</v>
      </c>
      <c r="E1352" s="1"/>
      <c r="F1352" s="1"/>
      <c r="G1352" s="1"/>
      <c r="H1352" s="1"/>
      <c r="I1352" s="2"/>
      <c r="J1352" s="1"/>
      <c r="K1352" s="1"/>
      <c r="L1352" s="1"/>
      <c r="M1352" s="1"/>
      <c r="N1352" s="1"/>
      <c r="O1352" s="1"/>
      <c r="P1352" s="1"/>
      <c r="Q1352" s="1"/>
      <c r="R1352" s="1"/>
      <c r="S1352" s="1"/>
      <c r="T1352" s="1"/>
      <c r="U1352" s="1"/>
      <c r="V1352" s="1"/>
      <c r="W1352" s="1"/>
      <c r="X1352" s="1"/>
    </row>
    <row x14ac:dyDescent="0.25" r="1353" customHeight="1" ht="18.75">
      <c r="A1353" s="1"/>
      <c r="B1353" s="1"/>
      <c r="C1353" s="3" t="s">
        <v>100</v>
      </c>
      <c r="D1353" s="3" t="s">
        <v>1380</v>
      </c>
      <c r="E1353" s="1"/>
      <c r="F1353" s="1"/>
      <c r="G1353" s="1"/>
      <c r="H1353" s="1"/>
      <c r="I1353" s="2"/>
      <c r="J1353" s="1"/>
      <c r="K1353" s="1"/>
      <c r="L1353" s="1"/>
      <c r="M1353" s="1"/>
      <c r="N1353" s="1"/>
      <c r="O1353" s="1"/>
      <c r="P1353" s="1"/>
      <c r="Q1353" s="1"/>
      <c r="R1353" s="1"/>
      <c r="S1353" s="1"/>
      <c r="T1353" s="1"/>
      <c r="U1353" s="1"/>
      <c r="V1353" s="1"/>
      <c r="W1353" s="1"/>
      <c r="X1353" s="1"/>
    </row>
    <row x14ac:dyDescent="0.25" r="1354" customHeight="1" ht="18.75">
      <c r="A1354" s="1"/>
      <c r="B1354" s="1"/>
      <c r="C1354" s="3" t="s">
        <v>100</v>
      </c>
      <c r="D1354" s="3" t="s">
        <v>1381</v>
      </c>
      <c r="E1354" s="1"/>
      <c r="F1354" s="1"/>
      <c r="G1354" s="1"/>
      <c r="H1354" s="1"/>
      <c r="I1354" s="2"/>
      <c r="J1354" s="1"/>
      <c r="K1354" s="1"/>
      <c r="L1354" s="1"/>
      <c r="M1354" s="1"/>
      <c r="N1354" s="1"/>
      <c r="O1354" s="1"/>
      <c r="P1354" s="1"/>
      <c r="Q1354" s="1"/>
      <c r="R1354" s="1"/>
      <c r="S1354" s="1"/>
      <c r="T1354" s="1"/>
      <c r="U1354" s="1"/>
      <c r="V1354" s="1"/>
      <c r="W1354" s="1"/>
      <c r="X1354" s="1"/>
    </row>
    <row x14ac:dyDescent="0.25" r="1355" customHeight="1" ht="18.75">
      <c r="A1355" s="1"/>
      <c r="B1355" s="1"/>
      <c r="C1355" s="3" t="s">
        <v>100</v>
      </c>
      <c r="D1355" s="3" t="s">
        <v>1382</v>
      </c>
      <c r="E1355" s="1"/>
      <c r="F1355" s="1"/>
      <c r="G1355" s="1"/>
      <c r="H1355" s="1"/>
      <c r="I1355" s="2"/>
      <c r="J1355" s="1"/>
      <c r="K1355" s="1"/>
      <c r="L1355" s="1"/>
      <c r="M1355" s="1"/>
      <c r="N1355" s="1"/>
      <c r="O1355" s="1"/>
      <c r="P1355" s="1"/>
      <c r="Q1355" s="1"/>
      <c r="R1355" s="1"/>
      <c r="S1355" s="1"/>
      <c r="T1355" s="1"/>
      <c r="U1355" s="1"/>
      <c r="V1355" s="1"/>
      <c r="W1355" s="1"/>
      <c r="X1355" s="1"/>
    </row>
    <row x14ac:dyDescent="0.25" r="1356" customHeight="1" ht="18.75">
      <c r="A1356" s="1"/>
      <c r="B1356" s="1"/>
      <c r="C1356" s="3" t="s">
        <v>100</v>
      </c>
      <c r="D1356" s="3" t="s">
        <v>1383</v>
      </c>
      <c r="E1356" s="1"/>
      <c r="F1356" s="1"/>
      <c r="G1356" s="1"/>
      <c r="H1356" s="1"/>
      <c r="I1356" s="2"/>
      <c r="J1356" s="1"/>
      <c r="K1356" s="1"/>
      <c r="L1356" s="1"/>
      <c r="M1356" s="1"/>
      <c r="N1356" s="1"/>
      <c r="O1356" s="1"/>
      <c r="P1356" s="1"/>
      <c r="Q1356" s="1"/>
      <c r="R1356" s="1"/>
      <c r="S1356" s="1"/>
      <c r="T1356" s="1"/>
      <c r="U1356" s="1"/>
      <c r="V1356" s="1"/>
      <c r="W1356" s="1"/>
      <c r="X1356" s="1"/>
    </row>
    <row x14ac:dyDescent="0.25" r="1357" customHeight="1" ht="18.75">
      <c r="A1357" s="1"/>
      <c r="B1357" s="1"/>
      <c r="C1357" s="3" t="s">
        <v>100</v>
      </c>
      <c r="D1357" s="3" t="s">
        <v>1384</v>
      </c>
      <c r="E1357" s="1"/>
      <c r="F1357" s="1"/>
      <c r="G1357" s="1"/>
      <c r="H1357" s="1"/>
      <c r="I1357" s="2"/>
      <c r="J1357" s="1"/>
      <c r="K1357" s="1"/>
      <c r="L1357" s="1"/>
      <c r="M1357" s="1"/>
      <c r="N1357" s="1"/>
      <c r="O1357" s="1"/>
      <c r="P1357" s="1"/>
      <c r="Q1357" s="1"/>
      <c r="R1357" s="1"/>
      <c r="S1357" s="1"/>
      <c r="T1357" s="1"/>
      <c r="U1357" s="1"/>
      <c r="V1357" s="1"/>
      <c r="W1357" s="1"/>
      <c r="X1357" s="1"/>
    </row>
    <row x14ac:dyDescent="0.25" r="1358" customHeight="1" ht="18.75">
      <c r="A1358" s="1"/>
      <c r="B1358" s="1"/>
      <c r="C1358" s="3" t="s">
        <v>100</v>
      </c>
      <c r="D1358" s="3" t="s">
        <v>1385</v>
      </c>
      <c r="E1358" s="1"/>
      <c r="F1358" s="1"/>
      <c r="G1358" s="1"/>
      <c r="H1358" s="1"/>
      <c r="I1358" s="2"/>
      <c r="J1358" s="1"/>
      <c r="K1358" s="1"/>
      <c r="L1358" s="1"/>
      <c r="M1358" s="1"/>
      <c r="N1358" s="1"/>
      <c r="O1358" s="1"/>
      <c r="P1358" s="1"/>
      <c r="Q1358" s="1"/>
      <c r="R1358" s="1"/>
      <c r="S1358" s="1"/>
      <c r="T1358" s="1"/>
      <c r="U1358" s="1"/>
      <c r="V1358" s="1"/>
      <c r="W1358" s="1"/>
      <c r="X1358" s="1"/>
    </row>
    <row x14ac:dyDescent="0.25" r="1359" customHeight="1" ht="18.75">
      <c r="A1359" s="1"/>
      <c r="B1359" s="1"/>
      <c r="C1359" s="3" t="s">
        <v>100</v>
      </c>
      <c r="D1359" s="3" t="s">
        <v>1386</v>
      </c>
      <c r="E1359" s="1"/>
      <c r="F1359" s="1"/>
      <c r="G1359" s="1"/>
      <c r="H1359" s="1"/>
      <c r="I1359" s="2"/>
      <c r="J1359" s="1"/>
      <c r="K1359" s="1"/>
      <c r="L1359" s="1"/>
      <c r="M1359" s="1"/>
      <c r="N1359" s="1"/>
      <c r="O1359" s="1"/>
      <c r="P1359" s="1"/>
      <c r="Q1359" s="1"/>
      <c r="R1359" s="1"/>
      <c r="S1359" s="1"/>
      <c r="T1359" s="1"/>
      <c r="U1359" s="1"/>
      <c r="V1359" s="1"/>
      <c r="W1359" s="1"/>
      <c r="X1359" s="1"/>
    </row>
    <row x14ac:dyDescent="0.25" r="1360" customHeight="1" ht="18.75">
      <c r="A1360" s="1"/>
      <c r="B1360" s="1"/>
      <c r="C1360" s="3" t="s">
        <v>100</v>
      </c>
      <c r="D1360" s="3" t="s">
        <v>1387</v>
      </c>
      <c r="E1360" s="1"/>
      <c r="F1360" s="1"/>
      <c r="G1360" s="1"/>
      <c r="H1360" s="1"/>
      <c r="I1360" s="2"/>
      <c r="J1360" s="1"/>
      <c r="K1360" s="1"/>
      <c r="L1360" s="1"/>
      <c r="M1360" s="1"/>
      <c r="N1360" s="1"/>
      <c r="O1360" s="1"/>
      <c r="P1360" s="1"/>
      <c r="Q1360" s="1"/>
      <c r="R1360" s="1"/>
      <c r="S1360" s="1"/>
      <c r="T1360" s="1"/>
      <c r="U1360" s="1"/>
      <c r="V1360" s="1"/>
      <c r="W1360" s="1"/>
      <c r="X1360" s="1"/>
    </row>
    <row x14ac:dyDescent="0.25" r="1361" customHeight="1" ht="18.75">
      <c r="A1361" s="1"/>
      <c r="B1361" s="1"/>
      <c r="C1361" s="3" t="s">
        <v>100</v>
      </c>
      <c r="D1361" s="3" t="s">
        <v>1388</v>
      </c>
      <c r="E1361" s="1"/>
      <c r="F1361" s="1"/>
      <c r="G1361" s="1"/>
      <c r="H1361" s="1"/>
      <c r="I1361" s="2"/>
      <c r="J1361" s="1"/>
      <c r="K1361" s="1"/>
      <c r="L1361" s="1"/>
      <c r="M1361" s="1"/>
      <c r="N1361" s="1"/>
      <c r="O1361" s="1"/>
      <c r="P1361" s="1"/>
      <c r="Q1361" s="1"/>
      <c r="R1361" s="1"/>
      <c r="S1361" s="1"/>
      <c r="T1361" s="1"/>
      <c r="U1361" s="1"/>
      <c r="V1361" s="1"/>
      <c r="W1361" s="1"/>
      <c r="X1361" s="1"/>
    </row>
    <row x14ac:dyDescent="0.25" r="1362" customHeight="1" ht="18.75">
      <c r="A1362" s="1"/>
      <c r="B1362" s="1"/>
      <c r="C1362" s="3" t="s">
        <v>100</v>
      </c>
      <c r="D1362" s="3" t="s">
        <v>1389</v>
      </c>
      <c r="E1362" s="1"/>
      <c r="F1362" s="1"/>
      <c r="G1362" s="1"/>
      <c r="H1362" s="1"/>
      <c r="I1362" s="2"/>
      <c r="J1362" s="1"/>
      <c r="K1362" s="1"/>
      <c r="L1362" s="1"/>
      <c r="M1362" s="1"/>
      <c r="N1362" s="1"/>
      <c r="O1362" s="1"/>
      <c r="P1362" s="1"/>
      <c r="Q1362" s="1"/>
      <c r="R1362" s="1"/>
      <c r="S1362" s="1"/>
      <c r="T1362" s="1"/>
      <c r="U1362" s="1"/>
      <c r="V1362" s="1"/>
      <c r="W1362" s="1"/>
      <c r="X1362" s="1"/>
    </row>
    <row x14ac:dyDescent="0.25" r="1363" customHeight="1" ht="18.75">
      <c r="A1363" s="1"/>
      <c r="B1363" s="1"/>
      <c r="C1363" s="3" t="s">
        <v>100</v>
      </c>
      <c r="D1363" s="3" t="s">
        <v>1390</v>
      </c>
      <c r="E1363" s="1"/>
      <c r="F1363" s="1"/>
      <c r="G1363" s="1"/>
      <c r="H1363" s="1"/>
      <c r="I1363" s="2"/>
      <c r="J1363" s="1"/>
      <c r="K1363" s="1"/>
      <c r="L1363" s="1"/>
      <c r="M1363" s="1"/>
      <c r="N1363" s="1"/>
      <c r="O1363" s="1"/>
      <c r="P1363" s="1"/>
      <c r="Q1363" s="1"/>
      <c r="R1363" s="1"/>
      <c r="S1363" s="1"/>
      <c r="T1363" s="1"/>
      <c r="U1363" s="1"/>
      <c r="V1363" s="1"/>
      <c r="W1363" s="1"/>
      <c r="X1363" s="1"/>
    </row>
    <row x14ac:dyDescent="0.25" r="1364" customHeight="1" ht="18.75">
      <c r="A1364" s="1"/>
      <c r="B1364" s="1"/>
      <c r="C1364" s="3" t="s">
        <v>100</v>
      </c>
      <c r="D1364" s="3" t="s">
        <v>1391</v>
      </c>
      <c r="E1364" s="1"/>
      <c r="F1364" s="1"/>
      <c r="G1364" s="1"/>
      <c r="H1364" s="1"/>
      <c r="I1364" s="2"/>
      <c r="J1364" s="1"/>
      <c r="K1364" s="1"/>
      <c r="L1364" s="1"/>
      <c r="M1364" s="1"/>
      <c r="N1364" s="1"/>
      <c r="O1364" s="1"/>
      <c r="P1364" s="1"/>
      <c r="Q1364" s="1"/>
      <c r="R1364" s="1"/>
      <c r="S1364" s="1"/>
      <c r="T1364" s="1"/>
      <c r="U1364" s="1"/>
      <c r="V1364" s="1"/>
      <c r="W1364" s="1"/>
      <c r="X1364" s="1"/>
    </row>
    <row x14ac:dyDescent="0.25" r="1365" customHeight="1" ht="18.75">
      <c r="A1365" s="1"/>
      <c r="B1365" s="1"/>
      <c r="C1365" s="3" t="s">
        <v>100</v>
      </c>
      <c r="D1365" s="3" t="s">
        <v>1392</v>
      </c>
      <c r="E1365" s="1"/>
      <c r="F1365" s="1"/>
      <c r="G1365" s="1"/>
      <c r="H1365" s="1"/>
      <c r="I1365" s="2"/>
      <c r="J1365" s="1"/>
      <c r="K1365" s="1"/>
      <c r="L1365" s="1"/>
      <c r="M1365" s="1"/>
      <c r="N1365" s="1"/>
      <c r="O1365" s="1"/>
      <c r="P1365" s="1"/>
      <c r="Q1365" s="1"/>
      <c r="R1365" s="1"/>
      <c r="S1365" s="1"/>
      <c r="T1365" s="1"/>
      <c r="U1365" s="1"/>
      <c r="V1365" s="1"/>
      <c r="W1365" s="1"/>
      <c r="X1365" s="1"/>
    </row>
    <row x14ac:dyDescent="0.25" r="1366" customHeight="1" ht="18.75">
      <c r="A1366" s="1"/>
      <c r="B1366" s="1"/>
      <c r="C1366" s="3" t="s">
        <v>100</v>
      </c>
      <c r="D1366" s="3" t="s">
        <v>1393</v>
      </c>
      <c r="E1366" s="1"/>
      <c r="F1366" s="1"/>
      <c r="G1366" s="1"/>
      <c r="H1366" s="1"/>
      <c r="I1366" s="2"/>
      <c r="J1366" s="1"/>
      <c r="K1366" s="1"/>
      <c r="L1366" s="1"/>
      <c r="M1366" s="1"/>
      <c r="N1366" s="1"/>
      <c r="O1366" s="1"/>
      <c r="P1366" s="1"/>
      <c r="Q1366" s="1"/>
      <c r="R1366" s="1"/>
      <c r="S1366" s="1"/>
      <c r="T1366" s="1"/>
      <c r="U1366" s="1"/>
      <c r="V1366" s="1"/>
      <c r="W1366" s="1"/>
      <c r="X1366" s="1"/>
    </row>
    <row x14ac:dyDescent="0.25" r="1367" customHeight="1" ht="18.75">
      <c r="A1367" s="1"/>
      <c r="B1367" s="1"/>
      <c r="C1367" s="3" t="s">
        <v>100</v>
      </c>
      <c r="D1367" s="3" t="s">
        <v>1394</v>
      </c>
      <c r="E1367" s="1"/>
      <c r="F1367" s="1"/>
      <c r="G1367" s="1"/>
      <c r="H1367" s="1"/>
      <c r="I1367" s="2"/>
      <c r="J1367" s="1"/>
      <c r="K1367" s="1"/>
      <c r="L1367" s="1"/>
      <c r="M1367" s="1"/>
      <c r="N1367" s="1"/>
      <c r="O1367" s="1"/>
      <c r="P1367" s="1"/>
      <c r="Q1367" s="1"/>
      <c r="R1367" s="1"/>
      <c r="S1367" s="1"/>
      <c r="T1367" s="1"/>
      <c r="U1367" s="1"/>
      <c r="V1367" s="1"/>
      <c r="W1367" s="1"/>
      <c r="X1367" s="1"/>
    </row>
    <row x14ac:dyDescent="0.25" r="1368" customHeight="1" ht="18.75">
      <c r="A1368" s="1"/>
      <c r="B1368" s="1"/>
      <c r="C1368" s="3" t="s">
        <v>100</v>
      </c>
      <c r="D1368" s="3" t="s">
        <v>1395</v>
      </c>
      <c r="E1368" s="1"/>
      <c r="F1368" s="1"/>
      <c r="G1368" s="1"/>
      <c r="H1368" s="1"/>
      <c r="I1368" s="2"/>
      <c r="J1368" s="1"/>
      <c r="K1368" s="1"/>
      <c r="L1368" s="1"/>
      <c r="M1368" s="1"/>
      <c r="N1368" s="1"/>
      <c r="O1368" s="1"/>
      <c r="P1368" s="1"/>
      <c r="Q1368" s="1"/>
      <c r="R1368" s="1"/>
      <c r="S1368" s="1"/>
      <c r="T1368" s="1"/>
      <c r="U1368" s="1"/>
      <c r="V1368" s="1"/>
      <c r="W1368" s="1"/>
      <c r="X1368" s="1"/>
    </row>
    <row x14ac:dyDescent="0.25" r="1369" customHeight="1" ht="18.75">
      <c r="A1369" s="1"/>
      <c r="B1369" s="1"/>
      <c r="C1369" s="3" t="s">
        <v>100</v>
      </c>
      <c r="D1369" s="3" t="s">
        <v>1396</v>
      </c>
      <c r="E1369" s="1"/>
      <c r="F1369" s="1"/>
      <c r="G1369" s="1"/>
      <c r="H1369" s="1"/>
      <c r="I1369" s="2"/>
      <c r="J1369" s="1"/>
      <c r="K1369" s="1"/>
      <c r="L1369" s="1"/>
      <c r="M1369" s="1"/>
      <c r="N1369" s="1"/>
      <c r="O1369" s="1"/>
      <c r="P1369" s="1"/>
      <c r="Q1369" s="1"/>
      <c r="R1369" s="1"/>
      <c r="S1369" s="1"/>
      <c r="T1369" s="1"/>
      <c r="U1369" s="1"/>
      <c r="V1369" s="1"/>
      <c r="W1369" s="1"/>
      <c r="X1369" s="1"/>
    </row>
    <row x14ac:dyDescent="0.25" r="1370" customHeight="1" ht="18.75">
      <c r="A1370" s="1"/>
      <c r="B1370" s="1"/>
      <c r="C1370" s="3" t="s">
        <v>100</v>
      </c>
      <c r="D1370" s="3" t="s">
        <v>1397</v>
      </c>
      <c r="E1370" s="1"/>
      <c r="F1370" s="1"/>
      <c r="G1370" s="1"/>
      <c r="H1370" s="1"/>
      <c r="I1370" s="2"/>
      <c r="J1370" s="1"/>
      <c r="K1370" s="1"/>
      <c r="L1370" s="1"/>
      <c r="M1370" s="1"/>
      <c r="N1370" s="1"/>
      <c r="O1370" s="1"/>
      <c r="P1370" s="1"/>
      <c r="Q1370" s="1"/>
      <c r="R1370" s="1"/>
      <c r="S1370" s="1"/>
      <c r="T1370" s="1"/>
      <c r="U1370" s="1"/>
      <c r="V1370" s="1"/>
      <c r="W1370" s="1"/>
      <c r="X1370" s="1"/>
    </row>
    <row x14ac:dyDescent="0.25" r="1371" customHeight="1" ht="18.75">
      <c r="A1371" s="1"/>
      <c r="B1371" s="1"/>
      <c r="C1371" s="3" t="s">
        <v>100</v>
      </c>
      <c r="D1371" s="3" t="s">
        <v>1398</v>
      </c>
      <c r="E1371" s="1"/>
      <c r="F1371" s="1"/>
      <c r="G1371" s="1"/>
      <c r="H1371" s="1"/>
      <c r="I1371" s="2"/>
      <c r="J1371" s="1"/>
      <c r="K1371" s="1"/>
      <c r="L1371" s="1"/>
      <c r="M1371" s="1"/>
      <c r="N1371" s="1"/>
      <c r="O1371" s="1"/>
      <c r="P1371" s="1"/>
      <c r="Q1371" s="1"/>
      <c r="R1371" s="1"/>
      <c r="S1371" s="1"/>
      <c r="T1371" s="1"/>
      <c r="U1371" s="1"/>
      <c r="V1371" s="1"/>
      <c r="W1371" s="1"/>
      <c r="X1371" s="1"/>
    </row>
    <row x14ac:dyDescent="0.25" r="1372" customHeight="1" ht="18.75">
      <c r="A1372" s="1"/>
      <c r="B1372" s="1"/>
      <c r="C1372" s="3" t="s">
        <v>100</v>
      </c>
      <c r="D1372" s="3" t="s">
        <v>1399</v>
      </c>
      <c r="E1372" s="1"/>
      <c r="F1372" s="1"/>
      <c r="G1372" s="1"/>
      <c r="H1372" s="1"/>
      <c r="I1372" s="2"/>
      <c r="J1372" s="1"/>
      <c r="K1372" s="1"/>
      <c r="L1372" s="1"/>
      <c r="M1372" s="1"/>
      <c r="N1372" s="1"/>
      <c r="O1372" s="1"/>
      <c r="P1372" s="1"/>
      <c r="Q1372" s="1"/>
      <c r="R1372" s="1"/>
      <c r="S1372" s="1"/>
      <c r="T1372" s="1"/>
      <c r="U1372" s="1"/>
      <c r="V1372" s="1"/>
      <c r="W1372" s="1"/>
      <c r="X1372" s="1"/>
    </row>
    <row x14ac:dyDescent="0.25" r="1373" customHeight="1" ht="18.75">
      <c r="A1373" s="1"/>
      <c r="B1373" s="1"/>
      <c r="C1373" s="3" t="s">
        <v>100</v>
      </c>
      <c r="D1373" s="3" t="s">
        <v>1400</v>
      </c>
      <c r="E1373" s="1"/>
      <c r="F1373" s="1"/>
      <c r="G1373" s="1"/>
      <c r="H1373" s="1"/>
      <c r="I1373" s="2"/>
      <c r="J1373" s="1"/>
      <c r="K1373" s="1"/>
      <c r="L1373" s="1"/>
      <c r="M1373" s="1"/>
      <c r="N1373" s="1"/>
      <c r="O1373" s="1"/>
      <c r="P1373" s="1"/>
      <c r="Q1373" s="1"/>
      <c r="R1373" s="1"/>
      <c r="S1373" s="1"/>
      <c r="T1373" s="1"/>
      <c r="U1373" s="1"/>
      <c r="V1373" s="1"/>
      <c r="W1373" s="1"/>
      <c r="X1373" s="1"/>
    </row>
    <row x14ac:dyDescent="0.25" r="1374" customHeight="1" ht="18.75">
      <c r="A1374" s="1"/>
      <c r="B1374" s="1"/>
      <c r="C1374" s="3" t="s">
        <v>100</v>
      </c>
      <c r="D1374" s="3" t="s">
        <v>1401</v>
      </c>
      <c r="E1374" s="1"/>
      <c r="F1374" s="1"/>
      <c r="G1374" s="1"/>
      <c r="H1374" s="1"/>
      <c r="I1374" s="2"/>
      <c r="J1374" s="1"/>
      <c r="K1374" s="1"/>
      <c r="L1374" s="1"/>
      <c r="M1374" s="1"/>
      <c r="N1374" s="1"/>
      <c r="O1374" s="1"/>
      <c r="P1374" s="1"/>
      <c r="Q1374" s="1"/>
      <c r="R1374" s="1"/>
      <c r="S1374" s="1"/>
      <c r="T1374" s="1"/>
      <c r="U1374" s="1"/>
      <c r="V1374" s="1"/>
      <c r="W1374" s="1"/>
      <c r="X1374" s="1"/>
    </row>
    <row x14ac:dyDescent="0.25" r="1375" customHeight="1" ht="18.75">
      <c r="A1375" s="1"/>
      <c r="B1375" s="1"/>
      <c r="C1375" s="3" t="s">
        <v>100</v>
      </c>
      <c r="D1375" s="3" t="s">
        <v>1402</v>
      </c>
      <c r="E1375" s="1"/>
      <c r="F1375" s="1"/>
      <c r="G1375" s="1"/>
      <c r="H1375" s="1"/>
      <c r="I1375" s="2"/>
      <c r="J1375" s="1"/>
      <c r="K1375" s="1"/>
      <c r="L1375" s="1"/>
      <c r="M1375" s="1"/>
      <c r="N1375" s="1"/>
      <c r="O1375" s="1"/>
      <c r="P1375" s="1"/>
      <c r="Q1375" s="1"/>
      <c r="R1375" s="1"/>
      <c r="S1375" s="1"/>
      <c r="T1375" s="1"/>
      <c r="U1375" s="1"/>
      <c r="V1375" s="1"/>
      <c r="W1375" s="1"/>
      <c r="X1375" s="1"/>
    </row>
    <row x14ac:dyDescent="0.25" r="1376" customHeight="1" ht="18.75">
      <c r="A1376" s="1"/>
      <c r="B1376" s="1"/>
      <c r="C1376" s="3" t="s">
        <v>100</v>
      </c>
      <c r="D1376" s="3" t="s">
        <v>1403</v>
      </c>
      <c r="E1376" s="1"/>
      <c r="F1376" s="1"/>
      <c r="G1376" s="1"/>
      <c r="H1376" s="1"/>
      <c r="I1376" s="2"/>
      <c r="J1376" s="1"/>
      <c r="K1376" s="1"/>
      <c r="L1376" s="1"/>
      <c r="M1376" s="1"/>
      <c r="N1376" s="1"/>
      <c r="O1376" s="1"/>
      <c r="P1376" s="1"/>
      <c r="Q1376" s="1"/>
      <c r="R1376" s="1"/>
      <c r="S1376" s="1"/>
      <c r="T1376" s="1"/>
      <c r="U1376" s="1"/>
      <c r="V1376" s="1"/>
      <c r="W1376" s="1"/>
      <c r="X1376" s="1"/>
    </row>
    <row x14ac:dyDescent="0.25" r="1377" customHeight="1" ht="18.75">
      <c r="A1377" s="1"/>
      <c r="B1377" s="1"/>
      <c r="C1377" s="3" t="s">
        <v>100</v>
      </c>
      <c r="D1377" s="3" t="s">
        <v>1404</v>
      </c>
      <c r="E1377" s="1"/>
      <c r="F1377" s="1"/>
      <c r="G1377" s="1"/>
      <c r="H1377" s="1"/>
      <c r="I1377" s="2"/>
      <c r="J1377" s="1"/>
      <c r="K1377" s="1"/>
      <c r="L1377" s="1"/>
      <c r="M1377" s="1"/>
      <c r="N1377" s="1"/>
      <c r="O1377" s="1"/>
      <c r="P1377" s="1"/>
      <c r="Q1377" s="1"/>
      <c r="R1377" s="1"/>
      <c r="S1377" s="1"/>
      <c r="T1377" s="1"/>
      <c r="U1377" s="1"/>
      <c r="V1377" s="1"/>
      <c r="W1377" s="1"/>
      <c r="X1377" s="1"/>
    </row>
    <row x14ac:dyDescent="0.25" r="1378" customHeight="1" ht="18.75">
      <c r="A1378" s="1"/>
      <c r="B1378" s="1"/>
      <c r="C1378" s="3" t="s">
        <v>100</v>
      </c>
      <c r="D1378" s="3" t="s">
        <v>1405</v>
      </c>
      <c r="E1378" s="1"/>
      <c r="F1378" s="1"/>
      <c r="G1378" s="1"/>
      <c r="H1378" s="1"/>
      <c r="I1378" s="2"/>
      <c r="J1378" s="1"/>
      <c r="K1378" s="1"/>
      <c r="L1378" s="1"/>
      <c r="M1378" s="1"/>
      <c r="N1378" s="1"/>
      <c r="O1378" s="1"/>
      <c r="P1378" s="1"/>
      <c r="Q1378" s="1"/>
      <c r="R1378" s="1"/>
      <c r="S1378" s="1"/>
      <c r="T1378" s="1"/>
      <c r="U1378" s="1"/>
      <c r="V1378" s="1"/>
      <c r="W1378" s="1"/>
      <c r="X1378" s="1"/>
    </row>
    <row x14ac:dyDescent="0.25" r="1379" customHeight="1" ht="18.75">
      <c r="A1379" s="1"/>
      <c r="B1379" s="1"/>
      <c r="C1379" s="3" t="s">
        <v>100</v>
      </c>
      <c r="D1379" s="3" t="s">
        <v>1406</v>
      </c>
      <c r="E1379" s="1"/>
      <c r="F1379" s="1"/>
      <c r="G1379" s="1"/>
      <c r="H1379" s="1"/>
      <c r="I1379" s="2"/>
      <c r="J1379" s="1"/>
      <c r="K1379" s="1"/>
      <c r="L1379" s="1"/>
      <c r="M1379" s="1"/>
      <c r="N1379" s="1"/>
      <c r="O1379" s="1"/>
      <c r="P1379" s="1"/>
      <c r="Q1379" s="1"/>
      <c r="R1379" s="1"/>
      <c r="S1379" s="1"/>
      <c r="T1379" s="1"/>
      <c r="U1379" s="1"/>
      <c r="V1379" s="1"/>
      <c r="W1379" s="1"/>
      <c r="X1379" s="1"/>
    </row>
    <row x14ac:dyDescent="0.25" r="1380" customHeight="1" ht="18.75">
      <c r="A1380" s="1"/>
      <c r="B1380" s="1"/>
      <c r="C1380" s="3" t="s">
        <v>100</v>
      </c>
      <c r="D1380" s="3" t="s">
        <v>1407</v>
      </c>
      <c r="E1380" s="1"/>
      <c r="F1380" s="1"/>
      <c r="G1380" s="1"/>
      <c r="H1380" s="1"/>
      <c r="I1380" s="2"/>
      <c r="J1380" s="1"/>
      <c r="K1380" s="1"/>
      <c r="L1380" s="1"/>
      <c r="M1380" s="1"/>
      <c r="N1380" s="1"/>
      <c r="O1380" s="1"/>
      <c r="P1380" s="1"/>
      <c r="Q1380" s="1"/>
      <c r="R1380" s="1"/>
      <c r="S1380" s="1"/>
      <c r="T1380" s="1"/>
      <c r="U1380" s="1"/>
      <c r="V1380" s="1"/>
      <c r="W1380" s="1"/>
      <c r="X1380" s="1"/>
    </row>
    <row x14ac:dyDescent="0.25" r="1381" customHeight="1" ht="18.75">
      <c r="A1381" s="1"/>
      <c r="B1381" s="1"/>
      <c r="C1381" s="3" t="s">
        <v>100</v>
      </c>
      <c r="D1381" s="3" t="s">
        <v>1408</v>
      </c>
      <c r="E1381" s="1"/>
      <c r="F1381" s="1"/>
      <c r="G1381" s="1"/>
      <c r="H1381" s="1"/>
      <c r="I1381" s="2"/>
      <c r="J1381" s="1"/>
      <c r="K1381" s="1"/>
      <c r="L1381" s="1"/>
      <c r="M1381" s="1"/>
      <c r="N1381" s="1"/>
      <c r="O1381" s="1"/>
      <c r="P1381" s="1"/>
      <c r="Q1381" s="1"/>
      <c r="R1381" s="1"/>
      <c r="S1381" s="1"/>
      <c r="T1381" s="1"/>
      <c r="U1381" s="1"/>
      <c r="V1381" s="1"/>
      <c r="W1381" s="1"/>
      <c r="X1381" s="1"/>
    </row>
    <row x14ac:dyDescent="0.25" r="1382" customHeight="1" ht="18.75">
      <c r="A1382" s="1"/>
      <c r="B1382" s="1"/>
      <c r="C1382" s="3" t="s">
        <v>100</v>
      </c>
      <c r="D1382" s="3" t="s">
        <v>1409</v>
      </c>
      <c r="E1382" s="1"/>
      <c r="F1382" s="1"/>
      <c r="G1382" s="1"/>
      <c r="H1382" s="1"/>
      <c r="I1382" s="2"/>
      <c r="J1382" s="1"/>
      <c r="K1382" s="1"/>
      <c r="L1382" s="1"/>
      <c r="M1382" s="1"/>
      <c r="N1382" s="1"/>
      <c r="O1382" s="1"/>
      <c r="P1382" s="1"/>
      <c r="Q1382" s="1"/>
      <c r="R1382" s="1"/>
      <c r="S1382" s="1"/>
      <c r="T1382" s="1"/>
      <c r="U1382" s="1"/>
      <c r="V1382" s="1"/>
      <c r="W1382" s="1"/>
      <c r="X1382" s="1"/>
    </row>
    <row x14ac:dyDescent="0.25" r="1383" customHeight="1" ht="18.75">
      <c r="A1383" s="1"/>
      <c r="B1383" s="1"/>
      <c r="C1383" s="3" t="s">
        <v>100</v>
      </c>
      <c r="D1383" s="3" t="s">
        <v>1410</v>
      </c>
      <c r="E1383" s="1"/>
      <c r="F1383" s="1"/>
      <c r="G1383" s="1"/>
      <c r="H1383" s="1"/>
      <c r="I1383" s="2"/>
      <c r="J1383" s="1"/>
      <c r="K1383" s="1"/>
      <c r="L1383" s="1"/>
      <c r="M1383" s="1"/>
      <c r="N1383" s="1"/>
      <c r="O1383" s="1"/>
      <c r="P1383" s="1"/>
      <c r="Q1383" s="1"/>
      <c r="R1383" s="1"/>
      <c r="S1383" s="1"/>
      <c r="T1383" s="1"/>
      <c r="U1383" s="1"/>
      <c r="V1383" s="1"/>
      <c r="W1383" s="1"/>
      <c r="X1383" s="1"/>
    </row>
    <row x14ac:dyDescent="0.25" r="1384" customHeight="1" ht="18.75">
      <c r="A1384" s="1"/>
      <c r="B1384" s="1"/>
      <c r="C1384" s="3" t="s">
        <v>100</v>
      </c>
      <c r="D1384" s="3" t="s">
        <v>1411</v>
      </c>
      <c r="E1384" s="1"/>
      <c r="F1384" s="1"/>
      <c r="G1384" s="1"/>
      <c r="H1384" s="1"/>
      <c r="I1384" s="2"/>
      <c r="J1384" s="1"/>
      <c r="K1384" s="1"/>
      <c r="L1384" s="1"/>
      <c r="M1384" s="1"/>
      <c r="N1384" s="1"/>
      <c r="O1384" s="1"/>
      <c r="P1384" s="1"/>
      <c r="Q1384" s="1"/>
      <c r="R1384" s="1"/>
      <c r="S1384" s="1"/>
      <c r="T1384" s="1"/>
      <c r="U1384" s="1"/>
      <c r="V1384" s="1"/>
      <c r="W1384" s="1"/>
      <c r="X1384" s="1"/>
    </row>
    <row x14ac:dyDescent="0.25" r="1385" customHeight="1" ht="18.75">
      <c r="A1385" s="1"/>
      <c r="B1385" s="1"/>
      <c r="C1385" s="3" t="s">
        <v>100</v>
      </c>
      <c r="D1385" s="3" t="s">
        <v>1412</v>
      </c>
      <c r="E1385" s="1"/>
      <c r="F1385" s="1"/>
      <c r="G1385" s="1"/>
      <c r="H1385" s="1"/>
      <c r="I1385" s="2"/>
      <c r="J1385" s="1"/>
      <c r="K1385" s="1"/>
      <c r="L1385" s="1"/>
      <c r="M1385" s="1"/>
      <c r="N1385" s="1"/>
      <c r="O1385" s="1"/>
      <c r="P1385" s="1"/>
      <c r="Q1385" s="1"/>
      <c r="R1385" s="1"/>
      <c r="S1385" s="1"/>
      <c r="T1385" s="1"/>
      <c r="U1385" s="1"/>
      <c r="V1385" s="1"/>
      <c r="W1385" s="1"/>
      <c r="X1385" s="1"/>
    </row>
    <row x14ac:dyDescent="0.25" r="1386" customHeight="1" ht="18.75">
      <c r="A1386" s="1"/>
      <c r="B1386" s="1"/>
      <c r="C1386" s="3" t="s">
        <v>100</v>
      </c>
      <c r="D1386" s="3" t="s">
        <v>1413</v>
      </c>
      <c r="E1386" s="1"/>
      <c r="F1386" s="1"/>
      <c r="G1386" s="1"/>
      <c r="H1386" s="1"/>
      <c r="I1386" s="2"/>
      <c r="J1386" s="1"/>
      <c r="K1386" s="1"/>
      <c r="L1386" s="1"/>
      <c r="M1386" s="1"/>
      <c r="N1386" s="1"/>
      <c r="O1386" s="1"/>
      <c r="P1386" s="1"/>
      <c r="Q1386" s="1"/>
      <c r="R1386" s="1"/>
      <c r="S1386" s="1"/>
      <c r="T1386" s="1"/>
      <c r="U1386" s="1"/>
      <c r="V1386" s="1"/>
      <c r="W1386" s="1"/>
      <c r="X1386" s="1"/>
    </row>
    <row x14ac:dyDescent="0.25" r="1387" customHeight="1" ht="18.75">
      <c r="A1387" s="1"/>
      <c r="B1387" s="1"/>
      <c r="C1387" s="3" t="s">
        <v>100</v>
      </c>
      <c r="D1387" s="3" t="s">
        <v>1414</v>
      </c>
      <c r="E1387" s="1"/>
      <c r="F1387" s="1"/>
      <c r="G1387" s="1"/>
      <c r="H1387" s="1"/>
      <c r="I1387" s="2"/>
      <c r="J1387" s="1"/>
      <c r="K1387" s="1"/>
      <c r="L1387" s="1"/>
      <c r="M1387" s="1"/>
      <c r="N1387" s="1"/>
      <c r="O1387" s="1"/>
      <c r="P1387" s="1"/>
      <c r="Q1387" s="1"/>
      <c r="R1387" s="1"/>
      <c r="S1387" s="1"/>
      <c r="T1387" s="1"/>
      <c r="U1387" s="1"/>
      <c r="V1387" s="1"/>
      <c r="W1387" s="1"/>
      <c r="X1387" s="1"/>
    </row>
    <row x14ac:dyDescent="0.25" r="1388" customHeight="1" ht="18.75">
      <c r="A1388" s="1"/>
      <c r="B1388" s="1"/>
      <c r="C1388" s="3" t="s">
        <v>100</v>
      </c>
      <c r="D1388" s="3" t="s">
        <v>1415</v>
      </c>
      <c r="E1388" s="1"/>
      <c r="F1388" s="1"/>
      <c r="G1388" s="1"/>
      <c r="H1388" s="1"/>
      <c r="I1388" s="2"/>
      <c r="J1388" s="1"/>
      <c r="K1388" s="1"/>
      <c r="L1388" s="1"/>
      <c r="M1388" s="1"/>
      <c r="N1388" s="1"/>
      <c r="O1388" s="1"/>
      <c r="P1388" s="1"/>
      <c r="Q1388" s="1"/>
      <c r="R1388" s="1"/>
      <c r="S1388" s="1"/>
      <c r="T1388" s="1"/>
      <c r="U1388" s="1"/>
      <c r="V1388" s="1"/>
      <c r="W1388" s="1"/>
      <c r="X1388" s="1"/>
    </row>
    <row x14ac:dyDescent="0.25" r="1389" customHeight="1" ht="18.75">
      <c r="A1389" s="1"/>
      <c r="B1389" s="1"/>
      <c r="C1389" s="3" t="s">
        <v>100</v>
      </c>
      <c r="D1389" s="3" t="s">
        <v>1416</v>
      </c>
      <c r="E1389" s="1"/>
      <c r="F1389" s="1"/>
      <c r="G1389" s="1"/>
      <c r="H1389" s="1"/>
      <c r="I1389" s="2"/>
      <c r="J1389" s="1"/>
      <c r="K1389" s="1"/>
      <c r="L1389" s="1"/>
      <c r="M1389" s="1"/>
      <c r="N1389" s="1"/>
      <c r="O1389" s="1"/>
      <c r="P1389" s="1"/>
      <c r="Q1389" s="1"/>
      <c r="R1389" s="1"/>
      <c r="S1389" s="1"/>
      <c r="T1389" s="1"/>
      <c r="U1389" s="1"/>
      <c r="V1389" s="1"/>
      <c r="W1389" s="1"/>
      <c r="X1389" s="1"/>
    </row>
    <row x14ac:dyDescent="0.25" r="1390" customHeight="1" ht="18.75">
      <c r="A1390" s="1"/>
      <c r="B1390" s="1"/>
      <c r="C1390" s="3" t="s">
        <v>100</v>
      </c>
      <c r="D1390" s="3" t="s">
        <v>1417</v>
      </c>
      <c r="E1390" s="1"/>
      <c r="F1390" s="1"/>
      <c r="G1390" s="1"/>
      <c r="H1390" s="1"/>
      <c r="I1390" s="2"/>
      <c r="J1390" s="1"/>
      <c r="K1390" s="1"/>
      <c r="L1390" s="1"/>
      <c r="M1390" s="1"/>
      <c r="N1390" s="1"/>
      <c r="O1390" s="1"/>
      <c r="P1390" s="1"/>
      <c r="Q1390" s="1"/>
      <c r="R1390" s="1"/>
      <c r="S1390" s="1"/>
      <c r="T1390" s="1"/>
      <c r="U1390" s="1"/>
      <c r="V1390" s="1"/>
      <c r="W1390" s="1"/>
      <c r="X1390" s="1"/>
    </row>
    <row x14ac:dyDescent="0.25" r="1391" customHeight="1" ht="18.75">
      <c r="A1391" s="1"/>
      <c r="B1391" s="1"/>
      <c r="C1391" s="3" t="s">
        <v>100</v>
      </c>
      <c r="D1391" s="3" t="s">
        <v>1418</v>
      </c>
      <c r="E1391" s="1"/>
      <c r="F1391" s="1"/>
      <c r="G1391" s="1"/>
      <c r="H1391" s="1"/>
      <c r="I1391" s="2"/>
      <c r="J1391" s="1"/>
      <c r="K1391" s="1"/>
      <c r="L1391" s="1"/>
      <c r="M1391" s="1"/>
      <c r="N1391" s="1"/>
      <c r="O1391" s="1"/>
      <c r="P1391" s="1"/>
      <c r="Q1391" s="1"/>
      <c r="R1391" s="1"/>
      <c r="S1391" s="1"/>
      <c r="T1391" s="1"/>
      <c r="U1391" s="1"/>
      <c r="V1391" s="1"/>
      <c r="W1391" s="1"/>
      <c r="X1391" s="1"/>
    </row>
    <row x14ac:dyDescent="0.25" r="1392" customHeight="1" ht="18.75">
      <c r="A1392" s="1"/>
      <c r="B1392" s="1"/>
      <c r="C1392" s="3" t="s">
        <v>100</v>
      </c>
      <c r="D1392" s="3" t="s">
        <v>1419</v>
      </c>
      <c r="E1392" s="1"/>
      <c r="F1392" s="1"/>
      <c r="G1392" s="1"/>
      <c r="H1392" s="1"/>
      <c r="I1392" s="2"/>
      <c r="J1392" s="1"/>
      <c r="K1392" s="1"/>
      <c r="L1392" s="1"/>
      <c r="M1392" s="1"/>
      <c r="N1392" s="1"/>
      <c r="O1392" s="1"/>
      <c r="P1392" s="1"/>
      <c r="Q1392" s="1"/>
      <c r="R1392" s="1"/>
      <c r="S1392" s="1"/>
      <c r="T1392" s="1"/>
      <c r="U1392" s="1"/>
      <c r="V1392" s="1"/>
      <c r="W1392" s="1"/>
      <c r="X1392" s="1"/>
    </row>
    <row x14ac:dyDescent="0.25" r="1393" customHeight="1" ht="18.75">
      <c r="A1393" s="1"/>
      <c r="B1393" s="1"/>
      <c r="C1393" s="3" t="s">
        <v>100</v>
      </c>
      <c r="D1393" s="3" t="s">
        <v>1420</v>
      </c>
      <c r="E1393" s="1"/>
      <c r="F1393" s="1"/>
      <c r="G1393" s="1"/>
      <c r="H1393" s="1"/>
      <c r="I1393" s="2"/>
      <c r="J1393" s="1"/>
      <c r="K1393" s="1"/>
      <c r="L1393" s="1"/>
      <c r="M1393" s="1"/>
      <c r="N1393" s="1"/>
      <c r="O1393" s="1"/>
      <c r="P1393" s="1"/>
      <c r="Q1393" s="1"/>
      <c r="R1393" s="1"/>
      <c r="S1393" s="1"/>
      <c r="T1393" s="1"/>
      <c r="U1393" s="1"/>
      <c r="V1393" s="1"/>
      <c r="W1393" s="1"/>
      <c r="X1393" s="1"/>
    </row>
    <row x14ac:dyDescent="0.25" r="1394" customHeight="1" ht="18.75">
      <c r="A1394" s="1"/>
      <c r="B1394" s="1"/>
      <c r="C1394" s="3" t="s">
        <v>100</v>
      </c>
      <c r="D1394" s="3" t="s">
        <v>1421</v>
      </c>
      <c r="E1394" s="1"/>
      <c r="F1394" s="1"/>
      <c r="G1394" s="1"/>
      <c r="H1394" s="1"/>
      <c r="I1394" s="2"/>
      <c r="J1394" s="1"/>
      <c r="K1394" s="1"/>
      <c r="L1394" s="1"/>
      <c r="M1394" s="1"/>
      <c r="N1394" s="1"/>
      <c r="O1394" s="1"/>
      <c r="P1394" s="1"/>
      <c r="Q1394" s="1"/>
      <c r="R1394" s="1"/>
      <c r="S1394" s="1"/>
      <c r="T1394" s="1"/>
      <c r="U1394" s="1"/>
      <c r="V1394" s="1"/>
      <c r="W1394" s="1"/>
      <c r="X1394" s="1"/>
    </row>
    <row x14ac:dyDescent="0.25" r="1395" customHeight="1" ht="18.75">
      <c r="A1395" s="1"/>
      <c r="B1395" s="1"/>
      <c r="C1395" s="3" t="s">
        <v>100</v>
      </c>
      <c r="D1395" s="3" t="s">
        <v>1422</v>
      </c>
      <c r="E1395" s="1"/>
      <c r="F1395" s="1"/>
      <c r="G1395" s="1"/>
      <c r="H1395" s="1"/>
      <c r="I1395" s="2"/>
      <c r="J1395" s="1"/>
      <c r="K1395" s="1"/>
      <c r="L1395" s="1"/>
      <c r="M1395" s="1"/>
      <c r="N1395" s="1"/>
      <c r="O1395" s="1"/>
      <c r="P1395" s="1"/>
      <c r="Q1395" s="1"/>
      <c r="R1395" s="1"/>
      <c r="S1395" s="1"/>
      <c r="T1395" s="1"/>
      <c r="U1395" s="1"/>
      <c r="V1395" s="1"/>
      <c r="W1395" s="1"/>
      <c r="X1395" s="1"/>
    </row>
    <row x14ac:dyDescent="0.25" r="1396" customHeight="1" ht="18.75">
      <c r="A1396" s="1"/>
      <c r="B1396" s="1"/>
      <c r="C1396" s="3" t="s">
        <v>100</v>
      </c>
      <c r="D1396" s="3" t="s">
        <v>1423</v>
      </c>
      <c r="E1396" s="1"/>
      <c r="F1396" s="1"/>
      <c r="G1396" s="1"/>
      <c r="H1396" s="1"/>
      <c r="I1396" s="2"/>
      <c r="J1396" s="1"/>
      <c r="K1396" s="1"/>
      <c r="L1396" s="1"/>
      <c r="M1396" s="1"/>
      <c r="N1396" s="1"/>
      <c r="O1396" s="1"/>
      <c r="P1396" s="1"/>
      <c r="Q1396" s="1"/>
      <c r="R1396" s="1"/>
      <c r="S1396" s="1"/>
      <c r="T1396" s="1"/>
      <c r="U1396" s="1"/>
      <c r="V1396" s="1"/>
      <c r="W1396" s="1"/>
      <c r="X1396" s="1"/>
    </row>
    <row x14ac:dyDescent="0.25" r="1397" customHeight="1" ht="18.75">
      <c r="A1397" s="1"/>
      <c r="B1397" s="1"/>
      <c r="C1397" s="3" t="s">
        <v>100</v>
      </c>
      <c r="D1397" s="3" t="s">
        <v>1424</v>
      </c>
      <c r="E1397" s="1"/>
      <c r="F1397" s="1"/>
      <c r="G1397" s="1"/>
      <c r="H1397" s="1"/>
      <c r="I1397" s="2"/>
      <c r="J1397" s="1"/>
      <c r="K1397" s="1"/>
      <c r="L1397" s="1"/>
      <c r="M1397" s="1"/>
      <c r="N1397" s="1"/>
      <c r="O1397" s="1"/>
      <c r="P1397" s="1"/>
      <c r="Q1397" s="1"/>
      <c r="R1397" s="1"/>
      <c r="S1397" s="1"/>
      <c r="T1397" s="1"/>
      <c r="U1397" s="1"/>
      <c r="V1397" s="1"/>
      <c r="W1397" s="1"/>
      <c r="X1397" s="1"/>
    </row>
    <row x14ac:dyDescent="0.25" r="1398" customHeight="1" ht="18.75">
      <c r="A1398" s="1"/>
      <c r="B1398" s="1"/>
      <c r="C1398" s="3" t="s">
        <v>100</v>
      </c>
      <c r="D1398" s="3" t="s">
        <v>1425</v>
      </c>
      <c r="E1398" s="1"/>
      <c r="F1398" s="1"/>
      <c r="G1398" s="1"/>
      <c r="H1398" s="1"/>
      <c r="I1398" s="2"/>
      <c r="J1398" s="1"/>
      <c r="K1398" s="1"/>
      <c r="L1398" s="1"/>
      <c r="M1398" s="1"/>
      <c r="N1398" s="1"/>
      <c r="O1398" s="1"/>
      <c r="P1398" s="1"/>
      <c r="Q1398" s="1"/>
      <c r="R1398" s="1"/>
      <c r="S1398" s="1"/>
      <c r="T1398" s="1"/>
      <c r="U1398" s="1"/>
      <c r="V1398" s="1"/>
      <c r="W1398" s="1"/>
      <c r="X1398" s="1"/>
    </row>
    <row x14ac:dyDescent="0.25" r="1399" customHeight="1" ht="18.75">
      <c r="A1399" s="1"/>
      <c r="B1399" s="1"/>
      <c r="C1399" s="3" t="s">
        <v>100</v>
      </c>
      <c r="D1399" s="3" t="s">
        <v>1426</v>
      </c>
      <c r="E1399" s="1"/>
      <c r="F1399" s="1"/>
      <c r="G1399" s="1"/>
      <c r="H1399" s="1"/>
      <c r="I1399" s="2"/>
      <c r="J1399" s="1"/>
      <c r="K1399" s="1"/>
      <c r="L1399" s="1"/>
      <c r="M1399" s="1"/>
      <c r="N1399" s="1"/>
      <c r="O1399" s="1"/>
      <c r="P1399" s="1"/>
      <c r="Q1399" s="1"/>
      <c r="R1399" s="1"/>
      <c r="S1399" s="1"/>
      <c r="T1399" s="1"/>
      <c r="U1399" s="1"/>
      <c r="V1399" s="1"/>
      <c r="W1399" s="1"/>
      <c r="X1399" s="1"/>
    </row>
    <row x14ac:dyDescent="0.25" r="1400" customHeight="1" ht="18.75">
      <c r="A1400" s="1"/>
      <c r="B1400" s="1"/>
      <c r="C1400" s="3" t="s">
        <v>100</v>
      </c>
      <c r="D1400" s="3" t="s">
        <v>1427</v>
      </c>
      <c r="E1400" s="1"/>
      <c r="F1400" s="1"/>
      <c r="G1400" s="1"/>
      <c r="H1400" s="1"/>
      <c r="I1400" s="2"/>
      <c r="J1400" s="1"/>
      <c r="K1400" s="1"/>
      <c r="L1400" s="1"/>
      <c r="M1400" s="1"/>
      <c r="N1400" s="1"/>
      <c r="O1400" s="1"/>
      <c r="P1400" s="1"/>
      <c r="Q1400" s="1"/>
      <c r="R1400" s="1"/>
      <c r="S1400" s="1"/>
      <c r="T1400" s="1"/>
      <c r="U1400" s="1"/>
      <c r="V1400" s="1"/>
      <c r="W1400" s="1"/>
      <c r="X1400" s="1"/>
    </row>
    <row x14ac:dyDescent="0.25" r="1401" customHeight="1" ht="18.75">
      <c r="A1401" s="1"/>
      <c r="B1401" s="1"/>
      <c r="C1401" s="3" t="s">
        <v>100</v>
      </c>
      <c r="D1401" s="3" t="s">
        <v>1428</v>
      </c>
      <c r="E1401" s="1"/>
      <c r="F1401" s="1"/>
      <c r="G1401" s="1"/>
      <c r="H1401" s="1"/>
      <c r="I1401" s="2"/>
      <c r="J1401" s="1"/>
      <c r="K1401" s="1"/>
      <c r="L1401" s="1"/>
      <c r="M1401" s="1"/>
      <c r="N1401" s="1"/>
      <c r="O1401" s="1"/>
      <c r="P1401" s="1"/>
      <c r="Q1401" s="1"/>
      <c r="R1401" s="1"/>
      <c r="S1401" s="1"/>
      <c r="T1401" s="1"/>
      <c r="U1401" s="1"/>
      <c r="V1401" s="1"/>
      <c r="W1401" s="1"/>
      <c r="X1401" s="1"/>
    </row>
    <row x14ac:dyDescent="0.25" r="1402" customHeight="1" ht="18.75">
      <c r="A1402" s="1"/>
      <c r="B1402" s="1"/>
      <c r="C1402" s="3" t="s">
        <v>100</v>
      </c>
      <c r="D1402" s="3" t="s">
        <v>1429</v>
      </c>
      <c r="E1402" s="1"/>
      <c r="F1402" s="1"/>
      <c r="G1402" s="1"/>
      <c r="H1402" s="1"/>
      <c r="I1402" s="2"/>
      <c r="J1402" s="1"/>
      <c r="K1402" s="1"/>
      <c r="L1402" s="1"/>
      <c r="M1402" s="1"/>
      <c r="N1402" s="1"/>
      <c r="O1402" s="1"/>
      <c r="P1402" s="1"/>
      <c r="Q1402" s="1"/>
      <c r="R1402" s="1"/>
      <c r="S1402" s="1"/>
      <c r="T1402" s="1"/>
      <c r="U1402" s="1"/>
      <c r="V1402" s="1"/>
      <c r="W1402" s="1"/>
      <c r="X1402" s="1"/>
    </row>
    <row x14ac:dyDescent="0.25" r="1403" customHeight="1" ht="18.75">
      <c r="A1403" s="1"/>
      <c r="B1403" s="1"/>
      <c r="C1403" s="3" t="s">
        <v>100</v>
      </c>
      <c r="D1403" s="3" t="s">
        <v>1430</v>
      </c>
      <c r="E1403" s="1"/>
      <c r="F1403" s="1"/>
      <c r="G1403" s="1"/>
      <c r="H1403" s="1"/>
      <c r="I1403" s="2"/>
      <c r="J1403" s="1"/>
      <c r="K1403" s="1"/>
      <c r="L1403" s="1"/>
      <c r="M1403" s="1"/>
      <c r="N1403" s="1"/>
      <c r="O1403" s="1"/>
      <c r="P1403" s="1"/>
      <c r="Q1403" s="1"/>
      <c r="R1403" s="1"/>
      <c r="S1403" s="1"/>
      <c r="T1403" s="1"/>
      <c r="U1403" s="1"/>
      <c r="V1403" s="1"/>
      <c r="W1403" s="1"/>
      <c r="X1403" s="1"/>
    </row>
    <row x14ac:dyDescent="0.25" r="1404" customHeight="1" ht="18.75">
      <c r="A1404" s="1"/>
      <c r="B1404" s="1"/>
      <c r="C1404" s="3" t="s">
        <v>100</v>
      </c>
      <c r="D1404" s="3" t="s">
        <v>1431</v>
      </c>
      <c r="E1404" s="1"/>
      <c r="F1404" s="1"/>
      <c r="G1404" s="1"/>
      <c r="H1404" s="1"/>
      <c r="I1404" s="2"/>
      <c r="J1404" s="1"/>
      <c r="K1404" s="1"/>
      <c r="L1404" s="1"/>
      <c r="M1404" s="1"/>
      <c r="N1404" s="1"/>
      <c r="O1404" s="1"/>
      <c r="P1404" s="1"/>
      <c r="Q1404" s="1"/>
      <c r="R1404" s="1"/>
      <c r="S1404" s="1"/>
      <c r="T1404" s="1"/>
      <c r="U1404" s="1"/>
      <c r="V1404" s="1"/>
      <c r="W1404" s="1"/>
      <c r="X1404" s="1"/>
    </row>
    <row x14ac:dyDescent="0.25" r="1405" customHeight="1" ht="18.75">
      <c r="A1405" s="1"/>
      <c r="B1405" s="1"/>
      <c r="C1405" s="3" t="s">
        <v>100</v>
      </c>
      <c r="D1405" s="3" t="s">
        <v>1432</v>
      </c>
      <c r="E1405" s="1"/>
      <c r="F1405" s="1"/>
      <c r="G1405" s="1"/>
      <c r="H1405" s="1"/>
      <c r="I1405" s="2"/>
      <c r="J1405" s="1"/>
      <c r="K1405" s="1"/>
      <c r="L1405" s="1"/>
      <c r="M1405" s="1"/>
      <c r="N1405" s="1"/>
      <c r="O1405" s="1"/>
      <c r="P1405" s="1"/>
      <c r="Q1405" s="1"/>
      <c r="R1405" s="1"/>
      <c r="S1405" s="1"/>
      <c r="T1405" s="1"/>
      <c r="U1405" s="1"/>
      <c r="V1405" s="1"/>
      <c r="W1405" s="1"/>
      <c r="X1405" s="1"/>
    </row>
    <row x14ac:dyDescent="0.25" r="1406" customHeight="1" ht="18.75">
      <c r="A1406" s="1"/>
      <c r="B1406" s="1"/>
      <c r="C1406" s="3" t="s">
        <v>100</v>
      </c>
      <c r="D1406" s="3" t="s">
        <v>1433</v>
      </c>
      <c r="E1406" s="1"/>
      <c r="F1406" s="1"/>
      <c r="G1406" s="1"/>
      <c r="H1406" s="1"/>
      <c r="I1406" s="2"/>
      <c r="J1406" s="1"/>
      <c r="K1406" s="1"/>
      <c r="L1406" s="1"/>
      <c r="M1406" s="1"/>
      <c r="N1406" s="1"/>
      <c r="O1406" s="1"/>
      <c r="P1406" s="1"/>
      <c r="Q1406" s="1"/>
      <c r="R1406" s="1"/>
      <c r="S1406" s="1"/>
      <c r="T1406" s="1"/>
      <c r="U1406" s="1"/>
      <c r="V1406" s="1"/>
      <c r="W1406" s="1"/>
      <c r="X1406" s="1"/>
    </row>
    <row x14ac:dyDescent="0.25" r="1407" customHeight="1" ht="18.75">
      <c r="A1407" s="1"/>
      <c r="B1407" s="1"/>
      <c r="C1407" s="3" t="s">
        <v>100</v>
      </c>
      <c r="D1407" s="3" t="s">
        <v>1434</v>
      </c>
      <c r="E1407" s="1"/>
      <c r="F1407" s="1"/>
      <c r="G1407" s="1"/>
      <c r="H1407" s="1"/>
      <c r="I1407" s="2"/>
      <c r="J1407" s="1"/>
      <c r="K1407" s="1"/>
      <c r="L1407" s="1"/>
      <c r="M1407" s="1"/>
      <c r="N1407" s="1"/>
      <c r="O1407" s="1"/>
      <c r="P1407" s="1"/>
      <c r="Q1407" s="1"/>
      <c r="R1407" s="1"/>
      <c r="S1407" s="1"/>
      <c r="T1407" s="1"/>
      <c r="U1407" s="1"/>
      <c r="V1407" s="1"/>
      <c r="W1407" s="1"/>
      <c r="X1407" s="1"/>
    </row>
    <row x14ac:dyDescent="0.25" r="1408" customHeight="1" ht="18.75">
      <c r="A1408" s="1"/>
      <c r="B1408" s="1"/>
      <c r="C1408" s="3" t="s">
        <v>100</v>
      </c>
      <c r="D1408" s="3" t="s">
        <v>1435</v>
      </c>
      <c r="E1408" s="1"/>
      <c r="F1408" s="1"/>
      <c r="G1408" s="1"/>
      <c r="H1408" s="1"/>
      <c r="I1408" s="2"/>
      <c r="J1408" s="1"/>
      <c r="K1408" s="1"/>
      <c r="L1408" s="1"/>
      <c r="M1408" s="1"/>
      <c r="N1408" s="1"/>
      <c r="O1408" s="1"/>
      <c r="P1408" s="1"/>
      <c r="Q1408" s="1"/>
      <c r="R1408" s="1"/>
      <c r="S1408" s="1"/>
      <c r="T1408" s="1"/>
      <c r="U1408" s="1"/>
      <c r="V1408" s="1"/>
      <c r="W1408" s="1"/>
      <c r="X1408" s="1"/>
    </row>
    <row x14ac:dyDescent="0.25" r="1409" customHeight="1" ht="18.75">
      <c r="A1409" s="1"/>
      <c r="B1409" s="1"/>
      <c r="C1409" s="3" t="s">
        <v>100</v>
      </c>
      <c r="D1409" s="3" t="s">
        <v>1436</v>
      </c>
      <c r="E1409" s="1"/>
      <c r="F1409" s="1"/>
      <c r="G1409" s="1"/>
      <c r="H1409" s="1"/>
      <c r="I1409" s="2"/>
      <c r="J1409" s="1"/>
      <c r="K1409" s="1"/>
      <c r="L1409" s="1"/>
      <c r="M1409" s="1"/>
      <c r="N1409" s="1"/>
      <c r="O1409" s="1"/>
      <c r="P1409" s="1"/>
      <c r="Q1409" s="1"/>
      <c r="R1409" s="1"/>
      <c r="S1409" s="1"/>
      <c r="T1409" s="1"/>
      <c r="U1409" s="1"/>
      <c r="V1409" s="1"/>
      <c r="W1409" s="1"/>
      <c r="X1409" s="1"/>
    </row>
    <row x14ac:dyDescent="0.25" r="1410" customHeight="1" ht="18.75">
      <c r="A1410" s="1"/>
      <c r="B1410" s="1"/>
      <c r="C1410" s="3" t="s">
        <v>100</v>
      </c>
      <c r="D1410" s="3" t="s">
        <v>1437</v>
      </c>
      <c r="E1410" s="1"/>
      <c r="F1410" s="1"/>
      <c r="G1410" s="1"/>
      <c r="H1410" s="1"/>
      <c r="I1410" s="2"/>
      <c r="J1410" s="1"/>
      <c r="K1410" s="1"/>
      <c r="L1410" s="1"/>
      <c r="M1410" s="1"/>
      <c r="N1410" s="1"/>
      <c r="O1410" s="1"/>
      <c r="P1410" s="1"/>
      <c r="Q1410" s="1"/>
      <c r="R1410" s="1"/>
      <c r="S1410" s="1"/>
      <c r="T1410" s="1"/>
      <c r="U1410" s="1"/>
      <c r="V1410" s="1"/>
      <c r="W1410" s="1"/>
      <c r="X1410" s="1"/>
    </row>
    <row x14ac:dyDescent="0.25" r="1411" customHeight="1" ht="18.75">
      <c r="A1411" s="1"/>
      <c r="B1411" s="1"/>
      <c r="C1411" s="3" t="s">
        <v>100</v>
      </c>
      <c r="D1411" s="3" t="s">
        <v>1438</v>
      </c>
      <c r="E1411" s="1"/>
      <c r="F1411" s="1"/>
      <c r="G1411" s="1"/>
      <c r="H1411" s="1"/>
      <c r="I1411" s="2"/>
      <c r="J1411" s="1"/>
      <c r="K1411" s="1"/>
      <c r="L1411" s="1"/>
      <c r="M1411" s="1"/>
      <c r="N1411" s="1"/>
      <c r="O1411" s="1"/>
      <c r="P1411" s="1"/>
      <c r="Q1411" s="1"/>
      <c r="R1411" s="1"/>
      <c r="S1411" s="1"/>
      <c r="T1411" s="1"/>
      <c r="U1411" s="1"/>
      <c r="V1411" s="1"/>
      <c r="W1411" s="1"/>
      <c r="X1411" s="1"/>
    </row>
    <row x14ac:dyDescent="0.25" r="1412" customHeight="1" ht="18.75">
      <c r="A1412" s="1"/>
      <c r="B1412" s="1"/>
      <c r="C1412" s="3" t="s">
        <v>100</v>
      </c>
      <c r="D1412" s="3" t="s">
        <v>1439</v>
      </c>
      <c r="E1412" s="1"/>
      <c r="F1412" s="1"/>
      <c r="G1412" s="1"/>
      <c r="H1412" s="1"/>
      <c r="I1412" s="2"/>
      <c r="J1412" s="1"/>
      <c r="K1412" s="1"/>
      <c r="L1412" s="1"/>
      <c r="M1412" s="1"/>
      <c r="N1412" s="1"/>
      <c r="O1412" s="1"/>
      <c r="P1412" s="1"/>
      <c r="Q1412" s="1"/>
      <c r="R1412" s="1"/>
      <c r="S1412" s="1"/>
      <c r="T1412" s="1"/>
      <c r="U1412" s="1"/>
      <c r="V1412" s="1"/>
      <c r="W1412" s="1"/>
      <c r="X1412" s="1"/>
    </row>
    <row x14ac:dyDescent="0.25" r="1413" customHeight="1" ht="18.75">
      <c r="A1413" s="1"/>
      <c r="B1413" s="1"/>
      <c r="C1413" s="3" t="s">
        <v>100</v>
      </c>
      <c r="D1413" s="3" t="s">
        <v>1440</v>
      </c>
      <c r="E1413" s="1"/>
      <c r="F1413" s="1"/>
      <c r="G1413" s="1"/>
      <c r="H1413" s="1"/>
      <c r="I1413" s="2"/>
      <c r="J1413" s="1"/>
      <c r="K1413" s="1"/>
      <c r="L1413" s="1"/>
      <c r="M1413" s="1"/>
      <c r="N1413" s="1"/>
      <c r="O1413" s="1"/>
      <c r="P1413" s="1"/>
      <c r="Q1413" s="1"/>
      <c r="R1413" s="1"/>
      <c r="S1413" s="1"/>
      <c r="T1413" s="1"/>
      <c r="U1413" s="1"/>
      <c r="V1413" s="1"/>
      <c r="W1413" s="1"/>
      <c r="X1413" s="1"/>
    </row>
    <row x14ac:dyDescent="0.25" r="1414" customHeight="1" ht="18.75">
      <c r="A1414" s="1"/>
      <c r="B1414" s="1"/>
      <c r="C1414" s="3" t="s">
        <v>100</v>
      </c>
      <c r="D1414" s="3" t="s">
        <v>1441</v>
      </c>
      <c r="E1414" s="1"/>
      <c r="F1414" s="1"/>
      <c r="G1414" s="1"/>
      <c r="H1414" s="1"/>
      <c r="I1414" s="2"/>
      <c r="J1414" s="1"/>
      <c r="K1414" s="1"/>
      <c r="L1414" s="1"/>
      <c r="M1414" s="1"/>
      <c r="N1414" s="1"/>
      <c r="O1414" s="1"/>
      <c r="P1414" s="1"/>
      <c r="Q1414" s="1"/>
      <c r="R1414" s="1"/>
      <c r="S1414" s="1"/>
      <c r="T1414" s="1"/>
      <c r="U1414" s="1"/>
      <c r="V1414" s="1"/>
      <c r="W1414" s="1"/>
      <c r="X1414" s="1"/>
    </row>
    <row x14ac:dyDescent="0.25" r="1415" customHeight="1" ht="18.75">
      <c r="A1415" s="1"/>
      <c r="B1415" s="1"/>
      <c r="C1415" s="3" t="s">
        <v>100</v>
      </c>
      <c r="D1415" s="3" t="s">
        <v>1442</v>
      </c>
      <c r="E1415" s="1"/>
      <c r="F1415" s="1"/>
      <c r="G1415" s="1"/>
      <c r="H1415" s="1"/>
      <c r="I1415" s="2"/>
      <c r="J1415" s="1"/>
      <c r="K1415" s="1"/>
      <c r="L1415" s="1"/>
      <c r="M1415" s="1"/>
      <c r="N1415" s="1"/>
      <c r="O1415" s="1"/>
      <c r="P1415" s="1"/>
      <c r="Q1415" s="1"/>
      <c r="R1415" s="1"/>
      <c r="S1415" s="1"/>
      <c r="T1415" s="1"/>
      <c r="U1415" s="1"/>
      <c r="V1415" s="1"/>
      <c r="W1415" s="1"/>
      <c r="X1415" s="1"/>
    </row>
    <row x14ac:dyDescent="0.25" r="1416" customHeight="1" ht="18.75">
      <c r="A1416" s="1"/>
      <c r="B1416" s="1"/>
      <c r="C1416" s="3" t="s">
        <v>100</v>
      </c>
      <c r="D1416" s="3" t="s">
        <v>1443</v>
      </c>
      <c r="E1416" s="1"/>
      <c r="F1416" s="1"/>
      <c r="G1416" s="1"/>
      <c r="H1416" s="1"/>
      <c r="I1416" s="2"/>
      <c r="J1416" s="1"/>
      <c r="K1416" s="1"/>
      <c r="L1416" s="1"/>
      <c r="M1416" s="1"/>
      <c r="N1416" s="1"/>
      <c r="O1416" s="1"/>
      <c r="P1416" s="1"/>
      <c r="Q1416" s="1"/>
      <c r="R1416" s="1"/>
      <c r="S1416" s="1"/>
      <c r="T1416" s="1"/>
      <c r="U1416" s="1"/>
      <c r="V1416" s="1"/>
      <c r="W1416" s="1"/>
      <c r="X1416" s="1"/>
    </row>
    <row x14ac:dyDescent="0.25" r="1417" customHeight="1" ht="18.75">
      <c r="A1417" s="1"/>
      <c r="B1417" s="1"/>
      <c r="C1417" s="3" t="s">
        <v>100</v>
      </c>
      <c r="D1417" s="3" t="s">
        <v>1444</v>
      </c>
      <c r="E1417" s="1"/>
      <c r="F1417" s="1"/>
      <c r="G1417" s="1"/>
      <c r="H1417" s="1"/>
      <c r="I1417" s="2"/>
      <c r="J1417" s="1"/>
      <c r="K1417" s="1"/>
      <c r="L1417" s="1"/>
      <c r="M1417" s="1"/>
      <c r="N1417" s="1"/>
      <c r="O1417" s="1"/>
      <c r="P1417" s="1"/>
      <c r="Q1417" s="1"/>
      <c r="R1417" s="1"/>
      <c r="S1417" s="1"/>
      <c r="T1417" s="1"/>
      <c r="U1417" s="1"/>
      <c r="V1417" s="1"/>
      <c r="W1417" s="1"/>
      <c r="X1417" s="1"/>
    </row>
    <row x14ac:dyDescent="0.25" r="1418" customHeight="1" ht="18.75">
      <c r="A1418" s="1"/>
      <c r="B1418" s="1"/>
      <c r="C1418" s="3" t="s">
        <v>100</v>
      </c>
      <c r="D1418" s="3" t="s">
        <v>1445</v>
      </c>
      <c r="E1418" s="1"/>
      <c r="F1418" s="1"/>
      <c r="G1418" s="1"/>
      <c r="H1418" s="1"/>
      <c r="I1418" s="2"/>
      <c r="J1418" s="1"/>
      <c r="K1418" s="1"/>
      <c r="L1418" s="1"/>
      <c r="M1418" s="1"/>
      <c r="N1418" s="1"/>
      <c r="O1418" s="1"/>
      <c r="P1418" s="1"/>
      <c r="Q1418" s="1"/>
      <c r="R1418" s="1"/>
      <c r="S1418" s="1"/>
      <c r="T1418" s="1"/>
      <c r="U1418" s="1"/>
      <c r="V1418" s="1"/>
      <c r="W1418" s="1"/>
      <c r="X1418" s="1"/>
    </row>
    <row x14ac:dyDescent="0.25" r="1419" customHeight="1" ht="18.75">
      <c r="A1419" s="1"/>
      <c r="B1419" s="1"/>
      <c r="C1419" s="3" t="s">
        <v>100</v>
      </c>
      <c r="D1419" s="3" t="s">
        <v>1446</v>
      </c>
      <c r="E1419" s="1"/>
      <c r="F1419" s="1"/>
      <c r="G1419" s="1"/>
      <c r="H1419" s="1"/>
      <c r="I1419" s="2"/>
      <c r="J1419" s="1"/>
      <c r="K1419" s="1"/>
      <c r="L1419" s="1"/>
      <c r="M1419" s="1"/>
      <c r="N1419" s="1"/>
      <c r="O1419" s="1"/>
      <c r="P1419" s="1"/>
      <c r="Q1419" s="1"/>
      <c r="R1419" s="1"/>
      <c r="S1419" s="1"/>
      <c r="T1419" s="1"/>
      <c r="U1419" s="1"/>
      <c r="V1419" s="1"/>
      <c r="W1419" s="1"/>
      <c r="X1419" s="1"/>
    </row>
    <row x14ac:dyDescent="0.25" r="1420" customHeight="1" ht="18.75">
      <c r="A1420" s="1"/>
      <c r="B1420" s="1"/>
      <c r="C1420" s="3" t="s">
        <v>100</v>
      </c>
      <c r="D1420" s="3" t="s">
        <v>1447</v>
      </c>
      <c r="E1420" s="1"/>
      <c r="F1420" s="1"/>
      <c r="G1420" s="1"/>
      <c r="H1420" s="1"/>
      <c r="I1420" s="2"/>
      <c r="J1420" s="1"/>
      <c r="K1420" s="1"/>
      <c r="L1420" s="1"/>
      <c r="M1420" s="1"/>
      <c r="N1420" s="1"/>
      <c r="O1420" s="1"/>
      <c r="P1420" s="1"/>
      <c r="Q1420" s="1"/>
      <c r="R1420" s="1"/>
      <c r="S1420" s="1"/>
      <c r="T1420" s="1"/>
      <c r="U1420" s="1"/>
      <c r="V1420" s="1"/>
      <c r="W1420" s="1"/>
      <c r="X1420" s="1"/>
    </row>
    <row x14ac:dyDescent="0.25" r="1421" customHeight="1" ht="18.75">
      <c r="A1421" s="1"/>
      <c r="B1421" s="1"/>
      <c r="C1421" s="3" t="s">
        <v>100</v>
      </c>
      <c r="D1421" s="3" t="s">
        <v>1448</v>
      </c>
      <c r="E1421" s="1"/>
      <c r="F1421" s="1"/>
      <c r="G1421" s="1"/>
      <c r="H1421" s="1"/>
      <c r="I1421" s="2"/>
      <c r="J1421" s="1"/>
      <c r="K1421" s="1"/>
      <c r="L1421" s="1"/>
      <c r="M1421" s="1"/>
      <c r="N1421" s="1"/>
      <c r="O1421" s="1"/>
      <c r="P1421" s="1"/>
      <c r="Q1421" s="1"/>
      <c r="R1421" s="1"/>
      <c r="S1421" s="1"/>
      <c r="T1421" s="1"/>
      <c r="U1421" s="1"/>
      <c r="V1421" s="1"/>
      <c r="W1421" s="1"/>
      <c r="X1421" s="1"/>
    </row>
    <row x14ac:dyDescent="0.25" r="1422" customHeight="1" ht="18.75">
      <c r="A1422" s="1"/>
      <c r="B1422" s="1"/>
      <c r="C1422" s="3" t="s">
        <v>100</v>
      </c>
      <c r="D1422" s="3" t="s">
        <v>1449</v>
      </c>
      <c r="E1422" s="1"/>
      <c r="F1422" s="1"/>
      <c r="G1422" s="1"/>
      <c r="H1422" s="1"/>
      <c r="I1422" s="2"/>
      <c r="J1422" s="1"/>
      <c r="K1422" s="1"/>
      <c r="L1422" s="1"/>
      <c r="M1422" s="1"/>
      <c r="N1422" s="1"/>
      <c r="O1422" s="1"/>
      <c r="P1422" s="1"/>
      <c r="Q1422" s="1"/>
      <c r="R1422" s="1"/>
      <c r="S1422" s="1"/>
      <c r="T1422" s="1"/>
      <c r="U1422" s="1"/>
      <c r="V1422" s="1"/>
      <c r="W1422" s="1"/>
      <c r="X1422" s="1"/>
    </row>
    <row x14ac:dyDescent="0.25" r="1423" customHeight="1" ht="18.75">
      <c r="A1423" s="1"/>
      <c r="B1423" s="1"/>
      <c r="C1423" s="3" t="s">
        <v>100</v>
      </c>
      <c r="D1423" s="3" t="s">
        <v>1450</v>
      </c>
      <c r="E1423" s="1"/>
      <c r="F1423" s="1"/>
      <c r="G1423" s="1"/>
      <c r="H1423" s="1"/>
      <c r="I1423" s="2"/>
      <c r="J1423" s="1"/>
      <c r="K1423" s="1"/>
      <c r="L1423" s="1"/>
      <c r="M1423" s="1"/>
      <c r="N1423" s="1"/>
      <c r="O1423" s="1"/>
      <c r="P1423" s="1"/>
      <c r="Q1423" s="1"/>
      <c r="R1423" s="1"/>
      <c r="S1423" s="1"/>
      <c r="T1423" s="1"/>
      <c r="U1423" s="1"/>
      <c r="V1423" s="1"/>
      <c r="W1423" s="1"/>
      <c r="X1423" s="1"/>
    </row>
    <row x14ac:dyDescent="0.25" r="1424" customHeight="1" ht="18.75">
      <c r="A1424" s="1"/>
      <c r="B1424" s="1"/>
      <c r="C1424" s="3" t="s">
        <v>100</v>
      </c>
      <c r="D1424" s="3" t="s">
        <v>1451</v>
      </c>
      <c r="E1424" s="1"/>
      <c r="F1424" s="1"/>
      <c r="G1424" s="1"/>
      <c r="H1424" s="1"/>
      <c r="I1424" s="2"/>
      <c r="J1424" s="1"/>
      <c r="K1424" s="1"/>
      <c r="L1424" s="1"/>
      <c r="M1424" s="1"/>
      <c r="N1424" s="1"/>
      <c r="O1424" s="1"/>
      <c r="P1424" s="1"/>
      <c r="Q1424" s="1"/>
      <c r="R1424" s="1"/>
      <c r="S1424" s="1"/>
      <c r="T1424" s="1"/>
      <c r="U1424" s="1"/>
      <c r="V1424" s="1"/>
      <c r="W1424" s="1"/>
      <c r="X1424" s="1"/>
    </row>
    <row x14ac:dyDescent="0.25" r="1425" customHeight="1" ht="18.75">
      <c r="A1425" s="1"/>
      <c r="B1425" s="1"/>
      <c r="C1425" s="3" t="s">
        <v>100</v>
      </c>
      <c r="D1425" s="3" t="s">
        <v>1452</v>
      </c>
      <c r="E1425" s="1"/>
      <c r="F1425" s="1"/>
      <c r="G1425" s="1"/>
      <c r="H1425" s="1"/>
      <c r="I1425" s="2"/>
      <c r="J1425" s="1"/>
      <c r="K1425" s="1"/>
      <c r="L1425" s="1"/>
      <c r="M1425" s="1"/>
      <c r="N1425" s="1"/>
      <c r="O1425" s="1"/>
      <c r="P1425" s="1"/>
      <c r="Q1425" s="1"/>
      <c r="R1425" s="1"/>
      <c r="S1425" s="1"/>
      <c r="T1425" s="1"/>
      <c r="U1425" s="1"/>
      <c r="V1425" s="1"/>
      <c r="W1425" s="1"/>
      <c r="X1425" s="1"/>
    </row>
    <row x14ac:dyDescent="0.25" r="1426" customHeight="1" ht="18.75">
      <c r="A1426" s="1"/>
      <c r="B1426" s="1"/>
      <c r="C1426" s="3" t="s">
        <v>100</v>
      </c>
      <c r="D1426" s="3" t="s">
        <v>1453</v>
      </c>
      <c r="E1426" s="1"/>
      <c r="F1426" s="1"/>
      <c r="G1426" s="1"/>
      <c r="H1426" s="1"/>
      <c r="I1426" s="2"/>
      <c r="J1426" s="1"/>
      <c r="K1426" s="1"/>
      <c r="L1426" s="1"/>
      <c r="M1426" s="1"/>
      <c r="N1426" s="1"/>
      <c r="O1426" s="1"/>
      <c r="P1426" s="1"/>
      <c r="Q1426" s="1"/>
      <c r="R1426" s="1"/>
      <c r="S1426" s="1"/>
      <c r="T1426" s="1"/>
      <c r="U1426" s="1"/>
      <c r="V1426" s="1"/>
      <c r="W1426" s="1"/>
      <c r="X1426" s="1"/>
    </row>
    <row x14ac:dyDescent="0.25" r="1427" customHeight="1" ht="18.75">
      <c r="A1427" s="1"/>
      <c r="B1427" s="1"/>
      <c r="C1427" s="3" t="s">
        <v>100</v>
      </c>
      <c r="D1427" s="3" t="s">
        <v>1454</v>
      </c>
      <c r="E1427" s="1"/>
      <c r="F1427" s="1"/>
      <c r="G1427" s="1"/>
      <c r="H1427" s="1"/>
      <c r="I1427" s="2"/>
      <c r="J1427" s="1"/>
      <c r="K1427" s="1"/>
      <c r="L1427" s="1"/>
      <c r="M1427" s="1"/>
      <c r="N1427" s="1"/>
      <c r="O1427" s="1"/>
      <c r="P1427" s="1"/>
      <c r="Q1427" s="1"/>
      <c r="R1427" s="1"/>
      <c r="S1427" s="1"/>
      <c r="T1427" s="1"/>
      <c r="U1427" s="1"/>
      <c r="V1427" s="1"/>
      <c r="W1427" s="1"/>
      <c r="X1427" s="1"/>
    </row>
    <row x14ac:dyDescent="0.25" r="1428" customHeight="1" ht="18.75">
      <c r="A1428" s="1"/>
      <c r="B1428" s="1"/>
      <c r="C1428" s="3" t="s">
        <v>100</v>
      </c>
      <c r="D1428" s="3" t="s">
        <v>1455</v>
      </c>
      <c r="E1428" s="1"/>
      <c r="F1428" s="1"/>
      <c r="G1428" s="1"/>
      <c r="H1428" s="1"/>
      <c r="I1428" s="2"/>
      <c r="J1428" s="1"/>
      <c r="K1428" s="1"/>
      <c r="L1428" s="1"/>
      <c r="M1428" s="1"/>
      <c r="N1428" s="1"/>
      <c r="O1428" s="1"/>
      <c r="P1428" s="1"/>
      <c r="Q1428" s="1"/>
      <c r="R1428" s="1"/>
      <c r="S1428" s="1"/>
      <c r="T1428" s="1"/>
      <c r="U1428" s="1"/>
      <c r="V1428" s="1"/>
      <c r="W1428" s="1"/>
      <c r="X1428" s="1"/>
    </row>
    <row x14ac:dyDescent="0.25" r="1429" customHeight="1" ht="18.75">
      <c r="A1429" s="1"/>
      <c r="B1429" s="1"/>
      <c r="C1429" s="3" t="s">
        <v>100</v>
      </c>
      <c r="D1429" s="3" t="s">
        <v>1456</v>
      </c>
      <c r="E1429" s="1"/>
      <c r="F1429" s="1"/>
      <c r="G1429" s="1"/>
      <c r="H1429" s="1"/>
      <c r="I1429" s="2"/>
      <c r="J1429" s="1"/>
      <c r="K1429" s="1"/>
      <c r="L1429" s="1"/>
      <c r="M1429" s="1"/>
      <c r="N1429" s="1"/>
      <c r="O1429" s="1"/>
      <c r="P1429" s="1"/>
      <c r="Q1429" s="1"/>
      <c r="R1429" s="1"/>
      <c r="S1429" s="1"/>
      <c r="T1429" s="1"/>
      <c r="U1429" s="1"/>
      <c r="V1429" s="1"/>
      <c r="W1429" s="1"/>
      <c r="X1429" s="1"/>
    </row>
    <row x14ac:dyDescent="0.25" r="1430" customHeight="1" ht="18.75">
      <c r="A1430" s="1"/>
      <c r="B1430" s="1"/>
      <c r="C1430" s="3" t="s">
        <v>100</v>
      </c>
      <c r="D1430" s="3" t="s">
        <v>1457</v>
      </c>
      <c r="E1430" s="1"/>
      <c r="F1430" s="1"/>
      <c r="G1430" s="1"/>
      <c r="H1430" s="1"/>
      <c r="I1430" s="2"/>
      <c r="J1430" s="1"/>
      <c r="K1430" s="1"/>
      <c r="L1430" s="1"/>
      <c r="M1430" s="1"/>
      <c r="N1430" s="1"/>
      <c r="O1430" s="1"/>
      <c r="P1430" s="1"/>
      <c r="Q1430" s="1"/>
      <c r="R1430" s="1"/>
      <c r="S1430" s="1"/>
      <c r="T1430" s="1"/>
      <c r="U1430" s="1"/>
      <c r="V1430" s="1"/>
      <c r="W1430" s="1"/>
      <c r="X1430" s="1"/>
    </row>
    <row x14ac:dyDescent="0.25" r="1431" customHeight="1" ht="18.75">
      <c r="A1431" s="1"/>
      <c r="B1431" s="1"/>
      <c r="C1431" s="3" t="s">
        <v>100</v>
      </c>
      <c r="D1431" s="3" t="s">
        <v>1458</v>
      </c>
      <c r="E1431" s="1"/>
      <c r="F1431" s="1"/>
      <c r="G1431" s="1"/>
      <c r="H1431" s="1"/>
      <c r="I1431" s="2"/>
      <c r="J1431" s="1"/>
      <c r="K1431" s="1"/>
      <c r="L1431" s="1"/>
      <c r="M1431" s="1"/>
      <c r="N1431" s="1"/>
      <c r="O1431" s="1"/>
      <c r="P1431" s="1"/>
      <c r="Q1431" s="1"/>
      <c r="R1431" s="1"/>
      <c r="S1431" s="1"/>
      <c r="T1431" s="1"/>
      <c r="U1431" s="1"/>
      <c r="V1431" s="1"/>
      <c r="W1431" s="1"/>
      <c r="X1431" s="1"/>
    </row>
    <row x14ac:dyDescent="0.25" r="1432" customHeight="1" ht="18.75">
      <c r="A1432" s="1"/>
      <c r="B1432" s="1"/>
      <c r="C1432" s="3" t="s">
        <v>100</v>
      </c>
      <c r="D1432" s="3" t="s">
        <v>1459</v>
      </c>
      <c r="E1432" s="1"/>
      <c r="F1432" s="1"/>
      <c r="G1432" s="1"/>
      <c r="H1432" s="1"/>
      <c r="I1432" s="2"/>
      <c r="J1432" s="1"/>
      <c r="K1432" s="1"/>
      <c r="L1432" s="1"/>
      <c r="M1432" s="1"/>
      <c r="N1432" s="1"/>
      <c r="O1432" s="1"/>
      <c r="P1432" s="1"/>
      <c r="Q1432" s="1"/>
      <c r="R1432" s="1"/>
      <c r="S1432" s="1"/>
      <c r="T1432" s="1"/>
      <c r="U1432" s="1"/>
      <c r="V1432" s="1"/>
      <c r="W1432" s="1"/>
      <c r="X1432" s="1"/>
    </row>
    <row x14ac:dyDescent="0.25" r="1433" customHeight="1" ht="18.75">
      <c r="A1433" s="1"/>
      <c r="B1433" s="1"/>
      <c r="C1433" s="3" t="s">
        <v>100</v>
      </c>
      <c r="D1433" s="3" t="s">
        <v>1460</v>
      </c>
      <c r="E1433" s="1"/>
      <c r="F1433" s="1"/>
      <c r="G1433" s="1"/>
      <c r="H1433" s="1"/>
      <c r="I1433" s="2"/>
      <c r="J1433" s="1"/>
      <c r="K1433" s="1"/>
      <c r="L1433" s="1"/>
      <c r="M1433" s="1"/>
      <c r="N1433" s="1"/>
      <c r="O1433" s="1"/>
      <c r="P1433" s="1"/>
      <c r="Q1433" s="1"/>
      <c r="R1433" s="1"/>
      <c r="S1433" s="1"/>
      <c r="T1433" s="1"/>
      <c r="U1433" s="1"/>
      <c r="V1433" s="1"/>
      <c r="W1433" s="1"/>
      <c r="X1433" s="1"/>
    </row>
    <row x14ac:dyDescent="0.25" r="1434" customHeight="1" ht="18.75">
      <c r="A1434" s="1"/>
      <c r="B1434" s="1"/>
      <c r="C1434" s="3" t="s">
        <v>100</v>
      </c>
      <c r="D1434" s="3" t="s">
        <v>1461</v>
      </c>
      <c r="E1434" s="1"/>
      <c r="F1434" s="1"/>
      <c r="G1434" s="1"/>
      <c r="H1434" s="1"/>
      <c r="I1434" s="2"/>
      <c r="J1434" s="1"/>
      <c r="K1434" s="1"/>
      <c r="L1434" s="1"/>
      <c r="M1434" s="1"/>
      <c r="N1434" s="1"/>
      <c r="O1434" s="1"/>
      <c r="P1434" s="1"/>
      <c r="Q1434" s="1"/>
      <c r="R1434" s="1"/>
      <c r="S1434" s="1"/>
      <c r="T1434" s="1"/>
      <c r="U1434" s="1"/>
      <c r="V1434" s="1"/>
      <c r="W1434" s="1"/>
      <c r="X1434" s="1"/>
    </row>
    <row x14ac:dyDescent="0.25" r="1435" customHeight="1" ht="18.75">
      <c r="A1435" s="1"/>
      <c r="B1435" s="1"/>
      <c r="C1435" s="3" t="s">
        <v>100</v>
      </c>
      <c r="D1435" s="3" t="s">
        <v>1462</v>
      </c>
      <c r="E1435" s="1"/>
      <c r="F1435" s="1"/>
      <c r="G1435" s="1"/>
      <c r="H1435" s="1"/>
      <c r="I1435" s="2"/>
      <c r="J1435" s="1"/>
      <c r="K1435" s="1"/>
      <c r="L1435" s="1"/>
      <c r="M1435" s="1"/>
      <c r="N1435" s="1"/>
      <c r="O1435" s="1"/>
      <c r="P1435" s="1"/>
      <c r="Q1435" s="1"/>
      <c r="R1435" s="1"/>
      <c r="S1435" s="1"/>
      <c r="T1435" s="1"/>
      <c r="U1435" s="1"/>
      <c r="V1435" s="1"/>
      <c r="W1435" s="1"/>
      <c r="X1435" s="1"/>
    </row>
    <row x14ac:dyDescent="0.25" r="1436" customHeight="1" ht="18.75">
      <c r="A1436" s="1"/>
      <c r="B1436" s="1"/>
      <c r="C1436" s="3" t="s">
        <v>100</v>
      </c>
      <c r="D1436" s="3" t="s">
        <v>1463</v>
      </c>
      <c r="E1436" s="1"/>
      <c r="F1436" s="1"/>
      <c r="G1436" s="1"/>
      <c r="H1436" s="1"/>
      <c r="I1436" s="2"/>
      <c r="J1436" s="1"/>
      <c r="K1436" s="1"/>
      <c r="L1436" s="1"/>
      <c r="M1436" s="1"/>
      <c r="N1436" s="1"/>
      <c r="O1436" s="1"/>
      <c r="P1436" s="1"/>
      <c r="Q1436" s="1"/>
      <c r="R1436" s="1"/>
      <c r="S1436" s="1"/>
      <c r="T1436" s="1"/>
      <c r="U1436" s="1"/>
      <c r="V1436" s="1"/>
      <c r="W1436" s="1"/>
      <c r="X1436" s="1"/>
    </row>
    <row x14ac:dyDescent="0.25" r="1437" customHeight="1" ht="18.75">
      <c r="A1437" s="1"/>
      <c r="B1437" s="1"/>
      <c r="C1437" s="3" t="s">
        <v>100</v>
      </c>
      <c r="D1437" s="3" t="s">
        <v>1464</v>
      </c>
      <c r="E1437" s="1"/>
      <c r="F1437" s="1"/>
      <c r="G1437" s="1"/>
      <c r="H1437" s="1"/>
      <c r="I1437" s="2"/>
      <c r="J1437" s="1"/>
      <c r="K1437" s="1"/>
      <c r="L1437" s="1"/>
      <c r="M1437" s="1"/>
      <c r="N1437" s="1"/>
      <c r="O1437" s="1"/>
      <c r="P1437" s="1"/>
      <c r="Q1437" s="1"/>
      <c r="R1437" s="1"/>
      <c r="S1437" s="1"/>
      <c r="T1437" s="1"/>
      <c r="U1437" s="1"/>
      <c r="V1437" s="1"/>
      <c r="W1437" s="1"/>
      <c r="X1437" s="1"/>
    </row>
    <row x14ac:dyDescent="0.25" r="1438" customHeight="1" ht="18.75">
      <c r="A1438" s="1"/>
      <c r="B1438" s="1"/>
      <c r="C1438" s="3" t="s">
        <v>100</v>
      </c>
      <c r="D1438" s="3" t="s">
        <v>1465</v>
      </c>
      <c r="E1438" s="1"/>
      <c r="F1438" s="1"/>
      <c r="G1438" s="1"/>
      <c r="H1438" s="1"/>
      <c r="I1438" s="2"/>
      <c r="J1438" s="1"/>
      <c r="K1438" s="1"/>
      <c r="L1438" s="1"/>
      <c r="M1438" s="1"/>
      <c r="N1438" s="1"/>
      <c r="O1438" s="1"/>
      <c r="P1438" s="1"/>
      <c r="Q1438" s="1"/>
      <c r="R1438" s="1"/>
      <c r="S1438" s="1"/>
      <c r="T1438" s="1"/>
      <c r="U1438" s="1"/>
      <c r="V1438" s="1"/>
      <c r="W1438" s="1"/>
      <c r="X1438" s="1"/>
    </row>
    <row x14ac:dyDescent="0.25" r="1439" customHeight="1" ht="18.75">
      <c r="A1439" s="1"/>
      <c r="B1439" s="1"/>
      <c r="C1439" s="3" t="s">
        <v>100</v>
      </c>
      <c r="D1439" s="3" t="s">
        <v>1466</v>
      </c>
      <c r="E1439" s="1"/>
      <c r="F1439" s="1"/>
      <c r="G1439" s="1"/>
      <c r="H1439" s="1"/>
      <c r="I1439" s="2"/>
      <c r="J1439" s="1"/>
      <c r="K1439" s="1"/>
      <c r="L1439" s="1"/>
      <c r="M1439" s="1"/>
      <c r="N1439" s="1"/>
      <c r="O1439" s="1"/>
      <c r="P1439" s="1"/>
      <c r="Q1439" s="1"/>
      <c r="R1439" s="1"/>
      <c r="S1439" s="1"/>
      <c r="T1439" s="1"/>
      <c r="U1439" s="1"/>
      <c r="V1439" s="1"/>
      <c r="W1439" s="1"/>
      <c r="X1439" s="1"/>
    </row>
    <row x14ac:dyDescent="0.25" r="1440" customHeight="1" ht="18.75">
      <c r="A1440" s="1"/>
      <c r="B1440" s="1"/>
      <c r="C1440" s="3" t="s">
        <v>100</v>
      </c>
      <c r="D1440" s="3" t="s">
        <v>1467</v>
      </c>
      <c r="E1440" s="1"/>
      <c r="F1440" s="1"/>
      <c r="G1440" s="1"/>
      <c r="H1440" s="1"/>
      <c r="I1440" s="2"/>
      <c r="J1440" s="1"/>
      <c r="K1440" s="1"/>
      <c r="L1440" s="1"/>
      <c r="M1440" s="1"/>
      <c r="N1440" s="1"/>
      <c r="O1440" s="1"/>
      <c r="P1440" s="1"/>
      <c r="Q1440" s="1"/>
      <c r="R1440" s="1"/>
      <c r="S1440" s="1"/>
      <c r="T1440" s="1"/>
      <c r="U1440" s="1"/>
      <c r="V1440" s="1"/>
      <c r="W1440" s="1"/>
      <c r="X1440" s="1"/>
    </row>
    <row x14ac:dyDescent="0.25" r="1441" customHeight="1" ht="18.75">
      <c r="A1441" s="1"/>
      <c r="B1441" s="1"/>
      <c r="C1441" s="3" t="s">
        <v>100</v>
      </c>
      <c r="D1441" s="3" t="s">
        <v>1468</v>
      </c>
      <c r="E1441" s="1"/>
      <c r="F1441" s="1"/>
      <c r="G1441" s="1"/>
      <c r="H1441" s="1"/>
      <c r="I1441" s="2"/>
      <c r="J1441" s="1"/>
      <c r="K1441" s="1"/>
      <c r="L1441" s="1"/>
      <c r="M1441" s="1"/>
      <c r="N1441" s="1"/>
      <c r="O1441" s="1"/>
      <c r="P1441" s="1"/>
      <c r="Q1441" s="1"/>
      <c r="R1441" s="1"/>
      <c r="S1441" s="1"/>
      <c r="T1441" s="1"/>
      <c r="U1441" s="1"/>
      <c r="V1441" s="1"/>
      <c r="W1441" s="1"/>
      <c r="X1441" s="1"/>
    </row>
    <row x14ac:dyDescent="0.25" r="1442" customHeight="1" ht="18.75">
      <c r="A1442" s="1"/>
      <c r="B1442" s="1"/>
      <c r="C1442" s="3" t="s">
        <v>100</v>
      </c>
      <c r="D1442" s="3" t="s">
        <v>1469</v>
      </c>
      <c r="E1442" s="1"/>
      <c r="F1442" s="1"/>
      <c r="G1442" s="1"/>
      <c r="H1442" s="1"/>
      <c r="I1442" s="2"/>
      <c r="J1442" s="1"/>
      <c r="K1442" s="1"/>
      <c r="L1442" s="1"/>
      <c r="M1442" s="1"/>
      <c r="N1442" s="1"/>
      <c r="O1442" s="1"/>
      <c r="P1442" s="1"/>
      <c r="Q1442" s="1"/>
      <c r="R1442" s="1"/>
      <c r="S1442" s="1"/>
      <c r="T1442" s="1"/>
      <c r="U1442" s="1"/>
      <c r="V1442" s="1"/>
      <c r="W1442" s="1"/>
      <c r="X1442" s="1"/>
    </row>
    <row x14ac:dyDescent="0.25" r="1443" customHeight="1" ht="18.75">
      <c r="A1443" s="1"/>
      <c r="B1443" s="1"/>
      <c r="C1443" s="3" t="s">
        <v>100</v>
      </c>
      <c r="D1443" s="3" t="s">
        <v>1470</v>
      </c>
      <c r="E1443" s="1"/>
      <c r="F1443" s="1"/>
      <c r="G1443" s="1"/>
      <c r="H1443" s="1"/>
      <c r="I1443" s="2"/>
      <c r="J1443" s="1"/>
      <c r="K1443" s="1"/>
      <c r="L1443" s="1"/>
      <c r="M1443" s="1"/>
      <c r="N1443" s="1"/>
      <c r="O1443" s="1"/>
      <c r="P1443" s="1"/>
      <c r="Q1443" s="1"/>
      <c r="R1443" s="1"/>
      <c r="S1443" s="1"/>
      <c r="T1443" s="1"/>
      <c r="U1443" s="1"/>
      <c r="V1443" s="1"/>
      <c r="W1443" s="1"/>
      <c r="X1443" s="1"/>
    </row>
    <row x14ac:dyDescent="0.25" r="1444" customHeight="1" ht="18.75">
      <c r="A1444" s="1"/>
      <c r="B1444" s="1"/>
      <c r="C1444" s="3" t="s">
        <v>100</v>
      </c>
      <c r="D1444" s="3" t="s">
        <v>1471</v>
      </c>
      <c r="E1444" s="1"/>
      <c r="F1444" s="1"/>
      <c r="G1444" s="1"/>
      <c r="H1444" s="1"/>
      <c r="I1444" s="2"/>
      <c r="J1444" s="1"/>
      <c r="K1444" s="1"/>
      <c r="L1444" s="1"/>
      <c r="M1444" s="1"/>
      <c r="N1444" s="1"/>
      <c r="O1444" s="1"/>
      <c r="P1444" s="1"/>
      <c r="Q1444" s="1"/>
      <c r="R1444" s="1"/>
      <c r="S1444" s="1"/>
      <c r="T1444" s="1"/>
      <c r="U1444" s="1"/>
      <c r="V1444" s="1"/>
      <c r="W1444" s="1"/>
      <c r="X1444" s="1"/>
    </row>
    <row x14ac:dyDescent="0.25" r="1445" customHeight="1" ht="18.75">
      <c r="A1445" s="1"/>
      <c r="B1445" s="1"/>
      <c r="C1445" s="3" t="s">
        <v>100</v>
      </c>
      <c r="D1445" s="3" t="s">
        <v>1472</v>
      </c>
      <c r="E1445" s="1"/>
      <c r="F1445" s="1"/>
      <c r="G1445" s="1"/>
      <c r="H1445" s="1"/>
      <c r="I1445" s="2"/>
      <c r="J1445" s="1"/>
      <c r="K1445" s="1"/>
      <c r="L1445" s="1"/>
      <c r="M1445" s="1"/>
      <c r="N1445" s="1"/>
      <c r="O1445" s="1"/>
      <c r="P1445" s="1"/>
      <c r="Q1445" s="1"/>
      <c r="R1445" s="1"/>
      <c r="S1445" s="1"/>
      <c r="T1445" s="1"/>
      <c r="U1445" s="1"/>
      <c r="V1445" s="1"/>
      <c r="W1445" s="1"/>
      <c r="X1445" s="1"/>
    </row>
    <row x14ac:dyDescent="0.25" r="1446" customHeight="1" ht="18.75">
      <c r="A1446" s="1"/>
      <c r="B1446" s="1"/>
      <c r="C1446" s="3" t="s">
        <v>100</v>
      </c>
      <c r="D1446" s="3" t="s">
        <v>1473</v>
      </c>
      <c r="E1446" s="1"/>
      <c r="F1446" s="1"/>
      <c r="G1446" s="1"/>
      <c r="H1446" s="1"/>
      <c r="I1446" s="2"/>
      <c r="J1446" s="1"/>
      <c r="K1446" s="1"/>
      <c r="L1446" s="1"/>
      <c r="M1446" s="1"/>
      <c r="N1446" s="1"/>
      <c r="O1446" s="1"/>
      <c r="P1446" s="1"/>
      <c r="Q1446" s="1"/>
      <c r="R1446" s="1"/>
      <c r="S1446" s="1"/>
      <c r="T1446" s="1"/>
      <c r="U1446" s="1"/>
      <c r="V1446" s="1"/>
      <c r="W1446" s="1"/>
      <c r="X1446" s="1"/>
    </row>
    <row x14ac:dyDescent="0.25" r="1447" customHeight="1" ht="18.75">
      <c r="A1447" s="1"/>
      <c r="B1447" s="1"/>
      <c r="C1447" s="3" t="s">
        <v>100</v>
      </c>
      <c r="D1447" s="3" t="s">
        <v>1474</v>
      </c>
      <c r="E1447" s="1"/>
      <c r="F1447" s="1"/>
      <c r="G1447" s="1"/>
      <c r="H1447" s="1"/>
      <c r="I1447" s="2"/>
      <c r="J1447" s="1"/>
      <c r="K1447" s="1"/>
      <c r="L1447" s="1"/>
      <c r="M1447" s="1"/>
      <c r="N1447" s="1"/>
      <c r="O1447" s="1"/>
      <c r="P1447" s="1"/>
      <c r="Q1447" s="1"/>
      <c r="R1447" s="1"/>
      <c r="S1447" s="1"/>
      <c r="T1447" s="1"/>
      <c r="U1447" s="1"/>
      <c r="V1447" s="1"/>
      <c r="W1447" s="1"/>
      <c r="X1447" s="1"/>
    </row>
    <row x14ac:dyDescent="0.25" r="1448" customHeight="1" ht="18.75">
      <c r="A1448" s="1"/>
      <c r="B1448" s="1"/>
      <c r="C1448" s="3" t="s">
        <v>100</v>
      </c>
      <c r="D1448" s="3" t="s">
        <v>1475</v>
      </c>
      <c r="E1448" s="1"/>
      <c r="F1448" s="1"/>
      <c r="G1448" s="1"/>
      <c r="H1448" s="1"/>
      <c r="I1448" s="2"/>
      <c r="J1448" s="1"/>
      <c r="K1448" s="1"/>
      <c r="L1448" s="1"/>
      <c r="M1448" s="1"/>
      <c r="N1448" s="1"/>
      <c r="O1448" s="1"/>
      <c r="P1448" s="1"/>
      <c r="Q1448" s="1"/>
      <c r="R1448" s="1"/>
      <c r="S1448" s="1"/>
      <c r="T1448" s="1"/>
      <c r="U1448" s="1"/>
      <c r="V1448" s="1"/>
      <c r="W1448" s="1"/>
      <c r="X1448" s="1"/>
    </row>
    <row x14ac:dyDescent="0.25" r="1449" customHeight="1" ht="18.75">
      <c r="A1449" s="1"/>
      <c r="B1449" s="1"/>
      <c r="C1449" s="3" t="s">
        <v>100</v>
      </c>
      <c r="D1449" s="3" t="s">
        <v>1476</v>
      </c>
      <c r="E1449" s="1"/>
      <c r="F1449" s="1"/>
      <c r="G1449" s="1"/>
      <c r="H1449" s="1"/>
      <c r="I1449" s="2"/>
      <c r="J1449" s="1"/>
      <c r="K1449" s="1"/>
      <c r="L1449" s="1"/>
      <c r="M1449" s="1"/>
      <c r="N1449" s="1"/>
      <c r="O1449" s="1"/>
      <c r="P1449" s="1"/>
      <c r="Q1449" s="1"/>
      <c r="R1449" s="1"/>
      <c r="S1449" s="1"/>
      <c r="T1449" s="1"/>
      <c r="U1449" s="1"/>
      <c r="V1449" s="1"/>
      <c r="W1449" s="1"/>
      <c r="X1449" s="1"/>
    </row>
    <row x14ac:dyDescent="0.25" r="1450" customHeight="1" ht="18.75">
      <c r="A1450" s="1"/>
      <c r="B1450" s="1"/>
      <c r="C1450" s="3" t="s">
        <v>100</v>
      </c>
      <c r="D1450" s="3" t="s">
        <v>1477</v>
      </c>
      <c r="E1450" s="1"/>
      <c r="F1450" s="1"/>
      <c r="G1450" s="1"/>
      <c r="H1450" s="1"/>
      <c r="I1450" s="2"/>
      <c r="J1450" s="1"/>
      <c r="K1450" s="1"/>
      <c r="L1450" s="1"/>
      <c r="M1450" s="1"/>
      <c r="N1450" s="1"/>
      <c r="O1450" s="1"/>
      <c r="P1450" s="1"/>
      <c r="Q1450" s="1"/>
      <c r="R1450" s="1"/>
      <c r="S1450" s="1"/>
      <c r="T1450" s="1"/>
      <c r="U1450" s="1"/>
      <c r="V1450" s="1"/>
      <c r="W1450" s="1"/>
      <c r="X1450" s="1"/>
    </row>
    <row x14ac:dyDescent="0.25" r="1451" customHeight="1" ht="18.75">
      <c r="A1451" s="1"/>
      <c r="B1451" s="1"/>
      <c r="C1451" s="3" t="s">
        <v>100</v>
      </c>
      <c r="D1451" s="3" t="s">
        <v>1478</v>
      </c>
      <c r="E1451" s="1"/>
      <c r="F1451" s="1"/>
      <c r="G1451" s="1"/>
      <c r="H1451" s="1"/>
      <c r="I1451" s="2"/>
      <c r="J1451" s="1"/>
      <c r="K1451" s="1"/>
      <c r="L1451" s="1"/>
      <c r="M1451" s="1"/>
      <c r="N1451" s="1"/>
      <c r="O1451" s="1"/>
      <c r="P1451" s="1"/>
      <c r="Q1451" s="1"/>
      <c r="R1451" s="1"/>
      <c r="S1451" s="1"/>
      <c r="T1451" s="1"/>
      <c r="U1451" s="1"/>
      <c r="V1451" s="1"/>
      <c r="W1451" s="1"/>
      <c r="X1451" s="1"/>
    </row>
    <row x14ac:dyDescent="0.25" r="1452" customHeight="1" ht="18.75">
      <c r="A1452" s="1"/>
      <c r="B1452" s="1"/>
      <c r="C1452" s="3" t="s">
        <v>100</v>
      </c>
      <c r="D1452" s="3" t="s">
        <v>1479</v>
      </c>
      <c r="E1452" s="1"/>
      <c r="F1452" s="1"/>
      <c r="G1452" s="1"/>
      <c r="H1452" s="1"/>
      <c r="I1452" s="2"/>
      <c r="J1452" s="1"/>
      <c r="K1452" s="1"/>
      <c r="L1452" s="1"/>
      <c r="M1452" s="1"/>
      <c r="N1452" s="1"/>
      <c r="O1452" s="1"/>
      <c r="P1452" s="1"/>
      <c r="Q1452" s="1"/>
      <c r="R1452" s="1"/>
      <c r="S1452" s="1"/>
      <c r="T1452" s="1"/>
      <c r="U1452" s="1"/>
      <c r="V1452" s="1"/>
      <c r="W1452" s="1"/>
      <c r="X1452" s="1"/>
    </row>
    <row x14ac:dyDescent="0.25" r="1453" customHeight="1" ht="18.75">
      <c r="A1453" s="1"/>
      <c r="B1453" s="1"/>
      <c r="C1453" s="3" t="s">
        <v>100</v>
      </c>
      <c r="D1453" s="3" t="s">
        <v>1480</v>
      </c>
      <c r="E1453" s="1"/>
      <c r="F1453" s="1"/>
      <c r="G1453" s="1"/>
      <c r="H1453" s="1"/>
      <c r="I1453" s="2"/>
      <c r="J1453" s="1"/>
      <c r="K1453" s="1"/>
      <c r="L1453" s="1"/>
      <c r="M1453" s="1"/>
      <c r="N1453" s="1"/>
      <c r="O1453" s="1"/>
      <c r="P1453" s="1"/>
      <c r="Q1453" s="1"/>
      <c r="R1453" s="1"/>
      <c r="S1453" s="1"/>
      <c r="T1453" s="1"/>
      <c r="U1453" s="1"/>
      <c r="V1453" s="1"/>
      <c r="W1453" s="1"/>
      <c r="X1453" s="1"/>
    </row>
    <row x14ac:dyDescent="0.25" r="1454" customHeight="1" ht="18.75">
      <c r="A1454" s="1"/>
      <c r="B1454" s="1"/>
      <c r="C1454" s="3" t="s">
        <v>100</v>
      </c>
      <c r="D1454" s="3" t="s">
        <v>1481</v>
      </c>
      <c r="E1454" s="1"/>
      <c r="F1454" s="1"/>
      <c r="G1454" s="1"/>
      <c r="H1454" s="1"/>
      <c r="I1454" s="2"/>
      <c r="J1454" s="1"/>
      <c r="K1454" s="1"/>
      <c r="L1454" s="1"/>
      <c r="M1454" s="1"/>
      <c r="N1454" s="1"/>
      <c r="O1454" s="1"/>
      <c r="P1454" s="1"/>
      <c r="Q1454" s="1"/>
      <c r="R1454" s="1"/>
      <c r="S1454" s="1"/>
      <c r="T1454" s="1"/>
      <c r="U1454" s="1"/>
      <c r="V1454" s="1"/>
      <c r="W1454" s="1"/>
      <c r="X1454" s="1"/>
    </row>
    <row x14ac:dyDescent="0.25" r="1455" customHeight="1" ht="18.75">
      <c r="A1455" s="1"/>
      <c r="B1455" s="1"/>
      <c r="C1455" s="3" t="s">
        <v>100</v>
      </c>
      <c r="D1455" s="3" t="s">
        <v>1482</v>
      </c>
      <c r="E1455" s="1"/>
      <c r="F1455" s="1"/>
      <c r="G1455" s="1"/>
      <c r="H1455" s="1"/>
      <c r="I1455" s="2"/>
      <c r="J1455" s="1"/>
      <c r="K1455" s="1"/>
      <c r="L1455" s="1"/>
      <c r="M1455" s="1"/>
      <c r="N1455" s="1"/>
      <c r="O1455" s="1"/>
      <c r="P1455" s="1"/>
      <c r="Q1455" s="1"/>
      <c r="R1455" s="1"/>
      <c r="S1455" s="1"/>
      <c r="T1455" s="1"/>
      <c r="U1455" s="1"/>
      <c r="V1455" s="1"/>
      <c r="W1455" s="1"/>
      <c r="X1455" s="1"/>
    </row>
    <row x14ac:dyDescent="0.25" r="1456" customHeight="1" ht="18.75">
      <c r="A1456" s="1"/>
      <c r="B1456" s="1"/>
      <c r="C1456" s="3" t="s">
        <v>100</v>
      </c>
      <c r="D1456" s="3" t="s">
        <v>1483</v>
      </c>
      <c r="E1456" s="1"/>
      <c r="F1456" s="1"/>
      <c r="G1456" s="1"/>
      <c r="H1456" s="1"/>
      <c r="I1456" s="2"/>
      <c r="J1456" s="1"/>
      <c r="K1456" s="1"/>
      <c r="L1456" s="1"/>
      <c r="M1456" s="1"/>
      <c r="N1456" s="1"/>
      <c r="O1456" s="1"/>
      <c r="P1456" s="1"/>
      <c r="Q1456" s="1"/>
      <c r="R1456" s="1"/>
      <c r="S1456" s="1"/>
      <c r="T1456" s="1"/>
      <c r="U1456" s="1"/>
      <c r="V1456" s="1"/>
      <c r="W1456" s="1"/>
      <c r="X1456" s="1"/>
    </row>
    <row x14ac:dyDescent="0.25" r="1457" customHeight="1" ht="18.75">
      <c r="A1457" s="1"/>
      <c r="B1457" s="1"/>
      <c r="C1457" s="3" t="s">
        <v>100</v>
      </c>
      <c r="D1457" s="3" t="s">
        <v>1484</v>
      </c>
      <c r="E1457" s="1"/>
      <c r="F1457" s="1"/>
      <c r="G1457" s="1"/>
      <c r="H1457" s="1"/>
      <c r="I1457" s="2"/>
      <c r="J1457" s="1"/>
      <c r="K1457" s="1"/>
      <c r="L1457" s="1"/>
      <c r="M1457" s="1"/>
      <c r="N1457" s="1"/>
      <c r="O1457" s="1"/>
      <c r="P1457" s="1"/>
      <c r="Q1457" s="1"/>
      <c r="R1457" s="1"/>
      <c r="S1457" s="1"/>
      <c r="T1457" s="1"/>
      <c r="U1457" s="1"/>
      <c r="V1457" s="1"/>
      <c r="W1457" s="1"/>
      <c r="X1457" s="1"/>
    </row>
    <row x14ac:dyDescent="0.25" r="1458" customHeight="1" ht="18.75">
      <c r="A1458" s="1"/>
      <c r="B1458" s="1"/>
      <c r="C1458" s="3" t="s">
        <v>100</v>
      </c>
      <c r="D1458" s="3" t="s">
        <v>1485</v>
      </c>
      <c r="E1458" s="1"/>
      <c r="F1458" s="1"/>
      <c r="G1458" s="1"/>
      <c r="H1458" s="1"/>
      <c r="I1458" s="2"/>
      <c r="J1458" s="1"/>
      <c r="K1458" s="1"/>
      <c r="L1458" s="1"/>
      <c r="M1458" s="1"/>
      <c r="N1458" s="1"/>
      <c r="O1458" s="1"/>
      <c r="P1458" s="1"/>
      <c r="Q1458" s="1"/>
      <c r="R1458" s="1"/>
      <c r="S1458" s="1"/>
      <c r="T1458" s="1"/>
      <c r="U1458" s="1"/>
      <c r="V1458" s="1"/>
      <c r="W1458" s="1"/>
      <c r="X1458" s="1"/>
    </row>
    <row x14ac:dyDescent="0.25" r="1459" customHeight="1" ht="18.75">
      <c r="A1459" s="1"/>
      <c r="B1459" s="1"/>
      <c r="C1459" s="3" t="s">
        <v>100</v>
      </c>
      <c r="D1459" s="3" t="s">
        <v>1486</v>
      </c>
      <c r="E1459" s="1"/>
      <c r="F1459" s="1"/>
      <c r="G1459" s="1"/>
      <c r="H1459" s="1"/>
      <c r="I1459" s="2"/>
      <c r="J1459" s="1"/>
      <c r="K1459" s="1"/>
      <c r="L1459" s="1"/>
      <c r="M1459" s="1"/>
      <c r="N1459" s="1"/>
      <c r="O1459" s="1"/>
      <c r="P1459" s="1"/>
      <c r="Q1459" s="1"/>
      <c r="R1459" s="1"/>
      <c r="S1459" s="1"/>
      <c r="T1459" s="1"/>
      <c r="U1459" s="1"/>
      <c r="V1459" s="1"/>
      <c r="W1459" s="1"/>
      <c r="X1459" s="1"/>
    </row>
    <row x14ac:dyDescent="0.25" r="1460" customHeight="1" ht="18.75">
      <c r="A1460" s="1"/>
      <c r="B1460" s="1"/>
      <c r="C1460" s="3" t="s">
        <v>100</v>
      </c>
      <c r="D1460" s="3" t="s">
        <v>1487</v>
      </c>
      <c r="E1460" s="1"/>
      <c r="F1460" s="1"/>
      <c r="G1460" s="1"/>
      <c r="H1460" s="1"/>
      <c r="I1460" s="2"/>
      <c r="J1460" s="1"/>
      <c r="K1460" s="1"/>
      <c r="L1460" s="1"/>
      <c r="M1460" s="1"/>
      <c r="N1460" s="1"/>
      <c r="O1460" s="1"/>
      <c r="P1460" s="1"/>
      <c r="Q1460" s="1"/>
      <c r="R1460" s="1"/>
      <c r="S1460" s="1"/>
      <c r="T1460" s="1"/>
      <c r="U1460" s="1"/>
      <c r="V1460" s="1"/>
      <c r="W1460" s="1"/>
      <c r="X1460" s="1"/>
    </row>
    <row x14ac:dyDescent="0.25" r="1461" customHeight="1" ht="18.75">
      <c r="A1461" s="1"/>
      <c r="B1461" s="1"/>
      <c r="C1461" s="3" t="s">
        <v>100</v>
      </c>
      <c r="D1461" s="3" t="s">
        <v>1488</v>
      </c>
      <c r="E1461" s="1"/>
      <c r="F1461" s="1"/>
      <c r="G1461" s="1"/>
      <c r="H1461" s="1"/>
      <c r="I1461" s="2"/>
      <c r="J1461" s="1"/>
      <c r="K1461" s="1"/>
      <c r="L1461" s="1"/>
      <c r="M1461" s="1"/>
      <c r="N1461" s="1"/>
      <c r="O1461" s="1"/>
      <c r="P1461" s="1"/>
      <c r="Q1461" s="1"/>
      <c r="R1461" s="1"/>
      <c r="S1461" s="1"/>
      <c r="T1461" s="1"/>
      <c r="U1461" s="1"/>
      <c r="V1461" s="1"/>
      <c r="W1461" s="1"/>
      <c r="X1461" s="1"/>
    </row>
    <row x14ac:dyDescent="0.25" r="1462" customHeight="1" ht="18.75">
      <c r="A1462" s="1"/>
      <c r="B1462" s="1"/>
      <c r="C1462" s="3" t="s">
        <v>100</v>
      </c>
      <c r="D1462" s="3" t="s">
        <v>1489</v>
      </c>
      <c r="E1462" s="1"/>
      <c r="F1462" s="1"/>
      <c r="G1462" s="1"/>
      <c r="H1462" s="1"/>
      <c r="I1462" s="2"/>
      <c r="J1462" s="1"/>
      <c r="K1462" s="1"/>
      <c r="L1462" s="1"/>
      <c r="M1462" s="1"/>
      <c r="N1462" s="1"/>
      <c r="O1462" s="1"/>
      <c r="P1462" s="1"/>
      <c r="Q1462" s="1"/>
      <c r="R1462" s="1"/>
      <c r="S1462" s="1"/>
      <c r="T1462" s="1"/>
      <c r="U1462" s="1"/>
      <c r="V1462" s="1"/>
      <c r="W1462" s="1"/>
      <c r="X1462" s="1"/>
    </row>
    <row x14ac:dyDescent="0.25" r="1463" customHeight="1" ht="18.75">
      <c r="A1463" s="1"/>
      <c r="B1463" s="1"/>
      <c r="C1463" s="3" t="s">
        <v>100</v>
      </c>
      <c r="D1463" s="3" t="s">
        <v>1490</v>
      </c>
      <c r="E1463" s="1"/>
      <c r="F1463" s="1"/>
      <c r="G1463" s="1"/>
      <c r="H1463" s="1"/>
      <c r="I1463" s="2"/>
      <c r="J1463" s="1"/>
      <c r="K1463" s="1"/>
      <c r="L1463" s="1"/>
      <c r="M1463" s="1"/>
      <c r="N1463" s="1"/>
      <c r="O1463" s="1"/>
      <c r="P1463" s="1"/>
      <c r="Q1463" s="1"/>
      <c r="R1463" s="1"/>
      <c r="S1463" s="1"/>
      <c r="T1463" s="1"/>
      <c r="U1463" s="1"/>
      <c r="V1463" s="1"/>
      <c r="W1463" s="1"/>
      <c r="X1463" s="1"/>
    </row>
    <row x14ac:dyDescent="0.25" r="1464" customHeight="1" ht="18.75">
      <c r="A1464" s="1"/>
      <c r="B1464" s="1"/>
      <c r="C1464" s="3" t="s">
        <v>100</v>
      </c>
      <c r="D1464" s="3" t="s">
        <v>1491</v>
      </c>
      <c r="E1464" s="1"/>
      <c r="F1464" s="1"/>
      <c r="G1464" s="1"/>
      <c r="H1464" s="1"/>
      <c r="I1464" s="2"/>
      <c r="J1464" s="1"/>
      <c r="K1464" s="1"/>
      <c r="L1464" s="1"/>
      <c r="M1464" s="1"/>
      <c r="N1464" s="1"/>
      <c r="O1464" s="1"/>
      <c r="P1464" s="1"/>
      <c r="Q1464" s="1"/>
      <c r="R1464" s="1"/>
      <c r="S1464" s="1"/>
      <c r="T1464" s="1"/>
      <c r="U1464" s="1"/>
      <c r="V1464" s="1"/>
      <c r="W1464" s="1"/>
      <c r="X1464" s="1"/>
    </row>
    <row x14ac:dyDescent="0.25" r="1465" customHeight="1" ht="18.75">
      <c r="A1465" s="1"/>
      <c r="B1465" s="1"/>
      <c r="C1465" s="3" t="s">
        <v>100</v>
      </c>
      <c r="D1465" s="3" t="s">
        <v>1492</v>
      </c>
      <c r="E1465" s="1"/>
      <c r="F1465" s="1"/>
      <c r="G1465" s="1"/>
      <c r="H1465" s="1"/>
      <c r="I1465" s="2"/>
      <c r="J1465" s="1"/>
      <c r="K1465" s="1"/>
      <c r="L1465" s="1"/>
      <c r="M1465" s="1"/>
      <c r="N1465" s="1"/>
      <c r="O1465" s="1"/>
      <c r="P1465" s="1"/>
      <c r="Q1465" s="1"/>
      <c r="R1465" s="1"/>
      <c r="S1465" s="1"/>
      <c r="T1465" s="1"/>
      <c r="U1465" s="1"/>
      <c r="V1465" s="1"/>
      <c r="W1465" s="1"/>
      <c r="X1465" s="1"/>
    </row>
    <row x14ac:dyDescent="0.25" r="1466" customHeight="1" ht="18.75">
      <c r="A1466" s="1"/>
      <c r="B1466" s="1"/>
      <c r="C1466" s="3" t="s">
        <v>100</v>
      </c>
      <c r="D1466" s="3" t="s">
        <v>1493</v>
      </c>
      <c r="E1466" s="1"/>
      <c r="F1466" s="1"/>
      <c r="G1466" s="1"/>
      <c r="H1466" s="1"/>
      <c r="I1466" s="2"/>
      <c r="J1466" s="1"/>
      <c r="K1466" s="1"/>
      <c r="L1466" s="1"/>
      <c r="M1466" s="1"/>
      <c r="N1466" s="1"/>
      <c r="O1466" s="1"/>
      <c r="P1466" s="1"/>
      <c r="Q1466" s="1"/>
      <c r="R1466" s="1"/>
      <c r="S1466" s="1"/>
      <c r="T1466" s="1"/>
      <c r="U1466" s="1"/>
      <c r="V1466" s="1"/>
      <c r="W1466" s="1"/>
      <c r="X1466" s="1"/>
    </row>
    <row x14ac:dyDescent="0.25" r="1467" customHeight="1" ht="18.75">
      <c r="A1467" s="1"/>
      <c r="B1467" s="1"/>
      <c r="C1467" s="3" t="s">
        <v>100</v>
      </c>
      <c r="D1467" s="3" t="s">
        <v>1494</v>
      </c>
      <c r="E1467" s="1"/>
      <c r="F1467" s="1"/>
      <c r="G1467" s="1"/>
      <c r="H1467" s="1"/>
      <c r="I1467" s="2"/>
      <c r="J1467" s="1"/>
      <c r="K1467" s="1"/>
      <c r="L1467" s="1"/>
      <c r="M1467" s="1"/>
      <c r="N1467" s="1"/>
      <c r="O1467" s="1"/>
      <c r="P1467" s="1"/>
      <c r="Q1467" s="1"/>
      <c r="R1467" s="1"/>
      <c r="S1467" s="1"/>
      <c r="T1467" s="1"/>
      <c r="U1467" s="1"/>
      <c r="V1467" s="1"/>
      <c r="W1467" s="1"/>
      <c r="X1467" s="1"/>
    </row>
    <row x14ac:dyDescent="0.25" r="1468" customHeight="1" ht="18.75">
      <c r="A1468" s="1"/>
      <c r="B1468" s="1"/>
      <c r="C1468" s="3" t="s">
        <v>100</v>
      </c>
      <c r="D1468" s="3" t="s">
        <v>1495</v>
      </c>
      <c r="E1468" s="1"/>
      <c r="F1468" s="1"/>
      <c r="G1468" s="1"/>
      <c r="H1468" s="1"/>
      <c r="I1468" s="2"/>
      <c r="J1468" s="1"/>
      <c r="K1468" s="1"/>
      <c r="L1468" s="1"/>
      <c r="M1468" s="1"/>
      <c r="N1468" s="1"/>
      <c r="O1468" s="1"/>
      <c r="P1468" s="1"/>
      <c r="Q1468" s="1"/>
      <c r="R1468" s="1"/>
      <c r="S1468" s="1"/>
      <c r="T1468" s="1"/>
      <c r="U1468" s="1"/>
      <c r="V1468" s="1"/>
      <c r="W1468" s="1"/>
      <c r="X1468" s="1"/>
    </row>
    <row x14ac:dyDescent="0.25" r="1469" customHeight="1" ht="18.75">
      <c r="A1469" s="1"/>
      <c r="B1469" s="1"/>
      <c r="C1469" s="3" t="s">
        <v>100</v>
      </c>
      <c r="D1469" s="3" t="s">
        <v>1496</v>
      </c>
      <c r="E1469" s="1"/>
      <c r="F1469" s="1"/>
      <c r="G1469" s="1"/>
      <c r="H1469" s="1"/>
      <c r="I1469" s="2"/>
      <c r="J1469" s="1"/>
      <c r="K1469" s="1"/>
      <c r="L1469" s="1"/>
      <c r="M1469" s="1"/>
      <c r="N1469" s="1"/>
      <c r="O1469" s="1"/>
      <c r="P1469" s="1"/>
      <c r="Q1469" s="1"/>
      <c r="R1469" s="1"/>
      <c r="S1469" s="1"/>
      <c r="T1469" s="1"/>
      <c r="U1469" s="1"/>
      <c r="V1469" s="1"/>
      <c r="W1469" s="1"/>
      <c r="X1469" s="1"/>
    </row>
    <row x14ac:dyDescent="0.25" r="1470" customHeight="1" ht="18.75">
      <c r="A1470" s="1"/>
      <c r="B1470" s="1"/>
      <c r="C1470" s="3" t="s">
        <v>100</v>
      </c>
      <c r="D1470" s="3" t="s">
        <v>1497</v>
      </c>
      <c r="E1470" s="1"/>
      <c r="F1470" s="1"/>
      <c r="G1470" s="1"/>
      <c r="H1470" s="1"/>
      <c r="I1470" s="2"/>
      <c r="J1470" s="1"/>
      <c r="K1470" s="1"/>
      <c r="L1470" s="1"/>
      <c r="M1470" s="1"/>
      <c r="N1470" s="1"/>
      <c r="O1470" s="1"/>
      <c r="P1470" s="1"/>
      <c r="Q1470" s="1"/>
      <c r="R1470" s="1"/>
      <c r="S1470" s="1"/>
      <c r="T1470" s="1"/>
      <c r="U1470" s="1"/>
      <c r="V1470" s="1"/>
      <c r="W1470" s="1"/>
      <c r="X1470" s="1"/>
    </row>
    <row x14ac:dyDescent="0.25" r="1471" customHeight="1" ht="18.75">
      <c r="A1471" s="1"/>
      <c r="B1471" s="1"/>
      <c r="C1471" s="3" t="s">
        <v>100</v>
      </c>
      <c r="D1471" s="3" t="s">
        <v>1498</v>
      </c>
      <c r="E1471" s="1"/>
      <c r="F1471" s="1"/>
      <c r="G1471" s="1"/>
      <c r="H1471" s="1"/>
      <c r="I1471" s="2"/>
      <c r="J1471" s="1"/>
      <c r="K1471" s="1"/>
      <c r="L1471" s="1"/>
      <c r="M1471" s="1"/>
      <c r="N1471" s="1"/>
      <c r="O1471" s="1"/>
      <c r="P1471" s="1"/>
      <c r="Q1471" s="1"/>
      <c r="R1471" s="1"/>
      <c r="S1471" s="1"/>
      <c r="T1471" s="1"/>
      <c r="U1471" s="1"/>
      <c r="V1471" s="1"/>
      <c r="W1471" s="1"/>
      <c r="X1471" s="1"/>
    </row>
    <row x14ac:dyDescent="0.25" r="1472" customHeight="1" ht="18.75">
      <c r="A1472" s="1"/>
      <c r="B1472" s="1"/>
      <c r="C1472" s="3" t="s">
        <v>100</v>
      </c>
      <c r="D1472" s="3" t="s">
        <v>1499</v>
      </c>
      <c r="E1472" s="1"/>
      <c r="F1472" s="1"/>
      <c r="G1472" s="1"/>
      <c r="H1472" s="1"/>
      <c r="I1472" s="2"/>
      <c r="J1472" s="1"/>
      <c r="K1472" s="1"/>
      <c r="L1472" s="1"/>
      <c r="M1472" s="1"/>
      <c r="N1472" s="1"/>
      <c r="O1472" s="1"/>
      <c r="P1472" s="1"/>
      <c r="Q1472" s="1"/>
      <c r="R1472" s="1"/>
      <c r="S1472" s="1"/>
      <c r="T1472" s="1"/>
      <c r="U1472" s="1"/>
      <c r="V1472" s="1"/>
      <c r="W1472" s="1"/>
      <c r="X1472" s="1"/>
    </row>
    <row x14ac:dyDescent="0.25" r="1473" customHeight="1" ht="18.75">
      <c r="A1473" s="1"/>
      <c r="B1473" s="1"/>
      <c r="C1473" s="3" t="s">
        <v>100</v>
      </c>
      <c r="D1473" s="3" t="s">
        <v>1500</v>
      </c>
      <c r="E1473" s="1"/>
      <c r="F1473" s="1"/>
      <c r="G1473" s="1"/>
      <c r="H1473" s="1"/>
      <c r="I1473" s="2"/>
      <c r="J1473" s="1"/>
      <c r="K1473" s="1"/>
      <c r="L1473" s="1"/>
      <c r="M1473" s="1"/>
      <c r="N1473" s="1"/>
      <c r="O1473" s="1"/>
      <c r="P1473" s="1"/>
      <c r="Q1473" s="1"/>
      <c r="R1473" s="1"/>
      <c r="S1473" s="1"/>
      <c r="T1473" s="1"/>
      <c r="U1473" s="1"/>
      <c r="V1473" s="1"/>
      <c r="W1473" s="1"/>
      <c r="X1473" s="1"/>
    </row>
    <row x14ac:dyDescent="0.25" r="1474" customHeight="1" ht="18.75">
      <c r="A1474" s="1"/>
      <c r="B1474" s="1"/>
      <c r="C1474" s="3" t="s">
        <v>100</v>
      </c>
      <c r="D1474" s="3" t="s">
        <v>1501</v>
      </c>
      <c r="E1474" s="1"/>
      <c r="F1474" s="1"/>
      <c r="G1474" s="1"/>
      <c r="H1474" s="1"/>
      <c r="I1474" s="2"/>
      <c r="J1474" s="1"/>
      <c r="K1474" s="1"/>
      <c r="L1474" s="1"/>
      <c r="M1474" s="1"/>
      <c r="N1474" s="1"/>
      <c r="O1474" s="1"/>
      <c r="P1474" s="1"/>
      <c r="Q1474" s="1"/>
      <c r="R1474" s="1"/>
      <c r="S1474" s="1"/>
      <c r="T1474" s="1"/>
      <c r="U1474" s="1"/>
      <c r="V1474" s="1"/>
      <c r="W1474" s="1"/>
      <c r="X1474" s="1"/>
    </row>
    <row x14ac:dyDescent="0.25" r="1475" customHeight="1" ht="18.75">
      <c r="A1475" s="1"/>
      <c r="B1475" s="1"/>
      <c r="C1475" s="3" t="s">
        <v>100</v>
      </c>
      <c r="D1475" s="3" t="s">
        <v>1502</v>
      </c>
      <c r="E1475" s="1"/>
      <c r="F1475" s="1"/>
      <c r="G1475" s="1"/>
      <c r="H1475" s="1"/>
      <c r="I1475" s="2"/>
      <c r="J1475" s="1"/>
      <c r="K1475" s="1"/>
      <c r="L1475" s="1"/>
      <c r="M1475" s="1"/>
      <c r="N1475" s="1"/>
      <c r="O1475" s="1"/>
      <c r="P1475" s="1"/>
      <c r="Q1475" s="1"/>
      <c r="R1475" s="1"/>
      <c r="S1475" s="1"/>
      <c r="T1475" s="1"/>
      <c r="U1475" s="1"/>
      <c r="V1475" s="1"/>
      <c r="W1475" s="1"/>
      <c r="X1475" s="1"/>
    </row>
    <row x14ac:dyDescent="0.25" r="1476" customHeight="1" ht="18.75">
      <c r="A1476" s="1"/>
      <c r="B1476" s="1"/>
      <c r="C1476" s="3" t="s">
        <v>100</v>
      </c>
      <c r="D1476" s="3" t="s">
        <v>1503</v>
      </c>
      <c r="E1476" s="1"/>
      <c r="F1476" s="1"/>
      <c r="G1476" s="1"/>
      <c r="H1476" s="1"/>
      <c r="I1476" s="2"/>
      <c r="J1476" s="1"/>
      <c r="K1476" s="1"/>
      <c r="L1476" s="1"/>
      <c r="M1476" s="1"/>
      <c r="N1476" s="1"/>
      <c r="O1476" s="1"/>
      <c r="P1476" s="1"/>
      <c r="Q1476" s="1"/>
      <c r="R1476" s="1"/>
      <c r="S1476" s="1"/>
      <c r="T1476" s="1"/>
      <c r="U1476" s="1"/>
      <c r="V1476" s="1"/>
      <c r="W1476" s="1"/>
      <c r="X1476" s="1"/>
    </row>
    <row x14ac:dyDescent="0.25" r="1477" customHeight="1" ht="18.75">
      <c r="A1477" s="1"/>
      <c r="B1477" s="1"/>
      <c r="C1477" s="3" t="s">
        <v>100</v>
      </c>
      <c r="D1477" s="3" t="s">
        <v>1504</v>
      </c>
      <c r="E1477" s="1"/>
      <c r="F1477" s="1"/>
      <c r="G1477" s="1"/>
      <c r="H1477" s="1"/>
      <c r="I1477" s="2"/>
      <c r="J1477" s="1"/>
      <c r="K1477" s="1"/>
      <c r="L1477" s="1"/>
      <c r="M1477" s="1"/>
      <c r="N1477" s="1"/>
      <c r="O1477" s="1"/>
      <c r="P1477" s="1"/>
      <c r="Q1477" s="1"/>
      <c r="R1477" s="1"/>
      <c r="S1477" s="1"/>
      <c r="T1477" s="1"/>
      <c r="U1477" s="1"/>
      <c r="V1477" s="1"/>
      <c r="W1477" s="1"/>
      <c r="X1477" s="1"/>
    </row>
    <row x14ac:dyDescent="0.25" r="1478" customHeight="1" ht="18.75">
      <c r="A1478" s="1"/>
      <c r="B1478" s="1"/>
      <c r="C1478" s="3" t="s">
        <v>100</v>
      </c>
      <c r="D1478" s="3" t="s">
        <v>1505</v>
      </c>
      <c r="E1478" s="1"/>
      <c r="F1478" s="1"/>
      <c r="G1478" s="1"/>
      <c r="H1478" s="1"/>
      <c r="I1478" s="2"/>
      <c r="J1478" s="1"/>
      <c r="K1478" s="1"/>
      <c r="L1478" s="1"/>
      <c r="M1478" s="1"/>
      <c r="N1478" s="1"/>
      <c r="O1478" s="1"/>
      <c r="P1478" s="1"/>
      <c r="Q1478" s="1"/>
      <c r="R1478" s="1"/>
      <c r="S1478" s="1"/>
      <c r="T1478" s="1"/>
      <c r="U1478" s="1"/>
      <c r="V1478" s="1"/>
      <c r="W1478" s="1"/>
      <c r="X1478" s="1"/>
    </row>
    <row x14ac:dyDescent="0.25" r="1479" customHeight="1" ht="18.75">
      <c r="A1479" s="1"/>
      <c r="B1479" s="1"/>
      <c r="C1479" s="3" t="s">
        <v>100</v>
      </c>
      <c r="D1479" s="3" t="s">
        <v>1506</v>
      </c>
      <c r="E1479" s="1"/>
      <c r="F1479" s="1"/>
      <c r="G1479" s="1"/>
      <c r="H1479" s="1"/>
      <c r="I1479" s="2"/>
      <c r="J1479" s="1"/>
      <c r="K1479" s="1"/>
      <c r="L1479" s="1"/>
      <c r="M1479" s="1"/>
      <c r="N1479" s="1"/>
      <c r="O1479" s="1"/>
      <c r="P1479" s="1"/>
      <c r="Q1479" s="1"/>
      <c r="R1479" s="1"/>
      <c r="S1479" s="1"/>
      <c r="T1479" s="1"/>
      <c r="U1479" s="1"/>
      <c r="V1479" s="1"/>
      <c r="W1479" s="1"/>
      <c r="X1479" s="1"/>
    </row>
    <row x14ac:dyDescent="0.25" r="1480" customHeight="1" ht="18.75">
      <c r="A1480" s="1"/>
      <c r="B1480" s="1"/>
      <c r="C1480" s="3" t="s">
        <v>100</v>
      </c>
      <c r="D1480" s="3" t="s">
        <v>1507</v>
      </c>
      <c r="E1480" s="1"/>
      <c r="F1480" s="1"/>
      <c r="G1480" s="1"/>
      <c r="H1480" s="1"/>
      <c r="I1480" s="2"/>
      <c r="J1480" s="1"/>
      <c r="K1480" s="1"/>
      <c r="L1480" s="1"/>
      <c r="M1480" s="1"/>
      <c r="N1480" s="1"/>
      <c r="O1480" s="1"/>
      <c r="P1480" s="1"/>
      <c r="Q1480" s="1"/>
      <c r="R1480" s="1"/>
      <c r="S1480" s="1"/>
      <c r="T1480" s="1"/>
      <c r="U1480" s="1"/>
      <c r="V1480" s="1"/>
      <c r="W1480" s="1"/>
      <c r="X1480" s="1"/>
    </row>
    <row x14ac:dyDescent="0.25" r="1481" customHeight="1" ht="18.75">
      <c r="A1481" s="1"/>
      <c r="B1481" s="1"/>
      <c r="C1481" s="3" t="s">
        <v>100</v>
      </c>
      <c r="D1481" s="3" t="s">
        <v>1508</v>
      </c>
      <c r="E1481" s="1"/>
      <c r="F1481" s="1"/>
      <c r="G1481" s="1"/>
      <c r="H1481" s="1"/>
      <c r="I1481" s="2"/>
      <c r="J1481" s="1"/>
      <c r="K1481" s="1"/>
      <c r="L1481" s="1"/>
      <c r="M1481" s="1"/>
      <c r="N1481" s="1"/>
      <c r="O1481" s="1"/>
      <c r="P1481" s="1"/>
      <c r="Q1481" s="1"/>
      <c r="R1481" s="1"/>
      <c r="S1481" s="1"/>
      <c r="T1481" s="1"/>
      <c r="U1481" s="1"/>
      <c r="V1481" s="1"/>
      <c r="W1481" s="1"/>
      <c r="X1481" s="1"/>
    </row>
    <row x14ac:dyDescent="0.25" r="1482" customHeight="1" ht="18.75">
      <c r="A1482" s="1"/>
      <c r="B1482" s="1"/>
      <c r="C1482" s="3" t="s">
        <v>100</v>
      </c>
      <c r="D1482" s="3" t="s">
        <v>1509</v>
      </c>
      <c r="E1482" s="1"/>
      <c r="F1482" s="1"/>
      <c r="G1482" s="1"/>
      <c r="H1482" s="1"/>
      <c r="I1482" s="2"/>
      <c r="J1482" s="1"/>
      <c r="K1482" s="1"/>
      <c r="L1482" s="1"/>
      <c r="M1482" s="1"/>
      <c r="N1482" s="1"/>
      <c r="O1482" s="1"/>
      <c r="P1482" s="1"/>
      <c r="Q1482" s="1"/>
      <c r="R1482" s="1"/>
      <c r="S1482" s="1"/>
      <c r="T1482" s="1"/>
      <c r="U1482" s="1"/>
      <c r="V1482" s="1"/>
      <c r="W1482" s="1"/>
      <c r="X1482" s="1"/>
    </row>
    <row x14ac:dyDescent="0.25" r="1483" customHeight="1" ht="18.75">
      <c r="A1483" s="1"/>
      <c r="B1483" s="1"/>
      <c r="C1483" s="3" t="s">
        <v>100</v>
      </c>
      <c r="D1483" s="3" t="s">
        <v>1510</v>
      </c>
      <c r="E1483" s="1"/>
      <c r="F1483" s="1"/>
      <c r="G1483" s="1"/>
      <c r="H1483" s="1"/>
      <c r="I1483" s="2"/>
      <c r="J1483" s="1"/>
      <c r="K1483" s="1"/>
      <c r="L1483" s="1"/>
      <c r="M1483" s="1"/>
      <c r="N1483" s="1"/>
      <c r="O1483" s="1"/>
      <c r="P1483" s="1"/>
      <c r="Q1483" s="1"/>
      <c r="R1483" s="1"/>
      <c r="S1483" s="1"/>
      <c r="T1483" s="1"/>
      <c r="U1483" s="1"/>
      <c r="V1483" s="1"/>
      <c r="W1483" s="1"/>
      <c r="X1483" s="1"/>
    </row>
    <row x14ac:dyDescent="0.25" r="1484" customHeight="1" ht="18.75">
      <c r="A1484" s="1"/>
      <c r="B1484" s="1"/>
      <c r="C1484" s="3" t="s">
        <v>100</v>
      </c>
      <c r="D1484" s="3" t="s">
        <v>1511</v>
      </c>
      <c r="E1484" s="1"/>
      <c r="F1484" s="1"/>
      <c r="G1484" s="1"/>
      <c r="H1484" s="1"/>
      <c r="I1484" s="2"/>
      <c r="J1484" s="1"/>
      <c r="K1484" s="1"/>
      <c r="L1484" s="1"/>
      <c r="M1484" s="1"/>
      <c r="N1484" s="1"/>
      <c r="O1484" s="1"/>
      <c r="P1484" s="1"/>
      <c r="Q1484" s="1"/>
      <c r="R1484" s="1"/>
      <c r="S1484" s="1"/>
      <c r="T1484" s="1"/>
      <c r="U1484" s="1"/>
      <c r="V1484" s="1"/>
      <c r="W1484" s="1"/>
      <c r="X1484" s="1"/>
    </row>
    <row x14ac:dyDescent="0.25" r="1485" customHeight="1" ht="18.75">
      <c r="A1485" s="1"/>
      <c r="B1485" s="1"/>
      <c r="C1485" s="3" t="s">
        <v>100</v>
      </c>
      <c r="D1485" s="3" t="s">
        <v>1512</v>
      </c>
      <c r="E1485" s="1"/>
      <c r="F1485" s="1"/>
      <c r="G1485" s="1"/>
      <c r="H1485" s="1"/>
      <c r="I1485" s="2"/>
      <c r="J1485" s="1"/>
      <c r="K1485" s="1"/>
      <c r="L1485" s="1"/>
      <c r="M1485" s="1"/>
      <c r="N1485" s="1"/>
      <c r="O1485" s="1"/>
      <c r="P1485" s="1"/>
      <c r="Q1485" s="1"/>
      <c r="R1485" s="1"/>
      <c r="S1485" s="1"/>
      <c r="T1485" s="1"/>
      <c r="U1485" s="1"/>
      <c r="V1485" s="1"/>
      <c r="W1485" s="1"/>
      <c r="X1485" s="1"/>
    </row>
    <row x14ac:dyDescent="0.25" r="1486" customHeight="1" ht="18.75">
      <c r="A1486" s="1"/>
      <c r="B1486" s="1"/>
      <c r="C1486" s="3" t="s">
        <v>100</v>
      </c>
      <c r="D1486" s="3" t="s">
        <v>1513</v>
      </c>
      <c r="E1486" s="1"/>
      <c r="F1486" s="1"/>
      <c r="G1486" s="1"/>
      <c r="H1486" s="1"/>
      <c r="I1486" s="2"/>
      <c r="J1486" s="1"/>
      <c r="K1486" s="1"/>
      <c r="L1486" s="1"/>
      <c r="M1486" s="1"/>
      <c r="N1486" s="1"/>
      <c r="O1486" s="1"/>
      <c r="P1486" s="1"/>
      <c r="Q1486" s="1"/>
      <c r="R1486" s="1"/>
      <c r="S1486" s="1"/>
      <c r="T1486" s="1"/>
      <c r="U1486" s="1"/>
      <c r="V1486" s="1"/>
      <c r="W1486" s="1"/>
      <c r="X1486" s="1"/>
    </row>
    <row x14ac:dyDescent="0.25" r="1487" customHeight="1" ht="18.75">
      <c r="A1487" s="1"/>
      <c r="B1487" s="1"/>
      <c r="C1487" s="3" t="s">
        <v>100</v>
      </c>
      <c r="D1487" s="3" t="s">
        <v>1514</v>
      </c>
      <c r="E1487" s="1"/>
      <c r="F1487" s="1"/>
      <c r="G1487" s="1"/>
      <c r="H1487" s="1"/>
      <c r="I1487" s="2"/>
      <c r="J1487" s="1"/>
      <c r="K1487" s="1"/>
      <c r="L1487" s="1"/>
      <c r="M1487" s="1"/>
      <c r="N1487" s="1"/>
      <c r="O1487" s="1"/>
      <c r="P1487" s="1"/>
      <c r="Q1487" s="1"/>
      <c r="R1487" s="1"/>
      <c r="S1487" s="1"/>
      <c r="T1487" s="1"/>
      <c r="U1487" s="1"/>
      <c r="V1487" s="1"/>
      <c r="W1487" s="1"/>
      <c r="X1487" s="1"/>
    </row>
    <row x14ac:dyDescent="0.25" r="1488" customHeight="1" ht="18.75">
      <c r="A1488" s="1"/>
      <c r="B1488" s="1"/>
      <c r="C1488" s="3" t="s">
        <v>100</v>
      </c>
      <c r="D1488" s="3" t="s">
        <v>1515</v>
      </c>
      <c r="E1488" s="1"/>
      <c r="F1488" s="1"/>
      <c r="G1488" s="1"/>
      <c r="H1488" s="1"/>
      <c r="I1488" s="2"/>
      <c r="J1488" s="1"/>
      <c r="K1488" s="1"/>
      <c r="L1488" s="1"/>
      <c r="M1488" s="1"/>
      <c r="N1488" s="1"/>
      <c r="O1488" s="1"/>
      <c r="P1488" s="1"/>
      <c r="Q1488" s="1"/>
      <c r="R1488" s="1"/>
      <c r="S1488" s="1"/>
      <c r="T1488" s="1"/>
      <c r="U1488" s="1"/>
      <c r="V1488" s="1"/>
      <c r="W1488" s="1"/>
      <c r="X1488" s="1"/>
    </row>
    <row x14ac:dyDescent="0.25" r="1489" customHeight="1" ht="18.75">
      <c r="A1489" s="1"/>
      <c r="B1489" s="1"/>
      <c r="C1489" s="3" t="s">
        <v>100</v>
      </c>
      <c r="D1489" s="3" t="s">
        <v>1516</v>
      </c>
      <c r="E1489" s="1"/>
      <c r="F1489" s="1"/>
      <c r="G1489" s="1"/>
      <c r="H1489" s="1"/>
      <c r="I1489" s="2"/>
      <c r="J1489" s="1"/>
      <c r="K1489" s="1"/>
      <c r="L1489" s="1"/>
      <c r="M1489" s="1"/>
      <c r="N1489" s="1"/>
      <c r="O1489" s="1"/>
      <c r="P1489" s="1"/>
      <c r="Q1489" s="1"/>
      <c r="R1489" s="1"/>
      <c r="S1489" s="1"/>
      <c r="T1489" s="1"/>
      <c r="U1489" s="1"/>
      <c r="V1489" s="1"/>
      <c r="W1489" s="1"/>
      <c r="X1489" s="1"/>
    </row>
    <row x14ac:dyDescent="0.25" r="1490" customHeight="1" ht="18.75">
      <c r="A1490" s="1"/>
      <c r="B1490" s="1"/>
      <c r="C1490" s="3" t="s">
        <v>100</v>
      </c>
      <c r="D1490" s="3" t="s">
        <v>1517</v>
      </c>
      <c r="E1490" s="1"/>
      <c r="F1490" s="1"/>
      <c r="G1490" s="1"/>
      <c r="H1490" s="1"/>
      <c r="I1490" s="2"/>
      <c r="J1490" s="1"/>
      <c r="K1490" s="1"/>
      <c r="L1490" s="1"/>
      <c r="M1490" s="1"/>
      <c r="N1490" s="1"/>
      <c r="O1490" s="1"/>
      <c r="P1490" s="1"/>
      <c r="Q1490" s="1"/>
      <c r="R1490" s="1"/>
      <c r="S1490" s="1"/>
      <c r="T1490" s="1"/>
      <c r="U1490" s="1"/>
      <c r="V1490" s="1"/>
      <c r="W1490" s="1"/>
      <c r="X1490" s="1"/>
    </row>
    <row x14ac:dyDescent="0.25" r="1491" customHeight="1" ht="18.75">
      <c r="A1491" s="1"/>
      <c r="B1491" s="1"/>
      <c r="C1491" s="3" t="s">
        <v>100</v>
      </c>
      <c r="D1491" s="3" t="s">
        <v>1518</v>
      </c>
      <c r="E1491" s="1"/>
      <c r="F1491" s="1"/>
      <c r="G1491" s="1"/>
      <c r="H1491" s="1"/>
      <c r="I1491" s="2"/>
      <c r="J1491" s="1"/>
      <c r="K1491" s="1"/>
      <c r="L1491" s="1"/>
      <c r="M1491" s="1"/>
      <c r="N1491" s="1"/>
      <c r="O1491" s="1"/>
      <c r="P1491" s="1"/>
      <c r="Q1491" s="1"/>
      <c r="R1491" s="1"/>
      <c r="S1491" s="1"/>
      <c r="T1491" s="1"/>
      <c r="U1491" s="1"/>
      <c r="V1491" s="1"/>
      <c r="W1491" s="1"/>
      <c r="X1491" s="1"/>
    </row>
    <row x14ac:dyDescent="0.25" r="1492" customHeight="1" ht="18.75">
      <c r="A1492" s="1"/>
      <c r="B1492" s="1"/>
      <c r="C1492" s="3" t="s">
        <v>100</v>
      </c>
      <c r="D1492" s="3" t="s">
        <v>1519</v>
      </c>
      <c r="E1492" s="1"/>
      <c r="F1492" s="1"/>
      <c r="G1492" s="1"/>
      <c r="H1492" s="1"/>
      <c r="I1492" s="2"/>
      <c r="J1492" s="1"/>
      <c r="K1492" s="1"/>
      <c r="L1492" s="1"/>
      <c r="M1492" s="1"/>
      <c r="N1492" s="1"/>
      <c r="O1492" s="1"/>
      <c r="P1492" s="1"/>
      <c r="Q1492" s="1"/>
      <c r="R1492" s="1"/>
      <c r="S1492" s="1"/>
      <c r="T1492" s="1"/>
      <c r="U1492" s="1"/>
      <c r="V1492" s="1"/>
      <c r="W1492" s="1"/>
      <c r="X1492" s="1"/>
    </row>
    <row x14ac:dyDescent="0.25" r="1493" customHeight="1" ht="18.75">
      <c r="A1493" s="1"/>
      <c r="B1493" s="1"/>
      <c r="C1493" s="3" t="s">
        <v>100</v>
      </c>
      <c r="D1493" s="3" t="s">
        <v>1520</v>
      </c>
      <c r="E1493" s="1"/>
      <c r="F1493" s="1"/>
      <c r="G1493" s="1"/>
      <c r="H1493" s="1"/>
      <c r="I1493" s="2"/>
      <c r="J1493" s="1"/>
      <c r="K1493" s="1"/>
      <c r="L1493" s="1"/>
      <c r="M1493" s="1"/>
      <c r="N1493" s="1"/>
      <c r="O1493" s="1"/>
      <c r="P1493" s="1"/>
      <c r="Q1493" s="1"/>
      <c r="R1493" s="1"/>
      <c r="S1493" s="1"/>
      <c r="T1493" s="1"/>
      <c r="U1493" s="1"/>
      <c r="V1493" s="1"/>
      <c r="W1493" s="1"/>
      <c r="X1493" s="1"/>
    </row>
    <row x14ac:dyDescent="0.25" r="1494" customHeight="1" ht="18.75">
      <c r="A1494" s="1"/>
      <c r="B1494" s="1"/>
      <c r="C1494" s="3" t="s">
        <v>100</v>
      </c>
      <c r="D1494" s="3" t="s">
        <v>1521</v>
      </c>
      <c r="E1494" s="1"/>
      <c r="F1494" s="1"/>
      <c r="G1494" s="1"/>
      <c r="H1494" s="1"/>
      <c r="I1494" s="2"/>
      <c r="J1494" s="1"/>
      <c r="K1494" s="1"/>
      <c r="L1494" s="1"/>
      <c r="M1494" s="1"/>
      <c r="N1494" s="1"/>
      <c r="O1494" s="1"/>
      <c r="P1494" s="1"/>
      <c r="Q1494" s="1"/>
      <c r="R1494" s="1"/>
      <c r="S1494" s="1"/>
      <c r="T1494" s="1"/>
      <c r="U1494" s="1"/>
      <c r="V1494" s="1"/>
      <c r="W1494" s="1"/>
      <c r="X1494" s="1"/>
    </row>
    <row x14ac:dyDescent="0.25" r="1495" customHeight="1" ht="18.75">
      <c r="A1495" s="1"/>
      <c r="B1495" s="1"/>
      <c r="C1495" s="3" t="s">
        <v>100</v>
      </c>
      <c r="D1495" s="3" t="s">
        <v>1522</v>
      </c>
      <c r="E1495" s="1"/>
      <c r="F1495" s="1"/>
      <c r="G1495" s="1"/>
      <c r="H1495" s="1"/>
      <c r="I1495" s="2"/>
      <c r="J1495" s="1"/>
      <c r="K1495" s="1"/>
      <c r="L1495" s="1"/>
      <c r="M1495" s="1"/>
      <c r="N1495" s="1"/>
      <c r="O1495" s="1"/>
      <c r="P1495" s="1"/>
      <c r="Q1495" s="1"/>
      <c r="R1495" s="1"/>
      <c r="S1495" s="1"/>
      <c r="T1495" s="1"/>
      <c r="U1495" s="1"/>
      <c r="V1495" s="1"/>
      <c r="W1495" s="1"/>
      <c r="X1495" s="1"/>
    </row>
    <row x14ac:dyDescent="0.25" r="1496" customHeight="1" ht="18.75">
      <c r="A1496" s="1"/>
      <c r="B1496" s="1"/>
      <c r="C1496" s="3" t="s">
        <v>100</v>
      </c>
      <c r="D1496" s="3" t="s">
        <v>1523</v>
      </c>
      <c r="E1496" s="1"/>
      <c r="F1496" s="1"/>
      <c r="G1496" s="1"/>
      <c r="H1496" s="1"/>
      <c r="I1496" s="2"/>
      <c r="J1496" s="1"/>
      <c r="K1496" s="1"/>
      <c r="L1496" s="1"/>
      <c r="M1496" s="1"/>
      <c r="N1496" s="1"/>
      <c r="O1496" s="1"/>
      <c r="P1496" s="1"/>
      <c r="Q1496" s="1"/>
      <c r="R1496" s="1"/>
      <c r="S1496" s="1"/>
      <c r="T1496" s="1"/>
      <c r="U1496" s="1"/>
      <c r="V1496" s="1"/>
      <c r="W1496" s="1"/>
      <c r="X1496" s="1"/>
    </row>
    <row x14ac:dyDescent="0.25" r="1497" customHeight="1" ht="18.75">
      <c r="A1497" s="1"/>
      <c r="B1497" s="1"/>
      <c r="C1497" s="3" t="s">
        <v>100</v>
      </c>
      <c r="D1497" s="3" t="s">
        <v>1524</v>
      </c>
      <c r="E1497" s="1"/>
      <c r="F1497" s="1"/>
      <c r="G1497" s="1"/>
      <c r="H1497" s="1"/>
      <c r="I1497" s="2"/>
      <c r="J1497" s="1"/>
      <c r="K1497" s="1"/>
      <c r="L1497" s="1"/>
      <c r="M1497" s="1"/>
      <c r="N1497" s="1"/>
      <c r="O1497" s="1"/>
      <c r="P1497" s="1"/>
      <c r="Q1497" s="1"/>
      <c r="R1497" s="1"/>
      <c r="S1497" s="1"/>
      <c r="T1497" s="1"/>
      <c r="U1497" s="1"/>
      <c r="V1497" s="1"/>
      <c r="W1497" s="1"/>
      <c r="X1497" s="1"/>
    </row>
    <row x14ac:dyDescent="0.25" r="1498" customHeight="1" ht="18.75">
      <c r="A1498" s="1"/>
      <c r="B1498" s="1"/>
      <c r="C1498" s="3" t="s">
        <v>100</v>
      </c>
      <c r="D1498" s="3" t="s">
        <v>1525</v>
      </c>
      <c r="E1498" s="1"/>
      <c r="F1498" s="1"/>
      <c r="G1498" s="1"/>
      <c r="H1498" s="1"/>
      <c r="I1498" s="2"/>
      <c r="J1498" s="1"/>
      <c r="K1498" s="1"/>
      <c r="L1498" s="1"/>
      <c r="M1498" s="1"/>
      <c r="N1498" s="1"/>
      <c r="O1498" s="1"/>
      <c r="P1498" s="1"/>
      <c r="Q1498" s="1"/>
      <c r="R1498" s="1"/>
      <c r="S1498" s="1"/>
      <c r="T1498" s="1"/>
      <c r="U1498" s="1"/>
      <c r="V1498" s="1"/>
      <c r="W1498" s="1"/>
      <c r="X1498" s="1"/>
    </row>
    <row x14ac:dyDescent="0.25" r="1499" customHeight="1" ht="18.75">
      <c r="A1499" s="1"/>
      <c r="B1499" s="1"/>
      <c r="C1499" s="3" t="s">
        <v>100</v>
      </c>
      <c r="D1499" s="3" t="s">
        <v>1526</v>
      </c>
      <c r="E1499" s="1"/>
      <c r="F1499" s="1"/>
      <c r="G1499" s="1"/>
      <c r="H1499" s="1"/>
      <c r="I1499" s="2"/>
      <c r="J1499" s="1"/>
      <c r="K1499" s="1"/>
      <c r="L1499" s="1"/>
      <c r="M1499" s="1"/>
      <c r="N1499" s="1"/>
      <c r="O1499" s="1"/>
      <c r="P1499" s="1"/>
      <c r="Q1499" s="1"/>
      <c r="R1499" s="1"/>
      <c r="S1499" s="1"/>
      <c r="T1499" s="1"/>
      <c r="U1499" s="1"/>
      <c r="V1499" s="1"/>
      <c r="W1499" s="1"/>
      <c r="X1499" s="1"/>
    </row>
    <row x14ac:dyDescent="0.25" r="1500" customHeight="1" ht="18.75">
      <c r="A1500" s="1"/>
      <c r="B1500" s="1"/>
      <c r="C1500" s="3" t="s">
        <v>100</v>
      </c>
      <c r="D1500" s="3" t="s">
        <v>1527</v>
      </c>
      <c r="E1500" s="1"/>
      <c r="F1500" s="1"/>
      <c r="G1500" s="1"/>
      <c r="H1500" s="1"/>
      <c r="I1500" s="2"/>
      <c r="J1500" s="1"/>
      <c r="K1500" s="1"/>
      <c r="L1500" s="1"/>
      <c r="M1500" s="1"/>
      <c r="N1500" s="1"/>
      <c r="O1500" s="1"/>
      <c r="P1500" s="1"/>
      <c r="Q1500" s="1"/>
      <c r="R1500" s="1"/>
      <c r="S1500" s="1"/>
      <c r="T1500" s="1"/>
      <c r="U1500" s="1"/>
      <c r="V1500" s="1"/>
      <c r="W1500" s="1"/>
      <c r="X1500" s="1"/>
    </row>
    <row x14ac:dyDescent="0.25" r="1501" customHeight="1" ht="18.75">
      <c r="A1501" s="1"/>
      <c r="B1501" s="1"/>
      <c r="C1501" s="3" t="s">
        <v>100</v>
      </c>
      <c r="D1501" s="3" t="s">
        <v>1528</v>
      </c>
      <c r="E1501" s="1"/>
      <c r="F1501" s="1"/>
      <c r="G1501" s="1"/>
      <c r="H1501" s="1"/>
      <c r="I1501" s="2"/>
      <c r="J1501" s="1"/>
      <c r="K1501" s="1"/>
      <c r="L1501" s="1"/>
      <c r="M1501" s="1"/>
      <c r="N1501" s="1"/>
      <c r="O1501" s="1"/>
      <c r="P1501" s="1"/>
      <c r="Q1501" s="1"/>
      <c r="R1501" s="1"/>
      <c r="S1501" s="1"/>
      <c r="T1501" s="1"/>
      <c r="U1501" s="1"/>
      <c r="V1501" s="1"/>
      <c r="W1501" s="1"/>
      <c r="X1501" s="1"/>
    </row>
    <row x14ac:dyDescent="0.25" r="1502" customHeight="1" ht="18.75">
      <c r="A1502" s="1"/>
      <c r="B1502" s="1"/>
      <c r="C1502" s="3" t="s">
        <v>100</v>
      </c>
      <c r="D1502" s="3" t="s">
        <v>1529</v>
      </c>
      <c r="E1502" s="1"/>
      <c r="F1502" s="1"/>
      <c r="G1502" s="1"/>
      <c r="H1502" s="1"/>
      <c r="I1502" s="2"/>
      <c r="J1502" s="1"/>
      <c r="K1502" s="1"/>
      <c r="L1502" s="1"/>
      <c r="M1502" s="1"/>
      <c r="N1502" s="1"/>
      <c r="O1502" s="1"/>
      <c r="P1502" s="1"/>
      <c r="Q1502" s="1"/>
      <c r="R1502" s="1"/>
      <c r="S1502" s="1"/>
      <c r="T1502" s="1"/>
      <c r="U1502" s="1"/>
      <c r="V1502" s="1"/>
      <c r="W1502" s="1"/>
      <c r="X1502" s="1"/>
    </row>
    <row x14ac:dyDescent="0.25" r="1503" customHeight="1" ht="18.75">
      <c r="A1503" s="1"/>
      <c r="B1503" s="1"/>
      <c r="C1503" s="3" t="s">
        <v>100</v>
      </c>
      <c r="D1503" s="3" t="s">
        <v>1530</v>
      </c>
      <c r="E1503" s="1"/>
      <c r="F1503" s="1"/>
      <c r="G1503" s="1"/>
      <c r="H1503" s="1"/>
      <c r="I1503" s="2"/>
      <c r="J1503" s="1"/>
      <c r="K1503" s="1"/>
      <c r="L1503" s="1"/>
      <c r="M1503" s="1"/>
      <c r="N1503" s="1"/>
      <c r="O1503" s="1"/>
      <c r="P1503" s="1"/>
      <c r="Q1503" s="1"/>
      <c r="R1503" s="1"/>
      <c r="S1503" s="1"/>
      <c r="T1503" s="1"/>
      <c r="U1503" s="1"/>
      <c r="V1503" s="1"/>
      <c r="W1503" s="1"/>
      <c r="X1503" s="1"/>
    </row>
    <row x14ac:dyDescent="0.25" r="1504" customHeight="1" ht="18.75">
      <c r="A1504" s="1"/>
      <c r="B1504" s="1"/>
      <c r="C1504" s="3" t="s">
        <v>100</v>
      </c>
      <c r="D1504" s="3" t="s">
        <v>1531</v>
      </c>
      <c r="E1504" s="1"/>
      <c r="F1504" s="1"/>
      <c r="G1504" s="1"/>
      <c r="H1504" s="1"/>
      <c r="I1504" s="2"/>
      <c r="J1504" s="1"/>
      <c r="K1504" s="1"/>
      <c r="L1504" s="1"/>
      <c r="M1504" s="1"/>
      <c r="N1504" s="1"/>
      <c r="O1504" s="1"/>
      <c r="P1504" s="1"/>
      <c r="Q1504" s="1"/>
      <c r="R1504" s="1"/>
      <c r="S1504" s="1"/>
      <c r="T1504" s="1"/>
      <c r="U1504" s="1"/>
      <c r="V1504" s="1"/>
      <c r="W1504" s="1"/>
      <c r="X1504" s="1"/>
    </row>
    <row x14ac:dyDescent="0.25" r="1505" customHeight="1" ht="18.75">
      <c r="A1505" s="1"/>
      <c r="B1505" s="1"/>
      <c r="C1505" s="3" t="s">
        <v>100</v>
      </c>
      <c r="D1505" s="3" t="s">
        <v>1532</v>
      </c>
      <c r="E1505" s="1"/>
      <c r="F1505" s="1"/>
      <c r="G1505" s="1"/>
      <c r="H1505" s="1"/>
      <c r="I1505" s="2"/>
      <c r="J1505" s="1"/>
      <c r="K1505" s="1"/>
      <c r="L1505" s="1"/>
      <c r="M1505" s="1"/>
      <c r="N1505" s="1"/>
      <c r="O1505" s="1"/>
      <c r="P1505" s="1"/>
      <c r="Q1505" s="1"/>
      <c r="R1505" s="1"/>
      <c r="S1505" s="1"/>
      <c r="T1505" s="1"/>
      <c r="U1505" s="1"/>
      <c r="V1505" s="1"/>
      <c r="W1505" s="1"/>
      <c r="X1505" s="1"/>
    </row>
    <row x14ac:dyDescent="0.25" r="1506" customHeight="1" ht="18.75">
      <c r="A1506" s="1"/>
      <c r="B1506" s="1"/>
      <c r="C1506" s="3" t="s">
        <v>100</v>
      </c>
      <c r="D1506" s="3" t="s">
        <v>1533</v>
      </c>
      <c r="E1506" s="1"/>
      <c r="F1506" s="1"/>
      <c r="G1506" s="1"/>
      <c r="H1506" s="1"/>
      <c r="I1506" s="2"/>
      <c r="J1506" s="1"/>
      <c r="K1506" s="1"/>
      <c r="L1506" s="1"/>
      <c r="M1506" s="1"/>
      <c r="N1506" s="1"/>
      <c r="O1506" s="1"/>
      <c r="P1506" s="1"/>
      <c r="Q1506" s="1"/>
      <c r="R1506" s="1"/>
      <c r="S1506" s="1"/>
      <c r="T1506" s="1"/>
      <c r="U1506" s="1"/>
      <c r="V1506" s="1"/>
      <c r="W1506" s="1"/>
      <c r="X1506" s="1"/>
    </row>
    <row x14ac:dyDescent="0.25" r="1507" customHeight="1" ht="18.75">
      <c r="A1507" s="1"/>
      <c r="B1507" s="1"/>
      <c r="C1507" s="3" t="s">
        <v>100</v>
      </c>
      <c r="D1507" s="3" t="s">
        <v>1534</v>
      </c>
      <c r="E1507" s="1"/>
      <c r="F1507" s="1"/>
      <c r="G1507" s="1"/>
      <c r="H1507" s="1"/>
      <c r="I1507" s="2"/>
      <c r="J1507" s="1"/>
      <c r="K1507" s="1"/>
      <c r="L1507" s="1"/>
      <c r="M1507" s="1"/>
      <c r="N1507" s="1"/>
      <c r="O1507" s="1"/>
      <c r="P1507" s="1"/>
      <c r="Q1507" s="1"/>
      <c r="R1507" s="1"/>
      <c r="S1507" s="1"/>
      <c r="T1507" s="1"/>
      <c r="U1507" s="1"/>
      <c r="V1507" s="1"/>
      <c r="W1507" s="1"/>
      <c r="X1507" s="1"/>
    </row>
    <row x14ac:dyDescent="0.25" r="1508" customHeight="1" ht="18.75">
      <c r="A1508" s="1"/>
      <c r="B1508" s="1"/>
      <c r="C1508" s="3" t="s">
        <v>100</v>
      </c>
      <c r="D1508" s="3" t="s">
        <v>1535</v>
      </c>
      <c r="E1508" s="1"/>
      <c r="F1508" s="1"/>
      <c r="G1508" s="1"/>
      <c r="H1508" s="1"/>
      <c r="I1508" s="2"/>
      <c r="J1508" s="1"/>
      <c r="K1508" s="1"/>
      <c r="L1508" s="1"/>
      <c r="M1508" s="1"/>
      <c r="N1508" s="1"/>
      <c r="O1508" s="1"/>
      <c r="P1508" s="1"/>
      <c r="Q1508" s="1"/>
      <c r="R1508" s="1"/>
      <c r="S1508" s="1"/>
      <c r="T1508" s="1"/>
      <c r="U1508" s="1"/>
      <c r="V1508" s="1"/>
      <c r="W1508" s="1"/>
      <c r="X1508" s="1"/>
    </row>
    <row x14ac:dyDescent="0.25" r="1509" customHeight="1" ht="18.75">
      <c r="A1509" s="1"/>
      <c r="B1509" s="1"/>
      <c r="C1509" s="3" t="s">
        <v>100</v>
      </c>
      <c r="D1509" s="3" t="s">
        <v>1536</v>
      </c>
      <c r="E1509" s="1"/>
      <c r="F1509" s="1"/>
      <c r="G1509" s="1"/>
      <c r="H1509" s="1"/>
      <c r="I1509" s="2"/>
      <c r="J1509" s="1"/>
      <c r="K1509" s="1"/>
      <c r="L1509" s="1"/>
      <c r="M1509" s="1"/>
      <c r="N1509" s="1"/>
      <c r="O1509" s="1"/>
      <c r="P1509" s="1"/>
      <c r="Q1509" s="1"/>
      <c r="R1509" s="1"/>
      <c r="S1509" s="1"/>
      <c r="T1509" s="1"/>
      <c r="U1509" s="1"/>
      <c r="V1509" s="1"/>
      <c r="W1509" s="1"/>
      <c r="X1509" s="1"/>
    </row>
    <row x14ac:dyDescent="0.25" r="1510" customHeight="1" ht="18.75">
      <c r="A1510" s="1"/>
      <c r="B1510" s="1"/>
      <c r="C1510" s="3" t="s">
        <v>100</v>
      </c>
      <c r="D1510" s="3" t="s">
        <v>1537</v>
      </c>
      <c r="E1510" s="1"/>
      <c r="F1510" s="1"/>
      <c r="G1510" s="1"/>
      <c r="H1510" s="1"/>
      <c r="I1510" s="2"/>
      <c r="J1510" s="1"/>
      <c r="K1510" s="1"/>
      <c r="L1510" s="1"/>
      <c r="M1510" s="1"/>
      <c r="N1510" s="1"/>
      <c r="O1510" s="1"/>
      <c r="P1510" s="1"/>
      <c r="Q1510" s="1"/>
      <c r="R1510" s="1"/>
      <c r="S1510" s="1"/>
      <c r="T1510" s="1"/>
      <c r="U1510" s="1"/>
      <c r="V1510" s="1"/>
      <c r="W1510" s="1"/>
      <c r="X1510" s="1"/>
    </row>
    <row x14ac:dyDescent="0.25" r="1511" customHeight="1" ht="18.75">
      <c r="A1511" s="1"/>
      <c r="B1511" s="1"/>
      <c r="C1511" s="3" t="s">
        <v>100</v>
      </c>
      <c r="D1511" s="3" t="s">
        <v>1538</v>
      </c>
      <c r="E1511" s="1"/>
      <c r="F1511" s="1"/>
      <c r="G1511" s="1"/>
      <c r="H1511" s="1"/>
      <c r="I1511" s="2"/>
      <c r="J1511" s="1"/>
      <c r="K1511" s="1"/>
      <c r="L1511" s="1"/>
      <c r="M1511" s="1"/>
      <c r="N1511" s="1"/>
      <c r="O1511" s="1"/>
      <c r="P1511" s="1"/>
      <c r="Q1511" s="1"/>
      <c r="R1511" s="1"/>
      <c r="S1511" s="1"/>
      <c r="T1511" s="1"/>
      <c r="U1511" s="1"/>
      <c r="V1511" s="1"/>
      <c r="W1511" s="1"/>
      <c r="X1511" s="1"/>
    </row>
    <row x14ac:dyDescent="0.25" r="1512" customHeight="1" ht="18.75">
      <c r="A1512" s="1"/>
      <c r="B1512" s="1"/>
      <c r="C1512" s="3" t="s">
        <v>100</v>
      </c>
      <c r="D1512" s="3" t="s">
        <v>1539</v>
      </c>
      <c r="E1512" s="1"/>
      <c r="F1512" s="1"/>
      <c r="G1512" s="1"/>
      <c r="H1512" s="1"/>
      <c r="I1512" s="2"/>
      <c r="J1512" s="1"/>
      <c r="K1512" s="1"/>
      <c r="L1512" s="1"/>
      <c r="M1512" s="1"/>
      <c r="N1512" s="1"/>
      <c r="O1512" s="1"/>
      <c r="P1512" s="1"/>
      <c r="Q1512" s="1"/>
      <c r="R1512" s="1"/>
      <c r="S1512" s="1"/>
      <c r="T1512" s="1"/>
      <c r="U1512" s="1"/>
      <c r="V1512" s="1"/>
      <c r="W1512" s="1"/>
      <c r="X1512" s="1"/>
    </row>
    <row x14ac:dyDescent="0.25" r="1513" customHeight="1" ht="18.75">
      <c r="A1513" s="1"/>
      <c r="B1513" s="1"/>
      <c r="C1513" s="3" t="s">
        <v>100</v>
      </c>
      <c r="D1513" s="3" t="s">
        <v>1540</v>
      </c>
      <c r="E1513" s="1"/>
      <c r="F1513" s="1"/>
      <c r="G1513" s="1"/>
      <c r="H1513" s="1"/>
      <c r="I1513" s="2"/>
      <c r="J1513" s="1"/>
      <c r="K1513" s="1"/>
      <c r="L1513" s="1"/>
      <c r="M1513" s="1"/>
      <c r="N1513" s="1"/>
      <c r="O1513" s="1"/>
      <c r="P1513" s="1"/>
      <c r="Q1513" s="1"/>
      <c r="R1513" s="1"/>
      <c r="S1513" s="1"/>
      <c r="T1513" s="1"/>
      <c r="U1513" s="1"/>
      <c r="V1513" s="1"/>
      <c r="W1513" s="1"/>
      <c r="X1513" s="1"/>
    </row>
    <row x14ac:dyDescent="0.25" r="1514" customHeight="1" ht="18.75">
      <c r="A1514" s="1"/>
      <c r="B1514" s="1"/>
      <c r="C1514" s="3" t="s">
        <v>100</v>
      </c>
      <c r="D1514" s="3" t="s">
        <v>1541</v>
      </c>
      <c r="E1514" s="1"/>
      <c r="F1514" s="1"/>
      <c r="G1514" s="1"/>
      <c r="H1514" s="1"/>
      <c r="I1514" s="2"/>
      <c r="J1514" s="1"/>
      <c r="K1514" s="1"/>
      <c r="L1514" s="1"/>
      <c r="M1514" s="1"/>
      <c r="N1514" s="1"/>
      <c r="O1514" s="1"/>
      <c r="P1514" s="1"/>
      <c r="Q1514" s="1"/>
      <c r="R1514" s="1"/>
      <c r="S1514" s="1"/>
      <c r="T1514" s="1"/>
      <c r="U1514" s="1"/>
      <c r="V1514" s="1"/>
      <c r="W1514" s="1"/>
      <c r="X1514" s="1"/>
    </row>
    <row x14ac:dyDescent="0.25" r="1515" customHeight="1" ht="18.75">
      <c r="A1515" s="1"/>
      <c r="B1515" s="1"/>
      <c r="C1515" s="3" t="s">
        <v>100</v>
      </c>
      <c r="D1515" s="3" t="s">
        <v>1542</v>
      </c>
      <c r="E1515" s="1"/>
      <c r="F1515" s="1"/>
      <c r="G1515" s="1"/>
      <c r="H1515" s="1"/>
      <c r="I1515" s="2"/>
      <c r="J1515" s="1"/>
      <c r="K1515" s="1"/>
      <c r="L1515" s="1"/>
      <c r="M1515" s="1"/>
      <c r="N1515" s="1"/>
      <c r="O1515" s="1"/>
      <c r="P1515" s="1"/>
      <c r="Q1515" s="1"/>
      <c r="R1515" s="1"/>
      <c r="S1515" s="1"/>
      <c r="T1515" s="1"/>
      <c r="U1515" s="1"/>
      <c r="V1515" s="1"/>
      <c r="W1515" s="1"/>
      <c r="X1515" s="1"/>
    </row>
    <row x14ac:dyDescent="0.25" r="1516" customHeight="1" ht="18.75">
      <c r="A1516" s="1"/>
      <c r="B1516" s="1"/>
      <c r="C1516" s="3" t="s">
        <v>100</v>
      </c>
      <c r="D1516" s="3" t="s">
        <v>1543</v>
      </c>
      <c r="E1516" s="1"/>
      <c r="F1516" s="1"/>
      <c r="G1516" s="1"/>
      <c r="H1516" s="1"/>
      <c r="I1516" s="2"/>
      <c r="J1516" s="1"/>
      <c r="K1516" s="1"/>
      <c r="L1516" s="1"/>
      <c r="M1516" s="1"/>
      <c r="N1516" s="1"/>
      <c r="O1516" s="1"/>
      <c r="P1516" s="1"/>
      <c r="Q1516" s="1"/>
      <c r="R1516" s="1"/>
      <c r="S1516" s="1"/>
      <c r="T1516" s="1"/>
      <c r="U1516" s="1"/>
      <c r="V1516" s="1"/>
      <c r="W1516" s="1"/>
      <c r="X1516" s="1"/>
    </row>
    <row x14ac:dyDescent="0.25" r="1517" customHeight="1" ht="18.75">
      <c r="A1517" s="1"/>
      <c r="B1517" s="1"/>
      <c r="C1517" s="3" t="s">
        <v>100</v>
      </c>
      <c r="D1517" s="3" t="s">
        <v>1544</v>
      </c>
      <c r="E1517" s="1"/>
      <c r="F1517" s="1"/>
      <c r="G1517" s="1"/>
      <c r="H1517" s="1"/>
      <c r="I1517" s="2"/>
      <c r="J1517" s="1"/>
      <c r="K1517" s="1"/>
      <c r="L1517" s="1"/>
      <c r="M1517" s="1"/>
      <c r="N1517" s="1"/>
      <c r="O1517" s="1"/>
      <c r="P1517" s="1"/>
      <c r="Q1517" s="1"/>
      <c r="R1517" s="1"/>
      <c r="S1517" s="1"/>
      <c r="T1517" s="1"/>
      <c r="U1517" s="1"/>
      <c r="V1517" s="1"/>
      <c r="W1517" s="1"/>
      <c r="X1517" s="1"/>
    </row>
    <row x14ac:dyDescent="0.25" r="1518" customHeight="1" ht="18.75">
      <c r="A1518" s="1"/>
      <c r="B1518" s="1"/>
      <c r="C1518" s="3" t="s">
        <v>100</v>
      </c>
      <c r="D1518" s="3" t="s">
        <v>1545</v>
      </c>
      <c r="E1518" s="1"/>
      <c r="F1518" s="1"/>
      <c r="G1518" s="1"/>
      <c r="H1518" s="1"/>
      <c r="I1518" s="2"/>
      <c r="J1518" s="1"/>
      <c r="K1518" s="1"/>
      <c r="L1518" s="1"/>
      <c r="M1518" s="1"/>
      <c r="N1518" s="1"/>
      <c r="O1518" s="1"/>
      <c r="P1518" s="1"/>
      <c r="Q1518" s="1"/>
      <c r="R1518" s="1"/>
      <c r="S1518" s="1"/>
      <c r="T1518" s="1"/>
      <c r="U1518" s="1"/>
      <c r="V1518" s="1"/>
      <c r="W1518" s="1"/>
      <c r="X1518" s="1"/>
    </row>
    <row x14ac:dyDescent="0.25" r="1519" customHeight="1" ht="18.75">
      <c r="A1519" s="1"/>
      <c r="B1519" s="1"/>
      <c r="C1519" s="3" t="s">
        <v>100</v>
      </c>
      <c r="D1519" s="3" t="s">
        <v>1546</v>
      </c>
      <c r="E1519" s="1"/>
      <c r="F1519" s="1"/>
      <c r="G1519" s="1"/>
      <c r="H1519" s="1"/>
      <c r="I1519" s="2"/>
      <c r="J1519" s="1"/>
      <c r="K1519" s="1"/>
      <c r="L1519" s="1"/>
      <c r="M1519" s="1"/>
      <c r="N1519" s="1"/>
      <c r="O1519" s="1"/>
      <c r="P1519" s="1"/>
      <c r="Q1519" s="1"/>
      <c r="R1519" s="1"/>
      <c r="S1519" s="1"/>
      <c r="T1519" s="1"/>
      <c r="U1519" s="1"/>
      <c r="V1519" s="1"/>
      <c r="W1519" s="1"/>
      <c r="X1519" s="1"/>
    </row>
    <row x14ac:dyDescent="0.25" r="1520" customHeight="1" ht="18.75">
      <c r="A1520" s="1"/>
      <c r="B1520" s="1"/>
      <c r="C1520" s="3" t="s">
        <v>100</v>
      </c>
      <c r="D1520" s="3" t="s">
        <v>1547</v>
      </c>
      <c r="E1520" s="1"/>
      <c r="F1520" s="1"/>
      <c r="G1520" s="1"/>
      <c r="H1520" s="1"/>
      <c r="I1520" s="2"/>
      <c r="J1520" s="1"/>
      <c r="K1520" s="1"/>
      <c r="L1520" s="1"/>
      <c r="M1520" s="1"/>
      <c r="N1520" s="1"/>
      <c r="O1520" s="1"/>
      <c r="P1520" s="1"/>
      <c r="Q1520" s="1"/>
      <c r="R1520" s="1"/>
      <c r="S1520" s="1"/>
      <c r="T1520" s="1"/>
      <c r="U1520" s="1"/>
      <c r="V1520" s="1"/>
      <c r="W1520" s="1"/>
      <c r="X1520" s="1"/>
    </row>
    <row x14ac:dyDescent="0.25" r="1521" customHeight="1" ht="18.75">
      <c r="A1521" s="1"/>
      <c r="B1521" s="1"/>
      <c r="C1521" s="3" t="s">
        <v>100</v>
      </c>
      <c r="D1521" s="3" t="s">
        <v>1548</v>
      </c>
      <c r="E1521" s="1"/>
      <c r="F1521" s="1"/>
      <c r="G1521" s="1"/>
      <c r="H1521" s="1"/>
      <c r="I1521" s="2"/>
      <c r="J1521" s="1"/>
      <c r="K1521" s="1"/>
      <c r="L1521" s="1"/>
      <c r="M1521" s="1"/>
      <c r="N1521" s="1"/>
      <c r="O1521" s="1"/>
      <c r="P1521" s="1"/>
      <c r="Q1521" s="1"/>
      <c r="R1521" s="1"/>
      <c r="S1521" s="1"/>
      <c r="T1521" s="1"/>
      <c r="U1521" s="1"/>
      <c r="V1521" s="1"/>
      <c r="W1521" s="1"/>
      <c r="X1521" s="1"/>
    </row>
    <row x14ac:dyDescent="0.25" r="1522" customHeight="1" ht="18.75">
      <c r="A1522" s="1"/>
      <c r="B1522" s="1"/>
      <c r="C1522" s="3" t="s">
        <v>100</v>
      </c>
      <c r="D1522" s="3" t="s">
        <v>1549</v>
      </c>
      <c r="E1522" s="1"/>
      <c r="F1522" s="1"/>
      <c r="G1522" s="1"/>
      <c r="H1522" s="1"/>
      <c r="I1522" s="2"/>
      <c r="J1522" s="1"/>
      <c r="K1522" s="1"/>
      <c r="L1522" s="1"/>
      <c r="M1522" s="1"/>
      <c r="N1522" s="1"/>
      <c r="O1522" s="1"/>
      <c r="P1522" s="1"/>
      <c r="Q1522" s="1"/>
      <c r="R1522" s="1"/>
      <c r="S1522" s="1"/>
      <c r="T1522" s="1"/>
      <c r="U1522" s="1"/>
      <c r="V1522" s="1"/>
      <c r="W1522" s="1"/>
      <c r="X1522" s="1"/>
    </row>
    <row x14ac:dyDescent="0.25" r="1523" customHeight="1" ht="18.75">
      <c r="A1523" s="1"/>
      <c r="B1523" s="1"/>
      <c r="C1523" s="3" t="s">
        <v>100</v>
      </c>
      <c r="D1523" s="3" t="s">
        <v>1550</v>
      </c>
      <c r="E1523" s="1"/>
      <c r="F1523" s="1"/>
      <c r="G1523" s="1"/>
      <c r="H1523" s="1"/>
      <c r="I1523" s="2"/>
      <c r="J1523" s="1"/>
      <c r="K1523" s="1"/>
      <c r="L1523" s="1"/>
      <c r="M1523" s="1"/>
      <c r="N1523" s="1"/>
      <c r="O1523" s="1"/>
      <c r="P1523" s="1"/>
      <c r="Q1523" s="1"/>
      <c r="R1523" s="1"/>
      <c r="S1523" s="1"/>
      <c r="T1523" s="1"/>
      <c r="U1523" s="1"/>
      <c r="V1523" s="1"/>
      <c r="W1523" s="1"/>
      <c r="X1523" s="1"/>
    </row>
    <row x14ac:dyDescent="0.25" r="1524" customHeight="1" ht="18.75">
      <c r="A1524" s="1"/>
      <c r="B1524" s="1"/>
      <c r="C1524" s="3" t="s">
        <v>100</v>
      </c>
      <c r="D1524" s="3" t="s">
        <v>1551</v>
      </c>
      <c r="E1524" s="1"/>
      <c r="F1524" s="1"/>
      <c r="G1524" s="1"/>
      <c r="H1524" s="1"/>
      <c r="I1524" s="2"/>
      <c r="J1524" s="1"/>
      <c r="K1524" s="1"/>
      <c r="L1524" s="1"/>
      <c r="M1524" s="1"/>
      <c r="N1524" s="1"/>
      <c r="O1524" s="1"/>
      <c r="P1524" s="1"/>
      <c r="Q1524" s="1"/>
      <c r="R1524" s="1"/>
      <c r="S1524" s="1"/>
      <c r="T1524" s="1"/>
      <c r="U1524" s="1"/>
      <c r="V1524" s="1"/>
      <c r="W1524" s="1"/>
      <c r="X1524" s="1"/>
    </row>
    <row x14ac:dyDescent="0.25" r="1525" customHeight="1" ht="18.75">
      <c r="A1525" s="1"/>
      <c r="B1525" s="1"/>
      <c r="C1525" s="3" t="s">
        <v>100</v>
      </c>
      <c r="D1525" s="3" t="s">
        <v>1552</v>
      </c>
      <c r="E1525" s="1"/>
      <c r="F1525" s="1"/>
      <c r="G1525" s="1"/>
      <c r="H1525" s="1"/>
      <c r="I1525" s="2"/>
      <c r="J1525" s="1"/>
      <c r="K1525" s="1"/>
      <c r="L1525" s="1"/>
      <c r="M1525" s="1"/>
      <c r="N1525" s="1"/>
      <c r="O1525" s="1"/>
      <c r="P1525" s="1"/>
      <c r="Q1525" s="1"/>
      <c r="R1525" s="1"/>
      <c r="S1525" s="1"/>
      <c r="T1525" s="1"/>
      <c r="U1525" s="1"/>
      <c r="V1525" s="1"/>
      <c r="W1525" s="1"/>
      <c r="X1525" s="1"/>
    </row>
    <row x14ac:dyDescent="0.25" r="1526" customHeight="1" ht="18.75">
      <c r="A1526" s="1"/>
      <c r="B1526" s="1"/>
      <c r="C1526" s="3" t="s">
        <v>100</v>
      </c>
      <c r="D1526" s="3" t="s">
        <v>1553</v>
      </c>
      <c r="E1526" s="1"/>
      <c r="F1526" s="1"/>
      <c r="G1526" s="1"/>
      <c r="H1526" s="1"/>
      <c r="I1526" s="2"/>
      <c r="J1526" s="1"/>
      <c r="K1526" s="1"/>
      <c r="L1526" s="1"/>
      <c r="M1526" s="1"/>
      <c r="N1526" s="1"/>
      <c r="O1526" s="1"/>
      <c r="P1526" s="1"/>
      <c r="Q1526" s="1"/>
      <c r="R1526" s="1"/>
      <c r="S1526" s="1"/>
      <c r="T1526" s="1"/>
      <c r="U1526" s="1"/>
      <c r="V1526" s="1"/>
      <c r="W1526" s="1"/>
      <c r="X1526" s="1"/>
    </row>
    <row x14ac:dyDescent="0.25" r="1527" customHeight="1" ht="18.75">
      <c r="A1527" s="1"/>
      <c r="B1527" s="1"/>
      <c r="C1527" s="3" t="s">
        <v>100</v>
      </c>
      <c r="D1527" s="3" t="s">
        <v>1554</v>
      </c>
      <c r="E1527" s="1"/>
      <c r="F1527" s="1"/>
      <c r="G1527" s="1"/>
      <c r="H1527" s="1"/>
      <c r="I1527" s="2"/>
      <c r="J1527" s="1"/>
      <c r="K1527" s="1"/>
      <c r="L1527" s="1"/>
      <c r="M1527" s="1"/>
      <c r="N1527" s="1"/>
      <c r="O1527" s="1"/>
      <c r="P1527" s="1"/>
      <c r="Q1527" s="1"/>
      <c r="R1527" s="1"/>
      <c r="S1527" s="1"/>
      <c r="T1527" s="1"/>
      <c r="U1527" s="1"/>
      <c r="V1527" s="1"/>
      <c r="W1527" s="1"/>
      <c r="X1527" s="1"/>
    </row>
    <row x14ac:dyDescent="0.25" r="1528" customHeight="1" ht="18.75">
      <c r="A1528" s="1"/>
      <c r="B1528" s="1"/>
      <c r="C1528" s="3" t="s">
        <v>100</v>
      </c>
      <c r="D1528" s="3" t="s">
        <v>1555</v>
      </c>
      <c r="E1528" s="1"/>
      <c r="F1528" s="1"/>
      <c r="G1528" s="1"/>
      <c r="H1528" s="1"/>
      <c r="I1528" s="2"/>
      <c r="J1528" s="1"/>
      <c r="K1528" s="1"/>
      <c r="L1528" s="1"/>
      <c r="M1528" s="1"/>
      <c r="N1528" s="1"/>
      <c r="O1528" s="1"/>
      <c r="P1528" s="1"/>
      <c r="Q1528" s="1"/>
      <c r="R1528" s="1"/>
      <c r="S1528" s="1"/>
      <c r="T1528" s="1"/>
      <c r="U1528" s="1"/>
      <c r="V1528" s="1"/>
      <c r="W1528" s="1"/>
      <c r="X1528" s="1"/>
    </row>
    <row x14ac:dyDescent="0.25" r="1529" customHeight="1" ht="18.75">
      <c r="A1529" s="1"/>
      <c r="B1529" s="1"/>
      <c r="C1529" s="3" t="s">
        <v>100</v>
      </c>
      <c r="D1529" s="3" t="s">
        <v>1556</v>
      </c>
      <c r="E1529" s="1"/>
      <c r="F1529" s="1"/>
      <c r="G1529" s="1"/>
      <c r="H1529" s="1"/>
      <c r="I1529" s="2"/>
      <c r="J1529" s="1"/>
      <c r="K1529" s="1"/>
      <c r="L1529" s="1"/>
      <c r="M1529" s="1"/>
      <c r="N1529" s="1"/>
      <c r="O1529" s="1"/>
      <c r="P1529" s="1"/>
      <c r="Q1529" s="1"/>
      <c r="R1529" s="1"/>
      <c r="S1529" s="1"/>
      <c r="T1529" s="1"/>
      <c r="U1529" s="1"/>
      <c r="V1529" s="1"/>
      <c r="W1529" s="1"/>
      <c r="X1529" s="1"/>
    </row>
    <row x14ac:dyDescent="0.25" r="1530" customHeight="1" ht="18.75">
      <c r="A1530" s="1"/>
      <c r="B1530" s="1"/>
      <c r="C1530" s="3" t="s">
        <v>100</v>
      </c>
      <c r="D1530" s="3" t="s">
        <v>1557</v>
      </c>
      <c r="E1530" s="1"/>
      <c r="F1530" s="1"/>
      <c r="G1530" s="1"/>
      <c r="H1530" s="1"/>
      <c r="I1530" s="2"/>
      <c r="J1530" s="1"/>
      <c r="K1530" s="1"/>
      <c r="L1530" s="1"/>
      <c r="M1530" s="1"/>
      <c r="N1530" s="1"/>
      <c r="O1530" s="1"/>
      <c r="P1530" s="1"/>
      <c r="Q1530" s="1"/>
      <c r="R1530" s="1"/>
      <c r="S1530" s="1"/>
      <c r="T1530" s="1"/>
      <c r="U1530" s="1"/>
      <c r="V1530" s="1"/>
      <c r="W1530" s="1"/>
      <c r="X1530" s="1"/>
    </row>
    <row x14ac:dyDescent="0.25" r="1531" customHeight="1" ht="18.75">
      <c r="A1531" s="1"/>
      <c r="B1531" s="1"/>
      <c r="C1531" s="3" t="s">
        <v>100</v>
      </c>
      <c r="D1531" s="3" t="s">
        <v>1558</v>
      </c>
      <c r="E1531" s="1"/>
      <c r="F1531" s="1"/>
      <c r="G1531" s="1"/>
      <c r="H1531" s="1"/>
      <c r="I1531" s="2"/>
      <c r="J1531" s="1"/>
      <c r="K1531" s="1"/>
      <c r="L1531" s="1"/>
      <c r="M1531" s="1"/>
      <c r="N1531" s="1"/>
      <c r="O1531" s="1"/>
      <c r="P1531" s="1"/>
      <c r="Q1531" s="1"/>
      <c r="R1531" s="1"/>
      <c r="S1531" s="1"/>
      <c r="T1531" s="1"/>
      <c r="U1531" s="1"/>
      <c r="V1531" s="1"/>
      <c r="W1531" s="1"/>
      <c r="X1531" s="1"/>
    </row>
    <row x14ac:dyDescent="0.25" r="1532" customHeight="1" ht="18.75">
      <c r="A1532" s="1"/>
      <c r="B1532" s="1"/>
      <c r="C1532" s="3" t="s">
        <v>100</v>
      </c>
      <c r="D1532" s="3" t="s">
        <v>1559</v>
      </c>
      <c r="E1532" s="1"/>
      <c r="F1532" s="1"/>
      <c r="G1532" s="1"/>
      <c r="H1532" s="1"/>
      <c r="I1532" s="2"/>
      <c r="J1532" s="1"/>
      <c r="K1532" s="1"/>
      <c r="L1532" s="1"/>
      <c r="M1532" s="1"/>
      <c r="N1532" s="1"/>
      <c r="O1532" s="1"/>
      <c r="P1532" s="1"/>
      <c r="Q1532" s="1"/>
      <c r="R1532" s="1"/>
      <c r="S1532" s="1"/>
      <c r="T1532" s="1"/>
      <c r="U1532" s="1"/>
      <c r="V1532" s="1"/>
      <c r="W1532" s="1"/>
      <c r="X1532" s="1"/>
    </row>
    <row x14ac:dyDescent="0.25" r="1533" customHeight="1" ht="18.75">
      <c r="A1533" s="1"/>
      <c r="B1533" s="1"/>
      <c r="C1533" s="3" t="s">
        <v>100</v>
      </c>
      <c r="D1533" s="3" t="s">
        <v>1560</v>
      </c>
      <c r="E1533" s="1"/>
      <c r="F1533" s="1"/>
      <c r="G1533" s="1"/>
      <c r="H1533" s="1"/>
      <c r="I1533" s="2"/>
      <c r="J1533" s="1"/>
      <c r="K1533" s="1"/>
      <c r="L1533" s="1"/>
      <c r="M1533" s="1"/>
      <c r="N1533" s="1"/>
      <c r="O1533" s="1"/>
      <c r="P1533" s="1"/>
      <c r="Q1533" s="1"/>
      <c r="R1533" s="1"/>
      <c r="S1533" s="1"/>
      <c r="T1533" s="1"/>
      <c r="U1533" s="1"/>
      <c r="V1533" s="1"/>
      <c r="W1533" s="1"/>
      <c r="X1533" s="1"/>
    </row>
    <row x14ac:dyDescent="0.25" r="1534" customHeight="1" ht="18.75">
      <c r="A1534" s="1"/>
      <c r="B1534" s="1"/>
      <c r="C1534" s="3" t="s">
        <v>100</v>
      </c>
      <c r="D1534" s="3" t="s">
        <v>1561</v>
      </c>
      <c r="E1534" s="1"/>
      <c r="F1534" s="1"/>
      <c r="G1534" s="1"/>
      <c r="H1534" s="1"/>
      <c r="I1534" s="2"/>
      <c r="J1534" s="1"/>
      <c r="K1534" s="1"/>
      <c r="L1534" s="1"/>
      <c r="M1534" s="1"/>
      <c r="N1534" s="1"/>
      <c r="O1534" s="1"/>
      <c r="P1534" s="1"/>
      <c r="Q1534" s="1"/>
      <c r="R1534" s="1"/>
      <c r="S1534" s="1"/>
      <c r="T1534" s="1"/>
      <c r="U1534" s="1"/>
      <c r="V1534" s="1"/>
      <c r="W1534" s="1"/>
      <c r="X1534" s="1"/>
    </row>
    <row x14ac:dyDescent="0.25" r="1535" customHeight="1" ht="18.75">
      <c r="A1535" s="1"/>
      <c r="B1535" s="1"/>
      <c r="C1535" s="3" t="s">
        <v>100</v>
      </c>
      <c r="D1535" s="3" t="s">
        <v>1562</v>
      </c>
      <c r="E1535" s="1"/>
      <c r="F1535" s="1"/>
      <c r="G1535" s="1"/>
      <c r="H1535" s="1"/>
      <c r="I1535" s="2"/>
      <c r="J1535" s="1"/>
      <c r="K1535" s="1"/>
      <c r="L1535" s="1"/>
      <c r="M1535" s="1"/>
      <c r="N1535" s="1"/>
      <c r="O1535" s="1"/>
      <c r="P1535" s="1"/>
      <c r="Q1535" s="1"/>
      <c r="R1535" s="1"/>
      <c r="S1535" s="1"/>
      <c r="T1535" s="1"/>
      <c r="U1535" s="1"/>
      <c r="V1535" s="1"/>
      <c r="W1535" s="1"/>
      <c r="X1535" s="1"/>
    </row>
    <row x14ac:dyDescent="0.25" r="1536" customHeight="1" ht="18.75">
      <c r="A1536" s="1"/>
      <c r="B1536" s="1"/>
      <c r="C1536" s="3" t="s">
        <v>100</v>
      </c>
      <c r="D1536" s="3" t="s">
        <v>1563</v>
      </c>
      <c r="E1536" s="1"/>
      <c r="F1536" s="1"/>
      <c r="G1536" s="1"/>
      <c r="H1536" s="1"/>
      <c r="I1536" s="2"/>
      <c r="J1536" s="1"/>
      <c r="K1536" s="1"/>
      <c r="L1536" s="1"/>
      <c r="M1536" s="1"/>
      <c r="N1536" s="1"/>
      <c r="O1536" s="1"/>
      <c r="P1536" s="1"/>
      <c r="Q1536" s="1"/>
      <c r="R1536" s="1"/>
      <c r="S1536" s="1"/>
      <c r="T1536" s="1"/>
      <c r="U1536" s="1"/>
      <c r="V1536" s="1"/>
      <c r="W1536" s="1"/>
      <c r="X1536" s="1"/>
    </row>
    <row x14ac:dyDescent="0.25" r="1537" customHeight="1" ht="18.75">
      <c r="A1537" s="1"/>
      <c r="B1537" s="1"/>
      <c r="C1537" s="3" t="s">
        <v>100</v>
      </c>
      <c r="D1537" s="3" t="s">
        <v>1564</v>
      </c>
      <c r="E1537" s="1"/>
      <c r="F1537" s="1"/>
      <c r="G1537" s="1"/>
      <c r="H1537" s="1"/>
      <c r="I1537" s="2"/>
      <c r="J1537" s="1"/>
      <c r="K1537" s="1"/>
      <c r="L1537" s="1"/>
      <c r="M1537" s="1"/>
      <c r="N1537" s="1"/>
      <c r="O1537" s="1"/>
      <c r="P1537" s="1"/>
      <c r="Q1537" s="1"/>
      <c r="R1537" s="1"/>
      <c r="S1537" s="1"/>
      <c r="T1537" s="1"/>
      <c r="U1537" s="1"/>
      <c r="V1537" s="1"/>
      <c r="W1537" s="1"/>
      <c r="X1537" s="1"/>
    </row>
    <row x14ac:dyDescent="0.25" r="1538" customHeight="1" ht="18.75">
      <c r="A1538" s="1"/>
      <c r="B1538" s="1"/>
      <c r="C1538" s="3" t="s">
        <v>100</v>
      </c>
      <c r="D1538" s="3" t="s">
        <v>1565</v>
      </c>
      <c r="E1538" s="1"/>
      <c r="F1538" s="1"/>
      <c r="G1538" s="1"/>
      <c r="H1538" s="1"/>
      <c r="I1538" s="2"/>
      <c r="J1538" s="1"/>
      <c r="K1538" s="1"/>
      <c r="L1538" s="1"/>
      <c r="M1538" s="1"/>
      <c r="N1538" s="1"/>
      <c r="O1538" s="1"/>
      <c r="P1538" s="1"/>
      <c r="Q1538" s="1"/>
      <c r="R1538" s="1"/>
      <c r="S1538" s="1"/>
      <c r="T1538" s="1"/>
      <c r="U1538" s="1"/>
      <c r="V1538" s="1"/>
      <c r="W1538" s="1"/>
      <c r="X1538" s="1"/>
    </row>
    <row x14ac:dyDescent="0.25" r="1539" customHeight="1" ht="18.75">
      <c r="A1539" s="1"/>
      <c r="B1539" s="1"/>
      <c r="C1539" s="3" t="s">
        <v>100</v>
      </c>
      <c r="D1539" s="3" t="s">
        <v>1566</v>
      </c>
      <c r="E1539" s="1"/>
      <c r="F1539" s="1"/>
      <c r="G1539" s="1"/>
      <c r="H1539" s="1"/>
      <c r="I1539" s="2"/>
      <c r="J1539" s="1"/>
      <c r="K1539" s="1"/>
      <c r="L1539" s="1"/>
      <c r="M1539" s="1"/>
      <c r="N1539" s="1"/>
      <c r="O1539" s="1"/>
      <c r="P1539" s="1"/>
      <c r="Q1539" s="1"/>
      <c r="R1539" s="1"/>
      <c r="S1539" s="1"/>
      <c r="T1539" s="1"/>
      <c r="U1539" s="1"/>
      <c r="V1539" s="1"/>
      <c r="W1539" s="1"/>
      <c r="X1539" s="1"/>
    </row>
    <row x14ac:dyDescent="0.25" r="1540" customHeight="1" ht="18.75">
      <c r="A1540" s="1"/>
      <c r="B1540" s="1"/>
      <c r="C1540" s="3" t="s">
        <v>100</v>
      </c>
      <c r="D1540" s="3" t="s">
        <v>1567</v>
      </c>
      <c r="E1540" s="1"/>
      <c r="F1540" s="1"/>
      <c r="G1540" s="1"/>
      <c r="H1540" s="1"/>
      <c r="I1540" s="2"/>
      <c r="J1540" s="1"/>
      <c r="K1540" s="1"/>
      <c r="L1540" s="1"/>
      <c r="M1540" s="1"/>
      <c r="N1540" s="1"/>
      <c r="O1540" s="1"/>
      <c r="P1540" s="1"/>
      <c r="Q1540" s="1"/>
      <c r="R1540" s="1"/>
      <c r="S1540" s="1"/>
      <c r="T1540" s="1"/>
      <c r="U1540" s="1"/>
      <c r="V1540" s="1"/>
      <c r="W1540" s="1"/>
      <c r="X1540" s="1"/>
    </row>
    <row x14ac:dyDescent="0.25" r="1541" customHeight="1" ht="18.75">
      <c r="A1541" s="1"/>
      <c r="B1541" s="1"/>
      <c r="C1541" s="3" t="s">
        <v>100</v>
      </c>
      <c r="D1541" s="3" t="s">
        <v>1568</v>
      </c>
      <c r="E1541" s="1"/>
      <c r="F1541" s="1"/>
      <c r="G1541" s="1"/>
      <c r="H1541" s="1"/>
      <c r="I1541" s="2"/>
      <c r="J1541" s="1"/>
      <c r="K1541" s="1"/>
      <c r="L1541" s="1"/>
      <c r="M1541" s="1"/>
      <c r="N1541" s="1"/>
      <c r="O1541" s="1"/>
      <c r="P1541" s="1"/>
      <c r="Q1541" s="1"/>
      <c r="R1541" s="1"/>
      <c r="S1541" s="1"/>
      <c r="T1541" s="1"/>
      <c r="U1541" s="1"/>
      <c r="V1541" s="1"/>
      <c r="W1541" s="1"/>
      <c r="X1541" s="1"/>
    </row>
    <row x14ac:dyDescent="0.25" r="1542" customHeight="1" ht="18.75">
      <c r="A1542" s="1"/>
      <c r="B1542" s="1"/>
      <c r="C1542" s="3" t="s">
        <v>100</v>
      </c>
      <c r="D1542" s="3" t="s">
        <v>1569</v>
      </c>
      <c r="E1542" s="1"/>
      <c r="F1542" s="1"/>
      <c r="G1542" s="1"/>
      <c r="H1542" s="1"/>
      <c r="I1542" s="2"/>
      <c r="J1542" s="1"/>
      <c r="K1542" s="1"/>
      <c r="L1542" s="1"/>
      <c r="M1542" s="1"/>
      <c r="N1542" s="1"/>
      <c r="O1542" s="1"/>
      <c r="P1542" s="1"/>
      <c r="Q1542" s="1"/>
      <c r="R1542" s="1"/>
      <c r="S1542" s="1"/>
      <c r="T1542" s="1"/>
      <c r="U1542" s="1"/>
      <c r="V1542" s="1"/>
      <c r="W1542" s="1"/>
      <c r="X1542" s="1"/>
    </row>
    <row x14ac:dyDescent="0.25" r="1543" customHeight="1" ht="18.75">
      <c r="A1543" s="1"/>
      <c r="B1543" s="1"/>
      <c r="C1543" s="3" t="s">
        <v>100</v>
      </c>
      <c r="D1543" s="3" t="s">
        <v>1570</v>
      </c>
      <c r="E1543" s="1"/>
      <c r="F1543" s="1"/>
      <c r="G1543" s="1"/>
      <c r="H1543" s="1"/>
      <c r="I1543" s="2"/>
      <c r="J1543" s="1"/>
      <c r="K1543" s="1"/>
      <c r="L1543" s="1"/>
      <c r="M1543" s="1"/>
      <c r="N1543" s="1"/>
      <c r="O1543" s="1"/>
      <c r="P1543" s="1"/>
      <c r="Q1543" s="1"/>
      <c r="R1543" s="1"/>
      <c r="S1543" s="1"/>
      <c r="T1543" s="1"/>
      <c r="U1543" s="1"/>
      <c r="V1543" s="1"/>
      <c r="W1543" s="1"/>
      <c r="X1543" s="1"/>
    </row>
    <row x14ac:dyDescent="0.25" r="1544" customHeight="1" ht="18.75">
      <c r="A1544" s="1"/>
      <c r="B1544" s="1"/>
      <c r="C1544" s="3" t="s">
        <v>100</v>
      </c>
      <c r="D1544" s="3" t="s">
        <v>1571</v>
      </c>
      <c r="E1544" s="1"/>
      <c r="F1544" s="1"/>
      <c r="G1544" s="1"/>
      <c r="H1544" s="1"/>
      <c r="I1544" s="2"/>
      <c r="J1544" s="1"/>
      <c r="K1544" s="1"/>
      <c r="L1544" s="1"/>
      <c r="M1544" s="1"/>
      <c r="N1544" s="1"/>
      <c r="O1544" s="1"/>
      <c r="P1544" s="1"/>
      <c r="Q1544" s="1"/>
      <c r="R1544" s="1"/>
      <c r="S1544" s="1"/>
      <c r="T1544" s="1"/>
      <c r="U1544" s="1"/>
      <c r="V1544" s="1"/>
      <c r="W1544" s="1"/>
      <c r="X1544" s="1"/>
    </row>
    <row x14ac:dyDescent="0.25" r="1545" customHeight="1" ht="18.75">
      <c r="A1545" s="1"/>
      <c r="B1545" s="1"/>
      <c r="C1545" s="3" t="s">
        <v>100</v>
      </c>
      <c r="D1545" s="3" t="s">
        <v>1572</v>
      </c>
      <c r="E1545" s="1"/>
      <c r="F1545" s="1"/>
      <c r="G1545" s="1"/>
      <c r="H1545" s="1"/>
      <c r="I1545" s="2"/>
      <c r="J1545" s="1"/>
      <c r="K1545" s="1"/>
      <c r="L1545" s="1"/>
      <c r="M1545" s="1"/>
      <c r="N1545" s="1"/>
      <c r="O1545" s="1"/>
      <c r="P1545" s="1"/>
      <c r="Q1545" s="1"/>
      <c r="R1545" s="1"/>
      <c r="S1545" s="1"/>
      <c r="T1545" s="1"/>
      <c r="U1545" s="1"/>
      <c r="V1545" s="1"/>
      <c r="W1545" s="1"/>
      <c r="X1545" s="1"/>
    </row>
    <row x14ac:dyDescent="0.25" r="1546" customHeight="1" ht="18.75">
      <c r="A1546" s="1"/>
      <c r="B1546" s="1"/>
      <c r="C1546" s="3" t="s">
        <v>100</v>
      </c>
      <c r="D1546" s="3" t="s">
        <v>1573</v>
      </c>
      <c r="E1546" s="1"/>
      <c r="F1546" s="1"/>
      <c r="G1546" s="1"/>
      <c r="H1546" s="1"/>
      <c r="I1546" s="2"/>
      <c r="J1546" s="1"/>
      <c r="K1546" s="1"/>
      <c r="L1546" s="1"/>
      <c r="M1546" s="1"/>
      <c r="N1546" s="1"/>
      <c r="O1546" s="1"/>
      <c r="P1546" s="1"/>
      <c r="Q1546" s="1"/>
      <c r="R1546" s="1"/>
      <c r="S1546" s="1"/>
      <c r="T1546" s="1"/>
      <c r="U1546" s="1"/>
      <c r="V1546" s="1"/>
      <c r="W1546" s="1"/>
      <c r="X1546" s="1"/>
    </row>
    <row x14ac:dyDescent="0.25" r="1547" customHeight="1" ht="18.75">
      <c r="A1547" s="1"/>
      <c r="B1547" s="1"/>
      <c r="C1547" s="3" t="s">
        <v>100</v>
      </c>
      <c r="D1547" s="3" t="s">
        <v>1574</v>
      </c>
      <c r="E1547" s="1"/>
      <c r="F1547" s="1"/>
      <c r="G1547" s="1"/>
      <c r="H1547" s="1"/>
      <c r="I1547" s="2"/>
      <c r="J1547" s="1"/>
      <c r="K1547" s="1"/>
      <c r="L1547" s="1"/>
      <c r="M1547" s="1"/>
      <c r="N1547" s="1"/>
      <c r="O1547" s="1"/>
      <c r="P1547" s="1"/>
      <c r="Q1547" s="1"/>
      <c r="R1547" s="1"/>
      <c r="S1547" s="1"/>
      <c r="T1547" s="1"/>
      <c r="U1547" s="1"/>
      <c r="V1547" s="1"/>
      <c r="W1547" s="1"/>
      <c r="X1547" s="1"/>
    </row>
    <row x14ac:dyDescent="0.25" r="1548" customHeight="1" ht="18.75">
      <c r="A1548" s="1"/>
      <c r="B1548" s="1"/>
      <c r="C1548" s="3" t="s">
        <v>100</v>
      </c>
      <c r="D1548" s="3" t="s">
        <v>1575</v>
      </c>
      <c r="E1548" s="1"/>
      <c r="F1548" s="1"/>
      <c r="G1548" s="1"/>
      <c r="H1548" s="1"/>
      <c r="I1548" s="2"/>
      <c r="J1548" s="1"/>
      <c r="K1548" s="1"/>
      <c r="L1548" s="1"/>
      <c r="M1548" s="1"/>
      <c r="N1548" s="1"/>
      <c r="O1548" s="1"/>
      <c r="P1548" s="1"/>
      <c r="Q1548" s="1"/>
      <c r="R1548" s="1"/>
      <c r="S1548" s="1"/>
      <c r="T1548" s="1"/>
      <c r="U1548" s="1"/>
      <c r="V1548" s="1"/>
      <c r="W1548" s="1"/>
      <c r="X1548" s="1"/>
    </row>
    <row x14ac:dyDescent="0.25" r="1549" customHeight="1" ht="18.75">
      <c r="A1549" s="1"/>
      <c r="B1549" s="1"/>
      <c r="C1549" s="3" t="s">
        <v>100</v>
      </c>
      <c r="D1549" s="3" t="s">
        <v>1576</v>
      </c>
      <c r="E1549" s="1"/>
      <c r="F1549" s="1"/>
      <c r="G1549" s="1"/>
      <c r="H1549" s="1"/>
      <c r="I1549" s="2"/>
      <c r="J1549" s="1"/>
      <c r="K1549" s="1"/>
      <c r="L1549" s="1"/>
      <c r="M1549" s="1"/>
      <c r="N1549" s="1"/>
      <c r="O1549" s="1"/>
      <c r="P1549" s="1"/>
      <c r="Q1549" s="1"/>
      <c r="R1549" s="1"/>
      <c r="S1549" s="1"/>
      <c r="T1549" s="1"/>
      <c r="U1549" s="1"/>
      <c r="V1549" s="1"/>
      <c r="W1549" s="1"/>
      <c r="X1549" s="1"/>
    </row>
    <row x14ac:dyDescent="0.25" r="1550" customHeight="1" ht="18.75">
      <c r="A1550" s="1"/>
      <c r="B1550" s="1"/>
      <c r="C1550" s="3" t="s">
        <v>100</v>
      </c>
      <c r="D1550" s="3" t="s">
        <v>1577</v>
      </c>
      <c r="E1550" s="1"/>
      <c r="F1550" s="1"/>
      <c r="G1550" s="1"/>
      <c r="H1550" s="1"/>
      <c r="I1550" s="2"/>
      <c r="J1550" s="1"/>
      <c r="K1550" s="1"/>
      <c r="L1550" s="1"/>
      <c r="M1550" s="1"/>
      <c r="N1550" s="1"/>
      <c r="O1550" s="1"/>
      <c r="P1550" s="1"/>
      <c r="Q1550" s="1"/>
      <c r="R1550" s="1"/>
      <c r="S1550" s="1"/>
      <c r="T1550" s="1"/>
      <c r="U1550" s="1"/>
      <c r="V1550" s="1"/>
      <c r="W1550" s="1"/>
      <c r="X1550" s="1"/>
    </row>
    <row x14ac:dyDescent="0.25" r="1551" customHeight="1" ht="18.75">
      <c r="A1551" s="1"/>
      <c r="B1551" s="1"/>
      <c r="C1551" s="3" t="s">
        <v>100</v>
      </c>
      <c r="D1551" s="3" t="s">
        <v>1578</v>
      </c>
      <c r="E1551" s="1"/>
      <c r="F1551" s="1"/>
      <c r="G1551" s="1"/>
      <c r="H1551" s="1"/>
      <c r="I1551" s="2"/>
      <c r="J1551" s="1"/>
      <c r="K1551" s="1"/>
      <c r="L1551" s="1"/>
      <c r="M1551" s="1"/>
      <c r="N1551" s="1"/>
      <c r="O1551" s="1"/>
      <c r="P1551" s="1"/>
      <c r="Q1551" s="1"/>
      <c r="R1551" s="1"/>
      <c r="S1551" s="1"/>
      <c r="T1551" s="1"/>
      <c r="U1551" s="1"/>
      <c r="V1551" s="1"/>
      <c r="W1551" s="1"/>
      <c r="X1551" s="1"/>
    </row>
    <row x14ac:dyDescent="0.25" r="1552" customHeight="1" ht="18.75">
      <c r="A1552" s="1"/>
      <c r="B1552" s="1"/>
      <c r="C1552" s="3" t="s">
        <v>100</v>
      </c>
      <c r="D1552" s="3" t="s">
        <v>1579</v>
      </c>
      <c r="E1552" s="1"/>
      <c r="F1552" s="1"/>
      <c r="G1552" s="1"/>
      <c r="H1552" s="1"/>
      <c r="I1552" s="2"/>
      <c r="J1552" s="1"/>
      <c r="K1552" s="1"/>
      <c r="L1552" s="1"/>
      <c r="M1552" s="1"/>
      <c r="N1552" s="1"/>
      <c r="O1552" s="1"/>
      <c r="P1552" s="1"/>
      <c r="Q1552" s="1"/>
      <c r="R1552" s="1"/>
      <c r="S1552" s="1"/>
      <c r="T1552" s="1"/>
      <c r="U1552" s="1"/>
      <c r="V1552" s="1"/>
      <c r="W1552" s="1"/>
      <c r="X1552" s="1"/>
    </row>
    <row x14ac:dyDescent="0.25" r="1553" customHeight="1" ht="18.75">
      <c r="A1553" s="1"/>
      <c r="B1553" s="1"/>
      <c r="C1553" s="3" t="s">
        <v>100</v>
      </c>
      <c r="D1553" s="3" t="s">
        <v>1580</v>
      </c>
      <c r="E1553" s="1"/>
      <c r="F1553" s="1"/>
      <c r="G1553" s="1"/>
      <c r="H1553" s="1"/>
      <c r="I1553" s="2"/>
      <c r="J1553" s="1"/>
      <c r="K1553" s="1"/>
      <c r="L1553" s="1"/>
      <c r="M1553" s="1"/>
      <c r="N1553" s="1"/>
      <c r="O1553" s="1"/>
      <c r="P1553" s="1"/>
      <c r="Q1553" s="1"/>
      <c r="R1553" s="1"/>
      <c r="S1553" s="1"/>
      <c r="T1553" s="1"/>
      <c r="U1553" s="1"/>
      <c r="V1553" s="1"/>
      <c r="W1553" s="1"/>
      <c r="X1553" s="1"/>
    </row>
    <row x14ac:dyDescent="0.25" r="1554" customHeight="1" ht="18.75">
      <c r="A1554" s="1"/>
      <c r="B1554" s="1"/>
      <c r="C1554" s="3" t="s">
        <v>100</v>
      </c>
      <c r="D1554" s="3" t="s">
        <v>1581</v>
      </c>
      <c r="E1554" s="1"/>
      <c r="F1554" s="1"/>
      <c r="G1554" s="1"/>
      <c r="H1554" s="1"/>
      <c r="I1554" s="2"/>
      <c r="J1554" s="1"/>
      <c r="K1554" s="1"/>
      <c r="L1554" s="1"/>
      <c r="M1554" s="1"/>
      <c r="N1554" s="1"/>
      <c r="O1554" s="1"/>
      <c r="P1554" s="1"/>
      <c r="Q1554" s="1"/>
      <c r="R1554" s="1"/>
      <c r="S1554" s="1"/>
      <c r="T1554" s="1"/>
      <c r="U1554" s="1"/>
      <c r="V1554" s="1"/>
      <c r="W1554" s="1"/>
      <c r="X1554" s="1"/>
    </row>
    <row x14ac:dyDescent="0.25" r="1555" customHeight="1" ht="18.75">
      <c r="A1555" s="1"/>
      <c r="B1555" s="1"/>
      <c r="C1555" s="3" t="s">
        <v>100</v>
      </c>
      <c r="D1555" s="3" t="s">
        <v>1582</v>
      </c>
      <c r="E1555" s="1"/>
      <c r="F1555" s="1"/>
      <c r="G1555" s="1"/>
      <c r="H1555" s="1"/>
      <c r="I1555" s="2"/>
      <c r="J1555" s="1"/>
      <c r="K1555" s="1"/>
      <c r="L1555" s="1"/>
      <c r="M1555" s="1"/>
      <c r="N1555" s="1"/>
      <c r="O1555" s="1"/>
      <c r="P1555" s="1"/>
      <c r="Q1555" s="1"/>
      <c r="R1555" s="1"/>
      <c r="S1555" s="1"/>
      <c r="T1555" s="1"/>
      <c r="U1555" s="1"/>
      <c r="V1555" s="1"/>
      <c r="W1555" s="1"/>
      <c r="X1555" s="1"/>
    </row>
    <row x14ac:dyDescent="0.25" r="1556" customHeight="1" ht="18.75">
      <c r="A1556" s="1"/>
      <c r="B1556" s="1"/>
      <c r="C1556" s="3" t="s">
        <v>100</v>
      </c>
      <c r="D1556" s="3" t="s">
        <v>1583</v>
      </c>
      <c r="E1556" s="1"/>
      <c r="F1556" s="1"/>
      <c r="G1556" s="1"/>
      <c r="H1556" s="1"/>
      <c r="I1556" s="2"/>
      <c r="J1556" s="1"/>
      <c r="K1556" s="1"/>
      <c r="L1556" s="1"/>
      <c r="M1556" s="1"/>
      <c r="N1556" s="1"/>
      <c r="O1556" s="1"/>
      <c r="P1556" s="1"/>
      <c r="Q1556" s="1"/>
      <c r="R1556" s="1"/>
      <c r="S1556" s="1"/>
      <c r="T1556" s="1"/>
      <c r="U1556" s="1"/>
      <c r="V1556" s="1"/>
      <c r="W1556" s="1"/>
      <c r="X1556" s="1"/>
    </row>
    <row x14ac:dyDescent="0.25" r="1557" customHeight="1" ht="18.75">
      <c r="A1557" s="1"/>
      <c r="B1557" s="1"/>
      <c r="C1557" s="3" t="s">
        <v>100</v>
      </c>
      <c r="D1557" s="3" t="s">
        <v>1584</v>
      </c>
      <c r="E1557" s="1"/>
      <c r="F1557" s="1"/>
      <c r="G1557" s="1"/>
      <c r="H1557" s="1"/>
      <c r="I1557" s="2"/>
      <c r="J1557" s="1"/>
      <c r="K1557" s="1"/>
      <c r="L1557" s="1"/>
      <c r="M1557" s="1"/>
      <c r="N1557" s="1"/>
      <c r="O1557" s="1"/>
      <c r="P1557" s="1"/>
      <c r="Q1557" s="1"/>
      <c r="R1557" s="1"/>
      <c r="S1557" s="1"/>
      <c r="T1557" s="1"/>
      <c r="U1557" s="1"/>
      <c r="V1557" s="1"/>
      <c r="W1557" s="1"/>
      <c r="X1557" s="1"/>
    </row>
    <row x14ac:dyDescent="0.25" r="1558" customHeight="1" ht="18.75">
      <c r="A1558" s="1"/>
      <c r="B1558" s="1"/>
      <c r="C1558" s="3" t="s">
        <v>100</v>
      </c>
      <c r="D1558" s="3" t="s">
        <v>1585</v>
      </c>
      <c r="E1558" s="1"/>
      <c r="F1558" s="1"/>
      <c r="G1558" s="1"/>
      <c r="H1558" s="1"/>
      <c r="I1558" s="2"/>
      <c r="J1558" s="1"/>
      <c r="K1558" s="1"/>
      <c r="L1558" s="1"/>
      <c r="M1558" s="1"/>
      <c r="N1558" s="1"/>
      <c r="O1558" s="1"/>
      <c r="P1558" s="1"/>
      <c r="Q1558" s="1"/>
      <c r="R1558" s="1"/>
      <c r="S1558" s="1"/>
      <c r="T1558" s="1"/>
      <c r="U1558" s="1"/>
      <c r="V1558" s="1"/>
      <c r="W1558" s="1"/>
      <c r="X1558" s="1"/>
    </row>
    <row x14ac:dyDescent="0.25" r="1559" customHeight="1" ht="18.75">
      <c r="A1559" s="1"/>
      <c r="B1559" s="1"/>
      <c r="C1559" s="3" t="s">
        <v>100</v>
      </c>
      <c r="D1559" s="3" t="s">
        <v>1586</v>
      </c>
      <c r="E1559" s="1"/>
      <c r="F1559" s="1"/>
      <c r="G1559" s="1"/>
      <c r="H1559" s="1"/>
      <c r="I1559" s="2"/>
      <c r="J1559" s="1"/>
      <c r="K1559" s="1"/>
      <c r="L1559" s="1"/>
      <c r="M1559" s="1"/>
      <c r="N1559" s="1"/>
      <c r="O1559" s="1"/>
      <c r="P1559" s="1"/>
      <c r="Q1559" s="1"/>
      <c r="R1559" s="1"/>
      <c r="S1559" s="1"/>
      <c r="T1559" s="1"/>
      <c r="U1559" s="1"/>
      <c r="V1559" s="1"/>
      <c r="W1559" s="1"/>
      <c r="X1559" s="1"/>
    </row>
    <row x14ac:dyDescent="0.25" r="1560" customHeight="1" ht="18.75">
      <c r="A1560" s="1"/>
      <c r="B1560" s="1"/>
      <c r="C1560" s="3" t="s">
        <v>100</v>
      </c>
      <c r="D1560" s="3" t="s">
        <v>1587</v>
      </c>
      <c r="E1560" s="1"/>
      <c r="F1560" s="1"/>
      <c r="G1560" s="1"/>
      <c r="H1560" s="1"/>
      <c r="I1560" s="2"/>
      <c r="J1560" s="1"/>
      <c r="K1560" s="1"/>
      <c r="L1560" s="1"/>
      <c r="M1560" s="1"/>
      <c r="N1560" s="1"/>
      <c r="O1560" s="1"/>
      <c r="P1560" s="1"/>
      <c r="Q1560" s="1"/>
      <c r="R1560" s="1"/>
      <c r="S1560" s="1"/>
      <c r="T1560" s="1"/>
      <c r="U1560" s="1"/>
      <c r="V1560" s="1"/>
      <c r="W1560" s="1"/>
      <c r="X1560" s="1"/>
    </row>
    <row x14ac:dyDescent="0.25" r="1561" customHeight="1" ht="18.75">
      <c r="A1561" s="1"/>
      <c r="B1561" s="1"/>
      <c r="C1561" s="3" t="s">
        <v>100</v>
      </c>
      <c r="D1561" s="3" t="s">
        <v>1588</v>
      </c>
      <c r="E1561" s="1"/>
      <c r="F1561" s="1"/>
      <c r="G1561" s="1"/>
      <c r="H1561" s="1"/>
      <c r="I1561" s="2"/>
      <c r="J1561" s="1"/>
      <c r="K1561" s="1"/>
      <c r="L1561" s="1"/>
      <c r="M1561" s="1"/>
      <c r="N1561" s="1"/>
      <c r="O1561" s="1"/>
      <c r="P1561" s="1"/>
      <c r="Q1561" s="1"/>
      <c r="R1561" s="1"/>
      <c r="S1561" s="1"/>
      <c r="T1561" s="1"/>
      <c r="U1561" s="1"/>
      <c r="V1561" s="1"/>
      <c r="W1561" s="1"/>
      <c r="X1561" s="1"/>
    </row>
    <row x14ac:dyDescent="0.25" r="1562" customHeight="1" ht="18.75">
      <c r="A1562" s="1"/>
      <c r="B1562" s="1"/>
      <c r="C1562" s="3" t="s">
        <v>100</v>
      </c>
      <c r="D1562" s="3" t="s">
        <v>1589</v>
      </c>
      <c r="E1562" s="1"/>
      <c r="F1562" s="1"/>
      <c r="G1562" s="1"/>
      <c r="H1562" s="1"/>
      <c r="I1562" s="2"/>
      <c r="J1562" s="1"/>
      <c r="K1562" s="1"/>
      <c r="L1562" s="1"/>
      <c r="M1562" s="1"/>
      <c r="N1562" s="1"/>
      <c r="O1562" s="1"/>
      <c r="P1562" s="1"/>
      <c r="Q1562" s="1"/>
      <c r="R1562" s="1"/>
      <c r="S1562" s="1"/>
      <c r="T1562" s="1"/>
      <c r="U1562" s="1"/>
      <c r="V1562" s="1"/>
      <c r="W1562" s="1"/>
      <c r="X1562" s="1"/>
    </row>
    <row x14ac:dyDescent="0.25" r="1563" customHeight="1" ht="18.75">
      <c r="A1563" s="1"/>
      <c r="B1563" s="1"/>
      <c r="C1563" s="3" t="s">
        <v>100</v>
      </c>
      <c r="D1563" s="3" t="s">
        <v>1590</v>
      </c>
      <c r="E1563" s="1"/>
      <c r="F1563" s="1"/>
      <c r="G1563" s="1"/>
      <c r="H1563" s="1"/>
      <c r="I1563" s="2"/>
      <c r="J1563" s="1"/>
      <c r="K1563" s="1"/>
      <c r="L1563" s="1"/>
      <c r="M1563" s="1"/>
      <c r="N1563" s="1"/>
      <c r="O1563" s="1"/>
      <c r="P1563" s="1"/>
      <c r="Q1563" s="1"/>
      <c r="R1563" s="1"/>
      <c r="S1563" s="1"/>
      <c r="T1563" s="1"/>
      <c r="U1563" s="1"/>
      <c r="V1563" s="1"/>
      <c r="W1563" s="1"/>
      <c r="X1563" s="1"/>
    </row>
    <row x14ac:dyDescent="0.25" r="1564" customHeight="1" ht="18.75">
      <c r="A1564" s="1"/>
      <c r="B1564" s="1"/>
      <c r="C1564" s="3" t="s">
        <v>100</v>
      </c>
      <c r="D1564" s="3" t="s">
        <v>1591</v>
      </c>
      <c r="E1564" s="1"/>
      <c r="F1564" s="1"/>
      <c r="G1564" s="1"/>
      <c r="H1564" s="1"/>
      <c r="I1564" s="2"/>
      <c r="J1564" s="1"/>
      <c r="K1564" s="1"/>
      <c r="L1564" s="1"/>
      <c r="M1564" s="1"/>
      <c r="N1564" s="1"/>
      <c r="O1564" s="1"/>
      <c r="P1564" s="1"/>
      <c r="Q1564" s="1"/>
      <c r="R1564" s="1"/>
      <c r="S1564" s="1"/>
      <c r="T1564" s="1"/>
      <c r="U1564" s="1"/>
      <c r="V1564" s="1"/>
      <c r="W1564" s="1"/>
      <c r="X1564" s="1"/>
    </row>
    <row x14ac:dyDescent="0.25" r="1565" customHeight="1" ht="18.75">
      <c r="A1565" s="1"/>
      <c r="B1565" s="1"/>
      <c r="C1565" s="3" t="s">
        <v>100</v>
      </c>
      <c r="D1565" s="3" t="s">
        <v>1592</v>
      </c>
      <c r="E1565" s="1"/>
      <c r="F1565" s="1"/>
      <c r="G1565" s="1"/>
      <c r="H1565" s="1"/>
      <c r="I1565" s="2"/>
      <c r="J1565" s="1"/>
      <c r="K1565" s="1"/>
      <c r="L1565" s="1"/>
      <c r="M1565" s="1"/>
      <c r="N1565" s="1"/>
      <c r="O1565" s="1"/>
      <c r="P1565" s="1"/>
      <c r="Q1565" s="1"/>
      <c r="R1565" s="1"/>
      <c r="S1565" s="1"/>
      <c r="T1565" s="1"/>
      <c r="U1565" s="1"/>
      <c r="V1565" s="1"/>
      <c r="W1565" s="1"/>
      <c r="X1565" s="1"/>
    </row>
    <row x14ac:dyDescent="0.25" r="1566" customHeight="1" ht="18.75">
      <c r="A1566" s="1"/>
      <c r="B1566" s="1"/>
      <c r="C1566" s="3" t="s">
        <v>100</v>
      </c>
      <c r="D1566" s="3" t="s">
        <v>1593</v>
      </c>
      <c r="E1566" s="1"/>
      <c r="F1566" s="1"/>
      <c r="G1566" s="1"/>
      <c r="H1566" s="1"/>
      <c r="I1566" s="2"/>
      <c r="J1566" s="1"/>
      <c r="K1566" s="1"/>
      <c r="L1566" s="1"/>
      <c r="M1566" s="1"/>
      <c r="N1566" s="1"/>
      <c r="O1566" s="1"/>
      <c r="P1566" s="1"/>
      <c r="Q1566" s="1"/>
      <c r="R1566" s="1"/>
      <c r="S1566" s="1"/>
      <c r="T1566" s="1"/>
      <c r="U1566" s="1"/>
      <c r="V1566" s="1"/>
      <c r="W1566" s="1"/>
      <c r="X1566" s="1"/>
    </row>
    <row x14ac:dyDescent="0.25" r="1567" customHeight="1" ht="18.75">
      <c r="A1567" s="1"/>
      <c r="B1567" s="1"/>
      <c r="C1567" s="3" t="s">
        <v>100</v>
      </c>
      <c r="D1567" s="3" t="s">
        <v>1594</v>
      </c>
      <c r="E1567" s="1"/>
      <c r="F1567" s="1"/>
      <c r="G1567" s="1"/>
      <c r="H1567" s="1"/>
      <c r="I1567" s="2"/>
      <c r="J1567" s="1"/>
      <c r="K1567" s="1"/>
      <c r="L1567" s="1"/>
      <c r="M1567" s="1"/>
      <c r="N1567" s="1"/>
      <c r="O1567" s="1"/>
      <c r="P1567" s="1"/>
      <c r="Q1567" s="1"/>
      <c r="R1567" s="1"/>
      <c r="S1567" s="1"/>
      <c r="T1567" s="1"/>
      <c r="U1567" s="1"/>
      <c r="V1567" s="1"/>
      <c r="W1567" s="1"/>
      <c r="X1567" s="1"/>
    </row>
    <row x14ac:dyDescent="0.25" r="1568" customHeight="1" ht="18.75">
      <c r="A1568" s="1"/>
      <c r="B1568" s="1"/>
      <c r="C1568" s="3" t="s">
        <v>100</v>
      </c>
      <c r="D1568" s="3" t="s">
        <v>1595</v>
      </c>
      <c r="E1568" s="1"/>
      <c r="F1568" s="1"/>
      <c r="G1568" s="1"/>
      <c r="H1568" s="1"/>
      <c r="I1568" s="2"/>
      <c r="J1568" s="1"/>
      <c r="K1568" s="1"/>
      <c r="L1568" s="1"/>
      <c r="M1568" s="1"/>
      <c r="N1568" s="1"/>
      <c r="O1568" s="1"/>
      <c r="P1568" s="1"/>
      <c r="Q1568" s="1"/>
      <c r="R1568" s="1"/>
      <c r="S1568" s="1"/>
      <c r="T1568" s="1"/>
      <c r="U1568" s="1"/>
      <c r="V1568" s="1"/>
      <c r="W1568" s="1"/>
      <c r="X1568" s="1"/>
    </row>
    <row x14ac:dyDescent="0.25" r="1569" customHeight="1" ht="18.75">
      <c r="A1569" s="1"/>
      <c r="B1569" s="1"/>
      <c r="C1569" s="3" t="s">
        <v>100</v>
      </c>
      <c r="D1569" s="3" t="s">
        <v>1596</v>
      </c>
      <c r="E1569" s="1"/>
      <c r="F1569" s="1"/>
      <c r="G1569" s="1"/>
      <c r="H1569" s="1"/>
      <c r="I1569" s="2"/>
      <c r="J1569" s="1"/>
      <c r="K1569" s="1"/>
      <c r="L1569" s="1"/>
      <c r="M1569" s="1"/>
      <c r="N1569" s="1"/>
      <c r="O1569" s="1"/>
      <c r="P1569" s="1"/>
      <c r="Q1569" s="1"/>
      <c r="R1569" s="1"/>
      <c r="S1569" s="1"/>
      <c r="T1569" s="1"/>
      <c r="U1569" s="1"/>
      <c r="V1569" s="1"/>
      <c r="W1569" s="1"/>
      <c r="X1569" s="1"/>
    </row>
    <row x14ac:dyDescent="0.25" r="1570" customHeight="1" ht="18.75">
      <c r="A1570" s="1"/>
      <c r="B1570" s="1"/>
      <c r="C1570" s="3" t="s">
        <v>100</v>
      </c>
      <c r="D1570" s="3" t="s">
        <v>1597</v>
      </c>
      <c r="E1570" s="1"/>
      <c r="F1570" s="1"/>
      <c r="G1570" s="1"/>
      <c r="H1570" s="1"/>
      <c r="I1570" s="2"/>
      <c r="J1570" s="1"/>
      <c r="K1570" s="1"/>
      <c r="L1570" s="1"/>
      <c r="M1570" s="1"/>
      <c r="N1570" s="1"/>
      <c r="O1570" s="1"/>
      <c r="P1570" s="1"/>
      <c r="Q1570" s="1"/>
      <c r="R1570" s="1"/>
      <c r="S1570" s="1"/>
      <c r="T1570" s="1"/>
      <c r="U1570" s="1"/>
      <c r="V1570" s="1"/>
      <c r="W1570" s="1"/>
      <c r="X1570" s="1"/>
    </row>
    <row x14ac:dyDescent="0.25" r="1571" customHeight="1" ht="18.75">
      <c r="A1571" s="1"/>
      <c r="B1571" s="1"/>
      <c r="C1571" s="3" t="s">
        <v>100</v>
      </c>
      <c r="D1571" s="3" t="s">
        <v>1598</v>
      </c>
      <c r="E1571" s="1"/>
      <c r="F1571" s="1"/>
      <c r="G1571" s="1"/>
      <c r="H1571" s="1"/>
      <c r="I1571" s="2"/>
      <c r="J1571" s="1"/>
      <c r="K1571" s="1"/>
      <c r="L1571" s="1"/>
      <c r="M1571" s="1"/>
      <c r="N1571" s="1"/>
      <c r="O1571" s="1"/>
      <c r="P1571" s="1"/>
      <c r="Q1571" s="1"/>
      <c r="R1571" s="1"/>
      <c r="S1571" s="1"/>
      <c r="T1571" s="1"/>
      <c r="U1571" s="1"/>
      <c r="V1571" s="1"/>
      <c r="W1571" s="1"/>
      <c r="X1571" s="1"/>
    </row>
    <row x14ac:dyDescent="0.25" r="1572" customHeight="1" ht="18.75">
      <c r="A1572" s="1"/>
      <c r="B1572" s="1"/>
      <c r="C1572" s="3" t="s">
        <v>100</v>
      </c>
      <c r="D1572" s="3" t="s">
        <v>1599</v>
      </c>
      <c r="E1572" s="1"/>
      <c r="F1572" s="1"/>
      <c r="G1572" s="1"/>
      <c r="H1572" s="1"/>
      <c r="I1572" s="2"/>
      <c r="J1572" s="1"/>
      <c r="K1572" s="1"/>
      <c r="L1572" s="1"/>
      <c r="M1572" s="1"/>
      <c r="N1572" s="1"/>
      <c r="O1572" s="1"/>
      <c r="P1572" s="1"/>
      <c r="Q1572" s="1"/>
      <c r="R1572" s="1"/>
      <c r="S1572" s="1"/>
      <c r="T1572" s="1"/>
      <c r="U1572" s="1"/>
      <c r="V1572" s="1"/>
      <c r="W1572" s="1"/>
      <c r="X1572" s="1"/>
    </row>
    <row x14ac:dyDescent="0.25" r="1573" customHeight="1" ht="18.75">
      <c r="A1573" s="1"/>
      <c r="B1573" s="1"/>
      <c r="C1573" s="3" t="s">
        <v>100</v>
      </c>
      <c r="D1573" s="3" t="s">
        <v>1600</v>
      </c>
      <c r="E1573" s="1"/>
      <c r="F1573" s="1"/>
      <c r="G1573" s="1"/>
      <c r="H1573" s="1"/>
      <c r="I1573" s="2"/>
      <c r="J1573" s="1"/>
      <c r="K1573" s="1"/>
      <c r="L1573" s="1"/>
      <c r="M1573" s="1"/>
      <c r="N1573" s="1"/>
      <c r="O1573" s="1"/>
      <c r="P1573" s="1"/>
      <c r="Q1573" s="1"/>
      <c r="R1573" s="1"/>
      <c r="S1573" s="1"/>
      <c r="T1573" s="1"/>
      <c r="U1573" s="1"/>
      <c r="V1573" s="1"/>
      <c r="W1573" s="1"/>
      <c r="X1573" s="1"/>
    </row>
    <row x14ac:dyDescent="0.25" r="1574" customHeight="1" ht="18.75">
      <c r="A1574" s="1"/>
      <c r="B1574" s="1"/>
      <c r="C1574" s="3" t="s">
        <v>100</v>
      </c>
      <c r="D1574" s="3" t="s">
        <v>1601</v>
      </c>
      <c r="E1574" s="1"/>
      <c r="F1574" s="1"/>
      <c r="G1574" s="1"/>
      <c r="H1574" s="1"/>
      <c r="I1574" s="2"/>
      <c r="J1574" s="1"/>
      <c r="K1574" s="1"/>
      <c r="L1574" s="1"/>
      <c r="M1574" s="1"/>
      <c r="N1574" s="1"/>
      <c r="O1574" s="1"/>
      <c r="P1574" s="1"/>
      <c r="Q1574" s="1"/>
      <c r="R1574" s="1"/>
      <c r="S1574" s="1"/>
      <c r="T1574" s="1"/>
      <c r="U1574" s="1"/>
      <c r="V1574" s="1"/>
      <c r="W1574" s="1"/>
      <c r="X1574" s="1"/>
    </row>
    <row x14ac:dyDescent="0.25" r="1575" customHeight="1" ht="18.75">
      <c r="A1575" s="1"/>
      <c r="B1575" s="1"/>
      <c r="C1575" s="3" t="s">
        <v>100</v>
      </c>
      <c r="D1575" s="3" t="s">
        <v>1602</v>
      </c>
      <c r="E1575" s="1"/>
      <c r="F1575" s="1"/>
      <c r="G1575" s="1"/>
      <c r="H1575" s="1"/>
      <c r="I1575" s="2"/>
      <c r="J1575" s="1"/>
      <c r="K1575" s="1"/>
      <c r="L1575" s="1"/>
      <c r="M1575" s="1"/>
      <c r="N1575" s="1"/>
      <c r="O1575" s="1"/>
      <c r="P1575" s="1"/>
      <c r="Q1575" s="1"/>
      <c r="R1575" s="1"/>
      <c r="S1575" s="1"/>
      <c r="T1575" s="1"/>
      <c r="U1575" s="1"/>
      <c r="V1575" s="1"/>
      <c r="W1575" s="1"/>
      <c r="X1575" s="1"/>
    </row>
    <row x14ac:dyDescent="0.25" r="1576" customHeight="1" ht="18.75">
      <c r="A1576" s="1"/>
      <c r="B1576" s="1"/>
      <c r="C1576" s="3" t="s">
        <v>100</v>
      </c>
      <c r="D1576" s="3" t="s">
        <v>1603</v>
      </c>
      <c r="E1576" s="1"/>
      <c r="F1576" s="1"/>
      <c r="G1576" s="1"/>
      <c r="H1576" s="1"/>
      <c r="I1576" s="2"/>
      <c r="J1576" s="1"/>
      <c r="K1576" s="1"/>
      <c r="L1576" s="1"/>
      <c r="M1576" s="1"/>
      <c r="N1576" s="1"/>
      <c r="O1576" s="1"/>
      <c r="P1576" s="1"/>
      <c r="Q1576" s="1"/>
      <c r="R1576" s="1"/>
      <c r="S1576" s="1"/>
      <c r="T1576" s="1"/>
      <c r="U1576" s="1"/>
      <c r="V1576" s="1"/>
      <c r="W1576" s="1"/>
      <c r="X1576" s="1"/>
    </row>
    <row x14ac:dyDescent="0.25" r="1577" customHeight="1" ht="18.75">
      <c r="A1577" s="1"/>
      <c r="B1577" s="1"/>
      <c r="C1577" s="3" t="s">
        <v>100</v>
      </c>
      <c r="D1577" s="3" t="s">
        <v>1604</v>
      </c>
      <c r="E1577" s="1"/>
      <c r="F1577" s="1"/>
      <c r="G1577" s="1"/>
      <c r="H1577" s="1"/>
      <c r="I1577" s="2"/>
      <c r="J1577" s="1"/>
      <c r="K1577" s="1"/>
      <c r="L1577" s="1"/>
      <c r="M1577" s="1"/>
      <c r="N1577" s="1"/>
      <c r="O1577" s="1"/>
      <c r="P1577" s="1"/>
      <c r="Q1577" s="1"/>
      <c r="R1577" s="1"/>
      <c r="S1577" s="1"/>
      <c r="T1577" s="1"/>
      <c r="U1577" s="1"/>
      <c r="V1577" s="1"/>
      <c r="W1577" s="1"/>
      <c r="X1577" s="1"/>
    </row>
    <row x14ac:dyDescent="0.25" r="1578" customHeight="1" ht="18.75">
      <c r="A1578" s="1"/>
      <c r="B1578" s="1"/>
      <c r="C1578" s="3" t="s">
        <v>100</v>
      </c>
      <c r="D1578" s="3" t="s">
        <v>1605</v>
      </c>
      <c r="E1578" s="1"/>
      <c r="F1578" s="1"/>
      <c r="G1578" s="1"/>
      <c r="H1578" s="1"/>
      <c r="I1578" s="2"/>
      <c r="J1578" s="1"/>
      <c r="K1578" s="1"/>
      <c r="L1578" s="1"/>
      <c r="M1578" s="1"/>
      <c r="N1578" s="1"/>
      <c r="O1578" s="1"/>
      <c r="P1578" s="1"/>
      <c r="Q1578" s="1"/>
      <c r="R1578" s="1"/>
      <c r="S1578" s="1"/>
      <c r="T1578" s="1"/>
      <c r="U1578" s="1"/>
      <c r="V1578" s="1"/>
      <c r="W1578" s="1"/>
      <c r="X1578" s="1"/>
    </row>
    <row x14ac:dyDescent="0.25" r="1579" customHeight="1" ht="18.75">
      <c r="A1579" s="1"/>
      <c r="B1579" s="1"/>
      <c r="C1579" s="3" t="s">
        <v>100</v>
      </c>
      <c r="D1579" s="3" t="s">
        <v>1606</v>
      </c>
      <c r="E1579" s="1"/>
      <c r="F1579" s="1"/>
      <c r="G1579" s="1"/>
      <c r="H1579" s="1"/>
      <c r="I1579" s="2"/>
      <c r="J1579" s="1"/>
      <c r="K1579" s="1"/>
      <c r="L1579" s="1"/>
      <c r="M1579" s="1"/>
      <c r="N1579" s="1"/>
      <c r="O1579" s="1"/>
      <c r="P1579" s="1"/>
      <c r="Q1579" s="1"/>
      <c r="R1579" s="1"/>
      <c r="S1579" s="1"/>
      <c r="T1579" s="1"/>
      <c r="U1579" s="1"/>
      <c r="V1579" s="1"/>
      <c r="W1579" s="1"/>
      <c r="X1579" s="1"/>
    </row>
    <row x14ac:dyDescent="0.25" r="1580" customHeight="1" ht="18.75">
      <c r="A1580" s="1"/>
      <c r="B1580" s="1"/>
      <c r="C1580" s="3" t="s">
        <v>100</v>
      </c>
      <c r="D1580" s="3" t="s">
        <v>1607</v>
      </c>
      <c r="E1580" s="1"/>
      <c r="F1580" s="1"/>
      <c r="G1580" s="1"/>
      <c r="H1580" s="1"/>
      <c r="I1580" s="2"/>
      <c r="J1580" s="1"/>
      <c r="K1580" s="1"/>
      <c r="L1580" s="1"/>
      <c r="M1580" s="1"/>
      <c r="N1580" s="1"/>
      <c r="O1580" s="1"/>
      <c r="P1580" s="1"/>
      <c r="Q1580" s="1"/>
      <c r="R1580" s="1"/>
      <c r="S1580" s="1"/>
      <c r="T1580" s="1"/>
      <c r="U1580" s="1"/>
      <c r="V1580" s="1"/>
      <c r="W1580" s="1"/>
      <c r="X1580" s="1"/>
    </row>
    <row x14ac:dyDescent="0.25" r="1581" customHeight="1" ht="18.75">
      <c r="A1581" s="1"/>
      <c r="B1581" s="1"/>
      <c r="C1581" s="3" t="s">
        <v>100</v>
      </c>
      <c r="D1581" s="3" t="s">
        <v>1608</v>
      </c>
      <c r="E1581" s="1"/>
      <c r="F1581" s="1"/>
      <c r="G1581" s="1"/>
      <c r="H1581" s="1"/>
      <c r="I1581" s="2"/>
      <c r="J1581" s="1"/>
      <c r="K1581" s="1"/>
      <c r="L1581" s="1"/>
      <c r="M1581" s="1"/>
      <c r="N1581" s="1"/>
      <c r="O1581" s="1"/>
      <c r="P1581" s="1"/>
      <c r="Q1581" s="1"/>
      <c r="R1581" s="1"/>
      <c r="S1581" s="1"/>
      <c r="T1581" s="1"/>
      <c r="U1581" s="1"/>
      <c r="V1581" s="1"/>
      <c r="W1581" s="1"/>
      <c r="X1581" s="1"/>
    </row>
    <row x14ac:dyDescent="0.25" r="1582" customHeight="1" ht="18.75">
      <c r="A1582" s="1"/>
      <c r="B1582" s="1"/>
      <c r="C1582" s="3" t="s">
        <v>100</v>
      </c>
      <c r="D1582" s="3" t="s">
        <v>1609</v>
      </c>
      <c r="E1582" s="1"/>
      <c r="F1582" s="1"/>
      <c r="G1582" s="1"/>
      <c r="H1582" s="1"/>
      <c r="I1582" s="2"/>
      <c r="J1582" s="1"/>
      <c r="K1582" s="1"/>
      <c r="L1582" s="1"/>
      <c r="M1582" s="1"/>
      <c r="N1582" s="1"/>
      <c r="O1582" s="1"/>
      <c r="P1582" s="1"/>
      <c r="Q1582" s="1"/>
      <c r="R1582" s="1"/>
      <c r="S1582" s="1"/>
      <c r="T1582" s="1"/>
      <c r="U1582" s="1"/>
      <c r="V1582" s="1"/>
      <c r="W1582" s="1"/>
      <c r="X1582" s="1"/>
    </row>
    <row x14ac:dyDescent="0.25" r="1583" customHeight="1" ht="18.75">
      <c r="A1583" s="1"/>
      <c r="B1583" s="1"/>
      <c r="C1583" s="3" t="s">
        <v>100</v>
      </c>
      <c r="D1583" s="3" t="s">
        <v>1610</v>
      </c>
      <c r="E1583" s="1"/>
      <c r="F1583" s="1"/>
      <c r="G1583" s="1"/>
      <c r="H1583" s="1"/>
      <c r="I1583" s="2"/>
      <c r="J1583" s="1"/>
      <c r="K1583" s="1"/>
      <c r="L1583" s="1"/>
      <c r="M1583" s="1"/>
      <c r="N1583" s="1"/>
      <c r="O1583" s="1"/>
      <c r="P1583" s="1"/>
      <c r="Q1583" s="1"/>
      <c r="R1583" s="1"/>
      <c r="S1583" s="1"/>
      <c r="T1583" s="1"/>
      <c r="U1583" s="1"/>
      <c r="V1583" s="1"/>
      <c r="W1583" s="1"/>
      <c r="X1583" s="1"/>
    </row>
    <row x14ac:dyDescent="0.25" r="1584" customHeight="1" ht="18.75">
      <c r="A1584" s="1"/>
      <c r="B1584" s="1"/>
      <c r="C1584" s="3" t="s">
        <v>100</v>
      </c>
      <c r="D1584" s="3" t="s">
        <v>1611</v>
      </c>
      <c r="E1584" s="1"/>
      <c r="F1584" s="1"/>
      <c r="G1584" s="1"/>
      <c r="H1584" s="1"/>
      <c r="I1584" s="2"/>
      <c r="J1584" s="1"/>
      <c r="K1584" s="1"/>
      <c r="L1584" s="1"/>
      <c r="M1584" s="1"/>
      <c r="N1584" s="1"/>
      <c r="O1584" s="1"/>
      <c r="P1584" s="1"/>
      <c r="Q1584" s="1"/>
      <c r="R1584" s="1"/>
      <c r="S1584" s="1"/>
      <c r="T1584" s="1"/>
      <c r="U1584" s="1"/>
      <c r="V1584" s="1"/>
      <c r="W1584" s="1"/>
      <c r="X1584" s="1"/>
    </row>
    <row x14ac:dyDescent="0.25" r="1585" customHeight="1" ht="18.75">
      <c r="A1585" s="1"/>
      <c r="B1585" s="1"/>
      <c r="C1585" s="3" t="s">
        <v>100</v>
      </c>
      <c r="D1585" s="3" t="s">
        <v>1612</v>
      </c>
      <c r="E1585" s="1"/>
      <c r="F1585" s="1"/>
      <c r="G1585" s="1"/>
      <c r="H1585" s="1"/>
      <c r="I1585" s="2"/>
      <c r="J1585" s="1"/>
      <c r="K1585" s="1"/>
      <c r="L1585" s="1"/>
      <c r="M1585" s="1"/>
      <c r="N1585" s="1"/>
      <c r="O1585" s="1"/>
      <c r="P1585" s="1"/>
      <c r="Q1585" s="1"/>
      <c r="R1585" s="1"/>
      <c r="S1585" s="1"/>
      <c r="T1585" s="1"/>
      <c r="U1585" s="1"/>
      <c r="V1585" s="1"/>
      <c r="W1585" s="1"/>
      <c r="X1585" s="1"/>
    </row>
    <row x14ac:dyDescent="0.25" r="1586" customHeight="1" ht="18.75">
      <c r="A1586" s="1"/>
      <c r="B1586" s="1"/>
      <c r="C1586" s="3" t="s">
        <v>100</v>
      </c>
      <c r="D1586" s="3" t="s">
        <v>1613</v>
      </c>
      <c r="E1586" s="1"/>
      <c r="F1586" s="1"/>
      <c r="G1586" s="1"/>
      <c r="H1586" s="1"/>
      <c r="I1586" s="2"/>
      <c r="J1586" s="1"/>
      <c r="K1586" s="1"/>
      <c r="L1586" s="1"/>
      <c r="M1586" s="1"/>
      <c r="N1586" s="1"/>
      <c r="O1586" s="1"/>
      <c r="P1586" s="1"/>
      <c r="Q1586" s="1"/>
      <c r="R1586" s="1"/>
      <c r="S1586" s="1"/>
      <c r="T1586" s="1"/>
      <c r="U1586" s="1"/>
      <c r="V1586" s="1"/>
      <c r="W1586" s="1"/>
      <c r="X1586" s="1"/>
    </row>
    <row x14ac:dyDescent="0.25" r="1587" customHeight="1" ht="18.75">
      <c r="A1587" s="1"/>
      <c r="B1587" s="1"/>
      <c r="C1587" s="3" t="s">
        <v>100</v>
      </c>
      <c r="D1587" s="3" t="s">
        <v>1614</v>
      </c>
      <c r="E1587" s="1"/>
      <c r="F1587" s="1"/>
      <c r="G1587" s="1"/>
      <c r="H1587" s="1"/>
      <c r="I1587" s="2"/>
      <c r="J1587" s="1"/>
      <c r="K1587" s="1"/>
      <c r="L1587" s="1"/>
      <c r="M1587" s="1"/>
      <c r="N1587" s="1"/>
      <c r="O1587" s="1"/>
      <c r="P1587" s="1"/>
      <c r="Q1587" s="1"/>
      <c r="R1587" s="1"/>
      <c r="S1587" s="1"/>
      <c r="T1587" s="1"/>
      <c r="U1587" s="1"/>
      <c r="V1587" s="1"/>
      <c r="W1587" s="1"/>
      <c r="X1587" s="1"/>
    </row>
    <row x14ac:dyDescent="0.25" r="1588" customHeight="1" ht="18.75">
      <c r="A1588" s="1"/>
      <c r="B1588" s="1"/>
      <c r="C1588" s="3" t="s">
        <v>100</v>
      </c>
      <c r="D1588" s="3" t="s">
        <v>1615</v>
      </c>
      <c r="E1588" s="1"/>
      <c r="F1588" s="1"/>
      <c r="G1588" s="1"/>
      <c r="H1588" s="1"/>
      <c r="I1588" s="2"/>
      <c r="J1588" s="1"/>
      <c r="K1588" s="1"/>
      <c r="L1588" s="1"/>
      <c r="M1588" s="1"/>
      <c r="N1588" s="1"/>
      <c r="O1588" s="1"/>
      <c r="P1588" s="1"/>
      <c r="Q1588" s="1"/>
      <c r="R1588" s="1"/>
      <c r="S1588" s="1"/>
      <c r="T1588" s="1"/>
      <c r="U1588" s="1"/>
      <c r="V1588" s="1"/>
      <c r="W1588" s="1"/>
      <c r="X1588" s="1"/>
    </row>
    <row x14ac:dyDescent="0.25" r="1589" customHeight="1" ht="18.75">
      <c r="A1589" s="1"/>
      <c r="B1589" s="1"/>
      <c r="C1589" s="3" t="s">
        <v>100</v>
      </c>
      <c r="D1589" s="3" t="s">
        <v>1616</v>
      </c>
      <c r="E1589" s="1"/>
      <c r="F1589" s="1"/>
      <c r="G1589" s="1"/>
      <c r="H1589" s="1"/>
      <c r="I1589" s="2"/>
      <c r="J1589" s="1"/>
      <c r="K1589" s="1"/>
      <c r="L1589" s="1"/>
      <c r="M1589" s="1"/>
      <c r="N1589" s="1"/>
      <c r="O1589" s="1"/>
      <c r="P1589" s="1"/>
      <c r="Q1589" s="1"/>
      <c r="R1589" s="1"/>
      <c r="S1589" s="1"/>
      <c r="T1589" s="1"/>
      <c r="U1589" s="1"/>
      <c r="V1589" s="1"/>
      <c r="W1589" s="1"/>
      <c r="X1589" s="1"/>
    </row>
    <row x14ac:dyDescent="0.25" r="1590" customHeight="1" ht="18.75">
      <c r="A1590" s="1"/>
      <c r="B1590" s="1"/>
      <c r="C1590" s="3" t="s">
        <v>100</v>
      </c>
      <c r="D1590" s="3" t="s">
        <v>1617</v>
      </c>
      <c r="E1590" s="1"/>
      <c r="F1590" s="1"/>
      <c r="G1590" s="1"/>
      <c r="H1590" s="1"/>
      <c r="I1590" s="2"/>
      <c r="J1590" s="1"/>
      <c r="K1590" s="1"/>
      <c r="L1590" s="1"/>
      <c r="M1590" s="1"/>
      <c r="N1590" s="1"/>
      <c r="O1590" s="1"/>
      <c r="P1590" s="1"/>
      <c r="Q1590" s="1"/>
      <c r="R1590" s="1"/>
      <c r="S1590" s="1"/>
      <c r="T1590" s="1"/>
      <c r="U1590" s="1"/>
      <c r="V1590" s="1"/>
      <c r="W1590" s="1"/>
      <c r="X1590" s="1"/>
    </row>
    <row x14ac:dyDescent="0.25" r="1591" customHeight="1" ht="18.75">
      <c r="A1591" s="1"/>
      <c r="B1591" s="1"/>
      <c r="C1591" s="3" t="s">
        <v>100</v>
      </c>
      <c r="D1591" s="3" t="s">
        <v>1618</v>
      </c>
      <c r="E1591" s="1"/>
      <c r="F1591" s="1"/>
      <c r="G1591" s="1"/>
      <c r="H1591" s="1"/>
      <c r="I1591" s="2"/>
      <c r="J1591" s="1"/>
      <c r="K1591" s="1"/>
      <c r="L1591" s="1"/>
      <c r="M1591" s="1"/>
      <c r="N1591" s="1"/>
      <c r="O1591" s="1"/>
      <c r="P1591" s="1"/>
      <c r="Q1591" s="1"/>
      <c r="R1591" s="1"/>
      <c r="S1591" s="1"/>
      <c r="T1591" s="1"/>
      <c r="U1591" s="1"/>
      <c r="V1591" s="1"/>
      <c r="W1591" s="1"/>
      <c r="X1591" s="1"/>
    </row>
    <row x14ac:dyDescent="0.25" r="1592" customHeight="1" ht="18.75">
      <c r="A1592" s="1"/>
      <c r="B1592" s="1"/>
      <c r="C1592" s="3" t="s">
        <v>100</v>
      </c>
      <c r="D1592" s="3" t="s">
        <v>1619</v>
      </c>
      <c r="E1592" s="1"/>
      <c r="F1592" s="1"/>
      <c r="G1592" s="1"/>
      <c r="H1592" s="1"/>
      <c r="I1592" s="2"/>
      <c r="J1592" s="1"/>
      <c r="K1592" s="1"/>
      <c r="L1592" s="1"/>
      <c r="M1592" s="1"/>
      <c r="N1592" s="1"/>
      <c r="O1592" s="1"/>
      <c r="P1592" s="1"/>
      <c r="Q1592" s="1"/>
      <c r="R1592" s="1"/>
      <c r="S1592" s="1"/>
      <c r="T1592" s="1"/>
      <c r="U1592" s="1"/>
      <c r="V1592" s="1"/>
      <c r="W1592" s="1"/>
      <c r="X1592" s="1"/>
    </row>
    <row x14ac:dyDescent="0.25" r="1593" customHeight="1" ht="18.75">
      <c r="A1593" s="1"/>
      <c r="B1593" s="1"/>
      <c r="C1593" s="3" t="s">
        <v>100</v>
      </c>
      <c r="D1593" s="3" t="s">
        <v>1620</v>
      </c>
      <c r="E1593" s="1"/>
      <c r="F1593" s="1"/>
      <c r="G1593" s="1"/>
      <c r="H1593" s="1"/>
      <c r="I1593" s="2"/>
      <c r="J1593" s="1"/>
      <c r="K1593" s="1"/>
      <c r="L1593" s="1"/>
      <c r="M1593" s="1"/>
      <c r="N1593" s="1"/>
      <c r="O1593" s="1"/>
      <c r="P1593" s="1"/>
      <c r="Q1593" s="1"/>
      <c r="R1593" s="1"/>
      <c r="S1593" s="1"/>
      <c r="T1593" s="1"/>
      <c r="U1593" s="1"/>
      <c r="V1593" s="1"/>
      <c r="W1593" s="1"/>
      <c r="X1593" s="1"/>
    </row>
    <row x14ac:dyDescent="0.25" r="1594" customHeight="1" ht="18.75">
      <c r="A1594" s="1"/>
      <c r="B1594" s="1"/>
      <c r="C1594" s="3" t="s">
        <v>100</v>
      </c>
      <c r="D1594" s="3" t="s">
        <v>1621</v>
      </c>
      <c r="E1594" s="1"/>
      <c r="F1594" s="1"/>
      <c r="G1594" s="1"/>
      <c r="H1594" s="1"/>
      <c r="I1594" s="2"/>
      <c r="J1594" s="1"/>
      <c r="K1594" s="1"/>
      <c r="L1594" s="1"/>
      <c r="M1594" s="1"/>
      <c r="N1594" s="1"/>
      <c r="O1594" s="1"/>
      <c r="P1594" s="1"/>
      <c r="Q1594" s="1"/>
      <c r="R1594" s="1"/>
      <c r="S1594" s="1"/>
      <c r="T1594" s="1"/>
      <c r="U1594" s="1"/>
      <c r="V1594" s="1"/>
      <c r="W1594" s="1"/>
      <c r="X1594" s="1"/>
    </row>
    <row x14ac:dyDescent="0.25" r="1595" customHeight="1" ht="18.75">
      <c r="A1595" s="1"/>
      <c r="B1595" s="1"/>
      <c r="C1595" s="3" t="s">
        <v>100</v>
      </c>
      <c r="D1595" s="3" t="s">
        <v>1622</v>
      </c>
      <c r="E1595" s="1"/>
      <c r="F1595" s="1"/>
      <c r="G1595" s="1"/>
      <c r="H1595" s="1"/>
      <c r="I1595" s="2"/>
      <c r="J1595" s="1"/>
      <c r="K1595" s="1"/>
      <c r="L1595" s="1"/>
      <c r="M1595" s="1"/>
      <c r="N1595" s="1"/>
      <c r="O1595" s="1"/>
      <c r="P1595" s="1"/>
      <c r="Q1595" s="1"/>
      <c r="R1595" s="1"/>
      <c r="S1595" s="1"/>
      <c r="T1595" s="1"/>
      <c r="U1595" s="1"/>
      <c r="V1595" s="1"/>
      <c r="W1595" s="1"/>
      <c r="X1595" s="1"/>
    </row>
    <row x14ac:dyDescent="0.25" r="1596" customHeight="1" ht="18.75">
      <c r="A1596" s="1"/>
      <c r="B1596" s="1"/>
      <c r="C1596" s="3" t="s">
        <v>100</v>
      </c>
      <c r="D1596" s="3" t="s">
        <v>1623</v>
      </c>
      <c r="E1596" s="1"/>
      <c r="F1596" s="1"/>
      <c r="G1596" s="1"/>
      <c r="H1596" s="1"/>
      <c r="I1596" s="2"/>
      <c r="J1596" s="1"/>
      <c r="K1596" s="1"/>
      <c r="L1596" s="1"/>
      <c r="M1596" s="1"/>
      <c r="N1596" s="1"/>
      <c r="O1596" s="1"/>
      <c r="P1596" s="1"/>
      <c r="Q1596" s="1"/>
      <c r="R1596" s="1"/>
      <c r="S1596" s="1"/>
      <c r="T1596" s="1"/>
      <c r="U1596" s="1"/>
      <c r="V1596" s="1"/>
      <c r="W1596" s="1"/>
      <c r="X1596" s="1"/>
    </row>
    <row x14ac:dyDescent="0.25" r="1597" customHeight="1" ht="18.75">
      <c r="A1597" s="1"/>
      <c r="B1597" s="1"/>
      <c r="C1597" s="3" t="s">
        <v>100</v>
      </c>
      <c r="D1597" s="3" t="s">
        <v>1624</v>
      </c>
      <c r="E1597" s="1"/>
      <c r="F1597" s="1"/>
      <c r="G1597" s="1"/>
      <c r="H1597" s="1"/>
      <c r="I1597" s="2"/>
      <c r="J1597" s="1"/>
      <c r="K1597" s="1"/>
      <c r="L1597" s="1"/>
      <c r="M1597" s="1"/>
      <c r="N1597" s="1"/>
      <c r="O1597" s="1"/>
      <c r="P1597" s="1"/>
      <c r="Q1597" s="1"/>
      <c r="R1597" s="1"/>
      <c r="S1597" s="1"/>
      <c r="T1597" s="1"/>
      <c r="U1597" s="1"/>
      <c r="V1597" s="1"/>
      <c r="W1597" s="1"/>
      <c r="X1597" s="1"/>
    </row>
    <row x14ac:dyDescent="0.25" r="1598" customHeight="1" ht="18.75">
      <c r="A1598" s="1"/>
      <c r="B1598" s="1"/>
      <c r="C1598" s="3" t="s">
        <v>100</v>
      </c>
      <c r="D1598" s="3" t="s">
        <v>1625</v>
      </c>
      <c r="E1598" s="1"/>
      <c r="F1598" s="1"/>
      <c r="G1598" s="1"/>
      <c r="H1598" s="1"/>
      <c r="I1598" s="2"/>
      <c r="J1598" s="1"/>
      <c r="K1598" s="1"/>
      <c r="L1598" s="1"/>
      <c r="M1598" s="1"/>
      <c r="N1598" s="1"/>
      <c r="O1598" s="1"/>
      <c r="P1598" s="1"/>
      <c r="Q1598" s="1"/>
      <c r="R1598" s="1"/>
      <c r="S1598" s="1"/>
      <c r="T1598" s="1"/>
      <c r="U1598" s="1"/>
      <c r="V1598" s="1"/>
      <c r="W1598" s="1"/>
      <c r="X1598" s="1"/>
    </row>
    <row x14ac:dyDescent="0.25" r="1599" customHeight="1" ht="18.75">
      <c r="A1599" s="1"/>
      <c r="B1599" s="1"/>
      <c r="C1599" s="3" t="s">
        <v>100</v>
      </c>
      <c r="D1599" s="3" t="s">
        <v>1626</v>
      </c>
      <c r="E1599" s="1"/>
      <c r="F1599" s="1"/>
      <c r="G1599" s="1"/>
      <c r="H1599" s="1"/>
      <c r="I1599" s="2"/>
      <c r="J1599" s="1"/>
      <c r="K1599" s="1"/>
      <c r="L1599" s="1"/>
      <c r="M1599" s="1"/>
      <c r="N1599" s="1"/>
      <c r="O1599" s="1"/>
      <c r="P1599" s="1"/>
      <c r="Q1599" s="1"/>
      <c r="R1599" s="1"/>
      <c r="S1599" s="1"/>
      <c r="T1599" s="1"/>
      <c r="U1599" s="1"/>
      <c r="V1599" s="1"/>
      <c r="W1599" s="1"/>
      <c r="X1599" s="1"/>
    </row>
    <row x14ac:dyDescent="0.25" r="1600" customHeight="1" ht="18.75">
      <c r="A1600" s="1"/>
      <c r="B1600" s="1"/>
      <c r="C1600" s="3" t="s">
        <v>100</v>
      </c>
      <c r="D1600" s="3" t="s">
        <v>1627</v>
      </c>
      <c r="E1600" s="1"/>
      <c r="F1600" s="1"/>
      <c r="G1600" s="1"/>
      <c r="H1600" s="1"/>
      <c r="I1600" s="2"/>
      <c r="J1600" s="1"/>
      <c r="K1600" s="1"/>
      <c r="L1600" s="1"/>
      <c r="M1600" s="1"/>
      <c r="N1600" s="1"/>
      <c r="O1600" s="1"/>
      <c r="P1600" s="1"/>
      <c r="Q1600" s="1"/>
      <c r="R1600" s="1"/>
      <c r="S1600" s="1"/>
      <c r="T1600" s="1"/>
      <c r="U1600" s="1"/>
      <c r="V1600" s="1"/>
      <c r="W1600" s="1"/>
      <c r="X1600" s="1"/>
    </row>
    <row x14ac:dyDescent="0.25" r="1601" customHeight="1" ht="18.75">
      <c r="A1601" s="1"/>
      <c r="B1601" s="1"/>
      <c r="C1601" s="3" t="s">
        <v>100</v>
      </c>
      <c r="D1601" s="3" t="s">
        <v>1628</v>
      </c>
      <c r="E1601" s="1"/>
      <c r="F1601" s="1"/>
      <c r="G1601" s="1"/>
      <c r="H1601" s="1"/>
      <c r="I1601" s="2"/>
      <c r="J1601" s="1"/>
      <c r="K1601" s="1"/>
      <c r="L1601" s="1"/>
      <c r="M1601" s="1"/>
      <c r="N1601" s="1"/>
      <c r="O1601" s="1"/>
      <c r="P1601" s="1"/>
      <c r="Q1601" s="1"/>
      <c r="R1601" s="1"/>
      <c r="S1601" s="1"/>
      <c r="T1601" s="1"/>
      <c r="U1601" s="1"/>
      <c r="V1601" s="1"/>
      <c r="W1601" s="1"/>
      <c r="X1601" s="1"/>
    </row>
    <row x14ac:dyDescent="0.25" r="1602" customHeight="1" ht="18.75">
      <c r="A1602" s="1"/>
      <c r="B1602" s="1"/>
      <c r="C1602" s="3" t="s">
        <v>100</v>
      </c>
      <c r="D1602" s="3" t="s">
        <v>1629</v>
      </c>
      <c r="E1602" s="1"/>
      <c r="F1602" s="1"/>
      <c r="G1602" s="1"/>
      <c r="H1602" s="1"/>
      <c r="I1602" s="2"/>
      <c r="J1602" s="1"/>
      <c r="K1602" s="1"/>
      <c r="L1602" s="1"/>
      <c r="M1602" s="1"/>
      <c r="N1602" s="1"/>
      <c r="O1602" s="1"/>
      <c r="P1602" s="1"/>
      <c r="Q1602" s="1"/>
      <c r="R1602" s="1"/>
      <c r="S1602" s="1"/>
      <c r="T1602" s="1"/>
      <c r="U1602" s="1"/>
      <c r="V1602" s="1"/>
      <c r="W1602" s="1"/>
      <c r="X1602" s="1"/>
    </row>
    <row x14ac:dyDescent="0.25" r="1603" customHeight="1" ht="18.75">
      <c r="A1603" s="1"/>
      <c r="B1603" s="1"/>
      <c r="C1603" s="3" t="s">
        <v>100</v>
      </c>
      <c r="D1603" s="3" t="s">
        <v>1630</v>
      </c>
      <c r="E1603" s="1"/>
      <c r="F1603" s="1"/>
      <c r="G1603" s="1"/>
      <c r="H1603" s="1"/>
      <c r="I1603" s="2"/>
      <c r="J1603" s="1"/>
      <c r="K1603" s="1"/>
      <c r="L1603" s="1"/>
      <c r="M1603" s="1"/>
      <c r="N1603" s="1"/>
      <c r="O1603" s="1"/>
      <c r="P1603" s="1"/>
      <c r="Q1603" s="1"/>
      <c r="R1603" s="1"/>
      <c r="S1603" s="1"/>
      <c r="T1603" s="1"/>
      <c r="U1603" s="1"/>
      <c r="V1603" s="1"/>
      <c r="W1603" s="1"/>
      <c r="X1603" s="1"/>
    </row>
    <row x14ac:dyDescent="0.25" r="1604" customHeight="1" ht="18.75">
      <c r="A1604" s="1"/>
      <c r="B1604" s="1"/>
      <c r="C1604" s="3" t="s">
        <v>100</v>
      </c>
      <c r="D1604" s="3" t="s">
        <v>1631</v>
      </c>
      <c r="E1604" s="1"/>
      <c r="F1604" s="1"/>
      <c r="G1604" s="1"/>
      <c r="H1604" s="1"/>
      <c r="I1604" s="2"/>
      <c r="J1604" s="1"/>
      <c r="K1604" s="1"/>
      <c r="L1604" s="1"/>
      <c r="M1604" s="1"/>
      <c r="N1604" s="1"/>
      <c r="O1604" s="1"/>
      <c r="P1604" s="1"/>
      <c r="Q1604" s="1"/>
      <c r="R1604" s="1"/>
      <c r="S1604" s="1"/>
      <c r="T1604" s="1"/>
      <c r="U1604" s="1"/>
      <c r="V1604" s="1"/>
      <c r="W1604" s="1"/>
      <c r="X1604" s="1"/>
    </row>
    <row x14ac:dyDescent="0.25" r="1605" customHeight="1" ht="18.75">
      <c r="A1605" s="1"/>
      <c r="B1605" s="1"/>
      <c r="C1605" s="3" t="s">
        <v>100</v>
      </c>
      <c r="D1605" s="3" t="s">
        <v>1632</v>
      </c>
      <c r="E1605" s="1"/>
      <c r="F1605" s="1"/>
      <c r="G1605" s="1"/>
      <c r="H1605" s="1"/>
      <c r="I1605" s="2"/>
      <c r="J1605" s="1"/>
      <c r="K1605" s="1"/>
      <c r="L1605" s="1"/>
      <c r="M1605" s="1"/>
      <c r="N1605" s="1"/>
      <c r="O1605" s="1"/>
      <c r="P1605" s="1"/>
      <c r="Q1605" s="1"/>
      <c r="R1605" s="1"/>
      <c r="S1605" s="1"/>
      <c r="T1605" s="1"/>
      <c r="U1605" s="1"/>
      <c r="V1605" s="1"/>
      <c r="W1605" s="1"/>
      <c r="X1605" s="1"/>
    </row>
    <row x14ac:dyDescent="0.25" r="1606" customHeight="1" ht="18.75">
      <c r="A1606" s="1"/>
      <c r="B1606" s="1"/>
      <c r="C1606" s="3" t="s">
        <v>100</v>
      </c>
      <c r="D1606" s="3" t="s">
        <v>1633</v>
      </c>
      <c r="E1606" s="1"/>
      <c r="F1606" s="1"/>
      <c r="G1606" s="1"/>
      <c r="H1606" s="1"/>
      <c r="I1606" s="2"/>
      <c r="J1606" s="1"/>
      <c r="K1606" s="1"/>
      <c r="L1606" s="1"/>
      <c r="M1606" s="1"/>
      <c r="N1606" s="1"/>
      <c r="O1606" s="1"/>
      <c r="P1606" s="1"/>
      <c r="Q1606" s="1"/>
      <c r="R1606" s="1"/>
      <c r="S1606" s="1"/>
      <c r="T1606" s="1"/>
      <c r="U1606" s="1"/>
      <c r="V1606" s="1"/>
      <c r="W1606" s="1"/>
      <c r="X1606" s="1"/>
    </row>
    <row x14ac:dyDescent="0.25" r="1607" customHeight="1" ht="18.75">
      <c r="A1607" s="1"/>
      <c r="B1607" s="1"/>
      <c r="C1607" s="3" t="s">
        <v>100</v>
      </c>
      <c r="D1607" s="3" t="s">
        <v>1634</v>
      </c>
      <c r="E1607" s="1"/>
      <c r="F1607" s="1"/>
      <c r="G1607" s="1"/>
      <c r="H1607" s="1"/>
      <c r="I1607" s="2"/>
      <c r="J1607" s="1"/>
      <c r="K1607" s="1"/>
      <c r="L1607" s="1"/>
      <c r="M1607" s="1"/>
      <c r="N1607" s="1"/>
      <c r="O1607" s="1"/>
      <c r="P1607" s="1"/>
      <c r="Q1607" s="1"/>
      <c r="R1607" s="1"/>
      <c r="S1607" s="1"/>
      <c r="T1607" s="1"/>
      <c r="U1607" s="1"/>
      <c r="V1607" s="1"/>
      <c r="W1607" s="1"/>
      <c r="X1607" s="1"/>
    </row>
    <row x14ac:dyDescent="0.25" r="1608" customHeight="1" ht="18.75">
      <c r="A1608" s="1"/>
      <c r="B1608" s="1"/>
      <c r="C1608" s="3" t="s">
        <v>100</v>
      </c>
      <c r="D1608" s="3" t="s">
        <v>1635</v>
      </c>
      <c r="E1608" s="1"/>
      <c r="F1608" s="1"/>
      <c r="G1608" s="1"/>
      <c r="H1608" s="1"/>
      <c r="I1608" s="2"/>
      <c r="J1608" s="1"/>
      <c r="K1608" s="1"/>
      <c r="L1608" s="1"/>
      <c r="M1608" s="1"/>
      <c r="N1608" s="1"/>
      <c r="O1608" s="1"/>
      <c r="P1608" s="1"/>
      <c r="Q1608" s="1"/>
      <c r="R1608" s="1"/>
      <c r="S1608" s="1"/>
      <c r="T1608" s="1"/>
      <c r="U1608" s="1"/>
      <c r="V1608" s="1"/>
      <c r="W1608" s="1"/>
      <c r="X1608" s="1"/>
    </row>
    <row x14ac:dyDescent="0.25" r="1609" customHeight="1" ht="18.75">
      <c r="A1609" s="1"/>
      <c r="B1609" s="1"/>
      <c r="C1609" s="3" t="s">
        <v>100</v>
      </c>
      <c r="D1609" s="3" t="s">
        <v>1636</v>
      </c>
      <c r="E1609" s="1"/>
      <c r="F1609" s="1"/>
      <c r="G1609" s="1"/>
      <c r="H1609" s="1"/>
      <c r="I1609" s="2"/>
      <c r="J1609" s="1"/>
      <c r="K1609" s="1"/>
      <c r="L1609" s="1"/>
      <c r="M1609" s="1"/>
      <c r="N1609" s="1"/>
      <c r="O1609" s="1"/>
      <c r="P1609" s="1"/>
      <c r="Q1609" s="1"/>
      <c r="R1609" s="1"/>
      <c r="S1609" s="1"/>
      <c r="T1609" s="1"/>
      <c r="U1609" s="1"/>
      <c r="V1609" s="1"/>
      <c r="W1609" s="1"/>
      <c r="X1609" s="1"/>
    </row>
    <row x14ac:dyDescent="0.25" r="1610" customHeight="1" ht="18.75">
      <c r="A1610" s="1"/>
      <c r="B1610" s="1"/>
      <c r="C1610" s="3" t="s">
        <v>100</v>
      </c>
      <c r="D1610" s="3" t="s">
        <v>1637</v>
      </c>
      <c r="E1610" s="1"/>
      <c r="F1610" s="1"/>
      <c r="G1610" s="1"/>
      <c r="H1610" s="1"/>
      <c r="I1610" s="2"/>
      <c r="J1610" s="1"/>
      <c r="K1610" s="1"/>
      <c r="L1610" s="1"/>
      <c r="M1610" s="1"/>
      <c r="N1610" s="1"/>
      <c r="O1610" s="1"/>
      <c r="P1610" s="1"/>
      <c r="Q1610" s="1"/>
      <c r="R1610" s="1"/>
      <c r="S1610" s="1"/>
      <c r="T1610" s="1"/>
      <c r="U1610" s="1"/>
      <c r="V1610" s="1"/>
      <c r="W1610" s="1"/>
      <c r="X1610" s="1"/>
    </row>
    <row x14ac:dyDescent="0.25" r="1611" customHeight="1" ht="18.75">
      <c r="A1611" s="1"/>
      <c r="B1611" s="1"/>
      <c r="C1611" s="3" t="s">
        <v>100</v>
      </c>
      <c r="D1611" s="3" t="s">
        <v>1638</v>
      </c>
      <c r="E1611" s="1"/>
      <c r="F1611" s="1"/>
      <c r="G1611" s="1"/>
      <c r="H1611" s="1"/>
      <c r="I1611" s="2"/>
      <c r="J1611" s="1"/>
      <c r="K1611" s="1"/>
      <c r="L1611" s="1"/>
      <c r="M1611" s="1"/>
      <c r="N1611" s="1"/>
      <c r="O1611" s="1"/>
      <c r="P1611" s="1"/>
      <c r="Q1611" s="1"/>
      <c r="R1611" s="1"/>
      <c r="S1611" s="1"/>
      <c r="T1611" s="1"/>
      <c r="U1611" s="1"/>
      <c r="V1611" s="1"/>
      <c r="W1611" s="1"/>
      <c r="X1611" s="1"/>
    </row>
    <row x14ac:dyDescent="0.25" r="1612" customHeight="1" ht="18.75">
      <c r="A1612" s="1"/>
      <c r="B1612" s="1"/>
      <c r="C1612" s="3" t="s">
        <v>100</v>
      </c>
      <c r="D1612" s="3" t="s">
        <v>1639</v>
      </c>
      <c r="E1612" s="1"/>
      <c r="F1612" s="1"/>
      <c r="G1612" s="1"/>
      <c r="H1612" s="1"/>
      <c r="I1612" s="2"/>
      <c r="J1612" s="1"/>
      <c r="K1612" s="1"/>
      <c r="L1612" s="1"/>
      <c r="M1612" s="1"/>
      <c r="N1612" s="1"/>
      <c r="O1612" s="1"/>
      <c r="P1612" s="1"/>
      <c r="Q1612" s="1"/>
      <c r="R1612" s="1"/>
      <c r="S1612" s="1"/>
      <c r="T1612" s="1"/>
      <c r="U1612" s="1"/>
      <c r="V1612" s="1"/>
      <c r="W1612" s="1"/>
      <c r="X1612" s="1"/>
    </row>
    <row x14ac:dyDescent="0.25" r="1613" customHeight="1" ht="18.75">
      <c r="A1613" s="1"/>
      <c r="B1613" s="1"/>
      <c r="C1613" s="3" t="s">
        <v>100</v>
      </c>
      <c r="D1613" s="3" t="s">
        <v>1640</v>
      </c>
      <c r="E1613" s="1"/>
      <c r="F1613" s="1"/>
      <c r="G1613" s="1"/>
      <c r="H1613" s="1"/>
      <c r="I1613" s="2"/>
      <c r="J1613" s="1"/>
      <c r="K1613" s="1"/>
      <c r="L1613" s="1"/>
      <c r="M1613" s="1"/>
      <c r="N1613" s="1"/>
      <c r="O1613" s="1"/>
      <c r="P1613" s="1"/>
      <c r="Q1613" s="1"/>
      <c r="R1613" s="1"/>
      <c r="S1613" s="1"/>
      <c r="T1613" s="1"/>
      <c r="U1613" s="1"/>
      <c r="V1613" s="1"/>
      <c r="W1613" s="1"/>
      <c r="X1613" s="1"/>
    </row>
    <row x14ac:dyDescent="0.25" r="1614" customHeight="1" ht="18.75">
      <c r="A1614" s="1"/>
      <c r="B1614" s="1"/>
      <c r="C1614" s="3" t="s">
        <v>100</v>
      </c>
      <c r="D1614" s="3" t="s">
        <v>1641</v>
      </c>
      <c r="E1614" s="1"/>
      <c r="F1614" s="1"/>
      <c r="G1614" s="1"/>
      <c r="H1614" s="1"/>
      <c r="I1614" s="2"/>
      <c r="J1614" s="1"/>
      <c r="K1614" s="1"/>
      <c r="L1614" s="1"/>
      <c r="M1614" s="1"/>
      <c r="N1614" s="1"/>
      <c r="O1614" s="1"/>
      <c r="P1614" s="1"/>
      <c r="Q1614" s="1"/>
      <c r="R1614" s="1"/>
      <c r="S1614" s="1"/>
      <c r="T1614" s="1"/>
      <c r="U1614" s="1"/>
      <c r="V1614" s="1"/>
      <c r="W1614" s="1"/>
      <c r="X1614" s="1"/>
    </row>
    <row x14ac:dyDescent="0.25" r="1615" customHeight="1" ht="18.75">
      <c r="A1615" s="1"/>
      <c r="B1615" s="1"/>
      <c r="C1615" s="3" t="s">
        <v>100</v>
      </c>
      <c r="D1615" s="3" t="s">
        <v>1642</v>
      </c>
      <c r="E1615" s="1"/>
      <c r="F1615" s="1"/>
      <c r="G1615" s="1"/>
      <c r="H1615" s="1"/>
      <c r="I1615" s="2"/>
      <c r="J1615" s="1"/>
      <c r="K1615" s="1"/>
      <c r="L1615" s="1"/>
      <c r="M1615" s="1"/>
      <c r="N1615" s="1"/>
      <c r="O1615" s="1"/>
      <c r="P1615" s="1"/>
      <c r="Q1615" s="1"/>
      <c r="R1615" s="1"/>
      <c r="S1615" s="1"/>
      <c r="T1615" s="1"/>
      <c r="U1615" s="1"/>
      <c r="V1615" s="1"/>
      <c r="W1615" s="1"/>
      <c r="X1615" s="1"/>
    </row>
    <row x14ac:dyDescent="0.25" r="1616" customHeight="1" ht="18.75">
      <c r="A1616" s="1"/>
      <c r="B1616" s="1"/>
      <c r="C1616" s="3" t="s">
        <v>100</v>
      </c>
      <c r="D1616" s="3" t="s">
        <v>1643</v>
      </c>
      <c r="E1616" s="1"/>
      <c r="F1616" s="1"/>
      <c r="G1616" s="1"/>
      <c r="H1616" s="1"/>
      <c r="I1616" s="2"/>
      <c r="J1616" s="1"/>
      <c r="K1616" s="1"/>
      <c r="L1616" s="1"/>
      <c r="M1616" s="1"/>
      <c r="N1616" s="1"/>
      <c r="O1616" s="1"/>
      <c r="P1616" s="1"/>
      <c r="Q1616" s="1"/>
      <c r="R1616" s="1"/>
      <c r="S1616" s="1"/>
      <c r="T1616" s="1"/>
      <c r="U1616" s="1"/>
      <c r="V1616" s="1"/>
      <c r="W1616" s="1"/>
      <c r="X1616" s="1"/>
    </row>
    <row x14ac:dyDescent="0.25" r="1617" customHeight="1" ht="18.75">
      <c r="A1617" s="1"/>
      <c r="B1617" s="1"/>
      <c r="C1617" s="3" t="s">
        <v>100</v>
      </c>
      <c r="D1617" s="3" t="s">
        <v>1644</v>
      </c>
      <c r="E1617" s="1"/>
      <c r="F1617" s="1"/>
      <c r="G1617" s="1"/>
      <c r="H1617" s="1"/>
      <c r="I1617" s="2"/>
      <c r="J1617" s="1"/>
      <c r="K1617" s="1"/>
      <c r="L1617" s="1"/>
      <c r="M1617" s="1"/>
      <c r="N1617" s="1"/>
      <c r="O1617" s="1"/>
      <c r="P1617" s="1"/>
      <c r="Q1617" s="1"/>
      <c r="R1617" s="1"/>
      <c r="S1617" s="1"/>
      <c r="T1617" s="1"/>
      <c r="U1617" s="1"/>
      <c r="V1617" s="1"/>
      <c r="W1617" s="1"/>
      <c r="X1617" s="1"/>
    </row>
    <row x14ac:dyDescent="0.25" r="1618" customHeight="1" ht="18.75">
      <c r="A1618" s="1"/>
      <c r="B1618" s="1"/>
      <c r="C1618" s="3" t="s">
        <v>100</v>
      </c>
      <c r="D1618" s="3" t="s">
        <v>1645</v>
      </c>
      <c r="E1618" s="1"/>
      <c r="F1618" s="1"/>
      <c r="G1618" s="1"/>
      <c r="H1618" s="1"/>
      <c r="I1618" s="2"/>
      <c r="J1618" s="1"/>
      <c r="K1618" s="1"/>
      <c r="L1618" s="1"/>
      <c r="M1618" s="1"/>
      <c r="N1618" s="1"/>
      <c r="O1618" s="1"/>
      <c r="P1618" s="1"/>
      <c r="Q1618" s="1"/>
      <c r="R1618" s="1"/>
      <c r="S1618" s="1"/>
      <c r="T1618" s="1"/>
      <c r="U1618" s="1"/>
      <c r="V1618" s="1"/>
      <c r="W1618" s="1"/>
      <c r="X1618" s="1"/>
    </row>
    <row x14ac:dyDescent="0.25" r="1619" customHeight="1" ht="18.75">
      <c r="A1619" s="1"/>
      <c r="B1619" s="1"/>
      <c r="C1619" s="3" t="s">
        <v>100</v>
      </c>
      <c r="D1619" s="3" t="s">
        <v>1646</v>
      </c>
      <c r="E1619" s="1"/>
      <c r="F1619" s="1"/>
      <c r="G1619" s="1"/>
      <c r="H1619" s="1"/>
      <c r="I1619" s="2"/>
      <c r="J1619" s="1"/>
      <c r="K1619" s="1"/>
      <c r="L1619" s="1"/>
      <c r="M1619" s="1"/>
      <c r="N1619" s="1"/>
      <c r="O1619" s="1"/>
      <c r="P1619" s="1"/>
      <c r="Q1619" s="1"/>
      <c r="R1619" s="1"/>
      <c r="S1619" s="1"/>
      <c r="T1619" s="1"/>
      <c r="U1619" s="1"/>
      <c r="V1619" s="1"/>
      <c r="W1619" s="1"/>
      <c r="X1619" s="1"/>
    </row>
    <row x14ac:dyDescent="0.25" r="1620" customHeight="1" ht="18.75">
      <c r="A1620" s="1"/>
      <c r="B1620" s="1"/>
      <c r="C1620" s="3" t="s">
        <v>100</v>
      </c>
      <c r="D1620" s="3" t="s">
        <v>1647</v>
      </c>
      <c r="E1620" s="1"/>
      <c r="F1620" s="1"/>
      <c r="G1620" s="1"/>
      <c r="H1620" s="1"/>
      <c r="I1620" s="2"/>
      <c r="J1620" s="1"/>
      <c r="K1620" s="1"/>
      <c r="L1620" s="1"/>
      <c r="M1620" s="1"/>
      <c r="N1620" s="1"/>
      <c r="O1620" s="1"/>
      <c r="P1620" s="1"/>
      <c r="Q1620" s="1"/>
      <c r="R1620" s="1"/>
      <c r="S1620" s="1"/>
      <c r="T1620" s="1"/>
      <c r="U1620" s="1"/>
      <c r="V1620" s="1"/>
      <c r="W1620" s="1"/>
      <c r="X1620" s="1"/>
    </row>
    <row x14ac:dyDescent="0.25" r="1621" customHeight="1" ht="18.75">
      <c r="A1621" s="1"/>
      <c r="B1621" s="1"/>
      <c r="C1621" s="3" t="s">
        <v>100</v>
      </c>
      <c r="D1621" s="3" t="s">
        <v>1648</v>
      </c>
      <c r="E1621" s="1"/>
      <c r="F1621" s="1"/>
      <c r="G1621" s="1"/>
      <c r="H1621" s="1"/>
      <c r="I1621" s="2"/>
      <c r="J1621" s="1"/>
      <c r="K1621" s="1"/>
      <c r="L1621" s="1"/>
      <c r="M1621" s="1"/>
      <c r="N1621" s="1"/>
      <c r="O1621" s="1"/>
      <c r="P1621" s="1"/>
      <c r="Q1621" s="1"/>
      <c r="R1621" s="1"/>
      <c r="S1621" s="1"/>
      <c r="T1621" s="1"/>
      <c r="U1621" s="1"/>
      <c r="V1621" s="1"/>
      <c r="W1621" s="1"/>
      <c r="X1621" s="1"/>
    </row>
    <row x14ac:dyDescent="0.25" r="1622" customHeight="1" ht="18.75">
      <c r="A1622" s="1"/>
      <c r="B1622" s="1"/>
      <c r="C1622" s="3" t="s">
        <v>100</v>
      </c>
      <c r="D1622" s="3" t="s">
        <v>1649</v>
      </c>
      <c r="E1622" s="1"/>
      <c r="F1622" s="1"/>
      <c r="G1622" s="1"/>
      <c r="H1622" s="1"/>
      <c r="I1622" s="2"/>
      <c r="J1622" s="1"/>
      <c r="K1622" s="1"/>
      <c r="L1622" s="1"/>
      <c r="M1622" s="1"/>
      <c r="N1622" s="1"/>
      <c r="O1622" s="1"/>
      <c r="P1622" s="1"/>
      <c r="Q1622" s="1"/>
      <c r="R1622" s="1"/>
      <c r="S1622" s="1"/>
      <c r="T1622" s="1"/>
      <c r="U1622" s="1"/>
      <c r="V1622" s="1"/>
      <c r="W1622" s="1"/>
      <c r="X1622" s="1"/>
    </row>
    <row x14ac:dyDescent="0.25" r="1623" customHeight="1" ht="18.75">
      <c r="A1623" s="1"/>
      <c r="B1623" s="1"/>
      <c r="C1623" s="3" t="s">
        <v>100</v>
      </c>
      <c r="D1623" s="3" t="s">
        <v>1650</v>
      </c>
      <c r="E1623" s="1"/>
      <c r="F1623" s="1"/>
      <c r="G1623" s="1"/>
      <c r="H1623" s="1"/>
      <c r="I1623" s="2"/>
      <c r="J1623" s="1"/>
      <c r="K1623" s="1"/>
      <c r="L1623" s="1"/>
      <c r="M1623" s="1"/>
      <c r="N1623" s="1"/>
      <c r="O1623" s="1"/>
      <c r="P1623" s="1"/>
      <c r="Q1623" s="1"/>
      <c r="R1623" s="1"/>
      <c r="S1623" s="1"/>
      <c r="T1623" s="1"/>
      <c r="U1623" s="1"/>
      <c r="V1623" s="1"/>
      <c r="W1623" s="1"/>
      <c r="X1623" s="1"/>
    </row>
    <row x14ac:dyDescent="0.25" r="1624" customHeight="1" ht="18.75">
      <c r="A1624" s="1"/>
      <c r="B1624" s="1"/>
      <c r="C1624" s="3" t="s">
        <v>100</v>
      </c>
      <c r="D1624" s="3" t="s">
        <v>1651</v>
      </c>
      <c r="E1624" s="1"/>
      <c r="F1624" s="1"/>
      <c r="G1624" s="1"/>
      <c r="H1624" s="1"/>
      <c r="I1624" s="2"/>
      <c r="J1624" s="1"/>
      <c r="K1624" s="1"/>
      <c r="L1624" s="1"/>
      <c r="M1624" s="1"/>
      <c r="N1624" s="1"/>
      <c r="O1624" s="1"/>
      <c r="P1624" s="1"/>
      <c r="Q1624" s="1"/>
      <c r="R1624" s="1"/>
      <c r="S1624" s="1"/>
      <c r="T1624" s="1"/>
      <c r="U1624" s="1"/>
      <c r="V1624" s="1"/>
      <c r="W1624" s="1"/>
      <c r="X1624" s="1"/>
    </row>
    <row x14ac:dyDescent="0.25" r="1625" customHeight="1" ht="18.75">
      <c r="A1625" s="1"/>
      <c r="B1625" s="1"/>
      <c r="C1625" s="3" t="s">
        <v>100</v>
      </c>
      <c r="D1625" s="3" t="s">
        <v>1652</v>
      </c>
      <c r="E1625" s="1"/>
      <c r="F1625" s="1"/>
      <c r="G1625" s="1"/>
      <c r="H1625" s="1"/>
      <c r="I1625" s="2"/>
      <c r="J1625" s="1"/>
      <c r="K1625" s="1"/>
      <c r="L1625" s="1"/>
      <c r="M1625" s="1"/>
      <c r="N1625" s="1"/>
      <c r="O1625" s="1"/>
      <c r="P1625" s="1"/>
      <c r="Q1625" s="1"/>
      <c r="R1625" s="1"/>
      <c r="S1625" s="1"/>
      <c r="T1625" s="1"/>
      <c r="U1625" s="1"/>
      <c r="V1625" s="1"/>
      <c r="W1625" s="1"/>
      <c r="X1625" s="1"/>
    </row>
    <row x14ac:dyDescent="0.25" r="1626" customHeight="1" ht="18.75">
      <c r="A1626" s="1"/>
      <c r="B1626" s="1"/>
      <c r="C1626" s="3" t="s">
        <v>100</v>
      </c>
      <c r="D1626" s="3" t="s">
        <v>1653</v>
      </c>
      <c r="E1626" s="1"/>
      <c r="F1626" s="1"/>
      <c r="G1626" s="1"/>
      <c r="H1626" s="1"/>
      <c r="I1626" s="2"/>
      <c r="J1626" s="1"/>
      <c r="K1626" s="1"/>
      <c r="L1626" s="1"/>
      <c r="M1626" s="1"/>
      <c r="N1626" s="1"/>
      <c r="O1626" s="1"/>
      <c r="P1626" s="1"/>
      <c r="Q1626" s="1"/>
      <c r="R1626" s="1"/>
      <c r="S1626" s="1"/>
      <c r="T1626" s="1"/>
      <c r="U1626" s="1"/>
      <c r="V1626" s="1"/>
      <c r="W1626" s="1"/>
      <c r="X1626" s="1"/>
    </row>
    <row x14ac:dyDescent="0.25" r="1627" customHeight="1" ht="18.75">
      <c r="A1627" s="1"/>
      <c r="B1627" s="1"/>
      <c r="C1627" s="3" t="s">
        <v>100</v>
      </c>
      <c r="D1627" s="3" t="s">
        <v>1654</v>
      </c>
      <c r="E1627" s="1"/>
      <c r="F1627" s="1"/>
      <c r="G1627" s="1"/>
      <c r="H1627" s="1"/>
      <c r="I1627" s="2"/>
      <c r="J1627" s="1"/>
      <c r="K1627" s="1"/>
      <c r="L1627" s="1"/>
      <c r="M1627" s="1"/>
      <c r="N1627" s="1"/>
      <c r="O1627" s="1"/>
      <c r="P1627" s="1"/>
      <c r="Q1627" s="1"/>
      <c r="R1627" s="1"/>
      <c r="S1627" s="1"/>
      <c r="T1627" s="1"/>
      <c r="U1627" s="1"/>
      <c r="V1627" s="1"/>
      <c r="W1627" s="1"/>
      <c r="X1627" s="1"/>
    </row>
    <row x14ac:dyDescent="0.25" r="1628" customHeight="1" ht="18.75">
      <c r="A1628" s="1"/>
      <c r="B1628" s="1"/>
      <c r="C1628" s="3" t="s">
        <v>100</v>
      </c>
      <c r="D1628" s="3" t="s">
        <v>1655</v>
      </c>
      <c r="E1628" s="1"/>
      <c r="F1628" s="1"/>
      <c r="G1628" s="1"/>
      <c r="H1628" s="1"/>
      <c r="I1628" s="2"/>
      <c r="J1628" s="1"/>
      <c r="K1628" s="1"/>
      <c r="L1628" s="1"/>
      <c r="M1628" s="1"/>
      <c r="N1628" s="1"/>
      <c r="O1628" s="1"/>
      <c r="P1628" s="1"/>
      <c r="Q1628" s="1"/>
      <c r="R1628" s="1"/>
      <c r="S1628" s="1"/>
      <c r="T1628" s="1"/>
      <c r="U1628" s="1"/>
      <c r="V1628" s="1"/>
      <c r="W1628" s="1"/>
      <c r="X1628" s="1"/>
    </row>
    <row x14ac:dyDescent="0.25" r="1629" customHeight="1" ht="18.75">
      <c r="A1629" s="1"/>
      <c r="B1629" s="1"/>
      <c r="C1629" s="3" t="s">
        <v>100</v>
      </c>
      <c r="D1629" s="3" t="s">
        <v>1656</v>
      </c>
      <c r="E1629" s="1"/>
      <c r="F1629" s="1"/>
      <c r="G1629" s="1"/>
      <c r="H1629" s="1"/>
      <c r="I1629" s="2"/>
      <c r="J1629" s="1"/>
      <c r="K1629" s="1"/>
      <c r="L1629" s="1"/>
      <c r="M1629" s="1"/>
      <c r="N1629" s="1"/>
      <c r="O1629" s="1"/>
      <c r="P1629" s="1"/>
      <c r="Q1629" s="1"/>
      <c r="R1629" s="1"/>
      <c r="S1629" s="1"/>
      <c r="T1629" s="1"/>
      <c r="U1629" s="1"/>
      <c r="V1629" s="1"/>
      <c r="W1629" s="1"/>
      <c r="X1629" s="1"/>
    </row>
    <row x14ac:dyDescent="0.25" r="1630" customHeight="1" ht="18.75">
      <c r="A1630" s="1"/>
      <c r="B1630" s="1"/>
      <c r="C1630" s="3" t="s">
        <v>100</v>
      </c>
      <c r="D1630" s="3" t="s">
        <v>1657</v>
      </c>
      <c r="E1630" s="1"/>
      <c r="F1630" s="1"/>
      <c r="G1630" s="1"/>
      <c r="H1630" s="1"/>
      <c r="I1630" s="2"/>
      <c r="J1630" s="1"/>
      <c r="K1630" s="1"/>
      <c r="L1630" s="1"/>
      <c r="M1630" s="1"/>
      <c r="N1630" s="1"/>
      <c r="O1630" s="1"/>
      <c r="P1630" s="1"/>
      <c r="Q1630" s="1"/>
      <c r="R1630" s="1"/>
      <c r="S1630" s="1"/>
      <c r="T1630" s="1"/>
      <c r="U1630" s="1"/>
      <c r="V1630" s="1"/>
      <c r="W1630" s="1"/>
      <c r="X1630" s="1"/>
    </row>
    <row x14ac:dyDescent="0.25" r="1631" customHeight="1" ht="18.75">
      <c r="A1631" s="1"/>
      <c r="B1631" s="1"/>
      <c r="C1631" s="3" t="s">
        <v>100</v>
      </c>
      <c r="D1631" s="3" t="s">
        <v>1658</v>
      </c>
      <c r="E1631" s="1"/>
      <c r="F1631" s="1"/>
      <c r="G1631" s="1"/>
      <c r="H1631" s="1"/>
      <c r="I1631" s="2"/>
      <c r="J1631" s="1"/>
      <c r="K1631" s="1"/>
      <c r="L1631" s="1"/>
      <c r="M1631" s="1"/>
      <c r="N1631" s="1"/>
      <c r="O1631" s="1"/>
      <c r="P1631" s="1"/>
      <c r="Q1631" s="1"/>
      <c r="R1631" s="1"/>
      <c r="S1631" s="1"/>
      <c r="T1631" s="1"/>
      <c r="U1631" s="1"/>
      <c r="V1631" s="1"/>
      <c r="W1631" s="1"/>
      <c r="X1631" s="1"/>
    </row>
    <row x14ac:dyDescent="0.25" r="1632" customHeight="1" ht="18.75">
      <c r="A1632" s="1"/>
      <c r="B1632" s="1"/>
      <c r="C1632" s="3" t="s">
        <v>100</v>
      </c>
      <c r="D1632" s="3" t="s">
        <v>1659</v>
      </c>
      <c r="E1632" s="1"/>
      <c r="F1632" s="1"/>
      <c r="G1632" s="1"/>
      <c r="H1632" s="1"/>
      <c r="I1632" s="2"/>
      <c r="J1632" s="1"/>
      <c r="K1632" s="1"/>
      <c r="L1632" s="1"/>
      <c r="M1632" s="1"/>
      <c r="N1632" s="1"/>
      <c r="O1632" s="1"/>
      <c r="P1632" s="1"/>
      <c r="Q1632" s="1"/>
      <c r="R1632" s="1"/>
      <c r="S1632" s="1"/>
      <c r="T1632" s="1"/>
      <c r="U1632" s="1"/>
      <c r="V1632" s="1"/>
      <c r="W1632" s="1"/>
      <c r="X1632" s="1"/>
    </row>
    <row x14ac:dyDescent="0.25" r="1633" customHeight="1" ht="18.75">
      <c r="A1633" s="1"/>
      <c r="B1633" s="1"/>
      <c r="C1633" s="3" t="s">
        <v>100</v>
      </c>
      <c r="D1633" s="3" t="s">
        <v>1660</v>
      </c>
      <c r="E1633" s="1"/>
      <c r="F1633" s="1"/>
      <c r="G1633" s="1"/>
      <c r="H1633" s="1"/>
      <c r="I1633" s="2"/>
      <c r="J1633" s="1"/>
      <c r="K1633" s="1"/>
      <c r="L1633" s="1"/>
      <c r="M1633" s="1"/>
      <c r="N1633" s="1"/>
      <c r="O1633" s="1"/>
      <c r="P1633" s="1"/>
      <c r="Q1633" s="1"/>
      <c r="R1633" s="1"/>
      <c r="S1633" s="1"/>
      <c r="T1633" s="1"/>
      <c r="U1633" s="1"/>
      <c r="V1633" s="1"/>
      <c r="W1633" s="1"/>
      <c r="X1633" s="1"/>
    </row>
    <row x14ac:dyDescent="0.25" r="1634" customHeight="1" ht="18.75">
      <c r="A1634" s="1"/>
      <c r="B1634" s="1"/>
      <c r="C1634" s="3" t="s">
        <v>100</v>
      </c>
      <c r="D1634" s="3" t="s">
        <v>1661</v>
      </c>
      <c r="E1634" s="1"/>
      <c r="F1634" s="1"/>
      <c r="G1634" s="1"/>
      <c r="H1634" s="1"/>
      <c r="I1634" s="2"/>
      <c r="J1634" s="1"/>
      <c r="K1634" s="1"/>
      <c r="L1634" s="1"/>
      <c r="M1634" s="1"/>
      <c r="N1634" s="1"/>
      <c r="O1634" s="1"/>
      <c r="P1634" s="1"/>
      <c r="Q1634" s="1"/>
      <c r="R1634" s="1"/>
      <c r="S1634" s="1"/>
      <c r="T1634" s="1"/>
      <c r="U1634" s="1"/>
      <c r="V1634" s="1"/>
      <c r="W1634" s="1"/>
      <c r="X1634" s="1"/>
    </row>
    <row x14ac:dyDescent="0.25" r="1635" customHeight="1" ht="18.75">
      <c r="A1635" s="1"/>
      <c r="B1635" s="1"/>
      <c r="C1635" s="3" t="s">
        <v>100</v>
      </c>
      <c r="D1635" s="3" t="s">
        <v>1662</v>
      </c>
      <c r="E1635" s="1"/>
      <c r="F1635" s="1"/>
      <c r="G1635" s="1"/>
      <c r="H1635" s="1"/>
      <c r="I1635" s="2"/>
      <c r="J1635" s="1"/>
      <c r="K1635" s="1"/>
      <c r="L1635" s="1"/>
      <c r="M1635" s="1"/>
      <c r="N1635" s="1"/>
      <c r="O1635" s="1"/>
      <c r="P1635" s="1"/>
      <c r="Q1635" s="1"/>
      <c r="R1635" s="1"/>
      <c r="S1635" s="1"/>
      <c r="T1635" s="1"/>
      <c r="U1635" s="1"/>
      <c r="V1635" s="1"/>
      <c r="W1635" s="1"/>
      <c r="X1635" s="1"/>
    </row>
    <row x14ac:dyDescent="0.25" r="1636" customHeight="1" ht="18.75">
      <c r="A1636" s="1"/>
      <c r="B1636" s="1"/>
      <c r="C1636" s="3" t="s">
        <v>100</v>
      </c>
      <c r="D1636" s="3" t="s">
        <v>1663</v>
      </c>
      <c r="E1636" s="1"/>
      <c r="F1636" s="1"/>
      <c r="G1636" s="1"/>
      <c r="H1636" s="1"/>
      <c r="I1636" s="2"/>
      <c r="J1636" s="1"/>
      <c r="K1636" s="1"/>
      <c r="L1636" s="1"/>
      <c r="M1636" s="1"/>
      <c r="N1636" s="1"/>
      <c r="O1636" s="1"/>
      <c r="P1636" s="1"/>
      <c r="Q1636" s="1"/>
      <c r="R1636" s="1"/>
      <c r="S1636" s="1"/>
      <c r="T1636" s="1"/>
      <c r="U1636" s="1"/>
      <c r="V1636" s="1"/>
      <c r="W1636" s="1"/>
      <c r="X1636" s="1"/>
    </row>
    <row x14ac:dyDescent="0.25" r="1637" customHeight="1" ht="18.75">
      <c r="A1637" s="1"/>
      <c r="B1637" s="1"/>
      <c r="C1637" s="3" t="s">
        <v>100</v>
      </c>
      <c r="D1637" s="3" t="s">
        <v>1664</v>
      </c>
      <c r="E1637" s="1"/>
      <c r="F1637" s="1"/>
      <c r="G1637" s="1"/>
      <c r="H1637" s="1"/>
      <c r="I1637" s="2"/>
      <c r="J1637" s="1"/>
      <c r="K1637" s="1"/>
      <c r="L1637" s="1"/>
      <c r="M1637" s="1"/>
      <c r="N1637" s="1"/>
      <c r="O1637" s="1"/>
      <c r="P1637" s="1"/>
      <c r="Q1637" s="1"/>
      <c r="R1637" s="1"/>
      <c r="S1637" s="1"/>
      <c r="T1637" s="1"/>
      <c r="U1637" s="1"/>
      <c r="V1637" s="1"/>
      <c r="W1637" s="1"/>
      <c r="X1637" s="1"/>
    </row>
    <row x14ac:dyDescent="0.25" r="1638" customHeight="1" ht="18.75">
      <c r="A1638" s="1"/>
      <c r="B1638" s="1"/>
      <c r="C1638" s="3" t="s">
        <v>100</v>
      </c>
      <c r="D1638" s="3" t="s">
        <v>1665</v>
      </c>
      <c r="E1638" s="1"/>
      <c r="F1638" s="1"/>
      <c r="G1638" s="1"/>
      <c r="H1638" s="1"/>
      <c r="I1638" s="2"/>
      <c r="J1638" s="1"/>
      <c r="K1638" s="1"/>
      <c r="L1638" s="1"/>
      <c r="M1638" s="1"/>
      <c r="N1638" s="1"/>
      <c r="O1638" s="1"/>
      <c r="P1638" s="1"/>
      <c r="Q1638" s="1"/>
      <c r="R1638" s="1"/>
      <c r="S1638" s="1"/>
      <c r="T1638" s="1"/>
      <c r="U1638" s="1"/>
      <c r="V1638" s="1"/>
      <c r="W1638" s="1"/>
      <c r="X1638" s="1"/>
    </row>
    <row x14ac:dyDescent="0.25" r="1639" customHeight="1" ht="18.75">
      <c r="A1639" s="1"/>
      <c r="B1639" s="1"/>
      <c r="C1639" s="3" t="s">
        <v>100</v>
      </c>
      <c r="D1639" s="3" t="s">
        <v>1666</v>
      </c>
      <c r="E1639" s="1"/>
      <c r="F1639" s="1"/>
      <c r="G1639" s="1"/>
      <c r="H1639" s="1"/>
      <c r="I1639" s="2"/>
      <c r="J1639" s="1"/>
      <c r="K1639" s="1"/>
      <c r="L1639" s="1"/>
      <c r="M1639" s="1"/>
      <c r="N1639" s="1"/>
      <c r="O1639" s="1"/>
      <c r="P1639" s="1"/>
      <c r="Q1639" s="1"/>
      <c r="R1639" s="1"/>
      <c r="S1639" s="1"/>
      <c r="T1639" s="1"/>
      <c r="U1639" s="1"/>
      <c r="V1639" s="1"/>
      <c r="W1639" s="1"/>
      <c r="X1639" s="1"/>
    </row>
    <row x14ac:dyDescent="0.25" r="1640" customHeight="1" ht="18.75">
      <c r="A1640" s="1"/>
      <c r="B1640" s="1"/>
      <c r="C1640" s="3" t="s">
        <v>100</v>
      </c>
      <c r="D1640" s="3" t="s">
        <v>1667</v>
      </c>
      <c r="E1640" s="1"/>
      <c r="F1640" s="1"/>
      <c r="G1640" s="1"/>
      <c r="H1640" s="1"/>
      <c r="I1640" s="2"/>
      <c r="J1640" s="1"/>
      <c r="K1640" s="1"/>
      <c r="L1640" s="1"/>
      <c r="M1640" s="1"/>
      <c r="N1640" s="1"/>
      <c r="O1640" s="1"/>
      <c r="P1640" s="1"/>
      <c r="Q1640" s="1"/>
      <c r="R1640" s="1"/>
      <c r="S1640" s="1"/>
      <c r="T1640" s="1"/>
      <c r="U1640" s="1"/>
      <c r="V1640" s="1"/>
      <c r="W1640" s="1"/>
      <c r="X1640" s="1"/>
    </row>
    <row x14ac:dyDescent="0.25" r="1641" customHeight="1" ht="18.75">
      <c r="A1641" s="1"/>
      <c r="B1641" s="1"/>
      <c r="C1641" s="3" t="s">
        <v>100</v>
      </c>
      <c r="D1641" s="3" t="s">
        <v>1668</v>
      </c>
      <c r="E1641" s="1"/>
      <c r="F1641" s="1"/>
      <c r="G1641" s="1"/>
      <c r="H1641" s="1"/>
      <c r="I1641" s="2"/>
      <c r="J1641" s="1"/>
      <c r="K1641" s="1"/>
      <c r="L1641" s="1"/>
      <c r="M1641" s="1"/>
      <c r="N1641" s="1"/>
      <c r="O1641" s="1"/>
      <c r="P1641" s="1"/>
      <c r="Q1641" s="1"/>
      <c r="R1641" s="1"/>
      <c r="S1641" s="1"/>
      <c r="T1641" s="1"/>
      <c r="U1641" s="1"/>
      <c r="V1641" s="1"/>
      <c r="W1641" s="1"/>
      <c r="X1641" s="1"/>
    </row>
    <row x14ac:dyDescent="0.25" r="1642" customHeight="1" ht="18.75">
      <c r="A1642" s="1"/>
      <c r="B1642" s="1"/>
      <c r="C1642" s="3" t="s">
        <v>100</v>
      </c>
      <c r="D1642" s="3" t="s">
        <v>1669</v>
      </c>
      <c r="E1642" s="1"/>
      <c r="F1642" s="1"/>
      <c r="G1642" s="1"/>
      <c r="H1642" s="1"/>
      <c r="I1642" s="2"/>
      <c r="J1642" s="1"/>
      <c r="K1642" s="1"/>
      <c r="L1642" s="1"/>
      <c r="M1642" s="1"/>
      <c r="N1642" s="1"/>
      <c r="O1642" s="1"/>
      <c r="P1642" s="1"/>
      <c r="Q1642" s="1"/>
      <c r="R1642" s="1"/>
      <c r="S1642" s="1"/>
      <c r="T1642" s="1"/>
      <c r="U1642" s="1"/>
      <c r="V1642" s="1"/>
      <c r="W1642" s="1"/>
      <c r="X1642" s="1"/>
    </row>
    <row x14ac:dyDescent="0.25" r="1643" customHeight="1" ht="18.75">
      <c r="A1643" s="1"/>
      <c r="B1643" s="1"/>
      <c r="C1643" s="3" t="s">
        <v>100</v>
      </c>
      <c r="D1643" s="3" t="s">
        <v>1670</v>
      </c>
      <c r="E1643" s="1"/>
      <c r="F1643" s="1"/>
      <c r="G1643" s="1"/>
      <c r="H1643" s="1"/>
      <c r="I1643" s="2"/>
      <c r="J1643" s="1"/>
      <c r="K1643" s="1"/>
      <c r="L1643" s="1"/>
      <c r="M1643" s="1"/>
      <c r="N1643" s="1"/>
      <c r="O1643" s="1"/>
      <c r="P1643" s="1"/>
      <c r="Q1643" s="1"/>
      <c r="R1643" s="1"/>
      <c r="S1643" s="1"/>
      <c r="T1643" s="1"/>
      <c r="U1643" s="1"/>
      <c r="V1643" s="1"/>
      <c r="W1643" s="1"/>
      <c r="X1643" s="1"/>
    </row>
    <row x14ac:dyDescent="0.25" r="1644" customHeight="1" ht="18.75">
      <c r="A1644" s="1"/>
      <c r="B1644" s="1"/>
      <c r="C1644" s="3" t="s">
        <v>100</v>
      </c>
      <c r="D1644" s="3" t="s">
        <v>1671</v>
      </c>
      <c r="E1644" s="1"/>
      <c r="F1644" s="1"/>
      <c r="G1644" s="1"/>
      <c r="H1644" s="1"/>
      <c r="I1644" s="2"/>
      <c r="J1644" s="1"/>
      <c r="K1644" s="1"/>
      <c r="L1644" s="1"/>
      <c r="M1644" s="1"/>
      <c r="N1644" s="1"/>
      <c r="O1644" s="1"/>
      <c r="P1644" s="1"/>
      <c r="Q1644" s="1"/>
      <c r="R1644" s="1"/>
      <c r="S1644" s="1"/>
      <c r="T1644" s="1"/>
      <c r="U1644" s="1"/>
      <c r="V1644" s="1"/>
      <c r="W1644" s="1"/>
      <c r="X1644" s="1"/>
    </row>
    <row x14ac:dyDescent="0.25" r="1645" customHeight="1" ht="18.75">
      <c r="A1645" s="1"/>
      <c r="B1645" s="1"/>
      <c r="C1645" s="3" t="s">
        <v>100</v>
      </c>
      <c r="D1645" s="3" t="s">
        <v>1672</v>
      </c>
      <c r="E1645" s="1"/>
      <c r="F1645" s="1"/>
      <c r="G1645" s="1"/>
      <c r="H1645" s="1"/>
      <c r="I1645" s="2"/>
      <c r="J1645" s="1"/>
      <c r="K1645" s="1"/>
      <c r="L1645" s="1"/>
      <c r="M1645" s="1"/>
      <c r="N1645" s="1"/>
      <c r="O1645" s="1"/>
      <c r="P1645" s="1"/>
      <c r="Q1645" s="1"/>
      <c r="R1645" s="1"/>
      <c r="S1645" s="1"/>
      <c r="T1645" s="1"/>
      <c r="U1645" s="1"/>
      <c r="V1645" s="1"/>
      <c r="W1645" s="1"/>
      <c r="X1645" s="1"/>
    </row>
    <row x14ac:dyDescent="0.25" r="1646" customHeight="1" ht="18.75">
      <c r="A1646" s="1"/>
      <c r="B1646" s="1"/>
      <c r="C1646" s="3" t="s">
        <v>100</v>
      </c>
      <c r="D1646" s="3" t="s">
        <v>1673</v>
      </c>
      <c r="E1646" s="1"/>
      <c r="F1646" s="1"/>
      <c r="G1646" s="1"/>
      <c r="H1646" s="1"/>
      <c r="I1646" s="2"/>
      <c r="J1646" s="1"/>
      <c r="K1646" s="1"/>
      <c r="L1646" s="1"/>
      <c r="M1646" s="1"/>
      <c r="N1646" s="1"/>
      <c r="O1646" s="1"/>
      <c r="P1646" s="1"/>
      <c r="Q1646" s="1"/>
      <c r="R1646" s="1"/>
      <c r="S1646" s="1"/>
      <c r="T1646" s="1"/>
      <c r="U1646" s="1"/>
      <c r="V1646" s="1"/>
      <c r="W1646" s="1"/>
      <c r="X1646" s="1"/>
    </row>
    <row x14ac:dyDescent="0.25" r="1647" customHeight="1" ht="18.75">
      <c r="A1647" s="1"/>
      <c r="B1647" s="1"/>
      <c r="C1647" s="3" t="s">
        <v>100</v>
      </c>
      <c r="D1647" s="3" t="s">
        <v>1674</v>
      </c>
      <c r="E1647" s="1"/>
      <c r="F1647" s="1"/>
      <c r="G1647" s="1"/>
      <c r="H1647" s="1"/>
      <c r="I1647" s="2"/>
      <c r="J1647" s="1"/>
      <c r="K1647" s="1"/>
      <c r="L1647" s="1"/>
      <c r="M1647" s="1"/>
      <c r="N1647" s="1"/>
      <c r="O1647" s="1"/>
      <c r="P1647" s="1"/>
      <c r="Q1647" s="1"/>
      <c r="R1647" s="1"/>
      <c r="S1647" s="1"/>
      <c r="T1647" s="1"/>
      <c r="U1647" s="1"/>
      <c r="V1647" s="1"/>
      <c r="W1647" s="1"/>
      <c r="X1647" s="1"/>
    </row>
    <row x14ac:dyDescent="0.25" r="1648" customHeight="1" ht="18.75">
      <c r="A1648" s="1"/>
      <c r="B1648" s="1"/>
      <c r="C1648" s="3" t="s">
        <v>100</v>
      </c>
      <c r="D1648" s="3" t="s">
        <v>1675</v>
      </c>
      <c r="E1648" s="1"/>
      <c r="F1648" s="1"/>
      <c r="G1648" s="1"/>
      <c r="H1648" s="1"/>
      <c r="I1648" s="2"/>
      <c r="J1648" s="1"/>
      <c r="K1648" s="1"/>
      <c r="L1648" s="1"/>
      <c r="M1648" s="1"/>
      <c r="N1648" s="1"/>
      <c r="O1648" s="1"/>
      <c r="P1648" s="1"/>
      <c r="Q1648" s="1"/>
      <c r="R1648" s="1"/>
      <c r="S1648" s="1"/>
      <c r="T1648" s="1"/>
      <c r="U1648" s="1"/>
      <c r="V1648" s="1"/>
      <c r="W1648" s="1"/>
      <c r="X1648" s="1"/>
    </row>
    <row x14ac:dyDescent="0.25" r="1649" customHeight="1" ht="18.75">
      <c r="A1649" s="1"/>
      <c r="B1649" s="1"/>
      <c r="C1649" s="3" t="s">
        <v>100</v>
      </c>
      <c r="D1649" s="3" t="s">
        <v>1676</v>
      </c>
      <c r="E1649" s="1"/>
      <c r="F1649" s="1"/>
      <c r="G1649" s="1"/>
      <c r="H1649" s="1"/>
      <c r="I1649" s="2"/>
      <c r="J1649" s="1"/>
      <c r="K1649" s="1"/>
      <c r="L1649" s="1"/>
      <c r="M1649" s="1"/>
      <c r="N1649" s="1"/>
      <c r="O1649" s="1"/>
      <c r="P1649" s="1"/>
      <c r="Q1649" s="1"/>
      <c r="R1649" s="1"/>
      <c r="S1649" s="1"/>
      <c r="T1649" s="1"/>
      <c r="U1649" s="1"/>
      <c r="V1649" s="1"/>
      <c r="W1649" s="1"/>
      <c r="X1649" s="1"/>
    </row>
    <row x14ac:dyDescent="0.25" r="1650" customHeight="1" ht="18.75">
      <c r="A1650" s="1"/>
      <c r="B1650" s="1"/>
      <c r="C1650" s="3" t="s">
        <v>100</v>
      </c>
      <c r="D1650" s="3" t="s">
        <v>1677</v>
      </c>
      <c r="E1650" s="1"/>
      <c r="F1650" s="1"/>
      <c r="G1650" s="1"/>
      <c r="H1650" s="1"/>
      <c r="I1650" s="2"/>
      <c r="J1650" s="1"/>
      <c r="K1650" s="1"/>
      <c r="L1650" s="1"/>
      <c r="M1650" s="1"/>
      <c r="N1650" s="1"/>
      <c r="O1650" s="1"/>
      <c r="P1650" s="1"/>
      <c r="Q1650" s="1"/>
      <c r="R1650" s="1"/>
      <c r="S1650" s="1"/>
      <c r="T1650" s="1"/>
      <c r="U1650" s="1"/>
      <c r="V1650" s="1"/>
      <c r="W1650" s="1"/>
      <c r="X1650" s="1"/>
    </row>
    <row x14ac:dyDescent="0.25" r="1651" customHeight="1" ht="18.75">
      <c r="A1651" s="1"/>
      <c r="B1651" s="1"/>
      <c r="C1651" s="3" t="s">
        <v>100</v>
      </c>
      <c r="D1651" s="3" t="s">
        <v>1678</v>
      </c>
      <c r="E1651" s="1"/>
      <c r="F1651" s="1"/>
      <c r="G1651" s="1"/>
      <c r="H1651" s="1"/>
      <c r="I1651" s="2"/>
      <c r="J1651" s="1"/>
      <c r="K1651" s="1"/>
      <c r="L1651" s="1"/>
      <c r="M1651" s="1"/>
      <c r="N1651" s="1"/>
      <c r="O1651" s="1"/>
      <c r="P1651" s="1"/>
      <c r="Q1651" s="1"/>
      <c r="R1651" s="1"/>
      <c r="S1651" s="1"/>
      <c r="T1651" s="1"/>
      <c r="U1651" s="1"/>
      <c r="V1651" s="1"/>
      <c r="W1651" s="1"/>
      <c r="X1651" s="1"/>
    </row>
    <row x14ac:dyDescent="0.25" r="1652" customHeight="1" ht="18.75">
      <c r="A1652" s="1"/>
      <c r="B1652" s="1"/>
      <c r="C1652" s="3" t="s">
        <v>100</v>
      </c>
      <c r="D1652" s="3" t="s">
        <v>1679</v>
      </c>
      <c r="E1652" s="1"/>
      <c r="F1652" s="1"/>
      <c r="G1652" s="1"/>
      <c r="H1652" s="1"/>
      <c r="I1652" s="2"/>
      <c r="J1652" s="1"/>
      <c r="K1652" s="1"/>
      <c r="L1652" s="1"/>
      <c r="M1652" s="1"/>
      <c r="N1652" s="1"/>
      <c r="O1652" s="1"/>
      <c r="P1652" s="1"/>
      <c r="Q1652" s="1"/>
      <c r="R1652" s="1"/>
      <c r="S1652" s="1"/>
      <c r="T1652" s="1"/>
      <c r="U1652" s="1"/>
      <c r="V1652" s="1"/>
      <c r="W1652" s="1"/>
      <c r="X1652" s="1"/>
    </row>
    <row x14ac:dyDescent="0.25" r="1653" customHeight="1" ht="18.75">
      <c r="A1653" s="1"/>
      <c r="B1653" s="1"/>
      <c r="C1653" s="3" t="s">
        <v>100</v>
      </c>
      <c r="D1653" s="3" t="s">
        <v>1680</v>
      </c>
      <c r="E1653" s="1"/>
      <c r="F1653" s="1"/>
      <c r="G1653" s="1"/>
      <c r="H1653" s="1"/>
      <c r="I1653" s="2"/>
      <c r="J1653" s="1"/>
      <c r="K1653" s="1"/>
      <c r="L1653" s="1"/>
      <c r="M1653" s="1"/>
      <c r="N1653" s="1"/>
      <c r="O1653" s="1"/>
      <c r="P1653" s="1"/>
      <c r="Q1653" s="1"/>
      <c r="R1653" s="1"/>
      <c r="S1653" s="1"/>
      <c r="T1653" s="1"/>
      <c r="U1653" s="1"/>
      <c r="V1653" s="1"/>
      <c r="W1653" s="1"/>
      <c r="X1653" s="1"/>
    </row>
    <row x14ac:dyDescent="0.25" r="1654" customHeight="1" ht="18.75">
      <c r="A1654" s="1"/>
      <c r="B1654" s="1"/>
      <c r="C1654" s="3" t="s">
        <v>100</v>
      </c>
      <c r="D1654" s="3" t="s">
        <v>1681</v>
      </c>
      <c r="E1654" s="1"/>
      <c r="F1654" s="1"/>
      <c r="G1654" s="1"/>
      <c r="H1654" s="1"/>
      <c r="I1654" s="2"/>
      <c r="J1654" s="1"/>
      <c r="K1654" s="1"/>
      <c r="L1654" s="1"/>
      <c r="M1654" s="1"/>
      <c r="N1654" s="1"/>
      <c r="O1654" s="1"/>
      <c r="P1654" s="1"/>
      <c r="Q1654" s="1"/>
      <c r="R1654" s="1"/>
      <c r="S1654" s="1"/>
      <c r="T1654" s="1"/>
      <c r="U1654" s="1"/>
      <c r="V1654" s="1"/>
      <c r="W1654" s="1"/>
      <c r="X1654" s="1"/>
    </row>
    <row x14ac:dyDescent="0.25" r="1655" customHeight="1" ht="18.75">
      <c r="A1655" s="1"/>
      <c r="B1655" s="1"/>
      <c r="C1655" s="3" t="s">
        <v>100</v>
      </c>
      <c r="D1655" s="3" t="s">
        <v>1682</v>
      </c>
      <c r="E1655" s="1"/>
      <c r="F1655" s="1"/>
      <c r="G1655" s="1"/>
      <c r="H1655" s="1"/>
      <c r="I1655" s="2"/>
      <c r="J1655" s="1"/>
      <c r="K1655" s="1"/>
      <c r="L1655" s="1"/>
      <c r="M1655" s="1"/>
      <c r="N1655" s="1"/>
      <c r="O1655" s="1"/>
      <c r="P1655" s="1"/>
      <c r="Q1655" s="1"/>
      <c r="R1655" s="1"/>
      <c r="S1655" s="1"/>
      <c r="T1655" s="1"/>
      <c r="U1655" s="1"/>
      <c r="V1655" s="1"/>
      <c r="W1655" s="1"/>
      <c r="X1655" s="1"/>
    </row>
    <row x14ac:dyDescent="0.25" r="1656" customHeight="1" ht="18.75">
      <c r="A1656" s="1"/>
      <c r="B1656" s="1"/>
      <c r="C1656" s="3" t="s">
        <v>100</v>
      </c>
      <c r="D1656" s="3" t="s">
        <v>1683</v>
      </c>
      <c r="E1656" s="1"/>
      <c r="F1656" s="1"/>
      <c r="G1656" s="1"/>
      <c r="H1656" s="1"/>
      <c r="I1656" s="2"/>
      <c r="J1656" s="1"/>
      <c r="K1656" s="1"/>
      <c r="L1656" s="1"/>
      <c r="M1656" s="1"/>
      <c r="N1656" s="1"/>
      <c r="O1656" s="1"/>
      <c r="P1656" s="1"/>
      <c r="Q1656" s="1"/>
      <c r="R1656" s="1"/>
      <c r="S1656" s="1"/>
      <c r="T1656" s="1"/>
      <c r="U1656" s="1"/>
      <c r="V1656" s="1"/>
      <c r="W1656" s="1"/>
      <c r="X1656" s="1"/>
    </row>
    <row x14ac:dyDescent="0.25" r="1657" customHeight="1" ht="18.75">
      <c r="A1657" s="1"/>
      <c r="B1657" s="1"/>
      <c r="C1657" s="3" t="s">
        <v>100</v>
      </c>
      <c r="D1657" s="3" t="s">
        <v>1684</v>
      </c>
      <c r="E1657" s="1"/>
      <c r="F1657" s="1"/>
      <c r="G1657" s="1"/>
      <c r="H1657" s="1"/>
      <c r="I1657" s="2"/>
      <c r="J1657" s="1"/>
      <c r="K1657" s="1"/>
      <c r="L1657" s="1"/>
      <c r="M1657" s="1"/>
      <c r="N1657" s="1"/>
      <c r="O1657" s="1"/>
      <c r="P1657" s="1"/>
      <c r="Q1657" s="1"/>
      <c r="R1657" s="1"/>
      <c r="S1657" s="1"/>
      <c r="T1657" s="1"/>
      <c r="U1657" s="1"/>
      <c r="V1657" s="1"/>
      <c r="W1657" s="1"/>
      <c r="X1657" s="1"/>
    </row>
    <row x14ac:dyDescent="0.25" r="1658" customHeight="1" ht="18.75">
      <c r="A1658" s="1"/>
      <c r="B1658" s="1"/>
      <c r="C1658" s="3" t="s">
        <v>100</v>
      </c>
      <c r="D1658" s="3" t="s">
        <v>1685</v>
      </c>
      <c r="E1658" s="1"/>
      <c r="F1658" s="1"/>
      <c r="G1658" s="1"/>
      <c r="H1658" s="1"/>
      <c r="I1658" s="2"/>
      <c r="J1658" s="1"/>
      <c r="K1658" s="1"/>
      <c r="L1658" s="1"/>
      <c r="M1658" s="1"/>
      <c r="N1658" s="1"/>
      <c r="O1658" s="1"/>
      <c r="P1658" s="1"/>
      <c r="Q1658" s="1"/>
      <c r="R1658" s="1"/>
      <c r="S1658" s="1"/>
      <c r="T1658" s="1"/>
      <c r="U1658" s="1"/>
      <c r="V1658" s="1"/>
      <c r="W1658" s="1"/>
      <c r="X1658" s="1"/>
    </row>
    <row x14ac:dyDescent="0.25" r="1659" customHeight="1" ht="18.75">
      <c r="A1659" s="1"/>
      <c r="B1659" s="1"/>
      <c r="C1659" s="3" t="s">
        <v>100</v>
      </c>
      <c r="D1659" s="3" t="s">
        <v>1686</v>
      </c>
      <c r="E1659" s="1"/>
      <c r="F1659" s="1"/>
      <c r="G1659" s="1"/>
      <c r="H1659" s="1"/>
      <c r="I1659" s="2"/>
      <c r="J1659" s="1"/>
      <c r="K1659" s="1"/>
      <c r="L1659" s="1"/>
      <c r="M1659" s="1"/>
      <c r="N1659" s="1"/>
      <c r="O1659" s="1"/>
      <c r="P1659" s="1"/>
      <c r="Q1659" s="1"/>
      <c r="R1659" s="1"/>
      <c r="S1659" s="1"/>
      <c r="T1659" s="1"/>
      <c r="U1659" s="1"/>
      <c r="V1659" s="1"/>
      <c r="W1659" s="1"/>
      <c r="X1659" s="1"/>
    </row>
    <row x14ac:dyDescent="0.25" r="1660" customHeight="1" ht="18.75">
      <c r="A1660" s="1"/>
      <c r="B1660" s="1"/>
      <c r="C1660" s="3" t="s">
        <v>100</v>
      </c>
      <c r="D1660" s="3" t="s">
        <v>1687</v>
      </c>
      <c r="E1660" s="1"/>
      <c r="F1660" s="1"/>
      <c r="G1660" s="1"/>
      <c r="H1660" s="1"/>
      <c r="I1660" s="2"/>
      <c r="J1660" s="1"/>
      <c r="K1660" s="1"/>
      <c r="L1660" s="1"/>
      <c r="M1660" s="1"/>
      <c r="N1660" s="1"/>
      <c r="O1660" s="1"/>
      <c r="P1660" s="1"/>
      <c r="Q1660" s="1"/>
      <c r="R1660" s="1"/>
      <c r="S1660" s="1"/>
      <c r="T1660" s="1"/>
      <c r="U1660" s="1"/>
      <c r="V1660" s="1"/>
      <c r="W1660" s="1"/>
      <c r="X1660" s="1"/>
    </row>
    <row x14ac:dyDescent="0.25" r="1661" customHeight="1" ht="18.75">
      <c r="A1661" s="1"/>
      <c r="B1661" s="1"/>
      <c r="C1661" s="3" t="s">
        <v>100</v>
      </c>
      <c r="D1661" s="3" t="s">
        <v>1688</v>
      </c>
      <c r="E1661" s="1"/>
      <c r="F1661" s="1"/>
      <c r="G1661" s="1"/>
      <c r="H1661" s="1"/>
      <c r="I1661" s="2"/>
      <c r="J1661" s="1"/>
      <c r="K1661" s="1"/>
      <c r="L1661" s="1"/>
      <c r="M1661" s="1"/>
      <c r="N1661" s="1"/>
      <c r="O1661" s="1"/>
      <c r="P1661" s="1"/>
      <c r="Q1661" s="1"/>
      <c r="R1661" s="1"/>
      <c r="S1661" s="1"/>
      <c r="T1661" s="1"/>
      <c r="U1661" s="1"/>
      <c r="V1661" s="1"/>
      <c r="W1661" s="1"/>
      <c r="X1661" s="1"/>
    </row>
    <row x14ac:dyDescent="0.25" r="1662" customHeight="1" ht="18.75">
      <c r="A1662" s="1"/>
      <c r="B1662" s="1"/>
      <c r="C1662" s="3" t="s">
        <v>100</v>
      </c>
      <c r="D1662" s="3" t="s">
        <v>1689</v>
      </c>
      <c r="E1662" s="1"/>
      <c r="F1662" s="1"/>
      <c r="G1662" s="1"/>
      <c r="H1662" s="1"/>
      <c r="I1662" s="2"/>
      <c r="J1662" s="1"/>
      <c r="K1662" s="1"/>
      <c r="L1662" s="1"/>
      <c r="M1662" s="1"/>
      <c r="N1662" s="1"/>
      <c r="O1662" s="1"/>
      <c r="P1662" s="1"/>
      <c r="Q1662" s="1"/>
      <c r="R1662" s="1"/>
      <c r="S1662" s="1"/>
      <c r="T1662" s="1"/>
      <c r="U1662" s="1"/>
      <c r="V1662" s="1"/>
      <c r="W1662" s="1"/>
      <c r="X1662" s="1"/>
    </row>
    <row x14ac:dyDescent="0.25" r="1663" customHeight="1" ht="18.75">
      <c r="A1663" s="1"/>
      <c r="B1663" s="1"/>
      <c r="C1663" s="3" t="s">
        <v>100</v>
      </c>
      <c r="D1663" s="3" t="s">
        <v>1690</v>
      </c>
      <c r="E1663" s="1"/>
      <c r="F1663" s="1"/>
      <c r="G1663" s="1"/>
      <c r="H1663" s="1"/>
      <c r="I1663" s="2"/>
      <c r="J1663" s="1"/>
      <c r="K1663" s="1"/>
      <c r="L1663" s="1"/>
      <c r="M1663" s="1"/>
      <c r="N1663" s="1"/>
      <c r="O1663" s="1"/>
      <c r="P1663" s="1"/>
      <c r="Q1663" s="1"/>
      <c r="R1663" s="1"/>
      <c r="S1663" s="1"/>
      <c r="T1663" s="1"/>
      <c r="U1663" s="1"/>
      <c r="V1663" s="1"/>
      <c r="W1663" s="1"/>
      <c r="X1663" s="1"/>
    </row>
    <row x14ac:dyDescent="0.25" r="1664" customHeight="1" ht="18.75">
      <c r="A1664" s="1"/>
      <c r="B1664" s="1"/>
      <c r="C1664" s="3" t="s">
        <v>100</v>
      </c>
      <c r="D1664" s="3" t="s">
        <v>1691</v>
      </c>
      <c r="E1664" s="1"/>
      <c r="F1664" s="1"/>
      <c r="G1664" s="1"/>
      <c r="H1664" s="1"/>
      <c r="I1664" s="2"/>
      <c r="J1664" s="1"/>
      <c r="K1664" s="1"/>
      <c r="L1664" s="1"/>
      <c r="M1664" s="1"/>
      <c r="N1664" s="1"/>
      <c r="O1664" s="1"/>
      <c r="P1664" s="1"/>
      <c r="Q1664" s="1"/>
      <c r="R1664" s="1"/>
      <c r="S1664" s="1"/>
      <c r="T1664" s="1"/>
      <c r="U1664" s="1"/>
      <c r="V1664" s="1"/>
      <c r="W1664" s="1"/>
      <c r="X1664" s="1"/>
    </row>
    <row x14ac:dyDescent="0.25" r="1665" customHeight="1" ht="18.75">
      <c r="A1665" s="1"/>
      <c r="B1665" s="1"/>
      <c r="C1665" s="3" t="s">
        <v>100</v>
      </c>
      <c r="D1665" s="3" t="s">
        <v>1692</v>
      </c>
      <c r="E1665" s="1"/>
      <c r="F1665" s="1"/>
      <c r="G1665" s="1"/>
      <c r="H1665" s="1"/>
      <c r="I1665" s="2"/>
      <c r="J1665" s="1"/>
      <c r="K1665" s="1"/>
      <c r="L1665" s="1"/>
      <c r="M1665" s="1"/>
      <c r="N1665" s="1"/>
      <c r="O1665" s="1"/>
      <c r="P1665" s="1"/>
      <c r="Q1665" s="1"/>
      <c r="R1665" s="1"/>
      <c r="S1665" s="1"/>
      <c r="T1665" s="1"/>
      <c r="U1665" s="1"/>
      <c r="V1665" s="1"/>
      <c r="W1665" s="1"/>
      <c r="X1665" s="1"/>
    </row>
    <row x14ac:dyDescent="0.25" r="1666" customHeight="1" ht="18.75">
      <c r="A1666" s="1"/>
      <c r="B1666" s="1"/>
      <c r="C1666" s="3" t="s">
        <v>100</v>
      </c>
      <c r="D1666" s="3" t="s">
        <v>1693</v>
      </c>
      <c r="E1666" s="1"/>
      <c r="F1666" s="1"/>
      <c r="G1666" s="1"/>
      <c r="H1666" s="1"/>
      <c r="I1666" s="2"/>
      <c r="J1666" s="1"/>
      <c r="K1666" s="1"/>
      <c r="L1666" s="1"/>
      <c r="M1666" s="1"/>
      <c r="N1666" s="1"/>
      <c r="O1666" s="1"/>
      <c r="P1666" s="1"/>
      <c r="Q1666" s="1"/>
      <c r="R1666" s="1"/>
      <c r="S1666" s="1"/>
      <c r="T1666" s="1"/>
      <c r="U1666" s="1"/>
      <c r="V1666" s="1"/>
      <c r="W1666" s="1"/>
      <c r="X1666" s="1"/>
    </row>
    <row x14ac:dyDescent="0.25" r="1667" customHeight="1" ht="18.75">
      <c r="A1667" s="1"/>
      <c r="B1667" s="1"/>
      <c r="C1667" s="3" t="s">
        <v>100</v>
      </c>
      <c r="D1667" s="3" t="s">
        <v>1694</v>
      </c>
      <c r="E1667" s="1"/>
      <c r="F1667" s="1"/>
      <c r="G1667" s="1"/>
      <c r="H1667" s="1"/>
      <c r="I1667" s="2"/>
      <c r="J1667" s="1"/>
      <c r="K1667" s="1"/>
      <c r="L1667" s="1"/>
      <c r="M1667" s="1"/>
      <c r="N1667" s="1"/>
      <c r="O1667" s="1"/>
      <c r="P1667" s="1"/>
      <c r="Q1667" s="1"/>
      <c r="R1667" s="1"/>
      <c r="S1667" s="1"/>
      <c r="T1667" s="1"/>
      <c r="U1667" s="1"/>
      <c r="V1667" s="1"/>
      <c r="W1667" s="1"/>
      <c r="X1667" s="1"/>
    </row>
    <row x14ac:dyDescent="0.25" r="1668" customHeight="1" ht="18.75">
      <c r="A1668" s="1"/>
      <c r="B1668" s="1"/>
      <c r="C1668" s="3" t="s">
        <v>100</v>
      </c>
      <c r="D1668" s="3" t="s">
        <v>1695</v>
      </c>
      <c r="E1668" s="1"/>
      <c r="F1668" s="1"/>
      <c r="G1668" s="1"/>
      <c r="H1668" s="1"/>
      <c r="I1668" s="2"/>
      <c r="J1668" s="1"/>
      <c r="K1668" s="1"/>
      <c r="L1668" s="1"/>
      <c r="M1668" s="1"/>
      <c r="N1668" s="1"/>
      <c r="O1668" s="1"/>
      <c r="P1668" s="1"/>
      <c r="Q1668" s="1"/>
      <c r="R1668" s="1"/>
      <c r="S1668" s="1"/>
      <c r="T1668" s="1"/>
      <c r="U1668" s="1"/>
      <c r="V1668" s="1"/>
      <c r="W1668" s="1"/>
      <c r="X1668" s="1"/>
    </row>
    <row x14ac:dyDescent="0.25" r="1669" customHeight="1" ht="18.75">
      <c r="A1669" s="1"/>
      <c r="B1669" s="1"/>
      <c r="C1669" s="3" t="s">
        <v>100</v>
      </c>
      <c r="D1669" s="3" t="s">
        <v>1696</v>
      </c>
      <c r="E1669" s="1"/>
      <c r="F1669" s="1"/>
      <c r="G1669" s="1"/>
      <c r="H1669" s="1"/>
      <c r="I1669" s="2"/>
      <c r="J1669" s="1"/>
      <c r="K1669" s="1"/>
      <c r="L1669" s="1"/>
      <c r="M1669" s="1"/>
      <c r="N1669" s="1"/>
      <c r="O1669" s="1"/>
      <c r="P1669" s="1"/>
      <c r="Q1669" s="1"/>
      <c r="R1669" s="1"/>
      <c r="S1669" s="1"/>
      <c r="T1669" s="1"/>
      <c r="U1669" s="1"/>
      <c r="V1669" s="1"/>
      <c r="W1669" s="1"/>
      <c r="X1669" s="1"/>
    </row>
    <row x14ac:dyDescent="0.25" r="1670" customHeight="1" ht="18.75">
      <c r="A1670" s="1"/>
      <c r="B1670" s="1"/>
      <c r="C1670" s="3" t="s">
        <v>100</v>
      </c>
      <c r="D1670" s="3" t="s">
        <v>1697</v>
      </c>
      <c r="E1670" s="1"/>
      <c r="F1670" s="1"/>
      <c r="G1670" s="1"/>
      <c r="H1670" s="1"/>
      <c r="I1670" s="2"/>
      <c r="J1670" s="1"/>
      <c r="K1670" s="1"/>
      <c r="L1670" s="1"/>
      <c r="M1670" s="1"/>
      <c r="N1670" s="1"/>
      <c r="O1670" s="1"/>
      <c r="P1670" s="1"/>
      <c r="Q1670" s="1"/>
      <c r="R1670" s="1"/>
      <c r="S1670" s="1"/>
      <c r="T1670" s="1"/>
      <c r="U1670" s="1"/>
      <c r="V1670" s="1"/>
      <c r="W1670" s="1"/>
      <c r="X1670" s="1"/>
    </row>
    <row x14ac:dyDescent="0.25" r="1671" customHeight="1" ht="18.75">
      <c r="A1671" s="1"/>
      <c r="B1671" s="1"/>
      <c r="C1671" s="3" t="s">
        <v>100</v>
      </c>
      <c r="D1671" s="3" t="s">
        <v>1698</v>
      </c>
      <c r="E1671" s="1"/>
      <c r="F1671" s="1"/>
      <c r="G1671" s="1"/>
      <c r="H1671" s="1"/>
      <c r="I1671" s="2"/>
      <c r="J1671" s="1"/>
      <c r="K1671" s="1"/>
      <c r="L1671" s="1"/>
      <c r="M1671" s="1"/>
      <c r="N1671" s="1"/>
      <c r="O1671" s="1"/>
      <c r="P1671" s="1"/>
      <c r="Q1671" s="1"/>
      <c r="R1671" s="1"/>
      <c r="S1671" s="1"/>
      <c r="T1671" s="1"/>
      <c r="U1671" s="1"/>
      <c r="V1671" s="1"/>
      <c r="W1671" s="1"/>
      <c r="X1671" s="1"/>
    </row>
    <row x14ac:dyDescent="0.25" r="1672" customHeight="1" ht="18.75">
      <c r="A1672" s="1"/>
      <c r="B1672" s="1"/>
      <c r="C1672" s="3" t="s">
        <v>100</v>
      </c>
      <c r="D1672" s="3" t="s">
        <v>1699</v>
      </c>
      <c r="E1672" s="1"/>
      <c r="F1672" s="1"/>
      <c r="G1672" s="1"/>
      <c r="H1672" s="1"/>
      <c r="I1672" s="2"/>
      <c r="J1672" s="1"/>
      <c r="K1672" s="1"/>
      <c r="L1672" s="1"/>
      <c r="M1672" s="1"/>
      <c r="N1672" s="1"/>
      <c r="O1672" s="1"/>
      <c r="P1672" s="1"/>
      <c r="Q1672" s="1"/>
      <c r="R1672" s="1"/>
      <c r="S1672" s="1"/>
      <c r="T1672" s="1"/>
      <c r="U1672" s="1"/>
      <c r="V1672" s="1"/>
      <c r="W1672" s="1"/>
      <c r="X1672" s="1"/>
    </row>
    <row x14ac:dyDescent="0.25" r="1673" customHeight="1" ht="18.75">
      <c r="A1673" s="1"/>
      <c r="B1673" s="1"/>
      <c r="C1673" s="3" t="s">
        <v>100</v>
      </c>
      <c r="D1673" s="3" t="s">
        <v>1700</v>
      </c>
      <c r="E1673" s="1"/>
      <c r="F1673" s="1"/>
      <c r="G1673" s="1"/>
      <c r="H1673" s="1"/>
      <c r="I1673" s="2"/>
      <c r="J1673" s="1"/>
      <c r="K1673" s="1"/>
      <c r="L1673" s="1"/>
      <c r="M1673" s="1"/>
      <c r="N1673" s="1"/>
      <c r="O1673" s="1"/>
      <c r="P1673" s="1"/>
      <c r="Q1673" s="1"/>
      <c r="R1673" s="1"/>
      <c r="S1673" s="1"/>
      <c r="T1673" s="1"/>
      <c r="U1673" s="1"/>
      <c r="V1673" s="1"/>
      <c r="W1673" s="1"/>
      <c r="X1673" s="1"/>
    </row>
    <row x14ac:dyDescent="0.25" r="1674" customHeight="1" ht="18.75">
      <c r="A1674" s="1"/>
      <c r="B1674" s="1"/>
      <c r="C1674" s="3" t="s">
        <v>100</v>
      </c>
      <c r="D1674" s="3" t="s">
        <v>1701</v>
      </c>
      <c r="E1674" s="1"/>
      <c r="F1674" s="1"/>
      <c r="G1674" s="1"/>
      <c r="H1674" s="1"/>
      <c r="I1674" s="2"/>
      <c r="J1674" s="1"/>
      <c r="K1674" s="1"/>
      <c r="L1674" s="1"/>
      <c r="M1674" s="1"/>
      <c r="N1674" s="1"/>
      <c r="O1674" s="1"/>
      <c r="P1674" s="1"/>
      <c r="Q1674" s="1"/>
      <c r="R1674" s="1"/>
      <c r="S1674" s="1"/>
      <c r="T1674" s="1"/>
      <c r="U1674" s="1"/>
      <c r="V1674" s="1"/>
      <c r="W1674" s="1"/>
      <c r="X1674" s="1"/>
    </row>
    <row x14ac:dyDescent="0.25" r="1675" customHeight="1" ht="18.75">
      <c r="A1675" s="1"/>
      <c r="B1675" s="1"/>
      <c r="C1675" s="3" t="s">
        <v>100</v>
      </c>
      <c r="D1675" s="3" t="s">
        <v>1702</v>
      </c>
      <c r="E1675" s="1"/>
      <c r="F1675" s="1"/>
      <c r="G1675" s="1"/>
      <c r="H1675" s="1"/>
      <c r="I1675" s="2"/>
      <c r="J1675" s="1"/>
      <c r="K1675" s="1"/>
      <c r="L1675" s="1"/>
      <c r="M1675" s="1"/>
      <c r="N1675" s="1"/>
      <c r="O1675" s="1"/>
      <c r="P1675" s="1"/>
      <c r="Q1675" s="1"/>
      <c r="R1675" s="1"/>
      <c r="S1675" s="1"/>
      <c r="T1675" s="1"/>
      <c r="U1675" s="1"/>
      <c r="V1675" s="1"/>
      <c r="W1675" s="1"/>
      <c r="X1675" s="1"/>
    </row>
    <row x14ac:dyDescent="0.25" r="1676" customHeight="1" ht="18.75">
      <c r="A1676" s="1"/>
      <c r="B1676" s="1"/>
      <c r="C1676" s="3" t="s">
        <v>100</v>
      </c>
      <c r="D1676" s="3" t="s">
        <v>1703</v>
      </c>
      <c r="E1676" s="1"/>
      <c r="F1676" s="1"/>
      <c r="G1676" s="1"/>
      <c r="H1676" s="1"/>
      <c r="I1676" s="2"/>
      <c r="J1676" s="1"/>
      <c r="K1676" s="1"/>
      <c r="L1676" s="1"/>
      <c r="M1676" s="1"/>
      <c r="N1676" s="1"/>
      <c r="O1676" s="1"/>
      <c r="P1676" s="1"/>
      <c r="Q1676" s="1"/>
      <c r="R1676" s="1"/>
      <c r="S1676" s="1"/>
      <c r="T1676" s="1"/>
      <c r="U1676" s="1"/>
      <c r="V1676" s="1"/>
      <c r="W1676" s="1"/>
      <c r="X1676" s="1"/>
    </row>
    <row x14ac:dyDescent="0.25" r="1677" customHeight="1" ht="18.75">
      <c r="A1677" s="1"/>
      <c r="B1677" s="1"/>
      <c r="C1677" s="3" t="s">
        <v>100</v>
      </c>
      <c r="D1677" s="3" t="s">
        <v>1704</v>
      </c>
      <c r="E1677" s="1"/>
      <c r="F1677" s="1"/>
      <c r="G1677" s="1"/>
      <c r="H1677" s="1"/>
      <c r="I1677" s="2"/>
      <c r="J1677" s="1"/>
      <c r="K1677" s="1"/>
      <c r="L1677" s="1"/>
      <c r="M1677" s="1"/>
      <c r="N1677" s="1"/>
      <c r="O1677" s="1"/>
      <c r="P1677" s="1"/>
      <c r="Q1677" s="1"/>
      <c r="R1677" s="1"/>
      <c r="S1677" s="1"/>
      <c r="T1677" s="1"/>
      <c r="U1677" s="1"/>
      <c r="V1677" s="1"/>
      <c r="W1677" s="1"/>
      <c r="X1677" s="1"/>
    </row>
    <row x14ac:dyDescent="0.25" r="1678" customHeight="1" ht="18.75">
      <c r="A1678" s="1"/>
      <c r="B1678" s="1"/>
      <c r="C1678" s="3" t="s">
        <v>100</v>
      </c>
      <c r="D1678" s="3" t="s">
        <v>1705</v>
      </c>
      <c r="E1678" s="1"/>
      <c r="F1678" s="1"/>
      <c r="G1678" s="1"/>
      <c r="H1678" s="1"/>
      <c r="I1678" s="2"/>
      <c r="J1678" s="1"/>
      <c r="K1678" s="1"/>
      <c r="L1678" s="1"/>
      <c r="M1678" s="1"/>
      <c r="N1678" s="1"/>
      <c r="O1678" s="1"/>
      <c r="P1678" s="1"/>
      <c r="Q1678" s="1"/>
      <c r="R1678" s="1"/>
      <c r="S1678" s="1"/>
      <c r="T1678" s="1"/>
      <c r="U1678" s="1"/>
      <c r="V1678" s="1"/>
      <c r="W1678" s="1"/>
      <c r="X1678" s="1"/>
    </row>
    <row x14ac:dyDescent="0.25" r="1679" customHeight="1" ht="18.75">
      <c r="A1679" s="1"/>
      <c r="B1679" s="1"/>
      <c r="C1679" s="3" t="s">
        <v>100</v>
      </c>
      <c r="D1679" s="3" t="s">
        <v>1706</v>
      </c>
      <c r="E1679" s="1"/>
      <c r="F1679" s="1"/>
      <c r="G1679" s="1"/>
      <c r="H1679" s="1"/>
      <c r="I1679" s="2"/>
      <c r="J1679" s="1"/>
      <c r="K1679" s="1"/>
      <c r="L1679" s="1"/>
      <c r="M1679" s="1"/>
      <c r="N1679" s="1"/>
      <c r="O1679" s="1"/>
      <c r="P1679" s="1"/>
      <c r="Q1679" s="1"/>
      <c r="R1679" s="1"/>
      <c r="S1679" s="1"/>
      <c r="T1679" s="1"/>
      <c r="U1679" s="1"/>
      <c r="V1679" s="1"/>
      <c r="W1679" s="1"/>
      <c r="X1679" s="1"/>
    </row>
    <row x14ac:dyDescent="0.25" r="1680" customHeight="1" ht="18.75">
      <c r="A1680" s="1"/>
      <c r="B1680" s="1"/>
      <c r="C1680" s="3" t="s">
        <v>100</v>
      </c>
      <c r="D1680" s="3" t="s">
        <v>1707</v>
      </c>
      <c r="E1680" s="1"/>
      <c r="F1680" s="1"/>
      <c r="G1680" s="1"/>
      <c r="H1680" s="1"/>
      <c r="I1680" s="2"/>
      <c r="J1680" s="1"/>
      <c r="K1680" s="1"/>
      <c r="L1680" s="1"/>
      <c r="M1680" s="1"/>
      <c r="N1680" s="1"/>
      <c r="O1680" s="1"/>
      <c r="P1680" s="1"/>
      <c r="Q1680" s="1"/>
      <c r="R1680" s="1"/>
      <c r="S1680" s="1"/>
      <c r="T1680" s="1"/>
      <c r="U1680" s="1"/>
      <c r="V1680" s="1"/>
      <c r="W1680" s="1"/>
      <c r="X1680" s="1"/>
    </row>
    <row x14ac:dyDescent="0.25" r="1681" customHeight="1" ht="18.75">
      <c r="A1681" s="1"/>
      <c r="B1681" s="1"/>
      <c r="C1681" s="3" t="s">
        <v>100</v>
      </c>
      <c r="D1681" s="3" t="s">
        <v>1708</v>
      </c>
      <c r="E1681" s="1"/>
      <c r="F1681" s="1"/>
      <c r="G1681" s="1"/>
      <c r="H1681" s="1"/>
      <c r="I1681" s="2"/>
      <c r="J1681" s="1"/>
      <c r="K1681" s="1"/>
      <c r="L1681" s="1"/>
      <c r="M1681" s="1"/>
      <c r="N1681" s="1"/>
      <c r="O1681" s="1"/>
      <c r="P1681" s="1"/>
      <c r="Q1681" s="1"/>
      <c r="R1681" s="1"/>
      <c r="S1681" s="1"/>
      <c r="T1681" s="1"/>
      <c r="U1681" s="1"/>
      <c r="V1681" s="1"/>
      <c r="W1681" s="1"/>
      <c r="X1681" s="1"/>
    </row>
    <row x14ac:dyDescent="0.25" r="1682" customHeight="1" ht="18.75">
      <c r="A1682" s="1"/>
      <c r="B1682" s="1"/>
      <c r="C1682" s="3" t="s">
        <v>100</v>
      </c>
      <c r="D1682" s="3" t="s">
        <v>1709</v>
      </c>
      <c r="E1682" s="1"/>
      <c r="F1682" s="1"/>
      <c r="G1682" s="1"/>
      <c r="H1682" s="1"/>
      <c r="I1682" s="2"/>
      <c r="J1682" s="1"/>
      <c r="K1682" s="1"/>
      <c r="L1682" s="1"/>
      <c r="M1682" s="1"/>
      <c r="N1682" s="1"/>
      <c r="O1682" s="1"/>
      <c r="P1682" s="1"/>
      <c r="Q1682" s="1"/>
      <c r="R1682" s="1"/>
      <c r="S1682" s="1"/>
      <c r="T1682" s="1"/>
      <c r="U1682" s="1"/>
      <c r="V1682" s="1"/>
      <c r="W1682" s="1"/>
      <c r="X1682" s="1"/>
    </row>
    <row x14ac:dyDescent="0.25" r="1683" customHeight="1" ht="18.75">
      <c r="A1683" s="1"/>
      <c r="B1683" s="1"/>
      <c r="C1683" s="3" t="s">
        <v>100</v>
      </c>
      <c r="D1683" s="3" t="s">
        <v>1710</v>
      </c>
      <c r="E1683" s="1"/>
      <c r="F1683" s="1"/>
      <c r="G1683" s="1"/>
      <c r="H1683" s="1"/>
      <c r="I1683" s="2"/>
      <c r="J1683" s="1"/>
      <c r="K1683" s="1"/>
      <c r="L1683" s="1"/>
      <c r="M1683" s="1"/>
      <c r="N1683" s="1"/>
      <c r="O1683" s="1"/>
      <c r="P1683" s="1"/>
      <c r="Q1683" s="1"/>
      <c r="R1683" s="1"/>
      <c r="S1683" s="1"/>
      <c r="T1683" s="1"/>
      <c r="U1683" s="1"/>
      <c r="V1683" s="1"/>
      <c r="W1683" s="1"/>
      <c r="X1683" s="1"/>
    </row>
    <row x14ac:dyDescent="0.25" r="1684" customHeight="1" ht="18.75">
      <c r="A1684" s="1"/>
      <c r="B1684" s="1"/>
      <c r="C1684" s="3" t="s">
        <v>100</v>
      </c>
      <c r="D1684" s="3" t="s">
        <v>1711</v>
      </c>
      <c r="E1684" s="1"/>
      <c r="F1684" s="1"/>
      <c r="G1684" s="1"/>
      <c r="H1684" s="1"/>
      <c r="I1684" s="2"/>
      <c r="J1684" s="1"/>
      <c r="K1684" s="1"/>
      <c r="L1684" s="1"/>
      <c r="M1684" s="1"/>
      <c r="N1684" s="1"/>
      <c r="O1684" s="1"/>
      <c r="P1684" s="1"/>
      <c r="Q1684" s="1"/>
      <c r="R1684" s="1"/>
      <c r="S1684" s="1"/>
      <c r="T1684" s="1"/>
      <c r="U1684" s="1"/>
      <c r="V1684" s="1"/>
      <c r="W1684" s="1"/>
      <c r="X1684" s="1"/>
    </row>
    <row x14ac:dyDescent="0.25" r="1685" customHeight="1" ht="18.75">
      <c r="A1685" s="1"/>
      <c r="B1685" s="1"/>
      <c r="C1685" s="3" t="s">
        <v>100</v>
      </c>
      <c r="D1685" s="3" t="s">
        <v>1712</v>
      </c>
      <c r="E1685" s="1"/>
      <c r="F1685" s="1"/>
      <c r="G1685" s="1"/>
      <c r="H1685" s="1"/>
      <c r="I1685" s="2"/>
      <c r="J1685" s="1"/>
      <c r="K1685" s="1"/>
      <c r="L1685" s="1"/>
      <c r="M1685" s="1"/>
      <c r="N1685" s="1"/>
      <c r="O1685" s="1"/>
      <c r="P1685" s="1"/>
      <c r="Q1685" s="1"/>
      <c r="R1685" s="1"/>
      <c r="S1685" s="1"/>
      <c r="T1685" s="1"/>
      <c r="U1685" s="1"/>
      <c r="V1685" s="1"/>
      <c r="W1685" s="1"/>
      <c r="X1685" s="1"/>
    </row>
    <row x14ac:dyDescent="0.25" r="1686" customHeight="1" ht="18.75">
      <c r="A1686" s="1"/>
      <c r="B1686" s="1"/>
      <c r="C1686" s="3" t="s">
        <v>100</v>
      </c>
      <c r="D1686" s="3" t="s">
        <v>1713</v>
      </c>
      <c r="E1686" s="1"/>
      <c r="F1686" s="1"/>
      <c r="G1686" s="1"/>
      <c r="H1686" s="1"/>
      <c r="I1686" s="2"/>
      <c r="J1686" s="1"/>
      <c r="K1686" s="1"/>
      <c r="L1686" s="1"/>
      <c r="M1686" s="1"/>
      <c r="N1686" s="1"/>
      <c r="O1686" s="1"/>
      <c r="P1686" s="1"/>
      <c r="Q1686" s="1"/>
      <c r="R1686" s="1"/>
      <c r="S1686" s="1"/>
      <c r="T1686" s="1"/>
      <c r="U1686" s="1"/>
      <c r="V1686" s="1"/>
      <c r="W1686" s="1"/>
      <c r="X1686" s="1"/>
    </row>
    <row x14ac:dyDescent="0.25" r="1687" customHeight="1" ht="18.75">
      <c r="A1687" s="1"/>
      <c r="B1687" s="1"/>
      <c r="C1687" s="3" t="s">
        <v>100</v>
      </c>
      <c r="D1687" s="3" t="s">
        <v>1714</v>
      </c>
      <c r="E1687" s="1"/>
      <c r="F1687" s="1"/>
      <c r="G1687" s="1"/>
      <c r="H1687" s="1"/>
      <c r="I1687" s="2"/>
      <c r="J1687" s="1"/>
      <c r="K1687" s="1"/>
      <c r="L1687" s="1"/>
      <c r="M1687" s="1"/>
      <c r="N1687" s="1"/>
      <c r="O1687" s="1"/>
      <c r="P1687" s="1"/>
      <c r="Q1687" s="1"/>
      <c r="R1687" s="1"/>
      <c r="S1687" s="1"/>
      <c r="T1687" s="1"/>
      <c r="U1687" s="1"/>
      <c r="V1687" s="1"/>
      <c r="W1687" s="1"/>
      <c r="X1687" s="1"/>
    </row>
    <row x14ac:dyDescent="0.25" r="1688" customHeight="1" ht="18.75">
      <c r="A1688" s="1"/>
      <c r="B1688" s="1"/>
      <c r="C1688" s="3" t="s">
        <v>100</v>
      </c>
      <c r="D1688" s="3" t="s">
        <v>1715</v>
      </c>
      <c r="E1688" s="1"/>
      <c r="F1688" s="1"/>
      <c r="G1688" s="1"/>
      <c r="H1688" s="1"/>
      <c r="I1688" s="2"/>
      <c r="J1688" s="1"/>
      <c r="K1688" s="1"/>
      <c r="L1688" s="1"/>
      <c r="M1688" s="1"/>
      <c r="N1688" s="1"/>
      <c r="O1688" s="1"/>
      <c r="P1688" s="1"/>
      <c r="Q1688" s="1"/>
      <c r="R1688" s="1"/>
      <c r="S1688" s="1"/>
      <c r="T1688" s="1"/>
      <c r="U1688" s="1"/>
      <c r="V1688" s="1"/>
      <c r="W1688" s="1"/>
      <c r="X1688" s="1"/>
    </row>
    <row x14ac:dyDescent="0.25" r="1689" customHeight="1" ht="18.75">
      <c r="A1689" s="1"/>
      <c r="B1689" s="1"/>
      <c r="C1689" s="3" t="s">
        <v>100</v>
      </c>
      <c r="D1689" s="3" t="s">
        <v>1716</v>
      </c>
      <c r="E1689" s="1"/>
      <c r="F1689" s="1"/>
      <c r="G1689" s="1"/>
      <c r="H1689" s="1"/>
      <c r="I1689" s="2"/>
      <c r="J1689" s="1"/>
      <c r="K1689" s="1"/>
      <c r="L1689" s="1"/>
      <c r="M1689" s="1"/>
      <c r="N1689" s="1"/>
      <c r="O1689" s="1"/>
      <c r="P1689" s="1"/>
      <c r="Q1689" s="1"/>
      <c r="R1689" s="1"/>
      <c r="S1689" s="1"/>
      <c r="T1689" s="1"/>
      <c r="U1689" s="1"/>
      <c r="V1689" s="1"/>
      <c r="W1689" s="1"/>
      <c r="X1689" s="1"/>
    </row>
    <row x14ac:dyDescent="0.25" r="1690" customHeight="1" ht="18.75">
      <c r="A1690" s="1"/>
      <c r="B1690" s="1"/>
      <c r="C1690" s="3" t="s">
        <v>100</v>
      </c>
      <c r="D1690" s="3" t="s">
        <v>1717</v>
      </c>
      <c r="E1690" s="1"/>
      <c r="F1690" s="1"/>
      <c r="G1690" s="1"/>
      <c r="H1690" s="1"/>
      <c r="I1690" s="2"/>
      <c r="J1690" s="1"/>
      <c r="K1690" s="1"/>
      <c r="L1690" s="1"/>
      <c r="M1690" s="1"/>
      <c r="N1690" s="1"/>
      <c r="O1690" s="1"/>
      <c r="P1690" s="1"/>
      <c r="Q1690" s="1"/>
      <c r="R1690" s="1"/>
      <c r="S1690" s="1"/>
      <c r="T1690" s="1"/>
      <c r="U1690" s="1"/>
      <c r="V1690" s="1"/>
      <c r="W1690" s="1"/>
      <c r="X1690" s="1"/>
    </row>
    <row x14ac:dyDescent="0.25" r="1691" customHeight="1" ht="18.75">
      <c r="A1691" s="1"/>
      <c r="B1691" s="1"/>
      <c r="C1691" s="3" t="s">
        <v>100</v>
      </c>
      <c r="D1691" s="3" t="s">
        <v>1718</v>
      </c>
      <c r="E1691" s="1"/>
      <c r="F1691" s="1"/>
      <c r="G1691" s="1"/>
      <c r="H1691" s="1"/>
      <c r="I1691" s="2"/>
      <c r="J1691" s="1"/>
      <c r="K1691" s="1"/>
      <c r="L1691" s="1"/>
      <c r="M1691" s="1"/>
      <c r="N1691" s="1"/>
      <c r="O1691" s="1"/>
      <c r="P1691" s="1"/>
      <c r="Q1691" s="1"/>
      <c r="R1691" s="1"/>
      <c r="S1691" s="1"/>
      <c r="T1691" s="1"/>
      <c r="U1691" s="1"/>
      <c r="V1691" s="1"/>
      <c r="W1691" s="1"/>
      <c r="X1691" s="1"/>
    </row>
    <row x14ac:dyDescent="0.25" r="1692" customHeight="1" ht="18.75">
      <c r="A1692" s="1"/>
      <c r="B1692" s="1"/>
      <c r="C1692" s="3" t="s">
        <v>100</v>
      </c>
      <c r="D1692" s="3" t="s">
        <v>1719</v>
      </c>
      <c r="E1692" s="1"/>
      <c r="F1692" s="1"/>
      <c r="G1692" s="1"/>
      <c r="H1692" s="1"/>
      <c r="I1692" s="2"/>
      <c r="J1692" s="1"/>
      <c r="K1692" s="1"/>
      <c r="L1692" s="1"/>
      <c r="M1692" s="1"/>
      <c r="N1692" s="1"/>
      <c r="O1692" s="1"/>
      <c r="P1692" s="1"/>
      <c r="Q1692" s="1"/>
      <c r="R1692" s="1"/>
      <c r="S1692" s="1"/>
      <c r="T1692" s="1"/>
      <c r="U1692" s="1"/>
      <c r="V1692" s="1"/>
      <c r="W1692" s="1"/>
      <c r="X1692" s="1"/>
    </row>
    <row x14ac:dyDescent="0.25" r="1693" customHeight="1" ht="18.75">
      <c r="A1693" s="1"/>
      <c r="B1693" s="1"/>
      <c r="C1693" s="3" t="s">
        <v>100</v>
      </c>
      <c r="D1693" s="3" t="s">
        <v>1720</v>
      </c>
      <c r="E1693" s="1"/>
      <c r="F1693" s="1"/>
      <c r="G1693" s="1"/>
      <c r="H1693" s="1"/>
      <c r="I1693" s="2"/>
      <c r="J1693" s="1"/>
      <c r="K1693" s="1"/>
      <c r="L1693" s="1"/>
      <c r="M1693" s="1"/>
      <c r="N1693" s="1"/>
      <c r="O1693" s="1"/>
      <c r="P1693" s="1"/>
      <c r="Q1693" s="1"/>
      <c r="R1693" s="1"/>
      <c r="S1693" s="1"/>
      <c r="T1693" s="1"/>
      <c r="U1693" s="1"/>
      <c r="V1693" s="1"/>
      <c r="W1693" s="1"/>
      <c r="X1693" s="1"/>
    </row>
    <row x14ac:dyDescent="0.25" r="1694" customHeight="1" ht="18.75">
      <c r="A1694" s="1"/>
      <c r="B1694" s="1"/>
      <c r="C1694" s="3" t="s">
        <v>100</v>
      </c>
      <c r="D1694" s="3" t="s">
        <v>1721</v>
      </c>
      <c r="E1694" s="1"/>
      <c r="F1694" s="1"/>
      <c r="G1694" s="1"/>
      <c r="H1694" s="1"/>
      <c r="I1694" s="2"/>
      <c r="J1694" s="1"/>
      <c r="K1694" s="1"/>
      <c r="L1694" s="1"/>
      <c r="M1694" s="1"/>
      <c r="N1694" s="1"/>
      <c r="O1694" s="1"/>
      <c r="P1694" s="1"/>
      <c r="Q1694" s="1"/>
      <c r="R1694" s="1"/>
      <c r="S1694" s="1"/>
      <c r="T1694" s="1"/>
      <c r="U1694" s="1"/>
      <c r="V1694" s="1"/>
      <c r="W1694" s="1"/>
      <c r="X1694" s="1"/>
    </row>
    <row x14ac:dyDescent="0.25" r="1695" customHeight="1" ht="18.75">
      <c r="A1695" s="1"/>
      <c r="B1695" s="1"/>
      <c r="C1695" s="3" t="s">
        <v>100</v>
      </c>
      <c r="D1695" s="3" t="s">
        <v>1722</v>
      </c>
      <c r="E1695" s="1"/>
      <c r="F1695" s="1"/>
      <c r="G1695" s="1"/>
      <c r="H1695" s="1"/>
      <c r="I1695" s="2"/>
      <c r="J1695" s="1"/>
      <c r="K1695" s="1"/>
      <c r="L1695" s="1"/>
      <c r="M1695" s="1"/>
      <c r="N1695" s="1"/>
      <c r="O1695" s="1"/>
      <c r="P1695" s="1"/>
      <c r="Q1695" s="1"/>
      <c r="R1695" s="1"/>
      <c r="S1695" s="1"/>
      <c r="T1695" s="1"/>
      <c r="U1695" s="1"/>
      <c r="V1695" s="1"/>
      <c r="W1695" s="1"/>
      <c r="X1695" s="1"/>
    </row>
    <row x14ac:dyDescent="0.25" r="1696" customHeight="1" ht="18.75">
      <c r="A1696" s="1"/>
      <c r="B1696" s="1"/>
      <c r="C1696" s="3" t="s">
        <v>100</v>
      </c>
      <c r="D1696" s="3" t="s">
        <v>1723</v>
      </c>
      <c r="E1696" s="1"/>
      <c r="F1696" s="1"/>
      <c r="G1696" s="1"/>
      <c r="H1696" s="1"/>
      <c r="I1696" s="2"/>
      <c r="J1696" s="1"/>
      <c r="K1696" s="1"/>
      <c r="L1696" s="1"/>
      <c r="M1696" s="1"/>
      <c r="N1696" s="1"/>
      <c r="O1696" s="1"/>
      <c r="P1696" s="1"/>
      <c r="Q1696" s="1"/>
      <c r="R1696" s="1"/>
      <c r="S1696" s="1"/>
      <c r="T1696" s="1"/>
      <c r="U1696" s="1"/>
      <c r="V1696" s="1"/>
      <c r="W1696" s="1"/>
      <c r="X1696" s="1"/>
    </row>
    <row x14ac:dyDescent="0.25" r="1697" customHeight="1" ht="18.75">
      <c r="A1697" s="1"/>
      <c r="B1697" s="1"/>
      <c r="C1697" s="3" t="s">
        <v>100</v>
      </c>
      <c r="D1697" s="3" t="s">
        <v>1724</v>
      </c>
      <c r="E1697" s="1"/>
      <c r="F1697" s="1"/>
      <c r="G1697" s="1"/>
      <c r="H1697" s="1"/>
      <c r="I1697" s="2"/>
      <c r="J1697" s="1"/>
      <c r="K1697" s="1"/>
      <c r="L1697" s="1"/>
      <c r="M1697" s="1"/>
      <c r="N1697" s="1"/>
      <c r="O1697" s="1"/>
      <c r="P1697" s="1"/>
      <c r="Q1697" s="1"/>
      <c r="R1697" s="1"/>
      <c r="S1697" s="1"/>
      <c r="T1697" s="1"/>
      <c r="U1697" s="1"/>
      <c r="V1697" s="1"/>
      <c r="W1697" s="1"/>
      <c r="X1697" s="1"/>
    </row>
    <row x14ac:dyDescent="0.25" r="1698" customHeight="1" ht="18.75">
      <c r="A1698" s="1"/>
      <c r="B1698" s="1"/>
      <c r="C1698" s="3" t="s">
        <v>100</v>
      </c>
      <c r="D1698" s="3" t="s">
        <v>1725</v>
      </c>
      <c r="E1698" s="1"/>
      <c r="F1698" s="1"/>
      <c r="G1698" s="1"/>
      <c r="H1698" s="1"/>
      <c r="I1698" s="2"/>
      <c r="J1698" s="1"/>
      <c r="K1698" s="1"/>
      <c r="L1698" s="1"/>
      <c r="M1698" s="1"/>
      <c r="N1698" s="1"/>
      <c r="O1698" s="1"/>
      <c r="P1698" s="1"/>
      <c r="Q1698" s="1"/>
      <c r="R1698" s="1"/>
      <c r="S1698" s="1"/>
      <c r="T1698" s="1"/>
      <c r="U1698" s="1"/>
      <c r="V1698" s="1"/>
      <c r="W1698" s="1"/>
      <c r="X1698" s="1"/>
    </row>
    <row x14ac:dyDescent="0.25" r="1699" customHeight="1" ht="18.75">
      <c r="A1699" s="1"/>
      <c r="B1699" s="1"/>
      <c r="C1699" s="3" t="s">
        <v>100</v>
      </c>
      <c r="D1699" s="3" t="s">
        <v>1726</v>
      </c>
      <c r="E1699" s="1"/>
      <c r="F1699" s="1"/>
      <c r="G1699" s="1"/>
      <c r="H1699" s="1"/>
      <c r="I1699" s="2"/>
      <c r="J1699" s="1"/>
      <c r="K1699" s="1"/>
      <c r="L1699" s="1"/>
      <c r="M1699" s="1"/>
      <c r="N1699" s="1"/>
      <c r="O1699" s="1"/>
      <c r="P1699" s="1"/>
      <c r="Q1699" s="1"/>
      <c r="R1699" s="1"/>
      <c r="S1699" s="1"/>
      <c r="T1699" s="1"/>
      <c r="U1699" s="1"/>
      <c r="V1699" s="1"/>
      <c r="W1699" s="1"/>
      <c r="X1699" s="1"/>
    </row>
    <row x14ac:dyDescent="0.25" r="1700" customHeight="1" ht="18.75">
      <c r="A1700" s="1"/>
      <c r="B1700" s="1"/>
      <c r="C1700" s="3" t="s">
        <v>100</v>
      </c>
      <c r="D1700" s="3" t="s">
        <v>1727</v>
      </c>
      <c r="E1700" s="1"/>
      <c r="F1700" s="1"/>
      <c r="G1700" s="1"/>
      <c r="H1700" s="1"/>
      <c r="I1700" s="2"/>
      <c r="J1700" s="1"/>
      <c r="K1700" s="1"/>
      <c r="L1700" s="1"/>
      <c r="M1700" s="1"/>
      <c r="N1700" s="1"/>
      <c r="O1700" s="1"/>
      <c r="P1700" s="1"/>
      <c r="Q1700" s="1"/>
      <c r="R1700" s="1"/>
      <c r="S1700" s="1"/>
      <c r="T1700" s="1"/>
      <c r="U1700" s="1"/>
      <c r="V1700" s="1"/>
      <c r="W1700" s="1"/>
      <c r="X1700" s="1"/>
    </row>
    <row x14ac:dyDescent="0.25" r="1701" customHeight="1" ht="18.75">
      <c r="A1701" s="1"/>
      <c r="B1701" s="1"/>
      <c r="C1701" s="3" t="s">
        <v>100</v>
      </c>
      <c r="D1701" s="3" t="s">
        <v>1728</v>
      </c>
      <c r="E1701" s="1"/>
      <c r="F1701" s="1"/>
      <c r="G1701" s="1"/>
      <c r="H1701" s="1"/>
      <c r="I1701" s="2"/>
      <c r="J1701" s="1"/>
      <c r="K1701" s="1"/>
      <c r="L1701" s="1"/>
      <c r="M1701" s="1"/>
      <c r="N1701" s="1"/>
      <c r="O1701" s="1"/>
      <c r="P1701" s="1"/>
      <c r="Q1701" s="1"/>
      <c r="R1701" s="1"/>
      <c r="S1701" s="1"/>
      <c r="T1701" s="1"/>
      <c r="U1701" s="1"/>
      <c r="V1701" s="1"/>
      <c r="W1701" s="1"/>
      <c r="X1701" s="1"/>
    </row>
    <row x14ac:dyDescent="0.25" r="1702" customHeight="1" ht="18.75">
      <c r="A1702" s="1"/>
      <c r="B1702" s="1"/>
      <c r="C1702" s="3" t="s">
        <v>100</v>
      </c>
      <c r="D1702" s="3" t="s">
        <v>1729</v>
      </c>
      <c r="E1702" s="1"/>
      <c r="F1702" s="1"/>
      <c r="G1702" s="1"/>
      <c r="H1702" s="1"/>
      <c r="I1702" s="2"/>
      <c r="J1702" s="1"/>
      <c r="K1702" s="1"/>
      <c r="L1702" s="1"/>
      <c r="M1702" s="1"/>
      <c r="N1702" s="1"/>
      <c r="O1702" s="1"/>
      <c r="P1702" s="1"/>
      <c r="Q1702" s="1"/>
      <c r="R1702" s="1"/>
      <c r="S1702" s="1"/>
      <c r="T1702" s="1"/>
      <c r="U1702" s="1"/>
      <c r="V1702" s="1"/>
      <c r="W1702" s="1"/>
      <c r="X1702" s="1"/>
    </row>
    <row x14ac:dyDescent="0.25" r="1703" customHeight="1" ht="18.75">
      <c r="A1703" s="1"/>
      <c r="B1703" s="1"/>
      <c r="C1703" s="3" t="s">
        <v>100</v>
      </c>
      <c r="D1703" s="3" t="s">
        <v>1730</v>
      </c>
      <c r="E1703" s="1"/>
      <c r="F1703" s="1"/>
      <c r="G1703" s="1"/>
      <c r="H1703" s="1"/>
      <c r="I1703" s="2"/>
      <c r="J1703" s="1"/>
      <c r="K1703" s="1"/>
      <c r="L1703" s="1"/>
      <c r="M1703" s="1"/>
      <c r="N1703" s="1"/>
      <c r="O1703" s="1"/>
      <c r="P1703" s="1"/>
      <c r="Q1703" s="1"/>
      <c r="R1703" s="1"/>
      <c r="S1703" s="1"/>
      <c r="T1703" s="1"/>
      <c r="U1703" s="1"/>
      <c r="V1703" s="1"/>
      <c r="W1703" s="1"/>
      <c r="X1703" s="1"/>
    </row>
    <row x14ac:dyDescent="0.25" r="1704" customHeight="1" ht="18.75">
      <c r="A1704" s="1"/>
      <c r="B1704" s="1"/>
      <c r="C1704" s="3" t="s">
        <v>100</v>
      </c>
      <c r="D1704" s="3" t="s">
        <v>1731</v>
      </c>
      <c r="E1704" s="1"/>
      <c r="F1704" s="1"/>
      <c r="G1704" s="1"/>
      <c r="H1704" s="1"/>
      <c r="I1704" s="2"/>
      <c r="J1704" s="1"/>
      <c r="K1704" s="1"/>
      <c r="L1704" s="1"/>
      <c r="M1704" s="1"/>
      <c r="N1704" s="1"/>
      <c r="O1704" s="1"/>
      <c r="P1704" s="1"/>
      <c r="Q1704" s="1"/>
      <c r="R1704" s="1"/>
      <c r="S1704" s="1"/>
      <c r="T1704" s="1"/>
      <c r="U1704" s="1"/>
      <c r="V1704" s="1"/>
      <c r="W1704" s="1"/>
      <c r="X1704" s="1"/>
    </row>
    <row x14ac:dyDescent="0.25" r="1705" customHeight="1" ht="18.75">
      <c r="A1705" s="1"/>
      <c r="B1705" s="1"/>
      <c r="C1705" s="3" t="s">
        <v>100</v>
      </c>
      <c r="D1705" s="3" t="s">
        <v>1732</v>
      </c>
      <c r="E1705" s="1"/>
      <c r="F1705" s="1"/>
      <c r="G1705" s="1"/>
      <c r="H1705" s="1"/>
      <c r="I1705" s="2"/>
      <c r="J1705" s="1"/>
      <c r="K1705" s="1"/>
      <c r="L1705" s="1"/>
      <c r="M1705" s="1"/>
      <c r="N1705" s="1"/>
      <c r="O1705" s="1"/>
      <c r="P1705" s="1"/>
      <c r="Q1705" s="1"/>
      <c r="R1705" s="1"/>
      <c r="S1705" s="1"/>
      <c r="T1705" s="1"/>
      <c r="U1705" s="1"/>
      <c r="V1705" s="1"/>
      <c r="W1705" s="1"/>
      <c r="X1705" s="1"/>
    </row>
    <row x14ac:dyDescent="0.25" r="1706" customHeight="1" ht="18.75">
      <c r="A1706" s="1"/>
      <c r="B1706" s="1"/>
      <c r="C1706" s="3" t="s">
        <v>100</v>
      </c>
      <c r="D1706" s="3" t="s">
        <v>1733</v>
      </c>
      <c r="E1706" s="1"/>
      <c r="F1706" s="1"/>
      <c r="G1706" s="1"/>
      <c r="H1706" s="1"/>
      <c r="I1706" s="2"/>
      <c r="J1706" s="1"/>
      <c r="K1706" s="1"/>
      <c r="L1706" s="1"/>
      <c r="M1706" s="1"/>
      <c r="N1706" s="1"/>
      <c r="O1706" s="1"/>
      <c r="P1706" s="1"/>
      <c r="Q1706" s="1"/>
      <c r="R1706" s="1"/>
      <c r="S1706" s="1"/>
      <c r="T1706" s="1"/>
      <c r="U1706" s="1"/>
      <c r="V1706" s="1"/>
      <c r="W1706" s="1"/>
      <c r="X1706" s="1"/>
    </row>
    <row x14ac:dyDescent="0.25" r="1707" customHeight="1" ht="18.75">
      <c r="A1707" s="1"/>
      <c r="B1707" s="1"/>
      <c r="C1707" s="3" t="s">
        <v>100</v>
      </c>
      <c r="D1707" s="3" t="s">
        <v>1734</v>
      </c>
      <c r="E1707" s="1"/>
      <c r="F1707" s="1"/>
      <c r="G1707" s="1"/>
      <c r="H1707" s="1"/>
      <c r="I1707" s="2"/>
      <c r="J1707" s="1"/>
      <c r="K1707" s="1"/>
      <c r="L1707" s="1"/>
      <c r="M1707" s="1"/>
      <c r="N1707" s="1"/>
      <c r="O1707" s="1"/>
      <c r="P1707" s="1"/>
      <c r="Q1707" s="1"/>
      <c r="R1707" s="1"/>
      <c r="S1707" s="1"/>
      <c r="T1707" s="1"/>
      <c r="U1707" s="1"/>
      <c r="V1707" s="1"/>
      <c r="W1707" s="1"/>
      <c r="X1707" s="1"/>
    </row>
    <row x14ac:dyDescent="0.25" r="1708" customHeight="1" ht="18.75">
      <c r="A1708" s="1"/>
      <c r="B1708" s="1"/>
      <c r="C1708" s="3" t="s">
        <v>100</v>
      </c>
      <c r="D1708" s="3" t="s">
        <v>1735</v>
      </c>
      <c r="E1708" s="1"/>
      <c r="F1708" s="1"/>
      <c r="G1708" s="1"/>
      <c r="H1708" s="1"/>
      <c r="I1708" s="2"/>
      <c r="J1708" s="1"/>
      <c r="K1708" s="1"/>
      <c r="L1708" s="1"/>
      <c r="M1708" s="1"/>
      <c r="N1708" s="1"/>
      <c r="O1708" s="1"/>
      <c r="P1708" s="1"/>
      <c r="Q1708" s="1"/>
      <c r="R1708" s="1"/>
      <c r="S1708" s="1"/>
      <c r="T1708" s="1"/>
      <c r="U1708" s="1"/>
      <c r="V1708" s="1"/>
      <c r="W1708" s="1"/>
      <c r="X1708" s="1"/>
    </row>
    <row x14ac:dyDescent="0.25" r="1709" customHeight="1" ht="18.75">
      <c r="A1709" s="1"/>
      <c r="B1709" s="1"/>
      <c r="C1709" s="3" t="s">
        <v>100</v>
      </c>
      <c r="D1709" s="3" t="s">
        <v>1736</v>
      </c>
      <c r="E1709" s="1"/>
      <c r="F1709" s="1"/>
      <c r="G1709" s="1"/>
      <c r="H1709" s="1"/>
      <c r="I1709" s="2"/>
      <c r="J1709" s="1"/>
      <c r="K1709" s="1"/>
      <c r="L1709" s="1"/>
      <c r="M1709" s="1"/>
      <c r="N1709" s="1"/>
      <c r="O1709" s="1"/>
      <c r="P1709" s="1"/>
      <c r="Q1709" s="1"/>
      <c r="R1709" s="1"/>
      <c r="S1709" s="1"/>
      <c r="T1709" s="1"/>
      <c r="U1709" s="1"/>
      <c r="V1709" s="1"/>
      <c r="W1709" s="1"/>
      <c r="X1709" s="1"/>
    </row>
    <row x14ac:dyDescent="0.25" r="1710" customHeight="1" ht="18.75">
      <c r="A1710" s="1"/>
      <c r="B1710" s="1"/>
      <c r="C1710" s="3" t="s">
        <v>100</v>
      </c>
      <c r="D1710" s="3" t="s">
        <v>1737</v>
      </c>
      <c r="E1710" s="1"/>
      <c r="F1710" s="1"/>
      <c r="G1710" s="1"/>
      <c r="H1710" s="1"/>
      <c r="I1710" s="2"/>
      <c r="J1710" s="1"/>
      <c r="K1710" s="1"/>
      <c r="L1710" s="1"/>
      <c r="M1710" s="1"/>
      <c r="N1710" s="1"/>
      <c r="O1710" s="1"/>
      <c r="P1710" s="1"/>
      <c r="Q1710" s="1"/>
      <c r="R1710" s="1"/>
      <c r="S1710" s="1"/>
      <c r="T1710" s="1"/>
      <c r="U1710" s="1"/>
      <c r="V1710" s="1"/>
      <c r="W1710" s="1"/>
      <c r="X1710" s="1"/>
    </row>
    <row x14ac:dyDescent="0.25" r="1711" customHeight="1" ht="18.75">
      <c r="A1711" s="1"/>
      <c r="B1711" s="1"/>
      <c r="C1711" s="3" t="s">
        <v>100</v>
      </c>
      <c r="D1711" s="3" t="s">
        <v>1738</v>
      </c>
      <c r="E1711" s="1"/>
      <c r="F1711" s="1"/>
      <c r="G1711" s="1"/>
      <c r="H1711" s="1"/>
      <c r="I1711" s="2"/>
      <c r="J1711" s="1"/>
      <c r="K1711" s="1"/>
      <c r="L1711" s="1"/>
      <c r="M1711" s="1"/>
      <c r="N1711" s="1"/>
      <c r="O1711" s="1"/>
      <c r="P1711" s="1"/>
      <c r="Q1711" s="1"/>
      <c r="R1711" s="1"/>
      <c r="S1711" s="1"/>
      <c r="T1711" s="1"/>
      <c r="U1711" s="1"/>
      <c r="V1711" s="1"/>
      <c r="W1711" s="1"/>
      <c r="X1711" s="1"/>
    </row>
    <row x14ac:dyDescent="0.25" r="1712" customHeight="1" ht="18.75">
      <c r="A1712" s="1"/>
      <c r="B1712" s="1"/>
      <c r="C1712" s="3" t="s">
        <v>100</v>
      </c>
      <c r="D1712" s="3" t="s">
        <v>1739</v>
      </c>
      <c r="E1712" s="1"/>
      <c r="F1712" s="1"/>
      <c r="G1712" s="1"/>
      <c r="H1712" s="1"/>
      <c r="I1712" s="2"/>
      <c r="J1712" s="1"/>
      <c r="K1712" s="1"/>
      <c r="L1712" s="1"/>
      <c r="M1712" s="1"/>
      <c r="N1712" s="1"/>
      <c r="O1712" s="1"/>
      <c r="P1712" s="1"/>
      <c r="Q1712" s="1"/>
      <c r="R1712" s="1"/>
      <c r="S1712" s="1"/>
      <c r="T1712" s="1"/>
      <c r="U1712" s="1"/>
      <c r="V1712" s="1"/>
      <c r="W1712" s="1"/>
      <c r="X1712" s="1"/>
    </row>
    <row x14ac:dyDescent="0.25" r="1713" customHeight="1" ht="18.75">
      <c r="A1713" s="1"/>
      <c r="B1713" s="1"/>
      <c r="C1713" s="3" t="s">
        <v>100</v>
      </c>
      <c r="D1713" s="3" t="s">
        <v>1740</v>
      </c>
      <c r="E1713" s="1"/>
      <c r="F1713" s="1"/>
      <c r="G1713" s="1"/>
      <c r="H1713" s="1"/>
      <c r="I1713" s="2"/>
      <c r="J1713" s="1"/>
      <c r="K1713" s="1"/>
      <c r="L1713" s="1"/>
      <c r="M1713" s="1"/>
      <c r="N1713" s="1"/>
      <c r="O1713" s="1"/>
      <c r="P1713" s="1"/>
      <c r="Q1713" s="1"/>
      <c r="R1713" s="1"/>
      <c r="S1713" s="1"/>
      <c r="T1713" s="1"/>
      <c r="U1713" s="1"/>
      <c r="V1713" s="1"/>
      <c r="W1713" s="1"/>
      <c r="X1713" s="1"/>
    </row>
    <row x14ac:dyDescent="0.25" r="1714" customHeight="1" ht="18.75">
      <c r="A1714" s="1"/>
      <c r="B1714" s="1"/>
      <c r="C1714" s="3" t="s">
        <v>100</v>
      </c>
      <c r="D1714" s="3" t="s">
        <v>1741</v>
      </c>
      <c r="E1714" s="1"/>
      <c r="F1714" s="1"/>
      <c r="G1714" s="1"/>
      <c r="H1714" s="1"/>
      <c r="I1714" s="2"/>
      <c r="J1714" s="1"/>
      <c r="K1714" s="1"/>
      <c r="L1714" s="1"/>
      <c r="M1714" s="1"/>
      <c r="N1714" s="1"/>
      <c r="O1714" s="1"/>
      <c r="P1714" s="1"/>
      <c r="Q1714" s="1"/>
      <c r="R1714" s="1"/>
      <c r="S1714" s="1"/>
      <c r="T1714" s="1"/>
      <c r="U1714" s="1"/>
      <c r="V1714" s="1"/>
      <c r="W1714" s="1"/>
      <c r="X1714" s="1"/>
    </row>
    <row x14ac:dyDescent="0.25" r="1715" customHeight="1" ht="18.75">
      <c r="A1715" s="1"/>
      <c r="B1715" s="1"/>
      <c r="C1715" s="3" t="s">
        <v>100</v>
      </c>
      <c r="D1715" s="3" t="s">
        <v>1742</v>
      </c>
      <c r="E1715" s="1"/>
      <c r="F1715" s="1"/>
      <c r="G1715" s="1"/>
      <c r="H1715" s="1"/>
      <c r="I1715" s="2"/>
      <c r="J1715" s="1"/>
      <c r="K1715" s="1"/>
      <c r="L1715" s="1"/>
      <c r="M1715" s="1"/>
      <c r="N1715" s="1"/>
      <c r="O1715" s="1"/>
      <c r="P1715" s="1"/>
      <c r="Q1715" s="1"/>
      <c r="R1715" s="1"/>
      <c r="S1715" s="1"/>
      <c r="T1715" s="1"/>
      <c r="U1715" s="1"/>
      <c r="V1715" s="1"/>
      <c r="W1715" s="1"/>
      <c r="X1715" s="1"/>
    </row>
    <row x14ac:dyDescent="0.25" r="1716" customHeight="1" ht="18.75">
      <c r="A1716" s="1"/>
      <c r="B1716" s="1"/>
      <c r="C1716" s="3" t="s">
        <v>100</v>
      </c>
      <c r="D1716" s="3" t="s">
        <v>1743</v>
      </c>
      <c r="E1716" s="1"/>
      <c r="F1716" s="1"/>
      <c r="G1716" s="1"/>
      <c r="H1716" s="1"/>
      <c r="I1716" s="2"/>
      <c r="J1716" s="1"/>
      <c r="K1716" s="1"/>
      <c r="L1716" s="1"/>
      <c r="M1716" s="1"/>
      <c r="N1716" s="1"/>
      <c r="O1716" s="1"/>
      <c r="P1716" s="1"/>
      <c r="Q1716" s="1"/>
      <c r="R1716" s="1"/>
      <c r="S1716" s="1"/>
      <c r="T1716" s="1"/>
      <c r="U1716" s="1"/>
      <c r="V1716" s="1"/>
      <c r="W1716" s="1"/>
      <c r="X1716" s="1"/>
    </row>
    <row x14ac:dyDescent="0.25" r="1717" customHeight="1" ht="18.75">
      <c r="A1717" s="1"/>
      <c r="B1717" s="1"/>
      <c r="C1717" s="3" t="s">
        <v>100</v>
      </c>
      <c r="D1717" s="3" t="s">
        <v>1744</v>
      </c>
      <c r="E1717" s="1"/>
      <c r="F1717" s="1"/>
      <c r="G1717" s="1"/>
      <c r="H1717" s="1"/>
      <c r="I1717" s="2"/>
      <c r="J1717" s="1"/>
      <c r="K1717" s="1"/>
      <c r="L1717" s="1"/>
      <c r="M1717" s="1"/>
      <c r="N1717" s="1"/>
      <c r="O1717" s="1"/>
      <c r="P1717" s="1"/>
      <c r="Q1717" s="1"/>
      <c r="R1717" s="1"/>
      <c r="S1717" s="1"/>
      <c r="T1717" s="1"/>
      <c r="U1717" s="1"/>
      <c r="V1717" s="1"/>
      <c r="W1717" s="1"/>
      <c r="X1717" s="1"/>
    </row>
    <row x14ac:dyDescent="0.25" r="1718" customHeight="1" ht="18.75">
      <c r="A1718" s="1"/>
      <c r="B1718" s="1"/>
      <c r="C1718" s="3" t="s">
        <v>100</v>
      </c>
      <c r="D1718" s="3" t="s">
        <v>1745</v>
      </c>
      <c r="E1718" s="1"/>
      <c r="F1718" s="1"/>
      <c r="G1718" s="1"/>
      <c r="H1718" s="1"/>
      <c r="I1718" s="2"/>
      <c r="J1718" s="1"/>
      <c r="K1718" s="1"/>
      <c r="L1718" s="1"/>
      <c r="M1718" s="1"/>
      <c r="N1718" s="1"/>
      <c r="O1718" s="1"/>
      <c r="P1718" s="1"/>
      <c r="Q1718" s="1"/>
      <c r="R1718" s="1"/>
      <c r="S1718" s="1"/>
      <c r="T1718" s="1"/>
      <c r="U1718" s="1"/>
      <c r="V1718" s="1"/>
      <c r="W1718" s="1"/>
      <c r="X1718" s="1"/>
    </row>
    <row x14ac:dyDescent="0.25" r="1719" customHeight="1" ht="18.75">
      <c r="A1719" s="1"/>
      <c r="B1719" s="1"/>
      <c r="C1719" s="3" t="s">
        <v>100</v>
      </c>
      <c r="D1719" s="3" t="s">
        <v>1746</v>
      </c>
      <c r="E1719" s="1"/>
      <c r="F1719" s="1"/>
      <c r="G1719" s="1"/>
      <c r="H1719" s="1"/>
      <c r="I1719" s="2"/>
      <c r="J1719" s="1"/>
      <c r="K1719" s="1"/>
      <c r="L1719" s="1"/>
      <c r="M1719" s="1"/>
      <c r="N1719" s="1"/>
      <c r="O1719" s="1"/>
      <c r="P1719" s="1"/>
      <c r="Q1719" s="1"/>
      <c r="R1719" s="1"/>
      <c r="S1719" s="1"/>
      <c r="T1719" s="1"/>
      <c r="U1719" s="1"/>
      <c r="V1719" s="1"/>
      <c r="W1719" s="1"/>
      <c r="X1719" s="1"/>
    </row>
    <row x14ac:dyDescent="0.25" r="1720" customHeight="1" ht="18.75">
      <c r="A1720" s="1"/>
      <c r="B1720" s="1"/>
      <c r="C1720" s="3" t="s">
        <v>100</v>
      </c>
      <c r="D1720" s="3" t="s">
        <v>1747</v>
      </c>
      <c r="E1720" s="1"/>
      <c r="F1720" s="1"/>
      <c r="G1720" s="1"/>
      <c r="H1720" s="1"/>
      <c r="I1720" s="2"/>
      <c r="J1720" s="1"/>
      <c r="K1720" s="1"/>
      <c r="L1720" s="1"/>
      <c r="M1720" s="1"/>
      <c r="N1720" s="1"/>
      <c r="O1720" s="1"/>
      <c r="P1720" s="1"/>
      <c r="Q1720" s="1"/>
      <c r="R1720" s="1"/>
      <c r="S1720" s="1"/>
      <c r="T1720" s="1"/>
      <c r="U1720" s="1"/>
      <c r="V1720" s="1"/>
      <c r="W1720" s="1"/>
      <c r="X1720" s="1"/>
    </row>
    <row x14ac:dyDescent="0.25" r="1721" customHeight="1" ht="18.75">
      <c r="A1721" s="1"/>
      <c r="B1721" s="1"/>
      <c r="C1721" s="3" t="s">
        <v>100</v>
      </c>
      <c r="D1721" s="3" t="s">
        <v>1748</v>
      </c>
      <c r="E1721" s="1"/>
      <c r="F1721" s="1"/>
      <c r="G1721" s="1"/>
      <c r="H1721" s="1"/>
      <c r="I1721" s="2"/>
      <c r="J1721" s="1"/>
      <c r="K1721" s="1"/>
      <c r="L1721" s="1"/>
      <c r="M1721" s="1"/>
      <c r="N1721" s="1"/>
      <c r="O1721" s="1"/>
      <c r="P1721" s="1"/>
      <c r="Q1721" s="1"/>
      <c r="R1721" s="1"/>
      <c r="S1721" s="1"/>
      <c r="T1721" s="1"/>
      <c r="U1721" s="1"/>
      <c r="V1721" s="1"/>
      <c r="W1721" s="1"/>
      <c r="X1721" s="1"/>
    </row>
    <row x14ac:dyDescent="0.25" r="1722" customHeight="1" ht="18.75">
      <c r="A1722" s="1"/>
      <c r="B1722" s="1"/>
      <c r="C1722" s="3" t="s">
        <v>100</v>
      </c>
      <c r="D1722" s="3" t="s">
        <v>1749</v>
      </c>
      <c r="E1722" s="1"/>
      <c r="F1722" s="1"/>
      <c r="G1722" s="1"/>
      <c r="H1722" s="1"/>
      <c r="I1722" s="2"/>
      <c r="J1722" s="1"/>
      <c r="K1722" s="1"/>
      <c r="L1722" s="1"/>
      <c r="M1722" s="1"/>
      <c r="N1722" s="1"/>
      <c r="O1722" s="1"/>
      <c r="P1722" s="1"/>
      <c r="Q1722" s="1"/>
      <c r="R1722" s="1"/>
      <c r="S1722" s="1"/>
      <c r="T1722" s="1"/>
      <c r="U1722" s="1"/>
      <c r="V1722" s="1"/>
      <c r="W1722" s="1"/>
      <c r="X1722" s="1"/>
    </row>
    <row x14ac:dyDescent="0.25" r="1723" customHeight="1" ht="18.75">
      <c r="A1723" s="1"/>
      <c r="B1723" s="1"/>
      <c r="C1723" s="3" t="s">
        <v>100</v>
      </c>
      <c r="D1723" s="3" t="s">
        <v>1750</v>
      </c>
      <c r="E1723" s="1"/>
      <c r="F1723" s="1"/>
      <c r="G1723" s="1"/>
      <c r="H1723" s="1"/>
      <c r="I1723" s="2"/>
      <c r="J1723" s="1"/>
      <c r="K1723" s="1"/>
      <c r="L1723" s="1"/>
      <c r="M1723" s="1"/>
      <c r="N1723" s="1"/>
      <c r="O1723" s="1"/>
      <c r="P1723" s="1"/>
      <c r="Q1723" s="1"/>
      <c r="R1723" s="1"/>
      <c r="S1723" s="1"/>
      <c r="T1723" s="1"/>
      <c r="U1723" s="1"/>
      <c r="V1723" s="1"/>
      <c r="W1723" s="1"/>
      <c r="X1723" s="1"/>
    </row>
    <row x14ac:dyDescent="0.25" r="1724" customHeight="1" ht="18.75">
      <c r="A1724" s="1"/>
      <c r="B1724" s="1"/>
      <c r="C1724" s="3" t="s">
        <v>100</v>
      </c>
      <c r="D1724" s="3" t="s">
        <v>1751</v>
      </c>
      <c r="E1724" s="1"/>
      <c r="F1724" s="1"/>
      <c r="G1724" s="1"/>
      <c r="H1724" s="1"/>
      <c r="I1724" s="2"/>
      <c r="J1724" s="1"/>
      <c r="K1724" s="1"/>
      <c r="L1724" s="1"/>
      <c r="M1724" s="1"/>
      <c r="N1724" s="1"/>
      <c r="O1724" s="1"/>
      <c r="P1724" s="1"/>
      <c r="Q1724" s="1"/>
      <c r="R1724" s="1"/>
      <c r="S1724" s="1"/>
      <c r="T1724" s="1"/>
      <c r="U1724" s="1"/>
      <c r="V1724" s="1"/>
      <c r="W1724" s="1"/>
      <c r="X1724" s="1"/>
    </row>
    <row x14ac:dyDescent="0.25" r="1725" customHeight="1" ht="18.75">
      <c r="A1725" s="1"/>
      <c r="B1725" s="1"/>
      <c r="C1725" s="3" t="s">
        <v>100</v>
      </c>
      <c r="D1725" s="3" t="s">
        <v>1752</v>
      </c>
      <c r="E1725" s="1"/>
      <c r="F1725" s="1"/>
      <c r="G1725" s="1"/>
      <c r="H1725" s="1"/>
      <c r="I1725" s="2"/>
      <c r="J1725" s="1"/>
      <c r="K1725" s="1"/>
      <c r="L1725" s="1"/>
      <c r="M1725" s="1"/>
      <c r="N1725" s="1"/>
      <c r="O1725" s="1"/>
      <c r="P1725" s="1"/>
      <c r="Q1725" s="1"/>
      <c r="R1725" s="1"/>
      <c r="S1725" s="1"/>
      <c r="T1725" s="1"/>
      <c r="U1725" s="1"/>
      <c r="V1725" s="1"/>
      <c r="W1725" s="1"/>
      <c r="X1725" s="1"/>
    </row>
    <row x14ac:dyDescent="0.25" r="1726" customHeight="1" ht="18.75">
      <c r="A1726" s="1"/>
      <c r="B1726" s="1"/>
      <c r="C1726" s="3" t="s">
        <v>100</v>
      </c>
      <c r="D1726" s="3" t="s">
        <v>1753</v>
      </c>
      <c r="E1726" s="1"/>
      <c r="F1726" s="1"/>
      <c r="G1726" s="1"/>
      <c r="H1726" s="1"/>
      <c r="I1726" s="2"/>
      <c r="J1726" s="1"/>
      <c r="K1726" s="1"/>
      <c r="L1726" s="1"/>
      <c r="M1726" s="1"/>
      <c r="N1726" s="1"/>
      <c r="O1726" s="1"/>
      <c r="P1726" s="1"/>
      <c r="Q1726" s="1"/>
      <c r="R1726" s="1"/>
      <c r="S1726" s="1"/>
      <c r="T1726" s="1"/>
      <c r="U1726" s="1"/>
      <c r="V1726" s="1"/>
      <c r="W1726" s="1"/>
      <c r="X1726" s="1"/>
    </row>
    <row x14ac:dyDescent="0.25" r="1727" customHeight="1" ht="18.75">
      <c r="A1727" s="1"/>
      <c r="B1727" s="1"/>
      <c r="C1727" s="3" t="s">
        <v>100</v>
      </c>
      <c r="D1727" s="3" t="s">
        <v>1754</v>
      </c>
      <c r="E1727" s="1"/>
      <c r="F1727" s="1"/>
      <c r="G1727" s="1"/>
      <c r="H1727" s="1"/>
      <c r="I1727" s="2"/>
      <c r="J1727" s="1"/>
      <c r="K1727" s="1"/>
      <c r="L1727" s="1"/>
      <c r="M1727" s="1"/>
      <c r="N1727" s="1"/>
      <c r="O1727" s="1"/>
      <c r="P1727" s="1"/>
      <c r="Q1727" s="1"/>
      <c r="R1727" s="1"/>
      <c r="S1727" s="1"/>
      <c r="T1727" s="1"/>
      <c r="U1727" s="1"/>
      <c r="V1727" s="1"/>
      <c r="W1727" s="1"/>
      <c r="X1727" s="1"/>
    </row>
    <row x14ac:dyDescent="0.25" r="1728" customHeight="1" ht="18.75">
      <c r="A1728" s="1"/>
      <c r="B1728" s="1"/>
      <c r="C1728" s="3" t="s">
        <v>100</v>
      </c>
      <c r="D1728" s="3" t="s">
        <v>1755</v>
      </c>
      <c r="E1728" s="1"/>
      <c r="F1728" s="1"/>
      <c r="G1728" s="1"/>
      <c r="H1728" s="1"/>
      <c r="I1728" s="2"/>
      <c r="J1728" s="1"/>
      <c r="K1728" s="1"/>
      <c r="L1728" s="1"/>
      <c r="M1728" s="1"/>
      <c r="N1728" s="1"/>
      <c r="O1728" s="1"/>
      <c r="P1728" s="1"/>
      <c r="Q1728" s="1"/>
      <c r="R1728" s="1"/>
      <c r="S1728" s="1"/>
      <c r="T1728" s="1"/>
      <c r="U1728" s="1"/>
      <c r="V1728" s="1"/>
      <c r="W1728" s="1"/>
      <c r="X1728" s="1"/>
    </row>
    <row x14ac:dyDescent="0.25" r="1729" customHeight="1" ht="18.75">
      <c r="A1729" s="1"/>
      <c r="B1729" s="1"/>
      <c r="C1729" s="3" t="s">
        <v>100</v>
      </c>
      <c r="D1729" s="3" t="s">
        <v>1756</v>
      </c>
      <c r="E1729" s="1"/>
      <c r="F1729" s="1"/>
      <c r="G1729" s="1"/>
      <c r="H1729" s="1"/>
      <c r="I1729" s="2"/>
      <c r="J1729" s="1"/>
      <c r="K1729" s="1"/>
      <c r="L1729" s="1"/>
      <c r="M1729" s="1"/>
      <c r="N1729" s="1"/>
      <c r="O1729" s="1"/>
      <c r="P1729" s="1"/>
      <c r="Q1729" s="1"/>
      <c r="R1729" s="1"/>
      <c r="S1729" s="1"/>
      <c r="T1729" s="1"/>
      <c r="U1729" s="1"/>
      <c r="V1729" s="1"/>
      <c r="W1729" s="1"/>
      <c r="X1729" s="1"/>
    </row>
    <row x14ac:dyDescent="0.25" r="1730" customHeight="1" ht="18.75">
      <c r="A1730" s="1"/>
      <c r="B1730" s="1"/>
      <c r="C1730" s="3" t="s">
        <v>100</v>
      </c>
      <c r="D1730" s="3" t="s">
        <v>1757</v>
      </c>
      <c r="E1730" s="1"/>
      <c r="F1730" s="1"/>
      <c r="G1730" s="1"/>
      <c r="H1730" s="1"/>
      <c r="I1730" s="2"/>
      <c r="J1730" s="1"/>
      <c r="K1730" s="1"/>
      <c r="L1730" s="1"/>
      <c r="M1730" s="1"/>
      <c r="N1730" s="1"/>
      <c r="O1730" s="1"/>
      <c r="P1730" s="1"/>
      <c r="Q1730" s="1"/>
      <c r="R1730" s="1"/>
      <c r="S1730" s="1"/>
      <c r="T1730" s="1"/>
      <c r="U1730" s="1"/>
      <c r="V1730" s="1"/>
      <c r="W1730" s="1"/>
      <c r="X1730" s="1"/>
    </row>
    <row x14ac:dyDescent="0.25" r="1731" customHeight="1" ht="18.75">
      <c r="A1731" s="1"/>
      <c r="B1731" s="1"/>
      <c r="C1731" s="3" t="s">
        <v>100</v>
      </c>
      <c r="D1731" s="3" t="s">
        <v>1758</v>
      </c>
      <c r="E1731" s="1"/>
      <c r="F1731" s="1"/>
      <c r="G1731" s="1"/>
      <c r="H1731" s="1"/>
      <c r="I1731" s="2"/>
      <c r="J1731" s="1"/>
      <c r="K1731" s="1"/>
      <c r="L1731" s="1"/>
      <c r="M1731" s="1"/>
      <c r="N1731" s="1"/>
      <c r="O1731" s="1"/>
      <c r="P1731" s="1"/>
      <c r="Q1731" s="1"/>
      <c r="R1731" s="1"/>
      <c r="S1731" s="1"/>
      <c r="T1731" s="1"/>
      <c r="U1731" s="1"/>
      <c r="V1731" s="1"/>
      <c r="W1731" s="1"/>
      <c r="X1731" s="1"/>
    </row>
    <row x14ac:dyDescent="0.25" r="1732" customHeight="1" ht="18.75">
      <c r="A1732" s="1"/>
      <c r="B1732" s="1"/>
      <c r="C1732" s="3" t="s">
        <v>100</v>
      </c>
      <c r="D1732" s="3" t="s">
        <v>1759</v>
      </c>
      <c r="E1732" s="1"/>
      <c r="F1732" s="1"/>
      <c r="G1732" s="1"/>
      <c r="H1732" s="1"/>
      <c r="I1732" s="2"/>
      <c r="J1732" s="1"/>
      <c r="K1732" s="1"/>
      <c r="L1732" s="1"/>
      <c r="M1732" s="1"/>
      <c r="N1732" s="1"/>
      <c r="O1732" s="1"/>
      <c r="P1732" s="1"/>
      <c r="Q1732" s="1"/>
      <c r="R1732" s="1"/>
      <c r="S1732" s="1"/>
      <c r="T1732" s="1"/>
      <c r="U1732" s="1"/>
      <c r="V1732" s="1"/>
      <c r="W1732" s="1"/>
      <c r="X1732" s="1"/>
    </row>
    <row x14ac:dyDescent="0.25" r="1733" customHeight="1" ht="18.75">
      <c r="A1733" s="1"/>
      <c r="B1733" s="1"/>
      <c r="C1733" s="3" t="s">
        <v>100</v>
      </c>
      <c r="D1733" s="3" t="s">
        <v>1760</v>
      </c>
      <c r="E1733" s="1"/>
      <c r="F1733" s="1"/>
      <c r="G1733" s="1"/>
      <c r="H1733" s="1"/>
      <c r="I1733" s="2"/>
      <c r="J1733" s="1"/>
      <c r="K1733" s="1"/>
      <c r="L1733" s="1"/>
      <c r="M1733" s="1"/>
      <c r="N1733" s="1"/>
      <c r="O1733" s="1"/>
      <c r="P1733" s="1"/>
      <c r="Q1733" s="1"/>
      <c r="R1733" s="1"/>
      <c r="S1733" s="1"/>
      <c r="T1733" s="1"/>
      <c r="U1733" s="1"/>
      <c r="V1733" s="1"/>
      <c r="W1733" s="1"/>
      <c r="X1733" s="1"/>
    </row>
    <row x14ac:dyDescent="0.25" r="1734" customHeight="1" ht="18.75">
      <c r="A1734" s="1"/>
      <c r="B1734" s="1"/>
      <c r="C1734" s="3" t="s">
        <v>100</v>
      </c>
      <c r="D1734" s="3" t="s">
        <v>1761</v>
      </c>
      <c r="E1734" s="1"/>
      <c r="F1734" s="1"/>
      <c r="G1734" s="1"/>
      <c r="H1734" s="1"/>
      <c r="I1734" s="2"/>
      <c r="J1734" s="1"/>
      <c r="K1734" s="1"/>
      <c r="L1734" s="1"/>
      <c r="M1734" s="1"/>
      <c r="N1734" s="1"/>
      <c r="O1734" s="1"/>
      <c r="P1734" s="1"/>
      <c r="Q1734" s="1"/>
      <c r="R1734" s="1"/>
      <c r="S1734" s="1"/>
      <c r="T1734" s="1"/>
      <c r="U1734" s="1"/>
      <c r="V1734" s="1"/>
      <c r="W1734" s="1"/>
      <c r="X1734" s="1"/>
    </row>
    <row x14ac:dyDescent="0.25" r="1735" customHeight="1" ht="18.75">
      <c r="A1735" s="1"/>
      <c r="B1735" s="1"/>
      <c r="C1735" s="3" t="s">
        <v>100</v>
      </c>
      <c r="D1735" s="3" t="s">
        <v>1762</v>
      </c>
      <c r="E1735" s="1"/>
      <c r="F1735" s="1"/>
      <c r="G1735" s="1"/>
      <c r="H1735" s="1"/>
      <c r="I1735" s="2"/>
      <c r="J1735" s="1"/>
      <c r="K1735" s="1"/>
      <c r="L1735" s="1"/>
      <c r="M1735" s="1"/>
      <c r="N1735" s="1"/>
      <c r="O1735" s="1"/>
      <c r="P1735" s="1"/>
      <c r="Q1735" s="1"/>
      <c r="R1735" s="1"/>
      <c r="S1735" s="1"/>
      <c r="T1735" s="1"/>
      <c r="U1735" s="1"/>
      <c r="V1735" s="1"/>
      <c r="W1735" s="1"/>
      <c r="X1735" s="1"/>
    </row>
    <row x14ac:dyDescent="0.25" r="1736" customHeight="1" ht="18.75">
      <c r="A1736" s="1"/>
      <c r="B1736" s="1"/>
      <c r="C1736" s="3" t="s">
        <v>100</v>
      </c>
      <c r="D1736" s="3" t="s">
        <v>1763</v>
      </c>
      <c r="E1736" s="1"/>
      <c r="F1736" s="1"/>
      <c r="G1736" s="1"/>
      <c r="H1736" s="1"/>
      <c r="I1736" s="2"/>
      <c r="J1736" s="1"/>
      <c r="K1736" s="1"/>
      <c r="L1736" s="1"/>
      <c r="M1736" s="1"/>
      <c r="N1736" s="1"/>
      <c r="O1736" s="1"/>
      <c r="P1736" s="1"/>
      <c r="Q1736" s="1"/>
      <c r="R1736" s="1"/>
      <c r="S1736" s="1"/>
      <c r="T1736" s="1"/>
      <c r="U1736" s="1"/>
      <c r="V1736" s="1"/>
      <c r="W1736" s="1"/>
      <c r="X1736" s="1"/>
    </row>
    <row x14ac:dyDescent="0.25" r="1737" customHeight="1" ht="18.75">
      <c r="A1737" s="1"/>
      <c r="B1737" s="1"/>
      <c r="C1737" s="3" t="s">
        <v>100</v>
      </c>
      <c r="D1737" s="3" t="s">
        <v>1764</v>
      </c>
      <c r="E1737" s="1"/>
      <c r="F1737" s="1"/>
      <c r="G1737" s="1"/>
      <c r="H1737" s="1"/>
      <c r="I1737" s="2"/>
      <c r="J1737" s="1"/>
      <c r="K1737" s="1"/>
      <c r="L1737" s="1"/>
      <c r="M1737" s="1"/>
      <c r="N1737" s="1"/>
      <c r="O1737" s="1"/>
      <c r="P1737" s="1"/>
      <c r="Q1737" s="1"/>
      <c r="R1737" s="1"/>
      <c r="S1737" s="1"/>
      <c r="T1737" s="1"/>
      <c r="U1737" s="1"/>
      <c r="V1737" s="1"/>
      <c r="W1737" s="1"/>
      <c r="X1737" s="1"/>
    </row>
    <row x14ac:dyDescent="0.25" r="1738" customHeight="1" ht="18.75">
      <c r="A1738" s="1"/>
      <c r="B1738" s="1"/>
      <c r="C1738" s="3" t="s">
        <v>100</v>
      </c>
      <c r="D1738" s="3" t="s">
        <v>1765</v>
      </c>
      <c r="E1738" s="1"/>
      <c r="F1738" s="1"/>
      <c r="G1738" s="1"/>
      <c r="H1738" s="1"/>
      <c r="I1738" s="2"/>
      <c r="J1738" s="1"/>
      <c r="K1738" s="1"/>
      <c r="L1738" s="1"/>
      <c r="M1738" s="1"/>
      <c r="N1738" s="1"/>
      <c r="O1738" s="1"/>
      <c r="P1738" s="1"/>
      <c r="Q1738" s="1"/>
      <c r="R1738" s="1"/>
      <c r="S1738" s="1"/>
      <c r="T1738" s="1"/>
      <c r="U1738" s="1"/>
      <c r="V1738" s="1"/>
      <c r="W1738" s="1"/>
      <c r="X1738" s="1"/>
    </row>
    <row x14ac:dyDescent="0.25" r="1739" customHeight="1" ht="18.75">
      <c r="A1739" s="1"/>
      <c r="B1739" s="1"/>
      <c r="C1739" s="3" t="s">
        <v>100</v>
      </c>
      <c r="D1739" s="3" t="s">
        <v>1766</v>
      </c>
      <c r="E1739" s="1"/>
      <c r="F1739" s="1"/>
      <c r="G1739" s="1"/>
      <c r="H1739" s="1"/>
      <c r="I1739" s="2"/>
      <c r="J1739" s="1"/>
      <c r="K1739" s="1"/>
      <c r="L1739" s="1"/>
      <c r="M1739" s="1"/>
      <c r="N1739" s="1"/>
      <c r="O1739" s="1"/>
      <c r="P1739" s="1"/>
      <c r="Q1739" s="1"/>
      <c r="R1739" s="1"/>
      <c r="S1739" s="1"/>
      <c r="T1739" s="1"/>
      <c r="U1739" s="1"/>
      <c r="V1739" s="1"/>
      <c r="W1739" s="1"/>
      <c r="X1739" s="1"/>
    </row>
    <row x14ac:dyDescent="0.25" r="1740" customHeight="1" ht="18.75">
      <c r="A1740" s="1"/>
      <c r="B1740" s="1"/>
      <c r="C1740" s="3" t="s">
        <v>100</v>
      </c>
      <c r="D1740" s="3" t="s">
        <v>1767</v>
      </c>
      <c r="E1740" s="1"/>
      <c r="F1740" s="1"/>
      <c r="G1740" s="1"/>
      <c r="H1740" s="1"/>
      <c r="I1740" s="2"/>
      <c r="J1740" s="1"/>
      <c r="K1740" s="1"/>
      <c r="L1740" s="1"/>
      <c r="M1740" s="1"/>
      <c r="N1740" s="1"/>
      <c r="O1740" s="1"/>
      <c r="P1740" s="1"/>
      <c r="Q1740" s="1"/>
      <c r="R1740" s="1"/>
      <c r="S1740" s="1"/>
      <c r="T1740" s="1"/>
      <c r="U1740" s="1"/>
      <c r="V1740" s="1"/>
      <c r="W1740" s="1"/>
      <c r="X1740" s="1"/>
    </row>
    <row x14ac:dyDescent="0.25" r="1741" customHeight="1" ht="18.75">
      <c r="A1741" s="1"/>
      <c r="B1741" s="1"/>
      <c r="C1741" s="3" t="s">
        <v>100</v>
      </c>
      <c r="D1741" s="3" t="s">
        <v>1768</v>
      </c>
      <c r="E1741" s="1"/>
      <c r="F1741" s="1"/>
      <c r="G1741" s="1"/>
      <c r="H1741" s="1"/>
      <c r="I1741" s="2"/>
      <c r="J1741" s="1"/>
      <c r="K1741" s="1"/>
      <c r="L1741" s="1"/>
      <c r="M1741" s="1"/>
      <c r="N1741" s="1"/>
      <c r="O1741" s="1"/>
      <c r="P1741" s="1"/>
      <c r="Q1741" s="1"/>
      <c r="R1741" s="1"/>
      <c r="S1741" s="1"/>
      <c r="T1741" s="1"/>
      <c r="U1741" s="1"/>
      <c r="V1741" s="1"/>
      <c r="W1741" s="1"/>
      <c r="X1741" s="1"/>
    </row>
    <row x14ac:dyDescent="0.25" r="1742" customHeight="1" ht="18.75">
      <c r="A1742" s="1"/>
      <c r="B1742" s="1"/>
      <c r="C1742" s="3" t="s">
        <v>100</v>
      </c>
      <c r="D1742" s="3" t="s">
        <v>1769</v>
      </c>
      <c r="E1742" s="1"/>
      <c r="F1742" s="1"/>
      <c r="G1742" s="1"/>
      <c r="H1742" s="1"/>
      <c r="I1742" s="2"/>
      <c r="J1742" s="1"/>
      <c r="K1742" s="1"/>
      <c r="L1742" s="1"/>
      <c r="M1742" s="1"/>
      <c r="N1742" s="1"/>
      <c r="O1742" s="1"/>
      <c r="P1742" s="1"/>
      <c r="Q1742" s="1"/>
      <c r="R1742" s="1"/>
      <c r="S1742" s="1"/>
      <c r="T1742" s="1"/>
      <c r="U1742" s="1"/>
      <c r="V1742" s="1"/>
      <c r="W1742" s="1"/>
      <c r="X1742" s="1"/>
    </row>
    <row x14ac:dyDescent="0.25" r="1743" customHeight="1" ht="18.75">
      <c r="A1743" s="1"/>
      <c r="B1743" s="1"/>
      <c r="C1743" s="3" t="s">
        <v>100</v>
      </c>
      <c r="D1743" s="3" t="s">
        <v>1770</v>
      </c>
      <c r="E1743" s="1"/>
      <c r="F1743" s="1"/>
      <c r="G1743" s="1"/>
      <c r="H1743" s="1"/>
      <c r="I1743" s="2"/>
      <c r="J1743" s="1"/>
      <c r="K1743" s="1"/>
      <c r="L1743" s="1"/>
      <c r="M1743" s="1"/>
      <c r="N1743" s="1"/>
      <c r="O1743" s="1"/>
      <c r="P1743" s="1"/>
      <c r="Q1743" s="1"/>
      <c r="R1743" s="1"/>
      <c r="S1743" s="1"/>
      <c r="T1743" s="1"/>
      <c r="U1743" s="1"/>
      <c r="V1743" s="1"/>
      <c r="W1743" s="1"/>
      <c r="X1743" s="1"/>
    </row>
    <row x14ac:dyDescent="0.25" r="1744" customHeight="1" ht="18.75">
      <c r="A1744" s="1"/>
      <c r="B1744" s="1"/>
      <c r="C1744" s="3" t="s">
        <v>100</v>
      </c>
      <c r="D1744" s="3" t="s">
        <v>1771</v>
      </c>
      <c r="E1744" s="1"/>
      <c r="F1744" s="1"/>
      <c r="G1744" s="1"/>
      <c r="H1744" s="1"/>
      <c r="I1744" s="2"/>
      <c r="J1744" s="1"/>
      <c r="K1744" s="1"/>
      <c r="L1744" s="1"/>
      <c r="M1744" s="1"/>
      <c r="N1744" s="1"/>
      <c r="O1744" s="1"/>
      <c r="P1744" s="1"/>
      <c r="Q1744" s="1"/>
      <c r="R1744" s="1"/>
      <c r="S1744" s="1"/>
      <c r="T1744" s="1"/>
      <c r="U1744" s="1"/>
      <c r="V1744" s="1"/>
      <c r="W1744" s="1"/>
      <c r="X1744" s="1"/>
    </row>
    <row x14ac:dyDescent="0.25" r="1745" customHeight="1" ht="18.75">
      <c r="A1745" s="1"/>
      <c r="B1745" s="1"/>
      <c r="C1745" s="3" t="s">
        <v>100</v>
      </c>
      <c r="D1745" s="3" t="s">
        <v>1772</v>
      </c>
      <c r="E1745" s="1"/>
      <c r="F1745" s="1"/>
      <c r="G1745" s="1"/>
      <c r="H1745" s="1"/>
      <c r="I1745" s="2"/>
      <c r="J1745" s="1"/>
      <c r="K1745" s="1"/>
      <c r="L1745" s="1"/>
      <c r="M1745" s="1"/>
      <c r="N1745" s="1"/>
      <c r="O1745" s="1"/>
      <c r="P1745" s="1"/>
      <c r="Q1745" s="1"/>
      <c r="R1745" s="1"/>
      <c r="S1745" s="1"/>
      <c r="T1745" s="1"/>
      <c r="U1745" s="1"/>
      <c r="V1745" s="1"/>
      <c r="W1745" s="1"/>
      <c r="X1745" s="1"/>
    </row>
    <row x14ac:dyDescent="0.25" r="1746" customHeight="1" ht="18.75">
      <c r="A1746" s="1"/>
      <c r="B1746" s="1"/>
      <c r="C1746" s="3" t="s">
        <v>100</v>
      </c>
      <c r="D1746" s="3" t="s">
        <v>1773</v>
      </c>
      <c r="E1746" s="1"/>
      <c r="F1746" s="1"/>
      <c r="G1746" s="1"/>
      <c r="H1746" s="1"/>
      <c r="I1746" s="2"/>
      <c r="J1746" s="1"/>
      <c r="K1746" s="1"/>
      <c r="L1746" s="1"/>
      <c r="M1746" s="1"/>
      <c r="N1746" s="1"/>
      <c r="O1746" s="1"/>
      <c r="P1746" s="1"/>
      <c r="Q1746" s="1"/>
      <c r="R1746" s="1"/>
      <c r="S1746" s="1"/>
      <c r="T1746" s="1"/>
      <c r="U1746" s="1"/>
      <c r="V1746" s="1"/>
      <c r="W1746" s="1"/>
      <c r="X1746" s="1"/>
    </row>
    <row x14ac:dyDescent="0.25" r="1747" customHeight="1" ht="18.75">
      <c r="A1747" s="1"/>
      <c r="B1747" s="1"/>
      <c r="C1747" s="3" t="s">
        <v>100</v>
      </c>
      <c r="D1747" s="3" t="s">
        <v>1774</v>
      </c>
      <c r="E1747" s="1"/>
      <c r="F1747" s="1"/>
      <c r="G1747" s="1"/>
      <c r="H1747" s="1"/>
      <c r="I1747" s="2"/>
      <c r="J1747" s="1"/>
      <c r="K1747" s="1"/>
      <c r="L1747" s="1"/>
      <c r="M1747" s="1"/>
      <c r="N1747" s="1"/>
      <c r="O1747" s="1"/>
      <c r="P1747" s="1"/>
      <c r="Q1747" s="1"/>
      <c r="R1747" s="1"/>
      <c r="S1747" s="1"/>
      <c r="T1747" s="1"/>
      <c r="U1747" s="1"/>
      <c r="V1747" s="1"/>
      <c r="W1747" s="1"/>
      <c r="X1747" s="1"/>
    </row>
    <row x14ac:dyDescent="0.25" r="1748" customHeight="1" ht="18.75">
      <c r="A1748" s="1"/>
      <c r="B1748" s="1"/>
      <c r="C1748" s="3" t="s">
        <v>100</v>
      </c>
      <c r="D1748" s="3" t="s">
        <v>1775</v>
      </c>
      <c r="E1748" s="1"/>
      <c r="F1748" s="1"/>
      <c r="G1748" s="1"/>
      <c r="H1748" s="1"/>
      <c r="I1748" s="2"/>
      <c r="J1748" s="1"/>
      <c r="K1748" s="1"/>
      <c r="L1748" s="1"/>
      <c r="M1748" s="1"/>
      <c r="N1748" s="1"/>
      <c r="O1748" s="1"/>
      <c r="P1748" s="1"/>
      <c r="Q1748" s="1"/>
      <c r="R1748" s="1"/>
      <c r="S1748" s="1"/>
      <c r="T1748" s="1"/>
      <c r="U1748" s="1"/>
      <c r="V1748" s="1"/>
      <c r="W1748" s="1"/>
      <c r="X1748" s="1"/>
    </row>
    <row x14ac:dyDescent="0.25" r="1749" customHeight="1" ht="18.75">
      <c r="A1749" s="1"/>
      <c r="B1749" s="1"/>
      <c r="C1749" s="3" t="s">
        <v>100</v>
      </c>
      <c r="D1749" s="3" t="s">
        <v>1776</v>
      </c>
      <c r="E1749" s="1"/>
      <c r="F1749" s="1"/>
      <c r="G1749" s="1"/>
      <c r="H1749" s="1"/>
      <c r="I1749" s="2"/>
      <c r="J1749" s="1"/>
      <c r="K1749" s="1"/>
      <c r="L1749" s="1"/>
      <c r="M1749" s="1"/>
      <c r="N1749" s="1"/>
      <c r="O1749" s="1"/>
      <c r="P1749" s="1"/>
      <c r="Q1749" s="1"/>
      <c r="R1749" s="1"/>
      <c r="S1749" s="1"/>
      <c r="T1749" s="1"/>
      <c r="U1749" s="1"/>
      <c r="V1749" s="1"/>
      <c r="W1749" s="1"/>
      <c r="X1749" s="1"/>
    </row>
    <row x14ac:dyDescent="0.25" r="1750" customHeight="1" ht="18.75">
      <c r="A1750" s="1"/>
      <c r="B1750" s="1"/>
      <c r="C1750" s="3" t="s">
        <v>100</v>
      </c>
      <c r="D1750" s="3" t="s">
        <v>1777</v>
      </c>
      <c r="E1750" s="1"/>
      <c r="F1750" s="1"/>
      <c r="G1750" s="1"/>
      <c r="H1750" s="1"/>
      <c r="I1750" s="2"/>
      <c r="J1750" s="1"/>
      <c r="K1750" s="1"/>
      <c r="L1750" s="1"/>
      <c r="M1750" s="1"/>
      <c r="N1750" s="1"/>
      <c r="O1750" s="1"/>
      <c r="P1750" s="1"/>
      <c r="Q1750" s="1"/>
      <c r="R1750" s="1"/>
      <c r="S1750" s="1"/>
      <c r="T1750" s="1"/>
      <c r="U1750" s="1"/>
      <c r="V1750" s="1"/>
      <c r="W1750" s="1"/>
      <c r="X1750" s="1"/>
    </row>
    <row x14ac:dyDescent="0.25" r="1751" customHeight="1" ht="18.75">
      <c r="A1751" s="1"/>
      <c r="B1751" s="1"/>
      <c r="C1751" s="3" t="s">
        <v>100</v>
      </c>
      <c r="D1751" s="3" t="s">
        <v>1778</v>
      </c>
      <c r="E1751" s="1"/>
      <c r="F1751" s="1"/>
      <c r="G1751" s="1"/>
      <c r="H1751" s="1"/>
      <c r="I1751" s="2"/>
      <c r="J1751" s="1"/>
      <c r="K1751" s="1"/>
      <c r="L1751" s="1"/>
      <c r="M1751" s="1"/>
      <c r="N1751" s="1"/>
      <c r="O1751" s="1"/>
      <c r="P1751" s="1"/>
      <c r="Q1751" s="1"/>
      <c r="R1751" s="1"/>
      <c r="S1751" s="1"/>
      <c r="T1751" s="1"/>
      <c r="U1751" s="1"/>
      <c r="V1751" s="1"/>
      <c r="W1751" s="1"/>
      <c r="X1751" s="1"/>
    </row>
    <row x14ac:dyDescent="0.25" r="1752" customHeight="1" ht="18.75">
      <c r="A1752" s="1"/>
      <c r="B1752" s="1"/>
      <c r="C1752" s="3" t="s">
        <v>100</v>
      </c>
      <c r="D1752" s="3" t="s">
        <v>1779</v>
      </c>
      <c r="E1752" s="1"/>
      <c r="F1752" s="1"/>
      <c r="G1752" s="1"/>
      <c r="H1752" s="1"/>
      <c r="I1752" s="2"/>
      <c r="J1752" s="1"/>
      <c r="K1752" s="1"/>
      <c r="L1752" s="1"/>
      <c r="M1752" s="1"/>
      <c r="N1752" s="1"/>
      <c r="O1752" s="1"/>
      <c r="P1752" s="1"/>
      <c r="Q1752" s="1"/>
      <c r="R1752" s="1"/>
      <c r="S1752" s="1"/>
      <c r="T1752" s="1"/>
      <c r="U1752" s="1"/>
      <c r="V1752" s="1"/>
      <c r="W1752" s="1"/>
      <c r="X1752" s="1"/>
    </row>
    <row x14ac:dyDescent="0.25" r="1753" customHeight="1" ht="18.75">
      <c r="A1753" s="1"/>
      <c r="B1753" s="1"/>
      <c r="C1753" s="3" t="s">
        <v>100</v>
      </c>
      <c r="D1753" s="3" t="s">
        <v>1780</v>
      </c>
      <c r="E1753" s="1"/>
      <c r="F1753" s="1"/>
      <c r="G1753" s="1"/>
      <c r="H1753" s="1"/>
      <c r="I1753" s="2"/>
      <c r="J1753" s="1"/>
      <c r="K1753" s="1"/>
      <c r="L1753" s="1"/>
      <c r="M1753" s="1"/>
      <c r="N1753" s="1"/>
      <c r="O1753" s="1"/>
      <c r="P1753" s="1"/>
      <c r="Q1753" s="1"/>
      <c r="R1753" s="1"/>
      <c r="S1753" s="1"/>
      <c r="T1753" s="1"/>
      <c r="U1753" s="1"/>
      <c r="V1753" s="1"/>
      <c r="W1753" s="1"/>
      <c r="X1753" s="1"/>
    </row>
    <row x14ac:dyDescent="0.25" r="1754" customHeight="1" ht="18.75">
      <c r="A1754" s="1"/>
      <c r="B1754" s="1"/>
      <c r="C1754" s="3" t="s">
        <v>100</v>
      </c>
      <c r="D1754" s="3" t="s">
        <v>1781</v>
      </c>
      <c r="E1754" s="1"/>
      <c r="F1754" s="1"/>
      <c r="G1754" s="1"/>
      <c r="H1754" s="1"/>
      <c r="I1754" s="2"/>
      <c r="J1754" s="1"/>
      <c r="K1754" s="1"/>
      <c r="L1754" s="1"/>
      <c r="M1754" s="1"/>
      <c r="N1754" s="1"/>
      <c r="O1754" s="1"/>
      <c r="P1754" s="1"/>
      <c r="Q1754" s="1"/>
      <c r="R1754" s="1"/>
      <c r="S1754" s="1"/>
      <c r="T1754" s="1"/>
      <c r="U1754" s="1"/>
      <c r="V1754" s="1"/>
      <c r="W1754" s="1"/>
      <c r="X1754" s="1"/>
    </row>
    <row x14ac:dyDescent="0.25" r="1755" customHeight="1" ht="18.75">
      <c r="A1755" s="1"/>
      <c r="B1755" s="1"/>
      <c r="C1755" s="3" t="s">
        <v>100</v>
      </c>
      <c r="D1755" s="3" t="s">
        <v>1782</v>
      </c>
      <c r="E1755" s="1"/>
      <c r="F1755" s="1"/>
      <c r="G1755" s="1"/>
      <c r="H1755" s="1"/>
      <c r="I1755" s="2"/>
      <c r="J1755" s="1"/>
      <c r="K1755" s="1"/>
      <c r="L1755" s="1"/>
      <c r="M1755" s="1"/>
      <c r="N1755" s="1"/>
      <c r="O1755" s="1"/>
      <c r="P1755" s="1"/>
      <c r="Q1755" s="1"/>
      <c r="R1755" s="1"/>
      <c r="S1755" s="1"/>
      <c r="T1755" s="1"/>
      <c r="U1755" s="1"/>
      <c r="V1755" s="1"/>
      <c r="W1755" s="1"/>
      <c r="X1755" s="1"/>
    </row>
    <row x14ac:dyDescent="0.25" r="1756" customHeight="1" ht="18.75">
      <c r="A1756" s="1"/>
      <c r="B1756" s="1"/>
      <c r="C1756" s="3" t="s">
        <v>100</v>
      </c>
      <c r="D1756" s="3" t="s">
        <v>1783</v>
      </c>
      <c r="E1756" s="1"/>
      <c r="F1756" s="1"/>
      <c r="G1756" s="1"/>
      <c r="H1756" s="1"/>
      <c r="I1756" s="2"/>
      <c r="J1756" s="1"/>
      <c r="K1756" s="1"/>
      <c r="L1756" s="1"/>
      <c r="M1756" s="1"/>
      <c r="N1756" s="1"/>
      <c r="O1756" s="1"/>
      <c r="P1756" s="1"/>
      <c r="Q1756" s="1"/>
      <c r="R1756" s="1"/>
      <c r="S1756" s="1"/>
      <c r="T1756" s="1"/>
      <c r="U1756" s="1"/>
      <c r="V1756" s="1"/>
      <c r="W1756" s="1"/>
      <c r="X1756" s="1"/>
    </row>
    <row x14ac:dyDescent="0.25" r="1757" customHeight="1" ht="18.75">
      <c r="A1757" s="1"/>
      <c r="B1757" s="1"/>
      <c r="C1757" s="3" t="s">
        <v>100</v>
      </c>
      <c r="D1757" s="3" t="s">
        <v>1784</v>
      </c>
      <c r="E1757" s="1"/>
      <c r="F1757" s="1"/>
      <c r="G1757" s="1"/>
      <c r="H1757" s="1"/>
      <c r="I1757" s="2"/>
      <c r="J1757" s="1"/>
      <c r="K1757" s="1"/>
      <c r="L1757" s="1"/>
      <c r="M1757" s="1"/>
      <c r="N1757" s="1"/>
      <c r="O1757" s="1"/>
      <c r="P1757" s="1"/>
      <c r="Q1757" s="1"/>
      <c r="R1757" s="1"/>
      <c r="S1757" s="1"/>
      <c r="T1757" s="1"/>
      <c r="U1757" s="1"/>
      <c r="V1757" s="1"/>
      <c r="W1757" s="1"/>
      <c r="X1757" s="1"/>
    </row>
    <row x14ac:dyDescent="0.25" r="1758" customHeight="1" ht="18.75">
      <c r="A1758" s="1"/>
      <c r="B1758" s="1"/>
      <c r="C1758" s="3" t="s">
        <v>100</v>
      </c>
      <c r="D1758" s="3" t="s">
        <v>1785</v>
      </c>
      <c r="E1758" s="1"/>
      <c r="F1758" s="1"/>
      <c r="G1758" s="1"/>
      <c r="H1758" s="1"/>
      <c r="I1758" s="2"/>
      <c r="J1758" s="1"/>
      <c r="K1758" s="1"/>
      <c r="L1758" s="1"/>
      <c r="M1758" s="1"/>
      <c r="N1758" s="1"/>
      <c r="O1758" s="1"/>
      <c r="P1758" s="1"/>
      <c r="Q1758" s="1"/>
      <c r="R1758" s="1"/>
      <c r="S1758" s="1"/>
      <c r="T1758" s="1"/>
      <c r="U1758" s="1"/>
      <c r="V1758" s="1"/>
      <c r="W1758" s="1"/>
      <c r="X1758" s="1"/>
    </row>
    <row x14ac:dyDescent="0.25" r="1759" customHeight="1" ht="18.75">
      <c r="A1759" s="1"/>
      <c r="B1759" s="1"/>
      <c r="C1759" s="3" t="s">
        <v>100</v>
      </c>
      <c r="D1759" s="3" t="s">
        <v>1786</v>
      </c>
      <c r="E1759" s="1"/>
      <c r="F1759" s="1"/>
      <c r="G1759" s="1"/>
      <c r="H1759" s="1"/>
      <c r="I1759" s="2"/>
      <c r="J1759" s="1"/>
      <c r="K1759" s="1"/>
      <c r="L1759" s="1"/>
      <c r="M1759" s="1"/>
      <c r="N1759" s="1"/>
      <c r="O1759" s="1"/>
      <c r="P1759" s="1"/>
      <c r="Q1759" s="1"/>
      <c r="R1759" s="1"/>
      <c r="S1759" s="1"/>
      <c r="T1759" s="1"/>
      <c r="U1759" s="1"/>
      <c r="V1759" s="1"/>
      <c r="W1759" s="1"/>
      <c r="X1759" s="1"/>
    </row>
    <row x14ac:dyDescent="0.25" r="1760" customHeight="1" ht="18.75">
      <c r="A1760" s="1"/>
      <c r="B1760" s="1"/>
      <c r="C1760" s="3" t="s">
        <v>100</v>
      </c>
      <c r="D1760" s="3" t="s">
        <v>1787</v>
      </c>
      <c r="E1760" s="1"/>
      <c r="F1760" s="1"/>
      <c r="G1760" s="1"/>
      <c r="H1760" s="1"/>
      <c r="I1760" s="2"/>
      <c r="J1760" s="1"/>
      <c r="K1760" s="1"/>
      <c r="L1760" s="1"/>
      <c r="M1760" s="1"/>
      <c r="N1760" s="1"/>
      <c r="O1760" s="1"/>
      <c r="P1760" s="1"/>
      <c r="Q1760" s="1"/>
      <c r="R1760" s="1"/>
      <c r="S1760" s="1"/>
      <c r="T1760" s="1"/>
      <c r="U1760" s="1"/>
      <c r="V1760" s="1"/>
      <c r="W1760" s="1"/>
      <c r="X1760" s="1"/>
    </row>
    <row x14ac:dyDescent="0.25" r="1761" customHeight="1" ht="18.75">
      <c r="A1761" s="1"/>
      <c r="B1761" s="1"/>
      <c r="C1761" s="3" t="s">
        <v>100</v>
      </c>
      <c r="D1761" s="3" t="s">
        <v>1788</v>
      </c>
      <c r="E1761" s="1"/>
      <c r="F1761" s="1"/>
      <c r="G1761" s="1"/>
      <c r="H1761" s="1"/>
      <c r="I1761" s="2"/>
      <c r="J1761" s="1"/>
      <c r="K1761" s="1"/>
      <c r="L1761" s="1"/>
      <c r="M1761" s="1"/>
      <c r="N1761" s="1"/>
      <c r="O1761" s="1"/>
      <c r="P1761" s="1"/>
      <c r="Q1761" s="1"/>
      <c r="R1761" s="1"/>
      <c r="S1761" s="1"/>
      <c r="T1761" s="1"/>
      <c r="U1761" s="1"/>
      <c r="V1761" s="1"/>
      <c r="W1761" s="1"/>
      <c r="X1761" s="1"/>
    </row>
    <row x14ac:dyDescent="0.25" r="1762" customHeight="1" ht="18.75">
      <c r="A1762" s="1"/>
      <c r="B1762" s="1"/>
      <c r="C1762" s="3" t="s">
        <v>100</v>
      </c>
      <c r="D1762" s="3" t="s">
        <v>1789</v>
      </c>
      <c r="E1762" s="1"/>
      <c r="F1762" s="1"/>
      <c r="G1762" s="1"/>
      <c r="H1762" s="1"/>
      <c r="I1762" s="2"/>
      <c r="J1762" s="1"/>
      <c r="K1762" s="1"/>
      <c r="L1762" s="1"/>
      <c r="M1762" s="1"/>
      <c r="N1762" s="1"/>
      <c r="O1762" s="1"/>
      <c r="P1762" s="1"/>
      <c r="Q1762" s="1"/>
      <c r="R1762" s="1"/>
      <c r="S1762" s="1"/>
      <c r="T1762" s="1"/>
      <c r="U1762" s="1"/>
      <c r="V1762" s="1"/>
      <c r="W1762" s="1"/>
      <c r="X1762" s="1"/>
    </row>
    <row x14ac:dyDescent="0.25" r="1763" customHeight="1" ht="18.75">
      <c r="A1763" s="1"/>
      <c r="B1763" s="1"/>
      <c r="C1763" s="3" t="s">
        <v>100</v>
      </c>
      <c r="D1763" s="3" t="s">
        <v>1790</v>
      </c>
      <c r="E1763" s="1"/>
      <c r="F1763" s="1"/>
      <c r="G1763" s="1"/>
      <c r="H1763" s="1"/>
      <c r="I1763" s="2"/>
      <c r="J1763" s="1"/>
      <c r="K1763" s="1"/>
      <c r="L1763" s="1"/>
      <c r="M1763" s="1"/>
      <c r="N1763" s="1"/>
      <c r="O1763" s="1"/>
      <c r="P1763" s="1"/>
      <c r="Q1763" s="1"/>
      <c r="R1763" s="1"/>
      <c r="S1763" s="1"/>
      <c r="T1763" s="1"/>
      <c r="U1763" s="1"/>
      <c r="V1763" s="1"/>
      <c r="W1763" s="1"/>
      <c r="X1763" s="1"/>
    </row>
    <row x14ac:dyDescent="0.25" r="1764" customHeight="1" ht="18.75">
      <c r="A1764" s="1"/>
      <c r="B1764" s="1"/>
      <c r="C1764" s="3" t="s">
        <v>100</v>
      </c>
      <c r="D1764" s="3" t="s">
        <v>1791</v>
      </c>
      <c r="E1764" s="1"/>
      <c r="F1764" s="1"/>
      <c r="G1764" s="1"/>
      <c r="H1764" s="1"/>
      <c r="I1764" s="2"/>
      <c r="J1764" s="1"/>
      <c r="K1764" s="1"/>
      <c r="L1764" s="1"/>
      <c r="M1764" s="1"/>
      <c r="N1764" s="1"/>
      <c r="O1764" s="1"/>
      <c r="P1764" s="1"/>
      <c r="Q1764" s="1"/>
      <c r="R1764" s="1"/>
      <c r="S1764" s="1"/>
      <c r="T1764" s="1"/>
      <c r="U1764" s="1"/>
      <c r="V1764" s="1"/>
      <c r="W1764" s="1"/>
      <c r="X1764" s="1"/>
    </row>
    <row x14ac:dyDescent="0.25" r="1765" customHeight="1" ht="18.75">
      <c r="A1765" s="1"/>
      <c r="B1765" s="1"/>
      <c r="C1765" s="3" t="s">
        <v>100</v>
      </c>
      <c r="D1765" s="3" t="s">
        <v>1792</v>
      </c>
      <c r="E1765" s="1"/>
      <c r="F1765" s="1"/>
      <c r="G1765" s="1"/>
      <c r="H1765" s="1"/>
      <c r="I1765" s="2"/>
      <c r="J1765" s="1"/>
      <c r="K1765" s="1"/>
      <c r="L1765" s="1"/>
      <c r="M1765" s="1"/>
      <c r="N1765" s="1"/>
      <c r="O1765" s="1"/>
      <c r="P1765" s="1"/>
      <c r="Q1765" s="1"/>
      <c r="R1765" s="1"/>
      <c r="S1765" s="1"/>
      <c r="T1765" s="1"/>
      <c r="U1765" s="1"/>
      <c r="V1765" s="1"/>
      <c r="W1765" s="1"/>
      <c r="X1765" s="1"/>
    </row>
    <row x14ac:dyDescent="0.25" r="1766" customHeight="1" ht="18.75">
      <c r="A1766" s="1"/>
      <c r="B1766" s="1"/>
      <c r="C1766" s="3" t="s">
        <v>100</v>
      </c>
      <c r="D1766" s="3" t="s">
        <v>1793</v>
      </c>
      <c r="E1766" s="1"/>
      <c r="F1766" s="1"/>
      <c r="G1766" s="1"/>
      <c r="H1766" s="1"/>
      <c r="I1766" s="2"/>
      <c r="J1766" s="1"/>
      <c r="K1766" s="1"/>
      <c r="L1766" s="1"/>
      <c r="M1766" s="1"/>
      <c r="N1766" s="1"/>
      <c r="O1766" s="1"/>
      <c r="P1766" s="1"/>
      <c r="Q1766" s="1"/>
      <c r="R1766" s="1"/>
      <c r="S1766" s="1"/>
      <c r="T1766" s="1"/>
      <c r="U1766" s="1"/>
      <c r="V1766" s="1"/>
      <c r="W1766" s="1"/>
      <c r="X1766" s="1"/>
    </row>
    <row x14ac:dyDescent="0.25" r="1767" customHeight="1" ht="18.75">
      <c r="A1767" s="1"/>
      <c r="B1767" s="1"/>
      <c r="C1767" s="3" t="s">
        <v>100</v>
      </c>
      <c r="D1767" s="3" t="s">
        <v>1794</v>
      </c>
      <c r="E1767" s="1"/>
      <c r="F1767" s="1"/>
      <c r="G1767" s="1"/>
      <c r="H1767" s="1"/>
      <c r="I1767" s="2"/>
      <c r="J1767" s="1"/>
      <c r="K1767" s="1"/>
      <c r="L1767" s="1"/>
      <c r="M1767" s="1"/>
      <c r="N1767" s="1"/>
      <c r="O1767" s="1"/>
      <c r="P1767" s="1"/>
      <c r="Q1767" s="1"/>
      <c r="R1767" s="1"/>
      <c r="S1767" s="1"/>
      <c r="T1767" s="1"/>
      <c r="U1767" s="1"/>
      <c r="V1767" s="1"/>
      <c r="W1767" s="1"/>
      <c r="X1767" s="1"/>
    </row>
    <row x14ac:dyDescent="0.25" r="1768" customHeight="1" ht="18.75">
      <c r="A1768" s="1"/>
      <c r="B1768" s="1"/>
      <c r="C1768" s="3" t="s">
        <v>100</v>
      </c>
      <c r="D1768" s="3" t="s">
        <v>1795</v>
      </c>
      <c r="E1768" s="1"/>
      <c r="F1768" s="1"/>
      <c r="G1768" s="1"/>
      <c r="H1768" s="1"/>
      <c r="I1768" s="2"/>
      <c r="J1768" s="1"/>
      <c r="K1768" s="1"/>
      <c r="L1768" s="1"/>
      <c r="M1768" s="1"/>
      <c r="N1768" s="1"/>
      <c r="O1768" s="1"/>
      <c r="P1768" s="1"/>
      <c r="Q1768" s="1"/>
      <c r="R1768" s="1"/>
      <c r="S1768" s="1"/>
      <c r="T1768" s="1"/>
      <c r="U1768" s="1"/>
      <c r="V1768" s="1"/>
      <c r="W1768" s="1"/>
      <c r="X1768" s="1"/>
    </row>
    <row x14ac:dyDescent="0.25" r="1769" customHeight="1" ht="18.75">
      <c r="A1769" s="1"/>
      <c r="B1769" s="1"/>
      <c r="C1769" s="3" t="s">
        <v>100</v>
      </c>
      <c r="D1769" s="3" t="s">
        <v>1796</v>
      </c>
      <c r="E1769" s="1"/>
      <c r="F1769" s="1"/>
      <c r="G1769" s="1"/>
      <c r="H1769" s="1"/>
      <c r="I1769" s="2"/>
      <c r="J1769" s="1"/>
      <c r="K1769" s="1"/>
      <c r="L1769" s="1"/>
      <c r="M1769" s="1"/>
      <c r="N1769" s="1"/>
      <c r="O1769" s="1"/>
      <c r="P1769" s="1"/>
      <c r="Q1769" s="1"/>
      <c r="R1769" s="1"/>
      <c r="S1769" s="1"/>
      <c r="T1769" s="1"/>
      <c r="U1769" s="1"/>
      <c r="V1769" s="1"/>
      <c r="W1769" s="1"/>
      <c r="X1769" s="1"/>
    </row>
    <row x14ac:dyDescent="0.25" r="1770" customHeight="1" ht="18.75">
      <c r="A1770" s="1"/>
      <c r="B1770" s="1"/>
      <c r="C1770" s="3" t="s">
        <v>100</v>
      </c>
      <c r="D1770" s="3" t="s">
        <v>1797</v>
      </c>
      <c r="E1770" s="1"/>
      <c r="F1770" s="1"/>
      <c r="G1770" s="1"/>
      <c r="H1770" s="1"/>
      <c r="I1770" s="2"/>
      <c r="J1770" s="1"/>
      <c r="K1770" s="1"/>
      <c r="L1770" s="1"/>
      <c r="M1770" s="1"/>
      <c r="N1770" s="1"/>
      <c r="O1770" s="1"/>
      <c r="P1770" s="1"/>
      <c r="Q1770" s="1"/>
      <c r="R1770" s="1"/>
      <c r="S1770" s="1"/>
      <c r="T1770" s="1"/>
      <c r="U1770" s="1"/>
      <c r="V1770" s="1"/>
      <c r="W1770" s="1"/>
      <c r="X1770" s="1"/>
    </row>
    <row x14ac:dyDescent="0.25" r="1771" customHeight="1" ht="18.75">
      <c r="A1771" s="1"/>
      <c r="B1771" s="1"/>
      <c r="C1771" s="3" t="s">
        <v>100</v>
      </c>
      <c r="D1771" s="3" t="s">
        <v>1798</v>
      </c>
      <c r="E1771" s="1"/>
      <c r="F1771" s="1"/>
      <c r="G1771" s="1"/>
      <c r="H1771" s="1"/>
      <c r="I1771" s="2"/>
      <c r="J1771" s="1"/>
      <c r="K1771" s="1"/>
      <c r="L1771" s="1"/>
      <c r="M1771" s="1"/>
      <c r="N1771" s="1"/>
      <c r="O1771" s="1"/>
      <c r="P1771" s="1"/>
      <c r="Q1771" s="1"/>
      <c r="R1771" s="1"/>
      <c r="S1771" s="1"/>
      <c r="T1771" s="1"/>
      <c r="U1771" s="1"/>
      <c r="V1771" s="1"/>
      <c r="W1771" s="1"/>
      <c r="X1771" s="1"/>
    </row>
    <row x14ac:dyDescent="0.25" r="1772" customHeight="1" ht="18.75">
      <c r="A1772" s="1"/>
      <c r="B1772" s="1"/>
      <c r="C1772" s="3" t="s">
        <v>100</v>
      </c>
      <c r="D1772" s="3" t="s">
        <v>1799</v>
      </c>
      <c r="E1772" s="1"/>
      <c r="F1772" s="1"/>
      <c r="G1772" s="1"/>
      <c r="H1772" s="1"/>
      <c r="I1772" s="2"/>
      <c r="J1772" s="1"/>
      <c r="K1772" s="1"/>
      <c r="L1772" s="1"/>
      <c r="M1772" s="1"/>
      <c r="N1772" s="1"/>
      <c r="O1772" s="1"/>
      <c r="P1772" s="1"/>
      <c r="Q1772" s="1"/>
      <c r="R1772" s="1"/>
      <c r="S1772" s="1"/>
      <c r="T1772" s="1"/>
      <c r="U1772" s="1"/>
      <c r="V1772" s="1"/>
      <c r="W1772" s="1"/>
      <c r="X1772" s="1"/>
    </row>
    <row x14ac:dyDescent="0.25" r="1773" customHeight="1" ht="18.75">
      <c r="A1773" s="1"/>
      <c r="B1773" s="1"/>
      <c r="C1773" s="3" t="s">
        <v>100</v>
      </c>
      <c r="D1773" s="3" t="s">
        <v>1800</v>
      </c>
      <c r="E1773" s="1"/>
      <c r="F1773" s="1"/>
      <c r="G1773" s="1"/>
      <c r="H1773" s="1"/>
      <c r="I1773" s="2"/>
      <c r="J1773" s="1"/>
      <c r="K1773" s="1"/>
      <c r="L1773" s="1"/>
      <c r="M1773" s="1"/>
      <c r="N1773" s="1"/>
      <c r="O1773" s="1"/>
      <c r="P1773" s="1"/>
      <c r="Q1773" s="1"/>
      <c r="R1773" s="1"/>
      <c r="S1773" s="1"/>
      <c r="T1773" s="1"/>
      <c r="U1773" s="1"/>
      <c r="V1773" s="1"/>
      <c r="W1773" s="1"/>
      <c r="X1773" s="1"/>
    </row>
    <row x14ac:dyDescent="0.25" r="1774" customHeight="1" ht="18.75">
      <c r="A1774" s="1"/>
      <c r="B1774" s="1"/>
      <c r="C1774" s="3" t="s">
        <v>100</v>
      </c>
      <c r="D1774" s="3" t="s">
        <v>1801</v>
      </c>
      <c r="E1774" s="1"/>
      <c r="F1774" s="1"/>
      <c r="G1774" s="1"/>
      <c r="H1774" s="1"/>
      <c r="I1774" s="2"/>
      <c r="J1774" s="1"/>
      <c r="K1774" s="1"/>
      <c r="L1774" s="1"/>
      <c r="M1774" s="1"/>
      <c r="N1774" s="1"/>
      <c r="O1774" s="1"/>
      <c r="P1774" s="1"/>
      <c r="Q1774" s="1"/>
      <c r="R1774" s="1"/>
      <c r="S1774" s="1"/>
      <c r="T1774" s="1"/>
      <c r="U1774" s="1"/>
      <c r="V1774" s="1"/>
      <c r="W1774" s="1"/>
      <c r="X1774" s="1"/>
    </row>
    <row x14ac:dyDescent="0.25" r="1775" customHeight="1" ht="18.75">
      <c r="A1775" s="1"/>
      <c r="B1775" s="1"/>
      <c r="C1775" s="3" t="s">
        <v>100</v>
      </c>
      <c r="D1775" s="3" t="s">
        <v>1802</v>
      </c>
      <c r="E1775" s="1"/>
      <c r="F1775" s="1"/>
      <c r="G1775" s="1"/>
      <c r="H1775" s="1"/>
      <c r="I1775" s="2"/>
      <c r="J1775" s="1"/>
      <c r="K1775" s="1"/>
      <c r="L1775" s="1"/>
      <c r="M1775" s="1"/>
      <c r="N1775" s="1"/>
      <c r="O1775" s="1"/>
      <c r="P1775" s="1"/>
      <c r="Q1775" s="1"/>
      <c r="R1775" s="1"/>
      <c r="S1775" s="1"/>
      <c r="T1775" s="1"/>
      <c r="U1775" s="1"/>
      <c r="V1775" s="1"/>
      <c r="W1775" s="1"/>
      <c r="X1775" s="1"/>
    </row>
    <row x14ac:dyDescent="0.25" r="1776" customHeight="1" ht="18.75">
      <c r="A1776" s="1"/>
      <c r="B1776" s="1"/>
      <c r="C1776" s="3" t="s">
        <v>100</v>
      </c>
      <c r="D1776" s="3" t="s">
        <v>1803</v>
      </c>
      <c r="E1776" s="1"/>
      <c r="F1776" s="1"/>
      <c r="G1776" s="1"/>
      <c r="H1776" s="1"/>
      <c r="I1776" s="2"/>
      <c r="J1776" s="1"/>
      <c r="K1776" s="1"/>
      <c r="L1776" s="1"/>
      <c r="M1776" s="1"/>
      <c r="N1776" s="1"/>
      <c r="O1776" s="1"/>
      <c r="P1776" s="1"/>
      <c r="Q1776" s="1"/>
      <c r="R1776" s="1"/>
      <c r="S1776" s="1"/>
      <c r="T1776" s="1"/>
      <c r="U1776" s="1"/>
      <c r="V1776" s="1"/>
      <c r="W1776" s="1"/>
      <c r="X1776" s="1"/>
    </row>
    <row x14ac:dyDescent="0.25" r="1777" customHeight="1" ht="18.75">
      <c r="A1777" s="1"/>
      <c r="B1777" s="1"/>
      <c r="C1777" s="3" t="s">
        <v>100</v>
      </c>
      <c r="D1777" s="3" t="s">
        <v>1804</v>
      </c>
      <c r="E1777" s="1"/>
      <c r="F1777" s="1"/>
      <c r="G1777" s="1"/>
      <c r="H1777" s="1"/>
      <c r="I1777" s="2"/>
      <c r="J1777" s="1"/>
      <c r="K1777" s="1"/>
      <c r="L1777" s="1"/>
      <c r="M1777" s="1"/>
      <c r="N1777" s="1"/>
      <c r="O1777" s="1"/>
      <c r="P1777" s="1"/>
      <c r="Q1777" s="1"/>
      <c r="R1777" s="1"/>
      <c r="S1777" s="1"/>
      <c r="T1777" s="1"/>
      <c r="U1777" s="1"/>
      <c r="V1777" s="1"/>
      <c r="W1777" s="1"/>
      <c r="X1777" s="1"/>
    </row>
    <row x14ac:dyDescent="0.25" r="1778" customHeight="1" ht="18.75">
      <c r="A1778" s="1"/>
      <c r="B1778" s="1"/>
      <c r="C1778" s="3" t="s">
        <v>100</v>
      </c>
      <c r="D1778" s="3" t="s">
        <v>1805</v>
      </c>
      <c r="E1778" s="1"/>
      <c r="F1778" s="1"/>
      <c r="G1778" s="1"/>
      <c r="H1778" s="1"/>
      <c r="I1778" s="2"/>
      <c r="J1778" s="1"/>
      <c r="K1778" s="1"/>
      <c r="L1778" s="1"/>
      <c r="M1778" s="1"/>
      <c r="N1778" s="1"/>
      <c r="O1778" s="1"/>
      <c r="P1778" s="1"/>
      <c r="Q1778" s="1"/>
      <c r="R1778" s="1"/>
      <c r="S1778" s="1"/>
      <c r="T1778" s="1"/>
      <c r="U1778" s="1"/>
      <c r="V1778" s="1"/>
      <c r="W1778" s="1"/>
      <c r="X1778" s="1"/>
    </row>
    <row x14ac:dyDescent="0.25" r="1779" customHeight="1" ht="18.75">
      <c r="A1779" s="1"/>
      <c r="B1779" s="1"/>
      <c r="C1779" s="3" t="s">
        <v>100</v>
      </c>
      <c r="D1779" s="3" t="s">
        <v>1806</v>
      </c>
      <c r="E1779" s="1"/>
      <c r="F1779" s="1"/>
      <c r="G1779" s="1"/>
      <c r="H1779" s="1"/>
      <c r="I1779" s="2"/>
      <c r="J1779" s="1"/>
      <c r="K1779" s="1"/>
      <c r="L1779" s="1"/>
      <c r="M1779" s="1"/>
      <c r="N1779" s="1"/>
      <c r="O1779" s="1"/>
      <c r="P1779" s="1"/>
      <c r="Q1779" s="1"/>
      <c r="R1779" s="1"/>
      <c r="S1779" s="1"/>
      <c r="T1779" s="1"/>
      <c r="U1779" s="1"/>
      <c r="V1779" s="1"/>
      <c r="W1779" s="1"/>
      <c r="X1779" s="1"/>
    </row>
    <row x14ac:dyDescent="0.25" r="1780" customHeight="1" ht="18.75">
      <c r="A1780" s="1"/>
      <c r="B1780" s="1"/>
      <c r="C1780" s="3" t="s">
        <v>100</v>
      </c>
      <c r="D1780" s="3" t="s">
        <v>1807</v>
      </c>
      <c r="E1780" s="1"/>
      <c r="F1780" s="1"/>
      <c r="G1780" s="1"/>
      <c r="H1780" s="1"/>
      <c r="I1780" s="2"/>
      <c r="J1780" s="1"/>
      <c r="K1780" s="1"/>
      <c r="L1780" s="1"/>
      <c r="M1780" s="1"/>
      <c r="N1780" s="1"/>
      <c r="O1780" s="1"/>
      <c r="P1780" s="1"/>
      <c r="Q1780" s="1"/>
      <c r="R1780" s="1"/>
      <c r="S1780" s="1"/>
      <c r="T1780" s="1"/>
      <c r="U1780" s="1"/>
      <c r="V1780" s="1"/>
      <c r="W1780" s="1"/>
      <c r="X1780" s="1"/>
    </row>
    <row x14ac:dyDescent="0.25" r="1781" customHeight="1" ht="18.75">
      <c r="A1781" s="1"/>
      <c r="B1781" s="1"/>
      <c r="C1781" s="3" t="s">
        <v>100</v>
      </c>
      <c r="D1781" s="3" t="s">
        <v>1808</v>
      </c>
      <c r="E1781" s="1"/>
      <c r="F1781" s="1"/>
      <c r="G1781" s="1"/>
      <c r="H1781" s="1"/>
      <c r="I1781" s="2"/>
      <c r="J1781" s="1"/>
      <c r="K1781" s="1"/>
      <c r="L1781" s="1"/>
      <c r="M1781" s="1"/>
      <c r="N1781" s="1"/>
      <c r="O1781" s="1"/>
      <c r="P1781" s="1"/>
      <c r="Q1781" s="1"/>
      <c r="R1781" s="1"/>
      <c r="S1781" s="1"/>
      <c r="T1781" s="1"/>
      <c r="U1781" s="1"/>
      <c r="V1781" s="1"/>
      <c r="W1781" s="1"/>
      <c r="X1781" s="1"/>
    </row>
    <row x14ac:dyDescent="0.25" r="1782" customHeight="1" ht="18.75">
      <c r="A1782" s="1"/>
      <c r="B1782" s="1"/>
      <c r="C1782" s="3" t="s">
        <v>100</v>
      </c>
      <c r="D1782" s="3" t="s">
        <v>1809</v>
      </c>
      <c r="E1782" s="1"/>
      <c r="F1782" s="1"/>
      <c r="G1782" s="1"/>
      <c r="H1782" s="1"/>
      <c r="I1782" s="2"/>
      <c r="J1782" s="1"/>
      <c r="K1782" s="1"/>
      <c r="L1782" s="1"/>
      <c r="M1782" s="1"/>
      <c r="N1782" s="1"/>
      <c r="O1782" s="1"/>
      <c r="P1782" s="1"/>
      <c r="Q1782" s="1"/>
      <c r="R1782" s="1"/>
      <c r="S1782" s="1"/>
      <c r="T1782" s="1"/>
      <c r="U1782" s="1"/>
      <c r="V1782" s="1"/>
      <c r="W1782" s="1"/>
      <c r="X1782" s="1"/>
    </row>
    <row x14ac:dyDescent="0.25" r="1783" customHeight="1" ht="18.75">
      <c r="A1783" s="1"/>
      <c r="B1783" s="1"/>
      <c r="C1783" s="3" t="s">
        <v>1810</v>
      </c>
      <c r="D1783" s="3" t="s">
        <v>1811</v>
      </c>
      <c r="E1783" s="1"/>
      <c r="F1783" s="1"/>
      <c r="G1783" s="1"/>
      <c r="H1783" s="1"/>
      <c r="I1783" s="2"/>
      <c r="J1783" s="1"/>
      <c r="K1783" s="1"/>
      <c r="L1783" s="1"/>
      <c r="M1783" s="1"/>
      <c r="N1783" s="1"/>
      <c r="O1783" s="1"/>
      <c r="P1783" s="1"/>
      <c r="Q1783" s="1"/>
      <c r="R1783" s="1"/>
      <c r="S1783" s="1"/>
      <c r="T1783" s="1"/>
      <c r="U1783" s="1"/>
      <c r="V1783" s="1"/>
      <c r="W1783" s="1"/>
      <c r="X1783" s="1"/>
    </row>
    <row x14ac:dyDescent="0.25" r="1784" customHeight="1" ht="18.75">
      <c r="A1784" s="1"/>
      <c r="B1784" s="1"/>
      <c r="C1784" s="3" t="s">
        <v>100</v>
      </c>
      <c r="D1784" s="3" t="s">
        <v>1812</v>
      </c>
      <c r="E1784" s="1"/>
      <c r="F1784" s="1"/>
      <c r="G1784" s="1"/>
      <c r="H1784" s="1"/>
      <c r="I1784" s="2"/>
      <c r="J1784" s="1"/>
      <c r="K1784" s="1"/>
      <c r="L1784" s="1"/>
      <c r="M1784" s="1"/>
      <c r="N1784" s="1"/>
      <c r="O1784" s="1"/>
      <c r="P1784" s="1"/>
      <c r="Q1784" s="1"/>
      <c r="R1784" s="1"/>
      <c r="S1784" s="1"/>
      <c r="T1784" s="1"/>
      <c r="U1784" s="1"/>
      <c r="V1784" s="1"/>
      <c r="W1784" s="1"/>
      <c r="X1784" s="1"/>
    </row>
    <row x14ac:dyDescent="0.25" r="1785" customHeight="1" ht="18.75">
      <c r="A1785" s="1"/>
      <c r="B1785" s="1"/>
      <c r="C1785" s="3" t="s">
        <v>1810</v>
      </c>
      <c r="D1785" s="3" t="s">
        <v>1813</v>
      </c>
      <c r="E1785" s="1"/>
      <c r="F1785" s="1"/>
      <c r="G1785" s="1"/>
      <c r="H1785" s="1"/>
      <c r="I1785" s="2"/>
      <c r="J1785" s="1"/>
      <c r="K1785" s="1"/>
      <c r="L1785" s="1"/>
      <c r="M1785" s="1"/>
      <c r="N1785" s="1"/>
      <c r="O1785" s="1"/>
      <c r="P1785" s="1"/>
      <c r="Q1785" s="1"/>
      <c r="R1785" s="1"/>
      <c r="S1785" s="1"/>
      <c r="T1785" s="1"/>
      <c r="U1785" s="1"/>
      <c r="V1785" s="1"/>
      <c r="W1785" s="1"/>
      <c r="X1785" s="1"/>
    </row>
    <row x14ac:dyDescent="0.25" r="1786" customHeight="1" ht="18.75">
      <c r="A1786" s="1"/>
      <c r="B1786" s="1"/>
      <c r="C1786" s="3" t="s">
        <v>1810</v>
      </c>
      <c r="D1786" s="3" t="s">
        <v>1814</v>
      </c>
      <c r="E1786" s="1"/>
      <c r="F1786" s="1"/>
      <c r="G1786" s="1"/>
      <c r="H1786" s="1"/>
      <c r="I1786" s="2"/>
      <c r="J1786" s="1"/>
      <c r="K1786" s="1"/>
      <c r="L1786" s="1"/>
      <c r="M1786" s="1"/>
      <c r="N1786" s="1"/>
      <c r="O1786" s="1"/>
      <c r="P1786" s="1"/>
      <c r="Q1786" s="1"/>
      <c r="R1786" s="1"/>
      <c r="S1786" s="1"/>
      <c r="T1786" s="1"/>
      <c r="U1786" s="1"/>
      <c r="V1786" s="1"/>
      <c r="W1786" s="1"/>
      <c r="X1786" s="1"/>
    </row>
    <row x14ac:dyDescent="0.25" r="1787" customHeight="1" ht="18.75">
      <c r="A1787" s="1"/>
      <c r="B1787" s="1"/>
      <c r="C1787" s="3" t="s">
        <v>100</v>
      </c>
      <c r="D1787" s="3" t="s">
        <v>1815</v>
      </c>
      <c r="E1787" s="1"/>
      <c r="F1787" s="1"/>
      <c r="G1787" s="1"/>
      <c r="H1787" s="1"/>
      <c r="I1787" s="2"/>
      <c r="J1787" s="1"/>
      <c r="K1787" s="1"/>
      <c r="L1787" s="1"/>
      <c r="M1787" s="1"/>
      <c r="N1787" s="1"/>
      <c r="O1787" s="1"/>
      <c r="P1787" s="1"/>
      <c r="Q1787" s="1"/>
      <c r="R1787" s="1"/>
      <c r="S1787" s="1"/>
      <c r="T1787" s="1"/>
      <c r="U1787" s="1"/>
      <c r="V1787" s="1"/>
      <c r="W1787" s="1"/>
      <c r="X1787" s="1"/>
    </row>
    <row x14ac:dyDescent="0.25" r="1788" customHeight="1" ht="18.75">
      <c r="A1788" s="1"/>
      <c r="B1788" s="1"/>
      <c r="C1788" s="3" t="s">
        <v>1810</v>
      </c>
      <c r="D1788" s="3" t="s">
        <v>1816</v>
      </c>
      <c r="E1788" s="1"/>
      <c r="F1788" s="1"/>
      <c r="G1788" s="1"/>
      <c r="H1788" s="1"/>
      <c r="I1788" s="2"/>
      <c r="J1788" s="1"/>
      <c r="K1788" s="1"/>
      <c r="L1788" s="1"/>
      <c r="M1788" s="1"/>
      <c r="N1788" s="1"/>
      <c r="O1788" s="1"/>
      <c r="P1788" s="1"/>
      <c r="Q1788" s="1"/>
      <c r="R1788" s="1"/>
      <c r="S1788" s="1"/>
      <c r="T1788" s="1"/>
      <c r="U1788" s="1"/>
      <c r="V1788" s="1"/>
      <c r="W1788" s="1"/>
      <c r="X1788" s="1"/>
    </row>
    <row x14ac:dyDescent="0.25" r="1789" customHeight="1" ht="18.75">
      <c r="A1789" s="1"/>
      <c r="B1789" s="1"/>
      <c r="C1789" s="3" t="s">
        <v>100</v>
      </c>
      <c r="D1789" s="3" t="s">
        <v>1817</v>
      </c>
      <c r="E1789" s="1"/>
      <c r="F1789" s="1"/>
      <c r="G1789" s="1"/>
      <c r="H1789" s="1"/>
      <c r="I1789" s="2"/>
      <c r="J1789" s="1"/>
      <c r="K1789" s="1"/>
      <c r="L1789" s="1"/>
      <c r="M1789" s="1"/>
      <c r="N1789" s="1"/>
      <c r="O1789" s="1"/>
      <c r="P1789" s="1"/>
      <c r="Q1789" s="1"/>
      <c r="R1789" s="1"/>
      <c r="S1789" s="1"/>
      <c r="T1789" s="1"/>
      <c r="U1789" s="1"/>
      <c r="V1789" s="1"/>
      <c r="W1789" s="1"/>
      <c r="X1789" s="1"/>
    </row>
    <row x14ac:dyDescent="0.25" r="1790" customHeight="1" ht="18.75">
      <c r="A1790" s="1"/>
      <c r="B1790" s="1"/>
      <c r="C1790" s="3" t="s">
        <v>1810</v>
      </c>
      <c r="D1790" s="3" t="s">
        <v>1818</v>
      </c>
      <c r="E1790" s="1"/>
      <c r="F1790" s="1"/>
      <c r="G1790" s="1"/>
      <c r="H1790" s="1"/>
      <c r="I1790" s="2"/>
      <c r="J1790" s="1"/>
      <c r="K1790" s="1"/>
      <c r="L1790" s="1"/>
      <c r="M1790" s="1"/>
      <c r="N1790" s="1"/>
      <c r="O1790" s="1"/>
      <c r="P1790" s="1"/>
      <c r="Q1790" s="1"/>
      <c r="R1790" s="1"/>
      <c r="S1790" s="1"/>
      <c r="T1790" s="1"/>
      <c r="U1790" s="1"/>
      <c r="V1790" s="1"/>
      <c r="W1790" s="1"/>
      <c r="X1790" s="1"/>
    </row>
    <row x14ac:dyDescent="0.25" r="1791" customHeight="1" ht="18.75">
      <c r="A1791" s="1"/>
      <c r="B1791" s="1"/>
      <c r="C1791" s="3" t="s">
        <v>100</v>
      </c>
      <c r="D1791" s="3" t="s">
        <v>1819</v>
      </c>
      <c r="E1791" s="1"/>
      <c r="F1791" s="1"/>
      <c r="G1791" s="1"/>
      <c r="H1791" s="1"/>
      <c r="I1791" s="2"/>
      <c r="J1791" s="1"/>
      <c r="K1791" s="1"/>
      <c r="L1791" s="1"/>
      <c r="M1791" s="1"/>
      <c r="N1791" s="1"/>
      <c r="O1791" s="1"/>
      <c r="P1791" s="1"/>
      <c r="Q1791" s="1"/>
      <c r="R1791" s="1"/>
      <c r="S1791" s="1"/>
      <c r="T1791" s="1"/>
      <c r="U1791" s="1"/>
      <c r="V1791" s="1"/>
      <c r="W1791" s="1"/>
      <c r="X1791" s="1"/>
    </row>
    <row x14ac:dyDescent="0.25" r="1792" customHeight="1" ht="18.75">
      <c r="A1792" s="1"/>
      <c r="B1792" s="1"/>
      <c r="C1792" s="3" t="s">
        <v>100</v>
      </c>
      <c r="D1792" s="3" t="s">
        <v>1820</v>
      </c>
      <c r="E1792" s="1"/>
      <c r="F1792" s="1"/>
      <c r="G1792" s="1"/>
      <c r="H1792" s="1"/>
      <c r="I1792" s="2"/>
      <c r="J1792" s="1"/>
      <c r="K1792" s="1"/>
      <c r="L1792" s="1"/>
      <c r="M1792" s="1"/>
      <c r="N1792" s="1"/>
      <c r="O1792" s="1"/>
      <c r="P1792" s="1"/>
      <c r="Q1792" s="1"/>
      <c r="R1792" s="1"/>
      <c r="S1792" s="1"/>
      <c r="T1792" s="1"/>
      <c r="U1792" s="1"/>
      <c r="V1792" s="1"/>
      <c r="W1792" s="1"/>
      <c r="X1792" s="1"/>
    </row>
    <row x14ac:dyDescent="0.25" r="1793" customHeight="1" ht="18.75">
      <c r="A1793" s="1"/>
      <c r="B1793" s="1"/>
      <c r="C1793" s="3" t="s">
        <v>100</v>
      </c>
      <c r="D1793" s="3" t="s">
        <v>1821</v>
      </c>
      <c r="E1793" s="1"/>
      <c r="F1793" s="1"/>
      <c r="G1793" s="1"/>
      <c r="H1793" s="1"/>
      <c r="I1793" s="2"/>
      <c r="J1793" s="1"/>
      <c r="K1793" s="1"/>
      <c r="L1793" s="1"/>
      <c r="M1793" s="1"/>
      <c r="N1793" s="1"/>
      <c r="O1793" s="1"/>
      <c r="P1793" s="1"/>
      <c r="Q1793" s="1"/>
      <c r="R1793" s="1"/>
      <c r="S1793" s="1"/>
      <c r="T1793" s="1"/>
      <c r="U1793" s="1"/>
      <c r="V1793" s="1"/>
      <c r="W1793" s="1"/>
      <c r="X1793" s="1"/>
    </row>
    <row x14ac:dyDescent="0.25" r="1794" customHeight="1" ht="18.75">
      <c r="A1794" s="1"/>
      <c r="B1794" s="1"/>
      <c r="C1794" s="3" t="s">
        <v>100</v>
      </c>
      <c r="D1794" s="3" t="s">
        <v>1822</v>
      </c>
      <c r="E1794" s="1"/>
      <c r="F1794" s="1"/>
      <c r="G1794" s="1"/>
      <c r="H1794" s="1"/>
      <c r="I1794" s="2"/>
      <c r="J1794" s="1"/>
      <c r="K1794" s="1"/>
      <c r="L1794" s="1"/>
      <c r="M1794" s="1"/>
      <c r="N1794" s="1"/>
      <c r="O1794" s="1"/>
      <c r="P1794" s="1"/>
      <c r="Q1794" s="1"/>
      <c r="R1794" s="1"/>
      <c r="S1794" s="1"/>
      <c r="T1794" s="1"/>
      <c r="U1794" s="1"/>
      <c r="V1794" s="1"/>
      <c r="W1794" s="1"/>
      <c r="X1794" s="1"/>
    </row>
    <row x14ac:dyDescent="0.25" r="1795" customHeight="1" ht="18.75">
      <c r="A1795" s="1"/>
      <c r="B1795" s="1"/>
      <c r="C1795" s="3" t="s">
        <v>100</v>
      </c>
      <c r="D1795" s="3" t="s">
        <v>1823</v>
      </c>
      <c r="E1795" s="1"/>
      <c r="F1795" s="1"/>
      <c r="G1795" s="1"/>
      <c r="H1795" s="1"/>
      <c r="I1795" s="2"/>
      <c r="J1795" s="1"/>
      <c r="K1795" s="1"/>
      <c r="L1795" s="1"/>
      <c r="M1795" s="1"/>
      <c r="N1795" s="1"/>
      <c r="O1795" s="1"/>
      <c r="P1795" s="1"/>
      <c r="Q1795" s="1"/>
      <c r="R1795" s="1"/>
      <c r="S1795" s="1"/>
      <c r="T1795" s="1"/>
      <c r="U1795" s="1"/>
      <c r="V1795" s="1"/>
      <c r="W1795" s="1"/>
      <c r="X1795" s="1"/>
    </row>
    <row x14ac:dyDescent="0.25" r="1796" customHeight="1" ht="18.75">
      <c r="A1796" s="1"/>
      <c r="B1796" s="1"/>
      <c r="C1796" s="3" t="s">
        <v>100</v>
      </c>
      <c r="D1796" s="3" t="s">
        <v>1824</v>
      </c>
      <c r="E1796" s="1"/>
      <c r="F1796" s="1"/>
      <c r="G1796" s="1"/>
      <c r="H1796" s="1"/>
      <c r="I1796" s="2"/>
      <c r="J1796" s="1"/>
      <c r="K1796" s="1"/>
      <c r="L1796" s="1"/>
      <c r="M1796" s="1"/>
      <c r="N1796" s="1"/>
      <c r="O1796" s="1"/>
      <c r="P1796" s="1"/>
      <c r="Q1796" s="1"/>
      <c r="R1796" s="1"/>
      <c r="S1796" s="1"/>
      <c r="T1796" s="1"/>
      <c r="U1796" s="1"/>
      <c r="V1796" s="1"/>
      <c r="W1796" s="1"/>
      <c r="X1796" s="1"/>
    </row>
    <row x14ac:dyDescent="0.25" r="1797" customHeight="1" ht="18.75">
      <c r="A1797" s="1"/>
      <c r="B1797" s="1"/>
      <c r="C1797" s="3" t="s">
        <v>100</v>
      </c>
      <c r="D1797" s="3" t="s">
        <v>1825</v>
      </c>
      <c r="E1797" s="1"/>
      <c r="F1797" s="1"/>
      <c r="G1797" s="1"/>
      <c r="H1797" s="1"/>
      <c r="I1797" s="2"/>
      <c r="J1797" s="1"/>
      <c r="K1797" s="1"/>
      <c r="L1797" s="1"/>
      <c r="M1797" s="1"/>
      <c r="N1797" s="1"/>
      <c r="O1797" s="1"/>
      <c r="P1797" s="1"/>
      <c r="Q1797" s="1"/>
      <c r="R1797" s="1"/>
      <c r="S1797" s="1"/>
      <c r="T1797" s="1"/>
      <c r="U1797" s="1"/>
      <c r="V1797" s="1"/>
      <c r="W1797" s="1"/>
      <c r="X1797" s="1"/>
    </row>
    <row x14ac:dyDescent="0.25" r="1798" customHeight="1" ht="18.75">
      <c r="A1798" s="1"/>
      <c r="B1798" s="1"/>
      <c r="C1798" s="3" t="s">
        <v>100</v>
      </c>
      <c r="D1798" s="3" t="s">
        <v>1826</v>
      </c>
      <c r="E1798" s="1"/>
      <c r="F1798" s="1"/>
      <c r="G1798" s="1"/>
      <c r="H1798" s="1"/>
      <c r="I1798" s="2"/>
      <c r="J1798" s="1"/>
      <c r="K1798" s="1"/>
      <c r="L1798" s="1"/>
      <c r="M1798" s="1"/>
      <c r="N1798" s="1"/>
      <c r="O1798" s="1"/>
      <c r="P1798" s="1"/>
      <c r="Q1798" s="1"/>
      <c r="R1798" s="1"/>
      <c r="S1798" s="1"/>
      <c r="T1798" s="1"/>
      <c r="U1798" s="1"/>
      <c r="V1798" s="1"/>
      <c r="W1798" s="1"/>
      <c r="X1798" s="1"/>
    </row>
    <row x14ac:dyDescent="0.25" r="1799" customHeight="1" ht="18.75">
      <c r="A1799" s="1"/>
      <c r="B1799" s="1"/>
      <c r="C1799" s="3" t="s">
        <v>100</v>
      </c>
      <c r="D1799" s="3" t="s">
        <v>1827</v>
      </c>
      <c r="E1799" s="1"/>
      <c r="F1799" s="1"/>
      <c r="G1799" s="1"/>
      <c r="H1799" s="1"/>
      <c r="I1799" s="2"/>
      <c r="J1799" s="1"/>
      <c r="K1799" s="1"/>
      <c r="L1799" s="1"/>
      <c r="M1799" s="1"/>
      <c r="N1799" s="1"/>
      <c r="O1799" s="1"/>
      <c r="P1799" s="1"/>
      <c r="Q1799" s="1"/>
      <c r="R1799" s="1"/>
      <c r="S1799" s="1"/>
      <c r="T1799" s="1"/>
      <c r="U1799" s="1"/>
      <c r="V1799" s="1"/>
      <c r="W1799" s="1"/>
      <c r="X1799" s="1"/>
    </row>
    <row x14ac:dyDescent="0.25" r="1800" customHeight="1" ht="18.75">
      <c r="A1800" s="1"/>
      <c r="B1800" s="1"/>
      <c r="C1800" s="3" t="s">
        <v>100</v>
      </c>
      <c r="D1800" s="3" t="s">
        <v>1828</v>
      </c>
      <c r="E1800" s="1"/>
      <c r="F1800" s="1"/>
      <c r="G1800" s="1"/>
      <c r="H1800" s="1"/>
      <c r="I1800" s="2"/>
      <c r="J1800" s="1"/>
      <c r="K1800" s="1"/>
      <c r="L1800" s="1"/>
      <c r="M1800" s="1"/>
      <c r="N1800" s="1"/>
      <c r="O1800" s="1"/>
      <c r="P1800" s="1"/>
      <c r="Q1800" s="1"/>
      <c r="R1800" s="1"/>
      <c r="S1800" s="1"/>
      <c r="T1800" s="1"/>
      <c r="U1800" s="1"/>
      <c r="V1800" s="1"/>
      <c r="W1800" s="1"/>
      <c r="X1800" s="1"/>
    </row>
    <row x14ac:dyDescent="0.25" r="1801" customHeight="1" ht="18.75">
      <c r="A1801" s="1"/>
      <c r="B1801" s="1"/>
      <c r="C1801" s="3" t="s">
        <v>100</v>
      </c>
      <c r="D1801" s="3" t="s">
        <v>1829</v>
      </c>
      <c r="E1801" s="1"/>
      <c r="F1801" s="1"/>
      <c r="G1801" s="1"/>
      <c r="H1801" s="1"/>
      <c r="I1801" s="2"/>
      <c r="J1801" s="1"/>
      <c r="K1801" s="1"/>
      <c r="L1801" s="1"/>
      <c r="M1801" s="1"/>
      <c r="N1801" s="1"/>
      <c r="O1801" s="1"/>
      <c r="P1801" s="1"/>
      <c r="Q1801" s="1"/>
      <c r="R1801" s="1"/>
      <c r="S1801" s="1"/>
      <c r="T1801" s="1"/>
      <c r="U1801" s="1"/>
      <c r="V1801" s="1"/>
      <c r="W1801" s="1"/>
      <c r="X1801" s="1"/>
    </row>
    <row x14ac:dyDescent="0.25" r="1802" customHeight="1" ht="18.75">
      <c r="A1802" s="1"/>
      <c r="B1802" s="1"/>
      <c r="C1802" s="3" t="s">
        <v>100</v>
      </c>
      <c r="D1802" s="3" t="s">
        <v>1830</v>
      </c>
      <c r="E1802" s="1"/>
      <c r="F1802" s="1"/>
      <c r="G1802" s="1"/>
      <c r="H1802" s="1"/>
      <c r="I1802" s="2"/>
      <c r="J1802" s="1"/>
      <c r="K1802" s="1"/>
      <c r="L1802" s="1"/>
      <c r="M1802" s="1"/>
      <c r="N1802" s="1"/>
      <c r="O1802" s="1"/>
      <c r="P1802" s="1"/>
      <c r="Q1802" s="1"/>
      <c r="R1802" s="1"/>
      <c r="S1802" s="1"/>
      <c r="T1802" s="1"/>
      <c r="U1802" s="1"/>
      <c r="V1802" s="1"/>
      <c r="W1802" s="1"/>
      <c r="X1802" s="1"/>
    </row>
    <row x14ac:dyDescent="0.25" r="1803" customHeight="1" ht="18.75">
      <c r="A1803" s="1"/>
      <c r="B1803" s="1"/>
      <c r="C1803" s="3" t="s">
        <v>100</v>
      </c>
      <c r="D1803" s="3" t="s">
        <v>1831</v>
      </c>
      <c r="E1803" s="1"/>
      <c r="F1803" s="1"/>
      <c r="G1803" s="1"/>
      <c r="H1803" s="1"/>
      <c r="I1803" s="2"/>
      <c r="J1803" s="1"/>
      <c r="K1803" s="1"/>
      <c r="L1803" s="1"/>
      <c r="M1803" s="1"/>
      <c r="N1803" s="1"/>
      <c r="O1803" s="1"/>
      <c r="P1803" s="1"/>
      <c r="Q1803" s="1"/>
      <c r="R1803" s="1"/>
      <c r="S1803" s="1"/>
      <c r="T1803" s="1"/>
      <c r="U1803" s="1"/>
      <c r="V1803" s="1"/>
      <c r="W1803" s="1"/>
      <c r="X1803" s="1"/>
    </row>
    <row x14ac:dyDescent="0.25" r="1804" customHeight="1" ht="18.75">
      <c r="A1804" s="1"/>
      <c r="B1804" s="1"/>
      <c r="C1804" s="3" t="s">
        <v>100</v>
      </c>
      <c r="D1804" s="3" t="s">
        <v>1832</v>
      </c>
      <c r="E1804" s="1"/>
      <c r="F1804" s="1"/>
      <c r="G1804" s="1"/>
      <c r="H1804" s="1"/>
      <c r="I1804" s="2"/>
      <c r="J1804" s="1"/>
      <c r="K1804" s="1"/>
      <c r="L1804" s="1"/>
      <c r="M1804" s="1"/>
      <c r="N1804" s="1"/>
      <c r="O1804" s="1"/>
      <c r="P1804" s="1"/>
      <c r="Q1804" s="1"/>
      <c r="R1804" s="1"/>
      <c r="S1804" s="1"/>
      <c r="T1804" s="1"/>
      <c r="U1804" s="1"/>
      <c r="V1804" s="1"/>
      <c r="W1804" s="1"/>
      <c r="X1804" s="1"/>
    </row>
    <row x14ac:dyDescent="0.25" r="1805" customHeight="1" ht="18.75">
      <c r="A1805" s="1"/>
      <c r="B1805" s="1"/>
      <c r="C1805" s="3" t="s">
        <v>100</v>
      </c>
      <c r="D1805" s="3" t="s">
        <v>1833</v>
      </c>
      <c r="E1805" s="1"/>
      <c r="F1805" s="1"/>
      <c r="G1805" s="1"/>
      <c r="H1805" s="1"/>
      <c r="I1805" s="2"/>
      <c r="J1805" s="1"/>
      <c r="K1805" s="1"/>
      <c r="L1805" s="1"/>
      <c r="M1805" s="1"/>
      <c r="N1805" s="1"/>
      <c r="O1805" s="1"/>
      <c r="P1805" s="1"/>
      <c r="Q1805" s="1"/>
      <c r="R1805" s="1"/>
      <c r="S1805" s="1"/>
      <c r="T1805" s="1"/>
      <c r="U1805" s="1"/>
      <c r="V1805" s="1"/>
      <c r="W1805" s="1"/>
      <c r="X1805" s="1"/>
    </row>
    <row x14ac:dyDescent="0.25" r="1806" customHeight="1" ht="18.75">
      <c r="A1806" s="1"/>
      <c r="B1806" s="1"/>
      <c r="C1806" s="3" t="s">
        <v>100</v>
      </c>
      <c r="D1806" s="3" t="s">
        <v>1834</v>
      </c>
      <c r="E1806" s="1"/>
      <c r="F1806" s="1"/>
      <c r="G1806" s="1"/>
      <c r="H1806" s="1"/>
      <c r="I1806" s="2"/>
      <c r="J1806" s="1"/>
      <c r="K1806" s="1"/>
      <c r="L1806" s="1"/>
      <c r="M1806" s="1"/>
      <c r="N1806" s="1"/>
      <c r="O1806" s="1"/>
      <c r="P1806" s="1"/>
      <c r="Q1806" s="1"/>
      <c r="R1806" s="1"/>
      <c r="S1806" s="1"/>
      <c r="T1806" s="1"/>
      <c r="U1806" s="1"/>
      <c r="V1806" s="1"/>
      <c r="W1806" s="1"/>
      <c r="X1806" s="1"/>
    </row>
    <row x14ac:dyDescent="0.25" r="1807" customHeight="1" ht="18.75">
      <c r="A1807" s="1"/>
      <c r="B1807" s="1"/>
      <c r="C1807" s="3" t="s">
        <v>100</v>
      </c>
      <c r="D1807" s="3" t="s">
        <v>1835</v>
      </c>
      <c r="E1807" s="1"/>
      <c r="F1807" s="1"/>
      <c r="G1807" s="1"/>
      <c r="H1807" s="1"/>
      <c r="I1807" s="2"/>
      <c r="J1807" s="1"/>
      <c r="K1807" s="1"/>
      <c r="L1807" s="1"/>
      <c r="M1807" s="1"/>
      <c r="N1807" s="1"/>
      <c r="O1807" s="1"/>
      <c r="P1807" s="1"/>
      <c r="Q1807" s="1"/>
      <c r="R1807" s="1"/>
      <c r="S1807" s="1"/>
      <c r="T1807" s="1"/>
      <c r="U1807" s="1"/>
      <c r="V1807" s="1"/>
      <c r="W1807" s="1"/>
      <c r="X1807" s="1"/>
    </row>
    <row x14ac:dyDescent="0.25" r="1808" customHeight="1" ht="18.75">
      <c r="A1808" s="1"/>
      <c r="B1808" s="1"/>
      <c r="C1808" s="3" t="s">
        <v>100</v>
      </c>
      <c r="D1808" s="3" t="s">
        <v>1836</v>
      </c>
      <c r="E1808" s="1"/>
      <c r="F1808" s="1"/>
      <c r="G1808" s="1"/>
      <c r="H1808" s="1"/>
      <c r="I1808" s="2"/>
      <c r="J1808" s="1"/>
      <c r="K1808" s="1"/>
      <c r="L1808" s="1"/>
      <c r="M1808" s="1"/>
      <c r="N1808" s="1"/>
      <c r="O1808" s="1"/>
      <c r="P1808" s="1"/>
      <c r="Q1808" s="1"/>
      <c r="R1808" s="1"/>
      <c r="S1808" s="1"/>
      <c r="T1808" s="1"/>
      <c r="U1808" s="1"/>
      <c r="V1808" s="1"/>
      <c r="W1808" s="1"/>
      <c r="X1808" s="1"/>
    </row>
    <row x14ac:dyDescent="0.25" r="1809" customHeight="1" ht="18.75">
      <c r="A1809" s="1"/>
      <c r="B1809" s="1"/>
      <c r="C1809" s="3" t="s">
        <v>100</v>
      </c>
      <c r="D1809" s="3" t="s">
        <v>1837</v>
      </c>
      <c r="E1809" s="1"/>
      <c r="F1809" s="1"/>
      <c r="G1809" s="1"/>
      <c r="H1809" s="1"/>
      <c r="I1809" s="2"/>
      <c r="J1809" s="1"/>
      <c r="K1809" s="1"/>
      <c r="L1809" s="1"/>
      <c r="M1809" s="1"/>
      <c r="N1809" s="1"/>
      <c r="O1809" s="1"/>
      <c r="P1809" s="1"/>
      <c r="Q1809" s="1"/>
      <c r="R1809" s="1"/>
      <c r="S1809" s="1"/>
      <c r="T1809" s="1"/>
      <c r="U1809" s="1"/>
      <c r="V1809" s="1"/>
      <c r="W1809" s="1"/>
      <c r="X1809" s="1"/>
    </row>
    <row x14ac:dyDescent="0.25" r="1810" customHeight="1" ht="18.75">
      <c r="A1810" s="1"/>
      <c r="B1810" s="1"/>
      <c r="C1810" s="3" t="s">
        <v>100</v>
      </c>
      <c r="D1810" s="3" t="s">
        <v>1838</v>
      </c>
      <c r="E1810" s="1"/>
      <c r="F1810" s="1"/>
      <c r="G1810" s="1"/>
      <c r="H1810" s="1"/>
      <c r="I1810" s="2"/>
      <c r="J1810" s="1"/>
      <c r="K1810" s="1"/>
      <c r="L1810" s="1"/>
      <c r="M1810" s="1"/>
      <c r="N1810" s="1"/>
      <c r="O1810" s="1"/>
      <c r="P1810" s="1"/>
      <c r="Q1810" s="1"/>
      <c r="R1810" s="1"/>
      <c r="S1810" s="1"/>
      <c r="T1810" s="1"/>
      <c r="U1810" s="1"/>
      <c r="V1810" s="1"/>
      <c r="W1810" s="1"/>
      <c r="X1810" s="1"/>
    </row>
    <row x14ac:dyDescent="0.25" r="1811" customHeight="1" ht="18.75">
      <c r="A1811" s="1"/>
      <c r="B1811" s="1"/>
      <c r="C1811" s="3" t="s">
        <v>100</v>
      </c>
      <c r="D1811" s="3" t="s">
        <v>1839</v>
      </c>
      <c r="E1811" s="1"/>
      <c r="F1811" s="1"/>
      <c r="G1811" s="1"/>
      <c r="H1811" s="1"/>
      <c r="I1811" s="2"/>
      <c r="J1811" s="1"/>
      <c r="K1811" s="1"/>
      <c r="L1811" s="1"/>
      <c r="M1811" s="1"/>
      <c r="N1811" s="1"/>
      <c r="O1811" s="1"/>
      <c r="P1811" s="1"/>
      <c r="Q1811" s="1"/>
      <c r="R1811" s="1"/>
      <c r="S1811" s="1"/>
      <c r="T1811" s="1"/>
      <c r="U1811" s="1"/>
      <c r="V1811" s="1"/>
      <c r="W1811" s="1"/>
      <c r="X1811" s="1"/>
    </row>
    <row x14ac:dyDescent="0.25" r="1812" customHeight="1" ht="18.75">
      <c r="A1812" s="1"/>
      <c r="B1812" s="1"/>
      <c r="C1812" s="3" t="s">
        <v>100</v>
      </c>
      <c r="D1812" s="3" t="s">
        <v>1840</v>
      </c>
      <c r="E1812" s="1"/>
      <c r="F1812" s="1"/>
      <c r="G1812" s="1"/>
      <c r="H1812" s="1"/>
      <c r="I1812" s="2"/>
      <c r="J1812" s="1"/>
      <c r="K1812" s="1"/>
      <c r="L1812" s="1"/>
      <c r="M1812" s="1"/>
      <c r="N1812" s="1"/>
      <c r="O1812" s="1"/>
      <c r="P1812" s="1"/>
      <c r="Q1812" s="1"/>
      <c r="R1812" s="1"/>
      <c r="S1812" s="1"/>
      <c r="T1812" s="1"/>
      <c r="U1812" s="1"/>
      <c r="V1812" s="1"/>
      <c r="W1812" s="1"/>
      <c r="X1812" s="1"/>
    </row>
    <row x14ac:dyDescent="0.25" r="1813" customHeight="1" ht="18.75">
      <c r="A1813" s="1"/>
      <c r="B1813" s="1"/>
      <c r="C1813" s="3" t="s">
        <v>100</v>
      </c>
      <c r="D1813" s="3" t="s">
        <v>1841</v>
      </c>
      <c r="E1813" s="1"/>
      <c r="F1813" s="1"/>
      <c r="G1813" s="1"/>
      <c r="H1813" s="1"/>
      <c r="I1813" s="2"/>
      <c r="J1813" s="1"/>
      <c r="K1813" s="1"/>
      <c r="L1813" s="1"/>
      <c r="M1813" s="1"/>
      <c r="N1813" s="1"/>
      <c r="O1813" s="1"/>
      <c r="P1813" s="1"/>
      <c r="Q1813" s="1"/>
      <c r="R1813" s="1"/>
      <c r="S1813" s="1"/>
      <c r="T1813" s="1"/>
      <c r="U1813" s="1"/>
      <c r="V1813" s="1"/>
      <c r="W1813" s="1"/>
      <c r="X1813" s="1"/>
    </row>
    <row x14ac:dyDescent="0.25" r="1814" customHeight="1" ht="18.75">
      <c r="A1814" s="1"/>
      <c r="B1814" s="1"/>
      <c r="C1814" s="3" t="s">
        <v>100</v>
      </c>
      <c r="D1814" s="3" t="s">
        <v>1842</v>
      </c>
      <c r="E1814" s="1"/>
      <c r="F1814" s="1"/>
      <c r="G1814" s="1"/>
      <c r="H1814" s="1"/>
      <c r="I1814" s="2"/>
      <c r="J1814" s="1"/>
      <c r="K1814" s="1"/>
      <c r="L1814" s="1"/>
      <c r="M1814" s="1"/>
      <c r="N1814" s="1"/>
      <c r="O1814" s="1"/>
      <c r="P1814" s="1"/>
      <c r="Q1814" s="1"/>
      <c r="R1814" s="1"/>
      <c r="S1814" s="1"/>
      <c r="T1814" s="1"/>
      <c r="U1814" s="1"/>
      <c r="V1814" s="1"/>
      <c r="W1814" s="1"/>
      <c r="X1814" s="1"/>
    </row>
    <row x14ac:dyDescent="0.25" r="1815" customHeight="1" ht="18.75">
      <c r="A1815" s="1"/>
      <c r="B1815" s="1"/>
      <c r="C1815" s="3" t="s">
        <v>100</v>
      </c>
      <c r="D1815" s="3" t="s">
        <v>1843</v>
      </c>
      <c r="E1815" s="1"/>
      <c r="F1815" s="1"/>
      <c r="G1815" s="1"/>
      <c r="H1815" s="1"/>
      <c r="I1815" s="2"/>
      <c r="J1815" s="1"/>
      <c r="K1815" s="1"/>
      <c r="L1815" s="1"/>
      <c r="M1815" s="1"/>
      <c r="N1815" s="1"/>
      <c r="O1815" s="1"/>
      <c r="P1815" s="1"/>
      <c r="Q1815" s="1"/>
      <c r="R1815" s="1"/>
      <c r="S1815" s="1"/>
      <c r="T1815" s="1"/>
      <c r="U1815" s="1"/>
      <c r="V1815" s="1"/>
      <c r="W1815" s="1"/>
      <c r="X1815" s="1"/>
    </row>
    <row x14ac:dyDescent="0.25" r="1816" customHeight="1" ht="18.75">
      <c r="A1816" s="1"/>
      <c r="B1816" s="1"/>
      <c r="C1816" s="3" t="s">
        <v>100</v>
      </c>
      <c r="D1816" s="3" t="s">
        <v>1844</v>
      </c>
      <c r="E1816" s="1"/>
      <c r="F1816" s="1"/>
      <c r="G1816" s="1"/>
      <c r="H1816" s="1"/>
      <c r="I1816" s="2"/>
      <c r="J1816" s="1"/>
      <c r="K1816" s="1"/>
      <c r="L1816" s="1"/>
      <c r="M1816" s="1"/>
      <c r="N1816" s="1"/>
      <c r="O1816" s="1"/>
      <c r="P1816" s="1"/>
      <c r="Q1816" s="1"/>
      <c r="R1816" s="1"/>
      <c r="S1816" s="1"/>
      <c r="T1816" s="1"/>
      <c r="U1816" s="1"/>
      <c r="V1816" s="1"/>
      <c r="W1816" s="1"/>
      <c r="X1816" s="1"/>
    </row>
    <row x14ac:dyDescent="0.25" r="1817" customHeight="1" ht="18.75">
      <c r="A1817" s="1"/>
      <c r="B1817" s="1"/>
      <c r="C1817" s="3" t="s">
        <v>100</v>
      </c>
      <c r="D1817" s="3" t="s">
        <v>1845</v>
      </c>
      <c r="E1817" s="1"/>
      <c r="F1817" s="1"/>
      <c r="G1817" s="1"/>
      <c r="H1817" s="1"/>
      <c r="I1817" s="2"/>
      <c r="J1817" s="1"/>
      <c r="K1817" s="1"/>
      <c r="L1817" s="1"/>
      <c r="M1817" s="1"/>
      <c r="N1817" s="1"/>
      <c r="O1817" s="1"/>
      <c r="P1817" s="1"/>
      <c r="Q1817" s="1"/>
      <c r="R1817" s="1"/>
      <c r="S1817" s="1"/>
      <c r="T1817" s="1"/>
      <c r="U1817" s="1"/>
      <c r="V1817" s="1"/>
      <c r="W1817" s="1"/>
      <c r="X1817" s="1"/>
    </row>
    <row x14ac:dyDescent="0.25" r="1818" customHeight="1" ht="18.75">
      <c r="A1818" s="1"/>
      <c r="B1818" s="1"/>
      <c r="C1818" s="3" t="s">
        <v>100</v>
      </c>
      <c r="D1818" s="3" t="s">
        <v>1846</v>
      </c>
      <c r="E1818" s="1"/>
      <c r="F1818" s="1"/>
      <c r="G1818" s="1"/>
      <c r="H1818" s="1"/>
      <c r="I1818" s="2"/>
      <c r="J1818" s="1"/>
      <c r="K1818" s="1"/>
      <c r="L1818" s="1"/>
      <c r="M1818" s="1"/>
      <c r="N1818" s="1"/>
      <c r="O1818" s="1"/>
      <c r="P1818" s="1"/>
      <c r="Q1818" s="1"/>
      <c r="R1818" s="1"/>
      <c r="S1818" s="1"/>
      <c r="T1818" s="1"/>
      <c r="U1818" s="1"/>
      <c r="V1818" s="1"/>
      <c r="W1818" s="1"/>
      <c r="X1818" s="1"/>
    </row>
    <row x14ac:dyDescent="0.25" r="1819" customHeight="1" ht="18.75">
      <c r="A1819" s="1"/>
      <c r="B1819" s="1"/>
      <c r="C1819" s="3" t="s">
        <v>100</v>
      </c>
      <c r="D1819" s="3" t="s">
        <v>1847</v>
      </c>
      <c r="E1819" s="1"/>
      <c r="F1819" s="1"/>
      <c r="G1819" s="1"/>
      <c r="H1819" s="1"/>
      <c r="I1819" s="2"/>
      <c r="J1819" s="1"/>
      <c r="K1819" s="1"/>
      <c r="L1819" s="1"/>
      <c r="M1819" s="1"/>
      <c r="N1819" s="1"/>
      <c r="O1819" s="1"/>
      <c r="P1819" s="1"/>
      <c r="Q1819" s="1"/>
      <c r="R1819" s="1"/>
      <c r="S1819" s="1"/>
      <c r="T1819" s="1"/>
      <c r="U1819" s="1"/>
      <c r="V1819" s="1"/>
      <c r="W1819" s="1"/>
      <c r="X1819" s="1"/>
    </row>
    <row x14ac:dyDescent="0.25" r="1820" customHeight="1" ht="18.75">
      <c r="A1820" s="1"/>
      <c r="B1820" s="1"/>
      <c r="C1820" s="3" t="s">
        <v>100</v>
      </c>
      <c r="D1820" s="3" t="s">
        <v>1848</v>
      </c>
      <c r="E1820" s="1"/>
      <c r="F1820" s="1"/>
      <c r="G1820" s="1"/>
      <c r="H1820" s="1"/>
      <c r="I1820" s="2"/>
      <c r="J1820" s="1"/>
      <c r="K1820" s="1"/>
      <c r="L1820" s="1"/>
      <c r="M1820" s="1"/>
      <c r="N1820" s="1"/>
      <c r="O1820" s="1"/>
      <c r="P1820" s="1"/>
      <c r="Q1820" s="1"/>
      <c r="R1820" s="1"/>
      <c r="S1820" s="1"/>
      <c r="T1820" s="1"/>
      <c r="U1820" s="1"/>
      <c r="V1820" s="1"/>
      <c r="W1820" s="1"/>
      <c r="X1820" s="1"/>
    </row>
    <row x14ac:dyDescent="0.25" r="1821" customHeight="1" ht="18.75">
      <c r="A1821" s="1"/>
      <c r="B1821" s="1"/>
      <c r="C1821" s="3" t="s">
        <v>100</v>
      </c>
      <c r="D1821" s="3" t="s">
        <v>1849</v>
      </c>
      <c r="E1821" s="1"/>
      <c r="F1821" s="1"/>
      <c r="G1821" s="1"/>
      <c r="H1821" s="1"/>
      <c r="I1821" s="2"/>
      <c r="J1821" s="1"/>
      <c r="K1821" s="1"/>
      <c r="L1821" s="1"/>
      <c r="M1821" s="1"/>
      <c r="N1821" s="1"/>
      <c r="O1821" s="1"/>
      <c r="P1821" s="1"/>
      <c r="Q1821" s="1"/>
      <c r="R1821" s="1"/>
      <c r="S1821" s="1"/>
      <c r="T1821" s="1"/>
      <c r="U1821" s="1"/>
      <c r="V1821" s="1"/>
      <c r="W1821" s="1"/>
      <c r="X1821" s="1"/>
    </row>
    <row x14ac:dyDescent="0.25" r="1822" customHeight="1" ht="18.75">
      <c r="A1822" s="1"/>
      <c r="B1822" s="1"/>
      <c r="C1822" s="3" t="s">
        <v>100</v>
      </c>
      <c r="D1822" s="3" t="s">
        <v>1850</v>
      </c>
      <c r="E1822" s="1"/>
      <c r="F1822" s="1"/>
      <c r="G1822" s="1"/>
      <c r="H1822" s="1"/>
      <c r="I1822" s="2"/>
      <c r="J1822" s="1"/>
      <c r="K1822" s="1"/>
      <c r="L1822" s="1"/>
      <c r="M1822" s="1"/>
      <c r="N1822" s="1"/>
      <c r="O1822" s="1"/>
      <c r="P1822" s="1"/>
      <c r="Q1822" s="1"/>
      <c r="R1822" s="1"/>
      <c r="S1822" s="1"/>
      <c r="T1822" s="1"/>
      <c r="U1822" s="1"/>
      <c r="V1822" s="1"/>
      <c r="W1822" s="1"/>
      <c r="X1822" s="1"/>
    </row>
    <row x14ac:dyDescent="0.25" r="1823" customHeight="1" ht="18.75">
      <c r="A1823" s="1"/>
      <c r="B1823" s="1"/>
      <c r="C1823" s="3" t="s">
        <v>100</v>
      </c>
      <c r="D1823" s="3" t="s">
        <v>1851</v>
      </c>
      <c r="E1823" s="1"/>
      <c r="F1823" s="1"/>
      <c r="G1823" s="1"/>
      <c r="H1823" s="1"/>
      <c r="I1823" s="2"/>
      <c r="J1823" s="1"/>
      <c r="K1823" s="1"/>
      <c r="L1823" s="1"/>
      <c r="M1823" s="1"/>
      <c r="N1823" s="1"/>
      <c r="O1823" s="1"/>
      <c r="P1823" s="1"/>
      <c r="Q1823" s="1"/>
      <c r="R1823" s="1"/>
      <c r="S1823" s="1"/>
      <c r="T1823" s="1"/>
      <c r="U1823" s="1"/>
      <c r="V1823" s="1"/>
      <c r="W1823" s="1"/>
      <c r="X1823" s="1"/>
    </row>
    <row x14ac:dyDescent="0.25" r="1824" customHeight="1" ht="18.75">
      <c r="A1824" s="1"/>
      <c r="B1824" s="1"/>
      <c r="C1824" s="3" t="s">
        <v>100</v>
      </c>
      <c r="D1824" s="3" t="s">
        <v>1852</v>
      </c>
      <c r="E1824" s="1"/>
      <c r="F1824" s="1"/>
      <c r="G1824" s="1"/>
      <c r="H1824" s="1"/>
      <c r="I1824" s="2"/>
      <c r="J1824" s="1"/>
      <c r="K1824" s="1"/>
      <c r="L1824" s="1"/>
      <c r="M1824" s="1"/>
      <c r="N1824" s="1"/>
      <c r="O1824" s="1"/>
      <c r="P1824" s="1"/>
      <c r="Q1824" s="1"/>
      <c r="R1824" s="1"/>
      <c r="S1824" s="1"/>
      <c r="T1824" s="1"/>
      <c r="U1824" s="1"/>
      <c r="V1824" s="1"/>
      <c r="W1824" s="1"/>
      <c r="X1824" s="1"/>
    </row>
    <row x14ac:dyDescent="0.25" r="1825" customHeight="1" ht="18.75">
      <c r="A1825" s="1"/>
      <c r="B1825" s="1"/>
      <c r="C1825" s="3" t="s">
        <v>100</v>
      </c>
      <c r="D1825" s="3" t="s">
        <v>1853</v>
      </c>
      <c r="E1825" s="1"/>
      <c r="F1825" s="1"/>
      <c r="G1825" s="1"/>
      <c r="H1825" s="1"/>
      <c r="I1825" s="2"/>
      <c r="J1825" s="1"/>
      <c r="K1825" s="1"/>
      <c r="L1825" s="1"/>
      <c r="M1825" s="1"/>
      <c r="N1825" s="1"/>
      <c r="O1825" s="1"/>
      <c r="P1825" s="1"/>
      <c r="Q1825" s="1"/>
      <c r="R1825" s="1"/>
      <c r="S1825" s="1"/>
      <c r="T1825" s="1"/>
      <c r="U1825" s="1"/>
      <c r="V1825" s="1"/>
      <c r="W1825" s="1"/>
      <c r="X1825" s="1"/>
    </row>
    <row x14ac:dyDescent="0.25" r="1826" customHeight="1" ht="18.75">
      <c r="A1826" s="1"/>
      <c r="B1826" s="1"/>
      <c r="C1826" s="3" t="s">
        <v>1854</v>
      </c>
      <c r="D1826" s="3" t="s">
        <v>1855</v>
      </c>
      <c r="E1826" s="1"/>
      <c r="F1826" s="1"/>
      <c r="G1826" s="1"/>
      <c r="H1826" s="1"/>
      <c r="I1826" s="2"/>
      <c r="J1826" s="1"/>
      <c r="K1826" s="1"/>
      <c r="L1826" s="1"/>
      <c r="M1826" s="1"/>
      <c r="N1826" s="1"/>
      <c r="O1826" s="1"/>
      <c r="P1826" s="1"/>
      <c r="Q1826" s="1"/>
      <c r="R1826" s="1"/>
      <c r="S1826" s="1"/>
      <c r="T1826" s="1"/>
      <c r="U1826" s="1"/>
      <c r="V1826" s="1"/>
      <c r="W1826" s="1"/>
      <c r="X1826" s="1"/>
    </row>
    <row x14ac:dyDescent="0.25" r="1827" customHeight="1" ht="18.75">
      <c r="A1827" s="1"/>
      <c r="B1827" s="1"/>
      <c r="C1827" s="3" t="s">
        <v>121</v>
      </c>
      <c r="D1827" s="3" t="s">
        <v>1856</v>
      </c>
      <c r="E1827" s="1"/>
      <c r="F1827" s="1"/>
      <c r="G1827" s="1"/>
      <c r="H1827" s="1"/>
      <c r="I1827" s="2"/>
      <c r="J1827" s="1"/>
      <c r="K1827" s="1"/>
      <c r="L1827" s="1"/>
      <c r="M1827" s="1"/>
      <c r="N1827" s="1"/>
      <c r="O1827" s="1"/>
      <c r="P1827" s="1"/>
      <c r="Q1827" s="1"/>
      <c r="R1827" s="1"/>
      <c r="S1827" s="1"/>
      <c r="T1827" s="1"/>
      <c r="U1827" s="1"/>
      <c r="V1827" s="1"/>
      <c r="W1827" s="1"/>
      <c r="X1827" s="1"/>
    </row>
    <row x14ac:dyDescent="0.25" r="1828" customHeight="1" ht="18.75">
      <c r="A1828" s="1"/>
      <c r="B1828" s="1"/>
      <c r="C1828" s="3" t="s">
        <v>121</v>
      </c>
      <c r="D1828" s="3" t="s">
        <v>1857</v>
      </c>
      <c r="E1828" s="1"/>
      <c r="F1828" s="1"/>
      <c r="G1828" s="1"/>
      <c r="H1828" s="1"/>
      <c r="I1828" s="2"/>
      <c r="J1828" s="1"/>
      <c r="K1828" s="1"/>
      <c r="L1828" s="1"/>
      <c r="M1828" s="1"/>
      <c r="N1828" s="1"/>
      <c r="O1828" s="1"/>
      <c r="P1828" s="1"/>
      <c r="Q1828" s="1"/>
      <c r="R1828" s="1"/>
      <c r="S1828" s="1"/>
      <c r="T1828" s="1"/>
      <c r="U1828" s="1"/>
      <c r="V1828" s="1"/>
      <c r="W1828" s="1"/>
      <c r="X1828" s="1"/>
    </row>
    <row x14ac:dyDescent="0.25" r="1829" customHeight="1" ht="18.75">
      <c r="A1829" s="1"/>
      <c r="B1829" s="1"/>
      <c r="C1829" s="3" t="s">
        <v>121</v>
      </c>
      <c r="D1829" s="3" t="s">
        <v>1858</v>
      </c>
      <c r="E1829" s="1"/>
      <c r="F1829" s="1"/>
      <c r="G1829" s="1"/>
      <c r="H1829" s="1"/>
      <c r="I1829" s="2"/>
      <c r="J1829" s="1"/>
      <c r="K1829" s="1"/>
      <c r="L1829" s="1"/>
      <c r="M1829" s="1"/>
      <c r="N1829" s="1"/>
      <c r="O1829" s="1"/>
      <c r="P1829" s="1"/>
      <c r="Q1829" s="1"/>
      <c r="R1829" s="1"/>
      <c r="S1829" s="1"/>
      <c r="T1829" s="1"/>
      <c r="U1829" s="1"/>
      <c r="V1829" s="1"/>
      <c r="W1829" s="1"/>
      <c r="X1829" s="1"/>
    </row>
    <row x14ac:dyDescent="0.25" r="1830" customHeight="1" ht="18.75">
      <c r="A1830" s="1"/>
      <c r="B1830" s="1"/>
      <c r="C1830" s="3" t="s">
        <v>121</v>
      </c>
      <c r="D1830" s="3" t="s">
        <v>1859</v>
      </c>
      <c r="E1830" s="1"/>
      <c r="F1830" s="1"/>
      <c r="G1830" s="1"/>
      <c r="H1830" s="1"/>
      <c r="I1830" s="2"/>
      <c r="J1830" s="1"/>
      <c r="K1830" s="1"/>
      <c r="L1830" s="1"/>
      <c r="M1830" s="1"/>
      <c r="N1830" s="1"/>
      <c r="O1830" s="1"/>
      <c r="P1830" s="1"/>
      <c r="Q1830" s="1"/>
      <c r="R1830" s="1"/>
      <c r="S1830" s="1"/>
      <c r="T1830" s="1"/>
      <c r="U1830" s="1"/>
      <c r="V1830" s="1"/>
      <c r="W1830" s="1"/>
      <c r="X1830" s="1"/>
    </row>
    <row x14ac:dyDescent="0.25" r="1831" customHeight="1" ht="18.75">
      <c r="A1831" s="1"/>
      <c r="B1831" s="1"/>
      <c r="C1831" s="3" t="s">
        <v>121</v>
      </c>
      <c r="D1831" s="3" t="s">
        <v>1860</v>
      </c>
      <c r="E1831" s="1"/>
      <c r="F1831" s="1"/>
      <c r="G1831" s="1"/>
      <c r="H1831" s="1"/>
      <c r="I1831" s="2"/>
      <c r="J1831" s="1"/>
      <c r="K1831" s="1"/>
      <c r="L1831" s="1"/>
      <c r="M1831" s="1"/>
      <c r="N1831" s="1"/>
      <c r="O1831" s="1"/>
      <c r="P1831" s="1"/>
      <c r="Q1831" s="1"/>
      <c r="R1831" s="1"/>
      <c r="S1831" s="1"/>
      <c r="T1831" s="1"/>
      <c r="U1831" s="1"/>
      <c r="V1831" s="1"/>
      <c r="W1831" s="1"/>
      <c r="X1831" s="1"/>
    </row>
    <row x14ac:dyDescent="0.25" r="1832" customHeight="1" ht="18.75">
      <c r="A1832" s="1"/>
      <c r="B1832" s="1"/>
      <c r="C1832" s="3" t="s">
        <v>1861</v>
      </c>
      <c r="D1832" s="3" t="s">
        <v>1862</v>
      </c>
      <c r="E1832" s="1"/>
      <c r="F1832" s="1"/>
      <c r="G1832" s="1"/>
      <c r="H1832" s="1"/>
      <c r="I1832" s="2"/>
      <c r="J1832" s="1"/>
      <c r="K1832" s="1"/>
      <c r="L1832" s="1"/>
      <c r="M1832" s="1"/>
      <c r="N1832" s="1"/>
      <c r="O1832" s="1"/>
      <c r="P1832" s="1"/>
      <c r="Q1832" s="1"/>
      <c r="R1832" s="1"/>
      <c r="S1832" s="1"/>
      <c r="T1832" s="1"/>
      <c r="U1832" s="1"/>
      <c r="V1832" s="1"/>
      <c r="W1832" s="1"/>
      <c r="X1832" s="1"/>
    </row>
    <row x14ac:dyDescent="0.25" r="1833" customHeight="1" ht="18.75">
      <c r="A1833" s="1"/>
      <c r="B1833" s="1"/>
      <c r="C1833" s="3" t="s">
        <v>1861</v>
      </c>
      <c r="D1833" s="3" t="s">
        <v>1863</v>
      </c>
      <c r="E1833" s="1"/>
      <c r="F1833" s="1"/>
      <c r="G1833" s="1"/>
      <c r="H1833" s="1"/>
      <c r="I1833" s="2"/>
      <c r="J1833" s="1"/>
      <c r="K1833" s="1"/>
      <c r="L1833" s="1"/>
      <c r="M1833" s="1"/>
      <c r="N1833" s="1"/>
      <c r="O1833" s="1"/>
      <c r="P1833" s="1"/>
      <c r="Q1833" s="1"/>
      <c r="R1833" s="1"/>
      <c r="S1833" s="1"/>
      <c r="T1833" s="1"/>
      <c r="U1833" s="1"/>
      <c r="V1833" s="1"/>
      <c r="W1833" s="1"/>
      <c r="X1833" s="1"/>
    </row>
    <row x14ac:dyDescent="0.25" r="1834" customHeight="1" ht="18.75">
      <c r="A1834" s="1"/>
      <c r="B1834" s="1"/>
      <c r="C1834" s="3" t="s">
        <v>1861</v>
      </c>
      <c r="D1834" s="3" t="s">
        <v>1864</v>
      </c>
      <c r="E1834" s="1"/>
      <c r="F1834" s="1"/>
      <c r="G1834" s="1"/>
      <c r="H1834" s="1"/>
      <c r="I1834" s="2"/>
      <c r="J1834" s="1"/>
      <c r="K1834" s="1"/>
      <c r="L1834" s="1"/>
      <c r="M1834" s="1"/>
      <c r="N1834" s="1"/>
      <c r="O1834" s="1"/>
      <c r="P1834" s="1"/>
      <c r="Q1834" s="1"/>
      <c r="R1834" s="1"/>
      <c r="S1834" s="1"/>
      <c r="T1834" s="1"/>
      <c r="U1834" s="1"/>
      <c r="V1834" s="1"/>
      <c r="W1834" s="1"/>
      <c r="X1834" s="1"/>
    </row>
    <row x14ac:dyDescent="0.25" r="1835" customHeight="1" ht="18.75">
      <c r="A1835" s="1"/>
      <c r="B1835" s="1"/>
      <c r="C1835" s="3" t="s">
        <v>1861</v>
      </c>
      <c r="D1835" s="3" t="s">
        <v>1865</v>
      </c>
      <c r="E1835" s="1"/>
      <c r="F1835" s="1"/>
      <c r="G1835" s="1"/>
      <c r="H1835" s="1"/>
      <c r="I1835" s="2"/>
      <c r="J1835" s="1"/>
      <c r="K1835" s="1"/>
      <c r="L1835" s="1"/>
      <c r="M1835" s="1"/>
      <c r="N1835" s="1"/>
      <c r="O1835" s="1"/>
      <c r="P1835" s="1"/>
      <c r="Q1835" s="1"/>
      <c r="R1835" s="1"/>
      <c r="S1835" s="1"/>
      <c r="T1835" s="1"/>
      <c r="U1835" s="1"/>
      <c r="V1835" s="1"/>
      <c r="W1835" s="1"/>
      <c r="X1835" s="1"/>
    </row>
    <row x14ac:dyDescent="0.25" r="1836" customHeight="1" ht="18.75">
      <c r="A1836" s="1"/>
      <c r="B1836" s="1"/>
      <c r="C1836" s="3" t="s">
        <v>1861</v>
      </c>
      <c r="D1836" s="3" t="s">
        <v>1866</v>
      </c>
      <c r="E1836" s="1"/>
      <c r="F1836" s="1"/>
      <c r="G1836" s="1"/>
      <c r="H1836" s="1"/>
      <c r="I1836" s="2"/>
      <c r="J1836" s="1"/>
      <c r="K1836" s="1"/>
      <c r="L1836" s="1"/>
      <c r="M1836" s="1"/>
      <c r="N1836" s="1"/>
      <c r="O1836" s="1"/>
      <c r="P1836" s="1"/>
      <c r="Q1836" s="1"/>
      <c r="R1836" s="1"/>
      <c r="S1836" s="1"/>
      <c r="T1836" s="1"/>
      <c r="U1836" s="1"/>
      <c r="V1836" s="1"/>
      <c r="W1836" s="1"/>
      <c r="X1836" s="1"/>
    </row>
    <row x14ac:dyDescent="0.25" r="1837" customHeight="1" ht="18.75">
      <c r="A1837" s="1"/>
      <c r="B1837" s="1"/>
      <c r="C1837" s="3" t="s">
        <v>1861</v>
      </c>
      <c r="D1837" s="3" t="s">
        <v>1867</v>
      </c>
      <c r="E1837" s="1"/>
      <c r="F1837" s="1"/>
      <c r="G1837" s="1"/>
      <c r="H1837" s="1"/>
      <c r="I1837" s="2"/>
      <c r="J1837" s="1"/>
      <c r="K1837" s="1"/>
      <c r="L1837" s="1"/>
      <c r="M1837" s="1"/>
      <c r="N1837" s="1"/>
      <c r="O1837" s="1"/>
      <c r="P1837" s="1"/>
      <c r="Q1837" s="1"/>
      <c r="R1837" s="1"/>
      <c r="S1837" s="1"/>
      <c r="T1837" s="1"/>
      <c r="U1837" s="1"/>
      <c r="V1837" s="1"/>
      <c r="W1837" s="1"/>
      <c r="X1837" s="1"/>
    </row>
    <row x14ac:dyDescent="0.25" r="1838" customHeight="1" ht="18.75">
      <c r="A1838" s="1"/>
      <c r="B1838" s="1"/>
      <c r="C1838" s="3" t="s">
        <v>1861</v>
      </c>
      <c r="D1838" s="3" t="s">
        <v>1868</v>
      </c>
      <c r="E1838" s="1"/>
      <c r="F1838" s="1"/>
      <c r="G1838" s="1"/>
      <c r="H1838" s="1"/>
      <c r="I1838" s="2"/>
      <c r="J1838" s="1"/>
      <c r="K1838" s="1"/>
      <c r="L1838" s="1"/>
      <c r="M1838" s="1"/>
      <c r="N1838" s="1"/>
      <c r="O1838" s="1"/>
      <c r="P1838" s="1"/>
      <c r="Q1838" s="1"/>
      <c r="R1838" s="1"/>
      <c r="S1838" s="1"/>
      <c r="T1838" s="1"/>
      <c r="U1838" s="1"/>
      <c r="V1838" s="1"/>
      <c r="W1838" s="1"/>
      <c r="X1838" s="1"/>
    </row>
    <row x14ac:dyDescent="0.25" r="1839" customHeight="1" ht="18.75">
      <c r="A1839" s="1"/>
      <c r="B1839" s="1"/>
      <c r="C1839" s="3" t="s">
        <v>1861</v>
      </c>
      <c r="D1839" s="3" t="s">
        <v>1869</v>
      </c>
      <c r="E1839" s="1"/>
      <c r="F1839" s="1"/>
      <c r="G1839" s="1"/>
      <c r="H1839" s="1"/>
      <c r="I1839" s="2"/>
      <c r="J1839" s="1"/>
      <c r="K1839" s="1"/>
      <c r="L1839" s="1"/>
      <c r="M1839" s="1"/>
      <c r="N1839" s="1"/>
      <c r="O1839" s="1"/>
      <c r="P1839" s="1"/>
      <c r="Q1839" s="1"/>
      <c r="R1839" s="1"/>
      <c r="S1839" s="1"/>
      <c r="T1839" s="1"/>
      <c r="U1839" s="1"/>
      <c r="V1839" s="1"/>
      <c r="W1839" s="1"/>
      <c r="X1839" s="1"/>
    </row>
    <row x14ac:dyDescent="0.25" r="1840" customHeight="1" ht="18.75">
      <c r="A1840" s="1"/>
      <c r="B1840" s="1"/>
      <c r="C1840" s="3" t="s">
        <v>1861</v>
      </c>
      <c r="D1840" s="3" t="s">
        <v>1870</v>
      </c>
      <c r="E1840" s="1"/>
      <c r="F1840" s="1"/>
      <c r="G1840" s="1"/>
      <c r="H1840" s="1"/>
      <c r="I1840" s="2"/>
      <c r="J1840" s="1"/>
      <c r="K1840" s="1"/>
      <c r="L1840" s="1"/>
      <c r="M1840" s="1"/>
      <c r="N1840" s="1"/>
      <c r="O1840" s="1"/>
      <c r="P1840" s="1"/>
      <c r="Q1840" s="1"/>
      <c r="R1840" s="1"/>
      <c r="S1840" s="1"/>
      <c r="T1840" s="1"/>
      <c r="U1840" s="1"/>
      <c r="V1840" s="1"/>
      <c r="W1840" s="1"/>
      <c r="X1840" s="1"/>
    </row>
    <row x14ac:dyDescent="0.25" r="1841" customHeight="1" ht="18.75">
      <c r="A1841" s="1"/>
      <c r="B1841" s="1"/>
      <c r="C1841" s="3" t="s">
        <v>1861</v>
      </c>
      <c r="D1841" s="3" t="s">
        <v>1871</v>
      </c>
      <c r="E1841" s="1"/>
      <c r="F1841" s="1"/>
      <c r="G1841" s="1"/>
      <c r="H1841" s="1"/>
      <c r="I1841" s="2"/>
      <c r="J1841" s="1"/>
      <c r="K1841" s="1"/>
      <c r="L1841" s="1"/>
      <c r="M1841" s="1"/>
      <c r="N1841" s="1"/>
      <c r="O1841" s="1"/>
      <c r="P1841" s="1"/>
      <c r="Q1841" s="1"/>
      <c r="R1841" s="1"/>
      <c r="S1841" s="1"/>
      <c r="T1841" s="1"/>
      <c r="U1841" s="1"/>
      <c r="V1841" s="1"/>
      <c r="W1841" s="1"/>
      <c r="X1841" s="1"/>
    </row>
    <row x14ac:dyDescent="0.25" r="1842" customHeight="1" ht="18.75">
      <c r="A1842" s="1"/>
      <c r="B1842" s="1"/>
      <c r="C1842" s="3" t="s">
        <v>1861</v>
      </c>
      <c r="D1842" s="3" t="s">
        <v>1872</v>
      </c>
      <c r="E1842" s="1"/>
      <c r="F1842" s="1"/>
      <c r="G1842" s="1"/>
      <c r="H1842" s="1"/>
      <c r="I1842" s="2"/>
      <c r="J1842" s="1"/>
      <c r="K1842" s="1"/>
      <c r="L1842" s="1"/>
      <c r="M1842" s="1"/>
      <c r="N1842" s="1"/>
      <c r="O1842" s="1"/>
      <c r="P1842" s="1"/>
      <c r="Q1842" s="1"/>
      <c r="R1842" s="1"/>
      <c r="S1842" s="1"/>
      <c r="T1842" s="1"/>
      <c r="U1842" s="1"/>
      <c r="V1842" s="1"/>
      <c r="W1842" s="1"/>
      <c r="X1842" s="1"/>
    </row>
    <row x14ac:dyDescent="0.25" r="1843" customHeight="1" ht="18.75">
      <c r="A1843" s="1"/>
      <c r="B1843" s="1"/>
      <c r="C1843" s="3" t="s">
        <v>1861</v>
      </c>
      <c r="D1843" s="3" t="s">
        <v>1873</v>
      </c>
      <c r="E1843" s="1"/>
      <c r="F1843" s="1"/>
      <c r="G1843" s="1"/>
      <c r="H1843" s="1"/>
      <c r="I1843" s="2"/>
      <c r="J1843" s="1"/>
      <c r="K1843" s="1"/>
      <c r="L1843" s="1"/>
      <c r="M1843" s="1"/>
      <c r="N1843" s="1"/>
      <c r="O1843" s="1"/>
      <c r="P1843" s="1"/>
      <c r="Q1843" s="1"/>
      <c r="R1843" s="1"/>
      <c r="S1843" s="1"/>
      <c r="T1843" s="1"/>
      <c r="U1843" s="1"/>
      <c r="V1843" s="1"/>
      <c r="W1843" s="1"/>
      <c r="X1843" s="1"/>
    </row>
    <row x14ac:dyDescent="0.25" r="1844" customHeight="1" ht="18.75">
      <c r="A1844" s="1"/>
      <c r="B1844" s="1"/>
      <c r="C1844" s="3" t="s">
        <v>1861</v>
      </c>
      <c r="D1844" s="3" t="s">
        <v>1874</v>
      </c>
      <c r="E1844" s="1"/>
      <c r="F1844" s="1"/>
      <c r="G1844" s="1"/>
      <c r="H1844" s="1"/>
      <c r="I1844" s="2"/>
      <c r="J1844" s="1"/>
      <c r="K1844" s="1"/>
      <c r="L1844" s="1"/>
      <c r="M1844" s="1"/>
      <c r="N1844" s="1"/>
      <c r="O1844" s="1"/>
      <c r="P1844" s="1"/>
      <c r="Q1844" s="1"/>
      <c r="R1844" s="1"/>
      <c r="S1844" s="1"/>
      <c r="T1844" s="1"/>
      <c r="U1844" s="1"/>
      <c r="V1844" s="1"/>
      <c r="W1844" s="1"/>
      <c r="X1844" s="1"/>
    </row>
    <row x14ac:dyDescent="0.25" r="1845" customHeight="1" ht="18.75">
      <c r="A1845" s="1"/>
      <c r="B1845" s="1"/>
      <c r="C1845" s="3" t="s">
        <v>1861</v>
      </c>
      <c r="D1845" s="3" t="s">
        <v>1875</v>
      </c>
      <c r="E1845" s="1"/>
      <c r="F1845" s="1"/>
      <c r="G1845" s="1"/>
      <c r="H1845" s="1"/>
      <c r="I1845" s="2"/>
      <c r="J1845" s="1"/>
      <c r="K1845" s="1"/>
      <c r="L1845" s="1"/>
      <c r="M1845" s="1"/>
      <c r="N1845" s="1"/>
      <c r="O1845" s="1"/>
      <c r="P1845" s="1"/>
      <c r="Q1845" s="1"/>
      <c r="R1845" s="1"/>
      <c r="S1845" s="1"/>
      <c r="T1845" s="1"/>
      <c r="U1845" s="1"/>
      <c r="V1845" s="1"/>
      <c r="W1845" s="1"/>
      <c r="X1845" s="1"/>
    </row>
    <row x14ac:dyDescent="0.25" r="1846" customHeight="1" ht="18.75">
      <c r="A1846" s="1"/>
      <c r="B1846" s="1"/>
      <c r="C1846" s="3" t="s">
        <v>1861</v>
      </c>
      <c r="D1846" s="3" t="s">
        <v>1876</v>
      </c>
      <c r="E1846" s="1"/>
      <c r="F1846" s="1"/>
      <c r="G1846" s="1"/>
      <c r="H1846" s="1"/>
      <c r="I1846" s="2"/>
      <c r="J1846" s="1"/>
      <c r="K1846" s="1"/>
      <c r="L1846" s="1"/>
      <c r="M1846" s="1"/>
      <c r="N1846" s="1"/>
      <c r="O1846" s="1"/>
      <c r="P1846" s="1"/>
      <c r="Q1846" s="1"/>
      <c r="R1846" s="1"/>
      <c r="S1846" s="1"/>
      <c r="T1846" s="1"/>
      <c r="U1846" s="1"/>
      <c r="V1846" s="1"/>
      <c r="W1846" s="1"/>
      <c r="X1846" s="1"/>
    </row>
    <row x14ac:dyDescent="0.25" r="1847" customHeight="1" ht="18.75">
      <c r="A1847" s="1"/>
      <c r="B1847" s="1"/>
      <c r="C1847" s="3" t="s">
        <v>1861</v>
      </c>
      <c r="D1847" s="3" t="s">
        <v>1877</v>
      </c>
      <c r="E1847" s="1"/>
      <c r="F1847" s="1"/>
      <c r="G1847" s="1"/>
      <c r="H1847" s="1"/>
      <c r="I1847" s="2"/>
      <c r="J1847" s="1"/>
      <c r="K1847" s="1"/>
      <c r="L1847" s="1"/>
      <c r="M1847" s="1"/>
      <c r="N1847" s="1"/>
      <c r="O1847" s="1"/>
      <c r="P1847" s="1"/>
      <c r="Q1847" s="1"/>
      <c r="R1847" s="1"/>
      <c r="S1847" s="1"/>
      <c r="T1847" s="1"/>
      <c r="U1847" s="1"/>
      <c r="V1847" s="1"/>
      <c r="W1847" s="1"/>
      <c r="X1847" s="1"/>
    </row>
    <row x14ac:dyDescent="0.25" r="1848" customHeight="1" ht="18.75">
      <c r="A1848" s="1"/>
      <c r="B1848" s="1"/>
      <c r="C1848" s="3" t="s">
        <v>1861</v>
      </c>
      <c r="D1848" s="3" t="s">
        <v>1878</v>
      </c>
      <c r="E1848" s="1"/>
      <c r="F1848" s="1"/>
      <c r="G1848" s="1"/>
      <c r="H1848" s="1"/>
      <c r="I1848" s="2"/>
      <c r="J1848" s="1"/>
      <c r="K1848" s="1"/>
      <c r="L1848" s="1"/>
      <c r="M1848" s="1"/>
      <c r="N1848" s="1"/>
      <c r="O1848" s="1"/>
      <c r="P1848" s="1"/>
      <c r="Q1848" s="1"/>
      <c r="R1848" s="1"/>
      <c r="S1848" s="1"/>
      <c r="T1848" s="1"/>
      <c r="U1848" s="1"/>
      <c r="V1848" s="1"/>
      <c r="W1848" s="1"/>
      <c r="X1848" s="1"/>
    </row>
    <row x14ac:dyDescent="0.25" r="1849" customHeight="1" ht="18.75">
      <c r="A1849" s="1"/>
      <c r="B1849" s="1"/>
      <c r="C1849" s="3" t="s">
        <v>1861</v>
      </c>
      <c r="D1849" s="3" t="s">
        <v>1879</v>
      </c>
      <c r="E1849" s="1"/>
      <c r="F1849" s="1"/>
      <c r="G1849" s="1"/>
      <c r="H1849" s="1"/>
      <c r="I1849" s="2"/>
      <c r="J1849" s="1"/>
      <c r="K1849" s="1"/>
      <c r="L1849" s="1"/>
      <c r="M1849" s="1"/>
      <c r="N1849" s="1"/>
      <c r="O1849" s="1"/>
      <c r="P1849" s="1"/>
      <c r="Q1849" s="1"/>
      <c r="R1849" s="1"/>
      <c r="S1849" s="1"/>
      <c r="T1849" s="1"/>
      <c r="U1849" s="1"/>
      <c r="V1849" s="1"/>
      <c r="W1849" s="1"/>
      <c r="X1849" s="1"/>
    </row>
    <row x14ac:dyDescent="0.25" r="1850" customHeight="1" ht="18.75">
      <c r="A1850" s="1"/>
      <c r="B1850" s="1"/>
      <c r="C1850" s="3" t="s">
        <v>1861</v>
      </c>
      <c r="D1850" s="3" t="s">
        <v>1880</v>
      </c>
      <c r="E1850" s="1"/>
      <c r="F1850" s="1"/>
      <c r="G1850" s="1"/>
      <c r="H1850" s="1"/>
      <c r="I1850" s="2"/>
      <c r="J1850" s="1"/>
      <c r="K1850" s="1"/>
      <c r="L1850" s="1"/>
      <c r="M1850" s="1"/>
      <c r="N1850" s="1"/>
      <c r="O1850" s="1"/>
      <c r="P1850" s="1"/>
      <c r="Q1850" s="1"/>
      <c r="R1850" s="1"/>
      <c r="S1850" s="1"/>
      <c r="T1850" s="1"/>
      <c r="U1850" s="1"/>
      <c r="V1850" s="1"/>
      <c r="W1850" s="1"/>
      <c r="X1850" s="1"/>
    </row>
    <row x14ac:dyDescent="0.25" r="1851" customHeight="1" ht="18.75">
      <c r="A1851" s="1"/>
      <c r="B1851" s="1"/>
      <c r="C1851" s="3" t="s">
        <v>1861</v>
      </c>
      <c r="D1851" s="3" t="s">
        <v>1881</v>
      </c>
      <c r="E1851" s="1"/>
      <c r="F1851" s="1"/>
      <c r="G1851" s="1"/>
      <c r="H1851" s="1"/>
      <c r="I1851" s="2"/>
      <c r="J1851" s="1"/>
      <c r="K1851" s="1"/>
      <c r="L1851" s="1"/>
      <c r="M1851" s="1"/>
      <c r="N1851" s="1"/>
      <c r="O1851" s="1"/>
      <c r="P1851" s="1"/>
      <c r="Q1851" s="1"/>
      <c r="R1851" s="1"/>
      <c r="S1851" s="1"/>
      <c r="T1851" s="1"/>
      <c r="U1851" s="1"/>
      <c r="V1851" s="1"/>
      <c r="W1851" s="1"/>
      <c r="X1851" s="1"/>
    </row>
    <row x14ac:dyDescent="0.25" r="1852" customHeight="1" ht="18.75">
      <c r="A1852" s="1"/>
      <c r="B1852" s="1"/>
      <c r="C1852" s="3" t="s">
        <v>1861</v>
      </c>
      <c r="D1852" s="3" t="s">
        <v>1882</v>
      </c>
      <c r="E1852" s="1"/>
      <c r="F1852" s="1"/>
      <c r="G1852" s="1"/>
      <c r="H1852" s="1"/>
      <c r="I1852" s="2"/>
      <c r="J1852" s="1"/>
      <c r="K1852" s="1"/>
      <c r="L1852" s="1"/>
      <c r="M1852" s="1"/>
      <c r="N1852" s="1"/>
      <c r="O1852" s="1"/>
      <c r="P1852" s="1"/>
      <c r="Q1852" s="1"/>
      <c r="R1852" s="1"/>
      <c r="S1852" s="1"/>
      <c r="T1852" s="1"/>
      <c r="U1852" s="1"/>
      <c r="V1852" s="1"/>
      <c r="W1852" s="1"/>
      <c r="X1852" s="1"/>
    </row>
    <row x14ac:dyDescent="0.25" r="1853" customHeight="1" ht="18.75">
      <c r="A1853" s="1"/>
      <c r="B1853" s="1"/>
      <c r="C1853" s="3" t="s">
        <v>1861</v>
      </c>
      <c r="D1853" s="3" t="s">
        <v>1883</v>
      </c>
      <c r="E1853" s="1"/>
      <c r="F1853" s="1"/>
      <c r="G1853" s="1"/>
      <c r="H1853" s="1"/>
      <c r="I1853" s="2"/>
      <c r="J1853" s="1"/>
      <c r="K1853" s="1"/>
      <c r="L1853" s="1"/>
      <c r="M1853" s="1"/>
      <c r="N1853" s="1"/>
      <c r="O1853" s="1"/>
      <c r="P1853" s="1"/>
      <c r="Q1853" s="1"/>
      <c r="R1853" s="1"/>
      <c r="S1853" s="1"/>
      <c r="T1853" s="1"/>
      <c r="U1853" s="1"/>
      <c r="V1853" s="1"/>
      <c r="W1853" s="1"/>
      <c r="X1853" s="1"/>
    </row>
    <row x14ac:dyDescent="0.25" r="1854" customHeight="1" ht="18.75">
      <c r="A1854" s="1"/>
      <c r="B1854" s="1"/>
      <c r="C1854" s="3" t="s">
        <v>1861</v>
      </c>
      <c r="D1854" s="3" t="s">
        <v>1884</v>
      </c>
      <c r="E1854" s="1"/>
      <c r="F1854" s="1"/>
      <c r="G1854" s="1"/>
      <c r="H1854" s="1"/>
      <c r="I1854" s="2"/>
      <c r="J1854" s="1"/>
      <c r="K1854" s="1"/>
      <c r="L1854" s="1"/>
      <c r="M1854" s="1"/>
      <c r="N1854" s="1"/>
      <c r="O1854" s="1"/>
      <c r="P1854" s="1"/>
      <c r="Q1854" s="1"/>
      <c r="R1854" s="1"/>
      <c r="S1854" s="1"/>
      <c r="T1854" s="1"/>
      <c r="U1854" s="1"/>
      <c r="V1854" s="1"/>
      <c r="W1854" s="1"/>
      <c r="X1854" s="1"/>
    </row>
    <row x14ac:dyDescent="0.25" r="1855" customHeight="1" ht="18.75">
      <c r="A1855" s="1"/>
      <c r="B1855" s="1"/>
      <c r="C1855" s="3" t="s">
        <v>1861</v>
      </c>
      <c r="D1855" s="3" t="s">
        <v>1885</v>
      </c>
      <c r="E1855" s="1"/>
      <c r="F1855" s="1"/>
      <c r="G1855" s="1"/>
      <c r="H1855" s="1"/>
      <c r="I1855" s="2"/>
      <c r="J1855" s="1"/>
      <c r="K1855" s="1"/>
      <c r="L1855" s="1"/>
      <c r="M1855" s="1"/>
      <c r="N1855" s="1"/>
      <c r="O1855" s="1"/>
      <c r="P1855" s="1"/>
      <c r="Q1855" s="1"/>
      <c r="R1855" s="1"/>
      <c r="S1855" s="1"/>
      <c r="T1855" s="1"/>
      <c r="U1855" s="1"/>
      <c r="V1855" s="1"/>
      <c r="W1855" s="1"/>
      <c r="X1855" s="1"/>
    </row>
    <row x14ac:dyDescent="0.25" r="1856" customHeight="1" ht="18.75">
      <c r="A1856" s="1"/>
      <c r="B1856" s="1"/>
      <c r="C1856" s="3" t="s">
        <v>1861</v>
      </c>
      <c r="D1856" s="3" t="s">
        <v>1886</v>
      </c>
      <c r="E1856" s="1"/>
      <c r="F1856" s="1"/>
      <c r="G1856" s="1"/>
      <c r="H1856" s="1"/>
      <c r="I1856" s="2"/>
      <c r="J1856" s="1"/>
      <c r="K1856" s="1"/>
      <c r="L1856" s="1"/>
      <c r="M1856" s="1"/>
      <c r="N1856" s="1"/>
      <c r="O1856" s="1"/>
      <c r="P1856" s="1"/>
      <c r="Q1856" s="1"/>
      <c r="R1856" s="1"/>
      <c r="S1856" s="1"/>
      <c r="T1856" s="1"/>
      <c r="U1856" s="1"/>
      <c r="V1856" s="1"/>
      <c r="W1856" s="1"/>
      <c r="X1856" s="1"/>
    </row>
    <row x14ac:dyDescent="0.25" r="1857" customHeight="1" ht="18.75">
      <c r="A1857" s="1"/>
      <c r="B1857" s="1"/>
      <c r="C1857" s="3" t="s">
        <v>1861</v>
      </c>
      <c r="D1857" s="3" t="s">
        <v>1887</v>
      </c>
      <c r="E1857" s="1"/>
      <c r="F1857" s="1"/>
      <c r="G1857" s="1"/>
      <c r="H1857" s="1"/>
      <c r="I1857" s="2"/>
      <c r="J1857" s="1"/>
      <c r="K1857" s="1"/>
      <c r="L1857" s="1"/>
      <c r="M1857" s="1"/>
      <c r="N1857" s="1"/>
      <c r="O1857" s="1"/>
      <c r="P1857" s="1"/>
      <c r="Q1857" s="1"/>
      <c r="R1857" s="1"/>
      <c r="S1857" s="1"/>
      <c r="T1857" s="1"/>
      <c r="U1857" s="1"/>
      <c r="V1857" s="1"/>
      <c r="W1857" s="1"/>
      <c r="X1857" s="1"/>
    </row>
    <row x14ac:dyDescent="0.25" r="1858" customHeight="1" ht="18.75">
      <c r="A1858" s="1"/>
      <c r="B1858" s="1"/>
      <c r="C1858" s="3" t="s">
        <v>1861</v>
      </c>
      <c r="D1858" s="3" t="s">
        <v>1888</v>
      </c>
      <c r="E1858" s="1"/>
      <c r="F1858" s="1"/>
      <c r="G1858" s="1"/>
      <c r="H1858" s="1"/>
      <c r="I1858" s="2"/>
      <c r="J1858" s="1"/>
      <c r="K1858" s="1"/>
      <c r="L1858" s="1"/>
      <c r="M1858" s="1"/>
      <c r="N1858" s="1"/>
      <c r="O1858" s="1"/>
      <c r="P1858" s="1"/>
      <c r="Q1858" s="1"/>
      <c r="R1858" s="1"/>
      <c r="S1858" s="1"/>
      <c r="T1858" s="1"/>
      <c r="U1858" s="1"/>
      <c r="V1858" s="1"/>
      <c r="W1858" s="1"/>
      <c r="X1858" s="1"/>
    </row>
    <row x14ac:dyDescent="0.25" r="1859" customHeight="1" ht="18.75">
      <c r="A1859" s="1"/>
      <c r="B1859" s="1"/>
      <c r="C1859" s="3" t="s">
        <v>1861</v>
      </c>
      <c r="D1859" s="3" t="s">
        <v>1889</v>
      </c>
      <c r="E1859" s="1"/>
      <c r="F1859" s="1"/>
      <c r="G1859" s="1"/>
      <c r="H1859" s="1"/>
      <c r="I1859" s="2"/>
      <c r="J1859" s="1"/>
      <c r="K1859" s="1"/>
      <c r="L1859" s="1"/>
      <c r="M1859" s="1"/>
      <c r="N1859" s="1"/>
      <c r="O1859" s="1"/>
      <c r="P1859" s="1"/>
      <c r="Q1859" s="1"/>
      <c r="R1859" s="1"/>
      <c r="S1859" s="1"/>
      <c r="T1859" s="1"/>
      <c r="U1859" s="1"/>
      <c r="V1859" s="1"/>
      <c r="W1859" s="1"/>
      <c r="X1859" s="1"/>
    </row>
    <row x14ac:dyDescent="0.25" r="1860" customHeight="1" ht="18.75">
      <c r="A1860" s="1"/>
      <c r="B1860" s="1"/>
      <c r="C1860" s="3" t="s">
        <v>1861</v>
      </c>
      <c r="D1860" s="3" t="s">
        <v>1890</v>
      </c>
      <c r="E1860" s="1"/>
      <c r="F1860" s="1"/>
      <c r="G1860" s="1"/>
      <c r="H1860" s="1"/>
      <c r="I1860" s="2"/>
      <c r="J1860" s="1"/>
      <c r="K1860" s="1"/>
      <c r="L1860" s="1"/>
      <c r="M1860" s="1"/>
      <c r="N1860" s="1"/>
      <c r="O1860" s="1"/>
      <c r="P1860" s="1"/>
      <c r="Q1860" s="1"/>
      <c r="R1860" s="1"/>
      <c r="S1860" s="1"/>
      <c r="T1860" s="1"/>
      <c r="U1860" s="1"/>
      <c r="V1860" s="1"/>
      <c r="W1860" s="1"/>
      <c r="X1860" s="1"/>
    </row>
    <row x14ac:dyDescent="0.25" r="1861" customHeight="1" ht="18.75">
      <c r="A1861" s="1"/>
      <c r="B1861" s="1"/>
      <c r="C1861" s="3" t="s">
        <v>1861</v>
      </c>
      <c r="D1861" s="3" t="s">
        <v>1891</v>
      </c>
      <c r="E1861" s="1"/>
      <c r="F1861" s="1"/>
      <c r="G1861" s="1"/>
      <c r="H1861" s="1"/>
      <c r="I1861" s="2"/>
      <c r="J1861" s="1"/>
      <c r="K1861" s="1"/>
      <c r="L1861" s="1"/>
      <c r="M1861" s="1"/>
      <c r="N1861" s="1"/>
      <c r="O1861" s="1"/>
      <c r="P1861" s="1"/>
      <c r="Q1861" s="1"/>
      <c r="R1861" s="1"/>
      <c r="S1861" s="1"/>
      <c r="T1861" s="1"/>
      <c r="U1861" s="1"/>
      <c r="V1861" s="1"/>
      <c r="W1861" s="1"/>
      <c r="X1861" s="1"/>
    </row>
    <row x14ac:dyDescent="0.25" r="1862" customHeight="1" ht="18.75">
      <c r="A1862" s="1"/>
      <c r="B1862" s="1"/>
      <c r="C1862" s="3" t="s">
        <v>1861</v>
      </c>
      <c r="D1862" s="3" t="s">
        <v>1892</v>
      </c>
      <c r="E1862" s="1"/>
      <c r="F1862" s="1"/>
      <c r="G1862" s="1"/>
      <c r="H1862" s="1"/>
      <c r="I1862" s="2"/>
      <c r="J1862" s="1"/>
      <c r="K1862" s="1"/>
      <c r="L1862" s="1"/>
      <c r="M1862" s="1"/>
      <c r="N1862" s="1"/>
      <c r="O1862" s="1"/>
      <c r="P1862" s="1"/>
      <c r="Q1862" s="1"/>
      <c r="R1862" s="1"/>
      <c r="S1862" s="1"/>
      <c r="T1862" s="1"/>
      <c r="U1862" s="1"/>
      <c r="V1862" s="1"/>
      <c r="W1862" s="1"/>
      <c r="X1862" s="1"/>
    </row>
    <row x14ac:dyDescent="0.25" r="1863" customHeight="1" ht="18.75">
      <c r="A1863" s="1"/>
      <c r="B1863" s="1"/>
      <c r="C1863" s="3" t="s">
        <v>1861</v>
      </c>
      <c r="D1863" s="3" t="s">
        <v>1893</v>
      </c>
      <c r="E1863" s="1"/>
      <c r="F1863" s="1"/>
      <c r="G1863" s="1"/>
      <c r="H1863" s="1"/>
      <c r="I1863" s="2"/>
      <c r="J1863" s="1"/>
      <c r="K1863" s="1"/>
      <c r="L1863" s="1"/>
      <c r="M1863" s="1"/>
      <c r="N1863" s="1"/>
      <c r="O1863" s="1"/>
      <c r="P1863" s="1"/>
      <c r="Q1863" s="1"/>
      <c r="R1863" s="1"/>
      <c r="S1863" s="1"/>
      <c r="T1863" s="1"/>
      <c r="U1863" s="1"/>
      <c r="V1863" s="1"/>
      <c r="W1863" s="1"/>
      <c r="X1863" s="1"/>
    </row>
    <row x14ac:dyDescent="0.25" r="1864" customHeight="1" ht="18.75">
      <c r="A1864" s="1"/>
      <c r="B1864" s="1"/>
      <c r="C1864" s="3" t="s">
        <v>1861</v>
      </c>
      <c r="D1864" s="3" t="s">
        <v>1894</v>
      </c>
      <c r="E1864" s="1"/>
      <c r="F1864" s="1"/>
      <c r="G1864" s="1"/>
      <c r="H1864" s="1"/>
      <c r="I1864" s="2"/>
      <c r="J1864" s="1"/>
      <c r="K1864" s="1"/>
      <c r="L1864" s="1"/>
      <c r="M1864" s="1"/>
      <c r="N1864" s="1"/>
      <c r="O1864" s="1"/>
      <c r="P1864" s="1"/>
      <c r="Q1864" s="1"/>
      <c r="R1864" s="1"/>
      <c r="S1864" s="1"/>
      <c r="T1864" s="1"/>
      <c r="U1864" s="1"/>
      <c r="V1864" s="1"/>
      <c r="W1864" s="1"/>
      <c r="X1864" s="1"/>
    </row>
    <row x14ac:dyDescent="0.25" r="1865" customHeight="1" ht="18.75">
      <c r="A1865" s="1"/>
      <c r="B1865" s="1"/>
      <c r="C1865" s="3" t="s">
        <v>1861</v>
      </c>
      <c r="D1865" s="3" t="s">
        <v>1895</v>
      </c>
      <c r="E1865" s="1"/>
      <c r="F1865" s="1"/>
      <c r="G1865" s="1"/>
      <c r="H1865" s="1"/>
      <c r="I1865" s="2"/>
      <c r="J1865" s="1"/>
      <c r="K1865" s="1"/>
      <c r="L1865" s="1"/>
      <c r="M1865" s="1"/>
      <c r="N1865" s="1"/>
      <c r="O1865" s="1"/>
      <c r="P1865" s="1"/>
      <c r="Q1865" s="1"/>
      <c r="R1865" s="1"/>
      <c r="S1865" s="1"/>
      <c r="T1865" s="1"/>
      <c r="U1865" s="1"/>
      <c r="V1865" s="1"/>
      <c r="W1865" s="1"/>
      <c r="X1865" s="1"/>
    </row>
    <row x14ac:dyDescent="0.25" r="1866" customHeight="1" ht="18.75">
      <c r="A1866" s="1"/>
      <c r="B1866" s="1"/>
      <c r="C1866" s="3" t="s">
        <v>1861</v>
      </c>
      <c r="D1866" s="3" t="s">
        <v>1896</v>
      </c>
      <c r="E1866" s="1"/>
      <c r="F1866" s="1"/>
      <c r="G1866" s="1"/>
      <c r="H1866" s="1"/>
      <c r="I1866" s="2"/>
      <c r="J1866" s="1"/>
      <c r="K1866" s="1"/>
      <c r="L1866" s="1"/>
      <c r="M1866" s="1"/>
      <c r="N1866" s="1"/>
      <c r="O1866" s="1"/>
      <c r="P1866" s="1"/>
      <c r="Q1866" s="1"/>
      <c r="R1866" s="1"/>
      <c r="S1866" s="1"/>
      <c r="T1866" s="1"/>
      <c r="U1866" s="1"/>
      <c r="V1866" s="1"/>
      <c r="W1866" s="1"/>
      <c r="X1866" s="1"/>
    </row>
    <row x14ac:dyDescent="0.25" r="1867" customHeight="1" ht="18.75">
      <c r="A1867" s="1"/>
      <c r="B1867" s="1"/>
      <c r="C1867" s="3" t="s">
        <v>1861</v>
      </c>
      <c r="D1867" s="3" t="s">
        <v>1897</v>
      </c>
      <c r="E1867" s="1"/>
      <c r="F1867" s="1"/>
      <c r="G1867" s="1"/>
      <c r="H1867" s="1"/>
      <c r="I1867" s="2"/>
      <c r="J1867" s="1"/>
      <c r="K1867" s="1"/>
      <c r="L1867" s="1"/>
      <c r="M1867" s="1"/>
      <c r="N1867" s="1"/>
      <c r="O1867" s="1"/>
      <c r="P1867" s="1"/>
      <c r="Q1867" s="1"/>
      <c r="R1867" s="1"/>
      <c r="S1867" s="1"/>
      <c r="T1867" s="1"/>
      <c r="U1867" s="1"/>
      <c r="V1867" s="1"/>
      <c r="W1867" s="1"/>
      <c r="X1867" s="1"/>
    </row>
    <row x14ac:dyDescent="0.25" r="1868" customHeight="1" ht="18.75">
      <c r="A1868" s="1"/>
      <c r="B1868" s="1"/>
      <c r="C1868" s="3" t="s">
        <v>1861</v>
      </c>
      <c r="D1868" s="3" t="s">
        <v>1898</v>
      </c>
      <c r="E1868" s="1"/>
      <c r="F1868" s="1"/>
      <c r="G1868" s="1"/>
      <c r="H1868" s="1"/>
      <c r="I1868" s="2"/>
      <c r="J1868" s="1"/>
      <c r="K1868" s="1"/>
      <c r="L1868" s="1"/>
      <c r="M1868" s="1"/>
      <c r="N1868" s="1"/>
      <c r="O1868" s="1"/>
      <c r="P1868" s="1"/>
      <c r="Q1868" s="1"/>
      <c r="R1868" s="1"/>
      <c r="S1868" s="1"/>
      <c r="T1868" s="1"/>
      <c r="U1868" s="1"/>
      <c r="V1868" s="1"/>
      <c r="W1868" s="1"/>
      <c r="X1868" s="1"/>
    </row>
    <row x14ac:dyDescent="0.25" r="1869" customHeight="1" ht="18.75">
      <c r="A1869" s="1"/>
      <c r="B1869" s="1"/>
      <c r="C1869" s="3" t="s">
        <v>1861</v>
      </c>
      <c r="D1869" s="3" t="s">
        <v>1899</v>
      </c>
      <c r="E1869" s="1"/>
      <c r="F1869" s="1"/>
      <c r="G1869" s="1"/>
      <c r="H1869" s="1"/>
      <c r="I1869" s="2"/>
      <c r="J1869" s="1"/>
      <c r="K1869" s="1"/>
      <c r="L1869" s="1"/>
      <c r="M1869" s="1"/>
      <c r="N1869" s="1"/>
      <c r="O1869" s="1"/>
      <c r="P1869" s="1"/>
      <c r="Q1869" s="1"/>
      <c r="R1869" s="1"/>
      <c r="S1869" s="1"/>
      <c r="T1869" s="1"/>
      <c r="U1869" s="1"/>
      <c r="V1869" s="1"/>
      <c r="W1869" s="1"/>
      <c r="X1869" s="1"/>
    </row>
    <row x14ac:dyDescent="0.25" r="1870" customHeight="1" ht="18.75">
      <c r="A1870" s="1"/>
      <c r="B1870" s="1"/>
      <c r="C1870" s="3" t="s">
        <v>1861</v>
      </c>
      <c r="D1870" s="3" t="s">
        <v>1900</v>
      </c>
      <c r="E1870" s="1"/>
      <c r="F1870" s="1"/>
      <c r="G1870" s="1"/>
      <c r="H1870" s="1"/>
      <c r="I1870" s="2"/>
      <c r="J1870" s="1"/>
      <c r="K1870" s="1"/>
      <c r="L1870" s="1"/>
      <c r="M1870" s="1"/>
      <c r="N1870" s="1"/>
      <c r="O1870" s="1"/>
      <c r="P1870" s="1"/>
      <c r="Q1870" s="1"/>
      <c r="R1870" s="1"/>
      <c r="S1870" s="1"/>
      <c r="T1870" s="1"/>
      <c r="U1870" s="1"/>
      <c r="V1870" s="1"/>
      <c r="W1870" s="1"/>
      <c r="X1870" s="1"/>
    </row>
    <row x14ac:dyDescent="0.25" r="1871" customHeight="1" ht="18.75">
      <c r="A1871" s="1"/>
      <c r="B1871" s="1"/>
      <c r="C1871" s="3" t="s">
        <v>1861</v>
      </c>
      <c r="D1871" s="3" t="s">
        <v>1901</v>
      </c>
      <c r="E1871" s="1"/>
      <c r="F1871" s="1"/>
      <c r="G1871" s="1"/>
      <c r="H1871" s="1"/>
      <c r="I1871" s="2"/>
      <c r="J1871" s="1"/>
      <c r="K1871" s="1"/>
      <c r="L1871" s="1"/>
      <c r="M1871" s="1"/>
      <c r="N1871" s="1"/>
      <c r="O1871" s="1"/>
      <c r="P1871" s="1"/>
      <c r="Q1871" s="1"/>
      <c r="R1871" s="1"/>
      <c r="S1871" s="1"/>
      <c r="T1871" s="1"/>
      <c r="U1871" s="1"/>
      <c r="V1871" s="1"/>
      <c r="W1871" s="1"/>
      <c r="X1871" s="1"/>
    </row>
    <row x14ac:dyDescent="0.25" r="1872" customHeight="1" ht="18.75">
      <c r="A1872" s="1"/>
      <c r="B1872" s="1"/>
      <c r="C1872" s="3" t="s">
        <v>1861</v>
      </c>
      <c r="D1872" s="3" t="s">
        <v>1902</v>
      </c>
      <c r="E1872" s="1"/>
      <c r="F1872" s="1"/>
      <c r="G1872" s="1"/>
      <c r="H1872" s="1"/>
      <c r="I1872" s="2"/>
      <c r="J1872" s="1"/>
      <c r="K1872" s="1"/>
      <c r="L1872" s="1"/>
      <c r="M1872" s="1"/>
      <c r="N1872" s="1"/>
      <c r="O1872" s="1"/>
      <c r="P1872" s="1"/>
      <c r="Q1872" s="1"/>
      <c r="R1872" s="1"/>
      <c r="S1872" s="1"/>
      <c r="T1872" s="1"/>
      <c r="U1872" s="1"/>
      <c r="V1872" s="1"/>
      <c r="W1872" s="1"/>
      <c r="X1872" s="1"/>
    </row>
    <row x14ac:dyDescent="0.25" r="1873" customHeight="1" ht="18.75">
      <c r="A1873" s="1"/>
      <c r="B1873" s="1"/>
      <c r="C1873" s="3" t="s">
        <v>1861</v>
      </c>
      <c r="D1873" s="3" t="s">
        <v>1903</v>
      </c>
      <c r="E1873" s="1"/>
      <c r="F1873" s="1"/>
      <c r="G1873" s="1"/>
      <c r="H1873" s="1"/>
      <c r="I1873" s="2"/>
      <c r="J1873" s="1"/>
      <c r="K1873" s="1"/>
      <c r="L1873" s="1"/>
      <c r="M1873" s="1"/>
      <c r="N1873" s="1"/>
      <c r="O1873" s="1"/>
      <c r="P1873" s="1"/>
      <c r="Q1873" s="1"/>
      <c r="R1873" s="1"/>
      <c r="S1873" s="1"/>
      <c r="T1873" s="1"/>
      <c r="U1873" s="1"/>
      <c r="V1873" s="1"/>
      <c r="W1873" s="1"/>
      <c r="X1873" s="1"/>
    </row>
    <row x14ac:dyDescent="0.25" r="1874" customHeight="1" ht="18.75">
      <c r="A1874" s="1"/>
      <c r="B1874" s="1"/>
      <c r="C1874" s="3" t="s">
        <v>1861</v>
      </c>
      <c r="D1874" s="3" t="s">
        <v>1904</v>
      </c>
      <c r="E1874" s="1"/>
      <c r="F1874" s="1"/>
      <c r="G1874" s="1"/>
      <c r="H1874" s="1"/>
      <c r="I1874" s="2"/>
      <c r="J1874" s="1"/>
      <c r="K1874" s="1"/>
      <c r="L1874" s="1"/>
      <c r="M1874" s="1"/>
      <c r="N1874" s="1"/>
      <c r="O1874" s="1"/>
      <c r="P1874" s="1"/>
      <c r="Q1874" s="1"/>
      <c r="R1874" s="1"/>
      <c r="S1874" s="1"/>
      <c r="T1874" s="1"/>
      <c r="U1874" s="1"/>
      <c r="V1874" s="1"/>
      <c r="W1874" s="1"/>
      <c r="X1874" s="1"/>
    </row>
    <row x14ac:dyDescent="0.25" r="1875" customHeight="1" ht="18.75">
      <c r="A1875" s="1"/>
      <c r="B1875" s="1"/>
      <c r="C1875" s="3" t="s">
        <v>1861</v>
      </c>
      <c r="D1875" s="3" t="s">
        <v>1905</v>
      </c>
      <c r="E1875" s="1"/>
      <c r="F1875" s="1"/>
      <c r="G1875" s="1"/>
      <c r="H1875" s="1"/>
      <c r="I1875" s="2"/>
      <c r="J1875" s="1"/>
      <c r="K1875" s="1"/>
      <c r="L1875" s="1"/>
      <c r="M1875" s="1"/>
      <c r="N1875" s="1"/>
      <c r="O1875" s="1"/>
      <c r="P1875" s="1"/>
      <c r="Q1875" s="1"/>
      <c r="R1875" s="1"/>
      <c r="S1875" s="1"/>
      <c r="T1875" s="1"/>
      <c r="U1875" s="1"/>
      <c r="V1875" s="1"/>
      <c r="W1875" s="1"/>
      <c r="X1875" s="1"/>
    </row>
    <row x14ac:dyDescent="0.25" r="1876" customHeight="1" ht="18.75">
      <c r="A1876" s="1"/>
      <c r="B1876" s="1"/>
      <c r="C1876" s="3" t="s">
        <v>1861</v>
      </c>
      <c r="D1876" s="3" t="s">
        <v>1906</v>
      </c>
      <c r="E1876" s="1"/>
      <c r="F1876" s="1"/>
      <c r="G1876" s="1"/>
      <c r="H1876" s="1"/>
      <c r="I1876" s="2"/>
      <c r="J1876" s="1"/>
      <c r="K1876" s="1"/>
      <c r="L1876" s="1"/>
      <c r="M1876" s="1"/>
      <c r="N1876" s="1"/>
      <c r="O1876" s="1"/>
      <c r="P1876" s="1"/>
      <c r="Q1876" s="1"/>
      <c r="R1876" s="1"/>
      <c r="S1876" s="1"/>
      <c r="T1876" s="1"/>
      <c r="U1876" s="1"/>
      <c r="V1876" s="1"/>
      <c r="W1876" s="1"/>
      <c r="X1876" s="1"/>
    </row>
    <row x14ac:dyDescent="0.25" r="1877" customHeight="1" ht="18.75">
      <c r="A1877" s="1"/>
      <c r="B1877" s="1"/>
      <c r="C1877" s="3" t="s">
        <v>1861</v>
      </c>
      <c r="D1877" s="3" t="s">
        <v>1907</v>
      </c>
      <c r="E1877" s="1"/>
      <c r="F1877" s="1"/>
      <c r="G1877" s="1"/>
      <c r="H1877" s="1"/>
      <c r="I1877" s="2"/>
      <c r="J1877" s="1"/>
      <c r="K1877" s="1"/>
      <c r="L1877" s="1"/>
      <c r="M1877" s="1"/>
      <c r="N1877" s="1"/>
      <c r="O1877" s="1"/>
      <c r="P1877" s="1"/>
      <c r="Q1877" s="1"/>
      <c r="R1877" s="1"/>
      <c r="S1877" s="1"/>
      <c r="T1877" s="1"/>
      <c r="U1877" s="1"/>
      <c r="V1877" s="1"/>
      <c r="W1877" s="1"/>
      <c r="X1877" s="1"/>
    </row>
    <row x14ac:dyDescent="0.25" r="1878" customHeight="1" ht="18.75">
      <c r="A1878" s="1"/>
      <c r="B1878" s="1"/>
      <c r="C1878" s="3" t="s">
        <v>1861</v>
      </c>
      <c r="D1878" s="3" t="s">
        <v>1908</v>
      </c>
      <c r="E1878" s="1"/>
      <c r="F1878" s="1"/>
      <c r="G1878" s="1"/>
      <c r="H1878" s="1"/>
      <c r="I1878" s="2"/>
      <c r="J1878" s="1"/>
      <c r="K1878" s="1"/>
      <c r="L1878" s="1"/>
      <c r="M1878" s="1"/>
      <c r="N1878" s="1"/>
      <c r="O1878" s="1"/>
      <c r="P1878" s="1"/>
      <c r="Q1878" s="1"/>
      <c r="R1878" s="1"/>
      <c r="S1878" s="1"/>
      <c r="T1878" s="1"/>
      <c r="U1878" s="1"/>
      <c r="V1878" s="1"/>
      <c r="W1878" s="1"/>
      <c r="X1878" s="1"/>
    </row>
    <row x14ac:dyDescent="0.25" r="1879" customHeight="1" ht="18.75">
      <c r="A1879" s="1"/>
      <c r="B1879" s="1"/>
      <c r="C1879" s="3" t="s">
        <v>1861</v>
      </c>
      <c r="D1879" s="3" t="s">
        <v>1909</v>
      </c>
      <c r="E1879" s="1"/>
      <c r="F1879" s="1"/>
      <c r="G1879" s="1"/>
      <c r="H1879" s="1"/>
      <c r="I1879" s="2"/>
      <c r="J1879" s="1"/>
      <c r="K1879" s="1"/>
      <c r="L1879" s="1"/>
      <c r="M1879" s="1"/>
      <c r="N1879" s="1"/>
      <c r="O1879" s="1"/>
      <c r="P1879" s="1"/>
      <c r="Q1879" s="1"/>
      <c r="R1879" s="1"/>
      <c r="S1879" s="1"/>
      <c r="T1879" s="1"/>
      <c r="U1879" s="1"/>
      <c r="V1879" s="1"/>
      <c r="W1879" s="1"/>
      <c r="X1879" s="1"/>
    </row>
    <row x14ac:dyDescent="0.25" r="1880" customHeight="1" ht="18.75">
      <c r="A1880" s="1"/>
      <c r="B1880" s="1"/>
      <c r="C1880" s="3" t="s">
        <v>1861</v>
      </c>
      <c r="D1880" s="3" t="s">
        <v>1910</v>
      </c>
      <c r="E1880" s="1"/>
      <c r="F1880" s="1"/>
      <c r="G1880" s="1"/>
      <c r="H1880" s="1"/>
      <c r="I1880" s="2"/>
      <c r="J1880" s="1"/>
      <c r="K1880" s="1"/>
      <c r="L1880" s="1"/>
      <c r="M1880" s="1"/>
      <c r="N1880" s="1"/>
      <c r="O1880" s="1"/>
      <c r="P1880" s="1"/>
      <c r="Q1880" s="1"/>
      <c r="R1880" s="1"/>
      <c r="S1880" s="1"/>
      <c r="T1880" s="1"/>
      <c r="U1880" s="1"/>
      <c r="V1880" s="1"/>
      <c r="W1880" s="1"/>
      <c r="X1880" s="1"/>
    </row>
    <row x14ac:dyDescent="0.25" r="1881" customHeight="1" ht="18.75">
      <c r="A1881" s="1"/>
      <c r="B1881" s="1"/>
      <c r="C1881" s="3" t="s">
        <v>1861</v>
      </c>
      <c r="D1881" s="3" t="s">
        <v>1911</v>
      </c>
      <c r="E1881" s="1"/>
      <c r="F1881" s="1"/>
      <c r="G1881" s="1"/>
      <c r="H1881" s="1"/>
      <c r="I1881" s="2"/>
      <c r="J1881" s="1"/>
      <c r="K1881" s="1"/>
      <c r="L1881" s="1"/>
      <c r="M1881" s="1"/>
      <c r="N1881" s="1"/>
      <c r="O1881" s="1"/>
      <c r="P1881" s="1"/>
      <c r="Q1881" s="1"/>
      <c r="R1881" s="1"/>
      <c r="S1881" s="1"/>
      <c r="T1881" s="1"/>
      <c r="U1881" s="1"/>
      <c r="V1881" s="1"/>
      <c r="W1881" s="1"/>
      <c r="X1881" s="1"/>
    </row>
    <row x14ac:dyDescent="0.25" r="1882" customHeight="1" ht="18.75">
      <c r="A1882" s="1"/>
      <c r="B1882" s="1"/>
      <c r="C1882" s="3" t="s">
        <v>1861</v>
      </c>
      <c r="D1882" s="3" t="s">
        <v>1912</v>
      </c>
      <c r="E1882" s="1"/>
      <c r="F1882" s="1"/>
      <c r="G1882" s="1"/>
      <c r="H1882" s="1"/>
      <c r="I1882" s="2"/>
      <c r="J1882" s="1"/>
      <c r="K1882" s="1"/>
      <c r="L1882" s="1"/>
      <c r="M1882" s="1"/>
      <c r="N1882" s="1"/>
      <c r="O1882" s="1"/>
      <c r="P1882" s="1"/>
      <c r="Q1882" s="1"/>
      <c r="R1882" s="1"/>
      <c r="S1882" s="1"/>
      <c r="T1882" s="1"/>
      <c r="U1882" s="1"/>
      <c r="V1882" s="1"/>
      <c r="W1882" s="1"/>
      <c r="X1882" s="1"/>
    </row>
    <row x14ac:dyDescent="0.25" r="1883" customHeight="1" ht="18.75">
      <c r="A1883" s="1"/>
      <c r="B1883" s="1"/>
      <c r="C1883" s="3" t="s">
        <v>1861</v>
      </c>
      <c r="D1883" s="3" t="s">
        <v>1913</v>
      </c>
      <c r="E1883" s="1"/>
      <c r="F1883" s="1"/>
      <c r="G1883" s="1"/>
      <c r="H1883" s="1"/>
      <c r="I1883" s="2"/>
      <c r="J1883" s="1"/>
      <c r="K1883" s="1"/>
      <c r="L1883" s="1"/>
      <c r="M1883" s="1"/>
      <c r="N1883" s="1"/>
      <c r="O1883" s="1"/>
      <c r="P1883" s="1"/>
      <c r="Q1883" s="1"/>
      <c r="R1883" s="1"/>
      <c r="S1883" s="1"/>
      <c r="T1883" s="1"/>
      <c r="U1883" s="1"/>
      <c r="V1883" s="1"/>
      <c r="W1883" s="1"/>
      <c r="X1883" s="1"/>
    </row>
    <row x14ac:dyDescent="0.25" r="1884" customHeight="1" ht="18.75">
      <c r="A1884" s="1"/>
      <c r="B1884" s="1"/>
      <c r="C1884" s="3" t="s">
        <v>1861</v>
      </c>
      <c r="D1884" s="3" t="s">
        <v>1914</v>
      </c>
      <c r="E1884" s="1"/>
      <c r="F1884" s="1"/>
      <c r="G1884" s="1"/>
      <c r="H1884" s="1"/>
      <c r="I1884" s="2"/>
      <c r="J1884" s="1"/>
      <c r="K1884" s="1"/>
      <c r="L1884" s="1"/>
      <c r="M1884" s="1"/>
      <c r="N1884" s="1"/>
      <c r="O1884" s="1"/>
      <c r="P1884" s="1"/>
      <c r="Q1884" s="1"/>
      <c r="R1884" s="1"/>
      <c r="S1884" s="1"/>
      <c r="T1884" s="1"/>
      <c r="U1884" s="1"/>
      <c r="V1884" s="1"/>
      <c r="W1884" s="1"/>
      <c r="X1884" s="1"/>
    </row>
    <row x14ac:dyDescent="0.25" r="1885" customHeight="1" ht="18.75">
      <c r="A1885" s="1"/>
      <c r="B1885" s="1"/>
      <c r="C1885" s="3" t="s">
        <v>1861</v>
      </c>
      <c r="D1885" s="3" t="s">
        <v>1915</v>
      </c>
      <c r="E1885" s="1"/>
      <c r="F1885" s="1"/>
      <c r="G1885" s="1"/>
      <c r="H1885" s="1"/>
      <c r="I1885" s="2"/>
      <c r="J1885" s="1"/>
      <c r="K1885" s="1"/>
      <c r="L1885" s="1"/>
      <c r="M1885" s="1"/>
      <c r="N1885" s="1"/>
      <c r="O1885" s="1"/>
      <c r="P1885" s="1"/>
      <c r="Q1885" s="1"/>
      <c r="R1885" s="1"/>
      <c r="S1885" s="1"/>
      <c r="T1885" s="1"/>
      <c r="U1885" s="1"/>
      <c r="V1885" s="1"/>
      <c r="W1885" s="1"/>
      <c r="X1885" s="1"/>
    </row>
    <row x14ac:dyDescent="0.25" r="1886" customHeight="1" ht="18.75">
      <c r="A1886" s="1"/>
      <c r="B1886" s="1"/>
      <c r="C1886" s="3" t="s">
        <v>1861</v>
      </c>
      <c r="D1886" s="3" t="s">
        <v>1916</v>
      </c>
      <c r="E1886" s="1"/>
      <c r="F1886" s="1"/>
      <c r="G1886" s="1"/>
      <c r="H1886" s="1"/>
      <c r="I1886" s="2"/>
      <c r="J1886" s="1"/>
      <c r="K1886" s="1"/>
      <c r="L1886" s="1"/>
      <c r="M1886" s="1"/>
      <c r="N1886" s="1"/>
      <c r="O1886" s="1"/>
      <c r="P1886" s="1"/>
      <c r="Q1886" s="1"/>
      <c r="R1886" s="1"/>
      <c r="S1886" s="1"/>
      <c r="T1886" s="1"/>
      <c r="U1886" s="1"/>
      <c r="V1886" s="1"/>
      <c r="W1886" s="1"/>
      <c r="X1886" s="1"/>
    </row>
    <row x14ac:dyDescent="0.25" r="1887" customHeight="1" ht="18.75">
      <c r="A1887" s="1"/>
      <c r="B1887" s="1"/>
      <c r="C1887" s="3" t="s">
        <v>1861</v>
      </c>
      <c r="D1887" s="3" t="s">
        <v>1917</v>
      </c>
      <c r="E1887" s="1"/>
      <c r="F1887" s="1"/>
      <c r="G1887" s="1"/>
      <c r="H1887" s="1"/>
      <c r="I1887" s="2"/>
      <c r="J1887" s="1"/>
      <c r="K1887" s="1"/>
      <c r="L1887" s="1"/>
      <c r="M1887" s="1"/>
      <c r="N1887" s="1"/>
      <c r="O1887" s="1"/>
      <c r="P1887" s="1"/>
      <c r="Q1887" s="1"/>
      <c r="R1887" s="1"/>
      <c r="S1887" s="1"/>
      <c r="T1887" s="1"/>
      <c r="U1887" s="1"/>
      <c r="V1887" s="1"/>
      <c r="W1887" s="1"/>
      <c r="X1887" s="1"/>
    </row>
    <row x14ac:dyDescent="0.25" r="1888" customHeight="1" ht="18.75">
      <c r="A1888" s="1"/>
      <c r="B1888" s="1"/>
      <c r="C1888" s="3" t="s">
        <v>1861</v>
      </c>
      <c r="D1888" s="3" t="s">
        <v>1918</v>
      </c>
      <c r="E1888" s="1"/>
      <c r="F1888" s="1"/>
      <c r="G1888" s="1"/>
      <c r="H1888" s="1"/>
      <c r="I1888" s="2"/>
      <c r="J1888" s="1"/>
      <c r="K1888" s="1"/>
      <c r="L1888" s="1"/>
      <c r="M1888" s="1"/>
      <c r="N1888" s="1"/>
      <c r="O1888" s="1"/>
      <c r="P1888" s="1"/>
      <c r="Q1888" s="1"/>
      <c r="R1888" s="1"/>
      <c r="S1888" s="1"/>
      <c r="T1888" s="1"/>
      <c r="U1888" s="1"/>
      <c r="V1888" s="1"/>
      <c r="W1888" s="1"/>
      <c r="X1888" s="1"/>
    </row>
    <row x14ac:dyDescent="0.25" r="1889" customHeight="1" ht="18.75">
      <c r="A1889" s="1"/>
      <c r="B1889" s="1"/>
      <c r="C1889" s="3" t="s">
        <v>1861</v>
      </c>
      <c r="D1889" s="3" t="s">
        <v>1919</v>
      </c>
      <c r="E1889" s="1"/>
      <c r="F1889" s="1"/>
      <c r="G1889" s="1"/>
      <c r="H1889" s="1"/>
      <c r="I1889" s="2"/>
      <c r="J1889" s="1"/>
      <c r="K1889" s="1"/>
      <c r="L1889" s="1"/>
      <c r="M1889" s="1"/>
      <c r="N1889" s="1"/>
      <c r="O1889" s="1"/>
      <c r="P1889" s="1"/>
      <c r="Q1889" s="1"/>
      <c r="R1889" s="1"/>
      <c r="S1889" s="1"/>
      <c r="T1889" s="1"/>
      <c r="U1889" s="1"/>
      <c r="V1889" s="1"/>
      <c r="W1889" s="1"/>
      <c r="X1889" s="1"/>
    </row>
    <row x14ac:dyDescent="0.25" r="1890" customHeight="1" ht="18.75">
      <c r="A1890" s="1"/>
      <c r="B1890" s="1"/>
      <c r="C1890" s="3" t="s">
        <v>1861</v>
      </c>
      <c r="D1890" s="3" t="s">
        <v>1920</v>
      </c>
      <c r="E1890" s="1"/>
      <c r="F1890" s="1"/>
      <c r="G1890" s="1"/>
      <c r="H1890" s="1"/>
      <c r="I1890" s="2"/>
      <c r="J1890" s="1"/>
      <c r="K1890" s="1"/>
      <c r="L1890" s="1"/>
      <c r="M1890" s="1"/>
      <c r="N1890" s="1"/>
      <c r="O1890" s="1"/>
      <c r="P1890" s="1"/>
      <c r="Q1890" s="1"/>
      <c r="R1890" s="1"/>
      <c r="S1890" s="1"/>
      <c r="T1890" s="1"/>
      <c r="U1890" s="1"/>
      <c r="V1890" s="1"/>
      <c r="W1890" s="1"/>
      <c r="X1890" s="1"/>
    </row>
    <row x14ac:dyDescent="0.25" r="1891" customHeight="1" ht="18.75">
      <c r="A1891" s="1"/>
      <c r="B1891" s="1"/>
      <c r="C1891" s="3" t="s">
        <v>1861</v>
      </c>
      <c r="D1891" s="3" t="s">
        <v>1921</v>
      </c>
      <c r="E1891" s="1"/>
      <c r="F1891" s="1"/>
      <c r="G1891" s="1"/>
      <c r="H1891" s="1"/>
      <c r="I1891" s="2"/>
      <c r="J1891" s="1"/>
      <c r="K1891" s="1"/>
      <c r="L1891" s="1"/>
      <c r="M1891" s="1"/>
      <c r="N1891" s="1"/>
      <c r="O1891" s="1"/>
      <c r="P1891" s="1"/>
      <c r="Q1891" s="1"/>
      <c r="R1891" s="1"/>
      <c r="S1891" s="1"/>
      <c r="T1891" s="1"/>
      <c r="U1891" s="1"/>
      <c r="V1891" s="1"/>
      <c r="W1891" s="1"/>
      <c r="X1891" s="1"/>
    </row>
    <row x14ac:dyDescent="0.25" r="1892" customHeight="1" ht="18.75">
      <c r="A1892" s="1"/>
      <c r="B1892" s="1"/>
      <c r="C1892" s="3" t="s">
        <v>1861</v>
      </c>
      <c r="D1892" s="3" t="s">
        <v>1922</v>
      </c>
      <c r="E1892" s="1"/>
      <c r="F1892" s="1"/>
      <c r="G1892" s="1"/>
      <c r="H1892" s="1"/>
      <c r="I1892" s="2"/>
      <c r="J1892" s="1"/>
      <c r="K1892" s="1"/>
      <c r="L1892" s="1"/>
      <c r="M1892" s="1"/>
      <c r="N1892" s="1"/>
      <c r="O1892" s="1"/>
      <c r="P1892" s="1"/>
      <c r="Q1892" s="1"/>
      <c r="R1892" s="1"/>
      <c r="S1892" s="1"/>
      <c r="T1892" s="1"/>
      <c r="U1892" s="1"/>
      <c r="V1892" s="1"/>
      <c r="W1892" s="1"/>
      <c r="X1892" s="1"/>
    </row>
    <row x14ac:dyDescent="0.25" r="1893" customHeight="1" ht="18.75">
      <c r="A1893" s="1"/>
      <c r="B1893" s="1"/>
      <c r="C1893" s="3" t="s">
        <v>1861</v>
      </c>
      <c r="D1893" s="3" t="s">
        <v>1923</v>
      </c>
      <c r="E1893" s="1"/>
      <c r="F1893" s="1"/>
      <c r="G1893" s="1"/>
      <c r="H1893" s="1"/>
      <c r="I1893" s="2"/>
      <c r="J1893" s="1"/>
      <c r="K1893" s="1"/>
      <c r="L1893" s="1"/>
      <c r="M1893" s="1"/>
      <c r="N1893" s="1"/>
      <c r="O1893" s="1"/>
      <c r="P1893" s="1"/>
      <c r="Q1893" s="1"/>
      <c r="R1893" s="1"/>
      <c r="S1893" s="1"/>
      <c r="T1893" s="1"/>
      <c r="U1893" s="1"/>
      <c r="V1893" s="1"/>
      <c r="W1893" s="1"/>
      <c r="X1893" s="1"/>
    </row>
    <row x14ac:dyDescent="0.25" r="1894" customHeight="1" ht="18.75">
      <c r="A1894" s="1"/>
      <c r="B1894" s="1"/>
      <c r="C1894" s="3" t="s">
        <v>1861</v>
      </c>
      <c r="D1894" s="3" t="s">
        <v>1924</v>
      </c>
      <c r="E1894" s="1"/>
      <c r="F1894" s="1"/>
      <c r="G1894" s="1"/>
      <c r="H1894" s="1"/>
      <c r="I1894" s="2"/>
      <c r="J1894" s="1"/>
      <c r="K1894" s="1"/>
      <c r="L1894" s="1"/>
      <c r="M1894" s="1"/>
      <c r="N1894" s="1"/>
      <c r="O1894" s="1"/>
      <c r="P1894" s="1"/>
      <c r="Q1894" s="1"/>
      <c r="R1894" s="1"/>
      <c r="S1894" s="1"/>
      <c r="T1894" s="1"/>
      <c r="U1894" s="1"/>
      <c r="V1894" s="1"/>
      <c r="W1894" s="1"/>
      <c r="X1894" s="1"/>
    </row>
    <row x14ac:dyDescent="0.25" r="1895" customHeight="1" ht="18.75">
      <c r="A1895" s="1"/>
      <c r="B1895" s="1"/>
      <c r="C1895" s="3" t="s">
        <v>1861</v>
      </c>
      <c r="D1895" s="3" t="s">
        <v>1925</v>
      </c>
      <c r="E1895" s="1"/>
      <c r="F1895" s="1"/>
      <c r="G1895" s="1"/>
      <c r="H1895" s="1"/>
      <c r="I1895" s="2"/>
      <c r="J1895" s="1"/>
      <c r="K1895" s="1"/>
      <c r="L1895" s="1"/>
      <c r="M1895" s="1"/>
      <c r="N1895" s="1"/>
      <c r="O1895" s="1"/>
      <c r="P1895" s="1"/>
      <c r="Q1895" s="1"/>
      <c r="R1895" s="1"/>
      <c r="S1895" s="1"/>
      <c r="T1895" s="1"/>
      <c r="U1895" s="1"/>
      <c r="V1895" s="1"/>
      <c r="W1895" s="1"/>
      <c r="X1895" s="1"/>
    </row>
    <row x14ac:dyDescent="0.25" r="1896" customHeight="1" ht="18.75">
      <c r="A1896" s="1"/>
      <c r="B1896" s="1"/>
      <c r="C1896" s="3" t="s">
        <v>1861</v>
      </c>
      <c r="D1896" s="3" t="s">
        <v>1926</v>
      </c>
      <c r="E1896" s="1"/>
      <c r="F1896" s="1"/>
      <c r="G1896" s="1"/>
      <c r="H1896" s="1"/>
      <c r="I1896" s="2"/>
      <c r="J1896" s="1"/>
      <c r="K1896" s="1"/>
      <c r="L1896" s="1"/>
      <c r="M1896" s="1"/>
      <c r="N1896" s="1"/>
      <c r="O1896" s="1"/>
      <c r="P1896" s="1"/>
      <c r="Q1896" s="1"/>
      <c r="R1896" s="1"/>
      <c r="S1896" s="1"/>
      <c r="T1896" s="1"/>
      <c r="U1896" s="1"/>
      <c r="V1896" s="1"/>
      <c r="W1896" s="1"/>
      <c r="X1896" s="1"/>
    </row>
    <row x14ac:dyDescent="0.25" r="1897" customHeight="1" ht="18.75">
      <c r="A1897" s="1"/>
      <c r="B1897" s="1"/>
      <c r="C1897" s="3" t="s">
        <v>1861</v>
      </c>
      <c r="D1897" s="3" t="s">
        <v>1927</v>
      </c>
      <c r="E1897" s="1"/>
      <c r="F1897" s="1"/>
      <c r="G1897" s="1"/>
      <c r="H1897" s="1"/>
      <c r="I1897" s="2"/>
      <c r="J1897" s="1"/>
      <c r="K1897" s="1"/>
      <c r="L1897" s="1"/>
      <c r="M1897" s="1"/>
      <c r="N1897" s="1"/>
      <c r="O1897" s="1"/>
      <c r="P1897" s="1"/>
      <c r="Q1897" s="1"/>
      <c r="R1897" s="1"/>
      <c r="S1897" s="1"/>
      <c r="T1897" s="1"/>
      <c r="U1897" s="1"/>
      <c r="V1897" s="1"/>
      <c r="W1897" s="1"/>
      <c r="X1897" s="1"/>
    </row>
    <row x14ac:dyDescent="0.25" r="1898" customHeight="1" ht="18.75">
      <c r="A1898" s="1"/>
      <c r="B1898" s="1"/>
      <c r="C1898" s="3" t="s">
        <v>1861</v>
      </c>
      <c r="D1898" s="3" t="s">
        <v>1928</v>
      </c>
      <c r="E1898" s="1"/>
      <c r="F1898" s="1"/>
      <c r="G1898" s="1"/>
      <c r="H1898" s="1"/>
      <c r="I1898" s="2"/>
      <c r="J1898" s="1"/>
      <c r="K1898" s="1"/>
      <c r="L1898" s="1"/>
      <c r="M1898" s="1"/>
      <c r="N1898" s="1"/>
      <c r="O1898" s="1"/>
      <c r="P1898" s="1"/>
      <c r="Q1898" s="1"/>
      <c r="R1898" s="1"/>
      <c r="S1898" s="1"/>
      <c r="T1898" s="1"/>
      <c r="U1898" s="1"/>
      <c r="V1898" s="1"/>
      <c r="W1898" s="1"/>
      <c r="X1898" s="1"/>
    </row>
    <row x14ac:dyDescent="0.25" r="1899" customHeight="1" ht="18.75">
      <c r="A1899" s="1"/>
      <c r="B1899" s="1"/>
      <c r="C1899" s="3" t="s">
        <v>1861</v>
      </c>
      <c r="D1899" s="3" t="s">
        <v>1929</v>
      </c>
      <c r="E1899" s="1"/>
      <c r="F1899" s="1"/>
      <c r="G1899" s="1"/>
      <c r="H1899" s="1"/>
      <c r="I1899" s="2"/>
      <c r="J1899" s="1"/>
      <c r="K1899" s="1"/>
      <c r="L1899" s="1"/>
      <c r="M1899" s="1"/>
      <c r="N1899" s="1"/>
      <c r="O1899" s="1"/>
      <c r="P1899" s="1"/>
      <c r="Q1899" s="1"/>
      <c r="R1899" s="1"/>
      <c r="S1899" s="1"/>
      <c r="T1899" s="1"/>
      <c r="U1899" s="1"/>
      <c r="V1899" s="1"/>
      <c r="W1899" s="1"/>
      <c r="X1899" s="1"/>
    </row>
    <row x14ac:dyDescent="0.25" r="1900" customHeight="1" ht="18.75">
      <c r="A1900" s="1"/>
      <c r="B1900" s="1"/>
      <c r="C1900" s="3" t="s">
        <v>1861</v>
      </c>
      <c r="D1900" s="3" t="s">
        <v>1930</v>
      </c>
      <c r="E1900" s="1"/>
      <c r="F1900" s="1"/>
      <c r="G1900" s="1"/>
      <c r="H1900" s="1"/>
      <c r="I1900" s="2"/>
      <c r="J1900" s="1"/>
      <c r="K1900" s="1"/>
      <c r="L1900" s="1"/>
      <c r="M1900" s="1"/>
      <c r="N1900" s="1"/>
      <c r="O1900" s="1"/>
      <c r="P1900" s="1"/>
      <c r="Q1900" s="1"/>
      <c r="R1900" s="1"/>
      <c r="S1900" s="1"/>
      <c r="T1900" s="1"/>
      <c r="U1900" s="1"/>
      <c r="V1900" s="1"/>
      <c r="W1900" s="1"/>
      <c r="X1900" s="1"/>
    </row>
    <row x14ac:dyDescent="0.25" r="1901" customHeight="1" ht="18.75">
      <c r="A1901" s="1"/>
      <c r="B1901" s="1"/>
      <c r="C1901" s="3" t="s">
        <v>1861</v>
      </c>
      <c r="D1901" s="3" t="s">
        <v>1931</v>
      </c>
      <c r="E1901" s="1"/>
      <c r="F1901" s="1"/>
      <c r="G1901" s="1"/>
      <c r="H1901" s="1"/>
      <c r="I1901" s="2"/>
      <c r="J1901" s="1"/>
      <c r="K1901" s="1"/>
      <c r="L1901" s="1"/>
      <c r="M1901" s="1"/>
      <c r="N1901" s="1"/>
      <c r="O1901" s="1"/>
      <c r="P1901" s="1"/>
      <c r="Q1901" s="1"/>
      <c r="R1901" s="1"/>
      <c r="S1901" s="1"/>
      <c r="T1901" s="1"/>
      <c r="U1901" s="1"/>
      <c r="V1901" s="1"/>
      <c r="W1901" s="1"/>
      <c r="X1901" s="1"/>
    </row>
    <row x14ac:dyDescent="0.25" r="1902" customHeight="1" ht="18.75">
      <c r="A1902" s="1"/>
      <c r="B1902" s="1"/>
      <c r="C1902" s="3" t="s">
        <v>1861</v>
      </c>
      <c r="D1902" s="3" t="s">
        <v>1932</v>
      </c>
      <c r="E1902" s="1"/>
      <c r="F1902" s="1"/>
      <c r="G1902" s="1"/>
      <c r="H1902" s="1"/>
      <c r="I1902" s="2"/>
      <c r="J1902" s="1"/>
      <c r="K1902" s="1"/>
      <c r="L1902" s="1"/>
      <c r="M1902" s="1"/>
      <c r="N1902" s="1"/>
      <c r="O1902" s="1"/>
      <c r="P1902" s="1"/>
      <c r="Q1902" s="1"/>
      <c r="R1902" s="1"/>
      <c r="S1902" s="1"/>
      <c r="T1902" s="1"/>
      <c r="U1902" s="1"/>
      <c r="V1902" s="1"/>
      <c r="W1902" s="1"/>
      <c r="X1902" s="1"/>
    </row>
    <row x14ac:dyDescent="0.25" r="1903" customHeight="1" ht="18.75">
      <c r="A1903" s="1"/>
      <c r="B1903" s="1"/>
      <c r="C1903" s="3" t="s">
        <v>1861</v>
      </c>
      <c r="D1903" s="3" t="s">
        <v>1933</v>
      </c>
      <c r="E1903" s="1"/>
      <c r="F1903" s="1"/>
      <c r="G1903" s="1"/>
      <c r="H1903" s="1"/>
      <c r="I1903" s="2"/>
      <c r="J1903" s="1"/>
      <c r="K1903" s="1"/>
      <c r="L1903" s="1"/>
      <c r="M1903" s="1"/>
      <c r="N1903" s="1"/>
      <c r="O1903" s="1"/>
      <c r="P1903" s="1"/>
      <c r="Q1903" s="1"/>
      <c r="R1903" s="1"/>
      <c r="S1903" s="1"/>
      <c r="T1903" s="1"/>
      <c r="U1903" s="1"/>
      <c r="V1903" s="1"/>
      <c r="W1903" s="1"/>
      <c r="X1903" s="1"/>
    </row>
    <row x14ac:dyDescent="0.25" r="1904" customHeight="1" ht="18.75">
      <c r="A1904" s="1"/>
      <c r="B1904" s="1"/>
      <c r="C1904" s="3" t="s">
        <v>1861</v>
      </c>
      <c r="D1904" s="3" t="s">
        <v>1934</v>
      </c>
      <c r="E1904" s="1"/>
      <c r="F1904" s="1"/>
      <c r="G1904" s="1"/>
      <c r="H1904" s="1"/>
      <c r="I1904" s="2"/>
      <c r="J1904" s="1"/>
      <c r="K1904" s="1"/>
      <c r="L1904" s="1"/>
      <c r="M1904" s="1"/>
      <c r="N1904" s="1"/>
      <c r="O1904" s="1"/>
      <c r="P1904" s="1"/>
      <c r="Q1904" s="1"/>
      <c r="R1904" s="1"/>
      <c r="S1904" s="1"/>
      <c r="T1904" s="1"/>
      <c r="U1904" s="1"/>
      <c r="V1904" s="1"/>
      <c r="W1904" s="1"/>
      <c r="X1904" s="1"/>
    </row>
    <row x14ac:dyDescent="0.25" r="1905" customHeight="1" ht="18.75">
      <c r="A1905" s="1"/>
      <c r="B1905" s="1"/>
      <c r="C1905" s="3" t="s">
        <v>1861</v>
      </c>
      <c r="D1905" s="3" t="s">
        <v>1935</v>
      </c>
      <c r="E1905" s="1"/>
      <c r="F1905" s="1"/>
      <c r="G1905" s="1"/>
      <c r="H1905" s="1"/>
      <c r="I1905" s="2"/>
      <c r="J1905" s="1"/>
      <c r="K1905" s="1"/>
      <c r="L1905" s="1"/>
      <c r="M1905" s="1"/>
      <c r="N1905" s="1"/>
      <c r="O1905" s="1"/>
      <c r="P1905" s="1"/>
      <c r="Q1905" s="1"/>
      <c r="R1905" s="1"/>
      <c r="S1905" s="1"/>
      <c r="T1905" s="1"/>
      <c r="U1905" s="1"/>
      <c r="V1905" s="1"/>
      <c r="W1905" s="1"/>
      <c r="X1905" s="1"/>
    </row>
    <row x14ac:dyDescent="0.25" r="1906" customHeight="1" ht="18.75">
      <c r="A1906" s="1"/>
      <c r="B1906" s="1"/>
      <c r="C1906" s="3" t="s">
        <v>1861</v>
      </c>
      <c r="D1906" s="3" t="s">
        <v>1936</v>
      </c>
      <c r="E1906" s="1"/>
      <c r="F1906" s="1"/>
      <c r="G1906" s="1"/>
      <c r="H1906" s="1"/>
      <c r="I1906" s="2"/>
      <c r="J1906" s="1"/>
      <c r="K1906" s="1"/>
      <c r="L1906" s="1"/>
      <c r="M1906" s="1"/>
      <c r="N1906" s="1"/>
      <c r="O1906" s="1"/>
      <c r="P1906" s="1"/>
      <c r="Q1906" s="1"/>
      <c r="R1906" s="1"/>
      <c r="S1906" s="1"/>
      <c r="T1906" s="1"/>
      <c r="U1906" s="1"/>
      <c r="V1906" s="1"/>
      <c r="W1906" s="1"/>
      <c r="X1906" s="1"/>
    </row>
    <row x14ac:dyDescent="0.25" r="1907" customHeight="1" ht="18.75">
      <c r="A1907" s="1"/>
      <c r="B1907" s="1"/>
      <c r="C1907" s="3" t="s">
        <v>1861</v>
      </c>
      <c r="D1907" s="3" t="s">
        <v>1937</v>
      </c>
      <c r="E1907" s="1"/>
      <c r="F1907" s="1"/>
      <c r="G1907" s="1"/>
      <c r="H1907" s="1"/>
      <c r="I1907" s="2"/>
      <c r="J1907" s="1"/>
      <c r="K1907" s="1"/>
      <c r="L1907" s="1"/>
      <c r="M1907" s="1"/>
      <c r="N1907" s="1"/>
      <c r="O1907" s="1"/>
      <c r="P1907" s="1"/>
      <c r="Q1907" s="1"/>
      <c r="R1907" s="1"/>
      <c r="S1907" s="1"/>
      <c r="T1907" s="1"/>
      <c r="U1907" s="1"/>
      <c r="V1907" s="1"/>
      <c r="W1907" s="1"/>
      <c r="X1907" s="1"/>
    </row>
    <row x14ac:dyDescent="0.25" r="1908" customHeight="1" ht="18.75">
      <c r="A1908" s="1"/>
      <c r="B1908" s="1"/>
      <c r="C1908" s="3" t="s">
        <v>1861</v>
      </c>
      <c r="D1908" s="3" t="s">
        <v>1938</v>
      </c>
      <c r="E1908" s="1"/>
      <c r="F1908" s="1"/>
      <c r="G1908" s="1"/>
      <c r="H1908" s="1"/>
      <c r="I1908" s="2"/>
      <c r="J1908" s="1"/>
      <c r="K1908" s="1"/>
      <c r="L1908" s="1"/>
      <c r="M1908" s="1"/>
      <c r="N1908" s="1"/>
      <c r="O1908" s="1"/>
      <c r="P1908" s="1"/>
      <c r="Q1908" s="1"/>
      <c r="R1908" s="1"/>
      <c r="S1908" s="1"/>
      <c r="T1908" s="1"/>
      <c r="U1908" s="1"/>
      <c r="V1908" s="1"/>
      <c r="W1908" s="1"/>
      <c r="X1908" s="1"/>
    </row>
    <row x14ac:dyDescent="0.25" r="1909" customHeight="1" ht="18.75">
      <c r="A1909" s="1"/>
      <c r="B1909" s="1"/>
      <c r="C1909" s="3" t="s">
        <v>1861</v>
      </c>
      <c r="D1909" s="3" t="s">
        <v>1939</v>
      </c>
      <c r="E1909" s="1"/>
      <c r="F1909" s="1"/>
      <c r="G1909" s="1"/>
      <c r="H1909" s="1"/>
      <c r="I1909" s="2"/>
      <c r="J1909" s="1"/>
      <c r="K1909" s="1"/>
      <c r="L1909" s="1"/>
      <c r="M1909" s="1"/>
      <c r="N1909" s="1"/>
      <c r="O1909" s="1"/>
      <c r="P1909" s="1"/>
      <c r="Q1909" s="1"/>
      <c r="R1909" s="1"/>
      <c r="S1909" s="1"/>
      <c r="T1909" s="1"/>
      <c r="U1909" s="1"/>
      <c r="V1909" s="1"/>
      <c r="W1909" s="1"/>
      <c r="X1909" s="1"/>
    </row>
    <row x14ac:dyDescent="0.25" r="1910" customHeight="1" ht="18.75">
      <c r="A1910" s="1"/>
      <c r="B1910" s="1"/>
      <c r="C1910" s="3" t="s">
        <v>1861</v>
      </c>
      <c r="D1910" s="3" t="s">
        <v>1940</v>
      </c>
      <c r="E1910" s="1"/>
      <c r="F1910" s="1"/>
      <c r="G1910" s="1"/>
      <c r="H1910" s="1"/>
      <c r="I1910" s="2"/>
      <c r="J1910" s="1"/>
      <c r="K1910" s="1"/>
      <c r="L1910" s="1"/>
      <c r="M1910" s="1"/>
      <c r="N1910" s="1"/>
      <c r="O1910" s="1"/>
      <c r="P1910" s="1"/>
      <c r="Q1910" s="1"/>
      <c r="R1910" s="1"/>
      <c r="S1910" s="1"/>
      <c r="T1910" s="1"/>
      <c r="U1910" s="1"/>
      <c r="V1910" s="1"/>
      <c r="W1910" s="1"/>
      <c r="X1910" s="1"/>
    </row>
    <row x14ac:dyDescent="0.25" r="1911" customHeight="1" ht="18.75">
      <c r="A1911" s="1"/>
      <c r="B1911" s="1"/>
      <c r="C1911" s="3" t="s">
        <v>1861</v>
      </c>
      <c r="D1911" s="3" t="s">
        <v>1941</v>
      </c>
      <c r="E1911" s="1"/>
      <c r="F1911" s="1"/>
      <c r="G1911" s="1"/>
      <c r="H1911" s="1"/>
      <c r="I1911" s="2"/>
      <c r="J1911" s="1"/>
      <c r="K1911" s="1"/>
      <c r="L1911" s="1"/>
      <c r="M1911" s="1"/>
      <c r="N1911" s="1"/>
      <c r="O1911" s="1"/>
      <c r="P1911" s="1"/>
      <c r="Q1911" s="1"/>
      <c r="R1911" s="1"/>
      <c r="S1911" s="1"/>
      <c r="T1911" s="1"/>
      <c r="U1911" s="1"/>
      <c r="V1911" s="1"/>
      <c r="W1911" s="1"/>
      <c r="X1911" s="1"/>
    </row>
    <row x14ac:dyDescent="0.25" r="1912" customHeight="1" ht="18.75">
      <c r="A1912" s="1"/>
      <c r="B1912" s="1"/>
      <c r="C1912" s="3" t="s">
        <v>1861</v>
      </c>
      <c r="D1912" s="3" t="s">
        <v>1942</v>
      </c>
      <c r="E1912" s="1"/>
      <c r="F1912" s="1"/>
      <c r="G1912" s="1"/>
      <c r="H1912" s="1"/>
      <c r="I1912" s="2"/>
      <c r="J1912" s="1"/>
      <c r="K1912" s="1"/>
      <c r="L1912" s="1"/>
      <c r="M1912" s="1"/>
      <c r="N1912" s="1"/>
      <c r="O1912" s="1"/>
      <c r="P1912" s="1"/>
      <c r="Q1912" s="1"/>
      <c r="R1912" s="1"/>
      <c r="S1912" s="1"/>
      <c r="T1912" s="1"/>
      <c r="U1912" s="1"/>
      <c r="V1912" s="1"/>
      <c r="W1912" s="1"/>
      <c r="X1912" s="1"/>
    </row>
    <row x14ac:dyDescent="0.25" r="1913" customHeight="1" ht="18.75">
      <c r="A1913" s="1"/>
      <c r="B1913" s="1"/>
      <c r="C1913" s="3" t="s">
        <v>1861</v>
      </c>
      <c r="D1913" s="3" t="s">
        <v>1943</v>
      </c>
      <c r="E1913" s="1"/>
      <c r="F1913" s="1"/>
      <c r="G1913" s="1"/>
      <c r="H1913" s="1"/>
      <c r="I1913" s="2"/>
      <c r="J1913" s="1"/>
      <c r="K1913" s="1"/>
      <c r="L1913" s="1"/>
      <c r="M1913" s="1"/>
      <c r="N1913" s="1"/>
      <c r="O1913" s="1"/>
      <c r="P1913" s="1"/>
      <c r="Q1913" s="1"/>
      <c r="R1913" s="1"/>
      <c r="S1913" s="1"/>
      <c r="T1913" s="1"/>
      <c r="U1913" s="1"/>
      <c r="V1913" s="1"/>
      <c r="W1913" s="1"/>
      <c r="X1913" s="1"/>
    </row>
    <row x14ac:dyDescent="0.25" r="1914" customHeight="1" ht="18.75">
      <c r="A1914" s="1"/>
      <c r="B1914" s="1"/>
      <c r="C1914" s="3" t="s">
        <v>1861</v>
      </c>
      <c r="D1914" s="3" t="s">
        <v>1944</v>
      </c>
      <c r="E1914" s="1"/>
      <c r="F1914" s="1"/>
      <c r="G1914" s="1"/>
      <c r="H1914" s="1"/>
      <c r="I1914" s="2"/>
      <c r="J1914" s="1"/>
      <c r="K1914" s="1"/>
      <c r="L1914" s="1"/>
      <c r="M1914" s="1"/>
      <c r="N1914" s="1"/>
      <c r="O1914" s="1"/>
      <c r="P1914" s="1"/>
      <c r="Q1914" s="1"/>
      <c r="R1914" s="1"/>
      <c r="S1914" s="1"/>
      <c r="T1914" s="1"/>
      <c r="U1914" s="1"/>
      <c r="V1914" s="1"/>
      <c r="W1914" s="1"/>
      <c r="X1914" s="1"/>
    </row>
    <row x14ac:dyDescent="0.25" r="1915" customHeight="1" ht="18.75">
      <c r="A1915" s="1"/>
      <c r="B1915" s="1"/>
      <c r="C1915" s="3" t="s">
        <v>1861</v>
      </c>
      <c r="D1915" s="3" t="s">
        <v>1945</v>
      </c>
      <c r="E1915" s="1"/>
      <c r="F1915" s="1"/>
      <c r="G1915" s="1"/>
      <c r="H1915" s="1"/>
      <c r="I1915" s="2"/>
      <c r="J1915" s="1"/>
      <c r="K1915" s="1"/>
      <c r="L1915" s="1"/>
      <c r="M1915" s="1"/>
      <c r="N1915" s="1"/>
      <c r="O1915" s="1"/>
      <c r="P1915" s="1"/>
      <c r="Q1915" s="1"/>
      <c r="R1915" s="1"/>
      <c r="S1915" s="1"/>
      <c r="T1915" s="1"/>
      <c r="U1915" s="1"/>
      <c r="V1915" s="1"/>
      <c r="W1915" s="1"/>
      <c r="X1915" s="1"/>
    </row>
    <row x14ac:dyDescent="0.25" r="1916" customHeight="1" ht="18.75">
      <c r="A1916" s="1"/>
      <c r="B1916" s="1"/>
      <c r="C1916" s="3" t="s">
        <v>1861</v>
      </c>
      <c r="D1916" s="3" t="s">
        <v>1946</v>
      </c>
      <c r="E1916" s="1"/>
      <c r="F1916" s="1"/>
      <c r="G1916" s="1"/>
      <c r="H1916" s="1"/>
      <c r="I1916" s="2"/>
      <c r="J1916" s="1"/>
      <c r="K1916" s="1"/>
      <c r="L1916" s="1"/>
      <c r="M1916" s="1"/>
      <c r="N1916" s="1"/>
      <c r="O1916" s="1"/>
      <c r="P1916" s="1"/>
      <c r="Q1916" s="1"/>
      <c r="R1916" s="1"/>
      <c r="S1916" s="1"/>
      <c r="T1916" s="1"/>
      <c r="U1916" s="1"/>
      <c r="V1916" s="1"/>
      <c r="W1916" s="1"/>
      <c r="X1916" s="1"/>
    </row>
    <row x14ac:dyDescent="0.25" r="1917" customHeight="1" ht="18.75">
      <c r="A1917" s="1"/>
      <c r="B1917" s="1"/>
      <c r="C1917" s="3" t="s">
        <v>1861</v>
      </c>
      <c r="D1917" s="3" t="s">
        <v>1947</v>
      </c>
      <c r="E1917" s="1"/>
      <c r="F1917" s="1"/>
      <c r="G1917" s="1"/>
      <c r="H1917" s="1"/>
      <c r="I1917" s="2"/>
      <c r="J1917" s="1"/>
      <c r="K1917" s="1"/>
      <c r="L1917" s="1"/>
      <c r="M1917" s="1"/>
      <c r="N1917" s="1"/>
      <c r="O1917" s="1"/>
      <c r="P1917" s="1"/>
      <c r="Q1917" s="1"/>
      <c r="R1917" s="1"/>
      <c r="S1917" s="1"/>
      <c r="T1917" s="1"/>
      <c r="U1917" s="1"/>
      <c r="V1917" s="1"/>
      <c r="W1917" s="1"/>
      <c r="X1917" s="1"/>
    </row>
    <row x14ac:dyDescent="0.25" r="1918" customHeight="1" ht="18.75">
      <c r="A1918" s="1"/>
      <c r="B1918" s="1"/>
      <c r="C1918" s="3" t="s">
        <v>1861</v>
      </c>
      <c r="D1918" s="3" t="s">
        <v>1948</v>
      </c>
      <c r="E1918" s="1"/>
      <c r="F1918" s="1"/>
      <c r="G1918" s="1"/>
      <c r="H1918" s="1"/>
      <c r="I1918" s="2"/>
      <c r="J1918" s="1"/>
      <c r="K1918" s="1"/>
      <c r="L1918" s="1"/>
      <c r="M1918" s="1"/>
      <c r="N1918" s="1"/>
      <c r="O1918" s="1"/>
      <c r="P1918" s="1"/>
      <c r="Q1918" s="1"/>
      <c r="R1918" s="1"/>
      <c r="S1918" s="1"/>
      <c r="T1918" s="1"/>
      <c r="U1918" s="1"/>
      <c r="V1918" s="1"/>
      <c r="W1918" s="1"/>
      <c r="X1918" s="1"/>
    </row>
    <row x14ac:dyDescent="0.25" r="1919" customHeight="1" ht="18.75">
      <c r="A1919" s="1"/>
      <c r="B1919" s="1"/>
      <c r="C1919" s="3" t="s">
        <v>1861</v>
      </c>
      <c r="D1919" s="3" t="s">
        <v>1949</v>
      </c>
      <c r="E1919" s="1"/>
      <c r="F1919" s="1"/>
      <c r="G1919" s="1"/>
      <c r="H1919" s="1"/>
      <c r="I1919" s="2"/>
      <c r="J1919" s="1"/>
      <c r="K1919" s="1"/>
      <c r="L1919" s="1"/>
      <c r="M1919" s="1"/>
      <c r="N1919" s="1"/>
      <c r="O1919" s="1"/>
      <c r="P1919" s="1"/>
      <c r="Q1919" s="1"/>
      <c r="R1919" s="1"/>
      <c r="S1919" s="1"/>
      <c r="T1919" s="1"/>
      <c r="U1919" s="1"/>
      <c r="V1919" s="1"/>
      <c r="W1919" s="1"/>
      <c r="X1919" s="1"/>
    </row>
    <row x14ac:dyDescent="0.25" r="1920" customHeight="1" ht="18.75">
      <c r="A1920" s="1"/>
      <c r="B1920" s="1"/>
      <c r="C1920" s="3" t="s">
        <v>1861</v>
      </c>
      <c r="D1920" s="3" t="s">
        <v>1950</v>
      </c>
      <c r="E1920" s="1"/>
      <c r="F1920" s="1"/>
      <c r="G1920" s="1"/>
      <c r="H1920" s="1"/>
      <c r="I1920" s="2"/>
      <c r="J1920" s="1"/>
      <c r="K1920" s="1"/>
      <c r="L1920" s="1"/>
      <c r="M1920" s="1"/>
      <c r="N1920" s="1"/>
      <c r="O1920" s="1"/>
      <c r="P1920" s="1"/>
      <c r="Q1920" s="1"/>
      <c r="R1920" s="1"/>
      <c r="S1920" s="1"/>
      <c r="T1920" s="1"/>
      <c r="U1920" s="1"/>
      <c r="V1920" s="1"/>
      <c r="W1920" s="1"/>
      <c r="X1920" s="1"/>
    </row>
    <row x14ac:dyDescent="0.25" r="1921" customHeight="1" ht="18.75">
      <c r="A1921" s="1"/>
      <c r="B1921" s="1"/>
      <c r="C1921" s="3" t="s">
        <v>1861</v>
      </c>
      <c r="D1921" s="3" t="s">
        <v>1951</v>
      </c>
      <c r="E1921" s="1"/>
      <c r="F1921" s="1"/>
      <c r="G1921" s="1"/>
      <c r="H1921" s="1"/>
      <c r="I1921" s="2"/>
      <c r="J1921" s="1"/>
      <c r="K1921" s="1"/>
      <c r="L1921" s="1"/>
      <c r="M1921" s="1"/>
      <c r="N1921" s="1"/>
      <c r="O1921" s="1"/>
      <c r="P1921" s="1"/>
      <c r="Q1921" s="1"/>
      <c r="R1921" s="1"/>
      <c r="S1921" s="1"/>
      <c r="T1921" s="1"/>
      <c r="U1921" s="1"/>
      <c r="V1921" s="1"/>
      <c r="W1921" s="1"/>
      <c r="X1921" s="1"/>
    </row>
    <row x14ac:dyDescent="0.25" r="1922" customHeight="1" ht="18.75">
      <c r="A1922" s="1"/>
      <c r="B1922" s="1"/>
      <c r="C1922" s="3" t="s">
        <v>1861</v>
      </c>
      <c r="D1922" s="3" t="s">
        <v>1952</v>
      </c>
      <c r="E1922" s="1"/>
      <c r="F1922" s="1"/>
      <c r="G1922" s="1"/>
      <c r="H1922" s="1"/>
      <c r="I1922" s="2"/>
      <c r="J1922" s="1"/>
      <c r="K1922" s="1"/>
      <c r="L1922" s="1"/>
      <c r="M1922" s="1"/>
      <c r="N1922" s="1"/>
      <c r="O1922" s="1"/>
      <c r="P1922" s="1"/>
      <c r="Q1922" s="1"/>
      <c r="R1922" s="1"/>
      <c r="S1922" s="1"/>
      <c r="T1922" s="1"/>
      <c r="U1922" s="1"/>
      <c r="V1922" s="1"/>
      <c r="W1922" s="1"/>
      <c r="X1922" s="1"/>
    </row>
    <row x14ac:dyDescent="0.25" r="1923" customHeight="1" ht="18.75">
      <c r="A1923" s="1"/>
      <c r="B1923" s="1"/>
      <c r="C1923" s="3" t="s">
        <v>1861</v>
      </c>
      <c r="D1923" s="3" t="s">
        <v>1953</v>
      </c>
      <c r="E1923" s="1"/>
      <c r="F1923" s="1"/>
      <c r="G1923" s="1"/>
      <c r="H1923" s="1"/>
      <c r="I1923" s="2"/>
      <c r="J1923" s="1"/>
      <c r="K1923" s="1"/>
      <c r="L1923" s="1"/>
      <c r="M1923" s="1"/>
      <c r="N1923" s="1"/>
      <c r="O1923" s="1"/>
      <c r="P1923" s="1"/>
      <c r="Q1923" s="1"/>
      <c r="R1923" s="1"/>
      <c r="S1923" s="1"/>
      <c r="T1923" s="1"/>
      <c r="U1923" s="1"/>
      <c r="V1923" s="1"/>
      <c r="W1923" s="1"/>
      <c r="X1923" s="1"/>
    </row>
    <row x14ac:dyDescent="0.25" r="1924" customHeight="1" ht="18.75">
      <c r="A1924" s="1"/>
      <c r="B1924" s="1"/>
      <c r="C1924" s="3" t="s">
        <v>1861</v>
      </c>
      <c r="D1924" s="3" t="s">
        <v>1954</v>
      </c>
      <c r="E1924" s="1"/>
      <c r="F1924" s="1"/>
      <c r="G1924" s="1"/>
      <c r="H1924" s="1"/>
      <c r="I1924" s="2"/>
      <c r="J1924" s="1"/>
      <c r="K1924" s="1"/>
      <c r="L1924" s="1"/>
      <c r="M1924" s="1"/>
      <c r="N1924" s="1"/>
      <c r="O1924" s="1"/>
      <c r="P1924" s="1"/>
      <c r="Q1924" s="1"/>
      <c r="R1924" s="1"/>
      <c r="S1924" s="1"/>
      <c r="T1924" s="1"/>
      <c r="U1924" s="1"/>
      <c r="V1924" s="1"/>
      <c r="W1924" s="1"/>
      <c r="X1924" s="1"/>
    </row>
    <row x14ac:dyDescent="0.25" r="1925" customHeight="1" ht="18.75">
      <c r="A1925" s="1"/>
      <c r="B1925" s="1"/>
      <c r="C1925" s="3" t="s">
        <v>1861</v>
      </c>
      <c r="D1925" s="3" t="s">
        <v>1955</v>
      </c>
      <c r="E1925" s="1"/>
      <c r="F1925" s="1"/>
      <c r="G1925" s="1"/>
      <c r="H1925" s="1"/>
      <c r="I1925" s="2"/>
      <c r="J1925" s="1"/>
      <c r="K1925" s="1"/>
      <c r="L1925" s="1"/>
      <c r="M1925" s="1"/>
      <c r="N1925" s="1"/>
      <c r="O1925" s="1"/>
      <c r="P1925" s="1"/>
      <c r="Q1925" s="1"/>
      <c r="R1925" s="1"/>
      <c r="S1925" s="1"/>
      <c r="T1925" s="1"/>
      <c r="U1925" s="1"/>
      <c r="V1925" s="1"/>
      <c r="W1925" s="1"/>
      <c r="X1925" s="1"/>
    </row>
    <row x14ac:dyDescent="0.25" r="1926" customHeight="1" ht="18.75">
      <c r="A1926" s="1"/>
      <c r="B1926" s="1"/>
      <c r="C1926" s="3" t="s">
        <v>1861</v>
      </c>
      <c r="D1926" s="3" t="s">
        <v>1956</v>
      </c>
      <c r="E1926" s="1"/>
      <c r="F1926" s="1"/>
      <c r="G1926" s="1"/>
      <c r="H1926" s="1"/>
      <c r="I1926" s="2"/>
      <c r="J1926" s="1"/>
      <c r="K1926" s="1"/>
      <c r="L1926" s="1"/>
      <c r="M1926" s="1"/>
      <c r="N1926" s="1"/>
      <c r="O1926" s="1"/>
      <c r="P1926" s="1"/>
      <c r="Q1926" s="1"/>
      <c r="R1926" s="1"/>
      <c r="S1926" s="1"/>
      <c r="T1926" s="1"/>
      <c r="U1926" s="1"/>
      <c r="V1926" s="1"/>
      <c r="W1926" s="1"/>
      <c r="X1926" s="1"/>
    </row>
    <row x14ac:dyDescent="0.25" r="1927" customHeight="1" ht="18.75">
      <c r="A1927" s="1"/>
      <c r="B1927" s="1"/>
      <c r="C1927" s="3" t="s">
        <v>1861</v>
      </c>
      <c r="D1927" s="3" t="s">
        <v>1957</v>
      </c>
      <c r="E1927" s="1"/>
      <c r="F1927" s="1"/>
      <c r="G1927" s="1"/>
      <c r="H1927" s="1"/>
      <c r="I1927" s="2"/>
      <c r="J1927" s="1"/>
      <c r="K1927" s="1"/>
      <c r="L1927" s="1"/>
      <c r="M1927" s="1"/>
      <c r="N1927" s="1"/>
      <c r="O1927" s="1"/>
      <c r="P1927" s="1"/>
      <c r="Q1927" s="1"/>
      <c r="R1927" s="1"/>
      <c r="S1927" s="1"/>
      <c r="T1927" s="1"/>
      <c r="U1927" s="1"/>
      <c r="V1927" s="1"/>
      <c r="W1927" s="1"/>
      <c r="X1927" s="1"/>
    </row>
    <row x14ac:dyDescent="0.25" r="1928" customHeight="1" ht="18.75">
      <c r="A1928" s="1"/>
      <c r="B1928" s="1"/>
      <c r="C1928" s="3" t="s">
        <v>1861</v>
      </c>
      <c r="D1928" s="3" t="s">
        <v>1958</v>
      </c>
      <c r="E1928" s="1"/>
      <c r="F1928" s="1"/>
      <c r="G1928" s="1"/>
      <c r="H1928" s="1"/>
      <c r="I1928" s="2"/>
      <c r="J1928" s="1"/>
      <c r="K1928" s="1"/>
      <c r="L1928" s="1"/>
      <c r="M1928" s="1"/>
      <c r="N1928" s="1"/>
      <c r="O1928" s="1"/>
      <c r="P1928" s="1"/>
      <c r="Q1928" s="1"/>
      <c r="R1928" s="1"/>
      <c r="S1928" s="1"/>
      <c r="T1928" s="1"/>
      <c r="U1928" s="1"/>
      <c r="V1928" s="1"/>
      <c r="W1928" s="1"/>
      <c r="X1928" s="1"/>
    </row>
    <row x14ac:dyDescent="0.25" r="1929" customHeight="1" ht="18.75">
      <c r="A1929" s="1"/>
      <c r="B1929" s="1"/>
      <c r="C1929" s="3" t="s">
        <v>1861</v>
      </c>
      <c r="D1929" s="3" t="s">
        <v>1959</v>
      </c>
      <c r="E1929" s="1"/>
      <c r="F1929" s="1"/>
      <c r="G1929" s="1"/>
      <c r="H1929" s="1"/>
      <c r="I1929" s="2"/>
      <c r="J1929" s="1"/>
      <c r="K1929" s="1"/>
      <c r="L1929" s="1"/>
      <c r="M1929" s="1"/>
      <c r="N1929" s="1"/>
      <c r="O1929" s="1"/>
      <c r="P1929" s="1"/>
      <c r="Q1929" s="1"/>
      <c r="R1929" s="1"/>
      <c r="S1929" s="1"/>
      <c r="T1929" s="1"/>
      <c r="U1929" s="1"/>
      <c r="V1929" s="1"/>
      <c r="W1929" s="1"/>
      <c r="X1929" s="1"/>
    </row>
    <row x14ac:dyDescent="0.25" r="1930" customHeight="1" ht="18.75">
      <c r="A1930" s="1"/>
      <c r="B1930" s="1"/>
      <c r="C1930" s="3" t="s">
        <v>1861</v>
      </c>
      <c r="D1930" s="3" t="s">
        <v>1960</v>
      </c>
      <c r="E1930" s="1"/>
      <c r="F1930" s="1"/>
      <c r="G1930" s="1"/>
      <c r="H1930" s="1"/>
      <c r="I1930" s="2"/>
      <c r="J1930" s="1"/>
      <c r="K1930" s="1"/>
      <c r="L1930" s="1"/>
      <c r="M1930" s="1"/>
      <c r="N1930" s="1"/>
      <c r="O1930" s="1"/>
      <c r="P1930" s="1"/>
      <c r="Q1930" s="1"/>
      <c r="R1930" s="1"/>
      <c r="S1930" s="1"/>
      <c r="T1930" s="1"/>
      <c r="U1930" s="1"/>
      <c r="V1930" s="1"/>
      <c r="W1930" s="1"/>
      <c r="X1930" s="1"/>
    </row>
    <row x14ac:dyDescent="0.25" r="1931" customHeight="1" ht="18.75">
      <c r="A1931" s="1"/>
      <c r="B1931" s="1"/>
      <c r="C1931" s="3" t="s">
        <v>1861</v>
      </c>
      <c r="D1931" s="3" t="s">
        <v>1961</v>
      </c>
      <c r="E1931" s="1"/>
      <c r="F1931" s="1"/>
      <c r="G1931" s="1"/>
      <c r="H1931" s="1"/>
      <c r="I1931" s="2"/>
      <c r="J1931" s="1"/>
      <c r="K1931" s="1"/>
      <c r="L1931" s="1"/>
      <c r="M1931" s="1"/>
      <c r="N1931" s="1"/>
      <c r="O1931" s="1"/>
      <c r="P1931" s="1"/>
      <c r="Q1931" s="1"/>
      <c r="R1931" s="1"/>
      <c r="S1931" s="1"/>
      <c r="T1931" s="1"/>
      <c r="U1931" s="1"/>
      <c r="V1931" s="1"/>
      <c r="W1931" s="1"/>
      <c r="X1931" s="1"/>
    </row>
    <row x14ac:dyDescent="0.25" r="1932" customHeight="1" ht="18.75">
      <c r="A1932" s="1"/>
      <c r="B1932" s="1"/>
      <c r="C1932" s="3" t="s">
        <v>1861</v>
      </c>
      <c r="D1932" s="3" t="s">
        <v>1962</v>
      </c>
      <c r="E1932" s="1"/>
      <c r="F1932" s="1"/>
      <c r="G1932" s="1"/>
      <c r="H1932" s="1"/>
      <c r="I1932" s="2"/>
      <c r="J1932" s="1"/>
      <c r="K1932" s="1"/>
      <c r="L1932" s="1"/>
      <c r="M1932" s="1"/>
      <c r="N1932" s="1"/>
      <c r="O1932" s="1"/>
      <c r="P1932" s="1"/>
      <c r="Q1932" s="1"/>
      <c r="R1932" s="1"/>
      <c r="S1932" s="1"/>
      <c r="T1932" s="1"/>
      <c r="U1932" s="1"/>
      <c r="V1932" s="1"/>
      <c r="W1932" s="1"/>
      <c r="X1932" s="1"/>
    </row>
    <row x14ac:dyDescent="0.25" r="1933" customHeight="1" ht="18.75">
      <c r="A1933" s="1"/>
      <c r="B1933" s="1"/>
      <c r="C1933" s="3" t="s">
        <v>1861</v>
      </c>
      <c r="D1933" s="3" t="s">
        <v>1963</v>
      </c>
      <c r="E1933" s="1"/>
      <c r="F1933" s="1"/>
      <c r="G1933" s="1"/>
      <c r="H1933" s="1"/>
      <c r="I1933" s="2"/>
      <c r="J1933" s="1"/>
      <c r="K1933" s="1"/>
      <c r="L1933" s="1"/>
      <c r="M1933" s="1"/>
      <c r="N1933" s="1"/>
      <c r="O1933" s="1"/>
      <c r="P1933" s="1"/>
      <c r="Q1933" s="1"/>
      <c r="R1933" s="1"/>
      <c r="S1933" s="1"/>
      <c r="T1933" s="1"/>
      <c r="U1933" s="1"/>
      <c r="V1933" s="1"/>
      <c r="W1933" s="1"/>
      <c r="X1933" s="1"/>
    </row>
    <row x14ac:dyDescent="0.25" r="1934" customHeight="1" ht="18.75">
      <c r="A1934" s="1"/>
      <c r="B1934" s="1"/>
      <c r="C1934" s="3" t="s">
        <v>1861</v>
      </c>
      <c r="D1934" s="3" t="s">
        <v>1964</v>
      </c>
      <c r="E1934" s="1"/>
      <c r="F1934" s="1"/>
      <c r="G1934" s="1"/>
      <c r="H1934" s="1"/>
      <c r="I1934" s="2"/>
      <c r="J1934" s="1"/>
      <c r="K1934" s="1"/>
      <c r="L1934" s="1"/>
      <c r="M1934" s="1"/>
      <c r="N1934" s="1"/>
      <c r="O1934" s="1"/>
      <c r="P1934" s="1"/>
      <c r="Q1934" s="1"/>
      <c r="R1934" s="1"/>
      <c r="S1934" s="1"/>
      <c r="T1934" s="1"/>
      <c r="U1934" s="1"/>
      <c r="V1934" s="1"/>
      <c r="W1934" s="1"/>
      <c r="X1934" s="1"/>
    </row>
    <row x14ac:dyDescent="0.25" r="1935" customHeight="1" ht="18.75">
      <c r="A1935" s="1"/>
      <c r="B1935" s="1"/>
      <c r="C1935" s="3" t="s">
        <v>1861</v>
      </c>
      <c r="D1935" s="3" t="s">
        <v>1965</v>
      </c>
      <c r="E1935" s="1"/>
      <c r="F1935" s="1"/>
      <c r="G1935" s="1"/>
      <c r="H1935" s="1"/>
      <c r="I1935" s="2"/>
      <c r="J1935" s="1"/>
      <c r="K1935" s="1"/>
      <c r="L1935" s="1"/>
      <c r="M1935" s="1"/>
      <c r="N1935" s="1"/>
      <c r="O1935" s="1"/>
      <c r="P1935" s="1"/>
      <c r="Q1935" s="1"/>
      <c r="R1935" s="1"/>
      <c r="S1935" s="1"/>
      <c r="T1935" s="1"/>
      <c r="U1935" s="1"/>
      <c r="V1935" s="1"/>
      <c r="W1935" s="1"/>
      <c r="X1935" s="1"/>
    </row>
    <row x14ac:dyDescent="0.25" r="1936" customHeight="1" ht="18.75">
      <c r="A1936" s="1"/>
      <c r="B1936" s="1"/>
      <c r="C1936" s="3" t="s">
        <v>1861</v>
      </c>
      <c r="D1936" s="3" t="s">
        <v>1966</v>
      </c>
      <c r="E1936" s="1"/>
      <c r="F1936" s="1"/>
      <c r="G1936" s="1"/>
      <c r="H1936" s="1"/>
      <c r="I1936" s="2"/>
      <c r="J1936" s="1"/>
      <c r="K1936" s="1"/>
      <c r="L1936" s="1"/>
      <c r="M1936" s="1"/>
      <c r="N1936" s="1"/>
      <c r="O1936" s="1"/>
      <c r="P1936" s="1"/>
      <c r="Q1936" s="1"/>
      <c r="R1936" s="1"/>
      <c r="S1936" s="1"/>
      <c r="T1936" s="1"/>
      <c r="U1936" s="1"/>
      <c r="V1936" s="1"/>
      <c r="W1936" s="1"/>
      <c r="X1936" s="1"/>
    </row>
    <row x14ac:dyDescent="0.25" r="1937" customHeight="1" ht="18.75">
      <c r="A1937" s="1"/>
      <c r="B1937" s="1"/>
      <c r="C1937" s="3" t="s">
        <v>1861</v>
      </c>
      <c r="D1937" s="3" t="s">
        <v>1967</v>
      </c>
      <c r="E1937" s="1"/>
      <c r="F1937" s="1"/>
      <c r="G1937" s="1"/>
      <c r="H1937" s="1"/>
      <c r="I1937" s="2"/>
      <c r="J1937" s="1"/>
      <c r="K1937" s="1"/>
      <c r="L1937" s="1"/>
      <c r="M1937" s="1"/>
      <c r="N1937" s="1"/>
      <c r="O1937" s="1"/>
      <c r="P1937" s="1"/>
      <c r="Q1937" s="1"/>
      <c r="R1937" s="1"/>
      <c r="S1937" s="1"/>
      <c r="T1937" s="1"/>
      <c r="U1937" s="1"/>
      <c r="V1937" s="1"/>
      <c r="W1937" s="1"/>
      <c r="X1937" s="1"/>
    </row>
    <row x14ac:dyDescent="0.25" r="1938" customHeight="1" ht="18.75">
      <c r="A1938" s="1"/>
      <c r="B1938" s="1"/>
      <c r="C1938" s="3" t="s">
        <v>1861</v>
      </c>
      <c r="D1938" s="3" t="s">
        <v>1968</v>
      </c>
      <c r="E1938" s="1"/>
      <c r="F1938" s="1"/>
      <c r="G1938" s="1"/>
      <c r="H1938" s="1"/>
      <c r="I1938" s="2"/>
      <c r="J1938" s="1"/>
      <c r="K1938" s="1"/>
      <c r="L1938" s="1"/>
      <c r="M1938" s="1"/>
      <c r="N1938" s="1"/>
      <c r="O1938" s="1"/>
      <c r="P1938" s="1"/>
      <c r="Q1938" s="1"/>
      <c r="R1938" s="1"/>
      <c r="S1938" s="1"/>
      <c r="T1938" s="1"/>
      <c r="U1938" s="1"/>
      <c r="V1938" s="1"/>
      <c r="W1938" s="1"/>
      <c r="X1938" s="1"/>
    </row>
    <row x14ac:dyDescent="0.25" r="1939" customHeight="1" ht="18.75">
      <c r="A1939" s="1"/>
      <c r="B1939" s="1"/>
      <c r="C1939" s="3" t="s">
        <v>1861</v>
      </c>
      <c r="D1939" s="3" t="s">
        <v>1969</v>
      </c>
      <c r="E1939" s="1"/>
      <c r="F1939" s="1"/>
      <c r="G1939" s="1"/>
      <c r="H1939" s="1"/>
      <c r="I1939" s="2"/>
      <c r="J1939" s="1"/>
      <c r="K1939" s="1"/>
      <c r="L1939" s="1"/>
      <c r="M1939" s="1"/>
      <c r="N1939" s="1"/>
      <c r="O1939" s="1"/>
      <c r="P1939" s="1"/>
      <c r="Q1939" s="1"/>
      <c r="R1939" s="1"/>
      <c r="S1939" s="1"/>
      <c r="T1939" s="1"/>
      <c r="U1939" s="1"/>
      <c r="V1939" s="1"/>
      <c r="W1939" s="1"/>
      <c r="X1939" s="1"/>
    </row>
    <row x14ac:dyDescent="0.25" r="1940" customHeight="1" ht="18.75">
      <c r="A1940" s="1"/>
      <c r="B1940" s="1"/>
      <c r="C1940" s="3" t="s">
        <v>1861</v>
      </c>
      <c r="D1940" s="3" t="s">
        <v>1970</v>
      </c>
      <c r="E1940" s="1"/>
      <c r="F1940" s="1"/>
      <c r="G1940" s="1"/>
      <c r="H1940" s="1"/>
      <c r="I1940" s="2"/>
      <c r="J1940" s="1"/>
      <c r="K1940" s="1"/>
      <c r="L1940" s="1"/>
      <c r="M1940" s="1"/>
      <c r="N1940" s="1"/>
      <c r="O1940" s="1"/>
      <c r="P1940" s="1"/>
      <c r="Q1940" s="1"/>
      <c r="R1940" s="1"/>
      <c r="S1940" s="1"/>
      <c r="T1940" s="1"/>
      <c r="U1940" s="1"/>
      <c r="V1940" s="1"/>
      <c r="W1940" s="1"/>
      <c r="X1940" s="1"/>
    </row>
    <row x14ac:dyDescent="0.25" r="1941" customHeight="1" ht="18.75">
      <c r="A1941" s="1"/>
      <c r="B1941" s="1"/>
      <c r="C1941" s="3" t="s">
        <v>1861</v>
      </c>
      <c r="D1941" s="3" t="s">
        <v>1971</v>
      </c>
      <c r="E1941" s="1"/>
      <c r="F1941" s="1"/>
      <c r="G1941" s="1"/>
      <c r="H1941" s="1"/>
      <c r="I1941" s="2"/>
      <c r="J1941" s="1"/>
      <c r="K1941" s="1"/>
      <c r="L1941" s="1"/>
      <c r="M1941" s="1"/>
      <c r="N1941" s="1"/>
      <c r="O1941" s="1"/>
      <c r="P1941" s="1"/>
      <c r="Q1941" s="1"/>
      <c r="R1941" s="1"/>
      <c r="S1941" s="1"/>
      <c r="T1941" s="1"/>
      <c r="U1941" s="1"/>
      <c r="V1941" s="1"/>
      <c r="W1941" s="1"/>
      <c r="X1941" s="1"/>
    </row>
    <row x14ac:dyDescent="0.25" r="1942" customHeight="1" ht="18.75">
      <c r="A1942" s="1"/>
      <c r="B1942" s="1"/>
      <c r="C1942" s="3" t="s">
        <v>1861</v>
      </c>
      <c r="D1942" s="3" t="s">
        <v>1972</v>
      </c>
      <c r="E1942" s="1"/>
      <c r="F1942" s="1"/>
      <c r="G1942" s="1"/>
      <c r="H1942" s="1"/>
      <c r="I1942" s="2"/>
      <c r="J1942" s="1"/>
      <c r="K1942" s="1"/>
      <c r="L1942" s="1"/>
      <c r="M1942" s="1"/>
      <c r="N1942" s="1"/>
      <c r="O1942" s="1"/>
      <c r="P1942" s="1"/>
      <c r="Q1942" s="1"/>
      <c r="R1942" s="1"/>
      <c r="S1942" s="1"/>
      <c r="T1942" s="1"/>
      <c r="U1942" s="1"/>
      <c r="V1942" s="1"/>
      <c r="W1942" s="1"/>
      <c r="X1942" s="1"/>
    </row>
    <row x14ac:dyDescent="0.25" r="1943" customHeight="1" ht="18.75">
      <c r="A1943" s="1"/>
      <c r="B1943" s="1"/>
      <c r="C1943" s="3" t="s">
        <v>1861</v>
      </c>
      <c r="D1943" s="3" t="s">
        <v>1973</v>
      </c>
      <c r="E1943" s="1"/>
      <c r="F1943" s="1"/>
      <c r="G1943" s="1"/>
      <c r="H1943" s="1"/>
      <c r="I1943" s="2"/>
      <c r="J1943" s="1"/>
      <c r="K1943" s="1"/>
      <c r="L1943" s="1"/>
      <c r="M1943" s="1"/>
      <c r="N1943" s="1"/>
      <c r="O1943" s="1"/>
      <c r="P1943" s="1"/>
      <c r="Q1943" s="1"/>
      <c r="R1943" s="1"/>
      <c r="S1943" s="1"/>
      <c r="T1943" s="1"/>
      <c r="U1943" s="1"/>
      <c r="V1943" s="1"/>
      <c r="W1943" s="1"/>
      <c r="X1943" s="1"/>
    </row>
    <row x14ac:dyDescent="0.25" r="1944" customHeight="1" ht="18.75">
      <c r="A1944" s="1"/>
      <c r="B1944" s="1"/>
      <c r="C1944" s="3" t="s">
        <v>1861</v>
      </c>
      <c r="D1944" s="3" t="s">
        <v>1974</v>
      </c>
      <c r="E1944" s="1"/>
      <c r="F1944" s="1"/>
      <c r="G1944" s="1"/>
      <c r="H1944" s="1"/>
      <c r="I1944" s="2"/>
      <c r="J1944" s="1"/>
      <c r="K1944" s="1"/>
      <c r="L1944" s="1"/>
      <c r="M1944" s="1"/>
      <c r="N1944" s="1"/>
      <c r="O1944" s="1"/>
      <c r="P1944" s="1"/>
      <c r="Q1944" s="1"/>
      <c r="R1944" s="1"/>
      <c r="S1944" s="1"/>
      <c r="T1944" s="1"/>
      <c r="U1944" s="1"/>
      <c r="V1944" s="1"/>
      <c r="W1944" s="1"/>
      <c r="X1944" s="1"/>
    </row>
    <row x14ac:dyDescent="0.25" r="1945" customHeight="1" ht="18.75">
      <c r="A1945" s="1"/>
      <c r="B1945" s="1"/>
      <c r="C1945" s="3" t="s">
        <v>1861</v>
      </c>
      <c r="D1945" s="3" t="s">
        <v>1975</v>
      </c>
      <c r="E1945" s="1"/>
      <c r="F1945" s="1"/>
      <c r="G1945" s="1"/>
      <c r="H1945" s="1"/>
      <c r="I1945" s="2"/>
      <c r="J1945" s="1"/>
      <c r="K1945" s="1"/>
      <c r="L1945" s="1"/>
      <c r="M1945" s="1"/>
      <c r="N1945" s="1"/>
      <c r="O1945" s="1"/>
      <c r="P1945" s="1"/>
      <c r="Q1945" s="1"/>
      <c r="R1945" s="1"/>
      <c r="S1945" s="1"/>
      <c r="T1945" s="1"/>
      <c r="U1945" s="1"/>
      <c r="V1945" s="1"/>
      <c r="W1945" s="1"/>
      <c r="X1945" s="1"/>
    </row>
    <row x14ac:dyDescent="0.25" r="1946" customHeight="1" ht="18.75">
      <c r="A1946" s="1"/>
      <c r="B1946" s="1"/>
      <c r="C1946" s="3" t="s">
        <v>1861</v>
      </c>
      <c r="D1946" s="3" t="s">
        <v>1976</v>
      </c>
      <c r="E1946" s="1"/>
      <c r="F1946" s="1"/>
      <c r="G1946" s="1"/>
      <c r="H1946" s="1"/>
      <c r="I1946" s="2"/>
      <c r="J1946" s="1"/>
      <c r="K1946" s="1"/>
      <c r="L1946" s="1"/>
      <c r="M1946" s="1"/>
      <c r="N1946" s="1"/>
      <c r="O1946" s="1"/>
      <c r="P1946" s="1"/>
      <c r="Q1946" s="1"/>
      <c r="R1946" s="1"/>
      <c r="S1946" s="1"/>
      <c r="T1946" s="1"/>
      <c r="U1946" s="1"/>
      <c r="V1946" s="1"/>
      <c r="W1946" s="1"/>
      <c r="X1946" s="1"/>
    </row>
    <row x14ac:dyDescent="0.25" r="1947" customHeight="1" ht="18.75">
      <c r="A1947" s="1"/>
      <c r="B1947" s="1"/>
      <c r="C1947" s="3" t="s">
        <v>1861</v>
      </c>
      <c r="D1947" s="3" t="s">
        <v>1977</v>
      </c>
      <c r="E1947" s="1"/>
      <c r="F1947" s="1"/>
      <c r="G1947" s="1"/>
      <c r="H1947" s="1"/>
      <c r="I1947" s="2"/>
      <c r="J1947" s="1"/>
      <c r="K1947" s="1"/>
      <c r="L1947" s="1"/>
      <c r="M1947" s="1"/>
      <c r="N1947" s="1"/>
      <c r="O1947" s="1"/>
      <c r="P1947" s="1"/>
      <c r="Q1947" s="1"/>
      <c r="R1947" s="1"/>
      <c r="S1947" s="1"/>
      <c r="T1947" s="1"/>
      <c r="U1947" s="1"/>
      <c r="V1947" s="1"/>
      <c r="W1947" s="1"/>
      <c r="X1947" s="1"/>
    </row>
    <row x14ac:dyDescent="0.25" r="1948" customHeight="1" ht="18.75">
      <c r="A1948" s="1"/>
      <c r="B1948" s="1"/>
      <c r="C1948" s="3" t="s">
        <v>1861</v>
      </c>
      <c r="D1948" s="3" t="s">
        <v>1978</v>
      </c>
      <c r="E1948" s="1"/>
      <c r="F1948" s="1"/>
      <c r="G1948" s="1"/>
      <c r="H1948" s="1"/>
      <c r="I1948" s="2"/>
      <c r="J1948" s="1"/>
      <c r="K1948" s="1"/>
      <c r="L1948" s="1"/>
      <c r="M1948" s="1"/>
      <c r="N1948" s="1"/>
      <c r="O1948" s="1"/>
      <c r="P1948" s="1"/>
      <c r="Q1948" s="1"/>
      <c r="R1948" s="1"/>
      <c r="S1948" s="1"/>
      <c r="T1948" s="1"/>
      <c r="U1948" s="1"/>
      <c r="V1948" s="1"/>
      <c r="W1948" s="1"/>
      <c r="X1948" s="1"/>
    </row>
    <row x14ac:dyDescent="0.25" r="1949" customHeight="1" ht="18.75">
      <c r="A1949" s="1"/>
      <c r="B1949" s="1"/>
      <c r="C1949" s="3" t="s">
        <v>1861</v>
      </c>
      <c r="D1949" s="3" t="s">
        <v>1979</v>
      </c>
      <c r="E1949" s="1"/>
      <c r="F1949" s="1"/>
      <c r="G1949" s="1"/>
      <c r="H1949" s="1"/>
      <c r="I1949" s="2"/>
      <c r="J1949" s="1"/>
      <c r="K1949" s="1"/>
      <c r="L1949" s="1"/>
      <c r="M1949" s="1"/>
      <c r="N1949" s="1"/>
      <c r="O1949" s="1"/>
      <c r="P1949" s="1"/>
      <c r="Q1949" s="1"/>
      <c r="R1949" s="1"/>
      <c r="S1949" s="1"/>
      <c r="T1949" s="1"/>
      <c r="U1949" s="1"/>
      <c r="V1949" s="1"/>
      <c r="W1949" s="1"/>
      <c r="X1949" s="1"/>
    </row>
    <row x14ac:dyDescent="0.25" r="1950" customHeight="1" ht="18.75">
      <c r="A1950" s="1"/>
      <c r="B1950" s="1"/>
      <c r="C1950" s="3" t="s">
        <v>1861</v>
      </c>
      <c r="D1950" s="3" t="s">
        <v>1980</v>
      </c>
      <c r="E1950" s="1"/>
      <c r="F1950" s="1"/>
      <c r="G1950" s="1"/>
      <c r="H1950" s="1"/>
      <c r="I1950" s="2"/>
      <c r="J1950" s="1"/>
      <c r="K1950" s="1"/>
      <c r="L1950" s="1"/>
      <c r="M1950" s="1"/>
      <c r="N1950" s="1"/>
      <c r="O1950" s="1"/>
      <c r="P1950" s="1"/>
      <c r="Q1950" s="1"/>
      <c r="R1950" s="1"/>
      <c r="S1950" s="1"/>
      <c r="T1950" s="1"/>
      <c r="U1950" s="1"/>
      <c r="V1950" s="1"/>
      <c r="W1950" s="1"/>
      <c r="X1950" s="1"/>
    </row>
    <row x14ac:dyDescent="0.25" r="1951" customHeight="1" ht="18.75">
      <c r="A1951" s="1"/>
      <c r="B1951" s="1"/>
      <c r="C1951" s="3" t="s">
        <v>1861</v>
      </c>
      <c r="D1951" s="3" t="s">
        <v>1981</v>
      </c>
      <c r="E1951" s="1"/>
      <c r="F1951" s="1"/>
      <c r="G1951" s="1"/>
      <c r="H1951" s="1"/>
      <c r="I1951" s="2"/>
      <c r="J1951" s="1"/>
      <c r="K1951" s="1"/>
      <c r="L1951" s="1"/>
      <c r="M1951" s="1"/>
      <c r="N1951" s="1"/>
      <c r="O1951" s="1"/>
      <c r="P1951" s="1"/>
      <c r="Q1951" s="1"/>
      <c r="R1951" s="1"/>
      <c r="S1951" s="1"/>
      <c r="T1951" s="1"/>
      <c r="U1951" s="1"/>
      <c r="V1951" s="1"/>
      <c r="W1951" s="1"/>
      <c r="X1951" s="1"/>
    </row>
    <row x14ac:dyDescent="0.25" r="1952" customHeight="1" ht="18.75">
      <c r="A1952" s="1"/>
      <c r="B1952" s="1"/>
      <c r="C1952" s="3" t="s">
        <v>1861</v>
      </c>
      <c r="D1952" s="3" t="s">
        <v>1982</v>
      </c>
      <c r="E1952" s="1"/>
      <c r="F1952" s="1"/>
      <c r="G1952" s="1"/>
      <c r="H1952" s="1"/>
      <c r="I1952" s="2"/>
      <c r="J1952" s="1"/>
      <c r="K1952" s="1"/>
      <c r="L1952" s="1"/>
      <c r="M1952" s="1"/>
      <c r="N1952" s="1"/>
      <c r="O1952" s="1"/>
      <c r="P1952" s="1"/>
      <c r="Q1952" s="1"/>
      <c r="R1952" s="1"/>
      <c r="S1952" s="1"/>
      <c r="T1952" s="1"/>
      <c r="U1952" s="1"/>
      <c r="V1952" s="1"/>
      <c r="W1952" s="1"/>
      <c r="X1952" s="1"/>
    </row>
    <row x14ac:dyDescent="0.25" r="1953" customHeight="1" ht="18.75">
      <c r="A1953" s="1"/>
      <c r="B1953" s="1"/>
      <c r="C1953" s="3" t="s">
        <v>1861</v>
      </c>
      <c r="D1953" s="3" t="s">
        <v>1983</v>
      </c>
      <c r="E1953" s="1"/>
      <c r="F1953" s="1"/>
      <c r="G1953" s="1"/>
      <c r="H1953" s="1"/>
      <c r="I1953" s="2"/>
      <c r="J1953" s="1"/>
      <c r="K1953" s="1"/>
      <c r="L1953" s="1"/>
      <c r="M1953" s="1"/>
      <c r="N1953" s="1"/>
      <c r="O1953" s="1"/>
      <c r="P1953" s="1"/>
      <c r="Q1953" s="1"/>
      <c r="R1953" s="1"/>
      <c r="S1953" s="1"/>
      <c r="T1953" s="1"/>
      <c r="U1953" s="1"/>
      <c r="V1953" s="1"/>
      <c r="W1953" s="1"/>
      <c r="X1953" s="1"/>
    </row>
    <row x14ac:dyDescent="0.25" r="1954" customHeight="1" ht="18.75">
      <c r="A1954" s="1"/>
      <c r="B1954" s="1"/>
      <c r="C1954" s="3" t="s">
        <v>1861</v>
      </c>
      <c r="D1954" s="3" t="s">
        <v>1984</v>
      </c>
      <c r="E1954" s="1"/>
      <c r="F1954" s="1"/>
      <c r="G1954" s="1"/>
      <c r="H1954" s="1"/>
      <c r="I1954" s="2"/>
      <c r="J1954" s="1"/>
      <c r="K1954" s="1"/>
      <c r="L1954" s="1"/>
      <c r="M1954" s="1"/>
      <c r="N1954" s="1"/>
      <c r="O1954" s="1"/>
      <c r="P1954" s="1"/>
      <c r="Q1954" s="1"/>
      <c r="R1954" s="1"/>
      <c r="S1954" s="1"/>
      <c r="T1954" s="1"/>
      <c r="U1954" s="1"/>
      <c r="V1954" s="1"/>
      <c r="W1954" s="1"/>
      <c r="X1954" s="1"/>
    </row>
    <row x14ac:dyDescent="0.25" r="1955" customHeight="1" ht="18.75">
      <c r="A1955" s="1"/>
      <c r="B1955" s="1"/>
      <c r="C1955" s="3" t="s">
        <v>1861</v>
      </c>
      <c r="D1955" s="3" t="s">
        <v>1985</v>
      </c>
      <c r="E1955" s="1"/>
      <c r="F1955" s="1"/>
      <c r="G1955" s="1"/>
      <c r="H1955" s="1"/>
      <c r="I1955" s="2"/>
      <c r="J1955" s="1"/>
      <c r="K1955" s="1"/>
      <c r="L1955" s="1"/>
      <c r="M1955" s="1"/>
      <c r="N1955" s="1"/>
      <c r="O1955" s="1"/>
      <c r="P1955" s="1"/>
      <c r="Q1955" s="1"/>
      <c r="R1955" s="1"/>
      <c r="S1955" s="1"/>
      <c r="T1955" s="1"/>
      <c r="U1955" s="1"/>
      <c r="V1955" s="1"/>
      <c r="W1955" s="1"/>
      <c r="X1955" s="1"/>
    </row>
    <row x14ac:dyDescent="0.25" r="1956" customHeight="1" ht="18.75">
      <c r="A1956" s="1"/>
      <c r="B1956" s="1"/>
      <c r="C1956" s="3" t="s">
        <v>1861</v>
      </c>
      <c r="D1956" s="3" t="s">
        <v>1986</v>
      </c>
      <c r="E1956" s="1"/>
      <c r="F1956" s="1"/>
      <c r="G1956" s="1"/>
      <c r="H1956" s="1"/>
      <c r="I1956" s="2"/>
      <c r="J1956" s="1"/>
      <c r="K1956" s="1"/>
      <c r="L1956" s="1"/>
      <c r="M1956" s="1"/>
      <c r="N1956" s="1"/>
      <c r="O1956" s="1"/>
      <c r="P1956" s="1"/>
      <c r="Q1956" s="1"/>
      <c r="R1956" s="1"/>
      <c r="S1956" s="1"/>
      <c r="T1956" s="1"/>
      <c r="U1956" s="1"/>
      <c r="V1956" s="1"/>
      <c r="W1956" s="1"/>
      <c r="X1956" s="1"/>
    </row>
    <row x14ac:dyDescent="0.25" r="1957" customHeight="1" ht="18.75">
      <c r="A1957" s="1"/>
      <c r="B1957" s="1"/>
      <c r="C1957" s="3" t="s">
        <v>1861</v>
      </c>
      <c r="D1957" s="3" t="s">
        <v>1987</v>
      </c>
      <c r="E1957" s="1"/>
      <c r="F1957" s="1"/>
      <c r="G1957" s="1"/>
      <c r="H1957" s="1"/>
      <c r="I1957" s="2"/>
      <c r="J1957" s="1"/>
      <c r="K1957" s="1"/>
      <c r="L1957" s="1"/>
      <c r="M1957" s="1"/>
      <c r="N1957" s="1"/>
      <c r="O1957" s="1"/>
      <c r="P1957" s="1"/>
      <c r="Q1957" s="1"/>
      <c r="R1957" s="1"/>
      <c r="S1957" s="1"/>
      <c r="T1957" s="1"/>
      <c r="U1957" s="1"/>
      <c r="V1957" s="1"/>
      <c r="W1957" s="1"/>
      <c r="X1957" s="1"/>
    </row>
    <row x14ac:dyDescent="0.25" r="1958" customHeight="1" ht="18.75">
      <c r="A1958" s="1"/>
      <c r="B1958" s="1"/>
      <c r="C1958" s="3" t="s">
        <v>1861</v>
      </c>
      <c r="D1958" s="3" t="s">
        <v>1988</v>
      </c>
      <c r="E1958" s="1"/>
      <c r="F1958" s="1"/>
      <c r="G1958" s="1"/>
      <c r="H1958" s="1"/>
      <c r="I1958" s="2"/>
      <c r="J1958" s="1"/>
      <c r="K1958" s="1"/>
      <c r="L1958" s="1"/>
      <c r="M1958" s="1"/>
      <c r="N1958" s="1"/>
      <c r="O1958" s="1"/>
      <c r="P1958" s="1"/>
      <c r="Q1958" s="1"/>
      <c r="R1958" s="1"/>
      <c r="S1958" s="1"/>
      <c r="T1958" s="1"/>
      <c r="U1958" s="1"/>
      <c r="V1958" s="1"/>
      <c r="W1958" s="1"/>
      <c r="X1958" s="1"/>
    </row>
    <row x14ac:dyDescent="0.25" r="1959" customHeight="1" ht="18.75">
      <c r="A1959" s="1"/>
      <c r="B1959" s="1"/>
      <c r="C1959" s="3" t="s">
        <v>1861</v>
      </c>
      <c r="D1959" s="3" t="s">
        <v>1989</v>
      </c>
      <c r="E1959" s="1"/>
      <c r="F1959" s="1"/>
      <c r="G1959" s="1"/>
      <c r="H1959" s="1"/>
      <c r="I1959" s="2"/>
      <c r="J1959" s="1"/>
      <c r="K1959" s="1"/>
      <c r="L1959" s="1"/>
      <c r="M1959" s="1"/>
      <c r="N1959" s="1"/>
      <c r="O1959" s="1"/>
      <c r="P1959" s="1"/>
      <c r="Q1959" s="1"/>
      <c r="R1959" s="1"/>
      <c r="S1959" s="1"/>
      <c r="T1959" s="1"/>
      <c r="U1959" s="1"/>
      <c r="V1959" s="1"/>
      <c r="W1959" s="1"/>
      <c r="X1959" s="1"/>
    </row>
    <row x14ac:dyDescent="0.25" r="1960" customHeight="1" ht="18.75">
      <c r="A1960" s="1"/>
      <c r="B1960" s="1"/>
      <c r="C1960" s="3" t="s">
        <v>1861</v>
      </c>
      <c r="D1960" s="3" t="s">
        <v>1990</v>
      </c>
      <c r="E1960" s="1"/>
      <c r="F1960" s="1"/>
      <c r="G1960" s="1"/>
      <c r="H1960" s="1"/>
      <c r="I1960" s="2"/>
      <c r="J1960" s="1"/>
      <c r="K1960" s="1"/>
      <c r="L1960" s="1"/>
      <c r="M1960" s="1"/>
      <c r="N1960" s="1"/>
      <c r="O1960" s="1"/>
      <c r="P1960" s="1"/>
      <c r="Q1960" s="1"/>
      <c r="R1960" s="1"/>
      <c r="S1960" s="1"/>
      <c r="T1960" s="1"/>
      <c r="U1960" s="1"/>
      <c r="V1960" s="1"/>
      <c r="W1960" s="1"/>
      <c r="X1960" s="1"/>
    </row>
    <row x14ac:dyDescent="0.25" r="1961" customHeight="1" ht="18.75">
      <c r="A1961" s="1"/>
      <c r="B1961" s="1"/>
      <c r="C1961" s="3" t="s">
        <v>1861</v>
      </c>
      <c r="D1961" s="3" t="s">
        <v>1991</v>
      </c>
      <c r="E1961" s="1"/>
      <c r="F1961" s="1"/>
      <c r="G1961" s="1"/>
      <c r="H1961" s="1"/>
      <c r="I1961" s="2"/>
      <c r="J1961" s="1"/>
      <c r="K1961" s="1"/>
      <c r="L1961" s="1"/>
      <c r="M1961" s="1"/>
      <c r="N1961" s="1"/>
      <c r="O1961" s="1"/>
      <c r="P1961" s="1"/>
      <c r="Q1961" s="1"/>
      <c r="R1961" s="1"/>
      <c r="S1961" s="1"/>
      <c r="T1961" s="1"/>
      <c r="U1961" s="1"/>
      <c r="V1961" s="1"/>
      <c r="W1961" s="1"/>
      <c r="X1961" s="1"/>
    </row>
    <row x14ac:dyDescent="0.25" r="1962" customHeight="1" ht="18.75">
      <c r="A1962" s="1"/>
      <c r="B1962" s="1"/>
      <c r="C1962" s="3" t="s">
        <v>1861</v>
      </c>
      <c r="D1962" s="3" t="s">
        <v>1992</v>
      </c>
      <c r="E1962" s="1"/>
      <c r="F1962" s="1"/>
      <c r="G1962" s="1"/>
      <c r="H1962" s="1"/>
      <c r="I1962" s="2"/>
      <c r="J1962" s="1"/>
      <c r="K1962" s="1"/>
      <c r="L1962" s="1"/>
      <c r="M1962" s="1"/>
      <c r="N1962" s="1"/>
      <c r="O1962" s="1"/>
      <c r="P1962" s="1"/>
      <c r="Q1962" s="1"/>
      <c r="R1962" s="1"/>
      <c r="S1962" s="1"/>
      <c r="T1962" s="1"/>
      <c r="U1962" s="1"/>
      <c r="V1962" s="1"/>
      <c r="W1962" s="1"/>
      <c r="X1962" s="1"/>
    </row>
    <row x14ac:dyDescent="0.25" r="1963" customHeight="1" ht="18.75">
      <c r="A1963" s="1"/>
      <c r="B1963" s="1"/>
      <c r="C1963" s="3" t="s">
        <v>1861</v>
      </c>
      <c r="D1963" s="3" t="s">
        <v>1993</v>
      </c>
      <c r="E1963" s="1"/>
      <c r="F1963" s="1"/>
      <c r="G1963" s="1"/>
      <c r="H1963" s="1"/>
      <c r="I1963" s="2"/>
      <c r="J1963" s="1"/>
      <c r="K1963" s="1"/>
      <c r="L1963" s="1"/>
      <c r="M1963" s="1"/>
      <c r="N1963" s="1"/>
      <c r="O1963" s="1"/>
      <c r="P1963" s="1"/>
      <c r="Q1963" s="1"/>
      <c r="R1963" s="1"/>
      <c r="S1963" s="1"/>
      <c r="T1963" s="1"/>
      <c r="U1963" s="1"/>
      <c r="V1963" s="1"/>
      <c r="W1963" s="1"/>
      <c r="X1963" s="1"/>
    </row>
    <row x14ac:dyDescent="0.25" r="1964" customHeight="1" ht="18.75">
      <c r="A1964" s="1"/>
      <c r="B1964" s="1"/>
      <c r="C1964" s="3" t="s">
        <v>1861</v>
      </c>
      <c r="D1964" s="3" t="s">
        <v>1994</v>
      </c>
      <c r="E1964" s="1"/>
      <c r="F1964" s="1"/>
      <c r="G1964" s="1"/>
      <c r="H1964" s="1"/>
      <c r="I1964" s="2"/>
      <c r="J1964" s="1"/>
      <c r="K1964" s="1"/>
      <c r="L1964" s="1"/>
      <c r="M1964" s="1"/>
      <c r="N1964" s="1"/>
      <c r="O1964" s="1"/>
      <c r="P1964" s="1"/>
      <c r="Q1964" s="1"/>
      <c r="R1964" s="1"/>
      <c r="S1964" s="1"/>
      <c r="T1964" s="1"/>
      <c r="U1964" s="1"/>
      <c r="V1964" s="1"/>
      <c r="W1964" s="1"/>
      <c r="X1964" s="1"/>
    </row>
    <row x14ac:dyDescent="0.25" r="1965" customHeight="1" ht="18.75">
      <c r="A1965" s="1"/>
      <c r="B1965" s="1"/>
      <c r="C1965" s="3" t="s">
        <v>1861</v>
      </c>
      <c r="D1965" s="3" t="s">
        <v>1995</v>
      </c>
      <c r="E1965" s="1"/>
      <c r="F1965" s="1"/>
      <c r="G1965" s="1"/>
      <c r="H1965" s="1"/>
      <c r="I1965" s="2"/>
      <c r="J1965" s="1"/>
      <c r="K1965" s="1"/>
      <c r="L1965" s="1"/>
      <c r="M1965" s="1"/>
      <c r="N1965" s="1"/>
      <c r="O1965" s="1"/>
      <c r="P1965" s="1"/>
      <c r="Q1965" s="1"/>
      <c r="R1965" s="1"/>
      <c r="S1965" s="1"/>
      <c r="T1965" s="1"/>
      <c r="U1965" s="1"/>
      <c r="V1965" s="1"/>
      <c r="W1965" s="1"/>
      <c r="X1965" s="1"/>
    </row>
    <row x14ac:dyDescent="0.25" r="1966" customHeight="1" ht="18.75">
      <c r="A1966" s="1"/>
      <c r="B1966" s="1"/>
      <c r="C1966" s="3" t="s">
        <v>1861</v>
      </c>
      <c r="D1966" s="3" t="s">
        <v>1996</v>
      </c>
      <c r="E1966" s="1"/>
      <c r="F1966" s="1"/>
      <c r="G1966" s="1"/>
      <c r="H1966" s="1"/>
      <c r="I1966" s="2"/>
      <c r="J1966" s="1"/>
      <c r="K1966" s="1"/>
      <c r="L1966" s="1"/>
      <c r="M1966" s="1"/>
      <c r="N1966" s="1"/>
      <c r="O1966" s="1"/>
      <c r="P1966" s="1"/>
      <c r="Q1966" s="1"/>
      <c r="R1966" s="1"/>
      <c r="S1966" s="1"/>
      <c r="T1966" s="1"/>
      <c r="U1966" s="1"/>
      <c r="V1966" s="1"/>
      <c r="W1966" s="1"/>
      <c r="X1966" s="1"/>
    </row>
    <row x14ac:dyDescent="0.25" r="1967" customHeight="1" ht="18.75">
      <c r="A1967" s="1"/>
      <c r="B1967" s="1"/>
      <c r="C1967" s="3" t="s">
        <v>1861</v>
      </c>
      <c r="D1967" s="3" t="s">
        <v>1997</v>
      </c>
      <c r="E1967" s="1"/>
      <c r="F1967" s="1"/>
      <c r="G1967" s="1"/>
      <c r="H1967" s="1"/>
      <c r="I1967" s="2"/>
      <c r="J1967" s="1"/>
      <c r="K1967" s="1"/>
      <c r="L1967" s="1"/>
      <c r="M1967" s="1"/>
      <c r="N1967" s="1"/>
      <c r="O1967" s="1"/>
      <c r="P1967" s="1"/>
      <c r="Q1967" s="1"/>
      <c r="R1967" s="1"/>
      <c r="S1967" s="1"/>
      <c r="T1967" s="1"/>
      <c r="U1967" s="1"/>
      <c r="V1967" s="1"/>
      <c r="W1967" s="1"/>
      <c r="X1967" s="1"/>
    </row>
    <row x14ac:dyDescent="0.25" r="1968" customHeight="1" ht="18.75">
      <c r="A1968" s="1"/>
      <c r="B1968" s="1"/>
      <c r="C1968" s="3" t="s">
        <v>1861</v>
      </c>
      <c r="D1968" s="3" t="s">
        <v>1998</v>
      </c>
      <c r="E1968" s="1"/>
      <c r="F1968" s="1"/>
      <c r="G1968" s="1"/>
      <c r="H1968" s="1"/>
      <c r="I1968" s="2"/>
      <c r="J1968" s="1"/>
      <c r="K1968" s="1"/>
      <c r="L1968" s="1"/>
      <c r="M1968" s="1"/>
      <c r="N1968" s="1"/>
      <c r="O1968" s="1"/>
      <c r="P1968" s="1"/>
      <c r="Q1968" s="1"/>
      <c r="R1968" s="1"/>
      <c r="S1968" s="1"/>
      <c r="T1968" s="1"/>
      <c r="U1968" s="1"/>
      <c r="V1968" s="1"/>
      <c r="W1968" s="1"/>
      <c r="X1968" s="1"/>
    </row>
    <row x14ac:dyDescent="0.25" r="1969" customHeight="1" ht="18.75">
      <c r="A1969" s="1"/>
      <c r="B1969" s="1"/>
      <c r="C1969" s="3" t="s">
        <v>1861</v>
      </c>
      <c r="D1969" s="3" t="s">
        <v>1999</v>
      </c>
      <c r="E1969" s="1"/>
      <c r="F1969" s="1"/>
      <c r="G1969" s="1"/>
      <c r="H1969" s="1"/>
      <c r="I1969" s="2"/>
      <c r="J1969" s="1"/>
      <c r="K1969" s="1"/>
      <c r="L1969" s="1"/>
      <c r="M1969" s="1"/>
      <c r="N1969" s="1"/>
      <c r="O1969" s="1"/>
      <c r="P1969" s="1"/>
      <c r="Q1969" s="1"/>
      <c r="R1969" s="1"/>
      <c r="S1969" s="1"/>
      <c r="T1969" s="1"/>
      <c r="U1969" s="1"/>
      <c r="V1969" s="1"/>
      <c r="W1969" s="1"/>
      <c r="X1969" s="1"/>
    </row>
    <row x14ac:dyDescent="0.25" r="1970" customHeight="1" ht="18.75">
      <c r="A1970" s="1"/>
      <c r="B1970" s="1"/>
      <c r="C1970" s="3" t="s">
        <v>1861</v>
      </c>
      <c r="D1970" s="3" t="s">
        <v>2000</v>
      </c>
      <c r="E1970" s="1"/>
      <c r="F1970" s="1"/>
      <c r="G1970" s="1"/>
      <c r="H1970" s="1"/>
      <c r="I1970" s="2"/>
      <c r="J1970" s="1"/>
      <c r="K1970" s="1"/>
      <c r="L1970" s="1"/>
      <c r="M1970" s="1"/>
      <c r="N1970" s="1"/>
      <c r="O1970" s="1"/>
      <c r="P1970" s="1"/>
      <c r="Q1970" s="1"/>
      <c r="R1970" s="1"/>
      <c r="S1970" s="1"/>
      <c r="T1970" s="1"/>
      <c r="U1970" s="1"/>
      <c r="V1970" s="1"/>
      <c r="W1970" s="1"/>
      <c r="X1970" s="1"/>
    </row>
    <row x14ac:dyDescent="0.25" r="1971" customHeight="1" ht="18.75">
      <c r="A1971" s="1"/>
      <c r="B1971" s="1"/>
      <c r="C1971" s="3" t="s">
        <v>1861</v>
      </c>
      <c r="D1971" s="3" t="s">
        <v>2001</v>
      </c>
      <c r="E1971" s="1"/>
      <c r="F1971" s="1"/>
      <c r="G1971" s="1"/>
      <c r="H1971" s="1"/>
      <c r="I1971" s="2"/>
      <c r="J1971" s="1"/>
      <c r="K1971" s="1"/>
      <c r="L1971" s="1"/>
      <c r="M1971" s="1"/>
      <c r="N1971" s="1"/>
      <c r="O1971" s="1"/>
      <c r="P1971" s="1"/>
      <c r="Q1971" s="1"/>
      <c r="R1971" s="1"/>
      <c r="S1971" s="1"/>
      <c r="T1971" s="1"/>
      <c r="U1971" s="1"/>
      <c r="V1971" s="1"/>
      <c r="W1971" s="1"/>
      <c r="X1971" s="1"/>
    </row>
    <row x14ac:dyDescent="0.25" r="1972" customHeight="1" ht="18.75">
      <c r="A1972" s="1"/>
      <c r="B1972" s="1"/>
      <c r="C1972" s="3" t="s">
        <v>1861</v>
      </c>
      <c r="D1972" s="3" t="s">
        <v>2002</v>
      </c>
      <c r="E1972" s="1"/>
      <c r="F1972" s="1"/>
      <c r="G1972" s="1"/>
      <c r="H1972" s="1"/>
      <c r="I1972" s="2"/>
      <c r="J1972" s="1"/>
      <c r="K1972" s="1"/>
      <c r="L1972" s="1"/>
      <c r="M1972" s="1"/>
      <c r="N1972" s="1"/>
      <c r="O1972" s="1"/>
      <c r="P1972" s="1"/>
      <c r="Q1972" s="1"/>
      <c r="R1972" s="1"/>
      <c r="S1972" s="1"/>
      <c r="T1972" s="1"/>
      <c r="U1972" s="1"/>
      <c r="V1972" s="1"/>
      <c r="W1972" s="1"/>
      <c r="X1972" s="1"/>
    </row>
    <row x14ac:dyDescent="0.25" r="1973" customHeight="1" ht="18.75">
      <c r="A1973" s="1"/>
      <c r="B1973" s="1"/>
      <c r="C1973" s="3" t="s">
        <v>1861</v>
      </c>
      <c r="D1973" s="3" t="s">
        <v>2003</v>
      </c>
      <c r="E1973" s="1"/>
      <c r="F1973" s="1"/>
      <c r="G1973" s="1"/>
      <c r="H1973" s="1"/>
      <c r="I1973" s="2"/>
      <c r="J1973" s="1"/>
      <c r="K1973" s="1"/>
      <c r="L1973" s="1"/>
      <c r="M1973" s="1"/>
      <c r="N1973" s="1"/>
      <c r="O1973" s="1"/>
      <c r="P1973" s="1"/>
      <c r="Q1973" s="1"/>
      <c r="R1973" s="1"/>
      <c r="S1973" s="1"/>
      <c r="T1973" s="1"/>
      <c r="U1973" s="1"/>
      <c r="V1973" s="1"/>
      <c r="W1973" s="1"/>
      <c r="X1973" s="1"/>
    </row>
    <row x14ac:dyDescent="0.25" r="1974" customHeight="1" ht="18.75">
      <c r="A1974" s="1"/>
      <c r="B1974" s="1"/>
      <c r="C1974" s="3" t="s">
        <v>1861</v>
      </c>
      <c r="D1974" s="3" t="s">
        <v>2004</v>
      </c>
      <c r="E1974" s="1"/>
      <c r="F1974" s="1"/>
      <c r="G1974" s="1"/>
      <c r="H1974" s="1"/>
      <c r="I1974" s="2"/>
      <c r="J1974" s="1"/>
      <c r="K1974" s="1"/>
      <c r="L1974" s="1"/>
      <c r="M1974" s="1"/>
      <c r="N1974" s="1"/>
      <c r="O1974" s="1"/>
      <c r="P1974" s="1"/>
      <c r="Q1974" s="1"/>
      <c r="R1974" s="1"/>
      <c r="S1974" s="1"/>
      <c r="T1974" s="1"/>
      <c r="U1974" s="1"/>
      <c r="V1974" s="1"/>
      <c r="W1974" s="1"/>
      <c r="X1974" s="1"/>
    </row>
    <row x14ac:dyDescent="0.25" r="1975" customHeight="1" ht="18.75">
      <c r="A1975" s="1"/>
      <c r="B1975" s="1"/>
      <c r="C1975" s="3" t="s">
        <v>1861</v>
      </c>
      <c r="D1975" s="3" t="s">
        <v>2005</v>
      </c>
      <c r="E1975" s="1"/>
      <c r="F1975" s="1"/>
      <c r="G1975" s="1"/>
      <c r="H1975" s="1"/>
      <c r="I1975" s="2"/>
      <c r="J1975" s="1"/>
      <c r="K1975" s="1"/>
      <c r="L1975" s="1"/>
      <c r="M1975" s="1"/>
      <c r="N1975" s="1"/>
      <c r="O1975" s="1"/>
      <c r="P1975" s="1"/>
      <c r="Q1975" s="1"/>
      <c r="R1975" s="1"/>
      <c r="S1975" s="1"/>
      <c r="T1975" s="1"/>
      <c r="U1975" s="1"/>
      <c r="V1975" s="1"/>
      <c r="W1975" s="1"/>
      <c r="X1975" s="1"/>
    </row>
    <row x14ac:dyDescent="0.25" r="1976" customHeight="1" ht="18.75">
      <c r="A1976" s="1"/>
      <c r="B1976" s="1"/>
      <c r="C1976" s="3" t="s">
        <v>1861</v>
      </c>
      <c r="D1976" s="3" t="s">
        <v>2006</v>
      </c>
      <c r="E1976" s="1"/>
      <c r="F1976" s="1"/>
      <c r="G1976" s="1"/>
      <c r="H1976" s="1"/>
      <c r="I1976" s="2"/>
      <c r="J1976" s="1"/>
      <c r="K1976" s="1"/>
      <c r="L1976" s="1"/>
      <c r="M1976" s="1"/>
      <c r="N1976" s="1"/>
      <c r="O1976" s="1"/>
      <c r="P1976" s="1"/>
      <c r="Q1976" s="1"/>
      <c r="R1976" s="1"/>
      <c r="S1976" s="1"/>
      <c r="T1976" s="1"/>
      <c r="U1976" s="1"/>
      <c r="V1976" s="1"/>
      <c r="W1976" s="1"/>
      <c r="X1976" s="1"/>
    </row>
    <row x14ac:dyDescent="0.25" r="1977" customHeight="1" ht="18.75">
      <c r="A1977" s="1"/>
      <c r="B1977" s="1"/>
      <c r="C1977" s="3" t="s">
        <v>1861</v>
      </c>
      <c r="D1977" s="3" t="s">
        <v>2007</v>
      </c>
      <c r="E1977" s="1"/>
      <c r="F1977" s="1"/>
      <c r="G1977" s="1"/>
      <c r="H1977" s="1"/>
      <c r="I1977" s="2"/>
      <c r="J1977" s="1"/>
      <c r="K1977" s="1"/>
      <c r="L1977" s="1"/>
      <c r="M1977" s="1"/>
      <c r="N1977" s="1"/>
      <c r="O1977" s="1"/>
      <c r="P1977" s="1"/>
      <c r="Q1977" s="1"/>
      <c r="R1977" s="1"/>
      <c r="S1977" s="1"/>
      <c r="T1977" s="1"/>
      <c r="U1977" s="1"/>
      <c r="V1977" s="1"/>
      <c r="W1977" s="1"/>
      <c r="X1977" s="1"/>
    </row>
    <row x14ac:dyDescent="0.25" r="1978" customHeight="1" ht="18.75">
      <c r="A1978" s="1"/>
      <c r="B1978" s="1"/>
      <c r="C1978" s="3" t="s">
        <v>1861</v>
      </c>
      <c r="D1978" s="3" t="s">
        <v>2008</v>
      </c>
      <c r="E1978" s="1"/>
      <c r="F1978" s="1"/>
      <c r="G1978" s="1"/>
      <c r="H1978" s="1"/>
      <c r="I1978" s="2"/>
      <c r="J1978" s="1"/>
      <c r="K1978" s="1"/>
      <c r="L1978" s="1"/>
      <c r="M1978" s="1"/>
      <c r="N1978" s="1"/>
      <c r="O1978" s="1"/>
      <c r="P1978" s="1"/>
      <c r="Q1978" s="1"/>
      <c r="R1978" s="1"/>
      <c r="S1978" s="1"/>
      <c r="T1978" s="1"/>
      <c r="U1978" s="1"/>
      <c r="V1978" s="1"/>
      <c r="W1978" s="1"/>
      <c r="X1978" s="1"/>
    </row>
    <row x14ac:dyDescent="0.25" r="1979" customHeight="1" ht="18.75">
      <c r="A1979" s="1"/>
      <c r="B1979" s="1"/>
      <c r="C1979" s="3" t="s">
        <v>1861</v>
      </c>
      <c r="D1979" s="3" t="s">
        <v>2009</v>
      </c>
      <c r="E1979" s="1"/>
      <c r="F1979" s="1"/>
      <c r="G1979" s="1"/>
      <c r="H1979" s="1"/>
      <c r="I1979" s="2"/>
      <c r="J1979" s="1"/>
      <c r="K1979" s="1"/>
      <c r="L1979" s="1"/>
      <c r="M1979" s="1"/>
      <c r="N1979" s="1"/>
      <c r="O1979" s="1"/>
      <c r="P1979" s="1"/>
      <c r="Q1979" s="1"/>
      <c r="R1979" s="1"/>
      <c r="S1979" s="1"/>
      <c r="T1979" s="1"/>
      <c r="U1979" s="1"/>
      <c r="V1979" s="1"/>
      <c r="W1979" s="1"/>
      <c r="X1979" s="1"/>
    </row>
    <row x14ac:dyDescent="0.25" r="1980" customHeight="1" ht="18.75">
      <c r="A1980" s="1"/>
      <c r="B1980" s="1"/>
      <c r="C1980" s="3" t="s">
        <v>1861</v>
      </c>
      <c r="D1980" s="3" t="s">
        <v>2010</v>
      </c>
      <c r="E1980" s="1"/>
      <c r="F1980" s="1"/>
      <c r="G1980" s="1"/>
      <c r="H1980" s="1"/>
      <c r="I1980" s="2"/>
      <c r="J1980" s="1"/>
      <c r="K1980" s="1"/>
      <c r="L1980" s="1"/>
      <c r="M1980" s="1"/>
      <c r="N1980" s="1"/>
      <c r="O1980" s="1"/>
      <c r="P1980" s="1"/>
      <c r="Q1980" s="1"/>
      <c r="R1980" s="1"/>
      <c r="S1980" s="1"/>
      <c r="T1980" s="1"/>
      <c r="U1980" s="1"/>
      <c r="V1980" s="1"/>
      <c r="W1980" s="1"/>
      <c r="X1980" s="1"/>
    </row>
    <row x14ac:dyDescent="0.25" r="1981" customHeight="1" ht="18.75">
      <c r="A1981" s="1"/>
      <c r="B1981" s="1"/>
      <c r="C1981" s="3" t="s">
        <v>1861</v>
      </c>
      <c r="D1981" s="3" t="s">
        <v>2011</v>
      </c>
      <c r="E1981" s="1"/>
      <c r="F1981" s="1"/>
      <c r="G1981" s="1"/>
      <c r="H1981" s="1"/>
      <c r="I1981" s="2"/>
      <c r="J1981" s="1"/>
      <c r="K1981" s="1"/>
      <c r="L1981" s="1"/>
      <c r="M1981" s="1"/>
      <c r="N1981" s="1"/>
      <c r="O1981" s="1"/>
      <c r="P1981" s="1"/>
      <c r="Q1981" s="1"/>
      <c r="R1981" s="1"/>
      <c r="S1981" s="1"/>
      <c r="T1981" s="1"/>
      <c r="U1981" s="1"/>
      <c r="V1981" s="1"/>
      <c r="W1981" s="1"/>
      <c r="X1981" s="1"/>
    </row>
    <row x14ac:dyDescent="0.25" r="1982" customHeight="1" ht="18.75">
      <c r="A1982" s="1"/>
      <c r="B1982" s="1"/>
      <c r="C1982" s="3" t="s">
        <v>1861</v>
      </c>
      <c r="D1982" s="3" t="s">
        <v>2012</v>
      </c>
      <c r="E1982" s="1"/>
      <c r="F1982" s="1"/>
      <c r="G1982" s="1"/>
      <c r="H1982" s="1"/>
      <c r="I1982" s="2"/>
      <c r="J1982" s="1"/>
      <c r="K1982" s="1"/>
      <c r="L1982" s="1"/>
      <c r="M1982" s="1"/>
      <c r="N1982" s="1"/>
      <c r="O1982" s="1"/>
      <c r="P1982" s="1"/>
      <c r="Q1982" s="1"/>
      <c r="R1982" s="1"/>
      <c r="S1982" s="1"/>
      <c r="T1982" s="1"/>
      <c r="U1982" s="1"/>
      <c r="V1982" s="1"/>
      <c r="W1982" s="1"/>
      <c r="X1982" s="1"/>
    </row>
    <row x14ac:dyDescent="0.25" r="1983" customHeight="1" ht="18.75">
      <c r="A1983" s="1"/>
      <c r="B1983" s="1"/>
      <c r="C1983" s="3" t="s">
        <v>1861</v>
      </c>
      <c r="D1983" s="3" t="s">
        <v>2013</v>
      </c>
      <c r="E1983" s="1"/>
      <c r="F1983" s="1"/>
      <c r="G1983" s="1"/>
      <c r="H1983" s="1"/>
      <c r="I1983" s="2"/>
      <c r="J1983" s="1"/>
      <c r="K1983" s="1"/>
      <c r="L1983" s="1"/>
      <c r="M1983" s="1"/>
      <c r="N1983" s="1"/>
      <c r="O1983" s="1"/>
      <c r="P1983" s="1"/>
      <c r="Q1983" s="1"/>
      <c r="R1983" s="1"/>
      <c r="S1983" s="1"/>
      <c r="T1983" s="1"/>
      <c r="U1983" s="1"/>
      <c r="V1983" s="1"/>
      <c r="W1983" s="1"/>
      <c r="X1983" s="1"/>
    </row>
    <row x14ac:dyDescent="0.25" r="1984" customHeight="1" ht="18.75">
      <c r="A1984" s="1"/>
      <c r="B1984" s="1"/>
      <c r="C1984" s="3" t="s">
        <v>1861</v>
      </c>
      <c r="D1984" s="3" t="s">
        <v>2014</v>
      </c>
      <c r="E1984" s="1"/>
      <c r="F1984" s="1"/>
      <c r="G1984" s="1"/>
      <c r="H1984" s="1"/>
      <c r="I1984" s="2"/>
      <c r="J1984" s="1"/>
      <c r="K1984" s="1"/>
      <c r="L1984" s="1"/>
      <c r="M1984" s="1"/>
      <c r="N1984" s="1"/>
      <c r="O1984" s="1"/>
      <c r="P1984" s="1"/>
      <c r="Q1984" s="1"/>
      <c r="R1984" s="1"/>
      <c r="S1984" s="1"/>
      <c r="T1984" s="1"/>
      <c r="U1984" s="1"/>
      <c r="V1984" s="1"/>
      <c r="W1984" s="1"/>
      <c r="X1984" s="1"/>
    </row>
    <row x14ac:dyDescent="0.25" r="1985" customHeight="1" ht="18.75">
      <c r="A1985" s="1"/>
      <c r="B1985" s="1"/>
      <c r="C1985" s="3" t="s">
        <v>1861</v>
      </c>
      <c r="D1985" s="3" t="s">
        <v>2015</v>
      </c>
      <c r="E1985" s="1"/>
      <c r="F1985" s="1"/>
      <c r="G1985" s="1"/>
      <c r="H1985" s="1"/>
      <c r="I1985" s="2"/>
      <c r="J1985" s="1"/>
      <c r="K1985" s="1"/>
      <c r="L1985" s="1"/>
      <c r="M1985" s="1"/>
      <c r="N1985" s="1"/>
      <c r="O1985" s="1"/>
      <c r="P1985" s="1"/>
      <c r="Q1985" s="1"/>
      <c r="R1985" s="1"/>
      <c r="S1985" s="1"/>
      <c r="T1985" s="1"/>
      <c r="U1985" s="1"/>
      <c r="V1985" s="1"/>
      <c r="W1985" s="1"/>
      <c r="X1985" s="1"/>
    </row>
    <row x14ac:dyDescent="0.25" r="1986" customHeight="1" ht="18.75">
      <c r="A1986" s="1"/>
      <c r="B1986" s="1"/>
      <c r="C1986" s="3" t="s">
        <v>1861</v>
      </c>
      <c r="D1986" s="3" t="s">
        <v>2016</v>
      </c>
      <c r="E1986" s="1"/>
      <c r="F1986" s="1"/>
      <c r="G1986" s="1"/>
      <c r="H1986" s="1"/>
      <c r="I1986" s="2"/>
      <c r="J1986" s="1"/>
      <c r="K1986" s="1"/>
      <c r="L1986" s="1"/>
      <c r="M1986" s="1"/>
      <c r="N1986" s="1"/>
      <c r="O1986" s="1"/>
      <c r="P1986" s="1"/>
      <c r="Q1986" s="1"/>
      <c r="R1986" s="1"/>
      <c r="S1986" s="1"/>
      <c r="T1986" s="1"/>
      <c r="U1986" s="1"/>
      <c r="V1986" s="1"/>
      <c r="W1986" s="1"/>
      <c r="X1986" s="1"/>
    </row>
    <row x14ac:dyDescent="0.25" r="1987" customHeight="1" ht="18.75">
      <c r="A1987" s="1"/>
      <c r="B1987" s="1"/>
      <c r="C1987" s="3" t="s">
        <v>1861</v>
      </c>
      <c r="D1987" s="3" t="s">
        <v>2017</v>
      </c>
      <c r="E1987" s="1"/>
      <c r="F1987" s="1"/>
      <c r="G1987" s="1"/>
      <c r="H1987" s="1"/>
      <c r="I1987" s="2"/>
      <c r="J1987" s="1"/>
      <c r="K1987" s="1"/>
      <c r="L1987" s="1"/>
      <c r="M1987" s="1"/>
      <c r="N1987" s="1"/>
      <c r="O1987" s="1"/>
      <c r="P1987" s="1"/>
      <c r="Q1987" s="1"/>
      <c r="R1987" s="1"/>
      <c r="S1987" s="1"/>
      <c r="T1987" s="1"/>
      <c r="U1987" s="1"/>
      <c r="V1987" s="1"/>
      <c r="W1987" s="1"/>
      <c r="X1987" s="1"/>
    </row>
    <row x14ac:dyDescent="0.25" r="1988" customHeight="1" ht="18.75">
      <c r="A1988" s="1"/>
      <c r="B1988" s="1"/>
      <c r="C1988" s="3" t="s">
        <v>1861</v>
      </c>
      <c r="D1988" s="3" t="s">
        <v>2018</v>
      </c>
      <c r="E1988" s="1"/>
      <c r="F1988" s="1"/>
      <c r="G1988" s="1"/>
      <c r="H1988" s="1"/>
      <c r="I1988" s="2"/>
      <c r="J1988" s="1"/>
      <c r="K1988" s="1"/>
      <c r="L1988" s="1"/>
      <c r="M1988" s="1"/>
      <c r="N1988" s="1"/>
      <c r="O1988" s="1"/>
      <c r="P1988" s="1"/>
      <c r="Q1988" s="1"/>
      <c r="R1988" s="1"/>
      <c r="S1988" s="1"/>
      <c r="T1988" s="1"/>
      <c r="U1988" s="1"/>
      <c r="V1988" s="1"/>
      <c r="W1988" s="1"/>
      <c r="X1988" s="1"/>
    </row>
    <row x14ac:dyDescent="0.25" r="1989" customHeight="1" ht="18.75">
      <c r="A1989" s="1"/>
      <c r="B1989" s="1"/>
      <c r="C1989" s="3" t="s">
        <v>1861</v>
      </c>
      <c r="D1989" s="3" t="s">
        <v>2019</v>
      </c>
      <c r="E1989" s="1"/>
      <c r="F1989" s="1"/>
      <c r="G1989" s="1"/>
      <c r="H1989" s="1"/>
      <c r="I1989" s="2"/>
      <c r="J1989" s="1"/>
      <c r="K1989" s="1"/>
      <c r="L1989" s="1"/>
      <c r="M1989" s="1"/>
      <c r="N1989" s="1"/>
      <c r="O1989" s="1"/>
      <c r="P1989" s="1"/>
      <c r="Q1989" s="1"/>
      <c r="R1989" s="1"/>
      <c r="S1989" s="1"/>
      <c r="T1989" s="1"/>
      <c r="U1989" s="1"/>
      <c r="V1989" s="1"/>
      <c r="W1989" s="1"/>
      <c r="X1989" s="1"/>
    </row>
    <row x14ac:dyDescent="0.25" r="1990" customHeight="1" ht="18.75">
      <c r="A1990" s="1"/>
      <c r="B1990" s="1"/>
      <c r="C1990" s="3" t="s">
        <v>1861</v>
      </c>
      <c r="D1990" s="3" t="s">
        <v>2020</v>
      </c>
      <c r="E1990" s="1"/>
      <c r="F1990" s="1"/>
      <c r="G1990" s="1"/>
      <c r="H1990" s="1"/>
      <c r="I1990" s="2"/>
      <c r="J1990" s="1"/>
      <c r="K1990" s="1"/>
      <c r="L1990" s="1"/>
      <c r="M1990" s="1"/>
      <c r="N1990" s="1"/>
      <c r="O1990" s="1"/>
      <c r="P1990" s="1"/>
      <c r="Q1990" s="1"/>
      <c r="R1990" s="1"/>
      <c r="S1990" s="1"/>
      <c r="T1990" s="1"/>
      <c r="U1990" s="1"/>
      <c r="V1990" s="1"/>
      <c r="W1990" s="1"/>
      <c r="X1990" s="1"/>
    </row>
    <row x14ac:dyDescent="0.25" r="1991" customHeight="1" ht="18.75">
      <c r="A1991" s="1"/>
      <c r="B1991" s="1"/>
      <c r="C1991" s="3" t="s">
        <v>1861</v>
      </c>
      <c r="D1991" s="3" t="s">
        <v>2021</v>
      </c>
      <c r="E1991" s="1"/>
      <c r="F1991" s="1"/>
      <c r="G1991" s="1"/>
      <c r="H1991" s="1"/>
      <c r="I1991" s="2"/>
      <c r="J1991" s="1"/>
      <c r="K1991" s="1"/>
      <c r="L1991" s="1"/>
      <c r="M1991" s="1"/>
      <c r="N1991" s="1"/>
      <c r="O1991" s="1"/>
      <c r="P1991" s="1"/>
      <c r="Q1991" s="1"/>
      <c r="R1991" s="1"/>
      <c r="S1991" s="1"/>
      <c r="T1991" s="1"/>
      <c r="U1991" s="1"/>
      <c r="V1991" s="1"/>
      <c r="W1991" s="1"/>
      <c r="X1991" s="1"/>
    </row>
    <row x14ac:dyDescent="0.25" r="1992" customHeight="1" ht="18.75">
      <c r="A1992" s="1"/>
      <c r="B1992" s="1"/>
      <c r="C1992" s="3" t="s">
        <v>1861</v>
      </c>
      <c r="D1992" s="3" t="s">
        <v>2022</v>
      </c>
      <c r="E1992" s="1"/>
      <c r="F1992" s="1"/>
      <c r="G1992" s="1"/>
      <c r="H1992" s="1"/>
      <c r="I1992" s="2"/>
      <c r="J1992" s="1"/>
      <c r="K1992" s="1"/>
      <c r="L1992" s="1"/>
      <c r="M1992" s="1"/>
      <c r="N1992" s="1"/>
      <c r="O1992" s="1"/>
      <c r="P1992" s="1"/>
      <c r="Q1992" s="1"/>
      <c r="R1992" s="1"/>
      <c r="S1992" s="1"/>
      <c r="T1992" s="1"/>
      <c r="U1992" s="1"/>
      <c r="V1992" s="1"/>
      <c r="W1992" s="1"/>
      <c r="X1992" s="1"/>
    </row>
    <row x14ac:dyDescent="0.25" r="1993" customHeight="1" ht="18.75">
      <c r="A1993" s="1"/>
      <c r="B1993" s="1"/>
      <c r="C1993" s="3" t="s">
        <v>1861</v>
      </c>
      <c r="D1993" s="3" t="s">
        <v>2023</v>
      </c>
      <c r="E1993" s="1"/>
      <c r="F1993" s="1"/>
      <c r="G1993" s="1"/>
      <c r="H1993" s="1"/>
      <c r="I1993" s="2"/>
      <c r="J1993" s="1"/>
      <c r="K1993" s="1"/>
      <c r="L1993" s="1"/>
      <c r="M1993" s="1"/>
      <c r="N1993" s="1"/>
      <c r="O1993" s="1"/>
      <c r="P1993" s="1"/>
      <c r="Q1993" s="1"/>
      <c r="R1993" s="1"/>
      <c r="S1993" s="1"/>
      <c r="T1993" s="1"/>
      <c r="U1993" s="1"/>
      <c r="V1993" s="1"/>
      <c r="W1993" s="1"/>
      <c r="X1993" s="1"/>
    </row>
    <row x14ac:dyDescent="0.25" r="1994" customHeight="1" ht="18.75">
      <c r="A1994" s="1"/>
      <c r="B1994" s="1"/>
      <c r="C1994" s="3" t="s">
        <v>1861</v>
      </c>
      <c r="D1994" s="3" t="s">
        <v>2024</v>
      </c>
      <c r="E1994" s="1"/>
      <c r="F1994" s="1"/>
      <c r="G1994" s="1"/>
      <c r="H1994" s="1"/>
      <c r="I1994" s="2"/>
      <c r="J1994" s="1"/>
      <c r="K1994" s="1"/>
      <c r="L1994" s="1"/>
      <c r="M1994" s="1"/>
      <c r="N1994" s="1"/>
      <c r="O1994" s="1"/>
      <c r="P1994" s="1"/>
      <c r="Q1994" s="1"/>
      <c r="R1994" s="1"/>
      <c r="S1994" s="1"/>
      <c r="T1994" s="1"/>
      <c r="U1994" s="1"/>
      <c r="V1994" s="1"/>
      <c r="W1994" s="1"/>
      <c r="X1994" s="1"/>
    </row>
    <row x14ac:dyDescent="0.25" r="1995" customHeight="1" ht="18.75">
      <c r="A1995" s="1"/>
      <c r="B1995" s="1"/>
      <c r="C1995" s="3" t="s">
        <v>1861</v>
      </c>
      <c r="D1995" s="3" t="s">
        <v>2025</v>
      </c>
      <c r="E1995" s="1"/>
      <c r="F1995" s="1"/>
      <c r="G1995" s="1"/>
      <c r="H1995" s="1"/>
      <c r="I1995" s="2"/>
      <c r="J1995" s="1"/>
      <c r="K1995" s="1"/>
      <c r="L1995" s="1"/>
      <c r="M1995" s="1"/>
      <c r="N1995" s="1"/>
      <c r="O1995" s="1"/>
      <c r="P1995" s="1"/>
      <c r="Q1995" s="1"/>
      <c r="R1995" s="1"/>
      <c r="S1995" s="1"/>
      <c r="T1995" s="1"/>
      <c r="U1995" s="1"/>
      <c r="V1995" s="1"/>
      <c r="W1995" s="1"/>
      <c r="X1995" s="1"/>
    </row>
    <row x14ac:dyDescent="0.25" r="1996" customHeight="1" ht="18.75">
      <c r="A1996" s="1"/>
      <c r="B1996" s="1"/>
      <c r="C1996" s="3" t="s">
        <v>1861</v>
      </c>
      <c r="D1996" s="3" t="s">
        <v>2026</v>
      </c>
      <c r="E1996" s="1"/>
      <c r="F1996" s="1"/>
      <c r="G1996" s="1"/>
      <c r="H1996" s="1"/>
      <c r="I1996" s="2"/>
      <c r="J1996" s="1"/>
      <c r="K1996" s="1"/>
      <c r="L1996" s="1"/>
      <c r="M1996" s="1"/>
      <c r="N1996" s="1"/>
      <c r="O1996" s="1"/>
      <c r="P1996" s="1"/>
      <c r="Q1996" s="1"/>
      <c r="R1996" s="1"/>
      <c r="S1996" s="1"/>
      <c r="T1996" s="1"/>
      <c r="U1996" s="1"/>
      <c r="V1996" s="1"/>
      <c r="W1996" s="1"/>
      <c r="X1996" s="1"/>
    </row>
    <row x14ac:dyDescent="0.25" r="1997" customHeight="1" ht="18.75">
      <c r="A1997" s="1"/>
      <c r="B1997" s="1"/>
      <c r="C1997" s="3" t="s">
        <v>1861</v>
      </c>
      <c r="D1997" s="3" t="s">
        <v>2027</v>
      </c>
      <c r="E1997" s="1"/>
      <c r="F1997" s="1"/>
      <c r="G1997" s="1"/>
      <c r="H1997" s="1"/>
      <c r="I1997" s="2"/>
      <c r="J1997" s="1"/>
      <c r="K1997" s="1"/>
      <c r="L1997" s="1"/>
      <c r="M1997" s="1"/>
      <c r="N1997" s="1"/>
      <c r="O1997" s="1"/>
      <c r="P1997" s="1"/>
      <c r="Q1997" s="1"/>
      <c r="R1997" s="1"/>
      <c r="S1997" s="1"/>
      <c r="T1997" s="1"/>
      <c r="U1997" s="1"/>
      <c r="V1997" s="1"/>
      <c r="W1997" s="1"/>
      <c r="X1997" s="1"/>
    </row>
    <row x14ac:dyDescent="0.25" r="1998" customHeight="1" ht="18.75">
      <c r="A1998" s="1"/>
      <c r="B1998" s="1"/>
      <c r="C1998" s="3" t="s">
        <v>1861</v>
      </c>
      <c r="D1998" s="3" t="s">
        <v>2028</v>
      </c>
      <c r="E1998" s="1"/>
      <c r="F1998" s="1"/>
      <c r="G1998" s="1"/>
      <c r="H1998" s="1"/>
      <c r="I1998" s="2"/>
      <c r="J1998" s="1"/>
      <c r="K1998" s="1"/>
      <c r="L1998" s="1"/>
      <c r="M1998" s="1"/>
      <c r="N1998" s="1"/>
      <c r="O1998" s="1"/>
      <c r="P1998" s="1"/>
      <c r="Q1998" s="1"/>
      <c r="R1998" s="1"/>
      <c r="S1998" s="1"/>
      <c r="T1998" s="1"/>
      <c r="U1998" s="1"/>
      <c r="V1998" s="1"/>
      <c r="W1998" s="1"/>
      <c r="X1998" s="1"/>
    </row>
    <row x14ac:dyDescent="0.25" r="1999" customHeight="1" ht="18.75">
      <c r="A1999" s="1"/>
      <c r="B1999" s="1"/>
      <c r="C1999" s="3" t="s">
        <v>1861</v>
      </c>
      <c r="D1999" s="3" t="s">
        <v>2029</v>
      </c>
      <c r="E1999" s="1"/>
      <c r="F1999" s="1"/>
      <c r="G1999" s="1"/>
      <c r="H1999" s="1"/>
      <c r="I1999" s="2"/>
      <c r="J1999" s="1"/>
      <c r="K1999" s="1"/>
      <c r="L1999" s="1"/>
      <c r="M1999" s="1"/>
      <c r="N1999" s="1"/>
      <c r="O1999" s="1"/>
      <c r="P1999" s="1"/>
      <c r="Q1999" s="1"/>
      <c r="R1999" s="1"/>
      <c r="S1999" s="1"/>
      <c r="T1999" s="1"/>
      <c r="U1999" s="1"/>
      <c r="V1999" s="1"/>
      <c r="W1999" s="1"/>
      <c r="X1999" s="1"/>
    </row>
    <row x14ac:dyDescent="0.25" r="2000" customHeight="1" ht="18.75">
      <c r="A2000" s="1"/>
      <c r="B2000" s="1"/>
      <c r="C2000" s="3" t="s">
        <v>1861</v>
      </c>
      <c r="D2000" s="3" t="s">
        <v>2030</v>
      </c>
      <c r="E2000" s="1"/>
      <c r="F2000" s="1"/>
      <c r="G2000" s="1"/>
      <c r="H2000" s="1"/>
      <c r="I2000" s="2"/>
      <c r="J2000" s="1"/>
      <c r="K2000" s="1"/>
      <c r="L2000" s="1"/>
      <c r="M2000" s="1"/>
      <c r="N2000" s="1"/>
      <c r="O2000" s="1"/>
      <c r="P2000" s="1"/>
      <c r="Q2000" s="1"/>
      <c r="R2000" s="1"/>
      <c r="S2000" s="1"/>
      <c r="T2000" s="1"/>
      <c r="U2000" s="1"/>
      <c r="V2000" s="1"/>
      <c r="W2000" s="1"/>
      <c r="X2000" s="1"/>
    </row>
    <row x14ac:dyDescent="0.25" r="2001" customHeight="1" ht="18.75">
      <c r="A2001" s="1"/>
      <c r="B2001" s="1"/>
      <c r="C2001" s="3" t="s">
        <v>1861</v>
      </c>
      <c r="D2001" s="3" t="s">
        <v>2031</v>
      </c>
      <c r="E2001" s="1"/>
      <c r="F2001" s="1"/>
      <c r="G2001" s="1"/>
      <c r="H2001" s="1"/>
      <c r="I2001" s="2"/>
      <c r="J2001" s="1"/>
      <c r="K2001" s="1"/>
      <c r="L2001" s="1"/>
      <c r="M2001" s="1"/>
      <c r="N2001" s="1"/>
      <c r="O2001" s="1"/>
      <c r="P2001" s="1"/>
      <c r="Q2001" s="1"/>
      <c r="R2001" s="1"/>
      <c r="S2001" s="1"/>
      <c r="T2001" s="1"/>
      <c r="U2001" s="1"/>
      <c r="V2001" s="1"/>
      <c r="W2001" s="1"/>
      <c r="X2001" s="1"/>
    </row>
    <row x14ac:dyDescent="0.25" r="2002" customHeight="1" ht="18.75">
      <c r="A2002" s="1"/>
      <c r="B2002" s="1"/>
      <c r="C2002" s="3" t="s">
        <v>1861</v>
      </c>
      <c r="D2002" s="3" t="s">
        <v>2032</v>
      </c>
      <c r="E2002" s="1"/>
      <c r="F2002" s="1"/>
      <c r="G2002" s="1"/>
      <c r="H2002" s="1"/>
      <c r="I2002" s="2"/>
      <c r="J2002" s="1"/>
      <c r="K2002" s="1"/>
      <c r="L2002" s="1"/>
      <c r="M2002" s="1"/>
      <c r="N2002" s="1"/>
      <c r="O2002" s="1"/>
      <c r="P2002" s="1"/>
      <c r="Q2002" s="1"/>
      <c r="R2002" s="1"/>
      <c r="S2002" s="1"/>
      <c r="T2002" s="1"/>
      <c r="U2002" s="1"/>
      <c r="V2002" s="1"/>
      <c r="W2002" s="1"/>
      <c r="X2002" s="1"/>
    </row>
    <row x14ac:dyDescent="0.25" r="2003" customHeight="1" ht="18.75">
      <c r="A2003" s="1"/>
      <c r="B2003" s="1"/>
      <c r="C2003" s="3" t="s">
        <v>1861</v>
      </c>
      <c r="D2003" s="3" t="s">
        <v>2033</v>
      </c>
      <c r="E2003" s="1"/>
      <c r="F2003" s="1"/>
      <c r="G2003" s="1"/>
      <c r="H2003" s="1"/>
      <c r="I2003" s="2"/>
      <c r="J2003" s="1"/>
      <c r="K2003" s="1"/>
      <c r="L2003" s="1"/>
      <c r="M2003" s="1"/>
      <c r="N2003" s="1"/>
      <c r="O2003" s="1"/>
      <c r="P2003" s="1"/>
      <c r="Q2003" s="1"/>
      <c r="R2003" s="1"/>
      <c r="S2003" s="1"/>
      <c r="T2003" s="1"/>
      <c r="U2003" s="1"/>
      <c r="V2003" s="1"/>
      <c r="W2003" s="1"/>
      <c r="X2003" s="1"/>
    </row>
    <row x14ac:dyDescent="0.25" r="2004" customHeight="1" ht="18.75">
      <c r="A2004" s="1"/>
      <c r="B2004" s="1"/>
      <c r="C2004" s="3" t="s">
        <v>1861</v>
      </c>
      <c r="D2004" s="3" t="s">
        <v>2034</v>
      </c>
      <c r="E2004" s="1"/>
      <c r="F2004" s="1"/>
      <c r="G2004" s="1"/>
      <c r="H2004" s="1"/>
      <c r="I2004" s="2"/>
      <c r="J2004" s="1"/>
      <c r="K2004" s="1"/>
      <c r="L2004" s="1"/>
      <c r="M2004" s="1"/>
      <c r="N2004" s="1"/>
      <c r="O2004" s="1"/>
      <c r="P2004" s="1"/>
      <c r="Q2004" s="1"/>
      <c r="R2004" s="1"/>
      <c r="S2004" s="1"/>
      <c r="T2004" s="1"/>
      <c r="U2004" s="1"/>
      <c r="V2004" s="1"/>
      <c r="W2004" s="1"/>
      <c r="X2004" s="1"/>
    </row>
    <row x14ac:dyDescent="0.25" r="2005" customHeight="1" ht="18.75">
      <c r="A2005" s="1"/>
      <c r="B2005" s="1"/>
      <c r="C2005" s="3" t="s">
        <v>1861</v>
      </c>
      <c r="D2005" s="3" t="s">
        <v>2035</v>
      </c>
      <c r="E2005" s="1"/>
      <c r="F2005" s="1"/>
      <c r="G2005" s="1"/>
      <c r="H2005" s="1"/>
      <c r="I2005" s="2"/>
      <c r="J2005" s="1"/>
      <c r="K2005" s="1"/>
      <c r="L2005" s="1"/>
      <c r="M2005" s="1"/>
      <c r="N2005" s="1"/>
      <c r="O2005" s="1"/>
      <c r="P2005" s="1"/>
      <c r="Q2005" s="1"/>
      <c r="R2005" s="1"/>
      <c r="S2005" s="1"/>
      <c r="T2005" s="1"/>
      <c r="U2005" s="1"/>
      <c r="V2005" s="1"/>
      <c r="W2005" s="1"/>
      <c r="X2005" s="1"/>
    </row>
    <row x14ac:dyDescent="0.25" r="2006" customHeight="1" ht="18.75">
      <c r="A2006" s="1"/>
      <c r="B2006" s="1"/>
      <c r="C2006" s="3" t="s">
        <v>1861</v>
      </c>
      <c r="D2006" s="3" t="s">
        <v>2036</v>
      </c>
      <c r="E2006" s="1"/>
      <c r="F2006" s="1"/>
      <c r="G2006" s="1"/>
      <c r="H2006" s="1"/>
      <c r="I2006" s="2"/>
      <c r="J2006" s="1"/>
      <c r="K2006" s="1"/>
      <c r="L2006" s="1"/>
      <c r="M2006" s="1"/>
      <c r="N2006" s="1"/>
      <c r="O2006" s="1"/>
      <c r="P2006" s="1"/>
      <c r="Q2006" s="1"/>
      <c r="R2006" s="1"/>
      <c r="S2006" s="1"/>
      <c r="T2006" s="1"/>
      <c r="U2006" s="1"/>
      <c r="V2006" s="1"/>
      <c r="W2006" s="1"/>
      <c r="X2006" s="1"/>
    </row>
    <row x14ac:dyDescent="0.25" r="2007" customHeight="1" ht="18.75">
      <c r="A2007" s="1"/>
      <c r="B2007" s="1"/>
      <c r="C2007" s="3" t="s">
        <v>1861</v>
      </c>
      <c r="D2007" s="3" t="s">
        <v>2037</v>
      </c>
      <c r="E2007" s="1"/>
      <c r="F2007" s="1"/>
      <c r="G2007" s="1"/>
      <c r="H2007" s="1"/>
      <c r="I2007" s="2"/>
      <c r="J2007" s="1"/>
      <c r="K2007" s="1"/>
      <c r="L2007" s="1"/>
      <c r="M2007" s="1"/>
      <c r="N2007" s="1"/>
      <c r="O2007" s="1"/>
      <c r="P2007" s="1"/>
      <c r="Q2007" s="1"/>
      <c r="R2007" s="1"/>
      <c r="S2007" s="1"/>
      <c r="T2007" s="1"/>
      <c r="U2007" s="1"/>
      <c r="V2007" s="1"/>
      <c r="W2007" s="1"/>
      <c r="X2007" s="1"/>
    </row>
    <row x14ac:dyDescent="0.25" r="2008" customHeight="1" ht="18.75">
      <c r="A2008" s="1"/>
      <c r="B2008" s="1"/>
      <c r="C2008" s="3" t="s">
        <v>1861</v>
      </c>
      <c r="D2008" s="3" t="s">
        <v>2038</v>
      </c>
      <c r="E2008" s="1"/>
      <c r="F2008" s="1"/>
      <c r="G2008" s="1"/>
      <c r="H2008" s="1"/>
      <c r="I2008" s="2"/>
      <c r="J2008" s="1"/>
      <c r="K2008" s="1"/>
      <c r="L2008" s="1"/>
      <c r="M2008" s="1"/>
      <c r="N2008" s="1"/>
      <c r="O2008" s="1"/>
      <c r="P2008" s="1"/>
      <c r="Q2008" s="1"/>
      <c r="R2008" s="1"/>
      <c r="S2008" s="1"/>
      <c r="T2008" s="1"/>
      <c r="U2008" s="1"/>
      <c r="V2008" s="1"/>
      <c r="W2008" s="1"/>
      <c r="X2008" s="1"/>
    </row>
    <row x14ac:dyDescent="0.25" r="2009" customHeight="1" ht="18.75">
      <c r="A2009" s="1"/>
      <c r="B2009" s="1"/>
      <c r="C2009" s="3" t="s">
        <v>1861</v>
      </c>
      <c r="D2009" s="3" t="s">
        <v>2039</v>
      </c>
      <c r="E2009" s="1"/>
      <c r="F2009" s="1"/>
      <c r="G2009" s="1"/>
      <c r="H2009" s="1"/>
      <c r="I2009" s="2"/>
      <c r="J2009" s="1"/>
      <c r="K2009" s="1"/>
      <c r="L2009" s="1"/>
      <c r="M2009" s="1"/>
      <c r="N2009" s="1"/>
      <c r="O2009" s="1"/>
      <c r="P2009" s="1"/>
      <c r="Q2009" s="1"/>
      <c r="R2009" s="1"/>
      <c r="S2009" s="1"/>
      <c r="T2009" s="1"/>
      <c r="U2009" s="1"/>
      <c r="V2009" s="1"/>
      <c r="W2009" s="1"/>
      <c r="X2009" s="1"/>
    </row>
    <row x14ac:dyDescent="0.25" r="2010" customHeight="1" ht="18.75">
      <c r="A2010" s="1"/>
      <c r="B2010" s="1"/>
      <c r="C2010" s="3" t="s">
        <v>1861</v>
      </c>
      <c r="D2010" s="3" t="s">
        <v>2040</v>
      </c>
      <c r="E2010" s="1"/>
      <c r="F2010" s="1"/>
      <c r="G2010" s="1"/>
      <c r="H2010" s="1"/>
      <c r="I2010" s="2"/>
      <c r="J2010" s="1"/>
      <c r="K2010" s="1"/>
      <c r="L2010" s="1"/>
      <c r="M2010" s="1"/>
      <c r="N2010" s="1"/>
      <c r="O2010" s="1"/>
      <c r="P2010" s="1"/>
      <c r="Q2010" s="1"/>
      <c r="R2010" s="1"/>
      <c r="S2010" s="1"/>
      <c r="T2010" s="1"/>
      <c r="U2010" s="1"/>
      <c r="V2010" s="1"/>
      <c r="W2010" s="1"/>
      <c r="X2010" s="1"/>
    </row>
    <row x14ac:dyDescent="0.25" r="2011" customHeight="1" ht="18.75">
      <c r="A2011" s="1"/>
      <c r="B2011" s="1"/>
      <c r="C2011" s="3" t="s">
        <v>1861</v>
      </c>
      <c r="D2011" s="3" t="s">
        <v>2041</v>
      </c>
      <c r="E2011" s="1"/>
      <c r="F2011" s="1"/>
      <c r="G2011" s="1"/>
      <c r="H2011" s="1"/>
      <c r="I2011" s="2"/>
      <c r="J2011" s="1"/>
      <c r="K2011" s="1"/>
      <c r="L2011" s="1"/>
      <c r="M2011" s="1"/>
      <c r="N2011" s="1"/>
      <c r="O2011" s="1"/>
      <c r="P2011" s="1"/>
      <c r="Q2011" s="1"/>
      <c r="R2011" s="1"/>
      <c r="S2011" s="1"/>
      <c r="T2011" s="1"/>
      <c r="U2011" s="1"/>
      <c r="V2011" s="1"/>
      <c r="W2011" s="1"/>
      <c r="X2011" s="1"/>
    </row>
    <row x14ac:dyDescent="0.25" r="2012" customHeight="1" ht="18.75">
      <c r="A2012" s="1"/>
      <c r="B2012" s="1"/>
      <c r="C2012" s="3" t="s">
        <v>1861</v>
      </c>
      <c r="D2012" s="3" t="s">
        <v>2042</v>
      </c>
      <c r="E2012" s="1"/>
      <c r="F2012" s="1"/>
      <c r="G2012" s="1"/>
      <c r="H2012" s="1"/>
      <c r="I2012" s="2"/>
      <c r="J2012" s="1"/>
      <c r="K2012" s="1"/>
      <c r="L2012" s="1"/>
      <c r="M2012" s="1"/>
      <c r="N2012" s="1"/>
      <c r="O2012" s="1"/>
      <c r="P2012" s="1"/>
      <c r="Q2012" s="1"/>
      <c r="R2012" s="1"/>
      <c r="S2012" s="1"/>
      <c r="T2012" s="1"/>
      <c r="U2012" s="1"/>
      <c r="V2012" s="1"/>
      <c r="W2012" s="1"/>
      <c r="X2012" s="1"/>
    </row>
    <row x14ac:dyDescent="0.25" r="2013" customHeight="1" ht="18.75">
      <c r="A2013" s="1"/>
      <c r="B2013" s="1"/>
      <c r="C2013" s="3" t="s">
        <v>1861</v>
      </c>
      <c r="D2013" s="3" t="s">
        <v>2043</v>
      </c>
      <c r="E2013" s="1"/>
      <c r="F2013" s="1"/>
      <c r="G2013" s="1"/>
      <c r="H2013" s="1"/>
      <c r="I2013" s="2"/>
      <c r="J2013" s="1"/>
      <c r="K2013" s="1"/>
      <c r="L2013" s="1"/>
      <c r="M2013" s="1"/>
      <c r="N2013" s="1"/>
      <c r="O2013" s="1"/>
      <c r="P2013" s="1"/>
      <c r="Q2013" s="1"/>
      <c r="R2013" s="1"/>
      <c r="S2013" s="1"/>
      <c r="T2013" s="1"/>
      <c r="U2013" s="1"/>
      <c r="V2013" s="1"/>
      <c r="W2013" s="1"/>
      <c r="X2013" s="1"/>
    </row>
    <row x14ac:dyDescent="0.25" r="2014" customHeight="1" ht="18.75">
      <c r="A2014" s="1"/>
      <c r="B2014" s="1"/>
      <c r="C2014" s="3" t="s">
        <v>1861</v>
      </c>
      <c r="D2014" s="3" t="s">
        <v>2044</v>
      </c>
      <c r="E2014" s="1"/>
      <c r="F2014" s="1"/>
      <c r="G2014" s="1"/>
      <c r="H2014" s="1"/>
      <c r="I2014" s="2"/>
      <c r="J2014" s="1"/>
      <c r="K2014" s="1"/>
      <c r="L2014" s="1"/>
      <c r="M2014" s="1"/>
      <c r="N2014" s="1"/>
      <c r="O2014" s="1"/>
      <c r="P2014" s="1"/>
      <c r="Q2014" s="1"/>
      <c r="R2014" s="1"/>
      <c r="S2014" s="1"/>
      <c r="T2014" s="1"/>
      <c r="U2014" s="1"/>
      <c r="V2014" s="1"/>
      <c r="W2014" s="1"/>
      <c r="X2014" s="1"/>
    </row>
    <row x14ac:dyDescent="0.25" r="2015" customHeight="1" ht="18.75">
      <c r="A2015" s="1"/>
      <c r="B2015" s="1"/>
      <c r="C2015" s="3" t="s">
        <v>1861</v>
      </c>
      <c r="D2015" s="3" t="s">
        <v>2045</v>
      </c>
      <c r="E2015" s="1"/>
      <c r="F2015" s="1"/>
      <c r="G2015" s="1"/>
      <c r="H2015" s="1"/>
      <c r="I2015" s="2"/>
      <c r="J2015" s="1"/>
      <c r="K2015" s="1"/>
      <c r="L2015" s="1"/>
      <c r="M2015" s="1"/>
      <c r="N2015" s="1"/>
      <c r="O2015" s="1"/>
      <c r="P2015" s="1"/>
      <c r="Q2015" s="1"/>
      <c r="R2015" s="1"/>
      <c r="S2015" s="1"/>
      <c r="T2015" s="1"/>
      <c r="U2015" s="1"/>
      <c r="V2015" s="1"/>
      <c r="W2015" s="1"/>
      <c r="X2015" s="1"/>
    </row>
    <row x14ac:dyDescent="0.25" r="2016" customHeight="1" ht="18.75">
      <c r="A2016" s="1"/>
      <c r="B2016" s="1"/>
      <c r="C2016" s="3" t="s">
        <v>1861</v>
      </c>
      <c r="D2016" s="3" t="s">
        <v>2046</v>
      </c>
      <c r="E2016" s="1"/>
      <c r="F2016" s="1"/>
      <c r="G2016" s="1"/>
      <c r="H2016" s="1"/>
      <c r="I2016" s="2"/>
      <c r="J2016" s="1"/>
      <c r="K2016" s="1"/>
      <c r="L2016" s="1"/>
      <c r="M2016" s="1"/>
      <c r="N2016" s="1"/>
      <c r="O2016" s="1"/>
      <c r="P2016" s="1"/>
      <c r="Q2016" s="1"/>
      <c r="R2016" s="1"/>
      <c r="S2016" s="1"/>
      <c r="T2016" s="1"/>
      <c r="U2016" s="1"/>
      <c r="V2016" s="1"/>
      <c r="W2016" s="1"/>
      <c r="X2016" s="1"/>
    </row>
    <row x14ac:dyDescent="0.25" r="2017" customHeight="1" ht="18.75">
      <c r="A2017" s="1"/>
      <c r="B2017" s="1"/>
      <c r="C2017" s="3" t="s">
        <v>1861</v>
      </c>
      <c r="D2017" s="3" t="s">
        <v>2047</v>
      </c>
      <c r="E2017" s="1"/>
      <c r="F2017" s="1"/>
      <c r="G2017" s="1"/>
      <c r="H2017" s="1"/>
      <c r="I2017" s="2"/>
      <c r="J2017" s="1"/>
      <c r="K2017" s="1"/>
      <c r="L2017" s="1"/>
      <c r="M2017" s="1"/>
      <c r="N2017" s="1"/>
      <c r="O2017" s="1"/>
      <c r="P2017" s="1"/>
      <c r="Q2017" s="1"/>
      <c r="R2017" s="1"/>
      <c r="S2017" s="1"/>
      <c r="T2017" s="1"/>
      <c r="U2017" s="1"/>
      <c r="V2017" s="1"/>
      <c r="W2017" s="1"/>
      <c r="X2017" s="1"/>
    </row>
    <row x14ac:dyDescent="0.25" r="2018" customHeight="1" ht="18.75">
      <c r="A2018" s="1"/>
      <c r="B2018" s="1"/>
      <c r="C2018" s="3" t="s">
        <v>1861</v>
      </c>
      <c r="D2018" s="3" t="s">
        <v>2048</v>
      </c>
      <c r="E2018" s="1"/>
      <c r="F2018" s="1"/>
      <c r="G2018" s="1"/>
      <c r="H2018" s="1"/>
      <c r="I2018" s="2"/>
      <c r="J2018" s="1"/>
      <c r="K2018" s="1"/>
      <c r="L2018" s="1"/>
      <c r="M2018" s="1"/>
      <c r="N2018" s="1"/>
      <c r="O2018" s="1"/>
      <c r="P2018" s="1"/>
      <c r="Q2018" s="1"/>
      <c r="R2018" s="1"/>
      <c r="S2018" s="1"/>
      <c r="T2018" s="1"/>
      <c r="U2018" s="1"/>
      <c r="V2018" s="1"/>
      <c r="W2018" s="1"/>
      <c r="X2018" s="1"/>
    </row>
    <row x14ac:dyDescent="0.25" r="2019" customHeight="1" ht="18.75">
      <c r="A2019" s="1"/>
      <c r="B2019" s="1"/>
      <c r="C2019" s="3" t="s">
        <v>1861</v>
      </c>
      <c r="D2019" s="3" t="s">
        <v>2049</v>
      </c>
      <c r="E2019" s="1"/>
      <c r="F2019" s="1"/>
      <c r="G2019" s="1"/>
      <c r="H2019" s="1"/>
      <c r="I2019" s="2"/>
      <c r="J2019" s="1"/>
      <c r="K2019" s="1"/>
      <c r="L2019" s="1"/>
      <c r="M2019" s="1"/>
      <c r="N2019" s="1"/>
      <c r="O2019" s="1"/>
      <c r="P2019" s="1"/>
      <c r="Q2019" s="1"/>
      <c r="R2019" s="1"/>
      <c r="S2019" s="1"/>
      <c r="T2019" s="1"/>
      <c r="U2019" s="1"/>
      <c r="V2019" s="1"/>
      <c r="W2019" s="1"/>
      <c r="X2019" s="1"/>
    </row>
    <row x14ac:dyDescent="0.25" r="2020" customHeight="1" ht="18.75">
      <c r="A2020" s="1"/>
      <c r="B2020" s="1"/>
      <c r="C2020" s="3" t="s">
        <v>1861</v>
      </c>
      <c r="D2020" s="3" t="s">
        <v>2050</v>
      </c>
      <c r="E2020" s="1"/>
      <c r="F2020" s="1"/>
      <c r="G2020" s="1"/>
      <c r="H2020" s="1"/>
      <c r="I2020" s="2"/>
      <c r="J2020" s="1"/>
      <c r="K2020" s="1"/>
      <c r="L2020" s="1"/>
      <c r="M2020" s="1"/>
      <c r="N2020" s="1"/>
      <c r="O2020" s="1"/>
      <c r="P2020" s="1"/>
      <c r="Q2020" s="1"/>
      <c r="R2020" s="1"/>
      <c r="S2020" s="1"/>
      <c r="T2020" s="1"/>
      <c r="U2020" s="1"/>
      <c r="V2020" s="1"/>
      <c r="W2020" s="1"/>
      <c r="X2020" s="1"/>
    </row>
    <row x14ac:dyDescent="0.25" r="2021" customHeight="1" ht="18.75">
      <c r="A2021" s="1"/>
      <c r="B2021" s="1"/>
      <c r="C2021" s="3" t="s">
        <v>1861</v>
      </c>
      <c r="D2021" s="3" t="s">
        <v>2051</v>
      </c>
      <c r="E2021" s="1"/>
      <c r="F2021" s="1"/>
      <c r="G2021" s="1"/>
      <c r="H2021" s="1"/>
      <c r="I2021" s="2"/>
      <c r="J2021" s="1"/>
      <c r="K2021" s="1"/>
      <c r="L2021" s="1"/>
      <c r="M2021" s="1"/>
      <c r="N2021" s="1"/>
      <c r="O2021" s="1"/>
      <c r="P2021" s="1"/>
      <c r="Q2021" s="1"/>
      <c r="R2021" s="1"/>
      <c r="S2021" s="1"/>
      <c r="T2021" s="1"/>
      <c r="U2021" s="1"/>
      <c r="V2021" s="1"/>
      <c r="W2021" s="1"/>
      <c r="X2021" s="1"/>
    </row>
    <row x14ac:dyDescent="0.25" r="2022" customHeight="1" ht="18.75">
      <c r="A2022" s="1"/>
      <c r="B2022" s="1"/>
      <c r="C2022" s="3" t="s">
        <v>1861</v>
      </c>
      <c r="D2022" s="3" t="s">
        <v>2052</v>
      </c>
      <c r="E2022" s="1"/>
      <c r="F2022" s="1"/>
      <c r="G2022" s="1"/>
      <c r="H2022" s="1"/>
      <c r="I2022" s="2"/>
      <c r="J2022" s="1"/>
      <c r="K2022" s="1"/>
      <c r="L2022" s="1"/>
      <c r="M2022" s="1"/>
      <c r="N2022" s="1"/>
      <c r="O2022" s="1"/>
      <c r="P2022" s="1"/>
      <c r="Q2022" s="1"/>
      <c r="R2022" s="1"/>
      <c r="S2022" s="1"/>
      <c r="T2022" s="1"/>
      <c r="U2022" s="1"/>
      <c r="V2022" s="1"/>
      <c r="W2022" s="1"/>
      <c r="X2022" s="1"/>
    </row>
    <row x14ac:dyDescent="0.25" r="2023" customHeight="1" ht="18.75">
      <c r="A2023" s="1"/>
      <c r="B2023" s="1"/>
      <c r="C2023" s="3" t="s">
        <v>1861</v>
      </c>
      <c r="D2023" s="3" t="s">
        <v>2053</v>
      </c>
      <c r="E2023" s="1"/>
      <c r="F2023" s="1"/>
      <c r="G2023" s="1"/>
      <c r="H2023" s="1"/>
      <c r="I2023" s="2"/>
      <c r="J2023" s="1"/>
      <c r="K2023" s="1"/>
      <c r="L2023" s="1"/>
      <c r="M2023" s="1"/>
      <c r="N2023" s="1"/>
      <c r="O2023" s="1"/>
      <c r="P2023" s="1"/>
      <c r="Q2023" s="1"/>
      <c r="R2023" s="1"/>
      <c r="S2023" s="1"/>
      <c r="T2023" s="1"/>
      <c r="U2023" s="1"/>
      <c r="V2023" s="1"/>
      <c r="W2023" s="1"/>
      <c r="X2023" s="1"/>
    </row>
    <row x14ac:dyDescent="0.25" r="2024" customHeight="1" ht="18.75">
      <c r="A2024" s="1"/>
      <c r="B2024" s="1"/>
      <c r="C2024" s="3" t="s">
        <v>1861</v>
      </c>
      <c r="D2024" s="3" t="s">
        <v>2054</v>
      </c>
      <c r="E2024" s="1"/>
      <c r="F2024" s="1"/>
      <c r="G2024" s="1"/>
      <c r="H2024" s="1"/>
      <c r="I2024" s="2"/>
      <c r="J2024" s="1"/>
      <c r="K2024" s="1"/>
      <c r="L2024" s="1"/>
      <c r="M2024" s="1"/>
      <c r="N2024" s="1"/>
      <c r="O2024" s="1"/>
      <c r="P2024" s="1"/>
      <c r="Q2024" s="1"/>
      <c r="R2024" s="1"/>
      <c r="S2024" s="1"/>
      <c r="T2024" s="1"/>
      <c r="U2024" s="1"/>
      <c r="V2024" s="1"/>
      <c r="W2024" s="1"/>
      <c r="X2024" s="1"/>
    </row>
    <row x14ac:dyDescent="0.25" r="2025" customHeight="1" ht="18.75">
      <c r="A2025" s="1"/>
      <c r="B2025" s="1"/>
      <c r="C2025" s="3" t="s">
        <v>1861</v>
      </c>
      <c r="D2025" s="3" t="s">
        <v>2055</v>
      </c>
      <c r="E2025" s="1"/>
      <c r="F2025" s="1"/>
      <c r="G2025" s="1"/>
      <c r="H2025" s="1"/>
      <c r="I2025" s="2"/>
      <c r="J2025" s="1"/>
      <c r="K2025" s="1"/>
      <c r="L2025" s="1"/>
      <c r="M2025" s="1"/>
      <c r="N2025" s="1"/>
      <c r="O2025" s="1"/>
      <c r="P2025" s="1"/>
      <c r="Q2025" s="1"/>
      <c r="R2025" s="1"/>
      <c r="S2025" s="1"/>
      <c r="T2025" s="1"/>
      <c r="U2025" s="1"/>
      <c r="V2025" s="1"/>
      <c r="W2025" s="1"/>
      <c r="X2025" s="1"/>
    </row>
    <row x14ac:dyDescent="0.25" r="2026" customHeight="1" ht="18.75">
      <c r="A2026" s="1"/>
      <c r="B2026" s="1"/>
      <c r="C2026" s="3" t="s">
        <v>1861</v>
      </c>
      <c r="D2026" s="3" t="s">
        <v>2056</v>
      </c>
      <c r="E2026" s="1"/>
      <c r="F2026" s="1"/>
      <c r="G2026" s="1"/>
      <c r="H2026" s="1"/>
      <c r="I2026" s="2"/>
      <c r="J2026" s="1"/>
      <c r="K2026" s="1"/>
      <c r="L2026" s="1"/>
      <c r="M2026" s="1"/>
      <c r="N2026" s="1"/>
      <c r="O2026" s="1"/>
      <c r="P2026" s="1"/>
      <c r="Q2026" s="1"/>
      <c r="R2026" s="1"/>
      <c r="S2026" s="1"/>
      <c r="T2026" s="1"/>
      <c r="U2026" s="1"/>
      <c r="V2026" s="1"/>
      <c r="W2026" s="1"/>
      <c r="X2026" s="1"/>
    </row>
    <row x14ac:dyDescent="0.25" r="2027" customHeight="1" ht="18.75">
      <c r="A2027" s="1"/>
      <c r="B2027" s="1"/>
      <c r="C2027" s="3" t="s">
        <v>1861</v>
      </c>
      <c r="D2027" s="3" t="s">
        <v>2057</v>
      </c>
      <c r="E2027" s="1"/>
      <c r="F2027" s="1"/>
      <c r="G2027" s="1"/>
      <c r="H2027" s="1"/>
      <c r="I2027" s="2"/>
      <c r="J2027" s="1"/>
      <c r="K2027" s="1"/>
      <c r="L2027" s="1"/>
      <c r="M2027" s="1"/>
      <c r="N2027" s="1"/>
      <c r="O2027" s="1"/>
      <c r="P2027" s="1"/>
      <c r="Q2027" s="1"/>
      <c r="R2027" s="1"/>
      <c r="S2027" s="1"/>
      <c r="T2027" s="1"/>
      <c r="U2027" s="1"/>
      <c r="V2027" s="1"/>
      <c r="W2027" s="1"/>
      <c r="X2027" s="1"/>
    </row>
    <row x14ac:dyDescent="0.25" r="2028" customHeight="1" ht="18.75">
      <c r="A2028" s="1"/>
      <c r="B2028" s="1"/>
      <c r="C2028" s="3" t="s">
        <v>1861</v>
      </c>
      <c r="D2028" s="3" t="s">
        <v>2058</v>
      </c>
      <c r="E2028" s="1"/>
      <c r="F2028" s="1"/>
      <c r="G2028" s="1"/>
      <c r="H2028" s="1"/>
      <c r="I2028" s="2"/>
      <c r="J2028" s="1"/>
      <c r="K2028" s="1"/>
      <c r="L2028" s="1"/>
      <c r="M2028" s="1"/>
      <c r="N2028" s="1"/>
      <c r="O2028" s="1"/>
      <c r="P2028" s="1"/>
      <c r="Q2028" s="1"/>
      <c r="R2028" s="1"/>
      <c r="S2028" s="1"/>
      <c r="T2028" s="1"/>
      <c r="U2028" s="1"/>
      <c r="V2028" s="1"/>
      <c r="W2028" s="1"/>
      <c r="X2028" s="1"/>
    </row>
    <row x14ac:dyDescent="0.25" r="2029" customHeight="1" ht="18.75">
      <c r="A2029" s="1"/>
      <c r="B2029" s="1"/>
      <c r="C2029" s="3" t="s">
        <v>1861</v>
      </c>
      <c r="D2029" s="3" t="s">
        <v>2059</v>
      </c>
      <c r="E2029" s="1"/>
      <c r="F2029" s="1"/>
      <c r="G2029" s="1"/>
      <c r="H2029" s="1"/>
      <c r="I2029" s="2"/>
      <c r="J2029" s="1"/>
      <c r="K2029" s="1"/>
      <c r="L2029" s="1"/>
      <c r="M2029" s="1"/>
      <c r="N2029" s="1"/>
      <c r="O2029" s="1"/>
      <c r="P2029" s="1"/>
      <c r="Q2029" s="1"/>
      <c r="R2029" s="1"/>
      <c r="S2029" s="1"/>
      <c r="T2029" s="1"/>
      <c r="U2029" s="1"/>
      <c r="V2029" s="1"/>
      <c r="W2029" s="1"/>
      <c r="X2029" s="1"/>
    </row>
    <row x14ac:dyDescent="0.25" r="2030" customHeight="1" ht="18.75">
      <c r="A2030" s="1"/>
      <c r="B2030" s="1"/>
      <c r="C2030" s="3" t="s">
        <v>1861</v>
      </c>
      <c r="D2030" s="3" t="s">
        <v>2060</v>
      </c>
      <c r="E2030" s="1"/>
      <c r="F2030" s="1"/>
      <c r="G2030" s="1"/>
      <c r="H2030" s="1"/>
      <c r="I2030" s="2"/>
      <c r="J2030" s="1"/>
      <c r="K2030" s="1"/>
      <c r="L2030" s="1"/>
      <c r="M2030" s="1"/>
      <c r="N2030" s="1"/>
      <c r="O2030" s="1"/>
      <c r="P2030" s="1"/>
      <c r="Q2030" s="1"/>
      <c r="R2030" s="1"/>
      <c r="S2030" s="1"/>
      <c r="T2030" s="1"/>
      <c r="U2030" s="1"/>
      <c r="V2030" s="1"/>
      <c r="W2030" s="1"/>
      <c r="X2030" s="1"/>
    </row>
    <row x14ac:dyDescent="0.25" r="2031" customHeight="1" ht="18.75">
      <c r="A2031" s="1"/>
      <c r="B2031" s="1"/>
      <c r="C2031" s="3" t="s">
        <v>1861</v>
      </c>
      <c r="D2031" s="3" t="s">
        <v>2061</v>
      </c>
      <c r="E2031" s="1"/>
      <c r="F2031" s="1"/>
      <c r="G2031" s="1"/>
      <c r="H2031" s="1"/>
      <c r="I2031" s="2"/>
      <c r="J2031" s="1"/>
      <c r="K2031" s="1"/>
      <c r="L2031" s="1"/>
      <c r="M2031" s="1"/>
      <c r="N2031" s="1"/>
      <c r="O2031" s="1"/>
      <c r="P2031" s="1"/>
      <c r="Q2031" s="1"/>
      <c r="R2031" s="1"/>
      <c r="S2031" s="1"/>
      <c r="T2031" s="1"/>
      <c r="U2031" s="1"/>
      <c r="V2031" s="1"/>
      <c r="W2031" s="1"/>
      <c r="X2031" s="1"/>
    </row>
    <row x14ac:dyDescent="0.25" r="2032" customHeight="1" ht="18.75">
      <c r="A2032" s="1"/>
      <c r="B2032" s="1"/>
      <c r="C2032" s="3" t="s">
        <v>1861</v>
      </c>
      <c r="D2032" s="3" t="s">
        <v>2062</v>
      </c>
      <c r="E2032" s="1"/>
      <c r="F2032" s="1"/>
      <c r="G2032" s="1"/>
      <c r="H2032" s="1"/>
      <c r="I2032" s="2"/>
      <c r="J2032" s="1"/>
      <c r="K2032" s="1"/>
      <c r="L2032" s="1"/>
      <c r="M2032" s="1"/>
      <c r="N2032" s="1"/>
      <c r="O2032" s="1"/>
      <c r="P2032" s="1"/>
      <c r="Q2032" s="1"/>
      <c r="R2032" s="1"/>
      <c r="S2032" s="1"/>
      <c r="T2032" s="1"/>
      <c r="U2032" s="1"/>
      <c r="V2032" s="1"/>
      <c r="W2032" s="1"/>
      <c r="X2032" s="1"/>
    </row>
    <row x14ac:dyDescent="0.25" r="2033" customHeight="1" ht="18.75">
      <c r="A2033" s="1"/>
      <c r="B2033" s="1"/>
      <c r="C2033" s="3" t="s">
        <v>1861</v>
      </c>
      <c r="D2033" s="3" t="s">
        <v>2063</v>
      </c>
      <c r="E2033" s="1"/>
      <c r="F2033" s="1"/>
      <c r="G2033" s="1"/>
      <c r="H2033" s="1"/>
      <c r="I2033" s="2"/>
      <c r="J2033" s="1"/>
      <c r="K2033" s="1"/>
      <c r="L2033" s="1"/>
      <c r="M2033" s="1"/>
      <c r="N2033" s="1"/>
      <c r="O2033" s="1"/>
      <c r="P2033" s="1"/>
      <c r="Q2033" s="1"/>
      <c r="R2033" s="1"/>
      <c r="S2033" s="1"/>
      <c r="T2033" s="1"/>
      <c r="U2033" s="1"/>
      <c r="V2033" s="1"/>
      <c r="W2033" s="1"/>
      <c r="X2033" s="1"/>
    </row>
    <row x14ac:dyDescent="0.25" r="2034" customHeight="1" ht="18.75">
      <c r="A2034" s="1"/>
      <c r="B2034" s="1"/>
      <c r="C2034" s="3" t="s">
        <v>1861</v>
      </c>
      <c r="D2034" s="3" t="s">
        <v>2064</v>
      </c>
      <c r="E2034" s="1"/>
      <c r="F2034" s="1"/>
      <c r="G2034" s="1"/>
      <c r="H2034" s="1"/>
      <c r="I2034" s="2"/>
      <c r="J2034" s="1"/>
      <c r="K2034" s="1"/>
      <c r="L2034" s="1"/>
      <c r="M2034" s="1"/>
      <c r="N2034" s="1"/>
      <c r="O2034" s="1"/>
      <c r="P2034" s="1"/>
      <c r="Q2034" s="1"/>
      <c r="R2034" s="1"/>
      <c r="S2034" s="1"/>
      <c r="T2034" s="1"/>
      <c r="U2034" s="1"/>
      <c r="V2034" s="1"/>
      <c r="W2034" s="1"/>
      <c r="X2034" s="1"/>
    </row>
    <row x14ac:dyDescent="0.25" r="2035" customHeight="1" ht="18.75">
      <c r="A2035" s="1"/>
      <c r="B2035" s="1"/>
      <c r="C2035" s="3" t="s">
        <v>1861</v>
      </c>
      <c r="D2035" s="3" t="s">
        <v>2065</v>
      </c>
      <c r="E2035" s="1"/>
      <c r="F2035" s="1"/>
      <c r="G2035" s="1"/>
      <c r="H2035" s="1"/>
      <c r="I2035" s="2"/>
      <c r="J2035" s="1"/>
      <c r="K2035" s="1"/>
      <c r="L2035" s="1"/>
      <c r="M2035" s="1"/>
      <c r="N2035" s="1"/>
      <c r="O2035" s="1"/>
      <c r="P2035" s="1"/>
      <c r="Q2035" s="1"/>
      <c r="R2035" s="1"/>
      <c r="S2035" s="1"/>
      <c r="T2035" s="1"/>
      <c r="U2035" s="1"/>
      <c r="V2035" s="1"/>
      <c r="W2035" s="1"/>
      <c r="X2035" s="1"/>
    </row>
    <row x14ac:dyDescent="0.25" r="2036" customHeight="1" ht="18.75">
      <c r="A2036" s="1"/>
      <c r="B2036" s="1"/>
      <c r="C2036" s="3" t="s">
        <v>1861</v>
      </c>
      <c r="D2036" s="3" t="s">
        <v>2066</v>
      </c>
      <c r="E2036" s="1"/>
      <c r="F2036" s="1"/>
      <c r="G2036" s="1"/>
      <c r="H2036" s="1"/>
      <c r="I2036" s="2"/>
      <c r="J2036" s="1"/>
      <c r="K2036" s="1"/>
      <c r="L2036" s="1"/>
      <c r="M2036" s="1"/>
      <c r="N2036" s="1"/>
      <c r="O2036" s="1"/>
      <c r="P2036" s="1"/>
      <c r="Q2036" s="1"/>
      <c r="R2036" s="1"/>
      <c r="S2036" s="1"/>
      <c r="T2036" s="1"/>
      <c r="U2036" s="1"/>
      <c r="V2036" s="1"/>
      <c r="W2036" s="1"/>
      <c r="X2036" s="1"/>
    </row>
    <row x14ac:dyDescent="0.25" r="2037" customHeight="1" ht="18.75">
      <c r="A2037" s="1"/>
      <c r="B2037" s="1"/>
      <c r="C2037" s="3" t="s">
        <v>1861</v>
      </c>
      <c r="D2037" s="3" t="s">
        <v>2067</v>
      </c>
      <c r="E2037" s="1"/>
      <c r="F2037" s="1"/>
      <c r="G2037" s="1"/>
      <c r="H2037" s="1"/>
      <c r="I2037" s="2"/>
      <c r="J2037" s="1"/>
      <c r="K2037" s="1"/>
      <c r="L2037" s="1"/>
      <c r="M2037" s="1"/>
      <c r="N2037" s="1"/>
      <c r="O2037" s="1"/>
      <c r="P2037" s="1"/>
      <c r="Q2037" s="1"/>
      <c r="R2037" s="1"/>
      <c r="S2037" s="1"/>
      <c r="T2037" s="1"/>
      <c r="U2037" s="1"/>
      <c r="V2037" s="1"/>
      <c r="W2037" s="1"/>
      <c r="X2037" s="1"/>
    </row>
    <row x14ac:dyDescent="0.25" r="2038" customHeight="1" ht="18.75">
      <c r="A2038" s="1"/>
      <c r="B2038" s="1"/>
      <c r="C2038" s="3" t="s">
        <v>1861</v>
      </c>
      <c r="D2038" s="3" t="s">
        <v>2068</v>
      </c>
      <c r="E2038" s="1"/>
      <c r="F2038" s="1"/>
      <c r="G2038" s="1"/>
      <c r="H2038" s="1"/>
      <c r="I2038" s="2"/>
      <c r="J2038" s="1"/>
      <c r="K2038" s="1"/>
      <c r="L2038" s="1"/>
      <c r="M2038" s="1"/>
      <c r="N2038" s="1"/>
      <c r="O2038" s="1"/>
      <c r="P2038" s="1"/>
      <c r="Q2038" s="1"/>
      <c r="R2038" s="1"/>
      <c r="S2038" s="1"/>
      <c r="T2038" s="1"/>
      <c r="U2038" s="1"/>
      <c r="V2038" s="1"/>
      <c r="W2038" s="1"/>
      <c r="X2038" s="1"/>
    </row>
    <row x14ac:dyDescent="0.25" r="2039" customHeight="1" ht="18.75">
      <c r="A2039" s="1"/>
      <c r="B2039" s="1"/>
      <c r="C2039" s="3" t="s">
        <v>1861</v>
      </c>
      <c r="D2039" s="3" t="s">
        <v>2069</v>
      </c>
      <c r="E2039" s="1"/>
      <c r="F2039" s="1"/>
      <c r="G2039" s="1"/>
      <c r="H2039" s="1"/>
      <c r="I2039" s="2"/>
      <c r="J2039" s="1"/>
      <c r="K2039" s="1"/>
      <c r="L2039" s="1"/>
      <c r="M2039" s="1"/>
      <c r="N2039" s="1"/>
      <c r="O2039" s="1"/>
      <c r="P2039" s="1"/>
      <c r="Q2039" s="1"/>
      <c r="R2039" s="1"/>
      <c r="S2039" s="1"/>
      <c r="T2039" s="1"/>
      <c r="U2039" s="1"/>
      <c r="V2039" s="1"/>
      <c r="W2039" s="1"/>
      <c r="X2039" s="1"/>
    </row>
    <row x14ac:dyDescent="0.25" r="2040" customHeight="1" ht="18.75">
      <c r="A2040" s="1"/>
      <c r="B2040" s="1"/>
      <c r="C2040" s="3" t="s">
        <v>1861</v>
      </c>
      <c r="D2040" s="3" t="s">
        <v>2070</v>
      </c>
      <c r="E2040" s="1"/>
      <c r="F2040" s="1"/>
      <c r="G2040" s="1"/>
      <c r="H2040" s="1"/>
      <c r="I2040" s="2"/>
      <c r="J2040" s="1"/>
      <c r="K2040" s="1"/>
      <c r="L2040" s="1"/>
      <c r="M2040" s="1"/>
      <c r="N2040" s="1"/>
      <c r="O2040" s="1"/>
      <c r="P2040" s="1"/>
      <c r="Q2040" s="1"/>
      <c r="R2040" s="1"/>
      <c r="S2040" s="1"/>
      <c r="T2040" s="1"/>
      <c r="U2040" s="1"/>
      <c r="V2040" s="1"/>
      <c r="W2040" s="1"/>
      <c r="X2040" s="1"/>
    </row>
    <row x14ac:dyDescent="0.25" r="2041" customHeight="1" ht="18.75">
      <c r="A2041" s="1"/>
      <c r="B2041" s="1"/>
      <c r="C2041" s="3" t="s">
        <v>1861</v>
      </c>
      <c r="D2041" s="3" t="s">
        <v>2071</v>
      </c>
      <c r="E2041" s="1"/>
      <c r="F2041" s="1"/>
      <c r="G2041" s="1"/>
      <c r="H2041" s="1"/>
      <c r="I2041" s="2"/>
      <c r="J2041" s="1"/>
      <c r="K2041" s="1"/>
      <c r="L2041" s="1"/>
      <c r="M2041" s="1"/>
      <c r="N2041" s="1"/>
      <c r="O2041" s="1"/>
      <c r="P2041" s="1"/>
      <c r="Q2041" s="1"/>
      <c r="R2041" s="1"/>
      <c r="S2041" s="1"/>
      <c r="T2041" s="1"/>
      <c r="U2041" s="1"/>
      <c r="V2041" s="1"/>
      <c r="W2041" s="1"/>
      <c r="X2041" s="1"/>
    </row>
    <row x14ac:dyDescent="0.25" r="2042" customHeight="1" ht="18.75">
      <c r="A2042" s="1"/>
      <c r="B2042" s="1"/>
      <c r="C2042" s="3" t="s">
        <v>1861</v>
      </c>
      <c r="D2042" s="3" t="s">
        <v>2072</v>
      </c>
      <c r="E2042" s="1"/>
      <c r="F2042" s="1"/>
      <c r="G2042" s="1"/>
      <c r="H2042" s="1"/>
      <c r="I2042" s="2"/>
      <c r="J2042" s="1"/>
      <c r="K2042" s="1"/>
      <c r="L2042" s="1"/>
      <c r="M2042" s="1"/>
      <c r="N2042" s="1"/>
      <c r="O2042" s="1"/>
      <c r="P2042" s="1"/>
      <c r="Q2042" s="1"/>
      <c r="R2042" s="1"/>
      <c r="S2042" s="1"/>
      <c r="T2042" s="1"/>
      <c r="U2042" s="1"/>
      <c r="V2042" s="1"/>
      <c r="W2042" s="1"/>
      <c r="X2042" s="1"/>
    </row>
    <row x14ac:dyDescent="0.25" r="2043" customHeight="1" ht="18.75">
      <c r="A2043" s="1"/>
      <c r="B2043" s="1"/>
      <c r="C2043" s="3" t="s">
        <v>1861</v>
      </c>
      <c r="D2043" s="3" t="s">
        <v>2073</v>
      </c>
      <c r="E2043" s="1"/>
      <c r="F2043" s="1"/>
      <c r="G2043" s="1"/>
      <c r="H2043" s="1"/>
      <c r="I2043" s="2"/>
      <c r="J2043" s="1"/>
      <c r="K2043" s="1"/>
      <c r="L2043" s="1"/>
      <c r="M2043" s="1"/>
      <c r="N2043" s="1"/>
      <c r="O2043" s="1"/>
      <c r="P2043" s="1"/>
      <c r="Q2043" s="1"/>
      <c r="R2043" s="1"/>
      <c r="S2043" s="1"/>
      <c r="T2043" s="1"/>
      <c r="U2043" s="1"/>
      <c r="V2043" s="1"/>
      <c r="W2043" s="1"/>
      <c r="X2043" s="1"/>
    </row>
    <row x14ac:dyDescent="0.25" r="2044" customHeight="1" ht="18.75">
      <c r="A2044" s="1"/>
      <c r="B2044" s="1"/>
      <c r="C2044" s="3" t="s">
        <v>1861</v>
      </c>
      <c r="D2044" s="3" t="s">
        <v>2074</v>
      </c>
      <c r="E2044" s="1"/>
      <c r="F2044" s="1"/>
      <c r="G2044" s="1"/>
      <c r="H2044" s="1"/>
      <c r="I2044" s="2"/>
      <c r="J2044" s="1"/>
      <c r="K2044" s="1"/>
      <c r="L2044" s="1"/>
      <c r="M2044" s="1"/>
      <c r="N2044" s="1"/>
      <c r="O2044" s="1"/>
      <c r="P2044" s="1"/>
      <c r="Q2044" s="1"/>
      <c r="R2044" s="1"/>
      <c r="S2044" s="1"/>
      <c r="T2044" s="1"/>
      <c r="U2044" s="1"/>
      <c r="V2044" s="1"/>
      <c r="W2044" s="1"/>
      <c r="X2044" s="1"/>
    </row>
    <row x14ac:dyDescent="0.25" r="2045" customHeight="1" ht="18.75">
      <c r="A2045" s="1"/>
      <c r="B2045" s="1"/>
      <c r="C2045" s="3" t="s">
        <v>1861</v>
      </c>
      <c r="D2045" s="3" t="s">
        <v>2075</v>
      </c>
      <c r="E2045" s="1"/>
      <c r="F2045" s="1"/>
      <c r="G2045" s="1"/>
      <c r="H2045" s="1"/>
      <c r="I2045" s="2"/>
      <c r="J2045" s="1"/>
      <c r="K2045" s="1"/>
      <c r="L2045" s="1"/>
      <c r="M2045" s="1"/>
      <c r="N2045" s="1"/>
      <c r="O2045" s="1"/>
      <c r="P2045" s="1"/>
      <c r="Q2045" s="1"/>
      <c r="R2045" s="1"/>
      <c r="S2045" s="1"/>
      <c r="T2045" s="1"/>
      <c r="U2045" s="1"/>
      <c r="V2045" s="1"/>
      <c r="W2045" s="1"/>
      <c r="X2045" s="1"/>
    </row>
    <row x14ac:dyDescent="0.25" r="2046" customHeight="1" ht="18.75">
      <c r="A2046" s="1"/>
      <c r="B2046" s="1"/>
      <c r="C2046" s="3" t="s">
        <v>1861</v>
      </c>
      <c r="D2046" s="3" t="s">
        <v>2076</v>
      </c>
      <c r="E2046" s="1"/>
      <c r="F2046" s="1"/>
      <c r="G2046" s="1"/>
      <c r="H2046" s="1"/>
      <c r="I2046" s="2"/>
      <c r="J2046" s="1"/>
      <c r="K2046" s="1"/>
      <c r="L2046" s="1"/>
      <c r="M2046" s="1"/>
      <c r="N2046" s="1"/>
      <c r="O2046" s="1"/>
      <c r="P2046" s="1"/>
      <c r="Q2046" s="1"/>
      <c r="R2046" s="1"/>
      <c r="S2046" s="1"/>
      <c r="T2046" s="1"/>
      <c r="U2046" s="1"/>
      <c r="V2046" s="1"/>
      <c r="W2046" s="1"/>
      <c r="X2046" s="1"/>
    </row>
    <row x14ac:dyDescent="0.25" r="2047" customHeight="1" ht="18.75">
      <c r="A2047" s="1"/>
      <c r="B2047" s="1"/>
      <c r="C2047" s="3" t="s">
        <v>1861</v>
      </c>
      <c r="D2047" s="3" t="s">
        <v>2077</v>
      </c>
      <c r="E2047" s="1"/>
      <c r="F2047" s="1"/>
      <c r="G2047" s="1"/>
      <c r="H2047" s="1"/>
      <c r="I2047" s="2"/>
      <c r="J2047" s="1"/>
      <c r="K2047" s="1"/>
      <c r="L2047" s="1"/>
      <c r="M2047" s="1"/>
      <c r="N2047" s="1"/>
      <c r="O2047" s="1"/>
      <c r="P2047" s="1"/>
      <c r="Q2047" s="1"/>
      <c r="R2047" s="1"/>
      <c r="S2047" s="1"/>
      <c r="T2047" s="1"/>
      <c r="U2047" s="1"/>
      <c r="V2047" s="1"/>
      <c r="W2047" s="1"/>
      <c r="X2047" s="1"/>
    </row>
    <row x14ac:dyDescent="0.25" r="2048" customHeight="1" ht="18.75">
      <c r="A2048" s="1"/>
      <c r="B2048" s="1"/>
      <c r="C2048" s="3" t="s">
        <v>1861</v>
      </c>
      <c r="D2048" s="3" t="s">
        <v>2078</v>
      </c>
      <c r="E2048" s="1"/>
      <c r="F2048" s="1"/>
      <c r="G2048" s="1"/>
      <c r="H2048" s="1"/>
      <c r="I2048" s="2"/>
      <c r="J2048" s="1"/>
      <c r="K2048" s="1"/>
      <c r="L2048" s="1"/>
      <c r="M2048" s="1"/>
      <c r="N2048" s="1"/>
      <c r="O2048" s="1"/>
      <c r="P2048" s="1"/>
      <c r="Q2048" s="1"/>
      <c r="R2048" s="1"/>
      <c r="S2048" s="1"/>
      <c r="T2048" s="1"/>
      <c r="U2048" s="1"/>
      <c r="V2048" s="1"/>
      <c r="W2048" s="1"/>
      <c r="X2048" s="1"/>
    </row>
    <row x14ac:dyDescent="0.25" r="2049" customHeight="1" ht="18.75">
      <c r="A2049" s="1"/>
      <c r="B2049" s="1"/>
      <c r="C2049" s="3" t="s">
        <v>1861</v>
      </c>
      <c r="D2049" s="3" t="s">
        <v>2079</v>
      </c>
      <c r="E2049" s="1"/>
      <c r="F2049" s="1"/>
      <c r="G2049" s="1"/>
      <c r="H2049" s="1"/>
      <c r="I2049" s="2"/>
      <c r="J2049" s="1"/>
      <c r="K2049" s="1"/>
      <c r="L2049" s="1"/>
      <c r="M2049" s="1"/>
      <c r="N2049" s="1"/>
      <c r="O2049" s="1"/>
      <c r="P2049" s="1"/>
      <c r="Q2049" s="1"/>
      <c r="R2049" s="1"/>
      <c r="S2049" s="1"/>
      <c r="T2049" s="1"/>
      <c r="U2049" s="1"/>
      <c r="V2049" s="1"/>
      <c r="W2049" s="1"/>
      <c r="X2049" s="1"/>
    </row>
    <row x14ac:dyDescent="0.25" r="2050" customHeight="1" ht="18.75">
      <c r="A2050" s="1"/>
      <c r="B2050" s="1"/>
      <c r="C2050" s="3" t="s">
        <v>1861</v>
      </c>
      <c r="D2050" s="3" t="s">
        <v>2080</v>
      </c>
      <c r="E2050" s="1"/>
      <c r="F2050" s="1"/>
      <c r="G2050" s="1"/>
      <c r="H2050" s="1"/>
      <c r="I2050" s="2"/>
      <c r="J2050" s="1"/>
      <c r="K2050" s="1"/>
      <c r="L2050" s="1"/>
      <c r="M2050" s="1"/>
      <c r="N2050" s="1"/>
      <c r="O2050" s="1"/>
      <c r="P2050" s="1"/>
      <c r="Q2050" s="1"/>
      <c r="R2050" s="1"/>
      <c r="S2050" s="1"/>
      <c r="T2050" s="1"/>
      <c r="U2050" s="1"/>
      <c r="V2050" s="1"/>
      <c r="W2050" s="1"/>
      <c r="X2050" s="1"/>
    </row>
    <row x14ac:dyDescent="0.25" r="2051" customHeight="1" ht="18.75">
      <c r="A2051" s="1"/>
      <c r="B2051" s="1"/>
      <c r="C2051" s="3" t="s">
        <v>1861</v>
      </c>
      <c r="D2051" s="3" t="s">
        <v>2081</v>
      </c>
      <c r="E2051" s="1"/>
      <c r="F2051" s="1"/>
      <c r="G2051" s="1"/>
      <c r="H2051" s="1"/>
      <c r="I2051" s="2"/>
      <c r="J2051" s="1"/>
      <c r="K2051" s="1"/>
      <c r="L2051" s="1"/>
      <c r="M2051" s="1"/>
      <c r="N2051" s="1"/>
      <c r="O2051" s="1"/>
      <c r="P2051" s="1"/>
      <c r="Q2051" s="1"/>
      <c r="R2051" s="1"/>
      <c r="S2051" s="1"/>
      <c r="T2051" s="1"/>
      <c r="U2051" s="1"/>
      <c r="V2051" s="1"/>
      <c r="W2051" s="1"/>
      <c r="X2051" s="1"/>
    </row>
    <row x14ac:dyDescent="0.25" r="2052" customHeight="1" ht="18.75">
      <c r="A2052" s="1"/>
      <c r="B2052" s="1"/>
      <c r="C2052" s="3" t="s">
        <v>1861</v>
      </c>
      <c r="D2052" s="3" t="s">
        <v>2082</v>
      </c>
      <c r="E2052" s="1"/>
      <c r="F2052" s="1"/>
      <c r="G2052" s="1"/>
      <c r="H2052" s="1"/>
      <c r="I2052" s="2"/>
      <c r="J2052" s="1"/>
      <c r="K2052" s="1"/>
      <c r="L2052" s="1"/>
      <c r="M2052" s="1"/>
      <c r="N2052" s="1"/>
      <c r="O2052" s="1"/>
      <c r="P2052" s="1"/>
      <c r="Q2052" s="1"/>
      <c r="R2052" s="1"/>
      <c r="S2052" s="1"/>
      <c r="T2052" s="1"/>
      <c r="U2052" s="1"/>
      <c r="V2052" s="1"/>
      <c r="W2052" s="1"/>
      <c r="X2052" s="1"/>
    </row>
    <row x14ac:dyDescent="0.25" r="2053" customHeight="1" ht="18.75">
      <c r="A2053" s="1"/>
      <c r="B2053" s="1"/>
      <c r="C2053" s="3" t="s">
        <v>1861</v>
      </c>
      <c r="D2053" s="3" t="s">
        <v>2083</v>
      </c>
      <c r="E2053" s="1"/>
      <c r="F2053" s="1"/>
      <c r="G2053" s="1"/>
      <c r="H2053" s="1"/>
      <c r="I2053" s="2"/>
      <c r="J2053" s="1"/>
      <c r="K2053" s="1"/>
      <c r="L2053" s="1"/>
      <c r="M2053" s="1"/>
      <c r="N2053" s="1"/>
      <c r="O2053" s="1"/>
      <c r="P2053" s="1"/>
      <c r="Q2053" s="1"/>
      <c r="R2053" s="1"/>
      <c r="S2053" s="1"/>
      <c r="T2053" s="1"/>
      <c r="U2053" s="1"/>
      <c r="V2053" s="1"/>
      <c r="W2053" s="1"/>
      <c r="X2053" s="1"/>
    </row>
    <row x14ac:dyDescent="0.25" r="2054" customHeight="1" ht="18.75">
      <c r="A2054" s="1"/>
      <c r="B2054" s="1"/>
      <c r="C2054" s="3" t="s">
        <v>1861</v>
      </c>
      <c r="D2054" s="3" t="s">
        <v>2084</v>
      </c>
      <c r="E2054" s="1"/>
      <c r="F2054" s="1"/>
      <c r="G2054" s="1"/>
      <c r="H2054" s="1"/>
      <c r="I2054" s="2"/>
      <c r="J2054" s="1"/>
      <c r="K2054" s="1"/>
      <c r="L2054" s="1"/>
      <c r="M2054" s="1"/>
      <c r="N2054" s="1"/>
      <c r="O2054" s="1"/>
      <c r="P2054" s="1"/>
      <c r="Q2054" s="1"/>
      <c r="R2054" s="1"/>
      <c r="S2054" s="1"/>
      <c r="T2054" s="1"/>
      <c r="U2054" s="1"/>
      <c r="V2054" s="1"/>
      <c r="W2054" s="1"/>
      <c r="X2054" s="1"/>
    </row>
    <row x14ac:dyDescent="0.25" r="2055" customHeight="1" ht="18.75">
      <c r="A2055" s="1"/>
      <c r="B2055" s="1"/>
      <c r="C2055" s="3" t="s">
        <v>1861</v>
      </c>
      <c r="D2055" s="3" t="s">
        <v>2085</v>
      </c>
      <c r="E2055" s="1"/>
      <c r="F2055" s="1"/>
      <c r="G2055" s="1"/>
      <c r="H2055" s="1"/>
      <c r="I2055" s="2"/>
      <c r="J2055" s="1"/>
      <c r="K2055" s="1"/>
      <c r="L2055" s="1"/>
      <c r="M2055" s="1"/>
      <c r="N2055" s="1"/>
      <c r="O2055" s="1"/>
      <c r="P2055" s="1"/>
      <c r="Q2055" s="1"/>
      <c r="R2055" s="1"/>
      <c r="S2055" s="1"/>
      <c r="T2055" s="1"/>
      <c r="U2055" s="1"/>
      <c r="V2055" s="1"/>
      <c r="W2055" s="1"/>
      <c r="X2055" s="1"/>
    </row>
    <row x14ac:dyDescent="0.25" r="2056" customHeight="1" ht="18.75">
      <c r="A2056" s="1"/>
      <c r="B2056" s="1"/>
      <c r="C2056" s="3" t="s">
        <v>1861</v>
      </c>
      <c r="D2056" s="3" t="s">
        <v>2086</v>
      </c>
      <c r="E2056" s="1"/>
      <c r="F2056" s="1"/>
      <c r="G2056" s="1"/>
      <c r="H2056" s="1"/>
      <c r="I2056" s="2"/>
      <c r="J2056" s="1"/>
      <c r="K2056" s="1"/>
      <c r="L2056" s="1"/>
      <c r="M2056" s="1"/>
      <c r="N2056" s="1"/>
      <c r="O2056" s="1"/>
      <c r="P2056" s="1"/>
      <c r="Q2056" s="1"/>
      <c r="R2056" s="1"/>
      <c r="S2056" s="1"/>
      <c r="T2056" s="1"/>
      <c r="U2056" s="1"/>
      <c r="V2056" s="1"/>
      <c r="W2056" s="1"/>
      <c r="X2056" s="1"/>
    </row>
    <row x14ac:dyDescent="0.25" r="2057" customHeight="1" ht="18.75">
      <c r="A2057" s="1"/>
      <c r="B2057" s="1"/>
      <c r="C2057" s="3" t="s">
        <v>1861</v>
      </c>
      <c r="D2057" s="3" t="s">
        <v>2087</v>
      </c>
      <c r="E2057" s="1"/>
      <c r="F2057" s="1"/>
      <c r="G2057" s="1"/>
      <c r="H2057" s="1"/>
      <c r="I2057" s="2"/>
      <c r="J2057" s="1"/>
      <c r="K2057" s="1"/>
      <c r="L2057" s="1"/>
      <c r="M2057" s="1"/>
      <c r="N2057" s="1"/>
      <c r="O2057" s="1"/>
      <c r="P2057" s="1"/>
      <c r="Q2057" s="1"/>
      <c r="R2057" s="1"/>
      <c r="S2057" s="1"/>
      <c r="T2057" s="1"/>
      <c r="U2057" s="1"/>
      <c r="V2057" s="1"/>
      <c r="W2057" s="1"/>
      <c r="X2057" s="1"/>
    </row>
    <row x14ac:dyDescent="0.25" r="2058" customHeight="1" ht="18.75">
      <c r="A2058" s="1"/>
      <c r="B2058" s="1"/>
      <c r="C2058" s="3" t="s">
        <v>1861</v>
      </c>
      <c r="D2058" s="3" t="s">
        <v>2088</v>
      </c>
      <c r="E2058" s="1"/>
      <c r="F2058" s="1"/>
      <c r="G2058" s="1"/>
      <c r="H2058" s="1"/>
      <c r="I2058" s="2"/>
      <c r="J2058" s="1"/>
      <c r="K2058" s="1"/>
      <c r="L2058" s="1"/>
      <c r="M2058" s="1"/>
      <c r="N2058" s="1"/>
      <c r="O2058" s="1"/>
      <c r="P2058" s="1"/>
      <c r="Q2058" s="1"/>
      <c r="R2058" s="1"/>
      <c r="S2058" s="1"/>
      <c r="T2058" s="1"/>
      <c r="U2058" s="1"/>
      <c r="V2058" s="1"/>
      <c r="W2058" s="1"/>
      <c r="X2058" s="1"/>
    </row>
    <row x14ac:dyDescent="0.25" r="2059" customHeight="1" ht="18.75">
      <c r="A2059" s="1"/>
      <c r="B2059" s="1"/>
      <c r="C2059" s="3" t="s">
        <v>1861</v>
      </c>
      <c r="D2059" s="3" t="s">
        <v>2089</v>
      </c>
      <c r="E2059" s="1"/>
      <c r="F2059" s="1"/>
      <c r="G2059" s="1"/>
      <c r="H2059" s="1"/>
      <c r="I2059" s="2"/>
      <c r="J2059" s="1"/>
      <c r="K2059" s="1"/>
      <c r="L2059" s="1"/>
      <c r="M2059" s="1"/>
      <c r="N2059" s="1"/>
      <c r="O2059" s="1"/>
      <c r="P2059" s="1"/>
      <c r="Q2059" s="1"/>
      <c r="R2059" s="1"/>
      <c r="S2059" s="1"/>
      <c r="T2059" s="1"/>
      <c r="U2059" s="1"/>
      <c r="V2059" s="1"/>
      <c r="W2059" s="1"/>
      <c r="X2059" s="1"/>
    </row>
    <row x14ac:dyDescent="0.25" r="2060" customHeight="1" ht="18.75">
      <c r="A2060" s="1"/>
      <c r="B2060" s="1"/>
      <c r="C2060" s="3" t="s">
        <v>1861</v>
      </c>
      <c r="D2060" s="3" t="s">
        <v>2090</v>
      </c>
      <c r="E2060" s="1"/>
      <c r="F2060" s="1"/>
      <c r="G2060" s="1"/>
      <c r="H2060" s="1"/>
      <c r="I2060" s="2"/>
      <c r="J2060" s="1"/>
      <c r="K2060" s="1"/>
      <c r="L2060" s="1"/>
      <c r="M2060" s="1"/>
      <c r="N2060" s="1"/>
      <c r="O2060" s="1"/>
      <c r="P2060" s="1"/>
      <c r="Q2060" s="1"/>
      <c r="R2060" s="1"/>
      <c r="S2060" s="1"/>
      <c r="T2060" s="1"/>
      <c r="U2060" s="1"/>
      <c r="V2060" s="1"/>
      <c r="W2060" s="1"/>
      <c r="X2060" s="1"/>
    </row>
    <row x14ac:dyDescent="0.25" r="2061" customHeight="1" ht="18.75">
      <c r="A2061" s="1"/>
      <c r="B2061" s="1"/>
      <c r="C2061" s="3" t="s">
        <v>1861</v>
      </c>
      <c r="D2061" s="3" t="s">
        <v>2091</v>
      </c>
      <c r="E2061" s="1"/>
      <c r="F2061" s="1"/>
      <c r="G2061" s="1"/>
      <c r="H2061" s="1"/>
      <c r="I2061" s="2"/>
      <c r="J2061" s="1"/>
      <c r="K2061" s="1"/>
      <c r="L2061" s="1"/>
      <c r="M2061" s="1"/>
      <c r="N2061" s="1"/>
      <c r="O2061" s="1"/>
      <c r="P2061" s="1"/>
      <c r="Q2061" s="1"/>
      <c r="R2061" s="1"/>
      <c r="S2061" s="1"/>
      <c r="T2061" s="1"/>
      <c r="U2061" s="1"/>
      <c r="V2061" s="1"/>
      <c r="W2061" s="1"/>
      <c r="X2061" s="1"/>
    </row>
    <row x14ac:dyDescent="0.25" r="2062" customHeight="1" ht="18.75">
      <c r="A2062" s="1"/>
      <c r="B2062" s="1"/>
      <c r="C2062" s="3" t="s">
        <v>1861</v>
      </c>
      <c r="D2062" s="3" t="s">
        <v>2092</v>
      </c>
      <c r="E2062" s="1"/>
      <c r="F2062" s="1"/>
      <c r="G2062" s="1"/>
      <c r="H2062" s="1"/>
      <c r="I2062" s="2"/>
      <c r="J2062" s="1"/>
      <c r="K2062" s="1"/>
      <c r="L2062" s="1"/>
      <c r="M2062" s="1"/>
      <c r="N2062" s="1"/>
      <c r="O2062" s="1"/>
      <c r="P2062" s="1"/>
      <c r="Q2062" s="1"/>
      <c r="R2062" s="1"/>
      <c r="S2062" s="1"/>
      <c r="T2062" s="1"/>
      <c r="U2062" s="1"/>
      <c r="V2062" s="1"/>
      <c r="W2062" s="1"/>
      <c r="X2062" s="1"/>
    </row>
    <row x14ac:dyDescent="0.25" r="2063" customHeight="1" ht="18.75">
      <c r="A2063" s="1"/>
      <c r="B2063" s="1"/>
      <c r="C2063" s="3" t="s">
        <v>1861</v>
      </c>
      <c r="D2063" s="3" t="s">
        <v>2093</v>
      </c>
      <c r="E2063" s="1"/>
      <c r="F2063" s="1"/>
      <c r="G2063" s="1"/>
      <c r="H2063" s="1"/>
      <c r="I2063" s="2"/>
      <c r="J2063" s="1"/>
      <c r="K2063" s="1"/>
      <c r="L2063" s="1"/>
      <c r="M2063" s="1"/>
      <c r="N2063" s="1"/>
      <c r="O2063" s="1"/>
      <c r="P2063" s="1"/>
      <c r="Q2063" s="1"/>
      <c r="R2063" s="1"/>
      <c r="S2063" s="1"/>
      <c r="T2063" s="1"/>
      <c r="U2063" s="1"/>
      <c r="V2063" s="1"/>
      <c r="W2063" s="1"/>
      <c r="X2063" s="1"/>
    </row>
    <row x14ac:dyDescent="0.25" r="2064" customHeight="1" ht="18.75">
      <c r="A2064" s="1"/>
      <c r="B2064" s="1"/>
      <c r="C2064" s="3" t="s">
        <v>1861</v>
      </c>
      <c r="D2064" s="3" t="s">
        <v>2094</v>
      </c>
      <c r="E2064" s="1"/>
      <c r="F2064" s="1"/>
      <c r="G2064" s="1"/>
      <c r="H2064" s="1"/>
      <c r="I2064" s="2"/>
      <c r="J2064" s="1"/>
      <c r="K2064" s="1"/>
      <c r="L2064" s="1"/>
      <c r="M2064" s="1"/>
      <c r="N2064" s="1"/>
      <c r="O2064" s="1"/>
      <c r="P2064" s="1"/>
      <c r="Q2064" s="1"/>
      <c r="R2064" s="1"/>
      <c r="S2064" s="1"/>
      <c r="T2064" s="1"/>
      <c r="U2064" s="1"/>
      <c r="V2064" s="1"/>
      <c r="W2064" s="1"/>
      <c r="X2064" s="1"/>
    </row>
    <row x14ac:dyDescent="0.25" r="2065" customHeight="1" ht="18.75">
      <c r="A2065" s="1"/>
      <c r="B2065" s="1"/>
      <c r="C2065" s="3" t="s">
        <v>1861</v>
      </c>
      <c r="D2065" s="3" t="s">
        <v>2095</v>
      </c>
      <c r="E2065" s="1"/>
      <c r="F2065" s="1"/>
      <c r="G2065" s="1"/>
      <c r="H2065" s="1"/>
      <c r="I2065" s="2"/>
      <c r="J2065" s="1"/>
      <c r="K2065" s="1"/>
      <c r="L2065" s="1"/>
      <c r="M2065" s="1"/>
      <c r="N2065" s="1"/>
      <c r="O2065" s="1"/>
      <c r="P2065" s="1"/>
      <c r="Q2065" s="1"/>
      <c r="R2065" s="1"/>
      <c r="S2065" s="1"/>
      <c r="T2065" s="1"/>
      <c r="U2065" s="1"/>
      <c r="V2065" s="1"/>
      <c r="W2065" s="1"/>
      <c r="X2065" s="1"/>
    </row>
    <row x14ac:dyDescent="0.25" r="2066" customHeight="1" ht="18.75">
      <c r="A2066" s="1"/>
      <c r="B2066" s="1"/>
      <c r="C2066" s="3" t="s">
        <v>1861</v>
      </c>
      <c r="D2066" s="3" t="s">
        <v>2096</v>
      </c>
      <c r="E2066" s="1"/>
      <c r="F2066" s="1"/>
      <c r="G2066" s="1"/>
      <c r="H2066" s="1"/>
      <c r="I2066" s="2"/>
      <c r="J2066" s="1"/>
      <c r="K2066" s="1"/>
      <c r="L2066" s="1"/>
      <c r="M2066" s="1"/>
      <c r="N2066" s="1"/>
      <c r="O2066" s="1"/>
      <c r="P2066" s="1"/>
      <c r="Q2066" s="1"/>
      <c r="R2066" s="1"/>
      <c r="S2066" s="1"/>
      <c r="T2066" s="1"/>
      <c r="U2066" s="1"/>
      <c r="V2066" s="1"/>
      <c r="W2066" s="1"/>
      <c r="X2066" s="1"/>
    </row>
    <row x14ac:dyDescent="0.25" r="2067" customHeight="1" ht="18.75">
      <c r="A2067" s="1"/>
      <c r="B2067" s="1"/>
      <c r="C2067" s="3" t="s">
        <v>1861</v>
      </c>
      <c r="D2067" s="3" t="s">
        <v>2097</v>
      </c>
      <c r="E2067" s="1"/>
      <c r="F2067" s="1"/>
      <c r="G2067" s="1"/>
      <c r="H2067" s="1"/>
      <c r="I2067" s="2"/>
      <c r="J2067" s="1"/>
      <c r="K2067" s="1"/>
      <c r="L2067" s="1"/>
      <c r="M2067" s="1"/>
      <c r="N2067" s="1"/>
      <c r="O2067" s="1"/>
      <c r="P2067" s="1"/>
      <c r="Q2067" s="1"/>
      <c r="R2067" s="1"/>
      <c r="S2067" s="1"/>
      <c r="T2067" s="1"/>
      <c r="U2067" s="1"/>
      <c r="V2067" s="1"/>
      <c r="W2067" s="1"/>
      <c r="X2067" s="1"/>
    </row>
    <row x14ac:dyDescent="0.25" r="2068" customHeight="1" ht="18.75">
      <c r="A2068" s="1"/>
      <c r="B2068" s="1"/>
      <c r="C2068" s="3" t="s">
        <v>1861</v>
      </c>
      <c r="D2068" s="3" t="s">
        <v>2098</v>
      </c>
      <c r="E2068" s="1"/>
      <c r="F2068" s="1"/>
      <c r="G2068" s="1"/>
      <c r="H2068" s="1"/>
      <c r="I2068" s="2"/>
      <c r="J2068" s="1"/>
      <c r="K2068" s="1"/>
      <c r="L2068" s="1"/>
      <c r="M2068" s="1"/>
      <c r="N2068" s="1"/>
      <c r="O2068" s="1"/>
      <c r="P2068" s="1"/>
      <c r="Q2068" s="1"/>
      <c r="R2068" s="1"/>
      <c r="S2068" s="1"/>
      <c r="T2068" s="1"/>
      <c r="U2068" s="1"/>
      <c r="V2068" s="1"/>
      <c r="W2068" s="1"/>
      <c r="X2068" s="1"/>
    </row>
    <row x14ac:dyDescent="0.25" r="2069" customHeight="1" ht="18.75">
      <c r="A2069" s="1"/>
      <c r="B2069" s="1"/>
      <c r="C2069" s="3" t="s">
        <v>1861</v>
      </c>
      <c r="D2069" s="3" t="s">
        <v>2099</v>
      </c>
      <c r="E2069" s="1"/>
      <c r="F2069" s="1"/>
      <c r="G2069" s="1"/>
      <c r="H2069" s="1"/>
      <c r="I2069" s="2"/>
      <c r="J2069" s="1"/>
      <c r="K2069" s="1"/>
      <c r="L2069" s="1"/>
      <c r="M2069" s="1"/>
      <c r="N2069" s="1"/>
      <c r="O2069" s="1"/>
      <c r="P2069" s="1"/>
      <c r="Q2069" s="1"/>
      <c r="R2069" s="1"/>
      <c r="S2069" s="1"/>
      <c r="T2069" s="1"/>
      <c r="U2069" s="1"/>
      <c r="V2069" s="1"/>
      <c r="W2069" s="1"/>
      <c r="X2069" s="1"/>
    </row>
    <row x14ac:dyDescent="0.25" r="2070" customHeight="1" ht="18.75">
      <c r="A2070" s="1"/>
      <c r="B2070" s="1"/>
      <c r="C2070" s="3" t="s">
        <v>1861</v>
      </c>
      <c r="D2070" s="3" t="s">
        <v>2100</v>
      </c>
      <c r="E2070" s="1"/>
      <c r="F2070" s="1"/>
      <c r="G2070" s="1"/>
      <c r="H2070" s="1"/>
      <c r="I2070" s="2"/>
      <c r="J2070" s="1"/>
      <c r="K2070" s="1"/>
      <c r="L2070" s="1"/>
      <c r="M2070" s="1"/>
      <c r="N2070" s="1"/>
      <c r="O2070" s="1"/>
      <c r="P2070" s="1"/>
      <c r="Q2070" s="1"/>
      <c r="R2070" s="1"/>
      <c r="S2070" s="1"/>
      <c r="T2070" s="1"/>
      <c r="U2070" s="1"/>
      <c r="V2070" s="1"/>
      <c r="W2070" s="1"/>
      <c r="X2070" s="1"/>
    </row>
    <row x14ac:dyDescent="0.25" r="2071" customHeight="1" ht="18.75">
      <c r="A2071" s="1"/>
      <c r="B2071" s="1"/>
      <c r="C2071" s="3" t="s">
        <v>1861</v>
      </c>
      <c r="D2071" s="3" t="s">
        <v>2101</v>
      </c>
      <c r="E2071" s="1"/>
      <c r="F2071" s="1"/>
      <c r="G2071" s="1"/>
      <c r="H2071" s="1"/>
      <c r="I2071" s="2"/>
      <c r="J2071" s="1"/>
      <c r="K2071" s="1"/>
      <c r="L2071" s="1"/>
      <c r="M2071" s="1"/>
      <c r="N2071" s="1"/>
      <c r="O2071" s="1"/>
      <c r="P2071" s="1"/>
      <c r="Q2071" s="1"/>
      <c r="R2071" s="1"/>
      <c r="S2071" s="1"/>
      <c r="T2071" s="1"/>
      <c r="U2071" s="1"/>
      <c r="V2071" s="1"/>
      <c r="W2071" s="1"/>
      <c r="X2071" s="1"/>
    </row>
    <row x14ac:dyDescent="0.25" r="2072" customHeight="1" ht="18.75">
      <c r="A2072" s="1"/>
      <c r="B2072" s="1"/>
      <c r="C2072" s="3" t="s">
        <v>1861</v>
      </c>
      <c r="D2072" s="3" t="s">
        <v>2102</v>
      </c>
      <c r="E2072" s="1"/>
      <c r="F2072" s="1"/>
      <c r="G2072" s="1"/>
      <c r="H2072" s="1"/>
      <c r="I2072" s="2"/>
      <c r="J2072" s="1"/>
      <c r="K2072" s="1"/>
      <c r="L2072" s="1"/>
      <c r="M2072" s="1"/>
      <c r="N2072" s="1"/>
      <c r="O2072" s="1"/>
      <c r="P2072" s="1"/>
      <c r="Q2072" s="1"/>
      <c r="R2072" s="1"/>
      <c r="S2072" s="1"/>
      <c r="T2072" s="1"/>
      <c r="U2072" s="1"/>
      <c r="V2072" s="1"/>
      <c r="W2072" s="1"/>
      <c r="X2072" s="1"/>
    </row>
    <row x14ac:dyDescent="0.25" r="2073" customHeight="1" ht="18.75">
      <c r="A2073" s="1"/>
      <c r="B2073" s="1"/>
      <c r="C2073" s="3" t="s">
        <v>1861</v>
      </c>
      <c r="D2073" s="3" t="s">
        <v>2103</v>
      </c>
      <c r="E2073" s="1"/>
      <c r="F2073" s="1"/>
      <c r="G2073" s="1"/>
      <c r="H2073" s="1"/>
      <c r="I2073" s="2"/>
      <c r="J2073" s="1"/>
      <c r="K2073" s="1"/>
      <c r="L2073" s="1"/>
      <c r="M2073" s="1"/>
      <c r="N2073" s="1"/>
      <c r="O2073" s="1"/>
      <c r="P2073" s="1"/>
      <c r="Q2073" s="1"/>
      <c r="R2073" s="1"/>
      <c r="S2073" s="1"/>
      <c r="T2073" s="1"/>
      <c r="U2073" s="1"/>
      <c r="V2073" s="1"/>
      <c r="W2073" s="1"/>
      <c r="X2073" s="1"/>
    </row>
    <row x14ac:dyDescent="0.25" r="2074" customHeight="1" ht="18.75">
      <c r="A2074" s="1"/>
      <c r="B2074" s="1"/>
      <c r="C2074" s="3" t="s">
        <v>1861</v>
      </c>
      <c r="D2074" s="3" t="s">
        <v>2104</v>
      </c>
      <c r="E2074" s="1"/>
      <c r="F2074" s="1"/>
      <c r="G2074" s="1"/>
      <c r="H2074" s="1"/>
      <c r="I2074" s="2"/>
      <c r="J2074" s="1"/>
      <c r="K2074" s="1"/>
      <c r="L2074" s="1"/>
      <c r="M2074" s="1"/>
      <c r="N2074" s="1"/>
      <c r="O2074" s="1"/>
      <c r="P2074" s="1"/>
      <c r="Q2074" s="1"/>
      <c r="R2074" s="1"/>
      <c r="S2074" s="1"/>
      <c r="T2074" s="1"/>
      <c r="U2074" s="1"/>
      <c r="V2074" s="1"/>
      <c r="W2074" s="1"/>
      <c r="X2074" s="1"/>
    </row>
    <row x14ac:dyDescent="0.25" r="2075" customHeight="1" ht="18.75">
      <c r="A2075" s="1"/>
      <c r="B2075" s="1"/>
      <c r="C2075" s="3" t="s">
        <v>1861</v>
      </c>
      <c r="D2075" s="3" t="s">
        <v>2105</v>
      </c>
      <c r="E2075" s="1"/>
      <c r="F2075" s="1"/>
      <c r="G2075" s="1"/>
      <c r="H2075" s="1"/>
      <c r="I2075" s="2"/>
      <c r="J2075" s="1"/>
      <c r="K2075" s="1"/>
      <c r="L2075" s="1"/>
      <c r="M2075" s="1"/>
      <c r="N2075" s="1"/>
      <c r="O2075" s="1"/>
      <c r="P2075" s="1"/>
      <c r="Q2075" s="1"/>
      <c r="R2075" s="1"/>
      <c r="S2075" s="1"/>
      <c r="T2075" s="1"/>
      <c r="U2075" s="1"/>
      <c r="V2075" s="1"/>
      <c r="W2075" s="1"/>
      <c r="X2075" s="1"/>
    </row>
    <row x14ac:dyDescent="0.25" r="2076" customHeight="1" ht="18.75">
      <c r="A2076" s="1"/>
      <c r="B2076" s="1"/>
      <c r="C2076" s="3" t="s">
        <v>1861</v>
      </c>
      <c r="D2076" s="3" t="s">
        <v>2106</v>
      </c>
      <c r="E2076" s="1"/>
      <c r="F2076" s="1"/>
      <c r="G2076" s="1"/>
      <c r="H2076" s="1"/>
      <c r="I2076" s="2"/>
      <c r="J2076" s="1"/>
      <c r="K2076" s="1"/>
      <c r="L2076" s="1"/>
      <c r="M2076" s="1"/>
      <c r="N2076" s="1"/>
      <c r="O2076" s="1"/>
      <c r="P2076" s="1"/>
      <c r="Q2076" s="1"/>
      <c r="R2076" s="1"/>
      <c r="S2076" s="1"/>
      <c r="T2076" s="1"/>
      <c r="U2076" s="1"/>
      <c r="V2076" s="1"/>
      <c r="W2076" s="1"/>
      <c r="X2076" s="1"/>
    </row>
    <row x14ac:dyDescent="0.25" r="2077" customHeight="1" ht="18.75">
      <c r="A2077" s="1"/>
      <c r="B2077" s="1"/>
      <c r="C2077" s="3" t="s">
        <v>1861</v>
      </c>
      <c r="D2077" s="3" t="s">
        <v>2107</v>
      </c>
      <c r="E2077" s="1"/>
      <c r="F2077" s="1"/>
      <c r="G2077" s="1"/>
      <c r="H2077" s="1"/>
      <c r="I2077" s="2"/>
      <c r="J2077" s="1"/>
      <c r="K2077" s="1"/>
      <c r="L2077" s="1"/>
      <c r="M2077" s="1"/>
      <c r="N2077" s="1"/>
      <c r="O2077" s="1"/>
      <c r="P2077" s="1"/>
      <c r="Q2077" s="1"/>
      <c r="R2077" s="1"/>
      <c r="S2077" s="1"/>
      <c r="T2077" s="1"/>
      <c r="U2077" s="1"/>
      <c r="V2077" s="1"/>
      <c r="W2077" s="1"/>
      <c r="X2077" s="1"/>
    </row>
    <row x14ac:dyDescent="0.25" r="2078" customHeight="1" ht="18.75">
      <c r="A2078" s="1"/>
      <c r="B2078" s="1"/>
      <c r="C2078" s="3" t="s">
        <v>1861</v>
      </c>
      <c r="D2078" s="3" t="s">
        <v>2108</v>
      </c>
      <c r="E2078" s="1"/>
      <c r="F2078" s="1"/>
      <c r="G2078" s="1"/>
      <c r="H2078" s="1"/>
      <c r="I2078" s="2"/>
      <c r="J2078" s="1"/>
      <c r="K2078" s="1"/>
      <c r="L2078" s="1"/>
      <c r="M2078" s="1"/>
      <c r="N2078" s="1"/>
      <c r="O2078" s="1"/>
      <c r="P2078" s="1"/>
      <c r="Q2078" s="1"/>
      <c r="R2078" s="1"/>
      <c r="S2078" s="1"/>
      <c r="T2078" s="1"/>
      <c r="U2078" s="1"/>
      <c r="V2078" s="1"/>
      <c r="W2078" s="1"/>
      <c r="X2078" s="1"/>
    </row>
    <row x14ac:dyDescent="0.25" r="2079" customHeight="1" ht="18.75">
      <c r="A2079" s="1"/>
      <c r="B2079" s="1"/>
      <c r="C2079" s="3" t="s">
        <v>1861</v>
      </c>
      <c r="D2079" s="3" t="s">
        <v>2109</v>
      </c>
      <c r="E2079" s="1"/>
      <c r="F2079" s="1"/>
      <c r="G2079" s="1"/>
      <c r="H2079" s="1"/>
      <c r="I2079" s="2"/>
      <c r="J2079" s="1"/>
      <c r="K2079" s="1"/>
      <c r="L2079" s="1"/>
      <c r="M2079" s="1"/>
      <c r="N2079" s="1"/>
      <c r="O2079" s="1"/>
      <c r="P2079" s="1"/>
      <c r="Q2079" s="1"/>
      <c r="R2079" s="1"/>
      <c r="S2079" s="1"/>
      <c r="T2079" s="1"/>
      <c r="U2079" s="1"/>
      <c r="V2079" s="1"/>
      <c r="W2079" s="1"/>
      <c r="X2079" s="1"/>
    </row>
    <row x14ac:dyDescent="0.25" r="2080" customHeight="1" ht="18.75">
      <c r="A2080" s="1"/>
      <c r="B2080" s="1"/>
      <c r="C2080" s="3" t="s">
        <v>1861</v>
      </c>
      <c r="D2080" s="3" t="s">
        <v>2110</v>
      </c>
      <c r="E2080" s="1"/>
      <c r="F2080" s="1"/>
      <c r="G2080" s="1"/>
      <c r="H2080" s="1"/>
      <c r="I2080" s="2"/>
      <c r="J2080" s="1"/>
      <c r="K2080" s="1"/>
      <c r="L2080" s="1"/>
      <c r="M2080" s="1"/>
      <c r="N2080" s="1"/>
      <c r="O2080" s="1"/>
      <c r="P2080" s="1"/>
      <c r="Q2080" s="1"/>
      <c r="R2080" s="1"/>
      <c r="S2080" s="1"/>
      <c r="T2080" s="1"/>
      <c r="U2080" s="1"/>
      <c r="V2080" s="1"/>
      <c r="W2080" s="1"/>
      <c r="X2080" s="1"/>
    </row>
    <row x14ac:dyDescent="0.25" r="2081" customHeight="1" ht="18.75">
      <c r="A2081" s="1"/>
      <c r="B2081" s="1"/>
      <c r="C2081" s="3" t="s">
        <v>1861</v>
      </c>
      <c r="D2081" s="3" t="s">
        <v>2111</v>
      </c>
      <c r="E2081" s="1"/>
      <c r="F2081" s="1"/>
      <c r="G2081" s="1"/>
      <c r="H2081" s="1"/>
      <c r="I2081" s="2"/>
      <c r="J2081" s="1"/>
      <c r="K2081" s="1"/>
      <c r="L2081" s="1"/>
      <c r="M2081" s="1"/>
      <c r="N2081" s="1"/>
      <c r="O2081" s="1"/>
      <c r="P2081" s="1"/>
      <c r="Q2081" s="1"/>
      <c r="R2081" s="1"/>
      <c r="S2081" s="1"/>
      <c r="T2081" s="1"/>
      <c r="U2081" s="1"/>
      <c r="V2081" s="1"/>
      <c r="W2081" s="1"/>
      <c r="X2081" s="1"/>
    </row>
    <row x14ac:dyDescent="0.25" r="2082" customHeight="1" ht="18.75">
      <c r="A2082" s="1"/>
      <c r="B2082" s="1"/>
      <c r="C2082" s="3" t="s">
        <v>1861</v>
      </c>
      <c r="D2082" s="3" t="s">
        <v>2112</v>
      </c>
      <c r="E2082" s="1"/>
      <c r="F2082" s="1"/>
      <c r="G2082" s="1"/>
      <c r="H2082" s="1"/>
      <c r="I2082" s="2"/>
      <c r="J2082" s="1"/>
      <c r="K2082" s="1"/>
      <c r="L2082" s="1"/>
      <c r="M2082" s="1"/>
      <c r="N2082" s="1"/>
      <c r="O2082" s="1"/>
      <c r="P2082" s="1"/>
      <c r="Q2082" s="1"/>
      <c r="R2082" s="1"/>
      <c r="S2082" s="1"/>
      <c r="T2082" s="1"/>
      <c r="U2082" s="1"/>
      <c r="V2082" s="1"/>
      <c r="W2082" s="1"/>
      <c r="X2082" s="1"/>
    </row>
    <row x14ac:dyDescent="0.25" r="2083" customHeight="1" ht="18.75">
      <c r="A2083" s="1"/>
      <c r="B2083" s="1"/>
      <c r="C2083" s="3" t="s">
        <v>1861</v>
      </c>
      <c r="D2083" s="3" t="s">
        <v>2113</v>
      </c>
      <c r="E2083" s="1"/>
      <c r="F2083" s="1"/>
      <c r="G2083" s="1"/>
      <c r="H2083" s="1"/>
      <c r="I2083" s="2"/>
      <c r="J2083" s="1"/>
      <c r="K2083" s="1"/>
      <c r="L2083" s="1"/>
      <c r="M2083" s="1"/>
      <c r="N2083" s="1"/>
      <c r="O2083" s="1"/>
      <c r="P2083" s="1"/>
      <c r="Q2083" s="1"/>
      <c r="R2083" s="1"/>
      <c r="S2083" s="1"/>
      <c r="T2083" s="1"/>
      <c r="U2083" s="1"/>
      <c r="V2083" s="1"/>
      <c r="W2083" s="1"/>
      <c r="X2083" s="1"/>
    </row>
    <row x14ac:dyDescent="0.25" r="2084" customHeight="1" ht="18.75">
      <c r="A2084" s="1"/>
      <c r="B2084" s="1"/>
      <c r="C2084" s="3" t="s">
        <v>1861</v>
      </c>
      <c r="D2084" s="3" t="s">
        <v>2114</v>
      </c>
      <c r="E2084" s="1"/>
      <c r="F2084" s="1"/>
      <c r="G2084" s="1"/>
      <c r="H2084" s="1"/>
      <c r="I2084" s="2"/>
      <c r="J2084" s="1"/>
      <c r="K2084" s="1"/>
      <c r="L2084" s="1"/>
      <c r="M2084" s="1"/>
      <c r="N2084" s="1"/>
      <c r="O2084" s="1"/>
      <c r="P2084" s="1"/>
      <c r="Q2084" s="1"/>
      <c r="R2084" s="1"/>
      <c r="S2084" s="1"/>
      <c r="T2084" s="1"/>
      <c r="U2084" s="1"/>
      <c r="V2084" s="1"/>
      <c r="W2084" s="1"/>
      <c r="X2084" s="1"/>
    </row>
    <row x14ac:dyDescent="0.25" r="2085" customHeight="1" ht="18.75">
      <c r="A2085" s="1"/>
      <c r="B2085" s="1"/>
      <c r="C2085" s="3" t="s">
        <v>1861</v>
      </c>
      <c r="D2085" s="3" t="s">
        <v>2115</v>
      </c>
      <c r="E2085" s="1"/>
      <c r="F2085" s="1"/>
      <c r="G2085" s="1"/>
      <c r="H2085" s="1"/>
      <c r="I2085" s="2"/>
      <c r="J2085" s="1"/>
      <c r="K2085" s="1"/>
      <c r="L2085" s="1"/>
      <c r="M2085" s="1"/>
      <c r="N2085" s="1"/>
      <c r="O2085" s="1"/>
      <c r="P2085" s="1"/>
      <c r="Q2085" s="1"/>
      <c r="R2085" s="1"/>
      <c r="S2085" s="1"/>
      <c r="T2085" s="1"/>
      <c r="U2085" s="1"/>
      <c r="V2085" s="1"/>
      <c r="W2085" s="1"/>
      <c r="X2085" s="1"/>
    </row>
    <row x14ac:dyDescent="0.25" r="2086" customHeight="1" ht="18.75">
      <c r="A2086" s="1"/>
      <c r="B2086" s="1"/>
      <c r="C2086" s="3" t="s">
        <v>1861</v>
      </c>
      <c r="D2086" s="3" t="s">
        <v>2116</v>
      </c>
      <c r="E2086" s="1"/>
      <c r="F2086" s="1"/>
      <c r="G2086" s="1"/>
      <c r="H2086" s="1"/>
      <c r="I2086" s="2"/>
      <c r="J2086" s="1"/>
      <c r="K2086" s="1"/>
      <c r="L2086" s="1"/>
      <c r="M2086" s="1"/>
      <c r="N2086" s="1"/>
      <c r="O2086" s="1"/>
      <c r="P2086" s="1"/>
      <c r="Q2086" s="1"/>
      <c r="R2086" s="1"/>
      <c r="S2086" s="1"/>
      <c r="T2086" s="1"/>
      <c r="U2086" s="1"/>
      <c r="V2086" s="1"/>
      <c r="W2086" s="1"/>
      <c r="X2086" s="1"/>
    </row>
    <row x14ac:dyDescent="0.25" r="2087" customHeight="1" ht="18.75">
      <c r="A2087" s="1"/>
      <c r="B2087" s="1"/>
      <c r="C2087" s="3" t="s">
        <v>1861</v>
      </c>
      <c r="D2087" s="3" t="s">
        <v>2117</v>
      </c>
      <c r="E2087" s="1"/>
      <c r="F2087" s="1"/>
      <c r="G2087" s="1"/>
      <c r="H2087" s="1"/>
      <c r="I2087" s="2"/>
      <c r="J2087" s="1"/>
      <c r="K2087" s="1"/>
      <c r="L2087" s="1"/>
      <c r="M2087" s="1"/>
      <c r="N2087" s="1"/>
      <c r="O2087" s="1"/>
      <c r="P2087" s="1"/>
      <c r="Q2087" s="1"/>
      <c r="R2087" s="1"/>
      <c r="S2087" s="1"/>
      <c r="T2087" s="1"/>
      <c r="U2087" s="1"/>
      <c r="V2087" s="1"/>
      <c r="W2087" s="1"/>
      <c r="X2087" s="1"/>
    </row>
    <row x14ac:dyDescent="0.25" r="2088" customHeight="1" ht="18.75">
      <c r="A2088" s="1"/>
      <c r="B2088" s="1"/>
      <c r="C2088" s="3" t="s">
        <v>1861</v>
      </c>
      <c r="D2088" s="3" t="s">
        <v>2118</v>
      </c>
      <c r="E2088" s="1"/>
      <c r="F2088" s="1"/>
      <c r="G2088" s="1"/>
      <c r="H2088" s="1"/>
      <c r="I2088" s="2"/>
      <c r="J2088" s="1"/>
      <c r="K2088" s="1"/>
      <c r="L2088" s="1"/>
      <c r="M2088" s="1"/>
      <c r="N2088" s="1"/>
      <c r="O2088" s="1"/>
      <c r="P2088" s="1"/>
      <c r="Q2088" s="1"/>
      <c r="R2088" s="1"/>
      <c r="S2088" s="1"/>
      <c r="T2088" s="1"/>
      <c r="U2088" s="1"/>
      <c r="V2088" s="1"/>
      <c r="W2088" s="1"/>
      <c r="X2088" s="1"/>
    </row>
    <row x14ac:dyDescent="0.25" r="2089" customHeight="1" ht="18.75">
      <c r="A2089" s="1"/>
      <c r="B2089" s="1"/>
      <c r="C2089" s="3" t="s">
        <v>1861</v>
      </c>
      <c r="D2089" s="3" t="s">
        <v>2119</v>
      </c>
      <c r="E2089" s="1"/>
      <c r="F2089" s="1"/>
      <c r="G2089" s="1"/>
      <c r="H2089" s="1"/>
      <c r="I2089" s="2"/>
      <c r="J2089" s="1"/>
      <c r="K2089" s="1"/>
      <c r="L2089" s="1"/>
      <c r="M2089" s="1"/>
      <c r="N2089" s="1"/>
      <c r="O2089" s="1"/>
      <c r="P2089" s="1"/>
      <c r="Q2089" s="1"/>
      <c r="R2089" s="1"/>
      <c r="S2089" s="1"/>
      <c r="T2089" s="1"/>
      <c r="U2089" s="1"/>
      <c r="V2089" s="1"/>
      <c r="W2089" s="1"/>
      <c r="X2089" s="1"/>
    </row>
    <row x14ac:dyDescent="0.25" r="2090" customHeight="1" ht="18.75">
      <c r="A2090" s="1"/>
      <c r="B2090" s="1"/>
      <c r="C2090" s="3" t="s">
        <v>1861</v>
      </c>
      <c r="D2090" s="3" t="s">
        <v>2120</v>
      </c>
      <c r="E2090" s="1"/>
      <c r="F2090" s="1"/>
      <c r="G2090" s="1"/>
      <c r="H2090" s="1"/>
      <c r="I2090" s="2"/>
      <c r="J2090" s="1"/>
      <c r="K2090" s="1"/>
      <c r="L2090" s="1"/>
      <c r="M2090" s="1"/>
      <c r="N2090" s="1"/>
      <c r="O2090" s="1"/>
      <c r="P2090" s="1"/>
      <c r="Q2090" s="1"/>
      <c r="R2090" s="1"/>
      <c r="S2090" s="1"/>
      <c r="T2090" s="1"/>
      <c r="U2090" s="1"/>
      <c r="V2090" s="1"/>
      <c r="W2090" s="1"/>
      <c r="X2090" s="1"/>
    </row>
    <row x14ac:dyDescent="0.25" r="2091" customHeight="1" ht="18.75">
      <c r="A2091" s="1"/>
      <c r="B2091" s="1"/>
      <c r="C2091" s="3" t="s">
        <v>1861</v>
      </c>
      <c r="D2091" s="3" t="s">
        <v>2121</v>
      </c>
      <c r="E2091" s="1"/>
      <c r="F2091" s="1"/>
      <c r="G2091" s="1"/>
      <c r="H2091" s="1"/>
      <c r="I2091" s="2"/>
      <c r="J2091" s="1"/>
      <c r="K2091" s="1"/>
      <c r="L2091" s="1"/>
      <c r="M2091" s="1"/>
      <c r="N2091" s="1"/>
      <c r="O2091" s="1"/>
      <c r="P2091" s="1"/>
      <c r="Q2091" s="1"/>
      <c r="R2091" s="1"/>
      <c r="S2091" s="1"/>
      <c r="T2091" s="1"/>
      <c r="U2091" s="1"/>
      <c r="V2091" s="1"/>
      <c r="W2091" s="1"/>
      <c r="X2091" s="1"/>
    </row>
    <row x14ac:dyDescent="0.25" r="2092" customHeight="1" ht="18.75">
      <c r="A2092" s="1"/>
      <c r="B2092" s="1"/>
      <c r="C2092" s="3" t="s">
        <v>1861</v>
      </c>
      <c r="D2092" s="3" t="s">
        <v>2122</v>
      </c>
      <c r="E2092" s="1"/>
      <c r="F2092" s="1"/>
      <c r="G2092" s="1"/>
      <c r="H2092" s="1"/>
      <c r="I2092" s="2"/>
      <c r="J2092" s="1"/>
      <c r="K2092" s="1"/>
      <c r="L2092" s="1"/>
      <c r="M2092" s="1"/>
      <c r="N2092" s="1"/>
      <c r="O2092" s="1"/>
      <c r="P2092" s="1"/>
      <c r="Q2092" s="1"/>
      <c r="R2092" s="1"/>
      <c r="S2092" s="1"/>
      <c r="T2092" s="1"/>
      <c r="U2092" s="1"/>
      <c r="V2092" s="1"/>
      <c r="W2092" s="1"/>
      <c r="X2092" s="1"/>
    </row>
    <row x14ac:dyDescent="0.25" r="2093" customHeight="1" ht="18.75">
      <c r="A2093" s="1"/>
      <c r="B2093" s="1"/>
      <c r="C2093" s="3" t="s">
        <v>1861</v>
      </c>
      <c r="D2093" s="3" t="s">
        <v>2123</v>
      </c>
      <c r="E2093" s="1"/>
      <c r="F2093" s="1"/>
      <c r="G2093" s="1"/>
      <c r="H2093" s="1"/>
      <c r="I2093" s="2"/>
      <c r="J2093" s="1"/>
      <c r="K2093" s="1"/>
      <c r="L2093" s="1"/>
      <c r="M2093" s="1"/>
      <c r="N2093" s="1"/>
      <c r="O2093" s="1"/>
      <c r="P2093" s="1"/>
      <c r="Q2093" s="1"/>
      <c r="R2093" s="1"/>
      <c r="S2093" s="1"/>
      <c r="T2093" s="1"/>
      <c r="U2093" s="1"/>
      <c r="V2093" s="1"/>
      <c r="W2093" s="1"/>
      <c r="X2093" s="1"/>
    </row>
    <row x14ac:dyDescent="0.25" r="2094" customHeight="1" ht="18.75">
      <c r="A2094" s="1"/>
      <c r="B2094" s="1"/>
      <c r="C2094" s="3" t="s">
        <v>1861</v>
      </c>
      <c r="D2094" s="3" t="s">
        <v>2124</v>
      </c>
      <c r="E2094" s="1"/>
      <c r="F2094" s="1"/>
      <c r="G2094" s="1"/>
      <c r="H2094" s="1"/>
      <c r="I2094" s="2"/>
      <c r="J2094" s="1"/>
      <c r="K2094" s="1"/>
      <c r="L2094" s="1"/>
      <c r="M2094" s="1"/>
      <c r="N2094" s="1"/>
      <c r="O2094" s="1"/>
      <c r="P2094" s="1"/>
      <c r="Q2094" s="1"/>
      <c r="R2094" s="1"/>
      <c r="S2094" s="1"/>
      <c r="T2094" s="1"/>
      <c r="U2094" s="1"/>
      <c r="V2094" s="1"/>
      <c r="W2094" s="1"/>
      <c r="X2094" s="1"/>
    </row>
    <row x14ac:dyDescent="0.25" r="2095" customHeight="1" ht="18.75">
      <c r="A2095" s="1"/>
      <c r="B2095" s="1"/>
      <c r="C2095" s="3" t="s">
        <v>1861</v>
      </c>
      <c r="D2095" s="3" t="s">
        <v>2125</v>
      </c>
      <c r="E2095" s="1"/>
      <c r="F2095" s="1"/>
      <c r="G2095" s="1"/>
      <c r="H2095" s="1"/>
      <c r="I2095" s="2"/>
      <c r="J2095" s="1"/>
      <c r="K2095" s="1"/>
      <c r="L2095" s="1"/>
      <c r="M2095" s="1"/>
      <c r="N2095" s="1"/>
      <c r="O2095" s="1"/>
      <c r="P2095" s="1"/>
      <c r="Q2095" s="1"/>
      <c r="R2095" s="1"/>
      <c r="S2095" s="1"/>
      <c r="T2095" s="1"/>
      <c r="U2095" s="1"/>
      <c r="V2095" s="1"/>
      <c r="W2095" s="1"/>
      <c r="X2095" s="1"/>
    </row>
    <row x14ac:dyDescent="0.25" r="2096" customHeight="1" ht="18.75">
      <c r="A2096" s="1"/>
      <c r="B2096" s="1"/>
      <c r="C2096" s="3" t="s">
        <v>1861</v>
      </c>
      <c r="D2096" s="3" t="s">
        <v>2126</v>
      </c>
      <c r="E2096" s="1"/>
      <c r="F2096" s="1"/>
      <c r="G2096" s="1"/>
      <c r="H2096" s="1"/>
      <c r="I2096" s="2"/>
      <c r="J2096" s="1"/>
      <c r="K2096" s="1"/>
      <c r="L2096" s="1"/>
      <c r="M2096" s="1"/>
      <c r="N2096" s="1"/>
      <c r="O2096" s="1"/>
      <c r="P2096" s="1"/>
      <c r="Q2096" s="1"/>
      <c r="R2096" s="1"/>
      <c r="S2096" s="1"/>
      <c r="T2096" s="1"/>
      <c r="U2096" s="1"/>
      <c r="V2096" s="1"/>
      <c r="W2096" s="1"/>
      <c r="X2096" s="1"/>
    </row>
    <row x14ac:dyDescent="0.25" r="2097" customHeight="1" ht="18.75">
      <c r="A2097" s="1"/>
      <c r="B2097" s="1"/>
      <c r="C2097" s="3" t="s">
        <v>1861</v>
      </c>
      <c r="D2097" s="3" t="s">
        <v>2127</v>
      </c>
      <c r="E2097" s="1"/>
      <c r="F2097" s="1"/>
      <c r="G2097" s="1"/>
      <c r="H2097" s="1"/>
      <c r="I2097" s="2"/>
      <c r="J2097" s="1"/>
      <c r="K2097" s="1"/>
      <c r="L2097" s="1"/>
      <c r="M2097" s="1"/>
      <c r="N2097" s="1"/>
      <c r="O2097" s="1"/>
      <c r="P2097" s="1"/>
      <c r="Q2097" s="1"/>
      <c r="R2097" s="1"/>
      <c r="S2097" s="1"/>
      <c r="T2097" s="1"/>
      <c r="U2097" s="1"/>
      <c r="V2097" s="1"/>
      <c r="W2097" s="1"/>
      <c r="X2097" s="1"/>
    </row>
    <row x14ac:dyDescent="0.25" r="2098" customHeight="1" ht="18.75">
      <c r="A2098" s="1"/>
      <c r="B2098" s="1"/>
      <c r="C2098" s="3" t="s">
        <v>1861</v>
      </c>
      <c r="D2098" s="3" t="s">
        <v>2128</v>
      </c>
      <c r="E2098" s="1"/>
      <c r="F2098" s="1"/>
      <c r="G2098" s="1"/>
      <c r="H2098" s="1"/>
      <c r="I2098" s="2"/>
      <c r="J2098" s="1"/>
      <c r="K2098" s="1"/>
      <c r="L2098" s="1"/>
      <c r="M2098" s="1"/>
      <c r="N2098" s="1"/>
      <c r="O2098" s="1"/>
      <c r="P2098" s="1"/>
      <c r="Q2098" s="1"/>
      <c r="R2098" s="1"/>
      <c r="S2098" s="1"/>
      <c r="T2098" s="1"/>
      <c r="U2098" s="1"/>
      <c r="V2098" s="1"/>
      <c r="W2098" s="1"/>
      <c r="X2098" s="1"/>
    </row>
    <row x14ac:dyDescent="0.25" r="2099" customHeight="1" ht="18.75">
      <c r="A2099" s="1"/>
      <c r="B2099" s="1"/>
      <c r="C2099" s="3" t="s">
        <v>1861</v>
      </c>
      <c r="D2099" s="3" t="s">
        <v>2129</v>
      </c>
      <c r="E2099" s="1"/>
      <c r="F2099" s="1"/>
      <c r="G2099" s="1"/>
      <c r="H2099" s="1"/>
      <c r="I2099" s="2"/>
      <c r="J2099" s="1"/>
      <c r="K2099" s="1"/>
      <c r="L2099" s="1"/>
      <c r="M2099" s="1"/>
      <c r="N2099" s="1"/>
      <c r="O2099" s="1"/>
      <c r="P2099" s="1"/>
      <c r="Q2099" s="1"/>
      <c r="R2099" s="1"/>
      <c r="S2099" s="1"/>
      <c r="T2099" s="1"/>
      <c r="U2099" s="1"/>
      <c r="V2099" s="1"/>
      <c r="W2099" s="1"/>
      <c r="X2099" s="1"/>
    </row>
    <row x14ac:dyDescent="0.25" r="2100" customHeight="1" ht="18.75">
      <c r="A2100" s="1"/>
      <c r="B2100" s="1"/>
      <c r="C2100" s="3" t="s">
        <v>1861</v>
      </c>
      <c r="D2100" s="3" t="s">
        <v>2130</v>
      </c>
      <c r="E2100" s="1"/>
      <c r="F2100" s="1"/>
      <c r="G2100" s="1"/>
      <c r="H2100" s="1"/>
      <c r="I2100" s="2"/>
      <c r="J2100" s="1"/>
      <c r="K2100" s="1"/>
      <c r="L2100" s="1"/>
      <c r="M2100" s="1"/>
      <c r="N2100" s="1"/>
      <c r="O2100" s="1"/>
      <c r="P2100" s="1"/>
      <c r="Q2100" s="1"/>
      <c r="R2100" s="1"/>
      <c r="S2100" s="1"/>
      <c r="T2100" s="1"/>
      <c r="U2100" s="1"/>
      <c r="V2100" s="1"/>
      <c r="W2100" s="1"/>
      <c r="X2100" s="1"/>
    </row>
    <row x14ac:dyDescent="0.25" r="2101" customHeight="1" ht="18.75">
      <c r="A2101" s="1"/>
      <c r="B2101" s="1"/>
      <c r="C2101" s="3" t="s">
        <v>1861</v>
      </c>
      <c r="D2101" s="3" t="s">
        <v>2131</v>
      </c>
      <c r="E2101" s="1"/>
      <c r="F2101" s="1"/>
      <c r="G2101" s="1"/>
      <c r="H2101" s="1"/>
      <c r="I2101" s="2"/>
      <c r="J2101" s="1"/>
      <c r="K2101" s="1"/>
      <c r="L2101" s="1"/>
      <c r="M2101" s="1"/>
      <c r="N2101" s="1"/>
      <c r="O2101" s="1"/>
      <c r="P2101" s="1"/>
      <c r="Q2101" s="1"/>
      <c r="R2101" s="1"/>
      <c r="S2101" s="1"/>
      <c r="T2101" s="1"/>
      <c r="U2101" s="1"/>
      <c r="V2101" s="1"/>
      <c r="W2101" s="1"/>
      <c r="X2101" s="1"/>
    </row>
    <row x14ac:dyDescent="0.25" r="2102" customHeight="1" ht="18.75">
      <c r="A2102" s="1"/>
      <c r="B2102" s="1"/>
      <c r="C2102" s="3" t="s">
        <v>1861</v>
      </c>
      <c r="D2102" s="3" t="s">
        <v>2132</v>
      </c>
      <c r="E2102" s="1"/>
      <c r="F2102" s="1"/>
      <c r="G2102" s="1"/>
      <c r="H2102" s="1"/>
      <c r="I2102" s="2"/>
      <c r="J2102" s="1"/>
      <c r="K2102" s="1"/>
      <c r="L2102" s="1"/>
      <c r="M2102" s="1"/>
      <c r="N2102" s="1"/>
      <c r="O2102" s="1"/>
      <c r="P2102" s="1"/>
      <c r="Q2102" s="1"/>
      <c r="R2102" s="1"/>
      <c r="S2102" s="1"/>
      <c r="T2102" s="1"/>
      <c r="U2102" s="1"/>
      <c r="V2102" s="1"/>
      <c r="W2102" s="1"/>
      <c r="X2102" s="1"/>
    </row>
    <row x14ac:dyDescent="0.25" r="2103" customHeight="1" ht="18.75">
      <c r="A2103" s="1"/>
      <c r="B2103" s="1"/>
      <c r="C2103" s="3" t="s">
        <v>1861</v>
      </c>
      <c r="D2103" s="3" t="s">
        <v>2133</v>
      </c>
      <c r="E2103" s="1"/>
      <c r="F2103" s="1"/>
      <c r="G2103" s="1"/>
      <c r="H2103" s="1"/>
      <c r="I2103" s="2"/>
      <c r="J2103" s="1"/>
      <c r="K2103" s="1"/>
      <c r="L2103" s="1"/>
      <c r="M2103" s="1"/>
      <c r="N2103" s="1"/>
      <c r="O2103" s="1"/>
      <c r="P2103" s="1"/>
      <c r="Q2103" s="1"/>
      <c r="R2103" s="1"/>
      <c r="S2103" s="1"/>
      <c r="T2103" s="1"/>
      <c r="U2103" s="1"/>
      <c r="V2103" s="1"/>
      <c r="W2103" s="1"/>
      <c r="X2103" s="1"/>
    </row>
    <row x14ac:dyDescent="0.25" r="2104" customHeight="1" ht="18.75">
      <c r="A2104" s="1"/>
      <c r="B2104" s="1"/>
      <c r="C2104" s="3" t="s">
        <v>1861</v>
      </c>
      <c r="D2104" s="3" t="s">
        <v>2134</v>
      </c>
      <c r="E2104" s="1"/>
      <c r="F2104" s="1"/>
      <c r="G2104" s="1"/>
      <c r="H2104" s="1"/>
      <c r="I2104" s="2"/>
      <c r="J2104" s="1"/>
      <c r="K2104" s="1"/>
      <c r="L2104" s="1"/>
      <c r="M2104" s="1"/>
      <c r="N2104" s="1"/>
      <c r="O2104" s="1"/>
      <c r="P2104" s="1"/>
      <c r="Q2104" s="1"/>
      <c r="R2104" s="1"/>
      <c r="S2104" s="1"/>
      <c r="T2104" s="1"/>
      <c r="U2104" s="1"/>
      <c r="V2104" s="1"/>
      <c r="W2104" s="1"/>
      <c r="X2104" s="1"/>
    </row>
    <row x14ac:dyDescent="0.25" r="2105" customHeight="1" ht="18.75">
      <c r="A2105" s="1"/>
      <c r="B2105" s="1"/>
      <c r="C2105" s="3" t="s">
        <v>1861</v>
      </c>
      <c r="D2105" s="3" t="s">
        <v>2135</v>
      </c>
      <c r="E2105" s="1"/>
      <c r="F2105" s="1"/>
      <c r="G2105" s="1"/>
      <c r="H2105" s="1"/>
      <c r="I2105" s="2"/>
      <c r="J2105" s="1"/>
      <c r="K2105" s="1"/>
      <c r="L2105" s="1"/>
      <c r="M2105" s="1"/>
      <c r="N2105" s="1"/>
      <c r="O2105" s="1"/>
      <c r="P2105" s="1"/>
      <c r="Q2105" s="1"/>
      <c r="R2105" s="1"/>
      <c r="S2105" s="1"/>
      <c r="T2105" s="1"/>
      <c r="U2105" s="1"/>
      <c r="V2105" s="1"/>
      <c r="W2105" s="1"/>
      <c r="X2105" s="1"/>
    </row>
    <row x14ac:dyDescent="0.25" r="2106" customHeight="1" ht="18.75">
      <c r="A2106" s="1"/>
      <c r="B2106" s="1"/>
      <c r="C2106" s="3" t="s">
        <v>1861</v>
      </c>
      <c r="D2106" s="3" t="s">
        <v>2136</v>
      </c>
      <c r="E2106" s="1"/>
      <c r="F2106" s="1"/>
      <c r="G2106" s="1"/>
      <c r="H2106" s="1"/>
      <c r="I2106" s="2"/>
      <c r="J2106" s="1"/>
      <c r="K2106" s="1"/>
      <c r="L2106" s="1"/>
      <c r="M2106" s="1"/>
      <c r="N2106" s="1"/>
      <c r="O2106" s="1"/>
      <c r="P2106" s="1"/>
      <c r="Q2106" s="1"/>
      <c r="R2106" s="1"/>
      <c r="S2106" s="1"/>
      <c r="T2106" s="1"/>
      <c r="U2106" s="1"/>
      <c r="V2106" s="1"/>
      <c r="W2106" s="1"/>
      <c r="X2106" s="1"/>
    </row>
    <row x14ac:dyDescent="0.25" r="2107" customHeight="1" ht="18.75">
      <c r="A2107" s="1"/>
      <c r="B2107" s="1"/>
      <c r="C2107" s="3" t="s">
        <v>1861</v>
      </c>
      <c r="D2107" s="3" t="s">
        <v>2137</v>
      </c>
      <c r="E2107" s="1"/>
      <c r="F2107" s="1"/>
      <c r="G2107" s="1"/>
      <c r="H2107" s="1"/>
      <c r="I2107" s="2"/>
      <c r="J2107" s="1"/>
      <c r="K2107" s="1"/>
      <c r="L2107" s="1"/>
      <c r="M2107" s="1"/>
      <c r="N2107" s="1"/>
      <c r="O2107" s="1"/>
      <c r="P2107" s="1"/>
      <c r="Q2107" s="1"/>
      <c r="R2107" s="1"/>
      <c r="S2107" s="1"/>
      <c r="T2107" s="1"/>
      <c r="U2107" s="1"/>
      <c r="V2107" s="1"/>
      <c r="W2107" s="1"/>
      <c r="X2107" s="1"/>
    </row>
    <row x14ac:dyDescent="0.25" r="2108" customHeight="1" ht="18.75">
      <c r="A2108" s="1"/>
      <c r="B2108" s="1"/>
      <c r="C2108" s="3" t="s">
        <v>1861</v>
      </c>
      <c r="D2108" s="3" t="s">
        <v>2138</v>
      </c>
      <c r="E2108" s="1"/>
      <c r="F2108" s="1"/>
      <c r="G2108" s="1"/>
      <c r="H2108" s="1"/>
      <c r="I2108" s="2"/>
      <c r="J2108" s="1"/>
      <c r="K2108" s="1"/>
      <c r="L2108" s="1"/>
      <c r="M2108" s="1"/>
      <c r="N2108" s="1"/>
      <c r="O2108" s="1"/>
      <c r="P2108" s="1"/>
      <c r="Q2108" s="1"/>
      <c r="R2108" s="1"/>
      <c r="S2108" s="1"/>
      <c r="T2108" s="1"/>
      <c r="U2108" s="1"/>
      <c r="V2108" s="1"/>
      <c r="W2108" s="1"/>
      <c r="X2108" s="1"/>
    </row>
    <row x14ac:dyDescent="0.25" r="2109" customHeight="1" ht="18.75">
      <c r="A2109" s="1"/>
      <c r="B2109" s="1"/>
      <c r="C2109" s="3" t="s">
        <v>1861</v>
      </c>
      <c r="D2109" s="3" t="s">
        <v>2139</v>
      </c>
      <c r="E2109" s="1"/>
      <c r="F2109" s="1"/>
      <c r="G2109" s="1"/>
      <c r="H2109" s="1"/>
      <c r="I2109" s="2"/>
      <c r="J2109" s="1"/>
      <c r="K2109" s="1"/>
      <c r="L2109" s="1"/>
      <c r="M2109" s="1"/>
      <c r="N2109" s="1"/>
      <c r="O2109" s="1"/>
      <c r="P2109" s="1"/>
      <c r="Q2109" s="1"/>
      <c r="R2109" s="1"/>
      <c r="S2109" s="1"/>
      <c r="T2109" s="1"/>
      <c r="U2109" s="1"/>
      <c r="V2109" s="1"/>
      <c r="W2109" s="1"/>
      <c r="X2109" s="1"/>
    </row>
    <row x14ac:dyDescent="0.25" r="2110" customHeight="1" ht="18.75">
      <c r="A2110" s="1"/>
      <c r="B2110" s="1"/>
      <c r="C2110" s="3" t="s">
        <v>1861</v>
      </c>
      <c r="D2110" s="3" t="s">
        <v>2140</v>
      </c>
      <c r="E2110" s="1"/>
      <c r="F2110" s="1"/>
      <c r="G2110" s="1"/>
      <c r="H2110" s="1"/>
      <c r="I2110" s="2"/>
      <c r="J2110" s="1"/>
      <c r="K2110" s="1"/>
      <c r="L2110" s="1"/>
      <c r="M2110" s="1"/>
      <c r="N2110" s="1"/>
      <c r="O2110" s="1"/>
      <c r="P2110" s="1"/>
      <c r="Q2110" s="1"/>
      <c r="R2110" s="1"/>
      <c r="S2110" s="1"/>
      <c r="T2110" s="1"/>
      <c r="U2110" s="1"/>
      <c r="V2110" s="1"/>
      <c r="W2110" s="1"/>
      <c r="X2110" s="1"/>
    </row>
    <row x14ac:dyDescent="0.25" r="2111" customHeight="1" ht="18.75">
      <c r="A2111" s="1"/>
      <c r="B2111" s="1"/>
      <c r="C2111" s="3" t="s">
        <v>1861</v>
      </c>
      <c r="D2111" s="3" t="s">
        <v>2141</v>
      </c>
      <c r="E2111" s="1"/>
      <c r="F2111" s="1"/>
      <c r="G2111" s="1"/>
      <c r="H2111" s="1"/>
      <c r="I2111" s="2"/>
      <c r="J2111" s="1"/>
      <c r="K2111" s="1"/>
      <c r="L2111" s="1"/>
      <c r="M2111" s="1"/>
      <c r="N2111" s="1"/>
      <c r="O2111" s="1"/>
      <c r="P2111" s="1"/>
      <c r="Q2111" s="1"/>
      <c r="R2111" s="1"/>
      <c r="S2111" s="1"/>
      <c r="T2111" s="1"/>
      <c r="U2111" s="1"/>
      <c r="V2111" s="1"/>
      <c r="W2111" s="1"/>
      <c r="X2111" s="1"/>
    </row>
    <row x14ac:dyDescent="0.25" r="2112" customHeight="1" ht="18.75">
      <c r="A2112" s="1"/>
      <c r="B2112" s="1"/>
      <c r="C2112" s="3" t="s">
        <v>1861</v>
      </c>
      <c r="D2112" s="3" t="s">
        <v>2142</v>
      </c>
      <c r="E2112" s="1"/>
      <c r="F2112" s="1"/>
      <c r="G2112" s="1"/>
      <c r="H2112" s="1"/>
      <c r="I2112" s="2"/>
      <c r="J2112" s="1"/>
      <c r="K2112" s="1"/>
      <c r="L2112" s="1"/>
      <c r="M2112" s="1"/>
      <c r="N2112" s="1"/>
      <c r="O2112" s="1"/>
      <c r="P2112" s="1"/>
      <c r="Q2112" s="1"/>
      <c r="R2112" s="1"/>
      <c r="S2112" s="1"/>
      <c r="T2112" s="1"/>
      <c r="U2112" s="1"/>
      <c r="V2112" s="1"/>
      <c r="W2112" s="1"/>
      <c r="X2112" s="1"/>
    </row>
    <row x14ac:dyDescent="0.25" r="2113" customHeight="1" ht="18.75">
      <c r="A2113" s="1"/>
      <c r="B2113" s="1"/>
      <c r="C2113" s="3" t="s">
        <v>1861</v>
      </c>
      <c r="D2113" s="3" t="s">
        <v>2143</v>
      </c>
      <c r="E2113" s="1"/>
      <c r="F2113" s="1"/>
      <c r="G2113" s="1"/>
      <c r="H2113" s="1"/>
      <c r="I2113" s="2"/>
      <c r="J2113" s="1"/>
      <c r="K2113" s="1"/>
      <c r="L2113" s="1"/>
      <c r="M2113" s="1"/>
      <c r="N2113" s="1"/>
      <c r="O2113" s="1"/>
      <c r="P2113" s="1"/>
      <c r="Q2113" s="1"/>
      <c r="R2113" s="1"/>
      <c r="S2113" s="1"/>
      <c r="T2113" s="1"/>
      <c r="U2113" s="1"/>
      <c r="V2113" s="1"/>
      <c r="W2113" s="1"/>
      <c r="X2113" s="1"/>
    </row>
    <row x14ac:dyDescent="0.25" r="2114" customHeight="1" ht="18.75">
      <c r="A2114" s="1"/>
      <c r="B2114" s="1"/>
      <c r="C2114" s="3" t="s">
        <v>1861</v>
      </c>
      <c r="D2114" s="3" t="s">
        <v>2144</v>
      </c>
      <c r="E2114" s="1"/>
      <c r="F2114" s="1"/>
      <c r="G2114" s="1"/>
      <c r="H2114" s="1"/>
      <c r="I2114" s="2"/>
      <c r="J2114" s="1"/>
      <c r="K2114" s="1"/>
      <c r="L2114" s="1"/>
      <c r="M2114" s="1"/>
      <c r="N2114" s="1"/>
      <c r="O2114" s="1"/>
      <c r="P2114" s="1"/>
      <c r="Q2114" s="1"/>
      <c r="R2114" s="1"/>
      <c r="S2114" s="1"/>
      <c r="T2114" s="1"/>
      <c r="U2114" s="1"/>
      <c r="V2114" s="1"/>
      <c r="W2114" s="1"/>
      <c r="X2114" s="1"/>
    </row>
    <row x14ac:dyDescent="0.25" r="2115" customHeight="1" ht="18.75">
      <c r="A2115" s="1"/>
      <c r="B2115" s="1"/>
      <c r="C2115" s="3" t="s">
        <v>1861</v>
      </c>
      <c r="D2115" s="3" t="s">
        <v>2145</v>
      </c>
      <c r="E2115" s="1"/>
      <c r="F2115" s="1"/>
      <c r="G2115" s="1"/>
      <c r="H2115" s="1"/>
      <c r="I2115" s="2"/>
      <c r="J2115" s="1"/>
      <c r="K2115" s="1"/>
      <c r="L2115" s="1"/>
      <c r="M2115" s="1"/>
      <c r="N2115" s="1"/>
      <c r="O2115" s="1"/>
      <c r="P2115" s="1"/>
      <c r="Q2115" s="1"/>
      <c r="R2115" s="1"/>
      <c r="S2115" s="1"/>
      <c r="T2115" s="1"/>
      <c r="U2115" s="1"/>
      <c r="V2115" s="1"/>
      <c r="W2115" s="1"/>
      <c r="X2115" s="1"/>
    </row>
    <row x14ac:dyDescent="0.25" r="2116" customHeight="1" ht="18.75">
      <c r="A2116" s="1"/>
      <c r="B2116" s="1"/>
      <c r="C2116" s="3" t="s">
        <v>1861</v>
      </c>
      <c r="D2116" s="3" t="s">
        <v>2146</v>
      </c>
      <c r="E2116" s="1"/>
      <c r="F2116" s="1"/>
      <c r="G2116" s="1"/>
      <c r="H2116" s="1"/>
      <c r="I2116" s="2"/>
      <c r="J2116" s="1"/>
      <c r="K2116" s="1"/>
      <c r="L2116" s="1"/>
      <c r="M2116" s="1"/>
      <c r="N2116" s="1"/>
      <c r="O2116" s="1"/>
      <c r="P2116" s="1"/>
      <c r="Q2116" s="1"/>
      <c r="R2116" s="1"/>
      <c r="S2116" s="1"/>
      <c r="T2116" s="1"/>
      <c r="U2116" s="1"/>
      <c r="V2116" s="1"/>
      <c r="W2116" s="1"/>
      <c r="X2116" s="1"/>
    </row>
    <row x14ac:dyDescent="0.25" r="2117" customHeight="1" ht="18.75">
      <c r="A2117" s="1"/>
      <c r="B2117" s="1"/>
      <c r="C2117" s="3" t="s">
        <v>1861</v>
      </c>
      <c r="D2117" s="3" t="s">
        <v>2147</v>
      </c>
      <c r="E2117" s="1"/>
      <c r="F2117" s="1"/>
      <c r="G2117" s="1"/>
      <c r="H2117" s="1"/>
      <c r="I2117" s="2"/>
      <c r="J2117" s="1"/>
      <c r="K2117" s="1"/>
      <c r="L2117" s="1"/>
      <c r="M2117" s="1"/>
      <c r="N2117" s="1"/>
      <c r="O2117" s="1"/>
      <c r="P2117" s="1"/>
      <c r="Q2117" s="1"/>
      <c r="R2117" s="1"/>
      <c r="S2117" s="1"/>
      <c r="T2117" s="1"/>
      <c r="U2117" s="1"/>
      <c r="V2117" s="1"/>
      <c r="W2117" s="1"/>
      <c r="X2117" s="1"/>
    </row>
    <row x14ac:dyDescent="0.25" r="2118" customHeight="1" ht="18.75">
      <c r="A2118" s="1"/>
      <c r="B2118" s="1"/>
      <c r="C2118" s="3" t="s">
        <v>1861</v>
      </c>
      <c r="D2118" s="3" t="s">
        <v>2148</v>
      </c>
      <c r="E2118" s="1"/>
      <c r="F2118" s="1"/>
      <c r="G2118" s="1"/>
      <c r="H2118" s="1"/>
      <c r="I2118" s="2"/>
      <c r="J2118" s="1"/>
      <c r="K2118" s="1"/>
      <c r="L2118" s="1"/>
      <c r="M2118" s="1"/>
      <c r="N2118" s="1"/>
      <c r="O2118" s="1"/>
      <c r="P2118" s="1"/>
      <c r="Q2118" s="1"/>
      <c r="R2118" s="1"/>
      <c r="S2118" s="1"/>
      <c r="T2118" s="1"/>
      <c r="U2118" s="1"/>
      <c r="V2118" s="1"/>
      <c r="W2118" s="1"/>
      <c r="X2118" s="1"/>
    </row>
    <row x14ac:dyDescent="0.25" r="2119" customHeight="1" ht="18.75">
      <c r="A2119" s="1"/>
      <c r="B2119" s="1"/>
      <c r="C2119" s="3" t="s">
        <v>1861</v>
      </c>
      <c r="D2119" s="3" t="s">
        <v>2149</v>
      </c>
      <c r="E2119" s="1"/>
      <c r="F2119" s="1"/>
      <c r="G2119" s="1"/>
      <c r="H2119" s="1"/>
      <c r="I2119" s="2"/>
      <c r="J2119" s="1"/>
      <c r="K2119" s="1"/>
      <c r="L2119" s="1"/>
      <c r="M2119" s="1"/>
      <c r="N2119" s="1"/>
      <c r="O2119" s="1"/>
      <c r="P2119" s="1"/>
      <c r="Q2119" s="1"/>
      <c r="R2119" s="1"/>
      <c r="S2119" s="1"/>
      <c r="T2119" s="1"/>
      <c r="U2119" s="1"/>
      <c r="V2119" s="1"/>
      <c r="W2119" s="1"/>
      <c r="X2119" s="1"/>
    </row>
    <row x14ac:dyDescent="0.25" r="2120" customHeight="1" ht="18.75">
      <c r="A2120" s="1"/>
      <c r="B2120" s="1"/>
      <c r="C2120" s="3" t="s">
        <v>1861</v>
      </c>
      <c r="D2120" s="3" t="s">
        <v>2150</v>
      </c>
      <c r="E2120" s="1"/>
      <c r="F2120" s="1"/>
      <c r="G2120" s="1"/>
      <c r="H2120" s="1"/>
      <c r="I2120" s="2"/>
      <c r="J2120" s="1"/>
      <c r="K2120" s="1"/>
      <c r="L2120" s="1"/>
      <c r="M2120" s="1"/>
      <c r="N2120" s="1"/>
      <c r="O2120" s="1"/>
      <c r="P2120" s="1"/>
      <c r="Q2120" s="1"/>
      <c r="R2120" s="1"/>
      <c r="S2120" s="1"/>
      <c r="T2120" s="1"/>
      <c r="U2120" s="1"/>
      <c r="V2120" s="1"/>
      <c r="W2120" s="1"/>
      <c r="X2120" s="1"/>
    </row>
    <row x14ac:dyDescent="0.25" r="2121" customHeight="1" ht="18.75">
      <c r="A2121" s="1"/>
      <c r="B2121" s="1"/>
      <c r="C2121" s="3" t="s">
        <v>1861</v>
      </c>
      <c r="D2121" s="3" t="s">
        <v>2151</v>
      </c>
      <c r="E2121" s="1"/>
      <c r="F2121" s="1"/>
      <c r="G2121" s="1"/>
      <c r="H2121" s="1"/>
      <c r="I2121" s="2"/>
      <c r="J2121" s="1"/>
      <c r="K2121" s="1"/>
      <c r="L2121" s="1"/>
      <c r="M2121" s="1"/>
      <c r="N2121" s="1"/>
      <c r="O2121" s="1"/>
      <c r="P2121" s="1"/>
      <c r="Q2121" s="1"/>
      <c r="R2121" s="1"/>
      <c r="S2121" s="1"/>
      <c r="T2121" s="1"/>
      <c r="U2121" s="1"/>
      <c r="V2121" s="1"/>
      <c r="W2121" s="1"/>
      <c r="X2121" s="1"/>
    </row>
    <row x14ac:dyDescent="0.25" r="2122" customHeight="1" ht="18.75">
      <c r="A2122" s="1"/>
      <c r="B2122" s="1"/>
      <c r="C2122" s="3" t="s">
        <v>1861</v>
      </c>
      <c r="D2122" s="3" t="s">
        <v>2152</v>
      </c>
      <c r="E2122" s="1"/>
      <c r="F2122" s="1"/>
      <c r="G2122" s="1"/>
      <c r="H2122" s="1"/>
      <c r="I2122" s="2"/>
      <c r="J2122" s="1"/>
      <c r="K2122" s="1"/>
      <c r="L2122" s="1"/>
      <c r="M2122" s="1"/>
      <c r="N2122" s="1"/>
      <c r="O2122" s="1"/>
      <c r="P2122" s="1"/>
      <c r="Q2122" s="1"/>
      <c r="R2122" s="1"/>
      <c r="S2122" s="1"/>
      <c r="T2122" s="1"/>
      <c r="U2122" s="1"/>
      <c r="V2122" s="1"/>
      <c r="W2122" s="1"/>
      <c r="X2122" s="1"/>
    </row>
    <row x14ac:dyDescent="0.25" r="2123" customHeight="1" ht="18.75">
      <c r="A2123" s="1"/>
      <c r="B2123" s="1"/>
      <c r="C2123" s="3" t="s">
        <v>1861</v>
      </c>
      <c r="D2123" s="3" t="s">
        <v>2153</v>
      </c>
      <c r="E2123" s="1"/>
      <c r="F2123" s="1"/>
      <c r="G2123" s="1"/>
      <c r="H2123" s="1"/>
      <c r="I2123" s="2"/>
      <c r="J2123" s="1"/>
      <c r="K2123" s="1"/>
      <c r="L2123" s="1"/>
      <c r="M2123" s="1"/>
      <c r="N2123" s="1"/>
      <c r="O2123" s="1"/>
      <c r="P2123" s="1"/>
      <c r="Q2123" s="1"/>
      <c r="R2123" s="1"/>
      <c r="S2123" s="1"/>
      <c r="T2123" s="1"/>
      <c r="U2123" s="1"/>
      <c r="V2123" s="1"/>
      <c r="W2123" s="1"/>
      <c r="X2123" s="1"/>
    </row>
    <row x14ac:dyDescent="0.25" r="2124" customHeight="1" ht="18.75">
      <c r="A2124" s="1"/>
      <c r="B2124" s="1"/>
      <c r="C2124" s="3" t="s">
        <v>1861</v>
      </c>
      <c r="D2124" s="3" t="s">
        <v>2154</v>
      </c>
      <c r="E2124" s="1"/>
      <c r="F2124" s="1"/>
      <c r="G2124" s="1"/>
      <c r="H2124" s="1"/>
      <c r="I2124" s="2"/>
      <c r="J2124" s="1"/>
      <c r="K2124" s="1"/>
      <c r="L2124" s="1"/>
      <c r="M2124" s="1"/>
      <c r="N2124" s="1"/>
      <c r="O2124" s="1"/>
      <c r="P2124" s="1"/>
      <c r="Q2124" s="1"/>
      <c r="R2124" s="1"/>
      <c r="S2124" s="1"/>
      <c r="T2124" s="1"/>
      <c r="U2124" s="1"/>
      <c r="V2124" s="1"/>
      <c r="W2124" s="1"/>
      <c r="X2124" s="1"/>
    </row>
    <row x14ac:dyDescent="0.25" r="2125" customHeight="1" ht="18.75">
      <c r="A2125" s="1"/>
      <c r="B2125" s="1"/>
      <c r="C2125" s="3" t="s">
        <v>1861</v>
      </c>
      <c r="D2125" s="3" t="s">
        <v>2155</v>
      </c>
      <c r="E2125" s="1"/>
      <c r="F2125" s="1"/>
      <c r="G2125" s="1"/>
      <c r="H2125" s="1"/>
      <c r="I2125" s="2"/>
      <c r="J2125" s="1"/>
      <c r="K2125" s="1"/>
      <c r="L2125" s="1"/>
      <c r="M2125" s="1"/>
      <c r="N2125" s="1"/>
      <c r="O2125" s="1"/>
      <c r="P2125" s="1"/>
      <c r="Q2125" s="1"/>
      <c r="R2125" s="1"/>
      <c r="S2125" s="1"/>
      <c r="T2125" s="1"/>
      <c r="U2125" s="1"/>
      <c r="V2125" s="1"/>
      <c r="W2125" s="1"/>
      <c r="X2125" s="1"/>
    </row>
    <row x14ac:dyDescent="0.25" r="2126" customHeight="1" ht="18.75">
      <c r="A2126" s="1"/>
      <c r="B2126" s="1"/>
      <c r="C2126" s="3" t="s">
        <v>1861</v>
      </c>
      <c r="D2126" s="3" t="s">
        <v>2156</v>
      </c>
      <c r="E2126" s="1"/>
      <c r="F2126" s="1"/>
      <c r="G2126" s="1"/>
      <c r="H2126" s="1"/>
      <c r="I2126" s="2"/>
      <c r="J2126" s="1"/>
      <c r="K2126" s="1"/>
      <c r="L2126" s="1"/>
      <c r="M2126" s="1"/>
      <c r="N2126" s="1"/>
      <c r="O2126" s="1"/>
      <c r="P2126" s="1"/>
      <c r="Q2126" s="1"/>
      <c r="R2126" s="1"/>
      <c r="S2126" s="1"/>
      <c r="T2126" s="1"/>
      <c r="U2126" s="1"/>
      <c r="V2126" s="1"/>
      <c r="W2126" s="1"/>
      <c r="X2126" s="1"/>
    </row>
    <row x14ac:dyDescent="0.25" r="2127" customHeight="1" ht="18.75">
      <c r="A2127" s="1"/>
      <c r="B2127" s="1"/>
      <c r="C2127" s="3" t="s">
        <v>1861</v>
      </c>
      <c r="D2127" s="3" t="s">
        <v>2157</v>
      </c>
      <c r="E2127" s="1"/>
      <c r="F2127" s="1"/>
      <c r="G2127" s="1"/>
      <c r="H2127" s="1"/>
      <c r="I2127" s="2"/>
      <c r="J2127" s="1"/>
      <c r="K2127" s="1"/>
      <c r="L2127" s="1"/>
      <c r="M2127" s="1"/>
      <c r="N2127" s="1"/>
      <c r="O2127" s="1"/>
      <c r="P2127" s="1"/>
      <c r="Q2127" s="1"/>
      <c r="R2127" s="1"/>
      <c r="S2127" s="1"/>
      <c r="T2127" s="1"/>
      <c r="U2127" s="1"/>
      <c r="V2127" s="1"/>
      <c r="W2127" s="1"/>
      <c r="X2127" s="1"/>
    </row>
    <row x14ac:dyDescent="0.25" r="2128" customHeight="1" ht="18.75">
      <c r="A2128" s="1"/>
      <c r="B2128" s="1"/>
      <c r="C2128" s="3" t="s">
        <v>1861</v>
      </c>
      <c r="D2128" s="3" t="s">
        <v>2158</v>
      </c>
      <c r="E2128" s="1"/>
      <c r="F2128" s="1"/>
      <c r="G2128" s="1"/>
      <c r="H2128" s="1"/>
      <c r="I2128" s="2"/>
      <c r="J2128" s="1"/>
      <c r="K2128" s="1"/>
      <c r="L2128" s="1"/>
      <c r="M2128" s="1"/>
      <c r="N2128" s="1"/>
      <c r="O2128" s="1"/>
      <c r="P2128" s="1"/>
      <c r="Q2128" s="1"/>
      <c r="R2128" s="1"/>
      <c r="S2128" s="1"/>
      <c r="T2128" s="1"/>
      <c r="U2128" s="1"/>
      <c r="V2128" s="1"/>
      <c r="W2128" s="1"/>
      <c r="X2128" s="1"/>
    </row>
    <row x14ac:dyDescent="0.25" r="2129" customHeight="1" ht="18.75">
      <c r="A2129" s="1"/>
      <c r="B2129" s="1"/>
      <c r="C2129" s="3" t="s">
        <v>1861</v>
      </c>
      <c r="D2129" s="3" t="s">
        <v>2159</v>
      </c>
      <c r="E2129" s="1"/>
      <c r="F2129" s="1"/>
      <c r="G2129" s="1"/>
      <c r="H2129" s="1"/>
      <c r="I2129" s="2"/>
      <c r="J2129" s="1"/>
      <c r="K2129" s="1"/>
      <c r="L2129" s="1"/>
      <c r="M2129" s="1"/>
      <c r="N2129" s="1"/>
      <c r="O2129" s="1"/>
      <c r="P2129" s="1"/>
      <c r="Q2129" s="1"/>
      <c r="R2129" s="1"/>
      <c r="S2129" s="1"/>
      <c r="T2129" s="1"/>
      <c r="U2129" s="1"/>
      <c r="V2129" s="1"/>
      <c r="W2129" s="1"/>
      <c r="X2129" s="1"/>
    </row>
    <row x14ac:dyDescent="0.25" r="2130" customHeight="1" ht="18.75">
      <c r="A2130" s="1"/>
      <c r="B2130" s="1"/>
      <c r="C2130" s="3" t="s">
        <v>1861</v>
      </c>
      <c r="D2130" s="3" t="s">
        <v>2160</v>
      </c>
      <c r="E2130" s="1"/>
      <c r="F2130" s="1"/>
      <c r="G2130" s="1"/>
      <c r="H2130" s="1"/>
      <c r="I2130" s="2"/>
      <c r="J2130" s="1"/>
      <c r="K2130" s="1"/>
      <c r="L2130" s="1"/>
      <c r="M2130" s="1"/>
      <c r="N2130" s="1"/>
      <c r="O2130" s="1"/>
      <c r="P2130" s="1"/>
      <c r="Q2130" s="1"/>
      <c r="R2130" s="1"/>
      <c r="S2130" s="1"/>
      <c r="T2130" s="1"/>
      <c r="U2130" s="1"/>
      <c r="V2130" s="1"/>
      <c r="W2130" s="1"/>
      <c r="X2130" s="1"/>
    </row>
    <row x14ac:dyDescent="0.25" r="2131" customHeight="1" ht="18.75">
      <c r="A2131" s="1"/>
      <c r="B2131" s="1"/>
      <c r="C2131" s="3" t="s">
        <v>1861</v>
      </c>
      <c r="D2131" s="3" t="s">
        <v>2161</v>
      </c>
      <c r="E2131" s="1"/>
      <c r="F2131" s="1"/>
      <c r="G2131" s="1"/>
      <c r="H2131" s="1"/>
      <c r="I2131" s="2"/>
      <c r="J2131" s="1"/>
      <c r="K2131" s="1"/>
      <c r="L2131" s="1"/>
      <c r="M2131" s="1"/>
      <c r="N2131" s="1"/>
      <c r="O2131" s="1"/>
      <c r="P2131" s="1"/>
      <c r="Q2131" s="1"/>
      <c r="R2131" s="1"/>
      <c r="S2131" s="1"/>
      <c r="T2131" s="1"/>
      <c r="U2131" s="1"/>
      <c r="V2131" s="1"/>
      <c r="W2131" s="1"/>
      <c r="X2131" s="1"/>
    </row>
    <row x14ac:dyDescent="0.25" r="2132" customHeight="1" ht="18.75">
      <c r="A2132" s="1"/>
      <c r="B2132" s="1"/>
      <c r="C2132" s="3" t="s">
        <v>1861</v>
      </c>
      <c r="D2132" s="3" t="s">
        <v>2162</v>
      </c>
      <c r="E2132" s="1"/>
      <c r="F2132" s="1"/>
      <c r="G2132" s="1"/>
      <c r="H2132" s="1"/>
      <c r="I2132" s="2"/>
      <c r="J2132" s="1"/>
      <c r="K2132" s="1"/>
      <c r="L2132" s="1"/>
      <c r="M2132" s="1"/>
      <c r="N2132" s="1"/>
      <c r="O2132" s="1"/>
      <c r="P2132" s="1"/>
      <c r="Q2132" s="1"/>
      <c r="R2132" s="1"/>
      <c r="S2132" s="1"/>
      <c r="T2132" s="1"/>
      <c r="U2132" s="1"/>
      <c r="V2132" s="1"/>
      <c r="W2132" s="1"/>
      <c r="X2132" s="1"/>
    </row>
    <row x14ac:dyDescent="0.25" r="2133" customHeight="1" ht="18.75">
      <c r="A2133" s="1"/>
      <c r="B2133" s="1"/>
      <c r="C2133" s="3" t="s">
        <v>1861</v>
      </c>
      <c r="D2133" s="3" t="s">
        <v>2163</v>
      </c>
      <c r="E2133" s="1"/>
      <c r="F2133" s="1"/>
      <c r="G2133" s="1"/>
      <c r="H2133" s="1"/>
      <c r="I2133" s="2"/>
      <c r="J2133" s="1"/>
      <c r="K2133" s="1"/>
      <c r="L2133" s="1"/>
      <c r="M2133" s="1"/>
      <c r="N2133" s="1"/>
      <c r="O2133" s="1"/>
      <c r="P2133" s="1"/>
      <c r="Q2133" s="1"/>
      <c r="R2133" s="1"/>
      <c r="S2133" s="1"/>
      <c r="T2133" s="1"/>
      <c r="U2133" s="1"/>
      <c r="V2133" s="1"/>
      <c r="W2133" s="1"/>
      <c r="X2133" s="1"/>
    </row>
    <row x14ac:dyDescent="0.25" r="2134" customHeight="1" ht="18.75">
      <c r="A2134" s="1"/>
      <c r="B2134" s="1"/>
      <c r="C2134" s="3" t="s">
        <v>1861</v>
      </c>
      <c r="D2134" s="3" t="s">
        <v>2164</v>
      </c>
      <c r="E2134" s="1"/>
      <c r="F2134" s="1"/>
      <c r="G2134" s="1"/>
      <c r="H2134" s="1"/>
      <c r="I2134" s="2"/>
      <c r="J2134" s="1"/>
      <c r="K2134" s="1"/>
      <c r="L2134" s="1"/>
      <c r="M2134" s="1"/>
      <c r="N2134" s="1"/>
      <c r="O2134" s="1"/>
      <c r="P2134" s="1"/>
      <c r="Q2134" s="1"/>
      <c r="R2134" s="1"/>
      <c r="S2134" s="1"/>
      <c r="T2134" s="1"/>
      <c r="U2134" s="1"/>
      <c r="V2134" s="1"/>
      <c r="W2134" s="1"/>
      <c r="X2134" s="1"/>
    </row>
    <row x14ac:dyDescent="0.25" r="2135" customHeight="1" ht="18.75">
      <c r="A2135" s="1"/>
      <c r="B2135" s="1"/>
      <c r="C2135" s="3" t="s">
        <v>1861</v>
      </c>
      <c r="D2135" s="3" t="s">
        <v>2165</v>
      </c>
      <c r="E2135" s="1"/>
      <c r="F2135" s="1"/>
      <c r="G2135" s="1"/>
      <c r="H2135" s="1"/>
      <c r="I2135" s="2"/>
      <c r="J2135" s="1"/>
      <c r="K2135" s="1"/>
      <c r="L2135" s="1"/>
      <c r="M2135" s="1"/>
      <c r="N2135" s="1"/>
      <c r="O2135" s="1"/>
      <c r="P2135" s="1"/>
      <c r="Q2135" s="1"/>
      <c r="R2135" s="1"/>
      <c r="S2135" s="1"/>
      <c r="T2135" s="1"/>
      <c r="U2135" s="1"/>
      <c r="V2135" s="1"/>
      <c r="W2135" s="1"/>
      <c r="X2135" s="1"/>
    </row>
    <row x14ac:dyDescent="0.25" r="2136" customHeight="1" ht="18.75">
      <c r="A2136" s="1"/>
      <c r="B2136" s="1"/>
      <c r="C2136" s="3" t="s">
        <v>1861</v>
      </c>
      <c r="D2136" s="3" t="s">
        <v>2166</v>
      </c>
      <c r="E2136" s="1"/>
      <c r="F2136" s="1"/>
      <c r="G2136" s="1"/>
      <c r="H2136" s="1"/>
      <c r="I2136" s="2"/>
      <c r="J2136" s="1"/>
      <c r="K2136" s="1"/>
      <c r="L2136" s="1"/>
      <c r="M2136" s="1"/>
      <c r="N2136" s="1"/>
      <c r="O2136" s="1"/>
      <c r="P2136" s="1"/>
      <c r="Q2136" s="1"/>
      <c r="R2136" s="1"/>
      <c r="S2136" s="1"/>
      <c r="T2136" s="1"/>
      <c r="U2136" s="1"/>
      <c r="V2136" s="1"/>
      <c r="W2136" s="1"/>
      <c r="X2136" s="1"/>
    </row>
    <row x14ac:dyDescent="0.25" r="2137" customHeight="1" ht="18.75">
      <c r="A2137" s="1"/>
      <c r="B2137" s="1"/>
      <c r="C2137" s="3" t="s">
        <v>1861</v>
      </c>
      <c r="D2137" s="3" t="s">
        <v>2167</v>
      </c>
      <c r="E2137" s="1"/>
      <c r="F2137" s="1"/>
      <c r="G2137" s="1"/>
      <c r="H2137" s="1"/>
      <c r="I2137" s="2"/>
      <c r="J2137" s="1"/>
      <c r="K2137" s="1"/>
      <c r="L2137" s="1"/>
      <c r="M2137" s="1"/>
      <c r="N2137" s="1"/>
      <c r="O2137" s="1"/>
      <c r="P2137" s="1"/>
      <c r="Q2137" s="1"/>
      <c r="R2137" s="1"/>
      <c r="S2137" s="1"/>
      <c r="T2137" s="1"/>
      <c r="U2137" s="1"/>
      <c r="V2137" s="1"/>
      <c r="W2137" s="1"/>
      <c r="X2137" s="1"/>
    </row>
    <row x14ac:dyDescent="0.25" r="2138" customHeight="1" ht="18.75">
      <c r="A2138" s="1"/>
      <c r="B2138" s="1"/>
      <c r="C2138" s="3" t="s">
        <v>1861</v>
      </c>
      <c r="D2138" s="3" t="s">
        <v>2168</v>
      </c>
      <c r="E2138" s="1"/>
      <c r="F2138" s="1"/>
      <c r="G2138" s="1"/>
      <c r="H2138" s="1"/>
      <c r="I2138" s="2"/>
      <c r="J2138" s="1"/>
      <c r="K2138" s="1"/>
      <c r="L2138" s="1"/>
      <c r="M2138" s="1"/>
      <c r="N2138" s="1"/>
      <c r="O2138" s="1"/>
      <c r="P2138" s="1"/>
      <c r="Q2138" s="1"/>
      <c r="R2138" s="1"/>
      <c r="S2138" s="1"/>
      <c r="T2138" s="1"/>
      <c r="U2138" s="1"/>
      <c r="V2138" s="1"/>
      <c r="W2138" s="1"/>
      <c r="X2138" s="1"/>
    </row>
    <row x14ac:dyDescent="0.25" r="2139" customHeight="1" ht="18.75">
      <c r="A2139" s="1"/>
      <c r="B2139" s="1"/>
      <c r="C2139" s="3" t="s">
        <v>1861</v>
      </c>
      <c r="D2139" s="3" t="s">
        <v>2169</v>
      </c>
      <c r="E2139" s="1"/>
      <c r="F2139" s="1"/>
      <c r="G2139" s="1"/>
      <c r="H2139" s="1"/>
      <c r="I2139" s="2"/>
      <c r="J2139" s="1"/>
      <c r="K2139" s="1"/>
      <c r="L2139" s="1"/>
      <c r="M2139" s="1"/>
      <c r="N2139" s="1"/>
      <c r="O2139" s="1"/>
      <c r="P2139" s="1"/>
      <c r="Q2139" s="1"/>
      <c r="R2139" s="1"/>
      <c r="S2139" s="1"/>
      <c r="T2139" s="1"/>
      <c r="U2139" s="1"/>
      <c r="V2139" s="1"/>
      <c r="W2139" s="1"/>
      <c r="X2139" s="1"/>
    </row>
    <row x14ac:dyDescent="0.25" r="2140" customHeight="1" ht="18.75">
      <c r="A2140" s="1"/>
      <c r="B2140" s="1"/>
      <c r="C2140" s="3" t="s">
        <v>1861</v>
      </c>
      <c r="D2140" s="3" t="s">
        <v>2170</v>
      </c>
      <c r="E2140" s="1"/>
      <c r="F2140" s="1"/>
      <c r="G2140" s="1"/>
      <c r="H2140" s="1"/>
      <c r="I2140" s="2"/>
      <c r="J2140" s="1"/>
      <c r="K2140" s="1"/>
      <c r="L2140" s="1"/>
      <c r="M2140" s="1"/>
      <c r="N2140" s="1"/>
      <c r="O2140" s="1"/>
      <c r="P2140" s="1"/>
      <c r="Q2140" s="1"/>
      <c r="R2140" s="1"/>
      <c r="S2140" s="1"/>
      <c r="T2140" s="1"/>
      <c r="U2140" s="1"/>
      <c r="V2140" s="1"/>
      <c r="W2140" s="1"/>
      <c r="X2140" s="1"/>
    </row>
    <row x14ac:dyDescent="0.25" r="2141" customHeight="1" ht="18.75">
      <c r="A2141" s="1"/>
      <c r="B2141" s="1"/>
      <c r="C2141" s="3" t="s">
        <v>1861</v>
      </c>
      <c r="D2141" s="3" t="s">
        <v>2171</v>
      </c>
      <c r="E2141" s="1"/>
      <c r="F2141" s="1"/>
      <c r="G2141" s="1"/>
      <c r="H2141" s="1"/>
      <c r="I2141" s="2"/>
      <c r="J2141" s="1"/>
      <c r="K2141" s="1"/>
      <c r="L2141" s="1"/>
      <c r="M2141" s="1"/>
      <c r="N2141" s="1"/>
      <c r="O2141" s="1"/>
      <c r="P2141" s="1"/>
      <c r="Q2141" s="1"/>
      <c r="R2141" s="1"/>
      <c r="S2141" s="1"/>
      <c r="T2141" s="1"/>
      <c r="U2141" s="1"/>
      <c r="V2141" s="1"/>
      <c r="W2141" s="1"/>
      <c r="X2141" s="1"/>
    </row>
    <row x14ac:dyDescent="0.25" r="2142" customHeight="1" ht="18.75">
      <c r="A2142" s="1"/>
      <c r="B2142" s="1"/>
      <c r="C2142" s="3" t="s">
        <v>1861</v>
      </c>
      <c r="D2142" s="3" t="s">
        <v>2172</v>
      </c>
      <c r="E2142" s="1"/>
      <c r="F2142" s="1"/>
      <c r="G2142" s="1"/>
      <c r="H2142" s="1"/>
      <c r="I2142" s="2"/>
      <c r="J2142" s="1"/>
      <c r="K2142" s="1"/>
      <c r="L2142" s="1"/>
      <c r="M2142" s="1"/>
      <c r="N2142" s="1"/>
      <c r="O2142" s="1"/>
      <c r="P2142" s="1"/>
      <c r="Q2142" s="1"/>
      <c r="R2142" s="1"/>
      <c r="S2142" s="1"/>
      <c r="T2142" s="1"/>
      <c r="U2142" s="1"/>
      <c r="V2142" s="1"/>
      <c r="W2142" s="1"/>
      <c r="X2142" s="1"/>
    </row>
    <row x14ac:dyDescent="0.25" r="2143" customHeight="1" ht="18.75">
      <c r="A2143" s="1"/>
      <c r="B2143" s="1"/>
      <c r="C2143" s="3" t="s">
        <v>1861</v>
      </c>
      <c r="D2143" s="3" t="s">
        <v>2173</v>
      </c>
      <c r="E2143" s="1"/>
      <c r="F2143" s="1"/>
      <c r="G2143" s="1"/>
      <c r="H2143" s="1"/>
      <c r="I2143" s="2"/>
      <c r="J2143" s="1"/>
      <c r="K2143" s="1"/>
      <c r="L2143" s="1"/>
      <c r="M2143" s="1"/>
      <c r="N2143" s="1"/>
      <c r="O2143" s="1"/>
      <c r="P2143" s="1"/>
      <c r="Q2143" s="1"/>
      <c r="R2143" s="1"/>
      <c r="S2143" s="1"/>
      <c r="T2143" s="1"/>
      <c r="U2143" s="1"/>
      <c r="V2143" s="1"/>
      <c r="W2143" s="1"/>
      <c r="X2143" s="1"/>
    </row>
    <row x14ac:dyDescent="0.25" r="2144" customHeight="1" ht="18.75">
      <c r="A2144" s="1"/>
      <c r="B2144" s="1"/>
      <c r="C2144" s="3" t="s">
        <v>1861</v>
      </c>
      <c r="D2144" s="3" t="s">
        <v>2174</v>
      </c>
      <c r="E2144" s="1"/>
      <c r="F2144" s="1"/>
      <c r="G2144" s="1"/>
      <c r="H2144" s="1"/>
      <c r="I2144" s="2"/>
      <c r="J2144" s="1"/>
      <c r="K2144" s="1"/>
      <c r="L2144" s="1"/>
      <c r="M2144" s="1"/>
      <c r="N2144" s="1"/>
      <c r="O2144" s="1"/>
      <c r="P2144" s="1"/>
      <c r="Q2144" s="1"/>
      <c r="R2144" s="1"/>
      <c r="S2144" s="1"/>
      <c r="T2144" s="1"/>
      <c r="U2144" s="1"/>
      <c r="V2144" s="1"/>
      <c r="W2144" s="1"/>
      <c r="X2144" s="1"/>
    </row>
    <row x14ac:dyDescent="0.25" r="2145" customHeight="1" ht="18.75">
      <c r="A2145" s="1"/>
      <c r="B2145" s="1"/>
      <c r="C2145" s="3" t="s">
        <v>1861</v>
      </c>
      <c r="D2145" s="3" t="s">
        <v>2175</v>
      </c>
      <c r="E2145" s="1"/>
      <c r="F2145" s="1"/>
      <c r="G2145" s="1"/>
      <c r="H2145" s="1"/>
      <c r="I2145" s="2"/>
      <c r="J2145" s="1"/>
      <c r="K2145" s="1"/>
      <c r="L2145" s="1"/>
      <c r="M2145" s="1"/>
      <c r="N2145" s="1"/>
      <c r="O2145" s="1"/>
      <c r="P2145" s="1"/>
      <c r="Q2145" s="1"/>
      <c r="R2145" s="1"/>
      <c r="S2145" s="1"/>
      <c r="T2145" s="1"/>
      <c r="U2145" s="1"/>
      <c r="V2145" s="1"/>
      <c r="W2145" s="1"/>
      <c r="X2145" s="1"/>
    </row>
    <row x14ac:dyDescent="0.25" r="2146" customHeight="1" ht="18.75">
      <c r="A2146" s="1"/>
      <c r="B2146" s="1"/>
      <c r="C2146" s="3" t="s">
        <v>1861</v>
      </c>
      <c r="D2146" s="3" t="s">
        <v>2176</v>
      </c>
      <c r="E2146" s="1"/>
      <c r="F2146" s="1"/>
      <c r="G2146" s="1"/>
      <c r="H2146" s="1"/>
      <c r="I2146" s="2"/>
      <c r="J2146" s="1"/>
      <c r="K2146" s="1"/>
      <c r="L2146" s="1"/>
      <c r="M2146" s="1"/>
      <c r="N2146" s="1"/>
      <c r="O2146" s="1"/>
      <c r="P2146" s="1"/>
      <c r="Q2146" s="1"/>
      <c r="R2146" s="1"/>
      <c r="S2146" s="1"/>
      <c r="T2146" s="1"/>
      <c r="U2146" s="1"/>
      <c r="V2146" s="1"/>
      <c r="W2146" s="1"/>
      <c r="X2146" s="1"/>
    </row>
    <row x14ac:dyDescent="0.25" r="2147" customHeight="1" ht="18.75">
      <c r="A2147" s="1"/>
      <c r="B2147" s="1"/>
      <c r="C2147" s="3" t="s">
        <v>1861</v>
      </c>
      <c r="D2147" s="3" t="s">
        <v>2177</v>
      </c>
      <c r="E2147" s="1"/>
      <c r="F2147" s="1"/>
      <c r="G2147" s="1"/>
      <c r="H2147" s="1"/>
      <c r="I2147" s="2"/>
      <c r="J2147" s="1"/>
      <c r="K2147" s="1"/>
      <c r="L2147" s="1"/>
      <c r="M2147" s="1"/>
      <c r="N2147" s="1"/>
      <c r="O2147" s="1"/>
      <c r="P2147" s="1"/>
      <c r="Q2147" s="1"/>
      <c r="R2147" s="1"/>
      <c r="S2147" s="1"/>
      <c r="T2147" s="1"/>
      <c r="U2147" s="1"/>
      <c r="V2147" s="1"/>
      <c r="W2147" s="1"/>
      <c r="X2147" s="1"/>
    </row>
    <row x14ac:dyDescent="0.25" r="2148" customHeight="1" ht="18.75">
      <c r="A2148" s="1"/>
      <c r="B2148" s="1"/>
      <c r="C2148" s="3" t="s">
        <v>1861</v>
      </c>
      <c r="D2148" s="3" t="s">
        <v>2178</v>
      </c>
      <c r="E2148" s="1"/>
      <c r="F2148" s="1"/>
      <c r="G2148" s="1"/>
      <c r="H2148" s="1"/>
      <c r="I2148" s="2"/>
      <c r="J2148" s="1"/>
      <c r="K2148" s="1"/>
      <c r="L2148" s="1"/>
      <c r="M2148" s="1"/>
      <c r="N2148" s="1"/>
      <c r="O2148" s="1"/>
      <c r="P2148" s="1"/>
      <c r="Q2148" s="1"/>
      <c r="R2148" s="1"/>
      <c r="S2148" s="1"/>
      <c r="T2148" s="1"/>
      <c r="U2148" s="1"/>
      <c r="V2148" s="1"/>
      <c r="W2148" s="1"/>
      <c r="X2148" s="1"/>
    </row>
    <row x14ac:dyDescent="0.25" r="2149" customHeight="1" ht="18.75">
      <c r="A2149" s="1"/>
      <c r="B2149" s="1"/>
      <c r="C2149" s="3" t="s">
        <v>1861</v>
      </c>
      <c r="D2149" s="3" t="s">
        <v>2179</v>
      </c>
      <c r="E2149" s="1"/>
      <c r="F2149" s="1"/>
      <c r="G2149" s="1"/>
      <c r="H2149" s="1"/>
      <c r="I2149" s="2"/>
      <c r="J2149" s="1"/>
      <c r="K2149" s="1"/>
      <c r="L2149" s="1"/>
      <c r="M2149" s="1"/>
      <c r="N2149" s="1"/>
      <c r="O2149" s="1"/>
      <c r="P2149" s="1"/>
      <c r="Q2149" s="1"/>
      <c r="R2149" s="1"/>
      <c r="S2149" s="1"/>
      <c r="T2149" s="1"/>
      <c r="U2149" s="1"/>
      <c r="V2149" s="1"/>
      <c r="W2149" s="1"/>
      <c r="X2149" s="1"/>
    </row>
    <row x14ac:dyDescent="0.25" r="2150" customHeight="1" ht="18.75">
      <c r="A2150" s="1"/>
      <c r="B2150" s="1"/>
      <c r="C2150" s="3" t="s">
        <v>1861</v>
      </c>
      <c r="D2150" s="3" t="s">
        <v>2180</v>
      </c>
      <c r="E2150" s="1"/>
      <c r="F2150" s="1"/>
      <c r="G2150" s="1"/>
      <c r="H2150" s="1"/>
      <c r="I2150" s="2"/>
      <c r="J2150" s="1"/>
      <c r="K2150" s="1"/>
      <c r="L2150" s="1"/>
      <c r="M2150" s="1"/>
      <c r="N2150" s="1"/>
      <c r="O2150" s="1"/>
      <c r="P2150" s="1"/>
      <c r="Q2150" s="1"/>
      <c r="R2150" s="1"/>
      <c r="S2150" s="1"/>
      <c r="T2150" s="1"/>
      <c r="U2150" s="1"/>
      <c r="V2150" s="1"/>
      <c r="W2150" s="1"/>
      <c r="X2150" s="1"/>
    </row>
    <row x14ac:dyDescent="0.25" r="2151" customHeight="1" ht="18.75">
      <c r="A2151" s="1"/>
      <c r="B2151" s="1"/>
      <c r="C2151" s="3" t="s">
        <v>1861</v>
      </c>
      <c r="D2151" s="3" t="s">
        <v>2181</v>
      </c>
      <c r="E2151" s="1"/>
      <c r="F2151" s="1"/>
      <c r="G2151" s="1"/>
      <c r="H2151" s="1"/>
      <c r="I2151" s="2"/>
      <c r="J2151" s="1"/>
      <c r="K2151" s="1"/>
      <c r="L2151" s="1"/>
      <c r="M2151" s="1"/>
      <c r="N2151" s="1"/>
      <c r="O2151" s="1"/>
      <c r="P2151" s="1"/>
      <c r="Q2151" s="1"/>
      <c r="R2151" s="1"/>
      <c r="S2151" s="1"/>
      <c r="T2151" s="1"/>
      <c r="U2151" s="1"/>
      <c r="V2151" s="1"/>
      <c r="W2151" s="1"/>
      <c r="X2151" s="1"/>
    </row>
    <row x14ac:dyDescent="0.25" r="2152" customHeight="1" ht="18.75">
      <c r="A2152" s="1"/>
      <c r="B2152" s="1"/>
      <c r="C2152" s="3" t="s">
        <v>1861</v>
      </c>
      <c r="D2152" s="3" t="s">
        <v>2182</v>
      </c>
      <c r="E2152" s="1"/>
      <c r="F2152" s="1"/>
      <c r="G2152" s="1"/>
      <c r="H2152" s="1"/>
      <c r="I2152" s="2"/>
      <c r="J2152" s="1"/>
      <c r="K2152" s="1"/>
      <c r="L2152" s="1"/>
      <c r="M2152" s="1"/>
      <c r="N2152" s="1"/>
      <c r="O2152" s="1"/>
      <c r="P2152" s="1"/>
      <c r="Q2152" s="1"/>
      <c r="R2152" s="1"/>
      <c r="S2152" s="1"/>
      <c r="T2152" s="1"/>
      <c r="U2152" s="1"/>
      <c r="V2152" s="1"/>
      <c r="W2152" s="1"/>
      <c r="X2152" s="1"/>
    </row>
    <row x14ac:dyDescent="0.25" r="2153" customHeight="1" ht="18.75">
      <c r="A2153" s="1"/>
      <c r="B2153" s="1"/>
      <c r="C2153" s="3" t="s">
        <v>1861</v>
      </c>
      <c r="D2153" s="3" t="s">
        <v>2183</v>
      </c>
      <c r="E2153" s="1"/>
      <c r="F2153" s="1"/>
      <c r="G2153" s="1"/>
      <c r="H2153" s="1"/>
      <c r="I2153" s="2"/>
      <c r="J2153" s="1"/>
      <c r="K2153" s="1"/>
      <c r="L2153" s="1"/>
      <c r="M2153" s="1"/>
      <c r="N2153" s="1"/>
      <c r="O2153" s="1"/>
      <c r="P2153" s="1"/>
      <c r="Q2153" s="1"/>
      <c r="R2153" s="1"/>
      <c r="S2153" s="1"/>
      <c r="T2153" s="1"/>
      <c r="U2153" s="1"/>
      <c r="V2153" s="1"/>
      <c r="W2153" s="1"/>
      <c r="X2153" s="1"/>
    </row>
    <row x14ac:dyDescent="0.25" r="2154" customHeight="1" ht="18.75">
      <c r="A2154" s="1"/>
      <c r="B2154" s="1"/>
      <c r="C2154" s="3" t="s">
        <v>1861</v>
      </c>
      <c r="D2154" s="3" t="s">
        <v>2184</v>
      </c>
      <c r="E2154" s="1"/>
      <c r="F2154" s="1"/>
      <c r="G2154" s="1"/>
      <c r="H2154" s="1"/>
      <c r="I2154" s="2"/>
      <c r="J2154" s="1"/>
      <c r="K2154" s="1"/>
      <c r="L2154" s="1"/>
      <c r="M2154" s="1"/>
      <c r="N2154" s="1"/>
      <c r="O2154" s="1"/>
      <c r="P2154" s="1"/>
      <c r="Q2154" s="1"/>
      <c r="R2154" s="1"/>
      <c r="S2154" s="1"/>
      <c r="T2154" s="1"/>
      <c r="U2154" s="1"/>
      <c r="V2154" s="1"/>
      <c r="W2154" s="1"/>
      <c r="X2154" s="1"/>
    </row>
    <row x14ac:dyDescent="0.25" r="2155" customHeight="1" ht="18.75">
      <c r="A2155" s="1"/>
      <c r="B2155" s="1"/>
      <c r="C2155" s="3" t="s">
        <v>1861</v>
      </c>
      <c r="D2155" s="3" t="s">
        <v>2185</v>
      </c>
      <c r="E2155" s="1"/>
      <c r="F2155" s="1"/>
      <c r="G2155" s="1"/>
      <c r="H2155" s="1"/>
      <c r="I2155" s="2"/>
      <c r="J2155" s="1"/>
      <c r="K2155" s="1"/>
      <c r="L2155" s="1"/>
      <c r="M2155" s="1"/>
      <c r="N2155" s="1"/>
      <c r="O2155" s="1"/>
      <c r="P2155" s="1"/>
      <c r="Q2155" s="1"/>
      <c r="R2155" s="1"/>
      <c r="S2155" s="1"/>
      <c r="T2155" s="1"/>
      <c r="U2155" s="1"/>
      <c r="V2155" s="1"/>
      <c r="W2155" s="1"/>
      <c r="X2155" s="1"/>
    </row>
    <row x14ac:dyDescent="0.25" r="2156" customHeight="1" ht="18.75">
      <c r="A2156" s="1"/>
      <c r="B2156" s="1"/>
      <c r="C2156" s="3" t="s">
        <v>1861</v>
      </c>
      <c r="D2156" s="3" t="s">
        <v>2186</v>
      </c>
      <c r="E2156" s="1"/>
      <c r="F2156" s="1"/>
      <c r="G2156" s="1"/>
      <c r="H2156" s="1"/>
      <c r="I2156" s="2"/>
      <c r="J2156" s="1"/>
      <c r="K2156" s="1"/>
      <c r="L2156" s="1"/>
      <c r="M2156" s="1"/>
      <c r="N2156" s="1"/>
      <c r="O2156" s="1"/>
      <c r="P2156" s="1"/>
      <c r="Q2156" s="1"/>
      <c r="R2156" s="1"/>
      <c r="S2156" s="1"/>
      <c r="T2156" s="1"/>
      <c r="U2156" s="1"/>
      <c r="V2156" s="1"/>
      <c r="W2156" s="1"/>
      <c r="X2156" s="1"/>
    </row>
    <row x14ac:dyDescent="0.25" r="2157" customHeight="1" ht="18.75">
      <c r="A2157" s="1"/>
      <c r="B2157" s="1"/>
      <c r="C2157" s="3" t="s">
        <v>1861</v>
      </c>
      <c r="D2157" s="3" t="s">
        <v>2187</v>
      </c>
      <c r="E2157" s="1"/>
      <c r="F2157" s="1"/>
      <c r="G2157" s="1"/>
      <c r="H2157" s="1"/>
      <c r="I2157" s="2"/>
      <c r="J2157" s="1"/>
      <c r="K2157" s="1"/>
      <c r="L2157" s="1"/>
      <c r="M2157" s="1"/>
      <c r="N2157" s="1"/>
      <c r="O2157" s="1"/>
      <c r="P2157" s="1"/>
      <c r="Q2157" s="1"/>
      <c r="R2157" s="1"/>
      <c r="S2157" s="1"/>
      <c r="T2157" s="1"/>
      <c r="U2157" s="1"/>
      <c r="V2157" s="1"/>
      <c r="W2157" s="1"/>
      <c r="X2157" s="1"/>
    </row>
    <row x14ac:dyDescent="0.25" r="2158" customHeight="1" ht="18.75">
      <c r="A2158" s="1"/>
      <c r="B2158" s="1"/>
      <c r="C2158" s="3" t="s">
        <v>1861</v>
      </c>
      <c r="D2158" s="3" t="s">
        <v>2188</v>
      </c>
      <c r="E2158" s="1"/>
      <c r="F2158" s="1"/>
      <c r="G2158" s="1"/>
      <c r="H2158" s="1"/>
      <c r="I2158" s="2"/>
      <c r="J2158" s="1"/>
      <c r="K2158" s="1"/>
      <c r="L2158" s="1"/>
      <c r="M2158" s="1"/>
      <c r="N2158" s="1"/>
      <c r="O2158" s="1"/>
      <c r="P2158" s="1"/>
      <c r="Q2158" s="1"/>
      <c r="R2158" s="1"/>
      <c r="S2158" s="1"/>
      <c r="T2158" s="1"/>
      <c r="U2158" s="1"/>
      <c r="V2158" s="1"/>
      <c r="W2158" s="1"/>
      <c r="X2158" s="1"/>
    </row>
    <row x14ac:dyDescent="0.25" r="2159" customHeight="1" ht="18.75">
      <c r="A2159" s="1"/>
      <c r="B2159" s="1"/>
      <c r="C2159" s="3" t="s">
        <v>1861</v>
      </c>
      <c r="D2159" s="3" t="s">
        <v>2189</v>
      </c>
      <c r="E2159" s="1"/>
      <c r="F2159" s="1"/>
      <c r="G2159" s="1"/>
      <c r="H2159" s="1"/>
      <c r="I2159" s="2"/>
      <c r="J2159" s="1"/>
      <c r="K2159" s="1"/>
      <c r="L2159" s="1"/>
      <c r="M2159" s="1"/>
      <c r="N2159" s="1"/>
      <c r="O2159" s="1"/>
      <c r="P2159" s="1"/>
      <c r="Q2159" s="1"/>
      <c r="R2159" s="1"/>
      <c r="S2159" s="1"/>
      <c r="T2159" s="1"/>
      <c r="U2159" s="1"/>
      <c r="V2159" s="1"/>
      <c r="W2159" s="1"/>
      <c r="X2159" s="1"/>
    </row>
    <row x14ac:dyDescent="0.25" r="2160" customHeight="1" ht="18.75">
      <c r="A2160" s="1"/>
      <c r="B2160" s="1"/>
      <c r="C2160" s="3" t="s">
        <v>1861</v>
      </c>
      <c r="D2160" s="3" t="s">
        <v>2190</v>
      </c>
      <c r="E2160" s="1"/>
      <c r="F2160" s="1"/>
      <c r="G2160" s="1"/>
      <c r="H2160" s="1"/>
      <c r="I2160" s="2"/>
      <c r="J2160" s="1"/>
      <c r="K2160" s="1"/>
      <c r="L2160" s="1"/>
      <c r="M2160" s="1"/>
      <c r="N2160" s="1"/>
      <c r="O2160" s="1"/>
      <c r="P2160" s="1"/>
      <c r="Q2160" s="1"/>
      <c r="R2160" s="1"/>
      <c r="S2160" s="1"/>
      <c r="T2160" s="1"/>
      <c r="U2160" s="1"/>
      <c r="V2160" s="1"/>
      <c r="W2160" s="1"/>
      <c r="X2160" s="1"/>
    </row>
    <row x14ac:dyDescent="0.25" r="2161" customHeight="1" ht="18.75">
      <c r="A2161" s="1"/>
      <c r="B2161" s="1"/>
      <c r="C2161" s="3" t="s">
        <v>1861</v>
      </c>
      <c r="D2161" s="3" t="s">
        <v>2191</v>
      </c>
      <c r="E2161" s="1"/>
      <c r="F2161" s="1"/>
      <c r="G2161" s="1"/>
      <c r="H2161" s="1"/>
      <c r="I2161" s="2"/>
      <c r="J2161" s="1"/>
      <c r="K2161" s="1"/>
      <c r="L2161" s="1"/>
      <c r="M2161" s="1"/>
      <c r="N2161" s="1"/>
      <c r="O2161" s="1"/>
      <c r="P2161" s="1"/>
      <c r="Q2161" s="1"/>
      <c r="R2161" s="1"/>
      <c r="S2161" s="1"/>
      <c r="T2161" s="1"/>
      <c r="U2161" s="1"/>
      <c r="V2161" s="1"/>
      <c r="W2161" s="1"/>
      <c r="X2161" s="1"/>
    </row>
    <row x14ac:dyDescent="0.25" r="2162" customHeight="1" ht="18.75">
      <c r="A2162" s="1"/>
      <c r="B2162" s="1"/>
      <c r="C2162" s="3" t="s">
        <v>1861</v>
      </c>
      <c r="D2162" s="3" t="s">
        <v>2192</v>
      </c>
      <c r="E2162" s="1"/>
      <c r="F2162" s="1"/>
      <c r="G2162" s="1"/>
      <c r="H2162" s="1"/>
      <c r="I2162" s="2"/>
      <c r="J2162" s="1"/>
      <c r="K2162" s="1"/>
      <c r="L2162" s="1"/>
      <c r="M2162" s="1"/>
      <c r="N2162" s="1"/>
      <c r="O2162" s="1"/>
      <c r="P2162" s="1"/>
      <c r="Q2162" s="1"/>
      <c r="R2162" s="1"/>
      <c r="S2162" s="1"/>
      <c r="T2162" s="1"/>
      <c r="U2162" s="1"/>
      <c r="V2162" s="1"/>
      <c r="W2162" s="1"/>
      <c r="X2162" s="1"/>
    </row>
    <row x14ac:dyDescent="0.25" r="2163" customHeight="1" ht="18.75">
      <c r="A2163" s="1"/>
      <c r="B2163" s="1"/>
      <c r="C2163" s="3" t="s">
        <v>1861</v>
      </c>
      <c r="D2163" s="3" t="s">
        <v>2193</v>
      </c>
      <c r="E2163" s="1"/>
      <c r="F2163" s="1"/>
      <c r="G2163" s="1"/>
      <c r="H2163" s="1"/>
      <c r="I2163" s="2"/>
      <c r="J2163" s="1"/>
      <c r="K2163" s="1"/>
      <c r="L2163" s="1"/>
      <c r="M2163" s="1"/>
      <c r="N2163" s="1"/>
      <c r="O2163" s="1"/>
      <c r="P2163" s="1"/>
      <c r="Q2163" s="1"/>
      <c r="R2163" s="1"/>
      <c r="S2163" s="1"/>
      <c r="T2163" s="1"/>
      <c r="U2163" s="1"/>
      <c r="V2163" s="1"/>
      <c r="W2163" s="1"/>
      <c r="X2163" s="1"/>
    </row>
    <row x14ac:dyDescent="0.25" r="2164" customHeight="1" ht="18.75">
      <c r="A2164" s="1"/>
      <c r="B2164" s="1"/>
      <c r="C2164" s="3" t="s">
        <v>1861</v>
      </c>
      <c r="D2164" s="3" t="s">
        <v>2194</v>
      </c>
      <c r="E2164" s="1"/>
      <c r="F2164" s="1"/>
      <c r="G2164" s="1"/>
      <c r="H2164" s="1"/>
      <c r="I2164" s="2"/>
      <c r="J2164" s="1"/>
      <c r="K2164" s="1"/>
      <c r="L2164" s="1"/>
      <c r="M2164" s="1"/>
      <c r="N2164" s="1"/>
      <c r="O2164" s="1"/>
      <c r="P2164" s="1"/>
      <c r="Q2164" s="1"/>
      <c r="R2164" s="1"/>
      <c r="S2164" s="1"/>
      <c r="T2164" s="1"/>
      <c r="U2164" s="1"/>
      <c r="V2164" s="1"/>
      <c r="W2164" s="1"/>
      <c r="X2164" s="1"/>
    </row>
    <row x14ac:dyDescent="0.25" r="2165" customHeight="1" ht="18.75">
      <c r="A2165" s="1"/>
      <c r="B2165" s="1"/>
      <c r="C2165" s="3" t="s">
        <v>1861</v>
      </c>
      <c r="D2165" s="3" t="s">
        <v>2195</v>
      </c>
      <c r="E2165" s="1"/>
      <c r="F2165" s="1"/>
      <c r="G2165" s="1"/>
      <c r="H2165" s="1"/>
      <c r="I2165" s="2"/>
      <c r="J2165" s="1"/>
      <c r="K2165" s="1"/>
      <c r="L2165" s="1"/>
      <c r="M2165" s="1"/>
      <c r="N2165" s="1"/>
      <c r="O2165" s="1"/>
      <c r="P2165" s="1"/>
      <c r="Q2165" s="1"/>
      <c r="R2165" s="1"/>
      <c r="S2165" s="1"/>
      <c r="T2165" s="1"/>
      <c r="U2165" s="1"/>
      <c r="V2165" s="1"/>
      <c r="W2165" s="1"/>
      <c r="X2165" s="1"/>
    </row>
    <row x14ac:dyDescent="0.25" r="2166" customHeight="1" ht="18.75">
      <c r="A2166" s="1"/>
      <c r="B2166" s="1"/>
      <c r="C2166" s="3" t="s">
        <v>1861</v>
      </c>
      <c r="D2166" s="3" t="s">
        <v>2196</v>
      </c>
      <c r="E2166" s="1"/>
      <c r="F2166" s="1"/>
      <c r="G2166" s="1"/>
      <c r="H2166" s="1"/>
      <c r="I2166" s="2"/>
      <c r="J2166" s="1"/>
      <c r="K2166" s="1"/>
      <c r="L2166" s="1"/>
      <c r="M2166" s="1"/>
      <c r="N2166" s="1"/>
      <c r="O2166" s="1"/>
      <c r="P2166" s="1"/>
      <c r="Q2166" s="1"/>
      <c r="R2166" s="1"/>
      <c r="S2166" s="1"/>
      <c r="T2166" s="1"/>
      <c r="U2166" s="1"/>
      <c r="V2166" s="1"/>
      <c r="W2166" s="1"/>
      <c r="X2166" s="1"/>
    </row>
    <row x14ac:dyDescent="0.25" r="2167" customHeight="1" ht="18.75">
      <c r="A2167" s="1"/>
      <c r="B2167" s="1"/>
      <c r="C2167" s="3" t="s">
        <v>1861</v>
      </c>
      <c r="D2167" s="3" t="s">
        <v>2197</v>
      </c>
      <c r="E2167" s="1"/>
      <c r="F2167" s="1"/>
      <c r="G2167" s="1"/>
      <c r="H2167" s="1"/>
      <c r="I2167" s="2"/>
      <c r="J2167" s="1"/>
      <c r="K2167" s="1"/>
      <c r="L2167" s="1"/>
      <c r="M2167" s="1"/>
      <c r="N2167" s="1"/>
      <c r="O2167" s="1"/>
      <c r="P2167" s="1"/>
      <c r="Q2167" s="1"/>
      <c r="R2167" s="1"/>
      <c r="S2167" s="1"/>
      <c r="T2167" s="1"/>
      <c r="U2167" s="1"/>
      <c r="V2167" s="1"/>
      <c r="W2167" s="1"/>
      <c r="X2167" s="1"/>
    </row>
    <row x14ac:dyDescent="0.25" r="2168" customHeight="1" ht="18.75">
      <c r="A2168" s="1"/>
      <c r="B2168" s="1"/>
      <c r="C2168" s="3" t="s">
        <v>1861</v>
      </c>
      <c r="D2168" s="3" t="s">
        <v>2198</v>
      </c>
      <c r="E2168" s="1"/>
      <c r="F2168" s="1"/>
      <c r="G2168" s="1"/>
      <c r="H2168" s="1"/>
      <c r="I2168" s="2"/>
      <c r="J2168" s="1"/>
      <c r="K2168" s="1"/>
      <c r="L2168" s="1"/>
      <c r="M2168" s="1"/>
      <c r="N2168" s="1"/>
      <c r="O2168" s="1"/>
      <c r="P2168" s="1"/>
      <c r="Q2168" s="1"/>
      <c r="R2168" s="1"/>
      <c r="S2168" s="1"/>
      <c r="T2168" s="1"/>
      <c r="U2168" s="1"/>
      <c r="V2168" s="1"/>
      <c r="W2168" s="1"/>
      <c r="X2168" s="1"/>
    </row>
    <row x14ac:dyDescent="0.25" r="2169" customHeight="1" ht="18.75">
      <c r="A2169" s="1"/>
      <c r="B2169" s="1"/>
      <c r="C2169" s="3" t="s">
        <v>1861</v>
      </c>
      <c r="D2169" s="3" t="s">
        <v>2199</v>
      </c>
      <c r="E2169" s="1"/>
      <c r="F2169" s="1"/>
      <c r="G2169" s="1"/>
      <c r="H2169" s="1"/>
      <c r="I2169" s="2"/>
      <c r="J2169" s="1"/>
      <c r="K2169" s="1"/>
      <c r="L2169" s="1"/>
      <c r="M2169" s="1"/>
      <c r="N2169" s="1"/>
      <c r="O2169" s="1"/>
      <c r="P2169" s="1"/>
      <c r="Q2169" s="1"/>
      <c r="R2169" s="1"/>
      <c r="S2169" s="1"/>
      <c r="T2169" s="1"/>
      <c r="U2169" s="1"/>
      <c r="V2169" s="1"/>
      <c r="W2169" s="1"/>
      <c r="X2169" s="1"/>
    </row>
    <row x14ac:dyDescent="0.25" r="2170" customHeight="1" ht="18.75">
      <c r="A2170" s="1"/>
      <c r="B2170" s="1"/>
      <c r="C2170" s="3" t="s">
        <v>1861</v>
      </c>
      <c r="D2170" s="3" t="s">
        <v>2200</v>
      </c>
      <c r="E2170" s="1"/>
      <c r="F2170" s="1"/>
      <c r="G2170" s="1"/>
      <c r="H2170" s="1"/>
      <c r="I2170" s="2"/>
      <c r="J2170" s="1"/>
      <c r="K2170" s="1"/>
      <c r="L2170" s="1"/>
      <c r="M2170" s="1"/>
      <c r="N2170" s="1"/>
      <c r="O2170" s="1"/>
      <c r="P2170" s="1"/>
      <c r="Q2170" s="1"/>
      <c r="R2170" s="1"/>
      <c r="S2170" s="1"/>
      <c r="T2170" s="1"/>
      <c r="U2170" s="1"/>
      <c r="V2170" s="1"/>
      <c r="W2170" s="1"/>
      <c r="X2170" s="1"/>
    </row>
    <row x14ac:dyDescent="0.25" r="2171" customHeight="1" ht="18.75">
      <c r="A2171" s="1"/>
      <c r="B2171" s="1"/>
      <c r="C2171" s="3" t="s">
        <v>1861</v>
      </c>
      <c r="D2171" s="3" t="s">
        <v>2201</v>
      </c>
      <c r="E2171" s="1"/>
      <c r="F2171" s="1"/>
      <c r="G2171" s="1"/>
      <c r="H2171" s="1"/>
      <c r="I2171" s="2"/>
      <c r="J2171" s="1"/>
      <c r="K2171" s="1"/>
      <c r="L2171" s="1"/>
      <c r="M2171" s="1"/>
      <c r="N2171" s="1"/>
      <c r="O2171" s="1"/>
      <c r="P2171" s="1"/>
      <c r="Q2171" s="1"/>
      <c r="R2171" s="1"/>
      <c r="S2171" s="1"/>
      <c r="T2171" s="1"/>
      <c r="U2171" s="1"/>
      <c r="V2171" s="1"/>
      <c r="W2171" s="1"/>
      <c r="X2171" s="1"/>
    </row>
    <row x14ac:dyDescent="0.25" r="2172" customHeight="1" ht="18.75">
      <c r="A2172" s="1"/>
      <c r="B2172" s="1"/>
      <c r="C2172" s="3" t="s">
        <v>1861</v>
      </c>
      <c r="D2172" s="3" t="s">
        <v>2202</v>
      </c>
      <c r="E2172" s="1"/>
      <c r="F2172" s="1"/>
      <c r="G2172" s="1"/>
      <c r="H2172" s="1"/>
      <c r="I2172" s="2"/>
      <c r="J2172" s="1"/>
      <c r="K2172" s="1"/>
      <c r="L2172" s="1"/>
      <c r="M2172" s="1"/>
      <c r="N2172" s="1"/>
      <c r="O2172" s="1"/>
      <c r="P2172" s="1"/>
      <c r="Q2172" s="1"/>
      <c r="R2172" s="1"/>
      <c r="S2172" s="1"/>
      <c r="T2172" s="1"/>
      <c r="U2172" s="1"/>
      <c r="V2172" s="1"/>
      <c r="W2172" s="1"/>
      <c r="X2172" s="1"/>
    </row>
    <row x14ac:dyDescent="0.25" r="2173" customHeight="1" ht="18.75">
      <c r="A2173" s="1"/>
      <c r="B2173" s="1"/>
      <c r="C2173" s="3" t="s">
        <v>1861</v>
      </c>
      <c r="D2173" s="3" t="s">
        <v>2203</v>
      </c>
      <c r="E2173" s="1"/>
      <c r="F2173" s="1"/>
      <c r="G2173" s="1"/>
      <c r="H2173" s="1"/>
      <c r="I2173" s="2"/>
      <c r="J2173" s="1"/>
      <c r="K2173" s="1"/>
      <c r="L2173" s="1"/>
      <c r="M2173" s="1"/>
      <c r="N2173" s="1"/>
      <c r="O2173" s="1"/>
      <c r="P2173" s="1"/>
      <c r="Q2173" s="1"/>
      <c r="R2173" s="1"/>
      <c r="S2173" s="1"/>
      <c r="T2173" s="1"/>
      <c r="U2173" s="1"/>
      <c r="V2173" s="1"/>
      <c r="W2173" s="1"/>
      <c r="X2173" s="1"/>
    </row>
    <row x14ac:dyDescent="0.25" r="2174" customHeight="1" ht="18.75">
      <c r="A2174" s="1"/>
      <c r="B2174" s="1"/>
      <c r="C2174" s="3" t="s">
        <v>1861</v>
      </c>
      <c r="D2174" s="3" t="s">
        <v>2204</v>
      </c>
      <c r="E2174" s="1"/>
      <c r="F2174" s="1"/>
      <c r="G2174" s="1"/>
      <c r="H2174" s="1"/>
      <c r="I2174" s="2"/>
      <c r="J2174" s="1"/>
      <c r="K2174" s="1"/>
      <c r="L2174" s="1"/>
      <c r="M2174" s="1"/>
      <c r="N2174" s="1"/>
      <c r="O2174" s="1"/>
      <c r="P2174" s="1"/>
      <c r="Q2174" s="1"/>
      <c r="R2174" s="1"/>
      <c r="S2174" s="1"/>
      <c r="T2174" s="1"/>
      <c r="U2174" s="1"/>
      <c r="V2174" s="1"/>
      <c r="W2174" s="1"/>
      <c r="X2174" s="1"/>
    </row>
    <row x14ac:dyDescent="0.25" r="2175" customHeight="1" ht="18.75">
      <c r="A2175" s="1"/>
      <c r="B2175" s="1"/>
      <c r="C2175" s="3" t="s">
        <v>1861</v>
      </c>
      <c r="D2175" s="3" t="s">
        <v>2205</v>
      </c>
      <c r="E2175" s="1"/>
      <c r="F2175" s="1"/>
      <c r="G2175" s="1"/>
      <c r="H2175" s="1"/>
      <c r="I2175" s="2"/>
      <c r="J2175" s="1"/>
      <c r="K2175" s="1"/>
      <c r="L2175" s="1"/>
      <c r="M2175" s="1"/>
      <c r="N2175" s="1"/>
      <c r="O2175" s="1"/>
      <c r="P2175" s="1"/>
      <c r="Q2175" s="1"/>
      <c r="R2175" s="1"/>
      <c r="S2175" s="1"/>
      <c r="T2175" s="1"/>
      <c r="U2175" s="1"/>
      <c r="V2175" s="1"/>
      <c r="W2175" s="1"/>
      <c r="X2175" s="1"/>
    </row>
    <row x14ac:dyDescent="0.25" r="2176" customHeight="1" ht="18.75">
      <c r="A2176" s="1"/>
      <c r="B2176" s="1"/>
      <c r="C2176" s="3" t="s">
        <v>1861</v>
      </c>
      <c r="D2176" s="3" t="s">
        <v>2206</v>
      </c>
      <c r="E2176" s="1"/>
      <c r="F2176" s="1"/>
      <c r="G2176" s="1"/>
      <c r="H2176" s="1"/>
      <c r="I2176" s="2"/>
      <c r="J2176" s="1"/>
      <c r="K2176" s="1"/>
      <c r="L2176" s="1"/>
      <c r="M2176" s="1"/>
      <c r="N2176" s="1"/>
      <c r="O2176" s="1"/>
      <c r="P2176" s="1"/>
      <c r="Q2176" s="1"/>
      <c r="R2176" s="1"/>
      <c r="S2176" s="1"/>
      <c r="T2176" s="1"/>
      <c r="U2176" s="1"/>
      <c r="V2176" s="1"/>
      <c r="W2176" s="1"/>
      <c r="X2176" s="1"/>
    </row>
    <row x14ac:dyDescent="0.25" r="2177" customHeight="1" ht="18.75">
      <c r="A2177" s="1"/>
      <c r="B2177" s="1"/>
      <c r="C2177" s="3" t="s">
        <v>1861</v>
      </c>
      <c r="D2177" s="3" t="s">
        <v>2207</v>
      </c>
      <c r="E2177" s="1"/>
      <c r="F2177" s="1"/>
      <c r="G2177" s="1"/>
      <c r="H2177" s="1"/>
      <c r="I2177" s="2"/>
      <c r="J2177" s="1"/>
      <c r="K2177" s="1"/>
      <c r="L2177" s="1"/>
      <c r="M2177" s="1"/>
      <c r="N2177" s="1"/>
      <c r="O2177" s="1"/>
      <c r="P2177" s="1"/>
      <c r="Q2177" s="1"/>
      <c r="R2177" s="1"/>
      <c r="S2177" s="1"/>
      <c r="T2177" s="1"/>
      <c r="U2177" s="1"/>
      <c r="V2177" s="1"/>
      <c r="W2177" s="1"/>
      <c r="X2177" s="1"/>
    </row>
    <row x14ac:dyDescent="0.25" r="2178" customHeight="1" ht="18.75">
      <c r="A2178" s="1"/>
      <c r="B2178" s="1"/>
      <c r="C2178" s="3" t="s">
        <v>1861</v>
      </c>
      <c r="D2178" s="3" t="s">
        <v>2208</v>
      </c>
      <c r="E2178" s="1"/>
      <c r="F2178" s="1"/>
      <c r="G2178" s="1"/>
      <c r="H2178" s="1"/>
      <c r="I2178" s="2"/>
      <c r="J2178" s="1"/>
      <c r="K2178" s="1"/>
      <c r="L2178" s="1"/>
      <c r="M2178" s="1"/>
      <c r="N2178" s="1"/>
      <c r="O2178" s="1"/>
      <c r="P2178" s="1"/>
      <c r="Q2178" s="1"/>
      <c r="R2178" s="1"/>
      <c r="S2178" s="1"/>
      <c r="T2178" s="1"/>
      <c r="U2178" s="1"/>
      <c r="V2178" s="1"/>
      <c r="W2178" s="1"/>
      <c r="X2178" s="1"/>
    </row>
    <row x14ac:dyDescent="0.25" r="2179" customHeight="1" ht="18.75">
      <c r="A2179" s="1"/>
      <c r="B2179" s="1"/>
      <c r="C2179" s="3" t="s">
        <v>1861</v>
      </c>
      <c r="D2179" s="3" t="s">
        <v>2209</v>
      </c>
      <c r="E2179" s="1"/>
      <c r="F2179" s="1"/>
      <c r="G2179" s="1"/>
      <c r="H2179" s="1"/>
      <c r="I2179" s="2"/>
      <c r="J2179" s="1"/>
      <c r="K2179" s="1"/>
      <c r="L2179" s="1"/>
      <c r="M2179" s="1"/>
      <c r="N2179" s="1"/>
      <c r="O2179" s="1"/>
      <c r="P2179" s="1"/>
      <c r="Q2179" s="1"/>
      <c r="R2179" s="1"/>
      <c r="S2179" s="1"/>
      <c r="T2179" s="1"/>
      <c r="U2179" s="1"/>
      <c r="V2179" s="1"/>
      <c r="W2179" s="1"/>
      <c r="X2179" s="1"/>
    </row>
    <row x14ac:dyDescent="0.25" r="2180" customHeight="1" ht="18.75">
      <c r="A2180" s="1"/>
      <c r="B2180" s="1"/>
      <c r="C2180" s="3" t="s">
        <v>1861</v>
      </c>
      <c r="D2180" s="3" t="s">
        <v>2210</v>
      </c>
      <c r="E2180" s="1"/>
      <c r="F2180" s="1"/>
      <c r="G2180" s="1"/>
      <c r="H2180" s="1"/>
      <c r="I2180" s="2"/>
      <c r="J2180" s="1"/>
      <c r="K2180" s="1"/>
      <c r="L2180" s="1"/>
      <c r="M2180" s="1"/>
      <c r="N2180" s="1"/>
      <c r="O2180" s="1"/>
      <c r="P2180" s="1"/>
      <c r="Q2180" s="1"/>
      <c r="R2180" s="1"/>
      <c r="S2180" s="1"/>
      <c r="T2180" s="1"/>
      <c r="U2180" s="1"/>
      <c r="V2180" s="1"/>
      <c r="W2180" s="1"/>
      <c r="X2180" s="1"/>
    </row>
    <row x14ac:dyDescent="0.25" r="2181" customHeight="1" ht="18.75">
      <c r="A2181" s="1"/>
      <c r="B2181" s="1"/>
      <c r="C2181" s="3" t="s">
        <v>1861</v>
      </c>
      <c r="D2181" s="3" t="s">
        <v>2211</v>
      </c>
      <c r="E2181" s="1"/>
      <c r="F2181" s="1"/>
      <c r="G2181" s="1"/>
      <c r="H2181" s="1"/>
      <c r="I2181" s="2"/>
      <c r="J2181" s="1"/>
      <c r="K2181" s="1"/>
      <c r="L2181" s="1"/>
      <c r="M2181" s="1"/>
      <c r="N2181" s="1"/>
      <c r="O2181" s="1"/>
      <c r="P2181" s="1"/>
      <c r="Q2181" s="1"/>
      <c r="R2181" s="1"/>
      <c r="S2181" s="1"/>
      <c r="T2181" s="1"/>
      <c r="U2181" s="1"/>
      <c r="V2181" s="1"/>
      <c r="W2181" s="1"/>
      <c r="X2181" s="1"/>
    </row>
    <row x14ac:dyDescent="0.25" r="2182" customHeight="1" ht="18.75">
      <c r="A2182" s="1"/>
      <c r="B2182" s="1"/>
      <c r="C2182" s="3" t="s">
        <v>1861</v>
      </c>
      <c r="D2182" s="3" t="s">
        <v>2212</v>
      </c>
      <c r="E2182" s="1"/>
      <c r="F2182" s="1"/>
      <c r="G2182" s="1"/>
      <c r="H2182" s="1"/>
      <c r="I2182" s="2"/>
      <c r="J2182" s="1"/>
      <c r="K2182" s="1"/>
      <c r="L2182" s="1"/>
      <c r="M2182" s="1"/>
      <c r="N2182" s="1"/>
      <c r="O2182" s="1"/>
      <c r="P2182" s="1"/>
      <c r="Q2182" s="1"/>
      <c r="R2182" s="1"/>
      <c r="S2182" s="1"/>
      <c r="T2182" s="1"/>
      <c r="U2182" s="1"/>
      <c r="V2182" s="1"/>
      <c r="W2182" s="1"/>
      <c r="X2182" s="1"/>
    </row>
    <row x14ac:dyDescent="0.25" r="2183" customHeight="1" ht="18.75">
      <c r="A2183" s="1"/>
      <c r="B2183" s="1"/>
      <c r="C2183" s="3" t="s">
        <v>1861</v>
      </c>
      <c r="D2183" s="3" t="s">
        <v>2213</v>
      </c>
      <c r="E2183" s="1"/>
      <c r="F2183" s="1"/>
      <c r="G2183" s="1"/>
      <c r="H2183" s="1"/>
      <c r="I2183" s="2"/>
      <c r="J2183" s="1"/>
      <c r="K2183" s="1"/>
      <c r="L2183" s="1"/>
      <c r="M2183" s="1"/>
      <c r="N2183" s="1"/>
      <c r="O2183" s="1"/>
      <c r="P2183" s="1"/>
      <c r="Q2183" s="1"/>
      <c r="R2183" s="1"/>
      <c r="S2183" s="1"/>
      <c r="T2183" s="1"/>
      <c r="U2183" s="1"/>
      <c r="V2183" s="1"/>
      <c r="W2183" s="1"/>
      <c r="X2183" s="1"/>
    </row>
    <row x14ac:dyDescent="0.25" r="2184" customHeight="1" ht="18.75">
      <c r="A2184" s="1"/>
      <c r="B2184" s="1"/>
      <c r="C2184" s="3" t="s">
        <v>1861</v>
      </c>
      <c r="D2184" s="3" t="s">
        <v>2214</v>
      </c>
      <c r="E2184" s="1"/>
      <c r="F2184" s="1"/>
      <c r="G2184" s="1"/>
      <c r="H2184" s="1"/>
      <c r="I2184" s="2"/>
      <c r="J2184" s="1"/>
      <c r="K2184" s="1"/>
      <c r="L2184" s="1"/>
      <c r="M2184" s="1"/>
      <c r="N2184" s="1"/>
      <c r="O2184" s="1"/>
      <c r="P2184" s="1"/>
      <c r="Q2184" s="1"/>
      <c r="R2184" s="1"/>
      <c r="S2184" s="1"/>
      <c r="T2184" s="1"/>
      <c r="U2184" s="1"/>
      <c r="V2184" s="1"/>
      <c r="W2184" s="1"/>
      <c r="X2184" s="1"/>
    </row>
    <row x14ac:dyDescent="0.25" r="2185" customHeight="1" ht="18.75">
      <c r="A2185" s="1"/>
      <c r="B2185" s="1"/>
      <c r="C2185" s="3" t="s">
        <v>1861</v>
      </c>
      <c r="D2185" s="3" t="s">
        <v>2215</v>
      </c>
      <c r="E2185" s="1"/>
      <c r="F2185" s="1"/>
      <c r="G2185" s="1"/>
      <c r="H2185" s="1"/>
      <c r="I2185" s="2"/>
      <c r="J2185" s="1"/>
      <c r="K2185" s="1"/>
      <c r="L2185" s="1"/>
      <c r="M2185" s="1"/>
      <c r="N2185" s="1"/>
      <c r="O2185" s="1"/>
      <c r="P2185" s="1"/>
      <c r="Q2185" s="1"/>
      <c r="R2185" s="1"/>
      <c r="S2185" s="1"/>
      <c r="T2185" s="1"/>
      <c r="U2185" s="1"/>
      <c r="V2185" s="1"/>
      <c r="W2185" s="1"/>
      <c r="X2185" s="1"/>
    </row>
    <row x14ac:dyDescent="0.25" r="2186" customHeight="1" ht="18.75">
      <c r="A2186" s="1"/>
      <c r="B2186" s="1"/>
      <c r="C2186" s="3" t="s">
        <v>1861</v>
      </c>
      <c r="D2186" s="3" t="s">
        <v>2216</v>
      </c>
      <c r="E2186" s="1"/>
      <c r="F2186" s="1"/>
      <c r="G2186" s="1"/>
      <c r="H2186" s="1"/>
      <c r="I2186" s="2"/>
      <c r="J2186" s="1"/>
      <c r="K2186" s="1"/>
      <c r="L2186" s="1"/>
      <c r="M2186" s="1"/>
      <c r="N2186" s="1"/>
      <c r="O2186" s="1"/>
      <c r="P2186" s="1"/>
      <c r="Q2186" s="1"/>
      <c r="R2186" s="1"/>
      <c r="S2186" s="1"/>
      <c r="T2186" s="1"/>
      <c r="U2186" s="1"/>
      <c r="V2186" s="1"/>
      <c r="W2186" s="1"/>
      <c r="X2186" s="1"/>
    </row>
    <row x14ac:dyDescent="0.25" r="2187" customHeight="1" ht="18.75">
      <c r="A2187" s="1"/>
      <c r="B2187" s="1"/>
      <c r="C2187" s="3" t="s">
        <v>1861</v>
      </c>
      <c r="D2187" s="3" t="s">
        <v>2217</v>
      </c>
      <c r="E2187" s="1"/>
      <c r="F2187" s="1"/>
      <c r="G2187" s="1"/>
      <c r="H2187" s="1"/>
      <c r="I2187" s="2"/>
      <c r="J2187" s="1"/>
      <c r="K2187" s="1"/>
      <c r="L2187" s="1"/>
      <c r="M2187" s="1"/>
      <c r="N2187" s="1"/>
      <c r="O2187" s="1"/>
      <c r="P2187" s="1"/>
      <c r="Q2187" s="1"/>
      <c r="R2187" s="1"/>
      <c r="S2187" s="1"/>
      <c r="T2187" s="1"/>
      <c r="U2187" s="1"/>
      <c r="V2187" s="1"/>
      <c r="W2187" s="1"/>
      <c r="X2187" s="1"/>
    </row>
    <row x14ac:dyDescent="0.25" r="2188" customHeight="1" ht="18.75">
      <c r="A2188" s="1"/>
      <c r="B2188" s="1"/>
      <c r="C2188" s="3" t="s">
        <v>1861</v>
      </c>
      <c r="D2188" s="3" t="s">
        <v>2218</v>
      </c>
      <c r="E2188" s="1"/>
      <c r="F2188" s="1"/>
      <c r="G2188" s="1"/>
      <c r="H2188" s="1"/>
      <c r="I2188" s="2"/>
      <c r="J2188" s="1"/>
      <c r="K2188" s="1"/>
      <c r="L2188" s="1"/>
      <c r="M2188" s="1"/>
      <c r="N2188" s="1"/>
      <c r="O2188" s="1"/>
      <c r="P2188" s="1"/>
      <c r="Q2188" s="1"/>
      <c r="R2188" s="1"/>
      <c r="S2188" s="1"/>
      <c r="T2188" s="1"/>
      <c r="U2188" s="1"/>
      <c r="V2188" s="1"/>
      <c r="W2188" s="1"/>
      <c r="X2188" s="1"/>
    </row>
    <row x14ac:dyDescent="0.25" r="2189" customHeight="1" ht="18.75">
      <c r="A2189" s="1"/>
      <c r="B2189" s="1"/>
      <c r="C2189" s="3" t="s">
        <v>1861</v>
      </c>
      <c r="D2189" s="3" t="s">
        <v>2219</v>
      </c>
      <c r="E2189" s="1"/>
      <c r="F2189" s="1"/>
      <c r="G2189" s="1"/>
      <c r="H2189" s="1"/>
      <c r="I2189" s="2"/>
      <c r="J2189" s="1"/>
      <c r="K2189" s="1"/>
      <c r="L2189" s="1"/>
      <c r="M2189" s="1"/>
      <c r="N2189" s="1"/>
      <c r="O2189" s="1"/>
      <c r="P2189" s="1"/>
      <c r="Q2189" s="1"/>
      <c r="R2189" s="1"/>
      <c r="S2189" s="1"/>
      <c r="T2189" s="1"/>
      <c r="U2189" s="1"/>
      <c r="V2189" s="1"/>
      <c r="W2189" s="1"/>
      <c r="X2189" s="1"/>
    </row>
    <row x14ac:dyDescent="0.25" r="2190" customHeight="1" ht="18.75">
      <c r="A2190" s="1"/>
      <c r="B2190" s="1"/>
      <c r="C2190" s="3" t="s">
        <v>1861</v>
      </c>
      <c r="D2190" s="3" t="s">
        <v>2220</v>
      </c>
      <c r="E2190" s="1"/>
      <c r="F2190" s="1"/>
      <c r="G2190" s="1"/>
      <c r="H2190" s="1"/>
      <c r="I2190" s="2"/>
      <c r="J2190" s="1"/>
      <c r="K2190" s="1"/>
      <c r="L2190" s="1"/>
      <c r="M2190" s="1"/>
      <c r="N2190" s="1"/>
      <c r="O2190" s="1"/>
      <c r="P2190" s="1"/>
      <c r="Q2190" s="1"/>
      <c r="R2190" s="1"/>
      <c r="S2190" s="1"/>
      <c r="T2190" s="1"/>
      <c r="U2190" s="1"/>
      <c r="V2190" s="1"/>
      <c r="W2190" s="1"/>
      <c r="X2190" s="1"/>
    </row>
    <row x14ac:dyDescent="0.25" r="2191" customHeight="1" ht="18.75">
      <c r="A2191" s="1"/>
      <c r="B2191" s="1"/>
      <c r="C2191" s="3" t="s">
        <v>1861</v>
      </c>
      <c r="D2191" s="3" t="s">
        <v>2221</v>
      </c>
      <c r="E2191" s="1"/>
      <c r="F2191" s="1"/>
      <c r="G2191" s="1"/>
      <c r="H2191" s="1"/>
      <c r="I2191" s="2"/>
      <c r="J2191" s="1"/>
      <c r="K2191" s="1"/>
      <c r="L2191" s="1"/>
      <c r="M2191" s="1"/>
      <c r="N2191" s="1"/>
      <c r="O2191" s="1"/>
      <c r="P2191" s="1"/>
      <c r="Q2191" s="1"/>
      <c r="R2191" s="1"/>
      <c r="S2191" s="1"/>
      <c r="T2191" s="1"/>
      <c r="U2191" s="1"/>
      <c r="V2191" s="1"/>
      <c r="W2191" s="1"/>
      <c r="X2191" s="1"/>
    </row>
    <row x14ac:dyDescent="0.25" r="2192" customHeight="1" ht="18.75">
      <c r="A2192" s="1"/>
      <c r="B2192" s="1"/>
      <c r="C2192" s="3" t="s">
        <v>1861</v>
      </c>
      <c r="D2192" s="3" t="s">
        <v>2222</v>
      </c>
      <c r="E2192" s="1"/>
      <c r="F2192" s="1"/>
      <c r="G2192" s="1"/>
      <c r="H2192" s="1"/>
      <c r="I2192" s="2"/>
      <c r="J2192" s="1"/>
      <c r="K2192" s="1"/>
      <c r="L2192" s="1"/>
      <c r="M2192" s="1"/>
      <c r="N2192" s="1"/>
      <c r="O2192" s="1"/>
      <c r="P2192" s="1"/>
      <c r="Q2192" s="1"/>
      <c r="R2192" s="1"/>
      <c r="S2192" s="1"/>
      <c r="T2192" s="1"/>
      <c r="U2192" s="1"/>
      <c r="V2192" s="1"/>
      <c r="W2192" s="1"/>
      <c r="X2192" s="1"/>
    </row>
    <row x14ac:dyDescent="0.25" r="2193" customHeight="1" ht="18.75">
      <c r="A2193" s="1"/>
      <c r="B2193" s="1"/>
      <c r="C2193" s="3" t="s">
        <v>1861</v>
      </c>
      <c r="D2193" s="3" t="s">
        <v>2223</v>
      </c>
      <c r="E2193" s="1"/>
      <c r="F2193" s="1"/>
      <c r="G2193" s="1"/>
      <c r="H2193" s="1"/>
      <c r="I2193" s="2"/>
      <c r="J2193" s="1"/>
      <c r="K2193" s="1"/>
      <c r="L2193" s="1"/>
      <c r="M2193" s="1"/>
      <c r="N2193" s="1"/>
      <c r="O2193" s="1"/>
      <c r="P2193" s="1"/>
      <c r="Q2193" s="1"/>
      <c r="R2193" s="1"/>
      <c r="S2193" s="1"/>
      <c r="T2193" s="1"/>
      <c r="U2193" s="1"/>
      <c r="V2193" s="1"/>
      <c r="W2193" s="1"/>
      <c r="X2193" s="1"/>
    </row>
    <row x14ac:dyDescent="0.25" r="2194" customHeight="1" ht="18.75">
      <c r="A2194" s="1"/>
      <c r="B2194" s="1"/>
      <c r="C2194" s="3" t="s">
        <v>1861</v>
      </c>
      <c r="D2194" s="3" t="s">
        <v>2224</v>
      </c>
      <c r="E2194" s="1"/>
      <c r="F2194" s="1"/>
      <c r="G2194" s="1"/>
      <c r="H2194" s="1"/>
      <c r="I2194" s="2"/>
      <c r="J2194" s="1"/>
      <c r="K2194" s="1"/>
      <c r="L2194" s="1"/>
      <c r="M2194" s="1"/>
      <c r="N2194" s="1"/>
      <c r="O2194" s="1"/>
      <c r="P2194" s="1"/>
      <c r="Q2194" s="1"/>
      <c r="R2194" s="1"/>
      <c r="S2194" s="1"/>
      <c r="T2194" s="1"/>
      <c r="U2194" s="1"/>
      <c r="V2194" s="1"/>
      <c r="W2194" s="1"/>
      <c r="X2194" s="1"/>
    </row>
    <row x14ac:dyDescent="0.25" r="2195" customHeight="1" ht="18.75">
      <c r="A2195" s="1"/>
      <c r="B2195" s="1"/>
      <c r="C2195" s="3" t="s">
        <v>1861</v>
      </c>
      <c r="D2195" s="3" t="s">
        <v>2225</v>
      </c>
      <c r="E2195" s="1"/>
      <c r="F2195" s="1"/>
      <c r="G2195" s="1"/>
      <c r="H2195" s="1"/>
      <c r="I2195" s="2"/>
      <c r="J2195" s="1"/>
      <c r="K2195" s="1"/>
      <c r="L2195" s="1"/>
      <c r="M2195" s="1"/>
      <c r="N2195" s="1"/>
      <c r="O2195" s="1"/>
      <c r="P2195" s="1"/>
      <c r="Q2195" s="1"/>
      <c r="R2195" s="1"/>
      <c r="S2195" s="1"/>
      <c r="T2195" s="1"/>
      <c r="U2195" s="1"/>
      <c r="V2195" s="1"/>
      <c r="W2195" s="1"/>
      <c r="X2195" s="1"/>
    </row>
    <row x14ac:dyDescent="0.25" r="2196" customHeight="1" ht="18.75">
      <c r="A2196" s="1"/>
      <c r="B2196" s="1"/>
      <c r="C2196" s="3" t="s">
        <v>1861</v>
      </c>
      <c r="D2196" s="3" t="s">
        <v>2226</v>
      </c>
      <c r="E2196" s="1"/>
      <c r="F2196" s="1"/>
      <c r="G2196" s="1"/>
      <c r="H2196" s="1"/>
      <c r="I2196" s="2"/>
      <c r="J2196" s="1"/>
      <c r="K2196" s="1"/>
      <c r="L2196" s="1"/>
      <c r="M2196" s="1"/>
      <c r="N2196" s="1"/>
      <c r="O2196" s="1"/>
      <c r="P2196" s="1"/>
      <c r="Q2196" s="1"/>
      <c r="R2196" s="1"/>
      <c r="S2196" s="1"/>
      <c r="T2196" s="1"/>
      <c r="U2196" s="1"/>
      <c r="V2196" s="1"/>
      <c r="W2196" s="1"/>
      <c r="X2196" s="1"/>
    </row>
    <row x14ac:dyDescent="0.25" r="2197" customHeight="1" ht="18.75">
      <c r="A2197" s="1"/>
      <c r="B2197" s="1"/>
      <c r="C2197" s="3" t="s">
        <v>1861</v>
      </c>
      <c r="D2197" s="3" t="s">
        <v>2227</v>
      </c>
      <c r="E2197" s="1"/>
      <c r="F2197" s="1"/>
      <c r="G2197" s="1"/>
      <c r="H2197" s="1"/>
      <c r="I2197" s="2"/>
      <c r="J2197" s="1"/>
      <c r="K2197" s="1"/>
      <c r="L2197" s="1"/>
      <c r="M2197" s="1"/>
      <c r="N2197" s="1"/>
      <c r="O2197" s="1"/>
      <c r="P2197" s="1"/>
      <c r="Q2197" s="1"/>
      <c r="R2197" s="1"/>
      <c r="S2197" s="1"/>
      <c r="T2197" s="1"/>
      <c r="U2197" s="1"/>
      <c r="V2197" s="1"/>
      <c r="W2197" s="1"/>
      <c r="X2197" s="1"/>
    </row>
    <row x14ac:dyDescent="0.25" r="2198" customHeight="1" ht="18.75">
      <c r="A2198" s="1"/>
      <c r="B2198" s="1"/>
      <c r="C2198" s="3" t="s">
        <v>1861</v>
      </c>
      <c r="D2198" s="3" t="s">
        <v>2228</v>
      </c>
      <c r="E2198" s="1"/>
      <c r="F2198" s="1"/>
      <c r="G2198" s="1"/>
      <c r="H2198" s="1"/>
      <c r="I2198" s="2"/>
      <c r="J2198" s="1"/>
      <c r="K2198" s="1"/>
      <c r="L2198" s="1"/>
      <c r="M2198" s="1"/>
      <c r="N2198" s="1"/>
      <c r="O2198" s="1"/>
      <c r="P2198" s="1"/>
      <c r="Q2198" s="1"/>
      <c r="R2198" s="1"/>
      <c r="S2198" s="1"/>
      <c r="T2198" s="1"/>
      <c r="U2198" s="1"/>
      <c r="V2198" s="1"/>
      <c r="W2198" s="1"/>
      <c r="X2198" s="1"/>
    </row>
    <row x14ac:dyDescent="0.25" r="2199" customHeight="1" ht="18.75">
      <c r="A2199" s="1"/>
      <c r="B2199" s="1"/>
      <c r="C2199" s="3" t="s">
        <v>1861</v>
      </c>
      <c r="D2199" s="3" t="s">
        <v>2229</v>
      </c>
      <c r="E2199" s="1"/>
      <c r="F2199" s="1"/>
      <c r="G2199" s="1"/>
      <c r="H2199" s="1"/>
      <c r="I2199" s="2"/>
      <c r="J2199" s="1"/>
      <c r="K2199" s="1"/>
      <c r="L2199" s="1"/>
      <c r="M2199" s="1"/>
      <c r="N2199" s="1"/>
      <c r="O2199" s="1"/>
      <c r="P2199" s="1"/>
      <c r="Q2199" s="1"/>
      <c r="R2199" s="1"/>
      <c r="S2199" s="1"/>
      <c r="T2199" s="1"/>
      <c r="U2199" s="1"/>
      <c r="V2199" s="1"/>
      <c r="W2199" s="1"/>
      <c r="X2199" s="1"/>
    </row>
    <row x14ac:dyDescent="0.25" r="2200" customHeight="1" ht="18.75">
      <c r="A2200" s="1"/>
      <c r="B2200" s="1"/>
      <c r="C2200" s="3" t="s">
        <v>1861</v>
      </c>
      <c r="D2200" s="3" t="s">
        <v>2230</v>
      </c>
      <c r="E2200" s="1"/>
      <c r="F2200" s="1"/>
      <c r="G2200" s="1"/>
      <c r="H2200" s="1"/>
      <c r="I2200" s="2"/>
      <c r="J2200" s="1"/>
      <c r="K2200" s="1"/>
      <c r="L2200" s="1"/>
      <c r="M2200" s="1"/>
      <c r="N2200" s="1"/>
      <c r="O2200" s="1"/>
      <c r="P2200" s="1"/>
      <c r="Q2200" s="1"/>
      <c r="R2200" s="1"/>
      <c r="S2200" s="1"/>
      <c r="T2200" s="1"/>
      <c r="U2200" s="1"/>
      <c r="V2200" s="1"/>
      <c r="W2200" s="1"/>
      <c r="X2200" s="1"/>
    </row>
    <row x14ac:dyDescent="0.25" r="2201" customHeight="1" ht="18.75">
      <c r="A2201" s="1"/>
      <c r="B2201" s="1"/>
      <c r="C2201" s="3" t="s">
        <v>1861</v>
      </c>
      <c r="D2201" s="3" t="s">
        <v>2231</v>
      </c>
      <c r="E2201" s="1"/>
      <c r="F2201" s="1"/>
      <c r="G2201" s="1"/>
      <c r="H2201" s="1"/>
      <c r="I2201" s="2"/>
      <c r="J2201" s="1"/>
      <c r="K2201" s="1"/>
      <c r="L2201" s="1"/>
      <c r="M2201" s="1"/>
      <c r="N2201" s="1"/>
      <c r="O2201" s="1"/>
      <c r="P2201" s="1"/>
      <c r="Q2201" s="1"/>
      <c r="R2201" s="1"/>
      <c r="S2201" s="1"/>
      <c r="T2201" s="1"/>
      <c r="U2201" s="1"/>
      <c r="V2201" s="1"/>
      <c r="W2201" s="1"/>
      <c r="X2201" s="1"/>
    </row>
    <row x14ac:dyDescent="0.25" r="2202" customHeight="1" ht="18.75">
      <c r="A2202" s="1"/>
      <c r="B2202" s="1"/>
      <c r="C2202" s="3" t="s">
        <v>1861</v>
      </c>
      <c r="D2202" s="3" t="s">
        <v>2232</v>
      </c>
      <c r="E2202" s="1"/>
      <c r="F2202" s="1"/>
      <c r="G2202" s="1"/>
      <c r="H2202" s="1"/>
      <c r="I2202" s="2"/>
      <c r="J2202" s="1"/>
      <c r="K2202" s="1"/>
      <c r="L2202" s="1"/>
      <c r="M2202" s="1"/>
      <c r="N2202" s="1"/>
      <c r="O2202" s="1"/>
      <c r="P2202" s="1"/>
      <c r="Q2202" s="1"/>
      <c r="R2202" s="1"/>
      <c r="S2202" s="1"/>
      <c r="T2202" s="1"/>
      <c r="U2202" s="1"/>
      <c r="V2202" s="1"/>
      <c r="W2202" s="1"/>
      <c r="X2202" s="1"/>
    </row>
    <row x14ac:dyDescent="0.25" r="2203" customHeight="1" ht="18.75">
      <c r="A2203" s="1"/>
      <c r="B2203" s="1"/>
      <c r="C2203" s="3" t="s">
        <v>1861</v>
      </c>
      <c r="D2203" s="3" t="s">
        <v>2233</v>
      </c>
      <c r="E2203" s="1"/>
      <c r="F2203" s="1"/>
      <c r="G2203" s="1"/>
      <c r="H2203" s="1"/>
      <c r="I2203" s="2"/>
      <c r="J2203" s="1"/>
      <c r="K2203" s="1"/>
      <c r="L2203" s="1"/>
      <c r="M2203" s="1"/>
      <c r="N2203" s="1"/>
      <c r="O2203" s="1"/>
      <c r="P2203" s="1"/>
      <c r="Q2203" s="1"/>
      <c r="R2203" s="1"/>
      <c r="S2203" s="1"/>
      <c r="T2203" s="1"/>
      <c r="U2203" s="1"/>
      <c r="V2203" s="1"/>
      <c r="W2203" s="1"/>
      <c r="X2203" s="1"/>
    </row>
    <row x14ac:dyDescent="0.25" r="2204" customHeight="1" ht="18.75">
      <c r="A2204" s="1"/>
      <c r="B2204" s="1"/>
      <c r="C2204" s="3" t="s">
        <v>1861</v>
      </c>
      <c r="D2204" s="3" t="s">
        <v>2234</v>
      </c>
      <c r="E2204" s="1"/>
      <c r="F2204" s="1"/>
      <c r="G2204" s="1"/>
      <c r="H2204" s="1"/>
      <c r="I2204" s="2"/>
      <c r="J2204" s="1"/>
      <c r="K2204" s="1"/>
      <c r="L2204" s="1"/>
      <c r="M2204" s="1"/>
      <c r="N2204" s="1"/>
      <c r="O2204" s="1"/>
      <c r="P2204" s="1"/>
      <c r="Q2204" s="1"/>
      <c r="R2204" s="1"/>
      <c r="S2204" s="1"/>
      <c r="T2204" s="1"/>
      <c r="U2204" s="1"/>
      <c r="V2204" s="1"/>
      <c r="W2204" s="1"/>
      <c r="X2204" s="1"/>
    </row>
    <row x14ac:dyDescent="0.25" r="2205" customHeight="1" ht="18.75">
      <c r="A2205" s="1"/>
      <c r="B2205" s="1"/>
      <c r="C2205" s="3" t="s">
        <v>1861</v>
      </c>
      <c r="D2205" s="3" t="s">
        <v>2235</v>
      </c>
      <c r="E2205" s="1"/>
      <c r="F2205" s="1"/>
      <c r="G2205" s="1"/>
      <c r="H2205" s="1"/>
      <c r="I2205" s="2"/>
      <c r="J2205" s="1"/>
      <c r="K2205" s="1"/>
      <c r="L2205" s="1"/>
      <c r="M2205" s="1"/>
      <c r="N2205" s="1"/>
      <c r="O2205" s="1"/>
      <c r="P2205" s="1"/>
      <c r="Q2205" s="1"/>
      <c r="R2205" s="1"/>
      <c r="S2205" s="1"/>
      <c r="T2205" s="1"/>
      <c r="U2205" s="1"/>
      <c r="V2205" s="1"/>
      <c r="W2205" s="1"/>
      <c r="X2205" s="1"/>
    </row>
    <row x14ac:dyDescent="0.25" r="2206" customHeight="1" ht="18.75">
      <c r="A2206" s="1"/>
      <c r="B2206" s="1"/>
      <c r="C2206" s="3" t="s">
        <v>1861</v>
      </c>
      <c r="D2206" s="3" t="s">
        <v>2236</v>
      </c>
      <c r="E2206" s="1"/>
      <c r="F2206" s="1"/>
      <c r="G2206" s="1"/>
      <c r="H2206" s="1"/>
      <c r="I2206" s="2"/>
      <c r="J2206" s="1"/>
      <c r="K2206" s="1"/>
      <c r="L2206" s="1"/>
      <c r="M2206" s="1"/>
      <c r="N2206" s="1"/>
      <c r="O2206" s="1"/>
      <c r="P2206" s="1"/>
      <c r="Q2206" s="1"/>
      <c r="R2206" s="1"/>
      <c r="S2206" s="1"/>
      <c r="T2206" s="1"/>
      <c r="U2206" s="1"/>
      <c r="V2206" s="1"/>
      <c r="W2206" s="1"/>
      <c r="X2206" s="1"/>
    </row>
    <row x14ac:dyDescent="0.25" r="2207" customHeight="1" ht="18.75">
      <c r="A2207" s="1"/>
      <c r="B2207" s="1"/>
      <c r="C2207" s="3" t="s">
        <v>1861</v>
      </c>
      <c r="D2207" s="3" t="s">
        <v>2237</v>
      </c>
      <c r="E2207" s="1"/>
      <c r="F2207" s="1"/>
      <c r="G2207" s="1"/>
      <c r="H2207" s="1"/>
      <c r="I2207" s="2"/>
      <c r="J2207" s="1"/>
      <c r="K2207" s="1"/>
      <c r="L2207" s="1"/>
      <c r="M2207" s="1"/>
      <c r="N2207" s="1"/>
      <c r="O2207" s="1"/>
      <c r="P2207" s="1"/>
      <c r="Q2207" s="1"/>
      <c r="R2207" s="1"/>
      <c r="S2207" s="1"/>
      <c r="T2207" s="1"/>
      <c r="U2207" s="1"/>
      <c r="V2207" s="1"/>
      <c r="W2207" s="1"/>
      <c r="X2207" s="1"/>
    </row>
    <row x14ac:dyDescent="0.25" r="2208" customHeight="1" ht="18.75">
      <c r="A2208" s="1"/>
      <c r="B2208" s="1"/>
      <c r="C2208" s="3" t="s">
        <v>1861</v>
      </c>
      <c r="D2208" s="3" t="s">
        <v>2238</v>
      </c>
      <c r="E2208" s="1"/>
      <c r="F2208" s="1"/>
      <c r="G2208" s="1"/>
      <c r="H2208" s="1"/>
      <c r="I2208" s="2"/>
      <c r="J2208" s="1"/>
      <c r="K2208" s="1"/>
      <c r="L2208" s="1"/>
      <c r="M2208" s="1"/>
      <c r="N2208" s="1"/>
      <c r="O2208" s="1"/>
      <c r="P2208" s="1"/>
      <c r="Q2208" s="1"/>
      <c r="R2208" s="1"/>
      <c r="S2208" s="1"/>
      <c r="T2208" s="1"/>
      <c r="U2208" s="1"/>
      <c r="V2208" s="1"/>
      <c r="W2208" s="1"/>
      <c r="X2208" s="1"/>
    </row>
    <row x14ac:dyDescent="0.25" r="2209" customHeight="1" ht="18.75">
      <c r="A2209" s="1"/>
      <c r="B2209" s="1"/>
      <c r="C2209" s="3" t="s">
        <v>1861</v>
      </c>
      <c r="D2209" s="3" t="s">
        <v>2239</v>
      </c>
      <c r="E2209" s="1"/>
      <c r="F2209" s="1"/>
      <c r="G2209" s="1"/>
      <c r="H2209" s="1"/>
      <c r="I2209" s="2"/>
      <c r="J2209" s="1"/>
      <c r="K2209" s="1"/>
      <c r="L2209" s="1"/>
      <c r="M2209" s="1"/>
      <c r="N2209" s="1"/>
      <c r="O2209" s="1"/>
      <c r="P2209" s="1"/>
      <c r="Q2209" s="1"/>
      <c r="R2209" s="1"/>
      <c r="S2209" s="1"/>
      <c r="T2209" s="1"/>
      <c r="U2209" s="1"/>
      <c r="V2209" s="1"/>
      <c r="W2209" s="1"/>
      <c r="X2209" s="1"/>
    </row>
    <row x14ac:dyDescent="0.25" r="2210" customHeight="1" ht="18.75">
      <c r="A2210" s="1"/>
      <c r="B2210" s="1"/>
      <c r="C2210" s="3" t="s">
        <v>1861</v>
      </c>
      <c r="D2210" s="3" t="s">
        <v>2240</v>
      </c>
      <c r="E2210" s="1"/>
      <c r="F2210" s="1"/>
      <c r="G2210" s="1"/>
      <c r="H2210" s="1"/>
      <c r="I2210" s="2"/>
      <c r="J2210" s="1"/>
      <c r="K2210" s="1"/>
      <c r="L2210" s="1"/>
      <c r="M2210" s="1"/>
      <c r="N2210" s="1"/>
      <c r="O2210" s="1"/>
      <c r="P2210" s="1"/>
      <c r="Q2210" s="1"/>
      <c r="R2210" s="1"/>
      <c r="S2210" s="1"/>
      <c r="T2210" s="1"/>
      <c r="U2210" s="1"/>
      <c r="V2210" s="1"/>
      <c r="W2210" s="1"/>
      <c r="X2210" s="1"/>
    </row>
    <row x14ac:dyDescent="0.25" r="2211" customHeight="1" ht="18.75">
      <c r="A2211" s="1"/>
      <c r="B2211" s="1"/>
      <c r="C2211" s="3" t="s">
        <v>1861</v>
      </c>
      <c r="D2211" s="3" t="s">
        <v>2241</v>
      </c>
      <c r="E2211" s="1"/>
      <c r="F2211" s="1"/>
      <c r="G2211" s="1"/>
      <c r="H2211" s="1"/>
      <c r="I2211" s="2"/>
      <c r="J2211" s="1"/>
      <c r="K2211" s="1"/>
      <c r="L2211" s="1"/>
      <c r="M2211" s="1"/>
      <c r="N2211" s="1"/>
      <c r="O2211" s="1"/>
      <c r="P2211" s="1"/>
      <c r="Q2211" s="1"/>
      <c r="R2211" s="1"/>
      <c r="S2211" s="1"/>
      <c r="T2211" s="1"/>
      <c r="U2211" s="1"/>
      <c r="V2211" s="1"/>
      <c r="W2211" s="1"/>
      <c r="X2211" s="1"/>
    </row>
    <row x14ac:dyDescent="0.25" r="2212" customHeight="1" ht="18.75">
      <c r="A2212" s="1"/>
      <c r="B2212" s="1"/>
      <c r="C2212" s="3" t="s">
        <v>1861</v>
      </c>
      <c r="D2212" s="3" t="s">
        <v>2242</v>
      </c>
      <c r="E2212" s="1"/>
      <c r="F2212" s="1"/>
      <c r="G2212" s="1"/>
      <c r="H2212" s="1"/>
      <c r="I2212" s="2"/>
      <c r="J2212" s="1"/>
      <c r="K2212" s="1"/>
      <c r="L2212" s="1"/>
      <c r="M2212" s="1"/>
      <c r="N2212" s="1"/>
      <c r="O2212" s="1"/>
      <c r="P2212" s="1"/>
      <c r="Q2212" s="1"/>
      <c r="R2212" s="1"/>
      <c r="S2212" s="1"/>
      <c r="T2212" s="1"/>
      <c r="U2212" s="1"/>
      <c r="V2212" s="1"/>
      <c r="W2212" s="1"/>
      <c r="X2212" s="1"/>
    </row>
    <row x14ac:dyDescent="0.25" r="2213" customHeight="1" ht="18.75">
      <c r="A2213" s="1"/>
      <c r="B2213" s="1"/>
      <c r="C2213" s="3" t="s">
        <v>1861</v>
      </c>
      <c r="D2213" s="3" t="s">
        <v>2243</v>
      </c>
      <c r="E2213" s="1"/>
      <c r="F2213" s="1"/>
      <c r="G2213" s="1"/>
      <c r="H2213" s="1"/>
      <c r="I2213" s="2"/>
      <c r="J2213" s="1"/>
      <c r="K2213" s="1"/>
      <c r="L2213" s="1"/>
      <c r="M2213" s="1"/>
      <c r="N2213" s="1"/>
      <c r="O2213" s="1"/>
      <c r="P2213" s="1"/>
      <c r="Q2213" s="1"/>
      <c r="R2213" s="1"/>
      <c r="S2213" s="1"/>
      <c r="T2213" s="1"/>
      <c r="U2213" s="1"/>
      <c r="V2213" s="1"/>
      <c r="W2213" s="1"/>
      <c r="X2213" s="1"/>
    </row>
    <row x14ac:dyDescent="0.25" r="2214" customHeight="1" ht="18.75">
      <c r="A2214" s="1"/>
      <c r="B2214" s="1"/>
      <c r="C2214" s="3" t="s">
        <v>1861</v>
      </c>
      <c r="D2214" s="3" t="s">
        <v>2244</v>
      </c>
      <c r="E2214" s="1"/>
      <c r="F2214" s="1"/>
      <c r="G2214" s="1"/>
      <c r="H2214" s="1"/>
      <c r="I2214" s="2"/>
      <c r="J2214" s="1"/>
      <c r="K2214" s="1"/>
      <c r="L2214" s="1"/>
      <c r="M2214" s="1"/>
      <c r="N2214" s="1"/>
      <c r="O2214" s="1"/>
      <c r="P2214" s="1"/>
      <c r="Q2214" s="1"/>
      <c r="R2214" s="1"/>
      <c r="S2214" s="1"/>
      <c r="T2214" s="1"/>
      <c r="U2214" s="1"/>
      <c r="V2214" s="1"/>
      <c r="W2214" s="1"/>
      <c r="X2214" s="1"/>
    </row>
    <row x14ac:dyDescent="0.25" r="2215" customHeight="1" ht="18.75">
      <c r="A2215" s="1"/>
      <c r="B2215" s="1"/>
      <c r="C2215" s="3" t="s">
        <v>1861</v>
      </c>
      <c r="D2215" s="3" t="s">
        <v>2245</v>
      </c>
      <c r="E2215" s="1"/>
      <c r="F2215" s="1"/>
      <c r="G2215" s="1"/>
      <c r="H2215" s="1"/>
      <c r="I2215" s="2"/>
      <c r="J2215" s="1"/>
      <c r="K2215" s="1"/>
      <c r="L2215" s="1"/>
      <c r="M2215" s="1"/>
      <c r="N2215" s="1"/>
      <c r="O2215" s="1"/>
      <c r="P2215" s="1"/>
      <c r="Q2215" s="1"/>
      <c r="R2215" s="1"/>
      <c r="S2215" s="1"/>
      <c r="T2215" s="1"/>
      <c r="U2215" s="1"/>
      <c r="V2215" s="1"/>
      <c r="W2215" s="1"/>
      <c r="X2215" s="1"/>
    </row>
    <row x14ac:dyDescent="0.25" r="2216" customHeight="1" ht="18.75">
      <c r="A2216" s="1"/>
      <c r="B2216" s="1"/>
      <c r="C2216" s="3" t="s">
        <v>1861</v>
      </c>
      <c r="D2216" s="3" t="s">
        <v>2246</v>
      </c>
      <c r="E2216" s="1"/>
      <c r="F2216" s="1"/>
      <c r="G2216" s="1"/>
      <c r="H2216" s="1"/>
      <c r="I2216" s="2"/>
      <c r="J2216" s="1"/>
      <c r="K2216" s="1"/>
      <c r="L2216" s="1"/>
      <c r="M2216" s="1"/>
      <c r="N2216" s="1"/>
      <c r="O2216" s="1"/>
      <c r="P2216" s="1"/>
      <c r="Q2216" s="1"/>
      <c r="R2216" s="1"/>
      <c r="S2216" s="1"/>
      <c r="T2216" s="1"/>
      <c r="U2216" s="1"/>
      <c r="V2216" s="1"/>
      <c r="W2216" s="1"/>
      <c r="X2216" s="1"/>
    </row>
    <row x14ac:dyDescent="0.25" r="2217" customHeight="1" ht="18.75">
      <c r="A2217" s="1"/>
      <c r="B2217" s="1"/>
      <c r="C2217" s="3" t="s">
        <v>1861</v>
      </c>
      <c r="D2217" s="3" t="s">
        <v>2247</v>
      </c>
      <c r="E2217" s="1"/>
      <c r="F2217" s="1"/>
      <c r="G2217" s="1"/>
      <c r="H2217" s="1"/>
      <c r="I2217" s="2"/>
      <c r="J2217" s="1"/>
      <c r="K2217" s="1"/>
      <c r="L2217" s="1"/>
      <c r="M2217" s="1"/>
      <c r="N2217" s="1"/>
      <c r="O2217" s="1"/>
      <c r="P2217" s="1"/>
      <c r="Q2217" s="1"/>
      <c r="R2217" s="1"/>
      <c r="S2217" s="1"/>
      <c r="T2217" s="1"/>
      <c r="U2217" s="1"/>
      <c r="V2217" s="1"/>
      <c r="W2217" s="1"/>
      <c r="X2217" s="1"/>
    </row>
    <row x14ac:dyDescent="0.25" r="2218" customHeight="1" ht="18.75">
      <c r="A2218" s="1"/>
      <c r="B2218" s="1"/>
      <c r="C2218" s="3" t="s">
        <v>1861</v>
      </c>
      <c r="D2218" s="3" t="s">
        <v>2248</v>
      </c>
      <c r="E2218" s="1"/>
      <c r="F2218" s="1"/>
      <c r="G2218" s="1"/>
      <c r="H2218" s="1"/>
      <c r="I2218" s="2"/>
      <c r="J2218" s="1"/>
      <c r="K2218" s="1"/>
      <c r="L2218" s="1"/>
      <c r="M2218" s="1"/>
      <c r="N2218" s="1"/>
      <c r="O2218" s="1"/>
      <c r="P2218" s="1"/>
      <c r="Q2218" s="1"/>
      <c r="R2218" s="1"/>
      <c r="S2218" s="1"/>
      <c r="T2218" s="1"/>
      <c r="U2218" s="1"/>
      <c r="V2218" s="1"/>
      <c r="W2218" s="1"/>
      <c r="X2218" s="1"/>
    </row>
    <row x14ac:dyDescent="0.25" r="2219" customHeight="1" ht="18.75">
      <c r="A2219" s="1"/>
      <c r="B2219" s="1"/>
      <c r="C2219" s="3" t="s">
        <v>1861</v>
      </c>
      <c r="D2219" s="3" t="s">
        <v>2249</v>
      </c>
      <c r="E2219" s="1"/>
      <c r="F2219" s="1"/>
      <c r="G2219" s="1"/>
      <c r="H2219" s="1"/>
      <c r="I2219" s="2"/>
      <c r="J2219" s="1"/>
      <c r="K2219" s="1"/>
      <c r="L2219" s="1"/>
      <c r="M2219" s="1"/>
      <c r="N2219" s="1"/>
      <c r="O2219" s="1"/>
      <c r="P2219" s="1"/>
      <c r="Q2219" s="1"/>
      <c r="R2219" s="1"/>
      <c r="S2219" s="1"/>
      <c r="T2219" s="1"/>
      <c r="U2219" s="1"/>
      <c r="V2219" s="1"/>
      <c r="W2219" s="1"/>
      <c r="X2219" s="1"/>
    </row>
    <row x14ac:dyDescent="0.25" r="2220" customHeight="1" ht="18.75">
      <c r="A2220" s="1"/>
      <c r="B2220" s="1"/>
      <c r="C2220" s="3" t="s">
        <v>1861</v>
      </c>
      <c r="D2220" s="3" t="s">
        <v>2250</v>
      </c>
      <c r="E2220" s="1"/>
      <c r="F2220" s="1"/>
      <c r="G2220" s="1"/>
      <c r="H2220" s="1"/>
      <c r="I2220" s="2"/>
      <c r="J2220" s="1"/>
      <c r="K2220" s="1"/>
      <c r="L2220" s="1"/>
      <c r="M2220" s="1"/>
      <c r="N2220" s="1"/>
      <c r="O2220" s="1"/>
      <c r="P2220" s="1"/>
      <c r="Q2220" s="1"/>
      <c r="R2220" s="1"/>
      <c r="S2220" s="1"/>
      <c r="T2220" s="1"/>
      <c r="U2220" s="1"/>
      <c r="V2220" s="1"/>
      <c r="W2220" s="1"/>
      <c r="X2220" s="1"/>
    </row>
    <row x14ac:dyDescent="0.25" r="2221" customHeight="1" ht="18.75">
      <c r="A2221" s="1"/>
      <c r="B2221" s="1"/>
      <c r="C2221" s="3" t="s">
        <v>1861</v>
      </c>
      <c r="D2221" s="3" t="s">
        <v>2251</v>
      </c>
      <c r="E2221" s="1"/>
      <c r="F2221" s="1"/>
      <c r="G2221" s="1"/>
      <c r="H2221" s="1"/>
      <c r="I2221" s="2"/>
      <c r="J2221" s="1"/>
      <c r="K2221" s="1"/>
      <c r="L2221" s="1"/>
      <c r="M2221" s="1"/>
      <c r="N2221" s="1"/>
      <c r="O2221" s="1"/>
      <c r="P2221" s="1"/>
      <c r="Q2221" s="1"/>
      <c r="R2221" s="1"/>
      <c r="S2221" s="1"/>
      <c r="T2221" s="1"/>
      <c r="U2221" s="1"/>
      <c r="V2221" s="1"/>
      <c r="W2221" s="1"/>
      <c r="X2221" s="1"/>
    </row>
    <row x14ac:dyDescent="0.25" r="2222" customHeight="1" ht="18.75">
      <c r="A2222" s="1"/>
      <c r="B2222" s="1"/>
      <c r="C2222" s="3" t="s">
        <v>1861</v>
      </c>
      <c r="D2222" s="3" t="s">
        <v>2252</v>
      </c>
      <c r="E2222" s="1"/>
      <c r="F2222" s="1"/>
      <c r="G2222" s="1"/>
      <c r="H2222" s="1"/>
      <c r="I2222" s="2"/>
      <c r="J2222" s="1"/>
      <c r="K2222" s="1"/>
      <c r="L2222" s="1"/>
      <c r="M2222" s="1"/>
      <c r="N2222" s="1"/>
      <c r="O2222" s="1"/>
      <c r="P2222" s="1"/>
      <c r="Q2222" s="1"/>
      <c r="R2222" s="1"/>
      <c r="S2222" s="1"/>
      <c r="T2222" s="1"/>
      <c r="U2222" s="1"/>
      <c r="V2222" s="1"/>
      <c r="W2222" s="1"/>
      <c r="X2222" s="1"/>
    </row>
    <row x14ac:dyDescent="0.25" r="2223" customHeight="1" ht="18.75">
      <c r="A2223" s="1"/>
      <c r="B2223" s="1"/>
      <c r="C2223" s="3" t="s">
        <v>1861</v>
      </c>
      <c r="D2223" s="3" t="s">
        <v>2253</v>
      </c>
      <c r="E2223" s="1"/>
      <c r="F2223" s="1"/>
      <c r="G2223" s="1"/>
      <c r="H2223" s="1"/>
      <c r="I2223" s="2"/>
      <c r="J2223" s="1"/>
      <c r="K2223" s="1"/>
      <c r="L2223" s="1"/>
      <c r="M2223" s="1"/>
      <c r="N2223" s="1"/>
      <c r="O2223" s="1"/>
      <c r="P2223" s="1"/>
      <c r="Q2223" s="1"/>
      <c r="R2223" s="1"/>
      <c r="S2223" s="1"/>
      <c r="T2223" s="1"/>
      <c r="U2223" s="1"/>
      <c r="V2223" s="1"/>
      <c r="W2223" s="1"/>
      <c r="X2223" s="1"/>
    </row>
    <row x14ac:dyDescent="0.25" r="2224" customHeight="1" ht="18.75">
      <c r="A2224" s="1"/>
      <c r="B2224" s="1"/>
      <c r="C2224" s="3" t="s">
        <v>1861</v>
      </c>
      <c r="D2224" s="3" t="s">
        <v>2254</v>
      </c>
      <c r="E2224" s="1"/>
      <c r="F2224" s="1"/>
      <c r="G2224" s="1"/>
      <c r="H2224" s="1"/>
      <c r="I2224" s="2"/>
      <c r="J2224" s="1"/>
      <c r="K2224" s="1"/>
      <c r="L2224" s="1"/>
      <c r="M2224" s="1"/>
      <c r="N2224" s="1"/>
      <c r="O2224" s="1"/>
      <c r="P2224" s="1"/>
      <c r="Q2224" s="1"/>
      <c r="R2224" s="1"/>
      <c r="S2224" s="1"/>
      <c r="T2224" s="1"/>
      <c r="U2224" s="1"/>
      <c r="V2224" s="1"/>
      <c r="W2224" s="1"/>
      <c r="X2224" s="1"/>
    </row>
    <row x14ac:dyDescent="0.25" r="2225" customHeight="1" ht="18.75">
      <c r="A2225" s="1"/>
      <c r="B2225" s="1"/>
      <c r="C2225" s="3" t="s">
        <v>1861</v>
      </c>
      <c r="D2225" s="3" t="s">
        <v>2255</v>
      </c>
      <c r="E2225" s="1"/>
      <c r="F2225" s="1"/>
      <c r="G2225" s="1"/>
      <c r="H2225" s="1"/>
      <c r="I2225" s="2"/>
      <c r="J2225" s="1"/>
      <c r="K2225" s="1"/>
      <c r="L2225" s="1"/>
      <c r="M2225" s="1"/>
      <c r="N2225" s="1"/>
      <c r="O2225" s="1"/>
      <c r="P2225" s="1"/>
      <c r="Q2225" s="1"/>
      <c r="R2225" s="1"/>
      <c r="S2225" s="1"/>
      <c r="T2225" s="1"/>
      <c r="U2225" s="1"/>
      <c r="V2225" s="1"/>
      <c r="W2225" s="1"/>
      <c r="X2225" s="1"/>
    </row>
    <row x14ac:dyDescent="0.25" r="2226" customHeight="1" ht="18.75">
      <c r="A2226" s="1"/>
      <c r="B2226" s="1"/>
      <c r="C2226" s="3" t="s">
        <v>1861</v>
      </c>
      <c r="D2226" s="3" t="s">
        <v>2256</v>
      </c>
      <c r="E2226" s="1"/>
      <c r="F2226" s="1"/>
      <c r="G2226" s="1"/>
      <c r="H2226" s="1"/>
      <c r="I2226" s="2"/>
      <c r="J2226" s="1"/>
      <c r="K2226" s="1"/>
      <c r="L2226" s="1"/>
      <c r="M2226" s="1"/>
      <c r="N2226" s="1"/>
      <c r="O2226" s="1"/>
      <c r="P2226" s="1"/>
      <c r="Q2226" s="1"/>
      <c r="R2226" s="1"/>
      <c r="S2226" s="1"/>
      <c r="T2226" s="1"/>
      <c r="U2226" s="1"/>
      <c r="V2226" s="1"/>
      <c r="W2226" s="1"/>
      <c r="X2226" s="1"/>
    </row>
    <row x14ac:dyDescent="0.25" r="2227" customHeight="1" ht="18.75">
      <c r="A2227" s="1"/>
      <c r="B2227" s="1"/>
      <c r="C2227" s="3" t="s">
        <v>1861</v>
      </c>
      <c r="D2227" s="3" t="s">
        <v>2257</v>
      </c>
      <c r="E2227" s="1"/>
      <c r="F2227" s="1"/>
      <c r="G2227" s="1"/>
      <c r="H2227" s="1"/>
      <c r="I2227" s="2"/>
      <c r="J2227" s="1"/>
      <c r="K2227" s="1"/>
      <c r="L2227" s="1"/>
      <c r="M2227" s="1"/>
      <c r="N2227" s="1"/>
      <c r="O2227" s="1"/>
      <c r="P2227" s="1"/>
      <c r="Q2227" s="1"/>
      <c r="R2227" s="1"/>
      <c r="S2227" s="1"/>
      <c r="T2227" s="1"/>
      <c r="U2227" s="1"/>
      <c r="V2227" s="1"/>
      <c r="W2227" s="1"/>
      <c r="X2227" s="1"/>
    </row>
    <row x14ac:dyDescent="0.25" r="2228" customHeight="1" ht="18.75">
      <c r="A2228" s="1"/>
      <c r="B2228" s="1"/>
      <c r="C2228" s="3" t="s">
        <v>1861</v>
      </c>
      <c r="D2228" s="3" t="s">
        <v>2258</v>
      </c>
      <c r="E2228" s="1"/>
      <c r="F2228" s="1"/>
      <c r="G2228" s="1"/>
      <c r="H2228" s="1"/>
      <c r="I2228" s="2"/>
      <c r="J2228" s="1"/>
      <c r="K2228" s="1"/>
      <c r="L2228" s="1"/>
      <c r="M2228" s="1"/>
      <c r="N2228" s="1"/>
      <c r="O2228" s="1"/>
      <c r="P2228" s="1"/>
      <c r="Q2228" s="1"/>
      <c r="R2228" s="1"/>
      <c r="S2228" s="1"/>
      <c r="T2228" s="1"/>
      <c r="U2228" s="1"/>
      <c r="V2228" s="1"/>
      <c r="W2228" s="1"/>
      <c r="X2228" s="1"/>
    </row>
    <row x14ac:dyDescent="0.25" r="2229" customHeight="1" ht="18.75">
      <c r="A2229" s="1"/>
      <c r="B2229" s="1"/>
      <c r="C2229" s="3" t="s">
        <v>2259</v>
      </c>
      <c r="D2229" s="3" t="s">
        <v>2260</v>
      </c>
      <c r="E2229" s="1"/>
      <c r="F2229" s="1"/>
      <c r="G2229" s="1"/>
      <c r="H2229" s="1"/>
      <c r="I2229" s="2"/>
      <c r="J2229" s="1"/>
      <c r="K2229" s="1"/>
      <c r="L2229" s="1"/>
      <c r="M2229" s="1"/>
      <c r="N2229" s="1"/>
      <c r="O2229" s="1"/>
      <c r="P2229" s="1"/>
      <c r="Q2229" s="1"/>
      <c r="R2229" s="1"/>
      <c r="S2229" s="1"/>
      <c r="T2229" s="1"/>
      <c r="U2229" s="1"/>
      <c r="V2229" s="1"/>
      <c r="W2229" s="1"/>
      <c r="X2229" s="1"/>
    </row>
    <row x14ac:dyDescent="0.25" r="2230" customHeight="1" ht="18.75">
      <c r="A2230" s="1"/>
      <c r="B2230" s="1"/>
      <c r="C2230" s="3" t="s">
        <v>1861</v>
      </c>
      <c r="D2230" s="3" t="s">
        <v>2261</v>
      </c>
      <c r="E2230" s="1"/>
      <c r="F2230" s="1"/>
      <c r="G2230" s="1"/>
      <c r="H2230" s="1"/>
      <c r="I2230" s="2"/>
      <c r="J2230" s="1"/>
      <c r="K2230" s="1"/>
      <c r="L2230" s="1"/>
      <c r="M2230" s="1"/>
      <c r="N2230" s="1"/>
      <c r="O2230" s="1"/>
      <c r="P2230" s="1"/>
      <c r="Q2230" s="1"/>
      <c r="R2230" s="1"/>
      <c r="S2230" s="1"/>
      <c r="T2230" s="1"/>
      <c r="U2230" s="1"/>
      <c r="V2230" s="1"/>
      <c r="W2230" s="1"/>
      <c r="X2230" s="1"/>
    </row>
    <row x14ac:dyDescent="0.25" r="2231" customHeight="1" ht="18.75">
      <c r="A2231" s="1"/>
      <c r="B2231" s="1"/>
      <c r="C2231" s="3" t="s">
        <v>1861</v>
      </c>
      <c r="D2231" s="3" t="s">
        <v>2262</v>
      </c>
      <c r="E2231" s="1"/>
      <c r="F2231" s="1"/>
      <c r="G2231" s="1"/>
      <c r="H2231" s="1"/>
      <c r="I2231" s="2"/>
      <c r="J2231" s="1"/>
      <c r="K2231" s="1"/>
      <c r="L2231" s="1"/>
      <c r="M2231" s="1"/>
      <c r="N2231" s="1"/>
      <c r="O2231" s="1"/>
      <c r="P2231" s="1"/>
      <c r="Q2231" s="1"/>
      <c r="R2231" s="1"/>
      <c r="S2231" s="1"/>
      <c r="T2231" s="1"/>
      <c r="U2231" s="1"/>
      <c r="V2231" s="1"/>
      <c r="W2231" s="1"/>
      <c r="X2231" s="1"/>
    </row>
    <row x14ac:dyDescent="0.25" r="2232" customHeight="1" ht="18.75">
      <c r="A2232" s="1"/>
      <c r="B2232" s="1"/>
      <c r="C2232" s="3" t="s">
        <v>1861</v>
      </c>
      <c r="D2232" s="3" t="s">
        <v>2263</v>
      </c>
      <c r="E2232" s="1"/>
      <c r="F2232" s="1"/>
      <c r="G2232" s="1"/>
      <c r="H2232" s="1"/>
      <c r="I2232" s="2"/>
      <c r="J2232" s="1"/>
      <c r="K2232" s="1"/>
      <c r="L2232" s="1"/>
      <c r="M2232" s="1"/>
      <c r="N2232" s="1"/>
      <c r="O2232" s="1"/>
      <c r="P2232" s="1"/>
      <c r="Q2232" s="1"/>
      <c r="R2232" s="1"/>
      <c r="S2232" s="1"/>
      <c r="T2232" s="1"/>
      <c r="U2232" s="1"/>
      <c r="V2232" s="1"/>
      <c r="W2232" s="1"/>
      <c r="X2232" s="1"/>
    </row>
    <row x14ac:dyDescent="0.25" r="2233" customHeight="1" ht="18.75">
      <c r="A2233" s="1"/>
      <c r="B2233" s="1"/>
      <c r="C2233" s="3" t="s">
        <v>1861</v>
      </c>
      <c r="D2233" s="3" t="s">
        <v>2264</v>
      </c>
      <c r="E2233" s="1"/>
      <c r="F2233" s="1"/>
      <c r="G2233" s="1"/>
      <c r="H2233" s="1"/>
      <c r="I2233" s="2"/>
      <c r="J2233" s="1"/>
      <c r="K2233" s="1"/>
      <c r="L2233" s="1"/>
      <c r="M2233" s="1"/>
      <c r="N2233" s="1"/>
      <c r="O2233" s="1"/>
      <c r="P2233" s="1"/>
      <c r="Q2233" s="1"/>
      <c r="R2233" s="1"/>
      <c r="S2233" s="1"/>
      <c r="T2233" s="1"/>
      <c r="U2233" s="1"/>
      <c r="V2233" s="1"/>
      <c r="W2233" s="1"/>
      <c r="X2233" s="1"/>
    </row>
    <row x14ac:dyDescent="0.25" r="2234" customHeight="1" ht="18.75">
      <c r="A2234" s="1"/>
      <c r="B2234" s="1"/>
      <c r="C2234" s="3" t="s">
        <v>1861</v>
      </c>
      <c r="D2234" s="3" t="s">
        <v>2265</v>
      </c>
      <c r="E2234" s="1"/>
      <c r="F2234" s="1"/>
      <c r="G2234" s="1"/>
      <c r="H2234" s="1"/>
      <c r="I2234" s="2"/>
      <c r="J2234" s="1"/>
      <c r="K2234" s="1"/>
      <c r="L2234" s="1"/>
      <c r="M2234" s="1"/>
      <c r="N2234" s="1"/>
      <c r="O2234" s="1"/>
      <c r="P2234" s="1"/>
      <c r="Q2234" s="1"/>
      <c r="R2234" s="1"/>
      <c r="S2234" s="1"/>
      <c r="T2234" s="1"/>
      <c r="U2234" s="1"/>
      <c r="V2234" s="1"/>
      <c r="W2234" s="1"/>
      <c r="X2234" s="1"/>
    </row>
    <row x14ac:dyDescent="0.25" r="2235" customHeight="1" ht="18.75">
      <c r="A2235" s="1"/>
      <c r="B2235" s="1"/>
      <c r="C2235" s="3" t="s">
        <v>1861</v>
      </c>
      <c r="D2235" s="3" t="s">
        <v>2266</v>
      </c>
      <c r="E2235" s="1"/>
      <c r="F2235" s="1"/>
      <c r="G2235" s="1"/>
      <c r="H2235" s="1"/>
      <c r="I2235" s="2"/>
      <c r="J2235" s="1"/>
      <c r="K2235" s="1"/>
      <c r="L2235" s="1"/>
      <c r="M2235" s="1"/>
      <c r="N2235" s="1"/>
      <c r="O2235" s="1"/>
      <c r="P2235" s="1"/>
      <c r="Q2235" s="1"/>
      <c r="R2235" s="1"/>
      <c r="S2235" s="1"/>
      <c r="T2235" s="1"/>
      <c r="U2235" s="1"/>
      <c r="V2235" s="1"/>
      <c r="W2235" s="1"/>
      <c r="X2235" s="1"/>
    </row>
    <row x14ac:dyDescent="0.25" r="2236" customHeight="1" ht="18.75">
      <c r="A2236" s="1"/>
      <c r="B2236" s="1"/>
      <c r="C2236" s="3" t="s">
        <v>1861</v>
      </c>
      <c r="D2236" s="3" t="s">
        <v>2267</v>
      </c>
      <c r="E2236" s="1"/>
      <c r="F2236" s="1"/>
      <c r="G2236" s="1"/>
      <c r="H2236" s="1"/>
      <c r="I2236" s="2"/>
      <c r="J2236" s="1"/>
      <c r="K2236" s="1"/>
      <c r="L2236" s="1"/>
      <c r="M2236" s="1"/>
      <c r="N2236" s="1"/>
      <c r="O2236" s="1"/>
      <c r="P2236" s="1"/>
      <c r="Q2236" s="1"/>
      <c r="R2236" s="1"/>
      <c r="S2236" s="1"/>
      <c r="T2236" s="1"/>
      <c r="U2236" s="1"/>
      <c r="V2236" s="1"/>
      <c r="W2236" s="1"/>
      <c r="X2236" s="1"/>
    </row>
    <row x14ac:dyDescent="0.25" r="2237" customHeight="1" ht="18.75">
      <c r="A2237" s="1"/>
      <c r="B2237" s="1"/>
      <c r="C2237" s="3" t="s">
        <v>1861</v>
      </c>
      <c r="D2237" s="3" t="s">
        <v>2268</v>
      </c>
      <c r="E2237" s="1"/>
      <c r="F2237" s="1"/>
      <c r="G2237" s="1"/>
      <c r="H2237" s="1"/>
      <c r="I2237" s="2"/>
      <c r="J2237" s="1"/>
      <c r="K2237" s="1"/>
      <c r="L2237" s="1"/>
      <c r="M2237" s="1"/>
      <c r="N2237" s="1"/>
      <c r="O2237" s="1"/>
      <c r="P2237" s="1"/>
      <c r="Q2237" s="1"/>
      <c r="R2237" s="1"/>
      <c r="S2237" s="1"/>
      <c r="T2237" s="1"/>
      <c r="U2237" s="1"/>
      <c r="V2237" s="1"/>
      <c r="W2237" s="1"/>
      <c r="X2237" s="1"/>
    </row>
    <row x14ac:dyDescent="0.25" r="2238" customHeight="1" ht="18.75">
      <c r="A2238" s="1"/>
      <c r="B2238" s="1"/>
      <c r="C2238" s="3" t="s">
        <v>1861</v>
      </c>
      <c r="D2238" s="3" t="s">
        <v>2269</v>
      </c>
      <c r="E2238" s="1"/>
      <c r="F2238" s="1"/>
      <c r="G2238" s="1"/>
      <c r="H2238" s="1"/>
      <c r="I2238" s="2"/>
      <c r="J2238" s="1"/>
      <c r="K2238" s="1"/>
      <c r="L2238" s="1"/>
      <c r="M2238" s="1"/>
      <c r="N2238" s="1"/>
      <c r="O2238" s="1"/>
      <c r="P2238" s="1"/>
      <c r="Q2238" s="1"/>
      <c r="R2238" s="1"/>
      <c r="S2238" s="1"/>
      <c r="T2238" s="1"/>
      <c r="U2238" s="1"/>
      <c r="V2238" s="1"/>
      <c r="W2238" s="1"/>
      <c r="X2238" s="1"/>
    </row>
    <row x14ac:dyDescent="0.25" r="2239" customHeight="1" ht="18.75">
      <c r="A2239" s="1"/>
      <c r="B2239" s="1"/>
      <c r="C2239" s="3" t="s">
        <v>1861</v>
      </c>
      <c r="D2239" s="3" t="s">
        <v>2270</v>
      </c>
      <c r="E2239" s="1"/>
      <c r="F2239" s="1"/>
      <c r="G2239" s="1"/>
      <c r="H2239" s="1"/>
      <c r="I2239" s="2"/>
      <c r="J2239" s="1"/>
      <c r="K2239" s="1"/>
      <c r="L2239" s="1"/>
      <c r="M2239" s="1"/>
      <c r="N2239" s="1"/>
      <c r="O2239" s="1"/>
      <c r="P2239" s="1"/>
      <c r="Q2239" s="1"/>
      <c r="R2239" s="1"/>
      <c r="S2239" s="1"/>
      <c r="T2239" s="1"/>
      <c r="U2239" s="1"/>
      <c r="V2239" s="1"/>
      <c r="W2239" s="1"/>
      <c r="X2239" s="1"/>
    </row>
    <row x14ac:dyDescent="0.25" r="2240" customHeight="1" ht="18.75">
      <c r="A2240" s="1"/>
      <c r="B2240" s="1"/>
      <c r="C2240" s="3" t="s">
        <v>1861</v>
      </c>
      <c r="D2240" s="3" t="s">
        <v>2271</v>
      </c>
      <c r="E2240" s="1"/>
      <c r="F2240" s="1"/>
      <c r="G2240" s="1"/>
      <c r="H2240" s="1"/>
      <c r="I2240" s="2"/>
      <c r="J2240" s="1"/>
      <c r="K2240" s="1"/>
      <c r="L2240" s="1"/>
      <c r="M2240" s="1"/>
      <c r="N2240" s="1"/>
      <c r="O2240" s="1"/>
      <c r="P2240" s="1"/>
      <c r="Q2240" s="1"/>
      <c r="R2240" s="1"/>
      <c r="S2240" s="1"/>
      <c r="T2240" s="1"/>
      <c r="U2240" s="1"/>
      <c r="V2240" s="1"/>
      <c r="W2240" s="1"/>
      <c r="X2240" s="1"/>
    </row>
    <row x14ac:dyDescent="0.25" r="2241" customHeight="1" ht="18.75">
      <c r="A2241" s="1"/>
      <c r="B2241" s="1"/>
      <c r="C2241" s="3" t="s">
        <v>1861</v>
      </c>
      <c r="D2241" s="3" t="s">
        <v>2272</v>
      </c>
      <c r="E2241" s="1"/>
      <c r="F2241" s="1"/>
      <c r="G2241" s="1"/>
      <c r="H2241" s="1"/>
      <c r="I2241" s="2"/>
      <c r="J2241" s="1"/>
      <c r="K2241" s="1"/>
      <c r="L2241" s="1"/>
      <c r="M2241" s="1"/>
      <c r="N2241" s="1"/>
      <c r="O2241" s="1"/>
      <c r="P2241" s="1"/>
      <c r="Q2241" s="1"/>
      <c r="R2241" s="1"/>
      <c r="S2241" s="1"/>
      <c r="T2241" s="1"/>
      <c r="U2241" s="1"/>
      <c r="V2241" s="1"/>
      <c r="W2241" s="1"/>
      <c r="X2241" s="1"/>
    </row>
    <row x14ac:dyDescent="0.25" r="2242" customHeight="1" ht="18.75">
      <c r="A2242" s="1"/>
      <c r="B2242" s="1"/>
      <c r="C2242" s="3" t="s">
        <v>1861</v>
      </c>
      <c r="D2242" s="3" t="s">
        <v>2273</v>
      </c>
      <c r="E2242" s="1"/>
      <c r="F2242" s="1"/>
      <c r="G2242" s="1"/>
      <c r="H2242" s="1"/>
      <c r="I2242" s="2"/>
      <c r="J2242" s="1"/>
      <c r="K2242" s="1"/>
      <c r="L2242" s="1"/>
      <c r="M2242" s="1"/>
      <c r="N2242" s="1"/>
      <c r="O2242" s="1"/>
      <c r="P2242" s="1"/>
      <c r="Q2242" s="1"/>
      <c r="R2242" s="1"/>
      <c r="S2242" s="1"/>
      <c r="T2242" s="1"/>
      <c r="U2242" s="1"/>
      <c r="V2242" s="1"/>
      <c r="W2242" s="1"/>
      <c r="X2242" s="1"/>
    </row>
    <row x14ac:dyDescent="0.25" r="2243" customHeight="1" ht="18.75">
      <c r="A2243" s="1"/>
      <c r="B2243" s="1"/>
      <c r="C2243" s="3" t="s">
        <v>1861</v>
      </c>
      <c r="D2243" s="3" t="s">
        <v>2274</v>
      </c>
      <c r="E2243" s="1"/>
      <c r="F2243" s="1"/>
      <c r="G2243" s="1"/>
      <c r="H2243" s="1"/>
      <c r="I2243" s="2"/>
      <c r="J2243" s="1"/>
      <c r="K2243" s="1"/>
      <c r="L2243" s="1"/>
      <c r="M2243" s="1"/>
      <c r="N2243" s="1"/>
      <c r="O2243" s="1"/>
      <c r="P2243" s="1"/>
      <c r="Q2243" s="1"/>
      <c r="R2243" s="1"/>
      <c r="S2243" s="1"/>
      <c r="T2243" s="1"/>
      <c r="U2243" s="1"/>
      <c r="V2243" s="1"/>
      <c r="W2243" s="1"/>
      <c r="X2243" s="1"/>
    </row>
    <row x14ac:dyDescent="0.25" r="2244" customHeight="1" ht="18.75">
      <c r="A2244" s="1"/>
      <c r="B2244" s="1"/>
      <c r="C2244" s="3" t="s">
        <v>1861</v>
      </c>
      <c r="D2244" s="3" t="s">
        <v>2275</v>
      </c>
      <c r="E2244" s="1"/>
      <c r="F2244" s="1"/>
      <c r="G2244" s="1"/>
      <c r="H2244" s="1"/>
      <c r="I2244" s="2"/>
      <c r="J2244" s="1"/>
      <c r="K2244" s="1"/>
      <c r="L2244" s="1"/>
      <c r="M2244" s="1"/>
      <c r="N2244" s="1"/>
      <c r="O2244" s="1"/>
      <c r="P2244" s="1"/>
      <c r="Q2244" s="1"/>
      <c r="R2244" s="1"/>
      <c r="S2244" s="1"/>
      <c r="T2244" s="1"/>
      <c r="U2244" s="1"/>
      <c r="V2244" s="1"/>
      <c r="W2244" s="1"/>
      <c r="X2244" s="1"/>
    </row>
    <row x14ac:dyDescent="0.25" r="2245" customHeight="1" ht="18.75">
      <c r="A2245" s="1"/>
      <c r="B2245" s="1"/>
      <c r="C2245" s="3" t="s">
        <v>1861</v>
      </c>
      <c r="D2245" s="3" t="s">
        <v>2276</v>
      </c>
      <c r="E2245" s="1"/>
      <c r="F2245" s="1"/>
      <c r="G2245" s="1"/>
      <c r="H2245" s="1"/>
      <c r="I2245" s="2"/>
      <c r="J2245" s="1"/>
      <c r="K2245" s="1"/>
      <c r="L2245" s="1"/>
      <c r="M2245" s="1"/>
      <c r="N2245" s="1"/>
      <c r="O2245" s="1"/>
      <c r="P2245" s="1"/>
      <c r="Q2245" s="1"/>
      <c r="R2245" s="1"/>
      <c r="S2245" s="1"/>
      <c r="T2245" s="1"/>
      <c r="U2245" s="1"/>
      <c r="V2245" s="1"/>
      <c r="W2245" s="1"/>
      <c r="X2245" s="1"/>
    </row>
    <row x14ac:dyDescent="0.25" r="2246" customHeight="1" ht="18.75">
      <c r="A2246" s="1"/>
      <c r="B2246" s="1"/>
      <c r="C2246" s="3" t="s">
        <v>1861</v>
      </c>
      <c r="D2246" s="3" t="s">
        <v>2277</v>
      </c>
      <c r="E2246" s="1"/>
      <c r="F2246" s="1"/>
      <c r="G2246" s="1"/>
      <c r="H2246" s="1"/>
      <c r="I2246" s="2"/>
      <c r="J2246" s="1"/>
      <c r="K2246" s="1"/>
      <c r="L2246" s="1"/>
      <c r="M2246" s="1"/>
      <c r="N2246" s="1"/>
      <c r="O2246" s="1"/>
      <c r="P2246" s="1"/>
      <c r="Q2246" s="1"/>
      <c r="R2246" s="1"/>
      <c r="S2246" s="1"/>
      <c r="T2246" s="1"/>
      <c r="U2246" s="1"/>
      <c r="V2246" s="1"/>
      <c r="W2246" s="1"/>
      <c r="X2246" s="1"/>
    </row>
    <row x14ac:dyDescent="0.25" r="2247" customHeight="1" ht="18.75">
      <c r="A2247" s="1"/>
      <c r="B2247" s="1"/>
      <c r="C2247" s="3" t="s">
        <v>1861</v>
      </c>
      <c r="D2247" s="3" t="s">
        <v>2278</v>
      </c>
      <c r="E2247" s="1"/>
      <c r="F2247" s="1"/>
      <c r="G2247" s="1"/>
      <c r="H2247" s="1"/>
      <c r="I2247" s="2"/>
      <c r="J2247" s="1"/>
      <c r="K2247" s="1"/>
      <c r="L2247" s="1"/>
      <c r="M2247" s="1"/>
      <c r="N2247" s="1"/>
      <c r="O2247" s="1"/>
      <c r="P2247" s="1"/>
      <c r="Q2247" s="1"/>
      <c r="R2247" s="1"/>
      <c r="S2247" s="1"/>
      <c r="T2247" s="1"/>
      <c r="U2247" s="1"/>
      <c r="V2247" s="1"/>
      <c r="W2247" s="1"/>
      <c r="X2247" s="1"/>
    </row>
    <row x14ac:dyDescent="0.25" r="2248" customHeight="1" ht="18.75">
      <c r="A2248" s="1"/>
      <c r="B2248" s="1"/>
      <c r="C2248" s="3" t="s">
        <v>1861</v>
      </c>
      <c r="D2248" s="3" t="s">
        <v>2279</v>
      </c>
      <c r="E2248" s="1"/>
      <c r="F2248" s="1"/>
      <c r="G2248" s="1"/>
      <c r="H2248" s="1"/>
      <c r="I2248" s="2"/>
      <c r="J2248" s="1"/>
      <c r="K2248" s="1"/>
      <c r="L2248" s="1"/>
      <c r="M2248" s="1"/>
      <c r="N2248" s="1"/>
      <c r="O2248" s="1"/>
      <c r="P2248" s="1"/>
      <c r="Q2248" s="1"/>
      <c r="R2248" s="1"/>
      <c r="S2248" s="1"/>
      <c r="T2248" s="1"/>
      <c r="U2248" s="1"/>
      <c r="V2248" s="1"/>
      <c r="W2248" s="1"/>
      <c r="X2248" s="1"/>
    </row>
    <row x14ac:dyDescent="0.25" r="2249" customHeight="1" ht="18.75">
      <c r="A2249" s="1"/>
      <c r="B2249" s="1"/>
      <c r="C2249" s="3" t="s">
        <v>1861</v>
      </c>
      <c r="D2249" s="3" t="s">
        <v>2280</v>
      </c>
      <c r="E2249" s="1"/>
      <c r="F2249" s="1"/>
      <c r="G2249" s="1"/>
      <c r="H2249" s="1"/>
      <c r="I2249" s="2"/>
      <c r="J2249" s="1"/>
      <c r="K2249" s="1"/>
      <c r="L2249" s="1"/>
      <c r="M2249" s="1"/>
      <c r="N2249" s="1"/>
      <c r="O2249" s="1"/>
      <c r="P2249" s="1"/>
      <c r="Q2249" s="1"/>
      <c r="R2249" s="1"/>
      <c r="S2249" s="1"/>
      <c r="T2249" s="1"/>
      <c r="U2249" s="1"/>
      <c r="V2249" s="1"/>
      <c r="W2249" s="1"/>
      <c r="X2249" s="1"/>
    </row>
    <row x14ac:dyDescent="0.25" r="2250" customHeight="1" ht="18.75">
      <c r="A2250" s="1"/>
      <c r="B2250" s="1"/>
      <c r="C2250" s="3" t="s">
        <v>1861</v>
      </c>
      <c r="D2250" s="3" t="s">
        <v>2281</v>
      </c>
      <c r="E2250" s="1"/>
      <c r="F2250" s="1"/>
      <c r="G2250" s="1"/>
      <c r="H2250" s="1"/>
      <c r="I2250" s="2"/>
      <c r="J2250" s="1"/>
      <c r="K2250" s="1"/>
      <c r="L2250" s="1"/>
      <c r="M2250" s="1"/>
      <c r="N2250" s="1"/>
      <c r="O2250" s="1"/>
      <c r="P2250" s="1"/>
      <c r="Q2250" s="1"/>
      <c r="R2250" s="1"/>
      <c r="S2250" s="1"/>
      <c r="T2250" s="1"/>
      <c r="U2250" s="1"/>
      <c r="V2250" s="1"/>
      <c r="W2250" s="1"/>
      <c r="X2250" s="1"/>
    </row>
    <row x14ac:dyDescent="0.25" r="2251" customHeight="1" ht="18.75">
      <c r="A2251" s="1"/>
      <c r="B2251" s="1"/>
      <c r="C2251" s="3" t="s">
        <v>1861</v>
      </c>
      <c r="D2251" s="3" t="s">
        <v>2282</v>
      </c>
      <c r="E2251" s="1"/>
      <c r="F2251" s="1"/>
      <c r="G2251" s="1"/>
      <c r="H2251" s="1"/>
      <c r="I2251" s="2"/>
      <c r="J2251" s="1"/>
      <c r="K2251" s="1"/>
      <c r="L2251" s="1"/>
      <c r="M2251" s="1"/>
      <c r="N2251" s="1"/>
      <c r="O2251" s="1"/>
      <c r="P2251" s="1"/>
      <c r="Q2251" s="1"/>
      <c r="R2251" s="1"/>
      <c r="S2251" s="1"/>
      <c r="T2251" s="1"/>
      <c r="U2251" s="1"/>
      <c r="V2251" s="1"/>
      <c r="W2251" s="1"/>
      <c r="X2251" s="1"/>
    </row>
    <row x14ac:dyDescent="0.25" r="2252" customHeight="1" ht="18.75">
      <c r="A2252" s="1"/>
      <c r="B2252" s="1"/>
      <c r="C2252" s="3" t="s">
        <v>1861</v>
      </c>
      <c r="D2252" s="3" t="s">
        <v>2283</v>
      </c>
      <c r="E2252" s="1"/>
      <c r="F2252" s="1"/>
      <c r="G2252" s="1"/>
      <c r="H2252" s="1"/>
      <c r="I2252" s="2"/>
      <c r="J2252" s="1"/>
      <c r="K2252" s="1"/>
      <c r="L2252" s="1"/>
      <c r="M2252" s="1"/>
      <c r="N2252" s="1"/>
      <c r="O2252" s="1"/>
      <c r="P2252" s="1"/>
      <c r="Q2252" s="1"/>
      <c r="R2252" s="1"/>
      <c r="S2252" s="1"/>
      <c r="T2252" s="1"/>
      <c r="U2252" s="1"/>
      <c r="V2252" s="1"/>
      <c r="W2252" s="1"/>
      <c r="X2252" s="1"/>
    </row>
    <row x14ac:dyDescent="0.25" r="2253" customHeight="1" ht="18.75">
      <c r="A2253" s="1"/>
      <c r="B2253" s="1"/>
      <c r="C2253" s="3" t="s">
        <v>1861</v>
      </c>
      <c r="D2253" s="3" t="s">
        <v>2284</v>
      </c>
      <c r="E2253" s="1"/>
      <c r="F2253" s="1"/>
      <c r="G2253" s="1"/>
      <c r="H2253" s="1"/>
      <c r="I2253" s="2"/>
      <c r="J2253" s="1"/>
      <c r="K2253" s="1"/>
      <c r="L2253" s="1"/>
      <c r="M2253" s="1"/>
      <c r="N2253" s="1"/>
      <c r="O2253" s="1"/>
      <c r="P2253" s="1"/>
      <c r="Q2253" s="1"/>
      <c r="R2253" s="1"/>
      <c r="S2253" s="1"/>
      <c r="T2253" s="1"/>
      <c r="U2253" s="1"/>
      <c r="V2253" s="1"/>
      <c r="W2253" s="1"/>
      <c r="X2253" s="1"/>
    </row>
    <row x14ac:dyDescent="0.25" r="2254" customHeight="1" ht="18.75">
      <c r="A2254" s="1"/>
      <c r="B2254" s="1"/>
      <c r="C2254" s="3" t="s">
        <v>1861</v>
      </c>
      <c r="D2254" s="3" t="s">
        <v>2285</v>
      </c>
      <c r="E2254" s="1"/>
      <c r="F2254" s="1"/>
      <c r="G2254" s="1"/>
      <c r="H2254" s="1"/>
      <c r="I2254" s="2"/>
      <c r="J2254" s="1"/>
      <c r="K2254" s="1"/>
      <c r="L2254" s="1"/>
      <c r="M2254" s="1"/>
      <c r="N2254" s="1"/>
      <c r="O2254" s="1"/>
      <c r="P2254" s="1"/>
      <c r="Q2254" s="1"/>
      <c r="R2254" s="1"/>
      <c r="S2254" s="1"/>
      <c r="T2254" s="1"/>
      <c r="U2254" s="1"/>
      <c r="V2254" s="1"/>
      <c r="W2254" s="1"/>
      <c r="X2254" s="1"/>
    </row>
    <row x14ac:dyDescent="0.25" r="2255" customHeight="1" ht="18.75">
      <c r="A2255" s="1"/>
      <c r="B2255" s="1"/>
      <c r="C2255" s="3" t="s">
        <v>1861</v>
      </c>
      <c r="D2255" s="3" t="s">
        <v>2286</v>
      </c>
      <c r="E2255" s="1"/>
      <c r="F2255" s="1"/>
      <c r="G2255" s="1"/>
      <c r="H2255" s="1"/>
      <c r="I2255" s="2"/>
      <c r="J2255" s="1"/>
      <c r="K2255" s="1"/>
      <c r="L2255" s="1"/>
      <c r="M2255" s="1"/>
      <c r="N2255" s="1"/>
      <c r="O2255" s="1"/>
      <c r="P2255" s="1"/>
      <c r="Q2255" s="1"/>
      <c r="R2255" s="1"/>
      <c r="S2255" s="1"/>
      <c r="T2255" s="1"/>
      <c r="U2255" s="1"/>
      <c r="V2255" s="1"/>
      <c r="W2255" s="1"/>
      <c r="X2255" s="1"/>
    </row>
    <row x14ac:dyDescent="0.25" r="2256" customHeight="1" ht="18.75">
      <c r="A2256" s="1"/>
      <c r="B2256" s="1"/>
      <c r="C2256" s="3" t="s">
        <v>1861</v>
      </c>
      <c r="D2256" s="3" t="s">
        <v>2287</v>
      </c>
      <c r="E2256" s="1"/>
      <c r="F2256" s="1"/>
      <c r="G2256" s="1"/>
      <c r="H2256" s="1"/>
      <c r="I2256" s="2"/>
      <c r="J2256" s="1"/>
      <c r="K2256" s="1"/>
      <c r="L2256" s="1"/>
      <c r="M2256" s="1"/>
      <c r="N2256" s="1"/>
      <c r="O2256" s="1"/>
      <c r="P2256" s="1"/>
      <c r="Q2256" s="1"/>
      <c r="R2256" s="1"/>
      <c r="S2256" s="1"/>
      <c r="T2256" s="1"/>
      <c r="U2256" s="1"/>
      <c r="V2256" s="1"/>
      <c r="W2256" s="1"/>
      <c r="X2256" s="1"/>
    </row>
    <row x14ac:dyDescent="0.25" r="2257" customHeight="1" ht="18.75">
      <c r="A2257" s="1"/>
      <c r="B2257" s="1"/>
      <c r="C2257" s="3" t="s">
        <v>1861</v>
      </c>
      <c r="D2257" s="3" t="s">
        <v>2288</v>
      </c>
      <c r="E2257" s="1"/>
      <c r="F2257" s="1"/>
      <c r="G2257" s="1"/>
      <c r="H2257" s="1"/>
      <c r="I2257" s="2"/>
      <c r="J2257" s="1"/>
      <c r="K2257" s="1"/>
      <c r="L2257" s="1"/>
      <c r="M2257" s="1"/>
      <c r="N2257" s="1"/>
      <c r="O2257" s="1"/>
      <c r="P2257" s="1"/>
      <c r="Q2257" s="1"/>
      <c r="R2257" s="1"/>
      <c r="S2257" s="1"/>
      <c r="T2257" s="1"/>
      <c r="U2257" s="1"/>
      <c r="V2257" s="1"/>
      <c r="W2257" s="1"/>
      <c r="X2257" s="1"/>
    </row>
    <row x14ac:dyDescent="0.25" r="2258" customHeight="1" ht="18.75">
      <c r="A2258" s="1"/>
      <c r="B2258" s="1"/>
      <c r="C2258" s="3" t="s">
        <v>1861</v>
      </c>
      <c r="D2258" s="3" t="s">
        <v>2289</v>
      </c>
      <c r="E2258" s="1"/>
      <c r="F2258" s="1"/>
      <c r="G2258" s="1"/>
      <c r="H2258" s="1"/>
      <c r="I2258" s="2"/>
      <c r="J2258" s="1"/>
      <c r="K2258" s="1"/>
      <c r="L2258" s="1"/>
      <c r="M2258" s="1"/>
      <c r="N2258" s="1"/>
      <c r="O2258" s="1"/>
      <c r="P2258" s="1"/>
      <c r="Q2258" s="1"/>
      <c r="R2258" s="1"/>
      <c r="S2258" s="1"/>
      <c r="T2258" s="1"/>
      <c r="U2258" s="1"/>
      <c r="V2258" s="1"/>
      <c r="W2258" s="1"/>
      <c r="X2258" s="1"/>
    </row>
    <row x14ac:dyDescent="0.25" r="2259" customHeight="1" ht="18.75">
      <c r="A2259" s="1"/>
      <c r="B2259" s="1"/>
      <c r="C2259" s="3" t="s">
        <v>2259</v>
      </c>
      <c r="D2259" s="3" t="s">
        <v>2290</v>
      </c>
      <c r="E2259" s="1"/>
      <c r="F2259" s="1"/>
      <c r="G2259" s="1"/>
      <c r="H2259" s="1"/>
      <c r="I2259" s="2"/>
      <c r="J2259" s="1"/>
      <c r="K2259" s="1"/>
      <c r="L2259" s="1"/>
      <c r="M2259" s="1"/>
      <c r="N2259" s="1"/>
      <c r="O2259" s="1"/>
      <c r="P2259" s="1"/>
      <c r="Q2259" s="1"/>
      <c r="R2259" s="1"/>
      <c r="S2259" s="1"/>
      <c r="T2259" s="1"/>
      <c r="U2259" s="1"/>
      <c r="V2259" s="1"/>
      <c r="W2259" s="1"/>
      <c r="X2259" s="1"/>
    </row>
    <row x14ac:dyDescent="0.25" r="2260" customHeight="1" ht="18.75">
      <c r="A2260" s="1"/>
      <c r="B2260" s="1"/>
      <c r="C2260" s="3" t="s">
        <v>2259</v>
      </c>
      <c r="D2260" s="3" t="s">
        <v>2291</v>
      </c>
      <c r="E2260" s="1"/>
      <c r="F2260" s="1"/>
      <c r="G2260" s="1"/>
      <c r="H2260" s="1"/>
      <c r="I2260" s="2"/>
      <c r="J2260" s="1"/>
      <c r="K2260" s="1"/>
      <c r="L2260" s="1"/>
      <c r="M2260" s="1"/>
      <c r="N2260" s="1"/>
      <c r="O2260" s="1"/>
      <c r="P2260" s="1"/>
      <c r="Q2260" s="1"/>
      <c r="R2260" s="1"/>
      <c r="S2260" s="1"/>
      <c r="T2260" s="1"/>
      <c r="U2260" s="1"/>
      <c r="V2260" s="1"/>
      <c r="W2260" s="1"/>
      <c r="X2260" s="1"/>
    </row>
    <row x14ac:dyDescent="0.25" r="2261" customHeight="1" ht="18.75">
      <c r="A2261" s="1"/>
      <c r="B2261" s="1"/>
      <c r="C2261" s="3" t="s">
        <v>2259</v>
      </c>
      <c r="D2261" s="3" t="s">
        <v>2292</v>
      </c>
      <c r="E2261" s="1"/>
      <c r="F2261" s="1"/>
      <c r="G2261" s="1"/>
      <c r="H2261" s="1"/>
      <c r="I2261" s="2"/>
      <c r="J2261" s="1"/>
      <c r="K2261" s="1"/>
      <c r="L2261" s="1"/>
      <c r="M2261" s="1"/>
      <c r="N2261" s="1"/>
      <c r="O2261" s="1"/>
      <c r="P2261" s="1"/>
      <c r="Q2261" s="1"/>
      <c r="R2261" s="1"/>
      <c r="S2261" s="1"/>
      <c r="T2261" s="1"/>
      <c r="U2261" s="1"/>
      <c r="V2261" s="1"/>
      <c r="W2261" s="1"/>
      <c r="X2261" s="1"/>
    </row>
    <row x14ac:dyDescent="0.25" r="2262" customHeight="1" ht="18.75">
      <c r="A2262" s="1"/>
      <c r="B2262" s="1"/>
      <c r="C2262" s="3" t="s">
        <v>2259</v>
      </c>
      <c r="D2262" s="3" t="s">
        <v>2293</v>
      </c>
      <c r="E2262" s="1"/>
      <c r="F2262" s="1"/>
      <c r="G2262" s="1"/>
      <c r="H2262" s="1"/>
      <c r="I2262" s="2"/>
      <c r="J2262" s="1"/>
      <c r="K2262" s="1"/>
      <c r="L2262" s="1"/>
      <c r="M2262" s="1"/>
      <c r="N2262" s="1"/>
      <c r="O2262" s="1"/>
      <c r="P2262" s="1"/>
      <c r="Q2262" s="1"/>
      <c r="R2262" s="1"/>
      <c r="S2262" s="1"/>
      <c r="T2262" s="1"/>
      <c r="U2262" s="1"/>
      <c r="V2262" s="1"/>
      <c r="W2262" s="1"/>
      <c r="X2262" s="1"/>
    </row>
    <row x14ac:dyDescent="0.25" r="2263" customHeight="1" ht="18.75">
      <c r="A2263" s="1"/>
      <c r="B2263" s="1"/>
      <c r="C2263" s="3" t="s">
        <v>2259</v>
      </c>
      <c r="D2263" s="3" t="s">
        <v>2294</v>
      </c>
      <c r="E2263" s="1"/>
      <c r="F2263" s="1"/>
      <c r="G2263" s="1"/>
      <c r="H2263" s="1"/>
      <c r="I2263" s="2"/>
      <c r="J2263" s="1"/>
      <c r="K2263" s="1"/>
      <c r="L2263" s="1"/>
      <c r="M2263" s="1"/>
      <c r="N2263" s="1"/>
      <c r="O2263" s="1"/>
      <c r="P2263" s="1"/>
      <c r="Q2263" s="1"/>
      <c r="R2263" s="1"/>
      <c r="S2263" s="1"/>
      <c r="T2263" s="1"/>
      <c r="U2263" s="1"/>
      <c r="V2263" s="1"/>
      <c r="W2263" s="1"/>
      <c r="X2263" s="1"/>
    </row>
    <row x14ac:dyDescent="0.25" r="2264" customHeight="1" ht="18.75">
      <c r="A2264" s="1"/>
      <c r="B2264" s="1"/>
      <c r="C2264" s="3" t="s">
        <v>2259</v>
      </c>
      <c r="D2264" s="3" t="s">
        <v>2295</v>
      </c>
      <c r="E2264" s="1"/>
      <c r="F2264" s="1"/>
      <c r="G2264" s="1"/>
      <c r="H2264" s="1"/>
      <c r="I2264" s="2"/>
      <c r="J2264" s="1"/>
      <c r="K2264" s="1"/>
      <c r="L2264" s="1"/>
      <c r="M2264" s="1"/>
      <c r="N2264" s="1"/>
      <c r="O2264" s="1"/>
      <c r="P2264" s="1"/>
      <c r="Q2264" s="1"/>
      <c r="R2264" s="1"/>
      <c r="S2264" s="1"/>
      <c r="T2264" s="1"/>
      <c r="U2264" s="1"/>
      <c r="V2264" s="1"/>
      <c r="W2264" s="1"/>
      <c r="X2264" s="1"/>
    </row>
    <row x14ac:dyDescent="0.25" r="2265" customHeight="1" ht="18.75">
      <c r="A2265" s="1"/>
      <c r="B2265" s="1"/>
      <c r="C2265" s="3" t="s">
        <v>2259</v>
      </c>
      <c r="D2265" s="3" t="s">
        <v>2296</v>
      </c>
      <c r="E2265" s="1"/>
      <c r="F2265" s="1"/>
      <c r="G2265" s="1"/>
      <c r="H2265" s="1"/>
      <c r="I2265" s="2"/>
      <c r="J2265" s="1"/>
      <c r="K2265" s="1"/>
      <c r="L2265" s="1"/>
      <c r="M2265" s="1"/>
      <c r="N2265" s="1"/>
      <c r="O2265" s="1"/>
      <c r="P2265" s="1"/>
      <c r="Q2265" s="1"/>
      <c r="R2265" s="1"/>
      <c r="S2265" s="1"/>
      <c r="T2265" s="1"/>
      <c r="U2265" s="1"/>
      <c r="V2265" s="1"/>
      <c r="W2265" s="1"/>
      <c r="X2265" s="1"/>
    </row>
    <row x14ac:dyDescent="0.25" r="2266" customHeight="1" ht="18.75">
      <c r="A2266" s="1"/>
      <c r="B2266" s="1"/>
      <c r="C2266" s="3" t="s">
        <v>2259</v>
      </c>
      <c r="D2266" s="3" t="s">
        <v>2297</v>
      </c>
      <c r="E2266" s="1"/>
      <c r="F2266" s="1"/>
      <c r="G2266" s="1"/>
      <c r="H2266" s="1"/>
      <c r="I2266" s="2"/>
      <c r="J2266" s="1"/>
      <c r="K2266" s="1"/>
      <c r="L2266" s="1"/>
      <c r="M2266" s="1"/>
      <c r="N2266" s="1"/>
      <c r="O2266" s="1"/>
      <c r="P2266" s="1"/>
      <c r="Q2266" s="1"/>
      <c r="R2266" s="1"/>
      <c r="S2266" s="1"/>
      <c r="T2266" s="1"/>
      <c r="U2266" s="1"/>
      <c r="V2266" s="1"/>
      <c r="W2266" s="1"/>
      <c r="X2266" s="1"/>
    </row>
    <row x14ac:dyDescent="0.25" r="2267" customHeight="1" ht="18.75">
      <c r="A2267" s="1"/>
      <c r="B2267" s="1"/>
      <c r="C2267" s="3" t="s">
        <v>1861</v>
      </c>
      <c r="D2267" s="3" t="s">
        <v>2298</v>
      </c>
      <c r="E2267" s="1"/>
      <c r="F2267" s="1"/>
      <c r="G2267" s="1"/>
      <c r="H2267" s="1"/>
      <c r="I2267" s="2"/>
      <c r="J2267" s="1"/>
      <c r="K2267" s="1"/>
      <c r="L2267" s="1"/>
      <c r="M2267" s="1"/>
      <c r="N2267" s="1"/>
      <c r="O2267" s="1"/>
      <c r="P2267" s="1"/>
      <c r="Q2267" s="1"/>
      <c r="R2267" s="1"/>
      <c r="S2267" s="1"/>
      <c r="T2267" s="1"/>
      <c r="U2267" s="1"/>
      <c r="V2267" s="1"/>
      <c r="W2267" s="1"/>
      <c r="X2267" s="1"/>
    </row>
    <row x14ac:dyDescent="0.25" r="2268" customHeight="1" ht="18.75">
      <c r="A2268" s="1"/>
      <c r="B2268" s="1"/>
      <c r="C2268" s="3" t="s">
        <v>1861</v>
      </c>
      <c r="D2268" s="3" t="s">
        <v>2299</v>
      </c>
      <c r="E2268" s="1"/>
      <c r="F2268" s="1"/>
      <c r="G2268" s="1"/>
      <c r="H2268" s="1"/>
      <c r="I2268" s="2"/>
      <c r="J2268" s="1"/>
      <c r="K2268" s="1"/>
      <c r="L2268" s="1"/>
      <c r="M2268" s="1"/>
      <c r="N2268" s="1"/>
      <c r="O2268" s="1"/>
      <c r="P2268" s="1"/>
      <c r="Q2268" s="1"/>
      <c r="R2268" s="1"/>
      <c r="S2268" s="1"/>
      <c r="T2268" s="1"/>
      <c r="U2268" s="1"/>
      <c r="V2268" s="1"/>
      <c r="W2268" s="1"/>
      <c r="X2268" s="1"/>
    </row>
    <row x14ac:dyDescent="0.25" r="2269" customHeight="1" ht="18.75">
      <c r="A2269" s="1"/>
      <c r="B2269" s="1"/>
      <c r="C2269" s="3" t="s">
        <v>1861</v>
      </c>
      <c r="D2269" s="3" t="s">
        <v>2300</v>
      </c>
      <c r="E2269" s="1"/>
      <c r="F2269" s="1"/>
      <c r="G2269" s="1"/>
      <c r="H2269" s="1"/>
      <c r="I2269" s="2"/>
      <c r="J2269" s="1"/>
      <c r="K2269" s="1"/>
      <c r="L2269" s="1"/>
      <c r="M2269" s="1"/>
      <c r="N2269" s="1"/>
      <c r="O2269" s="1"/>
      <c r="P2269" s="1"/>
      <c r="Q2269" s="1"/>
      <c r="R2269" s="1"/>
      <c r="S2269" s="1"/>
      <c r="T2269" s="1"/>
      <c r="U2269" s="1"/>
      <c r="V2269" s="1"/>
      <c r="W2269" s="1"/>
      <c r="X2269" s="1"/>
    </row>
    <row x14ac:dyDescent="0.25" r="2270" customHeight="1" ht="18.75">
      <c r="A2270" s="1"/>
      <c r="B2270" s="1"/>
      <c r="C2270" s="3" t="s">
        <v>1861</v>
      </c>
      <c r="D2270" s="3" t="s">
        <v>2301</v>
      </c>
      <c r="E2270" s="1"/>
      <c r="F2270" s="1"/>
      <c r="G2270" s="1"/>
      <c r="H2270" s="1"/>
      <c r="I2270" s="2"/>
      <c r="J2270" s="1"/>
      <c r="K2270" s="1"/>
      <c r="L2270" s="1"/>
      <c r="M2270" s="1"/>
      <c r="N2270" s="1"/>
      <c r="O2270" s="1"/>
      <c r="P2270" s="1"/>
      <c r="Q2270" s="1"/>
      <c r="R2270" s="1"/>
      <c r="S2270" s="1"/>
      <c r="T2270" s="1"/>
      <c r="U2270" s="1"/>
      <c r="V2270" s="1"/>
      <c r="W2270" s="1"/>
      <c r="X2270" s="1"/>
    </row>
    <row x14ac:dyDescent="0.25" r="2271" customHeight="1" ht="18.75">
      <c r="A2271" s="1"/>
      <c r="B2271" s="1"/>
      <c r="C2271" s="3" t="s">
        <v>1861</v>
      </c>
      <c r="D2271" s="3" t="s">
        <v>2302</v>
      </c>
      <c r="E2271" s="1"/>
      <c r="F2271" s="1"/>
      <c r="G2271" s="1"/>
      <c r="H2271" s="1"/>
      <c r="I2271" s="2"/>
      <c r="J2271" s="1"/>
      <c r="K2271" s="1"/>
      <c r="L2271" s="1"/>
      <c r="M2271" s="1"/>
      <c r="N2271" s="1"/>
      <c r="O2271" s="1"/>
      <c r="P2271" s="1"/>
      <c r="Q2271" s="1"/>
      <c r="R2271" s="1"/>
      <c r="S2271" s="1"/>
      <c r="T2271" s="1"/>
      <c r="U2271" s="1"/>
      <c r="V2271" s="1"/>
      <c r="W2271" s="1"/>
      <c r="X2271" s="1"/>
    </row>
    <row x14ac:dyDescent="0.25" r="2272" customHeight="1" ht="18.75">
      <c r="A2272" s="1"/>
      <c r="B2272" s="1"/>
      <c r="C2272" s="3" t="s">
        <v>1861</v>
      </c>
      <c r="D2272" s="3" t="s">
        <v>2303</v>
      </c>
      <c r="E2272" s="1"/>
      <c r="F2272" s="1"/>
      <c r="G2272" s="1"/>
      <c r="H2272" s="1"/>
      <c r="I2272" s="2"/>
      <c r="J2272" s="1"/>
      <c r="K2272" s="1"/>
      <c r="L2272" s="1"/>
      <c r="M2272" s="1"/>
      <c r="N2272" s="1"/>
      <c r="O2272" s="1"/>
      <c r="P2272" s="1"/>
      <c r="Q2272" s="1"/>
      <c r="R2272" s="1"/>
      <c r="S2272" s="1"/>
      <c r="T2272" s="1"/>
      <c r="U2272" s="1"/>
      <c r="V2272" s="1"/>
      <c r="W2272" s="1"/>
      <c r="X2272" s="1"/>
    </row>
    <row x14ac:dyDescent="0.25" r="2273" customHeight="1" ht="18.75">
      <c r="A2273" s="1"/>
      <c r="B2273" s="1"/>
      <c r="C2273" s="3" t="s">
        <v>1861</v>
      </c>
      <c r="D2273" s="3" t="s">
        <v>2304</v>
      </c>
      <c r="E2273" s="1"/>
      <c r="F2273" s="1"/>
      <c r="G2273" s="1"/>
      <c r="H2273" s="1"/>
      <c r="I2273" s="2"/>
      <c r="J2273" s="1"/>
      <c r="K2273" s="1"/>
      <c r="L2273" s="1"/>
      <c r="M2273" s="1"/>
      <c r="N2273" s="1"/>
      <c r="O2273" s="1"/>
      <c r="P2273" s="1"/>
      <c r="Q2273" s="1"/>
      <c r="R2273" s="1"/>
      <c r="S2273" s="1"/>
      <c r="T2273" s="1"/>
      <c r="U2273" s="1"/>
      <c r="V2273" s="1"/>
      <c r="W2273" s="1"/>
      <c r="X2273" s="1"/>
    </row>
    <row x14ac:dyDescent="0.25" r="2274" customHeight="1" ht="18.75">
      <c r="A2274" s="1"/>
      <c r="B2274" s="1"/>
      <c r="C2274" s="3" t="s">
        <v>1861</v>
      </c>
      <c r="D2274" s="3" t="s">
        <v>2305</v>
      </c>
      <c r="E2274" s="1"/>
      <c r="F2274" s="1"/>
      <c r="G2274" s="1"/>
      <c r="H2274" s="1"/>
      <c r="I2274" s="2"/>
      <c r="J2274" s="1"/>
      <c r="K2274" s="1"/>
      <c r="L2274" s="1"/>
      <c r="M2274" s="1"/>
      <c r="N2274" s="1"/>
      <c r="O2274" s="1"/>
      <c r="P2274" s="1"/>
      <c r="Q2274" s="1"/>
      <c r="R2274" s="1"/>
      <c r="S2274" s="1"/>
      <c r="T2274" s="1"/>
      <c r="U2274" s="1"/>
      <c r="V2274" s="1"/>
      <c r="W2274" s="1"/>
      <c r="X2274" s="1"/>
    </row>
    <row x14ac:dyDescent="0.25" r="2275" customHeight="1" ht="18.75">
      <c r="A2275" s="1"/>
      <c r="B2275" s="1"/>
      <c r="C2275" s="3" t="s">
        <v>1861</v>
      </c>
      <c r="D2275" s="3" t="s">
        <v>2306</v>
      </c>
      <c r="E2275" s="1"/>
      <c r="F2275" s="1"/>
      <c r="G2275" s="1"/>
      <c r="H2275" s="1"/>
      <c r="I2275" s="2"/>
      <c r="J2275" s="1"/>
      <c r="K2275" s="1"/>
      <c r="L2275" s="1"/>
      <c r="M2275" s="1"/>
      <c r="N2275" s="1"/>
      <c r="O2275" s="1"/>
      <c r="P2275" s="1"/>
      <c r="Q2275" s="1"/>
      <c r="R2275" s="1"/>
      <c r="S2275" s="1"/>
      <c r="T2275" s="1"/>
      <c r="U2275" s="1"/>
      <c r="V2275" s="1"/>
      <c r="W2275" s="1"/>
      <c r="X2275" s="1"/>
    </row>
    <row x14ac:dyDescent="0.25" r="2276" customHeight="1" ht="18.75">
      <c r="A2276" s="1"/>
      <c r="B2276" s="1"/>
      <c r="C2276" s="3" t="s">
        <v>1861</v>
      </c>
      <c r="D2276" s="3" t="s">
        <v>2307</v>
      </c>
      <c r="E2276" s="1"/>
      <c r="F2276" s="1"/>
      <c r="G2276" s="1"/>
      <c r="H2276" s="1"/>
      <c r="I2276" s="2"/>
      <c r="J2276" s="1"/>
      <c r="K2276" s="1"/>
      <c r="L2276" s="1"/>
      <c r="M2276" s="1"/>
      <c r="N2276" s="1"/>
      <c r="O2276" s="1"/>
      <c r="P2276" s="1"/>
      <c r="Q2276" s="1"/>
      <c r="R2276" s="1"/>
      <c r="S2276" s="1"/>
      <c r="T2276" s="1"/>
      <c r="U2276" s="1"/>
      <c r="V2276" s="1"/>
      <c r="W2276" s="1"/>
      <c r="X2276" s="1"/>
    </row>
    <row x14ac:dyDescent="0.25" r="2277" customHeight="1" ht="18.75">
      <c r="A2277" s="1"/>
      <c r="B2277" s="1"/>
      <c r="C2277" s="3" t="s">
        <v>1861</v>
      </c>
      <c r="D2277" s="3" t="s">
        <v>2308</v>
      </c>
      <c r="E2277" s="1"/>
      <c r="F2277" s="1"/>
      <c r="G2277" s="1"/>
      <c r="H2277" s="1"/>
      <c r="I2277" s="2"/>
      <c r="J2277" s="1"/>
      <c r="K2277" s="1"/>
      <c r="L2277" s="1"/>
      <c r="M2277" s="1"/>
      <c r="N2277" s="1"/>
      <c r="O2277" s="1"/>
      <c r="P2277" s="1"/>
      <c r="Q2277" s="1"/>
      <c r="R2277" s="1"/>
      <c r="S2277" s="1"/>
      <c r="T2277" s="1"/>
      <c r="U2277" s="1"/>
      <c r="V2277" s="1"/>
      <c r="W2277" s="1"/>
      <c r="X2277" s="1"/>
    </row>
    <row x14ac:dyDescent="0.25" r="2278" customHeight="1" ht="18.75">
      <c r="A2278" s="1"/>
      <c r="B2278" s="1"/>
      <c r="C2278" s="3" t="s">
        <v>1861</v>
      </c>
      <c r="D2278" s="3" t="s">
        <v>2309</v>
      </c>
      <c r="E2278" s="1"/>
      <c r="F2278" s="1"/>
      <c r="G2278" s="1"/>
      <c r="H2278" s="1"/>
      <c r="I2278" s="2"/>
      <c r="J2278" s="1"/>
      <c r="K2278" s="1"/>
      <c r="L2278" s="1"/>
      <c r="M2278" s="1"/>
      <c r="N2278" s="1"/>
      <c r="O2278" s="1"/>
      <c r="P2278" s="1"/>
      <c r="Q2278" s="1"/>
      <c r="R2278" s="1"/>
      <c r="S2278" s="1"/>
      <c r="T2278" s="1"/>
      <c r="U2278" s="1"/>
      <c r="V2278" s="1"/>
      <c r="W2278" s="1"/>
      <c r="X2278" s="1"/>
    </row>
    <row x14ac:dyDescent="0.25" r="2279" customHeight="1" ht="18.75">
      <c r="A2279" s="1"/>
      <c r="B2279" s="1"/>
      <c r="C2279" s="3" t="s">
        <v>1861</v>
      </c>
      <c r="D2279" s="3" t="s">
        <v>2310</v>
      </c>
      <c r="E2279" s="1"/>
      <c r="F2279" s="1"/>
      <c r="G2279" s="1"/>
      <c r="H2279" s="1"/>
      <c r="I2279" s="2"/>
      <c r="J2279" s="1"/>
      <c r="K2279" s="1"/>
      <c r="L2279" s="1"/>
      <c r="M2279" s="1"/>
      <c r="N2279" s="1"/>
      <c r="O2279" s="1"/>
      <c r="P2279" s="1"/>
      <c r="Q2279" s="1"/>
      <c r="R2279" s="1"/>
      <c r="S2279" s="1"/>
      <c r="T2279" s="1"/>
      <c r="U2279" s="1"/>
      <c r="V2279" s="1"/>
      <c r="W2279" s="1"/>
      <c r="X2279" s="1"/>
    </row>
    <row x14ac:dyDescent="0.25" r="2280" customHeight="1" ht="18.75">
      <c r="A2280" s="1"/>
      <c r="B2280" s="1"/>
      <c r="C2280" s="3" t="s">
        <v>1861</v>
      </c>
      <c r="D2280" s="3" t="s">
        <v>2311</v>
      </c>
      <c r="E2280" s="1"/>
      <c r="F2280" s="1"/>
      <c r="G2280" s="1"/>
      <c r="H2280" s="1"/>
      <c r="I2280" s="2"/>
      <c r="J2280" s="1"/>
      <c r="K2280" s="1"/>
      <c r="L2280" s="1"/>
      <c r="M2280" s="1"/>
      <c r="N2280" s="1"/>
      <c r="O2280" s="1"/>
      <c r="P2280" s="1"/>
      <c r="Q2280" s="1"/>
      <c r="R2280" s="1"/>
      <c r="S2280" s="1"/>
      <c r="T2280" s="1"/>
      <c r="U2280" s="1"/>
      <c r="V2280" s="1"/>
      <c r="W2280" s="1"/>
      <c r="X2280" s="1"/>
    </row>
    <row x14ac:dyDescent="0.25" r="2281" customHeight="1" ht="18.75">
      <c r="A2281" s="1"/>
      <c r="B2281" s="1"/>
      <c r="C2281" s="3" t="s">
        <v>1861</v>
      </c>
      <c r="D2281" s="3" t="s">
        <v>2312</v>
      </c>
      <c r="E2281" s="1"/>
      <c r="F2281" s="1"/>
      <c r="G2281" s="1"/>
      <c r="H2281" s="1"/>
      <c r="I2281" s="2"/>
      <c r="J2281" s="1"/>
      <c r="K2281" s="1"/>
      <c r="L2281" s="1"/>
      <c r="M2281" s="1"/>
      <c r="N2281" s="1"/>
      <c r="O2281" s="1"/>
      <c r="P2281" s="1"/>
      <c r="Q2281" s="1"/>
      <c r="R2281" s="1"/>
      <c r="S2281" s="1"/>
      <c r="T2281" s="1"/>
      <c r="U2281" s="1"/>
      <c r="V2281" s="1"/>
      <c r="W2281" s="1"/>
      <c r="X2281" s="1"/>
    </row>
    <row x14ac:dyDescent="0.25" r="2282" customHeight="1" ht="18.75">
      <c r="A2282" s="1"/>
      <c r="B2282" s="1"/>
      <c r="C2282" s="3" t="s">
        <v>1861</v>
      </c>
      <c r="D2282" s="3" t="s">
        <v>2313</v>
      </c>
      <c r="E2282" s="1"/>
      <c r="F2282" s="1"/>
      <c r="G2282" s="1"/>
      <c r="H2282" s="1"/>
      <c r="I2282" s="2"/>
      <c r="J2282" s="1"/>
      <c r="K2282" s="1"/>
      <c r="L2282" s="1"/>
      <c r="M2282" s="1"/>
      <c r="N2282" s="1"/>
      <c r="O2282" s="1"/>
      <c r="P2282" s="1"/>
      <c r="Q2282" s="1"/>
      <c r="R2282" s="1"/>
      <c r="S2282" s="1"/>
      <c r="T2282" s="1"/>
      <c r="U2282" s="1"/>
      <c r="V2282" s="1"/>
      <c r="W2282" s="1"/>
      <c r="X2282" s="1"/>
    </row>
    <row x14ac:dyDescent="0.25" r="2283" customHeight="1" ht="18.75">
      <c r="A2283" s="1"/>
      <c r="B2283" s="1"/>
      <c r="C2283" s="3" t="s">
        <v>1861</v>
      </c>
      <c r="D2283" s="3" t="s">
        <v>2314</v>
      </c>
      <c r="E2283" s="1"/>
      <c r="F2283" s="1"/>
      <c r="G2283" s="1"/>
      <c r="H2283" s="1"/>
      <c r="I2283" s="2"/>
      <c r="J2283" s="1"/>
      <c r="K2283" s="1"/>
      <c r="L2283" s="1"/>
      <c r="M2283" s="1"/>
      <c r="N2283" s="1"/>
      <c r="O2283" s="1"/>
      <c r="P2283" s="1"/>
      <c r="Q2283" s="1"/>
      <c r="R2283" s="1"/>
      <c r="S2283" s="1"/>
      <c r="T2283" s="1"/>
      <c r="U2283" s="1"/>
      <c r="V2283" s="1"/>
      <c r="W2283" s="1"/>
      <c r="X2283" s="1"/>
    </row>
    <row x14ac:dyDescent="0.25" r="2284" customHeight="1" ht="18.75">
      <c r="A2284" s="1"/>
      <c r="B2284" s="1"/>
      <c r="C2284" s="3" t="s">
        <v>1861</v>
      </c>
      <c r="D2284" s="3" t="s">
        <v>2315</v>
      </c>
      <c r="E2284" s="1"/>
      <c r="F2284" s="1"/>
      <c r="G2284" s="1"/>
      <c r="H2284" s="1"/>
      <c r="I2284" s="2"/>
      <c r="J2284" s="1"/>
      <c r="K2284" s="1"/>
      <c r="L2284" s="1"/>
      <c r="M2284" s="1"/>
      <c r="N2284" s="1"/>
      <c r="O2284" s="1"/>
      <c r="P2284" s="1"/>
      <c r="Q2284" s="1"/>
      <c r="R2284" s="1"/>
      <c r="S2284" s="1"/>
      <c r="T2284" s="1"/>
      <c r="U2284" s="1"/>
      <c r="V2284" s="1"/>
      <c r="W2284" s="1"/>
      <c r="X2284" s="1"/>
    </row>
    <row x14ac:dyDescent="0.25" r="2285" customHeight="1" ht="18.75">
      <c r="A2285" s="1"/>
      <c r="B2285" s="1"/>
      <c r="C2285" s="3" t="s">
        <v>1861</v>
      </c>
      <c r="D2285" s="3" t="s">
        <v>2316</v>
      </c>
      <c r="E2285" s="1"/>
      <c r="F2285" s="1"/>
      <c r="G2285" s="1"/>
      <c r="H2285" s="1"/>
      <c r="I2285" s="2"/>
      <c r="J2285" s="1"/>
      <c r="K2285" s="1"/>
      <c r="L2285" s="1"/>
      <c r="M2285" s="1"/>
      <c r="N2285" s="1"/>
      <c r="O2285" s="1"/>
      <c r="P2285" s="1"/>
      <c r="Q2285" s="1"/>
      <c r="R2285" s="1"/>
      <c r="S2285" s="1"/>
      <c r="T2285" s="1"/>
      <c r="U2285" s="1"/>
      <c r="V2285" s="1"/>
      <c r="W2285" s="1"/>
      <c r="X2285" s="1"/>
    </row>
    <row x14ac:dyDescent="0.25" r="2286" customHeight="1" ht="18.75">
      <c r="A2286" s="1"/>
      <c r="B2286" s="1"/>
      <c r="C2286" s="3" t="s">
        <v>1861</v>
      </c>
      <c r="D2286" s="3" t="s">
        <v>2317</v>
      </c>
      <c r="E2286" s="1"/>
      <c r="F2286" s="1"/>
      <c r="G2286" s="1"/>
      <c r="H2286" s="1"/>
      <c r="I2286" s="2"/>
      <c r="J2286" s="1"/>
      <c r="K2286" s="1"/>
      <c r="L2286" s="1"/>
      <c r="M2286" s="1"/>
      <c r="N2286" s="1"/>
      <c r="O2286" s="1"/>
      <c r="P2286" s="1"/>
      <c r="Q2286" s="1"/>
      <c r="R2286" s="1"/>
      <c r="S2286" s="1"/>
      <c r="T2286" s="1"/>
      <c r="U2286" s="1"/>
      <c r="V2286" s="1"/>
      <c r="W2286" s="1"/>
      <c r="X2286" s="1"/>
    </row>
    <row x14ac:dyDescent="0.25" r="2287" customHeight="1" ht="18.75">
      <c r="A2287" s="1"/>
      <c r="B2287" s="1"/>
      <c r="C2287" s="3" t="s">
        <v>1861</v>
      </c>
      <c r="D2287" s="3" t="s">
        <v>2318</v>
      </c>
      <c r="E2287" s="1"/>
      <c r="F2287" s="1"/>
      <c r="G2287" s="1"/>
      <c r="H2287" s="1"/>
      <c r="I2287" s="2"/>
      <c r="J2287" s="1"/>
      <c r="K2287" s="1"/>
      <c r="L2287" s="1"/>
      <c r="M2287" s="1"/>
      <c r="N2287" s="1"/>
      <c r="O2287" s="1"/>
      <c r="P2287" s="1"/>
      <c r="Q2287" s="1"/>
      <c r="R2287" s="1"/>
      <c r="S2287" s="1"/>
      <c r="T2287" s="1"/>
      <c r="U2287" s="1"/>
      <c r="V2287" s="1"/>
      <c r="W2287" s="1"/>
      <c r="X2287" s="1"/>
    </row>
    <row x14ac:dyDescent="0.25" r="2288" customHeight="1" ht="18.75">
      <c r="A2288" s="1"/>
      <c r="B2288" s="1"/>
      <c r="C2288" s="3" t="s">
        <v>1861</v>
      </c>
      <c r="D2288" s="3" t="s">
        <v>2319</v>
      </c>
      <c r="E2288" s="1"/>
      <c r="F2288" s="1"/>
      <c r="G2288" s="1"/>
      <c r="H2288" s="1"/>
      <c r="I2288" s="2"/>
      <c r="J2288" s="1"/>
      <c r="K2288" s="1"/>
      <c r="L2288" s="1"/>
      <c r="M2288" s="1"/>
      <c r="N2288" s="1"/>
      <c r="O2288" s="1"/>
      <c r="P2288" s="1"/>
      <c r="Q2288" s="1"/>
      <c r="R2288" s="1"/>
      <c r="S2288" s="1"/>
      <c r="T2288" s="1"/>
      <c r="U2288" s="1"/>
      <c r="V2288" s="1"/>
      <c r="W2288" s="1"/>
      <c r="X2288" s="1"/>
    </row>
    <row x14ac:dyDescent="0.25" r="2289" customHeight="1" ht="18.75">
      <c r="A2289" s="1"/>
      <c r="B2289" s="1"/>
      <c r="C2289" s="3" t="s">
        <v>1861</v>
      </c>
      <c r="D2289" s="3" t="s">
        <v>2320</v>
      </c>
      <c r="E2289" s="1"/>
      <c r="F2289" s="1"/>
      <c r="G2289" s="1"/>
      <c r="H2289" s="1"/>
      <c r="I2289" s="2"/>
      <c r="J2289" s="1"/>
      <c r="K2289" s="1"/>
      <c r="L2289" s="1"/>
      <c r="M2289" s="1"/>
      <c r="N2289" s="1"/>
      <c r="O2289" s="1"/>
      <c r="P2289" s="1"/>
      <c r="Q2289" s="1"/>
      <c r="R2289" s="1"/>
      <c r="S2289" s="1"/>
      <c r="T2289" s="1"/>
      <c r="U2289" s="1"/>
      <c r="V2289" s="1"/>
      <c r="W2289" s="1"/>
      <c r="X2289" s="1"/>
    </row>
    <row x14ac:dyDescent="0.25" r="2290" customHeight="1" ht="18.75">
      <c r="A2290" s="1"/>
      <c r="B2290" s="1"/>
      <c r="C2290" s="3" t="s">
        <v>1861</v>
      </c>
      <c r="D2290" s="3" t="s">
        <v>2321</v>
      </c>
      <c r="E2290" s="1"/>
      <c r="F2290" s="1"/>
      <c r="G2290" s="1"/>
      <c r="H2290" s="1"/>
      <c r="I2290" s="2"/>
      <c r="J2290" s="1"/>
      <c r="K2290" s="1"/>
      <c r="L2290" s="1"/>
      <c r="M2290" s="1"/>
      <c r="N2290" s="1"/>
      <c r="O2290" s="1"/>
      <c r="P2290" s="1"/>
      <c r="Q2290" s="1"/>
      <c r="R2290" s="1"/>
      <c r="S2290" s="1"/>
      <c r="T2290" s="1"/>
      <c r="U2290" s="1"/>
      <c r="V2290" s="1"/>
      <c r="W2290" s="1"/>
      <c r="X2290" s="1"/>
    </row>
    <row x14ac:dyDescent="0.25" r="2291" customHeight="1" ht="18.75">
      <c r="A2291" s="1"/>
      <c r="B2291" s="1"/>
      <c r="C2291" s="3" t="s">
        <v>1861</v>
      </c>
      <c r="D2291" s="3" t="s">
        <v>2322</v>
      </c>
      <c r="E2291" s="1"/>
      <c r="F2291" s="1"/>
      <c r="G2291" s="1"/>
      <c r="H2291" s="1"/>
      <c r="I2291" s="2"/>
      <c r="J2291" s="1"/>
      <c r="K2291" s="1"/>
      <c r="L2291" s="1"/>
      <c r="M2291" s="1"/>
      <c r="N2291" s="1"/>
      <c r="O2291" s="1"/>
      <c r="P2291" s="1"/>
      <c r="Q2291" s="1"/>
      <c r="R2291" s="1"/>
      <c r="S2291" s="1"/>
      <c r="T2291" s="1"/>
      <c r="U2291" s="1"/>
      <c r="V2291" s="1"/>
      <c r="W2291" s="1"/>
      <c r="X2291" s="1"/>
    </row>
    <row x14ac:dyDescent="0.25" r="2292" customHeight="1" ht="18.75">
      <c r="A2292" s="1"/>
      <c r="B2292" s="1"/>
      <c r="C2292" s="3" t="s">
        <v>1861</v>
      </c>
      <c r="D2292" s="3" t="s">
        <v>2323</v>
      </c>
      <c r="E2292" s="1"/>
      <c r="F2292" s="1"/>
      <c r="G2292" s="1"/>
      <c r="H2292" s="1"/>
      <c r="I2292" s="2"/>
      <c r="J2292" s="1"/>
      <c r="K2292" s="1"/>
      <c r="L2292" s="1"/>
      <c r="M2292" s="1"/>
      <c r="N2292" s="1"/>
      <c r="O2292" s="1"/>
      <c r="P2292" s="1"/>
      <c r="Q2292" s="1"/>
      <c r="R2292" s="1"/>
      <c r="S2292" s="1"/>
      <c r="T2292" s="1"/>
      <c r="U2292" s="1"/>
      <c r="V2292" s="1"/>
      <c r="W2292" s="1"/>
      <c r="X2292" s="1"/>
    </row>
    <row x14ac:dyDescent="0.25" r="2293" customHeight="1" ht="18.75">
      <c r="A2293" s="1"/>
      <c r="B2293" s="1"/>
      <c r="C2293" s="3" t="s">
        <v>1861</v>
      </c>
      <c r="D2293" s="3" t="s">
        <v>2324</v>
      </c>
      <c r="E2293" s="1"/>
      <c r="F2293" s="1"/>
      <c r="G2293" s="1"/>
      <c r="H2293" s="1"/>
      <c r="I2293" s="2"/>
      <c r="J2293" s="1"/>
      <c r="K2293" s="1"/>
      <c r="L2293" s="1"/>
      <c r="M2293" s="1"/>
      <c r="N2293" s="1"/>
      <c r="O2293" s="1"/>
      <c r="P2293" s="1"/>
      <c r="Q2293" s="1"/>
      <c r="R2293" s="1"/>
      <c r="S2293" s="1"/>
      <c r="T2293" s="1"/>
      <c r="U2293" s="1"/>
      <c r="V2293" s="1"/>
      <c r="W2293" s="1"/>
      <c r="X2293" s="1"/>
    </row>
    <row x14ac:dyDescent="0.25" r="2294" customHeight="1" ht="18.75">
      <c r="A2294" s="1"/>
      <c r="B2294" s="1"/>
      <c r="C2294" s="3" t="s">
        <v>1861</v>
      </c>
      <c r="D2294" s="3" t="s">
        <v>2325</v>
      </c>
      <c r="E2294" s="1"/>
      <c r="F2294" s="1"/>
      <c r="G2294" s="1"/>
      <c r="H2294" s="1"/>
      <c r="I2294" s="2"/>
      <c r="J2294" s="1"/>
      <c r="K2294" s="1"/>
      <c r="L2294" s="1"/>
      <c r="M2294" s="1"/>
      <c r="N2294" s="1"/>
      <c r="O2294" s="1"/>
      <c r="P2294" s="1"/>
      <c r="Q2294" s="1"/>
      <c r="R2294" s="1"/>
      <c r="S2294" s="1"/>
      <c r="T2294" s="1"/>
      <c r="U2294" s="1"/>
      <c r="V2294" s="1"/>
      <c r="W2294" s="1"/>
      <c r="X2294" s="1"/>
    </row>
    <row x14ac:dyDescent="0.25" r="2295" customHeight="1" ht="18.75">
      <c r="A2295" s="1"/>
      <c r="B2295" s="1"/>
      <c r="C2295" s="3" t="s">
        <v>1861</v>
      </c>
      <c r="D2295" s="3" t="s">
        <v>2326</v>
      </c>
      <c r="E2295" s="1"/>
      <c r="F2295" s="1"/>
      <c r="G2295" s="1"/>
      <c r="H2295" s="1"/>
      <c r="I2295" s="2"/>
      <c r="J2295" s="1"/>
      <c r="K2295" s="1"/>
      <c r="L2295" s="1"/>
      <c r="M2295" s="1"/>
      <c r="N2295" s="1"/>
      <c r="O2295" s="1"/>
      <c r="P2295" s="1"/>
      <c r="Q2295" s="1"/>
      <c r="R2295" s="1"/>
      <c r="S2295" s="1"/>
      <c r="T2295" s="1"/>
      <c r="U2295" s="1"/>
      <c r="V2295" s="1"/>
      <c r="W2295" s="1"/>
      <c r="X2295" s="1"/>
    </row>
    <row x14ac:dyDescent="0.25" r="2296" customHeight="1" ht="18.75">
      <c r="A2296" s="1"/>
      <c r="B2296" s="1"/>
      <c r="C2296" s="3" t="s">
        <v>1861</v>
      </c>
      <c r="D2296" s="3" t="s">
        <v>2327</v>
      </c>
      <c r="E2296" s="1"/>
      <c r="F2296" s="1"/>
      <c r="G2296" s="1"/>
      <c r="H2296" s="1"/>
      <c r="I2296" s="2"/>
      <c r="J2296" s="1"/>
      <c r="K2296" s="1"/>
      <c r="L2296" s="1"/>
      <c r="M2296" s="1"/>
      <c r="N2296" s="1"/>
      <c r="O2296" s="1"/>
      <c r="P2296" s="1"/>
      <c r="Q2296" s="1"/>
      <c r="R2296" s="1"/>
      <c r="S2296" s="1"/>
      <c r="T2296" s="1"/>
      <c r="U2296" s="1"/>
      <c r="V2296" s="1"/>
      <c r="W2296" s="1"/>
      <c r="X2296" s="1"/>
    </row>
    <row x14ac:dyDescent="0.25" r="2297" customHeight="1" ht="18.75">
      <c r="A2297" s="1"/>
      <c r="B2297" s="1"/>
      <c r="C2297" s="3" t="s">
        <v>1861</v>
      </c>
      <c r="D2297" s="3" t="s">
        <v>2328</v>
      </c>
      <c r="E2297" s="1"/>
      <c r="F2297" s="1"/>
      <c r="G2297" s="1"/>
      <c r="H2297" s="1"/>
      <c r="I2297" s="2"/>
      <c r="J2297" s="1"/>
      <c r="K2297" s="1"/>
      <c r="L2297" s="1"/>
      <c r="M2297" s="1"/>
      <c r="N2297" s="1"/>
      <c r="O2297" s="1"/>
      <c r="P2297" s="1"/>
      <c r="Q2297" s="1"/>
      <c r="R2297" s="1"/>
      <c r="S2297" s="1"/>
      <c r="T2297" s="1"/>
      <c r="U2297" s="1"/>
      <c r="V2297" s="1"/>
      <c r="W2297" s="1"/>
      <c r="X2297" s="1"/>
    </row>
    <row x14ac:dyDescent="0.25" r="2298" customHeight="1" ht="18.75">
      <c r="A2298" s="1"/>
      <c r="B2298" s="1"/>
      <c r="C2298" s="3" t="s">
        <v>1861</v>
      </c>
      <c r="D2298" s="3" t="s">
        <v>2329</v>
      </c>
      <c r="E2298" s="1"/>
      <c r="F2298" s="1"/>
      <c r="G2298" s="1"/>
      <c r="H2298" s="1"/>
      <c r="I2298" s="2"/>
      <c r="J2298" s="1"/>
      <c r="K2298" s="1"/>
      <c r="L2298" s="1"/>
      <c r="M2298" s="1"/>
      <c r="N2298" s="1"/>
      <c r="O2298" s="1"/>
      <c r="P2298" s="1"/>
      <c r="Q2298" s="1"/>
      <c r="R2298" s="1"/>
      <c r="S2298" s="1"/>
      <c r="T2298" s="1"/>
      <c r="U2298" s="1"/>
      <c r="V2298" s="1"/>
      <c r="W2298" s="1"/>
      <c r="X2298" s="1"/>
    </row>
    <row x14ac:dyDescent="0.25" r="2299" customHeight="1" ht="18.75">
      <c r="A2299" s="1"/>
      <c r="B2299" s="1"/>
      <c r="C2299" s="3" t="s">
        <v>1861</v>
      </c>
      <c r="D2299" s="3" t="s">
        <v>2330</v>
      </c>
      <c r="E2299" s="1"/>
      <c r="F2299" s="1"/>
      <c r="G2299" s="1"/>
      <c r="H2299" s="1"/>
      <c r="I2299" s="2"/>
      <c r="J2299" s="1"/>
      <c r="K2299" s="1"/>
      <c r="L2299" s="1"/>
      <c r="M2299" s="1"/>
      <c r="N2299" s="1"/>
      <c r="O2299" s="1"/>
      <c r="P2299" s="1"/>
      <c r="Q2299" s="1"/>
      <c r="R2299" s="1"/>
      <c r="S2299" s="1"/>
      <c r="T2299" s="1"/>
      <c r="U2299" s="1"/>
      <c r="V2299" s="1"/>
      <c r="W2299" s="1"/>
      <c r="X2299" s="1"/>
    </row>
    <row x14ac:dyDescent="0.25" r="2300" customHeight="1" ht="18.75">
      <c r="A2300" s="1"/>
      <c r="B2300" s="1"/>
      <c r="C2300" s="3" t="s">
        <v>1861</v>
      </c>
      <c r="D2300" s="3" t="s">
        <v>2331</v>
      </c>
      <c r="E2300" s="1"/>
      <c r="F2300" s="1"/>
      <c r="G2300" s="1"/>
      <c r="H2300" s="1"/>
      <c r="I2300" s="2"/>
      <c r="J2300" s="1"/>
      <c r="K2300" s="1"/>
      <c r="L2300" s="1"/>
      <c r="M2300" s="1"/>
      <c r="N2300" s="1"/>
      <c r="O2300" s="1"/>
      <c r="P2300" s="1"/>
      <c r="Q2300" s="1"/>
      <c r="R2300" s="1"/>
      <c r="S2300" s="1"/>
      <c r="T2300" s="1"/>
      <c r="U2300" s="1"/>
      <c r="V2300" s="1"/>
      <c r="W2300" s="1"/>
      <c r="X2300" s="1"/>
    </row>
    <row x14ac:dyDescent="0.25" r="2301" customHeight="1" ht="18.75">
      <c r="A2301" s="1"/>
      <c r="B2301" s="1"/>
      <c r="C2301" s="3" t="s">
        <v>1861</v>
      </c>
      <c r="D2301" s="3" t="s">
        <v>2332</v>
      </c>
      <c r="E2301" s="1"/>
      <c r="F2301" s="1"/>
      <c r="G2301" s="1"/>
      <c r="H2301" s="1"/>
      <c r="I2301" s="2"/>
      <c r="J2301" s="1"/>
      <c r="K2301" s="1"/>
      <c r="L2301" s="1"/>
      <c r="M2301" s="1"/>
      <c r="N2301" s="1"/>
      <c r="O2301" s="1"/>
      <c r="P2301" s="1"/>
      <c r="Q2301" s="1"/>
      <c r="R2301" s="1"/>
      <c r="S2301" s="1"/>
      <c r="T2301" s="1"/>
      <c r="U2301" s="1"/>
      <c r="V2301" s="1"/>
      <c r="W2301" s="1"/>
      <c r="X2301" s="1"/>
    </row>
    <row x14ac:dyDescent="0.25" r="2302" customHeight="1" ht="18.75">
      <c r="A2302" s="1"/>
      <c r="B2302" s="1"/>
      <c r="C2302" s="3" t="s">
        <v>1861</v>
      </c>
      <c r="D2302" s="3" t="s">
        <v>2333</v>
      </c>
      <c r="E2302" s="1"/>
      <c r="F2302" s="1"/>
      <c r="G2302" s="1"/>
      <c r="H2302" s="1"/>
      <c r="I2302" s="2"/>
      <c r="J2302" s="1"/>
      <c r="K2302" s="1"/>
      <c r="L2302" s="1"/>
      <c r="M2302" s="1"/>
      <c r="N2302" s="1"/>
      <c r="O2302" s="1"/>
      <c r="P2302" s="1"/>
      <c r="Q2302" s="1"/>
      <c r="R2302" s="1"/>
      <c r="S2302" s="1"/>
      <c r="T2302" s="1"/>
      <c r="U2302" s="1"/>
      <c r="V2302" s="1"/>
      <c r="W2302" s="1"/>
      <c r="X2302" s="1"/>
    </row>
    <row x14ac:dyDescent="0.25" r="2303" customHeight="1" ht="18.75">
      <c r="A2303" s="1"/>
      <c r="B2303" s="1"/>
      <c r="C2303" s="3" t="s">
        <v>1861</v>
      </c>
      <c r="D2303" s="3" t="s">
        <v>2334</v>
      </c>
      <c r="E2303" s="1"/>
      <c r="F2303" s="1"/>
      <c r="G2303" s="1"/>
      <c r="H2303" s="1"/>
      <c r="I2303" s="2"/>
      <c r="J2303" s="1"/>
      <c r="K2303" s="1"/>
      <c r="L2303" s="1"/>
      <c r="M2303" s="1"/>
      <c r="N2303" s="1"/>
      <c r="O2303" s="1"/>
      <c r="P2303" s="1"/>
      <c r="Q2303" s="1"/>
      <c r="R2303" s="1"/>
      <c r="S2303" s="1"/>
      <c r="T2303" s="1"/>
      <c r="U2303" s="1"/>
      <c r="V2303" s="1"/>
      <c r="W2303" s="1"/>
      <c r="X2303" s="1"/>
    </row>
    <row x14ac:dyDescent="0.25" r="2304" customHeight="1" ht="18.75">
      <c r="A2304" s="1"/>
      <c r="B2304" s="1"/>
      <c r="C2304" s="3" t="s">
        <v>1861</v>
      </c>
      <c r="D2304" s="3" t="s">
        <v>2335</v>
      </c>
      <c r="E2304" s="1"/>
      <c r="F2304" s="1"/>
      <c r="G2304" s="1"/>
      <c r="H2304" s="1"/>
      <c r="I2304" s="2"/>
      <c r="J2304" s="1"/>
      <c r="K2304" s="1"/>
      <c r="L2304" s="1"/>
      <c r="M2304" s="1"/>
      <c r="N2304" s="1"/>
      <c r="O2304" s="1"/>
      <c r="P2304" s="1"/>
      <c r="Q2304" s="1"/>
      <c r="R2304" s="1"/>
      <c r="S2304" s="1"/>
      <c r="T2304" s="1"/>
      <c r="U2304" s="1"/>
      <c r="V2304" s="1"/>
      <c r="W2304" s="1"/>
      <c r="X2304" s="1"/>
    </row>
    <row x14ac:dyDescent="0.25" r="2305" customHeight="1" ht="18.75">
      <c r="A2305" s="1"/>
      <c r="B2305" s="1"/>
      <c r="C2305" s="3" t="s">
        <v>1861</v>
      </c>
      <c r="D2305" s="3" t="s">
        <v>2336</v>
      </c>
      <c r="E2305" s="1"/>
      <c r="F2305" s="1"/>
      <c r="G2305" s="1"/>
      <c r="H2305" s="1"/>
      <c r="I2305" s="2"/>
      <c r="J2305" s="1"/>
      <c r="K2305" s="1"/>
      <c r="L2305" s="1"/>
      <c r="M2305" s="1"/>
      <c r="N2305" s="1"/>
      <c r="O2305" s="1"/>
      <c r="P2305" s="1"/>
      <c r="Q2305" s="1"/>
      <c r="R2305" s="1"/>
      <c r="S2305" s="1"/>
      <c r="T2305" s="1"/>
      <c r="U2305" s="1"/>
      <c r="V2305" s="1"/>
      <c r="W2305" s="1"/>
      <c r="X2305" s="1"/>
    </row>
    <row x14ac:dyDescent="0.25" r="2306" customHeight="1" ht="18.75">
      <c r="A2306" s="1"/>
      <c r="B2306" s="1"/>
      <c r="C2306" s="3" t="s">
        <v>1861</v>
      </c>
      <c r="D2306" s="3" t="s">
        <v>2337</v>
      </c>
      <c r="E2306" s="1"/>
      <c r="F2306" s="1"/>
      <c r="G2306" s="1"/>
      <c r="H2306" s="1"/>
      <c r="I2306" s="2"/>
      <c r="J2306" s="1"/>
      <c r="K2306" s="1"/>
      <c r="L2306" s="1"/>
      <c r="M2306" s="1"/>
      <c r="N2306" s="1"/>
      <c r="O2306" s="1"/>
      <c r="P2306" s="1"/>
      <c r="Q2306" s="1"/>
      <c r="R2306" s="1"/>
      <c r="S2306" s="1"/>
      <c r="T2306" s="1"/>
      <c r="U2306" s="1"/>
      <c r="V2306" s="1"/>
      <c r="W2306" s="1"/>
      <c r="X2306" s="1"/>
    </row>
    <row x14ac:dyDescent="0.25" r="2307" customHeight="1" ht="18.75">
      <c r="A2307" s="1"/>
      <c r="B2307" s="1"/>
      <c r="C2307" s="3" t="s">
        <v>1861</v>
      </c>
      <c r="D2307" s="3" t="s">
        <v>2338</v>
      </c>
      <c r="E2307" s="1"/>
      <c r="F2307" s="1"/>
      <c r="G2307" s="1"/>
      <c r="H2307" s="1"/>
      <c r="I2307" s="2"/>
      <c r="J2307" s="1"/>
      <c r="K2307" s="1"/>
      <c r="L2307" s="1"/>
      <c r="M2307" s="1"/>
      <c r="N2307" s="1"/>
      <c r="O2307" s="1"/>
      <c r="P2307" s="1"/>
      <c r="Q2307" s="1"/>
      <c r="R2307" s="1"/>
      <c r="S2307" s="1"/>
      <c r="T2307" s="1"/>
      <c r="U2307" s="1"/>
      <c r="V2307" s="1"/>
      <c r="W2307" s="1"/>
      <c r="X2307" s="1"/>
    </row>
    <row x14ac:dyDescent="0.25" r="2308" customHeight="1" ht="18.75">
      <c r="A2308" s="1"/>
      <c r="B2308" s="1"/>
      <c r="C2308" s="3" t="s">
        <v>1861</v>
      </c>
      <c r="D2308" s="3" t="s">
        <v>2339</v>
      </c>
      <c r="E2308" s="1"/>
      <c r="F2308" s="1"/>
      <c r="G2308" s="1"/>
      <c r="H2308" s="1"/>
      <c r="I2308" s="2"/>
      <c r="J2308" s="1"/>
      <c r="K2308" s="1"/>
      <c r="L2308" s="1"/>
      <c r="M2308" s="1"/>
      <c r="N2308" s="1"/>
      <c r="O2308" s="1"/>
      <c r="P2308" s="1"/>
      <c r="Q2308" s="1"/>
      <c r="R2308" s="1"/>
      <c r="S2308" s="1"/>
      <c r="T2308" s="1"/>
      <c r="U2308" s="1"/>
      <c r="V2308" s="1"/>
      <c r="W2308" s="1"/>
      <c r="X2308" s="1"/>
    </row>
    <row x14ac:dyDescent="0.25" r="2309" customHeight="1" ht="18.75">
      <c r="A2309" s="1"/>
      <c r="B2309" s="1"/>
      <c r="C2309" s="3" t="s">
        <v>1861</v>
      </c>
      <c r="D2309" s="3" t="s">
        <v>2340</v>
      </c>
      <c r="E2309" s="1"/>
      <c r="F2309" s="1"/>
      <c r="G2309" s="1"/>
      <c r="H2309" s="1"/>
      <c r="I2309" s="2"/>
      <c r="J2309" s="1"/>
      <c r="K2309" s="1"/>
      <c r="L2309" s="1"/>
      <c r="M2309" s="1"/>
      <c r="N2309" s="1"/>
      <c r="O2309" s="1"/>
      <c r="P2309" s="1"/>
      <c r="Q2309" s="1"/>
      <c r="R2309" s="1"/>
      <c r="S2309" s="1"/>
      <c r="T2309" s="1"/>
      <c r="U2309" s="1"/>
      <c r="V2309" s="1"/>
      <c r="W2309" s="1"/>
      <c r="X2309" s="1"/>
    </row>
    <row x14ac:dyDescent="0.25" r="2310" customHeight="1" ht="18.75">
      <c r="A2310" s="1"/>
      <c r="B2310" s="1"/>
      <c r="C2310" s="3" t="s">
        <v>1861</v>
      </c>
      <c r="D2310" s="3" t="s">
        <v>2341</v>
      </c>
      <c r="E2310" s="1"/>
      <c r="F2310" s="1"/>
      <c r="G2310" s="1"/>
      <c r="H2310" s="1"/>
      <c r="I2310" s="2"/>
      <c r="J2310" s="1"/>
      <c r="K2310" s="1"/>
      <c r="L2310" s="1"/>
      <c r="M2310" s="1"/>
      <c r="N2310" s="1"/>
      <c r="O2310" s="1"/>
      <c r="P2310" s="1"/>
      <c r="Q2310" s="1"/>
      <c r="R2310" s="1"/>
      <c r="S2310" s="1"/>
      <c r="T2310" s="1"/>
      <c r="U2310" s="1"/>
      <c r="V2310" s="1"/>
      <c r="W2310" s="1"/>
      <c r="X2310" s="1"/>
    </row>
    <row x14ac:dyDescent="0.25" r="2311" customHeight="1" ht="18.75">
      <c r="A2311" s="1"/>
      <c r="B2311" s="1"/>
      <c r="C2311" s="3" t="s">
        <v>1861</v>
      </c>
      <c r="D2311" s="3" t="s">
        <v>2342</v>
      </c>
      <c r="E2311" s="1"/>
      <c r="F2311" s="1"/>
      <c r="G2311" s="1"/>
      <c r="H2311" s="1"/>
      <c r="I2311" s="2"/>
      <c r="J2311" s="1"/>
      <c r="K2311" s="1"/>
      <c r="L2311" s="1"/>
      <c r="M2311" s="1"/>
      <c r="N2311" s="1"/>
      <c r="O2311" s="1"/>
      <c r="P2311" s="1"/>
      <c r="Q2311" s="1"/>
      <c r="R2311" s="1"/>
      <c r="S2311" s="1"/>
      <c r="T2311" s="1"/>
      <c r="U2311" s="1"/>
      <c r="V2311" s="1"/>
      <c r="W2311" s="1"/>
      <c r="X2311" s="1"/>
    </row>
    <row x14ac:dyDescent="0.25" r="2312" customHeight="1" ht="18.75">
      <c r="A2312" s="1"/>
      <c r="B2312" s="1"/>
      <c r="C2312" s="3" t="s">
        <v>1861</v>
      </c>
      <c r="D2312" s="3" t="s">
        <v>2343</v>
      </c>
      <c r="E2312" s="1"/>
      <c r="F2312" s="1"/>
      <c r="G2312" s="1"/>
      <c r="H2312" s="1"/>
      <c r="I2312" s="2"/>
      <c r="J2312" s="1"/>
      <c r="K2312" s="1"/>
      <c r="L2312" s="1"/>
      <c r="M2312" s="1"/>
      <c r="N2312" s="1"/>
      <c r="O2312" s="1"/>
      <c r="P2312" s="1"/>
      <c r="Q2312" s="1"/>
      <c r="R2312" s="1"/>
      <c r="S2312" s="1"/>
      <c r="T2312" s="1"/>
      <c r="U2312" s="1"/>
      <c r="V2312" s="1"/>
      <c r="W2312" s="1"/>
      <c r="X2312" s="1"/>
    </row>
    <row x14ac:dyDescent="0.25" r="2313" customHeight="1" ht="18.75">
      <c r="A2313" s="1"/>
      <c r="B2313" s="1"/>
      <c r="C2313" s="3" t="s">
        <v>1861</v>
      </c>
      <c r="D2313" s="3" t="s">
        <v>2344</v>
      </c>
      <c r="E2313" s="1"/>
      <c r="F2313" s="1"/>
      <c r="G2313" s="1"/>
      <c r="H2313" s="1"/>
      <c r="I2313" s="2"/>
      <c r="J2313" s="1"/>
      <c r="K2313" s="1"/>
      <c r="L2313" s="1"/>
      <c r="M2313" s="1"/>
      <c r="N2313" s="1"/>
      <c r="O2313" s="1"/>
      <c r="P2313" s="1"/>
      <c r="Q2313" s="1"/>
      <c r="R2313" s="1"/>
      <c r="S2313" s="1"/>
      <c r="T2313" s="1"/>
      <c r="U2313" s="1"/>
      <c r="V2313" s="1"/>
      <c r="W2313" s="1"/>
      <c r="X2313" s="1"/>
    </row>
    <row x14ac:dyDescent="0.25" r="2314" customHeight="1" ht="18.75">
      <c r="A2314" s="1"/>
      <c r="B2314" s="1"/>
      <c r="C2314" s="3" t="s">
        <v>1861</v>
      </c>
      <c r="D2314" s="3" t="s">
        <v>2345</v>
      </c>
      <c r="E2314" s="1"/>
      <c r="F2314" s="1"/>
      <c r="G2314" s="1"/>
      <c r="H2314" s="1"/>
      <c r="I2314" s="2"/>
      <c r="J2314" s="1"/>
      <c r="K2314" s="1"/>
      <c r="L2314" s="1"/>
      <c r="M2314" s="1"/>
      <c r="N2314" s="1"/>
      <c r="O2314" s="1"/>
      <c r="P2314" s="1"/>
      <c r="Q2314" s="1"/>
      <c r="R2314" s="1"/>
      <c r="S2314" s="1"/>
      <c r="T2314" s="1"/>
      <c r="U2314" s="1"/>
      <c r="V2314" s="1"/>
      <c r="W2314" s="1"/>
      <c r="X2314" s="1"/>
    </row>
    <row x14ac:dyDescent="0.25" r="2315" customHeight="1" ht="18.75">
      <c r="A2315" s="1"/>
      <c r="B2315" s="1"/>
      <c r="C2315" s="3" t="s">
        <v>1861</v>
      </c>
      <c r="D2315" s="3" t="s">
        <v>2346</v>
      </c>
      <c r="E2315" s="1"/>
      <c r="F2315" s="1"/>
      <c r="G2315" s="1"/>
      <c r="H2315" s="1"/>
      <c r="I2315" s="2"/>
      <c r="J2315" s="1"/>
      <c r="K2315" s="1"/>
      <c r="L2315" s="1"/>
      <c r="M2315" s="1"/>
      <c r="N2315" s="1"/>
      <c r="O2315" s="1"/>
      <c r="P2315" s="1"/>
      <c r="Q2315" s="1"/>
      <c r="R2315" s="1"/>
      <c r="S2315" s="1"/>
      <c r="T2315" s="1"/>
      <c r="U2315" s="1"/>
      <c r="V2315" s="1"/>
      <c r="W2315" s="1"/>
      <c r="X2315" s="1"/>
    </row>
    <row x14ac:dyDescent="0.25" r="2316" customHeight="1" ht="18.75">
      <c r="A2316" s="1"/>
      <c r="B2316" s="1"/>
      <c r="C2316" s="3" t="s">
        <v>1861</v>
      </c>
      <c r="D2316" s="3" t="s">
        <v>2347</v>
      </c>
      <c r="E2316" s="1"/>
      <c r="F2316" s="1"/>
      <c r="G2316" s="1"/>
      <c r="H2316" s="1"/>
      <c r="I2316" s="2"/>
      <c r="J2316" s="1"/>
      <c r="K2316" s="1"/>
      <c r="L2316" s="1"/>
      <c r="M2316" s="1"/>
      <c r="N2316" s="1"/>
      <c r="O2316" s="1"/>
      <c r="P2316" s="1"/>
      <c r="Q2316" s="1"/>
      <c r="R2316" s="1"/>
      <c r="S2316" s="1"/>
      <c r="T2316" s="1"/>
      <c r="U2316" s="1"/>
      <c r="V2316" s="1"/>
      <c r="W2316" s="1"/>
      <c r="X2316" s="1"/>
    </row>
    <row x14ac:dyDescent="0.25" r="2317" customHeight="1" ht="18.75">
      <c r="A2317" s="1"/>
      <c r="B2317" s="1"/>
      <c r="C2317" s="3" t="s">
        <v>1861</v>
      </c>
      <c r="D2317" s="3" t="s">
        <v>2348</v>
      </c>
      <c r="E2317" s="1"/>
      <c r="F2317" s="1"/>
      <c r="G2317" s="1"/>
      <c r="H2317" s="1"/>
      <c r="I2317" s="2"/>
      <c r="J2317" s="1"/>
      <c r="K2317" s="1"/>
      <c r="L2317" s="1"/>
      <c r="M2317" s="1"/>
      <c r="N2317" s="1"/>
      <c r="O2317" s="1"/>
      <c r="P2317" s="1"/>
      <c r="Q2317" s="1"/>
      <c r="R2317" s="1"/>
      <c r="S2317" s="1"/>
      <c r="T2317" s="1"/>
      <c r="U2317" s="1"/>
      <c r="V2317" s="1"/>
      <c r="W2317" s="1"/>
      <c r="X2317" s="1"/>
    </row>
    <row x14ac:dyDescent="0.25" r="2318" customHeight="1" ht="18.75">
      <c r="A2318" s="1"/>
      <c r="B2318" s="1"/>
      <c r="C2318" s="3" t="s">
        <v>1861</v>
      </c>
      <c r="D2318" s="3" t="s">
        <v>2349</v>
      </c>
      <c r="E2318" s="1"/>
      <c r="F2318" s="1"/>
      <c r="G2318" s="1"/>
      <c r="H2318" s="1"/>
      <c r="I2318" s="2"/>
      <c r="J2318" s="1"/>
      <c r="K2318" s="1"/>
      <c r="L2318" s="1"/>
      <c r="M2318" s="1"/>
      <c r="N2318" s="1"/>
      <c r="O2318" s="1"/>
      <c r="P2318" s="1"/>
      <c r="Q2318" s="1"/>
      <c r="R2318" s="1"/>
      <c r="S2318" s="1"/>
      <c r="T2318" s="1"/>
      <c r="U2318" s="1"/>
      <c r="V2318" s="1"/>
      <c r="W2318" s="1"/>
      <c r="X2318" s="1"/>
    </row>
    <row x14ac:dyDescent="0.25" r="2319" customHeight="1" ht="18.75">
      <c r="A2319" s="1"/>
      <c r="B2319" s="1"/>
      <c r="C2319" s="3" t="s">
        <v>1861</v>
      </c>
      <c r="D2319" s="3" t="s">
        <v>2350</v>
      </c>
      <c r="E2319" s="1"/>
      <c r="F2319" s="1"/>
      <c r="G2319" s="1"/>
      <c r="H2319" s="1"/>
      <c r="I2319" s="2"/>
      <c r="J2319" s="1"/>
      <c r="K2319" s="1"/>
      <c r="L2319" s="1"/>
      <c r="M2319" s="1"/>
      <c r="N2319" s="1"/>
      <c r="O2319" s="1"/>
      <c r="P2319" s="1"/>
      <c r="Q2319" s="1"/>
      <c r="R2319" s="1"/>
      <c r="S2319" s="1"/>
      <c r="T2319" s="1"/>
      <c r="U2319" s="1"/>
      <c r="V2319" s="1"/>
      <c r="W2319" s="1"/>
      <c r="X2319" s="1"/>
    </row>
    <row x14ac:dyDescent="0.25" r="2320" customHeight="1" ht="18.75">
      <c r="A2320" s="1"/>
      <c r="B2320" s="1"/>
      <c r="C2320" s="3" t="s">
        <v>1861</v>
      </c>
      <c r="D2320" s="3" t="s">
        <v>2351</v>
      </c>
      <c r="E2320" s="1"/>
      <c r="F2320" s="1"/>
      <c r="G2320" s="1"/>
      <c r="H2320" s="1"/>
      <c r="I2320" s="2"/>
      <c r="J2320" s="1"/>
      <c r="K2320" s="1"/>
      <c r="L2320" s="1"/>
      <c r="M2320" s="1"/>
      <c r="N2320" s="1"/>
      <c r="O2320" s="1"/>
      <c r="P2320" s="1"/>
      <c r="Q2320" s="1"/>
      <c r="R2320" s="1"/>
      <c r="S2320" s="1"/>
      <c r="T2320" s="1"/>
      <c r="U2320" s="1"/>
      <c r="V2320" s="1"/>
      <c r="W2320" s="1"/>
      <c r="X2320" s="1"/>
    </row>
    <row x14ac:dyDescent="0.25" r="2321" customHeight="1" ht="18.75">
      <c r="A2321" s="1"/>
      <c r="B2321" s="1"/>
      <c r="C2321" s="3" t="s">
        <v>1861</v>
      </c>
      <c r="D2321" s="3" t="s">
        <v>2352</v>
      </c>
      <c r="E2321" s="1"/>
      <c r="F2321" s="1"/>
      <c r="G2321" s="1"/>
      <c r="H2321" s="1"/>
      <c r="I2321" s="2"/>
      <c r="J2321" s="1"/>
      <c r="K2321" s="1"/>
      <c r="L2321" s="1"/>
      <c r="M2321" s="1"/>
      <c r="N2321" s="1"/>
      <c r="O2321" s="1"/>
      <c r="P2321" s="1"/>
      <c r="Q2321" s="1"/>
      <c r="R2321" s="1"/>
      <c r="S2321" s="1"/>
      <c r="T2321" s="1"/>
      <c r="U2321" s="1"/>
      <c r="V2321" s="1"/>
      <c r="W2321" s="1"/>
      <c r="X2321" s="1"/>
    </row>
    <row x14ac:dyDescent="0.25" r="2322" customHeight="1" ht="18.75">
      <c r="A2322" s="1"/>
      <c r="B2322" s="1"/>
      <c r="C2322" s="3" t="s">
        <v>1861</v>
      </c>
      <c r="D2322" s="3" t="s">
        <v>2353</v>
      </c>
      <c r="E2322" s="1"/>
      <c r="F2322" s="1"/>
      <c r="G2322" s="1"/>
      <c r="H2322" s="1"/>
      <c r="I2322" s="2"/>
      <c r="J2322" s="1"/>
      <c r="K2322" s="1"/>
      <c r="L2322" s="1"/>
      <c r="M2322" s="1"/>
      <c r="N2322" s="1"/>
      <c r="O2322" s="1"/>
      <c r="P2322" s="1"/>
      <c r="Q2322" s="1"/>
      <c r="R2322" s="1"/>
      <c r="S2322" s="1"/>
      <c r="T2322" s="1"/>
      <c r="U2322" s="1"/>
      <c r="V2322" s="1"/>
      <c r="W2322" s="1"/>
      <c r="X2322" s="1"/>
    </row>
    <row x14ac:dyDescent="0.25" r="2323" customHeight="1" ht="18.75">
      <c r="A2323" s="1"/>
      <c r="B2323" s="1"/>
      <c r="C2323" s="3" t="s">
        <v>1861</v>
      </c>
      <c r="D2323" s="3" t="s">
        <v>2354</v>
      </c>
      <c r="E2323" s="1"/>
      <c r="F2323" s="1"/>
      <c r="G2323" s="1"/>
      <c r="H2323" s="1"/>
      <c r="I2323" s="2"/>
      <c r="J2323" s="1"/>
      <c r="K2323" s="1"/>
      <c r="L2323" s="1"/>
      <c r="M2323" s="1"/>
      <c r="N2323" s="1"/>
      <c r="O2323" s="1"/>
      <c r="P2323" s="1"/>
      <c r="Q2323" s="1"/>
      <c r="R2323" s="1"/>
      <c r="S2323" s="1"/>
      <c r="T2323" s="1"/>
      <c r="U2323" s="1"/>
      <c r="V2323" s="1"/>
      <c r="W2323" s="1"/>
      <c r="X2323" s="1"/>
    </row>
    <row x14ac:dyDescent="0.25" r="2324" customHeight="1" ht="18.75">
      <c r="A2324" s="1"/>
      <c r="B2324" s="1"/>
      <c r="C2324" s="3" t="s">
        <v>1861</v>
      </c>
      <c r="D2324" s="3" t="s">
        <v>2355</v>
      </c>
      <c r="E2324" s="1"/>
      <c r="F2324" s="1"/>
      <c r="G2324" s="1"/>
      <c r="H2324" s="1"/>
      <c r="I2324" s="2"/>
      <c r="J2324" s="1"/>
      <c r="K2324" s="1"/>
      <c r="L2324" s="1"/>
      <c r="M2324" s="1"/>
      <c r="N2324" s="1"/>
      <c r="O2324" s="1"/>
      <c r="P2324" s="1"/>
      <c r="Q2324" s="1"/>
      <c r="R2324" s="1"/>
      <c r="S2324" s="1"/>
      <c r="T2324" s="1"/>
      <c r="U2324" s="1"/>
      <c r="V2324" s="1"/>
      <c r="W2324" s="1"/>
      <c r="X2324" s="1"/>
    </row>
    <row x14ac:dyDescent="0.25" r="2325" customHeight="1" ht="18.75">
      <c r="A2325" s="1"/>
      <c r="B2325" s="1"/>
      <c r="C2325" s="3" t="s">
        <v>1861</v>
      </c>
      <c r="D2325" s="3" t="s">
        <v>2356</v>
      </c>
      <c r="E2325" s="1"/>
      <c r="F2325" s="1"/>
      <c r="G2325" s="1"/>
      <c r="H2325" s="1"/>
      <c r="I2325" s="2"/>
      <c r="J2325" s="1"/>
      <c r="K2325" s="1"/>
      <c r="L2325" s="1"/>
      <c r="M2325" s="1"/>
      <c r="N2325" s="1"/>
      <c r="O2325" s="1"/>
      <c r="P2325" s="1"/>
      <c r="Q2325" s="1"/>
      <c r="R2325" s="1"/>
      <c r="S2325" s="1"/>
      <c r="T2325" s="1"/>
      <c r="U2325" s="1"/>
      <c r="V2325" s="1"/>
      <c r="W2325" s="1"/>
      <c r="X2325" s="1"/>
    </row>
    <row x14ac:dyDescent="0.25" r="2326" customHeight="1" ht="18.75">
      <c r="A2326" s="1"/>
      <c r="B2326" s="1"/>
      <c r="C2326" s="3" t="s">
        <v>1861</v>
      </c>
      <c r="D2326" s="3" t="s">
        <v>2357</v>
      </c>
      <c r="E2326" s="1"/>
      <c r="F2326" s="1"/>
      <c r="G2326" s="1"/>
      <c r="H2326" s="1"/>
      <c r="I2326" s="2"/>
      <c r="J2326" s="1"/>
      <c r="K2326" s="1"/>
      <c r="L2326" s="1"/>
      <c r="M2326" s="1"/>
      <c r="N2326" s="1"/>
      <c r="O2326" s="1"/>
      <c r="P2326" s="1"/>
      <c r="Q2326" s="1"/>
      <c r="R2326" s="1"/>
      <c r="S2326" s="1"/>
      <c r="T2326" s="1"/>
      <c r="U2326" s="1"/>
      <c r="V2326" s="1"/>
      <c r="W2326" s="1"/>
      <c r="X2326" s="1"/>
    </row>
    <row x14ac:dyDescent="0.25" r="2327" customHeight="1" ht="18.75">
      <c r="A2327" s="1"/>
      <c r="B2327" s="1"/>
      <c r="C2327" s="3" t="s">
        <v>1861</v>
      </c>
      <c r="D2327" s="3" t="s">
        <v>2358</v>
      </c>
      <c r="E2327" s="1"/>
      <c r="F2327" s="1"/>
      <c r="G2327" s="1"/>
      <c r="H2327" s="1"/>
      <c r="I2327" s="2"/>
      <c r="J2327" s="1"/>
      <c r="K2327" s="1"/>
      <c r="L2327" s="1"/>
      <c r="M2327" s="1"/>
      <c r="N2327" s="1"/>
      <c r="O2327" s="1"/>
      <c r="P2327" s="1"/>
      <c r="Q2327" s="1"/>
      <c r="R2327" s="1"/>
      <c r="S2327" s="1"/>
      <c r="T2327" s="1"/>
      <c r="U2327" s="1"/>
      <c r="V2327" s="1"/>
      <c r="W2327" s="1"/>
      <c r="X2327" s="1"/>
    </row>
    <row x14ac:dyDescent="0.25" r="2328" customHeight="1" ht="18.75">
      <c r="A2328" s="1"/>
      <c r="B2328" s="1"/>
      <c r="C2328" s="3" t="s">
        <v>1861</v>
      </c>
      <c r="D2328" s="3" t="s">
        <v>2359</v>
      </c>
      <c r="E2328" s="1"/>
      <c r="F2328" s="1"/>
      <c r="G2328" s="1"/>
      <c r="H2328" s="1"/>
      <c r="I2328" s="2"/>
      <c r="J2328" s="1"/>
      <c r="K2328" s="1"/>
      <c r="L2328" s="1"/>
      <c r="M2328" s="1"/>
      <c r="N2328" s="1"/>
      <c r="O2328" s="1"/>
      <c r="P2328" s="1"/>
      <c r="Q2328" s="1"/>
      <c r="R2328" s="1"/>
      <c r="S2328" s="1"/>
      <c r="T2328" s="1"/>
      <c r="U2328" s="1"/>
      <c r="V2328" s="1"/>
      <c r="W2328" s="1"/>
      <c r="X2328" s="1"/>
    </row>
    <row x14ac:dyDescent="0.25" r="2329" customHeight="1" ht="18.75">
      <c r="A2329" s="1"/>
      <c r="B2329" s="1"/>
      <c r="C2329" s="3" t="s">
        <v>1861</v>
      </c>
      <c r="D2329" s="3" t="s">
        <v>2360</v>
      </c>
      <c r="E2329" s="1"/>
      <c r="F2329" s="1"/>
      <c r="G2329" s="1"/>
      <c r="H2329" s="1"/>
      <c r="I2329" s="2"/>
      <c r="J2329" s="1"/>
      <c r="K2329" s="1"/>
      <c r="L2329" s="1"/>
      <c r="M2329" s="1"/>
      <c r="N2329" s="1"/>
      <c r="O2329" s="1"/>
      <c r="P2329" s="1"/>
      <c r="Q2329" s="1"/>
      <c r="R2329" s="1"/>
      <c r="S2329" s="1"/>
      <c r="T2329" s="1"/>
      <c r="U2329" s="1"/>
      <c r="V2329" s="1"/>
      <c r="W2329" s="1"/>
      <c r="X2329" s="1"/>
    </row>
    <row x14ac:dyDescent="0.25" r="2330" customHeight="1" ht="18.75">
      <c r="A2330" s="1"/>
      <c r="B2330" s="1"/>
      <c r="C2330" s="3" t="s">
        <v>1861</v>
      </c>
      <c r="D2330" s="3" t="s">
        <v>2361</v>
      </c>
      <c r="E2330" s="1"/>
      <c r="F2330" s="1"/>
      <c r="G2330" s="1"/>
      <c r="H2330" s="1"/>
      <c r="I2330" s="2"/>
      <c r="J2330" s="1"/>
      <c r="K2330" s="1"/>
      <c r="L2330" s="1"/>
      <c r="M2330" s="1"/>
      <c r="N2330" s="1"/>
      <c r="O2330" s="1"/>
      <c r="P2330" s="1"/>
      <c r="Q2330" s="1"/>
      <c r="R2330" s="1"/>
      <c r="S2330" s="1"/>
      <c r="T2330" s="1"/>
      <c r="U2330" s="1"/>
      <c r="V2330" s="1"/>
      <c r="W2330" s="1"/>
      <c r="X2330" s="1"/>
    </row>
    <row x14ac:dyDescent="0.25" r="2331" customHeight="1" ht="18.75">
      <c r="A2331" s="1"/>
      <c r="B2331" s="1"/>
      <c r="C2331" s="3" t="s">
        <v>1861</v>
      </c>
      <c r="D2331" s="3" t="s">
        <v>2362</v>
      </c>
      <c r="E2331" s="1"/>
      <c r="F2331" s="1"/>
      <c r="G2331" s="1"/>
      <c r="H2331" s="1"/>
      <c r="I2331" s="2"/>
      <c r="J2331" s="1"/>
      <c r="K2331" s="1"/>
      <c r="L2331" s="1"/>
      <c r="M2331" s="1"/>
      <c r="N2331" s="1"/>
      <c r="O2331" s="1"/>
      <c r="P2331" s="1"/>
      <c r="Q2331" s="1"/>
      <c r="R2331" s="1"/>
      <c r="S2331" s="1"/>
      <c r="T2331" s="1"/>
      <c r="U2331" s="1"/>
      <c r="V2331" s="1"/>
      <c r="W2331" s="1"/>
      <c r="X2331" s="1"/>
    </row>
    <row x14ac:dyDescent="0.25" r="2332" customHeight="1" ht="18.75">
      <c r="A2332" s="1"/>
      <c r="B2332" s="1"/>
      <c r="C2332" s="3" t="s">
        <v>1861</v>
      </c>
      <c r="D2332" s="3" t="s">
        <v>2363</v>
      </c>
      <c r="E2332" s="1"/>
      <c r="F2332" s="1"/>
      <c r="G2332" s="1"/>
      <c r="H2332" s="1"/>
      <c r="I2332" s="2"/>
      <c r="J2332" s="1"/>
      <c r="K2332" s="1"/>
      <c r="L2332" s="1"/>
      <c r="M2332" s="1"/>
      <c r="N2332" s="1"/>
      <c r="O2332" s="1"/>
      <c r="P2332" s="1"/>
      <c r="Q2332" s="1"/>
      <c r="R2332" s="1"/>
      <c r="S2332" s="1"/>
      <c r="T2332" s="1"/>
      <c r="U2332" s="1"/>
      <c r="V2332" s="1"/>
      <c r="W2332" s="1"/>
      <c r="X2332" s="1"/>
    </row>
    <row x14ac:dyDescent="0.25" r="2333" customHeight="1" ht="18.75">
      <c r="A2333" s="1"/>
      <c r="B2333" s="1"/>
      <c r="C2333" s="3" t="s">
        <v>1861</v>
      </c>
      <c r="D2333" s="3" t="s">
        <v>2364</v>
      </c>
      <c r="E2333" s="1"/>
      <c r="F2333" s="1"/>
      <c r="G2333" s="1"/>
      <c r="H2333" s="1"/>
      <c r="I2333" s="2"/>
      <c r="J2333" s="1"/>
      <c r="K2333" s="1"/>
      <c r="L2333" s="1"/>
      <c r="M2333" s="1"/>
      <c r="N2333" s="1"/>
      <c r="O2333" s="1"/>
      <c r="P2333" s="1"/>
      <c r="Q2333" s="1"/>
      <c r="R2333" s="1"/>
      <c r="S2333" s="1"/>
      <c r="T2333" s="1"/>
      <c r="U2333" s="1"/>
      <c r="V2333" s="1"/>
      <c r="W2333" s="1"/>
      <c r="X2333" s="1"/>
    </row>
    <row x14ac:dyDescent="0.25" r="2334" customHeight="1" ht="18.75">
      <c r="A2334" s="1"/>
      <c r="B2334" s="1"/>
      <c r="C2334" s="3" t="s">
        <v>1861</v>
      </c>
      <c r="D2334" s="3" t="s">
        <v>2365</v>
      </c>
      <c r="E2334" s="1"/>
      <c r="F2334" s="1"/>
      <c r="G2334" s="1"/>
      <c r="H2334" s="1"/>
      <c r="I2334" s="2"/>
      <c r="J2334" s="1"/>
      <c r="K2334" s="1"/>
      <c r="L2334" s="1"/>
      <c r="M2334" s="1"/>
      <c r="N2334" s="1"/>
      <c r="O2334" s="1"/>
      <c r="P2334" s="1"/>
      <c r="Q2334" s="1"/>
      <c r="R2334" s="1"/>
      <c r="S2334" s="1"/>
      <c r="T2334" s="1"/>
      <c r="U2334" s="1"/>
      <c r="V2334" s="1"/>
      <c r="W2334" s="1"/>
      <c r="X2334" s="1"/>
    </row>
    <row x14ac:dyDescent="0.25" r="2335" customHeight="1" ht="18.75">
      <c r="A2335" s="1"/>
      <c r="B2335" s="1"/>
      <c r="C2335" s="3" t="s">
        <v>1861</v>
      </c>
      <c r="D2335" s="3" t="s">
        <v>2366</v>
      </c>
      <c r="E2335" s="1"/>
      <c r="F2335" s="1"/>
      <c r="G2335" s="1"/>
      <c r="H2335" s="1"/>
      <c r="I2335" s="2"/>
      <c r="J2335" s="1"/>
      <c r="K2335" s="1"/>
      <c r="L2335" s="1"/>
      <c r="M2335" s="1"/>
      <c r="N2335" s="1"/>
      <c r="O2335" s="1"/>
      <c r="P2335" s="1"/>
      <c r="Q2335" s="1"/>
      <c r="R2335" s="1"/>
      <c r="S2335" s="1"/>
      <c r="T2335" s="1"/>
      <c r="U2335" s="1"/>
      <c r="V2335" s="1"/>
      <c r="W2335" s="1"/>
      <c r="X2335" s="1"/>
    </row>
    <row x14ac:dyDescent="0.25" r="2336" customHeight="1" ht="18.75">
      <c r="A2336" s="1"/>
      <c r="B2336" s="1"/>
      <c r="C2336" s="3" t="s">
        <v>1861</v>
      </c>
      <c r="D2336" s="3" t="s">
        <v>2367</v>
      </c>
      <c r="E2336" s="1"/>
      <c r="F2336" s="1"/>
      <c r="G2336" s="1"/>
      <c r="H2336" s="1"/>
      <c r="I2336" s="2"/>
      <c r="J2336" s="1"/>
      <c r="K2336" s="1"/>
      <c r="L2336" s="1"/>
      <c r="M2336" s="1"/>
      <c r="N2336" s="1"/>
      <c r="O2336" s="1"/>
      <c r="P2336" s="1"/>
      <c r="Q2336" s="1"/>
      <c r="R2336" s="1"/>
      <c r="S2336" s="1"/>
      <c r="T2336" s="1"/>
      <c r="U2336" s="1"/>
      <c r="V2336" s="1"/>
      <c r="W2336" s="1"/>
      <c r="X2336" s="1"/>
    </row>
    <row x14ac:dyDescent="0.25" r="2337" customHeight="1" ht="18.75">
      <c r="A2337" s="1"/>
      <c r="B2337" s="1"/>
      <c r="C2337" s="3" t="s">
        <v>1861</v>
      </c>
      <c r="D2337" s="3" t="s">
        <v>2368</v>
      </c>
      <c r="E2337" s="1"/>
      <c r="F2337" s="1"/>
      <c r="G2337" s="1"/>
      <c r="H2337" s="1"/>
      <c r="I2337" s="2"/>
      <c r="J2337" s="1"/>
      <c r="K2337" s="1"/>
      <c r="L2337" s="1"/>
      <c r="M2337" s="1"/>
      <c r="N2337" s="1"/>
      <c r="O2337" s="1"/>
      <c r="P2337" s="1"/>
      <c r="Q2337" s="1"/>
      <c r="R2337" s="1"/>
      <c r="S2337" s="1"/>
      <c r="T2337" s="1"/>
      <c r="U2337" s="1"/>
      <c r="V2337" s="1"/>
      <c r="W2337" s="1"/>
      <c r="X2337" s="1"/>
    </row>
    <row x14ac:dyDescent="0.25" r="2338" customHeight="1" ht="18.75">
      <c r="A2338" s="1"/>
      <c r="B2338" s="1"/>
      <c r="C2338" s="3" t="s">
        <v>1861</v>
      </c>
      <c r="D2338" s="3" t="s">
        <v>2369</v>
      </c>
      <c r="E2338" s="1"/>
      <c r="F2338" s="1"/>
      <c r="G2338" s="1"/>
      <c r="H2338" s="1"/>
      <c r="I2338" s="2"/>
      <c r="J2338" s="1"/>
      <c r="K2338" s="1"/>
      <c r="L2338" s="1"/>
      <c r="M2338" s="1"/>
      <c r="N2338" s="1"/>
      <c r="O2338" s="1"/>
      <c r="P2338" s="1"/>
      <c r="Q2338" s="1"/>
      <c r="R2338" s="1"/>
      <c r="S2338" s="1"/>
      <c r="T2338" s="1"/>
      <c r="U2338" s="1"/>
      <c r="V2338" s="1"/>
      <c r="W2338" s="1"/>
      <c r="X2338" s="1"/>
    </row>
    <row x14ac:dyDescent="0.25" r="2339" customHeight="1" ht="18.75">
      <c r="A2339" s="1"/>
      <c r="B2339" s="1"/>
      <c r="C2339" s="3" t="s">
        <v>1861</v>
      </c>
      <c r="D2339" s="3" t="s">
        <v>2370</v>
      </c>
      <c r="E2339" s="1"/>
      <c r="F2339" s="1"/>
      <c r="G2339" s="1"/>
      <c r="H2339" s="1"/>
      <c r="I2339" s="2"/>
      <c r="J2339" s="1"/>
      <c r="K2339" s="1"/>
      <c r="L2339" s="1"/>
      <c r="M2339" s="1"/>
      <c r="N2339" s="1"/>
      <c r="O2339" s="1"/>
      <c r="P2339" s="1"/>
      <c r="Q2339" s="1"/>
      <c r="R2339" s="1"/>
      <c r="S2339" s="1"/>
      <c r="T2339" s="1"/>
      <c r="U2339" s="1"/>
      <c r="V2339" s="1"/>
      <c r="W2339" s="1"/>
      <c r="X2339" s="1"/>
    </row>
    <row x14ac:dyDescent="0.25" r="2340" customHeight="1" ht="18.75">
      <c r="A2340" s="1"/>
      <c r="B2340" s="1"/>
      <c r="C2340" s="3" t="s">
        <v>1861</v>
      </c>
      <c r="D2340" s="3" t="s">
        <v>2371</v>
      </c>
      <c r="E2340" s="1"/>
      <c r="F2340" s="1"/>
      <c r="G2340" s="1"/>
      <c r="H2340" s="1"/>
      <c r="I2340" s="2"/>
      <c r="J2340" s="1"/>
      <c r="K2340" s="1"/>
      <c r="L2340" s="1"/>
      <c r="M2340" s="1"/>
      <c r="N2340" s="1"/>
      <c r="O2340" s="1"/>
      <c r="P2340" s="1"/>
      <c r="Q2340" s="1"/>
      <c r="R2340" s="1"/>
      <c r="S2340" s="1"/>
      <c r="T2340" s="1"/>
      <c r="U2340" s="1"/>
      <c r="V2340" s="1"/>
      <c r="W2340" s="1"/>
      <c r="X2340" s="1"/>
    </row>
    <row x14ac:dyDescent="0.25" r="2341" customHeight="1" ht="18.75">
      <c r="A2341" s="1"/>
      <c r="B2341" s="1"/>
      <c r="C2341" s="3" t="s">
        <v>1861</v>
      </c>
      <c r="D2341" s="3" t="s">
        <v>2372</v>
      </c>
      <c r="E2341" s="1"/>
      <c r="F2341" s="1"/>
      <c r="G2341" s="1"/>
      <c r="H2341" s="1"/>
      <c r="I2341" s="2"/>
      <c r="J2341" s="1"/>
      <c r="K2341" s="1"/>
      <c r="L2341" s="1"/>
      <c r="M2341" s="1"/>
      <c r="N2341" s="1"/>
      <c r="O2341" s="1"/>
      <c r="P2341" s="1"/>
      <c r="Q2341" s="1"/>
      <c r="R2341" s="1"/>
      <c r="S2341" s="1"/>
      <c r="T2341" s="1"/>
      <c r="U2341" s="1"/>
      <c r="V2341" s="1"/>
      <c r="W2341" s="1"/>
      <c r="X2341" s="1"/>
    </row>
    <row x14ac:dyDescent="0.25" r="2342" customHeight="1" ht="18.75">
      <c r="A2342" s="1"/>
      <c r="B2342" s="1"/>
      <c r="C2342" s="3" t="s">
        <v>1861</v>
      </c>
      <c r="D2342" s="3" t="s">
        <v>2373</v>
      </c>
      <c r="E2342" s="1"/>
      <c r="F2342" s="1"/>
      <c r="G2342" s="1"/>
      <c r="H2342" s="1"/>
      <c r="I2342" s="2"/>
      <c r="J2342" s="1"/>
      <c r="K2342" s="1"/>
      <c r="L2342" s="1"/>
      <c r="M2342" s="1"/>
      <c r="N2342" s="1"/>
      <c r="O2342" s="1"/>
      <c r="P2342" s="1"/>
      <c r="Q2342" s="1"/>
      <c r="R2342" s="1"/>
      <c r="S2342" s="1"/>
      <c r="T2342" s="1"/>
      <c r="U2342" s="1"/>
      <c r="V2342" s="1"/>
      <c r="W2342" s="1"/>
      <c r="X2342" s="1"/>
    </row>
    <row x14ac:dyDescent="0.25" r="2343" customHeight="1" ht="18.75">
      <c r="A2343" s="1"/>
      <c r="B2343" s="1"/>
      <c r="C2343" s="3" t="s">
        <v>1861</v>
      </c>
      <c r="D2343" s="3" t="s">
        <v>2374</v>
      </c>
      <c r="E2343" s="1"/>
      <c r="F2343" s="1"/>
      <c r="G2343" s="1"/>
      <c r="H2343" s="1"/>
      <c r="I2343" s="2"/>
      <c r="J2343" s="1"/>
      <c r="K2343" s="1"/>
      <c r="L2343" s="1"/>
      <c r="M2343" s="1"/>
      <c r="N2343" s="1"/>
      <c r="O2343" s="1"/>
      <c r="P2343" s="1"/>
      <c r="Q2343" s="1"/>
      <c r="R2343" s="1"/>
      <c r="S2343" s="1"/>
      <c r="T2343" s="1"/>
      <c r="U2343" s="1"/>
      <c r="V2343" s="1"/>
      <c r="W2343" s="1"/>
      <c r="X2343" s="1"/>
    </row>
    <row x14ac:dyDescent="0.25" r="2344" customHeight="1" ht="18.75">
      <c r="A2344" s="1"/>
      <c r="B2344" s="1"/>
      <c r="C2344" s="3" t="s">
        <v>1861</v>
      </c>
      <c r="D2344" s="3" t="s">
        <v>2375</v>
      </c>
      <c r="E2344" s="1"/>
      <c r="F2344" s="1"/>
      <c r="G2344" s="1"/>
      <c r="H2344" s="1"/>
      <c r="I2344" s="2"/>
      <c r="J2344" s="1"/>
      <c r="K2344" s="1"/>
      <c r="L2344" s="1"/>
      <c r="M2344" s="1"/>
      <c r="N2344" s="1"/>
      <c r="O2344" s="1"/>
      <c r="P2344" s="1"/>
      <c r="Q2344" s="1"/>
      <c r="R2344" s="1"/>
      <c r="S2344" s="1"/>
      <c r="T2344" s="1"/>
      <c r="U2344" s="1"/>
      <c r="V2344" s="1"/>
      <c r="W2344" s="1"/>
      <c r="X2344" s="1"/>
    </row>
    <row x14ac:dyDescent="0.25" r="2345" customHeight="1" ht="18.75">
      <c r="A2345" s="1"/>
      <c r="B2345" s="1"/>
      <c r="C2345" s="3" t="s">
        <v>1861</v>
      </c>
      <c r="D2345" s="3" t="s">
        <v>2376</v>
      </c>
      <c r="E2345" s="1"/>
      <c r="F2345" s="1"/>
      <c r="G2345" s="1"/>
      <c r="H2345" s="1"/>
      <c r="I2345" s="2"/>
      <c r="J2345" s="1"/>
      <c r="K2345" s="1"/>
      <c r="L2345" s="1"/>
      <c r="M2345" s="1"/>
      <c r="N2345" s="1"/>
      <c r="O2345" s="1"/>
      <c r="P2345" s="1"/>
      <c r="Q2345" s="1"/>
      <c r="R2345" s="1"/>
      <c r="S2345" s="1"/>
      <c r="T2345" s="1"/>
      <c r="U2345" s="1"/>
      <c r="V2345" s="1"/>
      <c r="W2345" s="1"/>
      <c r="X2345" s="1"/>
    </row>
    <row x14ac:dyDescent="0.25" r="2346" customHeight="1" ht="18.75">
      <c r="A2346" s="1"/>
      <c r="B2346" s="1"/>
      <c r="C2346" s="3" t="s">
        <v>1861</v>
      </c>
      <c r="D2346" s="3" t="s">
        <v>2377</v>
      </c>
      <c r="E2346" s="1"/>
      <c r="F2346" s="1"/>
      <c r="G2346" s="1"/>
      <c r="H2346" s="1"/>
      <c r="I2346" s="2"/>
      <c r="J2346" s="1"/>
      <c r="K2346" s="1"/>
      <c r="L2346" s="1"/>
      <c r="M2346" s="1"/>
      <c r="N2346" s="1"/>
      <c r="O2346" s="1"/>
      <c r="P2346" s="1"/>
      <c r="Q2346" s="1"/>
      <c r="R2346" s="1"/>
      <c r="S2346" s="1"/>
      <c r="T2346" s="1"/>
      <c r="U2346" s="1"/>
      <c r="V2346" s="1"/>
      <c r="W2346" s="1"/>
      <c r="X2346" s="1"/>
    </row>
    <row x14ac:dyDescent="0.25" r="2347" customHeight="1" ht="18.75">
      <c r="A2347" s="1"/>
      <c r="B2347" s="1"/>
      <c r="C2347" s="3" t="s">
        <v>1861</v>
      </c>
      <c r="D2347" s="3" t="s">
        <v>2378</v>
      </c>
      <c r="E2347" s="1"/>
      <c r="F2347" s="1"/>
      <c r="G2347" s="1"/>
      <c r="H2347" s="1"/>
      <c r="I2347" s="2"/>
      <c r="J2347" s="1"/>
      <c r="K2347" s="1"/>
      <c r="L2347" s="1"/>
      <c r="M2347" s="1"/>
      <c r="N2347" s="1"/>
      <c r="O2347" s="1"/>
      <c r="P2347" s="1"/>
      <c r="Q2347" s="1"/>
      <c r="R2347" s="1"/>
      <c r="S2347" s="1"/>
      <c r="T2347" s="1"/>
      <c r="U2347" s="1"/>
      <c r="V2347" s="1"/>
      <c r="W2347" s="1"/>
      <c r="X2347" s="1"/>
    </row>
    <row x14ac:dyDescent="0.25" r="2348" customHeight="1" ht="18.75">
      <c r="A2348" s="1"/>
      <c r="B2348" s="1"/>
      <c r="C2348" s="3" t="s">
        <v>1861</v>
      </c>
      <c r="D2348" s="3" t="s">
        <v>2379</v>
      </c>
      <c r="E2348" s="1"/>
      <c r="F2348" s="1"/>
      <c r="G2348" s="1"/>
      <c r="H2348" s="1"/>
      <c r="I2348" s="2"/>
      <c r="J2348" s="1"/>
      <c r="K2348" s="1"/>
      <c r="L2348" s="1"/>
      <c r="M2348" s="1"/>
      <c r="N2348" s="1"/>
      <c r="O2348" s="1"/>
      <c r="P2348" s="1"/>
      <c r="Q2348" s="1"/>
      <c r="R2348" s="1"/>
      <c r="S2348" s="1"/>
      <c r="T2348" s="1"/>
      <c r="U2348" s="1"/>
      <c r="V2348" s="1"/>
      <c r="W2348" s="1"/>
      <c r="X2348" s="1"/>
    </row>
    <row x14ac:dyDescent="0.25" r="2349" customHeight="1" ht="18.75">
      <c r="A2349" s="1"/>
      <c r="B2349" s="1"/>
      <c r="C2349" s="3" t="s">
        <v>1861</v>
      </c>
      <c r="D2349" s="3" t="s">
        <v>2380</v>
      </c>
      <c r="E2349" s="1"/>
      <c r="F2349" s="1"/>
      <c r="G2349" s="1"/>
      <c r="H2349" s="1"/>
      <c r="I2349" s="2"/>
      <c r="J2349" s="1"/>
      <c r="K2349" s="1"/>
      <c r="L2349" s="1"/>
      <c r="M2349" s="1"/>
      <c r="N2349" s="1"/>
      <c r="O2349" s="1"/>
      <c r="P2349" s="1"/>
      <c r="Q2349" s="1"/>
      <c r="R2349" s="1"/>
      <c r="S2349" s="1"/>
      <c r="T2349" s="1"/>
      <c r="U2349" s="1"/>
      <c r="V2349" s="1"/>
      <c r="W2349" s="1"/>
      <c r="X2349" s="1"/>
    </row>
    <row x14ac:dyDescent="0.25" r="2350" customHeight="1" ht="18.75">
      <c r="A2350" s="1"/>
      <c r="B2350" s="1"/>
      <c r="C2350" s="3" t="s">
        <v>1861</v>
      </c>
      <c r="D2350" s="3" t="s">
        <v>2381</v>
      </c>
      <c r="E2350" s="1"/>
      <c r="F2350" s="1"/>
      <c r="G2350" s="1"/>
      <c r="H2350" s="1"/>
      <c r="I2350" s="2"/>
      <c r="J2350" s="1"/>
      <c r="K2350" s="1"/>
      <c r="L2350" s="1"/>
      <c r="M2350" s="1"/>
      <c r="N2350" s="1"/>
      <c r="O2350" s="1"/>
      <c r="P2350" s="1"/>
      <c r="Q2350" s="1"/>
      <c r="R2350" s="1"/>
      <c r="S2350" s="1"/>
      <c r="T2350" s="1"/>
      <c r="U2350" s="1"/>
      <c r="V2350" s="1"/>
      <c r="W2350" s="1"/>
      <c r="X2350" s="1"/>
    </row>
    <row x14ac:dyDescent="0.25" r="2351" customHeight="1" ht="18.75">
      <c r="A2351" s="1"/>
      <c r="B2351" s="1"/>
      <c r="C2351" s="3" t="s">
        <v>1861</v>
      </c>
      <c r="D2351" s="3" t="s">
        <v>2382</v>
      </c>
      <c r="E2351" s="1"/>
      <c r="F2351" s="1"/>
      <c r="G2351" s="1"/>
      <c r="H2351" s="1"/>
      <c r="I2351" s="2"/>
      <c r="J2351" s="1"/>
      <c r="K2351" s="1"/>
      <c r="L2351" s="1"/>
      <c r="M2351" s="1"/>
      <c r="N2351" s="1"/>
      <c r="O2351" s="1"/>
      <c r="P2351" s="1"/>
      <c r="Q2351" s="1"/>
      <c r="R2351" s="1"/>
      <c r="S2351" s="1"/>
      <c r="T2351" s="1"/>
      <c r="U2351" s="1"/>
      <c r="V2351" s="1"/>
      <c r="W2351" s="1"/>
      <c r="X2351" s="1"/>
    </row>
    <row x14ac:dyDescent="0.25" r="2352" customHeight="1" ht="18.75">
      <c r="A2352" s="1"/>
      <c r="B2352" s="1"/>
      <c r="C2352" s="3" t="s">
        <v>1861</v>
      </c>
      <c r="D2352" s="3" t="s">
        <v>2383</v>
      </c>
      <c r="E2352" s="1"/>
      <c r="F2352" s="1"/>
      <c r="G2352" s="1"/>
      <c r="H2352" s="1"/>
      <c r="I2352" s="2"/>
      <c r="J2352" s="1"/>
      <c r="K2352" s="1"/>
      <c r="L2352" s="1"/>
      <c r="M2352" s="1"/>
      <c r="N2352" s="1"/>
      <c r="O2352" s="1"/>
      <c r="P2352" s="1"/>
      <c r="Q2352" s="1"/>
      <c r="R2352" s="1"/>
      <c r="S2352" s="1"/>
      <c r="T2352" s="1"/>
      <c r="U2352" s="1"/>
      <c r="V2352" s="1"/>
      <c r="W2352" s="1"/>
      <c r="X2352" s="1"/>
    </row>
    <row x14ac:dyDescent="0.25" r="2353" customHeight="1" ht="18.75">
      <c r="A2353" s="1"/>
      <c r="B2353" s="1"/>
      <c r="C2353" s="3" t="s">
        <v>1861</v>
      </c>
      <c r="D2353" s="3" t="s">
        <v>2384</v>
      </c>
      <c r="E2353" s="1"/>
      <c r="F2353" s="1"/>
      <c r="G2353" s="1"/>
      <c r="H2353" s="1"/>
      <c r="I2353" s="2"/>
      <c r="J2353" s="1"/>
      <c r="K2353" s="1"/>
      <c r="L2353" s="1"/>
      <c r="M2353" s="1"/>
      <c r="N2353" s="1"/>
      <c r="O2353" s="1"/>
      <c r="P2353" s="1"/>
      <c r="Q2353" s="1"/>
      <c r="R2353" s="1"/>
      <c r="S2353" s="1"/>
      <c r="T2353" s="1"/>
      <c r="U2353" s="1"/>
      <c r="V2353" s="1"/>
      <c r="W2353" s="1"/>
      <c r="X2353" s="1"/>
    </row>
    <row x14ac:dyDescent="0.25" r="2354" customHeight="1" ht="18.75">
      <c r="A2354" s="1"/>
      <c r="B2354" s="1"/>
      <c r="C2354" s="3" t="s">
        <v>1861</v>
      </c>
      <c r="D2354" s="3" t="s">
        <v>2385</v>
      </c>
      <c r="E2354" s="1"/>
      <c r="F2354" s="1"/>
      <c r="G2354" s="1"/>
      <c r="H2354" s="1"/>
      <c r="I2354" s="2"/>
      <c r="J2354" s="1"/>
      <c r="K2354" s="1"/>
      <c r="L2354" s="1"/>
      <c r="M2354" s="1"/>
      <c r="N2354" s="1"/>
      <c r="O2354" s="1"/>
      <c r="P2354" s="1"/>
      <c r="Q2354" s="1"/>
      <c r="R2354" s="1"/>
      <c r="S2354" s="1"/>
      <c r="T2354" s="1"/>
      <c r="U2354" s="1"/>
      <c r="V2354" s="1"/>
      <c r="W2354" s="1"/>
      <c r="X2354" s="1"/>
    </row>
    <row x14ac:dyDescent="0.25" r="2355" customHeight="1" ht="18.75">
      <c r="A2355" s="1"/>
      <c r="B2355" s="1"/>
      <c r="C2355" s="3" t="s">
        <v>1861</v>
      </c>
      <c r="D2355" s="3" t="s">
        <v>2386</v>
      </c>
      <c r="E2355" s="1"/>
      <c r="F2355" s="1"/>
      <c r="G2355" s="1"/>
      <c r="H2355" s="1"/>
      <c r="I2355" s="2"/>
      <c r="J2355" s="1"/>
      <c r="K2355" s="1"/>
      <c r="L2355" s="1"/>
      <c r="M2355" s="1"/>
      <c r="N2355" s="1"/>
      <c r="O2355" s="1"/>
      <c r="P2355" s="1"/>
      <c r="Q2355" s="1"/>
      <c r="R2355" s="1"/>
      <c r="S2355" s="1"/>
      <c r="T2355" s="1"/>
      <c r="U2355" s="1"/>
      <c r="V2355" s="1"/>
      <c r="W2355" s="1"/>
      <c r="X2355" s="1"/>
    </row>
    <row x14ac:dyDescent="0.25" r="2356" customHeight="1" ht="18.75">
      <c r="A2356" s="1"/>
      <c r="B2356" s="1"/>
      <c r="C2356" s="3" t="s">
        <v>1861</v>
      </c>
      <c r="D2356" s="3" t="s">
        <v>2387</v>
      </c>
      <c r="E2356" s="1"/>
      <c r="F2356" s="1"/>
      <c r="G2356" s="1"/>
      <c r="H2356" s="1"/>
      <c r="I2356" s="2"/>
      <c r="J2356" s="1"/>
      <c r="K2356" s="1"/>
      <c r="L2356" s="1"/>
      <c r="M2356" s="1"/>
      <c r="N2356" s="1"/>
      <c r="O2356" s="1"/>
      <c r="P2356" s="1"/>
      <c r="Q2356" s="1"/>
      <c r="R2356" s="1"/>
      <c r="S2356" s="1"/>
      <c r="T2356" s="1"/>
      <c r="U2356" s="1"/>
      <c r="V2356" s="1"/>
      <c r="W2356" s="1"/>
      <c r="X2356" s="1"/>
    </row>
    <row x14ac:dyDescent="0.25" r="2357" customHeight="1" ht="18.75">
      <c r="A2357" s="1"/>
      <c r="B2357" s="1"/>
      <c r="C2357" s="3" t="s">
        <v>1861</v>
      </c>
      <c r="D2357" s="3" t="s">
        <v>2388</v>
      </c>
      <c r="E2357" s="1"/>
      <c r="F2357" s="1"/>
      <c r="G2357" s="1"/>
      <c r="H2357" s="1"/>
      <c r="I2357" s="2"/>
      <c r="J2357" s="1"/>
      <c r="K2357" s="1"/>
      <c r="L2357" s="1"/>
      <c r="M2357" s="1"/>
      <c r="N2357" s="1"/>
      <c r="O2357" s="1"/>
      <c r="P2357" s="1"/>
      <c r="Q2357" s="1"/>
      <c r="R2357" s="1"/>
      <c r="S2357" s="1"/>
      <c r="T2357" s="1"/>
      <c r="U2357" s="1"/>
      <c r="V2357" s="1"/>
      <c r="W2357" s="1"/>
      <c r="X2357" s="1"/>
    </row>
    <row x14ac:dyDescent="0.25" r="2358" customHeight="1" ht="18.75">
      <c r="A2358" s="1"/>
      <c r="B2358" s="1"/>
      <c r="C2358" s="3" t="s">
        <v>1861</v>
      </c>
      <c r="D2358" s="3" t="s">
        <v>2389</v>
      </c>
      <c r="E2358" s="1"/>
      <c r="F2358" s="1"/>
      <c r="G2358" s="1"/>
      <c r="H2358" s="1"/>
      <c r="I2358" s="2"/>
      <c r="J2358" s="1"/>
      <c r="K2358" s="1"/>
      <c r="L2358" s="1"/>
      <c r="M2358" s="1"/>
      <c r="N2358" s="1"/>
      <c r="O2358" s="1"/>
      <c r="P2358" s="1"/>
      <c r="Q2358" s="1"/>
      <c r="R2358" s="1"/>
      <c r="S2358" s="1"/>
      <c r="T2358" s="1"/>
      <c r="U2358" s="1"/>
      <c r="V2358" s="1"/>
      <c r="W2358" s="1"/>
      <c r="X2358" s="1"/>
    </row>
    <row x14ac:dyDescent="0.25" r="2359" customHeight="1" ht="18.75">
      <c r="A2359" s="1"/>
      <c r="B2359" s="1"/>
      <c r="C2359" s="3" t="s">
        <v>1861</v>
      </c>
      <c r="D2359" s="3" t="s">
        <v>2390</v>
      </c>
      <c r="E2359" s="1"/>
      <c r="F2359" s="1"/>
      <c r="G2359" s="1"/>
      <c r="H2359" s="1"/>
      <c r="I2359" s="2"/>
      <c r="J2359" s="1"/>
      <c r="K2359" s="1"/>
      <c r="L2359" s="1"/>
      <c r="M2359" s="1"/>
      <c r="N2359" s="1"/>
      <c r="O2359" s="1"/>
      <c r="P2359" s="1"/>
      <c r="Q2359" s="1"/>
      <c r="R2359" s="1"/>
      <c r="S2359" s="1"/>
      <c r="T2359" s="1"/>
      <c r="U2359" s="1"/>
      <c r="V2359" s="1"/>
      <c r="W2359" s="1"/>
      <c r="X2359" s="1"/>
    </row>
    <row x14ac:dyDescent="0.25" r="2360" customHeight="1" ht="18.75">
      <c r="A2360" s="1"/>
      <c r="B2360" s="1"/>
      <c r="C2360" s="3" t="s">
        <v>1861</v>
      </c>
      <c r="D2360" s="3" t="s">
        <v>2391</v>
      </c>
      <c r="E2360" s="1"/>
      <c r="F2360" s="1"/>
      <c r="G2360" s="1"/>
      <c r="H2360" s="1"/>
      <c r="I2360" s="2"/>
      <c r="J2360" s="1"/>
      <c r="K2360" s="1"/>
      <c r="L2360" s="1"/>
      <c r="M2360" s="1"/>
      <c r="N2360" s="1"/>
      <c r="O2360" s="1"/>
      <c r="P2360" s="1"/>
      <c r="Q2360" s="1"/>
      <c r="R2360" s="1"/>
      <c r="S2360" s="1"/>
      <c r="T2360" s="1"/>
      <c r="U2360" s="1"/>
      <c r="V2360" s="1"/>
      <c r="W2360" s="1"/>
      <c r="X2360" s="1"/>
    </row>
    <row x14ac:dyDescent="0.25" r="2361" customHeight="1" ht="18.75">
      <c r="A2361" s="1"/>
      <c r="B2361" s="1"/>
      <c r="C2361" s="3" t="s">
        <v>1861</v>
      </c>
      <c r="D2361" s="3" t="s">
        <v>2392</v>
      </c>
      <c r="E2361" s="1"/>
      <c r="F2361" s="1"/>
      <c r="G2361" s="1"/>
      <c r="H2361" s="1"/>
      <c r="I2361" s="2"/>
      <c r="J2361" s="1"/>
      <c r="K2361" s="1"/>
      <c r="L2361" s="1"/>
      <c r="M2361" s="1"/>
      <c r="N2361" s="1"/>
      <c r="O2361" s="1"/>
      <c r="P2361" s="1"/>
      <c r="Q2361" s="1"/>
      <c r="R2361" s="1"/>
      <c r="S2361" s="1"/>
      <c r="T2361" s="1"/>
      <c r="U2361" s="1"/>
      <c r="V2361" s="1"/>
      <c r="W2361" s="1"/>
      <c r="X2361" s="1"/>
    </row>
    <row x14ac:dyDescent="0.25" r="2362" customHeight="1" ht="18.75">
      <c r="A2362" s="1"/>
      <c r="B2362" s="1"/>
      <c r="C2362" s="3" t="s">
        <v>1861</v>
      </c>
      <c r="D2362" s="3" t="s">
        <v>2393</v>
      </c>
      <c r="E2362" s="1"/>
      <c r="F2362" s="1"/>
      <c r="G2362" s="1"/>
      <c r="H2362" s="1"/>
      <c r="I2362" s="2"/>
      <c r="J2362" s="1"/>
      <c r="K2362" s="1"/>
      <c r="L2362" s="1"/>
      <c r="M2362" s="1"/>
      <c r="N2362" s="1"/>
      <c r="O2362" s="1"/>
      <c r="P2362" s="1"/>
      <c r="Q2362" s="1"/>
      <c r="R2362" s="1"/>
      <c r="S2362" s="1"/>
      <c r="T2362" s="1"/>
      <c r="U2362" s="1"/>
      <c r="V2362" s="1"/>
      <c r="W2362" s="1"/>
      <c r="X2362" s="1"/>
    </row>
    <row x14ac:dyDescent="0.25" r="2363" customHeight="1" ht="18.75">
      <c r="A2363" s="1"/>
      <c r="B2363" s="1"/>
      <c r="C2363" s="3" t="s">
        <v>1861</v>
      </c>
      <c r="D2363" s="3" t="s">
        <v>2394</v>
      </c>
      <c r="E2363" s="1"/>
      <c r="F2363" s="1"/>
      <c r="G2363" s="1"/>
      <c r="H2363" s="1"/>
      <c r="I2363" s="2"/>
      <c r="J2363" s="1"/>
      <c r="K2363" s="1"/>
      <c r="L2363" s="1"/>
      <c r="M2363" s="1"/>
      <c r="N2363" s="1"/>
      <c r="O2363" s="1"/>
      <c r="P2363" s="1"/>
      <c r="Q2363" s="1"/>
      <c r="R2363" s="1"/>
      <c r="S2363" s="1"/>
      <c r="T2363" s="1"/>
      <c r="U2363" s="1"/>
      <c r="V2363" s="1"/>
      <c r="W2363" s="1"/>
      <c r="X2363" s="1"/>
    </row>
    <row x14ac:dyDescent="0.25" r="2364" customHeight="1" ht="18.75">
      <c r="A2364" s="1"/>
      <c r="B2364" s="1"/>
      <c r="C2364" s="3" t="s">
        <v>1861</v>
      </c>
      <c r="D2364" s="3" t="s">
        <v>2395</v>
      </c>
      <c r="E2364" s="1"/>
      <c r="F2364" s="1"/>
      <c r="G2364" s="1"/>
      <c r="H2364" s="1"/>
      <c r="I2364" s="2"/>
      <c r="J2364" s="1"/>
      <c r="K2364" s="1"/>
      <c r="L2364" s="1"/>
      <c r="M2364" s="1"/>
      <c r="N2364" s="1"/>
      <c r="O2364" s="1"/>
      <c r="P2364" s="1"/>
      <c r="Q2364" s="1"/>
      <c r="R2364" s="1"/>
      <c r="S2364" s="1"/>
      <c r="T2364" s="1"/>
      <c r="U2364" s="1"/>
      <c r="V2364" s="1"/>
      <c r="W2364" s="1"/>
      <c r="X2364" s="1"/>
    </row>
    <row x14ac:dyDescent="0.25" r="2365" customHeight="1" ht="18.75">
      <c r="A2365" s="1"/>
      <c r="B2365" s="1"/>
      <c r="C2365" s="3" t="s">
        <v>1861</v>
      </c>
      <c r="D2365" s="3" t="s">
        <v>2396</v>
      </c>
      <c r="E2365" s="1"/>
      <c r="F2365" s="1"/>
      <c r="G2365" s="1"/>
      <c r="H2365" s="1"/>
      <c r="I2365" s="2"/>
      <c r="J2365" s="1"/>
      <c r="K2365" s="1"/>
      <c r="L2365" s="1"/>
      <c r="M2365" s="1"/>
      <c r="N2365" s="1"/>
      <c r="O2365" s="1"/>
      <c r="P2365" s="1"/>
      <c r="Q2365" s="1"/>
      <c r="R2365" s="1"/>
      <c r="S2365" s="1"/>
      <c r="T2365" s="1"/>
      <c r="U2365" s="1"/>
      <c r="V2365" s="1"/>
      <c r="W2365" s="1"/>
      <c r="X2365" s="1"/>
    </row>
    <row x14ac:dyDescent="0.25" r="2366" customHeight="1" ht="18.75">
      <c r="A2366" s="1"/>
      <c r="B2366" s="1"/>
      <c r="C2366" s="3" t="s">
        <v>1861</v>
      </c>
      <c r="D2366" s="3" t="s">
        <v>2397</v>
      </c>
      <c r="E2366" s="1"/>
      <c r="F2366" s="1"/>
      <c r="G2366" s="1"/>
      <c r="H2366" s="1"/>
      <c r="I2366" s="2"/>
      <c r="J2366" s="1"/>
      <c r="K2366" s="1"/>
      <c r="L2366" s="1"/>
      <c r="M2366" s="1"/>
      <c r="N2366" s="1"/>
      <c r="O2366" s="1"/>
      <c r="P2366" s="1"/>
      <c r="Q2366" s="1"/>
      <c r="R2366" s="1"/>
      <c r="S2366" s="1"/>
      <c r="T2366" s="1"/>
      <c r="U2366" s="1"/>
      <c r="V2366" s="1"/>
      <c r="W2366" s="1"/>
      <c r="X2366" s="1"/>
    </row>
    <row x14ac:dyDescent="0.25" r="2367" customHeight="1" ht="18.75">
      <c r="A2367" s="1"/>
      <c r="B2367" s="1"/>
      <c r="C2367" s="3" t="s">
        <v>1861</v>
      </c>
      <c r="D2367" s="3" t="s">
        <v>2398</v>
      </c>
      <c r="E2367" s="1"/>
      <c r="F2367" s="1"/>
      <c r="G2367" s="1"/>
      <c r="H2367" s="1"/>
      <c r="I2367" s="2"/>
      <c r="J2367" s="1"/>
      <c r="K2367" s="1"/>
      <c r="L2367" s="1"/>
      <c r="M2367" s="1"/>
      <c r="N2367" s="1"/>
      <c r="O2367" s="1"/>
      <c r="P2367" s="1"/>
      <c r="Q2367" s="1"/>
      <c r="R2367" s="1"/>
      <c r="S2367" s="1"/>
      <c r="T2367" s="1"/>
      <c r="U2367" s="1"/>
      <c r="V2367" s="1"/>
      <c r="W2367" s="1"/>
      <c r="X2367" s="1"/>
    </row>
    <row x14ac:dyDescent="0.25" r="2368" customHeight="1" ht="18.75">
      <c r="A2368" s="1"/>
      <c r="B2368" s="1"/>
      <c r="C2368" s="3" t="s">
        <v>1861</v>
      </c>
      <c r="D2368" s="3" t="s">
        <v>2399</v>
      </c>
      <c r="E2368" s="1"/>
      <c r="F2368" s="1"/>
      <c r="G2368" s="1"/>
      <c r="H2368" s="1"/>
      <c r="I2368" s="2"/>
      <c r="J2368" s="1"/>
      <c r="K2368" s="1"/>
      <c r="L2368" s="1"/>
      <c r="M2368" s="1"/>
      <c r="N2368" s="1"/>
      <c r="O2368" s="1"/>
      <c r="P2368" s="1"/>
      <c r="Q2368" s="1"/>
      <c r="R2368" s="1"/>
      <c r="S2368" s="1"/>
      <c r="T2368" s="1"/>
      <c r="U2368" s="1"/>
      <c r="V2368" s="1"/>
      <c r="W2368" s="1"/>
      <c r="X2368" s="1"/>
    </row>
    <row x14ac:dyDescent="0.25" r="2369" customHeight="1" ht="18.75">
      <c r="A2369" s="1"/>
      <c r="B2369" s="1"/>
      <c r="C2369" s="3" t="s">
        <v>1861</v>
      </c>
      <c r="D2369" s="3" t="s">
        <v>2400</v>
      </c>
      <c r="E2369" s="1"/>
      <c r="F2369" s="1"/>
      <c r="G2369" s="1"/>
      <c r="H2369" s="1"/>
      <c r="I2369" s="2"/>
      <c r="J2369" s="1"/>
      <c r="K2369" s="1"/>
      <c r="L2369" s="1"/>
      <c r="M2369" s="1"/>
      <c r="N2369" s="1"/>
      <c r="O2369" s="1"/>
      <c r="P2369" s="1"/>
      <c r="Q2369" s="1"/>
      <c r="R2369" s="1"/>
      <c r="S2369" s="1"/>
      <c r="T2369" s="1"/>
      <c r="U2369" s="1"/>
      <c r="V2369" s="1"/>
      <c r="W2369" s="1"/>
      <c r="X2369" s="1"/>
    </row>
    <row x14ac:dyDescent="0.25" r="2370" customHeight="1" ht="18.75">
      <c r="A2370" s="1"/>
      <c r="B2370" s="1"/>
      <c r="C2370" s="3" t="s">
        <v>1861</v>
      </c>
      <c r="D2370" s="3" t="s">
        <v>2401</v>
      </c>
      <c r="E2370" s="1"/>
      <c r="F2370" s="1"/>
      <c r="G2370" s="1"/>
      <c r="H2370" s="1"/>
      <c r="I2370" s="2"/>
      <c r="J2370" s="1"/>
      <c r="K2370" s="1"/>
      <c r="L2370" s="1"/>
      <c r="M2370" s="1"/>
      <c r="N2370" s="1"/>
      <c r="O2370" s="1"/>
      <c r="P2370" s="1"/>
      <c r="Q2370" s="1"/>
      <c r="R2370" s="1"/>
      <c r="S2370" s="1"/>
      <c r="T2370" s="1"/>
      <c r="U2370" s="1"/>
      <c r="V2370" s="1"/>
      <c r="W2370" s="1"/>
      <c r="X2370" s="1"/>
    </row>
    <row x14ac:dyDescent="0.25" r="2371" customHeight="1" ht="18.75">
      <c r="A2371" s="1"/>
      <c r="B2371" s="1"/>
      <c r="C2371" s="3" t="s">
        <v>1861</v>
      </c>
      <c r="D2371" s="3" t="s">
        <v>2402</v>
      </c>
      <c r="E2371" s="1"/>
      <c r="F2371" s="1"/>
      <c r="G2371" s="1"/>
      <c r="H2371" s="1"/>
      <c r="I2371" s="2"/>
      <c r="J2371" s="1"/>
      <c r="K2371" s="1"/>
      <c r="L2371" s="1"/>
      <c r="M2371" s="1"/>
      <c r="N2371" s="1"/>
      <c r="O2371" s="1"/>
      <c r="P2371" s="1"/>
      <c r="Q2371" s="1"/>
      <c r="R2371" s="1"/>
      <c r="S2371" s="1"/>
      <c r="T2371" s="1"/>
      <c r="U2371" s="1"/>
      <c r="V2371" s="1"/>
      <c r="W2371" s="1"/>
      <c r="X2371" s="1"/>
    </row>
    <row x14ac:dyDescent="0.25" r="2372" customHeight="1" ht="18.75">
      <c r="A2372" s="1"/>
      <c r="B2372" s="1"/>
      <c r="C2372" s="3" t="s">
        <v>1861</v>
      </c>
      <c r="D2372" s="3" t="s">
        <v>2403</v>
      </c>
      <c r="E2372" s="1"/>
      <c r="F2372" s="1"/>
      <c r="G2372" s="1"/>
      <c r="H2372" s="1"/>
      <c r="I2372" s="2"/>
      <c r="J2372" s="1"/>
      <c r="K2372" s="1"/>
      <c r="L2372" s="1"/>
      <c r="M2372" s="1"/>
      <c r="N2372" s="1"/>
      <c r="O2372" s="1"/>
      <c r="P2372" s="1"/>
      <c r="Q2372" s="1"/>
      <c r="R2372" s="1"/>
      <c r="S2372" s="1"/>
      <c r="T2372" s="1"/>
      <c r="U2372" s="1"/>
      <c r="V2372" s="1"/>
      <c r="W2372" s="1"/>
      <c r="X2372" s="1"/>
    </row>
    <row x14ac:dyDescent="0.25" r="2373" customHeight="1" ht="18.75">
      <c r="A2373" s="1"/>
      <c r="B2373" s="1"/>
      <c r="C2373" s="3" t="s">
        <v>1861</v>
      </c>
      <c r="D2373" s="3" t="s">
        <v>2404</v>
      </c>
      <c r="E2373" s="1"/>
      <c r="F2373" s="1"/>
      <c r="G2373" s="1"/>
      <c r="H2373" s="1"/>
      <c r="I2373" s="2"/>
      <c r="J2373" s="1"/>
      <c r="K2373" s="1"/>
      <c r="L2373" s="1"/>
      <c r="M2373" s="1"/>
      <c r="N2373" s="1"/>
      <c r="O2373" s="1"/>
      <c r="P2373" s="1"/>
      <c r="Q2373" s="1"/>
      <c r="R2373" s="1"/>
      <c r="S2373" s="1"/>
      <c r="T2373" s="1"/>
      <c r="U2373" s="1"/>
      <c r="V2373" s="1"/>
      <c r="W2373" s="1"/>
      <c r="X2373" s="1"/>
    </row>
    <row x14ac:dyDescent="0.25" r="2374" customHeight="1" ht="18.75">
      <c r="A2374" s="1"/>
      <c r="B2374" s="1"/>
      <c r="C2374" s="3" t="s">
        <v>1861</v>
      </c>
      <c r="D2374" s="3" t="s">
        <v>2405</v>
      </c>
      <c r="E2374" s="1"/>
      <c r="F2374" s="1"/>
      <c r="G2374" s="1"/>
      <c r="H2374" s="1"/>
      <c r="I2374" s="2"/>
      <c r="J2374" s="1"/>
      <c r="K2374" s="1"/>
      <c r="L2374" s="1"/>
      <c r="M2374" s="1"/>
      <c r="N2374" s="1"/>
      <c r="O2374" s="1"/>
      <c r="P2374" s="1"/>
      <c r="Q2374" s="1"/>
      <c r="R2374" s="1"/>
      <c r="S2374" s="1"/>
      <c r="T2374" s="1"/>
      <c r="U2374" s="1"/>
      <c r="V2374" s="1"/>
      <c r="W2374" s="1"/>
      <c r="X2374" s="1"/>
    </row>
    <row x14ac:dyDescent="0.25" r="2375" customHeight="1" ht="18.75">
      <c r="A2375" s="1"/>
      <c r="B2375" s="1"/>
      <c r="C2375" s="3" t="s">
        <v>1861</v>
      </c>
      <c r="D2375" s="3" t="s">
        <v>2406</v>
      </c>
      <c r="E2375" s="1"/>
      <c r="F2375" s="1"/>
      <c r="G2375" s="1"/>
      <c r="H2375" s="1"/>
      <c r="I2375" s="2"/>
      <c r="J2375" s="1"/>
      <c r="K2375" s="1"/>
      <c r="L2375" s="1"/>
      <c r="M2375" s="1"/>
      <c r="N2375" s="1"/>
      <c r="O2375" s="1"/>
      <c r="P2375" s="1"/>
      <c r="Q2375" s="1"/>
      <c r="R2375" s="1"/>
      <c r="S2375" s="1"/>
      <c r="T2375" s="1"/>
      <c r="U2375" s="1"/>
      <c r="V2375" s="1"/>
      <c r="W2375" s="1"/>
      <c r="X2375" s="1"/>
    </row>
    <row x14ac:dyDescent="0.25" r="2376" customHeight="1" ht="18.75">
      <c r="A2376" s="1"/>
      <c r="B2376" s="1"/>
      <c r="C2376" s="3" t="s">
        <v>1861</v>
      </c>
      <c r="D2376" s="3" t="s">
        <v>2407</v>
      </c>
      <c r="E2376" s="1"/>
      <c r="F2376" s="1"/>
      <c r="G2376" s="1"/>
      <c r="H2376" s="1"/>
      <c r="I2376" s="2"/>
      <c r="J2376" s="1"/>
      <c r="K2376" s="1"/>
      <c r="L2376" s="1"/>
      <c r="M2376" s="1"/>
      <c r="N2376" s="1"/>
      <c r="O2376" s="1"/>
      <c r="P2376" s="1"/>
      <c r="Q2376" s="1"/>
      <c r="R2376" s="1"/>
      <c r="S2376" s="1"/>
      <c r="T2376" s="1"/>
      <c r="U2376" s="1"/>
      <c r="V2376" s="1"/>
      <c r="W2376" s="1"/>
      <c r="X2376" s="1"/>
    </row>
    <row x14ac:dyDescent="0.25" r="2377" customHeight="1" ht="18.75">
      <c r="A2377" s="1"/>
      <c r="B2377" s="1"/>
      <c r="C2377" s="3" t="s">
        <v>1861</v>
      </c>
      <c r="D2377" s="3" t="s">
        <v>2408</v>
      </c>
      <c r="E2377" s="1"/>
      <c r="F2377" s="1"/>
      <c r="G2377" s="1"/>
      <c r="H2377" s="1"/>
      <c r="I2377" s="2"/>
      <c r="J2377" s="1"/>
      <c r="K2377" s="1"/>
      <c r="L2377" s="1"/>
      <c r="M2377" s="1"/>
      <c r="N2377" s="1"/>
      <c r="O2377" s="1"/>
      <c r="P2377" s="1"/>
      <c r="Q2377" s="1"/>
      <c r="R2377" s="1"/>
      <c r="S2377" s="1"/>
      <c r="T2377" s="1"/>
      <c r="U2377" s="1"/>
      <c r="V2377" s="1"/>
      <c r="W2377" s="1"/>
      <c r="X2377" s="1"/>
    </row>
    <row x14ac:dyDescent="0.25" r="2378" customHeight="1" ht="18.75">
      <c r="A2378" s="1"/>
      <c r="B2378" s="1"/>
      <c r="C2378" s="3" t="s">
        <v>1861</v>
      </c>
      <c r="D2378" s="3" t="s">
        <v>2409</v>
      </c>
      <c r="E2378" s="1"/>
      <c r="F2378" s="1"/>
      <c r="G2378" s="1"/>
      <c r="H2378" s="1"/>
      <c r="I2378" s="2"/>
      <c r="J2378" s="1"/>
      <c r="K2378" s="1"/>
      <c r="L2378" s="1"/>
      <c r="M2378" s="1"/>
      <c r="N2378" s="1"/>
      <c r="O2378" s="1"/>
      <c r="P2378" s="1"/>
      <c r="Q2378" s="1"/>
      <c r="R2378" s="1"/>
      <c r="S2378" s="1"/>
      <c r="T2378" s="1"/>
      <c r="U2378" s="1"/>
      <c r="V2378" s="1"/>
      <c r="W2378" s="1"/>
      <c r="X2378" s="1"/>
    </row>
    <row x14ac:dyDescent="0.25" r="2379" customHeight="1" ht="18.75">
      <c r="A2379" s="1"/>
      <c r="B2379" s="1"/>
      <c r="C2379" s="3" t="s">
        <v>1861</v>
      </c>
      <c r="D2379" s="3" t="s">
        <v>2410</v>
      </c>
      <c r="E2379" s="1"/>
      <c r="F2379" s="1"/>
      <c r="G2379" s="1"/>
      <c r="H2379" s="1"/>
      <c r="I2379" s="2"/>
      <c r="J2379" s="1"/>
      <c r="K2379" s="1"/>
      <c r="L2379" s="1"/>
      <c r="M2379" s="1"/>
      <c r="N2379" s="1"/>
      <c r="O2379" s="1"/>
      <c r="P2379" s="1"/>
      <c r="Q2379" s="1"/>
      <c r="R2379" s="1"/>
      <c r="S2379" s="1"/>
      <c r="T2379" s="1"/>
      <c r="U2379" s="1"/>
      <c r="V2379" s="1"/>
      <c r="W2379" s="1"/>
      <c r="X2379" s="1"/>
    </row>
    <row x14ac:dyDescent="0.25" r="2380" customHeight="1" ht="18.75">
      <c r="A2380" s="1"/>
      <c r="B2380" s="1"/>
      <c r="C2380" s="3" t="s">
        <v>1861</v>
      </c>
      <c r="D2380" s="3" t="s">
        <v>2411</v>
      </c>
      <c r="E2380" s="1"/>
      <c r="F2380" s="1"/>
      <c r="G2380" s="1"/>
      <c r="H2380" s="1"/>
      <c r="I2380" s="2"/>
      <c r="J2380" s="1"/>
      <c r="K2380" s="1"/>
      <c r="L2380" s="1"/>
      <c r="M2380" s="1"/>
      <c r="N2380" s="1"/>
      <c r="O2380" s="1"/>
      <c r="P2380" s="1"/>
      <c r="Q2380" s="1"/>
      <c r="R2380" s="1"/>
      <c r="S2380" s="1"/>
      <c r="T2380" s="1"/>
      <c r="U2380" s="1"/>
      <c r="V2380" s="1"/>
      <c r="W2380" s="1"/>
      <c r="X2380" s="1"/>
    </row>
    <row x14ac:dyDescent="0.25" r="2381" customHeight="1" ht="18.75">
      <c r="A2381" s="1"/>
      <c r="B2381" s="1"/>
      <c r="C2381" s="3" t="s">
        <v>1861</v>
      </c>
      <c r="D2381" s="3" t="s">
        <v>2412</v>
      </c>
      <c r="E2381" s="1"/>
      <c r="F2381" s="1"/>
      <c r="G2381" s="1"/>
      <c r="H2381" s="1"/>
      <c r="I2381" s="2"/>
      <c r="J2381" s="1"/>
      <c r="K2381" s="1"/>
      <c r="L2381" s="1"/>
      <c r="M2381" s="1"/>
      <c r="N2381" s="1"/>
      <c r="O2381" s="1"/>
      <c r="P2381" s="1"/>
      <c r="Q2381" s="1"/>
      <c r="R2381" s="1"/>
      <c r="S2381" s="1"/>
      <c r="T2381" s="1"/>
      <c r="U2381" s="1"/>
      <c r="V2381" s="1"/>
      <c r="W2381" s="1"/>
      <c r="X2381" s="1"/>
    </row>
    <row x14ac:dyDescent="0.25" r="2382" customHeight="1" ht="18.75">
      <c r="A2382" s="1"/>
      <c r="B2382" s="1"/>
      <c r="C2382" s="3" t="s">
        <v>1861</v>
      </c>
      <c r="D2382" s="3" t="s">
        <v>2413</v>
      </c>
      <c r="E2382" s="1"/>
      <c r="F2382" s="1"/>
      <c r="G2382" s="1"/>
      <c r="H2382" s="1"/>
      <c r="I2382" s="2"/>
      <c r="J2382" s="1"/>
      <c r="K2382" s="1"/>
      <c r="L2382" s="1"/>
      <c r="M2382" s="1"/>
      <c r="N2382" s="1"/>
      <c r="O2382" s="1"/>
      <c r="P2382" s="1"/>
      <c r="Q2382" s="1"/>
      <c r="R2382" s="1"/>
      <c r="S2382" s="1"/>
      <c r="T2382" s="1"/>
      <c r="U2382" s="1"/>
      <c r="V2382" s="1"/>
      <c r="W2382" s="1"/>
      <c r="X2382" s="1"/>
    </row>
    <row x14ac:dyDescent="0.25" r="2383" customHeight="1" ht="18.75">
      <c r="A2383" s="1"/>
      <c r="B2383" s="1"/>
      <c r="C2383" s="3" t="s">
        <v>1861</v>
      </c>
      <c r="D2383" s="3" t="s">
        <v>2414</v>
      </c>
      <c r="E2383" s="1"/>
      <c r="F2383" s="1"/>
      <c r="G2383" s="1"/>
      <c r="H2383" s="1"/>
      <c r="I2383" s="2"/>
      <c r="J2383" s="1"/>
      <c r="K2383" s="1"/>
      <c r="L2383" s="1"/>
      <c r="M2383" s="1"/>
      <c r="N2383" s="1"/>
      <c r="O2383" s="1"/>
      <c r="P2383" s="1"/>
      <c r="Q2383" s="1"/>
      <c r="R2383" s="1"/>
      <c r="S2383" s="1"/>
      <c r="T2383" s="1"/>
      <c r="U2383" s="1"/>
      <c r="V2383" s="1"/>
      <c r="W2383" s="1"/>
      <c r="X2383" s="1"/>
    </row>
    <row x14ac:dyDescent="0.25" r="2384" customHeight="1" ht="18.75">
      <c r="A2384" s="1"/>
      <c r="B2384" s="1"/>
      <c r="C2384" s="3" t="s">
        <v>1861</v>
      </c>
      <c r="D2384" s="3" t="s">
        <v>2415</v>
      </c>
      <c r="E2384" s="1"/>
      <c r="F2384" s="1"/>
      <c r="G2384" s="1"/>
      <c r="H2384" s="1"/>
      <c r="I2384" s="2"/>
      <c r="J2384" s="1"/>
      <c r="K2384" s="1"/>
      <c r="L2384" s="1"/>
      <c r="M2384" s="1"/>
      <c r="N2384" s="1"/>
      <c r="O2384" s="1"/>
      <c r="P2384" s="1"/>
      <c r="Q2384" s="1"/>
      <c r="R2384" s="1"/>
      <c r="S2384" s="1"/>
      <c r="T2384" s="1"/>
      <c r="U2384" s="1"/>
      <c r="V2384" s="1"/>
      <c r="W2384" s="1"/>
      <c r="X2384" s="1"/>
    </row>
    <row x14ac:dyDescent="0.25" r="2385" customHeight="1" ht="18.75">
      <c r="A2385" s="1"/>
      <c r="B2385" s="1"/>
      <c r="C2385" s="3" t="s">
        <v>1861</v>
      </c>
      <c r="D2385" s="3" t="s">
        <v>2416</v>
      </c>
      <c r="E2385" s="1"/>
      <c r="F2385" s="1"/>
      <c r="G2385" s="1"/>
      <c r="H2385" s="1"/>
      <c r="I2385" s="2"/>
      <c r="J2385" s="1"/>
      <c r="K2385" s="1"/>
      <c r="L2385" s="1"/>
      <c r="M2385" s="1"/>
      <c r="N2385" s="1"/>
      <c r="O2385" s="1"/>
      <c r="P2385" s="1"/>
      <c r="Q2385" s="1"/>
      <c r="R2385" s="1"/>
      <c r="S2385" s="1"/>
      <c r="T2385" s="1"/>
      <c r="U2385" s="1"/>
      <c r="V2385" s="1"/>
      <c r="W2385" s="1"/>
      <c r="X2385" s="1"/>
    </row>
    <row x14ac:dyDescent="0.25" r="2386" customHeight="1" ht="18.75">
      <c r="A2386" s="1"/>
      <c r="B2386" s="1"/>
      <c r="C2386" s="3" t="s">
        <v>1861</v>
      </c>
      <c r="D2386" s="3" t="s">
        <v>2417</v>
      </c>
      <c r="E2386" s="1"/>
      <c r="F2386" s="1"/>
      <c r="G2386" s="1"/>
      <c r="H2386" s="1"/>
      <c r="I2386" s="2"/>
      <c r="J2386" s="1"/>
      <c r="K2386" s="1"/>
      <c r="L2386" s="1"/>
      <c r="M2386" s="1"/>
      <c r="N2386" s="1"/>
      <c r="O2386" s="1"/>
      <c r="P2386" s="1"/>
      <c r="Q2386" s="1"/>
      <c r="R2386" s="1"/>
      <c r="S2386" s="1"/>
      <c r="T2386" s="1"/>
      <c r="U2386" s="1"/>
      <c r="V2386" s="1"/>
      <c r="W2386" s="1"/>
      <c r="X2386" s="1"/>
    </row>
    <row x14ac:dyDescent="0.25" r="2387" customHeight="1" ht="18.75">
      <c r="A2387" s="1"/>
      <c r="B2387" s="1"/>
      <c r="C2387" s="3" t="s">
        <v>1861</v>
      </c>
      <c r="D2387" s="3" t="s">
        <v>2418</v>
      </c>
      <c r="E2387" s="1"/>
      <c r="F2387" s="1"/>
      <c r="G2387" s="1"/>
      <c r="H2387" s="1"/>
      <c r="I2387" s="2"/>
      <c r="J2387" s="1"/>
      <c r="K2387" s="1"/>
      <c r="L2387" s="1"/>
      <c r="M2387" s="1"/>
      <c r="N2387" s="1"/>
      <c r="O2387" s="1"/>
      <c r="P2387" s="1"/>
      <c r="Q2387" s="1"/>
      <c r="R2387" s="1"/>
      <c r="S2387" s="1"/>
      <c r="T2387" s="1"/>
      <c r="U2387" s="1"/>
      <c r="V2387" s="1"/>
      <c r="W2387" s="1"/>
      <c r="X2387" s="1"/>
    </row>
    <row x14ac:dyDescent="0.25" r="2388" customHeight="1" ht="18.75">
      <c r="A2388" s="1"/>
      <c r="B2388" s="1"/>
      <c r="C2388" s="3" t="s">
        <v>1861</v>
      </c>
      <c r="D2388" s="3" t="s">
        <v>2419</v>
      </c>
      <c r="E2388" s="1"/>
      <c r="F2388" s="1"/>
      <c r="G2388" s="1"/>
      <c r="H2388" s="1"/>
      <c r="I2388" s="2"/>
      <c r="J2388" s="1"/>
      <c r="K2388" s="1"/>
      <c r="L2388" s="1"/>
      <c r="M2388" s="1"/>
      <c r="N2388" s="1"/>
      <c r="O2388" s="1"/>
      <c r="P2388" s="1"/>
      <c r="Q2388" s="1"/>
      <c r="R2388" s="1"/>
      <c r="S2388" s="1"/>
      <c r="T2388" s="1"/>
      <c r="U2388" s="1"/>
      <c r="V2388" s="1"/>
      <c r="W2388" s="1"/>
      <c r="X2388" s="1"/>
    </row>
    <row x14ac:dyDescent="0.25" r="2389" customHeight="1" ht="18.75">
      <c r="A2389" s="1"/>
      <c r="B2389" s="1"/>
      <c r="C2389" s="3" t="s">
        <v>1861</v>
      </c>
      <c r="D2389" s="3" t="s">
        <v>2420</v>
      </c>
      <c r="E2389" s="1"/>
      <c r="F2389" s="1"/>
      <c r="G2389" s="1"/>
      <c r="H2389" s="1"/>
      <c r="I2389" s="2"/>
      <c r="J2389" s="1"/>
      <c r="K2389" s="1"/>
      <c r="L2389" s="1"/>
      <c r="M2389" s="1"/>
      <c r="N2389" s="1"/>
      <c r="O2389" s="1"/>
      <c r="P2389" s="1"/>
      <c r="Q2389" s="1"/>
      <c r="R2389" s="1"/>
      <c r="S2389" s="1"/>
      <c r="T2389" s="1"/>
      <c r="U2389" s="1"/>
      <c r="V2389" s="1"/>
      <c r="W2389" s="1"/>
      <c r="X2389" s="1"/>
    </row>
    <row x14ac:dyDescent="0.25" r="2390" customHeight="1" ht="18.75">
      <c r="A2390" s="1"/>
      <c r="B2390" s="1"/>
      <c r="C2390" s="3" t="s">
        <v>1861</v>
      </c>
      <c r="D2390" s="3" t="s">
        <v>2421</v>
      </c>
      <c r="E2390" s="1"/>
      <c r="F2390" s="1"/>
      <c r="G2390" s="1"/>
      <c r="H2390" s="1"/>
      <c r="I2390" s="2"/>
      <c r="J2390" s="1"/>
      <c r="K2390" s="1"/>
      <c r="L2390" s="1"/>
      <c r="M2390" s="1"/>
      <c r="N2390" s="1"/>
      <c r="O2390" s="1"/>
      <c r="P2390" s="1"/>
      <c r="Q2390" s="1"/>
      <c r="R2390" s="1"/>
      <c r="S2390" s="1"/>
      <c r="T2390" s="1"/>
      <c r="U2390" s="1"/>
      <c r="V2390" s="1"/>
      <c r="W2390" s="1"/>
      <c r="X2390" s="1"/>
    </row>
    <row x14ac:dyDescent="0.25" r="2391" customHeight="1" ht="18.75">
      <c r="A2391" s="1"/>
      <c r="B2391" s="1"/>
      <c r="C2391" s="3" t="s">
        <v>1861</v>
      </c>
      <c r="D2391" s="3" t="s">
        <v>2422</v>
      </c>
      <c r="E2391" s="1"/>
      <c r="F2391" s="1"/>
      <c r="G2391" s="1"/>
      <c r="H2391" s="1"/>
      <c r="I2391" s="2"/>
      <c r="J2391" s="1"/>
      <c r="K2391" s="1"/>
      <c r="L2391" s="1"/>
      <c r="M2391" s="1"/>
      <c r="N2391" s="1"/>
      <c r="O2391" s="1"/>
      <c r="P2391" s="1"/>
      <c r="Q2391" s="1"/>
      <c r="R2391" s="1"/>
      <c r="S2391" s="1"/>
      <c r="T2391" s="1"/>
      <c r="U2391" s="1"/>
      <c r="V2391" s="1"/>
      <c r="W2391" s="1"/>
      <c r="X2391" s="1"/>
    </row>
    <row x14ac:dyDescent="0.25" r="2392" customHeight="1" ht="18.75">
      <c r="A2392" s="1"/>
      <c r="B2392" s="1"/>
      <c r="C2392" s="3" t="s">
        <v>1861</v>
      </c>
      <c r="D2392" s="3" t="s">
        <v>2423</v>
      </c>
      <c r="E2392" s="1"/>
      <c r="F2392" s="1"/>
      <c r="G2392" s="1"/>
      <c r="H2392" s="1"/>
      <c r="I2392" s="2"/>
      <c r="J2392" s="1"/>
      <c r="K2392" s="1"/>
      <c r="L2392" s="1"/>
      <c r="M2392" s="1"/>
      <c r="N2392" s="1"/>
      <c r="O2392" s="1"/>
      <c r="P2392" s="1"/>
      <c r="Q2392" s="1"/>
      <c r="R2392" s="1"/>
      <c r="S2392" s="1"/>
      <c r="T2392" s="1"/>
      <c r="U2392" s="1"/>
      <c r="V2392" s="1"/>
      <c r="W2392" s="1"/>
      <c r="X2392" s="1"/>
    </row>
    <row x14ac:dyDescent="0.25" r="2393" customHeight="1" ht="18.75">
      <c r="A2393" s="1"/>
      <c r="B2393" s="1"/>
      <c r="C2393" s="3" t="s">
        <v>1861</v>
      </c>
      <c r="D2393" s="3" t="s">
        <v>2424</v>
      </c>
      <c r="E2393" s="1"/>
      <c r="F2393" s="1"/>
      <c r="G2393" s="1"/>
      <c r="H2393" s="1"/>
      <c r="I2393" s="2"/>
      <c r="J2393" s="1"/>
      <c r="K2393" s="1"/>
      <c r="L2393" s="1"/>
      <c r="M2393" s="1"/>
      <c r="N2393" s="1"/>
      <c r="O2393" s="1"/>
      <c r="P2393" s="1"/>
      <c r="Q2393" s="1"/>
      <c r="R2393" s="1"/>
      <c r="S2393" s="1"/>
      <c r="T2393" s="1"/>
      <c r="U2393" s="1"/>
      <c r="V2393" s="1"/>
      <c r="W2393" s="1"/>
      <c r="X2393" s="1"/>
    </row>
    <row x14ac:dyDescent="0.25" r="2394" customHeight="1" ht="18.75">
      <c r="A2394" s="1"/>
      <c r="B2394" s="1"/>
      <c r="C2394" s="3" t="s">
        <v>1861</v>
      </c>
      <c r="D2394" s="3" t="s">
        <v>2425</v>
      </c>
      <c r="E2394" s="1"/>
      <c r="F2394" s="1"/>
      <c r="G2394" s="1"/>
      <c r="H2394" s="1"/>
      <c r="I2394" s="2"/>
      <c r="J2394" s="1"/>
      <c r="K2394" s="1"/>
      <c r="L2394" s="1"/>
      <c r="M2394" s="1"/>
      <c r="N2394" s="1"/>
      <c r="O2394" s="1"/>
      <c r="P2394" s="1"/>
      <c r="Q2394" s="1"/>
      <c r="R2394" s="1"/>
      <c r="S2394" s="1"/>
      <c r="T2394" s="1"/>
      <c r="U2394" s="1"/>
      <c r="V2394" s="1"/>
      <c r="W2394" s="1"/>
      <c r="X2394" s="1"/>
    </row>
    <row x14ac:dyDescent="0.25" r="2395" customHeight="1" ht="18.75">
      <c r="A2395" s="1"/>
      <c r="B2395" s="1"/>
      <c r="C2395" s="3" t="s">
        <v>1861</v>
      </c>
      <c r="D2395" s="3" t="s">
        <v>2426</v>
      </c>
      <c r="E2395" s="1"/>
      <c r="F2395" s="1"/>
      <c r="G2395" s="1"/>
      <c r="H2395" s="1"/>
      <c r="I2395" s="2"/>
      <c r="J2395" s="1"/>
      <c r="K2395" s="1"/>
      <c r="L2395" s="1"/>
      <c r="M2395" s="1"/>
      <c r="N2395" s="1"/>
      <c r="O2395" s="1"/>
      <c r="P2395" s="1"/>
      <c r="Q2395" s="1"/>
      <c r="R2395" s="1"/>
      <c r="S2395" s="1"/>
      <c r="T2395" s="1"/>
      <c r="U2395" s="1"/>
      <c r="V2395" s="1"/>
      <c r="W2395" s="1"/>
      <c r="X2395" s="1"/>
    </row>
    <row x14ac:dyDescent="0.25" r="2396" customHeight="1" ht="18.75">
      <c r="A2396" s="1"/>
      <c r="B2396" s="1"/>
      <c r="C2396" s="3" t="s">
        <v>1861</v>
      </c>
      <c r="D2396" s="3" t="s">
        <v>2427</v>
      </c>
      <c r="E2396" s="1"/>
      <c r="F2396" s="1"/>
      <c r="G2396" s="1"/>
      <c r="H2396" s="1"/>
      <c r="I2396" s="2"/>
      <c r="J2396" s="1"/>
      <c r="K2396" s="1"/>
      <c r="L2396" s="1"/>
      <c r="M2396" s="1"/>
      <c r="N2396" s="1"/>
      <c r="O2396" s="1"/>
      <c r="P2396" s="1"/>
      <c r="Q2396" s="1"/>
      <c r="R2396" s="1"/>
      <c r="S2396" s="1"/>
      <c r="T2396" s="1"/>
      <c r="U2396" s="1"/>
      <c r="V2396" s="1"/>
      <c r="W2396" s="1"/>
      <c r="X2396" s="1"/>
    </row>
    <row x14ac:dyDescent="0.25" r="2397" customHeight="1" ht="18.75">
      <c r="A2397" s="1"/>
      <c r="B2397" s="1"/>
      <c r="C2397" s="3" t="s">
        <v>1861</v>
      </c>
      <c r="D2397" s="3" t="s">
        <v>2428</v>
      </c>
      <c r="E2397" s="1"/>
      <c r="F2397" s="1"/>
      <c r="G2397" s="1"/>
      <c r="H2397" s="1"/>
      <c r="I2397" s="2"/>
      <c r="J2397" s="1"/>
      <c r="K2397" s="1"/>
      <c r="L2397" s="1"/>
      <c r="M2397" s="1"/>
      <c r="N2397" s="1"/>
      <c r="O2397" s="1"/>
      <c r="P2397" s="1"/>
      <c r="Q2397" s="1"/>
      <c r="R2397" s="1"/>
      <c r="S2397" s="1"/>
      <c r="T2397" s="1"/>
      <c r="U2397" s="1"/>
      <c r="V2397" s="1"/>
      <c r="W2397" s="1"/>
      <c r="X2397" s="1"/>
    </row>
    <row x14ac:dyDescent="0.25" r="2398" customHeight="1" ht="18.75">
      <c r="A2398" s="1"/>
      <c r="B2398" s="1"/>
      <c r="C2398" s="3" t="s">
        <v>1861</v>
      </c>
      <c r="D2398" s="3" t="s">
        <v>2429</v>
      </c>
      <c r="E2398" s="1"/>
      <c r="F2398" s="1"/>
      <c r="G2398" s="1"/>
      <c r="H2398" s="1"/>
      <c r="I2398" s="2"/>
      <c r="J2398" s="1"/>
      <c r="K2398" s="1"/>
      <c r="L2398" s="1"/>
      <c r="M2398" s="1"/>
      <c r="N2398" s="1"/>
      <c r="O2398" s="1"/>
      <c r="P2398" s="1"/>
      <c r="Q2398" s="1"/>
      <c r="R2398" s="1"/>
      <c r="S2398" s="1"/>
      <c r="T2398" s="1"/>
      <c r="U2398" s="1"/>
      <c r="V2398" s="1"/>
      <c r="W2398" s="1"/>
      <c r="X2398" s="1"/>
    </row>
    <row x14ac:dyDescent="0.25" r="2399" customHeight="1" ht="18.75">
      <c r="A2399" s="1"/>
      <c r="B2399" s="1"/>
      <c r="C2399" s="3" t="s">
        <v>1861</v>
      </c>
      <c r="D2399" s="3" t="s">
        <v>2430</v>
      </c>
      <c r="E2399" s="1"/>
      <c r="F2399" s="1"/>
      <c r="G2399" s="1"/>
      <c r="H2399" s="1"/>
      <c r="I2399" s="2"/>
      <c r="J2399" s="1"/>
      <c r="K2399" s="1"/>
      <c r="L2399" s="1"/>
      <c r="M2399" s="1"/>
      <c r="N2399" s="1"/>
      <c r="O2399" s="1"/>
      <c r="P2399" s="1"/>
      <c r="Q2399" s="1"/>
      <c r="R2399" s="1"/>
      <c r="S2399" s="1"/>
      <c r="T2399" s="1"/>
      <c r="U2399" s="1"/>
      <c r="V2399" s="1"/>
      <c r="W2399" s="1"/>
      <c r="X2399" s="1"/>
    </row>
    <row x14ac:dyDescent="0.25" r="2400" customHeight="1" ht="18.75">
      <c r="A2400" s="1"/>
      <c r="B2400" s="1"/>
      <c r="C2400" s="3" t="s">
        <v>1861</v>
      </c>
      <c r="D2400" s="3" t="s">
        <v>2431</v>
      </c>
      <c r="E2400" s="1"/>
      <c r="F2400" s="1"/>
      <c r="G2400" s="1"/>
      <c r="H2400" s="1"/>
      <c r="I2400" s="2"/>
      <c r="J2400" s="1"/>
      <c r="K2400" s="1"/>
      <c r="L2400" s="1"/>
      <c r="M2400" s="1"/>
      <c r="N2400" s="1"/>
      <c r="O2400" s="1"/>
      <c r="P2400" s="1"/>
      <c r="Q2400" s="1"/>
      <c r="R2400" s="1"/>
      <c r="S2400" s="1"/>
      <c r="T2400" s="1"/>
      <c r="U2400" s="1"/>
      <c r="V2400" s="1"/>
      <c r="W2400" s="1"/>
      <c r="X2400" s="1"/>
    </row>
    <row x14ac:dyDescent="0.25" r="2401" customHeight="1" ht="18.75">
      <c r="A2401" s="1"/>
      <c r="B2401" s="1"/>
      <c r="C2401" s="3" t="s">
        <v>1861</v>
      </c>
      <c r="D2401" s="3" t="s">
        <v>2432</v>
      </c>
      <c r="E2401" s="1"/>
      <c r="F2401" s="1"/>
      <c r="G2401" s="1"/>
      <c r="H2401" s="1"/>
      <c r="I2401" s="2"/>
      <c r="J2401" s="1"/>
      <c r="K2401" s="1"/>
      <c r="L2401" s="1"/>
      <c r="M2401" s="1"/>
      <c r="N2401" s="1"/>
      <c r="O2401" s="1"/>
      <c r="P2401" s="1"/>
      <c r="Q2401" s="1"/>
      <c r="R2401" s="1"/>
      <c r="S2401" s="1"/>
      <c r="T2401" s="1"/>
      <c r="U2401" s="1"/>
      <c r="V2401" s="1"/>
      <c r="W2401" s="1"/>
      <c r="X2401" s="1"/>
    </row>
    <row x14ac:dyDescent="0.25" r="2402" customHeight="1" ht="18.75">
      <c r="A2402" s="1"/>
      <c r="B2402" s="1"/>
      <c r="C2402" s="3" t="s">
        <v>1861</v>
      </c>
      <c r="D2402" s="3" t="s">
        <v>2433</v>
      </c>
      <c r="E2402" s="1"/>
      <c r="F2402" s="1"/>
      <c r="G2402" s="1"/>
      <c r="H2402" s="1"/>
      <c r="I2402" s="2"/>
      <c r="J2402" s="1"/>
      <c r="K2402" s="1"/>
      <c r="L2402" s="1"/>
      <c r="M2402" s="1"/>
      <c r="N2402" s="1"/>
      <c r="O2402" s="1"/>
      <c r="P2402" s="1"/>
      <c r="Q2402" s="1"/>
      <c r="R2402" s="1"/>
      <c r="S2402" s="1"/>
      <c r="T2402" s="1"/>
      <c r="U2402" s="1"/>
      <c r="V2402" s="1"/>
      <c r="W2402" s="1"/>
      <c r="X2402" s="1"/>
    </row>
    <row x14ac:dyDescent="0.25" r="2403" customHeight="1" ht="18.75">
      <c r="A2403" s="1"/>
      <c r="B2403" s="1"/>
      <c r="C2403" s="3" t="s">
        <v>1861</v>
      </c>
      <c r="D2403" s="3" t="s">
        <v>2434</v>
      </c>
      <c r="E2403" s="1"/>
      <c r="F2403" s="1"/>
      <c r="G2403" s="1"/>
      <c r="H2403" s="1"/>
      <c r="I2403" s="2"/>
      <c r="J2403" s="1"/>
      <c r="K2403" s="1"/>
      <c r="L2403" s="1"/>
      <c r="M2403" s="1"/>
      <c r="N2403" s="1"/>
      <c r="O2403" s="1"/>
      <c r="P2403" s="1"/>
      <c r="Q2403" s="1"/>
      <c r="R2403" s="1"/>
      <c r="S2403" s="1"/>
      <c r="T2403" s="1"/>
      <c r="U2403" s="1"/>
      <c r="V2403" s="1"/>
      <c r="W2403" s="1"/>
      <c r="X2403" s="1"/>
    </row>
    <row x14ac:dyDescent="0.25" r="2404" customHeight="1" ht="18.75">
      <c r="A2404" s="1"/>
      <c r="B2404" s="1"/>
      <c r="C2404" s="3" t="s">
        <v>1861</v>
      </c>
      <c r="D2404" s="3" t="s">
        <v>2435</v>
      </c>
      <c r="E2404" s="1"/>
      <c r="F2404" s="1"/>
      <c r="G2404" s="1"/>
      <c r="H2404" s="1"/>
      <c r="I2404" s="2"/>
      <c r="J2404" s="1"/>
      <c r="K2404" s="1"/>
      <c r="L2404" s="1"/>
      <c r="M2404" s="1"/>
      <c r="N2404" s="1"/>
      <c r="O2404" s="1"/>
      <c r="P2404" s="1"/>
      <c r="Q2404" s="1"/>
      <c r="R2404" s="1"/>
      <c r="S2404" s="1"/>
      <c r="T2404" s="1"/>
      <c r="U2404" s="1"/>
      <c r="V2404" s="1"/>
      <c r="W2404" s="1"/>
      <c r="X2404" s="1"/>
    </row>
    <row x14ac:dyDescent="0.25" r="2405" customHeight="1" ht="18.75">
      <c r="A2405" s="1"/>
      <c r="B2405" s="1"/>
      <c r="C2405" s="3" t="s">
        <v>1861</v>
      </c>
      <c r="D2405" s="3" t="s">
        <v>2436</v>
      </c>
      <c r="E2405" s="1"/>
      <c r="F2405" s="1"/>
      <c r="G2405" s="1"/>
      <c r="H2405" s="1"/>
      <c r="I2405" s="2"/>
      <c r="J2405" s="1"/>
      <c r="K2405" s="1"/>
      <c r="L2405" s="1"/>
      <c r="M2405" s="1"/>
      <c r="N2405" s="1"/>
      <c r="O2405" s="1"/>
      <c r="P2405" s="1"/>
      <c r="Q2405" s="1"/>
      <c r="R2405" s="1"/>
      <c r="S2405" s="1"/>
      <c r="T2405" s="1"/>
      <c r="U2405" s="1"/>
      <c r="V2405" s="1"/>
      <c r="W2405" s="1"/>
      <c r="X2405" s="1"/>
    </row>
    <row x14ac:dyDescent="0.25" r="2406" customHeight="1" ht="18.75">
      <c r="A2406" s="1"/>
      <c r="B2406" s="1"/>
      <c r="C2406" s="3" t="s">
        <v>1861</v>
      </c>
      <c r="D2406" s="3" t="s">
        <v>2437</v>
      </c>
      <c r="E2406" s="1"/>
      <c r="F2406" s="1"/>
      <c r="G2406" s="1"/>
      <c r="H2406" s="1"/>
      <c r="I2406" s="2"/>
      <c r="J2406" s="1"/>
      <c r="K2406" s="1"/>
      <c r="L2406" s="1"/>
      <c r="M2406" s="1"/>
      <c r="N2406" s="1"/>
      <c r="O2406" s="1"/>
      <c r="P2406" s="1"/>
      <c r="Q2406" s="1"/>
      <c r="R2406" s="1"/>
      <c r="S2406" s="1"/>
      <c r="T2406" s="1"/>
      <c r="U2406" s="1"/>
      <c r="V2406" s="1"/>
      <c r="W2406" s="1"/>
      <c r="X2406" s="1"/>
    </row>
    <row x14ac:dyDescent="0.25" r="2407" customHeight="1" ht="18.75">
      <c r="A2407" s="1"/>
      <c r="B2407" s="1"/>
      <c r="C2407" s="3" t="s">
        <v>1861</v>
      </c>
      <c r="D2407" s="3" t="s">
        <v>2438</v>
      </c>
      <c r="E2407" s="1"/>
      <c r="F2407" s="1"/>
      <c r="G2407" s="1"/>
      <c r="H2407" s="1"/>
      <c r="I2407" s="2"/>
      <c r="J2407" s="1"/>
      <c r="K2407" s="1"/>
      <c r="L2407" s="1"/>
      <c r="M2407" s="1"/>
      <c r="N2407" s="1"/>
      <c r="O2407" s="1"/>
      <c r="P2407" s="1"/>
      <c r="Q2407" s="1"/>
      <c r="R2407" s="1"/>
      <c r="S2407" s="1"/>
      <c r="T2407" s="1"/>
      <c r="U2407" s="1"/>
      <c r="V2407" s="1"/>
      <c r="W2407" s="1"/>
      <c r="X2407" s="1"/>
    </row>
    <row x14ac:dyDescent="0.25" r="2408" customHeight="1" ht="18.75">
      <c r="A2408" s="1"/>
      <c r="B2408" s="1"/>
      <c r="C2408" s="3" t="s">
        <v>1861</v>
      </c>
      <c r="D2408" s="3" t="s">
        <v>2439</v>
      </c>
      <c r="E2408" s="1"/>
      <c r="F2408" s="1"/>
      <c r="G2408" s="1"/>
      <c r="H2408" s="1"/>
      <c r="I2408" s="2"/>
      <c r="J2408" s="1"/>
      <c r="K2408" s="1"/>
      <c r="L2408" s="1"/>
      <c r="M2408" s="1"/>
      <c r="N2408" s="1"/>
      <c r="O2408" s="1"/>
      <c r="P2408" s="1"/>
      <c r="Q2408" s="1"/>
      <c r="R2408" s="1"/>
      <c r="S2408" s="1"/>
      <c r="T2408" s="1"/>
      <c r="U2408" s="1"/>
      <c r="V2408" s="1"/>
      <c r="W2408" s="1"/>
      <c r="X2408" s="1"/>
    </row>
    <row x14ac:dyDescent="0.25" r="2409" customHeight="1" ht="18.75">
      <c r="A2409" s="1"/>
      <c r="B2409" s="1"/>
      <c r="C2409" s="3" t="s">
        <v>1861</v>
      </c>
      <c r="D2409" s="3" t="s">
        <v>2440</v>
      </c>
      <c r="E2409" s="1"/>
      <c r="F2409" s="1"/>
      <c r="G2409" s="1"/>
      <c r="H2409" s="1"/>
      <c r="I2409" s="2"/>
      <c r="J2409" s="1"/>
      <c r="K2409" s="1"/>
      <c r="L2409" s="1"/>
      <c r="M2409" s="1"/>
      <c r="N2409" s="1"/>
      <c r="O2409" s="1"/>
      <c r="P2409" s="1"/>
      <c r="Q2409" s="1"/>
      <c r="R2409" s="1"/>
      <c r="S2409" s="1"/>
      <c r="T2409" s="1"/>
      <c r="U2409" s="1"/>
      <c r="V2409" s="1"/>
      <c r="W2409" s="1"/>
      <c r="X2409" s="1"/>
    </row>
    <row x14ac:dyDescent="0.25" r="2410" customHeight="1" ht="18.75">
      <c r="A2410" s="1"/>
      <c r="B2410" s="1"/>
      <c r="C2410" s="3" t="s">
        <v>1861</v>
      </c>
      <c r="D2410" s="3" t="s">
        <v>2441</v>
      </c>
      <c r="E2410" s="1"/>
      <c r="F2410" s="1"/>
      <c r="G2410" s="1"/>
      <c r="H2410" s="1"/>
      <c r="I2410" s="2"/>
      <c r="J2410" s="1"/>
      <c r="K2410" s="1"/>
      <c r="L2410" s="1"/>
      <c r="M2410" s="1"/>
      <c r="N2410" s="1"/>
      <c r="O2410" s="1"/>
      <c r="P2410" s="1"/>
      <c r="Q2410" s="1"/>
      <c r="R2410" s="1"/>
      <c r="S2410" s="1"/>
      <c r="T2410" s="1"/>
      <c r="U2410" s="1"/>
      <c r="V2410" s="1"/>
      <c r="W2410" s="1"/>
      <c r="X2410" s="1"/>
    </row>
    <row x14ac:dyDescent="0.25" r="2411" customHeight="1" ht="18.75">
      <c r="A2411" s="1"/>
      <c r="B2411" s="1"/>
      <c r="C2411" s="3" t="s">
        <v>1861</v>
      </c>
      <c r="D2411" s="3" t="s">
        <v>2442</v>
      </c>
      <c r="E2411" s="1"/>
      <c r="F2411" s="1"/>
      <c r="G2411" s="1"/>
      <c r="H2411" s="1"/>
      <c r="I2411" s="2"/>
      <c r="J2411" s="1"/>
      <c r="K2411" s="1"/>
      <c r="L2411" s="1"/>
      <c r="M2411" s="1"/>
      <c r="N2411" s="1"/>
      <c r="O2411" s="1"/>
      <c r="P2411" s="1"/>
      <c r="Q2411" s="1"/>
      <c r="R2411" s="1"/>
      <c r="S2411" s="1"/>
      <c r="T2411" s="1"/>
      <c r="U2411" s="1"/>
      <c r="V2411" s="1"/>
      <c r="W2411" s="1"/>
      <c r="X2411" s="1"/>
    </row>
    <row x14ac:dyDescent="0.25" r="2412" customHeight="1" ht="18.75">
      <c r="A2412" s="1"/>
      <c r="B2412" s="1"/>
      <c r="C2412" s="3" t="s">
        <v>1861</v>
      </c>
      <c r="D2412" s="3" t="s">
        <v>2443</v>
      </c>
      <c r="E2412" s="1"/>
      <c r="F2412" s="1"/>
      <c r="G2412" s="1"/>
      <c r="H2412" s="1"/>
      <c r="I2412" s="2"/>
      <c r="J2412" s="1"/>
      <c r="K2412" s="1"/>
      <c r="L2412" s="1"/>
      <c r="M2412" s="1"/>
      <c r="N2412" s="1"/>
      <c r="O2412" s="1"/>
      <c r="P2412" s="1"/>
      <c r="Q2412" s="1"/>
      <c r="R2412" s="1"/>
      <c r="S2412" s="1"/>
      <c r="T2412" s="1"/>
      <c r="U2412" s="1"/>
      <c r="V2412" s="1"/>
      <c r="W2412" s="1"/>
      <c r="X2412" s="1"/>
    </row>
    <row x14ac:dyDescent="0.25" r="2413" customHeight="1" ht="18.75">
      <c r="A2413" s="1"/>
      <c r="B2413" s="1"/>
      <c r="C2413" s="3" t="s">
        <v>1861</v>
      </c>
      <c r="D2413" s="3" t="s">
        <v>2444</v>
      </c>
      <c r="E2413" s="1"/>
      <c r="F2413" s="1"/>
      <c r="G2413" s="1"/>
      <c r="H2413" s="1"/>
      <c r="I2413" s="2"/>
      <c r="J2413" s="1"/>
      <c r="K2413" s="1"/>
      <c r="L2413" s="1"/>
      <c r="M2413" s="1"/>
      <c r="N2413" s="1"/>
      <c r="O2413" s="1"/>
      <c r="P2413" s="1"/>
      <c r="Q2413" s="1"/>
      <c r="R2413" s="1"/>
      <c r="S2413" s="1"/>
      <c r="T2413" s="1"/>
      <c r="U2413" s="1"/>
      <c r="V2413" s="1"/>
      <c r="W2413" s="1"/>
      <c r="X2413" s="1"/>
    </row>
    <row x14ac:dyDescent="0.25" r="2414" customHeight="1" ht="18.75">
      <c r="A2414" s="1"/>
      <c r="B2414" s="1"/>
      <c r="C2414" s="3" t="s">
        <v>1861</v>
      </c>
      <c r="D2414" s="3" t="s">
        <v>2445</v>
      </c>
      <c r="E2414" s="1"/>
      <c r="F2414" s="1"/>
      <c r="G2414" s="1"/>
      <c r="H2414" s="1"/>
      <c r="I2414" s="2"/>
      <c r="J2414" s="1"/>
      <c r="K2414" s="1"/>
      <c r="L2414" s="1"/>
      <c r="M2414" s="1"/>
      <c r="N2414" s="1"/>
      <c r="O2414" s="1"/>
      <c r="P2414" s="1"/>
      <c r="Q2414" s="1"/>
      <c r="R2414" s="1"/>
      <c r="S2414" s="1"/>
      <c r="T2414" s="1"/>
      <c r="U2414" s="1"/>
      <c r="V2414" s="1"/>
      <c r="W2414" s="1"/>
      <c r="X2414" s="1"/>
    </row>
    <row x14ac:dyDescent="0.25" r="2415" customHeight="1" ht="18.75">
      <c r="A2415" s="1"/>
      <c r="B2415" s="1"/>
      <c r="C2415" s="3" t="s">
        <v>1861</v>
      </c>
      <c r="D2415" s="3" t="s">
        <v>2446</v>
      </c>
      <c r="E2415" s="1"/>
      <c r="F2415" s="1"/>
      <c r="G2415" s="1"/>
      <c r="H2415" s="1"/>
      <c r="I2415" s="2"/>
      <c r="J2415" s="1"/>
      <c r="K2415" s="1"/>
      <c r="L2415" s="1"/>
      <c r="M2415" s="1"/>
      <c r="N2415" s="1"/>
      <c r="O2415" s="1"/>
      <c r="P2415" s="1"/>
      <c r="Q2415" s="1"/>
      <c r="R2415" s="1"/>
      <c r="S2415" s="1"/>
      <c r="T2415" s="1"/>
      <c r="U2415" s="1"/>
      <c r="V2415" s="1"/>
      <c r="W2415" s="1"/>
      <c r="X2415" s="1"/>
    </row>
    <row x14ac:dyDescent="0.25" r="2416" customHeight="1" ht="18.75">
      <c r="A2416" s="1"/>
      <c r="B2416" s="1"/>
      <c r="C2416" s="3" t="s">
        <v>1861</v>
      </c>
      <c r="D2416" s="3" t="s">
        <v>2447</v>
      </c>
      <c r="E2416" s="1"/>
      <c r="F2416" s="1"/>
      <c r="G2416" s="1"/>
      <c r="H2416" s="1"/>
      <c r="I2416" s="2"/>
      <c r="J2416" s="1"/>
      <c r="K2416" s="1"/>
      <c r="L2416" s="1"/>
      <c r="M2416" s="1"/>
      <c r="N2416" s="1"/>
      <c r="O2416" s="1"/>
      <c r="P2416" s="1"/>
      <c r="Q2416" s="1"/>
      <c r="R2416" s="1"/>
      <c r="S2416" s="1"/>
      <c r="T2416" s="1"/>
      <c r="U2416" s="1"/>
      <c r="V2416" s="1"/>
      <c r="W2416" s="1"/>
      <c r="X2416" s="1"/>
    </row>
    <row x14ac:dyDescent="0.25" r="2417" customHeight="1" ht="18.75">
      <c r="A2417" s="1"/>
      <c r="B2417" s="1"/>
      <c r="C2417" s="3" t="s">
        <v>1861</v>
      </c>
      <c r="D2417" s="3" t="s">
        <v>2448</v>
      </c>
      <c r="E2417" s="1"/>
      <c r="F2417" s="1"/>
      <c r="G2417" s="1"/>
      <c r="H2417" s="1"/>
      <c r="I2417" s="2"/>
      <c r="J2417" s="1"/>
      <c r="K2417" s="1"/>
      <c r="L2417" s="1"/>
      <c r="M2417" s="1"/>
      <c r="N2417" s="1"/>
      <c r="O2417" s="1"/>
      <c r="P2417" s="1"/>
      <c r="Q2417" s="1"/>
      <c r="R2417" s="1"/>
      <c r="S2417" s="1"/>
      <c r="T2417" s="1"/>
      <c r="U2417" s="1"/>
      <c r="V2417" s="1"/>
      <c r="W2417" s="1"/>
      <c r="X2417" s="1"/>
    </row>
    <row x14ac:dyDescent="0.25" r="2418" customHeight="1" ht="18.75">
      <c r="A2418" s="1"/>
      <c r="B2418" s="1"/>
      <c r="C2418" s="3" t="s">
        <v>1861</v>
      </c>
      <c r="D2418" s="3" t="s">
        <v>2449</v>
      </c>
      <c r="E2418" s="1"/>
      <c r="F2418" s="1"/>
      <c r="G2418" s="1"/>
      <c r="H2418" s="1"/>
      <c r="I2418" s="2"/>
      <c r="J2418" s="1"/>
      <c r="K2418" s="1"/>
      <c r="L2418" s="1"/>
      <c r="M2418" s="1"/>
      <c r="N2418" s="1"/>
      <c r="O2418" s="1"/>
      <c r="P2418" s="1"/>
      <c r="Q2418" s="1"/>
      <c r="R2418" s="1"/>
      <c r="S2418" s="1"/>
      <c r="T2418" s="1"/>
      <c r="U2418" s="1"/>
      <c r="V2418" s="1"/>
      <c r="W2418" s="1"/>
      <c r="X2418" s="1"/>
    </row>
    <row x14ac:dyDescent="0.25" r="2419" customHeight="1" ht="18.75">
      <c r="A2419" s="1"/>
      <c r="B2419" s="1"/>
      <c r="C2419" s="3" t="s">
        <v>1861</v>
      </c>
      <c r="D2419" s="3" t="s">
        <v>2450</v>
      </c>
      <c r="E2419" s="1"/>
      <c r="F2419" s="1"/>
      <c r="G2419" s="1"/>
      <c r="H2419" s="1"/>
      <c r="I2419" s="2"/>
      <c r="J2419" s="1"/>
      <c r="K2419" s="1"/>
      <c r="L2419" s="1"/>
      <c r="M2419" s="1"/>
      <c r="N2419" s="1"/>
      <c r="O2419" s="1"/>
      <c r="P2419" s="1"/>
      <c r="Q2419" s="1"/>
      <c r="R2419" s="1"/>
      <c r="S2419" s="1"/>
      <c r="T2419" s="1"/>
      <c r="U2419" s="1"/>
      <c r="V2419" s="1"/>
      <c r="W2419" s="1"/>
      <c r="X2419" s="1"/>
    </row>
    <row x14ac:dyDescent="0.25" r="2420" customHeight="1" ht="18.75">
      <c r="A2420" s="1"/>
      <c r="B2420" s="1"/>
      <c r="C2420" s="3" t="s">
        <v>1861</v>
      </c>
      <c r="D2420" s="3" t="s">
        <v>2451</v>
      </c>
      <c r="E2420" s="1"/>
      <c r="F2420" s="1"/>
      <c r="G2420" s="1"/>
      <c r="H2420" s="1"/>
      <c r="I2420" s="2"/>
      <c r="J2420" s="1"/>
      <c r="K2420" s="1"/>
      <c r="L2420" s="1"/>
      <c r="M2420" s="1"/>
      <c r="N2420" s="1"/>
      <c r="O2420" s="1"/>
      <c r="P2420" s="1"/>
      <c r="Q2420" s="1"/>
      <c r="R2420" s="1"/>
      <c r="S2420" s="1"/>
      <c r="T2420" s="1"/>
      <c r="U2420" s="1"/>
      <c r="V2420" s="1"/>
      <c r="W2420" s="1"/>
      <c r="X2420" s="1"/>
    </row>
    <row x14ac:dyDescent="0.25" r="2421" customHeight="1" ht="18.75">
      <c r="A2421" s="1"/>
      <c r="B2421" s="1"/>
      <c r="C2421" s="3" t="s">
        <v>1861</v>
      </c>
      <c r="D2421" s="3" t="s">
        <v>2452</v>
      </c>
      <c r="E2421" s="1"/>
      <c r="F2421" s="1"/>
      <c r="G2421" s="1"/>
      <c r="H2421" s="1"/>
      <c r="I2421" s="2"/>
      <c r="J2421" s="1"/>
      <c r="K2421" s="1"/>
      <c r="L2421" s="1"/>
      <c r="M2421" s="1"/>
      <c r="N2421" s="1"/>
      <c r="O2421" s="1"/>
      <c r="P2421" s="1"/>
      <c r="Q2421" s="1"/>
      <c r="R2421" s="1"/>
      <c r="S2421" s="1"/>
      <c r="T2421" s="1"/>
      <c r="U2421" s="1"/>
      <c r="V2421" s="1"/>
      <c r="W2421" s="1"/>
      <c r="X2421" s="1"/>
    </row>
    <row x14ac:dyDescent="0.25" r="2422" customHeight="1" ht="18.75">
      <c r="A2422" s="1"/>
      <c r="B2422" s="1"/>
      <c r="C2422" s="3" t="s">
        <v>1861</v>
      </c>
      <c r="D2422" s="3" t="s">
        <v>2453</v>
      </c>
      <c r="E2422" s="1"/>
      <c r="F2422" s="1"/>
      <c r="G2422" s="1"/>
      <c r="H2422" s="1"/>
      <c r="I2422" s="2"/>
      <c r="J2422" s="1"/>
      <c r="K2422" s="1"/>
      <c r="L2422" s="1"/>
      <c r="M2422" s="1"/>
      <c r="N2422" s="1"/>
      <c r="O2422" s="1"/>
      <c r="P2422" s="1"/>
      <c r="Q2422" s="1"/>
      <c r="R2422" s="1"/>
      <c r="S2422" s="1"/>
      <c r="T2422" s="1"/>
      <c r="U2422" s="1"/>
      <c r="V2422" s="1"/>
      <c r="W2422" s="1"/>
      <c r="X2422" s="1"/>
    </row>
    <row x14ac:dyDescent="0.25" r="2423" customHeight="1" ht="18.75">
      <c r="A2423" s="1"/>
      <c r="B2423" s="1"/>
      <c r="C2423" s="3" t="s">
        <v>1861</v>
      </c>
      <c r="D2423" s="3" t="s">
        <v>2454</v>
      </c>
      <c r="E2423" s="1"/>
      <c r="F2423" s="1"/>
      <c r="G2423" s="1"/>
      <c r="H2423" s="1"/>
      <c r="I2423" s="2"/>
      <c r="J2423" s="1"/>
      <c r="K2423" s="1"/>
      <c r="L2423" s="1"/>
      <c r="M2423" s="1"/>
      <c r="N2423" s="1"/>
      <c r="O2423" s="1"/>
      <c r="P2423" s="1"/>
      <c r="Q2423" s="1"/>
      <c r="R2423" s="1"/>
      <c r="S2423" s="1"/>
      <c r="T2423" s="1"/>
      <c r="U2423" s="1"/>
      <c r="V2423" s="1"/>
      <c r="W2423" s="1"/>
      <c r="X2423" s="1"/>
    </row>
    <row x14ac:dyDescent="0.25" r="2424" customHeight="1" ht="18.75">
      <c r="A2424" s="1"/>
      <c r="B2424" s="1"/>
      <c r="C2424" s="3" t="s">
        <v>1861</v>
      </c>
      <c r="D2424" s="3" t="s">
        <v>2455</v>
      </c>
      <c r="E2424" s="1"/>
      <c r="F2424" s="1"/>
      <c r="G2424" s="1"/>
      <c r="H2424" s="1"/>
      <c r="I2424" s="2"/>
      <c r="J2424" s="1"/>
      <c r="K2424" s="1"/>
      <c r="L2424" s="1"/>
      <c r="M2424" s="1"/>
      <c r="N2424" s="1"/>
      <c r="O2424" s="1"/>
      <c r="P2424" s="1"/>
      <c r="Q2424" s="1"/>
      <c r="R2424" s="1"/>
      <c r="S2424" s="1"/>
      <c r="T2424" s="1"/>
      <c r="U2424" s="1"/>
      <c r="V2424" s="1"/>
      <c r="W2424" s="1"/>
      <c r="X2424" s="1"/>
    </row>
    <row x14ac:dyDescent="0.25" r="2425" customHeight="1" ht="18.75">
      <c r="A2425" s="1"/>
      <c r="B2425" s="1"/>
      <c r="C2425" s="3" t="s">
        <v>1861</v>
      </c>
      <c r="D2425" s="3" t="s">
        <v>2456</v>
      </c>
      <c r="E2425" s="1"/>
      <c r="F2425" s="1"/>
      <c r="G2425" s="1"/>
      <c r="H2425" s="1"/>
      <c r="I2425" s="2"/>
      <c r="J2425" s="1"/>
      <c r="K2425" s="1"/>
      <c r="L2425" s="1"/>
      <c r="M2425" s="1"/>
      <c r="N2425" s="1"/>
      <c r="O2425" s="1"/>
      <c r="P2425" s="1"/>
      <c r="Q2425" s="1"/>
      <c r="R2425" s="1"/>
      <c r="S2425" s="1"/>
      <c r="T2425" s="1"/>
      <c r="U2425" s="1"/>
      <c r="V2425" s="1"/>
      <c r="W2425" s="1"/>
      <c r="X2425" s="1"/>
    </row>
    <row x14ac:dyDescent="0.25" r="2426" customHeight="1" ht="18.75">
      <c r="A2426" s="1"/>
      <c r="B2426" s="1"/>
      <c r="C2426" s="3" t="s">
        <v>2259</v>
      </c>
      <c r="D2426" s="3" t="s">
        <v>2457</v>
      </c>
      <c r="E2426" s="1"/>
      <c r="F2426" s="1"/>
      <c r="G2426" s="1"/>
      <c r="H2426" s="1"/>
      <c r="I2426" s="2"/>
      <c r="J2426" s="1"/>
      <c r="K2426" s="1"/>
      <c r="L2426" s="1"/>
      <c r="M2426" s="1"/>
      <c r="N2426" s="1"/>
      <c r="O2426" s="1"/>
      <c r="P2426" s="1"/>
      <c r="Q2426" s="1"/>
      <c r="R2426" s="1"/>
      <c r="S2426" s="1"/>
      <c r="T2426" s="1"/>
      <c r="U2426" s="1"/>
      <c r="V2426" s="1"/>
      <c r="W2426" s="1"/>
      <c r="X2426" s="1"/>
    </row>
    <row x14ac:dyDescent="0.25" r="2427" customHeight="1" ht="18.75">
      <c r="A2427" s="1"/>
      <c r="B2427" s="1"/>
      <c r="C2427" s="3" t="s">
        <v>2259</v>
      </c>
      <c r="D2427" s="3" t="s">
        <v>2458</v>
      </c>
      <c r="E2427" s="1"/>
      <c r="F2427" s="1"/>
      <c r="G2427" s="1"/>
      <c r="H2427" s="1"/>
      <c r="I2427" s="2"/>
      <c r="J2427" s="1"/>
      <c r="K2427" s="1"/>
      <c r="L2427" s="1"/>
      <c r="M2427" s="1"/>
      <c r="N2427" s="1"/>
      <c r="O2427" s="1"/>
      <c r="P2427" s="1"/>
      <c r="Q2427" s="1"/>
      <c r="R2427" s="1"/>
      <c r="S2427" s="1"/>
      <c r="T2427" s="1"/>
      <c r="U2427" s="1"/>
      <c r="V2427" s="1"/>
      <c r="W2427" s="1"/>
      <c r="X2427" s="1"/>
    </row>
    <row x14ac:dyDescent="0.25" r="2428" customHeight="1" ht="18.75">
      <c r="A2428" s="1"/>
      <c r="B2428" s="1"/>
      <c r="C2428" s="3" t="s">
        <v>1861</v>
      </c>
      <c r="D2428" s="3" t="s">
        <v>2459</v>
      </c>
      <c r="E2428" s="1"/>
      <c r="F2428" s="1"/>
      <c r="G2428" s="1"/>
      <c r="H2428" s="1"/>
      <c r="I2428" s="2"/>
      <c r="J2428" s="1"/>
      <c r="K2428" s="1"/>
      <c r="L2428" s="1"/>
      <c r="M2428" s="1"/>
      <c r="N2428" s="1"/>
      <c r="O2428" s="1"/>
      <c r="P2428" s="1"/>
      <c r="Q2428" s="1"/>
      <c r="R2428" s="1"/>
      <c r="S2428" s="1"/>
      <c r="T2428" s="1"/>
      <c r="U2428" s="1"/>
      <c r="V2428" s="1"/>
      <c r="W2428" s="1"/>
      <c r="X2428" s="1"/>
    </row>
    <row x14ac:dyDescent="0.25" r="2429" customHeight="1" ht="18.75">
      <c r="A2429" s="1"/>
      <c r="B2429" s="1"/>
      <c r="C2429" s="3" t="s">
        <v>1861</v>
      </c>
      <c r="D2429" s="3" t="s">
        <v>2460</v>
      </c>
      <c r="E2429" s="1"/>
      <c r="F2429" s="1"/>
      <c r="G2429" s="1"/>
      <c r="H2429" s="1"/>
      <c r="I2429" s="2"/>
      <c r="J2429" s="1"/>
      <c r="K2429" s="1"/>
      <c r="L2429" s="1"/>
      <c r="M2429" s="1"/>
      <c r="N2429" s="1"/>
      <c r="O2429" s="1"/>
      <c r="P2429" s="1"/>
      <c r="Q2429" s="1"/>
      <c r="R2429" s="1"/>
      <c r="S2429" s="1"/>
      <c r="T2429" s="1"/>
      <c r="U2429" s="1"/>
      <c r="V2429" s="1"/>
      <c r="W2429" s="1"/>
      <c r="X2429" s="1"/>
    </row>
    <row x14ac:dyDescent="0.25" r="2430" customHeight="1" ht="18.75">
      <c r="A2430" s="1"/>
      <c r="B2430" s="1"/>
      <c r="C2430" s="3" t="s">
        <v>1861</v>
      </c>
      <c r="D2430" s="3" t="s">
        <v>2461</v>
      </c>
      <c r="E2430" s="1"/>
      <c r="F2430" s="1"/>
      <c r="G2430" s="1"/>
      <c r="H2430" s="1"/>
      <c r="I2430" s="2"/>
      <c r="J2430" s="1"/>
      <c r="K2430" s="1"/>
      <c r="L2430" s="1"/>
      <c r="M2430" s="1"/>
      <c r="N2430" s="1"/>
      <c r="O2430" s="1"/>
      <c r="P2430" s="1"/>
      <c r="Q2430" s="1"/>
      <c r="R2430" s="1"/>
      <c r="S2430" s="1"/>
      <c r="T2430" s="1"/>
      <c r="U2430" s="1"/>
      <c r="V2430" s="1"/>
      <c r="W2430" s="1"/>
      <c r="X2430" s="1"/>
    </row>
    <row x14ac:dyDescent="0.25" r="2431" customHeight="1" ht="18.75">
      <c r="A2431" s="1"/>
      <c r="B2431" s="1"/>
      <c r="C2431" s="3" t="s">
        <v>1861</v>
      </c>
      <c r="D2431" s="3" t="s">
        <v>2462</v>
      </c>
      <c r="E2431" s="1"/>
      <c r="F2431" s="1"/>
      <c r="G2431" s="1"/>
      <c r="H2431" s="1"/>
      <c r="I2431" s="2"/>
      <c r="J2431" s="1"/>
      <c r="K2431" s="1"/>
      <c r="L2431" s="1"/>
      <c r="M2431" s="1"/>
      <c r="N2431" s="1"/>
      <c r="O2431" s="1"/>
      <c r="P2431" s="1"/>
      <c r="Q2431" s="1"/>
      <c r="R2431" s="1"/>
      <c r="S2431" s="1"/>
      <c r="T2431" s="1"/>
      <c r="U2431" s="1"/>
      <c r="V2431" s="1"/>
      <c r="W2431" s="1"/>
      <c r="X2431" s="1"/>
    </row>
    <row x14ac:dyDescent="0.25" r="2432" customHeight="1" ht="18.75">
      <c r="A2432" s="1"/>
      <c r="B2432" s="1"/>
      <c r="C2432" s="3" t="s">
        <v>1861</v>
      </c>
      <c r="D2432" s="3" t="s">
        <v>2463</v>
      </c>
      <c r="E2432" s="1"/>
      <c r="F2432" s="1"/>
      <c r="G2432" s="1"/>
      <c r="H2432" s="1"/>
      <c r="I2432" s="2"/>
      <c r="J2432" s="1"/>
      <c r="K2432" s="1"/>
      <c r="L2432" s="1"/>
      <c r="M2432" s="1"/>
      <c r="N2432" s="1"/>
      <c r="O2432" s="1"/>
      <c r="P2432" s="1"/>
      <c r="Q2432" s="1"/>
      <c r="R2432" s="1"/>
      <c r="S2432" s="1"/>
      <c r="T2432" s="1"/>
      <c r="U2432" s="1"/>
      <c r="V2432" s="1"/>
      <c r="W2432" s="1"/>
      <c r="X2432" s="1"/>
    </row>
    <row x14ac:dyDescent="0.25" r="2433" customHeight="1" ht="18.75">
      <c r="A2433" s="1"/>
      <c r="B2433" s="1"/>
      <c r="C2433" s="3" t="s">
        <v>1861</v>
      </c>
      <c r="D2433" s="3" t="s">
        <v>2464</v>
      </c>
      <c r="E2433" s="1"/>
      <c r="F2433" s="1"/>
      <c r="G2433" s="1"/>
      <c r="H2433" s="1"/>
      <c r="I2433" s="2"/>
      <c r="J2433" s="1"/>
      <c r="K2433" s="1"/>
      <c r="L2433" s="1"/>
      <c r="M2433" s="1"/>
      <c r="N2433" s="1"/>
      <c r="O2433" s="1"/>
      <c r="P2433" s="1"/>
      <c r="Q2433" s="1"/>
      <c r="R2433" s="1"/>
      <c r="S2433" s="1"/>
      <c r="T2433" s="1"/>
      <c r="U2433" s="1"/>
      <c r="V2433" s="1"/>
      <c r="W2433" s="1"/>
      <c r="X2433" s="1"/>
    </row>
    <row x14ac:dyDescent="0.25" r="2434" customHeight="1" ht="18.75">
      <c r="A2434" s="1"/>
      <c r="B2434" s="1"/>
      <c r="C2434" s="3" t="s">
        <v>1861</v>
      </c>
      <c r="D2434" s="3" t="s">
        <v>2465</v>
      </c>
      <c r="E2434" s="1"/>
      <c r="F2434" s="1"/>
      <c r="G2434" s="1"/>
      <c r="H2434" s="1"/>
      <c r="I2434" s="2"/>
      <c r="J2434" s="1"/>
      <c r="K2434" s="1"/>
      <c r="L2434" s="1"/>
      <c r="M2434" s="1"/>
      <c r="N2434" s="1"/>
      <c r="O2434" s="1"/>
      <c r="P2434" s="1"/>
      <c r="Q2434" s="1"/>
      <c r="R2434" s="1"/>
      <c r="S2434" s="1"/>
      <c r="T2434" s="1"/>
      <c r="U2434" s="1"/>
      <c r="V2434" s="1"/>
      <c r="W2434" s="1"/>
      <c r="X2434" s="1"/>
    </row>
    <row x14ac:dyDescent="0.25" r="2435" customHeight="1" ht="18.75">
      <c r="A2435" s="1"/>
      <c r="B2435" s="1"/>
      <c r="C2435" s="3" t="s">
        <v>1861</v>
      </c>
      <c r="D2435" s="3" t="s">
        <v>2466</v>
      </c>
      <c r="E2435" s="1"/>
      <c r="F2435" s="1"/>
      <c r="G2435" s="1"/>
      <c r="H2435" s="1"/>
      <c r="I2435" s="2"/>
      <c r="J2435" s="1"/>
      <c r="K2435" s="1"/>
      <c r="L2435" s="1"/>
      <c r="M2435" s="1"/>
      <c r="N2435" s="1"/>
      <c r="O2435" s="1"/>
      <c r="P2435" s="1"/>
      <c r="Q2435" s="1"/>
      <c r="R2435" s="1"/>
      <c r="S2435" s="1"/>
      <c r="T2435" s="1"/>
      <c r="U2435" s="1"/>
      <c r="V2435" s="1"/>
      <c r="W2435" s="1"/>
      <c r="X2435" s="1"/>
    </row>
    <row x14ac:dyDescent="0.25" r="2436" customHeight="1" ht="18.75">
      <c r="A2436" s="1"/>
      <c r="B2436" s="1"/>
      <c r="C2436" s="3" t="s">
        <v>1861</v>
      </c>
      <c r="D2436" s="3" t="s">
        <v>2467</v>
      </c>
      <c r="E2436" s="1"/>
      <c r="F2436" s="1"/>
      <c r="G2436" s="1"/>
      <c r="H2436" s="1"/>
      <c r="I2436" s="2"/>
      <c r="J2436" s="1"/>
      <c r="K2436" s="1"/>
      <c r="L2436" s="1"/>
      <c r="M2436" s="1"/>
      <c r="N2436" s="1"/>
      <c r="O2436" s="1"/>
      <c r="P2436" s="1"/>
      <c r="Q2436" s="1"/>
      <c r="R2436" s="1"/>
      <c r="S2436" s="1"/>
      <c r="T2436" s="1"/>
      <c r="U2436" s="1"/>
      <c r="V2436" s="1"/>
      <c r="W2436" s="1"/>
      <c r="X2436" s="1"/>
    </row>
    <row x14ac:dyDescent="0.25" r="2437" customHeight="1" ht="18.75">
      <c r="A2437" s="1"/>
      <c r="B2437" s="1"/>
      <c r="C2437" s="3" t="s">
        <v>1861</v>
      </c>
      <c r="D2437" s="3" t="s">
        <v>2468</v>
      </c>
      <c r="E2437" s="1"/>
      <c r="F2437" s="1"/>
      <c r="G2437" s="1"/>
      <c r="H2437" s="1"/>
      <c r="I2437" s="2"/>
      <c r="J2437" s="1"/>
      <c r="K2437" s="1"/>
      <c r="L2437" s="1"/>
      <c r="M2437" s="1"/>
      <c r="N2437" s="1"/>
      <c r="O2437" s="1"/>
      <c r="P2437" s="1"/>
      <c r="Q2437" s="1"/>
      <c r="R2437" s="1"/>
      <c r="S2437" s="1"/>
      <c r="T2437" s="1"/>
      <c r="U2437" s="1"/>
      <c r="V2437" s="1"/>
      <c r="W2437" s="1"/>
      <c r="X2437" s="1"/>
    </row>
    <row x14ac:dyDescent="0.25" r="2438" customHeight="1" ht="18.75">
      <c r="A2438" s="1"/>
      <c r="B2438" s="1"/>
      <c r="C2438" s="3" t="s">
        <v>1861</v>
      </c>
      <c r="D2438" s="3" t="s">
        <v>2469</v>
      </c>
      <c r="E2438" s="1"/>
      <c r="F2438" s="1"/>
      <c r="G2438" s="1"/>
      <c r="H2438" s="1"/>
      <c r="I2438" s="2"/>
      <c r="J2438" s="1"/>
      <c r="K2438" s="1"/>
      <c r="L2438" s="1"/>
      <c r="M2438" s="1"/>
      <c r="N2438" s="1"/>
      <c r="O2438" s="1"/>
      <c r="P2438" s="1"/>
      <c r="Q2438" s="1"/>
      <c r="R2438" s="1"/>
      <c r="S2438" s="1"/>
      <c r="T2438" s="1"/>
      <c r="U2438" s="1"/>
      <c r="V2438" s="1"/>
      <c r="W2438" s="1"/>
      <c r="X2438" s="1"/>
    </row>
    <row x14ac:dyDescent="0.25" r="2439" customHeight="1" ht="18.75">
      <c r="A2439" s="1"/>
      <c r="B2439" s="1"/>
      <c r="C2439" s="3" t="s">
        <v>1861</v>
      </c>
      <c r="D2439" s="3" t="s">
        <v>2470</v>
      </c>
      <c r="E2439" s="1"/>
      <c r="F2439" s="1"/>
      <c r="G2439" s="1"/>
      <c r="H2439" s="1"/>
      <c r="I2439" s="2"/>
      <c r="J2439" s="1"/>
      <c r="K2439" s="1"/>
      <c r="L2439" s="1"/>
      <c r="M2439" s="1"/>
      <c r="N2439" s="1"/>
      <c r="O2439" s="1"/>
      <c r="P2439" s="1"/>
      <c r="Q2439" s="1"/>
      <c r="R2439" s="1"/>
      <c r="S2439" s="1"/>
      <c r="T2439" s="1"/>
      <c r="U2439" s="1"/>
      <c r="V2439" s="1"/>
      <c r="W2439" s="1"/>
      <c r="X2439" s="1"/>
    </row>
    <row x14ac:dyDescent="0.25" r="2440" customHeight="1" ht="18.75">
      <c r="A2440" s="1"/>
      <c r="B2440" s="1"/>
      <c r="C2440" s="3" t="s">
        <v>1861</v>
      </c>
      <c r="D2440" s="3" t="s">
        <v>2471</v>
      </c>
      <c r="E2440" s="1"/>
      <c r="F2440" s="1"/>
      <c r="G2440" s="1"/>
      <c r="H2440" s="1"/>
      <c r="I2440" s="2"/>
      <c r="J2440" s="1"/>
      <c r="K2440" s="1"/>
      <c r="L2440" s="1"/>
      <c r="M2440" s="1"/>
      <c r="N2440" s="1"/>
      <c r="O2440" s="1"/>
      <c r="P2440" s="1"/>
      <c r="Q2440" s="1"/>
      <c r="R2440" s="1"/>
      <c r="S2440" s="1"/>
      <c r="T2440" s="1"/>
      <c r="U2440" s="1"/>
      <c r="V2440" s="1"/>
      <c r="W2440" s="1"/>
      <c r="X2440" s="1"/>
    </row>
    <row x14ac:dyDescent="0.25" r="2441" customHeight="1" ht="18.75">
      <c r="A2441" s="1"/>
      <c r="B2441" s="1"/>
      <c r="C2441" s="3" t="s">
        <v>2259</v>
      </c>
      <c r="D2441" s="3" t="s">
        <v>2472</v>
      </c>
      <c r="E2441" s="1"/>
      <c r="F2441" s="1"/>
      <c r="G2441" s="1"/>
      <c r="H2441" s="1"/>
      <c r="I2441" s="2"/>
      <c r="J2441" s="1"/>
      <c r="K2441" s="1"/>
      <c r="L2441" s="1"/>
      <c r="M2441" s="1"/>
      <c r="N2441" s="1"/>
      <c r="O2441" s="1"/>
      <c r="P2441" s="1"/>
      <c r="Q2441" s="1"/>
      <c r="R2441" s="1"/>
      <c r="S2441" s="1"/>
      <c r="T2441" s="1"/>
      <c r="U2441" s="1"/>
      <c r="V2441" s="1"/>
      <c r="W2441" s="1"/>
      <c r="X2441" s="1"/>
    </row>
    <row x14ac:dyDescent="0.25" r="2442" customHeight="1" ht="18.75">
      <c r="A2442" s="1"/>
      <c r="B2442" s="1"/>
      <c r="C2442" s="3" t="s">
        <v>1861</v>
      </c>
      <c r="D2442" s="3" t="s">
        <v>2473</v>
      </c>
      <c r="E2442" s="1"/>
      <c r="F2442" s="1"/>
      <c r="G2442" s="1"/>
      <c r="H2442" s="1"/>
      <c r="I2442" s="2"/>
      <c r="J2442" s="1"/>
      <c r="K2442" s="1"/>
      <c r="L2442" s="1"/>
      <c r="M2442" s="1"/>
      <c r="N2442" s="1"/>
      <c r="O2442" s="1"/>
      <c r="P2442" s="1"/>
      <c r="Q2442" s="1"/>
      <c r="R2442" s="1"/>
      <c r="S2442" s="1"/>
      <c r="T2442" s="1"/>
      <c r="U2442" s="1"/>
      <c r="V2442" s="1"/>
      <c r="W2442" s="1"/>
      <c r="X2442" s="1"/>
    </row>
    <row x14ac:dyDescent="0.25" r="2443" customHeight="1" ht="18.75">
      <c r="A2443" s="1"/>
      <c r="B2443" s="1"/>
      <c r="C2443" s="3" t="s">
        <v>1861</v>
      </c>
      <c r="D2443" s="3" t="s">
        <v>2474</v>
      </c>
      <c r="E2443" s="1"/>
      <c r="F2443" s="1"/>
      <c r="G2443" s="1"/>
      <c r="H2443" s="1"/>
      <c r="I2443" s="2"/>
      <c r="J2443" s="1"/>
      <c r="K2443" s="1"/>
      <c r="L2443" s="1"/>
      <c r="M2443" s="1"/>
      <c r="N2443" s="1"/>
      <c r="O2443" s="1"/>
      <c r="P2443" s="1"/>
      <c r="Q2443" s="1"/>
      <c r="R2443" s="1"/>
      <c r="S2443" s="1"/>
      <c r="T2443" s="1"/>
      <c r="U2443" s="1"/>
      <c r="V2443" s="1"/>
      <c r="W2443" s="1"/>
      <c r="X2443" s="1"/>
    </row>
    <row x14ac:dyDescent="0.25" r="2444" customHeight="1" ht="18.75">
      <c r="A2444" s="1"/>
      <c r="B2444" s="1"/>
      <c r="C2444" s="3" t="s">
        <v>1861</v>
      </c>
      <c r="D2444" s="3" t="s">
        <v>2475</v>
      </c>
      <c r="E2444" s="1"/>
      <c r="F2444" s="1"/>
      <c r="G2444" s="1"/>
      <c r="H2444" s="1"/>
      <c r="I2444" s="2"/>
      <c r="J2444" s="1"/>
      <c r="K2444" s="1"/>
      <c r="L2444" s="1"/>
      <c r="M2444" s="1"/>
      <c r="N2444" s="1"/>
      <c r="O2444" s="1"/>
      <c r="P2444" s="1"/>
      <c r="Q2444" s="1"/>
      <c r="R2444" s="1"/>
      <c r="S2444" s="1"/>
      <c r="T2444" s="1"/>
      <c r="U2444" s="1"/>
      <c r="V2444" s="1"/>
      <c r="W2444" s="1"/>
      <c r="X2444" s="1"/>
    </row>
    <row x14ac:dyDescent="0.25" r="2445" customHeight="1" ht="18.75">
      <c r="A2445" s="1"/>
      <c r="B2445" s="1"/>
      <c r="C2445" s="3" t="s">
        <v>1861</v>
      </c>
      <c r="D2445" s="3" t="s">
        <v>2476</v>
      </c>
      <c r="E2445" s="1"/>
      <c r="F2445" s="1"/>
      <c r="G2445" s="1"/>
      <c r="H2445" s="1"/>
      <c r="I2445" s="2"/>
      <c r="J2445" s="1"/>
      <c r="K2445" s="1"/>
      <c r="L2445" s="1"/>
      <c r="M2445" s="1"/>
      <c r="N2445" s="1"/>
      <c r="O2445" s="1"/>
      <c r="P2445" s="1"/>
      <c r="Q2445" s="1"/>
      <c r="R2445" s="1"/>
      <c r="S2445" s="1"/>
      <c r="T2445" s="1"/>
      <c r="U2445" s="1"/>
      <c r="V2445" s="1"/>
      <c r="W2445" s="1"/>
      <c r="X2445" s="1"/>
    </row>
    <row x14ac:dyDescent="0.25" r="2446" customHeight="1" ht="18.75">
      <c r="A2446" s="1"/>
      <c r="B2446" s="1"/>
      <c r="C2446" s="3" t="s">
        <v>1861</v>
      </c>
      <c r="D2446" s="3" t="s">
        <v>2477</v>
      </c>
      <c r="E2446" s="1"/>
      <c r="F2446" s="1"/>
      <c r="G2446" s="1"/>
      <c r="H2446" s="1"/>
      <c r="I2446" s="2"/>
      <c r="J2446" s="1"/>
      <c r="K2446" s="1"/>
      <c r="L2446" s="1"/>
      <c r="M2446" s="1"/>
      <c r="N2446" s="1"/>
      <c r="O2446" s="1"/>
      <c r="P2446" s="1"/>
      <c r="Q2446" s="1"/>
      <c r="R2446" s="1"/>
      <c r="S2446" s="1"/>
      <c r="T2446" s="1"/>
      <c r="U2446" s="1"/>
      <c r="V2446" s="1"/>
      <c r="W2446" s="1"/>
      <c r="X2446" s="1"/>
    </row>
    <row x14ac:dyDescent="0.25" r="2447" customHeight="1" ht="18.75">
      <c r="A2447" s="1"/>
      <c r="B2447" s="1"/>
      <c r="C2447" s="3" t="s">
        <v>1861</v>
      </c>
      <c r="D2447" s="3" t="s">
        <v>2478</v>
      </c>
      <c r="E2447" s="1"/>
      <c r="F2447" s="1"/>
      <c r="G2447" s="1"/>
      <c r="H2447" s="1"/>
      <c r="I2447" s="2"/>
      <c r="J2447" s="1"/>
      <c r="K2447" s="1"/>
      <c r="L2447" s="1"/>
      <c r="M2447" s="1"/>
      <c r="N2447" s="1"/>
      <c r="O2447" s="1"/>
      <c r="P2447" s="1"/>
      <c r="Q2447" s="1"/>
      <c r="R2447" s="1"/>
      <c r="S2447" s="1"/>
      <c r="T2447" s="1"/>
      <c r="U2447" s="1"/>
      <c r="V2447" s="1"/>
      <c r="W2447" s="1"/>
      <c r="X2447" s="1"/>
    </row>
    <row x14ac:dyDescent="0.25" r="2448" customHeight="1" ht="18.75">
      <c r="A2448" s="1"/>
      <c r="B2448" s="1"/>
      <c r="C2448" s="3" t="s">
        <v>1861</v>
      </c>
      <c r="D2448" s="3" t="s">
        <v>2479</v>
      </c>
      <c r="E2448" s="1"/>
      <c r="F2448" s="1"/>
      <c r="G2448" s="1"/>
      <c r="H2448" s="1"/>
      <c r="I2448" s="2"/>
      <c r="J2448" s="1"/>
      <c r="K2448" s="1"/>
      <c r="L2448" s="1"/>
      <c r="M2448" s="1"/>
      <c r="N2448" s="1"/>
      <c r="O2448" s="1"/>
      <c r="P2448" s="1"/>
      <c r="Q2448" s="1"/>
      <c r="R2448" s="1"/>
      <c r="S2448" s="1"/>
      <c r="T2448" s="1"/>
      <c r="U2448" s="1"/>
      <c r="V2448" s="1"/>
      <c r="W2448" s="1"/>
      <c r="X2448" s="1"/>
    </row>
    <row x14ac:dyDescent="0.25" r="2449" customHeight="1" ht="18.75">
      <c r="A2449" s="1"/>
      <c r="B2449" s="1"/>
      <c r="C2449" s="3" t="s">
        <v>1861</v>
      </c>
      <c r="D2449" s="3" t="s">
        <v>2480</v>
      </c>
      <c r="E2449" s="1"/>
      <c r="F2449" s="1"/>
      <c r="G2449" s="1"/>
      <c r="H2449" s="1"/>
      <c r="I2449" s="2"/>
      <c r="J2449" s="1"/>
      <c r="K2449" s="1"/>
      <c r="L2449" s="1"/>
      <c r="M2449" s="1"/>
      <c r="N2449" s="1"/>
      <c r="O2449" s="1"/>
      <c r="P2449" s="1"/>
      <c r="Q2449" s="1"/>
      <c r="R2449" s="1"/>
      <c r="S2449" s="1"/>
      <c r="T2449" s="1"/>
      <c r="U2449" s="1"/>
      <c r="V2449" s="1"/>
      <c r="W2449" s="1"/>
      <c r="X2449" s="1"/>
    </row>
    <row x14ac:dyDescent="0.25" r="2450" customHeight="1" ht="18.75">
      <c r="A2450" s="1"/>
      <c r="B2450" s="1"/>
      <c r="C2450" s="3" t="s">
        <v>1861</v>
      </c>
      <c r="D2450" s="3" t="s">
        <v>2481</v>
      </c>
      <c r="E2450" s="1"/>
      <c r="F2450" s="1"/>
      <c r="G2450" s="1"/>
      <c r="H2450" s="1"/>
      <c r="I2450" s="2"/>
      <c r="J2450" s="1"/>
      <c r="K2450" s="1"/>
      <c r="L2450" s="1"/>
      <c r="M2450" s="1"/>
      <c r="N2450" s="1"/>
      <c r="O2450" s="1"/>
      <c r="P2450" s="1"/>
      <c r="Q2450" s="1"/>
      <c r="R2450" s="1"/>
      <c r="S2450" s="1"/>
      <c r="T2450" s="1"/>
      <c r="U2450" s="1"/>
      <c r="V2450" s="1"/>
      <c r="W2450" s="1"/>
      <c r="X2450" s="1"/>
    </row>
    <row x14ac:dyDescent="0.25" r="2451" customHeight="1" ht="18.75">
      <c r="A2451" s="1"/>
      <c r="B2451" s="1"/>
      <c r="C2451" s="3" t="s">
        <v>1861</v>
      </c>
      <c r="D2451" s="3" t="s">
        <v>2482</v>
      </c>
      <c r="E2451" s="1"/>
      <c r="F2451" s="1"/>
      <c r="G2451" s="1"/>
      <c r="H2451" s="1"/>
      <c r="I2451" s="2"/>
      <c r="J2451" s="1"/>
      <c r="K2451" s="1"/>
      <c r="L2451" s="1"/>
      <c r="M2451" s="1"/>
      <c r="N2451" s="1"/>
      <c r="O2451" s="1"/>
      <c r="P2451" s="1"/>
      <c r="Q2451" s="1"/>
      <c r="R2451" s="1"/>
      <c r="S2451" s="1"/>
      <c r="T2451" s="1"/>
      <c r="U2451" s="1"/>
      <c r="V2451" s="1"/>
      <c r="W2451" s="1"/>
      <c r="X2451" s="1"/>
    </row>
    <row x14ac:dyDescent="0.25" r="2452" customHeight="1" ht="18.75">
      <c r="A2452" s="1"/>
      <c r="B2452" s="1"/>
      <c r="C2452" s="3" t="s">
        <v>1861</v>
      </c>
      <c r="D2452" s="3" t="s">
        <v>2483</v>
      </c>
      <c r="E2452" s="1"/>
      <c r="F2452" s="1"/>
      <c r="G2452" s="1"/>
      <c r="H2452" s="1"/>
      <c r="I2452" s="2"/>
      <c r="J2452" s="1"/>
      <c r="K2452" s="1"/>
      <c r="L2452" s="1"/>
      <c r="M2452" s="1"/>
      <c r="N2452" s="1"/>
      <c r="O2452" s="1"/>
      <c r="P2452" s="1"/>
      <c r="Q2452" s="1"/>
      <c r="R2452" s="1"/>
      <c r="S2452" s="1"/>
      <c r="T2452" s="1"/>
      <c r="U2452" s="1"/>
      <c r="V2452" s="1"/>
      <c r="W2452" s="1"/>
      <c r="X2452" s="1"/>
    </row>
    <row x14ac:dyDescent="0.25" r="2453" customHeight="1" ht="18.75">
      <c r="A2453" s="1"/>
      <c r="B2453" s="1"/>
      <c r="C2453" s="3" t="s">
        <v>1861</v>
      </c>
      <c r="D2453" s="3" t="s">
        <v>2484</v>
      </c>
      <c r="E2453" s="1"/>
      <c r="F2453" s="1"/>
      <c r="G2453" s="1"/>
      <c r="H2453" s="1"/>
      <c r="I2453" s="2"/>
      <c r="J2453" s="1"/>
      <c r="K2453" s="1"/>
      <c r="L2453" s="1"/>
      <c r="M2453" s="1"/>
      <c r="N2453" s="1"/>
      <c r="O2453" s="1"/>
      <c r="P2453" s="1"/>
      <c r="Q2453" s="1"/>
      <c r="R2453" s="1"/>
      <c r="S2453" s="1"/>
      <c r="T2453" s="1"/>
      <c r="U2453" s="1"/>
      <c r="V2453" s="1"/>
      <c r="W2453" s="1"/>
      <c r="X2453" s="1"/>
    </row>
    <row x14ac:dyDescent="0.25" r="2454" customHeight="1" ht="18.75">
      <c r="A2454" s="1"/>
      <c r="B2454" s="1"/>
      <c r="C2454" s="3" t="s">
        <v>1861</v>
      </c>
      <c r="D2454" s="3" t="s">
        <v>2485</v>
      </c>
      <c r="E2454" s="1"/>
      <c r="F2454" s="1"/>
      <c r="G2454" s="1"/>
      <c r="H2454" s="1"/>
      <c r="I2454" s="2"/>
      <c r="J2454" s="1"/>
      <c r="K2454" s="1"/>
      <c r="L2454" s="1"/>
      <c r="M2454" s="1"/>
      <c r="N2454" s="1"/>
      <c r="O2454" s="1"/>
      <c r="P2454" s="1"/>
      <c r="Q2454" s="1"/>
      <c r="R2454" s="1"/>
      <c r="S2454" s="1"/>
      <c r="T2454" s="1"/>
      <c r="U2454" s="1"/>
      <c r="V2454" s="1"/>
      <c r="W2454" s="1"/>
      <c r="X2454" s="1"/>
    </row>
    <row x14ac:dyDescent="0.25" r="2455" customHeight="1" ht="18.75">
      <c r="A2455" s="1"/>
      <c r="B2455" s="1"/>
      <c r="C2455" s="3" t="s">
        <v>1861</v>
      </c>
      <c r="D2455" s="3" t="s">
        <v>2486</v>
      </c>
      <c r="E2455" s="1"/>
      <c r="F2455" s="1"/>
      <c r="G2455" s="1"/>
      <c r="H2455" s="1"/>
      <c r="I2455" s="2"/>
      <c r="J2455" s="1"/>
      <c r="K2455" s="1"/>
      <c r="L2455" s="1"/>
      <c r="M2455" s="1"/>
      <c r="N2455" s="1"/>
      <c r="O2455" s="1"/>
      <c r="P2455" s="1"/>
      <c r="Q2455" s="1"/>
      <c r="R2455" s="1"/>
      <c r="S2455" s="1"/>
      <c r="T2455" s="1"/>
      <c r="U2455" s="1"/>
      <c r="V2455" s="1"/>
      <c r="W2455" s="1"/>
      <c r="X2455" s="1"/>
    </row>
    <row x14ac:dyDescent="0.25" r="2456" customHeight="1" ht="18.75">
      <c r="A2456" s="1"/>
      <c r="B2456" s="1"/>
      <c r="C2456" s="3" t="s">
        <v>1861</v>
      </c>
      <c r="D2456" s="3" t="s">
        <v>2487</v>
      </c>
      <c r="E2456" s="1"/>
      <c r="F2456" s="1"/>
      <c r="G2456" s="1"/>
      <c r="H2456" s="1"/>
      <c r="I2456" s="2"/>
      <c r="J2456" s="1"/>
      <c r="K2456" s="1"/>
      <c r="L2456" s="1"/>
      <c r="M2456" s="1"/>
      <c r="N2456" s="1"/>
      <c r="O2456" s="1"/>
      <c r="P2456" s="1"/>
      <c r="Q2456" s="1"/>
      <c r="R2456" s="1"/>
      <c r="S2456" s="1"/>
      <c r="T2456" s="1"/>
      <c r="U2456" s="1"/>
      <c r="V2456" s="1"/>
      <c r="W2456" s="1"/>
      <c r="X2456" s="1"/>
    </row>
    <row x14ac:dyDescent="0.25" r="2457" customHeight="1" ht="18.75">
      <c r="A2457" s="1"/>
      <c r="B2457" s="1"/>
      <c r="C2457" s="3" t="s">
        <v>1861</v>
      </c>
      <c r="D2457" s="3" t="s">
        <v>2488</v>
      </c>
      <c r="E2457" s="1"/>
      <c r="F2457" s="1"/>
      <c r="G2457" s="1"/>
      <c r="H2457" s="1"/>
      <c r="I2457" s="2"/>
      <c r="J2457" s="1"/>
      <c r="K2457" s="1"/>
      <c r="L2457" s="1"/>
      <c r="M2457" s="1"/>
      <c r="N2457" s="1"/>
      <c r="O2457" s="1"/>
      <c r="P2457" s="1"/>
      <c r="Q2457" s="1"/>
      <c r="R2457" s="1"/>
      <c r="S2457" s="1"/>
      <c r="T2457" s="1"/>
      <c r="U2457" s="1"/>
      <c r="V2457" s="1"/>
      <c r="W2457" s="1"/>
      <c r="X2457" s="1"/>
    </row>
    <row x14ac:dyDescent="0.25" r="2458" customHeight="1" ht="18.75">
      <c r="A2458" s="1"/>
      <c r="B2458" s="1"/>
      <c r="C2458" s="3" t="s">
        <v>1861</v>
      </c>
      <c r="D2458" s="3" t="s">
        <v>2489</v>
      </c>
      <c r="E2458" s="1"/>
      <c r="F2458" s="1"/>
      <c r="G2458" s="1"/>
      <c r="H2458" s="1"/>
      <c r="I2458" s="2"/>
      <c r="J2458" s="1"/>
      <c r="K2458" s="1"/>
      <c r="L2458" s="1"/>
      <c r="M2458" s="1"/>
      <c r="N2458" s="1"/>
      <c r="O2458" s="1"/>
      <c r="P2458" s="1"/>
      <c r="Q2458" s="1"/>
      <c r="R2458" s="1"/>
      <c r="S2458" s="1"/>
      <c r="T2458" s="1"/>
      <c r="U2458" s="1"/>
      <c r="V2458" s="1"/>
      <c r="W2458" s="1"/>
      <c r="X2458" s="1"/>
    </row>
    <row x14ac:dyDescent="0.25" r="2459" customHeight="1" ht="18.75">
      <c r="A2459" s="1"/>
      <c r="B2459" s="1"/>
      <c r="C2459" s="3" t="s">
        <v>1861</v>
      </c>
      <c r="D2459" s="3" t="s">
        <v>2490</v>
      </c>
      <c r="E2459" s="1"/>
      <c r="F2459" s="1"/>
      <c r="G2459" s="1"/>
      <c r="H2459" s="1"/>
      <c r="I2459" s="2"/>
      <c r="J2459" s="1"/>
      <c r="K2459" s="1"/>
      <c r="L2459" s="1"/>
      <c r="M2459" s="1"/>
      <c r="N2459" s="1"/>
      <c r="O2459" s="1"/>
      <c r="P2459" s="1"/>
      <c r="Q2459" s="1"/>
      <c r="R2459" s="1"/>
      <c r="S2459" s="1"/>
      <c r="T2459" s="1"/>
      <c r="U2459" s="1"/>
      <c r="V2459" s="1"/>
      <c r="W2459" s="1"/>
      <c r="X2459" s="1"/>
    </row>
    <row x14ac:dyDescent="0.25" r="2460" customHeight="1" ht="18.75">
      <c r="A2460" s="1"/>
      <c r="B2460" s="1"/>
      <c r="C2460" s="3" t="s">
        <v>1861</v>
      </c>
      <c r="D2460" s="3" t="s">
        <v>2491</v>
      </c>
      <c r="E2460" s="1"/>
      <c r="F2460" s="1"/>
      <c r="G2460" s="1"/>
      <c r="H2460" s="1"/>
      <c r="I2460" s="2"/>
      <c r="J2460" s="1"/>
      <c r="K2460" s="1"/>
      <c r="L2460" s="1"/>
      <c r="M2460" s="1"/>
      <c r="N2460" s="1"/>
      <c r="O2460" s="1"/>
      <c r="P2460" s="1"/>
      <c r="Q2460" s="1"/>
      <c r="R2460" s="1"/>
      <c r="S2460" s="1"/>
      <c r="T2460" s="1"/>
      <c r="U2460" s="1"/>
      <c r="V2460" s="1"/>
      <c r="W2460" s="1"/>
      <c r="X2460" s="1"/>
    </row>
    <row x14ac:dyDescent="0.25" r="2461" customHeight="1" ht="18.75">
      <c r="A2461" s="1"/>
      <c r="B2461" s="1"/>
      <c r="C2461" s="3" t="s">
        <v>1861</v>
      </c>
      <c r="D2461" s="3" t="s">
        <v>2492</v>
      </c>
      <c r="E2461" s="1"/>
      <c r="F2461" s="1"/>
      <c r="G2461" s="1"/>
      <c r="H2461" s="1"/>
      <c r="I2461" s="2"/>
      <c r="J2461" s="1"/>
      <c r="K2461" s="1"/>
      <c r="L2461" s="1"/>
      <c r="M2461" s="1"/>
      <c r="N2461" s="1"/>
      <c r="O2461" s="1"/>
      <c r="P2461" s="1"/>
      <c r="Q2461" s="1"/>
      <c r="R2461" s="1"/>
      <c r="S2461" s="1"/>
      <c r="T2461" s="1"/>
      <c r="U2461" s="1"/>
      <c r="V2461" s="1"/>
      <c r="W2461" s="1"/>
      <c r="X2461" s="1"/>
    </row>
    <row x14ac:dyDescent="0.25" r="2462" customHeight="1" ht="18.75">
      <c r="A2462" s="1"/>
      <c r="B2462" s="1"/>
      <c r="C2462" s="3" t="s">
        <v>1861</v>
      </c>
      <c r="D2462" s="3" t="s">
        <v>2493</v>
      </c>
      <c r="E2462" s="1"/>
      <c r="F2462" s="1"/>
      <c r="G2462" s="1"/>
      <c r="H2462" s="1"/>
      <c r="I2462" s="2"/>
      <c r="J2462" s="1"/>
      <c r="K2462" s="1"/>
      <c r="L2462" s="1"/>
      <c r="M2462" s="1"/>
      <c r="N2462" s="1"/>
      <c r="O2462" s="1"/>
      <c r="P2462" s="1"/>
      <c r="Q2462" s="1"/>
      <c r="R2462" s="1"/>
      <c r="S2462" s="1"/>
      <c r="T2462" s="1"/>
      <c r="U2462" s="1"/>
      <c r="V2462" s="1"/>
      <c r="W2462" s="1"/>
      <c r="X2462" s="1"/>
    </row>
    <row x14ac:dyDescent="0.25" r="2463" customHeight="1" ht="18.75">
      <c r="A2463" s="1"/>
      <c r="B2463" s="1"/>
      <c r="C2463" s="3" t="s">
        <v>1861</v>
      </c>
      <c r="D2463" s="3" t="s">
        <v>2494</v>
      </c>
      <c r="E2463" s="1"/>
      <c r="F2463" s="1"/>
      <c r="G2463" s="1"/>
      <c r="H2463" s="1"/>
      <c r="I2463" s="2"/>
      <c r="J2463" s="1"/>
      <c r="K2463" s="1"/>
      <c r="L2463" s="1"/>
      <c r="M2463" s="1"/>
      <c r="N2463" s="1"/>
      <c r="O2463" s="1"/>
      <c r="P2463" s="1"/>
      <c r="Q2463" s="1"/>
      <c r="R2463" s="1"/>
      <c r="S2463" s="1"/>
      <c r="T2463" s="1"/>
      <c r="U2463" s="1"/>
      <c r="V2463" s="1"/>
      <c r="W2463" s="1"/>
      <c r="X2463" s="1"/>
    </row>
    <row x14ac:dyDescent="0.25" r="2464" customHeight="1" ht="18.75">
      <c r="A2464" s="1"/>
      <c r="B2464" s="1"/>
      <c r="C2464" s="3" t="s">
        <v>1861</v>
      </c>
      <c r="D2464" s="3" t="s">
        <v>2495</v>
      </c>
      <c r="E2464" s="1"/>
      <c r="F2464" s="1"/>
      <c r="G2464" s="1"/>
      <c r="H2464" s="1"/>
      <c r="I2464" s="2"/>
      <c r="J2464" s="1"/>
      <c r="K2464" s="1"/>
      <c r="L2464" s="1"/>
      <c r="M2464" s="1"/>
      <c r="N2464" s="1"/>
      <c r="O2464" s="1"/>
      <c r="P2464" s="1"/>
      <c r="Q2464" s="1"/>
      <c r="R2464" s="1"/>
      <c r="S2464" s="1"/>
      <c r="T2464" s="1"/>
      <c r="U2464" s="1"/>
      <c r="V2464" s="1"/>
      <c r="W2464" s="1"/>
      <c r="X2464" s="1"/>
    </row>
    <row x14ac:dyDescent="0.25" r="2465" customHeight="1" ht="18.75">
      <c r="A2465" s="1"/>
      <c r="B2465" s="1"/>
      <c r="C2465" s="3" t="s">
        <v>1861</v>
      </c>
      <c r="D2465" s="3" t="s">
        <v>2496</v>
      </c>
      <c r="E2465" s="1"/>
      <c r="F2465" s="1"/>
      <c r="G2465" s="1"/>
      <c r="H2465" s="1"/>
      <c r="I2465" s="2"/>
      <c r="J2465" s="1"/>
      <c r="K2465" s="1"/>
      <c r="L2465" s="1"/>
      <c r="M2465" s="1"/>
      <c r="N2465" s="1"/>
      <c r="O2465" s="1"/>
      <c r="P2465" s="1"/>
      <c r="Q2465" s="1"/>
      <c r="R2465" s="1"/>
      <c r="S2465" s="1"/>
      <c r="T2465" s="1"/>
      <c r="U2465" s="1"/>
      <c r="V2465" s="1"/>
      <c r="W2465" s="1"/>
      <c r="X2465" s="1"/>
    </row>
    <row x14ac:dyDescent="0.25" r="2466" customHeight="1" ht="18.75">
      <c r="A2466" s="1"/>
      <c r="B2466" s="1"/>
      <c r="C2466" s="3" t="s">
        <v>1861</v>
      </c>
      <c r="D2466" s="3" t="s">
        <v>2497</v>
      </c>
      <c r="E2466" s="1"/>
      <c r="F2466" s="1"/>
      <c r="G2466" s="1"/>
      <c r="H2466" s="1"/>
      <c r="I2466" s="2"/>
      <c r="J2466" s="1"/>
      <c r="K2466" s="1"/>
      <c r="L2466" s="1"/>
      <c r="M2466" s="1"/>
      <c r="N2466" s="1"/>
      <c r="O2466" s="1"/>
      <c r="P2466" s="1"/>
      <c r="Q2466" s="1"/>
      <c r="R2466" s="1"/>
      <c r="S2466" s="1"/>
      <c r="T2466" s="1"/>
      <c r="U2466" s="1"/>
      <c r="V2466" s="1"/>
      <c r="W2466" s="1"/>
      <c r="X2466" s="1"/>
    </row>
    <row x14ac:dyDescent="0.25" r="2467" customHeight="1" ht="18.75">
      <c r="A2467" s="1"/>
      <c r="B2467" s="1"/>
      <c r="C2467" s="3" t="s">
        <v>1861</v>
      </c>
      <c r="D2467" s="3" t="s">
        <v>2498</v>
      </c>
      <c r="E2467" s="1"/>
      <c r="F2467" s="1"/>
      <c r="G2467" s="1"/>
      <c r="H2467" s="1"/>
      <c r="I2467" s="2"/>
      <c r="J2467" s="1"/>
      <c r="K2467" s="1"/>
      <c r="L2467" s="1"/>
      <c r="M2467" s="1"/>
      <c r="N2467" s="1"/>
      <c r="O2467" s="1"/>
      <c r="P2467" s="1"/>
      <c r="Q2467" s="1"/>
      <c r="R2467" s="1"/>
      <c r="S2467" s="1"/>
      <c r="T2467" s="1"/>
      <c r="U2467" s="1"/>
      <c r="V2467" s="1"/>
      <c r="W2467" s="1"/>
      <c r="X2467" s="1"/>
    </row>
    <row x14ac:dyDescent="0.25" r="2468" customHeight="1" ht="18.75">
      <c r="A2468" s="1"/>
      <c r="B2468" s="1"/>
      <c r="C2468" s="3" t="s">
        <v>1861</v>
      </c>
      <c r="D2468" s="3" t="s">
        <v>2499</v>
      </c>
      <c r="E2468" s="1"/>
      <c r="F2468" s="1"/>
      <c r="G2468" s="1"/>
      <c r="H2468" s="1"/>
      <c r="I2468" s="2"/>
      <c r="J2468" s="1"/>
      <c r="K2468" s="1"/>
      <c r="L2468" s="1"/>
      <c r="M2468" s="1"/>
      <c r="N2468" s="1"/>
      <c r="O2468" s="1"/>
      <c r="P2468" s="1"/>
      <c r="Q2468" s="1"/>
      <c r="R2468" s="1"/>
      <c r="S2468" s="1"/>
      <c r="T2468" s="1"/>
      <c r="U2468" s="1"/>
      <c r="V2468" s="1"/>
      <c r="W2468" s="1"/>
      <c r="X2468" s="1"/>
    </row>
    <row x14ac:dyDescent="0.25" r="2469" customHeight="1" ht="18.75">
      <c r="A2469" s="1"/>
      <c r="B2469" s="1"/>
      <c r="C2469" s="3" t="s">
        <v>1861</v>
      </c>
      <c r="D2469" s="3" t="s">
        <v>2500</v>
      </c>
      <c r="E2469" s="1"/>
      <c r="F2469" s="1"/>
      <c r="G2469" s="1"/>
      <c r="H2469" s="1"/>
      <c r="I2469" s="2"/>
      <c r="J2469" s="1"/>
      <c r="K2469" s="1"/>
      <c r="L2469" s="1"/>
      <c r="M2469" s="1"/>
      <c r="N2469" s="1"/>
      <c r="O2469" s="1"/>
      <c r="P2469" s="1"/>
      <c r="Q2469" s="1"/>
      <c r="R2469" s="1"/>
      <c r="S2469" s="1"/>
      <c r="T2469" s="1"/>
      <c r="U2469" s="1"/>
      <c r="V2469" s="1"/>
      <c r="W2469" s="1"/>
      <c r="X2469" s="1"/>
    </row>
    <row x14ac:dyDescent="0.25" r="2470" customHeight="1" ht="18.75">
      <c r="A2470" s="1"/>
      <c r="B2470" s="1"/>
      <c r="C2470" s="3" t="s">
        <v>1861</v>
      </c>
      <c r="D2470" s="3" t="s">
        <v>2501</v>
      </c>
      <c r="E2470" s="1"/>
      <c r="F2470" s="1"/>
      <c r="G2470" s="1"/>
      <c r="H2470" s="1"/>
      <c r="I2470" s="2"/>
      <c r="J2470" s="1"/>
      <c r="K2470" s="1"/>
      <c r="L2470" s="1"/>
      <c r="M2470" s="1"/>
      <c r="N2470" s="1"/>
      <c r="O2470" s="1"/>
      <c r="P2470" s="1"/>
      <c r="Q2470" s="1"/>
      <c r="R2470" s="1"/>
      <c r="S2470" s="1"/>
      <c r="T2470" s="1"/>
      <c r="U2470" s="1"/>
      <c r="V2470" s="1"/>
      <c r="W2470" s="1"/>
      <c r="X2470" s="1"/>
    </row>
    <row x14ac:dyDescent="0.25" r="2471" customHeight="1" ht="18.75">
      <c r="A2471" s="1"/>
      <c r="B2471" s="1"/>
      <c r="C2471" s="3" t="s">
        <v>1861</v>
      </c>
      <c r="D2471" s="3" t="s">
        <v>2502</v>
      </c>
      <c r="E2471" s="1"/>
      <c r="F2471" s="1"/>
      <c r="G2471" s="1"/>
      <c r="H2471" s="1"/>
      <c r="I2471" s="2"/>
      <c r="J2471" s="1"/>
      <c r="K2471" s="1"/>
      <c r="L2471" s="1"/>
      <c r="M2471" s="1"/>
      <c r="N2471" s="1"/>
      <c r="O2471" s="1"/>
      <c r="P2471" s="1"/>
      <c r="Q2471" s="1"/>
      <c r="R2471" s="1"/>
      <c r="S2471" s="1"/>
      <c r="T2471" s="1"/>
      <c r="U2471" s="1"/>
      <c r="V2471" s="1"/>
      <c r="W2471" s="1"/>
      <c r="X2471" s="1"/>
    </row>
    <row x14ac:dyDescent="0.25" r="2472" customHeight="1" ht="18.75">
      <c r="A2472" s="1"/>
      <c r="B2472" s="1"/>
      <c r="C2472" s="3" t="s">
        <v>1861</v>
      </c>
      <c r="D2472" s="3" t="s">
        <v>2503</v>
      </c>
      <c r="E2472" s="1"/>
      <c r="F2472" s="1"/>
      <c r="G2472" s="1"/>
      <c r="H2472" s="1"/>
      <c r="I2472" s="2"/>
      <c r="J2472" s="1"/>
      <c r="K2472" s="1"/>
      <c r="L2472" s="1"/>
      <c r="M2472" s="1"/>
      <c r="N2472" s="1"/>
      <c r="O2472" s="1"/>
      <c r="P2472" s="1"/>
      <c r="Q2472" s="1"/>
      <c r="R2472" s="1"/>
      <c r="S2472" s="1"/>
      <c r="T2472" s="1"/>
      <c r="U2472" s="1"/>
      <c r="V2472" s="1"/>
      <c r="W2472" s="1"/>
      <c r="X2472" s="1"/>
    </row>
    <row x14ac:dyDescent="0.25" r="2473" customHeight="1" ht="18.75">
      <c r="A2473" s="1"/>
      <c r="B2473" s="1"/>
      <c r="C2473" s="3" t="s">
        <v>1861</v>
      </c>
      <c r="D2473" s="3" t="s">
        <v>2504</v>
      </c>
      <c r="E2473" s="1"/>
      <c r="F2473" s="1"/>
      <c r="G2473" s="1"/>
      <c r="H2473" s="1"/>
      <c r="I2473" s="2"/>
      <c r="J2473" s="1"/>
      <c r="K2473" s="1"/>
      <c r="L2473" s="1"/>
      <c r="M2473" s="1"/>
      <c r="N2473" s="1"/>
      <c r="O2473" s="1"/>
      <c r="P2473" s="1"/>
      <c r="Q2473" s="1"/>
      <c r="R2473" s="1"/>
      <c r="S2473" s="1"/>
      <c r="T2473" s="1"/>
      <c r="U2473" s="1"/>
      <c r="V2473" s="1"/>
      <c r="W2473" s="1"/>
      <c r="X2473" s="1"/>
    </row>
    <row x14ac:dyDescent="0.25" r="2474" customHeight="1" ht="18.75">
      <c r="A2474" s="1"/>
      <c r="B2474" s="1"/>
      <c r="C2474" s="3" t="s">
        <v>1861</v>
      </c>
      <c r="D2474" s="3" t="s">
        <v>2505</v>
      </c>
      <c r="E2474" s="1"/>
      <c r="F2474" s="1"/>
      <c r="G2474" s="1"/>
      <c r="H2474" s="1"/>
      <c r="I2474" s="2"/>
      <c r="J2474" s="1"/>
      <c r="K2474" s="1"/>
      <c r="L2474" s="1"/>
      <c r="M2474" s="1"/>
      <c r="N2474" s="1"/>
      <c r="O2474" s="1"/>
      <c r="P2474" s="1"/>
      <c r="Q2474" s="1"/>
      <c r="R2474" s="1"/>
      <c r="S2474" s="1"/>
      <c r="T2474" s="1"/>
      <c r="U2474" s="1"/>
      <c r="V2474" s="1"/>
      <c r="W2474" s="1"/>
      <c r="X2474" s="1"/>
    </row>
    <row x14ac:dyDescent="0.25" r="2475" customHeight="1" ht="18.75">
      <c r="A2475" s="1"/>
      <c r="B2475" s="1"/>
      <c r="C2475" s="3" t="s">
        <v>1861</v>
      </c>
      <c r="D2475" s="3" t="s">
        <v>2506</v>
      </c>
      <c r="E2475" s="1"/>
      <c r="F2475" s="1"/>
      <c r="G2475" s="1"/>
      <c r="H2475" s="1"/>
      <c r="I2475" s="2"/>
      <c r="J2475" s="1"/>
      <c r="K2475" s="1"/>
      <c r="L2475" s="1"/>
      <c r="M2475" s="1"/>
      <c r="N2475" s="1"/>
      <c r="O2475" s="1"/>
      <c r="P2475" s="1"/>
      <c r="Q2475" s="1"/>
      <c r="R2475" s="1"/>
      <c r="S2475" s="1"/>
      <c r="T2475" s="1"/>
      <c r="U2475" s="1"/>
      <c r="V2475" s="1"/>
      <c r="W2475" s="1"/>
      <c r="X2475" s="1"/>
    </row>
    <row x14ac:dyDescent="0.25" r="2476" customHeight="1" ht="18.75">
      <c r="A2476" s="1"/>
      <c r="B2476" s="1"/>
      <c r="C2476" s="3" t="s">
        <v>1861</v>
      </c>
      <c r="D2476" s="3" t="s">
        <v>2507</v>
      </c>
      <c r="E2476" s="1"/>
      <c r="F2476" s="1"/>
      <c r="G2476" s="1"/>
      <c r="H2476" s="1"/>
      <c r="I2476" s="2"/>
      <c r="J2476" s="1"/>
      <c r="K2476" s="1"/>
      <c r="L2476" s="1"/>
      <c r="M2476" s="1"/>
      <c r="N2476" s="1"/>
      <c r="O2476" s="1"/>
      <c r="P2476" s="1"/>
      <c r="Q2476" s="1"/>
      <c r="R2476" s="1"/>
      <c r="S2476" s="1"/>
      <c r="T2476" s="1"/>
      <c r="U2476" s="1"/>
      <c r="V2476" s="1"/>
      <c r="W2476" s="1"/>
      <c r="X2476" s="1"/>
    </row>
    <row x14ac:dyDescent="0.25" r="2477" customHeight="1" ht="18.75">
      <c r="A2477" s="1"/>
      <c r="B2477" s="1"/>
      <c r="C2477" s="3" t="s">
        <v>1861</v>
      </c>
      <c r="D2477" s="3" t="s">
        <v>2508</v>
      </c>
      <c r="E2477" s="1"/>
      <c r="F2477" s="1"/>
      <c r="G2477" s="1"/>
      <c r="H2477" s="1"/>
      <c r="I2477" s="2"/>
      <c r="J2477" s="1"/>
      <c r="K2477" s="1"/>
      <c r="L2477" s="1"/>
      <c r="M2477" s="1"/>
      <c r="N2477" s="1"/>
      <c r="O2477" s="1"/>
      <c r="P2477" s="1"/>
      <c r="Q2477" s="1"/>
      <c r="R2477" s="1"/>
      <c r="S2477" s="1"/>
      <c r="T2477" s="1"/>
      <c r="U2477" s="1"/>
      <c r="V2477" s="1"/>
      <c r="W2477" s="1"/>
      <c r="X2477" s="1"/>
    </row>
    <row x14ac:dyDescent="0.25" r="2478" customHeight="1" ht="18.75">
      <c r="A2478" s="1"/>
      <c r="B2478" s="1"/>
      <c r="C2478" s="3" t="s">
        <v>1861</v>
      </c>
      <c r="D2478" s="3" t="s">
        <v>2509</v>
      </c>
      <c r="E2478" s="1"/>
      <c r="F2478" s="1"/>
      <c r="G2478" s="1"/>
      <c r="H2478" s="1"/>
      <c r="I2478" s="2"/>
      <c r="J2478" s="1"/>
      <c r="K2478" s="1"/>
      <c r="L2478" s="1"/>
      <c r="M2478" s="1"/>
      <c r="N2478" s="1"/>
      <c r="O2478" s="1"/>
      <c r="P2478" s="1"/>
      <c r="Q2478" s="1"/>
      <c r="R2478" s="1"/>
      <c r="S2478" s="1"/>
      <c r="T2478" s="1"/>
      <c r="U2478" s="1"/>
      <c r="V2478" s="1"/>
      <c r="W2478" s="1"/>
      <c r="X2478" s="1"/>
    </row>
    <row x14ac:dyDescent="0.25" r="2479" customHeight="1" ht="18.75">
      <c r="A2479" s="1"/>
      <c r="B2479" s="1"/>
      <c r="C2479" s="3" t="s">
        <v>1861</v>
      </c>
      <c r="D2479" s="3" t="s">
        <v>2510</v>
      </c>
      <c r="E2479" s="1"/>
      <c r="F2479" s="1"/>
      <c r="G2479" s="1"/>
      <c r="H2479" s="1"/>
      <c r="I2479" s="2"/>
      <c r="J2479" s="1"/>
      <c r="K2479" s="1"/>
      <c r="L2479" s="1"/>
      <c r="M2479" s="1"/>
      <c r="N2479" s="1"/>
      <c r="O2479" s="1"/>
      <c r="P2479" s="1"/>
      <c r="Q2479" s="1"/>
      <c r="R2479" s="1"/>
      <c r="S2479" s="1"/>
      <c r="T2479" s="1"/>
      <c r="U2479" s="1"/>
      <c r="V2479" s="1"/>
      <c r="W2479" s="1"/>
      <c r="X2479" s="1"/>
    </row>
    <row x14ac:dyDescent="0.25" r="2480" customHeight="1" ht="18.75">
      <c r="A2480" s="1"/>
      <c r="B2480" s="1"/>
      <c r="C2480" s="3" t="s">
        <v>1861</v>
      </c>
      <c r="D2480" s="3" t="s">
        <v>2511</v>
      </c>
      <c r="E2480" s="1"/>
      <c r="F2480" s="1"/>
      <c r="G2480" s="1"/>
      <c r="H2480" s="1"/>
      <c r="I2480" s="2"/>
      <c r="J2480" s="1"/>
      <c r="K2480" s="1"/>
      <c r="L2480" s="1"/>
      <c r="M2480" s="1"/>
      <c r="N2480" s="1"/>
      <c r="O2480" s="1"/>
      <c r="P2480" s="1"/>
      <c r="Q2480" s="1"/>
      <c r="R2480" s="1"/>
      <c r="S2480" s="1"/>
      <c r="T2480" s="1"/>
      <c r="U2480" s="1"/>
      <c r="V2480" s="1"/>
      <c r="W2480" s="1"/>
      <c r="X2480" s="1"/>
    </row>
    <row x14ac:dyDescent="0.25" r="2481" customHeight="1" ht="18.75">
      <c r="A2481" s="1"/>
      <c r="B2481" s="1"/>
      <c r="C2481" s="3" t="s">
        <v>1861</v>
      </c>
      <c r="D2481" s="3" t="s">
        <v>2512</v>
      </c>
      <c r="E2481" s="1"/>
      <c r="F2481" s="1"/>
      <c r="G2481" s="1"/>
      <c r="H2481" s="1"/>
      <c r="I2481" s="2"/>
      <c r="J2481" s="1"/>
      <c r="K2481" s="1"/>
      <c r="L2481" s="1"/>
      <c r="M2481" s="1"/>
      <c r="N2481" s="1"/>
      <c r="O2481" s="1"/>
      <c r="P2481" s="1"/>
      <c r="Q2481" s="1"/>
      <c r="R2481" s="1"/>
      <c r="S2481" s="1"/>
      <c r="T2481" s="1"/>
      <c r="U2481" s="1"/>
      <c r="V2481" s="1"/>
      <c r="W2481" s="1"/>
      <c r="X2481" s="1"/>
    </row>
    <row x14ac:dyDescent="0.25" r="2482" customHeight="1" ht="18.75">
      <c r="A2482" s="1"/>
      <c r="B2482" s="1"/>
      <c r="C2482" s="3" t="s">
        <v>1861</v>
      </c>
      <c r="D2482" s="3" t="s">
        <v>2513</v>
      </c>
      <c r="E2482" s="1"/>
      <c r="F2482" s="1"/>
      <c r="G2482" s="1"/>
      <c r="H2482" s="1"/>
      <c r="I2482" s="2"/>
      <c r="J2482" s="1"/>
      <c r="K2482" s="1"/>
      <c r="L2482" s="1"/>
      <c r="M2482" s="1"/>
      <c r="N2482" s="1"/>
      <c r="O2482" s="1"/>
      <c r="P2482" s="1"/>
      <c r="Q2482" s="1"/>
      <c r="R2482" s="1"/>
      <c r="S2482" s="1"/>
      <c r="T2482" s="1"/>
      <c r="U2482" s="1"/>
      <c r="V2482" s="1"/>
      <c r="W2482" s="1"/>
      <c r="X2482" s="1"/>
    </row>
    <row x14ac:dyDescent="0.25" r="2483" customHeight="1" ht="18.75">
      <c r="A2483" s="1"/>
      <c r="B2483" s="1"/>
      <c r="C2483" s="3" t="s">
        <v>1861</v>
      </c>
      <c r="D2483" s="3" t="s">
        <v>2514</v>
      </c>
      <c r="E2483" s="1"/>
      <c r="F2483" s="1"/>
      <c r="G2483" s="1"/>
      <c r="H2483" s="1"/>
      <c r="I2483" s="2"/>
      <c r="J2483" s="1"/>
      <c r="K2483" s="1"/>
      <c r="L2483" s="1"/>
      <c r="M2483" s="1"/>
      <c r="N2483" s="1"/>
      <c r="O2483" s="1"/>
      <c r="P2483" s="1"/>
      <c r="Q2483" s="1"/>
      <c r="R2483" s="1"/>
      <c r="S2483" s="1"/>
      <c r="T2483" s="1"/>
      <c r="U2483" s="1"/>
      <c r="V2483" s="1"/>
      <c r="W2483" s="1"/>
      <c r="X2483" s="1"/>
    </row>
    <row x14ac:dyDescent="0.25" r="2484" customHeight="1" ht="18.75">
      <c r="A2484" s="1"/>
      <c r="B2484" s="1"/>
      <c r="C2484" s="3" t="s">
        <v>1861</v>
      </c>
      <c r="D2484" s="3" t="s">
        <v>2515</v>
      </c>
      <c r="E2484" s="1"/>
      <c r="F2484" s="1"/>
      <c r="G2484" s="1"/>
      <c r="H2484" s="1"/>
      <c r="I2484" s="2"/>
      <c r="J2484" s="1"/>
      <c r="K2484" s="1"/>
      <c r="L2484" s="1"/>
      <c r="M2484" s="1"/>
      <c r="N2484" s="1"/>
      <c r="O2484" s="1"/>
      <c r="P2484" s="1"/>
      <c r="Q2484" s="1"/>
      <c r="R2484" s="1"/>
      <c r="S2484" s="1"/>
      <c r="T2484" s="1"/>
      <c r="U2484" s="1"/>
      <c r="V2484" s="1"/>
      <c r="W2484" s="1"/>
      <c r="X2484" s="1"/>
    </row>
    <row x14ac:dyDescent="0.25" r="2485" customHeight="1" ht="18.75">
      <c r="A2485" s="1"/>
      <c r="B2485" s="1"/>
      <c r="C2485" s="3" t="s">
        <v>1861</v>
      </c>
      <c r="D2485" s="3" t="s">
        <v>2516</v>
      </c>
      <c r="E2485" s="1"/>
      <c r="F2485" s="1"/>
      <c r="G2485" s="1"/>
      <c r="H2485" s="1"/>
      <c r="I2485" s="2"/>
      <c r="J2485" s="1"/>
      <c r="K2485" s="1"/>
      <c r="L2485" s="1"/>
      <c r="M2485" s="1"/>
      <c r="N2485" s="1"/>
      <c r="O2485" s="1"/>
      <c r="P2485" s="1"/>
      <c r="Q2485" s="1"/>
      <c r="R2485" s="1"/>
      <c r="S2485" s="1"/>
      <c r="T2485" s="1"/>
      <c r="U2485" s="1"/>
      <c r="V2485" s="1"/>
      <c r="W2485" s="1"/>
      <c r="X2485" s="1"/>
    </row>
    <row x14ac:dyDescent="0.25" r="2486" customHeight="1" ht="18.75">
      <c r="A2486" s="1"/>
      <c r="B2486" s="1"/>
      <c r="C2486" s="3" t="s">
        <v>1861</v>
      </c>
      <c r="D2486" s="3" t="s">
        <v>2517</v>
      </c>
      <c r="E2486" s="1"/>
      <c r="F2486" s="1"/>
      <c r="G2486" s="1"/>
      <c r="H2486" s="1"/>
      <c r="I2486" s="2"/>
      <c r="J2486" s="1"/>
      <c r="K2486" s="1"/>
      <c r="L2486" s="1"/>
      <c r="M2486" s="1"/>
      <c r="N2486" s="1"/>
      <c r="O2486" s="1"/>
      <c r="P2486" s="1"/>
      <c r="Q2486" s="1"/>
      <c r="R2486" s="1"/>
      <c r="S2486" s="1"/>
      <c r="T2486" s="1"/>
      <c r="U2486" s="1"/>
      <c r="V2486" s="1"/>
      <c r="W2486" s="1"/>
      <c r="X2486" s="1"/>
    </row>
    <row x14ac:dyDescent="0.25" r="2487" customHeight="1" ht="18.75">
      <c r="A2487" s="1"/>
      <c r="B2487" s="1"/>
      <c r="C2487" s="3" t="s">
        <v>1861</v>
      </c>
      <c r="D2487" s="3" t="s">
        <v>2518</v>
      </c>
      <c r="E2487" s="1"/>
      <c r="F2487" s="1"/>
      <c r="G2487" s="1"/>
      <c r="H2487" s="1"/>
      <c r="I2487" s="2"/>
      <c r="J2487" s="1"/>
      <c r="K2487" s="1"/>
      <c r="L2487" s="1"/>
      <c r="M2487" s="1"/>
      <c r="N2487" s="1"/>
      <c r="O2487" s="1"/>
      <c r="P2487" s="1"/>
      <c r="Q2487" s="1"/>
      <c r="R2487" s="1"/>
      <c r="S2487" s="1"/>
      <c r="T2487" s="1"/>
      <c r="U2487" s="1"/>
      <c r="V2487" s="1"/>
      <c r="W2487" s="1"/>
      <c r="X2487" s="1"/>
    </row>
    <row x14ac:dyDescent="0.25" r="2488" customHeight="1" ht="18.75">
      <c r="A2488" s="1"/>
      <c r="B2488" s="1"/>
      <c r="C2488" s="3" t="s">
        <v>1861</v>
      </c>
      <c r="D2488" s="3" t="s">
        <v>2519</v>
      </c>
      <c r="E2488" s="1"/>
      <c r="F2488" s="1"/>
      <c r="G2488" s="1"/>
      <c r="H2488" s="1"/>
      <c r="I2488" s="2"/>
      <c r="J2488" s="1"/>
      <c r="K2488" s="1"/>
      <c r="L2488" s="1"/>
      <c r="M2488" s="1"/>
      <c r="N2488" s="1"/>
      <c r="O2488" s="1"/>
      <c r="P2488" s="1"/>
      <c r="Q2488" s="1"/>
      <c r="R2488" s="1"/>
      <c r="S2488" s="1"/>
      <c r="T2488" s="1"/>
      <c r="U2488" s="1"/>
      <c r="V2488" s="1"/>
      <c r="W2488" s="1"/>
      <c r="X2488" s="1"/>
    </row>
    <row x14ac:dyDescent="0.25" r="2489" customHeight="1" ht="18.75">
      <c r="A2489" s="1"/>
      <c r="B2489" s="1"/>
      <c r="C2489" s="3" t="s">
        <v>1861</v>
      </c>
      <c r="D2489" s="3" t="s">
        <v>2520</v>
      </c>
      <c r="E2489" s="1"/>
      <c r="F2489" s="1"/>
      <c r="G2489" s="1"/>
      <c r="H2489" s="1"/>
      <c r="I2489" s="2"/>
      <c r="J2489" s="1"/>
      <c r="K2489" s="1"/>
      <c r="L2489" s="1"/>
      <c r="M2489" s="1"/>
      <c r="N2489" s="1"/>
      <c r="O2489" s="1"/>
      <c r="P2489" s="1"/>
      <c r="Q2489" s="1"/>
      <c r="R2489" s="1"/>
      <c r="S2489" s="1"/>
      <c r="T2489" s="1"/>
      <c r="U2489" s="1"/>
      <c r="V2489" s="1"/>
      <c r="W2489" s="1"/>
      <c r="X2489" s="1"/>
    </row>
    <row x14ac:dyDescent="0.25" r="2490" customHeight="1" ht="18.75">
      <c r="A2490" s="1"/>
      <c r="B2490" s="1"/>
      <c r="C2490" s="3" t="s">
        <v>1861</v>
      </c>
      <c r="D2490" s="3" t="s">
        <v>2521</v>
      </c>
      <c r="E2490" s="1"/>
      <c r="F2490" s="1"/>
      <c r="G2490" s="1"/>
      <c r="H2490" s="1"/>
      <c r="I2490" s="2"/>
      <c r="J2490" s="1"/>
      <c r="K2490" s="1"/>
      <c r="L2490" s="1"/>
      <c r="M2490" s="1"/>
      <c r="N2490" s="1"/>
      <c r="O2490" s="1"/>
      <c r="P2490" s="1"/>
      <c r="Q2490" s="1"/>
      <c r="R2490" s="1"/>
      <c r="S2490" s="1"/>
      <c r="T2490" s="1"/>
      <c r="U2490" s="1"/>
      <c r="V2490" s="1"/>
      <c r="W2490" s="1"/>
      <c r="X2490" s="1"/>
    </row>
    <row x14ac:dyDescent="0.25" r="2491" customHeight="1" ht="18.75">
      <c r="A2491" s="1"/>
      <c r="B2491" s="1"/>
      <c r="C2491" s="3" t="s">
        <v>1861</v>
      </c>
      <c r="D2491" s="3" t="s">
        <v>2522</v>
      </c>
      <c r="E2491" s="1"/>
      <c r="F2491" s="1"/>
      <c r="G2491" s="1"/>
      <c r="H2491" s="1"/>
      <c r="I2491" s="2"/>
      <c r="J2491" s="1"/>
      <c r="K2491" s="1"/>
      <c r="L2491" s="1"/>
      <c r="M2491" s="1"/>
      <c r="N2491" s="1"/>
      <c r="O2491" s="1"/>
      <c r="P2491" s="1"/>
      <c r="Q2491" s="1"/>
      <c r="R2491" s="1"/>
      <c r="S2491" s="1"/>
      <c r="T2491" s="1"/>
      <c r="U2491" s="1"/>
      <c r="V2491" s="1"/>
      <c r="W2491" s="1"/>
      <c r="X2491" s="1"/>
    </row>
    <row x14ac:dyDescent="0.25" r="2492" customHeight="1" ht="18.75">
      <c r="A2492" s="1"/>
      <c r="B2492" s="1"/>
      <c r="C2492" s="3" t="s">
        <v>1861</v>
      </c>
      <c r="D2492" s="3" t="s">
        <v>2523</v>
      </c>
      <c r="E2492" s="1"/>
      <c r="F2492" s="1"/>
      <c r="G2492" s="1"/>
      <c r="H2492" s="1"/>
      <c r="I2492" s="2"/>
      <c r="J2492" s="1"/>
      <c r="K2492" s="1"/>
      <c r="L2492" s="1"/>
      <c r="M2492" s="1"/>
      <c r="N2492" s="1"/>
      <c r="O2492" s="1"/>
      <c r="P2492" s="1"/>
      <c r="Q2492" s="1"/>
      <c r="R2492" s="1"/>
      <c r="S2492" s="1"/>
      <c r="T2492" s="1"/>
      <c r="U2492" s="1"/>
      <c r="V2492" s="1"/>
      <c r="W2492" s="1"/>
      <c r="X2492" s="1"/>
    </row>
    <row x14ac:dyDescent="0.25" r="2493" customHeight="1" ht="18.75">
      <c r="A2493" s="1"/>
      <c r="B2493" s="1"/>
      <c r="C2493" s="3" t="s">
        <v>1861</v>
      </c>
      <c r="D2493" s="3" t="s">
        <v>2524</v>
      </c>
      <c r="E2493" s="1"/>
      <c r="F2493" s="1"/>
      <c r="G2493" s="1"/>
      <c r="H2493" s="1"/>
      <c r="I2493" s="2"/>
      <c r="J2493" s="1"/>
      <c r="K2493" s="1"/>
      <c r="L2493" s="1"/>
      <c r="M2493" s="1"/>
      <c r="N2493" s="1"/>
      <c r="O2493" s="1"/>
      <c r="P2493" s="1"/>
      <c r="Q2493" s="1"/>
      <c r="R2493" s="1"/>
      <c r="S2493" s="1"/>
      <c r="T2493" s="1"/>
      <c r="U2493" s="1"/>
      <c r="V2493" s="1"/>
      <c r="W2493" s="1"/>
      <c r="X2493" s="1"/>
    </row>
    <row x14ac:dyDescent="0.25" r="2494" customHeight="1" ht="18.75">
      <c r="A2494" s="1"/>
      <c r="B2494" s="1"/>
      <c r="C2494" s="3" t="s">
        <v>1861</v>
      </c>
      <c r="D2494" s="3" t="s">
        <v>2525</v>
      </c>
      <c r="E2494" s="1"/>
      <c r="F2494" s="1"/>
      <c r="G2494" s="1"/>
      <c r="H2494" s="1"/>
      <c r="I2494" s="2"/>
      <c r="J2494" s="1"/>
      <c r="K2494" s="1"/>
      <c r="L2494" s="1"/>
      <c r="M2494" s="1"/>
      <c r="N2494" s="1"/>
      <c r="O2494" s="1"/>
      <c r="P2494" s="1"/>
      <c r="Q2494" s="1"/>
      <c r="R2494" s="1"/>
      <c r="S2494" s="1"/>
      <c r="T2494" s="1"/>
      <c r="U2494" s="1"/>
      <c r="V2494" s="1"/>
      <c r="W2494" s="1"/>
      <c r="X2494" s="1"/>
    </row>
    <row x14ac:dyDescent="0.25" r="2495" customHeight="1" ht="18.75">
      <c r="A2495" s="1"/>
      <c r="B2495" s="1"/>
      <c r="C2495" s="3" t="s">
        <v>1861</v>
      </c>
      <c r="D2495" s="3" t="s">
        <v>2526</v>
      </c>
      <c r="E2495" s="1"/>
      <c r="F2495" s="1"/>
      <c r="G2495" s="1"/>
      <c r="H2495" s="1"/>
      <c r="I2495" s="2"/>
      <c r="J2495" s="1"/>
      <c r="K2495" s="1"/>
      <c r="L2495" s="1"/>
      <c r="M2495" s="1"/>
      <c r="N2495" s="1"/>
      <c r="O2495" s="1"/>
      <c r="P2495" s="1"/>
      <c r="Q2495" s="1"/>
      <c r="R2495" s="1"/>
      <c r="S2495" s="1"/>
      <c r="T2495" s="1"/>
      <c r="U2495" s="1"/>
      <c r="V2495" s="1"/>
      <c r="W2495" s="1"/>
      <c r="X2495" s="1"/>
    </row>
    <row x14ac:dyDescent="0.25" r="2496" customHeight="1" ht="18.75">
      <c r="A2496" s="1"/>
      <c r="B2496" s="1"/>
      <c r="C2496" s="3" t="s">
        <v>1861</v>
      </c>
      <c r="D2496" s="3" t="s">
        <v>2527</v>
      </c>
      <c r="E2496" s="1"/>
      <c r="F2496" s="1"/>
      <c r="G2496" s="1"/>
      <c r="H2496" s="1"/>
      <c r="I2496" s="2"/>
      <c r="J2496" s="1"/>
      <c r="K2496" s="1"/>
      <c r="L2496" s="1"/>
      <c r="M2496" s="1"/>
      <c r="N2496" s="1"/>
      <c r="O2496" s="1"/>
      <c r="P2496" s="1"/>
      <c r="Q2496" s="1"/>
      <c r="R2496" s="1"/>
      <c r="S2496" s="1"/>
      <c r="T2496" s="1"/>
      <c r="U2496" s="1"/>
      <c r="V2496" s="1"/>
      <c r="W2496" s="1"/>
      <c r="X2496" s="1"/>
    </row>
    <row x14ac:dyDescent="0.25" r="2497" customHeight="1" ht="18.75">
      <c r="A2497" s="1"/>
      <c r="B2497" s="1"/>
      <c r="C2497" s="3" t="s">
        <v>1861</v>
      </c>
      <c r="D2497" s="3" t="s">
        <v>2528</v>
      </c>
      <c r="E2497" s="1"/>
      <c r="F2497" s="1"/>
      <c r="G2497" s="1"/>
      <c r="H2497" s="1"/>
      <c r="I2497" s="2"/>
      <c r="J2497" s="1"/>
      <c r="K2497" s="1"/>
      <c r="L2497" s="1"/>
      <c r="M2497" s="1"/>
      <c r="N2497" s="1"/>
      <c r="O2497" s="1"/>
      <c r="P2497" s="1"/>
      <c r="Q2497" s="1"/>
      <c r="R2497" s="1"/>
      <c r="S2497" s="1"/>
      <c r="T2497" s="1"/>
      <c r="U2497" s="1"/>
      <c r="V2497" s="1"/>
      <c r="W2497" s="1"/>
      <c r="X2497" s="1"/>
    </row>
    <row x14ac:dyDescent="0.25" r="2498" customHeight="1" ht="18.75">
      <c r="A2498" s="1"/>
      <c r="B2498" s="1"/>
      <c r="C2498" s="3" t="s">
        <v>1861</v>
      </c>
      <c r="D2498" s="3" t="s">
        <v>2529</v>
      </c>
      <c r="E2498" s="1"/>
      <c r="F2498" s="1"/>
      <c r="G2498" s="1"/>
      <c r="H2498" s="1"/>
      <c r="I2498" s="2"/>
      <c r="J2498" s="1"/>
      <c r="K2498" s="1"/>
      <c r="L2498" s="1"/>
      <c r="M2498" s="1"/>
      <c r="N2498" s="1"/>
      <c r="O2498" s="1"/>
      <c r="P2498" s="1"/>
      <c r="Q2498" s="1"/>
      <c r="R2498" s="1"/>
      <c r="S2498" s="1"/>
      <c r="T2498" s="1"/>
      <c r="U2498" s="1"/>
      <c r="V2498" s="1"/>
      <c r="W2498" s="1"/>
      <c r="X2498" s="1"/>
    </row>
    <row x14ac:dyDescent="0.25" r="2499" customHeight="1" ht="18.75">
      <c r="A2499" s="1"/>
      <c r="B2499" s="1"/>
      <c r="C2499" s="3" t="s">
        <v>1861</v>
      </c>
      <c r="D2499" s="3" t="s">
        <v>2530</v>
      </c>
      <c r="E2499" s="1"/>
      <c r="F2499" s="1"/>
      <c r="G2499" s="1"/>
      <c r="H2499" s="1"/>
      <c r="I2499" s="2"/>
      <c r="J2499" s="1"/>
      <c r="K2499" s="1"/>
      <c r="L2499" s="1"/>
      <c r="M2499" s="1"/>
      <c r="N2499" s="1"/>
      <c r="O2499" s="1"/>
      <c r="P2499" s="1"/>
      <c r="Q2499" s="1"/>
      <c r="R2499" s="1"/>
      <c r="S2499" s="1"/>
      <c r="T2499" s="1"/>
      <c r="U2499" s="1"/>
      <c r="V2499" s="1"/>
      <c r="W2499" s="1"/>
      <c r="X2499" s="1"/>
    </row>
    <row x14ac:dyDescent="0.25" r="2500" customHeight="1" ht="18.75">
      <c r="A2500" s="1"/>
      <c r="B2500" s="1"/>
      <c r="C2500" s="3" t="s">
        <v>1861</v>
      </c>
      <c r="D2500" s="3" t="s">
        <v>2531</v>
      </c>
      <c r="E2500" s="1"/>
      <c r="F2500" s="1"/>
      <c r="G2500" s="1"/>
      <c r="H2500" s="1"/>
      <c r="I2500" s="2"/>
      <c r="J2500" s="1"/>
      <c r="K2500" s="1"/>
      <c r="L2500" s="1"/>
      <c r="M2500" s="1"/>
      <c r="N2500" s="1"/>
      <c r="O2500" s="1"/>
      <c r="P2500" s="1"/>
      <c r="Q2500" s="1"/>
      <c r="R2500" s="1"/>
      <c r="S2500" s="1"/>
      <c r="T2500" s="1"/>
      <c r="U2500" s="1"/>
      <c r="V2500" s="1"/>
      <c r="W2500" s="1"/>
      <c r="X2500" s="1"/>
    </row>
    <row x14ac:dyDescent="0.25" r="2501" customHeight="1" ht="18.75">
      <c r="A2501" s="1"/>
      <c r="B2501" s="1"/>
      <c r="C2501" s="3" t="s">
        <v>1861</v>
      </c>
      <c r="D2501" s="3" t="s">
        <v>2532</v>
      </c>
      <c r="E2501" s="1"/>
      <c r="F2501" s="1"/>
      <c r="G2501" s="1"/>
      <c r="H2501" s="1"/>
      <c r="I2501" s="2"/>
      <c r="J2501" s="1"/>
      <c r="K2501" s="1"/>
      <c r="L2501" s="1"/>
      <c r="M2501" s="1"/>
      <c r="N2501" s="1"/>
      <c r="O2501" s="1"/>
      <c r="P2501" s="1"/>
      <c r="Q2501" s="1"/>
      <c r="R2501" s="1"/>
      <c r="S2501" s="1"/>
      <c r="T2501" s="1"/>
      <c r="U2501" s="1"/>
      <c r="V2501" s="1"/>
      <c r="W2501" s="1"/>
      <c r="X2501" s="1"/>
    </row>
    <row x14ac:dyDescent="0.25" r="2502" customHeight="1" ht="18.75">
      <c r="A2502" s="1"/>
      <c r="B2502" s="1"/>
      <c r="C2502" s="3" t="s">
        <v>1861</v>
      </c>
      <c r="D2502" s="3" t="s">
        <v>2533</v>
      </c>
      <c r="E2502" s="1"/>
      <c r="F2502" s="1"/>
      <c r="G2502" s="1"/>
      <c r="H2502" s="1"/>
      <c r="I2502" s="2"/>
      <c r="J2502" s="1"/>
      <c r="K2502" s="1"/>
      <c r="L2502" s="1"/>
      <c r="M2502" s="1"/>
      <c r="N2502" s="1"/>
      <c r="O2502" s="1"/>
      <c r="P2502" s="1"/>
      <c r="Q2502" s="1"/>
      <c r="R2502" s="1"/>
      <c r="S2502" s="1"/>
      <c r="T2502" s="1"/>
      <c r="U2502" s="1"/>
      <c r="V2502" s="1"/>
      <c r="W2502" s="1"/>
      <c r="X2502" s="1"/>
    </row>
    <row x14ac:dyDescent="0.25" r="2503" customHeight="1" ht="18.75">
      <c r="A2503" s="1"/>
      <c r="B2503" s="1"/>
      <c r="C2503" s="3" t="s">
        <v>1861</v>
      </c>
      <c r="D2503" s="3" t="s">
        <v>2534</v>
      </c>
      <c r="E2503" s="1"/>
      <c r="F2503" s="1"/>
      <c r="G2503" s="1"/>
      <c r="H2503" s="1"/>
      <c r="I2503" s="2"/>
      <c r="J2503" s="1"/>
      <c r="K2503" s="1"/>
      <c r="L2503" s="1"/>
      <c r="M2503" s="1"/>
      <c r="N2503" s="1"/>
      <c r="O2503" s="1"/>
      <c r="P2503" s="1"/>
      <c r="Q2503" s="1"/>
      <c r="R2503" s="1"/>
      <c r="S2503" s="1"/>
      <c r="T2503" s="1"/>
      <c r="U2503" s="1"/>
      <c r="V2503" s="1"/>
      <c r="W2503" s="1"/>
      <c r="X2503" s="1"/>
    </row>
    <row x14ac:dyDescent="0.25" r="2504" customHeight="1" ht="18.75">
      <c r="A2504" s="1"/>
      <c r="B2504" s="1"/>
      <c r="C2504" s="3" t="s">
        <v>1861</v>
      </c>
      <c r="D2504" s="3" t="s">
        <v>2535</v>
      </c>
      <c r="E2504" s="1"/>
      <c r="F2504" s="1"/>
      <c r="G2504" s="1"/>
      <c r="H2504" s="1"/>
      <c r="I2504" s="2"/>
      <c r="J2504" s="1"/>
      <c r="K2504" s="1"/>
      <c r="L2504" s="1"/>
      <c r="M2504" s="1"/>
      <c r="N2504" s="1"/>
      <c r="O2504" s="1"/>
      <c r="P2504" s="1"/>
      <c r="Q2504" s="1"/>
      <c r="R2504" s="1"/>
      <c r="S2504" s="1"/>
      <c r="T2504" s="1"/>
      <c r="U2504" s="1"/>
      <c r="V2504" s="1"/>
      <c r="W2504" s="1"/>
      <c r="X2504" s="1"/>
    </row>
    <row x14ac:dyDescent="0.25" r="2505" customHeight="1" ht="18.75">
      <c r="A2505" s="1"/>
      <c r="B2505" s="1"/>
      <c r="C2505" s="3" t="s">
        <v>1861</v>
      </c>
      <c r="D2505" s="3" t="s">
        <v>2536</v>
      </c>
      <c r="E2505" s="1"/>
      <c r="F2505" s="1"/>
      <c r="G2505" s="1"/>
      <c r="H2505" s="1"/>
      <c r="I2505" s="2"/>
      <c r="J2505" s="1"/>
      <c r="K2505" s="1"/>
      <c r="L2505" s="1"/>
      <c r="M2505" s="1"/>
      <c r="N2505" s="1"/>
      <c r="O2505" s="1"/>
      <c r="P2505" s="1"/>
      <c r="Q2505" s="1"/>
      <c r="R2505" s="1"/>
      <c r="S2505" s="1"/>
      <c r="T2505" s="1"/>
      <c r="U2505" s="1"/>
      <c r="V2505" s="1"/>
      <c r="W2505" s="1"/>
      <c r="X2505" s="1"/>
    </row>
    <row x14ac:dyDescent="0.25" r="2506" customHeight="1" ht="18.75">
      <c r="A2506" s="1"/>
      <c r="B2506" s="1"/>
      <c r="C2506" s="3" t="s">
        <v>1861</v>
      </c>
      <c r="D2506" s="3" t="s">
        <v>2537</v>
      </c>
      <c r="E2506" s="1"/>
      <c r="F2506" s="1"/>
      <c r="G2506" s="1"/>
      <c r="H2506" s="1"/>
      <c r="I2506" s="2"/>
      <c r="J2506" s="1"/>
      <c r="K2506" s="1"/>
      <c r="L2506" s="1"/>
      <c r="M2506" s="1"/>
      <c r="N2506" s="1"/>
      <c r="O2506" s="1"/>
      <c r="P2506" s="1"/>
      <c r="Q2506" s="1"/>
      <c r="R2506" s="1"/>
      <c r="S2506" s="1"/>
      <c r="T2506" s="1"/>
      <c r="U2506" s="1"/>
      <c r="V2506" s="1"/>
      <c r="W2506" s="1"/>
      <c r="X2506" s="1"/>
    </row>
    <row x14ac:dyDescent="0.25" r="2507" customHeight="1" ht="18.75">
      <c r="A2507" s="1"/>
      <c r="B2507" s="1"/>
      <c r="C2507" s="3" t="s">
        <v>1861</v>
      </c>
      <c r="D2507" s="3" t="s">
        <v>2538</v>
      </c>
      <c r="E2507" s="1"/>
      <c r="F2507" s="1"/>
      <c r="G2507" s="1"/>
      <c r="H2507" s="1"/>
      <c r="I2507" s="2"/>
      <c r="J2507" s="1"/>
      <c r="K2507" s="1"/>
      <c r="L2507" s="1"/>
      <c r="M2507" s="1"/>
      <c r="N2507" s="1"/>
      <c r="O2507" s="1"/>
      <c r="P2507" s="1"/>
      <c r="Q2507" s="1"/>
      <c r="R2507" s="1"/>
      <c r="S2507" s="1"/>
      <c r="T2507" s="1"/>
      <c r="U2507" s="1"/>
      <c r="V2507" s="1"/>
      <c r="W2507" s="1"/>
      <c r="X2507" s="1"/>
    </row>
    <row x14ac:dyDescent="0.25" r="2508" customHeight="1" ht="18.75">
      <c r="A2508" s="1"/>
      <c r="B2508" s="1"/>
      <c r="C2508" s="3" t="s">
        <v>1861</v>
      </c>
      <c r="D2508" s="3" t="s">
        <v>2539</v>
      </c>
      <c r="E2508" s="1"/>
      <c r="F2508" s="1"/>
      <c r="G2508" s="1"/>
      <c r="H2508" s="1"/>
      <c r="I2508" s="2"/>
      <c r="J2508" s="1"/>
      <c r="K2508" s="1"/>
      <c r="L2508" s="1"/>
      <c r="M2508" s="1"/>
      <c r="N2508" s="1"/>
      <c r="O2508" s="1"/>
      <c r="P2508" s="1"/>
      <c r="Q2508" s="1"/>
      <c r="R2508" s="1"/>
      <c r="S2508" s="1"/>
      <c r="T2508" s="1"/>
      <c r="U2508" s="1"/>
      <c r="V2508" s="1"/>
      <c r="W2508" s="1"/>
      <c r="X2508" s="1"/>
    </row>
    <row x14ac:dyDescent="0.25" r="2509" customHeight="1" ht="18.75">
      <c r="A2509" s="1"/>
      <c r="B2509" s="1"/>
      <c r="C2509" s="3" t="s">
        <v>1861</v>
      </c>
      <c r="D2509" s="3" t="s">
        <v>2540</v>
      </c>
      <c r="E2509" s="1"/>
      <c r="F2509" s="1"/>
      <c r="G2509" s="1"/>
      <c r="H2509" s="1"/>
      <c r="I2509" s="2"/>
      <c r="J2509" s="1"/>
      <c r="K2509" s="1"/>
      <c r="L2509" s="1"/>
      <c r="M2509" s="1"/>
      <c r="N2509" s="1"/>
      <c r="O2509" s="1"/>
      <c r="P2509" s="1"/>
      <c r="Q2509" s="1"/>
      <c r="R2509" s="1"/>
      <c r="S2509" s="1"/>
      <c r="T2509" s="1"/>
      <c r="U2509" s="1"/>
      <c r="V2509" s="1"/>
      <c r="W2509" s="1"/>
      <c r="X2509" s="1"/>
    </row>
    <row x14ac:dyDescent="0.25" r="2510" customHeight="1" ht="18.75">
      <c r="A2510" s="1"/>
      <c r="B2510" s="1"/>
      <c r="C2510" s="3" t="s">
        <v>1861</v>
      </c>
      <c r="D2510" s="3" t="s">
        <v>2541</v>
      </c>
      <c r="E2510" s="1"/>
      <c r="F2510" s="1"/>
      <c r="G2510" s="1"/>
      <c r="H2510" s="1"/>
      <c r="I2510" s="2"/>
      <c r="J2510" s="1"/>
      <c r="K2510" s="1"/>
      <c r="L2510" s="1"/>
      <c r="M2510" s="1"/>
      <c r="N2510" s="1"/>
      <c r="O2510" s="1"/>
      <c r="P2510" s="1"/>
      <c r="Q2510" s="1"/>
      <c r="R2510" s="1"/>
      <c r="S2510" s="1"/>
      <c r="T2510" s="1"/>
      <c r="U2510" s="1"/>
      <c r="V2510" s="1"/>
      <c r="W2510" s="1"/>
      <c r="X2510" s="1"/>
    </row>
    <row x14ac:dyDescent="0.25" r="2511" customHeight="1" ht="18.75">
      <c r="A2511" s="1"/>
      <c r="B2511" s="1"/>
      <c r="C2511" s="3" t="s">
        <v>1861</v>
      </c>
      <c r="D2511" s="3" t="s">
        <v>2542</v>
      </c>
      <c r="E2511" s="1"/>
      <c r="F2511" s="1"/>
      <c r="G2511" s="1"/>
      <c r="H2511" s="1"/>
      <c r="I2511" s="2"/>
      <c r="J2511" s="1"/>
      <c r="K2511" s="1"/>
      <c r="L2511" s="1"/>
      <c r="M2511" s="1"/>
      <c r="N2511" s="1"/>
      <c r="O2511" s="1"/>
      <c r="P2511" s="1"/>
      <c r="Q2511" s="1"/>
      <c r="R2511" s="1"/>
      <c r="S2511" s="1"/>
      <c r="T2511" s="1"/>
      <c r="U2511" s="1"/>
      <c r="V2511" s="1"/>
      <c r="W2511" s="1"/>
      <c r="X2511" s="1"/>
    </row>
    <row x14ac:dyDescent="0.25" r="2512" customHeight="1" ht="18.75">
      <c r="A2512" s="1"/>
      <c r="B2512" s="1"/>
      <c r="C2512" s="3" t="s">
        <v>1861</v>
      </c>
      <c r="D2512" s="3" t="s">
        <v>2543</v>
      </c>
      <c r="E2512" s="1"/>
      <c r="F2512" s="1"/>
      <c r="G2512" s="1"/>
      <c r="H2512" s="1"/>
      <c r="I2512" s="2"/>
      <c r="J2512" s="1"/>
      <c r="K2512" s="1"/>
      <c r="L2512" s="1"/>
      <c r="M2512" s="1"/>
      <c r="N2512" s="1"/>
      <c r="O2512" s="1"/>
      <c r="P2512" s="1"/>
      <c r="Q2512" s="1"/>
      <c r="R2512" s="1"/>
      <c r="S2512" s="1"/>
      <c r="T2512" s="1"/>
      <c r="U2512" s="1"/>
      <c r="V2512" s="1"/>
      <c r="W2512" s="1"/>
      <c r="X2512" s="1"/>
    </row>
    <row x14ac:dyDescent="0.25" r="2513" customHeight="1" ht="18.75">
      <c r="A2513" s="1"/>
      <c r="B2513" s="1"/>
      <c r="C2513" s="3" t="s">
        <v>1861</v>
      </c>
      <c r="D2513" s="3" t="s">
        <v>2544</v>
      </c>
      <c r="E2513" s="1"/>
      <c r="F2513" s="1"/>
      <c r="G2513" s="1"/>
      <c r="H2513" s="1"/>
      <c r="I2513" s="2"/>
      <c r="J2513" s="1"/>
      <c r="K2513" s="1"/>
      <c r="L2513" s="1"/>
      <c r="M2513" s="1"/>
      <c r="N2513" s="1"/>
      <c r="O2513" s="1"/>
      <c r="P2513" s="1"/>
      <c r="Q2513" s="1"/>
      <c r="R2513" s="1"/>
      <c r="S2513" s="1"/>
      <c r="T2513" s="1"/>
      <c r="U2513" s="1"/>
      <c r="V2513" s="1"/>
      <c r="W2513" s="1"/>
      <c r="X2513" s="1"/>
    </row>
    <row x14ac:dyDescent="0.25" r="2514" customHeight="1" ht="18.75">
      <c r="A2514" s="1"/>
      <c r="B2514" s="1"/>
      <c r="C2514" s="3" t="s">
        <v>1861</v>
      </c>
      <c r="D2514" s="3" t="s">
        <v>2545</v>
      </c>
      <c r="E2514" s="1"/>
      <c r="F2514" s="1"/>
      <c r="G2514" s="1"/>
      <c r="H2514" s="1"/>
      <c r="I2514" s="2"/>
      <c r="J2514" s="1"/>
      <c r="K2514" s="1"/>
      <c r="L2514" s="1"/>
      <c r="M2514" s="1"/>
      <c r="N2514" s="1"/>
      <c r="O2514" s="1"/>
      <c r="P2514" s="1"/>
      <c r="Q2514" s="1"/>
      <c r="R2514" s="1"/>
      <c r="S2514" s="1"/>
      <c r="T2514" s="1"/>
      <c r="U2514" s="1"/>
      <c r="V2514" s="1"/>
      <c r="W2514" s="1"/>
      <c r="X2514" s="1"/>
    </row>
    <row x14ac:dyDescent="0.25" r="2515" customHeight="1" ht="18.75">
      <c r="A2515" s="1"/>
      <c r="B2515" s="1"/>
      <c r="C2515" s="3" t="s">
        <v>1861</v>
      </c>
      <c r="D2515" s="3" t="s">
        <v>2546</v>
      </c>
      <c r="E2515" s="1"/>
      <c r="F2515" s="1"/>
      <c r="G2515" s="1"/>
      <c r="H2515" s="1"/>
      <c r="I2515" s="2"/>
      <c r="J2515" s="1"/>
      <c r="K2515" s="1"/>
      <c r="L2515" s="1"/>
      <c r="M2515" s="1"/>
      <c r="N2515" s="1"/>
      <c r="O2515" s="1"/>
      <c r="P2515" s="1"/>
      <c r="Q2515" s="1"/>
      <c r="R2515" s="1"/>
      <c r="S2515" s="1"/>
      <c r="T2515" s="1"/>
      <c r="U2515" s="1"/>
      <c r="V2515" s="1"/>
      <c r="W2515" s="1"/>
      <c r="X2515" s="1"/>
    </row>
    <row x14ac:dyDescent="0.25" r="2516" customHeight="1" ht="18.75">
      <c r="A2516" s="1"/>
      <c r="B2516" s="1"/>
      <c r="C2516" s="3" t="s">
        <v>1861</v>
      </c>
      <c r="D2516" s="3" t="s">
        <v>2547</v>
      </c>
      <c r="E2516" s="1"/>
      <c r="F2516" s="1"/>
      <c r="G2516" s="1"/>
      <c r="H2516" s="1"/>
      <c r="I2516" s="2"/>
      <c r="J2516" s="1"/>
      <c r="K2516" s="1"/>
      <c r="L2516" s="1"/>
      <c r="M2516" s="1"/>
      <c r="N2516" s="1"/>
      <c r="O2516" s="1"/>
      <c r="P2516" s="1"/>
      <c r="Q2516" s="1"/>
      <c r="R2516" s="1"/>
      <c r="S2516" s="1"/>
      <c r="T2516" s="1"/>
      <c r="U2516" s="1"/>
      <c r="V2516" s="1"/>
      <c r="W2516" s="1"/>
      <c r="X2516" s="1"/>
    </row>
    <row x14ac:dyDescent="0.25" r="2517" customHeight="1" ht="18.75">
      <c r="A2517" s="1"/>
      <c r="B2517" s="1"/>
      <c r="C2517" s="3" t="s">
        <v>1861</v>
      </c>
      <c r="D2517" s="3" t="s">
        <v>2548</v>
      </c>
      <c r="E2517" s="1"/>
      <c r="F2517" s="1"/>
      <c r="G2517" s="1"/>
      <c r="H2517" s="1"/>
      <c r="I2517" s="2"/>
      <c r="J2517" s="1"/>
      <c r="K2517" s="1"/>
      <c r="L2517" s="1"/>
      <c r="M2517" s="1"/>
      <c r="N2517" s="1"/>
      <c r="O2517" s="1"/>
      <c r="P2517" s="1"/>
      <c r="Q2517" s="1"/>
      <c r="R2517" s="1"/>
      <c r="S2517" s="1"/>
      <c r="T2517" s="1"/>
      <c r="U2517" s="1"/>
      <c r="V2517" s="1"/>
      <c r="W2517" s="1"/>
      <c r="X2517" s="1"/>
    </row>
    <row x14ac:dyDescent="0.25" r="2518" customHeight="1" ht="18.75">
      <c r="A2518" s="1"/>
      <c r="B2518" s="1"/>
      <c r="C2518" s="3" t="s">
        <v>1861</v>
      </c>
      <c r="D2518" s="3" t="s">
        <v>2549</v>
      </c>
      <c r="E2518" s="1"/>
      <c r="F2518" s="1"/>
      <c r="G2518" s="1"/>
      <c r="H2518" s="1"/>
      <c r="I2518" s="2"/>
      <c r="J2518" s="1"/>
      <c r="K2518" s="1"/>
      <c r="L2518" s="1"/>
      <c r="M2518" s="1"/>
      <c r="N2518" s="1"/>
      <c r="O2518" s="1"/>
      <c r="P2518" s="1"/>
      <c r="Q2518" s="1"/>
      <c r="R2518" s="1"/>
      <c r="S2518" s="1"/>
      <c r="T2518" s="1"/>
      <c r="U2518" s="1"/>
      <c r="V2518" s="1"/>
      <c r="W2518" s="1"/>
      <c r="X2518" s="1"/>
    </row>
    <row x14ac:dyDescent="0.25" r="2519" customHeight="1" ht="18.75">
      <c r="A2519" s="1"/>
      <c r="B2519" s="1"/>
      <c r="C2519" s="3" t="s">
        <v>1861</v>
      </c>
      <c r="D2519" s="3" t="s">
        <v>2550</v>
      </c>
      <c r="E2519" s="1"/>
      <c r="F2519" s="1"/>
      <c r="G2519" s="1"/>
      <c r="H2519" s="1"/>
      <c r="I2519" s="2"/>
      <c r="J2519" s="1"/>
      <c r="K2519" s="1"/>
      <c r="L2519" s="1"/>
      <c r="M2519" s="1"/>
      <c r="N2519" s="1"/>
      <c r="O2519" s="1"/>
      <c r="P2519" s="1"/>
      <c r="Q2519" s="1"/>
      <c r="R2519" s="1"/>
      <c r="S2519" s="1"/>
      <c r="T2519" s="1"/>
      <c r="U2519" s="1"/>
      <c r="V2519" s="1"/>
      <c r="W2519" s="1"/>
      <c r="X2519" s="1"/>
    </row>
    <row x14ac:dyDescent="0.25" r="2520" customHeight="1" ht="18.75">
      <c r="A2520" s="1"/>
      <c r="B2520" s="1"/>
      <c r="C2520" s="3" t="s">
        <v>1861</v>
      </c>
      <c r="D2520" s="3" t="s">
        <v>2551</v>
      </c>
      <c r="E2520" s="1"/>
      <c r="F2520" s="1"/>
      <c r="G2520" s="1"/>
      <c r="H2520" s="1"/>
      <c r="I2520" s="2"/>
      <c r="J2520" s="1"/>
      <c r="K2520" s="1"/>
      <c r="L2520" s="1"/>
      <c r="M2520" s="1"/>
      <c r="N2520" s="1"/>
      <c r="O2520" s="1"/>
      <c r="P2520" s="1"/>
      <c r="Q2520" s="1"/>
      <c r="R2520" s="1"/>
      <c r="S2520" s="1"/>
      <c r="T2520" s="1"/>
      <c r="U2520" s="1"/>
      <c r="V2520" s="1"/>
      <c r="W2520" s="1"/>
      <c r="X2520" s="1"/>
    </row>
    <row x14ac:dyDescent="0.25" r="2521" customHeight="1" ht="18.75">
      <c r="A2521" s="1"/>
      <c r="B2521" s="1"/>
      <c r="C2521" s="3" t="s">
        <v>1861</v>
      </c>
      <c r="D2521" s="3" t="s">
        <v>2552</v>
      </c>
      <c r="E2521" s="1"/>
      <c r="F2521" s="1"/>
      <c r="G2521" s="1"/>
      <c r="H2521" s="1"/>
      <c r="I2521" s="2"/>
      <c r="J2521" s="1"/>
      <c r="K2521" s="1"/>
      <c r="L2521" s="1"/>
      <c r="M2521" s="1"/>
      <c r="N2521" s="1"/>
      <c r="O2521" s="1"/>
      <c r="P2521" s="1"/>
      <c r="Q2521" s="1"/>
      <c r="R2521" s="1"/>
      <c r="S2521" s="1"/>
      <c r="T2521" s="1"/>
      <c r="U2521" s="1"/>
      <c r="V2521" s="1"/>
      <c r="W2521" s="1"/>
      <c r="X2521" s="1"/>
    </row>
    <row x14ac:dyDescent="0.25" r="2522" customHeight="1" ht="18.75">
      <c r="A2522" s="1"/>
      <c r="B2522" s="1"/>
      <c r="C2522" s="3" t="s">
        <v>1861</v>
      </c>
      <c r="D2522" s="3" t="s">
        <v>2553</v>
      </c>
      <c r="E2522" s="1"/>
      <c r="F2522" s="1"/>
      <c r="G2522" s="1"/>
      <c r="H2522" s="1"/>
      <c r="I2522" s="2"/>
      <c r="J2522" s="1"/>
      <c r="K2522" s="1"/>
      <c r="L2522" s="1"/>
      <c r="M2522" s="1"/>
      <c r="N2522" s="1"/>
      <c r="O2522" s="1"/>
      <c r="P2522" s="1"/>
      <c r="Q2522" s="1"/>
      <c r="R2522" s="1"/>
      <c r="S2522" s="1"/>
      <c r="T2522" s="1"/>
      <c r="U2522" s="1"/>
      <c r="V2522" s="1"/>
      <c r="W2522" s="1"/>
      <c r="X2522" s="1"/>
    </row>
    <row x14ac:dyDescent="0.25" r="2523" customHeight="1" ht="18.75">
      <c r="A2523" s="1"/>
      <c r="B2523" s="1"/>
      <c r="C2523" s="3" t="s">
        <v>1861</v>
      </c>
      <c r="D2523" s="3" t="s">
        <v>2554</v>
      </c>
      <c r="E2523" s="1"/>
      <c r="F2523" s="1"/>
      <c r="G2523" s="1"/>
      <c r="H2523" s="1"/>
      <c r="I2523" s="2"/>
      <c r="J2523" s="1"/>
      <c r="K2523" s="1"/>
      <c r="L2523" s="1"/>
      <c r="M2523" s="1"/>
      <c r="N2523" s="1"/>
      <c r="O2523" s="1"/>
      <c r="P2523" s="1"/>
      <c r="Q2523" s="1"/>
      <c r="R2523" s="1"/>
      <c r="S2523" s="1"/>
      <c r="T2523" s="1"/>
      <c r="U2523" s="1"/>
      <c r="V2523" s="1"/>
      <c r="W2523" s="1"/>
      <c r="X2523" s="1"/>
    </row>
    <row x14ac:dyDescent="0.25" r="2524" customHeight="1" ht="18.75">
      <c r="A2524" s="1"/>
      <c r="B2524" s="1"/>
      <c r="C2524" s="3" t="s">
        <v>1861</v>
      </c>
      <c r="D2524" s="3" t="s">
        <v>2555</v>
      </c>
      <c r="E2524" s="1"/>
      <c r="F2524" s="1"/>
      <c r="G2524" s="1"/>
      <c r="H2524" s="1"/>
      <c r="I2524" s="2"/>
      <c r="J2524" s="1"/>
      <c r="K2524" s="1"/>
      <c r="L2524" s="1"/>
      <c r="M2524" s="1"/>
      <c r="N2524" s="1"/>
      <c r="O2524" s="1"/>
      <c r="P2524" s="1"/>
      <c r="Q2524" s="1"/>
      <c r="R2524" s="1"/>
      <c r="S2524" s="1"/>
      <c r="T2524" s="1"/>
      <c r="U2524" s="1"/>
      <c r="V2524" s="1"/>
      <c r="W2524" s="1"/>
      <c r="X2524" s="1"/>
    </row>
    <row x14ac:dyDescent="0.25" r="2525" customHeight="1" ht="18.75">
      <c r="A2525" s="1"/>
      <c r="B2525" s="1"/>
      <c r="C2525" s="3" t="s">
        <v>1861</v>
      </c>
      <c r="D2525" s="3" t="s">
        <v>2556</v>
      </c>
      <c r="E2525" s="1"/>
      <c r="F2525" s="1"/>
      <c r="G2525" s="1"/>
      <c r="H2525" s="1"/>
      <c r="I2525" s="2"/>
      <c r="J2525" s="1"/>
      <c r="K2525" s="1"/>
      <c r="L2525" s="1"/>
      <c r="M2525" s="1"/>
      <c r="N2525" s="1"/>
      <c r="O2525" s="1"/>
      <c r="P2525" s="1"/>
      <c r="Q2525" s="1"/>
      <c r="R2525" s="1"/>
      <c r="S2525" s="1"/>
      <c r="T2525" s="1"/>
      <c r="U2525" s="1"/>
      <c r="V2525" s="1"/>
      <c r="W2525" s="1"/>
      <c r="X2525" s="1"/>
    </row>
    <row x14ac:dyDescent="0.25" r="2526" customHeight="1" ht="18.75">
      <c r="A2526" s="1"/>
      <c r="B2526" s="1"/>
      <c r="C2526" s="3" t="s">
        <v>1861</v>
      </c>
      <c r="D2526" s="3" t="s">
        <v>2557</v>
      </c>
      <c r="E2526" s="1"/>
      <c r="F2526" s="1"/>
      <c r="G2526" s="1"/>
      <c r="H2526" s="1"/>
      <c r="I2526" s="2"/>
      <c r="J2526" s="1"/>
      <c r="K2526" s="1"/>
      <c r="L2526" s="1"/>
      <c r="M2526" s="1"/>
      <c r="N2526" s="1"/>
      <c r="O2526" s="1"/>
      <c r="P2526" s="1"/>
      <c r="Q2526" s="1"/>
      <c r="R2526" s="1"/>
      <c r="S2526" s="1"/>
      <c r="T2526" s="1"/>
      <c r="U2526" s="1"/>
      <c r="V2526" s="1"/>
      <c r="W2526" s="1"/>
      <c r="X2526" s="1"/>
    </row>
    <row x14ac:dyDescent="0.25" r="2527" customHeight="1" ht="18.75">
      <c r="A2527" s="1"/>
      <c r="B2527" s="1"/>
      <c r="C2527" s="3" t="s">
        <v>1861</v>
      </c>
      <c r="D2527" s="3" t="s">
        <v>2558</v>
      </c>
      <c r="E2527" s="1"/>
      <c r="F2527" s="1"/>
      <c r="G2527" s="1"/>
      <c r="H2527" s="1"/>
      <c r="I2527" s="2"/>
      <c r="J2527" s="1"/>
      <c r="K2527" s="1"/>
      <c r="L2527" s="1"/>
      <c r="M2527" s="1"/>
      <c r="N2527" s="1"/>
      <c r="O2527" s="1"/>
      <c r="P2527" s="1"/>
      <c r="Q2527" s="1"/>
      <c r="R2527" s="1"/>
      <c r="S2527" s="1"/>
      <c r="T2527" s="1"/>
      <c r="U2527" s="1"/>
      <c r="V2527" s="1"/>
      <c r="W2527" s="1"/>
      <c r="X2527" s="1"/>
    </row>
    <row x14ac:dyDescent="0.25" r="2528" customHeight="1" ht="18.75">
      <c r="A2528" s="1"/>
      <c r="B2528" s="1"/>
      <c r="C2528" s="3" t="s">
        <v>1861</v>
      </c>
      <c r="D2528" s="3" t="s">
        <v>2559</v>
      </c>
      <c r="E2528" s="1"/>
      <c r="F2528" s="1"/>
      <c r="G2528" s="1"/>
      <c r="H2528" s="1"/>
      <c r="I2528" s="2"/>
      <c r="J2528" s="1"/>
      <c r="K2528" s="1"/>
      <c r="L2528" s="1"/>
      <c r="M2528" s="1"/>
      <c r="N2528" s="1"/>
      <c r="O2528" s="1"/>
      <c r="P2528" s="1"/>
      <c r="Q2528" s="1"/>
      <c r="R2528" s="1"/>
      <c r="S2528" s="1"/>
      <c r="T2528" s="1"/>
      <c r="U2528" s="1"/>
      <c r="V2528" s="1"/>
      <c r="W2528" s="1"/>
      <c r="X2528" s="1"/>
    </row>
    <row x14ac:dyDescent="0.25" r="2529" customHeight="1" ht="18.75">
      <c r="A2529" s="1"/>
      <c r="B2529" s="1"/>
      <c r="C2529" s="3" t="s">
        <v>1861</v>
      </c>
      <c r="D2529" s="3" t="s">
        <v>2560</v>
      </c>
      <c r="E2529" s="1"/>
      <c r="F2529" s="1"/>
      <c r="G2529" s="1"/>
      <c r="H2529" s="1"/>
      <c r="I2529" s="2"/>
      <c r="J2529" s="1"/>
      <c r="K2529" s="1"/>
      <c r="L2529" s="1"/>
      <c r="M2529" s="1"/>
      <c r="N2529" s="1"/>
      <c r="O2529" s="1"/>
      <c r="P2529" s="1"/>
      <c r="Q2529" s="1"/>
      <c r="R2529" s="1"/>
      <c r="S2529" s="1"/>
      <c r="T2529" s="1"/>
      <c r="U2529" s="1"/>
      <c r="V2529" s="1"/>
      <c r="W2529" s="1"/>
      <c r="X2529" s="1"/>
    </row>
    <row x14ac:dyDescent="0.25" r="2530" customHeight="1" ht="18.75">
      <c r="A2530" s="1"/>
      <c r="B2530" s="1"/>
      <c r="C2530" s="3" t="s">
        <v>1861</v>
      </c>
      <c r="D2530" s="3" t="s">
        <v>2561</v>
      </c>
      <c r="E2530" s="1"/>
      <c r="F2530" s="1"/>
      <c r="G2530" s="1"/>
      <c r="H2530" s="1"/>
      <c r="I2530" s="2"/>
      <c r="J2530" s="1"/>
      <c r="K2530" s="1"/>
      <c r="L2530" s="1"/>
      <c r="M2530" s="1"/>
      <c r="N2530" s="1"/>
      <c r="O2530" s="1"/>
      <c r="P2530" s="1"/>
      <c r="Q2530" s="1"/>
      <c r="R2530" s="1"/>
      <c r="S2530" s="1"/>
      <c r="T2530" s="1"/>
      <c r="U2530" s="1"/>
      <c r="V2530" s="1"/>
      <c r="W2530" s="1"/>
      <c r="X2530" s="1"/>
    </row>
    <row x14ac:dyDescent="0.25" r="2531" customHeight="1" ht="18.75">
      <c r="A2531" s="1"/>
      <c r="B2531" s="1"/>
      <c r="C2531" s="3" t="s">
        <v>1861</v>
      </c>
      <c r="D2531" s="3" t="s">
        <v>2562</v>
      </c>
      <c r="E2531" s="1"/>
      <c r="F2531" s="1"/>
      <c r="G2531" s="1"/>
      <c r="H2531" s="1"/>
      <c r="I2531" s="2"/>
      <c r="J2531" s="1"/>
      <c r="K2531" s="1"/>
      <c r="L2531" s="1"/>
      <c r="M2531" s="1"/>
      <c r="N2531" s="1"/>
      <c r="O2531" s="1"/>
      <c r="P2531" s="1"/>
      <c r="Q2531" s="1"/>
      <c r="R2531" s="1"/>
      <c r="S2531" s="1"/>
      <c r="T2531" s="1"/>
      <c r="U2531" s="1"/>
      <c r="V2531" s="1"/>
      <c r="W2531" s="1"/>
      <c r="X2531" s="1"/>
    </row>
    <row x14ac:dyDescent="0.25" r="2532" customHeight="1" ht="18.75">
      <c r="A2532" s="1"/>
      <c r="B2532" s="1"/>
      <c r="C2532" s="3" t="s">
        <v>1861</v>
      </c>
      <c r="D2532" s="3" t="s">
        <v>2563</v>
      </c>
      <c r="E2532" s="1"/>
      <c r="F2532" s="1"/>
      <c r="G2532" s="1"/>
      <c r="H2532" s="1"/>
      <c r="I2532" s="2"/>
      <c r="J2532" s="1"/>
      <c r="K2532" s="1"/>
      <c r="L2532" s="1"/>
      <c r="M2532" s="1"/>
      <c r="N2532" s="1"/>
      <c r="O2532" s="1"/>
      <c r="P2532" s="1"/>
      <c r="Q2532" s="1"/>
      <c r="R2532" s="1"/>
      <c r="S2532" s="1"/>
      <c r="T2532" s="1"/>
      <c r="U2532" s="1"/>
      <c r="V2532" s="1"/>
      <c r="W2532" s="1"/>
      <c r="X2532" s="1"/>
    </row>
    <row x14ac:dyDescent="0.25" r="2533" customHeight="1" ht="18.75">
      <c r="A2533" s="1"/>
      <c r="B2533" s="1"/>
      <c r="C2533" s="3" t="s">
        <v>1861</v>
      </c>
      <c r="D2533" s="3" t="s">
        <v>2564</v>
      </c>
      <c r="E2533" s="1"/>
      <c r="F2533" s="1"/>
      <c r="G2533" s="1"/>
      <c r="H2533" s="1"/>
      <c r="I2533" s="2"/>
      <c r="J2533" s="1"/>
      <c r="K2533" s="1"/>
      <c r="L2533" s="1"/>
      <c r="M2533" s="1"/>
      <c r="N2533" s="1"/>
      <c r="O2533" s="1"/>
      <c r="P2533" s="1"/>
      <c r="Q2533" s="1"/>
      <c r="R2533" s="1"/>
      <c r="S2533" s="1"/>
      <c r="T2533" s="1"/>
      <c r="U2533" s="1"/>
      <c r="V2533" s="1"/>
      <c r="W2533" s="1"/>
      <c r="X2533" s="1"/>
    </row>
    <row x14ac:dyDescent="0.25" r="2534" customHeight="1" ht="18.75">
      <c r="A2534" s="1"/>
      <c r="B2534" s="1"/>
      <c r="C2534" s="3" t="s">
        <v>1861</v>
      </c>
      <c r="D2534" s="3" t="s">
        <v>2565</v>
      </c>
      <c r="E2534" s="1"/>
      <c r="F2534" s="1"/>
      <c r="G2534" s="1"/>
      <c r="H2534" s="1"/>
      <c r="I2534" s="2"/>
      <c r="J2534" s="1"/>
      <c r="K2534" s="1"/>
      <c r="L2534" s="1"/>
      <c r="M2534" s="1"/>
      <c r="N2534" s="1"/>
      <c r="O2534" s="1"/>
      <c r="P2534" s="1"/>
      <c r="Q2534" s="1"/>
      <c r="R2534" s="1"/>
      <c r="S2534" s="1"/>
      <c r="T2534" s="1"/>
      <c r="U2534" s="1"/>
      <c r="V2534" s="1"/>
      <c r="W2534" s="1"/>
      <c r="X2534" s="1"/>
    </row>
    <row x14ac:dyDescent="0.25" r="2535" customHeight="1" ht="18.75">
      <c r="A2535" s="1"/>
      <c r="B2535" s="1"/>
      <c r="C2535" s="3" t="s">
        <v>1861</v>
      </c>
      <c r="D2535" s="3" t="s">
        <v>2566</v>
      </c>
      <c r="E2535" s="1"/>
      <c r="F2535" s="1"/>
      <c r="G2535" s="1"/>
      <c r="H2535" s="1"/>
      <c r="I2535" s="2"/>
      <c r="J2535" s="1"/>
      <c r="K2535" s="1"/>
      <c r="L2535" s="1"/>
      <c r="M2535" s="1"/>
      <c r="N2535" s="1"/>
      <c r="O2535" s="1"/>
      <c r="P2535" s="1"/>
      <c r="Q2535" s="1"/>
      <c r="R2535" s="1"/>
      <c r="S2535" s="1"/>
      <c r="T2535" s="1"/>
      <c r="U2535" s="1"/>
      <c r="V2535" s="1"/>
      <c r="W2535" s="1"/>
      <c r="X2535" s="1"/>
    </row>
    <row x14ac:dyDescent="0.25" r="2536" customHeight="1" ht="18.75">
      <c r="A2536" s="1"/>
      <c r="B2536" s="1"/>
      <c r="C2536" s="3" t="s">
        <v>1861</v>
      </c>
      <c r="D2536" s="3" t="s">
        <v>2567</v>
      </c>
      <c r="E2536" s="1"/>
      <c r="F2536" s="1"/>
      <c r="G2536" s="1"/>
      <c r="H2536" s="1"/>
      <c r="I2536" s="2"/>
      <c r="J2536" s="1"/>
      <c r="K2536" s="1"/>
      <c r="L2536" s="1"/>
      <c r="M2536" s="1"/>
      <c r="N2536" s="1"/>
      <c r="O2536" s="1"/>
      <c r="P2536" s="1"/>
      <c r="Q2536" s="1"/>
      <c r="R2536" s="1"/>
      <c r="S2536" s="1"/>
      <c r="T2536" s="1"/>
      <c r="U2536" s="1"/>
      <c r="V2536" s="1"/>
      <c r="W2536" s="1"/>
      <c r="X2536" s="1"/>
    </row>
    <row x14ac:dyDescent="0.25" r="2537" customHeight="1" ht="18.75">
      <c r="A2537" s="1"/>
      <c r="B2537" s="1"/>
      <c r="C2537" s="3" t="s">
        <v>1861</v>
      </c>
      <c r="D2537" s="3" t="s">
        <v>2568</v>
      </c>
      <c r="E2537" s="1"/>
      <c r="F2537" s="1"/>
      <c r="G2537" s="1"/>
      <c r="H2537" s="1"/>
      <c r="I2537" s="2"/>
      <c r="J2537" s="1"/>
      <c r="K2537" s="1"/>
      <c r="L2537" s="1"/>
      <c r="M2537" s="1"/>
      <c r="N2537" s="1"/>
      <c r="O2537" s="1"/>
      <c r="P2537" s="1"/>
      <c r="Q2537" s="1"/>
      <c r="R2537" s="1"/>
      <c r="S2537" s="1"/>
      <c r="T2537" s="1"/>
      <c r="U2537" s="1"/>
      <c r="V2537" s="1"/>
      <c r="W2537" s="1"/>
      <c r="X2537" s="1"/>
    </row>
    <row x14ac:dyDescent="0.25" r="2538" customHeight="1" ht="18.75">
      <c r="A2538" s="1"/>
      <c r="B2538" s="1"/>
      <c r="C2538" s="3" t="s">
        <v>1861</v>
      </c>
      <c r="D2538" s="3" t="s">
        <v>2569</v>
      </c>
      <c r="E2538" s="1"/>
      <c r="F2538" s="1"/>
      <c r="G2538" s="1"/>
      <c r="H2538" s="1"/>
      <c r="I2538" s="2"/>
      <c r="J2538" s="1"/>
      <c r="K2538" s="1"/>
      <c r="L2538" s="1"/>
      <c r="M2538" s="1"/>
      <c r="N2538" s="1"/>
      <c r="O2538" s="1"/>
      <c r="P2538" s="1"/>
      <c r="Q2538" s="1"/>
      <c r="R2538" s="1"/>
      <c r="S2538" s="1"/>
      <c r="T2538" s="1"/>
      <c r="U2538" s="1"/>
      <c r="V2538" s="1"/>
      <c r="W2538" s="1"/>
      <c r="X2538" s="1"/>
    </row>
    <row x14ac:dyDescent="0.25" r="2539" customHeight="1" ht="18.75">
      <c r="A2539" s="1"/>
      <c r="B2539" s="1"/>
      <c r="C2539" s="3" t="s">
        <v>1861</v>
      </c>
      <c r="D2539" s="3" t="s">
        <v>2570</v>
      </c>
      <c r="E2539" s="1"/>
      <c r="F2539" s="1"/>
      <c r="G2539" s="1"/>
      <c r="H2539" s="1"/>
      <c r="I2539" s="2"/>
      <c r="J2539" s="1"/>
      <c r="K2539" s="1"/>
      <c r="L2539" s="1"/>
      <c r="M2539" s="1"/>
      <c r="N2539" s="1"/>
      <c r="O2539" s="1"/>
      <c r="P2539" s="1"/>
      <c r="Q2539" s="1"/>
      <c r="R2539" s="1"/>
      <c r="S2539" s="1"/>
      <c r="T2539" s="1"/>
      <c r="U2539" s="1"/>
      <c r="V2539" s="1"/>
      <c r="W2539" s="1"/>
      <c r="X2539" s="1"/>
    </row>
    <row x14ac:dyDescent="0.25" r="2540" customHeight="1" ht="18.75">
      <c r="A2540" s="1"/>
      <c r="B2540" s="1"/>
      <c r="C2540" s="3" t="s">
        <v>1861</v>
      </c>
      <c r="D2540" s="3" t="s">
        <v>2571</v>
      </c>
      <c r="E2540" s="1"/>
      <c r="F2540" s="1"/>
      <c r="G2540" s="1"/>
      <c r="H2540" s="1"/>
      <c r="I2540" s="2"/>
      <c r="J2540" s="1"/>
      <c r="K2540" s="1"/>
      <c r="L2540" s="1"/>
      <c r="M2540" s="1"/>
      <c r="N2540" s="1"/>
      <c r="O2540" s="1"/>
      <c r="P2540" s="1"/>
      <c r="Q2540" s="1"/>
      <c r="R2540" s="1"/>
      <c r="S2540" s="1"/>
      <c r="T2540" s="1"/>
      <c r="U2540" s="1"/>
      <c r="V2540" s="1"/>
      <c r="W2540" s="1"/>
      <c r="X2540" s="1"/>
    </row>
    <row x14ac:dyDescent="0.25" r="2541" customHeight="1" ht="18.75">
      <c r="A2541" s="1"/>
      <c r="B2541" s="1"/>
      <c r="C2541" s="3" t="s">
        <v>1861</v>
      </c>
      <c r="D2541" s="3" t="s">
        <v>2572</v>
      </c>
      <c r="E2541" s="1"/>
      <c r="F2541" s="1"/>
      <c r="G2541" s="1"/>
      <c r="H2541" s="1"/>
      <c r="I2541" s="2"/>
      <c r="J2541" s="1"/>
      <c r="K2541" s="1"/>
      <c r="L2541" s="1"/>
      <c r="M2541" s="1"/>
      <c r="N2541" s="1"/>
      <c r="O2541" s="1"/>
      <c r="P2541" s="1"/>
      <c r="Q2541" s="1"/>
      <c r="R2541" s="1"/>
      <c r="S2541" s="1"/>
      <c r="T2541" s="1"/>
      <c r="U2541" s="1"/>
      <c r="V2541" s="1"/>
      <c r="W2541" s="1"/>
      <c r="X2541" s="1"/>
    </row>
    <row x14ac:dyDescent="0.25" r="2542" customHeight="1" ht="18.75">
      <c r="A2542" s="1"/>
      <c r="B2542" s="1"/>
      <c r="C2542" s="3" t="s">
        <v>1861</v>
      </c>
      <c r="D2542" s="3" t="s">
        <v>2573</v>
      </c>
      <c r="E2542" s="1"/>
      <c r="F2542" s="1"/>
      <c r="G2542" s="1"/>
      <c r="H2542" s="1"/>
      <c r="I2542" s="2"/>
      <c r="J2542" s="1"/>
      <c r="K2542" s="1"/>
      <c r="L2542" s="1"/>
      <c r="M2542" s="1"/>
      <c r="N2542" s="1"/>
      <c r="O2542" s="1"/>
      <c r="P2542" s="1"/>
      <c r="Q2542" s="1"/>
      <c r="R2542" s="1"/>
      <c r="S2542" s="1"/>
      <c r="T2542" s="1"/>
      <c r="U2542" s="1"/>
      <c r="V2542" s="1"/>
      <c r="W2542" s="1"/>
      <c r="X2542" s="1"/>
    </row>
    <row x14ac:dyDescent="0.25" r="2543" customHeight="1" ht="18.75">
      <c r="A2543" s="1"/>
      <c r="B2543" s="1"/>
      <c r="C2543" s="3" t="s">
        <v>1861</v>
      </c>
      <c r="D2543" s="3" t="s">
        <v>2574</v>
      </c>
      <c r="E2543" s="1"/>
      <c r="F2543" s="1"/>
      <c r="G2543" s="1"/>
      <c r="H2543" s="1"/>
      <c r="I2543" s="2"/>
      <c r="J2543" s="1"/>
      <c r="K2543" s="1"/>
      <c r="L2543" s="1"/>
      <c r="M2543" s="1"/>
      <c r="N2543" s="1"/>
      <c r="O2543" s="1"/>
      <c r="P2543" s="1"/>
      <c r="Q2543" s="1"/>
      <c r="R2543" s="1"/>
      <c r="S2543" s="1"/>
      <c r="T2543" s="1"/>
      <c r="U2543" s="1"/>
      <c r="V2543" s="1"/>
      <c r="W2543" s="1"/>
      <c r="X2543" s="1"/>
    </row>
    <row x14ac:dyDescent="0.25" r="2544" customHeight="1" ht="18.75">
      <c r="A2544" s="1"/>
      <c r="B2544" s="1"/>
      <c r="C2544" s="3" t="s">
        <v>1861</v>
      </c>
      <c r="D2544" s="3" t="s">
        <v>2575</v>
      </c>
      <c r="E2544" s="1"/>
      <c r="F2544" s="1"/>
      <c r="G2544" s="1"/>
      <c r="H2544" s="1"/>
      <c r="I2544" s="2"/>
      <c r="J2544" s="1"/>
      <c r="K2544" s="1"/>
      <c r="L2544" s="1"/>
      <c r="M2544" s="1"/>
      <c r="N2544" s="1"/>
      <c r="O2544" s="1"/>
      <c r="P2544" s="1"/>
      <c r="Q2544" s="1"/>
      <c r="R2544" s="1"/>
      <c r="S2544" s="1"/>
      <c r="T2544" s="1"/>
      <c r="U2544" s="1"/>
      <c r="V2544" s="1"/>
      <c r="W2544" s="1"/>
      <c r="X2544" s="1"/>
    </row>
    <row x14ac:dyDescent="0.25" r="2545" customHeight="1" ht="18.75">
      <c r="A2545" s="1"/>
      <c r="B2545" s="1"/>
      <c r="C2545" s="3" t="s">
        <v>1861</v>
      </c>
      <c r="D2545" s="3" t="s">
        <v>2576</v>
      </c>
      <c r="E2545" s="1"/>
      <c r="F2545" s="1"/>
      <c r="G2545" s="1"/>
      <c r="H2545" s="1"/>
      <c r="I2545" s="2"/>
      <c r="J2545" s="1"/>
      <c r="K2545" s="1"/>
      <c r="L2545" s="1"/>
      <c r="M2545" s="1"/>
      <c r="N2545" s="1"/>
      <c r="O2545" s="1"/>
      <c r="P2545" s="1"/>
      <c r="Q2545" s="1"/>
      <c r="R2545" s="1"/>
      <c r="S2545" s="1"/>
      <c r="T2545" s="1"/>
      <c r="U2545" s="1"/>
      <c r="V2545" s="1"/>
      <c r="W2545" s="1"/>
      <c r="X2545" s="1"/>
    </row>
    <row x14ac:dyDescent="0.25" r="2546" customHeight="1" ht="18.75">
      <c r="A2546" s="1"/>
      <c r="B2546" s="1"/>
      <c r="C2546" s="3" t="s">
        <v>1861</v>
      </c>
      <c r="D2546" s="3" t="s">
        <v>2577</v>
      </c>
      <c r="E2546" s="1"/>
      <c r="F2546" s="1"/>
      <c r="G2546" s="1"/>
      <c r="H2546" s="1"/>
      <c r="I2546" s="2"/>
      <c r="J2546" s="1"/>
      <c r="K2546" s="1"/>
      <c r="L2546" s="1"/>
      <c r="M2546" s="1"/>
      <c r="N2546" s="1"/>
      <c r="O2546" s="1"/>
      <c r="P2546" s="1"/>
      <c r="Q2546" s="1"/>
      <c r="R2546" s="1"/>
      <c r="S2546" s="1"/>
      <c r="T2546" s="1"/>
      <c r="U2546" s="1"/>
      <c r="V2546" s="1"/>
      <c r="W2546" s="1"/>
      <c r="X2546" s="1"/>
    </row>
    <row x14ac:dyDescent="0.25" r="2547" customHeight="1" ht="18.75">
      <c r="A2547" s="1"/>
      <c r="B2547" s="1"/>
      <c r="C2547" s="3" t="s">
        <v>1861</v>
      </c>
      <c r="D2547" s="3" t="s">
        <v>2578</v>
      </c>
      <c r="E2547" s="1"/>
      <c r="F2547" s="1"/>
      <c r="G2547" s="1"/>
      <c r="H2547" s="1"/>
      <c r="I2547" s="2"/>
      <c r="J2547" s="1"/>
      <c r="K2547" s="1"/>
      <c r="L2547" s="1"/>
      <c r="M2547" s="1"/>
      <c r="N2547" s="1"/>
      <c r="O2547" s="1"/>
      <c r="P2547" s="1"/>
      <c r="Q2547" s="1"/>
      <c r="R2547" s="1"/>
      <c r="S2547" s="1"/>
      <c r="T2547" s="1"/>
      <c r="U2547" s="1"/>
      <c r="V2547" s="1"/>
      <c r="W2547" s="1"/>
      <c r="X2547" s="1"/>
    </row>
    <row x14ac:dyDescent="0.25" r="2548" customHeight="1" ht="18.75">
      <c r="A2548" s="1"/>
      <c r="B2548" s="1"/>
      <c r="C2548" s="3" t="s">
        <v>1861</v>
      </c>
      <c r="D2548" s="3" t="s">
        <v>2579</v>
      </c>
      <c r="E2548" s="1"/>
      <c r="F2548" s="1"/>
      <c r="G2548" s="1"/>
      <c r="H2548" s="1"/>
      <c r="I2548" s="2"/>
      <c r="J2548" s="1"/>
      <c r="K2548" s="1"/>
      <c r="L2548" s="1"/>
      <c r="M2548" s="1"/>
      <c r="N2548" s="1"/>
      <c r="O2548" s="1"/>
      <c r="P2548" s="1"/>
      <c r="Q2548" s="1"/>
      <c r="R2548" s="1"/>
      <c r="S2548" s="1"/>
      <c r="T2548" s="1"/>
      <c r="U2548" s="1"/>
      <c r="V2548" s="1"/>
      <c r="W2548" s="1"/>
      <c r="X2548" s="1"/>
    </row>
    <row x14ac:dyDescent="0.25" r="2549" customHeight="1" ht="18.75">
      <c r="A2549" s="1"/>
      <c r="B2549" s="1"/>
      <c r="C2549" s="3" t="s">
        <v>1861</v>
      </c>
      <c r="D2549" s="3" t="s">
        <v>2580</v>
      </c>
      <c r="E2549" s="1"/>
      <c r="F2549" s="1"/>
      <c r="G2549" s="1"/>
      <c r="H2549" s="1"/>
      <c r="I2549" s="2"/>
      <c r="J2549" s="1"/>
      <c r="K2549" s="1"/>
      <c r="L2549" s="1"/>
      <c r="M2549" s="1"/>
      <c r="N2549" s="1"/>
      <c r="O2549" s="1"/>
      <c r="P2549" s="1"/>
      <c r="Q2549" s="1"/>
      <c r="R2549" s="1"/>
      <c r="S2549" s="1"/>
      <c r="T2549" s="1"/>
      <c r="U2549" s="1"/>
      <c r="V2549" s="1"/>
      <c r="W2549" s="1"/>
      <c r="X2549" s="1"/>
    </row>
    <row x14ac:dyDescent="0.25" r="2550" customHeight="1" ht="18.75">
      <c r="A2550" s="1"/>
      <c r="B2550" s="1"/>
      <c r="C2550" s="3" t="s">
        <v>1861</v>
      </c>
      <c r="D2550" s="3" t="s">
        <v>2581</v>
      </c>
      <c r="E2550" s="1"/>
      <c r="F2550" s="1"/>
      <c r="G2550" s="1"/>
      <c r="H2550" s="1"/>
      <c r="I2550" s="2"/>
      <c r="J2550" s="1"/>
      <c r="K2550" s="1"/>
      <c r="L2550" s="1"/>
      <c r="M2550" s="1"/>
      <c r="N2550" s="1"/>
      <c r="O2550" s="1"/>
      <c r="P2550" s="1"/>
      <c r="Q2550" s="1"/>
      <c r="R2550" s="1"/>
      <c r="S2550" s="1"/>
      <c r="T2550" s="1"/>
      <c r="U2550" s="1"/>
      <c r="V2550" s="1"/>
      <c r="W2550" s="1"/>
      <c r="X2550" s="1"/>
    </row>
    <row x14ac:dyDescent="0.25" r="2551" customHeight="1" ht="18.75">
      <c r="A2551" s="1"/>
      <c r="B2551" s="1"/>
      <c r="C2551" s="3" t="s">
        <v>1861</v>
      </c>
      <c r="D2551" s="3" t="s">
        <v>2582</v>
      </c>
      <c r="E2551" s="1"/>
      <c r="F2551" s="1"/>
      <c r="G2551" s="1"/>
      <c r="H2551" s="1"/>
      <c r="I2551" s="2"/>
      <c r="J2551" s="1"/>
      <c r="K2551" s="1"/>
      <c r="L2551" s="1"/>
      <c r="M2551" s="1"/>
      <c r="N2551" s="1"/>
      <c r="O2551" s="1"/>
      <c r="P2551" s="1"/>
      <c r="Q2551" s="1"/>
      <c r="R2551" s="1"/>
      <c r="S2551" s="1"/>
      <c r="T2551" s="1"/>
      <c r="U2551" s="1"/>
      <c r="V2551" s="1"/>
      <c r="W2551" s="1"/>
      <c r="X2551" s="1"/>
    </row>
    <row x14ac:dyDescent="0.25" r="2552" customHeight="1" ht="18.75">
      <c r="A2552" s="1"/>
      <c r="B2552" s="1"/>
      <c r="C2552" s="3" t="s">
        <v>1861</v>
      </c>
      <c r="D2552" s="3" t="s">
        <v>2583</v>
      </c>
      <c r="E2552" s="1"/>
      <c r="F2552" s="1"/>
      <c r="G2552" s="1"/>
      <c r="H2552" s="1"/>
      <c r="I2552" s="2"/>
      <c r="J2552" s="1"/>
      <c r="K2552" s="1"/>
      <c r="L2552" s="1"/>
      <c r="M2552" s="1"/>
      <c r="N2552" s="1"/>
      <c r="O2552" s="1"/>
      <c r="P2552" s="1"/>
      <c r="Q2552" s="1"/>
      <c r="R2552" s="1"/>
      <c r="S2552" s="1"/>
      <c r="T2552" s="1"/>
      <c r="U2552" s="1"/>
      <c r="V2552" s="1"/>
      <c r="W2552" s="1"/>
      <c r="X2552" s="1"/>
    </row>
    <row x14ac:dyDescent="0.25" r="2553" customHeight="1" ht="18.75">
      <c r="A2553" s="1"/>
      <c r="B2553" s="1"/>
      <c r="C2553" s="3" t="s">
        <v>1861</v>
      </c>
      <c r="D2553" s="3" t="s">
        <v>2584</v>
      </c>
      <c r="E2553" s="1"/>
      <c r="F2553" s="1"/>
      <c r="G2553" s="1"/>
      <c r="H2553" s="1"/>
      <c r="I2553" s="2"/>
      <c r="J2553" s="1"/>
      <c r="K2553" s="1"/>
      <c r="L2553" s="1"/>
      <c r="M2553" s="1"/>
      <c r="N2553" s="1"/>
      <c r="O2553" s="1"/>
      <c r="P2553" s="1"/>
      <c r="Q2553" s="1"/>
      <c r="R2553" s="1"/>
      <c r="S2553" s="1"/>
      <c r="T2553" s="1"/>
      <c r="U2553" s="1"/>
      <c r="V2553" s="1"/>
      <c r="W2553" s="1"/>
      <c r="X2553" s="1"/>
    </row>
    <row x14ac:dyDescent="0.25" r="2554" customHeight="1" ht="18.75">
      <c r="A2554" s="1"/>
      <c r="B2554" s="1"/>
      <c r="C2554" s="3" t="s">
        <v>1861</v>
      </c>
      <c r="D2554" s="3" t="s">
        <v>2585</v>
      </c>
      <c r="E2554" s="1"/>
      <c r="F2554" s="1"/>
      <c r="G2554" s="1"/>
      <c r="H2554" s="1"/>
      <c r="I2554" s="2"/>
      <c r="J2554" s="1"/>
      <c r="K2554" s="1"/>
      <c r="L2554" s="1"/>
      <c r="M2554" s="1"/>
      <c r="N2554" s="1"/>
      <c r="O2554" s="1"/>
      <c r="P2554" s="1"/>
      <c r="Q2554" s="1"/>
      <c r="R2554" s="1"/>
      <c r="S2554" s="1"/>
      <c r="T2554" s="1"/>
      <c r="U2554" s="1"/>
      <c r="V2554" s="1"/>
      <c r="W2554" s="1"/>
      <c r="X2554" s="1"/>
    </row>
    <row x14ac:dyDescent="0.25" r="2555" customHeight="1" ht="18.75">
      <c r="A2555" s="1"/>
      <c r="B2555" s="1"/>
      <c r="C2555" s="3" t="s">
        <v>1861</v>
      </c>
      <c r="D2555" s="3" t="s">
        <v>2586</v>
      </c>
      <c r="E2555" s="1"/>
      <c r="F2555" s="1"/>
      <c r="G2555" s="1"/>
      <c r="H2555" s="1"/>
      <c r="I2555" s="2"/>
      <c r="J2555" s="1"/>
      <c r="K2555" s="1"/>
      <c r="L2555" s="1"/>
      <c r="M2555" s="1"/>
      <c r="N2555" s="1"/>
      <c r="O2555" s="1"/>
      <c r="P2555" s="1"/>
      <c r="Q2555" s="1"/>
      <c r="R2555" s="1"/>
      <c r="S2555" s="1"/>
      <c r="T2555" s="1"/>
      <c r="U2555" s="1"/>
      <c r="V2555" s="1"/>
      <c r="W2555" s="1"/>
      <c r="X2555" s="1"/>
    </row>
    <row x14ac:dyDescent="0.25" r="2556" customHeight="1" ht="18.75">
      <c r="A2556" s="1"/>
      <c r="B2556" s="1"/>
      <c r="C2556" s="3" t="s">
        <v>1861</v>
      </c>
      <c r="D2556" s="3" t="s">
        <v>2587</v>
      </c>
      <c r="E2556" s="1"/>
      <c r="F2556" s="1"/>
      <c r="G2556" s="1"/>
      <c r="H2556" s="1"/>
      <c r="I2556" s="2"/>
      <c r="J2556" s="1"/>
      <c r="K2556" s="1"/>
      <c r="L2556" s="1"/>
      <c r="M2556" s="1"/>
      <c r="N2556" s="1"/>
      <c r="O2556" s="1"/>
      <c r="P2556" s="1"/>
      <c r="Q2556" s="1"/>
      <c r="R2556" s="1"/>
      <c r="S2556" s="1"/>
      <c r="T2556" s="1"/>
      <c r="U2556" s="1"/>
      <c r="V2556" s="1"/>
      <c r="W2556" s="1"/>
      <c r="X2556" s="1"/>
    </row>
    <row x14ac:dyDescent="0.25" r="2557" customHeight="1" ht="18.75">
      <c r="A2557" s="1"/>
      <c r="B2557" s="1"/>
      <c r="C2557" s="3" t="s">
        <v>1861</v>
      </c>
      <c r="D2557" s="3" t="s">
        <v>2588</v>
      </c>
      <c r="E2557" s="1"/>
      <c r="F2557" s="1"/>
      <c r="G2557" s="1"/>
      <c r="H2557" s="1"/>
      <c r="I2557" s="2"/>
      <c r="J2557" s="1"/>
      <c r="K2557" s="1"/>
      <c r="L2557" s="1"/>
      <c r="M2557" s="1"/>
      <c r="N2557" s="1"/>
      <c r="O2557" s="1"/>
      <c r="P2557" s="1"/>
      <c r="Q2557" s="1"/>
      <c r="R2557" s="1"/>
      <c r="S2557" s="1"/>
      <c r="T2557" s="1"/>
      <c r="U2557" s="1"/>
      <c r="V2557" s="1"/>
      <c r="W2557" s="1"/>
      <c r="X2557" s="1"/>
    </row>
    <row x14ac:dyDescent="0.25" r="2558" customHeight="1" ht="18.75">
      <c r="A2558" s="1"/>
      <c r="B2558" s="1"/>
      <c r="C2558" s="3" t="s">
        <v>1861</v>
      </c>
      <c r="D2558" s="3" t="s">
        <v>2589</v>
      </c>
      <c r="E2558" s="1"/>
      <c r="F2558" s="1"/>
      <c r="G2558" s="1"/>
      <c r="H2558" s="1"/>
      <c r="I2558" s="2"/>
      <c r="J2558" s="1"/>
      <c r="K2558" s="1"/>
      <c r="L2558" s="1"/>
      <c r="M2558" s="1"/>
      <c r="N2558" s="1"/>
      <c r="O2558" s="1"/>
      <c r="P2558" s="1"/>
      <c r="Q2558" s="1"/>
      <c r="R2558" s="1"/>
      <c r="S2558" s="1"/>
      <c r="T2558" s="1"/>
      <c r="U2558" s="1"/>
      <c r="V2558" s="1"/>
      <c r="W2558" s="1"/>
      <c r="X2558" s="1"/>
    </row>
    <row x14ac:dyDescent="0.25" r="2559" customHeight="1" ht="18.75">
      <c r="A2559" s="1"/>
      <c r="B2559" s="1"/>
      <c r="C2559" s="3" t="s">
        <v>1861</v>
      </c>
      <c r="D2559" s="3" t="s">
        <v>2590</v>
      </c>
      <c r="E2559" s="1"/>
      <c r="F2559" s="1"/>
      <c r="G2559" s="1"/>
      <c r="H2559" s="1"/>
      <c r="I2559" s="2"/>
      <c r="J2559" s="1"/>
      <c r="K2559" s="1"/>
      <c r="L2559" s="1"/>
      <c r="M2559" s="1"/>
      <c r="N2559" s="1"/>
      <c r="O2559" s="1"/>
      <c r="P2559" s="1"/>
      <c r="Q2559" s="1"/>
      <c r="R2559" s="1"/>
      <c r="S2559" s="1"/>
      <c r="T2559" s="1"/>
      <c r="U2559" s="1"/>
      <c r="V2559" s="1"/>
      <c r="W2559" s="1"/>
      <c r="X2559" s="1"/>
    </row>
    <row x14ac:dyDescent="0.25" r="2560" customHeight="1" ht="18.75">
      <c r="A2560" s="1"/>
      <c r="B2560" s="1"/>
      <c r="C2560" s="3" t="s">
        <v>1861</v>
      </c>
      <c r="D2560" s="3" t="s">
        <v>2591</v>
      </c>
      <c r="E2560" s="1"/>
      <c r="F2560" s="1"/>
      <c r="G2560" s="1"/>
      <c r="H2560" s="1"/>
      <c r="I2560" s="2"/>
      <c r="J2560" s="1"/>
      <c r="K2560" s="1"/>
      <c r="L2560" s="1"/>
      <c r="M2560" s="1"/>
      <c r="N2560" s="1"/>
      <c r="O2560" s="1"/>
      <c r="P2560" s="1"/>
      <c r="Q2560" s="1"/>
      <c r="R2560" s="1"/>
      <c r="S2560" s="1"/>
      <c r="T2560" s="1"/>
      <c r="U2560" s="1"/>
      <c r="V2560" s="1"/>
      <c r="W2560" s="1"/>
      <c r="X2560" s="1"/>
    </row>
    <row x14ac:dyDescent="0.25" r="2561" customHeight="1" ht="18.75">
      <c r="A2561" s="1"/>
      <c r="B2561" s="1"/>
      <c r="C2561" s="3" t="s">
        <v>1861</v>
      </c>
      <c r="D2561" s="3" t="s">
        <v>2592</v>
      </c>
      <c r="E2561" s="1"/>
      <c r="F2561" s="1"/>
      <c r="G2561" s="1"/>
      <c r="H2561" s="1"/>
      <c r="I2561" s="2"/>
      <c r="J2561" s="1"/>
      <c r="K2561" s="1"/>
      <c r="L2561" s="1"/>
      <c r="M2561" s="1"/>
      <c r="N2561" s="1"/>
      <c r="O2561" s="1"/>
      <c r="P2561" s="1"/>
      <c r="Q2561" s="1"/>
      <c r="R2561" s="1"/>
      <c r="S2561" s="1"/>
      <c r="T2561" s="1"/>
      <c r="U2561" s="1"/>
      <c r="V2561" s="1"/>
      <c r="W2561" s="1"/>
      <c r="X2561" s="1"/>
    </row>
    <row x14ac:dyDescent="0.25" r="2562" customHeight="1" ht="18.75">
      <c r="A2562" s="1"/>
      <c r="B2562" s="1"/>
      <c r="C2562" s="3" t="s">
        <v>1861</v>
      </c>
      <c r="D2562" s="3" t="s">
        <v>2593</v>
      </c>
      <c r="E2562" s="1"/>
      <c r="F2562" s="1"/>
      <c r="G2562" s="1"/>
      <c r="H2562" s="1"/>
      <c r="I2562" s="2"/>
      <c r="J2562" s="1"/>
      <c r="K2562" s="1"/>
      <c r="L2562" s="1"/>
      <c r="M2562" s="1"/>
      <c r="N2562" s="1"/>
      <c r="O2562" s="1"/>
      <c r="P2562" s="1"/>
      <c r="Q2562" s="1"/>
      <c r="R2562" s="1"/>
      <c r="S2562" s="1"/>
      <c r="T2562" s="1"/>
      <c r="U2562" s="1"/>
      <c r="V2562" s="1"/>
      <c r="W2562" s="1"/>
      <c r="X2562" s="1"/>
    </row>
    <row x14ac:dyDescent="0.25" r="2563" customHeight="1" ht="18.75">
      <c r="A2563" s="1"/>
      <c r="B2563" s="1"/>
      <c r="C2563" s="3" t="s">
        <v>1861</v>
      </c>
      <c r="D2563" s="3" t="s">
        <v>2594</v>
      </c>
      <c r="E2563" s="1"/>
      <c r="F2563" s="1"/>
      <c r="G2563" s="1"/>
      <c r="H2563" s="1"/>
      <c r="I2563" s="2"/>
      <c r="J2563" s="1"/>
      <c r="K2563" s="1"/>
      <c r="L2563" s="1"/>
      <c r="M2563" s="1"/>
      <c r="N2563" s="1"/>
      <c r="O2563" s="1"/>
      <c r="P2563" s="1"/>
      <c r="Q2563" s="1"/>
      <c r="R2563" s="1"/>
      <c r="S2563" s="1"/>
      <c r="T2563" s="1"/>
      <c r="U2563" s="1"/>
      <c r="V2563" s="1"/>
      <c r="W2563" s="1"/>
      <c r="X2563" s="1"/>
    </row>
    <row x14ac:dyDescent="0.25" r="2564" customHeight="1" ht="18.75">
      <c r="A2564" s="1"/>
      <c r="B2564" s="1"/>
      <c r="C2564" s="3" t="s">
        <v>1861</v>
      </c>
      <c r="D2564" s="3" t="s">
        <v>2595</v>
      </c>
      <c r="E2564" s="1"/>
      <c r="F2564" s="1"/>
      <c r="G2564" s="1"/>
      <c r="H2564" s="1"/>
      <c r="I2564" s="2"/>
      <c r="J2564" s="1"/>
      <c r="K2564" s="1"/>
      <c r="L2564" s="1"/>
      <c r="M2564" s="1"/>
      <c r="N2564" s="1"/>
      <c r="O2564" s="1"/>
      <c r="P2564" s="1"/>
      <c r="Q2564" s="1"/>
      <c r="R2564" s="1"/>
      <c r="S2564" s="1"/>
      <c r="T2564" s="1"/>
      <c r="U2564" s="1"/>
      <c r="V2564" s="1"/>
      <c r="W2564" s="1"/>
      <c r="X2564" s="1"/>
    </row>
    <row x14ac:dyDescent="0.25" r="2565" customHeight="1" ht="18.75">
      <c r="A2565" s="1"/>
      <c r="B2565" s="1"/>
      <c r="C2565" s="3" t="s">
        <v>1861</v>
      </c>
      <c r="D2565" s="3" t="s">
        <v>2596</v>
      </c>
      <c r="E2565" s="1"/>
      <c r="F2565" s="1"/>
      <c r="G2565" s="1"/>
      <c r="H2565" s="1"/>
      <c r="I2565" s="2"/>
      <c r="J2565" s="1"/>
      <c r="K2565" s="1"/>
      <c r="L2565" s="1"/>
      <c r="M2565" s="1"/>
      <c r="N2565" s="1"/>
      <c r="O2565" s="1"/>
      <c r="P2565" s="1"/>
      <c r="Q2565" s="1"/>
      <c r="R2565" s="1"/>
      <c r="S2565" s="1"/>
      <c r="T2565" s="1"/>
      <c r="U2565" s="1"/>
      <c r="V2565" s="1"/>
      <c r="W2565" s="1"/>
      <c r="X2565" s="1"/>
    </row>
    <row x14ac:dyDescent="0.25" r="2566" customHeight="1" ht="18.75">
      <c r="A2566" s="1"/>
      <c r="B2566" s="1"/>
      <c r="C2566" s="3" t="s">
        <v>1861</v>
      </c>
      <c r="D2566" s="3" t="s">
        <v>2597</v>
      </c>
      <c r="E2566" s="1"/>
      <c r="F2566" s="1"/>
      <c r="G2566" s="1"/>
      <c r="H2566" s="1"/>
      <c r="I2566" s="2"/>
      <c r="J2566" s="1"/>
      <c r="K2566" s="1"/>
      <c r="L2566" s="1"/>
      <c r="M2566" s="1"/>
      <c r="N2566" s="1"/>
      <c r="O2566" s="1"/>
      <c r="P2566" s="1"/>
      <c r="Q2566" s="1"/>
      <c r="R2566" s="1"/>
      <c r="S2566" s="1"/>
      <c r="T2566" s="1"/>
      <c r="U2566" s="1"/>
      <c r="V2566" s="1"/>
      <c r="W2566" s="1"/>
      <c r="X2566" s="1"/>
    </row>
    <row x14ac:dyDescent="0.25" r="2567" customHeight="1" ht="18.75">
      <c r="A2567" s="1"/>
      <c r="B2567" s="1"/>
      <c r="C2567" s="3" t="s">
        <v>1861</v>
      </c>
      <c r="D2567" s="3" t="s">
        <v>2598</v>
      </c>
      <c r="E2567" s="1"/>
      <c r="F2567" s="1"/>
      <c r="G2567" s="1"/>
      <c r="H2567" s="1"/>
      <c r="I2567" s="2"/>
      <c r="J2567" s="1"/>
      <c r="K2567" s="1"/>
      <c r="L2567" s="1"/>
      <c r="M2567" s="1"/>
      <c r="N2567" s="1"/>
      <c r="O2567" s="1"/>
      <c r="P2567" s="1"/>
      <c r="Q2567" s="1"/>
      <c r="R2567" s="1"/>
      <c r="S2567" s="1"/>
      <c r="T2567" s="1"/>
      <c r="U2567" s="1"/>
      <c r="V2567" s="1"/>
      <c r="W2567" s="1"/>
      <c r="X2567" s="1"/>
    </row>
    <row x14ac:dyDescent="0.25" r="2568" customHeight="1" ht="18.75">
      <c r="A2568" s="1"/>
      <c r="B2568" s="1"/>
      <c r="C2568" s="3" t="s">
        <v>1861</v>
      </c>
      <c r="D2568" s="3" t="s">
        <v>2599</v>
      </c>
      <c r="E2568" s="1"/>
      <c r="F2568" s="1"/>
      <c r="G2568" s="1"/>
      <c r="H2568" s="1"/>
      <c r="I2568" s="2"/>
      <c r="J2568" s="1"/>
      <c r="K2568" s="1"/>
      <c r="L2568" s="1"/>
      <c r="M2568" s="1"/>
      <c r="N2568" s="1"/>
      <c r="O2568" s="1"/>
      <c r="P2568" s="1"/>
      <c r="Q2568" s="1"/>
      <c r="R2568" s="1"/>
      <c r="S2568" s="1"/>
      <c r="T2568" s="1"/>
      <c r="U2568" s="1"/>
      <c r="V2568" s="1"/>
      <c r="W2568" s="1"/>
      <c r="X2568" s="1"/>
    </row>
    <row x14ac:dyDescent="0.25" r="2569" customHeight="1" ht="18.75">
      <c r="A2569" s="1"/>
      <c r="B2569" s="1"/>
      <c r="C2569" s="3" t="s">
        <v>1861</v>
      </c>
      <c r="D2569" s="3" t="s">
        <v>2600</v>
      </c>
      <c r="E2569" s="1"/>
      <c r="F2569" s="1"/>
      <c r="G2569" s="1"/>
      <c r="H2569" s="1"/>
      <c r="I2569" s="2"/>
      <c r="J2569" s="1"/>
      <c r="K2569" s="1"/>
      <c r="L2569" s="1"/>
      <c r="M2569" s="1"/>
      <c r="N2569" s="1"/>
      <c r="O2569" s="1"/>
      <c r="P2569" s="1"/>
      <c r="Q2569" s="1"/>
      <c r="R2569" s="1"/>
      <c r="S2569" s="1"/>
      <c r="T2569" s="1"/>
      <c r="U2569" s="1"/>
      <c r="V2569" s="1"/>
      <c r="W2569" s="1"/>
      <c r="X2569" s="1"/>
    </row>
    <row x14ac:dyDescent="0.25" r="2570" customHeight="1" ht="18.75">
      <c r="A2570" s="1"/>
      <c r="B2570" s="1"/>
      <c r="C2570" s="3" t="s">
        <v>1861</v>
      </c>
      <c r="D2570" s="3" t="s">
        <v>2601</v>
      </c>
      <c r="E2570" s="1"/>
      <c r="F2570" s="1"/>
      <c r="G2570" s="1"/>
      <c r="H2570" s="1"/>
      <c r="I2570" s="2"/>
      <c r="J2570" s="1"/>
      <c r="K2570" s="1"/>
      <c r="L2570" s="1"/>
      <c r="M2570" s="1"/>
      <c r="N2570" s="1"/>
      <c r="O2570" s="1"/>
      <c r="P2570" s="1"/>
      <c r="Q2570" s="1"/>
      <c r="R2570" s="1"/>
      <c r="S2570" s="1"/>
      <c r="T2570" s="1"/>
      <c r="U2570" s="1"/>
      <c r="V2570" s="1"/>
      <c r="W2570" s="1"/>
      <c r="X2570" s="1"/>
    </row>
    <row x14ac:dyDescent="0.25" r="2571" customHeight="1" ht="18.75">
      <c r="A2571" s="1"/>
      <c r="B2571" s="1"/>
      <c r="C2571" s="3" t="s">
        <v>1861</v>
      </c>
      <c r="D2571" s="3" t="s">
        <v>2602</v>
      </c>
      <c r="E2571" s="1"/>
      <c r="F2571" s="1"/>
      <c r="G2571" s="1"/>
      <c r="H2571" s="1"/>
      <c r="I2571" s="2"/>
      <c r="J2571" s="1"/>
      <c r="K2571" s="1"/>
      <c r="L2571" s="1"/>
      <c r="M2571" s="1"/>
      <c r="N2571" s="1"/>
      <c r="O2571" s="1"/>
      <c r="P2571" s="1"/>
      <c r="Q2571" s="1"/>
      <c r="R2571" s="1"/>
      <c r="S2571" s="1"/>
      <c r="T2571" s="1"/>
      <c r="U2571" s="1"/>
      <c r="V2571" s="1"/>
      <c r="W2571" s="1"/>
      <c r="X2571" s="1"/>
    </row>
    <row x14ac:dyDescent="0.25" r="2572" customHeight="1" ht="18.75">
      <c r="A2572" s="1"/>
      <c r="B2572" s="1"/>
      <c r="C2572" s="3" t="s">
        <v>1861</v>
      </c>
      <c r="D2572" s="3" t="s">
        <v>2603</v>
      </c>
      <c r="E2572" s="1"/>
      <c r="F2572" s="1"/>
      <c r="G2572" s="1"/>
      <c r="H2572" s="1"/>
      <c r="I2572" s="2"/>
      <c r="J2572" s="1"/>
      <c r="K2572" s="1"/>
      <c r="L2572" s="1"/>
      <c r="M2572" s="1"/>
      <c r="N2572" s="1"/>
      <c r="O2572" s="1"/>
      <c r="P2572" s="1"/>
      <c r="Q2572" s="1"/>
      <c r="R2572" s="1"/>
      <c r="S2572" s="1"/>
      <c r="T2572" s="1"/>
      <c r="U2572" s="1"/>
      <c r="V2572" s="1"/>
      <c r="W2572" s="1"/>
      <c r="X2572" s="1"/>
    </row>
    <row x14ac:dyDescent="0.25" r="2573" customHeight="1" ht="18.75">
      <c r="A2573" s="1"/>
      <c r="B2573" s="1"/>
      <c r="C2573" s="3" t="s">
        <v>1861</v>
      </c>
      <c r="D2573" s="3" t="s">
        <v>2604</v>
      </c>
      <c r="E2573" s="1"/>
      <c r="F2573" s="1"/>
      <c r="G2573" s="1"/>
      <c r="H2573" s="1"/>
      <c r="I2573" s="2"/>
      <c r="J2573" s="1"/>
      <c r="K2573" s="1"/>
      <c r="L2573" s="1"/>
      <c r="M2573" s="1"/>
      <c r="N2573" s="1"/>
      <c r="O2573" s="1"/>
      <c r="P2573" s="1"/>
      <c r="Q2573" s="1"/>
      <c r="R2573" s="1"/>
      <c r="S2573" s="1"/>
      <c r="T2573" s="1"/>
      <c r="U2573" s="1"/>
      <c r="V2573" s="1"/>
      <c r="W2573" s="1"/>
      <c r="X2573" s="1"/>
    </row>
    <row x14ac:dyDescent="0.25" r="2574" customHeight="1" ht="18.75">
      <c r="A2574" s="1"/>
      <c r="B2574" s="1"/>
      <c r="C2574" s="3" t="s">
        <v>1861</v>
      </c>
      <c r="D2574" s="3" t="s">
        <v>2605</v>
      </c>
      <c r="E2574" s="1"/>
      <c r="F2574" s="1"/>
      <c r="G2574" s="1"/>
      <c r="H2574" s="1"/>
      <c r="I2574" s="2"/>
      <c r="J2574" s="1"/>
      <c r="K2574" s="1"/>
      <c r="L2574" s="1"/>
      <c r="M2574" s="1"/>
      <c r="N2574" s="1"/>
      <c r="O2574" s="1"/>
      <c r="P2574" s="1"/>
      <c r="Q2574" s="1"/>
      <c r="R2574" s="1"/>
      <c r="S2574" s="1"/>
      <c r="T2574" s="1"/>
      <c r="U2574" s="1"/>
      <c r="V2574" s="1"/>
      <c r="W2574" s="1"/>
      <c r="X2574" s="1"/>
    </row>
    <row x14ac:dyDescent="0.25" r="2575" customHeight="1" ht="18.75">
      <c r="A2575" s="1"/>
      <c r="B2575" s="1"/>
      <c r="C2575" s="3" t="s">
        <v>1861</v>
      </c>
      <c r="D2575" s="3" t="s">
        <v>2606</v>
      </c>
      <c r="E2575" s="1"/>
      <c r="F2575" s="1"/>
      <c r="G2575" s="1"/>
      <c r="H2575" s="1"/>
      <c r="I2575" s="2"/>
      <c r="J2575" s="1"/>
      <c r="K2575" s="1"/>
      <c r="L2575" s="1"/>
      <c r="M2575" s="1"/>
      <c r="N2575" s="1"/>
      <c r="O2575" s="1"/>
      <c r="P2575" s="1"/>
      <c r="Q2575" s="1"/>
      <c r="R2575" s="1"/>
      <c r="S2575" s="1"/>
      <c r="T2575" s="1"/>
      <c r="U2575" s="1"/>
      <c r="V2575" s="1"/>
      <c r="W2575" s="1"/>
      <c r="X2575" s="1"/>
    </row>
    <row x14ac:dyDescent="0.25" r="2576" customHeight="1" ht="18.75">
      <c r="A2576" s="1"/>
      <c r="B2576" s="1"/>
      <c r="C2576" s="3" t="s">
        <v>1861</v>
      </c>
      <c r="D2576" s="3" t="s">
        <v>2607</v>
      </c>
      <c r="E2576" s="1"/>
      <c r="F2576" s="1"/>
      <c r="G2576" s="1"/>
      <c r="H2576" s="1"/>
      <c r="I2576" s="2"/>
      <c r="J2576" s="1"/>
      <c r="K2576" s="1"/>
      <c r="L2576" s="1"/>
      <c r="M2576" s="1"/>
      <c r="N2576" s="1"/>
      <c r="O2576" s="1"/>
      <c r="P2576" s="1"/>
      <c r="Q2576" s="1"/>
      <c r="R2576" s="1"/>
      <c r="S2576" s="1"/>
      <c r="T2576" s="1"/>
      <c r="U2576" s="1"/>
      <c r="V2576" s="1"/>
      <c r="W2576" s="1"/>
      <c r="X2576" s="1"/>
    </row>
    <row x14ac:dyDescent="0.25" r="2577" customHeight="1" ht="18.75">
      <c r="A2577" s="1"/>
      <c r="B2577" s="1"/>
      <c r="C2577" s="3" t="s">
        <v>1861</v>
      </c>
      <c r="D2577" s="3" t="s">
        <v>2608</v>
      </c>
      <c r="E2577" s="1"/>
      <c r="F2577" s="1"/>
      <c r="G2577" s="1"/>
      <c r="H2577" s="1"/>
      <c r="I2577" s="2"/>
      <c r="J2577" s="1"/>
      <c r="K2577" s="1"/>
      <c r="L2577" s="1"/>
      <c r="M2577" s="1"/>
      <c r="N2577" s="1"/>
      <c r="O2577" s="1"/>
      <c r="P2577" s="1"/>
      <c r="Q2577" s="1"/>
      <c r="R2577" s="1"/>
      <c r="S2577" s="1"/>
      <c r="T2577" s="1"/>
      <c r="U2577" s="1"/>
      <c r="V2577" s="1"/>
      <c r="W2577" s="1"/>
      <c r="X2577" s="1"/>
    </row>
    <row x14ac:dyDescent="0.25" r="2578" customHeight="1" ht="18.75">
      <c r="A2578" s="1"/>
      <c r="B2578" s="1"/>
      <c r="C2578" s="3" t="s">
        <v>1861</v>
      </c>
      <c r="D2578" s="3" t="s">
        <v>2609</v>
      </c>
      <c r="E2578" s="1"/>
      <c r="F2578" s="1"/>
      <c r="G2578" s="1"/>
      <c r="H2578" s="1"/>
      <c r="I2578" s="2"/>
      <c r="J2578" s="1"/>
      <c r="K2578" s="1"/>
      <c r="L2578" s="1"/>
      <c r="M2578" s="1"/>
      <c r="N2578" s="1"/>
      <c r="O2578" s="1"/>
      <c r="P2578" s="1"/>
      <c r="Q2578" s="1"/>
      <c r="R2578" s="1"/>
      <c r="S2578" s="1"/>
      <c r="T2578" s="1"/>
      <c r="U2578" s="1"/>
      <c r="V2578" s="1"/>
      <c r="W2578" s="1"/>
      <c r="X2578" s="1"/>
    </row>
    <row x14ac:dyDescent="0.25" r="2579" customHeight="1" ht="18.75">
      <c r="A2579" s="1"/>
      <c r="B2579" s="1"/>
      <c r="C2579" s="3" t="s">
        <v>1861</v>
      </c>
      <c r="D2579" s="3" t="s">
        <v>2610</v>
      </c>
      <c r="E2579" s="1"/>
      <c r="F2579" s="1"/>
      <c r="G2579" s="1"/>
      <c r="H2579" s="1"/>
      <c r="I2579" s="2"/>
      <c r="J2579" s="1"/>
      <c r="K2579" s="1"/>
      <c r="L2579" s="1"/>
      <c r="M2579" s="1"/>
      <c r="N2579" s="1"/>
      <c r="O2579" s="1"/>
      <c r="P2579" s="1"/>
      <c r="Q2579" s="1"/>
      <c r="R2579" s="1"/>
      <c r="S2579" s="1"/>
      <c r="T2579" s="1"/>
      <c r="U2579" s="1"/>
      <c r="V2579" s="1"/>
      <c r="W2579" s="1"/>
      <c r="X2579" s="1"/>
    </row>
    <row x14ac:dyDescent="0.25" r="2580" customHeight="1" ht="18.75">
      <c r="A2580" s="1"/>
      <c r="B2580" s="1"/>
      <c r="C2580" s="3" t="s">
        <v>1861</v>
      </c>
      <c r="D2580" s="3" t="s">
        <v>2611</v>
      </c>
      <c r="E2580" s="1"/>
      <c r="F2580" s="1"/>
      <c r="G2580" s="1"/>
      <c r="H2580" s="1"/>
      <c r="I2580" s="2"/>
      <c r="J2580" s="1"/>
      <c r="K2580" s="1"/>
      <c r="L2580" s="1"/>
      <c r="M2580" s="1"/>
      <c r="N2580" s="1"/>
      <c r="O2580" s="1"/>
      <c r="P2580" s="1"/>
      <c r="Q2580" s="1"/>
      <c r="R2580" s="1"/>
      <c r="S2580" s="1"/>
      <c r="T2580" s="1"/>
      <c r="U2580" s="1"/>
      <c r="V2580" s="1"/>
      <c r="W2580" s="1"/>
      <c r="X2580" s="1"/>
    </row>
    <row x14ac:dyDescent="0.25" r="2581" customHeight="1" ht="18.75">
      <c r="A2581" s="1"/>
      <c r="B2581" s="1"/>
      <c r="C2581" s="3" t="s">
        <v>1861</v>
      </c>
      <c r="D2581" s="3" t="s">
        <v>2612</v>
      </c>
      <c r="E2581" s="1"/>
      <c r="F2581" s="1"/>
      <c r="G2581" s="1"/>
      <c r="H2581" s="1"/>
      <c r="I2581" s="2"/>
      <c r="J2581" s="1"/>
      <c r="K2581" s="1"/>
      <c r="L2581" s="1"/>
      <c r="M2581" s="1"/>
      <c r="N2581" s="1"/>
      <c r="O2581" s="1"/>
      <c r="P2581" s="1"/>
      <c r="Q2581" s="1"/>
      <c r="R2581" s="1"/>
      <c r="S2581" s="1"/>
      <c r="T2581" s="1"/>
      <c r="U2581" s="1"/>
      <c r="V2581" s="1"/>
      <c r="W2581" s="1"/>
      <c r="X2581" s="1"/>
    </row>
    <row x14ac:dyDescent="0.25" r="2582" customHeight="1" ht="18.75">
      <c r="A2582" s="1"/>
      <c r="B2582" s="1"/>
      <c r="C2582" s="3" t="s">
        <v>1861</v>
      </c>
      <c r="D2582" s="3" t="s">
        <v>2613</v>
      </c>
      <c r="E2582" s="1"/>
      <c r="F2582" s="1"/>
      <c r="G2582" s="1"/>
      <c r="H2582" s="1"/>
      <c r="I2582" s="2"/>
      <c r="J2582" s="1"/>
      <c r="K2582" s="1"/>
      <c r="L2582" s="1"/>
      <c r="M2582" s="1"/>
      <c r="N2582" s="1"/>
      <c r="O2582" s="1"/>
      <c r="P2582" s="1"/>
      <c r="Q2582" s="1"/>
      <c r="R2582" s="1"/>
      <c r="S2582" s="1"/>
      <c r="T2582" s="1"/>
      <c r="U2582" s="1"/>
      <c r="V2582" s="1"/>
      <c r="W2582" s="1"/>
      <c r="X2582" s="1"/>
    </row>
    <row x14ac:dyDescent="0.25" r="2583" customHeight="1" ht="18.75">
      <c r="A2583" s="1"/>
      <c r="B2583" s="1"/>
      <c r="C2583" s="3" t="s">
        <v>1861</v>
      </c>
      <c r="D2583" s="3" t="s">
        <v>2614</v>
      </c>
      <c r="E2583" s="1"/>
      <c r="F2583" s="1"/>
      <c r="G2583" s="1"/>
      <c r="H2583" s="1"/>
      <c r="I2583" s="2"/>
      <c r="J2583" s="1"/>
      <c r="K2583" s="1"/>
      <c r="L2583" s="1"/>
      <c r="M2583" s="1"/>
      <c r="N2583" s="1"/>
      <c r="O2583" s="1"/>
      <c r="P2583" s="1"/>
      <c r="Q2583" s="1"/>
      <c r="R2583" s="1"/>
      <c r="S2583" s="1"/>
      <c r="T2583" s="1"/>
      <c r="U2583" s="1"/>
      <c r="V2583" s="1"/>
      <c r="W2583" s="1"/>
      <c r="X2583" s="1"/>
    </row>
    <row x14ac:dyDescent="0.25" r="2584" customHeight="1" ht="18.75">
      <c r="A2584" s="1"/>
      <c r="B2584" s="1"/>
      <c r="C2584" s="3" t="s">
        <v>1861</v>
      </c>
      <c r="D2584" s="3" t="s">
        <v>2615</v>
      </c>
      <c r="E2584" s="1"/>
      <c r="F2584" s="1"/>
      <c r="G2584" s="1"/>
      <c r="H2584" s="1"/>
      <c r="I2584" s="2"/>
      <c r="J2584" s="1"/>
      <c r="K2584" s="1"/>
      <c r="L2584" s="1"/>
      <c r="M2584" s="1"/>
      <c r="N2584" s="1"/>
      <c r="O2584" s="1"/>
      <c r="P2584" s="1"/>
      <c r="Q2584" s="1"/>
      <c r="R2584" s="1"/>
      <c r="S2584" s="1"/>
      <c r="T2584" s="1"/>
      <c r="U2584" s="1"/>
      <c r="V2584" s="1"/>
      <c r="W2584" s="1"/>
      <c r="X2584" s="1"/>
    </row>
    <row x14ac:dyDescent="0.25" r="2585" customHeight="1" ht="18.75">
      <c r="A2585" s="1"/>
      <c r="B2585" s="1"/>
      <c r="C2585" s="3" t="s">
        <v>1861</v>
      </c>
      <c r="D2585" s="3" t="s">
        <v>2616</v>
      </c>
      <c r="E2585" s="1"/>
      <c r="F2585" s="1"/>
      <c r="G2585" s="1"/>
      <c r="H2585" s="1"/>
      <c r="I2585" s="2"/>
      <c r="J2585" s="1"/>
      <c r="K2585" s="1"/>
      <c r="L2585" s="1"/>
      <c r="M2585" s="1"/>
      <c r="N2585" s="1"/>
      <c r="O2585" s="1"/>
      <c r="P2585" s="1"/>
      <c r="Q2585" s="1"/>
      <c r="R2585" s="1"/>
      <c r="S2585" s="1"/>
      <c r="T2585" s="1"/>
      <c r="U2585" s="1"/>
      <c r="V2585" s="1"/>
      <c r="W2585" s="1"/>
      <c r="X2585" s="1"/>
    </row>
    <row x14ac:dyDescent="0.25" r="2586" customHeight="1" ht="18.75">
      <c r="A2586" s="1"/>
      <c r="B2586" s="1"/>
      <c r="C2586" s="3" t="s">
        <v>1861</v>
      </c>
      <c r="D2586" s="3" t="s">
        <v>2617</v>
      </c>
      <c r="E2586" s="1"/>
      <c r="F2586" s="1"/>
      <c r="G2586" s="1"/>
      <c r="H2586" s="1"/>
      <c r="I2586" s="2"/>
      <c r="J2586" s="1"/>
      <c r="K2586" s="1"/>
      <c r="L2586" s="1"/>
      <c r="M2586" s="1"/>
      <c r="N2586" s="1"/>
      <c r="O2586" s="1"/>
      <c r="P2586" s="1"/>
      <c r="Q2586" s="1"/>
      <c r="R2586" s="1"/>
      <c r="S2586" s="1"/>
      <c r="T2586" s="1"/>
      <c r="U2586" s="1"/>
      <c r="V2586" s="1"/>
      <c r="W2586" s="1"/>
      <c r="X2586" s="1"/>
    </row>
    <row x14ac:dyDescent="0.25" r="2587" customHeight="1" ht="18.75">
      <c r="A2587" s="1"/>
      <c r="B2587" s="1"/>
      <c r="C2587" s="3" t="s">
        <v>1861</v>
      </c>
      <c r="D2587" s="3" t="s">
        <v>2618</v>
      </c>
      <c r="E2587" s="1"/>
      <c r="F2587" s="1"/>
      <c r="G2587" s="1"/>
      <c r="H2587" s="1"/>
      <c r="I2587" s="2"/>
      <c r="J2587" s="1"/>
      <c r="K2587" s="1"/>
      <c r="L2587" s="1"/>
      <c r="M2587" s="1"/>
      <c r="N2587" s="1"/>
      <c r="O2587" s="1"/>
      <c r="P2587" s="1"/>
      <c r="Q2587" s="1"/>
      <c r="R2587" s="1"/>
      <c r="S2587" s="1"/>
      <c r="T2587" s="1"/>
      <c r="U2587" s="1"/>
      <c r="V2587" s="1"/>
      <c r="W2587" s="1"/>
      <c r="X2587" s="1"/>
    </row>
    <row x14ac:dyDescent="0.25" r="2588" customHeight="1" ht="18.75">
      <c r="A2588" s="1"/>
      <c r="B2588" s="1"/>
      <c r="C2588" s="3" t="s">
        <v>1861</v>
      </c>
      <c r="D2588" s="3" t="s">
        <v>2619</v>
      </c>
      <c r="E2588" s="1"/>
      <c r="F2588" s="1"/>
      <c r="G2588" s="1"/>
      <c r="H2588" s="1"/>
      <c r="I2588" s="2"/>
      <c r="J2588" s="1"/>
      <c r="K2588" s="1"/>
      <c r="L2588" s="1"/>
      <c r="M2588" s="1"/>
      <c r="N2588" s="1"/>
      <c r="O2588" s="1"/>
      <c r="P2588" s="1"/>
      <c r="Q2588" s="1"/>
      <c r="R2588" s="1"/>
      <c r="S2588" s="1"/>
      <c r="T2588" s="1"/>
      <c r="U2588" s="1"/>
      <c r="V2588" s="1"/>
      <c r="W2588" s="1"/>
      <c r="X2588" s="1"/>
    </row>
    <row x14ac:dyDescent="0.25" r="2589" customHeight="1" ht="18.75">
      <c r="A2589" s="1"/>
      <c r="B2589" s="1"/>
      <c r="C2589" s="3" t="s">
        <v>1861</v>
      </c>
      <c r="D2589" s="3" t="s">
        <v>2620</v>
      </c>
      <c r="E2589" s="1"/>
      <c r="F2589" s="1"/>
      <c r="G2589" s="1"/>
      <c r="H2589" s="1"/>
      <c r="I2589" s="2"/>
      <c r="J2589" s="1"/>
      <c r="K2589" s="1"/>
      <c r="L2589" s="1"/>
      <c r="M2589" s="1"/>
      <c r="N2589" s="1"/>
      <c r="O2589" s="1"/>
      <c r="P2589" s="1"/>
      <c r="Q2589" s="1"/>
      <c r="R2589" s="1"/>
      <c r="S2589" s="1"/>
      <c r="T2589" s="1"/>
      <c r="U2589" s="1"/>
      <c r="V2589" s="1"/>
      <c r="W2589" s="1"/>
      <c r="X2589" s="1"/>
    </row>
    <row x14ac:dyDescent="0.25" r="2590" customHeight="1" ht="18.75">
      <c r="A2590" s="1"/>
      <c r="B2590" s="1"/>
      <c r="C2590" s="3" t="s">
        <v>1861</v>
      </c>
      <c r="D2590" s="3" t="s">
        <v>2621</v>
      </c>
      <c r="E2590" s="1"/>
      <c r="F2590" s="1"/>
      <c r="G2590" s="1"/>
      <c r="H2590" s="1"/>
      <c r="I2590" s="2"/>
      <c r="J2590" s="1"/>
      <c r="K2590" s="1"/>
      <c r="L2590" s="1"/>
      <c r="M2590" s="1"/>
      <c r="N2590" s="1"/>
      <c r="O2590" s="1"/>
      <c r="P2590" s="1"/>
      <c r="Q2590" s="1"/>
      <c r="R2590" s="1"/>
      <c r="S2590" s="1"/>
      <c r="T2590" s="1"/>
      <c r="U2590" s="1"/>
      <c r="V2590" s="1"/>
      <c r="W2590" s="1"/>
      <c r="X2590" s="1"/>
    </row>
    <row x14ac:dyDescent="0.25" r="2591" customHeight="1" ht="18.75">
      <c r="A2591" s="1"/>
      <c r="B2591" s="1"/>
      <c r="C2591" s="3" t="s">
        <v>1861</v>
      </c>
      <c r="D2591" s="3" t="s">
        <v>2622</v>
      </c>
      <c r="E2591" s="1"/>
      <c r="F2591" s="1"/>
      <c r="G2591" s="1"/>
      <c r="H2591" s="1"/>
      <c r="I2591" s="2"/>
      <c r="J2591" s="1"/>
      <c r="K2591" s="1"/>
      <c r="L2591" s="1"/>
      <c r="M2591" s="1"/>
      <c r="N2591" s="1"/>
      <c r="O2591" s="1"/>
      <c r="P2591" s="1"/>
      <c r="Q2591" s="1"/>
      <c r="R2591" s="1"/>
      <c r="S2591" s="1"/>
      <c r="T2591" s="1"/>
      <c r="U2591" s="1"/>
      <c r="V2591" s="1"/>
      <c r="W2591" s="1"/>
      <c r="X2591" s="1"/>
    </row>
    <row x14ac:dyDescent="0.25" r="2592" customHeight="1" ht="18.75">
      <c r="A2592" s="1"/>
      <c r="B2592" s="1"/>
      <c r="C2592" s="3" t="s">
        <v>1861</v>
      </c>
      <c r="D2592" s="3" t="s">
        <v>2623</v>
      </c>
      <c r="E2592" s="1"/>
      <c r="F2592" s="1"/>
      <c r="G2592" s="1"/>
      <c r="H2592" s="1"/>
      <c r="I2592" s="2"/>
      <c r="J2592" s="1"/>
      <c r="K2592" s="1"/>
      <c r="L2592" s="1"/>
      <c r="M2592" s="1"/>
      <c r="N2592" s="1"/>
      <c r="O2592" s="1"/>
      <c r="P2592" s="1"/>
      <c r="Q2592" s="1"/>
      <c r="R2592" s="1"/>
      <c r="S2592" s="1"/>
      <c r="T2592" s="1"/>
      <c r="U2592" s="1"/>
      <c r="V2592" s="1"/>
      <c r="W2592" s="1"/>
      <c r="X2592" s="1"/>
    </row>
    <row x14ac:dyDescent="0.25" r="2593" customHeight="1" ht="18.75">
      <c r="A2593" s="1"/>
      <c r="B2593" s="1"/>
      <c r="C2593" s="3" t="s">
        <v>1861</v>
      </c>
      <c r="D2593" s="3" t="s">
        <v>2624</v>
      </c>
      <c r="E2593" s="1"/>
      <c r="F2593" s="1"/>
      <c r="G2593" s="1"/>
      <c r="H2593" s="1"/>
      <c r="I2593" s="2"/>
      <c r="J2593" s="1"/>
      <c r="K2593" s="1"/>
      <c r="L2593" s="1"/>
      <c r="M2593" s="1"/>
      <c r="N2593" s="1"/>
      <c r="O2593" s="1"/>
      <c r="P2593" s="1"/>
      <c r="Q2593" s="1"/>
      <c r="R2593" s="1"/>
      <c r="S2593" s="1"/>
      <c r="T2593" s="1"/>
      <c r="U2593" s="1"/>
      <c r="V2593" s="1"/>
      <c r="W2593" s="1"/>
      <c r="X2593" s="1"/>
    </row>
    <row x14ac:dyDescent="0.25" r="2594" customHeight="1" ht="18.75">
      <c r="A2594" s="1"/>
      <c r="B2594" s="1"/>
      <c r="C2594" s="3" t="s">
        <v>1861</v>
      </c>
      <c r="D2594" s="3" t="s">
        <v>2625</v>
      </c>
      <c r="E2594" s="1"/>
      <c r="F2594" s="1"/>
      <c r="G2594" s="1"/>
      <c r="H2594" s="1"/>
      <c r="I2594" s="2"/>
      <c r="J2594" s="1"/>
      <c r="K2594" s="1"/>
      <c r="L2594" s="1"/>
      <c r="M2594" s="1"/>
      <c r="N2594" s="1"/>
      <c r="O2594" s="1"/>
      <c r="P2594" s="1"/>
      <c r="Q2594" s="1"/>
      <c r="R2594" s="1"/>
      <c r="S2594" s="1"/>
      <c r="T2594" s="1"/>
      <c r="U2594" s="1"/>
      <c r="V2594" s="1"/>
      <c r="W2594" s="1"/>
      <c r="X2594" s="1"/>
    </row>
    <row x14ac:dyDescent="0.25" r="2595" customHeight="1" ht="18.75">
      <c r="A2595" s="1"/>
      <c r="B2595" s="1"/>
      <c r="C2595" s="3" t="s">
        <v>1861</v>
      </c>
      <c r="D2595" s="3" t="s">
        <v>2626</v>
      </c>
      <c r="E2595" s="1"/>
      <c r="F2595" s="1"/>
      <c r="G2595" s="1"/>
      <c r="H2595" s="1"/>
      <c r="I2595" s="2"/>
      <c r="J2595" s="1"/>
      <c r="K2595" s="1"/>
      <c r="L2595" s="1"/>
      <c r="M2595" s="1"/>
      <c r="N2595" s="1"/>
      <c r="O2595" s="1"/>
      <c r="P2595" s="1"/>
      <c r="Q2595" s="1"/>
      <c r="R2595" s="1"/>
      <c r="S2595" s="1"/>
      <c r="T2595" s="1"/>
      <c r="U2595" s="1"/>
      <c r="V2595" s="1"/>
      <c r="W2595" s="1"/>
      <c r="X2595" s="1"/>
    </row>
    <row x14ac:dyDescent="0.25" r="2596" customHeight="1" ht="18.75">
      <c r="A2596" s="1"/>
      <c r="B2596" s="1"/>
      <c r="C2596" s="3" t="s">
        <v>1861</v>
      </c>
      <c r="D2596" s="3" t="s">
        <v>2627</v>
      </c>
      <c r="E2596" s="1"/>
      <c r="F2596" s="1"/>
      <c r="G2596" s="1"/>
      <c r="H2596" s="1"/>
      <c r="I2596" s="2"/>
      <c r="J2596" s="1"/>
      <c r="K2596" s="1"/>
      <c r="L2596" s="1"/>
      <c r="M2596" s="1"/>
      <c r="N2596" s="1"/>
      <c r="O2596" s="1"/>
      <c r="P2596" s="1"/>
      <c r="Q2596" s="1"/>
      <c r="R2596" s="1"/>
      <c r="S2596" s="1"/>
      <c r="T2596" s="1"/>
      <c r="U2596" s="1"/>
      <c r="V2596" s="1"/>
      <c r="W2596" s="1"/>
      <c r="X2596" s="1"/>
    </row>
    <row x14ac:dyDescent="0.25" r="2597" customHeight="1" ht="18.75">
      <c r="A2597" s="1"/>
      <c r="B2597" s="1"/>
      <c r="C2597" s="3" t="s">
        <v>1861</v>
      </c>
      <c r="D2597" s="3" t="s">
        <v>2628</v>
      </c>
      <c r="E2597" s="1"/>
      <c r="F2597" s="1"/>
      <c r="G2597" s="1"/>
      <c r="H2597" s="1"/>
      <c r="I2597" s="2"/>
      <c r="J2597" s="1"/>
      <c r="K2597" s="1"/>
      <c r="L2597" s="1"/>
      <c r="M2597" s="1"/>
      <c r="N2597" s="1"/>
      <c r="O2597" s="1"/>
      <c r="P2597" s="1"/>
      <c r="Q2597" s="1"/>
      <c r="R2597" s="1"/>
      <c r="S2597" s="1"/>
      <c r="T2597" s="1"/>
      <c r="U2597" s="1"/>
      <c r="V2597" s="1"/>
      <c r="W2597" s="1"/>
      <c r="X2597" s="1"/>
    </row>
    <row x14ac:dyDescent="0.25" r="2598" customHeight="1" ht="18.75">
      <c r="A2598" s="1"/>
      <c r="B2598" s="1"/>
      <c r="C2598" s="3" t="s">
        <v>1861</v>
      </c>
      <c r="D2598" s="3" t="s">
        <v>2629</v>
      </c>
      <c r="E2598" s="1"/>
      <c r="F2598" s="1"/>
      <c r="G2598" s="1"/>
      <c r="H2598" s="1"/>
      <c r="I2598" s="2"/>
      <c r="J2598" s="1"/>
      <c r="K2598" s="1"/>
      <c r="L2598" s="1"/>
      <c r="M2598" s="1"/>
      <c r="N2598" s="1"/>
      <c r="O2598" s="1"/>
      <c r="P2598" s="1"/>
      <c r="Q2598" s="1"/>
      <c r="R2598" s="1"/>
      <c r="S2598" s="1"/>
      <c r="T2598" s="1"/>
      <c r="U2598" s="1"/>
      <c r="V2598" s="1"/>
      <c r="W2598" s="1"/>
      <c r="X2598" s="1"/>
    </row>
    <row x14ac:dyDescent="0.25" r="2599" customHeight="1" ht="18.75">
      <c r="A2599" s="1"/>
      <c r="B2599" s="1"/>
      <c r="C2599" s="3" t="s">
        <v>1861</v>
      </c>
      <c r="D2599" s="3" t="s">
        <v>2630</v>
      </c>
      <c r="E2599" s="1"/>
      <c r="F2599" s="1"/>
      <c r="G2599" s="1"/>
      <c r="H2599" s="1"/>
      <c r="I2599" s="2"/>
      <c r="J2599" s="1"/>
      <c r="K2599" s="1"/>
      <c r="L2599" s="1"/>
      <c r="M2599" s="1"/>
      <c r="N2599" s="1"/>
      <c r="O2599" s="1"/>
      <c r="P2599" s="1"/>
      <c r="Q2599" s="1"/>
      <c r="R2599" s="1"/>
      <c r="S2599" s="1"/>
      <c r="T2599" s="1"/>
      <c r="U2599" s="1"/>
      <c r="V2599" s="1"/>
      <c r="W2599" s="1"/>
      <c r="X2599" s="1"/>
    </row>
    <row x14ac:dyDescent="0.25" r="2600" customHeight="1" ht="18.75">
      <c r="A2600" s="1"/>
      <c r="B2600" s="1"/>
      <c r="C2600" s="3" t="s">
        <v>1861</v>
      </c>
      <c r="D2600" s="3" t="s">
        <v>2631</v>
      </c>
      <c r="E2600" s="1"/>
      <c r="F2600" s="1"/>
      <c r="G2600" s="1"/>
      <c r="H2600" s="1"/>
      <c r="I2600" s="2"/>
      <c r="J2600" s="1"/>
      <c r="K2600" s="1"/>
      <c r="L2600" s="1"/>
      <c r="M2600" s="1"/>
      <c r="N2600" s="1"/>
      <c r="O2600" s="1"/>
      <c r="P2600" s="1"/>
      <c r="Q2600" s="1"/>
      <c r="R2600" s="1"/>
      <c r="S2600" s="1"/>
      <c r="T2600" s="1"/>
      <c r="U2600" s="1"/>
      <c r="V2600" s="1"/>
      <c r="W2600" s="1"/>
      <c r="X2600" s="1"/>
    </row>
    <row x14ac:dyDescent="0.25" r="2601" customHeight="1" ht="18.75">
      <c r="A2601" s="1"/>
      <c r="B2601" s="1"/>
      <c r="C2601" s="3" t="s">
        <v>1861</v>
      </c>
      <c r="D2601" s="3" t="s">
        <v>2632</v>
      </c>
      <c r="E2601" s="1"/>
      <c r="F2601" s="1"/>
      <c r="G2601" s="1"/>
      <c r="H2601" s="1"/>
      <c r="I2601" s="2"/>
      <c r="J2601" s="1"/>
      <c r="K2601" s="1"/>
      <c r="L2601" s="1"/>
      <c r="M2601" s="1"/>
      <c r="N2601" s="1"/>
      <c r="O2601" s="1"/>
      <c r="P2601" s="1"/>
      <c r="Q2601" s="1"/>
      <c r="R2601" s="1"/>
      <c r="S2601" s="1"/>
      <c r="T2601" s="1"/>
      <c r="U2601" s="1"/>
      <c r="V2601" s="1"/>
      <c r="W2601" s="1"/>
      <c r="X2601" s="1"/>
    </row>
    <row x14ac:dyDescent="0.25" r="2602" customHeight="1" ht="18.75">
      <c r="A2602" s="1"/>
      <c r="B2602" s="1"/>
      <c r="C2602" s="3" t="s">
        <v>1861</v>
      </c>
      <c r="D2602" s="3" t="s">
        <v>2633</v>
      </c>
      <c r="E2602" s="1"/>
      <c r="F2602" s="1"/>
      <c r="G2602" s="1"/>
      <c r="H2602" s="1"/>
      <c r="I2602" s="2"/>
      <c r="J2602" s="1"/>
      <c r="K2602" s="1"/>
      <c r="L2602" s="1"/>
      <c r="M2602" s="1"/>
      <c r="N2602" s="1"/>
      <c r="O2602" s="1"/>
      <c r="P2602" s="1"/>
      <c r="Q2602" s="1"/>
      <c r="R2602" s="1"/>
      <c r="S2602" s="1"/>
      <c r="T2602" s="1"/>
      <c r="U2602" s="1"/>
      <c r="V2602" s="1"/>
      <c r="W2602" s="1"/>
      <c r="X2602" s="1"/>
    </row>
    <row x14ac:dyDescent="0.25" r="2603" customHeight="1" ht="18.75">
      <c r="A2603" s="1"/>
      <c r="B2603" s="1"/>
      <c r="C2603" s="3" t="s">
        <v>1861</v>
      </c>
      <c r="D2603" s="3" t="s">
        <v>2634</v>
      </c>
      <c r="E2603" s="1"/>
      <c r="F2603" s="1"/>
      <c r="G2603" s="1"/>
      <c r="H2603" s="1"/>
      <c r="I2603" s="2"/>
      <c r="J2603" s="1"/>
      <c r="K2603" s="1"/>
      <c r="L2603" s="1"/>
      <c r="M2603" s="1"/>
      <c r="N2603" s="1"/>
      <c r="O2603" s="1"/>
      <c r="P2603" s="1"/>
      <c r="Q2603" s="1"/>
      <c r="R2603" s="1"/>
      <c r="S2603" s="1"/>
      <c r="T2603" s="1"/>
      <c r="U2603" s="1"/>
      <c r="V2603" s="1"/>
      <c r="W2603" s="1"/>
      <c r="X2603" s="1"/>
    </row>
    <row x14ac:dyDescent="0.25" r="2604" customHeight="1" ht="18.75">
      <c r="A2604" s="1"/>
      <c r="B2604" s="1"/>
      <c r="C2604" s="3" t="s">
        <v>1861</v>
      </c>
      <c r="D2604" s="3" t="s">
        <v>2635</v>
      </c>
      <c r="E2604" s="1"/>
      <c r="F2604" s="1"/>
      <c r="G2604" s="1"/>
      <c r="H2604" s="1"/>
      <c r="I2604" s="2"/>
      <c r="J2604" s="1"/>
      <c r="K2604" s="1"/>
      <c r="L2604" s="1"/>
      <c r="M2604" s="1"/>
      <c r="N2604" s="1"/>
      <c r="O2604" s="1"/>
      <c r="P2604" s="1"/>
      <c r="Q2604" s="1"/>
      <c r="R2604" s="1"/>
      <c r="S2604" s="1"/>
      <c r="T2604" s="1"/>
      <c r="U2604" s="1"/>
      <c r="V2604" s="1"/>
      <c r="W2604" s="1"/>
      <c r="X2604" s="1"/>
    </row>
    <row x14ac:dyDescent="0.25" r="2605" customHeight="1" ht="18.75">
      <c r="A2605" s="1"/>
      <c r="B2605" s="1"/>
      <c r="C2605" s="3" t="s">
        <v>1861</v>
      </c>
      <c r="D2605" s="3" t="s">
        <v>2636</v>
      </c>
      <c r="E2605" s="1"/>
      <c r="F2605" s="1"/>
      <c r="G2605" s="1"/>
      <c r="H2605" s="1"/>
      <c r="I2605" s="2"/>
      <c r="J2605" s="1"/>
      <c r="K2605" s="1"/>
      <c r="L2605" s="1"/>
      <c r="M2605" s="1"/>
      <c r="N2605" s="1"/>
      <c r="O2605" s="1"/>
      <c r="P2605" s="1"/>
      <c r="Q2605" s="1"/>
      <c r="R2605" s="1"/>
      <c r="S2605" s="1"/>
      <c r="T2605" s="1"/>
      <c r="U2605" s="1"/>
      <c r="V2605" s="1"/>
      <c r="W2605" s="1"/>
      <c r="X2605" s="1"/>
    </row>
    <row x14ac:dyDescent="0.25" r="2606" customHeight="1" ht="18.75">
      <c r="A2606" s="1"/>
      <c r="B2606" s="1"/>
      <c r="C2606" s="3" t="s">
        <v>1861</v>
      </c>
      <c r="D2606" s="3" t="s">
        <v>2637</v>
      </c>
      <c r="E2606" s="1"/>
      <c r="F2606" s="1"/>
      <c r="G2606" s="1"/>
      <c r="H2606" s="1"/>
      <c r="I2606" s="2"/>
      <c r="J2606" s="1"/>
      <c r="K2606" s="1"/>
      <c r="L2606" s="1"/>
      <c r="M2606" s="1"/>
      <c r="N2606" s="1"/>
      <c r="O2606" s="1"/>
      <c r="P2606" s="1"/>
      <c r="Q2606" s="1"/>
      <c r="R2606" s="1"/>
      <c r="S2606" s="1"/>
      <c r="T2606" s="1"/>
      <c r="U2606" s="1"/>
      <c r="V2606" s="1"/>
      <c r="W2606" s="1"/>
      <c r="X2606" s="1"/>
    </row>
    <row x14ac:dyDescent="0.25" r="2607" customHeight="1" ht="18.75">
      <c r="A2607" s="1"/>
      <c r="B2607" s="1"/>
      <c r="C2607" s="3" t="s">
        <v>1861</v>
      </c>
      <c r="D2607" s="3" t="s">
        <v>2638</v>
      </c>
      <c r="E2607" s="1"/>
      <c r="F2607" s="1"/>
      <c r="G2607" s="1"/>
      <c r="H2607" s="1"/>
      <c r="I2607" s="2"/>
      <c r="J2607" s="1"/>
      <c r="K2607" s="1"/>
      <c r="L2607" s="1"/>
      <c r="M2607" s="1"/>
      <c r="N2607" s="1"/>
      <c r="O2607" s="1"/>
      <c r="P2607" s="1"/>
      <c r="Q2607" s="1"/>
      <c r="R2607" s="1"/>
      <c r="S2607" s="1"/>
      <c r="T2607" s="1"/>
      <c r="U2607" s="1"/>
      <c r="V2607" s="1"/>
      <c r="W2607" s="1"/>
      <c r="X2607" s="1"/>
    </row>
    <row x14ac:dyDescent="0.25" r="2608" customHeight="1" ht="18.75">
      <c r="A2608" s="1"/>
      <c r="B2608" s="1"/>
      <c r="C2608" s="3" t="s">
        <v>1861</v>
      </c>
      <c r="D2608" s="3" t="s">
        <v>2639</v>
      </c>
      <c r="E2608" s="1"/>
      <c r="F2608" s="1"/>
      <c r="G2608" s="1"/>
      <c r="H2608" s="1"/>
      <c r="I2608" s="2"/>
      <c r="J2608" s="1"/>
      <c r="K2608" s="1"/>
      <c r="L2608" s="1"/>
      <c r="M2608" s="1"/>
      <c r="N2608" s="1"/>
      <c r="O2608" s="1"/>
      <c r="P2608" s="1"/>
      <c r="Q2608" s="1"/>
      <c r="R2608" s="1"/>
      <c r="S2608" s="1"/>
      <c r="T2608" s="1"/>
      <c r="U2608" s="1"/>
      <c r="V2608" s="1"/>
      <c r="W2608" s="1"/>
      <c r="X2608" s="1"/>
    </row>
    <row x14ac:dyDescent="0.25" r="2609" customHeight="1" ht="18.75">
      <c r="A2609" s="1"/>
      <c r="B2609" s="1"/>
      <c r="C2609" s="3" t="s">
        <v>1861</v>
      </c>
      <c r="D2609" s="3" t="s">
        <v>2640</v>
      </c>
      <c r="E2609" s="1"/>
      <c r="F2609" s="1"/>
      <c r="G2609" s="1"/>
      <c r="H2609" s="1"/>
      <c r="I2609" s="2"/>
      <c r="J2609" s="1"/>
      <c r="K2609" s="1"/>
      <c r="L2609" s="1"/>
      <c r="M2609" s="1"/>
      <c r="N2609" s="1"/>
      <c r="O2609" s="1"/>
      <c r="P2609" s="1"/>
      <c r="Q2609" s="1"/>
      <c r="R2609" s="1"/>
      <c r="S2609" s="1"/>
      <c r="T2609" s="1"/>
      <c r="U2609" s="1"/>
      <c r="V2609" s="1"/>
      <c r="W2609" s="1"/>
      <c r="X2609" s="1"/>
    </row>
    <row x14ac:dyDescent="0.25" r="2610" customHeight="1" ht="18.75">
      <c r="A2610" s="1"/>
      <c r="B2610" s="1"/>
      <c r="C2610" s="3" t="s">
        <v>1861</v>
      </c>
      <c r="D2610" s="3" t="s">
        <v>2641</v>
      </c>
      <c r="E2610" s="1"/>
      <c r="F2610" s="1"/>
      <c r="G2610" s="1"/>
      <c r="H2610" s="1"/>
      <c r="I2610" s="2"/>
      <c r="J2610" s="1"/>
      <c r="K2610" s="1"/>
      <c r="L2610" s="1"/>
      <c r="M2610" s="1"/>
      <c r="N2610" s="1"/>
      <c r="O2610" s="1"/>
      <c r="P2610" s="1"/>
      <c r="Q2610" s="1"/>
      <c r="R2610" s="1"/>
      <c r="S2610" s="1"/>
      <c r="T2610" s="1"/>
      <c r="U2610" s="1"/>
      <c r="V2610" s="1"/>
      <c r="W2610" s="1"/>
      <c r="X2610" s="1"/>
    </row>
    <row x14ac:dyDescent="0.25" r="2611" customHeight="1" ht="18.75">
      <c r="A2611" s="1"/>
      <c r="B2611" s="1"/>
      <c r="C2611" s="3" t="s">
        <v>1861</v>
      </c>
      <c r="D2611" s="3" t="s">
        <v>2642</v>
      </c>
      <c r="E2611" s="1"/>
      <c r="F2611" s="1"/>
      <c r="G2611" s="1"/>
      <c r="H2611" s="1"/>
      <c r="I2611" s="2"/>
      <c r="J2611" s="1"/>
      <c r="K2611" s="1"/>
      <c r="L2611" s="1"/>
      <c r="M2611" s="1"/>
      <c r="N2611" s="1"/>
      <c r="O2611" s="1"/>
      <c r="P2611" s="1"/>
      <c r="Q2611" s="1"/>
      <c r="R2611" s="1"/>
      <c r="S2611" s="1"/>
      <c r="T2611" s="1"/>
      <c r="U2611" s="1"/>
      <c r="V2611" s="1"/>
      <c r="W2611" s="1"/>
      <c r="X2611" s="1"/>
    </row>
    <row x14ac:dyDescent="0.25" r="2612" customHeight="1" ht="18.75">
      <c r="A2612" s="1"/>
      <c r="B2612" s="1"/>
      <c r="C2612" s="3" t="s">
        <v>1861</v>
      </c>
      <c r="D2612" s="3" t="s">
        <v>2643</v>
      </c>
      <c r="E2612" s="1"/>
      <c r="F2612" s="1"/>
      <c r="G2612" s="1"/>
      <c r="H2612" s="1"/>
      <c r="I2612" s="2"/>
      <c r="J2612" s="1"/>
      <c r="K2612" s="1"/>
      <c r="L2612" s="1"/>
      <c r="M2612" s="1"/>
      <c r="N2612" s="1"/>
      <c r="O2612" s="1"/>
      <c r="P2612" s="1"/>
      <c r="Q2612" s="1"/>
      <c r="R2612" s="1"/>
      <c r="S2612" s="1"/>
      <c r="T2612" s="1"/>
      <c r="U2612" s="1"/>
      <c r="V2612" s="1"/>
      <c r="W2612" s="1"/>
      <c r="X2612" s="1"/>
    </row>
    <row x14ac:dyDescent="0.25" r="2613" customHeight="1" ht="18.75">
      <c r="A2613" s="1"/>
      <c r="B2613" s="1"/>
      <c r="C2613" s="3" t="s">
        <v>1861</v>
      </c>
      <c r="D2613" s="3" t="s">
        <v>2644</v>
      </c>
      <c r="E2613" s="1"/>
      <c r="F2613" s="1"/>
      <c r="G2613" s="1"/>
      <c r="H2613" s="1"/>
      <c r="I2613" s="2"/>
      <c r="J2613" s="1"/>
      <c r="K2613" s="1"/>
      <c r="L2613" s="1"/>
      <c r="M2613" s="1"/>
      <c r="N2613" s="1"/>
      <c r="O2613" s="1"/>
      <c r="P2613" s="1"/>
      <c r="Q2613" s="1"/>
      <c r="R2613" s="1"/>
      <c r="S2613" s="1"/>
      <c r="T2613" s="1"/>
      <c r="U2613" s="1"/>
      <c r="V2613" s="1"/>
      <c r="W2613" s="1"/>
      <c r="X2613" s="1"/>
    </row>
    <row x14ac:dyDescent="0.25" r="2614" customHeight="1" ht="18.75">
      <c r="A2614" s="1"/>
      <c r="B2614" s="1"/>
      <c r="C2614" s="3" t="s">
        <v>1861</v>
      </c>
      <c r="D2614" s="3" t="s">
        <v>2645</v>
      </c>
      <c r="E2614" s="1"/>
      <c r="F2614" s="1"/>
      <c r="G2614" s="1"/>
      <c r="H2614" s="1"/>
      <c r="I2614" s="2"/>
      <c r="J2614" s="1"/>
      <c r="K2614" s="1"/>
      <c r="L2614" s="1"/>
      <c r="M2614" s="1"/>
      <c r="N2614" s="1"/>
      <c r="O2614" s="1"/>
      <c r="P2614" s="1"/>
      <c r="Q2614" s="1"/>
      <c r="R2614" s="1"/>
      <c r="S2614" s="1"/>
      <c r="T2614" s="1"/>
      <c r="U2614" s="1"/>
      <c r="V2614" s="1"/>
      <c r="W2614" s="1"/>
      <c r="X2614" s="1"/>
    </row>
    <row x14ac:dyDescent="0.25" r="2615" customHeight="1" ht="18.75">
      <c r="A2615" s="1"/>
      <c r="B2615" s="1"/>
      <c r="C2615" s="3" t="s">
        <v>1861</v>
      </c>
      <c r="D2615" s="3" t="s">
        <v>2646</v>
      </c>
      <c r="E2615" s="1"/>
      <c r="F2615" s="1"/>
      <c r="G2615" s="1"/>
      <c r="H2615" s="1"/>
      <c r="I2615" s="2"/>
      <c r="J2615" s="1"/>
      <c r="K2615" s="1"/>
      <c r="L2615" s="1"/>
      <c r="M2615" s="1"/>
      <c r="N2615" s="1"/>
      <c r="O2615" s="1"/>
      <c r="P2615" s="1"/>
      <c r="Q2615" s="1"/>
      <c r="R2615" s="1"/>
      <c r="S2615" s="1"/>
      <c r="T2615" s="1"/>
      <c r="U2615" s="1"/>
      <c r="V2615" s="1"/>
      <c r="W2615" s="1"/>
      <c r="X2615" s="1"/>
    </row>
    <row x14ac:dyDescent="0.25" r="2616" customHeight="1" ht="18.75">
      <c r="A2616" s="1"/>
      <c r="B2616" s="1"/>
      <c r="C2616" s="3" t="s">
        <v>1861</v>
      </c>
      <c r="D2616" s="3" t="s">
        <v>2647</v>
      </c>
      <c r="E2616" s="1"/>
      <c r="F2616" s="1"/>
      <c r="G2616" s="1"/>
      <c r="H2616" s="1"/>
      <c r="I2616" s="2"/>
      <c r="J2616" s="1"/>
      <c r="K2616" s="1"/>
      <c r="L2616" s="1"/>
      <c r="M2616" s="1"/>
      <c r="N2616" s="1"/>
      <c r="O2616" s="1"/>
      <c r="P2616" s="1"/>
      <c r="Q2616" s="1"/>
      <c r="R2616" s="1"/>
      <c r="S2616" s="1"/>
      <c r="T2616" s="1"/>
      <c r="U2616" s="1"/>
      <c r="V2616" s="1"/>
      <c r="W2616" s="1"/>
      <c r="X2616" s="1"/>
    </row>
    <row x14ac:dyDescent="0.25" r="2617" customHeight="1" ht="18.75">
      <c r="A2617" s="1"/>
      <c r="B2617" s="1"/>
      <c r="C2617" s="3" t="s">
        <v>1861</v>
      </c>
      <c r="D2617" s="3" t="s">
        <v>2648</v>
      </c>
      <c r="E2617" s="1"/>
      <c r="F2617" s="1"/>
      <c r="G2617" s="1"/>
      <c r="H2617" s="1"/>
      <c r="I2617" s="2"/>
      <c r="J2617" s="1"/>
      <c r="K2617" s="1"/>
      <c r="L2617" s="1"/>
      <c r="M2617" s="1"/>
      <c r="N2617" s="1"/>
      <c r="O2617" s="1"/>
      <c r="P2617" s="1"/>
      <c r="Q2617" s="1"/>
      <c r="R2617" s="1"/>
      <c r="S2617" s="1"/>
      <c r="T2617" s="1"/>
      <c r="U2617" s="1"/>
      <c r="V2617" s="1"/>
      <c r="W2617" s="1"/>
      <c r="X2617" s="1"/>
    </row>
    <row x14ac:dyDescent="0.25" r="2618" customHeight="1" ht="18.75">
      <c r="A2618" s="1"/>
      <c r="B2618" s="1"/>
      <c r="C2618" s="3" t="s">
        <v>1861</v>
      </c>
      <c r="D2618" s="3" t="s">
        <v>2649</v>
      </c>
      <c r="E2618" s="1"/>
      <c r="F2618" s="1"/>
      <c r="G2618" s="1"/>
      <c r="H2618" s="1"/>
      <c r="I2618" s="2"/>
      <c r="J2618" s="1"/>
      <c r="K2618" s="1"/>
      <c r="L2618" s="1"/>
      <c r="M2618" s="1"/>
      <c r="N2618" s="1"/>
      <c r="O2618" s="1"/>
      <c r="P2618" s="1"/>
      <c r="Q2618" s="1"/>
      <c r="R2618" s="1"/>
      <c r="S2618" s="1"/>
      <c r="T2618" s="1"/>
      <c r="U2618" s="1"/>
      <c r="V2618" s="1"/>
      <c r="W2618" s="1"/>
      <c r="X2618" s="1"/>
    </row>
    <row x14ac:dyDescent="0.25" r="2619" customHeight="1" ht="18.75">
      <c r="A2619" s="1"/>
      <c r="B2619" s="1"/>
      <c r="C2619" s="3" t="s">
        <v>1861</v>
      </c>
      <c r="D2619" s="3" t="s">
        <v>2650</v>
      </c>
      <c r="E2619" s="1"/>
      <c r="F2619" s="1"/>
      <c r="G2619" s="1"/>
      <c r="H2619" s="1"/>
      <c r="I2619" s="2"/>
      <c r="J2619" s="1"/>
      <c r="K2619" s="1"/>
      <c r="L2619" s="1"/>
      <c r="M2619" s="1"/>
      <c r="N2619" s="1"/>
      <c r="O2619" s="1"/>
      <c r="P2619" s="1"/>
      <c r="Q2619" s="1"/>
      <c r="R2619" s="1"/>
      <c r="S2619" s="1"/>
      <c r="T2619" s="1"/>
      <c r="U2619" s="1"/>
      <c r="V2619" s="1"/>
      <c r="W2619" s="1"/>
      <c r="X2619" s="1"/>
    </row>
    <row x14ac:dyDescent="0.25" r="2620" customHeight="1" ht="18.75">
      <c r="A2620" s="1"/>
      <c r="B2620" s="1"/>
      <c r="C2620" s="3" t="s">
        <v>1861</v>
      </c>
      <c r="D2620" s="3" t="s">
        <v>2651</v>
      </c>
      <c r="E2620" s="1"/>
      <c r="F2620" s="1"/>
      <c r="G2620" s="1"/>
      <c r="H2620" s="1"/>
      <c r="I2620" s="2"/>
      <c r="J2620" s="1"/>
      <c r="K2620" s="1"/>
      <c r="L2620" s="1"/>
      <c r="M2620" s="1"/>
      <c r="N2620" s="1"/>
      <c r="O2620" s="1"/>
      <c r="P2620" s="1"/>
      <c r="Q2620" s="1"/>
      <c r="R2620" s="1"/>
      <c r="S2620" s="1"/>
      <c r="T2620" s="1"/>
      <c r="U2620" s="1"/>
      <c r="V2620" s="1"/>
      <c r="W2620" s="1"/>
      <c r="X2620" s="1"/>
    </row>
    <row x14ac:dyDescent="0.25" r="2621" customHeight="1" ht="18.75">
      <c r="A2621" s="1"/>
      <c r="B2621" s="1"/>
      <c r="C2621" s="3" t="s">
        <v>1861</v>
      </c>
      <c r="D2621" s="3" t="s">
        <v>2652</v>
      </c>
      <c r="E2621" s="1"/>
      <c r="F2621" s="1"/>
      <c r="G2621" s="1"/>
      <c r="H2621" s="1"/>
      <c r="I2621" s="2"/>
      <c r="J2621" s="1"/>
      <c r="K2621" s="1"/>
      <c r="L2621" s="1"/>
      <c r="M2621" s="1"/>
      <c r="N2621" s="1"/>
      <c r="O2621" s="1"/>
      <c r="P2621" s="1"/>
      <c r="Q2621" s="1"/>
      <c r="R2621" s="1"/>
      <c r="S2621" s="1"/>
      <c r="T2621" s="1"/>
      <c r="U2621" s="1"/>
      <c r="V2621" s="1"/>
      <c r="W2621" s="1"/>
      <c r="X2621" s="1"/>
    </row>
    <row x14ac:dyDescent="0.25" r="2622" customHeight="1" ht="18.75">
      <c r="A2622" s="1"/>
      <c r="B2622" s="1"/>
      <c r="C2622" s="3" t="s">
        <v>1861</v>
      </c>
      <c r="D2622" s="3" t="s">
        <v>2653</v>
      </c>
      <c r="E2622" s="1"/>
      <c r="F2622" s="1"/>
      <c r="G2622" s="1"/>
      <c r="H2622" s="1"/>
      <c r="I2622" s="2"/>
      <c r="J2622" s="1"/>
      <c r="K2622" s="1"/>
      <c r="L2622" s="1"/>
      <c r="M2622" s="1"/>
      <c r="N2622" s="1"/>
      <c r="O2622" s="1"/>
      <c r="P2622" s="1"/>
      <c r="Q2622" s="1"/>
      <c r="R2622" s="1"/>
      <c r="S2622" s="1"/>
      <c r="T2622" s="1"/>
      <c r="U2622" s="1"/>
      <c r="V2622" s="1"/>
      <c r="W2622" s="1"/>
      <c r="X2622" s="1"/>
    </row>
    <row x14ac:dyDescent="0.25" r="2623" customHeight="1" ht="18.75">
      <c r="A2623" s="1"/>
      <c r="B2623" s="1"/>
      <c r="C2623" s="3" t="s">
        <v>1861</v>
      </c>
      <c r="D2623" s="3" t="s">
        <v>2654</v>
      </c>
      <c r="E2623" s="1"/>
      <c r="F2623" s="1"/>
      <c r="G2623" s="1"/>
      <c r="H2623" s="1"/>
      <c r="I2623" s="2"/>
      <c r="J2623" s="1"/>
      <c r="K2623" s="1"/>
      <c r="L2623" s="1"/>
      <c r="M2623" s="1"/>
      <c r="N2623" s="1"/>
      <c r="O2623" s="1"/>
      <c r="P2623" s="1"/>
      <c r="Q2623" s="1"/>
      <c r="R2623" s="1"/>
      <c r="S2623" s="1"/>
      <c r="T2623" s="1"/>
      <c r="U2623" s="1"/>
      <c r="V2623" s="1"/>
      <c r="W2623" s="1"/>
      <c r="X2623" s="1"/>
    </row>
    <row x14ac:dyDescent="0.25" r="2624" customHeight="1" ht="18.75">
      <c r="A2624" s="1"/>
      <c r="B2624" s="1"/>
      <c r="C2624" s="3" t="s">
        <v>1861</v>
      </c>
      <c r="D2624" s="3" t="s">
        <v>2655</v>
      </c>
      <c r="E2624" s="1"/>
      <c r="F2624" s="1"/>
      <c r="G2624" s="1"/>
      <c r="H2624" s="1"/>
      <c r="I2624" s="2"/>
      <c r="J2624" s="1"/>
      <c r="K2624" s="1"/>
      <c r="L2624" s="1"/>
      <c r="M2624" s="1"/>
      <c r="N2624" s="1"/>
      <c r="O2624" s="1"/>
      <c r="P2624" s="1"/>
      <c r="Q2624" s="1"/>
      <c r="R2624" s="1"/>
      <c r="S2624" s="1"/>
      <c r="T2624" s="1"/>
      <c r="U2624" s="1"/>
      <c r="V2624" s="1"/>
      <c r="W2624" s="1"/>
      <c r="X2624" s="1"/>
    </row>
    <row x14ac:dyDescent="0.25" r="2625" customHeight="1" ht="18.75">
      <c r="A2625" s="1"/>
      <c r="B2625" s="1"/>
      <c r="C2625" s="3" t="s">
        <v>1861</v>
      </c>
      <c r="D2625" s="3" t="s">
        <v>2656</v>
      </c>
      <c r="E2625" s="1"/>
      <c r="F2625" s="1"/>
      <c r="G2625" s="1"/>
      <c r="H2625" s="1"/>
      <c r="I2625" s="2"/>
      <c r="J2625" s="1"/>
      <c r="K2625" s="1"/>
      <c r="L2625" s="1"/>
      <c r="M2625" s="1"/>
      <c r="N2625" s="1"/>
      <c r="O2625" s="1"/>
      <c r="P2625" s="1"/>
      <c r="Q2625" s="1"/>
      <c r="R2625" s="1"/>
      <c r="S2625" s="1"/>
      <c r="T2625" s="1"/>
      <c r="U2625" s="1"/>
      <c r="V2625" s="1"/>
      <c r="W2625" s="1"/>
      <c r="X2625" s="1"/>
    </row>
    <row x14ac:dyDescent="0.25" r="2626" customHeight="1" ht="18.75">
      <c r="A2626" s="1"/>
      <c r="B2626" s="1"/>
      <c r="C2626" s="3" t="s">
        <v>1861</v>
      </c>
      <c r="D2626" s="3" t="s">
        <v>2657</v>
      </c>
      <c r="E2626" s="1"/>
      <c r="F2626" s="1"/>
      <c r="G2626" s="1"/>
      <c r="H2626" s="1"/>
      <c r="I2626" s="2"/>
      <c r="J2626" s="1"/>
      <c r="K2626" s="1"/>
      <c r="L2626" s="1"/>
      <c r="M2626" s="1"/>
      <c r="N2626" s="1"/>
      <c r="O2626" s="1"/>
      <c r="P2626" s="1"/>
      <c r="Q2626" s="1"/>
      <c r="R2626" s="1"/>
      <c r="S2626" s="1"/>
      <c r="T2626" s="1"/>
      <c r="U2626" s="1"/>
      <c r="V2626" s="1"/>
      <c r="W2626" s="1"/>
      <c r="X2626" s="1"/>
    </row>
    <row x14ac:dyDescent="0.25" r="2627" customHeight="1" ht="18.75">
      <c r="A2627" s="1"/>
      <c r="B2627" s="1"/>
      <c r="C2627" s="3" t="s">
        <v>1861</v>
      </c>
      <c r="D2627" s="3" t="s">
        <v>2658</v>
      </c>
      <c r="E2627" s="1"/>
      <c r="F2627" s="1"/>
      <c r="G2627" s="1"/>
      <c r="H2627" s="1"/>
      <c r="I2627" s="2"/>
      <c r="J2627" s="1"/>
      <c r="K2627" s="1"/>
      <c r="L2627" s="1"/>
      <c r="M2627" s="1"/>
      <c r="N2627" s="1"/>
      <c r="O2627" s="1"/>
      <c r="P2627" s="1"/>
      <c r="Q2627" s="1"/>
      <c r="R2627" s="1"/>
      <c r="S2627" s="1"/>
      <c r="T2627" s="1"/>
      <c r="U2627" s="1"/>
      <c r="V2627" s="1"/>
      <c r="W2627" s="1"/>
      <c r="X2627" s="1"/>
    </row>
    <row x14ac:dyDescent="0.25" r="2628" customHeight="1" ht="18.75">
      <c r="A2628" s="1"/>
      <c r="B2628" s="1"/>
      <c r="C2628" s="3" t="s">
        <v>1861</v>
      </c>
      <c r="D2628" s="3" t="s">
        <v>2659</v>
      </c>
      <c r="E2628" s="1"/>
      <c r="F2628" s="1"/>
      <c r="G2628" s="1"/>
      <c r="H2628" s="1"/>
      <c r="I2628" s="2"/>
      <c r="J2628" s="1"/>
      <c r="K2628" s="1"/>
      <c r="L2628" s="1"/>
      <c r="M2628" s="1"/>
      <c r="N2628" s="1"/>
      <c r="O2628" s="1"/>
      <c r="P2628" s="1"/>
      <c r="Q2628" s="1"/>
      <c r="R2628" s="1"/>
      <c r="S2628" s="1"/>
      <c r="T2628" s="1"/>
      <c r="U2628" s="1"/>
      <c r="V2628" s="1"/>
      <c r="W2628" s="1"/>
      <c r="X2628" s="1"/>
    </row>
    <row x14ac:dyDescent="0.25" r="2629" customHeight="1" ht="18.75">
      <c r="A2629" s="1"/>
      <c r="B2629" s="1"/>
      <c r="C2629" s="3" t="s">
        <v>1861</v>
      </c>
      <c r="D2629" s="3" t="s">
        <v>2660</v>
      </c>
      <c r="E2629" s="1"/>
      <c r="F2629" s="1"/>
      <c r="G2629" s="1"/>
      <c r="H2629" s="1"/>
      <c r="I2629" s="2"/>
      <c r="J2629" s="1"/>
      <c r="K2629" s="1"/>
      <c r="L2629" s="1"/>
      <c r="M2629" s="1"/>
      <c r="N2629" s="1"/>
      <c r="O2629" s="1"/>
      <c r="P2629" s="1"/>
      <c r="Q2629" s="1"/>
      <c r="R2629" s="1"/>
      <c r="S2629" s="1"/>
      <c r="T2629" s="1"/>
      <c r="U2629" s="1"/>
      <c r="V2629" s="1"/>
      <c r="W2629" s="1"/>
      <c r="X2629" s="1"/>
    </row>
    <row x14ac:dyDescent="0.25" r="2630" customHeight="1" ht="18.75">
      <c r="A2630" s="1"/>
      <c r="B2630" s="1"/>
      <c r="C2630" s="3" t="s">
        <v>1861</v>
      </c>
      <c r="D2630" s="3" t="s">
        <v>2661</v>
      </c>
      <c r="E2630" s="1"/>
      <c r="F2630" s="1"/>
      <c r="G2630" s="1"/>
      <c r="H2630" s="1"/>
      <c r="I2630" s="2"/>
      <c r="J2630" s="1"/>
      <c r="K2630" s="1"/>
      <c r="L2630" s="1"/>
      <c r="M2630" s="1"/>
      <c r="N2630" s="1"/>
      <c r="O2630" s="1"/>
      <c r="P2630" s="1"/>
      <c r="Q2630" s="1"/>
      <c r="R2630" s="1"/>
      <c r="S2630" s="1"/>
      <c r="T2630" s="1"/>
      <c r="U2630" s="1"/>
      <c r="V2630" s="1"/>
      <c r="W2630" s="1"/>
      <c r="X2630" s="1"/>
    </row>
    <row x14ac:dyDescent="0.25" r="2631" customHeight="1" ht="18.75">
      <c r="A2631" s="1"/>
      <c r="B2631" s="1"/>
      <c r="C2631" s="3" t="s">
        <v>1861</v>
      </c>
      <c r="D2631" s="3" t="s">
        <v>2662</v>
      </c>
      <c r="E2631" s="1"/>
      <c r="F2631" s="1"/>
      <c r="G2631" s="1"/>
      <c r="H2631" s="1"/>
      <c r="I2631" s="2"/>
      <c r="J2631" s="1"/>
      <c r="K2631" s="1"/>
      <c r="L2631" s="1"/>
      <c r="M2631" s="1"/>
      <c r="N2631" s="1"/>
      <c r="O2631" s="1"/>
      <c r="P2631" s="1"/>
      <c r="Q2631" s="1"/>
      <c r="R2631" s="1"/>
      <c r="S2631" s="1"/>
      <c r="T2631" s="1"/>
      <c r="U2631" s="1"/>
      <c r="V2631" s="1"/>
      <c r="W2631" s="1"/>
      <c r="X2631" s="1"/>
    </row>
    <row x14ac:dyDescent="0.25" r="2632" customHeight="1" ht="18.75">
      <c r="A2632" s="1"/>
      <c r="B2632" s="1"/>
      <c r="C2632" s="3" t="s">
        <v>1861</v>
      </c>
      <c r="D2632" s="3" t="s">
        <v>2663</v>
      </c>
      <c r="E2632" s="1"/>
      <c r="F2632" s="1"/>
      <c r="G2632" s="1"/>
      <c r="H2632" s="1"/>
      <c r="I2632" s="2"/>
      <c r="J2632" s="1"/>
      <c r="K2632" s="1"/>
      <c r="L2632" s="1"/>
      <c r="M2632" s="1"/>
      <c r="N2632" s="1"/>
      <c r="O2632" s="1"/>
      <c r="P2632" s="1"/>
      <c r="Q2632" s="1"/>
      <c r="R2632" s="1"/>
      <c r="S2632" s="1"/>
      <c r="T2632" s="1"/>
      <c r="U2632" s="1"/>
      <c r="V2632" s="1"/>
      <c r="W2632" s="1"/>
      <c r="X2632" s="1"/>
    </row>
    <row x14ac:dyDescent="0.25" r="2633" customHeight="1" ht="18.75">
      <c r="A2633" s="1"/>
      <c r="B2633" s="1"/>
      <c r="C2633" s="3" t="s">
        <v>1861</v>
      </c>
      <c r="D2633" s="3" t="s">
        <v>2664</v>
      </c>
      <c r="E2633" s="1"/>
      <c r="F2633" s="1"/>
      <c r="G2633" s="1"/>
      <c r="H2633" s="1"/>
      <c r="I2633" s="2"/>
      <c r="J2633" s="1"/>
      <c r="K2633" s="1"/>
      <c r="L2633" s="1"/>
      <c r="M2633" s="1"/>
      <c r="N2633" s="1"/>
      <c r="O2633" s="1"/>
      <c r="P2633" s="1"/>
      <c r="Q2633" s="1"/>
      <c r="R2633" s="1"/>
      <c r="S2633" s="1"/>
      <c r="T2633" s="1"/>
      <c r="U2633" s="1"/>
      <c r="V2633" s="1"/>
      <c r="W2633" s="1"/>
      <c r="X2633" s="1"/>
    </row>
    <row x14ac:dyDescent="0.25" r="2634" customHeight="1" ht="18.75">
      <c r="A2634" s="1"/>
      <c r="B2634" s="1"/>
      <c r="C2634" s="3" t="s">
        <v>1861</v>
      </c>
      <c r="D2634" s="3" t="s">
        <v>2665</v>
      </c>
      <c r="E2634" s="1"/>
      <c r="F2634" s="1"/>
      <c r="G2634" s="1"/>
      <c r="H2634" s="1"/>
      <c r="I2634" s="2"/>
      <c r="J2634" s="1"/>
      <c r="K2634" s="1"/>
      <c r="L2634" s="1"/>
      <c r="M2634" s="1"/>
      <c r="N2634" s="1"/>
      <c r="O2634" s="1"/>
      <c r="P2634" s="1"/>
      <c r="Q2634" s="1"/>
      <c r="R2634" s="1"/>
      <c r="S2634" s="1"/>
      <c r="T2634" s="1"/>
      <c r="U2634" s="1"/>
      <c r="V2634" s="1"/>
      <c r="W2634" s="1"/>
      <c r="X2634" s="1"/>
    </row>
    <row x14ac:dyDescent="0.25" r="2635" customHeight="1" ht="18.75">
      <c r="A2635" s="1"/>
      <c r="B2635" s="1"/>
      <c r="C2635" s="3" t="s">
        <v>1861</v>
      </c>
      <c r="D2635" s="3" t="s">
        <v>2666</v>
      </c>
      <c r="E2635" s="1"/>
      <c r="F2635" s="1"/>
      <c r="G2635" s="1"/>
      <c r="H2635" s="1"/>
      <c r="I2635" s="2"/>
      <c r="J2635" s="1"/>
      <c r="K2635" s="1"/>
      <c r="L2635" s="1"/>
      <c r="M2635" s="1"/>
      <c r="N2635" s="1"/>
      <c r="O2635" s="1"/>
      <c r="P2635" s="1"/>
      <c r="Q2635" s="1"/>
      <c r="R2635" s="1"/>
      <c r="S2635" s="1"/>
      <c r="T2635" s="1"/>
      <c r="U2635" s="1"/>
      <c r="V2635" s="1"/>
      <c r="W2635" s="1"/>
      <c r="X2635" s="1"/>
    </row>
    <row x14ac:dyDescent="0.25" r="2636" customHeight="1" ht="18.75">
      <c r="A2636" s="1"/>
      <c r="B2636" s="1"/>
      <c r="C2636" s="3" t="s">
        <v>1861</v>
      </c>
      <c r="D2636" s="3" t="s">
        <v>2667</v>
      </c>
      <c r="E2636" s="1"/>
      <c r="F2636" s="1"/>
      <c r="G2636" s="1"/>
      <c r="H2636" s="1"/>
      <c r="I2636" s="2"/>
      <c r="J2636" s="1"/>
      <c r="K2636" s="1"/>
      <c r="L2636" s="1"/>
      <c r="M2636" s="1"/>
      <c r="N2636" s="1"/>
      <c r="O2636" s="1"/>
      <c r="P2636" s="1"/>
      <c r="Q2636" s="1"/>
      <c r="R2636" s="1"/>
      <c r="S2636" s="1"/>
      <c r="T2636" s="1"/>
      <c r="U2636" s="1"/>
      <c r="V2636" s="1"/>
      <c r="W2636" s="1"/>
      <c r="X2636" s="1"/>
    </row>
    <row x14ac:dyDescent="0.25" r="2637" customHeight="1" ht="18.75">
      <c r="A2637" s="1"/>
      <c r="B2637" s="1"/>
      <c r="C2637" s="3" t="s">
        <v>1861</v>
      </c>
      <c r="D2637" s="3" t="s">
        <v>2668</v>
      </c>
      <c r="E2637" s="1"/>
      <c r="F2637" s="1"/>
      <c r="G2637" s="1"/>
      <c r="H2637" s="1"/>
      <c r="I2637" s="2"/>
      <c r="J2637" s="1"/>
      <c r="K2637" s="1"/>
      <c r="L2637" s="1"/>
      <c r="M2637" s="1"/>
      <c r="N2637" s="1"/>
      <c r="O2637" s="1"/>
      <c r="P2637" s="1"/>
      <c r="Q2637" s="1"/>
      <c r="R2637" s="1"/>
      <c r="S2637" s="1"/>
      <c r="T2637" s="1"/>
      <c r="U2637" s="1"/>
      <c r="V2637" s="1"/>
      <c r="W2637" s="1"/>
      <c r="X2637" s="1"/>
    </row>
    <row x14ac:dyDescent="0.25" r="2638" customHeight="1" ht="18.75">
      <c r="A2638" s="1"/>
      <c r="B2638" s="1"/>
      <c r="C2638" s="3" t="s">
        <v>1861</v>
      </c>
      <c r="D2638" s="3" t="s">
        <v>2669</v>
      </c>
      <c r="E2638" s="1"/>
      <c r="F2638" s="1"/>
      <c r="G2638" s="1"/>
      <c r="H2638" s="1"/>
      <c r="I2638" s="2"/>
      <c r="J2638" s="1"/>
      <c r="K2638" s="1"/>
      <c r="L2638" s="1"/>
      <c r="M2638" s="1"/>
      <c r="N2638" s="1"/>
      <c r="O2638" s="1"/>
      <c r="P2638" s="1"/>
      <c r="Q2638" s="1"/>
      <c r="R2638" s="1"/>
      <c r="S2638" s="1"/>
      <c r="T2638" s="1"/>
      <c r="U2638" s="1"/>
      <c r="V2638" s="1"/>
      <c r="W2638" s="1"/>
      <c r="X2638" s="1"/>
    </row>
    <row x14ac:dyDescent="0.25" r="2639" customHeight="1" ht="18.75">
      <c r="A2639" s="1"/>
      <c r="B2639" s="1"/>
      <c r="C2639" s="3" t="s">
        <v>1861</v>
      </c>
      <c r="D2639" s="3" t="s">
        <v>2670</v>
      </c>
      <c r="E2639" s="1"/>
      <c r="F2639" s="1"/>
      <c r="G2639" s="1"/>
      <c r="H2639" s="1"/>
      <c r="I2639" s="2"/>
      <c r="J2639" s="1"/>
      <c r="K2639" s="1"/>
      <c r="L2639" s="1"/>
      <c r="M2639" s="1"/>
      <c r="N2639" s="1"/>
      <c r="O2639" s="1"/>
      <c r="P2639" s="1"/>
      <c r="Q2639" s="1"/>
      <c r="R2639" s="1"/>
      <c r="S2639" s="1"/>
      <c r="T2639" s="1"/>
      <c r="U2639" s="1"/>
      <c r="V2639" s="1"/>
      <c r="W2639" s="1"/>
      <c r="X2639" s="1"/>
    </row>
    <row x14ac:dyDescent="0.25" r="2640" customHeight="1" ht="18.75">
      <c r="A2640" s="1"/>
      <c r="B2640" s="1"/>
      <c r="C2640" s="3" t="s">
        <v>1861</v>
      </c>
      <c r="D2640" s="3" t="s">
        <v>2671</v>
      </c>
      <c r="E2640" s="1"/>
      <c r="F2640" s="1"/>
      <c r="G2640" s="1"/>
      <c r="H2640" s="1"/>
      <c r="I2640" s="2"/>
      <c r="J2640" s="1"/>
      <c r="K2640" s="1"/>
      <c r="L2640" s="1"/>
      <c r="M2640" s="1"/>
      <c r="N2640" s="1"/>
      <c r="O2640" s="1"/>
      <c r="P2640" s="1"/>
      <c r="Q2640" s="1"/>
      <c r="R2640" s="1"/>
      <c r="S2640" s="1"/>
      <c r="T2640" s="1"/>
      <c r="U2640" s="1"/>
      <c r="V2640" s="1"/>
      <c r="W2640" s="1"/>
      <c r="X2640" s="1"/>
    </row>
    <row x14ac:dyDescent="0.25" r="2641" customHeight="1" ht="18.75">
      <c r="A2641" s="1"/>
      <c r="B2641" s="1"/>
      <c r="C2641" s="3" t="s">
        <v>1861</v>
      </c>
      <c r="D2641" s="3" t="s">
        <v>2672</v>
      </c>
      <c r="E2641" s="1"/>
      <c r="F2641" s="1"/>
      <c r="G2641" s="1"/>
      <c r="H2641" s="1"/>
      <c r="I2641" s="2"/>
      <c r="J2641" s="1"/>
      <c r="K2641" s="1"/>
      <c r="L2641" s="1"/>
      <c r="M2641" s="1"/>
      <c r="N2641" s="1"/>
      <c r="O2641" s="1"/>
      <c r="P2641" s="1"/>
      <c r="Q2641" s="1"/>
      <c r="R2641" s="1"/>
      <c r="S2641" s="1"/>
      <c r="T2641" s="1"/>
      <c r="U2641" s="1"/>
      <c r="V2641" s="1"/>
      <c r="W2641" s="1"/>
      <c r="X2641" s="1"/>
    </row>
    <row x14ac:dyDescent="0.25" r="2642" customHeight="1" ht="18.75">
      <c r="A2642" s="1"/>
      <c r="B2642" s="1"/>
      <c r="C2642" s="3" t="s">
        <v>1861</v>
      </c>
      <c r="D2642" s="3" t="s">
        <v>2673</v>
      </c>
      <c r="E2642" s="1"/>
      <c r="F2642" s="1"/>
      <c r="G2642" s="1"/>
      <c r="H2642" s="1"/>
      <c r="I2642" s="2"/>
      <c r="J2642" s="1"/>
      <c r="K2642" s="1"/>
      <c r="L2642" s="1"/>
      <c r="M2642" s="1"/>
      <c r="N2642" s="1"/>
      <c r="O2642" s="1"/>
      <c r="P2642" s="1"/>
      <c r="Q2642" s="1"/>
      <c r="R2642" s="1"/>
      <c r="S2642" s="1"/>
      <c r="T2642" s="1"/>
      <c r="U2642" s="1"/>
      <c r="V2642" s="1"/>
      <c r="W2642" s="1"/>
      <c r="X2642" s="1"/>
    </row>
    <row x14ac:dyDescent="0.25" r="2643" customHeight="1" ht="18.75">
      <c r="A2643" s="1"/>
      <c r="B2643" s="1"/>
      <c r="C2643" s="3" t="s">
        <v>1861</v>
      </c>
      <c r="D2643" s="3" t="s">
        <v>2674</v>
      </c>
      <c r="E2643" s="1"/>
      <c r="F2643" s="1"/>
      <c r="G2643" s="1"/>
      <c r="H2643" s="1"/>
      <c r="I2643" s="2"/>
      <c r="J2643" s="1"/>
      <c r="K2643" s="1"/>
      <c r="L2643" s="1"/>
      <c r="M2643" s="1"/>
      <c r="N2643" s="1"/>
      <c r="O2643" s="1"/>
      <c r="P2643" s="1"/>
      <c r="Q2643" s="1"/>
      <c r="R2643" s="1"/>
      <c r="S2643" s="1"/>
      <c r="T2643" s="1"/>
      <c r="U2643" s="1"/>
      <c r="V2643" s="1"/>
      <c r="W2643" s="1"/>
      <c r="X2643" s="1"/>
    </row>
    <row x14ac:dyDescent="0.25" r="2644" customHeight="1" ht="18.75">
      <c r="A2644" s="1"/>
      <c r="B2644" s="1"/>
      <c r="C2644" s="3" t="s">
        <v>1861</v>
      </c>
      <c r="D2644" s="3" t="s">
        <v>2675</v>
      </c>
      <c r="E2644" s="1"/>
      <c r="F2644" s="1"/>
      <c r="G2644" s="1"/>
      <c r="H2644" s="1"/>
      <c r="I2644" s="2"/>
      <c r="J2644" s="1"/>
      <c r="K2644" s="1"/>
      <c r="L2644" s="1"/>
      <c r="M2644" s="1"/>
      <c r="N2644" s="1"/>
      <c r="O2644" s="1"/>
      <c r="P2644" s="1"/>
      <c r="Q2644" s="1"/>
      <c r="R2644" s="1"/>
      <c r="S2644" s="1"/>
      <c r="T2644" s="1"/>
      <c r="U2644" s="1"/>
      <c r="V2644" s="1"/>
      <c r="W2644" s="1"/>
      <c r="X2644" s="1"/>
    </row>
    <row x14ac:dyDescent="0.25" r="2645" customHeight="1" ht="18.75">
      <c r="A2645" s="1"/>
      <c r="B2645" s="1"/>
      <c r="C2645" s="3" t="s">
        <v>1861</v>
      </c>
      <c r="D2645" s="3" t="s">
        <v>2676</v>
      </c>
      <c r="E2645" s="1"/>
      <c r="F2645" s="1"/>
      <c r="G2645" s="1"/>
      <c r="H2645" s="1"/>
      <c r="I2645" s="2"/>
      <c r="J2645" s="1"/>
      <c r="K2645" s="1"/>
      <c r="L2645" s="1"/>
      <c r="M2645" s="1"/>
      <c r="N2645" s="1"/>
      <c r="O2645" s="1"/>
      <c r="P2645" s="1"/>
      <c r="Q2645" s="1"/>
      <c r="R2645" s="1"/>
      <c r="S2645" s="1"/>
      <c r="T2645" s="1"/>
      <c r="U2645" s="1"/>
      <c r="V2645" s="1"/>
      <c r="W2645" s="1"/>
      <c r="X2645" s="1"/>
    </row>
    <row x14ac:dyDescent="0.25" r="2646" customHeight="1" ht="18.75">
      <c r="A2646" s="1"/>
      <c r="B2646" s="1"/>
      <c r="C2646" s="3" t="s">
        <v>1861</v>
      </c>
      <c r="D2646" s="3" t="s">
        <v>2677</v>
      </c>
      <c r="E2646" s="1"/>
      <c r="F2646" s="1"/>
      <c r="G2646" s="1"/>
      <c r="H2646" s="1"/>
      <c r="I2646" s="2"/>
      <c r="J2646" s="1"/>
      <c r="K2646" s="1"/>
      <c r="L2646" s="1"/>
      <c r="M2646" s="1"/>
      <c r="N2646" s="1"/>
      <c r="O2646" s="1"/>
      <c r="P2646" s="1"/>
      <c r="Q2646" s="1"/>
      <c r="R2646" s="1"/>
      <c r="S2646" s="1"/>
      <c r="T2646" s="1"/>
      <c r="U2646" s="1"/>
      <c r="V2646" s="1"/>
      <c r="W2646" s="1"/>
      <c r="X2646" s="1"/>
    </row>
    <row x14ac:dyDescent="0.25" r="2647" customHeight="1" ht="18.75">
      <c r="A2647" s="1"/>
      <c r="B2647" s="1"/>
      <c r="C2647" s="3" t="s">
        <v>1861</v>
      </c>
      <c r="D2647" s="3" t="s">
        <v>2678</v>
      </c>
      <c r="E2647" s="1"/>
      <c r="F2647" s="1"/>
      <c r="G2647" s="1"/>
      <c r="H2647" s="1"/>
      <c r="I2647" s="2"/>
      <c r="J2647" s="1"/>
      <c r="K2647" s="1"/>
      <c r="L2647" s="1"/>
      <c r="M2647" s="1"/>
      <c r="N2647" s="1"/>
      <c r="O2647" s="1"/>
      <c r="P2647" s="1"/>
      <c r="Q2647" s="1"/>
      <c r="R2647" s="1"/>
      <c r="S2647" s="1"/>
      <c r="T2647" s="1"/>
      <c r="U2647" s="1"/>
      <c r="V2647" s="1"/>
      <c r="W2647" s="1"/>
      <c r="X2647" s="1"/>
    </row>
    <row x14ac:dyDescent="0.25" r="2648" customHeight="1" ht="18.75">
      <c r="A2648" s="1"/>
      <c r="B2648" s="1"/>
      <c r="C2648" s="3" t="s">
        <v>1861</v>
      </c>
      <c r="D2648" s="3" t="s">
        <v>2679</v>
      </c>
      <c r="E2648" s="1"/>
      <c r="F2648" s="1"/>
      <c r="G2648" s="1"/>
      <c r="H2648" s="1"/>
      <c r="I2648" s="2"/>
      <c r="J2648" s="1"/>
      <c r="K2648" s="1"/>
      <c r="L2648" s="1"/>
      <c r="M2648" s="1"/>
      <c r="N2648" s="1"/>
      <c r="O2648" s="1"/>
      <c r="P2648" s="1"/>
      <c r="Q2648" s="1"/>
      <c r="R2648" s="1"/>
      <c r="S2648" s="1"/>
      <c r="T2648" s="1"/>
      <c r="U2648" s="1"/>
      <c r="V2648" s="1"/>
      <c r="W2648" s="1"/>
      <c r="X2648" s="1"/>
    </row>
    <row x14ac:dyDescent="0.25" r="2649" customHeight="1" ht="18.75">
      <c r="A2649" s="1"/>
      <c r="B2649" s="1"/>
      <c r="C2649" s="3" t="s">
        <v>1861</v>
      </c>
      <c r="D2649" s="3" t="s">
        <v>2680</v>
      </c>
      <c r="E2649" s="1"/>
      <c r="F2649" s="1"/>
      <c r="G2649" s="1"/>
      <c r="H2649" s="1"/>
      <c r="I2649" s="2"/>
      <c r="J2649" s="1"/>
      <c r="K2649" s="1"/>
      <c r="L2649" s="1"/>
      <c r="M2649" s="1"/>
      <c r="N2649" s="1"/>
      <c r="O2649" s="1"/>
      <c r="P2649" s="1"/>
      <c r="Q2649" s="1"/>
      <c r="R2649" s="1"/>
      <c r="S2649" s="1"/>
      <c r="T2649" s="1"/>
      <c r="U2649" s="1"/>
      <c r="V2649" s="1"/>
      <c r="W2649" s="1"/>
      <c r="X2649" s="1"/>
    </row>
    <row x14ac:dyDescent="0.25" r="2650" customHeight="1" ht="18.75">
      <c r="A2650" s="1"/>
      <c r="B2650" s="1"/>
      <c r="C2650" s="3" t="s">
        <v>1861</v>
      </c>
      <c r="D2650" s="3" t="s">
        <v>2681</v>
      </c>
      <c r="E2650" s="1"/>
      <c r="F2650" s="1"/>
      <c r="G2650" s="1"/>
      <c r="H2650" s="1"/>
      <c r="I2650" s="2"/>
      <c r="J2650" s="1"/>
      <c r="K2650" s="1"/>
      <c r="L2650" s="1"/>
      <c r="M2650" s="1"/>
      <c r="N2650" s="1"/>
      <c r="O2650" s="1"/>
      <c r="P2650" s="1"/>
      <c r="Q2650" s="1"/>
      <c r="R2650" s="1"/>
      <c r="S2650" s="1"/>
      <c r="T2650" s="1"/>
      <c r="U2650" s="1"/>
      <c r="V2650" s="1"/>
      <c r="W2650" s="1"/>
      <c r="X2650" s="1"/>
    </row>
    <row x14ac:dyDescent="0.25" r="2651" customHeight="1" ht="18.75">
      <c r="A2651" s="1"/>
      <c r="B2651" s="1"/>
      <c r="C2651" s="3" t="s">
        <v>1861</v>
      </c>
      <c r="D2651" s="3" t="s">
        <v>2682</v>
      </c>
      <c r="E2651" s="1"/>
      <c r="F2651" s="1"/>
      <c r="G2651" s="1"/>
      <c r="H2651" s="1"/>
      <c r="I2651" s="2"/>
      <c r="J2651" s="1"/>
      <c r="K2651" s="1"/>
      <c r="L2651" s="1"/>
      <c r="M2651" s="1"/>
      <c r="N2651" s="1"/>
      <c r="O2651" s="1"/>
      <c r="P2651" s="1"/>
      <c r="Q2651" s="1"/>
      <c r="R2651" s="1"/>
      <c r="S2651" s="1"/>
      <c r="T2651" s="1"/>
      <c r="U2651" s="1"/>
      <c r="V2651" s="1"/>
      <c r="W2651" s="1"/>
      <c r="X2651" s="1"/>
    </row>
    <row x14ac:dyDescent="0.25" r="2652" customHeight="1" ht="18.75">
      <c r="A2652" s="1"/>
      <c r="B2652" s="1"/>
      <c r="C2652" s="3" t="s">
        <v>1861</v>
      </c>
      <c r="D2652" s="3" t="s">
        <v>2683</v>
      </c>
      <c r="E2652" s="1"/>
      <c r="F2652" s="1"/>
      <c r="G2652" s="1"/>
      <c r="H2652" s="1"/>
      <c r="I2652" s="2"/>
      <c r="J2652" s="1"/>
      <c r="K2652" s="1"/>
      <c r="L2652" s="1"/>
      <c r="M2652" s="1"/>
      <c r="N2652" s="1"/>
      <c r="O2652" s="1"/>
      <c r="P2652" s="1"/>
      <c r="Q2652" s="1"/>
      <c r="R2652" s="1"/>
      <c r="S2652" s="1"/>
      <c r="T2652" s="1"/>
      <c r="U2652" s="1"/>
      <c r="V2652" s="1"/>
      <c r="W2652" s="1"/>
      <c r="X2652" s="1"/>
    </row>
    <row x14ac:dyDescent="0.25" r="2653" customHeight="1" ht="18.75">
      <c r="A2653" s="1"/>
      <c r="B2653" s="1"/>
      <c r="C2653" s="3" t="s">
        <v>1861</v>
      </c>
      <c r="D2653" s="3" t="s">
        <v>2684</v>
      </c>
      <c r="E2653" s="1"/>
      <c r="F2653" s="1"/>
      <c r="G2653" s="1"/>
      <c r="H2653" s="1"/>
      <c r="I2653" s="2"/>
      <c r="J2653" s="1"/>
      <c r="K2653" s="1"/>
      <c r="L2653" s="1"/>
      <c r="M2653" s="1"/>
      <c r="N2653" s="1"/>
      <c r="O2653" s="1"/>
      <c r="P2653" s="1"/>
      <c r="Q2653" s="1"/>
      <c r="R2653" s="1"/>
      <c r="S2653" s="1"/>
      <c r="T2653" s="1"/>
      <c r="U2653" s="1"/>
      <c r="V2653" s="1"/>
      <c r="W2653" s="1"/>
      <c r="X2653" s="1"/>
    </row>
    <row x14ac:dyDescent="0.25" r="2654" customHeight="1" ht="18.75">
      <c r="A2654" s="1"/>
      <c r="B2654" s="1"/>
      <c r="C2654" s="3" t="s">
        <v>1861</v>
      </c>
      <c r="D2654" s="3" t="s">
        <v>2685</v>
      </c>
      <c r="E2654" s="1"/>
      <c r="F2654" s="1"/>
      <c r="G2654" s="1"/>
      <c r="H2654" s="1"/>
      <c r="I2654" s="2"/>
      <c r="J2654" s="1"/>
      <c r="K2654" s="1"/>
      <c r="L2654" s="1"/>
      <c r="M2654" s="1"/>
      <c r="N2654" s="1"/>
      <c r="O2654" s="1"/>
      <c r="P2654" s="1"/>
      <c r="Q2654" s="1"/>
      <c r="R2654" s="1"/>
      <c r="S2654" s="1"/>
      <c r="T2654" s="1"/>
      <c r="U2654" s="1"/>
      <c r="V2654" s="1"/>
      <c r="W2654" s="1"/>
      <c r="X2654" s="1"/>
    </row>
    <row x14ac:dyDescent="0.25" r="2655" customHeight="1" ht="18.75">
      <c r="A2655" s="1"/>
      <c r="B2655" s="1"/>
      <c r="C2655" s="3" t="s">
        <v>1861</v>
      </c>
      <c r="D2655" s="3" t="s">
        <v>2686</v>
      </c>
      <c r="E2655" s="1"/>
      <c r="F2655" s="1"/>
      <c r="G2655" s="1"/>
      <c r="H2655" s="1"/>
      <c r="I2655" s="2"/>
      <c r="J2655" s="1"/>
      <c r="K2655" s="1"/>
      <c r="L2655" s="1"/>
      <c r="M2655" s="1"/>
      <c r="N2655" s="1"/>
      <c r="O2655" s="1"/>
      <c r="P2655" s="1"/>
      <c r="Q2655" s="1"/>
      <c r="R2655" s="1"/>
      <c r="S2655" s="1"/>
      <c r="T2655" s="1"/>
      <c r="U2655" s="1"/>
      <c r="V2655" s="1"/>
      <c r="W2655" s="1"/>
      <c r="X2655" s="1"/>
    </row>
    <row x14ac:dyDescent="0.25" r="2656" customHeight="1" ht="18.75">
      <c r="A2656" s="1"/>
      <c r="B2656" s="1"/>
      <c r="C2656" s="3" t="s">
        <v>1861</v>
      </c>
      <c r="D2656" s="3" t="s">
        <v>2687</v>
      </c>
      <c r="E2656" s="1"/>
      <c r="F2656" s="1"/>
      <c r="G2656" s="1"/>
      <c r="H2656" s="1"/>
      <c r="I2656" s="2"/>
      <c r="J2656" s="1"/>
      <c r="K2656" s="1"/>
      <c r="L2656" s="1"/>
      <c r="M2656" s="1"/>
      <c r="N2656" s="1"/>
      <c r="O2656" s="1"/>
      <c r="P2656" s="1"/>
      <c r="Q2656" s="1"/>
      <c r="R2656" s="1"/>
      <c r="S2656" s="1"/>
      <c r="T2656" s="1"/>
      <c r="U2656" s="1"/>
      <c r="V2656" s="1"/>
      <c r="W2656" s="1"/>
      <c r="X2656" s="1"/>
    </row>
    <row x14ac:dyDescent="0.25" r="2657" customHeight="1" ht="18.75">
      <c r="A2657" s="1"/>
      <c r="B2657" s="1"/>
      <c r="C2657" s="3" t="s">
        <v>1861</v>
      </c>
      <c r="D2657" s="3" t="s">
        <v>2688</v>
      </c>
      <c r="E2657" s="1"/>
      <c r="F2657" s="1"/>
      <c r="G2657" s="1"/>
      <c r="H2657" s="1"/>
      <c r="I2657" s="2"/>
      <c r="J2657" s="1"/>
      <c r="K2657" s="1"/>
      <c r="L2657" s="1"/>
      <c r="M2657" s="1"/>
      <c r="N2657" s="1"/>
      <c r="O2657" s="1"/>
      <c r="P2657" s="1"/>
      <c r="Q2657" s="1"/>
      <c r="R2657" s="1"/>
      <c r="S2657" s="1"/>
      <c r="T2657" s="1"/>
      <c r="U2657" s="1"/>
      <c r="V2657" s="1"/>
      <c r="W2657" s="1"/>
      <c r="X2657" s="1"/>
    </row>
    <row x14ac:dyDescent="0.25" r="2658" customHeight="1" ht="18.75">
      <c r="A2658" s="1"/>
      <c r="B2658" s="1"/>
      <c r="C2658" s="3" t="s">
        <v>1861</v>
      </c>
      <c r="D2658" s="3" t="s">
        <v>2689</v>
      </c>
      <c r="E2658" s="1"/>
      <c r="F2658" s="1"/>
      <c r="G2658" s="1"/>
      <c r="H2658" s="1"/>
      <c r="I2658" s="2"/>
      <c r="J2658" s="1"/>
      <c r="K2658" s="1"/>
      <c r="L2658" s="1"/>
      <c r="M2658" s="1"/>
      <c r="N2658" s="1"/>
      <c r="O2658" s="1"/>
      <c r="P2658" s="1"/>
      <c r="Q2658" s="1"/>
      <c r="R2658" s="1"/>
      <c r="S2658" s="1"/>
      <c r="T2658" s="1"/>
      <c r="U2658" s="1"/>
      <c r="V2658" s="1"/>
      <c r="W2658" s="1"/>
      <c r="X2658" s="1"/>
    </row>
    <row x14ac:dyDescent="0.25" r="2659" customHeight="1" ht="18.75">
      <c r="A2659" s="1"/>
      <c r="B2659" s="1"/>
      <c r="C2659" s="3" t="s">
        <v>1861</v>
      </c>
      <c r="D2659" s="3" t="s">
        <v>2690</v>
      </c>
      <c r="E2659" s="1"/>
      <c r="F2659" s="1"/>
      <c r="G2659" s="1"/>
      <c r="H2659" s="1"/>
      <c r="I2659" s="2"/>
      <c r="J2659" s="1"/>
      <c r="K2659" s="1"/>
      <c r="L2659" s="1"/>
      <c r="M2659" s="1"/>
      <c r="N2659" s="1"/>
      <c r="O2659" s="1"/>
      <c r="P2659" s="1"/>
      <c r="Q2659" s="1"/>
      <c r="R2659" s="1"/>
      <c r="S2659" s="1"/>
      <c r="T2659" s="1"/>
      <c r="U2659" s="1"/>
      <c r="V2659" s="1"/>
      <c r="W2659" s="1"/>
      <c r="X2659" s="1"/>
    </row>
    <row x14ac:dyDescent="0.25" r="2660" customHeight="1" ht="18.75">
      <c r="A2660" s="1"/>
      <c r="B2660" s="1"/>
      <c r="C2660" s="3" t="s">
        <v>1861</v>
      </c>
      <c r="D2660" s="3" t="s">
        <v>2691</v>
      </c>
      <c r="E2660" s="1"/>
      <c r="F2660" s="1"/>
      <c r="G2660" s="1"/>
      <c r="H2660" s="1"/>
      <c r="I2660" s="2"/>
      <c r="J2660" s="1"/>
      <c r="K2660" s="1"/>
      <c r="L2660" s="1"/>
      <c r="M2660" s="1"/>
      <c r="N2660" s="1"/>
      <c r="O2660" s="1"/>
      <c r="P2660" s="1"/>
      <c r="Q2660" s="1"/>
      <c r="R2660" s="1"/>
      <c r="S2660" s="1"/>
      <c r="T2660" s="1"/>
      <c r="U2660" s="1"/>
      <c r="V2660" s="1"/>
      <c r="W2660" s="1"/>
      <c r="X2660" s="1"/>
    </row>
    <row x14ac:dyDescent="0.25" r="2661" customHeight="1" ht="18.75">
      <c r="A2661" s="1"/>
      <c r="B2661" s="1"/>
      <c r="C2661" s="3" t="s">
        <v>1861</v>
      </c>
      <c r="D2661" s="3" t="s">
        <v>2692</v>
      </c>
      <c r="E2661" s="1"/>
      <c r="F2661" s="1"/>
      <c r="G2661" s="1"/>
      <c r="H2661" s="1"/>
      <c r="I2661" s="2"/>
      <c r="J2661" s="1"/>
      <c r="K2661" s="1"/>
      <c r="L2661" s="1"/>
      <c r="M2661" s="1"/>
      <c r="N2661" s="1"/>
      <c r="O2661" s="1"/>
      <c r="P2661" s="1"/>
      <c r="Q2661" s="1"/>
      <c r="R2661" s="1"/>
      <c r="S2661" s="1"/>
      <c r="T2661" s="1"/>
      <c r="U2661" s="1"/>
      <c r="V2661" s="1"/>
      <c r="W2661" s="1"/>
      <c r="X2661" s="1"/>
    </row>
    <row x14ac:dyDescent="0.25" r="2662" customHeight="1" ht="18.75">
      <c r="A2662" s="1"/>
      <c r="B2662" s="1"/>
      <c r="C2662" s="3" t="s">
        <v>1861</v>
      </c>
      <c r="D2662" s="3" t="s">
        <v>2693</v>
      </c>
      <c r="E2662" s="1"/>
      <c r="F2662" s="1"/>
      <c r="G2662" s="1"/>
      <c r="H2662" s="1"/>
      <c r="I2662" s="2"/>
      <c r="J2662" s="1"/>
      <c r="K2662" s="1"/>
      <c r="L2662" s="1"/>
      <c r="M2662" s="1"/>
      <c r="N2662" s="1"/>
      <c r="O2662" s="1"/>
      <c r="P2662" s="1"/>
      <c r="Q2662" s="1"/>
      <c r="R2662" s="1"/>
      <c r="S2662" s="1"/>
      <c r="T2662" s="1"/>
      <c r="U2662" s="1"/>
      <c r="V2662" s="1"/>
      <c r="W2662" s="1"/>
      <c r="X2662" s="1"/>
    </row>
    <row x14ac:dyDescent="0.25" r="2663" customHeight="1" ht="18.75">
      <c r="A2663" s="1"/>
      <c r="B2663" s="1"/>
      <c r="C2663" s="3" t="s">
        <v>1861</v>
      </c>
      <c r="D2663" s="3" t="s">
        <v>2694</v>
      </c>
      <c r="E2663" s="1"/>
      <c r="F2663" s="1"/>
      <c r="G2663" s="1"/>
      <c r="H2663" s="1"/>
      <c r="I2663" s="2"/>
      <c r="J2663" s="1"/>
      <c r="K2663" s="1"/>
      <c r="L2663" s="1"/>
      <c r="M2663" s="1"/>
      <c r="N2663" s="1"/>
      <c r="O2663" s="1"/>
      <c r="P2663" s="1"/>
      <c r="Q2663" s="1"/>
      <c r="R2663" s="1"/>
      <c r="S2663" s="1"/>
      <c r="T2663" s="1"/>
      <c r="U2663" s="1"/>
      <c r="V2663" s="1"/>
      <c r="W2663" s="1"/>
      <c r="X2663" s="1"/>
    </row>
    <row x14ac:dyDescent="0.25" r="2664" customHeight="1" ht="18.75">
      <c r="A2664" s="1"/>
      <c r="B2664" s="1"/>
      <c r="C2664" s="3" t="s">
        <v>1861</v>
      </c>
      <c r="D2664" s="3" t="s">
        <v>2695</v>
      </c>
      <c r="E2664" s="1"/>
      <c r="F2664" s="1"/>
      <c r="G2664" s="1"/>
      <c r="H2664" s="1"/>
      <c r="I2664" s="2"/>
      <c r="J2664" s="1"/>
      <c r="K2664" s="1"/>
      <c r="L2664" s="1"/>
      <c r="M2664" s="1"/>
      <c r="N2664" s="1"/>
      <c r="O2664" s="1"/>
      <c r="P2664" s="1"/>
      <c r="Q2664" s="1"/>
      <c r="R2664" s="1"/>
      <c r="S2664" s="1"/>
      <c r="T2664" s="1"/>
      <c r="U2664" s="1"/>
      <c r="V2664" s="1"/>
      <c r="W2664" s="1"/>
      <c r="X2664" s="1"/>
    </row>
    <row x14ac:dyDescent="0.25" r="2665" customHeight="1" ht="18.75">
      <c r="A2665" s="1"/>
      <c r="B2665" s="1"/>
      <c r="C2665" s="3" t="s">
        <v>1861</v>
      </c>
      <c r="D2665" s="3" t="s">
        <v>2696</v>
      </c>
      <c r="E2665" s="1"/>
      <c r="F2665" s="1"/>
      <c r="G2665" s="1"/>
      <c r="H2665" s="1"/>
      <c r="I2665" s="2"/>
      <c r="J2665" s="1"/>
      <c r="K2665" s="1"/>
      <c r="L2665" s="1"/>
      <c r="M2665" s="1"/>
      <c r="N2665" s="1"/>
      <c r="O2665" s="1"/>
      <c r="P2665" s="1"/>
      <c r="Q2665" s="1"/>
      <c r="R2665" s="1"/>
      <c r="S2665" s="1"/>
      <c r="T2665" s="1"/>
      <c r="U2665" s="1"/>
      <c r="V2665" s="1"/>
      <c r="W2665" s="1"/>
      <c r="X2665" s="1"/>
    </row>
    <row x14ac:dyDescent="0.25" r="2666" customHeight="1" ht="18.75">
      <c r="A2666" s="1"/>
      <c r="B2666" s="1"/>
      <c r="C2666" s="3" t="s">
        <v>1861</v>
      </c>
      <c r="D2666" s="3" t="s">
        <v>2697</v>
      </c>
      <c r="E2666" s="1"/>
      <c r="F2666" s="1"/>
      <c r="G2666" s="1"/>
      <c r="H2666" s="1"/>
      <c r="I2666" s="2"/>
      <c r="J2666" s="1"/>
      <c r="K2666" s="1"/>
      <c r="L2666" s="1"/>
      <c r="M2666" s="1"/>
      <c r="N2666" s="1"/>
      <c r="O2666" s="1"/>
      <c r="P2666" s="1"/>
      <c r="Q2666" s="1"/>
      <c r="R2666" s="1"/>
      <c r="S2666" s="1"/>
      <c r="T2666" s="1"/>
      <c r="U2666" s="1"/>
      <c r="V2666" s="1"/>
      <c r="W2666" s="1"/>
      <c r="X2666" s="1"/>
    </row>
    <row x14ac:dyDescent="0.25" r="2667" customHeight="1" ht="18.75">
      <c r="A2667" s="1"/>
      <c r="B2667" s="1"/>
      <c r="C2667" s="3" t="s">
        <v>1861</v>
      </c>
      <c r="D2667" s="3" t="s">
        <v>2698</v>
      </c>
      <c r="E2667" s="1"/>
      <c r="F2667" s="1"/>
      <c r="G2667" s="1"/>
      <c r="H2667" s="1"/>
      <c r="I2667" s="2"/>
      <c r="J2667" s="1"/>
      <c r="K2667" s="1"/>
      <c r="L2667" s="1"/>
      <c r="M2667" s="1"/>
      <c r="N2667" s="1"/>
      <c r="O2667" s="1"/>
      <c r="P2667" s="1"/>
      <c r="Q2667" s="1"/>
      <c r="R2667" s="1"/>
      <c r="S2667" s="1"/>
      <c r="T2667" s="1"/>
      <c r="U2667" s="1"/>
      <c r="V2667" s="1"/>
      <c r="W2667" s="1"/>
      <c r="X2667" s="1"/>
    </row>
    <row x14ac:dyDescent="0.25" r="2668" customHeight="1" ht="18.75">
      <c r="A2668" s="1"/>
      <c r="B2668" s="1"/>
      <c r="C2668" s="3" t="s">
        <v>1861</v>
      </c>
      <c r="D2668" s="3" t="s">
        <v>2699</v>
      </c>
      <c r="E2668" s="1"/>
      <c r="F2668" s="1"/>
      <c r="G2668" s="1"/>
      <c r="H2668" s="1"/>
      <c r="I2668" s="2"/>
      <c r="J2668" s="1"/>
      <c r="K2668" s="1"/>
      <c r="L2668" s="1"/>
      <c r="M2668" s="1"/>
      <c r="N2668" s="1"/>
      <c r="O2668" s="1"/>
      <c r="P2668" s="1"/>
      <c r="Q2668" s="1"/>
      <c r="R2668" s="1"/>
      <c r="S2668" s="1"/>
      <c r="T2668" s="1"/>
      <c r="U2668" s="1"/>
      <c r="V2668" s="1"/>
      <c r="W2668" s="1"/>
      <c r="X2668" s="1"/>
    </row>
    <row x14ac:dyDescent="0.25" r="2669" customHeight="1" ht="18.75">
      <c r="A2669" s="1"/>
      <c r="B2669" s="1"/>
      <c r="C2669" s="3" t="s">
        <v>1861</v>
      </c>
      <c r="D2669" s="3" t="s">
        <v>2700</v>
      </c>
      <c r="E2669" s="1"/>
      <c r="F2669" s="1"/>
      <c r="G2669" s="1"/>
      <c r="H2669" s="1"/>
      <c r="I2669" s="2"/>
      <c r="J2669" s="1"/>
      <c r="K2669" s="1"/>
      <c r="L2669" s="1"/>
      <c r="M2669" s="1"/>
      <c r="N2669" s="1"/>
      <c r="O2669" s="1"/>
      <c r="P2669" s="1"/>
      <c r="Q2669" s="1"/>
      <c r="R2669" s="1"/>
      <c r="S2669" s="1"/>
      <c r="T2669" s="1"/>
      <c r="U2669" s="1"/>
      <c r="V2669" s="1"/>
      <c r="W2669" s="1"/>
      <c r="X2669" s="1"/>
    </row>
    <row x14ac:dyDescent="0.25" r="2670" customHeight="1" ht="18.75">
      <c r="A2670" s="1"/>
      <c r="B2670" s="1"/>
      <c r="C2670" s="3" t="s">
        <v>1861</v>
      </c>
      <c r="D2670" s="3" t="s">
        <v>2701</v>
      </c>
      <c r="E2670" s="1"/>
      <c r="F2670" s="1"/>
      <c r="G2670" s="1"/>
      <c r="H2670" s="1"/>
      <c r="I2670" s="2"/>
      <c r="J2670" s="1"/>
      <c r="K2670" s="1"/>
      <c r="L2670" s="1"/>
      <c r="M2670" s="1"/>
      <c r="N2670" s="1"/>
      <c r="O2670" s="1"/>
      <c r="P2670" s="1"/>
      <c r="Q2670" s="1"/>
      <c r="R2670" s="1"/>
      <c r="S2670" s="1"/>
      <c r="T2670" s="1"/>
      <c r="U2670" s="1"/>
      <c r="V2670" s="1"/>
      <c r="W2670" s="1"/>
      <c r="X2670" s="1"/>
    </row>
    <row x14ac:dyDescent="0.25" r="2671" customHeight="1" ht="18.75">
      <c r="A2671" s="1"/>
      <c r="B2671" s="1"/>
      <c r="C2671" s="3" t="s">
        <v>1861</v>
      </c>
      <c r="D2671" s="3" t="s">
        <v>2702</v>
      </c>
      <c r="E2671" s="1"/>
      <c r="F2671" s="1"/>
      <c r="G2671" s="1"/>
      <c r="H2671" s="1"/>
      <c r="I2671" s="2"/>
      <c r="J2671" s="1"/>
      <c r="K2671" s="1"/>
      <c r="L2671" s="1"/>
      <c r="M2671" s="1"/>
      <c r="N2671" s="1"/>
      <c r="O2671" s="1"/>
      <c r="P2671" s="1"/>
      <c r="Q2671" s="1"/>
      <c r="R2671" s="1"/>
      <c r="S2671" s="1"/>
      <c r="T2671" s="1"/>
      <c r="U2671" s="1"/>
      <c r="V2671" s="1"/>
      <c r="W2671" s="1"/>
      <c r="X2671" s="1"/>
    </row>
    <row x14ac:dyDescent="0.25" r="2672" customHeight="1" ht="18.75">
      <c r="A2672" s="1"/>
      <c r="B2672" s="1"/>
      <c r="C2672" s="3" t="s">
        <v>1861</v>
      </c>
      <c r="D2672" s="3" t="s">
        <v>2703</v>
      </c>
      <c r="E2672" s="1"/>
      <c r="F2672" s="1"/>
      <c r="G2672" s="1"/>
      <c r="H2672" s="1"/>
      <c r="I2672" s="2"/>
      <c r="J2672" s="1"/>
      <c r="K2672" s="1"/>
      <c r="L2672" s="1"/>
      <c r="M2672" s="1"/>
      <c r="N2672" s="1"/>
      <c r="O2672" s="1"/>
      <c r="P2672" s="1"/>
      <c r="Q2672" s="1"/>
      <c r="R2672" s="1"/>
      <c r="S2672" s="1"/>
      <c r="T2672" s="1"/>
      <c r="U2672" s="1"/>
      <c r="V2672" s="1"/>
      <c r="W2672" s="1"/>
      <c r="X2672" s="1"/>
    </row>
    <row x14ac:dyDescent="0.25" r="2673" customHeight="1" ht="18.75">
      <c r="A2673" s="1"/>
      <c r="B2673" s="1"/>
      <c r="C2673" s="3" t="s">
        <v>1861</v>
      </c>
      <c r="D2673" s="3" t="s">
        <v>2704</v>
      </c>
      <c r="E2673" s="1"/>
      <c r="F2673" s="1"/>
      <c r="G2673" s="1"/>
      <c r="H2673" s="1"/>
      <c r="I2673" s="2"/>
      <c r="J2673" s="1"/>
      <c r="K2673" s="1"/>
      <c r="L2673" s="1"/>
      <c r="M2673" s="1"/>
      <c r="N2673" s="1"/>
      <c r="O2673" s="1"/>
      <c r="P2673" s="1"/>
      <c r="Q2673" s="1"/>
      <c r="R2673" s="1"/>
      <c r="S2673" s="1"/>
      <c r="T2673" s="1"/>
      <c r="U2673" s="1"/>
      <c r="V2673" s="1"/>
      <c r="W2673" s="1"/>
      <c r="X2673" s="1"/>
    </row>
    <row x14ac:dyDescent="0.25" r="2674" customHeight="1" ht="18.75">
      <c r="A2674" s="1"/>
      <c r="B2674" s="1"/>
      <c r="C2674" s="3" t="s">
        <v>1861</v>
      </c>
      <c r="D2674" s="3" t="s">
        <v>2705</v>
      </c>
      <c r="E2674" s="1"/>
      <c r="F2674" s="1"/>
      <c r="G2674" s="1"/>
      <c r="H2674" s="1"/>
      <c r="I2674" s="2"/>
      <c r="J2674" s="1"/>
      <c r="K2674" s="1"/>
      <c r="L2674" s="1"/>
      <c r="M2674" s="1"/>
      <c r="N2674" s="1"/>
      <c r="O2674" s="1"/>
      <c r="P2674" s="1"/>
      <c r="Q2674" s="1"/>
      <c r="R2674" s="1"/>
      <c r="S2674" s="1"/>
      <c r="T2674" s="1"/>
      <c r="U2674" s="1"/>
      <c r="V2674" s="1"/>
      <c r="W2674" s="1"/>
      <c r="X2674" s="1"/>
    </row>
    <row x14ac:dyDescent="0.25" r="2675" customHeight="1" ht="18.75">
      <c r="A2675" s="1"/>
      <c r="B2675" s="1"/>
      <c r="C2675" s="3" t="s">
        <v>1861</v>
      </c>
      <c r="D2675" s="3" t="s">
        <v>2706</v>
      </c>
      <c r="E2675" s="1"/>
      <c r="F2675" s="1"/>
      <c r="G2675" s="1"/>
      <c r="H2675" s="1"/>
      <c r="I2675" s="2"/>
      <c r="J2675" s="1"/>
      <c r="K2675" s="1"/>
      <c r="L2675" s="1"/>
      <c r="M2675" s="1"/>
      <c r="N2675" s="1"/>
      <c r="O2675" s="1"/>
      <c r="P2675" s="1"/>
      <c r="Q2675" s="1"/>
      <c r="R2675" s="1"/>
      <c r="S2675" s="1"/>
      <c r="T2675" s="1"/>
      <c r="U2675" s="1"/>
      <c r="V2675" s="1"/>
      <c r="W2675" s="1"/>
      <c r="X2675" s="1"/>
    </row>
    <row x14ac:dyDescent="0.25" r="2676" customHeight="1" ht="18.75">
      <c r="A2676" s="1"/>
      <c r="B2676" s="1"/>
      <c r="C2676" s="3" t="s">
        <v>1861</v>
      </c>
      <c r="D2676" s="3" t="s">
        <v>2707</v>
      </c>
      <c r="E2676" s="1"/>
      <c r="F2676" s="1"/>
      <c r="G2676" s="1"/>
      <c r="H2676" s="1"/>
      <c r="I2676" s="2"/>
      <c r="J2676" s="1"/>
      <c r="K2676" s="1"/>
      <c r="L2676" s="1"/>
      <c r="M2676" s="1"/>
      <c r="N2676" s="1"/>
      <c r="O2676" s="1"/>
      <c r="P2676" s="1"/>
      <c r="Q2676" s="1"/>
      <c r="R2676" s="1"/>
      <c r="S2676" s="1"/>
      <c r="T2676" s="1"/>
      <c r="U2676" s="1"/>
      <c r="V2676" s="1"/>
      <c r="W2676" s="1"/>
      <c r="X2676" s="1"/>
    </row>
    <row x14ac:dyDescent="0.25" r="2677" customHeight="1" ht="18.75">
      <c r="A2677" s="1"/>
      <c r="B2677" s="1"/>
      <c r="C2677" s="3" t="s">
        <v>1861</v>
      </c>
      <c r="D2677" s="3" t="s">
        <v>2708</v>
      </c>
      <c r="E2677" s="1"/>
      <c r="F2677" s="1"/>
      <c r="G2677" s="1"/>
      <c r="H2677" s="1"/>
      <c r="I2677" s="2"/>
      <c r="J2677" s="1"/>
      <c r="K2677" s="1"/>
      <c r="L2677" s="1"/>
      <c r="M2677" s="1"/>
      <c r="N2677" s="1"/>
      <c r="O2677" s="1"/>
      <c r="P2677" s="1"/>
      <c r="Q2677" s="1"/>
      <c r="R2677" s="1"/>
      <c r="S2677" s="1"/>
      <c r="T2677" s="1"/>
      <c r="U2677" s="1"/>
      <c r="V2677" s="1"/>
      <c r="W2677" s="1"/>
      <c r="X2677" s="1"/>
    </row>
    <row x14ac:dyDescent="0.25" r="2678" customHeight="1" ht="18.75">
      <c r="A2678" s="1"/>
      <c r="B2678" s="1"/>
      <c r="C2678" s="3" t="s">
        <v>1861</v>
      </c>
      <c r="D2678" s="3" t="s">
        <v>2709</v>
      </c>
      <c r="E2678" s="1"/>
      <c r="F2678" s="1"/>
      <c r="G2678" s="1"/>
      <c r="H2678" s="1"/>
      <c r="I2678" s="2"/>
      <c r="J2678" s="1"/>
      <c r="K2678" s="1"/>
      <c r="L2678" s="1"/>
      <c r="M2678" s="1"/>
      <c r="N2678" s="1"/>
      <c r="O2678" s="1"/>
      <c r="P2678" s="1"/>
      <c r="Q2678" s="1"/>
      <c r="R2678" s="1"/>
      <c r="S2678" s="1"/>
      <c r="T2678" s="1"/>
      <c r="U2678" s="1"/>
      <c r="V2678" s="1"/>
      <c r="W2678" s="1"/>
      <c r="X2678" s="1"/>
    </row>
    <row x14ac:dyDescent="0.25" r="2679" customHeight="1" ht="18.75">
      <c r="A2679" s="1"/>
      <c r="B2679" s="1"/>
      <c r="C2679" s="3" t="s">
        <v>1861</v>
      </c>
      <c r="D2679" s="3" t="s">
        <v>2710</v>
      </c>
      <c r="E2679" s="1"/>
      <c r="F2679" s="1"/>
      <c r="G2679" s="1"/>
      <c r="H2679" s="1"/>
      <c r="I2679" s="2"/>
      <c r="J2679" s="1"/>
      <c r="K2679" s="1"/>
      <c r="L2679" s="1"/>
      <c r="M2679" s="1"/>
      <c r="N2679" s="1"/>
      <c r="O2679" s="1"/>
      <c r="P2679" s="1"/>
      <c r="Q2679" s="1"/>
      <c r="R2679" s="1"/>
      <c r="S2679" s="1"/>
      <c r="T2679" s="1"/>
      <c r="U2679" s="1"/>
      <c r="V2679" s="1"/>
      <c r="W2679" s="1"/>
      <c r="X2679" s="1"/>
    </row>
    <row x14ac:dyDescent="0.25" r="2680" customHeight="1" ht="18.75">
      <c r="A2680" s="1"/>
      <c r="B2680" s="1"/>
      <c r="C2680" s="3" t="s">
        <v>1861</v>
      </c>
      <c r="D2680" s="3" t="s">
        <v>2711</v>
      </c>
      <c r="E2680" s="1"/>
      <c r="F2680" s="1"/>
      <c r="G2680" s="1"/>
      <c r="H2680" s="1"/>
      <c r="I2680" s="2"/>
      <c r="J2680" s="1"/>
      <c r="K2680" s="1"/>
      <c r="L2680" s="1"/>
      <c r="M2680" s="1"/>
      <c r="N2680" s="1"/>
      <c r="O2680" s="1"/>
      <c r="P2680" s="1"/>
      <c r="Q2680" s="1"/>
      <c r="R2680" s="1"/>
      <c r="S2680" s="1"/>
      <c r="T2680" s="1"/>
      <c r="U2680" s="1"/>
      <c r="V2680" s="1"/>
      <c r="W2680" s="1"/>
      <c r="X2680" s="1"/>
    </row>
    <row x14ac:dyDescent="0.25" r="2681" customHeight="1" ht="18.75">
      <c r="A2681" s="1"/>
      <c r="B2681" s="1"/>
      <c r="C2681" s="3" t="s">
        <v>1861</v>
      </c>
      <c r="D2681" s="3" t="s">
        <v>2712</v>
      </c>
      <c r="E2681" s="1"/>
      <c r="F2681" s="1"/>
      <c r="G2681" s="1"/>
      <c r="H2681" s="1"/>
      <c r="I2681" s="2"/>
      <c r="J2681" s="1"/>
      <c r="K2681" s="1"/>
      <c r="L2681" s="1"/>
      <c r="M2681" s="1"/>
      <c r="N2681" s="1"/>
      <c r="O2681" s="1"/>
      <c r="P2681" s="1"/>
      <c r="Q2681" s="1"/>
      <c r="R2681" s="1"/>
      <c r="S2681" s="1"/>
      <c r="T2681" s="1"/>
      <c r="U2681" s="1"/>
      <c r="V2681" s="1"/>
      <c r="W2681" s="1"/>
      <c r="X2681" s="1"/>
    </row>
    <row x14ac:dyDescent="0.25" r="2682" customHeight="1" ht="18.75">
      <c r="A2682" s="1"/>
      <c r="B2682" s="1"/>
      <c r="C2682" s="3" t="s">
        <v>1861</v>
      </c>
      <c r="D2682" s="3" t="s">
        <v>2713</v>
      </c>
      <c r="E2682" s="1"/>
      <c r="F2682" s="1"/>
      <c r="G2682" s="1"/>
      <c r="H2682" s="1"/>
      <c r="I2682" s="2"/>
      <c r="J2682" s="1"/>
      <c r="K2682" s="1"/>
      <c r="L2682" s="1"/>
      <c r="M2682" s="1"/>
      <c r="N2682" s="1"/>
      <c r="O2682" s="1"/>
      <c r="P2682" s="1"/>
      <c r="Q2682" s="1"/>
      <c r="R2682" s="1"/>
      <c r="S2682" s="1"/>
      <c r="T2682" s="1"/>
      <c r="U2682" s="1"/>
      <c r="V2682" s="1"/>
      <c r="W2682" s="1"/>
      <c r="X2682" s="1"/>
    </row>
    <row x14ac:dyDescent="0.25" r="2683" customHeight="1" ht="18.75">
      <c r="A2683" s="1"/>
      <c r="B2683" s="1"/>
      <c r="C2683" s="3" t="s">
        <v>1861</v>
      </c>
      <c r="D2683" s="3" t="s">
        <v>2714</v>
      </c>
      <c r="E2683" s="1"/>
      <c r="F2683" s="1"/>
      <c r="G2683" s="1"/>
      <c r="H2683" s="1"/>
      <c r="I2683" s="2"/>
      <c r="J2683" s="1"/>
      <c r="K2683" s="1"/>
      <c r="L2683" s="1"/>
      <c r="M2683" s="1"/>
      <c r="N2683" s="1"/>
      <c r="O2683" s="1"/>
      <c r="P2683" s="1"/>
      <c r="Q2683" s="1"/>
      <c r="R2683" s="1"/>
      <c r="S2683" s="1"/>
      <c r="T2683" s="1"/>
      <c r="U2683" s="1"/>
      <c r="V2683" s="1"/>
      <c r="W2683" s="1"/>
      <c r="X2683" s="1"/>
    </row>
    <row x14ac:dyDescent="0.25" r="2684" customHeight="1" ht="18.75">
      <c r="A2684" s="1"/>
      <c r="B2684" s="1"/>
      <c r="C2684" s="3" t="s">
        <v>1861</v>
      </c>
      <c r="D2684" s="3" t="s">
        <v>2715</v>
      </c>
      <c r="E2684" s="1"/>
      <c r="F2684" s="1"/>
      <c r="G2684" s="1"/>
      <c r="H2684" s="1"/>
      <c r="I2684" s="2"/>
      <c r="J2684" s="1"/>
      <c r="K2684" s="1"/>
      <c r="L2684" s="1"/>
      <c r="M2684" s="1"/>
      <c r="N2684" s="1"/>
      <c r="O2684" s="1"/>
      <c r="P2684" s="1"/>
      <c r="Q2684" s="1"/>
      <c r="R2684" s="1"/>
      <c r="S2684" s="1"/>
      <c r="T2684" s="1"/>
      <c r="U2684" s="1"/>
      <c r="V2684" s="1"/>
      <c r="W2684" s="1"/>
      <c r="X2684" s="1"/>
    </row>
    <row x14ac:dyDescent="0.25" r="2685" customHeight="1" ht="18.75">
      <c r="A2685" s="1"/>
      <c r="B2685" s="1"/>
      <c r="C2685" s="3" t="s">
        <v>1861</v>
      </c>
      <c r="D2685" s="3" t="s">
        <v>2716</v>
      </c>
      <c r="E2685" s="1"/>
      <c r="F2685" s="1"/>
      <c r="G2685" s="1"/>
      <c r="H2685" s="1"/>
      <c r="I2685" s="2"/>
      <c r="J2685" s="1"/>
      <c r="K2685" s="1"/>
      <c r="L2685" s="1"/>
      <c r="M2685" s="1"/>
      <c r="N2685" s="1"/>
      <c r="O2685" s="1"/>
      <c r="P2685" s="1"/>
      <c r="Q2685" s="1"/>
      <c r="R2685" s="1"/>
      <c r="S2685" s="1"/>
      <c r="T2685" s="1"/>
      <c r="U2685" s="1"/>
      <c r="V2685" s="1"/>
      <c r="W2685" s="1"/>
      <c r="X2685" s="1"/>
    </row>
    <row x14ac:dyDescent="0.25" r="2686" customHeight="1" ht="18.75">
      <c r="A2686" s="1"/>
      <c r="B2686" s="1"/>
      <c r="C2686" s="3" t="s">
        <v>1861</v>
      </c>
      <c r="D2686" s="3" t="s">
        <v>2717</v>
      </c>
      <c r="E2686" s="1"/>
      <c r="F2686" s="1"/>
      <c r="G2686" s="1"/>
      <c r="H2686" s="1"/>
      <c r="I2686" s="2"/>
      <c r="J2686" s="1"/>
      <c r="K2686" s="1"/>
      <c r="L2686" s="1"/>
      <c r="M2686" s="1"/>
      <c r="N2686" s="1"/>
      <c r="O2686" s="1"/>
      <c r="P2686" s="1"/>
      <c r="Q2686" s="1"/>
      <c r="R2686" s="1"/>
      <c r="S2686" s="1"/>
      <c r="T2686" s="1"/>
      <c r="U2686" s="1"/>
      <c r="V2686" s="1"/>
      <c r="W2686" s="1"/>
      <c r="X2686" s="1"/>
    </row>
    <row x14ac:dyDescent="0.25" r="2687" customHeight="1" ht="18.75">
      <c r="A2687" s="1"/>
      <c r="B2687" s="1"/>
      <c r="C2687" s="3" t="s">
        <v>1861</v>
      </c>
      <c r="D2687" s="3" t="s">
        <v>2718</v>
      </c>
      <c r="E2687" s="1"/>
      <c r="F2687" s="1"/>
      <c r="G2687" s="1"/>
      <c r="H2687" s="1"/>
      <c r="I2687" s="2"/>
      <c r="J2687" s="1"/>
      <c r="K2687" s="1"/>
      <c r="L2687" s="1"/>
      <c r="M2687" s="1"/>
      <c r="N2687" s="1"/>
      <c r="O2687" s="1"/>
      <c r="P2687" s="1"/>
      <c r="Q2687" s="1"/>
      <c r="R2687" s="1"/>
      <c r="S2687" s="1"/>
      <c r="T2687" s="1"/>
      <c r="U2687" s="1"/>
      <c r="V2687" s="1"/>
      <c r="W2687" s="1"/>
      <c r="X2687" s="1"/>
    </row>
    <row x14ac:dyDescent="0.25" r="2688" customHeight="1" ht="18.75">
      <c r="A2688" s="1"/>
      <c r="B2688" s="1"/>
      <c r="C2688" s="3" t="s">
        <v>1861</v>
      </c>
      <c r="D2688" s="3" t="s">
        <v>2719</v>
      </c>
      <c r="E2688" s="1"/>
      <c r="F2688" s="1"/>
      <c r="G2688" s="1"/>
      <c r="H2688" s="1"/>
      <c r="I2688" s="2"/>
      <c r="J2688" s="1"/>
      <c r="K2688" s="1"/>
      <c r="L2688" s="1"/>
      <c r="M2688" s="1"/>
      <c r="N2688" s="1"/>
      <c r="O2688" s="1"/>
      <c r="P2688" s="1"/>
      <c r="Q2688" s="1"/>
      <c r="R2688" s="1"/>
      <c r="S2688" s="1"/>
      <c r="T2688" s="1"/>
      <c r="U2688" s="1"/>
      <c r="V2688" s="1"/>
      <c r="W2688" s="1"/>
      <c r="X2688" s="1"/>
    </row>
    <row x14ac:dyDescent="0.25" r="2689" customHeight="1" ht="18.75">
      <c r="A2689" s="1"/>
      <c r="B2689" s="1"/>
      <c r="C2689" s="3" t="s">
        <v>1861</v>
      </c>
      <c r="D2689" s="3" t="s">
        <v>2720</v>
      </c>
      <c r="E2689" s="1"/>
      <c r="F2689" s="1"/>
      <c r="G2689" s="1"/>
      <c r="H2689" s="1"/>
      <c r="I2689" s="2"/>
      <c r="J2689" s="1"/>
      <c r="K2689" s="1"/>
      <c r="L2689" s="1"/>
      <c r="M2689" s="1"/>
      <c r="N2689" s="1"/>
      <c r="O2689" s="1"/>
      <c r="P2689" s="1"/>
      <c r="Q2689" s="1"/>
      <c r="R2689" s="1"/>
      <c r="S2689" s="1"/>
      <c r="T2689" s="1"/>
      <c r="U2689" s="1"/>
      <c r="V2689" s="1"/>
      <c r="W2689" s="1"/>
      <c r="X2689" s="1"/>
    </row>
    <row x14ac:dyDescent="0.25" r="2690" customHeight="1" ht="18.75">
      <c r="A2690" s="1"/>
      <c r="B2690" s="1"/>
      <c r="C2690" s="3" t="s">
        <v>1861</v>
      </c>
      <c r="D2690" s="3" t="s">
        <v>2721</v>
      </c>
      <c r="E2690" s="1"/>
      <c r="F2690" s="1"/>
      <c r="G2690" s="1"/>
      <c r="H2690" s="1"/>
      <c r="I2690" s="2"/>
      <c r="J2690" s="1"/>
      <c r="K2690" s="1"/>
      <c r="L2690" s="1"/>
      <c r="M2690" s="1"/>
      <c r="N2690" s="1"/>
      <c r="O2690" s="1"/>
      <c r="P2690" s="1"/>
      <c r="Q2690" s="1"/>
      <c r="R2690" s="1"/>
      <c r="S2690" s="1"/>
      <c r="T2690" s="1"/>
      <c r="U2690" s="1"/>
      <c r="V2690" s="1"/>
      <c r="W2690" s="1"/>
      <c r="X2690" s="1"/>
    </row>
    <row x14ac:dyDescent="0.25" r="2691" customHeight="1" ht="18.75">
      <c r="A2691" s="1"/>
      <c r="B2691" s="1"/>
      <c r="C2691" s="3" t="s">
        <v>1861</v>
      </c>
      <c r="D2691" s="3" t="s">
        <v>2722</v>
      </c>
      <c r="E2691" s="1"/>
      <c r="F2691" s="1"/>
      <c r="G2691" s="1"/>
      <c r="H2691" s="1"/>
      <c r="I2691" s="2"/>
      <c r="J2691" s="1"/>
      <c r="K2691" s="1"/>
      <c r="L2691" s="1"/>
      <c r="M2691" s="1"/>
      <c r="N2691" s="1"/>
      <c r="O2691" s="1"/>
      <c r="P2691" s="1"/>
      <c r="Q2691" s="1"/>
      <c r="R2691" s="1"/>
      <c r="S2691" s="1"/>
      <c r="T2691" s="1"/>
      <c r="U2691" s="1"/>
      <c r="V2691" s="1"/>
      <c r="W2691" s="1"/>
      <c r="X2691" s="1"/>
    </row>
    <row x14ac:dyDescent="0.25" r="2692" customHeight="1" ht="18.75">
      <c r="A2692" s="1"/>
      <c r="B2692" s="1"/>
      <c r="C2692" s="3" t="s">
        <v>1861</v>
      </c>
      <c r="D2692" s="3" t="s">
        <v>2723</v>
      </c>
      <c r="E2692" s="1"/>
      <c r="F2692" s="1"/>
      <c r="G2692" s="1"/>
      <c r="H2692" s="1"/>
      <c r="I2692" s="2"/>
      <c r="J2692" s="1"/>
      <c r="K2692" s="1"/>
      <c r="L2692" s="1"/>
      <c r="M2692" s="1"/>
      <c r="N2692" s="1"/>
      <c r="O2692" s="1"/>
      <c r="P2692" s="1"/>
      <c r="Q2692" s="1"/>
      <c r="R2692" s="1"/>
      <c r="S2692" s="1"/>
      <c r="T2692" s="1"/>
      <c r="U2692" s="1"/>
      <c r="V2692" s="1"/>
      <c r="W2692" s="1"/>
      <c r="X2692" s="1"/>
    </row>
    <row x14ac:dyDescent="0.25" r="2693" customHeight="1" ht="18.75">
      <c r="A2693" s="1"/>
      <c r="B2693" s="1"/>
      <c r="C2693" s="3" t="s">
        <v>1861</v>
      </c>
      <c r="D2693" s="3" t="s">
        <v>2724</v>
      </c>
      <c r="E2693" s="1"/>
      <c r="F2693" s="1"/>
      <c r="G2693" s="1"/>
      <c r="H2693" s="1"/>
      <c r="I2693" s="2"/>
      <c r="J2693" s="1"/>
      <c r="K2693" s="1"/>
      <c r="L2693" s="1"/>
      <c r="M2693" s="1"/>
      <c r="N2693" s="1"/>
      <c r="O2693" s="1"/>
      <c r="P2693" s="1"/>
      <c r="Q2693" s="1"/>
      <c r="R2693" s="1"/>
      <c r="S2693" s="1"/>
      <c r="T2693" s="1"/>
      <c r="U2693" s="1"/>
      <c r="V2693" s="1"/>
      <c r="W2693" s="1"/>
      <c r="X2693" s="1"/>
    </row>
    <row x14ac:dyDescent="0.25" r="2694" customHeight="1" ht="18.75">
      <c r="A2694" s="1"/>
      <c r="B2694" s="1"/>
      <c r="C2694" s="3" t="s">
        <v>1861</v>
      </c>
      <c r="D2694" s="3" t="s">
        <v>2725</v>
      </c>
      <c r="E2694" s="1"/>
      <c r="F2694" s="1"/>
      <c r="G2694" s="1"/>
      <c r="H2694" s="1"/>
      <c r="I2694" s="2"/>
      <c r="J2694" s="1"/>
      <c r="K2694" s="1"/>
      <c r="L2694" s="1"/>
      <c r="M2694" s="1"/>
      <c r="N2694" s="1"/>
      <c r="O2694" s="1"/>
      <c r="P2694" s="1"/>
      <c r="Q2694" s="1"/>
      <c r="R2694" s="1"/>
      <c r="S2694" s="1"/>
      <c r="T2694" s="1"/>
      <c r="U2694" s="1"/>
      <c r="V2694" s="1"/>
      <c r="W2694" s="1"/>
      <c r="X2694" s="1"/>
    </row>
    <row x14ac:dyDescent="0.25" r="2695" customHeight="1" ht="18.75">
      <c r="A2695" s="1"/>
      <c r="B2695" s="1"/>
      <c r="C2695" s="3" t="s">
        <v>1861</v>
      </c>
      <c r="D2695" s="3" t="s">
        <v>2726</v>
      </c>
      <c r="E2695" s="1"/>
      <c r="F2695" s="1"/>
      <c r="G2695" s="1"/>
      <c r="H2695" s="1"/>
      <c r="I2695" s="2"/>
      <c r="J2695" s="1"/>
      <c r="K2695" s="1"/>
      <c r="L2695" s="1"/>
      <c r="M2695" s="1"/>
      <c r="N2695" s="1"/>
      <c r="O2695" s="1"/>
      <c r="P2695" s="1"/>
      <c r="Q2695" s="1"/>
      <c r="R2695" s="1"/>
      <c r="S2695" s="1"/>
      <c r="T2695" s="1"/>
      <c r="U2695" s="1"/>
      <c r="V2695" s="1"/>
      <c r="W2695" s="1"/>
      <c r="X2695" s="1"/>
    </row>
    <row x14ac:dyDescent="0.25" r="2696" customHeight="1" ht="18.75">
      <c r="A2696" s="1"/>
      <c r="B2696" s="1"/>
      <c r="C2696" s="3" t="s">
        <v>1861</v>
      </c>
      <c r="D2696" s="3" t="s">
        <v>2727</v>
      </c>
      <c r="E2696" s="1"/>
      <c r="F2696" s="1"/>
      <c r="G2696" s="1"/>
      <c r="H2696" s="1"/>
      <c r="I2696" s="2"/>
      <c r="J2696" s="1"/>
      <c r="K2696" s="1"/>
      <c r="L2696" s="1"/>
      <c r="M2696" s="1"/>
      <c r="N2696" s="1"/>
      <c r="O2696" s="1"/>
      <c r="P2696" s="1"/>
      <c r="Q2696" s="1"/>
      <c r="R2696" s="1"/>
      <c r="S2696" s="1"/>
      <c r="T2696" s="1"/>
      <c r="U2696" s="1"/>
      <c r="V2696" s="1"/>
      <c r="W2696" s="1"/>
      <c r="X2696" s="1"/>
    </row>
    <row x14ac:dyDescent="0.25" r="2697" customHeight="1" ht="18.75">
      <c r="A2697" s="1"/>
      <c r="B2697" s="1"/>
      <c r="C2697" s="3" t="s">
        <v>1861</v>
      </c>
      <c r="D2697" s="3" t="s">
        <v>2728</v>
      </c>
      <c r="E2697" s="1"/>
      <c r="F2697" s="1"/>
      <c r="G2697" s="1"/>
      <c r="H2697" s="1"/>
      <c r="I2697" s="2"/>
      <c r="J2697" s="1"/>
      <c r="K2697" s="1"/>
      <c r="L2697" s="1"/>
      <c r="M2697" s="1"/>
      <c r="N2697" s="1"/>
      <c r="O2697" s="1"/>
      <c r="P2697" s="1"/>
      <c r="Q2697" s="1"/>
      <c r="R2697" s="1"/>
      <c r="S2697" s="1"/>
      <c r="T2697" s="1"/>
      <c r="U2697" s="1"/>
      <c r="V2697" s="1"/>
      <c r="W2697" s="1"/>
      <c r="X2697" s="1"/>
    </row>
    <row x14ac:dyDescent="0.25" r="2698" customHeight="1" ht="18.75">
      <c r="A2698" s="1"/>
      <c r="B2698" s="1"/>
      <c r="C2698" s="3" t="s">
        <v>1861</v>
      </c>
      <c r="D2698" s="3" t="s">
        <v>2729</v>
      </c>
      <c r="E2698" s="1"/>
      <c r="F2698" s="1"/>
      <c r="G2698" s="1"/>
      <c r="H2698" s="1"/>
      <c r="I2698" s="2"/>
      <c r="J2698" s="1"/>
      <c r="K2698" s="1"/>
      <c r="L2698" s="1"/>
      <c r="M2698" s="1"/>
      <c r="N2698" s="1"/>
      <c r="O2698" s="1"/>
      <c r="P2698" s="1"/>
      <c r="Q2698" s="1"/>
      <c r="R2698" s="1"/>
      <c r="S2698" s="1"/>
      <c r="T2698" s="1"/>
      <c r="U2698" s="1"/>
      <c r="V2698" s="1"/>
      <c r="W2698" s="1"/>
      <c r="X2698" s="1"/>
    </row>
    <row x14ac:dyDescent="0.25" r="2699" customHeight="1" ht="18.75">
      <c r="A2699" s="1"/>
      <c r="B2699" s="1"/>
      <c r="C2699" s="3" t="s">
        <v>1861</v>
      </c>
      <c r="D2699" s="3" t="s">
        <v>2730</v>
      </c>
      <c r="E2699" s="1"/>
      <c r="F2699" s="1"/>
      <c r="G2699" s="1"/>
      <c r="H2699" s="1"/>
      <c r="I2699" s="2"/>
      <c r="J2699" s="1"/>
      <c r="K2699" s="1"/>
      <c r="L2699" s="1"/>
      <c r="M2699" s="1"/>
      <c r="N2699" s="1"/>
      <c r="O2699" s="1"/>
      <c r="P2699" s="1"/>
      <c r="Q2699" s="1"/>
      <c r="R2699" s="1"/>
      <c r="S2699" s="1"/>
      <c r="T2699" s="1"/>
      <c r="U2699" s="1"/>
      <c r="V2699" s="1"/>
      <c r="W2699" s="1"/>
      <c r="X2699" s="1"/>
    </row>
    <row x14ac:dyDescent="0.25" r="2700" customHeight="1" ht="18.75">
      <c r="A2700" s="1"/>
      <c r="B2700" s="1"/>
      <c r="C2700" s="3" t="s">
        <v>1861</v>
      </c>
      <c r="D2700" s="3" t="s">
        <v>2731</v>
      </c>
      <c r="E2700" s="1"/>
      <c r="F2700" s="1"/>
      <c r="G2700" s="1"/>
      <c r="H2700" s="1"/>
      <c r="I2700" s="2"/>
      <c r="J2700" s="1"/>
      <c r="K2700" s="1"/>
      <c r="L2700" s="1"/>
      <c r="M2700" s="1"/>
      <c r="N2700" s="1"/>
      <c r="O2700" s="1"/>
      <c r="P2700" s="1"/>
      <c r="Q2700" s="1"/>
      <c r="R2700" s="1"/>
      <c r="S2700" s="1"/>
      <c r="T2700" s="1"/>
      <c r="U2700" s="1"/>
      <c r="V2700" s="1"/>
      <c r="W2700" s="1"/>
      <c r="X2700" s="1"/>
    </row>
    <row x14ac:dyDescent="0.25" r="2701" customHeight="1" ht="18.75">
      <c r="A2701" s="1"/>
      <c r="B2701" s="1"/>
      <c r="C2701" s="3" t="s">
        <v>1861</v>
      </c>
      <c r="D2701" s="3" t="s">
        <v>2732</v>
      </c>
      <c r="E2701" s="1"/>
      <c r="F2701" s="1"/>
      <c r="G2701" s="1"/>
      <c r="H2701" s="1"/>
      <c r="I2701" s="2"/>
      <c r="J2701" s="1"/>
      <c r="K2701" s="1"/>
      <c r="L2701" s="1"/>
      <c r="M2701" s="1"/>
      <c r="N2701" s="1"/>
      <c r="O2701" s="1"/>
      <c r="P2701" s="1"/>
      <c r="Q2701" s="1"/>
      <c r="R2701" s="1"/>
      <c r="S2701" s="1"/>
      <c r="T2701" s="1"/>
      <c r="U2701" s="1"/>
      <c r="V2701" s="1"/>
      <c r="W2701" s="1"/>
      <c r="X2701" s="1"/>
    </row>
    <row x14ac:dyDescent="0.25" r="2702" customHeight="1" ht="18.75">
      <c r="A2702" s="1"/>
      <c r="B2702" s="1"/>
      <c r="C2702" s="3" t="s">
        <v>1861</v>
      </c>
      <c r="D2702" s="3" t="s">
        <v>2733</v>
      </c>
      <c r="E2702" s="1"/>
      <c r="F2702" s="1"/>
      <c r="G2702" s="1"/>
      <c r="H2702" s="1"/>
      <c r="I2702" s="2"/>
      <c r="J2702" s="1"/>
      <c r="K2702" s="1"/>
      <c r="L2702" s="1"/>
      <c r="M2702" s="1"/>
      <c r="N2702" s="1"/>
      <c r="O2702" s="1"/>
      <c r="P2702" s="1"/>
      <c r="Q2702" s="1"/>
      <c r="R2702" s="1"/>
      <c r="S2702" s="1"/>
      <c r="T2702" s="1"/>
      <c r="U2702" s="1"/>
      <c r="V2702" s="1"/>
      <c r="W2702" s="1"/>
      <c r="X2702" s="1"/>
    </row>
    <row x14ac:dyDescent="0.25" r="2703" customHeight="1" ht="18.75">
      <c r="A2703" s="1"/>
      <c r="B2703" s="1"/>
      <c r="C2703" s="3" t="s">
        <v>1861</v>
      </c>
      <c r="D2703" s="3" t="s">
        <v>2734</v>
      </c>
      <c r="E2703" s="1"/>
      <c r="F2703" s="1"/>
      <c r="G2703" s="1"/>
      <c r="H2703" s="1"/>
      <c r="I2703" s="2"/>
      <c r="J2703" s="1"/>
      <c r="K2703" s="1"/>
      <c r="L2703" s="1"/>
      <c r="M2703" s="1"/>
      <c r="N2703" s="1"/>
      <c r="O2703" s="1"/>
      <c r="P2703" s="1"/>
      <c r="Q2703" s="1"/>
      <c r="R2703" s="1"/>
      <c r="S2703" s="1"/>
      <c r="T2703" s="1"/>
      <c r="U2703" s="1"/>
      <c r="V2703" s="1"/>
      <c r="W2703" s="1"/>
      <c r="X2703" s="1"/>
    </row>
    <row x14ac:dyDescent="0.25" r="2704" customHeight="1" ht="18.75">
      <c r="A2704" s="1"/>
      <c r="B2704" s="1"/>
      <c r="C2704" s="3" t="s">
        <v>1861</v>
      </c>
      <c r="D2704" s="3" t="s">
        <v>2735</v>
      </c>
      <c r="E2704" s="1"/>
      <c r="F2704" s="1"/>
      <c r="G2704" s="1"/>
      <c r="H2704" s="1"/>
      <c r="I2704" s="2"/>
      <c r="J2704" s="1"/>
      <c r="K2704" s="1"/>
      <c r="L2704" s="1"/>
      <c r="M2704" s="1"/>
      <c r="N2704" s="1"/>
      <c r="O2704" s="1"/>
      <c r="P2704" s="1"/>
      <c r="Q2704" s="1"/>
      <c r="R2704" s="1"/>
      <c r="S2704" s="1"/>
      <c r="T2704" s="1"/>
      <c r="U2704" s="1"/>
      <c r="V2704" s="1"/>
      <c r="W2704" s="1"/>
      <c r="X2704" s="1"/>
    </row>
    <row x14ac:dyDescent="0.25" r="2705" customHeight="1" ht="18.75">
      <c r="A2705" s="1"/>
      <c r="B2705" s="1"/>
      <c r="C2705" s="3" t="s">
        <v>1861</v>
      </c>
      <c r="D2705" s="3" t="s">
        <v>2736</v>
      </c>
      <c r="E2705" s="1"/>
      <c r="F2705" s="1"/>
      <c r="G2705" s="1"/>
      <c r="H2705" s="1"/>
      <c r="I2705" s="2"/>
      <c r="J2705" s="1"/>
      <c r="K2705" s="1"/>
      <c r="L2705" s="1"/>
      <c r="M2705" s="1"/>
      <c r="N2705" s="1"/>
      <c r="O2705" s="1"/>
      <c r="P2705" s="1"/>
      <c r="Q2705" s="1"/>
      <c r="R2705" s="1"/>
      <c r="S2705" s="1"/>
      <c r="T2705" s="1"/>
      <c r="U2705" s="1"/>
      <c r="V2705" s="1"/>
      <c r="W2705" s="1"/>
      <c r="X2705" s="1"/>
    </row>
    <row x14ac:dyDescent="0.25" r="2706" customHeight="1" ht="18.75">
      <c r="A2706" s="1"/>
      <c r="B2706" s="1"/>
      <c r="C2706" s="3" t="s">
        <v>1861</v>
      </c>
      <c r="D2706" s="3" t="s">
        <v>2737</v>
      </c>
      <c r="E2706" s="1"/>
      <c r="F2706" s="1"/>
      <c r="G2706" s="1"/>
      <c r="H2706" s="1"/>
      <c r="I2706" s="2"/>
      <c r="J2706" s="1"/>
      <c r="K2706" s="1"/>
      <c r="L2706" s="1"/>
      <c r="M2706" s="1"/>
      <c r="N2706" s="1"/>
      <c r="O2706" s="1"/>
      <c r="P2706" s="1"/>
      <c r="Q2706" s="1"/>
      <c r="R2706" s="1"/>
      <c r="S2706" s="1"/>
      <c r="T2706" s="1"/>
      <c r="U2706" s="1"/>
      <c r="V2706" s="1"/>
      <c r="W2706" s="1"/>
      <c r="X2706" s="1"/>
    </row>
    <row x14ac:dyDescent="0.25" r="2707" customHeight="1" ht="18.75">
      <c r="A2707" s="1"/>
      <c r="B2707" s="1"/>
      <c r="C2707" s="3" t="s">
        <v>1861</v>
      </c>
      <c r="D2707" s="3" t="s">
        <v>2738</v>
      </c>
      <c r="E2707" s="1"/>
      <c r="F2707" s="1"/>
      <c r="G2707" s="1"/>
      <c r="H2707" s="1"/>
      <c r="I2707" s="2"/>
      <c r="J2707" s="1"/>
      <c r="K2707" s="1"/>
      <c r="L2707" s="1"/>
      <c r="M2707" s="1"/>
      <c r="N2707" s="1"/>
      <c r="O2707" s="1"/>
      <c r="P2707" s="1"/>
      <c r="Q2707" s="1"/>
      <c r="R2707" s="1"/>
      <c r="S2707" s="1"/>
      <c r="T2707" s="1"/>
      <c r="U2707" s="1"/>
      <c r="V2707" s="1"/>
      <c r="W2707" s="1"/>
      <c r="X2707" s="1"/>
    </row>
    <row x14ac:dyDescent="0.25" r="2708" customHeight="1" ht="18.75">
      <c r="A2708" s="1"/>
      <c r="B2708" s="1"/>
      <c r="C2708" s="3" t="s">
        <v>2259</v>
      </c>
      <c r="D2708" s="3" t="s">
        <v>2739</v>
      </c>
      <c r="E2708" s="1"/>
      <c r="F2708" s="1"/>
      <c r="G2708" s="1"/>
      <c r="H2708" s="1"/>
      <c r="I2708" s="2"/>
      <c r="J2708" s="1"/>
      <c r="K2708" s="1"/>
      <c r="L2708" s="1"/>
      <c r="M2708" s="1"/>
      <c r="N2708" s="1"/>
      <c r="O2708" s="1"/>
      <c r="P2708" s="1"/>
      <c r="Q2708" s="1"/>
      <c r="R2708" s="1"/>
      <c r="S2708" s="1"/>
      <c r="T2708" s="1"/>
      <c r="U2708" s="1"/>
      <c r="V2708" s="1"/>
      <c r="W2708" s="1"/>
      <c r="X2708" s="1"/>
    </row>
    <row x14ac:dyDescent="0.25" r="2709" customHeight="1" ht="18.75">
      <c r="A2709" s="1"/>
      <c r="B2709" s="1"/>
      <c r="C2709" s="3" t="s">
        <v>2259</v>
      </c>
      <c r="D2709" s="3" t="s">
        <v>2740</v>
      </c>
      <c r="E2709" s="1"/>
      <c r="F2709" s="1"/>
      <c r="G2709" s="1"/>
      <c r="H2709" s="1"/>
      <c r="I2709" s="2"/>
      <c r="J2709" s="1"/>
      <c r="K2709" s="1"/>
      <c r="L2709" s="1"/>
      <c r="M2709" s="1"/>
      <c r="N2709" s="1"/>
      <c r="O2709" s="1"/>
      <c r="P2709" s="1"/>
      <c r="Q2709" s="1"/>
      <c r="R2709" s="1"/>
      <c r="S2709" s="1"/>
      <c r="T2709" s="1"/>
      <c r="U2709" s="1"/>
      <c r="V2709" s="1"/>
      <c r="W2709" s="1"/>
      <c r="X2709" s="1"/>
    </row>
    <row x14ac:dyDescent="0.25" r="2710" customHeight="1" ht="18.75">
      <c r="A2710" s="1"/>
      <c r="B2710" s="1"/>
      <c r="C2710" s="3" t="s">
        <v>2259</v>
      </c>
      <c r="D2710" s="3" t="s">
        <v>2741</v>
      </c>
      <c r="E2710" s="1"/>
      <c r="F2710" s="1"/>
      <c r="G2710" s="1"/>
      <c r="H2710" s="1"/>
      <c r="I2710" s="2"/>
      <c r="J2710" s="1"/>
      <c r="K2710" s="1"/>
      <c r="L2710" s="1"/>
      <c r="M2710" s="1"/>
      <c r="N2710" s="1"/>
      <c r="O2710" s="1"/>
      <c r="P2710" s="1"/>
      <c r="Q2710" s="1"/>
      <c r="R2710" s="1"/>
      <c r="S2710" s="1"/>
      <c r="T2710" s="1"/>
      <c r="U2710" s="1"/>
      <c r="V2710" s="1"/>
      <c r="W2710" s="1"/>
      <c r="X2710" s="1"/>
    </row>
    <row x14ac:dyDescent="0.25" r="2711" customHeight="1" ht="18.75">
      <c r="A2711" s="1"/>
      <c r="B2711" s="1"/>
      <c r="C2711" s="3" t="s">
        <v>2259</v>
      </c>
      <c r="D2711" s="3" t="s">
        <v>2742</v>
      </c>
      <c r="E2711" s="1"/>
      <c r="F2711" s="1"/>
      <c r="G2711" s="1"/>
      <c r="H2711" s="1"/>
      <c r="I2711" s="2"/>
      <c r="J2711" s="1"/>
      <c r="K2711" s="1"/>
      <c r="L2711" s="1"/>
      <c r="M2711" s="1"/>
      <c r="N2711" s="1"/>
      <c r="O2711" s="1"/>
      <c r="P2711" s="1"/>
      <c r="Q2711" s="1"/>
      <c r="R2711" s="1"/>
      <c r="S2711" s="1"/>
      <c r="T2711" s="1"/>
      <c r="U2711" s="1"/>
      <c r="V2711" s="1"/>
      <c r="W2711" s="1"/>
      <c r="X2711" s="1"/>
    </row>
    <row x14ac:dyDescent="0.25" r="2712" customHeight="1" ht="18.75">
      <c r="A2712" s="1"/>
      <c r="B2712" s="1"/>
      <c r="C2712" s="3" t="s">
        <v>2259</v>
      </c>
      <c r="D2712" s="3" t="s">
        <v>2743</v>
      </c>
      <c r="E2712" s="1"/>
      <c r="F2712" s="1"/>
      <c r="G2712" s="1"/>
      <c r="H2712" s="1"/>
      <c r="I2712" s="2"/>
      <c r="J2712" s="1"/>
      <c r="K2712" s="1"/>
      <c r="L2712" s="1"/>
      <c r="M2712" s="1"/>
      <c r="N2712" s="1"/>
      <c r="O2712" s="1"/>
      <c r="P2712" s="1"/>
      <c r="Q2712" s="1"/>
      <c r="R2712" s="1"/>
      <c r="S2712" s="1"/>
      <c r="T2712" s="1"/>
      <c r="U2712" s="1"/>
      <c r="V2712" s="1"/>
      <c r="W2712" s="1"/>
      <c r="X2712" s="1"/>
    </row>
    <row x14ac:dyDescent="0.25" r="2713" customHeight="1" ht="18.75">
      <c r="A2713" s="1"/>
      <c r="B2713" s="1"/>
      <c r="C2713" s="3" t="s">
        <v>2259</v>
      </c>
      <c r="D2713" s="3" t="s">
        <v>2744</v>
      </c>
      <c r="E2713" s="1"/>
      <c r="F2713" s="1"/>
      <c r="G2713" s="1"/>
      <c r="H2713" s="1"/>
      <c r="I2713" s="2"/>
      <c r="J2713" s="1"/>
      <c r="K2713" s="1"/>
      <c r="L2713" s="1"/>
      <c r="M2713" s="1"/>
      <c r="N2713" s="1"/>
      <c r="O2713" s="1"/>
      <c r="P2713" s="1"/>
      <c r="Q2713" s="1"/>
      <c r="R2713" s="1"/>
      <c r="S2713" s="1"/>
      <c r="T2713" s="1"/>
      <c r="U2713" s="1"/>
      <c r="V2713" s="1"/>
      <c r="W2713" s="1"/>
      <c r="X2713" s="1"/>
    </row>
    <row x14ac:dyDescent="0.25" r="2714" customHeight="1" ht="18.75">
      <c r="A2714" s="1"/>
      <c r="B2714" s="1"/>
      <c r="C2714" s="3" t="s">
        <v>2259</v>
      </c>
      <c r="D2714" s="3" t="s">
        <v>2745</v>
      </c>
      <c r="E2714" s="1"/>
      <c r="F2714" s="1"/>
      <c r="G2714" s="1"/>
      <c r="H2714" s="1"/>
      <c r="I2714" s="2"/>
      <c r="J2714" s="1"/>
      <c r="K2714" s="1"/>
      <c r="L2714" s="1"/>
      <c r="M2714" s="1"/>
      <c r="N2714" s="1"/>
      <c r="O2714" s="1"/>
      <c r="P2714" s="1"/>
      <c r="Q2714" s="1"/>
      <c r="R2714" s="1"/>
      <c r="S2714" s="1"/>
      <c r="T2714" s="1"/>
      <c r="U2714" s="1"/>
      <c r="V2714" s="1"/>
      <c r="W2714" s="1"/>
      <c r="X2714" s="1"/>
    </row>
    <row x14ac:dyDescent="0.25" r="2715" customHeight="1" ht="18.75">
      <c r="A2715" s="1"/>
      <c r="B2715" s="1"/>
      <c r="C2715" s="3" t="s">
        <v>2259</v>
      </c>
      <c r="D2715" s="3" t="s">
        <v>2746</v>
      </c>
      <c r="E2715" s="1"/>
      <c r="F2715" s="1"/>
      <c r="G2715" s="1"/>
      <c r="H2715" s="1"/>
      <c r="I2715" s="2"/>
      <c r="J2715" s="1"/>
      <c r="K2715" s="1"/>
      <c r="L2715" s="1"/>
      <c r="M2715" s="1"/>
      <c r="N2715" s="1"/>
      <c r="O2715" s="1"/>
      <c r="P2715" s="1"/>
      <c r="Q2715" s="1"/>
      <c r="R2715" s="1"/>
      <c r="S2715" s="1"/>
      <c r="T2715" s="1"/>
      <c r="U2715" s="1"/>
      <c r="V2715" s="1"/>
      <c r="W2715" s="1"/>
      <c r="X2715" s="1"/>
    </row>
    <row x14ac:dyDescent="0.25" r="2716" customHeight="1" ht="18.75">
      <c r="A2716" s="1"/>
      <c r="B2716" s="1"/>
      <c r="C2716" s="3" t="s">
        <v>2259</v>
      </c>
      <c r="D2716" s="3" t="s">
        <v>2747</v>
      </c>
      <c r="E2716" s="1"/>
      <c r="F2716" s="1"/>
      <c r="G2716" s="1"/>
      <c r="H2716" s="1"/>
      <c r="I2716" s="2"/>
      <c r="J2716" s="1"/>
      <c r="K2716" s="1"/>
      <c r="L2716" s="1"/>
      <c r="M2716" s="1"/>
      <c r="N2716" s="1"/>
      <c r="O2716" s="1"/>
      <c r="P2716" s="1"/>
      <c r="Q2716" s="1"/>
      <c r="R2716" s="1"/>
      <c r="S2716" s="1"/>
      <c r="T2716" s="1"/>
      <c r="U2716" s="1"/>
      <c r="V2716" s="1"/>
      <c r="W2716" s="1"/>
      <c r="X2716" s="1"/>
    </row>
    <row x14ac:dyDescent="0.25" r="2717" customHeight="1" ht="18.75">
      <c r="A2717" s="1"/>
      <c r="B2717" s="1"/>
      <c r="C2717" s="3" t="s">
        <v>2259</v>
      </c>
      <c r="D2717" s="3" t="s">
        <v>2748</v>
      </c>
      <c r="E2717" s="1"/>
      <c r="F2717" s="1"/>
      <c r="G2717" s="1"/>
      <c r="H2717" s="1"/>
      <c r="I2717" s="2"/>
      <c r="J2717" s="1"/>
      <c r="K2717" s="1"/>
      <c r="L2717" s="1"/>
      <c r="M2717" s="1"/>
      <c r="N2717" s="1"/>
      <c r="O2717" s="1"/>
      <c r="P2717" s="1"/>
      <c r="Q2717" s="1"/>
      <c r="R2717" s="1"/>
      <c r="S2717" s="1"/>
      <c r="T2717" s="1"/>
      <c r="U2717" s="1"/>
      <c r="V2717" s="1"/>
      <c r="W2717" s="1"/>
      <c r="X2717" s="1"/>
    </row>
    <row x14ac:dyDescent="0.25" r="2718" customHeight="1" ht="18.75">
      <c r="A2718" s="1"/>
      <c r="B2718" s="1"/>
      <c r="C2718" s="3" t="s">
        <v>2259</v>
      </c>
      <c r="D2718" s="3" t="s">
        <v>2749</v>
      </c>
      <c r="E2718" s="1"/>
      <c r="F2718" s="1"/>
      <c r="G2718" s="1"/>
      <c r="H2718" s="1"/>
      <c r="I2718" s="2"/>
      <c r="J2718" s="1"/>
      <c r="K2718" s="1"/>
      <c r="L2718" s="1"/>
      <c r="M2718" s="1"/>
      <c r="N2718" s="1"/>
      <c r="O2718" s="1"/>
      <c r="P2718" s="1"/>
      <c r="Q2718" s="1"/>
      <c r="R2718" s="1"/>
      <c r="S2718" s="1"/>
      <c r="T2718" s="1"/>
      <c r="U2718" s="1"/>
      <c r="V2718" s="1"/>
      <c r="W2718" s="1"/>
      <c r="X2718" s="1"/>
    </row>
    <row x14ac:dyDescent="0.25" r="2719" customHeight="1" ht="18.75">
      <c r="A2719" s="1"/>
      <c r="B2719" s="1"/>
      <c r="C2719" s="3" t="s">
        <v>2259</v>
      </c>
      <c r="D2719" s="3" t="s">
        <v>2750</v>
      </c>
      <c r="E2719" s="1"/>
      <c r="F2719" s="1"/>
      <c r="G2719" s="1"/>
      <c r="H2719" s="1"/>
      <c r="I2719" s="2"/>
      <c r="J2719" s="1"/>
      <c r="K2719" s="1"/>
      <c r="L2719" s="1"/>
      <c r="M2719" s="1"/>
      <c r="N2719" s="1"/>
      <c r="O2719" s="1"/>
      <c r="P2719" s="1"/>
      <c r="Q2719" s="1"/>
      <c r="R2719" s="1"/>
      <c r="S2719" s="1"/>
      <c r="T2719" s="1"/>
      <c r="U2719" s="1"/>
      <c r="V2719" s="1"/>
      <c r="W2719" s="1"/>
      <c r="X2719" s="1"/>
    </row>
    <row x14ac:dyDescent="0.25" r="2720" customHeight="1" ht="18.75">
      <c r="A2720" s="1"/>
      <c r="B2720" s="1"/>
      <c r="C2720" s="3" t="s">
        <v>2259</v>
      </c>
      <c r="D2720" s="3" t="s">
        <v>2751</v>
      </c>
      <c r="E2720" s="1"/>
      <c r="F2720" s="1"/>
      <c r="G2720" s="1"/>
      <c r="H2720" s="1"/>
      <c r="I2720" s="2"/>
      <c r="J2720" s="1"/>
      <c r="K2720" s="1"/>
      <c r="L2720" s="1"/>
      <c r="M2720" s="1"/>
      <c r="N2720" s="1"/>
      <c r="O2720" s="1"/>
      <c r="P2720" s="1"/>
      <c r="Q2720" s="1"/>
      <c r="R2720" s="1"/>
      <c r="S2720" s="1"/>
      <c r="T2720" s="1"/>
      <c r="U2720" s="1"/>
      <c r="V2720" s="1"/>
      <c r="W2720" s="1"/>
      <c r="X2720" s="1"/>
    </row>
    <row x14ac:dyDescent="0.25" r="2721" customHeight="1" ht="18.75">
      <c r="A2721" s="1"/>
      <c r="B2721" s="1"/>
      <c r="C2721" s="3" t="s">
        <v>2259</v>
      </c>
      <c r="D2721" s="3" t="s">
        <v>2752</v>
      </c>
      <c r="E2721" s="1"/>
      <c r="F2721" s="1"/>
      <c r="G2721" s="1"/>
      <c r="H2721" s="1"/>
      <c r="I2721" s="2"/>
      <c r="J2721" s="1"/>
      <c r="K2721" s="1"/>
      <c r="L2721" s="1"/>
      <c r="M2721" s="1"/>
      <c r="N2721" s="1"/>
      <c r="O2721" s="1"/>
      <c r="P2721" s="1"/>
      <c r="Q2721" s="1"/>
      <c r="R2721" s="1"/>
      <c r="S2721" s="1"/>
      <c r="T2721" s="1"/>
      <c r="U2721" s="1"/>
      <c r="V2721" s="1"/>
      <c r="W2721" s="1"/>
      <c r="X2721" s="1"/>
    </row>
    <row x14ac:dyDescent="0.25" r="2722" customHeight="1" ht="18.75">
      <c r="A2722" s="1"/>
      <c r="B2722" s="1"/>
      <c r="C2722" s="3" t="s">
        <v>2259</v>
      </c>
      <c r="D2722" s="3" t="s">
        <v>2753</v>
      </c>
      <c r="E2722" s="1"/>
      <c r="F2722" s="1"/>
      <c r="G2722" s="1"/>
      <c r="H2722" s="1"/>
      <c r="I2722" s="2"/>
      <c r="J2722" s="1"/>
      <c r="K2722" s="1"/>
      <c r="L2722" s="1"/>
      <c r="M2722" s="1"/>
      <c r="N2722" s="1"/>
      <c r="O2722" s="1"/>
      <c r="P2722" s="1"/>
      <c r="Q2722" s="1"/>
      <c r="R2722" s="1"/>
      <c r="S2722" s="1"/>
      <c r="T2722" s="1"/>
      <c r="U2722" s="1"/>
      <c r="V2722" s="1"/>
      <c r="W2722" s="1"/>
      <c r="X2722" s="1"/>
    </row>
    <row x14ac:dyDescent="0.25" r="2723" customHeight="1" ht="18.75">
      <c r="A2723" s="1"/>
      <c r="B2723" s="1"/>
      <c r="C2723" s="3" t="s">
        <v>2259</v>
      </c>
      <c r="D2723" s="3" t="s">
        <v>2754</v>
      </c>
      <c r="E2723" s="1"/>
      <c r="F2723" s="1"/>
      <c r="G2723" s="1"/>
      <c r="H2723" s="1"/>
      <c r="I2723" s="2"/>
      <c r="J2723" s="1"/>
      <c r="K2723" s="1"/>
      <c r="L2723" s="1"/>
      <c r="M2723" s="1"/>
      <c r="N2723" s="1"/>
      <c r="O2723" s="1"/>
      <c r="P2723" s="1"/>
      <c r="Q2723" s="1"/>
      <c r="R2723" s="1"/>
      <c r="S2723" s="1"/>
      <c r="T2723" s="1"/>
      <c r="U2723" s="1"/>
      <c r="V2723" s="1"/>
      <c r="W2723" s="1"/>
      <c r="X2723" s="1"/>
    </row>
    <row x14ac:dyDescent="0.25" r="2724" customHeight="1" ht="18.75">
      <c r="A2724" s="1"/>
      <c r="B2724" s="1"/>
      <c r="C2724" s="3" t="s">
        <v>2259</v>
      </c>
      <c r="D2724" s="3" t="s">
        <v>2755</v>
      </c>
      <c r="E2724" s="1"/>
      <c r="F2724" s="1"/>
      <c r="G2724" s="1"/>
      <c r="H2724" s="1"/>
      <c r="I2724" s="2"/>
      <c r="J2724" s="1"/>
      <c r="K2724" s="1"/>
      <c r="L2724" s="1"/>
      <c r="M2724" s="1"/>
      <c r="N2724" s="1"/>
      <c r="O2724" s="1"/>
      <c r="P2724" s="1"/>
      <c r="Q2724" s="1"/>
      <c r="R2724" s="1"/>
      <c r="S2724" s="1"/>
      <c r="T2724" s="1"/>
      <c r="U2724" s="1"/>
      <c r="V2724" s="1"/>
      <c r="W2724" s="1"/>
      <c r="X2724" s="1"/>
    </row>
    <row x14ac:dyDescent="0.25" r="2725" customHeight="1" ht="18.75">
      <c r="A2725" s="1"/>
      <c r="B2725" s="1"/>
      <c r="C2725" s="3" t="s">
        <v>2259</v>
      </c>
      <c r="D2725" s="3" t="s">
        <v>2756</v>
      </c>
      <c r="E2725" s="1"/>
      <c r="F2725" s="1"/>
      <c r="G2725" s="1"/>
      <c r="H2725" s="1"/>
      <c r="I2725" s="2"/>
      <c r="J2725" s="1"/>
      <c r="K2725" s="1"/>
      <c r="L2725" s="1"/>
      <c r="M2725" s="1"/>
      <c r="N2725" s="1"/>
      <c r="O2725" s="1"/>
      <c r="P2725" s="1"/>
      <c r="Q2725" s="1"/>
      <c r="R2725" s="1"/>
      <c r="S2725" s="1"/>
      <c r="T2725" s="1"/>
      <c r="U2725" s="1"/>
      <c r="V2725" s="1"/>
      <c r="W2725" s="1"/>
      <c r="X2725" s="1"/>
    </row>
    <row x14ac:dyDescent="0.25" r="2726" customHeight="1" ht="18.75">
      <c r="A2726" s="1"/>
      <c r="B2726" s="1"/>
      <c r="C2726" s="3" t="s">
        <v>2259</v>
      </c>
      <c r="D2726" s="3" t="s">
        <v>2757</v>
      </c>
      <c r="E2726" s="1"/>
      <c r="F2726" s="1"/>
      <c r="G2726" s="1"/>
      <c r="H2726" s="1"/>
      <c r="I2726" s="2"/>
      <c r="J2726" s="1"/>
      <c r="K2726" s="1"/>
      <c r="L2726" s="1"/>
      <c r="M2726" s="1"/>
      <c r="N2726" s="1"/>
      <c r="O2726" s="1"/>
      <c r="P2726" s="1"/>
      <c r="Q2726" s="1"/>
      <c r="R2726" s="1"/>
      <c r="S2726" s="1"/>
      <c r="T2726" s="1"/>
      <c r="U2726" s="1"/>
      <c r="V2726" s="1"/>
      <c r="W2726" s="1"/>
      <c r="X2726" s="1"/>
    </row>
    <row x14ac:dyDescent="0.25" r="2727" customHeight="1" ht="18.75">
      <c r="A2727" s="1"/>
      <c r="B2727" s="1"/>
      <c r="C2727" s="3" t="s">
        <v>2259</v>
      </c>
      <c r="D2727" s="3" t="s">
        <v>2758</v>
      </c>
      <c r="E2727" s="1"/>
      <c r="F2727" s="1"/>
      <c r="G2727" s="1"/>
      <c r="H2727" s="1"/>
      <c r="I2727" s="2"/>
      <c r="J2727" s="1"/>
      <c r="K2727" s="1"/>
      <c r="L2727" s="1"/>
      <c r="M2727" s="1"/>
      <c r="N2727" s="1"/>
      <c r="O2727" s="1"/>
      <c r="P2727" s="1"/>
      <c r="Q2727" s="1"/>
      <c r="R2727" s="1"/>
      <c r="S2727" s="1"/>
      <c r="T2727" s="1"/>
      <c r="U2727" s="1"/>
      <c r="V2727" s="1"/>
      <c r="W2727" s="1"/>
      <c r="X2727" s="1"/>
    </row>
    <row x14ac:dyDescent="0.25" r="2728" customHeight="1" ht="18.75">
      <c r="A2728" s="1"/>
      <c r="B2728" s="1"/>
      <c r="C2728" s="3" t="s">
        <v>2259</v>
      </c>
      <c r="D2728" s="3" t="s">
        <v>2759</v>
      </c>
      <c r="E2728" s="1"/>
      <c r="F2728" s="1"/>
      <c r="G2728" s="1"/>
      <c r="H2728" s="1"/>
      <c r="I2728" s="2"/>
      <c r="J2728" s="1"/>
      <c r="K2728" s="1"/>
      <c r="L2728" s="1"/>
      <c r="M2728" s="1"/>
      <c r="N2728" s="1"/>
      <c r="O2728" s="1"/>
      <c r="P2728" s="1"/>
      <c r="Q2728" s="1"/>
      <c r="R2728" s="1"/>
      <c r="S2728" s="1"/>
      <c r="T2728" s="1"/>
      <c r="U2728" s="1"/>
      <c r="V2728" s="1"/>
      <c r="W2728" s="1"/>
      <c r="X2728" s="1"/>
    </row>
    <row x14ac:dyDescent="0.25" r="2729" customHeight="1" ht="18.75">
      <c r="A2729" s="1"/>
      <c r="B2729" s="1"/>
      <c r="C2729" s="3" t="s">
        <v>2259</v>
      </c>
      <c r="D2729" s="3" t="s">
        <v>2760</v>
      </c>
      <c r="E2729" s="1"/>
      <c r="F2729" s="1"/>
      <c r="G2729" s="1"/>
      <c r="H2729" s="1"/>
      <c r="I2729" s="2"/>
      <c r="J2729" s="1"/>
      <c r="K2729" s="1"/>
      <c r="L2729" s="1"/>
      <c r="M2729" s="1"/>
      <c r="N2729" s="1"/>
      <c r="O2729" s="1"/>
      <c r="P2729" s="1"/>
      <c r="Q2729" s="1"/>
      <c r="R2729" s="1"/>
      <c r="S2729" s="1"/>
      <c r="T2729" s="1"/>
      <c r="U2729" s="1"/>
      <c r="V2729" s="1"/>
      <c r="W2729" s="1"/>
      <c r="X2729" s="1"/>
    </row>
    <row x14ac:dyDescent="0.25" r="2730" customHeight="1" ht="18.75">
      <c r="A2730" s="1"/>
      <c r="B2730" s="1"/>
      <c r="C2730" s="3" t="s">
        <v>2259</v>
      </c>
      <c r="D2730" s="3" t="s">
        <v>2761</v>
      </c>
      <c r="E2730" s="1"/>
      <c r="F2730" s="1"/>
      <c r="G2730" s="1"/>
      <c r="H2730" s="1"/>
      <c r="I2730" s="2"/>
      <c r="J2730" s="1"/>
      <c r="K2730" s="1"/>
      <c r="L2730" s="1"/>
      <c r="M2730" s="1"/>
      <c r="N2730" s="1"/>
      <c r="O2730" s="1"/>
      <c r="P2730" s="1"/>
      <c r="Q2730" s="1"/>
      <c r="R2730" s="1"/>
      <c r="S2730" s="1"/>
      <c r="T2730" s="1"/>
      <c r="U2730" s="1"/>
      <c r="V2730" s="1"/>
      <c r="W2730" s="1"/>
      <c r="X2730" s="1"/>
    </row>
    <row x14ac:dyDescent="0.25" r="2731" customHeight="1" ht="18.75">
      <c r="A2731" s="1"/>
      <c r="B2731" s="1"/>
      <c r="C2731" s="3" t="s">
        <v>2259</v>
      </c>
      <c r="D2731" s="3" t="s">
        <v>2762</v>
      </c>
      <c r="E2731" s="1"/>
      <c r="F2731" s="1"/>
      <c r="G2731" s="1"/>
      <c r="H2731" s="1"/>
      <c r="I2731" s="2"/>
      <c r="J2731" s="1"/>
      <c r="K2731" s="1"/>
      <c r="L2731" s="1"/>
      <c r="M2731" s="1"/>
      <c r="N2731" s="1"/>
      <c r="O2731" s="1"/>
      <c r="P2731" s="1"/>
      <c r="Q2731" s="1"/>
      <c r="R2731" s="1"/>
      <c r="S2731" s="1"/>
      <c r="T2731" s="1"/>
      <c r="U2731" s="1"/>
      <c r="V2731" s="1"/>
      <c r="W2731" s="1"/>
      <c r="X2731" s="1"/>
    </row>
    <row x14ac:dyDescent="0.25" r="2732" customHeight="1" ht="18.75">
      <c r="A2732" s="1"/>
      <c r="B2732" s="1"/>
      <c r="C2732" s="3" t="s">
        <v>2259</v>
      </c>
      <c r="D2732" s="3" t="s">
        <v>2763</v>
      </c>
      <c r="E2732" s="1"/>
      <c r="F2732" s="1"/>
      <c r="G2732" s="1"/>
      <c r="H2732" s="1"/>
      <c r="I2732" s="2"/>
      <c r="J2732" s="1"/>
      <c r="K2732" s="1"/>
      <c r="L2732" s="1"/>
      <c r="M2732" s="1"/>
      <c r="N2732" s="1"/>
      <c r="O2732" s="1"/>
      <c r="P2732" s="1"/>
      <c r="Q2732" s="1"/>
      <c r="R2732" s="1"/>
      <c r="S2732" s="1"/>
      <c r="T2732" s="1"/>
      <c r="U2732" s="1"/>
      <c r="V2732" s="1"/>
      <c r="W2732" s="1"/>
      <c r="X2732" s="1"/>
    </row>
    <row x14ac:dyDescent="0.25" r="2733" customHeight="1" ht="18.75">
      <c r="A2733" s="1"/>
      <c r="B2733" s="1"/>
      <c r="C2733" s="3" t="s">
        <v>2259</v>
      </c>
      <c r="D2733" s="3" t="s">
        <v>2764</v>
      </c>
      <c r="E2733" s="1"/>
      <c r="F2733" s="1"/>
      <c r="G2733" s="1"/>
      <c r="H2733" s="1"/>
      <c r="I2733" s="2"/>
      <c r="J2733" s="1"/>
      <c r="K2733" s="1"/>
      <c r="L2733" s="1"/>
      <c r="M2733" s="1"/>
      <c r="N2733" s="1"/>
      <c r="O2733" s="1"/>
      <c r="P2733" s="1"/>
      <c r="Q2733" s="1"/>
      <c r="R2733" s="1"/>
      <c r="S2733" s="1"/>
      <c r="T2733" s="1"/>
      <c r="U2733" s="1"/>
      <c r="V2733" s="1"/>
      <c r="W2733" s="1"/>
      <c r="X2733" s="1"/>
    </row>
    <row x14ac:dyDescent="0.25" r="2734" customHeight="1" ht="18.75">
      <c r="A2734" s="1"/>
      <c r="B2734" s="1"/>
      <c r="C2734" s="3" t="s">
        <v>2259</v>
      </c>
      <c r="D2734" s="3" t="s">
        <v>2765</v>
      </c>
      <c r="E2734" s="1"/>
      <c r="F2734" s="1"/>
      <c r="G2734" s="1"/>
      <c r="H2734" s="1"/>
      <c r="I2734" s="2"/>
      <c r="J2734" s="1"/>
      <c r="K2734" s="1"/>
      <c r="L2734" s="1"/>
      <c r="M2734" s="1"/>
      <c r="N2734" s="1"/>
      <c r="O2734" s="1"/>
      <c r="P2734" s="1"/>
      <c r="Q2734" s="1"/>
      <c r="R2734" s="1"/>
      <c r="S2734" s="1"/>
      <c r="T2734" s="1"/>
      <c r="U2734" s="1"/>
      <c r="V2734" s="1"/>
      <c r="W2734" s="1"/>
      <c r="X2734" s="1"/>
    </row>
    <row x14ac:dyDescent="0.25" r="2735" customHeight="1" ht="18.75">
      <c r="A2735" s="1"/>
      <c r="B2735" s="1"/>
      <c r="C2735" s="3" t="s">
        <v>2259</v>
      </c>
      <c r="D2735" s="3" t="s">
        <v>2766</v>
      </c>
      <c r="E2735" s="1"/>
      <c r="F2735" s="1"/>
      <c r="G2735" s="1"/>
      <c r="H2735" s="1"/>
      <c r="I2735" s="2"/>
      <c r="J2735" s="1"/>
      <c r="K2735" s="1"/>
      <c r="L2735" s="1"/>
      <c r="M2735" s="1"/>
      <c r="N2735" s="1"/>
      <c r="O2735" s="1"/>
      <c r="P2735" s="1"/>
      <c r="Q2735" s="1"/>
      <c r="R2735" s="1"/>
      <c r="S2735" s="1"/>
      <c r="T2735" s="1"/>
      <c r="U2735" s="1"/>
      <c r="V2735" s="1"/>
      <c r="W2735" s="1"/>
      <c r="X2735" s="1"/>
    </row>
    <row x14ac:dyDescent="0.25" r="2736" customHeight="1" ht="18.75">
      <c r="A2736" s="1"/>
      <c r="B2736" s="1"/>
      <c r="C2736" s="3" t="s">
        <v>2259</v>
      </c>
      <c r="D2736" s="3" t="s">
        <v>2767</v>
      </c>
      <c r="E2736" s="1"/>
      <c r="F2736" s="1"/>
      <c r="G2736" s="1"/>
      <c r="H2736" s="1"/>
      <c r="I2736" s="2"/>
      <c r="J2736" s="1"/>
      <c r="K2736" s="1"/>
      <c r="L2736" s="1"/>
      <c r="M2736" s="1"/>
      <c r="N2736" s="1"/>
      <c r="O2736" s="1"/>
      <c r="P2736" s="1"/>
      <c r="Q2736" s="1"/>
      <c r="R2736" s="1"/>
      <c r="S2736" s="1"/>
      <c r="T2736" s="1"/>
      <c r="U2736" s="1"/>
      <c r="V2736" s="1"/>
      <c r="W2736" s="1"/>
      <c r="X2736" s="1"/>
    </row>
    <row x14ac:dyDescent="0.25" r="2737" customHeight="1" ht="18.75">
      <c r="A2737" s="1"/>
      <c r="B2737" s="1"/>
      <c r="C2737" s="3" t="s">
        <v>2259</v>
      </c>
      <c r="D2737" s="3" t="s">
        <v>2768</v>
      </c>
      <c r="E2737" s="1"/>
      <c r="F2737" s="1"/>
      <c r="G2737" s="1"/>
      <c r="H2737" s="1"/>
      <c r="I2737" s="2"/>
      <c r="J2737" s="1"/>
      <c r="K2737" s="1"/>
      <c r="L2737" s="1"/>
      <c r="M2737" s="1"/>
      <c r="N2737" s="1"/>
      <c r="O2737" s="1"/>
      <c r="P2737" s="1"/>
      <c r="Q2737" s="1"/>
      <c r="R2737" s="1"/>
      <c r="S2737" s="1"/>
      <c r="T2737" s="1"/>
      <c r="U2737" s="1"/>
      <c r="V2737" s="1"/>
      <c r="W2737" s="1"/>
      <c r="X2737" s="1"/>
    </row>
    <row x14ac:dyDescent="0.25" r="2738" customHeight="1" ht="18.75">
      <c r="A2738" s="1"/>
      <c r="B2738" s="1"/>
      <c r="C2738" s="3" t="s">
        <v>2259</v>
      </c>
      <c r="D2738" s="3" t="s">
        <v>2769</v>
      </c>
      <c r="E2738" s="1"/>
      <c r="F2738" s="1"/>
      <c r="G2738" s="1"/>
      <c r="H2738" s="1"/>
      <c r="I2738" s="2"/>
      <c r="J2738" s="1"/>
      <c r="K2738" s="1"/>
      <c r="L2738" s="1"/>
      <c r="M2738" s="1"/>
      <c r="N2738" s="1"/>
      <c r="O2738" s="1"/>
      <c r="P2738" s="1"/>
      <c r="Q2738" s="1"/>
      <c r="R2738" s="1"/>
      <c r="S2738" s="1"/>
      <c r="T2738" s="1"/>
      <c r="U2738" s="1"/>
      <c r="V2738" s="1"/>
      <c r="W2738" s="1"/>
      <c r="X2738" s="1"/>
    </row>
    <row x14ac:dyDescent="0.25" r="2739" customHeight="1" ht="18.75">
      <c r="A2739" s="1"/>
      <c r="B2739" s="1"/>
      <c r="C2739" s="3" t="s">
        <v>2259</v>
      </c>
      <c r="D2739" s="3" t="s">
        <v>2770</v>
      </c>
      <c r="E2739" s="1"/>
      <c r="F2739" s="1"/>
      <c r="G2739" s="1"/>
      <c r="H2739" s="1"/>
      <c r="I2739" s="2"/>
      <c r="J2739" s="1"/>
      <c r="K2739" s="1"/>
      <c r="L2739" s="1"/>
      <c r="M2739" s="1"/>
      <c r="N2739" s="1"/>
      <c r="O2739" s="1"/>
      <c r="P2739" s="1"/>
      <c r="Q2739" s="1"/>
      <c r="R2739" s="1"/>
      <c r="S2739" s="1"/>
      <c r="T2739" s="1"/>
      <c r="U2739" s="1"/>
      <c r="V2739" s="1"/>
      <c r="W2739" s="1"/>
      <c r="X2739" s="1"/>
    </row>
    <row x14ac:dyDescent="0.25" r="2740" customHeight="1" ht="18.75">
      <c r="A2740" s="1"/>
      <c r="B2740" s="1"/>
      <c r="C2740" s="3" t="s">
        <v>2259</v>
      </c>
      <c r="D2740" s="3" t="s">
        <v>2771</v>
      </c>
      <c r="E2740" s="1"/>
      <c r="F2740" s="1"/>
      <c r="G2740" s="1"/>
      <c r="H2740" s="1"/>
      <c r="I2740" s="2"/>
      <c r="J2740" s="1"/>
      <c r="K2740" s="1"/>
      <c r="L2740" s="1"/>
      <c r="M2740" s="1"/>
      <c r="N2740" s="1"/>
      <c r="O2740" s="1"/>
      <c r="P2740" s="1"/>
      <c r="Q2740" s="1"/>
      <c r="R2740" s="1"/>
      <c r="S2740" s="1"/>
      <c r="T2740" s="1"/>
      <c r="U2740" s="1"/>
      <c r="V2740" s="1"/>
      <c r="W2740" s="1"/>
      <c r="X2740" s="1"/>
    </row>
    <row x14ac:dyDescent="0.25" r="2741" customHeight="1" ht="18.75">
      <c r="A2741" s="1"/>
      <c r="B2741" s="1"/>
      <c r="C2741" s="3" t="s">
        <v>2259</v>
      </c>
      <c r="D2741" s="3" t="s">
        <v>2772</v>
      </c>
      <c r="E2741" s="1"/>
      <c r="F2741" s="1"/>
      <c r="G2741" s="1"/>
      <c r="H2741" s="1"/>
      <c r="I2741" s="2"/>
      <c r="J2741" s="1"/>
      <c r="K2741" s="1"/>
      <c r="L2741" s="1"/>
      <c r="M2741" s="1"/>
      <c r="N2741" s="1"/>
      <c r="O2741" s="1"/>
      <c r="P2741" s="1"/>
      <c r="Q2741" s="1"/>
      <c r="R2741" s="1"/>
      <c r="S2741" s="1"/>
      <c r="T2741" s="1"/>
      <c r="U2741" s="1"/>
      <c r="V2741" s="1"/>
      <c r="W2741" s="1"/>
      <c r="X2741" s="1"/>
    </row>
    <row x14ac:dyDescent="0.25" r="2742" customHeight="1" ht="18.75">
      <c r="A2742" s="1"/>
      <c r="B2742" s="1"/>
      <c r="C2742" s="3" t="s">
        <v>2259</v>
      </c>
      <c r="D2742" s="3" t="s">
        <v>2773</v>
      </c>
      <c r="E2742" s="1"/>
      <c r="F2742" s="1"/>
      <c r="G2742" s="1"/>
      <c r="H2742" s="1"/>
      <c r="I2742" s="2"/>
      <c r="J2742" s="1"/>
      <c r="K2742" s="1"/>
      <c r="L2742" s="1"/>
      <c r="M2742" s="1"/>
      <c r="N2742" s="1"/>
      <c r="O2742" s="1"/>
      <c r="P2742" s="1"/>
      <c r="Q2742" s="1"/>
      <c r="R2742" s="1"/>
      <c r="S2742" s="1"/>
      <c r="T2742" s="1"/>
      <c r="U2742" s="1"/>
      <c r="V2742" s="1"/>
      <c r="W2742" s="1"/>
      <c r="X2742" s="1"/>
    </row>
    <row x14ac:dyDescent="0.25" r="2743" customHeight="1" ht="18.75">
      <c r="A2743" s="1"/>
      <c r="B2743" s="1"/>
      <c r="C2743" s="3" t="s">
        <v>2259</v>
      </c>
      <c r="D2743" s="3" t="s">
        <v>2774</v>
      </c>
      <c r="E2743" s="1"/>
      <c r="F2743" s="1"/>
      <c r="G2743" s="1"/>
      <c r="H2743" s="1"/>
      <c r="I2743" s="2"/>
      <c r="J2743" s="1"/>
      <c r="K2743" s="1"/>
      <c r="L2743" s="1"/>
      <c r="M2743" s="1"/>
      <c r="N2743" s="1"/>
      <c r="O2743" s="1"/>
      <c r="P2743" s="1"/>
      <c r="Q2743" s="1"/>
      <c r="R2743" s="1"/>
      <c r="S2743" s="1"/>
      <c r="T2743" s="1"/>
      <c r="U2743" s="1"/>
      <c r="V2743" s="1"/>
      <c r="W2743" s="1"/>
      <c r="X2743" s="1"/>
    </row>
    <row x14ac:dyDescent="0.25" r="2744" customHeight="1" ht="18.75">
      <c r="A2744" s="1"/>
      <c r="B2744" s="1"/>
      <c r="C2744" s="3" t="s">
        <v>2259</v>
      </c>
      <c r="D2744" s="3" t="s">
        <v>2775</v>
      </c>
      <c r="E2744" s="1"/>
      <c r="F2744" s="1"/>
      <c r="G2744" s="1"/>
      <c r="H2744" s="1"/>
      <c r="I2744" s="2"/>
      <c r="J2744" s="1"/>
      <c r="K2744" s="1"/>
      <c r="L2744" s="1"/>
      <c r="M2744" s="1"/>
      <c r="N2744" s="1"/>
      <c r="O2744" s="1"/>
      <c r="P2744" s="1"/>
      <c r="Q2744" s="1"/>
      <c r="R2744" s="1"/>
      <c r="S2744" s="1"/>
      <c r="T2744" s="1"/>
      <c r="U2744" s="1"/>
      <c r="V2744" s="1"/>
      <c r="W2744" s="1"/>
      <c r="X2744" s="1"/>
    </row>
    <row x14ac:dyDescent="0.25" r="2745" customHeight="1" ht="18.75">
      <c r="A2745" s="1"/>
      <c r="B2745" s="1"/>
      <c r="C2745" s="3" t="s">
        <v>2259</v>
      </c>
      <c r="D2745" s="3" t="s">
        <v>2776</v>
      </c>
      <c r="E2745" s="1"/>
      <c r="F2745" s="1"/>
      <c r="G2745" s="1"/>
      <c r="H2745" s="1"/>
      <c r="I2745" s="2"/>
      <c r="J2745" s="1"/>
      <c r="K2745" s="1"/>
      <c r="L2745" s="1"/>
      <c r="M2745" s="1"/>
      <c r="N2745" s="1"/>
      <c r="O2745" s="1"/>
      <c r="P2745" s="1"/>
      <c r="Q2745" s="1"/>
      <c r="R2745" s="1"/>
      <c r="S2745" s="1"/>
      <c r="T2745" s="1"/>
      <c r="U2745" s="1"/>
      <c r="V2745" s="1"/>
      <c r="W2745" s="1"/>
      <c r="X2745" s="1"/>
    </row>
    <row x14ac:dyDescent="0.25" r="2746" customHeight="1" ht="18.75">
      <c r="A2746" s="1"/>
      <c r="B2746" s="1"/>
      <c r="C2746" s="3" t="s">
        <v>2259</v>
      </c>
      <c r="D2746" s="3" t="s">
        <v>2777</v>
      </c>
      <c r="E2746" s="1"/>
      <c r="F2746" s="1"/>
      <c r="G2746" s="1"/>
      <c r="H2746" s="1"/>
      <c r="I2746" s="2"/>
      <c r="J2746" s="1"/>
      <c r="K2746" s="1"/>
      <c r="L2746" s="1"/>
      <c r="M2746" s="1"/>
      <c r="N2746" s="1"/>
      <c r="O2746" s="1"/>
      <c r="P2746" s="1"/>
      <c r="Q2746" s="1"/>
      <c r="R2746" s="1"/>
      <c r="S2746" s="1"/>
      <c r="T2746" s="1"/>
      <c r="U2746" s="1"/>
      <c r="V2746" s="1"/>
      <c r="W2746" s="1"/>
      <c r="X2746" s="1"/>
    </row>
    <row x14ac:dyDescent="0.25" r="2747" customHeight="1" ht="18.75">
      <c r="A2747" s="1"/>
      <c r="B2747" s="1"/>
      <c r="C2747" s="3" t="s">
        <v>2259</v>
      </c>
      <c r="D2747" s="3" t="s">
        <v>2778</v>
      </c>
      <c r="E2747" s="1"/>
      <c r="F2747" s="1"/>
      <c r="G2747" s="1"/>
      <c r="H2747" s="1"/>
      <c r="I2747" s="2"/>
      <c r="J2747" s="1"/>
      <c r="K2747" s="1"/>
      <c r="L2747" s="1"/>
      <c r="M2747" s="1"/>
      <c r="N2747" s="1"/>
      <c r="O2747" s="1"/>
      <c r="P2747" s="1"/>
      <c r="Q2747" s="1"/>
      <c r="R2747" s="1"/>
      <c r="S2747" s="1"/>
      <c r="T2747" s="1"/>
      <c r="U2747" s="1"/>
      <c r="V2747" s="1"/>
      <c r="W2747" s="1"/>
      <c r="X2747" s="1"/>
    </row>
    <row x14ac:dyDescent="0.25" r="2748" customHeight="1" ht="18.75">
      <c r="A2748" s="1"/>
      <c r="B2748" s="1"/>
      <c r="C2748" s="3" t="s">
        <v>2259</v>
      </c>
      <c r="D2748" s="3" t="s">
        <v>2779</v>
      </c>
      <c r="E2748" s="1"/>
      <c r="F2748" s="1"/>
      <c r="G2748" s="1"/>
      <c r="H2748" s="1"/>
      <c r="I2748" s="2"/>
      <c r="J2748" s="1"/>
      <c r="K2748" s="1"/>
      <c r="L2748" s="1"/>
      <c r="M2748" s="1"/>
      <c r="N2748" s="1"/>
      <c r="O2748" s="1"/>
      <c r="P2748" s="1"/>
      <c r="Q2748" s="1"/>
      <c r="R2748" s="1"/>
      <c r="S2748" s="1"/>
      <c r="T2748" s="1"/>
      <c r="U2748" s="1"/>
      <c r="V2748" s="1"/>
      <c r="W2748" s="1"/>
      <c r="X2748" s="1"/>
    </row>
    <row x14ac:dyDescent="0.25" r="2749" customHeight="1" ht="18.75">
      <c r="A2749" s="1"/>
      <c r="B2749" s="1"/>
      <c r="C2749" s="3" t="s">
        <v>2259</v>
      </c>
      <c r="D2749" s="3" t="s">
        <v>2780</v>
      </c>
      <c r="E2749" s="1"/>
      <c r="F2749" s="1"/>
      <c r="G2749" s="1"/>
      <c r="H2749" s="1"/>
      <c r="I2749" s="2"/>
      <c r="J2749" s="1"/>
      <c r="K2749" s="1"/>
      <c r="L2749" s="1"/>
      <c r="M2749" s="1"/>
      <c r="N2749" s="1"/>
      <c r="O2749" s="1"/>
      <c r="P2749" s="1"/>
      <c r="Q2749" s="1"/>
      <c r="R2749" s="1"/>
      <c r="S2749" s="1"/>
      <c r="T2749" s="1"/>
      <c r="U2749" s="1"/>
      <c r="V2749" s="1"/>
      <c r="W2749" s="1"/>
      <c r="X2749" s="1"/>
    </row>
    <row x14ac:dyDescent="0.25" r="2750" customHeight="1" ht="18.75">
      <c r="A2750" s="1"/>
      <c r="B2750" s="1"/>
      <c r="C2750" s="3" t="s">
        <v>2259</v>
      </c>
      <c r="D2750" s="3" t="s">
        <v>2781</v>
      </c>
      <c r="E2750" s="1"/>
      <c r="F2750" s="1"/>
      <c r="G2750" s="1"/>
      <c r="H2750" s="1"/>
      <c r="I2750" s="2"/>
      <c r="J2750" s="1"/>
      <c r="K2750" s="1"/>
      <c r="L2750" s="1"/>
      <c r="M2750" s="1"/>
      <c r="N2750" s="1"/>
      <c r="O2750" s="1"/>
      <c r="P2750" s="1"/>
      <c r="Q2750" s="1"/>
      <c r="R2750" s="1"/>
      <c r="S2750" s="1"/>
      <c r="T2750" s="1"/>
      <c r="U2750" s="1"/>
      <c r="V2750" s="1"/>
      <c r="W2750" s="1"/>
      <c r="X2750" s="1"/>
    </row>
    <row x14ac:dyDescent="0.25" r="2751" customHeight="1" ht="18.75">
      <c r="A2751" s="1"/>
      <c r="B2751" s="1"/>
      <c r="C2751" s="3" t="s">
        <v>2259</v>
      </c>
      <c r="D2751" s="3" t="s">
        <v>2782</v>
      </c>
      <c r="E2751" s="1"/>
      <c r="F2751" s="1"/>
      <c r="G2751" s="1"/>
      <c r="H2751" s="1"/>
      <c r="I2751" s="2"/>
      <c r="J2751" s="1"/>
      <c r="K2751" s="1"/>
      <c r="L2751" s="1"/>
      <c r="M2751" s="1"/>
      <c r="N2751" s="1"/>
      <c r="O2751" s="1"/>
      <c r="P2751" s="1"/>
      <c r="Q2751" s="1"/>
      <c r="R2751" s="1"/>
      <c r="S2751" s="1"/>
      <c r="T2751" s="1"/>
      <c r="U2751" s="1"/>
      <c r="V2751" s="1"/>
      <c r="W2751" s="1"/>
      <c r="X2751" s="1"/>
    </row>
    <row x14ac:dyDescent="0.25" r="2752" customHeight="1" ht="18.75">
      <c r="A2752" s="1"/>
      <c r="B2752" s="1"/>
      <c r="C2752" s="3" t="s">
        <v>2259</v>
      </c>
      <c r="D2752" s="3" t="s">
        <v>2783</v>
      </c>
      <c r="E2752" s="1"/>
      <c r="F2752" s="1"/>
      <c r="G2752" s="1"/>
      <c r="H2752" s="1"/>
      <c r="I2752" s="2"/>
      <c r="J2752" s="1"/>
      <c r="K2752" s="1"/>
      <c r="L2752" s="1"/>
      <c r="M2752" s="1"/>
      <c r="N2752" s="1"/>
      <c r="O2752" s="1"/>
      <c r="P2752" s="1"/>
      <c r="Q2752" s="1"/>
      <c r="R2752" s="1"/>
      <c r="S2752" s="1"/>
      <c r="T2752" s="1"/>
      <c r="U2752" s="1"/>
      <c r="V2752" s="1"/>
      <c r="W2752" s="1"/>
      <c r="X2752" s="1"/>
    </row>
    <row x14ac:dyDescent="0.25" r="2753" customHeight="1" ht="18.75">
      <c r="A2753" s="1"/>
      <c r="B2753" s="1"/>
      <c r="C2753" s="3" t="s">
        <v>2259</v>
      </c>
      <c r="D2753" s="3" t="s">
        <v>2784</v>
      </c>
      <c r="E2753" s="1"/>
      <c r="F2753" s="1"/>
      <c r="G2753" s="1"/>
      <c r="H2753" s="1"/>
      <c r="I2753" s="2"/>
      <c r="J2753" s="1"/>
      <c r="K2753" s="1"/>
      <c r="L2753" s="1"/>
      <c r="M2753" s="1"/>
      <c r="N2753" s="1"/>
      <c r="O2753" s="1"/>
      <c r="P2753" s="1"/>
      <c r="Q2753" s="1"/>
      <c r="R2753" s="1"/>
      <c r="S2753" s="1"/>
      <c r="T2753" s="1"/>
      <c r="U2753" s="1"/>
      <c r="V2753" s="1"/>
      <c r="W2753" s="1"/>
      <c r="X2753" s="1"/>
    </row>
    <row x14ac:dyDescent="0.25" r="2754" customHeight="1" ht="18.75">
      <c r="A2754" s="1"/>
      <c r="B2754" s="1"/>
      <c r="C2754" s="3" t="s">
        <v>2259</v>
      </c>
      <c r="D2754" s="3" t="s">
        <v>2785</v>
      </c>
      <c r="E2754" s="1"/>
      <c r="F2754" s="1"/>
      <c r="G2754" s="1"/>
      <c r="H2754" s="1"/>
      <c r="I2754" s="2"/>
      <c r="J2754" s="1"/>
      <c r="K2754" s="1"/>
      <c r="L2754" s="1"/>
      <c r="M2754" s="1"/>
      <c r="N2754" s="1"/>
      <c r="O2754" s="1"/>
      <c r="P2754" s="1"/>
      <c r="Q2754" s="1"/>
      <c r="R2754" s="1"/>
      <c r="S2754" s="1"/>
      <c r="T2754" s="1"/>
      <c r="U2754" s="1"/>
      <c r="V2754" s="1"/>
      <c r="W2754" s="1"/>
      <c r="X2754" s="1"/>
    </row>
    <row x14ac:dyDescent="0.25" r="2755" customHeight="1" ht="18.75">
      <c r="A2755" s="1"/>
      <c r="B2755" s="1"/>
      <c r="C2755" s="3" t="s">
        <v>2259</v>
      </c>
      <c r="D2755" s="3" t="s">
        <v>2786</v>
      </c>
      <c r="E2755" s="1"/>
      <c r="F2755" s="1"/>
      <c r="G2755" s="1"/>
      <c r="H2755" s="1"/>
      <c r="I2755" s="2"/>
      <c r="J2755" s="1"/>
      <c r="K2755" s="1"/>
      <c r="L2755" s="1"/>
      <c r="M2755" s="1"/>
      <c r="N2755" s="1"/>
      <c r="O2755" s="1"/>
      <c r="P2755" s="1"/>
      <c r="Q2755" s="1"/>
      <c r="R2755" s="1"/>
      <c r="S2755" s="1"/>
      <c r="T2755" s="1"/>
      <c r="U2755" s="1"/>
      <c r="V2755" s="1"/>
      <c r="W2755" s="1"/>
      <c r="X2755" s="1"/>
    </row>
    <row x14ac:dyDescent="0.25" r="2756" customHeight="1" ht="18.75">
      <c r="A2756" s="1"/>
      <c r="B2756" s="1"/>
      <c r="C2756" s="3" t="s">
        <v>2259</v>
      </c>
      <c r="D2756" s="3" t="s">
        <v>2787</v>
      </c>
      <c r="E2756" s="1"/>
      <c r="F2756" s="1"/>
      <c r="G2756" s="1"/>
      <c r="H2756" s="1"/>
      <c r="I2756" s="2"/>
      <c r="J2756" s="1"/>
      <c r="K2756" s="1"/>
      <c r="L2756" s="1"/>
      <c r="M2756" s="1"/>
      <c r="N2756" s="1"/>
      <c r="O2756" s="1"/>
      <c r="P2756" s="1"/>
      <c r="Q2756" s="1"/>
      <c r="R2756" s="1"/>
      <c r="S2756" s="1"/>
      <c r="T2756" s="1"/>
      <c r="U2756" s="1"/>
      <c r="V2756" s="1"/>
      <c r="W2756" s="1"/>
      <c r="X2756" s="1"/>
    </row>
    <row x14ac:dyDescent="0.25" r="2757" customHeight="1" ht="18.75">
      <c r="A2757" s="1"/>
      <c r="B2757" s="1"/>
      <c r="C2757" s="3" t="s">
        <v>2259</v>
      </c>
      <c r="D2757" s="3" t="s">
        <v>2788</v>
      </c>
      <c r="E2757" s="1"/>
      <c r="F2757" s="1"/>
      <c r="G2757" s="1"/>
      <c r="H2757" s="1"/>
      <c r="I2757" s="2"/>
      <c r="J2757" s="1"/>
      <c r="K2757" s="1"/>
      <c r="L2757" s="1"/>
      <c r="M2757" s="1"/>
      <c r="N2757" s="1"/>
      <c r="O2757" s="1"/>
      <c r="P2757" s="1"/>
      <c r="Q2757" s="1"/>
      <c r="R2757" s="1"/>
      <c r="S2757" s="1"/>
      <c r="T2757" s="1"/>
      <c r="U2757" s="1"/>
      <c r="V2757" s="1"/>
      <c r="W2757" s="1"/>
      <c r="X2757" s="1"/>
    </row>
    <row x14ac:dyDescent="0.25" r="2758" customHeight="1" ht="18.75">
      <c r="A2758" s="1"/>
      <c r="B2758" s="1"/>
      <c r="C2758" s="3" t="s">
        <v>2259</v>
      </c>
      <c r="D2758" s="3" t="s">
        <v>2789</v>
      </c>
      <c r="E2758" s="1"/>
      <c r="F2758" s="1"/>
      <c r="G2758" s="1"/>
      <c r="H2758" s="1"/>
      <c r="I2758" s="2"/>
      <c r="J2758" s="1"/>
      <c r="K2758" s="1"/>
      <c r="L2758" s="1"/>
      <c r="M2758" s="1"/>
      <c r="N2758" s="1"/>
      <c r="O2758" s="1"/>
      <c r="P2758" s="1"/>
      <c r="Q2758" s="1"/>
      <c r="R2758" s="1"/>
      <c r="S2758" s="1"/>
      <c r="T2758" s="1"/>
      <c r="U2758" s="1"/>
      <c r="V2758" s="1"/>
      <c r="W2758" s="1"/>
      <c r="X2758" s="1"/>
    </row>
    <row x14ac:dyDescent="0.25" r="2759" customHeight="1" ht="18.75">
      <c r="A2759" s="1"/>
      <c r="B2759" s="1"/>
      <c r="C2759" s="3" t="s">
        <v>2259</v>
      </c>
      <c r="D2759" s="3" t="s">
        <v>2790</v>
      </c>
      <c r="E2759" s="1"/>
      <c r="F2759" s="1"/>
      <c r="G2759" s="1"/>
      <c r="H2759" s="1"/>
      <c r="I2759" s="2"/>
      <c r="J2759" s="1"/>
      <c r="K2759" s="1"/>
      <c r="L2759" s="1"/>
      <c r="M2759" s="1"/>
      <c r="N2759" s="1"/>
      <c r="O2759" s="1"/>
      <c r="P2759" s="1"/>
      <c r="Q2759" s="1"/>
      <c r="R2759" s="1"/>
      <c r="S2759" s="1"/>
      <c r="T2759" s="1"/>
      <c r="U2759" s="1"/>
      <c r="V2759" s="1"/>
      <c r="W2759" s="1"/>
      <c r="X2759" s="1"/>
    </row>
    <row x14ac:dyDescent="0.25" r="2760" customHeight="1" ht="18.75">
      <c r="A2760" s="1"/>
      <c r="B2760" s="1"/>
      <c r="C2760" s="3" t="s">
        <v>2259</v>
      </c>
      <c r="D2760" s="3" t="s">
        <v>2791</v>
      </c>
      <c r="E2760" s="1"/>
      <c r="F2760" s="1"/>
      <c r="G2760" s="1"/>
      <c r="H2760" s="1"/>
      <c r="I2760" s="2"/>
      <c r="J2760" s="1"/>
      <c r="K2760" s="1"/>
      <c r="L2760" s="1"/>
      <c r="M2760" s="1"/>
      <c r="N2760" s="1"/>
      <c r="O2760" s="1"/>
      <c r="P2760" s="1"/>
      <c r="Q2760" s="1"/>
      <c r="R2760" s="1"/>
      <c r="S2760" s="1"/>
      <c r="T2760" s="1"/>
      <c r="U2760" s="1"/>
      <c r="V2760" s="1"/>
      <c r="W2760" s="1"/>
      <c r="X2760" s="1"/>
    </row>
    <row x14ac:dyDescent="0.25" r="2761" customHeight="1" ht="18.75">
      <c r="A2761" s="1"/>
      <c r="B2761" s="1"/>
      <c r="C2761" s="3" t="s">
        <v>2259</v>
      </c>
      <c r="D2761" s="3" t="s">
        <v>2792</v>
      </c>
      <c r="E2761" s="1"/>
      <c r="F2761" s="1"/>
      <c r="G2761" s="1"/>
      <c r="H2761" s="1"/>
      <c r="I2761" s="2"/>
      <c r="J2761" s="1"/>
      <c r="K2761" s="1"/>
      <c r="L2761" s="1"/>
      <c r="M2761" s="1"/>
      <c r="N2761" s="1"/>
      <c r="O2761" s="1"/>
      <c r="P2761" s="1"/>
      <c r="Q2761" s="1"/>
      <c r="R2761" s="1"/>
      <c r="S2761" s="1"/>
      <c r="T2761" s="1"/>
      <c r="U2761" s="1"/>
      <c r="V2761" s="1"/>
      <c r="W2761" s="1"/>
      <c r="X2761" s="1"/>
    </row>
    <row x14ac:dyDescent="0.25" r="2762" customHeight="1" ht="18.75">
      <c r="A2762" s="1"/>
      <c r="B2762" s="1"/>
      <c r="C2762" s="3" t="s">
        <v>2259</v>
      </c>
      <c r="D2762" s="3" t="s">
        <v>2793</v>
      </c>
      <c r="E2762" s="1"/>
      <c r="F2762" s="1"/>
      <c r="G2762" s="1"/>
      <c r="H2762" s="1"/>
      <c r="I2762" s="2"/>
      <c r="J2762" s="1"/>
      <c r="K2762" s="1"/>
      <c r="L2762" s="1"/>
      <c r="M2762" s="1"/>
      <c r="N2762" s="1"/>
      <c r="O2762" s="1"/>
      <c r="P2762" s="1"/>
      <c r="Q2762" s="1"/>
      <c r="R2762" s="1"/>
      <c r="S2762" s="1"/>
      <c r="T2762" s="1"/>
      <c r="U2762" s="1"/>
      <c r="V2762" s="1"/>
      <c r="W2762" s="1"/>
      <c r="X2762" s="1"/>
    </row>
    <row x14ac:dyDescent="0.25" r="2763" customHeight="1" ht="18.75">
      <c r="A2763" s="1"/>
      <c r="B2763" s="1"/>
      <c r="C2763" s="3" t="s">
        <v>2259</v>
      </c>
      <c r="D2763" s="3" t="s">
        <v>2794</v>
      </c>
      <c r="E2763" s="1"/>
      <c r="F2763" s="1"/>
      <c r="G2763" s="1"/>
      <c r="H2763" s="1"/>
      <c r="I2763" s="2"/>
      <c r="J2763" s="1"/>
      <c r="K2763" s="1"/>
      <c r="L2763" s="1"/>
      <c r="M2763" s="1"/>
      <c r="N2763" s="1"/>
      <c r="O2763" s="1"/>
      <c r="P2763" s="1"/>
      <c r="Q2763" s="1"/>
      <c r="R2763" s="1"/>
      <c r="S2763" s="1"/>
      <c r="T2763" s="1"/>
      <c r="U2763" s="1"/>
      <c r="V2763" s="1"/>
      <c r="W2763" s="1"/>
      <c r="X2763" s="1"/>
    </row>
    <row x14ac:dyDescent="0.25" r="2764" customHeight="1" ht="18.75">
      <c r="A2764" s="1"/>
      <c r="B2764" s="1"/>
      <c r="C2764" s="3" t="s">
        <v>2259</v>
      </c>
      <c r="D2764" s="3" t="s">
        <v>2795</v>
      </c>
      <c r="E2764" s="1"/>
      <c r="F2764" s="1"/>
      <c r="G2764" s="1"/>
      <c r="H2764" s="1"/>
      <c r="I2764" s="2"/>
      <c r="J2764" s="1"/>
      <c r="K2764" s="1"/>
      <c r="L2764" s="1"/>
      <c r="M2764" s="1"/>
      <c r="N2764" s="1"/>
      <c r="O2764" s="1"/>
      <c r="P2764" s="1"/>
      <c r="Q2764" s="1"/>
      <c r="R2764" s="1"/>
      <c r="S2764" s="1"/>
      <c r="T2764" s="1"/>
      <c r="U2764" s="1"/>
      <c r="V2764" s="1"/>
      <c r="W2764" s="1"/>
      <c r="X2764" s="1"/>
    </row>
    <row x14ac:dyDescent="0.25" r="2765" customHeight="1" ht="18.75">
      <c r="A2765" s="1"/>
      <c r="B2765" s="1"/>
      <c r="C2765" s="3" t="s">
        <v>2259</v>
      </c>
      <c r="D2765" s="3" t="s">
        <v>2796</v>
      </c>
      <c r="E2765" s="1"/>
      <c r="F2765" s="1"/>
      <c r="G2765" s="1"/>
      <c r="H2765" s="1"/>
      <c r="I2765" s="2"/>
      <c r="J2765" s="1"/>
      <c r="K2765" s="1"/>
      <c r="L2765" s="1"/>
      <c r="M2765" s="1"/>
      <c r="N2765" s="1"/>
      <c r="O2765" s="1"/>
      <c r="P2765" s="1"/>
      <c r="Q2765" s="1"/>
      <c r="R2765" s="1"/>
      <c r="S2765" s="1"/>
      <c r="T2765" s="1"/>
      <c r="U2765" s="1"/>
      <c r="V2765" s="1"/>
      <c r="W2765" s="1"/>
      <c r="X2765" s="1"/>
    </row>
    <row x14ac:dyDescent="0.25" r="2766" customHeight="1" ht="18.75">
      <c r="A2766" s="1"/>
      <c r="B2766" s="1"/>
      <c r="C2766" s="3" t="s">
        <v>2259</v>
      </c>
      <c r="D2766" s="3" t="s">
        <v>2797</v>
      </c>
      <c r="E2766" s="1"/>
      <c r="F2766" s="1"/>
      <c r="G2766" s="1"/>
      <c r="H2766" s="1"/>
      <c r="I2766" s="2"/>
      <c r="J2766" s="1"/>
      <c r="K2766" s="1"/>
      <c r="L2766" s="1"/>
      <c r="M2766" s="1"/>
      <c r="N2766" s="1"/>
      <c r="O2766" s="1"/>
      <c r="P2766" s="1"/>
      <c r="Q2766" s="1"/>
      <c r="R2766" s="1"/>
      <c r="S2766" s="1"/>
      <c r="T2766" s="1"/>
      <c r="U2766" s="1"/>
      <c r="V2766" s="1"/>
      <c r="W2766" s="1"/>
      <c r="X2766" s="1"/>
    </row>
    <row x14ac:dyDescent="0.25" r="2767" customHeight="1" ht="18.75">
      <c r="A2767" s="1"/>
      <c r="B2767" s="1"/>
      <c r="C2767" s="3" t="s">
        <v>2259</v>
      </c>
      <c r="D2767" s="3" t="s">
        <v>2798</v>
      </c>
      <c r="E2767" s="1"/>
      <c r="F2767" s="1"/>
      <c r="G2767" s="1"/>
      <c r="H2767" s="1"/>
      <c r="I2767" s="2"/>
      <c r="J2767" s="1"/>
      <c r="K2767" s="1"/>
      <c r="L2767" s="1"/>
      <c r="M2767" s="1"/>
      <c r="N2767" s="1"/>
      <c r="O2767" s="1"/>
      <c r="P2767" s="1"/>
      <c r="Q2767" s="1"/>
      <c r="R2767" s="1"/>
      <c r="S2767" s="1"/>
      <c r="T2767" s="1"/>
      <c r="U2767" s="1"/>
      <c r="V2767" s="1"/>
      <c r="W2767" s="1"/>
      <c r="X2767" s="1"/>
    </row>
    <row x14ac:dyDescent="0.25" r="2768" customHeight="1" ht="18.75">
      <c r="A2768" s="1"/>
      <c r="B2768" s="1"/>
      <c r="C2768" s="3" t="s">
        <v>2259</v>
      </c>
      <c r="D2768" s="3" t="s">
        <v>2799</v>
      </c>
      <c r="E2768" s="1"/>
      <c r="F2768" s="1"/>
      <c r="G2768" s="1"/>
      <c r="H2768" s="1"/>
      <c r="I2768" s="2"/>
      <c r="J2768" s="1"/>
      <c r="K2768" s="1"/>
      <c r="L2768" s="1"/>
      <c r="M2768" s="1"/>
      <c r="N2768" s="1"/>
      <c r="O2768" s="1"/>
      <c r="P2768" s="1"/>
      <c r="Q2768" s="1"/>
      <c r="R2768" s="1"/>
      <c r="S2768" s="1"/>
      <c r="T2768" s="1"/>
      <c r="U2768" s="1"/>
      <c r="V2768" s="1"/>
      <c r="W2768" s="1"/>
      <c r="X2768" s="1"/>
    </row>
    <row x14ac:dyDescent="0.25" r="2769" customHeight="1" ht="18.75">
      <c r="A2769" s="1"/>
      <c r="B2769" s="1"/>
      <c r="C2769" s="3" t="s">
        <v>2259</v>
      </c>
      <c r="D2769" s="3" t="s">
        <v>2800</v>
      </c>
      <c r="E2769" s="1"/>
      <c r="F2769" s="1"/>
      <c r="G2769" s="1"/>
      <c r="H2769" s="1"/>
      <c r="I2769" s="2"/>
      <c r="J2769" s="1"/>
      <c r="K2769" s="1"/>
      <c r="L2769" s="1"/>
      <c r="M2769" s="1"/>
      <c r="N2769" s="1"/>
      <c r="O2769" s="1"/>
      <c r="P2769" s="1"/>
      <c r="Q2769" s="1"/>
      <c r="R2769" s="1"/>
      <c r="S2769" s="1"/>
      <c r="T2769" s="1"/>
      <c r="U2769" s="1"/>
      <c r="V2769" s="1"/>
      <c r="W2769" s="1"/>
      <c r="X2769" s="1"/>
    </row>
    <row x14ac:dyDescent="0.25" r="2770" customHeight="1" ht="18.75">
      <c r="A2770" s="1"/>
      <c r="B2770" s="1"/>
      <c r="C2770" s="3" t="s">
        <v>2259</v>
      </c>
      <c r="D2770" s="3" t="s">
        <v>2801</v>
      </c>
      <c r="E2770" s="1"/>
      <c r="F2770" s="1"/>
      <c r="G2770" s="1"/>
      <c r="H2770" s="1"/>
      <c r="I2770" s="2"/>
      <c r="J2770" s="1"/>
      <c r="K2770" s="1"/>
      <c r="L2770" s="1"/>
      <c r="M2770" s="1"/>
      <c r="N2770" s="1"/>
      <c r="O2770" s="1"/>
      <c r="P2770" s="1"/>
      <c r="Q2770" s="1"/>
      <c r="R2770" s="1"/>
      <c r="S2770" s="1"/>
      <c r="T2770" s="1"/>
      <c r="U2770" s="1"/>
      <c r="V2770" s="1"/>
      <c r="W2770" s="1"/>
      <c r="X2770" s="1"/>
    </row>
    <row x14ac:dyDescent="0.25" r="2771" customHeight="1" ht="18.75">
      <c r="A2771" s="1"/>
      <c r="B2771" s="1"/>
      <c r="C2771" s="3" t="s">
        <v>2259</v>
      </c>
      <c r="D2771" s="3" t="s">
        <v>2802</v>
      </c>
      <c r="E2771" s="1"/>
      <c r="F2771" s="1"/>
      <c r="G2771" s="1"/>
      <c r="H2771" s="1"/>
      <c r="I2771" s="2"/>
      <c r="J2771" s="1"/>
      <c r="K2771" s="1"/>
      <c r="L2771" s="1"/>
      <c r="M2771" s="1"/>
      <c r="N2771" s="1"/>
      <c r="O2771" s="1"/>
      <c r="P2771" s="1"/>
      <c r="Q2771" s="1"/>
      <c r="R2771" s="1"/>
      <c r="S2771" s="1"/>
      <c r="T2771" s="1"/>
      <c r="U2771" s="1"/>
      <c r="V2771" s="1"/>
      <c r="W2771" s="1"/>
      <c r="X2771" s="1"/>
    </row>
    <row x14ac:dyDescent="0.25" r="2772" customHeight="1" ht="18.75">
      <c r="A2772" s="1"/>
      <c r="B2772" s="1"/>
      <c r="C2772" s="3" t="s">
        <v>2259</v>
      </c>
      <c r="D2772" s="3" t="s">
        <v>2803</v>
      </c>
      <c r="E2772" s="1"/>
      <c r="F2772" s="1"/>
      <c r="G2772" s="1"/>
      <c r="H2772" s="1"/>
      <c r="I2772" s="2"/>
      <c r="J2772" s="1"/>
      <c r="K2772" s="1"/>
      <c r="L2772" s="1"/>
      <c r="M2772" s="1"/>
      <c r="N2772" s="1"/>
      <c r="O2772" s="1"/>
      <c r="P2772" s="1"/>
      <c r="Q2772" s="1"/>
      <c r="R2772" s="1"/>
      <c r="S2772" s="1"/>
      <c r="T2772" s="1"/>
      <c r="U2772" s="1"/>
      <c r="V2772" s="1"/>
      <c r="W2772" s="1"/>
      <c r="X2772" s="1"/>
    </row>
    <row x14ac:dyDescent="0.25" r="2773" customHeight="1" ht="18.75">
      <c r="A2773" s="1"/>
      <c r="B2773" s="1"/>
      <c r="C2773" s="3" t="s">
        <v>2259</v>
      </c>
      <c r="D2773" s="3" t="s">
        <v>2804</v>
      </c>
      <c r="E2773" s="1"/>
      <c r="F2773" s="1"/>
      <c r="G2773" s="1"/>
      <c r="H2773" s="1"/>
      <c r="I2773" s="2"/>
      <c r="J2773" s="1"/>
      <c r="K2773" s="1"/>
      <c r="L2773" s="1"/>
      <c r="M2773" s="1"/>
      <c r="N2773" s="1"/>
      <c r="O2773" s="1"/>
      <c r="P2773" s="1"/>
      <c r="Q2773" s="1"/>
      <c r="R2773" s="1"/>
      <c r="S2773" s="1"/>
      <c r="T2773" s="1"/>
      <c r="U2773" s="1"/>
      <c r="V2773" s="1"/>
      <c r="W2773" s="1"/>
      <c r="X2773" s="1"/>
    </row>
    <row x14ac:dyDescent="0.25" r="2774" customHeight="1" ht="18.75">
      <c r="A2774" s="1"/>
      <c r="B2774" s="1"/>
      <c r="C2774" s="3" t="s">
        <v>2259</v>
      </c>
      <c r="D2774" s="3" t="s">
        <v>2805</v>
      </c>
      <c r="E2774" s="1"/>
      <c r="F2774" s="1"/>
      <c r="G2774" s="1"/>
      <c r="H2774" s="1"/>
      <c r="I2774" s="2"/>
      <c r="J2774" s="1"/>
      <c r="K2774" s="1"/>
      <c r="L2774" s="1"/>
      <c r="M2774" s="1"/>
      <c r="N2774" s="1"/>
      <c r="O2774" s="1"/>
      <c r="P2774" s="1"/>
      <c r="Q2774" s="1"/>
      <c r="R2774" s="1"/>
      <c r="S2774" s="1"/>
      <c r="T2774" s="1"/>
      <c r="U2774" s="1"/>
      <c r="V2774" s="1"/>
      <c r="W2774" s="1"/>
      <c r="X2774" s="1"/>
    </row>
    <row x14ac:dyDescent="0.25" r="2775" customHeight="1" ht="18.75">
      <c r="A2775" s="1"/>
      <c r="B2775" s="1"/>
      <c r="C2775" s="3" t="s">
        <v>2259</v>
      </c>
      <c r="D2775" s="3" t="s">
        <v>2806</v>
      </c>
      <c r="E2775" s="1"/>
      <c r="F2775" s="1"/>
      <c r="G2775" s="1"/>
      <c r="H2775" s="1"/>
      <c r="I2775" s="2"/>
      <c r="J2775" s="1"/>
      <c r="K2775" s="1"/>
      <c r="L2775" s="1"/>
      <c r="M2775" s="1"/>
      <c r="N2775" s="1"/>
      <c r="O2775" s="1"/>
      <c r="P2775" s="1"/>
      <c r="Q2775" s="1"/>
      <c r="R2775" s="1"/>
      <c r="S2775" s="1"/>
      <c r="T2775" s="1"/>
      <c r="U2775" s="1"/>
      <c r="V2775" s="1"/>
      <c r="W2775" s="1"/>
      <c r="X2775" s="1"/>
    </row>
    <row x14ac:dyDescent="0.25" r="2776" customHeight="1" ht="18.75">
      <c r="A2776" s="1"/>
      <c r="B2776" s="1"/>
      <c r="C2776" s="3" t="s">
        <v>2259</v>
      </c>
      <c r="D2776" s="3" t="s">
        <v>2807</v>
      </c>
      <c r="E2776" s="1"/>
      <c r="F2776" s="1"/>
      <c r="G2776" s="1"/>
      <c r="H2776" s="1"/>
      <c r="I2776" s="2"/>
      <c r="J2776" s="1"/>
      <c r="K2776" s="1"/>
      <c r="L2776" s="1"/>
      <c r="M2776" s="1"/>
      <c r="N2776" s="1"/>
      <c r="O2776" s="1"/>
      <c r="P2776" s="1"/>
      <c r="Q2776" s="1"/>
      <c r="R2776" s="1"/>
      <c r="S2776" s="1"/>
      <c r="T2776" s="1"/>
      <c r="U2776" s="1"/>
      <c r="V2776" s="1"/>
      <c r="W2776" s="1"/>
      <c r="X2776" s="1"/>
    </row>
    <row x14ac:dyDescent="0.25" r="2777" customHeight="1" ht="18.75">
      <c r="A2777" s="1"/>
      <c r="B2777" s="1"/>
      <c r="C2777" s="3" t="s">
        <v>2259</v>
      </c>
      <c r="D2777" s="3" t="s">
        <v>2808</v>
      </c>
      <c r="E2777" s="1"/>
      <c r="F2777" s="1"/>
      <c r="G2777" s="1"/>
      <c r="H2777" s="1"/>
      <c r="I2777" s="2"/>
      <c r="J2777" s="1"/>
      <c r="K2777" s="1"/>
      <c r="L2777" s="1"/>
      <c r="M2777" s="1"/>
      <c r="N2777" s="1"/>
      <c r="O2777" s="1"/>
      <c r="P2777" s="1"/>
      <c r="Q2777" s="1"/>
      <c r="R2777" s="1"/>
      <c r="S2777" s="1"/>
      <c r="T2777" s="1"/>
      <c r="U2777" s="1"/>
      <c r="V2777" s="1"/>
      <c r="W2777" s="1"/>
      <c r="X2777" s="1"/>
    </row>
    <row x14ac:dyDescent="0.25" r="2778" customHeight="1" ht="18.75">
      <c r="A2778" s="1"/>
      <c r="B2778" s="1"/>
      <c r="C2778" s="3" t="s">
        <v>2259</v>
      </c>
      <c r="D2778" s="3" t="s">
        <v>2809</v>
      </c>
      <c r="E2778" s="1"/>
      <c r="F2778" s="1"/>
      <c r="G2778" s="1"/>
      <c r="H2778" s="1"/>
      <c r="I2778" s="2"/>
      <c r="J2778" s="1"/>
      <c r="K2778" s="1"/>
      <c r="L2778" s="1"/>
      <c r="M2778" s="1"/>
      <c r="N2778" s="1"/>
      <c r="O2778" s="1"/>
      <c r="P2778" s="1"/>
      <c r="Q2778" s="1"/>
      <c r="R2778" s="1"/>
      <c r="S2778" s="1"/>
      <c r="T2778" s="1"/>
      <c r="U2778" s="1"/>
      <c r="V2778" s="1"/>
      <c r="W2778" s="1"/>
      <c r="X2778" s="1"/>
    </row>
    <row x14ac:dyDescent="0.25" r="2779" customHeight="1" ht="18.75">
      <c r="A2779" s="1"/>
      <c r="B2779" s="1"/>
      <c r="C2779" s="3" t="s">
        <v>2259</v>
      </c>
      <c r="D2779" s="3" t="s">
        <v>2810</v>
      </c>
      <c r="E2779" s="1"/>
      <c r="F2779" s="1"/>
      <c r="G2779" s="1"/>
      <c r="H2779" s="1"/>
      <c r="I2779" s="2"/>
      <c r="J2779" s="1"/>
      <c r="K2779" s="1"/>
      <c r="L2779" s="1"/>
      <c r="M2779" s="1"/>
      <c r="N2779" s="1"/>
      <c r="O2779" s="1"/>
      <c r="P2779" s="1"/>
      <c r="Q2779" s="1"/>
      <c r="R2779" s="1"/>
      <c r="S2779" s="1"/>
      <c r="T2779" s="1"/>
      <c r="U2779" s="1"/>
      <c r="V2779" s="1"/>
      <c r="W2779" s="1"/>
      <c r="X2779" s="1"/>
    </row>
    <row x14ac:dyDescent="0.25" r="2780" customHeight="1" ht="18.75">
      <c r="A2780" s="1"/>
      <c r="B2780" s="1"/>
      <c r="C2780" s="3" t="s">
        <v>2259</v>
      </c>
      <c r="D2780" s="3" t="s">
        <v>2811</v>
      </c>
      <c r="E2780" s="1"/>
      <c r="F2780" s="1"/>
      <c r="G2780" s="1"/>
      <c r="H2780" s="1"/>
      <c r="I2780" s="2"/>
      <c r="J2780" s="1"/>
      <c r="K2780" s="1"/>
      <c r="L2780" s="1"/>
      <c r="M2780" s="1"/>
      <c r="N2780" s="1"/>
      <c r="O2780" s="1"/>
      <c r="P2780" s="1"/>
      <c r="Q2780" s="1"/>
      <c r="R2780" s="1"/>
      <c r="S2780" s="1"/>
      <c r="T2780" s="1"/>
      <c r="U2780" s="1"/>
      <c r="V2780" s="1"/>
      <c r="W2780" s="1"/>
      <c r="X2780" s="1"/>
    </row>
    <row x14ac:dyDescent="0.25" r="2781" customHeight="1" ht="18.75">
      <c r="A2781" s="1"/>
      <c r="B2781" s="1"/>
      <c r="C2781" s="3" t="s">
        <v>2259</v>
      </c>
      <c r="D2781" s="3" t="s">
        <v>2812</v>
      </c>
      <c r="E2781" s="1"/>
      <c r="F2781" s="1"/>
      <c r="G2781" s="1"/>
      <c r="H2781" s="1"/>
      <c r="I2781" s="2"/>
      <c r="J2781" s="1"/>
      <c r="K2781" s="1"/>
      <c r="L2781" s="1"/>
      <c r="M2781" s="1"/>
      <c r="N2781" s="1"/>
      <c r="O2781" s="1"/>
      <c r="P2781" s="1"/>
      <c r="Q2781" s="1"/>
      <c r="R2781" s="1"/>
      <c r="S2781" s="1"/>
      <c r="T2781" s="1"/>
      <c r="U2781" s="1"/>
      <c r="V2781" s="1"/>
      <c r="W2781" s="1"/>
      <c r="X2781" s="1"/>
    </row>
    <row x14ac:dyDescent="0.25" r="2782" customHeight="1" ht="18.75">
      <c r="A2782" s="1"/>
      <c r="B2782" s="1"/>
      <c r="C2782" s="3" t="s">
        <v>2259</v>
      </c>
      <c r="D2782" s="3" t="s">
        <v>2813</v>
      </c>
      <c r="E2782" s="1"/>
      <c r="F2782" s="1"/>
      <c r="G2782" s="1"/>
      <c r="H2782" s="1"/>
      <c r="I2782" s="2"/>
      <c r="J2782" s="1"/>
      <c r="K2782" s="1"/>
      <c r="L2782" s="1"/>
      <c r="M2782" s="1"/>
      <c r="N2782" s="1"/>
      <c r="O2782" s="1"/>
      <c r="P2782" s="1"/>
      <c r="Q2782" s="1"/>
      <c r="R2782" s="1"/>
      <c r="S2782" s="1"/>
      <c r="T2782" s="1"/>
      <c r="U2782" s="1"/>
      <c r="V2782" s="1"/>
      <c r="W2782" s="1"/>
      <c r="X2782" s="1"/>
    </row>
    <row x14ac:dyDescent="0.25" r="2783" customHeight="1" ht="18.75">
      <c r="A2783" s="1"/>
      <c r="B2783" s="1"/>
      <c r="C2783" s="3" t="s">
        <v>2259</v>
      </c>
      <c r="D2783" s="3" t="s">
        <v>2814</v>
      </c>
      <c r="E2783" s="1"/>
      <c r="F2783" s="1"/>
      <c r="G2783" s="1"/>
      <c r="H2783" s="1"/>
      <c r="I2783" s="2"/>
      <c r="J2783" s="1"/>
      <c r="K2783" s="1"/>
      <c r="L2783" s="1"/>
      <c r="M2783" s="1"/>
      <c r="N2783" s="1"/>
      <c r="O2783" s="1"/>
      <c r="P2783" s="1"/>
      <c r="Q2783" s="1"/>
      <c r="R2783" s="1"/>
      <c r="S2783" s="1"/>
      <c r="T2783" s="1"/>
      <c r="U2783" s="1"/>
      <c r="V2783" s="1"/>
      <c r="W2783" s="1"/>
      <c r="X2783" s="1"/>
    </row>
    <row x14ac:dyDescent="0.25" r="2784" customHeight="1" ht="18.75">
      <c r="A2784" s="1"/>
      <c r="B2784" s="1"/>
      <c r="C2784" s="3" t="s">
        <v>2259</v>
      </c>
      <c r="D2784" s="3" t="s">
        <v>2815</v>
      </c>
      <c r="E2784" s="1"/>
      <c r="F2784" s="1"/>
      <c r="G2784" s="1"/>
      <c r="H2784" s="1"/>
      <c r="I2784" s="2"/>
      <c r="J2784" s="1"/>
      <c r="K2784" s="1"/>
      <c r="L2784" s="1"/>
      <c r="M2784" s="1"/>
      <c r="N2784" s="1"/>
      <c r="O2784" s="1"/>
      <c r="P2784" s="1"/>
      <c r="Q2784" s="1"/>
      <c r="R2784" s="1"/>
      <c r="S2784" s="1"/>
      <c r="T2784" s="1"/>
      <c r="U2784" s="1"/>
      <c r="V2784" s="1"/>
      <c r="W2784" s="1"/>
      <c r="X2784" s="1"/>
    </row>
    <row x14ac:dyDescent="0.25" r="2785" customHeight="1" ht="18.75">
      <c r="A2785" s="1"/>
      <c r="B2785" s="1"/>
      <c r="C2785" s="3" t="s">
        <v>2259</v>
      </c>
      <c r="D2785" s="3" t="s">
        <v>2816</v>
      </c>
      <c r="E2785" s="1"/>
      <c r="F2785" s="1"/>
      <c r="G2785" s="1"/>
      <c r="H2785" s="1"/>
      <c r="I2785" s="2"/>
      <c r="J2785" s="1"/>
      <c r="K2785" s="1"/>
      <c r="L2785" s="1"/>
      <c r="M2785" s="1"/>
      <c r="N2785" s="1"/>
      <c r="O2785" s="1"/>
      <c r="P2785" s="1"/>
      <c r="Q2785" s="1"/>
      <c r="R2785" s="1"/>
      <c r="S2785" s="1"/>
      <c r="T2785" s="1"/>
      <c r="U2785" s="1"/>
      <c r="V2785" s="1"/>
      <c r="W2785" s="1"/>
      <c r="X2785" s="1"/>
    </row>
    <row x14ac:dyDescent="0.25" r="2786" customHeight="1" ht="18.75">
      <c r="A2786" s="1"/>
      <c r="B2786" s="1"/>
      <c r="C2786" s="3" t="s">
        <v>1861</v>
      </c>
      <c r="D2786" s="3" t="s">
        <v>2817</v>
      </c>
      <c r="E2786" s="1"/>
      <c r="F2786" s="1"/>
      <c r="G2786" s="1"/>
      <c r="H2786" s="1"/>
      <c r="I2786" s="2"/>
      <c r="J2786" s="1"/>
      <c r="K2786" s="1"/>
      <c r="L2786" s="1"/>
      <c r="M2786" s="1"/>
      <c r="N2786" s="1"/>
      <c r="O2786" s="1"/>
      <c r="P2786" s="1"/>
      <c r="Q2786" s="1"/>
      <c r="R2786" s="1"/>
      <c r="S2786" s="1"/>
      <c r="T2786" s="1"/>
      <c r="U2786" s="1"/>
      <c r="V2786" s="1"/>
      <c r="W2786" s="1"/>
      <c r="X2786" s="1"/>
    </row>
    <row x14ac:dyDescent="0.25" r="2787" customHeight="1" ht="18.75">
      <c r="A2787" s="1"/>
      <c r="B2787" s="1"/>
      <c r="C2787" s="3" t="s">
        <v>1861</v>
      </c>
      <c r="D2787" s="3" t="s">
        <v>2818</v>
      </c>
      <c r="E2787" s="1"/>
      <c r="F2787" s="1"/>
      <c r="G2787" s="1"/>
      <c r="H2787" s="1"/>
      <c r="I2787" s="2"/>
      <c r="J2787" s="1"/>
      <c r="K2787" s="1"/>
      <c r="L2787" s="1"/>
      <c r="M2787" s="1"/>
      <c r="N2787" s="1"/>
      <c r="O2787" s="1"/>
      <c r="P2787" s="1"/>
      <c r="Q2787" s="1"/>
      <c r="R2787" s="1"/>
      <c r="S2787" s="1"/>
      <c r="T2787" s="1"/>
      <c r="U2787" s="1"/>
      <c r="V2787" s="1"/>
      <c r="W2787" s="1"/>
      <c r="X2787" s="1"/>
    </row>
    <row x14ac:dyDescent="0.25" r="2788" customHeight="1" ht="18.75">
      <c r="A2788" s="1"/>
      <c r="B2788" s="1"/>
      <c r="C2788" s="3" t="s">
        <v>1861</v>
      </c>
      <c r="D2788" s="3" t="s">
        <v>2819</v>
      </c>
      <c r="E2788" s="1"/>
      <c r="F2788" s="1"/>
      <c r="G2788" s="1"/>
      <c r="H2788" s="1"/>
      <c r="I2788" s="2"/>
      <c r="J2788" s="1"/>
      <c r="K2788" s="1"/>
      <c r="L2788" s="1"/>
      <c r="M2788" s="1"/>
      <c r="N2788" s="1"/>
      <c r="O2788" s="1"/>
      <c r="P2788" s="1"/>
      <c r="Q2788" s="1"/>
      <c r="R2788" s="1"/>
      <c r="S2788" s="1"/>
      <c r="T2788" s="1"/>
      <c r="U2788" s="1"/>
      <c r="V2788" s="1"/>
      <c r="W2788" s="1"/>
      <c r="X2788" s="1"/>
    </row>
    <row x14ac:dyDescent="0.25" r="2789" customHeight="1" ht="18.75">
      <c r="A2789" s="1"/>
      <c r="B2789" s="1"/>
      <c r="C2789" s="3" t="s">
        <v>1861</v>
      </c>
      <c r="D2789" s="3" t="s">
        <v>2820</v>
      </c>
      <c r="E2789" s="1"/>
      <c r="F2789" s="1"/>
      <c r="G2789" s="1"/>
      <c r="H2789" s="1"/>
      <c r="I2789" s="2"/>
      <c r="J2789" s="1"/>
      <c r="K2789" s="1"/>
      <c r="L2789" s="1"/>
      <c r="M2789" s="1"/>
      <c r="N2789" s="1"/>
      <c r="O2789" s="1"/>
      <c r="P2789" s="1"/>
      <c r="Q2789" s="1"/>
      <c r="R2789" s="1"/>
      <c r="S2789" s="1"/>
      <c r="T2789" s="1"/>
      <c r="U2789" s="1"/>
      <c r="V2789" s="1"/>
      <c r="W2789" s="1"/>
      <c r="X2789" s="1"/>
    </row>
    <row x14ac:dyDescent="0.25" r="2790" customHeight="1" ht="18.75">
      <c r="A2790" s="1"/>
      <c r="B2790" s="1"/>
      <c r="C2790" s="3" t="s">
        <v>1861</v>
      </c>
      <c r="D2790" s="3" t="s">
        <v>2821</v>
      </c>
      <c r="E2790" s="1"/>
      <c r="F2790" s="1"/>
      <c r="G2790" s="1"/>
      <c r="H2790" s="1"/>
      <c r="I2790" s="2"/>
      <c r="J2790" s="1"/>
      <c r="K2790" s="1"/>
      <c r="L2790" s="1"/>
      <c r="M2790" s="1"/>
      <c r="N2790" s="1"/>
      <c r="O2790" s="1"/>
      <c r="P2790" s="1"/>
      <c r="Q2790" s="1"/>
      <c r="R2790" s="1"/>
      <c r="S2790" s="1"/>
      <c r="T2790" s="1"/>
      <c r="U2790" s="1"/>
      <c r="V2790" s="1"/>
      <c r="W2790" s="1"/>
      <c r="X2790" s="1"/>
    </row>
    <row x14ac:dyDescent="0.25" r="2791" customHeight="1" ht="18.75">
      <c r="A2791" s="1"/>
      <c r="B2791" s="1"/>
      <c r="C2791" s="3" t="s">
        <v>1861</v>
      </c>
      <c r="D2791" s="3" t="s">
        <v>2822</v>
      </c>
      <c r="E2791" s="1"/>
      <c r="F2791" s="1"/>
      <c r="G2791" s="1"/>
      <c r="H2791" s="1"/>
      <c r="I2791" s="2"/>
      <c r="J2791" s="1"/>
      <c r="K2791" s="1"/>
      <c r="L2791" s="1"/>
      <c r="M2791" s="1"/>
      <c r="N2791" s="1"/>
      <c r="O2791" s="1"/>
      <c r="P2791" s="1"/>
      <c r="Q2791" s="1"/>
      <c r="R2791" s="1"/>
      <c r="S2791" s="1"/>
      <c r="T2791" s="1"/>
      <c r="U2791" s="1"/>
      <c r="V2791" s="1"/>
      <c r="W2791" s="1"/>
      <c r="X2791" s="1"/>
    </row>
    <row x14ac:dyDescent="0.25" r="2792" customHeight="1" ht="18.75">
      <c r="A2792" s="1"/>
      <c r="B2792" s="1"/>
      <c r="C2792" s="3" t="s">
        <v>1861</v>
      </c>
      <c r="D2792" s="3" t="s">
        <v>2823</v>
      </c>
      <c r="E2792" s="1"/>
      <c r="F2792" s="1"/>
      <c r="G2792" s="1"/>
      <c r="H2792" s="1"/>
      <c r="I2792" s="2"/>
      <c r="J2792" s="1"/>
      <c r="K2792" s="1"/>
      <c r="L2792" s="1"/>
      <c r="M2792" s="1"/>
      <c r="N2792" s="1"/>
      <c r="O2792" s="1"/>
      <c r="P2792" s="1"/>
      <c r="Q2792" s="1"/>
      <c r="R2792" s="1"/>
      <c r="S2792" s="1"/>
      <c r="T2792" s="1"/>
      <c r="U2792" s="1"/>
      <c r="V2792" s="1"/>
      <c r="W2792" s="1"/>
      <c r="X2792" s="1"/>
    </row>
    <row x14ac:dyDescent="0.25" r="2793" customHeight="1" ht="18.75">
      <c r="A2793" s="1"/>
      <c r="B2793" s="1"/>
      <c r="C2793" s="3" t="s">
        <v>1861</v>
      </c>
      <c r="D2793" s="3" t="s">
        <v>2824</v>
      </c>
      <c r="E2793" s="1"/>
      <c r="F2793" s="1"/>
      <c r="G2793" s="1"/>
      <c r="H2793" s="1"/>
      <c r="I2793" s="2"/>
      <c r="J2793" s="1"/>
      <c r="K2793" s="1"/>
      <c r="L2793" s="1"/>
      <c r="M2793" s="1"/>
      <c r="N2793" s="1"/>
      <c r="O2793" s="1"/>
      <c r="P2793" s="1"/>
      <c r="Q2793" s="1"/>
      <c r="R2793" s="1"/>
      <c r="S2793" s="1"/>
      <c r="T2793" s="1"/>
      <c r="U2793" s="1"/>
      <c r="V2793" s="1"/>
      <c r="W2793" s="1"/>
      <c r="X2793" s="1"/>
    </row>
    <row x14ac:dyDescent="0.25" r="2794" customHeight="1" ht="18.75">
      <c r="A2794" s="1"/>
      <c r="B2794" s="1"/>
      <c r="C2794" s="3" t="s">
        <v>1861</v>
      </c>
      <c r="D2794" s="3" t="s">
        <v>2825</v>
      </c>
      <c r="E2794" s="1"/>
      <c r="F2794" s="1"/>
      <c r="G2794" s="1"/>
      <c r="H2794" s="1"/>
      <c r="I2794" s="2"/>
      <c r="J2794" s="1"/>
      <c r="K2794" s="1"/>
      <c r="L2794" s="1"/>
      <c r="M2794" s="1"/>
      <c r="N2794" s="1"/>
      <c r="O2794" s="1"/>
      <c r="P2794" s="1"/>
      <c r="Q2794" s="1"/>
      <c r="R2794" s="1"/>
      <c r="S2794" s="1"/>
      <c r="T2794" s="1"/>
      <c r="U2794" s="1"/>
      <c r="V2794" s="1"/>
      <c r="W2794" s="1"/>
      <c r="X2794" s="1"/>
    </row>
    <row x14ac:dyDescent="0.25" r="2795" customHeight="1" ht="18.75">
      <c r="A2795" s="1"/>
      <c r="B2795" s="1"/>
      <c r="C2795" s="3" t="s">
        <v>1861</v>
      </c>
      <c r="D2795" s="3" t="s">
        <v>2826</v>
      </c>
      <c r="E2795" s="1"/>
      <c r="F2795" s="1"/>
      <c r="G2795" s="1"/>
      <c r="H2795" s="1"/>
      <c r="I2795" s="2"/>
      <c r="J2795" s="1"/>
      <c r="K2795" s="1"/>
      <c r="L2795" s="1"/>
      <c r="M2795" s="1"/>
      <c r="N2795" s="1"/>
      <c r="O2795" s="1"/>
      <c r="P2795" s="1"/>
      <c r="Q2795" s="1"/>
      <c r="R2795" s="1"/>
      <c r="S2795" s="1"/>
      <c r="T2795" s="1"/>
      <c r="U2795" s="1"/>
      <c r="V2795" s="1"/>
      <c r="W2795" s="1"/>
      <c r="X2795" s="1"/>
    </row>
    <row x14ac:dyDescent="0.25" r="2796" customHeight="1" ht="18.75">
      <c r="A2796" s="1"/>
      <c r="B2796" s="1"/>
      <c r="C2796" s="3" t="s">
        <v>1861</v>
      </c>
      <c r="D2796" s="3" t="s">
        <v>2827</v>
      </c>
      <c r="E2796" s="1"/>
      <c r="F2796" s="1"/>
      <c r="G2796" s="1"/>
      <c r="H2796" s="1"/>
      <c r="I2796" s="2"/>
      <c r="J2796" s="1"/>
      <c r="K2796" s="1"/>
      <c r="L2796" s="1"/>
      <c r="M2796" s="1"/>
      <c r="N2796" s="1"/>
      <c r="O2796" s="1"/>
      <c r="P2796" s="1"/>
      <c r="Q2796" s="1"/>
      <c r="R2796" s="1"/>
      <c r="S2796" s="1"/>
      <c r="T2796" s="1"/>
      <c r="U2796" s="1"/>
      <c r="V2796" s="1"/>
      <c r="W2796" s="1"/>
      <c r="X2796" s="1"/>
    </row>
    <row x14ac:dyDescent="0.25" r="2797" customHeight="1" ht="18.75">
      <c r="A2797" s="1"/>
      <c r="B2797" s="1"/>
      <c r="C2797" s="3" t="s">
        <v>1861</v>
      </c>
      <c r="D2797" s="3" t="s">
        <v>2828</v>
      </c>
      <c r="E2797" s="1"/>
      <c r="F2797" s="1"/>
      <c r="G2797" s="1"/>
      <c r="H2797" s="1"/>
      <c r="I2797" s="2"/>
      <c r="J2797" s="1"/>
      <c r="K2797" s="1"/>
      <c r="L2797" s="1"/>
      <c r="M2797" s="1"/>
      <c r="N2797" s="1"/>
      <c r="O2797" s="1"/>
      <c r="P2797" s="1"/>
      <c r="Q2797" s="1"/>
      <c r="R2797" s="1"/>
      <c r="S2797" s="1"/>
      <c r="T2797" s="1"/>
      <c r="U2797" s="1"/>
      <c r="V2797" s="1"/>
      <c r="W2797" s="1"/>
      <c r="X2797" s="1"/>
    </row>
    <row x14ac:dyDescent="0.25" r="2798" customHeight="1" ht="18.75">
      <c r="A2798" s="1"/>
      <c r="B2798" s="1"/>
      <c r="C2798" s="3" t="s">
        <v>1861</v>
      </c>
      <c r="D2798" s="3" t="s">
        <v>2829</v>
      </c>
      <c r="E2798" s="1"/>
      <c r="F2798" s="1"/>
      <c r="G2798" s="1"/>
      <c r="H2798" s="1"/>
      <c r="I2798" s="2"/>
      <c r="J2798" s="1"/>
      <c r="K2798" s="1"/>
      <c r="L2798" s="1"/>
      <c r="M2798" s="1"/>
      <c r="N2798" s="1"/>
      <c r="O2798" s="1"/>
      <c r="P2798" s="1"/>
      <c r="Q2798" s="1"/>
      <c r="R2798" s="1"/>
      <c r="S2798" s="1"/>
      <c r="T2798" s="1"/>
      <c r="U2798" s="1"/>
      <c r="V2798" s="1"/>
      <c r="W2798" s="1"/>
      <c r="X2798" s="1"/>
    </row>
    <row x14ac:dyDescent="0.25" r="2799" customHeight="1" ht="18.75">
      <c r="A2799" s="1"/>
      <c r="B2799" s="1"/>
      <c r="C2799" s="3" t="s">
        <v>1861</v>
      </c>
      <c r="D2799" s="3" t="s">
        <v>2830</v>
      </c>
      <c r="E2799" s="1"/>
      <c r="F2799" s="1"/>
      <c r="G2799" s="1"/>
      <c r="H2799" s="1"/>
      <c r="I2799" s="2"/>
      <c r="J2799" s="1"/>
      <c r="K2799" s="1"/>
      <c r="L2799" s="1"/>
      <c r="M2799" s="1"/>
      <c r="N2799" s="1"/>
      <c r="O2799" s="1"/>
      <c r="P2799" s="1"/>
      <c r="Q2799" s="1"/>
      <c r="R2799" s="1"/>
      <c r="S2799" s="1"/>
      <c r="T2799" s="1"/>
      <c r="U2799" s="1"/>
      <c r="V2799" s="1"/>
      <c r="W2799" s="1"/>
      <c r="X2799" s="1"/>
    </row>
    <row x14ac:dyDescent="0.25" r="2800" customHeight="1" ht="18.75">
      <c r="A2800" s="1"/>
      <c r="B2800" s="1"/>
      <c r="C2800" s="3" t="s">
        <v>1861</v>
      </c>
      <c r="D2800" s="3" t="s">
        <v>2831</v>
      </c>
      <c r="E2800" s="1"/>
      <c r="F2800" s="1"/>
      <c r="G2800" s="1"/>
      <c r="H2800" s="1"/>
      <c r="I2800" s="2"/>
      <c r="J2800" s="1"/>
      <c r="K2800" s="1"/>
      <c r="L2800" s="1"/>
      <c r="M2800" s="1"/>
      <c r="N2800" s="1"/>
      <c r="O2800" s="1"/>
      <c r="P2800" s="1"/>
      <c r="Q2800" s="1"/>
      <c r="R2800" s="1"/>
      <c r="S2800" s="1"/>
      <c r="T2800" s="1"/>
      <c r="U2800" s="1"/>
      <c r="V2800" s="1"/>
      <c r="W2800" s="1"/>
      <c r="X2800" s="1"/>
    </row>
    <row x14ac:dyDescent="0.25" r="2801" customHeight="1" ht="18.75">
      <c r="A2801" s="1"/>
      <c r="B2801" s="1"/>
      <c r="C2801" s="3" t="s">
        <v>1861</v>
      </c>
      <c r="D2801" s="3" t="s">
        <v>2832</v>
      </c>
      <c r="E2801" s="1"/>
      <c r="F2801" s="1"/>
      <c r="G2801" s="1"/>
      <c r="H2801" s="1"/>
      <c r="I2801" s="2"/>
      <c r="J2801" s="1"/>
      <c r="K2801" s="1"/>
      <c r="L2801" s="1"/>
      <c r="M2801" s="1"/>
      <c r="N2801" s="1"/>
      <c r="O2801" s="1"/>
      <c r="P2801" s="1"/>
      <c r="Q2801" s="1"/>
      <c r="R2801" s="1"/>
      <c r="S2801" s="1"/>
      <c r="T2801" s="1"/>
      <c r="U2801" s="1"/>
      <c r="V2801" s="1"/>
      <c r="W2801" s="1"/>
      <c r="X2801" s="1"/>
    </row>
    <row x14ac:dyDescent="0.25" r="2802" customHeight="1" ht="18.75">
      <c r="A2802" s="1"/>
      <c r="B2802" s="1"/>
      <c r="C2802" s="3" t="s">
        <v>1861</v>
      </c>
      <c r="D2802" s="3" t="s">
        <v>2833</v>
      </c>
      <c r="E2802" s="1"/>
      <c r="F2802" s="1"/>
      <c r="G2802" s="1"/>
      <c r="H2802" s="1"/>
      <c r="I2802" s="2"/>
      <c r="J2802" s="1"/>
      <c r="K2802" s="1"/>
      <c r="L2802" s="1"/>
      <c r="M2802" s="1"/>
      <c r="N2802" s="1"/>
      <c r="O2802" s="1"/>
      <c r="P2802" s="1"/>
      <c r="Q2802" s="1"/>
      <c r="R2802" s="1"/>
      <c r="S2802" s="1"/>
      <c r="T2802" s="1"/>
      <c r="U2802" s="1"/>
      <c r="V2802" s="1"/>
      <c r="W2802" s="1"/>
      <c r="X2802" s="1"/>
    </row>
    <row x14ac:dyDescent="0.25" r="2803" customHeight="1" ht="18.75">
      <c r="A2803" s="1"/>
      <c r="B2803" s="1"/>
      <c r="C2803" s="3" t="s">
        <v>1861</v>
      </c>
      <c r="D2803" s="3" t="s">
        <v>2834</v>
      </c>
      <c r="E2803" s="1"/>
      <c r="F2803" s="1"/>
      <c r="G2803" s="1"/>
      <c r="H2803" s="1"/>
      <c r="I2803" s="2"/>
      <c r="J2803" s="1"/>
      <c r="K2803" s="1"/>
      <c r="L2803" s="1"/>
      <c r="M2803" s="1"/>
      <c r="N2803" s="1"/>
      <c r="O2803" s="1"/>
      <c r="P2803" s="1"/>
      <c r="Q2803" s="1"/>
      <c r="R2803" s="1"/>
      <c r="S2803" s="1"/>
      <c r="T2803" s="1"/>
      <c r="U2803" s="1"/>
      <c r="V2803" s="1"/>
      <c r="W2803" s="1"/>
      <c r="X2803" s="1"/>
    </row>
    <row x14ac:dyDescent="0.25" r="2804" customHeight="1" ht="18.75">
      <c r="A2804" s="1"/>
      <c r="B2804" s="1"/>
      <c r="C2804" s="3" t="s">
        <v>1861</v>
      </c>
      <c r="D2804" s="3" t="s">
        <v>2835</v>
      </c>
      <c r="E2804" s="1"/>
      <c r="F2804" s="1"/>
      <c r="G2804" s="1"/>
      <c r="H2804" s="1"/>
      <c r="I2804" s="2"/>
      <c r="J2804" s="1"/>
      <c r="K2804" s="1"/>
      <c r="L2804" s="1"/>
      <c r="M2804" s="1"/>
      <c r="N2804" s="1"/>
      <c r="O2804" s="1"/>
      <c r="P2804" s="1"/>
      <c r="Q2804" s="1"/>
      <c r="R2804" s="1"/>
      <c r="S2804" s="1"/>
      <c r="T2804" s="1"/>
      <c r="U2804" s="1"/>
      <c r="V2804" s="1"/>
      <c r="W2804" s="1"/>
      <c r="X2804" s="1"/>
    </row>
    <row x14ac:dyDescent="0.25" r="2805" customHeight="1" ht="18.75">
      <c r="A2805" s="1"/>
      <c r="B2805" s="1"/>
      <c r="C2805" s="3" t="s">
        <v>1861</v>
      </c>
      <c r="D2805" s="3" t="s">
        <v>2836</v>
      </c>
      <c r="E2805" s="1"/>
      <c r="F2805" s="1"/>
      <c r="G2805" s="1"/>
      <c r="H2805" s="1"/>
      <c r="I2805" s="2"/>
      <c r="J2805" s="1"/>
      <c r="K2805" s="1"/>
      <c r="L2805" s="1"/>
      <c r="M2805" s="1"/>
      <c r="N2805" s="1"/>
      <c r="O2805" s="1"/>
      <c r="P2805" s="1"/>
      <c r="Q2805" s="1"/>
      <c r="R2805" s="1"/>
      <c r="S2805" s="1"/>
      <c r="T2805" s="1"/>
      <c r="U2805" s="1"/>
      <c r="V2805" s="1"/>
      <c r="W2805" s="1"/>
      <c r="X2805" s="1"/>
    </row>
    <row x14ac:dyDescent="0.25" r="2806" customHeight="1" ht="18.75">
      <c r="A2806" s="1"/>
      <c r="B2806" s="1"/>
      <c r="C2806" s="3" t="s">
        <v>1861</v>
      </c>
      <c r="D2806" s="3" t="s">
        <v>2837</v>
      </c>
      <c r="E2806" s="1"/>
      <c r="F2806" s="1"/>
      <c r="G2806" s="1"/>
      <c r="H2806" s="1"/>
      <c r="I2806" s="2"/>
      <c r="J2806" s="1"/>
      <c r="K2806" s="1"/>
      <c r="L2806" s="1"/>
      <c r="M2806" s="1"/>
      <c r="N2806" s="1"/>
      <c r="O2806" s="1"/>
      <c r="P2806" s="1"/>
      <c r="Q2806" s="1"/>
      <c r="R2806" s="1"/>
      <c r="S2806" s="1"/>
      <c r="T2806" s="1"/>
      <c r="U2806" s="1"/>
      <c r="V2806" s="1"/>
      <c r="W2806" s="1"/>
      <c r="X2806" s="1"/>
    </row>
    <row x14ac:dyDescent="0.25" r="2807" customHeight="1" ht="18.75">
      <c r="A2807" s="1"/>
      <c r="B2807" s="1"/>
      <c r="C2807" s="3" t="s">
        <v>1861</v>
      </c>
      <c r="D2807" s="3" t="s">
        <v>2838</v>
      </c>
      <c r="E2807" s="1"/>
      <c r="F2807" s="1"/>
      <c r="G2807" s="1"/>
      <c r="H2807" s="1"/>
      <c r="I2807" s="2"/>
      <c r="J2807" s="1"/>
      <c r="K2807" s="1"/>
      <c r="L2807" s="1"/>
      <c r="M2807" s="1"/>
      <c r="N2807" s="1"/>
      <c r="O2807" s="1"/>
      <c r="P2807" s="1"/>
      <c r="Q2807" s="1"/>
      <c r="R2807" s="1"/>
      <c r="S2807" s="1"/>
      <c r="T2807" s="1"/>
      <c r="U2807" s="1"/>
      <c r="V2807" s="1"/>
      <c r="W2807" s="1"/>
      <c r="X2807" s="1"/>
    </row>
    <row x14ac:dyDescent="0.25" r="2808" customHeight="1" ht="18.75">
      <c r="A2808" s="1"/>
      <c r="B2808" s="1"/>
      <c r="C2808" s="3" t="s">
        <v>1861</v>
      </c>
      <c r="D2808" s="3" t="s">
        <v>2839</v>
      </c>
      <c r="E2808" s="1"/>
      <c r="F2808" s="1"/>
      <c r="G2808" s="1"/>
      <c r="H2808" s="1"/>
      <c r="I2808" s="2"/>
      <c r="J2808" s="1"/>
      <c r="K2808" s="1"/>
      <c r="L2808" s="1"/>
      <c r="M2808" s="1"/>
      <c r="N2808" s="1"/>
      <c r="O2808" s="1"/>
      <c r="P2808" s="1"/>
      <c r="Q2808" s="1"/>
      <c r="R2808" s="1"/>
      <c r="S2808" s="1"/>
      <c r="T2808" s="1"/>
      <c r="U2808" s="1"/>
      <c r="V2808" s="1"/>
      <c r="W2808" s="1"/>
      <c r="X2808" s="1"/>
    </row>
    <row x14ac:dyDescent="0.25" r="2809" customHeight="1" ht="18.75">
      <c r="A2809" s="1"/>
      <c r="B2809" s="1"/>
      <c r="C2809" s="3" t="s">
        <v>1861</v>
      </c>
      <c r="D2809" s="3" t="s">
        <v>2840</v>
      </c>
      <c r="E2809" s="1"/>
      <c r="F2809" s="1"/>
      <c r="G2809" s="1"/>
      <c r="H2809" s="1"/>
      <c r="I2809" s="2"/>
      <c r="J2809" s="1"/>
      <c r="K2809" s="1"/>
      <c r="L2809" s="1"/>
      <c r="M2809" s="1"/>
      <c r="N2809" s="1"/>
      <c r="O2809" s="1"/>
      <c r="P2809" s="1"/>
      <c r="Q2809" s="1"/>
      <c r="R2809" s="1"/>
      <c r="S2809" s="1"/>
      <c r="T2809" s="1"/>
      <c r="U2809" s="1"/>
      <c r="V2809" s="1"/>
      <c r="W2809" s="1"/>
      <c r="X2809" s="1"/>
    </row>
    <row x14ac:dyDescent="0.25" r="2810" customHeight="1" ht="18.75">
      <c r="A2810" s="1"/>
      <c r="B2810" s="1"/>
      <c r="C2810" s="3" t="s">
        <v>1861</v>
      </c>
      <c r="D2810" s="3" t="s">
        <v>2841</v>
      </c>
      <c r="E2810" s="1"/>
      <c r="F2810" s="1"/>
      <c r="G2810" s="1"/>
      <c r="H2810" s="1"/>
      <c r="I2810" s="2"/>
      <c r="J2810" s="1"/>
      <c r="K2810" s="1"/>
      <c r="L2810" s="1"/>
      <c r="M2810" s="1"/>
      <c r="N2810" s="1"/>
      <c r="O2810" s="1"/>
      <c r="P2810" s="1"/>
      <c r="Q2810" s="1"/>
      <c r="R2810" s="1"/>
      <c r="S2810" s="1"/>
      <c r="T2810" s="1"/>
      <c r="U2810" s="1"/>
      <c r="V2810" s="1"/>
      <c r="W2810" s="1"/>
      <c r="X2810" s="1"/>
    </row>
    <row x14ac:dyDescent="0.25" r="2811" customHeight="1" ht="18.75">
      <c r="A2811" s="1"/>
      <c r="B2811" s="1"/>
      <c r="C2811" s="3" t="s">
        <v>1861</v>
      </c>
      <c r="D2811" s="3" t="s">
        <v>2842</v>
      </c>
      <c r="E2811" s="1"/>
      <c r="F2811" s="1"/>
      <c r="G2811" s="1"/>
      <c r="H2811" s="1"/>
      <c r="I2811" s="2"/>
      <c r="J2811" s="1"/>
      <c r="K2811" s="1"/>
      <c r="L2811" s="1"/>
      <c r="M2811" s="1"/>
      <c r="N2811" s="1"/>
      <c r="O2811" s="1"/>
      <c r="P2811" s="1"/>
      <c r="Q2811" s="1"/>
      <c r="R2811" s="1"/>
      <c r="S2811" s="1"/>
      <c r="T2811" s="1"/>
      <c r="U2811" s="1"/>
      <c r="V2811" s="1"/>
      <c r="W2811" s="1"/>
      <c r="X2811" s="1"/>
    </row>
    <row x14ac:dyDescent="0.25" r="2812" customHeight="1" ht="18.75">
      <c r="A2812" s="1"/>
      <c r="B2812" s="1"/>
      <c r="C2812" s="3" t="s">
        <v>1861</v>
      </c>
      <c r="D2812" s="3" t="s">
        <v>2843</v>
      </c>
      <c r="E2812" s="1"/>
      <c r="F2812" s="1"/>
      <c r="G2812" s="1"/>
      <c r="H2812" s="1"/>
      <c r="I2812" s="2"/>
      <c r="J2812" s="1"/>
      <c r="K2812" s="1"/>
      <c r="L2812" s="1"/>
      <c r="M2812" s="1"/>
      <c r="N2812" s="1"/>
      <c r="O2812" s="1"/>
      <c r="P2812" s="1"/>
      <c r="Q2812" s="1"/>
      <c r="R2812" s="1"/>
      <c r="S2812" s="1"/>
      <c r="T2812" s="1"/>
      <c r="U2812" s="1"/>
      <c r="V2812" s="1"/>
      <c r="W2812" s="1"/>
      <c r="X2812" s="1"/>
    </row>
    <row x14ac:dyDescent="0.25" r="2813" customHeight="1" ht="18.75">
      <c r="A2813" s="1"/>
      <c r="B2813" s="1"/>
      <c r="C2813" s="3" t="s">
        <v>1861</v>
      </c>
      <c r="D2813" s="3" t="s">
        <v>2844</v>
      </c>
      <c r="E2813" s="1"/>
      <c r="F2813" s="1"/>
      <c r="G2813" s="1"/>
      <c r="H2813" s="1"/>
      <c r="I2813" s="2"/>
      <c r="J2813" s="1"/>
      <c r="K2813" s="1"/>
      <c r="L2813" s="1"/>
      <c r="M2813" s="1"/>
      <c r="N2813" s="1"/>
      <c r="O2813" s="1"/>
      <c r="P2813" s="1"/>
      <c r="Q2813" s="1"/>
      <c r="R2813" s="1"/>
      <c r="S2813" s="1"/>
      <c r="T2813" s="1"/>
      <c r="U2813" s="1"/>
      <c r="V2813" s="1"/>
      <c r="W2813" s="1"/>
      <c r="X2813" s="1"/>
    </row>
    <row x14ac:dyDescent="0.25" r="2814" customHeight="1" ht="18.75">
      <c r="A2814" s="1"/>
      <c r="B2814" s="1"/>
      <c r="C2814" s="3" t="s">
        <v>1861</v>
      </c>
      <c r="D2814" s="3" t="s">
        <v>2845</v>
      </c>
      <c r="E2814" s="1"/>
      <c r="F2814" s="1"/>
      <c r="G2814" s="1"/>
      <c r="H2814" s="1"/>
      <c r="I2814" s="2"/>
      <c r="J2814" s="1"/>
      <c r="K2814" s="1"/>
      <c r="L2814" s="1"/>
      <c r="M2814" s="1"/>
      <c r="N2814" s="1"/>
      <c r="O2814" s="1"/>
      <c r="P2814" s="1"/>
      <c r="Q2814" s="1"/>
      <c r="R2814" s="1"/>
      <c r="S2814" s="1"/>
      <c r="T2814" s="1"/>
      <c r="U2814" s="1"/>
      <c r="V2814" s="1"/>
      <c r="W2814" s="1"/>
      <c r="X2814" s="1"/>
    </row>
    <row x14ac:dyDescent="0.25" r="2815" customHeight="1" ht="18.75">
      <c r="A2815" s="1"/>
      <c r="B2815" s="1"/>
      <c r="C2815" s="3" t="s">
        <v>1861</v>
      </c>
      <c r="D2815" s="3" t="s">
        <v>2846</v>
      </c>
      <c r="E2815" s="1"/>
      <c r="F2815" s="1"/>
      <c r="G2815" s="1"/>
      <c r="H2815" s="1"/>
      <c r="I2815" s="2"/>
      <c r="J2815" s="1"/>
      <c r="K2815" s="1"/>
      <c r="L2815" s="1"/>
      <c r="M2815" s="1"/>
      <c r="N2815" s="1"/>
      <c r="O2815" s="1"/>
      <c r="P2815" s="1"/>
      <c r="Q2815" s="1"/>
      <c r="R2815" s="1"/>
      <c r="S2815" s="1"/>
      <c r="T2815" s="1"/>
      <c r="U2815" s="1"/>
      <c r="V2815" s="1"/>
      <c r="W2815" s="1"/>
      <c r="X2815" s="1"/>
    </row>
    <row x14ac:dyDescent="0.25" r="2816" customHeight="1" ht="18.75">
      <c r="A2816" s="1"/>
      <c r="B2816" s="1"/>
      <c r="C2816" s="3" t="s">
        <v>1861</v>
      </c>
      <c r="D2816" s="3" t="s">
        <v>2847</v>
      </c>
      <c r="E2816" s="1"/>
      <c r="F2816" s="1"/>
      <c r="G2816" s="1"/>
      <c r="H2816" s="1"/>
      <c r="I2816" s="2"/>
      <c r="J2816" s="1"/>
      <c r="K2816" s="1"/>
      <c r="L2816" s="1"/>
      <c r="M2816" s="1"/>
      <c r="N2816" s="1"/>
      <c r="O2816" s="1"/>
      <c r="P2816" s="1"/>
      <c r="Q2816" s="1"/>
      <c r="R2816" s="1"/>
      <c r="S2816" s="1"/>
      <c r="T2816" s="1"/>
      <c r="U2816" s="1"/>
      <c r="V2816" s="1"/>
      <c r="W2816" s="1"/>
      <c r="X2816" s="1"/>
    </row>
    <row x14ac:dyDescent="0.25" r="2817" customHeight="1" ht="18.75">
      <c r="A2817" s="1"/>
      <c r="B2817" s="1"/>
      <c r="C2817" s="3" t="s">
        <v>1861</v>
      </c>
      <c r="D2817" s="3" t="s">
        <v>2848</v>
      </c>
      <c r="E2817" s="1"/>
      <c r="F2817" s="1"/>
      <c r="G2817" s="1"/>
      <c r="H2817" s="1"/>
      <c r="I2817" s="2"/>
      <c r="J2817" s="1"/>
      <c r="K2817" s="1"/>
      <c r="L2817" s="1"/>
      <c r="M2817" s="1"/>
      <c r="N2817" s="1"/>
      <c r="O2817" s="1"/>
      <c r="P2817" s="1"/>
      <c r="Q2817" s="1"/>
      <c r="R2817" s="1"/>
      <c r="S2817" s="1"/>
      <c r="T2817" s="1"/>
      <c r="U2817" s="1"/>
      <c r="V2817" s="1"/>
      <c r="W2817" s="1"/>
      <c r="X2817" s="1"/>
    </row>
    <row x14ac:dyDescent="0.25" r="2818" customHeight="1" ht="18.75">
      <c r="A2818" s="1"/>
      <c r="B2818" s="1"/>
      <c r="C2818" s="3" t="s">
        <v>1861</v>
      </c>
      <c r="D2818" s="3" t="s">
        <v>2849</v>
      </c>
      <c r="E2818" s="1"/>
      <c r="F2818" s="1"/>
      <c r="G2818" s="1"/>
      <c r="H2818" s="1"/>
      <c r="I2818" s="2"/>
      <c r="J2818" s="1"/>
      <c r="K2818" s="1"/>
      <c r="L2818" s="1"/>
      <c r="M2818" s="1"/>
      <c r="N2818" s="1"/>
      <c r="O2818" s="1"/>
      <c r="P2818" s="1"/>
      <c r="Q2818" s="1"/>
      <c r="R2818" s="1"/>
      <c r="S2818" s="1"/>
      <c r="T2818" s="1"/>
      <c r="U2818" s="1"/>
      <c r="V2818" s="1"/>
      <c r="W2818" s="1"/>
      <c r="X2818" s="1"/>
    </row>
    <row x14ac:dyDescent="0.25" r="2819" customHeight="1" ht="18.75">
      <c r="A2819" s="1"/>
      <c r="B2819" s="1"/>
      <c r="C2819" s="3" t="s">
        <v>1861</v>
      </c>
      <c r="D2819" s="3" t="s">
        <v>2850</v>
      </c>
      <c r="E2819" s="1"/>
      <c r="F2819" s="1"/>
      <c r="G2819" s="1"/>
      <c r="H2819" s="1"/>
      <c r="I2819" s="2"/>
      <c r="J2819" s="1"/>
      <c r="K2819" s="1"/>
      <c r="L2819" s="1"/>
      <c r="M2819" s="1"/>
      <c r="N2819" s="1"/>
      <c r="O2819" s="1"/>
      <c r="P2819" s="1"/>
      <c r="Q2819" s="1"/>
      <c r="R2819" s="1"/>
      <c r="S2819" s="1"/>
      <c r="T2819" s="1"/>
      <c r="U2819" s="1"/>
      <c r="V2819" s="1"/>
      <c r="W2819" s="1"/>
      <c r="X2819" s="1"/>
    </row>
    <row x14ac:dyDescent="0.25" r="2820" customHeight="1" ht="18.75">
      <c r="A2820" s="1"/>
      <c r="B2820" s="1"/>
      <c r="C2820" s="3" t="s">
        <v>1861</v>
      </c>
      <c r="D2820" s="3" t="s">
        <v>2851</v>
      </c>
      <c r="E2820" s="1"/>
      <c r="F2820" s="1"/>
      <c r="G2820" s="1"/>
      <c r="H2820" s="1"/>
      <c r="I2820" s="2"/>
      <c r="J2820" s="1"/>
      <c r="K2820" s="1"/>
      <c r="L2820" s="1"/>
      <c r="M2820" s="1"/>
      <c r="N2820" s="1"/>
      <c r="O2820" s="1"/>
      <c r="P2820" s="1"/>
      <c r="Q2820" s="1"/>
      <c r="R2820" s="1"/>
      <c r="S2820" s="1"/>
      <c r="T2820" s="1"/>
      <c r="U2820" s="1"/>
      <c r="V2820" s="1"/>
      <c r="W2820" s="1"/>
      <c r="X2820" s="1"/>
    </row>
    <row x14ac:dyDescent="0.25" r="2821" customHeight="1" ht="18.75">
      <c r="A2821" s="1"/>
      <c r="B2821" s="1"/>
      <c r="C2821" s="3" t="s">
        <v>1861</v>
      </c>
      <c r="D2821" s="3" t="s">
        <v>2852</v>
      </c>
      <c r="E2821" s="1"/>
      <c r="F2821" s="1"/>
      <c r="G2821" s="1"/>
      <c r="H2821" s="1"/>
      <c r="I2821" s="2"/>
      <c r="J2821" s="1"/>
      <c r="K2821" s="1"/>
      <c r="L2821" s="1"/>
      <c r="M2821" s="1"/>
      <c r="N2821" s="1"/>
      <c r="O2821" s="1"/>
      <c r="P2821" s="1"/>
      <c r="Q2821" s="1"/>
      <c r="R2821" s="1"/>
      <c r="S2821" s="1"/>
      <c r="T2821" s="1"/>
      <c r="U2821" s="1"/>
      <c r="V2821" s="1"/>
      <c r="W2821" s="1"/>
      <c r="X2821" s="1"/>
    </row>
    <row x14ac:dyDescent="0.25" r="2822" customHeight="1" ht="18.75">
      <c r="A2822" s="1"/>
      <c r="B2822" s="1"/>
      <c r="C2822" s="3" t="s">
        <v>1861</v>
      </c>
      <c r="D2822" s="3" t="s">
        <v>2853</v>
      </c>
      <c r="E2822" s="1"/>
      <c r="F2822" s="1"/>
      <c r="G2822" s="1"/>
      <c r="H2822" s="1"/>
      <c r="I2822" s="2"/>
      <c r="J2822" s="1"/>
      <c r="K2822" s="1"/>
      <c r="L2822" s="1"/>
      <c r="M2822" s="1"/>
      <c r="N2822" s="1"/>
      <c r="O2822" s="1"/>
      <c r="P2822" s="1"/>
      <c r="Q2822" s="1"/>
      <c r="R2822" s="1"/>
      <c r="S2822" s="1"/>
      <c r="T2822" s="1"/>
      <c r="U2822" s="1"/>
      <c r="V2822" s="1"/>
      <c r="W2822" s="1"/>
      <c r="X2822" s="1"/>
    </row>
    <row x14ac:dyDescent="0.25" r="2823" customHeight="1" ht="18.75">
      <c r="A2823" s="1"/>
      <c r="B2823" s="1"/>
      <c r="C2823" s="3" t="s">
        <v>1861</v>
      </c>
      <c r="D2823" s="3" t="s">
        <v>2854</v>
      </c>
      <c r="E2823" s="1"/>
      <c r="F2823" s="1"/>
      <c r="G2823" s="1"/>
      <c r="H2823" s="1"/>
      <c r="I2823" s="2"/>
      <c r="J2823" s="1"/>
      <c r="K2823" s="1"/>
      <c r="L2823" s="1"/>
      <c r="M2823" s="1"/>
      <c r="N2823" s="1"/>
      <c r="O2823" s="1"/>
      <c r="P2823" s="1"/>
      <c r="Q2823" s="1"/>
      <c r="R2823" s="1"/>
      <c r="S2823" s="1"/>
      <c r="T2823" s="1"/>
      <c r="U2823" s="1"/>
      <c r="V2823" s="1"/>
      <c r="W2823" s="1"/>
      <c r="X2823" s="1"/>
    </row>
    <row x14ac:dyDescent="0.25" r="2824" customHeight="1" ht="18.75">
      <c r="A2824" s="1"/>
      <c r="B2824" s="1"/>
      <c r="C2824" s="3" t="s">
        <v>1861</v>
      </c>
      <c r="D2824" s="3" t="s">
        <v>2855</v>
      </c>
      <c r="E2824" s="1"/>
      <c r="F2824" s="1"/>
      <c r="G2824" s="1"/>
      <c r="H2824" s="1"/>
      <c r="I2824" s="2"/>
      <c r="J2824" s="1"/>
      <c r="K2824" s="1"/>
      <c r="L2824" s="1"/>
      <c r="M2824" s="1"/>
      <c r="N2824" s="1"/>
      <c r="O2824" s="1"/>
      <c r="P2824" s="1"/>
      <c r="Q2824" s="1"/>
      <c r="R2824" s="1"/>
      <c r="S2824" s="1"/>
      <c r="T2824" s="1"/>
      <c r="U2824" s="1"/>
      <c r="V2824" s="1"/>
      <c r="W2824" s="1"/>
      <c r="X2824" s="1"/>
    </row>
    <row x14ac:dyDescent="0.25" r="2825" customHeight="1" ht="18.75">
      <c r="A2825" s="1"/>
      <c r="B2825" s="1"/>
      <c r="C2825" s="3" t="s">
        <v>1861</v>
      </c>
      <c r="D2825" s="3" t="s">
        <v>2856</v>
      </c>
      <c r="E2825" s="1"/>
      <c r="F2825" s="1"/>
      <c r="G2825" s="1"/>
      <c r="H2825" s="1"/>
      <c r="I2825" s="2"/>
      <c r="J2825" s="1"/>
      <c r="K2825" s="1"/>
      <c r="L2825" s="1"/>
      <c r="M2825" s="1"/>
      <c r="N2825" s="1"/>
      <c r="O2825" s="1"/>
      <c r="P2825" s="1"/>
      <c r="Q2825" s="1"/>
      <c r="R2825" s="1"/>
      <c r="S2825" s="1"/>
      <c r="T2825" s="1"/>
      <c r="U2825" s="1"/>
      <c r="V2825" s="1"/>
      <c r="W2825" s="1"/>
      <c r="X2825" s="1"/>
    </row>
    <row x14ac:dyDescent="0.25" r="2826" customHeight="1" ht="18.75">
      <c r="A2826" s="1"/>
      <c r="B2826" s="1"/>
      <c r="C2826" s="3" t="s">
        <v>1861</v>
      </c>
      <c r="D2826" s="3" t="s">
        <v>2857</v>
      </c>
      <c r="E2826" s="1"/>
      <c r="F2826" s="1"/>
      <c r="G2826" s="1"/>
      <c r="H2826" s="1"/>
      <c r="I2826" s="2"/>
      <c r="J2826" s="1"/>
      <c r="K2826" s="1"/>
      <c r="L2826" s="1"/>
      <c r="M2826" s="1"/>
      <c r="N2826" s="1"/>
      <c r="O2826" s="1"/>
      <c r="P2826" s="1"/>
      <c r="Q2826" s="1"/>
      <c r="R2826" s="1"/>
      <c r="S2826" s="1"/>
      <c r="T2826" s="1"/>
      <c r="U2826" s="1"/>
      <c r="V2826" s="1"/>
      <c r="W2826" s="1"/>
      <c r="X2826" s="1"/>
    </row>
    <row x14ac:dyDescent="0.25" r="2827" customHeight="1" ht="18.75">
      <c r="A2827" s="1"/>
      <c r="B2827" s="1"/>
      <c r="C2827" s="3" t="s">
        <v>1861</v>
      </c>
      <c r="D2827" s="3" t="s">
        <v>2858</v>
      </c>
      <c r="E2827" s="1"/>
      <c r="F2827" s="1"/>
      <c r="G2827" s="1"/>
      <c r="H2827" s="1"/>
      <c r="I2827" s="2"/>
      <c r="J2827" s="1"/>
      <c r="K2827" s="1"/>
      <c r="L2827" s="1"/>
      <c r="M2827" s="1"/>
      <c r="N2827" s="1"/>
      <c r="O2827" s="1"/>
      <c r="P2827" s="1"/>
      <c r="Q2827" s="1"/>
      <c r="R2827" s="1"/>
      <c r="S2827" s="1"/>
      <c r="T2827" s="1"/>
      <c r="U2827" s="1"/>
      <c r="V2827" s="1"/>
      <c r="W2827" s="1"/>
      <c r="X2827" s="1"/>
    </row>
    <row x14ac:dyDescent="0.25" r="2828" customHeight="1" ht="18.75">
      <c r="A2828" s="1"/>
      <c r="B2828" s="1"/>
      <c r="C2828" s="3" t="s">
        <v>1861</v>
      </c>
      <c r="D2828" s="3" t="s">
        <v>2859</v>
      </c>
      <c r="E2828" s="1"/>
      <c r="F2828" s="1"/>
      <c r="G2828" s="1"/>
      <c r="H2828" s="1"/>
      <c r="I2828" s="2"/>
      <c r="J2828" s="1"/>
      <c r="K2828" s="1"/>
      <c r="L2828" s="1"/>
      <c r="M2828" s="1"/>
      <c r="N2828" s="1"/>
      <c r="O2828" s="1"/>
      <c r="P2828" s="1"/>
      <c r="Q2828" s="1"/>
      <c r="R2828" s="1"/>
      <c r="S2828" s="1"/>
      <c r="T2828" s="1"/>
      <c r="U2828" s="1"/>
      <c r="V2828" s="1"/>
      <c r="W2828" s="1"/>
      <c r="X2828" s="1"/>
    </row>
    <row x14ac:dyDescent="0.25" r="2829" customHeight="1" ht="18.75">
      <c r="A2829" s="1"/>
      <c r="B2829" s="1"/>
      <c r="C2829" s="3" t="s">
        <v>1861</v>
      </c>
      <c r="D2829" s="3" t="s">
        <v>2860</v>
      </c>
      <c r="E2829" s="1"/>
      <c r="F2829" s="1"/>
      <c r="G2829" s="1"/>
      <c r="H2829" s="1"/>
      <c r="I2829" s="2"/>
      <c r="J2829" s="1"/>
      <c r="K2829" s="1"/>
      <c r="L2829" s="1"/>
      <c r="M2829" s="1"/>
      <c r="N2829" s="1"/>
      <c r="O2829" s="1"/>
      <c r="P2829" s="1"/>
      <c r="Q2829" s="1"/>
      <c r="R2829" s="1"/>
      <c r="S2829" s="1"/>
      <c r="T2829" s="1"/>
      <c r="U2829" s="1"/>
      <c r="V2829" s="1"/>
      <c r="W2829" s="1"/>
      <c r="X2829" s="1"/>
    </row>
    <row x14ac:dyDescent="0.25" r="2830" customHeight="1" ht="18.75">
      <c r="A2830" s="1"/>
      <c r="B2830" s="1"/>
      <c r="C2830" s="3" t="s">
        <v>1861</v>
      </c>
      <c r="D2830" s="3" t="s">
        <v>2861</v>
      </c>
      <c r="E2830" s="1"/>
      <c r="F2830" s="1"/>
      <c r="G2830" s="1"/>
      <c r="H2830" s="1"/>
      <c r="I2830" s="2"/>
      <c r="J2830" s="1"/>
      <c r="K2830" s="1"/>
      <c r="L2830" s="1"/>
      <c r="M2830" s="1"/>
      <c r="N2830" s="1"/>
      <c r="O2830" s="1"/>
      <c r="P2830" s="1"/>
      <c r="Q2830" s="1"/>
      <c r="R2830" s="1"/>
      <c r="S2830" s="1"/>
      <c r="T2830" s="1"/>
      <c r="U2830" s="1"/>
      <c r="V2830" s="1"/>
      <c r="W2830" s="1"/>
      <c r="X2830" s="1"/>
    </row>
    <row x14ac:dyDescent="0.25" r="2831" customHeight="1" ht="18.75">
      <c r="A2831" s="1"/>
      <c r="B2831" s="1"/>
      <c r="C2831" s="3" t="s">
        <v>1861</v>
      </c>
      <c r="D2831" s="3" t="s">
        <v>2862</v>
      </c>
      <c r="E2831" s="1"/>
      <c r="F2831" s="1"/>
      <c r="G2831" s="1"/>
      <c r="H2831" s="1"/>
      <c r="I2831" s="2"/>
      <c r="J2831" s="1"/>
      <c r="K2831" s="1"/>
      <c r="L2831" s="1"/>
      <c r="M2831" s="1"/>
      <c r="N2831" s="1"/>
      <c r="O2831" s="1"/>
      <c r="P2831" s="1"/>
      <c r="Q2831" s="1"/>
      <c r="R2831" s="1"/>
      <c r="S2831" s="1"/>
      <c r="T2831" s="1"/>
      <c r="U2831" s="1"/>
      <c r="V2831" s="1"/>
      <c r="W2831" s="1"/>
      <c r="X2831" s="1"/>
    </row>
    <row x14ac:dyDescent="0.25" r="2832" customHeight="1" ht="18.75">
      <c r="A2832" s="1"/>
      <c r="B2832" s="1"/>
      <c r="C2832" s="3" t="s">
        <v>1861</v>
      </c>
      <c r="D2832" s="3" t="s">
        <v>2863</v>
      </c>
      <c r="E2832" s="1"/>
      <c r="F2832" s="1"/>
      <c r="G2832" s="1"/>
      <c r="H2832" s="1"/>
      <c r="I2832" s="2"/>
      <c r="J2832" s="1"/>
      <c r="K2832" s="1"/>
      <c r="L2832" s="1"/>
      <c r="M2832" s="1"/>
      <c r="N2832" s="1"/>
      <c r="O2832" s="1"/>
      <c r="P2832" s="1"/>
      <c r="Q2832" s="1"/>
      <c r="R2832" s="1"/>
      <c r="S2832" s="1"/>
      <c r="T2832" s="1"/>
      <c r="U2832" s="1"/>
      <c r="V2832" s="1"/>
      <c r="W2832" s="1"/>
      <c r="X2832" s="1"/>
    </row>
    <row x14ac:dyDescent="0.25" r="2833" customHeight="1" ht="18.75">
      <c r="A2833" s="1"/>
      <c r="B2833" s="1"/>
      <c r="C2833" s="3" t="s">
        <v>1861</v>
      </c>
      <c r="D2833" s="3" t="s">
        <v>2864</v>
      </c>
      <c r="E2833" s="1"/>
      <c r="F2833" s="1"/>
      <c r="G2833" s="1"/>
      <c r="H2833" s="1"/>
      <c r="I2833" s="2"/>
      <c r="J2833" s="1"/>
      <c r="K2833" s="1"/>
      <c r="L2833" s="1"/>
      <c r="M2833" s="1"/>
      <c r="N2833" s="1"/>
      <c r="O2833" s="1"/>
      <c r="P2833" s="1"/>
      <c r="Q2833" s="1"/>
      <c r="R2833" s="1"/>
      <c r="S2833" s="1"/>
      <c r="T2833" s="1"/>
      <c r="U2833" s="1"/>
      <c r="V2833" s="1"/>
      <c r="W2833" s="1"/>
      <c r="X2833" s="1"/>
    </row>
    <row x14ac:dyDescent="0.25" r="2834" customHeight="1" ht="18.75">
      <c r="A2834" s="1"/>
      <c r="B2834" s="1"/>
      <c r="C2834" s="3" t="s">
        <v>1861</v>
      </c>
      <c r="D2834" s="3" t="s">
        <v>2865</v>
      </c>
      <c r="E2834" s="1"/>
      <c r="F2834" s="1"/>
      <c r="G2834" s="1"/>
      <c r="H2834" s="1"/>
      <c r="I2834" s="2"/>
      <c r="J2834" s="1"/>
      <c r="K2834" s="1"/>
      <c r="L2834" s="1"/>
      <c r="M2834" s="1"/>
      <c r="N2834" s="1"/>
      <c r="O2834" s="1"/>
      <c r="P2834" s="1"/>
      <c r="Q2834" s="1"/>
      <c r="R2834" s="1"/>
      <c r="S2834" s="1"/>
      <c r="T2834" s="1"/>
      <c r="U2834" s="1"/>
      <c r="V2834" s="1"/>
      <c r="W2834" s="1"/>
      <c r="X2834" s="1"/>
    </row>
    <row x14ac:dyDescent="0.25" r="2835" customHeight="1" ht="18.75">
      <c r="A2835" s="1"/>
      <c r="B2835" s="1"/>
      <c r="C2835" s="3" t="s">
        <v>1861</v>
      </c>
      <c r="D2835" s="3" t="s">
        <v>2866</v>
      </c>
      <c r="E2835" s="1"/>
      <c r="F2835" s="1"/>
      <c r="G2835" s="1"/>
      <c r="H2835" s="1"/>
      <c r="I2835" s="2"/>
      <c r="J2835" s="1"/>
      <c r="K2835" s="1"/>
      <c r="L2835" s="1"/>
      <c r="M2835" s="1"/>
      <c r="N2835" s="1"/>
      <c r="O2835" s="1"/>
      <c r="P2835" s="1"/>
      <c r="Q2835" s="1"/>
      <c r="R2835" s="1"/>
      <c r="S2835" s="1"/>
      <c r="T2835" s="1"/>
      <c r="U2835" s="1"/>
      <c r="V2835" s="1"/>
      <c r="W2835" s="1"/>
      <c r="X2835" s="1"/>
    </row>
    <row x14ac:dyDescent="0.25" r="2836" customHeight="1" ht="18.75">
      <c r="A2836" s="1"/>
      <c r="B2836" s="1"/>
      <c r="C2836" s="3" t="s">
        <v>1861</v>
      </c>
      <c r="D2836" s="3" t="s">
        <v>2867</v>
      </c>
      <c r="E2836" s="1"/>
      <c r="F2836" s="1"/>
      <c r="G2836" s="1"/>
      <c r="H2836" s="1"/>
      <c r="I2836" s="2"/>
      <c r="J2836" s="1"/>
      <c r="K2836" s="1"/>
      <c r="L2836" s="1"/>
      <c r="M2836" s="1"/>
      <c r="N2836" s="1"/>
      <c r="O2836" s="1"/>
      <c r="P2836" s="1"/>
      <c r="Q2836" s="1"/>
      <c r="R2836" s="1"/>
      <c r="S2836" s="1"/>
      <c r="T2836" s="1"/>
      <c r="U2836" s="1"/>
      <c r="V2836" s="1"/>
      <c r="W2836" s="1"/>
      <c r="X2836" s="1"/>
    </row>
    <row x14ac:dyDescent="0.25" r="2837" customHeight="1" ht="18.75">
      <c r="A2837" s="1"/>
      <c r="B2837" s="1"/>
      <c r="C2837" s="3" t="s">
        <v>1861</v>
      </c>
      <c r="D2837" s="3" t="s">
        <v>2868</v>
      </c>
      <c r="E2837" s="1"/>
      <c r="F2837" s="1"/>
      <c r="G2837" s="1"/>
      <c r="H2837" s="1"/>
      <c r="I2837" s="2"/>
      <c r="J2837" s="1"/>
      <c r="K2837" s="1"/>
      <c r="L2837" s="1"/>
      <c r="M2837" s="1"/>
      <c r="N2837" s="1"/>
      <c r="O2837" s="1"/>
      <c r="P2837" s="1"/>
      <c r="Q2837" s="1"/>
      <c r="R2837" s="1"/>
      <c r="S2837" s="1"/>
      <c r="T2837" s="1"/>
      <c r="U2837" s="1"/>
      <c r="V2837" s="1"/>
      <c r="W2837" s="1"/>
      <c r="X2837" s="1"/>
    </row>
    <row x14ac:dyDescent="0.25" r="2838" customHeight="1" ht="18.75">
      <c r="A2838" s="1"/>
      <c r="B2838" s="1"/>
      <c r="C2838" s="3" t="s">
        <v>1861</v>
      </c>
      <c r="D2838" s="3" t="s">
        <v>2869</v>
      </c>
      <c r="E2838" s="1"/>
      <c r="F2838" s="1"/>
      <c r="G2838" s="1"/>
      <c r="H2838" s="1"/>
      <c r="I2838" s="2"/>
      <c r="J2838" s="1"/>
      <c r="K2838" s="1"/>
      <c r="L2838" s="1"/>
      <c r="M2838" s="1"/>
      <c r="N2838" s="1"/>
      <c r="O2838" s="1"/>
      <c r="P2838" s="1"/>
      <c r="Q2838" s="1"/>
      <c r="R2838" s="1"/>
      <c r="S2838" s="1"/>
      <c r="T2838" s="1"/>
      <c r="U2838" s="1"/>
      <c r="V2838" s="1"/>
      <c r="W2838" s="1"/>
      <c r="X2838" s="1"/>
    </row>
    <row x14ac:dyDescent="0.25" r="2839" customHeight="1" ht="18.75">
      <c r="A2839" s="1"/>
      <c r="B2839" s="1"/>
      <c r="C2839" s="3" t="s">
        <v>1861</v>
      </c>
      <c r="D2839" s="3" t="s">
        <v>2870</v>
      </c>
      <c r="E2839" s="1"/>
      <c r="F2839" s="1"/>
      <c r="G2839" s="1"/>
      <c r="H2839" s="1"/>
      <c r="I2839" s="2"/>
      <c r="J2839" s="1"/>
      <c r="K2839" s="1"/>
      <c r="L2839" s="1"/>
      <c r="M2839" s="1"/>
      <c r="N2839" s="1"/>
      <c r="O2839" s="1"/>
      <c r="P2839" s="1"/>
      <c r="Q2839" s="1"/>
      <c r="R2839" s="1"/>
      <c r="S2839" s="1"/>
      <c r="T2839" s="1"/>
      <c r="U2839" s="1"/>
      <c r="V2839" s="1"/>
      <c r="W2839" s="1"/>
      <c r="X2839" s="1"/>
    </row>
    <row x14ac:dyDescent="0.25" r="2840" customHeight="1" ht="18.75">
      <c r="A2840" s="1"/>
      <c r="B2840" s="1"/>
      <c r="C2840" s="3" t="s">
        <v>1861</v>
      </c>
      <c r="D2840" s="3" t="s">
        <v>2871</v>
      </c>
      <c r="E2840" s="1"/>
      <c r="F2840" s="1"/>
      <c r="G2840" s="1"/>
      <c r="H2840" s="1"/>
      <c r="I2840" s="2"/>
      <c r="J2840" s="1"/>
      <c r="K2840" s="1"/>
      <c r="L2840" s="1"/>
      <c r="M2840" s="1"/>
      <c r="N2840" s="1"/>
      <c r="O2840" s="1"/>
      <c r="P2840" s="1"/>
      <c r="Q2840" s="1"/>
      <c r="R2840" s="1"/>
      <c r="S2840" s="1"/>
      <c r="T2840" s="1"/>
      <c r="U2840" s="1"/>
      <c r="V2840" s="1"/>
      <c r="W2840" s="1"/>
      <c r="X2840" s="1"/>
    </row>
    <row x14ac:dyDescent="0.25" r="2841" customHeight="1" ht="18.75">
      <c r="A2841" s="1"/>
      <c r="B2841" s="1"/>
      <c r="C2841" s="3" t="s">
        <v>1861</v>
      </c>
      <c r="D2841" s="3" t="s">
        <v>2872</v>
      </c>
      <c r="E2841" s="1"/>
      <c r="F2841" s="1"/>
      <c r="G2841" s="1"/>
      <c r="H2841" s="1"/>
      <c r="I2841" s="2"/>
      <c r="J2841" s="1"/>
      <c r="K2841" s="1"/>
      <c r="L2841" s="1"/>
      <c r="M2841" s="1"/>
      <c r="N2841" s="1"/>
      <c r="O2841" s="1"/>
      <c r="P2841" s="1"/>
      <c r="Q2841" s="1"/>
      <c r="R2841" s="1"/>
      <c r="S2841" s="1"/>
      <c r="T2841" s="1"/>
      <c r="U2841" s="1"/>
      <c r="V2841" s="1"/>
      <c r="W2841" s="1"/>
      <c r="X2841" s="1"/>
    </row>
    <row x14ac:dyDescent="0.25" r="2842" customHeight="1" ht="18.75">
      <c r="A2842" s="1"/>
      <c r="B2842" s="1"/>
      <c r="C2842" s="3" t="s">
        <v>1861</v>
      </c>
      <c r="D2842" s="3" t="s">
        <v>2873</v>
      </c>
      <c r="E2842" s="1"/>
      <c r="F2842" s="1"/>
      <c r="G2842" s="1"/>
      <c r="H2842" s="1"/>
      <c r="I2842" s="2"/>
      <c r="J2842" s="1"/>
      <c r="K2842" s="1"/>
      <c r="L2842" s="1"/>
      <c r="M2842" s="1"/>
      <c r="N2842" s="1"/>
      <c r="O2842" s="1"/>
      <c r="P2842" s="1"/>
      <c r="Q2842" s="1"/>
      <c r="R2842" s="1"/>
      <c r="S2842" s="1"/>
      <c r="T2842" s="1"/>
      <c r="U2842" s="1"/>
      <c r="V2842" s="1"/>
      <c r="W2842" s="1"/>
      <c r="X2842" s="1"/>
    </row>
    <row x14ac:dyDescent="0.25" r="2843" customHeight="1" ht="18.75">
      <c r="A2843" s="1"/>
      <c r="B2843" s="1"/>
      <c r="C2843" s="3" t="s">
        <v>1861</v>
      </c>
      <c r="D2843" s="3" t="s">
        <v>2874</v>
      </c>
      <c r="E2843" s="1"/>
      <c r="F2843" s="1"/>
      <c r="G2843" s="1"/>
      <c r="H2843" s="1"/>
      <c r="I2843" s="2"/>
      <c r="J2843" s="1"/>
      <c r="K2843" s="1"/>
      <c r="L2843" s="1"/>
      <c r="M2843" s="1"/>
      <c r="N2843" s="1"/>
      <c r="O2843" s="1"/>
      <c r="P2843" s="1"/>
      <c r="Q2843" s="1"/>
      <c r="R2843" s="1"/>
      <c r="S2843" s="1"/>
      <c r="T2843" s="1"/>
      <c r="U2843" s="1"/>
      <c r="V2843" s="1"/>
      <c r="W2843" s="1"/>
      <c r="X2843" s="1"/>
    </row>
    <row x14ac:dyDescent="0.25" r="2844" customHeight="1" ht="18.75">
      <c r="A2844" s="1"/>
      <c r="B2844" s="1"/>
      <c r="C2844" s="3" t="s">
        <v>1861</v>
      </c>
      <c r="D2844" s="3" t="s">
        <v>2875</v>
      </c>
      <c r="E2844" s="1"/>
      <c r="F2844" s="1"/>
      <c r="G2844" s="1"/>
      <c r="H2844" s="1"/>
      <c r="I2844" s="2"/>
      <c r="J2844" s="1"/>
      <c r="K2844" s="1"/>
      <c r="L2844" s="1"/>
      <c r="M2844" s="1"/>
      <c r="N2844" s="1"/>
      <c r="O2844" s="1"/>
      <c r="P2844" s="1"/>
      <c r="Q2844" s="1"/>
      <c r="R2844" s="1"/>
      <c r="S2844" s="1"/>
      <c r="T2844" s="1"/>
      <c r="U2844" s="1"/>
      <c r="V2844" s="1"/>
      <c r="W2844" s="1"/>
      <c r="X2844" s="1"/>
    </row>
    <row x14ac:dyDescent="0.25" r="2845" customHeight="1" ht="18.75">
      <c r="A2845" s="1"/>
      <c r="B2845" s="1"/>
      <c r="C2845" s="3" t="s">
        <v>1861</v>
      </c>
      <c r="D2845" s="3" t="s">
        <v>2876</v>
      </c>
      <c r="E2845" s="1"/>
      <c r="F2845" s="1"/>
      <c r="G2845" s="1"/>
      <c r="H2845" s="1"/>
      <c r="I2845" s="2"/>
      <c r="J2845" s="1"/>
      <c r="K2845" s="1"/>
      <c r="L2845" s="1"/>
      <c r="M2845" s="1"/>
      <c r="N2845" s="1"/>
      <c r="O2845" s="1"/>
      <c r="P2845" s="1"/>
      <c r="Q2845" s="1"/>
      <c r="R2845" s="1"/>
      <c r="S2845" s="1"/>
      <c r="T2845" s="1"/>
      <c r="U2845" s="1"/>
      <c r="V2845" s="1"/>
      <c r="W2845" s="1"/>
      <c r="X2845" s="1"/>
    </row>
    <row x14ac:dyDescent="0.25" r="2846" customHeight="1" ht="18.75">
      <c r="A2846" s="1"/>
      <c r="B2846" s="1"/>
      <c r="C2846" s="3" t="s">
        <v>1861</v>
      </c>
      <c r="D2846" s="3" t="s">
        <v>2877</v>
      </c>
      <c r="E2846" s="1"/>
      <c r="F2846" s="1"/>
      <c r="G2846" s="1"/>
      <c r="H2846" s="1"/>
      <c r="I2846" s="2"/>
      <c r="J2846" s="1"/>
      <c r="K2846" s="1"/>
      <c r="L2846" s="1"/>
      <c r="M2846" s="1"/>
      <c r="N2846" s="1"/>
      <c r="O2846" s="1"/>
      <c r="P2846" s="1"/>
      <c r="Q2846" s="1"/>
      <c r="R2846" s="1"/>
      <c r="S2846" s="1"/>
      <c r="T2846" s="1"/>
      <c r="U2846" s="1"/>
      <c r="V2846" s="1"/>
      <c r="W2846" s="1"/>
      <c r="X2846" s="1"/>
    </row>
    <row x14ac:dyDescent="0.25" r="2847" customHeight="1" ht="18.75">
      <c r="A2847" s="1"/>
      <c r="B2847" s="1"/>
      <c r="C2847" s="3" t="s">
        <v>1861</v>
      </c>
      <c r="D2847" s="3" t="s">
        <v>2878</v>
      </c>
      <c r="E2847" s="1"/>
      <c r="F2847" s="1"/>
      <c r="G2847" s="1"/>
      <c r="H2847" s="1"/>
      <c r="I2847" s="2"/>
      <c r="J2847" s="1"/>
      <c r="K2847" s="1"/>
      <c r="L2847" s="1"/>
      <c r="M2847" s="1"/>
      <c r="N2847" s="1"/>
      <c r="O2847" s="1"/>
      <c r="P2847" s="1"/>
      <c r="Q2847" s="1"/>
      <c r="R2847" s="1"/>
      <c r="S2847" s="1"/>
      <c r="T2847" s="1"/>
      <c r="U2847" s="1"/>
      <c r="V2847" s="1"/>
      <c r="W2847" s="1"/>
      <c r="X2847" s="1"/>
    </row>
    <row x14ac:dyDescent="0.25" r="2848" customHeight="1" ht="18.75">
      <c r="A2848" s="1"/>
      <c r="B2848" s="1"/>
      <c r="C2848" s="3" t="s">
        <v>1861</v>
      </c>
      <c r="D2848" s="3" t="s">
        <v>2879</v>
      </c>
      <c r="E2848" s="1"/>
      <c r="F2848" s="1"/>
      <c r="G2848" s="1"/>
      <c r="H2848" s="1"/>
      <c r="I2848" s="2"/>
      <c r="J2848" s="1"/>
      <c r="K2848" s="1"/>
      <c r="L2848" s="1"/>
      <c r="M2848" s="1"/>
      <c r="N2848" s="1"/>
      <c r="O2848" s="1"/>
      <c r="P2848" s="1"/>
      <c r="Q2848" s="1"/>
      <c r="R2848" s="1"/>
      <c r="S2848" s="1"/>
      <c r="T2848" s="1"/>
      <c r="U2848" s="1"/>
      <c r="V2848" s="1"/>
      <c r="W2848" s="1"/>
      <c r="X2848" s="1"/>
    </row>
    <row x14ac:dyDescent="0.25" r="2849" customHeight="1" ht="18.75">
      <c r="A2849" s="1"/>
      <c r="B2849" s="1"/>
      <c r="C2849" s="3" t="s">
        <v>1861</v>
      </c>
      <c r="D2849" s="3" t="s">
        <v>2880</v>
      </c>
      <c r="E2849" s="1"/>
      <c r="F2849" s="1"/>
      <c r="G2849" s="1"/>
      <c r="H2849" s="1"/>
      <c r="I2849" s="2"/>
      <c r="J2849" s="1"/>
      <c r="K2849" s="1"/>
      <c r="L2849" s="1"/>
      <c r="M2849" s="1"/>
      <c r="N2849" s="1"/>
      <c r="O2849" s="1"/>
      <c r="P2849" s="1"/>
      <c r="Q2849" s="1"/>
      <c r="R2849" s="1"/>
      <c r="S2849" s="1"/>
      <c r="T2849" s="1"/>
      <c r="U2849" s="1"/>
      <c r="V2849" s="1"/>
      <c r="W2849" s="1"/>
      <c r="X2849" s="1"/>
    </row>
    <row x14ac:dyDescent="0.25" r="2850" customHeight="1" ht="18.75">
      <c r="A2850" s="1"/>
      <c r="B2850" s="1"/>
      <c r="C2850" s="3" t="s">
        <v>1861</v>
      </c>
      <c r="D2850" s="3" t="s">
        <v>2881</v>
      </c>
      <c r="E2850" s="1"/>
      <c r="F2850" s="1"/>
      <c r="G2850" s="1"/>
      <c r="H2850" s="1"/>
      <c r="I2850" s="2"/>
      <c r="J2850" s="1"/>
      <c r="K2850" s="1"/>
      <c r="L2850" s="1"/>
      <c r="M2850" s="1"/>
      <c r="N2850" s="1"/>
      <c r="O2850" s="1"/>
      <c r="P2850" s="1"/>
      <c r="Q2850" s="1"/>
      <c r="R2850" s="1"/>
      <c r="S2850" s="1"/>
      <c r="T2850" s="1"/>
      <c r="U2850" s="1"/>
      <c r="V2850" s="1"/>
      <c r="W2850" s="1"/>
      <c r="X2850" s="1"/>
    </row>
    <row x14ac:dyDescent="0.25" r="2851" customHeight="1" ht="18.75">
      <c r="A2851" s="1"/>
      <c r="B2851" s="1"/>
      <c r="C2851" s="3" t="s">
        <v>1861</v>
      </c>
      <c r="D2851" s="3" t="s">
        <v>2882</v>
      </c>
      <c r="E2851" s="1"/>
      <c r="F2851" s="1"/>
      <c r="G2851" s="1"/>
      <c r="H2851" s="1"/>
      <c r="I2851" s="2"/>
      <c r="J2851" s="1"/>
      <c r="K2851" s="1"/>
      <c r="L2851" s="1"/>
      <c r="M2851" s="1"/>
      <c r="N2851" s="1"/>
      <c r="O2851" s="1"/>
      <c r="P2851" s="1"/>
      <c r="Q2851" s="1"/>
      <c r="R2851" s="1"/>
      <c r="S2851" s="1"/>
      <c r="T2851" s="1"/>
      <c r="U2851" s="1"/>
      <c r="V2851" s="1"/>
      <c r="W2851" s="1"/>
      <c r="X2851" s="1"/>
    </row>
    <row x14ac:dyDescent="0.25" r="2852" customHeight="1" ht="18.75">
      <c r="A2852" s="1"/>
      <c r="B2852" s="1"/>
      <c r="C2852" s="3" t="s">
        <v>1861</v>
      </c>
      <c r="D2852" s="3" t="s">
        <v>2883</v>
      </c>
      <c r="E2852" s="1"/>
      <c r="F2852" s="1"/>
      <c r="G2852" s="1"/>
      <c r="H2852" s="1"/>
      <c r="I2852" s="2"/>
      <c r="J2852" s="1"/>
      <c r="K2852" s="1"/>
      <c r="L2852" s="1"/>
      <c r="M2852" s="1"/>
      <c r="N2852" s="1"/>
      <c r="O2852" s="1"/>
      <c r="P2852" s="1"/>
      <c r="Q2852" s="1"/>
      <c r="R2852" s="1"/>
      <c r="S2852" s="1"/>
      <c r="T2852" s="1"/>
      <c r="U2852" s="1"/>
      <c r="V2852" s="1"/>
      <c r="W2852" s="1"/>
      <c r="X2852" s="1"/>
    </row>
    <row x14ac:dyDescent="0.25" r="2853" customHeight="1" ht="18.75">
      <c r="A2853" s="1"/>
      <c r="B2853" s="1"/>
      <c r="C2853" s="3" t="s">
        <v>1861</v>
      </c>
      <c r="D2853" s="3" t="s">
        <v>2884</v>
      </c>
      <c r="E2853" s="1"/>
      <c r="F2853" s="1"/>
      <c r="G2853" s="1"/>
      <c r="H2853" s="1"/>
      <c r="I2853" s="2"/>
      <c r="J2853" s="1"/>
      <c r="K2853" s="1"/>
      <c r="L2853" s="1"/>
      <c r="M2853" s="1"/>
      <c r="N2853" s="1"/>
      <c r="O2853" s="1"/>
      <c r="P2853" s="1"/>
      <c r="Q2853" s="1"/>
      <c r="R2853" s="1"/>
      <c r="S2853" s="1"/>
      <c r="T2853" s="1"/>
      <c r="U2853" s="1"/>
      <c r="V2853" s="1"/>
      <c r="W2853" s="1"/>
      <c r="X2853" s="1"/>
    </row>
    <row x14ac:dyDescent="0.25" r="2854" customHeight="1" ht="18.75">
      <c r="A2854" s="1"/>
      <c r="B2854" s="1"/>
      <c r="C2854" s="3" t="s">
        <v>1861</v>
      </c>
      <c r="D2854" s="3" t="s">
        <v>2885</v>
      </c>
      <c r="E2854" s="1"/>
      <c r="F2854" s="1"/>
      <c r="G2854" s="1"/>
      <c r="H2854" s="1"/>
      <c r="I2854" s="2"/>
      <c r="J2854" s="1"/>
      <c r="K2854" s="1"/>
      <c r="L2854" s="1"/>
      <c r="M2854" s="1"/>
      <c r="N2854" s="1"/>
      <c r="O2854" s="1"/>
      <c r="P2854" s="1"/>
      <c r="Q2854" s="1"/>
      <c r="R2854" s="1"/>
      <c r="S2854" s="1"/>
      <c r="T2854" s="1"/>
      <c r="U2854" s="1"/>
      <c r="V2854" s="1"/>
      <c r="W2854" s="1"/>
      <c r="X2854" s="1"/>
    </row>
    <row x14ac:dyDescent="0.25" r="2855" customHeight="1" ht="18.75">
      <c r="A2855" s="1"/>
      <c r="B2855" s="1"/>
      <c r="C2855" s="3" t="s">
        <v>1861</v>
      </c>
      <c r="D2855" s="3" t="s">
        <v>2886</v>
      </c>
      <c r="E2855" s="1"/>
      <c r="F2855" s="1"/>
      <c r="G2855" s="1"/>
      <c r="H2855" s="1"/>
      <c r="I2855" s="2"/>
      <c r="J2855" s="1"/>
      <c r="K2855" s="1"/>
      <c r="L2855" s="1"/>
      <c r="M2855" s="1"/>
      <c r="N2855" s="1"/>
      <c r="O2855" s="1"/>
      <c r="P2855" s="1"/>
      <c r="Q2855" s="1"/>
      <c r="R2855" s="1"/>
      <c r="S2855" s="1"/>
      <c r="T2855" s="1"/>
      <c r="U2855" s="1"/>
      <c r="V2855" s="1"/>
      <c r="W2855" s="1"/>
      <c r="X2855" s="1"/>
    </row>
    <row x14ac:dyDescent="0.25" r="2856" customHeight="1" ht="18.75">
      <c r="A2856" s="1"/>
      <c r="B2856" s="1"/>
      <c r="C2856" s="3" t="s">
        <v>1861</v>
      </c>
      <c r="D2856" s="3" t="s">
        <v>2887</v>
      </c>
      <c r="E2856" s="1"/>
      <c r="F2856" s="1"/>
      <c r="G2856" s="1"/>
      <c r="H2856" s="1"/>
      <c r="I2856" s="2"/>
      <c r="J2856" s="1"/>
      <c r="K2856" s="1"/>
      <c r="L2856" s="1"/>
      <c r="M2856" s="1"/>
      <c r="N2856" s="1"/>
      <c r="O2856" s="1"/>
      <c r="P2856" s="1"/>
      <c r="Q2856" s="1"/>
      <c r="R2856" s="1"/>
      <c r="S2856" s="1"/>
      <c r="T2856" s="1"/>
      <c r="U2856" s="1"/>
      <c r="V2856" s="1"/>
      <c r="W2856" s="1"/>
      <c r="X2856" s="1"/>
    </row>
    <row x14ac:dyDescent="0.25" r="2857" customHeight="1" ht="18.75">
      <c r="A2857" s="1"/>
      <c r="B2857" s="1"/>
      <c r="C2857" s="3" t="s">
        <v>1861</v>
      </c>
      <c r="D2857" s="3" t="s">
        <v>2888</v>
      </c>
      <c r="E2857" s="1"/>
      <c r="F2857" s="1"/>
      <c r="G2857" s="1"/>
      <c r="H2857" s="1"/>
      <c r="I2857" s="2"/>
      <c r="J2857" s="1"/>
      <c r="K2857" s="1"/>
      <c r="L2857" s="1"/>
      <c r="M2857" s="1"/>
      <c r="N2857" s="1"/>
      <c r="O2857" s="1"/>
      <c r="P2857" s="1"/>
      <c r="Q2857" s="1"/>
      <c r="R2857" s="1"/>
      <c r="S2857" s="1"/>
      <c r="T2857" s="1"/>
      <c r="U2857" s="1"/>
      <c r="V2857" s="1"/>
      <c r="W2857" s="1"/>
      <c r="X2857" s="1"/>
    </row>
    <row x14ac:dyDescent="0.25" r="2858" customHeight="1" ht="18.75">
      <c r="A2858" s="1"/>
      <c r="B2858" s="1"/>
      <c r="C2858" s="3" t="s">
        <v>1861</v>
      </c>
      <c r="D2858" s="3" t="s">
        <v>2889</v>
      </c>
      <c r="E2858" s="1"/>
      <c r="F2858" s="1"/>
      <c r="G2858" s="1"/>
      <c r="H2858" s="1"/>
      <c r="I2858" s="2"/>
      <c r="J2858" s="1"/>
      <c r="K2858" s="1"/>
      <c r="L2858" s="1"/>
      <c r="M2858" s="1"/>
      <c r="N2858" s="1"/>
      <c r="O2858" s="1"/>
      <c r="P2858" s="1"/>
      <c r="Q2858" s="1"/>
      <c r="R2858" s="1"/>
      <c r="S2858" s="1"/>
      <c r="T2858" s="1"/>
      <c r="U2858" s="1"/>
      <c r="V2858" s="1"/>
      <c r="W2858" s="1"/>
      <c r="X2858" s="1"/>
    </row>
    <row x14ac:dyDescent="0.25" r="2859" customHeight="1" ht="18.75">
      <c r="A2859" s="1"/>
      <c r="B2859" s="1"/>
      <c r="C2859" s="3" t="s">
        <v>1861</v>
      </c>
      <c r="D2859" s="3" t="s">
        <v>2890</v>
      </c>
      <c r="E2859" s="1"/>
      <c r="F2859" s="1"/>
      <c r="G2859" s="1"/>
      <c r="H2859" s="1"/>
      <c r="I2859" s="2"/>
      <c r="J2859" s="1"/>
      <c r="K2859" s="1"/>
      <c r="L2859" s="1"/>
      <c r="M2859" s="1"/>
      <c r="N2859" s="1"/>
      <c r="O2859" s="1"/>
      <c r="P2859" s="1"/>
      <c r="Q2859" s="1"/>
      <c r="R2859" s="1"/>
      <c r="S2859" s="1"/>
      <c r="T2859" s="1"/>
      <c r="U2859" s="1"/>
      <c r="V2859" s="1"/>
      <c r="W2859" s="1"/>
      <c r="X2859" s="1"/>
    </row>
    <row x14ac:dyDescent="0.25" r="2860" customHeight="1" ht="18.75">
      <c r="A2860" s="1"/>
      <c r="B2860" s="1"/>
      <c r="C2860" s="3" t="s">
        <v>1861</v>
      </c>
      <c r="D2860" s="3" t="s">
        <v>2891</v>
      </c>
      <c r="E2860" s="1"/>
      <c r="F2860" s="1"/>
      <c r="G2860" s="1"/>
      <c r="H2860" s="1"/>
      <c r="I2860" s="2"/>
      <c r="J2860" s="1"/>
      <c r="K2860" s="1"/>
      <c r="L2860" s="1"/>
      <c r="M2860" s="1"/>
      <c r="N2860" s="1"/>
      <c r="O2860" s="1"/>
      <c r="P2860" s="1"/>
      <c r="Q2860" s="1"/>
      <c r="R2860" s="1"/>
      <c r="S2860" s="1"/>
      <c r="T2860" s="1"/>
      <c r="U2860" s="1"/>
      <c r="V2860" s="1"/>
      <c r="W2860" s="1"/>
      <c r="X2860" s="1"/>
    </row>
    <row x14ac:dyDescent="0.25" r="2861" customHeight="1" ht="18.75">
      <c r="A2861" s="1"/>
      <c r="B2861" s="1"/>
      <c r="C2861" s="3" t="s">
        <v>1861</v>
      </c>
      <c r="D2861" s="3" t="s">
        <v>2892</v>
      </c>
      <c r="E2861" s="1"/>
      <c r="F2861" s="1"/>
      <c r="G2861" s="1"/>
      <c r="H2861" s="1"/>
      <c r="I2861" s="2"/>
      <c r="J2861" s="1"/>
      <c r="K2861" s="1"/>
      <c r="L2861" s="1"/>
      <c r="M2861" s="1"/>
      <c r="N2861" s="1"/>
      <c r="O2861" s="1"/>
      <c r="P2861" s="1"/>
      <c r="Q2861" s="1"/>
      <c r="R2861" s="1"/>
      <c r="S2861" s="1"/>
      <c r="T2861" s="1"/>
      <c r="U2861" s="1"/>
      <c r="V2861" s="1"/>
      <c r="W2861" s="1"/>
      <c r="X2861" s="1"/>
    </row>
    <row x14ac:dyDescent="0.25" r="2862" customHeight="1" ht="18.75">
      <c r="A2862" s="1"/>
      <c r="B2862" s="1"/>
      <c r="C2862" s="3" t="s">
        <v>1861</v>
      </c>
      <c r="D2862" s="3" t="s">
        <v>2893</v>
      </c>
      <c r="E2862" s="1"/>
      <c r="F2862" s="1"/>
      <c r="G2862" s="1"/>
      <c r="H2862" s="1"/>
      <c r="I2862" s="2"/>
      <c r="J2862" s="1"/>
      <c r="K2862" s="1"/>
      <c r="L2862" s="1"/>
      <c r="M2862" s="1"/>
      <c r="N2862" s="1"/>
      <c r="O2862" s="1"/>
      <c r="P2862" s="1"/>
      <c r="Q2862" s="1"/>
      <c r="R2862" s="1"/>
      <c r="S2862" s="1"/>
      <c r="T2862" s="1"/>
      <c r="U2862" s="1"/>
      <c r="V2862" s="1"/>
      <c r="W2862" s="1"/>
      <c r="X2862" s="1"/>
    </row>
    <row x14ac:dyDescent="0.25" r="2863" customHeight="1" ht="18.75">
      <c r="A2863" s="1"/>
      <c r="B2863" s="1"/>
      <c r="C2863" s="3" t="s">
        <v>1861</v>
      </c>
      <c r="D2863" s="3" t="s">
        <v>2894</v>
      </c>
      <c r="E2863" s="1"/>
      <c r="F2863" s="1"/>
      <c r="G2863" s="1"/>
      <c r="H2863" s="1"/>
      <c r="I2863" s="2"/>
      <c r="J2863" s="1"/>
      <c r="K2863" s="1"/>
      <c r="L2863" s="1"/>
      <c r="M2863" s="1"/>
      <c r="N2863" s="1"/>
      <c r="O2863" s="1"/>
      <c r="P2863" s="1"/>
      <c r="Q2863" s="1"/>
      <c r="R2863" s="1"/>
      <c r="S2863" s="1"/>
      <c r="T2863" s="1"/>
      <c r="U2863" s="1"/>
      <c r="V2863" s="1"/>
      <c r="W2863" s="1"/>
      <c r="X2863" s="1"/>
    </row>
    <row x14ac:dyDescent="0.25" r="2864" customHeight="1" ht="18.75">
      <c r="A2864" s="1"/>
      <c r="B2864" s="1"/>
      <c r="C2864" s="3" t="s">
        <v>1861</v>
      </c>
      <c r="D2864" s="3" t="s">
        <v>2895</v>
      </c>
      <c r="E2864" s="1"/>
      <c r="F2864" s="1"/>
      <c r="G2864" s="1"/>
      <c r="H2864" s="1"/>
      <c r="I2864" s="2"/>
      <c r="J2864" s="1"/>
      <c r="K2864" s="1"/>
      <c r="L2864" s="1"/>
      <c r="M2864" s="1"/>
      <c r="N2864" s="1"/>
      <c r="O2864" s="1"/>
      <c r="P2864" s="1"/>
      <c r="Q2864" s="1"/>
      <c r="R2864" s="1"/>
      <c r="S2864" s="1"/>
      <c r="T2864" s="1"/>
      <c r="U2864" s="1"/>
      <c r="V2864" s="1"/>
      <c r="W2864" s="1"/>
      <c r="X2864" s="1"/>
    </row>
    <row x14ac:dyDescent="0.25" r="2865" customHeight="1" ht="18.75">
      <c r="A2865" s="1"/>
      <c r="B2865" s="1"/>
      <c r="C2865" s="3" t="s">
        <v>1861</v>
      </c>
      <c r="D2865" s="3" t="s">
        <v>2896</v>
      </c>
      <c r="E2865" s="1"/>
      <c r="F2865" s="1"/>
      <c r="G2865" s="1"/>
      <c r="H2865" s="1"/>
      <c r="I2865" s="2"/>
      <c r="J2865" s="1"/>
      <c r="K2865" s="1"/>
      <c r="L2865" s="1"/>
      <c r="M2865" s="1"/>
      <c r="N2865" s="1"/>
      <c r="O2865" s="1"/>
      <c r="P2865" s="1"/>
      <c r="Q2865" s="1"/>
      <c r="R2865" s="1"/>
      <c r="S2865" s="1"/>
      <c r="T2865" s="1"/>
      <c r="U2865" s="1"/>
      <c r="V2865" s="1"/>
      <c r="W2865" s="1"/>
      <c r="X2865" s="1"/>
    </row>
    <row x14ac:dyDescent="0.25" r="2866" customHeight="1" ht="18.75">
      <c r="A2866" s="1"/>
      <c r="B2866" s="1"/>
      <c r="C2866" s="3" t="s">
        <v>1861</v>
      </c>
      <c r="D2866" s="3" t="s">
        <v>2897</v>
      </c>
      <c r="E2866" s="1"/>
      <c r="F2866" s="1"/>
      <c r="G2866" s="1"/>
      <c r="H2866" s="1"/>
      <c r="I2866" s="2"/>
      <c r="J2866" s="1"/>
      <c r="K2866" s="1"/>
      <c r="L2866" s="1"/>
      <c r="M2866" s="1"/>
      <c r="N2866" s="1"/>
      <c r="O2866" s="1"/>
      <c r="P2866" s="1"/>
      <c r="Q2866" s="1"/>
      <c r="R2866" s="1"/>
      <c r="S2866" s="1"/>
      <c r="T2866" s="1"/>
      <c r="U2866" s="1"/>
      <c r="V2866" s="1"/>
      <c r="W2866" s="1"/>
      <c r="X2866" s="1"/>
    </row>
    <row x14ac:dyDescent="0.25" r="2867" customHeight="1" ht="18.75">
      <c r="A2867" s="1"/>
      <c r="B2867" s="1"/>
      <c r="C2867" s="3" t="s">
        <v>1861</v>
      </c>
      <c r="D2867" s="3" t="s">
        <v>2898</v>
      </c>
      <c r="E2867" s="1"/>
      <c r="F2867" s="1"/>
      <c r="G2867" s="1"/>
      <c r="H2867" s="1"/>
      <c r="I2867" s="2"/>
      <c r="J2867" s="1"/>
      <c r="K2867" s="1"/>
      <c r="L2867" s="1"/>
      <c r="M2867" s="1"/>
      <c r="N2867" s="1"/>
      <c r="O2867" s="1"/>
      <c r="P2867" s="1"/>
      <c r="Q2867" s="1"/>
      <c r="R2867" s="1"/>
      <c r="S2867" s="1"/>
      <c r="T2867" s="1"/>
      <c r="U2867" s="1"/>
      <c r="V2867" s="1"/>
      <c r="W2867" s="1"/>
      <c r="X2867" s="1"/>
    </row>
    <row x14ac:dyDescent="0.25" r="2868" customHeight="1" ht="18.75">
      <c r="A2868" s="1"/>
      <c r="B2868" s="1"/>
      <c r="C2868" s="3" t="s">
        <v>1861</v>
      </c>
      <c r="D2868" s="3" t="s">
        <v>2899</v>
      </c>
      <c r="E2868" s="1"/>
      <c r="F2868" s="1"/>
      <c r="G2868" s="1"/>
      <c r="H2868" s="1"/>
      <c r="I2868" s="2"/>
      <c r="J2868" s="1"/>
      <c r="K2868" s="1"/>
      <c r="L2868" s="1"/>
      <c r="M2868" s="1"/>
      <c r="N2868" s="1"/>
      <c r="O2868" s="1"/>
      <c r="P2868" s="1"/>
      <c r="Q2868" s="1"/>
      <c r="R2868" s="1"/>
      <c r="S2868" s="1"/>
      <c r="T2868" s="1"/>
      <c r="U2868" s="1"/>
      <c r="V2868" s="1"/>
      <c r="W2868" s="1"/>
      <c r="X2868" s="1"/>
    </row>
    <row x14ac:dyDescent="0.25" r="2869" customHeight="1" ht="18.75">
      <c r="A2869" s="1"/>
      <c r="B2869" s="1"/>
      <c r="C2869" s="3" t="s">
        <v>1861</v>
      </c>
      <c r="D2869" s="3" t="s">
        <v>2900</v>
      </c>
      <c r="E2869" s="1"/>
      <c r="F2869" s="1"/>
      <c r="G2869" s="1"/>
      <c r="H2869" s="1"/>
      <c r="I2869" s="2"/>
      <c r="J2869" s="1"/>
      <c r="K2869" s="1"/>
      <c r="L2869" s="1"/>
      <c r="M2869" s="1"/>
      <c r="N2869" s="1"/>
      <c r="O2869" s="1"/>
      <c r="P2869" s="1"/>
      <c r="Q2869" s="1"/>
      <c r="R2869" s="1"/>
      <c r="S2869" s="1"/>
      <c r="T2869" s="1"/>
      <c r="U2869" s="1"/>
      <c r="V2869" s="1"/>
      <c r="W2869" s="1"/>
      <c r="X2869" s="1"/>
    </row>
    <row x14ac:dyDescent="0.25" r="2870" customHeight="1" ht="18.75">
      <c r="A2870" s="1"/>
      <c r="B2870" s="1"/>
      <c r="C2870" s="3" t="s">
        <v>1861</v>
      </c>
      <c r="D2870" s="3" t="s">
        <v>2901</v>
      </c>
      <c r="E2870" s="1"/>
      <c r="F2870" s="1"/>
      <c r="G2870" s="1"/>
      <c r="H2870" s="1"/>
      <c r="I2870" s="2"/>
      <c r="J2870" s="1"/>
      <c r="K2870" s="1"/>
      <c r="L2870" s="1"/>
      <c r="M2870" s="1"/>
      <c r="N2870" s="1"/>
      <c r="O2870" s="1"/>
      <c r="P2870" s="1"/>
      <c r="Q2870" s="1"/>
      <c r="R2870" s="1"/>
      <c r="S2870" s="1"/>
      <c r="T2870" s="1"/>
      <c r="U2870" s="1"/>
      <c r="V2870" s="1"/>
      <c r="W2870" s="1"/>
      <c r="X2870" s="1"/>
    </row>
    <row x14ac:dyDescent="0.25" r="2871" customHeight="1" ht="18.75">
      <c r="A2871" s="1"/>
      <c r="B2871" s="1"/>
      <c r="C2871" s="3" t="s">
        <v>1861</v>
      </c>
      <c r="D2871" s="3" t="s">
        <v>2902</v>
      </c>
      <c r="E2871" s="1"/>
      <c r="F2871" s="1"/>
      <c r="G2871" s="1"/>
      <c r="H2871" s="1"/>
      <c r="I2871" s="2"/>
      <c r="J2871" s="1"/>
      <c r="K2871" s="1"/>
      <c r="L2871" s="1"/>
      <c r="M2871" s="1"/>
      <c r="N2871" s="1"/>
      <c r="O2871" s="1"/>
      <c r="P2871" s="1"/>
      <c r="Q2871" s="1"/>
      <c r="R2871" s="1"/>
      <c r="S2871" s="1"/>
      <c r="T2871" s="1"/>
      <c r="U2871" s="1"/>
      <c r="V2871" s="1"/>
      <c r="W2871" s="1"/>
      <c r="X2871" s="1"/>
    </row>
    <row x14ac:dyDescent="0.25" r="2872" customHeight="1" ht="18.75">
      <c r="A2872" s="1"/>
      <c r="B2872" s="1"/>
      <c r="C2872" s="3" t="s">
        <v>1861</v>
      </c>
      <c r="D2872" s="3" t="s">
        <v>2903</v>
      </c>
      <c r="E2872" s="1"/>
      <c r="F2872" s="1"/>
      <c r="G2872" s="1"/>
      <c r="H2872" s="1"/>
      <c r="I2872" s="2"/>
      <c r="J2872" s="1"/>
      <c r="K2872" s="1"/>
      <c r="L2872" s="1"/>
      <c r="M2872" s="1"/>
      <c r="N2872" s="1"/>
      <c r="O2872" s="1"/>
      <c r="P2872" s="1"/>
      <c r="Q2872" s="1"/>
      <c r="R2872" s="1"/>
      <c r="S2872" s="1"/>
      <c r="T2872" s="1"/>
      <c r="U2872" s="1"/>
      <c r="V2872" s="1"/>
      <c r="W2872" s="1"/>
      <c r="X2872" s="1"/>
    </row>
    <row x14ac:dyDescent="0.25" r="2873" customHeight="1" ht="18.75">
      <c r="A2873" s="1"/>
      <c r="B2873" s="1"/>
      <c r="C2873" s="3" t="s">
        <v>1861</v>
      </c>
      <c r="D2873" s="3" t="s">
        <v>2904</v>
      </c>
      <c r="E2873" s="1"/>
      <c r="F2873" s="1"/>
      <c r="G2873" s="1"/>
      <c r="H2873" s="1"/>
      <c r="I2873" s="2"/>
      <c r="J2873" s="1"/>
      <c r="K2873" s="1"/>
      <c r="L2873" s="1"/>
      <c r="M2873" s="1"/>
      <c r="N2873" s="1"/>
      <c r="O2873" s="1"/>
      <c r="P2873" s="1"/>
      <c r="Q2873" s="1"/>
      <c r="R2873" s="1"/>
      <c r="S2873" s="1"/>
      <c r="T2873" s="1"/>
      <c r="U2873" s="1"/>
      <c r="V2873" s="1"/>
      <c r="W2873" s="1"/>
      <c r="X2873" s="1"/>
    </row>
    <row x14ac:dyDescent="0.25" r="2874" customHeight="1" ht="18.75">
      <c r="A2874" s="1"/>
      <c r="B2874" s="1"/>
      <c r="C2874" s="3" t="s">
        <v>1861</v>
      </c>
      <c r="D2874" s="3" t="s">
        <v>2905</v>
      </c>
      <c r="E2874" s="1"/>
      <c r="F2874" s="1"/>
      <c r="G2874" s="1"/>
      <c r="H2874" s="1"/>
      <c r="I2874" s="2"/>
      <c r="J2874" s="1"/>
      <c r="K2874" s="1"/>
      <c r="L2874" s="1"/>
      <c r="M2874" s="1"/>
      <c r="N2874" s="1"/>
      <c r="O2874" s="1"/>
      <c r="P2874" s="1"/>
      <c r="Q2874" s="1"/>
      <c r="R2874" s="1"/>
      <c r="S2874" s="1"/>
      <c r="T2874" s="1"/>
      <c r="U2874" s="1"/>
      <c r="V2874" s="1"/>
      <c r="W2874" s="1"/>
      <c r="X2874" s="1"/>
    </row>
    <row x14ac:dyDescent="0.25" r="2875" customHeight="1" ht="18.75">
      <c r="A2875" s="1"/>
      <c r="B2875" s="1"/>
      <c r="C2875" s="3" t="s">
        <v>1861</v>
      </c>
      <c r="D2875" s="3" t="s">
        <v>2906</v>
      </c>
      <c r="E2875" s="1"/>
      <c r="F2875" s="1"/>
      <c r="G2875" s="1"/>
      <c r="H2875" s="1"/>
      <c r="I2875" s="2"/>
      <c r="J2875" s="1"/>
      <c r="K2875" s="1"/>
      <c r="L2875" s="1"/>
      <c r="M2875" s="1"/>
      <c r="N2875" s="1"/>
      <c r="O2875" s="1"/>
      <c r="P2875" s="1"/>
      <c r="Q2875" s="1"/>
      <c r="R2875" s="1"/>
      <c r="S2875" s="1"/>
      <c r="T2875" s="1"/>
      <c r="U2875" s="1"/>
      <c r="V2875" s="1"/>
      <c r="W2875" s="1"/>
      <c r="X2875" s="1"/>
    </row>
    <row x14ac:dyDescent="0.25" r="2876" customHeight="1" ht="18.75">
      <c r="A2876" s="1"/>
      <c r="B2876" s="1"/>
      <c r="C2876" s="3" t="s">
        <v>1861</v>
      </c>
      <c r="D2876" s="3" t="s">
        <v>2907</v>
      </c>
      <c r="E2876" s="1"/>
      <c r="F2876" s="1"/>
      <c r="G2876" s="1"/>
      <c r="H2876" s="1"/>
      <c r="I2876" s="2"/>
      <c r="J2876" s="1"/>
      <c r="K2876" s="1"/>
      <c r="L2876" s="1"/>
      <c r="M2876" s="1"/>
      <c r="N2876" s="1"/>
      <c r="O2876" s="1"/>
      <c r="P2876" s="1"/>
      <c r="Q2876" s="1"/>
      <c r="R2876" s="1"/>
      <c r="S2876" s="1"/>
      <c r="T2876" s="1"/>
      <c r="U2876" s="1"/>
      <c r="V2876" s="1"/>
      <c r="W2876" s="1"/>
      <c r="X2876" s="1"/>
    </row>
    <row x14ac:dyDescent="0.25" r="2877" customHeight="1" ht="18.75">
      <c r="A2877" s="1"/>
      <c r="B2877" s="1"/>
      <c r="C2877" s="3" t="s">
        <v>1861</v>
      </c>
      <c r="D2877" s="3" t="s">
        <v>2908</v>
      </c>
      <c r="E2877" s="1"/>
      <c r="F2877" s="1"/>
      <c r="G2877" s="1"/>
      <c r="H2877" s="1"/>
      <c r="I2877" s="2"/>
      <c r="J2877" s="1"/>
      <c r="K2877" s="1"/>
      <c r="L2877" s="1"/>
      <c r="M2877" s="1"/>
      <c r="N2877" s="1"/>
      <c r="O2877" s="1"/>
      <c r="P2877" s="1"/>
      <c r="Q2877" s="1"/>
      <c r="R2877" s="1"/>
      <c r="S2877" s="1"/>
      <c r="T2877" s="1"/>
      <c r="U2877" s="1"/>
      <c r="V2877" s="1"/>
      <c r="W2877" s="1"/>
      <c r="X2877" s="1"/>
    </row>
    <row x14ac:dyDescent="0.25" r="2878" customHeight="1" ht="18.75">
      <c r="A2878" s="1"/>
      <c r="B2878" s="1"/>
      <c r="C2878" s="3" t="s">
        <v>1861</v>
      </c>
      <c r="D2878" s="3" t="s">
        <v>2909</v>
      </c>
      <c r="E2878" s="1"/>
      <c r="F2878" s="1"/>
      <c r="G2878" s="1"/>
      <c r="H2878" s="1"/>
      <c r="I2878" s="2"/>
      <c r="J2878" s="1"/>
      <c r="K2878" s="1"/>
      <c r="L2878" s="1"/>
      <c r="M2878" s="1"/>
      <c r="N2878" s="1"/>
      <c r="O2878" s="1"/>
      <c r="P2878" s="1"/>
      <c r="Q2878" s="1"/>
      <c r="R2878" s="1"/>
      <c r="S2878" s="1"/>
      <c r="T2878" s="1"/>
      <c r="U2878" s="1"/>
      <c r="V2878" s="1"/>
      <c r="W2878" s="1"/>
      <c r="X2878" s="1"/>
    </row>
    <row x14ac:dyDescent="0.25" r="2879" customHeight="1" ht="18.75">
      <c r="A2879" s="1"/>
      <c r="B2879" s="1"/>
      <c r="C2879" s="3" t="s">
        <v>1861</v>
      </c>
      <c r="D2879" s="3" t="s">
        <v>2910</v>
      </c>
      <c r="E2879" s="1"/>
      <c r="F2879" s="1"/>
      <c r="G2879" s="1"/>
      <c r="H2879" s="1"/>
      <c r="I2879" s="2"/>
      <c r="J2879" s="1"/>
      <c r="K2879" s="1"/>
      <c r="L2879" s="1"/>
      <c r="M2879" s="1"/>
      <c r="N2879" s="1"/>
      <c r="O2879" s="1"/>
      <c r="P2879" s="1"/>
      <c r="Q2879" s="1"/>
      <c r="R2879" s="1"/>
      <c r="S2879" s="1"/>
      <c r="T2879" s="1"/>
      <c r="U2879" s="1"/>
      <c r="V2879" s="1"/>
      <c r="W2879" s="1"/>
      <c r="X2879" s="1"/>
    </row>
    <row x14ac:dyDescent="0.25" r="2880" customHeight="1" ht="18.75">
      <c r="A2880" s="1"/>
      <c r="B2880" s="1"/>
      <c r="C2880" s="3" t="s">
        <v>1861</v>
      </c>
      <c r="D2880" s="3" t="s">
        <v>2911</v>
      </c>
      <c r="E2880" s="1"/>
      <c r="F2880" s="1"/>
      <c r="G2880" s="1"/>
      <c r="H2880" s="1"/>
      <c r="I2880" s="2"/>
      <c r="J2880" s="1"/>
      <c r="K2880" s="1"/>
      <c r="L2880" s="1"/>
      <c r="M2880" s="1"/>
      <c r="N2880" s="1"/>
      <c r="O2880" s="1"/>
      <c r="P2880" s="1"/>
      <c r="Q2880" s="1"/>
      <c r="R2880" s="1"/>
      <c r="S2880" s="1"/>
      <c r="T2880" s="1"/>
      <c r="U2880" s="1"/>
      <c r="V2880" s="1"/>
      <c r="W2880" s="1"/>
      <c r="X2880" s="1"/>
    </row>
    <row x14ac:dyDescent="0.25" r="2881" customHeight="1" ht="18.75">
      <c r="A2881" s="1"/>
      <c r="B2881" s="1"/>
      <c r="C2881" s="3" t="s">
        <v>1861</v>
      </c>
      <c r="D2881" s="3" t="s">
        <v>2912</v>
      </c>
      <c r="E2881" s="1"/>
      <c r="F2881" s="1"/>
      <c r="G2881" s="1"/>
      <c r="H2881" s="1"/>
      <c r="I2881" s="2"/>
      <c r="J2881" s="1"/>
      <c r="K2881" s="1"/>
      <c r="L2881" s="1"/>
      <c r="M2881" s="1"/>
      <c r="N2881" s="1"/>
      <c r="O2881" s="1"/>
      <c r="P2881" s="1"/>
      <c r="Q2881" s="1"/>
      <c r="R2881" s="1"/>
      <c r="S2881" s="1"/>
      <c r="T2881" s="1"/>
      <c r="U2881" s="1"/>
      <c r="V2881" s="1"/>
      <c r="W2881" s="1"/>
      <c r="X2881" s="1"/>
    </row>
    <row x14ac:dyDescent="0.25" r="2882" customHeight="1" ht="18.75">
      <c r="A2882" s="1"/>
      <c r="B2882" s="1"/>
      <c r="C2882" s="3" t="s">
        <v>1861</v>
      </c>
      <c r="D2882" s="3" t="s">
        <v>2913</v>
      </c>
      <c r="E2882" s="1"/>
      <c r="F2882" s="1"/>
      <c r="G2882" s="1"/>
      <c r="H2882" s="1"/>
      <c r="I2882" s="2"/>
      <c r="J2882" s="1"/>
      <c r="K2882" s="1"/>
      <c r="L2882" s="1"/>
      <c r="M2882" s="1"/>
      <c r="N2882" s="1"/>
      <c r="O2882" s="1"/>
      <c r="P2882" s="1"/>
      <c r="Q2882" s="1"/>
      <c r="R2882" s="1"/>
      <c r="S2882" s="1"/>
      <c r="T2882" s="1"/>
      <c r="U2882" s="1"/>
      <c r="V2882" s="1"/>
      <c r="W2882" s="1"/>
      <c r="X2882" s="1"/>
    </row>
    <row x14ac:dyDescent="0.25" r="2883" customHeight="1" ht="18.75">
      <c r="A2883" s="1"/>
      <c r="B2883" s="1"/>
      <c r="C2883" s="3" t="s">
        <v>1861</v>
      </c>
      <c r="D2883" s="3" t="s">
        <v>2914</v>
      </c>
      <c r="E2883" s="1"/>
      <c r="F2883" s="1"/>
      <c r="G2883" s="1"/>
      <c r="H2883" s="1"/>
      <c r="I2883" s="2"/>
      <c r="J2883" s="1"/>
      <c r="K2883" s="1"/>
      <c r="L2883" s="1"/>
      <c r="M2883" s="1"/>
      <c r="N2883" s="1"/>
      <c r="O2883" s="1"/>
      <c r="P2883" s="1"/>
      <c r="Q2883" s="1"/>
      <c r="R2883" s="1"/>
      <c r="S2883" s="1"/>
      <c r="T2883" s="1"/>
      <c r="U2883" s="1"/>
      <c r="V2883" s="1"/>
      <c r="W2883" s="1"/>
      <c r="X2883" s="1"/>
    </row>
    <row x14ac:dyDescent="0.25" r="2884" customHeight="1" ht="18.75">
      <c r="A2884" s="1"/>
      <c r="B2884" s="1"/>
      <c r="C2884" s="3" t="s">
        <v>1861</v>
      </c>
      <c r="D2884" s="3" t="s">
        <v>2915</v>
      </c>
      <c r="E2884" s="1"/>
      <c r="F2884" s="1"/>
      <c r="G2884" s="1"/>
      <c r="H2884" s="1"/>
      <c r="I2884" s="2"/>
      <c r="J2884" s="1"/>
      <c r="K2884" s="1"/>
      <c r="L2884" s="1"/>
      <c r="M2884" s="1"/>
      <c r="N2884" s="1"/>
      <c r="O2884" s="1"/>
      <c r="P2884" s="1"/>
      <c r="Q2884" s="1"/>
      <c r="R2884" s="1"/>
      <c r="S2884" s="1"/>
      <c r="T2884" s="1"/>
      <c r="U2884" s="1"/>
      <c r="V2884" s="1"/>
      <c r="W2884" s="1"/>
      <c r="X2884" s="1"/>
    </row>
    <row x14ac:dyDescent="0.25" r="2885" customHeight="1" ht="18.75">
      <c r="A2885" s="1"/>
      <c r="B2885" s="1"/>
      <c r="C2885" s="3" t="s">
        <v>1861</v>
      </c>
      <c r="D2885" s="3" t="s">
        <v>2916</v>
      </c>
      <c r="E2885" s="1"/>
      <c r="F2885" s="1"/>
      <c r="G2885" s="1"/>
      <c r="H2885" s="1"/>
      <c r="I2885" s="2"/>
      <c r="J2885" s="1"/>
      <c r="K2885" s="1"/>
      <c r="L2885" s="1"/>
      <c r="M2885" s="1"/>
      <c r="N2885" s="1"/>
      <c r="O2885" s="1"/>
      <c r="P2885" s="1"/>
      <c r="Q2885" s="1"/>
      <c r="R2885" s="1"/>
      <c r="S2885" s="1"/>
      <c r="T2885" s="1"/>
      <c r="U2885" s="1"/>
      <c r="V2885" s="1"/>
      <c r="W2885" s="1"/>
      <c r="X2885" s="1"/>
    </row>
    <row x14ac:dyDescent="0.25" r="2886" customHeight="1" ht="18.75">
      <c r="A2886" s="1"/>
      <c r="B2886" s="1"/>
      <c r="C2886" s="3" t="s">
        <v>1861</v>
      </c>
      <c r="D2886" s="3" t="s">
        <v>2917</v>
      </c>
      <c r="E2886" s="1"/>
      <c r="F2886" s="1"/>
      <c r="G2886" s="1"/>
      <c r="H2886" s="1"/>
      <c r="I2886" s="2"/>
      <c r="J2886" s="1"/>
      <c r="K2886" s="1"/>
      <c r="L2886" s="1"/>
      <c r="M2886" s="1"/>
      <c r="N2886" s="1"/>
      <c r="O2886" s="1"/>
      <c r="P2886" s="1"/>
      <c r="Q2886" s="1"/>
      <c r="R2886" s="1"/>
      <c r="S2886" s="1"/>
      <c r="T2886" s="1"/>
      <c r="U2886" s="1"/>
      <c r="V2886" s="1"/>
      <c r="W2886" s="1"/>
      <c r="X2886" s="1"/>
    </row>
    <row x14ac:dyDescent="0.25" r="2887" customHeight="1" ht="18.75">
      <c r="A2887" s="1"/>
      <c r="B2887" s="1"/>
      <c r="C2887" s="3" t="s">
        <v>1861</v>
      </c>
      <c r="D2887" s="3" t="s">
        <v>2918</v>
      </c>
      <c r="E2887" s="1"/>
      <c r="F2887" s="1"/>
      <c r="G2887" s="1"/>
      <c r="H2887" s="1"/>
      <c r="I2887" s="2"/>
      <c r="J2887" s="1"/>
      <c r="K2887" s="1"/>
      <c r="L2887" s="1"/>
      <c r="M2887" s="1"/>
      <c r="N2887" s="1"/>
      <c r="O2887" s="1"/>
      <c r="P2887" s="1"/>
      <c r="Q2887" s="1"/>
      <c r="R2887" s="1"/>
      <c r="S2887" s="1"/>
      <c r="T2887" s="1"/>
      <c r="U2887" s="1"/>
      <c r="V2887" s="1"/>
      <c r="W2887" s="1"/>
      <c r="X2887" s="1"/>
    </row>
    <row x14ac:dyDescent="0.25" r="2888" customHeight="1" ht="18.75">
      <c r="A2888" s="1"/>
      <c r="B2888" s="1"/>
      <c r="C2888" s="3" t="s">
        <v>1861</v>
      </c>
      <c r="D2888" s="3" t="s">
        <v>2919</v>
      </c>
      <c r="E2888" s="1"/>
      <c r="F2888" s="1"/>
      <c r="G2888" s="1"/>
      <c r="H2888" s="1"/>
      <c r="I2888" s="2"/>
      <c r="J2888" s="1"/>
      <c r="K2888" s="1"/>
      <c r="L2888" s="1"/>
      <c r="M2888" s="1"/>
      <c r="N2888" s="1"/>
      <c r="O2888" s="1"/>
      <c r="P2888" s="1"/>
      <c r="Q2888" s="1"/>
      <c r="R2888" s="1"/>
      <c r="S2888" s="1"/>
      <c r="T2888" s="1"/>
      <c r="U2888" s="1"/>
      <c r="V2888" s="1"/>
      <c r="W2888" s="1"/>
      <c r="X2888" s="1"/>
    </row>
    <row x14ac:dyDescent="0.25" r="2889" customHeight="1" ht="18.75">
      <c r="A2889" s="1"/>
      <c r="B2889" s="1"/>
      <c r="C2889" s="3" t="s">
        <v>1861</v>
      </c>
      <c r="D2889" s="3" t="s">
        <v>2920</v>
      </c>
      <c r="E2889" s="1"/>
      <c r="F2889" s="1"/>
      <c r="G2889" s="1"/>
      <c r="H2889" s="1"/>
      <c r="I2889" s="2"/>
      <c r="J2889" s="1"/>
      <c r="K2889" s="1"/>
      <c r="L2889" s="1"/>
      <c r="M2889" s="1"/>
      <c r="N2889" s="1"/>
      <c r="O2889" s="1"/>
      <c r="P2889" s="1"/>
      <c r="Q2889" s="1"/>
      <c r="R2889" s="1"/>
      <c r="S2889" s="1"/>
      <c r="T2889" s="1"/>
      <c r="U2889" s="1"/>
      <c r="V2889" s="1"/>
      <c r="W2889" s="1"/>
      <c r="X2889" s="1"/>
    </row>
    <row x14ac:dyDescent="0.25" r="2890" customHeight="1" ht="18.75">
      <c r="A2890" s="1"/>
      <c r="B2890" s="1"/>
      <c r="C2890" s="3" t="s">
        <v>1861</v>
      </c>
      <c r="D2890" s="3" t="s">
        <v>2921</v>
      </c>
      <c r="E2890" s="1"/>
      <c r="F2890" s="1"/>
      <c r="G2890" s="1"/>
      <c r="H2890" s="1"/>
      <c r="I2890" s="2"/>
      <c r="J2890" s="1"/>
      <c r="K2890" s="1"/>
      <c r="L2890" s="1"/>
      <c r="M2890" s="1"/>
      <c r="N2890" s="1"/>
      <c r="O2890" s="1"/>
      <c r="P2890" s="1"/>
      <c r="Q2890" s="1"/>
      <c r="R2890" s="1"/>
      <c r="S2890" s="1"/>
      <c r="T2890" s="1"/>
      <c r="U2890" s="1"/>
      <c r="V2890" s="1"/>
      <c r="W2890" s="1"/>
      <c r="X2890" s="1"/>
    </row>
    <row x14ac:dyDescent="0.25" r="2891" customHeight="1" ht="18.75">
      <c r="A2891" s="1"/>
      <c r="B2891" s="1"/>
      <c r="C2891" s="3" t="s">
        <v>1861</v>
      </c>
      <c r="D2891" s="3" t="s">
        <v>2922</v>
      </c>
      <c r="E2891" s="1"/>
      <c r="F2891" s="1"/>
      <c r="G2891" s="1"/>
      <c r="H2891" s="1"/>
      <c r="I2891" s="2"/>
      <c r="J2891" s="1"/>
      <c r="K2891" s="1"/>
      <c r="L2891" s="1"/>
      <c r="M2891" s="1"/>
      <c r="N2891" s="1"/>
      <c r="O2891" s="1"/>
      <c r="P2891" s="1"/>
      <c r="Q2891" s="1"/>
      <c r="R2891" s="1"/>
      <c r="S2891" s="1"/>
      <c r="T2891" s="1"/>
      <c r="U2891" s="1"/>
      <c r="V2891" s="1"/>
      <c r="W2891" s="1"/>
      <c r="X2891" s="1"/>
    </row>
    <row x14ac:dyDescent="0.25" r="2892" customHeight="1" ht="18.75">
      <c r="A2892" s="1"/>
      <c r="B2892" s="1"/>
      <c r="C2892" s="3" t="s">
        <v>1861</v>
      </c>
      <c r="D2892" s="3" t="s">
        <v>2923</v>
      </c>
      <c r="E2892" s="1"/>
      <c r="F2892" s="1"/>
      <c r="G2892" s="1"/>
      <c r="H2892" s="1"/>
      <c r="I2892" s="2"/>
      <c r="J2892" s="1"/>
      <c r="K2892" s="1"/>
      <c r="L2892" s="1"/>
      <c r="M2892" s="1"/>
      <c r="N2892" s="1"/>
      <c r="O2892" s="1"/>
      <c r="P2892" s="1"/>
      <c r="Q2892" s="1"/>
      <c r="R2892" s="1"/>
      <c r="S2892" s="1"/>
      <c r="T2892" s="1"/>
      <c r="U2892" s="1"/>
      <c r="V2892" s="1"/>
      <c r="W2892" s="1"/>
      <c r="X2892" s="1"/>
    </row>
    <row x14ac:dyDescent="0.25" r="2893" customHeight="1" ht="18.75">
      <c r="A2893" s="1"/>
      <c r="B2893" s="1"/>
      <c r="C2893" s="3" t="s">
        <v>1861</v>
      </c>
      <c r="D2893" s="3" t="s">
        <v>2924</v>
      </c>
      <c r="E2893" s="1"/>
      <c r="F2893" s="1"/>
      <c r="G2893" s="1"/>
      <c r="H2893" s="1"/>
      <c r="I2893" s="2"/>
      <c r="J2893" s="1"/>
      <c r="K2893" s="1"/>
      <c r="L2893" s="1"/>
      <c r="M2893" s="1"/>
      <c r="N2893" s="1"/>
      <c r="O2893" s="1"/>
      <c r="P2893" s="1"/>
      <c r="Q2893" s="1"/>
      <c r="R2893" s="1"/>
      <c r="S2893" s="1"/>
      <c r="T2893" s="1"/>
      <c r="U2893" s="1"/>
      <c r="V2893" s="1"/>
      <c r="W2893" s="1"/>
      <c r="X2893" s="1"/>
    </row>
    <row x14ac:dyDescent="0.25" r="2894" customHeight="1" ht="18.75">
      <c r="A2894" s="1"/>
      <c r="B2894" s="1"/>
      <c r="C2894" s="3" t="s">
        <v>1861</v>
      </c>
      <c r="D2894" s="3" t="s">
        <v>2925</v>
      </c>
      <c r="E2894" s="1"/>
      <c r="F2894" s="1"/>
      <c r="G2894" s="1"/>
      <c r="H2894" s="1"/>
      <c r="I2894" s="2"/>
      <c r="J2894" s="1"/>
      <c r="K2894" s="1"/>
      <c r="L2894" s="1"/>
      <c r="M2894" s="1"/>
      <c r="N2894" s="1"/>
      <c r="O2894" s="1"/>
      <c r="P2894" s="1"/>
      <c r="Q2894" s="1"/>
      <c r="R2894" s="1"/>
      <c r="S2894" s="1"/>
      <c r="T2894" s="1"/>
      <c r="U2894" s="1"/>
      <c r="V2894" s="1"/>
      <c r="W2894" s="1"/>
      <c r="X2894" s="1"/>
    </row>
    <row x14ac:dyDescent="0.25" r="2895" customHeight="1" ht="18.75">
      <c r="A2895" s="1"/>
      <c r="B2895" s="1"/>
      <c r="C2895" s="3" t="s">
        <v>1861</v>
      </c>
      <c r="D2895" s="3" t="s">
        <v>2926</v>
      </c>
      <c r="E2895" s="1"/>
      <c r="F2895" s="1"/>
      <c r="G2895" s="1"/>
      <c r="H2895" s="1"/>
      <c r="I2895" s="2"/>
      <c r="J2895" s="1"/>
      <c r="K2895" s="1"/>
      <c r="L2895" s="1"/>
      <c r="M2895" s="1"/>
      <c r="N2895" s="1"/>
      <c r="O2895" s="1"/>
      <c r="P2895" s="1"/>
      <c r="Q2895" s="1"/>
      <c r="R2895" s="1"/>
      <c r="S2895" s="1"/>
      <c r="T2895" s="1"/>
      <c r="U2895" s="1"/>
      <c r="V2895" s="1"/>
      <c r="W2895" s="1"/>
      <c r="X2895" s="1"/>
    </row>
    <row x14ac:dyDescent="0.25" r="2896" customHeight="1" ht="18.75">
      <c r="A2896" s="1"/>
      <c r="B2896" s="1"/>
      <c r="C2896" s="3" t="s">
        <v>1861</v>
      </c>
      <c r="D2896" s="3" t="s">
        <v>2927</v>
      </c>
      <c r="E2896" s="1"/>
      <c r="F2896" s="1"/>
      <c r="G2896" s="1"/>
      <c r="H2896" s="1"/>
      <c r="I2896" s="2"/>
      <c r="J2896" s="1"/>
      <c r="K2896" s="1"/>
      <c r="L2896" s="1"/>
      <c r="M2896" s="1"/>
      <c r="N2896" s="1"/>
      <c r="O2896" s="1"/>
      <c r="P2896" s="1"/>
      <c r="Q2896" s="1"/>
      <c r="R2896" s="1"/>
      <c r="S2896" s="1"/>
      <c r="T2896" s="1"/>
      <c r="U2896" s="1"/>
      <c r="V2896" s="1"/>
      <c r="W2896" s="1"/>
      <c r="X2896" s="1"/>
    </row>
    <row x14ac:dyDescent="0.25" r="2897" customHeight="1" ht="18.75">
      <c r="A2897" s="1"/>
      <c r="B2897" s="1"/>
      <c r="C2897" s="3" t="s">
        <v>1861</v>
      </c>
      <c r="D2897" s="3" t="s">
        <v>2928</v>
      </c>
      <c r="E2897" s="1"/>
      <c r="F2897" s="1"/>
      <c r="G2897" s="1"/>
      <c r="H2897" s="1"/>
      <c r="I2897" s="2"/>
      <c r="J2897" s="1"/>
      <c r="K2897" s="1"/>
      <c r="L2897" s="1"/>
      <c r="M2897" s="1"/>
      <c r="N2897" s="1"/>
      <c r="O2897" s="1"/>
      <c r="P2897" s="1"/>
      <c r="Q2897" s="1"/>
      <c r="R2897" s="1"/>
      <c r="S2897" s="1"/>
      <c r="T2897" s="1"/>
      <c r="U2897" s="1"/>
      <c r="V2897" s="1"/>
      <c r="W2897" s="1"/>
      <c r="X2897" s="1"/>
    </row>
    <row x14ac:dyDescent="0.25" r="2898" customHeight="1" ht="18.75">
      <c r="A2898" s="1"/>
      <c r="B2898" s="1"/>
      <c r="C2898" s="3" t="s">
        <v>1861</v>
      </c>
      <c r="D2898" s="3" t="s">
        <v>2929</v>
      </c>
      <c r="E2898" s="1"/>
      <c r="F2898" s="1"/>
      <c r="G2898" s="1"/>
      <c r="H2898" s="1"/>
      <c r="I2898" s="2"/>
      <c r="J2898" s="1"/>
      <c r="K2898" s="1"/>
      <c r="L2898" s="1"/>
      <c r="M2898" s="1"/>
      <c r="N2898" s="1"/>
      <c r="O2898" s="1"/>
      <c r="P2898" s="1"/>
      <c r="Q2898" s="1"/>
      <c r="R2898" s="1"/>
      <c r="S2898" s="1"/>
      <c r="T2898" s="1"/>
      <c r="U2898" s="1"/>
      <c r="V2898" s="1"/>
      <c r="W2898" s="1"/>
      <c r="X2898" s="1"/>
    </row>
    <row x14ac:dyDescent="0.25" r="2899" customHeight="1" ht="18.75">
      <c r="A2899" s="1"/>
      <c r="B2899" s="1"/>
      <c r="C2899" s="3" t="s">
        <v>1861</v>
      </c>
      <c r="D2899" s="3" t="s">
        <v>2930</v>
      </c>
      <c r="E2899" s="1"/>
      <c r="F2899" s="1"/>
      <c r="G2899" s="1"/>
      <c r="H2899" s="1"/>
      <c r="I2899" s="2"/>
      <c r="J2899" s="1"/>
      <c r="K2899" s="1"/>
      <c r="L2899" s="1"/>
      <c r="M2899" s="1"/>
      <c r="N2899" s="1"/>
      <c r="O2899" s="1"/>
      <c r="P2899" s="1"/>
      <c r="Q2899" s="1"/>
      <c r="R2899" s="1"/>
      <c r="S2899" s="1"/>
      <c r="T2899" s="1"/>
      <c r="U2899" s="1"/>
      <c r="V2899" s="1"/>
      <c r="W2899" s="1"/>
      <c r="X2899" s="1"/>
    </row>
    <row x14ac:dyDescent="0.25" r="2900" customHeight="1" ht="18.75">
      <c r="A2900" s="1"/>
      <c r="B2900" s="1"/>
      <c r="C2900" s="3" t="s">
        <v>1861</v>
      </c>
      <c r="D2900" s="3" t="s">
        <v>2931</v>
      </c>
      <c r="E2900" s="1"/>
      <c r="F2900" s="1"/>
      <c r="G2900" s="1"/>
      <c r="H2900" s="1"/>
      <c r="I2900" s="2"/>
      <c r="J2900" s="1"/>
      <c r="K2900" s="1"/>
      <c r="L2900" s="1"/>
      <c r="M2900" s="1"/>
      <c r="N2900" s="1"/>
      <c r="O2900" s="1"/>
      <c r="P2900" s="1"/>
      <c r="Q2900" s="1"/>
      <c r="R2900" s="1"/>
      <c r="S2900" s="1"/>
      <c r="T2900" s="1"/>
      <c r="U2900" s="1"/>
      <c r="V2900" s="1"/>
      <c r="W2900" s="1"/>
      <c r="X2900" s="1"/>
    </row>
    <row x14ac:dyDescent="0.25" r="2901" customHeight="1" ht="18.75">
      <c r="A2901" s="1"/>
      <c r="B2901" s="1"/>
      <c r="C2901" s="3" t="s">
        <v>1861</v>
      </c>
      <c r="D2901" s="3" t="s">
        <v>2932</v>
      </c>
      <c r="E2901" s="1"/>
      <c r="F2901" s="1"/>
      <c r="G2901" s="1"/>
      <c r="H2901" s="1"/>
      <c r="I2901" s="2"/>
      <c r="J2901" s="1"/>
      <c r="K2901" s="1"/>
      <c r="L2901" s="1"/>
      <c r="M2901" s="1"/>
      <c r="N2901" s="1"/>
      <c r="O2901" s="1"/>
      <c r="P2901" s="1"/>
      <c r="Q2901" s="1"/>
      <c r="R2901" s="1"/>
      <c r="S2901" s="1"/>
      <c r="T2901" s="1"/>
      <c r="U2901" s="1"/>
      <c r="V2901" s="1"/>
      <c r="W2901" s="1"/>
      <c r="X2901" s="1"/>
    </row>
    <row x14ac:dyDescent="0.25" r="2902" customHeight="1" ht="18.75">
      <c r="A2902" s="1"/>
      <c r="B2902" s="1"/>
      <c r="C2902" s="3" t="s">
        <v>1861</v>
      </c>
      <c r="D2902" s="3" t="s">
        <v>2933</v>
      </c>
      <c r="E2902" s="1"/>
      <c r="F2902" s="1"/>
      <c r="G2902" s="1"/>
      <c r="H2902" s="1"/>
      <c r="I2902" s="2"/>
      <c r="J2902" s="1"/>
      <c r="K2902" s="1"/>
      <c r="L2902" s="1"/>
      <c r="M2902" s="1"/>
      <c r="N2902" s="1"/>
      <c r="O2902" s="1"/>
      <c r="P2902" s="1"/>
      <c r="Q2902" s="1"/>
      <c r="R2902" s="1"/>
      <c r="S2902" s="1"/>
      <c r="T2902" s="1"/>
      <c r="U2902" s="1"/>
      <c r="V2902" s="1"/>
      <c r="W2902" s="1"/>
      <c r="X2902" s="1"/>
    </row>
    <row x14ac:dyDescent="0.25" r="2903" customHeight="1" ht="18.75">
      <c r="A2903" s="1"/>
      <c r="B2903" s="1"/>
      <c r="C2903" s="3" t="s">
        <v>1861</v>
      </c>
      <c r="D2903" s="3" t="s">
        <v>2934</v>
      </c>
      <c r="E2903" s="1"/>
      <c r="F2903" s="1"/>
      <c r="G2903" s="1"/>
      <c r="H2903" s="1"/>
      <c r="I2903" s="2"/>
      <c r="J2903" s="1"/>
      <c r="K2903" s="1"/>
      <c r="L2903" s="1"/>
      <c r="M2903" s="1"/>
      <c r="N2903" s="1"/>
      <c r="O2903" s="1"/>
      <c r="P2903" s="1"/>
      <c r="Q2903" s="1"/>
      <c r="R2903" s="1"/>
      <c r="S2903" s="1"/>
      <c r="T2903" s="1"/>
      <c r="U2903" s="1"/>
      <c r="V2903" s="1"/>
      <c r="W2903" s="1"/>
      <c r="X2903" s="1"/>
    </row>
    <row x14ac:dyDescent="0.25" r="2904" customHeight="1" ht="18.75">
      <c r="A2904" s="1"/>
      <c r="B2904" s="1"/>
      <c r="C2904" s="3" t="s">
        <v>1861</v>
      </c>
      <c r="D2904" s="3" t="s">
        <v>2935</v>
      </c>
      <c r="E2904" s="1"/>
      <c r="F2904" s="1"/>
      <c r="G2904" s="1"/>
      <c r="H2904" s="1"/>
      <c r="I2904" s="2"/>
      <c r="J2904" s="1"/>
      <c r="K2904" s="1"/>
      <c r="L2904" s="1"/>
      <c r="M2904" s="1"/>
      <c r="N2904" s="1"/>
      <c r="O2904" s="1"/>
      <c r="P2904" s="1"/>
      <c r="Q2904" s="1"/>
      <c r="R2904" s="1"/>
      <c r="S2904" s="1"/>
      <c r="T2904" s="1"/>
      <c r="U2904" s="1"/>
      <c r="V2904" s="1"/>
      <c r="W2904" s="1"/>
      <c r="X2904" s="1"/>
    </row>
    <row x14ac:dyDescent="0.25" r="2905" customHeight="1" ht="18.75">
      <c r="A2905" s="1"/>
      <c r="B2905" s="1"/>
      <c r="C2905" s="3" t="s">
        <v>1861</v>
      </c>
      <c r="D2905" s="3" t="s">
        <v>2936</v>
      </c>
      <c r="E2905" s="1"/>
      <c r="F2905" s="1"/>
      <c r="G2905" s="1"/>
      <c r="H2905" s="1"/>
      <c r="I2905" s="2"/>
      <c r="J2905" s="1"/>
      <c r="K2905" s="1"/>
      <c r="L2905" s="1"/>
      <c r="M2905" s="1"/>
      <c r="N2905" s="1"/>
      <c r="O2905" s="1"/>
      <c r="P2905" s="1"/>
      <c r="Q2905" s="1"/>
      <c r="R2905" s="1"/>
      <c r="S2905" s="1"/>
      <c r="T2905" s="1"/>
      <c r="U2905" s="1"/>
      <c r="V2905" s="1"/>
      <c r="W2905" s="1"/>
      <c r="X2905" s="1"/>
    </row>
    <row x14ac:dyDescent="0.25" r="2906" customHeight="1" ht="18.75">
      <c r="A2906" s="1"/>
      <c r="B2906" s="1"/>
      <c r="C2906" s="3" t="s">
        <v>1861</v>
      </c>
      <c r="D2906" s="3" t="s">
        <v>2937</v>
      </c>
      <c r="E2906" s="1"/>
      <c r="F2906" s="1"/>
      <c r="G2906" s="1"/>
      <c r="H2906" s="1"/>
      <c r="I2906" s="2"/>
      <c r="J2906" s="1"/>
      <c r="K2906" s="1"/>
      <c r="L2906" s="1"/>
      <c r="M2906" s="1"/>
      <c r="N2906" s="1"/>
      <c r="O2906" s="1"/>
      <c r="P2906" s="1"/>
      <c r="Q2906" s="1"/>
      <c r="R2906" s="1"/>
      <c r="S2906" s="1"/>
      <c r="T2906" s="1"/>
      <c r="U2906" s="1"/>
      <c r="V2906" s="1"/>
      <c r="W2906" s="1"/>
      <c r="X2906" s="1"/>
    </row>
    <row x14ac:dyDescent="0.25" r="2907" customHeight="1" ht="18.75">
      <c r="A2907" s="1"/>
      <c r="B2907" s="1"/>
      <c r="C2907" s="3" t="s">
        <v>1861</v>
      </c>
      <c r="D2907" s="3" t="s">
        <v>2938</v>
      </c>
      <c r="E2907" s="1"/>
      <c r="F2907" s="1"/>
      <c r="G2907" s="1"/>
      <c r="H2907" s="1"/>
      <c r="I2907" s="2"/>
      <c r="J2907" s="1"/>
      <c r="K2907" s="1"/>
      <c r="L2907" s="1"/>
      <c r="M2907" s="1"/>
      <c r="N2907" s="1"/>
      <c r="O2907" s="1"/>
      <c r="P2907" s="1"/>
      <c r="Q2907" s="1"/>
      <c r="R2907" s="1"/>
      <c r="S2907" s="1"/>
      <c r="T2907" s="1"/>
      <c r="U2907" s="1"/>
      <c r="V2907" s="1"/>
      <c r="W2907" s="1"/>
      <c r="X2907" s="1"/>
    </row>
    <row x14ac:dyDescent="0.25" r="2908" customHeight="1" ht="18.75">
      <c r="A2908" s="1"/>
      <c r="B2908" s="1"/>
      <c r="C2908" s="3" t="s">
        <v>1861</v>
      </c>
      <c r="D2908" s="3" t="s">
        <v>2939</v>
      </c>
      <c r="E2908" s="1"/>
      <c r="F2908" s="1"/>
      <c r="G2908" s="1"/>
      <c r="H2908" s="1"/>
      <c r="I2908" s="2"/>
      <c r="J2908" s="1"/>
      <c r="K2908" s="1"/>
      <c r="L2908" s="1"/>
      <c r="M2908" s="1"/>
      <c r="N2908" s="1"/>
      <c r="O2908" s="1"/>
      <c r="P2908" s="1"/>
      <c r="Q2908" s="1"/>
      <c r="R2908" s="1"/>
      <c r="S2908" s="1"/>
      <c r="T2908" s="1"/>
      <c r="U2908" s="1"/>
      <c r="V2908" s="1"/>
      <c r="W2908" s="1"/>
      <c r="X2908" s="1"/>
    </row>
    <row x14ac:dyDescent="0.25" r="2909" customHeight="1" ht="18.75">
      <c r="A2909" s="1"/>
      <c r="B2909" s="1"/>
      <c r="C2909" s="3" t="s">
        <v>1861</v>
      </c>
      <c r="D2909" s="3" t="s">
        <v>2940</v>
      </c>
      <c r="E2909" s="1"/>
      <c r="F2909" s="1"/>
      <c r="G2909" s="1"/>
      <c r="H2909" s="1"/>
      <c r="I2909" s="2"/>
      <c r="J2909" s="1"/>
      <c r="K2909" s="1"/>
      <c r="L2909" s="1"/>
      <c r="M2909" s="1"/>
      <c r="N2909" s="1"/>
      <c r="O2909" s="1"/>
      <c r="P2909" s="1"/>
      <c r="Q2909" s="1"/>
      <c r="R2909" s="1"/>
      <c r="S2909" s="1"/>
      <c r="T2909" s="1"/>
      <c r="U2909" s="1"/>
      <c r="V2909" s="1"/>
      <c r="W2909" s="1"/>
      <c r="X2909" s="1"/>
    </row>
    <row x14ac:dyDescent="0.25" r="2910" customHeight="1" ht="18.75">
      <c r="A2910" s="1"/>
      <c r="B2910" s="1"/>
      <c r="C2910" s="3" t="s">
        <v>1861</v>
      </c>
      <c r="D2910" s="3" t="s">
        <v>2941</v>
      </c>
      <c r="E2910" s="1"/>
      <c r="F2910" s="1"/>
      <c r="G2910" s="1"/>
      <c r="H2910" s="1"/>
      <c r="I2910" s="2"/>
      <c r="J2910" s="1"/>
      <c r="K2910" s="1"/>
      <c r="L2910" s="1"/>
      <c r="M2910" s="1"/>
      <c r="N2910" s="1"/>
      <c r="O2910" s="1"/>
      <c r="P2910" s="1"/>
      <c r="Q2910" s="1"/>
      <c r="R2910" s="1"/>
      <c r="S2910" s="1"/>
      <c r="T2910" s="1"/>
      <c r="U2910" s="1"/>
      <c r="V2910" s="1"/>
      <c r="W2910" s="1"/>
      <c r="X2910" s="1"/>
    </row>
    <row x14ac:dyDescent="0.25" r="2911" customHeight="1" ht="18.75">
      <c r="A2911" s="1"/>
      <c r="B2911" s="1"/>
      <c r="C2911" s="3" t="s">
        <v>1861</v>
      </c>
      <c r="D2911" s="3" t="s">
        <v>2942</v>
      </c>
      <c r="E2911" s="1"/>
      <c r="F2911" s="1"/>
      <c r="G2911" s="1"/>
      <c r="H2911" s="1"/>
      <c r="I2911" s="2"/>
      <c r="J2911" s="1"/>
      <c r="K2911" s="1"/>
      <c r="L2911" s="1"/>
      <c r="M2911" s="1"/>
      <c r="N2911" s="1"/>
      <c r="O2911" s="1"/>
      <c r="P2911" s="1"/>
      <c r="Q2911" s="1"/>
      <c r="R2911" s="1"/>
      <c r="S2911" s="1"/>
      <c r="T2911" s="1"/>
      <c r="U2911" s="1"/>
      <c r="V2911" s="1"/>
      <c r="W2911" s="1"/>
      <c r="X2911" s="1"/>
    </row>
    <row x14ac:dyDescent="0.25" r="2912" customHeight="1" ht="18.75">
      <c r="A2912" s="1"/>
      <c r="B2912" s="1"/>
      <c r="C2912" s="3" t="s">
        <v>1861</v>
      </c>
      <c r="D2912" s="3" t="s">
        <v>2943</v>
      </c>
      <c r="E2912" s="1"/>
      <c r="F2912" s="1"/>
      <c r="G2912" s="1"/>
      <c r="H2912" s="1"/>
      <c r="I2912" s="2"/>
      <c r="J2912" s="1"/>
      <c r="K2912" s="1"/>
      <c r="L2912" s="1"/>
      <c r="M2912" s="1"/>
      <c r="N2912" s="1"/>
      <c r="O2912" s="1"/>
      <c r="P2912" s="1"/>
      <c r="Q2912" s="1"/>
      <c r="R2912" s="1"/>
      <c r="S2912" s="1"/>
      <c r="T2912" s="1"/>
      <c r="U2912" s="1"/>
      <c r="V2912" s="1"/>
      <c r="W2912" s="1"/>
      <c r="X2912" s="1"/>
    </row>
    <row x14ac:dyDescent="0.25" r="2913" customHeight="1" ht="18.75">
      <c r="A2913" s="1"/>
      <c r="B2913" s="1"/>
      <c r="C2913" s="3" t="s">
        <v>1861</v>
      </c>
      <c r="D2913" s="3" t="s">
        <v>2944</v>
      </c>
      <c r="E2913" s="1"/>
      <c r="F2913" s="1"/>
      <c r="G2913" s="1"/>
      <c r="H2913" s="1"/>
      <c r="I2913" s="2"/>
      <c r="J2913" s="1"/>
      <c r="K2913" s="1"/>
      <c r="L2913" s="1"/>
      <c r="M2913" s="1"/>
      <c r="N2913" s="1"/>
      <c r="O2913" s="1"/>
      <c r="P2913" s="1"/>
      <c r="Q2913" s="1"/>
      <c r="R2913" s="1"/>
      <c r="S2913" s="1"/>
      <c r="T2913" s="1"/>
      <c r="U2913" s="1"/>
      <c r="V2913" s="1"/>
      <c r="W2913" s="1"/>
      <c r="X2913" s="1"/>
    </row>
    <row x14ac:dyDescent="0.25" r="2914" customHeight="1" ht="18.75">
      <c r="A2914" s="1"/>
      <c r="B2914" s="1"/>
      <c r="C2914" s="3" t="s">
        <v>1861</v>
      </c>
      <c r="D2914" s="3" t="s">
        <v>2945</v>
      </c>
      <c r="E2914" s="1"/>
      <c r="F2914" s="1"/>
      <c r="G2914" s="1"/>
      <c r="H2914" s="1"/>
      <c r="I2914" s="2"/>
      <c r="J2914" s="1"/>
      <c r="K2914" s="1"/>
      <c r="L2914" s="1"/>
      <c r="M2914" s="1"/>
      <c r="N2914" s="1"/>
      <c r="O2914" s="1"/>
      <c r="P2914" s="1"/>
      <c r="Q2914" s="1"/>
      <c r="R2914" s="1"/>
      <c r="S2914" s="1"/>
      <c r="T2914" s="1"/>
      <c r="U2914" s="1"/>
      <c r="V2914" s="1"/>
      <c r="W2914" s="1"/>
      <c r="X2914" s="1"/>
    </row>
    <row x14ac:dyDescent="0.25" r="2915" customHeight="1" ht="18.75">
      <c r="A2915" s="1"/>
      <c r="B2915" s="1"/>
      <c r="C2915" s="3" t="s">
        <v>1861</v>
      </c>
      <c r="D2915" s="3" t="s">
        <v>2946</v>
      </c>
      <c r="E2915" s="1"/>
      <c r="F2915" s="1"/>
      <c r="G2915" s="1"/>
      <c r="H2915" s="1"/>
      <c r="I2915" s="2"/>
      <c r="J2915" s="1"/>
      <c r="K2915" s="1"/>
      <c r="L2915" s="1"/>
      <c r="M2915" s="1"/>
      <c r="N2915" s="1"/>
      <c r="O2915" s="1"/>
      <c r="P2915" s="1"/>
      <c r="Q2915" s="1"/>
      <c r="R2915" s="1"/>
      <c r="S2915" s="1"/>
      <c r="T2915" s="1"/>
      <c r="U2915" s="1"/>
      <c r="V2915" s="1"/>
      <c r="W2915" s="1"/>
      <c r="X2915" s="1"/>
    </row>
    <row x14ac:dyDescent="0.25" r="2916" customHeight="1" ht="18.75">
      <c r="A2916" s="1"/>
      <c r="B2916" s="1"/>
      <c r="C2916" s="3" t="s">
        <v>1861</v>
      </c>
      <c r="D2916" s="3" t="s">
        <v>2947</v>
      </c>
      <c r="E2916" s="1"/>
      <c r="F2916" s="1"/>
      <c r="G2916" s="1"/>
      <c r="H2916" s="1"/>
      <c r="I2916" s="2"/>
      <c r="J2916" s="1"/>
      <c r="K2916" s="1"/>
      <c r="L2916" s="1"/>
      <c r="M2916" s="1"/>
      <c r="N2916" s="1"/>
      <c r="O2916" s="1"/>
      <c r="P2916" s="1"/>
      <c r="Q2916" s="1"/>
      <c r="R2916" s="1"/>
      <c r="S2916" s="1"/>
      <c r="T2916" s="1"/>
      <c r="U2916" s="1"/>
      <c r="V2916" s="1"/>
      <c r="W2916" s="1"/>
      <c r="X2916" s="1"/>
    </row>
    <row x14ac:dyDescent="0.25" r="2917" customHeight="1" ht="18.75">
      <c r="A2917" s="1"/>
      <c r="B2917" s="1"/>
      <c r="C2917" s="3" t="s">
        <v>1861</v>
      </c>
      <c r="D2917" s="3" t="s">
        <v>2948</v>
      </c>
      <c r="E2917" s="1"/>
      <c r="F2917" s="1"/>
      <c r="G2917" s="1"/>
      <c r="H2917" s="1"/>
      <c r="I2917" s="2"/>
      <c r="J2917" s="1"/>
      <c r="K2917" s="1"/>
      <c r="L2917" s="1"/>
      <c r="M2917" s="1"/>
      <c r="N2917" s="1"/>
      <c r="O2917" s="1"/>
      <c r="P2917" s="1"/>
      <c r="Q2917" s="1"/>
      <c r="R2917" s="1"/>
      <c r="S2917" s="1"/>
      <c r="T2917" s="1"/>
      <c r="U2917" s="1"/>
      <c r="V2917" s="1"/>
      <c r="W2917" s="1"/>
      <c r="X2917" s="1"/>
    </row>
    <row x14ac:dyDescent="0.25" r="2918" customHeight="1" ht="18.75">
      <c r="A2918" s="1"/>
      <c r="B2918" s="1"/>
      <c r="C2918" s="3" t="s">
        <v>1861</v>
      </c>
      <c r="D2918" s="3" t="s">
        <v>2949</v>
      </c>
      <c r="E2918" s="1"/>
      <c r="F2918" s="1"/>
      <c r="G2918" s="1"/>
      <c r="H2918" s="1"/>
      <c r="I2918" s="2"/>
      <c r="J2918" s="1"/>
      <c r="K2918" s="1"/>
      <c r="L2918" s="1"/>
      <c r="M2918" s="1"/>
      <c r="N2918" s="1"/>
      <c r="O2918" s="1"/>
      <c r="P2918" s="1"/>
      <c r="Q2918" s="1"/>
      <c r="R2918" s="1"/>
      <c r="S2918" s="1"/>
      <c r="T2918" s="1"/>
      <c r="U2918" s="1"/>
      <c r="V2918" s="1"/>
      <c r="W2918" s="1"/>
      <c r="X2918" s="1"/>
    </row>
    <row x14ac:dyDescent="0.25" r="2919" customHeight="1" ht="18.75">
      <c r="A2919" s="1"/>
      <c r="B2919" s="1"/>
      <c r="C2919" s="3" t="s">
        <v>1861</v>
      </c>
      <c r="D2919" s="3" t="s">
        <v>2950</v>
      </c>
      <c r="E2919" s="1"/>
      <c r="F2919" s="1"/>
      <c r="G2919" s="1"/>
      <c r="H2919" s="1"/>
      <c r="I2919" s="2"/>
      <c r="J2919" s="1"/>
      <c r="K2919" s="1"/>
      <c r="L2919" s="1"/>
      <c r="M2919" s="1"/>
      <c r="N2919" s="1"/>
      <c r="O2919" s="1"/>
      <c r="P2919" s="1"/>
      <c r="Q2919" s="1"/>
      <c r="R2919" s="1"/>
      <c r="S2919" s="1"/>
      <c r="T2919" s="1"/>
      <c r="U2919" s="1"/>
      <c r="V2919" s="1"/>
      <c r="W2919" s="1"/>
      <c r="X2919" s="1"/>
    </row>
    <row x14ac:dyDescent="0.25" r="2920" customHeight="1" ht="18.75">
      <c r="A2920" s="1"/>
      <c r="B2920" s="1"/>
      <c r="C2920" s="3" t="s">
        <v>1861</v>
      </c>
      <c r="D2920" s="3" t="s">
        <v>2951</v>
      </c>
      <c r="E2920" s="1"/>
      <c r="F2920" s="1"/>
      <c r="G2920" s="1"/>
      <c r="H2920" s="1"/>
      <c r="I2920" s="2"/>
      <c r="J2920" s="1"/>
      <c r="K2920" s="1"/>
      <c r="L2920" s="1"/>
      <c r="M2920" s="1"/>
      <c r="N2920" s="1"/>
      <c r="O2920" s="1"/>
      <c r="P2920" s="1"/>
      <c r="Q2920" s="1"/>
      <c r="R2920" s="1"/>
      <c r="S2920" s="1"/>
      <c r="T2920" s="1"/>
      <c r="U2920" s="1"/>
      <c r="V2920" s="1"/>
      <c r="W2920" s="1"/>
      <c r="X2920" s="1"/>
    </row>
    <row x14ac:dyDescent="0.25" r="2921" customHeight="1" ht="18.75">
      <c r="A2921" s="1"/>
      <c r="B2921" s="1"/>
      <c r="C2921" s="3" t="s">
        <v>1861</v>
      </c>
      <c r="D2921" s="3" t="s">
        <v>2952</v>
      </c>
      <c r="E2921" s="1"/>
      <c r="F2921" s="1"/>
      <c r="G2921" s="1"/>
      <c r="H2921" s="1"/>
      <c r="I2921" s="2"/>
      <c r="J2921" s="1"/>
      <c r="K2921" s="1"/>
      <c r="L2921" s="1"/>
      <c r="M2921" s="1"/>
      <c r="N2921" s="1"/>
      <c r="O2921" s="1"/>
      <c r="P2921" s="1"/>
      <c r="Q2921" s="1"/>
      <c r="R2921" s="1"/>
      <c r="S2921" s="1"/>
      <c r="T2921" s="1"/>
      <c r="U2921" s="1"/>
      <c r="V2921" s="1"/>
      <c r="W2921" s="1"/>
      <c r="X2921" s="1"/>
    </row>
    <row x14ac:dyDescent="0.25" r="2922" customHeight="1" ht="18.75">
      <c r="A2922" s="1"/>
      <c r="B2922" s="1"/>
      <c r="C2922" s="3" t="s">
        <v>1861</v>
      </c>
      <c r="D2922" s="3" t="s">
        <v>2953</v>
      </c>
      <c r="E2922" s="1"/>
      <c r="F2922" s="1"/>
      <c r="G2922" s="1"/>
      <c r="H2922" s="1"/>
      <c r="I2922" s="2"/>
      <c r="J2922" s="1"/>
      <c r="K2922" s="1"/>
      <c r="L2922" s="1"/>
      <c r="M2922" s="1"/>
      <c r="N2922" s="1"/>
      <c r="O2922" s="1"/>
      <c r="P2922" s="1"/>
      <c r="Q2922" s="1"/>
      <c r="R2922" s="1"/>
      <c r="S2922" s="1"/>
      <c r="T2922" s="1"/>
      <c r="U2922" s="1"/>
      <c r="V2922" s="1"/>
      <c r="W2922" s="1"/>
      <c r="X2922" s="1"/>
    </row>
    <row x14ac:dyDescent="0.25" r="2923" customHeight="1" ht="18.75">
      <c r="A2923" s="1"/>
      <c r="B2923" s="1"/>
      <c r="C2923" s="3" t="s">
        <v>1861</v>
      </c>
      <c r="D2923" s="3" t="s">
        <v>2954</v>
      </c>
      <c r="E2923" s="1"/>
      <c r="F2923" s="1"/>
      <c r="G2923" s="1"/>
      <c r="H2923" s="1"/>
      <c r="I2923" s="2"/>
      <c r="J2923" s="1"/>
      <c r="K2923" s="1"/>
      <c r="L2923" s="1"/>
      <c r="M2923" s="1"/>
      <c r="N2923" s="1"/>
      <c r="O2923" s="1"/>
      <c r="P2923" s="1"/>
      <c r="Q2923" s="1"/>
      <c r="R2923" s="1"/>
      <c r="S2923" s="1"/>
      <c r="T2923" s="1"/>
      <c r="U2923" s="1"/>
      <c r="V2923" s="1"/>
      <c r="W2923" s="1"/>
      <c r="X2923" s="1"/>
    </row>
    <row x14ac:dyDescent="0.25" r="2924" customHeight="1" ht="18.75">
      <c r="A2924" s="1"/>
      <c r="B2924" s="1"/>
      <c r="C2924" s="3" t="s">
        <v>1861</v>
      </c>
      <c r="D2924" s="3" t="s">
        <v>2955</v>
      </c>
      <c r="E2924" s="1"/>
      <c r="F2924" s="1"/>
      <c r="G2924" s="1"/>
      <c r="H2924" s="1"/>
      <c r="I2924" s="2"/>
      <c r="J2924" s="1"/>
      <c r="K2924" s="1"/>
      <c r="L2924" s="1"/>
      <c r="M2924" s="1"/>
      <c r="N2924" s="1"/>
      <c r="O2924" s="1"/>
      <c r="P2924" s="1"/>
      <c r="Q2924" s="1"/>
      <c r="R2924" s="1"/>
      <c r="S2924" s="1"/>
      <c r="T2924" s="1"/>
      <c r="U2924" s="1"/>
      <c r="V2924" s="1"/>
      <c r="W2924" s="1"/>
      <c r="X2924" s="1"/>
    </row>
    <row x14ac:dyDescent="0.25" r="2925" customHeight="1" ht="18.75">
      <c r="A2925" s="1"/>
      <c r="B2925" s="1"/>
      <c r="C2925" s="3" t="s">
        <v>1861</v>
      </c>
      <c r="D2925" s="3" t="s">
        <v>2956</v>
      </c>
      <c r="E2925" s="1"/>
      <c r="F2925" s="1"/>
      <c r="G2925" s="1"/>
      <c r="H2925" s="1"/>
      <c r="I2925" s="2"/>
      <c r="J2925" s="1"/>
      <c r="K2925" s="1"/>
      <c r="L2925" s="1"/>
      <c r="M2925" s="1"/>
      <c r="N2925" s="1"/>
      <c r="O2925" s="1"/>
      <c r="P2925" s="1"/>
      <c r="Q2925" s="1"/>
      <c r="R2925" s="1"/>
      <c r="S2925" s="1"/>
      <c r="T2925" s="1"/>
      <c r="U2925" s="1"/>
      <c r="V2925" s="1"/>
      <c r="W2925" s="1"/>
      <c r="X2925" s="1"/>
    </row>
    <row x14ac:dyDescent="0.25" r="2926" customHeight="1" ht="18.75">
      <c r="A2926" s="1"/>
      <c r="B2926" s="1"/>
      <c r="C2926" s="3" t="s">
        <v>1861</v>
      </c>
      <c r="D2926" s="3" t="s">
        <v>2957</v>
      </c>
      <c r="E2926" s="1"/>
      <c r="F2926" s="1"/>
      <c r="G2926" s="1"/>
      <c r="H2926" s="1"/>
      <c r="I2926" s="2"/>
      <c r="J2926" s="1"/>
      <c r="K2926" s="1"/>
      <c r="L2926" s="1"/>
      <c r="M2926" s="1"/>
      <c r="N2926" s="1"/>
      <c r="O2926" s="1"/>
      <c r="P2926" s="1"/>
      <c r="Q2926" s="1"/>
      <c r="R2926" s="1"/>
      <c r="S2926" s="1"/>
      <c r="T2926" s="1"/>
      <c r="U2926" s="1"/>
      <c r="V2926" s="1"/>
      <c r="W2926" s="1"/>
      <c r="X2926" s="1"/>
    </row>
    <row x14ac:dyDescent="0.25" r="2927" customHeight="1" ht="18.75">
      <c r="A2927" s="1"/>
      <c r="B2927" s="1"/>
      <c r="C2927" s="3" t="s">
        <v>1861</v>
      </c>
      <c r="D2927" s="3" t="s">
        <v>2958</v>
      </c>
      <c r="E2927" s="1"/>
      <c r="F2927" s="1"/>
      <c r="G2927" s="1"/>
      <c r="H2927" s="1"/>
      <c r="I2927" s="2"/>
      <c r="J2927" s="1"/>
      <c r="K2927" s="1"/>
      <c r="L2927" s="1"/>
      <c r="M2927" s="1"/>
      <c r="N2927" s="1"/>
      <c r="O2927" s="1"/>
      <c r="P2927" s="1"/>
      <c r="Q2927" s="1"/>
      <c r="R2927" s="1"/>
      <c r="S2927" s="1"/>
      <c r="T2927" s="1"/>
      <c r="U2927" s="1"/>
      <c r="V2927" s="1"/>
      <c r="W2927" s="1"/>
      <c r="X2927" s="1"/>
    </row>
    <row x14ac:dyDescent="0.25" r="2928" customHeight="1" ht="18.75">
      <c r="A2928" s="1"/>
      <c r="B2928" s="1"/>
      <c r="C2928" s="3" t="s">
        <v>1861</v>
      </c>
      <c r="D2928" s="3" t="s">
        <v>2959</v>
      </c>
      <c r="E2928" s="1"/>
      <c r="F2928" s="1"/>
      <c r="G2928" s="1"/>
      <c r="H2928" s="1"/>
      <c r="I2928" s="2"/>
      <c r="J2928" s="1"/>
      <c r="K2928" s="1"/>
      <c r="L2928" s="1"/>
      <c r="M2928" s="1"/>
      <c r="N2928" s="1"/>
      <c r="O2928" s="1"/>
      <c r="P2928" s="1"/>
      <c r="Q2928" s="1"/>
      <c r="R2928" s="1"/>
      <c r="S2928" s="1"/>
      <c r="T2928" s="1"/>
      <c r="U2928" s="1"/>
      <c r="V2928" s="1"/>
      <c r="W2928" s="1"/>
      <c r="X2928" s="1"/>
    </row>
    <row x14ac:dyDescent="0.25" r="2929" customHeight="1" ht="18.75">
      <c r="A2929" s="1"/>
      <c r="B2929" s="1"/>
      <c r="C2929" s="3" t="s">
        <v>1861</v>
      </c>
      <c r="D2929" s="3" t="s">
        <v>2960</v>
      </c>
      <c r="E2929" s="1"/>
      <c r="F2929" s="1"/>
      <c r="G2929" s="1"/>
      <c r="H2929" s="1"/>
      <c r="I2929" s="2"/>
      <c r="J2929" s="1"/>
      <c r="K2929" s="1"/>
      <c r="L2929" s="1"/>
      <c r="M2929" s="1"/>
      <c r="N2929" s="1"/>
      <c r="O2929" s="1"/>
      <c r="P2929" s="1"/>
      <c r="Q2929" s="1"/>
      <c r="R2929" s="1"/>
      <c r="S2929" s="1"/>
      <c r="T2929" s="1"/>
      <c r="U2929" s="1"/>
      <c r="V2929" s="1"/>
      <c r="W2929" s="1"/>
      <c r="X2929" s="1"/>
    </row>
    <row x14ac:dyDescent="0.25" r="2930" customHeight="1" ht="18.75">
      <c r="A2930" s="1"/>
      <c r="B2930" s="1"/>
      <c r="C2930" s="3" t="s">
        <v>1861</v>
      </c>
      <c r="D2930" s="3" t="s">
        <v>2961</v>
      </c>
      <c r="E2930" s="1"/>
      <c r="F2930" s="1"/>
      <c r="G2930" s="1"/>
      <c r="H2930" s="1"/>
      <c r="I2930" s="2"/>
      <c r="J2930" s="1"/>
      <c r="K2930" s="1"/>
      <c r="L2930" s="1"/>
      <c r="M2930" s="1"/>
      <c r="N2930" s="1"/>
      <c r="O2930" s="1"/>
      <c r="P2930" s="1"/>
      <c r="Q2930" s="1"/>
      <c r="R2930" s="1"/>
      <c r="S2930" s="1"/>
      <c r="T2930" s="1"/>
      <c r="U2930" s="1"/>
      <c r="V2930" s="1"/>
      <c r="W2930" s="1"/>
      <c r="X2930" s="1"/>
    </row>
    <row x14ac:dyDescent="0.25" r="2931" customHeight="1" ht="18.75">
      <c r="A2931" s="1"/>
      <c r="B2931" s="1"/>
      <c r="C2931" s="3" t="s">
        <v>1861</v>
      </c>
      <c r="D2931" s="3" t="s">
        <v>2962</v>
      </c>
      <c r="E2931" s="1"/>
      <c r="F2931" s="1"/>
      <c r="G2931" s="1"/>
      <c r="H2931" s="1"/>
      <c r="I2931" s="2"/>
      <c r="J2931" s="1"/>
      <c r="K2931" s="1"/>
      <c r="L2931" s="1"/>
      <c r="M2931" s="1"/>
      <c r="N2931" s="1"/>
      <c r="O2931" s="1"/>
      <c r="P2931" s="1"/>
      <c r="Q2931" s="1"/>
      <c r="R2931" s="1"/>
      <c r="S2931" s="1"/>
      <c r="T2931" s="1"/>
      <c r="U2931" s="1"/>
      <c r="V2931" s="1"/>
      <c r="W2931" s="1"/>
      <c r="X2931" s="1"/>
    </row>
    <row x14ac:dyDescent="0.25" r="2932" customHeight="1" ht="18.75">
      <c r="A2932" s="1"/>
      <c r="B2932" s="1"/>
      <c r="C2932" s="3" t="s">
        <v>1861</v>
      </c>
      <c r="D2932" s="3" t="s">
        <v>2963</v>
      </c>
      <c r="E2932" s="1"/>
      <c r="F2932" s="1"/>
      <c r="G2932" s="1"/>
      <c r="H2932" s="1"/>
      <c r="I2932" s="2"/>
      <c r="J2932" s="1"/>
      <c r="K2932" s="1"/>
      <c r="L2932" s="1"/>
      <c r="M2932" s="1"/>
      <c r="N2932" s="1"/>
      <c r="O2932" s="1"/>
      <c r="P2932" s="1"/>
      <c r="Q2932" s="1"/>
      <c r="R2932" s="1"/>
      <c r="S2932" s="1"/>
      <c r="T2932" s="1"/>
      <c r="U2932" s="1"/>
      <c r="V2932" s="1"/>
      <c r="W2932" s="1"/>
      <c r="X2932" s="1"/>
    </row>
    <row x14ac:dyDescent="0.25" r="2933" customHeight="1" ht="18.75">
      <c r="A2933" s="1"/>
      <c r="B2933" s="1"/>
      <c r="C2933" s="3" t="s">
        <v>1861</v>
      </c>
      <c r="D2933" s="3" t="s">
        <v>2964</v>
      </c>
      <c r="E2933" s="1"/>
      <c r="F2933" s="1"/>
      <c r="G2933" s="1"/>
      <c r="H2933" s="1"/>
      <c r="I2933" s="2"/>
      <c r="J2933" s="1"/>
      <c r="K2933" s="1"/>
      <c r="L2933" s="1"/>
      <c r="M2933" s="1"/>
      <c r="N2933" s="1"/>
      <c r="O2933" s="1"/>
      <c r="P2933" s="1"/>
      <c r="Q2933" s="1"/>
      <c r="R2933" s="1"/>
      <c r="S2933" s="1"/>
      <c r="T2933" s="1"/>
      <c r="U2933" s="1"/>
      <c r="V2933" s="1"/>
      <c r="W2933" s="1"/>
      <c r="X2933" s="1"/>
    </row>
    <row x14ac:dyDescent="0.25" r="2934" customHeight="1" ht="18.75">
      <c r="A2934" s="1"/>
      <c r="B2934" s="1"/>
      <c r="C2934" s="3" t="s">
        <v>1861</v>
      </c>
      <c r="D2934" s="3" t="s">
        <v>2965</v>
      </c>
      <c r="E2934" s="1"/>
      <c r="F2934" s="1"/>
      <c r="G2934" s="1"/>
      <c r="H2934" s="1"/>
      <c r="I2934" s="2"/>
      <c r="J2934" s="1"/>
      <c r="K2934" s="1"/>
      <c r="L2934" s="1"/>
      <c r="M2934" s="1"/>
      <c r="N2934" s="1"/>
      <c r="O2934" s="1"/>
      <c r="P2934" s="1"/>
      <c r="Q2934" s="1"/>
      <c r="R2934" s="1"/>
      <c r="S2934" s="1"/>
      <c r="T2934" s="1"/>
      <c r="U2934" s="1"/>
      <c r="V2934" s="1"/>
      <c r="W2934" s="1"/>
      <c r="X2934" s="1"/>
    </row>
    <row x14ac:dyDescent="0.25" r="2935" customHeight="1" ht="18.75">
      <c r="A2935" s="1"/>
      <c r="B2935" s="1"/>
      <c r="C2935" s="3" t="s">
        <v>1861</v>
      </c>
      <c r="D2935" s="3" t="s">
        <v>2966</v>
      </c>
      <c r="E2935" s="1"/>
      <c r="F2935" s="1"/>
      <c r="G2935" s="1"/>
      <c r="H2935" s="1"/>
      <c r="I2935" s="2"/>
      <c r="J2935" s="1"/>
      <c r="K2935" s="1"/>
      <c r="L2935" s="1"/>
      <c r="M2935" s="1"/>
      <c r="N2935" s="1"/>
      <c r="O2935" s="1"/>
      <c r="P2935" s="1"/>
      <c r="Q2935" s="1"/>
      <c r="R2935" s="1"/>
      <c r="S2935" s="1"/>
      <c r="T2935" s="1"/>
      <c r="U2935" s="1"/>
      <c r="V2935" s="1"/>
      <c r="W2935" s="1"/>
      <c r="X2935" s="1"/>
    </row>
    <row x14ac:dyDescent="0.25" r="2936" customHeight="1" ht="18.75">
      <c r="A2936" s="1"/>
      <c r="B2936" s="1"/>
      <c r="C2936" s="3" t="s">
        <v>1861</v>
      </c>
      <c r="D2936" s="3" t="s">
        <v>2967</v>
      </c>
      <c r="E2936" s="1"/>
      <c r="F2936" s="1"/>
      <c r="G2936" s="1"/>
      <c r="H2936" s="1"/>
      <c r="I2936" s="2"/>
      <c r="J2936" s="1"/>
      <c r="K2936" s="1"/>
      <c r="L2936" s="1"/>
      <c r="M2936" s="1"/>
      <c r="N2936" s="1"/>
      <c r="O2936" s="1"/>
      <c r="P2936" s="1"/>
      <c r="Q2936" s="1"/>
      <c r="R2936" s="1"/>
      <c r="S2936" s="1"/>
      <c r="T2936" s="1"/>
      <c r="U2936" s="1"/>
      <c r="V2936" s="1"/>
      <c r="W2936" s="1"/>
      <c r="X2936" s="1"/>
    </row>
    <row x14ac:dyDescent="0.25" r="2937" customHeight="1" ht="18.75">
      <c r="A2937" s="1"/>
      <c r="B2937" s="1"/>
      <c r="C2937" s="3" t="s">
        <v>1861</v>
      </c>
      <c r="D2937" s="3" t="s">
        <v>2968</v>
      </c>
      <c r="E2937" s="1"/>
      <c r="F2937" s="1"/>
      <c r="G2937" s="1"/>
      <c r="H2937" s="1"/>
      <c r="I2937" s="2"/>
      <c r="J2937" s="1"/>
      <c r="K2937" s="1"/>
      <c r="L2937" s="1"/>
      <c r="M2937" s="1"/>
      <c r="N2937" s="1"/>
      <c r="O2937" s="1"/>
      <c r="P2937" s="1"/>
      <c r="Q2937" s="1"/>
      <c r="R2937" s="1"/>
      <c r="S2937" s="1"/>
      <c r="T2937" s="1"/>
      <c r="U2937" s="1"/>
      <c r="V2937" s="1"/>
      <c r="W2937" s="1"/>
      <c r="X2937" s="1"/>
    </row>
    <row x14ac:dyDescent="0.25" r="2938" customHeight="1" ht="18.75">
      <c r="A2938" s="1"/>
      <c r="B2938" s="1"/>
      <c r="C2938" s="3" t="s">
        <v>1861</v>
      </c>
      <c r="D2938" s="3" t="s">
        <v>2969</v>
      </c>
      <c r="E2938" s="1"/>
      <c r="F2938" s="1"/>
      <c r="G2938" s="1"/>
      <c r="H2938" s="1"/>
      <c r="I2938" s="2"/>
      <c r="J2938" s="1"/>
      <c r="K2938" s="1"/>
      <c r="L2938" s="1"/>
      <c r="M2938" s="1"/>
      <c r="N2938" s="1"/>
      <c r="O2938" s="1"/>
      <c r="P2938" s="1"/>
      <c r="Q2938" s="1"/>
      <c r="R2938" s="1"/>
      <c r="S2938" s="1"/>
      <c r="T2938" s="1"/>
      <c r="U2938" s="1"/>
      <c r="V2938" s="1"/>
      <c r="W2938" s="1"/>
      <c r="X2938" s="1"/>
    </row>
    <row x14ac:dyDescent="0.25" r="2939" customHeight="1" ht="18.75">
      <c r="A2939" s="1"/>
      <c r="B2939" s="1"/>
      <c r="C2939" s="3" t="s">
        <v>1861</v>
      </c>
      <c r="D2939" s="3" t="s">
        <v>2970</v>
      </c>
      <c r="E2939" s="1"/>
      <c r="F2939" s="1"/>
      <c r="G2939" s="1"/>
      <c r="H2939" s="1"/>
      <c r="I2939" s="2"/>
      <c r="J2939" s="1"/>
      <c r="K2939" s="1"/>
      <c r="L2939" s="1"/>
      <c r="M2939" s="1"/>
      <c r="N2939" s="1"/>
      <c r="O2939" s="1"/>
      <c r="P2939" s="1"/>
      <c r="Q2939" s="1"/>
      <c r="R2939" s="1"/>
      <c r="S2939" s="1"/>
      <c r="T2939" s="1"/>
      <c r="U2939" s="1"/>
      <c r="V2939" s="1"/>
      <c r="W2939" s="1"/>
      <c r="X2939" s="1"/>
    </row>
    <row x14ac:dyDescent="0.25" r="2940" customHeight="1" ht="18.75">
      <c r="A2940" s="1"/>
      <c r="B2940" s="1"/>
      <c r="C2940" s="3" t="s">
        <v>1861</v>
      </c>
      <c r="D2940" s="3" t="s">
        <v>2971</v>
      </c>
      <c r="E2940" s="1"/>
      <c r="F2940" s="1"/>
      <c r="G2940" s="1"/>
      <c r="H2940" s="1"/>
      <c r="I2940" s="2"/>
      <c r="J2940" s="1"/>
      <c r="K2940" s="1"/>
      <c r="L2940" s="1"/>
      <c r="M2940" s="1"/>
      <c r="N2940" s="1"/>
      <c r="O2940" s="1"/>
      <c r="P2940" s="1"/>
      <c r="Q2940" s="1"/>
      <c r="R2940" s="1"/>
      <c r="S2940" s="1"/>
      <c r="T2940" s="1"/>
      <c r="U2940" s="1"/>
      <c r="V2940" s="1"/>
      <c r="W2940" s="1"/>
      <c r="X2940" s="1"/>
    </row>
    <row x14ac:dyDescent="0.25" r="2941" customHeight="1" ht="18.75">
      <c r="A2941" s="1"/>
      <c r="B2941" s="1"/>
      <c r="C2941" s="3" t="s">
        <v>1861</v>
      </c>
      <c r="D2941" s="3" t="s">
        <v>2972</v>
      </c>
      <c r="E2941" s="1"/>
      <c r="F2941" s="1"/>
      <c r="G2941" s="1"/>
      <c r="H2941" s="1"/>
      <c r="I2941" s="2"/>
      <c r="J2941" s="1"/>
      <c r="K2941" s="1"/>
      <c r="L2941" s="1"/>
      <c r="M2941" s="1"/>
      <c r="N2941" s="1"/>
      <c r="O2941" s="1"/>
      <c r="P2941" s="1"/>
      <c r="Q2941" s="1"/>
      <c r="R2941" s="1"/>
      <c r="S2941" s="1"/>
      <c r="T2941" s="1"/>
      <c r="U2941" s="1"/>
      <c r="V2941" s="1"/>
      <c r="W2941" s="1"/>
      <c r="X2941" s="1"/>
    </row>
    <row x14ac:dyDescent="0.25" r="2942" customHeight="1" ht="18.75">
      <c r="A2942" s="1"/>
      <c r="B2942" s="1"/>
      <c r="C2942" s="3" t="s">
        <v>1861</v>
      </c>
      <c r="D2942" s="3" t="s">
        <v>2973</v>
      </c>
      <c r="E2942" s="1"/>
      <c r="F2942" s="1"/>
      <c r="G2942" s="1"/>
      <c r="H2942" s="1"/>
      <c r="I2942" s="2"/>
      <c r="J2942" s="1"/>
      <c r="K2942" s="1"/>
      <c r="L2942" s="1"/>
      <c r="M2942" s="1"/>
      <c r="N2942" s="1"/>
      <c r="O2942" s="1"/>
      <c r="P2942" s="1"/>
      <c r="Q2942" s="1"/>
      <c r="R2942" s="1"/>
      <c r="S2942" s="1"/>
      <c r="T2942" s="1"/>
      <c r="U2942" s="1"/>
      <c r="V2942" s="1"/>
      <c r="W2942" s="1"/>
      <c r="X2942" s="1"/>
    </row>
    <row x14ac:dyDescent="0.25" r="2943" customHeight="1" ht="18.75">
      <c r="A2943" s="1"/>
      <c r="B2943" s="1"/>
      <c r="C2943" s="3" t="s">
        <v>1861</v>
      </c>
      <c r="D2943" s="3" t="s">
        <v>2974</v>
      </c>
      <c r="E2943" s="1"/>
      <c r="F2943" s="1"/>
      <c r="G2943" s="1"/>
      <c r="H2943" s="1"/>
      <c r="I2943" s="2"/>
      <c r="J2943" s="1"/>
      <c r="K2943" s="1"/>
      <c r="L2943" s="1"/>
      <c r="M2943" s="1"/>
      <c r="N2943" s="1"/>
      <c r="O2943" s="1"/>
      <c r="P2943" s="1"/>
      <c r="Q2943" s="1"/>
      <c r="R2943" s="1"/>
      <c r="S2943" s="1"/>
      <c r="T2943" s="1"/>
      <c r="U2943" s="1"/>
      <c r="V2943" s="1"/>
      <c r="W2943" s="1"/>
      <c r="X2943" s="1"/>
    </row>
    <row x14ac:dyDescent="0.25" r="2944" customHeight="1" ht="18.75">
      <c r="A2944" s="1"/>
      <c r="B2944" s="1"/>
      <c r="C2944" s="3" t="s">
        <v>1861</v>
      </c>
      <c r="D2944" s="3" t="s">
        <v>2975</v>
      </c>
      <c r="E2944" s="1"/>
      <c r="F2944" s="1"/>
      <c r="G2944" s="1"/>
      <c r="H2944" s="1"/>
      <c r="I2944" s="2"/>
      <c r="J2944" s="1"/>
      <c r="K2944" s="1"/>
      <c r="L2944" s="1"/>
      <c r="M2944" s="1"/>
      <c r="N2944" s="1"/>
      <c r="O2944" s="1"/>
      <c r="P2944" s="1"/>
      <c r="Q2944" s="1"/>
      <c r="R2944" s="1"/>
      <c r="S2944" s="1"/>
      <c r="T2944" s="1"/>
      <c r="U2944" s="1"/>
      <c r="V2944" s="1"/>
      <c r="W2944" s="1"/>
      <c r="X2944" s="1"/>
    </row>
    <row x14ac:dyDescent="0.25" r="2945" customHeight="1" ht="18.75">
      <c r="A2945" s="1"/>
      <c r="B2945" s="1"/>
      <c r="C2945" s="3" t="s">
        <v>1861</v>
      </c>
      <c r="D2945" s="3" t="s">
        <v>2976</v>
      </c>
      <c r="E2945" s="1"/>
      <c r="F2945" s="1"/>
      <c r="G2945" s="1"/>
      <c r="H2945" s="1"/>
      <c r="I2945" s="2"/>
      <c r="J2945" s="1"/>
      <c r="K2945" s="1"/>
      <c r="L2945" s="1"/>
      <c r="M2945" s="1"/>
      <c r="N2945" s="1"/>
      <c r="O2945" s="1"/>
      <c r="P2945" s="1"/>
      <c r="Q2945" s="1"/>
      <c r="R2945" s="1"/>
      <c r="S2945" s="1"/>
      <c r="T2945" s="1"/>
      <c r="U2945" s="1"/>
      <c r="V2945" s="1"/>
      <c r="W2945" s="1"/>
      <c r="X2945" s="1"/>
    </row>
    <row x14ac:dyDescent="0.25" r="2946" customHeight="1" ht="18.75">
      <c r="A2946" s="1"/>
      <c r="B2946" s="1"/>
      <c r="C2946" s="3" t="s">
        <v>1861</v>
      </c>
      <c r="D2946" s="3" t="s">
        <v>2977</v>
      </c>
      <c r="E2946" s="1"/>
      <c r="F2946" s="1"/>
      <c r="G2946" s="1"/>
      <c r="H2946" s="1"/>
      <c r="I2946" s="2"/>
      <c r="J2946" s="1"/>
      <c r="K2946" s="1"/>
      <c r="L2946" s="1"/>
      <c r="M2946" s="1"/>
      <c r="N2946" s="1"/>
      <c r="O2946" s="1"/>
      <c r="P2946" s="1"/>
      <c r="Q2946" s="1"/>
      <c r="R2946" s="1"/>
      <c r="S2946" s="1"/>
      <c r="T2946" s="1"/>
      <c r="U2946" s="1"/>
      <c r="V2946" s="1"/>
      <c r="W2946" s="1"/>
      <c r="X2946" s="1"/>
    </row>
    <row x14ac:dyDescent="0.25" r="2947" customHeight="1" ht="18.75">
      <c r="A2947" s="1"/>
      <c r="B2947" s="1"/>
      <c r="C2947" s="3" t="s">
        <v>1861</v>
      </c>
      <c r="D2947" s="3" t="s">
        <v>2978</v>
      </c>
      <c r="E2947" s="1"/>
      <c r="F2947" s="1"/>
      <c r="G2947" s="1"/>
      <c r="H2947" s="1"/>
      <c r="I2947" s="2"/>
      <c r="J2947" s="1"/>
      <c r="K2947" s="1"/>
      <c r="L2947" s="1"/>
      <c r="M2947" s="1"/>
      <c r="N2947" s="1"/>
      <c r="O2947" s="1"/>
      <c r="P2947" s="1"/>
      <c r="Q2947" s="1"/>
      <c r="R2947" s="1"/>
      <c r="S2947" s="1"/>
      <c r="T2947" s="1"/>
      <c r="U2947" s="1"/>
      <c r="V2947" s="1"/>
      <c r="W2947" s="1"/>
      <c r="X2947" s="1"/>
    </row>
    <row x14ac:dyDescent="0.25" r="2948" customHeight="1" ht="18.75">
      <c r="A2948" s="1"/>
      <c r="B2948" s="1"/>
      <c r="C2948" s="3" t="s">
        <v>1861</v>
      </c>
      <c r="D2948" s="3" t="s">
        <v>2979</v>
      </c>
      <c r="E2948" s="1"/>
      <c r="F2948" s="1"/>
      <c r="G2948" s="1"/>
      <c r="H2948" s="1"/>
      <c r="I2948" s="2"/>
      <c r="J2948" s="1"/>
      <c r="K2948" s="1"/>
      <c r="L2948" s="1"/>
      <c r="M2948" s="1"/>
      <c r="N2948" s="1"/>
      <c r="O2948" s="1"/>
      <c r="P2948" s="1"/>
      <c r="Q2948" s="1"/>
      <c r="R2948" s="1"/>
      <c r="S2948" s="1"/>
      <c r="T2948" s="1"/>
      <c r="U2948" s="1"/>
      <c r="V2948" s="1"/>
      <c r="W2948" s="1"/>
      <c r="X2948" s="1"/>
    </row>
    <row x14ac:dyDescent="0.25" r="2949" customHeight="1" ht="18.75">
      <c r="A2949" s="1"/>
      <c r="B2949" s="1"/>
      <c r="C2949" s="3" t="s">
        <v>1861</v>
      </c>
      <c r="D2949" s="3" t="s">
        <v>2980</v>
      </c>
      <c r="E2949" s="1"/>
      <c r="F2949" s="1"/>
      <c r="G2949" s="1"/>
      <c r="H2949" s="1"/>
      <c r="I2949" s="2"/>
      <c r="J2949" s="1"/>
      <c r="K2949" s="1"/>
      <c r="L2949" s="1"/>
      <c r="M2949" s="1"/>
      <c r="N2949" s="1"/>
      <c r="O2949" s="1"/>
      <c r="P2949" s="1"/>
      <c r="Q2949" s="1"/>
      <c r="R2949" s="1"/>
      <c r="S2949" s="1"/>
      <c r="T2949" s="1"/>
      <c r="U2949" s="1"/>
      <c r="V2949" s="1"/>
      <c r="W2949" s="1"/>
      <c r="X2949" s="1"/>
    </row>
    <row x14ac:dyDescent="0.25" r="2950" customHeight="1" ht="18.75">
      <c r="A2950" s="1"/>
      <c r="B2950" s="1"/>
      <c r="C2950" s="3" t="s">
        <v>1861</v>
      </c>
      <c r="D2950" s="3" t="s">
        <v>2981</v>
      </c>
      <c r="E2950" s="1"/>
      <c r="F2950" s="1"/>
      <c r="G2950" s="1"/>
      <c r="H2950" s="1"/>
      <c r="I2950" s="2"/>
      <c r="J2950" s="1"/>
      <c r="K2950" s="1"/>
      <c r="L2950" s="1"/>
      <c r="M2950" s="1"/>
      <c r="N2950" s="1"/>
      <c r="O2950" s="1"/>
      <c r="P2950" s="1"/>
      <c r="Q2950" s="1"/>
      <c r="R2950" s="1"/>
      <c r="S2950" s="1"/>
      <c r="T2950" s="1"/>
      <c r="U2950" s="1"/>
      <c r="V2950" s="1"/>
      <c r="W2950" s="1"/>
      <c r="X2950" s="1"/>
    </row>
    <row x14ac:dyDescent="0.25" r="2951" customHeight="1" ht="18.75">
      <c r="A2951" s="1"/>
      <c r="B2951" s="1"/>
      <c r="C2951" s="3" t="s">
        <v>1861</v>
      </c>
      <c r="D2951" s="3" t="s">
        <v>2982</v>
      </c>
      <c r="E2951" s="1"/>
      <c r="F2951" s="1"/>
      <c r="G2951" s="1"/>
      <c r="H2951" s="1"/>
      <c r="I2951" s="2"/>
      <c r="J2951" s="1"/>
      <c r="K2951" s="1"/>
      <c r="L2951" s="1"/>
      <c r="M2951" s="1"/>
      <c r="N2951" s="1"/>
      <c r="O2951" s="1"/>
      <c r="P2951" s="1"/>
      <c r="Q2951" s="1"/>
      <c r="R2951" s="1"/>
      <c r="S2951" s="1"/>
      <c r="T2951" s="1"/>
      <c r="U2951" s="1"/>
      <c r="V2951" s="1"/>
      <c r="W2951" s="1"/>
      <c r="X2951" s="1"/>
    </row>
    <row x14ac:dyDescent="0.25" r="2952" customHeight="1" ht="18.75">
      <c r="A2952" s="1"/>
      <c r="B2952" s="1"/>
      <c r="C2952" s="3" t="s">
        <v>1861</v>
      </c>
      <c r="D2952" s="3" t="s">
        <v>2983</v>
      </c>
      <c r="E2952" s="1"/>
      <c r="F2952" s="1"/>
      <c r="G2952" s="1"/>
      <c r="H2952" s="1"/>
      <c r="I2952" s="2"/>
      <c r="J2952" s="1"/>
      <c r="K2952" s="1"/>
      <c r="L2952" s="1"/>
      <c r="M2952" s="1"/>
      <c r="N2952" s="1"/>
      <c r="O2952" s="1"/>
      <c r="P2952" s="1"/>
      <c r="Q2952" s="1"/>
      <c r="R2952" s="1"/>
      <c r="S2952" s="1"/>
      <c r="T2952" s="1"/>
      <c r="U2952" s="1"/>
      <c r="V2952" s="1"/>
      <c r="W2952" s="1"/>
      <c r="X2952" s="1"/>
    </row>
    <row x14ac:dyDescent="0.25" r="2953" customHeight="1" ht="18.75">
      <c r="A2953" s="1"/>
      <c r="B2953" s="1"/>
      <c r="C2953" s="3" t="s">
        <v>1861</v>
      </c>
      <c r="D2953" s="3" t="s">
        <v>2984</v>
      </c>
      <c r="E2953" s="1"/>
      <c r="F2953" s="1"/>
      <c r="G2953" s="1"/>
      <c r="H2953" s="1"/>
      <c r="I2953" s="2"/>
      <c r="J2953" s="1"/>
      <c r="K2953" s="1"/>
      <c r="L2953" s="1"/>
      <c r="M2953" s="1"/>
      <c r="N2953" s="1"/>
      <c r="O2953" s="1"/>
      <c r="P2953" s="1"/>
      <c r="Q2953" s="1"/>
      <c r="R2953" s="1"/>
      <c r="S2953" s="1"/>
      <c r="T2953" s="1"/>
      <c r="U2953" s="1"/>
      <c r="V2953" s="1"/>
      <c r="W2953" s="1"/>
      <c r="X2953" s="1"/>
    </row>
    <row x14ac:dyDescent="0.25" r="2954" customHeight="1" ht="18.75">
      <c r="A2954" s="1"/>
      <c r="B2954" s="1"/>
      <c r="C2954" s="3" t="s">
        <v>1861</v>
      </c>
      <c r="D2954" s="3" t="s">
        <v>2985</v>
      </c>
      <c r="E2954" s="1"/>
      <c r="F2954" s="1"/>
      <c r="G2954" s="1"/>
      <c r="H2954" s="1"/>
      <c r="I2954" s="2"/>
      <c r="J2954" s="1"/>
      <c r="K2954" s="1"/>
      <c r="L2954" s="1"/>
      <c r="M2954" s="1"/>
      <c r="N2954" s="1"/>
      <c r="O2954" s="1"/>
      <c r="P2954" s="1"/>
      <c r="Q2954" s="1"/>
      <c r="R2954" s="1"/>
      <c r="S2954" s="1"/>
      <c r="T2954" s="1"/>
      <c r="U2954" s="1"/>
      <c r="V2954" s="1"/>
      <c r="W2954" s="1"/>
      <c r="X2954" s="1"/>
    </row>
    <row x14ac:dyDescent="0.25" r="2955" customHeight="1" ht="18.75">
      <c r="A2955" s="1"/>
      <c r="B2955" s="1"/>
      <c r="C2955" s="3" t="s">
        <v>1861</v>
      </c>
      <c r="D2955" s="3" t="s">
        <v>2986</v>
      </c>
      <c r="E2955" s="1"/>
      <c r="F2955" s="1"/>
      <c r="G2955" s="1"/>
      <c r="H2955" s="1"/>
      <c r="I2955" s="2"/>
      <c r="J2955" s="1"/>
      <c r="K2955" s="1"/>
      <c r="L2955" s="1"/>
      <c r="M2955" s="1"/>
      <c r="N2955" s="1"/>
      <c r="O2955" s="1"/>
      <c r="P2955" s="1"/>
      <c r="Q2955" s="1"/>
      <c r="R2955" s="1"/>
      <c r="S2955" s="1"/>
      <c r="T2955" s="1"/>
      <c r="U2955" s="1"/>
      <c r="V2955" s="1"/>
      <c r="W2955" s="1"/>
      <c r="X2955" s="1"/>
    </row>
    <row x14ac:dyDescent="0.25" r="2956" customHeight="1" ht="18.75">
      <c r="A2956" s="1"/>
      <c r="B2956" s="1"/>
      <c r="C2956" s="3" t="s">
        <v>1861</v>
      </c>
      <c r="D2956" s="3" t="s">
        <v>2987</v>
      </c>
      <c r="E2956" s="1"/>
      <c r="F2956" s="1"/>
      <c r="G2956" s="1"/>
      <c r="H2956" s="1"/>
      <c r="I2956" s="2"/>
      <c r="J2956" s="1"/>
      <c r="K2956" s="1"/>
      <c r="L2956" s="1"/>
      <c r="M2956" s="1"/>
      <c r="N2956" s="1"/>
      <c r="O2956" s="1"/>
      <c r="P2956" s="1"/>
      <c r="Q2956" s="1"/>
      <c r="R2956" s="1"/>
      <c r="S2956" s="1"/>
      <c r="T2956" s="1"/>
      <c r="U2956" s="1"/>
      <c r="V2956" s="1"/>
      <c r="W2956" s="1"/>
      <c r="X2956" s="1"/>
    </row>
    <row x14ac:dyDescent="0.25" r="2957" customHeight="1" ht="18.75">
      <c r="A2957" s="1"/>
      <c r="B2957" s="1"/>
      <c r="C2957" s="3" t="s">
        <v>1861</v>
      </c>
      <c r="D2957" s="3" t="s">
        <v>2988</v>
      </c>
      <c r="E2957" s="1"/>
      <c r="F2957" s="1"/>
      <c r="G2957" s="1"/>
      <c r="H2957" s="1"/>
      <c r="I2957" s="2"/>
      <c r="J2957" s="1"/>
      <c r="K2957" s="1"/>
      <c r="L2957" s="1"/>
      <c r="M2957" s="1"/>
      <c r="N2957" s="1"/>
      <c r="O2957" s="1"/>
      <c r="P2957" s="1"/>
      <c r="Q2957" s="1"/>
      <c r="R2957" s="1"/>
      <c r="S2957" s="1"/>
      <c r="T2957" s="1"/>
      <c r="U2957" s="1"/>
      <c r="V2957" s="1"/>
      <c r="W2957" s="1"/>
      <c r="X2957" s="1"/>
    </row>
    <row x14ac:dyDescent="0.25" r="2958" customHeight="1" ht="18.75">
      <c r="A2958" s="1"/>
      <c r="B2958" s="1"/>
      <c r="C2958" s="3" t="s">
        <v>1861</v>
      </c>
      <c r="D2958" s="3" t="s">
        <v>2989</v>
      </c>
      <c r="E2958" s="1"/>
      <c r="F2958" s="1"/>
      <c r="G2958" s="1"/>
      <c r="H2958" s="1"/>
      <c r="I2958" s="2"/>
      <c r="J2958" s="1"/>
      <c r="K2958" s="1"/>
      <c r="L2958" s="1"/>
      <c r="M2958" s="1"/>
      <c r="N2958" s="1"/>
      <c r="O2958" s="1"/>
      <c r="P2958" s="1"/>
      <c r="Q2958" s="1"/>
      <c r="R2958" s="1"/>
      <c r="S2958" s="1"/>
      <c r="T2958" s="1"/>
      <c r="U2958" s="1"/>
      <c r="V2958" s="1"/>
      <c r="W2958" s="1"/>
      <c r="X2958" s="1"/>
    </row>
    <row x14ac:dyDescent="0.25" r="2959" customHeight="1" ht="18.75">
      <c r="A2959" s="1"/>
      <c r="B2959" s="1"/>
      <c r="C2959" s="3" t="s">
        <v>1861</v>
      </c>
      <c r="D2959" s="3" t="s">
        <v>2990</v>
      </c>
      <c r="E2959" s="1"/>
      <c r="F2959" s="1"/>
      <c r="G2959" s="1"/>
      <c r="H2959" s="1"/>
      <c r="I2959" s="2"/>
      <c r="J2959" s="1"/>
      <c r="K2959" s="1"/>
      <c r="L2959" s="1"/>
      <c r="M2959" s="1"/>
      <c r="N2959" s="1"/>
      <c r="O2959" s="1"/>
      <c r="P2959" s="1"/>
      <c r="Q2959" s="1"/>
      <c r="R2959" s="1"/>
      <c r="S2959" s="1"/>
      <c r="T2959" s="1"/>
      <c r="U2959" s="1"/>
      <c r="V2959" s="1"/>
      <c r="W2959" s="1"/>
      <c r="X2959" s="1"/>
    </row>
    <row x14ac:dyDescent="0.25" r="2960" customHeight="1" ht="18.75">
      <c r="A2960" s="1"/>
      <c r="B2960" s="1"/>
      <c r="C2960" s="3" t="s">
        <v>1861</v>
      </c>
      <c r="D2960" s="3" t="s">
        <v>2991</v>
      </c>
      <c r="E2960" s="1"/>
      <c r="F2960" s="1"/>
      <c r="G2960" s="1"/>
      <c r="H2960" s="1"/>
      <c r="I2960" s="2"/>
      <c r="J2960" s="1"/>
      <c r="K2960" s="1"/>
      <c r="L2960" s="1"/>
      <c r="M2960" s="1"/>
      <c r="N2960" s="1"/>
      <c r="O2960" s="1"/>
      <c r="P2960" s="1"/>
      <c r="Q2960" s="1"/>
      <c r="R2960" s="1"/>
      <c r="S2960" s="1"/>
      <c r="T2960" s="1"/>
      <c r="U2960" s="1"/>
      <c r="V2960" s="1"/>
      <c r="W2960" s="1"/>
      <c r="X2960" s="1"/>
    </row>
    <row x14ac:dyDescent="0.25" r="2961" customHeight="1" ht="18.75">
      <c r="A2961" s="1"/>
      <c r="B2961" s="1"/>
      <c r="C2961" s="3" t="s">
        <v>1861</v>
      </c>
      <c r="D2961" s="3" t="s">
        <v>2992</v>
      </c>
      <c r="E2961" s="1"/>
      <c r="F2961" s="1"/>
      <c r="G2961" s="1"/>
      <c r="H2961" s="1"/>
      <c r="I2961" s="2"/>
      <c r="J2961" s="1"/>
      <c r="K2961" s="1"/>
      <c r="L2961" s="1"/>
      <c r="M2961" s="1"/>
      <c r="N2961" s="1"/>
      <c r="O2961" s="1"/>
      <c r="P2961" s="1"/>
      <c r="Q2961" s="1"/>
      <c r="R2961" s="1"/>
      <c r="S2961" s="1"/>
      <c r="T2961" s="1"/>
      <c r="U2961" s="1"/>
      <c r="V2961" s="1"/>
      <c r="W2961" s="1"/>
      <c r="X2961" s="1"/>
    </row>
    <row x14ac:dyDescent="0.25" r="2962" customHeight="1" ht="18.75">
      <c r="A2962" s="1"/>
      <c r="B2962" s="1"/>
      <c r="C2962" s="3" t="s">
        <v>1861</v>
      </c>
      <c r="D2962" s="3" t="s">
        <v>2993</v>
      </c>
      <c r="E2962" s="1"/>
      <c r="F2962" s="1"/>
      <c r="G2962" s="1"/>
      <c r="H2962" s="1"/>
      <c r="I2962" s="2"/>
      <c r="J2962" s="1"/>
      <c r="K2962" s="1"/>
      <c r="L2962" s="1"/>
      <c r="M2962" s="1"/>
      <c r="N2962" s="1"/>
      <c r="O2962" s="1"/>
      <c r="P2962" s="1"/>
      <c r="Q2962" s="1"/>
      <c r="R2962" s="1"/>
      <c r="S2962" s="1"/>
      <c r="T2962" s="1"/>
      <c r="U2962" s="1"/>
      <c r="V2962" s="1"/>
      <c r="W2962" s="1"/>
      <c r="X2962" s="1"/>
    </row>
    <row x14ac:dyDescent="0.25" r="2963" customHeight="1" ht="18.75">
      <c r="A2963" s="1"/>
      <c r="B2963" s="1"/>
      <c r="C2963" s="3" t="s">
        <v>1861</v>
      </c>
      <c r="D2963" s="3" t="s">
        <v>2994</v>
      </c>
      <c r="E2963" s="1"/>
      <c r="F2963" s="1"/>
      <c r="G2963" s="1"/>
      <c r="H2963" s="1"/>
      <c r="I2963" s="2"/>
      <c r="J2963" s="1"/>
      <c r="K2963" s="1"/>
      <c r="L2963" s="1"/>
      <c r="M2963" s="1"/>
      <c r="N2963" s="1"/>
      <c r="O2963" s="1"/>
      <c r="P2963" s="1"/>
      <c r="Q2963" s="1"/>
      <c r="R2963" s="1"/>
      <c r="S2963" s="1"/>
      <c r="T2963" s="1"/>
      <c r="U2963" s="1"/>
      <c r="V2963" s="1"/>
      <c r="W2963" s="1"/>
      <c r="X2963" s="1"/>
    </row>
    <row x14ac:dyDescent="0.25" r="2964" customHeight="1" ht="18.75">
      <c r="A2964" s="1"/>
      <c r="B2964" s="1"/>
      <c r="C2964" s="3" t="s">
        <v>1861</v>
      </c>
      <c r="D2964" s="3" t="s">
        <v>2995</v>
      </c>
      <c r="E2964" s="1"/>
      <c r="F2964" s="1"/>
      <c r="G2964" s="1"/>
      <c r="H2964" s="1"/>
      <c r="I2964" s="2"/>
      <c r="J2964" s="1"/>
      <c r="K2964" s="1"/>
      <c r="L2964" s="1"/>
      <c r="M2964" s="1"/>
      <c r="N2964" s="1"/>
      <c r="O2964" s="1"/>
      <c r="P2964" s="1"/>
      <c r="Q2964" s="1"/>
      <c r="R2964" s="1"/>
      <c r="S2964" s="1"/>
      <c r="T2964" s="1"/>
      <c r="U2964" s="1"/>
      <c r="V2964" s="1"/>
      <c r="W2964" s="1"/>
      <c r="X2964" s="1"/>
    </row>
    <row x14ac:dyDescent="0.25" r="2965" customHeight="1" ht="18.75">
      <c r="A2965" s="1"/>
      <c r="B2965" s="1"/>
      <c r="C2965" s="3" t="s">
        <v>1861</v>
      </c>
      <c r="D2965" s="3" t="s">
        <v>2996</v>
      </c>
      <c r="E2965" s="1"/>
      <c r="F2965" s="1"/>
      <c r="G2965" s="1"/>
      <c r="H2965" s="1"/>
      <c r="I2965" s="2"/>
      <c r="J2965" s="1"/>
      <c r="K2965" s="1"/>
      <c r="L2965" s="1"/>
      <c r="M2965" s="1"/>
      <c r="N2965" s="1"/>
      <c r="O2965" s="1"/>
      <c r="P2965" s="1"/>
      <c r="Q2965" s="1"/>
      <c r="R2965" s="1"/>
      <c r="S2965" s="1"/>
      <c r="T2965" s="1"/>
      <c r="U2965" s="1"/>
      <c r="V2965" s="1"/>
      <c r="W2965" s="1"/>
      <c r="X2965" s="1"/>
    </row>
    <row x14ac:dyDescent="0.25" r="2966" customHeight="1" ht="18.75">
      <c r="A2966" s="1"/>
      <c r="B2966" s="1"/>
      <c r="C2966" s="3" t="s">
        <v>1861</v>
      </c>
      <c r="D2966" s="3" t="s">
        <v>2997</v>
      </c>
      <c r="E2966" s="1"/>
      <c r="F2966" s="1"/>
      <c r="G2966" s="1"/>
      <c r="H2966" s="1"/>
      <c r="I2966" s="2"/>
      <c r="J2966" s="1"/>
      <c r="K2966" s="1"/>
      <c r="L2966" s="1"/>
      <c r="M2966" s="1"/>
      <c r="N2966" s="1"/>
      <c r="O2966" s="1"/>
      <c r="P2966" s="1"/>
      <c r="Q2966" s="1"/>
      <c r="R2966" s="1"/>
      <c r="S2966" s="1"/>
      <c r="T2966" s="1"/>
      <c r="U2966" s="1"/>
      <c r="V2966" s="1"/>
      <c r="W2966" s="1"/>
      <c r="X2966" s="1"/>
    </row>
    <row x14ac:dyDescent="0.25" r="2967" customHeight="1" ht="18.75">
      <c r="A2967" s="1"/>
      <c r="B2967" s="1"/>
      <c r="C2967" s="3" t="s">
        <v>1861</v>
      </c>
      <c r="D2967" s="3" t="s">
        <v>2998</v>
      </c>
      <c r="E2967" s="1"/>
      <c r="F2967" s="1"/>
      <c r="G2967" s="1"/>
      <c r="H2967" s="1"/>
      <c r="I2967" s="2"/>
      <c r="J2967" s="1"/>
      <c r="K2967" s="1"/>
      <c r="L2967" s="1"/>
      <c r="M2967" s="1"/>
      <c r="N2967" s="1"/>
      <c r="O2967" s="1"/>
      <c r="P2967" s="1"/>
      <c r="Q2967" s="1"/>
      <c r="R2967" s="1"/>
      <c r="S2967" s="1"/>
      <c r="T2967" s="1"/>
      <c r="U2967" s="1"/>
      <c r="V2967" s="1"/>
      <c r="W2967" s="1"/>
      <c r="X2967" s="1"/>
    </row>
    <row x14ac:dyDescent="0.25" r="2968" customHeight="1" ht="18.75">
      <c r="A2968" s="1"/>
      <c r="B2968" s="1"/>
      <c r="C2968" s="3" t="s">
        <v>1861</v>
      </c>
      <c r="D2968" s="3" t="s">
        <v>2999</v>
      </c>
      <c r="E2968" s="1"/>
      <c r="F2968" s="1"/>
      <c r="G2968" s="1"/>
      <c r="H2968" s="1"/>
      <c r="I2968" s="2"/>
      <c r="J2968" s="1"/>
      <c r="K2968" s="1"/>
      <c r="L2968" s="1"/>
      <c r="M2968" s="1"/>
      <c r="N2968" s="1"/>
      <c r="O2968" s="1"/>
      <c r="P2968" s="1"/>
      <c r="Q2968" s="1"/>
      <c r="R2968" s="1"/>
      <c r="S2968" s="1"/>
      <c r="T2968" s="1"/>
      <c r="U2968" s="1"/>
      <c r="V2968" s="1"/>
      <c r="W2968" s="1"/>
      <c r="X2968" s="1"/>
    </row>
    <row x14ac:dyDescent="0.25" r="2969" customHeight="1" ht="18.75">
      <c r="A2969" s="1"/>
      <c r="B2969" s="1"/>
      <c r="C2969" s="3" t="s">
        <v>1861</v>
      </c>
      <c r="D2969" s="3" t="s">
        <v>3000</v>
      </c>
      <c r="E2969" s="1"/>
      <c r="F2969" s="1"/>
      <c r="G2969" s="1"/>
      <c r="H2969" s="1"/>
      <c r="I2969" s="2"/>
      <c r="J2969" s="1"/>
      <c r="K2969" s="1"/>
      <c r="L2969" s="1"/>
      <c r="M2969" s="1"/>
      <c r="N2969" s="1"/>
      <c r="O2969" s="1"/>
      <c r="P2969" s="1"/>
      <c r="Q2969" s="1"/>
      <c r="R2969" s="1"/>
      <c r="S2969" s="1"/>
      <c r="T2969" s="1"/>
      <c r="U2969" s="1"/>
      <c r="V2969" s="1"/>
      <c r="W2969" s="1"/>
      <c r="X2969" s="1"/>
    </row>
    <row x14ac:dyDescent="0.25" r="2970" customHeight="1" ht="18.75">
      <c r="A2970" s="1"/>
      <c r="B2970" s="1"/>
      <c r="C2970" s="3" t="s">
        <v>1861</v>
      </c>
      <c r="D2970" s="3" t="s">
        <v>3001</v>
      </c>
      <c r="E2970" s="1"/>
      <c r="F2970" s="1"/>
      <c r="G2970" s="1"/>
      <c r="H2970" s="1"/>
      <c r="I2970" s="2"/>
      <c r="J2970" s="1"/>
      <c r="K2970" s="1"/>
      <c r="L2970" s="1"/>
      <c r="M2970" s="1"/>
      <c r="N2970" s="1"/>
      <c r="O2970" s="1"/>
      <c r="P2970" s="1"/>
      <c r="Q2970" s="1"/>
      <c r="R2970" s="1"/>
      <c r="S2970" s="1"/>
      <c r="T2970" s="1"/>
      <c r="U2970" s="1"/>
      <c r="V2970" s="1"/>
      <c r="W2970" s="1"/>
      <c r="X2970" s="1"/>
    </row>
    <row x14ac:dyDescent="0.25" r="2971" customHeight="1" ht="18.75">
      <c r="A2971" s="1"/>
      <c r="B2971" s="1"/>
      <c r="C2971" s="3" t="s">
        <v>1861</v>
      </c>
      <c r="D2971" s="3" t="s">
        <v>3002</v>
      </c>
      <c r="E2971" s="1"/>
      <c r="F2971" s="1"/>
      <c r="G2971" s="1"/>
      <c r="H2971" s="1"/>
      <c r="I2971" s="2"/>
      <c r="J2971" s="1"/>
      <c r="K2971" s="1"/>
      <c r="L2971" s="1"/>
      <c r="M2971" s="1"/>
      <c r="N2971" s="1"/>
      <c r="O2971" s="1"/>
      <c r="P2971" s="1"/>
      <c r="Q2971" s="1"/>
      <c r="R2971" s="1"/>
      <c r="S2971" s="1"/>
      <c r="T2971" s="1"/>
      <c r="U2971" s="1"/>
      <c r="V2971" s="1"/>
      <c r="W2971" s="1"/>
      <c r="X2971" s="1"/>
    </row>
    <row x14ac:dyDescent="0.25" r="2972" customHeight="1" ht="18.75">
      <c r="A2972" s="1"/>
      <c r="B2972" s="1"/>
      <c r="C2972" s="3" t="s">
        <v>1861</v>
      </c>
      <c r="D2972" s="3" t="s">
        <v>3003</v>
      </c>
      <c r="E2972" s="1"/>
      <c r="F2972" s="1"/>
      <c r="G2972" s="1"/>
      <c r="H2972" s="1"/>
      <c r="I2972" s="2"/>
      <c r="J2972" s="1"/>
      <c r="K2972" s="1"/>
      <c r="L2972" s="1"/>
      <c r="M2972" s="1"/>
      <c r="N2972" s="1"/>
      <c r="O2972" s="1"/>
      <c r="P2972" s="1"/>
      <c r="Q2972" s="1"/>
      <c r="R2972" s="1"/>
      <c r="S2972" s="1"/>
      <c r="T2972" s="1"/>
      <c r="U2972" s="1"/>
      <c r="V2972" s="1"/>
      <c r="W2972" s="1"/>
      <c r="X2972" s="1"/>
    </row>
    <row x14ac:dyDescent="0.25" r="2973" customHeight="1" ht="18.75">
      <c r="A2973" s="1"/>
      <c r="B2973" s="1"/>
      <c r="C2973" s="3" t="s">
        <v>1861</v>
      </c>
      <c r="D2973" s="3" t="s">
        <v>3004</v>
      </c>
      <c r="E2973" s="1"/>
      <c r="F2973" s="1"/>
      <c r="G2973" s="1"/>
      <c r="H2973" s="1"/>
      <c r="I2973" s="2"/>
      <c r="J2973" s="1"/>
      <c r="K2973" s="1"/>
      <c r="L2973" s="1"/>
      <c r="M2973" s="1"/>
      <c r="N2973" s="1"/>
      <c r="O2973" s="1"/>
      <c r="P2973" s="1"/>
      <c r="Q2973" s="1"/>
      <c r="R2973" s="1"/>
      <c r="S2973" s="1"/>
      <c r="T2973" s="1"/>
      <c r="U2973" s="1"/>
      <c r="V2973" s="1"/>
      <c r="W2973" s="1"/>
      <c r="X2973" s="1"/>
    </row>
    <row x14ac:dyDescent="0.25" r="2974" customHeight="1" ht="18.75">
      <c r="A2974" s="1"/>
      <c r="B2974" s="1"/>
      <c r="C2974" s="3" t="s">
        <v>1861</v>
      </c>
      <c r="D2974" s="3" t="s">
        <v>3005</v>
      </c>
      <c r="E2974" s="1"/>
      <c r="F2974" s="1"/>
      <c r="G2974" s="1"/>
      <c r="H2974" s="1"/>
      <c r="I2974" s="2"/>
      <c r="J2974" s="1"/>
      <c r="K2974" s="1"/>
      <c r="L2974" s="1"/>
      <c r="M2974" s="1"/>
      <c r="N2974" s="1"/>
      <c r="O2974" s="1"/>
      <c r="P2974" s="1"/>
      <c r="Q2974" s="1"/>
      <c r="R2974" s="1"/>
      <c r="S2974" s="1"/>
      <c r="T2974" s="1"/>
      <c r="U2974" s="1"/>
      <c r="V2974" s="1"/>
      <c r="W2974" s="1"/>
      <c r="X2974" s="1"/>
    </row>
    <row x14ac:dyDescent="0.25" r="2975" customHeight="1" ht="18.75">
      <c r="A2975" s="1"/>
      <c r="B2975" s="1"/>
      <c r="C2975" s="3" t="s">
        <v>1861</v>
      </c>
      <c r="D2975" s="3" t="s">
        <v>3006</v>
      </c>
      <c r="E2975" s="1"/>
      <c r="F2975" s="1"/>
      <c r="G2975" s="1"/>
      <c r="H2975" s="1"/>
      <c r="I2975" s="2"/>
      <c r="J2975" s="1"/>
      <c r="K2975" s="1"/>
      <c r="L2975" s="1"/>
      <c r="M2975" s="1"/>
      <c r="N2975" s="1"/>
      <c r="O2975" s="1"/>
      <c r="P2975" s="1"/>
      <c r="Q2975" s="1"/>
      <c r="R2975" s="1"/>
      <c r="S2975" s="1"/>
      <c r="T2975" s="1"/>
      <c r="U2975" s="1"/>
      <c r="V2975" s="1"/>
      <c r="W2975" s="1"/>
      <c r="X2975" s="1"/>
    </row>
    <row x14ac:dyDescent="0.25" r="2976" customHeight="1" ht="18.75">
      <c r="A2976" s="1"/>
      <c r="B2976" s="1"/>
      <c r="C2976" s="3" t="s">
        <v>1861</v>
      </c>
      <c r="D2976" s="3" t="s">
        <v>3007</v>
      </c>
      <c r="E2976" s="1"/>
      <c r="F2976" s="1"/>
      <c r="G2976" s="1"/>
      <c r="H2976" s="1"/>
      <c r="I2976" s="2"/>
      <c r="J2976" s="1"/>
      <c r="K2976" s="1"/>
      <c r="L2976" s="1"/>
      <c r="M2976" s="1"/>
      <c r="N2976" s="1"/>
      <c r="O2976" s="1"/>
      <c r="P2976" s="1"/>
      <c r="Q2976" s="1"/>
      <c r="R2976" s="1"/>
      <c r="S2976" s="1"/>
      <c r="T2976" s="1"/>
      <c r="U2976" s="1"/>
      <c r="V2976" s="1"/>
      <c r="W2976" s="1"/>
      <c r="X2976" s="1"/>
    </row>
    <row x14ac:dyDescent="0.25" r="2977" customHeight="1" ht="18.75">
      <c r="A2977" s="1"/>
      <c r="B2977" s="1"/>
      <c r="C2977" s="3" t="s">
        <v>1861</v>
      </c>
      <c r="D2977" s="3" t="s">
        <v>3008</v>
      </c>
      <c r="E2977" s="1"/>
      <c r="F2977" s="1"/>
      <c r="G2977" s="1"/>
      <c r="H2977" s="1"/>
      <c r="I2977" s="2"/>
      <c r="J2977" s="1"/>
      <c r="K2977" s="1"/>
      <c r="L2977" s="1"/>
      <c r="M2977" s="1"/>
      <c r="N2977" s="1"/>
      <c r="O2977" s="1"/>
      <c r="P2977" s="1"/>
      <c r="Q2977" s="1"/>
      <c r="R2977" s="1"/>
      <c r="S2977" s="1"/>
      <c r="T2977" s="1"/>
      <c r="U2977" s="1"/>
      <c r="V2977" s="1"/>
      <c r="W2977" s="1"/>
      <c r="X2977" s="1"/>
    </row>
    <row x14ac:dyDescent="0.25" r="2978" customHeight="1" ht="18.75">
      <c r="A2978" s="1"/>
      <c r="B2978" s="1"/>
      <c r="C2978" s="3" t="s">
        <v>1861</v>
      </c>
      <c r="D2978" s="3" t="s">
        <v>3009</v>
      </c>
      <c r="E2978" s="1"/>
      <c r="F2978" s="1"/>
      <c r="G2978" s="1"/>
      <c r="H2978" s="1"/>
      <c r="I2978" s="2"/>
      <c r="J2978" s="1"/>
      <c r="K2978" s="1"/>
      <c r="L2978" s="1"/>
      <c r="M2978" s="1"/>
      <c r="N2978" s="1"/>
      <c r="O2978" s="1"/>
      <c r="P2978" s="1"/>
      <c r="Q2978" s="1"/>
      <c r="R2978" s="1"/>
      <c r="S2978" s="1"/>
      <c r="T2978" s="1"/>
      <c r="U2978" s="1"/>
      <c r="V2978" s="1"/>
      <c r="W2978" s="1"/>
      <c r="X2978" s="1"/>
    </row>
    <row x14ac:dyDescent="0.25" r="2979" customHeight="1" ht="18.75">
      <c r="A2979" s="1"/>
      <c r="B2979" s="1"/>
      <c r="C2979" s="3" t="s">
        <v>1861</v>
      </c>
      <c r="D2979" s="3" t="s">
        <v>3010</v>
      </c>
      <c r="E2979" s="1"/>
      <c r="F2979" s="1"/>
      <c r="G2979" s="1"/>
      <c r="H2979" s="1"/>
      <c r="I2979" s="2"/>
      <c r="J2979" s="1"/>
      <c r="K2979" s="1"/>
      <c r="L2979" s="1"/>
      <c r="M2979" s="1"/>
      <c r="N2979" s="1"/>
      <c r="O2979" s="1"/>
      <c r="P2979" s="1"/>
      <c r="Q2979" s="1"/>
      <c r="R2979" s="1"/>
      <c r="S2979" s="1"/>
      <c r="T2979" s="1"/>
      <c r="U2979" s="1"/>
      <c r="V2979" s="1"/>
      <c r="W2979" s="1"/>
      <c r="X2979" s="1"/>
    </row>
    <row x14ac:dyDescent="0.25" r="2980" customHeight="1" ht="18.75">
      <c r="A2980" s="1"/>
      <c r="B2980" s="1"/>
      <c r="C2980" s="3" t="s">
        <v>1861</v>
      </c>
      <c r="D2980" s="3" t="s">
        <v>3011</v>
      </c>
      <c r="E2980" s="1"/>
      <c r="F2980" s="1"/>
      <c r="G2980" s="1"/>
      <c r="H2980" s="1"/>
      <c r="I2980" s="2"/>
      <c r="J2980" s="1"/>
      <c r="K2980" s="1"/>
      <c r="L2980" s="1"/>
      <c r="M2980" s="1"/>
      <c r="N2980" s="1"/>
      <c r="O2980" s="1"/>
      <c r="P2980" s="1"/>
      <c r="Q2980" s="1"/>
      <c r="R2980" s="1"/>
      <c r="S2980" s="1"/>
      <c r="T2980" s="1"/>
      <c r="U2980" s="1"/>
      <c r="V2980" s="1"/>
      <c r="W2980" s="1"/>
      <c r="X2980" s="1"/>
    </row>
    <row x14ac:dyDescent="0.25" r="2981" customHeight="1" ht="18.75">
      <c r="A2981" s="1"/>
      <c r="B2981" s="1"/>
      <c r="C2981" s="3" t="s">
        <v>1861</v>
      </c>
      <c r="D2981" s="3" t="s">
        <v>3012</v>
      </c>
      <c r="E2981" s="1"/>
      <c r="F2981" s="1"/>
      <c r="G2981" s="1"/>
      <c r="H2981" s="1"/>
      <c r="I2981" s="2"/>
      <c r="J2981" s="1"/>
      <c r="K2981" s="1"/>
      <c r="L2981" s="1"/>
      <c r="M2981" s="1"/>
      <c r="N2981" s="1"/>
      <c r="O2981" s="1"/>
      <c r="P2981" s="1"/>
      <c r="Q2981" s="1"/>
      <c r="R2981" s="1"/>
      <c r="S2981" s="1"/>
      <c r="T2981" s="1"/>
      <c r="U2981" s="1"/>
      <c r="V2981" s="1"/>
      <c r="W2981" s="1"/>
      <c r="X2981" s="1"/>
    </row>
    <row x14ac:dyDescent="0.25" r="2982" customHeight="1" ht="18.75">
      <c r="A2982" s="1"/>
      <c r="B2982" s="1"/>
      <c r="C2982" s="3" t="s">
        <v>1861</v>
      </c>
      <c r="D2982" s="3" t="s">
        <v>3013</v>
      </c>
      <c r="E2982" s="1"/>
      <c r="F2982" s="1"/>
      <c r="G2982" s="1"/>
      <c r="H2982" s="1"/>
      <c r="I2982" s="2"/>
      <c r="J2982" s="1"/>
      <c r="K2982" s="1"/>
      <c r="L2982" s="1"/>
      <c r="M2982" s="1"/>
      <c r="N2982" s="1"/>
      <c r="O2982" s="1"/>
      <c r="P2982" s="1"/>
      <c r="Q2982" s="1"/>
      <c r="R2982" s="1"/>
      <c r="S2982" s="1"/>
      <c r="T2982" s="1"/>
      <c r="U2982" s="1"/>
      <c r="V2982" s="1"/>
      <c r="W2982" s="1"/>
      <c r="X2982" s="1"/>
    </row>
    <row x14ac:dyDescent="0.25" r="2983" customHeight="1" ht="18.75">
      <c r="A2983" s="1"/>
      <c r="B2983" s="1"/>
      <c r="C2983" s="3" t="s">
        <v>1861</v>
      </c>
      <c r="D2983" s="3" t="s">
        <v>3014</v>
      </c>
      <c r="E2983" s="1"/>
      <c r="F2983" s="1"/>
      <c r="G2983" s="1"/>
      <c r="H2983" s="1"/>
      <c r="I2983" s="2"/>
      <c r="J2983" s="1"/>
      <c r="K2983" s="1"/>
      <c r="L2983" s="1"/>
      <c r="M2983" s="1"/>
      <c r="N2983" s="1"/>
      <c r="O2983" s="1"/>
      <c r="P2983" s="1"/>
      <c r="Q2983" s="1"/>
      <c r="R2983" s="1"/>
      <c r="S2983" s="1"/>
      <c r="T2983" s="1"/>
      <c r="U2983" s="1"/>
      <c r="V2983" s="1"/>
      <c r="W2983" s="1"/>
      <c r="X2983" s="1"/>
    </row>
    <row x14ac:dyDescent="0.25" r="2984" customHeight="1" ht="18.75">
      <c r="A2984" s="1"/>
      <c r="B2984" s="1"/>
      <c r="C2984" s="3" t="s">
        <v>1861</v>
      </c>
      <c r="D2984" s="3" t="s">
        <v>3015</v>
      </c>
      <c r="E2984" s="1"/>
      <c r="F2984" s="1"/>
      <c r="G2984" s="1"/>
      <c r="H2984" s="1"/>
      <c r="I2984" s="2"/>
      <c r="J2984" s="1"/>
      <c r="K2984" s="1"/>
      <c r="L2984" s="1"/>
      <c r="M2984" s="1"/>
      <c r="N2984" s="1"/>
      <c r="O2984" s="1"/>
      <c r="P2984" s="1"/>
      <c r="Q2984" s="1"/>
      <c r="R2984" s="1"/>
      <c r="S2984" s="1"/>
      <c r="T2984" s="1"/>
      <c r="U2984" s="1"/>
      <c r="V2984" s="1"/>
      <c r="W2984" s="1"/>
      <c r="X2984" s="1"/>
    </row>
    <row x14ac:dyDescent="0.25" r="2985" customHeight="1" ht="18.75">
      <c r="A2985" s="1"/>
      <c r="B2985" s="1"/>
      <c r="C2985" s="3" t="s">
        <v>1861</v>
      </c>
      <c r="D2985" s="3" t="s">
        <v>3016</v>
      </c>
      <c r="E2985" s="1"/>
      <c r="F2985" s="1"/>
      <c r="G2985" s="1"/>
      <c r="H2985" s="1"/>
      <c r="I2985" s="2"/>
      <c r="J2985" s="1"/>
      <c r="K2985" s="1"/>
      <c r="L2985" s="1"/>
      <c r="M2985" s="1"/>
      <c r="N2985" s="1"/>
      <c r="O2985" s="1"/>
      <c r="P2985" s="1"/>
      <c r="Q2985" s="1"/>
      <c r="R2985" s="1"/>
      <c r="S2985" s="1"/>
      <c r="T2985" s="1"/>
      <c r="U2985" s="1"/>
      <c r="V2985" s="1"/>
      <c r="W2985" s="1"/>
      <c r="X2985" s="1"/>
    </row>
    <row x14ac:dyDescent="0.25" r="2986" customHeight="1" ht="18.75">
      <c r="A2986" s="1"/>
      <c r="B2986" s="1"/>
      <c r="C2986" s="3" t="s">
        <v>1861</v>
      </c>
      <c r="D2986" s="3" t="s">
        <v>3017</v>
      </c>
      <c r="E2986" s="1"/>
      <c r="F2986" s="1"/>
      <c r="G2986" s="1"/>
      <c r="H2986" s="1"/>
      <c r="I2986" s="2"/>
      <c r="J2986" s="1"/>
      <c r="K2986" s="1"/>
      <c r="L2986" s="1"/>
      <c r="M2986" s="1"/>
      <c r="N2986" s="1"/>
      <c r="O2986" s="1"/>
      <c r="P2986" s="1"/>
      <c r="Q2986" s="1"/>
      <c r="R2986" s="1"/>
      <c r="S2986" s="1"/>
      <c r="T2986" s="1"/>
      <c r="U2986" s="1"/>
      <c r="V2986" s="1"/>
      <c r="W2986" s="1"/>
      <c r="X2986" s="1"/>
    </row>
    <row x14ac:dyDescent="0.25" r="2987" customHeight="1" ht="18.75">
      <c r="A2987" s="1"/>
      <c r="B2987" s="1"/>
      <c r="C2987" s="3" t="s">
        <v>1861</v>
      </c>
      <c r="D2987" s="3" t="s">
        <v>3018</v>
      </c>
      <c r="E2987" s="1"/>
      <c r="F2987" s="1"/>
      <c r="G2987" s="1"/>
      <c r="H2987" s="1"/>
      <c r="I2987" s="2"/>
      <c r="J2987" s="1"/>
      <c r="K2987" s="1"/>
      <c r="L2987" s="1"/>
      <c r="M2987" s="1"/>
      <c r="N2987" s="1"/>
      <c r="O2987" s="1"/>
      <c r="P2987" s="1"/>
      <c r="Q2987" s="1"/>
      <c r="R2987" s="1"/>
      <c r="S2987" s="1"/>
      <c r="T2987" s="1"/>
      <c r="U2987" s="1"/>
      <c r="V2987" s="1"/>
      <c r="W2987" s="1"/>
      <c r="X2987" s="1"/>
    </row>
    <row x14ac:dyDescent="0.25" r="2988" customHeight="1" ht="18.75">
      <c r="A2988" s="1"/>
      <c r="B2988" s="1"/>
      <c r="C2988" s="3" t="s">
        <v>1861</v>
      </c>
      <c r="D2988" s="3" t="s">
        <v>3019</v>
      </c>
      <c r="E2988" s="1"/>
      <c r="F2988" s="1"/>
      <c r="G2988" s="1"/>
      <c r="H2988" s="1"/>
      <c r="I2988" s="2"/>
      <c r="J2988" s="1"/>
      <c r="K2988" s="1"/>
      <c r="L2988" s="1"/>
      <c r="M2988" s="1"/>
      <c r="N2988" s="1"/>
      <c r="O2988" s="1"/>
      <c r="P2988" s="1"/>
      <c r="Q2988" s="1"/>
      <c r="R2988" s="1"/>
      <c r="S2988" s="1"/>
      <c r="T2988" s="1"/>
      <c r="U2988" s="1"/>
      <c r="V2988" s="1"/>
      <c r="W2988" s="1"/>
      <c r="X2988" s="1"/>
    </row>
    <row x14ac:dyDescent="0.25" r="2989" customHeight="1" ht="18.75">
      <c r="A2989" s="1"/>
      <c r="B2989" s="1"/>
      <c r="C2989" s="3" t="s">
        <v>1861</v>
      </c>
      <c r="D2989" s="3" t="s">
        <v>3020</v>
      </c>
      <c r="E2989" s="1"/>
      <c r="F2989" s="1"/>
      <c r="G2989" s="1"/>
      <c r="H2989" s="1"/>
      <c r="I2989" s="2"/>
      <c r="J2989" s="1"/>
      <c r="K2989" s="1"/>
      <c r="L2989" s="1"/>
      <c r="M2989" s="1"/>
      <c r="N2989" s="1"/>
      <c r="O2989" s="1"/>
      <c r="P2989" s="1"/>
      <c r="Q2989" s="1"/>
      <c r="R2989" s="1"/>
      <c r="S2989" s="1"/>
      <c r="T2989" s="1"/>
      <c r="U2989" s="1"/>
      <c r="V2989" s="1"/>
      <c r="W2989" s="1"/>
      <c r="X2989" s="1"/>
    </row>
    <row x14ac:dyDescent="0.25" r="2990" customHeight="1" ht="18.75">
      <c r="A2990" s="1"/>
      <c r="B2990" s="1"/>
      <c r="C2990" s="3" t="s">
        <v>1861</v>
      </c>
      <c r="D2990" s="3" t="s">
        <v>3021</v>
      </c>
      <c r="E2990" s="1"/>
      <c r="F2990" s="1"/>
      <c r="G2990" s="1"/>
      <c r="H2990" s="1"/>
      <c r="I2990" s="2"/>
      <c r="J2990" s="1"/>
      <c r="K2990" s="1"/>
      <c r="L2990" s="1"/>
      <c r="M2990" s="1"/>
      <c r="N2990" s="1"/>
      <c r="O2990" s="1"/>
      <c r="P2990" s="1"/>
      <c r="Q2990" s="1"/>
      <c r="R2990" s="1"/>
      <c r="S2990" s="1"/>
      <c r="T2990" s="1"/>
      <c r="U2990" s="1"/>
      <c r="V2990" s="1"/>
      <c r="W2990" s="1"/>
      <c r="X2990" s="1"/>
    </row>
    <row x14ac:dyDescent="0.25" r="2991" customHeight="1" ht="18.75">
      <c r="A2991" s="1"/>
      <c r="B2991" s="1"/>
      <c r="C2991" s="3" t="s">
        <v>1861</v>
      </c>
      <c r="D2991" s="3" t="s">
        <v>3022</v>
      </c>
      <c r="E2991" s="1"/>
      <c r="F2991" s="1"/>
      <c r="G2991" s="1"/>
      <c r="H2991" s="1"/>
      <c r="I2991" s="2"/>
      <c r="J2991" s="1"/>
      <c r="K2991" s="1"/>
      <c r="L2991" s="1"/>
      <c r="M2991" s="1"/>
      <c r="N2991" s="1"/>
      <c r="O2991" s="1"/>
      <c r="P2991" s="1"/>
      <c r="Q2991" s="1"/>
      <c r="R2991" s="1"/>
      <c r="S2991" s="1"/>
      <c r="T2991" s="1"/>
      <c r="U2991" s="1"/>
      <c r="V2991" s="1"/>
      <c r="W2991" s="1"/>
      <c r="X2991" s="1"/>
    </row>
    <row x14ac:dyDescent="0.25" r="2992" customHeight="1" ht="18.75">
      <c r="A2992" s="1"/>
      <c r="B2992" s="1"/>
      <c r="C2992" s="3" t="s">
        <v>1861</v>
      </c>
      <c r="D2992" s="3" t="s">
        <v>3023</v>
      </c>
      <c r="E2992" s="1"/>
      <c r="F2992" s="1"/>
      <c r="G2992" s="1"/>
      <c r="H2992" s="1"/>
      <c r="I2992" s="2"/>
      <c r="J2992" s="1"/>
      <c r="K2992" s="1"/>
      <c r="L2992" s="1"/>
      <c r="M2992" s="1"/>
      <c r="N2992" s="1"/>
      <c r="O2992" s="1"/>
      <c r="P2992" s="1"/>
      <c r="Q2992" s="1"/>
      <c r="R2992" s="1"/>
      <c r="S2992" s="1"/>
      <c r="T2992" s="1"/>
      <c r="U2992" s="1"/>
      <c r="V2992" s="1"/>
      <c r="W2992" s="1"/>
      <c r="X2992" s="1"/>
    </row>
    <row x14ac:dyDescent="0.25" r="2993" customHeight="1" ht="18.75">
      <c r="A2993" s="1"/>
      <c r="B2993" s="1"/>
      <c r="C2993" s="3" t="s">
        <v>1861</v>
      </c>
      <c r="D2993" s="3" t="s">
        <v>3024</v>
      </c>
      <c r="E2993" s="1"/>
      <c r="F2993" s="1"/>
      <c r="G2993" s="1"/>
      <c r="H2993" s="1"/>
      <c r="I2993" s="2"/>
      <c r="J2993" s="1"/>
      <c r="K2993" s="1"/>
      <c r="L2993" s="1"/>
      <c r="M2993" s="1"/>
      <c r="N2993" s="1"/>
      <c r="O2993" s="1"/>
      <c r="P2993" s="1"/>
      <c r="Q2993" s="1"/>
      <c r="R2993" s="1"/>
      <c r="S2993" s="1"/>
      <c r="T2993" s="1"/>
      <c r="U2993" s="1"/>
      <c r="V2993" s="1"/>
      <c r="W2993" s="1"/>
      <c r="X2993" s="1"/>
    </row>
    <row x14ac:dyDescent="0.25" r="2994" customHeight="1" ht="18.75">
      <c r="A2994" s="1"/>
      <c r="B2994" s="1"/>
      <c r="C2994" s="3" t="s">
        <v>1861</v>
      </c>
      <c r="D2994" s="3" t="s">
        <v>3025</v>
      </c>
      <c r="E2994" s="1"/>
      <c r="F2994" s="1"/>
      <c r="G2994" s="1"/>
      <c r="H2994" s="1"/>
      <c r="I2994" s="2"/>
      <c r="J2994" s="1"/>
      <c r="K2994" s="1"/>
      <c r="L2994" s="1"/>
      <c r="M2994" s="1"/>
      <c r="N2994" s="1"/>
      <c r="O2994" s="1"/>
      <c r="P2994" s="1"/>
      <c r="Q2994" s="1"/>
      <c r="R2994" s="1"/>
      <c r="S2994" s="1"/>
      <c r="T2994" s="1"/>
      <c r="U2994" s="1"/>
      <c r="V2994" s="1"/>
      <c r="W2994" s="1"/>
      <c r="X2994" s="1"/>
    </row>
    <row x14ac:dyDescent="0.25" r="2995" customHeight="1" ht="18.75">
      <c r="A2995" s="1"/>
      <c r="B2995" s="1"/>
      <c r="C2995" s="3" t="s">
        <v>1861</v>
      </c>
      <c r="D2995" s="3" t="s">
        <v>3026</v>
      </c>
      <c r="E2995" s="1"/>
      <c r="F2995" s="1"/>
      <c r="G2995" s="1"/>
      <c r="H2995" s="1"/>
      <c r="I2995" s="2"/>
      <c r="J2995" s="1"/>
      <c r="K2995" s="1"/>
      <c r="L2995" s="1"/>
      <c r="M2995" s="1"/>
      <c r="N2995" s="1"/>
      <c r="O2995" s="1"/>
      <c r="P2995" s="1"/>
      <c r="Q2995" s="1"/>
      <c r="R2995" s="1"/>
      <c r="S2995" s="1"/>
      <c r="T2995" s="1"/>
      <c r="U2995" s="1"/>
      <c r="V2995" s="1"/>
      <c r="W2995" s="1"/>
      <c r="X2995" s="1"/>
    </row>
    <row x14ac:dyDescent="0.25" r="2996" customHeight="1" ht="18.75">
      <c r="A2996" s="1"/>
      <c r="B2996" s="1"/>
      <c r="C2996" s="3" t="s">
        <v>1861</v>
      </c>
      <c r="D2996" s="3" t="s">
        <v>3027</v>
      </c>
      <c r="E2996" s="1"/>
      <c r="F2996" s="1"/>
      <c r="G2996" s="1"/>
      <c r="H2996" s="1"/>
      <c r="I2996" s="2"/>
      <c r="J2996" s="1"/>
      <c r="K2996" s="1"/>
      <c r="L2996" s="1"/>
      <c r="M2996" s="1"/>
      <c r="N2996" s="1"/>
      <c r="O2996" s="1"/>
      <c r="P2996" s="1"/>
      <c r="Q2996" s="1"/>
      <c r="R2996" s="1"/>
      <c r="S2996" s="1"/>
      <c r="T2996" s="1"/>
      <c r="U2996" s="1"/>
      <c r="V2996" s="1"/>
      <c r="W2996" s="1"/>
      <c r="X2996" s="1"/>
    </row>
    <row x14ac:dyDescent="0.25" r="2997" customHeight="1" ht="18.75">
      <c r="A2997" s="1"/>
      <c r="B2997" s="1"/>
      <c r="C2997" s="3" t="s">
        <v>1861</v>
      </c>
      <c r="D2997" s="3" t="s">
        <v>3028</v>
      </c>
      <c r="E2997" s="1"/>
      <c r="F2997" s="1"/>
      <c r="G2997" s="1"/>
      <c r="H2997" s="1"/>
      <c r="I2997" s="2"/>
      <c r="J2997" s="1"/>
      <c r="K2997" s="1"/>
      <c r="L2997" s="1"/>
      <c r="M2997" s="1"/>
      <c r="N2997" s="1"/>
      <c r="O2997" s="1"/>
      <c r="P2997" s="1"/>
      <c r="Q2997" s="1"/>
      <c r="R2997" s="1"/>
      <c r="S2997" s="1"/>
      <c r="T2997" s="1"/>
      <c r="U2997" s="1"/>
      <c r="V2997" s="1"/>
      <c r="W2997" s="1"/>
      <c r="X2997" s="1"/>
    </row>
    <row x14ac:dyDescent="0.25" r="2998" customHeight="1" ht="18.75">
      <c r="A2998" s="1"/>
      <c r="B2998" s="1"/>
      <c r="C2998" s="3" t="s">
        <v>1861</v>
      </c>
      <c r="D2998" s="3" t="s">
        <v>3029</v>
      </c>
      <c r="E2998" s="1"/>
      <c r="F2998" s="1"/>
      <c r="G2998" s="1"/>
      <c r="H2998" s="1"/>
      <c r="I2998" s="2"/>
      <c r="J2998" s="1"/>
      <c r="K2998" s="1"/>
      <c r="L2998" s="1"/>
      <c r="M2998" s="1"/>
      <c r="N2998" s="1"/>
      <c r="O2998" s="1"/>
      <c r="P2998" s="1"/>
      <c r="Q2998" s="1"/>
      <c r="R2998" s="1"/>
      <c r="S2998" s="1"/>
      <c r="T2998" s="1"/>
      <c r="U2998" s="1"/>
      <c r="V2998" s="1"/>
      <c r="W2998" s="1"/>
      <c r="X2998" s="1"/>
    </row>
    <row x14ac:dyDescent="0.25" r="2999" customHeight="1" ht="18.75">
      <c r="A2999" s="1"/>
      <c r="B2999" s="1"/>
      <c r="C2999" s="3" t="s">
        <v>1861</v>
      </c>
      <c r="D2999" s="3" t="s">
        <v>3030</v>
      </c>
      <c r="E2999" s="1"/>
      <c r="F2999" s="1"/>
      <c r="G2999" s="1"/>
      <c r="H2999" s="1"/>
      <c r="I2999" s="2"/>
      <c r="J2999" s="1"/>
      <c r="K2999" s="1"/>
      <c r="L2999" s="1"/>
      <c r="M2999" s="1"/>
      <c r="N2999" s="1"/>
      <c r="O2999" s="1"/>
      <c r="P2999" s="1"/>
      <c r="Q2999" s="1"/>
      <c r="R2999" s="1"/>
      <c r="S2999" s="1"/>
      <c r="T2999" s="1"/>
      <c r="U2999" s="1"/>
      <c r="V2999" s="1"/>
      <c r="W2999" s="1"/>
      <c r="X2999" s="1"/>
    </row>
    <row x14ac:dyDescent="0.25" r="3000" customHeight="1" ht="18.75">
      <c r="A3000" s="1"/>
      <c r="B3000" s="1"/>
      <c r="C3000" s="3" t="s">
        <v>1861</v>
      </c>
      <c r="D3000" s="3" t="s">
        <v>3031</v>
      </c>
      <c r="E3000" s="1"/>
      <c r="F3000" s="1"/>
      <c r="G3000" s="1"/>
      <c r="H3000" s="1"/>
      <c r="I3000" s="2"/>
      <c r="J3000" s="1"/>
      <c r="K3000" s="1"/>
      <c r="L3000" s="1"/>
      <c r="M3000" s="1"/>
      <c r="N3000" s="1"/>
      <c r="O3000" s="1"/>
      <c r="P3000" s="1"/>
      <c r="Q3000" s="1"/>
      <c r="R3000" s="1"/>
      <c r="S3000" s="1"/>
      <c r="T3000" s="1"/>
      <c r="U3000" s="1"/>
      <c r="V3000" s="1"/>
      <c r="W3000" s="1"/>
      <c r="X3000" s="1"/>
    </row>
    <row x14ac:dyDescent="0.25" r="3001" customHeight="1" ht="18.75">
      <c r="A3001" s="1"/>
      <c r="B3001" s="1"/>
      <c r="C3001" s="3" t="s">
        <v>1861</v>
      </c>
      <c r="D3001" s="3" t="s">
        <v>3032</v>
      </c>
      <c r="E3001" s="1"/>
      <c r="F3001" s="1"/>
      <c r="G3001" s="1"/>
      <c r="H3001" s="1"/>
      <c r="I3001" s="2"/>
      <c r="J3001" s="1"/>
      <c r="K3001" s="1"/>
      <c r="L3001" s="1"/>
      <c r="M3001" s="1"/>
      <c r="N3001" s="1"/>
      <c r="O3001" s="1"/>
      <c r="P3001" s="1"/>
      <c r="Q3001" s="1"/>
      <c r="R3001" s="1"/>
      <c r="S3001" s="1"/>
      <c r="T3001" s="1"/>
      <c r="U3001" s="1"/>
      <c r="V3001" s="1"/>
      <c r="W3001" s="1"/>
      <c r="X3001" s="1"/>
    </row>
    <row x14ac:dyDescent="0.25" r="3002" customHeight="1" ht="18.75">
      <c r="A3002" s="1"/>
      <c r="B3002" s="1"/>
      <c r="C3002" s="3" t="s">
        <v>1861</v>
      </c>
      <c r="D3002" s="3" t="s">
        <v>3033</v>
      </c>
      <c r="E3002" s="1"/>
      <c r="F3002" s="1"/>
      <c r="G3002" s="1"/>
      <c r="H3002" s="1"/>
      <c r="I3002" s="2"/>
      <c r="J3002" s="1"/>
      <c r="K3002" s="1"/>
      <c r="L3002" s="1"/>
      <c r="M3002" s="1"/>
      <c r="N3002" s="1"/>
      <c r="O3002" s="1"/>
      <c r="P3002" s="1"/>
      <c r="Q3002" s="1"/>
      <c r="R3002" s="1"/>
      <c r="S3002" s="1"/>
      <c r="T3002" s="1"/>
      <c r="U3002" s="1"/>
      <c r="V3002" s="1"/>
      <c r="W3002" s="1"/>
      <c r="X3002" s="1"/>
    </row>
    <row x14ac:dyDescent="0.25" r="3003" customHeight="1" ht="18.75">
      <c r="A3003" s="1"/>
      <c r="B3003" s="1"/>
      <c r="C3003" s="3" t="s">
        <v>1861</v>
      </c>
      <c r="D3003" s="3" t="s">
        <v>3034</v>
      </c>
      <c r="E3003" s="1"/>
      <c r="F3003" s="1"/>
      <c r="G3003" s="1"/>
      <c r="H3003" s="1"/>
      <c r="I3003" s="2"/>
      <c r="J3003" s="1"/>
      <c r="K3003" s="1"/>
      <c r="L3003" s="1"/>
      <c r="M3003" s="1"/>
      <c r="N3003" s="1"/>
      <c r="O3003" s="1"/>
      <c r="P3003" s="1"/>
      <c r="Q3003" s="1"/>
      <c r="R3003" s="1"/>
      <c r="S3003" s="1"/>
      <c r="T3003" s="1"/>
      <c r="U3003" s="1"/>
      <c r="V3003" s="1"/>
      <c r="W3003" s="1"/>
      <c r="X3003" s="1"/>
    </row>
    <row x14ac:dyDescent="0.25" r="3004" customHeight="1" ht="18.75">
      <c r="A3004" s="1"/>
      <c r="B3004" s="1"/>
      <c r="C3004" s="3" t="s">
        <v>1861</v>
      </c>
      <c r="D3004" s="3" t="s">
        <v>3035</v>
      </c>
      <c r="E3004" s="1"/>
      <c r="F3004" s="1"/>
      <c r="G3004" s="1"/>
      <c r="H3004" s="1"/>
      <c r="I3004" s="2"/>
      <c r="J3004" s="1"/>
      <c r="K3004" s="1"/>
      <c r="L3004" s="1"/>
      <c r="M3004" s="1"/>
      <c r="N3004" s="1"/>
      <c r="O3004" s="1"/>
      <c r="P3004" s="1"/>
      <c r="Q3004" s="1"/>
      <c r="R3004" s="1"/>
      <c r="S3004" s="1"/>
      <c r="T3004" s="1"/>
      <c r="U3004" s="1"/>
      <c r="V3004" s="1"/>
      <c r="W3004" s="1"/>
      <c r="X3004" s="1"/>
    </row>
    <row x14ac:dyDescent="0.25" r="3005" customHeight="1" ht="18.75">
      <c r="A3005" s="1"/>
      <c r="B3005" s="1"/>
      <c r="C3005" s="3" t="s">
        <v>1861</v>
      </c>
      <c r="D3005" s="3" t="s">
        <v>3036</v>
      </c>
      <c r="E3005" s="1"/>
      <c r="F3005" s="1"/>
      <c r="G3005" s="1"/>
      <c r="H3005" s="1"/>
      <c r="I3005" s="2"/>
      <c r="J3005" s="1"/>
      <c r="K3005" s="1"/>
      <c r="L3005" s="1"/>
      <c r="M3005" s="1"/>
      <c r="N3005" s="1"/>
      <c r="O3005" s="1"/>
      <c r="P3005" s="1"/>
      <c r="Q3005" s="1"/>
      <c r="R3005" s="1"/>
      <c r="S3005" s="1"/>
      <c r="T3005" s="1"/>
      <c r="U3005" s="1"/>
      <c r="V3005" s="1"/>
      <c r="W3005" s="1"/>
      <c r="X3005" s="1"/>
    </row>
    <row x14ac:dyDescent="0.25" r="3006" customHeight="1" ht="18.75">
      <c r="A3006" s="1"/>
      <c r="B3006" s="1"/>
      <c r="C3006" s="3" t="s">
        <v>1861</v>
      </c>
      <c r="D3006" s="3" t="s">
        <v>3037</v>
      </c>
      <c r="E3006" s="1"/>
      <c r="F3006" s="1"/>
      <c r="G3006" s="1"/>
      <c r="H3006" s="1"/>
      <c r="I3006" s="2"/>
      <c r="J3006" s="1"/>
      <c r="K3006" s="1"/>
      <c r="L3006" s="1"/>
      <c r="M3006" s="1"/>
      <c r="N3006" s="1"/>
      <c r="O3006" s="1"/>
      <c r="P3006" s="1"/>
      <c r="Q3006" s="1"/>
      <c r="R3006" s="1"/>
      <c r="S3006" s="1"/>
      <c r="T3006" s="1"/>
      <c r="U3006" s="1"/>
      <c r="V3006" s="1"/>
      <c r="W3006" s="1"/>
      <c r="X3006" s="1"/>
    </row>
    <row x14ac:dyDescent="0.25" r="3007" customHeight="1" ht="18.75">
      <c r="A3007" s="1"/>
      <c r="B3007" s="1"/>
      <c r="C3007" s="3" t="s">
        <v>1861</v>
      </c>
      <c r="D3007" s="3" t="s">
        <v>3038</v>
      </c>
      <c r="E3007" s="1"/>
      <c r="F3007" s="1"/>
      <c r="G3007" s="1"/>
      <c r="H3007" s="1"/>
      <c r="I3007" s="2"/>
      <c r="J3007" s="1"/>
      <c r="K3007" s="1"/>
      <c r="L3007" s="1"/>
      <c r="M3007" s="1"/>
      <c r="N3007" s="1"/>
      <c r="O3007" s="1"/>
      <c r="P3007" s="1"/>
      <c r="Q3007" s="1"/>
      <c r="R3007" s="1"/>
      <c r="S3007" s="1"/>
      <c r="T3007" s="1"/>
      <c r="U3007" s="1"/>
      <c r="V3007" s="1"/>
      <c r="W3007" s="1"/>
      <c r="X3007" s="1"/>
    </row>
    <row x14ac:dyDescent="0.25" r="3008" customHeight="1" ht="18.75">
      <c r="A3008" s="1"/>
      <c r="B3008" s="1"/>
      <c r="C3008" s="3" t="s">
        <v>1861</v>
      </c>
      <c r="D3008" s="3" t="s">
        <v>3039</v>
      </c>
      <c r="E3008" s="1"/>
      <c r="F3008" s="1"/>
      <c r="G3008" s="1"/>
      <c r="H3008" s="1"/>
      <c r="I3008" s="2"/>
      <c r="J3008" s="1"/>
      <c r="K3008" s="1"/>
      <c r="L3008" s="1"/>
      <c r="M3008" s="1"/>
      <c r="N3008" s="1"/>
      <c r="O3008" s="1"/>
      <c r="P3008" s="1"/>
      <c r="Q3008" s="1"/>
      <c r="R3008" s="1"/>
      <c r="S3008" s="1"/>
      <c r="T3008" s="1"/>
      <c r="U3008" s="1"/>
      <c r="V3008" s="1"/>
      <c r="W3008" s="1"/>
      <c r="X3008" s="1"/>
    </row>
    <row x14ac:dyDescent="0.25" r="3009" customHeight="1" ht="18.75">
      <c r="A3009" s="1"/>
      <c r="B3009" s="1"/>
      <c r="C3009" s="3" t="s">
        <v>1861</v>
      </c>
      <c r="D3009" s="3" t="s">
        <v>3040</v>
      </c>
      <c r="E3009" s="1"/>
      <c r="F3009" s="1"/>
      <c r="G3009" s="1"/>
      <c r="H3009" s="1"/>
      <c r="I3009" s="2"/>
      <c r="J3009" s="1"/>
      <c r="K3009" s="1"/>
      <c r="L3009" s="1"/>
      <c r="M3009" s="1"/>
      <c r="N3009" s="1"/>
      <c r="O3009" s="1"/>
      <c r="P3009" s="1"/>
      <c r="Q3009" s="1"/>
      <c r="R3009" s="1"/>
      <c r="S3009" s="1"/>
      <c r="T3009" s="1"/>
      <c r="U3009" s="1"/>
      <c r="V3009" s="1"/>
      <c r="W3009" s="1"/>
      <c r="X3009" s="1"/>
    </row>
    <row x14ac:dyDescent="0.25" r="3010" customHeight="1" ht="18.75">
      <c r="A3010" s="1"/>
      <c r="B3010" s="1"/>
      <c r="C3010" s="3" t="s">
        <v>1861</v>
      </c>
      <c r="D3010" s="3" t="s">
        <v>3041</v>
      </c>
      <c r="E3010" s="1"/>
      <c r="F3010" s="1"/>
      <c r="G3010" s="1"/>
      <c r="H3010" s="1"/>
      <c r="I3010" s="2"/>
      <c r="J3010" s="1"/>
      <c r="K3010" s="1"/>
      <c r="L3010" s="1"/>
      <c r="M3010" s="1"/>
      <c r="N3010" s="1"/>
      <c r="O3010" s="1"/>
      <c r="P3010" s="1"/>
      <c r="Q3010" s="1"/>
      <c r="R3010" s="1"/>
      <c r="S3010" s="1"/>
      <c r="T3010" s="1"/>
      <c r="U3010" s="1"/>
      <c r="V3010" s="1"/>
      <c r="W3010" s="1"/>
      <c r="X3010" s="1"/>
    </row>
    <row x14ac:dyDescent="0.25" r="3011" customHeight="1" ht="18.75">
      <c r="A3011" s="1"/>
      <c r="B3011" s="1"/>
      <c r="C3011" s="3" t="s">
        <v>1861</v>
      </c>
      <c r="D3011" s="3" t="s">
        <v>3042</v>
      </c>
      <c r="E3011" s="1"/>
      <c r="F3011" s="1"/>
      <c r="G3011" s="1"/>
      <c r="H3011" s="1"/>
      <c r="I3011" s="2"/>
      <c r="J3011" s="1"/>
      <c r="K3011" s="1"/>
      <c r="L3011" s="1"/>
      <c r="M3011" s="1"/>
      <c r="N3011" s="1"/>
      <c r="O3011" s="1"/>
      <c r="P3011" s="1"/>
      <c r="Q3011" s="1"/>
      <c r="R3011" s="1"/>
      <c r="S3011" s="1"/>
      <c r="T3011" s="1"/>
      <c r="U3011" s="1"/>
      <c r="V3011" s="1"/>
      <c r="W3011" s="1"/>
      <c r="X3011" s="1"/>
    </row>
    <row x14ac:dyDescent="0.25" r="3012" customHeight="1" ht="18.75">
      <c r="A3012" s="1"/>
      <c r="B3012" s="1"/>
      <c r="C3012" s="3" t="s">
        <v>1861</v>
      </c>
      <c r="D3012" s="3" t="s">
        <v>3043</v>
      </c>
      <c r="E3012" s="1"/>
      <c r="F3012" s="1"/>
      <c r="G3012" s="1"/>
      <c r="H3012" s="1"/>
      <c r="I3012" s="2"/>
      <c r="J3012" s="1"/>
      <c r="K3012" s="1"/>
      <c r="L3012" s="1"/>
      <c r="M3012" s="1"/>
      <c r="N3012" s="1"/>
      <c r="O3012" s="1"/>
      <c r="P3012" s="1"/>
      <c r="Q3012" s="1"/>
      <c r="R3012" s="1"/>
      <c r="S3012" s="1"/>
      <c r="T3012" s="1"/>
      <c r="U3012" s="1"/>
      <c r="V3012" s="1"/>
      <c r="W3012" s="1"/>
      <c r="X3012" s="1"/>
    </row>
    <row x14ac:dyDescent="0.25" r="3013" customHeight="1" ht="18.75">
      <c r="A3013" s="1"/>
      <c r="B3013" s="1"/>
      <c r="C3013" s="3" t="s">
        <v>1861</v>
      </c>
      <c r="D3013" s="3" t="s">
        <v>3044</v>
      </c>
      <c r="E3013" s="1"/>
      <c r="F3013" s="1"/>
      <c r="G3013" s="1"/>
      <c r="H3013" s="1"/>
      <c r="I3013" s="2"/>
      <c r="J3013" s="1"/>
      <c r="K3013" s="1"/>
      <c r="L3013" s="1"/>
      <c r="M3013" s="1"/>
      <c r="N3013" s="1"/>
      <c r="O3013" s="1"/>
      <c r="P3013" s="1"/>
      <c r="Q3013" s="1"/>
      <c r="R3013" s="1"/>
      <c r="S3013" s="1"/>
      <c r="T3013" s="1"/>
      <c r="U3013" s="1"/>
      <c r="V3013" s="1"/>
      <c r="W3013" s="1"/>
      <c r="X3013" s="1"/>
    </row>
    <row x14ac:dyDescent="0.25" r="3014" customHeight="1" ht="18.75">
      <c r="A3014" s="1"/>
      <c r="B3014" s="1"/>
      <c r="C3014" s="3" t="s">
        <v>1861</v>
      </c>
      <c r="D3014" s="3" t="s">
        <v>3045</v>
      </c>
      <c r="E3014" s="1"/>
      <c r="F3014" s="1"/>
      <c r="G3014" s="1"/>
      <c r="H3014" s="1"/>
      <c r="I3014" s="2"/>
      <c r="J3014" s="1"/>
      <c r="K3014" s="1"/>
      <c r="L3014" s="1"/>
      <c r="M3014" s="1"/>
      <c r="N3014" s="1"/>
      <c r="O3014" s="1"/>
      <c r="P3014" s="1"/>
      <c r="Q3014" s="1"/>
      <c r="R3014" s="1"/>
      <c r="S3014" s="1"/>
      <c r="T3014" s="1"/>
      <c r="U3014" s="1"/>
      <c r="V3014" s="1"/>
      <c r="W3014" s="1"/>
      <c r="X3014" s="1"/>
    </row>
    <row x14ac:dyDescent="0.25" r="3015" customHeight="1" ht="18.75">
      <c r="A3015" s="1"/>
      <c r="B3015" s="1"/>
      <c r="C3015" s="3" t="s">
        <v>1861</v>
      </c>
      <c r="D3015" s="3" t="s">
        <v>3046</v>
      </c>
      <c r="E3015" s="1"/>
      <c r="F3015" s="1"/>
      <c r="G3015" s="1"/>
      <c r="H3015" s="1"/>
      <c r="I3015" s="2"/>
      <c r="J3015" s="1"/>
      <c r="K3015" s="1"/>
      <c r="L3015" s="1"/>
      <c r="M3015" s="1"/>
      <c r="N3015" s="1"/>
      <c r="O3015" s="1"/>
      <c r="P3015" s="1"/>
      <c r="Q3015" s="1"/>
      <c r="R3015" s="1"/>
      <c r="S3015" s="1"/>
      <c r="T3015" s="1"/>
      <c r="U3015" s="1"/>
      <c r="V3015" s="1"/>
      <c r="W3015" s="1"/>
      <c r="X3015" s="1"/>
    </row>
    <row x14ac:dyDescent="0.25" r="3016" customHeight="1" ht="18.75">
      <c r="A3016" s="1"/>
      <c r="B3016" s="1"/>
      <c r="C3016" s="3" t="s">
        <v>1861</v>
      </c>
      <c r="D3016" s="3" t="s">
        <v>3047</v>
      </c>
      <c r="E3016" s="1"/>
      <c r="F3016" s="1"/>
      <c r="G3016" s="1"/>
      <c r="H3016" s="1"/>
      <c r="I3016" s="2"/>
      <c r="J3016" s="1"/>
      <c r="K3016" s="1"/>
      <c r="L3016" s="1"/>
      <c r="M3016" s="1"/>
      <c r="N3016" s="1"/>
      <c r="O3016" s="1"/>
      <c r="P3016" s="1"/>
      <c r="Q3016" s="1"/>
      <c r="R3016" s="1"/>
      <c r="S3016" s="1"/>
      <c r="T3016" s="1"/>
      <c r="U3016" s="1"/>
      <c r="V3016" s="1"/>
      <c r="W3016" s="1"/>
      <c r="X3016" s="1"/>
    </row>
    <row x14ac:dyDescent="0.25" r="3017" customHeight="1" ht="18.75">
      <c r="A3017" s="1"/>
      <c r="B3017" s="1"/>
      <c r="C3017" s="3" t="s">
        <v>1861</v>
      </c>
      <c r="D3017" s="3" t="s">
        <v>3048</v>
      </c>
      <c r="E3017" s="1"/>
      <c r="F3017" s="1"/>
      <c r="G3017" s="1"/>
      <c r="H3017" s="1"/>
      <c r="I3017" s="2"/>
      <c r="J3017" s="1"/>
      <c r="K3017" s="1"/>
      <c r="L3017" s="1"/>
      <c r="M3017" s="1"/>
      <c r="N3017" s="1"/>
      <c r="O3017" s="1"/>
      <c r="P3017" s="1"/>
      <c r="Q3017" s="1"/>
      <c r="R3017" s="1"/>
      <c r="S3017" s="1"/>
      <c r="T3017" s="1"/>
      <c r="U3017" s="1"/>
      <c r="V3017" s="1"/>
      <c r="W3017" s="1"/>
      <c r="X3017" s="1"/>
    </row>
    <row x14ac:dyDescent="0.25" r="3018" customHeight="1" ht="18.75">
      <c r="A3018" s="1"/>
      <c r="B3018" s="1"/>
      <c r="C3018" s="3" t="s">
        <v>1861</v>
      </c>
      <c r="D3018" s="3" t="s">
        <v>3049</v>
      </c>
      <c r="E3018" s="1"/>
      <c r="F3018" s="1"/>
      <c r="G3018" s="1"/>
      <c r="H3018" s="1"/>
      <c r="I3018" s="2"/>
      <c r="J3018" s="1"/>
      <c r="K3018" s="1"/>
      <c r="L3018" s="1"/>
      <c r="M3018" s="1"/>
      <c r="N3018" s="1"/>
      <c r="O3018" s="1"/>
      <c r="P3018" s="1"/>
      <c r="Q3018" s="1"/>
      <c r="R3018" s="1"/>
      <c r="S3018" s="1"/>
      <c r="T3018" s="1"/>
      <c r="U3018" s="1"/>
      <c r="V3018" s="1"/>
      <c r="W3018" s="1"/>
      <c r="X3018" s="1"/>
    </row>
    <row x14ac:dyDescent="0.25" r="3019" customHeight="1" ht="18.75">
      <c r="A3019" s="1"/>
      <c r="B3019" s="1"/>
      <c r="C3019" s="3" t="s">
        <v>1861</v>
      </c>
      <c r="D3019" s="3" t="s">
        <v>3050</v>
      </c>
      <c r="E3019" s="1"/>
      <c r="F3019" s="1"/>
      <c r="G3019" s="1"/>
      <c r="H3019" s="1"/>
      <c r="I3019" s="2"/>
      <c r="J3019" s="1"/>
      <c r="K3019" s="1"/>
      <c r="L3019" s="1"/>
      <c r="M3019" s="1"/>
      <c r="N3019" s="1"/>
      <c r="O3019" s="1"/>
      <c r="P3019" s="1"/>
      <c r="Q3019" s="1"/>
      <c r="R3019" s="1"/>
      <c r="S3019" s="1"/>
      <c r="T3019" s="1"/>
      <c r="U3019" s="1"/>
      <c r="V3019" s="1"/>
      <c r="W3019" s="1"/>
      <c r="X3019" s="1"/>
    </row>
    <row x14ac:dyDescent="0.25" r="3020" customHeight="1" ht="18.75">
      <c r="A3020" s="1"/>
      <c r="B3020" s="1"/>
      <c r="C3020" s="3" t="s">
        <v>1861</v>
      </c>
      <c r="D3020" s="3" t="s">
        <v>3051</v>
      </c>
      <c r="E3020" s="1"/>
      <c r="F3020" s="1"/>
      <c r="G3020" s="1"/>
      <c r="H3020" s="1"/>
      <c r="I3020" s="2"/>
      <c r="J3020" s="1"/>
      <c r="K3020" s="1"/>
      <c r="L3020" s="1"/>
      <c r="M3020" s="1"/>
      <c r="N3020" s="1"/>
      <c r="O3020" s="1"/>
      <c r="P3020" s="1"/>
      <c r="Q3020" s="1"/>
      <c r="R3020" s="1"/>
      <c r="S3020" s="1"/>
      <c r="T3020" s="1"/>
      <c r="U3020" s="1"/>
      <c r="V3020" s="1"/>
      <c r="W3020" s="1"/>
      <c r="X3020" s="1"/>
    </row>
    <row x14ac:dyDescent="0.25" r="3021" customHeight="1" ht="18.75">
      <c r="A3021" s="1"/>
      <c r="B3021" s="1"/>
      <c r="C3021" s="3" t="s">
        <v>1861</v>
      </c>
      <c r="D3021" s="3" t="s">
        <v>3052</v>
      </c>
      <c r="E3021" s="1"/>
      <c r="F3021" s="1"/>
      <c r="G3021" s="1"/>
      <c r="H3021" s="1"/>
      <c r="I3021" s="2"/>
      <c r="J3021" s="1"/>
      <c r="K3021" s="1"/>
      <c r="L3021" s="1"/>
      <c r="M3021" s="1"/>
      <c r="N3021" s="1"/>
      <c r="O3021" s="1"/>
      <c r="P3021" s="1"/>
      <c r="Q3021" s="1"/>
      <c r="R3021" s="1"/>
      <c r="S3021" s="1"/>
      <c r="T3021" s="1"/>
      <c r="U3021" s="1"/>
      <c r="V3021" s="1"/>
      <c r="W3021" s="1"/>
      <c r="X3021" s="1"/>
    </row>
    <row x14ac:dyDescent="0.25" r="3022" customHeight="1" ht="18.75">
      <c r="A3022" s="1"/>
      <c r="B3022" s="1"/>
      <c r="C3022" s="3" t="s">
        <v>1861</v>
      </c>
      <c r="D3022" s="3" t="s">
        <v>3053</v>
      </c>
      <c r="E3022" s="1"/>
      <c r="F3022" s="1"/>
      <c r="G3022" s="1"/>
      <c r="H3022" s="1"/>
      <c r="I3022" s="2"/>
      <c r="J3022" s="1"/>
      <c r="K3022" s="1"/>
      <c r="L3022" s="1"/>
      <c r="M3022" s="1"/>
      <c r="N3022" s="1"/>
      <c r="O3022" s="1"/>
      <c r="P3022" s="1"/>
      <c r="Q3022" s="1"/>
      <c r="R3022" s="1"/>
      <c r="S3022" s="1"/>
      <c r="T3022" s="1"/>
      <c r="U3022" s="1"/>
      <c r="V3022" s="1"/>
      <c r="W3022" s="1"/>
      <c r="X3022" s="1"/>
    </row>
    <row x14ac:dyDescent="0.25" r="3023" customHeight="1" ht="18.75">
      <c r="A3023" s="1"/>
      <c r="B3023" s="1"/>
      <c r="C3023" s="3" t="s">
        <v>1861</v>
      </c>
      <c r="D3023" s="3" t="s">
        <v>3054</v>
      </c>
      <c r="E3023" s="1"/>
      <c r="F3023" s="1"/>
      <c r="G3023" s="1"/>
      <c r="H3023" s="1"/>
      <c r="I3023" s="2"/>
      <c r="J3023" s="1"/>
      <c r="K3023" s="1"/>
      <c r="L3023" s="1"/>
      <c r="M3023" s="1"/>
      <c r="N3023" s="1"/>
      <c r="O3023" s="1"/>
      <c r="P3023" s="1"/>
      <c r="Q3023" s="1"/>
      <c r="R3023" s="1"/>
      <c r="S3023" s="1"/>
      <c r="T3023" s="1"/>
      <c r="U3023" s="1"/>
      <c r="V3023" s="1"/>
      <c r="W3023" s="1"/>
      <c r="X3023" s="1"/>
    </row>
    <row x14ac:dyDescent="0.25" r="3024" customHeight="1" ht="18.75">
      <c r="A3024" s="1"/>
      <c r="B3024" s="1"/>
      <c r="C3024" s="3" t="s">
        <v>1861</v>
      </c>
      <c r="D3024" s="3" t="s">
        <v>3055</v>
      </c>
      <c r="E3024" s="1"/>
      <c r="F3024" s="1"/>
      <c r="G3024" s="1"/>
      <c r="H3024" s="1"/>
      <c r="I3024" s="2"/>
      <c r="J3024" s="1"/>
      <c r="K3024" s="1"/>
      <c r="L3024" s="1"/>
      <c r="M3024" s="1"/>
      <c r="N3024" s="1"/>
      <c r="O3024" s="1"/>
      <c r="P3024" s="1"/>
      <c r="Q3024" s="1"/>
      <c r="R3024" s="1"/>
      <c r="S3024" s="1"/>
      <c r="T3024" s="1"/>
      <c r="U3024" s="1"/>
      <c r="V3024" s="1"/>
      <c r="W3024" s="1"/>
      <c r="X3024" s="1"/>
    </row>
    <row x14ac:dyDescent="0.25" r="3025" customHeight="1" ht="18.75">
      <c r="A3025" s="1"/>
      <c r="B3025" s="1"/>
      <c r="C3025" s="3" t="s">
        <v>1861</v>
      </c>
      <c r="D3025" s="3" t="s">
        <v>3056</v>
      </c>
      <c r="E3025" s="1"/>
      <c r="F3025" s="1"/>
      <c r="G3025" s="1"/>
      <c r="H3025" s="1"/>
      <c r="I3025" s="2"/>
      <c r="J3025" s="1"/>
      <c r="K3025" s="1"/>
      <c r="L3025" s="1"/>
      <c r="M3025" s="1"/>
      <c r="N3025" s="1"/>
      <c r="O3025" s="1"/>
      <c r="P3025" s="1"/>
      <c r="Q3025" s="1"/>
      <c r="R3025" s="1"/>
      <c r="S3025" s="1"/>
      <c r="T3025" s="1"/>
      <c r="U3025" s="1"/>
      <c r="V3025" s="1"/>
      <c r="W3025" s="1"/>
      <c r="X3025" s="1"/>
    </row>
    <row x14ac:dyDescent="0.25" r="3026" customHeight="1" ht="18.75">
      <c r="A3026" s="1"/>
      <c r="B3026" s="1"/>
      <c r="C3026" s="3" t="s">
        <v>1861</v>
      </c>
      <c r="D3026" s="3" t="s">
        <v>3057</v>
      </c>
      <c r="E3026" s="1"/>
      <c r="F3026" s="1"/>
      <c r="G3026" s="1"/>
      <c r="H3026" s="1"/>
      <c r="I3026" s="2"/>
      <c r="J3026" s="1"/>
      <c r="K3026" s="1"/>
      <c r="L3026" s="1"/>
      <c r="M3026" s="1"/>
      <c r="N3026" s="1"/>
      <c r="O3026" s="1"/>
      <c r="P3026" s="1"/>
      <c r="Q3026" s="1"/>
      <c r="R3026" s="1"/>
      <c r="S3026" s="1"/>
      <c r="T3026" s="1"/>
      <c r="U3026" s="1"/>
      <c r="V3026" s="1"/>
      <c r="W3026" s="1"/>
      <c r="X3026" s="1"/>
    </row>
    <row x14ac:dyDescent="0.25" r="3027" customHeight="1" ht="18.75">
      <c r="A3027" s="1"/>
      <c r="B3027" s="1"/>
      <c r="C3027" s="3" t="s">
        <v>1861</v>
      </c>
      <c r="D3027" s="3" t="s">
        <v>3058</v>
      </c>
      <c r="E3027" s="1"/>
      <c r="F3027" s="1"/>
      <c r="G3027" s="1"/>
      <c r="H3027" s="1"/>
      <c r="I3027" s="2"/>
      <c r="J3027" s="1"/>
      <c r="K3027" s="1"/>
      <c r="L3027" s="1"/>
      <c r="M3027" s="1"/>
      <c r="N3027" s="1"/>
      <c r="O3027" s="1"/>
      <c r="P3027" s="1"/>
      <c r="Q3027" s="1"/>
      <c r="R3027" s="1"/>
      <c r="S3027" s="1"/>
      <c r="T3027" s="1"/>
      <c r="U3027" s="1"/>
      <c r="V3027" s="1"/>
      <c r="W3027" s="1"/>
      <c r="X3027" s="1"/>
    </row>
    <row x14ac:dyDescent="0.25" r="3028" customHeight="1" ht="18.75">
      <c r="A3028" s="1"/>
      <c r="B3028" s="1"/>
      <c r="C3028" s="3" t="s">
        <v>1861</v>
      </c>
      <c r="D3028" s="3" t="s">
        <v>3059</v>
      </c>
      <c r="E3028" s="1"/>
      <c r="F3028" s="1"/>
      <c r="G3028" s="1"/>
      <c r="H3028" s="1"/>
      <c r="I3028" s="2"/>
      <c r="J3028" s="1"/>
      <c r="K3028" s="1"/>
      <c r="L3028" s="1"/>
      <c r="M3028" s="1"/>
      <c r="N3028" s="1"/>
      <c r="O3028" s="1"/>
      <c r="P3028" s="1"/>
      <c r="Q3028" s="1"/>
      <c r="R3028" s="1"/>
      <c r="S3028" s="1"/>
      <c r="T3028" s="1"/>
      <c r="U3028" s="1"/>
      <c r="V3028" s="1"/>
      <c r="W3028" s="1"/>
      <c r="X3028" s="1"/>
    </row>
    <row x14ac:dyDescent="0.25" r="3029" customHeight="1" ht="18.75">
      <c r="A3029" s="1"/>
      <c r="B3029" s="1"/>
      <c r="C3029" s="3" t="s">
        <v>1861</v>
      </c>
      <c r="D3029" s="3" t="s">
        <v>3060</v>
      </c>
      <c r="E3029" s="1"/>
      <c r="F3029" s="1"/>
      <c r="G3029" s="1"/>
      <c r="H3029" s="1"/>
      <c r="I3029" s="2"/>
      <c r="J3029" s="1"/>
      <c r="K3029" s="1"/>
      <c r="L3029" s="1"/>
      <c r="M3029" s="1"/>
      <c r="N3029" s="1"/>
      <c r="O3029" s="1"/>
      <c r="P3029" s="1"/>
      <c r="Q3029" s="1"/>
      <c r="R3029" s="1"/>
      <c r="S3029" s="1"/>
      <c r="T3029" s="1"/>
      <c r="U3029" s="1"/>
      <c r="V3029" s="1"/>
      <c r="W3029" s="1"/>
      <c r="X3029" s="1"/>
    </row>
    <row x14ac:dyDescent="0.25" r="3030" customHeight="1" ht="18.75">
      <c r="A3030" s="1"/>
      <c r="B3030" s="1"/>
      <c r="C3030" s="3" t="s">
        <v>1861</v>
      </c>
      <c r="D3030" s="3" t="s">
        <v>3061</v>
      </c>
      <c r="E3030" s="1"/>
      <c r="F3030" s="1"/>
      <c r="G3030" s="1"/>
      <c r="H3030" s="1"/>
      <c r="I3030" s="2"/>
      <c r="J3030" s="1"/>
      <c r="K3030" s="1"/>
      <c r="L3030" s="1"/>
      <c r="M3030" s="1"/>
      <c r="N3030" s="1"/>
      <c r="O3030" s="1"/>
      <c r="P3030" s="1"/>
      <c r="Q3030" s="1"/>
      <c r="R3030" s="1"/>
      <c r="S3030" s="1"/>
      <c r="T3030" s="1"/>
      <c r="U3030" s="1"/>
      <c r="V3030" s="1"/>
      <c r="W3030" s="1"/>
      <c r="X3030" s="1"/>
    </row>
    <row x14ac:dyDescent="0.25" r="3031" customHeight="1" ht="18.75">
      <c r="A3031" s="1"/>
      <c r="B3031" s="1"/>
      <c r="C3031" s="3" t="s">
        <v>1861</v>
      </c>
      <c r="D3031" s="3" t="s">
        <v>3062</v>
      </c>
      <c r="E3031" s="1"/>
      <c r="F3031" s="1"/>
      <c r="G3031" s="1"/>
      <c r="H3031" s="1"/>
      <c r="I3031" s="2"/>
      <c r="J3031" s="1"/>
      <c r="K3031" s="1"/>
      <c r="L3031" s="1"/>
      <c r="M3031" s="1"/>
      <c r="N3031" s="1"/>
      <c r="O3031" s="1"/>
      <c r="P3031" s="1"/>
      <c r="Q3031" s="1"/>
      <c r="R3031" s="1"/>
      <c r="S3031" s="1"/>
      <c r="T3031" s="1"/>
      <c r="U3031" s="1"/>
      <c r="V3031" s="1"/>
      <c r="W3031" s="1"/>
      <c r="X3031" s="1"/>
    </row>
    <row x14ac:dyDescent="0.25" r="3032" customHeight="1" ht="18.75">
      <c r="A3032" s="1"/>
      <c r="B3032" s="1"/>
      <c r="C3032" s="3" t="s">
        <v>1861</v>
      </c>
      <c r="D3032" s="3" t="s">
        <v>3063</v>
      </c>
      <c r="E3032" s="1"/>
      <c r="F3032" s="1"/>
      <c r="G3032" s="1"/>
      <c r="H3032" s="1"/>
      <c r="I3032" s="2"/>
      <c r="J3032" s="1"/>
      <c r="K3032" s="1"/>
      <c r="L3032" s="1"/>
      <c r="M3032" s="1"/>
      <c r="N3032" s="1"/>
      <c r="O3032" s="1"/>
      <c r="P3032" s="1"/>
      <c r="Q3032" s="1"/>
      <c r="R3032" s="1"/>
      <c r="S3032" s="1"/>
      <c r="T3032" s="1"/>
      <c r="U3032" s="1"/>
      <c r="V3032" s="1"/>
      <c r="W3032" s="1"/>
      <c r="X3032" s="1"/>
    </row>
    <row x14ac:dyDescent="0.25" r="3033" customHeight="1" ht="18.75">
      <c r="A3033" s="1"/>
      <c r="B3033" s="1"/>
      <c r="C3033" s="3" t="s">
        <v>1861</v>
      </c>
      <c r="D3033" s="3" t="s">
        <v>3064</v>
      </c>
      <c r="E3033" s="1"/>
      <c r="F3033" s="1"/>
      <c r="G3033" s="1"/>
      <c r="H3033" s="1"/>
      <c r="I3033" s="2"/>
      <c r="J3033" s="1"/>
      <c r="K3033" s="1"/>
      <c r="L3033" s="1"/>
      <c r="M3033" s="1"/>
      <c r="N3033" s="1"/>
      <c r="O3033" s="1"/>
      <c r="P3033" s="1"/>
      <c r="Q3033" s="1"/>
      <c r="R3033" s="1"/>
      <c r="S3033" s="1"/>
      <c r="T3033" s="1"/>
      <c r="U3033" s="1"/>
      <c r="V3033" s="1"/>
      <c r="W3033" s="1"/>
      <c r="X3033" s="1"/>
    </row>
    <row x14ac:dyDescent="0.25" r="3034" customHeight="1" ht="18.75">
      <c r="A3034" s="1"/>
      <c r="B3034" s="1"/>
      <c r="C3034" s="3" t="s">
        <v>1861</v>
      </c>
      <c r="D3034" s="3" t="s">
        <v>3065</v>
      </c>
      <c r="E3034" s="1"/>
      <c r="F3034" s="1"/>
      <c r="G3034" s="1"/>
      <c r="H3034" s="1"/>
      <c r="I3034" s="2"/>
      <c r="J3034" s="1"/>
      <c r="K3034" s="1"/>
      <c r="L3034" s="1"/>
      <c r="M3034" s="1"/>
      <c r="N3034" s="1"/>
      <c r="O3034" s="1"/>
      <c r="P3034" s="1"/>
      <c r="Q3034" s="1"/>
      <c r="R3034" s="1"/>
      <c r="S3034" s="1"/>
      <c r="T3034" s="1"/>
      <c r="U3034" s="1"/>
      <c r="V3034" s="1"/>
      <c r="W3034" s="1"/>
      <c r="X3034" s="1"/>
    </row>
    <row x14ac:dyDescent="0.25" r="3035" customHeight="1" ht="18.75">
      <c r="A3035" s="1"/>
      <c r="B3035" s="1"/>
      <c r="C3035" s="3" t="s">
        <v>1861</v>
      </c>
      <c r="D3035" s="3" t="s">
        <v>3066</v>
      </c>
      <c r="E3035" s="1"/>
      <c r="F3035" s="1"/>
      <c r="G3035" s="1"/>
      <c r="H3035" s="1"/>
      <c r="I3035" s="2"/>
      <c r="J3035" s="1"/>
      <c r="K3035" s="1"/>
      <c r="L3035" s="1"/>
      <c r="M3035" s="1"/>
      <c r="N3035" s="1"/>
      <c r="O3035" s="1"/>
      <c r="P3035" s="1"/>
      <c r="Q3035" s="1"/>
      <c r="R3035" s="1"/>
      <c r="S3035" s="1"/>
      <c r="T3035" s="1"/>
      <c r="U3035" s="1"/>
      <c r="V3035" s="1"/>
      <c r="W3035" s="1"/>
      <c r="X3035" s="1"/>
    </row>
    <row x14ac:dyDescent="0.25" r="3036" customHeight="1" ht="18.75">
      <c r="A3036" s="1"/>
      <c r="B3036" s="1"/>
      <c r="C3036" s="3" t="s">
        <v>1861</v>
      </c>
      <c r="D3036" s="3" t="s">
        <v>3067</v>
      </c>
      <c r="E3036" s="1"/>
      <c r="F3036" s="1"/>
      <c r="G3036" s="1"/>
      <c r="H3036" s="1"/>
      <c r="I3036" s="2"/>
      <c r="J3036" s="1"/>
      <c r="K3036" s="1"/>
      <c r="L3036" s="1"/>
      <c r="M3036" s="1"/>
      <c r="N3036" s="1"/>
      <c r="O3036" s="1"/>
      <c r="P3036" s="1"/>
      <c r="Q3036" s="1"/>
      <c r="R3036" s="1"/>
      <c r="S3036" s="1"/>
      <c r="T3036" s="1"/>
      <c r="U3036" s="1"/>
      <c r="V3036" s="1"/>
      <c r="W3036" s="1"/>
      <c r="X3036" s="1"/>
    </row>
    <row x14ac:dyDescent="0.25" r="3037" customHeight="1" ht="18.75">
      <c r="A3037" s="1"/>
      <c r="B3037" s="1"/>
      <c r="C3037" s="3" t="s">
        <v>1861</v>
      </c>
      <c r="D3037" s="3" t="s">
        <v>3068</v>
      </c>
      <c r="E3037" s="1"/>
      <c r="F3037" s="1"/>
      <c r="G3037" s="1"/>
      <c r="H3037" s="1"/>
      <c r="I3037" s="2"/>
      <c r="J3037" s="1"/>
      <c r="K3037" s="1"/>
      <c r="L3037" s="1"/>
      <c r="M3037" s="1"/>
      <c r="N3037" s="1"/>
      <c r="O3037" s="1"/>
      <c r="P3037" s="1"/>
      <c r="Q3037" s="1"/>
      <c r="R3037" s="1"/>
      <c r="S3037" s="1"/>
      <c r="T3037" s="1"/>
      <c r="U3037" s="1"/>
      <c r="V3037" s="1"/>
      <c r="W3037" s="1"/>
      <c r="X3037" s="1"/>
    </row>
    <row x14ac:dyDescent="0.25" r="3038" customHeight="1" ht="18.75">
      <c r="A3038" s="1"/>
      <c r="B3038" s="1"/>
      <c r="C3038" s="3" t="s">
        <v>1861</v>
      </c>
      <c r="D3038" s="3" t="s">
        <v>3069</v>
      </c>
      <c r="E3038" s="1"/>
      <c r="F3038" s="1"/>
      <c r="G3038" s="1"/>
      <c r="H3038" s="1"/>
      <c r="I3038" s="2"/>
      <c r="J3038" s="1"/>
      <c r="K3038" s="1"/>
      <c r="L3038" s="1"/>
      <c r="M3038" s="1"/>
      <c r="N3038" s="1"/>
      <c r="O3038" s="1"/>
      <c r="P3038" s="1"/>
      <c r="Q3038" s="1"/>
      <c r="R3038" s="1"/>
      <c r="S3038" s="1"/>
      <c r="T3038" s="1"/>
      <c r="U3038" s="1"/>
      <c r="V3038" s="1"/>
      <c r="W3038" s="1"/>
      <c r="X3038" s="1"/>
    </row>
    <row x14ac:dyDescent="0.25" r="3039" customHeight="1" ht="18.75">
      <c r="A3039" s="1"/>
      <c r="B3039" s="1"/>
      <c r="C3039" s="3" t="s">
        <v>1861</v>
      </c>
      <c r="D3039" s="3" t="s">
        <v>3070</v>
      </c>
      <c r="E3039" s="1"/>
      <c r="F3039" s="1"/>
      <c r="G3039" s="1"/>
      <c r="H3039" s="1"/>
      <c r="I3039" s="2"/>
      <c r="J3039" s="1"/>
      <c r="K3039" s="1"/>
      <c r="L3039" s="1"/>
      <c r="M3039" s="1"/>
      <c r="N3039" s="1"/>
      <c r="O3039" s="1"/>
      <c r="P3039" s="1"/>
      <c r="Q3039" s="1"/>
      <c r="R3039" s="1"/>
      <c r="S3039" s="1"/>
      <c r="T3039" s="1"/>
      <c r="U3039" s="1"/>
      <c r="V3039" s="1"/>
      <c r="W3039" s="1"/>
      <c r="X3039" s="1"/>
    </row>
    <row x14ac:dyDescent="0.25" r="3040" customHeight="1" ht="18.75">
      <c r="A3040" s="1"/>
      <c r="B3040" s="1"/>
      <c r="C3040" s="3" t="s">
        <v>1861</v>
      </c>
      <c r="D3040" s="3" t="s">
        <v>3071</v>
      </c>
      <c r="E3040" s="1"/>
      <c r="F3040" s="1"/>
      <c r="G3040" s="1"/>
      <c r="H3040" s="1"/>
      <c r="I3040" s="2"/>
      <c r="J3040" s="1"/>
      <c r="K3040" s="1"/>
      <c r="L3040" s="1"/>
      <c r="M3040" s="1"/>
      <c r="N3040" s="1"/>
      <c r="O3040" s="1"/>
      <c r="P3040" s="1"/>
      <c r="Q3040" s="1"/>
      <c r="R3040" s="1"/>
      <c r="S3040" s="1"/>
      <c r="T3040" s="1"/>
      <c r="U3040" s="1"/>
      <c r="V3040" s="1"/>
      <c r="W3040" s="1"/>
      <c r="X3040" s="1"/>
    </row>
    <row x14ac:dyDescent="0.25" r="3041" customHeight="1" ht="18.75">
      <c r="A3041" s="1"/>
      <c r="B3041" s="1"/>
      <c r="C3041" s="3" t="s">
        <v>1861</v>
      </c>
      <c r="D3041" s="3" t="s">
        <v>3072</v>
      </c>
      <c r="E3041" s="1"/>
      <c r="F3041" s="1"/>
      <c r="G3041" s="1"/>
      <c r="H3041" s="1"/>
      <c r="I3041" s="2"/>
      <c r="J3041" s="1"/>
      <c r="K3041" s="1"/>
      <c r="L3041" s="1"/>
      <c r="M3041" s="1"/>
      <c r="N3041" s="1"/>
      <c r="O3041" s="1"/>
      <c r="P3041" s="1"/>
      <c r="Q3041" s="1"/>
      <c r="R3041" s="1"/>
      <c r="S3041" s="1"/>
      <c r="T3041" s="1"/>
      <c r="U3041" s="1"/>
      <c r="V3041" s="1"/>
      <c r="W3041" s="1"/>
      <c r="X3041" s="1"/>
    </row>
    <row x14ac:dyDescent="0.25" r="3042" customHeight="1" ht="18.75">
      <c r="A3042" s="1"/>
      <c r="B3042" s="1"/>
      <c r="C3042" s="3" t="s">
        <v>1861</v>
      </c>
      <c r="D3042" s="3" t="s">
        <v>3073</v>
      </c>
      <c r="E3042" s="1"/>
      <c r="F3042" s="1"/>
      <c r="G3042" s="1"/>
      <c r="H3042" s="1"/>
      <c r="I3042" s="2"/>
      <c r="J3042" s="1"/>
      <c r="K3042" s="1"/>
      <c r="L3042" s="1"/>
      <c r="M3042" s="1"/>
      <c r="N3042" s="1"/>
      <c r="O3042" s="1"/>
      <c r="P3042" s="1"/>
      <c r="Q3042" s="1"/>
      <c r="R3042" s="1"/>
      <c r="S3042" s="1"/>
      <c r="T3042" s="1"/>
      <c r="U3042" s="1"/>
      <c r="V3042" s="1"/>
      <c r="W3042" s="1"/>
      <c r="X3042" s="1"/>
    </row>
    <row x14ac:dyDescent="0.25" r="3043" customHeight="1" ht="18.75">
      <c r="A3043" s="1"/>
      <c r="B3043" s="1"/>
      <c r="C3043" s="3" t="s">
        <v>1861</v>
      </c>
      <c r="D3043" s="3" t="s">
        <v>3074</v>
      </c>
      <c r="E3043" s="1"/>
      <c r="F3043" s="1"/>
      <c r="G3043" s="1"/>
      <c r="H3043" s="1"/>
      <c r="I3043" s="2"/>
      <c r="J3043" s="1"/>
      <c r="K3043" s="1"/>
      <c r="L3043" s="1"/>
      <c r="M3043" s="1"/>
      <c r="N3043" s="1"/>
      <c r="O3043" s="1"/>
      <c r="P3043" s="1"/>
      <c r="Q3043" s="1"/>
      <c r="R3043" s="1"/>
      <c r="S3043" s="1"/>
      <c r="T3043" s="1"/>
      <c r="U3043" s="1"/>
      <c r="V3043" s="1"/>
      <c r="W3043" s="1"/>
      <c r="X3043" s="1"/>
    </row>
    <row x14ac:dyDescent="0.25" r="3044" customHeight="1" ht="18.75">
      <c r="A3044" s="1"/>
      <c r="B3044" s="1"/>
      <c r="C3044" s="3" t="s">
        <v>1861</v>
      </c>
      <c r="D3044" s="3" t="s">
        <v>3075</v>
      </c>
      <c r="E3044" s="1"/>
      <c r="F3044" s="1"/>
      <c r="G3044" s="1"/>
      <c r="H3044" s="1"/>
      <c r="I3044" s="2"/>
      <c r="J3044" s="1"/>
      <c r="K3044" s="1"/>
      <c r="L3044" s="1"/>
      <c r="M3044" s="1"/>
      <c r="N3044" s="1"/>
      <c r="O3044" s="1"/>
      <c r="P3044" s="1"/>
      <c r="Q3044" s="1"/>
      <c r="R3044" s="1"/>
      <c r="S3044" s="1"/>
      <c r="T3044" s="1"/>
      <c r="U3044" s="1"/>
      <c r="V3044" s="1"/>
      <c r="W3044" s="1"/>
      <c r="X3044" s="1"/>
    </row>
    <row x14ac:dyDescent="0.25" r="3045" customHeight="1" ht="18.75">
      <c r="A3045" s="1"/>
      <c r="B3045" s="1"/>
      <c r="C3045" s="3" t="s">
        <v>1861</v>
      </c>
      <c r="D3045" s="3" t="s">
        <v>3076</v>
      </c>
      <c r="E3045" s="1"/>
      <c r="F3045" s="1"/>
      <c r="G3045" s="1"/>
      <c r="H3045" s="1"/>
      <c r="I3045" s="2"/>
      <c r="J3045" s="1"/>
      <c r="K3045" s="1"/>
      <c r="L3045" s="1"/>
      <c r="M3045" s="1"/>
      <c r="N3045" s="1"/>
      <c r="O3045" s="1"/>
      <c r="P3045" s="1"/>
      <c r="Q3045" s="1"/>
      <c r="R3045" s="1"/>
      <c r="S3045" s="1"/>
      <c r="T3045" s="1"/>
      <c r="U3045" s="1"/>
      <c r="V3045" s="1"/>
      <c r="W3045" s="1"/>
      <c r="X3045" s="1"/>
    </row>
    <row x14ac:dyDescent="0.25" r="3046" customHeight="1" ht="18.75">
      <c r="A3046" s="1"/>
      <c r="B3046" s="1"/>
      <c r="C3046" s="3" t="s">
        <v>1861</v>
      </c>
      <c r="D3046" s="3" t="s">
        <v>3077</v>
      </c>
      <c r="E3046" s="1"/>
      <c r="F3046" s="1"/>
      <c r="G3046" s="1"/>
      <c r="H3046" s="1"/>
      <c r="I3046" s="2"/>
      <c r="J3046" s="1"/>
      <c r="K3046" s="1"/>
      <c r="L3046" s="1"/>
      <c r="M3046" s="1"/>
      <c r="N3046" s="1"/>
      <c r="O3046" s="1"/>
      <c r="P3046" s="1"/>
      <c r="Q3046" s="1"/>
      <c r="R3046" s="1"/>
      <c r="S3046" s="1"/>
      <c r="T3046" s="1"/>
      <c r="U3046" s="1"/>
      <c r="V3046" s="1"/>
      <c r="W3046" s="1"/>
      <c r="X3046" s="1"/>
    </row>
    <row x14ac:dyDescent="0.25" r="3047" customHeight="1" ht="18.75">
      <c r="A3047" s="1"/>
      <c r="B3047" s="1"/>
      <c r="C3047" s="3" t="s">
        <v>1861</v>
      </c>
      <c r="D3047" s="3" t="s">
        <v>3078</v>
      </c>
      <c r="E3047" s="1"/>
      <c r="F3047" s="1"/>
      <c r="G3047" s="1"/>
      <c r="H3047" s="1"/>
      <c r="I3047" s="2"/>
      <c r="J3047" s="1"/>
      <c r="K3047" s="1"/>
      <c r="L3047" s="1"/>
      <c r="M3047" s="1"/>
      <c r="N3047" s="1"/>
      <c r="O3047" s="1"/>
      <c r="P3047" s="1"/>
      <c r="Q3047" s="1"/>
      <c r="R3047" s="1"/>
      <c r="S3047" s="1"/>
      <c r="T3047" s="1"/>
      <c r="U3047" s="1"/>
      <c r="V3047" s="1"/>
      <c r="W3047" s="1"/>
      <c r="X3047" s="1"/>
    </row>
    <row x14ac:dyDescent="0.25" r="3048" customHeight="1" ht="18.75">
      <c r="A3048" s="1"/>
      <c r="B3048" s="1"/>
      <c r="C3048" s="3" t="s">
        <v>1861</v>
      </c>
      <c r="D3048" s="3" t="s">
        <v>3079</v>
      </c>
      <c r="E3048" s="1"/>
      <c r="F3048" s="1"/>
      <c r="G3048" s="1"/>
      <c r="H3048" s="1"/>
      <c r="I3048" s="2"/>
      <c r="J3048" s="1"/>
      <c r="K3048" s="1"/>
      <c r="L3048" s="1"/>
      <c r="M3048" s="1"/>
      <c r="N3048" s="1"/>
      <c r="O3048" s="1"/>
      <c r="P3048" s="1"/>
      <c r="Q3048" s="1"/>
      <c r="R3048" s="1"/>
      <c r="S3048" s="1"/>
      <c r="T3048" s="1"/>
      <c r="U3048" s="1"/>
      <c r="V3048" s="1"/>
      <c r="W3048" s="1"/>
      <c r="X3048" s="1"/>
    </row>
    <row x14ac:dyDescent="0.25" r="3049" customHeight="1" ht="18.75">
      <c r="A3049" s="1"/>
      <c r="B3049" s="1"/>
      <c r="C3049" s="3" t="s">
        <v>1861</v>
      </c>
      <c r="D3049" s="3" t="s">
        <v>3080</v>
      </c>
      <c r="E3049" s="1"/>
      <c r="F3049" s="1"/>
      <c r="G3049" s="1"/>
      <c r="H3049" s="1"/>
      <c r="I3049" s="2"/>
      <c r="J3049" s="1"/>
      <c r="K3049" s="1"/>
      <c r="L3049" s="1"/>
      <c r="M3049" s="1"/>
      <c r="N3049" s="1"/>
      <c r="O3049" s="1"/>
      <c r="P3049" s="1"/>
      <c r="Q3049" s="1"/>
      <c r="R3049" s="1"/>
      <c r="S3049" s="1"/>
      <c r="T3049" s="1"/>
      <c r="U3049" s="1"/>
      <c r="V3049" s="1"/>
      <c r="W3049" s="1"/>
      <c r="X3049" s="1"/>
    </row>
    <row x14ac:dyDescent="0.25" r="3050" customHeight="1" ht="18.75">
      <c r="A3050" s="1"/>
      <c r="B3050" s="1"/>
      <c r="C3050" s="3" t="s">
        <v>1861</v>
      </c>
      <c r="D3050" s="3" t="s">
        <v>3081</v>
      </c>
      <c r="E3050" s="1"/>
      <c r="F3050" s="1"/>
      <c r="G3050" s="1"/>
      <c r="H3050" s="1"/>
      <c r="I3050" s="2"/>
      <c r="J3050" s="1"/>
      <c r="K3050" s="1"/>
      <c r="L3050" s="1"/>
      <c r="M3050" s="1"/>
      <c r="N3050" s="1"/>
      <c r="O3050" s="1"/>
      <c r="P3050" s="1"/>
      <c r="Q3050" s="1"/>
      <c r="R3050" s="1"/>
      <c r="S3050" s="1"/>
      <c r="T3050" s="1"/>
      <c r="U3050" s="1"/>
      <c r="V3050" s="1"/>
      <c r="W3050" s="1"/>
      <c r="X3050" s="1"/>
    </row>
    <row x14ac:dyDescent="0.25" r="3051" customHeight="1" ht="18.75">
      <c r="A3051" s="1"/>
      <c r="B3051" s="1"/>
      <c r="C3051" s="3" t="s">
        <v>1861</v>
      </c>
      <c r="D3051" s="3" t="s">
        <v>3082</v>
      </c>
      <c r="E3051" s="1"/>
      <c r="F3051" s="1"/>
      <c r="G3051" s="1"/>
      <c r="H3051" s="1"/>
      <c r="I3051" s="2"/>
      <c r="J3051" s="1"/>
      <c r="K3051" s="1"/>
      <c r="L3051" s="1"/>
      <c r="M3051" s="1"/>
      <c r="N3051" s="1"/>
      <c r="O3051" s="1"/>
      <c r="P3051" s="1"/>
      <c r="Q3051" s="1"/>
      <c r="R3051" s="1"/>
      <c r="S3051" s="1"/>
      <c r="T3051" s="1"/>
      <c r="U3051" s="1"/>
      <c r="V3051" s="1"/>
      <c r="W3051" s="1"/>
      <c r="X3051" s="1"/>
    </row>
    <row x14ac:dyDescent="0.25" r="3052" customHeight="1" ht="18.75">
      <c r="A3052" s="1"/>
      <c r="B3052" s="1"/>
      <c r="C3052" s="3" t="s">
        <v>1861</v>
      </c>
      <c r="D3052" s="3" t="s">
        <v>3083</v>
      </c>
      <c r="E3052" s="1"/>
      <c r="F3052" s="1"/>
      <c r="G3052" s="1"/>
      <c r="H3052" s="1"/>
      <c r="I3052" s="2"/>
      <c r="J3052" s="1"/>
      <c r="K3052" s="1"/>
      <c r="L3052" s="1"/>
      <c r="M3052" s="1"/>
      <c r="N3052" s="1"/>
      <c r="O3052" s="1"/>
      <c r="P3052" s="1"/>
      <c r="Q3052" s="1"/>
      <c r="R3052" s="1"/>
      <c r="S3052" s="1"/>
      <c r="T3052" s="1"/>
      <c r="U3052" s="1"/>
      <c r="V3052" s="1"/>
      <c r="W3052" s="1"/>
      <c r="X3052" s="1"/>
    </row>
    <row x14ac:dyDescent="0.25" r="3053" customHeight="1" ht="18.75">
      <c r="A3053" s="1"/>
      <c r="B3053" s="1"/>
      <c r="C3053" s="3" t="s">
        <v>1861</v>
      </c>
      <c r="D3053" s="3" t="s">
        <v>3084</v>
      </c>
      <c r="E3053" s="1"/>
      <c r="F3053" s="1"/>
      <c r="G3053" s="1"/>
      <c r="H3053" s="1"/>
      <c r="I3053" s="2"/>
      <c r="J3053" s="1"/>
      <c r="K3053" s="1"/>
      <c r="L3053" s="1"/>
      <c r="M3053" s="1"/>
      <c r="N3053" s="1"/>
      <c r="O3053" s="1"/>
      <c r="P3053" s="1"/>
      <c r="Q3053" s="1"/>
      <c r="R3053" s="1"/>
      <c r="S3053" s="1"/>
      <c r="T3053" s="1"/>
      <c r="U3053" s="1"/>
      <c r="V3053" s="1"/>
      <c r="W3053" s="1"/>
      <c r="X3053" s="1"/>
    </row>
    <row x14ac:dyDescent="0.25" r="3054" customHeight="1" ht="18.75">
      <c r="A3054" s="1"/>
      <c r="B3054" s="1"/>
      <c r="C3054" s="3" t="s">
        <v>1861</v>
      </c>
      <c r="D3054" s="3" t="s">
        <v>3085</v>
      </c>
      <c r="E3054" s="1"/>
      <c r="F3054" s="1"/>
      <c r="G3054" s="1"/>
      <c r="H3054" s="1"/>
      <c r="I3054" s="2"/>
      <c r="J3054" s="1"/>
      <c r="K3054" s="1"/>
      <c r="L3054" s="1"/>
      <c r="M3054" s="1"/>
      <c r="N3054" s="1"/>
      <c r="O3054" s="1"/>
      <c r="P3054" s="1"/>
      <c r="Q3054" s="1"/>
      <c r="R3054" s="1"/>
      <c r="S3054" s="1"/>
      <c r="T3054" s="1"/>
      <c r="U3054" s="1"/>
      <c r="V3054" s="1"/>
      <c r="W3054" s="1"/>
      <c r="X3054" s="1"/>
    </row>
    <row x14ac:dyDescent="0.25" r="3055" customHeight="1" ht="18.75">
      <c r="A3055" s="1"/>
      <c r="B3055" s="1"/>
      <c r="C3055" s="3" t="s">
        <v>1861</v>
      </c>
      <c r="D3055" s="3" t="s">
        <v>3086</v>
      </c>
      <c r="E3055" s="1"/>
      <c r="F3055" s="1"/>
      <c r="G3055" s="1"/>
      <c r="H3055" s="1"/>
      <c r="I3055" s="2"/>
      <c r="J3055" s="1"/>
      <c r="K3055" s="1"/>
      <c r="L3055" s="1"/>
      <c r="M3055" s="1"/>
      <c r="N3055" s="1"/>
      <c r="O3055" s="1"/>
      <c r="P3055" s="1"/>
      <c r="Q3055" s="1"/>
      <c r="R3055" s="1"/>
      <c r="S3055" s="1"/>
      <c r="T3055" s="1"/>
      <c r="U3055" s="1"/>
      <c r="V3055" s="1"/>
      <c r="W3055" s="1"/>
      <c r="X3055" s="1"/>
    </row>
    <row x14ac:dyDescent="0.25" r="3056" customHeight="1" ht="18.75">
      <c r="A3056" s="1"/>
      <c r="B3056" s="1"/>
      <c r="C3056" s="3" t="s">
        <v>1861</v>
      </c>
      <c r="D3056" s="3" t="s">
        <v>3087</v>
      </c>
      <c r="E3056" s="1"/>
      <c r="F3056" s="1"/>
      <c r="G3056" s="1"/>
      <c r="H3056" s="1"/>
      <c r="I3056" s="2"/>
      <c r="J3056" s="1"/>
      <c r="K3056" s="1"/>
      <c r="L3056" s="1"/>
      <c r="M3056" s="1"/>
      <c r="N3056" s="1"/>
      <c r="O3056" s="1"/>
      <c r="P3056" s="1"/>
      <c r="Q3056" s="1"/>
      <c r="R3056" s="1"/>
      <c r="S3056" s="1"/>
      <c r="T3056" s="1"/>
      <c r="U3056" s="1"/>
      <c r="V3056" s="1"/>
      <c r="W3056" s="1"/>
      <c r="X3056" s="1"/>
    </row>
    <row x14ac:dyDescent="0.25" r="3057" customHeight="1" ht="18.75">
      <c r="A3057" s="1"/>
      <c r="B3057" s="1"/>
      <c r="C3057" s="3" t="s">
        <v>1861</v>
      </c>
      <c r="D3057" s="3" t="s">
        <v>3088</v>
      </c>
      <c r="E3057" s="1"/>
      <c r="F3057" s="1"/>
      <c r="G3057" s="1"/>
      <c r="H3057" s="1"/>
      <c r="I3057" s="2"/>
      <c r="J3057" s="1"/>
      <c r="K3057" s="1"/>
      <c r="L3057" s="1"/>
      <c r="M3057" s="1"/>
      <c r="N3057" s="1"/>
      <c r="O3057" s="1"/>
      <c r="P3057" s="1"/>
      <c r="Q3057" s="1"/>
      <c r="R3057" s="1"/>
      <c r="S3057" s="1"/>
      <c r="T3057" s="1"/>
      <c r="U3057" s="1"/>
      <c r="V3057" s="1"/>
      <c r="W3057" s="1"/>
      <c r="X3057" s="1"/>
    </row>
    <row x14ac:dyDescent="0.25" r="3058" customHeight="1" ht="18.75">
      <c r="A3058" s="1"/>
      <c r="B3058" s="1"/>
      <c r="C3058" s="3" t="s">
        <v>1861</v>
      </c>
      <c r="D3058" s="3" t="s">
        <v>3089</v>
      </c>
      <c r="E3058" s="1"/>
      <c r="F3058" s="1"/>
      <c r="G3058" s="1"/>
      <c r="H3058" s="1"/>
      <c r="I3058" s="2"/>
      <c r="J3058" s="1"/>
      <c r="K3058" s="1"/>
      <c r="L3058" s="1"/>
      <c r="M3058" s="1"/>
      <c r="N3058" s="1"/>
      <c r="O3058" s="1"/>
      <c r="P3058" s="1"/>
      <c r="Q3058" s="1"/>
      <c r="R3058" s="1"/>
      <c r="S3058" s="1"/>
      <c r="T3058" s="1"/>
      <c r="U3058" s="1"/>
      <c r="V3058" s="1"/>
      <c r="W3058" s="1"/>
      <c r="X3058" s="1"/>
    </row>
    <row x14ac:dyDescent="0.25" r="3059" customHeight="1" ht="18.75">
      <c r="A3059" s="1"/>
      <c r="B3059" s="1"/>
      <c r="C3059" s="3" t="s">
        <v>1861</v>
      </c>
      <c r="D3059" s="3" t="s">
        <v>3090</v>
      </c>
      <c r="E3059" s="1"/>
      <c r="F3059" s="1"/>
      <c r="G3059" s="1"/>
      <c r="H3059" s="1"/>
      <c r="I3059" s="2"/>
      <c r="J3059" s="1"/>
      <c r="K3059" s="1"/>
      <c r="L3059" s="1"/>
      <c r="M3059" s="1"/>
      <c r="N3059" s="1"/>
      <c r="O3059" s="1"/>
      <c r="P3059" s="1"/>
      <c r="Q3059" s="1"/>
      <c r="R3059" s="1"/>
      <c r="S3059" s="1"/>
      <c r="T3059" s="1"/>
      <c r="U3059" s="1"/>
      <c r="V3059" s="1"/>
      <c r="W3059" s="1"/>
      <c r="X3059" s="1"/>
    </row>
    <row x14ac:dyDescent="0.25" r="3060" customHeight="1" ht="18.75">
      <c r="A3060" s="1"/>
      <c r="B3060" s="1"/>
      <c r="C3060" s="3" t="s">
        <v>1861</v>
      </c>
      <c r="D3060" s="3" t="s">
        <v>3091</v>
      </c>
      <c r="E3060" s="1"/>
      <c r="F3060" s="1"/>
      <c r="G3060" s="1"/>
      <c r="H3060" s="1"/>
      <c r="I3060" s="2"/>
      <c r="J3060" s="1"/>
      <c r="K3060" s="1"/>
      <c r="L3060" s="1"/>
      <c r="M3060" s="1"/>
      <c r="N3060" s="1"/>
      <c r="O3060" s="1"/>
      <c r="P3060" s="1"/>
      <c r="Q3060" s="1"/>
      <c r="R3060" s="1"/>
      <c r="S3060" s="1"/>
      <c r="T3060" s="1"/>
      <c r="U3060" s="1"/>
      <c r="V3060" s="1"/>
      <c r="W3060" s="1"/>
      <c r="X3060" s="1"/>
    </row>
    <row x14ac:dyDescent="0.25" r="3061" customHeight="1" ht="18.75">
      <c r="A3061" s="1"/>
      <c r="B3061" s="1"/>
      <c r="C3061" s="3" t="s">
        <v>1861</v>
      </c>
      <c r="D3061" s="3" t="s">
        <v>3092</v>
      </c>
      <c r="E3061" s="1"/>
      <c r="F3061" s="1"/>
      <c r="G3061" s="1"/>
      <c r="H3061" s="1"/>
      <c r="I3061" s="2"/>
      <c r="J3061" s="1"/>
      <c r="K3061" s="1"/>
      <c r="L3061" s="1"/>
      <c r="M3061" s="1"/>
      <c r="N3061" s="1"/>
      <c r="O3061" s="1"/>
      <c r="P3061" s="1"/>
      <c r="Q3061" s="1"/>
      <c r="R3061" s="1"/>
      <c r="S3061" s="1"/>
      <c r="T3061" s="1"/>
      <c r="U3061" s="1"/>
      <c r="V3061" s="1"/>
      <c r="W3061" s="1"/>
      <c r="X3061" s="1"/>
    </row>
    <row x14ac:dyDescent="0.25" r="3062" customHeight="1" ht="18.75">
      <c r="A3062" s="1"/>
      <c r="B3062" s="1"/>
      <c r="C3062" s="3" t="s">
        <v>1861</v>
      </c>
      <c r="D3062" s="3" t="s">
        <v>3093</v>
      </c>
      <c r="E3062" s="1"/>
      <c r="F3062" s="1"/>
      <c r="G3062" s="1"/>
      <c r="H3062" s="1"/>
      <c r="I3062" s="2"/>
      <c r="J3062" s="1"/>
      <c r="K3062" s="1"/>
      <c r="L3062" s="1"/>
      <c r="M3062" s="1"/>
      <c r="N3062" s="1"/>
      <c r="O3062" s="1"/>
      <c r="P3062" s="1"/>
      <c r="Q3062" s="1"/>
      <c r="R3062" s="1"/>
      <c r="S3062" s="1"/>
      <c r="T3062" s="1"/>
      <c r="U3062" s="1"/>
      <c r="V3062" s="1"/>
      <c r="W3062" s="1"/>
      <c r="X3062" s="1"/>
    </row>
    <row x14ac:dyDescent="0.25" r="3063" customHeight="1" ht="18.75">
      <c r="A3063" s="1"/>
      <c r="B3063" s="1"/>
      <c r="C3063" s="3" t="s">
        <v>1861</v>
      </c>
      <c r="D3063" s="3" t="s">
        <v>3094</v>
      </c>
      <c r="E3063" s="1"/>
      <c r="F3063" s="1"/>
      <c r="G3063" s="1"/>
      <c r="H3063" s="1"/>
      <c r="I3063" s="2"/>
      <c r="J3063" s="1"/>
      <c r="K3063" s="1"/>
      <c r="L3063" s="1"/>
      <c r="M3063" s="1"/>
      <c r="N3063" s="1"/>
      <c r="O3063" s="1"/>
      <c r="P3063" s="1"/>
      <c r="Q3063" s="1"/>
      <c r="R3063" s="1"/>
      <c r="S3063" s="1"/>
      <c r="T3063" s="1"/>
      <c r="U3063" s="1"/>
      <c r="V3063" s="1"/>
      <c r="W3063" s="1"/>
      <c r="X3063" s="1"/>
    </row>
    <row x14ac:dyDescent="0.25" r="3064" customHeight="1" ht="18.75">
      <c r="A3064" s="1"/>
      <c r="B3064" s="1"/>
      <c r="C3064" s="3" t="s">
        <v>1861</v>
      </c>
      <c r="D3064" s="3" t="s">
        <v>3095</v>
      </c>
      <c r="E3064" s="1"/>
      <c r="F3064" s="1"/>
      <c r="G3064" s="1"/>
      <c r="H3064" s="1"/>
      <c r="I3064" s="2"/>
      <c r="J3064" s="1"/>
      <c r="K3064" s="1"/>
      <c r="L3064" s="1"/>
      <c r="M3064" s="1"/>
      <c r="N3064" s="1"/>
      <c r="O3064" s="1"/>
      <c r="P3064" s="1"/>
      <c r="Q3064" s="1"/>
      <c r="R3064" s="1"/>
      <c r="S3064" s="1"/>
      <c r="T3064" s="1"/>
      <c r="U3064" s="1"/>
      <c r="V3064" s="1"/>
      <c r="W3064" s="1"/>
      <c r="X3064" s="1"/>
    </row>
    <row x14ac:dyDescent="0.25" r="3065" customHeight="1" ht="18.75">
      <c r="A3065" s="1"/>
      <c r="B3065" s="1"/>
      <c r="C3065" s="3" t="s">
        <v>1861</v>
      </c>
      <c r="D3065" s="3" t="s">
        <v>3096</v>
      </c>
      <c r="E3065" s="1"/>
      <c r="F3065" s="1"/>
      <c r="G3065" s="1"/>
      <c r="H3065" s="1"/>
      <c r="I3065" s="2"/>
      <c r="J3065" s="1"/>
      <c r="K3065" s="1"/>
      <c r="L3065" s="1"/>
      <c r="M3065" s="1"/>
      <c r="N3065" s="1"/>
      <c r="O3065" s="1"/>
      <c r="P3065" s="1"/>
      <c r="Q3065" s="1"/>
      <c r="R3065" s="1"/>
      <c r="S3065" s="1"/>
      <c r="T3065" s="1"/>
      <c r="U3065" s="1"/>
      <c r="V3065" s="1"/>
      <c r="W3065" s="1"/>
      <c r="X3065" s="1"/>
    </row>
    <row x14ac:dyDescent="0.25" r="3066" customHeight="1" ht="18.75">
      <c r="A3066" s="1"/>
      <c r="B3066" s="1"/>
      <c r="C3066" s="3" t="s">
        <v>1861</v>
      </c>
      <c r="D3066" s="3" t="s">
        <v>3097</v>
      </c>
      <c r="E3066" s="1"/>
      <c r="F3066" s="1"/>
      <c r="G3066" s="1"/>
      <c r="H3066" s="1"/>
      <c r="I3066" s="2"/>
      <c r="J3066" s="1"/>
      <c r="K3066" s="1"/>
      <c r="L3066" s="1"/>
      <c r="M3066" s="1"/>
      <c r="N3066" s="1"/>
      <c r="O3066" s="1"/>
      <c r="P3066" s="1"/>
      <c r="Q3066" s="1"/>
      <c r="R3066" s="1"/>
      <c r="S3066" s="1"/>
      <c r="T3066" s="1"/>
      <c r="U3066" s="1"/>
      <c r="V3066" s="1"/>
      <c r="W3066" s="1"/>
      <c r="X3066" s="1"/>
    </row>
    <row x14ac:dyDescent="0.25" r="3067" customHeight="1" ht="18.75">
      <c r="A3067" s="1"/>
      <c r="B3067" s="1"/>
      <c r="C3067" s="3" t="s">
        <v>1861</v>
      </c>
      <c r="D3067" s="3" t="s">
        <v>3098</v>
      </c>
      <c r="E3067" s="1"/>
      <c r="F3067" s="1"/>
      <c r="G3067" s="1"/>
      <c r="H3067" s="1"/>
      <c r="I3067" s="2"/>
      <c r="J3067" s="1"/>
      <c r="K3067" s="1"/>
      <c r="L3067" s="1"/>
      <c r="M3067" s="1"/>
      <c r="N3067" s="1"/>
      <c r="O3067" s="1"/>
      <c r="P3067" s="1"/>
      <c r="Q3067" s="1"/>
      <c r="R3067" s="1"/>
      <c r="S3067" s="1"/>
      <c r="T3067" s="1"/>
      <c r="U3067" s="1"/>
      <c r="V3067" s="1"/>
      <c r="W3067" s="1"/>
      <c r="X3067" s="1"/>
    </row>
    <row x14ac:dyDescent="0.25" r="3068" customHeight="1" ht="18.75">
      <c r="A3068" s="1"/>
      <c r="B3068" s="1"/>
      <c r="C3068" s="3" t="s">
        <v>1861</v>
      </c>
      <c r="D3068" s="3" t="s">
        <v>3099</v>
      </c>
      <c r="E3068" s="1"/>
      <c r="F3068" s="1"/>
      <c r="G3068" s="1"/>
      <c r="H3068" s="1"/>
      <c r="I3068" s="2"/>
      <c r="J3068" s="1"/>
      <c r="K3068" s="1"/>
      <c r="L3068" s="1"/>
      <c r="M3068" s="1"/>
      <c r="N3068" s="1"/>
      <c r="O3068" s="1"/>
      <c r="P3068" s="1"/>
      <c r="Q3068" s="1"/>
      <c r="R3068" s="1"/>
      <c r="S3068" s="1"/>
      <c r="T3068" s="1"/>
      <c r="U3068" s="1"/>
      <c r="V3068" s="1"/>
      <c r="W3068" s="1"/>
      <c r="X3068" s="1"/>
    </row>
    <row x14ac:dyDescent="0.25" r="3069" customHeight="1" ht="18.75">
      <c r="A3069" s="1"/>
      <c r="B3069" s="1"/>
      <c r="C3069" s="3" t="s">
        <v>1861</v>
      </c>
      <c r="D3069" s="3" t="s">
        <v>3100</v>
      </c>
      <c r="E3069" s="1"/>
      <c r="F3069" s="1"/>
      <c r="G3069" s="1"/>
      <c r="H3069" s="1"/>
      <c r="I3069" s="2"/>
      <c r="J3069" s="1"/>
      <c r="K3069" s="1"/>
      <c r="L3069" s="1"/>
      <c r="M3069" s="1"/>
      <c r="N3069" s="1"/>
      <c r="O3069" s="1"/>
      <c r="P3069" s="1"/>
      <c r="Q3069" s="1"/>
      <c r="R3069" s="1"/>
      <c r="S3069" s="1"/>
      <c r="T3069" s="1"/>
      <c r="U3069" s="1"/>
      <c r="V3069" s="1"/>
      <c r="W3069" s="1"/>
      <c r="X3069" s="1"/>
    </row>
    <row x14ac:dyDescent="0.25" r="3070" customHeight="1" ht="18.75">
      <c r="A3070" s="1"/>
      <c r="B3070" s="1"/>
      <c r="C3070" s="3" t="s">
        <v>1861</v>
      </c>
      <c r="D3070" s="3" t="s">
        <v>3101</v>
      </c>
      <c r="E3070" s="1"/>
      <c r="F3070" s="1"/>
      <c r="G3070" s="1"/>
      <c r="H3070" s="1"/>
      <c r="I3070" s="2"/>
      <c r="J3070" s="1"/>
      <c r="K3070" s="1"/>
      <c r="L3070" s="1"/>
      <c r="M3070" s="1"/>
      <c r="N3070" s="1"/>
      <c r="O3070" s="1"/>
      <c r="P3070" s="1"/>
      <c r="Q3070" s="1"/>
      <c r="R3070" s="1"/>
      <c r="S3070" s="1"/>
      <c r="T3070" s="1"/>
      <c r="U3070" s="1"/>
      <c r="V3070" s="1"/>
      <c r="W3070" s="1"/>
      <c r="X3070" s="1"/>
    </row>
    <row x14ac:dyDescent="0.25" r="3071" customHeight="1" ht="18.75">
      <c r="A3071" s="1"/>
      <c r="B3071" s="1"/>
      <c r="C3071" s="3" t="s">
        <v>1861</v>
      </c>
      <c r="D3071" s="3" t="s">
        <v>3102</v>
      </c>
      <c r="E3071" s="1"/>
      <c r="F3071" s="1"/>
      <c r="G3071" s="1"/>
      <c r="H3071" s="1"/>
      <c r="I3071" s="2"/>
      <c r="J3071" s="1"/>
      <c r="K3071" s="1"/>
      <c r="L3071" s="1"/>
      <c r="M3071" s="1"/>
      <c r="N3071" s="1"/>
      <c r="O3071" s="1"/>
      <c r="P3071" s="1"/>
      <c r="Q3071" s="1"/>
      <c r="R3071" s="1"/>
      <c r="S3071" s="1"/>
      <c r="T3071" s="1"/>
      <c r="U3071" s="1"/>
      <c r="V3071" s="1"/>
      <c r="W3071" s="1"/>
      <c r="X3071" s="1"/>
    </row>
    <row x14ac:dyDescent="0.25" r="3072" customHeight="1" ht="18.75">
      <c r="A3072" s="1"/>
      <c r="B3072" s="1"/>
      <c r="C3072" s="3" t="s">
        <v>1861</v>
      </c>
      <c r="D3072" s="3" t="s">
        <v>3103</v>
      </c>
      <c r="E3072" s="1"/>
      <c r="F3072" s="1"/>
      <c r="G3072" s="1"/>
      <c r="H3072" s="1"/>
      <c r="I3072" s="2"/>
      <c r="J3072" s="1"/>
      <c r="K3072" s="1"/>
      <c r="L3072" s="1"/>
      <c r="M3072" s="1"/>
      <c r="N3072" s="1"/>
      <c r="O3072" s="1"/>
      <c r="P3072" s="1"/>
      <c r="Q3072" s="1"/>
      <c r="R3072" s="1"/>
      <c r="S3072" s="1"/>
      <c r="T3072" s="1"/>
      <c r="U3072" s="1"/>
      <c r="V3072" s="1"/>
      <c r="W3072" s="1"/>
      <c r="X3072" s="1"/>
    </row>
    <row x14ac:dyDescent="0.25" r="3073" customHeight="1" ht="18.75">
      <c r="A3073" s="1"/>
      <c r="B3073" s="1"/>
      <c r="C3073" s="3" t="s">
        <v>1861</v>
      </c>
      <c r="D3073" s="3" t="s">
        <v>3104</v>
      </c>
      <c r="E3073" s="1"/>
      <c r="F3073" s="1"/>
      <c r="G3073" s="1"/>
      <c r="H3073" s="1"/>
      <c r="I3073" s="2"/>
      <c r="J3073" s="1"/>
      <c r="K3073" s="1"/>
      <c r="L3073" s="1"/>
      <c r="M3073" s="1"/>
      <c r="N3073" s="1"/>
      <c r="O3073" s="1"/>
      <c r="P3073" s="1"/>
      <c r="Q3073" s="1"/>
      <c r="R3073" s="1"/>
      <c r="S3073" s="1"/>
      <c r="T3073" s="1"/>
      <c r="U3073" s="1"/>
      <c r="V3073" s="1"/>
      <c r="W3073" s="1"/>
      <c r="X3073" s="1"/>
    </row>
    <row x14ac:dyDescent="0.25" r="3074" customHeight="1" ht="18.75">
      <c r="A3074" s="1"/>
      <c r="B3074" s="1"/>
      <c r="C3074" s="3" t="s">
        <v>1861</v>
      </c>
      <c r="D3074" s="3" t="s">
        <v>3105</v>
      </c>
      <c r="E3074" s="1"/>
      <c r="F3074" s="1"/>
      <c r="G3074" s="1"/>
      <c r="H3074" s="1"/>
      <c r="I3074" s="2"/>
      <c r="J3074" s="1"/>
      <c r="K3074" s="1"/>
      <c r="L3074" s="1"/>
      <c r="M3074" s="1"/>
      <c r="N3074" s="1"/>
      <c r="O3074" s="1"/>
      <c r="P3074" s="1"/>
      <c r="Q3074" s="1"/>
      <c r="R3074" s="1"/>
      <c r="S3074" s="1"/>
      <c r="T3074" s="1"/>
      <c r="U3074" s="1"/>
      <c r="V3074" s="1"/>
      <c r="W3074" s="1"/>
      <c r="X3074" s="1"/>
    </row>
    <row x14ac:dyDescent="0.25" r="3075" customHeight="1" ht="18.75">
      <c r="A3075" s="1"/>
      <c r="B3075" s="1"/>
      <c r="C3075" s="3" t="s">
        <v>1861</v>
      </c>
      <c r="D3075" s="3" t="s">
        <v>3106</v>
      </c>
      <c r="E3075" s="1"/>
      <c r="F3075" s="1"/>
      <c r="G3075" s="1"/>
      <c r="H3075" s="1"/>
      <c r="I3075" s="2"/>
      <c r="J3075" s="1"/>
      <c r="K3075" s="1"/>
      <c r="L3075" s="1"/>
      <c r="M3075" s="1"/>
      <c r="N3075" s="1"/>
      <c r="O3075" s="1"/>
      <c r="P3075" s="1"/>
      <c r="Q3075" s="1"/>
      <c r="R3075" s="1"/>
      <c r="S3075" s="1"/>
      <c r="T3075" s="1"/>
      <c r="U3075" s="1"/>
      <c r="V3075" s="1"/>
      <c r="W3075" s="1"/>
      <c r="X3075" s="1"/>
    </row>
    <row x14ac:dyDescent="0.25" r="3076" customHeight="1" ht="18.75">
      <c r="A3076" s="1"/>
      <c r="B3076" s="1"/>
      <c r="C3076" s="3" t="s">
        <v>1861</v>
      </c>
      <c r="D3076" s="3" t="s">
        <v>3107</v>
      </c>
      <c r="E3076" s="1"/>
      <c r="F3076" s="1"/>
      <c r="G3076" s="1"/>
      <c r="H3076" s="1"/>
      <c r="I3076" s="2"/>
      <c r="J3076" s="1"/>
      <c r="K3076" s="1"/>
      <c r="L3076" s="1"/>
      <c r="M3076" s="1"/>
      <c r="N3076" s="1"/>
      <c r="O3076" s="1"/>
      <c r="P3076" s="1"/>
      <c r="Q3076" s="1"/>
      <c r="R3076" s="1"/>
      <c r="S3076" s="1"/>
      <c r="T3076" s="1"/>
      <c r="U3076" s="1"/>
      <c r="V3076" s="1"/>
      <c r="W3076" s="1"/>
      <c r="X3076" s="1"/>
    </row>
    <row x14ac:dyDescent="0.25" r="3077" customHeight="1" ht="18.75">
      <c r="A3077" s="1"/>
      <c r="B3077" s="1"/>
      <c r="C3077" s="3" t="s">
        <v>1861</v>
      </c>
      <c r="D3077" s="3" t="s">
        <v>3108</v>
      </c>
      <c r="E3077" s="1"/>
      <c r="F3077" s="1"/>
      <c r="G3077" s="1"/>
      <c r="H3077" s="1"/>
      <c r="I3077" s="2"/>
      <c r="J3077" s="1"/>
      <c r="K3077" s="1"/>
      <c r="L3077" s="1"/>
      <c r="M3077" s="1"/>
      <c r="N3077" s="1"/>
      <c r="O3077" s="1"/>
      <c r="P3077" s="1"/>
      <c r="Q3077" s="1"/>
      <c r="R3077" s="1"/>
      <c r="S3077" s="1"/>
      <c r="T3077" s="1"/>
      <c r="U3077" s="1"/>
      <c r="V3077" s="1"/>
      <c r="W3077" s="1"/>
      <c r="X3077" s="1"/>
    </row>
    <row x14ac:dyDescent="0.25" r="3078" customHeight="1" ht="18.75">
      <c r="A3078" s="1"/>
      <c r="B3078" s="1"/>
      <c r="C3078" s="3" t="s">
        <v>1861</v>
      </c>
      <c r="D3078" s="3" t="s">
        <v>3109</v>
      </c>
      <c r="E3078" s="1"/>
      <c r="F3078" s="1"/>
      <c r="G3078" s="1"/>
      <c r="H3078" s="1"/>
      <c r="I3078" s="2"/>
      <c r="J3078" s="1"/>
      <c r="K3078" s="1"/>
      <c r="L3078" s="1"/>
      <c r="M3078" s="1"/>
      <c r="N3078" s="1"/>
      <c r="O3078" s="1"/>
      <c r="P3078" s="1"/>
      <c r="Q3078" s="1"/>
      <c r="R3078" s="1"/>
      <c r="S3078" s="1"/>
      <c r="T3078" s="1"/>
      <c r="U3078" s="1"/>
      <c r="V3078" s="1"/>
      <c r="W3078" s="1"/>
      <c r="X3078" s="1"/>
    </row>
    <row x14ac:dyDescent="0.25" r="3079" customHeight="1" ht="18.75">
      <c r="A3079" s="1"/>
      <c r="B3079" s="1"/>
      <c r="C3079" s="3" t="s">
        <v>1861</v>
      </c>
      <c r="D3079" s="3" t="s">
        <v>3110</v>
      </c>
      <c r="E3079" s="1"/>
      <c r="F3079" s="1"/>
      <c r="G3079" s="1"/>
      <c r="H3079" s="1"/>
      <c r="I3079" s="2"/>
      <c r="J3079" s="1"/>
      <c r="K3079" s="1"/>
      <c r="L3079" s="1"/>
      <c r="M3079" s="1"/>
      <c r="N3079" s="1"/>
      <c r="O3079" s="1"/>
      <c r="P3079" s="1"/>
      <c r="Q3079" s="1"/>
      <c r="R3079" s="1"/>
      <c r="S3079" s="1"/>
      <c r="T3079" s="1"/>
      <c r="U3079" s="1"/>
      <c r="V3079" s="1"/>
      <c r="W3079" s="1"/>
      <c r="X3079" s="1"/>
    </row>
    <row x14ac:dyDescent="0.25" r="3080" customHeight="1" ht="18.75">
      <c r="A3080" s="1"/>
      <c r="B3080" s="1"/>
      <c r="C3080" s="3" t="s">
        <v>1861</v>
      </c>
      <c r="D3080" s="3" t="s">
        <v>3111</v>
      </c>
      <c r="E3080" s="1"/>
      <c r="F3080" s="1"/>
      <c r="G3080" s="1"/>
      <c r="H3080" s="1"/>
      <c r="I3080" s="2"/>
      <c r="J3080" s="1"/>
      <c r="K3080" s="1"/>
      <c r="L3080" s="1"/>
      <c r="M3080" s="1"/>
      <c r="N3080" s="1"/>
      <c r="O3080" s="1"/>
      <c r="P3080" s="1"/>
      <c r="Q3080" s="1"/>
      <c r="R3080" s="1"/>
      <c r="S3080" s="1"/>
      <c r="T3080" s="1"/>
      <c r="U3080" s="1"/>
      <c r="V3080" s="1"/>
      <c r="W3080" s="1"/>
      <c r="X3080" s="1"/>
    </row>
    <row x14ac:dyDescent="0.25" r="3081" customHeight="1" ht="18.75">
      <c r="A3081" s="1"/>
      <c r="B3081" s="1"/>
      <c r="C3081" s="3" t="s">
        <v>1861</v>
      </c>
      <c r="D3081" s="3" t="s">
        <v>3112</v>
      </c>
      <c r="E3081" s="1"/>
      <c r="F3081" s="1"/>
      <c r="G3081" s="1"/>
      <c r="H3081" s="1"/>
      <c r="I3081" s="2"/>
      <c r="J3081" s="1"/>
      <c r="K3081" s="1"/>
      <c r="L3081" s="1"/>
      <c r="M3081" s="1"/>
      <c r="N3081" s="1"/>
      <c r="O3081" s="1"/>
      <c r="P3081" s="1"/>
      <c r="Q3081" s="1"/>
      <c r="R3081" s="1"/>
      <c r="S3081" s="1"/>
      <c r="T3081" s="1"/>
      <c r="U3081" s="1"/>
      <c r="V3081" s="1"/>
      <c r="W3081" s="1"/>
      <c r="X3081" s="1"/>
    </row>
    <row x14ac:dyDescent="0.25" r="3082" customHeight="1" ht="18.75">
      <c r="A3082" s="1"/>
      <c r="B3082" s="1"/>
      <c r="C3082" s="3" t="s">
        <v>1861</v>
      </c>
      <c r="D3082" s="3" t="s">
        <v>3113</v>
      </c>
      <c r="E3082" s="1"/>
      <c r="F3082" s="1"/>
      <c r="G3082" s="1"/>
      <c r="H3082" s="1"/>
      <c r="I3082" s="2"/>
      <c r="J3082" s="1"/>
      <c r="K3082" s="1"/>
      <c r="L3082" s="1"/>
      <c r="M3082" s="1"/>
      <c r="N3082" s="1"/>
      <c r="O3082" s="1"/>
      <c r="P3082" s="1"/>
      <c r="Q3082" s="1"/>
      <c r="R3082" s="1"/>
      <c r="S3082" s="1"/>
      <c r="T3082" s="1"/>
      <c r="U3082" s="1"/>
      <c r="V3082" s="1"/>
      <c r="W3082" s="1"/>
      <c r="X3082" s="1"/>
    </row>
    <row x14ac:dyDescent="0.25" r="3083" customHeight="1" ht="18.75">
      <c r="A3083" s="1"/>
      <c r="B3083" s="1"/>
      <c r="C3083" s="3" t="s">
        <v>1861</v>
      </c>
      <c r="D3083" s="3" t="s">
        <v>3114</v>
      </c>
      <c r="E3083" s="1"/>
      <c r="F3083" s="1"/>
      <c r="G3083" s="1"/>
      <c r="H3083" s="1"/>
      <c r="I3083" s="2"/>
      <c r="J3083" s="1"/>
      <c r="K3083" s="1"/>
      <c r="L3083" s="1"/>
      <c r="M3083" s="1"/>
      <c r="N3083" s="1"/>
      <c r="O3083" s="1"/>
      <c r="P3083" s="1"/>
      <c r="Q3083" s="1"/>
      <c r="R3083" s="1"/>
      <c r="S3083" s="1"/>
      <c r="T3083" s="1"/>
      <c r="U3083" s="1"/>
      <c r="V3083" s="1"/>
      <c r="W3083" s="1"/>
      <c r="X3083" s="1"/>
    </row>
    <row x14ac:dyDescent="0.25" r="3084" customHeight="1" ht="18.75">
      <c r="A3084" s="1"/>
      <c r="B3084" s="1"/>
      <c r="C3084" s="3" t="s">
        <v>1861</v>
      </c>
      <c r="D3084" s="3" t="s">
        <v>3115</v>
      </c>
      <c r="E3084" s="1"/>
      <c r="F3084" s="1"/>
      <c r="G3084" s="1"/>
      <c r="H3084" s="1"/>
      <c r="I3084" s="2"/>
      <c r="J3084" s="1"/>
      <c r="K3084" s="1"/>
      <c r="L3084" s="1"/>
      <c r="M3084" s="1"/>
      <c r="N3084" s="1"/>
      <c r="O3084" s="1"/>
      <c r="P3084" s="1"/>
      <c r="Q3084" s="1"/>
      <c r="R3084" s="1"/>
      <c r="S3084" s="1"/>
      <c r="T3084" s="1"/>
      <c r="U3084" s="1"/>
      <c r="V3084" s="1"/>
      <c r="W3084" s="1"/>
      <c r="X3084" s="1"/>
    </row>
    <row x14ac:dyDescent="0.25" r="3085" customHeight="1" ht="18.75">
      <c r="A3085" s="1"/>
      <c r="B3085" s="1"/>
      <c r="C3085" s="3" t="s">
        <v>1861</v>
      </c>
      <c r="D3085" s="3" t="s">
        <v>3116</v>
      </c>
      <c r="E3085" s="1"/>
      <c r="F3085" s="1"/>
      <c r="G3085" s="1"/>
      <c r="H3085" s="1"/>
      <c r="I3085" s="2"/>
      <c r="J3085" s="1"/>
      <c r="K3085" s="1"/>
      <c r="L3085" s="1"/>
      <c r="M3085" s="1"/>
      <c r="N3085" s="1"/>
      <c r="O3085" s="1"/>
      <c r="P3085" s="1"/>
      <c r="Q3085" s="1"/>
      <c r="R3085" s="1"/>
      <c r="S3085" s="1"/>
      <c r="T3085" s="1"/>
      <c r="U3085" s="1"/>
      <c r="V3085" s="1"/>
      <c r="W3085" s="1"/>
      <c r="X3085" s="1"/>
    </row>
    <row x14ac:dyDescent="0.25" r="3086" customHeight="1" ht="18.75">
      <c r="A3086" s="1"/>
      <c r="B3086" s="1"/>
      <c r="C3086" s="3" t="s">
        <v>1861</v>
      </c>
      <c r="D3086" s="3" t="s">
        <v>3117</v>
      </c>
      <c r="E3086" s="1"/>
      <c r="F3086" s="1"/>
      <c r="G3086" s="1"/>
      <c r="H3086" s="1"/>
      <c r="I3086" s="2"/>
      <c r="J3086" s="1"/>
      <c r="K3086" s="1"/>
      <c r="L3086" s="1"/>
      <c r="M3086" s="1"/>
      <c r="N3086" s="1"/>
      <c r="O3086" s="1"/>
      <c r="P3086" s="1"/>
      <c r="Q3086" s="1"/>
      <c r="R3086" s="1"/>
      <c r="S3086" s="1"/>
      <c r="T3086" s="1"/>
      <c r="U3086" s="1"/>
      <c r="V3086" s="1"/>
      <c r="W3086" s="1"/>
      <c r="X3086" s="1"/>
    </row>
    <row x14ac:dyDescent="0.25" r="3087" customHeight="1" ht="18.75">
      <c r="A3087" s="1"/>
      <c r="B3087" s="1"/>
      <c r="C3087" s="3" t="s">
        <v>1861</v>
      </c>
      <c r="D3087" s="3" t="s">
        <v>3118</v>
      </c>
      <c r="E3087" s="1"/>
      <c r="F3087" s="1"/>
      <c r="G3087" s="1"/>
      <c r="H3087" s="1"/>
      <c r="I3087" s="2"/>
      <c r="J3087" s="1"/>
      <c r="K3087" s="1"/>
      <c r="L3087" s="1"/>
      <c r="M3087" s="1"/>
      <c r="N3087" s="1"/>
      <c r="O3087" s="1"/>
      <c r="P3087" s="1"/>
      <c r="Q3087" s="1"/>
      <c r="R3087" s="1"/>
      <c r="S3087" s="1"/>
      <c r="T3087" s="1"/>
      <c r="U3087" s="1"/>
      <c r="V3087" s="1"/>
      <c r="W3087" s="1"/>
      <c r="X3087" s="1"/>
    </row>
    <row x14ac:dyDescent="0.25" r="3088" customHeight="1" ht="18.75">
      <c r="A3088" s="1"/>
      <c r="B3088" s="1"/>
      <c r="C3088" s="3" t="s">
        <v>1861</v>
      </c>
      <c r="D3088" s="3" t="s">
        <v>3119</v>
      </c>
      <c r="E3088" s="1"/>
      <c r="F3088" s="1"/>
      <c r="G3088" s="1"/>
      <c r="H3088" s="1"/>
      <c r="I3088" s="2"/>
      <c r="J3088" s="1"/>
      <c r="K3088" s="1"/>
      <c r="L3088" s="1"/>
      <c r="M3088" s="1"/>
      <c r="N3088" s="1"/>
      <c r="O3088" s="1"/>
      <c r="P3088" s="1"/>
      <c r="Q3088" s="1"/>
      <c r="R3088" s="1"/>
      <c r="S3088" s="1"/>
      <c r="T3088" s="1"/>
      <c r="U3088" s="1"/>
      <c r="V3088" s="1"/>
      <c r="W3088" s="1"/>
      <c r="X3088" s="1"/>
    </row>
    <row x14ac:dyDescent="0.25" r="3089" customHeight="1" ht="18.75">
      <c r="A3089" s="1"/>
      <c r="B3089" s="1"/>
      <c r="C3089" s="3" t="s">
        <v>1861</v>
      </c>
      <c r="D3089" s="3" t="s">
        <v>3120</v>
      </c>
      <c r="E3089" s="1"/>
      <c r="F3089" s="1"/>
      <c r="G3089" s="1"/>
      <c r="H3089" s="1"/>
      <c r="I3089" s="2"/>
      <c r="J3089" s="1"/>
      <c r="K3089" s="1"/>
      <c r="L3089" s="1"/>
      <c r="M3089" s="1"/>
      <c r="N3089" s="1"/>
      <c r="O3089" s="1"/>
      <c r="P3089" s="1"/>
      <c r="Q3089" s="1"/>
      <c r="R3089" s="1"/>
      <c r="S3089" s="1"/>
      <c r="T3089" s="1"/>
      <c r="U3089" s="1"/>
      <c r="V3089" s="1"/>
      <c r="W3089" s="1"/>
      <c r="X3089" s="1"/>
    </row>
    <row x14ac:dyDescent="0.25" r="3090" customHeight="1" ht="18.75">
      <c r="A3090" s="1"/>
      <c r="B3090" s="1"/>
      <c r="C3090" s="3" t="s">
        <v>1861</v>
      </c>
      <c r="D3090" s="3" t="s">
        <v>3121</v>
      </c>
      <c r="E3090" s="1"/>
      <c r="F3090" s="1"/>
      <c r="G3090" s="1"/>
      <c r="H3090" s="1"/>
      <c r="I3090" s="2"/>
      <c r="J3090" s="1"/>
      <c r="K3090" s="1"/>
      <c r="L3090" s="1"/>
      <c r="M3090" s="1"/>
      <c r="N3090" s="1"/>
      <c r="O3090" s="1"/>
      <c r="P3090" s="1"/>
      <c r="Q3090" s="1"/>
      <c r="R3090" s="1"/>
      <c r="S3090" s="1"/>
      <c r="T3090" s="1"/>
      <c r="U3090" s="1"/>
      <c r="V3090" s="1"/>
      <c r="W3090" s="1"/>
      <c r="X3090" s="1"/>
    </row>
    <row x14ac:dyDescent="0.25" r="3091" customHeight="1" ht="18.75">
      <c r="A3091" s="1"/>
      <c r="B3091" s="1"/>
      <c r="C3091" s="3" t="s">
        <v>1861</v>
      </c>
      <c r="D3091" s="3" t="s">
        <v>3122</v>
      </c>
      <c r="E3091" s="1"/>
      <c r="F3091" s="1"/>
      <c r="G3091" s="1"/>
      <c r="H3091" s="1"/>
      <c r="I3091" s="2"/>
      <c r="J3091" s="1"/>
      <c r="K3091" s="1"/>
      <c r="L3091" s="1"/>
      <c r="M3091" s="1"/>
      <c r="N3091" s="1"/>
      <c r="O3091" s="1"/>
      <c r="P3091" s="1"/>
      <c r="Q3091" s="1"/>
      <c r="R3091" s="1"/>
      <c r="S3091" s="1"/>
      <c r="T3091" s="1"/>
      <c r="U3091" s="1"/>
      <c r="V3091" s="1"/>
      <c r="W3091" s="1"/>
      <c r="X3091" s="1"/>
    </row>
    <row x14ac:dyDescent="0.25" r="3092" customHeight="1" ht="18.75">
      <c r="A3092" s="1"/>
      <c r="B3092" s="1"/>
      <c r="C3092" s="3" t="s">
        <v>1861</v>
      </c>
      <c r="D3092" s="3" t="s">
        <v>3123</v>
      </c>
      <c r="E3092" s="1"/>
      <c r="F3092" s="1"/>
      <c r="G3092" s="1"/>
      <c r="H3092" s="1"/>
      <c r="I3092" s="2"/>
      <c r="J3092" s="1"/>
      <c r="K3092" s="1"/>
      <c r="L3092" s="1"/>
      <c r="M3092" s="1"/>
      <c r="N3092" s="1"/>
      <c r="O3092" s="1"/>
      <c r="P3092" s="1"/>
      <c r="Q3092" s="1"/>
      <c r="R3092" s="1"/>
      <c r="S3092" s="1"/>
      <c r="T3092" s="1"/>
      <c r="U3092" s="1"/>
      <c r="V3092" s="1"/>
      <c r="W3092" s="1"/>
      <c r="X3092" s="1"/>
    </row>
    <row x14ac:dyDescent="0.25" r="3093" customHeight="1" ht="18.75">
      <c r="A3093" s="1"/>
      <c r="B3093" s="1"/>
      <c r="C3093" s="3" t="s">
        <v>1861</v>
      </c>
      <c r="D3093" s="3" t="s">
        <v>3124</v>
      </c>
      <c r="E3093" s="1"/>
      <c r="F3093" s="1"/>
      <c r="G3093" s="1"/>
      <c r="H3093" s="1"/>
      <c r="I3093" s="2"/>
      <c r="J3093" s="1"/>
      <c r="K3093" s="1"/>
      <c r="L3093" s="1"/>
      <c r="M3093" s="1"/>
      <c r="N3093" s="1"/>
      <c r="O3093" s="1"/>
      <c r="P3093" s="1"/>
      <c r="Q3093" s="1"/>
      <c r="R3093" s="1"/>
      <c r="S3093" s="1"/>
      <c r="T3093" s="1"/>
      <c r="U3093" s="1"/>
      <c r="V3093" s="1"/>
      <c r="W3093" s="1"/>
      <c r="X3093" s="1"/>
    </row>
    <row x14ac:dyDescent="0.25" r="3094" customHeight="1" ht="18.75">
      <c r="A3094" s="1"/>
      <c r="B3094" s="1"/>
      <c r="C3094" s="3" t="s">
        <v>1861</v>
      </c>
      <c r="D3094" s="3" t="s">
        <v>3125</v>
      </c>
      <c r="E3094" s="1"/>
      <c r="F3094" s="1"/>
      <c r="G3094" s="1"/>
      <c r="H3094" s="1"/>
      <c r="I3094" s="2"/>
      <c r="J3094" s="1"/>
      <c r="K3094" s="1"/>
      <c r="L3094" s="1"/>
      <c r="M3094" s="1"/>
      <c r="N3094" s="1"/>
      <c r="O3094" s="1"/>
      <c r="P3094" s="1"/>
      <c r="Q3094" s="1"/>
      <c r="R3094" s="1"/>
      <c r="S3094" s="1"/>
      <c r="T3094" s="1"/>
      <c r="U3094" s="1"/>
      <c r="V3094" s="1"/>
      <c r="W3094" s="1"/>
      <c r="X3094" s="1"/>
    </row>
    <row x14ac:dyDescent="0.25" r="3095" customHeight="1" ht="18.75">
      <c r="A3095" s="1"/>
      <c r="B3095" s="1"/>
      <c r="C3095" s="3" t="s">
        <v>1861</v>
      </c>
      <c r="D3095" s="3" t="s">
        <v>3126</v>
      </c>
      <c r="E3095" s="1"/>
      <c r="F3095" s="1"/>
      <c r="G3095" s="1"/>
      <c r="H3095" s="1"/>
      <c r="I3095" s="2"/>
      <c r="J3095" s="1"/>
      <c r="K3095" s="1"/>
      <c r="L3095" s="1"/>
      <c r="M3095" s="1"/>
      <c r="N3095" s="1"/>
      <c r="O3095" s="1"/>
      <c r="P3095" s="1"/>
      <c r="Q3095" s="1"/>
      <c r="R3095" s="1"/>
      <c r="S3095" s="1"/>
      <c r="T3095" s="1"/>
      <c r="U3095" s="1"/>
      <c r="V3095" s="1"/>
      <c r="W3095" s="1"/>
      <c r="X3095" s="1"/>
    </row>
    <row x14ac:dyDescent="0.25" r="3096" customHeight="1" ht="18.75">
      <c r="A3096" s="1"/>
      <c r="B3096" s="1"/>
      <c r="C3096" s="3" t="s">
        <v>1861</v>
      </c>
      <c r="D3096" s="3" t="s">
        <v>3127</v>
      </c>
      <c r="E3096" s="1"/>
      <c r="F3096" s="1"/>
      <c r="G3096" s="1"/>
      <c r="H3096" s="1"/>
      <c r="I3096" s="2"/>
      <c r="J3096" s="1"/>
      <c r="K3096" s="1"/>
      <c r="L3096" s="1"/>
      <c r="M3096" s="1"/>
      <c r="N3096" s="1"/>
      <c r="O3096" s="1"/>
      <c r="P3096" s="1"/>
      <c r="Q3096" s="1"/>
      <c r="R3096" s="1"/>
      <c r="S3096" s="1"/>
      <c r="T3096" s="1"/>
      <c r="U3096" s="1"/>
      <c r="V3096" s="1"/>
      <c r="W3096" s="1"/>
      <c r="X3096" s="1"/>
    </row>
    <row x14ac:dyDescent="0.25" r="3097" customHeight="1" ht="18.75">
      <c r="A3097" s="1"/>
      <c r="B3097" s="1"/>
      <c r="C3097" s="3" t="s">
        <v>1861</v>
      </c>
      <c r="D3097" s="3" t="s">
        <v>3128</v>
      </c>
      <c r="E3097" s="1"/>
      <c r="F3097" s="1"/>
      <c r="G3097" s="1"/>
      <c r="H3097" s="1"/>
      <c r="I3097" s="2"/>
      <c r="J3097" s="1"/>
      <c r="K3097" s="1"/>
      <c r="L3097" s="1"/>
      <c r="M3097" s="1"/>
      <c r="N3097" s="1"/>
      <c r="O3097" s="1"/>
      <c r="P3097" s="1"/>
      <c r="Q3097" s="1"/>
      <c r="R3097" s="1"/>
      <c r="S3097" s="1"/>
      <c r="T3097" s="1"/>
      <c r="U3097" s="1"/>
      <c r="V3097" s="1"/>
      <c r="W3097" s="1"/>
      <c r="X3097" s="1"/>
    </row>
    <row x14ac:dyDescent="0.25" r="3098" customHeight="1" ht="18.75">
      <c r="A3098" s="1"/>
      <c r="B3098" s="1"/>
      <c r="C3098" s="3" t="s">
        <v>1861</v>
      </c>
      <c r="D3098" s="3" t="s">
        <v>3129</v>
      </c>
      <c r="E3098" s="1"/>
      <c r="F3098" s="1"/>
      <c r="G3098" s="1"/>
      <c r="H3098" s="1"/>
      <c r="I3098" s="2"/>
      <c r="J3098" s="1"/>
      <c r="K3098" s="1"/>
      <c r="L3098" s="1"/>
      <c r="M3098" s="1"/>
      <c r="N3098" s="1"/>
      <c r="O3098" s="1"/>
      <c r="P3098" s="1"/>
      <c r="Q3098" s="1"/>
      <c r="R3098" s="1"/>
      <c r="S3098" s="1"/>
      <c r="T3098" s="1"/>
      <c r="U3098" s="1"/>
      <c r="V3098" s="1"/>
      <c r="W3098" s="1"/>
      <c r="X3098" s="1"/>
    </row>
    <row x14ac:dyDescent="0.25" r="3099" customHeight="1" ht="18.75">
      <c r="A3099" s="1"/>
      <c r="B3099" s="1"/>
      <c r="C3099" s="3" t="s">
        <v>1861</v>
      </c>
      <c r="D3099" s="3" t="s">
        <v>3130</v>
      </c>
      <c r="E3099" s="1"/>
      <c r="F3099" s="1"/>
      <c r="G3099" s="1"/>
      <c r="H3099" s="1"/>
      <c r="I3099" s="2"/>
      <c r="J3099" s="1"/>
      <c r="K3099" s="1"/>
      <c r="L3099" s="1"/>
      <c r="M3099" s="1"/>
      <c r="N3099" s="1"/>
      <c r="O3099" s="1"/>
      <c r="P3099" s="1"/>
      <c r="Q3099" s="1"/>
      <c r="R3099" s="1"/>
      <c r="S3099" s="1"/>
      <c r="T3099" s="1"/>
      <c r="U3099" s="1"/>
      <c r="V3099" s="1"/>
      <c r="W3099" s="1"/>
      <c r="X3099" s="1"/>
    </row>
    <row x14ac:dyDescent="0.25" r="3100" customHeight="1" ht="18.75">
      <c r="A3100" s="1"/>
      <c r="B3100" s="1"/>
      <c r="C3100" s="3" t="s">
        <v>1861</v>
      </c>
      <c r="D3100" s="3" t="s">
        <v>3131</v>
      </c>
      <c r="E3100" s="1"/>
      <c r="F3100" s="1"/>
      <c r="G3100" s="1"/>
      <c r="H3100" s="1"/>
      <c r="I3100" s="2"/>
      <c r="J3100" s="1"/>
      <c r="K3100" s="1"/>
      <c r="L3100" s="1"/>
      <c r="M3100" s="1"/>
      <c r="N3100" s="1"/>
      <c r="O3100" s="1"/>
      <c r="P3100" s="1"/>
      <c r="Q3100" s="1"/>
      <c r="R3100" s="1"/>
      <c r="S3100" s="1"/>
      <c r="T3100" s="1"/>
      <c r="U3100" s="1"/>
      <c r="V3100" s="1"/>
      <c r="W3100" s="1"/>
      <c r="X3100" s="1"/>
    </row>
    <row x14ac:dyDescent="0.25" r="3101" customHeight="1" ht="18.75">
      <c r="A3101" s="1"/>
      <c r="B3101" s="1"/>
      <c r="C3101" s="3" t="s">
        <v>1861</v>
      </c>
      <c r="D3101" s="3" t="s">
        <v>3132</v>
      </c>
      <c r="E3101" s="1"/>
      <c r="F3101" s="1"/>
      <c r="G3101" s="1"/>
      <c r="H3101" s="1"/>
      <c r="I3101" s="2"/>
      <c r="J3101" s="1"/>
      <c r="K3101" s="1"/>
      <c r="L3101" s="1"/>
      <c r="M3101" s="1"/>
      <c r="N3101" s="1"/>
      <c r="O3101" s="1"/>
      <c r="P3101" s="1"/>
      <c r="Q3101" s="1"/>
      <c r="R3101" s="1"/>
      <c r="S3101" s="1"/>
      <c r="T3101" s="1"/>
      <c r="U3101" s="1"/>
      <c r="V3101" s="1"/>
      <c r="W3101" s="1"/>
      <c r="X3101" s="1"/>
    </row>
    <row x14ac:dyDescent="0.25" r="3102" customHeight="1" ht="18.75">
      <c r="A3102" s="1"/>
      <c r="B3102" s="1"/>
      <c r="C3102" s="3" t="s">
        <v>1861</v>
      </c>
      <c r="D3102" s="3" t="s">
        <v>3133</v>
      </c>
      <c r="E3102" s="1"/>
      <c r="F3102" s="1"/>
      <c r="G3102" s="1"/>
      <c r="H3102" s="1"/>
      <c r="I3102" s="2"/>
      <c r="J3102" s="1"/>
      <c r="K3102" s="1"/>
      <c r="L3102" s="1"/>
      <c r="M3102" s="1"/>
      <c r="N3102" s="1"/>
      <c r="O3102" s="1"/>
      <c r="P3102" s="1"/>
      <c r="Q3102" s="1"/>
      <c r="R3102" s="1"/>
      <c r="S3102" s="1"/>
      <c r="T3102" s="1"/>
      <c r="U3102" s="1"/>
      <c r="V3102" s="1"/>
      <c r="W3102" s="1"/>
      <c r="X3102" s="1"/>
    </row>
    <row x14ac:dyDescent="0.25" r="3103" customHeight="1" ht="18.75">
      <c r="A3103" s="1"/>
      <c r="B3103" s="1"/>
      <c r="C3103" s="3" t="s">
        <v>1861</v>
      </c>
      <c r="D3103" s="3" t="s">
        <v>3134</v>
      </c>
      <c r="E3103" s="1"/>
      <c r="F3103" s="1"/>
      <c r="G3103" s="1"/>
      <c r="H3103" s="1"/>
      <c r="I3103" s="2"/>
      <c r="J3103" s="1"/>
      <c r="K3103" s="1"/>
      <c r="L3103" s="1"/>
      <c r="M3103" s="1"/>
      <c r="N3103" s="1"/>
      <c r="O3103" s="1"/>
      <c r="P3103" s="1"/>
      <c r="Q3103" s="1"/>
      <c r="R3103" s="1"/>
      <c r="S3103" s="1"/>
      <c r="T3103" s="1"/>
      <c r="U3103" s="1"/>
      <c r="V3103" s="1"/>
      <c r="W3103" s="1"/>
      <c r="X3103" s="1"/>
    </row>
    <row x14ac:dyDescent="0.25" r="3104" customHeight="1" ht="18.75">
      <c r="A3104" s="1"/>
      <c r="B3104" s="1"/>
      <c r="C3104" s="3" t="s">
        <v>1861</v>
      </c>
      <c r="D3104" s="3" t="s">
        <v>3135</v>
      </c>
      <c r="E3104" s="1"/>
      <c r="F3104" s="1"/>
      <c r="G3104" s="1"/>
      <c r="H3104" s="1"/>
      <c r="I3104" s="2"/>
      <c r="J3104" s="1"/>
      <c r="K3104" s="1"/>
      <c r="L3104" s="1"/>
      <c r="M3104" s="1"/>
      <c r="N3104" s="1"/>
      <c r="O3104" s="1"/>
      <c r="P3104" s="1"/>
      <c r="Q3104" s="1"/>
      <c r="R3104" s="1"/>
      <c r="S3104" s="1"/>
      <c r="T3104" s="1"/>
      <c r="U3104" s="1"/>
      <c r="V3104" s="1"/>
      <c r="W3104" s="1"/>
      <c r="X3104" s="1"/>
    </row>
    <row x14ac:dyDescent="0.25" r="3105" customHeight="1" ht="18.75">
      <c r="A3105" s="1"/>
      <c r="B3105" s="1"/>
      <c r="C3105" s="3" t="s">
        <v>1861</v>
      </c>
      <c r="D3105" s="3" t="s">
        <v>3136</v>
      </c>
      <c r="E3105" s="1"/>
      <c r="F3105" s="1"/>
      <c r="G3105" s="1"/>
      <c r="H3105" s="1"/>
      <c r="I3105" s="2"/>
      <c r="J3105" s="1"/>
      <c r="K3105" s="1"/>
      <c r="L3105" s="1"/>
      <c r="M3105" s="1"/>
      <c r="N3105" s="1"/>
      <c r="O3105" s="1"/>
      <c r="P3105" s="1"/>
      <c r="Q3105" s="1"/>
      <c r="R3105" s="1"/>
      <c r="S3105" s="1"/>
      <c r="T3105" s="1"/>
      <c r="U3105" s="1"/>
      <c r="V3105" s="1"/>
      <c r="W3105" s="1"/>
      <c r="X3105" s="1"/>
    </row>
    <row x14ac:dyDescent="0.25" r="3106" customHeight="1" ht="18.75">
      <c r="A3106" s="1"/>
      <c r="B3106" s="1"/>
      <c r="C3106" s="3" t="s">
        <v>1861</v>
      </c>
      <c r="D3106" s="3" t="s">
        <v>3137</v>
      </c>
      <c r="E3106" s="1"/>
      <c r="F3106" s="1"/>
      <c r="G3106" s="1"/>
      <c r="H3106" s="1"/>
      <c r="I3106" s="2"/>
      <c r="J3106" s="1"/>
      <c r="K3106" s="1"/>
      <c r="L3106" s="1"/>
      <c r="M3106" s="1"/>
      <c r="N3106" s="1"/>
      <c r="O3106" s="1"/>
      <c r="P3106" s="1"/>
      <c r="Q3106" s="1"/>
      <c r="R3106" s="1"/>
      <c r="S3106" s="1"/>
      <c r="T3106" s="1"/>
      <c r="U3106" s="1"/>
      <c r="V3106" s="1"/>
      <c r="W3106" s="1"/>
      <c r="X3106" s="1"/>
    </row>
    <row x14ac:dyDescent="0.25" r="3107" customHeight="1" ht="18.75">
      <c r="A3107" s="1"/>
      <c r="B3107" s="1"/>
      <c r="C3107" s="3" t="s">
        <v>1861</v>
      </c>
      <c r="D3107" s="3" t="s">
        <v>3138</v>
      </c>
      <c r="E3107" s="1"/>
      <c r="F3107" s="1"/>
      <c r="G3107" s="1"/>
      <c r="H3107" s="1"/>
      <c r="I3107" s="2"/>
      <c r="J3107" s="1"/>
      <c r="K3107" s="1"/>
      <c r="L3107" s="1"/>
      <c r="M3107" s="1"/>
      <c r="N3107" s="1"/>
      <c r="O3107" s="1"/>
      <c r="P3107" s="1"/>
      <c r="Q3107" s="1"/>
      <c r="R3107" s="1"/>
      <c r="S3107" s="1"/>
      <c r="T3107" s="1"/>
      <c r="U3107" s="1"/>
      <c r="V3107" s="1"/>
      <c r="W3107" s="1"/>
      <c r="X3107" s="1"/>
    </row>
    <row x14ac:dyDescent="0.25" r="3108" customHeight="1" ht="18.75">
      <c r="A3108" s="1"/>
      <c r="B3108" s="1"/>
      <c r="C3108" s="3" t="s">
        <v>1861</v>
      </c>
      <c r="D3108" s="3" t="s">
        <v>3139</v>
      </c>
      <c r="E3108" s="1"/>
      <c r="F3108" s="1"/>
      <c r="G3108" s="1"/>
      <c r="H3108" s="1"/>
      <c r="I3108" s="2"/>
      <c r="J3108" s="1"/>
      <c r="K3108" s="1"/>
      <c r="L3108" s="1"/>
      <c r="M3108" s="1"/>
      <c r="N3108" s="1"/>
      <c r="O3108" s="1"/>
      <c r="P3108" s="1"/>
      <c r="Q3108" s="1"/>
      <c r="R3108" s="1"/>
      <c r="S3108" s="1"/>
      <c r="T3108" s="1"/>
      <c r="U3108" s="1"/>
      <c r="V3108" s="1"/>
      <c r="W3108" s="1"/>
      <c r="X3108" s="1"/>
    </row>
    <row x14ac:dyDescent="0.25" r="3109" customHeight="1" ht="18.75">
      <c r="A3109" s="1"/>
      <c r="B3109" s="1"/>
      <c r="C3109" s="3" t="s">
        <v>1861</v>
      </c>
      <c r="D3109" s="3" t="s">
        <v>3140</v>
      </c>
      <c r="E3109" s="1"/>
      <c r="F3109" s="1"/>
      <c r="G3109" s="1"/>
      <c r="H3109" s="1"/>
      <c r="I3109" s="2"/>
      <c r="J3109" s="1"/>
      <c r="K3109" s="1"/>
      <c r="L3109" s="1"/>
      <c r="M3109" s="1"/>
      <c r="N3109" s="1"/>
      <c r="O3109" s="1"/>
      <c r="P3109" s="1"/>
      <c r="Q3109" s="1"/>
      <c r="R3109" s="1"/>
      <c r="S3109" s="1"/>
      <c r="T3109" s="1"/>
      <c r="U3109" s="1"/>
      <c r="V3109" s="1"/>
      <c r="W3109" s="1"/>
      <c r="X3109" s="1"/>
    </row>
    <row x14ac:dyDescent="0.25" r="3110" customHeight="1" ht="18.75">
      <c r="A3110" s="1"/>
      <c r="B3110" s="1"/>
      <c r="C3110" s="3" t="s">
        <v>1861</v>
      </c>
      <c r="D3110" s="3" t="s">
        <v>3141</v>
      </c>
      <c r="E3110" s="1"/>
      <c r="F3110" s="1"/>
      <c r="G3110" s="1"/>
      <c r="H3110" s="1"/>
      <c r="I3110" s="2"/>
      <c r="J3110" s="1"/>
      <c r="K3110" s="1"/>
      <c r="L3110" s="1"/>
      <c r="M3110" s="1"/>
      <c r="N3110" s="1"/>
      <c r="O3110" s="1"/>
      <c r="P3110" s="1"/>
      <c r="Q3110" s="1"/>
      <c r="R3110" s="1"/>
      <c r="S3110" s="1"/>
      <c r="T3110" s="1"/>
      <c r="U3110" s="1"/>
      <c r="V3110" s="1"/>
      <c r="W3110" s="1"/>
      <c r="X3110" s="1"/>
    </row>
    <row x14ac:dyDescent="0.25" r="3111" customHeight="1" ht="18.75">
      <c r="A3111" s="1"/>
      <c r="B3111" s="1"/>
      <c r="C3111" s="3" t="s">
        <v>1861</v>
      </c>
      <c r="D3111" s="3" t="s">
        <v>3142</v>
      </c>
      <c r="E3111" s="1"/>
      <c r="F3111" s="1"/>
      <c r="G3111" s="1"/>
      <c r="H3111" s="1"/>
      <c r="I3111" s="2"/>
      <c r="J3111" s="1"/>
      <c r="K3111" s="1"/>
      <c r="L3111" s="1"/>
      <c r="M3111" s="1"/>
      <c r="N3111" s="1"/>
      <c r="O3111" s="1"/>
      <c r="P3111" s="1"/>
      <c r="Q3111" s="1"/>
      <c r="R3111" s="1"/>
      <c r="S3111" s="1"/>
      <c r="T3111" s="1"/>
      <c r="U3111" s="1"/>
      <c r="V3111" s="1"/>
      <c r="W3111" s="1"/>
      <c r="X3111" s="1"/>
    </row>
    <row x14ac:dyDescent="0.25" r="3112" customHeight="1" ht="18.75">
      <c r="A3112" s="1"/>
      <c r="B3112" s="1"/>
      <c r="C3112" s="3" t="s">
        <v>1861</v>
      </c>
      <c r="D3112" s="3" t="s">
        <v>3143</v>
      </c>
      <c r="E3112" s="1"/>
      <c r="F3112" s="1"/>
      <c r="G3112" s="1"/>
      <c r="H3112" s="1"/>
      <c r="I3112" s="2"/>
      <c r="J3112" s="1"/>
      <c r="K3112" s="1"/>
      <c r="L3112" s="1"/>
      <c r="M3112" s="1"/>
      <c r="N3112" s="1"/>
      <c r="O3112" s="1"/>
      <c r="P3112" s="1"/>
      <c r="Q3112" s="1"/>
      <c r="R3112" s="1"/>
      <c r="S3112" s="1"/>
      <c r="T3112" s="1"/>
      <c r="U3112" s="1"/>
      <c r="V3112" s="1"/>
      <c r="W3112" s="1"/>
      <c r="X3112" s="1"/>
    </row>
    <row x14ac:dyDescent="0.25" r="3113" customHeight="1" ht="18.75">
      <c r="A3113" s="1"/>
      <c r="B3113" s="1"/>
      <c r="C3113" s="3" t="s">
        <v>1861</v>
      </c>
      <c r="D3113" s="3" t="s">
        <v>3144</v>
      </c>
      <c r="E3113" s="1"/>
      <c r="F3113" s="1"/>
      <c r="G3113" s="1"/>
      <c r="H3113" s="1"/>
      <c r="I3113" s="2"/>
      <c r="J3113" s="1"/>
      <c r="K3113" s="1"/>
      <c r="L3113" s="1"/>
      <c r="M3113" s="1"/>
      <c r="N3113" s="1"/>
      <c r="O3113" s="1"/>
      <c r="P3113" s="1"/>
      <c r="Q3113" s="1"/>
      <c r="R3113" s="1"/>
      <c r="S3113" s="1"/>
      <c r="T3113" s="1"/>
      <c r="U3113" s="1"/>
      <c r="V3113" s="1"/>
      <c r="W3113" s="1"/>
      <c r="X3113" s="1"/>
    </row>
    <row x14ac:dyDescent="0.25" r="3114" customHeight="1" ht="18.75">
      <c r="A3114" s="1"/>
      <c r="B3114" s="1"/>
      <c r="C3114" s="3" t="s">
        <v>1861</v>
      </c>
      <c r="D3114" s="3" t="s">
        <v>3145</v>
      </c>
      <c r="E3114" s="1"/>
      <c r="F3114" s="1"/>
      <c r="G3114" s="1"/>
      <c r="H3114" s="1"/>
      <c r="I3114" s="2"/>
      <c r="J3114" s="1"/>
      <c r="K3114" s="1"/>
      <c r="L3114" s="1"/>
      <c r="M3114" s="1"/>
      <c r="N3114" s="1"/>
      <c r="O3114" s="1"/>
      <c r="P3114" s="1"/>
      <c r="Q3114" s="1"/>
      <c r="R3114" s="1"/>
      <c r="S3114" s="1"/>
      <c r="T3114" s="1"/>
      <c r="U3114" s="1"/>
      <c r="V3114" s="1"/>
      <c r="W3114" s="1"/>
      <c r="X3114" s="1"/>
    </row>
    <row x14ac:dyDescent="0.25" r="3115" customHeight="1" ht="18.75">
      <c r="A3115" s="1"/>
      <c r="B3115" s="1"/>
      <c r="C3115" s="3" t="s">
        <v>1861</v>
      </c>
      <c r="D3115" s="3" t="s">
        <v>3146</v>
      </c>
      <c r="E3115" s="1"/>
      <c r="F3115" s="1"/>
      <c r="G3115" s="1"/>
      <c r="H3115" s="1"/>
      <c r="I3115" s="2"/>
      <c r="J3115" s="1"/>
      <c r="K3115" s="1"/>
      <c r="L3115" s="1"/>
      <c r="M3115" s="1"/>
      <c r="N3115" s="1"/>
      <c r="O3115" s="1"/>
      <c r="P3115" s="1"/>
      <c r="Q3115" s="1"/>
      <c r="R3115" s="1"/>
      <c r="S3115" s="1"/>
      <c r="T3115" s="1"/>
      <c r="U3115" s="1"/>
      <c r="V3115" s="1"/>
      <c r="W3115" s="1"/>
      <c r="X3115" s="1"/>
    </row>
    <row x14ac:dyDescent="0.25" r="3116" customHeight="1" ht="18.75">
      <c r="A3116" s="1"/>
      <c r="B3116" s="1"/>
      <c r="C3116" s="3" t="s">
        <v>1861</v>
      </c>
      <c r="D3116" s="3" t="s">
        <v>3147</v>
      </c>
      <c r="E3116" s="1"/>
      <c r="F3116" s="1"/>
      <c r="G3116" s="1"/>
      <c r="H3116" s="1"/>
      <c r="I3116" s="2"/>
      <c r="J3116" s="1"/>
      <c r="K3116" s="1"/>
      <c r="L3116" s="1"/>
      <c r="M3116" s="1"/>
      <c r="N3116" s="1"/>
      <c r="O3116" s="1"/>
      <c r="P3116" s="1"/>
      <c r="Q3116" s="1"/>
      <c r="R3116" s="1"/>
      <c r="S3116" s="1"/>
      <c r="T3116" s="1"/>
      <c r="U3116" s="1"/>
      <c r="V3116" s="1"/>
      <c r="W3116" s="1"/>
      <c r="X3116" s="1"/>
    </row>
    <row x14ac:dyDescent="0.25" r="3117" customHeight="1" ht="18.75">
      <c r="A3117" s="1"/>
      <c r="B3117" s="1"/>
      <c r="C3117" s="3" t="s">
        <v>1861</v>
      </c>
      <c r="D3117" s="3" t="s">
        <v>3148</v>
      </c>
      <c r="E3117" s="1"/>
      <c r="F3117" s="1"/>
      <c r="G3117" s="1"/>
      <c r="H3117" s="1"/>
      <c r="I3117" s="2"/>
      <c r="J3117" s="1"/>
      <c r="K3117" s="1"/>
      <c r="L3117" s="1"/>
      <c r="M3117" s="1"/>
      <c r="N3117" s="1"/>
      <c r="O3117" s="1"/>
      <c r="P3117" s="1"/>
      <c r="Q3117" s="1"/>
      <c r="R3117" s="1"/>
      <c r="S3117" s="1"/>
      <c r="T3117" s="1"/>
      <c r="U3117" s="1"/>
      <c r="V3117" s="1"/>
      <c r="W3117" s="1"/>
      <c r="X3117" s="1"/>
    </row>
    <row x14ac:dyDescent="0.25" r="3118" customHeight="1" ht="18.75">
      <c r="A3118" s="1"/>
      <c r="B3118" s="1"/>
      <c r="C3118" s="3" t="s">
        <v>1861</v>
      </c>
      <c r="D3118" s="3" t="s">
        <v>3149</v>
      </c>
      <c r="E3118" s="1"/>
      <c r="F3118" s="1"/>
      <c r="G3118" s="1"/>
      <c r="H3118" s="1"/>
      <c r="I3118" s="2"/>
      <c r="J3118" s="1"/>
      <c r="K3118" s="1"/>
      <c r="L3118" s="1"/>
      <c r="M3118" s="1"/>
      <c r="N3118" s="1"/>
      <c r="O3118" s="1"/>
      <c r="P3118" s="1"/>
      <c r="Q3118" s="1"/>
      <c r="R3118" s="1"/>
      <c r="S3118" s="1"/>
      <c r="T3118" s="1"/>
      <c r="U3118" s="1"/>
      <c r="V3118" s="1"/>
      <c r="W3118" s="1"/>
      <c r="X3118" s="1"/>
    </row>
    <row x14ac:dyDescent="0.25" r="3119" customHeight="1" ht="18.75">
      <c r="A3119" s="1"/>
      <c r="B3119" s="1"/>
      <c r="C3119" s="3" t="s">
        <v>1861</v>
      </c>
      <c r="D3119" s="3" t="s">
        <v>3150</v>
      </c>
      <c r="E3119" s="1"/>
      <c r="F3119" s="1"/>
      <c r="G3119" s="1"/>
      <c r="H3119" s="1"/>
      <c r="I3119" s="2"/>
      <c r="J3119" s="1"/>
      <c r="K3119" s="1"/>
      <c r="L3119" s="1"/>
      <c r="M3119" s="1"/>
      <c r="N3119" s="1"/>
      <c r="O3119" s="1"/>
      <c r="P3119" s="1"/>
      <c r="Q3119" s="1"/>
      <c r="R3119" s="1"/>
      <c r="S3119" s="1"/>
      <c r="T3119" s="1"/>
      <c r="U3119" s="1"/>
      <c r="V3119" s="1"/>
      <c r="W3119" s="1"/>
      <c r="X3119" s="1"/>
    </row>
    <row x14ac:dyDescent="0.25" r="3120" customHeight="1" ht="18.75">
      <c r="A3120" s="1"/>
      <c r="B3120" s="1"/>
      <c r="C3120" s="3" t="s">
        <v>1861</v>
      </c>
      <c r="D3120" s="3" t="s">
        <v>3151</v>
      </c>
      <c r="E3120" s="1"/>
      <c r="F3120" s="1"/>
      <c r="G3120" s="1"/>
      <c r="H3120" s="1"/>
      <c r="I3120" s="2"/>
      <c r="J3120" s="1"/>
      <c r="K3120" s="1"/>
      <c r="L3120" s="1"/>
      <c r="M3120" s="1"/>
      <c r="N3120" s="1"/>
      <c r="O3120" s="1"/>
      <c r="P3120" s="1"/>
      <c r="Q3120" s="1"/>
      <c r="R3120" s="1"/>
      <c r="S3120" s="1"/>
      <c r="T3120" s="1"/>
      <c r="U3120" s="1"/>
      <c r="V3120" s="1"/>
      <c r="W3120" s="1"/>
      <c r="X3120" s="1"/>
    </row>
    <row x14ac:dyDescent="0.25" r="3121" customHeight="1" ht="18.75">
      <c r="A3121" s="1"/>
      <c r="B3121" s="1"/>
      <c r="C3121" s="3" t="s">
        <v>1861</v>
      </c>
      <c r="D3121" s="3" t="s">
        <v>3152</v>
      </c>
      <c r="E3121" s="1"/>
      <c r="F3121" s="1"/>
      <c r="G3121" s="1"/>
      <c r="H3121" s="1"/>
      <c r="I3121" s="2"/>
      <c r="J3121" s="1"/>
      <c r="K3121" s="1"/>
      <c r="L3121" s="1"/>
      <c r="M3121" s="1"/>
      <c r="N3121" s="1"/>
      <c r="O3121" s="1"/>
      <c r="P3121" s="1"/>
      <c r="Q3121" s="1"/>
      <c r="R3121" s="1"/>
      <c r="S3121" s="1"/>
      <c r="T3121" s="1"/>
      <c r="U3121" s="1"/>
      <c r="V3121" s="1"/>
      <c r="W3121" s="1"/>
      <c r="X3121" s="1"/>
    </row>
    <row x14ac:dyDescent="0.25" r="3122" customHeight="1" ht="18.75">
      <c r="A3122" s="1"/>
      <c r="B3122" s="1"/>
      <c r="C3122" s="3" t="s">
        <v>1861</v>
      </c>
      <c r="D3122" s="3" t="s">
        <v>3153</v>
      </c>
      <c r="E3122" s="1"/>
      <c r="F3122" s="1"/>
      <c r="G3122" s="1"/>
      <c r="H3122" s="1"/>
      <c r="I3122" s="2"/>
      <c r="J3122" s="1"/>
      <c r="K3122" s="1"/>
      <c r="L3122" s="1"/>
      <c r="M3122" s="1"/>
      <c r="N3122" s="1"/>
      <c r="O3122" s="1"/>
      <c r="P3122" s="1"/>
      <c r="Q3122" s="1"/>
      <c r="R3122" s="1"/>
      <c r="S3122" s="1"/>
      <c r="T3122" s="1"/>
      <c r="U3122" s="1"/>
      <c r="V3122" s="1"/>
      <c r="W3122" s="1"/>
      <c r="X3122" s="1"/>
    </row>
    <row x14ac:dyDescent="0.25" r="3123" customHeight="1" ht="18.75">
      <c r="A3123" s="1"/>
      <c r="B3123" s="1"/>
      <c r="C3123" s="3" t="s">
        <v>1861</v>
      </c>
      <c r="D3123" s="3" t="s">
        <v>3154</v>
      </c>
      <c r="E3123" s="1"/>
      <c r="F3123" s="1"/>
      <c r="G3123" s="1"/>
      <c r="H3123" s="1"/>
      <c r="I3123" s="2"/>
      <c r="J3123" s="1"/>
      <c r="K3123" s="1"/>
      <c r="L3123" s="1"/>
      <c r="M3123" s="1"/>
      <c r="N3123" s="1"/>
      <c r="O3123" s="1"/>
      <c r="P3123" s="1"/>
      <c r="Q3123" s="1"/>
      <c r="R3123" s="1"/>
      <c r="S3123" s="1"/>
      <c r="T3123" s="1"/>
      <c r="U3123" s="1"/>
      <c r="V3123" s="1"/>
      <c r="W3123" s="1"/>
      <c r="X3123" s="1"/>
    </row>
    <row x14ac:dyDescent="0.25" r="3124" customHeight="1" ht="18.75">
      <c r="A3124" s="1"/>
      <c r="B3124" s="1"/>
      <c r="C3124" s="3" t="s">
        <v>1861</v>
      </c>
      <c r="D3124" s="3" t="s">
        <v>3155</v>
      </c>
      <c r="E3124" s="1"/>
      <c r="F3124" s="1"/>
      <c r="G3124" s="1"/>
      <c r="H3124" s="1"/>
      <c r="I3124" s="2"/>
      <c r="J3124" s="1"/>
      <c r="K3124" s="1"/>
      <c r="L3124" s="1"/>
      <c r="M3124" s="1"/>
      <c r="N3124" s="1"/>
      <c r="O3124" s="1"/>
      <c r="P3124" s="1"/>
      <c r="Q3124" s="1"/>
      <c r="R3124" s="1"/>
      <c r="S3124" s="1"/>
      <c r="T3124" s="1"/>
      <c r="U3124" s="1"/>
      <c r="V3124" s="1"/>
      <c r="W3124" s="1"/>
      <c r="X3124" s="1"/>
    </row>
    <row x14ac:dyDescent="0.25" r="3125" customHeight="1" ht="18.75">
      <c r="A3125" s="1"/>
      <c r="B3125" s="1"/>
      <c r="C3125" s="3" t="s">
        <v>1861</v>
      </c>
      <c r="D3125" s="3" t="s">
        <v>3156</v>
      </c>
      <c r="E3125" s="1"/>
      <c r="F3125" s="1"/>
      <c r="G3125" s="1"/>
      <c r="H3125" s="1"/>
      <c r="I3125" s="2"/>
      <c r="J3125" s="1"/>
      <c r="K3125" s="1"/>
      <c r="L3125" s="1"/>
      <c r="M3125" s="1"/>
      <c r="N3125" s="1"/>
      <c r="O3125" s="1"/>
      <c r="P3125" s="1"/>
      <c r="Q3125" s="1"/>
      <c r="R3125" s="1"/>
      <c r="S3125" s="1"/>
      <c r="T3125" s="1"/>
      <c r="U3125" s="1"/>
      <c r="V3125" s="1"/>
      <c r="W3125" s="1"/>
      <c r="X3125" s="1"/>
    </row>
    <row x14ac:dyDescent="0.25" r="3126" customHeight="1" ht="18.75">
      <c r="A3126" s="1"/>
      <c r="B3126" s="1"/>
      <c r="C3126" s="3" t="s">
        <v>1861</v>
      </c>
      <c r="D3126" s="3" t="s">
        <v>3157</v>
      </c>
      <c r="E3126" s="1"/>
      <c r="F3126" s="1"/>
      <c r="G3126" s="1"/>
      <c r="H3126" s="1"/>
      <c r="I3126" s="2"/>
      <c r="J3126" s="1"/>
      <c r="K3126" s="1"/>
      <c r="L3126" s="1"/>
      <c r="M3126" s="1"/>
      <c r="N3126" s="1"/>
      <c r="O3126" s="1"/>
      <c r="P3126" s="1"/>
      <c r="Q3126" s="1"/>
      <c r="R3126" s="1"/>
      <c r="S3126" s="1"/>
      <c r="T3126" s="1"/>
      <c r="U3126" s="1"/>
      <c r="V3126" s="1"/>
      <c r="W3126" s="1"/>
      <c r="X3126" s="1"/>
    </row>
    <row x14ac:dyDescent="0.25" r="3127" customHeight="1" ht="18.75">
      <c r="A3127" s="1"/>
      <c r="B3127" s="1"/>
      <c r="C3127" s="3" t="s">
        <v>1861</v>
      </c>
      <c r="D3127" s="3" t="s">
        <v>3158</v>
      </c>
      <c r="E3127" s="1"/>
      <c r="F3127" s="1"/>
      <c r="G3127" s="1"/>
      <c r="H3127" s="1"/>
      <c r="I3127" s="2"/>
      <c r="J3127" s="1"/>
      <c r="K3127" s="1"/>
      <c r="L3127" s="1"/>
      <c r="M3127" s="1"/>
      <c r="N3127" s="1"/>
      <c r="O3127" s="1"/>
      <c r="P3127" s="1"/>
      <c r="Q3127" s="1"/>
      <c r="R3127" s="1"/>
      <c r="S3127" s="1"/>
      <c r="T3127" s="1"/>
      <c r="U3127" s="1"/>
      <c r="V3127" s="1"/>
      <c r="W3127" s="1"/>
      <c r="X3127" s="1"/>
    </row>
    <row x14ac:dyDescent="0.25" r="3128" customHeight="1" ht="18.75">
      <c r="A3128" s="1"/>
      <c r="B3128" s="1"/>
      <c r="C3128" s="3" t="s">
        <v>1861</v>
      </c>
      <c r="D3128" s="3" t="s">
        <v>3159</v>
      </c>
      <c r="E3128" s="1"/>
      <c r="F3128" s="1"/>
      <c r="G3128" s="1"/>
      <c r="H3128" s="1"/>
      <c r="I3128" s="2"/>
      <c r="J3128" s="1"/>
      <c r="K3128" s="1"/>
      <c r="L3128" s="1"/>
      <c r="M3128" s="1"/>
      <c r="N3128" s="1"/>
      <c r="O3128" s="1"/>
      <c r="P3128" s="1"/>
      <c r="Q3128" s="1"/>
      <c r="R3128" s="1"/>
      <c r="S3128" s="1"/>
      <c r="T3128" s="1"/>
      <c r="U3128" s="1"/>
      <c r="V3128" s="1"/>
      <c r="W3128" s="1"/>
      <c r="X3128" s="1"/>
    </row>
    <row x14ac:dyDescent="0.25" r="3129" customHeight="1" ht="18.75">
      <c r="A3129" s="1"/>
      <c r="B3129" s="1"/>
      <c r="C3129" s="3" t="s">
        <v>1861</v>
      </c>
      <c r="D3129" s="3" t="s">
        <v>3160</v>
      </c>
      <c r="E3129" s="1"/>
      <c r="F3129" s="1"/>
      <c r="G3129" s="1"/>
      <c r="H3129" s="1"/>
      <c r="I3129" s="2"/>
      <c r="J3129" s="1"/>
      <c r="K3129" s="1"/>
      <c r="L3129" s="1"/>
      <c r="M3129" s="1"/>
      <c r="N3129" s="1"/>
      <c r="O3129" s="1"/>
      <c r="P3129" s="1"/>
      <c r="Q3129" s="1"/>
      <c r="R3129" s="1"/>
      <c r="S3129" s="1"/>
      <c r="T3129" s="1"/>
      <c r="U3129" s="1"/>
      <c r="V3129" s="1"/>
      <c r="W3129" s="1"/>
      <c r="X3129" s="1"/>
    </row>
    <row x14ac:dyDescent="0.25" r="3130" customHeight="1" ht="18.75">
      <c r="A3130" s="1"/>
      <c r="B3130" s="1"/>
      <c r="C3130" s="3" t="s">
        <v>1861</v>
      </c>
      <c r="D3130" s="3" t="s">
        <v>3161</v>
      </c>
      <c r="E3130" s="1"/>
      <c r="F3130" s="1"/>
      <c r="G3130" s="1"/>
      <c r="H3130" s="1"/>
      <c r="I3130" s="2"/>
      <c r="J3130" s="1"/>
      <c r="K3130" s="1"/>
      <c r="L3130" s="1"/>
      <c r="M3130" s="1"/>
      <c r="N3130" s="1"/>
      <c r="O3130" s="1"/>
      <c r="P3130" s="1"/>
      <c r="Q3130" s="1"/>
      <c r="R3130" s="1"/>
      <c r="S3130" s="1"/>
      <c r="T3130" s="1"/>
      <c r="U3130" s="1"/>
      <c r="V3130" s="1"/>
      <c r="W3130" s="1"/>
      <c r="X3130" s="1"/>
    </row>
    <row x14ac:dyDescent="0.25" r="3131" customHeight="1" ht="18.75">
      <c r="A3131" s="1"/>
      <c r="B3131" s="1"/>
      <c r="C3131" s="3" t="s">
        <v>1861</v>
      </c>
      <c r="D3131" s="3" t="s">
        <v>3162</v>
      </c>
      <c r="E3131" s="1"/>
      <c r="F3131" s="1"/>
      <c r="G3131" s="1"/>
      <c r="H3131" s="1"/>
      <c r="I3131" s="2"/>
      <c r="J3131" s="1"/>
      <c r="K3131" s="1"/>
      <c r="L3131" s="1"/>
      <c r="M3131" s="1"/>
      <c r="N3131" s="1"/>
      <c r="O3131" s="1"/>
      <c r="P3131" s="1"/>
      <c r="Q3131" s="1"/>
      <c r="R3131" s="1"/>
      <c r="S3131" s="1"/>
      <c r="T3131" s="1"/>
      <c r="U3131" s="1"/>
      <c r="V3131" s="1"/>
      <c r="W3131" s="1"/>
      <c r="X3131" s="1"/>
    </row>
    <row x14ac:dyDescent="0.25" r="3132" customHeight="1" ht="18.75">
      <c r="A3132" s="1"/>
      <c r="B3132" s="1"/>
      <c r="C3132" s="3" t="s">
        <v>1861</v>
      </c>
      <c r="D3132" s="3" t="s">
        <v>3163</v>
      </c>
      <c r="E3132" s="1"/>
      <c r="F3132" s="1"/>
      <c r="G3132" s="1"/>
      <c r="H3132" s="1"/>
      <c r="I3132" s="2"/>
      <c r="J3132" s="1"/>
      <c r="K3132" s="1"/>
      <c r="L3132" s="1"/>
      <c r="M3132" s="1"/>
      <c r="N3132" s="1"/>
      <c r="O3132" s="1"/>
      <c r="P3132" s="1"/>
      <c r="Q3132" s="1"/>
      <c r="R3132" s="1"/>
      <c r="S3132" s="1"/>
      <c r="T3132" s="1"/>
      <c r="U3132" s="1"/>
      <c r="V3132" s="1"/>
      <c r="W3132" s="1"/>
      <c r="X3132" s="1"/>
    </row>
    <row x14ac:dyDescent="0.25" r="3133" customHeight="1" ht="18.75">
      <c r="A3133" s="1"/>
      <c r="B3133" s="1"/>
      <c r="C3133" s="3" t="s">
        <v>1861</v>
      </c>
      <c r="D3133" s="3" t="s">
        <v>3164</v>
      </c>
      <c r="E3133" s="1"/>
      <c r="F3133" s="1"/>
      <c r="G3133" s="1"/>
      <c r="H3133" s="1"/>
      <c r="I3133" s="2"/>
      <c r="J3133" s="1"/>
      <c r="K3133" s="1"/>
      <c r="L3133" s="1"/>
      <c r="M3133" s="1"/>
      <c r="N3133" s="1"/>
      <c r="O3133" s="1"/>
      <c r="P3133" s="1"/>
      <c r="Q3133" s="1"/>
      <c r="R3133" s="1"/>
      <c r="S3133" s="1"/>
      <c r="T3133" s="1"/>
      <c r="U3133" s="1"/>
      <c r="V3133" s="1"/>
      <c r="W3133" s="1"/>
      <c r="X3133" s="1"/>
    </row>
    <row x14ac:dyDescent="0.25" r="3134" customHeight="1" ht="18.75">
      <c r="A3134" s="1"/>
      <c r="B3134" s="1"/>
      <c r="C3134" s="3" t="s">
        <v>1861</v>
      </c>
      <c r="D3134" s="3" t="s">
        <v>3165</v>
      </c>
      <c r="E3134" s="1"/>
      <c r="F3134" s="1"/>
      <c r="G3134" s="1"/>
      <c r="H3134" s="1"/>
      <c r="I3134" s="2"/>
      <c r="J3134" s="1"/>
      <c r="K3134" s="1"/>
      <c r="L3134" s="1"/>
      <c r="M3134" s="1"/>
      <c r="N3134" s="1"/>
      <c r="O3134" s="1"/>
      <c r="P3134" s="1"/>
      <c r="Q3134" s="1"/>
      <c r="R3134" s="1"/>
      <c r="S3134" s="1"/>
      <c r="T3134" s="1"/>
      <c r="U3134" s="1"/>
      <c r="V3134" s="1"/>
      <c r="W3134" s="1"/>
      <c r="X3134" s="1"/>
    </row>
    <row x14ac:dyDescent="0.25" r="3135" customHeight="1" ht="18.75">
      <c r="A3135" s="1"/>
      <c r="B3135" s="1"/>
      <c r="C3135" s="3" t="s">
        <v>1861</v>
      </c>
      <c r="D3135" s="3" t="s">
        <v>3166</v>
      </c>
      <c r="E3135" s="1"/>
      <c r="F3135" s="1"/>
      <c r="G3135" s="1"/>
      <c r="H3135" s="1"/>
      <c r="I3135" s="2"/>
      <c r="J3135" s="1"/>
      <c r="K3135" s="1"/>
      <c r="L3135" s="1"/>
      <c r="M3135" s="1"/>
      <c r="N3135" s="1"/>
      <c r="O3135" s="1"/>
      <c r="P3135" s="1"/>
      <c r="Q3135" s="1"/>
      <c r="R3135" s="1"/>
      <c r="S3135" s="1"/>
      <c r="T3135" s="1"/>
      <c r="U3135" s="1"/>
      <c r="V3135" s="1"/>
      <c r="W3135" s="1"/>
      <c r="X3135" s="1"/>
    </row>
    <row x14ac:dyDescent="0.25" r="3136" customHeight="1" ht="18.75">
      <c r="A3136" s="1"/>
      <c r="B3136" s="1"/>
      <c r="C3136" s="3" t="s">
        <v>1861</v>
      </c>
      <c r="D3136" s="3" t="s">
        <v>3167</v>
      </c>
      <c r="E3136" s="1"/>
      <c r="F3136" s="1"/>
      <c r="G3136" s="1"/>
      <c r="H3136" s="1"/>
      <c r="I3136" s="2"/>
      <c r="J3136" s="1"/>
      <c r="K3136" s="1"/>
      <c r="L3136" s="1"/>
      <c r="M3136" s="1"/>
      <c r="N3136" s="1"/>
      <c r="O3136" s="1"/>
      <c r="P3136" s="1"/>
      <c r="Q3136" s="1"/>
      <c r="R3136" s="1"/>
      <c r="S3136" s="1"/>
      <c r="T3136" s="1"/>
      <c r="U3136" s="1"/>
      <c r="V3136" s="1"/>
      <c r="W3136" s="1"/>
      <c r="X3136" s="1"/>
    </row>
    <row x14ac:dyDescent="0.25" r="3137" customHeight="1" ht="18.75">
      <c r="A3137" s="1"/>
      <c r="B3137" s="1"/>
      <c r="C3137" s="3" t="s">
        <v>1861</v>
      </c>
      <c r="D3137" s="3" t="s">
        <v>3168</v>
      </c>
      <c r="E3137" s="1"/>
      <c r="F3137" s="1"/>
      <c r="G3137" s="1"/>
      <c r="H3137" s="1"/>
      <c r="I3137" s="2"/>
      <c r="J3137" s="1"/>
      <c r="K3137" s="1"/>
      <c r="L3137" s="1"/>
      <c r="M3137" s="1"/>
      <c r="N3137" s="1"/>
      <c r="O3137" s="1"/>
      <c r="P3137" s="1"/>
      <c r="Q3137" s="1"/>
      <c r="R3137" s="1"/>
      <c r="S3137" s="1"/>
      <c r="T3137" s="1"/>
      <c r="U3137" s="1"/>
      <c r="V3137" s="1"/>
      <c r="W3137" s="1"/>
      <c r="X3137" s="1"/>
    </row>
    <row x14ac:dyDescent="0.25" r="3138" customHeight="1" ht="18.75">
      <c r="A3138" s="1"/>
      <c r="B3138" s="1"/>
      <c r="C3138" s="3" t="s">
        <v>1861</v>
      </c>
      <c r="D3138" s="3" t="s">
        <v>3169</v>
      </c>
      <c r="E3138" s="1"/>
      <c r="F3138" s="1"/>
      <c r="G3138" s="1"/>
      <c r="H3138" s="1"/>
      <c r="I3138" s="2"/>
      <c r="J3138" s="1"/>
      <c r="K3138" s="1"/>
      <c r="L3138" s="1"/>
      <c r="M3138" s="1"/>
      <c r="N3138" s="1"/>
      <c r="O3138" s="1"/>
      <c r="P3138" s="1"/>
      <c r="Q3138" s="1"/>
      <c r="R3138" s="1"/>
      <c r="S3138" s="1"/>
      <c r="T3138" s="1"/>
      <c r="U3138" s="1"/>
      <c r="V3138" s="1"/>
      <c r="W3138" s="1"/>
      <c r="X3138" s="1"/>
    </row>
    <row x14ac:dyDescent="0.25" r="3139" customHeight="1" ht="18.75">
      <c r="A3139" s="1"/>
      <c r="B3139" s="1"/>
      <c r="C3139" s="3" t="s">
        <v>1861</v>
      </c>
      <c r="D3139" s="3" t="s">
        <v>3170</v>
      </c>
      <c r="E3139" s="1"/>
      <c r="F3139" s="1"/>
      <c r="G3139" s="1"/>
      <c r="H3139" s="1"/>
      <c r="I3139" s="2"/>
      <c r="J3139" s="1"/>
      <c r="K3139" s="1"/>
      <c r="L3139" s="1"/>
      <c r="M3139" s="1"/>
      <c r="N3139" s="1"/>
      <c r="O3139" s="1"/>
      <c r="P3139" s="1"/>
      <c r="Q3139" s="1"/>
      <c r="R3139" s="1"/>
      <c r="S3139" s="1"/>
      <c r="T3139" s="1"/>
      <c r="U3139" s="1"/>
      <c r="V3139" s="1"/>
      <c r="W3139" s="1"/>
      <c r="X3139" s="1"/>
    </row>
    <row x14ac:dyDescent="0.25" r="3140" customHeight="1" ht="18.75">
      <c r="A3140" s="1"/>
      <c r="B3140" s="1"/>
      <c r="C3140" s="3" t="s">
        <v>1861</v>
      </c>
      <c r="D3140" s="3" t="s">
        <v>3171</v>
      </c>
      <c r="E3140" s="1"/>
      <c r="F3140" s="1"/>
      <c r="G3140" s="1"/>
      <c r="H3140" s="1"/>
      <c r="I3140" s="2"/>
      <c r="J3140" s="1"/>
      <c r="K3140" s="1"/>
      <c r="L3140" s="1"/>
      <c r="M3140" s="1"/>
      <c r="N3140" s="1"/>
      <c r="O3140" s="1"/>
      <c r="P3140" s="1"/>
      <c r="Q3140" s="1"/>
      <c r="R3140" s="1"/>
      <c r="S3140" s="1"/>
      <c r="T3140" s="1"/>
      <c r="U3140" s="1"/>
      <c r="V3140" s="1"/>
      <c r="W3140" s="1"/>
      <c r="X3140" s="1"/>
    </row>
    <row x14ac:dyDescent="0.25" r="3141" customHeight="1" ht="18.75">
      <c r="A3141" s="1"/>
      <c r="B3141" s="1"/>
      <c r="C3141" s="3" t="s">
        <v>1861</v>
      </c>
      <c r="D3141" s="3" t="s">
        <v>3172</v>
      </c>
      <c r="E3141" s="1"/>
      <c r="F3141" s="1"/>
      <c r="G3141" s="1"/>
      <c r="H3141" s="1"/>
      <c r="I3141" s="2"/>
      <c r="J3141" s="1"/>
      <c r="K3141" s="1"/>
      <c r="L3141" s="1"/>
      <c r="M3141" s="1"/>
      <c r="N3141" s="1"/>
      <c r="O3141" s="1"/>
      <c r="P3141" s="1"/>
      <c r="Q3141" s="1"/>
      <c r="R3141" s="1"/>
      <c r="S3141" s="1"/>
      <c r="T3141" s="1"/>
      <c r="U3141" s="1"/>
      <c r="V3141" s="1"/>
      <c r="W3141" s="1"/>
      <c r="X3141" s="1"/>
    </row>
    <row x14ac:dyDescent="0.25" r="3142" customHeight="1" ht="18.75">
      <c r="A3142" s="1"/>
      <c r="B3142" s="1"/>
      <c r="C3142" s="3" t="s">
        <v>1861</v>
      </c>
      <c r="D3142" s="3" t="s">
        <v>3173</v>
      </c>
      <c r="E3142" s="1"/>
      <c r="F3142" s="1"/>
      <c r="G3142" s="1"/>
      <c r="H3142" s="1"/>
      <c r="I3142" s="2"/>
      <c r="J3142" s="1"/>
      <c r="K3142" s="1"/>
      <c r="L3142" s="1"/>
      <c r="M3142" s="1"/>
      <c r="N3142" s="1"/>
      <c r="O3142" s="1"/>
      <c r="P3142" s="1"/>
      <c r="Q3142" s="1"/>
      <c r="R3142" s="1"/>
      <c r="S3142" s="1"/>
      <c r="T3142" s="1"/>
      <c r="U3142" s="1"/>
      <c r="V3142" s="1"/>
      <c r="W3142" s="1"/>
      <c r="X3142" s="1"/>
    </row>
    <row x14ac:dyDescent="0.25" r="3143" customHeight="1" ht="18.75">
      <c r="A3143" s="1"/>
      <c r="B3143" s="1"/>
      <c r="C3143" s="3" t="s">
        <v>1861</v>
      </c>
      <c r="D3143" s="3" t="s">
        <v>3174</v>
      </c>
      <c r="E3143" s="1"/>
      <c r="F3143" s="1"/>
      <c r="G3143" s="1"/>
      <c r="H3143" s="1"/>
      <c r="I3143" s="2"/>
      <c r="J3143" s="1"/>
      <c r="K3143" s="1"/>
      <c r="L3143" s="1"/>
      <c r="M3143" s="1"/>
      <c r="N3143" s="1"/>
      <c r="O3143" s="1"/>
      <c r="P3143" s="1"/>
      <c r="Q3143" s="1"/>
      <c r="R3143" s="1"/>
      <c r="S3143" s="1"/>
      <c r="T3143" s="1"/>
      <c r="U3143" s="1"/>
      <c r="V3143" s="1"/>
      <c r="W3143" s="1"/>
      <c r="X3143" s="1"/>
    </row>
    <row x14ac:dyDescent="0.25" r="3144" customHeight="1" ht="18.75">
      <c r="A3144" s="1"/>
      <c r="B3144" s="1"/>
      <c r="C3144" s="3" t="s">
        <v>1861</v>
      </c>
      <c r="D3144" s="3" t="s">
        <v>3175</v>
      </c>
      <c r="E3144" s="1"/>
      <c r="F3144" s="1"/>
      <c r="G3144" s="1"/>
      <c r="H3144" s="1"/>
      <c r="I3144" s="2"/>
      <c r="J3144" s="1"/>
      <c r="K3144" s="1"/>
      <c r="L3144" s="1"/>
      <c r="M3144" s="1"/>
      <c r="N3144" s="1"/>
      <c r="O3144" s="1"/>
      <c r="P3144" s="1"/>
      <c r="Q3144" s="1"/>
      <c r="R3144" s="1"/>
      <c r="S3144" s="1"/>
      <c r="T3144" s="1"/>
      <c r="U3144" s="1"/>
      <c r="V3144" s="1"/>
      <c r="W3144" s="1"/>
      <c r="X3144" s="1"/>
    </row>
    <row x14ac:dyDescent="0.25" r="3145" customHeight="1" ht="18.75">
      <c r="A3145" s="1"/>
      <c r="B3145" s="1"/>
      <c r="C3145" s="3" t="s">
        <v>1861</v>
      </c>
      <c r="D3145" s="3" t="s">
        <v>3176</v>
      </c>
      <c r="E3145" s="1"/>
      <c r="F3145" s="1"/>
      <c r="G3145" s="1"/>
      <c r="H3145" s="1"/>
      <c r="I3145" s="2"/>
      <c r="J3145" s="1"/>
      <c r="K3145" s="1"/>
      <c r="L3145" s="1"/>
      <c r="M3145" s="1"/>
      <c r="N3145" s="1"/>
      <c r="O3145" s="1"/>
      <c r="P3145" s="1"/>
      <c r="Q3145" s="1"/>
      <c r="R3145" s="1"/>
      <c r="S3145" s="1"/>
      <c r="T3145" s="1"/>
      <c r="U3145" s="1"/>
      <c r="V3145" s="1"/>
      <c r="W3145" s="1"/>
      <c r="X3145" s="1"/>
    </row>
    <row x14ac:dyDescent="0.25" r="3146" customHeight="1" ht="18.75">
      <c r="A3146" s="1"/>
      <c r="B3146" s="1"/>
      <c r="C3146" s="3" t="s">
        <v>1861</v>
      </c>
      <c r="D3146" s="3" t="s">
        <v>3177</v>
      </c>
      <c r="E3146" s="1"/>
      <c r="F3146" s="1"/>
      <c r="G3146" s="1"/>
      <c r="H3146" s="1"/>
      <c r="I3146" s="2"/>
      <c r="J3146" s="1"/>
      <c r="K3146" s="1"/>
      <c r="L3146" s="1"/>
      <c r="M3146" s="1"/>
      <c r="N3146" s="1"/>
      <c r="O3146" s="1"/>
      <c r="P3146" s="1"/>
      <c r="Q3146" s="1"/>
      <c r="R3146" s="1"/>
      <c r="S3146" s="1"/>
      <c r="T3146" s="1"/>
      <c r="U3146" s="1"/>
      <c r="V3146" s="1"/>
      <c r="W3146" s="1"/>
      <c r="X3146" s="1"/>
    </row>
    <row x14ac:dyDescent="0.25" r="3147" customHeight="1" ht="18.75">
      <c r="A3147" s="1"/>
      <c r="B3147" s="1"/>
      <c r="C3147" s="3" t="s">
        <v>1861</v>
      </c>
      <c r="D3147" s="3" t="s">
        <v>3178</v>
      </c>
      <c r="E3147" s="1"/>
      <c r="F3147" s="1"/>
      <c r="G3147" s="1"/>
      <c r="H3147" s="1"/>
      <c r="I3147" s="2"/>
      <c r="J3147" s="1"/>
      <c r="K3147" s="1"/>
      <c r="L3147" s="1"/>
      <c r="M3147" s="1"/>
      <c r="N3147" s="1"/>
      <c r="O3147" s="1"/>
      <c r="P3147" s="1"/>
      <c r="Q3147" s="1"/>
      <c r="R3147" s="1"/>
      <c r="S3147" s="1"/>
      <c r="T3147" s="1"/>
      <c r="U3147" s="1"/>
      <c r="V3147" s="1"/>
      <c r="W3147" s="1"/>
      <c r="X3147" s="1"/>
    </row>
    <row x14ac:dyDescent="0.25" r="3148" customHeight="1" ht="18.75">
      <c r="A3148" s="1"/>
      <c r="B3148" s="1"/>
      <c r="C3148" s="3" t="s">
        <v>1861</v>
      </c>
      <c r="D3148" s="3" t="s">
        <v>3179</v>
      </c>
      <c r="E3148" s="1"/>
      <c r="F3148" s="1"/>
      <c r="G3148" s="1"/>
      <c r="H3148" s="1"/>
      <c r="I3148" s="2"/>
      <c r="J3148" s="1"/>
      <c r="K3148" s="1"/>
      <c r="L3148" s="1"/>
      <c r="M3148" s="1"/>
      <c r="N3148" s="1"/>
      <c r="O3148" s="1"/>
      <c r="P3148" s="1"/>
      <c r="Q3148" s="1"/>
      <c r="R3148" s="1"/>
      <c r="S3148" s="1"/>
      <c r="T3148" s="1"/>
      <c r="U3148" s="1"/>
      <c r="V3148" s="1"/>
      <c r="W3148" s="1"/>
      <c r="X3148" s="1"/>
    </row>
    <row x14ac:dyDescent="0.25" r="3149" customHeight="1" ht="18.75">
      <c r="A3149" s="1"/>
      <c r="B3149" s="1"/>
      <c r="C3149" s="3" t="s">
        <v>1861</v>
      </c>
      <c r="D3149" s="3" t="s">
        <v>3180</v>
      </c>
      <c r="E3149" s="1"/>
      <c r="F3149" s="1"/>
      <c r="G3149" s="1"/>
      <c r="H3149" s="1"/>
      <c r="I3149" s="2"/>
      <c r="J3149" s="1"/>
      <c r="K3149" s="1"/>
      <c r="L3149" s="1"/>
      <c r="M3149" s="1"/>
      <c r="N3149" s="1"/>
      <c r="O3149" s="1"/>
      <c r="P3149" s="1"/>
      <c r="Q3149" s="1"/>
      <c r="R3149" s="1"/>
      <c r="S3149" s="1"/>
      <c r="T3149" s="1"/>
      <c r="U3149" s="1"/>
      <c r="V3149" s="1"/>
      <c r="W3149" s="1"/>
      <c r="X3149" s="1"/>
    </row>
    <row x14ac:dyDescent="0.25" r="3150" customHeight="1" ht="18.75">
      <c r="A3150" s="1"/>
      <c r="B3150" s="1"/>
      <c r="C3150" s="3" t="s">
        <v>1861</v>
      </c>
      <c r="D3150" s="3" t="s">
        <v>3181</v>
      </c>
      <c r="E3150" s="1"/>
      <c r="F3150" s="1"/>
      <c r="G3150" s="1"/>
      <c r="H3150" s="1"/>
      <c r="I3150" s="2"/>
      <c r="J3150" s="1"/>
      <c r="K3150" s="1"/>
      <c r="L3150" s="1"/>
      <c r="M3150" s="1"/>
      <c r="N3150" s="1"/>
      <c r="O3150" s="1"/>
      <c r="P3150" s="1"/>
      <c r="Q3150" s="1"/>
      <c r="R3150" s="1"/>
      <c r="S3150" s="1"/>
      <c r="T3150" s="1"/>
      <c r="U3150" s="1"/>
      <c r="V3150" s="1"/>
      <c r="W3150" s="1"/>
      <c r="X3150" s="1"/>
    </row>
    <row x14ac:dyDescent="0.25" r="3151" customHeight="1" ht="18.75">
      <c r="A3151" s="1"/>
      <c r="B3151" s="1"/>
      <c r="C3151" s="3" t="s">
        <v>1861</v>
      </c>
      <c r="D3151" s="3" t="s">
        <v>3182</v>
      </c>
      <c r="E3151" s="1"/>
      <c r="F3151" s="1"/>
      <c r="G3151" s="1"/>
      <c r="H3151" s="1"/>
      <c r="I3151" s="2"/>
      <c r="J3151" s="1"/>
      <c r="K3151" s="1"/>
      <c r="L3151" s="1"/>
      <c r="M3151" s="1"/>
      <c r="N3151" s="1"/>
      <c r="O3151" s="1"/>
      <c r="P3151" s="1"/>
      <c r="Q3151" s="1"/>
      <c r="R3151" s="1"/>
      <c r="S3151" s="1"/>
      <c r="T3151" s="1"/>
      <c r="U3151" s="1"/>
      <c r="V3151" s="1"/>
      <c r="W3151" s="1"/>
      <c r="X3151" s="1"/>
    </row>
    <row x14ac:dyDescent="0.25" r="3152" customHeight="1" ht="18.75">
      <c r="A3152" s="1"/>
      <c r="B3152" s="1"/>
      <c r="C3152" s="3" t="s">
        <v>1861</v>
      </c>
      <c r="D3152" s="3" t="s">
        <v>3183</v>
      </c>
      <c r="E3152" s="1"/>
      <c r="F3152" s="1"/>
      <c r="G3152" s="1"/>
      <c r="H3152" s="1"/>
      <c r="I3152" s="2"/>
      <c r="J3152" s="1"/>
      <c r="K3152" s="1"/>
      <c r="L3152" s="1"/>
      <c r="M3152" s="1"/>
      <c r="N3152" s="1"/>
      <c r="O3152" s="1"/>
      <c r="P3152" s="1"/>
      <c r="Q3152" s="1"/>
      <c r="R3152" s="1"/>
      <c r="S3152" s="1"/>
      <c r="T3152" s="1"/>
      <c r="U3152" s="1"/>
      <c r="V3152" s="1"/>
      <c r="W3152" s="1"/>
      <c r="X3152" s="1"/>
    </row>
    <row x14ac:dyDescent="0.25" r="3153" customHeight="1" ht="18.75">
      <c r="A3153" s="1"/>
      <c r="B3153" s="1"/>
      <c r="C3153" s="3" t="s">
        <v>1861</v>
      </c>
      <c r="D3153" s="3" t="s">
        <v>3184</v>
      </c>
      <c r="E3153" s="1"/>
      <c r="F3153" s="1"/>
      <c r="G3153" s="1"/>
      <c r="H3153" s="1"/>
      <c r="I3153" s="2"/>
      <c r="J3153" s="1"/>
      <c r="K3153" s="1"/>
      <c r="L3153" s="1"/>
      <c r="M3153" s="1"/>
      <c r="N3153" s="1"/>
      <c r="O3153" s="1"/>
      <c r="P3153" s="1"/>
      <c r="Q3153" s="1"/>
      <c r="R3153" s="1"/>
      <c r="S3153" s="1"/>
      <c r="T3153" s="1"/>
      <c r="U3153" s="1"/>
      <c r="V3153" s="1"/>
      <c r="W3153" s="1"/>
      <c r="X3153" s="1"/>
    </row>
    <row x14ac:dyDescent="0.25" r="3154" customHeight="1" ht="18.75">
      <c r="A3154" s="1"/>
      <c r="B3154" s="1"/>
      <c r="C3154" s="3" t="s">
        <v>1861</v>
      </c>
      <c r="D3154" s="3" t="s">
        <v>3185</v>
      </c>
      <c r="E3154" s="1"/>
      <c r="F3154" s="1"/>
      <c r="G3154" s="1"/>
      <c r="H3154" s="1"/>
      <c r="I3154" s="2"/>
      <c r="J3154" s="1"/>
      <c r="K3154" s="1"/>
      <c r="L3154" s="1"/>
      <c r="M3154" s="1"/>
      <c r="N3154" s="1"/>
      <c r="O3154" s="1"/>
      <c r="P3154" s="1"/>
      <c r="Q3154" s="1"/>
      <c r="R3154" s="1"/>
      <c r="S3154" s="1"/>
      <c r="T3154" s="1"/>
      <c r="U3154" s="1"/>
      <c r="V3154" s="1"/>
      <c r="W3154" s="1"/>
      <c r="X3154" s="1"/>
    </row>
    <row x14ac:dyDescent="0.25" r="3155" customHeight="1" ht="18.75">
      <c r="A3155" s="1"/>
      <c r="B3155" s="1"/>
      <c r="C3155" s="3" t="s">
        <v>1861</v>
      </c>
      <c r="D3155" s="3" t="s">
        <v>3186</v>
      </c>
      <c r="E3155" s="1"/>
      <c r="F3155" s="1"/>
      <c r="G3155" s="1"/>
      <c r="H3155" s="1"/>
      <c r="I3155" s="2"/>
      <c r="J3155" s="1"/>
      <c r="K3155" s="1"/>
      <c r="L3155" s="1"/>
      <c r="M3155" s="1"/>
      <c r="N3155" s="1"/>
      <c r="O3155" s="1"/>
      <c r="P3155" s="1"/>
      <c r="Q3155" s="1"/>
      <c r="R3155" s="1"/>
      <c r="S3155" s="1"/>
      <c r="T3155" s="1"/>
      <c r="U3155" s="1"/>
      <c r="V3155" s="1"/>
      <c r="W3155" s="1"/>
      <c r="X3155" s="1"/>
    </row>
    <row x14ac:dyDescent="0.25" r="3156" customHeight="1" ht="18.75">
      <c r="A3156" s="1"/>
      <c r="B3156" s="1"/>
      <c r="C3156" s="3" t="s">
        <v>1861</v>
      </c>
      <c r="D3156" s="3" t="s">
        <v>3187</v>
      </c>
      <c r="E3156" s="1"/>
      <c r="F3156" s="1"/>
      <c r="G3156" s="1"/>
      <c r="H3156" s="1"/>
      <c r="I3156" s="2"/>
      <c r="J3156" s="1"/>
      <c r="K3156" s="1"/>
      <c r="L3156" s="1"/>
      <c r="M3156" s="1"/>
      <c r="N3156" s="1"/>
      <c r="O3156" s="1"/>
      <c r="P3156" s="1"/>
      <c r="Q3156" s="1"/>
      <c r="R3156" s="1"/>
      <c r="S3156" s="1"/>
      <c r="T3156" s="1"/>
      <c r="U3156" s="1"/>
      <c r="V3156" s="1"/>
      <c r="W3156" s="1"/>
      <c r="X3156" s="1"/>
    </row>
    <row x14ac:dyDescent="0.25" r="3157" customHeight="1" ht="18.75">
      <c r="A3157" s="1"/>
      <c r="B3157" s="1"/>
      <c r="C3157" s="3" t="s">
        <v>1861</v>
      </c>
      <c r="D3157" s="3" t="s">
        <v>3188</v>
      </c>
      <c r="E3157" s="1"/>
      <c r="F3157" s="1"/>
      <c r="G3157" s="1"/>
      <c r="H3157" s="1"/>
      <c r="I3157" s="2"/>
      <c r="J3157" s="1"/>
      <c r="K3157" s="1"/>
      <c r="L3157" s="1"/>
      <c r="M3157" s="1"/>
      <c r="N3157" s="1"/>
      <c r="O3157" s="1"/>
      <c r="P3157" s="1"/>
      <c r="Q3157" s="1"/>
      <c r="R3157" s="1"/>
      <c r="S3157" s="1"/>
      <c r="T3157" s="1"/>
      <c r="U3157" s="1"/>
      <c r="V3157" s="1"/>
      <c r="W3157" s="1"/>
      <c r="X3157" s="1"/>
    </row>
    <row x14ac:dyDescent="0.25" r="3158" customHeight="1" ht="18.75">
      <c r="A3158" s="1"/>
      <c r="B3158" s="1"/>
      <c r="C3158" s="3" t="s">
        <v>1861</v>
      </c>
      <c r="D3158" s="3" t="s">
        <v>3189</v>
      </c>
      <c r="E3158" s="1"/>
      <c r="F3158" s="1"/>
      <c r="G3158" s="1"/>
      <c r="H3158" s="1"/>
      <c r="I3158" s="2"/>
      <c r="J3158" s="1"/>
      <c r="K3158" s="1"/>
      <c r="L3158" s="1"/>
      <c r="M3158" s="1"/>
      <c r="N3158" s="1"/>
      <c r="O3158" s="1"/>
      <c r="P3158" s="1"/>
      <c r="Q3158" s="1"/>
      <c r="R3158" s="1"/>
      <c r="S3158" s="1"/>
      <c r="T3158" s="1"/>
      <c r="U3158" s="1"/>
      <c r="V3158" s="1"/>
      <c r="W3158" s="1"/>
      <c r="X3158" s="1"/>
    </row>
    <row x14ac:dyDescent="0.25" r="3159" customHeight="1" ht="18.75">
      <c r="A3159" s="1"/>
      <c r="B3159" s="1"/>
      <c r="C3159" s="3" t="s">
        <v>1861</v>
      </c>
      <c r="D3159" s="3" t="s">
        <v>3190</v>
      </c>
      <c r="E3159" s="1"/>
      <c r="F3159" s="1"/>
      <c r="G3159" s="1"/>
      <c r="H3159" s="1"/>
      <c r="I3159" s="2"/>
      <c r="J3159" s="1"/>
      <c r="K3159" s="1"/>
      <c r="L3159" s="1"/>
      <c r="M3159" s="1"/>
      <c r="N3159" s="1"/>
      <c r="O3159" s="1"/>
      <c r="P3159" s="1"/>
      <c r="Q3159" s="1"/>
      <c r="R3159" s="1"/>
      <c r="S3159" s="1"/>
      <c r="T3159" s="1"/>
      <c r="U3159" s="1"/>
      <c r="V3159" s="1"/>
      <c r="W3159" s="1"/>
      <c r="X3159" s="1"/>
    </row>
    <row x14ac:dyDescent="0.25" r="3160" customHeight="1" ht="18.75">
      <c r="A3160" s="1"/>
      <c r="B3160" s="1"/>
      <c r="C3160" s="3" t="s">
        <v>1861</v>
      </c>
      <c r="D3160" s="3" t="s">
        <v>3191</v>
      </c>
      <c r="E3160" s="1"/>
      <c r="F3160" s="1"/>
      <c r="G3160" s="1"/>
      <c r="H3160" s="1"/>
      <c r="I3160" s="2"/>
      <c r="J3160" s="1"/>
      <c r="K3160" s="1"/>
      <c r="L3160" s="1"/>
      <c r="M3160" s="1"/>
      <c r="N3160" s="1"/>
      <c r="O3160" s="1"/>
      <c r="P3160" s="1"/>
      <c r="Q3160" s="1"/>
      <c r="R3160" s="1"/>
      <c r="S3160" s="1"/>
      <c r="T3160" s="1"/>
      <c r="U3160" s="1"/>
      <c r="V3160" s="1"/>
      <c r="W3160" s="1"/>
      <c r="X3160" s="1"/>
    </row>
    <row x14ac:dyDescent="0.25" r="3161" customHeight="1" ht="18.75">
      <c r="A3161" s="1"/>
      <c r="B3161" s="1"/>
      <c r="C3161" s="3" t="s">
        <v>1861</v>
      </c>
      <c r="D3161" s="3" t="s">
        <v>3192</v>
      </c>
      <c r="E3161" s="1"/>
      <c r="F3161" s="1"/>
      <c r="G3161" s="1"/>
      <c r="H3161" s="1"/>
      <c r="I3161" s="2"/>
      <c r="J3161" s="1"/>
      <c r="K3161" s="1"/>
      <c r="L3161" s="1"/>
      <c r="M3161" s="1"/>
      <c r="N3161" s="1"/>
      <c r="O3161" s="1"/>
      <c r="P3161" s="1"/>
      <c r="Q3161" s="1"/>
      <c r="R3161" s="1"/>
      <c r="S3161" s="1"/>
      <c r="T3161" s="1"/>
      <c r="U3161" s="1"/>
      <c r="V3161" s="1"/>
      <c r="W3161" s="1"/>
      <c r="X3161" s="1"/>
    </row>
    <row x14ac:dyDescent="0.25" r="3162" customHeight="1" ht="18.75">
      <c r="A3162" s="1"/>
      <c r="B3162" s="1"/>
      <c r="C3162" s="3" t="s">
        <v>1861</v>
      </c>
      <c r="D3162" s="3" t="s">
        <v>3193</v>
      </c>
      <c r="E3162" s="1"/>
      <c r="F3162" s="1"/>
      <c r="G3162" s="1"/>
      <c r="H3162" s="1"/>
      <c r="I3162" s="2"/>
      <c r="J3162" s="1"/>
      <c r="K3162" s="1"/>
      <c r="L3162" s="1"/>
      <c r="M3162" s="1"/>
      <c r="N3162" s="1"/>
      <c r="O3162" s="1"/>
      <c r="P3162" s="1"/>
      <c r="Q3162" s="1"/>
      <c r="R3162" s="1"/>
      <c r="S3162" s="1"/>
      <c r="T3162" s="1"/>
      <c r="U3162" s="1"/>
      <c r="V3162" s="1"/>
      <c r="W3162" s="1"/>
      <c r="X3162" s="1"/>
    </row>
    <row x14ac:dyDescent="0.25" r="3163" customHeight="1" ht="18.75">
      <c r="A3163" s="1"/>
      <c r="B3163" s="1"/>
      <c r="C3163" s="3" t="s">
        <v>1861</v>
      </c>
      <c r="D3163" s="3" t="s">
        <v>3194</v>
      </c>
      <c r="E3163" s="1"/>
      <c r="F3163" s="1"/>
      <c r="G3163" s="1"/>
      <c r="H3163" s="1"/>
      <c r="I3163" s="2"/>
      <c r="J3163" s="1"/>
      <c r="K3163" s="1"/>
      <c r="L3163" s="1"/>
      <c r="M3163" s="1"/>
      <c r="N3163" s="1"/>
      <c r="O3163" s="1"/>
      <c r="P3163" s="1"/>
      <c r="Q3163" s="1"/>
      <c r="R3163" s="1"/>
      <c r="S3163" s="1"/>
      <c r="T3163" s="1"/>
      <c r="U3163" s="1"/>
      <c r="V3163" s="1"/>
      <c r="W3163" s="1"/>
      <c r="X3163" s="1"/>
    </row>
    <row x14ac:dyDescent="0.25" r="3164" customHeight="1" ht="18.75">
      <c r="A3164" s="1"/>
      <c r="B3164" s="1"/>
      <c r="C3164" s="3" t="s">
        <v>1861</v>
      </c>
      <c r="D3164" s="3" t="s">
        <v>3195</v>
      </c>
      <c r="E3164" s="1"/>
      <c r="F3164" s="1"/>
      <c r="G3164" s="1"/>
      <c r="H3164" s="1"/>
      <c r="I3164" s="2"/>
      <c r="J3164" s="1"/>
      <c r="K3164" s="1"/>
      <c r="L3164" s="1"/>
      <c r="M3164" s="1"/>
      <c r="N3164" s="1"/>
      <c r="O3164" s="1"/>
      <c r="P3164" s="1"/>
      <c r="Q3164" s="1"/>
      <c r="R3164" s="1"/>
      <c r="S3164" s="1"/>
      <c r="T3164" s="1"/>
      <c r="U3164" s="1"/>
      <c r="V3164" s="1"/>
      <c r="W3164" s="1"/>
      <c r="X3164" s="1"/>
    </row>
    <row x14ac:dyDescent="0.25" r="3165" customHeight="1" ht="18.75">
      <c r="A3165" s="1"/>
      <c r="B3165" s="1"/>
      <c r="C3165" s="3" t="s">
        <v>1861</v>
      </c>
      <c r="D3165" s="3" t="s">
        <v>3196</v>
      </c>
      <c r="E3165" s="1"/>
      <c r="F3165" s="1"/>
      <c r="G3165" s="1"/>
      <c r="H3165" s="1"/>
      <c r="I3165" s="2"/>
      <c r="J3165" s="1"/>
      <c r="K3165" s="1"/>
      <c r="L3165" s="1"/>
      <c r="M3165" s="1"/>
      <c r="N3165" s="1"/>
      <c r="O3165" s="1"/>
      <c r="P3165" s="1"/>
      <c r="Q3165" s="1"/>
      <c r="R3165" s="1"/>
      <c r="S3165" s="1"/>
      <c r="T3165" s="1"/>
      <c r="U3165" s="1"/>
      <c r="V3165" s="1"/>
      <c r="W3165" s="1"/>
      <c r="X3165" s="1"/>
    </row>
    <row x14ac:dyDescent="0.25" r="3166" customHeight="1" ht="18.75">
      <c r="A3166" s="1"/>
      <c r="B3166" s="1"/>
      <c r="C3166" s="3" t="s">
        <v>1861</v>
      </c>
      <c r="D3166" s="3" t="s">
        <v>3197</v>
      </c>
      <c r="E3166" s="1"/>
      <c r="F3166" s="1"/>
      <c r="G3166" s="1"/>
      <c r="H3166" s="1"/>
      <c r="I3166" s="2"/>
      <c r="J3166" s="1"/>
      <c r="K3166" s="1"/>
      <c r="L3166" s="1"/>
      <c r="M3166" s="1"/>
      <c r="N3166" s="1"/>
      <c r="O3166" s="1"/>
      <c r="P3166" s="1"/>
      <c r="Q3166" s="1"/>
      <c r="R3166" s="1"/>
      <c r="S3166" s="1"/>
      <c r="T3166" s="1"/>
      <c r="U3166" s="1"/>
      <c r="V3166" s="1"/>
      <c r="W3166" s="1"/>
      <c r="X3166" s="1"/>
    </row>
    <row x14ac:dyDescent="0.25" r="3167" customHeight="1" ht="18.75">
      <c r="A3167" s="1"/>
      <c r="B3167" s="1"/>
      <c r="C3167" s="3" t="s">
        <v>1861</v>
      </c>
      <c r="D3167" s="3" t="s">
        <v>3198</v>
      </c>
      <c r="E3167" s="1"/>
      <c r="F3167" s="1"/>
      <c r="G3167" s="1"/>
      <c r="H3167" s="1"/>
      <c r="I3167" s="2"/>
      <c r="J3167" s="1"/>
      <c r="K3167" s="1"/>
      <c r="L3167" s="1"/>
      <c r="M3167" s="1"/>
      <c r="N3167" s="1"/>
      <c r="O3167" s="1"/>
      <c r="P3167" s="1"/>
      <c r="Q3167" s="1"/>
      <c r="R3167" s="1"/>
      <c r="S3167" s="1"/>
      <c r="T3167" s="1"/>
      <c r="U3167" s="1"/>
      <c r="V3167" s="1"/>
      <c r="W3167" s="1"/>
      <c r="X3167" s="1"/>
    </row>
    <row x14ac:dyDescent="0.25" r="3168" customHeight="1" ht="18.75">
      <c r="A3168" s="1"/>
      <c r="B3168" s="1"/>
      <c r="C3168" s="3" t="s">
        <v>1861</v>
      </c>
      <c r="D3168" s="3" t="s">
        <v>3199</v>
      </c>
      <c r="E3168" s="1"/>
      <c r="F3168" s="1"/>
      <c r="G3168" s="1"/>
      <c r="H3168" s="1"/>
      <c r="I3168" s="2"/>
      <c r="J3168" s="1"/>
      <c r="K3168" s="1"/>
      <c r="L3168" s="1"/>
      <c r="M3168" s="1"/>
      <c r="N3168" s="1"/>
      <c r="O3168" s="1"/>
      <c r="P3168" s="1"/>
      <c r="Q3168" s="1"/>
      <c r="R3168" s="1"/>
      <c r="S3168" s="1"/>
      <c r="T3168" s="1"/>
      <c r="U3168" s="1"/>
      <c r="V3168" s="1"/>
      <c r="W3168" s="1"/>
      <c r="X3168" s="1"/>
    </row>
    <row x14ac:dyDescent="0.25" r="3169" customHeight="1" ht="18.75">
      <c r="A3169" s="1"/>
      <c r="B3169" s="1"/>
      <c r="C3169" s="3" t="s">
        <v>1861</v>
      </c>
      <c r="D3169" s="3" t="s">
        <v>3200</v>
      </c>
      <c r="E3169" s="1"/>
      <c r="F3169" s="1"/>
      <c r="G3169" s="1"/>
      <c r="H3169" s="1"/>
      <c r="I3169" s="2"/>
      <c r="J3169" s="1"/>
      <c r="K3169" s="1"/>
      <c r="L3169" s="1"/>
      <c r="M3169" s="1"/>
      <c r="N3169" s="1"/>
      <c r="O3169" s="1"/>
      <c r="P3169" s="1"/>
      <c r="Q3169" s="1"/>
      <c r="R3169" s="1"/>
      <c r="S3169" s="1"/>
      <c r="T3169" s="1"/>
      <c r="U3169" s="1"/>
      <c r="V3169" s="1"/>
      <c r="W3169" s="1"/>
      <c r="X3169" s="1"/>
    </row>
    <row x14ac:dyDescent="0.25" r="3170" customHeight="1" ht="18.75">
      <c r="A3170" s="1"/>
      <c r="B3170" s="1"/>
      <c r="C3170" s="3" t="s">
        <v>1861</v>
      </c>
      <c r="D3170" s="3" t="s">
        <v>3201</v>
      </c>
      <c r="E3170" s="1"/>
      <c r="F3170" s="1"/>
      <c r="G3170" s="1"/>
      <c r="H3170" s="1"/>
      <c r="I3170" s="2"/>
      <c r="J3170" s="1"/>
      <c r="K3170" s="1"/>
      <c r="L3170" s="1"/>
      <c r="M3170" s="1"/>
      <c r="N3170" s="1"/>
      <c r="O3170" s="1"/>
      <c r="P3170" s="1"/>
      <c r="Q3170" s="1"/>
      <c r="R3170" s="1"/>
      <c r="S3170" s="1"/>
      <c r="T3170" s="1"/>
      <c r="U3170" s="1"/>
      <c r="V3170" s="1"/>
      <c r="W3170" s="1"/>
      <c r="X3170" s="1"/>
    </row>
    <row x14ac:dyDescent="0.25" r="3171" customHeight="1" ht="18.75">
      <c r="A3171" s="1"/>
      <c r="B3171" s="1"/>
      <c r="C3171" s="3" t="s">
        <v>1861</v>
      </c>
      <c r="D3171" s="3" t="s">
        <v>3202</v>
      </c>
      <c r="E3171" s="1"/>
      <c r="F3171" s="1"/>
      <c r="G3171" s="1"/>
      <c r="H3171" s="1"/>
      <c r="I3171" s="2"/>
      <c r="J3171" s="1"/>
      <c r="K3171" s="1"/>
      <c r="L3171" s="1"/>
      <c r="M3171" s="1"/>
      <c r="N3171" s="1"/>
      <c r="O3171" s="1"/>
      <c r="P3171" s="1"/>
      <c r="Q3171" s="1"/>
      <c r="R3171" s="1"/>
      <c r="S3171" s="1"/>
      <c r="T3171" s="1"/>
      <c r="U3171" s="1"/>
      <c r="V3171" s="1"/>
      <c r="W3171" s="1"/>
      <c r="X3171" s="1"/>
    </row>
    <row x14ac:dyDescent="0.25" r="3172" customHeight="1" ht="18.75">
      <c r="A3172" s="1"/>
      <c r="B3172" s="1"/>
      <c r="C3172" s="3" t="s">
        <v>1861</v>
      </c>
      <c r="D3172" s="3" t="s">
        <v>3203</v>
      </c>
      <c r="E3172" s="1"/>
      <c r="F3172" s="1"/>
      <c r="G3172" s="1"/>
      <c r="H3172" s="1"/>
      <c r="I3172" s="2"/>
      <c r="J3172" s="1"/>
      <c r="K3172" s="1"/>
      <c r="L3172" s="1"/>
      <c r="M3172" s="1"/>
      <c r="N3172" s="1"/>
      <c r="O3172" s="1"/>
      <c r="P3172" s="1"/>
      <c r="Q3172" s="1"/>
      <c r="R3172" s="1"/>
      <c r="S3172" s="1"/>
      <c r="T3172" s="1"/>
      <c r="U3172" s="1"/>
      <c r="V3172" s="1"/>
      <c r="W3172" s="1"/>
      <c r="X3172" s="1"/>
    </row>
    <row x14ac:dyDescent="0.25" r="3173" customHeight="1" ht="18.75">
      <c r="A3173" s="1"/>
      <c r="B3173" s="1"/>
      <c r="C3173" s="3" t="s">
        <v>1861</v>
      </c>
      <c r="D3173" s="3" t="s">
        <v>3204</v>
      </c>
      <c r="E3173" s="1"/>
      <c r="F3173" s="1"/>
      <c r="G3173" s="1"/>
      <c r="H3173" s="1"/>
      <c r="I3173" s="2"/>
      <c r="J3173" s="1"/>
      <c r="K3173" s="1"/>
      <c r="L3173" s="1"/>
      <c r="M3173" s="1"/>
      <c r="N3173" s="1"/>
      <c r="O3173" s="1"/>
      <c r="P3173" s="1"/>
      <c r="Q3173" s="1"/>
      <c r="R3173" s="1"/>
      <c r="S3173" s="1"/>
      <c r="T3173" s="1"/>
      <c r="U3173" s="1"/>
      <c r="V3173" s="1"/>
      <c r="W3173" s="1"/>
      <c r="X3173" s="1"/>
    </row>
    <row x14ac:dyDescent="0.25" r="3174" customHeight="1" ht="18.75">
      <c r="A3174" s="1"/>
      <c r="B3174" s="1"/>
      <c r="C3174" s="3" t="s">
        <v>1861</v>
      </c>
      <c r="D3174" s="3" t="s">
        <v>3205</v>
      </c>
      <c r="E3174" s="1"/>
      <c r="F3174" s="1"/>
      <c r="G3174" s="1"/>
      <c r="H3174" s="1"/>
      <c r="I3174" s="2"/>
      <c r="J3174" s="1"/>
      <c r="K3174" s="1"/>
      <c r="L3174" s="1"/>
      <c r="M3174" s="1"/>
      <c r="N3174" s="1"/>
      <c r="O3174" s="1"/>
      <c r="P3174" s="1"/>
      <c r="Q3174" s="1"/>
      <c r="R3174" s="1"/>
      <c r="S3174" s="1"/>
      <c r="T3174" s="1"/>
      <c r="U3174" s="1"/>
      <c r="V3174" s="1"/>
      <c r="W3174" s="1"/>
      <c r="X3174" s="1"/>
    </row>
    <row x14ac:dyDescent="0.25" r="3175" customHeight="1" ht="18.75">
      <c r="A3175" s="1"/>
      <c r="B3175" s="1"/>
      <c r="C3175" s="3" t="s">
        <v>1861</v>
      </c>
      <c r="D3175" s="3" t="s">
        <v>3206</v>
      </c>
      <c r="E3175" s="1"/>
      <c r="F3175" s="1"/>
      <c r="G3175" s="1"/>
      <c r="H3175" s="1"/>
      <c r="I3175" s="2"/>
      <c r="J3175" s="1"/>
      <c r="K3175" s="1"/>
      <c r="L3175" s="1"/>
      <c r="M3175" s="1"/>
      <c r="N3175" s="1"/>
      <c r="O3175" s="1"/>
      <c r="P3175" s="1"/>
      <c r="Q3175" s="1"/>
      <c r="R3175" s="1"/>
      <c r="S3175" s="1"/>
      <c r="T3175" s="1"/>
      <c r="U3175" s="1"/>
      <c r="V3175" s="1"/>
      <c r="W3175" s="1"/>
      <c r="X3175" s="1"/>
    </row>
    <row x14ac:dyDescent="0.25" r="3176" customHeight="1" ht="18.75">
      <c r="A3176" s="1"/>
      <c r="B3176" s="1"/>
      <c r="C3176" s="3" t="s">
        <v>1861</v>
      </c>
      <c r="D3176" s="3" t="s">
        <v>3207</v>
      </c>
      <c r="E3176" s="1"/>
      <c r="F3176" s="1"/>
      <c r="G3176" s="1"/>
      <c r="H3176" s="1"/>
      <c r="I3176" s="2"/>
      <c r="J3176" s="1"/>
      <c r="K3176" s="1"/>
      <c r="L3176" s="1"/>
      <c r="M3176" s="1"/>
      <c r="N3176" s="1"/>
      <c r="O3176" s="1"/>
      <c r="P3176" s="1"/>
      <c r="Q3176" s="1"/>
      <c r="R3176" s="1"/>
      <c r="S3176" s="1"/>
      <c r="T3176" s="1"/>
      <c r="U3176" s="1"/>
      <c r="V3176" s="1"/>
      <c r="W3176" s="1"/>
      <c r="X3176" s="1"/>
    </row>
    <row x14ac:dyDescent="0.25" r="3177" customHeight="1" ht="18.75">
      <c r="A3177" s="1"/>
      <c r="B3177" s="1"/>
      <c r="C3177" s="3" t="s">
        <v>1861</v>
      </c>
      <c r="D3177" s="3" t="s">
        <v>3208</v>
      </c>
      <c r="E3177" s="1"/>
      <c r="F3177" s="1"/>
      <c r="G3177" s="1"/>
      <c r="H3177" s="1"/>
      <c r="I3177" s="2"/>
      <c r="J3177" s="1"/>
      <c r="K3177" s="1"/>
      <c r="L3177" s="1"/>
      <c r="M3177" s="1"/>
      <c r="N3177" s="1"/>
      <c r="O3177" s="1"/>
      <c r="P3177" s="1"/>
      <c r="Q3177" s="1"/>
      <c r="R3177" s="1"/>
      <c r="S3177" s="1"/>
      <c r="T3177" s="1"/>
      <c r="U3177" s="1"/>
      <c r="V3177" s="1"/>
      <c r="W3177" s="1"/>
      <c r="X3177" s="1"/>
    </row>
    <row x14ac:dyDescent="0.25" r="3178" customHeight="1" ht="18.75">
      <c r="A3178" s="1"/>
      <c r="B3178" s="1"/>
      <c r="C3178" s="3" t="s">
        <v>1861</v>
      </c>
      <c r="D3178" s="3" t="s">
        <v>3209</v>
      </c>
      <c r="E3178" s="1"/>
      <c r="F3178" s="1"/>
      <c r="G3178" s="1"/>
      <c r="H3178" s="1"/>
      <c r="I3178" s="2"/>
      <c r="J3178" s="1"/>
      <c r="K3178" s="1"/>
      <c r="L3178" s="1"/>
      <c r="M3178" s="1"/>
      <c r="N3178" s="1"/>
      <c r="O3178" s="1"/>
      <c r="P3178" s="1"/>
      <c r="Q3178" s="1"/>
      <c r="R3178" s="1"/>
      <c r="S3178" s="1"/>
      <c r="T3178" s="1"/>
      <c r="U3178" s="1"/>
      <c r="V3178" s="1"/>
      <c r="W3178" s="1"/>
      <c r="X3178" s="1"/>
    </row>
    <row x14ac:dyDescent="0.25" r="3179" customHeight="1" ht="18.75">
      <c r="A3179" s="1"/>
      <c r="B3179" s="1"/>
      <c r="C3179" s="3" t="s">
        <v>1861</v>
      </c>
      <c r="D3179" s="3" t="s">
        <v>3210</v>
      </c>
      <c r="E3179" s="1"/>
      <c r="F3179" s="1"/>
      <c r="G3179" s="1"/>
      <c r="H3179" s="1"/>
      <c r="I3179" s="2"/>
      <c r="J3179" s="1"/>
      <c r="K3179" s="1"/>
      <c r="L3179" s="1"/>
      <c r="M3179" s="1"/>
      <c r="N3179" s="1"/>
      <c r="O3179" s="1"/>
      <c r="P3179" s="1"/>
      <c r="Q3179" s="1"/>
      <c r="R3179" s="1"/>
      <c r="S3179" s="1"/>
      <c r="T3179" s="1"/>
      <c r="U3179" s="1"/>
      <c r="V3179" s="1"/>
      <c r="W3179" s="1"/>
      <c r="X3179" s="1"/>
    </row>
    <row x14ac:dyDescent="0.25" r="3180" customHeight="1" ht="18.75">
      <c r="A3180" s="1"/>
      <c r="B3180" s="1"/>
      <c r="C3180" s="3" t="s">
        <v>1861</v>
      </c>
      <c r="D3180" s="3" t="s">
        <v>3211</v>
      </c>
      <c r="E3180" s="1"/>
      <c r="F3180" s="1"/>
      <c r="G3180" s="1"/>
      <c r="H3180" s="1"/>
      <c r="I3180" s="2"/>
      <c r="J3180" s="1"/>
      <c r="K3180" s="1"/>
      <c r="L3180" s="1"/>
      <c r="M3180" s="1"/>
      <c r="N3180" s="1"/>
      <c r="O3180" s="1"/>
      <c r="P3180" s="1"/>
      <c r="Q3180" s="1"/>
      <c r="R3180" s="1"/>
      <c r="S3180" s="1"/>
      <c r="T3180" s="1"/>
      <c r="U3180" s="1"/>
      <c r="V3180" s="1"/>
      <c r="W3180" s="1"/>
      <c r="X3180" s="1"/>
    </row>
    <row x14ac:dyDescent="0.25" r="3181" customHeight="1" ht="18.75">
      <c r="A3181" s="1"/>
      <c r="B3181" s="1"/>
      <c r="C3181" s="3" t="s">
        <v>1861</v>
      </c>
      <c r="D3181" s="3" t="s">
        <v>3212</v>
      </c>
      <c r="E3181" s="1"/>
      <c r="F3181" s="1"/>
      <c r="G3181" s="1"/>
      <c r="H3181" s="1"/>
      <c r="I3181" s="2"/>
      <c r="J3181" s="1"/>
      <c r="K3181" s="1"/>
      <c r="L3181" s="1"/>
      <c r="M3181" s="1"/>
      <c r="N3181" s="1"/>
      <c r="O3181" s="1"/>
      <c r="P3181" s="1"/>
      <c r="Q3181" s="1"/>
      <c r="R3181" s="1"/>
      <c r="S3181" s="1"/>
      <c r="T3181" s="1"/>
      <c r="U3181" s="1"/>
      <c r="V3181" s="1"/>
      <c r="W3181" s="1"/>
      <c r="X3181" s="1"/>
    </row>
    <row x14ac:dyDescent="0.25" r="3182" customHeight="1" ht="18.75">
      <c r="A3182" s="1"/>
      <c r="B3182" s="1"/>
      <c r="C3182" s="3" t="s">
        <v>1861</v>
      </c>
      <c r="D3182" s="3" t="s">
        <v>3213</v>
      </c>
      <c r="E3182" s="1"/>
      <c r="F3182" s="1"/>
      <c r="G3182" s="1"/>
      <c r="H3182" s="1"/>
      <c r="I3182" s="2"/>
      <c r="J3182" s="1"/>
      <c r="K3182" s="1"/>
      <c r="L3182" s="1"/>
      <c r="M3182" s="1"/>
      <c r="N3182" s="1"/>
      <c r="O3182" s="1"/>
      <c r="P3182" s="1"/>
      <c r="Q3182" s="1"/>
      <c r="R3182" s="1"/>
      <c r="S3182" s="1"/>
      <c r="T3182" s="1"/>
      <c r="U3182" s="1"/>
      <c r="V3182" s="1"/>
      <c r="W3182" s="1"/>
      <c r="X3182" s="1"/>
    </row>
    <row x14ac:dyDescent="0.25" r="3183" customHeight="1" ht="18.75">
      <c r="A3183" s="1"/>
      <c r="B3183" s="1"/>
      <c r="C3183" s="3" t="s">
        <v>1861</v>
      </c>
      <c r="D3183" s="3" t="s">
        <v>3214</v>
      </c>
      <c r="E3183" s="1"/>
      <c r="F3183" s="1"/>
      <c r="G3183" s="1"/>
      <c r="H3183" s="1"/>
      <c r="I3183" s="2"/>
      <c r="J3183" s="1"/>
      <c r="K3183" s="1"/>
      <c r="L3183" s="1"/>
      <c r="M3183" s="1"/>
      <c r="N3183" s="1"/>
      <c r="O3183" s="1"/>
      <c r="P3183" s="1"/>
      <c r="Q3183" s="1"/>
      <c r="R3183" s="1"/>
      <c r="S3183" s="1"/>
      <c r="T3183" s="1"/>
      <c r="U3183" s="1"/>
      <c r="V3183" s="1"/>
      <c r="W3183" s="1"/>
      <c r="X3183" s="1"/>
    </row>
    <row x14ac:dyDescent="0.25" r="3184" customHeight="1" ht="18.75">
      <c r="A3184" s="1"/>
      <c r="B3184" s="1"/>
      <c r="C3184" s="3" t="s">
        <v>1861</v>
      </c>
      <c r="D3184" s="3" t="s">
        <v>3215</v>
      </c>
      <c r="E3184" s="1"/>
      <c r="F3184" s="1"/>
      <c r="G3184" s="1"/>
      <c r="H3184" s="1"/>
      <c r="I3184" s="2"/>
      <c r="J3184" s="1"/>
      <c r="K3184" s="1"/>
      <c r="L3184" s="1"/>
      <c r="M3184" s="1"/>
      <c r="N3184" s="1"/>
      <c r="O3184" s="1"/>
      <c r="P3184" s="1"/>
      <c r="Q3184" s="1"/>
      <c r="R3184" s="1"/>
      <c r="S3184" s="1"/>
      <c r="T3184" s="1"/>
      <c r="U3184" s="1"/>
      <c r="V3184" s="1"/>
      <c r="W3184" s="1"/>
      <c r="X3184" s="1"/>
    </row>
    <row x14ac:dyDescent="0.25" r="3185" customHeight="1" ht="18.75">
      <c r="A3185" s="1"/>
      <c r="B3185" s="1"/>
      <c r="C3185" s="3" t="s">
        <v>1861</v>
      </c>
      <c r="D3185" s="3" t="s">
        <v>3216</v>
      </c>
      <c r="E3185" s="1"/>
      <c r="F3185" s="1"/>
      <c r="G3185" s="1"/>
      <c r="H3185" s="1"/>
      <c r="I3185" s="2"/>
      <c r="J3185" s="1"/>
      <c r="K3185" s="1"/>
      <c r="L3185" s="1"/>
      <c r="M3185" s="1"/>
      <c r="N3185" s="1"/>
      <c r="O3185" s="1"/>
      <c r="P3185" s="1"/>
      <c r="Q3185" s="1"/>
      <c r="R3185" s="1"/>
      <c r="S3185" s="1"/>
      <c r="T3185" s="1"/>
      <c r="U3185" s="1"/>
      <c r="V3185" s="1"/>
      <c r="W3185" s="1"/>
      <c r="X3185" s="1"/>
    </row>
    <row x14ac:dyDescent="0.25" r="3186" customHeight="1" ht="18.75">
      <c r="A3186" s="1"/>
      <c r="B3186" s="1"/>
      <c r="C3186" s="3" t="s">
        <v>1861</v>
      </c>
      <c r="D3186" s="3" t="s">
        <v>3217</v>
      </c>
      <c r="E3186" s="1"/>
      <c r="F3186" s="1"/>
      <c r="G3186" s="1"/>
      <c r="H3186" s="1"/>
      <c r="I3186" s="2"/>
      <c r="J3186" s="1"/>
      <c r="K3186" s="1"/>
      <c r="L3186" s="1"/>
      <c r="M3186" s="1"/>
      <c r="N3186" s="1"/>
      <c r="O3186" s="1"/>
      <c r="P3186" s="1"/>
      <c r="Q3186" s="1"/>
      <c r="R3186" s="1"/>
      <c r="S3186" s="1"/>
      <c r="T3186" s="1"/>
      <c r="U3186" s="1"/>
      <c r="V3186" s="1"/>
      <c r="W3186" s="1"/>
      <c r="X3186" s="1"/>
    </row>
    <row x14ac:dyDescent="0.25" r="3187" customHeight="1" ht="18.75">
      <c r="A3187" s="1"/>
      <c r="B3187" s="1"/>
      <c r="C3187" s="3" t="s">
        <v>1861</v>
      </c>
      <c r="D3187" s="3" t="s">
        <v>3218</v>
      </c>
      <c r="E3187" s="1"/>
      <c r="F3187" s="1"/>
      <c r="G3187" s="1"/>
      <c r="H3187" s="1"/>
      <c r="I3187" s="2"/>
      <c r="J3187" s="1"/>
      <c r="K3187" s="1"/>
      <c r="L3187" s="1"/>
      <c r="M3187" s="1"/>
      <c r="N3187" s="1"/>
      <c r="O3187" s="1"/>
      <c r="P3187" s="1"/>
      <c r="Q3187" s="1"/>
      <c r="R3187" s="1"/>
      <c r="S3187" s="1"/>
      <c r="T3187" s="1"/>
      <c r="U3187" s="1"/>
      <c r="V3187" s="1"/>
      <c r="W3187" s="1"/>
      <c r="X3187" s="1"/>
    </row>
    <row x14ac:dyDescent="0.25" r="3188" customHeight="1" ht="18.75">
      <c r="A3188" s="1"/>
      <c r="B3188" s="1"/>
      <c r="C3188" s="3" t="s">
        <v>1861</v>
      </c>
      <c r="D3188" s="3" t="s">
        <v>3219</v>
      </c>
      <c r="E3188" s="1"/>
      <c r="F3188" s="1"/>
      <c r="G3188" s="1"/>
      <c r="H3188" s="1"/>
      <c r="I3188" s="2"/>
      <c r="J3188" s="1"/>
      <c r="K3188" s="1"/>
      <c r="L3188" s="1"/>
      <c r="M3188" s="1"/>
      <c r="N3188" s="1"/>
      <c r="O3188" s="1"/>
      <c r="P3188" s="1"/>
      <c r="Q3188" s="1"/>
      <c r="R3188" s="1"/>
      <c r="S3188" s="1"/>
      <c r="T3188" s="1"/>
      <c r="U3188" s="1"/>
      <c r="V3188" s="1"/>
      <c r="W3188" s="1"/>
      <c r="X3188" s="1"/>
    </row>
    <row x14ac:dyDescent="0.25" r="3189" customHeight="1" ht="18.75">
      <c r="A3189" s="1"/>
      <c r="B3189" s="1"/>
      <c r="C3189" s="3" t="s">
        <v>1861</v>
      </c>
      <c r="D3189" s="3" t="s">
        <v>3220</v>
      </c>
      <c r="E3189" s="1"/>
      <c r="F3189" s="1"/>
      <c r="G3189" s="1"/>
      <c r="H3189" s="1"/>
      <c r="I3189" s="2"/>
      <c r="J3189" s="1"/>
      <c r="K3189" s="1"/>
      <c r="L3189" s="1"/>
      <c r="M3189" s="1"/>
      <c r="N3189" s="1"/>
      <c r="O3189" s="1"/>
      <c r="P3189" s="1"/>
      <c r="Q3189" s="1"/>
      <c r="R3189" s="1"/>
      <c r="S3189" s="1"/>
      <c r="T3189" s="1"/>
      <c r="U3189" s="1"/>
      <c r="V3189" s="1"/>
      <c r="W3189" s="1"/>
      <c r="X3189" s="1"/>
    </row>
    <row x14ac:dyDescent="0.25" r="3190" customHeight="1" ht="18.75">
      <c r="A3190" s="1"/>
      <c r="B3190" s="1"/>
      <c r="C3190" s="3" t="s">
        <v>1861</v>
      </c>
      <c r="D3190" s="3" t="s">
        <v>3221</v>
      </c>
      <c r="E3190" s="1"/>
      <c r="F3190" s="1"/>
      <c r="G3190" s="1"/>
      <c r="H3190" s="1"/>
      <c r="I3190" s="2"/>
      <c r="J3190" s="1"/>
      <c r="K3190" s="1"/>
      <c r="L3190" s="1"/>
      <c r="M3190" s="1"/>
      <c r="N3190" s="1"/>
      <c r="O3190" s="1"/>
      <c r="P3190" s="1"/>
      <c r="Q3190" s="1"/>
      <c r="R3190" s="1"/>
      <c r="S3190" s="1"/>
      <c r="T3190" s="1"/>
      <c r="U3190" s="1"/>
      <c r="V3190" s="1"/>
      <c r="W3190" s="1"/>
      <c r="X3190" s="1"/>
    </row>
    <row x14ac:dyDescent="0.25" r="3191" customHeight="1" ht="18.75">
      <c r="A3191" s="1"/>
      <c r="B3191" s="1"/>
      <c r="C3191" s="3" t="s">
        <v>1861</v>
      </c>
      <c r="D3191" s="3" t="s">
        <v>3222</v>
      </c>
      <c r="E3191" s="1"/>
      <c r="F3191" s="1"/>
      <c r="G3191" s="1"/>
      <c r="H3191" s="1"/>
      <c r="I3191" s="2"/>
      <c r="J3191" s="1"/>
      <c r="K3191" s="1"/>
      <c r="L3191" s="1"/>
      <c r="M3191" s="1"/>
      <c r="N3191" s="1"/>
      <c r="O3191" s="1"/>
      <c r="P3191" s="1"/>
      <c r="Q3191" s="1"/>
      <c r="R3191" s="1"/>
      <c r="S3191" s="1"/>
      <c r="T3191" s="1"/>
      <c r="U3191" s="1"/>
      <c r="V3191" s="1"/>
      <c r="W3191" s="1"/>
      <c r="X3191" s="1"/>
    </row>
    <row x14ac:dyDescent="0.25" r="3192" customHeight="1" ht="18.75">
      <c r="A3192" s="1"/>
      <c r="B3192" s="1"/>
      <c r="C3192" s="3" t="s">
        <v>1861</v>
      </c>
      <c r="D3192" s="3" t="s">
        <v>3223</v>
      </c>
      <c r="E3192" s="1"/>
      <c r="F3192" s="1"/>
      <c r="G3192" s="1"/>
      <c r="H3192" s="1"/>
      <c r="I3192" s="2"/>
      <c r="J3192" s="1"/>
      <c r="K3192" s="1"/>
      <c r="L3192" s="1"/>
      <c r="M3192" s="1"/>
      <c r="N3192" s="1"/>
      <c r="O3192" s="1"/>
      <c r="P3192" s="1"/>
      <c r="Q3192" s="1"/>
      <c r="R3192" s="1"/>
      <c r="S3192" s="1"/>
      <c r="T3192" s="1"/>
      <c r="U3192" s="1"/>
      <c r="V3192" s="1"/>
      <c r="W3192" s="1"/>
      <c r="X3192" s="1"/>
    </row>
    <row x14ac:dyDescent="0.25" r="3193" customHeight="1" ht="18.75">
      <c r="A3193" s="1"/>
      <c r="B3193" s="1"/>
      <c r="C3193" s="3" t="s">
        <v>1861</v>
      </c>
      <c r="D3193" s="3" t="s">
        <v>3224</v>
      </c>
      <c r="E3193" s="1"/>
      <c r="F3193" s="1"/>
      <c r="G3193" s="1"/>
      <c r="H3193" s="1"/>
      <c r="I3193" s="2"/>
      <c r="J3193" s="1"/>
      <c r="K3193" s="1"/>
      <c r="L3193" s="1"/>
      <c r="M3193" s="1"/>
      <c r="N3193" s="1"/>
      <c r="O3193" s="1"/>
      <c r="P3193" s="1"/>
      <c r="Q3193" s="1"/>
      <c r="R3193" s="1"/>
      <c r="S3193" s="1"/>
      <c r="T3193" s="1"/>
      <c r="U3193" s="1"/>
      <c r="V3193" s="1"/>
      <c r="W3193" s="1"/>
      <c r="X3193" s="1"/>
    </row>
    <row x14ac:dyDescent="0.25" r="3194" customHeight="1" ht="18.75">
      <c r="A3194" s="1"/>
      <c r="B3194" s="1"/>
      <c r="C3194" s="3" t="s">
        <v>1861</v>
      </c>
      <c r="D3194" s="3" t="s">
        <v>3225</v>
      </c>
      <c r="E3194" s="1"/>
      <c r="F3194" s="1"/>
      <c r="G3194" s="1"/>
      <c r="H3194" s="1"/>
      <c r="I3194" s="2"/>
      <c r="J3194" s="1"/>
      <c r="K3194" s="1"/>
      <c r="L3194" s="1"/>
      <c r="M3194" s="1"/>
      <c r="N3194" s="1"/>
      <c r="O3194" s="1"/>
      <c r="P3194" s="1"/>
      <c r="Q3194" s="1"/>
      <c r="R3194" s="1"/>
      <c r="S3194" s="1"/>
      <c r="T3194" s="1"/>
      <c r="U3194" s="1"/>
      <c r="V3194" s="1"/>
      <c r="W3194" s="1"/>
      <c r="X3194" s="1"/>
    </row>
    <row x14ac:dyDescent="0.25" r="3195" customHeight="1" ht="18.75">
      <c r="A3195" s="1"/>
      <c r="B3195" s="1"/>
      <c r="C3195" s="3" t="s">
        <v>1861</v>
      </c>
      <c r="D3195" s="3" t="s">
        <v>3226</v>
      </c>
      <c r="E3195" s="1"/>
      <c r="F3195" s="1"/>
      <c r="G3195" s="1"/>
      <c r="H3195" s="1"/>
      <c r="I3195" s="2"/>
      <c r="J3195" s="1"/>
      <c r="K3195" s="1"/>
      <c r="L3195" s="1"/>
      <c r="M3195" s="1"/>
      <c r="N3195" s="1"/>
      <c r="O3195" s="1"/>
      <c r="P3195" s="1"/>
      <c r="Q3195" s="1"/>
      <c r="R3195" s="1"/>
      <c r="S3195" s="1"/>
      <c r="T3195" s="1"/>
      <c r="U3195" s="1"/>
      <c r="V3195" s="1"/>
      <c r="W3195" s="1"/>
      <c r="X3195" s="1"/>
    </row>
    <row x14ac:dyDescent="0.25" r="3196" customHeight="1" ht="18.75">
      <c r="A3196" s="1"/>
      <c r="B3196" s="1"/>
      <c r="C3196" s="3" t="s">
        <v>1861</v>
      </c>
      <c r="D3196" s="3" t="s">
        <v>3227</v>
      </c>
      <c r="E3196" s="1"/>
      <c r="F3196" s="1"/>
      <c r="G3196" s="1"/>
      <c r="H3196" s="1"/>
      <c r="I3196" s="2"/>
      <c r="J3196" s="1"/>
      <c r="K3196" s="1"/>
      <c r="L3196" s="1"/>
      <c r="M3196" s="1"/>
      <c r="N3196" s="1"/>
      <c r="O3196" s="1"/>
      <c r="P3196" s="1"/>
      <c r="Q3196" s="1"/>
      <c r="R3196" s="1"/>
      <c r="S3196" s="1"/>
      <c r="T3196" s="1"/>
      <c r="U3196" s="1"/>
      <c r="V3196" s="1"/>
      <c r="W3196" s="1"/>
      <c r="X3196" s="1"/>
    </row>
    <row x14ac:dyDescent="0.25" r="3197" customHeight="1" ht="18.75">
      <c r="A3197" s="1"/>
      <c r="B3197" s="1"/>
      <c r="C3197" s="3" t="s">
        <v>1861</v>
      </c>
      <c r="D3197" s="3" t="s">
        <v>3228</v>
      </c>
      <c r="E3197" s="1"/>
      <c r="F3197" s="1"/>
      <c r="G3197" s="1"/>
      <c r="H3197" s="1"/>
      <c r="I3197" s="2"/>
      <c r="J3197" s="1"/>
      <c r="K3197" s="1"/>
      <c r="L3197" s="1"/>
      <c r="M3197" s="1"/>
      <c r="N3197" s="1"/>
      <c r="O3197" s="1"/>
      <c r="P3197" s="1"/>
      <c r="Q3197" s="1"/>
      <c r="R3197" s="1"/>
      <c r="S3197" s="1"/>
      <c r="T3197" s="1"/>
      <c r="U3197" s="1"/>
      <c r="V3197" s="1"/>
      <c r="W3197" s="1"/>
      <c r="X3197" s="1"/>
    </row>
    <row x14ac:dyDescent="0.25" r="3198" customHeight="1" ht="18.75">
      <c r="A3198" s="1"/>
      <c r="B3198" s="1"/>
      <c r="C3198" s="3" t="s">
        <v>1861</v>
      </c>
      <c r="D3198" s="3" t="s">
        <v>3229</v>
      </c>
      <c r="E3198" s="1"/>
      <c r="F3198" s="1"/>
      <c r="G3198" s="1"/>
      <c r="H3198" s="1"/>
      <c r="I3198" s="2"/>
      <c r="J3198" s="1"/>
      <c r="K3198" s="1"/>
      <c r="L3198" s="1"/>
      <c r="M3198" s="1"/>
      <c r="N3198" s="1"/>
      <c r="O3198" s="1"/>
      <c r="P3198" s="1"/>
      <c r="Q3198" s="1"/>
      <c r="R3198" s="1"/>
      <c r="S3198" s="1"/>
      <c r="T3198" s="1"/>
      <c r="U3198" s="1"/>
      <c r="V3198" s="1"/>
      <c r="W3198" s="1"/>
      <c r="X3198" s="1"/>
    </row>
    <row x14ac:dyDescent="0.25" r="3199" customHeight="1" ht="18.75">
      <c r="A3199" s="1"/>
      <c r="B3199" s="1"/>
      <c r="C3199" s="3" t="s">
        <v>1861</v>
      </c>
      <c r="D3199" s="3" t="s">
        <v>3230</v>
      </c>
      <c r="E3199" s="1"/>
      <c r="F3199" s="1"/>
      <c r="G3199" s="1"/>
      <c r="H3199" s="1"/>
      <c r="I3199" s="2"/>
      <c r="J3199" s="1"/>
      <c r="K3199" s="1"/>
      <c r="L3199" s="1"/>
      <c r="M3199" s="1"/>
      <c r="N3199" s="1"/>
      <c r="O3199" s="1"/>
      <c r="P3199" s="1"/>
      <c r="Q3199" s="1"/>
      <c r="R3199" s="1"/>
      <c r="S3199" s="1"/>
      <c r="T3199" s="1"/>
      <c r="U3199" s="1"/>
      <c r="V3199" s="1"/>
      <c r="W3199" s="1"/>
      <c r="X3199" s="1"/>
    </row>
    <row x14ac:dyDescent="0.25" r="3200" customHeight="1" ht="18.75">
      <c r="A3200" s="1"/>
      <c r="B3200" s="1"/>
      <c r="C3200" s="3" t="s">
        <v>1861</v>
      </c>
      <c r="D3200" s="3" t="s">
        <v>3231</v>
      </c>
      <c r="E3200" s="1"/>
      <c r="F3200" s="1"/>
      <c r="G3200" s="1"/>
      <c r="H3200" s="1"/>
      <c r="I3200" s="2"/>
      <c r="J3200" s="1"/>
      <c r="K3200" s="1"/>
      <c r="L3200" s="1"/>
      <c r="M3200" s="1"/>
      <c r="N3200" s="1"/>
      <c r="O3200" s="1"/>
      <c r="P3200" s="1"/>
      <c r="Q3200" s="1"/>
      <c r="R3200" s="1"/>
      <c r="S3200" s="1"/>
      <c r="T3200" s="1"/>
      <c r="U3200" s="1"/>
      <c r="V3200" s="1"/>
      <c r="W3200" s="1"/>
      <c r="X3200" s="1"/>
    </row>
    <row x14ac:dyDescent="0.25" r="3201" customHeight="1" ht="18.75">
      <c r="A3201" s="1"/>
      <c r="B3201" s="1"/>
      <c r="C3201" s="3" t="s">
        <v>1861</v>
      </c>
      <c r="D3201" s="3" t="s">
        <v>3232</v>
      </c>
      <c r="E3201" s="1"/>
      <c r="F3201" s="1"/>
      <c r="G3201" s="1"/>
      <c r="H3201" s="1"/>
      <c r="I3201" s="2"/>
      <c r="J3201" s="1"/>
      <c r="K3201" s="1"/>
      <c r="L3201" s="1"/>
      <c r="M3201" s="1"/>
      <c r="N3201" s="1"/>
      <c r="O3201" s="1"/>
      <c r="P3201" s="1"/>
      <c r="Q3201" s="1"/>
      <c r="R3201" s="1"/>
      <c r="S3201" s="1"/>
      <c r="T3201" s="1"/>
      <c r="U3201" s="1"/>
      <c r="V3201" s="1"/>
      <c r="W3201" s="1"/>
      <c r="X3201" s="1"/>
    </row>
    <row x14ac:dyDescent="0.25" r="3202" customHeight="1" ht="18.75">
      <c r="A3202" s="1"/>
      <c r="B3202" s="1"/>
      <c r="C3202" s="3" t="s">
        <v>1861</v>
      </c>
      <c r="D3202" s="3" t="s">
        <v>3233</v>
      </c>
      <c r="E3202" s="1"/>
      <c r="F3202" s="1"/>
      <c r="G3202" s="1"/>
      <c r="H3202" s="1"/>
      <c r="I3202" s="2"/>
      <c r="J3202" s="1"/>
      <c r="K3202" s="1"/>
      <c r="L3202" s="1"/>
      <c r="M3202" s="1"/>
      <c r="N3202" s="1"/>
      <c r="O3202" s="1"/>
      <c r="P3202" s="1"/>
      <c r="Q3202" s="1"/>
      <c r="R3202" s="1"/>
      <c r="S3202" s="1"/>
      <c r="T3202" s="1"/>
      <c r="U3202" s="1"/>
      <c r="V3202" s="1"/>
      <c r="W3202" s="1"/>
      <c r="X3202" s="1"/>
    </row>
    <row x14ac:dyDescent="0.25" r="3203" customHeight="1" ht="18.75">
      <c r="A3203" s="1"/>
      <c r="B3203" s="1"/>
      <c r="C3203" s="3" t="s">
        <v>1861</v>
      </c>
      <c r="D3203" s="3" t="s">
        <v>3234</v>
      </c>
      <c r="E3203" s="1"/>
      <c r="F3203" s="1"/>
      <c r="G3203" s="1"/>
      <c r="H3203" s="1"/>
      <c r="I3203" s="2"/>
      <c r="J3203" s="1"/>
      <c r="K3203" s="1"/>
      <c r="L3203" s="1"/>
      <c r="M3203" s="1"/>
      <c r="N3203" s="1"/>
      <c r="O3203" s="1"/>
      <c r="P3203" s="1"/>
      <c r="Q3203" s="1"/>
      <c r="R3203" s="1"/>
      <c r="S3203" s="1"/>
      <c r="T3203" s="1"/>
      <c r="U3203" s="1"/>
      <c r="V3203" s="1"/>
      <c r="W3203" s="1"/>
      <c r="X3203" s="1"/>
    </row>
    <row x14ac:dyDescent="0.25" r="3204" customHeight="1" ht="18.75">
      <c r="A3204" s="1"/>
      <c r="B3204" s="1"/>
      <c r="C3204" s="3" t="s">
        <v>1861</v>
      </c>
      <c r="D3204" s="3" t="s">
        <v>3235</v>
      </c>
      <c r="E3204" s="1"/>
      <c r="F3204" s="1"/>
      <c r="G3204" s="1"/>
      <c r="H3204" s="1"/>
      <c r="I3204" s="2"/>
      <c r="J3204" s="1"/>
      <c r="K3204" s="1"/>
      <c r="L3204" s="1"/>
      <c r="M3204" s="1"/>
      <c r="N3204" s="1"/>
      <c r="O3204" s="1"/>
      <c r="P3204" s="1"/>
      <c r="Q3204" s="1"/>
      <c r="R3204" s="1"/>
      <c r="S3204" s="1"/>
      <c r="T3204" s="1"/>
      <c r="U3204" s="1"/>
      <c r="V3204" s="1"/>
      <c r="W3204" s="1"/>
      <c r="X3204" s="1"/>
    </row>
    <row x14ac:dyDescent="0.25" r="3205" customHeight="1" ht="18.75">
      <c r="A3205" s="1"/>
      <c r="B3205" s="1"/>
      <c r="C3205" s="3" t="s">
        <v>1861</v>
      </c>
      <c r="D3205" s="3" t="s">
        <v>3236</v>
      </c>
      <c r="E3205" s="1"/>
      <c r="F3205" s="1"/>
      <c r="G3205" s="1"/>
      <c r="H3205" s="1"/>
      <c r="I3205" s="2"/>
      <c r="J3205" s="1"/>
      <c r="K3205" s="1"/>
      <c r="L3205" s="1"/>
      <c r="M3205" s="1"/>
      <c r="N3205" s="1"/>
      <c r="O3205" s="1"/>
      <c r="P3205" s="1"/>
      <c r="Q3205" s="1"/>
      <c r="R3205" s="1"/>
      <c r="S3205" s="1"/>
      <c r="T3205" s="1"/>
      <c r="U3205" s="1"/>
      <c r="V3205" s="1"/>
      <c r="W3205" s="1"/>
      <c r="X3205" s="1"/>
    </row>
    <row x14ac:dyDescent="0.25" r="3206" customHeight="1" ht="18.75">
      <c r="A3206" s="1"/>
      <c r="B3206" s="1"/>
      <c r="C3206" s="3" t="s">
        <v>1861</v>
      </c>
      <c r="D3206" s="3" t="s">
        <v>3237</v>
      </c>
      <c r="E3206" s="1"/>
      <c r="F3206" s="1"/>
      <c r="G3206" s="1"/>
      <c r="H3206" s="1"/>
      <c r="I3206" s="2"/>
      <c r="J3206" s="1"/>
      <c r="K3206" s="1"/>
      <c r="L3206" s="1"/>
      <c r="M3206" s="1"/>
      <c r="N3206" s="1"/>
      <c r="O3206" s="1"/>
      <c r="P3206" s="1"/>
      <c r="Q3206" s="1"/>
      <c r="R3206" s="1"/>
      <c r="S3206" s="1"/>
      <c r="T3206" s="1"/>
      <c r="U3206" s="1"/>
      <c r="V3206" s="1"/>
      <c r="W3206" s="1"/>
      <c r="X3206" s="1"/>
    </row>
    <row x14ac:dyDescent="0.25" r="3207" customHeight="1" ht="18.75">
      <c r="A3207" s="1"/>
      <c r="B3207" s="1"/>
      <c r="C3207" s="3" t="s">
        <v>1861</v>
      </c>
      <c r="D3207" s="3" t="s">
        <v>3238</v>
      </c>
      <c r="E3207" s="1"/>
      <c r="F3207" s="1"/>
      <c r="G3207" s="1"/>
      <c r="H3207" s="1"/>
      <c r="I3207" s="2"/>
      <c r="J3207" s="1"/>
      <c r="K3207" s="1"/>
      <c r="L3207" s="1"/>
      <c r="M3207" s="1"/>
      <c r="N3207" s="1"/>
      <c r="O3207" s="1"/>
      <c r="P3207" s="1"/>
      <c r="Q3207" s="1"/>
      <c r="R3207" s="1"/>
      <c r="S3207" s="1"/>
      <c r="T3207" s="1"/>
      <c r="U3207" s="1"/>
      <c r="V3207" s="1"/>
      <c r="W3207" s="1"/>
      <c r="X3207" s="1"/>
    </row>
    <row x14ac:dyDescent="0.25" r="3208" customHeight="1" ht="18.75">
      <c r="A3208" s="1"/>
      <c r="B3208" s="1"/>
      <c r="C3208" s="3" t="s">
        <v>1861</v>
      </c>
      <c r="D3208" s="3" t="s">
        <v>3239</v>
      </c>
      <c r="E3208" s="1"/>
      <c r="F3208" s="1"/>
      <c r="G3208" s="1"/>
      <c r="H3208" s="1"/>
      <c r="I3208" s="2"/>
      <c r="J3208" s="1"/>
      <c r="K3208" s="1"/>
      <c r="L3208" s="1"/>
      <c r="M3208" s="1"/>
      <c r="N3208" s="1"/>
      <c r="O3208" s="1"/>
      <c r="P3208" s="1"/>
      <c r="Q3208" s="1"/>
      <c r="R3208" s="1"/>
      <c r="S3208" s="1"/>
      <c r="T3208" s="1"/>
      <c r="U3208" s="1"/>
      <c r="V3208" s="1"/>
      <c r="W3208" s="1"/>
      <c r="X3208" s="1"/>
    </row>
    <row x14ac:dyDescent="0.25" r="3209" customHeight="1" ht="18.75">
      <c r="A3209" s="1"/>
      <c r="B3209" s="1"/>
      <c r="C3209" s="3" t="s">
        <v>1861</v>
      </c>
      <c r="D3209" s="3" t="s">
        <v>3240</v>
      </c>
      <c r="E3209" s="1"/>
      <c r="F3209" s="1"/>
      <c r="G3209" s="1"/>
      <c r="H3209" s="1"/>
      <c r="I3209" s="2"/>
      <c r="J3209" s="1"/>
      <c r="K3209" s="1"/>
      <c r="L3209" s="1"/>
      <c r="M3209" s="1"/>
      <c r="N3209" s="1"/>
      <c r="O3209" s="1"/>
      <c r="P3209" s="1"/>
      <c r="Q3209" s="1"/>
      <c r="R3209" s="1"/>
      <c r="S3209" s="1"/>
      <c r="T3209" s="1"/>
      <c r="U3209" s="1"/>
      <c r="V3209" s="1"/>
      <c r="W3209" s="1"/>
      <c r="X3209" s="1"/>
    </row>
    <row x14ac:dyDescent="0.25" r="3210" customHeight="1" ht="18.75">
      <c r="A3210" s="1"/>
      <c r="B3210" s="1"/>
      <c r="C3210" s="3" t="s">
        <v>1861</v>
      </c>
      <c r="D3210" s="3" t="s">
        <v>3241</v>
      </c>
      <c r="E3210" s="1"/>
      <c r="F3210" s="1"/>
      <c r="G3210" s="1"/>
      <c r="H3210" s="1"/>
      <c r="I3210" s="2"/>
      <c r="J3210" s="1"/>
      <c r="K3210" s="1"/>
      <c r="L3210" s="1"/>
      <c r="M3210" s="1"/>
      <c r="N3210" s="1"/>
      <c r="O3210" s="1"/>
      <c r="P3210" s="1"/>
      <c r="Q3210" s="1"/>
      <c r="R3210" s="1"/>
      <c r="S3210" s="1"/>
      <c r="T3210" s="1"/>
      <c r="U3210" s="1"/>
      <c r="V3210" s="1"/>
      <c r="W3210" s="1"/>
      <c r="X3210" s="1"/>
    </row>
    <row x14ac:dyDescent="0.25" r="3211" customHeight="1" ht="18.75">
      <c r="A3211" s="1"/>
      <c r="B3211" s="1"/>
      <c r="C3211" s="3" t="s">
        <v>1861</v>
      </c>
      <c r="D3211" s="3" t="s">
        <v>3242</v>
      </c>
      <c r="E3211" s="1"/>
      <c r="F3211" s="1"/>
      <c r="G3211" s="1"/>
      <c r="H3211" s="1"/>
      <c r="I3211" s="2"/>
      <c r="J3211" s="1"/>
      <c r="K3211" s="1"/>
      <c r="L3211" s="1"/>
      <c r="M3211" s="1"/>
      <c r="N3211" s="1"/>
      <c r="O3211" s="1"/>
      <c r="P3211" s="1"/>
      <c r="Q3211" s="1"/>
      <c r="R3211" s="1"/>
      <c r="S3211" s="1"/>
      <c r="T3211" s="1"/>
      <c r="U3211" s="1"/>
      <c r="V3211" s="1"/>
      <c r="W3211" s="1"/>
      <c r="X3211" s="1"/>
    </row>
    <row x14ac:dyDescent="0.25" r="3212" customHeight="1" ht="18.75">
      <c r="A3212" s="1"/>
      <c r="B3212" s="1"/>
      <c r="C3212" s="3" t="s">
        <v>1861</v>
      </c>
      <c r="D3212" s="3" t="s">
        <v>3243</v>
      </c>
      <c r="E3212" s="1"/>
      <c r="F3212" s="1"/>
      <c r="G3212" s="1"/>
      <c r="H3212" s="1"/>
      <c r="I3212" s="2"/>
      <c r="J3212" s="1"/>
      <c r="K3212" s="1"/>
      <c r="L3212" s="1"/>
      <c r="M3212" s="1"/>
      <c r="N3212" s="1"/>
      <c r="O3212" s="1"/>
      <c r="P3212" s="1"/>
      <c r="Q3212" s="1"/>
      <c r="R3212" s="1"/>
      <c r="S3212" s="1"/>
      <c r="T3212" s="1"/>
      <c r="U3212" s="1"/>
      <c r="V3212" s="1"/>
      <c r="W3212" s="1"/>
      <c r="X3212" s="1"/>
    </row>
    <row x14ac:dyDescent="0.25" r="3213" customHeight="1" ht="18.75">
      <c r="A3213" s="1"/>
      <c r="B3213" s="1"/>
      <c r="C3213" s="3" t="s">
        <v>1861</v>
      </c>
      <c r="D3213" s="3" t="s">
        <v>3244</v>
      </c>
      <c r="E3213" s="1"/>
      <c r="F3213" s="1"/>
      <c r="G3213" s="1"/>
      <c r="H3213" s="1"/>
      <c r="I3213" s="2"/>
      <c r="J3213" s="1"/>
      <c r="K3213" s="1"/>
      <c r="L3213" s="1"/>
      <c r="M3213" s="1"/>
      <c r="N3213" s="1"/>
      <c r="O3213" s="1"/>
      <c r="P3213" s="1"/>
      <c r="Q3213" s="1"/>
      <c r="R3213" s="1"/>
      <c r="S3213" s="1"/>
      <c r="T3213" s="1"/>
      <c r="U3213" s="1"/>
      <c r="V3213" s="1"/>
      <c r="W3213" s="1"/>
      <c r="X3213" s="1"/>
    </row>
    <row x14ac:dyDescent="0.25" r="3214" customHeight="1" ht="18.75">
      <c r="A3214" s="1"/>
      <c r="B3214" s="1"/>
      <c r="C3214" s="3" t="s">
        <v>1861</v>
      </c>
      <c r="D3214" s="3" t="s">
        <v>3245</v>
      </c>
      <c r="E3214" s="1"/>
      <c r="F3214" s="1"/>
      <c r="G3214" s="1"/>
      <c r="H3214" s="1"/>
      <c r="I3214" s="2"/>
      <c r="J3214" s="1"/>
      <c r="K3214" s="1"/>
      <c r="L3214" s="1"/>
      <c r="M3214" s="1"/>
      <c r="N3214" s="1"/>
      <c r="O3214" s="1"/>
      <c r="P3214" s="1"/>
      <c r="Q3214" s="1"/>
      <c r="R3214" s="1"/>
      <c r="S3214" s="1"/>
      <c r="T3214" s="1"/>
      <c r="U3214" s="1"/>
      <c r="V3214" s="1"/>
      <c r="W3214" s="1"/>
      <c r="X3214" s="1"/>
    </row>
    <row x14ac:dyDescent="0.25" r="3215" customHeight="1" ht="18.75">
      <c r="A3215" s="1"/>
      <c r="B3215" s="1"/>
      <c r="C3215" s="3" t="s">
        <v>1861</v>
      </c>
      <c r="D3215" s="3" t="s">
        <v>3246</v>
      </c>
      <c r="E3215" s="1"/>
      <c r="F3215" s="1"/>
      <c r="G3215" s="1"/>
      <c r="H3215" s="1"/>
      <c r="I3215" s="2"/>
      <c r="J3215" s="1"/>
      <c r="K3215" s="1"/>
      <c r="L3215" s="1"/>
      <c r="M3215" s="1"/>
      <c r="N3215" s="1"/>
      <c r="O3215" s="1"/>
      <c r="P3215" s="1"/>
      <c r="Q3215" s="1"/>
      <c r="R3215" s="1"/>
      <c r="S3215" s="1"/>
      <c r="T3215" s="1"/>
      <c r="U3215" s="1"/>
      <c r="V3215" s="1"/>
      <c r="W3215" s="1"/>
      <c r="X3215" s="1"/>
    </row>
    <row x14ac:dyDescent="0.25" r="3216" customHeight="1" ht="18.75">
      <c r="A3216" s="1"/>
      <c r="B3216" s="1"/>
      <c r="C3216" s="3" t="s">
        <v>1861</v>
      </c>
      <c r="D3216" s="3" t="s">
        <v>3247</v>
      </c>
      <c r="E3216" s="1"/>
      <c r="F3216" s="1"/>
      <c r="G3216" s="1"/>
      <c r="H3216" s="1"/>
      <c r="I3216" s="2"/>
      <c r="J3216" s="1"/>
      <c r="K3216" s="1"/>
      <c r="L3216" s="1"/>
      <c r="M3216" s="1"/>
      <c r="N3216" s="1"/>
      <c r="O3216" s="1"/>
      <c r="P3216" s="1"/>
      <c r="Q3216" s="1"/>
      <c r="R3216" s="1"/>
      <c r="S3216" s="1"/>
      <c r="T3216" s="1"/>
      <c r="U3216" s="1"/>
      <c r="V3216" s="1"/>
      <c r="W3216" s="1"/>
      <c r="X3216" s="1"/>
    </row>
    <row x14ac:dyDescent="0.25" r="3217" customHeight="1" ht="18.75">
      <c r="A3217" s="1"/>
      <c r="B3217" s="1"/>
      <c r="C3217" s="3" t="s">
        <v>1861</v>
      </c>
      <c r="D3217" s="3" t="s">
        <v>3248</v>
      </c>
      <c r="E3217" s="1"/>
      <c r="F3217" s="1"/>
      <c r="G3217" s="1"/>
      <c r="H3217" s="1"/>
      <c r="I3217" s="2"/>
      <c r="J3217" s="1"/>
      <c r="K3217" s="1"/>
      <c r="L3217" s="1"/>
      <c r="M3217" s="1"/>
      <c r="N3217" s="1"/>
      <c r="O3217" s="1"/>
      <c r="P3217" s="1"/>
      <c r="Q3217" s="1"/>
      <c r="R3217" s="1"/>
      <c r="S3217" s="1"/>
      <c r="T3217" s="1"/>
      <c r="U3217" s="1"/>
      <c r="V3217" s="1"/>
      <c r="W3217" s="1"/>
      <c r="X3217" s="1"/>
    </row>
    <row x14ac:dyDescent="0.25" r="3218" customHeight="1" ht="18.75">
      <c r="A3218" s="1"/>
      <c r="B3218" s="1"/>
      <c r="C3218" s="3" t="s">
        <v>1861</v>
      </c>
      <c r="D3218" s="3" t="s">
        <v>3249</v>
      </c>
      <c r="E3218" s="1"/>
      <c r="F3218" s="1"/>
      <c r="G3218" s="1"/>
      <c r="H3218" s="1"/>
      <c r="I3218" s="2"/>
      <c r="J3218" s="1"/>
      <c r="K3218" s="1"/>
      <c r="L3218" s="1"/>
      <c r="M3218" s="1"/>
      <c r="N3218" s="1"/>
      <c r="O3218" s="1"/>
      <c r="P3218" s="1"/>
      <c r="Q3218" s="1"/>
      <c r="R3218" s="1"/>
      <c r="S3218" s="1"/>
      <c r="T3218" s="1"/>
      <c r="U3218" s="1"/>
      <c r="V3218" s="1"/>
      <c r="W3218" s="1"/>
      <c r="X3218" s="1"/>
    </row>
    <row x14ac:dyDescent="0.25" r="3219" customHeight="1" ht="18.75">
      <c r="A3219" s="1"/>
      <c r="B3219" s="1"/>
      <c r="C3219" s="3" t="s">
        <v>1861</v>
      </c>
      <c r="D3219" s="3" t="s">
        <v>3250</v>
      </c>
      <c r="E3219" s="1"/>
      <c r="F3219" s="1"/>
      <c r="G3219" s="1"/>
      <c r="H3219" s="1"/>
      <c r="I3219" s="2"/>
      <c r="J3219" s="1"/>
      <c r="K3219" s="1"/>
      <c r="L3219" s="1"/>
      <c r="M3219" s="1"/>
      <c r="N3219" s="1"/>
      <c r="O3219" s="1"/>
      <c r="P3219" s="1"/>
      <c r="Q3219" s="1"/>
      <c r="R3219" s="1"/>
      <c r="S3219" s="1"/>
      <c r="T3219" s="1"/>
      <c r="U3219" s="1"/>
      <c r="V3219" s="1"/>
      <c r="W3219" s="1"/>
      <c r="X3219" s="1"/>
    </row>
    <row x14ac:dyDescent="0.25" r="3220" customHeight="1" ht="18.75">
      <c r="A3220" s="1"/>
      <c r="B3220" s="1"/>
      <c r="C3220" s="3" t="s">
        <v>1861</v>
      </c>
      <c r="D3220" s="3" t="s">
        <v>3251</v>
      </c>
      <c r="E3220" s="1"/>
      <c r="F3220" s="1"/>
      <c r="G3220" s="1"/>
      <c r="H3220" s="1"/>
      <c r="I3220" s="2"/>
      <c r="J3220" s="1"/>
      <c r="K3220" s="1"/>
      <c r="L3220" s="1"/>
      <c r="M3220" s="1"/>
      <c r="N3220" s="1"/>
      <c r="O3220" s="1"/>
      <c r="P3220" s="1"/>
      <c r="Q3220" s="1"/>
      <c r="R3220" s="1"/>
      <c r="S3220" s="1"/>
      <c r="T3220" s="1"/>
      <c r="U3220" s="1"/>
      <c r="V3220" s="1"/>
      <c r="W3220" s="1"/>
      <c r="X3220" s="1"/>
    </row>
    <row x14ac:dyDescent="0.25" r="3221" customHeight="1" ht="18.75">
      <c r="A3221" s="1"/>
      <c r="B3221" s="1"/>
      <c r="C3221" s="3" t="s">
        <v>1861</v>
      </c>
      <c r="D3221" s="3" t="s">
        <v>3252</v>
      </c>
      <c r="E3221" s="1"/>
      <c r="F3221" s="1"/>
      <c r="G3221" s="1"/>
      <c r="H3221" s="1"/>
      <c r="I3221" s="2"/>
      <c r="J3221" s="1"/>
      <c r="K3221" s="1"/>
      <c r="L3221" s="1"/>
      <c r="M3221" s="1"/>
      <c r="N3221" s="1"/>
      <c r="O3221" s="1"/>
      <c r="P3221" s="1"/>
      <c r="Q3221" s="1"/>
      <c r="R3221" s="1"/>
      <c r="S3221" s="1"/>
      <c r="T3221" s="1"/>
      <c r="U3221" s="1"/>
      <c r="V3221" s="1"/>
      <c r="W3221" s="1"/>
      <c r="X3221" s="1"/>
    </row>
    <row x14ac:dyDescent="0.25" r="3222" customHeight="1" ht="18.75">
      <c r="A3222" s="1"/>
      <c r="B3222" s="1"/>
      <c r="C3222" s="3" t="s">
        <v>1861</v>
      </c>
      <c r="D3222" s="3" t="s">
        <v>3253</v>
      </c>
      <c r="E3222" s="1"/>
      <c r="F3222" s="1"/>
      <c r="G3222" s="1"/>
      <c r="H3222" s="1"/>
      <c r="I3222" s="2"/>
      <c r="J3222" s="1"/>
      <c r="K3222" s="1"/>
      <c r="L3222" s="1"/>
      <c r="M3222" s="1"/>
      <c r="N3222" s="1"/>
      <c r="O3222" s="1"/>
      <c r="P3222" s="1"/>
      <c r="Q3222" s="1"/>
      <c r="R3222" s="1"/>
      <c r="S3222" s="1"/>
      <c r="T3222" s="1"/>
      <c r="U3222" s="1"/>
      <c r="V3222" s="1"/>
      <c r="W3222" s="1"/>
      <c r="X3222" s="1"/>
    </row>
    <row x14ac:dyDescent="0.25" r="3223" customHeight="1" ht="18.75">
      <c r="A3223" s="1"/>
      <c r="B3223" s="1"/>
      <c r="C3223" s="3" t="s">
        <v>1861</v>
      </c>
      <c r="D3223" s="3" t="s">
        <v>3254</v>
      </c>
      <c r="E3223" s="1"/>
      <c r="F3223" s="1"/>
      <c r="G3223" s="1"/>
      <c r="H3223" s="1"/>
      <c r="I3223" s="2"/>
      <c r="J3223" s="1"/>
      <c r="K3223" s="1"/>
      <c r="L3223" s="1"/>
      <c r="M3223" s="1"/>
      <c r="N3223" s="1"/>
      <c r="O3223" s="1"/>
      <c r="P3223" s="1"/>
      <c r="Q3223" s="1"/>
      <c r="R3223" s="1"/>
      <c r="S3223" s="1"/>
      <c r="T3223" s="1"/>
      <c r="U3223" s="1"/>
      <c r="V3223" s="1"/>
      <c r="W3223" s="1"/>
      <c r="X3223" s="1"/>
    </row>
    <row x14ac:dyDescent="0.25" r="3224" customHeight="1" ht="18.75">
      <c r="A3224" s="1"/>
      <c r="B3224" s="1"/>
      <c r="C3224" s="3" t="s">
        <v>1861</v>
      </c>
      <c r="D3224" s="3" t="s">
        <v>3255</v>
      </c>
      <c r="E3224" s="1"/>
      <c r="F3224" s="1"/>
      <c r="G3224" s="1"/>
      <c r="H3224" s="1"/>
      <c r="I3224" s="2"/>
      <c r="J3224" s="1"/>
      <c r="K3224" s="1"/>
      <c r="L3224" s="1"/>
      <c r="M3224" s="1"/>
      <c r="N3224" s="1"/>
      <c r="O3224" s="1"/>
      <c r="P3224" s="1"/>
      <c r="Q3224" s="1"/>
      <c r="R3224" s="1"/>
      <c r="S3224" s="1"/>
      <c r="T3224" s="1"/>
      <c r="U3224" s="1"/>
      <c r="V3224" s="1"/>
      <c r="W3224" s="1"/>
      <c r="X3224" s="1"/>
    </row>
    <row x14ac:dyDescent="0.25" r="3225" customHeight="1" ht="18.75">
      <c r="A3225" s="1"/>
      <c r="B3225" s="1"/>
      <c r="C3225" s="3" t="s">
        <v>1861</v>
      </c>
      <c r="D3225" s="3" t="s">
        <v>3256</v>
      </c>
      <c r="E3225" s="1"/>
      <c r="F3225" s="1"/>
      <c r="G3225" s="1"/>
      <c r="H3225" s="1"/>
      <c r="I3225" s="2"/>
      <c r="J3225" s="1"/>
      <c r="K3225" s="1"/>
      <c r="L3225" s="1"/>
      <c r="M3225" s="1"/>
      <c r="N3225" s="1"/>
      <c r="O3225" s="1"/>
      <c r="P3225" s="1"/>
      <c r="Q3225" s="1"/>
      <c r="R3225" s="1"/>
      <c r="S3225" s="1"/>
      <c r="T3225" s="1"/>
      <c r="U3225" s="1"/>
      <c r="V3225" s="1"/>
      <c r="W3225" s="1"/>
      <c r="X3225" s="1"/>
    </row>
    <row x14ac:dyDescent="0.25" r="3226" customHeight="1" ht="18.75">
      <c r="A3226" s="1"/>
      <c r="B3226" s="1"/>
      <c r="C3226" s="3" t="s">
        <v>1861</v>
      </c>
      <c r="D3226" s="3" t="s">
        <v>3257</v>
      </c>
      <c r="E3226" s="1"/>
      <c r="F3226" s="1"/>
      <c r="G3226" s="1"/>
      <c r="H3226" s="1"/>
      <c r="I3226" s="2"/>
      <c r="J3226" s="1"/>
      <c r="K3226" s="1"/>
      <c r="L3226" s="1"/>
      <c r="M3226" s="1"/>
      <c r="N3226" s="1"/>
      <c r="O3226" s="1"/>
      <c r="P3226" s="1"/>
      <c r="Q3226" s="1"/>
      <c r="R3226" s="1"/>
      <c r="S3226" s="1"/>
      <c r="T3226" s="1"/>
      <c r="U3226" s="1"/>
      <c r="V3226" s="1"/>
      <c r="W3226" s="1"/>
      <c r="X3226" s="1"/>
    </row>
    <row x14ac:dyDescent="0.25" r="3227" customHeight="1" ht="18.75">
      <c r="A3227" s="1"/>
      <c r="B3227" s="1"/>
      <c r="C3227" s="3" t="s">
        <v>1861</v>
      </c>
      <c r="D3227" s="3" t="s">
        <v>3258</v>
      </c>
      <c r="E3227" s="1"/>
      <c r="F3227" s="1"/>
      <c r="G3227" s="1"/>
      <c r="H3227" s="1"/>
      <c r="I3227" s="2"/>
      <c r="J3227" s="1"/>
      <c r="K3227" s="1"/>
      <c r="L3227" s="1"/>
      <c r="M3227" s="1"/>
      <c r="N3227" s="1"/>
      <c r="O3227" s="1"/>
      <c r="P3227" s="1"/>
      <c r="Q3227" s="1"/>
      <c r="R3227" s="1"/>
      <c r="S3227" s="1"/>
      <c r="T3227" s="1"/>
      <c r="U3227" s="1"/>
      <c r="V3227" s="1"/>
      <c r="W3227" s="1"/>
      <c r="X3227" s="1"/>
    </row>
    <row x14ac:dyDescent="0.25" r="3228" customHeight="1" ht="18.75">
      <c r="A3228" s="1"/>
      <c r="B3228" s="1"/>
      <c r="C3228" s="3" t="s">
        <v>1861</v>
      </c>
      <c r="D3228" s="3" t="s">
        <v>3259</v>
      </c>
      <c r="E3228" s="1"/>
      <c r="F3228" s="1"/>
      <c r="G3228" s="1"/>
      <c r="H3228" s="1"/>
      <c r="I3228" s="2"/>
      <c r="J3228" s="1"/>
      <c r="K3228" s="1"/>
      <c r="L3228" s="1"/>
      <c r="M3228" s="1"/>
      <c r="N3228" s="1"/>
      <c r="O3228" s="1"/>
      <c r="P3228" s="1"/>
      <c r="Q3228" s="1"/>
      <c r="R3228" s="1"/>
      <c r="S3228" s="1"/>
      <c r="T3228" s="1"/>
      <c r="U3228" s="1"/>
      <c r="V3228" s="1"/>
      <c r="W3228" s="1"/>
      <c r="X3228" s="1"/>
    </row>
    <row x14ac:dyDescent="0.25" r="3229" customHeight="1" ht="18.75">
      <c r="A3229" s="1"/>
      <c r="B3229" s="1"/>
      <c r="C3229" s="3" t="s">
        <v>1861</v>
      </c>
      <c r="D3229" s="3" t="s">
        <v>3260</v>
      </c>
      <c r="E3229" s="1"/>
      <c r="F3229" s="1"/>
      <c r="G3229" s="1"/>
      <c r="H3229" s="1"/>
      <c r="I3229" s="2"/>
      <c r="J3229" s="1"/>
      <c r="K3229" s="1"/>
      <c r="L3229" s="1"/>
      <c r="M3229" s="1"/>
      <c r="N3229" s="1"/>
      <c r="O3229" s="1"/>
      <c r="P3229" s="1"/>
      <c r="Q3229" s="1"/>
      <c r="R3229" s="1"/>
      <c r="S3229" s="1"/>
      <c r="T3229" s="1"/>
      <c r="U3229" s="1"/>
      <c r="V3229" s="1"/>
      <c r="W3229" s="1"/>
      <c r="X3229" s="1"/>
    </row>
    <row x14ac:dyDescent="0.25" r="3230" customHeight="1" ht="18.75">
      <c r="A3230" s="1"/>
      <c r="B3230" s="1"/>
      <c r="C3230" s="3" t="s">
        <v>1861</v>
      </c>
      <c r="D3230" s="3" t="s">
        <v>3261</v>
      </c>
      <c r="E3230" s="1"/>
      <c r="F3230" s="1"/>
      <c r="G3230" s="1"/>
      <c r="H3230" s="1"/>
      <c r="I3230" s="2"/>
      <c r="J3230" s="1"/>
      <c r="K3230" s="1"/>
      <c r="L3230" s="1"/>
      <c r="M3230" s="1"/>
      <c r="N3230" s="1"/>
      <c r="O3230" s="1"/>
      <c r="P3230" s="1"/>
      <c r="Q3230" s="1"/>
      <c r="R3230" s="1"/>
      <c r="S3230" s="1"/>
      <c r="T3230" s="1"/>
      <c r="U3230" s="1"/>
      <c r="V3230" s="1"/>
      <c r="W3230" s="1"/>
      <c r="X3230" s="1"/>
    </row>
    <row x14ac:dyDescent="0.25" r="3231" customHeight="1" ht="18.75">
      <c r="A3231" s="1"/>
      <c r="B3231" s="1"/>
      <c r="C3231" s="3" t="s">
        <v>1861</v>
      </c>
      <c r="D3231" s="3" t="s">
        <v>3262</v>
      </c>
      <c r="E3231" s="1"/>
      <c r="F3231" s="1"/>
      <c r="G3231" s="1"/>
      <c r="H3231" s="1"/>
      <c r="I3231" s="2"/>
      <c r="J3231" s="1"/>
      <c r="K3231" s="1"/>
      <c r="L3231" s="1"/>
      <c r="M3231" s="1"/>
      <c r="N3231" s="1"/>
      <c r="O3231" s="1"/>
      <c r="P3231" s="1"/>
      <c r="Q3231" s="1"/>
      <c r="R3231" s="1"/>
      <c r="S3231" s="1"/>
      <c r="T3231" s="1"/>
      <c r="U3231" s="1"/>
      <c r="V3231" s="1"/>
      <c r="W3231" s="1"/>
      <c r="X3231" s="1"/>
    </row>
    <row x14ac:dyDescent="0.25" r="3232" customHeight="1" ht="18.75">
      <c r="A3232" s="1"/>
      <c r="B3232" s="1"/>
      <c r="C3232" s="3" t="s">
        <v>1861</v>
      </c>
      <c r="D3232" s="3" t="s">
        <v>3263</v>
      </c>
      <c r="E3232" s="1"/>
      <c r="F3232" s="1"/>
      <c r="G3232" s="1"/>
      <c r="H3232" s="1"/>
      <c r="I3232" s="2"/>
      <c r="J3232" s="1"/>
      <c r="K3232" s="1"/>
      <c r="L3232" s="1"/>
      <c r="M3232" s="1"/>
      <c r="N3232" s="1"/>
      <c r="O3232" s="1"/>
      <c r="P3232" s="1"/>
      <c r="Q3232" s="1"/>
      <c r="R3232" s="1"/>
      <c r="S3232" s="1"/>
      <c r="T3232" s="1"/>
      <c r="U3232" s="1"/>
      <c r="V3232" s="1"/>
      <c r="W3232" s="1"/>
      <c r="X3232" s="1"/>
    </row>
    <row x14ac:dyDescent="0.25" r="3233" customHeight="1" ht="18.75">
      <c r="A3233" s="1"/>
      <c r="B3233" s="1"/>
      <c r="C3233" s="3" t="s">
        <v>1861</v>
      </c>
      <c r="D3233" s="3" t="s">
        <v>3264</v>
      </c>
      <c r="E3233" s="1"/>
      <c r="F3233" s="1"/>
      <c r="G3233" s="1"/>
      <c r="H3233" s="1"/>
      <c r="I3233" s="2"/>
      <c r="J3233" s="1"/>
      <c r="K3233" s="1"/>
      <c r="L3233" s="1"/>
      <c r="M3233" s="1"/>
      <c r="N3233" s="1"/>
      <c r="O3233" s="1"/>
      <c r="P3233" s="1"/>
      <c r="Q3233" s="1"/>
      <c r="R3233" s="1"/>
      <c r="S3233" s="1"/>
      <c r="T3233" s="1"/>
      <c r="U3233" s="1"/>
      <c r="V3233" s="1"/>
      <c r="W3233" s="1"/>
      <c r="X3233" s="1"/>
    </row>
    <row x14ac:dyDescent="0.25" r="3234" customHeight="1" ht="18.75">
      <c r="A3234" s="1"/>
      <c r="B3234" s="1"/>
      <c r="C3234" s="3" t="s">
        <v>1861</v>
      </c>
      <c r="D3234" s="3" t="s">
        <v>3265</v>
      </c>
      <c r="E3234" s="1"/>
      <c r="F3234" s="1"/>
      <c r="G3234" s="1"/>
      <c r="H3234" s="1"/>
      <c r="I3234" s="2"/>
      <c r="J3234" s="1"/>
      <c r="K3234" s="1"/>
      <c r="L3234" s="1"/>
      <c r="M3234" s="1"/>
      <c r="N3234" s="1"/>
      <c r="O3234" s="1"/>
      <c r="P3234" s="1"/>
      <c r="Q3234" s="1"/>
      <c r="R3234" s="1"/>
      <c r="S3234" s="1"/>
      <c r="T3234" s="1"/>
      <c r="U3234" s="1"/>
      <c r="V3234" s="1"/>
      <c r="W3234" s="1"/>
      <c r="X3234" s="1"/>
    </row>
    <row x14ac:dyDescent="0.25" r="3235" customHeight="1" ht="18.75">
      <c r="A3235" s="1"/>
      <c r="B3235" s="1"/>
      <c r="C3235" s="3" t="s">
        <v>1861</v>
      </c>
      <c r="D3235" s="3" t="s">
        <v>3266</v>
      </c>
      <c r="E3235" s="1"/>
      <c r="F3235" s="1"/>
      <c r="G3235" s="1"/>
      <c r="H3235" s="1"/>
      <c r="I3235" s="2"/>
      <c r="J3235" s="1"/>
      <c r="K3235" s="1"/>
      <c r="L3235" s="1"/>
      <c r="M3235" s="1"/>
      <c r="N3235" s="1"/>
      <c r="O3235" s="1"/>
      <c r="P3235" s="1"/>
      <c r="Q3235" s="1"/>
      <c r="R3235" s="1"/>
      <c r="S3235" s="1"/>
      <c r="T3235" s="1"/>
      <c r="U3235" s="1"/>
      <c r="V3235" s="1"/>
      <c r="W3235" s="1"/>
      <c r="X3235" s="1"/>
    </row>
    <row x14ac:dyDescent="0.25" r="3236" customHeight="1" ht="18.75">
      <c r="A3236" s="1"/>
      <c r="B3236" s="1"/>
      <c r="C3236" s="3" t="s">
        <v>1861</v>
      </c>
      <c r="D3236" s="3" t="s">
        <v>3267</v>
      </c>
      <c r="E3236" s="1"/>
      <c r="F3236" s="1"/>
      <c r="G3236" s="1"/>
      <c r="H3236" s="1"/>
      <c r="I3236" s="2"/>
      <c r="J3236" s="1"/>
      <c r="K3236" s="1"/>
      <c r="L3236" s="1"/>
      <c r="M3236" s="1"/>
      <c r="N3236" s="1"/>
      <c r="O3236" s="1"/>
      <c r="P3236" s="1"/>
      <c r="Q3236" s="1"/>
      <c r="R3236" s="1"/>
      <c r="S3236" s="1"/>
      <c r="T3236" s="1"/>
      <c r="U3236" s="1"/>
      <c r="V3236" s="1"/>
      <c r="W3236" s="1"/>
      <c r="X3236" s="1"/>
    </row>
    <row x14ac:dyDescent="0.25" r="3237" customHeight="1" ht="18.75">
      <c r="A3237" s="1"/>
      <c r="B3237" s="1"/>
      <c r="C3237" s="3" t="s">
        <v>1861</v>
      </c>
      <c r="D3237" s="3" t="s">
        <v>3268</v>
      </c>
      <c r="E3237" s="1"/>
      <c r="F3237" s="1"/>
      <c r="G3237" s="1"/>
      <c r="H3237" s="1"/>
      <c r="I3237" s="2"/>
      <c r="J3237" s="1"/>
      <c r="K3237" s="1"/>
      <c r="L3237" s="1"/>
      <c r="M3237" s="1"/>
      <c r="N3237" s="1"/>
      <c r="O3237" s="1"/>
      <c r="P3237" s="1"/>
      <c r="Q3237" s="1"/>
      <c r="R3237" s="1"/>
      <c r="S3237" s="1"/>
      <c r="T3237" s="1"/>
      <c r="U3237" s="1"/>
      <c r="V3237" s="1"/>
      <c r="W3237" s="1"/>
      <c r="X3237" s="1"/>
    </row>
    <row x14ac:dyDescent="0.25" r="3238" customHeight="1" ht="18.75">
      <c r="A3238" s="1"/>
      <c r="B3238" s="1"/>
      <c r="C3238" s="3" t="s">
        <v>1861</v>
      </c>
      <c r="D3238" s="3" t="s">
        <v>3269</v>
      </c>
      <c r="E3238" s="1"/>
      <c r="F3238" s="1"/>
      <c r="G3238" s="1"/>
      <c r="H3238" s="1"/>
      <c r="I3238" s="2"/>
      <c r="J3238" s="1"/>
      <c r="K3238" s="1"/>
      <c r="L3238" s="1"/>
      <c r="M3238" s="1"/>
      <c r="N3238" s="1"/>
      <c r="O3238" s="1"/>
      <c r="P3238" s="1"/>
      <c r="Q3238" s="1"/>
      <c r="R3238" s="1"/>
      <c r="S3238" s="1"/>
      <c r="T3238" s="1"/>
      <c r="U3238" s="1"/>
      <c r="V3238" s="1"/>
      <c r="W3238" s="1"/>
      <c r="X3238" s="1"/>
    </row>
    <row x14ac:dyDescent="0.25" r="3239" customHeight="1" ht="18.75">
      <c r="A3239" s="1"/>
      <c r="B3239" s="1"/>
      <c r="C3239" s="3" t="s">
        <v>1861</v>
      </c>
      <c r="D3239" s="3" t="s">
        <v>3270</v>
      </c>
      <c r="E3239" s="1"/>
      <c r="F3239" s="1"/>
      <c r="G3239" s="1"/>
      <c r="H3239" s="1"/>
      <c r="I3239" s="2"/>
      <c r="J3239" s="1"/>
      <c r="K3239" s="1"/>
      <c r="L3239" s="1"/>
      <c r="M3239" s="1"/>
      <c r="N3239" s="1"/>
      <c r="O3239" s="1"/>
      <c r="P3239" s="1"/>
      <c r="Q3239" s="1"/>
      <c r="R3239" s="1"/>
      <c r="S3239" s="1"/>
      <c r="T3239" s="1"/>
      <c r="U3239" s="1"/>
      <c r="V3239" s="1"/>
      <c r="W3239" s="1"/>
      <c r="X3239" s="1"/>
    </row>
    <row x14ac:dyDescent="0.25" r="3240" customHeight="1" ht="18.75">
      <c r="A3240" s="1"/>
      <c r="B3240" s="1"/>
      <c r="C3240" s="3" t="s">
        <v>1861</v>
      </c>
      <c r="D3240" s="3" t="s">
        <v>3271</v>
      </c>
      <c r="E3240" s="1"/>
      <c r="F3240" s="1"/>
      <c r="G3240" s="1"/>
      <c r="H3240" s="1"/>
      <c r="I3240" s="2"/>
      <c r="J3240" s="1"/>
      <c r="K3240" s="1"/>
      <c r="L3240" s="1"/>
      <c r="M3240" s="1"/>
      <c r="N3240" s="1"/>
      <c r="O3240" s="1"/>
      <c r="P3240" s="1"/>
      <c r="Q3240" s="1"/>
      <c r="R3240" s="1"/>
      <c r="S3240" s="1"/>
      <c r="T3240" s="1"/>
      <c r="U3240" s="1"/>
      <c r="V3240" s="1"/>
      <c r="W3240" s="1"/>
      <c r="X3240" s="1"/>
    </row>
    <row x14ac:dyDescent="0.25" r="3241" customHeight="1" ht="18.75">
      <c r="A3241" s="1"/>
      <c r="B3241" s="1"/>
      <c r="C3241" s="3" t="s">
        <v>1861</v>
      </c>
      <c r="D3241" s="3" t="s">
        <v>3272</v>
      </c>
      <c r="E3241" s="1"/>
      <c r="F3241" s="1"/>
      <c r="G3241" s="1"/>
      <c r="H3241" s="1"/>
      <c r="I3241" s="2"/>
      <c r="J3241" s="1"/>
      <c r="K3241" s="1"/>
      <c r="L3241" s="1"/>
      <c r="M3241" s="1"/>
      <c r="N3241" s="1"/>
      <c r="O3241" s="1"/>
      <c r="P3241" s="1"/>
      <c r="Q3241" s="1"/>
      <c r="R3241" s="1"/>
      <c r="S3241" s="1"/>
      <c r="T3241" s="1"/>
      <c r="U3241" s="1"/>
      <c r="V3241" s="1"/>
      <c r="W3241" s="1"/>
      <c r="X3241" s="1"/>
    </row>
    <row x14ac:dyDescent="0.25" r="3242" customHeight="1" ht="18.75">
      <c r="A3242" s="1"/>
      <c r="B3242" s="1"/>
      <c r="C3242" s="3" t="s">
        <v>1861</v>
      </c>
      <c r="D3242" s="3" t="s">
        <v>3273</v>
      </c>
      <c r="E3242" s="1"/>
      <c r="F3242" s="1"/>
      <c r="G3242" s="1"/>
      <c r="H3242" s="1"/>
      <c r="I3242" s="2"/>
      <c r="J3242" s="1"/>
      <c r="K3242" s="1"/>
      <c r="L3242" s="1"/>
      <c r="M3242" s="1"/>
      <c r="N3242" s="1"/>
      <c r="O3242" s="1"/>
      <c r="P3242" s="1"/>
      <c r="Q3242" s="1"/>
      <c r="R3242" s="1"/>
      <c r="S3242" s="1"/>
      <c r="T3242" s="1"/>
      <c r="U3242" s="1"/>
      <c r="V3242" s="1"/>
      <c r="W3242" s="1"/>
      <c r="X3242" s="1"/>
    </row>
    <row x14ac:dyDescent="0.25" r="3243" customHeight="1" ht="18.75">
      <c r="A3243" s="1"/>
      <c r="B3243" s="1"/>
      <c r="C3243" s="3" t="s">
        <v>1861</v>
      </c>
      <c r="D3243" s="3" t="s">
        <v>3274</v>
      </c>
      <c r="E3243" s="1"/>
      <c r="F3243" s="1"/>
      <c r="G3243" s="1"/>
      <c r="H3243" s="1"/>
      <c r="I3243" s="2"/>
      <c r="J3243" s="1"/>
      <c r="K3243" s="1"/>
      <c r="L3243" s="1"/>
      <c r="M3243" s="1"/>
      <c r="N3243" s="1"/>
      <c r="O3243" s="1"/>
      <c r="P3243" s="1"/>
      <c r="Q3243" s="1"/>
      <c r="R3243" s="1"/>
      <c r="S3243" s="1"/>
      <c r="T3243" s="1"/>
      <c r="U3243" s="1"/>
      <c r="V3243" s="1"/>
      <c r="W3243" s="1"/>
      <c r="X3243" s="1"/>
    </row>
    <row x14ac:dyDescent="0.25" r="3244" customHeight="1" ht="18.75">
      <c r="A3244" s="1"/>
      <c r="B3244" s="1"/>
      <c r="C3244" s="3" t="s">
        <v>1861</v>
      </c>
      <c r="D3244" s="3" t="s">
        <v>3275</v>
      </c>
      <c r="E3244" s="1"/>
      <c r="F3244" s="1"/>
      <c r="G3244" s="1"/>
      <c r="H3244" s="1"/>
      <c r="I3244" s="2"/>
      <c r="J3244" s="1"/>
      <c r="K3244" s="1"/>
      <c r="L3244" s="1"/>
      <c r="M3244" s="1"/>
      <c r="N3244" s="1"/>
      <c r="O3244" s="1"/>
      <c r="P3244" s="1"/>
      <c r="Q3244" s="1"/>
      <c r="R3244" s="1"/>
      <c r="S3244" s="1"/>
      <c r="T3244" s="1"/>
      <c r="U3244" s="1"/>
      <c r="V3244" s="1"/>
      <c r="W3244" s="1"/>
      <c r="X3244" s="1"/>
    </row>
    <row x14ac:dyDescent="0.25" r="3245" customHeight="1" ht="18.75">
      <c r="A3245" s="1"/>
      <c r="B3245" s="1"/>
      <c r="C3245" s="3" t="s">
        <v>1861</v>
      </c>
      <c r="D3245" s="3" t="s">
        <v>3276</v>
      </c>
      <c r="E3245" s="1"/>
      <c r="F3245" s="1"/>
      <c r="G3245" s="1"/>
      <c r="H3245" s="1"/>
      <c r="I3245" s="2"/>
      <c r="J3245" s="1"/>
      <c r="K3245" s="1"/>
      <c r="L3245" s="1"/>
      <c r="M3245" s="1"/>
      <c r="N3245" s="1"/>
      <c r="O3245" s="1"/>
      <c r="P3245" s="1"/>
      <c r="Q3245" s="1"/>
      <c r="R3245" s="1"/>
      <c r="S3245" s="1"/>
      <c r="T3245" s="1"/>
      <c r="U3245" s="1"/>
      <c r="V3245" s="1"/>
      <c r="W3245" s="1"/>
      <c r="X3245" s="1"/>
    </row>
    <row x14ac:dyDescent="0.25" r="3246" customHeight="1" ht="18.75">
      <c r="A3246" s="1"/>
      <c r="B3246" s="1"/>
      <c r="C3246" s="3" t="s">
        <v>1861</v>
      </c>
      <c r="D3246" s="3" t="s">
        <v>3277</v>
      </c>
      <c r="E3246" s="1"/>
      <c r="F3246" s="1"/>
      <c r="G3246" s="1"/>
      <c r="H3246" s="1"/>
      <c r="I3246" s="2"/>
      <c r="J3246" s="1"/>
      <c r="K3246" s="1"/>
      <c r="L3246" s="1"/>
      <c r="M3246" s="1"/>
      <c r="N3246" s="1"/>
      <c r="O3246" s="1"/>
      <c r="P3246" s="1"/>
      <c r="Q3246" s="1"/>
      <c r="R3246" s="1"/>
      <c r="S3246" s="1"/>
      <c r="T3246" s="1"/>
      <c r="U3246" s="1"/>
      <c r="V3246" s="1"/>
      <c r="W3246" s="1"/>
      <c r="X3246" s="1"/>
    </row>
    <row x14ac:dyDescent="0.25" r="3247" customHeight="1" ht="18.75">
      <c r="A3247" s="1"/>
      <c r="B3247" s="1"/>
      <c r="C3247" s="3" t="s">
        <v>1861</v>
      </c>
      <c r="D3247" s="3" t="s">
        <v>3278</v>
      </c>
      <c r="E3247" s="1"/>
      <c r="F3247" s="1"/>
      <c r="G3247" s="1"/>
      <c r="H3247" s="1"/>
      <c r="I3247" s="2"/>
      <c r="J3247" s="1"/>
      <c r="K3247" s="1"/>
      <c r="L3247" s="1"/>
      <c r="M3247" s="1"/>
      <c r="N3247" s="1"/>
      <c r="O3247" s="1"/>
      <c r="P3247" s="1"/>
      <c r="Q3247" s="1"/>
      <c r="R3247" s="1"/>
      <c r="S3247" s="1"/>
      <c r="T3247" s="1"/>
      <c r="U3247" s="1"/>
      <c r="V3247" s="1"/>
      <c r="W3247" s="1"/>
      <c r="X3247" s="1"/>
    </row>
    <row x14ac:dyDescent="0.25" r="3248" customHeight="1" ht="18.75">
      <c r="A3248" s="1"/>
      <c r="B3248" s="1"/>
      <c r="C3248" s="3" t="s">
        <v>1861</v>
      </c>
      <c r="D3248" s="3" t="s">
        <v>3279</v>
      </c>
      <c r="E3248" s="1"/>
      <c r="F3248" s="1"/>
      <c r="G3248" s="1"/>
      <c r="H3248" s="1"/>
      <c r="I3248" s="2"/>
      <c r="J3248" s="1"/>
      <c r="K3248" s="1"/>
      <c r="L3248" s="1"/>
      <c r="M3248" s="1"/>
      <c r="N3248" s="1"/>
      <c r="O3248" s="1"/>
      <c r="P3248" s="1"/>
      <c r="Q3248" s="1"/>
      <c r="R3248" s="1"/>
      <c r="S3248" s="1"/>
      <c r="T3248" s="1"/>
      <c r="U3248" s="1"/>
      <c r="V3248" s="1"/>
      <c r="W3248" s="1"/>
      <c r="X3248" s="1"/>
    </row>
    <row x14ac:dyDescent="0.25" r="3249" customHeight="1" ht="18.75">
      <c r="A3249" s="1"/>
      <c r="B3249" s="1"/>
      <c r="C3249" s="3" t="s">
        <v>1861</v>
      </c>
      <c r="D3249" s="3" t="s">
        <v>3280</v>
      </c>
      <c r="E3249" s="1"/>
      <c r="F3249" s="1"/>
      <c r="G3249" s="1"/>
      <c r="H3249" s="1"/>
      <c r="I3249" s="2"/>
      <c r="J3249" s="1"/>
      <c r="K3249" s="1"/>
      <c r="L3249" s="1"/>
      <c r="M3249" s="1"/>
      <c r="N3249" s="1"/>
      <c r="O3249" s="1"/>
      <c r="P3249" s="1"/>
      <c r="Q3249" s="1"/>
      <c r="R3249" s="1"/>
      <c r="S3249" s="1"/>
      <c r="T3249" s="1"/>
      <c r="U3249" s="1"/>
      <c r="V3249" s="1"/>
      <c r="W3249" s="1"/>
      <c r="X3249" s="1"/>
    </row>
    <row x14ac:dyDescent="0.25" r="3250" customHeight="1" ht="18.75">
      <c r="A3250" s="1"/>
      <c r="B3250" s="1"/>
      <c r="C3250" s="3" t="s">
        <v>1861</v>
      </c>
      <c r="D3250" s="3" t="s">
        <v>3281</v>
      </c>
      <c r="E3250" s="1"/>
      <c r="F3250" s="1"/>
      <c r="G3250" s="1"/>
      <c r="H3250" s="1"/>
      <c r="I3250" s="2"/>
      <c r="J3250" s="1"/>
      <c r="K3250" s="1"/>
      <c r="L3250" s="1"/>
      <c r="M3250" s="1"/>
      <c r="N3250" s="1"/>
      <c r="O3250" s="1"/>
      <c r="P3250" s="1"/>
      <c r="Q3250" s="1"/>
      <c r="R3250" s="1"/>
      <c r="S3250" s="1"/>
      <c r="T3250" s="1"/>
      <c r="U3250" s="1"/>
      <c r="V3250" s="1"/>
      <c r="W3250" s="1"/>
      <c r="X3250" s="1"/>
    </row>
    <row x14ac:dyDescent="0.25" r="3251" customHeight="1" ht="18.75">
      <c r="A3251" s="1"/>
      <c r="B3251" s="1"/>
      <c r="C3251" s="3" t="s">
        <v>1861</v>
      </c>
      <c r="D3251" s="3" t="s">
        <v>3282</v>
      </c>
      <c r="E3251" s="1"/>
      <c r="F3251" s="1"/>
      <c r="G3251" s="1"/>
      <c r="H3251" s="1"/>
      <c r="I3251" s="2"/>
      <c r="J3251" s="1"/>
      <c r="K3251" s="1"/>
      <c r="L3251" s="1"/>
      <c r="M3251" s="1"/>
      <c r="N3251" s="1"/>
      <c r="O3251" s="1"/>
      <c r="P3251" s="1"/>
      <c r="Q3251" s="1"/>
      <c r="R3251" s="1"/>
      <c r="S3251" s="1"/>
      <c r="T3251" s="1"/>
      <c r="U3251" s="1"/>
      <c r="V3251" s="1"/>
      <c r="W3251" s="1"/>
      <c r="X3251" s="1"/>
    </row>
    <row x14ac:dyDescent="0.25" r="3252" customHeight="1" ht="18.75">
      <c r="A3252" s="1"/>
      <c r="B3252" s="1"/>
      <c r="C3252" s="3" t="s">
        <v>1861</v>
      </c>
      <c r="D3252" s="3" t="s">
        <v>3283</v>
      </c>
      <c r="E3252" s="1"/>
      <c r="F3252" s="1"/>
      <c r="G3252" s="1"/>
      <c r="H3252" s="1"/>
      <c r="I3252" s="2"/>
      <c r="J3252" s="1"/>
      <c r="K3252" s="1"/>
      <c r="L3252" s="1"/>
      <c r="M3252" s="1"/>
      <c r="N3252" s="1"/>
      <c r="O3252" s="1"/>
      <c r="P3252" s="1"/>
      <c r="Q3252" s="1"/>
      <c r="R3252" s="1"/>
      <c r="S3252" s="1"/>
      <c r="T3252" s="1"/>
      <c r="U3252" s="1"/>
      <c r="V3252" s="1"/>
      <c r="W3252" s="1"/>
      <c r="X3252" s="1"/>
    </row>
    <row x14ac:dyDescent="0.25" r="3253" customHeight="1" ht="18.75">
      <c r="A3253" s="1"/>
      <c r="B3253" s="1"/>
      <c r="C3253" s="3" t="s">
        <v>1861</v>
      </c>
      <c r="D3253" s="3" t="s">
        <v>3284</v>
      </c>
      <c r="E3253" s="1"/>
      <c r="F3253" s="1"/>
      <c r="G3253" s="1"/>
      <c r="H3253" s="1"/>
      <c r="I3253" s="2"/>
      <c r="J3253" s="1"/>
      <c r="K3253" s="1"/>
      <c r="L3253" s="1"/>
      <c r="M3253" s="1"/>
      <c r="N3253" s="1"/>
      <c r="O3253" s="1"/>
      <c r="P3253" s="1"/>
      <c r="Q3253" s="1"/>
      <c r="R3253" s="1"/>
      <c r="S3253" s="1"/>
      <c r="T3253" s="1"/>
      <c r="U3253" s="1"/>
      <c r="V3253" s="1"/>
      <c r="W3253" s="1"/>
      <c r="X3253" s="1"/>
    </row>
    <row x14ac:dyDescent="0.25" r="3254" customHeight="1" ht="18.75">
      <c r="A3254" s="1"/>
      <c r="B3254" s="1"/>
      <c r="C3254" s="3" t="s">
        <v>1861</v>
      </c>
      <c r="D3254" s="3" t="s">
        <v>3285</v>
      </c>
      <c r="E3254" s="1"/>
      <c r="F3254" s="1"/>
      <c r="G3254" s="1"/>
      <c r="H3254" s="1"/>
      <c r="I3254" s="2"/>
      <c r="J3254" s="1"/>
      <c r="K3254" s="1"/>
      <c r="L3254" s="1"/>
      <c r="M3254" s="1"/>
      <c r="N3254" s="1"/>
      <c r="O3254" s="1"/>
      <c r="P3254" s="1"/>
      <c r="Q3254" s="1"/>
      <c r="R3254" s="1"/>
      <c r="S3254" s="1"/>
      <c r="T3254" s="1"/>
      <c r="U3254" s="1"/>
      <c r="V3254" s="1"/>
      <c r="W3254" s="1"/>
      <c r="X3254" s="1"/>
    </row>
    <row x14ac:dyDescent="0.25" r="3255" customHeight="1" ht="18.75">
      <c r="A3255" s="1"/>
      <c r="B3255" s="1"/>
      <c r="C3255" s="3" t="s">
        <v>1861</v>
      </c>
      <c r="D3255" s="3" t="s">
        <v>3286</v>
      </c>
      <c r="E3255" s="1"/>
      <c r="F3255" s="1"/>
      <c r="G3255" s="1"/>
      <c r="H3255" s="1"/>
      <c r="I3255" s="2"/>
      <c r="J3255" s="1"/>
      <c r="K3255" s="1"/>
      <c r="L3255" s="1"/>
      <c r="M3255" s="1"/>
      <c r="N3255" s="1"/>
      <c r="O3255" s="1"/>
      <c r="P3255" s="1"/>
      <c r="Q3255" s="1"/>
      <c r="R3255" s="1"/>
      <c r="S3255" s="1"/>
      <c r="T3255" s="1"/>
      <c r="U3255" s="1"/>
      <c r="V3255" s="1"/>
      <c r="W3255" s="1"/>
      <c r="X3255" s="1"/>
    </row>
    <row x14ac:dyDescent="0.25" r="3256" customHeight="1" ht="18.75">
      <c r="A3256" s="1"/>
      <c r="B3256" s="1"/>
      <c r="C3256" s="3" t="s">
        <v>1861</v>
      </c>
      <c r="D3256" s="3" t="s">
        <v>3287</v>
      </c>
      <c r="E3256" s="1"/>
      <c r="F3256" s="1"/>
      <c r="G3256" s="1"/>
      <c r="H3256" s="1"/>
      <c r="I3256" s="2"/>
      <c r="J3256" s="1"/>
      <c r="K3256" s="1"/>
      <c r="L3256" s="1"/>
      <c r="M3256" s="1"/>
      <c r="N3256" s="1"/>
      <c r="O3256" s="1"/>
      <c r="P3256" s="1"/>
      <c r="Q3256" s="1"/>
      <c r="R3256" s="1"/>
      <c r="S3256" s="1"/>
      <c r="T3256" s="1"/>
      <c r="U3256" s="1"/>
      <c r="V3256" s="1"/>
      <c r="W3256" s="1"/>
      <c r="X3256" s="1"/>
    </row>
    <row x14ac:dyDescent="0.25" r="3257" customHeight="1" ht="18.75">
      <c r="A3257" s="1"/>
      <c r="B3257" s="1"/>
      <c r="C3257" s="3" t="s">
        <v>1861</v>
      </c>
      <c r="D3257" s="3" t="s">
        <v>3288</v>
      </c>
      <c r="E3257" s="1"/>
      <c r="F3257" s="1"/>
      <c r="G3257" s="1"/>
      <c r="H3257" s="1"/>
      <c r="I3257" s="2"/>
      <c r="J3257" s="1"/>
      <c r="K3257" s="1"/>
      <c r="L3257" s="1"/>
      <c r="M3257" s="1"/>
      <c r="N3257" s="1"/>
      <c r="O3257" s="1"/>
      <c r="P3257" s="1"/>
      <c r="Q3257" s="1"/>
      <c r="R3257" s="1"/>
      <c r="S3257" s="1"/>
      <c r="T3257" s="1"/>
      <c r="U3257" s="1"/>
      <c r="V3257" s="1"/>
      <c r="W3257" s="1"/>
      <c r="X3257" s="1"/>
    </row>
    <row x14ac:dyDescent="0.25" r="3258" customHeight="1" ht="18.75">
      <c r="A3258" s="1"/>
      <c r="B3258" s="1"/>
      <c r="C3258" s="3" t="s">
        <v>1861</v>
      </c>
      <c r="D3258" s="3" t="s">
        <v>3289</v>
      </c>
      <c r="E3258" s="1"/>
      <c r="F3258" s="1"/>
      <c r="G3258" s="1"/>
      <c r="H3258" s="1"/>
      <c r="I3258" s="2"/>
      <c r="J3258" s="1"/>
      <c r="K3258" s="1"/>
      <c r="L3258" s="1"/>
      <c r="M3258" s="1"/>
      <c r="N3258" s="1"/>
      <c r="O3258" s="1"/>
      <c r="P3258" s="1"/>
      <c r="Q3258" s="1"/>
      <c r="R3258" s="1"/>
      <c r="S3258" s="1"/>
      <c r="T3258" s="1"/>
      <c r="U3258" s="1"/>
      <c r="V3258" s="1"/>
      <c r="W3258" s="1"/>
      <c r="X3258" s="1"/>
    </row>
    <row x14ac:dyDescent="0.25" r="3259" customHeight="1" ht="18.75">
      <c r="A3259" s="1"/>
      <c r="B3259" s="1"/>
      <c r="C3259" s="3" t="s">
        <v>1861</v>
      </c>
      <c r="D3259" s="3" t="s">
        <v>3290</v>
      </c>
      <c r="E3259" s="1"/>
      <c r="F3259" s="1"/>
      <c r="G3259" s="1"/>
      <c r="H3259" s="1"/>
      <c r="I3259" s="2"/>
      <c r="J3259" s="1"/>
      <c r="K3259" s="1"/>
      <c r="L3259" s="1"/>
      <c r="M3259" s="1"/>
      <c r="N3259" s="1"/>
      <c r="O3259" s="1"/>
      <c r="P3259" s="1"/>
      <c r="Q3259" s="1"/>
      <c r="R3259" s="1"/>
      <c r="S3259" s="1"/>
      <c r="T3259" s="1"/>
      <c r="U3259" s="1"/>
      <c r="V3259" s="1"/>
      <c r="W3259" s="1"/>
      <c r="X3259" s="1"/>
    </row>
    <row x14ac:dyDescent="0.25" r="3260" customHeight="1" ht="18.75">
      <c r="A3260" s="1"/>
      <c r="B3260" s="1"/>
      <c r="C3260" s="3" t="s">
        <v>1861</v>
      </c>
      <c r="D3260" s="3" t="s">
        <v>3291</v>
      </c>
      <c r="E3260" s="1"/>
      <c r="F3260" s="1"/>
      <c r="G3260" s="1"/>
      <c r="H3260" s="1"/>
      <c r="I3260" s="2"/>
      <c r="J3260" s="1"/>
      <c r="K3260" s="1"/>
      <c r="L3260" s="1"/>
      <c r="M3260" s="1"/>
      <c r="N3260" s="1"/>
      <c r="O3260" s="1"/>
      <c r="P3260" s="1"/>
      <c r="Q3260" s="1"/>
      <c r="R3260" s="1"/>
      <c r="S3260" s="1"/>
      <c r="T3260" s="1"/>
      <c r="U3260" s="1"/>
      <c r="V3260" s="1"/>
      <c r="W3260" s="1"/>
      <c r="X3260" s="1"/>
    </row>
    <row x14ac:dyDescent="0.25" r="3261" customHeight="1" ht="18.75">
      <c r="A3261" s="1"/>
      <c r="B3261" s="1"/>
      <c r="C3261" s="3" t="s">
        <v>1861</v>
      </c>
      <c r="D3261" s="3" t="s">
        <v>3292</v>
      </c>
      <c r="E3261" s="1"/>
      <c r="F3261" s="1"/>
      <c r="G3261" s="1"/>
      <c r="H3261" s="1"/>
      <c r="I3261" s="2"/>
      <c r="J3261" s="1"/>
      <c r="K3261" s="1"/>
      <c r="L3261" s="1"/>
      <c r="M3261" s="1"/>
      <c r="N3261" s="1"/>
      <c r="O3261" s="1"/>
      <c r="P3261" s="1"/>
      <c r="Q3261" s="1"/>
      <c r="R3261" s="1"/>
      <c r="S3261" s="1"/>
      <c r="T3261" s="1"/>
      <c r="U3261" s="1"/>
      <c r="V3261" s="1"/>
      <c r="W3261" s="1"/>
      <c r="X3261" s="1"/>
    </row>
    <row x14ac:dyDescent="0.25" r="3262" customHeight="1" ht="18.75">
      <c r="A3262" s="1"/>
      <c r="B3262" s="1"/>
      <c r="C3262" s="3" t="s">
        <v>1861</v>
      </c>
      <c r="D3262" s="3" t="s">
        <v>3293</v>
      </c>
      <c r="E3262" s="1"/>
      <c r="F3262" s="1"/>
      <c r="G3262" s="1"/>
      <c r="H3262" s="1"/>
      <c r="I3262" s="2"/>
      <c r="J3262" s="1"/>
      <c r="K3262" s="1"/>
      <c r="L3262" s="1"/>
      <c r="M3262" s="1"/>
      <c r="N3262" s="1"/>
      <c r="O3262" s="1"/>
      <c r="P3262" s="1"/>
      <c r="Q3262" s="1"/>
      <c r="R3262" s="1"/>
      <c r="S3262" s="1"/>
      <c r="T3262" s="1"/>
      <c r="U3262" s="1"/>
      <c r="V3262" s="1"/>
      <c r="W3262" s="1"/>
      <c r="X3262" s="1"/>
    </row>
    <row x14ac:dyDescent="0.25" r="3263" customHeight="1" ht="18.75">
      <c r="A3263" s="1"/>
      <c r="B3263" s="1"/>
      <c r="C3263" s="3" t="s">
        <v>1861</v>
      </c>
      <c r="D3263" s="3" t="s">
        <v>3294</v>
      </c>
      <c r="E3263" s="1"/>
      <c r="F3263" s="1"/>
      <c r="G3263" s="1"/>
      <c r="H3263" s="1"/>
      <c r="I3263" s="2"/>
      <c r="J3263" s="1"/>
      <c r="K3263" s="1"/>
      <c r="L3263" s="1"/>
      <c r="M3263" s="1"/>
      <c r="N3263" s="1"/>
      <c r="O3263" s="1"/>
      <c r="P3263" s="1"/>
      <c r="Q3263" s="1"/>
      <c r="R3263" s="1"/>
      <c r="S3263" s="1"/>
      <c r="T3263" s="1"/>
      <c r="U3263" s="1"/>
      <c r="V3263" s="1"/>
      <c r="W3263" s="1"/>
      <c r="X3263" s="1"/>
    </row>
    <row x14ac:dyDescent="0.25" r="3264" customHeight="1" ht="18.75">
      <c r="A3264" s="1"/>
      <c r="B3264" s="1"/>
      <c r="C3264" s="3" t="s">
        <v>1861</v>
      </c>
      <c r="D3264" s="3" t="s">
        <v>3295</v>
      </c>
      <c r="E3264" s="1"/>
      <c r="F3264" s="1"/>
      <c r="G3264" s="1"/>
      <c r="H3264" s="1"/>
      <c r="I3264" s="2"/>
      <c r="J3264" s="1"/>
      <c r="K3264" s="1"/>
      <c r="L3264" s="1"/>
      <c r="M3264" s="1"/>
      <c r="N3264" s="1"/>
      <c r="O3264" s="1"/>
      <c r="P3264" s="1"/>
      <c r="Q3264" s="1"/>
      <c r="R3264" s="1"/>
      <c r="S3264" s="1"/>
      <c r="T3264" s="1"/>
      <c r="U3264" s="1"/>
      <c r="V3264" s="1"/>
      <c r="W3264" s="1"/>
      <c r="X3264" s="1"/>
    </row>
    <row x14ac:dyDescent="0.25" r="3265" customHeight="1" ht="18.75">
      <c r="A3265" s="1"/>
      <c r="B3265" s="1"/>
      <c r="C3265" s="3" t="s">
        <v>1861</v>
      </c>
      <c r="D3265" s="3" t="s">
        <v>3296</v>
      </c>
      <c r="E3265" s="1"/>
      <c r="F3265" s="1"/>
      <c r="G3265" s="1"/>
      <c r="H3265" s="1"/>
      <c r="I3265" s="2"/>
      <c r="J3265" s="1"/>
      <c r="K3265" s="1"/>
      <c r="L3265" s="1"/>
      <c r="M3265" s="1"/>
      <c r="N3265" s="1"/>
      <c r="O3265" s="1"/>
      <c r="P3265" s="1"/>
      <c r="Q3265" s="1"/>
      <c r="R3265" s="1"/>
      <c r="S3265" s="1"/>
      <c r="T3265" s="1"/>
      <c r="U3265" s="1"/>
      <c r="V3265" s="1"/>
      <c r="W3265" s="1"/>
      <c r="X3265" s="1"/>
    </row>
    <row x14ac:dyDescent="0.25" r="3266" customHeight="1" ht="18.75">
      <c r="A3266" s="1"/>
      <c r="B3266" s="1"/>
      <c r="C3266" s="3" t="s">
        <v>1861</v>
      </c>
      <c r="D3266" s="3" t="s">
        <v>3297</v>
      </c>
      <c r="E3266" s="1"/>
      <c r="F3266" s="1"/>
      <c r="G3266" s="1"/>
      <c r="H3266" s="1"/>
      <c r="I3266" s="2"/>
      <c r="J3266" s="1"/>
      <c r="K3266" s="1"/>
      <c r="L3266" s="1"/>
      <c r="M3266" s="1"/>
      <c r="N3266" s="1"/>
      <c r="O3266" s="1"/>
      <c r="P3266" s="1"/>
      <c r="Q3266" s="1"/>
      <c r="R3266" s="1"/>
      <c r="S3266" s="1"/>
      <c r="T3266" s="1"/>
      <c r="U3266" s="1"/>
      <c r="V3266" s="1"/>
      <c r="W3266" s="1"/>
      <c r="X3266" s="1"/>
    </row>
    <row x14ac:dyDescent="0.25" r="3267" customHeight="1" ht="18.75">
      <c r="A3267" s="1"/>
      <c r="B3267" s="1"/>
      <c r="C3267" s="3" t="s">
        <v>1861</v>
      </c>
      <c r="D3267" s="3" t="s">
        <v>3298</v>
      </c>
      <c r="E3267" s="1"/>
      <c r="F3267" s="1"/>
      <c r="G3267" s="1"/>
      <c r="H3267" s="1"/>
      <c r="I3267" s="2"/>
      <c r="J3267" s="1"/>
      <c r="K3267" s="1"/>
      <c r="L3267" s="1"/>
      <c r="M3267" s="1"/>
      <c r="N3267" s="1"/>
      <c r="O3267" s="1"/>
      <c r="P3267" s="1"/>
      <c r="Q3267" s="1"/>
      <c r="R3267" s="1"/>
      <c r="S3267" s="1"/>
      <c r="T3267" s="1"/>
      <c r="U3267" s="1"/>
      <c r="V3267" s="1"/>
      <c r="W3267" s="1"/>
      <c r="X3267" s="1"/>
    </row>
    <row x14ac:dyDescent="0.25" r="3268" customHeight="1" ht="18.75">
      <c r="A3268" s="1"/>
      <c r="B3268" s="1"/>
      <c r="C3268" s="3" t="s">
        <v>1861</v>
      </c>
      <c r="D3268" s="3" t="s">
        <v>3299</v>
      </c>
      <c r="E3268" s="1"/>
      <c r="F3268" s="1"/>
      <c r="G3268" s="1"/>
      <c r="H3268" s="1"/>
      <c r="I3268" s="2"/>
      <c r="J3268" s="1"/>
      <c r="K3268" s="1"/>
      <c r="L3268" s="1"/>
      <c r="M3268" s="1"/>
      <c r="N3268" s="1"/>
      <c r="O3268" s="1"/>
      <c r="P3268" s="1"/>
      <c r="Q3268" s="1"/>
      <c r="R3268" s="1"/>
      <c r="S3268" s="1"/>
      <c r="T3268" s="1"/>
      <c r="U3268" s="1"/>
      <c r="V3268" s="1"/>
      <c r="W3268" s="1"/>
      <c r="X3268" s="1"/>
    </row>
    <row x14ac:dyDescent="0.25" r="3269" customHeight="1" ht="18.75">
      <c r="A3269" s="1"/>
      <c r="B3269" s="1"/>
      <c r="C3269" s="3" t="s">
        <v>1861</v>
      </c>
      <c r="D3269" s="3" t="s">
        <v>3300</v>
      </c>
      <c r="E3269" s="1"/>
      <c r="F3269" s="1"/>
      <c r="G3269" s="1"/>
      <c r="H3269" s="1"/>
      <c r="I3269" s="2"/>
      <c r="J3269" s="1"/>
      <c r="K3269" s="1"/>
      <c r="L3269" s="1"/>
      <c r="M3269" s="1"/>
      <c r="N3269" s="1"/>
      <c r="O3269" s="1"/>
      <c r="P3269" s="1"/>
      <c r="Q3269" s="1"/>
      <c r="R3269" s="1"/>
      <c r="S3269" s="1"/>
      <c r="T3269" s="1"/>
      <c r="U3269" s="1"/>
      <c r="V3269" s="1"/>
      <c r="W3269" s="1"/>
      <c r="X3269" s="1"/>
    </row>
    <row x14ac:dyDescent="0.25" r="3270" customHeight="1" ht="18.75">
      <c r="A3270" s="1"/>
      <c r="B3270" s="1"/>
      <c r="C3270" s="3" t="s">
        <v>1861</v>
      </c>
      <c r="D3270" s="3" t="s">
        <v>3301</v>
      </c>
      <c r="E3270" s="1"/>
      <c r="F3270" s="1"/>
      <c r="G3270" s="1"/>
      <c r="H3270" s="1"/>
      <c r="I3270" s="2"/>
      <c r="J3270" s="1"/>
      <c r="K3270" s="1"/>
      <c r="L3270" s="1"/>
      <c r="M3270" s="1"/>
      <c r="N3270" s="1"/>
      <c r="O3270" s="1"/>
      <c r="P3270" s="1"/>
      <c r="Q3270" s="1"/>
      <c r="R3270" s="1"/>
      <c r="S3270" s="1"/>
      <c r="T3270" s="1"/>
      <c r="U3270" s="1"/>
      <c r="V3270" s="1"/>
      <c r="W3270" s="1"/>
      <c r="X3270" s="1"/>
    </row>
    <row x14ac:dyDescent="0.25" r="3271" customHeight="1" ht="18.75">
      <c r="A3271" s="1"/>
      <c r="B3271" s="1"/>
      <c r="C3271" s="3" t="s">
        <v>1861</v>
      </c>
      <c r="D3271" s="3" t="s">
        <v>3302</v>
      </c>
      <c r="E3271" s="1"/>
      <c r="F3271" s="1"/>
      <c r="G3271" s="1"/>
      <c r="H3271" s="1"/>
      <c r="I3271" s="2"/>
      <c r="J3271" s="1"/>
      <c r="K3271" s="1"/>
      <c r="L3271" s="1"/>
      <c r="M3271" s="1"/>
      <c r="N3271" s="1"/>
      <c r="O3271" s="1"/>
      <c r="P3271" s="1"/>
      <c r="Q3271" s="1"/>
      <c r="R3271" s="1"/>
      <c r="S3271" s="1"/>
      <c r="T3271" s="1"/>
      <c r="U3271" s="1"/>
      <c r="V3271" s="1"/>
      <c r="W3271" s="1"/>
      <c r="X3271" s="1"/>
    </row>
    <row x14ac:dyDescent="0.25" r="3272" customHeight="1" ht="18.75">
      <c r="A3272" s="1"/>
      <c r="B3272" s="1"/>
      <c r="C3272" s="3" t="s">
        <v>1861</v>
      </c>
      <c r="D3272" s="3" t="s">
        <v>3303</v>
      </c>
      <c r="E3272" s="1"/>
      <c r="F3272" s="1"/>
      <c r="G3272" s="1"/>
      <c r="H3272" s="1"/>
      <c r="I3272" s="2"/>
      <c r="J3272" s="1"/>
      <c r="K3272" s="1"/>
      <c r="L3272" s="1"/>
      <c r="M3272" s="1"/>
      <c r="N3272" s="1"/>
      <c r="O3272" s="1"/>
      <c r="P3272" s="1"/>
      <c r="Q3272" s="1"/>
      <c r="R3272" s="1"/>
      <c r="S3272" s="1"/>
      <c r="T3272" s="1"/>
      <c r="U3272" s="1"/>
      <c r="V3272" s="1"/>
      <c r="W3272" s="1"/>
      <c r="X3272" s="1"/>
    </row>
    <row x14ac:dyDescent="0.25" r="3273" customHeight="1" ht="18.75">
      <c r="A3273" s="1"/>
      <c r="B3273" s="1"/>
      <c r="C3273" s="3" t="s">
        <v>1861</v>
      </c>
      <c r="D3273" s="3" t="s">
        <v>3304</v>
      </c>
      <c r="E3273" s="1"/>
      <c r="F3273" s="1"/>
      <c r="G3273" s="1"/>
      <c r="H3273" s="1"/>
      <c r="I3273" s="2"/>
      <c r="J3273" s="1"/>
      <c r="K3273" s="1"/>
      <c r="L3273" s="1"/>
      <c r="M3273" s="1"/>
      <c r="N3273" s="1"/>
      <c r="O3273" s="1"/>
      <c r="P3273" s="1"/>
      <c r="Q3273" s="1"/>
      <c r="R3273" s="1"/>
      <c r="S3273" s="1"/>
      <c r="T3273" s="1"/>
      <c r="U3273" s="1"/>
      <c r="V3273" s="1"/>
      <c r="W3273" s="1"/>
      <c r="X3273" s="1"/>
    </row>
    <row x14ac:dyDescent="0.25" r="3274" customHeight="1" ht="18.75">
      <c r="A3274" s="1"/>
      <c r="B3274" s="1"/>
      <c r="C3274" s="3" t="s">
        <v>1861</v>
      </c>
      <c r="D3274" s="3" t="s">
        <v>3305</v>
      </c>
      <c r="E3274" s="1"/>
      <c r="F3274" s="1"/>
      <c r="G3274" s="1"/>
      <c r="H3274" s="1"/>
      <c r="I3274" s="2"/>
      <c r="J3274" s="1"/>
      <c r="K3274" s="1"/>
      <c r="L3274" s="1"/>
      <c r="M3274" s="1"/>
      <c r="N3274" s="1"/>
      <c r="O3274" s="1"/>
      <c r="P3274" s="1"/>
      <c r="Q3274" s="1"/>
      <c r="R3274" s="1"/>
      <c r="S3274" s="1"/>
      <c r="T3274" s="1"/>
      <c r="U3274" s="1"/>
      <c r="V3274" s="1"/>
      <c r="W3274" s="1"/>
      <c r="X3274" s="1"/>
    </row>
    <row x14ac:dyDescent="0.25" r="3275" customHeight="1" ht="18.75">
      <c r="A3275" s="1"/>
      <c r="B3275" s="1"/>
      <c r="C3275" s="3" t="s">
        <v>1861</v>
      </c>
      <c r="D3275" s="3" t="s">
        <v>3306</v>
      </c>
      <c r="E3275" s="1"/>
      <c r="F3275" s="1"/>
      <c r="G3275" s="1"/>
      <c r="H3275" s="1"/>
      <c r="I3275" s="2"/>
      <c r="J3275" s="1"/>
      <c r="K3275" s="1"/>
      <c r="L3275" s="1"/>
      <c r="M3275" s="1"/>
      <c r="N3275" s="1"/>
      <c r="O3275" s="1"/>
      <c r="P3275" s="1"/>
      <c r="Q3275" s="1"/>
      <c r="R3275" s="1"/>
      <c r="S3275" s="1"/>
      <c r="T3275" s="1"/>
      <c r="U3275" s="1"/>
      <c r="V3275" s="1"/>
      <c r="W3275" s="1"/>
      <c r="X3275" s="1"/>
    </row>
    <row x14ac:dyDescent="0.25" r="3276" customHeight="1" ht="18.75">
      <c r="A3276" s="1"/>
      <c r="B3276" s="1"/>
      <c r="C3276" s="3" t="s">
        <v>1861</v>
      </c>
      <c r="D3276" s="3" t="s">
        <v>3307</v>
      </c>
      <c r="E3276" s="1"/>
      <c r="F3276" s="1"/>
      <c r="G3276" s="1"/>
      <c r="H3276" s="1"/>
      <c r="I3276" s="2"/>
      <c r="J3276" s="1"/>
      <c r="K3276" s="1"/>
      <c r="L3276" s="1"/>
      <c r="M3276" s="1"/>
      <c r="N3276" s="1"/>
      <c r="O3276" s="1"/>
      <c r="P3276" s="1"/>
      <c r="Q3276" s="1"/>
      <c r="R3276" s="1"/>
      <c r="S3276" s="1"/>
      <c r="T3276" s="1"/>
      <c r="U3276" s="1"/>
      <c r="V3276" s="1"/>
      <c r="W3276" s="1"/>
      <c r="X3276" s="1"/>
    </row>
    <row x14ac:dyDescent="0.25" r="3277" customHeight="1" ht="18.75">
      <c r="A3277" s="1"/>
      <c r="B3277" s="1"/>
      <c r="C3277" s="3" t="s">
        <v>1861</v>
      </c>
      <c r="D3277" s="3" t="s">
        <v>3308</v>
      </c>
      <c r="E3277" s="1"/>
      <c r="F3277" s="1"/>
      <c r="G3277" s="1"/>
      <c r="H3277" s="1"/>
      <c r="I3277" s="2"/>
      <c r="J3277" s="1"/>
      <c r="K3277" s="1"/>
      <c r="L3277" s="1"/>
      <c r="M3277" s="1"/>
      <c r="N3277" s="1"/>
      <c r="O3277" s="1"/>
      <c r="P3277" s="1"/>
      <c r="Q3277" s="1"/>
      <c r="R3277" s="1"/>
      <c r="S3277" s="1"/>
      <c r="T3277" s="1"/>
      <c r="U3277" s="1"/>
      <c r="V3277" s="1"/>
      <c r="W3277" s="1"/>
      <c r="X3277" s="1"/>
    </row>
    <row x14ac:dyDescent="0.25" r="3278" customHeight="1" ht="18.75">
      <c r="A3278" s="1"/>
      <c r="B3278" s="1"/>
      <c r="C3278" s="3" t="s">
        <v>1861</v>
      </c>
      <c r="D3278" s="3" t="s">
        <v>3309</v>
      </c>
      <c r="E3278" s="1"/>
      <c r="F3278" s="1"/>
      <c r="G3278" s="1"/>
      <c r="H3278" s="1"/>
      <c r="I3278" s="2"/>
      <c r="J3278" s="1"/>
      <c r="K3278" s="1"/>
      <c r="L3278" s="1"/>
      <c r="M3278" s="1"/>
      <c r="N3278" s="1"/>
      <c r="O3278" s="1"/>
      <c r="P3278" s="1"/>
      <c r="Q3278" s="1"/>
      <c r="R3278" s="1"/>
      <c r="S3278" s="1"/>
      <c r="T3278" s="1"/>
      <c r="U3278" s="1"/>
      <c r="V3278" s="1"/>
      <c r="W3278" s="1"/>
      <c r="X3278" s="1"/>
    </row>
    <row x14ac:dyDescent="0.25" r="3279" customHeight="1" ht="18.75">
      <c r="A3279" s="1"/>
      <c r="B3279" s="1"/>
      <c r="C3279" s="3" t="s">
        <v>1861</v>
      </c>
      <c r="D3279" s="3" t="s">
        <v>3310</v>
      </c>
      <c r="E3279" s="1"/>
      <c r="F3279" s="1"/>
      <c r="G3279" s="1"/>
      <c r="H3279" s="1"/>
      <c r="I3279" s="2"/>
      <c r="J3279" s="1"/>
      <c r="K3279" s="1"/>
      <c r="L3279" s="1"/>
      <c r="M3279" s="1"/>
      <c r="N3279" s="1"/>
      <c r="O3279" s="1"/>
      <c r="P3279" s="1"/>
      <c r="Q3279" s="1"/>
      <c r="R3279" s="1"/>
      <c r="S3279" s="1"/>
      <c r="T3279" s="1"/>
      <c r="U3279" s="1"/>
      <c r="V3279" s="1"/>
      <c r="W3279" s="1"/>
      <c r="X3279" s="1"/>
    </row>
    <row x14ac:dyDescent="0.25" r="3280" customHeight="1" ht="18.75">
      <c r="A3280" s="1"/>
      <c r="B3280" s="1"/>
      <c r="C3280" s="3" t="s">
        <v>1861</v>
      </c>
      <c r="D3280" s="3" t="s">
        <v>3311</v>
      </c>
      <c r="E3280" s="1"/>
      <c r="F3280" s="1"/>
      <c r="G3280" s="1"/>
      <c r="H3280" s="1"/>
      <c r="I3280" s="2"/>
      <c r="J3280" s="1"/>
      <c r="K3280" s="1"/>
      <c r="L3280" s="1"/>
      <c r="M3280" s="1"/>
      <c r="N3280" s="1"/>
      <c r="O3280" s="1"/>
      <c r="P3280" s="1"/>
      <c r="Q3280" s="1"/>
      <c r="R3280" s="1"/>
      <c r="S3280" s="1"/>
      <c r="T3280" s="1"/>
      <c r="U3280" s="1"/>
      <c r="V3280" s="1"/>
      <c r="W3280" s="1"/>
      <c r="X3280" s="1"/>
    </row>
    <row x14ac:dyDescent="0.25" r="3281" customHeight="1" ht="18.75">
      <c r="A3281" s="1"/>
      <c r="B3281" s="1"/>
      <c r="C3281" s="3" t="s">
        <v>1861</v>
      </c>
      <c r="D3281" s="3" t="s">
        <v>3312</v>
      </c>
      <c r="E3281" s="1"/>
      <c r="F3281" s="1"/>
      <c r="G3281" s="1"/>
      <c r="H3281" s="1"/>
      <c r="I3281" s="2"/>
      <c r="J3281" s="1"/>
      <c r="K3281" s="1"/>
      <c r="L3281" s="1"/>
      <c r="M3281" s="1"/>
      <c r="N3281" s="1"/>
      <c r="O3281" s="1"/>
      <c r="P3281" s="1"/>
      <c r="Q3281" s="1"/>
      <c r="R3281" s="1"/>
      <c r="S3281" s="1"/>
      <c r="T3281" s="1"/>
      <c r="U3281" s="1"/>
      <c r="V3281" s="1"/>
      <c r="W3281" s="1"/>
      <c r="X3281" s="1"/>
    </row>
    <row x14ac:dyDescent="0.25" r="3282" customHeight="1" ht="18.75">
      <c r="A3282" s="1"/>
      <c r="B3282" s="1"/>
      <c r="C3282" s="3" t="s">
        <v>1861</v>
      </c>
      <c r="D3282" s="3" t="s">
        <v>3313</v>
      </c>
      <c r="E3282" s="1"/>
      <c r="F3282" s="1"/>
      <c r="G3282" s="1"/>
      <c r="H3282" s="1"/>
      <c r="I3282" s="2"/>
      <c r="J3282" s="1"/>
      <c r="K3282" s="1"/>
      <c r="L3282" s="1"/>
      <c r="M3282" s="1"/>
      <c r="N3282" s="1"/>
      <c r="O3282" s="1"/>
      <c r="P3282" s="1"/>
      <c r="Q3282" s="1"/>
      <c r="R3282" s="1"/>
      <c r="S3282" s="1"/>
      <c r="T3282" s="1"/>
      <c r="U3282" s="1"/>
      <c r="V3282" s="1"/>
      <c r="W3282" s="1"/>
      <c r="X3282" s="1"/>
    </row>
    <row x14ac:dyDescent="0.25" r="3283" customHeight="1" ht="18.75">
      <c r="A3283" s="1"/>
      <c r="B3283" s="1"/>
      <c r="C3283" s="3" t="s">
        <v>1861</v>
      </c>
      <c r="D3283" s="3" t="s">
        <v>3314</v>
      </c>
      <c r="E3283" s="1"/>
      <c r="F3283" s="1"/>
      <c r="G3283" s="1"/>
      <c r="H3283" s="1"/>
      <c r="I3283" s="2"/>
      <c r="J3283" s="1"/>
      <c r="K3283" s="1"/>
      <c r="L3283" s="1"/>
      <c r="M3283" s="1"/>
      <c r="N3283" s="1"/>
      <c r="O3283" s="1"/>
      <c r="P3283" s="1"/>
      <c r="Q3283" s="1"/>
      <c r="R3283" s="1"/>
      <c r="S3283" s="1"/>
      <c r="T3283" s="1"/>
      <c r="U3283" s="1"/>
      <c r="V3283" s="1"/>
      <c r="W3283" s="1"/>
      <c r="X3283" s="1"/>
    </row>
    <row x14ac:dyDescent="0.25" r="3284" customHeight="1" ht="18.75">
      <c r="A3284" s="1"/>
      <c r="B3284" s="1"/>
      <c r="C3284" s="3" t="s">
        <v>1861</v>
      </c>
      <c r="D3284" s="3" t="s">
        <v>3315</v>
      </c>
      <c r="E3284" s="1"/>
      <c r="F3284" s="1"/>
      <c r="G3284" s="1"/>
      <c r="H3284" s="1"/>
      <c r="I3284" s="2"/>
      <c r="J3284" s="1"/>
      <c r="K3284" s="1"/>
      <c r="L3284" s="1"/>
      <c r="M3284" s="1"/>
      <c r="N3284" s="1"/>
      <c r="O3284" s="1"/>
      <c r="P3284" s="1"/>
      <c r="Q3284" s="1"/>
      <c r="R3284" s="1"/>
      <c r="S3284" s="1"/>
      <c r="T3284" s="1"/>
      <c r="U3284" s="1"/>
      <c r="V3284" s="1"/>
      <c r="W3284" s="1"/>
      <c r="X3284" s="1"/>
    </row>
    <row x14ac:dyDescent="0.25" r="3285" customHeight="1" ht="18.75">
      <c r="A3285" s="1"/>
      <c r="B3285" s="1"/>
      <c r="C3285" s="3" t="s">
        <v>1861</v>
      </c>
      <c r="D3285" s="3" t="s">
        <v>3316</v>
      </c>
      <c r="E3285" s="1"/>
      <c r="F3285" s="1"/>
      <c r="G3285" s="1"/>
      <c r="H3285" s="1"/>
      <c r="I3285" s="2"/>
      <c r="J3285" s="1"/>
      <c r="K3285" s="1"/>
      <c r="L3285" s="1"/>
      <c r="M3285" s="1"/>
      <c r="N3285" s="1"/>
      <c r="O3285" s="1"/>
      <c r="P3285" s="1"/>
      <c r="Q3285" s="1"/>
      <c r="R3285" s="1"/>
      <c r="S3285" s="1"/>
      <c r="T3285" s="1"/>
      <c r="U3285" s="1"/>
      <c r="V3285" s="1"/>
      <c r="W3285" s="1"/>
      <c r="X3285" s="1"/>
    </row>
    <row x14ac:dyDescent="0.25" r="3286" customHeight="1" ht="18.75">
      <c r="A3286" s="1"/>
      <c r="B3286" s="1"/>
      <c r="C3286" s="3" t="s">
        <v>1861</v>
      </c>
      <c r="D3286" s="3" t="s">
        <v>3317</v>
      </c>
      <c r="E3286" s="1"/>
      <c r="F3286" s="1"/>
      <c r="G3286" s="1"/>
      <c r="H3286" s="1"/>
      <c r="I3286" s="2"/>
      <c r="J3286" s="1"/>
      <c r="K3286" s="1"/>
      <c r="L3286" s="1"/>
      <c r="M3286" s="1"/>
      <c r="N3286" s="1"/>
      <c r="O3286" s="1"/>
      <c r="P3286" s="1"/>
      <c r="Q3286" s="1"/>
      <c r="R3286" s="1"/>
      <c r="S3286" s="1"/>
      <c r="T3286" s="1"/>
      <c r="U3286" s="1"/>
      <c r="V3286" s="1"/>
      <c r="W3286" s="1"/>
      <c r="X3286" s="1"/>
    </row>
    <row x14ac:dyDescent="0.25" r="3287" customHeight="1" ht="18.75">
      <c r="A3287" s="1"/>
      <c r="B3287" s="1"/>
      <c r="C3287" s="3" t="s">
        <v>1861</v>
      </c>
      <c r="D3287" s="3" t="s">
        <v>3318</v>
      </c>
      <c r="E3287" s="1"/>
      <c r="F3287" s="1"/>
      <c r="G3287" s="1"/>
      <c r="H3287" s="1"/>
      <c r="I3287" s="2"/>
      <c r="J3287" s="1"/>
      <c r="K3287" s="1"/>
      <c r="L3287" s="1"/>
      <c r="M3287" s="1"/>
      <c r="N3287" s="1"/>
      <c r="O3287" s="1"/>
      <c r="P3287" s="1"/>
      <c r="Q3287" s="1"/>
      <c r="R3287" s="1"/>
      <c r="S3287" s="1"/>
      <c r="T3287" s="1"/>
      <c r="U3287" s="1"/>
      <c r="V3287" s="1"/>
      <c r="W3287" s="1"/>
      <c r="X3287" s="1"/>
    </row>
    <row x14ac:dyDescent="0.25" r="3288" customHeight="1" ht="18.75">
      <c r="A3288" s="1"/>
      <c r="B3288" s="1"/>
      <c r="C3288" s="3" t="s">
        <v>1861</v>
      </c>
      <c r="D3288" s="3" t="s">
        <v>3319</v>
      </c>
      <c r="E3288" s="1"/>
      <c r="F3288" s="1"/>
      <c r="G3288" s="1"/>
      <c r="H3288" s="1"/>
      <c r="I3288" s="2"/>
      <c r="J3288" s="1"/>
      <c r="K3288" s="1"/>
      <c r="L3288" s="1"/>
      <c r="M3288" s="1"/>
      <c r="N3288" s="1"/>
      <c r="O3288" s="1"/>
      <c r="P3288" s="1"/>
      <c r="Q3288" s="1"/>
      <c r="R3288" s="1"/>
      <c r="S3288" s="1"/>
      <c r="T3288" s="1"/>
      <c r="U3288" s="1"/>
      <c r="V3288" s="1"/>
      <c r="W3288" s="1"/>
      <c r="X3288" s="1"/>
    </row>
    <row x14ac:dyDescent="0.25" r="3289" customHeight="1" ht="18.75">
      <c r="A3289" s="1"/>
      <c r="B3289" s="1"/>
      <c r="C3289" s="3" t="s">
        <v>1861</v>
      </c>
      <c r="D3289" s="3" t="s">
        <v>3320</v>
      </c>
      <c r="E3289" s="1"/>
      <c r="F3289" s="1"/>
      <c r="G3289" s="1"/>
      <c r="H3289" s="1"/>
      <c r="I3289" s="2"/>
      <c r="J3289" s="1"/>
      <c r="K3289" s="1"/>
      <c r="L3289" s="1"/>
      <c r="M3289" s="1"/>
      <c r="N3289" s="1"/>
      <c r="O3289" s="1"/>
      <c r="P3289" s="1"/>
      <c r="Q3289" s="1"/>
      <c r="R3289" s="1"/>
      <c r="S3289" s="1"/>
      <c r="T3289" s="1"/>
      <c r="U3289" s="1"/>
      <c r="V3289" s="1"/>
      <c r="W3289" s="1"/>
      <c r="X3289" s="1"/>
    </row>
    <row x14ac:dyDescent="0.25" r="3290" customHeight="1" ht="18.75">
      <c r="A3290" s="1"/>
      <c r="B3290" s="1"/>
      <c r="C3290" s="3" t="s">
        <v>2259</v>
      </c>
      <c r="D3290" s="3" t="s">
        <v>3321</v>
      </c>
      <c r="E3290" s="1"/>
      <c r="F3290" s="1"/>
      <c r="G3290" s="1"/>
      <c r="H3290" s="1"/>
      <c r="I3290" s="2"/>
      <c r="J3290" s="1"/>
      <c r="K3290" s="1"/>
      <c r="L3290" s="1"/>
      <c r="M3290" s="1"/>
      <c r="N3290" s="1"/>
      <c r="O3290" s="1"/>
      <c r="P3290" s="1"/>
      <c r="Q3290" s="1"/>
      <c r="R3290" s="1"/>
      <c r="S3290" s="1"/>
      <c r="T3290" s="1"/>
      <c r="U3290" s="1"/>
      <c r="V3290" s="1"/>
      <c r="W3290" s="1"/>
      <c r="X3290" s="1"/>
    </row>
    <row x14ac:dyDescent="0.25" r="3291" customHeight="1" ht="18.75">
      <c r="A3291" s="1"/>
      <c r="B3291" s="1"/>
      <c r="C3291" s="3" t="s">
        <v>2259</v>
      </c>
      <c r="D3291" s="3" t="s">
        <v>3322</v>
      </c>
      <c r="E3291" s="1"/>
      <c r="F3291" s="1"/>
      <c r="G3291" s="1"/>
      <c r="H3291" s="1"/>
      <c r="I3291" s="2"/>
      <c r="J3291" s="1"/>
      <c r="K3291" s="1"/>
      <c r="L3291" s="1"/>
      <c r="M3291" s="1"/>
      <c r="N3291" s="1"/>
      <c r="O3291" s="1"/>
      <c r="P3291" s="1"/>
      <c r="Q3291" s="1"/>
      <c r="R3291" s="1"/>
      <c r="S3291" s="1"/>
      <c r="T3291" s="1"/>
      <c r="U3291" s="1"/>
      <c r="V3291" s="1"/>
      <c r="W3291" s="1"/>
      <c r="X3291" s="1"/>
    </row>
    <row x14ac:dyDescent="0.25" r="3292" customHeight="1" ht="18.75">
      <c r="A3292" s="1"/>
      <c r="B3292" s="1"/>
      <c r="C3292" s="3" t="s">
        <v>2259</v>
      </c>
      <c r="D3292" s="3" t="s">
        <v>3323</v>
      </c>
      <c r="E3292" s="1"/>
      <c r="F3292" s="1"/>
      <c r="G3292" s="1"/>
      <c r="H3292" s="1"/>
      <c r="I3292" s="2"/>
      <c r="J3292" s="1"/>
      <c r="K3292" s="1"/>
      <c r="L3292" s="1"/>
      <c r="M3292" s="1"/>
      <c r="N3292" s="1"/>
      <c r="O3292" s="1"/>
      <c r="P3292" s="1"/>
      <c r="Q3292" s="1"/>
      <c r="R3292" s="1"/>
      <c r="S3292" s="1"/>
      <c r="T3292" s="1"/>
      <c r="U3292" s="1"/>
      <c r="V3292" s="1"/>
      <c r="W3292" s="1"/>
      <c r="X3292" s="1"/>
    </row>
    <row x14ac:dyDescent="0.25" r="3293" customHeight="1" ht="18.75">
      <c r="A3293" s="1"/>
      <c r="B3293" s="1"/>
      <c r="C3293" s="3" t="s">
        <v>2259</v>
      </c>
      <c r="D3293" s="3" t="s">
        <v>3324</v>
      </c>
      <c r="E3293" s="1"/>
      <c r="F3293" s="1"/>
      <c r="G3293" s="1"/>
      <c r="H3293" s="1"/>
      <c r="I3293" s="2"/>
      <c r="J3293" s="1"/>
      <c r="K3293" s="1"/>
      <c r="L3293" s="1"/>
      <c r="M3293" s="1"/>
      <c r="N3293" s="1"/>
      <c r="O3293" s="1"/>
      <c r="P3293" s="1"/>
      <c r="Q3293" s="1"/>
      <c r="R3293" s="1"/>
      <c r="S3293" s="1"/>
      <c r="T3293" s="1"/>
      <c r="U3293" s="1"/>
      <c r="V3293" s="1"/>
      <c r="W3293" s="1"/>
      <c r="X3293" s="1"/>
    </row>
    <row x14ac:dyDescent="0.25" r="3294" customHeight="1" ht="18.75">
      <c r="A3294" s="1"/>
      <c r="B3294" s="1"/>
      <c r="C3294" s="3" t="s">
        <v>2259</v>
      </c>
      <c r="D3294" s="3" t="s">
        <v>3325</v>
      </c>
      <c r="E3294" s="1"/>
      <c r="F3294" s="1"/>
      <c r="G3294" s="1"/>
      <c r="H3294" s="1"/>
      <c r="I3294" s="2"/>
      <c r="J3294" s="1"/>
      <c r="K3294" s="1"/>
      <c r="L3294" s="1"/>
      <c r="M3294" s="1"/>
      <c r="N3294" s="1"/>
      <c r="O3294" s="1"/>
      <c r="P3294" s="1"/>
      <c r="Q3294" s="1"/>
      <c r="R3294" s="1"/>
      <c r="S3294" s="1"/>
      <c r="T3294" s="1"/>
      <c r="U3294" s="1"/>
      <c r="V3294" s="1"/>
      <c r="W3294" s="1"/>
      <c r="X3294" s="1"/>
    </row>
    <row x14ac:dyDescent="0.25" r="3295" customHeight="1" ht="18.75">
      <c r="A3295" s="1"/>
      <c r="B3295" s="1"/>
      <c r="C3295" s="3" t="s">
        <v>2259</v>
      </c>
      <c r="D3295" s="3" t="s">
        <v>3326</v>
      </c>
      <c r="E3295" s="1"/>
      <c r="F3295" s="1"/>
      <c r="G3295" s="1"/>
      <c r="H3295" s="1"/>
      <c r="I3295" s="2"/>
      <c r="J3295" s="1"/>
      <c r="K3295" s="1"/>
      <c r="L3295" s="1"/>
      <c r="M3295" s="1"/>
      <c r="N3295" s="1"/>
      <c r="O3295" s="1"/>
      <c r="P3295" s="1"/>
      <c r="Q3295" s="1"/>
      <c r="R3295" s="1"/>
      <c r="S3295" s="1"/>
      <c r="T3295" s="1"/>
      <c r="U3295" s="1"/>
      <c r="V3295" s="1"/>
      <c r="W3295" s="1"/>
      <c r="X3295" s="1"/>
    </row>
    <row x14ac:dyDescent="0.25" r="3296" customHeight="1" ht="18.75">
      <c r="A3296" s="1"/>
      <c r="B3296" s="1"/>
      <c r="C3296" s="3" t="s">
        <v>2259</v>
      </c>
      <c r="D3296" s="3" t="s">
        <v>3327</v>
      </c>
      <c r="E3296" s="1"/>
      <c r="F3296" s="1"/>
      <c r="G3296" s="1"/>
      <c r="H3296" s="1"/>
      <c r="I3296" s="2"/>
      <c r="J3296" s="1"/>
      <c r="K3296" s="1"/>
      <c r="L3296" s="1"/>
      <c r="M3296" s="1"/>
      <c r="N3296" s="1"/>
      <c r="O3296" s="1"/>
      <c r="P3296" s="1"/>
      <c r="Q3296" s="1"/>
      <c r="R3296" s="1"/>
      <c r="S3296" s="1"/>
      <c r="T3296" s="1"/>
      <c r="U3296" s="1"/>
      <c r="V3296" s="1"/>
      <c r="W3296" s="1"/>
      <c r="X3296" s="1"/>
    </row>
    <row x14ac:dyDescent="0.25" r="3297" customHeight="1" ht="18.75">
      <c r="A3297" s="1"/>
      <c r="B3297" s="1"/>
      <c r="C3297" s="3" t="s">
        <v>2259</v>
      </c>
      <c r="D3297" s="3" t="s">
        <v>3328</v>
      </c>
      <c r="E3297" s="1"/>
      <c r="F3297" s="1"/>
      <c r="G3297" s="1"/>
      <c r="H3297" s="1"/>
      <c r="I3297" s="2"/>
      <c r="J3297" s="1"/>
      <c r="K3297" s="1"/>
      <c r="L3297" s="1"/>
      <c r="M3297" s="1"/>
      <c r="N3297" s="1"/>
      <c r="O3297" s="1"/>
      <c r="P3297" s="1"/>
      <c r="Q3297" s="1"/>
      <c r="R3297" s="1"/>
      <c r="S3297" s="1"/>
      <c r="T3297" s="1"/>
      <c r="U3297" s="1"/>
      <c r="V3297" s="1"/>
      <c r="W3297" s="1"/>
      <c r="X3297" s="1"/>
    </row>
    <row x14ac:dyDescent="0.25" r="3298" customHeight="1" ht="18.75">
      <c r="A3298" s="1"/>
      <c r="B3298" s="1"/>
      <c r="C3298" s="3" t="s">
        <v>2259</v>
      </c>
      <c r="D3298" s="3" t="s">
        <v>3329</v>
      </c>
      <c r="E3298" s="1"/>
      <c r="F3298" s="1"/>
      <c r="G3298" s="1"/>
      <c r="H3298" s="1"/>
      <c r="I3298" s="2"/>
      <c r="J3298" s="1"/>
      <c r="K3298" s="1"/>
      <c r="L3298" s="1"/>
      <c r="M3298" s="1"/>
      <c r="N3298" s="1"/>
      <c r="O3298" s="1"/>
      <c r="P3298" s="1"/>
      <c r="Q3298" s="1"/>
      <c r="R3298" s="1"/>
      <c r="S3298" s="1"/>
      <c r="T3298" s="1"/>
      <c r="U3298" s="1"/>
      <c r="V3298" s="1"/>
      <c r="W3298" s="1"/>
      <c r="X3298" s="1"/>
    </row>
    <row x14ac:dyDescent="0.25" r="3299" customHeight="1" ht="18.75">
      <c r="A3299" s="1"/>
      <c r="B3299" s="1"/>
      <c r="C3299" s="3" t="s">
        <v>2259</v>
      </c>
      <c r="D3299" s="3" t="s">
        <v>3330</v>
      </c>
      <c r="E3299" s="1"/>
      <c r="F3299" s="1"/>
      <c r="G3299" s="1"/>
      <c r="H3299" s="1"/>
      <c r="I3299" s="2"/>
      <c r="J3299" s="1"/>
      <c r="K3299" s="1"/>
      <c r="L3299" s="1"/>
      <c r="M3299" s="1"/>
      <c r="N3299" s="1"/>
      <c r="O3299" s="1"/>
      <c r="P3299" s="1"/>
      <c r="Q3299" s="1"/>
      <c r="R3299" s="1"/>
      <c r="S3299" s="1"/>
      <c r="T3299" s="1"/>
      <c r="U3299" s="1"/>
      <c r="V3299" s="1"/>
      <c r="W3299" s="1"/>
      <c r="X3299" s="1"/>
    </row>
    <row x14ac:dyDescent="0.25" r="3300" customHeight="1" ht="18.75">
      <c r="A3300" s="1"/>
      <c r="B3300" s="1"/>
      <c r="C3300" s="3" t="s">
        <v>2259</v>
      </c>
      <c r="D3300" s="3" t="s">
        <v>3331</v>
      </c>
      <c r="E3300" s="1"/>
      <c r="F3300" s="1"/>
      <c r="G3300" s="1"/>
      <c r="H3300" s="1"/>
      <c r="I3300" s="2"/>
      <c r="J3300" s="1"/>
      <c r="K3300" s="1"/>
      <c r="L3300" s="1"/>
      <c r="M3300" s="1"/>
      <c r="N3300" s="1"/>
      <c r="O3300" s="1"/>
      <c r="P3300" s="1"/>
      <c r="Q3300" s="1"/>
      <c r="R3300" s="1"/>
      <c r="S3300" s="1"/>
      <c r="T3300" s="1"/>
      <c r="U3300" s="1"/>
      <c r="V3300" s="1"/>
      <c r="W3300" s="1"/>
      <c r="X3300" s="1"/>
    </row>
    <row x14ac:dyDescent="0.25" r="3301" customHeight="1" ht="18.75">
      <c r="A3301" s="1"/>
      <c r="B3301" s="1"/>
      <c r="C3301" s="3" t="s">
        <v>2259</v>
      </c>
      <c r="D3301" s="3" t="s">
        <v>3332</v>
      </c>
      <c r="E3301" s="1"/>
      <c r="F3301" s="1"/>
      <c r="G3301" s="1"/>
      <c r="H3301" s="1"/>
      <c r="I3301" s="2"/>
      <c r="J3301" s="1"/>
      <c r="K3301" s="1"/>
      <c r="L3301" s="1"/>
      <c r="M3301" s="1"/>
      <c r="N3301" s="1"/>
      <c r="O3301" s="1"/>
      <c r="P3301" s="1"/>
      <c r="Q3301" s="1"/>
      <c r="R3301" s="1"/>
      <c r="S3301" s="1"/>
      <c r="T3301" s="1"/>
      <c r="U3301" s="1"/>
      <c r="V3301" s="1"/>
      <c r="W3301" s="1"/>
      <c r="X3301" s="1"/>
    </row>
    <row x14ac:dyDescent="0.25" r="3302" customHeight="1" ht="18.75">
      <c r="A3302" s="1"/>
      <c r="B3302" s="1"/>
      <c r="C3302" s="3" t="s">
        <v>2259</v>
      </c>
      <c r="D3302" s="3" t="s">
        <v>3333</v>
      </c>
      <c r="E3302" s="1"/>
      <c r="F3302" s="1"/>
      <c r="G3302" s="1"/>
      <c r="H3302" s="1"/>
      <c r="I3302" s="2"/>
      <c r="J3302" s="1"/>
      <c r="K3302" s="1"/>
      <c r="L3302" s="1"/>
      <c r="M3302" s="1"/>
      <c r="N3302" s="1"/>
      <c r="O3302" s="1"/>
      <c r="P3302" s="1"/>
      <c r="Q3302" s="1"/>
      <c r="R3302" s="1"/>
      <c r="S3302" s="1"/>
      <c r="T3302" s="1"/>
      <c r="U3302" s="1"/>
      <c r="V3302" s="1"/>
      <c r="W3302" s="1"/>
      <c r="X3302" s="1"/>
    </row>
    <row x14ac:dyDescent="0.25" r="3303" customHeight="1" ht="18.75">
      <c r="A3303" s="1"/>
      <c r="B3303" s="1"/>
      <c r="C3303" s="3" t="s">
        <v>2259</v>
      </c>
      <c r="D3303" s="3" t="s">
        <v>3334</v>
      </c>
      <c r="E3303" s="1"/>
      <c r="F3303" s="1"/>
      <c r="G3303" s="1"/>
      <c r="H3303" s="1"/>
      <c r="I3303" s="2"/>
      <c r="J3303" s="1"/>
      <c r="K3303" s="1"/>
      <c r="L3303" s="1"/>
      <c r="M3303" s="1"/>
      <c r="N3303" s="1"/>
      <c r="O3303" s="1"/>
      <c r="P3303" s="1"/>
      <c r="Q3303" s="1"/>
      <c r="R3303" s="1"/>
      <c r="S3303" s="1"/>
      <c r="T3303" s="1"/>
      <c r="U3303" s="1"/>
      <c r="V3303" s="1"/>
      <c r="W3303" s="1"/>
      <c r="X3303" s="1"/>
    </row>
    <row x14ac:dyDescent="0.25" r="3304" customHeight="1" ht="18.75">
      <c r="A3304" s="1"/>
      <c r="B3304" s="1"/>
      <c r="C3304" s="3" t="s">
        <v>2259</v>
      </c>
      <c r="D3304" s="3" t="s">
        <v>3335</v>
      </c>
      <c r="E3304" s="1"/>
      <c r="F3304" s="1"/>
      <c r="G3304" s="1"/>
      <c r="H3304" s="1"/>
      <c r="I3304" s="2"/>
      <c r="J3304" s="1"/>
      <c r="K3304" s="1"/>
      <c r="L3304" s="1"/>
      <c r="M3304" s="1"/>
      <c r="N3304" s="1"/>
      <c r="O3304" s="1"/>
      <c r="P3304" s="1"/>
      <c r="Q3304" s="1"/>
      <c r="R3304" s="1"/>
      <c r="S3304" s="1"/>
      <c r="T3304" s="1"/>
      <c r="U3304" s="1"/>
      <c r="V3304" s="1"/>
      <c r="W3304" s="1"/>
      <c r="X3304" s="1"/>
    </row>
    <row x14ac:dyDescent="0.25" r="3305" customHeight="1" ht="18.75">
      <c r="A3305" s="1"/>
      <c r="B3305" s="1"/>
      <c r="C3305" s="3" t="s">
        <v>2259</v>
      </c>
      <c r="D3305" s="3" t="s">
        <v>3336</v>
      </c>
      <c r="E3305" s="1"/>
      <c r="F3305" s="1"/>
      <c r="G3305" s="1"/>
      <c r="H3305" s="1"/>
      <c r="I3305" s="2"/>
      <c r="J3305" s="1"/>
      <c r="K3305" s="1"/>
      <c r="L3305" s="1"/>
      <c r="M3305" s="1"/>
      <c r="N3305" s="1"/>
      <c r="O3305" s="1"/>
      <c r="P3305" s="1"/>
      <c r="Q3305" s="1"/>
      <c r="R3305" s="1"/>
      <c r="S3305" s="1"/>
      <c r="T3305" s="1"/>
      <c r="U3305" s="1"/>
      <c r="V3305" s="1"/>
      <c r="W3305" s="1"/>
      <c r="X3305" s="1"/>
    </row>
    <row x14ac:dyDescent="0.25" r="3306" customHeight="1" ht="18.75">
      <c r="A3306" s="1"/>
      <c r="B3306" s="1"/>
      <c r="C3306" s="3" t="s">
        <v>2259</v>
      </c>
      <c r="D3306" s="3" t="s">
        <v>3337</v>
      </c>
      <c r="E3306" s="1"/>
      <c r="F3306" s="1"/>
      <c r="G3306" s="1"/>
      <c r="H3306" s="1"/>
      <c r="I3306" s="2"/>
      <c r="J3306" s="1"/>
      <c r="K3306" s="1"/>
      <c r="L3306" s="1"/>
      <c r="M3306" s="1"/>
      <c r="N3306" s="1"/>
      <c r="O3306" s="1"/>
      <c r="P3306" s="1"/>
      <c r="Q3306" s="1"/>
      <c r="R3306" s="1"/>
      <c r="S3306" s="1"/>
      <c r="T3306" s="1"/>
      <c r="U3306" s="1"/>
      <c r="V3306" s="1"/>
      <c r="W3306" s="1"/>
      <c r="X3306" s="1"/>
    </row>
    <row x14ac:dyDescent="0.25" r="3307" customHeight="1" ht="18.75">
      <c r="A3307" s="1"/>
      <c r="B3307" s="1"/>
      <c r="C3307" s="3" t="s">
        <v>2259</v>
      </c>
      <c r="D3307" s="3" t="s">
        <v>3338</v>
      </c>
      <c r="E3307" s="1"/>
      <c r="F3307" s="1"/>
      <c r="G3307" s="1"/>
      <c r="H3307" s="1"/>
      <c r="I3307" s="2"/>
      <c r="J3307" s="1"/>
      <c r="K3307" s="1"/>
      <c r="L3307" s="1"/>
      <c r="M3307" s="1"/>
      <c r="N3307" s="1"/>
      <c r="O3307" s="1"/>
      <c r="P3307" s="1"/>
      <c r="Q3307" s="1"/>
      <c r="R3307" s="1"/>
      <c r="S3307" s="1"/>
      <c r="T3307" s="1"/>
      <c r="U3307" s="1"/>
      <c r="V3307" s="1"/>
      <c r="W3307" s="1"/>
      <c r="X3307" s="1"/>
    </row>
    <row x14ac:dyDescent="0.25" r="3308" customHeight="1" ht="18.75">
      <c r="A3308" s="1"/>
      <c r="B3308" s="1"/>
      <c r="C3308" s="3" t="s">
        <v>2259</v>
      </c>
      <c r="D3308" s="3" t="s">
        <v>3339</v>
      </c>
      <c r="E3308" s="1"/>
      <c r="F3308" s="1"/>
      <c r="G3308" s="1"/>
      <c r="H3308" s="1"/>
      <c r="I3308" s="2"/>
      <c r="J3308" s="1"/>
      <c r="K3308" s="1"/>
      <c r="L3308" s="1"/>
      <c r="M3308" s="1"/>
      <c r="N3308" s="1"/>
      <c r="O3308" s="1"/>
      <c r="P3308" s="1"/>
      <c r="Q3308" s="1"/>
      <c r="R3308" s="1"/>
      <c r="S3308" s="1"/>
      <c r="T3308" s="1"/>
      <c r="U3308" s="1"/>
      <c r="V3308" s="1"/>
      <c r="W3308" s="1"/>
      <c r="X3308" s="1"/>
    </row>
    <row x14ac:dyDescent="0.25" r="3309" customHeight="1" ht="18.75">
      <c r="A3309" s="1"/>
      <c r="B3309" s="1"/>
      <c r="C3309" s="3" t="s">
        <v>2259</v>
      </c>
      <c r="D3309" s="3" t="s">
        <v>3340</v>
      </c>
      <c r="E3309" s="1"/>
      <c r="F3309" s="1"/>
      <c r="G3309" s="1"/>
      <c r="H3309" s="1"/>
      <c r="I3309" s="2"/>
      <c r="J3309" s="1"/>
      <c r="K3309" s="1"/>
      <c r="L3309" s="1"/>
      <c r="M3309" s="1"/>
      <c r="N3309" s="1"/>
      <c r="O3309" s="1"/>
      <c r="P3309" s="1"/>
      <c r="Q3309" s="1"/>
      <c r="R3309" s="1"/>
      <c r="S3309" s="1"/>
      <c r="T3309" s="1"/>
      <c r="U3309" s="1"/>
      <c r="V3309" s="1"/>
      <c r="W3309" s="1"/>
      <c r="X3309" s="1"/>
    </row>
    <row x14ac:dyDescent="0.25" r="3310" customHeight="1" ht="18.75">
      <c r="A3310" s="1"/>
      <c r="B3310" s="1"/>
      <c r="C3310" s="3" t="s">
        <v>2259</v>
      </c>
      <c r="D3310" s="3" t="s">
        <v>3341</v>
      </c>
      <c r="E3310" s="1"/>
      <c r="F3310" s="1"/>
      <c r="G3310" s="1"/>
      <c r="H3310" s="1"/>
      <c r="I3310" s="2"/>
      <c r="J3310" s="1"/>
      <c r="K3310" s="1"/>
      <c r="L3310" s="1"/>
      <c r="M3310" s="1"/>
      <c r="N3310" s="1"/>
      <c r="O3310" s="1"/>
      <c r="P3310" s="1"/>
      <c r="Q3310" s="1"/>
      <c r="R3310" s="1"/>
      <c r="S3310" s="1"/>
      <c r="T3310" s="1"/>
      <c r="U3310" s="1"/>
      <c r="V3310" s="1"/>
      <c r="W3310" s="1"/>
      <c r="X3310" s="1"/>
    </row>
    <row x14ac:dyDescent="0.25" r="3311" customHeight="1" ht="18.75">
      <c r="A3311" s="1"/>
      <c r="B3311" s="1"/>
      <c r="C3311" s="3" t="s">
        <v>2259</v>
      </c>
      <c r="D3311" s="3" t="s">
        <v>3342</v>
      </c>
      <c r="E3311" s="1"/>
      <c r="F3311" s="1"/>
      <c r="G3311" s="1"/>
      <c r="H3311" s="1"/>
      <c r="I3311" s="2"/>
      <c r="J3311" s="1"/>
      <c r="K3311" s="1"/>
      <c r="L3311" s="1"/>
      <c r="M3311" s="1"/>
      <c r="N3311" s="1"/>
      <c r="O3311" s="1"/>
      <c r="P3311" s="1"/>
      <c r="Q3311" s="1"/>
      <c r="R3311" s="1"/>
      <c r="S3311" s="1"/>
      <c r="T3311" s="1"/>
      <c r="U3311" s="1"/>
      <c r="V3311" s="1"/>
      <c r="W3311" s="1"/>
      <c r="X3311" s="1"/>
    </row>
    <row x14ac:dyDescent="0.25" r="3312" customHeight="1" ht="18.75">
      <c r="A3312" s="1"/>
      <c r="B3312" s="1"/>
      <c r="C3312" s="3" t="s">
        <v>2259</v>
      </c>
      <c r="D3312" s="3" t="s">
        <v>3343</v>
      </c>
      <c r="E3312" s="1"/>
      <c r="F3312" s="1"/>
      <c r="G3312" s="1"/>
      <c r="H3312" s="1"/>
      <c r="I3312" s="2"/>
      <c r="J3312" s="1"/>
      <c r="K3312" s="1"/>
      <c r="L3312" s="1"/>
      <c r="M3312" s="1"/>
      <c r="N3312" s="1"/>
      <c r="O3312" s="1"/>
      <c r="P3312" s="1"/>
      <c r="Q3312" s="1"/>
      <c r="R3312" s="1"/>
      <c r="S3312" s="1"/>
      <c r="T3312" s="1"/>
      <c r="U3312" s="1"/>
      <c r="V3312" s="1"/>
      <c r="W3312" s="1"/>
      <c r="X3312" s="1"/>
    </row>
    <row x14ac:dyDescent="0.25" r="3313" customHeight="1" ht="18.75">
      <c r="A3313" s="1"/>
      <c r="B3313" s="1"/>
      <c r="C3313" s="3" t="s">
        <v>2259</v>
      </c>
      <c r="D3313" s="3" t="s">
        <v>3344</v>
      </c>
      <c r="E3313" s="1"/>
      <c r="F3313" s="1"/>
      <c r="G3313" s="1"/>
      <c r="H3313" s="1"/>
      <c r="I3313" s="2"/>
      <c r="J3313" s="1"/>
      <c r="K3313" s="1"/>
      <c r="L3313" s="1"/>
      <c r="M3313" s="1"/>
      <c r="N3313" s="1"/>
      <c r="O3313" s="1"/>
      <c r="P3313" s="1"/>
      <c r="Q3313" s="1"/>
      <c r="R3313" s="1"/>
      <c r="S3313" s="1"/>
      <c r="T3313" s="1"/>
      <c r="U3313" s="1"/>
      <c r="V3313" s="1"/>
      <c r="W3313" s="1"/>
      <c r="X3313" s="1"/>
    </row>
    <row x14ac:dyDescent="0.25" r="3314" customHeight="1" ht="18.75">
      <c r="A3314" s="1"/>
      <c r="B3314" s="1"/>
      <c r="C3314" s="3" t="s">
        <v>1861</v>
      </c>
      <c r="D3314" s="3" t="s">
        <v>3345</v>
      </c>
      <c r="E3314" s="1"/>
      <c r="F3314" s="1"/>
      <c r="G3314" s="1"/>
      <c r="H3314" s="1"/>
      <c r="I3314" s="2"/>
      <c r="J3314" s="1"/>
      <c r="K3314" s="1"/>
      <c r="L3314" s="1"/>
      <c r="M3314" s="1"/>
      <c r="N3314" s="1"/>
      <c r="O3314" s="1"/>
      <c r="P3314" s="1"/>
      <c r="Q3314" s="1"/>
      <c r="R3314" s="1"/>
      <c r="S3314" s="1"/>
      <c r="T3314" s="1"/>
      <c r="U3314" s="1"/>
      <c r="V3314" s="1"/>
      <c r="W3314" s="1"/>
      <c r="X3314" s="1"/>
    </row>
    <row x14ac:dyDescent="0.25" r="3315" customHeight="1" ht="18.75">
      <c r="A3315" s="1"/>
      <c r="B3315" s="1"/>
      <c r="C3315" s="3" t="s">
        <v>1861</v>
      </c>
      <c r="D3315" s="3" t="s">
        <v>3346</v>
      </c>
      <c r="E3315" s="1"/>
      <c r="F3315" s="1"/>
      <c r="G3315" s="1"/>
      <c r="H3315" s="1"/>
      <c r="I3315" s="2"/>
      <c r="J3315" s="1"/>
      <c r="K3315" s="1"/>
      <c r="L3315" s="1"/>
      <c r="M3315" s="1"/>
      <c r="N3315" s="1"/>
      <c r="O3315" s="1"/>
      <c r="P3315" s="1"/>
      <c r="Q3315" s="1"/>
      <c r="R3315" s="1"/>
      <c r="S3315" s="1"/>
      <c r="T3315" s="1"/>
      <c r="U3315" s="1"/>
      <c r="V3315" s="1"/>
      <c r="W3315" s="1"/>
      <c r="X3315" s="1"/>
    </row>
    <row x14ac:dyDescent="0.25" r="3316" customHeight="1" ht="18.75">
      <c r="A3316" s="1"/>
      <c r="B3316" s="1"/>
      <c r="C3316" s="3" t="s">
        <v>1861</v>
      </c>
      <c r="D3316" s="3" t="s">
        <v>3347</v>
      </c>
      <c r="E3316" s="1"/>
      <c r="F3316" s="1"/>
      <c r="G3316" s="1"/>
      <c r="H3316" s="1"/>
      <c r="I3316" s="2"/>
      <c r="J3316" s="1"/>
      <c r="K3316" s="1"/>
      <c r="L3316" s="1"/>
      <c r="M3316" s="1"/>
      <c r="N3316" s="1"/>
      <c r="O3316" s="1"/>
      <c r="P3316" s="1"/>
      <c r="Q3316" s="1"/>
      <c r="R3316" s="1"/>
      <c r="S3316" s="1"/>
      <c r="T3316" s="1"/>
      <c r="U3316" s="1"/>
      <c r="V3316" s="1"/>
      <c r="W3316" s="1"/>
      <c r="X3316" s="1"/>
    </row>
    <row x14ac:dyDescent="0.25" r="3317" customHeight="1" ht="18.75">
      <c r="A3317" s="1"/>
      <c r="B3317" s="1"/>
      <c r="C3317" s="3" t="s">
        <v>1861</v>
      </c>
      <c r="D3317" s="3" t="s">
        <v>3348</v>
      </c>
      <c r="E3317" s="1"/>
      <c r="F3317" s="1"/>
      <c r="G3317" s="1"/>
      <c r="H3317" s="1"/>
      <c r="I3317" s="2"/>
      <c r="J3317" s="1"/>
      <c r="K3317" s="1"/>
      <c r="L3317" s="1"/>
      <c r="M3317" s="1"/>
      <c r="N3317" s="1"/>
      <c r="O3317" s="1"/>
      <c r="P3317" s="1"/>
      <c r="Q3317" s="1"/>
      <c r="R3317" s="1"/>
      <c r="S3317" s="1"/>
      <c r="T3317" s="1"/>
      <c r="U3317" s="1"/>
      <c r="V3317" s="1"/>
      <c r="W3317" s="1"/>
      <c r="X3317" s="1"/>
    </row>
    <row x14ac:dyDescent="0.25" r="3318" customHeight="1" ht="18.75">
      <c r="A3318" s="1"/>
      <c r="B3318" s="1"/>
      <c r="C3318" s="3" t="s">
        <v>1861</v>
      </c>
      <c r="D3318" s="3" t="s">
        <v>3349</v>
      </c>
      <c r="E3318" s="1"/>
      <c r="F3318" s="1"/>
      <c r="G3318" s="1"/>
      <c r="H3318" s="1"/>
      <c r="I3318" s="2"/>
      <c r="J3318" s="1"/>
      <c r="K3318" s="1"/>
      <c r="L3318" s="1"/>
      <c r="M3318" s="1"/>
      <c r="N3318" s="1"/>
      <c r="O3318" s="1"/>
      <c r="P3318" s="1"/>
      <c r="Q3318" s="1"/>
      <c r="R3318" s="1"/>
      <c r="S3318" s="1"/>
      <c r="T3318" s="1"/>
      <c r="U3318" s="1"/>
      <c r="V3318" s="1"/>
      <c r="W3318" s="1"/>
      <c r="X3318" s="1"/>
    </row>
    <row x14ac:dyDescent="0.25" r="3319" customHeight="1" ht="18.75">
      <c r="A3319" s="1"/>
      <c r="B3319" s="1"/>
      <c r="C3319" s="3" t="s">
        <v>1861</v>
      </c>
      <c r="D3319" s="3" t="s">
        <v>3350</v>
      </c>
      <c r="E3319" s="1"/>
      <c r="F3319" s="1"/>
      <c r="G3319" s="1"/>
      <c r="H3319" s="1"/>
      <c r="I3319" s="2"/>
      <c r="J3319" s="1"/>
      <c r="K3319" s="1"/>
      <c r="L3319" s="1"/>
      <c r="M3319" s="1"/>
      <c r="N3319" s="1"/>
      <c r="O3319" s="1"/>
      <c r="P3319" s="1"/>
      <c r="Q3319" s="1"/>
      <c r="R3319" s="1"/>
      <c r="S3319" s="1"/>
      <c r="T3319" s="1"/>
      <c r="U3319" s="1"/>
      <c r="V3319" s="1"/>
      <c r="W3319" s="1"/>
      <c r="X3319" s="1"/>
    </row>
    <row x14ac:dyDescent="0.25" r="3320" customHeight="1" ht="18.75">
      <c r="A3320" s="1"/>
      <c r="B3320" s="1"/>
      <c r="C3320" s="3" t="s">
        <v>1861</v>
      </c>
      <c r="D3320" s="3" t="s">
        <v>3351</v>
      </c>
      <c r="E3320" s="1"/>
      <c r="F3320" s="1"/>
      <c r="G3320" s="1"/>
      <c r="H3320" s="1"/>
      <c r="I3320" s="2"/>
      <c r="J3320" s="1"/>
      <c r="K3320" s="1"/>
      <c r="L3320" s="1"/>
      <c r="M3320" s="1"/>
      <c r="N3320" s="1"/>
      <c r="O3320" s="1"/>
      <c r="P3320" s="1"/>
      <c r="Q3320" s="1"/>
      <c r="R3320" s="1"/>
      <c r="S3320" s="1"/>
      <c r="T3320" s="1"/>
      <c r="U3320" s="1"/>
      <c r="V3320" s="1"/>
      <c r="W3320" s="1"/>
      <c r="X3320" s="1"/>
    </row>
    <row x14ac:dyDescent="0.25" r="3321" customHeight="1" ht="18.75">
      <c r="A3321" s="1"/>
      <c r="B3321" s="1"/>
      <c r="C3321" s="3" t="s">
        <v>1861</v>
      </c>
      <c r="D3321" s="3" t="s">
        <v>3352</v>
      </c>
      <c r="E3321" s="1"/>
      <c r="F3321" s="1"/>
      <c r="G3321" s="1"/>
      <c r="H3321" s="1"/>
      <c r="I3321" s="2"/>
      <c r="J3321" s="1"/>
      <c r="K3321" s="1"/>
      <c r="L3321" s="1"/>
      <c r="M3321" s="1"/>
      <c r="N3321" s="1"/>
      <c r="O3321" s="1"/>
      <c r="P3321" s="1"/>
      <c r="Q3321" s="1"/>
      <c r="R3321" s="1"/>
      <c r="S3321" s="1"/>
      <c r="T3321" s="1"/>
      <c r="U3321" s="1"/>
      <c r="V3321" s="1"/>
      <c r="W3321" s="1"/>
      <c r="X3321" s="1"/>
    </row>
    <row x14ac:dyDescent="0.25" r="3322" customHeight="1" ht="18.75">
      <c r="A3322" s="1"/>
      <c r="B3322" s="1"/>
      <c r="C3322" s="3" t="s">
        <v>1861</v>
      </c>
      <c r="D3322" s="3" t="s">
        <v>3353</v>
      </c>
      <c r="E3322" s="1"/>
      <c r="F3322" s="1"/>
      <c r="G3322" s="1"/>
      <c r="H3322" s="1"/>
      <c r="I3322" s="2"/>
      <c r="J3322" s="1"/>
      <c r="K3322" s="1"/>
      <c r="L3322" s="1"/>
      <c r="M3322" s="1"/>
      <c r="N3322" s="1"/>
      <c r="O3322" s="1"/>
      <c r="P3322" s="1"/>
      <c r="Q3322" s="1"/>
      <c r="R3322" s="1"/>
      <c r="S3322" s="1"/>
      <c r="T3322" s="1"/>
      <c r="U3322" s="1"/>
      <c r="V3322" s="1"/>
      <c r="W3322" s="1"/>
      <c r="X3322" s="1"/>
    </row>
    <row x14ac:dyDescent="0.25" r="3323" customHeight="1" ht="18.75">
      <c r="A3323" s="1"/>
      <c r="B3323" s="1"/>
      <c r="C3323" s="3" t="s">
        <v>1861</v>
      </c>
      <c r="D3323" s="3" t="s">
        <v>3354</v>
      </c>
      <c r="E3323" s="1"/>
      <c r="F3323" s="1"/>
      <c r="G3323" s="1"/>
      <c r="H3323" s="1"/>
      <c r="I3323" s="2"/>
      <c r="J3323" s="1"/>
      <c r="K3323" s="1"/>
      <c r="L3323" s="1"/>
      <c r="M3323" s="1"/>
      <c r="N3323" s="1"/>
      <c r="O3323" s="1"/>
      <c r="P3323" s="1"/>
      <c r="Q3323" s="1"/>
      <c r="R3323" s="1"/>
      <c r="S3323" s="1"/>
      <c r="T3323" s="1"/>
      <c r="U3323" s="1"/>
      <c r="V3323" s="1"/>
      <c r="W3323" s="1"/>
      <c r="X3323" s="1"/>
    </row>
    <row x14ac:dyDescent="0.25" r="3324" customHeight="1" ht="18.75">
      <c r="A3324" s="1"/>
      <c r="B3324" s="1"/>
      <c r="C3324" s="3" t="s">
        <v>1861</v>
      </c>
      <c r="D3324" s="3" t="s">
        <v>3355</v>
      </c>
      <c r="E3324" s="1"/>
      <c r="F3324" s="1"/>
      <c r="G3324" s="1"/>
      <c r="H3324" s="1"/>
      <c r="I3324" s="2"/>
      <c r="J3324" s="1"/>
      <c r="K3324" s="1"/>
      <c r="L3324" s="1"/>
      <c r="M3324" s="1"/>
      <c r="N3324" s="1"/>
      <c r="O3324" s="1"/>
      <c r="P3324" s="1"/>
      <c r="Q3324" s="1"/>
      <c r="R3324" s="1"/>
      <c r="S3324" s="1"/>
      <c r="T3324" s="1"/>
      <c r="U3324" s="1"/>
      <c r="V3324" s="1"/>
      <c r="W3324" s="1"/>
      <c r="X3324" s="1"/>
    </row>
    <row x14ac:dyDescent="0.25" r="3325" customHeight="1" ht="18.75">
      <c r="A3325" s="1"/>
      <c r="B3325" s="1"/>
      <c r="C3325" s="3" t="s">
        <v>1861</v>
      </c>
      <c r="D3325" s="3" t="s">
        <v>3356</v>
      </c>
      <c r="E3325" s="1"/>
      <c r="F3325" s="1"/>
      <c r="G3325" s="1"/>
      <c r="H3325" s="1"/>
      <c r="I3325" s="2"/>
      <c r="J3325" s="1"/>
      <c r="K3325" s="1"/>
      <c r="L3325" s="1"/>
      <c r="M3325" s="1"/>
      <c r="N3325" s="1"/>
      <c r="O3325" s="1"/>
      <c r="P3325" s="1"/>
      <c r="Q3325" s="1"/>
      <c r="R3325" s="1"/>
      <c r="S3325" s="1"/>
      <c r="T3325" s="1"/>
      <c r="U3325" s="1"/>
      <c r="V3325" s="1"/>
      <c r="W3325" s="1"/>
      <c r="X3325" s="1"/>
    </row>
    <row x14ac:dyDescent="0.25" r="3326" customHeight="1" ht="18.75">
      <c r="A3326" s="1"/>
      <c r="B3326" s="1"/>
      <c r="C3326" s="3" t="s">
        <v>1861</v>
      </c>
      <c r="D3326" s="3" t="s">
        <v>3357</v>
      </c>
      <c r="E3326" s="1"/>
      <c r="F3326" s="1"/>
      <c r="G3326" s="1"/>
      <c r="H3326" s="1"/>
      <c r="I3326" s="2"/>
      <c r="J3326" s="1"/>
      <c r="K3326" s="1"/>
      <c r="L3326" s="1"/>
      <c r="M3326" s="1"/>
      <c r="N3326" s="1"/>
      <c r="O3326" s="1"/>
      <c r="P3326" s="1"/>
      <c r="Q3326" s="1"/>
      <c r="R3326" s="1"/>
      <c r="S3326" s="1"/>
      <c r="T3326" s="1"/>
      <c r="U3326" s="1"/>
      <c r="V3326" s="1"/>
      <c r="W3326" s="1"/>
      <c r="X3326" s="1"/>
    </row>
    <row x14ac:dyDescent="0.25" r="3327" customHeight="1" ht="18.75">
      <c r="A3327" s="1"/>
      <c r="B3327" s="1"/>
      <c r="C3327" s="3" t="s">
        <v>1861</v>
      </c>
      <c r="D3327" s="3" t="s">
        <v>3358</v>
      </c>
      <c r="E3327" s="1"/>
      <c r="F3327" s="1"/>
      <c r="G3327" s="1"/>
      <c r="H3327" s="1"/>
      <c r="I3327" s="2"/>
      <c r="J3327" s="1"/>
      <c r="K3327" s="1"/>
      <c r="L3327" s="1"/>
      <c r="M3327" s="1"/>
      <c r="N3327" s="1"/>
      <c r="O3327" s="1"/>
      <c r="P3327" s="1"/>
      <c r="Q3327" s="1"/>
      <c r="R3327" s="1"/>
      <c r="S3327" s="1"/>
      <c r="T3327" s="1"/>
      <c r="U3327" s="1"/>
      <c r="V3327" s="1"/>
      <c r="W3327" s="1"/>
      <c r="X3327" s="1"/>
    </row>
    <row x14ac:dyDescent="0.25" r="3328" customHeight="1" ht="18.75">
      <c r="A3328" s="1"/>
      <c r="B3328" s="1"/>
      <c r="C3328" s="3" t="s">
        <v>1861</v>
      </c>
      <c r="D3328" s="3" t="s">
        <v>3359</v>
      </c>
      <c r="E3328" s="1"/>
      <c r="F3328" s="1"/>
      <c r="G3328" s="1"/>
      <c r="H3328" s="1"/>
      <c r="I3328" s="2"/>
      <c r="J3328" s="1"/>
      <c r="K3328" s="1"/>
      <c r="L3328" s="1"/>
      <c r="M3328" s="1"/>
      <c r="N3328" s="1"/>
      <c r="O3328" s="1"/>
      <c r="P3328" s="1"/>
      <c r="Q3328" s="1"/>
      <c r="R3328" s="1"/>
      <c r="S3328" s="1"/>
      <c r="T3328" s="1"/>
      <c r="U3328" s="1"/>
      <c r="V3328" s="1"/>
      <c r="W3328" s="1"/>
      <c r="X3328" s="1"/>
    </row>
    <row x14ac:dyDescent="0.25" r="3329" customHeight="1" ht="18.75">
      <c r="A3329" s="1"/>
      <c r="B3329" s="1"/>
      <c r="C3329" s="3" t="s">
        <v>1861</v>
      </c>
      <c r="D3329" s="3" t="s">
        <v>3360</v>
      </c>
      <c r="E3329" s="1"/>
      <c r="F3329" s="1"/>
      <c r="G3329" s="1"/>
      <c r="H3329" s="1"/>
      <c r="I3329" s="2"/>
      <c r="J3329" s="1"/>
      <c r="K3329" s="1"/>
      <c r="L3329" s="1"/>
      <c r="M3329" s="1"/>
      <c r="N3329" s="1"/>
      <c r="O3329" s="1"/>
      <c r="P3329" s="1"/>
      <c r="Q3329" s="1"/>
      <c r="R3329" s="1"/>
      <c r="S3329" s="1"/>
      <c r="T3329" s="1"/>
      <c r="U3329" s="1"/>
      <c r="V3329" s="1"/>
      <c r="W3329" s="1"/>
      <c r="X3329" s="1"/>
    </row>
    <row x14ac:dyDescent="0.25" r="3330" customHeight="1" ht="18.75">
      <c r="A3330" s="1"/>
      <c r="B3330" s="1"/>
      <c r="C3330" s="3" t="s">
        <v>1861</v>
      </c>
      <c r="D3330" s="3" t="s">
        <v>3361</v>
      </c>
      <c r="E3330" s="1"/>
      <c r="F3330" s="1"/>
      <c r="G3330" s="1"/>
      <c r="H3330" s="1"/>
      <c r="I3330" s="2"/>
      <c r="J3330" s="1"/>
      <c r="K3330" s="1"/>
      <c r="L3330" s="1"/>
      <c r="M3330" s="1"/>
      <c r="N3330" s="1"/>
      <c r="O3330" s="1"/>
      <c r="P3330" s="1"/>
      <c r="Q3330" s="1"/>
      <c r="R3330" s="1"/>
      <c r="S3330" s="1"/>
      <c r="T3330" s="1"/>
      <c r="U3330" s="1"/>
      <c r="V3330" s="1"/>
      <c r="W3330" s="1"/>
      <c r="X3330" s="1"/>
    </row>
    <row x14ac:dyDescent="0.25" r="3331" customHeight="1" ht="18.75">
      <c r="A3331" s="1"/>
      <c r="B3331" s="1"/>
      <c r="C3331" s="3" t="s">
        <v>1861</v>
      </c>
      <c r="D3331" s="3" t="s">
        <v>3362</v>
      </c>
      <c r="E3331" s="1"/>
      <c r="F3331" s="1"/>
      <c r="G3331" s="1"/>
      <c r="H3331" s="1"/>
      <c r="I3331" s="2"/>
      <c r="J3331" s="1"/>
      <c r="K3331" s="1"/>
      <c r="L3331" s="1"/>
      <c r="M3331" s="1"/>
      <c r="N3331" s="1"/>
      <c r="O3331" s="1"/>
      <c r="P3331" s="1"/>
      <c r="Q3331" s="1"/>
      <c r="R3331" s="1"/>
      <c r="S3331" s="1"/>
      <c r="T3331" s="1"/>
      <c r="U3331" s="1"/>
      <c r="V3331" s="1"/>
      <c r="W3331" s="1"/>
      <c r="X3331" s="1"/>
    </row>
    <row x14ac:dyDescent="0.25" r="3332" customHeight="1" ht="18.75">
      <c r="A3332" s="1"/>
      <c r="B3332" s="1"/>
      <c r="C3332" s="3" t="s">
        <v>1861</v>
      </c>
      <c r="D3332" s="3" t="s">
        <v>3363</v>
      </c>
      <c r="E3332" s="1"/>
      <c r="F3332" s="1"/>
      <c r="G3332" s="1"/>
      <c r="H3332" s="1"/>
      <c r="I3332" s="2"/>
      <c r="J3332" s="1"/>
      <c r="K3332" s="1"/>
      <c r="L3332" s="1"/>
      <c r="M3332" s="1"/>
      <c r="N3332" s="1"/>
      <c r="O3332" s="1"/>
      <c r="P3332" s="1"/>
      <c r="Q3332" s="1"/>
      <c r="R3332" s="1"/>
      <c r="S3332" s="1"/>
      <c r="T3332" s="1"/>
      <c r="U3332" s="1"/>
      <c r="V3332" s="1"/>
      <c r="W3332" s="1"/>
      <c r="X3332" s="1"/>
    </row>
    <row x14ac:dyDescent="0.25" r="3333" customHeight="1" ht="18.75">
      <c r="A3333" s="1"/>
      <c r="B3333" s="1"/>
      <c r="C3333" s="3" t="s">
        <v>1861</v>
      </c>
      <c r="D3333" s="3" t="s">
        <v>3364</v>
      </c>
      <c r="E3333" s="1"/>
      <c r="F3333" s="1"/>
      <c r="G3333" s="1"/>
      <c r="H3333" s="1"/>
      <c r="I3333" s="2"/>
      <c r="J3333" s="1"/>
      <c r="K3333" s="1"/>
      <c r="L3333" s="1"/>
      <c r="M3333" s="1"/>
      <c r="N3333" s="1"/>
      <c r="O3333" s="1"/>
      <c r="P3333" s="1"/>
      <c r="Q3333" s="1"/>
      <c r="R3333" s="1"/>
      <c r="S3333" s="1"/>
      <c r="T3333" s="1"/>
      <c r="U3333" s="1"/>
      <c r="V3333" s="1"/>
      <c r="W3333" s="1"/>
      <c r="X3333" s="1"/>
    </row>
    <row x14ac:dyDescent="0.25" r="3334" customHeight="1" ht="18.75">
      <c r="A3334" s="1"/>
      <c r="B3334" s="1"/>
      <c r="C3334" s="3" t="s">
        <v>1861</v>
      </c>
      <c r="D3334" s="3" t="s">
        <v>3365</v>
      </c>
      <c r="E3334" s="1"/>
      <c r="F3334" s="1"/>
      <c r="G3334" s="1"/>
      <c r="H3334" s="1"/>
      <c r="I3334" s="2"/>
      <c r="J3334" s="1"/>
      <c r="K3334" s="1"/>
      <c r="L3334" s="1"/>
      <c r="M3334" s="1"/>
      <c r="N3334" s="1"/>
      <c r="O3334" s="1"/>
      <c r="P3334" s="1"/>
      <c r="Q3334" s="1"/>
      <c r="R3334" s="1"/>
      <c r="S3334" s="1"/>
      <c r="T3334" s="1"/>
      <c r="U3334" s="1"/>
      <c r="V3334" s="1"/>
      <c r="W3334" s="1"/>
      <c r="X3334" s="1"/>
    </row>
    <row x14ac:dyDescent="0.25" r="3335" customHeight="1" ht="18.75">
      <c r="A3335" s="1"/>
      <c r="B3335" s="1"/>
      <c r="C3335" s="3" t="s">
        <v>1861</v>
      </c>
      <c r="D3335" s="3" t="s">
        <v>3366</v>
      </c>
      <c r="E3335" s="1"/>
      <c r="F3335" s="1"/>
      <c r="G3335" s="1"/>
      <c r="H3335" s="1"/>
      <c r="I3335" s="2"/>
      <c r="J3335" s="1"/>
      <c r="K3335" s="1"/>
      <c r="L3335" s="1"/>
      <c r="M3335" s="1"/>
      <c r="N3335" s="1"/>
      <c r="O3335" s="1"/>
      <c r="P3335" s="1"/>
      <c r="Q3335" s="1"/>
      <c r="R3335" s="1"/>
      <c r="S3335" s="1"/>
      <c r="T3335" s="1"/>
      <c r="U3335" s="1"/>
      <c r="V3335" s="1"/>
      <c r="W3335" s="1"/>
      <c r="X3335" s="1"/>
    </row>
    <row x14ac:dyDescent="0.25" r="3336" customHeight="1" ht="18.75">
      <c r="A3336" s="1"/>
      <c r="B3336" s="1"/>
      <c r="C3336" s="3" t="s">
        <v>1861</v>
      </c>
      <c r="D3336" s="3" t="s">
        <v>3367</v>
      </c>
      <c r="E3336" s="1"/>
      <c r="F3336" s="1"/>
      <c r="G3336" s="1"/>
      <c r="H3336" s="1"/>
      <c r="I3336" s="2"/>
      <c r="J3336" s="1"/>
      <c r="K3336" s="1"/>
      <c r="L3336" s="1"/>
      <c r="M3336" s="1"/>
      <c r="N3336" s="1"/>
      <c r="O3336" s="1"/>
      <c r="P3336" s="1"/>
      <c r="Q3336" s="1"/>
      <c r="R3336" s="1"/>
      <c r="S3336" s="1"/>
      <c r="T3336" s="1"/>
      <c r="U3336" s="1"/>
      <c r="V3336" s="1"/>
      <c r="W3336" s="1"/>
      <c r="X3336" s="1"/>
    </row>
    <row x14ac:dyDescent="0.25" r="3337" customHeight="1" ht="18.75">
      <c r="A3337" s="1"/>
      <c r="B3337" s="1"/>
      <c r="C3337" s="3" t="s">
        <v>1861</v>
      </c>
      <c r="D3337" s="3" t="s">
        <v>3368</v>
      </c>
      <c r="E3337" s="1"/>
      <c r="F3337" s="1"/>
      <c r="G3337" s="1"/>
      <c r="H3337" s="1"/>
      <c r="I3337" s="2"/>
      <c r="J3337" s="1"/>
      <c r="K3337" s="1"/>
      <c r="L3337" s="1"/>
      <c r="M3337" s="1"/>
      <c r="N3337" s="1"/>
      <c r="O3337" s="1"/>
      <c r="P3337" s="1"/>
      <c r="Q3337" s="1"/>
      <c r="R3337" s="1"/>
      <c r="S3337" s="1"/>
      <c r="T3337" s="1"/>
      <c r="U3337" s="1"/>
      <c r="V3337" s="1"/>
      <c r="W3337" s="1"/>
      <c r="X3337" s="1"/>
    </row>
    <row x14ac:dyDescent="0.25" r="3338" customHeight="1" ht="18.75">
      <c r="A3338" s="1"/>
      <c r="B3338" s="1"/>
      <c r="C3338" s="3" t="s">
        <v>1861</v>
      </c>
      <c r="D3338" s="3" t="s">
        <v>3369</v>
      </c>
      <c r="E3338" s="1"/>
      <c r="F3338" s="1"/>
      <c r="G3338" s="1"/>
      <c r="H3338" s="1"/>
      <c r="I3338" s="2"/>
      <c r="J3338" s="1"/>
      <c r="K3338" s="1"/>
      <c r="L3338" s="1"/>
      <c r="M3338" s="1"/>
      <c r="N3338" s="1"/>
      <c r="O3338" s="1"/>
      <c r="P3338" s="1"/>
      <c r="Q3338" s="1"/>
      <c r="R3338" s="1"/>
      <c r="S3338" s="1"/>
      <c r="T3338" s="1"/>
      <c r="U3338" s="1"/>
      <c r="V3338" s="1"/>
      <c r="W3338" s="1"/>
      <c r="X3338" s="1"/>
    </row>
    <row x14ac:dyDescent="0.25" r="3339" customHeight="1" ht="18.75">
      <c r="A3339" s="1"/>
      <c r="B3339" s="1"/>
      <c r="C3339" s="3" t="s">
        <v>1861</v>
      </c>
      <c r="D3339" s="3" t="s">
        <v>3370</v>
      </c>
      <c r="E3339" s="1"/>
      <c r="F3339" s="1"/>
      <c r="G3339" s="1"/>
      <c r="H3339" s="1"/>
      <c r="I3339" s="2"/>
      <c r="J3339" s="1"/>
      <c r="K3339" s="1"/>
      <c r="L3339" s="1"/>
      <c r="M3339" s="1"/>
      <c r="N3339" s="1"/>
      <c r="O3339" s="1"/>
      <c r="P3339" s="1"/>
      <c r="Q3339" s="1"/>
      <c r="R3339" s="1"/>
      <c r="S3339" s="1"/>
      <c r="T3339" s="1"/>
      <c r="U3339" s="1"/>
      <c r="V3339" s="1"/>
      <c r="W3339" s="1"/>
      <c r="X3339" s="1"/>
    </row>
    <row x14ac:dyDescent="0.25" r="3340" customHeight="1" ht="18.75">
      <c r="A3340" s="1"/>
      <c r="B3340" s="1"/>
      <c r="C3340" s="3" t="s">
        <v>1861</v>
      </c>
      <c r="D3340" s="3" t="s">
        <v>3371</v>
      </c>
      <c r="E3340" s="1"/>
      <c r="F3340" s="1"/>
      <c r="G3340" s="1"/>
      <c r="H3340" s="1"/>
      <c r="I3340" s="2"/>
      <c r="J3340" s="1"/>
      <c r="K3340" s="1"/>
      <c r="L3340" s="1"/>
      <c r="M3340" s="1"/>
      <c r="N3340" s="1"/>
      <c r="O3340" s="1"/>
      <c r="P3340" s="1"/>
      <c r="Q3340" s="1"/>
      <c r="R3340" s="1"/>
      <c r="S3340" s="1"/>
      <c r="T3340" s="1"/>
      <c r="U3340" s="1"/>
      <c r="V3340" s="1"/>
      <c r="W3340" s="1"/>
      <c r="X3340" s="1"/>
    </row>
    <row x14ac:dyDescent="0.25" r="3341" customHeight="1" ht="18.75">
      <c r="A3341" s="1"/>
      <c r="B3341" s="1"/>
      <c r="C3341" s="3" t="s">
        <v>1861</v>
      </c>
      <c r="D3341" s="3" t="s">
        <v>3372</v>
      </c>
      <c r="E3341" s="1"/>
      <c r="F3341" s="1"/>
      <c r="G3341" s="1"/>
      <c r="H3341" s="1"/>
      <c r="I3341" s="2"/>
      <c r="J3341" s="1"/>
      <c r="K3341" s="1"/>
      <c r="L3341" s="1"/>
      <c r="M3341" s="1"/>
      <c r="N3341" s="1"/>
      <c r="O3341" s="1"/>
      <c r="P3341" s="1"/>
      <c r="Q3341" s="1"/>
      <c r="R3341" s="1"/>
      <c r="S3341" s="1"/>
      <c r="T3341" s="1"/>
      <c r="U3341" s="1"/>
      <c r="V3341" s="1"/>
      <c r="W3341" s="1"/>
      <c r="X3341" s="1"/>
    </row>
    <row x14ac:dyDescent="0.25" r="3342" customHeight="1" ht="18.75">
      <c r="A3342" s="1"/>
      <c r="B3342" s="1"/>
      <c r="C3342" s="3" t="s">
        <v>1861</v>
      </c>
      <c r="D3342" s="3" t="s">
        <v>3373</v>
      </c>
      <c r="E3342" s="1"/>
      <c r="F3342" s="1"/>
      <c r="G3342" s="1"/>
      <c r="H3342" s="1"/>
      <c r="I3342" s="2"/>
      <c r="J3342" s="1"/>
      <c r="K3342" s="1"/>
      <c r="L3342" s="1"/>
      <c r="M3342" s="1"/>
      <c r="N3342" s="1"/>
      <c r="O3342" s="1"/>
      <c r="P3342" s="1"/>
      <c r="Q3342" s="1"/>
      <c r="R3342" s="1"/>
      <c r="S3342" s="1"/>
      <c r="T3342" s="1"/>
      <c r="U3342" s="1"/>
      <c r="V3342" s="1"/>
      <c r="W3342" s="1"/>
      <c r="X3342" s="1"/>
    </row>
    <row x14ac:dyDescent="0.25" r="3343" customHeight="1" ht="18.75">
      <c r="A3343" s="1"/>
      <c r="B3343" s="1"/>
      <c r="C3343" s="3" t="s">
        <v>1861</v>
      </c>
      <c r="D3343" s="3" t="s">
        <v>3374</v>
      </c>
      <c r="E3343" s="1"/>
      <c r="F3343" s="1"/>
      <c r="G3343" s="1"/>
      <c r="H3343" s="1"/>
      <c r="I3343" s="2"/>
      <c r="J3343" s="1"/>
      <c r="K3343" s="1"/>
      <c r="L3343" s="1"/>
      <c r="M3343" s="1"/>
      <c r="N3343" s="1"/>
      <c r="O3343" s="1"/>
      <c r="P3343" s="1"/>
      <c r="Q3343" s="1"/>
      <c r="R3343" s="1"/>
      <c r="S3343" s="1"/>
      <c r="T3343" s="1"/>
      <c r="U3343" s="1"/>
      <c r="V3343" s="1"/>
      <c r="W3343" s="1"/>
      <c r="X3343" s="1"/>
    </row>
    <row x14ac:dyDescent="0.25" r="3344" customHeight="1" ht="18.75">
      <c r="A3344" s="1"/>
      <c r="B3344" s="1"/>
      <c r="C3344" s="3" t="s">
        <v>2259</v>
      </c>
      <c r="D3344" s="3" t="s">
        <v>3375</v>
      </c>
      <c r="E3344" s="1"/>
      <c r="F3344" s="1"/>
      <c r="G3344" s="1"/>
      <c r="H3344" s="1"/>
      <c r="I3344" s="2"/>
      <c r="J3344" s="1"/>
      <c r="K3344" s="1"/>
      <c r="L3344" s="1"/>
      <c r="M3344" s="1"/>
      <c r="N3344" s="1"/>
      <c r="O3344" s="1"/>
      <c r="P3344" s="1"/>
      <c r="Q3344" s="1"/>
      <c r="R3344" s="1"/>
      <c r="S3344" s="1"/>
      <c r="T3344" s="1"/>
      <c r="U3344" s="1"/>
      <c r="V3344" s="1"/>
      <c r="W3344" s="1"/>
      <c r="X3344" s="1"/>
    </row>
    <row x14ac:dyDescent="0.25" r="3345" customHeight="1" ht="18.75">
      <c r="A3345" s="1"/>
      <c r="B3345" s="1"/>
      <c r="C3345" s="3" t="s">
        <v>2259</v>
      </c>
      <c r="D3345" s="3" t="s">
        <v>3376</v>
      </c>
      <c r="E3345" s="1"/>
      <c r="F3345" s="1"/>
      <c r="G3345" s="1"/>
      <c r="H3345" s="1"/>
      <c r="I3345" s="2"/>
      <c r="J3345" s="1"/>
      <c r="K3345" s="1"/>
      <c r="L3345" s="1"/>
      <c r="M3345" s="1"/>
      <c r="N3345" s="1"/>
      <c r="O3345" s="1"/>
      <c r="P3345" s="1"/>
      <c r="Q3345" s="1"/>
      <c r="R3345" s="1"/>
      <c r="S3345" s="1"/>
      <c r="T3345" s="1"/>
      <c r="U3345" s="1"/>
      <c r="V3345" s="1"/>
      <c r="W3345" s="1"/>
      <c r="X3345" s="1"/>
    </row>
    <row x14ac:dyDescent="0.25" r="3346" customHeight="1" ht="18.75">
      <c r="A3346" s="1"/>
      <c r="B3346" s="1"/>
      <c r="C3346" s="3" t="s">
        <v>2259</v>
      </c>
      <c r="D3346" s="3" t="s">
        <v>3377</v>
      </c>
      <c r="E3346" s="1"/>
      <c r="F3346" s="1"/>
      <c r="G3346" s="1"/>
      <c r="H3346" s="1"/>
      <c r="I3346" s="2"/>
      <c r="J3346" s="1"/>
      <c r="K3346" s="1"/>
      <c r="L3346" s="1"/>
      <c r="M3346" s="1"/>
      <c r="N3346" s="1"/>
      <c r="O3346" s="1"/>
      <c r="P3346" s="1"/>
      <c r="Q3346" s="1"/>
      <c r="R3346" s="1"/>
      <c r="S3346" s="1"/>
      <c r="T3346" s="1"/>
      <c r="U3346" s="1"/>
      <c r="V3346" s="1"/>
      <c r="W3346" s="1"/>
      <c r="X3346" s="1"/>
    </row>
    <row x14ac:dyDescent="0.25" r="3347" customHeight="1" ht="18.75">
      <c r="A3347" s="1"/>
      <c r="B3347" s="1"/>
      <c r="C3347" s="3" t="s">
        <v>2259</v>
      </c>
      <c r="D3347" s="3" t="s">
        <v>3378</v>
      </c>
      <c r="E3347" s="1"/>
      <c r="F3347" s="1"/>
      <c r="G3347" s="1"/>
      <c r="H3347" s="1"/>
      <c r="I3347" s="2"/>
      <c r="J3347" s="1"/>
      <c r="K3347" s="1"/>
      <c r="L3347" s="1"/>
      <c r="M3347" s="1"/>
      <c r="N3347" s="1"/>
      <c r="O3347" s="1"/>
      <c r="P3347" s="1"/>
      <c r="Q3347" s="1"/>
      <c r="R3347" s="1"/>
      <c r="S3347" s="1"/>
      <c r="T3347" s="1"/>
      <c r="U3347" s="1"/>
      <c r="V3347" s="1"/>
      <c r="W3347" s="1"/>
      <c r="X3347" s="1"/>
    </row>
    <row x14ac:dyDescent="0.25" r="3348" customHeight="1" ht="18.75">
      <c r="A3348" s="1"/>
      <c r="B3348" s="1"/>
      <c r="C3348" s="3" t="s">
        <v>2259</v>
      </c>
      <c r="D3348" s="3" t="s">
        <v>3379</v>
      </c>
      <c r="E3348" s="1"/>
      <c r="F3348" s="1"/>
      <c r="G3348" s="1"/>
      <c r="H3348" s="1"/>
      <c r="I3348" s="2"/>
      <c r="J3348" s="1"/>
      <c r="K3348" s="1"/>
      <c r="L3348" s="1"/>
      <c r="M3348" s="1"/>
      <c r="N3348" s="1"/>
      <c r="O3348" s="1"/>
      <c r="P3348" s="1"/>
      <c r="Q3348" s="1"/>
      <c r="R3348" s="1"/>
      <c r="S3348" s="1"/>
      <c r="T3348" s="1"/>
      <c r="U3348" s="1"/>
      <c r="V3348" s="1"/>
      <c r="W3348" s="1"/>
      <c r="X3348" s="1"/>
    </row>
    <row x14ac:dyDescent="0.25" r="3349" customHeight="1" ht="18.75">
      <c r="A3349" s="1"/>
      <c r="B3349" s="1"/>
      <c r="C3349" s="3" t="s">
        <v>2259</v>
      </c>
      <c r="D3349" s="3" t="s">
        <v>3380</v>
      </c>
      <c r="E3349" s="1"/>
      <c r="F3349" s="1"/>
      <c r="G3349" s="1"/>
      <c r="H3349" s="1"/>
      <c r="I3349" s="2"/>
      <c r="J3349" s="1"/>
      <c r="K3349" s="1"/>
      <c r="L3349" s="1"/>
      <c r="M3349" s="1"/>
      <c r="N3349" s="1"/>
      <c r="O3349" s="1"/>
      <c r="P3349" s="1"/>
      <c r="Q3349" s="1"/>
      <c r="R3349" s="1"/>
      <c r="S3349" s="1"/>
      <c r="T3349" s="1"/>
      <c r="U3349" s="1"/>
      <c r="V3349" s="1"/>
      <c r="W3349" s="1"/>
      <c r="X3349" s="1"/>
    </row>
    <row x14ac:dyDescent="0.25" r="3350" customHeight="1" ht="18.75">
      <c r="A3350" s="1"/>
      <c r="B3350" s="1"/>
      <c r="C3350" s="3" t="s">
        <v>2259</v>
      </c>
      <c r="D3350" s="3" t="s">
        <v>3381</v>
      </c>
      <c r="E3350" s="1"/>
      <c r="F3350" s="1"/>
      <c r="G3350" s="1"/>
      <c r="H3350" s="1"/>
      <c r="I3350" s="2"/>
      <c r="J3350" s="1"/>
      <c r="K3350" s="1"/>
      <c r="L3350" s="1"/>
      <c r="M3350" s="1"/>
      <c r="N3350" s="1"/>
      <c r="O3350" s="1"/>
      <c r="P3350" s="1"/>
      <c r="Q3350" s="1"/>
      <c r="R3350" s="1"/>
      <c r="S3350" s="1"/>
      <c r="T3350" s="1"/>
      <c r="U3350" s="1"/>
      <c r="V3350" s="1"/>
      <c r="W3350" s="1"/>
      <c r="X3350" s="1"/>
    </row>
    <row x14ac:dyDescent="0.25" r="3351" customHeight="1" ht="18.75">
      <c r="A3351" s="1"/>
      <c r="B3351" s="1"/>
      <c r="C3351" s="3" t="s">
        <v>2259</v>
      </c>
      <c r="D3351" s="3" t="s">
        <v>3382</v>
      </c>
      <c r="E3351" s="1"/>
      <c r="F3351" s="1"/>
      <c r="G3351" s="1"/>
      <c r="H3351" s="1"/>
      <c r="I3351" s="2"/>
      <c r="J3351" s="1"/>
      <c r="K3351" s="1"/>
      <c r="L3351" s="1"/>
      <c r="M3351" s="1"/>
      <c r="N3351" s="1"/>
      <c r="O3351" s="1"/>
      <c r="P3351" s="1"/>
      <c r="Q3351" s="1"/>
      <c r="R3351" s="1"/>
      <c r="S3351" s="1"/>
      <c r="T3351" s="1"/>
      <c r="U3351" s="1"/>
      <c r="V3351" s="1"/>
      <c r="W3351" s="1"/>
      <c r="X3351" s="1"/>
    </row>
    <row x14ac:dyDescent="0.25" r="3352" customHeight="1" ht="18.75">
      <c r="A3352" s="1"/>
      <c r="B3352" s="1"/>
      <c r="C3352" s="3" t="s">
        <v>2259</v>
      </c>
      <c r="D3352" s="3" t="s">
        <v>3383</v>
      </c>
      <c r="E3352" s="1"/>
      <c r="F3352" s="1"/>
      <c r="G3352" s="1"/>
      <c r="H3352" s="1"/>
      <c r="I3352" s="2"/>
      <c r="J3352" s="1"/>
      <c r="K3352" s="1"/>
      <c r="L3352" s="1"/>
      <c r="M3352" s="1"/>
      <c r="N3352" s="1"/>
      <c r="O3352" s="1"/>
      <c r="P3352" s="1"/>
      <c r="Q3352" s="1"/>
      <c r="R3352" s="1"/>
      <c r="S3352" s="1"/>
      <c r="T3352" s="1"/>
      <c r="U3352" s="1"/>
      <c r="V3352" s="1"/>
      <c r="W3352" s="1"/>
      <c r="X3352" s="1"/>
    </row>
    <row x14ac:dyDescent="0.25" r="3353" customHeight="1" ht="18.75">
      <c r="A3353" s="1"/>
      <c r="B3353" s="1"/>
      <c r="C3353" s="3" t="s">
        <v>2259</v>
      </c>
      <c r="D3353" s="3" t="s">
        <v>3384</v>
      </c>
      <c r="E3353" s="1"/>
      <c r="F3353" s="1"/>
      <c r="G3353" s="1"/>
      <c r="H3353" s="1"/>
      <c r="I3353" s="2"/>
      <c r="J3353" s="1"/>
      <c r="K3353" s="1"/>
      <c r="L3353" s="1"/>
      <c r="M3353" s="1"/>
      <c r="N3353" s="1"/>
      <c r="O3353" s="1"/>
      <c r="P3353" s="1"/>
      <c r="Q3353" s="1"/>
      <c r="R3353" s="1"/>
      <c r="S3353" s="1"/>
      <c r="T3353" s="1"/>
      <c r="U3353" s="1"/>
      <c r="V3353" s="1"/>
      <c r="W3353" s="1"/>
      <c r="X3353" s="1"/>
    </row>
    <row x14ac:dyDescent="0.25" r="3354" customHeight="1" ht="18.75">
      <c r="A3354" s="1"/>
      <c r="B3354" s="1"/>
      <c r="C3354" s="3" t="s">
        <v>2259</v>
      </c>
      <c r="D3354" s="3" t="s">
        <v>3385</v>
      </c>
      <c r="E3354" s="1"/>
      <c r="F3354" s="1"/>
      <c r="G3354" s="1"/>
      <c r="H3354" s="1"/>
      <c r="I3354" s="2"/>
      <c r="J3354" s="1"/>
      <c r="K3354" s="1"/>
      <c r="L3354" s="1"/>
      <c r="M3354" s="1"/>
      <c r="N3354" s="1"/>
      <c r="O3354" s="1"/>
      <c r="P3354" s="1"/>
      <c r="Q3354" s="1"/>
      <c r="R3354" s="1"/>
      <c r="S3354" s="1"/>
      <c r="T3354" s="1"/>
      <c r="U3354" s="1"/>
      <c r="V3354" s="1"/>
      <c r="W3354" s="1"/>
      <c r="X3354" s="1"/>
    </row>
    <row x14ac:dyDescent="0.25" r="3355" customHeight="1" ht="18.75">
      <c r="A3355" s="1"/>
      <c r="B3355" s="1"/>
      <c r="C3355" s="3" t="s">
        <v>2259</v>
      </c>
      <c r="D3355" s="3" t="s">
        <v>3386</v>
      </c>
      <c r="E3355" s="1"/>
      <c r="F3355" s="1"/>
      <c r="G3355" s="1"/>
      <c r="H3355" s="1"/>
      <c r="I3355" s="2"/>
      <c r="J3355" s="1"/>
      <c r="K3355" s="1"/>
      <c r="L3355" s="1"/>
      <c r="M3355" s="1"/>
      <c r="N3355" s="1"/>
      <c r="O3355" s="1"/>
      <c r="P3355" s="1"/>
      <c r="Q3355" s="1"/>
      <c r="R3355" s="1"/>
      <c r="S3355" s="1"/>
      <c r="T3355" s="1"/>
      <c r="U3355" s="1"/>
      <c r="V3355" s="1"/>
      <c r="W3355" s="1"/>
      <c r="X3355" s="1"/>
    </row>
    <row x14ac:dyDescent="0.25" r="3356" customHeight="1" ht="18.75">
      <c r="A3356" s="1"/>
      <c r="B3356" s="1"/>
      <c r="C3356" s="3" t="s">
        <v>2259</v>
      </c>
      <c r="D3356" s="3" t="s">
        <v>3387</v>
      </c>
      <c r="E3356" s="1"/>
      <c r="F3356" s="1"/>
      <c r="G3356" s="1"/>
      <c r="H3356" s="1"/>
      <c r="I3356" s="2"/>
      <c r="J3356" s="1"/>
      <c r="K3356" s="1"/>
      <c r="L3356" s="1"/>
      <c r="M3356" s="1"/>
      <c r="N3356" s="1"/>
      <c r="O3356" s="1"/>
      <c r="P3356" s="1"/>
      <c r="Q3356" s="1"/>
      <c r="R3356" s="1"/>
      <c r="S3356" s="1"/>
      <c r="T3356" s="1"/>
      <c r="U3356" s="1"/>
      <c r="V3356" s="1"/>
      <c r="W3356" s="1"/>
      <c r="X3356" s="1"/>
    </row>
    <row x14ac:dyDescent="0.25" r="3357" customHeight="1" ht="18.75">
      <c r="A3357" s="1"/>
      <c r="B3357" s="1"/>
      <c r="C3357" s="3" t="s">
        <v>2259</v>
      </c>
      <c r="D3357" s="3" t="s">
        <v>3388</v>
      </c>
      <c r="E3357" s="1"/>
      <c r="F3357" s="1"/>
      <c r="G3357" s="1"/>
      <c r="H3357" s="1"/>
      <c r="I3357" s="2"/>
      <c r="J3357" s="1"/>
      <c r="K3357" s="1"/>
      <c r="L3357" s="1"/>
      <c r="M3357" s="1"/>
      <c r="N3357" s="1"/>
      <c r="O3357" s="1"/>
      <c r="P3357" s="1"/>
      <c r="Q3357" s="1"/>
      <c r="R3357" s="1"/>
      <c r="S3357" s="1"/>
      <c r="T3357" s="1"/>
      <c r="U3357" s="1"/>
      <c r="V3357" s="1"/>
      <c r="W3357" s="1"/>
      <c r="X3357" s="1"/>
    </row>
    <row x14ac:dyDescent="0.25" r="3358" customHeight="1" ht="18.75">
      <c r="A3358" s="1"/>
      <c r="B3358" s="1"/>
      <c r="C3358" s="3" t="s">
        <v>2259</v>
      </c>
      <c r="D3358" s="3" t="s">
        <v>3389</v>
      </c>
      <c r="E3358" s="1"/>
      <c r="F3358" s="1"/>
      <c r="G3358" s="1"/>
      <c r="H3358" s="1"/>
      <c r="I3358" s="2"/>
      <c r="J3358" s="1"/>
      <c r="K3358" s="1"/>
      <c r="L3358" s="1"/>
      <c r="M3358" s="1"/>
      <c r="N3358" s="1"/>
      <c r="O3358" s="1"/>
      <c r="P3358" s="1"/>
      <c r="Q3358" s="1"/>
      <c r="R3358" s="1"/>
      <c r="S3358" s="1"/>
      <c r="T3358" s="1"/>
      <c r="U3358" s="1"/>
      <c r="V3358" s="1"/>
      <c r="W3358" s="1"/>
      <c r="X3358" s="1"/>
    </row>
    <row x14ac:dyDescent="0.25" r="3359" customHeight="1" ht="18.75">
      <c r="A3359" s="1"/>
      <c r="B3359" s="1"/>
      <c r="C3359" s="3" t="s">
        <v>2259</v>
      </c>
      <c r="D3359" s="3" t="s">
        <v>3390</v>
      </c>
      <c r="E3359" s="1"/>
      <c r="F3359" s="1"/>
      <c r="G3359" s="1"/>
      <c r="H3359" s="1"/>
      <c r="I3359" s="2"/>
      <c r="J3359" s="1"/>
      <c r="K3359" s="1"/>
      <c r="L3359" s="1"/>
      <c r="M3359" s="1"/>
      <c r="N3359" s="1"/>
      <c r="O3359" s="1"/>
      <c r="P3359" s="1"/>
      <c r="Q3359" s="1"/>
      <c r="R3359" s="1"/>
      <c r="S3359" s="1"/>
      <c r="T3359" s="1"/>
      <c r="U3359" s="1"/>
      <c r="V3359" s="1"/>
      <c r="W3359" s="1"/>
      <c r="X3359" s="1"/>
    </row>
    <row x14ac:dyDescent="0.25" r="3360" customHeight="1" ht="18.75">
      <c r="A3360" s="1"/>
      <c r="B3360" s="1"/>
      <c r="C3360" s="3" t="s">
        <v>2259</v>
      </c>
      <c r="D3360" s="3" t="s">
        <v>3391</v>
      </c>
      <c r="E3360" s="1"/>
      <c r="F3360" s="1"/>
      <c r="G3360" s="1"/>
      <c r="H3360" s="1"/>
      <c r="I3360" s="2"/>
      <c r="J3360" s="1"/>
      <c r="K3360" s="1"/>
      <c r="L3360" s="1"/>
      <c r="M3360" s="1"/>
      <c r="N3360" s="1"/>
      <c r="O3360" s="1"/>
      <c r="P3360" s="1"/>
      <c r="Q3360" s="1"/>
      <c r="R3360" s="1"/>
      <c r="S3360" s="1"/>
      <c r="T3360" s="1"/>
      <c r="U3360" s="1"/>
      <c r="V3360" s="1"/>
      <c r="W3360" s="1"/>
      <c r="X3360" s="1"/>
    </row>
    <row x14ac:dyDescent="0.25" r="3361" customHeight="1" ht="18.75">
      <c r="A3361" s="1"/>
      <c r="B3361" s="1"/>
      <c r="C3361" s="3" t="s">
        <v>2259</v>
      </c>
      <c r="D3361" s="3" t="s">
        <v>3392</v>
      </c>
      <c r="E3361" s="1"/>
      <c r="F3361" s="1"/>
      <c r="G3361" s="1"/>
      <c r="H3361" s="1"/>
      <c r="I3361" s="2"/>
      <c r="J3361" s="1"/>
      <c r="K3361" s="1"/>
      <c r="L3361" s="1"/>
      <c r="M3361" s="1"/>
      <c r="N3361" s="1"/>
      <c r="O3361" s="1"/>
      <c r="P3361" s="1"/>
      <c r="Q3361" s="1"/>
      <c r="R3361" s="1"/>
      <c r="S3361" s="1"/>
      <c r="T3361" s="1"/>
      <c r="U3361" s="1"/>
      <c r="V3361" s="1"/>
      <c r="W3361" s="1"/>
      <c r="X3361" s="1"/>
    </row>
    <row x14ac:dyDescent="0.25" r="3362" customHeight="1" ht="18.75">
      <c r="A3362" s="1"/>
      <c r="B3362" s="1"/>
      <c r="C3362" s="3" t="s">
        <v>2259</v>
      </c>
      <c r="D3362" s="3" t="s">
        <v>3393</v>
      </c>
      <c r="E3362" s="1"/>
      <c r="F3362" s="1"/>
      <c r="G3362" s="1"/>
      <c r="H3362" s="1"/>
      <c r="I3362" s="2"/>
      <c r="J3362" s="1"/>
      <c r="K3362" s="1"/>
      <c r="L3362" s="1"/>
      <c r="M3362" s="1"/>
      <c r="N3362" s="1"/>
      <c r="O3362" s="1"/>
      <c r="P3362" s="1"/>
      <c r="Q3362" s="1"/>
      <c r="R3362" s="1"/>
      <c r="S3362" s="1"/>
      <c r="T3362" s="1"/>
      <c r="U3362" s="1"/>
      <c r="V3362" s="1"/>
      <c r="W3362" s="1"/>
      <c r="X3362" s="1"/>
    </row>
    <row x14ac:dyDescent="0.25" r="3363" customHeight="1" ht="18.75">
      <c r="A3363" s="1"/>
      <c r="B3363" s="1"/>
      <c r="C3363" s="3" t="s">
        <v>2259</v>
      </c>
      <c r="D3363" s="3" t="s">
        <v>3394</v>
      </c>
      <c r="E3363" s="1"/>
      <c r="F3363" s="1"/>
      <c r="G3363" s="1"/>
      <c r="H3363" s="1"/>
      <c r="I3363" s="2"/>
      <c r="J3363" s="1"/>
      <c r="K3363" s="1"/>
      <c r="L3363" s="1"/>
      <c r="M3363" s="1"/>
      <c r="N3363" s="1"/>
      <c r="O3363" s="1"/>
      <c r="P3363" s="1"/>
      <c r="Q3363" s="1"/>
      <c r="R3363" s="1"/>
      <c r="S3363" s="1"/>
      <c r="T3363" s="1"/>
      <c r="U3363" s="1"/>
      <c r="V3363" s="1"/>
      <c r="W3363" s="1"/>
      <c r="X3363" s="1"/>
    </row>
    <row x14ac:dyDescent="0.25" r="3364" customHeight="1" ht="18.75">
      <c r="A3364" s="1"/>
      <c r="B3364" s="1"/>
      <c r="C3364" s="3" t="s">
        <v>2259</v>
      </c>
      <c r="D3364" s="3" t="s">
        <v>3395</v>
      </c>
      <c r="E3364" s="1"/>
      <c r="F3364" s="1"/>
      <c r="G3364" s="1"/>
      <c r="H3364" s="1"/>
      <c r="I3364" s="2"/>
      <c r="J3364" s="1"/>
      <c r="K3364" s="1"/>
      <c r="L3364" s="1"/>
      <c r="M3364" s="1"/>
      <c r="N3364" s="1"/>
      <c r="O3364" s="1"/>
      <c r="P3364" s="1"/>
      <c r="Q3364" s="1"/>
      <c r="R3364" s="1"/>
      <c r="S3364" s="1"/>
      <c r="T3364" s="1"/>
      <c r="U3364" s="1"/>
      <c r="V3364" s="1"/>
      <c r="W3364" s="1"/>
      <c r="X3364" s="1"/>
    </row>
    <row x14ac:dyDescent="0.25" r="3365" customHeight="1" ht="18.75">
      <c r="A3365" s="1"/>
      <c r="B3365" s="1"/>
      <c r="C3365" s="3" t="s">
        <v>2259</v>
      </c>
      <c r="D3365" s="3" t="s">
        <v>3396</v>
      </c>
      <c r="E3365" s="1"/>
      <c r="F3365" s="1"/>
      <c r="G3365" s="1"/>
      <c r="H3365" s="1"/>
      <c r="I3365" s="2"/>
      <c r="J3365" s="1"/>
      <c r="K3365" s="1"/>
      <c r="L3365" s="1"/>
      <c r="M3365" s="1"/>
      <c r="N3365" s="1"/>
      <c r="O3365" s="1"/>
      <c r="P3365" s="1"/>
      <c r="Q3365" s="1"/>
      <c r="R3365" s="1"/>
      <c r="S3365" s="1"/>
      <c r="T3365" s="1"/>
      <c r="U3365" s="1"/>
      <c r="V3365" s="1"/>
      <c r="W3365" s="1"/>
      <c r="X3365" s="1"/>
    </row>
    <row x14ac:dyDescent="0.25" r="3366" customHeight="1" ht="18.75">
      <c r="A3366" s="1"/>
      <c r="B3366" s="1"/>
      <c r="C3366" s="3" t="s">
        <v>2259</v>
      </c>
      <c r="D3366" s="3" t="s">
        <v>3397</v>
      </c>
      <c r="E3366" s="1"/>
      <c r="F3366" s="1"/>
      <c r="G3366" s="1"/>
      <c r="H3366" s="1"/>
      <c r="I3366" s="2"/>
      <c r="J3366" s="1"/>
      <c r="K3366" s="1"/>
      <c r="L3366" s="1"/>
      <c r="M3366" s="1"/>
      <c r="N3366" s="1"/>
      <c r="O3366" s="1"/>
      <c r="P3366" s="1"/>
      <c r="Q3366" s="1"/>
      <c r="R3366" s="1"/>
      <c r="S3366" s="1"/>
      <c r="T3366" s="1"/>
      <c r="U3366" s="1"/>
      <c r="V3366" s="1"/>
      <c r="W3366" s="1"/>
      <c r="X3366" s="1"/>
    </row>
    <row x14ac:dyDescent="0.25" r="3367" customHeight="1" ht="18.75">
      <c r="A3367" s="1"/>
      <c r="B3367" s="1"/>
      <c r="C3367" s="3" t="s">
        <v>2259</v>
      </c>
      <c r="D3367" s="3" t="s">
        <v>3398</v>
      </c>
      <c r="E3367" s="1"/>
      <c r="F3367" s="1"/>
      <c r="G3367" s="1"/>
      <c r="H3367" s="1"/>
      <c r="I3367" s="2"/>
      <c r="J3367" s="1"/>
      <c r="K3367" s="1"/>
      <c r="L3367" s="1"/>
      <c r="M3367" s="1"/>
      <c r="N3367" s="1"/>
      <c r="O3367" s="1"/>
      <c r="P3367" s="1"/>
      <c r="Q3367" s="1"/>
      <c r="R3367" s="1"/>
      <c r="S3367" s="1"/>
      <c r="T3367" s="1"/>
      <c r="U3367" s="1"/>
      <c r="V3367" s="1"/>
      <c r="W3367" s="1"/>
      <c r="X3367" s="1"/>
    </row>
    <row x14ac:dyDescent="0.25" r="3368" customHeight="1" ht="18.75">
      <c r="A3368" s="1"/>
      <c r="B3368" s="1"/>
      <c r="C3368" s="3" t="s">
        <v>2259</v>
      </c>
      <c r="D3368" s="3" t="s">
        <v>3399</v>
      </c>
      <c r="E3368" s="1"/>
      <c r="F3368" s="1"/>
      <c r="G3368" s="1"/>
      <c r="H3368" s="1"/>
      <c r="I3368" s="2"/>
      <c r="J3368" s="1"/>
      <c r="K3368" s="1"/>
      <c r="L3368" s="1"/>
      <c r="M3368" s="1"/>
      <c r="N3368" s="1"/>
      <c r="O3368" s="1"/>
      <c r="P3368" s="1"/>
      <c r="Q3368" s="1"/>
      <c r="R3368" s="1"/>
      <c r="S3368" s="1"/>
      <c r="T3368" s="1"/>
      <c r="U3368" s="1"/>
      <c r="V3368" s="1"/>
      <c r="W3368" s="1"/>
      <c r="X3368" s="1"/>
    </row>
    <row x14ac:dyDescent="0.25" r="3369" customHeight="1" ht="18.75">
      <c r="A3369" s="1"/>
      <c r="B3369" s="1"/>
      <c r="C3369" s="3" t="s">
        <v>2259</v>
      </c>
      <c r="D3369" s="3" t="s">
        <v>3400</v>
      </c>
      <c r="E3369" s="1"/>
      <c r="F3369" s="1"/>
      <c r="G3369" s="1"/>
      <c r="H3369" s="1"/>
      <c r="I3369" s="2"/>
      <c r="J3369" s="1"/>
      <c r="K3369" s="1"/>
      <c r="L3369" s="1"/>
      <c r="M3369" s="1"/>
      <c r="N3369" s="1"/>
      <c r="O3369" s="1"/>
      <c r="P3369" s="1"/>
      <c r="Q3369" s="1"/>
      <c r="R3369" s="1"/>
      <c r="S3369" s="1"/>
      <c r="T3369" s="1"/>
      <c r="U3369" s="1"/>
      <c r="V3369" s="1"/>
      <c r="W3369" s="1"/>
      <c r="X3369" s="1"/>
    </row>
    <row x14ac:dyDescent="0.25" r="3370" customHeight="1" ht="18.75">
      <c r="A3370" s="1"/>
      <c r="B3370" s="1"/>
      <c r="C3370" s="3" t="s">
        <v>2259</v>
      </c>
      <c r="D3370" s="3" t="s">
        <v>3401</v>
      </c>
      <c r="E3370" s="1"/>
      <c r="F3370" s="1"/>
      <c r="G3370" s="1"/>
      <c r="H3370" s="1"/>
      <c r="I3370" s="2"/>
      <c r="J3370" s="1"/>
      <c r="K3370" s="1"/>
      <c r="L3370" s="1"/>
      <c r="M3370" s="1"/>
      <c r="N3370" s="1"/>
      <c r="O3370" s="1"/>
      <c r="P3370" s="1"/>
      <c r="Q3370" s="1"/>
      <c r="R3370" s="1"/>
      <c r="S3370" s="1"/>
      <c r="T3370" s="1"/>
      <c r="U3370" s="1"/>
      <c r="V3370" s="1"/>
      <c r="W3370" s="1"/>
      <c r="X3370" s="1"/>
    </row>
    <row x14ac:dyDescent="0.25" r="3371" customHeight="1" ht="18.75">
      <c r="A3371" s="1"/>
      <c r="B3371" s="1"/>
      <c r="C3371" s="3" t="s">
        <v>2259</v>
      </c>
      <c r="D3371" s="3" t="s">
        <v>3402</v>
      </c>
      <c r="E3371" s="1"/>
      <c r="F3371" s="1"/>
      <c r="G3371" s="1"/>
      <c r="H3371" s="1"/>
      <c r="I3371" s="2"/>
      <c r="J3371" s="1"/>
      <c r="K3371" s="1"/>
      <c r="L3371" s="1"/>
      <c r="M3371" s="1"/>
      <c r="N3371" s="1"/>
      <c r="O3371" s="1"/>
      <c r="P3371" s="1"/>
      <c r="Q3371" s="1"/>
      <c r="R3371" s="1"/>
      <c r="S3371" s="1"/>
      <c r="T3371" s="1"/>
      <c r="U3371" s="1"/>
      <c r="V3371" s="1"/>
      <c r="W3371" s="1"/>
      <c r="X3371" s="1"/>
    </row>
    <row x14ac:dyDescent="0.25" r="3372" customHeight="1" ht="18.75">
      <c r="A3372" s="1"/>
      <c r="B3372" s="1"/>
      <c r="C3372" s="3" t="s">
        <v>1861</v>
      </c>
      <c r="D3372" s="3" t="s">
        <v>3403</v>
      </c>
      <c r="E3372" s="1"/>
      <c r="F3372" s="1"/>
      <c r="G3372" s="1"/>
      <c r="H3372" s="1"/>
      <c r="I3372" s="2"/>
      <c r="J3372" s="1"/>
      <c r="K3372" s="1"/>
      <c r="L3372" s="1"/>
      <c r="M3372" s="1"/>
      <c r="N3372" s="1"/>
      <c r="O3372" s="1"/>
      <c r="P3372" s="1"/>
      <c r="Q3372" s="1"/>
      <c r="R3372" s="1"/>
      <c r="S3372" s="1"/>
      <c r="T3372" s="1"/>
      <c r="U3372" s="1"/>
      <c r="V3372" s="1"/>
      <c r="W3372" s="1"/>
      <c r="X3372" s="1"/>
    </row>
    <row x14ac:dyDescent="0.25" r="3373" customHeight="1" ht="18.75">
      <c r="A3373" s="1"/>
      <c r="B3373" s="1"/>
      <c r="C3373" s="3" t="s">
        <v>1861</v>
      </c>
      <c r="D3373" s="3" t="s">
        <v>3404</v>
      </c>
      <c r="E3373" s="1"/>
      <c r="F3373" s="1"/>
      <c r="G3373" s="1"/>
      <c r="H3373" s="1"/>
      <c r="I3373" s="2"/>
      <c r="J3373" s="1"/>
      <c r="K3373" s="1"/>
      <c r="L3373" s="1"/>
      <c r="M3373" s="1"/>
      <c r="N3373" s="1"/>
      <c r="O3373" s="1"/>
      <c r="P3373" s="1"/>
      <c r="Q3373" s="1"/>
      <c r="R3373" s="1"/>
      <c r="S3373" s="1"/>
      <c r="T3373" s="1"/>
      <c r="U3373" s="1"/>
      <c r="V3373" s="1"/>
      <c r="W3373" s="1"/>
      <c r="X3373" s="1"/>
    </row>
    <row x14ac:dyDescent="0.25" r="3374" customHeight="1" ht="18.75">
      <c r="A3374" s="1"/>
      <c r="B3374" s="1"/>
      <c r="C3374" s="3" t="s">
        <v>1861</v>
      </c>
      <c r="D3374" s="3" t="s">
        <v>3405</v>
      </c>
      <c r="E3374" s="1"/>
      <c r="F3374" s="1"/>
      <c r="G3374" s="1"/>
      <c r="H3374" s="1"/>
      <c r="I3374" s="2"/>
      <c r="J3374" s="1"/>
      <c r="K3374" s="1"/>
      <c r="L3374" s="1"/>
      <c r="M3374" s="1"/>
      <c r="N3374" s="1"/>
      <c r="O3374" s="1"/>
      <c r="P3374" s="1"/>
      <c r="Q3374" s="1"/>
      <c r="R3374" s="1"/>
      <c r="S3374" s="1"/>
      <c r="T3374" s="1"/>
      <c r="U3374" s="1"/>
      <c r="V3374" s="1"/>
      <c r="W3374" s="1"/>
      <c r="X3374" s="1"/>
    </row>
    <row x14ac:dyDescent="0.25" r="3375" customHeight="1" ht="18.75">
      <c r="A3375" s="1"/>
      <c r="B3375" s="1"/>
      <c r="C3375" s="3" t="s">
        <v>1861</v>
      </c>
      <c r="D3375" s="3" t="s">
        <v>3406</v>
      </c>
      <c r="E3375" s="1"/>
      <c r="F3375" s="1"/>
      <c r="G3375" s="1"/>
      <c r="H3375" s="1"/>
      <c r="I3375" s="2"/>
      <c r="J3375" s="1"/>
      <c r="K3375" s="1"/>
      <c r="L3375" s="1"/>
      <c r="M3375" s="1"/>
      <c r="N3375" s="1"/>
      <c r="O3375" s="1"/>
      <c r="P3375" s="1"/>
      <c r="Q3375" s="1"/>
      <c r="R3375" s="1"/>
      <c r="S3375" s="1"/>
      <c r="T3375" s="1"/>
      <c r="U3375" s="1"/>
      <c r="V3375" s="1"/>
      <c r="W3375" s="1"/>
      <c r="X3375" s="1"/>
    </row>
    <row x14ac:dyDescent="0.25" r="3376" customHeight="1" ht="18.75">
      <c r="A3376" s="1"/>
      <c r="B3376" s="1"/>
      <c r="C3376" s="3" t="s">
        <v>1861</v>
      </c>
      <c r="D3376" s="3" t="s">
        <v>3407</v>
      </c>
      <c r="E3376" s="1"/>
      <c r="F3376" s="1"/>
      <c r="G3376" s="1"/>
      <c r="H3376" s="1"/>
      <c r="I3376" s="2"/>
      <c r="J3376" s="1"/>
      <c r="K3376" s="1"/>
      <c r="L3376" s="1"/>
      <c r="M3376" s="1"/>
      <c r="N3376" s="1"/>
      <c r="O3376" s="1"/>
      <c r="P3376" s="1"/>
      <c r="Q3376" s="1"/>
      <c r="R3376" s="1"/>
      <c r="S3376" s="1"/>
      <c r="T3376" s="1"/>
      <c r="U3376" s="1"/>
      <c r="V3376" s="1"/>
      <c r="W3376" s="1"/>
      <c r="X3376" s="1"/>
    </row>
    <row x14ac:dyDescent="0.25" r="3377" customHeight="1" ht="18.75">
      <c r="A3377" s="1"/>
      <c r="B3377" s="1"/>
      <c r="C3377" s="3" t="s">
        <v>1861</v>
      </c>
      <c r="D3377" s="3" t="s">
        <v>3408</v>
      </c>
      <c r="E3377" s="1"/>
      <c r="F3377" s="1"/>
      <c r="G3377" s="1"/>
      <c r="H3377" s="1"/>
      <c r="I3377" s="2"/>
      <c r="J3377" s="1"/>
      <c r="K3377" s="1"/>
      <c r="L3377" s="1"/>
      <c r="M3377" s="1"/>
      <c r="N3377" s="1"/>
      <c r="O3377" s="1"/>
      <c r="P3377" s="1"/>
      <c r="Q3377" s="1"/>
      <c r="R3377" s="1"/>
      <c r="S3377" s="1"/>
      <c r="T3377" s="1"/>
      <c r="U3377" s="1"/>
      <c r="V3377" s="1"/>
      <c r="W3377" s="1"/>
      <c r="X3377" s="1"/>
    </row>
    <row x14ac:dyDescent="0.25" r="3378" customHeight="1" ht="18.75">
      <c r="A3378" s="1"/>
      <c r="B3378" s="1"/>
      <c r="C3378" s="3" t="s">
        <v>1861</v>
      </c>
      <c r="D3378" s="3" t="s">
        <v>3409</v>
      </c>
      <c r="E3378" s="1"/>
      <c r="F3378" s="1"/>
      <c r="G3378" s="1"/>
      <c r="H3378" s="1"/>
      <c r="I3378" s="2"/>
      <c r="J3378" s="1"/>
      <c r="K3378" s="1"/>
      <c r="L3378" s="1"/>
      <c r="M3378" s="1"/>
      <c r="N3378" s="1"/>
      <c r="O3378" s="1"/>
      <c r="P3378" s="1"/>
      <c r="Q3378" s="1"/>
      <c r="R3378" s="1"/>
      <c r="S3378" s="1"/>
      <c r="T3378" s="1"/>
      <c r="U3378" s="1"/>
      <c r="V3378" s="1"/>
      <c r="W3378" s="1"/>
      <c r="X3378" s="1"/>
    </row>
    <row x14ac:dyDescent="0.25" r="3379" customHeight="1" ht="18.75">
      <c r="A3379" s="1"/>
      <c r="B3379" s="1"/>
      <c r="C3379" s="3" t="s">
        <v>1861</v>
      </c>
      <c r="D3379" s="3" t="s">
        <v>3410</v>
      </c>
      <c r="E3379" s="1"/>
      <c r="F3379" s="1"/>
      <c r="G3379" s="1"/>
      <c r="H3379" s="1"/>
      <c r="I3379" s="2"/>
      <c r="J3379" s="1"/>
      <c r="K3379" s="1"/>
      <c r="L3379" s="1"/>
      <c r="M3379" s="1"/>
      <c r="N3379" s="1"/>
      <c r="O3379" s="1"/>
      <c r="P3379" s="1"/>
      <c r="Q3379" s="1"/>
      <c r="R3379" s="1"/>
      <c r="S3379" s="1"/>
      <c r="T3379" s="1"/>
      <c r="U3379" s="1"/>
      <c r="V3379" s="1"/>
      <c r="W3379" s="1"/>
      <c r="X3379" s="1"/>
    </row>
    <row x14ac:dyDescent="0.25" r="3380" customHeight="1" ht="18.75">
      <c r="A3380" s="1"/>
      <c r="B3380" s="1"/>
      <c r="C3380" s="3" t="s">
        <v>1861</v>
      </c>
      <c r="D3380" s="3" t="s">
        <v>3411</v>
      </c>
      <c r="E3380" s="1"/>
      <c r="F3380" s="1"/>
      <c r="G3380" s="1"/>
      <c r="H3380" s="1"/>
      <c r="I3380" s="2"/>
      <c r="J3380" s="1"/>
      <c r="K3380" s="1"/>
      <c r="L3380" s="1"/>
      <c r="M3380" s="1"/>
      <c r="N3380" s="1"/>
      <c r="O3380" s="1"/>
      <c r="P3380" s="1"/>
      <c r="Q3380" s="1"/>
      <c r="R3380" s="1"/>
      <c r="S3380" s="1"/>
      <c r="T3380" s="1"/>
      <c r="U3380" s="1"/>
      <c r="V3380" s="1"/>
      <c r="W3380" s="1"/>
      <c r="X3380" s="1"/>
    </row>
    <row x14ac:dyDescent="0.25" r="3381" customHeight="1" ht="18.75">
      <c r="A3381" s="1"/>
      <c r="B3381" s="1"/>
      <c r="C3381" s="3" t="s">
        <v>1861</v>
      </c>
      <c r="D3381" s="3" t="s">
        <v>3412</v>
      </c>
      <c r="E3381" s="1"/>
      <c r="F3381" s="1"/>
      <c r="G3381" s="1"/>
      <c r="H3381" s="1"/>
      <c r="I3381" s="2"/>
      <c r="J3381" s="1"/>
      <c r="K3381" s="1"/>
      <c r="L3381" s="1"/>
      <c r="M3381" s="1"/>
      <c r="N3381" s="1"/>
      <c r="O3381" s="1"/>
      <c r="P3381" s="1"/>
      <c r="Q3381" s="1"/>
      <c r="R3381" s="1"/>
      <c r="S3381" s="1"/>
      <c r="T3381" s="1"/>
      <c r="U3381" s="1"/>
      <c r="V3381" s="1"/>
      <c r="W3381" s="1"/>
      <c r="X3381" s="1"/>
    </row>
    <row x14ac:dyDescent="0.25" r="3382" customHeight="1" ht="18.75">
      <c r="A3382" s="1"/>
      <c r="B3382" s="1"/>
      <c r="C3382" s="3" t="s">
        <v>1861</v>
      </c>
      <c r="D3382" s="3" t="s">
        <v>3413</v>
      </c>
      <c r="E3382" s="1"/>
      <c r="F3382" s="1"/>
      <c r="G3382" s="1"/>
      <c r="H3382" s="1"/>
      <c r="I3382" s="2"/>
      <c r="J3382" s="1"/>
      <c r="K3382" s="1"/>
      <c r="L3382" s="1"/>
      <c r="M3382" s="1"/>
      <c r="N3382" s="1"/>
      <c r="O3382" s="1"/>
      <c r="P3382" s="1"/>
      <c r="Q3382" s="1"/>
      <c r="R3382" s="1"/>
      <c r="S3382" s="1"/>
      <c r="T3382" s="1"/>
      <c r="U3382" s="1"/>
      <c r="V3382" s="1"/>
      <c r="W3382" s="1"/>
      <c r="X3382" s="1"/>
    </row>
    <row x14ac:dyDescent="0.25" r="3383" customHeight="1" ht="18.75">
      <c r="A3383" s="1"/>
      <c r="B3383" s="1"/>
      <c r="C3383" s="3" t="s">
        <v>1861</v>
      </c>
      <c r="D3383" s="3" t="s">
        <v>3414</v>
      </c>
      <c r="E3383" s="1"/>
      <c r="F3383" s="1"/>
      <c r="G3383" s="1"/>
      <c r="H3383" s="1"/>
      <c r="I3383" s="2"/>
      <c r="J3383" s="1"/>
      <c r="K3383" s="1"/>
      <c r="L3383" s="1"/>
      <c r="M3383" s="1"/>
      <c r="N3383" s="1"/>
      <c r="O3383" s="1"/>
      <c r="P3383" s="1"/>
      <c r="Q3383" s="1"/>
      <c r="R3383" s="1"/>
      <c r="S3383" s="1"/>
      <c r="T3383" s="1"/>
      <c r="U3383" s="1"/>
      <c r="V3383" s="1"/>
      <c r="W3383" s="1"/>
      <c r="X3383" s="1"/>
    </row>
    <row x14ac:dyDescent="0.25" r="3384" customHeight="1" ht="18.75">
      <c r="A3384" s="1"/>
      <c r="B3384" s="1"/>
      <c r="C3384" s="3" t="s">
        <v>1861</v>
      </c>
      <c r="D3384" s="3" t="s">
        <v>3415</v>
      </c>
      <c r="E3384" s="1"/>
      <c r="F3384" s="1"/>
      <c r="G3384" s="1"/>
      <c r="H3384" s="1"/>
      <c r="I3384" s="2"/>
      <c r="J3384" s="1"/>
      <c r="K3384" s="1"/>
      <c r="L3384" s="1"/>
      <c r="M3384" s="1"/>
      <c r="N3384" s="1"/>
      <c r="O3384" s="1"/>
      <c r="P3384" s="1"/>
      <c r="Q3384" s="1"/>
      <c r="R3384" s="1"/>
      <c r="S3384" s="1"/>
      <c r="T3384" s="1"/>
      <c r="U3384" s="1"/>
      <c r="V3384" s="1"/>
      <c r="W3384" s="1"/>
      <c r="X3384" s="1"/>
    </row>
    <row x14ac:dyDescent="0.25" r="3385" customHeight="1" ht="18.75">
      <c r="A3385" s="1"/>
      <c r="B3385" s="1"/>
      <c r="C3385" s="3" t="s">
        <v>1861</v>
      </c>
      <c r="D3385" s="3" t="s">
        <v>3416</v>
      </c>
      <c r="E3385" s="1"/>
      <c r="F3385" s="1"/>
      <c r="G3385" s="1"/>
      <c r="H3385" s="1"/>
      <c r="I3385" s="2"/>
      <c r="J3385" s="1"/>
      <c r="K3385" s="1"/>
      <c r="L3385" s="1"/>
      <c r="M3385" s="1"/>
      <c r="N3385" s="1"/>
      <c r="O3385" s="1"/>
      <c r="P3385" s="1"/>
      <c r="Q3385" s="1"/>
      <c r="R3385" s="1"/>
      <c r="S3385" s="1"/>
      <c r="T3385" s="1"/>
      <c r="U3385" s="1"/>
      <c r="V3385" s="1"/>
      <c r="W3385" s="1"/>
      <c r="X3385" s="1"/>
    </row>
    <row x14ac:dyDescent="0.25" r="3386" customHeight="1" ht="18.75">
      <c r="A3386" s="1"/>
      <c r="B3386" s="1"/>
      <c r="C3386" s="3" t="s">
        <v>1861</v>
      </c>
      <c r="D3386" s="3" t="s">
        <v>3417</v>
      </c>
      <c r="E3386" s="1"/>
      <c r="F3386" s="1"/>
      <c r="G3386" s="1"/>
      <c r="H3386" s="1"/>
      <c r="I3386" s="2"/>
      <c r="J3386" s="1"/>
      <c r="K3386" s="1"/>
      <c r="L3386" s="1"/>
      <c r="M3386" s="1"/>
      <c r="N3386" s="1"/>
      <c r="O3386" s="1"/>
      <c r="P3386" s="1"/>
      <c r="Q3386" s="1"/>
      <c r="R3386" s="1"/>
      <c r="S3386" s="1"/>
      <c r="T3386" s="1"/>
      <c r="U3386" s="1"/>
      <c r="V3386" s="1"/>
      <c r="W3386" s="1"/>
      <c r="X3386" s="1"/>
    </row>
    <row x14ac:dyDescent="0.25" r="3387" customHeight="1" ht="18.75">
      <c r="A3387" s="1"/>
      <c r="B3387" s="1"/>
      <c r="C3387" s="3" t="s">
        <v>108</v>
      </c>
      <c r="D3387" s="3" t="s">
        <v>3418</v>
      </c>
      <c r="E3387" s="1"/>
      <c r="F3387" s="1"/>
      <c r="G3387" s="1"/>
      <c r="H3387" s="1"/>
      <c r="I3387" s="2"/>
      <c r="J3387" s="1"/>
      <c r="K3387" s="1"/>
      <c r="L3387" s="1"/>
      <c r="M3387" s="1"/>
      <c r="N3387" s="1"/>
      <c r="O3387" s="1"/>
      <c r="P3387" s="1"/>
      <c r="Q3387" s="1"/>
      <c r="R3387" s="1"/>
      <c r="S3387" s="1"/>
      <c r="T3387" s="1"/>
      <c r="U3387" s="1"/>
      <c r="V3387" s="1"/>
      <c r="W3387" s="1"/>
      <c r="X3387" s="1"/>
    </row>
    <row x14ac:dyDescent="0.25" r="3388" customHeight="1" ht="18.75">
      <c r="A3388" s="1"/>
      <c r="B3388" s="1"/>
      <c r="C3388" s="3" t="s">
        <v>108</v>
      </c>
      <c r="D3388" s="3" t="s">
        <v>3419</v>
      </c>
      <c r="E3388" s="1"/>
      <c r="F3388" s="1"/>
      <c r="G3388" s="1"/>
      <c r="H3388" s="1"/>
      <c r="I3388" s="2"/>
      <c r="J3388" s="1"/>
      <c r="K3388" s="1"/>
      <c r="L3388" s="1"/>
      <c r="M3388" s="1"/>
      <c r="N3388" s="1"/>
      <c r="O3388" s="1"/>
      <c r="P3388" s="1"/>
      <c r="Q3388" s="1"/>
      <c r="R3388" s="1"/>
      <c r="S3388" s="1"/>
      <c r="T3388" s="1"/>
      <c r="U3388" s="1"/>
      <c r="V3388" s="1"/>
      <c r="W3388" s="1"/>
      <c r="X3388" s="1"/>
    </row>
    <row x14ac:dyDescent="0.25" r="3389" customHeight="1" ht="18.75">
      <c r="A3389" s="1"/>
      <c r="B3389" s="1"/>
      <c r="C3389" s="3" t="s">
        <v>108</v>
      </c>
      <c r="D3389" s="3" t="s">
        <v>3420</v>
      </c>
      <c r="E3389" s="1"/>
      <c r="F3389" s="1"/>
      <c r="G3389" s="1"/>
      <c r="H3389" s="1"/>
      <c r="I3389" s="2"/>
      <c r="J3389" s="1"/>
      <c r="K3389" s="1"/>
      <c r="L3389" s="1"/>
      <c r="M3389" s="1"/>
      <c r="N3389" s="1"/>
      <c r="O3389" s="1"/>
      <c r="P3389" s="1"/>
      <c r="Q3389" s="1"/>
      <c r="R3389" s="1"/>
      <c r="S3389" s="1"/>
      <c r="T3389" s="1"/>
      <c r="U3389" s="1"/>
      <c r="V3389" s="1"/>
      <c r="W3389" s="1"/>
      <c r="X3389" s="1"/>
    </row>
    <row x14ac:dyDescent="0.25" r="3390" customHeight="1" ht="18.75">
      <c r="A3390" s="1"/>
      <c r="B3390" s="1"/>
      <c r="C3390" s="3" t="s">
        <v>108</v>
      </c>
      <c r="D3390" s="3" t="s">
        <v>3421</v>
      </c>
      <c r="E3390" s="1"/>
      <c r="F3390" s="1"/>
      <c r="G3390" s="1"/>
      <c r="H3390" s="1"/>
      <c r="I3390" s="2"/>
      <c r="J3390" s="1"/>
      <c r="K3390" s="1"/>
      <c r="L3390" s="1"/>
      <c r="M3390" s="1"/>
      <c r="N3390" s="1"/>
      <c r="O3390" s="1"/>
      <c r="P3390" s="1"/>
      <c r="Q3390" s="1"/>
      <c r="R3390" s="1"/>
      <c r="S3390" s="1"/>
      <c r="T3390" s="1"/>
      <c r="U3390" s="1"/>
      <c r="V3390" s="1"/>
      <c r="W3390" s="1"/>
      <c r="X3390" s="1"/>
    </row>
    <row x14ac:dyDescent="0.25" r="3391" customHeight="1" ht="18.75">
      <c r="A3391" s="1"/>
      <c r="B3391" s="1"/>
      <c r="C3391" s="3" t="s">
        <v>108</v>
      </c>
      <c r="D3391" s="3" t="s">
        <v>3422</v>
      </c>
      <c r="E3391" s="1"/>
      <c r="F3391" s="1"/>
      <c r="G3391" s="1"/>
      <c r="H3391" s="1"/>
      <c r="I3391" s="2"/>
      <c r="J3391" s="1"/>
      <c r="K3391" s="1"/>
      <c r="L3391" s="1"/>
      <c r="M3391" s="1"/>
      <c r="N3391" s="1"/>
      <c r="O3391" s="1"/>
      <c r="P3391" s="1"/>
      <c r="Q3391" s="1"/>
      <c r="R3391" s="1"/>
      <c r="S3391" s="1"/>
      <c r="T3391" s="1"/>
      <c r="U3391" s="1"/>
      <c r="V3391" s="1"/>
      <c r="W3391" s="1"/>
      <c r="X3391" s="1"/>
    </row>
    <row x14ac:dyDescent="0.25" r="3392" customHeight="1" ht="18.75">
      <c r="A3392" s="1"/>
      <c r="B3392" s="1"/>
      <c r="C3392" s="3" t="s">
        <v>108</v>
      </c>
      <c r="D3392" s="3" t="s">
        <v>3423</v>
      </c>
      <c r="E3392" s="1"/>
      <c r="F3392" s="1"/>
      <c r="G3392" s="1"/>
      <c r="H3392" s="1"/>
      <c r="I3392" s="2"/>
      <c r="J3392" s="1"/>
      <c r="K3392" s="1"/>
      <c r="L3392" s="1"/>
      <c r="M3392" s="1"/>
      <c r="N3392" s="1"/>
      <c r="O3392" s="1"/>
      <c r="P3392" s="1"/>
      <c r="Q3392" s="1"/>
      <c r="R3392" s="1"/>
      <c r="S3392" s="1"/>
      <c r="T3392" s="1"/>
      <c r="U3392" s="1"/>
      <c r="V3392" s="1"/>
      <c r="W3392" s="1"/>
      <c r="X3392" s="1"/>
    </row>
    <row x14ac:dyDescent="0.25" r="3393" customHeight="1" ht="18.75">
      <c r="A3393" s="1"/>
      <c r="B3393" s="1"/>
      <c r="C3393" s="3" t="s">
        <v>108</v>
      </c>
      <c r="D3393" s="3" t="s">
        <v>3424</v>
      </c>
      <c r="E3393" s="1"/>
      <c r="F3393" s="1"/>
      <c r="G3393" s="1"/>
      <c r="H3393" s="1"/>
      <c r="I3393" s="2"/>
      <c r="J3393" s="1"/>
      <c r="K3393" s="1"/>
      <c r="L3393" s="1"/>
      <c r="M3393" s="1"/>
      <c r="N3393" s="1"/>
      <c r="O3393" s="1"/>
      <c r="P3393" s="1"/>
      <c r="Q3393" s="1"/>
      <c r="R3393" s="1"/>
      <c r="S3393" s="1"/>
      <c r="T3393" s="1"/>
      <c r="U3393" s="1"/>
      <c r="V3393" s="1"/>
      <c r="W3393" s="1"/>
      <c r="X3393" s="1"/>
    </row>
    <row x14ac:dyDescent="0.25" r="3394" customHeight="1" ht="18.75">
      <c r="A3394" s="1"/>
      <c r="B3394" s="1"/>
      <c r="C3394" s="3" t="s">
        <v>108</v>
      </c>
      <c r="D3394" s="3" t="s">
        <v>3425</v>
      </c>
      <c r="E3394" s="1"/>
      <c r="F3394" s="1"/>
      <c r="G3394" s="1"/>
      <c r="H3394" s="1"/>
      <c r="I3394" s="2"/>
      <c r="J3394" s="1"/>
      <c r="K3394" s="1"/>
      <c r="L3394" s="1"/>
      <c r="M3394" s="1"/>
      <c r="N3394" s="1"/>
      <c r="O3394" s="1"/>
      <c r="P3394" s="1"/>
      <c r="Q3394" s="1"/>
      <c r="R3394" s="1"/>
      <c r="S3394" s="1"/>
      <c r="T3394" s="1"/>
      <c r="U3394" s="1"/>
      <c r="V3394" s="1"/>
      <c r="W3394" s="1"/>
      <c r="X3394" s="1"/>
    </row>
    <row x14ac:dyDescent="0.25" r="3395" customHeight="1" ht="18.75">
      <c r="A3395" s="1"/>
      <c r="B3395" s="1"/>
      <c r="C3395" s="3" t="s">
        <v>108</v>
      </c>
      <c r="D3395" s="3" t="s">
        <v>3426</v>
      </c>
      <c r="E3395" s="1"/>
      <c r="F3395" s="1"/>
      <c r="G3395" s="1"/>
      <c r="H3395" s="1"/>
      <c r="I3395" s="2"/>
      <c r="J3395" s="1"/>
      <c r="K3395" s="1"/>
      <c r="L3395" s="1"/>
      <c r="M3395" s="1"/>
      <c r="N3395" s="1"/>
      <c r="O3395" s="1"/>
      <c r="P3395" s="1"/>
      <c r="Q3395" s="1"/>
      <c r="R3395" s="1"/>
      <c r="S3395" s="1"/>
      <c r="T3395" s="1"/>
      <c r="U3395" s="1"/>
      <c r="V3395" s="1"/>
      <c r="W3395" s="1"/>
      <c r="X3395" s="1"/>
    </row>
    <row x14ac:dyDescent="0.25" r="3396" customHeight="1" ht="18.75">
      <c r="A3396" s="1"/>
      <c r="B3396" s="1"/>
      <c r="C3396" s="3" t="s">
        <v>108</v>
      </c>
      <c r="D3396" s="3" t="s">
        <v>3427</v>
      </c>
      <c r="E3396" s="1"/>
      <c r="F3396" s="1"/>
      <c r="G3396" s="1"/>
      <c r="H3396" s="1"/>
      <c r="I3396" s="2"/>
      <c r="J3396" s="1"/>
      <c r="K3396" s="1"/>
      <c r="L3396" s="1"/>
      <c r="M3396" s="1"/>
      <c r="N3396" s="1"/>
      <c r="O3396" s="1"/>
      <c r="P3396" s="1"/>
      <c r="Q3396" s="1"/>
      <c r="R3396" s="1"/>
      <c r="S3396" s="1"/>
      <c r="T3396" s="1"/>
      <c r="U3396" s="1"/>
      <c r="V3396" s="1"/>
      <c r="W3396" s="1"/>
      <c r="X3396" s="1"/>
    </row>
    <row x14ac:dyDescent="0.25" r="3397" customHeight="1" ht="18.75">
      <c r="A3397" s="1"/>
      <c r="B3397" s="1"/>
      <c r="C3397" s="3" t="s">
        <v>108</v>
      </c>
      <c r="D3397" s="3" t="s">
        <v>3428</v>
      </c>
      <c r="E3397" s="1"/>
      <c r="F3397" s="1"/>
      <c r="G3397" s="1"/>
      <c r="H3397" s="1"/>
      <c r="I3397" s="2"/>
      <c r="J3397" s="1"/>
      <c r="K3397" s="1"/>
      <c r="L3397" s="1"/>
      <c r="M3397" s="1"/>
      <c r="N3397" s="1"/>
      <c r="O3397" s="1"/>
      <c r="P3397" s="1"/>
      <c r="Q3397" s="1"/>
      <c r="R3397" s="1"/>
      <c r="S3397" s="1"/>
      <c r="T3397" s="1"/>
      <c r="U3397" s="1"/>
      <c r="V3397" s="1"/>
      <c r="W3397" s="1"/>
      <c r="X3397" s="1"/>
    </row>
    <row x14ac:dyDescent="0.25" r="3398" customHeight="1" ht="18.75">
      <c r="A3398" s="1"/>
      <c r="B3398" s="1"/>
      <c r="C3398" s="3" t="s">
        <v>108</v>
      </c>
      <c r="D3398" s="3" t="s">
        <v>3429</v>
      </c>
      <c r="E3398" s="1"/>
      <c r="F3398" s="1"/>
      <c r="G3398" s="1"/>
      <c r="H3398" s="1"/>
      <c r="I3398" s="2"/>
      <c r="J3398" s="1"/>
      <c r="K3398" s="1"/>
      <c r="L3398" s="1"/>
      <c r="M3398" s="1"/>
      <c r="N3398" s="1"/>
      <c r="O3398" s="1"/>
      <c r="P3398" s="1"/>
      <c r="Q3398" s="1"/>
      <c r="R3398" s="1"/>
      <c r="S3398" s="1"/>
      <c r="T3398" s="1"/>
      <c r="U3398" s="1"/>
      <c r="V3398" s="1"/>
      <c r="W3398" s="1"/>
      <c r="X3398" s="1"/>
    </row>
    <row x14ac:dyDescent="0.25" r="3399" customHeight="1" ht="18.75">
      <c r="A3399" s="1"/>
      <c r="B3399" s="1"/>
      <c r="C3399" s="3" t="s">
        <v>108</v>
      </c>
      <c r="D3399" s="3" t="s">
        <v>3430</v>
      </c>
      <c r="E3399" s="1"/>
      <c r="F3399" s="1"/>
      <c r="G3399" s="1"/>
      <c r="H3399" s="1"/>
      <c r="I3399" s="2"/>
      <c r="J3399" s="1"/>
      <c r="K3399" s="1"/>
      <c r="L3399" s="1"/>
      <c r="M3399" s="1"/>
      <c r="N3399" s="1"/>
      <c r="O3399" s="1"/>
      <c r="P3399" s="1"/>
      <c r="Q3399" s="1"/>
      <c r="R3399" s="1"/>
      <c r="S3399" s="1"/>
      <c r="T3399" s="1"/>
      <c r="U3399" s="1"/>
      <c r="V3399" s="1"/>
      <c r="W3399" s="1"/>
      <c r="X3399" s="1"/>
    </row>
    <row x14ac:dyDescent="0.25" r="3400" customHeight="1" ht="18.75">
      <c r="A3400" s="1"/>
      <c r="B3400" s="1"/>
      <c r="C3400" s="3" t="s">
        <v>108</v>
      </c>
      <c r="D3400" s="3" t="s">
        <v>3431</v>
      </c>
      <c r="E3400" s="1"/>
      <c r="F3400" s="1"/>
      <c r="G3400" s="1"/>
      <c r="H3400" s="1"/>
      <c r="I3400" s="2"/>
      <c r="J3400" s="1"/>
      <c r="K3400" s="1"/>
      <c r="L3400" s="1"/>
      <c r="M3400" s="1"/>
      <c r="N3400" s="1"/>
      <c r="O3400" s="1"/>
      <c r="P3400" s="1"/>
      <c r="Q3400" s="1"/>
      <c r="R3400" s="1"/>
      <c r="S3400" s="1"/>
      <c r="T3400" s="1"/>
      <c r="U3400" s="1"/>
      <c r="V3400" s="1"/>
      <c r="W3400" s="1"/>
      <c r="X3400" s="1"/>
    </row>
    <row x14ac:dyDescent="0.25" r="3401" customHeight="1" ht="18.75">
      <c r="A3401" s="1"/>
      <c r="B3401" s="1"/>
      <c r="C3401" s="3" t="s">
        <v>145</v>
      </c>
      <c r="D3401" s="3" t="s">
        <v>930</v>
      </c>
      <c r="E3401" s="1"/>
      <c r="F3401" s="1"/>
      <c r="G3401" s="1"/>
      <c r="H3401" s="1"/>
      <c r="I3401" s="2"/>
      <c r="J3401" s="1"/>
      <c r="K3401" s="1"/>
      <c r="L3401" s="1"/>
      <c r="M3401" s="1"/>
      <c r="N3401" s="1"/>
      <c r="O3401" s="1"/>
      <c r="P3401" s="1"/>
      <c r="Q3401" s="1"/>
      <c r="R3401" s="1"/>
      <c r="S3401" s="1"/>
      <c r="T3401" s="1"/>
      <c r="U3401" s="1"/>
      <c r="V3401" s="1"/>
      <c r="W3401" s="1"/>
      <c r="X3401" s="1"/>
    </row>
    <row x14ac:dyDescent="0.25" r="3402" customHeight="1" ht="18.75">
      <c r="A3402" s="1"/>
      <c r="B3402" s="1"/>
      <c r="C3402" s="3" t="s">
        <v>97</v>
      </c>
      <c r="D3402" s="3" t="s">
        <v>3432</v>
      </c>
      <c r="E3402" s="1"/>
      <c r="F3402" s="1"/>
      <c r="G3402" s="1"/>
      <c r="H3402" s="1"/>
      <c r="I3402" s="2"/>
      <c r="J3402" s="1"/>
      <c r="K3402" s="1"/>
      <c r="L3402" s="1"/>
      <c r="M3402" s="1"/>
      <c r="N3402" s="1"/>
      <c r="O3402" s="1"/>
      <c r="P3402" s="1"/>
      <c r="Q3402" s="1"/>
      <c r="R3402" s="1"/>
      <c r="S3402" s="1"/>
      <c r="T3402" s="1"/>
      <c r="U3402" s="1"/>
      <c r="V3402" s="1"/>
      <c r="W3402" s="1"/>
      <c r="X3402" s="1"/>
    </row>
    <row x14ac:dyDescent="0.25" r="3403" customHeight="1" ht="18.75">
      <c r="A3403" s="1"/>
      <c r="B3403" s="1"/>
      <c r="C3403" s="3" t="s">
        <v>97</v>
      </c>
      <c r="D3403" s="3" t="s">
        <v>3433</v>
      </c>
      <c r="E3403" s="1"/>
      <c r="F3403" s="1"/>
      <c r="G3403" s="1"/>
      <c r="H3403" s="1"/>
      <c r="I3403" s="2"/>
      <c r="J3403" s="1"/>
      <c r="K3403" s="1"/>
      <c r="L3403" s="1"/>
      <c r="M3403" s="1"/>
      <c r="N3403" s="1"/>
      <c r="O3403" s="1"/>
      <c r="P3403" s="1"/>
      <c r="Q3403" s="1"/>
      <c r="R3403" s="1"/>
      <c r="S3403" s="1"/>
      <c r="T3403" s="1"/>
      <c r="U3403" s="1"/>
      <c r="V3403" s="1"/>
      <c r="W3403" s="1"/>
      <c r="X3403" s="1"/>
    </row>
    <row x14ac:dyDescent="0.25" r="3404" customHeight="1" ht="18.75">
      <c r="A3404" s="1"/>
      <c r="B3404" s="1"/>
      <c r="C3404" s="3" t="s">
        <v>3434</v>
      </c>
      <c r="D3404" s="3" t="s">
        <v>3432</v>
      </c>
      <c r="E3404" s="1"/>
      <c r="F3404" s="1"/>
      <c r="G3404" s="1"/>
      <c r="H3404" s="1"/>
      <c r="I3404" s="2"/>
      <c r="J3404" s="1"/>
      <c r="K3404" s="1"/>
      <c r="L3404" s="1"/>
      <c r="M3404" s="1"/>
      <c r="N3404" s="1"/>
      <c r="O3404" s="1"/>
      <c r="P3404" s="1"/>
      <c r="Q3404" s="1"/>
      <c r="R3404" s="1"/>
      <c r="S3404" s="1"/>
      <c r="T3404" s="1"/>
      <c r="U3404" s="1"/>
      <c r="V3404" s="1"/>
      <c r="W3404" s="1"/>
      <c r="X3404" s="1"/>
    </row>
    <row x14ac:dyDescent="0.25" r="3405" customHeight="1" ht="18.75">
      <c r="A3405" s="1"/>
      <c r="B3405" s="1"/>
      <c r="C3405" s="3" t="s">
        <v>97</v>
      </c>
      <c r="D3405" s="3" t="s">
        <v>3435</v>
      </c>
      <c r="E3405" s="1"/>
      <c r="F3405" s="1"/>
      <c r="G3405" s="1"/>
      <c r="H3405" s="1"/>
      <c r="I3405" s="2"/>
      <c r="J3405" s="1"/>
      <c r="K3405" s="1"/>
      <c r="L3405" s="1"/>
      <c r="M3405" s="1"/>
      <c r="N3405" s="1"/>
      <c r="O3405" s="1"/>
      <c r="P3405" s="1"/>
      <c r="Q3405" s="1"/>
      <c r="R3405" s="1"/>
      <c r="S3405" s="1"/>
      <c r="T3405" s="1"/>
      <c r="U3405" s="1"/>
      <c r="V3405" s="1"/>
      <c r="W3405" s="1"/>
      <c r="X3405" s="1"/>
    </row>
    <row x14ac:dyDescent="0.25" r="3406" customHeight="1" ht="18.75">
      <c r="A3406" s="1"/>
      <c r="B3406" s="1"/>
      <c r="C3406" s="3" t="s">
        <v>97</v>
      </c>
      <c r="D3406" s="3" t="s">
        <v>3436</v>
      </c>
      <c r="E3406" s="1"/>
      <c r="F3406" s="1"/>
      <c r="G3406" s="1"/>
      <c r="H3406" s="1"/>
      <c r="I3406" s="2"/>
      <c r="J3406" s="1"/>
      <c r="K3406" s="1"/>
      <c r="L3406" s="1"/>
      <c r="M3406" s="1"/>
      <c r="N3406" s="1"/>
      <c r="O3406" s="1"/>
      <c r="P3406" s="1"/>
      <c r="Q3406" s="1"/>
      <c r="R3406" s="1"/>
      <c r="S3406" s="1"/>
      <c r="T3406" s="1"/>
      <c r="U3406" s="1"/>
      <c r="V3406" s="1"/>
      <c r="W3406" s="1"/>
      <c r="X3406" s="1"/>
    </row>
    <row x14ac:dyDescent="0.25" r="3407" customHeight="1" ht="18.75">
      <c r="A3407" s="1"/>
      <c r="B3407" s="1"/>
      <c r="C3407" s="3" t="s">
        <v>97</v>
      </c>
      <c r="D3407" s="3" t="s">
        <v>3437</v>
      </c>
      <c r="E3407" s="1"/>
      <c r="F3407" s="1"/>
      <c r="G3407" s="1"/>
      <c r="H3407" s="1"/>
      <c r="I3407" s="2"/>
      <c r="J3407" s="1"/>
      <c r="K3407" s="1"/>
      <c r="L3407" s="1"/>
      <c r="M3407" s="1"/>
      <c r="N3407" s="1"/>
      <c r="O3407" s="1"/>
      <c r="P3407" s="1"/>
      <c r="Q3407" s="1"/>
      <c r="R3407" s="1"/>
      <c r="S3407" s="1"/>
      <c r="T3407" s="1"/>
      <c r="U3407" s="1"/>
      <c r="V3407" s="1"/>
      <c r="W3407" s="1"/>
      <c r="X3407" s="1"/>
    </row>
    <row x14ac:dyDescent="0.25" r="3408" customHeight="1" ht="18.75">
      <c r="A3408" s="1"/>
      <c r="B3408" s="1"/>
      <c r="C3408" s="3" t="s">
        <v>97</v>
      </c>
      <c r="D3408" s="3" t="s">
        <v>3438</v>
      </c>
      <c r="E3408" s="1"/>
      <c r="F3408" s="1"/>
      <c r="G3408" s="1"/>
      <c r="H3408" s="1"/>
      <c r="I3408" s="2"/>
      <c r="J3408" s="1"/>
      <c r="K3408" s="1"/>
      <c r="L3408" s="1"/>
      <c r="M3408" s="1"/>
      <c r="N3408" s="1"/>
      <c r="O3408" s="1"/>
      <c r="P3408" s="1"/>
      <c r="Q3408" s="1"/>
      <c r="R3408" s="1"/>
      <c r="S3408" s="1"/>
      <c r="T3408" s="1"/>
      <c r="U3408" s="1"/>
      <c r="V3408" s="1"/>
      <c r="W3408" s="1"/>
      <c r="X3408" s="1"/>
    </row>
    <row x14ac:dyDescent="0.25" r="3409" customHeight="1" ht="18.75">
      <c r="A3409" s="1"/>
      <c r="B3409" s="1"/>
      <c r="C3409" s="3" t="s">
        <v>3434</v>
      </c>
      <c r="D3409" s="3" t="s">
        <v>3439</v>
      </c>
      <c r="E3409" s="1"/>
      <c r="F3409" s="1"/>
      <c r="G3409" s="1"/>
      <c r="H3409" s="1"/>
      <c r="I3409" s="2"/>
      <c r="J3409" s="1"/>
      <c r="K3409" s="1"/>
      <c r="L3409" s="1"/>
      <c r="M3409" s="1"/>
      <c r="N3409" s="1"/>
      <c r="O3409" s="1"/>
      <c r="P3409" s="1"/>
      <c r="Q3409" s="1"/>
      <c r="R3409" s="1"/>
      <c r="S3409" s="1"/>
      <c r="T3409" s="1"/>
      <c r="U3409" s="1"/>
      <c r="V3409" s="1"/>
      <c r="W3409" s="1"/>
      <c r="X3409" s="1"/>
    </row>
    <row x14ac:dyDescent="0.25" r="3410" customHeight="1" ht="18.75">
      <c r="A3410" s="1"/>
      <c r="B3410" s="1"/>
      <c r="C3410" s="3" t="s">
        <v>97</v>
      </c>
      <c r="D3410" s="3" t="s">
        <v>3440</v>
      </c>
      <c r="E3410" s="1"/>
      <c r="F3410" s="1"/>
      <c r="G3410" s="1"/>
      <c r="H3410" s="1"/>
      <c r="I3410" s="2"/>
      <c r="J3410" s="1"/>
      <c r="K3410" s="1"/>
      <c r="L3410" s="1"/>
      <c r="M3410" s="1"/>
      <c r="N3410" s="1"/>
      <c r="O3410" s="1"/>
      <c r="P3410" s="1"/>
      <c r="Q3410" s="1"/>
      <c r="R3410" s="1"/>
      <c r="S3410" s="1"/>
      <c r="T3410" s="1"/>
      <c r="U3410" s="1"/>
      <c r="V3410" s="1"/>
      <c r="W3410" s="1"/>
      <c r="X3410" s="1"/>
    </row>
    <row x14ac:dyDescent="0.25" r="3411" customHeight="1" ht="18.75">
      <c r="A3411" s="1"/>
      <c r="B3411" s="1"/>
      <c r="C3411" s="3" t="s">
        <v>97</v>
      </c>
      <c r="D3411" s="3" t="s">
        <v>3441</v>
      </c>
      <c r="E3411" s="1"/>
      <c r="F3411" s="1"/>
      <c r="G3411" s="1"/>
      <c r="H3411" s="1"/>
      <c r="I3411" s="2"/>
      <c r="J3411" s="1"/>
      <c r="K3411" s="1"/>
      <c r="L3411" s="1"/>
      <c r="M3411" s="1"/>
      <c r="N3411" s="1"/>
      <c r="O3411" s="1"/>
      <c r="P3411" s="1"/>
      <c r="Q3411" s="1"/>
      <c r="R3411" s="1"/>
      <c r="S3411" s="1"/>
      <c r="T3411" s="1"/>
      <c r="U3411" s="1"/>
      <c r="V3411" s="1"/>
      <c r="W3411" s="1"/>
      <c r="X3411" s="1"/>
    </row>
    <row x14ac:dyDescent="0.25" r="3412" customHeight="1" ht="18.75">
      <c r="A3412" s="1"/>
      <c r="B3412" s="1"/>
      <c r="C3412" s="3" t="s">
        <v>97</v>
      </c>
      <c r="D3412" s="3" t="s">
        <v>3442</v>
      </c>
      <c r="E3412" s="1"/>
      <c r="F3412" s="1"/>
      <c r="G3412" s="1"/>
      <c r="H3412" s="1"/>
      <c r="I3412" s="2"/>
      <c r="J3412" s="1"/>
      <c r="K3412" s="1"/>
      <c r="L3412" s="1"/>
      <c r="M3412" s="1"/>
      <c r="N3412" s="1"/>
      <c r="O3412" s="1"/>
      <c r="P3412" s="1"/>
      <c r="Q3412" s="1"/>
      <c r="R3412" s="1"/>
      <c r="S3412" s="1"/>
      <c r="T3412" s="1"/>
      <c r="U3412" s="1"/>
      <c r="V3412" s="1"/>
      <c r="W3412" s="1"/>
      <c r="X3412" s="1"/>
    </row>
    <row x14ac:dyDescent="0.25" r="3413" customHeight="1" ht="18.75">
      <c r="A3413" s="1"/>
      <c r="B3413" s="1"/>
      <c r="C3413" s="3" t="s">
        <v>97</v>
      </c>
      <c r="D3413" s="3" t="s">
        <v>3443</v>
      </c>
      <c r="E3413" s="1"/>
      <c r="F3413" s="1"/>
      <c r="G3413" s="1"/>
      <c r="H3413" s="1"/>
      <c r="I3413" s="2"/>
      <c r="J3413" s="1"/>
      <c r="K3413" s="1"/>
      <c r="L3413" s="1"/>
      <c r="M3413" s="1"/>
      <c r="N3413" s="1"/>
      <c r="O3413" s="1"/>
      <c r="P3413" s="1"/>
      <c r="Q3413" s="1"/>
      <c r="R3413" s="1"/>
      <c r="S3413" s="1"/>
      <c r="T3413" s="1"/>
      <c r="U3413" s="1"/>
      <c r="V3413" s="1"/>
      <c r="W3413" s="1"/>
      <c r="X3413" s="1"/>
    </row>
    <row x14ac:dyDescent="0.25" r="3414" customHeight="1" ht="18.75">
      <c r="A3414" s="1"/>
      <c r="B3414" s="1"/>
      <c r="C3414" s="3" t="s">
        <v>97</v>
      </c>
      <c r="D3414" s="3" t="s">
        <v>3444</v>
      </c>
      <c r="E3414" s="1"/>
      <c r="F3414" s="1"/>
      <c r="G3414" s="1"/>
      <c r="H3414" s="1"/>
      <c r="I3414" s="2"/>
      <c r="J3414" s="1"/>
      <c r="K3414" s="1"/>
      <c r="L3414" s="1"/>
      <c r="M3414" s="1"/>
      <c r="N3414" s="1"/>
      <c r="O3414" s="1"/>
      <c r="P3414" s="1"/>
      <c r="Q3414" s="1"/>
      <c r="R3414" s="1"/>
      <c r="S3414" s="1"/>
      <c r="T3414" s="1"/>
      <c r="U3414" s="1"/>
      <c r="V3414" s="1"/>
      <c r="W3414" s="1"/>
      <c r="X3414" s="1"/>
    </row>
    <row x14ac:dyDescent="0.25" r="3415" customHeight="1" ht="18.75">
      <c r="A3415" s="1"/>
      <c r="B3415" s="1"/>
      <c r="C3415" s="3" t="s">
        <v>97</v>
      </c>
      <c r="D3415" s="3" t="s">
        <v>3445</v>
      </c>
      <c r="E3415" s="1"/>
      <c r="F3415" s="1"/>
      <c r="G3415" s="1"/>
      <c r="H3415" s="1"/>
      <c r="I3415" s="2"/>
      <c r="J3415" s="1"/>
      <c r="K3415" s="1"/>
      <c r="L3415" s="1"/>
      <c r="M3415" s="1"/>
      <c r="N3415" s="1"/>
      <c r="O3415" s="1"/>
      <c r="P3415" s="1"/>
      <c r="Q3415" s="1"/>
      <c r="R3415" s="1"/>
      <c r="S3415" s="1"/>
      <c r="T3415" s="1"/>
      <c r="U3415" s="1"/>
      <c r="V3415" s="1"/>
      <c r="W3415" s="1"/>
      <c r="X3415" s="1"/>
    </row>
    <row x14ac:dyDescent="0.25" r="3416" customHeight="1" ht="18.75">
      <c r="A3416" s="1"/>
      <c r="B3416" s="1"/>
      <c r="C3416" s="3" t="s">
        <v>97</v>
      </c>
      <c r="D3416" s="3" t="s">
        <v>3446</v>
      </c>
      <c r="E3416" s="1"/>
      <c r="F3416" s="1"/>
      <c r="G3416" s="1"/>
      <c r="H3416" s="1"/>
      <c r="I3416" s="2"/>
      <c r="J3416" s="1"/>
      <c r="K3416" s="1"/>
      <c r="L3416" s="1"/>
      <c r="M3416" s="1"/>
      <c r="N3416" s="1"/>
      <c r="O3416" s="1"/>
      <c r="P3416" s="1"/>
      <c r="Q3416" s="1"/>
      <c r="R3416" s="1"/>
      <c r="S3416" s="1"/>
      <c r="T3416" s="1"/>
      <c r="U3416" s="1"/>
      <c r="V3416" s="1"/>
      <c r="W3416" s="1"/>
      <c r="X3416" s="1"/>
    </row>
    <row x14ac:dyDescent="0.25" r="3417" customHeight="1" ht="18.75">
      <c r="A3417" s="1"/>
      <c r="B3417" s="1"/>
      <c r="C3417" s="3" t="s">
        <v>97</v>
      </c>
      <c r="D3417" s="3" t="s">
        <v>3447</v>
      </c>
      <c r="E3417" s="1"/>
      <c r="F3417" s="1"/>
      <c r="G3417" s="1"/>
      <c r="H3417" s="1"/>
      <c r="I3417" s="2"/>
      <c r="J3417" s="1"/>
      <c r="K3417" s="1"/>
      <c r="L3417" s="1"/>
      <c r="M3417" s="1"/>
      <c r="N3417" s="1"/>
      <c r="O3417" s="1"/>
      <c r="P3417" s="1"/>
      <c r="Q3417" s="1"/>
      <c r="R3417" s="1"/>
      <c r="S3417" s="1"/>
      <c r="T3417" s="1"/>
      <c r="U3417" s="1"/>
      <c r="V3417" s="1"/>
      <c r="W3417" s="1"/>
      <c r="X3417" s="1"/>
    </row>
    <row x14ac:dyDescent="0.25" r="3418" customHeight="1" ht="18.75">
      <c r="A3418" s="1"/>
      <c r="B3418" s="1"/>
      <c r="C3418" s="3" t="s">
        <v>97</v>
      </c>
      <c r="D3418" s="3" t="s">
        <v>3448</v>
      </c>
      <c r="E3418" s="1"/>
      <c r="F3418" s="1"/>
      <c r="G3418" s="1"/>
      <c r="H3418" s="1"/>
      <c r="I3418" s="2"/>
      <c r="J3418" s="1"/>
      <c r="K3418" s="1"/>
      <c r="L3418" s="1"/>
      <c r="M3418" s="1"/>
      <c r="N3418" s="1"/>
      <c r="O3418" s="1"/>
      <c r="P3418" s="1"/>
      <c r="Q3418" s="1"/>
      <c r="R3418" s="1"/>
      <c r="S3418" s="1"/>
      <c r="T3418" s="1"/>
      <c r="U3418" s="1"/>
      <c r="V3418" s="1"/>
      <c r="W3418" s="1"/>
      <c r="X3418" s="1"/>
    </row>
    <row x14ac:dyDescent="0.25" r="3419" customHeight="1" ht="18.75">
      <c r="A3419" s="1"/>
      <c r="B3419" s="1"/>
      <c r="C3419" s="3" t="s">
        <v>3434</v>
      </c>
      <c r="D3419" s="3" t="s">
        <v>3449</v>
      </c>
      <c r="E3419" s="1"/>
      <c r="F3419" s="1"/>
      <c r="G3419" s="1"/>
      <c r="H3419" s="1"/>
      <c r="I3419" s="2"/>
      <c r="J3419" s="1"/>
      <c r="K3419" s="1"/>
      <c r="L3419" s="1"/>
      <c r="M3419" s="1"/>
      <c r="N3419" s="1"/>
      <c r="O3419" s="1"/>
      <c r="P3419" s="1"/>
      <c r="Q3419" s="1"/>
      <c r="R3419" s="1"/>
      <c r="S3419" s="1"/>
      <c r="T3419" s="1"/>
      <c r="U3419" s="1"/>
      <c r="V3419" s="1"/>
      <c r="W3419" s="1"/>
      <c r="X3419" s="1"/>
    </row>
    <row x14ac:dyDescent="0.25" r="3420" customHeight="1" ht="18.75">
      <c r="A3420" s="1"/>
      <c r="B3420" s="1"/>
      <c r="C3420" s="3" t="s">
        <v>97</v>
      </c>
      <c r="D3420" s="3" t="s">
        <v>3439</v>
      </c>
      <c r="E3420" s="1"/>
      <c r="F3420" s="1"/>
      <c r="G3420" s="1"/>
      <c r="H3420" s="1"/>
      <c r="I3420" s="2"/>
      <c r="J3420" s="1"/>
      <c r="K3420" s="1"/>
      <c r="L3420" s="1"/>
      <c r="M3420" s="1"/>
      <c r="N3420" s="1"/>
      <c r="O3420" s="1"/>
      <c r="P3420" s="1"/>
      <c r="Q3420" s="1"/>
      <c r="R3420" s="1"/>
      <c r="S3420" s="1"/>
      <c r="T3420" s="1"/>
      <c r="U3420" s="1"/>
      <c r="V3420" s="1"/>
      <c r="W3420" s="1"/>
      <c r="X3420" s="1"/>
    </row>
    <row x14ac:dyDescent="0.25" r="3421" customHeight="1" ht="18.75">
      <c r="A3421" s="1"/>
      <c r="B3421" s="1"/>
      <c r="C3421" s="3" t="s">
        <v>97</v>
      </c>
      <c r="D3421" s="3" t="s">
        <v>3450</v>
      </c>
      <c r="E3421" s="1"/>
      <c r="F3421" s="1"/>
      <c r="G3421" s="1"/>
      <c r="H3421" s="1"/>
      <c r="I3421" s="2"/>
      <c r="J3421" s="1"/>
      <c r="K3421" s="1"/>
      <c r="L3421" s="1"/>
      <c r="M3421" s="1"/>
      <c r="N3421" s="1"/>
      <c r="O3421" s="1"/>
      <c r="P3421" s="1"/>
      <c r="Q3421" s="1"/>
      <c r="R3421" s="1"/>
      <c r="S3421" s="1"/>
      <c r="T3421" s="1"/>
      <c r="U3421" s="1"/>
      <c r="V3421" s="1"/>
      <c r="W3421" s="1"/>
      <c r="X3421" s="1"/>
    </row>
    <row x14ac:dyDescent="0.25" r="3422" customHeight="1" ht="18.75">
      <c r="A3422" s="1"/>
      <c r="B3422" s="1"/>
      <c r="C3422" s="3" t="s">
        <v>3434</v>
      </c>
      <c r="D3422" s="3" t="s">
        <v>3451</v>
      </c>
      <c r="E3422" s="1"/>
      <c r="F3422" s="1"/>
      <c r="G3422" s="1"/>
      <c r="H3422" s="1"/>
      <c r="I3422" s="2"/>
      <c r="J3422" s="1"/>
      <c r="K3422" s="1"/>
      <c r="L3422" s="1"/>
      <c r="M3422" s="1"/>
      <c r="N3422" s="1"/>
      <c r="O3422" s="1"/>
      <c r="P3422" s="1"/>
      <c r="Q3422" s="1"/>
      <c r="R3422" s="1"/>
      <c r="S3422" s="1"/>
      <c r="T3422" s="1"/>
      <c r="U3422" s="1"/>
      <c r="V3422" s="1"/>
      <c r="W3422" s="1"/>
      <c r="X3422" s="1"/>
    </row>
    <row x14ac:dyDescent="0.25" r="3423" customHeight="1" ht="18.75">
      <c r="A3423" s="1"/>
      <c r="B3423" s="1"/>
      <c r="C3423" s="3" t="s">
        <v>3434</v>
      </c>
      <c r="D3423" s="3" t="s">
        <v>3452</v>
      </c>
      <c r="E3423" s="1"/>
      <c r="F3423" s="1"/>
      <c r="G3423" s="1"/>
      <c r="H3423" s="1"/>
      <c r="I3423" s="2"/>
      <c r="J3423" s="1"/>
      <c r="K3423" s="1"/>
      <c r="L3423" s="1"/>
      <c r="M3423" s="1"/>
      <c r="N3423" s="1"/>
      <c r="O3423" s="1"/>
      <c r="P3423" s="1"/>
      <c r="Q3423" s="1"/>
      <c r="R3423" s="1"/>
      <c r="S3423" s="1"/>
      <c r="T3423" s="1"/>
      <c r="U3423" s="1"/>
      <c r="V3423" s="1"/>
      <c r="W3423" s="1"/>
      <c r="X3423" s="1"/>
    </row>
    <row x14ac:dyDescent="0.25" r="3424" customHeight="1" ht="18.75">
      <c r="A3424" s="1"/>
      <c r="B3424" s="1"/>
      <c r="C3424" s="3" t="s">
        <v>97</v>
      </c>
      <c r="D3424" s="3" t="s">
        <v>3453</v>
      </c>
      <c r="E3424" s="1"/>
      <c r="F3424" s="1"/>
      <c r="G3424" s="1"/>
      <c r="H3424" s="1"/>
      <c r="I3424" s="2"/>
      <c r="J3424" s="1"/>
      <c r="K3424" s="1"/>
      <c r="L3424" s="1"/>
      <c r="M3424" s="1"/>
      <c r="N3424" s="1"/>
      <c r="O3424" s="1"/>
      <c r="P3424" s="1"/>
      <c r="Q3424" s="1"/>
      <c r="R3424" s="1"/>
      <c r="S3424" s="1"/>
      <c r="T3424" s="1"/>
      <c r="U3424" s="1"/>
      <c r="V3424" s="1"/>
      <c r="W3424" s="1"/>
      <c r="X3424" s="1"/>
    </row>
    <row x14ac:dyDescent="0.25" r="3425" customHeight="1" ht="18.75">
      <c r="A3425" s="1"/>
      <c r="B3425" s="1"/>
      <c r="C3425" s="3" t="s">
        <v>97</v>
      </c>
      <c r="D3425" s="3" t="s">
        <v>3454</v>
      </c>
      <c r="E3425" s="1"/>
      <c r="F3425" s="1"/>
      <c r="G3425" s="1"/>
      <c r="H3425" s="1"/>
      <c r="I3425" s="2"/>
      <c r="J3425" s="1"/>
      <c r="K3425" s="1"/>
      <c r="L3425" s="1"/>
      <c r="M3425" s="1"/>
      <c r="N3425" s="1"/>
      <c r="O3425" s="1"/>
      <c r="P3425" s="1"/>
      <c r="Q3425" s="1"/>
      <c r="R3425" s="1"/>
      <c r="S3425" s="1"/>
      <c r="T3425" s="1"/>
      <c r="U3425" s="1"/>
      <c r="V3425" s="1"/>
      <c r="W3425" s="1"/>
      <c r="X3425" s="1"/>
    </row>
    <row x14ac:dyDescent="0.25" r="3426" customHeight="1" ht="18.75">
      <c r="A3426" s="1"/>
      <c r="B3426" s="1"/>
      <c r="C3426" s="3" t="s">
        <v>97</v>
      </c>
      <c r="D3426" s="3" t="s">
        <v>3455</v>
      </c>
      <c r="E3426" s="1"/>
      <c r="F3426" s="1"/>
      <c r="G3426" s="1"/>
      <c r="H3426" s="1"/>
      <c r="I3426" s="2"/>
      <c r="J3426" s="1"/>
      <c r="K3426" s="1"/>
      <c r="L3426" s="1"/>
      <c r="M3426" s="1"/>
      <c r="N3426" s="1"/>
      <c r="O3426" s="1"/>
      <c r="P3426" s="1"/>
      <c r="Q3426" s="1"/>
      <c r="R3426" s="1"/>
      <c r="S3426" s="1"/>
      <c r="T3426" s="1"/>
      <c r="U3426" s="1"/>
      <c r="V3426" s="1"/>
      <c r="W3426" s="1"/>
      <c r="X3426" s="1"/>
    </row>
    <row x14ac:dyDescent="0.25" r="3427" customHeight="1" ht="18.75">
      <c r="A3427" s="1"/>
      <c r="B3427" s="1"/>
      <c r="C3427" s="3" t="s">
        <v>97</v>
      </c>
      <c r="D3427" s="3" t="s">
        <v>3456</v>
      </c>
      <c r="E3427" s="1"/>
      <c r="F3427" s="1"/>
      <c r="G3427" s="1"/>
      <c r="H3427" s="1"/>
      <c r="I3427" s="2"/>
      <c r="J3427" s="1"/>
      <c r="K3427" s="1"/>
      <c r="L3427" s="1"/>
      <c r="M3427" s="1"/>
      <c r="N3427" s="1"/>
      <c r="O3427" s="1"/>
      <c r="P3427" s="1"/>
      <c r="Q3427" s="1"/>
      <c r="R3427" s="1"/>
      <c r="S3427" s="1"/>
      <c r="T3427" s="1"/>
      <c r="U3427" s="1"/>
      <c r="V3427" s="1"/>
      <c r="W3427" s="1"/>
      <c r="X3427" s="1"/>
    </row>
    <row x14ac:dyDescent="0.25" r="3428" customHeight="1" ht="18.75">
      <c r="A3428" s="1"/>
      <c r="B3428" s="1"/>
      <c r="C3428" s="3" t="s">
        <v>3434</v>
      </c>
      <c r="D3428" s="3" t="s">
        <v>3457</v>
      </c>
      <c r="E3428" s="1"/>
      <c r="F3428" s="1"/>
      <c r="G3428" s="1"/>
      <c r="H3428" s="1"/>
      <c r="I3428" s="2"/>
      <c r="J3428" s="1"/>
      <c r="K3428" s="1"/>
      <c r="L3428" s="1"/>
      <c r="M3428" s="1"/>
      <c r="N3428" s="1"/>
      <c r="O3428" s="1"/>
      <c r="P3428" s="1"/>
      <c r="Q3428" s="1"/>
      <c r="R3428" s="1"/>
      <c r="S3428" s="1"/>
      <c r="T3428" s="1"/>
      <c r="U3428" s="1"/>
      <c r="V3428" s="1"/>
      <c r="W3428" s="1"/>
      <c r="X3428" s="1"/>
    </row>
    <row x14ac:dyDescent="0.25" r="3429" customHeight="1" ht="18.75">
      <c r="A3429" s="1"/>
      <c r="B3429" s="1"/>
      <c r="C3429" s="3" t="s">
        <v>97</v>
      </c>
      <c r="D3429" s="3" t="s">
        <v>3458</v>
      </c>
      <c r="E3429" s="1"/>
      <c r="F3429" s="1"/>
      <c r="G3429" s="1"/>
      <c r="H3429" s="1"/>
      <c r="I3429" s="2"/>
      <c r="J3429" s="1"/>
      <c r="K3429" s="1"/>
      <c r="L3429" s="1"/>
      <c r="M3429" s="1"/>
      <c r="N3429" s="1"/>
      <c r="O3429" s="1"/>
      <c r="P3429" s="1"/>
      <c r="Q3429" s="1"/>
      <c r="R3429" s="1"/>
      <c r="S3429" s="1"/>
      <c r="T3429" s="1"/>
      <c r="U3429" s="1"/>
      <c r="V3429" s="1"/>
      <c r="W3429" s="1"/>
      <c r="X3429" s="1"/>
    </row>
    <row x14ac:dyDescent="0.25" r="3430" customHeight="1" ht="18.75">
      <c r="A3430" s="1"/>
      <c r="B3430" s="1"/>
      <c r="C3430" s="3" t="s">
        <v>3434</v>
      </c>
      <c r="D3430" s="3" t="s">
        <v>3459</v>
      </c>
      <c r="E3430" s="1"/>
      <c r="F3430" s="1"/>
      <c r="G3430" s="1"/>
      <c r="H3430" s="1"/>
      <c r="I3430" s="2"/>
      <c r="J3430" s="1"/>
      <c r="K3430" s="1"/>
      <c r="L3430" s="1"/>
      <c r="M3430" s="1"/>
      <c r="N3430" s="1"/>
      <c r="O3430" s="1"/>
      <c r="P3430" s="1"/>
      <c r="Q3430" s="1"/>
      <c r="R3430" s="1"/>
      <c r="S3430" s="1"/>
      <c r="T3430" s="1"/>
      <c r="U3430" s="1"/>
      <c r="V3430" s="1"/>
      <c r="W3430" s="1"/>
      <c r="X3430" s="1"/>
    </row>
    <row x14ac:dyDescent="0.25" r="3431" customHeight="1" ht="18.75">
      <c r="A3431" s="1"/>
      <c r="B3431" s="1"/>
      <c r="C3431" s="3" t="s">
        <v>3434</v>
      </c>
      <c r="D3431" s="3" t="s">
        <v>3460</v>
      </c>
      <c r="E3431" s="1"/>
      <c r="F3431" s="1"/>
      <c r="G3431" s="1"/>
      <c r="H3431" s="1"/>
      <c r="I3431" s="2"/>
      <c r="J3431" s="1"/>
      <c r="K3431" s="1"/>
      <c r="L3431" s="1"/>
      <c r="M3431" s="1"/>
      <c r="N3431" s="1"/>
      <c r="O3431" s="1"/>
      <c r="P3431" s="1"/>
      <c r="Q3431" s="1"/>
      <c r="R3431" s="1"/>
      <c r="S3431" s="1"/>
      <c r="T3431" s="1"/>
      <c r="U3431" s="1"/>
      <c r="V3431" s="1"/>
      <c r="W3431" s="1"/>
      <c r="X3431" s="1"/>
    </row>
    <row x14ac:dyDescent="0.25" r="3432" customHeight="1" ht="18.75">
      <c r="A3432" s="1"/>
      <c r="B3432" s="1"/>
      <c r="C3432" s="3" t="s">
        <v>97</v>
      </c>
      <c r="D3432" s="3" t="s">
        <v>3461</v>
      </c>
      <c r="E3432" s="1"/>
      <c r="F3432" s="1"/>
      <c r="G3432" s="1"/>
      <c r="H3432" s="1"/>
      <c r="I3432" s="2"/>
      <c r="J3432" s="1"/>
      <c r="K3432" s="1"/>
      <c r="L3432" s="1"/>
      <c r="M3432" s="1"/>
      <c r="N3432" s="1"/>
      <c r="O3432" s="1"/>
      <c r="P3432" s="1"/>
      <c r="Q3432" s="1"/>
      <c r="R3432" s="1"/>
      <c r="S3432" s="1"/>
      <c r="T3432" s="1"/>
      <c r="U3432" s="1"/>
      <c r="V3432" s="1"/>
      <c r="W3432" s="1"/>
      <c r="X3432" s="1"/>
    </row>
    <row x14ac:dyDescent="0.25" r="3433" customHeight="1" ht="18.75">
      <c r="A3433" s="1"/>
      <c r="B3433" s="1"/>
      <c r="C3433" s="3" t="s">
        <v>97</v>
      </c>
      <c r="D3433" s="3" t="s">
        <v>3462</v>
      </c>
      <c r="E3433" s="1"/>
      <c r="F3433" s="1"/>
      <c r="G3433" s="1"/>
      <c r="H3433" s="1"/>
      <c r="I3433" s="2"/>
      <c r="J3433" s="1"/>
      <c r="K3433" s="1"/>
      <c r="L3433" s="1"/>
      <c r="M3433" s="1"/>
      <c r="N3433" s="1"/>
      <c r="O3433" s="1"/>
      <c r="P3433" s="1"/>
      <c r="Q3433" s="1"/>
      <c r="R3433" s="1"/>
      <c r="S3433" s="1"/>
      <c r="T3433" s="1"/>
      <c r="U3433" s="1"/>
      <c r="V3433" s="1"/>
      <c r="W3433" s="1"/>
      <c r="X3433" s="1"/>
    </row>
    <row x14ac:dyDescent="0.25" r="3434" customHeight="1" ht="18.75">
      <c r="A3434" s="1"/>
      <c r="B3434" s="1"/>
      <c r="C3434" s="3" t="s">
        <v>97</v>
      </c>
      <c r="D3434" s="3" t="s">
        <v>3463</v>
      </c>
      <c r="E3434" s="1"/>
      <c r="F3434" s="1"/>
      <c r="G3434" s="1"/>
      <c r="H3434" s="1"/>
      <c r="I3434" s="2"/>
      <c r="J3434" s="1"/>
      <c r="K3434" s="1"/>
      <c r="L3434" s="1"/>
      <c r="M3434" s="1"/>
      <c r="N3434" s="1"/>
      <c r="O3434" s="1"/>
      <c r="P3434" s="1"/>
      <c r="Q3434" s="1"/>
      <c r="R3434" s="1"/>
      <c r="S3434" s="1"/>
      <c r="T3434" s="1"/>
      <c r="U3434" s="1"/>
      <c r="V3434" s="1"/>
      <c r="W3434" s="1"/>
      <c r="X3434" s="1"/>
    </row>
    <row x14ac:dyDescent="0.25" r="3435" customHeight="1" ht="18.75">
      <c r="A3435" s="1"/>
      <c r="B3435" s="1"/>
      <c r="C3435" s="3" t="s">
        <v>97</v>
      </c>
      <c r="D3435" s="3" t="s">
        <v>3464</v>
      </c>
      <c r="E3435" s="1"/>
      <c r="F3435" s="1"/>
      <c r="G3435" s="1"/>
      <c r="H3435" s="1"/>
      <c r="I3435" s="2"/>
      <c r="J3435" s="1"/>
      <c r="K3435" s="1"/>
      <c r="L3435" s="1"/>
      <c r="M3435" s="1"/>
      <c r="N3435" s="1"/>
      <c r="O3435" s="1"/>
      <c r="P3435" s="1"/>
      <c r="Q3435" s="1"/>
      <c r="R3435" s="1"/>
      <c r="S3435" s="1"/>
      <c r="T3435" s="1"/>
      <c r="U3435" s="1"/>
      <c r="V3435" s="1"/>
      <c r="W3435" s="1"/>
      <c r="X3435" s="1"/>
    </row>
    <row x14ac:dyDescent="0.25" r="3436" customHeight="1" ht="18.75">
      <c r="A3436" s="1"/>
      <c r="B3436" s="1"/>
      <c r="C3436" s="3" t="s">
        <v>97</v>
      </c>
      <c r="D3436" s="3" t="s">
        <v>3465</v>
      </c>
      <c r="E3436" s="1"/>
      <c r="F3436" s="1"/>
      <c r="G3436" s="1"/>
      <c r="H3436" s="1"/>
      <c r="I3436" s="2"/>
      <c r="J3436" s="1"/>
      <c r="K3436" s="1"/>
      <c r="L3436" s="1"/>
      <c r="M3436" s="1"/>
      <c r="N3436" s="1"/>
      <c r="O3436" s="1"/>
      <c r="P3436" s="1"/>
      <c r="Q3436" s="1"/>
      <c r="R3436" s="1"/>
      <c r="S3436" s="1"/>
      <c r="T3436" s="1"/>
      <c r="U3436" s="1"/>
      <c r="V3436" s="1"/>
      <c r="W3436" s="1"/>
      <c r="X3436" s="1"/>
    </row>
    <row x14ac:dyDescent="0.25" r="3437" customHeight="1" ht="18.75">
      <c r="A3437" s="1"/>
      <c r="B3437" s="1"/>
      <c r="C3437" s="3" t="s">
        <v>97</v>
      </c>
      <c r="D3437" s="3" t="s">
        <v>3466</v>
      </c>
      <c r="E3437" s="1"/>
      <c r="F3437" s="1"/>
      <c r="G3437" s="1"/>
      <c r="H3437" s="1"/>
      <c r="I3437" s="2"/>
      <c r="J3437" s="1"/>
      <c r="K3437" s="1"/>
      <c r="L3437" s="1"/>
      <c r="M3437" s="1"/>
      <c r="N3437" s="1"/>
      <c r="O3437" s="1"/>
      <c r="P3437" s="1"/>
      <c r="Q3437" s="1"/>
      <c r="R3437" s="1"/>
      <c r="S3437" s="1"/>
      <c r="T3437" s="1"/>
      <c r="U3437" s="1"/>
      <c r="V3437" s="1"/>
      <c r="W3437" s="1"/>
      <c r="X3437" s="1"/>
    </row>
    <row x14ac:dyDescent="0.25" r="3438" customHeight="1" ht="18.75">
      <c r="A3438" s="1"/>
      <c r="B3438" s="1"/>
      <c r="C3438" s="3" t="s">
        <v>97</v>
      </c>
      <c r="D3438" s="3" t="s">
        <v>3467</v>
      </c>
      <c r="E3438" s="1"/>
      <c r="F3438" s="1"/>
      <c r="G3438" s="1"/>
      <c r="H3438" s="1"/>
      <c r="I3438" s="2"/>
      <c r="J3438" s="1"/>
      <c r="K3438" s="1"/>
      <c r="L3438" s="1"/>
      <c r="M3438" s="1"/>
      <c r="N3438" s="1"/>
      <c r="O3438" s="1"/>
      <c r="P3438" s="1"/>
      <c r="Q3438" s="1"/>
      <c r="R3438" s="1"/>
      <c r="S3438" s="1"/>
      <c r="T3438" s="1"/>
      <c r="U3438" s="1"/>
      <c r="V3438" s="1"/>
      <c r="W3438" s="1"/>
      <c r="X3438" s="1"/>
    </row>
    <row x14ac:dyDescent="0.25" r="3439" customHeight="1" ht="18.75">
      <c r="A3439" s="1"/>
      <c r="B3439" s="1"/>
      <c r="C3439" s="3" t="s">
        <v>97</v>
      </c>
      <c r="D3439" s="3" t="s">
        <v>3468</v>
      </c>
      <c r="E3439" s="1"/>
      <c r="F3439" s="1"/>
      <c r="G3439" s="1"/>
      <c r="H3439" s="1"/>
      <c r="I3439" s="2"/>
      <c r="J3439" s="1"/>
      <c r="K3439" s="1"/>
      <c r="L3439" s="1"/>
      <c r="M3439" s="1"/>
      <c r="N3439" s="1"/>
      <c r="O3439" s="1"/>
      <c r="P3439" s="1"/>
      <c r="Q3439" s="1"/>
      <c r="R3439" s="1"/>
      <c r="S3439" s="1"/>
      <c r="T3439" s="1"/>
      <c r="U3439" s="1"/>
      <c r="V3439" s="1"/>
      <c r="W3439" s="1"/>
      <c r="X3439" s="1"/>
    </row>
    <row x14ac:dyDescent="0.25" r="3440" customHeight="1" ht="18.75">
      <c r="A3440" s="1"/>
      <c r="B3440" s="1"/>
      <c r="C3440" s="3" t="s">
        <v>97</v>
      </c>
      <c r="D3440" s="3" t="s">
        <v>3469</v>
      </c>
      <c r="E3440" s="1"/>
      <c r="F3440" s="1"/>
      <c r="G3440" s="1"/>
      <c r="H3440" s="1"/>
      <c r="I3440" s="2"/>
      <c r="J3440" s="1"/>
      <c r="K3440" s="1"/>
      <c r="L3440" s="1"/>
      <c r="M3440" s="1"/>
      <c r="N3440" s="1"/>
      <c r="O3440" s="1"/>
      <c r="P3440" s="1"/>
      <c r="Q3440" s="1"/>
      <c r="R3440" s="1"/>
      <c r="S3440" s="1"/>
      <c r="T3440" s="1"/>
      <c r="U3440" s="1"/>
      <c r="V3440" s="1"/>
      <c r="W3440" s="1"/>
      <c r="X3440" s="1"/>
    </row>
    <row x14ac:dyDescent="0.25" r="3441" customHeight="1" ht="18.75">
      <c r="A3441" s="1"/>
      <c r="B3441" s="1"/>
      <c r="C3441" s="3" t="s">
        <v>914</v>
      </c>
      <c r="D3441" s="3" t="s">
        <v>3470</v>
      </c>
      <c r="E3441" s="1"/>
      <c r="F3441" s="1"/>
      <c r="G3441" s="1"/>
      <c r="H3441" s="1"/>
      <c r="I3441" s="2"/>
      <c r="J3441" s="1"/>
      <c r="K3441" s="1"/>
      <c r="L3441" s="1"/>
      <c r="M3441" s="1"/>
      <c r="N3441" s="1"/>
      <c r="O3441" s="1"/>
      <c r="P3441" s="1"/>
      <c r="Q3441" s="1"/>
      <c r="R3441" s="1"/>
      <c r="S3441" s="1"/>
      <c r="T3441" s="1"/>
      <c r="U3441" s="1"/>
      <c r="V3441" s="1"/>
      <c r="W3441" s="1"/>
      <c r="X3441" s="1"/>
    </row>
    <row x14ac:dyDescent="0.25" r="3442" customHeight="1" ht="18.75">
      <c r="A3442" s="1"/>
      <c r="B3442" s="1"/>
      <c r="C3442" s="3" t="s">
        <v>97</v>
      </c>
      <c r="D3442" s="3" t="s">
        <v>3471</v>
      </c>
      <c r="E3442" s="1"/>
      <c r="F3442" s="1"/>
      <c r="G3442" s="1"/>
      <c r="H3442" s="1"/>
      <c r="I3442" s="2"/>
      <c r="J3442" s="1"/>
      <c r="K3442" s="1"/>
      <c r="L3442" s="1"/>
      <c r="M3442" s="1"/>
      <c r="N3442" s="1"/>
      <c r="O3442" s="1"/>
      <c r="P3442" s="1"/>
      <c r="Q3442" s="1"/>
      <c r="R3442" s="1"/>
      <c r="S3442" s="1"/>
      <c r="T3442" s="1"/>
      <c r="U3442" s="1"/>
      <c r="V3442" s="1"/>
      <c r="W3442" s="1"/>
      <c r="X3442" s="1"/>
    </row>
    <row x14ac:dyDescent="0.25" r="3443" customHeight="1" ht="18.75">
      <c r="A3443" s="1"/>
      <c r="B3443" s="1"/>
      <c r="C3443" s="3" t="s">
        <v>3434</v>
      </c>
      <c r="D3443" s="3" t="s">
        <v>3472</v>
      </c>
      <c r="E3443" s="1"/>
      <c r="F3443" s="1"/>
      <c r="G3443" s="1"/>
      <c r="H3443" s="1"/>
      <c r="I3443" s="2"/>
      <c r="J3443" s="1"/>
      <c r="K3443" s="1"/>
      <c r="L3443" s="1"/>
      <c r="M3443" s="1"/>
      <c r="N3443" s="1"/>
      <c r="O3443" s="1"/>
      <c r="P3443" s="1"/>
      <c r="Q3443" s="1"/>
      <c r="R3443" s="1"/>
      <c r="S3443" s="1"/>
      <c r="T3443" s="1"/>
      <c r="U3443" s="1"/>
      <c r="V3443" s="1"/>
      <c r="W3443" s="1"/>
      <c r="X3443" s="1"/>
    </row>
    <row x14ac:dyDescent="0.25" r="3444" customHeight="1" ht="18.75">
      <c r="A3444" s="1"/>
      <c r="B3444" s="1"/>
      <c r="C3444" s="3" t="s">
        <v>97</v>
      </c>
      <c r="D3444" s="3" t="s">
        <v>3473</v>
      </c>
      <c r="E3444" s="1"/>
      <c r="F3444" s="1"/>
      <c r="G3444" s="1"/>
      <c r="H3444" s="1"/>
      <c r="I3444" s="2"/>
      <c r="J3444" s="1"/>
      <c r="K3444" s="1"/>
      <c r="L3444" s="1"/>
      <c r="M3444" s="1"/>
      <c r="N3444" s="1"/>
      <c r="O3444" s="1"/>
      <c r="P3444" s="1"/>
      <c r="Q3444" s="1"/>
      <c r="R3444" s="1"/>
      <c r="S3444" s="1"/>
      <c r="T3444" s="1"/>
      <c r="U3444" s="1"/>
      <c r="V3444" s="1"/>
      <c r="W3444" s="1"/>
      <c r="X3444" s="1"/>
    </row>
    <row x14ac:dyDescent="0.25" r="3445" customHeight="1" ht="18.75">
      <c r="A3445" s="1"/>
      <c r="B3445" s="1"/>
      <c r="C3445" s="3" t="s">
        <v>3434</v>
      </c>
      <c r="D3445" s="3" t="s">
        <v>3474</v>
      </c>
      <c r="E3445" s="1"/>
      <c r="F3445" s="1"/>
      <c r="G3445" s="1"/>
      <c r="H3445" s="1"/>
      <c r="I3445" s="2"/>
      <c r="J3445" s="1"/>
      <c r="K3445" s="1"/>
      <c r="L3445" s="1"/>
      <c r="M3445" s="1"/>
      <c r="N3445" s="1"/>
      <c r="O3445" s="1"/>
      <c r="P3445" s="1"/>
      <c r="Q3445" s="1"/>
      <c r="R3445" s="1"/>
      <c r="S3445" s="1"/>
      <c r="T3445" s="1"/>
      <c r="U3445" s="1"/>
      <c r="V3445" s="1"/>
      <c r="W3445" s="1"/>
      <c r="X3445" s="1"/>
    </row>
    <row x14ac:dyDescent="0.25" r="3446" customHeight="1" ht="18.75">
      <c r="A3446" s="1"/>
      <c r="B3446" s="1"/>
      <c r="C3446" s="3" t="s">
        <v>97</v>
      </c>
      <c r="D3446" s="3" t="s">
        <v>3475</v>
      </c>
      <c r="E3446" s="1"/>
      <c r="F3446" s="1"/>
      <c r="G3446" s="1"/>
      <c r="H3446" s="1"/>
      <c r="I3446" s="2"/>
      <c r="J3446" s="1"/>
      <c r="K3446" s="1"/>
      <c r="L3446" s="1"/>
      <c r="M3446" s="1"/>
      <c r="N3446" s="1"/>
      <c r="O3446" s="1"/>
      <c r="P3446" s="1"/>
      <c r="Q3446" s="1"/>
      <c r="R3446" s="1"/>
      <c r="S3446" s="1"/>
      <c r="T3446" s="1"/>
      <c r="U3446" s="1"/>
      <c r="V3446" s="1"/>
      <c r="W3446" s="1"/>
      <c r="X3446" s="1"/>
    </row>
    <row x14ac:dyDescent="0.25" r="3447" customHeight="1" ht="18.75">
      <c r="A3447" s="1"/>
      <c r="B3447" s="1"/>
      <c r="C3447" s="3" t="s">
        <v>3434</v>
      </c>
      <c r="D3447" s="3" t="s">
        <v>3476</v>
      </c>
      <c r="E3447" s="1"/>
      <c r="F3447" s="1"/>
      <c r="G3447" s="1"/>
      <c r="H3447" s="1"/>
      <c r="I3447" s="2"/>
      <c r="J3447" s="1"/>
      <c r="K3447" s="1"/>
      <c r="L3447" s="1"/>
      <c r="M3447" s="1"/>
      <c r="N3447" s="1"/>
      <c r="O3447" s="1"/>
      <c r="P3447" s="1"/>
      <c r="Q3447" s="1"/>
      <c r="R3447" s="1"/>
      <c r="S3447" s="1"/>
      <c r="T3447" s="1"/>
      <c r="U3447" s="1"/>
      <c r="V3447" s="1"/>
      <c r="W3447" s="1"/>
      <c r="X3447" s="1"/>
    </row>
    <row x14ac:dyDescent="0.25" r="3448" customHeight="1" ht="18.75">
      <c r="A3448" s="1"/>
      <c r="B3448" s="1"/>
      <c r="C3448" s="3" t="s">
        <v>97</v>
      </c>
      <c r="D3448" s="3" t="s">
        <v>3477</v>
      </c>
      <c r="E3448" s="1"/>
      <c r="F3448" s="1"/>
      <c r="G3448" s="1"/>
      <c r="H3448" s="1"/>
      <c r="I3448" s="2"/>
      <c r="J3448" s="1"/>
      <c r="K3448" s="1"/>
      <c r="L3448" s="1"/>
      <c r="M3448" s="1"/>
      <c r="N3448" s="1"/>
      <c r="O3448" s="1"/>
      <c r="P3448" s="1"/>
      <c r="Q3448" s="1"/>
      <c r="R3448" s="1"/>
      <c r="S3448" s="1"/>
      <c r="T3448" s="1"/>
      <c r="U3448" s="1"/>
      <c r="V3448" s="1"/>
      <c r="W3448" s="1"/>
      <c r="X3448" s="1"/>
    </row>
    <row x14ac:dyDescent="0.25" r="3449" customHeight="1" ht="18.75">
      <c r="A3449" s="1"/>
      <c r="B3449" s="1"/>
      <c r="C3449" s="3" t="s">
        <v>97</v>
      </c>
      <c r="D3449" s="3" t="s">
        <v>3478</v>
      </c>
      <c r="E3449" s="1"/>
      <c r="F3449" s="1"/>
      <c r="G3449" s="1"/>
      <c r="H3449" s="1"/>
      <c r="I3449" s="2"/>
      <c r="J3449" s="1"/>
      <c r="K3449" s="1"/>
      <c r="L3449" s="1"/>
      <c r="M3449" s="1"/>
      <c r="N3449" s="1"/>
      <c r="O3449" s="1"/>
      <c r="P3449" s="1"/>
      <c r="Q3449" s="1"/>
      <c r="R3449" s="1"/>
      <c r="S3449" s="1"/>
      <c r="T3449" s="1"/>
      <c r="U3449" s="1"/>
      <c r="V3449" s="1"/>
      <c r="W3449" s="1"/>
      <c r="X3449" s="1"/>
    </row>
    <row x14ac:dyDescent="0.25" r="3450" customHeight="1" ht="18.75">
      <c r="A3450" s="1"/>
      <c r="B3450" s="1"/>
      <c r="C3450" s="3" t="s">
        <v>97</v>
      </c>
      <c r="D3450" s="3" t="s">
        <v>3479</v>
      </c>
      <c r="E3450" s="1"/>
      <c r="F3450" s="1"/>
      <c r="G3450" s="1"/>
      <c r="H3450" s="1"/>
      <c r="I3450" s="2"/>
      <c r="J3450" s="1"/>
      <c r="K3450" s="1"/>
      <c r="L3450" s="1"/>
      <c r="M3450" s="1"/>
      <c r="N3450" s="1"/>
      <c r="O3450" s="1"/>
      <c r="P3450" s="1"/>
      <c r="Q3450" s="1"/>
      <c r="R3450" s="1"/>
      <c r="S3450" s="1"/>
      <c r="T3450" s="1"/>
      <c r="U3450" s="1"/>
      <c r="V3450" s="1"/>
      <c r="W3450" s="1"/>
      <c r="X3450" s="1"/>
    </row>
    <row x14ac:dyDescent="0.25" r="3451" customHeight="1" ht="18.75">
      <c r="A3451" s="1"/>
      <c r="B3451" s="1"/>
      <c r="C3451" s="3" t="s">
        <v>3434</v>
      </c>
      <c r="D3451" s="3" t="s">
        <v>3480</v>
      </c>
      <c r="E3451" s="1"/>
      <c r="F3451" s="1"/>
      <c r="G3451" s="1"/>
      <c r="H3451" s="1"/>
      <c r="I3451" s="2"/>
      <c r="J3451" s="1"/>
      <c r="K3451" s="1"/>
      <c r="L3451" s="1"/>
      <c r="M3451" s="1"/>
      <c r="N3451" s="1"/>
      <c r="O3451" s="1"/>
      <c r="P3451" s="1"/>
      <c r="Q3451" s="1"/>
      <c r="R3451" s="1"/>
      <c r="S3451" s="1"/>
      <c r="T3451" s="1"/>
      <c r="U3451" s="1"/>
      <c r="V3451" s="1"/>
      <c r="W3451" s="1"/>
      <c r="X3451" s="1"/>
    </row>
    <row x14ac:dyDescent="0.25" r="3452" customHeight="1" ht="18.75">
      <c r="A3452" s="1"/>
      <c r="B3452" s="1"/>
      <c r="C3452" s="3" t="s">
        <v>97</v>
      </c>
      <c r="D3452" s="3" t="s">
        <v>3481</v>
      </c>
      <c r="E3452" s="1"/>
      <c r="F3452" s="1"/>
      <c r="G3452" s="1"/>
      <c r="H3452" s="1"/>
      <c r="I3452" s="2"/>
      <c r="J3452" s="1"/>
      <c r="K3452" s="1"/>
      <c r="L3452" s="1"/>
      <c r="M3452" s="1"/>
      <c r="N3452" s="1"/>
      <c r="O3452" s="1"/>
      <c r="P3452" s="1"/>
      <c r="Q3452" s="1"/>
      <c r="R3452" s="1"/>
      <c r="S3452" s="1"/>
      <c r="T3452" s="1"/>
      <c r="U3452" s="1"/>
      <c r="V3452" s="1"/>
      <c r="W3452" s="1"/>
      <c r="X3452" s="1"/>
    </row>
    <row x14ac:dyDescent="0.25" r="3453" customHeight="1" ht="18.75">
      <c r="A3453" s="1"/>
      <c r="B3453" s="1"/>
      <c r="C3453" s="3" t="s">
        <v>3434</v>
      </c>
      <c r="D3453" s="3" t="s">
        <v>3482</v>
      </c>
      <c r="E3453" s="1"/>
      <c r="F3453" s="1"/>
      <c r="G3453" s="1"/>
      <c r="H3453" s="1"/>
      <c r="I3453" s="2"/>
      <c r="J3453" s="1"/>
      <c r="K3453" s="1"/>
      <c r="L3453" s="1"/>
      <c r="M3453" s="1"/>
      <c r="N3453" s="1"/>
      <c r="O3453" s="1"/>
      <c r="P3453" s="1"/>
      <c r="Q3453" s="1"/>
      <c r="R3453" s="1"/>
      <c r="S3453" s="1"/>
      <c r="T3453" s="1"/>
      <c r="U3453" s="1"/>
      <c r="V3453" s="1"/>
      <c r="W3453" s="1"/>
      <c r="X3453" s="1"/>
    </row>
    <row x14ac:dyDescent="0.25" r="3454" customHeight="1" ht="18.75">
      <c r="A3454" s="1"/>
      <c r="B3454" s="1"/>
      <c r="C3454" s="3" t="s">
        <v>3483</v>
      </c>
      <c r="D3454" s="3" t="s">
        <v>298</v>
      </c>
      <c r="E3454" s="1"/>
      <c r="F3454" s="1"/>
      <c r="G3454" s="1"/>
      <c r="H3454" s="1"/>
      <c r="I3454" s="2"/>
      <c r="J3454" s="1"/>
      <c r="K3454" s="1"/>
      <c r="L3454" s="1"/>
      <c r="M3454" s="1"/>
      <c r="N3454" s="1"/>
      <c r="O3454" s="1"/>
      <c r="P3454" s="1"/>
      <c r="Q3454" s="1"/>
      <c r="R3454" s="1"/>
      <c r="S3454" s="1"/>
      <c r="T3454" s="1"/>
      <c r="U3454" s="1"/>
      <c r="V3454" s="1"/>
      <c r="W3454" s="1"/>
      <c r="X3454" s="1"/>
    </row>
    <row x14ac:dyDescent="0.25" r="3455" customHeight="1" ht="18.75">
      <c r="A3455" s="1"/>
      <c r="B3455" s="1"/>
      <c r="C3455" s="3" t="s">
        <v>3484</v>
      </c>
      <c r="D3455" s="3" t="s">
        <v>3485</v>
      </c>
      <c r="E3455" s="1"/>
      <c r="F3455" s="1"/>
      <c r="G3455" s="1"/>
      <c r="H3455" s="1"/>
      <c r="I3455" s="2"/>
      <c r="J3455" s="1"/>
      <c r="K3455" s="1"/>
      <c r="L3455" s="1"/>
      <c r="M3455" s="1"/>
      <c r="N3455" s="1"/>
      <c r="O3455" s="1"/>
      <c r="P3455" s="1"/>
      <c r="Q3455" s="1"/>
      <c r="R3455" s="1"/>
      <c r="S3455" s="1"/>
      <c r="T3455" s="1"/>
      <c r="U3455" s="1"/>
      <c r="V3455" s="1"/>
      <c r="W3455" s="1"/>
      <c r="X3455" s="1"/>
    </row>
    <row x14ac:dyDescent="0.25" r="3456" customHeight="1" ht="18.75">
      <c r="A3456" s="1"/>
      <c r="B3456" s="1"/>
      <c r="C3456" s="3" t="s">
        <v>3484</v>
      </c>
      <c r="D3456" s="3" t="s">
        <v>3486</v>
      </c>
      <c r="E3456" s="1"/>
      <c r="F3456" s="1"/>
      <c r="G3456" s="1"/>
      <c r="H3456" s="1"/>
      <c r="I3456" s="2"/>
      <c r="J3456" s="1"/>
      <c r="K3456" s="1"/>
      <c r="L3456" s="1"/>
      <c r="M3456" s="1"/>
      <c r="N3456" s="1"/>
      <c r="O3456" s="1"/>
      <c r="P3456" s="1"/>
      <c r="Q3456" s="1"/>
      <c r="R3456" s="1"/>
      <c r="S3456" s="1"/>
      <c r="T3456" s="1"/>
      <c r="U3456" s="1"/>
      <c r="V3456" s="1"/>
      <c r="W3456" s="1"/>
      <c r="X3456" s="1"/>
    </row>
    <row x14ac:dyDescent="0.25" r="3457" customHeight="1" ht="18.75">
      <c r="A3457" s="1"/>
      <c r="B3457" s="1"/>
      <c r="C3457" s="3" t="s">
        <v>3484</v>
      </c>
      <c r="D3457" s="3" t="s">
        <v>3487</v>
      </c>
      <c r="E3457" s="1"/>
      <c r="F3457" s="1"/>
      <c r="G3457" s="1"/>
      <c r="H3457" s="1"/>
      <c r="I3457" s="2"/>
      <c r="J3457" s="1"/>
      <c r="K3457" s="1"/>
      <c r="L3457" s="1"/>
      <c r="M3457" s="1"/>
      <c r="N3457" s="1"/>
      <c r="O3457" s="1"/>
      <c r="P3457" s="1"/>
      <c r="Q3457" s="1"/>
      <c r="R3457" s="1"/>
      <c r="S3457" s="1"/>
      <c r="T3457" s="1"/>
      <c r="U3457" s="1"/>
      <c r="V3457" s="1"/>
      <c r="W3457" s="1"/>
      <c r="X3457" s="1"/>
    </row>
    <row x14ac:dyDescent="0.25" r="3458" customHeight="1" ht="18.75">
      <c r="A3458" s="1"/>
      <c r="B3458" s="1"/>
      <c r="C3458" s="3" t="s">
        <v>3484</v>
      </c>
      <c r="D3458" s="3" t="s">
        <v>3488</v>
      </c>
      <c r="E3458" s="1"/>
      <c r="F3458" s="1"/>
      <c r="G3458" s="1"/>
      <c r="H3458" s="1"/>
      <c r="I3458" s="2"/>
      <c r="J3458" s="1"/>
      <c r="K3458" s="1"/>
      <c r="L3458" s="1"/>
      <c r="M3458" s="1"/>
      <c r="N3458" s="1"/>
      <c r="O3458" s="1"/>
      <c r="P3458" s="1"/>
      <c r="Q3458" s="1"/>
      <c r="R3458" s="1"/>
      <c r="S3458" s="1"/>
      <c r="T3458" s="1"/>
      <c r="U3458" s="1"/>
      <c r="V3458" s="1"/>
      <c r="W3458" s="1"/>
      <c r="X3458" s="1"/>
    </row>
    <row x14ac:dyDescent="0.25" r="3459" customHeight="1" ht="18.75">
      <c r="A3459" s="1"/>
      <c r="B3459" s="1"/>
      <c r="C3459" s="3" t="s">
        <v>912</v>
      </c>
      <c r="D3459" s="3" t="s">
        <v>3489</v>
      </c>
      <c r="E3459" s="1"/>
      <c r="F3459" s="1"/>
      <c r="G3459" s="1"/>
      <c r="H3459" s="1"/>
      <c r="I3459" s="2"/>
      <c r="J3459" s="1"/>
      <c r="K3459" s="1"/>
      <c r="L3459" s="1"/>
      <c r="M3459" s="1"/>
      <c r="N3459" s="1"/>
      <c r="O3459" s="1"/>
      <c r="P3459" s="1"/>
      <c r="Q3459" s="1"/>
      <c r="R3459" s="1"/>
      <c r="S3459" s="1"/>
      <c r="T3459" s="1"/>
      <c r="U3459" s="1"/>
      <c r="V3459" s="1"/>
      <c r="W3459" s="1"/>
      <c r="X3459" s="1"/>
    </row>
    <row x14ac:dyDescent="0.25" r="3460" customHeight="1" ht="18.75">
      <c r="A3460" s="1"/>
      <c r="B3460" s="1"/>
      <c r="C3460" s="3" t="s">
        <v>912</v>
      </c>
      <c r="D3460" s="3" t="s">
        <v>3490</v>
      </c>
      <c r="E3460" s="1"/>
      <c r="F3460" s="1"/>
      <c r="G3460" s="1"/>
      <c r="H3460" s="1"/>
      <c r="I3460" s="2"/>
      <c r="J3460" s="1"/>
      <c r="K3460" s="1"/>
      <c r="L3460" s="1"/>
      <c r="M3460" s="1"/>
      <c r="N3460" s="1"/>
      <c r="O3460" s="1"/>
      <c r="P3460" s="1"/>
      <c r="Q3460" s="1"/>
      <c r="R3460" s="1"/>
      <c r="S3460" s="1"/>
      <c r="T3460" s="1"/>
      <c r="U3460" s="1"/>
      <c r="V3460" s="1"/>
      <c r="W3460" s="1"/>
      <c r="X3460" s="1"/>
    </row>
    <row x14ac:dyDescent="0.25" r="3461" customHeight="1" ht="18.75">
      <c r="A3461" s="1"/>
      <c r="B3461" s="1"/>
      <c r="C3461" s="3" t="s">
        <v>3491</v>
      </c>
      <c r="D3461" s="3" t="s">
        <v>3492</v>
      </c>
      <c r="E3461" s="1"/>
      <c r="F3461" s="1"/>
      <c r="G3461" s="1"/>
      <c r="H3461" s="1"/>
      <c r="I3461" s="2"/>
      <c r="J3461" s="1"/>
      <c r="K3461" s="1"/>
      <c r="L3461" s="1"/>
      <c r="M3461" s="1"/>
      <c r="N3461" s="1"/>
      <c r="O3461" s="1"/>
      <c r="P3461" s="1"/>
      <c r="Q3461" s="1"/>
      <c r="R3461" s="1"/>
      <c r="S3461" s="1"/>
      <c r="T3461" s="1"/>
      <c r="U3461" s="1"/>
      <c r="V3461" s="1"/>
      <c r="W3461" s="1"/>
      <c r="X3461" s="1"/>
    </row>
    <row x14ac:dyDescent="0.25" r="3462" customHeight="1" ht="18.75">
      <c r="A3462" s="1"/>
      <c r="B3462" s="1"/>
      <c r="C3462" s="3" t="s">
        <v>3493</v>
      </c>
      <c r="D3462" s="3" t="s">
        <v>3492</v>
      </c>
      <c r="E3462" s="1"/>
      <c r="F3462" s="1"/>
      <c r="G3462" s="1"/>
      <c r="H3462" s="1"/>
      <c r="I3462" s="2"/>
      <c r="J3462" s="1"/>
      <c r="K3462" s="1"/>
      <c r="L3462" s="1"/>
      <c r="M3462" s="1"/>
      <c r="N3462" s="1"/>
      <c r="O3462" s="1"/>
      <c r="P3462" s="1"/>
      <c r="Q3462" s="1"/>
      <c r="R3462" s="1"/>
      <c r="S3462" s="1"/>
      <c r="T3462" s="1"/>
      <c r="U3462" s="1"/>
      <c r="V3462" s="1"/>
      <c r="W3462" s="1"/>
      <c r="X3462" s="1"/>
    </row>
    <row x14ac:dyDescent="0.25" r="3463" customHeight="1" ht="18.75">
      <c r="A3463" s="1"/>
      <c r="B3463" s="1"/>
      <c r="C3463" s="3" t="s">
        <v>3484</v>
      </c>
      <c r="D3463" s="3" t="s">
        <v>3494</v>
      </c>
      <c r="E3463" s="1"/>
      <c r="F3463" s="1"/>
      <c r="G3463" s="1"/>
      <c r="H3463" s="1"/>
      <c r="I3463" s="2"/>
      <c r="J3463" s="1"/>
      <c r="K3463" s="1"/>
      <c r="L3463" s="1"/>
      <c r="M3463" s="1"/>
      <c r="N3463" s="1"/>
      <c r="O3463" s="1"/>
      <c r="P3463" s="1"/>
      <c r="Q3463" s="1"/>
      <c r="R3463" s="1"/>
      <c r="S3463" s="1"/>
      <c r="T3463" s="1"/>
      <c r="U3463" s="1"/>
      <c r="V3463" s="1"/>
      <c r="W3463" s="1"/>
      <c r="X3463" s="1"/>
    </row>
    <row x14ac:dyDescent="0.25" r="3464" customHeight="1" ht="18.75">
      <c r="A3464" s="1"/>
      <c r="B3464" s="1"/>
      <c r="C3464" s="3" t="s">
        <v>914</v>
      </c>
      <c r="D3464" s="3" t="s">
        <v>3495</v>
      </c>
      <c r="E3464" s="1"/>
      <c r="F3464" s="1"/>
      <c r="G3464" s="1"/>
      <c r="H3464" s="1"/>
      <c r="I3464" s="2"/>
      <c r="J3464" s="1"/>
      <c r="K3464" s="1"/>
      <c r="L3464" s="1"/>
      <c r="M3464" s="1"/>
      <c r="N3464" s="1"/>
      <c r="O3464" s="1"/>
      <c r="P3464" s="1"/>
      <c r="Q3464" s="1"/>
      <c r="R3464" s="1"/>
      <c r="S3464" s="1"/>
      <c r="T3464" s="1"/>
      <c r="U3464" s="1"/>
      <c r="V3464" s="1"/>
      <c r="W3464" s="1"/>
      <c r="X3464" s="1"/>
    </row>
    <row x14ac:dyDescent="0.25" r="3465" customHeight="1" ht="18.75">
      <c r="A3465" s="1"/>
      <c r="B3465" s="1"/>
      <c r="C3465" s="3" t="s">
        <v>3484</v>
      </c>
      <c r="D3465" s="3" t="s">
        <v>3496</v>
      </c>
      <c r="E3465" s="1"/>
      <c r="F3465" s="1"/>
      <c r="G3465" s="1"/>
      <c r="H3465" s="1"/>
      <c r="I3465" s="2"/>
      <c r="J3465" s="1"/>
      <c r="K3465" s="1"/>
      <c r="L3465" s="1"/>
      <c r="M3465" s="1"/>
      <c r="N3465" s="1"/>
      <c r="O3465" s="1"/>
      <c r="P3465" s="1"/>
      <c r="Q3465" s="1"/>
      <c r="R3465" s="1"/>
      <c r="S3465" s="1"/>
      <c r="T3465" s="1"/>
      <c r="U3465" s="1"/>
      <c r="V3465" s="1"/>
      <c r="W3465" s="1"/>
      <c r="X3465" s="1"/>
    </row>
    <row x14ac:dyDescent="0.25" r="3466" customHeight="1" ht="18.75">
      <c r="A3466" s="1"/>
      <c r="B3466" s="1"/>
      <c r="C3466" s="3" t="s">
        <v>121</v>
      </c>
      <c r="D3466" s="3" t="s">
        <v>3497</v>
      </c>
      <c r="E3466" s="1"/>
      <c r="F3466" s="1"/>
      <c r="G3466" s="1"/>
      <c r="H3466" s="1"/>
      <c r="I3466" s="2"/>
      <c r="J3466" s="1"/>
      <c r="K3466" s="1"/>
      <c r="L3466" s="1"/>
      <c r="M3466" s="1"/>
      <c r="N3466" s="1"/>
      <c r="O3466" s="1"/>
      <c r="P3466" s="1"/>
      <c r="Q3466" s="1"/>
      <c r="R3466" s="1"/>
      <c r="S3466" s="1"/>
      <c r="T3466" s="1"/>
      <c r="U3466" s="1"/>
      <c r="V3466" s="1"/>
      <c r="W3466" s="1"/>
      <c r="X3466" s="1"/>
    </row>
    <row x14ac:dyDescent="0.25" r="3467" customHeight="1" ht="18.75">
      <c r="A3467" s="1"/>
      <c r="B3467" s="1"/>
      <c r="C3467" s="3" t="s">
        <v>3498</v>
      </c>
      <c r="D3467" s="3" t="s">
        <v>3492</v>
      </c>
      <c r="E3467" s="1"/>
      <c r="F3467" s="1"/>
      <c r="G3467" s="1"/>
      <c r="H3467" s="1"/>
      <c r="I3467" s="2"/>
      <c r="J3467" s="1"/>
      <c r="K3467" s="1"/>
      <c r="L3467" s="1"/>
      <c r="M3467" s="1"/>
      <c r="N3467" s="1"/>
      <c r="O3467" s="1"/>
      <c r="P3467" s="1"/>
      <c r="Q3467" s="1"/>
      <c r="R3467" s="1"/>
      <c r="S3467" s="1"/>
      <c r="T3467" s="1"/>
      <c r="U3467" s="1"/>
      <c r="V3467" s="1"/>
      <c r="W3467" s="1"/>
      <c r="X3467" s="1"/>
    </row>
    <row x14ac:dyDescent="0.25" r="3468" customHeight="1" ht="18.75">
      <c r="A3468" s="1"/>
      <c r="B3468" s="1"/>
      <c r="C3468" s="3" t="s">
        <v>3499</v>
      </c>
      <c r="D3468" s="3" t="s">
        <v>3492</v>
      </c>
      <c r="E3468" s="1"/>
      <c r="F3468" s="1"/>
      <c r="G3468" s="1"/>
      <c r="H3468" s="1"/>
      <c r="I3468" s="2"/>
      <c r="J3468" s="1"/>
      <c r="K3468" s="1"/>
      <c r="L3468" s="1"/>
      <c r="M3468" s="1"/>
      <c r="N3468" s="1"/>
      <c r="O3468" s="1"/>
      <c r="P3468" s="1"/>
      <c r="Q3468" s="1"/>
      <c r="R3468" s="1"/>
      <c r="S3468" s="1"/>
      <c r="T3468" s="1"/>
      <c r="U3468" s="1"/>
      <c r="V3468" s="1"/>
      <c r="W3468" s="1"/>
      <c r="X3468" s="1"/>
    </row>
    <row x14ac:dyDescent="0.25" r="3469" customHeight="1" ht="18.75">
      <c r="A3469" s="1"/>
      <c r="B3469" s="1"/>
      <c r="C3469" s="3" t="s">
        <v>3500</v>
      </c>
      <c r="D3469" s="3" t="s">
        <v>3492</v>
      </c>
      <c r="E3469" s="1"/>
      <c r="F3469" s="1"/>
      <c r="G3469" s="1"/>
      <c r="H3469" s="1"/>
      <c r="I3469" s="2"/>
      <c r="J3469" s="1"/>
      <c r="K3469" s="1"/>
      <c r="L3469" s="1"/>
      <c r="M3469" s="1"/>
      <c r="N3469" s="1"/>
      <c r="O3469" s="1"/>
      <c r="P3469" s="1"/>
      <c r="Q3469" s="1"/>
      <c r="R3469" s="1"/>
      <c r="S3469" s="1"/>
      <c r="T3469" s="1"/>
      <c r="U3469" s="1"/>
      <c r="V3469" s="1"/>
      <c r="W3469" s="1"/>
      <c r="X3469" s="1"/>
    </row>
    <row x14ac:dyDescent="0.25" r="3470" customHeight="1" ht="18.75">
      <c r="A3470" s="1"/>
      <c r="B3470" s="1"/>
      <c r="C3470" s="3" t="s">
        <v>914</v>
      </c>
      <c r="D3470" s="3" t="s">
        <v>3501</v>
      </c>
      <c r="E3470" s="1"/>
      <c r="F3470" s="1"/>
      <c r="G3470" s="1"/>
      <c r="H3470" s="1"/>
      <c r="I3470" s="2"/>
      <c r="J3470" s="1"/>
      <c r="K3470" s="1"/>
      <c r="L3470" s="1"/>
      <c r="M3470" s="1"/>
      <c r="N3470" s="1"/>
      <c r="O3470" s="1"/>
      <c r="P3470" s="1"/>
      <c r="Q3470" s="1"/>
      <c r="R3470" s="1"/>
      <c r="S3470" s="1"/>
      <c r="T3470" s="1"/>
      <c r="U3470" s="1"/>
      <c r="V3470" s="1"/>
      <c r="W3470" s="1"/>
      <c r="X3470" s="1"/>
    </row>
    <row x14ac:dyDescent="0.25" r="3471" customHeight="1" ht="18.75">
      <c r="A3471" s="1"/>
      <c r="B3471" s="1"/>
      <c r="C3471" s="3" t="s">
        <v>3502</v>
      </c>
      <c r="D3471" s="3" t="s">
        <v>3492</v>
      </c>
      <c r="E3471" s="1"/>
      <c r="F3471" s="1"/>
      <c r="G3471" s="1"/>
      <c r="H3471" s="1"/>
      <c r="I3471" s="2"/>
      <c r="J3471" s="1"/>
      <c r="K3471" s="1"/>
      <c r="L3471" s="1"/>
      <c r="M3471" s="1"/>
      <c r="N3471" s="1"/>
      <c r="O3471" s="1"/>
      <c r="P3471" s="1"/>
      <c r="Q3471" s="1"/>
      <c r="R3471" s="1"/>
      <c r="S3471" s="1"/>
      <c r="T3471" s="1"/>
      <c r="U3471" s="1"/>
      <c r="V3471" s="1"/>
      <c r="W3471" s="1"/>
      <c r="X3471" s="1"/>
    </row>
    <row x14ac:dyDescent="0.25" r="3472" customHeight="1" ht="18.75">
      <c r="A3472" s="1"/>
      <c r="B3472" s="1"/>
      <c r="C3472" s="3" t="s">
        <v>3503</v>
      </c>
      <c r="D3472" s="3" t="s">
        <v>3504</v>
      </c>
      <c r="E3472" s="1"/>
      <c r="F3472" s="1"/>
      <c r="G3472" s="1"/>
      <c r="H3472" s="1"/>
      <c r="I3472" s="2"/>
      <c r="J3472" s="1"/>
      <c r="K3472" s="1"/>
      <c r="L3472" s="1"/>
      <c r="M3472" s="1"/>
      <c r="N3472" s="1"/>
      <c r="O3472" s="1"/>
      <c r="P3472" s="1"/>
      <c r="Q3472" s="1"/>
      <c r="R3472" s="1"/>
      <c r="S3472" s="1"/>
      <c r="T3472" s="1"/>
      <c r="U3472" s="1"/>
      <c r="V3472" s="1"/>
      <c r="W3472" s="1"/>
      <c r="X3472" s="1"/>
    </row>
    <row x14ac:dyDescent="0.25" r="3473" customHeight="1" ht="18.75">
      <c r="A3473" s="1"/>
      <c r="B3473" s="1"/>
      <c r="C3473" s="3" t="s">
        <v>3505</v>
      </c>
      <c r="D3473" s="3" t="s">
        <v>3506</v>
      </c>
      <c r="E3473" s="1"/>
      <c r="F3473" s="1"/>
      <c r="G3473" s="1"/>
      <c r="H3473" s="1"/>
      <c r="I3473" s="2"/>
      <c r="J3473" s="1"/>
      <c r="K3473" s="1"/>
      <c r="L3473" s="1"/>
      <c r="M3473" s="1"/>
      <c r="N3473" s="1"/>
      <c r="O3473" s="1"/>
      <c r="P3473" s="1"/>
      <c r="Q3473" s="1"/>
      <c r="R3473" s="1"/>
      <c r="S3473" s="1"/>
      <c r="T3473" s="1"/>
      <c r="U3473" s="1"/>
      <c r="V3473" s="1"/>
      <c r="W3473" s="1"/>
      <c r="X3473" s="1"/>
    </row>
    <row x14ac:dyDescent="0.25" r="3474" customHeight="1" ht="18.75">
      <c r="A3474" s="1"/>
      <c r="B3474" s="1"/>
      <c r="C3474" s="3" t="s">
        <v>3507</v>
      </c>
      <c r="D3474" s="3" t="s">
        <v>3508</v>
      </c>
      <c r="E3474" s="1"/>
      <c r="F3474" s="1"/>
      <c r="G3474" s="1"/>
      <c r="H3474" s="1"/>
      <c r="I3474" s="2"/>
      <c r="J3474" s="1"/>
      <c r="K3474" s="1"/>
      <c r="L3474" s="1"/>
      <c r="M3474" s="1"/>
      <c r="N3474" s="1"/>
      <c r="O3474" s="1"/>
      <c r="P3474" s="1"/>
      <c r="Q3474" s="1"/>
      <c r="R3474" s="1"/>
      <c r="S3474" s="1"/>
      <c r="T3474" s="1"/>
      <c r="U3474" s="1"/>
      <c r="V3474" s="1"/>
      <c r="W3474" s="1"/>
      <c r="X3474" s="1"/>
    </row>
    <row x14ac:dyDescent="0.25" r="3475" customHeight="1" ht="18.75">
      <c r="A3475" s="1"/>
      <c r="B3475" s="1"/>
      <c r="C3475" s="3" t="s">
        <v>3505</v>
      </c>
      <c r="D3475" s="3" t="s">
        <v>3509</v>
      </c>
      <c r="E3475" s="1"/>
      <c r="F3475" s="1"/>
      <c r="G3475" s="1"/>
      <c r="H3475" s="1"/>
      <c r="I3475" s="2"/>
      <c r="J3475" s="1"/>
      <c r="K3475" s="1"/>
      <c r="L3475" s="1"/>
      <c r="M3475" s="1"/>
      <c r="N3475" s="1"/>
      <c r="O3475" s="1"/>
      <c r="P3475" s="1"/>
      <c r="Q3475" s="1"/>
      <c r="R3475" s="1"/>
      <c r="S3475" s="1"/>
      <c r="T3475" s="1"/>
      <c r="U3475" s="1"/>
      <c r="V3475" s="1"/>
      <c r="W3475" s="1"/>
      <c r="X3475" s="1"/>
    </row>
    <row x14ac:dyDescent="0.25" r="3476" customHeight="1" ht="18.75">
      <c r="A3476" s="1"/>
      <c r="B3476" s="1"/>
      <c r="C3476" s="3" t="s">
        <v>3510</v>
      </c>
      <c r="D3476" s="3" t="s">
        <v>3511</v>
      </c>
      <c r="E3476" s="1"/>
      <c r="F3476" s="1"/>
      <c r="G3476" s="1"/>
      <c r="H3476" s="1"/>
      <c r="I3476" s="2"/>
      <c r="J3476" s="1"/>
      <c r="K3476" s="1"/>
      <c r="L3476" s="1"/>
      <c r="M3476" s="1"/>
      <c r="N3476" s="1"/>
      <c r="O3476" s="1"/>
      <c r="P3476" s="1"/>
      <c r="Q3476" s="1"/>
      <c r="R3476" s="1"/>
      <c r="S3476" s="1"/>
      <c r="T3476" s="1"/>
      <c r="U3476" s="1"/>
      <c r="V3476" s="1"/>
      <c r="W3476" s="1"/>
      <c r="X3476" s="1"/>
    </row>
    <row x14ac:dyDescent="0.25" r="3477" customHeight="1" ht="18.75">
      <c r="A3477" s="1"/>
      <c r="B3477" s="1"/>
      <c r="C3477" s="3" t="s">
        <v>3505</v>
      </c>
      <c r="D3477" s="3" t="s">
        <v>3512</v>
      </c>
      <c r="E3477" s="1"/>
      <c r="F3477" s="1"/>
      <c r="G3477" s="1"/>
      <c r="H3477" s="1"/>
      <c r="I3477" s="2"/>
      <c r="J3477" s="1"/>
      <c r="K3477" s="1"/>
      <c r="L3477" s="1"/>
      <c r="M3477" s="1"/>
      <c r="N3477" s="1"/>
      <c r="O3477" s="1"/>
      <c r="P3477" s="1"/>
      <c r="Q3477" s="1"/>
      <c r="R3477" s="1"/>
      <c r="S3477" s="1"/>
      <c r="T3477" s="1"/>
      <c r="U3477" s="1"/>
      <c r="V3477" s="1"/>
      <c r="W3477" s="1"/>
      <c r="X3477" s="1"/>
    </row>
    <row x14ac:dyDescent="0.25" r="3478" customHeight="1" ht="18.75">
      <c r="A3478" s="1"/>
      <c r="B3478" s="1"/>
      <c r="C3478" s="3" t="s">
        <v>3503</v>
      </c>
      <c r="D3478" s="3" t="s">
        <v>3513</v>
      </c>
      <c r="E3478" s="1"/>
      <c r="F3478" s="1"/>
      <c r="G3478" s="1"/>
      <c r="H3478" s="1"/>
      <c r="I3478" s="2"/>
      <c r="J3478" s="1"/>
      <c r="K3478" s="1"/>
      <c r="L3478" s="1"/>
      <c r="M3478" s="1"/>
      <c r="N3478" s="1"/>
      <c r="O3478" s="1"/>
      <c r="P3478" s="1"/>
      <c r="Q3478" s="1"/>
      <c r="R3478" s="1"/>
      <c r="S3478" s="1"/>
      <c r="T3478" s="1"/>
      <c r="U3478" s="1"/>
      <c r="V3478" s="1"/>
      <c r="W3478" s="1"/>
      <c r="X3478" s="1"/>
    </row>
    <row x14ac:dyDescent="0.25" r="3479" customHeight="1" ht="18.75">
      <c r="A3479" s="1"/>
      <c r="B3479" s="1"/>
      <c r="C3479" s="3" t="s">
        <v>3514</v>
      </c>
      <c r="D3479" s="3" t="s">
        <v>3515</v>
      </c>
      <c r="E3479" s="1"/>
      <c r="F3479" s="1"/>
      <c r="G3479" s="1"/>
      <c r="H3479" s="1"/>
      <c r="I3479" s="2"/>
      <c r="J3479" s="1"/>
      <c r="K3479" s="1"/>
      <c r="L3479" s="1"/>
      <c r="M3479" s="1"/>
      <c r="N3479" s="1"/>
      <c r="O3479" s="1"/>
      <c r="P3479" s="1"/>
      <c r="Q3479" s="1"/>
      <c r="R3479" s="1"/>
      <c r="S3479" s="1"/>
      <c r="T3479" s="1"/>
      <c r="U3479" s="1"/>
      <c r="V3479" s="1"/>
      <c r="W3479" s="1"/>
      <c r="X3479" s="1"/>
    </row>
    <row x14ac:dyDescent="0.25" r="3480" customHeight="1" ht="18.75">
      <c r="A3480" s="1"/>
      <c r="B3480" s="1"/>
      <c r="C3480" s="3" t="s">
        <v>3505</v>
      </c>
      <c r="D3480" s="3" t="s">
        <v>3516</v>
      </c>
      <c r="E3480" s="1"/>
      <c r="F3480" s="1"/>
      <c r="G3480" s="1"/>
      <c r="H3480" s="1"/>
      <c r="I3480" s="2"/>
      <c r="J3480" s="1"/>
      <c r="K3480" s="1"/>
      <c r="L3480" s="1"/>
      <c r="M3480" s="1"/>
      <c r="N3480" s="1"/>
      <c r="O3480" s="1"/>
      <c r="P3480" s="1"/>
      <c r="Q3480" s="1"/>
      <c r="R3480" s="1"/>
      <c r="S3480" s="1"/>
      <c r="T3480" s="1"/>
      <c r="U3480" s="1"/>
      <c r="V3480" s="1"/>
      <c r="W3480" s="1"/>
      <c r="X3480" s="1"/>
    </row>
    <row x14ac:dyDescent="0.25" r="3481" customHeight="1" ht="18.75">
      <c r="A3481" s="1"/>
      <c r="B3481" s="1"/>
      <c r="C3481" s="3" t="s">
        <v>912</v>
      </c>
      <c r="D3481" s="3" t="s">
        <v>3517</v>
      </c>
      <c r="E3481" s="1"/>
      <c r="F3481" s="1"/>
      <c r="G3481" s="1"/>
      <c r="H3481" s="1"/>
      <c r="I3481" s="2"/>
      <c r="J3481" s="1"/>
      <c r="K3481" s="1"/>
      <c r="L3481" s="1"/>
      <c r="M3481" s="1"/>
      <c r="N3481" s="1"/>
      <c r="O3481" s="1"/>
      <c r="P3481" s="1"/>
      <c r="Q3481" s="1"/>
      <c r="R3481" s="1"/>
      <c r="S3481" s="1"/>
      <c r="T3481" s="1"/>
      <c r="U3481" s="1"/>
      <c r="V3481" s="1"/>
      <c r="W3481" s="1"/>
      <c r="X3481" s="1"/>
    </row>
    <row x14ac:dyDescent="0.25" r="3482" customHeight="1" ht="18.75">
      <c r="A3482" s="1"/>
      <c r="B3482" s="1"/>
      <c r="C3482" s="3" t="s">
        <v>3503</v>
      </c>
      <c r="D3482" s="3" t="s">
        <v>3518</v>
      </c>
      <c r="E3482" s="1"/>
      <c r="F3482" s="1"/>
      <c r="G3482" s="1"/>
      <c r="H3482" s="1"/>
      <c r="I3482" s="2"/>
      <c r="J3482" s="1"/>
      <c r="K3482" s="1"/>
      <c r="L3482" s="1"/>
      <c r="M3482" s="1"/>
      <c r="N3482" s="1"/>
      <c r="O3482" s="1"/>
      <c r="P3482" s="1"/>
      <c r="Q3482" s="1"/>
      <c r="R3482" s="1"/>
      <c r="S3482" s="1"/>
      <c r="T3482" s="1"/>
      <c r="U3482" s="1"/>
      <c r="V3482" s="1"/>
      <c r="W3482" s="1"/>
      <c r="X3482" s="1"/>
    </row>
    <row x14ac:dyDescent="0.25" r="3483" customHeight="1" ht="18.75">
      <c r="A3483" s="1"/>
      <c r="B3483" s="1"/>
      <c r="C3483" s="3" t="s">
        <v>3519</v>
      </c>
      <c r="D3483" s="3" t="s">
        <v>3501</v>
      </c>
      <c r="E3483" s="1"/>
      <c r="F3483" s="1"/>
      <c r="G3483" s="1"/>
      <c r="H3483" s="1"/>
      <c r="I3483" s="2"/>
      <c r="J3483" s="1"/>
      <c r="K3483" s="1"/>
      <c r="L3483" s="1"/>
      <c r="M3483" s="1"/>
      <c r="N3483" s="1"/>
      <c r="O3483" s="1"/>
      <c r="P3483" s="1"/>
      <c r="Q3483" s="1"/>
      <c r="R3483" s="1"/>
      <c r="S3483" s="1"/>
      <c r="T3483" s="1"/>
      <c r="U3483" s="1"/>
      <c r="V3483" s="1"/>
      <c r="W3483" s="1"/>
      <c r="X3483" s="1"/>
    </row>
    <row x14ac:dyDescent="0.25" r="3484" customHeight="1" ht="18.75">
      <c r="A3484" s="1"/>
      <c r="B3484" s="1"/>
      <c r="C3484" s="3" t="s">
        <v>3503</v>
      </c>
      <c r="D3484" s="3" t="s">
        <v>3520</v>
      </c>
      <c r="E3484" s="1"/>
      <c r="F3484" s="1"/>
      <c r="G3484" s="1"/>
      <c r="H3484" s="1"/>
      <c r="I3484" s="2"/>
      <c r="J3484" s="1"/>
      <c r="K3484" s="1"/>
      <c r="L3484" s="1"/>
      <c r="M3484" s="1"/>
      <c r="N3484" s="1"/>
      <c r="O3484" s="1"/>
      <c r="P3484" s="1"/>
      <c r="Q3484" s="1"/>
      <c r="R3484" s="1"/>
      <c r="S3484" s="1"/>
      <c r="T3484" s="1"/>
      <c r="U3484" s="1"/>
      <c r="V3484" s="1"/>
      <c r="W3484" s="1"/>
      <c r="X3484" s="1"/>
    </row>
    <row x14ac:dyDescent="0.25" r="3485" customHeight="1" ht="18.75">
      <c r="A3485" s="1"/>
      <c r="B3485" s="1"/>
      <c r="C3485" s="3" t="s">
        <v>3505</v>
      </c>
      <c r="D3485" s="3" t="s">
        <v>3521</v>
      </c>
      <c r="E3485" s="1"/>
      <c r="F3485" s="1"/>
      <c r="G3485" s="1"/>
      <c r="H3485" s="1"/>
      <c r="I3485" s="2"/>
      <c r="J3485" s="1"/>
      <c r="K3485" s="1"/>
      <c r="L3485" s="1"/>
      <c r="M3485" s="1"/>
      <c r="N3485" s="1"/>
      <c r="O3485" s="1"/>
      <c r="P3485" s="1"/>
      <c r="Q3485" s="1"/>
      <c r="R3485" s="1"/>
      <c r="S3485" s="1"/>
      <c r="T3485" s="1"/>
      <c r="U3485" s="1"/>
      <c r="V3485" s="1"/>
      <c r="W3485" s="1"/>
      <c r="X3485" s="1"/>
    </row>
    <row x14ac:dyDescent="0.25" r="3486" customHeight="1" ht="18.75">
      <c r="A3486" s="1"/>
      <c r="B3486" s="1"/>
      <c r="C3486" s="3" t="s">
        <v>3522</v>
      </c>
      <c r="D3486" s="3" t="s">
        <v>3511</v>
      </c>
      <c r="E3486" s="1"/>
      <c r="F3486" s="1"/>
      <c r="G3486" s="1"/>
      <c r="H3486" s="1"/>
      <c r="I3486" s="2"/>
      <c r="J3486" s="1"/>
      <c r="K3486" s="1"/>
      <c r="L3486" s="1"/>
      <c r="M3486" s="1"/>
      <c r="N3486" s="1"/>
      <c r="O3486" s="1"/>
      <c r="P3486" s="1"/>
      <c r="Q3486" s="1"/>
      <c r="R3486" s="1"/>
      <c r="S3486" s="1"/>
      <c r="T3486" s="1"/>
      <c r="U3486" s="1"/>
      <c r="V3486" s="1"/>
      <c r="W3486" s="1"/>
      <c r="X3486" s="1"/>
    </row>
    <row x14ac:dyDescent="0.25" r="3487" customHeight="1" ht="18.75">
      <c r="A3487" s="1"/>
      <c r="B3487" s="1"/>
      <c r="C3487" s="3" t="s">
        <v>3505</v>
      </c>
      <c r="D3487" s="3" t="s">
        <v>3523</v>
      </c>
      <c r="E3487" s="1"/>
      <c r="F3487" s="1"/>
      <c r="G3487" s="1"/>
      <c r="H3487" s="1"/>
      <c r="I3487" s="2"/>
      <c r="J3487" s="1"/>
      <c r="K3487" s="1"/>
      <c r="L3487" s="1"/>
      <c r="M3487" s="1"/>
      <c r="N3487" s="1"/>
      <c r="O3487" s="1"/>
      <c r="P3487" s="1"/>
      <c r="Q3487" s="1"/>
      <c r="R3487" s="1"/>
      <c r="S3487" s="1"/>
      <c r="T3487" s="1"/>
      <c r="U3487" s="1"/>
      <c r="V3487" s="1"/>
      <c r="W3487" s="1"/>
      <c r="X3487" s="1"/>
    </row>
    <row x14ac:dyDescent="0.25" r="3488" customHeight="1" ht="18.75">
      <c r="A3488" s="1"/>
      <c r="B3488" s="1"/>
      <c r="C3488" s="3" t="s">
        <v>3514</v>
      </c>
      <c r="D3488" s="3" t="s">
        <v>3524</v>
      </c>
      <c r="E3488" s="1"/>
      <c r="F3488" s="1"/>
      <c r="G3488" s="1"/>
      <c r="H3488" s="1"/>
      <c r="I3488" s="2"/>
      <c r="J3488" s="1"/>
      <c r="K3488" s="1"/>
      <c r="L3488" s="1"/>
      <c r="M3488" s="1"/>
      <c r="N3488" s="1"/>
      <c r="O3488" s="1"/>
      <c r="P3488" s="1"/>
      <c r="Q3488" s="1"/>
      <c r="R3488" s="1"/>
      <c r="S3488" s="1"/>
      <c r="T3488" s="1"/>
      <c r="U3488" s="1"/>
      <c r="V3488" s="1"/>
      <c r="W3488" s="1"/>
      <c r="X3488" s="1"/>
    </row>
    <row x14ac:dyDescent="0.25" r="3489" customHeight="1" ht="18.75">
      <c r="A3489" s="1"/>
      <c r="B3489" s="1"/>
      <c r="C3489" s="3" t="s">
        <v>3525</v>
      </c>
      <c r="D3489" s="3" t="s">
        <v>920</v>
      </c>
      <c r="E3489" s="1"/>
      <c r="F3489" s="1"/>
      <c r="G3489" s="1"/>
      <c r="H3489" s="1"/>
      <c r="I3489" s="2"/>
      <c r="J3489" s="1"/>
      <c r="K3489" s="1"/>
      <c r="L3489" s="1"/>
      <c r="M3489" s="1"/>
      <c r="N3489" s="1"/>
      <c r="O3489" s="1"/>
      <c r="P3489" s="1"/>
      <c r="Q3489" s="1"/>
      <c r="R3489" s="1"/>
      <c r="S3489" s="1"/>
      <c r="T3489" s="1"/>
      <c r="U3489" s="1"/>
      <c r="V3489" s="1"/>
      <c r="W3489" s="1"/>
      <c r="X3489" s="1"/>
    </row>
    <row x14ac:dyDescent="0.25" r="3490" customHeight="1" ht="18.75">
      <c r="A3490" s="1"/>
      <c r="B3490" s="1"/>
      <c r="C3490" s="3" t="s">
        <v>3505</v>
      </c>
      <c r="D3490" s="3" t="s">
        <v>3526</v>
      </c>
      <c r="E3490" s="1"/>
      <c r="F3490" s="1"/>
      <c r="G3490" s="1"/>
      <c r="H3490" s="1"/>
      <c r="I3490" s="2"/>
      <c r="J3490" s="1"/>
      <c r="K3490" s="1"/>
      <c r="L3490" s="1"/>
      <c r="M3490" s="1"/>
      <c r="N3490" s="1"/>
      <c r="O3490" s="1"/>
      <c r="P3490" s="1"/>
      <c r="Q3490" s="1"/>
      <c r="R3490" s="1"/>
      <c r="S3490" s="1"/>
      <c r="T3490" s="1"/>
      <c r="U3490" s="1"/>
      <c r="V3490" s="1"/>
      <c r="W3490" s="1"/>
      <c r="X3490" s="1"/>
    </row>
    <row x14ac:dyDescent="0.25" r="3491" customHeight="1" ht="18.75">
      <c r="A3491" s="1"/>
      <c r="B3491" s="1"/>
      <c r="C3491" s="3" t="s">
        <v>3527</v>
      </c>
      <c r="D3491" s="3" t="s">
        <v>3528</v>
      </c>
      <c r="E3491" s="1"/>
      <c r="F3491" s="1"/>
      <c r="G3491" s="1"/>
      <c r="H3491" s="1"/>
      <c r="I3491" s="2"/>
      <c r="J3491" s="1"/>
      <c r="K3491" s="1"/>
      <c r="L3491" s="1"/>
      <c r="M3491" s="1"/>
      <c r="N3491" s="1"/>
      <c r="O3491" s="1"/>
      <c r="P3491" s="1"/>
      <c r="Q3491" s="1"/>
      <c r="R3491" s="1"/>
      <c r="S3491" s="1"/>
      <c r="T3491" s="1"/>
      <c r="U3491" s="1"/>
      <c r="V3491" s="1"/>
      <c r="W3491" s="1"/>
      <c r="X3491" s="1"/>
    </row>
    <row x14ac:dyDescent="0.25" r="3492" customHeight="1" ht="18.75">
      <c r="A3492" s="1"/>
      <c r="B3492" s="1"/>
      <c r="C3492" s="3" t="s">
        <v>912</v>
      </c>
      <c r="D3492" s="3" t="s">
        <v>3529</v>
      </c>
      <c r="E3492" s="1"/>
      <c r="F3492" s="1"/>
      <c r="G3492" s="1"/>
      <c r="H3492" s="1"/>
      <c r="I3492" s="2"/>
      <c r="J3492" s="1"/>
      <c r="K3492" s="1"/>
      <c r="L3492" s="1"/>
      <c r="M3492" s="1"/>
      <c r="N3492" s="1"/>
      <c r="O3492" s="1"/>
      <c r="P3492" s="1"/>
      <c r="Q3492" s="1"/>
      <c r="R3492" s="1"/>
      <c r="S3492" s="1"/>
      <c r="T3492" s="1"/>
      <c r="U3492" s="1"/>
      <c r="V3492" s="1"/>
      <c r="W3492" s="1"/>
      <c r="X3492" s="1"/>
    </row>
    <row x14ac:dyDescent="0.25" r="3493" customHeight="1" ht="18.75">
      <c r="A3493" s="1"/>
      <c r="B3493" s="1"/>
      <c r="C3493" s="3" t="s">
        <v>3530</v>
      </c>
      <c r="D3493" s="3" t="s">
        <v>3531</v>
      </c>
      <c r="E3493" s="1"/>
      <c r="F3493" s="1"/>
      <c r="G3493" s="1"/>
      <c r="H3493" s="1"/>
      <c r="I3493" s="2"/>
      <c r="J3493" s="1"/>
      <c r="K3493" s="1"/>
      <c r="L3493" s="1"/>
      <c r="M3493" s="1"/>
      <c r="N3493" s="1"/>
      <c r="O3493" s="1"/>
      <c r="P3493" s="1"/>
      <c r="Q3493" s="1"/>
      <c r="R3493" s="1"/>
      <c r="S3493" s="1"/>
      <c r="T3493" s="1"/>
      <c r="U3493" s="1"/>
      <c r="V3493" s="1"/>
      <c r="W3493" s="1"/>
      <c r="X3493" s="1"/>
    </row>
    <row x14ac:dyDescent="0.25" r="3494" customHeight="1" ht="18.75">
      <c r="A3494" s="1"/>
      <c r="B3494" s="1"/>
      <c r="C3494" s="3" t="s">
        <v>3532</v>
      </c>
      <c r="D3494" s="3" t="s">
        <v>3531</v>
      </c>
      <c r="E3494" s="1"/>
      <c r="F3494" s="1"/>
      <c r="G3494" s="1"/>
      <c r="H3494" s="1"/>
      <c r="I3494" s="2"/>
      <c r="J3494" s="1"/>
      <c r="K3494" s="1"/>
      <c r="L3494" s="1"/>
      <c r="M3494" s="1"/>
      <c r="N3494" s="1"/>
      <c r="O3494" s="1"/>
      <c r="P3494" s="1"/>
      <c r="Q3494" s="1"/>
      <c r="R3494" s="1"/>
      <c r="S3494" s="1"/>
      <c r="T3494" s="1"/>
      <c r="U3494" s="1"/>
      <c r="V3494" s="1"/>
      <c r="W3494" s="1"/>
      <c r="X3494" s="1"/>
    </row>
    <row x14ac:dyDescent="0.25" r="3495" customHeight="1" ht="18.75">
      <c r="A3495" s="1"/>
      <c r="B3495" s="1"/>
      <c r="C3495" s="3" t="s">
        <v>3533</v>
      </c>
      <c r="D3495" s="3" t="s">
        <v>3531</v>
      </c>
      <c r="E3495" s="1"/>
      <c r="F3495" s="1"/>
      <c r="G3495" s="1"/>
      <c r="H3495" s="1"/>
      <c r="I3495" s="2"/>
      <c r="J3495" s="1"/>
      <c r="K3495" s="1"/>
      <c r="L3495" s="1"/>
      <c r="M3495" s="1"/>
      <c r="N3495" s="1"/>
      <c r="O3495" s="1"/>
      <c r="P3495" s="1"/>
      <c r="Q3495" s="1"/>
      <c r="R3495" s="1"/>
      <c r="S3495" s="1"/>
      <c r="T3495" s="1"/>
      <c r="U3495" s="1"/>
      <c r="V3495" s="1"/>
      <c r="W3495" s="1"/>
      <c r="X3495" s="1"/>
    </row>
    <row x14ac:dyDescent="0.25" r="3496" customHeight="1" ht="18.75">
      <c r="A3496" s="1"/>
      <c r="B3496" s="1"/>
      <c r="C3496" s="3" t="s">
        <v>3527</v>
      </c>
      <c r="D3496" s="3" t="s">
        <v>3534</v>
      </c>
      <c r="E3496" s="1"/>
      <c r="F3496" s="1"/>
      <c r="G3496" s="1"/>
      <c r="H3496" s="1"/>
      <c r="I3496" s="2"/>
      <c r="J3496" s="1"/>
      <c r="K3496" s="1"/>
      <c r="L3496" s="1"/>
      <c r="M3496" s="1"/>
      <c r="N3496" s="1"/>
      <c r="O3496" s="1"/>
      <c r="P3496" s="1"/>
      <c r="Q3496" s="1"/>
      <c r="R3496" s="1"/>
      <c r="S3496" s="1"/>
      <c r="T3496" s="1"/>
      <c r="U3496" s="1"/>
      <c r="V3496" s="1"/>
      <c r="W3496" s="1"/>
      <c r="X3496" s="1"/>
    </row>
    <row x14ac:dyDescent="0.25" r="3497" customHeight="1" ht="18.75">
      <c r="A3497" s="1"/>
      <c r="B3497" s="1"/>
      <c r="C3497" s="3" t="s">
        <v>3535</v>
      </c>
      <c r="D3497" s="3" t="s">
        <v>3536</v>
      </c>
      <c r="E3497" s="1"/>
      <c r="F3497" s="1"/>
      <c r="G3497" s="1"/>
      <c r="H3497" s="1"/>
      <c r="I3497" s="2"/>
      <c r="J3497" s="1"/>
      <c r="K3497" s="1"/>
      <c r="L3497" s="1"/>
      <c r="M3497" s="1"/>
      <c r="N3497" s="1"/>
      <c r="O3497" s="1"/>
      <c r="P3497" s="1"/>
      <c r="Q3497" s="1"/>
      <c r="R3497" s="1"/>
      <c r="S3497" s="1"/>
      <c r="T3497" s="1"/>
      <c r="U3497" s="1"/>
      <c r="V3497" s="1"/>
      <c r="W3497" s="1"/>
      <c r="X3497" s="1"/>
    </row>
    <row x14ac:dyDescent="0.25" r="3498" customHeight="1" ht="18.75">
      <c r="A3498" s="1"/>
      <c r="B3498" s="1"/>
      <c r="C3498" s="3" t="s">
        <v>3537</v>
      </c>
      <c r="D3498" s="3" t="s">
        <v>3536</v>
      </c>
      <c r="E3498" s="1"/>
      <c r="F3498" s="1"/>
      <c r="G3498" s="1"/>
      <c r="H3498" s="1"/>
      <c r="I3498" s="2"/>
      <c r="J3498" s="1"/>
      <c r="K3498" s="1"/>
      <c r="L3498" s="1"/>
      <c r="M3498" s="1"/>
      <c r="N3498" s="1"/>
      <c r="O3498" s="1"/>
      <c r="P3498" s="1"/>
      <c r="Q3498" s="1"/>
      <c r="R3498" s="1"/>
      <c r="S3498" s="1"/>
      <c r="T3498" s="1"/>
      <c r="U3498" s="1"/>
      <c r="V3498" s="1"/>
      <c r="W3498" s="1"/>
      <c r="X3498" s="1"/>
    </row>
    <row x14ac:dyDescent="0.25" r="3499" customHeight="1" ht="18.75">
      <c r="A3499" s="1"/>
      <c r="B3499" s="1"/>
      <c r="C3499" s="3" t="s">
        <v>3538</v>
      </c>
      <c r="D3499" s="3" t="s">
        <v>3511</v>
      </c>
      <c r="E3499" s="1"/>
      <c r="F3499" s="1"/>
      <c r="G3499" s="1"/>
      <c r="H3499" s="1"/>
      <c r="I3499" s="2"/>
      <c r="J3499" s="1"/>
      <c r="K3499" s="1"/>
      <c r="L3499" s="1"/>
      <c r="M3499" s="1"/>
      <c r="N3499" s="1"/>
      <c r="O3499" s="1"/>
      <c r="P3499" s="1"/>
      <c r="Q3499" s="1"/>
      <c r="R3499" s="1"/>
      <c r="S3499" s="1"/>
      <c r="T3499" s="1"/>
      <c r="U3499" s="1"/>
      <c r="V3499" s="1"/>
      <c r="W3499" s="1"/>
      <c r="X3499" s="1"/>
    </row>
    <row x14ac:dyDescent="0.25" r="3500" customHeight="1" ht="18.75">
      <c r="A3500" s="1"/>
      <c r="B3500" s="1"/>
      <c r="C3500" s="3" t="s">
        <v>3539</v>
      </c>
      <c r="D3500" s="3" t="s">
        <v>3536</v>
      </c>
      <c r="E3500" s="1"/>
      <c r="F3500" s="1"/>
      <c r="G3500" s="1"/>
      <c r="H3500" s="1"/>
      <c r="I3500" s="2"/>
      <c r="J3500" s="1"/>
      <c r="K3500" s="1"/>
      <c r="L3500" s="1"/>
      <c r="M3500" s="1"/>
      <c r="N3500" s="1"/>
      <c r="O3500" s="1"/>
      <c r="P3500" s="1"/>
      <c r="Q3500" s="1"/>
      <c r="R3500" s="1"/>
      <c r="S3500" s="1"/>
      <c r="T3500" s="1"/>
      <c r="U3500" s="1"/>
      <c r="V3500" s="1"/>
      <c r="W3500" s="1"/>
      <c r="X3500" s="1"/>
    </row>
    <row x14ac:dyDescent="0.25" r="3501" customHeight="1" ht="18.75">
      <c r="A3501" s="1"/>
      <c r="B3501" s="1"/>
      <c r="C3501" s="3" t="s">
        <v>3514</v>
      </c>
      <c r="D3501" s="3" t="s">
        <v>3540</v>
      </c>
      <c r="E3501" s="1"/>
      <c r="F3501" s="1"/>
      <c r="G3501" s="1"/>
      <c r="H3501" s="1"/>
      <c r="I3501" s="2"/>
      <c r="J3501" s="1"/>
      <c r="K3501" s="1"/>
      <c r="L3501" s="1"/>
      <c r="M3501" s="1"/>
      <c r="N3501" s="1"/>
      <c r="O3501" s="1"/>
      <c r="P3501" s="1"/>
      <c r="Q3501" s="1"/>
      <c r="R3501" s="1"/>
      <c r="S3501" s="1"/>
      <c r="T3501" s="1"/>
      <c r="U3501" s="1"/>
      <c r="V3501" s="1"/>
      <c r="W3501" s="1"/>
      <c r="X3501" s="1"/>
    </row>
    <row x14ac:dyDescent="0.25" r="3502" customHeight="1" ht="18.75">
      <c r="A3502" s="1"/>
      <c r="B3502" s="1"/>
      <c r="C3502" s="3" t="s">
        <v>916</v>
      </c>
      <c r="D3502" s="3" t="s">
        <v>3541</v>
      </c>
      <c r="E3502" s="1"/>
      <c r="F3502" s="1"/>
      <c r="G3502" s="1"/>
      <c r="H3502" s="1"/>
      <c r="I3502" s="2"/>
      <c r="J3502" s="1"/>
      <c r="K3502" s="1"/>
      <c r="L3502" s="1"/>
      <c r="M3502" s="1"/>
      <c r="N3502" s="1"/>
      <c r="O3502" s="1"/>
      <c r="P3502" s="1"/>
      <c r="Q3502" s="1"/>
      <c r="R3502" s="1"/>
      <c r="S3502" s="1"/>
      <c r="T3502" s="1"/>
      <c r="U3502" s="1"/>
      <c r="V3502" s="1"/>
      <c r="W3502" s="1"/>
      <c r="X3502" s="1"/>
    </row>
    <row x14ac:dyDescent="0.25" r="3503" customHeight="1" ht="18.75">
      <c r="A3503" s="1"/>
      <c r="B3503" s="1"/>
      <c r="C3503" s="3" t="s">
        <v>3542</v>
      </c>
      <c r="D3503" s="3" t="s">
        <v>994</v>
      </c>
      <c r="E3503" s="1"/>
      <c r="F3503" s="1"/>
      <c r="G3503" s="1"/>
      <c r="H3503" s="1"/>
      <c r="I3503" s="2"/>
      <c r="J3503" s="1"/>
      <c r="K3503" s="1"/>
      <c r="L3503" s="1"/>
      <c r="M3503" s="1"/>
      <c r="N3503" s="1"/>
      <c r="O3503" s="1"/>
      <c r="P3503" s="1"/>
      <c r="Q3503" s="1"/>
      <c r="R3503" s="1"/>
      <c r="S3503" s="1"/>
      <c r="T3503" s="1"/>
      <c r="U3503" s="1"/>
      <c r="V3503" s="1"/>
      <c r="W3503" s="1"/>
      <c r="X3503" s="1"/>
    </row>
    <row x14ac:dyDescent="0.25" r="3504" customHeight="1" ht="18.75">
      <c r="A3504" s="1"/>
      <c r="B3504" s="1"/>
      <c r="C3504" s="3" t="s">
        <v>137</v>
      </c>
      <c r="D3504" s="3" t="s">
        <v>3543</v>
      </c>
      <c r="E3504" s="1"/>
      <c r="F3504" s="1"/>
      <c r="G3504" s="1"/>
      <c r="H3504" s="1"/>
      <c r="I3504" s="2"/>
      <c r="J3504" s="1"/>
      <c r="K3504" s="1"/>
      <c r="L3504" s="1"/>
      <c r="M3504" s="1"/>
      <c r="N3504" s="1"/>
      <c r="O3504" s="1"/>
      <c r="P3504" s="1"/>
      <c r="Q3504" s="1"/>
      <c r="R3504" s="1"/>
      <c r="S3504" s="1"/>
      <c r="T3504" s="1"/>
      <c r="U3504" s="1"/>
      <c r="V3504" s="1"/>
      <c r="W3504" s="1"/>
      <c r="X3504" s="1"/>
    </row>
    <row x14ac:dyDescent="0.25" r="3505" customHeight="1" ht="18.75">
      <c r="A3505" s="1"/>
      <c r="B3505" s="1"/>
      <c r="C3505" s="3" t="s">
        <v>137</v>
      </c>
      <c r="D3505" s="3" t="s">
        <v>3544</v>
      </c>
      <c r="E3505" s="1"/>
      <c r="F3505" s="1"/>
      <c r="G3505" s="1"/>
      <c r="H3505" s="1"/>
      <c r="I3505" s="2"/>
      <c r="J3505" s="1"/>
      <c r="K3505" s="1"/>
      <c r="L3505" s="1"/>
      <c r="M3505" s="1"/>
      <c r="N3505" s="1"/>
      <c r="O3505" s="1"/>
      <c r="P3505" s="1"/>
      <c r="Q3505" s="1"/>
      <c r="R3505" s="1"/>
      <c r="S3505" s="1"/>
      <c r="T3505" s="1"/>
      <c r="U3505" s="1"/>
      <c r="V3505" s="1"/>
      <c r="W3505" s="1"/>
      <c r="X3505" s="1"/>
    </row>
    <row x14ac:dyDescent="0.25" r="3506" customHeight="1" ht="18.75">
      <c r="A3506" s="1"/>
      <c r="B3506" s="1"/>
      <c r="C3506" s="3" t="s">
        <v>137</v>
      </c>
      <c r="D3506" s="3" t="s">
        <v>3545</v>
      </c>
      <c r="E3506" s="1"/>
      <c r="F3506" s="1"/>
      <c r="G3506" s="1"/>
      <c r="H3506" s="1"/>
      <c r="I3506" s="2"/>
      <c r="J3506" s="1"/>
      <c r="K3506" s="1"/>
      <c r="L3506" s="1"/>
      <c r="M3506" s="1"/>
      <c r="N3506" s="1"/>
      <c r="O3506" s="1"/>
      <c r="P3506" s="1"/>
      <c r="Q3506" s="1"/>
      <c r="R3506" s="1"/>
      <c r="S3506" s="1"/>
      <c r="T3506" s="1"/>
      <c r="U3506" s="1"/>
      <c r="V3506" s="1"/>
      <c r="W3506" s="1"/>
      <c r="X3506" s="1"/>
    </row>
    <row x14ac:dyDescent="0.25" r="3507" customHeight="1" ht="18.75">
      <c r="A3507" s="1"/>
      <c r="B3507" s="1"/>
      <c r="C3507" s="3" t="s">
        <v>137</v>
      </c>
      <c r="D3507" s="3" t="s">
        <v>3546</v>
      </c>
      <c r="E3507" s="1"/>
      <c r="F3507" s="1"/>
      <c r="G3507" s="1"/>
      <c r="H3507" s="1"/>
      <c r="I3507" s="2"/>
      <c r="J3507" s="1"/>
      <c r="K3507" s="1"/>
      <c r="L3507" s="1"/>
      <c r="M3507" s="1"/>
      <c r="N3507" s="1"/>
      <c r="O3507" s="1"/>
      <c r="P3507" s="1"/>
      <c r="Q3507" s="1"/>
      <c r="R3507" s="1"/>
      <c r="S3507" s="1"/>
      <c r="T3507" s="1"/>
      <c r="U3507" s="1"/>
      <c r="V3507" s="1"/>
      <c r="W3507" s="1"/>
      <c r="X3507" s="1"/>
    </row>
    <row x14ac:dyDescent="0.25" r="3508" customHeight="1" ht="18.75">
      <c r="A3508" s="1"/>
      <c r="B3508" s="1"/>
      <c r="C3508" s="3" t="s">
        <v>137</v>
      </c>
      <c r="D3508" s="3" t="s">
        <v>3547</v>
      </c>
      <c r="E3508" s="1"/>
      <c r="F3508" s="1"/>
      <c r="G3508" s="1"/>
      <c r="H3508" s="1"/>
      <c r="I3508" s="2"/>
      <c r="J3508" s="1"/>
      <c r="K3508" s="1"/>
      <c r="L3508" s="1"/>
      <c r="M3508" s="1"/>
      <c r="N3508" s="1"/>
      <c r="O3508" s="1"/>
      <c r="P3508" s="1"/>
      <c r="Q3508" s="1"/>
      <c r="R3508" s="1"/>
      <c r="S3508" s="1"/>
      <c r="T3508" s="1"/>
      <c r="U3508" s="1"/>
      <c r="V3508" s="1"/>
      <c r="W3508" s="1"/>
      <c r="X3508" s="1"/>
    </row>
    <row x14ac:dyDescent="0.25" r="3509" customHeight="1" ht="18.75">
      <c r="A3509" s="1"/>
      <c r="B3509" s="1"/>
      <c r="C3509" s="3" t="s">
        <v>990</v>
      </c>
      <c r="D3509" s="3" t="s">
        <v>3548</v>
      </c>
      <c r="E3509" s="1"/>
      <c r="F3509" s="1"/>
      <c r="G3509" s="1"/>
      <c r="H3509" s="1"/>
      <c r="I3509" s="2"/>
      <c r="J3509" s="1"/>
      <c r="K3509" s="1"/>
      <c r="L3509" s="1"/>
      <c r="M3509" s="1"/>
      <c r="N3509" s="1"/>
      <c r="O3509" s="1"/>
      <c r="P3509" s="1"/>
      <c r="Q3509" s="1"/>
      <c r="R3509" s="1"/>
      <c r="S3509" s="1"/>
      <c r="T3509" s="1"/>
      <c r="U3509" s="1"/>
      <c r="V3509" s="1"/>
      <c r="W3509" s="1"/>
      <c r="X3509" s="1"/>
    </row>
    <row x14ac:dyDescent="0.25" r="3510" customHeight="1" ht="18.75">
      <c r="A3510" s="1"/>
      <c r="B3510" s="1"/>
      <c r="C3510" s="3" t="s">
        <v>990</v>
      </c>
      <c r="D3510" s="3" t="s">
        <v>3549</v>
      </c>
      <c r="E3510" s="1"/>
      <c r="F3510" s="1"/>
      <c r="G3510" s="1"/>
      <c r="H3510" s="1"/>
      <c r="I3510" s="2"/>
      <c r="J3510" s="1"/>
      <c r="K3510" s="1"/>
      <c r="L3510" s="1"/>
      <c r="M3510" s="1"/>
      <c r="N3510" s="1"/>
      <c r="O3510" s="1"/>
      <c r="P3510" s="1"/>
      <c r="Q3510" s="1"/>
      <c r="R3510" s="1"/>
      <c r="S3510" s="1"/>
      <c r="T3510" s="1"/>
      <c r="U3510" s="1"/>
      <c r="V3510" s="1"/>
      <c r="W3510" s="1"/>
      <c r="X3510" s="1"/>
    </row>
    <row x14ac:dyDescent="0.25" r="3511" customHeight="1" ht="18.75">
      <c r="A3511" s="1"/>
      <c r="B3511" s="1"/>
      <c r="C3511" s="3" t="s">
        <v>3550</v>
      </c>
      <c r="D3511" s="3" t="s">
        <v>3551</v>
      </c>
      <c r="E3511" s="1"/>
      <c r="F3511" s="1"/>
      <c r="G3511" s="1"/>
      <c r="H3511" s="1"/>
      <c r="I3511" s="2"/>
      <c r="J3511" s="1"/>
      <c r="K3511" s="1"/>
      <c r="L3511" s="1"/>
      <c r="M3511" s="1"/>
      <c r="N3511" s="1"/>
      <c r="O3511" s="1"/>
      <c r="P3511" s="1"/>
      <c r="Q3511" s="1"/>
      <c r="R3511" s="1"/>
      <c r="S3511" s="1"/>
      <c r="T3511" s="1"/>
      <c r="U3511" s="1"/>
      <c r="V3511" s="1"/>
      <c r="W3511" s="1"/>
      <c r="X3511" s="1"/>
    </row>
    <row x14ac:dyDescent="0.25" r="3512" customHeight="1" ht="18.75">
      <c r="A3512" s="1"/>
      <c r="B3512" s="1"/>
      <c r="C3512" s="3" t="s">
        <v>137</v>
      </c>
      <c r="D3512" s="3" t="s">
        <v>3552</v>
      </c>
      <c r="E3512" s="1"/>
      <c r="F3512" s="1"/>
      <c r="G3512" s="1"/>
      <c r="H3512" s="1"/>
      <c r="I3512" s="2"/>
      <c r="J3512" s="1"/>
      <c r="K3512" s="1"/>
      <c r="L3512" s="1"/>
      <c r="M3512" s="1"/>
      <c r="N3512" s="1"/>
      <c r="O3512" s="1"/>
      <c r="P3512" s="1"/>
      <c r="Q3512" s="1"/>
      <c r="R3512" s="1"/>
      <c r="S3512" s="1"/>
      <c r="T3512" s="1"/>
      <c r="U3512" s="1"/>
      <c r="V3512" s="1"/>
      <c r="W3512" s="1"/>
      <c r="X3512" s="1"/>
    </row>
    <row x14ac:dyDescent="0.25" r="3513" customHeight="1" ht="18.75">
      <c r="A3513" s="1"/>
      <c r="B3513" s="1"/>
      <c r="C3513" s="3" t="s">
        <v>141</v>
      </c>
      <c r="D3513" s="3" t="s">
        <v>913</v>
      </c>
      <c r="E3513" s="1"/>
      <c r="F3513" s="1"/>
      <c r="G3513" s="1"/>
      <c r="H3513" s="1"/>
      <c r="I3513" s="2"/>
      <c r="J3513" s="1"/>
      <c r="K3513" s="1"/>
      <c r="L3513" s="1"/>
      <c r="M3513" s="1"/>
      <c r="N3513" s="1"/>
      <c r="O3513" s="1"/>
      <c r="P3513" s="1"/>
      <c r="Q3513" s="1"/>
      <c r="R3513" s="1"/>
      <c r="S3513" s="1"/>
      <c r="T3513" s="1"/>
      <c r="U3513" s="1"/>
      <c r="V3513" s="1"/>
      <c r="W3513" s="1"/>
      <c r="X3513" s="1"/>
    </row>
    <row x14ac:dyDescent="0.25" r="3514" customHeight="1" ht="18.75">
      <c r="A3514" s="1"/>
      <c r="B3514" s="1"/>
      <c r="C3514" s="3" t="s">
        <v>3553</v>
      </c>
      <c r="D3514" s="3" t="s">
        <v>923</v>
      </c>
      <c r="E3514" s="1"/>
      <c r="F3514" s="1"/>
      <c r="G3514" s="1"/>
      <c r="H3514" s="1"/>
      <c r="I3514" s="2"/>
      <c r="J3514" s="1"/>
      <c r="K3514" s="1"/>
      <c r="L3514" s="1"/>
      <c r="M3514" s="1"/>
      <c r="N3514" s="1"/>
      <c r="O3514" s="1"/>
      <c r="P3514" s="1"/>
      <c r="Q3514" s="1"/>
      <c r="R3514" s="1"/>
      <c r="S3514" s="1"/>
      <c r="T3514" s="1"/>
      <c r="U3514" s="1"/>
      <c r="V3514" s="1"/>
      <c r="W3514" s="1"/>
      <c r="X3514" s="1"/>
    </row>
    <row x14ac:dyDescent="0.25" r="3515" customHeight="1" ht="18.75">
      <c r="A3515" s="1"/>
      <c r="B3515" s="1"/>
      <c r="C3515" s="3" t="s">
        <v>137</v>
      </c>
      <c r="D3515" s="3" t="s">
        <v>3554</v>
      </c>
      <c r="E3515" s="1"/>
      <c r="F3515" s="1"/>
      <c r="G3515" s="1"/>
      <c r="H3515" s="1"/>
      <c r="I3515" s="2"/>
      <c r="J3515" s="1"/>
      <c r="K3515" s="1"/>
      <c r="L3515" s="1"/>
      <c r="M3515" s="1"/>
      <c r="N3515" s="1"/>
      <c r="O3515" s="1"/>
      <c r="P3515" s="1"/>
      <c r="Q3515" s="1"/>
      <c r="R3515" s="1"/>
      <c r="S3515" s="1"/>
      <c r="T3515" s="1"/>
      <c r="U3515" s="1"/>
      <c r="V3515" s="1"/>
      <c r="W3515" s="1"/>
      <c r="X3515" s="1"/>
    </row>
    <row x14ac:dyDescent="0.25" r="3516" customHeight="1" ht="18.75">
      <c r="A3516" s="1"/>
      <c r="B3516" s="1"/>
      <c r="C3516" s="3" t="s">
        <v>121</v>
      </c>
      <c r="D3516" s="3" t="s">
        <v>3555</v>
      </c>
      <c r="E3516" s="1"/>
      <c r="F3516" s="1"/>
      <c r="G3516" s="1"/>
      <c r="H3516" s="1"/>
      <c r="I3516" s="2"/>
      <c r="J3516" s="1"/>
      <c r="K3516" s="1"/>
      <c r="L3516" s="1"/>
      <c r="M3516" s="1"/>
      <c r="N3516" s="1"/>
      <c r="O3516" s="1"/>
      <c r="P3516" s="1"/>
      <c r="Q3516" s="1"/>
      <c r="R3516" s="1"/>
      <c r="S3516" s="1"/>
      <c r="T3516" s="1"/>
      <c r="U3516" s="1"/>
      <c r="V3516" s="1"/>
      <c r="W3516" s="1"/>
      <c r="X3516" s="1"/>
    </row>
    <row x14ac:dyDescent="0.25" r="3517" customHeight="1" ht="18.75">
      <c r="A3517" s="1"/>
      <c r="B3517" s="1"/>
      <c r="C3517" s="3" t="s">
        <v>121</v>
      </c>
      <c r="D3517" s="3" t="s">
        <v>3556</v>
      </c>
      <c r="E3517" s="1"/>
      <c r="F3517" s="1"/>
      <c r="G3517" s="1"/>
      <c r="H3517" s="1"/>
      <c r="I3517" s="2"/>
      <c r="J3517" s="1"/>
      <c r="K3517" s="1"/>
      <c r="L3517" s="1"/>
      <c r="M3517" s="1"/>
      <c r="N3517" s="1"/>
      <c r="O3517" s="1"/>
      <c r="P3517" s="1"/>
      <c r="Q3517" s="1"/>
      <c r="R3517" s="1"/>
      <c r="S3517" s="1"/>
      <c r="T3517" s="1"/>
      <c r="U3517" s="1"/>
      <c r="V3517" s="1"/>
      <c r="W3517" s="1"/>
      <c r="X3517" s="1"/>
    </row>
    <row x14ac:dyDescent="0.25" r="3518" customHeight="1" ht="18.75">
      <c r="A3518" s="1"/>
      <c r="B3518" s="1"/>
      <c r="C3518" s="3" t="s">
        <v>121</v>
      </c>
      <c r="D3518" s="3" t="s">
        <v>3557</v>
      </c>
      <c r="E3518" s="1"/>
      <c r="F3518" s="1"/>
      <c r="G3518" s="1"/>
      <c r="H3518" s="1"/>
      <c r="I3518" s="2"/>
      <c r="J3518" s="1"/>
      <c r="K3518" s="1"/>
      <c r="L3518" s="1"/>
      <c r="M3518" s="1"/>
      <c r="N3518" s="1"/>
      <c r="O3518" s="1"/>
      <c r="P3518" s="1"/>
      <c r="Q3518" s="1"/>
      <c r="R3518" s="1"/>
      <c r="S3518" s="1"/>
      <c r="T3518" s="1"/>
      <c r="U3518" s="1"/>
      <c r="V3518" s="1"/>
      <c r="W3518" s="1"/>
      <c r="X3518" s="1"/>
    </row>
    <row x14ac:dyDescent="0.25" r="3519" customHeight="1" ht="18.75">
      <c r="A3519" s="1"/>
      <c r="B3519" s="1"/>
      <c r="C3519" s="3" t="s">
        <v>121</v>
      </c>
      <c r="D3519" s="3" t="s">
        <v>3558</v>
      </c>
      <c r="E3519" s="1"/>
      <c r="F3519" s="1"/>
      <c r="G3519" s="1"/>
      <c r="H3519" s="1"/>
      <c r="I3519" s="2"/>
      <c r="J3519" s="1"/>
      <c r="K3519" s="1"/>
      <c r="L3519" s="1"/>
      <c r="M3519" s="1"/>
      <c r="N3519" s="1"/>
      <c r="O3519" s="1"/>
      <c r="P3519" s="1"/>
      <c r="Q3519" s="1"/>
      <c r="R3519" s="1"/>
      <c r="S3519" s="1"/>
      <c r="T3519" s="1"/>
      <c r="U3519" s="1"/>
      <c r="V3519" s="1"/>
      <c r="W3519" s="1"/>
      <c r="X3519" s="1"/>
    </row>
    <row x14ac:dyDescent="0.25" r="3520" customHeight="1" ht="18.75">
      <c r="A3520" s="1"/>
      <c r="B3520" s="1"/>
      <c r="C3520" s="3" t="s">
        <v>121</v>
      </c>
      <c r="D3520" s="3" t="s">
        <v>3559</v>
      </c>
      <c r="E3520" s="1"/>
      <c r="F3520" s="1"/>
      <c r="G3520" s="1"/>
      <c r="H3520" s="1"/>
      <c r="I3520" s="2"/>
      <c r="J3520" s="1"/>
      <c r="K3520" s="1"/>
      <c r="L3520" s="1"/>
      <c r="M3520" s="1"/>
      <c r="N3520" s="1"/>
      <c r="O3520" s="1"/>
      <c r="P3520" s="1"/>
      <c r="Q3520" s="1"/>
      <c r="R3520" s="1"/>
      <c r="S3520" s="1"/>
      <c r="T3520" s="1"/>
      <c r="U3520" s="1"/>
      <c r="V3520" s="1"/>
      <c r="W3520" s="1"/>
      <c r="X3520" s="1"/>
    </row>
    <row x14ac:dyDescent="0.25" r="3521" customHeight="1" ht="18.75">
      <c r="A3521" s="1"/>
      <c r="B3521" s="1"/>
      <c r="C3521" s="3" t="s">
        <v>121</v>
      </c>
      <c r="D3521" s="3" t="s">
        <v>3560</v>
      </c>
      <c r="E3521" s="1"/>
      <c r="F3521" s="1"/>
      <c r="G3521" s="1"/>
      <c r="H3521" s="1"/>
      <c r="I3521" s="2"/>
      <c r="J3521" s="1"/>
      <c r="K3521" s="1"/>
      <c r="L3521" s="1"/>
      <c r="M3521" s="1"/>
      <c r="N3521" s="1"/>
      <c r="O3521" s="1"/>
      <c r="P3521" s="1"/>
      <c r="Q3521" s="1"/>
      <c r="R3521" s="1"/>
      <c r="S3521" s="1"/>
      <c r="T3521" s="1"/>
      <c r="U3521" s="1"/>
      <c r="V3521" s="1"/>
      <c r="W3521" s="1"/>
      <c r="X3521" s="1"/>
    </row>
    <row x14ac:dyDescent="0.25" r="3522" customHeight="1" ht="18.75">
      <c r="A3522" s="1"/>
      <c r="B3522" s="1"/>
      <c r="C3522" s="3" t="s">
        <v>121</v>
      </c>
      <c r="D3522" s="3" t="s">
        <v>3561</v>
      </c>
      <c r="E3522" s="1"/>
      <c r="F3522" s="1"/>
      <c r="G3522" s="1"/>
      <c r="H3522" s="1"/>
      <c r="I3522" s="2"/>
      <c r="J3522" s="1"/>
      <c r="K3522" s="1"/>
      <c r="L3522" s="1"/>
      <c r="M3522" s="1"/>
      <c r="N3522" s="1"/>
      <c r="O3522" s="1"/>
      <c r="P3522" s="1"/>
      <c r="Q3522" s="1"/>
      <c r="R3522" s="1"/>
      <c r="S3522" s="1"/>
      <c r="T3522" s="1"/>
      <c r="U3522" s="1"/>
      <c r="V3522" s="1"/>
      <c r="W3522" s="1"/>
      <c r="X3522" s="1"/>
    </row>
    <row x14ac:dyDescent="0.25" r="3523" customHeight="1" ht="18.75">
      <c r="A3523" s="1"/>
      <c r="B3523" s="1"/>
      <c r="C3523" s="3" t="s">
        <v>121</v>
      </c>
      <c r="D3523" s="3" t="s">
        <v>3562</v>
      </c>
      <c r="E3523" s="1"/>
      <c r="F3523" s="1"/>
      <c r="G3523" s="1"/>
      <c r="H3523" s="1"/>
      <c r="I3523" s="2"/>
      <c r="J3523" s="1"/>
      <c r="K3523" s="1"/>
      <c r="L3523" s="1"/>
      <c r="M3523" s="1"/>
      <c r="N3523" s="1"/>
      <c r="O3523" s="1"/>
      <c r="P3523" s="1"/>
      <c r="Q3523" s="1"/>
      <c r="R3523" s="1"/>
      <c r="S3523" s="1"/>
      <c r="T3523" s="1"/>
      <c r="U3523" s="1"/>
      <c r="V3523" s="1"/>
      <c r="W3523" s="1"/>
      <c r="X3523" s="1"/>
    </row>
    <row x14ac:dyDescent="0.25" r="3524" customHeight="1" ht="18.75">
      <c r="A3524" s="1"/>
      <c r="B3524" s="1"/>
      <c r="C3524" s="3" t="s">
        <v>121</v>
      </c>
      <c r="D3524" s="3" t="s">
        <v>3563</v>
      </c>
      <c r="E3524" s="1"/>
      <c r="F3524" s="1"/>
      <c r="G3524" s="1"/>
      <c r="H3524" s="1"/>
      <c r="I3524" s="2"/>
      <c r="J3524" s="1"/>
      <c r="K3524" s="1"/>
      <c r="L3524" s="1"/>
      <c r="M3524" s="1"/>
      <c r="N3524" s="1"/>
      <c r="O3524" s="1"/>
      <c r="P3524" s="1"/>
      <c r="Q3524" s="1"/>
      <c r="R3524" s="1"/>
      <c r="S3524" s="1"/>
      <c r="T3524" s="1"/>
      <c r="U3524" s="1"/>
      <c r="V3524" s="1"/>
      <c r="W3524" s="1"/>
      <c r="X3524" s="1"/>
    </row>
    <row x14ac:dyDescent="0.25" r="3525" customHeight="1" ht="18.75">
      <c r="A3525" s="1"/>
      <c r="B3525" s="1"/>
      <c r="C3525" s="3" t="s">
        <v>121</v>
      </c>
      <c r="D3525" s="3" t="s">
        <v>3564</v>
      </c>
      <c r="E3525" s="1"/>
      <c r="F3525" s="1"/>
      <c r="G3525" s="1"/>
      <c r="H3525" s="1"/>
      <c r="I3525" s="2"/>
      <c r="J3525" s="1"/>
      <c r="K3525" s="1"/>
      <c r="L3525" s="1"/>
      <c r="M3525" s="1"/>
      <c r="N3525" s="1"/>
      <c r="O3525" s="1"/>
      <c r="P3525" s="1"/>
      <c r="Q3525" s="1"/>
      <c r="R3525" s="1"/>
      <c r="S3525" s="1"/>
      <c r="T3525" s="1"/>
      <c r="U3525" s="1"/>
      <c r="V3525" s="1"/>
      <c r="W3525" s="1"/>
      <c r="X3525" s="1"/>
    </row>
    <row x14ac:dyDescent="0.25" r="3526" customHeight="1" ht="18.75">
      <c r="A3526" s="1"/>
      <c r="B3526" s="1"/>
      <c r="C3526" s="3" t="s">
        <v>121</v>
      </c>
      <c r="D3526" s="3" t="s">
        <v>3565</v>
      </c>
      <c r="E3526" s="1"/>
      <c r="F3526" s="1"/>
      <c r="G3526" s="1"/>
      <c r="H3526" s="1"/>
      <c r="I3526" s="2"/>
      <c r="J3526" s="1"/>
      <c r="K3526" s="1"/>
      <c r="L3526" s="1"/>
      <c r="M3526" s="1"/>
      <c r="N3526" s="1"/>
      <c r="O3526" s="1"/>
      <c r="P3526" s="1"/>
      <c r="Q3526" s="1"/>
      <c r="R3526" s="1"/>
      <c r="S3526" s="1"/>
      <c r="T3526" s="1"/>
      <c r="U3526" s="1"/>
      <c r="V3526" s="1"/>
      <c r="W3526" s="1"/>
      <c r="X3526" s="1"/>
    </row>
    <row x14ac:dyDescent="0.25" r="3527" customHeight="1" ht="18.75">
      <c r="A3527" s="1"/>
      <c r="B3527" s="1"/>
      <c r="C3527" s="3" t="s">
        <v>121</v>
      </c>
      <c r="D3527" s="3" t="s">
        <v>3566</v>
      </c>
      <c r="E3527" s="1"/>
      <c r="F3527" s="1"/>
      <c r="G3527" s="1"/>
      <c r="H3527" s="1"/>
      <c r="I3527" s="2"/>
      <c r="J3527" s="1"/>
      <c r="K3527" s="1"/>
      <c r="L3527" s="1"/>
      <c r="M3527" s="1"/>
      <c r="N3527" s="1"/>
      <c r="O3527" s="1"/>
      <c r="P3527" s="1"/>
      <c r="Q3527" s="1"/>
      <c r="R3527" s="1"/>
      <c r="S3527" s="1"/>
      <c r="T3527" s="1"/>
      <c r="U3527" s="1"/>
      <c r="V3527" s="1"/>
      <c r="W3527" s="1"/>
      <c r="X3527" s="1"/>
    </row>
    <row x14ac:dyDescent="0.25" r="3528" customHeight="1" ht="18.75">
      <c r="A3528" s="1"/>
      <c r="B3528" s="1"/>
      <c r="C3528" s="3" t="s">
        <v>121</v>
      </c>
      <c r="D3528" s="3" t="s">
        <v>3567</v>
      </c>
      <c r="E3528" s="1"/>
      <c r="F3528" s="1"/>
      <c r="G3528" s="1"/>
      <c r="H3528" s="1"/>
      <c r="I3528" s="2"/>
      <c r="J3528" s="1"/>
      <c r="K3528" s="1"/>
      <c r="L3528" s="1"/>
      <c r="M3528" s="1"/>
      <c r="N3528" s="1"/>
      <c r="O3528" s="1"/>
      <c r="P3528" s="1"/>
      <c r="Q3528" s="1"/>
      <c r="R3528" s="1"/>
      <c r="S3528" s="1"/>
      <c r="T3528" s="1"/>
      <c r="U3528" s="1"/>
      <c r="V3528" s="1"/>
      <c r="W3528" s="1"/>
      <c r="X3528" s="1"/>
    </row>
    <row x14ac:dyDescent="0.25" r="3529" customHeight="1" ht="18.75">
      <c r="A3529" s="1"/>
      <c r="B3529" s="1"/>
      <c r="C3529" s="3" t="s">
        <v>121</v>
      </c>
      <c r="D3529" s="3" t="s">
        <v>3568</v>
      </c>
      <c r="E3529" s="1"/>
      <c r="F3529" s="1"/>
      <c r="G3529" s="1"/>
      <c r="H3529" s="1"/>
      <c r="I3529" s="2"/>
      <c r="J3529" s="1"/>
      <c r="K3529" s="1"/>
      <c r="L3529" s="1"/>
      <c r="M3529" s="1"/>
      <c r="N3529" s="1"/>
      <c r="O3529" s="1"/>
      <c r="P3529" s="1"/>
      <c r="Q3529" s="1"/>
      <c r="R3529" s="1"/>
      <c r="S3529" s="1"/>
      <c r="T3529" s="1"/>
      <c r="U3529" s="1"/>
      <c r="V3529" s="1"/>
      <c r="W3529" s="1"/>
      <c r="X3529" s="1"/>
    </row>
    <row x14ac:dyDescent="0.25" r="3530" customHeight="1" ht="18.75">
      <c r="A3530" s="1"/>
      <c r="B3530" s="1"/>
      <c r="C3530" s="3" t="s">
        <v>121</v>
      </c>
      <c r="D3530" s="3" t="s">
        <v>3569</v>
      </c>
      <c r="E3530" s="1"/>
      <c r="F3530" s="1"/>
      <c r="G3530" s="1"/>
      <c r="H3530" s="1"/>
      <c r="I3530" s="2"/>
      <c r="J3530" s="1"/>
      <c r="K3530" s="1"/>
      <c r="L3530" s="1"/>
      <c r="M3530" s="1"/>
      <c r="N3530" s="1"/>
      <c r="O3530" s="1"/>
      <c r="P3530" s="1"/>
      <c r="Q3530" s="1"/>
      <c r="R3530" s="1"/>
      <c r="S3530" s="1"/>
      <c r="T3530" s="1"/>
      <c r="U3530" s="1"/>
      <c r="V3530" s="1"/>
      <c r="W3530" s="1"/>
      <c r="X3530" s="1"/>
    </row>
    <row x14ac:dyDescent="0.25" r="3531" customHeight="1" ht="18.75">
      <c r="A3531" s="1"/>
      <c r="B3531" s="1"/>
      <c r="C3531" s="3" t="s">
        <v>121</v>
      </c>
      <c r="D3531" s="3" t="s">
        <v>3570</v>
      </c>
      <c r="E3531" s="1"/>
      <c r="F3531" s="1"/>
      <c r="G3531" s="1"/>
      <c r="H3531" s="1"/>
      <c r="I3531" s="2"/>
      <c r="J3531" s="1"/>
      <c r="K3531" s="1"/>
      <c r="L3531" s="1"/>
      <c r="M3531" s="1"/>
      <c r="N3531" s="1"/>
      <c r="O3531" s="1"/>
      <c r="P3531" s="1"/>
      <c r="Q3531" s="1"/>
      <c r="R3531" s="1"/>
      <c r="S3531" s="1"/>
      <c r="T3531" s="1"/>
      <c r="U3531" s="1"/>
      <c r="V3531" s="1"/>
      <c r="W3531" s="1"/>
      <c r="X3531" s="1"/>
    </row>
    <row x14ac:dyDescent="0.25" r="3532" customHeight="1" ht="18.75">
      <c r="A3532" s="1"/>
      <c r="B3532" s="1"/>
      <c r="C3532" s="3" t="s">
        <v>121</v>
      </c>
      <c r="D3532" s="3" t="s">
        <v>3571</v>
      </c>
      <c r="E3532" s="1"/>
      <c r="F3532" s="1"/>
      <c r="G3532" s="1"/>
      <c r="H3532" s="1"/>
      <c r="I3532" s="2"/>
      <c r="J3532" s="1"/>
      <c r="K3532" s="1"/>
      <c r="L3532" s="1"/>
      <c r="M3532" s="1"/>
      <c r="N3532" s="1"/>
      <c r="O3532" s="1"/>
      <c r="P3532" s="1"/>
      <c r="Q3532" s="1"/>
      <c r="R3532" s="1"/>
      <c r="S3532" s="1"/>
      <c r="T3532" s="1"/>
      <c r="U3532" s="1"/>
      <c r="V3532" s="1"/>
      <c r="W3532" s="1"/>
      <c r="X3532" s="1"/>
    </row>
    <row x14ac:dyDescent="0.25" r="3533" customHeight="1" ht="18.75">
      <c r="A3533" s="1"/>
      <c r="B3533" s="1"/>
      <c r="C3533" s="3" t="s">
        <v>121</v>
      </c>
      <c r="D3533" s="3" t="s">
        <v>3572</v>
      </c>
      <c r="E3533" s="1"/>
      <c r="F3533" s="1"/>
      <c r="G3533" s="1"/>
      <c r="H3533" s="1"/>
      <c r="I3533" s="2"/>
      <c r="J3533" s="1"/>
      <c r="K3533" s="1"/>
      <c r="L3533" s="1"/>
      <c r="M3533" s="1"/>
      <c r="N3533" s="1"/>
      <c r="O3533" s="1"/>
      <c r="P3533" s="1"/>
      <c r="Q3533" s="1"/>
      <c r="R3533" s="1"/>
      <c r="S3533" s="1"/>
      <c r="T3533" s="1"/>
      <c r="U3533" s="1"/>
      <c r="V3533" s="1"/>
      <c r="W3533" s="1"/>
      <c r="X3533" s="1"/>
    </row>
    <row x14ac:dyDescent="0.25" r="3534" customHeight="1" ht="18.75">
      <c r="A3534" s="1"/>
      <c r="B3534" s="1"/>
      <c r="C3534" s="3" t="s">
        <v>121</v>
      </c>
      <c r="D3534" s="3" t="s">
        <v>3573</v>
      </c>
      <c r="E3534" s="1"/>
      <c r="F3534" s="1"/>
      <c r="G3534" s="1"/>
      <c r="H3534" s="1"/>
      <c r="I3534" s="2"/>
      <c r="J3534" s="1"/>
      <c r="K3534" s="1"/>
      <c r="L3534" s="1"/>
      <c r="M3534" s="1"/>
      <c r="N3534" s="1"/>
      <c r="O3534" s="1"/>
      <c r="P3534" s="1"/>
      <c r="Q3534" s="1"/>
      <c r="R3534" s="1"/>
      <c r="S3534" s="1"/>
      <c r="T3534" s="1"/>
      <c r="U3534" s="1"/>
      <c r="V3534" s="1"/>
      <c r="W3534" s="1"/>
      <c r="X3534" s="1"/>
    </row>
    <row x14ac:dyDescent="0.25" r="3535" customHeight="1" ht="18.75">
      <c r="A3535" s="1"/>
      <c r="B3535" s="1"/>
      <c r="C3535" s="3" t="s">
        <v>121</v>
      </c>
      <c r="D3535" s="3" t="s">
        <v>3574</v>
      </c>
      <c r="E3535" s="1"/>
      <c r="F3535" s="1"/>
      <c r="G3535" s="1"/>
      <c r="H3535" s="1"/>
      <c r="I3535" s="2"/>
      <c r="J3535" s="1"/>
      <c r="K3535" s="1"/>
      <c r="L3535" s="1"/>
      <c r="M3535" s="1"/>
      <c r="N3535" s="1"/>
      <c r="O3535" s="1"/>
      <c r="P3535" s="1"/>
      <c r="Q3535" s="1"/>
      <c r="R3535" s="1"/>
      <c r="S3535" s="1"/>
      <c r="T3535" s="1"/>
      <c r="U3535" s="1"/>
      <c r="V3535" s="1"/>
      <c r="W3535" s="1"/>
      <c r="X3535" s="1"/>
    </row>
    <row x14ac:dyDescent="0.25" r="3536" customHeight="1" ht="18.75">
      <c r="A3536" s="1"/>
      <c r="B3536" s="1"/>
      <c r="C3536" s="3" t="s">
        <v>121</v>
      </c>
      <c r="D3536" s="3" t="s">
        <v>3575</v>
      </c>
      <c r="E3536" s="1"/>
      <c r="F3536" s="1"/>
      <c r="G3536" s="1"/>
      <c r="H3536" s="1"/>
      <c r="I3536" s="2"/>
      <c r="J3536" s="1"/>
      <c r="K3536" s="1"/>
      <c r="L3536" s="1"/>
      <c r="M3536" s="1"/>
      <c r="N3536" s="1"/>
      <c r="O3536" s="1"/>
      <c r="P3536" s="1"/>
      <c r="Q3536" s="1"/>
      <c r="R3536" s="1"/>
      <c r="S3536" s="1"/>
      <c r="T3536" s="1"/>
      <c r="U3536" s="1"/>
      <c r="V3536" s="1"/>
      <c r="W3536" s="1"/>
      <c r="X3536" s="1"/>
    </row>
    <row x14ac:dyDescent="0.25" r="3537" customHeight="1" ht="18.75">
      <c r="A3537" s="1"/>
      <c r="B3537" s="1"/>
      <c r="C3537" s="3" t="s">
        <v>121</v>
      </c>
      <c r="D3537" s="3" t="s">
        <v>3576</v>
      </c>
      <c r="E3537" s="1"/>
      <c r="F3537" s="1"/>
      <c r="G3537" s="1"/>
      <c r="H3537" s="1"/>
      <c r="I3537" s="2"/>
      <c r="J3537" s="1"/>
      <c r="K3537" s="1"/>
      <c r="L3537" s="1"/>
      <c r="M3537" s="1"/>
      <c r="N3537" s="1"/>
      <c r="O3537" s="1"/>
      <c r="P3537" s="1"/>
      <c r="Q3537" s="1"/>
      <c r="R3537" s="1"/>
      <c r="S3537" s="1"/>
      <c r="T3537" s="1"/>
      <c r="U3537" s="1"/>
      <c r="V3537" s="1"/>
      <c r="W3537" s="1"/>
      <c r="X3537" s="1"/>
    </row>
    <row x14ac:dyDescent="0.25" r="3538" customHeight="1" ht="18.75">
      <c r="A3538" s="1"/>
      <c r="B3538" s="1"/>
      <c r="C3538" s="3" t="s">
        <v>121</v>
      </c>
      <c r="D3538" s="3" t="s">
        <v>3577</v>
      </c>
      <c r="E3538" s="1"/>
      <c r="F3538" s="1"/>
      <c r="G3538" s="1"/>
      <c r="H3538" s="1"/>
      <c r="I3538" s="2"/>
      <c r="J3538" s="1"/>
      <c r="K3538" s="1"/>
      <c r="L3538" s="1"/>
      <c r="M3538" s="1"/>
      <c r="N3538" s="1"/>
      <c r="O3538" s="1"/>
      <c r="P3538" s="1"/>
      <c r="Q3538" s="1"/>
      <c r="R3538" s="1"/>
      <c r="S3538" s="1"/>
      <c r="T3538" s="1"/>
      <c r="U3538" s="1"/>
      <c r="V3538" s="1"/>
      <c r="W3538" s="1"/>
      <c r="X3538" s="1"/>
    </row>
    <row x14ac:dyDescent="0.25" r="3539" customHeight="1" ht="18.75">
      <c r="A3539" s="1"/>
      <c r="B3539" s="1"/>
      <c r="C3539" s="3" t="s">
        <v>121</v>
      </c>
      <c r="D3539" s="3" t="s">
        <v>3578</v>
      </c>
      <c r="E3539" s="1"/>
      <c r="F3539" s="1"/>
      <c r="G3539" s="1"/>
      <c r="H3539" s="1"/>
      <c r="I3539" s="2"/>
      <c r="J3539" s="1"/>
      <c r="K3539" s="1"/>
      <c r="L3539" s="1"/>
      <c r="M3539" s="1"/>
      <c r="N3539" s="1"/>
      <c r="O3539" s="1"/>
      <c r="P3539" s="1"/>
      <c r="Q3539" s="1"/>
      <c r="R3539" s="1"/>
      <c r="S3539" s="1"/>
      <c r="T3539" s="1"/>
      <c r="U3539" s="1"/>
      <c r="V3539" s="1"/>
      <c r="W3539" s="1"/>
      <c r="X3539" s="1"/>
    </row>
    <row x14ac:dyDescent="0.25" r="3540" customHeight="1" ht="18.75">
      <c r="A3540" s="1"/>
      <c r="B3540" s="1"/>
      <c r="C3540" s="3" t="s">
        <v>121</v>
      </c>
      <c r="D3540" s="3" t="s">
        <v>3579</v>
      </c>
      <c r="E3540" s="1"/>
      <c r="F3540" s="1"/>
      <c r="G3540" s="1"/>
      <c r="H3540" s="1"/>
      <c r="I3540" s="2"/>
      <c r="J3540" s="1"/>
      <c r="K3540" s="1"/>
      <c r="L3540" s="1"/>
      <c r="M3540" s="1"/>
      <c r="N3540" s="1"/>
      <c r="O3540" s="1"/>
      <c r="P3540" s="1"/>
      <c r="Q3540" s="1"/>
      <c r="R3540" s="1"/>
      <c r="S3540" s="1"/>
      <c r="T3540" s="1"/>
      <c r="U3540" s="1"/>
      <c r="V3540" s="1"/>
      <c r="W3540" s="1"/>
      <c r="X3540" s="1"/>
    </row>
    <row x14ac:dyDescent="0.25" r="3541" customHeight="1" ht="18.75">
      <c r="A3541" s="1"/>
      <c r="B3541" s="1"/>
      <c r="C3541" s="3" t="s">
        <v>121</v>
      </c>
      <c r="D3541" s="3" t="s">
        <v>3580</v>
      </c>
      <c r="E3541" s="1"/>
      <c r="F3541" s="1"/>
      <c r="G3541" s="1"/>
      <c r="H3541" s="1"/>
      <c r="I3541" s="2"/>
      <c r="J3541" s="1"/>
      <c r="K3541" s="1"/>
      <c r="L3541" s="1"/>
      <c r="M3541" s="1"/>
      <c r="N3541" s="1"/>
      <c r="O3541" s="1"/>
      <c r="P3541" s="1"/>
      <c r="Q3541" s="1"/>
      <c r="R3541" s="1"/>
      <c r="S3541" s="1"/>
      <c r="T3541" s="1"/>
      <c r="U3541" s="1"/>
      <c r="V3541" s="1"/>
      <c r="W3541" s="1"/>
      <c r="X3541" s="1"/>
    </row>
    <row x14ac:dyDescent="0.25" r="3542" customHeight="1" ht="18.75">
      <c r="A3542" s="1"/>
      <c r="B3542" s="1"/>
      <c r="C3542" s="3" t="s">
        <v>121</v>
      </c>
      <c r="D3542" s="3" t="s">
        <v>3581</v>
      </c>
      <c r="E3542" s="1"/>
      <c r="F3542" s="1"/>
      <c r="G3542" s="1"/>
      <c r="H3542" s="1"/>
      <c r="I3542" s="2"/>
      <c r="J3542" s="1"/>
      <c r="K3542" s="1"/>
      <c r="L3542" s="1"/>
      <c r="M3542" s="1"/>
      <c r="N3542" s="1"/>
      <c r="O3542" s="1"/>
      <c r="P3542" s="1"/>
      <c r="Q3542" s="1"/>
      <c r="R3542" s="1"/>
      <c r="S3542" s="1"/>
      <c r="T3542" s="1"/>
      <c r="U3542" s="1"/>
      <c r="V3542" s="1"/>
      <c r="W3542" s="1"/>
      <c r="X3542" s="1"/>
    </row>
    <row x14ac:dyDescent="0.25" r="3543" customHeight="1" ht="18.75">
      <c r="A3543" s="1"/>
      <c r="B3543" s="1"/>
      <c r="C3543" s="3" t="s">
        <v>121</v>
      </c>
      <c r="D3543" s="3" t="s">
        <v>3582</v>
      </c>
      <c r="E3543" s="1"/>
      <c r="F3543" s="1"/>
      <c r="G3543" s="1"/>
      <c r="H3543" s="1"/>
      <c r="I3543" s="2"/>
      <c r="J3543" s="1"/>
      <c r="K3543" s="1"/>
      <c r="L3543" s="1"/>
      <c r="M3543" s="1"/>
      <c r="N3543" s="1"/>
      <c r="O3543" s="1"/>
      <c r="P3543" s="1"/>
      <c r="Q3543" s="1"/>
      <c r="R3543" s="1"/>
      <c r="S3543" s="1"/>
      <c r="T3543" s="1"/>
      <c r="U3543" s="1"/>
      <c r="V3543" s="1"/>
      <c r="W3543" s="1"/>
      <c r="X3543" s="1"/>
    </row>
    <row x14ac:dyDescent="0.25" r="3544" customHeight="1" ht="18.75">
      <c r="A3544" s="1"/>
      <c r="B3544" s="1"/>
      <c r="C3544" s="3" t="s">
        <v>121</v>
      </c>
      <c r="D3544" s="3" t="s">
        <v>3583</v>
      </c>
      <c r="E3544" s="1"/>
      <c r="F3544" s="1"/>
      <c r="G3544" s="1"/>
      <c r="H3544" s="1"/>
      <c r="I3544" s="2"/>
      <c r="J3544" s="1"/>
      <c r="K3544" s="1"/>
      <c r="L3544" s="1"/>
      <c r="M3544" s="1"/>
      <c r="N3544" s="1"/>
      <c r="O3544" s="1"/>
      <c r="P3544" s="1"/>
      <c r="Q3544" s="1"/>
      <c r="R3544" s="1"/>
      <c r="S3544" s="1"/>
      <c r="T3544" s="1"/>
      <c r="U3544" s="1"/>
      <c r="V3544" s="1"/>
      <c r="W3544" s="1"/>
      <c r="X3544" s="1"/>
    </row>
    <row x14ac:dyDescent="0.25" r="3545" customHeight="1" ht="18.75">
      <c r="A3545" s="1"/>
      <c r="B3545" s="1"/>
      <c r="C3545" s="3" t="s">
        <v>121</v>
      </c>
      <c r="D3545" s="3" t="s">
        <v>3584</v>
      </c>
      <c r="E3545" s="1"/>
      <c r="F3545" s="1"/>
      <c r="G3545" s="1"/>
      <c r="H3545" s="1"/>
      <c r="I3545" s="2"/>
      <c r="J3545" s="1"/>
      <c r="K3545" s="1"/>
      <c r="L3545" s="1"/>
      <c r="M3545" s="1"/>
      <c r="N3545" s="1"/>
      <c r="O3545" s="1"/>
      <c r="P3545" s="1"/>
      <c r="Q3545" s="1"/>
      <c r="R3545" s="1"/>
      <c r="S3545" s="1"/>
      <c r="T3545" s="1"/>
      <c r="U3545" s="1"/>
      <c r="V3545" s="1"/>
      <c r="W3545" s="1"/>
      <c r="X3545" s="1"/>
    </row>
    <row x14ac:dyDescent="0.25" r="3546" customHeight="1" ht="18.75">
      <c r="A3546" s="1"/>
      <c r="B3546" s="1"/>
      <c r="C3546" s="1"/>
      <c r="D3546" s="1"/>
      <c r="E3546" s="1"/>
      <c r="F3546" s="1"/>
      <c r="G3546" s="1"/>
      <c r="H3546" s="1"/>
      <c r="I3546" s="2"/>
      <c r="J3546" s="1"/>
      <c r="K3546" s="1"/>
      <c r="L3546" s="1"/>
      <c r="M3546" s="1"/>
      <c r="N3546" s="1"/>
      <c r="O3546" s="1"/>
      <c r="P3546" s="1"/>
      <c r="Q3546" s="1"/>
      <c r="R3546" s="1"/>
      <c r="S3546" s="1"/>
      <c r="T3546" s="1"/>
      <c r="U3546" s="1"/>
      <c r="V3546" s="1"/>
      <c r="W3546" s="1"/>
      <c r="X3546" s="1"/>
    </row>
    <row x14ac:dyDescent="0.25" r="3547" customHeight="1" ht="18.75">
      <c r="A3547" s="1"/>
      <c r="B3547" s="1"/>
      <c r="C3547" s="1"/>
      <c r="D3547" s="1"/>
      <c r="E3547" s="1"/>
      <c r="F3547" s="1"/>
      <c r="G3547" s="1"/>
      <c r="H3547" s="1"/>
      <c r="I3547" s="2"/>
      <c r="J3547" s="1"/>
      <c r="K3547" s="1"/>
      <c r="L3547" s="1"/>
      <c r="M3547" s="1"/>
      <c r="N3547" s="1"/>
      <c r="O3547" s="1"/>
      <c r="P3547" s="1"/>
      <c r="Q3547" s="1"/>
      <c r="R3547" s="1"/>
      <c r="S3547" s="1"/>
      <c r="T3547" s="1"/>
      <c r="U3547" s="1"/>
      <c r="V3547" s="1"/>
      <c r="W3547" s="1"/>
      <c r="X3547" s="1"/>
    </row>
    <row x14ac:dyDescent="0.25" r="3548" customHeight="1" ht="18.75">
      <c r="A3548" s="1"/>
      <c r="B3548" s="1"/>
      <c r="C3548" s="1"/>
      <c r="D3548" s="1"/>
      <c r="E3548" s="1"/>
      <c r="F3548" s="1"/>
      <c r="G3548" s="1"/>
      <c r="H3548" s="1"/>
      <c r="I3548" s="2"/>
      <c r="J3548" s="1"/>
      <c r="K3548" s="1"/>
      <c r="L3548" s="1"/>
      <c r="M3548" s="1"/>
      <c r="N3548" s="1"/>
      <c r="O3548" s="1"/>
      <c r="P3548" s="1"/>
      <c r="Q3548" s="1"/>
      <c r="R3548" s="1"/>
      <c r="S3548" s="1"/>
      <c r="T3548" s="1"/>
      <c r="U3548" s="1"/>
      <c r="V3548" s="1"/>
      <c r="W3548" s="1"/>
      <c r="X3548" s="1"/>
    </row>
    <row x14ac:dyDescent="0.25" r="3549" customHeight="1" ht="18.75">
      <c r="A3549" s="1"/>
      <c r="B3549" s="1"/>
      <c r="C3549" s="1"/>
      <c r="D3549" s="1"/>
      <c r="E3549" s="1"/>
      <c r="F3549" s="1"/>
      <c r="G3549" s="1"/>
      <c r="H3549" s="1"/>
      <c r="I3549" s="2"/>
      <c r="J3549" s="1"/>
      <c r="K3549" s="1"/>
      <c r="L3549" s="1"/>
      <c r="M3549" s="1"/>
      <c r="N3549" s="1"/>
      <c r="O3549" s="1"/>
      <c r="P3549" s="1"/>
      <c r="Q3549" s="1"/>
      <c r="R3549" s="1"/>
      <c r="S3549" s="1"/>
      <c r="T3549" s="1"/>
      <c r="U3549" s="1"/>
      <c r="V3549" s="1"/>
      <c r="W3549" s="1"/>
      <c r="X3549" s="1"/>
    </row>
    <row x14ac:dyDescent="0.25" r="3550" customHeight="1" ht="18.75">
      <c r="A3550" s="1"/>
      <c r="B3550" s="1"/>
      <c r="C3550" s="1"/>
      <c r="D3550" s="1"/>
      <c r="E3550" s="1"/>
      <c r="F3550" s="1"/>
      <c r="G3550" s="1"/>
      <c r="H3550" s="1"/>
      <c r="I3550" s="2"/>
      <c r="J3550" s="1"/>
      <c r="K3550" s="1"/>
      <c r="L3550" s="1"/>
      <c r="M3550" s="1"/>
      <c r="N3550" s="1"/>
      <c r="O3550" s="1"/>
      <c r="P3550" s="1"/>
      <c r="Q3550" s="1"/>
      <c r="R3550" s="1"/>
      <c r="S3550" s="1"/>
      <c r="T3550" s="1"/>
      <c r="U3550" s="1"/>
      <c r="V3550" s="1"/>
      <c r="W3550" s="1"/>
      <c r="X3550" s="1"/>
    </row>
    <row x14ac:dyDescent="0.25" r="3551" customHeight="1" ht="18.75">
      <c r="A3551" s="1"/>
      <c r="B3551" s="1"/>
      <c r="C3551" s="1"/>
      <c r="D3551" s="1"/>
      <c r="E3551" s="1"/>
      <c r="F3551" s="1"/>
      <c r="G3551" s="1"/>
      <c r="H3551" s="1"/>
      <c r="I3551" s="2"/>
      <c r="J3551" s="1"/>
      <c r="K3551" s="1"/>
      <c r="L3551" s="1"/>
      <c r="M3551" s="1"/>
      <c r="N3551" s="1"/>
      <c r="O3551" s="1"/>
      <c r="P3551" s="1"/>
      <c r="Q3551" s="1"/>
      <c r="R3551" s="1"/>
      <c r="S3551" s="1"/>
      <c r="T3551" s="1"/>
      <c r="U3551" s="1"/>
      <c r="V3551" s="1"/>
      <c r="W3551" s="1"/>
      <c r="X3551" s="1"/>
    </row>
    <row x14ac:dyDescent="0.25" r="3552" customHeight="1" ht="18.75">
      <c r="A3552" s="1"/>
      <c r="B3552" s="1"/>
      <c r="C3552" s="1"/>
      <c r="D3552" s="1"/>
      <c r="E3552" s="1"/>
      <c r="F3552" s="1"/>
      <c r="G3552" s="1"/>
      <c r="H3552" s="1"/>
      <c r="I3552" s="2"/>
      <c r="J3552" s="1"/>
      <c r="K3552" s="1"/>
      <c r="L3552" s="1"/>
      <c r="M3552" s="1"/>
      <c r="N3552" s="1"/>
      <c r="O3552" s="1"/>
      <c r="P3552" s="1"/>
      <c r="Q3552" s="1"/>
      <c r="R3552" s="1"/>
      <c r="S3552" s="1"/>
      <c r="T3552" s="1"/>
      <c r="U3552" s="1"/>
      <c r="V3552" s="1"/>
      <c r="W3552" s="1"/>
      <c r="X3552" s="1"/>
    </row>
    <row x14ac:dyDescent="0.25" r="3553" customHeight="1" ht="18.75">
      <c r="A3553" s="1"/>
      <c r="B3553" s="1"/>
      <c r="C3553" s="1"/>
      <c r="D3553" s="1"/>
      <c r="E3553" s="1"/>
      <c r="F3553" s="1"/>
      <c r="G3553" s="1"/>
      <c r="H3553" s="1"/>
      <c r="I3553" s="2"/>
      <c r="J3553" s="1"/>
      <c r="K3553" s="1"/>
      <c r="L3553" s="1"/>
      <c r="M3553" s="1"/>
      <c r="N3553" s="1"/>
      <c r="O3553" s="1"/>
      <c r="P3553" s="1"/>
      <c r="Q3553" s="1"/>
      <c r="R3553" s="1"/>
      <c r="S3553" s="1"/>
      <c r="T3553" s="1"/>
      <c r="U3553" s="1"/>
      <c r="V3553" s="1"/>
      <c r="W3553" s="1"/>
      <c r="X3553" s="1"/>
    </row>
    <row x14ac:dyDescent="0.25" r="3554" customHeight="1" ht="18.75">
      <c r="A3554" s="1"/>
      <c r="B3554" s="1"/>
      <c r="C3554" s="1"/>
      <c r="D3554" s="1"/>
      <c r="E3554" s="1"/>
      <c r="F3554" s="1"/>
      <c r="G3554" s="1"/>
      <c r="H3554" s="1"/>
      <c r="I3554" s="2"/>
      <c r="J3554" s="1"/>
      <c r="K3554" s="1"/>
      <c r="L3554" s="1"/>
      <c r="M3554" s="1"/>
      <c r="N3554" s="1"/>
      <c r="O3554" s="1"/>
      <c r="P3554" s="1"/>
      <c r="Q3554" s="1"/>
      <c r="R3554" s="1"/>
      <c r="S3554" s="1"/>
      <c r="T3554" s="1"/>
      <c r="U3554" s="1"/>
      <c r="V3554" s="1"/>
      <c r="W3554" s="1"/>
      <c r="X3554" s="1"/>
    </row>
    <row x14ac:dyDescent="0.25" r="3555" customHeight="1" ht="18.75">
      <c r="A3555" s="1"/>
      <c r="B3555" s="1"/>
      <c r="C3555" s="1"/>
      <c r="D3555" s="1"/>
      <c r="E3555" s="1"/>
      <c r="F3555" s="1"/>
      <c r="G3555" s="1"/>
      <c r="H3555" s="1"/>
      <c r="I3555" s="2"/>
      <c r="J3555" s="1"/>
      <c r="K3555" s="1"/>
      <c r="L3555" s="1"/>
      <c r="M3555" s="1"/>
      <c r="N3555" s="1"/>
      <c r="O3555" s="1"/>
      <c r="P3555" s="1"/>
      <c r="Q3555" s="1"/>
      <c r="R3555" s="1"/>
      <c r="S3555" s="1"/>
      <c r="T3555" s="1"/>
      <c r="U3555" s="1"/>
      <c r="V3555" s="1"/>
      <c r="W3555" s="1"/>
      <c r="X3555" s="1"/>
    </row>
    <row x14ac:dyDescent="0.25" r="3556" customHeight="1" ht="18.75">
      <c r="A3556" s="1"/>
      <c r="B3556" s="1"/>
      <c r="C3556" s="1"/>
      <c r="D3556" s="1"/>
      <c r="E3556" s="1"/>
      <c r="F3556" s="1"/>
      <c r="G3556" s="1"/>
      <c r="H3556" s="1"/>
      <c r="I3556" s="2"/>
      <c r="J3556" s="1"/>
      <c r="K3556" s="1"/>
      <c r="L3556" s="1"/>
      <c r="M3556" s="1"/>
      <c r="N3556" s="1"/>
      <c r="O3556" s="1"/>
      <c r="P3556" s="1"/>
      <c r="Q3556" s="1"/>
      <c r="R3556" s="1"/>
      <c r="S3556" s="1"/>
      <c r="T3556" s="1"/>
      <c r="U3556" s="1"/>
      <c r="V3556" s="1"/>
      <c r="W3556" s="1"/>
      <c r="X3556" s="1"/>
    </row>
    <row x14ac:dyDescent="0.25" r="3557" customHeight="1" ht="18.75">
      <c r="A3557" s="1"/>
      <c r="B3557" s="1"/>
      <c r="C3557" s="1"/>
      <c r="D3557" s="1"/>
      <c r="E3557" s="1"/>
      <c r="F3557" s="1"/>
      <c r="G3557" s="1"/>
      <c r="H3557" s="1"/>
      <c r="I3557" s="2"/>
      <c r="J3557" s="1"/>
      <c r="K3557" s="1"/>
      <c r="L3557" s="1"/>
      <c r="M3557" s="1"/>
      <c r="N3557" s="1"/>
      <c r="O3557" s="1"/>
      <c r="P3557" s="1"/>
      <c r="Q3557" s="1"/>
      <c r="R3557" s="1"/>
      <c r="S3557" s="1"/>
      <c r="T3557" s="1"/>
      <c r="U3557" s="1"/>
      <c r="V3557" s="1"/>
      <c r="W3557" s="1"/>
      <c r="X3557" s="1"/>
    </row>
    <row x14ac:dyDescent="0.25" r="3558" customHeight="1" ht="18.75">
      <c r="A3558" s="1"/>
      <c r="B3558" s="1"/>
      <c r="C3558" s="1"/>
      <c r="D3558" s="1"/>
      <c r="E3558" s="1"/>
      <c r="F3558" s="1"/>
      <c r="G3558" s="1"/>
      <c r="H3558" s="1"/>
      <c r="I3558" s="2"/>
      <c r="J3558" s="1"/>
      <c r="K3558" s="1"/>
      <c r="L3558" s="1"/>
      <c r="M3558" s="1"/>
      <c r="N3558" s="1"/>
      <c r="O3558" s="1"/>
      <c r="P3558" s="1"/>
      <c r="Q3558" s="1"/>
      <c r="R3558" s="1"/>
      <c r="S3558" s="1"/>
      <c r="T3558" s="1"/>
      <c r="U3558" s="1"/>
      <c r="V3558" s="1"/>
      <c r="W3558" s="1"/>
      <c r="X3558" s="1"/>
    </row>
    <row x14ac:dyDescent="0.25" r="3559" customHeight="1" ht="18.75">
      <c r="A3559" s="1"/>
      <c r="B3559" s="1"/>
      <c r="C3559" s="1"/>
      <c r="D3559" s="1"/>
      <c r="E3559" s="1"/>
      <c r="F3559" s="1"/>
      <c r="G3559" s="1"/>
      <c r="H3559" s="1"/>
      <c r="I3559" s="2"/>
      <c r="J3559" s="1"/>
      <c r="K3559" s="1"/>
      <c r="L3559" s="1"/>
      <c r="M3559" s="1"/>
      <c r="N3559" s="1"/>
      <c r="O3559" s="1"/>
      <c r="P3559" s="1"/>
      <c r="Q3559" s="1"/>
      <c r="R3559" s="1"/>
      <c r="S3559" s="1"/>
      <c r="T3559" s="1"/>
      <c r="U3559" s="1"/>
      <c r="V3559" s="1"/>
      <c r="W3559" s="1"/>
      <c r="X3559" s="1"/>
    </row>
    <row x14ac:dyDescent="0.25" r="3560" customHeight="1" ht="18.75">
      <c r="A3560" s="1"/>
      <c r="B3560" s="1"/>
      <c r="C3560" s="1"/>
      <c r="D3560" s="1"/>
      <c r="E3560" s="1"/>
      <c r="F3560" s="1"/>
      <c r="G3560" s="1"/>
      <c r="H3560" s="1"/>
      <c r="I3560" s="2"/>
      <c r="J3560" s="1"/>
      <c r="K3560" s="1"/>
      <c r="L3560" s="1"/>
      <c r="M3560" s="1"/>
      <c r="N3560" s="1"/>
      <c r="O3560" s="1"/>
      <c r="P3560" s="1"/>
      <c r="Q3560" s="1"/>
      <c r="R3560" s="1"/>
      <c r="S3560" s="1"/>
      <c r="T3560" s="1"/>
      <c r="U3560" s="1"/>
      <c r="V3560" s="1"/>
      <c r="W3560" s="1"/>
      <c r="X3560" s="1"/>
    </row>
    <row x14ac:dyDescent="0.25" r="3561" customHeight="1" ht="18.75">
      <c r="A3561" s="1"/>
      <c r="B3561" s="1"/>
      <c r="C3561" s="1"/>
      <c r="D3561" s="1"/>
      <c r="E3561" s="1"/>
      <c r="F3561" s="1"/>
      <c r="G3561" s="1"/>
      <c r="H3561" s="1"/>
      <c r="I3561" s="2"/>
      <c r="J3561" s="1"/>
      <c r="K3561" s="1"/>
      <c r="L3561" s="1"/>
      <c r="M3561" s="1"/>
      <c r="N3561" s="1"/>
      <c r="O3561" s="1"/>
      <c r="P3561" s="1"/>
      <c r="Q3561" s="1"/>
      <c r="R3561" s="1"/>
      <c r="S3561" s="1"/>
      <c r="T3561" s="1"/>
      <c r="U3561" s="1"/>
      <c r="V3561" s="1"/>
      <c r="W3561" s="1"/>
      <c r="X3561" s="1"/>
    </row>
    <row x14ac:dyDescent="0.25" r="3562" customHeight="1" ht="18.75">
      <c r="A3562" s="1"/>
      <c r="B3562" s="1"/>
      <c r="C3562" s="1"/>
      <c r="D3562" s="1"/>
      <c r="E3562" s="1"/>
      <c r="F3562" s="1"/>
      <c r="G3562" s="1"/>
      <c r="H3562" s="1"/>
      <c r="I3562" s="2"/>
      <c r="J3562" s="1"/>
      <c r="K3562" s="1"/>
      <c r="L3562" s="1"/>
      <c r="M3562" s="1"/>
      <c r="N3562" s="1"/>
      <c r="O3562" s="1"/>
      <c r="P3562" s="1"/>
      <c r="Q3562" s="1"/>
      <c r="R3562" s="1"/>
      <c r="S3562" s="1"/>
      <c r="T3562" s="1"/>
      <c r="U3562" s="1"/>
      <c r="V3562" s="1"/>
      <c r="W3562" s="1"/>
      <c r="X3562" s="1"/>
    </row>
    <row x14ac:dyDescent="0.25" r="3563" customHeight="1" ht="18.75">
      <c r="A3563" s="1"/>
      <c r="B3563" s="1"/>
      <c r="C3563" s="1"/>
      <c r="D3563" s="1"/>
      <c r="E3563" s="1"/>
      <c r="F3563" s="1"/>
      <c r="G3563" s="1"/>
      <c r="H3563" s="1"/>
      <c r="I3563" s="2"/>
      <c r="J3563" s="1"/>
      <c r="K3563" s="1"/>
      <c r="L3563" s="1"/>
      <c r="M3563" s="1"/>
      <c r="N3563" s="1"/>
      <c r="O3563" s="1"/>
      <c r="P3563" s="1"/>
      <c r="Q3563" s="1"/>
      <c r="R3563" s="1"/>
      <c r="S3563" s="1"/>
      <c r="T3563" s="1"/>
      <c r="U3563" s="1"/>
      <c r="V3563" s="1"/>
      <c r="W3563" s="1"/>
      <c r="X3563" s="1"/>
    </row>
    <row x14ac:dyDescent="0.25" r="3564" customHeight="1" ht="18.75">
      <c r="A3564" s="1"/>
      <c r="B3564" s="1"/>
      <c r="C3564" s="1"/>
      <c r="D3564" s="1"/>
      <c r="E3564" s="1"/>
      <c r="F3564" s="1"/>
      <c r="G3564" s="1"/>
      <c r="H3564" s="1"/>
      <c r="I3564" s="2"/>
      <c r="J3564" s="1"/>
      <c r="K3564" s="1"/>
      <c r="L3564" s="1"/>
      <c r="M3564" s="1"/>
      <c r="N3564" s="1"/>
      <c r="O3564" s="1"/>
      <c r="P3564" s="1"/>
      <c r="Q3564" s="1"/>
      <c r="R3564" s="1"/>
      <c r="S3564" s="1"/>
      <c r="T3564" s="1"/>
      <c r="U3564" s="1"/>
      <c r="V3564" s="1"/>
      <c r="W3564" s="1"/>
      <c r="X3564" s="1"/>
    </row>
    <row x14ac:dyDescent="0.25" r="3565" customHeight="1" ht="18.75">
      <c r="A3565" s="1"/>
      <c r="B3565" s="1"/>
      <c r="C3565" s="1"/>
      <c r="D3565" s="1"/>
      <c r="E3565" s="1"/>
      <c r="F3565" s="1"/>
      <c r="G3565" s="1"/>
      <c r="H3565" s="1"/>
      <c r="I3565" s="2"/>
      <c r="J3565" s="1"/>
      <c r="K3565" s="1"/>
      <c r="L3565" s="1"/>
      <c r="M3565" s="1"/>
      <c r="N3565" s="1"/>
      <c r="O3565" s="1"/>
      <c r="P3565" s="1"/>
      <c r="Q3565" s="1"/>
      <c r="R3565" s="1"/>
      <c r="S3565" s="1"/>
      <c r="T3565" s="1"/>
      <c r="U3565" s="1"/>
      <c r="V3565" s="1"/>
      <c r="W3565" s="1"/>
      <c r="X3565" s="1"/>
    </row>
    <row x14ac:dyDescent="0.25" r="3566" customHeight="1" ht="18.75">
      <c r="A3566" s="1"/>
      <c r="B3566" s="1"/>
      <c r="C3566" s="1"/>
      <c r="D3566" s="1"/>
      <c r="E3566" s="1"/>
      <c r="F3566" s="1"/>
      <c r="G3566" s="1"/>
      <c r="H3566" s="1"/>
      <c r="I3566" s="2"/>
      <c r="J3566" s="1"/>
      <c r="K3566" s="1"/>
      <c r="L3566" s="1"/>
      <c r="M3566" s="1"/>
      <c r="N3566" s="1"/>
      <c r="O3566" s="1"/>
      <c r="P3566" s="1"/>
      <c r="Q3566" s="1"/>
      <c r="R3566" s="1"/>
      <c r="S3566" s="1"/>
      <c r="T3566" s="1"/>
      <c r="U3566" s="1"/>
      <c r="V3566" s="1"/>
      <c r="W3566" s="1"/>
      <c r="X3566" s="1"/>
    </row>
    <row x14ac:dyDescent="0.25" r="3567" customHeight="1" ht="18.75">
      <c r="A3567" s="1"/>
      <c r="B3567" s="1"/>
      <c r="C3567" s="1"/>
      <c r="D3567" s="1"/>
      <c r="E3567" s="1"/>
      <c r="F3567" s="1"/>
      <c r="G3567" s="1"/>
      <c r="H3567" s="1"/>
      <c r="I3567" s="2"/>
      <c r="J3567" s="1"/>
      <c r="K3567" s="1"/>
      <c r="L3567" s="1"/>
      <c r="M3567" s="1"/>
      <c r="N3567" s="1"/>
      <c r="O3567" s="1"/>
      <c r="P3567" s="1"/>
      <c r="Q3567" s="1"/>
      <c r="R3567" s="1"/>
      <c r="S3567" s="1"/>
      <c r="T3567" s="1"/>
      <c r="U3567" s="1"/>
      <c r="V3567" s="1"/>
      <c r="W3567" s="1"/>
      <c r="X3567" s="1"/>
    </row>
    <row x14ac:dyDescent="0.25" r="3568" customHeight="1" ht="18.75">
      <c r="A3568" s="1"/>
      <c r="B3568" s="1"/>
      <c r="C3568" s="1"/>
      <c r="D3568" s="1"/>
      <c r="E3568" s="1"/>
      <c r="F3568" s="1"/>
      <c r="G3568" s="1"/>
      <c r="H3568" s="1"/>
      <c r="I3568" s="2"/>
      <c r="J3568" s="1"/>
      <c r="K3568" s="1"/>
      <c r="L3568" s="1"/>
      <c r="M3568" s="1"/>
      <c r="N3568" s="1"/>
      <c r="O3568" s="1"/>
      <c r="P3568" s="1"/>
      <c r="Q3568" s="1"/>
      <c r="R3568" s="1"/>
      <c r="S3568" s="1"/>
      <c r="T3568" s="1"/>
      <c r="U3568" s="1"/>
      <c r="V3568" s="1"/>
      <c r="W3568" s="1"/>
      <c r="X3568" s="1"/>
    </row>
    <row x14ac:dyDescent="0.25" r="3569" customHeight="1" ht="18.75">
      <c r="A3569" s="1"/>
      <c r="B3569" s="1"/>
      <c r="C3569" s="1"/>
      <c r="D3569" s="1"/>
      <c r="E3569" s="1"/>
      <c r="F3569" s="1"/>
      <c r="G3569" s="1"/>
      <c r="H3569" s="1"/>
      <c r="I3569" s="2"/>
      <c r="J3569" s="1"/>
      <c r="K3569" s="1"/>
      <c r="L3569" s="1"/>
      <c r="M3569" s="1"/>
      <c r="N3569" s="1"/>
      <c r="O3569" s="1"/>
      <c r="P3569" s="1"/>
      <c r="Q3569" s="1"/>
      <c r="R3569" s="1"/>
      <c r="S3569" s="1"/>
      <c r="T3569" s="1"/>
      <c r="U3569" s="1"/>
      <c r="V3569" s="1"/>
      <c r="W3569" s="1"/>
      <c r="X3569" s="1"/>
    </row>
    <row x14ac:dyDescent="0.25" r="3570" customHeight="1" ht="18.75">
      <c r="A3570" s="1"/>
      <c r="B3570" s="1"/>
      <c r="C3570" s="1"/>
      <c r="D3570" s="1"/>
      <c r="E3570" s="1"/>
      <c r="F3570" s="1"/>
      <c r="G3570" s="1"/>
      <c r="H3570" s="1"/>
      <c r="I3570" s="2"/>
      <c r="J3570" s="1"/>
      <c r="K3570" s="1"/>
      <c r="L3570" s="1"/>
      <c r="M3570" s="1"/>
      <c r="N3570" s="1"/>
      <c r="O3570" s="1"/>
      <c r="P3570" s="1"/>
      <c r="Q3570" s="1"/>
      <c r="R3570" s="1"/>
      <c r="S3570" s="1"/>
      <c r="T3570" s="1"/>
      <c r="U3570" s="1"/>
      <c r="V3570" s="1"/>
      <c r="W3570" s="1"/>
      <c r="X3570" s="1"/>
    </row>
    <row x14ac:dyDescent="0.25" r="3571" customHeight="1" ht="18.75">
      <c r="A3571" s="1"/>
      <c r="B3571" s="1"/>
      <c r="C3571" s="1"/>
      <c r="D3571" s="1"/>
      <c r="E3571" s="1"/>
      <c r="F3571" s="1"/>
      <c r="G3571" s="1"/>
      <c r="H3571" s="1"/>
      <c r="I3571" s="2"/>
      <c r="J3571" s="1"/>
      <c r="K3571" s="1"/>
      <c r="L3571" s="1"/>
      <c r="M3571" s="1"/>
      <c r="N3571" s="1"/>
      <c r="O3571" s="1"/>
      <c r="P3571" s="1"/>
      <c r="Q3571" s="1"/>
      <c r="R3571" s="1"/>
      <c r="S3571" s="1"/>
      <c r="T3571" s="1"/>
      <c r="U3571" s="1"/>
      <c r="V3571" s="1"/>
      <c r="W3571" s="1"/>
      <c r="X3571" s="1"/>
    </row>
    <row x14ac:dyDescent="0.25" r="3572" customHeight="1" ht="18.75">
      <c r="A3572" s="1"/>
      <c r="B3572" s="1"/>
      <c r="C3572" s="1"/>
      <c r="D3572" s="1"/>
      <c r="E3572" s="1"/>
      <c r="F3572" s="1"/>
      <c r="G3572" s="1"/>
      <c r="H3572" s="1"/>
      <c r="I3572" s="2"/>
      <c r="J3572" s="1"/>
      <c r="K3572" s="1"/>
      <c r="L3572" s="1"/>
      <c r="M3572" s="1"/>
      <c r="N3572" s="1"/>
      <c r="O3572" s="1"/>
      <c r="P3572" s="1"/>
      <c r="Q3572" s="1"/>
      <c r="R3572" s="1"/>
      <c r="S3572" s="1"/>
      <c r="T3572" s="1"/>
      <c r="U3572" s="1"/>
      <c r="V3572" s="1"/>
      <c r="W3572" s="1"/>
      <c r="X3572" s="1"/>
    </row>
    <row x14ac:dyDescent="0.25" r="3573" customHeight="1" ht="18.75">
      <c r="A3573" s="1"/>
      <c r="B3573" s="1"/>
      <c r="C3573" s="1"/>
      <c r="D3573" s="1"/>
      <c r="E3573" s="1"/>
      <c r="F3573" s="1"/>
      <c r="G3573" s="1"/>
      <c r="H3573" s="1"/>
      <c r="I3573" s="2"/>
      <c r="J3573" s="1"/>
      <c r="K3573" s="1"/>
      <c r="L3573" s="1"/>
      <c r="M3573" s="1"/>
      <c r="N3573" s="1"/>
      <c r="O3573" s="1"/>
      <c r="P3573" s="1"/>
      <c r="Q3573" s="1"/>
      <c r="R3573" s="1"/>
      <c r="S3573" s="1"/>
      <c r="T3573" s="1"/>
      <c r="U3573" s="1"/>
      <c r="V3573" s="1"/>
      <c r="W3573" s="1"/>
      <c r="X3573" s="1"/>
    </row>
    <row x14ac:dyDescent="0.25" r="3574" customHeight="1" ht="18.75">
      <c r="A3574" s="1"/>
      <c r="B3574" s="1"/>
      <c r="C3574" s="1"/>
      <c r="D3574" s="1"/>
      <c r="E3574" s="1"/>
      <c r="F3574" s="1"/>
      <c r="G3574" s="1"/>
      <c r="H3574" s="1"/>
      <c r="I3574" s="2"/>
      <c r="J3574" s="1"/>
      <c r="K3574" s="1"/>
      <c r="L3574" s="1"/>
      <c r="M3574" s="1"/>
      <c r="N3574" s="1"/>
      <c r="O3574" s="1"/>
      <c r="P3574" s="1"/>
      <c r="Q3574" s="1"/>
      <c r="R3574" s="1"/>
      <c r="S3574" s="1"/>
      <c r="T3574" s="1"/>
      <c r="U3574" s="1"/>
      <c r="V3574" s="1"/>
      <c r="W3574" s="1"/>
      <c r="X3574" s="1"/>
    </row>
    <row x14ac:dyDescent="0.25" r="3575" customHeight="1" ht="18.75">
      <c r="A3575" s="1"/>
      <c r="B3575" s="1"/>
      <c r="C3575" s="1"/>
      <c r="D3575" s="1"/>
      <c r="E3575" s="1"/>
      <c r="F3575" s="1"/>
      <c r="G3575" s="1"/>
      <c r="H3575" s="1"/>
      <c r="I3575" s="2"/>
      <c r="J3575" s="1"/>
      <c r="K3575" s="1"/>
      <c r="L3575" s="1"/>
      <c r="M3575" s="1"/>
      <c r="N3575" s="1"/>
      <c r="O3575" s="1"/>
      <c r="P3575" s="1"/>
      <c r="Q3575" s="1"/>
      <c r="R3575" s="1"/>
      <c r="S3575" s="1"/>
      <c r="T3575" s="1"/>
      <c r="U3575" s="1"/>
      <c r="V3575" s="1"/>
      <c r="W3575" s="1"/>
      <c r="X3575" s="1"/>
    </row>
    <row x14ac:dyDescent="0.25" r="3576" customHeight="1" ht="18.75">
      <c r="A3576" s="1"/>
      <c r="B3576" s="1"/>
      <c r="C3576" s="1"/>
      <c r="D3576" s="1"/>
      <c r="E3576" s="1"/>
      <c r="F3576" s="1"/>
      <c r="G3576" s="1"/>
      <c r="H3576" s="1"/>
      <c r="I3576" s="2"/>
      <c r="J3576" s="1"/>
      <c r="K3576" s="1"/>
      <c r="L3576" s="1"/>
      <c r="M3576" s="1"/>
      <c r="N3576" s="1"/>
      <c r="O3576" s="1"/>
      <c r="P3576" s="1"/>
      <c r="Q3576" s="1"/>
      <c r="R3576" s="1"/>
      <c r="S3576" s="1"/>
      <c r="T3576" s="1"/>
      <c r="U3576" s="1"/>
      <c r="V3576" s="1"/>
      <c r="W3576" s="1"/>
      <c r="X3576" s="1"/>
    </row>
    <row x14ac:dyDescent="0.25" r="3577" customHeight="1" ht="18.75">
      <c r="A3577" s="1"/>
      <c r="B3577" s="1"/>
      <c r="C3577" s="1"/>
      <c r="D3577" s="1"/>
      <c r="E3577" s="1"/>
      <c r="F3577" s="1"/>
      <c r="G3577" s="1"/>
      <c r="H3577" s="1"/>
      <c r="I3577" s="2"/>
      <c r="J3577" s="1"/>
      <c r="K3577" s="1"/>
      <c r="L3577" s="1"/>
      <c r="M3577" s="1"/>
      <c r="N3577" s="1"/>
      <c r="O3577" s="1"/>
      <c r="P3577" s="1"/>
      <c r="Q3577" s="1"/>
      <c r="R3577" s="1"/>
      <c r="S3577" s="1"/>
      <c r="T3577" s="1"/>
      <c r="U3577" s="1"/>
      <c r="V3577" s="1"/>
      <c r="W3577" s="1"/>
      <c r="X3577" s="1"/>
    </row>
    <row x14ac:dyDescent="0.25" r="3578" customHeight="1" ht="18.75">
      <c r="A3578" s="1"/>
      <c r="B3578" s="1"/>
      <c r="C3578" s="1"/>
      <c r="D3578" s="1"/>
      <c r="E3578" s="1"/>
      <c r="F3578" s="1"/>
      <c r="G3578" s="1"/>
      <c r="H3578" s="1"/>
      <c r="I3578" s="2"/>
      <c r="J3578" s="1"/>
      <c r="K3578" s="1"/>
      <c r="L3578" s="1"/>
      <c r="M3578" s="1"/>
      <c r="N3578" s="1"/>
      <c r="O3578" s="1"/>
      <c r="P3578" s="1"/>
      <c r="Q3578" s="1"/>
      <c r="R3578" s="1"/>
      <c r="S3578" s="1"/>
      <c r="T3578" s="1"/>
      <c r="U3578" s="1"/>
      <c r="V3578" s="1"/>
      <c r="W3578" s="1"/>
      <c r="X3578" s="1"/>
    </row>
    <row x14ac:dyDescent="0.25" r="3579" customHeight="1" ht="18.75">
      <c r="A3579" s="1"/>
      <c r="B3579" s="1"/>
      <c r="C3579" s="1"/>
      <c r="D3579" s="1"/>
      <c r="E3579" s="1"/>
      <c r="F3579" s="1"/>
      <c r="G3579" s="1"/>
      <c r="H3579" s="1"/>
      <c r="I3579" s="2"/>
      <c r="J3579" s="1"/>
      <c r="K3579" s="1"/>
      <c r="L3579" s="1"/>
      <c r="M3579" s="1"/>
      <c r="N3579" s="1"/>
      <c r="O3579" s="1"/>
      <c r="P3579" s="1"/>
      <c r="Q3579" s="1"/>
      <c r="R3579" s="1"/>
      <c r="S3579" s="1"/>
      <c r="T3579" s="1"/>
      <c r="U3579" s="1"/>
      <c r="V3579" s="1"/>
      <c r="W3579" s="1"/>
      <c r="X3579" s="1"/>
    </row>
    <row x14ac:dyDescent="0.25" r="3580" customHeight="1" ht="18.75">
      <c r="A3580" s="1"/>
      <c r="B3580" s="1"/>
      <c r="C3580" s="1"/>
      <c r="D3580" s="1"/>
      <c r="E3580" s="1"/>
      <c r="F3580" s="1"/>
      <c r="G3580" s="1"/>
      <c r="H3580" s="1"/>
      <c r="I3580" s="2"/>
      <c r="J3580" s="1"/>
      <c r="K3580" s="1"/>
      <c r="L3580" s="1"/>
      <c r="M3580" s="1"/>
      <c r="N3580" s="1"/>
      <c r="O3580" s="1"/>
      <c r="P3580" s="1"/>
      <c r="Q3580" s="1"/>
      <c r="R3580" s="1"/>
      <c r="S3580" s="1"/>
      <c r="T3580" s="1"/>
      <c r="U3580" s="1"/>
      <c r="V3580" s="1"/>
      <c r="W3580" s="1"/>
      <c r="X3580" s="1"/>
    </row>
    <row x14ac:dyDescent="0.25" r="3581" customHeight="1" ht="18.75">
      <c r="A3581" s="1"/>
      <c r="B3581" s="1"/>
      <c r="C3581" s="1"/>
      <c r="D3581" s="1"/>
      <c r="E3581" s="1"/>
      <c r="F3581" s="1"/>
      <c r="G3581" s="1"/>
      <c r="H3581" s="1"/>
      <c r="I3581" s="2"/>
      <c r="J3581" s="1"/>
      <c r="K3581" s="1"/>
      <c r="L3581" s="1"/>
      <c r="M3581" s="1"/>
      <c r="N3581" s="1"/>
      <c r="O3581" s="1"/>
      <c r="P3581" s="1"/>
      <c r="Q3581" s="1"/>
      <c r="R3581" s="1"/>
      <c r="S3581" s="1"/>
      <c r="T3581" s="1"/>
      <c r="U3581" s="1"/>
      <c r="V3581" s="1"/>
      <c r="W3581" s="1"/>
      <c r="X3581" s="1"/>
    </row>
    <row x14ac:dyDescent="0.25" r="3582" customHeight="1" ht="18.75">
      <c r="A3582" s="1"/>
      <c r="B3582" s="1"/>
      <c r="C3582" s="1"/>
      <c r="D3582" s="1"/>
      <c r="E3582" s="1"/>
      <c r="F3582" s="1"/>
      <c r="G3582" s="1"/>
      <c r="H3582" s="1"/>
      <c r="I3582" s="2"/>
      <c r="J3582" s="1"/>
      <c r="K3582" s="1"/>
      <c r="L3582" s="1"/>
      <c r="M3582" s="1"/>
      <c r="N3582" s="1"/>
      <c r="O3582" s="1"/>
      <c r="P3582" s="1"/>
      <c r="Q3582" s="1"/>
      <c r="R3582" s="1"/>
      <c r="S3582" s="1"/>
      <c r="T3582" s="1"/>
      <c r="U3582" s="1"/>
      <c r="V3582" s="1"/>
      <c r="W3582" s="1"/>
      <c r="X3582" s="1"/>
    </row>
    <row x14ac:dyDescent="0.25" r="3583" customHeight="1" ht="18.75">
      <c r="A3583" s="1"/>
      <c r="B3583" s="1"/>
      <c r="C3583" s="1"/>
      <c r="D3583" s="1"/>
      <c r="E3583" s="1"/>
      <c r="F3583" s="1"/>
      <c r="G3583" s="1"/>
      <c r="H3583" s="1"/>
      <c r="I3583" s="2"/>
      <c r="J3583" s="1"/>
      <c r="K3583" s="1"/>
      <c r="L3583" s="1"/>
      <c r="M3583" s="1"/>
      <c r="N3583" s="1"/>
      <c r="O3583" s="1"/>
      <c r="P3583" s="1"/>
      <c r="Q3583" s="1"/>
      <c r="R3583" s="1"/>
      <c r="S3583" s="1"/>
      <c r="T3583" s="1"/>
      <c r="U3583" s="1"/>
      <c r="V3583" s="1"/>
      <c r="W3583" s="1"/>
      <c r="X3583" s="1"/>
    </row>
    <row x14ac:dyDescent="0.25" r="3584" customHeight="1" ht="18.75">
      <c r="A3584" s="1"/>
      <c r="B3584" s="1"/>
      <c r="C3584" s="1"/>
      <c r="D3584" s="1"/>
      <c r="E3584" s="1"/>
      <c r="F3584" s="1"/>
      <c r="G3584" s="1"/>
      <c r="H3584" s="1"/>
      <c r="I3584" s="2"/>
      <c r="J3584" s="1"/>
      <c r="K3584" s="1"/>
      <c r="L3584" s="1"/>
      <c r="M3584" s="1"/>
      <c r="N3584" s="1"/>
      <c r="O3584" s="1"/>
      <c r="P3584" s="1"/>
      <c r="Q3584" s="1"/>
      <c r="R3584" s="1"/>
      <c r="S3584" s="1"/>
      <c r="T3584" s="1"/>
      <c r="U3584" s="1"/>
      <c r="V3584" s="1"/>
      <c r="W3584" s="1"/>
      <c r="X3584" s="1"/>
    </row>
    <row x14ac:dyDescent="0.25" r="3585" customHeight="1" ht="18.75">
      <c r="A3585" s="1"/>
      <c r="B3585" s="1"/>
      <c r="C3585" s="1"/>
      <c r="D3585" s="1"/>
      <c r="E3585" s="1"/>
      <c r="F3585" s="1"/>
      <c r="G3585" s="1"/>
      <c r="H3585" s="1"/>
      <c r="I3585" s="2"/>
      <c r="J3585" s="1"/>
      <c r="K3585" s="1"/>
      <c r="L3585" s="1"/>
      <c r="M3585" s="1"/>
      <c r="N3585" s="1"/>
      <c r="O3585" s="1"/>
      <c r="P3585" s="1"/>
      <c r="Q3585" s="1"/>
      <c r="R3585" s="1"/>
      <c r="S3585" s="1"/>
      <c r="T3585" s="1"/>
      <c r="U3585" s="1"/>
      <c r="V3585" s="1"/>
      <c r="W3585" s="1"/>
      <c r="X3585" s="1"/>
    </row>
    <row x14ac:dyDescent="0.25" r="3586" customHeight="1" ht="18.75">
      <c r="A3586" s="1"/>
      <c r="B3586" s="1"/>
      <c r="C3586" s="1"/>
      <c r="D3586" s="1"/>
      <c r="E3586" s="1"/>
      <c r="F3586" s="1"/>
      <c r="G3586" s="1"/>
      <c r="H3586" s="1"/>
      <c r="I3586" s="2"/>
      <c r="J3586" s="1"/>
      <c r="K3586" s="1"/>
      <c r="L3586" s="1"/>
      <c r="M3586" s="1"/>
      <c r="N3586" s="1"/>
      <c r="O3586" s="1"/>
      <c r="P3586" s="1"/>
      <c r="Q3586" s="1"/>
      <c r="R3586" s="1"/>
      <c r="S3586" s="1"/>
      <c r="T3586" s="1"/>
      <c r="U3586" s="1"/>
      <c r="V3586" s="1"/>
      <c r="W3586" s="1"/>
      <c r="X3586" s="1"/>
    </row>
    <row x14ac:dyDescent="0.25" r="3587" customHeight="1" ht="18.75">
      <c r="A3587" s="1"/>
      <c r="B3587" s="1"/>
      <c r="C3587" s="1"/>
      <c r="D3587" s="1"/>
      <c r="E3587" s="1"/>
      <c r="F3587" s="1"/>
      <c r="G3587" s="1"/>
      <c r="H3587" s="1"/>
      <c r="I3587" s="2"/>
      <c r="J3587" s="1"/>
      <c r="K3587" s="1"/>
      <c r="L3587" s="1"/>
      <c r="M3587" s="1"/>
      <c r="N3587" s="1"/>
      <c r="O3587" s="1"/>
      <c r="P3587" s="1"/>
      <c r="Q3587" s="1"/>
      <c r="R3587" s="1"/>
      <c r="S3587" s="1"/>
      <c r="T3587" s="1"/>
      <c r="U3587" s="1"/>
      <c r="V3587" s="1"/>
      <c r="W3587" s="1"/>
      <c r="X3587" s="1"/>
    </row>
    <row x14ac:dyDescent="0.25" r="3588" customHeight="1" ht="18.75">
      <c r="A3588" s="1"/>
      <c r="B3588" s="1"/>
      <c r="C3588" s="1"/>
      <c r="D3588" s="1"/>
      <c r="E3588" s="1"/>
      <c r="F3588" s="1"/>
      <c r="G3588" s="1"/>
      <c r="H3588" s="1"/>
      <c r="I3588" s="2"/>
      <c r="J3588" s="1"/>
      <c r="K3588" s="1"/>
      <c r="L3588" s="1"/>
      <c r="M3588" s="1"/>
      <c r="N3588" s="1"/>
      <c r="O3588" s="1"/>
      <c r="P3588" s="1"/>
      <c r="Q3588" s="1"/>
      <c r="R3588" s="1"/>
      <c r="S3588" s="1"/>
      <c r="T3588" s="1"/>
      <c r="U3588" s="1"/>
      <c r="V3588" s="1"/>
      <c r="W3588" s="1"/>
      <c r="X3588" s="1"/>
    </row>
    <row x14ac:dyDescent="0.25" r="3589" customHeight="1" ht="18.75">
      <c r="A3589" s="1"/>
      <c r="B3589" s="1"/>
      <c r="C3589" s="1"/>
      <c r="D3589" s="1"/>
      <c r="E3589" s="1"/>
      <c r="F3589" s="1"/>
      <c r="G3589" s="1"/>
      <c r="H3589" s="1"/>
      <c r="I3589" s="2"/>
      <c r="J3589" s="1"/>
      <c r="K3589" s="1"/>
      <c r="L3589" s="1"/>
      <c r="M3589" s="1"/>
      <c r="N3589" s="1"/>
      <c r="O3589" s="1"/>
      <c r="P3589" s="1"/>
      <c r="Q3589" s="1"/>
      <c r="R3589" s="1"/>
      <c r="S3589" s="1"/>
      <c r="T3589" s="1"/>
      <c r="U3589" s="1"/>
      <c r="V3589" s="1"/>
      <c r="W3589" s="1"/>
      <c r="X3589" s="1"/>
    </row>
    <row x14ac:dyDescent="0.25" r="3590" customHeight="1" ht="18.75">
      <c r="A3590" s="1"/>
      <c r="B3590" s="1"/>
      <c r="C3590" s="1"/>
      <c r="D3590" s="1"/>
      <c r="E3590" s="1"/>
      <c r="F3590" s="1"/>
      <c r="G3590" s="1"/>
      <c r="H3590" s="1"/>
      <c r="I3590" s="2"/>
      <c r="J3590" s="1"/>
      <c r="K3590" s="1"/>
      <c r="L3590" s="1"/>
      <c r="M3590" s="1"/>
      <c r="N3590" s="1"/>
      <c r="O3590" s="1"/>
      <c r="P3590" s="1"/>
      <c r="Q3590" s="1"/>
      <c r="R3590" s="1"/>
      <c r="S3590" s="1"/>
      <c r="T3590" s="1"/>
      <c r="U3590" s="1"/>
      <c r="V3590" s="1"/>
      <c r="W3590" s="1"/>
      <c r="X3590" s="1"/>
    </row>
    <row x14ac:dyDescent="0.25" r="3591" customHeight="1" ht="18.75">
      <c r="A3591" s="1"/>
      <c r="B3591" s="1"/>
      <c r="C3591" s="1"/>
      <c r="D3591" s="1"/>
      <c r="E3591" s="1"/>
      <c r="F3591" s="1"/>
      <c r="G3591" s="1"/>
      <c r="H3591" s="1"/>
      <c r="I3591" s="2"/>
      <c r="J3591" s="1"/>
      <c r="K3591" s="1"/>
      <c r="L3591" s="1"/>
      <c r="M3591" s="1"/>
      <c r="N3591" s="1"/>
      <c r="O3591" s="1"/>
      <c r="P3591" s="1"/>
      <c r="Q3591" s="1"/>
      <c r="R3591" s="1"/>
      <c r="S3591" s="1"/>
      <c r="T3591" s="1"/>
      <c r="U3591" s="1"/>
      <c r="V3591" s="1"/>
      <c r="W3591" s="1"/>
      <c r="X3591" s="1"/>
    </row>
    <row x14ac:dyDescent="0.25" r="3592" customHeight="1" ht="18.75">
      <c r="A3592" s="1"/>
      <c r="B3592" s="1"/>
      <c r="C3592" s="1"/>
      <c r="D3592" s="1"/>
      <c r="E3592" s="1"/>
      <c r="F3592" s="1"/>
      <c r="G3592" s="1"/>
      <c r="H3592" s="1"/>
      <c r="I3592" s="2"/>
      <c r="J3592" s="1"/>
      <c r="K3592" s="1"/>
      <c r="L3592" s="1"/>
      <c r="M3592" s="1"/>
      <c r="N3592" s="1"/>
      <c r="O3592" s="1"/>
      <c r="P3592" s="1"/>
      <c r="Q3592" s="1"/>
      <c r="R3592" s="1"/>
      <c r="S3592" s="1"/>
      <c r="T3592" s="1"/>
      <c r="U3592" s="1"/>
      <c r="V3592" s="1"/>
      <c r="W3592" s="1"/>
      <c r="X3592" s="1"/>
    </row>
    <row x14ac:dyDescent="0.25" r="3593" customHeight="1" ht="18.75">
      <c r="A3593" s="1"/>
      <c r="B3593" s="1"/>
      <c r="C3593" s="1"/>
      <c r="D3593" s="1"/>
      <c r="E3593" s="1"/>
      <c r="F3593" s="1"/>
      <c r="G3593" s="1"/>
      <c r="H3593" s="1"/>
      <c r="I3593" s="2"/>
      <c r="J3593" s="1"/>
      <c r="K3593" s="1"/>
      <c r="L3593" s="1"/>
      <c r="M3593" s="1"/>
      <c r="N3593" s="1"/>
      <c r="O3593" s="1"/>
      <c r="P3593" s="1"/>
      <c r="Q3593" s="1"/>
      <c r="R3593" s="1"/>
      <c r="S3593" s="1"/>
      <c r="T3593" s="1"/>
      <c r="U3593" s="1"/>
      <c r="V3593" s="1"/>
      <c r="W3593" s="1"/>
      <c r="X3593" s="1"/>
    </row>
    <row x14ac:dyDescent="0.25" r="3594" customHeight="1" ht="18.75">
      <c r="A3594" s="1"/>
      <c r="B3594" s="1"/>
      <c r="C3594" s="1"/>
      <c r="D3594" s="1"/>
      <c r="E3594" s="1"/>
      <c r="F3594" s="1"/>
      <c r="G3594" s="1"/>
      <c r="H3594" s="1"/>
      <c r="I3594" s="2"/>
      <c r="J3594" s="1"/>
      <c r="K3594" s="1"/>
      <c r="L3594" s="1"/>
      <c r="M3594" s="1"/>
      <c r="N3594" s="1"/>
      <c r="O3594" s="1"/>
      <c r="P3594" s="1"/>
      <c r="Q3594" s="1"/>
      <c r="R3594" s="1"/>
      <c r="S3594" s="1"/>
      <c r="T3594" s="1"/>
      <c r="U3594" s="1"/>
      <c r="V3594" s="1"/>
      <c r="W3594" s="1"/>
      <c r="X3594" s="1"/>
    </row>
    <row x14ac:dyDescent="0.25" r="3595" customHeight="1" ht="18.75">
      <c r="A3595" s="1"/>
      <c r="B3595" s="1"/>
      <c r="C3595" s="1"/>
      <c r="D3595" s="1"/>
      <c r="E3595" s="1"/>
      <c r="F3595" s="1"/>
      <c r="G3595" s="1"/>
      <c r="H3595" s="1"/>
      <c r="I3595" s="2"/>
      <c r="J3595" s="1"/>
      <c r="K3595" s="1"/>
      <c r="L3595" s="1"/>
      <c r="M3595" s="1"/>
      <c r="N3595" s="1"/>
      <c r="O3595" s="1"/>
      <c r="P3595" s="1"/>
      <c r="Q3595" s="1"/>
      <c r="R3595" s="1"/>
      <c r="S3595" s="1"/>
      <c r="T3595" s="1"/>
      <c r="U3595" s="1"/>
      <c r="V3595" s="1"/>
      <c r="W3595" s="1"/>
      <c r="X3595" s="1"/>
    </row>
    <row x14ac:dyDescent="0.25" r="3596" customHeight="1" ht="18.75">
      <c r="A3596" s="1"/>
      <c r="B3596" s="1"/>
      <c r="C3596" s="1"/>
      <c r="D3596" s="1"/>
      <c r="E3596" s="1"/>
      <c r="F3596" s="1"/>
      <c r="G3596" s="1"/>
      <c r="H3596" s="1"/>
      <c r="I3596" s="2"/>
      <c r="J3596" s="1"/>
      <c r="K3596" s="1"/>
      <c r="L3596" s="1"/>
      <c r="M3596" s="1"/>
      <c r="N3596" s="1"/>
      <c r="O3596" s="1"/>
      <c r="P3596" s="1"/>
      <c r="Q3596" s="1"/>
      <c r="R3596" s="1"/>
      <c r="S3596" s="1"/>
      <c r="T3596" s="1"/>
      <c r="U3596" s="1"/>
      <c r="V3596" s="1"/>
      <c r="W3596" s="1"/>
      <c r="X3596" s="1"/>
    </row>
    <row x14ac:dyDescent="0.25" r="3597" customHeight="1" ht="18.75">
      <c r="A3597" s="1"/>
      <c r="B3597" s="1"/>
      <c r="C3597" s="1"/>
      <c r="D3597" s="1"/>
      <c r="E3597" s="1"/>
      <c r="F3597" s="1"/>
      <c r="G3597" s="1"/>
      <c r="H3597" s="1"/>
      <c r="I3597" s="2"/>
      <c r="J3597" s="1"/>
      <c r="K3597" s="1"/>
      <c r="L3597" s="1"/>
      <c r="M3597" s="1"/>
      <c r="N3597" s="1"/>
      <c r="O3597" s="1"/>
      <c r="P3597" s="1"/>
      <c r="Q3597" s="1"/>
      <c r="R3597" s="1"/>
      <c r="S3597" s="1"/>
      <c r="T3597" s="1"/>
      <c r="U3597" s="1"/>
      <c r="V3597" s="1"/>
      <c r="W3597" s="1"/>
      <c r="X3597" s="1"/>
    </row>
    <row x14ac:dyDescent="0.25" r="3598" customHeight="1" ht="18.75">
      <c r="A3598" s="1"/>
      <c r="B3598" s="1"/>
      <c r="C3598" s="1"/>
      <c r="D3598" s="1"/>
      <c r="E3598" s="1"/>
      <c r="F3598" s="1"/>
      <c r="G3598" s="1"/>
      <c r="H3598" s="1"/>
      <c r="I3598" s="2"/>
      <c r="J3598" s="1"/>
      <c r="K3598" s="1"/>
      <c r="L3598" s="1"/>
      <c r="M3598" s="1"/>
      <c r="N3598" s="1"/>
      <c r="O3598" s="1"/>
      <c r="P3598" s="1"/>
      <c r="Q3598" s="1"/>
      <c r="R3598" s="1"/>
      <c r="S3598" s="1"/>
      <c r="T3598" s="1"/>
      <c r="U3598" s="1"/>
      <c r="V3598" s="1"/>
      <c r="W3598" s="1"/>
      <c r="X3598" s="1"/>
    </row>
    <row x14ac:dyDescent="0.25" r="3599" customHeight="1" ht="18.75">
      <c r="A3599" s="1"/>
      <c r="B3599" s="1"/>
      <c r="C3599" s="1"/>
      <c r="D3599" s="1"/>
      <c r="E3599" s="1"/>
      <c r="F3599" s="1"/>
      <c r="G3599" s="1"/>
      <c r="H3599" s="1"/>
      <c r="I3599" s="2"/>
      <c r="J3599" s="1"/>
      <c r="K3599" s="1"/>
      <c r="L3599" s="1"/>
      <c r="M3599" s="1"/>
      <c r="N3599" s="1"/>
      <c r="O3599" s="1"/>
      <c r="P3599" s="1"/>
      <c r="Q3599" s="1"/>
      <c r="R3599" s="1"/>
      <c r="S3599" s="1"/>
      <c r="T3599" s="1"/>
      <c r="U3599" s="1"/>
      <c r="V3599" s="1"/>
      <c r="W3599" s="1"/>
      <c r="X3599" s="1"/>
    </row>
    <row x14ac:dyDescent="0.25" r="3600" customHeight="1" ht="18.75">
      <c r="A3600" s="1"/>
      <c r="B3600" s="1"/>
      <c r="C3600" s="1"/>
      <c r="D3600" s="1"/>
      <c r="E3600" s="1"/>
      <c r="F3600" s="1"/>
      <c r="G3600" s="1"/>
      <c r="H3600" s="1"/>
      <c r="I3600" s="2"/>
      <c r="J3600" s="1"/>
      <c r="K3600" s="1"/>
      <c r="L3600" s="1"/>
      <c r="M3600" s="1"/>
      <c r="N3600" s="1"/>
      <c r="O3600" s="1"/>
      <c r="P3600" s="1"/>
      <c r="Q3600" s="1"/>
      <c r="R3600" s="1"/>
      <c r="S3600" s="1"/>
      <c r="T3600" s="1"/>
      <c r="U3600" s="1"/>
      <c r="V3600" s="1"/>
      <c r="W3600" s="1"/>
      <c r="X3600" s="1"/>
    </row>
    <row x14ac:dyDescent="0.25" r="3601" customHeight="1" ht="18.75">
      <c r="A3601" s="1"/>
      <c r="B3601" s="1"/>
      <c r="C3601" s="1"/>
      <c r="D3601" s="1"/>
      <c r="E3601" s="1"/>
      <c r="F3601" s="1"/>
      <c r="G3601" s="1"/>
      <c r="H3601" s="1"/>
      <c r="I3601" s="2"/>
      <c r="J3601" s="1"/>
      <c r="K3601" s="1"/>
      <c r="L3601" s="1"/>
      <c r="M3601" s="1"/>
      <c r="N3601" s="1"/>
      <c r="O3601" s="1"/>
      <c r="P3601" s="1"/>
      <c r="Q3601" s="1"/>
      <c r="R3601" s="1"/>
      <c r="S3601" s="1"/>
      <c r="T3601" s="1"/>
      <c r="U3601" s="1"/>
      <c r="V3601" s="1"/>
      <c r="W3601" s="1"/>
      <c r="X3601" s="1"/>
    </row>
    <row x14ac:dyDescent="0.25" r="3602" customHeight="1" ht="18.75">
      <c r="A3602" s="1"/>
      <c r="B3602" s="1"/>
      <c r="C3602" s="1"/>
      <c r="D3602" s="1"/>
      <c r="E3602" s="1"/>
      <c r="F3602" s="1"/>
      <c r="G3602" s="1"/>
      <c r="H3602" s="1"/>
      <c r="I3602" s="2"/>
      <c r="J3602" s="1"/>
      <c r="K3602" s="1"/>
      <c r="L3602" s="1"/>
      <c r="M3602" s="1"/>
      <c r="N3602" s="1"/>
      <c r="O3602" s="1"/>
      <c r="P3602" s="1"/>
      <c r="Q3602" s="1"/>
      <c r="R3602" s="1"/>
      <c r="S3602" s="1"/>
      <c r="T3602" s="1"/>
      <c r="U3602" s="1"/>
      <c r="V3602" s="1"/>
      <c r="W3602" s="1"/>
      <c r="X3602" s="1"/>
    </row>
    <row x14ac:dyDescent="0.25" r="3603" customHeight="1" ht="18.75">
      <c r="A3603" s="1"/>
      <c r="B3603" s="1"/>
      <c r="C3603" s="1"/>
      <c r="D3603" s="1"/>
      <c r="E3603" s="1"/>
      <c r="F3603" s="1"/>
      <c r="G3603" s="1"/>
      <c r="H3603" s="1"/>
      <c r="I3603" s="2"/>
      <c r="J3603" s="1"/>
      <c r="K3603" s="1"/>
      <c r="L3603" s="1"/>
      <c r="M3603" s="1"/>
      <c r="N3603" s="1"/>
      <c r="O3603" s="1"/>
      <c r="P3603" s="1"/>
      <c r="Q3603" s="1"/>
      <c r="R3603" s="1"/>
      <c r="S3603" s="1"/>
      <c r="T3603" s="1"/>
      <c r="U3603" s="1"/>
      <c r="V3603" s="1"/>
      <c r="W3603" s="1"/>
      <c r="X3603" s="1"/>
    </row>
    <row x14ac:dyDescent="0.25" r="3604" customHeight="1" ht="18.75">
      <c r="A3604" s="1"/>
      <c r="B3604" s="1"/>
      <c r="C3604" s="1"/>
      <c r="D3604" s="1"/>
      <c r="E3604" s="1"/>
      <c r="F3604" s="1"/>
      <c r="G3604" s="1"/>
      <c r="H3604" s="1"/>
      <c r="I3604" s="2"/>
      <c r="J3604" s="1"/>
      <c r="K3604" s="1"/>
      <c r="L3604" s="1"/>
      <c r="M3604" s="1"/>
      <c r="N3604" s="1"/>
      <c r="O3604" s="1"/>
      <c r="P3604" s="1"/>
      <c r="Q3604" s="1"/>
      <c r="R3604" s="1"/>
      <c r="S3604" s="1"/>
      <c r="T3604" s="1"/>
      <c r="U3604" s="1"/>
      <c r="V3604" s="1"/>
      <c r="W3604" s="1"/>
      <c r="X3604" s="1"/>
    </row>
    <row x14ac:dyDescent="0.25" r="3605" customHeight="1" ht="18.75">
      <c r="A3605" s="1"/>
      <c r="B3605" s="1"/>
      <c r="C3605" s="1"/>
      <c r="D3605" s="1"/>
      <c r="E3605" s="1"/>
      <c r="F3605" s="1"/>
      <c r="G3605" s="1"/>
      <c r="H3605" s="1"/>
      <c r="I3605" s="2"/>
      <c r="J3605" s="1"/>
      <c r="K3605" s="1"/>
      <c r="L3605" s="1"/>
      <c r="M3605" s="1"/>
      <c r="N3605" s="1"/>
      <c r="O3605" s="1"/>
      <c r="P3605" s="1"/>
      <c r="Q3605" s="1"/>
      <c r="R3605" s="1"/>
      <c r="S3605" s="1"/>
      <c r="T3605" s="1"/>
      <c r="U3605" s="1"/>
      <c r="V3605" s="1"/>
      <c r="W3605" s="1"/>
      <c r="X3605" s="1"/>
    </row>
    <row x14ac:dyDescent="0.25" r="3606" customHeight="1" ht="18.75">
      <c r="A3606" s="1"/>
      <c r="B3606" s="1"/>
      <c r="C3606" s="1"/>
      <c r="D3606" s="1"/>
      <c r="E3606" s="1"/>
      <c r="F3606" s="1"/>
      <c r="G3606" s="1"/>
      <c r="H3606" s="1"/>
      <c r="I3606" s="2"/>
      <c r="J3606" s="1"/>
      <c r="K3606" s="1"/>
      <c r="L3606" s="1"/>
      <c r="M3606" s="1"/>
      <c r="N3606" s="1"/>
      <c r="O3606" s="1"/>
      <c r="P3606" s="1"/>
      <c r="Q3606" s="1"/>
      <c r="R3606" s="1"/>
      <c r="S3606" s="1"/>
      <c r="T3606" s="1"/>
      <c r="U3606" s="1"/>
      <c r="V3606" s="1"/>
      <c r="W3606" s="1"/>
      <c r="X3606" s="1"/>
    </row>
    <row x14ac:dyDescent="0.25" r="3607" customHeight="1" ht="18.75">
      <c r="A3607" s="1"/>
      <c r="B3607" s="1"/>
      <c r="C3607" s="1"/>
      <c r="D3607" s="1"/>
      <c r="E3607" s="1"/>
      <c r="F3607" s="1"/>
      <c r="G3607" s="1"/>
      <c r="H3607" s="1"/>
      <c r="I3607" s="2"/>
      <c r="J3607" s="1"/>
      <c r="K3607" s="1"/>
      <c r="L3607" s="1"/>
      <c r="M3607" s="1"/>
      <c r="N3607" s="1"/>
      <c r="O3607" s="1"/>
      <c r="P3607" s="1"/>
      <c r="Q3607" s="1"/>
      <c r="R3607" s="1"/>
      <c r="S3607" s="1"/>
      <c r="T3607" s="1"/>
      <c r="U3607" s="1"/>
      <c r="V3607" s="1"/>
      <c r="W3607" s="1"/>
      <c r="X3607" s="1"/>
    </row>
    <row x14ac:dyDescent="0.25" r="3608" customHeight="1" ht="18.75">
      <c r="A3608" s="1"/>
      <c r="B3608" s="1"/>
      <c r="C3608" s="1"/>
      <c r="D3608" s="1"/>
      <c r="E3608" s="1"/>
      <c r="F3608" s="1"/>
      <c r="G3608" s="1"/>
      <c r="H3608" s="1"/>
      <c r="I3608" s="2"/>
      <c r="J3608" s="1"/>
      <c r="K3608" s="1"/>
      <c r="L3608" s="1"/>
      <c r="M3608" s="1"/>
      <c r="N3608" s="1"/>
      <c r="O3608" s="1"/>
      <c r="P3608" s="1"/>
      <c r="Q3608" s="1"/>
      <c r="R3608" s="1"/>
      <c r="S3608" s="1"/>
      <c r="T3608" s="1"/>
      <c r="U3608" s="1"/>
      <c r="V3608" s="1"/>
      <c r="W3608" s="1"/>
      <c r="X3608" s="1"/>
    </row>
    <row x14ac:dyDescent="0.25" r="3609" customHeight="1" ht="18.75">
      <c r="A3609" s="1"/>
      <c r="B3609" s="1"/>
      <c r="C3609" s="1"/>
      <c r="D3609" s="1"/>
      <c r="E3609" s="1"/>
      <c r="F3609" s="1"/>
      <c r="G3609" s="1"/>
      <c r="H3609" s="1"/>
      <c r="I3609" s="2"/>
      <c r="J3609" s="1"/>
      <c r="K3609" s="1"/>
      <c r="L3609" s="1"/>
      <c r="M3609" s="1"/>
      <c r="N3609" s="1"/>
      <c r="O3609" s="1"/>
      <c r="P3609" s="1"/>
      <c r="Q3609" s="1"/>
      <c r="R3609" s="1"/>
      <c r="S3609" s="1"/>
      <c r="T3609" s="1"/>
      <c r="U3609" s="1"/>
      <c r="V3609" s="1"/>
      <c r="W3609" s="1"/>
      <c r="X3609" s="1"/>
    </row>
    <row x14ac:dyDescent="0.25" r="3610" customHeight="1" ht="18.75">
      <c r="A3610" s="1"/>
      <c r="B3610" s="1"/>
      <c r="C3610" s="1"/>
      <c r="D3610" s="1"/>
      <c r="E3610" s="1"/>
      <c r="F3610" s="1"/>
      <c r="G3610" s="1"/>
      <c r="H3610" s="1"/>
      <c r="I3610" s="2"/>
      <c r="J3610" s="1"/>
      <c r="K3610" s="1"/>
      <c r="L3610" s="1"/>
      <c r="M3610" s="1"/>
      <c r="N3610" s="1"/>
      <c r="O3610" s="1"/>
      <c r="P3610" s="1"/>
      <c r="Q3610" s="1"/>
      <c r="R3610" s="1"/>
      <c r="S3610" s="1"/>
      <c r="T3610" s="1"/>
      <c r="U3610" s="1"/>
      <c r="V3610" s="1"/>
      <c r="W3610" s="1"/>
      <c r="X3610" s="1"/>
    </row>
    <row x14ac:dyDescent="0.25" r="3611" customHeight="1" ht="18.75">
      <c r="A3611" s="1"/>
      <c r="B3611" s="1"/>
      <c r="C3611" s="1"/>
      <c r="D3611" s="1"/>
      <c r="E3611" s="1"/>
      <c r="F3611" s="1"/>
      <c r="G3611" s="1"/>
      <c r="H3611" s="1"/>
      <c r="I3611" s="2"/>
      <c r="J3611" s="1"/>
      <c r="K3611" s="1"/>
      <c r="L3611" s="1"/>
      <c r="M3611" s="1"/>
      <c r="N3611" s="1"/>
      <c r="O3611" s="1"/>
      <c r="P3611" s="1"/>
      <c r="Q3611" s="1"/>
      <c r="R3611" s="1"/>
      <c r="S3611" s="1"/>
      <c r="T3611" s="1"/>
      <c r="U3611" s="1"/>
      <c r="V3611" s="1"/>
      <c r="W3611" s="1"/>
      <c r="X3611" s="1"/>
    </row>
    <row x14ac:dyDescent="0.25" r="3612" customHeight="1" ht="18.75">
      <c r="A3612" s="1"/>
      <c r="B3612" s="1"/>
      <c r="C3612" s="1"/>
      <c r="D3612" s="1"/>
      <c r="E3612" s="1"/>
      <c r="F3612" s="1"/>
      <c r="G3612" s="1"/>
      <c r="H3612" s="1"/>
      <c r="I3612" s="2"/>
      <c r="J3612" s="1"/>
      <c r="K3612" s="1"/>
      <c r="L3612" s="1"/>
      <c r="M3612" s="1"/>
      <c r="N3612" s="1"/>
      <c r="O3612" s="1"/>
      <c r="P3612" s="1"/>
      <c r="Q3612" s="1"/>
      <c r="R3612" s="1"/>
      <c r="S3612" s="1"/>
      <c r="T3612" s="1"/>
      <c r="U3612" s="1"/>
      <c r="V3612" s="1"/>
      <c r="W3612" s="1"/>
      <c r="X3612" s="1"/>
    </row>
    <row x14ac:dyDescent="0.25" r="3613" customHeight="1" ht="18.75">
      <c r="A3613" s="1"/>
      <c r="B3613" s="1"/>
      <c r="C3613" s="1"/>
      <c r="D3613" s="1"/>
      <c r="E3613" s="1"/>
      <c r="F3613" s="1"/>
      <c r="G3613" s="1"/>
      <c r="H3613" s="1"/>
      <c r="I3613" s="2"/>
      <c r="J3613" s="1"/>
      <c r="K3613" s="1"/>
      <c r="L3613" s="1"/>
      <c r="M3613" s="1"/>
      <c r="N3613" s="1"/>
      <c r="O3613" s="1"/>
      <c r="P3613" s="1"/>
      <c r="Q3613" s="1"/>
      <c r="R3613" s="1"/>
      <c r="S3613" s="1"/>
      <c r="T3613" s="1"/>
      <c r="U3613" s="1"/>
      <c r="V3613" s="1"/>
      <c r="W3613" s="1"/>
      <c r="X3613" s="1"/>
    </row>
    <row x14ac:dyDescent="0.25" r="3614" customHeight="1" ht="18.75">
      <c r="A3614" s="1"/>
      <c r="B3614" s="1"/>
      <c r="C3614" s="1"/>
      <c r="D3614" s="1"/>
      <c r="E3614" s="1"/>
      <c r="F3614" s="1"/>
      <c r="G3614" s="1"/>
      <c r="H3614" s="1"/>
      <c r="I3614" s="2"/>
      <c r="J3614" s="1"/>
      <c r="K3614" s="1"/>
      <c r="L3614" s="1"/>
      <c r="M3614" s="1"/>
      <c r="N3614" s="1"/>
      <c r="O3614" s="1"/>
      <c r="P3614" s="1"/>
      <c r="Q3614" s="1"/>
      <c r="R3614" s="1"/>
      <c r="S3614" s="1"/>
      <c r="T3614" s="1"/>
      <c r="U3614" s="1"/>
      <c r="V3614" s="1"/>
      <c r="W3614" s="1"/>
      <c r="X3614" s="1"/>
    </row>
    <row x14ac:dyDescent="0.25" r="3615" customHeight="1" ht="18.75">
      <c r="A3615" s="1"/>
      <c r="B3615" s="1"/>
      <c r="C3615" s="1"/>
      <c r="D3615" s="1"/>
      <c r="E3615" s="1"/>
      <c r="F3615" s="1"/>
      <c r="G3615" s="1"/>
      <c r="H3615" s="1"/>
      <c r="I3615" s="2"/>
      <c r="J3615" s="1"/>
      <c r="K3615" s="1"/>
      <c r="L3615" s="1"/>
      <c r="M3615" s="1"/>
      <c r="N3615" s="1"/>
      <c r="O3615" s="1"/>
      <c r="P3615" s="1"/>
      <c r="Q3615" s="1"/>
      <c r="R3615" s="1"/>
      <c r="S3615" s="1"/>
      <c r="T3615" s="1"/>
      <c r="U3615" s="1"/>
      <c r="V3615" s="1"/>
      <c r="W3615" s="1"/>
      <c r="X3615" s="1"/>
    </row>
    <row x14ac:dyDescent="0.25" r="3616" customHeight="1" ht="18.75">
      <c r="A3616" s="1"/>
      <c r="B3616" s="1"/>
      <c r="C3616" s="1"/>
      <c r="D3616" s="1"/>
      <c r="E3616" s="1"/>
      <c r="F3616" s="1"/>
      <c r="G3616" s="1"/>
      <c r="H3616" s="1"/>
      <c r="I3616" s="2"/>
      <c r="J3616" s="1"/>
      <c r="K3616" s="1"/>
      <c r="L3616" s="1"/>
      <c r="M3616" s="1"/>
      <c r="N3616" s="1"/>
      <c r="O3616" s="1"/>
      <c r="P3616" s="1"/>
      <c r="Q3616" s="1"/>
      <c r="R3616" s="1"/>
      <c r="S3616" s="1"/>
      <c r="T3616" s="1"/>
      <c r="U3616" s="1"/>
      <c r="V3616" s="1"/>
      <c r="W3616" s="1"/>
      <c r="X3616" s="1"/>
    </row>
    <row x14ac:dyDescent="0.25" r="3617" customHeight="1" ht="18.75">
      <c r="A3617" s="1"/>
      <c r="B3617" s="1"/>
      <c r="C3617" s="1"/>
      <c r="D3617" s="1"/>
      <c r="E3617" s="1"/>
      <c r="F3617" s="1"/>
      <c r="G3617" s="1"/>
      <c r="H3617" s="1"/>
      <c r="I3617" s="2"/>
      <c r="J3617" s="1"/>
      <c r="K3617" s="1"/>
      <c r="L3617" s="1"/>
      <c r="M3617" s="1"/>
      <c r="N3617" s="1"/>
      <c r="O3617" s="1"/>
      <c r="P3617" s="1"/>
      <c r="Q3617" s="1"/>
      <c r="R3617" s="1"/>
      <c r="S3617" s="1"/>
      <c r="T3617" s="1"/>
      <c r="U3617" s="1"/>
      <c r="V3617" s="1"/>
      <c r="W3617" s="1"/>
      <c r="X3617" s="1"/>
    </row>
    <row x14ac:dyDescent="0.25" r="3618" customHeight="1" ht="18.75">
      <c r="A3618" s="1"/>
      <c r="B3618" s="1"/>
      <c r="C3618" s="1"/>
      <c r="D3618" s="1"/>
      <c r="E3618" s="1"/>
      <c r="F3618" s="1"/>
      <c r="G3618" s="1"/>
      <c r="H3618" s="1"/>
      <c r="I3618" s="2"/>
      <c r="J3618" s="1"/>
      <c r="K3618" s="1"/>
      <c r="L3618" s="1"/>
      <c r="M3618" s="1"/>
      <c r="N3618" s="1"/>
      <c r="O3618" s="1"/>
      <c r="P3618" s="1"/>
      <c r="Q3618" s="1"/>
      <c r="R3618" s="1"/>
      <c r="S3618" s="1"/>
      <c r="T3618" s="1"/>
      <c r="U3618" s="1"/>
      <c r="V3618" s="1"/>
      <c r="W3618" s="1"/>
      <c r="X3618" s="1"/>
    </row>
    <row x14ac:dyDescent="0.25" r="3619" customHeight="1" ht="18.75">
      <c r="A3619" s="1"/>
      <c r="B3619" s="1"/>
      <c r="C3619" s="1"/>
      <c r="D3619" s="1"/>
      <c r="E3619" s="1"/>
      <c r="F3619" s="1"/>
      <c r="G3619" s="1"/>
      <c r="H3619" s="1"/>
      <c r="I3619" s="2"/>
      <c r="J3619" s="1"/>
      <c r="K3619" s="1"/>
      <c r="L3619" s="1"/>
      <c r="M3619" s="1"/>
      <c r="N3619" s="1"/>
      <c r="O3619" s="1"/>
      <c r="P3619" s="1"/>
      <c r="Q3619" s="1"/>
      <c r="R3619" s="1"/>
      <c r="S3619" s="1"/>
      <c r="T3619" s="1"/>
      <c r="U3619" s="1"/>
      <c r="V3619" s="1"/>
      <c r="W3619" s="1"/>
      <c r="X3619" s="1"/>
    </row>
    <row x14ac:dyDescent="0.25" r="3620" customHeight="1" ht="18.75">
      <c r="A3620" s="1"/>
      <c r="B3620" s="1"/>
      <c r="C3620" s="1"/>
      <c r="D3620" s="1"/>
      <c r="E3620" s="1"/>
      <c r="F3620" s="1"/>
      <c r="G3620" s="1"/>
      <c r="H3620" s="1"/>
      <c r="I3620" s="2"/>
      <c r="J3620" s="1"/>
      <c r="K3620" s="1"/>
      <c r="L3620" s="1"/>
      <c r="M3620" s="1"/>
      <c r="N3620" s="1"/>
      <c r="O3620" s="1"/>
      <c r="P3620" s="1"/>
      <c r="Q3620" s="1"/>
      <c r="R3620" s="1"/>
      <c r="S3620" s="1"/>
      <c r="T3620" s="1"/>
      <c r="U3620" s="1"/>
      <c r="V3620" s="1"/>
      <c r="W3620" s="1"/>
      <c r="X3620" s="1"/>
    </row>
    <row x14ac:dyDescent="0.25" r="3621" customHeight="1" ht="18.75">
      <c r="A3621" s="1"/>
      <c r="B3621" s="1"/>
      <c r="C3621" s="1"/>
      <c r="D3621" s="1"/>
      <c r="E3621" s="1"/>
      <c r="F3621" s="1"/>
      <c r="G3621" s="1"/>
      <c r="H3621" s="1"/>
      <c r="I3621" s="2"/>
      <c r="J3621" s="1"/>
      <c r="K3621" s="1"/>
      <c r="L3621" s="1"/>
      <c r="M3621" s="1"/>
      <c r="N3621" s="1"/>
      <c r="O3621" s="1"/>
      <c r="P3621" s="1"/>
      <c r="Q3621" s="1"/>
      <c r="R3621" s="1"/>
      <c r="S3621" s="1"/>
      <c r="T3621" s="1"/>
      <c r="U3621" s="1"/>
      <c r="V3621" s="1"/>
      <c r="W3621" s="1"/>
      <c r="X3621" s="1"/>
    </row>
    <row x14ac:dyDescent="0.25" r="3622" customHeight="1" ht="18.75">
      <c r="A3622" s="1"/>
      <c r="B3622" s="1"/>
      <c r="C3622" s="1"/>
      <c r="D3622" s="1"/>
      <c r="E3622" s="1"/>
      <c r="F3622" s="1"/>
      <c r="G3622" s="1"/>
      <c r="H3622" s="1"/>
      <c r="I3622" s="2"/>
      <c r="J3622" s="1"/>
      <c r="K3622" s="1"/>
      <c r="L3622" s="1"/>
      <c r="M3622" s="1"/>
      <c r="N3622" s="1"/>
      <c r="O3622" s="1"/>
      <c r="P3622" s="1"/>
      <c r="Q3622" s="1"/>
      <c r="R3622" s="1"/>
      <c r="S3622" s="1"/>
      <c r="T3622" s="1"/>
      <c r="U3622" s="1"/>
      <c r="V3622" s="1"/>
      <c r="W3622" s="1"/>
      <c r="X3622" s="1"/>
    </row>
    <row x14ac:dyDescent="0.25" r="3623" customHeight="1" ht="18.75">
      <c r="A3623" s="1"/>
      <c r="B3623" s="1"/>
      <c r="C3623" s="1"/>
      <c r="D3623" s="1"/>
      <c r="E3623" s="1"/>
      <c r="F3623" s="1"/>
      <c r="G3623" s="1"/>
      <c r="H3623" s="1"/>
      <c r="I3623" s="2"/>
      <c r="J3623" s="1"/>
      <c r="K3623" s="1"/>
      <c r="L3623" s="1"/>
      <c r="M3623" s="1"/>
      <c r="N3623" s="1"/>
      <c r="O3623" s="1"/>
      <c r="P3623" s="1"/>
      <c r="Q3623" s="1"/>
      <c r="R3623" s="1"/>
      <c r="S3623" s="1"/>
      <c r="T3623" s="1"/>
      <c r="U3623" s="1"/>
      <c r="V3623" s="1"/>
      <c r="W3623" s="1"/>
      <c r="X3623" s="1"/>
    </row>
    <row x14ac:dyDescent="0.25" r="3624" customHeight="1" ht="18.75">
      <c r="A3624" s="1"/>
      <c r="B3624" s="1"/>
      <c r="C3624" s="1"/>
      <c r="D3624" s="1"/>
      <c r="E3624" s="1"/>
      <c r="F3624" s="1"/>
      <c r="G3624" s="1"/>
      <c r="H3624" s="1"/>
      <c r="I3624" s="2"/>
      <c r="J3624" s="1"/>
      <c r="K3624" s="1"/>
      <c r="L3624" s="1"/>
      <c r="M3624" s="1"/>
      <c r="N3624" s="1"/>
      <c r="O3624" s="1"/>
      <c r="P3624" s="1"/>
      <c r="Q3624" s="1"/>
      <c r="R3624" s="1"/>
      <c r="S3624" s="1"/>
      <c r="T3624" s="1"/>
      <c r="U3624" s="1"/>
      <c r="V3624" s="1"/>
      <c r="W3624" s="1"/>
      <c r="X3624" s="1"/>
    </row>
    <row x14ac:dyDescent="0.25" r="3625" customHeight="1" ht="18.75">
      <c r="A3625" s="1"/>
      <c r="B3625" s="1"/>
      <c r="C3625" s="1"/>
      <c r="D3625" s="1"/>
      <c r="E3625" s="1"/>
      <c r="F3625" s="1"/>
      <c r="G3625" s="1"/>
      <c r="H3625" s="1"/>
      <c r="I3625" s="2"/>
      <c r="J3625" s="1"/>
      <c r="K3625" s="1"/>
      <c r="L3625" s="1"/>
      <c r="M3625" s="1"/>
      <c r="N3625" s="1"/>
      <c r="O3625" s="1"/>
      <c r="P3625" s="1"/>
      <c r="Q3625" s="1"/>
      <c r="R3625" s="1"/>
      <c r="S3625" s="1"/>
      <c r="T3625" s="1"/>
      <c r="U3625" s="1"/>
      <c r="V3625" s="1"/>
      <c r="W3625" s="1"/>
      <c r="X3625" s="1"/>
    </row>
    <row x14ac:dyDescent="0.25" r="3626" customHeight="1" ht="18.75">
      <c r="A3626" s="1"/>
      <c r="B3626" s="1"/>
      <c r="C3626" s="1"/>
      <c r="D3626" s="1"/>
      <c r="E3626" s="1"/>
      <c r="F3626" s="1"/>
      <c r="G3626" s="1"/>
      <c r="H3626" s="1"/>
      <c r="I3626" s="2"/>
      <c r="J3626" s="1"/>
      <c r="K3626" s="1"/>
      <c r="L3626" s="1"/>
      <c r="M3626" s="1"/>
      <c r="N3626" s="1"/>
      <c r="O3626" s="1"/>
      <c r="P3626" s="1"/>
      <c r="Q3626" s="1"/>
      <c r="R3626" s="1"/>
      <c r="S3626" s="1"/>
      <c r="T3626" s="1"/>
      <c r="U3626" s="1"/>
      <c r="V3626" s="1"/>
      <c r="W3626" s="1"/>
      <c r="X3626" s="1"/>
    </row>
    <row x14ac:dyDescent="0.25" r="3627" customHeight="1" ht="18.75">
      <c r="A3627" s="1"/>
      <c r="B3627" s="1"/>
      <c r="C3627" s="1"/>
      <c r="D3627" s="1"/>
      <c r="E3627" s="1"/>
      <c r="F3627" s="1"/>
      <c r="G3627" s="1"/>
      <c r="H3627" s="1"/>
      <c r="I3627" s="2"/>
      <c r="J3627" s="1"/>
      <c r="K3627" s="1"/>
      <c r="L3627" s="1"/>
      <c r="M3627" s="1"/>
      <c r="N3627" s="1"/>
      <c r="O3627" s="1"/>
      <c r="P3627" s="1"/>
      <c r="Q3627" s="1"/>
      <c r="R3627" s="1"/>
      <c r="S3627" s="1"/>
      <c r="T3627" s="1"/>
      <c r="U3627" s="1"/>
      <c r="V3627" s="1"/>
      <c r="W3627" s="1"/>
      <c r="X3627" s="1"/>
    </row>
    <row x14ac:dyDescent="0.25" r="3628" customHeight="1" ht="18.75">
      <c r="A3628" s="1"/>
      <c r="B3628" s="1"/>
      <c r="C3628" s="1"/>
      <c r="D3628" s="1"/>
      <c r="E3628" s="1"/>
      <c r="F3628" s="1"/>
      <c r="G3628" s="1"/>
      <c r="H3628" s="1"/>
      <c r="I3628" s="2"/>
      <c r="J3628" s="1"/>
      <c r="K3628" s="1"/>
      <c r="L3628" s="1"/>
      <c r="M3628" s="1"/>
      <c r="N3628" s="1"/>
      <c r="O3628" s="1"/>
      <c r="P3628" s="1"/>
      <c r="Q3628" s="1"/>
      <c r="R3628" s="1"/>
      <c r="S3628" s="1"/>
      <c r="T3628" s="1"/>
      <c r="U3628" s="1"/>
      <c r="V3628" s="1"/>
      <c r="W3628" s="1"/>
      <c r="X3628" s="1"/>
    </row>
    <row x14ac:dyDescent="0.25" r="3629" customHeight="1" ht="18.75">
      <c r="A3629" s="1"/>
      <c r="B3629" s="1"/>
      <c r="C3629" s="1"/>
      <c r="D3629" s="1"/>
      <c r="E3629" s="1"/>
      <c r="F3629" s="1"/>
      <c r="G3629" s="1"/>
      <c r="H3629" s="1"/>
      <c r="I3629" s="2"/>
      <c r="J3629" s="1"/>
      <c r="K3629" s="1"/>
      <c r="L3629" s="1"/>
      <c r="M3629" s="1"/>
      <c r="N3629" s="1"/>
      <c r="O3629" s="1"/>
      <c r="P3629" s="1"/>
      <c r="Q3629" s="1"/>
      <c r="R3629" s="1"/>
      <c r="S3629" s="1"/>
      <c r="T3629" s="1"/>
      <c r="U3629" s="1"/>
      <c r="V3629" s="1"/>
      <c r="W3629" s="1"/>
      <c r="X3629" s="1"/>
    </row>
    <row x14ac:dyDescent="0.25" r="3630" customHeight="1" ht="18.75">
      <c r="A3630" s="1"/>
      <c r="B3630" s="1"/>
      <c r="C3630" s="1"/>
      <c r="D3630" s="1"/>
      <c r="E3630" s="1"/>
      <c r="F3630" s="1"/>
      <c r="G3630" s="1"/>
      <c r="H3630" s="1"/>
      <c r="I3630" s="2"/>
      <c r="J3630" s="1"/>
      <c r="K3630" s="1"/>
      <c r="L3630" s="1"/>
      <c r="M3630" s="1"/>
      <c r="N3630" s="1"/>
      <c r="O3630" s="1"/>
      <c r="P3630" s="1"/>
      <c r="Q3630" s="1"/>
      <c r="R3630" s="1"/>
      <c r="S3630" s="1"/>
      <c r="T3630" s="1"/>
      <c r="U3630" s="1"/>
      <c r="V3630" s="1"/>
      <c r="W3630" s="1"/>
      <c r="X3630" s="1"/>
    </row>
    <row x14ac:dyDescent="0.25" r="3631" customHeight="1" ht="18.75">
      <c r="A3631" s="1"/>
      <c r="B3631" s="1"/>
      <c r="C3631" s="1"/>
      <c r="D3631" s="1"/>
      <c r="E3631" s="1"/>
      <c r="F3631" s="1"/>
      <c r="G3631" s="1"/>
      <c r="H3631" s="1"/>
      <c r="I3631" s="2"/>
      <c r="J3631" s="1"/>
      <c r="K3631" s="1"/>
      <c r="L3631" s="1"/>
      <c r="M3631" s="1"/>
      <c r="N3631" s="1"/>
      <c r="O3631" s="1"/>
      <c r="P3631" s="1"/>
      <c r="Q3631" s="1"/>
      <c r="R3631" s="1"/>
      <c r="S3631" s="1"/>
      <c r="T3631" s="1"/>
      <c r="U3631" s="1"/>
      <c r="V3631" s="1"/>
      <c r="W3631" s="1"/>
      <c r="X3631" s="1"/>
    </row>
    <row x14ac:dyDescent="0.25" r="3632" customHeight="1" ht="18.75">
      <c r="A3632" s="1"/>
      <c r="B3632" s="1"/>
      <c r="C3632" s="1"/>
      <c r="D3632" s="1"/>
      <c r="E3632" s="1"/>
      <c r="F3632" s="1"/>
      <c r="G3632" s="1"/>
      <c r="H3632" s="1"/>
      <c r="I3632" s="2"/>
      <c r="J3632" s="1"/>
      <c r="K3632" s="1"/>
      <c r="L3632" s="1"/>
      <c r="M3632" s="1"/>
      <c r="N3632" s="1"/>
      <c r="O3632" s="1"/>
      <c r="P3632" s="1"/>
      <c r="Q3632" s="1"/>
      <c r="R3632" s="1"/>
      <c r="S3632" s="1"/>
      <c r="T3632" s="1"/>
      <c r="U3632" s="1"/>
      <c r="V3632" s="1"/>
      <c r="W3632" s="1"/>
      <c r="X3632" s="1"/>
    </row>
    <row x14ac:dyDescent="0.25" r="3633" customHeight="1" ht="18.75">
      <c r="A3633" s="1"/>
      <c r="B3633" s="1"/>
      <c r="C3633" s="1"/>
      <c r="D3633" s="1"/>
      <c r="E3633" s="1"/>
      <c r="F3633" s="1"/>
      <c r="G3633" s="1"/>
      <c r="H3633" s="1"/>
      <c r="I3633" s="2"/>
      <c r="J3633" s="1"/>
      <c r="K3633" s="1"/>
      <c r="L3633" s="1"/>
      <c r="M3633" s="1"/>
      <c r="N3633" s="1"/>
      <c r="O3633" s="1"/>
      <c r="P3633" s="1"/>
      <c r="Q3633" s="1"/>
      <c r="R3633" s="1"/>
      <c r="S3633" s="1"/>
      <c r="T3633" s="1"/>
      <c r="U3633" s="1"/>
      <c r="V3633" s="1"/>
      <c r="W3633" s="1"/>
      <c r="X3633" s="1"/>
    </row>
    <row x14ac:dyDescent="0.25" r="3634" customHeight="1" ht="18.75">
      <c r="A3634" s="1"/>
      <c r="B3634" s="1"/>
      <c r="C3634" s="1"/>
      <c r="D3634" s="1"/>
      <c r="E3634" s="1"/>
      <c r="F3634" s="1"/>
      <c r="G3634" s="1"/>
      <c r="H3634" s="1"/>
      <c r="I3634" s="2"/>
      <c r="J3634" s="1"/>
      <c r="K3634" s="1"/>
      <c r="L3634" s="1"/>
      <c r="M3634" s="1"/>
      <c r="N3634" s="1"/>
      <c r="O3634" s="1"/>
      <c r="P3634" s="1"/>
      <c r="Q3634" s="1"/>
      <c r="R3634" s="1"/>
      <c r="S3634" s="1"/>
      <c r="T3634" s="1"/>
      <c r="U3634" s="1"/>
      <c r="V3634" s="1"/>
      <c r="W3634" s="1"/>
      <c r="X3634" s="1"/>
    </row>
    <row x14ac:dyDescent="0.25" r="3635" customHeight="1" ht="18.75">
      <c r="A3635" s="1"/>
      <c r="B3635" s="1"/>
      <c r="C3635" s="1"/>
      <c r="D3635" s="1"/>
      <c r="E3635" s="1"/>
      <c r="F3635" s="1"/>
      <c r="G3635" s="1"/>
      <c r="H3635" s="1"/>
      <c r="I3635" s="2"/>
      <c r="J3635" s="1"/>
      <c r="K3635" s="1"/>
      <c r="L3635" s="1"/>
      <c r="M3635" s="1"/>
      <c r="N3635" s="1"/>
      <c r="O3635" s="1"/>
      <c r="P3635" s="1"/>
      <c r="Q3635" s="1"/>
      <c r="R3635" s="1"/>
      <c r="S3635" s="1"/>
      <c r="T3635" s="1"/>
      <c r="U3635" s="1"/>
      <c r="V3635" s="1"/>
      <c r="W3635" s="1"/>
      <c r="X3635" s="1"/>
    </row>
    <row x14ac:dyDescent="0.25" r="3636" customHeight="1" ht="18.75">
      <c r="A3636" s="1"/>
      <c r="B3636" s="1"/>
      <c r="C3636" s="1"/>
      <c r="D3636" s="1"/>
      <c r="E3636" s="1"/>
      <c r="F3636" s="1"/>
      <c r="G3636" s="1"/>
      <c r="H3636" s="1"/>
      <c r="I3636" s="2"/>
      <c r="J3636" s="1"/>
      <c r="K3636" s="1"/>
      <c r="L3636" s="1"/>
      <c r="M3636" s="1"/>
      <c r="N3636" s="1"/>
      <c r="O3636" s="1"/>
      <c r="P3636" s="1"/>
      <c r="Q3636" s="1"/>
      <c r="R3636" s="1"/>
      <c r="S3636" s="1"/>
      <c r="T3636" s="1"/>
      <c r="U3636" s="1"/>
      <c r="V3636" s="1"/>
      <c r="W3636" s="1"/>
      <c r="X3636" s="1"/>
    </row>
    <row x14ac:dyDescent="0.25" r="3637" customHeight="1" ht="18.75">
      <c r="A3637" s="1"/>
      <c r="B3637" s="1"/>
      <c r="C3637" s="1"/>
      <c r="D3637" s="1"/>
      <c r="E3637" s="1"/>
      <c r="F3637" s="1"/>
      <c r="G3637" s="1"/>
      <c r="H3637" s="1"/>
      <c r="I3637" s="2"/>
      <c r="J3637" s="1"/>
      <c r="K3637" s="1"/>
      <c r="L3637" s="1"/>
      <c r="M3637" s="1"/>
      <c r="N3637" s="1"/>
      <c r="O3637" s="1"/>
      <c r="P3637" s="1"/>
      <c r="Q3637" s="1"/>
      <c r="R3637" s="1"/>
      <c r="S3637" s="1"/>
      <c r="T3637" s="1"/>
      <c r="U3637" s="1"/>
      <c r="V3637" s="1"/>
      <c r="W3637" s="1"/>
      <c r="X3637" s="1"/>
    </row>
    <row x14ac:dyDescent="0.25" r="3638" customHeight="1" ht="18.75">
      <c r="A3638" s="1"/>
      <c r="B3638" s="1"/>
      <c r="C3638" s="1"/>
      <c r="D3638" s="1"/>
      <c r="E3638" s="1"/>
      <c r="F3638" s="1"/>
      <c r="G3638" s="1"/>
      <c r="H3638" s="1"/>
      <c r="I3638" s="2"/>
      <c r="J3638" s="1"/>
      <c r="K3638" s="1"/>
      <c r="L3638" s="1"/>
      <c r="M3638" s="1"/>
      <c r="N3638" s="1"/>
      <c r="O3638" s="1"/>
      <c r="P3638" s="1"/>
      <c r="Q3638" s="1"/>
      <c r="R3638" s="1"/>
      <c r="S3638" s="1"/>
      <c r="T3638" s="1"/>
      <c r="U3638" s="1"/>
      <c r="V3638" s="1"/>
      <c r="W3638" s="1"/>
      <c r="X3638" s="1"/>
    </row>
    <row x14ac:dyDescent="0.25" r="3639" customHeight="1" ht="18.75">
      <c r="A3639" s="1"/>
      <c r="B3639" s="1"/>
      <c r="C3639" s="1"/>
      <c r="D3639" s="1"/>
      <c r="E3639" s="1"/>
      <c r="F3639" s="1"/>
      <c r="G3639" s="1"/>
      <c r="H3639" s="1"/>
      <c r="I3639" s="2"/>
      <c r="J3639" s="1"/>
      <c r="K3639" s="1"/>
      <c r="L3639" s="1"/>
      <c r="M3639" s="1"/>
      <c r="N3639" s="1"/>
      <c r="O3639" s="1"/>
      <c r="P3639" s="1"/>
      <c r="Q3639" s="1"/>
      <c r="R3639" s="1"/>
      <c r="S3639" s="1"/>
      <c r="T3639" s="1"/>
      <c r="U3639" s="1"/>
      <c r="V3639" s="1"/>
      <c r="W3639" s="1"/>
      <c r="X3639" s="1"/>
    </row>
    <row x14ac:dyDescent="0.25" r="3640" customHeight="1" ht="18.75">
      <c r="A3640" s="1"/>
      <c r="B3640" s="1"/>
      <c r="C3640" s="1"/>
      <c r="D3640" s="1"/>
      <c r="E3640" s="1"/>
      <c r="F3640" s="1"/>
      <c r="G3640" s="1"/>
      <c r="H3640" s="1"/>
      <c r="I3640" s="2"/>
      <c r="J3640" s="1"/>
      <c r="K3640" s="1"/>
      <c r="L3640" s="1"/>
      <c r="M3640" s="1"/>
      <c r="N3640" s="1"/>
      <c r="O3640" s="1"/>
      <c r="P3640" s="1"/>
      <c r="Q3640" s="1"/>
      <c r="R3640" s="1"/>
      <c r="S3640" s="1"/>
      <c r="T3640" s="1"/>
      <c r="U3640" s="1"/>
      <c r="V3640" s="1"/>
      <c r="W3640" s="1"/>
      <c r="X3640" s="1"/>
    </row>
    <row x14ac:dyDescent="0.25" r="3641" customHeight="1" ht="18.75">
      <c r="A3641" s="1"/>
      <c r="B3641" s="1"/>
      <c r="C3641" s="1"/>
      <c r="D3641" s="1"/>
      <c r="E3641" s="1"/>
      <c r="F3641" s="1"/>
      <c r="G3641" s="1"/>
      <c r="H3641" s="1"/>
      <c r="I3641" s="2"/>
      <c r="J3641" s="1"/>
      <c r="K3641" s="1"/>
      <c r="L3641" s="1"/>
      <c r="M3641" s="1"/>
      <c r="N3641" s="1"/>
      <c r="O3641" s="1"/>
      <c r="P3641" s="1"/>
      <c r="Q3641" s="1"/>
      <c r="R3641" s="1"/>
      <c r="S3641" s="1"/>
      <c r="T3641" s="1"/>
      <c r="U3641" s="1"/>
      <c r="V3641" s="1"/>
      <c r="W3641" s="1"/>
      <c r="X3641" s="1"/>
    </row>
    <row x14ac:dyDescent="0.25" r="3642" customHeight="1" ht="18.75">
      <c r="A3642" s="1"/>
      <c r="B3642" s="1"/>
      <c r="C3642" s="1"/>
      <c r="D3642" s="1"/>
      <c r="E3642" s="1"/>
      <c r="F3642" s="1"/>
      <c r="G3642" s="1"/>
      <c r="H3642" s="1"/>
      <c r="I3642" s="2"/>
      <c r="J3642" s="1"/>
      <c r="K3642" s="1"/>
      <c r="L3642" s="1"/>
      <c r="M3642" s="1"/>
      <c r="N3642" s="1"/>
      <c r="O3642" s="1"/>
      <c r="P3642" s="1"/>
      <c r="Q3642" s="1"/>
      <c r="R3642" s="1"/>
      <c r="S3642" s="1"/>
      <c r="T3642" s="1"/>
      <c r="U3642" s="1"/>
      <c r="V3642" s="1"/>
      <c r="W3642" s="1"/>
      <c r="X3642" s="1"/>
    </row>
    <row x14ac:dyDescent="0.25" r="3643" customHeight="1" ht="18.75">
      <c r="A3643" s="1"/>
      <c r="B3643" s="1"/>
      <c r="C3643" s="1"/>
      <c r="D3643" s="1"/>
      <c r="E3643" s="1"/>
      <c r="F3643" s="1"/>
      <c r="G3643" s="1"/>
      <c r="H3643" s="1"/>
      <c r="I3643" s="2"/>
      <c r="J3643" s="1"/>
      <c r="K3643" s="1"/>
      <c r="L3643" s="1"/>
      <c r="M3643" s="1"/>
      <c r="N3643" s="1"/>
      <c r="O3643" s="1"/>
      <c r="P3643" s="1"/>
      <c r="Q3643" s="1"/>
      <c r="R3643" s="1"/>
      <c r="S3643" s="1"/>
      <c r="T3643" s="1"/>
      <c r="U3643" s="1"/>
      <c r="V3643" s="1"/>
      <c r="W3643" s="1"/>
      <c r="X3643" s="1"/>
    </row>
    <row x14ac:dyDescent="0.25" r="3644" customHeight="1" ht="18.75">
      <c r="A3644" s="1"/>
      <c r="B3644" s="1"/>
      <c r="C3644" s="1"/>
      <c r="D3644" s="1"/>
      <c r="E3644" s="1"/>
      <c r="F3644" s="1"/>
      <c r="G3644" s="1"/>
      <c r="H3644" s="1"/>
      <c r="I3644" s="2"/>
      <c r="J3644" s="1"/>
      <c r="K3644" s="1"/>
      <c r="L3644" s="1"/>
      <c r="M3644" s="1"/>
      <c r="N3644" s="1"/>
      <c r="O3644" s="1"/>
      <c r="P3644" s="1"/>
      <c r="Q3644" s="1"/>
      <c r="R3644" s="1"/>
      <c r="S3644" s="1"/>
      <c r="T3644" s="1"/>
      <c r="U3644" s="1"/>
      <c r="V3644" s="1"/>
      <c r="W3644" s="1"/>
      <c r="X3644" s="1"/>
    </row>
    <row x14ac:dyDescent="0.25" r="3645" customHeight="1" ht="18.75">
      <c r="A3645" s="1"/>
      <c r="B3645" s="1"/>
      <c r="C3645" s="1"/>
      <c r="D3645" s="1"/>
      <c r="E3645" s="1"/>
      <c r="F3645" s="1"/>
      <c r="G3645" s="1"/>
      <c r="H3645" s="1"/>
      <c r="I3645" s="2"/>
      <c r="J3645" s="1"/>
      <c r="K3645" s="1"/>
      <c r="L3645" s="1"/>
      <c r="M3645" s="1"/>
      <c r="N3645" s="1"/>
      <c r="O3645" s="1"/>
      <c r="P3645" s="1"/>
      <c r="Q3645" s="1"/>
      <c r="R3645" s="1"/>
      <c r="S3645" s="1"/>
      <c r="T3645" s="1"/>
      <c r="U3645" s="1"/>
      <c r="V3645" s="1"/>
      <c r="W3645" s="1"/>
      <c r="X3645" s="1"/>
    </row>
    <row x14ac:dyDescent="0.25" r="3646" customHeight="1" ht="18.75">
      <c r="A3646" s="1"/>
      <c r="B3646" s="1"/>
      <c r="C3646" s="1"/>
      <c r="D3646" s="1"/>
      <c r="E3646" s="1"/>
      <c r="F3646" s="1"/>
      <c r="G3646" s="1"/>
      <c r="H3646" s="1"/>
      <c r="I3646" s="2"/>
      <c r="J3646" s="1"/>
      <c r="K3646" s="1"/>
      <c r="L3646" s="1"/>
      <c r="M3646" s="1"/>
      <c r="N3646" s="1"/>
      <c r="O3646" s="1"/>
      <c r="P3646" s="1"/>
      <c r="Q3646" s="1"/>
      <c r="R3646" s="1"/>
      <c r="S3646" s="1"/>
      <c r="T3646" s="1"/>
      <c r="U3646" s="1"/>
      <c r="V3646" s="1"/>
      <c r="W3646" s="1"/>
      <c r="X3646" s="1"/>
    </row>
    <row x14ac:dyDescent="0.25" r="3647" customHeight="1" ht="18.75">
      <c r="A3647" s="1"/>
      <c r="B3647" s="1"/>
      <c r="C3647" s="1"/>
      <c r="D3647" s="1"/>
      <c r="E3647" s="1"/>
      <c r="F3647" s="1"/>
      <c r="G3647" s="1"/>
      <c r="H3647" s="1"/>
      <c r="I3647" s="2"/>
      <c r="J3647" s="1"/>
      <c r="K3647" s="1"/>
      <c r="L3647" s="1"/>
      <c r="M3647" s="1"/>
      <c r="N3647" s="1"/>
      <c r="O3647" s="1"/>
      <c r="P3647" s="1"/>
      <c r="Q3647" s="1"/>
      <c r="R3647" s="1"/>
      <c r="S3647" s="1"/>
      <c r="T3647" s="1"/>
      <c r="U3647" s="1"/>
      <c r="V3647" s="1"/>
      <c r="W3647" s="1"/>
      <c r="X3647" s="1"/>
    </row>
    <row x14ac:dyDescent="0.25" r="3648" customHeight="1" ht="18.75">
      <c r="A3648" s="1"/>
      <c r="B3648" s="1"/>
      <c r="C3648" s="1"/>
      <c r="D3648" s="1"/>
      <c r="E3648" s="1"/>
      <c r="F3648" s="1"/>
      <c r="G3648" s="1"/>
      <c r="H3648" s="1"/>
      <c r="I3648" s="2"/>
      <c r="J3648" s="1"/>
      <c r="K3648" s="1"/>
      <c r="L3648" s="1"/>
      <c r="M3648" s="1"/>
      <c r="N3648" s="1"/>
      <c r="O3648" s="1"/>
      <c r="P3648" s="1"/>
      <c r="Q3648" s="1"/>
      <c r="R3648" s="1"/>
      <c r="S3648" s="1"/>
      <c r="T3648" s="1"/>
      <c r="U3648" s="1"/>
      <c r="V3648" s="1"/>
      <c r="W3648" s="1"/>
      <c r="X3648" s="1"/>
    </row>
    <row x14ac:dyDescent="0.25" r="3649" customHeight="1" ht="18.75">
      <c r="A3649" s="1"/>
      <c r="B3649" s="1"/>
      <c r="C3649" s="1"/>
      <c r="D3649" s="1"/>
      <c r="E3649" s="1"/>
      <c r="F3649" s="1"/>
      <c r="G3649" s="1"/>
      <c r="H3649" s="1"/>
      <c r="I3649" s="2"/>
      <c r="J3649" s="1"/>
      <c r="K3649" s="1"/>
      <c r="L3649" s="1"/>
      <c r="M3649" s="1"/>
      <c r="N3649" s="1"/>
      <c r="O3649" s="1"/>
      <c r="P3649" s="1"/>
      <c r="Q3649" s="1"/>
      <c r="R3649" s="1"/>
      <c r="S3649" s="1"/>
      <c r="T3649" s="1"/>
      <c r="U3649" s="1"/>
      <c r="V3649" s="1"/>
      <c r="W3649" s="1"/>
      <c r="X3649" s="1"/>
    </row>
    <row x14ac:dyDescent="0.25" r="3650" customHeight="1" ht="18.75">
      <c r="A3650" s="1"/>
      <c r="B3650" s="1"/>
      <c r="C3650" s="1"/>
      <c r="D3650" s="1"/>
      <c r="E3650" s="1"/>
      <c r="F3650" s="1"/>
      <c r="G3650" s="1"/>
      <c r="H3650" s="1"/>
      <c r="I3650" s="2"/>
      <c r="J3650" s="1"/>
      <c r="K3650" s="1"/>
      <c r="L3650" s="1"/>
      <c r="M3650" s="1"/>
      <c r="N3650" s="1"/>
      <c r="O3650" s="1"/>
      <c r="P3650" s="1"/>
      <c r="Q3650" s="1"/>
      <c r="R3650" s="1"/>
      <c r="S3650" s="1"/>
      <c r="T3650" s="1"/>
      <c r="U3650" s="1"/>
      <c r="V3650" s="1"/>
      <c r="W3650" s="1"/>
      <c r="X3650" s="1"/>
    </row>
    <row x14ac:dyDescent="0.25" r="3651" customHeight="1" ht="18.75">
      <c r="A3651" s="1"/>
      <c r="B3651" s="1"/>
      <c r="C3651" s="1"/>
      <c r="D3651" s="1"/>
      <c r="E3651" s="1"/>
      <c r="F3651" s="1"/>
      <c r="G3651" s="1"/>
      <c r="H3651" s="1"/>
      <c r="I3651" s="2"/>
      <c r="J3651" s="1"/>
      <c r="K3651" s="1"/>
      <c r="L3651" s="1"/>
      <c r="M3651" s="1"/>
      <c r="N3651" s="1"/>
      <c r="O3651" s="1"/>
      <c r="P3651" s="1"/>
      <c r="Q3651" s="1"/>
      <c r="R3651" s="1"/>
      <c r="S3651" s="1"/>
      <c r="T3651" s="1"/>
      <c r="U3651" s="1"/>
      <c r="V3651" s="1"/>
      <c r="W3651" s="1"/>
      <c r="X3651" s="1"/>
    </row>
    <row x14ac:dyDescent="0.25" r="3652" customHeight="1" ht="18.75">
      <c r="A3652" s="1"/>
      <c r="B3652" s="1"/>
      <c r="C3652" s="1"/>
      <c r="D3652" s="1"/>
      <c r="E3652" s="1"/>
      <c r="F3652" s="1"/>
      <c r="G3652" s="1"/>
      <c r="H3652" s="1"/>
      <c r="I3652" s="2"/>
      <c r="J3652" s="1"/>
      <c r="K3652" s="1"/>
      <c r="L3652" s="1"/>
      <c r="M3652" s="1"/>
      <c r="N3652" s="1"/>
      <c r="O3652" s="1"/>
      <c r="P3652" s="1"/>
      <c r="Q3652" s="1"/>
      <c r="R3652" s="1"/>
      <c r="S3652" s="1"/>
      <c r="T3652" s="1"/>
      <c r="U3652" s="1"/>
      <c r="V3652" s="1"/>
      <c r="W3652" s="1"/>
      <c r="X3652" s="1"/>
    </row>
    <row x14ac:dyDescent="0.25" r="3653" customHeight="1" ht="18.75">
      <c r="A3653" s="1"/>
      <c r="B3653" s="1"/>
      <c r="C3653" s="1"/>
      <c r="D3653" s="1"/>
      <c r="E3653" s="1"/>
      <c r="F3653" s="1"/>
      <c r="G3653" s="1"/>
      <c r="H3653" s="1"/>
      <c r="I3653" s="2"/>
      <c r="J3653" s="1"/>
      <c r="K3653" s="1"/>
      <c r="L3653" s="1"/>
      <c r="M3653" s="1"/>
      <c r="N3653" s="1"/>
      <c r="O3653" s="1"/>
      <c r="P3653" s="1"/>
      <c r="Q3653" s="1"/>
      <c r="R3653" s="1"/>
      <c r="S3653" s="1"/>
      <c r="T3653" s="1"/>
      <c r="U3653" s="1"/>
      <c r="V3653" s="1"/>
      <c r="W3653" s="1"/>
      <c r="X3653" s="1"/>
    </row>
    <row x14ac:dyDescent="0.25" r="3654" customHeight="1" ht="18.75">
      <c r="A3654" s="1"/>
      <c r="B3654" s="1"/>
      <c r="C3654" s="1"/>
      <c r="D3654" s="1"/>
      <c r="E3654" s="1"/>
      <c r="F3654" s="1"/>
      <c r="G3654" s="1"/>
      <c r="H3654" s="1"/>
      <c r="I3654" s="2"/>
      <c r="J3654" s="1"/>
      <c r="K3654" s="1"/>
      <c r="L3654" s="1"/>
      <c r="M3654" s="1"/>
      <c r="N3654" s="1"/>
      <c r="O3654" s="1"/>
      <c r="P3654" s="1"/>
      <c r="Q3654" s="1"/>
      <c r="R3654" s="1"/>
      <c r="S3654" s="1"/>
      <c r="T3654" s="1"/>
      <c r="U3654" s="1"/>
      <c r="V3654" s="1"/>
      <c r="W3654" s="1"/>
      <c r="X3654" s="1"/>
    </row>
    <row x14ac:dyDescent="0.25" r="3655" customHeight="1" ht="18.75">
      <c r="A3655" s="1"/>
      <c r="B3655" s="1"/>
      <c r="C3655" s="1"/>
      <c r="D3655" s="1"/>
      <c r="E3655" s="1"/>
      <c r="F3655" s="1"/>
      <c r="G3655" s="1"/>
      <c r="H3655" s="1"/>
      <c r="I3655" s="2"/>
      <c r="J3655" s="1"/>
      <c r="K3655" s="1"/>
      <c r="L3655" s="1"/>
      <c r="M3655" s="1"/>
      <c r="N3655" s="1"/>
      <c r="O3655" s="1"/>
      <c r="P3655" s="1"/>
      <c r="Q3655" s="1"/>
      <c r="R3655" s="1"/>
      <c r="S3655" s="1"/>
      <c r="T3655" s="1"/>
      <c r="U3655" s="1"/>
      <c r="V3655" s="1"/>
      <c r="W3655" s="1"/>
      <c r="X3655" s="1"/>
    </row>
    <row x14ac:dyDescent="0.25" r="3656" customHeight="1" ht="18.75">
      <c r="A3656" s="1"/>
      <c r="B3656" s="1"/>
      <c r="C3656" s="1"/>
      <c r="D3656" s="1"/>
      <c r="E3656" s="1"/>
      <c r="F3656" s="1"/>
      <c r="G3656" s="1"/>
      <c r="H3656" s="1"/>
      <c r="I3656" s="2"/>
      <c r="J3656" s="1"/>
      <c r="K3656" s="1"/>
      <c r="L3656" s="1"/>
      <c r="M3656" s="1"/>
      <c r="N3656" s="1"/>
      <c r="O3656" s="1"/>
      <c r="P3656" s="1"/>
      <c r="Q3656" s="1"/>
      <c r="R3656" s="1"/>
      <c r="S3656" s="1"/>
      <c r="T3656" s="1"/>
      <c r="U3656" s="1"/>
      <c r="V3656" s="1"/>
      <c r="W3656" s="1"/>
      <c r="X3656" s="1"/>
    </row>
    <row x14ac:dyDescent="0.25" r="3657" customHeight="1" ht="18.75">
      <c r="A3657" s="1"/>
      <c r="B3657" s="1"/>
      <c r="C3657" s="1"/>
      <c r="D3657" s="1"/>
      <c r="E3657" s="1"/>
      <c r="F3657" s="1"/>
      <c r="G3657" s="1"/>
      <c r="H3657" s="1"/>
      <c r="I3657" s="2"/>
      <c r="J3657" s="1"/>
      <c r="K3657" s="1"/>
      <c r="L3657" s="1"/>
      <c r="M3657" s="1"/>
      <c r="N3657" s="1"/>
      <c r="O3657" s="1"/>
      <c r="P3657" s="1"/>
      <c r="Q3657" s="1"/>
      <c r="R3657" s="1"/>
      <c r="S3657" s="1"/>
      <c r="T3657" s="1"/>
      <c r="U3657" s="1"/>
      <c r="V3657" s="1"/>
      <c r="W3657" s="1"/>
      <c r="X3657" s="1"/>
    </row>
    <row x14ac:dyDescent="0.25" r="3658" customHeight="1" ht="18.75">
      <c r="A3658" s="1"/>
      <c r="B3658" s="1"/>
      <c r="C3658" s="1"/>
      <c r="D3658" s="1"/>
      <c r="E3658" s="1"/>
      <c r="F3658" s="1"/>
      <c r="G3658" s="1"/>
      <c r="H3658" s="1"/>
      <c r="I3658" s="2"/>
      <c r="J3658" s="1"/>
      <c r="K3658" s="1"/>
      <c r="L3658" s="1"/>
      <c r="M3658" s="1"/>
      <c r="N3658" s="1"/>
      <c r="O3658" s="1"/>
      <c r="P3658" s="1"/>
      <c r="Q3658" s="1"/>
      <c r="R3658" s="1"/>
      <c r="S3658" s="1"/>
      <c r="T3658" s="1"/>
      <c r="U3658" s="1"/>
      <c r="V3658" s="1"/>
      <c r="W3658" s="1"/>
      <c r="X3658" s="1"/>
    </row>
    <row x14ac:dyDescent="0.25" r="3659" customHeight="1" ht="18.75">
      <c r="A3659" s="1"/>
      <c r="B3659" s="1"/>
      <c r="C3659" s="1"/>
      <c r="D3659" s="1"/>
      <c r="E3659" s="1"/>
      <c r="F3659" s="1"/>
      <c r="G3659" s="1"/>
      <c r="H3659" s="1"/>
      <c r="I3659" s="2"/>
      <c r="J3659" s="1"/>
      <c r="K3659" s="1"/>
      <c r="L3659" s="1"/>
      <c r="M3659" s="1"/>
      <c r="N3659" s="1"/>
      <c r="O3659" s="1"/>
      <c r="P3659" s="1"/>
      <c r="Q3659" s="1"/>
      <c r="R3659" s="1"/>
      <c r="S3659" s="1"/>
      <c r="T3659" s="1"/>
      <c r="U3659" s="1"/>
      <c r="V3659" s="1"/>
      <c r="W3659" s="1"/>
      <c r="X3659" s="1"/>
    </row>
    <row x14ac:dyDescent="0.25" r="3660" customHeight="1" ht="18.75">
      <c r="A3660" s="1"/>
      <c r="B3660" s="1"/>
      <c r="C3660" s="1"/>
      <c r="D3660" s="1"/>
      <c r="E3660" s="1"/>
      <c r="F3660" s="1"/>
      <c r="G3660" s="1"/>
      <c r="H3660" s="1"/>
      <c r="I3660" s="2"/>
      <c r="J3660" s="1"/>
      <c r="K3660" s="1"/>
      <c r="L3660" s="1"/>
      <c r="M3660" s="1"/>
      <c r="N3660" s="1"/>
      <c r="O3660" s="1"/>
      <c r="P3660" s="1"/>
      <c r="Q3660" s="1"/>
      <c r="R3660" s="1"/>
      <c r="S3660" s="1"/>
      <c r="T3660" s="1"/>
      <c r="U3660" s="1"/>
      <c r="V3660" s="1"/>
      <c r="W3660" s="1"/>
      <c r="X3660" s="1"/>
    </row>
    <row x14ac:dyDescent="0.25" r="3661" customHeight="1" ht="18.75">
      <c r="A3661" s="1"/>
      <c r="B3661" s="1"/>
      <c r="C3661" s="1"/>
      <c r="D3661" s="1"/>
      <c r="E3661" s="1"/>
      <c r="F3661" s="1"/>
      <c r="G3661" s="1"/>
      <c r="H3661" s="1"/>
      <c r="I3661" s="2"/>
      <c r="J3661" s="1"/>
      <c r="K3661" s="1"/>
      <c r="L3661" s="1"/>
      <c r="M3661" s="1"/>
      <c r="N3661" s="1"/>
      <c r="O3661" s="1"/>
      <c r="P3661" s="1"/>
      <c r="Q3661" s="1"/>
      <c r="R3661" s="1"/>
      <c r="S3661" s="1"/>
      <c r="T3661" s="1"/>
      <c r="U3661" s="1"/>
      <c r="V3661" s="1"/>
      <c r="W3661" s="1"/>
      <c r="X3661" s="1"/>
    </row>
    <row x14ac:dyDescent="0.25" r="3662" customHeight="1" ht="18.75">
      <c r="A3662" s="1"/>
      <c r="B3662" s="1"/>
      <c r="C3662" s="1"/>
      <c r="D3662" s="1"/>
      <c r="E3662" s="1"/>
      <c r="F3662" s="1"/>
      <c r="G3662" s="1"/>
      <c r="H3662" s="1"/>
      <c r="I3662" s="2"/>
      <c r="J3662" s="1"/>
      <c r="K3662" s="1"/>
      <c r="L3662" s="1"/>
      <c r="M3662" s="1"/>
      <c r="N3662" s="1"/>
      <c r="O3662" s="1"/>
      <c r="P3662" s="1"/>
      <c r="Q3662" s="1"/>
      <c r="R3662" s="1"/>
      <c r="S3662" s="1"/>
      <c r="T3662" s="1"/>
      <c r="U3662" s="1"/>
      <c r="V3662" s="1"/>
      <c r="W3662" s="1"/>
      <c r="X3662" s="1"/>
    </row>
    <row x14ac:dyDescent="0.25" r="3663" customHeight="1" ht="18.75">
      <c r="A3663" s="1"/>
      <c r="B3663" s="1"/>
      <c r="C3663" s="1"/>
      <c r="D3663" s="1"/>
      <c r="E3663" s="1"/>
      <c r="F3663" s="1"/>
      <c r="G3663" s="1"/>
      <c r="H3663" s="1"/>
      <c r="I3663" s="2"/>
      <c r="J3663" s="1"/>
      <c r="K3663" s="1"/>
      <c r="L3663" s="1"/>
      <c r="M3663" s="1"/>
      <c r="N3663" s="1"/>
      <c r="O3663" s="1"/>
      <c r="P3663" s="1"/>
      <c r="Q3663" s="1"/>
      <c r="R3663" s="1"/>
      <c r="S3663" s="1"/>
      <c r="T3663" s="1"/>
      <c r="U3663" s="1"/>
      <c r="V3663" s="1"/>
      <c r="W3663" s="1"/>
      <c r="X3663" s="1"/>
    </row>
    <row x14ac:dyDescent="0.25" r="3664" customHeight="1" ht="18.75">
      <c r="A3664" s="1"/>
      <c r="B3664" s="1"/>
      <c r="C3664" s="1"/>
      <c r="D3664" s="1"/>
      <c r="E3664" s="1"/>
      <c r="F3664" s="1"/>
      <c r="G3664" s="1"/>
      <c r="H3664" s="1"/>
      <c r="I3664" s="2"/>
      <c r="J3664" s="1"/>
      <c r="K3664" s="1"/>
      <c r="L3664" s="1"/>
      <c r="M3664" s="1"/>
      <c r="N3664" s="1"/>
      <c r="O3664" s="1"/>
      <c r="P3664" s="1"/>
      <c r="Q3664" s="1"/>
      <c r="R3664" s="1"/>
      <c r="S3664" s="1"/>
      <c r="T3664" s="1"/>
      <c r="U3664" s="1"/>
      <c r="V3664" s="1"/>
      <c r="W3664" s="1"/>
      <c r="X3664" s="1"/>
    </row>
    <row x14ac:dyDescent="0.25" r="3665" customHeight="1" ht="18.75">
      <c r="A3665" s="1"/>
      <c r="B3665" s="1"/>
      <c r="C3665" s="1"/>
      <c r="D3665" s="1"/>
      <c r="E3665" s="1"/>
      <c r="F3665" s="1"/>
      <c r="G3665" s="1"/>
      <c r="H3665" s="1"/>
      <c r="I3665" s="2"/>
      <c r="J3665" s="1"/>
      <c r="K3665" s="1"/>
      <c r="L3665" s="1"/>
      <c r="M3665" s="1"/>
      <c r="N3665" s="1"/>
      <c r="O3665" s="1"/>
      <c r="P3665" s="1"/>
      <c r="Q3665" s="1"/>
      <c r="R3665" s="1"/>
      <c r="S3665" s="1"/>
      <c r="T3665" s="1"/>
      <c r="U3665" s="1"/>
      <c r="V3665" s="1"/>
      <c r="W3665" s="1"/>
      <c r="X3665" s="1"/>
    </row>
    <row x14ac:dyDescent="0.25" r="3666" customHeight="1" ht="18.75">
      <c r="A3666" s="1"/>
      <c r="B3666" s="1"/>
      <c r="C3666" s="1"/>
      <c r="D3666" s="1"/>
      <c r="E3666" s="1"/>
      <c r="F3666" s="1"/>
      <c r="G3666" s="1"/>
      <c r="H3666" s="1"/>
      <c r="I3666" s="2"/>
      <c r="J3666" s="1"/>
      <c r="K3666" s="1"/>
      <c r="L3666" s="1"/>
      <c r="M3666" s="1"/>
      <c r="N3666" s="1"/>
      <c r="O3666" s="1"/>
      <c r="P3666" s="1"/>
      <c r="Q3666" s="1"/>
      <c r="R3666" s="1"/>
      <c r="S3666" s="1"/>
      <c r="T3666" s="1"/>
      <c r="U3666" s="1"/>
      <c r="V3666" s="1"/>
      <c r="W3666" s="1"/>
      <c r="X3666" s="1"/>
    </row>
    <row x14ac:dyDescent="0.25" r="3667" customHeight="1" ht="18.75">
      <c r="A3667" s="1"/>
      <c r="B3667" s="1"/>
      <c r="C3667" s="1"/>
      <c r="D3667" s="1"/>
      <c r="E3667" s="1"/>
      <c r="F3667" s="1"/>
      <c r="G3667" s="1"/>
      <c r="H3667" s="1"/>
      <c r="I3667" s="2"/>
      <c r="J3667" s="1"/>
      <c r="K3667" s="1"/>
      <c r="L3667" s="1"/>
      <c r="M3667" s="1"/>
      <c r="N3667" s="1"/>
      <c r="O3667" s="1"/>
      <c r="P3667" s="1"/>
      <c r="Q3667" s="1"/>
      <c r="R3667" s="1"/>
      <c r="S3667" s="1"/>
      <c r="T3667" s="1"/>
      <c r="U3667" s="1"/>
      <c r="V3667" s="1"/>
      <c r="W3667" s="1"/>
      <c r="X3667" s="1"/>
    </row>
    <row x14ac:dyDescent="0.25" r="3668" customHeight="1" ht="18.75">
      <c r="A3668" s="1"/>
      <c r="B3668" s="1"/>
      <c r="C3668" s="1"/>
      <c r="D3668" s="1"/>
      <c r="E3668" s="1"/>
      <c r="F3668" s="1"/>
      <c r="G3668" s="1"/>
      <c r="H3668" s="1"/>
      <c r="I3668" s="2"/>
      <c r="J3668" s="1"/>
      <c r="K3668" s="1"/>
      <c r="L3668" s="1"/>
      <c r="M3668" s="1"/>
      <c r="N3668" s="1"/>
      <c r="O3668" s="1"/>
      <c r="P3668" s="1"/>
      <c r="Q3668" s="1"/>
      <c r="R3668" s="1"/>
      <c r="S3668" s="1"/>
      <c r="T3668" s="1"/>
      <c r="U3668" s="1"/>
      <c r="V3668" s="1"/>
      <c r="W3668" s="1"/>
      <c r="X3668" s="1"/>
    </row>
    <row x14ac:dyDescent="0.25" r="3669" customHeight="1" ht="18.75">
      <c r="A3669" s="1"/>
      <c r="B3669" s="1"/>
      <c r="C3669" s="1"/>
      <c r="D3669" s="1"/>
      <c r="E3669" s="1"/>
      <c r="F3669" s="1"/>
      <c r="G3669" s="1"/>
      <c r="H3669" s="1"/>
      <c r="I3669" s="2"/>
      <c r="J3669" s="1"/>
      <c r="K3669" s="1"/>
      <c r="L3669" s="1"/>
      <c r="M3669" s="1"/>
      <c r="N3669" s="1"/>
      <c r="O3669" s="1"/>
      <c r="P3669" s="1"/>
      <c r="Q3669" s="1"/>
      <c r="R3669" s="1"/>
      <c r="S3669" s="1"/>
      <c r="T3669" s="1"/>
      <c r="U3669" s="1"/>
      <c r="V3669" s="1"/>
      <c r="W3669" s="1"/>
      <c r="X3669" s="1"/>
    </row>
    <row x14ac:dyDescent="0.25" r="3670" customHeight="1" ht="18.75">
      <c r="A3670" s="1"/>
      <c r="B3670" s="1"/>
      <c r="C3670" s="1"/>
      <c r="D3670" s="1"/>
      <c r="E3670" s="1"/>
      <c r="F3670" s="1"/>
      <c r="G3670" s="1"/>
      <c r="H3670" s="1"/>
      <c r="I3670" s="2"/>
      <c r="J3670" s="1"/>
      <c r="K3670" s="1"/>
      <c r="L3670" s="1"/>
      <c r="M3670" s="1"/>
      <c r="N3670" s="1"/>
      <c r="O3670" s="1"/>
      <c r="P3670" s="1"/>
      <c r="Q3670" s="1"/>
      <c r="R3670" s="1"/>
      <c r="S3670" s="1"/>
      <c r="T3670" s="1"/>
      <c r="U3670" s="1"/>
      <c r="V3670" s="1"/>
      <c r="W3670" s="1"/>
      <c r="X3670" s="1"/>
    </row>
    <row x14ac:dyDescent="0.25" r="3671" customHeight="1" ht="18.75">
      <c r="A3671" s="1"/>
      <c r="B3671" s="1"/>
      <c r="C3671" s="1"/>
      <c r="D3671" s="1"/>
      <c r="E3671" s="1"/>
      <c r="F3671" s="1"/>
      <c r="G3671" s="1"/>
      <c r="H3671" s="1"/>
      <c r="I3671" s="2"/>
      <c r="J3671" s="1"/>
      <c r="K3671" s="1"/>
      <c r="L3671" s="1"/>
      <c r="M3671" s="1"/>
      <c r="N3671" s="1"/>
      <c r="O3671" s="1"/>
      <c r="P3671" s="1"/>
      <c r="Q3671" s="1"/>
      <c r="R3671" s="1"/>
      <c r="S3671" s="1"/>
      <c r="T3671" s="1"/>
      <c r="U3671" s="1"/>
      <c r="V3671" s="1"/>
      <c r="W3671" s="1"/>
      <c r="X3671" s="1"/>
    </row>
    <row x14ac:dyDescent="0.25" r="3672" customHeight="1" ht="18.75">
      <c r="A3672" s="1"/>
      <c r="B3672" s="1"/>
      <c r="C3672" s="1"/>
      <c r="D3672" s="1"/>
      <c r="E3672" s="1"/>
      <c r="F3672" s="1"/>
      <c r="G3672" s="1"/>
      <c r="H3672" s="1"/>
      <c r="I3672" s="2"/>
      <c r="J3672" s="1"/>
      <c r="K3672" s="1"/>
      <c r="L3672" s="1"/>
      <c r="M3672" s="1"/>
      <c r="N3672" s="1"/>
      <c r="O3672" s="1"/>
      <c r="P3672" s="1"/>
      <c r="Q3672" s="1"/>
      <c r="R3672" s="1"/>
      <c r="S3672" s="1"/>
      <c r="T3672" s="1"/>
      <c r="U3672" s="1"/>
      <c r="V3672" s="1"/>
      <c r="W3672" s="1"/>
      <c r="X3672" s="1"/>
    </row>
    <row x14ac:dyDescent="0.25" r="3673" customHeight="1" ht="18.75">
      <c r="A3673" s="1"/>
      <c r="B3673" s="1"/>
      <c r="C3673" s="1"/>
      <c r="D3673" s="1"/>
      <c r="E3673" s="1"/>
      <c r="F3673" s="1"/>
      <c r="G3673" s="1"/>
      <c r="H3673" s="1"/>
      <c r="I3673" s="2"/>
      <c r="J3673" s="1"/>
      <c r="K3673" s="1"/>
      <c r="L3673" s="1"/>
      <c r="M3673" s="1"/>
      <c r="N3673" s="1"/>
      <c r="O3673" s="1"/>
      <c r="P3673" s="1"/>
      <c r="Q3673" s="1"/>
      <c r="R3673" s="1"/>
      <c r="S3673" s="1"/>
      <c r="T3673" s="1"/>
      <c r="U3673" s="1"/>
      <c r="V3673" s="1"/>
      <c r="W3673" s="1"/>
      <c r="X3673" s="1"/>
    </row>
    <row x14ac:dyDescent="0.25" r="3674" customHeight="1" ht="18.75">
      <c r="A3674" s="1"/>
      <c r="B3674" s="1"/>
      <c r="C3674" s="1"/>
      <c r="D3674" s="1"/>
      <c r="E3674" s="1"/>
      <c r="F3674" s="1"/>
      <c r="G3674" s="1"/>
      <c r="H3674" s="1"/>
      <c r="I3674" s="2"/>
      <c r="J3674" s="1"/>
      <c r="K3674" s="1"/>
      <c r="L3674" s="1"/>
      <c r="M3674" s="1"/>
      <c r="N3674" s="1"/>
      <c r="O3674" s="1"/>
      <c r="P3674" s="1"/>
      <c r="Q3674" s="1"/>
      <c r="R3674" s="1"/>
      <c r="S3674" s="1"/>
      <c r="T3674" s="1"/>
      <c r="U3674" s="1"/>
      <c r="V3674" s="1"/>
      <c r="W3674" s="1"/>
      <c r="X3674" s="1"/>
    </row>
    <row x14ac:dyDescent="0.25" r="3675" customHeight="1" ht="18.75">
      <c r="A3675" s="1"/>
      <c r="B3675" s="1"/>
      <c r="C3675" s="1"/>
      <c r="D3675" s="1"/>
      <c r="E3675" s="1"/>
      <c r="F3675" s="1"/>
      <c r="G3675" s="1"/>
      <c r="H3675" s="1"/>
      <c r="I3675" s="2"/>
      <c r="J3675" s="1"/>
      <c r="K3675" s="1"/>
      <c r="L3675" s="1"/>
      <c r="M3675" s="1"/>
      <c r="N3675" s="1"/>
      <c r="O3675" s="1"/>
      <c r="P3675" s="1"/>
      <c r="Q3675" s="1"/>
      <c r="R3675" s="1"/>
      <c r="S3675" s="1"/>
      <c r="T3675" s="1"/>
      <c r="U3675" s="1"/>
      <c r="V3675" s="1"/>
      <c r="W3675" s="1"/>
      <c r="X3675" s="1"/>
    </row>
    <row x14ac:dyDescent="0.25" r="3676" customHeight="1" ht="18.75">
      <c r="A3676" s="1"/>
      <c r="B3676" s="1"/>
      <c r="C3676" s="1"/>
      <c r="D3676" s="1"/>
      <c r="E3676" s="1"/>
      <c r="F3676" s="1"/>
      <c r="G3676" s="1"/>
      <c r="H3676" s="1"/>
      <c r="I3676" s="2"/>
      <c r="J3676" s="1"/>
      <c r="K3676" s="1"/>
      <c r="L3676" s="1"/>
      <c r="M3676" s="1"/>
      <c r="N3676" s="1"/>
      <c r="O3676" s="1"/>
      <c r="P3676" s="1"/>
      <c r="Q3676" s="1"/>
      <c r="R3676" s="1"/>
      <c r="S3676" s="1"/>
      <c r="T3676" s="1"/>
      <c r="U3676" s="1"/>
      <c r="V3676" s="1"/>
      <c r="W3676" s="1"/>
      <c r="X3676" s="1"/>
    </row>
    <row x14ac:dyDescent="0.25" r="3677" customHeight="1" ht="18.75">
      <c r="A3677" s="1"/>
      <c r="B3677" s="1"/>
      <c r="C3677" s="1"/>
      <c r="D3677" s="1"/>
      <c r="E3677" s="1"/>
      <c r="F3677" s="1"/>
      <c r="G3677" s="1"/>
      <c r="H3677" s="1"/>
      <c r="I3677" s="2"/>
      <c r="J3677" s="1"/>
      <c r="K3677" s="1"/>
      <c r="L3677" s="1"/>
      <c r="M3677" s="1"/>
      <c r="N3677" s="1"/>
      <c r="O3677" s="1"/>
      <c r="P3677" s="1"/>
      <c r="Q3677" s="1"/>
      <c r="R3677" s="1"/>
      <c r="S3677" s="1"/>
      <c r="T3677" s="1"/>
      <c r="U3677" s="1"/>
      <c r="V3677" s="1"/>
      <c r="W3677" s="1"/>
      <c r="X3677" s="1"/>
    </row>
    <row x14ac:dyDescent="0.25" r="3678" customHeight="1" ht="18.75">
      <c r="A3678" s="1"/>
      <c r="B3678" s="1"/>
      <c r="C3678" s="1"/>
      <c r="D3678" s="1"/>
      <c r="E3678" s="1"/>
      <c r="F3678" s="1"/>
      <c r="G3678" s="1"/>
      <c r="H3678" s="1"/>
      <c r="I3678" s="2"/>
      <c r="J3678" s="1"/>
      <c r="K3678" s="1"/>
      <c r="L3678" s="1"/>
      <c r="M3678" s="1"/>
      <c r="N3678" s="1"/>
      <c r="O3678" s="1"/>
      <c r="P3678" s="1"/>
      <c r="Q3678" s="1"/>
      <c r="R3678" s="1"/>
      <c r="S3678" s="1"/>
      <c r="T3678" s="1"/>
      <c r="U3678" s="1"/>
      <c r="V3678" s="1"/>
      <c r="W3678" s="1"/>
      <c r="X3678" s="1"/>
    </row>
    <row x14ac:dyDescent="0.25" r="3679" customHeight="1" ht="18.75">
      <c r="A3679" s="1"/>
      <c r="B3679" s="1"/>
      <c r="C3679" s="1"/>
      <c r="D3679" s="1"/>
      <c r="E3679" s="1"/>
      <c r="F3679" s="1"/>
      <c r="G3679" s="1"/>
      <c r="H3679" s="1"/>
      <c r="I3679" s="2"/>
      <c r="J3679" s="1"/>
      <c r="K3679" s="1"/>
      <c r="L3679" s="1"/>
      <c r="M3679" s="1"/>
      <c r="N3679" s="1"/>
      <c r="O3679" s="1"/>
      <c r="P3679" s="1"/>
      <c r="Q3679" s="1"/>
      <c r="R3679" s="1"/>
      <c r="S3679" s="1"/>
      <c r="T3679" s="1"/>
      <c r="U3679" s="1"/>
      <c r="V3679" s="1"/>
      <c r="W3679" s="1"/>
      <c r="X3679" s="1"/>
    </row>
    <row x14ac:dyDescent="0.25" r="3680" customHeight="1" ht="18.75">
      <c r="A3680" s="1"/>
      <c r="B3680" s="1"/>
      <c r="C3680" s="1"/>
      <c r="D3680" s="1"/>
      <c r="E3680" s="1"/>
      <c r="F3680" s="1"/>
      <c r="G3680" s="1"/>
      <c r="H3680" s="1"/>
      <c r="I3680" s="2"/>
      <c r="J3680" s="1"/>
      <c r="K3680" s="1"/>
      <c r="L3680" s="1"/>
      <c r="M3680" s="1"/>
      <c r="N3680" s="1"/>
      <c r="O3680" s="1"/>
      <c r="P3680" s="1"/>
      <c r="Q3680" s="1"/>
      <c r="R3680" s="1"/>
      <c r="S3680" s="1"/>
      <c r="T3680" s="1"/>
      <c r="U3680" s="1"/>
      <c r="V3680" s="1"/>
      <c r="W3680" s="1"/>
      <c r="X3680" s="1"/>
    </row>
    <row x14ac:dyDescent="0.25" r="3681" customHeight="1" ht="18.75">
      <c r="A3681" s="1"/>
      <c r="B3681" s="1"/>
      <c r="C3681" s="1"/>
      <c r="D3681" s="1"/>
      <c r="E3681" s="1"/>
      <c r="F3681" s="1"/>
      <c r="G3681" s="1"/>
      <c r="H3681" s="1"/>
      <c r="I3681" s="2"/>
      <c r="J3681" s="1"/>
      <c r="K3681" s="1"/>
      <c r="L3681" s="1"/>
      <c r="M3681" s="1"/>
      <c r="N3681" s="1"/>
      <c r="O3681" s="1"/>
      <c r="P3681" s="1"/>
      <c r="Q3681" s="1"/>
      <c r="R3681" s="1"/>
      <c r="S3681" s="1"/>
      <c r="T3681" s="1"/>
      <c r="U3681" s="1"/>
      <c r="V3681" s="1"/>
      <c r="W3681" s="1"/>
      <c r="X3681" s="1"/>
    </row>
    <row x14ac:dyDescent="0.25" r="3682" customHeight="1" ht="18.75">
      <c r="A3682" s="1"/>
      <c r="B3682" s="1"/>
      <c r="C3682" s="1"/>
      <c r="D3682" s="1"/>
      <c r="E3682" s="1"/>
      <c r="F3682" s="1"/>
      <c r="G3682" s="1"/>
      <c r="H3682" s="1"/>
      <c r="I3682" s="2"/>
      <c r="J3682" s="1"/>
      <c r="K3682" s="1"/>
      <c r="L3682" s="1"/>
      <c r="M3682" s="1"/>
      <c r="N3682" s="1"/>
      <c r="O3682" s="1"/>
      <c r="P3682" s="1"/>
      <c r="Q3682" s="1"/>
      <c r="R3682" s="1"/>
      <c r="S3682" s="1"/>
      <c r="T3682" s="1"/>
      <c r="U3682" s="1"/>
      <c r="V3682" s="1"/>
      <c r="W3682" s="1"/>
      <c r="X3682" s="1"/>
    </row>
    <row x14ac:dyDescent="0.25" r="3683" customHeight="1" ht="18.75">
      <c r="A3683" s="1"/>
      <c r="B3683" s="1"/>
      <c r="C3683" s="1"/>
      <c r="D3683" s="1"/>
      <c r="E3683" s="1"/>
      <c r="F3683" s="1"/>
      <c r="G3683" s="1"/>
      <c r="H3683" s="1"/>
      <c r="I3683" s="2"/>
      <c r="J3683" s="1"/>
      <c r="K3683" s="1"/>
      <c r="L3683" s="1"/>
      <c r="M3683" s="1"/>
      <c r="N3683" s="1"/>
      <c r="O3683" s="1"/>
      <c r="P3683" s="1"/>
      <c r="Q3683" s="1"/>
      <c r="R3683" s="1"/>
      <c r="S3683" s="1"/>
      <c r="T3683" s="1"/>
      <c r="U3683" s="1"/>
      <c r="V3683" s="1"/>
      <c r="W3683" s="1"/>
      <c r="X3683" s="1"/>
    </row>
    <row x14ac:dyDescent="0.25" r="3684" customHeight="1" ht="18.75">
      <c r="A3684" s="1"/>
      <c r="B3684" s="1"/>
      <c r="C3684" s="1"/>
      <c r="D3684" s="1"/>
      <c r="E3684" s="1"/>
      <c r="F3684" s="1"/>
      <c r="G3684" s="1"/>
      <c r="H3684" s="1"/>
      <c r="I3684" s="2"/>
      <c r="J3684" s="1"/>
      <c r="K3684" s="1"/>
      <c r="L3684" s="1"/>
      <c r="M3684" s="1"/>
      <c r="N3684" s="1"/>
      <c r="O3684" s="1"/>
      <c r="P3684" s="1"/>
      <c r="Q3684" s="1"/>
      <c r="R3684" s="1"/>
      <c r="S3684" s="1"/>
      <c r="T3684" s="1"/>
      <c r="U3684" s="1"/>
      <c r="V3684" s="1"/>
      <c r="W3684" s="1"/>
      <c r="X3684" s="1"/>
    </row>
    <row x14ac:dyDescent="0.25" r="3685" customHeight="1" ht="18.75">
      <c r="A3685" s="1"/>
      <c r="B3685" s="1"/>
      <c r="C3685" s="1"/>
      <c r="D3685" s="1"/>
      <c r="E3685" s="1"/>
      <c r="F3685" s="1"/>
      <c r="G3685" s="1"/>
      <c r="H3685" s="1"/>
      <c r="I3685" s="2"/>
      <c r="J3685" s="1"/>
      <c r="K3685" s="1"/>
      <c r="L3685" s="1"/>
      <c r="M3685" s="1"/>
      <c r="N3685" s="1"/>
      <c r="O3685" s="1"/>
      <c r="P3685" s="1"/>
      <c r="Q3685" s="1"/>
      <c r="R3685" s="1"/>
      <c r="S3685" s="1"/>
      <c r="T3685" s="1"/>
      <c r="U3685" s="1"/>
      <c r="V3685" s="1"/>
      <c r="W3685" s="1"/>
      <c r="X3685" s="1"/>
    </row>
    <row x14ac:dyDescent="0.25" r="3686" customHeight="1" ht="18.75">
      <c r="A3686" s="1"/>
      <c r="B3686" s="1"/>
      <c r="C3686" s="1"/>
      <c r="D3686" s="1"/>
      <c r="E3686" s="1"/>
      <c r="F3686" s="1"/>
      <c r="G3686" s="1"/>
      <c r="H3686" s="1"/>
      <c r="I3686" s="2"/>
      <c r="J3686" s="1"/>
      <c r="K3686" s="1"/>
      <c r="L3686" s="1"/>
      <c r="M3686" s="1"/>
      <c r="N3686" s="1"/>
      <c r="O3686" s="1"/>
      <c r="P3686" s="1"/>
      <c r="Q3686" s="1"/>
      <c r="R3686" s="1"/>
      <c r="S3686" s="1"/>
      <c r="T3686" s="1"/>
      <c r="U3686" s="1"/>
      <c r="V3686" s="1"/>
      <c r="W3686" s="1"/>
      <c r="X3686" s="1"/>
    </row>
    <row x14ac:dyDescent="0.25" r="3687" customHeight="1" ht="18.75">
      <c r="A3687" s="1"/>
      <c r="B3687" s="1"/>
      <c r="C3687" s="1"/>
      <c r="D3687" s="1"/>
      <c r="E3687" s="1"/>
      <c r="F3687" s="1"/>
      <c r="G3687" s="1"/>
      <c r="H3687" s="1"/>
      <c r="I3687" s="2"/>
      <c r="J3687" s="1"/>
      <c r="K3687" s="1"/>
      <c r="L3687" s="1"/>
      <c r="M3687" s="1"/>
      <c r="N3687" s="1"/>
      <c r="O3687" s="1"/>
      <c r="P3687" s="1"/>
      <c r="Q3687" s="1"/>
      <c r="R3687" s="1"/>
      <c r="S3687" s="1"/>
      <c r="T3687" s="1"/>
      <c r="U3687" s="1"/>
      <c r="V3687" s="1"/>
      <c r="W3687" s="1"/>
      <c r="X3687" s="1"/>
    </row>
    <row x14ac:dyDescent="0.25" r="3688" customHeight="1" ht="18.75">
      <c r="A3688" s="1"/>
      <c r="B3688" s="1"/>
      <c r="C3688" s="1"/>
      <c r="D3688" s="1"/>
      <c r="E3688" s="1"/>
      <c r="F3688" s="1"/>
      <c r="G3688" s="1"/>
      <c r="H3688" s="1"/>
      <c r="I3688" s="2"/>
      <c r="J3688" s="1"/>
      <c r="K3688" s="1"/>
      <c r="L3688" s="1"/>
      <c r="M3688" s="1"/>
      <c r="N3688" s="1"/>
      <c r="O3688" s="1"/>
      <c r="P3688" s="1"/>
      <c r="Q3688" s="1"/>
      <c r="R3688" s="1"/>
      <c r="S3688" s="1"/>
      <c r="T3688" s="1"/>
      <c r="U3688" s="1"/>
      <c r="V3688" s="1"/>
      <c r="W3688" s="1"/>
      <c r="X3688" s="1"/>
    </row>
    <row x14ac:dyDescent="0.25" r="3689" customHeight="1" ht="18.75">
      <c r="A3689" s="1"/>
      <c r="B3689" s="1"/>
      <c r="C3689" s="1"/>
      <c r="D3689" s="1"/>
      <c r="E3689" s="1"/>
      <c r="F3689" s="1"/>
      <c r="G3689" s="1"/>
      <c r="H3689" s="1"/>
      <c r="I3689" s="2"/>
      <c r="J3689" s="1"/>
      <c r="K3689" s="1"/>
      <c r="L3689" s="1"/>
      <c r="M3689" s="1"/>
      <c r="N3689" s="1"/>
      <c r="O3689" s="1"/>
      <c r="P3689" s="1"/>
      <c r="Q3689" s="1"/>
      <c r="R3689" s="1"/>
      <c r="S3689" s="1"/>
      <c r="T3689" s="1"/>
      <c r="U3689" s="1"/>
      <c r="V3689" s="1"/>
      <c r="W3689" s="1"/>
      <c r="X3689" s="1"/>
    </row>
    <row x14ac:dyDescent="0.25" r="3690" customHeight="1" ht="18.75">
      <c r="A3690" s="1"/>
      <c r="B3690" s="1"/>
      <c r="C3690" s="1"/>
      <c r="D3690" s="1"/>
      <c r="E3690" s="1"/>
      <c r="F3690" s="1"/>
      <c r="G3690" s="1"/>
      <c r="H3690" s="1"/>
      <c r="I3690" s="2"/>
      <c r="J3690" s="1"/>
      <c r="K3690" s="1"/>
      <c r="L3690" s="1"/>
      <c r="M3690" s="1"/>
      <c r="N3690" s="1"/>
      <c r="O3690" s="1"/>
      <c r="P3690" s="1"/>
      <c r="Q3690" s="1"/>
      <c r="R3690" s="1"/>
      <c r="S3690" s="1"/>
      <c r="T3690" s="1"/>
      <c r="U3690" s="1"/>
      <c r="V3690" s="1"/>
      <c r="W3690" s="1"/>
      <c r="X3690" s="1"/>
    </row>
    <row x14ac:dyDescent="0.25" r="3691" customHeight="1" ht="18.75">
      <c r="A3691" s="1"/>
      <c r="B3691" s="1"/>
      <c r="C3691" s="1"/>
      <c r="D3691" s="1"/>
      <c r="E3691" s="1"/>
      <c r="F3691" s="1"/>
      <c r="G3691" s="1"/>
      <c r="H3691" s="1"/>
      <c r="I3691" s="2"/>
      <c r="J3691" s="1"/>
      <c r="K3691" s="1"/>
      <c r="L3691" s="1"/>
      <c r="M3691" s="1"/>
      <c r="N3691" s="1"/>
      <c r="O3691" s="1"/>
      <c r="P3691" s="1"/>
      <c r="Q3691" s="1"/>
      <c r="R3691" s="1"/>
      <c r="S3691" s="1"/>
      <c r="T3691" s="1"/>
      <c r="U3691" s="1"/>
      <c r="V3691" s="1"/>
      <c r="W3691" s="1"/>
      <c r="X3691" s="1"/>
    </row>
    <row x14ac:dyDescent="0.25" r="3692" customHeight="1" ht="18.75">
      <c r="A3692" s="1"/>
      <c r="B3692" s="1"/>
      <c r="C3692" s="1"/>
      <c r="D3692" s="1"/>
      <c r="E3692" s="1"/>
      <c r="F3692" s="1"/>
      <c r="G3692" s="1"/>
      <c r="H3692" s="1"/>
      <c r="I3692" s="2"/>
      <c r="J3692" s="1"/>
      <c r="K3692" s="1"/>
      <c r="L3692" s="1"/>
      <c r="M3692" s="1"/>
      <c r="N3692" s="1"/>
      <c r="O3692" s="1"/>
      <c r="P3692" s="1"/>
      <c r="Q3692" s="1"/>
      <c r="R3692" s="1"/>
      <c r="S3692" s="1"/>
      <c r="T3692" s="1"/>
      <c r="U3692" s="1"/>
      <c r="V3692" s="1"/>
      <c r="W3692" s="1"/>
      <c r="X3692" s="1"/>
    </row>
    <row x14ac:dyDescent="0.25" r="3693" customHeight="1" ht="18.75">
      <c r="A3693" s="1"/>
      <c r="B3693" s="1"/>
      <c r="C3693" s="1"/>
      <c r="D3693" s="1"/>
      <c r="E3693" s="1"/>
      <c r="F3693" s="1"/>
      <c r="G3693" s="1"/>
      <c r="H3693" s="1"/>
      <c r="I3693" s="2"/>
      <c r="J3693" s="1"/>
      <c r="K3693" s="1"/>
      <c r="L3693" s="1"/>
      <c r="M3693" s="1"/>
      <c r="N3693" s="1"/>
      <c r="O3693" s="1"/>
      <c r="P3693" s="1"/>
      <c r="Q3693" s="1"/>
      <c r="R3693" s="1"/>
      <c r="S3693" s="1"/>
      <c r="T3693" s="1"/>
      <c r="U3693" s="1"/>
      <c r="V3693" s="1"/>
      <c r="W3693" s="1"/>
      <c r="X3693" s="1"/>
    </row>
    <row x14ac:dyDescent="0.25" r="3694" customHeight="1" ht="18.75">
      <c r="A3694" s="1"/>
      <c r="B3694" s="1"/>
      <c r="C3694" s="1"/>
      <c r="D3694" s="1"/>
      <c r="E3694" s="1"/>
      <c r="F3694" s="1"/>
      <c r="G3694" s="1"/>
      <c r="H3694" s="1"/>
      <c r="I3694" s="2"/>
      <c r="J3694" s="1"/>
      <c r="K3694" s="1"/>
      <c r="L3694" s="1"/>
      <c r="M3694" s="1"/>
      <c r="N3694" s="1"/>
      <c r="O3694" s="1"/>
      <c r="P3694" s="1"/>
      <c r="Q3694" s="1"/>
      <c r="R3694" s="1"/>
      <c r="S3694" s="1"/>
      <c r="T3694" s="1"/>
      <c r="U3694" s="1"/>
      <c r="V3694" s="1"/>
      <c r="W3694" s="1"/>
      <c r="X3694" s="1"/>
    </row>
    <row x14ac:dyDescent="0.25" r="3695" customHeight="1" ht="18.75">
      <c r="A3695" s="1"/>
      <c r="B3695" s="1"/>
      <c r="C3695" s="1"/>
      <c r="D3695" s="1"/>
      <c r="E3695" s="1"/>
      <c r="F3695" s="1"/>
      <c r="G3695" s="1"/>
      <c r="H3695" s="1"/>
      <c r="I3695" s="2"/>
      <c r="J3695" s="1"/>
      <c r="K3695" s="1"/>
      <c r="L3695" s="1"/>
      <c r="M3695" s="1"/>
      <c r="N3695" s="1"/>
      <c r="O3695" s="1"/>
      <c r="P3695" s="1"/>
      <c r="Q3695" s="1"/>
      <c r="R3695" s="1"/>
      <c r="S3695" s="1"/>
      <c r="T3695" s="1"/>
      <c r="U3695" s="1"/>
      <c r="V3695" s="1"/>
      <c r="W3695" s="1"/>
      <c r="X3695" s="1"/>
    </row>
    <row x14ac:dyDescent="0.25" r="3696" customHeight="1" ht="18.75">
      <c r="A3696" s="1"/>
      <c r="B3696" s="1"/>
      <c r="C3696" s="1"/>
      <c r="D3696" s="1"/>
      <c r="E3696" s="1"/>
      <c r="F3696" s="1"/>
      <c r="G3696" s="1"/>
      <c r="H3696" s="1"/>
      <c r="I3696" s="2"/>
      <c r="J3696" s="1"/>
      <c r="K3696" s="1"/>
      <c r="L3696" s="1"/>
      <c r="M3696" s="1"/>
      <c r="N3696" s="1"/>
      <c r="O3696" s="1"/>
      <c r="P3696" s="1"/>
      <c r="Q3696" s="1"/>
      <c r="R3696" s="1"/>
      <c r="S3696" s="1"/>
      <c r="T3696" s="1"/>
      <c r="U3696" s="1"/>
      <c r="V3696" s="1"/>
      <c r="W3696" s="1"/>
      <c r="X3696" s="1"/>
    </row>
    <row x14ac:dyDescent="0.25" r="3697" customHeight="1" ht="18.75">
      <c r="A3697" s="1"/>
      <c r="B3697" s="1"/>
      <c r="C3697" s="1"/>
      <c r="D3697" s="1"/>
      <c r="E3697" s="1"/>
      <c r="F3697" s="1"/>
      <c r="G3697" s="1"/>
      <c r="H3697" s="1"/>
      <c r="I3697" s="2"/>
      <c r="J3697" s="1"/>
      <c r="K3697" s="1"/>
      <c r="L3697" s="1"/>
      <c r="M3697" s="1"/>
      <c r="N3697" s="1"/>
      <c r="O3697" s="1"/>
      <c r="P3697" s="1"/>
      <c r="Q3697" s="1"/>
      <c r="R3697" s="1"/>
      <c r="S3697" s="1"/>
      <c r="T3697" s="1"/>
      <c r="U3697" s="1"/>
      <c r="V3697" s="1"/>
      <c r="W3697" s="1"/>
      <c r="X3697" s="1"/>
    </row>
    <row x14ac:dyDescent="0.25" r="3698" customHeight="1" ht="18.75">
      <c r="A3698" s="1"/>
      <c r="B3698" s="1"/>
      <c r="C3698" s="1"/>
      <c r="D3698" s="1"/>
      <c r="E3698" s="1"/>
      <c r="F3698" s="1"/>
      <c r="G3698" s="1"/>
      <c r="H3698" s="1"/>
      <c r="I3698" s="2"/>
      <c r="J3698" s="1"/>
      <c r="K3698" s="1"/>
      <c r="L3698" s="1"/>
      <c r="M3698" s="1"/>
      <c r="N3698" s="1"/>
      <c r="O3698" s="1"/>
      <c r="P3698" s="1"/>
      <c r="Q3698" s="1"/>
      <c r="R3698" s="1"/>
      <c r="S3698" s="1"/>
      <c r="T3698" s="1"/>
      <c r="U3698" s="1"/>
      <c r="V3698" s="1"/>
      <c r="W3698" s="1"/>
      <c r="X3698" s="1"/>
    </row>
    <row x14ac:dyDescent="0.25" r="3699" customHeight="1" ht="18.75">
      <c r="A3699" s="1"/>
      <c r="B3699" s="1"/>
      <c r="C3699" s="1"/>
      <c r="D3699" s="1"/>
      <c r="E3699" s="1"/>
      <c r="F3699" s="1"/>
      <c r="G3699" s="1"/>
      <c r="H3699" s="1"/>
      <c r="I3699" s="2"/>
      <c r="J3699" s="1"/>
      <c r="K3699" s="1"/>
      <c r="L3699" s="1"/>
      <c r="M3699" s="1"/>
      <c r="N3699" s="1"/>
      <c r="O3699" s="1"/>
      <c r="P3699" s="1"/>
      <c r="Q3699" s="1"/>
      <c r="R3699" s="1"/>
      <c r="S3699" s="1"/>
      <c r="T3699" s="1"/>
      <c r="U3699" s="1"/>
      <c r="V3699" s="1"/>
      <c r="W3699" s="1"/>
      <c r="X3699" s="1"/>
    </row>
    <row x14ac:dyDescent="0.25" r="3700" customHeight="1" ht="18.75">
      <c r="A3700" s="1"/>
      <c r="B3700" s="1"/>
      <c r="C3700" s="1"/>
      <c r="D3700" s="1"/>
      <c r="E3700" s="1"/>
      <c r="F3700" s="1"/>
      <c r="G3700" s="1"/>
      <c r="H3700" s="1"/>
      <c r="I3700" s="2"/>
      <c r="J3700" s="1"/>
      <c r="K3700" s="1"/>
      <c r="L3700" s="1"/>
      <c r="M3700" s="1"/>
      <c r="N3700" s="1"/>
      <c r="O3700" s="1"/>
      <c r="P3700" s="1"/>
      <c r="Q3700" s="1"/>
      <c r="R3700" s="1"/>
      <c r="S3700" s="1"/>
      <c r="T3700" s="1"/>
      <c r="U3700" s="1"/>
      <c r="V3700" s="1"/>
      <c r="W3700" s="1"/>
      <c r="X3700" s="1"/>
    </row>
    <row x14ac:dyDescent="0.25" r="3701" customHeight="1" ht="18.75">
      <c r="A3701" s="1"/>
      <c r="B3701" s="1"/>
      <c r="C3701" s="1"/>
      <c r="D3701" s="1"/>
      <c r="E3701" s="1"/>
      <c r="F3701" s="1"/>
      <c r="G3701" s="1"/>
      <c r="H3701" s="1"/>
      <c r="I3701" s="2"/>
      <c r="J3701" s="1"/>
      <c r="K3701" s="1"/>
      <c r="L3701" s="1"/>
      <c r="M3701" s="1"/>
      <c r="N3701" s="1"/>
      <c r="O3701" s="1"/>
      <c r="P3701" s="1"/>
      <c r="Q3701" s="1"/>
      <c r="R3701" s="1"/>
      <c r="S3701" s="1"/>
      <c r="T3701" s="1"/>
      <c r="U3701" s="1"/>
      <c r="V3701" s="1"/>
      <c r="W3701" s="1"/>
      <c r="X3701" s="1"/>
    </row>
    <row x14ac:dyDescent="0.25" r="3702" customHeight="1" ht="18.75">
      <c r="A3702" s="1"/>
      <c r="B3702" s="1"/>
      <c r="C3702" s="1"/>
      <c r="D3702" s="1"/>
      <c r="E3702" s="1"/>
      <c r="F3702" s="1"/>
      <c r="G3702" s="1"/>
      <c r="H3702" s="1"/>
      <c r="I3702" s="2"/>
      <c r="J3702" s="1"/>
      <c r="K3702" s="1"/>
      <c r="L3702" s="1"/>
      <c r="M3702" s="1"/>
      <c r="N3702" s="1"/>
      <c r="O3702" s="1"/>
      <c r="P3702" s="1"/>
      <c r="Q3702" s="1"/>
      <c r="R3702" s="1"/>
      <c r="S3702" s="1"/>
      <c r="T3702" s="1"/>
      <c r="U3702" s="1"/>
      <c r="V3702" s="1"/>
      <c r="W3702" s="1"/>
      <c r="X3702" s="1"/>
    </row>
    <row x14ac:dyDescent="0.25" r="3703" customHeight="1" ht="18.75">
      <c r="A3703" s="1"/>
      <c r="B3703" s="1"/>
      <c r="C3703" s="1"/>
      <c r="D3703" s="1"/>
      <c r="E3703" s="1"/>
      <c r="F3703" s="1"/>
      <c r="G3703" s="1"/>
      <c r="H3703" s="1"/>
      <c r="I3703" s="2"/>
      <c r="J3703" s="1"/>
      <c r="K3703" s="1"/>
      <c r="L3703" s="1"/>
      <c r="M3703" s="1"/>
      <c r="N3703" s="1"/>
      <c r="O3703" s="1"/>
      <c r="P3703" s="1"/>
      <c r="Q3703" s="1"/>
      <c r="R3703" s="1"/>
      <c r="S3703" s="1"/>
      <c r="T3703" s="1"/>
      <c r="U3703" s="1"/>
      <c r="V3703" s="1"/>
      <c r="W3703" s="1"/>
      <c r="X3703" s="1"/>
    </row>
    <row x14ac:dyDescent="0.25" r="3704" customHeight="1" ht="18.75">
      <c r="A3704" s="1"/>
      <c r="B3704" s="1"/>
      <c r="C3704" s="1"/>
      <c r="D3704" s="1"/>
      <c r="E3704" s="1"/>
      <c r="F3704" s="1"/>
      <c r="G3704" s="1"/>
      <c r="H3704" s="1"/>
      <c r="I3704" s="2"/>
      <c r="J3704" s="1"/>
      <c r="K3704" s="1"/>
      <c r="L3704" s="1"/>
      <c r="M3704" s="1"/>
      <c r="N3704" s="1"/>
      <c r="O3704" s="1"/>
      <c r="P3704" s="1"/>
      <c r="Q3704" s="1"/>
      <c r="R3704" s="1"/>
      <c r="S3704" s="1"/>
      <c r="T3704" s="1"/>
      <c r="U3704" s="1"/>
      <c r="V3704" s="1"/>
      <c r="W3704" s="1"/>
      <c r="X3704" s="1"/>
    </row>
    <row x14ac:dyDescent="0.25" r="3705" customHeight="1" ht="18.75">
      <c r="A3705" s="1"/>
      <c r="B3705" s="1"/>
      <c r="C3705" s="1"/>
      <c r="D3705" s="1"/>
      <c r="E3705" s="1"/>
      <c r="F3705" s="1"/>
      <c r="G3705" s="1"/>
      <c r="H3705" s="1"/>
      <c r="I3705" s="2"/>
      <c r="J3705" s="1"/>
      <c r="K3705" s="1"/>
      <c r="L3705" s="1"/>
      <c r="M3705" s="1"/>
      <c r="N3705" s="1"/>
      <c r="O3705" s="1"/>
      <c r="P3705" s="1"/>
      <c r="Q3705" s="1"/>
      <c r="R3705" s="1"/>
      <c r="S3705" s="1"/>
      <c r="T3705" s="1"/>
      <c r="U3705" s="1"/>
      <c r="V3705" s="1"/>
      <c r="W3705" s="1"/>
      <c r="X3705" s="1"/>
    </row>
    <row x14ac:dyDescent="0.25" r="3706" customHeight="1" ht="18.75">
      <c r="A3706" s="1"/>
      <c r="B3706" s="1"/>
      <c r="C3706" s="1"/>
      <c r="D3706" s="1"/>
      <c r="E3706" s="1"/>
      <c r="F3706" s="1"/>
      <c r="G3706" s="1"/>
      <c r="H3706" s="1"/>
      <c r="I3706" s="2"/>
      <c r="J3706" s="1"/>
      <c r="K3706" s="1"/>
      <c r="L3706" s="1"/>
      <c r="M3706" s="1"/>
      <c r="N3706" s="1"/>
      <c r="O3706" s="1"/>
      <c r="P3706" s="1"/>
      <c r="Q3706" s="1"/>
      <c r="R3706" s="1"/>
      <c r="S3706" s="1"/>
      <c r="T3706" s="1"/>
      <c r="U3706" s="1"/>
      <c r="V3706" s="1"/>
      <c r="W3706" s="1"/>
      <c r="X3706" s="1"/>
    </row>
    <row x14ac:dyDescent="0.25" r="3707" customHeight="1" ht="18.75">
      <c r="A3707" s="1"/>
      <c r="B3707" s="1"/>
      <c r="C3707" s="1"/>
      <c r="D3707" s="1"/>
      <c r="E3707" s="1"/>
      <c r="F3707" s="1"/>
      <c r="G3707" s="1"/>
      <c r="H3707" s="1"/>
      <c r="I3707" s="2"/>
      <c r="J3707" s="1"/>
      <c r="K3707" s="1"/>
      <c r="L3707" s="1"/>
      <c r="M3707" s="1"/>
      <c r="N3707" s="1"/>
      <c r="O3707" s="1"/>
      <c r="P3707" s="1"/>
      <c r="Q3707" s="1"/>
      <c r="R3707" s="1"/>
      <c r="S3707" s="1"/>
      <c r="T3707" s="1"/>
      <c r="U3707" s="1"/>
      <c r="V3707" s="1"/>
      <c r="W3707" s="1"/>
      <c r="X3707" s="1"/>
    </row>
    <row x14ac:dyDescent="0.25" r="3708" customHeight="1" ht="18.75">
      <c r="A3708" s="1"/>
      <c r="B3708" s="1"/>
      <c r="C3708" s="1"/>
      <c r="D3708" s="1"/>
      <c r="E3708" s="1"/>
      <c r="F3708" s="1"/>
      <c r="G3708" s="1"/>
      <c r="H3708" s="1"/>
      <c r="I3708" s="2"/>
      <c r="J3708" s="1"/>
      <c r="K3708" s="1"/>
      <c r="L3708" s="1"/>
      <c r="M3708" s="1"/>
      <c r="N3708" s="1"/>
      <c r="O3708" s="1"/>
      <c r="P3708" s="1"/>
      <c r="Q3708" s="1"/>
      <c r="R3708" s="1"/>
      <c r="S3708" s="1"/>
      <c r="T3708" s="1"/>
      <c r="U3708" s="1"/>
      <c r="V3708" s="1"/>
      <c r="W3708" s="1"/>
      <c r="X3708" s="1"/>
    </row>
    <row x14ac:dyDescent="0.25" r="3709" customHeight="1" ht="18.75">
      <c r="A3709" s="1"/>
      <c r="B3709" s="1"/>
      <c r="C3709" s="1"/>
      <c r="D3709" s="1"/>
      <c r="E3709" s="1"/>
      <c r="F3709" s="1"/>
      <c r="G3709" s="1"/>
      <c r="H3709" s="1"/>
      <c r="I3709" s="2"/>
      <c r="J3709" s="1"/>
      <c r="K3709" s="1"/>
      <c r="L3709" s="1"/>
      <c r="M3709" s="1"/>
      <c r="N3709" s="1"/>
      <c r="O3709" s="1"/>
      <c r="P3709" s="1"/>
      <c r="Q3709" s="1"/>
      <c r="R3709" s="1"/>
      <c r="S3709" s="1"/>
      <c r="T3709" s="1"/>
      <c r="U3709" s="1"/>
      <c r="V3709" s="1"/>
      <c r="W3709" s="1"/>
      <c r="X3709" s="1"/>
    </row>
    <row x14ac:dyDescent="0.25" r="3710" customHeight="1" ht="18.75">
      <c r="A3710" s="1"/>
      <c r="B3710" s="1"/>
      <c r="C3710" s="1"/>
      <c r="D3710" s="1"/>
      <c r="E3710" s="1"/>
      <c r="F3710" s="1"/>
      <c r="G3710" s="1"/>
      <c r="H3710" s="1"/>
      <c r="I3710" s="2"/>
      <c r="J3710" s="1"/>
      <c r="K3710" s="1"/>
      <c r="L3710" s="1"/>
      <c r="M3710" s="1"/>
      <c r="N3710" s="1"/>
      <c r="O3710" s="1"/>
      <c r="P3710" s="1"/>
      <c r="Q3710" s="1"/>
      <c r="R3710" s="1"/>
      <c r="S3710" s="1"/>
      <c r="T3710" s="1"/>
      <c r="U3710" s="1"/>
      <c r="V3710" s="1"/>
      <c r="W3710" s="1"/>
      <c r="X3710" s="1"/>
    </row>
    <row x14ac:dyDescent="0.25" r="3711" customHeight="1" ht="18.75">
      <c r="A3711" s="1"/>
      <c r="B3711" s="1"/>
      <c r="C3711" s="1"/>
      <c r="D3711" s="1"/>
      <c r="E3711" s="1"/>
      <c r="F3711" s="1"/>
      <c r="G3711" s="1"/>
      <c r="H3711" s="1"/>
      <c r="I3711" s="2"/>
      <c r="J3711" s="1"/>
      <c r="K3711" s="1"/>
      <c r="L3711" s="1"/>
      <c r="M3711" s="1"/>
      <c r="N3711" s="1"/>
      <c r="O3711" s="1"/>
      <c r="P3711" s="1"/>
      <c r="Q3711" s="1"/>
      <c r="R3711" s="1"/>
      <c r="S3711" s="1"/>
      <c r="T3711" s="1"/>
      <c r="U3711" s="1"/>
      <c r="V3711" s="1"/>
      <c r="W3711" s="1"/>
      <c r="X3711" s="1"/>
    </row>
    <row x14ac:dyDescent="0.25" r="3712" customHeight="1" ht="18.75">
      <c r="A3712" s="1"/>
      <c r="B3712" s="1"/>
      <c r="C3712" s="1"/>
      <c r="D3712" s="1"/>
      <c r="E3712" s="1"/>
      <c r="F3712" s="1"/>
      <c r="G3712" s="1"/>
      <c r="H3712" s="1"/>
      <c r="I3712" s="2"/>
      <c r="J3712" s="1"/>
      <c r="K3712" s="1"/>
      <c r="L3712" s="1"/>
      <c r="M3712" s="1"/>
      <c r="N3712" s="1"/>
      <c r="O3712" s="1"/>
      <c r="P3712" s="1"/>
      <c r="Q3712" s="1"/>
      <c r="R3712" s="1"/>
      <c r="S3712" s="1"/>
      <c r="T3712" s="1"/>
      <c r="U3712" s="1"/>
      <c r="V3712" s="1"/>
      <c r="W3712" s="1"/>
      <c r="X3712" s="1"/>
    </row>
    <row x14ac:dyDescent="0.25" r="3713" customHeight="1" ht="18.75">
      <c r="A3713" s="1"/>
      <c r="B3713" s="1"/>
      <c r="C3713" s="1"/>
      <c r="D3713" s="1"/>
      <c r="E3713" s="1"/>
      <c r="F3713" s="1"/>
      <c r="G3713" s="1"/>
      <c r="H3713" s="1"/>
      <c r="I3713" s="2"/>
      <c r="J3713" s="1"/>
      <c r="K3713" s="1"/>
      <c r="L3713" s="1"/>
      <c r="M3713" s="1"/>
      <c r="N3713" s="1"/>
      <c r="O3713" s="1"/>
      <c r="P3713" s="1"/>
      <c r="Q3713" s="1"/>
      <c r="R3713" s="1"/>
      <c r="S3713" s="1"/>
      <c r="T3713" s="1"/>
      <c r="U3713" s="1"/>
      <c r="V3713" s="1"/>
      <c r="W3713" s="1"/>
      <c r="X3713" s="1"/>
    </row>
    <row x14ac:dyDescent="0.25" r="3714" customHeight="1" ht="18.75">
      <c r="A3714" s="1"/>
      <c r="B3714" s="1"/>
      <c r="C3714" s="1"/>
      <c r="D3714" s="1"/>
      <c r="E3714" s="1"/>
      <c r="F3714" s="1"/>
      <c r="G3714" s="1"/>
      <c r="H3714" s="1"/>
      <c r="I3714" s="2"/>
      <c r="J3714" s="1"/>
      <c r="K3714" s="1"/>
      <c r="L3714" s="1"/>
      <c r="M3714" s="1"/>
      <c r="N3714" s="1"/>
      <c r="O3714" s="1"/>
      <c r="P3714" s="1"/>
      <c r="Q3714" s="1"/>
      <c r="R3714" s="1"/>
      <c r="S3714" s="1"/>
      <c r="T3714" s="1"/>
      <c r="U3714" s="1"/>
      <c r="V3714" s="1"/>
      <c r="W3714" s="1"/>
      <c r="X3714" s="1"/>
    </row>
    <row x14ac:dyDescent="0.25" r="3715" customHeight="1" ht="18.75">
      <c r="A3715" s="1"/>
      <c r="B3715" s="1"/>
      <c r="C3715" s="1"/>
      <c r="D3715" s="1"/>
      <c r="E3715" s="1"/>
      <c r="F3715" s="1"/>
      <c r="G3715" s="1"/>
      <c r="H3715" s="1"/>
      <c r="I3715" s="2"/>
      <c r="J3715" s="1"/>
      <c r="K3715" s="1"/>
      <c r="L3715" s="1"/>
      <c r="M3715" s="1"/>
      <c r="N3715" s="1"/>
      <c r="O3715" s="1"/>
      <c r="P3715" s="1"/>
      <c r="Q3715" s="1"/>
      <c r="R3715" s="1"/>
      <c r="S3715" s="1"/>
      <c r="T3715" s="1"/>
      <c r="U3715" s="1"/>
      <c r="V3715" s="1"/>
      <c r="W3715" s="1"/>
      <c r="X3715" s="1"/>
    </row>
    <row x14ac:dyDescent="0.25" r="3716" customHeight="1" ht="18.75">
      <c r="A3716" s="1"/>
      <c r="B3716" s="1"/>
      <c r="C3716" s="1"/>
      <c r="D3716" s="1"/>
      <c r="E3716" s="1"/>
      <c r="F3716" s="1"/>
      <c r="G3716" s="1"/>
      <c r="H3716" s="1"/>
      <c r="I3716" s="2"/>
      <c r="J3716" s="1"/>
      <c r="K3716" s="1"/>
      <c r="L3716" s="1"/>
      <c r="M3716" s="1"/>
      <c r="N3716" s="1"/>
      <c r="O3716" s="1"/>
      <c r="P3716" s="1"/>
      <c r="Q3716" s="1"/>
      <c r="R3716" s="1"/>
      <c r="S3716" s="1"/>
      <c r="T3716" s="1"/>
      <c r="U3716" s="1"/>
      <c r="V3716" s="1"/>
      <c r="W3716" s="1"/>
      <c r="X3716" s="1"/>
    </row>
    <row x14ac:dyDescent="0.25" r="3717" customHeight="1" ht="18.75">
      <c r="A3717" s="1"/>
      <c r="B3717" s="1"/>
      <c r="C3717" s="1"/>
      <c r="D3717" s="1"/>
      <c r="E3717" s="1"/>
      <c r="F3717" s="1"/>
      <c r="G3717" s="1"/>
      <c r="H3717" s="1"/>
      <c r="I3717" s="2"/>
      <c r="J3717" s="1"/>
      <c r="K3717" s="1"/>
      <c r="L3717" s="1"/>
      <c r="M3717" s="1"/>
      <c r="N3717" s="1"/>
      <c r="O3717" s="1"/>
      <c r="P3717" s="1"/>
      <c r="Q3717" s="1"/>
      <c r="R3717" s="1"/>
      <c r="S3717" s="1"/>
      <c r="T3717" s="1"/>
      <c r="U3717" s="1"/>
      <c r="V3717" s="1"/>
      <c r="W3717" s="1"/>
      <c r="X3717" s="1"/>
    </row>
    <row x14ac:dyDescent="0.25" r="3718" customHeight="1" ht="18.75">
      <c r="A3718" s="1"/>
      <c r="B3718" s="1"/>
      <c r="C3718" s="1"/>
      <c r="D3718" s="1"/>
      <c r="E3718" s="1"/>
      <c r="F3718" s="1"/>
      <c r="G3718" s="1"/>
      <c r="H3718" s="1"/>
      <c r="I3718" s="2"/>
      <c r="J3718" s="1"/>
      <c r="K3718" s="1"/>
      <c r="L3718" s="1"/>
      <c r="M3718" s="1"/>
      <c r="N3718" s="1"/>
      <c r="O3718" s="1"/>
      <c r="P3718" s="1"/>
      <c r="Q3718" s="1"/>
      <c r="R3718" s="1"/>
      <c r="S3718" s="1"/>
      <c r="T3718" s="1"/>
      <c r="U3718" s="1"/>
      <c r="V3718" s="1"/>
      <c r="W3718" s="1"/>
      <c r="X3718" s="1"/>
    </row>
    <row x14ac:dyDescent="0.25" r="3719" customHeight="1" ht="18.75">
      <c r="A3719" s="1"/>
      <c r="B3719" s="1"/>
      <c r="C3719" s="1"/>
      <c r="D3719" s="1"/>
      <c r="E3719" s="1"/>
      <c r="F3719" s="1"/>
      <c r="G3719" s="1"/>
      <c r="H3719" s="1"/>
      <c r="I3719" s="2"/>
      <c r="J3719" s="1"/>
      <c r="K3719" s="1"/>
      <c r="L3719" s="1"/>
      <c r="M3719" s="1"/>
      <c r="N3719" s="1"/>
      <c r="O3719" s="1"/>
      <c r="P3719" s="1"/>
      <c r="Q3719" s="1"/>
      <c r="R3719" s="1"/>
      <c r="S3719" s="1"/>
      <c r="T3719" s="1"/>
      <c r="U3719" s="1"/>
      <c r="V3719" s="1"/>
      <c r="W3719" s="1"/>
      <c r="X3719" s="1"/>
    </row>
    <row x14ac:dyDescent="0.25" r="3720" customHeight="1" ht="18.75">
      <c r="A3720" s="1"/>
      <c r="B3720" s="1"/>
      <c r="C3720" s="1"/>
      <c r="D3720" s="1"/>
      <c r="E3720" s="1"/>
      <c r="F3720" s="1"/>
      <c r="G3720" s="1"/>
      <c r="H3720" s="1"/>
      <c r="I3720" s="2"/>
      <c r="J3720" s="1"/>
      <c r="K3720" s="1"/>
      <c r="L3720" s="1"/>
      <c r="M3720" s="1"/>
      <c r="N3720" s="1"/>
      <c r="O3720" s="1"/>
      <c r="P3720" s="1"/>
      <c r="Q3720" s="1"/>
      <c r="R3720" s="1"/>
      <c r="S3720" s="1"/>
      <c r="T3720" s="1"/>
      <c r="U3720" s="1"/>
      <c r="V3720" s="1"/>
      <c r="W3720" s="1"/>
      <c r="X3720" s="1"/>
    </row>
    <row x14ac:dyDescent="0.25" r="3721" customHeight="1" ht="18.75">
      <c r="A3721" s="1"/>
      <c r="B3721" s="1"/>
      <c r="C3721" s="1"/>
      <c r="D3721" s="1"/>
      <c r="E3721" s="1"/>
      <c r="F3721" s="1"/>
      <c r="G3721" s="1"/>
      <c r="H3721" s="1"/>
      <c r="I3721" s="2"/>
      <c r="J3721" s="1"/>
      <c r="K3721" s="1"/>
      <c r="L3721" s="1"/>
      <c r="M3721" s="1"/>
      <c r="N3721" s="1"/>
      <c r="O3721" s="1"/>
      <c r="P3721" s="1"/>
      <c r="Q3721" s="1"/>
      <c r="R3721" s="1"/>
      <c r="S3721" s="1"/>
      <c r="T3721" s="1"/>
      <c r="U3721" s="1"/>
      <c r="V3721" s="1"/>
      <c r="W3721" s="1"/>
      <c r="X3721" s="1"/>
    </row>
    <row x14ac:dyDescent="0.25" r="3722" customHeight="1" ht="18.75">
      <c r="A3722" s="1"/>
      <c r="B3722" s="1"/>
      <c r="C3722" s="1"/>
      <c r="D3722" s="1"/>
      <c r="E3722" s="1"/>
      <c r="F3722" s="1"/>
      <c r="G3722" s="1"/>
      <c r="H3722" s="1"/>
      <c r="I3722" s="2"/>
      <c r="J3722" s="1"/>
      <c r="K3722" s="1"/>
      <c r="L3722" s="1"/>
      <c r="M3722" s="1"/>
      <c r="N3722" s="1"/>
      <c r="O3722" s="1"/>
      <c r="P3722" s="1"/>
      <c r="Q3722" s="1"/>
      <c r="R3722" s="1"/>
      <c r="S3722" s="1"/>
      <c r="T3722" s="1"/>
      <c r="U3722" s="1"/>
      <c r="V3722" s="1"/>
      <c r="W3722" s="1"/>
      <c r="X3722" s="1"/>
    </row>
    <row x14ac:dyDescent="0.25" r="3723" customHeight="1" ht="18.75">
      <c r="A3723" s="1"/>
      <c r="B3723" s="1"/>
      <c r="C3723" s="1"/>
      <c r="D3723" s="1"/>
      <c r="E3723" s="1"/>
      <c r="F3723" s="1"/>
      <c r="G3723" s="1"/>
      <c r="H3723" s="1"/>
      <c r="I3723" s="2"/>
      <c r="J3723" s="1"/>
      <c r="K3723" s="1"/>
      <c r="L3723" s="1"/>
      <c r="M3723" s="1"/>
      <c r="N3723" s="1"/>
      <c r="O3723" s="1"/>
      <c r="P3723" s="1"/>
      <c r="Q3723" s="1"/>
      <c r="R3723" s="1"/>
      <c r="S3723" s="1"/>
      <c r="T3723" s="1"/>
      <c r="U3723" s="1"/>
      <c r="V3723" s="1"/>
      <c r="W3723" s="1"/>
      <c r="X3723" s="1"/>
    </row>
    <row x14ac:dyDescent="0.25" r="3724" customHeight="1" ht="18.75">
      <c r="A3724" s="1"/>
      <c r="B3724" s="1"/>
      <c r="C3724" s="1"/>
      <c r="D3724" s="1"/>
      <c r="E3724" s="1"/>
      <c r="F3724" s="1"/>
      <c r="G3724" s="1"/>
      <c r="H3724" s="1"/>
      <c r="I3724" s="2"/>
      <c r="J3724" s="1"/>
      <c r="K3724" s="1"/>
      <c r="L3724" s="1"/>
      <c r="M3724" s="1"/>
      <c r="N3724" s="1"/>
      <c r="O3724" s="1"/>
      <c r="P3724" s="1"/>
      <c r="Q3724" s="1"/>
      <c r="R3724" s="1"/>
      <c r="S3724" s="1"/>
      <c r="T3724" s="1"/>
      <c r="U3724" s="1"/>
      <c r="V3724" s="1"/>
      <c r="W3724" s="1"/>
      <c r="X3724" s="1"/>
    </row>
    <row x14ac:dyDescent="0.25" r="3725" customHeight="1" ht="18.75">
      <c r="A3725" s="1"/>
      <c r="B3725" s="1"/>
      <c r="C3725" s="1"/>
      <c r="D3725" s="1"/>
      <c r="E3725" s="1"/>
      <c r="F3725" s="1"/>
      <c r="G3725" s="1"/>
      <c r="H3725" s="1"/>
      <c r="I3725" s="2"/>
      <c r="J3725" s="1"/>
      <c r="K3725" s="1"/>
      <c r="L3725" s="1"/>
      <c r="M3725" s="1"/>
      <c r="N3725" s="1"/>
      <c r="O3725" s="1"/>
      <c r="P3725" s="1"/>
      <c r="Q3725" s="1"/>
      <c r="R3725" s="1"/>
      <c r="S3725" s="1"/>
      <c r="T3725" s="1"/>
      <c r="U3725" s="1"/>
      <c r="V3725" s="1"/>
      <c r="W3725" s="1"/>
      <c r="X3725" s="1"/>
    </row>
    <row x14ac:dyDescent="0.25" r="3726" customHeight="1" ht="18.75">
      <c r="A3726" s="1"/>
      <c r="B3726" s="1"/>
      <c r="C3726" s="1"/>
      <c r="D3726" s="1"/>
      <c r="E3726" s="1"/>
      <c r="F3726" s="1"/>
      <c r="G3726" s="1"/>
      <c r="H3726" s="1"/>
      <c r="I3726" s="2"/>
      <c r="J3726" s="1"/>
      <c r="K3726" s="1"/>
      <c r="L3726" s="1"/>
      <c r="M3726" s="1"/>
      <c r="N3726" s="1"/>
      <c r="O3726" s="1"/>
      <c r="P3726" s="1"/>
      <c r="Q3726" s="1"/>
      <c r="R3726" s="1"/>
      <c r="S3726" s="1"/>
      <c r="T3726" s="1"/>
      <c r="U3726" s="1"/>
      <c r="V3726" s="1"/>
      <c r="W3726" s="1"/>
      <c r="X3726" s="1"/>
    </row>
    <row x14ac:dyDescent="0.25" r="3727" customHeight="1" ht="18.75">
      <c r="A3727" s="1"/>
      <c r="B3727" s="1"/>
      <c r="C3727" s="1"/>
      <c r="D3727" s="1"/>
      <c r="E3727" s="1"/>
      <c r="F3727" s="1"/>
      <c r="G3727" s="1"/>
      <c r="H3727" s="1"/>
      <c r="I3727" s="2"/>
      <c r="J3727" s="1"/>
      <c r="K3727" s="1"/>
      <c r="L3727" s="1"/>
      <c r="M3727" s="1"/>
      <c r="N3727" s="1"/>
      <c r="O3727" s="1"/>
      <c r="P3727" s="1"/>
      <c r="Q3727" s="1"/>
      <c r="R3727" s="1"/>
      <c r="S3727" s="1"/>
      <c r="T3727" s="1"/>
      <c r="U3727" s="1"/>
      <c r="V3727" s="1"/>
      <c r="W3727" s="1"/>
      <c r="X3727" s="1"/>
    </row>
    <row x14ac:dyDescent="0.25" r="3728" customHeight="1" ht="18.75">
      <c r="A3728" s="1"/>
      <c r="B3728" s="1"/>
      <c r="C3728" s="1"/>
      <c r="D3728" s="1"/>
      <c r="E3728" s="1"/>
      <c r="F3728" s="1"/>
      <c r="G3728" s="1"/>
      <c r="H3728" s="1"/>
      <c r="I3728" s="2"/>
      <c r="J3728" s="1"/>
      <c r="K3728" s="1"/>
      <c r="L3728" s="1"/>
      <c r="M3728" s="1"/>
      <c r="N3728" s="1"/>
      <c r="O3728" s="1"/>
      <c r="P3728" s="1"/>
      <c r="Q3728" s="1"/>
      <c r="R3728" s="1"/>
      <c r="S3728" s="1"/>
      <c r="T3728" s="1"/>
      <c r="U3728" s="1"/>
      <c r="V3728" s="1"/>
      <c r="W3728" s="1"/>
      <c r="X3728" s="1"/>
    </row>
    <row x14ac:dyDescent="0.25" r="3729" customHeight="1" ht="18.75">
      <c r="A3729" s="1"/>
      <c r="B3729" s="1"/>
      <c r="C3729" s="1"/>
      <c r="D3729" s="1"/>
      <c r="E3729" s="1"/>
      <c r="F3729" s="1"/>
      <c r="G3729" s="1"/>
      <c r="H3729" s="1"/>
      <c r="I3729" s="2"/>
      <c r="J3729" s="1"/>
      <c r="K3729" s="1"/>
      <c r="L3729" s="1"/>
      <c r="M3729" s="1"/>
      <c r="N3729" s="1"/>
      <c r="O3729" s="1"/>
      <c r="P3729" s="1"/>
      <c r="Q3729" s="1"/>
      <c r="R3729" s="1"/>
      <c r="S3729" s="1"/>
      <c r="T3729" s="1"/>
      <c r="U3729" s="1"/>
      <c r="V3729" s="1"/>
      <c r="W3729" s="1"/>
      <c r="X3729" s="1"/>
    </row>
    <row x14ac:dyDescent="0.25" r="3730" customHeight="1" ht="18.75">
      <c r="A3730" s="1"/>
      <c r="B3730" s="1"/>
      <c r="C3730" s="1"/>
      <c r="D3730" s="1"/>
      <c r="E3730" s="1"/>
      <c r="F3730" s="1"/>
      <c r="G3730" s="1"/>
      <c r="H3730" s="1"/>
      <c r="I3730" s="2"/>
      <c r="J3730" s="1"/>
      <c r="K3730" s="1"/>
      <c r="L3730" s="1"/>
      <c r="M3730" s="1"/>
      <c r="N3730" s="1"/>
      <c r="O3730" s="1"/>
      <c r="P3730" s="1"/>
      <c r="Q3730" s="1"/>
      <c r="R3730" s="1"/>
      <c r="S3730" s="1"/>
      <c r="T3730" s="1"/>
      <c r="U3730" s="1"/>
      <c r="V3730" s="1"/>
      <c r="W3730" s="1"/>
      <c r="X3730" s="1"/>
    </row>
    <row x14ac:dyDescent="0.25" r="3731" customHeight="1" ht="18.75">
      <c r="A3731" s="1"/>
      <c r="B3731" s="1"/>
      <c r="C3731" s="1"/>
      <c r="D3731" s="1"/>
      <c r="E3731" s="1"/>
      <c r="F3731" s="1"/>
      <c r="G3731" s="1"/>
      <c r="H3731" s="1"/>
      <c r="I3731" s="2"/>
      <c r="J3731" s="1"/>
      <c r="K3731" s="1"/>
      <c r="L3731" s="1"/>
      <c r="M3731" s="1"/>
      <c r="N3731" s="1"/>
      <c r="O3731" s="1"/>
      <c r="P3731" s="1"/>
      <c r="Q3731" s="1"/>
      <c r="R3731" s="1"/>
      <c r="S3731" s="1"/>
      <c r="T3731" s="1"/>
      <c r="U3731" s="1"/>
      <c r="V3731" s="1"/>
      <c r="W3731" s="1"/>
      <c r="X3731" s="1"/>
    </row>
    <row x14ac:dyDescent="0.25" r="3732" customHeight="1" ht="18.75">
      <c r="A3732" s="1"/>
      <c r="B3732" s="1"/>
      <c r="C3732" s="1"/>
      <c r="D3732" s="1"/>
      <c r="E3732" s="1"/>
      <c r="F3732" s="1"/>
      <c r="G3732" s="1"/>
      <c r="H3732" s="1"/>
      <c r="I3732" s="2"/>
      <c r="J3732" s="1"/>
      <c r="K3732" s="1"/>
      <c r="L3732" s="1"/>
      <c r="M3732" s="1"/>
      <c r="N3732" s="1"/>
      <c r="O3732" s="1"/>
      <c r="P3732" s="1"/>
      <c r="Q3732" s="1"/>
      <c r="R3732" s="1"/>
      <c r="S3732" s="1"/>
      <c r="T3732" s="1"/>
      <c r="U3732" s="1"/>
      <c r="V3732" s="1"/>
      <c r="W3732" s="1"/>
      <c r="X3732" s="1"/>
    </row>
    <row x14ac:dyDescent="0.25" r="3733" customHeight="1" ht="18.75">
      <c r="A3733" s="1"/>
      <c r="B3733" s="1"/>
      <c r="C3733" s="1"/>
      <c r="D3733" s="1"/>
      <c r="E3733" s="1"/>
      <c r="F3733" s="1"/>
      <c r="G3733" s="1"/>
      <c r="H3733" s="1"/>
      <c r="I3733" s="2"/>
      <c r="J3733" s="1"/>
      <c r="K3733" s="1"/>
      <c r="L3733" s="1"/>
      <c r="M3733" s="1"/>
      <c r="N3733" s="1"/>
      <c r="O3733" s="1"/>
      <c r="P3733" s="1"/>
      <c r="Q3733" s="1"/>
      <c r="R3733" s="1"/>
      <c r="S3733" s="1"/>
      <c r="T3733" s="1"/>
      <c r="U3733" s="1"/>
      <c r="V3733" s="1"/>
      <c r="W3733" s="1"/>
      <c r="X3733" s="1"/>
    </row>
    <row x14ac:dyDescent="0.25" r="3734" customHeight="1" ht="18.75">
      <c r="A3734" s="1"/>
      <c r="B3734" s="1"/>
      <c r="C3734" s="1"/>
      <c r="D3734" s="1"/>
      <c r="E3734" s="1"/>
      <c r="F3734" s="1"/>
      <c r="G3734" s="1"/>
      <c r="H3734" s="1"/>
      <c r="I3734" s="2"/>
      <c r="J3734" s="1"/>
      <c r="K3734" s="1"/>
      <c r="L3734" s="1"/>
      <c r="M3734" s="1"/>
      <c r="N3734" s="1"/>
      <c r="O3734" s="1"/>
      <c r="P3734" s="1"/>
      <c r="Q3734" s="1"/>
      <c r="R3734" s="1"/>
      <c r="S3734" s="1"/>
      <c r="T3734" s="1"/>
      <c r="U3734" s="1"/>
      <c r="V3734" s="1"/>
      <c r="W3734" s="1"/>
      <c r="X3734" s="1"/>
    </row>
    <row x14ac:dyDescent="0.25" r="3735" customHeight="1" ht="18.75">
      <c r="A3735" s="1"/>
      <c r="B3735" s="1"/>
      <c r="C3735" s="1"/>
      <c r="D3735" s="1"/>
      <c r="E3735" s="1"/>
      <c r="F3735" s="1"/>
      <c r="G3735" s="1"/>
      <c r="H3735" s="1"/>
      <c r="I3735" s="2"/>
      <c r="J3735" s="1"/>
      <c r="K3735" s="1"/>
      <c r="L3735" s="1"/>
      <c r="M3735" s="1"/>
      <c r="N3735" s="1"/>
      <c r="O3735" s="1"/>
      <c r="P3735" s="1"/>
      <c r="Q3735" s="1"/>
      <c r="R3735" s="1"/>
      <c r="S3735" s="1"/>
      <c r="T3735" s="1"/>
      <c r="U3735" s="1"/>
      <c r="V3735" s="1"/>
      <c r="W3735" s="1"/>
      <c r="X3735" s="1"/>
    </row>
    <row x14ac:dyDescent="0.25" r="3736" customHeight="1" ht="18.75">
      <c r="A3736" s="1"/>
      <c r="B3736" s="1"/>
      <c r="C3736" s="1"/>
      <c r="D3736" s="1"/>
      <c r="E3736" s="1"/>
      <c r="F3736" s="1"/>
      <c r="G3736" s="1"/>
      <c r="H3736" s="1"/>
      <c r="I3736" s="2"/>
      <c r="J3736" s="1"/>
      <c r="K3736" s="1"/>
      <c r="L3736" s="1"/>
      <c r="M3736" s="1"/>
      <c r="N3736" s="1"/>
      <c r="O3736" s="1"/>
      <c r="P3736" s="1"/>
      <c r="Q3736" s="1"/>
      <c r="R3736" s="1"/>
      <c r="S3736" s="1"/>
      <c r="T3736" s="1"/>
      <c r="U3736" s="1"/>
      <c r="V3736" s="1"/>
      <c r="W3736" s="1"/>
      <c r="X3736" s="1"/>
    </row>
    <row x14ac:dyDescent="0.25" r="3737" customHeight="1" ht="18.75">
      <c r="A3737" s="1"/>
      <c r="B3737" s="1"/>
      <c r="C3737" s="1"/>
      <c r="D3737" s="1"/>
      <c r="E3737" s="1"/>
      <c r="F3737" s="1"/>
      <c r="G3737" s="1"/>
      <c r="H3737" s="1"/>
      <c r="I3737" s="2"/>
      <c r="J3737" s="1"/>
      <c r="K3737" s="1"/>
      <c r="L3737" s="1"/>
      <c r="M3737" s="1"/>
      <c r="N3737" s="1"/>
      <c r="O3737" s="1"/>
      <c r="P3737" s="1"/>
      <c r="Q3737" s="1"/>
      <c r="R3737" s="1"/>
      <c r="S3737" s="1"/>
      <c r="T3737" s="1"/>
      <c r="U3737" s="1"/>
      <c r="V3737" s="1"/>
      <c r="W3737" s="1"/>
      <c r="X3737" s="1"/>
    </row>
    <row x14ac:dyDescent="0.25" r="3738" customHeight="1" ht="18.75">
      <c r="A3738" s="1"/>
      <c r="B3738" s="1"/>
      <c r="C3738" s="1"/>
      <c r="D3738" s="1"/>
      <c r="E3738" s="1"/>
      <c r="F3738" s="1"/>
      <c r="G3738" s="1"/>
      <c r="H3738" s="1"/>
      <c r="I3738" s="2"/>
      <c r="J3738" s="1"/>
      <c r="K3738" s="1"/>
      <c r="L3738" s="1"/>
      <c r="M3738" s="1"/>
      <c r="N3738" s="1"/>
      <c r="O3738" s="1"/>
      <c r="P3738" s="1"/>
      <c r="Q3738" s="1"/>
      <c r="R3738" s="1"/>
      <c r="S3738" s="1"/>
      <c r="T3738" s="1"/>
      <c r="U3738" s="1"/>
      <c r="V3738" s="1"/>
      <c r="W3738" s="1"/>
      <c r="X3738" s="1"/>
    </row>
    <row x14ac:dyDescent="0.25" r="3739" customHeight="1" ht="18.75">
      <c r="A3739" s="1"/>
      <c r="B3739" s="1"/>
      <c r="C3739" s="1"/>
      <c r="D3739" s="1"/>
      <c r="E3739" s="1"/>
      <c r="F3739" s="1"/>
      <c r="G3739" s="1"/>
      <c r="H3739" s="1"/>
      <c r="I3739" s="2"/>
      <c r="J3739" s="1"/>
      <c r="K3739" s="1"/>
      <c r="L3739" s="1"/>
      <c r="M3739" s="1"/>
      <c r="N3739" s="1"/>
      <c r="O3739" s="1"/>
      <c r="P3739" s="1"/>
      <c r="Q3739" s="1"/>
      <c r="R3739" s="1"/>
      <c r="S3739" s="1"/>
      <c r="T3739" s="1"/>
      <c r="U3739" s="1"/>
      <c r="V3739" s="1"/>
      <c r="W3739" s="1"/>
      <c r="X3739" s="1"/>
    </row>
    <row x14ac:dyDescent="0.25" r="3740" customHeight="1" ht="18.75">
      <c r="A3740" s="1"/>
      <c r="B3740" s="1"/>
      <c r="C3740" s="1"/>
      <c r="D3740" s="1"/>
      <c r="E3740" s="1"/>
      <c r="F3740" s="1"/>
      <c r="G3740" s="1"/>
      <c r="H3740" s="1"/>
      <c r="I3740" s="2"/>
      <c r="J3740" s="1"/>
      <c r="K3740" s="1"/>
      <c r="L3740" s="1"/>
      <c r="M3740" s="1"/>
      <c r="N3740" s="1"/>
      <c r="O3740" s="1"/>
      <c r="P3740" s="1"/>
      <c r="Q3740" s="1"/>
      <c r="R3740" s="1"/>
      <c r="S3740" s="1"/>
      <c r="T3740" s="1"/>
      <c r="U3740" s="1"/>
      <c r="V3740" s="1"/>
      <c r="W3740" s="1"/>
      <c r="X3740" s="1"/>
    </row>
    <row x14ac:dyDescent="0.25" r="3741" customHeight="1" ht="18.75">
      <c r="A3741" s="1"/>
      <c r="B3741" s="1"/>
      <c r="C3741" s="1"/>
      <c r="D3741" s="1"/>
      <c r="E3741" s="1"/>
      <c r="F3741" s="1"/>
      <c r="G3741" s="1"/>
      <c r="H3741" s="1"/>
      <c r="I3741" s="2"/>
      <c r="J3741" s="1"/>
      <c r="K3741" s="1"/>
      <c r="L3741" s="1"/>
      <c r="M3741" s="1"/>
      <c r="N3741" s="1"/>
      <c r="O3741" s="1"/>
      <c r="P3741" s="1"/>
      <c r="Q3741" s="1"/>
      <c r="R3741" s="1"/>
      <c r="S3741" s="1"/>
      <c r="T3741" s="1"/>
      <c r="U3741" s="1"/>
      <c r="V3741" s="1"/>
      <c r="W3741" s="1"/>
      <c r="X3741" s="1"/>
    </row>
    <row x14ac:dyDescent="0.25" r="3742" customHeight="1" ht="18.75">
      <c r="A3742" s="1"/>
      <c r="B3742" s="1"/>
      <c r="C3742" s="1"/>
      <c r="D3742" s="1"/>
      <c r="E3742" s="1"/>
      <c r="F3742" s="1"/>
      <c r="G3742" s="1"/>
      <c r="H3742" s="1"/>
      <c r="I3742" s="2"/>
      <c r="J3742" s="1"/>
      <c r="K3742" s="1"/>
      <c r="L3742" s="1"/>
      <c r="M3742" s="1"/>
      <c r="N3742" s="1"/>
      <c r="O3742" s="1"/>
      <c r="P3742" s="1"/>
      <c r="Q3742" s="1"/>
      <c r="R3742" s="1"/>
      <c r="S3742" s="1"/>
      <c r="T3742" s="1"/>
      <c r="U3742" s="1"/>
      <c r="V3742" s="1"/>
      <c r="W3742" s="1"/>
      <c r="X3742" s="1"/>
    </row>
    <row x14ac:dyDescent="0.25" r="3743" customHeight="1" ht="18.75">
      <c r="A3743" s="1"/>
      <c r="B3743" s="1"/>
      <c r="C3743" s="1"/>
      <c r="D3743" s="1"/>
      <c r="E3743" s="1"/>
      <c r="F3743" s="1"/>
      <c r="G3743" s="1"/>
      <c r="H3743" s="1"/>
      <c r="I3743" s="2"/>
      <c r="J3743" s="1"/>
      <c r="K3743" s="1"/>
      <c r="L3743" s="1"/>
      <c r="M3743" s="1"/>
      <c r="N3743" s="1"/>
      <c r="O3743" s="1"/>
      <c r="P3743" s="1"/>
      <c r="Q3743" s="1"/>
      <c r="R3743" s="1"/>
      <c r="S3743" s="1"/>
      <c r="T3743" s="1"/>
      <c r="U3743" s="1"/>
      <c r="V3743" s="1"/>
      <c r="W3743" s="1"/>
      <c r="X3743" s="1"/>
    </row>
    <row x14ac:dyDescent="0.25" r="3744" customHeight="1" ht="18.75">
      <c r="A3744" s="1"/>
      <c r="B3744" s="1"/>
      <c r="C3744" s="1"/>
      <c r="D3744" s="1"/>
      <c r="E3744" s="1"/>
      <c r="F3744" s="1"/>
      <c r="G3744" s="1"/>
      <c r="H3744" s="1"/>
      <c r="I3744" s="2"/>
      <c r="J3744" s="1"/>
      <c r="K3744" s="1"/>
      <c r="L3744" s="1"/>
      <c r="M3744" s="1"/>
      <c r="N3744" s="1"/>
      <c r="O3744" s="1"/>
      <c r="P3744" s="1"/>
      <c r="Q3744" s="1"/>
      <c r="R3744" s="1"/>
      <c r="S3744" s="1"/>
      <c r="T3744" s="1"/>
      <c r="U3744" s="1"/>
      <c r="V3744" s="1"/>
      <c r="W3744" s="1"/>
      <c r="X3744" s="1"/>
    </row>
    <row x14ac:dyDescent="0.25" r="3745" customHeight="1" ht="18.75">
      <c r="A3745" s="1"/>
      <c r="B3745" s="1"/>
      <c r="C3745" s="1"/>
      <c r="D3745" s="1"/>
      <c r="E3745" s="1"/>
      <c r="F3745" s="1"/>
      <c r="G3745" s="1"/>
      <c r="H3745" s="1"/>
      <c r="I3745" s="2"/>
      <c r="J3745" s="1"/>
      <c r="K3745" s="1"/>
      <c r="L3745" s="1"/>
      <c r="M3745" s="1"/>
      <c r="N3745" s="1"/>
      <c r="O3745" s="1"/>
      <c r="P3745" s="1"/>
      <c r="Q3745" s="1"/>
      <c r="R3745" s="1"/>
      <c r="S3745" s="1"/>
      <c r="T3745" s="1"/>
      <c r="U3745" s="1"/>
      <c r="V3745" s="1"/>
      <c r="W3745" s="1"/>
      <c r="X3745" s="1"/>
    </row>
    <row x14ac:dyDescent="0.25" r="3746" customHeight="1" ht="18.75">
      <c r="A3746" s="1"/>
      <c r="B3746" s="1"/>
      <c r="C3746" s="1"/>
      <c r="D3746" s="1"/>
      <c r="E3746" s="1"/>
      <c r="F3746" s="1"/>
      <c r="G3746" s="1"/>
      <c r="H3746" s="1"/>
      <c r="I3746" s="2"/>
      <c r="J3746" s="1"/>
      <c r="K3746" s="1"/>
      <c r="L3746" s="1"/>
      <c r="M3746" s="1"/>
      <c r="N3746" s="1"/>
      <c r="O3746" s="1"/>
      <c r="P3746" s="1"/>
      <c r="Q3746" s="1"/>
      <c r="R3746" s="1"/>
      <c r="S3746" s="1"/>
      <c r="T3746" s="1"/>
      <c r="U3746" s="1"/>
      <c r="V3746" s="1"/>
      <c r="W3746" s="1"/>
      <c r="X3746" s="1"/>
    </row>
    <row x14ac:dyDescent="0.25" r="3747" customHeight="1" ht="18.75">
      <c r="A3747" s="1"/>
      <c r="B3747" s="1"/>
      <c r="C3747" s="1"/>
      <c r="D3747" s="1"/>
      <c r="E3747" s="1"/>
      <c r="F3747" s="1"/>
      <c r="G3747" s="1"/>
      <c r="H3747" s="1"/>
      <c r="I3747" s="2"/>
      <c r="J3747" s="1"/>
      <c r="K3747" s="1"/>
      <c r="L3747" s="1"/>
      <c r="M3747" s="1"/>
      <c r="N3747" s="1"/>
      <c r="O3747" s="1"/>
      <c r="P3747" s="1"/>
      <c r="Q3747" s="1"/>
      <c r="R3747" s="1"/>
      <c r="S3747" s="1"/>
      <c r="T3747" s="1"/>
      <c r="U3747" s="1"/>
      <c r="V3747" s="1"/>
      <c r="W3747" s="1"/>
      <c r="X3747" s="1"/>
    </row>
    <row x14ac:dyDescent="0.25" r="3748" customHeight="1" ht="18.75">
      <c r="A3748" s="1"/>
      <c r="B3748" s="1"/>
      <c r="C3748" s="1"/>
      <c r="D3748" s="1"/>
      <c r="E3748" s="1"/>
      <c r="F3748" s="1"/>
      <c r="G3748" s="1"/>
      <c r="H3748" s="1"/>
      <c r="I3748" s="2"/>
      <c r="J3748" s="1"/>
      <c r="K3748" s="1"/>
      <c r="L3748" s="1"/>
      <c r="M3748" s="1"/>
      <c r="N3748" s="1"/>
      <c r="O3748" s="1"/>
      <c r="P3748" s="1"/>
      <c r="Q3748" s="1"/>
      <c r="R3748" s="1"/>
      <c r="S3748" s="1"/>
      <c r="T3748" s="1"/>
      <c r="U3748" s="1"/>
      <c r="V3748" s="1"/>
      <c r="W3748" s="1"/>
      <c r="X3748" s="1"/>
    </row>
    <row x14ac:dyDescent="0.25" r="3749" customHeight="1" ht="18.75">
      <c r="A3749" s="1"/>
      <c r="B3749" s="1"/>
      <c r="C3749" s="1"/>
      <c r="D3749" s="1"/>
      <c r="E3749" s="1"/>
      <c r="F3749" s="1"/>
      <c r="G3749" s="1"/>
      <c r="H3749" s="1"/>
      <c r="I3749" s="2"/>
      <c r="J3749" s="1"/>
      <c r="K3749" s="1"/>
      <c r="L3749" s="1"/>
      <c r="M3749" s="1"/>
      <c r="N3749" s="1"/>
      <c r="O3749" s="1"/>
      <c r="P3749" s="1"/>
      <c r="Q3749" s="1"/>
      <c r="R3749" s="1"/>
      <c r="S3749" s="1"/>
      <c r="T3749" s="1"/>
      <c r="U3749" s="1"/>
      <c r="V3749" s="1"/>
      <c r="W3749" s="1"/>
      <c r="X3749" s="1"/>
    </row>
    <row x14ac:dyDescent="0.25" r="3750" customHeight="1" ht="18.75">
      <c r="A3750" s="1"/>
      <c r="B3750" s="1"/>
      <c r="C3750" s="1"/>
      <c r="D3750" s="1"/>
      <c r="E3750" s="1"/>
      <c r="F3750" s="1"/>
      <c r="G3750" s="1"/>
      <c r="H3750" s="1"/>
      <c r="I3750" s="2"/>
      <c r="J3750" s="1"/>
      <c r="K3750" s="1"/>
      <c r="L3750" s="1"/>
      <c r="M3750" s="1"/>
      <c r="N3750" s="1"/>
      <c r="O3750" s="1"/>
      <c r="P3750" s="1"/>
      <c r="Q3750" s="1"/>
      <c r="R3750" s="1"/>
      <c r="S3750" s="1"/>
      <c r="T3750" s="1"/>
      <c r="U3750" s="1"/>
      <c r="V3750" s="1"/>
      <c r="W3750" s="1"/>
      <c r="X3750" s="1"/>
    </row>
    <row x14ac:dyDescent="0.25" r="3751" customHeight="1" ht="18.75">
      <c r="A3751" s="1"/>
      <c r="B3751" s="1"/>
      <c r="C3751" s="1"/>
      <c r="D3751" s="1"/>
      <c r="E3751" s="1"/>
      <c r="F3751" s="1"/>
      <c r="G3751" s="1"/>
      <c r="H3751" s="1"/>
      <c r="I3751" s="2"/>
      <c r="J3751" s="1"/>
      <c r="K3751" s="1"/>
      <c r="L3751" s="1"/>
      <c r="M3751" s="1"/>
      <c r="N3751" s="1"/>
      <c r="O3751" s="1"/>
      <c r="P3751" s="1"/>
      <c r="Q3751" s="1"/>
      <c r="R3751" s="1"/>
      <c r="S3751" s="1"/>
      <c r="T3751" s="1"/>
      <c r="U3751" s="1"/>
      <c r="V3751" s="1"/>
      <c r="W3751" s="1"/>
      <c r="X3751" s="1"/>
    </row>
    <row x14ac:dyDescent="0.25" r="3752" customHeight="1" ht="18.75">
      <c r="A3752" s="1"/>
      <c r="B3752" s="1"/>
      <c r="C3752" s="1"/>
      <c r="D3752" s="1"/>
      <c r="E3752" s="1"/>
      <c r="F3752" s="1"/>
      <c r="G3752" s="1"/>
      <c r="H3752" s="1"/>
      <c r="I3752" s="2"/>
      <c r="J3752" s="1"/>
      <c r="K3752" s="1"/>
      <c r="L3752" s="1"/>
      <c r="M3752" s="1"/>
      <c r="N3752" s="1"/>
      <c r="O3752" s="1"/>
      <c r="P3752" s="1"/>
      <c r="Q3752" s="1"/>
      <c r="R3752" s="1"/>
      <c r="S3752" s="1"/>
      <c r="T3752" s="1"/>
      <c r="U3752" s="1"/>
      <c r="V3752" s="1"/>
      <c r="W3752" s="1"/>
      <c r="X3752" s="1"/>
    </row>
    <row x14ac:dyDescent="0.25" r="3753" customHeight="1" ht="18.75">
      <c r="A3753" s="1"/>
      <c r="B3753" s="1"/>
      <c r="C3753" s="1"/>
      <c r="D3753" s="1"/>
      <c r="E3753" s="1"/>
      <c r="F3753" s="1"/>
      <c r="G3753" s="1"/>
      <c r="H3753" s="1"/>
      <c r="I3753" s="2"/>
      <c r="J3753" s="1"/>
      <c r="K3753" s="1"/>
      <c r="L3753" s="1"/>
      <c r="M3753" s="1"/>
      <c r="N3753" s="1"/>
      <c r="O3753" s="1"/>
      <c r="P3753" s="1"/>
      <c r="Q3753" s="1"/>
      <c r="R3753" s="1"/>
      <c r="S3753" s="1"/>
      <c r="T3753" s="1"/>
      <c r="U3753" s="1"/>
      <c r="V3753" s="1"/>
      <c r="W3753" s="1"/>
      <c r="X3753" s="1"/>
    </row>
    <row x14ac:dyDescent="0.25" r="3754" customHeight="1" ht="18.75">
      <c r="A3754" s="1"/>
      <c r="B3754" s="1"/>
      <c r="C3754" s="1"/>
      <c r="D3754" s="1"/>
      <c r="E3754" s="1"/>
      <c r="F3754" s="1"/>
      <c r="G3754" s="1"/>
      <c r="H3754" s="1"/>
      <c r="I3754" s="2"/>
      <c r="J3754" s="1"/>
      <c r="K3754" s="1"/>
      <c r="L3754" s="1"/>
      <c r="M3754" s="1"/>
      <c r="N3754" s="1"/>
      <c r="O3754" s="1"/>
      <c r="P3754" s="1"/>
      <c r="Q3754" s="1"/>
      <c r="R3754" s="1"/>
      <c r="S3754" s="1"/>
      <c r="T3754" s="1"/>
      <c r="U3754" s="1"/>
      <c r="V3754" s="1"/>
      <c r="W3754" s="1"/>
      <c r="X3754" s="1"/>
    </row>
    <row x14ac:dyDescent="0.25" r="3755" customHeight="1" ht="18.75">
      <c r="A3755" s="1"/>
      <c r="B3755" s="1"/>
      <c r="C3755" s="1"/>
      <c r="D3755" s="1"/>
      <c r="E3755" s="1"/>
      <c r="F3755" s="1"/>
      <c r="G3755" s="1"/>
      <c r="H3755" s="1"/>
      <c r="I3755" s="2"/>
      <c r="J3755" s="1"/>
      <c r="K3755" s="1"/>
      <c r="L3755" s="1"/>
      <c r="M3755" s="1"/>
      <c r="N3755" s="1"/>
      <c r="O3755" s="1"/>
      <c r="P3755" s="1"/>
      <c r="Q3755" s="1"/>
      <c r="R3755" s="1"/>
      <c r="S3755" s="1"/>
      <c r="T3755" s="1"/>
      <c r="U3755" s="1"/>
      <c r="V3755" s="1"/>
      <c r="W3755" s="1"/>
      <c r="X3755" s="1"/>
    </row>
    <row x14ac:dyDescent="0.25" r="3756" customHeight="1" ht="18.75">
      <c r="A3756" s="1"/>
      <c r="B3756" s="1"/>
      <c r="C3756" s="1"/>
      <c r="D3756" s="1"/>
      <c r="E3756" s="1"/>
      <c r="F3756" s="1"/>
      <c r="G3756" s="1"/>
      <c r="H3756" s="1"/>
      <c r="I3756" s="2"/>
      <c r="J3756" s="1"/>
      <c r="K3756" s="1"/>
      <c r="L3756" s="1"/>
      <c r="M3756" s="1"/>
      <c r="N3756" s="1"/>
      <c r="O3756" s="1"/>
      <c r="P3756" s="1"/>
      <c r="Q3756" s="1"/>
      <c r="R3756" s="1"/>
      <c r="S3756" s="1"/>
      <c r="T3756" s="1"/>
      <c r="U3756" s="1"/>
      <c r="V3756" s="1"/>
      <c r="W3756" s="1"/>
      <c r="X3756" s="1"/>
    </row>
    <row x14ac:dyDescent="0.25" r="3757" customHeight="1" ht="18.75">
      <c r="A3757" s="1"/>
      <c r="B3757" s="1"/>
      <c r="C3757" s="1"/>
      <c r="D3757" s="1"/>
      <c r="E3757" s="1"/>
      <c r="F3757" s="1"/>
      <c r="G3757" s="1"/>
      <c r="H3757" s="1"/>
      <c r="I3757" s="2"/>
      <c r="J3757" s="1"/>
      <c r="K3757" s="1"/>
      <c r="L3757" s="1"/>
      <c r="M3757" s="1"/>
      <c r="N3757" s="1"/>
      <c r="O3757" s="1"/>
      <c r="P3757" s="1"/>
      <c r="Q3757" s="1"/>
      <c r="R3757" s="1"/>
      <c r="S3757" s="1"/>
      <c r="T3757" s="1"/>
      <c r="U3757" s="1"/>
      <c r="V3757" s="1"/>
      <c r="W3757" s="1"/>
      <c r="X3757" s="1"/>
    </row>
    <row x14ac:dyDescent="0.25" r="3758" customHeight="1" ht="18.75">
      <c r="A3758" s="1"/>
      <c r="B3758" s="1"/>
      <c r="C3758" s="1"/>
      <c r="D3758" s="1"/>
      <c r="E3758" s="1"/>
      <c r="F3758" s="1"/>
      <c r="G3758" s="1"/>
      <c r="H3758" s="1"/>
      <c r="I3758" s="2"/>
      <c r="J3758" s="1"/>
      <c r="K3758" s="1"/>
      <c r="L3758" s="1"/>
      <c r="M3758" s="1"/>
      <c r="N3758" s="1"/>
      <c r="O3758" s="1"/>
      <c r="P3758" s="1"/>
      <c r="Q3758" s="1"/>
      <c r="R3758" s="1"/>
      <c r="S3758" s="1"/>
      <c r="T3758" s="1"/>
      <c r="U3758" s="1"/>
      <c r="V3758" s="1"/>
      <c r="W3758" s="1"/>
      <c r="X3758" s="1"/>
    </row>
    <row x14ac:dyDescent="0.25" r="3759" customHeight="1" ht="18.75">
      <c r="A3759" s="1"/>
      <c r="B3759" s="1"/>
      <c r="C3759" s="1"/>
      <c r="D3759" s="1"/>
      <c r="E3759" s="1"/>
      <c r="F3759" s="1"/>
      <c r="G3759" s="1"/>
      <c r="H3759" s="1"/>
      <c r="I3759" s="2"/>
      <c r="J3759" s="1"/>
      <c r="K3759" s="1"/>
      <c r="L3759" s="1"/>
      <c r="M3759" s="1"/>
      <c r="N3759" s="1"/>
      <c r="O3759" s="1"/>
      <c r="P3759" s="1"/>
      <c r="Q3759" s="1"/>
      <c r="R3759" s="1"/>
      <c r="S3759" s="1"/>
      <c r="T3759" s="1"/>
      <c r="U3759" s="1"/>
      <c r="V3759" s="1"/>
      <c r="W3759" s="1"/>
      <c r="X3759" s="1"/>
    </row>
    <row x14ac:dyDescent="0.25" r="3760" customHeight="1" ht="18.75">
      <c r="A3760" s="1"/>
      <c r="B3760" s="1"/>
      <c r="C3760" s="1"/>
      <c r="D3760" s="1"/>
      <c r="E3760" s="1"/>
      <c r="F3760" s="1"/>
      <c r="G3760" s="1"/>
      <c r="H3760" s="1"/>
      <c r="I3760" s="2"/>
      <c r="J3760" s="1"/>
      <c r="K3760" s="1"/>
      <c r="L3760" s="1"/>
      <c r="M3760" s="1"/>
      <c r="N3760" s="1"/>
      <c r="O3760" s="1"/>
      <c r="P3760" s="1"/>
      <c r="Q3760" s="1"/>
      <c r="R3760" s="1"/>
      <c r="S3760" s="1"/>
      <c r="T3760" s="1"/>
      <c r="U3760" s="1"/>
      <c r="V3760" s="1"/>
      <c r="W3760" s="1"/>
      <c r="X3760" s="1"/>
    </row>
    <row x14ac:dyDescent="0.25" r="3761" customHeight="1" ht="18.75">
      <c r="A3761" s="1"/>
      <c r="B3761" s="1"/>
      <c r="C3761" s="1"/>
      <c r="D3761" s="1"/>
      <c r="E3761" s="1"/>
      <c r="F3761" s="1"/>
      <c r="G3761" s="1"/>
      <c r="H3761" s="1"/>
      <c r="I3761" s="2"/>
      <c r="J3761" s="1"/>
      <c r="K3761" s="1"/>
      <c r="L3761" s="1"/>
      <c r="M3761" s="1"/>
      <c r="N3761" s="1"/>
      <c r="O3761" s="1"/>
      <c r="P3761" s="1"/>
      <c r="Q3761" s="1"/>
      <c r="R3761" s="1"/>
      <c r="S3761" s="1"/>
      <c r="T3761" s="1"/>
      <c r="U3761" s="1"/>
      <c r="V3761" s="1"/>
      <c r="W3761" s="1"/>
      <c r="X3761" s="1"/>
    </row>
    <row x14ac:dyDescent="0.25" r="3762" customHeight="1" ht="18.75">
      <c r="A3762" s="1"/>
      <c r="B3762" s="1"/>
      <c r="C3762" s="1"/>
      <c r="D3762" s="1"/>
      <c r="E3762" s="1"/>
      <c r="F3762" s="1"/>
      <c r="G3762" s="1"/>
      <c r="H3762" s="1"/>
      <c r="I3762" s="2"/>
      <c r="J3762" s="1"/>
      <c r="K3762" s="1"/>
      <c r="L3762" s="1"/>
      <c r="M3762" s="1"/>
      <c r="N3762" s="1"/>
      <c r="O3762" s="1"/>
      <c r="P3762" s="1"/>
      <c r="Q3762" s="1"/>
      <c r="R3762" s="1"/>
      <c r="S3762" s="1"/>
      <c r="T3762" s="1"/>
      <c r="U3762" s="1"/>
      <c r="V3762" s="1"/>
      <c r="W3762" s="1"/>
      <c r="X3762" s="1"/>
    </row>
    <row x14ac:dyDescent="0.25" r="3763" customHeight="1" ht="18.75">
      <c r="A3763" s="1"/>
      <c r="B3763" s="1"/>
      <c r="C3763" s="1"/>
      <c r="D3763" s="1"/>
      <c r="E3763" s="1"/>
      <c r="F3763" s="1"/>
      <c r="G3763" s="1"/>
      <c r="H3763" s="1"/>
      <c r="I3763" s="2"/>
      <c r="J3763" s="1"/>
      <c r="K3763" s="1"/>
      <c r="L3763" s="1"/>
      <c r="M3763" s="1"/>
      <c r="N3763" s="1"/>
      <c r="O3763" s="1"/>
      <c r="P3763" s="1"/>
      <c r="Q3763" s="1"/>
      <c r="R3763" s="1"/>
      <c r="S3763" s="1"/>
      <c r="T3763" s="1"/>
      <c r="U3763" s="1"/>
      <c r="V3763" s="1"/>
      <c r="W3763" s="1"/>
      <c r="X3763" s="1"/>
    </row>
    <row x14ac:dyDescent="0.25" r="3764" customHeight="1" ht="18.75">
      <c r="A3764" s="1"/>
      <c r="B3764" s="1"/>
      <c r="C3764" s="1"/>
      <c r="D3764" s="1"/>
      <c r="E3764" s="1"/>
      <c r="F3764" s="1"/>
      <c r="G3764" s="1"/>
      <c r="H3764" s="1"/>
      <c r="I3764" s="2"/>
      <c r="J3764" s="1"/>
      <c r="K3764" s="1"/>
      <c r="L3764" s="1"/>
      <c r="M3764" s="1"/>
      <c r="N3764" s="1"/>
      <c r="O3764" s="1"/>
      <c r="P3764" s="1"/>
      <c r="Q3764" s="1"/>
      <c r="R3764" s="1"/>
      <c r="S3764" s="1"/>
      <c r="T3764" s="1"/>
      <c r="U3764" s="1"/>
      <c r="V3764" s="1"/>
      <c r="W3764" s="1"/>
      <c r="X3764" s="1"/>
    </row>
    <row x14ac:dyDescent="0.25" r="3765" customHeight="1" ht="18.75">
      <c r="A3765" s="1"/>
      <c r="B3765" s="1"/>
      <c r="C3765" s="1"/>
      <c r="D3765" s="1"/>
      <c r="E3765" s="1"/>
      <c r="F3765" s="1"/>
      <c r="G3765" s="1"/>
      <c r="H3765" s="1"/>
      <c r="I3765" s="2"/>
      <c r="J3765" s="1"/>
      <c r="K3765" s="1"/>
      <c r="L3765" s="1"/>
      <c r="M3765" s="1"/>
      <c r="N3765" s="1"/>
      <c r="O3765" s="1"/>
      <c r="P3765" s="1"/>
      <c r="Q3765" s="1"/>
      <c r="R3765" s="1"/>
      <c r="S3765" s="1"/>
      <c r="T3765" s="1"/>
      <c r="U3765" s="1"/>
      <c r="V3765" s="1"/>
      <c r="W3765" s="1"/>
      <c r="X3765" s="1"/>
    </row>
    <row x14ac:dyDescent="0.25" r="3766" customHeight="1" ht="18.75">
      <c r="A3766" s="1"/>
      <c r="B3766" s="1"/>
      <c r="C3766" s="1"/>
      <c r="D3766" s="1"/>
      <c r="E3766" s="1"/>
      <c r="F3766" s="1"/>
      <c r="G3766" s="1"/>
      <c r="H3766" s="1"/>
      <c r="I3766" s="2"/>
      <c r="J3766" s="1"/>
      <c r="K3766" s="1"/>
      <c r="L3766" s="1"/>
      <c r="M3766" s="1"/>
      <c r="N3766" s="1"/>
      <c r="O3766" s="1"/>
      <c r="P3766" s="1"/>
      <c r="Q3766" s="1"/>
      <c r="R3766" s="1"/>
      <c r="S3766" s="1"/>
      <c r="T3766" s="1"/>
      <c r="U3766" s="1"/>
      <c r="V3766" s="1"/>
      <c r="W3766" s="1"/>
      <c r="X3766" s="1"/>
    </row>
    <row x14ac:dyDescent="0.25" r="3767" customHeight="1" ht="18.75">
      <c r="A3767" s="1"/>
      <c r="B3767" s="1"/>
      <c r="C3767" s="1"/>
      <c r="D3767" s="1"/>
      <c r="E3767" s="1"/>
      <c r="F3767" s="1"/>
      <c r="G3767" s="1"/>
      <c r="H3767" s="1"/>
      <c r="I3767" s="2"/>
      <c r="J3767" s="1"/>
      <c r="K3767" s="1"/>
      <c r="L3767" s="1"/>
      <c r="M3767" s="1"/>
      <c r="N3767" s="1"/>
      <c r="O3767" s="1"/>
      <c r="P3767" s="1"/>
      <c r="Q3767" s="1"/>
      <c r="R3767" s="1"/>
      <c r="S3767" s="1"/>
      <c r="T3767" s="1"/>
      <c r="U3767" s="1"/>
      <c r="V3767" s="1"/>
      <c r="W3767" s="1"/>
      <c r="X3767" s="1"/>
    </row>
    <row x14ac:dyDescent="0.25" r="3768" customHeight="1" ht="18.75">
      <c r="A3768" s="1"/>
      <c r="B3768" s="1"/>
      <c r="C3768" s="1"/>
      <c r="D3768" s="1"/>
      <c r="E3768" s="1"/>
      <c r="F3768" s="1"/>
      <c r="G3768" s="1"/>
      <c r="H3768" s="1"/>
      <c r="I3768" s="2"/>
      <c r="J3768" s="1"/>
      <c r="K3768" s="1"/>
      <c r="L3768" s="1"/>
      <c r="M3768" s="1"/>
      <c r="N3768" s="1"/>
      <c r="O3768" s="1"/>
      <c r="P3768" s="1"/>
      <c r="Q3768" s="1"/>
      <c r="R3768" s="1"/>
      <c r="S3768" s="1"/>
      <c r="T3768" s="1"/>
      <c r="U3768" s="1"/>
      <c r="V3768" s="1"/>
      <c r="W3768" s="1"/>
      <c r="X3768" s="1"/>
    </row>
    <row x14ac:dyDescent="0.25" r="3769" customHeight="1" ht="18.75">
      <c r="A3769" s="1"/>
      <c r="B3769" s="1"/>
      <c r="C3769" s="1"/>
      <c r="D3769" s="1"/>
      <c r="E3769" s="1"/>
      <c r="F3769" s="1"/>
      <c r="G3769" s="1"/>
      <c r="H3769" s="1"/>
      <c r="I3769" s="2"/>
      <c r="J3769" s="1"/>
      <c r="K3769" s="1"/>
      <c r="L3769" s="1"/>
      <c r="M3769" s="1"/>
      <c r="N3769" s="1"/>
      <c r="O3769" s="1"/>
      <c r="P3769" s="1"/>
      <c r="Q3769" s="1"/>
      <c r="R3769" s="1"/>
      <c r="S3769" s="1"/>
      <c r="T3769" s="1"/>
      <c r="U3769" s="1"/>
      <c r="V3769" s="1"/>
      <c r="W3769" s="1"/>
      <c r="X3769" s="1"/>
    </row>
    <row x14ac:dyDescent="0.25" r="3770" customHeight="1" ht="18.75">
      <c r="A3770" s="1"/>
      <c r="B3770" s="1"/>
      <c r="C3770" s="1"/>
      <c r="D3770" s="1"/>
      <c r="E3770" s="1"/>
      <c r="F3770" s="1"/>
      <c r="G3770" s="1"/>
      <c r="H3770" s="1"/>
      <c r="I3770" s="2"/>
      <c r="J3770" s="1"/>
      <c r="K3770" s="1"/>
      <c r="L3770" s="1"/>
      <c r="M3770" s="1"/>
      <c r="N3770" s="1"/>
      <c r="O3770" s="1"/>
      <c r="P3770" s="1"/>
      <c r="Q3770" s="1"/>
      <c r="R3770" s="1"/>
      <c r="S3770" s="1"/>
      <c r="T3770" s="1"/>
      <c r="U3770" s="1"/>
      <c r="V3770" s="1"/>
      <c r="W3770" s="1"/>
      <c r="X3770" s="1"/>
    </row>
    <row x14ac:dyDescent="0.25" r="3771" customHeight="1" ht="18.75">
      <c r="A3771" s="1"/>
      <c r="B3771" s="1"/>
      <c r="C3771" s="1"/>
      <c r="D3771" s="1"/>
      <c r="E3771" s="1"/>
      <c r="F3771" s="1"/>
      <c r="G3771" s="1"/>
      <c r="H3771" s="1"/>
      <c r="I3771" s="2"/>
      <c r="J3771" s="1"/>
      <c r="K3771" s="1"/>
      <c r="L3771" s="1"/>
      <c r="M3771" s="1"/>
      <c r="N3771" s="1"/>
      <c r="O3771" s="1"/>
      <c r="P3771" s="1"/>
      <c r="Q3771" s="1"/>
      <c r="R3771" s="1"/>
      <c r="S3771" s="1"/>
      <c r="T3771" s="1"/>
      <c r="U3771" s="1"/>
      <c r="V3771" s="1"/>
      <c r="W3771" s="1"/>
      <c r="X3771" s="1"/>
    </row>
    <row x14ac:dyDescent="0.25" r="3772" customHeight="1" ht="18.75">
      <c r="A3772" s="1"/>
      <c r="B3772" s="1"/>
      <c r="C3772" s="1"/>
      <c r="D3772" s="1"/>
      <c r="E3772" s="1"/>
      <c r="F3772" s="1"/>
      <c r="G3772" s="1"/>
      <c r="H3772" s="1"/>
      <c r="I3772" s="2"/>
      <c r="J3772" s="1"/>
      <c r="K3772" s="1"/>
      <c r="L3772" s="1"/>
      <c r="M3772" s="1"/>
      <c r="N3772" s="1"/>
      <c r="O3772" s="1"/>
      <c r="P3772" s="1"/>
      <c r="Q3772" s="1"/>
      <c r="R3772" s="1"/>
      <c r="S3772" s="1"/>
      <c r="T3772" s="1"/>
      <c r="U3772" s="1"/>
      <c r="V3772" s="1"/>
      <c r="W3772" s="1"/>
      <c r="X3772" s="1"/>
    </row>
    <row x14ac:dyDescent="0.25" r="3773" customHeight="1" ht="18.75">
      <c r="A3773" s="1"/>
      <c r="B3773" s="1"/>
      <c r="C3773" s="1"/>
      <c r="D3773" s="1"/>
      <c r="E3773" s="1"/>
      <c r="F3773" s="1"/>
      <c r="G3773" s="1"/>
      <c r="H3773" s="1"/>
      <c r="I3773" s="2"/>
      <c r="J3773" s="1"/>
      <c r="K3773" s="1"/>
      <c r="L3773" s="1"/>
      <c r="M3773" s="1"/>
      <c r="N3773" s="1"/>
      <c r="O3773" s="1"/>
      <c r="P3773" s="1"/>
      <c r="Q3773" s="1"/>
      <c r="R3773" s="1"/>
      <c r="S3773" s="1"/>
      <c r="T3773" s="1"/>
      <c r="U3773" s="1"/>
      <c r="V3773" s="1"/>
      <c r="W3773" s="1"/>
      <c r="X3773" s="1"/>
    </row>
    <row x14ac:dyDescent="0.25" r="3774" customHeight="1" ht="18.75">
      <c r="A3774" s="1"/>
      <c r="B3774" s="1"/>
      <c r="C3774" s="1"/>
      <c r="D3774" s="1"/>
      <c r="E3774" s="1"/>
      <c r="F3774" s="1"/>
      <c r="G3774" s="1"/>
      <c r="H3774" s="1"/>
      <c r="I3774" s="2"/>
      <c r="J3774" s="1"/>
      <c r="K3774" s="1"/>
      <c r="L3774" s="1"/>
      <c r="M3774" s="1"/>
      <c r="N3774" s="1"/>
      <c r="O3774" s="1"/>
      <c r="P3774" s="1"/>
      <c r="Q3774" s="1"/>
      <c r="R3774" s="1"/>
      <c r="S3774" s="1"/>
      <c r="T3774" s="1"/>
      <c r="U3774" s="1"/>
      <c r="V3774" s="1"/>
      <c r="W3774" s="1"/>
      <c r="X3774" s="1"/>
    </row>
    <row x14ac:dyDescent="0.25" r="3775" customHeight="1" ht="18.75">
      <c r="A3775" s="1"/>
      <c r="B3775" s="1"/>
      <c r="C3775" s="1"/>
      <c r="D3775" s="1"/>
      <c r="E3775" s="1"/>
      <c r="F3775" s="1"/>
      <c r="G3775" s="1"/>
      <c r="H3775" s="1"/>
      <c r="I3775" s="2"/>
      <c r="J3775" s="1"/>
      <c r="K3775" s="1"/>
      <c r="L3775" s="1"/>
      <c r="M3775" s="1"/>
      <c r="N3775" s="1"/>
      <c r="O3775" s="1"/>
      <c r="P3775" s="1"/>
      <c r="Q3775" s="1"/>
      <c r="R3775" s="1"/>
      <c r="S3775" s="1"/>
      <c r="T3775" s="1"/>
      <c r="U3775" s="1"/>
      <c r="V3775" s="1"/>
      <c r="W3775" s="1"/>
      <c r="X3775" s="1"/>
    </row>
    <row x14ac:dyDescent="0.25" r="3776" customHeight="1" ht="18.75">
      <c r="A3776" s="1"/>
      <c r="B3776" s="1"/>
      <c r="C3776" s="1"/>
      <c r="D3776" s="1"/>
      <c r="E3776" s="1"/>
      <c r="F3776" s="1"/>
      <c r="G3776" s="1"/>
      <c r="H3776" s="1"/>
      <c r="I3776" s="2"/>
      <c r="J3776" s="1"/>
      <c r="K3776" s="1"/>
      <c r="L3776" s="1"/>
      <c r="M3776" s="1"/>
      <c r="N3776" s="1"/>
      <c r="O3776" s="1"/>
      <c r="P3776" s="1"/>
      <c r="Q3776" s="1"/>
      <c r="R3776" s="1"/>
      <c r="S3776" s="1"/>
      <c r="T3776" s="1"/>
      <c r="U3776" s="1"/>
      <c r="V3776" s="1"/>
      <c r="W3776" s="1"/>
      <c r="X3776" s="1"/>
    </row>
    <row x14ac:dyDescent="0.25" r="3777" customHeight="1" ht="18.75">
      <c r="A3777" s="1"/>
      <c r="B3777" s="1"/>
      <c r="C3777" s="1"/>
      <c r="D3777" s="1"/>
      <c r="E3777" s="1"/>
      <c r="F3777" s="1"/>
      <c r="G3777" s="1"/>
      <c r="H3777" s="1"/>
      <c r="I3777" s="2"/>
      <c r="J3777" s="1"/>
      <c r="K3777" s="1"/>
      <c r="L3777" s="1"/>
      <c r="M3777" s="1"/>
      <c r="N3777" s="1"/>
      <c r="O3777" s="1"/>
      <c r="P3777" s="1"/>
      <c r="Q3777" s="1"/>
      <c r="R3777" s="1"/>
      <c r="S3777" s="1"/>
      <c r="T3777" s="1"/>
      <c r="U3777" s="1"/>
      <c r="V3777" s="1"/>
      <c r="W3777" s="1"/>
      <c r="X3777" s="1"/>
    </row>
    <row x14ac:dyDescent="0.25" r="3778" customHeight="1" ht="18.75">
      <c r="A3778" s="1"/>
      <c r="B3778" s="1"/>
      <c r="C3778" s="1"/>
      <c r="D3778" s="1"/>
      <c r="E3778" s="1"/>
      <c r="F3778" s="1"/>
      <c r="G3778" s="1"/>
      <c r="H3778" s="1"/>
      <c r="I3778" s="2"/>
      <c r="J3778" s="1"/>
      <c r="K3778" s="1"/>
      <c r="L3778" s="1"/>
      <c r="M3778" s="1"/>
      <c r="N3778" s="1"/>
      <c r="O3778" s="1"/>
      <c r="P3778" s="1"/>
      <c r="Q3778" s="1"/>
      <c r="R3778" s="1"/>
      <c r="S3778" s="1"/>
      <c r="T3778" s="1"/>
      <c r="U3778" s="1"/>
      <c r="V3778" s="1"/>
      <c r="W3778" s="1"/>
      <c r="X3778" s="1"/>
    </row>
    <row x14ac:dyDescent="0.25" r="3779" customHeight="1" ht="18.75">
      <c r="A3779" s="1"/>
      <c r="B3779" s="1"/>
      <c r="C3779" s="1"/>
      <c r="D3779" s="1"/>
      <c r="E3779" s="1"/>
      <c r="F3779" s="1"/>
      <c r="G3779" s="1"/>
      <c r="H3779" s="1"/>
      <c r="I3779" s="2"/>
      <c r="J3779" s="1"/>
      <c r="K3779" s="1"/>
      <c r="L3779" s="1"/>
      <c r="M3779" s="1"/>
      <c r="N3779" s="1"/>
      <c r="O3779" s="1"/>
      <c r="P3779" s="1"/>
      <c r="Q3779" s="1"/>
      <c r="R3779" s="1"/>
      <c r="S3779" s="1"/>
      <c r="T3779" s="1"/>
      <c r="U3779" s="1"/>
      <c r="V3779" s="1"/>
      <c r="W3779" s="1"/>
      <c r="X3779" s="1"/>
    </row>
    <row x14ac:dyDescent="0.25" r="3780" customHeight="1" ht="18.75">
      <c r="A3780" s="1"/>
      <c r="B3780" s="1"/>
      <c r="C3780" s="1"/>
      <c r="D3780" s="1"/>
      <c r="E3780" s="1"/>
      <c r="F3780" s="1"/>
      <c r="G3780" s="1"/>
      <c r="H3780" s="1"/>
      <c r="I3780" s="2"/>
      <c r="J3780" s="1"/>
      <c r="K3780" s="1"/>
      <c r="L3780" s="1"/>
      <c r="M3780" s="1"/>
      <c r="N3780" s="1"/>
      <c r="O3780" s="1"/>
      <c r="P3780" s="1"/>
      <c r="Q3780" s="1"/>
      <c r="R3780" s="1"/>
      <c r="S3780" s="1"/>
      <c r="T3780" s="1"/>
      <c r="U3780" s="1"/>
      <c r="V3780" s="1"/>
      <c r="W3780" s="1"/>
      <c r="X3780" s="1"/>
    </row>
    <row x14ac:dyDescent="0.25" r="3781" customHeight="1" ht="18.75">
      <c r="A3781" s="1"/>
      <c r="B3781" s="1"/>
      <c r="C3781" s="1"/>
      <c r="D3781" s="1"/>
      <c r="E3781" s="1"/>
      <c r="F3781" s="1"/>
      <c r="G3781" s="1"/>
      <c r="H3781" s="1"/>
      <c r="I3781" s="2"/>
      <c r="J3781" s="1"/>
      <c r="K3781" s="1"/>
      <c r="L3781" s="1"/>
      <c r="M3781" s="1"/>
      <c r="N3781" s="1"/>
      <c r="O3781" s="1"/>
      <c r="P3781" s="1"/>
      <c r="Q3781" s="1"/>
      <c r="R3781" s="1"/>
      <c r="S3781" s="1"/>
      <c r="T3781" s="1"/>
      <c r="U3781" s="1"/>
      <c r="V3781" s="1"/>
      <c r="W3781" s="1"/>
      <c r="X3781" s="1"/>
    </row>
    <row x14ac:dyDescent="0.25" r="3782" customHeight="1" ht="18.75">
      <c r="A3782" s="1"/>
      <c r="B3782" s="1"/>
      <c r="C3782" s="1"/>
      <c r="D3782" s="1"/>
      <c r="E3782" s="1"/>
      <c r="F3782" s="1"/>
      <c r="G3782" s="1"/>
      <c r="H3782" s="1"/>
      <c r="I3782" s="2"/>
      <c r="J3782" s="1"/>
      <c r="K3782" s="1"/>
      <c r="L3782" s="1"/>
      <c r="M3782" s="1"/>
      <c r="N3782" s="1"/>
      <c r="O3782" s="1"/>
      <c r="P3782" s="1"/>
      <c r="Q3782" s="1"/>
      <c r="R3782" s="1"/>
      <c r="S3782" s="1"/>
      <c r="T3782" s="1"/>
      <c r="U3782" s="1"/>
      <c r="V3782" s="1"/>
      <c r="W3782" s="1"/>
      <c r="X3782" s="1"/>
    </row>
    <row x14ac:dyDescent="0.25" r="3783" customHeight="1" ht="18.75">
      <c r="A3783" s="1"/>
      <c r="B3783" s="1"/>
      <c r="C3783" s="1"/>
      <c r="D3783" s="1"/>
      <c r="E3783" s="1"/>
      <c r="F3783" s="1"/>
      <c r="G3783" s="1"/>
      <c r="H3783" s="1"/>
      <c r="I3783" s="2"/>
      <c r="J3783" s="1"/>
      <c r="K3783" s="1"/>
      <c r="L3783" s="1"/>
      <c r="M3783" s="1"/>
      <c r="N3783" s="1"/>
      <c r="O3783" s="1"/>
      <c r="P3783" s="1"/>
      <c r="Q3783" s="1"/>
      <c r="R3783" s="1"/>
      <c r="S3783" s="1"/>
      <c r="T3783" s="1"/>
      <c r="U3783" s="1"/>
      <c r="V3783" s="1"/>
      <c r="W3783" s="1"/>
      <c r="X3783" s="1"/>
    </row>
    <row x14ac:dyDescent="0.25" r="3784" customHeight="1" ht="18.75">
      <c r="A3784" s="1"/>
      <c r="B3784" s="1"/>
      <c r="C3784" s="1"/>
      <c r="D3784" s="1"/>
      <c r="E3784" s="1"/>
      <c r="F3784" s="1"/>
      <c r="G3784" s="1"/>
      <c r="H3784" s="1"/>
      <c r="I3784" s="2"/>
      <c r="J3784" s="1"/>
      <c r="K3784" s="1"/>
      <c r="L3784" s="1"/>
      <c r="M3784" s="1"/>
      <c r="N3784" s="1"/>
      <c r="O3784" s="1"/>
      <c r="P3784" s="1"/>
      <c r="Q3784" s="1"/>
      <c r="R3784" s="1"/>
      <c r="S3784" s="1"/>
      <c r="T3784" s="1"/>
      <c r="U3784" s="1"/>
      <c r="V3784" s="1"/>
      <c r="W3784" s="1"/>
      <c r="X3784" s="1"/>
    </row>
    <row x14ac:dyDescent="0.25" r="3785" customHeight="1" ht="18.75">
      <c r="A3785" s="1"/>
      <c r="B3785" s="1"/>
      <c r="C3785" s="1"/>
      <c r="D3785" s="1"/>
      <c r="E3785" s="1"/>
      <c r="F3785" s="1"/>
      <c r="G3785" s="1"/>
      <c r="H3785" s="1"/>
      <c r="I3785" s="2"/>
      <c r="J3785" s="1"/>
      <c r="K3785" s="1"/>
      <c r="L3785" s="1"/>
      <c r="M3785" s="1"/>
      <c r="N3785" s="1"/>
      <c r="O3785" s="1"/>
      <c r="P3785" s="1"/>
      <c r="Q3785" s="1"/>
      <c r="R3785" s="1"/>
      <c r="S3785" s="1"/>
      <c r="T3785" s="1"/>
      <c r="U3785" s="1"/>
      <c r="V3785" s="1"/>
      <c r="W3785" s="1"/>
      <c r="X3785" s="1"/>
    </row>
    <row x14ac:dyDescent="0.25" r="3786" customHeight="1" ht="18.75">
      <c r="A3786" s="1"/>
      <c r="B3786" s="1"/>
      <c r="C3786" s="1"/>
      <c r="D3786" s="1"/>
      <c r="E3786" s="1"/>
      <c r="F3786" s="1"/>
      <c r="G3786" s="1"/>
      <c r="H3786" s="1"/>
      <c r="I3786" s="2"/>
      <c r="J3786" s="1"/>
      <c r="K3786" s="1"/>
      <c r="L3786" s="1"/>
      <c r="M3786" s="1"/>
      <c r="N3786" s="1"/>
      <c r="O3786" s="1"/>
      <c r="P3786" s="1"/>
      <c r="Q3786" s="1"/>
      <c r="R3786" s="1"/>
      <c r="S3786" s="1"/>
      <c r="T3786" s="1"/>
      <c r="U3786" s="1"/>
      <c r="V3786" s="1"/>
      <c r="W3786" s="1"/>
      <c r="X3786" s="1"/>
    </row>
    <row x14ac:dyDescent="0.25" r="3787" customHeight="1" ht="18.75">
      <c r="A3787" s="1"/>
      <c r="B3787" s="1"/>
      <c r="C3787" s="1"/>
      <c r="D3787" s="1"/>
      <c r="E3787" s="1"/>
      <c r="F3787" s="1"/>
      <c r="G3787" s="1"/>
      <c r="H3787" s="1"/>
      <c r="I3787" s="2"/>
      <c r="J3787" s="1"/>
      <c r="K3787" s="1"/>
      <c r="L3787" s="1"/>
      <c r="M3787" s="1"/>
      <c r="N3787" s="1"/>
      <c r="O3787" s="1"/>
      <c r="P3787" s="1"/>
      <c r="Q3787" s="1"/>
      <c r="R3787" s="1"/>
      <c r="S3787" s="1"/>
      <c r="T3787" s="1"/>
      <c r="U3787" s="1"/>
      <c r="V3787" s="1"/>
      <c r="W3787" s="1"/>
      <c r="X3787" s="1"/>
    </row>
    <row x14ac:dyDescent="0.25" r="3788" customHeight="1" ht="18.75">
      <c r="A3788" s="1"/>
      <c r="B3788" s="1"/>
      <c r="C3788" s="1"/>
      <c r="D3788" s="1"/>
      <c r="E3788" s="1"/>
      <c r="F3788" s="1"/>
      <c r="G3788" s="1"/>
      <c r="H3788" s="1"/>
      <c r="I3788" s="2"/>
      <c r="J3788" s="1"/>
      <c r="K3788" s="1"/>
      <c r="L3788" s="1"/>
      <c r="M3788" s="1"/>
      <c r="N3788" s="1"/>
      <c r="O3788" s="1"/>
      <c r="P3788" s="1"/>
      <c r="Q3788" s="1"/>
      <c r="R3788" s="1"/>
      <c r="S3788" s="1"/>
      <c r="T3788" s="1"/>
      <c r="U3788" s="1"/>
      <c r="V3788" s="1"/>
      <c r="W3788" s="1"/>
      <c r="X3788" s="1"/>
    </row>
    <row x14ac:dyDescent="0.25" r="3789" customHeight="1" ht="18.75">
      <c r="A3789" s="1"/>
      <c r="B3789" s="1"/>
      <c r="C3789" s="1"/>
      <c r="D3789" s="1"/>
      <c r="E3789" s="1"/>
      <c r="F3789" s="1"/>
      <c r="G3789" s="1"/>
      <c r="H3789" s="1"/>
      <c r="I3789" s="2"/>
      <c r="J3789" s="1"/>
      <c r="K3789" s="1"/>
      <c r="L3789" s="1"/>
      <c r="M3789" s="1"/>
      <c r="N3789" s="1"/>
      <c r="O3789" s="1"/>
      <c r="P3789" s="1"/>
      <c r="Q3789" s="1"/>
      <c r="R3789" s="1"/>
      <c r="S3789" s="1"/>
      <c r="T3789" s="1"/>
      <c r="U3789" s="1"/>
      <c r="V3789" s="1"/>
      <c r="W3789" s="1"/>
      <c r="X3789" s="1"/>
    </row>
    <row x14ac:dyDescent="0.25" r="3790" customHeight="1" ht="18.75">
      <c r="A3790" s="1"/>
      <c r="B3790" s="1"/>
      <c r="C3790" s="1"/>
      <c r="D3790" s="1"/>
      <c r="E3790" s="1"/>
      <c r="F3790" s="1"/>
      <c r="G3790" s="1"/>
      <c r="H3790" s="1"/>
      <c r="I3790" s="2"/>
      <c r="J3790" s="1"/>
      <c r="K3790" s="1"/>
      <c r="L3790" s="1"/>
      <c r="M3790" s="1"/>
      <c r="N3790" s="1"/>
      <c r="O3790" s="1"/>
      <c r="P3790" s="1"/>
      <c r="Q3790" s="1"/>
      <c r="R3790" s="1"/>
      <c r="S3790" s="1"/>
      <c r="T3790" s="1"/>
      <c r="U3790" s="1"/>
      <c r="V3790" s="1"/>
      <c r="W3790" s="1"/>
      <c r="X3790" s="1"/>
    </row>
    <row x14ac:dyDescent="0.25" r="3791" customHeight="1" ht="18.75">
      <c r="A3791" s="1"/>
      <c r="B3791" s="1"/>
      <c r="C3791" s="1"/>
      <c r="D3791" s="1"/>
      <c r="E3791" s="1"/>
      <c r="F3791" s="1"/>
      <c r="G3791" s="1"/>
      <c r="H3791" s="1"/>
      <c r="I3791" s="2"/>
      <c r="J3791" s="1"/>
      <c r="K3791" s="1"/>
      <c r="L3791" s="1"/>
      <c r="M3791" s="1"/>
      <c r="N3791" s="1"/>
      <c r="O3791" s="1"/>
      <c r="P3791" s="1"/>
      <c r="Q3791" s="1"/>
      <c r="R3791" s="1"/>
      <c r="S3791" s="1"/>
      <c r="T3791" s="1"/>
      <c r="U3791" s="1"/>
      <c r="V3791" s="1"/>
      <c r="W3791" s="1"/>
      <c r="X3791" s="1"/>
    </row>
    <row x14ac:dyDescent="0.25" r="3792" customHeight="1" ht="18.75">
      <c r="A3792" s="1"/>
      <c r="B3792" s="1"/>
      <c r="C3792" s="1"/>
      <c r="D3792" s="1"/>
      <c r="E3792" s="1"/>
      <c r="F3792" s="1"/>
      <c r="G3792" s="1"/>
      <c r="H3792" s="1"/>
      <c r="I3792" s="2"/>
      <c r="J3792" s="1"/>
      <c r="K3792" s="1"/>
      <c r="L3792" s="1"/>
      <c r="M3792" s="1"/>
      <c r="N3792" s="1"/>
      <c r="O3792" s="1"/>
      <c r="P3792" s="1"/>
      <c r="Q3792" s="1"/>
      <c r="R3792" s="1"/>
      <c r="S3792" s="1"/>
      <c r="T3792" s="1"/>
      <c r="U3792" s="1"/>
      <c r="V3792" s="1"/>
      <c r="W3792" s="1"/>
      <c r="X3792" s="1"/>
    </row>
    <row x14ac:dyDescent="0.25" r="3793" customHeight="1" ht="18.75">
      <c r="A3793" s="1"/>
      <c r="B3793" s="1"/>
      <c r="C3793" s="1"/>
      <c r="D3793" s="1"/>
      <c r="E3793" s="1"/>
      <c r="F3793" s="1"/>
      <c r="G3793" s="1"/>
      <c r="H3793" s="1"/>
      <c r="I3793" s="2"/>
      <c r="J3793" s="1"/>
      <c r="K3793" s="1"/>
      <c r="L3793" s="1"/>
      <c r="M3793" s="1"/>
      <c r="N3793" s="1"/>
      <c r="O3793" s="1"/>
      <c r="P3793" s="1"/>
      <c r="Q3793" s="1"/>
      <c r="R3793" s="1"/>
      <c r="S3793" s="1"/>
      <c r="T3793" s="1"/>
      <c r="U3793" s="1"/>
      <c r="V3793" s="1"/>
      <c r="W3793" s="1"/>
      <c r="X3793" s="1"/>
    </row>
    <row x14ac:dyDescent="0.25" r="3794" customHeight="1" ht="18.75">
      <c r="A3794" s="1"/>
      <c r="B3794" s="1"/>
      <c r="C3794" s="1"/>
      <c r="D3794" s="1"/>
      <c r="E3794" s="1"/>
      <c r="F3794" s="1"/>
      <c r="G3794" s="1"/>
      <c r="H3794" s="1"/>
      <c r="I3794" s="2"/>
      <c r="J3794" s="1"/>
      <c r="K3794" s="1"/>
      <c r="L3794" s="1"/>
      <c r="M3794" s="1"/>
      <c r="N3794" s="1"/>
      <c r="O3794" s="1"/>
      <c r="P3794" s="1"/>
      <c r="Q3794" s="1"/>
      <c r="R3794" s="1"/>
      <c r="S3794" s="1"/>
      <c r="T3794" s="1"/>
      <c r="U3794" s="1"/>
      <c r="V3794" s="1"/>
      <c r="W3794" s="1"/>
      <c r="X3794" s="1"/>
    </row>
    <row x14ac:dyDescent="0.25" r="3795" customHeight="1" ht="18.75">
      <c r="A3795" s="1"/>
      <c r="B3795" s="1"/>
      <c r="C3795" s="1"/>
      <c r="D3795" s="1"/>
      <c r="E3795" s="1"/>
      <c r="F3795" s="1"/>
      <c r="G3795" s="1"/>
      <c r="H3795" s="1"/>
      <c r="I3795" s="2"/>
      <c r="J3795" s="1"/>
      <c r="K3795" s="1"/>
      <c r="L3795" s="1"/>
      <c r="M3795" s="1"/>
      <c r="N3795" s="1"/>
      <c r="O3795" s="1"/>
      <c r="P3795" s="1"/>
      <c r="Q3795" s="1"/>
      <c r="R3795" s="1"/>
      <c r="S3795" s="1"/>
      <c r="T3795" s="1"/>
      <c r="U3795" s="1"/>
      <c r="V3795" s="1"/>
      <c r="W3795" s="1"/>
      <c r="X3795" s="1"/>
    </row>
    <row x14ac:dyDescent="0.25" r="3796" customHeight="1" ht="18.75">
      <c r="A3796" s="1"/>
      <c r="B3796" s="1"/>
      <c r="C3796" s="1"/>
      <c r="D3796" s="1"/>
      <c r="E3796" s="1"/>
      <c r="F3796" s="1"/>
      <c r="G3796" s="1"/>
      <c r="H3796" s="1"/>
      <c r="I3796" s="2"/>
      <c r="J3796" s="1"/>
      <c r="K3796" s="1"/>
      <c r="L3796" s="1"/>
      <c r="M3796" s="1"/>
      <c r="N3796" s="1"/>
      <c r="O3796" s="1"/>
      <c r="P3796" s="1"/>
      <c r="Q3796" s="1"/>
      <c r="R3796" s="1"/>
      <c r="S3796" s="1"/>
      <c r="T3796" s="1"/>
      <c r="U3796" s="1"/>
      <c r="V3796" s="1"/>
      <c r="W3796" s="1"/>
      <c r="X3796" s="1"/>
    </row>
    <row x14ac:dyDescent="0.25" r="3797" customHeight="1" ht="18.75">
      <c r="A3797" s="1"/>
      <c r="B3797" s="1"/>
      <c r="C3797" s="1"/>
      <c r="D3797" s="1"/>
      <c r="E3797" s="1"/>
      <c r="F3797" s="1"/>
      <c r="G3797" s="1"/>
      <c r="H3797" s="1"/>
      <c r="I3797" s="2"/>
      <c r="J3797" s="1"/>
      <c r="K3797" s="1"/>
      <c r="L3797" s="1"/>
      <c r="M3797" s="1"/>
      <c r="N3797" s="1"/>
      <c r="O3797" s="1"/>
      <c r="P3797" s="1"/>
      <c r="Q3797" s="1"/>
      <c r="R3797" s="1"/>
      <c r="S3797" s="1"/>
      <c r="T3797" s="1"/>
      <c r="U3797" s="1"/>
      <c r="V3797" s="1"/>
      <c r="W3797" s="1"/>
      <c r="X3797" s="1"/>
    </row>
    <row x14ac:dyDescent="0.25" r="3798" customHeight="1" ht="18.75">
      <c r="A3798" s="1"/>
      <c r="B3798" s="1"/>
      <c r="C3798" s="1"/>
      <c r="D3798" s="1"/>
      <c r="E3798" s="1"/>
      <c r="F3798" s="1"/>
      <c r="G3798" s="1"/>
      <c r="H3798" s="1"/>
      <c r="I3798" s="2"/>
      <c r="J3798" s="1"/>
      <c r="K3798" s="1"/>
      <c r="L3798" s="1"/>
      <c r="M3798" s="1"/>
      <c r="N3798" s="1"/>
      <c r="O3798" s="1"/>
      <c r="P3798" s="1"/>
      <c r="Q3798" s="1"/>
      <c r="R3798" s="1"/>
      <c r="S3798" s="1"/>
      <c r="T3798" s="1"/>
      <c r="U3798" s="1"/>
      <c r="V3798" s="1"/>
      <c r="W3798" s="1"/>
      <c r="X3798" s="1"/>
    </row>
    <row x14ac:dyDescent="0.25" r="3799" customHeight="1" ht="18.75">
      <c r="A3799" s="1"/>
      <c r="B3799" s="1"/>
      <c r="C3799" s="1"/>
      <c r="D3799" s="1"/>
      <c r="E3799" s="1"/>
      <c r="F3799" s="1"/>
      <c r="G3799" s="1"/>
      <c r="H3799" s="1"/>
      <c r="I3799" s="2"/>
      <c r="J3799" s="1"/>
      <c r="K3799" s="1"/>
      <c r="L3799" s="1"/>
      <c r="M3799" s="1"/>
      <c r="N3799" s="1"/>
      <c r="O3799" s="1"/>
      <c r="P3799" s="1"/>
      <c r="Q3799" s="1"/>
      <c r="R3799" s="1"/>
      <c r="S3799" s="1"/>
      <c r="T3799" s="1"/>
      <c r="U3799" s="1"/>
      <c r="V3799" s="1"/>
      <c r="W3799" s="1"/>
      <c r="X3799" s="1"/>
    </row>
    <row x14ac:dyDescent="0.25" r="3800" customHeight="1" ht="18.75">
      <c r="A3800" s="1"/>
      <c r="B3800" s="1"/>
      <c r="C3800" s="1"/>
      <c r="D3800" s="1"/>
      <c r="E3800" s="1"/>
      <c r="F3800" s="1"/>
      <c r="G3800" s="1"/>
      <c r="H3800" s="1"/>
      <c r="I3800" s="2"/>
      <c r="J3800" s="1"/>
      <c r="K3800" s="1"/>
      <c r="L3800" s="1"/>
      <c r="M3800" s="1"/>
      <c r="N3800" s="1"/>
      <c r="O3800" s="1"/>
      <c r="P3800" s="1"/>
      <c r="Q3800" s="1"/>
      <c r="R3800" s="1"/>
      <c r="S3800" s="1"/>
      <c r="T3800" s="1"/>
      <c r="U3800" s="1"/>
      <c r="V3800" s="1"/>
      <c r="W3800" s="1"/>
      <c r="X3800" s="1"/>
    </row>
    <row x14ac:dyDescent="0.25" r="3801" customHeight="1" ht="18.75">
      <c r="A3801" s="1"/>
      <c r="B3801" s="1"/>
      <c r="C3801" s="1"/>
      <c r="D3801" s="1"/>
      <c r="E3801" s="1"/>
      <c r="F3801" s="1"/>
      <c r="G3801" s="1"/>
      <c r="H3801" s="1"/>
      <c r="I3801" s="2"/>
      <c r="J3801" s="1"/>
      <c r="K3801" s="1"/>
      <c r="L3801" s="1"/>
      <c r="M3801" s="1"/>
      <c r="N3801" s="1"/>
      <c r="O3801" s="1"/>
      <c r="P3801" s="1"/>
      <c r="Q3801" s="1"/>
      <c r="R3801" s="1"/>
      <c r="S3801" s="1"/>
      <c r="T3801" s="1"/>
      <c r="U3801" s="1"/>
      <c r="V3801" s="1"/>
      <c r="W3801" s="1"/>
      <c r="X3801" s="1"/>
    </row>
    <row x14ac:dyDescent="0.25" r="3802" customHeight="1" ht="18.75">
      <c r="A3802" s="1"/>
      <c r="B3802" s="1"/>
      <c r="C3802" s="1"/>
      <c r="D3802" s="1"/>
      <c r="E3802" s="1"/>
      <c r="F3802" s="1"/>
      <c r="G3802" s="1"/>
      <c r="H3802" s="1"/>
      <c r="I3802" s="2"/>
      <c r="J3802" s="1"/>
      <c r="K3802" s="1"/>
      <c r="L3802" s="1"/>
      <c r="M3802" s="1"/>
      <c r="N3802" s="1"/>
      <c r="O3802" s="1"/>
      <c r="P3802" s="1"/>
      <c r="Q3802" s="1"/>
      <c r="R3802" s="1"/>
      <c r="S3802" s="1"/>
      <c r="T3802" s="1"/>
      <c r="U3802" s="1"/>
      <c r="V3802" s="1"/>
      <c r="W3802" s="1"/>
      <c r="X3802" s="1"/>
    </row>
    <row x14ac:dyDescent="0.25" r="3803" customHeight="1" ht="18.75">
      <c r="A3803" s="1"/>
      <c r="B3803" s="1"/>
      <c r="C3803" s="1"/>
      <c r="D3803" s="1"/>
      <c r="E3803" s="1"/>
      <c r="F3803" s="1"/>
      <c r="G3803" s="1"/>
      <c r="H3803" s="1"/>
      <c r="I3803" s="2"/>
      <c r="J3803" s="1"/>
      <c r="K3803" s="1"/>
      <c r="L3803" s="1"/>
      <c r="M3803" s="1"/>
      <c r="N3803" s="1"/>
      <c r="O3803" s="1"/>
      <c r="P3803" s="1"/>
      <c r="Q3803" s="1"/>
      <c r="R3803" s="1"/>
      <c r="S3803" s="1"/>
      <c r="T3803" s="1"/>
      <c r="U3803" s="1"/>
      <c r="V3803" s="1"/>
      <c r="W3803" s="1"/>
      <c r="X3803" s="1"/>
    </row>
    <row x14ac:dyDescent="0.25" r="3804" customHeight="1" ht="18.75">
      <c r="A3804" s="1"/>
      <c r="B3804" s="1"/>
      <c r="C3804" s="1"/>
      <c r="D3804" s="1"/>
      <c r="E3804" s="1"/>
      <c r="F3804" s="1"/>
      <c r="G3804" s="1"/>
      <c r="H3804" s="1"/>
      <c r="I3804" s="2"/>
      <c r="J3804" s="1"/>
      <c r="K3804" s="1"/>
      <c r="L3804" s="1"/>
      <c r="M3804" s="1"/>
      <c r="N3804" s="1"/>
      <c r="O3804" s="1"/>
      <c r="P3804" s="1"/>
      <c r="Q3804" s="1"/>
      <c r="R3804" s="1"/>
      <c r="S3804" s="1"/>
      <c r="T3804" s="1"/>
      <c r="U3804" s="1"/>
      <c r="V3804" s="1"/>
      <c r="W3804" s="1"/>
      <c r="X3804" s="1"/>
    </row>
    <row x14ac:dyDescent="0.25" r="3805" customHeight="1" ht="18.75">
      <c r="A3805" s="1"/>
      <c r="B3805" s="1"/>
      <c r="C3805" s="1"/>
      <c r="D3805" s="1"/>
      <c r="E3805" s="1"/>
      <c r="F3805" s="1"/>
      <c r="G3805" s="1"/>
      <c r="H3805" s="1"/>
      <c r="I3805" s="2"/>
      <c r="J3805" s="1"/>
      <c r="K3805" s="1"/>
      <c r="L3805" s="1"/>
      <c r="M3805" s="1"/>
      <c r="N3805" s="1"/>
      <c r="O3805" s="1"/>
      <c r="P3805" s="1"/>
      <c r="Q3805" s="1"/>
      <c r="R3805" s="1"/>
      <c r="S3805" s="1"/>
      <c r="T3805" s="1"/>
      <c r="U3805" s="1"/>
      <c r="V3805" s="1"/>
      <c r="W3805" s="1"/>
      <c r="X3805" s="1"/>
    </row>
    <row x14ac:dyDescent="0.25" r="3806" customHeight="1" ht="18.75">
      <c r="A3806" s="1"/>
      <c r="B3806" s="1"/>
      <c r="C3806" s="1"/>
      <c r="D3806" s="1"/>
      <c r="E3806" s="1"/>
      <c r="F3806" s="1"/>
      <c r="G3806" s="1"/>
      <c r="H3806" s="1"/>
      <c r="I3806" s="2"/>
      <c r="J3806" s="1"/>
      <c r="K3806" s="1"/>
      <c r="L3806" s="1"/>
      <c r="M3806" s="1"/>
      <c r="N3806" s="1"/>
      <c r="O3806" s="1"/>
      <c r="P3806" s="1"/>
      <c r="Q3806" s="1"/>
      <c r="R3806" s="1"/>
      <c r="S3806" s="1"/>
      <c r="T3806" s="1"/>
      <c r="U3806" s="1"/>
      <c r="V3806" s="1"/>
      <c r="W3806" s="1"/>
      <c r="X3806" s="1"/>
    </row>
    <row x14ac:dyDescent="0.25" r="3807" customHeight="1" ht="18.75">
      <c r="A3807" s="1"/>
      <c r="B3807" s="1"/>
      <c r="C3807" s="1"/>
      <c r="D3807" s="1"/>
      <c r="E3807" s="1"/>
      <c r="F3807" s="1"/>
      <c r="G3807" s="1"/>
      <c r="H3807" s="1"/>
      <c r="I3807" s="2"/>
      <c r="J3807" s="1"/>
      <c r="K3807" s="1"/>
      <c r="L3807" s="1"/>
      <c r="M3807" s="1"/>
      <c r="N3807" s="1"/>
      <c r="O3807" s="1"/>
      <c r="P3807" s="1"/>
      <c r="Q3807" s="1"/>
      <c r="R3807" s="1"/>
      <c r="S3807" s="1"/>
      <c r="T3807" s="1"/>
      <c r="U3807" s="1"/>
      <c r="V3807" s="1"/>
      <c r="W3807" s="1"/>
      <c r="X3807" s="1"/>
    </row>
    <row x14ac:dyDescent="0.25" r="3808" customHeight="1" ht="18.75">
      <c r="A3808" s="1"/>
      <c r="B3808" s="1"/>
      <c r="C3808" s="1"/>
      <c r="D3808" s="1"/>
      <c r="E3808" s="1"/>
      <c r="F3808" s="1"/>
      <c r="G3808" s="1"/>
      <c r="H3808" s="1"/>
      <c r="I3808" s="2"/>
      <c r="J3808" s="1"/>
      <c r="K3808" s="1"/>
      <c r="L3808" s="1"/>
      <c r="M3808" s="1"/>
      <c r="N3808" s="1"/>
      <c r="O3808" s="1"/>
      <c r="P3808" s="1"/>
      <c r="Q3808" s="1"/>
      <c r="R3808" s="1"/>
      <c r="S3808" s="1"/>
      <c r="T3808" s="1"/>
      <c r="U3808" s="1"/>
      <c r="V3808" s="1"/>
      <c r="W3808" s="1"/>
      <c r="X3808" s="1"/>
    </row>
    <row x14ac:dyDescent="0.25" r="3809" customHeight="1" ht="18.75">
      <c r="A3809" s="1"/>
      <c r="B3809" s="1"/>
      <c r="C3809" s="1"/>
      <c r="D3809" s="1"/>
      <c r="E3809" s="1"/>
      <c r="F3809" s="1"/>
      <c r="G3809" s="1"/>
      <c r="H3809" s="1"/>
      <c r="I3809" s="2"/>
      <c r="J3809" s="1"/>
      <c r="K3809" s="1"/>
      <c r="L3809" s="1"/>
      <c r="M3809" s="1"/>
      <c r="N3809" s="1"/>
      <c r="O3809" s="1"/>
      <c r="P3809" s="1"/>
      <c r="Q3809" s="1"/>
      <c r="R3809" s="1"/>
      <c r="S3809" s="1"/>
      <c r="T3809" s="1"/>
      <c r="U3809" s="1"/>
      <c r="V3809" s="1"/>
      <c r="W3809" s="1"/>
      <c r="X3809" s="1"/>
    </row>
    <row x14ac:dyDescent="0.25" r="3810" customHeight="1" ht="18.75">
      <c r="A3810" s="1"/>
      <c r="B3810" s="1"/>
      <c r="C3810" s="1"/>
      <c r="D3810" s="1"/>
      <c r="E3810" s="1"/>
      <c r="F3810" s="1"/>
      <c r="G3810" s="1"/>
      <c r="H3810" s="1"/>
      <c r="I3810" s="2"/>
      <c r="J3810" s="1"/>
      <c r="K3810" s="1"/>
      <c r="L3810" s="1"/>
      <c r="M3810" s="1"/>
      <c r="N3810" s="1"/>
      <c r="O3810" s="1"/>
      <c r="P3810" s="1"/>
      <c r="Q3810" s="1"/>
      <c r="R3810" s="1"/>
      <c r="S3810" s="1"/>
      <c r="T3810" s="1"/>
      <c r="U3810" s="1"/>
      <c r="V3810" s="1"/>
      <c r="W3810" s="1"/>
      <c r="X3810" s="1"/>
    </row>
    <row x14ac:dyDescent="0.25" r="3811" customHeight="1" ht="18.75">
      <c r="A3811" s="1"/>
      <c r="B3811" s="1"/>
      <c r="C3811" s="1"/>
      <c r="D3811" s="1"/>
      <c r="E3811" s="1"/>
      <c r="F3811" s="1"/>
      <c r="G3811" s="1"/>
      <c r="H3811" s="1"/>
      <c r="I3811" s="2"/>
      <c r="J3811" s="1"/>
      <c r="K3811" s="1"/>
      <c r="L3811" s="1"/>
      <c r="M3811" s="1"/>
      <c r="N3811" s="1"/>
      <c r="O3811" s="1"/>
      <c r="P3811" s="1"/>
      <c r="Q3811" s="1"/>
      <c r="R3811" s="1"/>
      <c r="S3811" s="1"/>
      <c r="T3811" s="1"/>
      <c r="U3811" s="1"/>
      <c r="V3811" s="1"/>
      <c r="W3811" s="1"/>
      <c r="X3811" s="1"/>
    </row>
    <row x14ac:dyDescent="0.25" r="3812" customHeight="1" ht="18.75">
      <c r="A3812" s="1"/>
      <c r="B3812" s="1"/>
      <c r="C3812" s="1"/>
      <c r="D3812" s="1"/>
      <c r="E3812" s="1"/>
      <c r="F3812" s="1"/>
      <c r="G3812" s="1"/>
      <c r="H3812" s="1"/>
      <c r="I3812" s="2"/>
      <c r="J3812" s="1"/>
      <c r="K3812" s="1"/>
      <c r="L3812" s="1"/>
      <c r="M3812" s="1"/>
      <c r="N3812" s="1"/>
      <c r="O3812" s="1"/>
      <c r="P3812" s="1"/>
      <c r="Q3812" s="1"/>
      <c r="R3812" s="1"/>
      <c r="S3812" s="1"/>
      <c r="T3812" s="1"/>
      <c r="U3812" s="1"/>
      <c r="V3812" s="1"/>
      <c r="W3812" s="1"/>
      <c r="X3812" s="1"/>
    </row>
    <row x14ac:dyDescent="0.25" r="3813" customHeight="1" ht="18.75">
      <c r="A3813" s="1"/>
      <c r="B3813" s="1"/>
      <c r="C3813" s="1"/>
      <c r="D3813" s="1"/>
      <c r="E3813" s="1"/>
      <c r="F3813" s="1"/>
      <c r="G3813" s="1"/>
      <c r="H3813" s="1"/>
      <c r="I3813" s="2"/>
      <c r="J3813" s="1"/>
      <c r="K3813" s="1"/>
      <c r="L3813" s="1"/>
      <c r="M3813" s="1"/>
      <c r="N3813" s="1"/>
      <c r="O3813" s="1"/>
      <c r="P3813" s="1"/>
      <c r="Q3813" s="1"/>
      <c r="R3813" s="1"/>
      <c r="S3813" s="1"/>
      <c r="T3813" s="1"/>
      <c r="U3813" s="1"/>
      <c r="V3813" s="1"/>
      <c r="W3813" s="1"/>
      <c r="X3813" s="1"/>
    </row>
    <row x14ac:dyDescent="0.25" r="3814" customHeight="1" ht="18.75">
      <c r="A3814" s="1"/>
      <c r="B3814" s="1"/>
      <c r="C3814" s="1"/>
      <c r="D3814" s="1"/>
      <c r="E3814" s="1"/>
      <c r="F3814" s="1"/>
      <c r="G3814" s="1"/>
      <c r="H3814" s="1"/>
      <c r="I3814" s="2"/>
      <c r="J3814" s="1"/>
      <c r="K3814" s="1"/>
      <c r="L3814" s="1"/>
      <c r="M3814" s="1"/>
      <c r="N3814" s="1"/>
      <c r="O3814" s="1"/>
      <c r="P3814" s="1"/>
      <c r="Q3814" s="1"/>
      <c r="R3814" s="1"/>
      <c r="S3814" s="1"/>
      <c r="T3814" s="1"/>
      <c r="U3814" s="1"/>
      <c r="V3814" s="1"/>
      <c r="W3814" s="1"/>
      <c r="X3814" s="1"/>
    </row>
    <row x14ac:dyDescent="0.25" r="3815" customHeight="1" ht="18.75">
      <c r="A3815" s="1"/>
      <c r="B3815" s="1"/>
      <c r="C3815" s="1"/>
      <c r="D3815" s="1"/>
      <c r="E3815" s="1"/>
      <c r="F3815" s="1"/>
      <c r="G3815" s="1"/>
      <c r="H3815" s="1"/>
      <c r="I3815" s="2"/>
      <c r="J3815" s="1"/>
      <c r="K3815" s="1"/>
      <c r="L3815" s="1"/>
      <c r="M3815" s="1"/>
      <c r="N3815" s="1"/>
      <c r="O3815" s="1"/>
      <c r="P3815" s="1"/>
      <c r="Q3815" s="1"/>
      <c r="R3815" s="1"/>
      <c r="S3815" s="1"/>
      <c r="T3815" s="1"/>
      <c r="U3815" s="1"/>
      <c r="V3815" s="1"/>
      <c r="W3815" s="1"/>
      <c r="X3815" s="1"/>
    </row>
    <row x14ac:dyDescent="0.25" r="3816" customHeight="1" ht="18.75">
      <c r="A3816" s="1"/>
      <c r="B3816" s="1"/>
      <c r="C3816" s="1"/>
      <c r="D3816" s="1"/>
      <c r="E3816" s="1"/>
      <c r="F3816" s="1"/>
      <c r="G3816" s="1"/>
      <c r="H3816" s="1"/>
      <c r="I3816" s="2"/>
      <c r="J3816" s="1"/>
      <c r="K3816" s="1"/>
      <c r="L3816" s="1"/>
      <c r="M3816" s="1"/>
      <c r="N3816" s="1"/>
      <c r="O3816" s="1"/>
      <c r="P3816" s="1"/>
      <c r="Q3816" s="1"/>
      <c r="R3816" s="1"/>
      <c r="S3816" s="1"/>
      <c r="T3816" s="1"/>
      <c r="U3816" s="1"/>
      <c r="V3816" s="1"/>
      <c r="W3816" s="1"/>
      <c r="X3816" s="1"/>
    </row>
    <row x14ac:dyDescent="0.25" r="3817" customHeight="1" ht="18.75">
      <c r="A3817" s="1"/>
      <c r="B3817" s="1"/>
      <c r="C3817" s="1"/>
      <c r="D3817" s="1"/>
      <c r="E3817" s="1"/>
      <c r="F3817" s="1"/>
      <c r="G3817" s="1"/>
      <c r="H3817" s="1"/>
      <c r="I3817" s="2"/>
      <c r="J3817" s="1"/>
      <c r="K3817" s="1"/>
      <c r="L3817" s="1"/>
      <c r="M3817" s="1"/>
      <c r="N3817" s="1"/>
      <c r="O3817" s="1"/>
      <c r="P3817" s="1"/>
      <c r="Q3817" s="1"/>
      <c r="R3817" s="1"/>
      <c r="S3817" s="1"/>
      <c r="T3817" s="1"/>
      <c r="U3817" s="1"/>
      <c r="V3817" s="1"/>
      <c r="W3817" s="1"/>
      <c r="X3817" s="1"/>
    </row>
    <row x14ac:dyDescent="0.25" r="3818" customHeight="1" ht="18.75">
      <c r="A3818" s="1"/>
      <c r="B3818" s="1"/>
      <c r="C3818" s="1"/>
      <c r="D3818" s="1"/>
      <c r="E3818" s="1"/>
      <c r="F3818" s="1"/>
      <c r="G3818" s="1"/>
      <c r="H3818" s="1"/>
      <c r="I3818" s="2"/>
      <c r="J3818" s="1"/>
      <c r="K3818" s="1"/>
      <c r="L3818" s="1"/>
      <c r="M3818" s="1"/>
      <c r="N3818" s="1"/>
      <c r="O3818" s="1"/>
      <c r="P3818" s="1"/>
      <c r="Q3818" s="1"/>
      <c r="R3818" s="1"/>
      <c r="S3818" s="1"/>
      <c r="T3818" s="1"/>
      <c r="U3818" s="1"/>
      <c r="V3818" s="1"/>
      <c r="W3818" s="1"/>
      <c r="X3818" s="1"/>
    </row>
    <row x14ac:dyDescent="0.25" r="3819" customHeight="1" ht="18.75">
      <c r="A3819" s="1"/>
      <c r="B3819" s="1"/>
      <c r="C3819" s="1"/>
      <c r="D3819" s="1"/>
      <c r="E3819" s="1"/>
      <c r="F3819" s="1"/>
      <c r="G3819" s="1"/>
      <c r="H3819" s="1"/>
      <c r="I3819" s="2"/>
      <c r="J3819" s="1"/>
      <c r="K3819" s="1"/>
      <c r="L3819" s="1"/>
      <c r="M3819" s="1"/>
      <c r="N3819" s="1"/>
      <c r="O3819" s="1"/>
      <c r="P3819" s="1"/>
      <c r="Q3819" s="1"/>
      <c r="R3819" s="1"/>
      <c r="S3819" s="1"/>
      <c r="T3819" s="1"/>
      <c r="U3819" s="1"/>
      <c r="V3819" s="1"/>
      <c r="W3819" s="1"/>
      <c r="X3819" s="1"/>
    </row>
    <row x14ac:dyDescent="0.25" r="3820" customHeight="1" ht="18.75">
      <c r="A3820" s="1"/>
      <c r="B3820" s="1"/>
      <c r="C3820" s="1"/>
      <c r="D3820" s="1"/>
      <c r="E3820" s="1"/>
      <c r="F3820" s="1"/>
      <c r="G3820" s="1"/>
      <c r="H3820" s="1"/>
      <c r="I3820" s="2"/>
      <c r="J3820" s="1"/>
      <c r="K3820" s="1"/>
      <c r="L3820" s="1"/>
      <c r="M3820" s="1"/>
      <c r="N3820" s="1"/>
      <c r="O3820" s="1"/>
      <c r="P3820" s="1"/>
      <c r="Q3820" s="1"/>
      <c r="R3820" s="1"/>
      <c r="S3820" s="1"/>
      <c r="T3820" s="1"/>
      <c r="U3820" s="1"/>
      <c r="V3820" s="1"/>
      <c r="W3820" s="1"/>
      <c r="X3820" s="1"/>
    </row>
    <row x14ac:dyDescent="0.25" r="3821" customHeight="1" ht="18.75">
      <c r="A3821" s="1"/>
      <c r="B3821" s="1"/>
      <c r="C3821" s="1"/>
      <c r="D3821" s="1"/>
      <c r="E3821" s="1"/>
      <c r="F3821" s="1"/>
      <c r="G3821" s="1"/>
      <c r="H3821" s="1"/>
      <c r="I3821" s="2"/>
      <c r="J3821" s="1"/>
      <c r="K3821" s="1"/>
      <c r="L3821" s="1"/>
      <c r="M3821" s="1"/>
      <c r="N3821" s="1"/>
      <c r="O3821" s="1"/>
      <c r="P3821" s="1"/>
      <c r="Q3821" s="1"/>
      <c r="R3821" s="1"/>
      <c r="S3821" s="1"/>
      <c r="T3821" s="1"/>
      <c r="U3821" s="1"/>
      <c r="V3821" s="1"/>
      <c r="W3821" s="1"/>
      <c r="X3821" s="1"/>
    </row>
    <row x14ac:dyDescent="0.25" r="3822" customHeight="1" ht="18.75">
      <c r="A3822" s="1"/>
      <c r="B3822" s="1"/>
      <c r="C3822" s="1"/>
      <c r="D3822" s="1"/>
      <c r="E3822" s="1"/>
      <c r="F3822" s="1"/>
      <c r="G3822" s="1"/>
      <c r="H3822" s="1"/>
      <c r="I3822" s="2"/>
      <c r="J3822" s="1"/>
      <c r="K3822" s="1"/>
      <c r="L3822" s="1"/>
      <c r="M3822" s="1"/>
      <c r="N3822" s="1"/>
      <c r="O3822" s="1"/>
      <c r="P3822" s="1"/>
      <c r="Q3822" s="1"/>
      <c r="R3822" s="1"/>
      <c r="S3822" s="1"/>
      <c r="T3822" s="1"/>
      <c r="U3822" s="1"/>
      <c r="V3822" s="1"/>
      <c r="W3822" s="1"/>
      <c r="X3822" s="1"/>
    </row>
    <row x14ac:dyDescent="0.25" r="3823" customHeight="1" ht="18.75">
      <c r="A3823" s="1"/>
      <c r="B3823" s="1"/>
      <c r="C3823" s="1"/>
      <c r="D3823" s="1"/>
      <c r="E3823" s="1"/>
      <c r="F3823" s="1"/>
      <c r="G3823" s="1"/>
      <c r="H3823" s="1"/>
      <c r="I3823" s="2"/>
      <c r="J3823" s="1"/>
      <c r="K3823" s="1"/>
      <c r="L3823" s="1"/>
      <c r="M3823" s="1"/>
      <c r="N3823" s="1"/>
      <c r="O3823" s="1"/>
      <c r="P3823" s="1"/>
      <c r="Q3823" s="1"/>
      <c r="R3823" s="1"/>
      <c r="S3823" s="1"/>
      <c r="T3823" s="1"/>
      <c r="U3823" s="1"/>
      <c r="V3823" s="1"/>
      <c r="W3823" s="1"/>
      <c r="X3823" s="1"/>
    </row>
    <row x14ac:dyDescent="0.25" r="3824" customHeight="1" ht="18.75">
      <c r="A3824" s="1"/>
      <c r="B3824" s="1"/>
      <c r="C3824" s="1"/>
      <c r="D3824" s="1"/>
      <c r="E3824" s="1"/>
      <c r="F3824" s="1"/>
      <c r="G3824" s="1"/>
      <c r="H3824" s="1"/>
      <c r="I3824" s="2"/>
      <c r="J3824" s="1"/>
      <c r="K3824" s="1"/>
      <c r="L3824" s="1"/>
      <c r="M3824" s="1"/>
      <c r="N3824" s="1"/>
      <c r="O3824" s="1"/>
      <c r="P3824" s="1"/>
      <c r="Q3824" s="1"/>
      <c r="R3824" s="1"/>
      <c r="S3824" s="1"/>
      <c r="T3824" s="1"/>
      <c r="U3824" s="1"/>
      <c r="V3824" s="1"/>
      <c r="W3824" s="1"/>
      <c r="X3824" s="1"/>
    </row>
    <row x14ac:dyDescent="0.25" r="3825" customHeight="1" ht="18.75">
      <c r="A3825" s="1"/>
      <c r="B3825" s="1"/>
      <c r="C3825" s="1"/>
      <c r="D3825" s="1"/>
      <c r="E3825" s="1"/>
      <c r="F3825" s="1"/>
      <c r="G3825" s="1"/>
      <c r="H3825" s="1"/>
      <c r="I3825" s="2"/>
      <c r="J3825" s="1"/>
      <c r="K3825" s="1"/>
      <c r="L3825" s="1"/>
      <c r="M3825" s="1"/>
      <c r="N3825" s="1"/>
      <c r="O3825" s="1"/>
      <c r="P3825" s="1"/>
      <c r="Q3825" s="1"/>
      <c r="R3825" s="1"/>
      <c r="S3825" s="1"/>
      <c r="T3825" s="1"/>
      <c r="U3825" s="1"/>
      <c r="V3825" s="1"/>
      <c r="W3825" s="1"/>
      <c r="X3825" s="1"/>
    </row>
    <row x14ac:dyDescent="0.25" r="3826" customHeight="1" ht="18.75">
      <c r="A3826" s="1"/>
      <c r="B3826" s="1"/>
      <c r="C3826" s="1"/>
      <c r="D3826" s="1"/>
      <c r="E3826" s="1"/>
      <c r="F3826" s="1"/>
      <c r="G3826" s="1"/>
      <c r="H3826" s="1"/>
      <c r="I3826" s="2"/>
      <c r="J3826" s="1"/>
      <c r="K3826" s="1"/>
      <c r="L3826" s="1"/>
      <c r="M3826" s="1"/>
      <c r="N3826" s="1"/>
      <c r="O3826" s="1"/>
      <c r="P3826" s="1"/>
      <c r="Q3826" s="1"/>
      <c r="R3826" s="1"/>
      <c r="S3826" s="1"/>
      <c r="T3826" s="1"/>
      <c r="U3826" s="1"/>
      <c r="V3826" s="1"/>
      <c r="W3826" s="1"/>
      <c r="X3826" s="1"/>
    </row>
    <row x14ac:dyDescent="0.25" r="3827" customHeight="1" ht="18.75">
      <c r="A3827" s="1"/>
      <c r="B3827" s="1"/>
      <c r="C3827" s="1"/>
      <c r="D3827" s="1"/>
      <c r="E3827" s="1"/>
      <c r="F3827" s="1"/>
      <c r="G3827" s="1"/>
      <c r="H3827" s="1"/>
      <c r="I3827" s="2"/>
      <c r="J3827" s="1"/>
      <c r="K3827" s="1"/>
      <c r="L3827" s="1"/>
      <c r="M3827" s="1"/>
      <c r="N3827" s="1"/>
      <c r="O3827" s="1"/>
      <c r="P3827" s="1"/>
      <c r="Q3827" s="1"/>
      <c r="R3827" s="1"/>
      <c r="S3827" s="1"/>
      <c r="T3827" s="1"/>
      <c r="U3827" s="1"/>
      <c r="V3827" s="1"/>
      <c r="W3827" s="1"/>
      <c r="X3827" s="1"/>
    </row>
    <row x14ac:dyDescent="0.25" r="3828" customHeight="1" ht="18.75">
      <c r="A3828" s="1"/>
      <c r="B3828" s="1"/>
      <c r="C3828" s="1"/>
      <c r="D3828" s="1"/>
      <c r="E3828" s="1"/>
      <c r="F3828" s="1"/>
      <c r="G3828" s="1"/>
      <c r="H3828" s="1"/>
      <c r="I3828" s="2"/>
      <c r="J3828" s="1"/>
      <c r="K3828" s="1"/>
      <c r="L3828" s="1"/>
      <c r="M3828" s="1"/>
      <c r="N3828" s="1"/>
      <c r="O3828" s="1"/>
      <c r="P3828" s="1"/>
      <c r="Q3828" s="1"/>
      <c r="R3828" s="1"/>
      <c r="S3828" s="1"/>
      <c r="T3828" s="1"/>
      <c r="U3828" s="1"/>
      <c r="V3828" s="1"/>
      <c r="W3828" s="1"/>
      <c r="X3828" s="1"/>
    </row>
    <row x14ac:dyDescent="0.25" r="3829" customHeight="1" ht="18.75">
      <c r="A3829" s="1"/>
      <c r="B3829" s="1"/>
      <c r="C3829" s="1"/>
      <c r="D3829" s="1"/>
      <c r="E3829" s="1"/>
      <c r="F3829" s="1"/>
      <c r="G3829" s="1"/>
      <c r="H3829" s="1"/>
      <c r="I3829" s="2"/>
      <c r="J3829" s="1"/>
      <c r="K3829" s="1"/>
      <c r="L3829" s="1"/>
      <c r="M3829" s="1"/>
      <c r="N3829" s="1"/>
      <c r="O3829" s="1"/>
      <c r="P3829" s="1"/>
      <c r="Q3829" s="1"/>
      <c r="R3829" s="1"/>
      <c r="S3829" s="1"/>
      <c r="T3829" s="1"/>
      <c r="U3829" s="1"/>
      <c r="V3829" s="1"/>
      <c r="W3829" s="1"/>
      <c r="X3829" s="1"/>
    </row>
    <row x14ac:dyDescent="0.25" r="3830" customHeight="1" ht="18.75">
      <c r="A3830" s="1"/>
      <c r="B3830" s="1"/>
      <c r="C3830" s="1"/>
      <c r="D3830" s="1"/>
      <c r="E3830" s="1"/>
      <c r="F3830" s="1"/>
      <c r="G3830" s="1"/>
      <c r="H3830" s="1"/>
      <c r="I3830" s="2"/>
      <c r="J3830" s="1"/>
      <c r="K3830" s="1"/>
      <c r="L3830" s="1"/>
      <c r="M3830" s="1"/>
      <c r="N3830" s="1"/>
      <c r="O3830" s="1"/>
      <c r="P3830" s="1"/>
      <c r="Q3830" s="1"/>
      <c r="R3830" s="1"/>
      <c r="S3830" s="1"/>
      <c r="T3830" s="1"/>
      <c r="U3830" s="1"/>
      <c r="V3830" s="1"/>
      <c r="W3830" s="1"/>
      <c r="X3830" s="1"/>
    </row>
    <row x14ac:dyDescent="0.25" r="3831" customHeight="1" ht="18.75">
      <c r="A3831" s="1"/>
      <c r="B3831" s="1"/>
      <c r="C3831" s="1"/>
      <c r="D3831" s="1"/>
      <c r="E3831" s="1"/>
      <c r="F3831" s="1"/>
      <c r="G3831" s="1"/>
      <c r="H3831" s="1"/>
      <c r="I3831" s="2"/>
      <c r="J3831" s="1"/>
      <c r="K3831" s="1"/>
      <c r="L3831" s="1"/>
      <c r="M3831" s="1"/>
      <c r="N3831" s="1"/>
      <c r="O3831" s="1"/>
      <c r="P3831" s="1"/>
      <c r="Q3831" s="1"/>
      <c r="R3831" s="1"/>
      <c r="S3831" s="1"/>
      <c r="T3831" s="1"/>
      <c r="U3831" s="1"/>
      <c r="V3831" s="1"/>
      <c r="W3831" s="1"/>
      <c r="X3831" s="1"/>
    </row>
    <row x14ac:dyDescent="0.25" r="3832" customHeight="1" ht="18.75">
      <c r="A3832" s="1"/>
      <c r="B3832" s="1"/>
      <c r="C3832" s="1"/>
      <c r="D3832" s="1"/>
      <c r="E3832" s="1"/>
      <c r="F3832" s="1"/>
      <c r="G3832" s="1"/>
      <c r="H3832" s="1"/>
      <c r="I3832" s="2"/>
      <c r="J3832" s="1"/>
      <c r="K3832" s="1"/>
      <c r="L3832" s="1"/>
      <c r="M3832" s="1"/>
      <c r="N3832" s="1"/>
      <c r="O3832" s="1"/>
      <c r="P3832" s="1"/>
      <c r="Q3832" s="1"/>
      <c r="R3832" s="1"/>
      <c r="S3832" s="1"/>
      <c r="T3832" s="1"/>
      <c r="U3832" s="1"/>
      <c r="V3832" s="1"/>
      <c r="W3832" s="1"/>
      <c r="X3832" s="1"/>
    </row>
    <row x14ac:dyDescent="0.25" r="3833" customHeight="1" ht="18.75">
      <c r="A3833" s="1"/>
      <c r="B3833" s="1"/>
      <c r="C3833" s="1"/>
      <c r="D3833" s="1"/>
      <c r="E3833" s="1"/>
      <c r="F3833" s="1"/>
      <c r="G3833" s="1"/>
      <c r="H3833" s="1"/>
      <c r="I3833" s="2"/>
      <c r="J3833" s="1"/>
      <c r="K3833" s="1"/>
      <c r="L3833" s="1"/>
      <c r="M3833" s="1"/>
      <c r="N3833" s="1"/>
      <c r="O3833" s="1"/>
      <c r="P3833" s="1"/>
      <c r="Q3833" s="1"/>
      <c r="R3833" s="1"/>
      <c r="S3833" s="1"/>
      <c r="T3833" s="1"/>
      <c r="U3833" s="1"/>
      <c r="V3833" s="1"/>
      <c r="W3833" s="1"/>
      <c r="X3833" s="1"/>
    </row>
    <row x14ac:dyDescent="0.25" r="3834" customHeight="1" ht="18.75">
      <c r="A3834" s="1"/>
      <c r="B3834" s="1"/>
      <c r="C3834" s="1"/>
      <c r="D3834" s="1"/>
      <c r="E3834" s="1"/>
      <c r="F3834" s="1"/>
      <c r="G3834" s="1"/>
      <c r="H3834" s="1"/>
      <c r="I3834" s="2"/>
      <c r="J3834" s="1"/>
      <c r="K3834" s="1"/>
      <c r="L3834" s="1"/>
      <c r="M3834" s="1"/>
      <c r="N3834" s="1"/>
      <c r="O3834" s="1"/>
      <c r="P3834" s="1"/>
      <c r="Q3834" s="1"/>
      <c r="R3834" s="1"/>
      <c r="S3834" s="1"/>
      <c r="T3834" s="1"/>
      <c r="U3834" s="1"/>
      <c r="V3834" s="1"/>
      <c r="W3834" s="1"/>
      <c r="X3834" s="1"/>
    </row>
    <row x14ac:dyDescent="0.25" r="3835" customHeight="1" ht="18.75">
      <c r="A3835" s="1"/>
      <c r="B3835" s="1"/>
      <c r="C3835" s="1"/>
      <c r="D3835" s="1"/>
      <c r="E3835" s="1"/>
      <c r="F3835" s="1"/>
      <c r="G3835" s="1"/>
      <c r="H3835" s="1"/>
      <c r="I3835" s="2"/>
      <c r="J3835" s="1"/>
      <c r="K3835" s="1"/>
      <c r="L3835" s="1"/>
      <c r="M3835" s="1"/>
      <c r="N3835" s="1"/>
      <c r="O3835" s="1"/>
      <c r="P3835" s="1"/>
      <c r="Q3835" s="1"/>
      <c r="R3835" s="1"/>
      <c r="S3835" s="1"/>
      <c r="T3835" s="1"/>
      <c r="U3835" s="1"/>
      <c r="V3835" s="1"/>
      <c r="W3835" s="1"/>
      <c r="X3835" s="1"/>
    </row>
    <row x14ac:dyDescent="0.25" r="3836" customHeight="1" ht="18.75">
      <c r="A3836" s="1"/>
      <c r="B3836" s="1"/>
      <c r="C3836" s="1"/>
      <c r="D3836" s="1"/>
      <c r="E3836" s="1"/>
      <c r="F3836" s="1"/>
      <c r="G3836" s="1"/>
      <c r="H3836" s="1"/>
      <c r="I3836" s="2"/>
      <c r="J3836" s="1"/>
      <c r="K3836" s="1"/>
      <c r="L3836" s="1"/>
      <c r="M3836" s="1"/>
      <c r="N3836" s="1"/>
      <c r="O3836" s="1"/>
      <c r="P3836" s="1"/>
      <c r="Q3836" s="1"/>
      <c r="R3836" s="1"/>
      <c r="S3836" s="1"/>
      <c r="T3836" s="1"/>
      <c r="U3836" s="1"/>
      <c r="V3836" s="1"/>
      <c r="W3836" s="1"/>
      <c r="X3836" s="1"/>
    </row>
    <row x14ac:dyDescent="0.25" r="3837" customHeight="1" ht="18.75">
      <c r="A3837" s="1"/>
      <c r="B3837" s="1"/>
      <c r="C3837" s="1"/>
      <c r="D3837" s="1"/>
      <c r="E3837" s="1"/>
      <c r="F3837" s="1"/>
      <c r="G3837" s="1"/>
      <c r="H3837" s="1"/>
      <c r="I3837" s="2"/>
      <c r="J3837" s="1"/>
      <c r="K3837" s="1"/>
      <c r="L3837" s="1"/>
      <c r="M3837" s="1"/>
      <c r="N3837" s="1"/>
      <c r="O3837" s="1"/>
      <c r="P3837" s="1"/>
      <c r="Q3837" s="1"/>
      <c r="R3837" s="1"/>
      <c r="S3837" s="1"/>
      <c r="T3837" s="1"/>
      <c r="U3837" s="1"/>
      <c r="V3837" s="1"/>
      <c r="W3837" s="1"/>
      <c r="X3837" s="1"/>
    </row>
    <row x14ac:dyDescent="0.25" r="3838" customHeight="1" ht="18.75">
      <c r="A3838" s="1"/>
      <c r="B3838" s="1"/>
      <c r="C3838" s="1"/>
      <c r="D3838" s="1"/>
      <c r="E3838" s="1"/>
      <c r="F3838" s="1"/>
      <c r="G3838" s="1"/>
      <c r="H3838" s="1"/>
      <c r="I3838" s="2"/>
      <c r="J3838" s="1"/>
      <c r="K3838" s="1"/>
      <c r="L3838" s="1"/>
      <c r="M3838" s="1"/>
      <c r="N3838" s="1"/>
      <c r="O3838" s="1"/>
      <c r="P3838" s="1"/>
      <c r="Q3838" s="1"/>
      <c r="R3838" s="1"/>
      <c r="S3838" s="1"/>
      <c r="T3838" s="1"/>
      <c r="U3838" s="1"/>
      <c r="V3838" s="1"/>
      <c r="W3838" s="1"/>
      <c r="X3838" s="1"/>
    </row>
    <row x14ac:dyDescent="0.25" r="3839" customHeight="1" ht="18.75">
      <c r="A3839" s="1"/>
      <c r="B3839" s="1"/>
      <c r="C3839" s="1"/>
      <c r="D3839" s="1"/>
      <c r="E3839" s="1"/>
      <c r="F3839" s="1"/>
      <c r="G3839" s="1"/>
      <c r="H3839" s="1"/>
      <c r="I3839" s="2"/>
      <c r="J3839" s="1"/>
      <c r="K3839" s="1"/>
      <c r="L3839" s="1"/>
      <c r="M3839" s="1"/>
      <c r="N3839" s="1"/>
      <c r="O3839" s="1"/>
      <c r="P3839" s="1"/>
      <c r="Q3839" s="1"/>
      <c r="R3839" s="1"/>
      <c r="S3839" s="1"/>
      <c r="T3839" s="1"/>
      <c r="U3839" s="1"/>
      <c r="V3839" s="1"/>
      <c r="W3839" s="1"/>
      <c r="X3839" s="1"/>
    </row>
    <row x14ac:dyDescent="0.25" r="3840" customHeight="1" ht="18.75">
      <c r="A3840" s="1"/>
      <c r="B3840" s="1"/>
      <c r="C3840" s="1"/>
      <c r="D3840" s="1"/>
      <c r="E3840" s="1"/>
      <c r="F3840" s="1"/>
      <c r="G3840" s="1"/>
      <c r="H3840" s="1"/>
      <c r="I3840" s="2"/>
      <c r="J3840" s="1"/>
      <c r="K3840" s="1"/>
      <c r="L3840" s="1"/>
      <c r="M3840" s="1"/>
      <c r="N3840" s="1"/>
      <c r="O3840" s="1"/>
      <c r="P3840" s="1"/>
      <c r="Q3840" s="1"/>
      <c r="R3840" s="1"/>
      <c r="S3840" s="1"/>
      <c r="T3840" s="1"/>
      <c r="U3840" s="1"/>
      <c r="V3840" s="1"/>
      <c r="W3840" s="1"/>
      <c r="X3840" s="1"/>
    </row>
    <row x14ac:dyDescent="0.25" r="3841" customHeight="1" ht="18.75">
      <c r="A3841" s="1"/>
      <c r="B3841" s="1"/>
      <c r="C3841" s="1"/>
      <c r="D3841" s="1"/>
      <c r="E3841" s="1"/>
      <c r="F3841" s="1"/>
      <c r="G3841" s="1"/>
      <c r="H3841" s="1"/>
      <c r="I3841" s="2"/>
      <c r="J3841" s="1"/>
      <c r="K3841" s="1"/>
      <c r="L3841" s="1"/>
      <c r="M3841" s="1"/>
      <c r="N3841" s="1"/>
      <c r="O3841" s="1"/>
      <c r="P3841" s="1"/>
      <c r="Q3841" s="1"/>
      <c r="R3841" s="1"/>
      <c r="S3841" s="1"/>
      <c r="T3841" s="1"/>
      <c r="U3841" s="1"/>
      <c r="V3841" s="1"/>
      <c r="W3841" s="1"/>
      <c r="X3841" s="1"/>
    </row>
    <row x14ac:dyDescent="0.25" r="3842" customHeight="1" ht="18.75">
      <c r="A3842" s="1"/>
      <c r="B3842" s="1"/>
      <c r="C3842" s="1"/>
      <c r="D3842" s="1"/>
      <c r="E3842" s="1"/>
      <c r="F3842" s="1"/>
      <c r="G3842" s="1"/>
      <c r="H3842" s="1"/>
      <c r="I3842" s="2"/>
      <c r="J3842" s="1"/>
      <c r="K3842" s="1"/>
      <c r="L3842" s="1"/>
      <c r="M3842" s="1"/>
      <c r="N3842" s="1"/>
      <c r="O3842" s="1"/>
      <c r="P3842" s="1"/>
      <c r="Q3842" s="1"/>
      <c r="R3842" s="1"/>
      <c r="S3842" s="1"/>
      <c r="T3842" s="1"/>
      <c r="U3842" s="1"/>
      <c r="V3842" s="1"/>
      <c r="W3842" s="1"/>
      <c r="X3842" s="1"/>
    </row>
    <row x14ac:dyDescent="0.25" r="3843" customHeight="1" ht="18.75">
      <c r="A3843" s="1"/>
      <c r="B3843" s="1"/>
      <c r="C3843" s="1"/>
      <c r="D3843" s="1"/>
      <c r="E3843" s="1"/>
      <c r="F3843" s="1"/>
      <c r="G3843" s="1"/>
      <c r="H3843" s="1"/>
      <c r="I3843" s="2"/>
      <c r="J3843" s="1"/>
      <c r="K3843" s="1"/>
      <c r="L3843" s="1"/>
      <c r="M3843" s="1"/>
      <c r="N3843" s="1"/>
      <c r="O3843" s="1"/>
      <c r="P3843" s="1"/>
      <c r="Q3843" s="1"/>
      <c r="R3843" s="1"/>
      <c r="S3843" s="1"/>
      <c r="T3843" s="1"/>
      <c r="U3843" s="1"/>
      <c r="V3843" s="1"/>
      <c r="W3843" s="1"/>
      <c r="X3843" s="1"/>
    </row>
    <row x14ac:dyDescent="0.25" r="3844" customHeight="1" ht="18.75">
      <c r="A3844" s="1"/>
      <c r="B3844" s="1"/>
      <c r="C3844" s="1"/>
      <c r="D3844" s="1"/>
      <c r="E3844" s="1"/>
      <c r="F3844" s="1"/>
      <c r="G3844" s="1"/>
      <c r="H3844" s="1"/>
      <c r="I3844" s="2"/>
      <c r="J3844" s="1"/>
      <c r="K3844" s="1"/>
      <c r="L3844" s="1"/>
      <c r="M3844" s="1"/>
      <c r="N3844" s="1"/>
      <c r="O3844" s="1"/>
      <c r="P3844" s="1"/>
      <c r="Q3844" s="1"/>
      <c r="R3844" s="1"/>
      <c r="S3844" s="1"/>
      <c r="T3844" s="1"/>
      <c r="U3844" s="1"/>
      <c r="V3844" s="1"/>
      <c r="W3844" s="1"/>
      <c r="X3844" s="1"/>
    </row>
    <row x14ac:dyDescent="0.25" r="3845" customHeight="1" ht="18.75">
      <c r="A3845" s="1"/>
      <c r="B3845" s="1"/>
      <c r="C3845" s="1"/>
      <c r="D3845" s="1"/>
      <c r="E3845" s="1"/>
      <c r="F3845" s="1"/>
      <c r="G3845" s="1"/>
      <c r="H3845" s="1"/>
      <c r="I3845" s="2"/>
      <c r="J3845" s="1"/>
      <c r="K3845" s="1"/>
      <c r="L3845" s="1"/>
      <c r="M3845" s="1"/>
      <c r="N3845" s="1"/>
      <c r="O3845" s="1"/>
      <c r="P3845" s="1"/>
      <c r="Q3845" s="1"/>
      <c r="R3845" s="1"/>
      <c r="S3845" s="1"/>
      <c r="T3845" s="1"/>
      <c r="U3845" s="1"/>
      <c r="V3845" s="1"/>
      <c r="W3845" s="1"/>
      <c r="X3845" s="1"/>
    </row>
    <row x14ac:dyDescent="0.25" r="3846" customHeight="1" ht="18.75">
      <c r="A3846" s="1"/>
      <c r="B3846" s="1"/>
      <c r="C3846" s="1"/>
      <c r="D3846" s="1"/>
      <c r="E3846" s="1"/>
      <c r="F3846" s="1"/>
      <c r="G3846" s="1"/>
      <c r="H3846" s="1"/>
      <c r="I3846" s="2"/>
      <c r="J3846" s="1"/>
      <c r="K3846" s="1"/>
      <c r="L3846" s="1"/>
      <c r="M3846" s="1"/>
      <c r="N3846" s="1"/>
      <c r="O3846" s="1"/>
      <c r="P3846" s="1"/>
      <c r="Q3846" s="1"/>
      <c r="R3846" s="1"/>
      <c r="S3846" s="1"/>
      <c r="T3846" s="1"/>
      <c r="U3846" s="1"/>
      <c r="V3846" s="1"/>
      <c r="W3846" s="1"/>
      <c r="X3846" s="1"/>
    </row>
    <row x14ac:dyDescent="0.25" r="3847" customHeight="1" ht="18.75">
      <c r="A3847" s="1"/>
      <c r="B3847" s="1"/>
      <c r="C3847" s="1"/>
      <c r="D3847" s="1"/>
      <c r="E3847" s="1"/>
      <c r="F3847" s="1"/>
      <c r="G3847" s="1"/>
      <c r="H3847" s="1"/>
      <c r="I3847" s="2"/>
      <c r="J3847" s="1"/>
      <c r="K3847" s="1"/>
      <c r="L3847" s="1"/>
      <c r="M3847" s="1"/>
      <c r="N3847" s="1"/>
      <c r="O3847" s="1"/>
      <c r="P3847" s="1"/>
      <c r="Q3847" s="1"/>
      <c r="R3847" s="1"/>
      <c r="S3847" s="1"/>
      <c r="T3847" s="1"/>
      <c r="U3847" s="1"/>
      <c r="V3847" s="1"/>
      <c r="W3847" s="1"/>
      <c r="X3847" s="1"/>
    </row>
    <row x14ac:dyDescent="0.25" r="3848" customHeight="1" ht="18.75">
      <c r="A3848" s="1"/>
      <c r="B3848" s="1"/>
      <c r="C3848" s="1"/>
      <c r="D3848" s="1"/>
      <c r="E3848" s="1"/>
      <c r="F3848" s="1"/>
      <c r="G3848" s="1"/>
      <c r="H3848" s="1"/>
      <c r="I3848" s="2"/>
      <c r="J3848" s="1"/>
      <c r="K3848" s="1"/>
      <c r="L3848" s="1"/>
      <c r="M3848" s="1"/>
      <c r="N3848" s="1"/>
      <c r="O3848" s="1"/>
      <c r="P3848" s="1"/>
      <c r="Q3848" s="1"/>
      <c r="R3848" s="1"/>
      <c r="S3848" s="1"/>
      <c r="T3848" s="1"/>
      <c r="U3848" s="1"/>
      <c r="V3848" s="1"/>
      <c r="W3848" s="1"/>
      <c r="X3848" s="1"/>
    </row>
    <row x14ac:dyDescent="0.25" r="3849" customHeight="1" ht="18.75">
      <c r="A3849" s="1"/>
      <c r="B3849" s="1"/>
      <c r="C3849" s="1"/>
      <c r="D3849" s="1"/>
      <c r="E3849" s="1"/>
      <c r="F3849" s="1"/>
      <c r="G3849" s="1"/>
      <c r="H3849" s="1"/>
      <c r="I3849" s="2"/>
      <c r="J3849" s="1"/>
      <c r="K3849" s="1"/>
      <c r="L3849" s="1"/>
      <c r="M3849" s="1"/>
      <c r="N3849" s="1"/>
      <c r="O3849" s="1"/>
      <c r="P3849" s="1"/>
      <c r="Q3849" s="1"/>
      <c r="R3849" s="1"/>
      <c r="S3849" s="1"/>
      <c r="T3849" s="1"/>
      <c r="U3849" s="1"/>
      <c r="V3849" s="1"/>
      <c r="W3849" s="1"/>
      <c r="X3849" s="1"/>
    </row>
    <row x14ac:dyDescent="0.25" r="3850" customHeight="1" ht="18.75">
      <c r="A3850" s="1"/>
      <c r="B3850" s="1"/>
      <c r="C3850" s="1"/>
      <c r="D3850" s="1"/>
      <c r="E3850" s="1"/>
      <c r="F3850" s="1"/>
      <c r="G3850" s="1"/>
      <c r="H3850" s="1"/>
      <c r="I3850" s="2"/>
      <c r="J3850" s="1"/>
      <c r="K3850" s="1"/>
      <c r="L3850" s="1"/>
      <c r="M3850" s="1"/>
      <c r="N3850" s="1"/>
      <c r="O3850" s="1"/>
      <c r="P3850" s="1"/>
      <c r="Q3850" s="1"/>
      <c r="R3850" s="1"/>
      <c r="S3850" s="1"/>
      <c r="T3850" s="1"/>
      <c r="U3850" s="1"/>
      <c r="V3850" s="1"/>
      <c r="W3850" s="1"/>
      <c r="X3850" s="1"/>
    </row>
    <row x14ac:dyDescent="0.25" r="3851" customHeight="1" ht="18.75">
      <c r="A3851" s="1"/>
      <c r="B3851" s="1"/>
      <c r="C3851" s="1"/>
      <c r="D3851" s="1"/>
      <c r="E3851" s="1"/>
      <c r="F3851" s="1"/>
      <c r="G3851" s="1"/>
      <c r="H3851" s="1"/>
      <c r="I3851" s="2"/>
      <c r="J3851" s="1"/>
      <c r="K3851" s="1"/>
      <c r="L3851" s="1"/>
      <c r="M3851" s="1"/>
      <c r="N3851" s="1"/>
      <c r="O3851" s="1"/>
      <c r="P3851" s="1"/>
      <c r="Q3851" s="1"/>
      <c r="R3851" s="1"/>
      <c r="S3851" s="1"/>
      <c r="T3851" s="1"/>
      <c r="U3851" s="1"/>
      <c r="V3851" s="1"/>
      <c r="W3851" s="1"/>
      <c r="X3851" s="1"/>
    </row>
    <row x14ac:dyDescent="0.25" r="3852" customHeight="1" ht="18.75">
      <c r="A3852" s="1"/>
      <c r="B3852" s="1"/>
      <c r="C3852" s="1"/>
      <c r="D3852" s="1"/>
      <c r="E3852" s="1"/>
      <c r="F3852" s="1"/>
      <c r="G3852" s="1"/>
      <c r="H3852" s="1"/>
      <c r="I3852" s="2"/>
      <c r="J3852" s="1"/>
      <c r="K3852" s="1"/>
      <c r="L3852" s="1"/>
      <c r="M3852" s="1"/>
      <c r="N3852" s="1"/>
      <c r="O3852" s="1"/>
      <c r="P3852" s="1"/>
      <c r="Q3852" s="1"/>
      <c r="R3852" s="1"/>
      <c r="S3852" s="1"/>
      <c r="T3852" s="1"/>
      <c r="U3852" s="1"/>
      <c r="V3852" s="1"/>
      <c r="W3852" s="1"/>
      <c r="X3852" s="1"/>
    </row>
    <row x14ac:dyDescent="0.25" r="3853" customHeight="1" ht="18.75">
      <c r="A3853" s="1"/>
      <c r="B3853" s="1"/>
      <c r="C3853" s="1"/>
      <c r="D3853" s="1"/>
      <c r="E3853" s="1"/>
      <c r="F3853" s="1"/>
      <c r="G3853" s="1"/>
      <c r="H3853" s="1"/>
      <c r="I3853" s="2"/>
      <c r="J3853" s="1"/>
      <c r="K3853" s="1"/>
      <c r="L3853" s="1"/>
      <c r="M3853" s="1"/>
      <c r="N3853" s="1"/>
      <c r="O3853" s="1"/>
      <c r="P3853" s="1"/>
      <c r="Q3853" s="1"/>
      <c r="R3853" s="1"/>
      <c r="S3853" s="1"/>
      <c r="T3853" s="1"/>
      <c r="U3853" s="1"/>
      <c r="V3853" s="1"/>
      <c r="W3853" s="1"/>
      <c r="X3853" s="1"/>
    </row>
    <row x14ac:dyDescent="0.25" r="3854" customHeight="1" ht="18.75">
      <c r="A3854" s="1"/>
      <c r="B3854" s="1"/>
      <c r="C3854" s="1"/>
      <c r="D3854" s="1"/>
      <c r="E3854" s="1"/>
      <c r="F3854" s="1"/>
      <c r="G3854" s="1"/>
      <c r="H3854" s="1"/>
      <c r="I3854" s="2"/>
      <c r="J3854" s="1"/>
      <c r="K3854" s="1"/>
      <c r="L3854" s="1"/>
      <c r="M3854" s="1"/>
      <c r="N3854" s="1"/>
      <c r="O3854" s="1"/>
      <c r="P3854" s="1"/>
      <c r="Q3854" s="1"/>
      <c r="R3854" s="1"/>
      <c r="S3854" s="1"/>
      <c r="T3854" s="1"/>
      <c r="U3854" s="1"/>
      <c r="V3854" s="1"/>
      <c r="W3854" s="1"/>
      <c r="X3854" s="1"/>
    </row>
    <row x14ac:dyDescent="0.25" r="3855" customHeight="1" ht="18.75">
      <c r="A3855" s="1"/>
      <c r="B3855" s="1"/>
      <c r="C3855" s="1"/>
      <c r="D3855" s="1"/>
      <c r="E3855" s="1"/>
      <c r="F3855" s="1"/>
      <c r="G3855" s="1"/>
      <c r="H3855" s="1"/>
      <c r="I3855" s="2"/>
      <c r="J3855" s="1"/>
      <c r="K3855" s="1"/>
      <c r="L3855" s="1"/>
      <c r="M3855" s="1"/>
      <c r="N3855" s="1"/>
      <c r="O3855" s="1"/>
      <c r="P3855" s="1"/>
      <c r="Q3855" s="1"/>
      <c r="R3855" s="1"/>
      <c r="S3855" s="1"/>
      <c r="T3855" s="1"/>
      <c r="U3855" s="1"/>
      <c r="V3855" s="1"/>
      <c r="W3855" s="1"/>
      <c r="X3855" s="1"/>
    </row>
    <row x14ac:dyDescent="0.25" r="3856" customHeight="1" ht="18.75">
      <c r="A3856" s="1"/>
      <c r="B3856" s="1"/>
      <c r="C3856" s="1"/>
      <c r="D3856" s="1"/>
      <c r="E3856" s="1"/>
      <c r="F3856" s="1"/>
      <c r="G3856" s="1"/>
      <c r="H3856" s="1"/>
      <c r="I3856" s="2"/>
      <c r="J3856" s="1"/>
      <c r="K3856" s="1"/>
      <c r="L3856" s="1"/>
      <c r="M3856" s="1"/>
      <c r="N3856" s="1"/>
      <c r="O3856" s="1"/>
      <c r="P3856" s="1"/>
      <c r="Q3856" s="1"/>
      <c r="R3856" s="1"/>
      <c r="S3856" s="1"/>
      <c r="T3856" s="1"/>
      <c r="U3856" s="1"/>
      <c r="V3856" s="1"/>
      <c r="W3856" s="1"/>
      <c r="X3856" s="1"/>
    </row>
    <row x14ac:dyDescent="0.25" r="3857" customHeight="1" ht="18.75">
      <c r="A3857" s="1"/>
      <c r="B3857" s="1"/>
      <c r="C3857" s="1"/>
      <c r="D3857" s="1"/>
      <c r="E3857" s="1"/>
      <c r="F3857" s="1"/>
      <c r="G3857" s="1"/>
      <c r="H3857" s="1"/>
      <c r="I3857" s="2"/>
      <c r="J3857" s="1"/>
      <c r="K3857" s="1"/>
      <c r="L3857" s="1"/>
      <c r="M3857" s="1"/>
      <c r="N3857" s="1"/>
      <c r="O3857" s="1"/>
      <c r="P3857" s="1"/>
      <c r="Q3857" s="1"/>
      <c r="R3857" s="1"/>
      <c r="S3857" s="1"/>
      <c r="T3857" s="1"/>
      <c r="U3857" s="1"/>
      <c r="V3857" s="1"/>
      <c r="W3857" s="1"/>
      <c r="X3857" s="1"/>
    </row>
    <row x14ac:dyDescent="0.25" r="3858" customHeight="1" ht="18.75">
      <c r="A3858" s="1"/>
      <c r="B3858" s="1"/>
      <c r="C3858" s="1"/>
      <c r="D3858" s="1"/>
      <c r="E3858" s="1"/>
      <c r="F3858" s="1"/>
      <c r="G3858" s="1"/>
      <c r="H3858" s="1"/>
      <c r="I3858" s="2"/>
      <c r="J3858" s="1"/>
      <c r="K3858" s="1"/>
      <c r="L3858" s="1"/>
      <c r="M3858" s="1"/>
      <c r="N3858" s="1"/>
      <c r="O3858" s="1"/>
      <c r="P3858" s="1"/>
      <c r="Q3858" s="1"/>
      <c r="R3858" s="1"/>
      <c r="S3858" s="1"/>
      <c r="T3858" s="1"/>
      <c r="U3858" s="1"/>
      <c r="V3858" s="1"/>
      <c r="W3858" s="1"/>
      <c r="X3858" s="1"/>
    </row>
    <row x14ac:dyDescent="0.25" r="3859" customHeight="1" ht="18.75">
      <c r="A3859" s="1"/>
      <c r="B3859" s="1"/>
      <c r="C3859" s="1"/>
      <c r="D3859" s="1"/>
      <c r="E3859" s="1"/>
      <c r="F3859" s="1"/>
      <c r="G3859" s="1"/>
      <c r="H3859" s="1"/>
      <c r="I3859" s="2"/>
      <c r="J3859" s="1"/>
      <c r="K3859" s="1"/>
      <c r="L3859" s="1"/>
      <c r="M3859" s="1"/>
      <c r="N3859" s="1"/>
      <c r="O3859" s="1"/>
      <c r="P3859" s="1"/>
      <c r="Q3859" s="1"/>
      <c r="R3859" s="1"/>
      <c r="S3859" s="1"/>
      <c r="T3859" s="1"/>
      <c r="U3859" s="1"/>
      <c r="V3859" s="1"/>
      <c r="W3859" s="1"/>
      <c r="X3859" s="1"/>
    </row>
    <row x14ac:dyDescent="0.25" r="3860" customHeight="1" ht="18.75">
      <c r="A3860" s="1"/>
      <c r="B3860" s="1"/>
      <c r="C3860" s="1"/>
      <c r="D3860" s="1"/>
      <c r="E3860" s="1"/>
      <c r="F3860" s="1"/>
      <c r="G3860" s="1"/>
      <c r="H3860" s="1"/>
      <c r="I3860" s="2"/>
      <c r="J3860" s="1"/>
      <c r="K3860" s="1"/>
      <c r="L3860" s="1"/>
      <c r="M3860" s="1"/>
      <c r="N3860" s="1"/>
      <c r="O3860" s="1"/>
      <c r="P3860" s="1"/>
      <c r="Q3860" s="1"/>
      <c r="R3860" s="1"/>
      <c r="S3860" s="1"/>
      <c r="T3860" s="1"/>
      <c r="U3860" s="1"/>
      <c r="V3860" s="1"/>
      <c r="W3860" s="1"/>
      <c r="X3860" s="1"/>
    </row>
    <row x14ac:dyDescent="0.25" r="3861" customHeight="1" ht="18.75">
      <c r="A3861" s="1"/>
      <c r="B3861" s="1"/>
      <c r="C3861" s="1"/>
      <c r="D3861" s="1"/>
      <c r="E3861" s="1"/>
      <c r="F3861" s="1"/>
      <c r="G3861" s="1"/>
      <c r="H3861" s="1"/>
      <c r="I3861" s="2"/>
      <c r="J3861" s="1"/>
      <c r="K3861" s="1"/>
      <c r="L3861" s="1"/>
      <c r="M3861" s="1"/>
      <c r="N3861" s="1"/>
      <c r="O3861" s="1"/>
      <c r="P3861" s="1"/>
      <c r="Q3861" s="1"/>
      <c r="R3861" s="1"/>
      <c r="S3861" s="1"/>
      <c r="T3861" s="1"/>
      <c r="U3861" s="1"/>
      <c r="V3861" s="1"/>
      <c r="W3861" s="1"/>
      <c r="X3861" s="1"/>
    </row>
    <row x14ac:dyDescent="0.25" r="3862" customHeight="1" ht="18.75">
      <c r="A3862" s="1"/>
      <c r="B3862" s="1"/>
      <c r="C3862" s="1"/>
      <c r="D3862" s="1"/>
      <c r="E3862" s="1"/>
      <c r="F3862" s="1"/>
      <c r="G3862" s="1"/>
      <c r="H3862" s="1"/>
      <c r="I3862" s="2"/>
      <c r="J3862" s="1"/>
      <c r="K3862" s="1"/>
      <c r="L3862" s="1"/>
      <c r="M3862" s="1"/>
      <c r="N3862" s="1"/>
      <c r="O3862" s="1"/>
      <c r="P3862" s="1"/>
      <c r="Q3862" s="1"/>
      <c r="R3862" s="1"/>
      <c r="S3862" s="1"/>
      <c r="T3862" s="1"/>
      <c r="U3862" s="1"/>
      <c r="V3862" s="1"/>
      <c r="W3862" s="1"/>
      <c r="X3862" s="1"/>
    </row>
    <row x14ac:dyDescent="0.25" r="3863" customHeight="1" ht="18.75">
      <c r="A3863" s="1"/>
      <c r="B3863" s="1"/>
      <c r="C3863" s="1"/>
      <c r="D3863" s="1"/>
      <c r="E3863" s="1"/>
      <c r="F3863" s="1"/>
      <c r="G3863" s="1"/>
      <c r="H3863" s="1"/>
      <c r="I3863" s="2"/>
      <c r="J3863" s="1"/>
      <c r="K3863" s="1"/>
      <c r="L3863" s="1"/>
      <c r="M3863" s="1"/>
      <c r="N3863" s="1"/>
      <c r="O3863" s="1"/>
      <c r="P3863" s="1"/>
      <c r="Q3863" s="1"/>
      <c r="R3863" s="1"/>
      <c r="S3863" s="1"/>
      <c r="T3863" s="1"/>
      <c r="U3863" s="1"/>
      <c r="V3863" s="1"/>
      <c r="W3863" s="1"/>
      <c r="X3863" s="1"/>
    </row>
    <row x14ac:dyDescent="0.25" r="3864" customHeight="1" ht="18.75">
      <c r="A3864" s="1"/>
      <c r="B3864" s="1"/>
      <c r="C3864" s="1"/>
      <c r="D3864" s="1"/>
      <c r="E3864" s="1"/>
      <c r="F3864" s="1"/>
      <c r="G3864" s="1"/>
      <c r="H3864" s="1"/>
      <c r="I3864" s="2"/>
      <c r="J3864" s="1"/>
      <c r="K3864" s="1"/>
      <c r="L3864" s="1"/>
      <c r="M3864" s="1"/>
      <c r="N3864" s="1"/>
      <c r="O3864" s="1"/>
      <c r="P3864" s="1"/>
      <c r="Q3864" s="1"/>
      <c r="R3864" s="1"/>
      <c r="S3864" s="1"/>
      <c r="T3864" s="1"/>
      <c r="U3864" s="1"/>
      <c r="V3864" s="1"/>
      <c r="W3864" s="1"/>
      <c r="X3864" s="1"/>
    </row>
    <row x14ac:dyDescent="0.25" r="3865" customHeight="1" ht="18.75">
      <c r="A3865" s="1"/>
      <c r="B3865" s="1"/>
      <c r="C3865" s="1"/>
      <c r="D3865" s="1"/>
      <c r="E3865" s="1"/>
      <c r="F3865" s="1"/>
      <c r="G3865" s="1"/>
      <c r="H3865" s="1"/>
      <c r="I3865" s="2"/>
      <c r="J3865" s="1"/>
      <c r="K3865" s="1"/>
      <c r="L3865" s="1"/>
      <c r="M3865" s="1"/>
      <c r="N3865" s="1"/>
      <c r="O3865" s="1"/>
      <c r="P3865" s="1"/>
      <c r="Q3865" s="1"/>
      <c r="R3865" s="1"/>
      <c r="S3865" s="1"/>
      <c r="T3865" s="1"/>
      <c r="U3865" s="1"/>
      <c r="V3865" s="1"/>
      <c r="W3865" s="1"/>
      <c r="X3865" s="1"/>
    </row>
    <row x14ac:dyDescent="0.25" r="3866" customHeight="1" ht="18.75">
      <c r="A3866" s="1"/>
      <c r="B3866" s="1"/>
      <c r="C3866" s="1"/>
      <c r="D3866" s="1"/>
      <c r="E3866" s="1"/>
      <c r="F3866" s="1"/>
      <c r="G3866" s="1"/>
      <c r="H3866" s="1"/>
      <c r="I3866" s="2"/>
      <c r="J3866" s="1"/>
      <c r="K3866" s="1"/>
      <c r="L3866" s="1"/>
      <c r="M3866" s="1"/>
      <c r="N3866" s="1"/>
      <c r="O3866" s="1"/>
      <c r="P3866" s="1"/>
      <c r="Q3866" s="1"/>
      <c r="R3866" s="1"/>
      <c r="S3866" s="1"/>
      <c r="T3866" s="1"/>
      <c r="U3866" s="1"/>
      <c r="V3866" s="1"/>
      <c r="W3866" s="1"/>
      <c r="X3866" s="1"/>
    </row>
    <row x14ac:dyDescent="0.25" r="3867" customHeight="1" ht="18.75">
      <c r="A3867" s="1"/>
      <c r="B3867" s="1"/>
      <c r="C3867" s="1"/>
      <c r="D3867" s="1"/>
      <c r="E3867" s="1"/>
      <c r="F3867" s="1"/>
      <c r="G3867" s="1"/>
      <c r="H3867" s="1"/>
      <c r="I3867" s="2"/>
      <c r="J3867" s="1"/>
      <c r="K3867" s="1"/>
      <c r="L3867" s="1"/>
      <c r="M3867" s="1"/>
      <c r="N3867" s="1"/>
      <c r="O3867" s="1"/>
      <c r="P3867" s="1"/>
      <c r="Q3867" s="1"/>
      <c r="R3867" s="1"/>
      <c r="S3867" s="1"/>
      <c r="T3867" s="1"/>
      <c r="U3867" s="1"/>
      <c r="V3867" s="1"/>
      <c r="W3867" s="1"/>
      <c r="X3867" s="1"/>
    </row>
    <row x14ac:dyDescent="0.25" r="3868" customHeight="1" ht="18.75">
      <c r="A3868" s="1"/>
      <c r="B3868" s="1"/>
      <c r="C3868" s="1"/>
      <c r="D3868" s="1"/>
      <c r="E3868" s="1"/>
      <c r="F3868" s="1"/>
      <c r="G3868" s="1"/>
      <c r="H3868" s="1"/>
      <c r="I3868" s="2"/>
      <c r="J3868" s="1"/>
      <c r="K3868" s="1"/>
      <c r="L3868" s="1"/>
      <c r="M3868" s="1"/>
      <c r="N3868" s="1"/>
      <c r="O3868" s="1"/>
      <c r="P3868" s="1"/>
      <c r="Q3868" s="1"/>
      <c r="R3868" s="1"/>
      <c r="S3868" s="1"/>
      <c r="T3868" s="1"/>
      <c r="U3868" s="1"/>
      <c r="V3868" s="1"/>
      <c r="W3868" s="1"/>
      <c r="X3868" s="1"/>
    </row>
    <row x14ac:dyDescent="0.25" r="3869" customHeight="1" ht="18.75">
      <c r="A3869" s="1"/>
      <c r="B3869" s="1"/>
      <c r="C3869" s="1"/>
      <c r="D3869" s="1"/>
      <c r="E3869" s="1"/>
      <c r="F3869" s="1"/>
      <c r="G3869" s="1"/>
      <c r="H3869" s="1"/>
      <c r="I3869" s="2"/>
      <c r="J3869" s="1"/>
      <c r="K3869" s="1"/>
      <c r="L3869" s="1"/>
      <c r="M3869" s="1"/>
      <c r="N3869" s="1"/>
      <c r="O3869" s="1"/>
      <c r="P3869" s="1"/>
      <c r="Q3869" s="1"/>
      <c r="R3869" s="1"/>
      <c r="S3869" s="1"/>
      <c r="T3869" s="1"/>
      <c r="U3869" s="1"/>
      <c r="V3869" s="1"/>
      <c r="W3869" s="1"/>
      <c r="X3869" s="1"/>
    </row>
    <row x14ac:dyDescent="0.25" r="3870" customHeight="1" ht="18.75">
      <c r="A3870" s="1"/>
      <c r="B3870" s="1"/>
      <c r="C3870" s="1"/>
      <c r="D3870" s="1"/>
      <c r="E3870" s="1"/>
      <c r="F3870" s="1"/>
      <c r="G3870" s="1"/>
      <c r="H3870" s="1"/>
      <c r="I3870" s="2"/>
      <c r="J3870" s="1"/>
      <c r="K3870" s="1"/>
      <c r="L3870" s="1"/>
      <c r="M3870" s="1"/>
      <c r="N3870" s="1"/>
      <c r="O3870" s="1"/>
      <c r="P3870" s="1"/>
      <c r="Q3870" s="1"/>
      <c r="R3870" s="1"/>
      <c r="S3870" s="1"/>
      <c r="T3870" s="1"/>
      <c r="U3870" s="1"/>
      <c r="V3870" s="1"/>
      <c r="W3870" s="1"/>
      <c r="X3870" s="1"/>
    </row>
    <row x14ac:dyDescent="0.25" r="3871" customHeight="1" ht="18.75">
      <c r="A3871" s="1"/>
      <c r="B3871" s="1"/>
      <c r="C3871" s="1"/>
      <c r="D3871" s="1"/>
      <c r="E3871" s="1"/>
      <c r="F3871" s="1"/>
      <c r="G3871" s="1"/>
      <c r="H3871" s="1"/>
      <c r="I3871" s="2"/>
      <c r="J3871" s="1"/>
      <c r="K3871" s="1"/>
      <c r="L3871" s="1"/>
      <c r="M3871" s="1"/>
      <c r="N3871" s="1"/>
      <c r="O3871" s="1"/>
      <c r="P3871" s="1"/>
      <c r="Q3871" s="1"/>
      <c r="R3871" s="1"/>
      <c r="S3871" s="1"/>
      <c r="T3871" s="1"/>
      <c r="U3871" s="1"/>
      <c r="V3871" s="1"/>
      <c r="W3871" s="1"/>
      <c r="X3871" s="1"/>
    </row>
    <row x14ac:dyDescent="0.25" r="3872" customHeight="1" ht="18.75">
      <c r="A3872" s="1"/>
      <c r="B3872" s="1"/>
      <c r="C3872" s="1"/>
      <c r="D3872" s="1"/>
      <c r="E3872" s="1"/>
      <c r="F3872" s="1"/>
      <c r="G3872" s="1"/>
      <c r="H3872" s="1"/>
      <c r="I3872" s="2"/>
      <c r="J3872" s="1"/>
      <c r="K3872" s="1"/>
      <c r="L3872" s="1"/>
      <c r="M3872" s="1"/>
      <c r="N3872" s="1"/>
      <c r="O3872" s="1"/>
      <c r="P3872" s="1"/>
      <c r="Q3872" s="1"/>
      <c r="R3872" s="1"/>
      <c r="S3872" s="1"/>
      <c r="T3872" s="1"/>
      <c r="U3872" s="1"/>
      <c r="V3872" s="1"/>
      <c r="W3872" s="1"/>
      <c r="X3872" s="1"/>
    </row>
    <row x14ac:dyDescent="0.25" r="3873" customHeight="1" ht="18.75">
      <c r="A3873" s="1"/>
      <c r="B3873" s="1"/>
      <c r="C3873" s="1"/>
      <c r="D3873" s="1"/>
      <c r="E3873" s="1"/>
      <c r="F3873" s="1"/>
      <c r="G3873" s="1"/>
      <c r="H3873" s="1"/>
      <c r="I3873" s="2"/>
      <c r="J3873" s="1"/>
      <c r="K3873" s="1"/>
      <c r="L3873" s="1"/>
      <c r="M3873" s="1"/>
      <c r="N3873" s="1"/>
      <c r="O3873" s="1"/>
      <c r="P3873" s="1"/>
      <c r="Q3873" s="1"/>
      <c r="R3873" s="1"/>
      <c r="S3873" s="1"/>
      <c r="T3873" s="1"/>
      <c r="U3873" s="1"/>
      <c r="V3873" s="1"/>
      <c r="W3873" s="1"/>
      <c r="X3873" s="1"/>
    </row>
    <row x14ac:dyDescent="0.25" r="3874" customHeight="1" ht="18.75">
      <c r="A3874" s="1"/>
      <c r="B3874" s="1"/>
      <c r="C3874" s="1"/>
      <c r="D3874" s="1"/>
      <c r="E3874" s="1"/>
      <c r="F3874" s="1"/>
      <c r="G3874" s="1"/>
      <c r="H3874" s="1"/>
      <c r="I3874" s="2"/>
      <c r="J3874" s="1"/>
      <c r="K3874" s="1"/>
      <c r="L3874" s="1"/>
      <c r="M3874" s="1"/>
      <c r="N3874" s="1"/>
      <c r="O3874" s="1"/>
      <c r="P3874" s="1"/>
      <c r="Q3874" s="1"/>
      <c r="R3874" s="1"/>
      <c r="S3874" s="1"/>
      <c r="T3874" s="1"/>
      <c r="U3874" s="1"/>
      <c r="V3874" s="1"/>
      <c r="W3874" s="1"/>
      <c r="X3874" s="1"/>
    </row>
    <row x14ac:dyDescent="0.25" r="3875" customHeight="1" ht="18.75">
      <c r="A3875" s="1"/>
      <c r="B3875" s="1"/>
      <c r="C3875" s="1"/>
      <c r="D3875" s="1"/>
      <c r="E3875" s="1"/>
      <c r="F3875" s="1"/>
      <c r="G3875" s="1"/>
      <c r="H3875" s="1"/>
      <c r="I3875" s="2"/>
      <c r="J3875" s="1"/>
      <c r="K3875" s="1"/>
      <c r="L3875" s="1"/>
      <c r="M3875" s="1"/>
      <c r="N3875" s="1"/>
      <c r="O3875" s="1"/>
      <c r="P3875" s="1"/>
      <c r="Q3875" s="1"/>
      <c r="R3875" s="1"/>
      <c r="S3875" s="1"/>
      <c r="T3875" s="1"/>
      <c r="U3875" s="1"/>
      <c r="V3875" s="1"/>
      <c r="W3875" s="1"/>
      <c r="X3875" s="1"/>
    </row>
    <row x14ac:dyDescent="0.25" r="3876" customHeight="1" ht="18.75">
      <c r="A3876" s="1"/>
      <c r="B3876" s="1"/>
      <c r="C3876" s="1"/>
      <c r="D3876" s="1"/>
      <c r="E3876" s="1"/>
      <c r="F3876" s="1"/>
      <c r="G3876" s="1"/>
      <c r="H3876" s="1"/>
      <c r="I3876" s="2"/>
      <c r="J3876" s="1"/>
      <c r="K3876" s="1"/>
      <c r="L3876" s="1"/>
      <c r="M3876" s="1"/>
      <c r="N3876" s="1"/>
      <c r="O3876" s="1"/>
      <c r="P3876" s="1"/>
      <c r="Q3876" s="1"/>
      <c r="R3876" s="1"/>
      <c r="S3876" s="1"/>
      <c r="T3876" s="1"/>
      <c r="U3876" s="1"/>
      <c r="V3876" s="1"/>
      <c r="W3876" s="1"/>
      <c r="X3876" s="1"/>
    </row>
    <row x14ac:dyDescent="0.25" r="3877" customHeight="1" ht="18.75">
      <c r="A3877" s="1"/>
      <c r="B3877" s="1"/>
      <c r="C3877" s="1"/>
      <c r="D3877" s="1"/>
      <c r="E3877" s="1"/>
      <c r="F3877" s="1"/>
      <c r="G3877" s="1"/>
      <c r="H3877" s="1"/>
      <c r="I3877" s="2"/>
      <c r="J3877" s="1"/>
      <c r="K3877" s="1"/>
      <c r="L3877" s="1"/>
      <c r="M3877" s="1"/>
      <c r="N3877" s="1"/>
      <c r="O3877" s="1"/>
      <c r="P3877" s="1"/>
      <c r="Q3877" s="1"/>
      <c r="R3877" s="1"/>
      <c r="S3877" s="1"/>
      <c r="T3877" s="1"/>
      <c r="U3877" s="1"/>
      <c r="V3877" s="1"/>
      <c r="W3877" s="1"/>
      <c r="X3877" s="1"/>
    </row>
    <row x14ac:dyDescent="0.25" r="3878" customHeight="1" ht="18.75">
      <c r="A3878" s="1"/>
      <c r="B3878" s="1"/>
      <c r="C3878" s="1"/>
      <c r="D3878" s="1"/>
      <c r="E3878" s="1"/>
      <c r="F3878" s="1"/>
      <c r="G3878" s="1"/>
      <c r="H3878" s="1"/>
      <c r="I3878" s="2"/>
      <c r="J3878" s="1"/>
      <c r="K3878" s="1"/>
      <c r="L3878" s="1"/>
      <c r="M3878" s="1"/>
      <c r="N3878" s="1"/>
      <c r="O3878" s="1"/>
      <c r="P3878" s="1"/>
      <c r="Q3878" s="1"/>
      <c r="R3878" s="1"/>
      <c r="S3878" s="1"/>
      <c r="T3878" s="1"/>
      <c r="U3878" s="1"/>
      <c r="V3878" s="1"/>
      <c r="W3878" s="1"/>
      <c r="X3878" s="1"/>
    </row>
    <row x14ac:dyDescent="0.25" r="3879" customHeight="1" ht="18.75">
      <c r="A3879" s="1"/>
      <c r="B3879" s="1"/>
      <c r="C3879" s="1"/>
      <c r="D3879" s="1"/>
      <c r="E3879" s="1"/>
      <c r="F3879" s="1"/>
      <c r="G3879" s="1"/>
      <c r="H3879" s="1"/>
      <c r="I3879" s="2"/>
      <c r="J3879" s="1"/>
      <c r="K3879" s="1"/>
      <c r="L3879" s="1"/>
      <c r="M3879" s="1"/>
      <c r="N3879" s="1"/>
      <c r="O3879" s="1"/>
      <c r="P3879" s="1"/>
      <c r="Q3879" s="1"/>
      <c r="R3879" s="1"/>
      <c r="S3879" s="1"/>
      <c r="T3879" s="1"/>
      <c r="U3879" s="1"/>
      <c r="V3879" s="1"/>
      <c r="W3879" s="1"/>
      <c r="X3879" s="1"/>
    </row>
    <row x14ac:dyDescent="0.25" r="3880" customHeight="1" ht="18.75">
      <c r="A3880" s="1"/>
      <c r="B3880" s="1"/>
      <c r="C3880" s="1"/>
      <c r="D3880" s="1"/>
      <c r="E3880" s="1"/>
      <c r="F3880" s="1"/>
      <c r="G3880" s="1"/>
      <c r="H3880" s="1"/>
      <c r="I3880" s="2"/>
      <c r="J3880" s="1"/>
      <c r="K3880" s="1"/>
      <c r="L3880" s="1"/>
      <c r="M3880" s="1"/>
      <c r="N3880" s="1"/>
      <c r="O3880" s="1"/>
      <c r="P3880" s="1"/>
      <c r="Q3880" s="1"/>
      <c r="R3880" s="1"/>
      <c r="S3880" s="1"/>
      <c r="T3880" s="1"/>
      <c r="U3880" s="1"/>
      <c r="V3880" s="1"/>
      <c r="W3880" s="1"/>
      <c r="X3880" s="1"/>
    </row>
    <row x14ac:dyDescent="0.25" r="3881" customHeight="1" ht="18.75">
      <c r="A3881" s="1"/>
      <c r="B3881" s="1"/>
      <c r="C3881" s="1"/>
      <c r="D3881" s="1"/>
      <c r="E3881" s="1"/>
      <c r="F3881" s="1"/>
      <c r="G3881" s="1"/>
      <c r="H3881" s="1"/>
      <c r="I3881" s="2"/>
      <c r="J3881" s="1"/>
      <c r="K3881" s="1"/>
      <c r="L3881" s="1"/>
      <c r="M3881" s="1"/>
      <c r="N3881" s="1"/>
      <c r="O3881" s="1"/>
      <c r="P3881" s="1"/>
      <c r="Q3881" s="1"/>
      <c r="R3881" s="1"/>
      <c r="S3881" s="1"/>
      <c r="T3881" s="1"/>
      <c r="U3881" s="1"/>
      <c r="V3881" s="1"/>
      <c r="W3881" s="1"/>
      <c r="X3881" s="1"/>
    </row>
    <row x14ac:dyDescent="0.25" r="3882" customHeight="1" ht="18.75">
      <c r="A3882" s="1"/>
      <c r="B3882" s="1"/>
      <c r="C3882" s="1"/>
      <c r="D3882" s="1"/>
      <c r="E3882" s="1"/>
      <c r="F3882" s="1"/>
      <c r="G3882" s="1"/>
      <c r="H3882" s="1"/>
      <c r="I3882" s="2"/>
      <c r="J3882" s="1"/>
      <c r="K3882" s="1"/>
      <c r="L3882" s="1"/>
      <c r="M3882" s="1"/>
      <c r="N3882" s="1"/>
      <c r="O3882" s="1"/>
      <c r="P3882" s="1"/>
      <c r="Q3882" s="1"/>
      <c r="R3882" s="1"/>
      <c r="S3882" s="1"/>
      <c r="T3882" s="1"/>
      <c r="U3882" s="1"/>
      <c r="V3882" s="1"/>
      <c r="W3882" s="1"/>
      <c r="X3882" s="1"/>
    </row>
    <row x14ac:dyDescent="0.25" r="3883" customHeight="1" ht="18.75">
      <c r="A3883" s="1"/>
      <c r="B3883" s="1"/>
      <c r="C3883" s="1"/>
      <c r="D3883" s="1"/>
      <c r="E3883" s="1"/>
      <c r="F3883" s="1"/>
      <c r="G3883" s="1"/>
      <c r="H3883" s="1"/>
      <c r="I3883" s="2"/>
      <c r="J3883" s="1"/>
      <c r="K3883" s="1"/>
      <c r="L3883" s="1"/>
      <c r="M3883" s="1"/>
      <c r="N3883" s="1"/>
      <c r="O3883" s="1"/>
      <c r="P3883" s="1"/>
      <c r="Q3883" s="1"/>
      <c r="R3883" s="1"/>
      <c r="S3883" s="1"/>
      <c r="T3883" s="1"/>
      <c r="U3883" s="1"/>
      <c r="V3883" s="1"/>
      <c r="W3883" s="1"/>
      <c r="X3883" s="1"/>
    </row>
    <row x14ac:dyDescent="0.25" r="3884" customHeight="1" ht="18.75">
      <c r="A3884" s="1"/>
      <c r="B3884" s="1"/>
      <c r="C3884" s="1"/>
      <c r="D3884" s="1"/>
      <c r="E3884" s="1"/>
      <c r="F3884" s="1"/>
      <c r="G3884" s="1"/>
      <c r="H3884" s="1"/>
      <c r="I3884" s="2"/>
      <c r="J3884" s="1"/>
      <c r="K3884" s="1"/>
      <c r="L3884" s="1"/>
      <c r="M3884" s="1"/>
      <c r="N3884" s="1"/>
      <c r="O3884" s="1"/>
      <c r="P3884" s="1"/>
      <c r="Q3884" s="1"/>
      <c r="R3884" s="1"/>
      <c r="S3884" s="1"/>
      <c r="T3884" s="1"/>
      <c r="U3884" s="1"/>
      <c r="V3884" s="1"/>
      <c r="W3884" s="1"/>
      <c r="X3884" s="1"/>
    </row>
    <row x14ac:dyDescent="0.25" r="3885" customHeight="1" ht="18.75">
      <c r="A3885" s="1"/>
      <c r="B3885" s="1"/>
      <c r="C3885" s="1"/>
      <c r="D3885" s="1"/>
      <c r="E3885" s="1"/>
      <c r="F3885" s="1"/>
      <c r="G3885" s="1"/>
      <c r="H3885" s="1"/>
      <c r="I3885" s="2"/>
      <c r="J3885" s="1"/>
      <c r="K3885" s="1"/>
      <c r="L3885" s="1"/>
      <c r="M3885" s="1"/>
      <c r="N3885" s="1"/>
      <c r="O3885" s="1"/>
      <c r="P3885" s="1"/>
      <c r="Q3885" s="1"/>
      <c r="R3885" s="1"/>
      <c r="S3885" s="1"/>
      <c r="T3885" s="1"/>
      <c r="U3885" s="1"/>
      <c r="V3885" s="1"/>
      <c r="W3885" s="1"/>
      <c r="X3885" s="1"/>
    </row>
    <row x14ac:dyDescent="0.25" r="3886" customHeight="1" ht="18.75">
      <c r="A3886" s="1"/>
      <c r="B3886" s="1"/>
      <c r="C3886" s="1"/>
      <c r="D3886" s="1"/>
      <c r="E3886" s="1"/>
      <c r="F3886" s="1"/>
      <c r="G3886" s="1"/>
      <c r="H3886" s="1"/>
      <c r="I3886" s="2"/>
      <c r="J3886" s="1"/>
      <c r="K3886" s="1"/>
      <c r="L3886" s="1"/>
      <c r="M3886" s="1"/>
      <c r="N3886" s="1"/>
      <c r="O3886" s="1"/>
      <c r="P3886" s="1"/>
      <c r="Q3886" s="1"/>
      <c r="R3886" s="1"/>
      <c r="S3886" s="1"/>
      <c r="T3886" s="1"/>
      <c r="U3886" s="1"/>
      <c r="V3886" s="1"/>
      <c r="W3886" s="1"/>
      <c r="X3886" s="1"/>
    </row>
    <row x14ac:dyDescent="0.25" r="3887" customHeight="1" ht="18.75">
      <c r="A3887" s="1"/>
      <c r="B3887" s="1"/>
      <c r="C3887" s="1"/>
      <c r="D3887" s="1"/>
      <c r="E3887" s="1"/>
      <c r="F3887" s="1"/>
      <c r="G3887" s="1"/>
      <c r="H3887" s="1"/>
      <c r="I3887" s="2"/>
      <c r="J3887" s="1"/>
      <c r="K3887" s="1"/>
      <c r="L3887" s="1"/>
      <c r="M3887" s="1"/>
      <c r="N3887" s="1"/>
      <c r="O3887" s="1"/>
      <c r="P3887" s="1"/>
      <c r="Q3887" s="1"/>
      <c r="R3887" s="1"/>
      <c r="S3887" s="1"/>
      <c r="T3887" s="1"/>
      <c r="U3887" s="1"/>
      <c r="V3887" s="1"/>
      <c r="W3887" s="1"/>
      <c r="X3887" s="1"/>
    </row>
    <row x14ac:dyDescent="0.25" r="3888" customHeight="1" ht="18.75">
      <c r="A3888" s="1"/>
      <c r="B3888" s="1"/>
      <c r="C3888" s="1"/>
      <c r="D3888" s="1"/>
      <c r="E3888" s="1"/>
      <c r="F3888" s="1"/>
      <c r="G3888" s="1"/>
      <c r="H3888" s="1"/>
      <c r="I3888" s="2"/>
      <c r="J3888" s="1"/>
      <c r="K3888" s="1"/>
      <c r="L3888" s="1"/>
      <c r="M3888" s="1"/>
      <c r="N3888" s="1"/>
      <c r="O3888" s="1"/>
      <c r="P3888" s="1"/>
      <c r="Q3888" s="1"/>
      <c r="R3888" s="1"/>
      <c r="S3888" s="1"/>
      <c r="T3888" s="1"/>
      <c r="U3888" s="1"/>
      <c r="V3888" s="1"/>
      <c r="W3888" s="1"/>
      <c r="X3888" s="1"/>
    </row>
    <row x14ac:dyDescent="0.25" r="3889" customHeight="1" ht="18.75">
      <c r="A3889" s="1"/>
      <c r="B3889" s="1"/>
      <c r="C3889" s="1"/>
      <c r="D3889" s="1"/>
      <c r="E3889" s="1"/>
      <c r="F3889" s="1"/>
      <c r="G3889" s="1"/>
      <c r="H3889" s="1"/>
      <c r="I3889" s="2"/>
      <c r="J3889" s="1"/>
      <c r="K3889" s="1"/>
      <c r="L3889" s="1"/>
      <c r="M3889" s="1"/>
      <c r="N3889" s="1"/>
      <c r="O3889" s="1"/>
      <c r="P3889" s="1"/>
      <c r="Q3889" s="1"/>
      <c r="R3889" s="1"/>
      <c r="S3889" s="1"/>
      <c r="T3889" s="1"/>
      <c r="U3889" s="1"/>
      <c r="V3889" s="1"/>
      <c r="W3889" s="1"/>
      <c r="X3889" s="1"/>
    </row>
    <row x14ac:dyDescent="0.25" r="3890" customHeight="1" ht="18.75">
      <c r="A3890" s="1"/>
      <c r="B3890" s="1"/>
      <c r="C3890" s="1"/>
      <c r="D3890" s="1"/>
      <c r="E3890" s="1"/>
      <c r="F3890" s="1"/>
      <c r="G3890" s="1"/>
      <c r="H3890" s="1"/>
      <c r="I3890" s="2"/>
      <c r="J3890" s="1"/>
      <c r="K3890" s="1"/>
      <c r="L3890" s="1"/>
      <c r="M3890" s="1"/>
      <c r="N3890" s="1"/>
      <c r="O3890" s="1"/>
      <c r="P3890" s="1"/>
      <c r="Q3890" s="1"/>
      <c r="R3890" s="1"/>
      <c r="S3890" s="1"/>
      <c r="T3890" s="1"/>
      <c r="U3890" s="1"/>
      <c r="V3890" s="1"/>
      <c r="W3890" s="1"/>
      <c r="X3890" s="1"/>
    </row>
    <row x14ac:dyDescent="0.25" r="3891" customHeight="1" ht="18.75">
      <c r="A3891" s="1"/>
      <c r="B3891" s="1"/>
      <c r="C3891" s="1"/>
      <c r="D3891" s="1"/>
      <c r="E3891" s="1"/>
      <c r="F3891" s="1"/>
      <c r="G3891" s="1"/>
      <c r="H3891" s="1"/>
      <c r="I3891" s="2"/>
      <c r="J3891" s="1"/>
      <c r="K3891" s="1"/>
      <c r="L3891" s="1"/>
      <c r="M3891" s="1"/>
      <c r="N3891" s="1"/>
      <c r="O3891" s="1"/>
      <c r="P3891" s="1"/>
      <c r="Q3891" s="1"/>
      <c r="R3891" s="1"/>
      <c r="S3891" s="1"/>
      <c r="T3891" s="1"/>
      <c r="U3891" s="1"/>
      <c r="V3891" s="1"/>
      <c r="W3891" s="1"/>
      <c r="X3891" s="1"/>
    </row>
    <row x14ac:dyDescent="0.25" r="3892" customHeight="1" ht="18.75">
      <c r="A3892" s="1"/>
      <c r="B3892" s="1"/>
      <c r="C3892" s="1"/>
      <c r="D3892" s="1"/>
      <c r="E3892" s="1"/>
      <c r="F3892" s="1"/>
      <c r="G3892" s="1"/>
      <c r="H3892" s="1"/>
      <c r="I3892" s="2"/>
      <c r="J3892" s="1"/>
      <c r="K3892" s="1"/>
      <c r="L3892" s="1"/>
      <c r="M3892" s="1"/>
      <c r="N3892" s="1"/>
      <c r="O3892" s="1"/>
      <c r="P3892" s="1"/>
      <c r="Q3892" s="1"/>
      <c r="R3892" s="1"/>
      <c r="S3892" s="1"/>
      <c r="T3892" s="1"/>
      <c r="U3892" s="1"/>
      <c r="V3892" s="1"/>
      <c r="W3892" s="1"/>
      <c r="X3892" s="1"/>
    </row>
    <row x14ac:dyDescent="0.25" r="3893" customHeight="1" ht="18.75">
      <c r="A3893" s="1"/>
      <c r="B3893" s="1"/>
      <c r="C3893" s="1"/>
      <c r="D3893" s="1"/>
      <c r="E3893" s="1"/>
      <c r="F3893" s="1"/>
      <c r="G3893" s="1"/>
      <c r="H3893" s="1"/>
      <c r="I3893" s="2"/>
      <c r="J3893" s="1"/>
      <c r="K3893" s="1"/>
      <c r="L3893" s="1"/>
      <c r="M3893" s="1"/>
      <c r="N3893" s="1"/>
      <c r="O3893" s="1"/>
      <c r="P3893" s="1"/>
      <c r="Q3893" s="1"/>
      <c r="R3893" s="1"/>
      <c r="S3893" s="1"/>
      <c r="T3893" s="1"/>
      <c r="U3893" s="1"/>
      <c r="V3893" s="1"/>
      <c r="W3893" s="1"/>
      <c r="X3893" s="1"/>
    </row>
    <row x14ac:dyDescent="0.25" r="3894" customHeight="1" ht="18.75">
      <c r="A3894" s="1"/>
      <c r="B3894" s="1"/>
      <c r="C3894" s="1"/>
      <c r="D3894" s="1"/>
      <c r="E3894" s="1"/>
      <c r="F3894" s="1"/>
      <c r="G3894" s="1"/>
      <c r="H3894" s="1"/>
      <c r="I3894" s="2"/>
      <c r="J3894" s="1"/>
      <c r="K3894" s="1"/>
      <c r="L3894" s="1"/>
      <c r="M3894" s="1"/>
      <c r="N3894" s="1"/>
      <c r="O3894" s="1"/>
      <c r="P3894" s="1"/>
      <c r="Q3894" s="1"/>
      <c r="R3894" s="1"/>
      <c r="S3894" s="1"/>
      <c r="T3894" s="1"/>
      <c r="U3894" s="1"/>
      <c r="V3894" s="1"/>
      <c r="W3894" s="1"/>
      <c r="X3894" s="1"/>
    </row>
    <row x14ac:dyDescent="0.25" r="3895" customHeight="1" ht="18.75">
      <c r="A3895" s="1"/>
      <c r="B3895" s="1"/>
      <c r="C3895" s="1"/>
      <c r="D3895" s="1"/>
      <c r="E3895" s="1"/>
      <c r="F3895" s="1"/>
      <c r="G3895" s="1"/>
      <c r="H3895" s="1"/>
      <c r="I3895" s="2"/>
      <c r="J3895" s="1"/>
      <c r="K3895" s="1"/>
      <c r="L3895" s="1"/>
      <c r="M3895" s="1"/>
      <c r="N3895" s="1"/>
      <c r="O3895" s="1"/>
      <c r="P3895" s="1"/>
      <c r="Q3895" s="1"/>
      <c r="R3895" s="1"/>
      <c r="S3895" s="1"/>
      <c r="T3895" s="1"/>
      <c r="U3895" s="1"/>
      <c r="V3895" s="1"/>
      <c r="W3895" s="1"/>
      <c r="X3895" s="1"/>
    </row>
    <row x14ac:dyDescent="0.25" r="3896" customHeight="1" ht="18.75">
      <c r="A3896" s="1"/>
      <c r="B3896" s="1"/>
      <c r="C3896" s="1"/>
      <c r="D3896" s="1"/>
      <c r="E3896" s="1"/>
      <c r="F3896" s="1"/>
      <c r="G3896" s="1"/>
      <c r="H3896" s="1"/>
      <c r="I3896" s="2"/>
      <c r="J3896" s="1"/>
      <c r="K3896" s="1"/>
      <c r="L3896" s="1"/>
      <c r="M3896" s="1"/>
      <c r="N3896" s="1"/>
      <c r="O3896" s="1"/>
      <c r="P3896" s="1"/>
      <c r="Q3896" s="1"/>
      <c r="R3896" s="1"/>
      <c r="S3896" s="1"/>
      <c r="T3896" s="1"/>
      <c r="U3896" s="1"/>
      <c r="V3896" s="1"/>
      <c r="W3896" s="1"/>
      <c r="X3896" s="1"/>
    </row>
    <row x14ac:dyDescent="0.25" r="3897" customHeight="1" ht="18.75">
      <c r="A3897" s="1"/>
      <c r="B3897" s="1"/>
      <c r="C3897" s="1"/>
      <c r="D3897" s="1"/>
      <c r="E3897" s="1"/>
      <c r="F3897" s="1"/>
      <c r="G3897" s="1"/>
      <c r="H3897" s="1"/>
      <c r="I3897" s="2"/>
      <c r="J3897" s="1"/>
      <c r="K3897" s="1"/>
      <c r="L3897" s="1"/>
      <c r="M3897" s="1"/>
      <c r="N3897" s="1"/>
      <c r="O3897" s="1"/>
      <c r="P3897" s="1"/>
      <c r="Q3897" s="1"/>
      <c r="R3897" s="1"/>
      <c r="S3897" s="1"/>
      <c r="T3897" s="1"/>
      <c r="U3897" s="1"/>
      <c r="V3897" s="1"/>
      <c r="W3897" s="1"/>
      <c r="X3897" s="1"/>
    </row>
    <row x14ac:dyDescent="0.25" r="3898" customHeight="1" ht="18.75">
      <c r="A3898" s="1"/>
      <c r="B3898" s="1"/>
      <c r="C3898" s="1"/>
      <c r="D3898" s="1"/>
      <c r="E3898" s="1"/>
      <c r="F3898" s="1"/>
      <c r="G3898" s="1"/>
      <c r="H3898" s="1"/>
      <c r="I3898" s="2"/>
      <c r="J3898" s="1"/>
      <c r="K3898" s="1"/>
      <c r="L3898" s="1"/>
      <c r="M3898" s="1"/>
      <c r="N3898" s="1"/>
      <c r="O3898" s="1"/>
      <c r="P3898" s="1"/>
      <c r="Q3898" s="1"/>
      <c r="R3898" s="1"/>
      <c r="S3898" s="1"/>
      <c r="T3898" s="1"/>
      <c r="U3898" s="1"/>
      <c r="V3898" s="1"/>
      <c r="W3898" s="1"/>
      <c r="X3898" s="1"/>
    </row>
    <row x14ac:dyDescent="0.25" r="3899" customHeight="1" ht="18.75">
      <c r="A3899" s="1"/>
      <c r="B3899" s="1"/>
      <c r="C3899" s="1"/>
      <c r="D3899" s="1"/>
      <c r="E3899" s="1"/>
      <c r="F3899" s="1"/>
      <c r="G3899" s="1"/>
      <c r="H3899" s="1"/>
      <c r="I3899" s="2"/>
      <c r="J3899" s="1"/>
      <c r="K3899" s="1"/>
      <c r="L3899" s="1"/>
      <c r="M3899" s="1"/>
      <c r="N3899" s="1"/>
      <c r="O3899" s="1"/>
      <c r="P3899" s="1"/>
      <c r="Q3899" s="1"/>
      <c r="R3899" s="1"/>
      <c r="S3899" s="1"/>
      <c r="T3899" s="1"/>
      <c r="U3899" s="1"/>
      <c r="V3899" s="1"/>
      <c r="W3899" s="1"/>
      <c r="X3899" s="1"/>
    </row>
    <row x14ac:dyDescent="0.25" r="3900" customHeight="1" ht="18.75">
      <c r="A3900" s="1"/>
      <c r="B3900" s="1"/>
      <c r="C3900" s="1"/>
      <c r="D3900" s="1"/>
      <c r="E3900" s="1"/>
      <c r="F3900" s="1"/>
      <c r="G3900" s="1"/>
      <c r="H3900" s="1"/>
      <c r="I3900" s="2"/>
      <c r="J3900" s="1"/>
      <c r="K3900" s="1"/>
      <c r="L3900" s="1"/>
      <c r="M3900" s="1"/>
      <c r="N3900" s="1"/>
      <c r="O3900" s="1"/>
      <c r="P3900" s="1"/>
      <c r="Q3900" s="1"/>
      <c r="R3900" s="1"/>
      <c r="S3900" s="1"/>
      <c r="T3900" s="1"/>
      <c r="U3900" s="1"/>
      <c r="V3900" s="1"/>
      <c r="W3900" s="1"/>
      <c r="X3900" s="1"/>
    </row>
    <row x14ac:dyDescent="0.25" r="3901" customHeight="1" ht="18.75">
      <c r="A3901" s="1"/>
      <c r="B3901" s="1"/>
      <c r="C3901" s="1"/>
      <c r="D3901" s="1"/>
      <c r="E3901" s="1"/>
      <c r="F3901" s="1"/>
      <c r="G3901" s="1"/>
      <c r="H3901" s="1"/>
      <c r="I3901" s="2"/>
      <c r="J3901" s="1"/>
      <c r="K3901" s="1"/>
      <c r="L3901" s="1"/>
      <c r="M3901" s="1"/>
      <c r="N3901" s="1"/>
      <c r="O3901" s="1"/>
      <c r="P3901" s="1"/>
      <c r="Q3901" s="1"/>
      <c r="R3901" s="1"/>
      <c r="S3901" s="1"/>
      <c r="T3901" s="1"/>
      <c r="U3901" s="1"/>
      <c r="V3901" s="1"/>
      <c r="W3901" s="1"/>
      <c r="X3901" s="1"/>
    </row>
    <row x14ac:dyDescent="0.25" r="3902" customHeight="1" ht="18.75">
      <c r="A3902" s="1"/>
      <c r="B3902" s="1"/>
      <c r="C3902" s="1"/>
      <c r="D3902" s="1"/>
      <c r="E3902" s="1"/>
      <c r="F3902" s="1"/>
      <c r="G3902" s="1"/>
      <c r="H3902" s="1"/>
      <c r="I3902" s="2"/>
      <c r="J3902" s="1"/>
      <c r="K3902" s="1"/>
      <c r="L3902" s="1"/>
      <c r="M3902" s="1"/>
      <c r="N3902" s="1"/>
      <c r="O3902" s="1"/>
      <c r="P3902" s="1"/>
      <c r="Q3902" s="1"/>
      <c r="R3902" s="1"/>
      <c r="S3902" s="1"/>
      <c r="T3902" s="1"/>
      <c r="U3902" s="1"/>
      <c r="V3902" s="1"/>
      <c r="W3902" s="1"/>
      <c r="X3902" s="1"/>
    </row>
    <row x14ac:dyDescent="0.25" r="3903" customHeight="1" ht="18.75">
      <c r="A3903" s="1"/>
      <c r="B3903" s="1"/>
      <c r="C3903" s="1"/>
      <c r="D3903" s="1"/>
      <c r="E3903" s="1"/>
      <c r="F3903" s="1"/>
      <c r="G3903" s="1"/>
      <c r="H3903" s="1"/>
      <c r="I3903" s="2"/>
      <c r="J3903" s="1"/>
      <c r="K3903" s="1"/>
      <c r="L3903" s="1"/>
      <c r="M3903" s="1"/>
      <c r="N3903" s="1"/>
      <c r="O3903" s="1"/>
      <c r="P3903" s="1"/>
      <c r="Q3903" s="1"/>
      <c r="R3903" s="1"/>
      <c r="S3903" s="1"/>
      <c r="T3903" s="1"/>
      <c r="U3903" s="1"/>
      <c r="V3903" s="1"/>
      <c r="W3903" s="1"/>
      <c r="X3903" s="1"/>
    </row>
    <row x14ac:dyDescent="0.25" r="3904" customHeight="1" ht="18.75">
      <c r="A3904" s="1"/>
      <c r="B3904" s="1"/>
      <c r="C3904" s="1"/>
      <c r="D3904" s="1"/>
      <c r="E3904" s="1"/>
      <c r="F3904" s="1"/>
      <c r="G3904" s="1"/>
      <c r="H3904" s="1"/>
      <c r="I3904" s="2"/>
      <c r="J3904" s="1"/>
      <c r="K3904" s="1"/>
      <c r="L3904" s="1"/>
      <c r="M3904" s="1"/>
      <c r="N3904" s="1"/>
      <c r="O3904" s="1"/>
      <c r="P3904" s="1"/>
      <c r="Q3904" s="1"/>
      <c r="R3904" s="1"/>
      <c r="S3904" s="1"/>
      <c r="T3904" s="1"/>
      <c r="U3904" s="1"/>
      <c r="V3904" s="1"/>
      <c r="W3904" s="1"/>
      <c r="X3904" s="1"/>
    </row>
    <row x14ac:dyDescent="0.25" r="3905" customHeight="1" ht="18.75">
      <c r="A3905" s="1"/>
      <c r="B3905" s="1"/>
      <c r="C3905" s="1"/>
      <c r="D3905" s="1"/>
      <c r="E3905" s="1"/>
      <c r="F3905" s="1"/>
      <c r="G3905" s="1"/>
      <c r="H3905" s="1"/>
      <c r="I3905" s="2"/>
      <c r="J3905" s="1"/>
      <c r="K3905" s="1"/>
      <c r="L3905" s="1"/>
      <c r="M3905" s="1"/>
      <c r="N3905" s="1"/>
      <c r="O3905" s="1"/>
      <c r="P3905" s="1"/>
      <c r="Q3905" s="1"/>
      <c r="R3905" s="1"/>
      <c r="S3905" s="1"/>
      <c r="T3905" s="1"/>
      <c r="U3905" s="1"/>
      <c r="V3905" s="1"/>
      <c r="W3905" s="1"/>
      <c r="X3905" s="1"/>
    </row>
    <row x14ac:dyDescent="0.25" r="3906" customHeight="1" ht="18.75">
      <c r="A3906" s="1"/>
      <c r="B3906" s="1"/>
      <c r="C3906" s="1"/>
      <c r="D3906" s="1"/>
      <c r="E3906" s="1"/>
      <c r="F3906" s="1"/>
      <c r="G3906" s="1"/>
      <c r="H3906" s="1"/>
      <c r="I3906" s="2"/>
      <c r="J3906" s="1"/>
      <c r="K3906" s="1"/>
      <c r="L3906" s="1"/>
      <c r="M3906" s="1"/>
      <c r="N3906" s="1"/>
      <c r="O3906" s="1"/>
      <c r="P3906" s="1"/>
      <c r="Q3906" s="1"/>
      <c r="R3906" s="1"/>
      <c r="S3906" s="1"/>
      <c r="T3906" s="1"/>
      <c r="U3906" s="1"/>
      <c r="V3906" s="1"/>
      <c r="W3906" s="1"/>
      <c r="X3906" s="1"/>
    </row>
    <row x14ac:dyDescent="0.25" r="3907" customHeight="1" ht="18.75">
      <c r="A3907" s="1"/>
      <c r="B3907" s="1"/>
      <c r="C3907" s="1"/>
      <c r="D3907" s="1"/>
      <c r="E3907" s="1"/>
      <c r="F3907" s="1"/>
      <c r="G3907" s="1"/>
      <c r="H3907" s="1"/>
      <c r="I3907" s="2"/>
      <c r="J3907" s="1"/>
      <c r="K3907" s="1"/>
      <c r="L3907" s="1"/>
      <c r="M3907" s="1"/>
      <c r="N3907" s="1"/>
      <c r="O3907" s="1"/>
      <c r="P3907" s="1"/>
      <c r="Q3907" s="1"/>
      <c r="R3907" s="1"/>
      <c r="S3907" s="1"/>
      <c r="T3907" s="1"/>
      <c r="U3907" s="1"/>
      <c r="V3907" s="1"/>
      <c r="W3907" s="1"/>
      <c r="X3907" s="1"/>
    </row>
    <row x14ac:dyDescent="0.25" r="3908" customHeight="1" ht="18.75">
      <c r="A3908" s="1"/>
      <c r="B3908" s="1"/>
      <c r="C3908" s="1"/>
      <c r="D3908" s="1"/>
      <c r="E3908" s="1"/>
      <c r="F3908" s="1"/>
      <c r="G3908" s="1"/>
      <c r="H3908" s="1"/>
      <c r="I3908" s="2"/>
      <c r="J3908" s="1"/>
      <c r="K3908" s="1"/>
      <c r="L3908" s="1"/>
      <c r="M3908" s="1"/>
      <c r="N3908" s="1"/>
      <c r="O3908" s="1"/>
      <c r="P3908" s="1"/>
      <c r="Q3908" s="1"/>
      <c r="R3908" s="1"/>
      <c r="S3908" s="1"/>
      <c r="T3908" s="1"/>
      <c r="U3908" s="1"/>
      <c r="V3908" s="1"/>
      <c r="W3908" s="1"/>
      <c r="X3908" s="1"/>
    </row>
    <row x14ac:dyDescent="0.25" r="3909" customHeight="1" ht="18.75">
      <c r="A3909" s="1"/>
      <c r="B3909" s="1"/>
      <c r="C3909" s="1"/>
      <c r="D3909" s="1"/>
      <c r="E3909" s="1"/>
      <c r="F3909" s="1"/>
      <c r="G3909" s="1"/>
      <c r="H3909" s="1"/>
      <c r="I3909" s="2"/>
      <c r="J3909" s="1"/>
      <c r="K3909" s="1"/>
      <c r="L3909" s="1"/>
      <c r="M3909" s="1"/>
      <c r="N3909" s="1"/>
      <c r="O3909" s="1"/>
      <c r="P3909" s="1"/>
      <c r="Q3909" s="1"/>
      <c r="R3909" s="1"/>
      <c r="S3909" s="1"/>
      <c r="T3909" s="1"/>
      <c r="U3909" s="1"/>
      <c r="V3909" s="1"/>
      <c r="W3909" s="1"/>
      <c r="X3909" s="1"/>
    </row>
    <row x14ac:dyDescent="0.25" r="3910" customHeight="1" ht="18.75">
      <c r="A3910" s="1"/>
      <c r="B3910" s="1"/>
      <c r="C3910" s="1"/>
      <c r="D3910" s="1"/>
      <c r="E3910" s="1"/>
      <c r="F3910" s="1"/>
      <c r="G3910" s="1"/>
      <c r="H3910" s="1"/>
      <c r="I3910" s="2"/>
      <c r="J3910" s="1"/>
      <c r="K3910" s="1"/>
      <c r="L3910" s="1"/>
      <c r="M3910" s="1"/>
      <c r="N3910" s="1"/>
      <c r="O3910" s="1"/>
      <c r="P3910" s="1"/>
      <c r="Q3910" s="1"/>
      <c r="R3910" s="1"/>
      <c r="S3910" s="1"/>
      <c r="T3910" s="1"/>
      <c r="U3910" s="1"/>
      <c r="V3910" s="1"/>
      <c r="W3910" s="1"/>
      <c r="X3910" s="1"/>
    </row>
    <row x14ac:dyDescent="0.25" r="3911" customHeight="1" ht="18.75">
      <c r="A3911" s="1"/>
      <c r="B3911" s="1"/>
      <c r="C3911" s="1"/>
      <c r="D3911" s="1"/>
      <c r="E3911" s="1"/>
      <c r="F3911" s="1"/>
      <c r="G3911" s="1"/>
      <c r="H3911" s="1"/>
      <c r="I3911" s="2"/>
      <c r="J3911" s="1"/>
      <c r="K3911" s="1"/>
      <c r="L3911" s="1"/>
      <c r="M3911" s="1"/>
      <c r="N3911" s="1"/>
      <c r="O3911" s="1"/>
      <c r="P3911" s="1"/>
      <c r="Q3911" s="1"/>
      <c r="R3911" s="1"/>
      <c r="S3911" s="1"/>
      <c r="T3911" s="1"/>
      <c r="U3911" s="1"/>
      <c r="V3911" s="1"/>
      <c r="W3911" s="1"/>
      <c r="X3911" s="1"/>
    </row>
    <row x14ac:dyDescent="0.25" r="3912" customHeight="1" ht="18.75">
      <c r="A3912" s="1"/>
      <c r="B3912" s="1"/>
      <c r="C3912" s="1"/>
      <c r="D3912" s="1"/>
      <c r="E3912" s="1"/>
      <c r="F3912" s="1"/>
      <c r="G3912" s="1"/>
      <c r="H3912" s="1"/>
      <c r="I3912" s="2"/>
      <c r="J3912" s="1"/>
      <c r="K3912" s="1"/>
      <c r="L3912" s="1"/>
      <c r="M3912" s="1"/>
      <c r="N3912" s="1"/>
      <c r="O3912" s="1"/>
      <c r="P3912" s="1"/>
      <c r="Q3912" s="1"/>
      <c r="R3912" s="1"/>
      <c r="S3912" s="1"/>
      <c r="T3912" s="1"/>
      <c r="U3912" s="1"/>
      <c r="V3912" s="1"/>
      <c r="W3912" s="1"/>
      <c r="X3912" s="1"/>
    </row>
    <row x14ac:dyDescent="0.25" r="3913" customHeight="1" ht="18.75">
      <c r="A3913" s="1"/>
      <c r="B3913" s="1"/>
      <c r="C3913" s="1"/>
      <c r="D3913" s="1"/>
      <c r="E3913" s="1"/>
      <c r="F3913" s="1"/>
      <c r="G3913" s="1"/>
      <c r="H3913" s="1"/>
      <c r="I3913" s="2"/>
      <c r="J3913" s="1"/>
      <c r="K3913" s="1"/>
      <c r="L3913" s="1"/>
      <c r="M3913" s="1"/>
      <c r="N3913" s="1"/>
      <c r="O3913" s="1"/>
      <c r="P3913" s="1"/>
      <c r="Q3913" s="1"/>
      <c r="R3913" s="1"/>
      <c r="S3913" s="1"/>
      <c r="T3913" s="1"/>
      <c r="U3913" s="1"/>
      <c r="V3913" s="1"/>
      <c r="W3913" s="1"/>
      <c r="X3913" s="1"/>
    </row>
    <row x14ac:dyDescent="0.25" r="3914" customHeight="1" ht="18.75">
      <c r="A3914" s="1"/>
      <c r="B3914" s="1"/>
      <c r="C3914" s="1"/>
      <c r="D3914" s="1"/>
      <c r="E3914" s="1"/>
      <c r="F3914" s="1"/>
      <c r="G3914" s="1"/>
      <c r="H3914" s="1"/>
      <c r="I3914" s="2"/>
      <c r="J3914" s="1"/>
      <c r="K3914" s="1"/>
      <c r="L3914" s="1"/>
      <c r="M3914" s="1"/>
      <c r="N3914" s="1"/>
      <c r="O3914" s="1"/>
      <c r="P3914" s="1"/>
      <c r="Q3914" s="1"/>
      <c r="R3914" s="1"/>
      <c r="S3914" s="1"/>
      <c r="T3914" s="1"/>
      <c r="U3914" s="1"/>
      <c r="V3914" s="1"/>
      <c r="W3914" s="1"/>
      <c r="X3914" s="1"/>
    </row>
    <row x14ac:dyDescent="0.25" r="3915" customHeight="1" ht="18.75">
      <c r="A3915" s="1"/>
      <c r="B3915" s="1"/>
      <c r="C3915" s="1"/>
      <c r="D3915" s="1"/>
      <c r="E3915" s="1"/>
      <c r="F3915" s="1"/>
      <c r="G3915" s="1"/>
      <c r="H3915" s="1"/>
      <c r="I3915" s="2"/>
      <c r="J3915" s="1"/>
      <c r="K3915" s="1"/>
      <c r="L3915" s="1"/>
      <c r="M3915" s="1"/>
      <c r="N3915" s="1"/>
      <c r="O3915" s="1"/>
      <c r="P3915" s="1"/>
      <c r="Q3915" s="1"/>
      <c r="R3915" s="1"/>
      <c r="S3915" s="1"/>
      <c r="T3915" s="1"/>
      <c r="U3915" s="1"/>
      <c r="V3915" s="1"/>
      <c r="W3915" s="1"/>
      <c r="X3915" s="1"/>
    </row>
    <row x14ac:dyDescent="0.25" r="3916" customHeight="1" ht="18.75">
      <c r="A3916" s="1"/>
      <c r="B3916" s="1"/>
      <c r="C3916" s="1"/>
      <c r="D3916" s="1"/>
      <c r="E3916" s="1"/>
      <c r="F3916" s="1"/>
      <c r="G3916" s="1"/>
      <c r="H3916" s="1"/>
      <c r="I3916" s="2"/>
      <c r="J3916" s="1"/>
      <c r="K3916" s="1"/>
      <c r="L3916" s="1"/>
      <c r="M3916" s="1"/>
      <c r="N3916" s="1"/>
      <c r="O3916" s="1"/>
      <c r="P3916" s="1"/>
      <c r="Q3916" s="1"/>
      <c r="R3916" s="1"/>
      <c r="S3916" s="1"/>
      <c r="T3916" s="1"/>
      <c r="U3916" s="1"/>
      <c r="V3916" s="1"/>
      <c r="W3916" s="1"/>
      <c r="X3916" s="1"/>
    </row>
    <row x14ac:dyDescent="0.25" r="3917" customHeight="1" ht="18.75">
      <c r="A3917" s="1"/>
      <c r="B3917" s="1"/>
      <c r="C3917" s="1"/>
      <c r="D3917" s="1"/>
      <c r="E3917" s="1"/>
      <c r="F3917" s="1"/>
      <c r="G3917" s="1"/>
      <c r="H3917" s="1"/>
      <c r="I3917" s="2"/>
      <c r="J3917" s="1"/>
      <c r="K3917" s="1"/>
      <c r="L3917" s="1"/>
      <c r="M3917" s="1"/>
      <c r="N3917" s="1"/>
      <c r="O3917" s="1"/>
      <c r="P3917" s="1"/>
      <c r="Q3917" s="1"/>
      <c r="R3917" s="1"/>
      <c r="S3917" s="1"/>
      <c r="T3917" s="1"/>
      <c r="U3917" s="1"/>
      <c r="V3917" s="1"/>
      <c r="W3917" s="1"/>
      <c r="X3917" s="1"/>
    </row>
    <row x14ac:dyDescent="0.25" r="3918" customHeight="1" ht="18.75">
      <c r="A3918" s="1"/>
      <c r="B3918" s="1"/>
      <c r="C3918" s="1"/>
      <c r="D3918" s="1"/>
      <c r="E3918" s="1"/>
      <c r="F3918" s="1"/>
      <c r="G3918" s="1"/>
      <c r="H3918" s="1"/>
      <c r="I3918" s="2"/>
      <c r="J3918" s="1"/>
      <c r="K3918" s="1"/>
      <c r="L3918" s="1"/>
      <c r="M3918" s="1"/>
      <c r="N3918" s="1"/>
      <c r="O3918" s="1"/>
      <c r="P3918" s="1"/>
      <c r="Q3918" s="1"/>
      <c r="R3918" s="1"/>
      <c r="S3918" s="1"/>
      <c r="T3918" s="1"/>
      <c r="U3918" s="1"/>
      <c r="V3918" s="1"/>
      <c r="W3918" s="1"/>
      <c r="X3918" s="1"/>
    </row>
    <row x14ac:dyDescent="0.25" r="3919" customHeight="1" ht="18.75">
      <c r="A3919" s="1"/>
      <c r="B3919" s="1"/>
      <c r="C3919" s="1"/>
      <c r="D3919" s="1"/>
      <c r="E3919" s="1"/>
      <c r="F3919" s="1"/>
      <c r="G3919" s="1"/>
      <c r="H3919" s="1"/>
      <c r="I3919" s="2"/>
      <c r="J3919" s="1"/>
      <c r="K3919" s="1"/>
      <c r="L3919" s="1"/>
      <c r="M3919" s="1"/>
      <c r="N3919" s="1"/>
      <c r="O3919" s="1"/>
      <c r="P3919" s="1"/>
      <c r="Q3919" s="1"/>
      <c r="R3919" s="1"/>
      <c r="S3919" s="1"/>
      <c r="T3919" s="1"/>
      <c r="U3919" s="1"/>
      <c r="V3919" s="1"/>
      <c r="W3919" s="1"/>
      <c r="X3919" s="1"/>
    </row>
    <row x14ac:dyDescent="0.25" r="3920" customHeight="1" ht="18.75">
      <c r="A3920" s="1"/>
      <c r="B3920" s="1"/>
      <c r="C3920" s="1"/>
      <c r="D3920" s="1"/>
      <c r="E3920" s="1"/>
      <c r="F3920" s="1"/>
      <c r="G3920" s="1"/>
      <c r="H3920" s="1"/>
      <c r="I3920" s="2"/>
      <c r="J3920" s="1"/>
      <c r="K3920" s="1"/>
      <c r="L3920" s="1"/>
      <c r="M3920" s="1"/>
      <c r="N3920" s="1"/>
      <c r="O3920" s="1"/>
      <c r="P3920" s="1"/>
      <c r="Q3920" s="1"/>
      <c r="R3920" s="1"/>
      <c r="S3920" s="1"/>
      <c r="T3920" s="1"/>
      <c r="U3920" s="1"/>
      <c r="V3920" s="1"/>
      <c r="W3920" s="1"/>
      <c r="X3920" s="1"/>
    </row>
    <row x14ac:dyDescent="0.25" r="3921" customHeight="1" ht="18.75">
      <c r="A3921" s="1"/>
      <c r="B3921" s="1"/>
      <c r="C3921" s="1"/>
      <c r="D3921" s="1"/>
      <c r="E3921" s="1"/>
      <c r="F3921" s="1"/>
      <c r="G3921" s="1"/>
      <c r="H3921" s="1"/>
      <c r="I3921" s="2"/>
      <c r="J3921" s="1"/>
      <c r="K3921" s="1"/>
      <c r="L3921" s="1"/>
      <c r="M3921" s="1"/>
      <c r="N3921" s="1"/>
      <c r="O3921" s="1"/>
      <c r="P3921" s="1"/>
      <c r="Q3921" s="1"/>
      <c r="R3921" s="1"/>
      <c r="S3921" s="1"/>
      <c r="T3921" s="1"/>
      <c r="U3921" s="1"/>
      <c r="V3921" s="1"/>
      <c r="W3921" s="1"/>
      <c r="X3921" s="1"/>
    </row>
    <row x14ac:dyDescent="0.25" r="3922" customHeight="1" ht="18.75">
      <c r="A3922" s="1"/>
      <c r="B3922" s="1"/>
      <c r="C3922" s="1"/>
      <c r="D3922" s="1"/>
      <c r="E3922" s="1"/>
      <c r="F3922" s="1"/>
      <c r="G3922" s="1"/>
      <c r="H3922" s="1"/>
      <c r="I3922" s="2"/>
      <c r="J3922" s="1"/>
      <c r="K3922" s="1"/>
      <c r="L3922" s="1"/>
      <c r="M3922" s="1"/>
      <c r="N3922" s="1"/>
      <c r="O3922" s="1"/>
      <c r="P3922" s="1"/>
      <c r="Q3922" s="1"/>
      <c r="R3922" s="1"/>
      <c r="S3922" s="1"/>
      <c r="T3922" s="1"/>
      <c r="U3922" s="1"/>
      <c r="V3922" s="1"/>
      <c r="W3922" s="1"/>
      <c r="X3922" s="1"/>
    </row>
    <row x14ac:dyDescent="0.25" r="3923" customHeight="1" ht="18.75">
      <c r="A3923" s="1"/>
      <c r="B3923" s="1"/>
      <c r="C3923" s="1"/>
      <c r="D3923" s="1"/>
      <c r="E3923" s="1"/>
      <c r="F3923" s="1"/>
      <c r="G3923" s="1"/>
      <c r="H3923" s="1"/>
      <c r="I3923" s="2"/>
      <c r="J3923" s="1"/>
      <c r="K3923" s="1"/>
      <c r="L3923" s="1"/>
      <c r="M3923" s="1"/>
      <c r="N3923" s="1"/>
      <c r="O3923" s="1"/>
      <c r="P3923" s="1"/>
      <c r="Q3923" s="1"/>
      <c r="R3923" s="1"/>
      <c r="S3923" s="1"/>
      <c r="T3923" s="1"/>
      <c r="U3923" s="1"/>
      <c r="V3923" s="1"/>
      <c r="W3923" s="1"/>
      <c r="X3923" s="1"/>
    </row>
    <row x14ac:dyDescent="0.25" r="3924" customHeight="1" ht="18.75">
      <c r="A3924" s="1"/>
      <c r="B3924" s="1"/>
      <c r="C3924" s="1"/>
      <c r="D3924" s="1"/>
      <c r="E3924" s="1"/>
      <c r="F3924" s="1"/>
      <c r="G3924" s="1"/>
      <c r="H3924" s="1"/>
      <c r="I3924" s="2"/>
      <c r="J3924" s="1"/>
      <c r="K3924" s="1"/>
      <c r="L3924" s="1"/>
      <c r="M3924" s="1"/>
      <c r="N3924" s="1"/>
      <c r="O3924" s="1"/>
      <c r="P3924" s="1"/>
      <c r="Q3924" s="1"/>
      <c r="R3924" s="1"/>
      <c r="S3924" s="1"/>
      <c r="T3924" s="1"/>
      <c r="U3924" s="1"/>
      <c r="V3924" s="1"/>
      <c r="W3924" s="1"/>
      <c r="X3924" s="1"/>
    </row>
    <row x14ac:dyDescent="0.25" r="3925" customHeight="1" ht="18.75">
      <c r="A3925" s="1"/>
      <c r="B3925" s="1"/>
      <c r="C3925" s="1"/>
      <c r="D3925" s="1"/>
      <c r="E3925" s="1"/>
      <c r="F3925" s="1"/>
      <c r="G3925" s="1"/>
      <c r="H3925" s="1"/>
      <c r="I3925" s="2"/>
      <c r="J3925" s="1"/>
      <c r="K3925" s="1"/>
      <c r="L3925" s="1"/>
      <c r="M3925" s="1"/>
      <c r="N3925" s="1"/>
      <c r="O3925" s="1"/>
      <c r="P3925" s="1"/>
      <c r="Q3925" s="1"/>
      <c r="R3925" s="1"/>
      <c r="S3925" s="1"/>
      <c r="T3925" s="1"/>
      <c r="U3925" s="1"/>
      <c r="V3925" s="1"/>
      <c r="W3925" s="1"/>
      <c r="X3925" s="1"/>
    </row>
    <row x14ac:dyDescent="0.25" r="3926" customHeight="1" ht="18.75">
      <c r="A3926" s="1"/>
      <c r="B3926" s="1"/>
      <c r="C3926" s="1"/>
      <c r="D3926" s="1"/>
      <c r="E3926" s="1"/>
      <c r="F3926" s="1"/>
      <c r="G3926" s="1"/>
      <c r="H3926" s="1"/>
      <c r="I3926" s="2"/>
      <c r="J3926" s="1"/>
      <c r="K3926" s="1"/>
      <c r="L3926" s="1"/>
      <c r="M3926" s="1"/>
      <c r="N3926" s="1"/>
      <c r="O3926" s="1"/>
      <c r="P3926" s="1"/>
      <c r="Q3926" s="1"/>
      <c r="R3926" s="1"/>
      <c r="S3926" s="1"/>
      <c r="T3926" s="1"/>
      <c r="U3926" s="1"/>
      <c r="V3926" s="1"/>
      <c r="W3926" s="1"/>
      <c r="X3926" s="1"/>
    </row>
    <row x14ac:dyDescent="0.25" r="3927" customHeight="1" ht="18.75">
      <c r="A3927" s="1"/>
      <c r="B3927" s="1"/>
      <c r="C3927" s="1"/>
      <c r="D3927" s="1"/>
      <c r="E3927" s="1"/>
      <c r="F3927" s="1"/>
      <c r="G3927" s="1"/>
      <c r="H3927" s="1"/>
      <c r="I3927" s="2"/>
      <c r="J3927" s="1"/>
      <c r="K3927" s="1"/>
      <c r="L3927" s="1"/>
      <c r="M3927" s="1"/>
      <c r="N3927" s="1"/>
      <c r="O3927" s="1"/>
      <c r="P3927" s="1"/>
      <c r="Q3927" s="1"/>
      <c r="R3927" s="1"/>
      <c r="S3927" s="1"/>
      <c r="T3927" s="1"/>
      <c r="U3927" s="1"/>
      <c r="V3927" s="1"/>
      <c r="W3927" s="1"/>
      <c r="X3927" s="1"/>
    </row>
    <row x14ac:dyDescent="0.25" r="3928" customHeight="1" ht="18.75">
      <c r="A3928" s="1"/>
      <c r="B3928" s="1"/>
      <c r="C3928" s="1"/>
      <c r="D3928" s="1"/>
      <c r="E3928" s="1"/>
      <c r="F3928" s="1"/>
      <c r="G3928" s="1"/>
      <c r="H3928" s="1"/>
      <c r="I3928" s="2"/>
      <c r="J3928" s="1"/>
      <c r="K3928" s="1"/>
      <c r="L3928" s="1"/>
      <c r="M3928" s="1"/>
      <c r="N3928" s="1"/>
      <c r="O3928" s="1"/>
      <c r="P3928" s="1"/>
      <c r="Q3928" s="1"/>
      <c r="R3928" s="1"/>
      <c r="S3928" s="1"/>
      <c r="T3928" s="1"/>
      <c r="U3928" s="1"/>
      <c r="V3928" s="1"/>
      <c r="W3928" s="1"/>
      <c r="X3928" s="1"/>
    </row>
    <row x14ac:dyDescent="0.25" r="3929" customHeight="1" ht="18.75">
      <c r="A3929" s="1"/>
      <c r="B3929" s="1"/>
      <c r="C3929" s="1"/>
      <c r="D3929" s="1"/>
      <c r="E3929" s="1"/>
      <c r="F3929" s="1"/>
      <c r="G3929" s="1"/>
      <c r="H3929" s="1"/>
      <c r="I3929" s="2"/>
      <c r="J3929" s="1"/>
      <c r="K3929" s="1"/>
      <c r="L3929" s="1"/>
      <c r="M3929" s="1"/>
      <c r="N3929" s="1"/>
      <c r="O3929" s="1"/>
      <c r="P3929" s="1"/>
      <c r="Q3929" s="1"/>
      <c r="R3929" s="1"/>
      <c r="S3929" s="1"/>
      <c r="T3929" s="1"/>
      <c r="U3929" s="1"/>
      <c r="V3929" s="1"/>
      <c r="W3929" s="1"/>
      <c r="X3929" s="1"/>
    </row>
    <row x14ac:dyDescent="0.25" r="3930" customHeight="1" ht="18.75">
      <c r="A3930" s="1"/>
      <c r="B3930" s="1"/>
      <c r="C3930" s="1"/>
      <c r="D3930" s="1"/>
      <c r="E3930" s="1"/>
      <c r="F3930" s="1"/>
      <c r="G3930" s="1"/>
      <c r="H3930" s="1"/>
      <c r="I3930" s="2"/>
      <c r="J3930" s="1"/>
      <c r="K3930" s="1"/>
      <c r="L3930" s="1"/>
      <c r="M3930" s="1"/>
      <c r="N3930" s="1"/>
      <c r="O3930" s="1"/>
      <c r="P3930" s="1"/>
      <c r="Q3930" s="1"/>
      <c r="R3930" s="1"/>
      <c r="S3930" s="1"/>
      <c r="T3930" s="1"/>
      <c r="U3930" s="1"/>
      <c r="V3930" s="1"/>
      <c r="W3930" s="1"/>
      <c r="X3930" s="1"/>
    </row>
    <row x14ac:dyDescent="0.25" r="3931" customHeight="1" ht="18.75">
      <c r="A3931" s="1"/>
      <c r="B3931" s="1"/>
      <c r="C3931" s="1"/>
      <c r="D3931" s="1"/>
      <c r="E3931" s="1"/>
      <c r="F3931" s="1"/>
      <c r="G3931" s="1"/>
      <c r="H3931" s="1"/>
      <c r="I3931" s="2"/>
      <c r="J3931" s="1"/>
      <c r="K3931" s="1"/>
      <c r="L3931" s="1"/>
      <c r="M3931" s="1"/>
      <c r="N3931" s="1"/>
      <c r="O3931" s="1"/>
      <c r="P3931" s="1"/>
      <c r="Q3931" s="1"/>
      <c r="R3931" s="1"/>
      <c r="S3931" s="1"/>
      <c r="T3931" s="1"/>
      <c r="U3931" s="1"/>
      <c r="V3931" s="1"/>
      <c r="W3931" s="1"/>
      <c r="X3931" s="1"/>
    </row>
    <row x14ac:dyDescent="0.25" r="3932" customHeight="1" ht="18.75">
      <c r="A3932" s="1"/>
      <c r="B3932" s="1"/>
      <c r="C3932" s="1"/>
      <c r="D3932" s="1"/>
      <c r="E3932" s="1"/>
      <c r="F3932" s="1"/>
      <c r="G3932" s="1"/>
      <c r="H3932" s="1"/>
      <c r="I3932" s="2"/>
      <c r="J3932" s="1"/>
      <c r="K3932" s="1"/>
      <c r="L3932" s="1"/>
      <c r="M3932" s="1"/>
      <c r="N3932" s="1"/>
      <c r="O3932" s="1"/>
      <c r="P3932" s="1"/>
      <c r="Q3932" s="1"/>
      <c r="R3932" s="1"/>
      <c r="S3932" s="1"/>
      <c r="T3932" s="1"/>
      <c r="U3932" s="1"/>
      <c r="V3932" s="1"/>
      <c r="W3932" s="1"/>
      <c r="X3932" s="1"/>
    </row>
    <row x14ac:dyDescent="0.25" r="3933" customHeight="1" ht="18.75">
      <c r="A3933" s="1"/>
      <c r="B3933" s="1"/>
      <c r="C3933" s="1"/>
      <c r="D3933" s="1"/>
      <c r="E3933" s="1"/>
      <c r="F3933" s="1"/>
      <c r="G3933" s="1"/>
      <c r="H3933" s="1"/>
      <c r="I3933" s="2"/>
      <c r="J3933" s="1"/>
      <c r="K3933" s="1"/>
      <c r="L3933" s="1"/>
      <c r="M3933" s="1"/>
      <c r="N3933" s="1"/>
      <c r="O3933" s="1"/>
      <c r="P3933" s="1"/>
      <c r="Q3933" s="1"/>
      <c r="R3933" s="1"/>
      <c r="S3933" s="1"/>
      <c r="T3933" s="1"/>
      <c r="U3933" s="1"/>
      <c r="V3933" s="1"/>
      <c r="W3933" s="1"/>
      <c r="X3933" s="1"/>
    </row>
    <row x14ac:dyDescent="0.25" r="3934" customHeight="1" ht="18.75">
      <c r="A3934" s="1"/>
      <c r="B3934" s="1"/>
      <c r="C3934" s="1"/>
      <c r="D3934" s="1"/>
      <c r="E3934" s="1"/>
      <c r="F3934" s="1"/>
      <c r="G3934" s="1"/>
      <c r="H3934" s="1"/>
      <c r="I3934" s="2"/>
      <c r="J3934" s="1"/>
      <c r="K3934" s="1"/>
      <c r="L3934" s="1"/>
      <c r="M3934" s="1"/>
      <c r="N3934" s="1"/>
      <c r="O3934" s="1"/>
      <c r="P3934" s="1"/>
      <c r="Q3934" s="1"/>
      <c r="R3934" s="1"/>
      <c r="S3934" s="1"/>
      <c r="T3934" s="1"/>
      <c r="U3934" s="1"/>
      <c r="V3934" s="1"/>
      <c r="W3934" s="1"/>
      <c r="X3934" s="1"/>
    </row>
    <row x14ac:dyDescent="0.25" r="3935" customHeight="1" ht="18.75">
      <c r="A3935" s="1"/>
      <c r="B3935" s="1"/>
      <c r="C3935" s="1"/>
      <c r="D3935" s="1"/>
      <c r="E3935" s="1"/>
      <c r="F3935" s="1"/>
      <c r="G3935" s="1"/>
      <c r="H3935" s="1"/>
      <c r="I3935" s="2"/>
      <c r="J3935" s="1"/>
      <c r="K3935" s="1"/>
      <c r="L3935" s="1"/>
      <c r="M3935" s="1"/>
      <c r="N3935" s="1"/>
      <c r="O3935" s="1"/>
      <c r="P3935" s="1"/>
      <c r="Q3935" s="1"/>
      <c r="R3935" s="1"/>
      <c r="S3935" s="1"/>
      <c r="T3935" s="1"/>
      <c r="U3935" s="1"/>
      <c r="V3935" s="1"/>
      <c r="W3935" s="1"/>
      <c r="X3935" s="1"/>
    </row>
    <row x14ac:dyDescent="0.25" r="3936" customHeight="1" ht="18.75">
      <c r="A3936" s="1"/>
      <c r="B3936" s="1"/>
      <c r="C3936" s="1"/>
      <c r="D3936" s="1"/>
      <c r="E3936" s="1"/>
      <c r="F3936" s="1"/>
      <c r="G3936" s="1"/>
      <c r="H3936" s="1"/>
      <c r="I3936" s="2"/>
      <c r="J3936" s="1"/>
      <c r="K3936" s="1"/>
      <c r="L3936" s="1"/>
      <c r="M3936" s="1"/>
      <c r="N3936" s="1"/>
      <c r="O3936" s="1"/>
      <c r="P3936" s="1"/>
      <c r="Q3936" s="1"/>
      <c r="R3936" s="1"/>
      <c r="S3936" s="1"/>
      <c r="T3936" s="1"/>
      <c r="U3936" s="1"/>
      <c r="V3936" s="1"/>
      <c r="W3936" s="1"/>
      <c r="X3936" s="1"/>
    </row>
    <row x14ac:dyDescent="0.25" r="3937" customHeight="1" ht="18.75">
      <c r="A3937" s="1"/>
      <c r="B3937" s="1"/>
      <c r="C3937" s="1"/>
      <c r="D3937" s="1"/>
      <c r="E3937" s="1"/>
      <c r="F3937" s="1"/>
      <c r="G3937" s="1"/>
      <c r="H3937" s="1"/>
      <c r="I3937" s="2"/>
      <c r="J3937" s="1"/>
      <c r="K3937" s="1"/>
      <c r="L3937" s="1"/>
      <c r="M3937" s="1"/>
      <c r="N3937" s="1"/>
      <c r="O3937" s="1"/>
      <c r="P3937" s="1"/>
      <c r="Q3937" s="1"/>
      <c r="R3937" s="1"/>
      <c r="S3937" s="1"/>
      <c r="T3937" s="1"/>
      <c r="U3937" s="1"/>
      <c r="V3937" s="1"/>
      <c r="W3937" s="1"/>
      <c r="X3937" s="1"/>
    </row>
    <row x14ac:dyDescent="0.25" r="3938" customHeight="1" ht="18.75">
      <c r="A3938" s="1"/>
      <c r="B3938" s="1"/>
      <c r="C3938" s="1"/>
      <c r="D3938" s="1"/>
      <c r="E3938" s="1"/>
      <c r="F3938" s="1"/>
      <c r="G3938" s="1"/>
      <c r="H3938" s="1"/>
      <c r="I3938" s="2"/>
      <c r="J3938" s="1"/>
      <c r="K3938" s="1"/>
      <c r="L3938" s="1"/>
      <c r="M3938" s="1"/>
      <c r="N3938" s="1"/>
      <c r="O3938" s="1"/>
      <c r="P3938" s="1"/>
      <c r="Q3938" s="1"/>
      <c r="R3938" s="1"/>
      <c r="S3938" s="1"/>
      <c r="T3938" s="1"/>
      <c r="U3938" s="1"/>
      <c r="V3938" s="1"/>
      <c r="W3938" s="1"/>
      <c r="X3938" s="1"/>
    </row>
    <row x14ac:dyDescent="0.25" r="3939" customHeight="1" ht="18.75">
      <c r="A3939" s="1"/>
      <c r="B3939" s="1"/>
      <c r="C3939" s="1"/>
      <c r="D3939" s="1"/>
      <c r="E3939" s="1"/>
      <c r="F3939" s="1"/>
      <c r="G3939" s="1"/>
      <c r="H3939" s="1"/>
      <c r="I3939" s="2"/>
      <c r="J3939" s="1"/>
      <c r="K3939" s="1"/>
      <c r="L3939" s="1"/>
      <c r="M3939" s="1"/>
      <c r="N3939" s="1"/>
      <c r="O3939" s="1"/>
      <c r="P3939" s="1"/>
      <c r="Q3939" s="1"/>
      <c r="R3939" s="1"/>
      <c r="S3939" s="1"/>
      <c r="T3939" s="1"/>
      <c r="U3939" s="1"/>
      <c r="V3939" s="1"/>
      <c r="W3939" s="1"/>
      <c r="X3939" s="1"/>
    </row>
    <row x14ac:dyDescent="0.25" r="3940" customHeight="1" ht="18.75">
      <c r="A3940" s="1"/>
      <c r="B3940" s="1"/>
      <c r="C3940" s="1"/>
      <c r="D3940" s="1"/>
      <c r="E3940" s="1"/>
      <c r="F3940" s="1"/>
      <c r="G3940" s="1"/>
      <c r="H3940" s="1"/>
      <c r="I3940" s="2"/>
      <c r="J3940" s="1"/>
      <c r="K3940" s="1"/>
      <c r="L3940" s="1"/>
      <c r="M3940" s="1"/>
      <c r="N3940" s="1"/>
      <c r="O3940" s="1"/>
      <c r="P3940" s="1"/>
      <c r="Q3940" s="1"/>
      <c r="R3940" s="1"/>
      <c r="S3940" s="1"/>
      <c r="T3940" s="1"/>
      <c r="U3940" s="1"/>
      <c r="V3940" s="1"/>
      <c r="W3940" s="1"/>
      <c r="X3940" s="1"/>
    </row>
    <row x14ac:dyDescent="0.25" r="3941" customHeight="1" ht="18.75">
      <c r="A3941" s="1"/>
      <c r="B3941" s="1"/>
      <c r="C3941" s="1"/>
      <c r="D3941" s="1"/>
      <c r="E3941" s="1"/>
      <c r="F3941" s="1"/>
      <c r="G3941" s="1"/>
      <c r="H3941" s="1"/>
      <c r="I3941" s="2"/>
      <c r="J3941" s="1"/>
      <c r="K3941" s="1"/>
      <c r="L3941" s="1"/>
      <c r="M3941" s="1"/>
      <c r="N3941" s="1"/>
      <c r="O3941" s="1"/>
      <c r="P3941" s="1"/>
      <c r="Q3941" s="1"/>
      <c r="R3941" s="1"/>
      <c r="S3941" s="1"/>
      <c r="T3941" s="1"/>
      <c r="U3941" s="1"/>
      <c r="V3941" s="1"/>
      <c r="W3941" s="1"/>
      <c r="X3941" s="1"/>
    </row>
    <row x14ac:dyDescent="0.25" r="3942" customHeight="1" ht="18.75">
      <c r="A3942" s="1"/>
      <c r="B3942" s="1"/>
      <c r="C3942" s="1"/>
      <c r="D3942" s="1"/>
      <c r="E3942" s="1"/>
      <c r="F3942" s="1"/>
      <c r="G3942" s="1"/>
      <c r="H3942" s="1"/>
      <c r="I3942" s="2"/>
      <c r="J3942" s="1"/>
      <c r="K3942" s="1"/>
      <c r="L3942" s="1"/>
      <c r="M3942" s="1"/>
      <c r="N3942" s="1"/>
      <c r="O3942" s="1"/>
      <c r="P3942" s="1"/>
      <c r="Q3942" s="1"/>
      <c r="R3942" s="1"/>
      <c r="S3942" s="1"/>
      <c r="T3942" s="1"/>
      <c r="U3942" s="1"/>
      <c r="V3942" s="1"/>
      <c r="W3942" s="1"/>
      <c r="X3942" s="1"/>
    </row>
    <row x14ac:dyDescent="0.25" r="3943" customHeight="1" ht="18.75">
      <c r="A3943" s="1"/>
      <c r="B3943" s="1"/>
      <c r="C3943" s="1"/>
      <c r="D3943" s="1"/>
      <c r="E3943" s="1"/>
      <c r="F3943" s="1"/>
      <c r="G3943" s="1"/>
      <c r="H3943" s="1"/>
      <c r="I3943" s="2"/>
      <c r="J3943" s="1"/>
      <c r="K3943" s="1"/>
      <c r="L3943" s="1"/>
      <c r="M3943" s="1"/>
      <c r="N3943" s="1"/>
      <c r="O3943" s="1"/>
      <c r="P3943" s="1"/>
      <c r="Q3943" s="1"/>
      <c r="R3943" s="1"/>
      <c r="S3943" s="1"/>
      <c r="T3943" s="1"/>
      <c r="U3943" s="1"/>
      <c r="V3943" s="1"/>
      <c r="W3943" s="1"/>
      <c r="X3943" s="1"/>
    </row>
    <row x14ac:dyDescent="0.25" r="3944" customHeight="1" ht="18.75">
      <c r="A3944" s="1"/>
      <c r="B3944" s="1"/>
      <c r="C3944" s="1"/>
      <c r="D3944" s="1"/>
      <c r="E3944" s="1"/>
      <c r="F3944" s="1"/>
      <c r="G3944" s="1"/>
      <c r="H3944" s="1"/>
      <c r="I3944" s="2"/>
      <c r="J3944" s="1"/>
      <c r="K3944" s="1"/>
      <c r="L3944" s="1"/>
      <c r="M3944" s="1"/>
      <c r="N3944" s="1"/>
      <c r="O3944" s="1"/>
      <c r="P3944" s="1"/>
      <c r="Q3944" s="1"/>
      <c r="R3944" s="1"/>
      <c r="S3944" s="1"/>
      <c r="T3944" s="1"/>
      <c r="U3944" s="1"/>
      <c r="V3944" s="1"/>
      <c r="W3944" s="1"/>
      <c r="X3944" s="1"/>
    </row>
    <row x14ac:dyDescent="0.25" r="3945" customHeight="1" ht="18.75">
      <c r="A3945" s="1"/>
      <c r="B3945" s="1"/>
      <c r="C3945" s="1"/>
      <c r="D3945" s="1"/>
      <c r="E3945" s="1"/>
      <c r="F3945" s="1"/>
      <c r="G3945" s="1"/>
      <c r="H3945" s="1"/>
      <c r="I3945" s="2"/>
      <c r="J3945" s="1"/>
      <c r="K3945" s="1"/>
      <c r="L3945" s="1"/>
      <c r="M3945" s="1"/>
      <c r="N3945" s="1"/>
      <c r="O3945" s="1"/>
      <c r="P3945" s="1"/>
      <c r="Q3945" s="1"/>
      <c r="R3945" s="1"/>
      <c r="S3945" s="1"/>
      <c r="T3945" s="1"/>
      <c r="U3945" s="1"/>
      <c r="V3945" s="1"/>
      <c r="W3945" s="1"/>
      <c r="X3945" s="1"/>
    </row>
    <row x14ac:dyDescent="0.25" r="3946" customHeight="1" ht="18.75">
      <c r="A3946" s="1"/>
      <c r="B3946" s="1"/>
      <c r="C3946" s="1"/>
      <c r="D3946" s="1"/>
      <c r="E3946" s="1"/>
      <c r="F3946" s="1"/>
      <c r="G3946" s="1"/>
      <c r="H3946" s="1"/>
      <c r="I3946" s="2"/>
      <c r="J3946" s="1"/>
      <c r="K3946" s="1"/>
      <c r="L3946" s="1"/>
      <c r="M3946" s="1"/>
      <c r="N3946" s="1"/>
      <c r="O3946" s="1"/>
      <c r="P3946" s="1"/>
      <c r="Q3946" s="1"/>
      <c r="R3946" s="1"/>
      <c r="S3946" s="1"/>
      <c r="T3946" s="1"/>
      <c r="U3946" s="1"/>
      <c r="V3946" s="1"/>
      <c r="W3946" s="1"/>
      <c r="X3946" s="1"/>
    </row>
    <row x14ac:dyDescent="0.25" r="3947" customHeight="1" ht="18.75">
      <c r="A3947" s="1"/>
      <c r="B3947" s="1"/>
      <c r="C3947" s="1"/>
      <c r="D3947" s="1"/>
      <c r="E3947" s="1"/>
      <c r="F3947" s="1"/>
      <c r="G3947" s="1"/>
      <c r="H3947" s="1"/>
      <c r="I3947" s="2"/>
      <c r="J3947" s="1"/>
      <c r="K3947" s="1"/>
      <c r="L3947" s="1"/>
      <c r="M3947" s="1"/>
      <c r="N3947" s="1"/>
      <c r="O3947" s="1"/>
      <c r="P3947" s="1"/>
      <c r="Q3947" s="1"/>
      <c r="R3947" s="1"/>
      <c r="S3947" s="1"/>
      <c r="T3947" s="1"/>
      <c r="U3947" s="1"/>
      <c r="V3947" s="1"/>
      <c r="W3947" s="1"/>
      <c r="X3947" s="1"/>
    </row>
    <row x14ac:dyDescent="0.25" r="3948" customHeight="1" ht="18.75">
      <c r="A3948" s="1"/>
      <c r="B3948" s="1"/>
      <c r="C3948" s="1"/>
      <c r="D3948" s="1"/>
      <c r="E3948" s="1"/>
      <c r="F3948" s="1"/>
      <c r="G3948" s="1"/>
      <c r="H3948" s="1"/>
      <c r="I3948" s="2"/>
      <c r="J3948" s="1"/>
      <c r="K3948" s="1"/>
      <c r="L3948" s="1"/>
      <c r="M3948" s="1"/>
      <c r="N3948" s="1"/>
      <c r="O3948" s="1"/>
      <c r="P3948" s="1"/>
      <c r="Q3948" s="1"/>
      <c r="R3948" s="1"/>
      <c r="S3948" s="1"/>
      <c r="T3948" s="1"/>
      <c r="U3948" s="1"/>
      <c r="V3948" s="1"/>
      <c r="W3948" s="1"/>
      <c r="X3948" s="1"/>
    </row>
    <row x14ac:dyDescent="0.25" r="3949" customHeight="1" ht="18.75">
      <c r="A3949" s="1"/>
      <c r="B3949" s="1"/>
      <c r="C3949" s="1"/>
      <c r="D3949" s="1"/>
      <c r="E3949" s="1"/>
      <c r="F3949" s="1"/>
      <c r="G3949" s="1"/>
      <c r="H3949" s="1"/>
      <c r="I3949" s="2"/>
      <c r="J3949" s="1"/>
      <c r="K3949" s="1"/>
      <c r="L3949" s="1"/>
      <c r="M3949" s="1"/>
      <c r="N3949" s="1"/>
      <c r="O3949" s="1"/>
      <c r="P3949" s="1"/>
      <c r="Q3949" s="1"/>
      <c r="R3949" s="1"/>
      <c r="S3949" s="1"/>
      <c r="T3949" s="1"/>
      <c r="U3949" s="1"/>
      <c r="V3949" s="1"/>
      <c r="W3949" s="1"/>
      <c r="X3949" s="1"/>
    </row>
    <row x14ac:dyDescent="0.25" r="3950" customHeight="1" ht="18.75">
      <c r="A3950" s="1"/>
      <c r="B3950" s="1"/>
      <c r="C3950" s="1"/>
      <c r="D3950" s="1"/>
      <c r="E3950" s="1"/>
      <c r="F3950" s="1"/>
      <c r="G3950" s="1"/>
      <c r="H3950" s="1"/>
      <c r="I3950" s="2"/>
      <c r="J3950" s="1"/>
      <c r="K3950" s="1"/>
      <c r="L3950" s="1"/>
      <c r="M3950" s="1"/>
      <c r="N3950" s="1"/>
      <c r="O3950" s="1"/>
      <c r="P3950" s="1"/>
      <c r="Q3950" s="1"/>
      <c r="R3950" s="1"/>
      <c r="S3950" s="1"/>
      <c r="T3950" s="1"/>
      <c r="U3950" s="1"/>
      <c r="V3950" s="1"/>
      <c r="W3950" s="1"/>
      <c r="X3950" s="1"/>
    </row>
    <row x14ac:dyDescent="0.25" r="3951" customHeight="1" ht="18.75">
      <c r="A3951" s="1"/>
      <c r="B3951" s="1"/>
      <c r="C3951" s="1"/>
      <c r="D3951" s="1"/>
      <c r="E3951" s="1"/>
      <c r="F3951" s="1"/>
      <c r="G3951" s="1"/>
      <c r="H3951" s="1"/>
      <c r="I3951" s="2"/>
      <c r="J3951" s="1"/>
      <c r="K3951" s="1"/>
      <c r="L3951" s="1"/>
      <c r="M3951" s="1"/>
      <c r="N3951" s="1"/>
      <c r="O3951" s="1"/>
      <c r="P3951" s="1"/>
      <c r="Q3951" s="1"/>
      <c r="R3951" s="1"/>
      <c r="S3951" s="1"/>
      <c r="T3951" s="1"/>
      <c r="U3951" s="1"/>
      <c r="V3951" s="1"/>
      <c r="W3951" s="1"/>
      <c r="X3951" s="1"/>
    </row>
    <row x14ac:dyDescent="0.25" r="3952" customHeight="1" ht="18.75">
      <c r="A3952" s="1"/>
      <c r="B3952" s="1"/>
      <c r="C3952" s="1"/>
      <c r="D3952" s="1"/>
      <c r="E3952" s="1"/>
      <c r="F3952" s="1"/>
      <c r="G3952" s="1"/>
      <c r="H3952" s="1"/>
      <c r="I3952" s="2"/>
      <c r="J3952" s="1"/>
      <c r="K3952" s="1"/>
      <c r="L3952" s="1"/>
      <c r="M3952" s="1"/>
      <c r="N3952" s="1"/>
      <c r="O3952" s="1"/>
      <c r="P3952" s="1"/>
      <c r="Q3952" s="1"/>
      <c r="R3952" s="1"/>
      <c r="S3952" s="1"/>
      <c r="T3952" s="1"/>
      <c r="U3952" s="1"/>
      <c r="V3952" s="1"/>
      <c r="W3952" s="1"/>
      <c r="X3952" s="1"/>
    </row>
    <row x14ac:dyDescent="0.25" r="3953" customHeight="1" ht="18.75">
      <c r="A3953" s="1"/>
      <c r="B3953" s="1"/>
      <c r="C3953" s="1"/>
      <c r="D3953" s="1"/>
      <c r="E3953" s="1"/>
      <c r="F3953" s="1"/>
      <c r="G3953" s="1"/>
      <c r="H3953" s="1"/>
      <c r="I3953" s="2"/>
      <c r="J3953" s="1"/>
      <c r="K3953" s="1"/>
      <c r="L3953" s="1"/>
      <c r="M3953" s="1"/>
      <c r="N3953" s="1"/>
      <c r="O3953" s="1"/>
      <c r="P3953" s="1"/>
      <c r="Q3953" s="1"/>
      <c r="R3953" s="1"/>
      <c r="S3953" s="1"/>
      <c r="T3953" s="1"/>
      <c r="U3953" s="1"/>
      <c r="V3953" s="1"/>
      <c r="W3953" s="1"/>
      <c r="X3953" s="1"/>
    </row>
    <row x14ac:dyDescent="0.25" r="3954" customHeight="1" ht="18.75">
      <c r="A3954" s="1"/>
      <c r="B3954" s="1"/>
      <c r="C3954" s="1"/>
      <c r="D3954" s="1"/>
      <c r="E3954" s="1"/>
      <c r="F3954" s="1"/>
      <c r="G3954" s="1"/>
      <c r="H3954" s="1"/>
      <c r="I3954" s="2"/>
      <c r="J3954" s="1"/>
      <c r="K3954" s="1"/>
      <c r="L3954" s="1"/>
      <c r="M3954" s="1"/>
      <c r="N3954" s="1"/>
      <c r="O3954" s="1"/>
      <c r="P3954" s="1"/>
      <c r="Q3954" s="1"/>
      <c r="R3954" s="1"/>
      <c r="S3954" s="1"/>
      <c r="T3954" s="1"/>
      <c r="U3954" s="1"/>
      <c r="V3954" s="1"/>
      <c r="W3954" s="1"/>
      <c r="X3954" s="1"/>
    </row>
    <row x14ac:dyDescent="0.25" r="3955" customHeight="1" ht="18.75">
      <c r="A3955" s="1"/>
      <c r="B3955" s="1"/>
      <c r="C3955" s="1"/>
      <c r="D3955" s="1"/>
      <c r="E3955" s="1"/>
      <c r="F3955" s="1"/>
      <c r="G3955" s="1"/>
      <c r="H3955" s="1"/>
      <c r="I3955" s="2"/>
      <c r="J3955" s="1"/>
      <c r="K3955" s="1"/>
      <c r="L3955" s="1"/>
      <c r="M3955" s="1"/>
      <c r="N3955" s="1"/>
      <c r="O3955" s="1"/>
      <c r="P3955" s="1"/>
      <c r="Q3955" s="1"/>
      <c r="R3955" s="1"/>
      <c r="S3955" s="1"/>
      <c r="T3955" s="1"/>
      <c r="U3955" s="1"/>
      <c r="V3955" s="1"/>
      <c r="W3955" s="1"/>
      <c r="X3955" s="1"/>
    </row>
    <row x14ac:dyDescent="0.25" r="3956" customHeight="1" ht="18.75">
      <c r="A3956" s="1"/>
      <c r="B3956" s="1"/>
      <c r="C3956" s="1"/>
      <c r="D3956" s="1"/>
      <c r="E3956" s="1"/>
      <c r="F3956" s="1"/>
      <c r="G3956" s="1"/>
      <c r="H3956" s="1"/>
      <c r="I3956" s="2"/>
      <c r="J3956" s="1"/>
      <c r="K3956" s="1"/>
      <c r="L3956" s="1"/>
      <c r="M3956" s="1"/>
      <c r="N3956" s="1"/>
      <c r="O3956" s="1"/>
      <c r="P3956" s="1"/>
      <c r="Q3956" s="1"/>
      <c r="R3956" s="1"/>
      <c r="S3956" s="1"/>
      <c r="T3956" s="1"/>
      <c r="U3956" s="1"/>
      <c r="V3956" s="1"/>
      <c r="W3956" s="1"/>
      <c r="X3956" s="1"/>
    </row>
    <row x14ac:dyDescent="0.25" r="3957" customHeight="1" ht="18.75">
      <c r="A3957" s="1"/>
      <c r="B3957" s="1"/>
      <c r="C3957" s="1"/>
      <c r="D3957" s="1"/>
      <c r="E3957" s="1"/>
      <c r="F3957" s="1"/>
      <c r="G3957" s="1"/>
      <c r="H3957" s="1"/>
      <c r="I3957" s="2"/>
      <c r="J3957" s="1"/>
      <c r="K3957" s="1"/>
      <c r="L3957" s="1"/>
      <c r="M3957" s="1"/>
      <c r="N3957" s="1"/>
      <c r="O3957" s="1"/>
      <c r="P3957" s="1"/>
      <c r="Q3957" s="1"/>
      <c r="R3957" s="1"/>
      <c r="S3957" s="1"/>
      <c r="T3957" s="1"/>
      <c r="U3957" s="1"/>
      <c r="V3957" s="1"/>
      <c r="W3957" s="1"/>
      <c r="X3957" s="1"/>
    </row>
    <row x14ac:dyDescent="0.25" r="3958" customHeight="1" ht="18.75">
      <c r="A3958" s="1"/>
      <c r="B3958" s="1"/>
      <c r="C3958" s="1"/>
      <c r="D3958" s="1"/>
      <c r="E3958" s="1"/>
      <c r="F3958" s="1"/>
      <c r="G3958" s="1"/>
      <c r="H3958" s="1"/>
      <c r="I3958" s="2"/>
      <c r="J3958" s="1"/>
      <c r="K3958" s="1"/>
      <c r="L3958" s="1"/>
      <c r="M3958" s="1"/>
      <c r="N3958" s="1"/>
      <c r="O3958" s="1"/>
      <c r="P3958" s="1"/>
      <c r="Q3958" s="1"/>
      <c r="R3958" s="1"/>
      <c r="S3958" s="1"/>
      <c r="T3958" s="1"/>
      <c r="U3958" s="1"/>
      <c r="V3958" s="1"/>
      <c r="W3958" s="1"/>
      <c r="X3958" s="1"/>
    </row>
    <row x14ac:dyDescent="0.25" r="3959" customHeight="1" ht="18.75">
      <c r="A3959" s="1"/>
      <c r="B3959" s="1"/>
      <c r="C3959" s="1"/>
      <c r="D3959" s="1"/>
      <c r="E3959" s="1"/>
      <c r="F3959" s="1"/>
      <c r="G3959" s="1"/>
      <c r="H3959" s="1"/>
      <c r="I3959" s="2"/>
      <c r="J3959" s="1"/>
      <c r="K3959" s="1"/>
      <c r="L3959" s="1"/>
      <c r="M3959" s="1"/>
      <c r="N3959" s="1"/>
      <c r="O3959" s="1"/>
      <c r="P3959" s="1"/>
      <c r="Q3959" s="1"/>
      <c r="R3959" s="1"/>
      <c r="S3959" s="1"/>
      <c r="T3959" s="1"/>
      <c r="U3959" s="1"/>
      <c r="V3959" s="1"/>
      <c r="W3959" s="1"/>
      <c r="X3959" s="1"/>
    </row>
    <row x14ac:dyDescent="0.25" r="3960" customHeight="1" ht="18.75">
      <c r="A3960" s="1"/>
      <c r="B3960" s="1"/>
      <c r="C3960" s="1"/>
      <c r="D3960" s="1"/>
      <c r="E3960" s="1"/>
      <c r="F3960" s="1"/>
      <c r="G3960" s="1"/>
      <c r="H3960" s="1"/>
      <c r="I3960" s="2"/>
      <c r="J3960" s="1"/>
      <c r="K3960" s="1"/>
      <c r="L3960" s="1"/>
      <c r="M3960" s="1"/>
      <c r="N3960" s="1"/>
      <c r="O3960" s="1"/>
      <c r="P3960" s="1"/>
      <c r="Q3960" s="1"/>
      <c r="R3960" s="1"/>
      <c r="S3960" s="1"/>
      <c r="T3960" s="1"/>
      <c r="U3960" s="1"/>
      <c r="V3960" s="1"/>
      <c r="W3960" s="1"/>
      <c r="X3960" s="1"/>
    </row>
    <row x14ac:dyDescent="0.25" r="3961" customHeight="1" ht="18.75">
      <c r="A3961" s="1"/>
      <c r="B3961" s="1"/>
      <c r="C3961" s="1"/>
      <c r="D3961" s="1"/>
      <c r="E3961" s="1"/>
      <c r="F3961" s="1"/>
      <c r="G3961" s="1"/>
      <c r="H3961" s="1"/>
      <c r="I3961" s="2"/>
      <c r="J3961" s="1"/>
      <c r="K3961" s="1"/>
      <c r="L3961" s="1"/>
      <c r="M3961" s="1"/>
      <c r="N3961" s="1"/>
      <c r="O3961" s="1"/>
      <c r="P3961" s="1"/>
      <c r="Q3961" s="1"/>
      <c r="R3961" s="1"/>
      <c r="S3961" s="1"/>
      <c r="T3961" s="1"/>
      <c r="U3961" s="1"/>
      <c r="V3961" s="1"/>
      <c r="W3961" s="1"/>
      <c r="X3961" s="1"/>
    </row>
    <row x14ac:dyDescent="0.25" r="3962" customHeight="1" ht="18.75">
      <c r="A3962" s="1"/>
      <c r="B3962" s="1"/>
      <c r="C3962" s="1"/>
      <c r="D3962" s="1"/>
      <c r="E3962" s="1"/>
      <c r="F3962" s="1"/>
      <c r="G3962" s="1"/>
      <c r="H3962" s="1"/>
      <c r="I3962" s="2"/>
      <c r="J3962" s="1"/>
      <c r="K3962" s="1"/>
      <c r="L3962" s="1"/>
      <c r="M3962" s="1"/>
      <c r="N3962" s="1"/>
      <c r="O3962" s="1"/>
      <c r="P3962" s="1"/>
      <c r="Q3962" s="1"/>
      <c r="R3962" s="1"/>
      <c r="S3962" s="1"/>
      <c r="T3962" s="1"/>
      <c r="U3962" s="1"/>
      <c r="V3962" s="1"/>
      <c r="W3962" s="1"/>
      <c r="X3962" s="1"/>
    </row>
    <row x14ac:dyDescent="0.25" r="3963" customHeight="1" ht="18.75">
      <c r="A3963" s="1"/>
      <c r="B3963" s="1"/>
      <c r="C3963" s="1"/>
      <c r="D3963" s="1"/>
      <c r="E3963" s="1"/>
      <c r="F3963" s="1"/>
      <c r="G3963" s="1"/>
      <c r="H3963" s="1"/>
      <c r="I3963" s="2"/>
      <c r="J3963" s="1"/>
      <c r="K3963" s="1"/>
      <c r="L3963" s="1"/>
      <c r="M3963" s="1"/>
      <c r="N3963" s="1"/>
      <c r="O3963" s="1"/>
      <c r="P3963" s="1"/>
      <c r="Q3963" s="1"/>
      <c r="R3963" s="1"/>
      <c r="S3963" s="1"/>
      <c r="T3963" s="1"/>
      <c r="U3963" s="1"/>
      <c r="V3963" s="1"/>
      <c r="W3963" s="1"/>
      <c r="X3963" s="1"/>
    </row>
    <row x14ac:dyDescent="0.25" r="3964" customHeight="1" ht="18.75">
      <c r="A3964" s="1"/>
      <c r="B3964" s="1"/>
      <c r="C3964" s="1"/>
      <c r="D3964" s="1"/>
      <c r="E3964" s="1"/>
      <c r="F3964" s="1"/>
      <c r="G3964" s="1"/>
      <c r="H3964" s="1"/>
      <c r="I3964" s="2"/>
      <c r="J3964" s="1"/>
      <c r="K3964" s="1"/>
      <c r="L3964" s="1"/>
      <c r="M3964" s="1"/>
      <c r="N3964" s="1"/>
      <c r="O3964" s="1"/>
      <c r="P3964" s="1"/>
      <c r="Q3964" s="1"/>
      <c r="R3964" s="1"/>
      <c r="S3964" s="1"/>
      <c r="T3964" s="1"/>
      <c r="U3964" s="1"/>
      <c r="V3964" s="1"/>
      <c r="W3964" s="1"/>
      <c r="X3964" s="1"/>
    </row>
    <row x14ac:dyDescent="0.25" r="3965" customHeight="1" ht="18.75">
      <c r="A3965" s="1"/>
      <c r="B3965" s="1"/>
      <c r="C3965" s="1"/>
      <c r="D3965" s="1"/>
      <c r="E3965" s="1"/>
      <c r="F3965" s="1"/>
      <c r="G3965" s="1"/>
      <c r="H3965" s="1"/>
      <c r="I3965" s="2"/>
      <c r="J3965" s="1"/>
      <c r="K3965" s="1"/>
      <c r="L3965" s="1"/>
      <c r="M3965" s="1"/>
      <c r="N3965" s="1"/>
      <c r="O3965" s="1"/>
      <c r="P3965" s="1"/>
      <c r="Q3965" s="1"/>
      <c r="R3965" s="1"/>
      <c r="S3965" s="1"/>
      <c r="T3965" s="1"/>
      <c r="U3965" s="1"/>
      <c r="V3965" s="1"/>
      <c r="W3965" s="1"/>
      <c r="X3965" s="1"/>
    </row>
    <row x14ac:dyDescent="0.25" r="3966" customHeight="1" ht="18.75">
      <c r="A3966" s="1"/>
      <c r="B3966" s="1"/>
      <c r="C3966" s="1"/>
      <c r="D3966" s="1"/>
      <c r="E3966" s="1"/>
      <c r="F3966" s="1"/>
      <c r="G3966" s="1"/>
      <c r="H3966" s="1"/>
      <c r="I3966" s="2"/>
      <c r="J3966" s="1"/>
      <c r="K3966" s="1"/>
      <c r="L3966" s="1"/>
      <c r="M3966" s="1"/>
      <c r="N3966" s="1"/>
      <c r="O3966" s="1"/>
      <c r="P3966" s="1"/>
      <c r="Q3966" s="1"/>
      <c r="R3966" s="1"/>
      <c r="S3966" s="1"/>
      <c r="T3966" s="1"/>
      <c r="U3966" s="1"/>
      <c r="V3966" s="1"/>
      <c r="W3966" s="1"/>
      <c r="X3966" s="1"/>
    </row>
    <row x14ac:dyDescent="0.25" r="3967" customHeight="1" ht="18.75">
      <c r="A3967" s="1"/>
      <c r="B3967" s="1"/>
      <c r="C3967" s="1"/>
      <c r="D3967" s="1"/>
      <c r="E3967" s="1"/>
      <c r="F3967" s="1"/>
      <c r="G3967" s="1"/>
      <c r="H3967" s="1"/>
      <c r="I3967" s="2"/>
      <c r="J3967" s="1"/>
      <c r="K3967" s="1"/>
      <c r="L3967" s="1"/>
      <c r="M3967" s="1"/>
      <c r="N3967" s="1"/>
      <c r="O3967" s="1"/>
      <c r="P3967" s="1"/>
      <c r="Q3967" s="1"/>
      <c r="R3967" s="1"/>
      <c r="S3967" s="1"/>
      <c r="T3967" s="1"/>
      <c r="U3967" s="1"/>
      <c r="V3967" s="1"/>
      <c r="W3967" s="1"/>
      <c r="X3967" s="1"/>
    </row>
    <row x14ac:dyDescent="0.25" r="3968" customHeight="1" ht="18.75">
      <c r="A3968" s="1"/>
      <c r="B3968" s="1"/>
      <c r="C3968" s="1"/>
      <c r="D3968" s="1"/>
      <c r="E3968" s="1"/>
      <c r="F3968" s="1"/>
      <c r="G3968" s="1"/>
      <c r="H3968" s="1"/>
      <c r="I3968" s="2"/>
      <c r="J3968" s="1"/>
      <c r="K3968" s="1"/>
      <c r="L3968" s="1"/>
      <c r="M3968" s="1"/>
      <c r="N3968" s="1"/>
      <c r="O3968" s="1"/>
      <c r="P3968" s="1"/>
      <c r="Q3968" s="1"/>
      <c r="R3968" s="1"/>
      <c r="S3968" s="1"/>
      <c r="T3968" s="1"/>
      <c r="U3968" s="1"/>
      <c r="V3968" s="1"/>
      <c r="W3968" s="1"/>
      <c r="X3968" s="1"/>
    </row>
    <row x14ac:dyDescent="0.25" r="3969" customHeight="1" ht="18.75">
      <c r="A3969" s="1"/>
      <c r="B3969" s="1"/>
      <c r="C3969" s="1"/>
      <c r="D3969" s="1"/>
      <c r="E3969" s="1"/>
      <c r="F3969" s="1"/>
      <c r="G3969" s="1"/>
      <c r="H3969" s="1"/>
      <c r="I3969" s="2"/>
      <c r="J3969" s="1"/>
      <c r="K3969" s="1"/>
      <c r="L3969" s="1"/>
      <c r="M3969" s="1"/>
      <c r="N3969" s="1"/>
      <c r="O3969" s="1"/>
      <c r="P3969" s="1"/>
      <c r="Q3969" s="1"/>
      <c r="R3969" s="1"/>
      <c r="S3969" s="1"/>
      <c r="T3969" s="1"/>
      <c r="U3969" s="1"/>
      <c r="V3969" s="1"/>
      <c r="W3969" s="1"/>
      <c r="X3969" s="1"/>
    </row>
    <row x14ac:dyDescent="0.25" r="3970" customHeight="1" ht="18.75">
      <c r="A3970" s="1"/>
      <c r="B3970" s="1"/>
      <c r="C3970" s="1"/>
      <c r="D3970" s="1"/>
      <c r="E3970" s="1"/>
      <c r="F3970" s="1"/>
      <c r="G3970" s="1"/>
      <c r="H3970" s="1"/>
      <c r="I3970" s="2"/>
      <c r="J3970" s="1"/>
      <c r="K3970" s="1"/>
      <c r="L3970" s="1"/>
      <c r="M3970" s="1"/>
      <c r="N3970" s="1"/>
      <c r="O3970" s="1"/>
      <c r="P3970" s="1"/>
      <c r="Q3970" s="1"/>
      <c r="R3970" s="1"/>
      <c r="S3970" s="1"/>
      <c r="T3970" s="1"/>
      <c r="U3970" s="1"/>
      <c r="V3970" s="1"/>
      <c r="W3970" s="1"/>
      <c r="X3970" s="1"/>
    </row>
    <row x14ac:dyDescent="0.25" r="3971" customHeight="1" ht="18.75">
      <c r="A3971" s="1"/>
      <c r="B3971" s="1"/>
      <c r="C3971" s="1"/>
      <c r="D3971" s="1"/>
      <c r="E3971" s="1"/>
      <c r="F3971" s="1"/>
      <c r="G3971" s="1"/>
      <c r="H3971" s="1"/>
      <c r="I3971" s="2"/>
      <c r="J3971" s="1"/>
      <c r="K3971" s="1"/>
      <c r="L3971" s="1"/>
      <c r="M3971" s="1"/>
      <c r="N3971" s="1"/>
      <c r="O3971" s="1"/>
      <c r="P3971" s="1"/>
      <c r="Q3971" s="1"/>
      <c r="R3971" s="1"/>
      <c r="S3971" s="1"/>
      <c r="T3971" s="1"/>
      <c r="U3971" s="1"/>
      <c r="V3971" s="1"/>
      <c r="W3971" s="1"/>
      <c r="X3971" s="1"/>
    </row>
    <row x14ac:dyDescent="0.25" r="3972" customHeight="1" ht="18.75">
      <c r="A3972" s="1"/>
      <c r="B3972" s="1"/>
      <c r="C3972" s="1"/>
      <c r="D3972" s="1"/>
      <c r="E3972" s="1"/>
      <c r="F3972" s="1"/>
      <c r="G3972" s="1"/>
      <c r="H3972" s="1"/>
      <c r="I3972" s="2"/>
      <c r="J3972" s="1"/>
      <c r="K3972" s="1"/>
      <c r="L3972" s="1"/>
      <c r="M3972" s="1"/>
      <c r="N3972" s="1"/>
      <c r="O3972" s="1"/>
      <c r="P3972" s="1"/>
      <c r="Q3972" s="1"/>
      <c r="R3972" s="1"/>
      <c r="S3972" s="1"/>
      <c r="T3972" s="1"/>
      <c r="U3972" s="1"/>
      <c r="V3972" s="1"/>
      <c r="W3972" s="1"/>
      <c r="X3972" s="1"/>
    </row>
    <row x14ac:dyDescent="0.25" r="3973" customHeight="1" ht="18.75">
      <c r="A3973" s="1"/>
      <c r="B3973" s="1"/>
      <c r="C3973" s="1"/>
      <c r="D3973" s="1"/>
      <c r="E3973" s="1"/>
      <c r="F3973" s="1"/>
      <c r="G3973" s="1"/>
      <c r="H3973" s="1"/>
      <c r="I3973" s="2"/>
      <c r="J3973" s="1"/>
      <c r="K3973" s="1"/>
      <c r="L3973" s="1"/>
      <c r="M3973" s="1"/>
      <c r="N3973" s="1"/>
      <c r="O3973" s="1"/>
      <c r="P3973" s="1"/>
      <c r="Q3973" s="1"/>
      <c r="R3973" s="1"/>
      <c r="S3973" s="1"/>
      <c r="T3973" s="1"/>
      <c r="U3973" s="1"/>
      <c r="V3973" s="1"/>
      <c r="W3973" s="1"/>
      <c r="X3973" s="1"/>
    </row>
    <row x14ac:dyDescent="0.25" r="3974" customHeight="1" ht="18.75">
      <c r="A3974" s="1"/>
      <c r="B3974" s="1"/>
      <c r="C3974" s="1"/>
      <c r="D3974" s="1"/>
      <c r="E3974" s="1"/>
      <c r="F3974" s="1"/>
      <c r="G3974" s="1"/>
      <c r="H3974" s="1"/>
      <c r="I3974" s="2"/>
      <c r="J3974" s="1"/>
      <c r="K3974" s="1"/>
      <c r="L3974" s="1"/>
      <c r="M3974" s="1"/>
      <c r="N3974" s="1"/>
      <c r="O3974" s="1"/>
      <c r="P3974" s="1"/>
      <c r="Q3974" s="1"/>
      <c r="R3974" s="1"/>
      <c r="S3974" s="1"/>
      <c r="T3974" s="1"/>
      <c r="U3974" s="1"/>
      <c r="V3974" s="1"/>
      <c r="W3974" s="1"/>
      <c r="X3974" s="1"/>
    </row>
    <row x14ac:dyDescent="0.25" r="3975" customHeight="1" ht="18.75">
      <c r="A3975" s="1"/>
      <c r="B3975" s="1"/>
      <c r="C3975" s="1"/>
      <c r="D3975" s="1"/>
      <c r="E3975" s="1"/>
      <c r="F3975" s="1"/>
      <c r="G3975" s="1"/>
      <c r="H3975" s="1"/>
      <c r="I3975" s="2"/>
      <c r="J3975" s="1"/>
      <c r="K3975" s="1"/>
      <c r="L3975" s="1"/>
      <c r="M3975" s="1"/>
      <c r="N3975" s="1"/>
      <c r="O3975" s="1"/>
      <c r="P3975" s="1"/>
      <c r="Q3975" s="1"/>
      <c r="R3975" s="1"/>
      <c r="S3975" s="1"/>
      <c r="T3975" s="1"/>
      <c r="U3975" s="1"/>
      <c r="V3975" s="1"/>
      <c r="W3975" s="1"/>
      <c r="X3975" s="1"/>
    </row>
    <row x14ac:dyDescent="0.25" r="3976" customHeight="1" ht="18.75">
      <c r="A3976" s="1"/>
      <c r="B3976" s="1"/>
      <c r="C3976" s="1"/>
      <c r="D3976" s="1"/>
      <c r="E3976" s="1"/>
      <c r="F3976" s="1"/>
      <c r="G3976" s="1"/>
      <c r="H3976" s="1"/>
      <c r="I3976" s="2"/>
      <c r="J3976" s="1"/>
      <c r="K3976" s="1"/>
      <c r="L3976" s="1"/>
      <c r="M3976" s="1"/>
      <c r="N3976" s="1"/>
      <c r="O3976" s="1"/>
      <c r="P3976" s="1"/>
      <c r="Q3976" s="1"/>
      <c r="R3976" s="1"/>
      <c r="S3976" s="1"/>
      <c r="T3976" s="1"/>
      <c r="U3976" s="1"/>
      <c r="V3976" s="1"/>
      <c r="W3976" s="1"/>
      <c r="X3976" s="1"/>
    </row>
    <row x14ac:dyDescent="0.25" r="3977" customHeight="1" ht="18.75">
      <c r="A3977" s="1"/>
      <c r="B3977" s="1"/>
      <c r="C3977" s="1"/>
      <c r="D3977" s="1"/>
      <c r="E3977" s="1"/>
      <c r="F3977" s="1"/>
      <c r="G3977" s="1"/>
      <c r="H3977" s="1"/>
      <c r="I3977" s="2"/>
      <c r="J3977" s="1"/>
      <c r="K3977" s="1"/>
      <c r="L3977" s="1"/>
      <c r="M3977" s="1"/>
      <c r="N3977" s="1"/>
      <c r="O3977" s="1"/>
      <c r="P3977" s="1"/>
      <c r="Q3977" s="1"/>
      <c r="R3977" s="1"/>
      <c r="S3977" s="1"/>
      <c r="T3977" s="1"/>
      <c r="U3977" s="1"/>
      <c r="V3977" s="1"/>
      <c r="W3977" s="1"/>
      <c r="X3977" s="1"/>
    </row>
    <row x14ac:dyDescent="0.25" r="3978" customHeight="1" ht="18.75">
      <c r="A3978" s="1"/>
      <c r="B3978" s="1"/>
      <c r="C3978" s="1"/>
      <c r="D3978" s="1"/>
      <c r="E3978" s="1"/>
      <c r="F3978" s="1"/>
      <c r="G3978" s="1"/>
      <c r="H3978" s="1"/>
      <c r="I3978" s="2"/>
      <c r="J3978" s="1"/>
      <c r="K3978" s="1"/>
      <c r="L3978" s="1"/>
      <c r="M3978" s="1"/>
      <c r="N3978" s="1"/>
      <c r="O3978" s="1"/>
      <c r="P3978" s="1"/>
      <c r="Q3978" s="1"/>
      <c r="R3978" s="1"/>
      <c r="S3978" s="1"/>
      <c r="T3978" s="1"/>
      <c r="U3978" s="1"/>
      <c r="V3978" s="1"/>
      <c r="W3978" s="1"/>
      <c r="X3978" s="1"/>
    </row>
    <row x14ac:dyDescent="0.25" r="3979" customHeight="1" ht="18.75">
      <c r="A3979" s="1"/>
      <c r="B3979" s="1"/>
      <c r="C3979" s="1"/>
      <c r="D3979" s="1"/>
      <c r="E3979" s="1"/>
      <c r="F3979" s="1"/>
      <c r="G3979" s="1"/>
      <c r="H3979" s="1"/>
      <c r="I3979" s="2"/>
      <c r="J3979" s="1"/>
      <c r="K3979" s="1"/>
      <c r="L3979" s="1"/>
      <c r="M3979" s="1"/>
      <c r="N3979" s="1"/>
      <c r="O3979" s="1"/>
      <c r="P3979" s="1"/>
      <c r="Q3979" s="1"/>
      <c r="R3979" s="1"/>
      <c r="S3979" s="1"/>
      <c r="T3979" s="1"/>
      <c r="U3979" s="1"/>
      <c r="V3979" s="1"/>
      <c r="W3979" s="1"/>
      <c r="X3979" s="1"/>
    </row>
    <row x14ac:dyDescent="0.25" r="3980" customHeight="1" ht="18.75">
      <c r="A3980" s="1"/>
      <c r="B3980" s="1"/>
      <c r="C3980" s="1"/>
      <c r="D3980" s="1"/>
      <c r="E3980" s="1"/>
      <c r="F3980" s="1"/>
      <c r="G3980" s="1"/>
      <c r="H3980" s="1"/>
      <c r="I3980" s="2"/>
      <c r="J3980" s="1"/>
      <c r="K3980" s="1"/>
      <c r="L3980" s="1"/>
      <c r="M3980" s="1"/>
      <c r="N3980" s="1"/>
      <c r="O3980" s="1"/>
      <c r="P3980" s="1"/>
      <c r="Q3980" s="1"/>
      <c r="R3980" s="1"/>
      <c r="S3980" s="1"/>
      <c r="T3980" s="1"/>
      <c r="U3980" s="1"/>
      <c r="V3980" s="1"/>
      <c r="W3980" s="1"/>
      <c r="X3980" s="1"/>
    </row>
    <row x14ac:dyDescent="0.25" r="3981" customHeight="1" ht="18.75">
      <c r="A3981" s="1"/>
      <c r="B3981" s="1"/>
      <c r="C3981" s="1"/>
      <c r="D3981" s="1"/>
      <c r="E3981" s="1"/>
      <c r="F3981" s="1"/>
      <c r="G3981" s="1"/>
      <c r="H3981" s="1"/>
      <c r="I3981" s="2"/>
      <c r="J3981" s="1"/>
      <c r="K3981" s="1"/>
      <c r="L3981" s="1"/>
      <c r="M3981" s="1"/>
      <c r="N3981" s="1"/>
      <c r="O3981" s="1"/>
      <c r="P3981" s="1"/>
      <c r="Q3981" s="1"/>
      <c r="R3981" s="1"/>
      <c r="S3981" s="1"/>
      <c r="T3981" s="1"/>
      <c r="U3981" s="1"/>
      <c r="V3981" s="1"/>
      <c r="W3981" s="1"/>
      <c r="X3981" s="1"/>
    </row>
    <row x14ac:dyDescent="0.25" r="3982" customHeight="1" ht="18.75">
      <c r="A3982" s="1"/>
      <c r="B3982" s="1"/>
      <c r="C3982" s="1"/>
      <c r="D3982" s="1"/>
      <c r="E3982" s="1"/>
      <c r="F3982" s="1"/>
      <c r="G3982" s="1"/>
      <c r="H3982" s="1"/>
      <c r="I3982" s="2"/>
      <c r="J3982" s="1"/>
      <c r="K3982" s="1"/>
      <c r="L3982" s="1"/>
      <c r="M3982" s="1"/>
      <c r="N3982" s="1"/>
      <c r="O3982" s="1"/>
      <c r="P3982" s="1"/>
      <c r="Q3982" s="1"/>
      <c r="R3982" s="1"/>
      <c r="S3982" s="1"/>
      <c r="T3982" s="1"/>
      <c r="U3982" s="1"/>
      <c r="V3982" s="1"/>
      <c r="W3982" s="1"/>
      <c r="X3982" s="1"/>
    </row>
    <row x14ac:dyDescent="0.25" r="3983" customHeight="1" ht="18.75">
      <c r="A3983" s="1"/>
      <c r="B3983" s="1"/>
      <c r="C3983" s="1"/>
      <c r="D3983" s="1"/>
      <c r="E3983" s="1"/>
      <c r="F3983" s="1"/>
      <c r="G3983" s="1"/>
      <c r="H3983" s="1"/>
      <c r="I3983" s="2"/>
      <c r="J3983" s="1"/>
      <c r="K3983" s="1"/>
      <c r="L3983" s="1"/>
      <c r="M3983" s="1"/>
      <c r="N3983" s="1"/>
      <c r="O3983" s="1"/>
      <c r="P3983" s="1"/>
      <c r="Q3983" s="1"/>
      <c r="R3983" s="1"/>
      <c r="S3983" s="1"/>
      <c r="T3983" s="1"/>
      <c r="U3983" s="1"/>
      <c r="V3983" s="1"/>
      <c r="W3983" s="1"/>
      <c r="X3983" s="1"/>
    </row>
    <row x14ac:dyDescent="0.25" r="3984" customHeight="1" ht="18.75">
      <c r="A3984" s="1"/>
      <c r="B3984" s="1"/>
      <c r="C3984" s="1"/>
      <c r="D3984" s="1"/>
      <c r="E3984" s="1"/>
      <c r="F3984" s="1"/>
      <c r="G3984" s="1"/>
      <c r="H3984" s="1"/>
      <c r="I3984" s="2"/>
      <c r="J3984" s="1"/>
      <c r="K3984" s="1"/>
      <c r="L3984" s="1"/>
      <c r="M3984" s="1"/>
      <c r="N3984" s="1"/>
      <c r="O3984" s="1"/>
      <c r="P3984" s="1"/>
      <c r="Q3984" s="1"/>
      <c r="R3984" s="1"/>
      <c r="S3984" s="1"/>
      <c r="T3984" s="1"/>
      <c r="U3984" s="1"/>
      <c r="V3984" s="1"/>
      <c r="W3984" s="1"/>
      <c r="X3984" s="1"/>
    </row>
    <row x14ac:dyDescent="0.25" r="3985" customHeight="1" ht="18.75">
      <c r="A3985" s="1"/>
      <c r="B3985" s="1"/>
      <c r="C3985" s="1"/>
      <c r="D3985" s="1"/>
      <c r="E3985" s="1"/>
      <c r="F3985" s="1"/>
      <c r="G3985" s="1"/>
      <c r="H3985" s="1"/>
      <c r="I3985" s="2"/>
      <c r="J3985" s="1"/>
      <c r="K3985" s="1"/>
      <c r="L3985" s="1"/>
      <c r="M3985" s="1"/>
      <c r="N3985" s="1"/>
      <c r="O3985" s="1"/>
      <c r="P3985" s="1"/>
      <c r="Q3985" s="1"/>
      <c r="R3985" s="1"/>
      <c r="S3985" s="1"/>
      <c r="T3985" s="1"/>
      <c r="U3985" s="1"/>
      <c r="V3985" s="1"/>
      <c r="W3985" s="1"/>
      <c r="X3985" s="1"/>
    </row>
    <row x14ac:dyDescent="0.25" r="3986" customHeight="1" ht="18.75">
      <c r="A3986" s="1"/>
      <c r="B3986" s="1"/>
      <c r="C3986" s="1"/>
      <c r="D3986" s="1"/>
      <c r="E3986" s="1"/>
      <c r="F3986" s="1"/>
      <c r="G3986" s="1"/>
      <c r="H3986" s="1"/>
      <c r="I3986" s="2"/>
      <c r="J3986" s="1"/>
      <c r="K3986" s="1"/>
      <c r="L3986" s="1"/>
      <c r="M3986" s="1"/>
      <c r="N3986" s="1"/>
      <c r="O3986" s="1"/>
      <c r="P3986" s="1"/>
      <c r="Q3986" s="1"/>
      <c r="R3986" s="1"/>
      <c r="S3986" s="1"/>
      <c r="T3986" s="1"/>
      <c r="U3986" s="1"/>
      <c r="V3986" s="1"/>
      <c r="W3986" s="1"/>
      <c r="X3986" s="1"/>
    </row>
    <row x14ac:dyDescent="0.25" r="3987" customHeight="1" ht="18.75">
      <c r="A3987" s="1"/>
      <c r="B3987" s="1"/>
      <c r="C3987" s="1"/>
      <c r="D3987" s="1"/>
      <c r="E3987" s="1"/>
      <c r="F3987" s="1"/>
      <c r="G3987" s="1"/>
      <c r="H3987" s="1"/>
      <c r="I3987" s="2"/>
      <c r="J3987" s="1"/>
      <c r="K3987" s="1"/>
      <c r="L3987" s="1"/>
      <c r="M3987" s="1"/>
      <c r="N3987" s="1"/>
      <c r="O3987" s="1"/>
      <c r="P3987" s="1"/>
      <c r="Q3987" s="1"/>
      <c r="R3987" s="1"/>
      <c r="S3987" s="1"/>
      <c r="T3987" s="1"/>
      <c r="U3987" s="1"/>
      <c r="V3987" s="1"/>
      <c r="W3987" s="1"/>
      <c r="X3987" s="1"/>
    </row>
    <row x14ac:dyDescent="0.25" r="3988" customHeight="1" ht="18.75">
      <c r="A3988" s="1"/>
      <c r="B3988" s="1"/>
      <c r="C3988" s="1"/>
      <c r="D3988" s="1"/>
      <c r="E3988" s="1"/>
      <c r="F3988" s="1"/>
      <c r="G3988" s="1"/>
      <c r="H3988" s="1"/>
      <c r="I3988" s="2"/>
      <c r="J3988" s="1"/>
      <c r="K3988" s="1"/>
      <c r="L3988" s="1"/>
      <c r="M3988" s="1"/>
      <c r="N3988" s="1"/>
      <c r="O3988" s="1"/>
      <c r="P3988" s="1"/>
      <c r="Q3988" s="1"/>
      <c r="R3988" s="1"/>
      <c r="S3988" s="1"/>
      <c r="T3988" s="1"/>
      <c r="U3988" s="1"/>
      <c r="V3988" s="1"/>
      <c r="W3988" s="1"/>
      <c r="X3988" s="1"/>
    </row>
    <row x14ac:dyDescent="0.25" r="3989" customHeight="1" ht="18.75">
      <c r="A3989" s="1"/>
      <c r="B3989" s="1"/>
      <c r="C3989" s="1"/>
      <c r="D3989" s="1"/>
      <c r="E3989" s="1"/>
      <c r="F3989" s="1"/>
      <c r="G3989" s="1"/>
      <c r="H3989" s="1"/>
      <c r="I3989" s="2"/>
      <c r="J3989" s="1"/>
      <c r="K3989" s="1"/>
      <c r="L3989" s="1"/>
      <c r="M3989" s="1"/>
      <c r="N3989" s="1"/>
      <c r="O3989" s="1"/>
      <c r="P3989" s="1"/>
      <c r="Q3989" s="1"/>
      <c r="R3989" s="1"/>
      <c r="S3989" s="1"/>
      <c r="T3989" s="1"/>
      <c r="U3989" s="1"/>
      <c r="V3989" s="1"/>
      <c r="W3989" s="1"/>
      <c r="X3989" s="1"/>
    </row>
    <row x14ac:dyDescent="0.25" r="3990" customHeight="1" ht="18.75">
      <c r="A3990" s="1"/>
      <c r="B3990" s="1"/>
      <c r="C3990" s="1"/>
      <c r="D3990" s="1"/>
      <c r="E3990" s="1"/>
      <c r="F3990" s="1"/>
      <c r="G3990" s="1"/>
      <c r="H3990" s="1"/>
      <c r="I3990" s="2"/>
      <c r="J3990" s="1"/>
      <c r="K3990" s="1"/>
      <c r="L3990" s="1"/>
      <c r="M3990" s="1"/>
      <c r="N3990" s="1"/>
      <c r="O3990" s="1"/>
      <c r="P3990" s="1"/>
      <c r="Q3990" s="1"/>
      <c r="R3990" s="1"/>
      <c r="S3990" s="1"/>
      <c r="T3990" s="1"/>
      <c r="U3990" s="1"/>
      <c r="V3990" s="1"/>
      <c r="W3990" s="1"/>
      <c r="X3990" s="1"/>
    </row>
    <row x14ac:dyDescent="0.25" r="3991" customHeight="1" ht="18.75">
      <c r="A3991" s="1"/>
      <c r="B3991" s="1"/>
      <c r="C3991" s="1"/>
      <c r="D3991" s="1"/>
      <c r="E3991" s="1"/>
      <c r="F3991" s="1"/>
      <c r="G3991" s="1"/>
      <c r="H3991" s="1"/>
      <c r="I3991" s="2"/>
      <c r="J3991" s="1"/>
      <c r="K3991" s="1"/>
      <c r="L3991" s="1"/>
      <c r="M3991" s="1"/>
      <c r="N3991" s="1"/>
      <c r="O3991" s="1"/>
      <c r="P3991" s="1"/>
      <c r="Q3991" s="1"/>
      <c r="R3991" s="1"/>
      <c r="S3991" s="1"/>
      <c r="T3991" s="1"/>
      <c r="U3991" s="1"/>
      <c r="V3991" s="1"/>
      <c r="W3991" s="1"/>
      <c r="X3991" s="1"/>
    </row>
    <row x14ac:dyDescent="0.25" r="3992" customHeight="1" ht="18.75">
      <c r="A3992" s="1"/>
      <c r="B3992" s="1"/>
      <c r="C3992" s="1"/>
      <c r="D3992" s="1"/>
      <c r="E3992" s="1"/>
      <c r="F3992" s="1"/>
      <c r="G3992" s="1"/>
      <c r="H3992" s="1"/>
      <c r="I3992" s="2"/>
      <c r="J3992" s="1"/>
      <c r="K3992" s="1"/>
      <c r="L3992" s="1"/>
      <c r="M3992" s="1"/>
      <c r="N3992" s="1"/>
      <c r="O3992" s="1"/>
      <c r="P3992" s="1"/>
      <c r="Q3992" s="1"/>
      <c r="R3992" s="1"/>
      <c r="S3992" s="1"/>
      <c r="T3992" s="1"/>
      <c r="U3992" s="1"/>
      <c r="V3992" s="1"/>
      <c r="W3992" s="1"/>
      <c r="X3992" s="1"/>
    </row>
    <row x14ac:dyDescent="0.25" r="3993" customHeight="1" ht="18.75">
      <c r="A3993" s="1"/>
      <c r="B3993" s="1"/>
      <c r="C3993" s="1"/>
      <c r="D3993" s="1"/>
      <c r="E3993" s="1"/>
      <c r="F3993" s="1"/>
      <c r="G3993" s="1"/>
      <c r="H3993" s="1"/>
      <c r="I3993" s="2"/>
      <c r="J3993" s="1"/>
      <c r="K3993" s="1"/>
      <c r="L3993" s="1"/>
      <c r="M3993" s="1"/>
      <c r="N3993" s="1"/>
      <c r="O3993" s="1"/>
      <c r="P3993" s="1"/>
      <c r="Q3993" s="1"/>
      <c r="R3993" s="1"/>
      <c r="S3993" s="1"/>
      <c r="T3993" s="1"/>
      <c r="U3993" s="1"/>
      <c r="V3993" s="1"/>
      <c r="W3993" s="1"/>
      <c r="X3993" s="1"/>
    </row>
    <row x14ac:dyDescent="0.25" r="3994" customHeight="1" ht="18.75">
      <c r="A3994" s="1"/>
      <c r="B3994" s="1"/>
      <c r="C3994" s="1"/>
      <c r="D3994" s="1"/>
      <c r="E3994" s="1"/>
      <c r="F3994" s="1"/>
      <c r="G3994" s="1"/>
      <c r="H3994" s="1"/>
      <c r="I3994" s="2"/>
      <c r="J3994" s="1"/>
      <c r="K3994" s="1"/>
      <c r="L3994" s="1"/>
      <c r="M3994" s="1"/>
      <c r="N3994" s="1"/>
      <c r="O3994" s="1"/>
      <c r="P3994" s="1"/>
      <c r="Q3994" s="1"/>
      <c r="R3994" s="1"/>
      <c r="S3994" s="1"/>
      <c r="T3994" s="1"/>
      <c r="U3994" s="1"/>
      <c r="V3994" s="1"/>
      <c r="W3994" s="1"/>
      <c r="X3994" s="1"/>
    </row>
    <row x14ac:dyDescent="0.25" r="3995" customHeight="1" ht="18.75">
      <c r="A3995" s="1"/>
      <c r="B3995" s="1"/>
      <c r="C3995" s="1"/>
      <c r="D3995" s="1"/>
      <c r="E3995" s="1"/>
      <c r="F3995" s="1"/>
      <c r="G3995" s="1"/>
      <c r="H3995" s="1"/>
      <c r="I3995" s="2"/>
      <c r="J3995" s="1"/>
      <c r="K3995" s="1"/>
      <c r="L3995" s="1"/>
      <c r="M3995" s="1"/>
      <c r="N3995" s="1"/>
      <c r="O3995" s="1"/>
      <c r="P3995" s="1"/>
      <c r="Q3995" s="1"/>
      <c r="R3995" s="1"/>
      <c r="S3995" s="1"/>
      <c r="T3995" s="1"/>
      <c r="U3995" s="1"/>
      <c r="V3995" s="1"/>
      <c r="W3995" s="1"/>
      <c r="X3995" s="1"/>
    </row>
    <row x14ac:dyDescent="0.25" r="3996" customHeight="1" ht="18.75">
      <c r="A3996" s="1"/>
      <c r="B3996" s="1"/>
      <c r="C3996" s="1"/>
      <c r="D3996" s="1"/>
      <c r="E3996" s="1"/>
      <c r="F3996" s="1"/>
      <c r="G3996" s="1"/>
      <c r="H3996" s="1"/>
      <c r="I3996" s="2"/>
      <c r="J3996" s="1"/>
      <c r="K3996" s="1"/>
      <c r="L3996" s="1"/>
      <c r="M3996" s="1"/>
      <c r="N3996" s="1"/>
      <c r="O3996" s="1"/>
      <c r="P3996" s="1"/>
      <c r="Q3996" s="1"/>
      <c r="R3996" s="1"/>
      <c r="S3996" s="1"/>
      <c r="T3996" s="1"/>
      <c r="U3996" s="1"/>
      <c r="V3996" s="1"/>
      <c r="W3996" s="1"/>
      <c r="X3996" s="1"/>
    </row>
    <row x14ac:dyDescent="0.25" r="3997" customHeight="1" ht="18.75">
      <c r="A3997" s="1"/>
      <c r="B3997" s="1"/>
      <c r="C3997" s="1"/>
      <c r="D3997" s="1"/>
      <c r="E3997" s="1"/>
      <c r="F3997" s="1"/>
      <c r="G3997" s="1"/>
      <c r="H3997" s="1"/>
      <c r="I3997" s="2"/>
      <c r="J3997" s="1"/>
      <c r="K3997" s="1"/>
      <c r="L3997" s="1"/>
      <c r="M3997" s="1"/>
      <c r="N3997" s="1"/>
      <c r="O3997" s="1"/>
      <c r="P3997" s="1"/>
      <c r="Q3997" s="1"/>
      <c r="R3997" s="1"/>
      <c r="S3997" s="1"/>
      <c r="T3997" s="1"/>
      <c r="U3997" s="1"/>
      <c r="V3997" s="1"/>
      <c r="W3997" s="1"/>
      <c r="X3997" s="1"/>
    </row>
    <row x14ac:dyDescent="0.25" r="3998" customHeight="1" ht="18.75">
      <c r="A3998" s="1"/>
      <c r="B3998" s="1"/>
      <c r="C3998" s="1"/>
      <c r="D3998" s="1"/>
      <c r="E3998" s="1"/>
      <c r="F3998" s="1"/>
      <c r="G3998" s="1"/>
      <c r="H3998" s="1"/>
      <c r="I3998" s="2"/>
      <c r="J3998" s="1"/>
      <c r="K3998" s="1"/>
      <c r="L3998" s="1"/>
      <c r="M3998" s="1"/>
      <c r="N3998" s="1"/>
      <c r="O3998" s="1"/>
      <c r="P3998" s="1"/>
      <c r="Q3998" s="1"/>
      <c r="R3998" s="1"/>
      <c r="S3998" s="1"/>
      <c r="T3998" s="1"/>
      <c r="U3998" s="1"/>
      <c r="V3998" s="1"/>
      <c r="W3998" s="1"/>
      <c r="X3998" s="1"/>
    </row>
    <row x14ac:dyDescent="0.25" r="3999" customHeight="1" ht="18.75">
      <c r="A3999" s="1"/>
      <c r="B3999" s="1"/>
      <c r="C3999" s="1"/>
      <c r="D3999" s="1"/>
      <c r="E3999" s="1"/>
      <c r="F3999" s="1"/>
      <c r="G3999" s="1"/>
      <c r="H3999" s="1"/>
      <c r="I3999" s="2"/>
      <c r="J3999" s="1"/>
      <c r="K3999" s="1"/>
      <c r="L3999" s="1"/>
      <c r="M3999" s="1"/>
      <c r="N3999" s="1"/>
      <c r="O3999" s="1"/>
      <c r="P3999" s="1"/>
      <c r="Q3999" s="1"/>
      <c r="R3999" s="1"/>
      <c r="S3999" s="1"/>
      <c r="T3999" s="1"/>
      <c r="U3999" s="1"/>
      <c r="V3999" s="1"/>
      <c r="W3999" s="1"/>
      <c r="X3999" s="1"/>
    </row>
    <row x14ac:dyDescent="0.25" r="4000" customHeight="1" ht="18.75">
      <c r="A4000" s="1"/>
      <c r="B4000" s="1"/>
      <c r="C4000" s="1"/>
      <c r="D4000" s="1"/>
      <c r="E4000" s="1"/>
      <c r="F4000" s="1"/>
      <c r="G4000" s="1"/>
      <c r="H4000" s="1"/>
      <c r="I4000" s="2"/>
      <c r="J4000" s="1"/>
      <c r="K4000" s="1"/>
      <c r="L4000" s="1"/>
      <c r="M4000" s="1"/>
      <c r="N4000" s="1"/>
      <c r="O4000" s="1"/>
      <c r="P4000" s="1"/>
      <c r="Q4000" s="1"/>
      <c r="R4000" s="1"/>
      <c r="S4000" s="1"/>
      <c r="T4000" s="1"/>
      <c r="U4000" s="1"/>
      <c r="V4000" s="1"/>
      <c r="W4000" s="1"/>
      <c r="X4000" s="1"/>
    </row>
    <row x14ac:dyDescent="0.25" r="4001" customHeight="1" ht="18.75">
      <c r="A4001" s="1"/>
      <c r="B4001" s="1"/>
      <c r="C4001" s="1"/>
      <c r="D4001" s="1"/>
      <c r="E4001" s="1"/>
      <c r="F4001" s="1"/>
      <c r="G4001" s="1"/>
      <c r="H4001" s="1"/>
      <c r="I4001" s="2"/>
      <c r="J4001" s="1"/>
      <c r="K4001" s="1"/>
      <c r="L4001" s="1"/>
      <c r="M4001" s="1"/>
      <c r="N4001" s="1"/>
      <c r="O4001" s="1"/>
      <c r="P4001" s="1"/>
      <c r="Q4001" s="1"/>
      <c r="R4001" s="1"/>
      <c r="S4001" s="1"/>
      <c r="T4001" s="1"/>
      <c r="U4001" s="1"/>
      <c r="V4001" s="1"/>
      <c r="W4001" s="1"/>
      <c r="X4001" s="1"/>
    </row>
    <row x14ac:dyDescent="0.25" r="4002" customHeight="1" ht="18.75">
      <c r="A4002" s="1"/>
      <c r="B4002" s="1"/>
      <c r="C4002" s="1"/>
      <c r="D4002" s="1"/>
      <c r="E4002" s="1"/>
      <c r="F4002" s="1"/>
      <c r="G4002" s="1"/>
      <c r="H4002" s="1"/>
      <c r="I4002" s="2"/>
      <c r="J4002" s="1"/>
      <c r="K4002" s="1"/>
      <c r="L4002" s="1"/>
      <c r="M4002" s="1"/>
      <c r="N4002" s="1"/>
      <c r="O4002" s="1"/>
      <c r="P4002" s="1"/>
      <c r="Q4002" s="1"/>
      <c r="R4002" s="1"/>
      <c r="S4002" s="1"/>
      <c r="T4002" s="1"/>
      <c r="U4002" s="1"/>
      <c r="V4002" s="1"/>
      <c r="W4002" s="1"/>
      <c r="X4002" s="1"/>
    </row>
    <row x14ac:dyDescent="0.25" r="4003" customHeight="1" ht="18.75">
      <c r="A4003" s="1"/>
      <c r="B4003" s="1"/>
      <c r="C4003" s="1"/>
      <c r="D4003" s="1"/>
      <c r="E4003" s="1"/>
      <c r="F4003" s="1"/>
      <c r="G4003" s="1"/>
      <c r="H4003" s="1"/>
      <c r="I4003" s="2"/>
      <c r="J4003" s="1"/>
      <c r="K4003" s="1"/>
      <c r="L4003" s="1"/>
      <c r="M4003" s="1"/>
      <c r="N4003" s="1"/>
      <c r="O4003" s="1"/>
      <c r="P4003" s="1"/>
      <c r="Q4003" s="1"/>
      <c r="R4003" s="1"/>
      <c r="S4003" s="1"/>
      <c r="T4003" s="1"/>
      <c r="U4003" s="1"/>
      <c r="V4003" s="1"/>
      <c r="W4003" s="1"/>
      <c r="X4003" s="1"/>
    </row>
    <row x14ac:dyDescent="0.25" r="4004" customHeight="1" ht="18.75">
      <c r="A4004" s="1"/>
      <c r="B4004" s="1"/>
      <c r="C4004" s="1"/>
      <c r="D4004" s="1"/>
      <c r="E4004" s="1"/>
      <c r="F4004" s="1"/>
      <c r="G4004" s="1"/>
      <c r="H4004" s="1"/>
      <c r="I4004" s="2"/>
      <c r="J4004" s="1"/>
      <c r="K4004" s="1"/>
      <c r="L4004" s="1"/>
      <c r="M4004" s="1"/>
      <c r="N4004" s="1"/>
      <c r="O4004" s="1"/>
      <c r="P4004" s="1"/>
      <c r="Q4004" s="1"/>
      <c r="R4004" s="1"/>
      <c r="S4004" s="1"/>
      <c r="T4004" s="1"/>
      <c r="U4004" s="1"/>
      <c r="V4004" s="1"/>
      <c r="W4004" s="1"/>
      <c r="X4004" s="1"/>
    </row>
    <row x14ac:dyDescent="0.25" r="4005" customHeight="1" ht="18.75">
      <c r="A4005" s="1"/>
      <c r="B4005" s="1"/>
      <c r="C4005" s="1"/>
      <c r="D4005" s="1"/>
      <c r="E4005" s="1"/>
      <c r="F4005" s="1"/>
      <c r="G4005" s="1"/>
      <c r="H4005" s="1"/>
      <c r="I4005" s="2"/>
      <c r="J4005" s="1"/>
      <c r="K4005" s="1"/>
      <c r="L4005" s="1"/>
      <c r="M4005" s="1"/>
      <c r="N4005" s="1"/>
      <c r="O4005" s="1"/>
      <c r="P4005" s="1"/>
      <c r="Q4005" s="1"/>
      <c r="R4005" s="1"/>
      <c r="S4005" s="1"/>
      <c r="T4005" s="1"/>
      <c r="U4005" s="1"/>
      <c r="V4005" s="1"/>
      <c r="W4005" s="1"/>
      <c r="X4005" s="1"/>
    </row>
    <row x14ac:dyDescent="0.25" r="4006" customHeight="1" ht="18.75">
      <c r="A4006" s="1"/>
      <c r="B4006" s="1"/>
      <c r="C4006" s="1"/>
      <c r="D4006" s="1"/>
      <c r="E4006" s="1"/>
      <c r="F4006" s="1"/>
      <c r="G4006" s="1"/>
      <c r="H4006" s="1"/>
      <c r="I4006" s="2"/>
      <c r="J4006" s="1"/>
      <c r="K4006" s="1"/>
      <c r="L4006" s="1"/>
      <c r="M4006" s="1"/>
      <c r="N4006" s="1"/>
      <c r="O4006" s="1"/>
      <c r="P4006" s="1"/>
      <c r="Q4006" s="1"/>
      <c r="R4006" s="1"/>
      <c r="S4006" s="1"/>
      <c r="T4006" s="1"/>
      <c r="U4006" s="1"/>
      <c r="V4006" s="1"/>
      <c r="W4006" s="1"/>
      <c r="X4006" s="1"/>
    </row>
    <row x14ac:dyDescent="0.25" r="4007" customHeight="1" ht="18.75">
      <c r="A4007" s="1"/>
      <c r="B4007" s="1"/>
      <c r="C4007" s="1"/>
      <c r="D4007" s="1"/>
      <c r="E4007" s="1"/>
      <c r="F4007" s="1"/>
      <c r="G4007" s="1"/>
      <c r="H4007" s="1"/>
      <c r="I4007" s="2"/>
      <c r="J4007" s="1"/>
      <c r="K4007" s="1"/>
      <c r="L4007" s="1"/>
      <c r="M4007" s="1"/>
      <c r="N4007" s="1"/>
      <c r="O4007" s="1"/>
      <c r="P4007" s="1"/>
      <c r="Q4007" s="1"/>
      <c r="R4007" s="1"/>
      <c r="S4007" s="1"/>
      <c r="T4007" s="1"/>
      <c r="U4007" s="1"/>
      <c r="V4007" s="1"/>
      <c r="W4007" s="1"/>
      <c r="X4007" s="1"/>
    </row>
    <row x14ac:dyDescent="0.25" r="4008" customHeight="1" ht="18.75">
      <c r="A4008" s="1"/>
      <c r="B4008" s="1"/>
      <c r="C4008" s="1"/>
      <c r="D4008" s="1"/>
      <c r="E4008" s="1"/>
      <c r="F4008" s="1"/>
      <c r="G4008" s="1"/>
      <c r="H4008" s="1"/>
      <c r="I4008" s="2"/>
      <c r="J4008" s="1"/>
      <c r="K4008" s="1"/>
      <c r="L4008" s="1"/>
      <c r="M4008" s="1"/>
      <c r="N4008" s="1"/>
      <c r="O4008" s="1"/>
      <c r="P4008" s="1"/>
      <c r="Q4008" s="1"/>
      <c r="R4008" s="1"/>
      <c r="S4008" s="1"/>
      <c r="T4008" s="1"/>
      <c r="U4008" s="1"/>
      <c r="V4008" s="1"/>
      <c r="W4008" s="1"/>
      <c r="X4008" s="1"/>
    </row>
    <row x14ac:dyDescent="0.25" r="4009" customHeight="1" ht="18.75">
      <c r="A4009" s="1"/>
      <c r="B4009" s="1"/>
      <c r="C4009" s="1"/>
      <c r="D4009" s="1"/>
      <c r="E4009" s="1"/>
      <c r="F4009" s="1"/>
      <c r="G4009" s="1"/>
      <c r="H4009" s="1"/>
      <c r="I4009" s="2"/>
      <c r="J4009" s="1"/>
      <c r="K4009" s="1"/>
      <c r="L4009" s="1"/>
      <c r="M4009" s="1"/>
      <c r="N4009" s="1"/>
      <c r="O4009" s="1"/>
      <c r="P4009" s="1"/>
      <c r="Q4009" s="1"/>
      <c r="R4009" s="1"/>
      <c r="S4009" s="1"/>
      <c r="T4009" s="1"/>
      <c r="U4009" s="1"/>
      <c r="V4009" s="1"/>
      <c r="W4009" s="1"/>
      <c r="X4009" s="1"/>
    </row>
    <row x14ac:dyDescent="0.25" r="4010" customHeight="1" ht="18.75">
      <c r="A4010" s="1"/>
      <c r="B4010" s="1"/>
      <c r="C4010" s="1"/>
      <c r="D4010" s="1"/>
      <c r="E4010" s="1"/>
      <c r="F4010" s="1"/>
      <c r="G4010" s="1"/>
      <c r="H4010" s="1"/>
      <c r="I4010" s="2"/>
      <c r="J4010" s="1"/>
      <c r="K4010" s="1"/>
      <c r="L4010" s="1"/>
      <c r="M4010" s="1"/>
      <c r="N4010" s="1"/>
      <c r="O4010" s="1"/>
      <c r="P4010" s="1"/>
      <c r="Q4010" s="1"/>
      <c r="R4010" s="1"/>
      <c r="S4010" s="1"/>
      <c r="T4010" s="1"/>
      <c r="U4010" s="1"/>
      <c r="V4010" s="1"/>
      <c r="W4010" s="1"/>
      <c r="X4010" s="1"/>
    </row>
    <row x14ac:dyDescent="0.25" r="4011" customHeight="1" ht="18.75">
      <c r="A4011" s="1"/>
      <c r="B4011" s="1"/>
      <c r="C4011" s="1"/>
      <c r="D4011" s="1"/>
      <c r="E4011" s="1"/>
      <c r="F4011" s="1"/>
      <c r="G4011" s="1"/>
      <c r="H4011" s="1"/>
      <c r="I4011" s="2"/>
      <c r="J4011" s="1"/>
      <c r="K4011" s="1"/>
      <c r="L4011" s="1"/>
      <c r="M4011" s="1"/>
      <c r="N4011" s="1"/>
      <c r="O4011" s="1"/>
      <c r="P4011" s="1"/>
      <c r="Q4011" s="1"/>
      <c r="R4011" s="1"/>
      <c r="S4011" s="1"/>
      <c r="T4011" s="1"/>
      <c r="U4011" s="1"/>
      <c r="V4011" s="1"/>
      <c r="W4011" s="1"/>
      <c r="X4011" s="1"/>
    </row>
    <row x14ac:dyDescent="0.25" r="4012" customHeight="1" ht="18.75">
      <c r="A4012" s="1"/>
      <c r="B4012" s="1"/>
      <c r="C4012" s="1"/>
      <c r="D4012" s="1"/>
      <c r="E4012" s="1"/>
      <c r="F4012" s="1"/>
      <c r="G4012" s="1"/>
      <c r="H4012" s="1"/>
      <c r="I4012" s="2"/>
      <c r="J4012" s="1"/>
      <c r="K4012" s="1"/>
      <c r="L4012" s="1"/>
      <c r="M4012" s="1"/>
      <c r="N4012" s="1"/>
      <c r="O4012" s="1"/>
      <c r="P4012" s="1"/>
      <c r="Q4012" s="1"/>
      <c r="R4012" s="1"/>
      <c r="S4012" s="1"/>
      <c r="T4012" s="1"/>
      <c r="U4012" s="1"/>
      <c r="V4012" s="1"/>
      <c r="W4012" s="1"/>
      <c r="X4012" s="1"/>
    </row>
    <row x14ac:dyDescent="0.25" r="4013" customHeight="1" ht="18.75">
      <c r="A4013" s="1"/>
      <c r="B4013" s="1"/>
      <c r="C4013" s="1"/>
      <c r="D4013" s="1"/>
      <c r="E4013" s="1"/>
      <c r="F4013" s="1"/>
      <c r="G4013" s="1"/>
      <c r="H4013" s="1"/>
      <c r="I4013" s="2"/>
      <c r="J4013" s="1"/>
      <c r="K4013" s="1"/>
      <c r="L4013" s="1"/>
      <c r="M4013" s="1"/>
      <c r="N4013" s="1"/>
      <c r="O4013" s="1"/>
      <c r="P4013" s="1"/>
      <c r="Q4013" s="1"/>
      <c r="R4013" s="1"/>
      <c r="S4013" s="1"/>
      <c r="T4013" s="1"/>
      <c r="U4013" s="1"/>
      <c r="V4013" s="1"/>
      <c r="W4013" s="1"/>
      <c r="X4013" s="1"/>
    </row>
    <row x14ac:dyDescent="0.25" r="4014" customHeight="1" ht="18.75">
      <c r="A4014" s="1"/>
      <c r="B4014" s="1"/>
      <c r="C4014" s="1"/>
      <c r="D4014" s="1"/>
      <c r="E4014" s="1"/>
      <c r="F4014" s="1"/>
      <c r="G4014" s="1"/>
      <c r="H4014" s="1"/>
      <c r="I4014" s="2"/>
      <c r="J4014" s="1"/>
      <c r="K4014" s="1"/>
      <c r="L4014" s="1"/>
      <c r="M4014" s="1"/>
      <c r="N4014" s="1"/>
      <c r="O4014" s="1"/>
      <c r="P4014" s="1"/>
      <c r="Q4014" s="1"/>
      <c r="R4014" s="1"/>
      <c r="S4014" s="1"/>
      <c r="T4014" s="1"/>
      <c r="U4014" s="1"/>
      <c r="V4014" s="1"/>
      <c r="W4014" s="1"/>
      <c r="X4014" s="1"/>
    </row>
    <row x14ac:dyDescent="0.25" r="4015" customHeight="1" ht="18.75">
      <c r="A4015" s="1"/>
      <c r="B4015" s="1"/>
      <c r="C4015" s="1"/>
      <c r="D4015" s="1"/>
      <c r="E4015" s="1"/>
      <c r="F4015" s="1"/>
      <c r="G4015" s="1"/>
      <c r="H4015" s="1"/>
      <c r="I4015" s="2"/>
      <c r="J4015" s="1"/>
      <c r="K4015" s="1"/>
      <c r="L4015" s="1"/>
      <c r="M4015" s="1"/>
      <c r="N4015" s="1"/>
      <c r="O4015" s="1"/>
      <c r="P4015" s="1"/>
      <c r="Q4015" s="1"/>
      <c r="R4015" s="1"/>
      <c r="S4015" s="1"/>
      <c r="T4015" s="1"/>
      <c r="U4015" s="1"/>
      <c r="V4015" s="1"/>
      <c r="W4015" s="1"/>
      <c r="X4015" s="1"/>
    </row>
    <row x14ac:dyDescent="0.25" r="4016" customHeight="1" ht="18.75">
      <c r="A4016" s="1"/>
      <c r="B4016" s="1"/>
      <c r="C4016" s="1"/>
      <c r="D4016" s="1"/>
      <c r="E4016" s="1"/>
      <c r="F4016" s="1"/>
      <c r="G4016" s="1"/>
      <c r="H4016" s="1"/>
      <c r="I4016" s="2"/>
      <c r="J4016" s="1"/>
      <c r="K4016" s="1"/>
      <c r="L4016" s="1"/>
      <c r="M4016" s="1"/>
      <c r="N4016" s="1"/>
      <c r="O4016" s="1"/>
      <c r="P4016" s="1"/>
      <c r="Q4016" s="1"/>
      <c r="R4016" s="1"/>
      <c r="S4016" s="1"/>
      <c r="T4016" s="1"/>
      <c r="U4016" s="1"/>
      <c r="V4016" s="1"/>
      <c r="W4016" s="1"/>
      <c r="X4016" s="1"/>
    </row>
    <row x14ac:dyDescent="0.25" r="4017" customHeight="1" ht="18.75">
      <c r="A4017" s="1"/>
      <c r="B4017" s="1"/>
      <c r="C4017" s="1"/>
      <c r="D4017" s="1"/>
      <c r="E4017" s="1"/>
      <c r="F4017" s="1"/>
      <c r="G4017" s="1"/>
      <c r="H4017" s="1"/>
      <c r="I4017" s="2"/>
      <c r="J4017" s="1"/>
      <c r="K4017" s="1"/>
      <c r="L4017" s="1"/>
      <c r="M4017" s="1"/>
      <c r="N4017" s="1"/>
      <c r="O4017" s="1"/>
      <c r="P4017" s="1"/>
      <c r="Q4017" s="1"/>
      <c r="R4017" s="1"/>
      <c r="S4017" s="1"/>
      <c r="T4017" s="1"/>
      <c r="U4017" s="1"/>
      <c r="V4017" s="1"/>
      <c r="W4017" s="1"/>
      <c r="X4017" s="1"/>
    </row>
    <row x14ac:dyDescent="0.25" r="4018" customHeight="1" ht="18.75">
      <c r="A4018" s="1"/>
      <c r="B4018" s="1"/>
      <c r="C4018" s="1"/>
      <c r="D4018" s="1"/>
      <c r="E4018" s="1"/>
      <c r="F4018" s="1"/>
      <c r="G4018" s="1"/>
      <c r="H4018" s="1"/>
      <c r="I4018" s="2"/>
      <c r="J4018" s="1"/>
      <c r="K4018" s="1"/>
      <c r="L4018" s="1"/>
      <c r="M4018" s="1"/>
      <c r="N4018" s="1"/>
      <c r="O4018" s="1"/>
      <c r="P4018" s="1"/>
      <c r="Q4018" s="1"/>
      <c r="R4018" s="1"/>
      <c r="S4018" s="1"/>
      <c r="T4018" s="1"/>
      <c r="U4018" s="1"/>
      <c r="V4018" s="1"/>
      <c r="W4018" s="1"/>
      <c r="X4018" s="1"/>
    </row>
    <row x14ac:dyDescent="0.25" r="4019" customHeight="1" ht="18.75">
      <c r="A4019" s="1"/>
      <c r="B4019" s="1"/>
      <c r="C4019" s="1"/>
      <c r="D4019" s="1"/>
      <c r="E4019" s="1"/>
      <c r="F4019" s="1"/>
      <c r="G4019" s="1"/>
      <c r="H4019" s="1"/>
      <c r="I4019" s="2"/>
      <c r="J4019" s="1"/>
      <c r="K4019" s="1"/>
      <c r="L4019" s="1"/>
      <c r="M4019" s="1"/>
      <c r="N4019" s="1"/>
      <c r="O4019" s="1"/>
      <c r="P4019" s="1"/>
      <c r="Q4019" s="1"/>
      <c r="R4019" s="1"/>
      <c r="S4019" s="1"/>
      <c r="T4019" s="1"/>
      <c r="U4019" s="1"/>
      <c r="V4019" s="1"/>
      <c r="W4019" s="1"/>
      <c r="X4019" s="1"/>
    </row>
    <row x14ac:dyDescent="0.25" r="4020" customHeight="1" ht="18.75">
      <c r="A4020" s="1"/>
      <c r="B4020" s="1"/>
      <c r="C4020" s="1"/>
      <c r="D4020" s="1"/>
      <c r="E4020" s="1"/>
      <c r="F4020" s="1"/>
      <c r="G4020" s="1"/>
      <c r="H4020" s="1"/>
      <c r="I4020" s="2"/>
      <c r="J4020" s="1"/>
      <c r="K4020" s="1"/>
      <c r="L4020" s="1"/>
      <c r="M4020" s="1"/>
      <c r="N4020" s="1"/>
      <c r="O4020" s="1"/>
      <c r="P4020" s="1"/>
      <c r="Q4020" s="1"/>
      <c r="R4020" s="1"/>
      <c r="S4020" s="1"/>
      <c r="T4020" s="1"/>
      <c r="U4020" s="1"/>
      <c r="V4020" s="1"/>
      <c r="W4020" s="1"/>
      <c r="X4020" s="1"/>
    </row>
    <row x14ac:dyDescent="0.25" r="4021" customHeight="1" ht="18.75">
      <c r="A4021" s="1"/>
      <c r="B4021" s="1"/>
      <c r="C4021" s="1"/>
      <c r="D4021" s="1"/>
      <c r="E4021" s="1"/>
      <c r="F4021" s="1"/>
      <c r="G4021" s="1"/>
      <c r="H4021" s="1"/>
      <c r="I4021" s="2"/>
      <c r="J4021" s="1"/>
      <c r="K4021" s="1"/>
      <c r="L4021" s="1"/>
      <c r="M4021" s="1"/>
      <c r="N4021" s="1"/>
      <c r="O4021" s="1"/>
      <c r="P4021" s="1"/>
      <c r="Q4021" s="1"/>
      <c r="R4021" s="1"/>
      <c r="S4021" s="1"/>
      <c r="T4021" s="1"/>
      <c r="U4021" s="1"/>
      <c r="V4021" s="1"/>
      <c r="W4021" s="1"/>
      <c r="X4021" s="1"/>
    </row>
    <row x14ac:dyDescent="0.25" r="4022" customHeight="1" ht="18.75">
      <c r="A4022" s="1"/>
      <c r="B4022" s="1"/>
      <c r="C4022" s="1"/>
      <c r="D4022" s="1"/>
      <c r="E4022" s="1"/>
      <c r="F4022" s="1"/>
      <c r="G4022" s="1"/>
      <c r="H4022" s="1"/>
      <c r="I4022" s="2"/>
      <c r="J4022" s="1"/>
      <c r="K4022" s="1"/>
      <c r="L4022" s="1"/>
      <c r="M4022" s="1"/>
      <c r="N4022" s="1"/>
      <c r="O4022" s="1"/>
      <c r="P4022" s="1"/>
      <c r="Q4022" s="1"/>
      <c r="R4022" s="1"/>
      <c r="S4022" s="1"/>
      <c r="T4022" s="1"/>
      <c r="U4022" s="1"/>
      <c r="V4022" s="1"/>
      <c r="W4022" s="1"/>
      <c r="X4022" s="1"/>
    </row>
    <row x14ac:dyDescent="0.25" r="4023" customHeight="1" ht="18.75">
      <c r="A4023" s="1"/>
      <c r="B4023" s="1"/>
      <c r="C4023" s="1"/>
      <c r="D4023" s="1"/>
      <c r="E4023" s="1"/>
      <c r="F4023" s="1"/>
      <c r="G4023" s="1"/>
      <c r="H4023" s="1"/>
      <c r="I4023" s="2"/>
      <c r="J4023" s="1"/>
      <c r="K4023" s="1"/>
      <c r="L4023" s="1"/>
      <c r="M4023" s="1"/>
      <c r="N4023" s="1"/>
      <c r="O4023" s="1"/>
      <c r="P4023" s="1"/>
      <c r="Q4023" s="1"/>
      <c r="R4023" s="1"/>
      <c r="S4023" s="1"/>
      <c r="T4023" s="1"/>
      <c r="U4023" s="1"/>
      <c r="V4023" s="1"/>
      <c r="W4023" s="1"/>
      <c r="X4023" s="1"/>
    </row>
    <row x14ac:dyDescent="0.25" r="4024" customHeight="1" ht="18.75">
      <c r="A4024" s="1"/>
      <c r="B4024" s="1"/>
      <c r="C4024" s="1"/>
      <c r="D4024" s="1"/>
      <c r="E4024" s="1"/>
      <c r="F4024" s="1"/>
      <c r="G4024" s="1"/>
      <c r="H4024" s="1"/>
      <c r="I4024" s="2"/>
      <c r="J4024" s="1"/>
      <c r="K4024" s="1"/>
      <c r="L4024" s="1"/>
      <c r="M4024" s="1"/>
      <c r="N4024" s="1"/>
      <c r="O4024" s="1"/>
      <c r="P4024" s="1"/>
      <c r="Q4024" s="1"/>
      <c r="R4024" s="1"/>
      <c r="S4024" s="1"/>
      <c r="T4024" s="1"/>
      <c r="U4024" s="1"/>
      <c r="V4024" s="1"/>
      <c r="W4024" s="1"/>
      <c r="X4024" s="1"/>
    </row>
    <row x14ac:dyDescent="0.25" r="4025" customHeight="1" ht="18.75">
      <c r="A4025" s="1"/>
      <c r="B4025" s="1"/>
      <c r="C4025" s="1"/>
      <c r="D4025" s="1"/>
      <c r="E4025" s="1"/>
      <c r="F4025" s="1"/>
      <c r="G4025" s="1"/>
      <c r="H4025" s="1"/>
      <c r="I4025" s="2"/>
      <c r="J4025" s="1"/>
      <c r="K4025" s="1"/>
      <c r="L4025" s="1"/>
      <c r="M4025" s="1"/>
      <c r="N4025" s="1"/>
      <c r="O4025" s="1"/>
      <c r="P4025" s="1"/>
      <c r="Q4025" s="1"/>
      <c r="R4025" s="1"/>
      <c r="S4025" s="1"/>
      <c r="T4025" s="1"/>
      <c r="U4025" s="1"/>
      <c r="V4025" s="1"/>
      <c r="W4025" s="1"/>
      <c r="X4025" s="1"/>
    </row>
    <row x14ac:dyDescent="0.25" r="4026" customHeight="1" ht="18.75">
      <c r="A4026" s="1"/>
      <c r="B4026" s="1"/>
      <c r="C4026" s="1"/>
      <c r="D4026" s="1"/>
      <c r="E4026" s="1"/>
      <c r="F4026" s="1"/>
      <c r="G4026" s="1"/>
      <c r="H4026" s="1"/>
      <c r="I4026" s="2"/>
      <c r="J4026" s="1"/>
      <c r="K4026" s="1"/>
      <c r="L4026" s="1"/>
      <c r="M4026" s="1"/>
      <c r="N4026" s="1"/>
      <c r="O4026" s="1"/>
      <c r="P4026" s="1"/>
      <c r="Q4026" s="1"/>
      <c r="R4026" s="1"/>
      <c r="S4026" s="1"/>
      <c r="T4026" s="1"/>
      <c r="U4026" s="1"/>
      <c r="V4026" s="1"/>
      <c r="W4026" s="1"/>
      <c r="X4026" s="1"/>
    </row>
    <row x14ac:dyDescent="0.25" r="4027" customHeight="1" ht="18.75">
      <c r="A4027" s="1"/>
      <c r="B4027" s="1"/>
      <c r="C4027" s="1"/>
      <c r="D4027" s="1"/>
      <c r="E4027" s="1"/>
      <c r="F4027" s="1"/>
      <c r="G4027" s="1"/>
      <c r="H4027" s="1"/>
      <c r="I4027" s="2"/>
      <c r="J4027" s="1"/>
      <c r="K4027" s="1"/>
      <c r="L4027" s="1"/>
      <c r="M4027" s="1"/>
      <c r="N4027" s="1"/>
      <c r="O4027" s="1"/>
      <c r="P4027" s="1"/>
      <c r="Q4027" s="1"/>
      <c r="R4027" s="1"/>
      <c r="S4027" s="1"/>
      <c r="T4027" s="1"/>
      <c r="U4027" s="1"/>
      <c r="V4027" s="1"/>
      <c r="W4027" s="1"/>
      <c r="X4027" s="1"/>
    </row>
    <row x14ac:dyDescent="0.25" r="4028" customHeight="1" ht="18.75">
      <c r="A4028" s="1"/>
      <c r="B4028" s="1"/>
      <c r="C4028" s="1"/>
      <c r="D4028" s="1"/>
      <c r="E4028" s="1"/>
      <c r="F4028" s="1"/>
      <c r="G4028" s="1"/>
      <c r="H4028" s="1"/>
      <c r="I4028" s="2"/>
      <c r="J4028" s="1"/>
      <c r="K4028" s="1"/>
      <c r="L4028" s="1"/>
      <c r="M4028" s="1"/>
      <c r="N4028" s="1"/>
      <c r="O4028" s="1"/>
      <c r="P4028" s="1"/>
      <c r="Q4028" s="1"/>
      <c r="R4028" s="1"/>
      <c r="S4028" s="1"/>
      <c r="T4028" s="1"/>
      <c r="U4028" s="1"/>
      <c r="V4028" s="1"/>
      <c r="W4028" s="1"/>
      <c r="X4028" s="1"/>
    </row>
    <row x14ac:dyDescent="0.25" r="4029" customHeight="1" ht="18.75">
      <c r="A4029" s="1"/>
      <c r="B4029" s="1"/>
      <c r="C4029" s="1"/>
      <c r="D4029" s="1"/>
      <c r="E4029" s="1"/>
      <c r="F4029" s="1"/>
      <c r="G4029" s="1"/>
      <c r="H4029" s="1"/>
      <c r="I4029" s="2"/>
      <c r="J4029" s="1"/>
      <c r="K4029" s="1"/>
      <c r="L4029" s="1"/>
      <c r="M4029" s="1"/>
      <c r="N4029" s="1"/>
      <c r="O4029" s="1"/>
      <c r="P4029" s="1"/>
      <c r="Q4029" s="1"/>
      <c r="R4029" s="1"/>
      <c r="S4029" s="1"/>
      <c r="T4029" s="1"/>
      <c r="U4029" s="1"/>
      <c r="V4029" s="1"/>
      <c r="W4029" s="1"/>
      <c r="X4029" s="1"/>
    </row>
    <row x14ac:dyDescent="0.25" r="4030" customHeight="1" ht="18.75">
      <c r="A4030" s="1"/>
      <c r="B4030" s="1"/>
      <c r="C4030" s="1"/>
      <c r="D4030" s="1"/>
      <c r="E4030" s="1"/>
      <c r="F4030" s="1"/>
      <c r="G4030" s="1"/>
      <c r="H4030" s="1"/>
      <c r="I4030" s="2"/>
      <c r="J4030" s="1"/>
      <c r="K4030" s="1"/>
      <c r="L4030" s="1"/>
      <c r="M4030" s="1"/>
      <c r="N4030" s="1"/>
      <c r="O4030" s="1"/>
      <c r="P4030" s="1"/>
      <c r="Q4030" s="1"/>
      <c r="R4030" s="1"/>
      <c r="S4030" s="1"/>
      <c r="T4030" s="1"/>
      <c r="U4030" s="1"/>
      <c r="V4030" s="1"/>
      <c r="W4030" s="1"/>
      <c r="X4030" s="1"/>
    </row>
    <row x14ac:dyDescent="0.25" r="4031" customHeight="1" ht="18.75">
      <c r="A4031" s="1"/>
      <c r="B4031" s="1"/>
      <c r="C4031" s="1"/>
      <c r="D4031" s="1"/>
      <c r="E4031" s="1"/>
      <c r="F4031" s="1"/>
      <c r="G4031" s="1"/>
      <c r="H4031" s="1"/>
      <c r="I4031" s="2"/>
      <c r="J4031" s="1"/>
      <c r="K4031" s="1"/>
      <c r="L4031" s="1"/>
      <c r="M4031" s="1"/>
      <c r="N4031" s="1"/>
      <c r="O4031" s="1"/>
      <c r="P4031" s="1"/>
      <c r="Q4031" s="1"/>
      <c r="R4031" s="1"/>
      <c r="S4031" s="1"/>
      <c r="T4031" s="1"/>
      <c r="U4031" s="1"/>
      <c r="V4031" s="1"/>
      <c r="W4031" s="1"/>
      <c r="X4031" s="1"/>
    </row>
    <row x14ac:dyDescent="0.25" r="4032" customHeight="1" ht="18.75">
      <c r="A4032" s="1"/>
      <c r="B4032" s="1"/>
      <c r="C4032" s="1"/>
      <c r="D4032" s="1"/>
      <c r="E4032" s="1"/>
      <c r="F4032" s="1"/>
      <c r="G4032" s="1"/>
      <c r="H4032" s="1"/>
      <c r="I4032" s="2"/>
      <c r="J4032" s="1"/>
      <c r="K4032" s="1"/>
      <c r="L4032" s="1"/>
      <c r="M4032" s="1"/>
      <c r="N4032" s="1"/>
      <c r="O4032" s="1"/>
      <c r="P4032" s="1"/>
      <c r="Q4032" s="1"/>
      <c r="R4032" s="1"/>
      <c r="S4032" s="1"/>
      <c r="T4032" s="1"/>
      <c r="U4032" s="1"/>
      <c r="V4032" s="1"/>
      <c r="W4032" s="1"/>
      <c r="X4032" s="1"/>
    </row>
    <row x14ac:dyDescent="0.25" r="4033" customHeight="1" ht="18.75">
      <c r="A4033" s="1"/>
      <c r="B4033" s="1"/>
      <c r="C4033" s="1"/>
      <c r="D4033" s="1"/>
      <c r="E4033" s="1"/>
      <c r="F4033" s="1"/>
      <c r="G4033" s="1"/>
      <c r="H4033" s="1"/>
      <c r="I4033" s="2"/>
      <c r="J4033" s="1"/>
      <c r="K4033" s="1"/>
      <c r="L4033" s="1"/>
      <c r="M4033" s="1"/>
      <c r="N4033" s="1"/>
      <c r="O4033" s="1"/>
      <c r="P4033" s="1"/>
      <c r="Q4033" s="1"/>
      <c r="R4033" s="1"/>
      <c r="S4033" s="1"/>
      <c r="T4033" s="1"/>
      <c r="U4033" s="1"/>
      <c r="V4033" s="1"/>
      <c r="W4033" s="1"/>
      <c r="X4033" s="1"/>
    </row>
    <row x14ac:dyDescent="0.25" r="4034" customHeight="1" ht="18.75">
      <c r="A4034" s="1"/>
      <c r="B4034" s="1"/>
      <c r="C4034" s="1"/>
      <c r="D4034" s="1"/>
      <c r="E4034" s="1"/>
      <c r="F4034" s="1"/>
      <c r="G4034" s="1"/>
      <c r="H4034" s="1"/>
      <c r="I4034" s="2"/>
      <c r="J4034" s="1"/>
      <c r="K4034" s="1"/>
      <c r="L4034" s="1"/>
      <c r="M4034" s="1"/>
      <c r="N4034" s="1"/>
      <c r="O4034" s="1"/>
      <c r="P4034" s="1"/>
      <c r="Q4034" s="1"/>
      <c r="R4034" s="1"/>
      <c r="S4034" s="1"/>
      <c r="T4034" s="1"/>
      <c r="U4034" s="1"/>
      <c r="V4034" s="1"/>
      <c r="W4034" s="1"/>
      <c r="X4034" s="1"/>
    </row>
    <row x14ac:dyDescent="0.25" r="4035" customHeight="1" ht="18.75">
      <c r="A4035" s="1"/>
      <c r="B4035" s="1"/>
      <c r="C4035" s="1"/>
      <c r="D4035" s="1"/>
      <c r="E4035" s="1"/>
      <c r="F4035" s="1"/>
      <c r="G4035" s="1"/>
      <c r="H4035" s="1"/>
      <c r="I4035" s="2"/>
      <c r="J4035" s="1"/>
      <c r="K4035" s="1"/>
      <c r="L4035" s="1"/>
      <c r="M4035" s="1"/>
      <c r="N4035" s="1"/>
      <c r="O4035" s="1"/>
      <c r="P4035" s="1"/>
      <c r="Q4035" s="1"/>
      <c r="R4035" s="1"/>
      <c r="S4035" s="1"/>
      <c r="T4035" s="1"/>
      <c r="U4035" s="1"/>
      <c r="V4035" s="1"/>
      <c r="W4035" s="1"/>
      <c r="X4035" s="1"/>
    </row>
    <row x14ac:dyDescent="0.25" r="4036" customHeight="1" ht="18.75">
      <c r="A4036" s="1"/>
      <c r="B4036" s="1"/>
      <c r="C4036" s="1"/>
      <c r="D4036" s="1"/>
      <c r="E4036" s="1"/>
      <c r="F4036" s="1"/>
      <c r="G4036" s="1"/>
      <c r="H4036" s="1"/>
      <c r="I4036" s="2"/>
      <c r="J4036" s="1"/>
      <c r="K4036" s="1"/>
      <c r="L4036" s="1"/>
      <c r="M4036" s="1"/>
      <c r="N4036" s="1"/>
      <c r="O4036" s="1"/>
      <c r="P4036" s="1"/>
      <c r="Q4036" s="1"/>
      <c r="R4036" s="1"/>
      <c r="S4036" s="1"/>
      <c r="T4036" s="1"/>
      <c r="U4036" s="1"/>
      <c r="V4036" s="1"/>
      <c r="W4036" s="1"/>
      <c r="X4036" s="1"/>
    </row>
    <row x14ac:dyDescent="0.25" r="4037" customHeight="1" ht="18.75">
      <c r="A4037" s="1"/>
      <c r="B4037" s="1"/>
      <c r="C4037" s="1"/>
      <c r="D4037" s="1"/>
      <c r="E4037" s="1"/>
      <c r="F4037" s="1"/>
      <c r="G4037" s="1"/>
      <c r="H4037" s="1"/>
      <c r="I4037" s="2"/>
      <c r="J4037" s="1"/>
      <c r="K4037" s="1"/>
      <c r="L4037" s="1"/>
      <c r="M4037" s="1"/>
      <c r="N4037" s="1"/>
      <c r="O4037" s="1"/>
      <c r="P4037" s="1"/>
      <c r="Q4037" s="1"/>
      <c r="R4037" s="1"/>
      <c r="S4037" s="1"/>
      <c r="T4037" s="1"/>
      <c r="U4037" s="1"/>
      <c r="V4037" s="1"/>
      <c r="W4037" s="1"/>
      <c r="X4037" s="1"/>
    </row>
    <row x14ac:dyDescent="0.25" r="4038" customHeight="1" ht="18.75">
      <c r="A4038" s="1"/>
      <c r="B4038" s="1"/>
      <c r="C4038" s="1"/>
      <c r="D4038" s="1"/>
      <c r="E4038" s="1"/>
      <c r="F4038" s="1"/>
      <c r="G4038" s="1"/>
      <c r="H4038" s="1"/>
      <c r="I4038" s="2"/>
      <c r="J4038" s="1"/>
      <c r="K4038" s="1"/>
      <c r="L4038" s="1"/>
      <c r="M4038" s="1"/>
      <c r="N4038" s="1"/>
      <c r="O4038" s="1"/>
      <c r="P4038" s="1"/>
      <c r="Q4038" s="1"/>
      <c r="R4038" s="1"/>
      <c r="S4038" s="1"/>
      <c r="T4038" s="1"/>
      <c r="U4038" s="1"/>
      <c r="V4038" s="1"/>
      <c r="W4038" s="1"/>
      <c r="X4038" s="1"/>
    </row>
    <row x14ac:dyDescent="0.25" r="4039" customHeight="1" ht="18.75">
      <c r="A4039" s="1"/>
      <c r="B4039" s="1"/>
      <c r="C4039" s="1"/>
      <c r="D4039" s="1"/>
      <c r="E4039" s="1"/>
      <c r="F4039" s="1"/>
      <c r="G4039" s="1"/>
      <c r="H4039" s="1"/>
      <c r="I4039" s="2"/>
      <c r="J4039" s="1"/>
      <c r="K4039" s="1"/>
      <c r="L4039" s="1"/>
      <c r="M4039" s="1"/>
      <c r="N4039" s="1"/>
      <c r="O4039" s="1"/>
      <c r="P4039" s="1"/>
      <c r="Q4039" s="1"/>
      <c r="R4039" s="1"/>
      <c r="S4039" s="1"/>
      <c r="T4039" s="1"/>
      <c r="U4039" s="1"/>
      <c r="V4039" s="1"/>
      <c r="W4039" s="1"/>
      <c r="X4039" s="1"/>
    </row>
    <row x14ac:dyDescent="0.25" r="4040" customHeight="1" ht="18.75">
      <c r="A4040" s="1"/>
      <c r="B4040" s="1"/>
      <c r="C4040" s="1"/>
      <c r="D4040" s="1"/>
      <c r="E4040" s="1"/>
      <c r="F4040" s="1"/>
      <c r="G4040" s="1"/>
      <c r="H4040" s="1"/>
      <c r="I4040" s="2"/>
      <c r="J4040" s="1"/>
      <c r="K4040" s="1"/>
      <c r="L4040" s="1"/>
      <c r="M4040" s="1"/>
      <c r="N4040" s="1"/>
      <c r="O4040" s="1"/>
      <c r="P4040" s="1"/>
      <c r="Q4040" s="1"/>
      <c r="R4040" s="1"/>
      <c r="S4040" s="1"/>
      <c r="T4040" s="1"/>
      <c r="U4040" s="1"/>
      <c r="V4040" s="1"/>
      <c r="W4040" s="1"/>
      <c r="X4040" s="1"/>
    </row>
    <row x14ac:dyDescent="0.25" r="4041" customHeight="1" ht="18.75">
      <c r="A4041" s="1"/>
      <c r="B4041" s="1"/>
      <c r="C4041" s="1"/>
      <c r="D4041" s="1"/>
      <c r="E4041" s="1"/>
      <c r="F4041" s="1"/>
      <c r="G4041" s="1"/>
      <c r="H4041" s="1"/>
      <c r="I4041" s="2"/>
      <c r="J4041" s="1"/>
      <c r="K4041" s="1"/>
      <c r="L4041" s="1"/>
      <c r="M4041" s="1"/>
      <c r="N4041" s="1"/>
      <c r="O4041" s="1"/>
      <c r="P4041" s="1"/>
      <c r="Q4041" s="1"/>
      <c r="R4041" s="1"/>
      <c r="S4041" s="1"/>
      <c r="T4041" s="1"/>
      <c r="U4041" s="1"/>
      <c r="V4041" s="1"/>
      <c r="W4041" s="1"/>
      <c r="X4041" s="1"/>
    </row>
    <row x14ac:dyDescent="0.25" r="4042" customHeight="1" ht="18.75">
      <c r="A4042" s="1"/>
      <c r="B4042" s="1"/>
      <c r="C4042" s="1"/>
      <c r="D4042" s="1"/>
      <c r="E4042" s="1"/>
      <c r="F4042" s="1"/>
      <c r="G4042" s="1"/>
      <c r="H4042" s="1"/>
      <c r="I4042" s="2"/>
      <c r="J4042" s="1"/>
      <c r="K4042" s="1"/>
      <c r="L4042" s="1"/>
      <c r="M4042" s="1"/>
      <c r="N4042" s="1"/>
      <c r="O4042" s="1"/>
      <c r="P4042" s="1"/>
      <c r="Q4042" s="1"/>
      <c r="R4042" s="1"/>
      <c r="S4042" s="1"/>
      <c r="T4042" s="1"/>
      <c r="U4042" s="1"/>
      <c r="V4042" s="1"/>
      <c r="W4042" s="1"/>
      <c r="X4042" s="1"/>
    </row>
    <row x14ac:dyDescent="0.25" r="4043" customHeight="1" ht="18.75">
      <c r="A4043" s="1"/>
      <c r="B4043" s="1"/>
      <c r="C4043" s="1"/>
      <c r="D4043" s="1"/>
      <c r="E4043" s="1"/>
      <c r="F4043" s="1"/>
      <c r="G4043" s="1"/>
      <c r="H4043" s="1"/>
      <c r="I4043" s="2"/>
      <c r="J4043" s="1"/>
      <c r="K4043" s="1"/>
      <c r="L4043" s="1"/>
      <c r="M4043" s="1"/>
      <c r="N4043" s="1"/>
      <c r="O4043" s="1"/>
      <c r="P4043" s="1"/>
      <c r="Q4043" s="1"/>
      <c r="R4043" s="1"/>
      <c r="S4043" s="1"/>
      <c r="T4043" s="1"/>
      <c r="U4043" s="1"/>
      <c r="V4043" s="1"/>
      <c r="W4043" s="1"/>
      <c r="X4043" s="1"/>
    </row>
    <row x14ac:dyDescent="0.25" r="4044" customHeight="1" ht="18.75">
      <c r="A4044" s="1"/>
      <c r="B4044" s="1"/>
      <c r="C4044" s="1"/>
      <c r="D4044" s="1"/>
      <c r="E4044" s="1"/>
      <c r="F4044" s="1"/>
      <c r="G4044" s="1"/>
      <c r="H4044" s="1"/>
      <c r="I4044" s="2"/>
      <c r="J4044" s="1"/>
      <c r="K4044" s="1"/>
      <c r="L4044" s="1"/>
      <c r="M4044" s="1"/>
      <c r="N4044" s="1"/>
      <c r="O4044" s="1"/>
      <c r="P4044" s="1"/>
      <c r="Q4044" s="1"/>
      <c r="R4044" s="1"/>
      <c r="S4044" s="1"/>
      <c r="T4044" s="1"/>
      <c r="U4044" s="1"/>
      <c r="V4044" s="1"/>
      <c r="W4044" s="1"/>
      <c r="X4044" s="1"/>
    </row>
    <row x14ac:dyDescent="0.25" r="4045" customHeight="1" ht="18.75">
      <c r="A4045" s="1"/>
      <c r="B4045" s="1"/>
      <c r="C4045" s="1"/>
      <c r="D4045" s="1"/>
      <c r="E4045" s="1"/>
      <c r="F4045" s="1"/>
      <c r="G4045" s="1"/>
      <c r="H4045" s="1"/>
      <c r="I4045" s="2"/>
      <c r="J4045" s="1"/>
      <c r="K4045" s="1"/>
      <c r="L4045" s="1"/>
      <c r="M4045" s="1"/>
      <c r="N4045" s="1"/>
      <c r="O4045" s="1"/>
      <c r="P4045" s="1"/>
      <c r="Q4045" s="1"/>
      <c r="R4045" s="1"/>
      <c r="S4045" s="1"/>
      <c r="T4045" s="1"/>
      <c r="U4045" s="1"/>
      <c r="V4045" s="1"/>
      <c r="W4045" s="1"/>
      <c r="X4045" s="1"/>
    </row>
    <row x14ac:dyDescent="0.25" r="4046" customHeight="1" ht="18.75">
      <c r="A4046" s="1"/>
      <c r="B4046" s="1"/>
      <c r="C4046" s="1"/>
      <c r="D4046" s="1"/>
      <c r="E4046" s="1"/>
      <c r="F4046" s="1"/>
      <c r="G4046" s="1"/>
      <c r="H4046" s="1"/>
      <c r="I4046" s="2"/>
      <c r="J4046" s="1"/>
      <c r="K4046" s="1"/>
      <c r="L4046" s="1"/>
      <c r="M4046" s="1"/>
      <c r="N4046" s="1"/>
      <c r="O4046" s="1"/>
      <c r="P4046" s="1"/>
      <c r="Q4046" s="1"/>
      <c r="R4046" s="1"/>
      <c r="S4046" s="1"/>
      <c r="T4046" s="1"/>
      <c r="U4046" s="1"/>
      <c r="V4046" s="1"/>
      <c r="W4046" s="1"/>
      <c r="X4046" s="1"/>
    </row>
    <row x14ac:dyDescent="0.25" r="4047" customHeight="1" ht="18.75">
      <c r="A4047" s="1"/>
      <c r="B4047" s="1"/>
      <c r="C4047" s="1"/>
      <c r="D4047" s="1"/>
      <c r="E4047" s="1"/>
      <c r="F4047" s="1"/>
      <c r="G4047" s="1"/>
      <c r="H4047" s="1"/>
      <c r="I4047" s="2"/>
      <c r="J4047" s="1"/>
      <c r="K4047" s="1"/>
      <c r="L4047" s="1"/>
      <c r="M4047" s="1"/>
      <c r="N4047" s="1"/>
      <c r="O4047" s="1"/>
      <c r="P4047" s="1"/>
      <c r="Q4047" s="1"/>
      <c r="R4047" s="1"/>
      <c r="S4047" s="1"/>
      <c r="T4047" s="1"/>
      <c r="U4047" s="1"/>
      <c r="V4047" s="1"/>
      <c r="W4047" s="1"/>
      <c r="X4047" s="1"/>
    </row>
    <row x14ac:dyDescent="0.25" r="4048" customHeight="1" ht="18.75">
      <c r="A4048" s="1"/>
      <c r="B4048" s="1"/>
      <c r="C4048" s="1"/>
      <c r="D4048" s="1"/>
      <c r="E4048" s="1"/>
      <c r="F4048" s="1"/>
      <c r="G4048" s="1"/>
      <c r="H4048" s="1"/>
      <c r="I4048" s="2"/>
      <c r="J4048" s="1"/>
      <c r="K4048" s="1"/>
      <c r="L4048" s="1"/>
      <c r="M4048" s="1"/>
      <c r="N4048" s="1"/>
      <c r="O4048" s="1"/>
      <c r="P4048" s="1"/>
      <c r="Q4048" s="1"/>
      <c r="R4048" s="1"/>
      <c r="S4048" s="1"/>
      <c r="T4048" s="1"/>
      <c r="U4048" s="1"/>
      <c r="V4048" s="1"/>
      <c r="W4048" s="1"/>
      <c r="X4048" s="1"/>
    </row>
    <row x14ac:dyDescent="0.25" r="4049" customHeight="1" ht="18.75">
      <c r="A4049" s="1"/>
      <c r="B4049" s="1"/>
      <c r="C4049" s="1"/>
      <c r="D4049" s="1"/>
      <c r="E4049" s="1"/>
      <c r="F4049" s="1"/>
      <c r="G4049" s="1"/>
      <c r="H4049" s="1"/>
      <c r="I4049" s="2"/>
      <c r="J4049" s="1"/>
      <c r="K4049" s="1"/>
      <c r="L4049" s="1"/>
      <c r="M4049" s="1"/>
      <c r="N4049" s="1"/>
      <c r="O4049" s="1"/>
      <c r="P4049" s="1"/>
      <c r="Q4049" s="1"/>
      <c r="R4049" s="1"/>
      <c r="S4049" s="1"/>
      <c r="T4049" s="1"/>
      <c r="U4049" s="1"/>
      <c r="V4049" s="1"/>
      <c r="W4049" s="1"/>
      <c r="X4049" s="1"/>
    </row>
    <row x14ac:dyDescent="0.25" r="4050" customHeight="1" ht="18.75">
      <c r="A4050" s="1"/>
      <c r="B4050" s="1"/>
      <c r="C4050" s="1"/>
      <c r="D4050" s="1"/>
      <c r="E4050" s="1"/>
      <c r="F4050" s="1"/>
      <c r="G4050" s="1"/>
      <c r="H4050" s="1"/>
      <c r="I4050" s="2"/>
      <c r="J4050" s="1"/>
      <c r="K4050" s="1"/>
      <c r="L4050" s="1"/>
      <c r="M4050" s="1"/>
      <c r="N4050" s="1"/>
      <c r="O4050" s="1"/>
      <c r="P4050" s="1"/>
      <c r="Q4050" s="1"/>
      <c r="R4050" s="1"/>
      <c r="S4050" s="1"/>
      <c r="T4050" s="1"/>
      <c r="U4050" s="1"/>
      <c r="V4050" s="1"/>
      <c r="W4050" s="1"/>
      <c r="X4050" s="1"/>
    </row>
    <row x14ac:dyDescent="0.25" r="4051" customHeight="1" ht="18.75">
      <c r="A4051" s="1"/>
      <c r="B4051" s="1"/>
      <c r="C4051" s="1"/>
      <c r="D4051" s="1"/>
      <c r="E4051" s="1"/>
      <c r="F4051" s="1"/>
      <c r="G4051" s="1"/>
      <c r="H4051" s="1"/>
      <c r="I4051" s="2"/>
      <c r="J4051" s="1"/>
      <c r="K4051" s="1"/>
      <c r="L4051" s="1"/>
      <c r="M4051" s="1"/>
      <c r="N4051" s="1"/>
      <c r="O4051" s="1"/>
      <c r="P4051" s="1"/>
      <c r="Q4051" s="1"/>
      <c r="R4051" s="1"/>
      <c r="S4051" s="1"/>
      <c r="T4051" s="1"/>
      <c r="U4051" s="1"/>
      <c r="V4051" s="1"/>
      <c r="W4051" s="1"/>
      <c r="X4051" s="1"/>
    </row>
    <row x14ac:dyDescent="0.25" r="4052" customHeight="1" ht="18.75">
      <c r="A4052" s="1"/>
      <c r="B4052" s="1"/>
      <c r="C4052" s="1"/>
      <c r="D4052" s="1"/>
      <c r="E4052" s="1"/>
      <c r="F4052" s="1"/>
      <c r="G4052" s="1"/>
      <c r="H4052" s="1"/>
      <c r="I4052" s="2"/>
      <c r="J4052" s="1"/>
      <c r="K4052" s="1"/>
      <c r="L4052" s="1"/>
      <c r="M4052" s="1"/>
      <c r="N4052" s="1"/>
      <c r="O4052" s="1"/>
      <c r="P4052" s="1"/>
      <c r="Q4052" s="1"/>
      <c r="R4052" s="1"/>
      <c r="S4052" s="1"/>
      <c r="T4052" s="1"/>
      <c r="U4052" s="1"/>
      <c r="V4052" s="1"/>
      <c r="W4052" s="1"/>
      <c r="X4052" s="1"/>
    </row>
    <row x14ac:dyDescent="0.25" r="4053" customHeight="1" ht="18.75">
      <c r="A4053" s="1"/>
      <c r="B4053" s="1"/>
      <c r="C4053" s="1"/>
      <c r="D4053" s="1"/>
      <c r="E4053" s="1"/>
      <c r="F4053" s="1"/>
      <c r="G4053" s="1"/>
      <c r="H4053" s="1"/>
      <c r="I4053" s="2"/>
      <c r="J4053" s="1"/>
      <c r="K4053" s="1"/>
      <c r="L4053" s="1"/>
      <c r="M4053" s="1"/>
      <c r="N4053" s="1"/>
      <c r="O4053" s="1"/>
      <c r="P4053" s="1"/>
      <c r="Q4053" s="1"/>
      <c r="R4053" s="1"/>
      <c r="S4053" s="1"/>
      <c r="T4053" s="1"/>
      <c r="U4053" s="1"/>
      <c r="V4053" s="1"/>
      <c r="W4053" s="1"/>
      <c r="X4053" s="1"/>
    </row>
    <row x14ac:dyDescent="0.25" r="4054" customHeight="1" ht="18.75">
      <c r="A4054" s="1"/>
      <c r="B4054" s="1"/>
      <c r="C4054" s="1"/>
      <c r="D4054" s="1"/>
      <c r="E4054" s="1"/>
      <c r="F4054" s="1"/>
      <c r="G4054" s="1"/>
      <c r="H4054" s="1"/>
      <c r="I4054" s="2"/>
      <c r="J4054" s="1"/>
      <c r="K4054" s="1"/>
      <c r="L4054" s="1"/>
      <c r="M4054" s="1"/>
      <c r="N4054" s="1"/>
      <c r="O4054" s="1"/>
      <c r="P4054" s="1"/>
      <c r="Q4054" s="1"/>
      <c r="R4054" s="1"/>
      <c r="S4054" s="1"/>
      <c r="T4054" s="1"/>
      <c r="U4054" s="1"/>
      <c r="V4054" s="1"/>
      <c r="W4054" s="1"/>
      <c r="X4054" s="1"/>
    </row>
    <row x14ac:dyDescent="0.25" r="4055" customHeight="1" ht="18.75">
      <c r="A4055" s="1"/>
      <c r="B4055" s="1"/>
      <c r="C4055" s="1"/>
      <c r="D4055" s="1"/>
      <c r="E4055" s="1"/>
      <c r="F4055" s="1"/>
      <c r="G4055" s="1"/>
      <c r="H4055" s="1"/>
      <c r="I4055" s="2"/>
      <c r="J4055" s="1"/>
      <c r="K4055" s="1"/>
      <c r="L4055" s="1"/>
      <c r="M4055" s="1"/>
      <c r="N4055" s="1"/>
      <c r="O4055" s="1"/>
      <c r="P4055" s="1"/>
      <c r="Q4055" s="1"/>
      <c r="R4055" s="1"/>
      <c r="S4055" s="1"/>
      <c r="T4055" s="1"/>
      <c r="U4055" s="1"/>
      <c r="V4055" s="1"/>
      <c r="W4055" s="1"/>
      <c r="X4055" s="1"/>
    </row>
    <row x14ac:dyDescent="0.25" r="4056" customHeight="1" ht="18.75">
      <c r="A4056" s="1"/>
      <c r="B4056" s="1"/>
      <c r="C4056" s="1"/>
      <c r="D4056" s="1"/>
      <c r="E4056" s="1"/>
      <c r="F4056" s="1"/>
      <c r="G4056" s="1"/>
      <c r="H4056" s="1"/>
      <c r="I4056" s="2"/>
      <c r="J4056" s="1"/>
      <c r="K4056" s="1"/>
      <c r="L4056" s="1"/>
      <c r="M4056" s="1"/>
      <c r="N4056" s="1"/>
      <c r="O4056" s="1"/>
      <c r="P4056" s="1"/>
      <c r="Q4056" s="1"/>
      <c r="R4056" s="1"/>
      <c r="S4056" s="1"/>
      <c r="T4056" s="1"/>
      <c r="U4056" s="1"/>
      <c r="V4056" s="1"/>
      <c r="W4056" s="1"/>
      <c r="X4056" s="1"/>
    </row>
    <row x14ac:dyDescent="0.25" r="4057" customHeight="1" ht="18.75">
      <c r="A4057" s="1"/>
      <c r="B4057" s="1"/>
      <c r="C4057" s="1"/>
      <c r="D4057" s="1"/>
      <c r="E4057" s="1"/>
      <c r="F4057" s="1"/>
      <c r="G4057" s="1"/>
      <c r="H4057" s="1"/>
      <c r="I4057" s="2"/>
      <c r="J4057" s="1"/>
      <c r="K4057" s="1"/>
      <c r="L4057" s="1"/>
      <c r="M4057" s="1"/>
      <c r="N4057" s="1"/>
      <c r="O4057" s="1"/>
      <c r="P4057" s="1"/>
      <c r="Q4057" s="1"/>
      <c r="R4057" s="1"/>
      <c r="S4057" s="1"/>
      <c r="T4057" s="1"/>
      <c r="U4057" s="1"/>
      <c r="V4057" s="1"/>
      <c r="W4057" s="1"/>
      <c r="X4057" s="1"/>
    </row>
    <row x14ac:dyDescent="0.25" r="4058" customHeight="1" ht="18.75">
      <c r="A4058" s="1"/>
      <c r="B4058" s="1"/>
      <c r="C4058" s="1"/>
      <c r="D4058" s="1"/>
      <c r="E4058" s="1"/>
      <c r="F4058" s="1"/>
      <c r="G4058" s="1"/>
      <c r="H4058" s="1"/>
      <c r="I4058" s="2"/>
      <c r="J4058" s="1"/>
      <c r="K4058" s="1"/>
      <c r="L4058" s="1"/>
      <c r="M4058" s="1"/>
      <c r="N4058" s="1"/>
      <c r="O4058" s="1"/>
      <c r="P4058" s="1"/>
      <c r="Q4058" s="1"/>
      <c r="R4058" s="1"/>
      <c r="S4058" s="1"/>
      <c r="T4058" s="1"/>
      <c r="U4058" s="1"/>
      <c r="V4058" s="1"/>
      <c r="W4058" s="1"/>
      <c r="X4058" s="1"/>
    </row>
    <row x14ac:dyDescent="0.25" r="4059" customHeight="1" ht="18.75">
      <c r="A4059" s="1"/>
      <c r="B4059" s="1"/>
      <c r="C4059" s="1"/>
      <c r="D4059" s="1"/>
      <c r="E4059" s="1"/>
      <c r="F4059" s="1"/>
      <c r="G4059" s="1"/>
      <c r="H4059" s="1"/>
      <c r="I4059" s="2"/>
      <c r="J4059" s="1"/>
      <c r="K4059" s="1"/>
      <c r="L4059" s="1"/>
      <c r="M4059" s="1"/>
      <c r="N4059" s="1"/>
      <c r="O4059" s="1"/>
      <c r="P4059" s="1"/>
      <c r="Q4059" s="1"/>
      <c r="R4059" s="1"/>
      <c r="S4059" s="1"/>
      <c r="T4059" s="1"/>
      <c r="U4059" s="1"/>
      <c r="V4059" s="1"/>
      <c r="W4059" s="1"/>
      <c r="X4059" s="1"/>
    </row>
    <row x14ac:dyDescent="0.25" r="4060" customHeight="1" ht="18.75">
      <c r="A4060" s="1"/>
      <c r="B4060" s="1"/>
      <c r="C4060" s="1"/>
      <c r="D4060" s="1"/>
      <c r="E4060" s="1"/>
      <c r="F4060" s="1"/>
      <c r="G4060" s="1"/>
      <c r="H4060" s="1"/>
      <c r="I4060" s="2"/>
      <c r="J4060" s="1"/>
      <c r="K4060" s="1"/>
      <c r="L4060" s="1"/>
      <c r="M4060" s="1"/>
      <c r="N4060" s="1"/>
      <c r="O4060" s="1"/>
      <c r="P4060" s="1"/>
      <c r="Q4060" s="1"/>
      <c r="R4060" s="1"/>
      <c r="S4060" s="1"/>
      <c r="T4060" s="1"/>
      <c r="U4060" s="1"/>
      <c r="V4060" s="1"/>
      <c r="W4060" s="1"/>
      <c r="X4060" s="1"/>
    </row>
    <row x14ac:dyDescent="0.25" r="4061" customHeight="1" ht="18.75">
      <c r="A4061" s="1"/>
      <c r="B4061" s="1"/>
      <c r="C4061" s="1"/>
      <c r="D4061" s="1"/>
      <c r="E4061" s="1"/>
      <c r="F4061" s="1"/>
      <c r="G4061" s="1"/>
      <c r="H4061" s="1"/>
      <c r="I4061" s="2"/>
      <c r="J4061" s="1"/>
      <c r="K4061" s="1"/>
      <c r="L4061" s="1"/>
      <c r="M4061" s="1"/>
      <c r="N4061" s="1"/>
      <c r="O4061" s="1"/>
      <c r="P4061" s="1"/>
      <c r="Q4061" s="1"/>
      <c r="R4061" s="1"/>
      <c r="S4061" s="1"/>
      <c r="T4061" s="1"/>
      <c r="U4061" s="1"/>
      <c r="V4061" s="1"/>
      <c r="W4061" s="1"/>
      <c r="X4061" s="1"/>
    </row>
    <row x14ac:dyDescent="0.25" r="4062" customHeight="1" ht="18.75">
      <c r="A4062" s="1"/>
      <c r="B4062" s="1"/>
      <c r="C4062" s="1"/>
      <c r="D4062" s="1"/>
      <c r="E4062" s="1"/>
      <c r="F4062" s="1"/>
      <c r="G4062" s="1"/>
      <c r="H4062" s="1"/>
      <c r="I4062" s="2"/>
      <c r="J4062" s="1"/>
      <c r="K4062" s="1"/>
      <c r="L4062" s="1"/>
      <c r="M4062" s="1"/>
      <c r="N4062" s="1"/>
      <c r="O4062" s="1"/>
      <c r="P4062" s="1"/>
      <c r="Q4062" s="1"/>
      <c r="R4062" s="1"/>
      <c r="S4062" s="1"/>
      <c r="T4062" s="1"/>
      <c r="U4062" s="1"/>
      <c r="V4062" s="1"/>
      <c r="W4062" s="1"/>
      <c r="X4062" s="1"/>
    </row>
    <row x14ac:dyDescent="0.25" r="4063" customHeight="1" ht="18.75">
      <c r="A4063" s="1"/>
      <c r="B4063" s="1"/>
      <c r="C4063" s="1"/>
      <c r="D4063" s="1"/>
      <c r="E4063" s="1"/>
      <c r="F4063" s="1"/>
      <c r="G4063" s="1"/>
      <c r="H4063" s="1"/>
      <c r="I4063" s="2"/>
      <c r="J4063" s="1"/>
      <c r="K4063" s="1"/>
      <c r="L4063" s="1"/>
      <c r="M4063" s="1"/>
      <c r="N4063" s="1"/>
      <c r="O4063" s="1"/>
      <c r="P4063" s="1"/>
      <c r="Q4063" s="1"/>
      <c r="R4063" s="1"/>
      <c r="S4063" s="1"/>
      <c r="T4063" s="1"/>
      <c r="U4063" s="1"/>
      <c r="V4063" s="1"/>
      <c r="W4063" s="1"/>
      <c r="X4063" s="1"/>
    </row>
    <row x14ac:dyDescent="0.25" r="4064" customHeight="1" ht="18.75">
      <c r="A4064" s="1"/>
      <c r="B4064" s="1"/>
      <c r="C4064" s="1"/>
      <c r="D4064" s="1"/>
      <c r="E4064" s="1"/>
      <c r="F4064" s="1"/>
      <c r="G4064" s="1"/>
      <c r="H4064" s="1"/>
      <c r="I4064" s="2"/>
      <c r="J4064" s="1"/>
      <c r="K4064" s="1"/>
      <c r="L4064" s="1"/>
      <c r="M4064" s="1"/>
      <c r="N4064" s="1"/>
      <c r="O4064" s="1"/>
      <c r="P4064" s="1"/>
      <c r="Q4064" s="1"/>
      <c r="R4064" s="1"/>
      <c r="S4064" s="1"/>
      <c r="T4064" s="1"/>
      <c r="U4064" s="1"/>
      <c r="V4064" s="1"/>
      <c r="W4064" s="1"/>
      <c r="X4064" s="1"/>
    </row>
    <row x14ac:dyDescent="0.25" r="4065" customHeight="1" ht="18.75">
      <c r="A4065" s="1"/>
      <c r="B4065" s="1"/>
      <c r="C4065" s="1"/>
      <c r="D4065" s="1"/>
      <c r="E4065" s="1"/>
      <c r="F4065" s="1"/>
      <c r="G4065" s="1"/>
      <c r="H4065" s="1"/>
      <c r="I4065" s="2"/>
      <c r="J4065" s="1"/>
      <c r="K4065" s="1"/>
      <c r="L4065" s="1"/>
      <c r="M4065" s="1"/>
      <c r="N4065" s="1"/>
      <c r="O4065" s="1"/>
      <c r="P4065" s="1"/>
      <c r="Q4065" s="1"/>
      <c r="R4065" s="1"/>
      <c r="S4065" s="1"/>
      <c r="T4065" s="1"/>
      <c r="U4065" s="1"/>
      <c r="V4065" s="1"/>
      <c r="W4065" s="1"/>
      <c r="X4065" s="1"/>
    </row>
    <row x14ac:dyDescent="0.25" r="4066" customHeight="1" ht="18.75">
      <c r="A4066" s="1"/>
      <c r="B4066" s="1"/>
      <c r="C4066" s="1"/>
      <c r="D4066" s="1"/>
      <c r="E4066" s="1"/>
      <c r="F4066" s="1"/>
      <c r="G4066" s="1"/>
      <c r="H4066" s="1"/>
      <c r="I4066" s="2"/>
      <c r="J4066" s="1"/>
      <c r="K4066" s="1"/>
      <c r="L4066" s="1"/>
      <c r="M4066" s="1"/>
      <c r="N4066" s="1"/>
      <c r="O4066" s="1"/>
      <c r="P4066" s="1"/>
      <c r="Q4066" s="1"/>
      <c r="R4066" s="1"/>
      <c r="S4066" s="1"/>
      <c r="T4066" s="1"/>
      <c r="U4066" s="1"/>
      <c r="V4066" s="1"/>
      <c r="W4066" s="1"/>
      <c r="X4066" s="1"/>
    </row>
    <row x14ac:dyDescent="0.25" r="4067" customHeight="1" ht="18.75">
      <c r="A4067" s="1"/>
      <c r="B4067" s="1"/>
      <c r="C4067" s="1"/>
      <c r="D4067" s="1"/>
      <c r="E4067" s="1"/>
      <c r="F4067" s="1"/>
      <c r="G4067" s="1"/>
      <c r="H4067" s="1"/>
      <c r="I4067" s="2"/>
      <c r="J4067" s="1"/>
      <c r="K4067" s="1"/>
      <c r="L4067" s="1"/>
      <c r="M4067" s="1"/>
      <c r="N4067" s="1"/>
      <c r="O4067" s="1"/>
      <c r="P4067" s="1"/>
      <c r="Q4067" s="1"/>
      <c r="R4067" s="1"/>
      <c r="S4067" s="1"/>
      <c r="T4067" s="1"/>
      <c r="U4067" s="1"/>
      <c r="V4067" s="1"/>
      <c r="W4067" s="1"/>
      <c r="X4067" s="1"/>
    </row>
    <row x14ac:dyDescent="0.25" r="4068" customHeight="1" ht="18.75">
      <c r="A4068" s="1"/>
      <c r="B4068" s="1"/>
      <c r="C4068" s="1"/>
      <c r="D4068" s="1"/>
      <c r="E4068" s="1"/>
      <c r="F4068" s="1"/>
      <c r="G4068" s="1"/>
      <c r="H4068" s="1"/>
      <c r="I4068" s="2"/>
      <c r="J4068" s="1"/>
      <c r="K4068" s="1"/>
      <c r="L4068" s="1"/>
      <c r="M4068" s="1"/>
      <c r="N4068" s="1"/>
      <c r="O4068" s="1"/>
      <c r="P4068" s="1"/>
      <c r="Q4068" s="1"/>
      <c r="R4068" s="1"/>
      <c r="S4068" s="1"/>
      <c r="T4068" s="1"/>
      <c r="U4068" s="1"/>
      <c r="V4068" s="1"/>
      <c r="W4068" s="1"/>
      <c r="X4068" s="1"/>
    </row>
    <row x14ac:dyDescent="0.25" r="4069" customHeight="1" ht="18.75">
      <c r="A4069" s="1"/>
      <c r="B4069" s="1"/>
      <c r="C4069" s="1"/>
      <c r="D4069" s="1"/>
      <c r="E4069" s="1"/>
      <c r="F4069" s="1"/>
      <c r="G4069" s="1"/>
      <c r="H4069" s="1"/>
      <c r="I4069" s="2"/>
      <c r="J4069" s="1"/>
      <c r="K4069" s="1"/>
      <c r="L4069" s="1"/>
      <c r="M4069" s="1"/>
      <c r="N4069" s="1"/>
      <c r="O4069" s="1"/>
      <c r="P4069" s="1"/>
      <c r="Q4069" s="1"/>
      <c r="R4069" s="1"/>
      <c r="S4069" s="1"/>
      <c r="T4069" s="1"/>
      <c r="U4069" s="1"/>
      <c r="V4069" s="1"/>
      <c r="W4069" s="1"/>
      <c r="X4069" s="1"/>
    </row>
    <row x14ac:dyDescent="0.25" r="4070" customHeight="1" ht="18.75">
      <c r="A4070" s="1"/>
      <c r="B4070" s="1"/>
      <c r="C4070" s="1"/>
      <c r="D4070" s="1"/>
      <c r="E4070" s="1"/>
      <c r="F4070" s="1"/>
      <c r="G4070" s="1"/>
      <c r="H4070" s="1"/>
      <c r="I4070" s="2"/>
      <c r="J4070" s="1"/>
      <c r="K4070" s="1"/>
      <c r="L4070" s="1"/>
      <c r="M4070" s="1"/>
      <c r="N4070" s="1"/>
      <c r="O4070" s="1"/>
      <c r="P4070" s="1"/>
      <c r="Q4070" s="1"/>
      <c r="R4070" s="1"/>
      <c r="S4070" s="1"/>
      <c r="T4070" s="1"/>
      <c r="U4070" s="1"/>
      <c r="V4070" s="1"/>
      <c r="W4070" s="1"/>
      <c r="X4070" s="1"/>
    </row>
    <row x14ac:dyDescent="0.25" r="4071" customHeight="1" ht="18.75">
      <c r="A4071" s="1"/>
      <c r="B4071" s="1"/>
      <c r="C4071" s="1"/>
      <c r="D4071" s="1"/>
      <c r="E4071" s="1"/>
      <c r="F4071" s="1"/>
      <c r="G4071" s="1"/>
      <c r="H4071" s="1"/>
      <c r="I4071" s="2"/>
      <c r="J4071" s="1"/>
      <c r="K4071" s="1"/>
      <c r="L4071" s="1"/>
      <c r="M4071" s="1"/>
      <c r="N4071" s="1"/>
      <c r="O4071" s="1"/>
      <c r="P4071" s="1"/>
      <c r="Q4071" s="1"/>
      <c r="R4071" s="1"/>
      <c r="S4071" s="1"/>
      <c r="T4071" s="1"/>
      <c r="U4071" s="1"/>
      <c r="V4071" s="1"/>
      <c r="W4071" s="1"/>
      <c r="X4071" s="1"/>
    </row>
    <row x14ac:dyDescent="0.25" r="4072" customHeight="1" ht="18.75">
      <c r="A4072" s="1"/>
      <c r="B4072" s="1"/>
      <c r="C4072" s="1"/>
      <c r="D4072" s="1"/>
      <c r="E4072" s="1"/>
      <c r="F4072" s="1"/>
      <c r="G4072" s="1"/>
      <c r="H4072" s="1"/>
      <c r="I4072" s="2"/>
      <c r="J4072" s="1"/>
      <c r="K4072" s="1"/>
      <c r="L4072" s="1"/>
      <c r="M4072" s="1"/>
      <c r="N4072" s="1"/>
      <c r="O4072" s="1"/>
      <c r="P4072" s="1"/>
      <c r="Q4072" s="1"/>
      <c r="R4072" s="1"/>
      <c r="S4072" s="1"/>
      <c r="T4072" s="1"/>
      <c r="U4072" s="1"/>
      <c r="V4072" s="1"/>
      <c r="W4072" s="1"/>
      <c r="X4072" s="1"/>
    </row>
    <row x14ac:dyDescent="0.25" r="4073" customHeight="1" ht="18.75">
      <c r="A4073" s="1"/>
      <c r="B4073" s="1"/>
      <c r="C4073" s="1"/>
      <c r="D4073" s="1"/>
      <c r="E4073" s="1"/>
      <c r="F4073" s="1"/>
      <c r="G4073" s="1"/>
      <c r="H4073" s="1"/>
      <c r="I4073" s="2"/>
      <c r="J4073" s="1"/>
      <c r="K4073" s="1"/>
      <c r="L4073" s="1"/>
      <c r="M4073" s="1"/>
      <c r="N4073" s="1"/>
      <c r="O4073" s="1"/>
      <c r="P4073" s="1"/>
      <c r="Q4073" s="1"/>
      <c r="R4073" s="1"/>
      <c r="S4073" s="1"/>
      <c r="T4073" s="1"/>
      <c r="U4073" s="1"/>
      <c r="V4073" s="1"/>
      <c r="W4073" s="1"/>
      <c r="X4073" s="1"/>
    </row>
    <row x14ac:dyDescent="0.25" r="4074" customHeight="1" ht="18.75">
      <c r="A4074" s="1"/>
      <c r="B4074" s="1"/>
      <c r="C4074" s="1"/>
      <c r="D4074" s="1"/>
      <c r="E4074" s="1"/>
      <c r="F4074" s="1"/>
      <c r="G4074" s="1"/>
      <c r="H4074" s="1"/>
      <c r="I4074" s="2"/>
      <c r="J4074" s="1"/>
      <c r="K4074" s="1"/>
      <c r="L4074" s="1"/>
      <c r="M4074" s="1"/>
      <c r="N4074" s="1"/>
      <c r="O4074" s="1"/>
      <c r="P4074" s="1"/>
      <c r="Q4074" s="1"/>
      <c r="R4074" s="1"/>
      <c r="S4074" s="1"/>
      <c r="T4074" s="1"/>
      <c r="U4074" s="1"/>
      <c r="V4074" s="1"/>
      <c r="W4074" s="1"/>
      <c r="X4074" s="1"/>
    </row>
    <row x14ac:dyDescent="0.25" r="4075" customHeight="1" ht="18.75">
      <c r="A4075" s="1"/>
      <c r="B4075" s="1"/>
      <c r="C4075" s="1"/>
      <c r="D4075" s="1"/>
      <c r="E4075" s="1"/>
      <c r="F4075" s="1"/>
      <c r="G4075" s="1"/>
      <c r="H4075" s="1"/>
      <c r="I4075" s="2"/>
      <c r="J4075" s="1"/>
      <c r="K4075" s="1"/>
      <c r="L4075" s="1"/>
      <c r="M4075" s="1"/>
      <c r="N4075" s="1"/>
      <c r="O4075" s="1"/>
      <c r="P4075" s="1"/>
      <c r="Q4075" s="1"/>
      <c r="R4075" s="1"/>
      <c r="S4075" s="1"/>
      <c r="T4075" s="1"/>
      <c r="U4075" s="1"/>
      <c r="V4075" s="1"/>
      <c r="W4075" s="1"/>
      <c r="X4075" s="1"/>
    </row>
    <row x14ac:dyDescent="0.25" r="4076" customHeight="1" ht="18.75">
      <c r="A4076" s="1"/>
      <c r="B4076" s="1"/>
      <c r="C4076" s="1"/>
      <c r="D4076" s="1"/>
      <c r="E4076" s="1"/>
      <c r="F4076" s="1"/>
      <c r="G4076" s="1"/>
      <c r="H4076" s="1"/>
      <c r="I4076" s="2"/>
      <c r="J4076" s="1"/>
      <c r="K4076" s="1"/>
      <c r="L4076" s="1"/>
      <c r="M4076" s="1"/>
      <c r="N4076" s="1"/>
      <c r="O4076" s="1"/>
      <c r="P4076" s="1"/>
      <c r="Q4076" s="1"/>
      <c r="R4076" s="1"/>
      <c r="S4076" s="1"/>
      <c r="T4076" s="1"/>
      <c r="U4076" s="1"/>
      <c r="V4076" s="1"/>
      <c r="W4076" s="1"/>
      <c r="X4076" s="1"/>
    </row>
    <row x14ac:dyDescent="0.25" r="4077" customHeight="1" ht="18.75">
      <c r="A4077" s="1"/>
      <c r="B4077" s="1"/>
      <c r="C4077" s="1"/>
      <c r="D4077" s="1"/>
      <c r="E4077" s="1"/>
      <c r="F4077" s="1"/>
      <c r="G4077" s="1"/>
      <c r="H4077" s="1"/>
      <c r="I4077" s="2"/>
      <c r="J4077" s="1"/>
      <c r="K4077" s="1"/>
      <c r="L4077" s="1"/>
      <c r="M4077" s="1"/>
      <c r="N4077" s="1"/>
      <c r="O4077" s="1"/>
      <c r="P4077" s="1"/>
      <c r="Q4077" s="1"/>
      <c r="R4077" s="1"/>
      <c r="S4077" s="1"/>
      <c r="T4077" s="1"/>
      <c r="U4077" s="1"/>
      <c r="V4077" s="1"/>
      <c r="W4077" s="1"/>
      <c r="X4077" s="1"/>
    </row>
    <row x14ac:dyDescent="0.25" r="4078" customHeight="1" ht="18.75">
      <c r="A4078" s="1"/>
      <c r="B4078" s="1"/>
      <c r="C4078" s="1"/>
      <c r="D4078" s="1"/>
      <c r="E4078" s="1"/>
      <c r="F4078" s="1"/>
      <c r="G4078" s="1"/>
      <c r="H4078" s="1"/>
      <c r="I4078" s="2"/>
      <c r="J4078" s="1"/>
      <c r="K4078" s="1"/>
      <c r="L4078" s="1"/>
      <c r="M4078" s="1"/>
      <c r="N4078" s="1"/>
      <c r="O4078" s="1"/>
      <c r="P4078" s="1"/>
      <c r="Q4078" s="1"/>
      <c r="R4078" s="1"/>
      <c r="S4078" s="1"/>
      <c r="T4078" s="1"/>
      <c r="U4078" s="1"/>
      <c r="V4078" s="1"/>
      <c r="W4078" s="1"/>
      <c r="X4078" s="1"/>
    </row>
    <row x14ac:dyDescent="0.25" r="4079" customHeight="1" ht="18.75">
      <c r="A4079" s="1"/>
      <c r="B4079" s="1"/>
      <c r="C4079" s="1"/>
      <c r="D4079" s="1"/>
      <c r="E4079" s="1"/>
      <c r="F4079" s="1"/>
      <c r="G4079" s="1"/>
      <c r="H4079" s="1"/>
      <c r="I4079" s="2"/>
      <c r="J4079" s="1"/>
      <c r="K4079" s="1"/>
      <c r="L4079" s="1"/>
      <c r="M4079" s="1"/>
      <c r="N4079" s="1"/>
      <c r="O4079" s="1"/>
      <c r="P4079" s="1"/>
      <c r="Q4079" s="1"/>
      <c r="R4079" s="1"/>
      <c r="S4079" s="1"/>
      <c r="T4079" s="1"/>
      <c r="U4079" s="1"/>
      <c r="V4079" s="1"/>
      <c r="W4079" s="1"/>
      <c r="X4079" s="1"/>
    </row>
    <row x14ac:dyDescent="0.25" r="4080" customHeight="1" ht="18.75">
      <c r="A4080" s="1"/>
      <c r="B4080" s="1"/>
      <c r="C4080" s="1"/>
      <c r="D4080" s="1"/>
      <c r="E4080" s="1"/>
      <c r="F4080" s="1"/>
      <c r="G4080" s="1"/>
      <c r="H4080" s="1"/>
      <c r="I4080" s="2"/>
      <c r="J4080" s="1"/>
      <c r="K4080" s="1"/>
      <c r="L4080" s="1"/>
      <c r="M4080" s="1"/>
      <c r="N4080" s="1"/>
      <c r="O4080" s="1"/>
      <c r="P4080" s="1"/>
      <c r="Q4080" s="1"/>
      <c r="R4080" s="1"/>
      <c r="S4080" s="1"/>
      <c r="T4080" s="1"/>
      <c r="U4080" s="1"/>
      <c r="V4080" s="1"/>
      <c r="W4080" s="1"/>
      <c r="X4080" s="1"/>
    </row>
    <row x14ac:dyDescent="0.25" r="4081" customHeight="1" ht="18.75">
      <c r="A4081" s="1"/>
      <c r="B4081" s="1"/>
      <c r="C4081" s="1"/>
      <c r="D4081" s="1"/>
      <c r="E4081" s="1"/>
      <c r="F4081" s="1"/>
      <c r="G4081" s="1"/>
      <c r="H4081" s="1"/>
      <c r="I4081" s="2"/>
      <c r="J4081" s="1"/>
      <c r="K4081" s="1"/>
      <c r="L4081" s="1"/>
      <c r="M4081" s="1"/>
      <c r="N4081" s="1"/>
      <c r="O4081" s="1"/>
      <c r="P4081" s="1"/>
      <c r="Q4081" s="1"/>
      <c r="R4081" s="1"/>
      <c r="S4081" s="1"/>
      <c r="T4081" s="1"/>
      <c r="U4081" s="1"/>
      <c r="V4081" s="1"/>
      <c r="W4081" s="1"/>
      <c r="X4081" s="1"/>
    </row>
    <row x14ac:dyDescent="0.25" r="4082" customHeight="1" ht="18.75">
      <c r="A4082" s="1"/>
      <c r="B4082" s="1"/>
      <c r="C4082" s="1"/>
      <c r="D4082" s="1"/>
      <c r="E4082" s="1"/>
      <c r="F4082" s="1"/>
      <c r="G4082" s="1"/>
      <c r="H4082" s="1"/>
      <c r="I4082" s="2"/>
      <c r="J4082" s="1"/>
      <c r="K4082" s="1"/>
      <c r="L4082" s="1"/>
      <c r="M4082" s="1"/>
      <c r="N4082" s="1"/>
      <c r="O4082" s="1"/>
      <c r="P4082" s="1"/>
      <c r="Q4082" s="1"/>
      <c r="R4082" s="1"/>
      <c r="S4082" s="1"/>
      <c r="T4082" s="1"/>
      <c r="U4082" s="1"/>
      <c r="V4082" s="1"/>
      <c r="W4082" s="1"/>
      <c r="X4082" s="1"/>
    </row>
    <row x14ac:dyDescent="0.25" r="4083" customHeight="1" ht="18.75">
      <c r="A4083" s="1"/>
      <c r="B4083" s="1"/>
      <c r="C4083" s="1"/>
      <c r="D4083" s="1"/>
      <c r="E4083" s="1"/>
      <c r="F4083" s="1"/>
      <c r="G4083" s="1"/>
      <c r="H4083" s="1"/>
      <c r="I4083" s="2"/>
      <c r="J4083" s="1"/>
      <c r="K4083" s="1"/>
      <c r="L4083" s="1"/>
      <c r="M4083" s="1"/>
      <c r="N4083" s="1"/>
      <c r="O4083" s="1"/>
      <c r="P4083" s="1"/>
      <c r="Q4083" s="1"/>
      <c r="R4083" s="1"/>
      <c r="S4083" s="1"/>
      <c r="T4083" s="1"/>
      <c r="U4083" s="1"/>
      <c r="V4083" s="1"/>
      <c r="W4083" s="1"/>
      <c r="X4083" s="1"/>
    </row>
    <row x14ac:dyDescent="0.25" r="4084" customHeight="1" ht="18.75">
      <c r="A4084" s="1"/>
      <c r="B4084" s="1"/>
      <c r="C4084" s="1"/>
      <c r="D4084" s="1"/>
      <c r="E4084" s="1"/>
      <c r="F4084" s="1"/>
      <c r="G4084" s="1"/>
      <c r="H4084" s="1"/>
      <c r="I4084" s="2"/>
      <c r="J4084" s="1"/>
      <c r="K4084" s="1"/>
      <c r="L4084" s="1"/>
      <c r="M4084" s="1"/>
      <c r="N4084" s="1"/>
      <c r="O4084" s="1"/>
      <c r="P4084" s="1"/>
      <c r="Q4084" s="1"/>
      <c r="R4084" s="1"/>
      <c r="S4084" s="1"/>
      <c r="T4084" s="1"/>
      <c r="U4084" s="1"/>
      <c r="V4084" s="1"/>
      <c r="W4084" s="1"/>
      <c r="X4084" s="1"/>
    </row>
    <row x14ac:dyDescent="0.25" r="4085" customHeight="1" ht="18.75">
      <c r="A4085" s="1"/>
      <c r="B4085" s="1"/>
      <c r="C4085" s="1"/>
      <c r="D4085" s="1"/>
      <c r="E4085" s="1"/>
      <c r="F4085" s="1"/>
      <c r="G4085" s="1"/>
      <c r="H4085" s="1"/>
      <c r="I4085" s="2"/>
      <c r="J4085" s="1"/>
      <c r="K4085" s="1"/>
      <c r="L4085" s="1"/>
      <c r="M4085" s="1"/>
      <c r="N4085" s="1"/>
      <c r="O4085" s="1"/>
      <c r="P4085" s="1"/>
      <c r="Q4085" s="1"/>
      <c r="R4085" s="1"/>
      <c r="S4085" s="1"/>
      <c r="T4085" s="1"/>
      <c r="U4085" s="1"/>
      <c r="V4085" s="1"/>
      <c r="W4085" s="1"/>
      <c r="X4085" s="1"/>
    </row>
    <row x14ac:dyDescent="0.25" r="4086" customHeight="1" ht="18.75">
      <c r="A4086" s="1"/>
      <c r="B4086" s="1"/>
      <c r="C4086" s="1"/>
      <c r="D4086" s="1"/>
      <c r="E4086" s="1"/>
      <c r="F4086" s="1"/>
      <c r="G4086" s="1"/>
      <c r="H4086" s="1"/>
      <c r="I4086" s="2"/>
      <c r="J4086" s="1"/>
      <c r="K4086" s="1"/>
      <c r="L4086" s="1"/>
      <c r="M4086" s="1"/>
      <c r="N4086" s="1"/>
      <c r="O4086" s="1"/>
      <c r="P4086" s="1"/>
      <c r="Q4086" s="1"/>
      <c r="R4086" s="1"/>
      <c r="S4086" s="1"/>
      <c r="T4086" s="1"/>
      <c r="U4086" s="1"/>
      <c r="V4086" s="1"/>
      <c r="W4086" s="1"/>
      <c r="X4086" s="1"/>
    </row>
    <row x14ac:dyDescent="0.25" r="4087" customHeight="1" ht="18.75">
      <c r="A4087" s="1"/>
      <c r="B4087" s="1"/>
      <c r="C4087" s="1"/>
      <c r="D4087" s="1"/>
      <c r="E4087" s="1"/>
      <c r="F4087" s="1"/>
      <c r="G4087" s="1"/>
      <c r="H4087" s="1"/>
      <c r="I4087" s="2"/>
      <c r="J4087" s="1"/>
      <c r="K4087" s="1"/>
      <c r="L4087" s="1"/>
      <c r="M4087" s="1"/>
      <c r="N4087" s="1"/>
      <c r="O4087" s="1"/>
      <c r="P4087" s="1"/>
      <c r="Q4087" s="1"/>
      <c r="R4087" s="1"/>
      <c r="S4087" s="1"/>
      <c r="T4087" s="1"/>
      <c r="U4087" s="1"/>
      <c r="V4087" s="1"/>
      <c r="W4087" s="1"/>
      <c r="X4087" s="1"/>
    </row>
    <row x14ac:dyDescent="0.25" r="4088" customHeight="1" ht="18.75">
      <c r="A4088" s="1"/>
      <c r="B4088" s="1"/>
      <c r="C4088" s="1"/>
      <c r="D4088" s="1"/>
      <c r="E4088" s="1"/>
      <c r="F4088" s="1"/>
      <c r="G4088" s="1"/>
      <c r="H4088" s="1"/>
      <c r="I4088" s="2"/>
      <c r="J4088" s="1"/>
      <c r="K4088" s="1"/>
      <c r="L4088" s="1"/>
      <c r="M4088" s="1"/>
      <c r="N4088" s="1"/>
      <c r="O4088" s="1"/>
      <c r="P4088" s="1"/>
      <c r="Q4088" s="1"/>
      <c r="R4088" s="1"/>
      <c r="S4088" s="1"/>
      <c r="T4088" s="1"/>
      <c r="U4088" s="1"/>
      <c r="V4088" s="1"/>
      <c r="W4088" s="1"/>
      <c r="X4088" s="1"/>
    </row>
    <row x14ac:dyDescent="0.25" r="4089" customHeight="1" ht="18.75">
      <c r="A4089" s="1"/>
      <c r="B4089" s="1"/>
      <c r="C4089" s="1"/>
      <c r="D4089" s="1"/>
      <c r="E4089" s="1"/>
      <c r="F4089" s="1"/>
      <c r="G4089" s="1"/>
      <c r="H4089" s="1"/>
      <c r="I4089" s="2"/>
      <c r="J4089" s="1"/>
      <c r="K4089" s="1"/>
      <c r="L4089" s="1"/>
      <c r="M4089" s="1"/>
      <c r="N4089" s="1"/>
      <c r="O4089" s="1"/>
      <c r="P4089" s="1"/>
      <c r="Q4089" s="1"/>
      <c r="R4089" s="1"/>
      <c r="S4089" s="1"/>
      <c r="T4089" s="1"/>
      <c r="U4089" s="1"/>
      <c r="V4089" s="1"/>
      <c r="W4089" s="1"/>
      <c r="X4089" s="1"/>
    </row>
    <row x14ac:dyDescent="0.25" r="4090" customHeight="1" ht="18.75">
      <c r="A4090" s="1"/>
      <c r="B4090" s="1"/>
      <c r="C4090" s="1"/>
      <c r="D4090" s="1"/>
      <c r="E4090" s="1"/>
      <c r="F4090" s="1"/>
      <c r="G4090" s="1"/>
      <c r="H4090" s="1"/>
      <c r="I4090" s="2"/>
      <c r="J4090" s="1"/>
      <c r="K4090" s="1"/>
      <c r="L4090" s="1"/>
      <c r="M4090" s="1"/>
      <c r="N4090" s="1"/>
      <c r="O4090" s="1"/>
      <c r="P4090" s="1"/>
      <c r="Q4090" s="1"/>
      <c r="R4090" s="1"/>
      <c r="S4090" s="1"/>
      <c r="T4090" s="1"/>
      <c r="U4090" s="1"/>
      <c r="V4090" s="1"/>
      <c r="W4090" s="1"/>
      <c r="X4090" s="1"/>
    </row>
    <row x14ac:dyDescent="0.25" r="4091" customHeight="1" ht="18.75">
      <c r="A4091" s="1"/>
      <c r="B4091" s="1"/>
      <c r="C4091" s="1"/>
      <c r="D4091" s="1"/>
      <c r="E4091" s="1"/>
      <c r="F4091" s="1"/>
      <c r="G4091" s="1"/>
      <c r="H4091" s="1"/>
      <c r="I4091" s="2"/>
      <c r="J4091" s="1"/>
      <c r="K4091" s="1"/>
      <c r="L4091" s="1"/>
      <c r="M4091" s="1"/>
      <c r="N4091" s="1"/>
      <c r="O4091" s="1"/>
      <c r="P4091" s="1"/>
      <c r="Q4091" s="1"/>
      <c r="R4091" s="1"/>
      <c r="S4091" s="1"/>
      <c r="T4091" s="1"/>
      <c r="U4091" s="1"/>
      <c r="V4091" s="1"/>
      <c r="W4091" s="1"/>
      <c r="X4091" s="1"/>
    </row>
    <row x14ac:dyDescent="0.25" r="4092" customHeight="1" ht="18.75">
      <c r="A4092" s="1"/>
      <c r="B4092" s="1"/>
      <c r="C4092" s="1"/>
      <c r="D4092" s="1"/>
      <c r="E4092" s="1"/>
      <c r="F4092" s="1"/>
      <c r="G4092" s="1"/>
      <c r="H4092" s="1"/>
      <c r="I4092" s="2"/>
      <c r="J4092" s="1"/>
      <c r="K4092" s="1"/>
      <c r="L4092" s="1"/>
      <c r="M4092" s="1"/>
      <c r="N4092" s="1"/>
      <c r="O4092" s="1"/>
      <c r="P4092" s="1"/>
      <c r="Q4092" s="1"/>
      <c r="R4092" s="1"/>
      <c r="S4092" s="1"/>
      <c r="T4092" s="1"/>
      <c r="U4092" s="1"/>
      <c r="V4092" s="1"/>
      <c r="W4092" s="1"/>
      <c r="X4092" s="1"/>
    </row>
    <row x14ac:dyDescent="0.25" r="4093" customHeight="1" ht="18.75">
      <c r="A4093" s="1"/>
      <c r="B4093" s="1"/>
      <c r="C4093" s="1"/>
      <c r="D4093" s="1"/>
      <c r="E4093" s="1"/>
      <c r="F4093" s="1"/>
      <c r="G4093" s="1"/>
      <c r="H4093" s="1"/>
      <c r="I4093" s="2"/>
      <c r="J4093" s="1"/>
      <c r="K4093" s="1"/>
      <c r="L4093" s="1"/>
      <c r="M4093" s="1"/>
      <c r="N4093" s="1"/>
      <c r="O4093" s="1"/>
      <c r="P4093" s="1"/>
      <c r="Q4093" s="1"/>
      <c r="R4093" s="1"/>
      <c r="S4093" s="1"/>
      <c r="T4093" s="1"/>
      <c r="U4093" s="1"/>
      <c r="V4093" s="1"/>
      <c r="W4093" s="1"/>
      <c r="X4093" s="1"/>
    </row>
    <row x14ac:dyDescent="0.25" r="4094" customHeight="1" ht="18.75">
      <c r="A4094" s="1"/>
      <c r="B4094" s="1"/>
      <c r="C4094" s="1"/>
      <c r="D4094" s="1"/>
      <c r="E4094" s="1"/>
      <c r="F4094" s="1"/>
      <c r="G4094" s="1"/>
      <c r="H4094" s="1"/>
      <c r="I4094" s="2"/>
      <c r="J4094" s="1"/>
      <c r="K4094" s="1"/>
      <c r="L4094" s="1"/>
      <c r="M4094" s="1"/>
      <c r="N4094" s="1"/>
      <c r="O4094" s="1"/>
      <c r="P4094" s="1"/>
      <c r="Q4094" s="1"/>
      <c r="R4094" s="1"/>
      <c r="S4094" s="1"/>
      <c r="T4094" s="1"/>
      <c r="U4094" s="1"/>
      <c r="V4094" s="1"/>
      <c r="W4094" s="1"/>
      <c r="X4094" s="1"/>
    </row>
    <row x14ac:dyDescent="0.25" r="4095" customHeight="1" ht="18.75">
      <c r="A4095" s="1"/>
      <c r="B4095" s="1"/>
      <c r="C4095" s="1"/>
      <c r="D4095" s="1"/>
      <c r="E4095" s="1"/>
      <c r="F4095" s="1"/>
      <c r="G4095" s="1"/>
      <c r="H4095" s="1"/>
      <c r="I4095" s="2"/>
      <c r="J4095" s="1"/>
      <c r="K4095" s="1"/>
      <c r="L4095" s="1"/>
      <c r="M4095" s="1"/>
      <c r="N4095" s="1"/>
      <c r="O4095" s="1"/>
      <c r="P4095" s="1"/>
      <c r="Q4095" s="1"/>
      <c r="R4095" s="1"/>
      <c r="S4095" s="1"/>
      <c r="T4095" s="1"/>
      <c r="U4095" s="1"/>
      <c r="V4095" s="1"/>
      <c r="W4095" s="1"/>
      <c r="X4095" s="1"/>
    </row>
    <row x14ac:dyDescent="0.25" r="4096" customHeight="1" ht="18.75">
      <c r="A4096" s="1"/>
      <c r="B4096" s="1"/>
      <c r="C4096" s="1"/>
      <c r="D4096" s="1"/>
      <c r="E4096" s="1"/>
      <c r="F4096" s="1"/>
      <c r="G4096" s="1"/>
      <c r="H4096" s="1"/>
      <c r="I4096" s="2"/>
      <c r="J4096" s="1"/>
      <c r="K4096" s="1"/>
      <c r="L4096" s="1"/>
      <c r="M4096" s="1"/>
      <c r="N4096" s="1"/>
      <c r="O4096" s="1"/>
      <c r="P4096" s="1"/>
      <c r="Q4096" s="1"/>
      <c r="R4096" s="1"/>
      <c r="S4096" s="1"/>
      <c r="T4096" s="1"/>
      <c r="U4096" s="1"/>
      <c r="V4096" s="1"/>
      <c r="W4096" s="1"/>
      <c r="X4096" s="1"/>
    </row>
    <row x14ac:dyDescent="0.25" r="4097" customHeight="1" ht="18.75">
      <c r="A4097" s="1"/>
      <c r="B4097" s="1"/>
      <c r="C4097" s="1"/>
      <c r="D4097" s="1"/>
      <c r="E4097" s="1"/>
      <c r="F4097" s="1"/>
      <c r="G4097" s="1"/>
      <c r="H4097" s="1"/>
      <c r="I4097" s="2"/>
      <c r="J4097" s="1"/>
      <c r="K4097" s="1"/>
      <c r="L4097" s="1"/>
      <c r="M4097" s="1"/>
      <c r="N4097" s="1"/>
      <c r="O4097" s="1"/>
      <c r="P4097" s="1"/>
      <c r="Q4097" s="1"/>
      <c r="R4097" s="1"/>
      <c r="S4097" s="1"/>
      <c r="T4097" s="1"/>
      <c r="U4097" s="1"/>
      <c r="V4097" s="1"/>
      <c r="W4097" s="1"/>
      <c r="X4097" s="1"/>
    </row>
    <row x14ac:dyDescent="0.25" r="4098" customHeight="1" ht="18.75">
      <c r="A4098" s="1"/>
      <c r="B4098" s="1"/>
      <c r="C4098" s="1"/>
      <c r="D4098" s="1"/>
      <c r="E4098" s="1"/>
      <c r="F4098" s="1"/>
      <c r="G4098" s="1"/>
      <c r="H4098" s="1"/>
      <c r="I4098" s="2"/>
      <c r="J4098" s="1"/>
      <c r="K4098" s="1"/>
      <c r="L4098" s="1"/>
      <c r="M4098" s="1"/>
      <c r="N4098" s="1"/>
      <c r="O4098" s="1"/>
      <c r="P4098" s="1"/>
      <c r="Q4098" s="1"/>
      <c r="R4098" s="1"/>
      <c r="S4098" s="1"/>
      <c r="T4098" s="1"/>
      <c r="U4098" s="1"/>
      <c r="V4098" s="1"/>
      <c r="W4098" s="1"/>
      <c r="X4098" s="1"/>
    </row>
    <row x14ac:dyDescent="0.25" r="4099" customHeight="1" ht="18.75">
      <c r="A4099" s="1"/>
      <c r="B4099" s="1"/>
      <c r="C4099" s="1"/>
      <c r="D4099" s="1"/>
      <c r="E4099" s="1"/>
      <c r="F4099" s="1"/>
      <c r="G4099" s="1"/>
      <c r="H4099" s="1"/>
      <c r="I4099" s="2"/>
      <c r="J4099" s="1"/>
      <c r="K4099" s="1"/>
      <c r="L4099" s="1"/>
      <c r="M4099" s="1"/>
      <c r="N4099" s="1"/>
      <c r="O4099" s="1"/>
      <c r="P4099" s="1"/>
      <c r="Q4099" s="1"/>
      <c r="R4099" s="1"/>
      <c r="S4099" s="1"/>
      <c r="T4099" s="1"/>
      <c r="U4099" s="1"/>
      <c r="V4099" s="1"/>
      <c r="W4099" s="1"/>
      <c r="X4099" s="1"/>
    </row>
    <row x14ac:dyDescent="0.25" r="4100" customHeight="1" ht="18.75">
      <c r="A4100" s="1"/>
      <c r="B4100" s="1"/>
      <c r="C4100" s="1"/>
      <c r="D4100" s="1"/>
      <c r="E4100" s="1"/>
      <c r="F4100" s="1"/>
      <c r="G4100" s="1"/>
      <c r="H4100" s="1"/>
      <c r="I4100" s="2"/>
      <c r="J4100" s="1"/>
      <c r="K4100" s="1"/>
      <c r="L4100" s="1"/>
      <c r="M4100" s="1"/>
      <c r="N4100" s="1"/>
      <c r="O4100" s="1"/>
      <c r="P4100" s="1"/>
      <c r="Q4100" s="1"/>
      <c r="R4100" s="1"/>
      <c r="S4100" s="1"/>
      <c r="T4100" s="1"/>
      <c r="U4100" s="1"/>
      <c r="V4100" s="1"/>
      <c r="W4100" s="1"/>
      <c r="X4100" s="1"/>
    </row>
    <row x14ac:dyDescent="0.25" r="4101" customHeight="1" ht="18.75">
      <c r="A4101" s="1"/>
      <c r="B4101" s="1"/>
      <c r="C4101" s="1"/>
      <c r="D4101" s="1"/>
      <c r="E4101" s="1"/>
      <c r="F4101" s="1"/>
      <c r="G4101" s="1"/>
      <c r="H4101" s="1"/>
      <c r="I4101" s="2"/>
      <c r="J4101" s="1"/>
      <c r="K4101" s="1"/>
      <c r="L4101" s="1"/>
      <c r="M4101" s="1"/>
      <c r="N4101" s="1"/>
      <c r="O4101" s="1"/>
      <c r="P4101" s="1"/>
      <c r="Q4101" s="1"/>
      <c r="R4101" s="1"/>
      <c r="S4101" s="1"/>
      <c r="T4101" s="1"/>
      <c r="U4101" s="1"/>
      <c r="V4101" s="1"/>
      <c r="W4101" s="1"/>
      <c r="X4101" s="1"/>
    </row>
    <row x14ac:dyDescent="0.25" r="4102" customHeight="1" ht="18.75">
      <c r="A4102" s="1"/>
      <c r="B4102" s="1"/>
      <c r="C4102" s="1"/>
      <c r="D4102" s="1"/>
      <c r="E4102" s="1"/>
      <c r="F4102" s="1"/>
      <c r="G4102" s="1"/>
      <c r="H4102" s="1"/>
      <c r="I4102" s="2"/>
      <c r="J4102" s="1"/>
      <c r="K4102" s="1"/>
      <c r="L4102" s="1"/>
      <c r="M4102" s="1"/>
      <c r="N4102" s="1"/>
      <c r="O4102" s="1"/>
      <c r="P4102" s="1"/>
      <c r="Q4102" s="1"/>
      <c r="R4102" s="1"/>
      <c r="S4102" s="1"/>
      <c r="T4102" s="1"/>
      <c r="U4102" s="1"/>
      <c r="V4102" s="1"/>
      <c r="W4102" s="1"/>
      <c r="X4102" s="1"/>
    </row>
    <row x14ac:dyDescent="0.25" r="4103" customHeight="1" ht="18.75">
      <c r="A4103" s="1"/>
      <c r="B4103" s="1"/>
      <c r="C4103" s="1"/>
      <c r="D4103" s="1"/>
      <c r="E4103" s="1"/>
      <c r="F4103" s="1"/>
      <c r="G4103" s="1"/>
      <c r="H4103" s="1"/>
      <c r="I4103" s="2"/>
      <c r="J4103" s="1"/>
      <c r="K4103" s="1"/>
      <c r="L4103" s="1"/>
      <c r="M4103" s="1"/>
      <c r="N4103" s="1"/>
      <c r="O4103" s="1"/>
      <c r="P4103" s="1"/>
      <c r="Q4103" s="1"/>
      <c r="R4103" s="1"/>
      <c r="S4103" s="1"/>
      <c r="T4103" s="1"/>
      <c r="U4103" s="1"/>
      <c r="V4103" s="1"/>
      <c r="W4103" s="1"/>
      <c r="X4103" s="1"/>
    </row>
    <row x14ac:dyDescent="0.25" r="4104" customHeight="1" ht="18.75">
      <c r="A4104" s="1"/>
      <c r="B4104" s="1"/>
      <c r="C4104" s="1"/>
      <c r="D4104" s="1"/>
      <c r="E4104" s="1"/>
      <c r="F4104" s="1"/>
      <c r="G4104" s="1"/>
      <c r="H4104" s="1"/>
      <c r="I4104" s="2"/>
      <c r="J4104" s="1"/>
      <c r="K4104" s="1"/>
      <c r="L4104" s="1"/>
      <c r="M4104" s="1"/>
      <c r="N4104" s="1"/>
      <c r="O4104" s="1"/>
      <c r="P4104" s="1"/>
      <c r="Q4104" s="1"/>
      <c r="R4104" s="1"/>
      <c r="S4104" s="1"/>
      <c r="T4104" s="1"/>
      <c r="U4104" s="1"/>
      <c r="V4104" s="1"/>
      <c r="W4104" s="1"/>
      <c r="X4104" s="1"/>
    </row>
    <row x14ac:dyDescent="0.25" r="4105" customHeight="1" ht="18.75">
      <c r="A4105" s="1"/>
      <c r="B4105" s="1"/>
      <c r="C4105" s="1"/>
      <c r="D4105" s="1"/>
      <c r="E4105" s="1"/>
      <c r="F4105" s="1"/>
      <c r="G4105" s="1"/>
      <c r="H4105" s="1"/>
      <c r="I4105" s="2"/>
      <c r="J4105" s="1"/>
      <c r="K4105" s="1"/>
      <c r="L4105" s="1"/>
      <c r="M4105" s="1"/>
      <c r="N4105" s="1"/>
      <c r="O4105" s="1"/>
      <c r="P4105" s="1"/>
      <c r="Q4105" s="1"/>
      <c r="R4105" s="1"/>
      <c r="S4105" s="1"/>
      <c r="T4105" s="1"/>
      <c r="U4105" s="1"/>
      <c r="V4105" s="1"/>
      <c r="W4105" s="1"/>
      <c r="X4105" s="1"/>
    </row>
    <row x14ac:dyDescent="0.25" r="4106" customHeight="1" ht="18.75">
      <c r="A4106" s="1"/>
      <c r="B4106" s="1"/>
      <c r="C4106" s="1"/>
      <c r="D4106" s="1"/>
      <c r="E4106" s="1"/>
      <c r="F4106" s="1"/>
      <c r="G4106" s="1"/>
      <c r="H4106" s="1"/>
      <c r="I4106" s="2"/>
      <c r="J4106" s="1"/>
      <c r="K4106" s="1"/>
      <c r="L4106" s="1"/>
      <c r="M4106" s="1"/>
      <c r="N4106" s="1"/>
      <c r="O4106" s="1"/>
      <c r="P4106" s="1"/>
      <c r="Q4106" s="1"/>
      <c r="R4106" s="1"/>
      <c r="S4106" s="1"/>
      <c r="T4106" s="1"/>
      <c r="U4106" s="1"/>
      <c r="V4106" s="1"/>
      <c r="W4106" s="1"/>
      <c r="X4106" s="1"/>
    </row>
    <row x14ac:dyDescent="0.25" r="4107" customHeight="1" ht="18.75">
      <c r="A4107" s="1"/>
      <c r="B4107" s="1"/>
      <c r="C4107" s="1"/>
      <c r="D4107" s="1"/>
      <c r="E4107" s="1"/>
      <c r="F4107" s="1"/>
      <c r="G4107" s="1"/>
      <c r="H4107" s="1"/>
      <c r="I4107" s="2"/>
      <c r="J4107" s="1"/>
      <c r="K4107" s="1"/>
      <c r="L4107" s="1"/>
      <c r="M4107" s="1"/>
      <c r="N4107" s="1"/>
      <c r="O4107" s="1"/>
      <c r="P4107" s="1"/>
      <c r="Q4107" s="1"/>
      <c r="R4107" s="1"/>
      <c r="S4107" s="1"/>
      <c r="T4107" s="1"/>
      <c r="U4107" s="1"/>
      <c r="V4107" s="1"/>
      <c r="W4107" s="1"/>
      <c r="X4107" s="1"/>
    </row>
    <row x14ac:dyDescent="0.25" r="4108" customHeight="1" ht="18.75">
      <c r="A4108" s="1"/>
      <c r="B4108" s="1"/>
      <c r="C4108" s="1"/>
      <c r="D4108" s="1"/>
      <c r="E4108" s="1"/>
      <c r="F4108" s="1"/>
      <c r="G4108" s="1"/>
      <c r="H4108" s="1"/>
      <c r="I4108" s="2"/>
      <c r="J4108" s="1"/>
      <c r="K4108" s="1"/>
      <c r="L4108" s="1"/>
      <c r="M4108" s="1"/>
      <c r="N4108" s="1"/>
      <c r="O4108" s="1"/>
      <c r="P4108" s="1"/>
      <c r="Q4108" s="1"/>
      <c r="R4108" s="1"/>
      <c r="S4108" s="1"/>
      <c r="T4108" s="1"/>
      <c r="U4108" s="1"/>
      <c r="V4108" s="1"/>
      <c r="W4108" s="1"/>
      <c r="X4108" s="1"/>
    </row>
    <row x14ac:dyDescent="0.25" r="4109" customHeight="1" ht="18.75">
      <c r="A4109" s="1"/>
      <c r="B4109" s="1"/>
      <c r="C4109" s="1"/>
      <c r="D4109" s="1"/>
      <c r="E4109" s="1"/>
      <c r="F4109" s="1"/>
      <c r="G4109" s="1"/>
      <c r="H4109" s="1"/>
      <c r="I4109" s="2"/>
      <c r="J4109" s="1"/>
      <c r="K4109" s="1"/>
      <c r="L4109" s="1"/>
      <c r="M4109" s="1"/>
      <c r="N4109" s="1"/>
      <c r="O4109" s="1"/>
      <c r="P4109" s="1"/>
      <c r="Q4109" s="1"/>
      <c r="R4109" s="1"/>
      <c r="S4109" s="1"/>
      <c r="T4109" s="1"/>
      <c r="U4109" s="1"/>
      <c r="V4109" s="1"/>
      <c r="W4109" s="1"/>
      <c r="X4109" s="1"/>
    </row>
    <row x14ac:dyDescent="0.25" r="4110" customHeight="1" ht="18.75">
      <c r="A4110" s="1"/>
      <c r="B4110" s="1"/>
      <c r="C4110" s="1"/>
      <c r="D4110" s="1"/>
      <c r="E4110" s="1"/>
      <c r="F4110" s="1"/>
      <c r="G4110" s="1"/>
      <c r="H4110" s="1"/>
      <c r="I4110" s="2"/>
      <c r="J4110" s="1"/>
      <c r="K4110" s="1"/>
      <c r="L4110" s="1"/>
      <c r="M4110" s="1"/>
      <c r="N4110" s="1"/>
      <c r="O4110" s="1"/>
      <c r="P4110" s="1"/>
      <c r="Q4110" s="1"/>
      <c r="R4110" s="1"/>
      <c r="S4110" s="1"/>
      <c r="T4110" s="1"/>
      <c r="U4110" s="1"/>
      <c r="V4110" s="1"/>
      <c r="W4110" s="1"/>
      <c r="X4110" s="1"/>
    </row>
    <row x14ac:dyDescent="0.25" r="4111" customHeight="1" ht="18.75">
      <c r="A4111" s="1"/>
      <c r="B4111" s="1"/>
      <c r="C4111" s="1"/>
      <c r="D4111" s="1"/>
      <c r="E4111" s="1"/>
      <c r="F4111" s="1"/>
      <c r="G4111" s="1"/>
      <c r="H4111" s="1"/>
      <c r="I4111" s="2"/>
      <c r="J4111" s="1"/>
      <c r="K4111" s="1"/>
      <c r="L4111" s="1"/>
      <c r="M4111" s="1"/>
      <c r="N4111" s="1"/>
      <c r="O4111" s="1"/>
      <c r="P4111" s="1"/>
      <c r="Q4111" s="1"/>
      <c r="R4111" s="1"/>
      <c r="S4111" s="1"/>
      <c r="T4111" s="1"/>
      <c r="U4111" s="1"/>
      <c r="V4111" s="1"/>
      <c r="W4111" s="1"/>
      <c r="X4111" s="1"/>
    </row>
    <row x14ac:dyDescent="0.25" r="4112" customHeight="1" ht="18.75">
      <c r="A4112" s="1"/>
      <c r="B4112" s="1"/>
      <c r="C4112" s="1"/>
      <c r="D4112" s="1"/>
      <c r="E4112" s="1"/>
      <c r="F4112" s="1"/>
      <c r="G4112" s="1"/>
      <c r="H4112" s="1"/>
      <c r="I4112" s="2"/>
      <c r="J4112" s="1"/>
      <c r="K4112" s="1"/>
      <c r="L4112" s="1"/>
      <c r="M4112" s="1"/>
      <c r="N4112" s="1"/>
      <c r="O4112" s="1"/>
      <c r="P4112" s="1"/>
      <c r="Q4112" s="1"/>
      <c r="R4112" s="1"/>
      <c r="S4112" s="1"/>
      <c r="T4112" s="1"/>
      <c r="U4112" s="1"/>
      <c r="V4112" s="1"/>
      <c r="W4112" s="1"/>
      <c r="X4112" s="1"/>
    </row>
    <row x14ac:dyDescent="0.25" r="4113" customHeight="1" ht="18.75">
      <c r="A4113" s="1"/>
      <c r="B4113" s="1"/>
      <c r="C4113" s="1"/>
      <c r="D4113" s="1"/>
      <c r="E4113" s="1"/>
      <c r="F4113" s="1"/>
      <c r="G4113" s="1"/>
      <c r="H4113" s="1"/>
      <c r="I4113" s="2"/>
      <c r="J4113" s="1"/>
      <c r="K4113" s="1"/>
      <c r="L4113" s="1"/>
      <c r="M4113" s="1"/>
      <c r="N4113" s="1"/>
      <c r="O4113" s="1"/>
      <c r="P4113" s="1"/>
      <c r="Q4113" s="1"/>
      <c r="R4113" s="1"/>
      <c r="S4113" s="1"/>
      <c r="T4113" s="1"/>
      <c r="U4113" s="1"/>
      <c r="V4113" s="1"/>
      <c r="W4113" s="1"/>
      <c r="X4113" s="1"/>
    </row>
    <row x14ac:dyDescent="0.25" r="4114" customHeight="1" ht="18.75">
      <c r="A4114" s="1"/>
      <c r="B4114" s="1"/>
      <c r="C4114" s="1"/>
      <c r="D4114" s="1"/>
      <c r="E4114" s="1"/>
      <c r="F4114" s="1"/>
      <c r="G4114" s="1"/>
      <c r="H4114" s="1"/>
      <c r="I4114" s="2"/>
      <c r="J4114" s="1"/>
      <c r="K4114" s="1"/>
      <c r="L4114" s="1"/>
      <c r="M4114" s="1"/>
      <c r="N4114" s="1"/>
      <c r="O4114" s="1"/>
      <c r="P4114" s="1"/>
      <c r="Q4114" s="1"/>
      <c r="R4114" s="1"/>
      <c r="S4114" s="1"/>
      <c r="T4114" s="1"/>
      <c r="U4114" s="1"/>
      <c r="V4114" s="1"/>
      <c r="W4114" s="1"/>
      <c r="X4114" s="1"/>
    </row>
    <row x14ac:dyDescent="0.25" r="4115" customHeight="1" ht="18.75">
      <c r="A4115" s="1"/>
      <c r="B4115" s="1"/>
      <c r="C4115" s="1"/>
      <c r="D4115" s="1"/>
      <c r="E4115" s="1"/>
      <c r="F4115" s="1"/>
      <c r="G4115" s="1"/>
      <c r="H4115" s="1"/>
      <c r="I4115" s="2"/>
      <c r="J4115" s="1"/>
      <c r="K4115" s="1"/>
      <c r="L4115" s="1"/>
      <c r="M4115" s="1"/>
      <c r="N4115" s="1"/>
      <c r="O4115" s="1"/>
      <c r="P4115" s="1"/>
      <c r="Q4115" s="1"/>
      <c r="R4115" s="1"/>
      <c r="S4115" s="1"/>
      <c r="T4115" s="1"/>
      <c r="U4115" s="1"/>
      <c r="V4115" s="1"/>
      <c r="W4115" s="1"/>
      <c r="X4115" s="1"/>
    </row>
    <row x14ac:dyDescent="0.25" r="4116" customHeight="1" ht="18.75">
      <c r="A4116" s="1"/>
      <c r="B4116" s="1"/>
      <c r="C4116" s="1"/>
      <c r="D4116" s="1"/>
      <c r="E4116" s="1"/>
      <c r="F4116" s="1"/>
      <c r="G4116" s="1"/>
      <c r="H4116" s="1"/>
      <c r="I4116" s="2"/>
      <c r="J4116" s="1"/>
      <c r="K4116" s="1"/>
      <c r="L4116" s="1"/>
      <c r="M4116" s="1"/>
      <c r="N4116" s="1"/>
      <c r="O4116" s="1"/>
      <c r="P4116" s="1"/>
      <c r="Q4116" s="1"/>
      <c r="R4116" s="1"/>
      <c r="S4116" s="1"/>
      <c r="T4116" s="1"/>
      <c r="U4116" s="1"/>
      <c r="V4116" s="1"/>
      <c r="W4116" s="1"/>
      <c r="X4116" s="1"/>
    </row>
    <row x14ac:dyDescent="0.25" r="4117" customHeight="1" ht="18.75">
      <c r="A4117" s="1"/>
      <c r="B4117" s="1"/>
      <c r="C4117" s="1"/>
      <c r="D4117" s="1"/>
      <c r="E4117" s="1"/>
      <c r="F4117" s="1"/>
      <c r="G4117" s="1"/>
      <c r="H4117" s="1"/>
      <c r="I4117" s="2"/>
      <c r="J4117" s="1"/>
      <c r="K4117" s="1"/>
      <c r="L4117" s="1"/>
      <c r="M4117" s="1"/>
      <c r="N4117" s="1"/>
      <c r="O4117" s="1"/>
      <c r="P4117" s="1"/>
      <c r="Q4117" s="1"/>
      <c r="R4117" s="1"/>
      <c r="S4117" s="1"/>
      <c r="T4117" s="1"/>
      <c r="U4117" s="1"/>
      <c r="V4117" s="1"/>
      <c r="W4117" s="1"/>
      <c r="X4117" s="1"/>
    </row>
    <row x14ac:dyDescent="0.25" r="4118" customHeight="1" ht="18.75">
      <c r="A4118" s="1"/>
      <c r="B4118" s="1"/>
      <c r="C4118" s="1"/>
      <c r="D4118" s="1"/>
      <c r="E4118" s="1"/>
      <c r="F4118" s="1"/>
      <c r="G4118" s="1"/>
      <c r="H4118" s="1"/>
      <c r="I4118" s="2"/>
      <c r="J4118" s="1"/>
      <c r="K4118" s="1"/>
      <c r="L4118" s="1"/>
      <c r="M4118" s="1"/>
      <c r="N4118" s="1"/>
      <c r="O4118" s="1"/>
      <c r="P4118" s="1"/>
      <c r="Q4118" s="1"/>
      <c r="R4118" s="1"/>
      <c r="S4118" s="1"/>
      <c r="T4118" s="1"/>
      <c r="U4118" s="1"/>
      <c r="V4118" s="1"/>
      <c r="W4118" s="1"/>
      <c r="X4118" s="1"/>
    </row>
    <row x14ac:dyDescent="0.25" r="4119" customHeight="1" ht="18.75">
      <c r="A4119" s="1"/>
      <c r="B4119" s="1"/>
      <c r="C4119" s="1"/>
      <c r="D4119" s="1"/>
      <c r="E4119" s="1"/>
      <c r="F4119" s="1"/>
      <c r="G4119" s="1"/>
      <c r="H4119" s="1"/>
      <c r="I4119" s="2"/>
      <c r="J4119" s="1"/>
      <c r="K4119" s="1"/>
      <c r="L4119" s="1"/>
      <c r="M4119" s="1"/>
      <c r="N4119" s="1"/>
      <c r="O4119" s="1"/>
      <c r="P4119" s="1"/>
      <c r="Q4119" s="1"/>
      <c r="R4119" s="1"/>
      <c r="S4119" s="1"/>
      <c r="T4119" s="1"/>
      <c r="U4119" s="1"/>
      <c r="V4119" s="1"/>
      <c r="W4119" s="1"/>
      <c r="X4119" s="1"/>
    </row>
    <row x14ac:dyDescent="0.25" r="4120" customHeight="1" ht="18.75">
      <c r="A4120" s="1"/>
      <c r="B4120" s="1"/>
      <c r="C4120" s="1"/>
      <c r="D4120" s="1"/>
      <c r="E4120" s="1"/>
      <c r="F4120" s="1"/>
      <c r="G4120" s="1"/>
      <c r="H4120" s="1"/>
      <c r="I4120" s="2"/>
      <c r="J4120" s="1"/>
      <c r="K4120" s="1"/>
      <c r="L4120" s="1"/>
      <c r="M4120" s="1"/>
      <c r="N4120" s="1"/>
      <c r="O4120" s="1"/>
      <c r="P4120" s="1"/>
      <c r="Q4120" s="1"/>
      <c r="R4120" s="1"/>
      <c r="S4120" s="1"/>
      <c r="T4120" s="1"/>
      <c r="U4120" s="1"/>
      <c r="V4120" s="1"/>
      <c r="W4120" s="1"/>
      <c r="X4120" s="1"/>
    </row>
    <row x14ac:dyDescent="0.25" r="4121" customHeight="1" ht="18.75">
      <c r="A4121" s="1"/>
      <c r="B4121" s="1"/>
      <c r="C4121" s="1"/>
      <c r="D4121" s="1"/>
      <c r="E4121" s="1"/>
      <c r="F4121" s="1"/>
      <c r="G4121" s="1"/>
      <c r="H4121" s="1"/>
      <c r="I4121" s="2"/>
      <c r="J4121" s="1"/>
      <c r="K4121" s="1"/>
      <c r="L4121" s="1"/>
      <c r="M4121" s="1"/>
      <c r="N4121" s="1"/>
      <c r="O4121" s="1"/>
      <c r="P4121" s="1"/>
      <c r="Q4121" s="1"/>
      <c r="R4121" s="1"/>
      <c r="S4121" s="1"/>
      <c r="T4121" s="1"/>
      <c r="U4121" s="1"/>
      <c r="V4121" s="1"/>
      <c r="W4121" s="1"/>
      <c r="X4121" s="1"/>
    </row>
    <row x14ac:dyDescent="0.25" r="4122" customHeight="1" ht="18.75">
      <c r="A4122" s="1"/>
      <c r="B4122" s="1"/>
      <c r="C4122" s="1"/>
      <c r="D4122" s="1"/>
      <c r="E4122" s="1"/>
      <c r="F4122" s="1"/>
      <c r="G4122" s="1"/>
      <c r="H4122" s="1"/>
      <c r="I4122" s="2"/>
      <c r="J4122" s="1"/>
      <c r="K4122" s="1"/>
      <c r="L4122" s="1"/>
      <c r="M4122" s="1"/>
      <c r="N4122" s="1"/>
      <c r="O4122" s="1"/>
      <c r="P4122" s="1"/>
      <c r="Q4122" s="1"/>
      <c r="R4122" s="1"/>
      <c r="S4122" s="1"/>
      <c r="T4122" s="1"/>
      <c r="U4122" s="1"/>
      <c r="V4122" s="1"/>
      <c r="W4122" s="1"/>
      <c r="X4122" s="1"/>
    </row>
    <row x14ac:dyDescent="0.25" r="4123" customHeight="1" ht="18.75">
      <c r="A4123" s="1"/>
      <c r="B4123" s="1"/>
      <c r="C4123" s="1"/>
      <c r="D4123" s="1"/>
      <c r="E4123" s="1"/>
      <c r="F4123" s="1"/>
      <c r="G4123" s="1"/>
      <c r="H4123" s="1"/>
      <c r="I4123" s="2"/>
      <c r="J4123" s="1"/>
      <c r="K4123" s="1"/>
      <c r="L4123" s="1"/>
      <c r="M4123" s="1"/>
      <c r="N4123" s="1"/>
      <c r="O4123" s="1"/>
      <c r="P4123" s="1"/>
      <c r="Q4123" s="1"/>
      <c r="R4123" s="1"/>
      <c r="S4123" s="1"/>
      <c r="T4123" s="1"/>
      <c r="U4123" s="1"/>
      <c r="V4123" s="1"/>
      <c r="W4123" s="1"/>
      <c r="X4123" s="1"/>
    </row>
    <row x14ac:dyDescent="0.25" r="4124" customHeight="1" ht="18.75">
      <c r="A4124" s="1"/>
      <c r="B4124" s="1"/>
      <c r="C4124" s="1"/>
      <c r="D4124" s="1"/>
      <c r="E4124" s="1"/>
      <c r="F4124" s="1"/>
      <c r="G4124" s="1"/>
      <c r="H4124" s="1"/>
      <c r="I4124" s="2"/>
      <c r="J4124" s="1"/>
      <c r="K4124" s="1"/>
      <c r="L4124" s="1"/>
      <c r="M4124" s="1"/>
      <c r="N4124" s="1"/>
      <c r="O4124" s="1"/>
      <c r="P4124" s="1"/>
      <c r="Q4124" s="1"/>
      <c r="R4124" s="1"/>
      <c r="S4124" s="1"/>
      <c r="T4124" s="1"/>
      <c r="U4124" s="1"/>
      <c r="V4124" s="1"/>
      <c r="W4124" s="1"/>
      <c r="X4124" s="1"/>
    </row>
    <row x14ac:dyDescent="0.25" r="4125" customHeight="1" ht="18.75">
      <c r="A4125" s="1"/>
      <c r="B4125" s="1"/>
      <c r="C4125" s="1"/>
      <c r="D4125" s="1"/>
      <c r="E4125" s="1"/>
      <c r="F4125" s="1"/>
      <c r="G4125" s="1"/>
      <c r="H4125" s="1"/>
      <c r="I4125" s="2"/>
      <c r="J4125" s="1"/>
      <c r="K4125" s="1"/>
      <c r="L4125" s="1"/>
      <c r="M4125" s="1"/>
      <c r="N4125" s="1"/>
      <c r="O4125" s="1"/>
      <c r="P4125" s="1"/>
      <c r="Q4125" s="1"/>
      <c r="R4125" s="1"/>
      <c r="S4125" s="1"/>
      <c r="T4125" s="1"/>
      <c r="U4125" s="1"/>
      <c r="V4125" s="1"/>
      <c r="W4125" s="1"/>
      <c r="X4125" s="1"/>
    </row>
    <row x14ac:dyDescent="0.25" r="4126" customHeight="1" ht="18.75">
      <c r="A4126" s="1"/>
      <c r="B4126" s="1"/>
      <c r="C4126" s="1"/>
      <c r="D4126" s="1"/>
      <c r="E4126" s="1"/>
      <c r="F4126" s="1"/>
      <c r="G4126" s="1"/>
      <c r="H4126" s="1"/>
      <c r="I4126" s="2"/>
      <c r="J4126" s="1"/>
      <c r="K4126" s="1"/>
      <c r="L4126" s="1"/>
      <c r="M4126" s="1"/>
      <c r="N4126" s="1"/>
      <c r="O4126" s="1"/>
      <c r="P4126" s="1"/>
      <c r="Q4126" s="1"/>
      <c r="R4126" s="1"/>
      <c r="S4126" s="1"/>
      <c r="T4126" s="1"/>
      <c r="U4126" s="1"/>
      <c r="V4126" s="1"/>
      <c r="W4126" s="1"/>
      <c r="X4126" s="1"/>
    </row>
    <row x14ac:dyDescent="0.25" r="4127" customHeight="1" ht="18.75">
      <c r="A4127" s="1"/>
      <c r="B4127" s="1"/>
      <c r="C4127" s="1"/>
      <c r="D4127" s="1"/>
      <c r="E4127" s="1"/>
      <c r="F4127" s="1"/>
      <c r="G4127" s="1"/>
      <c r="H4127" s="1"/>
      <c r="I4127" s="2"/>
      <c r="J4127" s="1"/>
      <c r="K4127" s="1"/>
      <c r="L4127" s="1"/>
      <c r="M4127" s="1"/>
      <c r="N4127" s="1"/>
      <c r="O4127" s="1"/>
      <c r="P4127" s="1"/>
      <c r="Q4127" s="1"/>
      <c r="R4127" s="1"/>
      <c r="S4127" s="1"/>
      <c r="T4127" s="1"/>
      <c r="U4127" s="1"/>
      <c r="V4127" s="1"/>
      <c r="W4127" s="1"/>
      <c r="X4127" s="1"/>
    </row>
    <row x14ac:dyDescent="0.25" r="4128" customHeight="1" ht="18.75">
      <c r="A4128" s="1"/>
      <c r="B4128" s="1"/>
      <c r="C4128" s="1"/>
      <c r="D4128" s="1"/>
      <c r="E4128" s="1"/>
      <c r="F4128" s="1"/>
      <c r="G4128" s="1"/>
      <c r="H4128" s="1"/>
      <c r="I4128" s="2"/>
      <c r="J4128" s="1"/>
      <c r="K4128" s="1"/>
      <c r="L4128" s="1"/>
      <c r="M4128" s="1"/>
      <c r="N4128" s="1"/>
      <c r="O4128" s="1"/>
      <c r="P4128" s="1"/>
      <c r="Q4128" s="1"/>
      <c r="R4128" s="1"/>
      <c r="S4128" s="1"/>
      <c r="T4128" s="1"/>
      <c r="U4128" s="1"/>
      <c r="V4128" s="1"/>
      <c r="W4128" s="1"/>
      <c r="X4128" s="1"/>
    </row>
    <row x14ac:dyDescent="0.25" r="4129" customHeight="1" ht="18.75">
      <c r="A4129" s="1"/>
      <c r="B4129" s="1"/>
      <c r="C4129" s="1"/>
      <c r="D4129" s="1"/>
      <c r="E4129" s="1"/>
      <c r="F4129" s="1"/>
      <c r="G4129" s="1"/>
      <c r="H4129" s="1"/>
      <c r="I4129" s="2"/>
      <c r="J4129" s="1"/>
      <c r="K4129" s="1"/>
      <c r="L4129" s="1"/>
      <c r="M4129" s="1"/>
      <c r="N4129" s="1"/>
      <c r="O4129" s="1"/>
      <c r="P4129" s="1"/>
      <c r="Q4129" s="1"/>
      <c r="R4129" s="1"/>
      <c r="S4129" s="1"/>
      <c r="T4129" s="1"/>
      <c r="U4129" s="1"/>
      <c r="V4129" s="1"/>
      <c r="W4129" s="1"/>
      <c r="X4129" s="1"/>
    </row>
    <row x14ac:dyDescent="0.25" r="4130" customHeight="1" ht="18.75">
      <c r="A4130" s="1"/>
      <c r="B4130" s="1"/>
      <c r="C4130" s="1"/>
      <c r="D4130" s="1"/>
      <c r="E4130" s="1"/>
      <c r="F4130" s="1"/>
      <c r="G4130" s="1"/>
      <c r="H4130" s="1"/>
      <c r="I4130" s="2"/>
      <c r="J4130" s="1"/>
      <c r="K4130" s="1"/>
      <c r="L4130" s="1"/>
      <c r="M4130" s="1"/>
      <c r="N4130" s="1"/>
      <c r="O4130" s="1"/>
      <c r="P4130" s="1"/>
      <c r="Q4130" s="1"/>
      <c r="R4130" s="1"/>
      <c r="S4130" s="1"/>
      <c r="T4130" s="1"/>
      <c r="U4130" s="1"/>
      <c r="V4130" s="1"/>
      <c r="W4130" s="1"/>
      <c r="X4130" s="1"/>
    </row>
    <row x14ac:dyDescent="0.25" r="4131" customHeight="1" ht="18.75">
      <c r="A4131" s="1"/>
      <c r="B4131" s="1"/>
      <c r="C4131" s="1"/>
      <c r="D4131" s="1"/>
      <c r="E4131" s="1"/>
      <c r="F4131" s="1"/>
      <c r="G4131" s="1"/>
      <c r="H4131" s="1"/>
      <c r="I4131" s="2"/>
      <c r="J4131" s="1"/>
      <c r="K4131" s="1"/>
      <c r="L4131" s="1"/>
      <c r="M4131" s="1"/>
      <c r="N4131" s="1"/>
      <c r="O4131" s="1"/>
      <c r="P4131" s="1"/>
      <c r="Q4131" s="1"/>
      <c r="R4131" s="1"/>
      <c r="S4131" s="1"/>
      <c r="T4131" s="1"/>
      <c r="U4131" s="1"/>
      <c r="V4131" s="1"/>
      <c r="W4131" s="1"/>
      <c r="X4131" s="1"/>
    </row>
    <row x14ac:dyDescent="0.25" r="4132" customHeight="1" ht="18.75">
      <c r="A4132" s="1"/>
      <c r="B4132" s="1"/>
      <c r="C4132" s="1"/>
      <c r="D4132" s="1"/>
      <c r="E4132" s="1"/>
      <c r="F4132" s="1"/>
      <c r="G4132" s="1"/>
      <c r="H4132" s="1"/>
      <c r="I4132" s="2"/>
      <c r="J4132" s="1"/>
      <c r="K4132" s="1"/>
      <c r="L4132" s="1"/>
      <c r="M4132" s="1"/>
      <c r="N4132" s="1"/>
      <c r="O4132" s="1"/>
      <c r="P4132" s="1"/>
      <c r="Q4132" s="1"/>
      <c r="R4132" s="1"/>
      <c r="S4132" s="1"/>
      <c r="T4132" s="1"/>
      <c r="U4132" s="1"/>
      <c r="V4132" s="1"/>
      <c r="W4132" s="1"/>
      <c r="X4132" s="1"/>
    </row>
    <row x14ac:dyDescent="0.25" r="4133" customHeight="1" ht="18.75">
      <c r="A4133" s="1"/>
      <c r="B4133" s="1"/>
      <c r="C4133" s="1"/>
      <c r="D4133" s="1"/>
      <c r="E4133" s="1"/>
      <c r="F4133" s="1"/>
      <c r="G4133" s="1"/>
      <c r="H4133" s="1"/>
      <c r="I4133" s="2"/>
      <c r="J4133" s="1"/>
      <c r="K4133" s="1"/>
      <c r="L4133" s="1"/>
      <c r="M4133" s="1"/>
      <c r="N4133" s="1"/>
      <c r="O4133" s="1"/>
      <c r="P4133" s="1"/>
      <c r="Q4133" s="1"/>
      <c r="R4133" s="1"/>
      <c r="S4133" s="1"/>
      <c r="T4133" s="1"/>
      <c r="U4133" s="1"/>
      <c r="V4133" s="1"/>
      <c r="W4133" s="1"/>
      <c r="X4133" s="1"/>
    </row>
    <row x14ac:dyDescent="0.25" r="4134" customHeight="1" ht="18.75">
      <c r="A4134" s="1"/>
      <c r="B4134" s="1"/>
      <c r="C4134" s="1"/>
      <c r="D4134" s="1"/>
      <c r="E4134" s="1"/>
      <c r="F4134" s="1"/>
      <c r="G4134" s="1"/>
      <c r="H4134" s="1"/>
      <c r="I4134" s="2"/>
      <c r="J4134" s="1"/>
      <c r="K4134" s="1"/>
      <c r="L4134" s="1"/>
      <c r="M4134" s="1"/>
      <c r="N4134" s="1"/>
      <c r="O4134" s="1"/>
      <c r="P4134" s="1"/>
      <c r="Q4134" s="1"/>
      <c r="R4134" s="1"/>
      <c r="S4134" s="1"/>
      <c r="T4134" s="1"/>
      <c r="U4134" s="1"/>
      <c r="V4134" s="1"/>
      <c r="W4134" s="1"/>
      <c r="X4134" s="1"/>
    </row>
    <row x14ac:dyDescent="0.25" r="4135" customHeight="1" ht="18.75">
      <c r="A4135" s="1"/>
      <c r="B4135" s="1"/>
      <c r="C4135" s="1"/>
      <c r="D4135" s="1"/>
      <c r="E4135" s="1"/>
      <c r="F4135" s="1"/>
      <c r="G4135" s="1"/>
      <c r="H4135" s="1"/>
      <c r="I4135" s="2"/>
      <c r="J4135" s="1"/>
      <c r="K4135" s="1"/>
      <c r="L4135" s="1"/>
      <c r="M4135" s="1"/>
      <c r="N4135" s="1"/>
      <c r="O4135" s="1"/>
      <c r="P4135" s="1"/>
      <c r="Q4135" s="1"/>
      <c r="R4135" s="1"/>
      <c r="S4135" s="1"/>
      <c r="T4135" s="1"/>
      <c r="U4135" s="1"/>
      <c r="V4135" s="1"/>
      <c r="W4135" s="1"/>
      <c r="X4135" s="1"/>
    </row>
    <row x14ac:dyDescent="0.25" r="4136" customHeight="1" ht="18.75">
      <c r="A4136" s="1"/>
      <c r="B4136" s="1"/>
      <c r="C4136" s="1"/>
      <c r="D4136" s="1"/>
      <c r="E4136" s="1"/>
      <c r="F4136" s="1"/>
      <c r="G4136" s="1"/>
      <c r="H4136" s="1"/>
      <c r="I4136" s="2"/>
      <c r="J4136" s="1"/>
      <c r="K4136" s="1"/>
      <c r="L4136" s="1"/>
      <c r="M4136" s="1"/>
      <c r="N4136" s="1"/>
      <c r="O4136" s="1"/>
      <c r="P4136" s="1"/>
      <c r="Q4136" s="1"/>
      <c r="R4136" s="1"/>
      <c r="S4136" s="1"/>
      <c r="T4136" s="1"/>
      <c r="U4136" s="1"/>
      <c r="V4136" s="1"/>
      <c r="W4136" s="1"/>
      <c r="X4136" s="1"/>
    </row>
    <row x14ac:dyDescent="0.25" r="4137" customHeight="1" ht="18.75">
      <c r="A4137" s="1"/>
      <c r="B4137" s="1"/>
      <c r="C4137" s="1"/>
      <c r="D4137" s="1"/>
      <c r="E4137" s="1"/>
      <c r="F4137" s="1"/>
      <c r="G4137" s="1"/>
      <c r="H4137" s="1"/>
      <c r="I4137" s="2"/>
      <c r="J4137" s="1"/>
      <c r="K4137" s="1"/>
      <c r="L4137" s="1"/>
      <c r="M4137" s="1"/>
      <c r="N4137" s="1"/>
      <c r="O4137" s="1"/>
      <c r="P4137" s="1"/>
      <c r="Q4137" s="1"/>
      <c r="R4137" s="1"/>
      <c r="S4137" s="1"/>
      <c r="T4137" s="1"/>
      <c r="U4137" s="1"/>
      <c r="V4137" s="1"/>
      <c r="W4137" s="1"/>
      <c r="X4137" s="1"/>
    </row>
    <row x14ac:dyDescent="0.25" r="4138" customHeight="1" ht="18.75">
      <c r="A4138" s="1"/>
      <c r="B4138" s="1"/>
      <c r="C4138" s="1"/>
      <c r="D4138" s="1"/>
      <c r="E4138" s="1"/>
      <c r="F4138" s="1"/>
      <c r="G4138" s="1"/>
      <c r="H4138" s="1"/>
      <c r="I4138" s="2"/>
      <c r="J4138" s="1"/>
      <c r="K4138" s="1"/>
      <c r="L4138" s="1"/>
      <c r="M4138" s="1"/>
      <c r="N4138" s="1"/>
      <c r="O4138" s="1"/>
      <c r="P4138" s="1"/>
      <c r="Q4138" s="1"/>
      <c r="R4138" s="1"/>
      <c r="S4138" s="1"/>
      <c r="T4138" s="1"/>
      <c r="U4138" s="1"/>
      <c r="V4138" s="1"/>
      <c r="W4138" s="1"/>
      <c r="X4138" s="1"/>
    </row>
    <row x14ac:dyDescent="0.25" r="4139" customHeight="1" ht="18.75">
      <c r="A4139" s="1"/>
      <c r="B4139" s="1"/>
      <c r="C4139" s="1"/>
      <c r="D4139" s="1"/>
      <c r="E4139" s="1"/>
      <c r="F4139" s="1"/>
      <c r="G4139" s="1"/>
      <c r="H4139" s="1"/>
      <c r="I4139" s="2"/>
      <c r="J4139" s="1"/>
      <c r="K4139" s="1"/>
      <c r="L4139" s="1"/>
      <c r="M4139" s="1"/>
      <c r="N4139" s="1"/>
      <c r="O4139" s="1"/>
      <c r="P4139" s="1"/>
      <c r="Q4139" s="1"/>
      <c r="R4139" s="1"/>
      <c r="S4139" s="1"/>
      <c r="T4139" s="1"/>
      <c r="U4139" s="1"/>
      <c r="V4139" s="1"/>
      <c r="W4139" s="1"/>
      <c r="X4139" s="1"/>
    </row>
    <row x14ac:dyDescent="0.25" r="4140" customHeight="1" ht="18.75">
      <c r="A4140" s="1"/>
      <c r="B4140" s="1"/>
      <c r="C4140" s="1"/>
      <c r="D4140" s="1"/>
      <c r="E4140" s="1"/>
      <c r="F4140" s="1"/>
      <c r="G4140" s="1"/>
      <c r="H4140" s="1"/>
      <c r="I4140" s="2"/>
      <c r="J4140" s="1"/>
      <c r="K4140" s="1"/>
      <c r="L4140" s="1"/>
      <c r="M4140" s="1"/>
      <c r="N4140" s="1"/>
      <c r="O4140" s="1"/>
      <c r="P4140" s="1"/>
      <c r="Q4140" s="1"/>
      <c r="R4140" s="1"/>
      <c r="S4140" s="1"/>
      <c r="T4140" s="1"/>
      <c r="U4140" s="1"/>
      <c r="V4140" s="1"/>
      <c r="W4140" s="1"/>
      <c r="X4140" s="1"/>
    </row>
    <row x14ac:dyDescent="0.25" r="4141" customHeight="1" ht="18.75">
      <c r="A4141" s="1"/>
      <c r="B4141" s="1"/>
      <c r="C4141" s="1"/>
      <c r="D4141" s="1"/>
      <c r="E4141" s="1"/>
      <c r="F4141" s="1"/>
      <c r="G4141" s="1"/>
      <c r="H4141" s="1"/>
      <c r="I4141" s="2"/>
      <c r="J4141" s="1"/>
      <c r="K4141" s="1"/>
      <c r="L4141" s="1"/>
      <c r="M4141" s="1"/>
      <c r="N4141" s="1"/>
      <c r="O4141" s="1"/>
      <c r="P4141" s="1"/>
      <c r="Q4141" s="1"/>
      <c r="R4141" s="1"/>
      <c r="S4141" s="1"/>
      <c r="T4141" s="1"/>
      <c r="U4141" s="1"/>
      <c r="V4141" s="1"/>
      <c r="W4141" s="1"/>
      <c r="X4141" s="1"/>
    </row>
    <row x14ac:dyDescent="0.25" r="4142" customHeight="1" ht="18.75">
      <c r="A4142" s="1"/>
      <c r="B4142" s="1"/>
      <c r="C4142" s="1"/>
      <c r="D4142" s="1"/>
      <c r="E4142" s="1"/>
      <c r="F4142" s="1"/>
      <c r="G4142" s="1"/>
      <c r="H4142" s="1"/>
      <c r="I4142" s="2"/>
      <c r="J4142" s="1"/>
      <c r="K4142" s="1"/>
      <c r="L4142" s="1"/>
      <c r="M4142" s="1"/>
      <c r="N4142" s="1"/>
      <c r="O4142" s="1"/>
      <c r="P4142" s="1"/>
      <c r="Q4142" s="1"/>
      <c r="R4142" s="1"/>
      <c r="S4142" s="1"/>
      <c r="T4142" s="1"/>
      <c r="U4142" s="1"/>
      <c r="V4142" s="1"/>
      <c r="W4142" s="1"/>
      <c r="X4142" s="1"/>
    </row>
    <row x14ac:dyDescent="0.25" r="4143" customHeight="1" ht="18.75">
      <c r="A4143" s="1"/>
      <c r="B4143" s="1"/>
      <c r="C4143" s="1"/>
      <c r="D4143" s="1"/>
      <c r="E4143" s="1"/>
      <c r="F4143" s="1"/>
      <c r="G4143" s="1"/>
      <c r="H4143" s="1"/>
      <c r="I4143" s="2"/>
      <c r="J4143" s="1"/>
      <c r="K4143" s="1"/>
      <c r="L4143" s="1"/>
      <c r="M4143" s="1"/>
      <c r="N4143" s="1"/>
      <c r="O4143" s="1"/>
      <c r="P4143" s="1"/>
      <c r="Q4143" s="1"/>
      <c r="R4143" s="1"/>
      <c r="S4143" s="1"/>
      <c r="T4143" s="1"/>
      <c r="U4143" s="1"/>
      <c r="V4143" s="1"/>
      <c r="W4143" s="1"/>
      <c r="X4143" s="1"/>
    </row>
    <row x14ac:dyDescent="0.25" r="4144" customHeight="1" ht="18.75">
      <c r="A4144" s="1"/>
      <c r="B4144" s="1"/>
      <c r="C4144" s="1"/>
      <c r="D4144" s="1"/>
      <c r="E4144" s="1"/>
      <c r="F4144" s="1"/>
      <c r="G4144" s="1"/>
      <c r="H4144" s="1"/>
      <c r="I4144" s="2"/>
      <c r="J4144" s="1"/>
      <c r="K4144" s="1"/>
      <c r="L4144" s="1"/>
      <c r="M4144" s="1"/>
      <c r="N4144" s="1"/>
      <c r="O4144" s="1"/>
      <c r="P4144" s="1"/>
      <c r="Q4144" s="1"/>
      <c r="R4144" s="1"/>
      <c r="S4144" s="1"/>
      <c r="T4144" s="1"/>
      <c r="U4144" s="1"/>
      <c r="V4144" s="1"/>
      <c r="W4144" s="1"/>
      <c r="X4144" s="1"/>
    </row>
    <row x14ac:dyDescent="0.25" r="4145" customHeight="1" ht="18.75">
      <c r="A4145" s="1"/>
      <c r="B4145" s="1"/>
      <c r="C4145" s="1"/>
      <c r="D4145" s="1"/>
      <c r="E4145" s="1"/>
      <c r="F4145" s="1"/>
      <c r="G4145" s="1"/>
      <c r="H4145" s="1"/>
      <c r="I4145" s="2"/>
      <c r="J4145" s="1"/>
      <c r="K4145" s="1"/>
      <c r="L4145" s="1"/>
      <c r="M4145" s="1"/>
      <c r="N4145" s="1"/>
      <c r="O4145" s="1"/>
      <c r="P4145" s="1"/>
      <c r="Q4145" s="1"/>
      <c r="R4145" s="1"/>
      <c r="S4145" s="1"/>
      <c r="T4145" s="1"/>
      <c r="U4145" s="1"/>
      <c r="V4145" s="1"/>
      <c r="W4145" s="1"/>
      <c r="X4145" s="1"/>
    </row>
    <row x14ac:dyDescent="0.25" r="4146" customHeight="1" ht="18.75">
      <c r="A4146" s="1"/>
      <c r="B4146" s="1"/>
      <c r="C4146" s="1"/>
      <c r="D4146" s="1"/>
      <c r="E4146" s="1"/>
      <c r="F4146" s="1"/>
      <c r="G4146" s="1"/>
      <c r="H4146" s="1"/>
      <c r="I4146" s="2"/>
      <c r="J4146" s="1"/>
      <c r="K4146" s="1"/>
      <c r="L4146" s="1"/>
      <c r="M4146" s="1"/>
      <c r="N4146" s="1"/>
      <c r="O4146" s="1"/>
      <c r="P4146" s="1"/>
      <c r="Q4146" s="1"/>
      <c r="R4146" s="1"/>
      <c r="S4146" s="1"/>
      <c r="T4146" s="1"/>
      <c r="U4146" s="1"/>
      <c r="V4146" s="1"/>
      <c r="W4146" s="1"/>
      <c r="X4146" s="1"/>
    </row>
    <row x14ac:dyDescent="0.25" r="4147" customHeight="1" ht="18.75">
      <c r="A4147" s="1"/>
      <c r="B4147" s="1"/>
      <c r="C4147" s="1"/>
      <c r="D4147" s="1"/>
      <c r="E4147" s="1"/>
      <c r="F4147" s="1"/>
      <c r="G4147" s="1"/>
      <c r="H4147" s="1"/>
      <c r="I4147" s="2"/>
      <c r="J4147" s="1"/>
      <c r="K4147" s="1"/>
      <c r="L4147" s="1"/>
      <c r="M4147" s="1"/>
      <c r="N4147" s="1"/>
      <c r="O4147" s="1"/>
      <c r="P4147" s="1"/>
      <c r="Q4147" s="1"/>
      <c r="R4147" s="1"/>
      <c r="S4147" s="1"/>
      <c r="T4147" s="1"/>
      <c r="U4147" s="1"/>
      <c r="V4147" s="1"/>
      <c r="W4147" s="1"/>
      <c r="X4147" s="1"/>
    </row>
    <row x14ac:dyDescent="0.25" r="4148" customHeight="1" ht="18.75">
      <c r="A4148" s="1"/>
      <c r="B4148" s="1"/>
      <c r="C4148" s="1"/>
      <c r="D4148" s="1"/>
      <c r="E4148" s="1"/>
      <c r="F4148" s="1"/>
      <c r="G4148" s="1"/>
      <c r="H4148" s="1"/>
      <c r="I4148" s="2"/>
      <c r="J4148" s="1"/>
      <c r="K4148" s="1"/>
      <c r="L4148" s="1"/>
      <c r="M4148" s="1"/>
      <c r="N4148" s="1"/>
      <c r="O4148" s="1"/>
      <c r="P4148" s="1"/>
      <c r="Q4148" s="1"/>
      <c r="R4148" s="1"/>
      <c r="S4148" s="1"/>
      <c r="T4148" s="1"/>
      <c r="U4148" s="1"/>
      <c r="V4148" s="1"/>
      <c r="W4148" s="1"/>
      <c r="X4148" s="1"/>
    </row>
    <row x14ac:dyDescent="0.25" r="4149" customHeight="1" ht="18.75">
      <c r="A4149" s="1"/>
      <c r="B4149" s="1"/>
      <c r="C4149" s="1"/>
      <c r="D4149" s="1"/>
      <c r="E4149" s="1"/>
      <c r="F4149" s="1"/>
      <c r="G4149" s="1"/>
      <c r="H4149" s="1"/>
      <c r="I4149" s="2"/>
      <c r="J4149" s="1"/>
      <c r="K4149" s="1"/>
      <c r="L4149" s="1"/>
      <c r="M4149" s="1"/>
      <c r="N4149" s="1"/>
      <c r="O4149" s="1"/>
      <c r="P4149" s="1"/>
      <c r="Q4149" s="1"/>
      <c r="R4149" s="1"/>
      <c r="S4149" s="1"/>
      <c r="T4149" s="1"/>
      <c r="U4149" s="1"/>
      <c r="V4149" s="1"/>
      <c r="W4149" s="1"/>
      <c r="X4149" s="1"/>
    </row>
    <row x14ac:dyDescent="0.25" r="4150" customHeight="1" ht="18.75">
      <c r="A4150" s="1"/>
      <c r="B4150" s="1"/>
      <c r="C4150" s="1"/>
      <c r="D4150" s="1"/>
      <c r="E4150" s="1"/>
      <c r="F4150" s="1"/>
      <c r="G4150" s="1"/>
      <c r="H4150" s="1"/>
      <c r="I4150" s="2"/>
      <c r="J4150" s="1"/>
      <c r="K4150" s="1"/>
      <c r="L4150" s="1"/>
      <c r="M4150" s="1"/>
      <c r="N4150" s="1"/>
      <c r="O4150" s="1"/>
      <c r="P4150" s="1"/>
      <c r="Q4150" s="1"/>
      <c r="R4150" s="1"/>
      <c r="S4150" s="1"/>
      <c r="T4150" s="1"/>
      <c r="U4150" s="1"/>
      <c r="V4150" s="1"/>
      <c r="W4150" s="1"/>
      <c r="X4150" s="1"/>
    </row>
    <row x14ac:dyDescent="0.25" r="4151" customHeight="1" ht="18.75">
      <c r="A4151" s="1"/>
      <c r="B4151" s="1"/>
      <c r="C4151" s="1"/>
      <c r="D4151" s="1"/>
      <c r="E4151" s="1"/>
      <c r="F4151" s="1"/>
      <c r="G4151" s="1"/>
      <c r="H4151" s="1"/>
      <c r="I4151" s="2"/>
      <c r="J4151" s="1"/>
      <c r="K4151" s="1"/>
      <c r="L4151" s="1"/>
      <c r="M4151" s="1"/>
      <c r="N4151" s="1"/>
      <c r="O4151" s="1"/>
      <c r="P4151" s="1"/>
      <c r="Q4151" s="1"/>
      <c r="R4151" s="1"/>
      <c r="S4151" s="1"/>
      <c r="T4151" s="1"/>
      <c r="U4151" s="1"/>
      <c r="V4151" s="1"/>
      <c r="W4151" s="1"/>
      <c r="X4151" s="1"/>
    </row>
    <row x14ac:dyDescent="0.25" r="4152" customHeight="1" ht="18.75">
      <c r="A4152" s="1"/>
      <c r="B4152" s="1"/>
      <c r="C4152" s="1"/>
      <c r="D4152" s="1"/>
      <c r="E4152" s="1"/>
      <c r="F4152" s="1"/>
      <c r="G4152" s="1"/>
      <c r="H4152" s="1"/>
      <c r="I4152" s="2"/>
      <c r="J4152" s="1"/>
      <c r="K4152" s="1"/>
      <c r="L4152" s="1"/>
      <c r="M4152" s="1"/>
      <c r="N4152" s="1"/>
      <c r="O4152" s="1"/>
      <c r="P4152" s="1"/>
      <c r="Q4152" s="1"/>
      <c r="R4152" s="1"/>
      <c r="S4152" s="1"/>
      <c r="T4152" s="1"/>
      <c r="U4152" s="1"/>
      <c r="V4152" s="1"/>
      <c r="W4152" s="1"/>
      <c r="X4152" s="1"/>
    </row>
    <row x14ac:dyDescent="0.25" r="4153" customHeight="1" ht="18.75">
      <c r="A4153" s="1"/>
      <c r="B4153" s="1"/>
      <c r="C4153" s="1"/>
      <c r="D4153" s="1"/>
      <c r="E4153" s="1"/>
      <c r="F4153" s="1"/>
      <c r="G4153" s="1"/>
      <c r="H4153" s="1"/>
      <c r="I4153" s="2"/>
      <c r="J4153" s="1"/>
      <c r="K4153" s="1"/>
      <c r="L4153" s="1"/>
      <c r="M4153" s="1"/>
      <c r="N4153" s="1"/>
      <c r="O4153" s="1"/>
      <c r="P4153" s="1"/>
      <c r="Q4153" s="1"/>
      <c r="R4153" s="1"/>
      <c r="S4153" s="1"/>
      <c r="T4153" s="1"/>
      <c r="U4153" s="1"/>
      <c r="V4153" s="1"/>
      <c r="W4153" s="1"/>
      <c r="X4153" s="1"/>
    </row>
    <row x14ac:dyDescent="0.25" r="4154" customHeight="1" ht="18.75">
      <c r="A4154" s="1"/>
      <c r="B4154" s="1"/>
      <c r="C4154" s="1"/>
      <c r="D4154" s="1"/>
      <c r="E4154" s="1"/>
      <c r="F4154" s="1"/>
      <c r="G4154" s="1"/>
      <c r="H4154" s="1"/>
      <c r="I4154" s="2"/>
      <c r="J4154" s="1"/>
      <c r="K4154" s="1"/>
      <c r="L4154" s="1"/>
      <c r="M4154" s="1"/>
      <c r="N4154" s="1"/>
      <c r="O4154" s="1"/>
      <c r="P4154" s="1"/>
      <c r="Q4154" s="1"/>
      <c r="R4154" s="1"/>
      <c r="S4154" s="1"/>
      <c r="T4154" s="1"/>
      <c r="U4154" s="1"/>
      <c r="V4154" s="1"/>
      <c r="W4154" s="1"/>
      <c r="X4154" s="1"/>
    </row>
    <row x14ac:dyDescent="0.25" r="4155" customHeight="1" ht="18.75">
      <c r="A4155" s="1"/>
      <c r="B4155" s="1"/>
      <c r="C4155" s="1"/>
      <c r="D4155" s="1"/>
      <c r="E4155" s="1"/>
      <c r="F4155" s="1"/>
      <c r="G4155" s="1"/>
      <c r="H4155" s="1"/>
      <c r="I4155" s="2"/>
      <c r="J4155" s="1"/>
      <c r="K4155" s="1"/>
      <c r="L4155" s="1"/>
      <c r="M4155" s="1"/>
      <c r="N4155" s="1"/>
      <c r="O4155" s="1"/>
      <c r="P4155" s="1"/>
      <c r="Q4155" s="1"/>
      <c r="R4155" s="1"/>
      <c r="S4155" s="1"/>
      <c r="T4155" s="1"/>
      <c r="U4155" s="1"/>
      <c r="V4155" s="1"/>
      <c r="W4155" s="1"/>
      <c r="X4155" s="1"/>
    </row>
    <row x14ac:dyDescent="0.25" r="4156" customHeight="1" ht="18.75">
      <c r="A4156" s="1"/>
      <c r="B4156" s="1"/>
      <c r="C4156" s="1"/>
      <c r="D4156" s="1"/>
      <c r="E4156" s="1"/>
      <c r="F4156" s="1"/>
      <c r="G4156" s="1"/>
      <c r="H4156" s="1"/>
      <c r="I4156" s="2"/>
      <c r="J4156" s="1"/>
      <c r="K4156" s="1"/>
      <c r="L4156" s="1"/>
      <c r="M4156" s="1"/>
      <c r="N4156" s="1"/>
      <c r="O4156" s="1"/>
      <c r="P4156" s="1"/>
      <c r="Q4156" s="1"/>
      <c r="R4156" s="1"/>
      <c r="S4156" s="1"/>
      <c r="T4156" s="1"/>
      <c r="U4156" s="1"/>
      <c r="V4156" s="1"/>
      <c r="W4156" s="1"/>
      <c r="X4156" s="1"/>
    </row>
    <row x14ac:dyDescent="0.25" r="4157" customHeight="1" ht="18.75">
      <c r="A4157" s="1"/>
      <c r="B4157" s="1"/>
      <c r="C4157" s="1"/>
      <c r="D4157" s="1"/>
      <c r="E4157" s="1"/>
      <c r="F4157" s="1"/>
      <c r="G4157" s="1"/>
      <c r="H4157" s="1"/>
      <c r="I4157" s="2"/>
      <c r="J4157" s="1"/>
      <c r="K4157" s="1"/>
      <c r="L4157" s="1"/>
      <c r="M4157" s="1"/>
      <c r="N4157" s="1"/>
      <c r="O4157" s="1"/>
      <c r="P4157" s="1"/>
      <c r="Q4157" s="1"/>
      <c r="R4157" s="1"/>
      <c r="S4157" s="1"/>
      <c r="T4157" s="1"/>
      <c r="U4157" s="1"/>
      <c r="V4157" s="1"/>
      <c r="W4157" s="1"/>
      <c r="X4157" s="1"/>
    </row>
    <row x14ac:dyDescent="0.25" r="4158" customHeight="1" ht="18.75">
      <c r="A4158" s="1"/>
      <c r="B4158" s="1"/>
      <c r="C4158" s="1"/>
      <c r="D4158" s="1"/>
      <c r="E4158" s="1"/>
      <c r="F4158" s="1"/>
      <c r="G4158" s="1"/>
      <c r="H4158" s="1"/>
      <c r="I4158" s="2"/>
      <c r="J4158" s="1"/>
      <c r="K4158" s="1"/>
      <c r="L4158" s="1"/>
      <c r="M4158" s="1"/>
      <c r="N4158" s="1"/>
      <c r="O4158" s="1"/>
      <c r="P4158" s="1"/>
      <c r="Q4158" s="1"/>
      <c r="R4158" s="1"/>
      <c r="S4158" s="1"/>
      <c r="T4158" s="1"/>
      <c r="U4158" s="1"/>
      <c r="V4158" s="1"/>
      <c r="W4158" s="1"/>
      <c r="X4158" s="1"/>
    </row>
    <row x14ac:dyDescent="0.25" r="4159" customHeight="1" ht="18.75">
      <c r="A4159" s="1"/>
      <c r="B4159" s="1"/>
      <c r="C4159" s="1"/>
      <c r="D4159" s="1"/>
      <c r="E4159" s="1"/>
      <c r="F4159" s="1"/>
      <c r="G4159" s="1"/>
      <c r="H4159" s="1"/>
      <c r="I4159" s="2"/>
      <c r="J4159" s="1"/>
      <c r="K4159" s="1"/>
      <c r="L4159" s="1"/>
      <c r="M4159" s="1"/>
      <c r="N4159" s="1"/>
      <c r="O4159" s="1"/>
      <c r="P4159" s="1"/>
      <c r="Q4159" s="1"/>
      <c r="R4159" s="1"/>
      <c r="S4159" s="1"/>
      <c r="T4159" s="1"/>
      <c r="U4159" s="1"/>
      <c r="V4159" s="1"/>
      <c r="W4159" s="1"/>
      <c r="X4159" s="1"/>
    </row>
    <row x14ac:dyDescent="0.25" r="4160" customHeight="1" ht="18.75">
      <c r="A4160" s="1"/>
      <c r="B4160" s="1"/>
      <c r="C4160" s="1"/>
      <c r="D4160" s="1"/>
      <c r="E4160" s="1"/>
      <c r="F4160" s="1"/>
      <c r="G4160" s="1"/>
      <c r="H4160" s="1"/>
      <c r="I4160" s="2"/>
      <c r="J4160" s="1"/>
      <c r="K4160" s="1"/>
      <c r="L4160" s="1"/>
      <c r="M4160" s="1"/>
      <c r="N4160" s="1"/>
      <c r="O4160" s="1"/>
      <c r="P4160" s="1"/>
      <c r="Q4160" s="1"/>
      <c r="R4160" s="1"/>
      <c r="S4160" s="1"/>
      <c r="T4160" s="1"/>
      <c r="U4160" s="1"/>
      <c r="V4160" s="1"/>
      <c r="W4160" s="1"/>
      <c r="X4160" s="1"/>
    </row>
    <row x14ac:dyDescent="0.25" r="4161" customHeight="1" ht="18.75">
      <c r="A4161" s="1"/>
      <c r="B4161" s="1"/>
      <c r="C4161" s="1"/>
      <c r="D4161" s="1"/>
      <c r="E4161" s="1"/>
      <c r="F4161" s="1"/>
      <c r="G4161" s="1"/>
      <c r="H4161" s="1"/>
      <c r="I4161" s="2"/>
      <c r="J4161" s="1"/>
      <c r="K4161" s="1"/>
      <c r="L4161" s="1"/>
      <c r="M4161" s="1"/>
      <c r="N4161" s="1"/>
      <c r="O4161" s="1"/>
      <c r="P4161" s="1"/>
      <c r="Q4161" s="1"/>
      <c r="R4161" s="1"/>
      <c r="S4161" s="1"/>
      <c r="T4161" s="1"/>
      <c r="U4161" s="1"/>
      <c r="V4161" s="1"/>
      <c r="W4161" s="1"/>
      <c r="X4161" s="1"/>
    </row>
    <row x14ac:dyDescent="0.25" r="4162" customHeight="1" ht="18.75">
      <c r="A4162" s="1"/>
      <c r="B4162" s="1"/>
      <c r="C4162" s="1"/>
      <c r="D4162" s="1"/>
      <c r="E4162" s="1"/>
      <c r="F4162" s="1"/>
      <c r="G4162" s="1"/>
      <c r="H4162" s="1"/>
      <c r="I4162" s="2"/>
      <c r="J4162" s="1"/>
      <c r="K4162" s="1"/>
      <c r="L4162" s="1"/>
      <c r="M4162" s="1"/>
      <c r="N4162" s="1"/>
      <c r="O4162" s="1"/>
      <c r="P4162" s="1"/>
      <c r="Q4162" s="1"/>
      <c r="R4162" s="1"/>
      <c r="S4162" s="1"/>
      <c r="T4162" s="1"/>
      <c r="U4162" s="1"/>
      <c r="V4162" s="1"/>
      <c r="W4162" s="1"/>
      <c r="X4162" s="1"/>
    </row>
    <row x14ac:dyDescent="0.25" r="4163" customHeight="1" ht="18.75">
      <c r="A4163" s="1"/>
      <c r="B4163" s="1"/>
      <c r="C4163" s="1"/>
      <c r="D4163" s="1"/>
      <c r="E4163" s="1"/>
      <c r="F4163" s="1"/>
      <c r="G4163" s="1"/>
      <c r="H4163" s="1"/>
      <c r="I4163" s="2"/>
      <c r="J4163" s="1"/>
      <c r="K4163" s="1"/>
      <c r="L4163" s="1"/>
      <c r="M4163" s="1"/>
      <c r="N4163" s="1"/>
      <c r="O4163" s="1"/>
      <c r="P4163" s="1"/>
      <c r="Q4163" s="1"/>
      <c r="R4163" s="1"/>
      <c r="S4163" s="1"/>
      <c r="T4163" s="1"/>
      <c r="U4163" s="1"/>
      <c r="V4163" s="1"/>
      <c r="W4163" s="1"/>
      <c r="X4163" s="1"/>
    </row>
    <row x14ac:dyDescent="0.25" r="4164" customHeight="1" ht="18.75">
      <c r="A4164" s="1"/>
      <c r="B4164" s="1"/>
      <c r="C4164" s="1"/>
      <c r="D4164" s="1"/>
      <c r="E4164" s="1"/>
      <c r="F4164" s="1"/>
      <c r="G4164" s="1"/>
      <c r="H4164" s="1"/>
      <c r="I4164" s="2"/>
      <c r="J4164" s="1"/>
      <c r="K4164" s="1"/>
      <c r="L4164" s="1"/>
      <c r="M4164" s="1"/>
      <c r="N4164" s="1"/>
      <c r="O4164" s="1"/>
      <c r="P4164" s="1"/>
      <c r="Q4164" s="1"/>
      <c r="R4164" s="1"/>
      <c r="S4164" s="1"/>
      <c r="T4164" s="1"/>
      <c r="U4164" s="1"/>
      <c r="V4164" s="1"/>
      <c r="W4164" s="1"/>
      <c r="X4164" s="1"/>
    </row>
    <row x14ac:dyDescent="0.25" r="4165" customHeight="1" ht="18.75">
      <c r="A4165" s="1"/>
      <c r="B4165" s="1"/>
      <c r="C4165" s="1"/>
      <c r="D4165" s="1"/>
      <c r="E4165" s="1"/>
      <c r="F4165" s="1"/>
      <c r="G4165" s="1"/>
      <c r="H4165" s="1"/>
      <c r="I4165" s="2"/>
      <c r="J4165" s="1"/>
      <c r="K4165" s="1"/>
      <c r="L4165" s="1"/>
      <c r="M4165" s="1"/>
      <c r="N4165" s="1"/>
      <c r="O4165" s="1"/>
      <c r="P4165" s="1"/>
      <c r="Q4165" s="1"/>
      <c r="R4165" s="1"/>
      <c r="S4165" s="1"/>
      <c r="T4165" s="1"/>
      <c r="U4165" s="1"/>
      <c r="V4165" s="1"/>
      <c r="W4165" s="1"/>
      <c r="X4165" s="1"/>
    </row>
    <row x14ac:dyDescent="0.25" r="4166" customHeight="1" ht="18.75">
      <c r="A4166" s="1"/>
      <c r="B4166" s="1"/>
      <c r="C4166" s="1"/>
      <c r="D4166" s="1"/>
      <c r="E4166" s="1"/>
      <c r="F4166" s="1"/>
      <c r="G4166" s="1"/>
      <c r="H4166" s="1"/>
      <c r="I4166" s="2"/>
      <c r="J4166" s="1"/>
      <c r="K4166" s="1"/>
      <c r="L4166" s="1"/>
      <c r="M4166" s="1"/>
      <c r="N4166" s="1"/>
      <c r="O4166" s="1"/>
      <c r="P4166" s="1"/>
      <c r="Q4166" s="1"/>
      <c r="R4166" s="1"/>
      <c r="S4166" s="1"/>
      <c r="T4166" s="1"/>
      <c r="U4166" s="1"/>
      <c r="V4166" s="1"/>
      <c r="W4166" s="1"/>
      <c r="X4166" s="1"/>
    </row>
    <row x14ac:dyDescent="0.25" r="4167" customHeight="1" ht="18.75">
      <c r="A4167" s="1"/>
      <c r="B4167" s="1"/>
      <c r="C4167" s="1"/>
      <c r="D4167" s="1"/>
      <c r="E4167" s="1"/>
      <c r="F4167" s="1"/>
      <c r="G4167" s="1"/>
      <c r="H4167" s="1"/>
      <c r="I4167" s="2"/>
      <c r="J4167" s="1"/>
      <c r="K4167" s="1"/>
      <c r="L4167" s="1"/>
      <c r="M4167" s="1"/>
      <c r="N4167" s="1"/>
      <c r="O4167" s="1"/>
      <c r="P4167" s="1"/>
      <c r="Q4167" s="1"/>
      <c r="R4167" s="1"/>
      <c r="S4167" s="1"/>
      <c r="T4167" s="1"/>
      <c r="U4167" s="1"/>
      <c r="V4167" s="1"/>
      <c r="W4167" s="1"/>
      <c r="X4167" s="1"/>
    </row>
    <row x14ac:dyDescent="0.25" r="4168" customHeight="1" ht="18.75">
      <c r="A4168" s="1"/>
      <c r="B4168" s="1"/>
      <c r="C4168" s="1"/>
      <c r="D4168" s="1"/>
      <c r="E4168" s="1"/>
      <c r="F4168" s="1"/>
      <c r="G4168" s="1"/>
      <c r="H4168" s="1"/>
      <c r="I4168" s="2"/>
      <c r="J4168" s="1"/>
      <c r="K4168" s="1"/>
      <c r="L4168" s="1"/>
      <c r="M4168" s="1"/>
      <c r="N4168" s="1"/>
      <c r="O4168" s="1"/>
      <c r="P4168" s="1"/>
      <c r="Q4168" s="1"/>
      <c r="R4168" s="1"/>
      <c r="S4168" s="1"/>
      <c r="T4168" s="1"/>
      <c r="U4168" s="1"/>
      <c r="V4168" s="1"/>
      <c r="W4168" s="1"/>
      <c r="X4168" s="1"/>
    </row>
    <row x14ac:dyDescent="0.25" r="4169" customHeight="1" ht="18.75">
      <c r="A4169" s="1"/>
      <c r="B4169" s="1"/>
      <c r="C4169" s="1"/>
      <c r="D4169" s="1"/>
      <c r="E4169" s="1"/>
      <c r="F4169" s="1"/>
      <c r="G4169" s="1"/>
      <c r="H4169" s="1"/>
      <c r="I4169" s="2"/>
      <c r="J4169" s="1"/>
      <c r="K4169" s="1"/>
      <c r="L4169" s="1"/>
      <c r="M4169" s="1"/>
      <c r="N4169" s="1"/>
      <c r="O4169" s="1"/>
      <c r="P4169" s="1"/>
      <c r="Q4169" s="1"/>
      <c r="R4169" s="1"/>
      <c r="S4169" s="1"/>
      <c r="T4169" s="1"/>
      <c r="U4169" s="1"/>
      <c r="V4169" s="1"/>
      <c r="W4169" s="1"/>
      <c r="X4169" s="1"/>
    </row>
    <row x14ac:dyDescent="0.25" r="4170" customHeight="1" ht="18.75">
      <c r="A4170" s="1"/>
      <c r="B4170" s="1"/>
      <c r="C4170" s="1"/>
      <c r="D4170" s="1"/>
      <c r="E4170" s="1"/>
      <c r="F4170" s="1"/>
      <c r="G4170" s="1"/>
      <c r="H4170" s="1"/>
      <c r="I4170" s="2"/>
      <c r="J4170" s="1"/>
      <c r="K4170" s="1"/>
      <c r="L4170" s="1"/>
      <c r="M4170" s="1"/>
      <c r="N4170" s="1"/>
      <c r="O4170" s="1"/>
      <c r="P4170" s="1"/>
      <c r="Q4170" s="1"/>
      <c r="R4170" s="1"/>
      <c r="S4170" s="1"/>
      <c r="T4170" s="1"/>
      <c r="U4170" s="1"/>
      <c r="V4170" s="1"/>
      <c r="W4170" s="1"/>
      <c r="X4170" s="1"/>
    </row>
    <row x14ac:dyDescent="0.25" r="4171" customHeight="1" ht="18.75">
      <c r="A4171" s="1"/>
      <c r="B4171" s="1"/>
      <c r="C4171" s="1"/>
      <c r="D4171" s="1"/>
      <c r="E4171" s="1"/>
      <c r="F4171" s="1"/>
      <c r="G4171" s="1"/>
      <c r="H4171" s="1"/>
      <c r="I4171" s="2"/>
      <c r="J4171" s="1"/>
      <c r="K4171" s="1"/>
      <c r="L4171" s="1"/>
      <c r="M4171" s="1"/>
      <c r="N4171" s="1"/>
      <c r="O4171" s="1"/>
      <c r="P4171" s="1"/>
      <c r="Q4171" s="1"/>
      <c r="R4171" s="1"/>
      <c r="S4171" s="1"/>
      <c r="T4171" s="1"/>
      <c r="U4171" s="1"/>
      <c r="V4171" s="1"/>
      <c r="W4171" s="1"/>
      <c r="X4171" s="1"/>
    </row>
    <row x14ac:dyDescent="0.25" r="4172" customHeight="1" ht="18.75">
      <c r="A4172" s="1"/>
      <c r="B4172" s="1"/>
      <c r="C4172" s="1"/>
      <c r="D4172" s="1"/>
      <c r="E4172" s="1"/>
      <c r="F4172" s="1"/>
      <c r="G4172" s="1"/>
      <c r="H4172" s="1"/>
      <c r="I4172" s="2"/>
      <c r="J4172" s="1"/>
      <c r="K4172" s="1"/>
      <c r="L4172" s="1"/>
      <c r="M4172" s="1"/>
      <c r="N4172" s="1"/>
      <c r="O4172" s="1"/>
      <c r="P4172" s="1"/>
      <c r="Q4172" s="1"/>
      <c r="R4172" s="1"/>
      <c r="S4172" s="1"/>
      <c r="T4172" s="1"/>
      <c r="U4172" s="1"/>
      <c r="V4172" s="1"/>
      <c r="W4172" s="1"/>
      <c r="X4172" s="1"/>
    </row>
    <row x14ac:dyDescent="0.25" r="4173" customHeight="1" ht="18.75">
      <c r="A4173" s="1"/>
      <c r="B4173" s="1"/>
      <c r="C4173" s="1"/>
      <c r="D4173" s="1"/>
      <c r="E4173" s="1"/>
      <c r="F4173" s="1"/>
      <c r="G4173" s="1"/>
      <c r="H4173" s="1"/>
      <c r="I4173" s="2"/>
      <c r="J4173" s="1"/>
      <c r="K4173" s="1"/>
      <c r="L4173" s="1"/>
      <c r="M4173" s="1"/>
      <c r="N4173" s="1"/>
      <c r="O4173" s="1"/>
      <c r="P4173" s="1"/>
      <c r="Q4173" s="1"/>
      <c r="R4173" s="1"/>
      <c r="S4173" s="1"/>
      <c r="T4173" s="1"/>
      <c r="U4173" s="1"/>
      <c r="V4173" s="1"/>
      <c r="W4173" s="1"/>
      <c r="X4173" s="1"/>
    </row>
    <row x14ac:dyDescent="0.25" r="4174" customHeight="1" ht="18.75">
      <c r="A4174" s="1"/>
      <c r="B4174" s="1"/>
      <c r="C4174" s="1"/>
      <c r="D4174" s="1"/>
      <c r="E4174" s="1"/>
      <c r="F4174" s="1"/>
      <c r="G4174" s="1"/>
      <c r="H4174" s="1"/>
      <c r="I4174" s="2"/>
      <c r="J4174" s="1"/>
      <c r="K4174" s="1"/>
      <c r="L4174" s="1"/>
      <c r="M4174" s="1"/>
      <c r="N4174" s="1"/>
      <c r="O4174" s="1"/>
      <c r="P4174" s="1"/>
      <c r="Q4174" s="1"/>
      <c r="R4174" s="1"/>
      <c r="S4174" s="1"/>
      <c r="T4174" s="1"/>
      <c r="U4174" s="1"/>
      <c r="V4174" s="1"/>
      <c r="W4174" s="1"/>
      <c r="X4174" s="1"/>
    </row>
    <row x14ac:dyDescent="0.25" r="4175" customHeight="1" ht="18.75">
      <c r="A4175" s="1"/>
      <c r="B4175" s="1"/>
      <c r="C4175" s="1"/>
      <c r="D4175" s="1"/>
      <c r="E4175" s="1"/>
      <c r="F4175" s="1"/>
      <c r="G4175" s="1"/>
      <c r="H4175" s="1"/>
      <c r="I4175" s="2"/>
      <c r="J4175" s="1"/>
      <c r="K4175" s="1"/>
      <c r="L4175" s="1"/>
      <c r="M4175" s="1"/>
      <c r="N4175" s="1"/>
      <c r="O4175" s="1"/>
      <c r="P4175" s="1"/>
      <c r="Q4175" s="1"/>
      <c r="R4175" s="1"/>
      <c r="S4175" s="1"/>
      <c r="T4175" s="1"/>
      <c r="U4175" s="1"/>
      <c r="V4175" s="1"/>
      <c r="W4175" s="1"/>
      <c r="X4175" s="1"/>
    </row>
    <row x14ac:dyDescent="0.25" r="4176" customHeight="1" ht="18.75">
      <c r="A4176" s="1"/>
      <c r="B4176" s="1"/>
      <c r="C4176" s="1"/>
      <c r="D4176" s="1"/>
      <c r="E4176" s="1"/>
      <c r="F4176" s="1"/>
      <c r="G4176" s="1"/>
      <c r="H4176" s="1"/>
      <c r="I4176" s="2"/>
      <c r="J4176" s="1"/>
      <c r="K4176" s="1"/>
      <c r="L4176" s="1"/>
      <c r="M4176" s="1"/>
      <c r="N4176" s="1"/>
      <c r="O4176" s="1"/>
      <c r="P4176" s="1"/>
      <c r="Q4176" s="1"/>
      <c r="R4176" s="1"/>
      <c r="S4176" s="1"/>
      <c r="T4176" s="1"/>
      <c r="U4176" s="1"/>
      <c r="V4176" s="1"/>
      <c r="W4176" s="1"/>
      <c r="X4176" s="1"/>
    </row>
    <row x14ac:dyDescent="0.25" r="4177" customHeight="1" ht="18.75">
      <c r="A4177" s="1"/>
      <c r="B4177" s="1"/>
      <c r="C4177" s="1"/>
      <c r="D4177" s="1"/>
      <c r="E4177" s="1"/>
      <c r="F4177" s="1"/>
      <c r="G4177" s="1"/>
      <c r="H4177" s="1"/>
      <c r="I4177" s="2"/>
      <c r="J4177" s="1"/>
      <c r="K4177" s="1"/>
      <c r="L4177" s="1"/>
      <c r="M4177" s="1"/>
      <c r="N4177" s="1"/>
      <c r="O4177" s="1"/>
      <c r="P4177" s="1"/>
      <c r="Q4177" s="1"/>
      <c r="R4177" s="1"/>
      <c r="S4177" s="1"/>
      <c r="T4177" s="1"/>
      <c r="U4177" s="1"/>
      <c r="V4177" s="1"/>
      <c r="W4177" s="1"/>
      <c r="X4177" s="1"/>
    </row>
    <row x14ac:dyDescent="0.25" r="4178" customHeight="1" ht="18.75">
      <c r="A4178" s="1"/>
      <c r="B4178" s="1"/>
      <c r="C4178" s="1"/>
      <c r="D4178" s="1"/>
      <c r="E4178" s="1"/>
      <c r="F4178" s="1"/>
      <c r="G4178" s="1"/>
      <c r="H4178" s="1"/>
      <c r="I4178" s="2"/>
      <c r="J4178" s="1"/>
      <c r="K4178" s="1"/>
      <c r="L4178" s="1"/>
      <c r="M4178" s="1"/>
      <c r="N4178" s="1"/>
      <c r="O4178" s="1"/>
      <c r="P4178" s="1"/>
      <c r="Q4178" s="1"/>
      <c r="R4178" s="1"/>
      <c r="S4178" s="1"/>
      <c r="T4178" s="1"/>
      <c r="U4178" s="1"/>
      <c r="V4178" s="1"/>
      <c r="W4178" s="1"/>
      <c r="X4178" s="1"/>
    </row>
    <row x14ac:dyDescent="0.25" r="4179" customHeight="1" ht="18.75">
      <c r="A4179" s="1"/>
      <c r="B4179" s="1"/>
      <c r="C4179" s="1"/>
      <c r="D4179" s="1"/>
      <c r="E4179" s="1"/>
      <c r="F4179" s="1"/>
      <c r="G4179" s="1"/>
      <c r="H4179" s="1"/>
      <c r="I4179" s="2"/>
      <c r="J4179" s="1"/>
      <c r="K4179" s="1"/>
      <c r="L4179" s="1"/>
      <c r="M4179" s="1"/>
      <c r="N4179" s="1"/>
      <c r="O4179" s="1"/>
      <c r="P4179" s="1"/>
      <c r="Q4179" s="1"/>
      <c r="R4179" s="1"/>
      <c r="S4179" s="1"/>
      <c r="T4179" s="1"/>
      <c r="U4179" s="1"/>
      <c r="V4179" s="1"/>
      <c r="W4179" s="1"/>
      <c r="X4179" s="1"/>
    </row>
    <row x14ac:dyDescent="0.25" r="4180" customHeight="1" ht="18.75">
      <c r="A4180" s="1"/>
      <c r="B4180" s="1"/>
      <c r="C4180" s="1"/>
      <c r="D4180" s="1"/>
      <c r="E4180" s="1"/>
      <c r="F4180" s="1"/>
      <c r="G4180" s="1"/>
      <c r="H4180" s="1"/>
      <c r="I4180" s="2"/>
      <c r="J4180" s="1"/>
      <c r="K4180" s="1"/>
      <c r="L4180" s="1"/>
      <c r="M4180" s="1"/>
      <c r="N4180" s="1"/>
      <c r="O4180" s="1"/>
      <c r="P4180" s="1"/>
      <c r="Q4180" s="1"/>
      <c r="R4180" s="1"/>
      <c r="S4180" s="1"/>
      <c r="T4180" s="1"/>
      <c r="U4180" s="1"/>
      <c r="V4180" s="1"/>
      <c r="W4180" s="1"/>
      <c r="X4180" s="1"/>
    </row>
    <row x14ac:dyDescent="0.25" r="4181" customHeight="1" ht="18.75">
      <c r="A4181" s="1"/>
      <c r="B4181" s="1"/>
      <c r="C4181" s="1"/>
      <c r="D4181" s="1"/>
      <c r="E4181" s="1"/>
      <c r="F4181" s="1"/>
      <c r="G4181" s="1"/>
      <c r="H4181" s="1"/>
      <c r="I4181" s="2"/>
      <c r="J4181" s="1"/>
      <c r="K4181" s="1"/>
      <c r="L4181" s="1"/>
      <c r="M4181" s="1"/>
      <c r="N4181" s="1"/>
      <c r="O4181" s="1"/>
      <c r="P4181" s="1"/>
      <c r="Q4181" s="1"/>
      <c r="R4181" s="1"/>
      <c r="S4181" s="1"/>
      <c r="T4181" s="1"/>
      <c r="U4181" s="1"/>
      <c r="V4181" s="1"/>
      <c r="W4181" s="1"/>
      <c r="X4181" s="1"/>
    </row>
    <row x14ac:dyDescent="0.25" r="4182" customHeight="1" ht="18.75">
      <c r="A4182" s="1"/>
      <c r="B4182" s="1"/>
      <c r="C4182" s="1"/>
      <c r="D4182" s="1"/>
      <c r="E4182" s="1"/>
      <c r="F4182" s="1"/>
      <c r="G4182" s="1"/>
      <c r="H4182" s="1"/>
      <c r="I4182" s="2"/>
      <c r="J4182" s="1"/>
      <c r="K4182" s="1"/>
      <c r="L4182" s="1"/>
      <c r="M4182" s="1"/>
      <c r="N4182" s="1"/>
      <c r="O4182" s="1"/>
      <c r="P4182" s="1"/>
      <c r="Q4182" s="1"/>
      <c r="R4182" s="1"/>
      <c r="S4182" s="1"/>
      <c r="T4182" s="1"/>
      <c r="U4182" s="1"/>
      <c r="V4182" s="1"/>
      <c r="W4182" s="1"/>
      <c r="X4182" s="1"/>
    </row>
    <row x14ac:dyDescent="0.25" r="4183" customHeight="1" ht="18.75">
      <c r="A4183" s="1"/>
      <c r="B4183" s="1"/>
      <c r="C4183" s="1"/>
      <c r="D4183" s="1"/>
      <c r="E4183" s="1"/>
      <c r="F4183" s="1"/>
      <c r="G4183" s="1"/>
      <c r="H4183" s="1"/>
      <c r="I4183" s="2"/>
      <c r="J4183" s="1"/>
      <c r="K4183" s="1"/>
      <c r="L4183" s="1"/>
      <c r="M4183" s="1"/>
      <c r="N4183" s="1"/>
      <c r="O4183" s="1"/>
      <c r="P4183" s="1"/>
      <c r="Q4183" s="1"/>
      <c r="R4183" s="1"/>
      <c r="S4183" s="1"/>
      <c r="T4183" s="1"/>
      <c r="U4183" s="1"/>
      <c r="V4183" s="1"/>
      <c r="W4183" s="1"/>
      <c r="X4183" s="1"/>
    </row>
    <row x14ac:dyDescent="0.25" r="4184" customHeight="1" ht="18.75">
      <c r="A4184" s="1"/>
      <c r="B4184" s="1"/>
      <c r="C4184" s="1"/>
      <c r="D4184" s="1"/>
      <c r="E4184" s="1"/>
      <c r="F4184" s="1"/>
      <c r="G4184" s="1"/>
      <c r="H4184" s="1"/>
      <c r="I4184" s="2"/>
      <c r="J4184" s="1"/>
      <c r="K4184" s="1"/>
      <c r="L4184" s="1"/>
      <c r="M4184" s="1"/>
      <c r="N4184" s="1"/>
      <c r="O4184" s="1"/>
      <c r="P4184" s="1"/>
      <c r="Q4184" s="1"/>
      <c r="R4184" s="1"/>
      <c r="S4184" s="1"/>
      <c r="T4184" s="1"/>
      <c r="U4184" s="1"/>
      <c r="V4184" s="1"/>
      <c r="W4184" s="1"/>
      <c r="X4184" s="1"/>
    </row>
    <row x14ac:dyDescent="0.25" r="4185" customHeight="1" ht="18.75">
      <c r="A4185" s="1"/>
      <c r="B4185" s="1"/>
      <c r="C4185" s="1"/>
      <c r="D4185" s="1"/>
      <c r="E4185" s="1"/>
      <c r="F4185" s="1"/>
      <c r="G4185" s="1"/>
      <c r="H4185" s="1"/>
      <c r="I4185" s="2"/>
      <c r="J4185" s="1"/>
      <c r="K4185" s="1"/>
      <c r="L4185" s="1"/>
      <c r="M4185" s="1"/>
      <c r="N4185" s="1"/>
      <c r="O4185" s="1"/>
      <c r="P4185" s="1"/>
      <c r="Q4185" s="1"/>
      <c r="R4185" s="1"/>
      <c r="S4185" s="1"/>
      <c r="T4185" s="1"/>
      <c r="U4185" s="1"/>
      <c r="V4185" s="1"/>
      <c r="W4185" s="1"/>
      <c r="X4185" s="1"/>
    </row>
    <row x14ac:dyDescent="0.25" r="4186" customHeight="1" ht="18.75">
      <c r="A4186" s="1"/>
      <c r="B4186" s="1"/>
      <c r="C4186" s="1"/>
      <c r="D4186" s="1"/>
      <c r="E4186" s="1"/>
      <c r="F4186" s="1"/>
      <c r="G4186" s="1"/>
      <c r="H4186" s="1"/>
      <c r="I4186" s="2"/>
      <c r="J4186" s="1"/>
      <c r="K4186" s="1"/>
      <c r="L4186" s="1"/>
      <c r="M4186" s="1"/>
      <c r="N4186" s="1"/>
      <c r="O4186" s="1"/>
      <c r="P4186" s="1"/>
      <c r="Q4186" s="1"/>
      <c r="R4186" s="1"/>
      <c r="S4186" s="1"/>
      <c r="T4186" s="1"/>
      <c r="U4186" s="1"/>
      <c r="V4186" s="1"/>
      <c r="W4186" s="1"/>
      <c r="X4186" s="1"/>
    </row>
    <row x14ac:dyDescent="0.25" r="4187" customHeight="1" ht="18.75">
      <c r="A4187" s="1"/>
      <c r="B4187" s="1"/>
      <c r="C4187" s="1"/>
      <c r="D4187" s="1"/>
      <c r="E4187" s="1"/>
      <c r="F4187" s="1"/>
      <c r="G4187" s="1"/>
      <c r="H4187" s="1"/>
      <c r="I4187" s="2"/>
      <c r="J4187" s="1"/>
      <c r="K4187" s="1"/>
      <c r="L4187" s="1"/>
      <c r="M4187" s="1"/>
      <c r="N4187" s="1"/>
      <c r="O4187" s="1"/>
      <c r="P4187" s="1"/>
      <c r="Q4187" s="1"/>
      <c r="R4187" s="1"/>
      <c r="S4187" s="1"/>
      <c r="T4187" s="1"/>
      <c r="U4187" s="1"/>
      <c r="V4187" s="1"/>
      <c r="W4187" s="1"/>
      <c r="X4187" s="1"/>
    </row>
    <row x14ac:dyDescent="0.25" r="4188" customHeight="1" ht="18.75">
      <c r="A4188" s="1"/>
      <c r="B4188" s="1"/>
      <c r="C4188" s="1"/>
      <c r="D4188" s="1"/>
      <c r="E4188" s="1"/>
      <c r="F4188" s="1"/>
      <c r="G4188" s="1"/>
      <c r="H4188" s="1"/>
      <c r="I4188" s="2"/>
      <c r="J4188" s="1"/>
      <c r="K4188" s="1"/>
      <c r="L4188" s="1"/>
      <c r="M4188" s="1"/>
      <c r="N4188" s="1"/>
      <c r="O4188" s="1"/>
      <c r="P4188" s="1"/>
      <c r="Q4188" s="1"/>
      <c r="R4188" s="1"/>
      <c r="S4188" s="1"/>
      <c r="T4188" s="1"/>
      <c r="U4188" s="1"/>
      <c r="V4188" s="1"/>
      <c r="W4188" s="1"/>
      <c r="X4188" s="1"/>
    </row>
    <row x14ac:dyDescent="0.25" r="4189" customHeight="1" ht="18.75">
      <c r="A4189" s="1"/>
      <c r="B4189" s="1"/>
      <c r="C4189" s="1"/>
      <c r="D4189" s="1"/>
      <c r="E4189" s="1"/>
      <c r="F4189" s="1"/>
      <c r="G4189" s="1"/>
      <c r="H4189" s="1"/>
      <c r="I4189" s="2"/>
      <c r="J4189" s="1"/>
      <c r="K4189" s="1"/>
      <c r="L4189" s="1"/>
      <c r="M4189" s="1"/>
      <c r="N4189" s="1"/>
      <c r="O4189" s="1"/>
      <c r="P4189" s="1"/>
      <c r="Q4189" s="1"/>
      <c r="R4189" s="1"/>
      <c r="S4189" s="1"/>
      <c r="T4189" s="1"/>
      <c r="U4189" s="1"/>
      <c r="V4189" s="1"/>
      <c r="W4189" s="1"/>
      <c r="X4189" s="1"/>
    </row>
    <row x14ac:dyDescent="0.25" r="4190" customHeight="1" ht="18.75">
      <c r="A4190" s="1"/>
      <c r="B4190" s="1"/>
      <c r="C4190" s="1"/>
      <c r="D4190" s="1"/>
      <c r="E4190" s="1"/>
      <c r="F4190" s="1"/>
      <c r="G4190" s="1"/>
      <c r="H4190" s="1"/>
      <c r="I4190" s="2"/>
      <c r="J4190" s="1"/>
      <c r="K4190" s="1"/>
      <c r="L4190" s="1"/>
      <c r="M4190" s="1"/>
      <c r="N4190" s="1"/>
      <c r="O4190" s="1"/>
      <c r="P4190" s="1"/>
      <c r="Q4190" s="1"/>
      <c r="R4190" s="1"/>
      <c r="S4190" s="1"/>
      <c r="T4190" s="1"/>
      <c r="U4190" s="1"/>
      <c r="V4190" s="1"/>
      <c r="W4190" s="1"/>
      <c r="X4190" s="1"/>
    </row>
    <row x14ac:dyDescent="0.25" r="4191" customHeight="1" ht="18.75">
      <c r="A4191" s="1"/>
      <c r="B4191" s="1"/>
      <c r="C4191" s="1"/>
      <c r="D4191" s="1"/>
      <c r="E4191" s="1"/>
      <c r="F4191" s="1"/>
      <c r="G4191" s="1"/>
      <c r="H4191" s="1"/>
      <c r="I4191" s="2"/>
      <c r="J4191" s="1"/>
      <c r="K4191" s="1"/>
      <c r="L4191" s="1"/>
      <c r="M4191" s="1"/>
      <c r="N4191" s="1"/>
      <c r="O4191" s="1"/>
      <c r="P4191" s="1"/>
      <c r="Q4191" s="1"/>
      <c r="R4191" s="1"/>
      <c r="S4191" s="1"/>
      <c r="T4191" s="1"/>
      <c r="U4191" s="1"/>
      <c r="V4191" s="1"/>
      <c r="W4191" s="1"/>
      <c r="X4191" s="1"/>
    </row>
    <row x14ac:dyDescent="0.25" r="4192" customHeight="1" ht="18.75">
      <c r="A4192" s="1"/>
      <c r="B4192" s="1"/>
      <c r="C4192" s="1"/>
      <c r="D4192" s="1"/>
      <c r="E4192" s="1"/>
      <c r="F4192" s="1"/>
      <c r="G4192" s="1"/>
      <c r="H4192" s="1"/>
      <c r="I4192" s="2"/>
      <c r="J4192" s="1"/>
      <c r="K4192" s="1"/>
      <c r="L4192" s="1"/>
      <c r="M4192" s="1"/>
      <c r="N4192" s="1"/>
      <c r="O4192" s="1"/>
      <c r="P4192" s="1"/>
      <c r="Q4192" s="1"/>
      <c r="R4192" s="1"/>
      <c r="S4192" s="1"/>
      <c r="T4192" s="1"/>
      <c r="U4192" s="1"/>
      <c r="V4192" s="1"/>
      <c r="W4192" s="1"/>
      <c r="X4192" s="1"/>
    </row>
    <row x14ac:dyDescent="0.25" r="4193" customHeight="1" ht="18.75">
      <c r="A4193" s="1"/>
      <c r="B4193" s="1"/>
      <c r="C4193" s="1"/>
      <c r="D4193" s="1"/>
      <c r="E4193" s="1"/>
      <c r="F4193" s="1"/>
      <c r="G4193" s="1"/>
      <c r="H4193" s="1"/>
      <c r="I4193" s="2"/>
      <c r="J4193" s="1"/>
      <c r="K4193" s="1"/>
      <c r="L4193" s="1"/>
      <c r="M4193" s="1"/>
      <c r="N4193" s="1"/>
      <c r="O4193" s="1"/>
      <c r="P4193" s="1"/>
      <c r="Q4193" s="1"/>
      <c r="R4193" s="1"/>
      <c r="S4193" s="1"/>
      <c r="T4193" s="1"/>
      <c r="U4193" s="1"/>
      <c r="V4193" s="1"/>
      <c r="W4193" s="1"/>
      <c r="X4193" s="1"/>
    </row>
    <row x14ac:dyDescent="0.25" r="4194" customHeight="1" ht="18.75">
      <c r="A4194" s="1"/>
      <c r="B4194" s="1"/>
      <c r="C4194" s="1"/>
      <c r="D4194" s="1"/>
      <c r="E4194" s="1"/>
      <c r="F4194" s="1"/>
      <c r="G4194" s="1"/>
      <c r="H4194" s="1"/>
      <c r="I4194" s="2"/>
      <c r="J4194" s="1"/>
      <c r="K4194" s="1"/>
      <c r="L4194" s="1"/>
      <c r="M4194" s="1"/>
      <c r="N4194" s="1"/>
      <c r="O4194" s="1"/>
      <c r="P4194" s="1"/>
      <c r="Q4194" s="1"/>
      <c r="R4194" s="1"/>
      <c r="S4194" s="1"/>
      <c r="T4194" s="1"/>
      <c r="U4194" s="1"/>
      <c r="V4194" s="1"/>
      <c r="W4194" s="1"/>
      <c r="X4194" s="1"/>
    </row>
    <row x14ac:dyDescent="0.25" r="4195" customHeight="1" ht="18.75">
      <c r="A4195" s="1"/>
      <c r="B4195" s="1"/>
      <c r="C4195" s="1"/>
      <c r="D4195" s="1"/>
      <c r="E4195" s="1"/>
      <c r="F4195" s="1"/>
      <c r="G4195" s="1"/>
      <c r="H4195" s="1"/>
      <c r="I4195" s="2"/>
      <c r="J4195" s="1"/>
      <c r="K4195" s="1"/>
      <c r="L4195" s="1"/>
      <c r="M4195" s="1"/>
      <c r="N4195" s="1"/>
      <c r="O4195" s="1"/>
      <c r="P4195" s="1"/>
      <c r="Q4195" s="1"/>
      <c r="R4195" s="1"/>
      <c r="S4195" s="1"/>
      <c r="T4195" s="1"/>
      <c r="U4195" s="1"/>
      <c r="V4195" s="1"/>
      <c r="W4195" s="1"/>
      <c r="X4195" s="1"/>
    </row>
    <row x14ac:dyDescent="0.25" r="4196" customHeight="1" ht="18.75">
      <c r="A4196" s="1"/>
      <c r="B4196" s="1"/>
      <c r="C4196" s="1"/>
      <c r="D4196" s="1"/>
      <c r="E4196" s="1"/>
      <c r="F4196" s="1"/>
      <c r="G4196" s="1"/>
      <c r="H4196" s="1"/>
      <c r="I4196" s="2"/>
      <c r="J4196" s="1"/>
      <c r="K4196" s="1"/>
      <c r="L4196" s="1"/>
      <c r="M4196" s="1"/>
      <c r="N4196" s="1"/>
      <c r="O4196" s="1"/>
      <c r="P4196" s="1"/>
      <c r="Q4196" s="1"/>
      <c r="R4196" s="1"/>
      <c r="S4196" s="1"/>
      <c r="T4196" s="1"/>
      <c r="U4196" s="1"/>
      <c r="V4196" s="1"/>
      <c r="W4196" s="1"/>
      <c r="X4196" s="1"/>
    </row>
    <row x14ac:dyDescent="0.25" r="4197" customHeight="1" ht="18.75">
      <c r="A4197" s="1"/>
      <c r="B4197" s="1"/>
      <c r="C4197" s="1"/>
      <c r="D4197" s="1"/>
      <c r="E4197" s="1"/>
      <c r="F4197" s="1"/>
      <c r="G4197" s="1"/>
      <c r="H4197" s="1"/>
      <c r="I4197" s="2"/>
      <c r="J4197" s="1"/>
      <c r="K4197" s="1"/>
      <c r="L4197" s="1"/>
      <c r="M4197" s="1"/>
      <c r="N4197" s="1"/>
      <c r="O4197" s="1"/>
      <c r="P4197" s="1"/>
      <c r="Q4197" s="1"/>
      <c r="R4197" s="1"/>
      <c r="S4197" s="1"/>
      <c r="T4197" s="1"/>
      <c r="U4197" s="1"/>
      <c r="V4197" s="1"/>
      <c r="W4197" s="1"/>
      <c r="X4197" s="1"/>
    </row>
    <row x14ac:dyDescent="0.25" r="4198" customHeight="1" ht="18.75">
      <c r="A4198" s="1"/>
      <c r="B4198" s="1"/>
      <c r="C4198" s="1"/>
      <c r="D4198" s="1"/>
      <c r="E4198" s="1"/>
      <c r="F4198" s="1"/>
      <c r="G4198" s="1"/>
      <c r="H4198" s="1"/>
      <c r="I4198" s="2"/>
      <c r="J4198" s="1"/>
      <c r="K4198" s="1"/>
      <c r="L4198" s="1"/>
      <c r="M4198" s="1"/>
      <c r="N4198" s="1"/>
      <c r="O4198" s="1"/>
      <c r="P4198" s="1"/>
      <c r="Q4198" s="1"/>
      <c r="R4198" s="1"/>
      <c r="S4198" s="1"/>
      <c r="T4198" s="1"/>
      <c r="U4198" s="1"/>
      <c r="V4198" s="1"/>
      <c r="W4198" s="1"/>
      <c r="X4198" s="1"/>
    </row>
    <row x14ac:dyDescent="0.25" r="4199" customHeight="1" ht="18.75">
      <c r="A4199" s="1"/>
      <c r="B4199" s="1"/>
      <c r="C4199" s="1"/>
      <c r="D4199" s="1"/>
      <c r="E4199" s="1"/>
      <c r="F4199" s="1"/>
      <c r="G4199" s="1"/>
      <c r="H4199" s="1"/>
      <c r="I4199" s="2"/>
      <c r="J4199" s="1"/>
      <c r="K4199" s="1"/>
      <c r="L4199" s="1"/>
      <c r="M4199" s="1"/>
      <c r="N4199" s="1"/>
      <c r="O4199" s="1"/>
      <c r="P4199" s="1"/>
      <c r="Q4199" s="1"/>
      <c r="R4199" s="1"/>
      <c r="S4199" s="1"/>
      <c r="T4199" s="1"/>
      <c r="U4199" s="1"/>
      <c r="V4199" s="1"/>
      <c r="W4199" s="1"/>
      <c r="X4199" s="1"/>
    </row>
    <row x14ac:dyDescent="0.25" r="4200" customHeight="1" ht="18.75">
      <c r="A4200" s="1"/>
      <c r="B4200" s="1"/>
      <c r="C4200" s="1"/>
      <c r="D4200" s="1"/>
      <c r="E4200" s="1"/>
      <c r="F4200" s="1"/>
      <c r="G4200" s="1"/>
      <c r="H4200" s="1"/>
      <c r="I4200" s="2"/>
      <c r="J4200" s="1"/>
      <c r="K4200" s="1"/>
      <c r="L4200" s="1"/>
      <c r="M4200" s="1"/>
      <c r="N4200" s="1"/>
      <c r="O4200" s="1"/>
      <c r="P4200" s="1"/>
      <c r="Q4200" s="1"/>
      <c r="R4200" s="1"/>
      <c r="S4200" s="1"/>
      <c r="T4200" s="1"/>
      <c r="U4200" s="1"/>
      <c r="V4200" s="1"/>
      <c r="W4200" s="1"/>
      <c r="X4200" s="1"/>
    </row>
    <row x14ac:dyDescent="0.25" r="4201" customHeight="1" ht="18.75">
      <c r="A4201" s="1"/>
      <c r="B4201" s="1"/>
      <c r="C4201" s="1"/>
      <c r="D4201" s="1"/>
      <c r="E4201" s="1"/>
      <c r="F4201" s="1"/>
      <c r="G4201" s="1"/>
      <c r="H4201" s="1"/>
      <c r="I4201" s="2"/>
      <c r="J4201" s="1"/>
      <c r="K4201" s="1"/>
      <c r="L4201" s="1"/>
      <c r="M4201" s="1"/>
      <c r="N4201" s="1"/>
      <c r="O4201" s="1"/>
      <c r="P4201" s="1"/>
      <c r="Q4201" s="1"/>
      <c r="R4201" s="1"/>
      <c r="S4201" s="1"/>
      <c r="T4201" s="1"/>
      <c r="U4201" s="1"/>
      <c r="V4201" s="1"/>
      <c r="W4201" s="1"/>
      <c r="X4201" s="1"/>
    </row>
    <row x14ac:dyDescent="0.25" r="4202" customHeight="1" ht="18.75">
      <c r="A4202" s="1"/>
      <c r="B4202" s="1"/>
      <c r="C4202" s="1"/>
      <c r="D4202" s="1"/>
      <c r="E4202" s="1"/>
      <c r="F4202" s="1"/>
      <c r="G4202" s="1"/>
      <c r="H4202" s="1"/>
      <c r="I4202" s="2"/>
      <c r="J4202" s="1"/>
      <c r="K4202" s="1"/>
      <c r="L4202" s="1"/>
      <c r="M4202" s="1"/>
      <c r="N4202" s="1"/>
      <c r="O4202" s="1"/>
      <c r="P4202" s="1"/>
      <c r="Q4202" s="1"/>
      <c r="R4202" s="1"/>
      <c r="S4202" s="1"/>
      <c r="T4202" s="1"/>
      <c r="U4202" s="1"/>
      <c r="V4202" s="1"/>
      <c r="W4202" s="1"/>
      <c r="X4202" s="1"/>
    </row>
    <row x14ac:dyDescent="0.25" r="4203" customHeight="1" ht="18.75">
      <c r="A4203" s="1"/>
      <c r="B4203" s="1"/>
      <c r="C4203" s="1"/>
      <c r="D4203" s="1"/>
      <c r="E4203" s="1"/>
      <c r="F4203" s="1"/>
      <c r="G4203" s="1"/>
      <c r="H4203" s="1"/>
      <c r="I4203" s="2"/>
      <c r="J4203" s="1"/>
      <c r="K4203" s="1"/>
      <c r="L4203" s="1"/>
      <c r="M4203" s="1"/>
      <c r="N4203" s="1"/>
      <c r="O4203" s="1"/>
      <c r="P4203" s="1"/>
      <c r="Q4203" s="1"/>
      <c r="R4203" s="1"/>
      <c r="S4203" s="1"/>
      <c r="T4203" s="1"/>
      <c r="U4203" s="1"/>
      <c r="V4203" s="1"/>
      <c r="W4203" s="1"/>
      <c r="X4203" s="1"/>
    </row>
    <row x14ac:dyDescent="0.25" r="4204" customHeight="1" ht="18.75">
      <c r="A4204" s="1"/>
      <c r="B4204" s="1"/>
      <c r="C4204" s="1"/>
      <c r="D4204" s="1"/>
      <c r="E4204" s="1"/>
      <c r="F4204" s="1"/>
      <c r="G4204" s="1"/>
      <c r="H4204" s="1"/>
      <c r="I4204" s="2"/>
      <c r="J4204" s="1"/>
      <c r="K4204" s="1"/>
      <c r="L4204" s="1"/>
      <c r="M4204" s="1"/>
      <c r="N4204" s="1"/>
      <c r="O4204" s="1"/>
      <c r="P4204" s="1"/>
      <c r="Q4204" s="1"/>
      <c r="R4204" s="1"/>
      <c r="S4204" s="1"/>
      <c r="T4204" s="1"/>
      <c r="U4204" s="1"/>
      <c r="V4204" s="1"/>
      <c r="W4204" s="1"/>
      <c r="X4204" s="1"/>
    </row>
    <row x14ac:dyDescent="0.25" r="4205" customHeight="1" ht="18.75">
      <c r="A4205" s="1"/>
      <c r="B4205" s="1"/>
      <c r="C4205" s="1"/>
      <c r="D4205" s="1"/>
      <c r="E4205" s="1"/>
      <c r="F4205" s="1"/>
      <c r="G4205" s="1"/>
      <c r="H4205" s="1"/>
      <c r="I4205" s="2"/>
      <c r="J4205" s="1"/>
      <c r="K4205" s="1"/>
      <c r="L4205" s="1"/>
      <c r="M4205" s="1"/>
      <c r="N4205" s="1"/>
      <c r="O4205" s="1"/>
      <c r="P4205" s="1"/>
      <c r="Q4205" s="1"/>
      <c r="R4205" s="1"/>
      <c r="S4205" s="1"/>
      <c r="T4205" s="1"/>
      <c r="U4205" s="1"/>
      <c r="V4205" s="1"/>
      <c r="W4205" s="1"/>
      <c r="X4205" s="1"/>
    </row>
    <row x14ac:dyDescent="0.25" r="4206" customHeight="1" ht="18.75">
      <c r="A4206" s="1"/>
      <c r="B4206" s="1"/>
      <c r="C4206" s="1"/>
      <c r="D4206" s="1"/>
      <c r="E4206" s="1"/>
      <c r="F4206" s="1"/>
      <c r="G4206" s="1"/>
      <c r="H4206" s="1"/>
      <c r="I4206" s="2"/>
      <c r="J4206" s="1"/>
      <c r="K4206" s="1"/>
      <c r="L4206" s="1"/>
      <c r="M4206" s="1"/>
      <c r="N4206" s="1"/>
      <c r="O4206" s="1"/>
      <c r="P4206" s="1"/>
      <c r="Q4206" s="1"/>
      <c r="R4206" s="1"/>
      <c r="S4206" s="1"/>
      <c r="T4206" s="1"/>
      <c r="U4206" s="1"/>
      <c r="V4206" s="1"/>
      <c r="W4206" s="1"/>
      <c r="X4206" s="1"/>
    </row>
    <row x14ac:dyDescent="0.25" r="4207" customHeight="1" ht="18.75">
      <c r="A4207" s="1"/>
      <c r="B4207" s="1"/>
      <c r="C4207" s="1"/>
      <c r="D4207" s="1"/>
      <c r="E4207" s="1"/>
      <c r="F4207" s="1"/>
      <c r="G4207" s="1"/>
      <c r="H4207" s="1"/>
      <c r="I4207" s="2"/>
      <c r="J4207" s="1"/>
      <c r="K4207" s="1"/>
      <c r="L4207" s="1"/>
      <c r="M4207" s="1"/>
      <c r="N4207" s="1"/>
      <c r="O4207" s="1"/>
      <c r="P4207" s="1"/>
      <c r="Q4207" s="1"/>
      <c r="R4207" s="1"/>
      <c r="S4207" s="1"/>
      <c r="T4207" s="1"/>
      <c r="U4207" s="1"/>
      <c r="V4207" s="1"/>
      <c r="W4207" s="1"/>
      <c r="X4207" s="1"/>
    </row>
    <row x14ac:dyDescent="0.25" r="4208" customHeight="1" ht="18.75">
      <c r="A4208" s="1"/>
      <c r="B4208" s="1"/>
      <c r="C4208" s="1"/>
      <c r="D4208" s="1"/>
      <c r="E4208" s="1"/>
      <c r="F4208" s="1"/>
      <c r="G4208" s="1"/>
      <c r="H4208" s="1"/>
      <c r="I4208" s="2"/>
      <c r="J4208" s="1"/>
      <c r="K4208" s="1"/>
      <c r="L4208" s="1"/>
      <c r="M4208" s="1"/>
      <c r="N4208" s="1"/>
      <c r="O4208" s="1"/>
      <c r="P4208" s="1"/>
      <c r="Q4208" s="1"/>
      <c r="R4208" s="1"/>
      <c r="S4208" s="1"/>
      <c r="T4208" s="1"/>
      <c r="U4208" s="1"/>
      <c r="V4208" s="1"/>
      <c r="W4208" s="1"/>
      <c r="X4208" s="1"/>
    </row>
    <row x14ac:dyDescent="0.25" r="4209" customHeight="1" ht="18.75">
      <c r="A4209" s="1"/>
      <c r="B4209" s="1"/>
      <c r="C4209" s="1"/>
      <c r="D4209" s="1"/>
      <c r="E4209" s="1"/>
      <c r="F4209" s="1"/>
      <c r="G4209" s="1"/>
      <c r="H4209" s="1"/>
      <c r="I4209" s="2"/>
      <c r="J4209" s="1"/>
      <c r="K4209" s="1"/>
      <c r="L4209" s="1"/>
      <c r="M4209" s="1"/>
      <c r="N4209" s="1"/>
      <c r="O4209" s="1"/>
      <c r="P4209" s="1"/>
      <c r="Q4209" s="1"/>
      <c r="R4209" s="1"/>
      <c r="S4209" s="1"/>
      <c r="T4209" s="1"/>
      <c r="U4209" s="1"/>
      <c r="V4209" s="1"/>
      <c r="W4209" s="1"/>
      <c r="X4209" s="1"/>
    </row>
    <row x14ac:dyDescent="0.25" r="4210" customHeight="1" ht="18.75">
      <c r="A4210" s="1"/>
      <c r="B4210" s="1"/>
      <c r="C4210" s="1"/>
      <c r="D4210" s="1"/>
      <c r="E4210" s="1"/>
      <c r="F4210" s="1"/>
      <c r="G4210" s="1"/>
      <c r="H4210" s="1"/>
      <c r="I4210" s="2"/>
      <c r="J4210" s="1"/>
      <c r="K4210" s="1"/>
      <c r="L4210" s="1"/>
      <c r="M4210" s="1"/>
      <c r="N4210" s="1"/>
      <c r="O4210" s="1"/>
      <c r="P4210" s="1"/>
      <c r="Q4210" s="1"/>
      <c r="R4210" s="1"/>
      <c r="S4210" s="1"/>
      <c r="T4210" s="1"/>
      <c r="U4210" s="1"/>
      <c r="V4210" s="1"/>
      <c r="W4210" s="1"/>
      <c r="X4210" s="1"/>
    </row>
    <row x14ac:dyDescent="0.25" r="4211" customHeight="1" ht="18.75">
      <c r="A4211" s="1"/>
      <c r="B4211" s="1"/>
      <c r="C4211" s="1"/>
      <c r="D4211" s="1"/>
      <c r="E4211" s="1"/>
      <c r="F4211" s="1"/>
      <c r="G4211" s="1"/>
      <c r="H4211" s="1"/>
      <c r="I4211" s="2"/>
      <c r="J4211" s="1"/>
      <c r="K4211" s="1"/>
      <c r="L4211" s="1"/>
      <c r="M4211" s="1"/>
      <c r="N4211" s="1"/>
      <c r="O4211" s="1"/>
      <c r="P4211" s="1"/>
      <c r="Q4211" s="1"/>
      <c r="R4211" s="1"/>
      <c r="S4211" s="1"/>
      <c r="T4211" s="1"/>
      <c r="U4211" s="1"/>
      <c r="V4211" s="1"/>
      <c r="W4211" s="1"/>
      <c r="X4211" s="1"/>
    </row>
    <row x14ac:dyDescent="0.25" r="4212" customHeight="1" ht="18.75">
      <c r="A4212" s="1"/>
      <c r="B4212" s="1"/>
      <c r="C4212" s="1"/>
      <c r="D4212" s="1"/>
      <c r="E4212" s="1"/>
      <c r="F4212" s="1"/>
      <c r="G4212" s="1"/>
      <c r="H4212" s="1"/>
      <c r="I4212" s="2"/>
      <c r="J4212" s="1"/>
      <c r="K4212" s="1"/>
      <c r="L4212" s="1"/>
      <c r="M4212" s="1"/>
      <c r="N4212" s="1"/>
      <c r="O4212" s="1"/>
      <c r="P4212" s="1"/>
      <c r="Q4212" s="1"/>
      <c r="R4212" s="1"/>
      <c r="S4212" s="1"/>
      <c r="T4212" s="1"/>
      <c r="U4212" s="1"/>
      <c r="V4212" s="1"/>
      <c r="W4212" s="1"/>
      <c r="X4212" s="1"/>
    </row>
    <row x14ac:dyDescent="0.25" r="4213" customHeight="1" ht="18.75">
      <c r="A4213" s="1"/>
      <c r="B4213" s="1"/>
      <c r="C4213" s="1"/>
      <c r="D4213" s="1"/>
      <c r="E4213" s="1"/>
      <c r="F4213" s="1"/>
      <c r="G4213" s="1"/>
      <c r="H4213" s="1"/>
      <c r="I4213" s="2"/>
      <c r="J4213" s="1"/>
      <c r="K4213" s="1"/>
      <c r="L4213" s="1"/>
      <c r="M4213" s="1"/>
      <c r="N4213" s="1"/>
      <c r="O4213" s="1"/>
      <c r="P4213" s="1"/>
      <c r="Q4213" s="1"/>
      <c r="R4213" s="1"/>
      <c r="S4213" s="1"/>
      <c r="T4213" s="1"/>
      <c r="U4213" s="1"/>
      <c r="V4213" s="1"/>
      <c r="W4213" s="1"/>
      <c r="X4213" s="1"/>
    </row>
    <row x14ac:dyDescent="0.25" r="4214" customHeight="1" ht="18.75">
      <c r="A4214" s="1"/>
      <c r="B4214" s="1"/>
      <c r="C4214" s="1"/>
      <c r="D4214" s="1"/>
      <c r="E4214" s="1"/>
      <c r="F4214" s="1"/>
      <c r="G4214" s="1"/>
      <c r="H4214" s="1"/>
      <c r="I4214" s="2"/>
      <c r="J4214" s="1"/>
      <c r="K4214" s="1"/>
      <c r="L4214" s="1"/>
      <c r="M4214" s="1"/>
      <c r="N4214" s="1"/>
      <c r="O4214" s="1"/>
      <c r="P4214" s="1"/>
      <c r="Q4214" s="1"/>
      <c r="R4214" s="1"/>
      <c r="S4214" s="1"/>
      <c r="T4214" s="1"/>
      <c r="U4214" s="1"/>
      <c r="V4214" s="1"/>
      <c r="W4214" s="1"/>
      <c r="X4214" s="1"/>
    </row>
    <row x14ac:dyDescent="0.25" r="4215" customHeight="1" ht="18.75">
      <c r="A4215" s="1"/>
      <c r="B4215" s="1"/>
      <c r="C4215" s="1"/>
      <c r="D4215" s="1"/>
      <c r="E4215" s="1"/>
      <c r="F4215" s="1"/>
      <c r="G4215" s="1"/>
      <c r="H4215" s="1"/>
      <c r="I4215" s="2"/>
      <c r="J4215" s="1"/>
      <c r="K4215" s="1"/>
      <c r="L4215" s="1"/>
      <c r="M4215" s="1"/>
      <c r="N4215" s="1"/>
      <c r="O4215" s="1"/>
      <c r="P4215" s="1"/>
      <c r="Q4215" s="1"/>
      <c r="R4215" s="1"/>
      <c r="S4215" s="1"/>
      <c r="T4215" s="1"/>
      <c r="U4215" s="1"/>
      <c r="V4215" s="1"/>
      <c r="W4215" s="1"/>
      <c r="X4215" s="1"/>
    </row>
    <row x14ac:dyDescent="0.25" r="4216" customHeight="1" ht="18.75">
      <c r="A4216" s="1"/>
      <c r="B4216" s="1"/>
      <c r="C4216" s="1"/>
      <c r="D4216" s="1"/>
      <c r="E4216" s="1"/>
      <c r="F4216" s="1"/>
      <c r="G4216" s="1"/>
      <c r="H4216" s="1"/>
      <c r="I4216" s="2"/>
      <c r="J4216" s="1"/>
      <c r="K4216" s="1"/>
      <c r="L4216" s="1"/>
      <c r="M4216" s="1"/>
      <c r="N4216" s="1"/>
      <c r="O4216" s="1"/>
      <c r="P4216" s="1"/>
      <c r="Q4216" s="1"/>
      <c r="R4216" s="1"/>
      <c r="S4216" s="1"/>
      <c r="T4216" s="1"/>
      <c r="U4216" s="1"/>
      <c r="V4216" s="1"/>
      <c r="W4216" s="1"/>
      <c r="X4216" s="1"/>
    </row>
    <row x14ac:dyDescent="0.25" r="4217" customHeight="1" ht="18.75">
      <c r="A4217" s="1"/>
      <c r="B4217" s="1"/>
      <c r="C4217" s="1"/>
      <c r="D4217" s="1"/>
      <c r="E4217" s="1"/>
      <c r="F4217" s="1"/>
      <c r="G4217" s="1"/>
      <c r="H4217" s="1"/>
      <c r="I4217" s="2"/>
      <c r="J4217" s="1"/>
      <c r="K4217" s="1"/>
      <c r="L4217" s="1"/>
      <c r="M4217" s="1"/>
      <c r="N4217" s="1"/>
      <c r="O4217" s="1"/>
      <c r="P4217" s="1"/>
      <c r="Q4217" s="1"/>
      <c r="R4217" s="1"/>
      <c r="S4217" s="1"/>
      <c r="T4217" s="1"/>
      <c r="U4217" s="1"/>
      <c r="V4217" s="1"/>
      <c r="W4217" s="1"/>
      <c r="X4217" s="1"/>
    </row>
    <row x14ac:dyDescent="0.25" r="4218" customHeight="1" ht="18.75">
      <c r="A4218" s="1"/>
      <c r="B4218" s="1"/>
      <c r="C4218" s="1"/>
      <c r="D4218" s="1"/>
      <c r="E4218" s="1"/>
      <c r="F4218" s="1"/>
      <c r="G4218" s="1"/>
      <c r="H4218" s="1"/>
      <c r="I4218" s="2"/>
      <c r="J4218" s="1"/>
      <c r="K4218" s="1"/>
      <c r="L4218" s="1"/>
      <c r="M4218" s="1"/>
      <c r="N4218" s="1"/>
      <c r="O4218" s="1"/>
      <c r="P4218" s="1"/>
      <c r="Q4218" s="1"/>
      <c r="R4218" s="1"/>
      <c r="S4218" s="1"/>
      <c r="T4218" s="1"/>
      <c r="U4218" s="1"/>
      <c r="V4218" s="1"/>
      <c r="W4218" s="1"/>
      <c r="X4218" s="1"/>
    </row>
    <row x14ac:dyDescent="0.25" r="4219" customHeight="1" ht="18.75">
      <c r="A4219" s="1"/>
      <c r="B4219" s="1"/>
      <c r="C4219" s="1"/>
      <c r="D4219" s="1"/>
      <c r="E4219" s="1"/>
      <c r="F4219" s="1"/>
      <c r="G4219" s="1"/>
      <c r="H4219" s="1"/>
      <c r="I4219" s="2"/>
      <c r="J4219" s="1"/>
      <c r="K4219" s="1"/>
      <c r="L4219" s="1"/>
      <c r="M4219" s="1"/>
      <c r="N4219" s="1"/>
      <c r="O4219" s="1"/>
      <c r="P4219" s="1"/>
      <c r="Q4219" s="1"/>
      <c r="R4219" s="1"/>
      <c r="S4219" s="1"/>
      <c r="T4219" s="1"/>
      <c r="U4219" s="1"/>
      <c r="V4219" s="1"/>
      <c r="W4219" s="1"/>
      <c r="X4219" s="1"/>
    </row>
    <row x14ac:dyDescent="0.25" r="4220" customHeight="1" ht="18.75">
      <c r="A4220" s="1"/>
      <c r="B4220" s="1"/>
      <c r="C4220" s="1"/>
      <c r="D4220" s="1"/>
      <c r="E4220" s="1"/>
      <c r="F4220" s="1"/>
      <c r="G4220" s="1"/>
      <c r="H4220" s="1"/>
      <c r="I4220" s="2"/>
      <c r="J4220" s="1"/>
      <c r="K4220" s="1"/>
      <c r="L4220" s="1"/>
      <c r="M4220" s="1"/>
      <c r="N4220" s="1"/>
      <c r="O4220" s="1"/>
      <c r="P4220" s="1"/>
      <c r="Q4220" s="1"/>
      <c r="R4220" s="1"/>
      <c r="S4220" s="1"/>
      <c r="T4220" s="1"/>
      <c r="U4220" s="1"/>
      <c r="V4220" s="1"/>
      <c r="W4220" s="1"/>
      <c r="X4220" s="1"/>
    </row>
    <row x14ac:dyDescent="0.25" r="4221" customHeight="1" ht="18.75">
      <c r="A4221" s="1"/>
      <c r="B4221" s="1"/>
      <c r="C4221" s="1"/>
      <c r="D4221" s="1"/>
      <c r="E4221" s="1"/>
      <c r="F4221" s="1"/>
      <c r="G4221" s="1"/>
      <c r="H4221" s="1"/>
      <c r="I4221" s="2"/>
      <c r="J4221" s="1"/>
      <c r="K4221" s="1"/>
      <c r="L4221" s="1"/>
      <c r="M4221" s="1"/>
      <c r="N4221" s="1"/>
      <c r="O4221" s="1"/>
      <c r="P4221" s="1"/>
      <c r="Q4221" s="1"/>
      <c r="R4221" s="1"/>
      <c r="S4221" s="1"/>
      <c r="T4221" s="1"/>
      <c r="U4221" s="1"/>
      <c r="V4221" s="1"/>
      <c r="W4221" s="1"/>
      <c r="X4221" s="1"/>
    </row>
    <row x14ac:dyDescent="0.25" r="4222" customHeight="1" ht="18.75">
      <c r="A4222" s="1"/>
      <c r="B4222" s="1"/>
      <c r="C4222" s="1"/>
      <c r="D4222" s="1"/>
      <c r="E4222" s="1"/>
      <c r="F4222" s="1"/>
      <c r="G4222" s="1"/>
      <c r="H4222" s="1"/>
      <c r="I4222" s="2"/>
      <c r="J4222" s="1"/>
      <c r="K4222" s="1"/>
      <c r="L4222" s="1"/>
      <c r="M4222" s="1"/>
      <c r="N4222" s="1"/>
      <c r="O4222" s="1"/>
      <c r="P4222" s="1"/>
      <c r="Q4222" s="1"/>
      <c r="R4222" s="1"/>
      <c r="S4222" s="1"/>
      <c r="T4222" s="1"/>
      <c r="U4222" s="1"/>
      <c r="V4222" s="1"/>
      <c r="W4222" s="1"/>
      <c r="X4222" s="1"/>
    </row>
    <row x14ac:dyDescent="0.25" r="4223" customHeight="1" ht="18.75">
      <c r="A4223" s="1"/>
      <c r="B4223" s="1"/>
      <c r="C4223" s="1"/>
      <c r="D4223" s="1"/>
      <c r="E4223" s="1"/>
      <c r="F4223" s="1"/>
      <c r="G4223" s="1"/>
      <c r="H4223" s="1"/>
      <c r="I4223" s="2"/>
      <c r="J4223" s="1"/>
      <c r="K4223" s="1"/>
      <c r="L4223" s="1"/>
      <c r="M4223" s="1"/>
      <c r="N4223" s="1"/>
      <c r="O4223" s="1"/>
      <c r="P4223" s="1"/>
      <c r="Q4223" s="1"/>
      <c r="R4223" s="1"/>
      <c r="S4223" s="1"/>
      <c r="T4223" s="1"/>
      <c r="U4223" s="1"/>
      <c r="V4223" s="1"/>
      <c r="W4223" s="1"/>
      <c r="X4223" s="1"/>
    </row>
    <row x14ac:dyDescent="0.25" r="4224" customHeight="1" ht="18.75">
      <c r="A4224" s="1"/>
      <c r="B4224" s="1"/>
      <c r="C4224" s="1"/>
      <c r="D4224" s="1"/>
      <c r="E4224" s="1"/>
      <c r="F4224" s="1"/>
      <c r="G4224" s="1"/>
      <c r="H4224" s="1"/>
      <c r="I4224" s="2"/>
      <c r="J4224" s="1"/>
      <c r="K4224" s="1"/>
      <c r="L4224" s="1"/>
      <c r="M4224" s="1"/>
      <c r="N4224" s="1"/>
      <c r="O4224" s="1"/>
      <c r="P4224" s="1"/>
      <c r="Q4224" s="1"/>
      <c r="R4224" s="1"/>
      <c r="S4224" s="1"/>
      <c r="T4224" s="1"/>
      <c r="U4224" s="1"/>
      <c r="V4224" s="1"/>
      <c r="W4224" s="1"/>
      <c r="X4224" s="1"/>
    </row>
    <row x14ac:dyDescent="0.25" r="4225" customHeight="1" ht="18.75">
      <c r="A4225" s="1"/>
      <c r="B4225" s="1"/>
      <c r="C4225" s="1"/>
      <c r="D4225" s="1"/>
      <c r="E4225" s="1"/>
      <c r="F4225" s="1"/>
      <c r="G4225" s="1"/>
      <c r="H4225" s="1"/>
      <c r="I4225" s="2"/>
      <c r="J4225" s="1"/>
      <c r="K4225" s="1"/>
      <c r="L4225" s="1"/>
      <c r="M4225" s="1"/>
      <c r="N4225" s="1"/>
      <c r="O4225" s="1"/>
      <c r="P4225" s="1"/>
      <c r="Q4225" s="1"/>
      <c r="R4225" s="1"/>
      <c r="S4225" s="1"/>
      <c r="T4225" s="1"/>
      <c r="U4225" s="1"/>
      <c r="V4225" s="1"/>
      <c r="W4225" s="1"/>
      <c r="X4225" s="1"/>
    </row>
    <row x14ac:dyDescent="0.25" r="4226" customHeight="1" ht="18.75">
      <c r="A4226" s="1"/>
      <c r="B4226" s="1"/>
      <c r="C4226" s="1"/>
      <c r="D4226" s="1"/>
      <c r="E4226" s="1"/>
      <c r="F4226" s="1"/>
      <c r="G4226" s="1"/>
      <c r="H4226" s="1"/>
      <c r="I4226" s="2"/>
      <c r="J4226" s="1"/>
      <c r="K4226" s="1"/>
      <c r="L4226" s="1"/>
      <c r="M4226" s="1"/>
      <c r="N4226" s="1"/>
      <c r="O4226" s="1"/>
      <c r="P4226" s="1"/>
      <c r="Q4226" s="1"/>
      <c r="R4226" s="1"/>
      <c r="S4226" s="1"/>
      <c r="T4226" s="1"/>
      <c r="U4226" s="1"/>
      <c r="V4226" s="1"/>
      <c r="W4226" s="1"/>
      <c r="X4226" s="1"/>
    </row>
    <row x14ac:dyDescent="0.25" r="4227" customHeight="1" ht="18.75">
      <c r="A4227" s="1"/>
      <c r="B4227" s="1"/>
      <c r="C4227" s="1"/>
      <c r="D4227" s="1"/>
      <c r="E4227" s="1"/>
      <c r="F4227" s="1"/>
      <c r="G4227" s="1"/>
      <c r="H4227" s="1"/>
      <c r="I4227" s="2"/>
      <c r="J4227" s="1"/>
      <c r="K4227" s="1"/>
      <c r="L4227" s="1"/>
      <c r="M4227" s="1"/>
      <c r="N4227" s="1"/>
      <c r="O4227" s="1"/>
      <c r="P4227" s="1"/>
      <c r="Q4227" s="1"/>
      <c r="R4227" s="1"/>
      <c r="S4227" s="1"/>
      <c r="T4227" s="1"/>
      <c r="U4227" s="1"/>
      <c r="V4227" s="1"/>
      <c r="W4227" s="1"/>
      <c r="X4227" s="1"/>
    </row>
    <row x14ac:dyDescent="0.25" r="4228" customHeight="1" ht="18.75">
      <c r="A4228" s="1"/>
      <c r="B4228" s="1"/>
      <c r="C4228" s="1"/>
      <c r="D4228" s="1"/>
      <c r="E4228" s="1"/>
      <c r="F4228" s="1"/>
      <c r="G4228" s="1"/>
      <c r="H4228" s="1"/>
      <c r="I4228" s="2"/>
      <c r="J4228" s="1"/>
      <c r="K4228" s="1"/>
      <c r="L4228" s="1"/>
      <c r="M4228" s="1"/>
      <c r="N4228" s="1"/>
      <c r="O4228" s="1"/>
      <c r="P4228" s="1"/>
      <c r="Q4228" s="1"/>
      <c r="R4228" s="1"/>
      <c r="S4228" s="1"/>
      <c r="T4228" s="1"/>
      <c r="U4228" s="1"/>
      <c r="V4228" s="1"/>
      <c r="W4228" s="1"/>
      <c r="X4228" s="1"/>
    </row>
    <row x14ac:dyDescent="0.25" r="4229" customHeight="1" ht="18.75">
      <c r="A4229" s="1"/>
      <c r="B4229" s="1"/>
      <c r="C4229" s="1"/>
      <c r="D4229" s="1"/>
      <c r="E4229" s="1"/>
      <c r="F4229" s="1"/>
      <c r="G4229" s="1"/>
      <c r="H4229" s="1"/>
      <c r="I4229" s="2"/>
      <c r="J4229" s="1"/>
      <c r="K4229" s="1"/>
      <c r="L4229" s="1"/>
      <c r="M4229" s="1"/>
      <c r="N4229" s="1"/>
      <c r="O4229" s="1"/>
      <c r="P4229" s="1"/>
      <c r="Q4229" s="1"/>
      <c r="R4229" s="1"/>
      <c r="S4229" s="1"/>
      <c r="T4229" s="1"/>
      <c r="U4229" s="1"/>
      <c r="V4229" s="1"/>
      <c r="W4229" s="1"/>
      <c r="X4229" s="1"/>
    </row>
    <row x14ac:dyDescent="0.25" r="4230" customHeight="1" ht="18.75">
      <c r="A4230" s="1"/>
      <c r="B4230" s="1"/>
      <c r="C4230" s="1"/>
      <c r="D4230" s="1"/>
      <c r="E4230" s="1"/>
      <c r="F4230" s="1"/>
      <c r="G4230" s="1"/>
      <c r="H4230" s="1"/>
      <c r="I4230" s="2"/>
      <c r="J4230" s="1"/>
      <c r="K4230" s="1"/>
      <c r="L4230" s="1"/>
      <c r="M4230" s="1"/>
      <c r="N4230" s="1"/>
      <c r="O4230" s="1"/>
      <c r="P4230" s="1"/>
      <c r="Q4230" s="1"/>
      <c r="R4230" s="1"/>
      <c r="S4230" s="1"/>
      <c r="T4230" s="1"/>
      <c r="U4230" s="1"/>
      <c r="V4230" s="1"/>
      <c r="W4230" s="1"/>
      <c r="X4230" s="1"/>
    </row>
    <row x14ac:dyDescent="0.25" r="4231" customHeight="1" ht="18.75">
      <c r="A4231" s="1"/>
      <c r="B4231" s="1"/>
      <c r="C4231" s="1"/>
      <c r="D4231" s="1"/>
      <c r="E4231" s="1"/>
      <c r="F4231" s="1"/>
      <c r="G4231" s="1"/>
      <c r="H4231" s="1"/>
      <c r="I4231" s="2"/>
      <c r="J4231" s="1"/>
      <c r="K4231" s="1"/>
      <c r="L4231" s="1"/>
      <c r="M4231" s="1"/>
      <c r="N4231" s="1"/>
      <c r="O4231" s="1"/>
      <c r="P4231" s="1"/>
      <c r="Q4231" s="1"/>
      <c r="R4231" s="1"/>
      <c r="S4231" s="1"/>
      <c r="T4231" s="1"/>
      <c r="U4231" s="1"/>
      <c r="V4231" s="1"/>
      <c r="W4231" s="1"/>
      <c r="X4231" s="1"/>
    </row>
    <row x14ac:dyDescent="0.25" r="4232" customHeight="1" ht="18.75">
      <c r="A4232" s="1"/>
      <c r="B4232" s="1"/>
      <c r="C4232" s="1"/>
      <c r="D4232" s="1"/>
      <c r="E4232" s="1"/>
      <c r="F4232" s="1"/>
      <c r="G4232" s="1"/>
      <c r="H4232" s="1"/>
      <c r="I4232" s="2"/>
      <c r="J4232" s="1"/>
      <c r="K4232" s="1"/>
      <c r="L4232" s="1"/>
      <c r="M4232" s="1"/>
      <c r="N4232" s="1"/>
      <c r="O4232" s="1"/>
      <c r="P4232" s="1"/>
      <c r="Q4232" s="1"/>
      <c r="R4232" s="1"/>
      <c r="S4232" s="1"/>
      <c r="T4232" s="1"/>
      <c r="U4232" s="1"/>
      <c r="V4232" s="1"/>
      <c r="W4232" s="1"/>
      <c r="X4232" s="1"/>
    </row>
    <row x14ac:dyDescent="0.25" r="4233" customHeight="1" ht="18.75">
      <c r="A4233" s="1"/>
      <c r="B4233" s="1"/>
      <c r="C4233" s="1"/>
      <c r="D4233" s="1"/>
      <c r="E4233" s="1"/>
      <c r="F4233" s="1"/>
      <c r="G4233" s="1"/>
      <c r="H4233" s="1"/>
      <c r="I4233" s="2"/>
      <c r="J4233" s="1"/>
      <c r="K4233" s="1"/>
      <c r="L4233" s="1"/>
      <c r="M4233" s="1"/>
      <c r="N4233" s="1"/>
      <c r="O4233" s="1"/>
      <c r="P4233" s="1"/>
      <c r="Q4233" s="1"/>
      <c r="R4233" s="1"/>
      <c r="S4233" s="1"/>
      <c r="T4233" s="1"/>
      <c r="U4233" s="1"/>
      <c r="V4233" s="1"/>
      <c r="W4233" s="1"/>
      <c r="X4233" s="1"/>
    </row>
    <row x14ac:dyDescent="0.25" r="4234" customHeight="1" ht="18.75">
      <c r="A4234" s="1"/>
      <c r="B4234" s="1"/>
      <c r="C4234" s="1"/>
      <c r="D4234" s="1"/>
      <c r="E4234" s="1"/>
      <c r="F4234" s="1"/>
      <c r="G4234" s="1"/>
      <c r="H4234" s="1"/>
      <c r="I4234" s="2"/>
      <c r="J4234" s="1"/>
      <c r="K4234" s="1"/>
      <c r="L4234" s="1"/>
      <c r="M4234" s="1"/>
      <c r="N4234" s="1"/>
      <c r="O4234" s="1"/>
      <c r="P4234" s="1"/>
      <c r="Q4234" s="1"/>
      <c r="R4234" s="1"/>
      <c r="S4234" s="1"/>
      <c r="T4234" s="1"/>
      <c r="U4234" s="1"/>
      <c r="V4234" s="1"/>
      <c r="W4234" s="1"/>
      <c r="X4234" s="1"/>
    </row>
    <row x14ac:dyDescent="0.25" r="4235" customHeight="1" ht="18.75">
      <c r="A4235" s="1"/>
      <c r="B4235" s="1"/>
      <c r="C4235" s="1"/>
      <c r="D4235" s="1"/>
      <c r="E4235" s="1"/>
      <c r="F4235" s="1"/>
      <c r="G4235" s="1"/>
      <c r="H4235" s="1"/>
      <c r="I4235" s="2"/>
      <c r="J4235" s="1"/>
      <c r="K4235" s="1"/>
      <c r="L4235" s="1"/>
      <c r="M4235" s="1"/>
      <c r="N4235" s="1"/>
      <c r="O4235" s="1"/>
      <c r="P4235" s="1"/>
      <c r="Q4235" s="1"/>
      <c r="R4235" s="1"/>
      <c r="S4235" s="1"/>
      <c r="T4235" s="1"/>
      <c r="U4235" s="1"/>
      <c r="V4235" s="1"/>
      <c r="W4235" s="1"/>
      <c r="X4235" s="1"/>
    </row>
    <row x14ac:dyDescent="0.25" r="4236" customHeight="1" ht="18.75">
      <c r="A4236" s="1"/>
      <c r="B4236" s="1"/>
      <c r="C4236" s="1"/>
      <c r="D4236" s="1"/>
      <c r="E4236" s="1"/>
      <c r="F4236" s="1"/>
      <c r="G4236" s="1"/>
      <c r="H4236" s="1"/>
      <c r="I4236" s="2"/>
      <c r="J4236" s="1"/>
      <c r="K4236" s="1"/>
      <c r="L4236" s="1"/>
      <c r="M4236" s="1"/>
      <c r="N4236" s="1"/>
      <c r="O4236" s="1"/>
      <c r="P4236" s="1"/>
      <c r="Q4236" s="1"/>
      <c r="R4236" s="1"/>
      <c r="S4236" s="1"/>
      <c r="T4236" s="1"/>
      <c r="U4236" s="1"/>
      <c r="V4236" s="1"/>
      <c r="W4236" s="1"/>
      <c r="X4236" s="1"/>
    </row>
    <row x14ac:dyDescent="0.25" r="4237" customHeight="1" ht="18.75">
      <c r="A4237" s="1"/>
      <c r="B4237" s="1"/>
      <c r="C4237" s="1"/>
      <c r="D4237" s="1"/>
      <c r="E4237" s="1"/>
      <c r="F4237" s="1"/>
      <c r="G4237" s="1"/>
      <c r="H4237" s="1"/>
      <c r="I4237" s="2"/>
      <c r="J4237" s="1"/>
      <c r="K4237" s="1"/>
      <c r="L4237" s="1"/>
      <c r="M4237" s="1"/>
      <c r="N4237" s="1"/>
      <c r="O4237" s="1"/>
      <c r="P4237" s="1"/>
      <c r="Q4237" s="1"/>
      <c r="R4237" s="1"/>
      <c r="S4237" s="1"/>
      <c r="T4237" s="1"/>
      <c r="U4237" s="1"/>
      <c r="V4237" s="1"/>
      <c r="W4237" s="1"/>
      <c r="X4237" s="1"/>
    </row>
    <row x14ac:dyDescent="0.25" r="4238" customHeight="1" ht="18.75">
      <c r="A4238" s="1"/>
      <c r="B4238" s="1"/>
      <c r="C4238" s="1"/>
      <c r="D4238" s="1"/>
      <c r="E4238" s="1"/>
      <c r="F4238" s="1"/>
      <c r="G4238" s="1"/>
      <c r="H4238" s="1"/>
      <c r="I4238" s="2"/>
      <c r="J4238" s="1"/>
      <c r="K4238" s="1"/>
      <c r="L4238" s="1"/>
      <c r="M4238" s="1"/>
      <c r="N4238" s="1"/>
      <c r="O4238" s="1"/>
      <c r="P4238" s="1"/>
      <c r="Q4238" s="1"/>
      <c r="R4238" s="1"/>
      <c r="S4238" s="1"/>
      <c r="T4238" s="1"/>
      <c r="U4238" s="1"/>
      <c r="V4238" s="1"/>
      <c r="W4238" s="1"/>
      <c r="X4238" s="1"/>
    </row>
    <row x14ac:dyDescent="0.25" r="4239" customHeight="1" ht="18.75">
      <c r="A4239" s="1"/>
      <c r="B4239" s="1"/>
      <c r="C4239" s="1"/>
      <c r="D4239" s="1"/>
      <c r="E4239" s="1"/>
      <c r="F4239" s="1"/>
      <c r="G4239" s="1"/>
      <c r="H4239" s="1"/>
      <c r="I4239" s="2"/>
      <c r="J4239" s="1"/>
      <c r="K4239" s="1"/>
      <c r="L4239" s="1"/>
      <c r="M4239" s="1"/>
      <c r="N4239" s="1"/>
      <c r="O4239" s="1"/>
      <c r="P4239" s="1"/>
      <c r="Q4239" s="1"/>
      <c r="R4239" s="1"/>
      <c r="S4239" s="1"/>
      <c r="T4239" s="1"/>
      <c r="U4239" s="1"/>
      <c r="V4239" s="1"/>
      <c r="W4239" s="1"/>
      <c r="X4239" s="1"/>
    </row>
    <row x14ac:dyDescent="0.25" r="4240" customHeight="1" ht="18.75">
      <c r="A4240" s="1"/>
      <c r="B4240" s="1"/>
      <c r="C4240" s="1"/>
      <c r="D4240" s="1"/>
      <c r="E4240" s="1"/>
      <c r="F4240" s="1"/>
      <c r="G4240" s="1"/>
      <c r="H4240" s="1"/>
      <c r="I4240" s="2"/>
      <c r="J4240" s="1"/>
      <c r="K4240" s="1"/>
      <c r="L4240" s="1"/>
      <c r="M4240" s="1"/>
      <c r="N4240" s="1"/>
      <c r="O4240" s="1"/>
      <c r="P4240" s="1"/>
      <c r="Q4240" s="1"/>
      <c r="R4240" s="1"/>
      <c r="S4240" s="1"/>
      <c r="T4240" s="1"/>
      <c r="U4240" s="1"/>
      <c r="V4240" s="1"/>
      <c r="W4240" s="1"/>
      <c r="X4240" s="1"/>
    </row>
    <row x14ac:dyDescent="0.25" r="4241" customHeight="1" ht="18.75">
      <c r="A4241" s="1"/>
      <c r="B4241" s="1"/>
      <c r="C4241" s="1"/>
      <c r="D4241" s="1"/>
      <c r="E4241" s="1"/>
      <c r="F4241" s="1"/>
      <c r="G4241" s="1"/>
      <c r="H4241" s="1"/>
      <c r="I4241" s="2"/>
      <c r="J4241" s="1"/>
      <c r="K4241" s="1"/>
      <c r="L4241" s="1"/>
      <c r="M4241" s="1"/>
      <c r="N4241" s="1"/>
      <c r="O4241" s="1"/>
      <c r="P4241" s="1"/>
      <c r="Q4241" s="1"/>
      <c r="R4241" s="1"/>
      <c r="S4241" s="1"/>
      <c r="T4241" s="1"/>
      <c r="U4241" s="1"/>
      <c r="V4241" s="1"/>
      <c r="W4241" s="1"/>
      <c r="X4241" s="1"/>
    </row>
    <row x14ac:dyDescent="0.25" r="4242" customHeight="1" ht="18.75">
      <c r="A4242" s="1"/>
      <c r="B4242" s="1"/>
      <c r="C4242" s="1"/>
      <c r="D4242" s="1"/>
      <c r="E4242" s="1"/>
      <c r="F4242" s="1"/>
      <c r="G4242" s="1"/>
      <c r="H4242" s="1"/>
      <c r="I4242" s="2"/>
      <c r="J4242" s="1"/>
      <c r="K4242" s="1"/>
      <c r="L4242" s="1"/>
      <c r="M4242" s="1"/>
      <c r="N4242" s="1"/>
      <c r="O4242" s="1"/>
      <c r="P4242" s="1"/>
      <c r="Q4242" s="1"/>
      <c r="R4242" s="1"/>
      <c r="S4242" s="1"/>
      <c r="T4242" s="1"/>
      <c r="U4242" s="1"/>
      <c r="V4242" s="1"/>
      <c r="W4242" s="1"/>
      <c r="X4242" s="1"/>
    </row>
    <row x14ac:dyDescent="0.25" r="4243" customHeight="1" ht="18.75">
      <c r="A4243" s="1"/>
      <c r="B4243" s="1"/>
      <c r="C4243" s="1"/>
      <c r="D4243" s="1"/>
      <c r="E4243" s="1"/>
      <c r="F4243" s="1"/>
      <c r="G4243" s="1"/>
      <c r="H4243" s="1"/>
      <c r="I4243" s="2"/>
      <c r="J4243" s="1"/>
      <c r="K4243" s="1"/>
      <c r="L4243" s="1"/>
      <c r="M4243" s="1"/>
      <c r="N4243" s="1"/>
      <c r="O4243" s="1"/>
      <c r="P4243" s="1"/>
      <c r="Q4243" s="1"/>
      <c r="R4243" s="1"/>
      <c r="S4243" s="1"/>
      <c r="T4243" s="1"/>
      <c r="U4243" s="1"/>
      <c r="V4243" s="1"/>
      <c r="W4243" s="1"/>
      <c r="X4243" s="1"/>
    </row>
    <row x14ac:dyDescent="0.25" r="4244" customHeight="1" ht="18.75">
      <c r="A4244" s="1"/>
      <c r="B4244" s="1"/>
      <c r="C4244" s="1"/>
      <c r="D4244" s="1"/>
      <c r="E4244" s="1"/>
      <c r="F4244" s="1"/>
      <c r="G4244" s="1"/>
      <c r="H4244" s="1"/>
      <c r="I4244" s="2"/>
      <c r="J4244" s="1"/>
      <c r="K4244" s="1"/>
      <c r="L4244" s="1"/>
      <c r="M4244" s="1"/>
      <c r="N4244" s="1"/>
      <c r="O4244" s="1"/>
      <c r="P4244" s="1"/>
      <c r="Q4244" s="1"/>
      <c r="R4244" s="1"/>
      <c r="S4244" s="1"/>
      <c r="T4244" s="1"/>
      <c r="U4244" s="1"/>
      <c r="V4244" s="1"/>
      <c r="W4244" s="1"/>
      <c r="X4244" s="1"/>
    </row>
    <row x14ac:dyDescent="0.25" r="4245" customHeight="1" ht="18.75">
      <c r="A4245" s="1"/>
      <c r="B4245" s="1"/>
      <c r="C4245" s="1"/>
      <c r="D4245" s="1"/>
      <c r="E4245" s="1"/>
      <c r="F4245" s="1"/>
      <c r="G4245" s="1"/>
      <c r="H4245" s="1"/>
      <c r="I4245" s="2"/>
      <c r="J4245" s="1"/>
      <c r="K4245" s="1"/>
      <c r="L4245" s="1"/>
      <c r="M4245" s="1"/>
      <c r="N4245" s="1"/>
      <c r="O4245" s="1"/>
      <c r="P4245" s="1"/>
      <c r="Q4245" s="1"/>
      <c r="R4245" s="1"/>
      <c r="S4245" s="1"/>
      <c r="T4245" s="1"/>
      <c r="U4245" s="1"/>
      <c r="V4245" s="1"/>
      <c r="W4245" s="1"/>
      <c r="X4245" s="1"/>
    </row>
    <row x14ac:dyDescent="0.25" r="4246" customHeight="1" ht="18.75">
      <c r="A4246" s="1"/>
      <c r="B4246" s="1"/>
      <c r="C4246" s="1"/>
      <c r="D4246" s="1"/>
      <c r="E4246" s="1"/>
      <c r="F4246" s="1"/>
      <c r="G4246" s="1"/>
      <c r="H4246" s="1"/>
      <c r="I4246" s="2"/>
      <c r="J4246" s="1"/>
      <c r="K4246" s="1"/>
      <c r="L4246" s="1"/>
      <c r="M4246" s="1"/>
      <c r="N4246" s="1"/>
      <c r="O4246" s="1"/>
      <c r="P4246" s="1"/>
      <c r="Q4246" s="1"/>
      <c r="R4246" s="1"/>
      <c r="S4246" s="1"/>
      <c r="T4246" s="1"/>
      <c r="U4246" s="1"/>
      <c r="V4246" s="1"/>
      <c r="W4246" s="1"/>
      <c r="X4246" s="1"/>
    </row>
    <row x14ac:dyDescent="0.25" r="4247" customHeight="1" ht="18.75">
      <c r="A4247" s="1"/>
      <c r="B4247" s="1"/>
      <c r="C4247" s="1"/>
      <c r="D4247" s="1"/>
      <c r="E4247" s="1"/>
      <c r="F4247" s="1"/>
      <c r="G4247" s="1"/>
      <c r="H4247" s="1"/>
      <c r="I4247" s="2"/>
      <c r="J4247" s="1"/>
      <c r="K4247" s="1"/>
      <c r="L4247" s="1"/>
      <c r="M4247" s="1"/>
      <c r="N4247" s="1"/>
      <c r="O4247" s="1"/>
      <c r="P4247" s="1"/>
      <c r="Q4247" s="1"/>
      <c r="R4247" s="1"/>
      <c r="S4247" s="1"/>
      <c r="T4247" s="1"/>
      <c r="U4247" s="1"/>
      <c r="V4247" s="1"/>
      <c r="W4247" s="1"/>
      <c r="X4247" s="1"/>
    </row>
    <row x14ac:dyDescent="0.25" r="4248" customHeight="1" ht="18.75">
      <c r="A4248" s="1"/>
      <c r="B4248" s="1"/>
      <c r="C4248" s="1"/>
      <c r="D4248" s="1"/>
      <c r="E4248" s="1"/>
      <c r="F4248" s="1"/>
      <c r="G4248" s="1"/>
      <c r="H4248" s="1"/>
      <c r="I4248" s="2"/>
      <c r="J4248" s="1"/>
      <c r="K4248" s="1"/>
      <c r="L4248" s="1"/>
      <c r="M4248" s="1"/>
      <c r="N4248" s="1"/>
      <c r="O4248" s="1"/>
      <c r="P4248" s="1"/>
      <c r="Q4248" s="1"/>
      <c r="R4248" s="1"/>
      <c r="S4248" s="1"/>
      <c r="T4248" s="1"/>
      <c r="U4248" s="1"/>
      <c r="V4248" s="1"/>
      <c r="W4248" s="1"/>
      <c r="X4248" s="1"/>
    </row>
    <row x14ac:dyDescent="0.25" r="4249" customHeight="1" ht="18.75">
      <c r="A4249" s="1"/>
      <c r="B4249" s="1"/>
      <c r="C4249" s="1"/>
      <c r="D4249" s="1"/>
      <c r="E4249" s="1"/>
      <c r="F4249" s="1"/>
      <c r="G4249" s="1"/>
      <c r="H4249" s="1"/>
      <c r="I4249" s="2"/>
      <c r="J4249" s="1"/>
      <c r="K4249" s="1"/>
      <c r="L4249" s="1"/>
      <c r="M4249" s="1"/>
      <c r="N4249" s="1"/>
      <c r="O4249" s="1"/>
      <c r="P4249" s="1"/>
      <c r="Q4249" s="1"/>
      <c r="R4249" s="1"/>
      <c r="S4249" s="1"/>
      <c r="T4249" s="1"/>
      <c r="U4249" s="1"/>
      <c r="V4249" s="1"/>
      <c r="W4249" s="1"/>
      <c r="X4249" s="1"/>
    </row>
    <row x14ac:dyDescent="0.25" r="4250" customHeight="1" ht="18.75">
      <c r="A4250" s="1"/>
      <c r="B4250" s="1"/>
      <c r="C4250" s="1"/>
      <c r="D4250" s="1"/>
      <c r="E4250" s="1"/>
      <c r="F4250" s="1"/>
      <c r="G4250" s="1"/>
      <c r="H4250" s="1"/>
      <c r="I4250" s="2"/>
      <c r="J4250" s="1"/>
      <c r="K4250" s="1"/>
      <c r="L4250" s="1"/>
      <c r="M4250" s="1"/>
      <c r="N4250" s="1"/>
      <c r="O4250" s="1"/>
      <c r="P4250" s="1"/>
      <c r="Q4250" s="1"/>
      <c r="R4250" s="1"/>
      <c r="S4250" s="1"/>
      <c r="T4250" s="1"/>
      <c r="U4250" s="1"/>
      <c r="V4250" s="1"/>
      <c r="W4250" s="1"/>
      <c r="X4250" s="1"/>
    </row>
    <row x14ac:dyDescent="0.25" r="4251" customHeight="1" ht="18.75">
      <c r="A4251" s="1"/>
      <c r="B4251" s="1"/>
      <c r="C4251" s="1"/>
      <c r="D4251" s="1"/>
      <c r="E4251" s="1"/>
      <c r="F4251" s="1"/>
      <c r="G4251" s="1"/>
      <c r="H4251" s="1"/>
      <c r="I4251" s="2"/>
      <c r="J4251" s="1"/>
      <c r="K4251" s="1"/>
      <c r="L4251" s="1"/>
      <c r="M4251" s="1"/>
      <c r="N4251" s="1"/>
      <c r="O4251" s="1"/>
      <c r="P4251" s="1"/>
      <c r="Q4251" s="1"/>
      <c r="R4251" s="1"/>
      <c r="S4251" s="1"/>
      <c r="T4251" s="1"/>
      <c r="U4251" s="1"/>
      <c r="V4251" s="1"/>
      <c r="W4251" s="1"/>
      <c r="X4251" s="1"/>
    </row>
    <row x14ac:dyDescent="0.25" r="4252" customHeight="1" ht="18.75">
      <c r="A4252" s="1"/>
      <c r="B4252" s="1"/>
      <c r="C4252" s="1"/>
      <c r="D4252" s="1"/>
      <c r="E4252" s="1"/>
      <c r="F4252" s="1"/>
      <c r="G4252" s="1"/>
      <c r="H4252" s="1"/>
      <c r="I4252" s="2"/>
      <c r="J4252" s="1"/>
      <c r="K4252" s="1"/>
      <c r="L4252" s="1"/>
      <c r="M4252" s="1"/>
      <c r="N4252" s="1"/>
      <c r="O4252" s="1"/>
      <c r="P4252" s="1"/>
      <c r="Q4252" s="1"/>
      <c r="R4252" s="1"/>
      <c r="S4252" s="1"/>
      <c r="T4252" s="1"/>
      <c r="U4252" s="1"/>
      <c r="V4252" s="1"/>
      <c r="W4252" s="1"/>
      <c r="X4252" s="1"/>
    </row>
    <row x14ac:dyDescent="0.25" r="4253" customHeight="1" ht="18.75">
      <c r="A4253" s="1"/>
      <c r="B4253" s="1"/>
      <c r="C4253" s="1"/>
      <c r="D4253" s="1"/>
      <c r="E4253" s="1"/>
      <c r="F4253" s="1"/>
      <c r="G4253" s="1"/>
      <c r="H4253" s="1"/>
      <c r="I4253" s="2"/>
      <c r="J4253" s="1"/>
      <c r="K4253" s="1"/>
      <c r="L4253" s="1"/>
      <c r="M4253" s="1"/>
      <c r="N4253" s="1"/>
      <c r="O4253" s="1"/>
      <c r="P4253" s="1"/>
      <c r="Q4253" s="1"/>
      <c r="R4253" s="1"/>
      <c r="S4253" s="1"/>
      <c r="T4253" s="1"/>
      <c r="U4253" s="1"/>
      <c r="V4253" s="1"/>
      <c r="W4253" s="1"/>
      <c r="X4253" s="1"/>
    </row>
    <row x14ac:dyDescent="0.25" r="4254" customHeight="1" ht="18.75">
      <c r="A4254" s="1"/>
      <c r="B4254" s="1"/>
      <c r="C4254" s="1"/>
      <c r="D4254" s="1"/>
      <c r="E4254" s="1"/>
      <c r="F4254" s="1"/>
      <c r="G4254" s="1"/>
      <c r="H4254" s="1"/>
      <c r="I4254" s="2"/>
      <c r="J4254" s="1"/>
      <c r="K4254" s="1"/>
      <c r="L4254" s="1"/>
      <c r="M4254" s="1"/>
      <c r="N4254" s="1"/>
      <c r="O4254" s="1"/>
      <c r="P4254" s="1"/>
      <c r="Q4254" s="1"/>
      <c r="R4254" s="1"/>
      <c r="S4254" s="1"/>
      <c r="T4254" s="1"/>
      <c r="U4254" s="1"/>
      <c r="V4254" s="1"/>
      <c r="W4254" s="1"/>
      <c r="X4254" s="1"/>
    </row>
    <row x14ac:dyDescent="0.25" r="4255" customHeight="1" ht="18.75">
      <c r="A4255" s="1"/>
      <c r="B4255" s="1"/>
      <c r="C4255" s="1"/>
      <c r="D4255" s="1"/>
      <c r="E4255" s="1"/>
      <c r="F4255" s="1"/>
      <c r="G4255" s="1"/>
      <c r="H4255" s="1"/>
      <c r="I4255" s="2"/>
      <c r="J4255" s="1"/>
      <c r="K4255" s="1"/>
      <c r="L4255" s="1"/>
      <c r="M4255" s="1"/>
      <c r="N4255" s="1"/>
      <c r="O4255" s="1"/>
      <c r="P4255" s="1"/>
      <c r="Q4255" s="1"/>
      <c r="R4255" s="1"/>
      <c r="S4255" s="1"/>
      <c r="T4255" s="1"/>
      <c r="U4255" s="1"/>
      <c r="V4255" s="1"/>
      <c r="W4255" s="1"/>
      <c r="X4255" s="1"/>
    </row>
    <row x14ac:dyDescent="0.25" r="4256" customHeight="1" ht="18.75">
      <c r="A4256" s="1"/>
      <c r="B4256" s="1"/>
      <c r="C4256" s="1"/>
      <c r="D4256" s="1"/>
      <c r="E4256" s="1"/>
      <c r="F4256" s="1"/>
      <c r="G4256" s="1"/>
      <c r="H4256" s="1"/>
      <c r="I4256" s="2"/>
      <c r="J4256" s="1"/>
      <c r="K4256" s="1"/>
      <c r="L4256" s="1"/>
      <c r="M4256" s="1"/>
      <c r="N4256" s="1"/>
      <c r="O4256" s="1"/>
      <c r="P4256" s="1"/>
      <c r="Q4256" s="1"/>
      <c r="R4256" s="1"/>
      <c r="S4256" s="1"/>
      <c r="T4256" s="1"/>
      <c r="U4256" s="1"/>
      <c r="V4256" s="1"/>
      <c r="W4256" s="1"/>
      <c r="X4256" s="1"/>
    </row>
    <row x14ac:dyDescent="0.25" r="4257" customHeight="1" ht="18.75">
      <c r="A4257" s="1"/>
      <c r="B4257" s="1"/>
      <c r="C4257" s="1"/>
      <c r="D4257" s="1"/>
      <c r="E4257" s="1"/>
      <c r="F4257" s="1"/>
      <c r="G4257" s="1"/>
      <c r="H4257" s="1"/>
      <c r="I4257" s="2"/>
      <c r="J4257" s="1"/>
      <c r="K4257" s="1"/>
      <c r="L4257" s="1"/>
      <c r="M4257" s="1"/>
      <c r="N4257" s="1"/>
      <c r="O4257" s="1"/>
      <c r="P4257" s="1"/>
      <c r="Q4257" s="1"/>
      <c r="R4257" s="1"/>
      <c r="S4257" s="1"/>
      <c r="T4257" s="1"/>
      <c r="U4257" s="1"/>
      <c r="V4257" s="1"/>
      <c r="W4257" s="1"/>
      <c r="X4257" s="1"/>
    </row>
    <row x14ac:dyDescent="0.25" r="4258" customHeight="1" ht="18.75">
      <c r="A4258" s="1"/>
      <c r="B4258" s="1"/>
      <c r="C4258" s="1"/>
      <c r="D4258" s="1"/>
      <c r="E4258" s="1"/>
      <c r="F4258" s="1"/>
      <c r="G4258" s="1"/>
      <c r="H4258" s="1"/>
      <c r="I4258" s="2"/>
      <c r="J4258" s="1"/>
      <c r="K4258" s="1"/>
      <c r="L4258" s="1"/>
      <c r="M4258" s="1"/>
      <c r="N4258" s="1"/>
      <c r="O4258" s="1"/>
      <c r="P4258" s="1"/>
      <c r="Q4258" s="1"/>
      <c r="R4258" s="1"/>
      <c r="S4258" s="1"/>
      <c r="T4258" s="1"/>
      <c r="U4258" s="1"/>
      <c r="V4258" s="1"/>
      <c r="W4258" s="1"/>
      <c r="X4258" s="1"/>
    </row>
    <row x14ac:dyDescent="0.25" r="4259" customHeight="1" ht="18.75">
      <c r="A4259" s="1"/>
      <c r="B4259" s="1"/>
      <c r="C4259" s="1"/>
      <c r="D4259" s="1"/>
      <c r="E4259" s="1"/>
      <c r="F4259" s="1"/>
      <c r="G4259" s="1"/>
      <c r="H4259" s="1"/>
      <c r="I4259" s="2"/>
      <c r="J4259" s="1"/>
      <c r="K4259" s="1"/>
      <c r="L4259" s="1"/>
      <c r="M4259" s="1"/>
      <c r="N4259" s="1"/>
      <c r="O4259" s="1"/>
      <c r="P4259" s="1"/>
      <c r="Q4259" s="1"/>
      <c r="R4259" s="1"/>
      <c r="S4259" s="1"/>
      <c r="T4259" s="1"/>
      <c r="U4259" s="1"/>
      <c r="V4259" s="1"/>
      <c r="W4259" s="1"/>
      <c r="X4259" s="1"/>
    </row>
    <row x14ac:dyDescent="0.25" r="4260" customHeight="1" ht="18.75">
      <c r="A4260" s="1"/>
      <c r="B4260" s="1"/>
      <c r="C4260" s="1"/>
      <c r="D4260" s="1"/>
      <c r="E4260" s="1"/>
      <c r="F4260" s="1"/>
      <c r="G4260" s="1"/>
      <c r="H4260" s="1"/>
      <c r="I4260" s="2"/>
      <c r="J4260" s="1"/>
      <c r="K4260" s="1"/>
      <c r="L4260" s="1"/>
      <c r="M4260" s="1"/>
      <c r="N4260" s="1"/>
      <c r="O4260" s="1"/>
      <c r="P4260" s="1"/>
      <c r="Q4260" s="1"/>
      <c r="R4260" s="1"/>
      <c r="S4260" s="1"/>
      <c r="T4260" s="1"/>
      <c r="U4260" s="1"/>
      <c r="V4260" s="1"/>
      <c r="W4260" s="1"/>
      <c r="X4260" s="1"/>
    </row>
    <row x14ac:dyDescent="0.25" r="4261" customHeight="1" ht="18.75">
      <c r="A4261" s="1"/>
      <c r="B4261" s="1"/>
      <c r="C4261" s="1"/>
      <c r="D4261" s="1"/>
      <c r="E4261" s="1"/>
      <c r="F4261" s="1"/>
      <c r="G4261" s="1"/>
      <c r="H4261" s="1"/>
      <c r="I4261" s="2"/>
      <c r="J4261" s="1"/>
      <c r="K4261" s="1"/>
      <c r="L4261" s="1"/>
      <c r="M4261" s="1"/>
      <c r="N4261" s="1"/>
      <c r="O4261" s="1"/>
      <c r="P4261" s="1"/>
      <c r="Q4261" s="1"/>
      <c r="R4261" s="1"/>
      <c r="S4261" s="1"/>
      <c r="T4261" s="1"/>
      <c r="U4261" s="1"/>
      <c r="V4261" s="1"/>
      <c r="W4261" s="1"/>
      <c r="X4261" s="1"/>
    </row>
    <row x14ac:dyDescent="0.25" r="4262" customHeight="1" ht="18.75">
      <c r="A4262" s="1"/>
      <c r="B4262" s="1"/>
      <c r="C4262" s="1"/>
      <c r="D4262" s="1"/>
      <c r="E4262" s="1"/>
      <c r="F4262" s="1"/>
      <c r="G4262" s="1"/>
      <c r="H4262" s="1"/>
      <c r="I4262" s="2"/>
      <c r="J4262" s="1"/>
      <c r="K4262" s="1"/>
      <c r="L4262" s="1"/>
      <c r="M4262" s="1"/>
      <c r="N4262" s="1"/>
      <c r="O4262" s="1"/>
      <c r="P4262" s="1"/>
      <c r="Q4262" s="1"/>
      <c r="R4262" s="1"/>
      <c r="S4262" s="1"/>
      <c r="T4262" s="1"/>
      <c r="U4262" s="1"/>
      <c r="V4262" s="1"/>
      <c r="W4262" s="1"/>
      <c r="X4262" s="1"/>
    </row>
    <row x14ac:dyDescent="0.25" r="4263" customHeight="1" ht="18.75">
      <c r="A4263" s="1"/>
      <c r="B4263" s="1"/>
      <c r="C4263" s="1"/>
      <c r="D4263" s="1"/>
      <c r="E4263" s="1"/>
      <c r="F4263" s="1"/>
      <c r="G4263" s="1"/>
      <c r="H4263" s="1"/>
      <c r="I4263" s="2"/>
      <c r="J4263" s="1"/>
      <c r="K4263" s="1"/>
      <c r="L4263" s="1"/>
      <c r="M4263" s="1"/>
      <c r="N4263" s="1"/>
      <c r="O4263" s="1"/>
      <c r="P4263" s="1"/>
      <c r="Q4263" s="1"/>
      <c r="R4263" s="1"/>
      <c r="S4263" s="1"/>
      <c r="T4263" s="1"/>
      <c r="U4263" s="1"/>
      <c r="V4263" s="1"/>
      <c r="W4263" s="1"/>
      <c r="X4263" s="1"/>
    </row>
    <row x14ac:dyDescent="0.25" r="4264" customHeight="1" ht="18.75">
      <c r="A4264" s="1"/>
      <c r="B4264" s="1"/>
      <c r="C4264" s="1"/>
      <c r="D4264" s="1"/>
      <c r="E4264" s="1"/>
      <c r="F4264" s="1"/>
      <c r="G4264" s="1"/>
      <c r="H4264" s="1"/>
      <c r="I4264" s="2"/>
      <c r="J4264" s="1"/>
      <c r="K4264" s="1"/>
      <c r="L4264" s="1"/>
      <c r="M4264" s="1"/>
      <c r="N4264" s="1"/>
      <c r="O4264" s="1"/>
      <c r="P4264" s="1"/>
      <c r="Q4264" s="1"/>
      <c r="R4264" s="1"/>
      <c r="S4264" s="1"/>
      <c r="T4264" s="1"/>
      <c r="U4264" s="1"/>
      <c r="V4264" s="1"/>
      <c r="W4264" s="1"/>
      <c r="X4264" s="1"/>
    </row>
    <row x14ac:dyDescent="0.25" r="4265" customHeight="1" ht="18.75">
      <c r="A4265" s="1"/>
      <c r="B4265" s="1"/>
      <c r="C4265" s="1"/>
      <c r="D4265" s="1"/>
      <c r="E4265" s="1"/>
      <c r="F4265" s="1"/>
      <c r="G4265" s="1"/>
      <c r="H4265" s="1"/>
      <c r="I4265" s="2"/>
      <c r="J4265" s="1"/>
      <c r="K4265" s="1"/>
      <c r="L4265" s="1"/>
      <c r="M4265" s="1"/>
      <c r="N4265" s="1"/>
      <c r="O4265" s="1"/>
      <c r="P4265" s="1"/>
      <c r="Q4265" s="1"/>
      <c r="R4265" s="1"/>
      <c r="S4265" s="1"/>
      <c r="T4265" s="1"/>
      <c r="U4265" s="1"/>
      <c r="V4265" s="1"/>
      <c r="W4265" s="1"/>
      <c r="X4265" s="1"/>
    </row>
    <row x14ac:dyDescent="0.25" r="4266" customHeight="1" ht="18.75">
      <c r="A4266" s="1"/>
      <c r="B4266" s="1"/>
      <c r="C4266" s="1"/>
      <c r="D4266" s="1"/>
      <c r="E4266" s="1"/>
      <c r="F4266" s="1"/>
      <c r="G4266" s="1"/>
      <c r="H4266" s="1"/>
      <c r="I4266" s="2"/>
      <c r="J4266" s="1"/>
      <c r="K4266" s="1"/>
      <c r="L4266" s="1"/>
      <c r="M4266" s="1"/>
      <c r="N4266" s="1"/>
      <c r="O4266" s="1"/>
      <c r="P4266" s="1"/>
      <c r="Q4266" s="1"/>
      <c r="R4266" s="1"/>
      <c r="S4266" s="1"/>
      <c r="T4266" s="1"/>
      <c r="U4266" s="1"/>
      <c r="V4266" s="1"/>
      <c r="W4266" s="1"/>
      <c r="X4266" s="1"/>
    </row>
    <row x14ac:dyDescent="0.25" r="4267" customHeight="1" ht="18.75">
      <c r="A4267" s="1"/>
      <c r="B4267" s="1"/>
      <c r="C4267" s="1"/>
      <c r="D4267" s="1"/>
      <c r="E4267" s="1"/>
      <c r="F4267" s="1"/>
      <c r="G4267" s="1"/>
      <c r="H4267" s="1"/>
      <c r="I4267" s="2"/>
      <c r="J4267" s="1"/>
      <c r="K4267" s="1"/>
      <c r="L4267" s="1"/>
      <c r="M4267" s="1"/>
      <c r="N4267" s="1"/>
      <c r="O4267" s="1"/>
      <c r="P4267" s="1"/>
      <c r="Q4267" s="1"/>
      <c r="R4267" s="1"/>
      <c r="S4267" s="1"/>
      <c r="T4267" s="1"/>
      <c r="U4267" s="1"/>
      <c r="V4267" s="1"/>
      <c r="W4267" s="1"/>
      <c r="X4267" s="1"/>
    </row>
    <row x14ac:dyDescent="0.25" r="4268" customHeight="1" ht="18.75">
      <c r="A4268" s="1"/>
      <c r="B4268" s="1"/>
      <c r="C4268" s="1"/>
      <c r="D4268" s="1"/>
      <c r="E4268" s="1"/>
      <c r="F4268" s="1"/>
      <c r="G4268" s="1"/>
      <c r="H4268" s="1"/>
      <c r="I4268" s="2"/>
      <c r="J4268" s="1"/>
      <c r="K4268" s="1"/>
      <c r="L4268" s="1"/>
      <c r="M4268" s="1"/>
      <c r="N4268" s="1"/>
      <c r="O4268" s="1"/>
      <c r="P4268" s="1"/>
      <c r="Q4268" s="1"/>
      <c r="R4268" s="1"/>
      <c r="S4268" s="1"/>
      <c r="T4268" s="1"/>
      <c r="U4268" s="1"/>
      <c r="V4268" s="1"/>
      <c r="W4268" s="1"/>
      <c r="X4268" s="1"/>
    </row>
    <row x14ac:dyDescent="0.25" r="4269" customHeight="1" ht="18.75">
      <c r="A4269" s="1"/>
      <c r="B4269" s="1"/>
      <c r="C4269" s="1"/>
      <c r="D4269" s="1"/>
      <c r="E4269" s="1"/>
      <c r="F4269" s="1"/>
      <c r="G4269" s="1"/>
      <c r="H4269" s="1"/>
      <c r="I4269" s="2"/>
      <c r="J4269" s="1"/>
      <c r="K4269" s="1"/>
      <c r="L4269" s="1"/>
      <c r="M4269" s="1"/>
      <c r="N4269" s="1"/>
      <c r="O4269" s="1"/>
      <c r="P4269" s="1"/>
      <c r="Q4269" s="1"/>
      <c r="R4269" s="1"/>
      <c r="S4269" s="1"/>
      <c r="T4269" s="1"/>
      <c r="U4269" s="1"/>
      <c r="V4269" s="1"/>
      <c r="W4269" s="1"/>
      <c r="X4269" s="1"/>
    </row>
    <row x14ac:dyDescent="0.25" r="4270" customHeight="1" ht="18.75">
      <c r="A4270" s="1"/>
      <c r="B4270" s="1"/>
      <c r="C4270" s="1"/>
      <c r="D4270" s="1"/>
      <c r="E4270" s="1"/>
      <c r="F4270" s="1"/>
      <c r="G4270" s="1"/>
      <c r="H4270" s="1"/>
      <c r="I4270" s="2"/>
      <c r="J4270" s="1"/>
      <c r="K4270" s="1"/>
      <c r="L4270" s="1"/>
      <c r="M4270" s="1"/>
      <c r="N4270" s="1"/>
      <c r="O4270" s="1"/>
      <c r="P4270" s="1"/>
      <c r="Q4270" s="1"/>
      <c r="R4270" s="1"/>
      <c r="S4270" s="1"/>
      <c r="T4270" s="1"/>
      <c r="U4270" s="1"/>
      <c r="V4270" s="1"/>
      <c r="W4270" s="1"/>
      <c r="X4270" s="1"/>
    </row>
    <row x14ac:dyDescent="0.25" r="4271" customHeight="1" ht="18.75">
      <c r="A4271" s="1"/>
      <c r="B4271" s="1"/>
      <c r="C4271" s="1"/>
      <c r="D4271" s="1"/>
      <c r="E4271" s="1"/>
      <c r="F4271" s="1"/>
      <c r="G4271" s="1"/>
      <c r="H4271" s="1"/>
      <c r="I4271" s="2"/>
      <c r="J4271" s="1"/>
      <c r="K4271" s="1"/>
      <c r="L4271" s="1"/>
      <c r="M4271" s="1"/>
      <c r="N4271" s="1"/>
      <c r="O4271" s="1"/>
      <c r="P4271" s="1"/>
      <c r="Q4271" s="1"/>
      <c r="R4271" s="1"/>
      <c r="S4271" s="1"/>
      <c r="T4271" s="1"/>
      <c r="U4271" s="1"/>
      <c r="V4271" s="1"/>
      <c r="W4271" s="1"/>
      <c r="X4271" s="1"/>
    </row>
    <row x14ac:dyDescent="0.25" r="4272" customHeight="1" ht="18.75">
      <c r="A4272" s="1"/>
      <c r="B4272" s="1"/>
      <c r="C4272" s="1"/>
      <c r="D4272" s="1"/>
      <c r="E4272" s="1"/>
      <c r="F4272" s="1"/>
      <c r="G4272" s="1"/>
      <c r="H4272" s="1"/>
      <c r="I4272" s="2"/>
      <c r="J4272" s="1"/>
      <c r="K4272" s="1"/>
      <c r="L4272" s="1"/>
      <c r="M4272" s="1"/>
      <c r="N4272" s="1"/>
      <c r="O4272" s="1"/>
      <c r="P4272" s="1"/>
      <c r="Q4272" s="1"/>
      <c r="R4272" s="1"/>
      <c r="S4272" s="1"/>
      <c r="T4272" s="1"/>
      <c r="U4272" s="1"/>
      <c r="V4272" s="1"/>
      <c r="W4272" s="1"/>
      <c r="X4272" s="1"/>
    </row>
    <row x14ac:dyDescent="0.25" r="4273" customHeight="1" ht="18.75">
      <c r="A4273" s="1"/>
      <c r="B4273" s="1"/>
      <c r="C4273" s="1"/>
      <c r="D4273" s="1"/>
      <c r="E4273" s="1"/>
      <c r="F4273" s="1"/>
      <c r="G4273" s="1"/>
      <c r="H4273" s="1"/>
      <c r="I4273" s="2"/>
      <c r="J4273" s="1"/>
      <c r="K4273" s="1"/>
      <c r="L4273" s="1"/>
      <c r="M4273" s="1"/>
      <c r="N4273" s="1"/>
      <c r="O4273" s="1"/>
      <c r="P4273" s="1"/>
      <c r="Q4273" s="1"/>
      <c r="R4273" s="1"/>
      <c r="S4273" s="1"/>
      <c r="T4273" s="1"/>
      <c r="U4273" s="1"/>
      <c r="V4273" s="1"/>
      <c r="W4273" s="1"/>
      <c r="X4273" s="1"/>
    </row>
    <row x14ac:dyDescent="0.25" r="4274" customHeight="1" ht="18.75">
      <c r="A4274" s="1"/>
      <c r="B4274" s="1"/>
      <c r="C4274" s="1"/>
      <c r="D4274" s="1"/>
      <c r="E4274" s="1"/>
      <c r="F4274" s="1"/>
      <c r="G4274" s="1"/>
      <c r="H4274" s="1"/>
      <c r="I4274" s="2"/>
      <c r="J4274" s="1"/>
      <c r="K4274" s="1"/>
      <c r="L4274" s="1"/>
      <c r="M4274" s="1"/>
      <c r="N4274" s="1"/>
      <c r="O4274" s="1"/>
      <c r="P4274" s="1"/>
      <c r="Q4274" s="1"/>
      <c r="R4274" s="1"/>
      <c r="S4274" s="1"/>
      <c r="T4274" s="1"/>
      <c r="U4274" s="1"/>
      <c r="V4274" s="1"/>
      <c r="W4274" s="1"/>
      <c r="X4274" s="1"/>
    </row>
    <row x14ac:dyDescent="0.25" r="4275" customHeight="1" ht="18.75">
      <c r="A4275" s="1"/>
      <c r="B4275" s="1"/>
      <c r="C4275" s="1"/>
      <c r="D4275" s="1"/>
      <c r="E4275" s="1"/>
      <c r="F4275" s="1"/>
      <c r="G4275" s="1"/>
      <c r="H4275" s="1"/>
      <c r="I4275" s="2"/>
      <c r="J4275" s="1"/>
      <c r="K4275" s="1"/>
      <c r="L4275" s="1"/>
      <c r="M4275" s="1"/>
      <c r="N4275" s="1"/>
      <c r="O4275" s="1"/>
      <c r="P4275" s="1"/>
      <c r="Q4275" s="1"/>
      <c r="R4275" s="1"/>
      <c r="S4275" s="1"/>
      <c r="T4275" s="1"/>
      <c r="U4275" s="1"/>
      <c r="V4275" s="1"/>
      <c r="W4275" s="1"/>
      <c r="X4275" s="1"/>
    </row>
    <row x14ac:dyDescent="0.25" r="4276" customHeight="1" ht="18.75">
      <c r="A4276" s="1"/>
      <c r="B4276" s="1"/>
      <c r="C4276" s="1"/>
      <c r="D4276" s="1"/>
      <c r="E4276" s="1"/>
      <c r="F4276" s="1"/>
      <c r="G4276" s="1"/>
      <c r="H4276" s="1"/>
      <c r="I4276" s="2"/>
      <c r="J4276" s="1"/>
      <c r="K4276" s="1"/>
      <c r="L4276" s="1"/>
      <c r="M4276" s="1"/>
      <c r="N4276" s="1"/>
      <c r="O4276" s="1"/>
      <c r="P4276" s="1"/>
      <c r="Q4276" s="1"/>
      <c r="R4276" s="1"/>
      <c r="S4276" s="1"/>
      <c r="T4276" s="1"/>
      <c r="U4276" s="1"/>
      <c r="V4276" s="1"/>
      <c r="W4276" s="1"/>
      <c r="X4276" s="1"/>
    </row>
    <row x14ac:dyDescent="0.25" r="4277" customHeight="1" ht="18.75">
      <c r="A4277" s="1"/>
      <c r="B4277" s="1"/>
      <c r="C4277" s="1"/>
      <c r="D4277" s="1"/>
      <c r="E4277" s="1"/>
      <c r="F4277" s="1"/>
      <c r="G4277" s="1"/>
      <c r="H4277" s="1"/>
      <c r="I4277" s="2"/>
      <c r="J4277" s="1"/>
      <c r="K4277" s="1"/>
      <c r="L4277" s="1"/>
      <c r="M4277" s="1"/>
      <c r="N4277" s="1"/>
      <c r="O4277" s="1"/>
      <c r="P4277" s="1"/>
      <c r="Q4277" s="1"/>
      <c r="R4277" s="1"/>
      <c r="S4277" s="1"/>
      <c r="T4277" s="1"/>
      <c r="U4277" s="1"/>
      <c r="V4277" s="1"/>
      <c r="W4277" s="1"/>
      <c r="X4277" s="1"/>
    </row>
    <row x14ac:dyDescent="0.25" r="4278" customHeight="1" ht="18.75">
      <c r="A4278" s="1"/>
      <c r="B4278" s="1"/>
      <c r="C4278" s="1"/>
      <c r="D4278" s="1"/>
      <c r="E4278" s="1"/>
      <c r="F4278" s="1"/>
      <c r="G4278" s="1"/>
      <c r="H4278" s="1"/>
      <c r="I4278" s="2"/>
      <c r="J4278" s="1"/>
      <c r="K4278" s="1"/>
      <c r="L4278" s="1"/>
      <c r="M4278" s="1"/>
      <c r="N4278" s="1"/>
      <c r="O4278" s="1"/>
      <c r="P4278" s="1"/>
      <c r="Q4278" s="1"/>
      <c r="R4278" s="1"/>
      <c r="S4278" s="1"/>
      <c r="T4278" s="1"/>
      <c r="U4278" s="1"/>
      <c r="V4278" s="1"/>
      <c r="W4278" s="1"/>
      <c r="X4278" s="1"/>
    </row>
    <row x14ac:dyDescent="0.25" r="4279" customHeight="1" ht="18.75">
      <c r="A4279" s="1"/>
      <c r="B4279" s="1"/>
      <c r="C4279" s="1"/>
      <c r="D4279" s="1"/>
      <c r="E4279" s="1"/>
      <c r="F4279" s="1"/>
      <c r="G4279" s="1"/>
      <c r="H4279" s="1"/>
      <c r="I4279" s="2"/>
      <c r="J4279" s="1"/>
      <c r="K4279" s="1"/>
      <c r="L4279" s="1"/>
      <c r="M4279" s="1"/>
      <c r="N4279" s="1"/>
      <c r="O4279" s="1"/>
      <c r="P4279" s="1"/>
      <c r="Q4279" s="1"/>
      <c r="R4279" s="1"/>
      <c r="S4279" s="1"/>
      <c r="T4279" s="1"/>
      <c r="U4279" s="1"/>
      <c r="V4279" s="1"/>
      <c r="W4279" s="1"/>
      <c r="X4279" s="1"/>
    </row>
    <row x14ac:dyDescent="0.25" r="4280" customHeight="1" ht="18.75">
      <c r="A4280" s="1"/>
      <c r="B4280" s="1"/>
      <c r="C4280" s="1"/>
      <c r="D4280" s="1"/>
      <c r="E4280" s="1"/>
      <c r="F4280" s="1"/>
      <c r="G4280" s="1"/>
      <c r="H4280" s="1"/>
      <c r="I4280" s="2"/>
      <c r="J4280" s="1"/>
      <c r="K4280" s="1"/>
      <c r="L4280" s="1"/>
      <c r="M4280" s="1"/>
      <c r="N4280" s="1"/>
      <c r="O4280" s="1"/>
      <c r="P4280" s="1"/>
      <c r="Q4280" s="1"/>
      <c r="R4280" s="1"/>
      <c r="S4280" s="1"/>
      <c r="T4280" s="1"/>
      <c r="U4280" s="1"/>
      <c r="V4280" s="1"/>
      <c r="W4280" s="1"/>
      <c r="X4280" s="1"/>
    </row>
    <row x14ac:dyDescent="0.25" r="4281" customHeight="1" ht="18.75">
      <c r="A4281" s="1"/>
      <c r="B4281" s="1"/>
      <c r="C4281" s="1"/>
      <c r="D4281" s="1"/>
      <c r="E4281" s="1"/>
      <c r="F4281" s="1"/>
      <c r="G4281" s="1"/>
      <c r="H4281" s="1"/>
      <c r="I4281" s="2"/>
      <c r="J4281" s="1"/>
      <c r="K4281" s="1"/>
      <c r="L4281" s="1"/>
      <c r="M4281" s="1"/>
      <c r="N4281" s="1"/>
      <c r="O4281" s="1"/>
      <c r="P4281" s="1"/>
      <c r="Q4281" s="1"/>
      <c r="R4281" s="1"/>
      <c r="S4281" s="1"/>
      <c r="T4281" s="1"/>
      <c r="U4281" s="1"/>
      <c r="V4281" s="1"/>
      <c r="W4281" s="1"/>
      <c r="X4281" s="1"/>
    </row>
    <row x14ac:dyDescent="0.25" r="4282" customHeight="1" ht="18.75">
      <c r="A4282" s="1"/>
      <c r="B4282" s="1"/>
      <c r="C4282" s="1"/>
      <c r="D4282" s="1"/>
      <c r="E4282" s="1"/>
      <c r="F4282" s="1"/>
      <c r="G4282" s="1"/>
      <c r="H4282" s="1"/>
      <c r="I4282" s="2"/>
      <c r="J4282" s="1"/>
      <c r="K4282" s="1"/>
      <c r="L4282" s="1"/>
      <c r="M4282" s="1"/>
      <c r="N4282" s="1"/>
      <c r="O4282" s="1"/>
      <c r="P4282" s="1"/>
      <c r="Q4282" s="1"/>
      <c r="R4282" s="1"/>
      <c r="S4282" s="1"/>
      <c r="T4282" s="1"/>
      <c r="U4282" s="1"/>
      <c r="V4282" s="1"/>
      <c r="W4282" s="1"/>
      <c r="X4282" s="1"/>
    </row>
    <row x14ac:dyDescent="0.25" r="4283" customHeight="1" ht="18.75">
      <c r="A4283" s="1"/>
      <c r="B4283" s="1"/>
      <c r="C4283" s="1"/>
      <c r="D4283" s="1"/>
      <c r="E4283" s="1"/>
      <c r="F4283" s="1"/>
      <c r="G4283" s="1"/>
      <c r="H4283" s="1"/>
      <c r="I4283" s="2"/>
      <c r="J4283" s="1"/>
      <c r="K4283" s="1"/>
      <c r="L4283" s="1"/>
      <c r="M4283" s="1"/>
      <c r="N4283" s="1"/>
      <c r="O4283" s="1"/>
      <c r="P4283" s="1"/>
      <c r="Q4283" s="1"/>
      <c r="R4283" s="1"/>
      <c r="S4283" s="1"/>
      <c r="T4283" s="1"/>
      <c r="U4283" s="1"/>
      <c r="V4283" s="1"/>
      <c r="W4283" s="1"/>
      <c r="X4283" s="1"/>
    </row>
    <row x14ac:dyDescent="0.25" r="4284" customHeight="1" ht="18.75">
      <c r="A4284" s="1"/>
      <c r="B4284" s="1"/>
      <c r="C4284" s="1"/>
      <c r="D4284" s="1"/>
      <c r="E4284" s="1"/>
      <c r="F4284" s="1"/>
      <c r="G4284" s="1"/>
      <c r="H4284" s="1"/>
      <c r="I4284" s="2"/>
      <c r="J4284" s="1"/>
      <c r="K4284" s="1"/>
      <c r="L4284" s="1"/>
      <c r="M4284" s="1"/>
      <c r="N4284" s="1"/>
      <c r="O4284" s="1"/>
      <c r="P4284" s="1"/>
      <c r="Q4284" s="1"/>
      <c r="R4284" s="1"/>
      <c r="S4284" s="1"/>
      <c r="T4284" s="1"/>
      <c r="U4284" s="1"/>
      <c r="V4284" s="1"/>
      <c r="W4284" s="1"/>
      <c r="X4284" s="1"/>
    </row>
    <row x14ac:dyDescent="0.25" r="4285" customHeight="1" ht="18.75">
      <c r="A4285" s="1"/>
      <c r="B4285" s="1"/>
      <c r="C4285" s="1"/>
      <c r="D4285" s="1"/>
      <c r="E4285" s="1"/>
      <c r="F4285" s="1"/>
      <c r="G4285" s="1"/>
      <c r="H4285" s="1"/>
      <c r="I4285" s="2"/>
      <c r="J4285" s="1"/>
      <c r="K4285" s="1"/>
      <c r="L4285" s="1"/>
      <c r="M4285" s="1"/>
      <c r="N4285" s="1"/>
      <c r="O4285" s="1"/>
      <c r="P4285" s="1"/>
      <c r="Q4285" s="1"/>
      <c r="R4285" s="1"/>
      <c r="S4285" s="1"/>
      <c r="T4285" s="1"/>
      <c r="U4285" s="1"/>
      <c r="V4285" s="1"/>
      <c r="W4285" s="1"/>
      <c r="X4285" s="1"/>
    </row>
    <row x14ac:dyDescent="0.25" r="4286" customHeight="1" ht="18.75">
      <c r="A4286" s="1"/>
      <c r="B4286" s="1"/>
      <c r="C4286" s="1"/>
      <c r="D4286" s="1"/>
      <c r="E4286" s="1"/>
      <c r="F4286" s="1"/>
      <c r="G4286" s="1"/>
      <c r="H4286" s="1"/>
      <c r="I4286" s="2"/>
      <c r="J4286" s="1"/>
      <c r="K4286" s="1"/>
      <c r="L4286" s="1"/>
      <c r="M4286" s="1"/>
      <c r="N4286" s="1"/>
      <c r="O4286" s="1"/>
      <c r="P4286" s="1"/>
      <c r="Q4286" s="1"/>
      <c r="R4286" s="1"/>
      <c r="S4286" s="1"/>
      <c r="T4286" s="1"/>
      <c r="U4286" s="1"/>
      <c r="V4286" s="1"/>
      <c r="W4286" s="1"/>
      <c r="X4286" s="1"/>
    </row>
    <row x14ac:dyDescent="0.25" r="4287" customHeight="1" ht="18.75">
      <c r="A4287" s="1"/>
      <c r="B4287" s="1"/>
      <c r="C4287" s="1"/>
      <c r="D4287" s="1"/>
      <c r="E4287" s="1"/>
      <c r="F4287" s="1"/>
      <c r="G4287" s="1"/>
      <c r="H4287" s="1"/>
      <c r="I4287" s="2"/>
      <c r="J4287" s="1"/>
      <c r="K4287" s="1"/>
      <c r="L4287" s="1"/>
      <c r="M4287" s="1"/>
      <c r="N4287" s="1"/>
      <c r="O4287" s="1"/>
      <c r="P4287" s="1"/>
      <c r="Q4287" s="1"/>
      <c r="R4287" s="1"/>
      <c r="S4287" s="1"/>
      <c r="T4287" s="1"/>
      <c r="U4287" s="1"/>
      <c r="V4287" s="1"/>
      <c r="W4287" s="1"/>
      <c r="X4287" s="1"/>
    </row>
    <row x14ac:dyDescent="0.25" r="4288" customHeight="1" ht="18.75">
      <c r="A4288" s="1"/>
      <c r="B4288" s="1"/>
      <c r="C4288" s="1"/>
      <c r="D4288" s="1"/>
      <c r="E4288" s="1"/>
      <c r="F4288" s="1"/>
      <c r="G4288" s="1"/>
      <c r="H4288" s="1"/>
      <c r="I4288" s="2"/>
      <c r="J4288" s="1"/>
      <c r="K4288" s="1"/>
      <c r="L4288" s="1"/>
      <c r="M4288" s="1"/>
      <c r="N4288" s="1"/>
      <c r="O4288" s="1"/>
      <c r="P4288" s="1"/>
      <c r="Q4288" s="1"/>
      <c r="R4288" s="1"/>
      <c r="S4288" s="1"/>
      <c r="T4288" s="1"/>
      <c r="U4288" s="1"/>
      <c r="V4288" s="1"/>
      <c r="W4288" s="1"/>
      <c r="X4288" s="1"/>
    </row>
    <row x14ac:dyDescent="0.25" r="4289" customHeight="1" ht="18.75">
      <c r="A4289" s="1"/>
      <c r="B4289" s="1"/>
      <c r="C4289" s="1"/>
      <c r="D4289" s="1"/>
      <c r="E4289" s="1"/>
      <c r="F4289" s="1"/>
      <c r="G4289" s="1"/>
      <c r="H4289" s="1"/>
      <c r="I4289" s="2"/>
      <c r="J4289" s="1"/>
      <c r="K4289" s="1"/>
      <c r="L4289" s="1"/>
      <c r="M4289" s="1"/>
      <c r="N4289" s="1"/>
      <c r="O4289" s="1"/>
      <c r="P4289" s="1"/>
      <c r="Q4289" s="1"/>
      <c r="R4289" s="1"/>
      <c r="S4289" s="1"/>
      <c r="T4289" s="1"/>
      <c r="U4289" s="1"/>
      <c r="V4289" s="1"/>
      <c r="W4289" s="1"/>
      <c r="X4289" s="1"/>
    </row>
    <row x14ac:dyDescent="0.25" r="4290" customHeight="1" ht="18.75">
      <c r="A4290" s="1"/>
      <c r="B4290" s="1"/>
      <c r="C4290" s="1"/>
      <c r="D4290" s="1"/>
      <c r="E4290" s="1"/>
      <c r="F4290" s="1"/>
      <c r="G4290" s="1"/>
      <c r="H4290" s="1"/>
      <c r="I4290" s="2"/>
      <c r="J4290" s="1"/>
      <c r="K4290" s="1"/>
      <c r="L4290" s="1"/>
      <c r="M4290" s="1"/>
      <c r="N4290" s="1"/>
      <c r="O4290" s="1"/>
      <c r="P4290" s="1"/>
      <c r="Q4290" s="1"/>
      <c r="R4290" s="1"/>
      <c r="S4290" s="1"/>
      <c r="T4290" s="1"/>
      <c r="U4290" s="1"/>
      <c r="V4290" s="1"/>
      <c r="W4290" s="1"/>
      <c r="X4290" s="1"/>
    </row>
    <row x14ac:dyDescent="0.25" r="4291" customHeight="1" ht="18.75">
      <c r="A4291" s="1"/>
      <c r="B4291" s="1"/>
      <c r="C4291" s="1"/>
      <c r="D4291" s="1"/>
      <c r="E4291" s="1"/>
      <c r="F4291" s="1"/>
      <c r="G4291" s="1"/>
      <c r="H4291" s="1"/>
      <c r="I4291" s="2"/>
      <c r="J4291" s="1"/>
      <c r="K4291" s="1"/>
      <c r="L4291" s="1"/>
      <c r="M4291" s="1"/>
      <c r="N4291" s="1"/>
      <c r="O4291" s="1"/>
      <c r="P4291" s="1"/>
      <c r="Q4291" s="1"/>
      <c r="R4291" s="1"/>
      <c r="S4291" s="1"/>
      <c r="T4291" s="1"/>
      <c r="U4291" s="1"/>
      <c r="V4291" s="1"/>
      <c r="W4291" s="1"/>
      <c r="X4291" s="1"/>
    </row>
    <row x14ac:dyDescent="0.25" r="4292" customHeight="1" ht="18.75">
      <c r="A4292" s="1"/>
      <c r="B4292" s="1"/>
      <c r="C4292" s="1"/>
      <c r="D4292" s="1"/>
      <c r="E4292" s="1"/>
      <c r="F4292" s="1"/>
      <c r="G4292" s="1"/>
      <c r="H4292" s="1"/>
      <c r="I4292" s="2"/>
      <c r="J4292" s="1"/>
      <c r="K4292" s="1"/>
      <c r="L4292" s="1"/>
      <c r="M4292" s="1"/>
      <c r="N4292" s="1"/>
      <c r="O4292" s="1"/>
      <c r="P4292" s="1"/>
      <c r="Q4292" s="1"/>
      <c r="R4292" s="1"/>
      <c r="S4292" s="1"/>
      <c r="T4292" s="1"/>
      <c r="U4292" s="1"/>
      <c r="V4292" s="1"/>
      <c r="W4292" s="1"/>
      <c r="X4292" s="1"/>
    </row>
    <row x14ac:dyDescent="0.25" r="4293" customHeight="1" ht="18.75">
      <c r="A4293" s="1"/>
      <c r="B4293" s="1"/>
      <c r="C4293" s="1"/>
      <c r="D4293" s="1"/>
      <c r="E4293" s="1"/>
      <c r="F4293" s="1"/>
      <c r="G4293" s="1"/>
      <c r="H4293" s="1"/>
      <c r="I4293" s="2"/>
      <c r="J4293" s="1"/>
      <c r="K4293" s="1"/>
      <c r="L4293" s="1"/>
      <c r="M4293" s="1"/>
      <c r="N4293" s="1"/>
      <c r="O4293" s="1"/>
      <c r="P4293" s="1"/>
      <c r="Q4293" s="1"/>
      <c r="R4293" s="1"/>
      <c r="S4293" s="1"/>
      <c r="T4293" s="1"/>
      <c r="U4293" s="1"/>
      <c r="V4293" s="1"/>
      <c r="W4293" s="1"/>
      <c r="X4293" s="1"/>
    </row>
    <row x14ac:dyDescent="0.25" r="4294" customHeight="1" ht="18.75">
      <c r="A4294" s="1"/>
      <c r="B4294" s="1"/>
      <c r="C4294" s="1"/>
      <c r="D4294" s="1"/>
      <c r="E4294" s="1"/>
      <c r="F4294" s="1"/>
      <c r="G4294" s="1"/>
      <c r="H4294" s="1"/>
      <c r="I4294" s="2"/>
      <c r="J4294" s="1"/>
      <c r="K4294" s="1"/>
      <c r="L4294" s="1"/>
      <c r="M4294" s="1"/>
      <c r="N4294" s="1"/>
      <c r="O4294" s="1"/>
      <c r="P4294" s="1"/>
      <c r="Q4294" s="1"/>
      <c r="R4294" s="1"/>
      <c r="S4294" s="1"/>
      <c r="T4294" s="1"/>
      <c r="U4294" s="1"/>
      <c r="V4294" s="1"/>
      <c r="W4294" s="1"/>
      <c r="X4294" s="1"/>
    </row>
    <row x14ac:dyDescent="0.25" r="4295" customHeight="1" ht="18.75">
      <c r="A4295" s="1"/>
      <c r="B4295" s="1"/>
      <c r="C4295" s="1"/>
      <c r="D4295" s="1"/>
      <c r="E4295" s="1"/>
      <c r="F4295" s="1"/>
      <c r="G4295" s="1"/>
      <c r="H4295" s="1"/>
      <c r="I4295" s="2"/>
      <c r="J4295" s="1"/>
      <c r="K4295" s="1"/>
      <c r="L4295" s="1"/>
      <c r="M4295" s="1"/>
      <c r="N4295" s="1"/>
      <c r="O4295" s="1"/>
      <c r="P4295" s="1"/>
      <c r="Q4295" s="1"/>
      <c r="R4295" s="1"/>
      <c r="S4295" s="1"/>
      <c r="T4295" s="1"/>
      <c r="U4295" s="1"/>
      <c r="V4295" s="1"/>
      <c r="W4295" s="1"/>
      <c r="X4295" s="1"/>
    </row>
    <row x14ac:dyDescent="0.25" r="4296" customHeight="1" ht="18.75">
      <c r="A4296" s="1"/>
      <c r="B4296" s="1"/>
      <c r="C4296" s="1"/>
      <c r="D4296" s="1"/>
      <c r="E4296" s="1"/>
      <c r="F4296" s="1"/>
      <c r="G4296" s="1"/>
      <c r="H4296" s="1"/>
      <c r="I4296" s="2"/>
      <c r="J4296" s="1"/>
      <c r="K4296" s="1"/>
      <c r="L4296" s="1"/>
      <c r="M4296" s="1"/>
      <c r="N4296" s="1"/>
      <c r="O4296" s="1"/>
      <c r="P4296" s="1"/>
      <c r="Q4296" s="1"/>
      <c r="R4296" s="1"/>
      <c r="S4296" s="1"/>
      <c r="T4296" s="1"/>
      <c r="U4296" s="1"/>
      <c r="V4296" s="1"/>
      <c r="W4296" s="1"/>
      <c r="X4296" s="1"/>
    </row>
    <row x14ac:dyDescent="0.25" r="4297" customHeight="1" ht="18.75">
      <c r="A4297" s="1"/>
      <c r="B4297" s="1"/>
      <c r="C4297" s="1"/>
      <c r="D4297" s="1"/>
      <c r="E4297" s="1"/>
      <c r="F4297" s="1"/>
      <c r="G4297" s="1"/>
      <c r="H4297" s="1"/>
      <c r="I4297" s="2"/>
      <c r="J4297" s="1"/>
      <c r="K4297" s="1"/>
      <c r="L4297" s="1"/>
      <c r="M4297" s="1"/>
      <c r="N4297" s="1"/>
      <c r="O4297" s="1"/>
      <c r="P4297" s="1"/>
      <c r="Q4297" s="1"/>
      <c r="R4297" s="1"/>
      <c r="S4297" s="1"/>
      <c r="T4297" s="1"/>
      <c r="U4297" s="1"/>
      <c r="V4297" s="1"/>
      <c r="W4297" s="1"/>
      <c r="X4297" s="1"/>
    </row>
    <row x14ac:dyDescent="0.25" r="4298" customHeight="1" ht="18.75">
      <c r="A4298" s="1"/>
      <c r="B4298" s="1"/>
      <c r="C4298" s="1"/>
      <c r="D4298" s="1"/>
      <c r="E4298" s="1"/>
      <c r="F4298" s="1"/>
      <c r="G4298" s="1"/>
      <c r="H4298" s="1"/>
      <c r="I4298" s="2"/>
      <c r="J4298" s="1"/>
      <c r="K4298" s="1"/>
      <c r="L4298" s="1"/>
      <c r="M4298" s="1"/>
      <c r="N4298" s="1"/>
      <c r="O4298" s="1"/>
      <c r="P4298" s="1"/>
      <c r="Q4298" s="1"/>
      <c r="R4298" s="1"/>
      <c r="S4298" s="1"/>
      <c r="T4298" s="1"/>
      <c r="U4298" s="1"/>
      <c r="V4298" s="1"/>
      <c r="W4298" s="1"/>
      <c r="X4298" s="1"/>
    </row>
    <row x14ac:dyDescent="0.25" r="4299" customHeight="1" ht="18.75">
      <c r="A4299" s="1"/>
      <c r="B4299" s="1"/>
      <c r="C4299" s="1"/>
      <c r="D4299" s="1"/>
      <c r="E4299" s="1"/>
      <c r="F4299" s="1"/>
      <c r="G4299" s="1"/>
      <c r="H4299" s="1"/>
      <c r="I4299" s="2"/>
      <c r="J4299" s="1"/>
      <c r="K4299" s="1"/>
      <c r="L4299" s="1"/>
      <c r="M4299" s="1"/>
      <c r="N4299" s="1"/>
      <c r="O4299" s="1"/>
      <c r="P4299" s="1"/>
      <c r="Q4299" s="1"/>
      <c r="R4299" s="1"/>
      <c r="S4299" s="1"/>
      <c r="T4299" s="1"/>
      <c r="U4299" s="1"/>
      <c r="V4299" s="1"/>
      <c r="W4299" s="1"/>
      <c r="X4299" s="1"/>
    </row>
    <row x14ac:dyDescent="0.25" r="4300" customHeight="1" ht="18.75">
      <c r="A4300" s="1"/>
      <c r="B4300" s="1"/>
      <c r="C4300" s="1"/>
      <c r="D4300" s="1"/>
      <c r="E4300" s="1"/>
      <c r="F4300" s="1"/>
      <c r="G4300" s="1"/>
      <c r="H4300" s="1"/>
      <c r="I4300" s="2"/>
      <c r="J4300" s="1"/>
      <c r="K4300" s="1"/>
      <c r="L4300" s="1"/>
      <c r="M4300" s="1"/>
      <c r="N4300" s="1"/>
      <c r="O4300" s="1"/>
      <c r="P4300" s="1"/>
      <c r="Q4300" s="1"/>
      <c r="R4300" s="1"/>
      <c r="S4300" s="1"/>
      <c r="T4300" s="1"/>
      <c r="U4300" s="1"/>
      <c r="V4300" s="1"/>
      <c r="W4300" s="1"/>
      <c r="X4300" s="1"/>
    </row>
    <row x14ac:dyDescent="0.25" r="4301" customHeight="1" ht="18.75">
      <c r="A4301" s="1"/>
      <c r="B4301" s="1"/>
      <c r="C4301" s="1"/>
      <c r="D4301" s="1"/>
      <c r="E4301" s="1"/>
      <c r="F4301" s="1"/>
      <c r="G4301" s="1"/>
      <c r="H4301" s="1"/>
      <c r="I4301" s="2"/>
      <c r="J4301" s="1"/>
      <c r="K4301" s="1"/>
      <c r="L4301" s="1"/>
      <c r="M4301" s="1"/>
      <c r="N4301" s="1"/>
      <c r="O4301" s="1"/>
      <c r="P4301" s="1"/>
      <c r="Q4301" s="1"/>
      <c r="R4301" s="1"/>
      <c r="S4301" s="1"/>
      <c r="T4301" s="1"/>
      <c r="U4301" s="1"/>
      <c r="V4301" s="1"/>
      <c r="W4301" s="1"/>
      <c r="X4301" s="1"/>
    </row>
    <row x14ac:dyDescent="0.25" r="4302" customHeight="1" ht="18.75">
      <c r="A4302" s="1"/>
      <c r="B4302" s="1"/>
      <c r="C4302" s="1"/>
      <c r="D4302" s="1"/>
      <c r="E4302" s="1"/>
      <c r="F4302" s="1"/>
      <c r="G4302" s="1"/>
      <c r="H4302" s="1"/>
      <c r="I4302" s="2"/>
      <c r="J4302" s="1"/>
      <c r="K4302" s="1"/>
      <c r="L4302" s="1"/>
      <c r="M4302" s="1"/>
      <c r="N4302" s="1"/>
      <c r="O4302" s="1"/>
      <c r="P4302" s="1"/>
      <c r="Q4302" s="1"/>
      <c r="R4302" s="1"/>
      <c r="S4302" s="1"/>
      <c r="T4302" s="1"/>
      <c r="U4302" s="1"/>
      <c r="V4302" s="1"/>
      <c r="W4302" s="1"/>
      <c r="X4302" s="1"/>
    </row>
    <row x14ac:dyDescent="0.25" r="4303" customHeight="1" ht="18.75">
      <c r="A4303" s="1"/>
      <c r="B4303" s="1"/>
      <c r="C4303" s="1"/>
      <c r="D4303" s="1"/>
      <c r="E4303" s="1"/>
      <c r="F4303" s="1"/>
      <c r="G4303" s="1"/>
      <c r="H4303" s="1"/>
      <c r="I4303" s="2"/>
      <c r="J4303" s="1"/>
      <c r="K4303" s="1"/>
      <c r="L4303" s="1"/>
      <c r="M4303" s="1"/>
      <c r="N4303" s="1"/>
      <c r="O4303" s="1"/>
      <c r="P4303" s="1"/>
      <c r="Q4303" s="1"/>
      <c r="R4303" s="1"/>
      <c r="S4303" s="1"/>
      <c r="T4303" s="1"/>
      <c r="U4303" s="1"/>
      <c r="V4303" s="1"/>
      <c r="W4303" s="1"/>
      <c r="X4303" s="1"/>
    </row>
    <row x14ac:dyDescent="0.25" r="4304" customHeight="1" ht="18.75">
      <c r="A4304" s="1"/>
      <c r="B4304" s="1"/>
      <c r="C4304" s="1"/>
      <c r="D4304" s="1"/>
      <c r="E4304" s="1"/>
      <c r="F4304" s="1"/>
      <c r="G4304" s="1"/>
      <c r="H4304" s="1"/>
      <c r="I4304" s="2"/>
      <c r="J4304" s="1"/>
      <c r="K4304" s="1"/>
      <c r="L4304" s="1"/>
      <c r="M4304" s="1"/>
      <c r="N4304" s="1"/>
      <c r="O4304" s="1"/>
      <c r="P4304" s="1"/>
      <c r="Q4304" s="1"/>
      <c r="R4304" s="1"/>
      <c r="S4304" s="1"/>
      <c r="T4304" s="1"/>
      <c r="U4304" s="1"/>
      <c r="V4304" s="1"/>
      <c r="W4304" s="1"/>
      <c r="X4304" s="1"/>
    </row>
    <row x14ac:dyDescent="0.25" r="4305" customHeight="1" ht="18.75">
      <c r="A4305" s="1"/>
      <c r="B4305" s="1"/>
      <c r="C4305" s="1"/>
      <c r="D4305" s="1"/>
      <c r="E4305" s="1"/>
      <c r="F4305" s="1"/>
      <c r="G4305" s="1"/>
      <c r="H4305" s="1"/>
      <c r="I4305" s="2"/>
      <c r="J4305" s="1"/>
      <c r="K4305" s="1"/>
      <c r="L4305" s="1"/>
      <c r="M4305" s="1"/>
      <c r="N4305" s="1"/>
      <c r="O4305" s="1"/>
      <c r="P4305" s="1"/>
      <c r="Q4305" s="1"/>
      <c r="R4305" s="1"/>
      <c r="S4305" s="1"/>
      <c r="T4305" s="1"/>
      <c r="U4305" s="1"/>
      <c r="V4305" s="1"/>
      <c r="W4305" s="1"/>
      <c r="X4305" s="1"/>
    </row>
    <row x14ac:dyDescent="0.25" r="4306" customHeight="1" ht="18.75">
      <c r="A4306" s="1"/>
      <c r="B4306" s="1"/>
      <c r="C4306" s="1"/>
      <c r="D4306" s="1"/>
      <c r="E4306" s="1"/>
      <c r="F4306" s="1"/>
      <c r="G4306" s="1"/>
      <c r="H4306" s="1"/>
      <c r="I4306" s="2"/>
      <c r="J4306" s="1"/>
      <c r="K4306" s="1"/>
      <c r="L4306" s="1"/>
      <c r="M4306" s="1"/>
      <c r="N4306" s="1"/>
      <c r="O4306" s="1"/>
      <c r="P4306" s="1"/>
      <c r="Q4306" s="1"/>
      <c r="R4306" s="1"/>
      <c r="S4306" s="1"/>
      <c r="T4306" s="1"/>
      <c r="U4306" s="1"/>
      <c r="V4306" s="1"/>
      <c r="W4306" s="1"/>
      <c r="X4306" s="1"/>
    </row>
    <row x14ac:dyDescent="0.25" r="4307" customHeight="1" ht="18.75">
      <c r="A4307" s="1"/>
      <c r="B4307" s="1"/>
      <c r="C4307" s="1"/>
      <c r="D4307" s="1"/>
      <c r="E4307" s="1"/>
      <c r="F4307" s="1"/>
      <c r="G4307" s="1"/>
      <c r="H4307" s="1"/>
      <c r="I4307" s="2"/>
      <c r="J4307" s="1"/>
      <c r="K4307" s="1"/>
      <c r="L4307" s="1"/>
      <c r="M4307" s="1"/>
      <c r="N4307" s="1"/>
      <c r="O4307" s="1"/>
      <c r="P4307" s="1"/>
      <c r="Q4307" s="1"/>
      <c r="R4307" s="1"/>
      <c r="S4307" s="1"/>
      <c r="T4307" s="1"/>
      <c r="U4307" s="1"/>
      <c r="V4307" s="1"/>
      <c r="W4307" s="1"/>
      <c r="X4307" s="1"/>
    </row>
    <row x14ac:dyDescent="0.25" r="4308" customHeight="1" ht="18.75">
      <c r="A4308" s="1"/>
      <c r="B4308" s="1"/>
      <c r="C4308" s="1"/>
      <c r="D4308" s="1"/>
      <c r="E4308" s="1"/>
      <c r="F4308" s="1"/>
      <c r="G4308" s="1"/>
      <c r="H4308" s="1"/>
      <c r="I4308" s="2"/>
      <c r="J4308" s="1"/>
      <c r="K4308" s="1"/>
      <c r="L4308" s="1"/>
      <c r="M4308" s="1"/>
      <c r="N4308" s="1"/>
      <c r="O4308" s="1"/>
      <c r="P4308" s="1"/>
      <c r="Q4308" s="1"/>
      <c r="R4308" s="1"/>
      <c r="S4308" s="1"/>
      <c r="T4308" s="1"/>
      <c r="U4308" s="1"/>
      <c r="V4308" s="1"/>
      <c r="W4308" s="1"/>
      <c r="X4308" s="1"/>
    </row>
    <row x14ac:dyDescent="0.25" r="4309" customHeight="1" ht="18.75">
      <c r="A4309" s="1"/>
      <c r="B4309" s="1"/>
      <c r="C4309" s="1"/>
      <c r="D4309" s="1"/>
      <c r="E4309" s="1"/>
      <c r="F4309" s="1"/>
      <c r="G4309" s="1"/>
      <c r="H4309" s="1"/>
      <c r="I4309" s="2"/>
      <c r="J4309" s="1"/>
      <c r="K4309" s="1"/>
      <c r="L4309" s="1"/>
      <c r="M4309" s="1"/>
      <c r="N4309" s="1"/>
      <c r="O4309" s="1"/>
      <c r="P4309" s="1"/>
      <c r="Q4309" s="1"/>
      <c r="R4309" s="1"/>
      <c r="S4309" s="1"/>
      <c r="T4309" s="1"/>
      <c r="U4309" s="1"/>
      <c r="V4309" s="1"/>
      <c r="W4309" s="1"/>
      <c r="X4309" s="1"/>
    </row>
    <row x14ac:dyDescent="0.25" r="4310" customHeight="1" ht="18.75">
      <c r="A4310" s="1"/>
      <c r="B4310" s="1"/>
      <c r="C4310" s="1"/>
      <c r="D4310" s="1"/>
      <c r="E4310" s="1"/>
      <c r="F4310" s="1"/>
      <c r="G4310" s="1"/>
      <c r="H4310" s="1"/>
      <c r="I4310" s="2"/>
      <c r="J4310" s="1"/>
      <c r="K4310" s="1"/>
      <c r="L4310" s="1"/>
      <c r="M4310" s="1"/>
      <c r="N4310" s="1"/>
      <c r="O4310" s="1"/>
      <c r="P4310" s="1"/>
      <c r="Q4310" s="1"/>
      <c r="R4310" s="1"/>
      <c r="S4310" s="1"/>
      <c r="T4310" s="1"/>
      <c r="U4310" s="1"/>
      <c r="V4310" s="1"/>
      <c r="W4310" s="1"/>
      <c r="X4310" s="1"/>
    </row>
    <row x14ac:dyDescent="0.25" r="4311" customHeight="1" ht="18.75">
      <c r="A4311" s="1"/>
      <c r="B4311" s="1"/>
      <c r="C4311" s="1"/>
      <c r="D4311" s="1"/>
      <c r="E4311" s="1"/>
      <c r="F4311" s="1"/>
      <c r="G4311" s="1"/>
      <c r="H4311" s="1"/>
      <c r="I4311" s="2"/>
      <c r="J4311" s="1"/>
      <c r="K4311" s="1"/>
      <c r="L4311" s="1"/>
      <c r="M4311" s="1"/>
      <c r="N4311" s="1"/>
      <c r="O4311" s="1"/>
      <c r="P4311" s="1"/>
      <c r="Q4311" s="1"/>
      <c r="R4311" s="1"/>
      <c r="S4311" s="1"/>
      <c r="T4311" s="1"/>
      <c r="U4311" s="1"/>
      <c r="V4311" s="1"/>
      <c r="W4311" s="1"/>
      <c r="X4311" s="1"/>
    </row>
    <row x14ac:dyDescent="0.25" r="4312" customHeight="1" ht="18.75">
      <c r="A4312" s="1"/>
      <c r="B4312" s="1"/>
      <c r="C4312" s="1"/>
      <c r="D4312" s="1"/>
      <c r="E4312" s="1"/>
      <c r="F4312" s="1"/>
      <c r="G4312" s="1"/>
      <c r="H4312" s="1"/>
      <c r="I4312" s="2"/>
      <c r="J4312" s="1"/>
      <c r="K4312" s="1"/>
      <c r="L4312" s="1"/>
      <c r="M4312" s="1"/>
      <c r="N4312" s="1"/>
      <c r="O4312" s="1"/>
      <c r="P4312" s="1"/>
      <c r="Q4312" s="1"/>
      <c r="R4312" s="1"/>
      <c r="S4312" s="1"/>
      <c r="T4312" s="1"/>
      <c r="U4312" s="1"/>
      <c r="V4312" s="1"/>
      <c r="W4312" s="1"/>
      <c r="X4312" s="1"/>
    </row>
    <row x14ac:dyDescent="0.25" r="4313" customHeight="1" ht="18.75">
      <c r="A4313" s="1"/>
      <c r="B4313" s="1"/>
      <c r="C4313" s="1"/>
      <c r="D4313" s="1"/>
      <c r="E4313" s="1"/>
      <c r="F4313" s="1"/>
      <c r="G4313" s="1"/>
      <c r="H4313" s="1"/>
      <c r="I4313" s="2"/>
      <c r="J4313" s="1"/>
      <c r="K4313" s="1"/>
      <c r="L4313" s="1"/>
      <c r="M4313" s="1"/>
      <c r="N4313" s="1"/>
      <c r="O4313" s="1"/>
      <c r="P4313" s="1"/>
      <c r="Q4313" s="1"/>
      <c r="R4313" s="1"/>
      <c r="S4313" s="1"/>
      <c r="T4313" s="1"/>
      <c r="U4313" s="1"/>
      <c r="V4313" s="1"/>
      <c r="W4313" s="1"/>
      <c r="X4313" s="1"/>
    </row>
    <row x14ac:dyDescent="0.25" r="4314" customHeight="1" ht="18.75">
      <c r="A4314" s="1"/>
      <c r="B4314" s="1"/>
      <c r="C4314" s="1"/>
      <c r="D4314" s="1"/>
      <c r="E4314" s="1"/>
      <c r="F4314" s="1"/>
      <c r="G4314" s="1"/>
      <c r="H4314" s="1"/>
      <c r="I4314" s="2"/>
      <c r="J4314" s="1"/>
      <c r="K4314" s="1"/>
      <c r="L4314" s="1"/>
      <c r="M4314" s="1"/>
      <c r="N4314" s="1"/>
      <c r="O4314" s="1"/>
      <c r="P4314" s="1"/>
      <c r="Q4314" s="1"/>
      <c r="R4314" s="1"/>
      <c r="S4314" s="1"/>
      <c r="T4314" s="1"/>
      <c r="U4314" s="1"/>
      <c r="V4314" s="1"/>
      <c r="W4314" s="1"/>
      <c r="X4314" s="1"/>
    </row>
    <row x14ac:dyDescent="0.25" r="4315" customHeight="1" ht="18.75">
      <c r="A4315" s="1"/>
      <c r="B4315" s="1"/>
      <c r="C4315" s="1"/>
      <c r="D4315" s="1"/>
      <c r="E4315" s="1"/>
      <c r="F4315" s="1"/>
      <c r="G4315" s="1"/>
      <c r="H4315" s="1"/>
      <c r="I4315" s="2"/>
      <c r="J4315" s="1"/>
      <c r="K4315" s="1"/>
      <c r="L4315" s="1"/>
      <c r="M4315" s="1"/>
      <c r="N4315" s="1"/>
      <c r="O4315" s="1"/>
      <c r="P4315" s="1"/>
      <c r="Q4315" s="1"/>
      <c r="R4315" s="1"/>
      <c r="S4315" s="1"/>
      <c r="T4315" s="1"/>
      <c r="U4315" s="1"/>
      <c r="V4315" s="1"/>
      <c r="W4315" s="1"/>
      <c r="X4315" s="1"/>
    </row>
    <row x14ac:dyDescent="0.25" r="4316" customHeight="1" ht="18.75">
      <c r="A4316" s="1"/>
      <c r="B4316" s="1"/>
      <c r="C4316" s="1"/>
      <c r="D4316" s="1"/>
      <c r="E4316" s="1"/>
      <c r="F4316" s="1"/>
      <c r="G4316" s="1"/>
      <c r="H4316" s="1"/>
      <c r="I4316" s="2"/>
      <c r="J4316" s="1"/>
      <c r="K4316" s="1"/>
      <c r="L4316" s="1"/>
      <c r="M4316" s="1"/>
      <c r="N4316" s="1"/>
      <c r="O4316" s="1"/>
      <c r="P4316" s="1"/>
      <c r="Q4316" s="1"/>
      <c r="R4316" s="1"/>
      <c r="S4316" s="1"/>
      <c r="T4316" s="1"/>
      <c r="U4316" s="1"/>
      <c r="V4316" s="1"/>
      <c r="W4316" s="1"/>
      <c r="X4316" s="1"/>
    </row>
    <row x14ac:dyDescent="0.25" r="4317" customHeight="1" ht="18.75">
      <c r="A4317" s="1"/>
      <c r="B4317" s="1"/>
      <c r="C4317" s="1"/>
      <c r="D4317" s="1"/>
      <c r="E4317" s="1"/>
      <c r="F4317" s="1"/>
      <c r="G4317" s="1"/>
      <c r="H4317" s="1"/>
      <c r="I4317" s="2"/>
      <c r="J4317" s="1"/>
      <c r="K4317" s="1"/>
      <c r="L4317" s="1"/>
      <c r="M4317" s="1"/>
      <c r="N4317" s="1"/>
      <c r="O4317" s="1"/>
      <c r="P4317" s="1"/>
      <c r="Q4317" s="1"/>
      <c r="R4317" s="1"/>
      <c r="S4317" s="1"/>
      <c r="T4317" s="1"/>
      <c r="U4317" s="1"/>
      <c r="V4317" s="1"/>
      <c r="W4317" s="1"/>
      <c r="X4317" s="1"/>
    </row>
    <row x14ac:dyDescent="0.25" r="4318" customHeight="1" ht="18.75">
      <c r="A4318" s="1"/>
      <c r="B4318" s="1"/>
      <c r="C4318" s="1"/>
      <c r="D4318" s="1"/>
      <c r="E4318" s="1"/>
      <c r="F4318" s="1"/>
      <c r="G4318" s="1"/>
      <c r="H4318" s="1"/>
      <c r="I4318" s="2"/>
      <c r="J4318" s="1"/>
      <c r="K4318" s="1"/>
      <c r="L4318" s="1"/>
      <c r="M4318" s="1"/>
      <c r="N4318" s="1"/>
      <c r="O4318" s="1"/>
      <c r="P4318" s="1"/>
      <c r="Q4318" s="1"/>
      <c r="R4318" s="1"/>
      <c r="S4318" s="1"/>
      <c r="T4318" s="1"/>
      <c r="U4318" s="1"/>
      <c r="V4318" s="1"/>
      <c r="W4318" s="1"/>
      <c r="X4318" s="1"/>
    </row>
    <row x14ac:dyDescent="0.25" r="4319" customHeight="1" ht="18.75">
      <c r="A4319" s="1"/>
      <c r="B4319" s="1"/>
      <c r="C4319" s="1"/>
      <c r="D4319" s="1"/>
      <c r="E4319" s="1"/>
      <c r="F4319" s="1"/>
      <c r="G4319" s="1"/>
      <c r="H4319" s="1"/>
      <c r="I4319" s="2"/>
      <c r="J4319" s="1"/>
      <c r="K4319" s="1"/>
      <c r="L4319" s="1"/>
      <c r="M4319" s="1"/>
      <c r="N4319" s="1"/>
      <c r="O4319" s="1"/>
      <c r="P4319" s="1"/>
      <c r="Q4319" s="1"/>
      <c r="R4319" s="1"/>
      <c r="S4319" s="1"/>
      <c r="T4319" s="1"/>
      <c r="U4319" s="1"/>
      <c r="V4319" s="1"/>
      <c r="W4319" s="1"/>
      <c r="X4319" s="1"/>
    </row>
    <row x14ac:dyDescent="0.25" r="4320" customHeight="1" ht="18.75">
      <c r="A4320" s="1"/>
      <c r="B4320" s="1"/>
      <c r="C4320" s="1"/>
      <c r="D4320" s="1"/>
      <c r="E4320" s="1"/>
      <c r="F4320" s="1"/>
      <c r="G4320" s="1"/>
      <c r="H4320" s="1"/>
      <c r="I4320" s="2"/>
      <c r="J4320" s="1"/>
      <c r="K4320" s="1"/>
      <c r="L4320" s="1"/>
      <c r="M4320" s="1"/>
      <c r="N4320" s="1"/>
      <c r="O4320" s="1"/>
      <c r="P4320" s="1"/>
      <c r="Q4320" s="1"/>
      <c r="R4320" s="1"/>
      <c r="S4320" s="1"/>
      <c r="T4320" s="1"/>
      <c r="U4320" s="1"/>
      <c r="V4320" s="1"/>
      <c r="W4320" s="1"/>
      <c r="X4320" s="1"/>
    </row>
    <row x14ac:dyDescent="0.25" r="4321" customHeight="1" ht="18.75">
      <c r="A4321" s="1"/>
      <c r="B4321" s="1"/>
      <c r="C4321" s="1"/>
      <c r="D4321" s="1"/>
      <c r="E4321" s="1"/>
      <c r="F4321" s="1"/>
      <c r="G4321" s="1"/>
      <c r="H4321" s="1"/>
      <c r="I4321" s="2"/>
      <c r="J4321" s="1"/>
      <c r="K4321" s="1"/>
      <c r="L4321" s="1"/>
      <c r="M4321" s="1"/>
      <c r="N4321" s="1"/>
      <c r="O4321" s="1"/>
      <c r="P4321" s="1"/>
      <c r="Q4321" s="1"/>
      <c r="R4321" s="1"/>
      <c r="S4321" s="1"/>
      <c r="T4321" s="1"/>
      <c r="U4321" s="1"/>
      <c r="V4321" s="1"/>
      <c r="W4321" s="1"/>
      <c r="X4321" s="1"/>
    </row>
    <row x14ac:dyDescent="0.25" r="4322" customHeight="1" ht="18.75">
      <c r="A4322" s="1"/>
      <c r="B4322" s="1"/>
      <c r="C4322" s="1"/>
      <c r="D4322" s="1"/>
      <c r="E4322" s="1"/>
      <c r="F4322" s="1"/>
      <c r="G4322" s="1"/>
      <c r="H4322" s="1"/>
      <c r="I4322" s="2"/>
      <c r="J4322" s="1"/>
      <c r="K4322" s="1"/>
      <c r="L4322" s="1"/>
      <c r="M4322" s="1"/>
      <c r="N4322" s="1"/>
      <c r="O4322" s="1"/>
      <c r="P4322" s="1"/>
      <c r="Q4322" s="1"/>
      <c r="R4322" s="1"/>
      <c r="S4322" s="1"/>
      <c r="T4322" s="1"/>
      <c r="U4322" s="1"/>
      <c r="V4322" s="1"/>
      <c r="W4322" s="1"/>
      <c r="X4322" s="1"/>
    </row>
    <row x14ac:dyDescent="0.25" r="4323" customHeight="1" ht="18.75">
      <c r="A4323" s="1"/>
      <c r="B4323" s="1"/>
      <c r="C4323" s="1"/>
      <c r="D4323" s="1"/>
      <c r="E4323" s="1"/>
      <c r="F4323" s="1"/>
      <c r="G4323" s="1"/>
      <c r="H4323" s="1"/>
      <c r="I4323" s="2"/>
      <c r="J4323" s="1"/>
      <c r="K4323" s="1"/>
      <c r="L4323" s="1"/>
      <c r="M4323" s="1"/>
      <c r="N4323" s="1"/>
      <c r="O4323" s="1"/>
      <c r="P4323" s="1"/>
      <c r="Q4323" s="1"/>
      <c r="R4323" s="1"/>
      <c r="S4323" s="1"/>
      <c r="T4323" s="1"/>
      <c r="U4323" s="1"/>
      <c r="V4323" s="1"/>
      <c r="W4323" s="1"/>
      <c r="X4323" s="1"/>
    </row>
    <row x14ac:dyDescent="0.25" r="4324" customHeight="1" ht="18.75">
      <c r="A4324" s="1"/>
      <c r="B4324" s="1"/>
      <c r="C4324" s="1"/>
      <c r="D4324" s="1"/>
      <c r="E4324" s="1"/>
      <c r="F4324" s="1"/>
      <c r="G4324" s="1"/>
      <c r="H4324" s="1"/>
      <c r="I4324" s="2"/>
      <c r="J4324" s="1"/>
      <c r="K4324" s="1"/>
      <c r="L4324" s="1"/>
      <c r="M4324" s="1"/>
      <c r="N4324" s="1"/>
      <c r="O4324" s="1"/>
      <c r="P4324" s="1"/>
      <c r="Q4324" s="1"/>
      <c r="R4324" s="1"/>
      <c r="S4324" s="1"/>
      <c r="T4324" s="1"/>
      <c r="U4324" s="1"/>
      <c r="V4324" s="1"/>
      <c r="W4324" s="1"/>
      <c r="X4324" s="1"/>
    </row>
    <row x14ac:dyDescent="0.25" r="4325" customHeight="1" ht="18.75">
      <c r="A4325" s="1"/>
      <c r="B4325" s="1"/>
      <c r="C4325" s="1"/>
      <c r="D4325" s="1"/>
      <c r="E4325" s="1"/>
      <c r="F4325" s="1"/>
      <c r="G4325" s="1"/>
      <c r="H4325" s="1"/>
      <c r="I4325" s="2"/>
      <c r="J4325" s="1"/>
      <c r="K4325" s="1"/>
      <c r="L4325" s="1"/>
      <c r="M4325" s="1"/>
      <c r="N4325" s="1"/>
      <c r="O4325" s="1"/>
      <c r="P4325" s="1"/>
      <c r="Q4325" s="1"/>
      <c r="R4325" s="1"/>
      <c r="S4325" s="1"/>
      <c r="T4325" s="1"/>
      <c r="U4325" s="1"/>
      <c r="V4325" s="1"/>
      <c r="W4325" s="1"/>
      <c r="X4325" s="1"/>
    </row>
    <row x14ac:dyDescent="0.25" r="4326" customHeight="1" ht="18.75">
      <c r="A4326" s="1"/>
      <c r="B4326" s="1"/>
      <c r="C4326" s="1"/>
      <c r="D4326" s="1"/>
      <c r="E4326" s="1"/>
      <c r="F4326" s="1"/>
      <c r="G4326" s="1"/>
      <c r="H4326" s="1"/>
      <c r="I4326" s="2"/>
      <c r="J4326" s="1"/>
      <c r="K4326" s="1"/>
      <c r="L4326" s="1"/>
      <c r="M4326" s="1"/>
      <c r="N4326" s="1"/>
      <c r="O4326" s="1"/>
      <c r="P4326" s="1"/>
      <c r="Q4326" s="1"/>
      <c r="R4326" s="1"/>
      <c r="S4326" s="1"/>
      <c r="T4326" s="1"/>
      <c r="U4326" s="1"/>
      <c r="V4326" s="1"/>
      <c r="W4326" s="1"/>
      <c r="X4326" s="1"/>
    </row>
    <row x14ac:dyDescent="0.25" r="4327" customHeight="1" ht="18.75">
      <c r="A4327" s="1"/>
      <c r="B4327" s="1"/>
      <c r="C4327" s="1"/>
      <c r="D4327" s="1"/>
      <c r="E4327" s="1"/>
      <c r="F4327" s="1"/>
      <c r="G4327" s="1"/>
      <c r="H4327" s="1"/>
      <c r="I4327" s="2"/>
      <c r="J4327" s="1"/>
      <c r="K4327" s="1"/>
      <c r="L4327" s="1"/>
      <c r="M4327" s="1"/>
      <c r="N4327" s="1"/>
      <c r="O4327" s="1"/>
      <c r="P4327" s="1"/>
      <c r="Q4327" s="1"/>
      <c r="R4327" s="1"/>
      <c r="S4327" s="1"/>
      <c r="T4327" s="1"/>
      <c r="U4327" s="1"/>
      <c r="V4327" s="1"/>
      <c r="W4327" s="1"/>
      <c r="X4327" s="1"/>
    </row>
    <row x14ac:dyDescent="0.25" r="4328" customHeight="1" ht="18.75">
      <c r="A4328" s="1"/>
      <c r="B4328" s="1"/>
      <c r="C4328" s="1"/>
      <c r="D4328" s="1"/>
      <c r="E4328" s="1"/>
      <c r="F4328" s="1"/>
      <c r="G4328" s="1"/>
      <c r="H4328" s="1"/>
      <c r="I4328" s="2"/>
      <c r="J4328" s="1"/>
      <c r="K4328" s="1"/>
      <c r="L4328" s="1"/>
      <c r="M4328" s="1"/>
      <c r="N4328" s="1"/>
      <c r="O4328" s="1"/>
      <c r="P4328" s="1"/>
      <c r="Q4328" s="1"/>
      <c r="R4328" s="1"/>
      <c r="S4328" s="1"/>
      <c r="T4328" s="1"/>
      <c r="U4328" s="1"/>
      <c r="V4328" s="1"/>
      <c r="W4328" s="1"/>
      <c r="X4328" s="1"/>
    </row>
    <row x14ac:dyDescent="0.25" r="4329" customHeight="1" ht="18.75">
      <c r="A4329" s="1"/>
      <c r="B4329" s="1"/>
      <c r="C4329" s="1"/>
      <c r="D4329" s="1"/>
      <c r="E4329" s="1"/>
      <c r="F4329" s="1"/>
      <c r="G4329" s="1"/>
      <c r="H4329" s="1"/>
      <c r="I4329" s="2"/>
      <c r="J4329" s="1"/>
      <c r="K4329" s="1"/>
      <c r="L4329" s="1"/>
      <c r="M4329" s="1"/>
      <c r="N4329" s="1"/>
      <c r="O4329" s="1"/>
      <c r="P4329" s="1"/>
      <c r="Q4329" s="1"/>
      <c r="R4329" s="1"/>
      <c r="S4329" s="1"/>
      <c r="T4329" s="1"/>
      <c r="U4329" s="1"/>
      <c r="V4329" s="1"/>
      <c r="W4329" s="1"/>
      <c r="X4329" s="1"/>
    </row>
    <row x14ac:dyDescent="0.25" r="4330" customHeight="1" ht="18.75">
      <c r="A4330" s="1"/>
      <c r="B4330" s="1"/>
      <c r="C4330" s="1"/>
      <c r="D4330" s="1"/>
      <c r="E4330" s="1"/>
      <c r="F4330" s="1"/>
      <c r="G4330" s="1"/>
      <c r="H4330" s="1"/>
      <c r="I4330" s="2"/>
      <c r="J4330" s="1"/>
      <c r="K4330" s="1"/>
      <c r="L4330" s="1"/>
      <c r="M4330" s="1"/>
      <c r="N4330" s="1"/>
      <c r="O4330" s="1"/>
      <c r="P4330" s="1"/>
      <c r="Q4330" s="1"/>
      <c r="R4330" s="1"/>
      <c r="S4330" s="1"/>
      <c r="T4330" s="1"/>
      <c r="U4330" s="1"/>
      <c r="V4330" s="1"/>
      <c r="W4330" s="1"/>
      <c r="X4330" s="1"/>
    </row>
    <row x14ac:dyDescent="0.25" r="4331" customHeight="1" ht="18.75">
      <c r="A4331" s="1"/>
      <c r="B4331" s="1"/>
      <c r="C4331" s="1"/>
      <c r="D4331" s="1"/>
      <c r="E4331" s="1"/>
      <c r="F4331" s="1"/>
      <c r="G4331" s="1"/>
      <c r="H4331" s="1"/>
      <c r="I4331" s="2"/>
      <c r="J4331" s="1"/>
      <c r="K4331" s="1"/>
      <c r="L4331" s="1"/>
      <c r="M4331" s="1"/>
      <c r="N4331" s="1"/>
      <c r="O4331" s="1"/>
      <c r="P4331" s="1"/>
      <c r="Q4331" s="1"/>
      <c r="R4331" s="1"/>
      <c r="S4331" s="1"/>
      <c r="T4331" s="1"/>
      <c r="U4331" s="1"/>
      <c r="V4331" s="1"/>
      <c r="W4331" s="1"/>
      <c r="X4331" s="1"/>
    </row>
    <row x14ac:dyDescent="0.25" r="4332" customHeight="1" ht="18.75">
      <c r="A4332" s="1"/>
      <c r="B4332" s="1"/>
      <c r="C4332" s="1"/>
      <c r="D4332" s="1"/>
      <c r="E4332" s="1"/>
      <c r="F4332" s="1"/>
      <c r="G4332" s="1"/>
      <c r="H4332" s="1"/>
      <c r="I4332" s="2"/>
      <c r="J4332" s="1"/>
      <c r="K4332" s="1"/>
      <c r="L4332" s="1"/>
      <c r="M4332" s="1"/>
      <c r="N4332" s="1"/>
      <c r="O4332" s="1"/>
      <c r="P4332" s="1"/>
      <c r="Q4332" s="1"/>
      <c r="R4332" s="1"/>
      <c r="S4332" s="1"/>
      <c r="T4332" s="1"/>
      <c r="U4332" s="1"/>
      <c r="V4332" s="1"/>
      <c r="W4332" s="1"/>
      <c r="X4332" s="1"/>
    </row>
    <row x14ac:dyDescent="0.25" r="4333" customHeight="1" ht="18.75">
      <c r="A4333" s="1"/>
      <c r="B4333" s="1"/>
      <c r="C4333" s="1"/>
      <c r="D4333" s="1"/>
      <c r="E4333" s="1"/>
      <c r="F4333" s="1"/>
      <c r="G4333" s="1"/>
      <c r="H4333" s="1"/>
      <c r="I4333" s="2"/>
      <c r="J4333" s="1"/>
      <c r="K4333" s="1"/>
      <c r="L4333" s="1"/>
      <c r="M4333" s="1"/>
      <c r="N4333" s="1"/>
      <c r="O4333" s="1"/>
      <c r="P4333" s="1"/>
      <c r="Q4333" s="1"/>
      <c r="R4333" s="1"/>
      <c r="S4333" s="1"/>
      <c r="T4333" s="1"/>
      <c r="U4333" s="1"/>
      <c r="V4333" s="1"/>
      <c r="W4333" s="1"/>
      <c r="X4333" s="1"/>
    </row>
    <row x14ac:dyDescent="0.25" r="4334" customHeight="1" ht="18.75">
      <c r="A4334" s="1"/>
      <c r="B4334" s="1"/>
      <c r="C4334" s="1"/>
      <c r="D4334" s="1"/>
      <c r="E4334" s="1"/>
      <c r="F4334" s="1"/>
      <c r="G4334" s="1"/>
      <c r="H4334" s="1"/>
      <c r="I4334" s="2"/>
      <c r="J4334" s="1"/>
      <c r="K4334" s="1"/>
      <c r="L4334" s="1"/>
      <c r="M4334" s="1"/>
      <c r="N4334" s="1"/>
      <c r="O4334" s="1"/>
      <c r="P4334" s="1"/>
      <c r="Q4334" s="1"/>
      <c r="R4334" s="1"/>
      <c r="S4334" s="1"/>
      <c r="T4334" s="1"/>
      <c r="U4334" s="1"/>
      <c r="V4334" s="1"/>
      <c r="W4334" s="1"/>
      <c r="X4334" s="1"/>
    </row>
    <row x14ac:dyDescent="0.25" r="4335" customHeight="1" ht="18.75">
      <c r="A4335" s="1"/>
      <c r="B4335" s="1"/>
      <c r="C4335" s="1"/>
      <c r="D4335" s="1"/>
      <c r="E4335" s="1"/>
      <c r="F4335" s="1"/>
      <c r="G4335" s="1"/>
      <c r="H4335" s="1"/>
      <c r="I4335" s="2"/>
      <c r="J4335" s="1"/>
      <c r="K4335" s="1"/>
      <c r="L4335" s="1"/>
      <c r="M4335" s="1"/>
      <c r="N4335" s="1"/>
      <c r="O4335" s="1"/>
      <c r="P4335" s="1"/>
      <c r="Q4335" s="1"/>
      <c r="R4335" s="1"/>
      <c r="S4335" s="1"/>
      <c r="T4335" s="1"/>
      <c r="U4335" s="1"/>
      <c r="V4335" s="1"/>
      <c r="W4335" s="1"/>
      <c r="X4335" s="1"/>
    </row>
    <row x14ac:dyDescent="0.25" r="4336" customHeight="1" ht="18.75">
      <c r="A4336" s="1"/>
      <c r="B4336" s="1"/>
      <c r="C4336" s="1"/>
      <c r="D4336" s="1"/>
      <c r="E4336" s="1"/>
      <c r="F4336" s="1"/>
      <c r="G4336" s="1"/>
      <c r="H4336" s="1"/>
      <c r="I4336" s="2"/>
      <c r="J4336" s="1"/>
      <c r="K4336" s="1"/>
      <c r="L4336" s="1"/>
      <c r="M4336" s="1"/>
      <c r="N4336" s="1"/>
      <c r="O4336" s="1"/>
      <c r="P4336" s="1"/>
      <c r="Q4336" s="1"/>
      <c r="R4336" s="1"/>
      <c r="S4336" s="1"/>
      <c r="T4336" s="1"/>
      <c r="U4336" s="1"/>
      <c r="V4336" s="1"/>
      <c r="W4336" s="1"/>
      <c r="X4336" s="1"/>
    </row>
    <row x14ac:dyDescent="0.25" r="4337" customHeight="1" ht="18.75">
      <c r="A4337" s="1"/>
      <c r="B4337" s="1"/>
      <c r="C4337" s="1"/>
      <c r="D4337" s="1"/>
      <c r="E4337" s="1"/>
      <c r="F4337" s="1"/>
      <c r="G4337" s="1"/>
      <c r="H4337" s="1"/>
      <c r="I4337" s="2"/>
      <c r="J4337" s="1"/>
      <c r="K4337" s="1"/>
      <c r="L4337" s="1"/>
      <c r="M4337" s="1"/>
      <c r="N4337" s="1"/>
      <c r="O4337" s="1"/>
      <c r="P4337" s="1"/>
      <c r="Q4337" s="1"/>
      <c r="R4337" s="1"/>
      <c r="S4337" s="1"/>
      <c r="T4337" s="1"/>
      <c r="U4337" s="1"/>
      <c r="V4337" s="1"/>
      <c r="W4337" s="1"/>
      <c r="X4337" s="1"/>
    </row>
    <row x14ac:dyDescent="0.25" r="4338" customHeight="1" ht="18.75">
      <c r="A4338" s="1"/>
      <c r="B4338" s="1"/>
      <c r="C4338" s="1"/>
      <c r="D4338" s="1"/>
      <c r="E4338" s="1"/>
      <c r="F4338" s="1"/>
      <c r="G4338" s="1"/>
      <c r="H4338" s="1"/>
      <c r="I4338" s="2"/>
      <c r="J4338" s="1"/>
      <c r="K4338" s="1"/>
      <c r="L4338" s="1"/>
      <c r="M4338" s="1"/>
      <c r="N4338" s="1"/>
      <c r="O4338" s="1"/>
      <c r="P4338" s="1"/>
      <c r="Q4338" s="1"/>
      <c r="R4338" s="1"/>
      <c r="S4338" s="1"/>
      <c r="T4338" s="1"/>
      <c r="U4338" s="1"/>
      <c r="V4338" s="1"/>
      <c r="W4338" s="1"/>
      <c r="X4338" s="1"/>
    </row>
    <row x14ac:dyDescent="0.25" r="4339" customHeight="1" ht="18.75">
      <c r="A4339" s="1"/>
      <c r="B4339" s="1"/>
      <c r="C4339" s="1"/>
      <c r="D4339" s="1"/>
      <c r="E4339" s="1"/>
      <c r="F4339" s="1"/>
      <c r="G4339" s="1"/>
      <c r="H4339" s="1"/>
      <c r="I4339" s="2"/>
      <c r="J4339" s="1"/>
      <c r="K4339" s="1"/>
      <c r="L4339" s="1"/>
      <c r="M4339" s="1"/>
      <c r="N4339" s="1"/>
      <c r="O4339" s="1"/>
      <c r="P4339" s="1"/>
      <c r="Q4339" s="1"/>
      <c r="R4339" s="1"/>
      <c r="S4339" s="1"/>
      <c r="T4339" s="1"/>
      <c r="U4339" s="1"/>
      <c r="V4339" s="1"/>
      <c r="W4339" s="1"/>
      <c r="X4339" s="1"/>
    </row>
    <row x14ac:dyDescent="0.25" r="4340" customHeight="1" ht="18.75">
      <c r="A4340" s="1"/>
      <c r="B4340" s="1"/>
      <c r="C4340" s="1"/>
      <c r="D4340" s="1"/>
      <c r="E4340" s="1"/>
      <c r="F4340" s="1"/>
      <c r="G4340" s="1"/>
      <c r="H4340" s="1"/>
      <c r="I4340" s="2"/>
      <c r="J4340" s="1"/>
      <c r="K4340" s="1"/>
      <c r="L4340" s="1"/>
      <c r="M4340" s="1"/>
      <c r="N4340" s="1"/>
      <c r="O4340" s="1"/>
      <c r="P4340" s="1"/>
      <c r="Q4340" s="1"/>
      <c r="R4340" s="1"/>
      <c r="S4340" s="1"/>
      <c r="T4340" s="1"/>
      <c r="U4340" s="1"/>
      <c r="V4340" s="1"/>
      <c r="W4340" s="1"/>
      <c r="X4340" s="1"/>
    </row>
    <row x14ac:dyDescent="0.25" r="4341" customHeight="1" ht="18.75">
      <c r="A4341" s="1"/>
      <c r="B4341" s="1"/>
      <c r="C4341" s="1"/>
      <c r="D4341" s="1"/>
      <c r="E4341" s="1"/>
      <c r="F4341" s="1"/>
      <c r="G4341" s="1"/>
      <c r="H4341" s="1"/>
      <c r="I4341" s="2"/>
      <c r="J4341" s="1"/>
      <c r="K4341" s="1"/>
      <c r="L4341" s="1"/>
      <c r="M4341" s="1"/>
      <c r="N4341" s="1"/>
      <c r="O4341" s="1"/>
      <c r="P4341" s="1"/>
      <c r="Q4341" s="1"/>
      <c r="R4341" s="1"/>
      <c r="S4341" s="1"/>
      <c r="T4341" s="1"/>
      <c r="U4341" s="1"/>
      <c r="V4341" s="1"/>
      <c r="W4341" s="1"/>
      <c r="X4341" s="1"/>
    </row>
    <row x14ac:dyDescent="0.25" r="4342" customHeight="1" ht="18.75">
      <c r="A4342" s="1"/>
      <c r="B4342" s="1"/>
      <c r="C4342" s="1"/>
      <c r="D4342" s="1"/>
      <c r="E4342" s="1"/>
      <c r="F4342" s="1"/>
      <c r="G4342" s="1"/>
      <c r="H4342" s="1"/>
      <c r="I4342" s="2"/>
      <c r="J4342" s="1"/>
      <c r="K4342" s="1"/>
      <c r="L4342" s="1"/>
      <c r="M4342" s="1"/>
      <c r="N4342" s="1"/>
      <c r="O4342" s="1"/>
      <c r="P4342" s="1"/>
      <c r="Q4342" s="1"/>
      <c r="R4342" s="1"/>
      <c r="S4342" s="1"/>
      <c r="T4342" s="1"/>
      <c r="U4342" s="1"/>
      <c r="V4342" s="1"/>
      <c r="W4342" s="1"/>
      <c r="X4342" s="1"/>
    </row>
    <row x14ac:dyDescent="0.25" r="4343" customHeight="1" ht="18.75">
      <c r="A4343" s="1"/>
      <c r="B4343" s="1"/>
      <c r="C4343" s="1"/>
      <c r="D4343" s="1"/>
      <c r="E4343" s="1"/>
      <c r="F4343" s="1"/>
      <c r="G4343" s="1"/>
      <c r="H4343" s="1"/>
      <c r="I4343" s="2"/>
      <c r="J4343" s="1"/>
      <c r="K4343" s="1"/>
      <c r="L4343" s="1"/>
      <c r="M4343" s="1"/>
      <c r="N4343" s="1"/>
      <c r="O4343" s="1"/>
      <c r="P4343" s="1"/>
      <c r="Q4343" s="1"/>
      <c r="R4343" s="1"/>
      <c r="S4343" s="1"/>
      <c r="T4343" s="1"/>
      <c r="U4343" s="1"/>
      <c r="V4343" s="1"/>
      <c r="W4343" s="1"/>
      <c r="X4343" s="1"/>
    </row>
    <row x14ac:dyDescent="0.25" r="4344" customHeight="1" ht="18.75">
      <c r="A4344" s="1"/>
      <c r="B4344" s="1"/>
      <c r="C4344" s="1"/>
      <c r="D4344" s="1"/>
      <c r="E4344" s="1"/>
      <c r="F4344" s="1"/>
      <c r="G4344" s="1"/>
      <c r="H4344" s="1"/>
      <c r="I4344" s="2"/>
      <c r="J4344" s="1"/>
      <c r="K4344" s="1"/>
      <c r="L4344" s="1"/>
      <c r="M4344" s="1"/>
      <c r="N4344" s="1"/>
      <c r="O4344" s="1"/>
      <c r="P4344" s="1"/>
      <c r="Q4344" s="1"/>
      <c r="R4344" s="1"/>
      <c r="S4344" s="1"/>
      <c r="T4344" s="1"/>
      <c r="U4344" s="1"/>
      <c r="V4344" s="1"/>
      <c r="W4344" s="1"/>
      <c r="X4344" s="1"/>
    </row>
    <row x14ac:dyDescent="0.25" r="4345" customHeight="1" ht="18.75">
      <c r="A4345" s="1"/>
      <c r="B4345" s="1"/>
      <c r="C4345" s="1"/>
      <c r="D4345" s="1"/>
      <c r="E4345" s="1"/>
      <c r="F4345" s="1"/>
      <c r="G4345" s="1"/>
      <c r="H4345" s="1"/>
      <c r="I4345" s="2"/>
      <c r="J4345" s="1"/>
      <c r="K4345" s="1"/>
      <c r="L4345" s="1"/>
      <c r="M4345" s="1"/>
      <c r="N4345" s="1"/>
      <c r="O4345" s="1"/>
      <c r="P4345" s="1"/>
      <c r="Q4345" s="1"/>
      <c r="R4345" s="1"/>
      <c r="S4345" s="1"/>
      <c r="T4345" s="1"/>
      <c r="U4345" s="1"/>
      <c r="V4345" s="1"/>
      <c r="W4345" s="1"/>
      <c r="X4345" s="1"/>
    </row>
    <row x14ac:dyDescent="0.25" r="4346" customHeight="1" ht="18.75">
      <c r="A4346" s="1"/>
      <c r="B4346" s="1"/>
      <c r="C4346" s="1"/>
      <c r="D4346" s="1"/>
      <c r="E4346" s="1"/>
      <c r="F4346" s="1"/>
      <c r="G4346" s="1"/>
      <c r="H4346" s="1"/>
      <c r="I4346" s="2"/>
      <c r="J4346" s="1"/>
      <c r="K4346" s="1"/>
      <c r="L4346" s="1"/>
      <c r="M4346" s="1"/>
      <c r="N4346" s="1"/>
      <c r="O4346" s="1"/>
      <c r="P4346" s="1"/>
      <c r="Q4346" s="1"/>
      <c r="R4346" s="1"/>
      <c r="S4346" s="1"/>
      <c r="T4346" s="1"/>
      <c r="U4346" s="1"/>
      <c r="V4346" s="1"/>
      <c r="W4346" s="1"/>
      <c r="X4346" s="1"/>
    </row>
    <row x14ac:dyDescent="0.25" r="4347" customHeight="1" ht="18.75">
      <c r="A4347" s="1"/>
      <c r="B4347" s="1"/>
      <c r="C4347" s="1"/>
      <c r="D4347" s="1"/>
      <c r="E4347" s="1"/>
      <c r="F4347" s="1"/>
      <c r="G4347" s="1"/>
      <c r="H4347" s="1"/>
      <c r="I4347" s="2"/>
      <c r="J4347" s="1"/>
      <c r="K4347" s="1"/>
      <c r="L4347" s="1"/>
      <c r="M4347" s="1"/>
      <c r="N4347" s="1"/>
      <c r="O4347" s="1"/>
      <c r="P4347" s="1"/>
      <c r="Q4347" s="1"/>
      <c r="R4347" s="1"/>
      <c r="S4347" s="1"/>
      <c r="T4347" s="1"/>
      <c r="U4347" s="1"/>
      <c r="V4347" s="1"/>
      <c r="W4347" s="1"/>
      <c r="X4347" s="1"/>
    </row>
    <row x14ac:dyDescent="0.25" r="4348" customHeight="1" ht="18.75">
      <c r="A4348" s="1"/>
      <c r="B4348" s="1"/>
      <c r="C4348" s="1"/>
      <c r="D4348" s="1"/>
      <c r="E4348" s="1"/>
      <c r="F4348" s="1"/>
      <c r="G4348" s="1"/>
      <c r="H4348" s="1"/>
      <c r="I4348" s="2"/>
      <c r="J4348" s="1"/>
      <c r="K4348" s="1"/>
      <c r="L4348" s="1"/>
      <c r="M4348" s="1"/>
      <c r="N4348" s="1"/>
      <c r="O4348" s="1"/>
      <c r="P4348" s="1"/>
      <c r="Q4348" s="1"/>
      <c r="R4348" s="1"/>
      <c r="S4348" s="1"/>
      <c r="T4348" s="1"/>
      <c r="U4348" s="1"/>
      <c r="V4348" s="1"/>
      <c r="W4348" s="1"/>
      <c r="X4348" s="1"/>
    </row>
    <row x14ac:dyDescent="0.25" r="4349" customHeight="1" ht="18.75">
      <c r="A4349" s="1"/>
      <c r="B4349" s="1"/>
      <c r="C4349" s="1"/>
      <c r="D4349" s="1"/>
      <c r="E4349" s="1"/>
      <c r="F4349" s="1"/>
      <c r="G4349" s="1"/>
      <c r="H4349" s="1"/>
      <c r="I4349" s="2"/>
      <c r="J4349" s="1"/>
      <c r="K4349" s="1"/>
      <c r="L4349" s="1"/>
      <c r="M4349" s="1"/>
      <c r="N4349" s="1"/>
      <c r="O4349" s="1"/>
      <c r="P4349" s="1"/>
      <c r="Q4349" s="1"/>
      <c r="R4349" s="1"/>
      <c r="S4349" s="1"/>
      <c r="T4349" s="1"/>
      <c r="U4349" s="1"/>
      <c r="V4349" s="1"/>
      <c r="W4349" s="1"/>
      <c r="X4349" s="1"/>
    </row>
    <row x14ac:dyDescent="0.25" r="4350" customHeight="1" ht="18.75">
      <c r="A4350" s="1"/>
      <c r="B4350" s="1"/>
      <c r="C4350" s="1"/>
      <c r="D4350" s="1"/>
      <c r="E4350" s="1"/>
      <c r="F4350" s="1"/>
      <c r="G4350" s="1"/>
      <c r="H4350" s="1"/>
      <c r="I4350" s="2"/>
      <c r="J4350" s="1"/>
      <c r="K4350" s="1"/>
      <c r="L4350" s="1"/>
      <c r="M4350" s="1"/>
      <c r="N4350" s="1"/>
      <c r="O4350" s="1"/>
      <c r="P4350" s="1"/>
      <c r="Q4350" s="1"/>
      <c r="R4350" s="1"/>
      <c r="S4350" s="1"/>
      <c r="T4350" s="1"/>
      <c r="U4350" s="1"/>
      <c r="V4350" s="1"/>
      <c r="W4350" s="1"/>
      <c r="X4350" s="1"/>
    </row>
    <row x14ac:dyDescent="0.25" r="4351" customHeight="1" ht="18.75">
      <c r="A4351" s="1"/>
      <c r="B4351" s="1"/>
      <c r="C4351" s="1"/>
      <c r="D4351" s="1"/>
      <c r="E4351" s="1"/>
      <c r="F4351" s="1"/>
      <c r="G4351" s="1"/>
      <c r="H4351" s="1"/>
      <c r="I4351" s="2"/>
      <c r="J4351" s="1"/>
      <c r="K4351" s="1"/>
      <c r="L4351" s="1"/>
      <c r="M4351" s="1"/>
      <c r="N4351" s="1"/>
      <c r="O4351" s="1"/>
      <c r="P4351" s="1"/>
      <c r="Q4351" s="1"/>
      <c r="R4351" s="1"/>
      <c r="S4351" s="1"/>
      <c r="T4351" s="1"/>
      <c r="U4351" s="1"/>
      <c r="V4351" s="1"/>
      <c r="W4351" s="1"/>
      <c r="X4351" s="1"/>
    </row>
    <row x14ac:dyDescent="0.25" r="4352" customHeight="1" ht="18.75">
      <c r="A4352" s="1"/>
      <c r="B4352" s="1"/>
      <c r="C4352" s="1"/>
      <c r="D4352" s="1"/>
      <c r="E4352" s="1"/>
      <c r="F4352" s="1"/>
      <c r="G4352" s="1"/>
      <c r="H4352" s="1"/>
      <c r="I4352" s="2"/>
      <c r="J4352" s="1"/>
      <c r="K4352" s="1"/>
      <c r="L4352" s="1"/>
      <c r="M4352" s="1"/>
      <c r="N4352" s="1"/>
      <c r="O4352" s="1"/>
      <c r="P4352" s="1"/>
      <c r="Q4352" s="1"/>
      <c r="R4352" s="1"/>
      <c r="S4352" s="1"/>
      <c r="T4352" s="1"/>
      <c r="U4352" s="1"/>
      <c r="V4352" s="1"/>
      <c r="W4352" s="1"/>
      <c r="X4352" s="1"/>
    </row>
    <row x14ac:dyDescent="0.25" r="4353" customHeight="1" ht="18.75">
      <c r="A4353" s="1"/>
      <c r="B4353" s="1"/>
      <c r="C4353" s="1"/>
      <c r="D4353" s="1"/>
      <c r="E4353" s="1"/>
      <c r="F4353" s="1"/>
      <c r="G4353" s="1"/>
      <c r="H4353" s="1"/>
      <c r="I4353" s="2"/>
      <c r="J4353" s="1"/>
      <c r="K4353" s="1"/>
      <c r="L4353" s="1"/>
      <c r="M4353" s="1"/>
      <c r="N4353" s="1"/>
      <c r="O4353" s="1"/>
      <c r="P4353" s="1"/>
      <c r="Q4353" s="1"/>
      <c r="R4353" s="1"/>
      <c r="S4353" s="1"/>
      <c r="T4353" s="1"/>
      <c r="U4353" s="1"/>
      <c r="V4353" s="1"/>
      <c r="W4353" s="1"/>
      <c r="X4353" s="1"/>
    </row>
    <row x14ac:dyDescent="0.25" r="4354" customHeight="1" ht="18.75">
      <c r="A4354" s="1"/>
      <c r="B4354" s="1"/>
      <c r="C4354" s="1"/>
      <c r="D4354" s="1"/>
      <c r="E4354" s="1"/>
      <c r="F4354" s="1"/>
      <c r="G4354" s="1"/>
      <c r="H4354" s="1"/>
      <c r="I4354" s="2"/>
      <c r="J4354" s="1"/>
      <c r="K4354" s="1"/>
      <c r="L4354" s="1"/>
      <c r="M4354" s="1"/>
      <c r="N4354" s="1"/>
      <c r="O4354" s="1"/>
      <c r="P4354" s="1"/>
      <c r="Q4354" s="1"/>
      <c r="R4354" s="1"/>
      <c r="S4354" s="1"/>
      <c r="T4354" s="1"/>
      <c r="U4354" s="1"/>
      <c r="V4354" s="1"/>
      <c r="W4354" s="1"/>
      <c r="X4354" s="1"/>
    </row>
    <row x14ac:dyDescent="0.25" r="4355" customHeight="1" ht="18.75">
      <c r="A4355" s="1"/>
      <c r="B4355" s="1"/>
      <c r="C4355" s="1"/>
      <c r="D4355" s="1"/>
      <c r="E4355" s="1"/>
      <c r="F4355" s="1"/>
      <c r="G4355" s="1"/>
      <c r="H4355" s="1"/>
      <c r="I4355" s="2"/>
      <c r="J4355" s="1"/>
      <c r="K4355" s="1"/>
      <c r="L4355" s="1"/>
      <c r="M4355" s="1"/>
      <c r="N4355" s="1"/>
      <c r="O4355" s="1"/>
      <c r="P4355" s="1"/>
      <c r="Q4355" s="1"/>
      <c r="R4355" s="1"/>
      <c r="S4355" s="1"/>
      <c r="T4355" s="1"/>
      <c r="U4355" s="1"/>
      <c r="V4355" s="1"/>
      <c r="W4355" s="1"/>
      <c r="X4355" s="1"/>
    </row>
    <row x14ac:dyDescent="0.25" r="4356" customHeight="1" ht="18.75">
      <c r="A4356" s="1"/>
      <c r="B4356" s="1"/>
      <c r="C4356" s="1"/>
      <c r="D4356" s="1"/>
      <c r="E4356" s="1"/>
      <c r="F4356" s="1"/>
      <c r="G4356" s="1"/>
      <c r="H4356" s="1"/>
      <c r="I4356" s="2"/>
      <c r="J4356" s="1"/>
      <c r="K4356" s="1"/>
      <c r="L4356" s="1"/>
      <c r="M4356" s="1"/>
      <c r="N4356" s="1"/>
      <c r="O4356" s="1"/>
      <c r="P4356" s="1"/>
      <c r="Q4356" s="1"/>
      <c r="R4356" s="1"/>
      <c r="S4356" s="1"/>
      <c r="T4356" s="1"/>
      <c r="U4356" s="1"/>
      <c r="V4356" s="1"/>
      <c r="W4356" s="1"/>
      <c r="X4356" s="1"/>
    </row>
    <row x14ac:dyDescent="0.25" r="4357" customHeight="1" ht="18.75">
      <c r="A4357" s="1"/>
      <c r="B4357" s="1"/>
      <c r="C4357" s="1"/>
      <c r="D4357" s="1"/>
      <c r="E4357" s="1"/>
      <c r="F4357" s="1"/>
      <c r="G4357" s="1"/>
      <c r="H4357" s="1"/>
      <c r="I4357" s="2"/>
      <c r="J4357" s="1"/>
      <c r="K4357" s="1"/>
      <c r="L4357" s="1"/>
      <c r="M4357" s="1"/>
      <c r="N4357" s="1"/>
      <c r="O4357" s="1"/>
      <c r="P4357" s="1"/>
      <c r="Q4357" s="1"/>
      <c r="R4357" s="1"/>
      <c r="S4357" s="1"/>
      <c r="T4357" s="1"/>
      <c r="U4357" s="1"/>
      <c r="V4357" s="1"/>
      <c r="W4357" s="1"/>
      <c r="X4357" s="1"/>
    </row>
    <row x14ac:dyDescent="0.25" r="4358" customHeight="1" ht="18.75">
      <c r="A4358" s="1"/>
      <c r="B4358" s="1"/>
      <c r="C4358" s="1"/>
      <c r="D4358" s="1"/>
      <c r="E4358" s="1"/>
      <c r="F4358" s="1"/>
      <c r="G4358" s="1"/>
      <c r="H4358" s="1"/>
      <c r="I4358" s="2"/>
      <c r="J4358" s="1"/>
      <c r="K4358" s="1"/>
      <c r="L4358" s="1"/>
      <c r="M4358" s="1"/>
      <c r="N4358" s="1"/>
      <c r="O4358" s="1"/>
      <c r="P4358" s="1"/>
      <c r="Q4358" s="1"/>
      <c r="R4358" s="1"/>
      <c r="S4358" s="1"/>
      <c r="T4358" s="1"/>
      <c r="U4358" s="1"/>
      <c r="V4358" s="1"/>
      <c r="W4358" s="1"/>
      <c r="X4358" s="1"/>
    </row>
    <row x14ac:dyDescent="0.25" r="4359" customHeight="1" ht="18.75">
      <c r="A4359" s="1"/>
      <c r="B4359" s="1"/>
      <c r="C4359" s="1"/>
      <c r="D4359" s="1"/>
      <c r="E4359" s="1"/>
      <c r="F4359" s="1"/>
      <c r="G4359" s="1"/>
      <c r="H4359" s="1"/>
      <c r="I4359" s="2"/>
      <c r="J4359" s="1"/>
      <c r="K4359" s="1"/>
      <c r="L4359" s="1"/>
      <c r="M4359" s="1"/>
      <c r="N4359" s="1"/>
      <c r="O4359" s="1"/>
      <c r="P4359" s="1"/>
      <c r="Q4359" s="1"/>
      <c r="R4359" s="1"/>
      <c r="S4359" s="1"/>
      <c r="T4359" s="1"/>
      <c r="U4359" s="1"/>
      <c r="V4359" s="1"/>
      <c r="W4359" s="1"/>
      <c r="X4359" s="1"/>
    </row>
    <row x14ac:dyDescent="0.25" r="4360" customHeight="1" ht="18.75">
      <c r="A4360" s="1"/>
      <c r="B4360" s="1"/>
      <c r="C4360" s="1"/>
      <c r="D4360" s="1"/>
      <c r="E4360" s="1"/>
      <c r="F4360" s="1"/>
      <c r="G4360" s="1"/>
      <c r="H4360" s="1"/>
      <c r="I4360" s="2"/>
      <c r="J4360" s="1"/>
      <c r="K4360" s="1"/>
      <c r="L4360" s="1"/>
      <c r="M4360" s="1"/>
      <c r="N4360" s="1"/>
      <c r="O4360" s="1"/>
      <c r="P4360" s="1"/>
      <c r="Q4360" s="1"/>
      <c r="R4360" s="1"/>
      <c r="S4360" s="1"/>
      <c r="T4360" s="1"/>
      <c r="U4360" s="1"/>
      <c r="V4360" s="1"/>
      <c r="W4360" s="1"/>
      <c r="X4360" s="1"/>
    </row>
    <row x14ac:dyDescent="0.25" r="4361" customHeight="1" ht="18.75">
      <c r="A4361" s="1"/>
      <c r="B4361" s="1"/>
      <c r="C4361" s="1"/>
      <c r="D4361" s="1"/>
      <c r="E4361" s="1"/>
      <c r="F4361" s="1"/>
      <c r="G4361" s="1"/>
      <c r="H4361" s="1"/>
      <c r="I4361" s="2"/>
      <c r="J4361" s="1"/>
      <c r="K4361" s="1"/>
      <c r="L4361" s="1"/>
      <c r="M4361" s="1"/>
      <c r="N4361" s="1"/>
      <c r="O4361" s="1"/>
      <c r="P4361" s="1"/>
      <c r="Q4361" s="1"/>
      <c r="R4361" s="1"/>
      <c r="S4361" s="1"/>
      <c r="T4361" s="1"/>
      <c r="U4361" s="1"/>
      <c r="V4361" s="1"/>
      <c r="W4361" s="1"/>
      <c r="X4361" s="1"/>
    </row>
    <row x14ac:dyDescent="0.25" r="4362" customHeight="1" ht="18.75">
      <c r="A4362" s="1"/>
      <c r="B4362" s="1"/>
      <c r="C4362" s="1"/>
      <c r="D4362" s="1"/>
      <c r="E4362" s="1"/>
      <c r="F4362" s="1"/>
      <c r="G4362" s="1"/>
      <c r="H4362" s="1"/>
      <c r="I4362" s="2"/>
      <c r="J4362" s="1"/>
      <c r="K4362" s="1"/>
      <c r="L4362" s="1"/>
      <c r="M4362" s="1"/>
      <c r="N4362" s="1"/>
      <c r="O4362" s="1"/>
      <c r="P4362" s="1"/>
      <c r="Q4362" s="1"/>
      <c r="R4362" s="1"/>
      <c r="S4362" s="1"/>
      <c r="T4362" s="1"/>
      <c r="U4362" s="1"/>
      <c r="V4362" s="1"/>
      <c r="W4362" s="1"/>
      <c r="X4362" s="1"/>
    </row>
    <row x14ac:dyDescent="0.25" r="4363" customHeight="1" ht="18.75">
      <c r="A4363" s="1"/>
      <c r="B4363" s="1"/>
      <c r="C4363" s="1"/>
      <c r="D4363" s="1"/>
      <c r="E4363" s="1"/>
      <c r="F4363" s="1"/>
      <c r="G4363" s="1"/>
      <c r="H4363" s="1"/>
      <c r="I4363" s="2"/>
      <c r="J4363" s="1"/>
      <c r="K4363" s="1"/>
      <c r="L4363" s="1"/>
      <c r="M4363" s="1"/>
      <c r="N4363" s="1"/>
      <c r="O4363" s="1"/>
      <c r="P4363" s="1"/>
      <c r="Q4363" s="1"/>
      <c r="R4363" s="1"/>
      <c r="S4363" s="1"/>
      <c r="T4363" s="1"/>
      <c r="U4363" s="1"/>
      <c r="V4363" s="1"/>
      <c r="W4363" s="1"/>
      <c r="X4363" s="1"/>
    </row>
    <row x14ac:dyDescent="0.25" r="4364" customHeight="1" ht="18.75">
      <c r="A4364" s="1"/>
      <c r="B4364" s="1"/>
      <c r="C4364" s="1"/>
      <c r="D4364" s="1"/>
      <c r="E4364" s="1"/>
      <c r="F4364" s="1"/>
      <c r="G4364" s="1"/>
      <c r="H4364" s="1"/>
      <c r="I4364" s="2"/>
      <c r="J4364" s="1"/>
      <c r="K4364" s="1"/>
      <c r="L4364" s="1"/>
      <c r="M4364" s="1"/>
      <c r="N4364" s="1"/>
      <c r="O4364" s="1"/>
      <c r="P4364" s="1"/>
      <c r="Q4364" s="1"/>
      <c r="R4364" s="1"/>
      <c r="S4364" s="1"/>
      <c r="T4364" s="1"/>
      <c r="U4364" s="1"/>
      <c r="V4364" s="1"/>
      <c r="W4364" s="1"/>
      <c r="X4364" s="1"/>
    </row>
    <row x14ac:dyDescent="0.25" r="4365" customHeight="1" ht="18.75">
      <c r="A4365" s="1"/>
      <c r="B4365" s="1"/>
      <c r="C4365" s="1"/>
      <c r="D4365" s="1"/>
      <c r="E4365" s="1"/>
      <c r="F4365" s="1"/>
      <c r="G4365" s="1"/>
      <c r="H4365" s="1"/>
      <c r="I4365" s="2"/>
      <c r="J4365" s="1"/>
      <c r="K4365" s="1"/>
      <c r="L4365" s="1"/>
      <c r="M4365" s="1"/>
      <c r="N4365" s="1"/>
      <c r="O4365" s="1"/>
      <c r="P4365" s="1"/>
      <c r="Q4365" s="1"/>
      <c r="R4365" s="1"/>
      <c r="S4365" s="1"/>
      <c r="T4365" s="1"/>
      <c r="U4365" s="1"/>
      <c r="V4365" s="1"/>
      <c r="W4365" s="1"/>
      <c r="X4365" s="1"/>
    </row>
    <row x14ac:dyDescent="0.25" r="4366" customHeight="1" ht="18.75">
      <c r="A4366" s="1"/>
      <c r="B4366" s="1"/>
      <c r="C4366" s="1"/>
      <c r="D4366" s="1"/>
      <c r="E4366" s="1"/>
      <c r="F4366" s="1"/>
      <c r="G4366" s="1"/>
      <c r="H4366" s="1"/>
      <c r="I4366" s="2"/>
      <c r="J4366" s="1"/>
      <c r="K4366" s="1"/>
      <c r="L4366" s="1"/>
      <c r="M4366" s="1"/>
      <c r="N4366" s="1"/>
      <c r="O4366" s="1"/>
      <c r="P4366" s="1"/>
      <c r="Q4366" s="1"/>
      <c r="R4366" s="1"/>
      <c r="S4366" s="1"/>
      <c r="T4366" s="1"/>
      <c r="U4366" s="1"/>
      <c r="V4366" s="1"/>
      <c r="W4366" s="1"/>
      <c r="X4366" s="1"/>
    </row>
    <row x14ac:dyDescent="0.25" r="4367" customHeight="1" ht="18.75">
      <c r="A4367" s="1"/>
      <c r="B4367" s="1"/>
      <c r="C4367" s="1"/>
      <c r="D4367" s="1"/>
      <c r="E4367" s="1"/>
      <c r="F4367" s="1"/>
      <c r="G4367" s="1"/>
      <c r="H4367" s="1"/>
      <c r="I4367" s="2"/>
      <c r="J4367" s="1"/>
      <c r="K4367" s="1"/>
      <c r="L4367" s="1"/>
      <c r="M4367" s="1"/>
      <c r="N4367" s="1"/>
      <c r="O4367" s="1"/>
      <c r="P4367" s="1"/>
      <c r="Q4367" s="1"/>
      <c r="R4367" s="1"/>
      <c r="S4367" s="1"/>
      <c r="T4367" s="1"/>
      <c r="U4367" s="1"/>
      <c r="V4367" s="1"/>
      <c r="W4367" s="1"/>
      <c r="X4367" s="1"/>
    </row>
    <row x14ac:dyDescent="0.25" r="4368" customHeight="1" ht="18.75">
      <c r="A4368" s="1"/>
      <c r="B4368" s="1"/>
      <c r="C4368" s="1"/>
      <c r="D4368" s="1"/>
      <c r="E4368" s="1"/>
      <c r="F4368" s="1"/>
      <c r="G4368" s="1"/>
      <c r="H4368" s="1"/>
      <c r="I4368" s="2"/>
      <c r="J4368" s="1"/>
      <c r="K4368" s="1"/>
      <c r="L4368" s="1"/>
      <c r="M4368" s="1"/>
      <c r="N4368" s="1"/>
      <c r="O4368" s="1"/>
      <c r="P4368" s="1"/>
      <c r="Q4368" s="1"/>
      <c r="R4368" s="1"/>
      <c r="S4368" s="1"/>
      <c r="T4368" s="1"/>
      <c r="U4368" s="1"/>
      <c r="V4368" s="1"/>
      <c r="W4368" s="1"/>
      <c r="X4368" s="1"/>
    </row>
    <row x14ac:dyDescent="0.25" r="4369" customHeight="1" ht="18.75">
      <c r="A4369" s="1"/>
      <c r="B4369" s="1"/>
      <c r="C4369" s="1"/>
      <c r="D4369" s="1"/>
      <c r="E4369" s="1"/>
      <c r="F4369" s="1"/>
      <c r="G4369" s="1"/>
      <c r="H4369" s="1"/>
      <c r="I4369" s="2"/>
      <c r="J4369" s="1"/>
      <c r="K4369" s="1"/>
      <c r="L4369" s="1"/>
      <c r="M4369" s="1"/>
      <c r="N4369" s="1"/>
      <c r="O4369" s="1"/>
      <c r="P4369" s="1"/>
      <c r="Q4369" s="1"/>
      <c r="R4369" s="1"/>
      <c r="S4369" s="1"/>
      <c r="T4369" s="1"/>
      <c r="U4369" s="1"/>
      <c r="V4369" s="1"/>
      <c r="W4369" s="1"/>
      <c r="X4369" s="1"/>
    </row>
    <row x14ac:dyDescent="0.25" r="4370" customHeight="1" ht="18.75">
      <c r="A4370" s="1"/>
      <c r="B4370" s="1"/>
      <c r="C4370" s="1"/>
      <c r="D4370" s="1"/>
      <c r="E4370" s="1"/>
      <c r="F4370" s="1"/>
      <c r="G4370" s="1"/>
      <c r="H4370" s="1"/>
      <c r="I4370" s="2"/>
      <c r="J4370" s="1"/>
      <c r="K4370" s="1"/>
      <c r="L4370" s="1"/>
      <c r="M4370" s="1"/>
      <c r="N4370" s="1"/>
      <c r="O4370" s="1"/>
      <c r="P4370" s="1"/>
      <c r="Q4370" s="1"/>
      <c r="R4370" s="1"/>
      <c r="S4370" s="1"/>
      <c r="T4370" s="1"/>
      <c r="U4370" s="1"/>
      <c r="V4370" s="1"/>
      <c r="W4370" s="1"/>
      <c r="X4370" s="1"/>
    </row>
    <row x14ac:dyDescent="0.25" r="4371" customHeight="1" ht="18.75">
      <c r="A4371" s="1"/>
      <c r="B4371" s="1"/>
      <c r="C4371" s="1"/>
      <c r="D4371" s="1"/>
      <c r="E4371" s="1"/>
      <c r="F4371" s="1"/>
      <c r="G4371" s="1"/>
      <c r="H4371" s="1"/>
      <c r="I4371" s="2"/>
      <c r="J4371" s="1"/>
      <c r="K4371" s="1"/>
      <c r="L4371" s="1"/>
      <c r="M4371" s="1"/>
      <c r="N4371" s="1"/>
      <c r="O4371" s="1"/>
      <c r="P4371" s="1"/>
      <c r="Q4371" s="1"/>
      <c r="R4371" s="1"/>
      <c r="S4371" s="1"/>
      <c r="T4371" s="1"/>
      <c r="U4371" s="1"/>
      <c r="V4371" s="1"/>
      <c r="W4371" s="1"/>
      <c r="X4371" s="1"/>
    </row>
    <row x14ac:dyDescent="0.25" r="4372" customHeight="1" ht="18.75">
      <c r="A4372" s="1"/>
      <c r="B4372" s="1"/>
      <c r="C4372" s="1"/>
      <c r="D4372" s="1"/>
      <c r="E4372" s="1"/>
      <c r="F4372" s="1"/>
      <c r="G4372" s="1"/>
      <c r="H4372" s="1"/>
      <c r="I4372" s="2"/>
      <c r="J4372" s="1"/>
      <c r="K4372" s="1"/>
      <c r="L4372" s="1"/>
      <c r="M4372" s="1"/>
      <c r="N4372" s="1"/>
      <c r="O4372" s="1"/>
      <c r="P4372" s="1"/>
      <c r="Q4372" s="1"/>
      <c r="R4372" s="1"/>
      <c r="S4372" s="1"/>
      <c r="T4372" s="1"/>
      <c r="U4372" s="1"/>
      <c r="V4372" s="1"/>
      <c r="W4372" s="1"/>
      <c r="X4372" s="1"/>
    </row>
    <row x14ac:dyDescent="0.25" r="4373" customHeight="1" ht="18.75">
      <c r="A4373" s="1"/>
      <c r="B4373" s="1"/>
      <c r="C4373" s="1"/>
      <c r="D4373" s="1"/>
      <c r="E4373" s="1"/>
      <c r="F4373" s="1"/>
      <c r="G4373" s="1"/>
      <c r="H4373" s="1"/>
      <c r="I4373" s="2"/>
      <c r="J4373" s="1"/>
      <c r="K4373" s="1"/>
      <c r="L4373" s="1"/>
      <c r="M4373" s="1"/>
      <c r="N4373" s="1"/>
      <c r="O4373" s="1"/>
      <c r="P4373" s="1"/>
      <c r="Q4373" s="1"/>
      <c r="R4373" s="1"/>
      <c r="S4373" s="1"/>
      <c r="T4373" s="1"/>
      <c r="U4373" s="1"/>
      <c r="V4373" s="1"/>
      <c r="W4373" s="1"/>
      <c r="X4373" s="1"/>
    </row>
    <row x14ac:dyDescent="0.25" r="4374" customHeight="1" ht="18.75">
      <c r="A4374" s="1"/>
      <c r="B4374" s="1"/>
      <c r="C4374" s="1"/>
      <c r="D4374" s="1"/>
      <c r="E4374" s="1"/>
      <c r="F4374" s="1"/>
      <c r="G4374" s="1"/>
      <c r="H4374" s="1"/>
      <c r="I4374" s="2"/>
      <c r="J4374" s="1"/>
      <c r="K4374" s="1"/>
      <c r="L4374" s="1"/>
      <c r="M4374" s="1"/>
      <c r="N4374" s="1"/>
      <c r="O4374" s="1"/>
      <c r="P4374" s="1"/>
      <c r="Q4374" s="1"/>
      <c r="R4374" s="1"/>
      <c r="S4374" s="1"/>
      <c r="T4374" s="1"/>
      <c r="U4374" s="1"/>
      <c r="V4374" s="1"/>
      <c r="W4374" s="1"/>
      <c r="X4374" s="1"/>
    </row>
    <row x14ac:dyDescent="0.25" r="4375" customHeight="1" ht="18.75">
      <c r="A4375" s="1"/>
      <c r="B4375" s="1"/>
      <c r="C4375" s="1"/>
      <c r="D4375" s="1"/>
      <c r="E4375" s="1"/>
      <c r="F4375" s="1"/>
      <c r="G4375" s="1"/>
      <c r="H4375" s="1"/>
      <c r="I4375" s="2"/>
      <c r="J4375" s="1"/>
      <c r="K4375" s="1"/>
      <c r="L4375" s="1"/>
      <c r="M4375" s="1"/>
      <c r="N4375" s="1"/>
      <c r="O4375" s="1"/>
      <c r="P4375" s="1"/>
      <c r="Q4375" s="1"/>
      <c r="R4375" s="1"/>
      <c r="S4375" s="1"/>
      <c r="T4375" s="1"/>
      <c r="U4375" s="1"/>
      <c r="V4375" s="1"/>
      <c r="W4375" s="1"/>
      <c r="X4375" s="1"/>
    </row>
    <row x14ac:dyDescent="0.25" r="4376" customHeight="1" ht="18.75">
      <c r="A4376" s="1"/>
      <c r="B4376" s="1"/>
      <c r="C4376" s="1"/>
      <c r="D4376" s="1"/>
      <c r="E4376" s="1"/>
      <c r="F4376" s="1"/>
      <c r="G4376" s="1"/>
      <c r="H4376" s="1"/>
      <c r="I4376" s="2"/>
      <c r="J4376" s="1"/>
      <c r="K4376" s="1"/>
      <c r="L4376" s="1"/>
      <c r="M4376" s="1"/>
      <c r="N4376" s="1"/>
      <c r="O4376" s="1"/>
      <c r="P4376" s="1"/>
      <c r="Q4376" s="1"/>
      <c r="R4376" s="1"/>
      <c r="S4376" s="1"/>
      <c r="T4376" s="1"/>
      <c r="U4376" s="1"/>
      <c r="V4376" s="1"/>
      <c r="W4376" s="1"/>
      <c r="X4376" s="1"/>
    </row>
    <row x14ac:dyDescent="0.25" r="4377" customHeight="1" ht="18.75">
      <c r="A4377" s="1"/>
      <c r="B4377" s="1"/>
      <c r="C4377" s="1"/>
      <c r="D4377" s="1"/>
      <c r="E4377" s="1"/>
      <c r="F4377" s="1"/>
      <c r="G4377" s="1"/>
      <c r="H4377" s="1"/>
      <c r="I4377" s="2"/>
      <c r="J4377" s="1"/>
      <c r="K4377" s="1"/>
      <c r="L4377" s="1"/>
      <c r="M4377" s="1"/>
      <c r="N4377" s="1"/>
      <c r="O4377" s="1"/>
      <c r="P4377" s="1"/>
      <c r="Q4377" s="1"/>
      <c r="R4377" s="1"/>
      <c r="S4377" s="1"/>
      <c r="T4377" s="1"/>
      <c r="U4377" s="1"/>
      <c r="V4377" s="1"/>
      <c r="W4377" s="1"/>
      <c r="X4377" s="1"/>
    </row>
    <row x14ac:dyDescent="0.25" r="4378" customHeight="1" ht="18.75">
      <c r="A4378" s="1"/>
      <c r="B4378" s="1"/>
      <c r="C4378" s="1"/>
      <c r="D4378" s="1"/>
      <c r="E4378" s="1"/>
      <c r="F4378" s="1"/>
      <c r="G4378" s="1"/>
      <c r="H4378" s="1"/>
      <c r="I4378" s="2"/>
      <c r="J4378" s="1"/>
      <c r="K4378" s="1"/>
      <c r="L4378" s="1"/>
      <c r="M4378" s="1"/>
      <c r="N4378" s="1"/>
      <c r="O4378" s="1"/>
      <c r="P4378" s="1"/>
      <c r="Q4378" s="1"/>
      <c r="R4378" s="1"/>
      <c r="S4378" s="1"/>
      <c r="T4378" s="1"/>
      <c r="U4378" s="1"/>
      <c r="V4378" s="1"/>
      <c r="W4378" s="1"/>
      <c r="X4378" s="1"/>
    </row>
    <row x14ac:dyDescent="0.25" r="4379" customHeight="1" ht="18.75">
      <c r="A4379" s="1"/>
      <c r="B4379" s="1"/>
      <c r="C4379" s="1"/>
      <c r="D4379" s="1"/>
      <c r="E4379" s="1"/>
      <c r="F4379" s="1"/>
      <c r="G4379" s="1"/>
      <c r="H4379" s="1"/>
      <c r="I4379" s="2"/>
      <c r="J4379" s="1"/>
      <c r="K4379" s="1"/>
      <c r="L4379" s="1"/>
      <c r="M4379" s="1"/>
      <c r="N4379" s="1"/>
      <c r="O4379" s="1"/>
      <c r="P4379" s="1"/>
      <c r="Q4379" s="1"/>
      <c r="R4379" s="1"/>
      <c r="S4379" s="1"/>
      <c r="T4379" s="1"/>
      <c r="U4379" s="1"/>
      <c r="V4379" s="1"/>
      <c r="W4379" s="1"/>
      <c r="X4379" s="1"/>
    </row>
    <row x14ac:dyDescent="0.25" r="4380" customHeight="1" ht="18.75">
      <c r="A4380" s="1"/>
      <c r="B4380" s="1"/>
      <c r="C4380" s="1"/>
      <c r="D4380" s="1"/>
      <c r="E4380" s="1"/>
      <c r="F4380" s="1"/>
      <c r="G4380" s="1"/>
      <c r="H4380" s="1"/>
      <c r="I4380" s="2"/>
      <c r="J4380" s="1"/>
      <c r="K4380" s="1"/>
      <c r="L4380" s="1"/>
      <c r="M4380" s="1"/>
      <c r="N4380" s="1"/>
      <c r="O4380" s="1"/>
      <c r="P4380" s="1"/>
      <c r="Q4380" s="1"/>
      <c r="R4380" s="1"/>
      <c r="S4380" s="1"/>
      <c r="T4380" s="1"/>
      <c r="U4380" s="1"/>
      <c r="V4380" s="1"/>
      <c r="W4380" s="1"/>
      <c r="X4380" s="1"/>
    </row>
    <row x14ac:dyDescent="0.25" r="4381" customHeight="1" ht="18.75">
      <c r="A4381" s="1"/>
      <c r="B4381" s="1"/>
      <c r="C4381" s="1"/>
      <c r="D4381" s="1"/>
      <c r="E4381" s="1"/>
      <c r="F4381" s="1"/>
      <c r="G4381" s="1"/>
      <c r="H4381" s="1"/>
      <c r="I4381" s="2"/>
      <c r="J4381" s="1"/>
      <c r="K4381" s="1"/>
      <c r="L4381" s="1"/>
      <c r="M4381" s="1"/>
      <c r="N4381" s="1"/>
      <c r="O4381" s="1"/>
      <c r="P4381" s="1"/>
      <c r="Q4381" s="1"/>
      <c r="R4381" s="1"/>
      <c r="S4381" s="1"/>
      <c r="T4381" s="1"/>
      <c r="U4381" s="1"/>
      <c r="V4381" s="1"/>
      <c r="W4381" s="1"/>
      <c r="X4381" s="1"/>
    </row>
    <row x14ac:dyDescent="0.25" r="4382" customHeight="1" ht="18.75">
      <c r="A4382" s="1"/>
      <c r="B4382" s="1"/>
      <c r="C4382" s="1"/>
      <c r="D4382" s="1"/>
      <c r="E4382" s="1"/>
      <c r="F4382" s="1"/>
      <c r="G4382" s="1"/>
      <c r="H4382" s="1"/>
      <c r="I4382" s="2"/>
      <c r="J4382" s="1"/>
      <c r="K4382" s="1"/>
      <c r="L4382" s="1"/>
      <c r="M4382" s="1"/>
      <c r="N4382" s="1"/>
      <c r="O4382" s="1"/>
      <c r="P4382" s="1"/>
      <c r="Q4382" s="1"/>
      <c r="R4382" s="1"/>
      <c r="S4382" s="1"/>
      <c r="T4382" s="1"/>
      <c r="U4382" s="1"/>
      <c r="V4382" s="1"/>
      <c r="W4382" s="1"/>
      <c r="X4382" s="1"/>
    </row>
    <row x14ac:dyDescent="0.25" r="4383" customHeight="1" ht="18.75">
      <c r="A4383" s="1"/>
      <c r="B4383" s="1"/>
      <c r="C4383" s="1"/>
      <c r="D4383" s="1"/>
      <c r="E4383" s="1"/>
      <c r="F4383" s="1"/>
      <c r="G4383" s="1"/>
      <c r="H4383" s="1"/>
      <c r="I4383" s="2"/>
      <c r="J4383" s="1"/>
      <c r="K4383" s="1"/>
      <c r="L4383" s="1"/>
      <c r="M4383" s="1"/>
      <c r="N4383" s="1"/>
      <c r="O4383" s="1"/>
      <c r="P4383" s="1"/>
      <c r="Q4383" s="1"/>
      <c r="R4383" s="1"/>
      <c r="S4383" s="1"/>
      <c r="T4383" s="1"/>
      <c r="U4383" s="1"/>
      <c r="V4383" s="1"/>
      <c r="W4383" s="1"/>
      <c r="X4383" s="1"/>
    </row>
    <row x14ac:dyDescent="0.25" r="4384" customHeight="1" ht="18.75">
      <c r="A4384" s="1"/>
      <c r="B4384" s="1"/>
      <c r="C4384" s="1"/>
      <c r="D4384" s="1"/>
      <c r="E4384" s="1"/>
      <c r="F4384" s="1"/>
      <c r="G4384" s="1"/>
      <c r="H4384" s="1"/>
      <c r="I4384" s="2"/>
      <c r="J4384" s="1"/>
      <c r="K4384" s="1"/>
      <c r="L4384" s="1"/>
      <c r="M4384" s="1"/>
      <c r="N4384" s="1"/>
      <c r="O4384" s="1"/>
      <c r="P4384" s="1"/>
      <c r="Q4384" s="1"/>
      <c r="R4384" s="1"/>
      <c r="S4384" s="1"/>
      <c r="T4384" s="1"/>
      <c r="U4384" s="1"/>
      <c r="V4384" s="1"/>
      <c r="W4384" s="1"/>
      <c r="X4384" s="1"/>
    </row>
    <row x14ac:dyDescent="0.25" r="4385" customHeight="1" ht="18.75">
      <c r="A4385" s="1"/>
      <c r="B4385" s="1"/>
      <c r="C4385" s="1"/>
      <c r="D4385" s="1"/>
      <c r="E4385" s="1"/>
      <c r="F4385" s="1"/>
      <c r="G4385" s="1"/>
      <c r="H4385" s="1"/>
      <c r="I4385" s="2"/>
      <c r="J4385" s="1"/>
      <c r="K4385" s="1"/>
      <c r="L4385" s="1"/>
      <c r="M4385" s="1"/>
      <c r="N4385" s="1"/>
      <c r="O4385" s="1"/>
      <c r="P4385" s="1"/>
      <c r="Q4385" s="1"/>
      <c r="R4385" s="1"/>
      <c r="S4385" s="1"/>
      <c r="T4385" s="1"/>
      <c r="U4385" s="1"/>
      <c r="V4385" s="1"/>
      <c r="W4385" s="1"/>
      <c r="X4385" s="1"/>
    </row>
    <row x14ac:dyDescent="0.25" r="4386" customHeight="1" ht="18.75">
      <c r="A4386" s="1"/>
      <c r="B4386" s="1"/>
      <c r="C4386" s="1"/>
      <c r="D4386" s="1"/>
      <c r="E4386" s="1"/>
      <c r="F4386" s="1"/>
      <c r="G4386" s="1"/>
      <c r="H4386" s="1"/>
      <c r="I4386" s="2"/>
      <c r="J4386" s="1"/>
      <c r="K4386" s="1"/>
      <c r="L4386" s="1"/>
      <c r="M4386" s="1"/>
      <c r="N4386" s="1"/>
      <c r="O4386" s="1"/>
      <c r="P4386" s="1"/>
      <c r="Q4386" s="1"/>
      <c r="R4386" s="1"/>
      <c r="S4386" s="1"/>
      <c r="T4386" s="1"/>
      <c r="U4386" s="1"/>
      <c r="V4386" s="1"/>
      <c r="W4386" s="1"/>
      <c r="X4386" s="1"/>
    </row>
    <row x14ac:dyDescent="0.25" r="4387" customHeight="1" ht="18.75">
      <c r="A4387" s="1"/>
      <c r="B4387" s="1"/>
      <c r="C4387" s="1"/>
      <c r="D4387" s="1"/>
      <c r="E4387" s="1"/>
      <c r="F4387" s="1"/>
      <c r="G4387" s="1"/>
      <c r="H4387" s="1"/>
      <c r="I4387" s="2"/>
      <c r="J4387" s="1"/>
      <c r="K4387" s="1"/>
      <c r="L4387" s="1"/>
      <c r="M4387" s="1"/>
      <c r="N4387" s="1"/>
      <c r="O4387" s="1"/>
      <c r="P4387" s="1"/>
      <c r="Q4387" s="1"/>
      <c r="R4387" s="1"/>
      <c r="S4387" s="1"/>
      <c r="T4387" s="1"/>
      <c r="U4387" s="1"/>
      <c r="V4387" s="1"/>
      <c r="W4387" s="1"/>
      <c r="X4387" s="1"/>
    </row>
    <row x14ac:dyDescent="0.25" r="4388" customHeight="1" ht="18.75">
      <c r="A4388" s="1"/>
      <c r="B4388" s="1"/>
      <c r="C4388" s="1"/>
      <c r="D4388" s="1"/>
      <c r="E4388" s="1"/>
      <c r="F4388" s="1"/>
      <c r="G4388" s="1"/>
      <c r="H4388" s="1"/>
      <c r="I4388" s="2"/>
      <c r="J4388" s="1"/>
      <c r="K4388" s="1"/>
      <c r="L4388" s="1"/>
      <c r="M4388" s="1"/>
      <c r="N4388" s="1"/>
      <c r="O4388" s="1"/>
      <c r="P4388" s="1"/>
      <c r="Q4388" s="1"/>
      <c r="R4388" s="1"/>
      <c r="S4388" s="1"/>
      <c r="T4388" s="1"/>
      <c r="U4388" s="1"/>
      <c r="V4388" s="1"/>
      <c r="W4388" s="1"/>
      <c r="X4388" s="1"/>
    </row>
    <row x14ac:dyDescent="0.25" r="4389" customHeight="1" ht="18.75">
      <c r="A4389" s="1"/>
      <c r="B4389" s="1"/>
      <c r="C4389" s="1"/>
      <c r="D4389" s="1"/>
      <c r="E4389" s="1"/>
      <c r="F4389" s="1"/>
      <c r="G4389" s="1"/>
      <c r="H4389" s="1"/>
      <c r="I4389" s="2"/>
      <c r="J4389" s="1"/>
      <c r="K4389" s="1"/>
      <c r="L4389" s="1"/>
      <c r="M4389" s="1"/>
      <c r="N4389" s="1"/>
      <c r="O4389" s="1"/>
      <c r="P4389" s="1"/>
      <c r="Q4389" s="1"/>
      <c r="R4389" s="1"/>
      <c r="S4389" s="1"/>
      <c r="T4389" s="1"/>
      <c r="U4389" s="1"/>
      <c r="V4389" s="1"/>
      <c r="W4389" s="1"/>
      <c r="X4389" s="1"/>
    </row>
    <row x14ac:dyDescent="0.25" r="4390" customHeight="1" ht="18.75">
      <c r="A4390" s="1"/>
      <c r="B4390" s="1"/>
      <c r="C4390" s="1"/>
      <c r="D4390" s="1"/>
      <c r="E4390" s="1"/>
      <c r="F4390" s="1"/>
      <c r="G4390" s="1"/>
      <c r="H4390" s="1"/>
      <c r="I4390" s="2"/>
      <c r="J4390" s="1"/>
      <c r="K4390" s="1"/>
      <c r="L4390" s="1"/>
      <c r="M4390" s="1"/>
      <c r="N4390" s="1"/>
      <c r="O4390" s="1"/>
      <c r="P4390" s="1"/>
      <c r="Q4390" s="1"/>
      <c r="R4390" s="1"/>
      <c r="S4390" s="1"/>
      <c r="T4390" s="1"/>
      <c r="U4390" s="1"/>
      <c r="V4390" s="1"/>
      <c r="W4390" s="1"/>
      <c r="X4390" s="1"/>
    </row>
    <row x14ac:dyDescent="0.25" r="4391" customHeight="1" ht="18.75">
      <c r="A4391" s="1"/>
      <c r="B4391" s="1"/>
      <c r="C4391" s="1"/>
      <c r="D4391" s="1"/>
      <c r="E4391" s="1"/>
      <c r="F4391" s="1"/>
      <c r="G4391" s="1"/>
      <c r="H4391" s="1"/>
      <c r="I4391" s="2"/>
      <c r="J4391" s="1"/>
      <c r="K4391" s="1"/>
      <c r="L4391" s="1"/>
      <c r="M4391" s="1"/>
      <c r="N4391" s="1"/>
      <c r="O4391" s="1"/>
      <c r="P4391" s="1"/>
      <c r="Q4391" s="1"/>
      <c r="R4391" s="1"/>
      <c r="S4391" s="1"/>
      <c r="T4391" s="1"/>
      <c r="U4391" s="1"/>
      <c r="V4391" s="1"/>
      <c r="W4391" s="1"/>
      <c r="X4391" s="1"/>
    </row>
    <row x14ac:dyDescent="0.25" r="4392" customHeight="1" ht="18.75">
      <c r="A4392" s="1"/>
      <c r="B4392" s="1"/>
      <c r="C4392" s="1"/>
      <c r="D4392" s="1"/>
      <c r="E4392" s="1"/>
      <c r="F4392" s="1"/>
      <c r="G4392" s="1"/>
      <c r="H4392" s="1"/>
      <c r="I4392" s="2"/>
      <c r="J4392" s="1"/>
      <c r="K4392" s="1"/>
      <c r="L4392" s="1"/>
      <c r="M4392" s="1"/>
      <c r="N4392" s="1"/>
      <c r="O4392" s="1"/>
      <c r="P4392" s="1"/>
      <c r="Q4392" s="1"/>
      <c r="R4392" s="1"/>
      <c r="S4392" s="1"/>
      <c r="T4392" s="1"/>
      <c r="U4392" s="1"/>
      <c r="V4392" s="1"/>
      <c r="W4392" s="1"/>
      <c r="X4392" s="1"/>
    </row>
    <row x14ac:dyDescent="0.25" r="4393" customHeight="1" ht="18.75">
      <c r="A4393" s="1"/>
      <c r="B4393" s="1"/>
      <c r="C4393" s="1"/>
      <c r="D4393" s="1"/>
      <c r="E4393" s="1"/>
      <c r="F4393" s="1"/>
      <c r="G4393" s="1"/>
      <c r="H4393" s="1"/>
      <c r="I4393" s="2"/>
      <c r="J4393" s="1"/>
      <c r="K4393" s="1"/>
      <c r="L4393" s="1"/>
      <c r="M4393" s="1"/>
      <c r="N4393" s="1"/>
      <c r="O4393" s="1"/>
      <c r="P4393" s="1"/>
      <c r="Q4393" s="1"/>
      <c r="R4393" s="1"/>
      <c r="S4393" s="1"/>
      <c r="T4393" s="1"/>
      <c r="U4393" s="1"/>
      <c r="V4393" s="1"/>
      <c r="W4393" s="1"/>
      <c r="X4393" s="1"/>
    </row>
    <row x14ac:dyDescent="0.25" r="4394" customHeight="1" ht="18.75">
      <c r="A4394" s="1"/>
      <c r="B4394" s="1"/>
      <c r="C4394" s="1"/>
      <c r="D4394" s="1"/>
      <c r="E4394" s="1"/>
      <c r="F4394" s="1"/>
      <c r="G4394" s="1"/>
      <c r="H4394" s="1"/>
      <c r="I4394" s="2"/>
      <c r="J4394" s="1"/>
      <c r="K4394" s="1"/>
      <c r="L4394" s="1"/>
      <c r="M4394" s="1"/>
      <c r="N4394" s="1"/>
      <c r="O4394" s="1"/>
      <c r="P4394" s="1"/>
      <c r="Q4394" s="1"/>
      <c r="R4394" s="1"/>
      <c r="S4394" s="1"/>
      <c r="T4394" s="1"/>
      <c r="U4394" s="1"/>
      <c r="V4394" s="1"/>
      <c r="W4394" s="1"/>
      <c r="X4394" s="1"/>
    </row>
    <row x14ac:dyDescent="0.25" r="4395" customHeight="1" ht="18.75">
      <c r="A4395" s="1"/>
      <c r="B4395" s="1"/>
      <c r="C4395" s="1"/>
      <c r="D4395" s="1"/>
      <c r="E4395" s="1"/>
      <c r="F4395" s="1"/>
      <c r="G4395" s="1"/>
      <c r="H4395" s="1"/>
      <c r="I4395" s="2"/>
      <c r="J4395" s="1"/>
      <c r="K4395" s="1"/>
      <c r="L4395" s="1"/>
      <c r="M4395" s="1"/>
      <c r="N4395" s="1"/>
      <c r="O4395" s="1"/>
      <c r="P4395" s="1"/>
      <c r="Q4395" s="1"/>
      <c r="R4395" s="1"/>
      <c r="S4395" s="1"/>
      <c r="T4395" s="1"/>
      <c r="U4395" s="1"/>
      <c r="V4395" s="1"/>
      <c r="W4395" s="1"/>
      <c r="X4395" s="1"/>
    </row>
    <row x14ac:dyDescent="0.25" r="4396" customHeight="1" ht="18.75">
      <c r="A4396" s="1"/>
      <c r="B4396" s="1"/>
      <c r="C4396" s="1"/>
      <c r="D4396" s="1"/>
      <c r="E4396" s="1"/>
      <c r="F4396" s="1"/>
      <c r="G4396" s="1"/>
      <c r="H4396" s="1"/>
      <c r="I4396" s="2"/>
      <c r="J4396" s="1"/>
      <c r="K4396" s="1"/>
      <c r="L4396" s="1"/>
      <c r="M4396" s="1"/>
      <c r="N4396" s="1"/>
      <c r="O4396" s="1"/>
      <c r="P4396" s="1"/>
      <c r="Q4396" s="1"/>
      <c r="R4396" s="1"/>
      <c r="S4396" s="1"/>
      <c r="T4396" s="1"/>
      <c r="U4396" s="1"/>
      <c r="V4396" s="1"/>
      <c r="W4396" s="1"/>
      <c r="X4396" s="1"/>
    </row>
    <row x14ac:dyDescent="0.25" r="4397" customHeight="1" ht="18.75">
      <c r="A4397" s="1"/>
      <c r="B4397" s="1"/>
      <c r="C4397" s="1"/>
      <c r="D4397" s="1"/>
      <c r="E4397" s="1"/>
      <c r="F4397" s="1"/>
      <c r="G4397" s="1"/>
      <c r="H4397" s="1"/>
      <c r="I4397" s="2"/>
      <c r="J4397" s="1"/>
      <c r="K4397" s="1"/>
      <c r="L4397" s="1"/>
      <c r="M4397" s="1"/>
      <c r="N4397" s="1"/>
      <c r="O4397" s="1"/>
      <c r="P4397" s="1"/>
      <c r="Q4397" s="1"/>
      <c r="R4397" s="1"/>
      <c r="S4397" s="1"/>
      <c r="T4397" s="1"/>
      <c r="U4397" s="1"/>
      <c r="V4397" s="1"/>
      <c r="W4397" s="1"/>
      <c r="X4397" s="1"/>
    </row>
    <row x14ac:dyDescent="0.25" r="4398" customHeight="1" ht="18.75">
      <c r="A4398" s="1"/>
      <c r="B4398" s="1"/>
      <c r="C4398" s="1"/>
      <c r="D4398" s="1"/>
      <c r="E4398" s="1"/>
      <c r="F4398" s="1"/>
      <c r="G4398" s="1"/>
      <c r="H4398" s="1"/>
      <c r="I4398" s="2"/>
      <c r="J4398" s="1"/>
      <c r="K4398" s="1"/>
      <c r="L4398" s="1"/>
      <c r="M4398" s="1"/>
      <c r="N4398" s="1"/>
      <c r="O4398" s="1"/>
      <c r="P4398" s="1"/>
      <c r="Q4398" s="1"/>
      <c r="R4398" s="1"/>
      <c r="S4398" s="1"/>
      <c r="T4398" s="1"/>
      <c r="U4398" s="1"/>
      <c r="V4398" s="1"/>
      <c r="W4398" s="1"/>
      <c r="X4398" s="1"/>
    </row>
    <row x14ac:dyDescent="0.25" r="4399" customHeight="1" ht="18.75">
      <c r="A4399" s="1"/>
      <c r="B4399" s="1"/>
      <c r="C4399" s="1"/>
      <c r="D4399" s="1"/>
      <c r="E4399" s="1"/>
      <c r="F4399" s="1"/>
      <c r="G4399" s="1"/>
      <c r="H4399" s="1"/>
      <c r="I4399" s="2"/>
      <c r="J4399" s="1"/>
      <c r="K4399" s="1"/>
      <c r="L4399" s="1"/>
      <c r="M4399" s="1"/>
      <c r="N4399" s="1"/>
      <c r="O4399" s="1"/>
      <c r="P4399" s="1"/>
      <c r="Q4399" s="1"/>
      <c r="R4399" s="1"/>
      <c r="S4399" s="1"/>
      <c r="T4399" s="1"/>
      <c r="U4399" s="1"/>
      <c r="V4399" s="1"/>
      <c r="W4399" s="1"/>
      <c r="X4399" s="1"/>
    </row>
    <row x14ac:dyDescent="0.25" r="4400" customHeight="1" ht="18.75">
      <c r="A4400" s="1"/>
      <c r="B4400" s="1"/>
      <c r="C4400" s="1"/>
      <c r="D4400" s="1"/>
      <c r="E4400" s="1"/>
      <c r="F4400" s="1"/>
      <c r="G4400" s="1"/>
      <c r="H4400" s="1"/>
      <c r="I4400" s="2"/>
      <c r="J4400" s="1"/>
      <c r="K4400" s="1"/>
      <c r="L4400" s="1"/>
      <c r="M4400" s="1"/>
      <c r="N4400" s="1"/>
      <c r="O4400" s="1"/>
      <c r="P4400" s="1"/>
      <c r="Q4400" s="1"/>
      <c r="R4400" s="1"/>
      <c r="S4400" s="1"/>
      <c r="T4400" s="1"/>
      <c r="U4400" s="1"/>
      <c r="V4400" s="1"/>
      <c r="W4400" s="1"/>
      <c r="X4400" s="1"/>
    </row>
    <row x14ac:dyDescent="0.25" r="4401" customHeight="1" ht="18.75">
      <c r="A4401" s="1"/>
      <c r="B4401" s="1"/>
      <c r="C4401" s="1"/>
      <c r="D4401" s="1"/>
      <c r="E4401" s="1"/>
      <c r="F4401" s="1"/>
      <c r="G4401" s="1"/>
      <c r="H4401" s="1"/>
      <c r="I4401" s="2"/>
      <c r="J4401" s="1"/>
      <c r="K4401" s="1"/>
      <c r="L4401" s="1"/>
      <c r="M4401" s="1"/>
      <c r="N4401" s="1"/>
      <c r="O4401" s="1"/>
      <c r="P4401" s="1"/>
      <c r="Q4401" s="1"/>
      <c r="R4401" s="1"/>
      <c r="S4401" s="1"/>
      <c r="T4401" s="1"/>
      <c r="U4401" s="1"/>
      <c r="V4401" s="1"/>
      <c r="W4401" s="1"/>
      <c r="X4401" s="1"/>
    </row>
    <row x14ac:dyDescent="0.25" r="4402" customHeight="1" ht="18.75">
      <c r="A4402" s="1"/>
      <c r="B4402" s="1"/>
      <c r="C4402" s="1"/>
      <c r="D4402" s="1"/>
      <c r="E4402" s="1"/>
      <c r="F4402" s="1"/>
      <c r="G4402" s="1"/>
      <c r="H4402" s="1"/>
      <c r="I4402" s="2"/>
      <c r="J4402" s="1"/>
      <c r="K4402" s="1"/>
      <c r="L4402" s="1"/>
      <c r="M4402" s="1"/>
      <c r="N4402" s="1"/>
      <c r="O4402" s="1"/>
      <c r="P4402" s="1"/>
      <c r="Q4402" s="1"/>
      <c r="R4402" s="1"/>
      <c r="S4402" s="1"/>
      <c r="T4402" s="1"/>
      <c r="U4402" s="1"/>
      <c r="V4402" s="1"/>
      <c r="W4402" s="1"/>
      <c r="X4402" s="1"/>
    </row>
    <row x14ac:dyDescent="0.25" r="4403" customHeight="1" ht="18.75">
      <c r="A4403" s="1"/>
      <c r="B4403" s="1"/>
      <c r="C4403" s="1"/>
      <c r="D4403" s="1"/>
      <c r="E4403" s="1"/>
      <c r="F4403" s="1"/>
      <c r="G4403" s="1"/>
      <c r="H4403" s="1"/>
      <c r="I4403" s="2"/>
      <c r="J4403" s="1"/>
      <c r="K4403" s="1"/>
      <c r="L4403" s="1"/>
      <c r="M4403" s="1"/>
      <c r="N4403" s="1"/>
      <c r="O4403" s="1"/>
      <c r="P4403" s="1"/>
      <c r="Q4403" s="1"/>
      <c r="R4403" s="1"/>
      <c r="S4403" s="1"/>
      <c r="T4403" s="1"/>
      <c r="U4403" s="1"/>
      <c r="V4403" s="1"/>
      <c r="W4403" s="1"/>
      <c r="X4403" s="1"/>
    </row>
    <row x14ac:dyDescent="0.25" r="4404" customHeight="1" ht="18.75">
      <c r="A4404" s="1"/>
      <c r="B4404" s="1"/>
      <c r="C4404" s="1"/>
      <c r="D4404" s="1"/>
      <c r="E4404" s="1"/>
      <c r="F4404" s="1"/>
      <c r="G4404" s="1"/>
      <c r="H4404" s="1"/>
      <c r="I4404" s="2"/>
      <c r="J4404" s="1"/>
      <c r="K4404" s="1"/>
      <c r="L4404" s="1"/>
      <c r="M4404" s="1"/>
      <c r="N4404" s="1"/>
      <c r="O4404" s="1"/>
      <c r="P4404" s="1"/>
      <c r="Q4404" s="1"/>
      <c r="R4404" s="1"/>
      <c r="S4404" s="1"/>
      <c r="T4404" s="1"/>
      <c r="U4404" s="1"/>
      <c r="V4404" s="1"/>
      <c r="W4404" s="1"/>
      <c r="X4404" s="1"/>
    </row>
    <row x14ac:dyDescent="0.25" r="4405" customHeight="1" ht="18.75">
      <c r="A4405" s="1"/>
      <c r="B4405" s="1"/>
      <c r="C4405" s="1"/>
      <c r="D4405" s="1"/>
      <c r="E4405" s="1"/>
      <c r="F4405" s="1"/>
      <c r="G4405" s="1"/>
      <c r="H4405" s="1"/>
      <c r="I4405" s="2"/>
      <c r="J4405" s="1"/>
      <c r="K4405" s="1"/>
      <c r="L4405" s="1"/>
      <c r="M4405" s="1"/>
      <c r="N4405" s="1"/>
      <c r="O4405" s="1"/>
      <c r="P4405" s="1"/>
      <c r="Q4405" s="1"/>
      <c r="R4405" s="1"/>
      <c r="S4405" s="1"/>
      <c r="T4405" s="1"/>
      <c r="U4405" s="1"/>
      <c r="V4405" s="1"/>
      <c r="W4405" s="1"/>
      <c r="X4405" s="1"/>
    </row>
    <row x14ac:dyDescent="0.25" r="4406" customHeight="1" ht="18.75">
      <c r="A4406" s="1"/>
      <c r="B4406" s="1"/>
      <c r="C4406" s="1"/>
      <c r="D4406" s="1"/>
      <c r="E4406" s="1"/>
      <c r="F4406" s="1"/>
      <c r="G4406" s="1"/>
      <c r="H4406" s="1"/>
      <c r="I4406" s="2"/>
      <c r="J4406" s="1"/>
      <c r="K4406" s="1"/>
      <c r="L4406" s="1"/>
      <c r="M4406" s="1"/>
      <c r="N4406" s="1"/>
      <c r="O4406" s="1"/>
      <c r="P4406" s="1"/>
      <c r="Q4406" s="1"/>
      <c r="R4406" s="1"/>
      <c r="S4406" s="1"/>
      <c r="T4406" s="1"/>
      <c r="U4406" s="1"/>
      <c r="V4406" s="1"/>
      <c r="W4406" s="1"/>
      <c r="X4406" s="1"/>
    </row>
    <row x14ac:dyDescent="0.25" r="4407" customHeight="1" ht="18.75">
      <c r="A4407" s="1"/>
      <c r="B4407" s="1"/>
      <c r="C4407" s="1"/>
      <c r="D4407" s="1"/>
      <c r="E4407" s="1"/>
      <c r="F4407" s="1"/>
      <c r="G4407" s="1"/>
      <c r="H4407" s="1"/>
      <c r="I4407" s="2"/>
      <c r="J4407" s="1"/>
      <c r="K4407" s="1"/>
      <c r="L4407" s="1"/>
      <c r="M4407" s="1"/>
      <c r="N4407" s="1"/>
      <c r="O4407" s="1"/>
      <c r="P4407" s="1"/>
      <c r="Q4407" s="1"/>
      <c r="R4407" s="1"/>
      <c r="S4407" s="1"/>
      <c r="T4407" s="1"/>
      <c r="U4407" s="1"/>
      <c r="V4407" s="1"/>
      <c r="W4407" s="1"/>
      <c r="X4407" s="1"/>
    </row>
    <row x14ac:dyDescent="0.25" r="4408" customHeight="1" ht="18.75">
      <c r="A4408" s="1"/>
      <c r="B4408" s="1"/>
      <c r="C4408" s="1"/>
      <c r="D4408" s="1"/>
      <c r="E4408" s="1"/>
      <c r="F4408" s="1"/>
      <c r="G4408" s="1"/>
      <c r="H4408" s="1"/>
      <c r="I4408" s="2"/>
      <c r="J4408" s="1"/>
      <c r="K4408" s="1"/>
      <c r="L4408" s="1"/>
      <c r="M4408" s="1"/>
      <c r="N4408" s="1"/>
      <c r="O4408" s="1"/>
      <c r="P4408" s="1"/>
      <c r="Q4408" s="1"/>
      <c r="R4408" s="1"/>
      <c r="S4408" s="1"/>
      <c r="T4408" s="1"/>
      <c r="U4408" s="1"/>
      <c r="V4408" s="1"/>
      <c r="W4408" s="1"/>
      <c r="X4408" s="1"/>
    </row>
    <row x14ac:dyDescent="0.25" r="4409" customHeight="1" ht="18.75">
      <c r="A4409" s="1"/>
      <c r="B4409" s="1"/>
      <c r="C4409" s="1"/>
      <c r="D4409" s="1"/>
      <c r="E4409" s="1"/>
      <c r="F4409" s="1"/>
      <c r="G4409" s="1"/>
      <c r="H4409" s="1"/>
      <c r="I4409" s="2"/>
      <c r="J4409" s="1"/>
      <c r="K4409" s="1"/>
      <c r="L4409" s="1"/>
      <c r="M4409" s="1"/>
      <c r="N4409" s="1"/>
      <c r="O4409" s="1"/>
      <c r="P4409" s="1"/>
      <c r="Q4409" s="1"/>
      <c r="R4409" s="1"/>
      <c r="S4409" s="1"/>
      <c r="T4409" s="1"/>
      <c r="U4409" s="1"/>
      <c r="V4409" s="1"/>
      <c r="W4409" s="1"/>
      <c r="X4409" s="1"/>
    </row>
    <row x14ac:dyDescent="0.25" r="4410" customHeight="1" ht="18.75">
      <c r="A4410" s="1"/>
      <c r="B4410" s="1"/>
      <c r="C4410" s="1"/>
      <c r="D4410" s="1"/>
      <c r="E4410" s="1"/>
      <c r="F4410" s="1"/>
      <c r="G4410" s="1"/>
      <c r="H4410" s="1"/>
      <c r="I4410" s="2"/>
      <c r="J4410" s="1"/>
      <c r="K4410" s="1"/>
      <c r="L4410" s="1"/>
      <c r="M4410" s="1"/>
      <c r="N4410" s="1"/>
      <c r="O4410" s="1"/>
      <c r="P4410" s="1"/>
      <c r="Q4410" s="1"/>
      <c r="R4410" s="1"/>
      <c r="S4410" s="1"/>
      <c r="T4410" s="1"/>
      <c r="U4410" s="1"/>
      <c r="V4410" s="1"/>
      <c r="W4410" s="1"/>
      <c r="X4410" s="1"/>
    </row>
    <row x14ac:dyDescent="0.25" r="4411" customHeight="1" ht="18.75">
      <c r="A4411" s="1"/>
      <c r="B4411" s="1"/>
      <c r="C4411" s="1"/>
      <c r="D4411" s="1"/>
      <c r="E4411" s="1"/>
      <c r="F4411" s="1"/>
      <c r="G4411" s="1"/>
      <c r="H4411" s="1"/>
      <c r="I4411" s="2"/>
      <c r="J4411" s="1"/>
      <c r="K4411" s="1"/>
      <c r="L4411" s="1"/>
      <c r="M4411" s="1"/>
      <c r="N4411" s="1"/>
      <c r="O4411" s="1"/>
      <c r="P4411" s="1"/>
      <c r="Q4411" s="1"/>
      <c r="R4411" s="1"/>
      <c r="S4411" s="1"/>
      <c r="T4411" s="1"/>
      <c r="U4411" s="1"/>
      <c r="V4411" s="1"/>
      <c r="W4411" s="1"/>
      <c r="X4411" s="1"/>
    </row>
    <row x14ac:dyDescent="0.25" r="4412" customHeight="1" ht="18.75">
      <c r="A4412" s="1"/>
      <c r="B4412" s="1"/>
      <c r="C4412" s="1"/>
      <c r="D4412" s="1"/>
      <c r="E4412" s="1"/>
      <c r="F4412" s="1"/>
      <c r="G4412" s="1"/>
      <c r="H4412" s="1"/>
      <c r="I4412" s="2"/>
      <c r="J4412" s="1"/>
      <c r="K4412" s="1"/>
      <c r="L4412" s="1"/>
      <c r="M4412" s="1"/>
      <c r="N4412" s="1"/>
      <c r="O4412" s="1"/>
      <c r="P4412" s="1"/>
      <c r="Q4412" s="1"/>
      <c r="R4412" s="1"/>
      <c r="S4412" s="1"/>
      <c r="T4412" s="1"/>
      <c r="U4412" s="1"/>
      <c r="V4412" s="1"/>
      <c r="W4412" s="1"/>
      <c r="X4412" s="1"/>
    </row>
    <row x14ac:dyDescent="0.25" r="4413" customHeight="1" ht="18.75">
      <c r="A4413" s="1"/>
      <c r="B4413" s="1"/>
      <c r="C4413" s="1"/>
      <c r="D4413" s="1"/>
      <c r="E4413" s="1"/>
      <c r="F4413" s="1"/>
      <c r="G4413" s="1"/>
      <c r="H4413" s="1"/>
      <c r="I4413" s="2"/>
      <c r="J4413" s="1"/>
      <c r="K4413" s="1"/>
      <c r="L4413" s="1"/>
      <c r="M4413" s="1"/>
      <c r="N4413" s="1"/>
      <c r="O4413" s="1"/>
      <c r="P4413" s="1"/>
      <c r="Q4413" s="1"/>
      <c r="R4413" s="1"/>
      <c r="S4413" s="1"/>
      <c r="T4413" s="1"/>
      <c r="U4413" s="1"/>
      <c r="V4413" s="1"/>
      <c r="W4413" s="1"/>
      <c r="X4413" s="1"/>
    </row>
    <row x14ac:dyDescent="0.25" r="4414" customHeight="1" ht="18.75">
      <c r="A4414" s="1"/>
      <c r="B4414" s="1"/>
      <c r="C4414" s="1"/>
      <c r="D4414" s="1"/>
      <c r="E4414" s="1"/>
      <c r="F4414" s="1"/>
      <c r="G4414" s="1"/>
      <c r="H4414" s="1"/>
      <c r="I4414" s="2"/>
      <c r="J4414" s="1"/>
      <c r="K4414" s="1"/>
      <c r="L4414" s="1"/>
      <c r="M4414" s="1"/>
      <c r="N4414" s="1"/>
      <c r="O4414" s="1"/>
      <c r="P4414" s="1"/>
      <c r="Q4414" s="1"/>
      <c r="R4414" s="1"/>
      <c r="S4414" s="1"/>
      <c r="T4414" s="1"/>
      <c r="U4414" s="1"/>
      <c r="V4414" s="1"/>
      <c r="W4414" s="1"/>
      <c r="X4414" s="1"/>
    </row>
    <row x14ac:dyDescent="0.25" r="4415" customHeight="1" ht="18.75">
      <c r="A4415" s="1"/>
      <c r="B4415" s="1"/>
      <c r="C4415" s="1"/>
      <c r="D4415" s="1"/>
      <c r="E4415" s="1"/>
      <c r="F4415" s="1"/>
      <c r="G4415" s="1"/>
      <c r="H4415" s="1"/>
      <c r="I4415" s="2"/>
      <c r="J4415" s="1"/>
      <c r="K4415" s="1"/>
      <c r="L4415" s="1"/>
      <c r="M4415" s="1"/>
      <c r="N4415" s="1"/>
      <c r="O4415" s="1"/>
      <c r="P4415" s="1"/>
      <c r="Q4415" s="1"/>
      <c r="R4415" s="1"/>
      <c r="S4415" s="1"/>
      <c r="T4415" s="1"/>
      <c r="U4415" s="1"/>
      <c r="V4415" s="1"/>
      <c r="W4415" s="1"/>
      <c r="X4415" s="1"/>
    </row>
    <row x14ac:dyDescent="0.25" r="4416" customHeight="1" ht="18.75">
      <c r="A4416" s="1"/>
      <c r="B4416" s="1"/>
      <c r="C4416" s="1"/>
      <c r="D4416" s="1"/>
      <c r="E4416" s="1"/>
      <c r="F4416" s="1"/>
      <c r="G4416" s="1"/>
      <c r="H4416" s="1"/>
      <c r="I4416" s="2"/>
      <c r="J4416" s="1"/>
      <c r="K4416" s="1"/>
      <c r="L4416" s="1"/>
      <c r="M4416" s="1"/>
      <c r="N4416" s="1"/>
      <c r="O4416" s="1"/>
      <c r="P4416" s="1"/>
      <c r="Q4416" s="1"/>
      <c r="R4416" s="1"/>
      <c r="S4416" s="1"/>
      <c r="T4416" s="1"/>
      <c r="U4416" s="1"/>
      <c r="V4416" s="1"/>
      <c r="W4416" s="1"/>
      <c r="X4416" s="1"/>
    </row>
    <row x14ac:dyDescent="0.25" r="4417" customHeight="1" ht="18.75">
      <c r="A4417" s="1"/>
      <c r="B4417" s="1"/>
      <c r="C4417" s="1"/>
      <c r="D4417" s="1"/>
      <c r="E4417" s="1"/>
      <c r="F4417" s="1"/>
      <c r="G4417" s="1"/>
      <c r="H4417" s="1"/>
      <c r="I4417" s="2"/>
      <c r="J4417" s="1"/>
      <c r="K4417" s="1"/>
      <c r="L4417" s="1"/>
      <c r="M4417" s="1"/>
      <c r="N4417" s="1"/>
      <c r="O4417" s="1"/>
      <c r="P4417" s="1"/>
      <c r="Q4417" s="1"/>
      <c r="R4417" s="1"/>
      <c r="S4417" s="1"/>
      <c r="T4417" s="1"/>
      <c r="U4417" s="1"/>
      <c r="V4417" s="1"/>
      <c r="W4417" s="1"/>
      <c r="X4417" s="1"/>
    </row>
    <row x14ac:dyDescent="0.25" r="4418" customHeight="1" ht="18.75">
      <c r="A4418" s="1"/>
      <c r="B4418" s="1"/>
      <c r="C4418" s="1"/>
      <c r="D4418" s="1"/>
      <c r="E4418" s="1"/>
      <c r="F4418" s="1"/>
      <c r="G4418" s="1"/>
      <c r="H4418" s="1"/>
      <c r="I4418" s="2"/>
      <c r="J4418" s="1"/>
      <c r="K4418" s="1"/>
      <c r="L4418" s="1"/>
      <c r="M4418" s="1"/>
      <c r="N4418" s="1"/>
      <c r="O4418" s="1"/>
      <c r="P4418" s="1"/>
      <c r="Q4418" s="1"/>
      <c r="R4418" s="1"/>
      <c r="S4418" s="1"/>
      <c r="T4418" s="1"/>
      <c r="U4418" s="1"/>
      <c r="V4418" s="1"/>
      <c r="W4418" s="1"/>
      <c r="X4418" s="1"/>
    </row>
    <row x14ac:dyDescent="0.25" r="4419" customHeight="1" ht="18.75">
      <c r="A4419" s="1"/>
      <c r="B4419" s="1"/>
      <c r="C4419" s="1"/>
      <c r="D4419" s="1"/>
      <c r="E4419" s="1"/>
      <c r="F4419" s="1"/>
      <c r="G4419" s="1"/>
      <c r="H4419" s="1"/>
      <c r="I4419" s="2"/>
      <c r="J4419" s="1"/>
      <c r="K4419" s="1"/>
      <c r="L4419" s="1"/>
      <c r="M4419" s="1"/>
      <c r="N4419" s="1"/>
      <c r="O4419" s="1"/>
      <c r="P4419" s="1"/>
      <c r="Q4419" s="1"/>
      <c r="R4419" s="1"/>
      <c r="S4419" s="1"/>
      <c r="T4419" s="1"/>
      <c r="U4419" s="1"/>
      <c r="V4419" s="1"/>
      <c r="W4419" s="1"/>
      <c r="X4419" s="1"/>
    </row>
    <row x14ac:dyDescent="0.25" r="4420" customHeight="1" ht="18.75">
      <c r="A4420" s="1"/>
      <c r="B4420" s="1"/>
      <c r="C4420" s="1"/>
      <c r="D4420" s="1"/>
      <c r="E4420" s="1"/>
      <c r="F4420" s="1"/>
      <c r="G4420" s="1"/>
      <c r="H4420" s="1"/>
      <c r="I4420" s="2"/>
      <c r="J4420" s="1"/>
      <c r="K4420" s="1"/>
      <c r="L4420" s="1"/>
      <c r="M4420" s="1"/>
      <c r="N4420" s="1"/>
      <c r="O4420" s="1"/>
      <c r="P4420" s="1"/>
      <c r="Q4420" s="1"/>
      <c r="R4420" s="1"/>
      <c r="S4420" s="1"/>
      <c r="T4420" s="1"/>
      <c r="U4420" s="1"/>
      <c r="V4420" s="1"/>
      <c r="W4420" s="1"/>
      <c r="X4420" s="1"/>
    </row>
    <row x14ac:dyDescent="0.25" r="4421" customHeight="1" ht="18.75">
      <c r="A4421" s="1"/>
      <c r="B4421" s="1"/>
      <c r="C4421" s="1"/>
      <c r="D4421" s="1"/>
      <c r="E4421" s="1"/>
      <c r="F4421" s="1"/>
      <c r="G4421" s="1"/>
      <c r="H4421" s="1"/>
      <c r="I4421" s="2"/>
      <c r="J4421" s="1"/>
      <c r="K4421" s="1"/>
      <c r="L4421" s="1"/>
      <c r="M4421" s="1"/>
      <c r="N4421" s="1"/>
      <c r="O4421" s="1"/>
      <c r="P4421" s="1"/>
      <c r="Q4421" s="1"/>
      <c r="R4421" s="1"/>
      <c r="S4421" s="1"/>
      <c r="T4421" s="1"/>
      <c r="U4421" s="1"/>
      <c r="V4421" s="1"/>
      <c r="W4421" s="1"/>
      <c r="X4421" s="1"/>
    </row>
    <row x14ac:dyDescent="0.25" r="4422" customHeight="1" ht="18.75">
      <c r="A4422" s="1"/>
      <c r="B4422" s="1"/>
      <c r="C4422" s="1"/>
      <c r="D4422" s="1"/>
      <c r="E4422" s="1"/>
      <c r="F4422" s="1"/>
      <c r="G4422" s="1"/>
      <c r="H4422" s="1"/>
      <c r="I4422" s="2"/>
      <c r="J4422" s="1"/>
      <c r="K4422" s="1"/>
      <c r="L4422" s="1"/>
      <c r="M4422" s="1"/>
      <c r="N4422" s="1"/>
      <c r="O4422" s="1"/>
      <c r="P4422" s="1"/>
      <c r="Q4422" s="1"/>
      <c r="R4422" s="1"/>
      <c r="S4422" s="1"/>
      <c r="T4422" s="1"/>
      <c r="U4422" s="1"/>
      <c r="V4422" s="1"/>
      <c r="W4422" s="1"/>
      <c r="X4422" s="1"/>
    </row>
    <row x14ac:dyDescent="0.25" r="4423" customHeight="1" ht="18.75">
      <c r="A4423" s="1"/>
      <c r="B4423" s="1"/>
      <c r="C4423" s="1"/>
      <c r="D4423" s="1"/>
      <c r="E4423" s="1"/>
      <c r="F4423" s="1"/>
      <c r="G4423" s="1"/>
      <c r="H4423" s="1"/>
      <c r="I4423" s="2"/>
      <c r="J4423" s="1"/>
      <c r="K4423" s="1"/>
      <c r="L4423" s="1"/>
      <c r="M4423" s="1"/>
      <c r="N4423" s="1"/>
      <c r="O4423" s="1"/>
      <c r="P4423" s="1"/>
      <c r="Q4423" s="1"/>
      <c r="R4423" s="1"/>
      <c r="S4423" s="1"/>
      <c r="T4423" s="1"/>
      <c r="U4423" s="1"/>
      <c r="V4423" s="1"/>
      <c r="W4423" s="1"/>
      <c r="X4423" s="1"/>
    </row>
    <row x14ac:dyDescent="0.25" r="4424" customHeight="1" ht="18.75">
      <c r="A4424" s="1"/>
      <c r="B4424" s="1"/>
      <c r="C4424" s="1"/>
      <c r="D4424" s="1"/>
      <c r="E4424" s="1"/>
      <c r="F4424" s="1"/>
      <c r="G4424" s="1"/>
      <c r="H4424" s="1"/>
      <c r="I4424" s="2"/>
      <c r="J4424" s="1"/>
      <c r="K4424" s="1"/>
      <c r="L4424" s="1"/>
      <c r="M4424" s="1"/>
      <c r="N4424" s="1"/>
      <c r="O4424" s="1"/>
      <c r="P4424" s="1"/>
      <c r="Q4424" s="1"/>
      <c r="R4424" s="1"/>
      <c r="S4424" s="1"/>
      <c r="T4424" s="1"/>
      <c r="U4424" s="1"/>
      <c r="V4424" s="1"/>
      <c r="W4424" s="1"/>
      <c r="X4424" s="1"/>
    </row>
    <row x14ac:dyDescent="0.25" r="4425" customHeight="1" ht="18.75">
      <c r="A4425" s="1"/>
      <c r="B4425" s="1"/>
      <c r="C4425" s="1"/>
      <c r="D4425" s="1"/>
      <c r="E4425" s="1"/>
      <c r="F4425" s="1"/>
      <c r="G4425" s="1"/>
      <c r="H4425" s="1"/>
      <c r="I4425" s="2"/>
      <c r="J4425" s="1"/>
      <c r="K4425" s="1"/>
      <c r="L4425" s="1"/>
      <c r="M4425" s="1"/>
      <c r="N4425" s="1"/>
      <c r="O4425" s="1"/>
      <c r="P4425" s="1"/>
      <c r="Q4425" s="1"/>
      <c r="R4425" s="1"/>
      <c r="S4425" s="1"/>
      <c r="T4425" s="1"/>
      <c r="U4425" s="1"/>
      <c r="V4425" s="1"/>
      <c r="W4425" s="1"/>
      <c r="X4425" s="1"/>
    </row>
    <row x14ac:dyDescent="0.25" r="4426" customHeight="1" ht="18.75">
      <c r="A4426" s="1"/>
      <c r="B4426" s="1"/>
      <c r="C4426" s="1"/>
      <c r="D4426" s="1"/>
      <c r="E4426" s="1"/>
      <c r="F4426" s="1"/>
      <c r="G4426" s="1"/>
      <c r="H4426" s="1"/>
      <c r="I4426" s="2"/>
      <c r="J4426" s="1"/>
      <c r="K4426" s="1"/>
      <c r="L4426" s="1"/>
      <c r="M4426" s="1"/>
      <c r="N4426" s="1"/>
      <c r="O4426" s="1"/>
      <c r="P4426" s="1"/>
      <c r="Q4426" s="1"/>
      <c r="R4426" s="1"/>
      <c r="S4426" s="1"/>
      <c r="T4426" s="1"/>
      <c r="U4426" s="1"/>
      <c r="V4426" s="1"/>
      <c r="W4426" s="1"/>
      <c r="X4426" s="1"/>
    </row>
    <row x14ac:dyDescent="0.25" r="4427" customHeight="1" ht="18.75">
      <c r="A4427" s="1"/>
      <c r="B4427" s="1"/>
      <c r="C4427" s="1"/>
      <c r="D4427" s="1"/>
      <c r="E4427" s="1"/>
      <c r="F4427" s="1"/>
      <c r="G4427" s="1"/>
      <c r="H4427" s="1"/>
      <c r="I4427" s="2"/>
      <c r="J4427" s="1"/>
      <c r="K4427" s="1"/>
      <c r="L4427" s="1"/>
      <c r="M4427" s="1"/>
      <c r="N4427" s="1"/>
      <c r="O4427" s="1"/>
      <c r="P4427" s="1"/>
      <c r="Q4427" s="1"/>
      <c r="R4427" s="1"/>
      <c r="S4427" s="1"/>
      <c r="T4427" s="1"/>
      <c r="U4427" s="1"/>
      <c r="V4427" s="1"/>
      <c r="W4427" s="1"/>
      <c r="X4427" s="1"/>
    </row>
    <row x14ac:dyDescent="0.25" r="4428" customHeight="1" ht="18.75">
      <c r="A4428" s="1"/>
      <c r="B4428" s="1"/>
      <c r="C4428" s="1"/>
      <c r="D4428" s="1"/>
      <c r="E4428" s="1"/>
      <c r="F4428" s="1"/>
      <c r="G4428" s="1"/>
      <c r="H4428" s="1"/>
      <c r="I4428" s="2"/>
      <c r="J4428" s="1"/>
      <c r="K4428" s="1"/>
      <c r="L4428" s="1"/>
      <c r="M4428" s="1"/>
      <c r="N4428" s="1"/>
      <c r="O4428" s="1"/>
      <c r="P4428" s="1"/>
      <c r="Q4428" s="1"/>
      <c r="R4428" s="1"/>
      <c r="S4428" s="1"/>
      <c r="T4428" s="1"/>
      <c r="U4428" s="1"/>
      <c r="V4428" s="1"/>
      <c r="W4428" s="1"/>
      <c r="X4428" s="1"/>
    </row>
    <row x14ac:dyDescent="0.25" r="4429" customHeight="1" ht="18.75">
      <c r="A4429" s="1"/>
      <c r="B4429" s="1"/>
      <c r="C4429" s="1"/>
      <c r="D4429" s="1"/>
      <c r="E4429" s="1"/>
      <c r="F4429" s="1"/>
      <c r="G4429" s="1"/>
      <c r="H4429" s="1"/>
      <c r="I4429" s="2"/>
      <c r="J4429" s="1"/>
      <c r="K4429" s="1"/>
      <c r="L4429" s="1"/>
      <c r="M4429" s="1"/>
      <c r="N4429" s="1"/>
      <c r="O4429" s="1"/>
      <c r="P4429" s="1"/>
      <c r="Q4429" s="1"/>
      <c r="R4429" s="1"/>
      <c r="S4429" s="1"/>
      <c r="T4429" s="1"/>
      <c r="U4429" s="1"/>
      <c r="V4429" s="1"/>
      <c r="W4429" s="1"/>
      <c r="X4429" s="1"/>
    </row>
    <row x14ac:dyDescent="0.25" r="4430" customHeight="1" ht="18.75">
      <c r="A4430" s="1"/>
      <c r="B4430" s="1"/>
      <c r="C4430" s="1"/>
      <c r="D4430" s="1"/>
      <c r="E4430" s="1"/>
      <c r="F4430" s="1"/>
      <c r="G4430" s="1"/>
      <c r="H4430" s="1"/>
      <c r="I4430" s="2"/>
      <c r="J4430" s="1"/>
      <c r="K4430" s="1"/>
      <c r="L4430" s="1"/>
      <c r="M4430" s="1"/>
      <c r="N4430" s="1"/>
      <c r="O4430" s="1"/>
      <c r="P4430" s="1"/>
      <c r="Q4430" s="1"/>
      <c r="R4430" s="1"/>
      <c r="S4430" s="1"/>
      <c r="T4430" s="1"/>
      <c r="U4430" s="1"/>
      <c r="V4430" s="1"/>
      <c r="W4430" s="1"/>
      <c r="X4430" s="1"/>
    </row>
    <row x14ac:dyDescent="0.25" r="4431" customHeight="1" ht="18.75">
      <c r="A4431" s="1"/>
      <c r="B4431" s="1"/>
      <c r="C4431" s="1"/>
      <c r="D4431" s="1"/>
      <c r="E4431" s="1"/>
      <c r="F4431" s="1"/>
      <c r="G4431" s="1"/>
      <c r="H4431" s="1"/>
      <c r="I4431" s="2"/>
      <c r="J4431" s="1"/>
      <c r="K4431" s="1"/>
      <c r="L4431" s="1"/>
      <c r="M4431" s="1"/>
      <c r="N4431" s="1"/>
      <c r="O4431" s="1"/>
      <c r="P4431" s="1"/>
      <c r="Q4431" s="1"/>
      <c r="R4431" s="1"/>
      <c r="S4431" s="1"/>
      <c r="T4431" s="1"/>
      <c r="U4431" s="1"/>
      <c r="V4431" s="1"/>
      <c r="W4431" s="1"/>
      <c r="X4431" s="1"/>
    </row>
    <row x14ac:dyDescent="0.25" r="4432" customHeight="1" ht="18.75">
      <c r="A4432" s="1"/>
      <c r="B4432" s="1"/>
      <c r="C4432" s="1"/>
      <c r="D4432" s="1"/>
      <c r="E4432" s="1"/>
      <c r="F4432" s="1"/>
      <c r="G4432" s="1"/>
      <c r="H4432" s="1"/>
      <c r="I4432" s="2"/>
      <c r="J4432" s="1"/>
      <c r="K4432" s="1"/>
      <c r="L4432" s="1"/>
      <c r="M4432" s="1"/>
      <c r="N4432" s="1"/>
      <c r="O4432" s="1"/>
      <c r="P4432" s="1"/>
      <c r="Q4432" s="1"/>
      <c r="R4432" s="1"/>
      <c r="S4432" s="1"/>
      <c r="T4432" s="1"/>
      <c r="U4432" s="1"/>
      <c r="V4432" s="1"/>
      <c r="W4432" s="1"/>
      <c r="X4432" s="1"/>
    </row>
    <row x14ac:dyDescent="0.25" r="4433" customHeight="1" ht="18.75">
      <c r="A4433" s="1"/>
      <c r="B4433" s="1"/>
      <c r="C4433" s="1"/>
      <c r="D4433" s="1"/>
      <c r="E4433" s="1"/>
      <c r="F4433" s="1"/>
      <c r="G4433" s="1"/>
      <c r="H4433" s="1"/>
      <c r="I4433" s="2"/>
      <c r="J4433" s="1"/>
      <c r="K4433" s="1"/>
      <c r="L4433" s="1"/>
      <c r="M4433" s="1"/>
      <c r="N4433" s="1"/>
      <c r="O4433" s="1"/>
      <c r="P4433" s="1"/>
      <c r="Q4433" s="1"/>
      <c r="R4433" s="1"/>
      <c r="S4433" s="1"/>
      <c r="T4433" s="1"/>
      <c r="U4433" s="1"/>
      <c r="V4433" s="1"/>
      <c r="W4433" s="1"/>
      <c r="X4433" s="1"/>
    </row>
    <row x14ac:dyDescent="0.25" r="4434" customHeight="1" ht="18.75">
      <c r="A4434" s="1"/>
      <c r="B4434" s="1"/>
      <c r="C4434" s="1"/>
      <c r="D4434" s="1"/>
      <c r="E4434" s="1"/>
      <c r="F4434" s="1"/>
      <c r="G4434" s="1"/>
      <c r="H4434" s="1"/>
      <c r="I4434" s="2"/>
      <c r="J4434" s="1"/>
      <c r="K4434" s="1"/>
      <c r="L4434" s="1"/>
      <c r="M4434" s="1"/>
      <c r="N4434" s="1"/>
      <c r="O4434" s="1"/>
      <c r="P4434" s="1"/>
      <c r="Q4434" s="1"/>
      <c r="R4434" s="1"/>
      <c r="S4434" s="1"/>
      <c r="T4434" s="1"/>
      <c r="U4434" s="1"/>
      <c r="V4434" s="1"/>
      <c r="W4434" s="1"/>
      <c r="X4434" s="1"/>
    </row>
    <row x14ac:dyDescent="0.25" r="4435" customHeight="1" ht="18.75">
      <c r="A4435" s="1"/>
      <c r="B4435" s="1"/>
      <c r="C4435" s="1"/>
      <c r="D4435" s="1"/>
      <c r="E4435" s="1"/>
      <c r="F4435" s="1"/>
      <c r="G4435" s="1"/>
      <c r="H4435" s="1"/>
      <c r="I4435" s="2"/>
      <c r="J4435" s="1"/>
      <c r="K4435" s="1"/>
      <c r="L4435" s="1"/>
      <c r="M4435" s="1"/>
      <c r="N4435" s="1"/>
      <c r="O4435" s="1"/>
      <c r="P4435" s="1"/>
      <c r="Q4435" s="1"/>
      <c r="R4435" s="1"/>
      <c r="S4435" s="1"/>
      <c r="T4435" s="1"/>
      <c r="U4435" s="1"/>
      <c r="V4435" s="1"/>
      <c r="W4435" s="1"/>
      <c r="X4435" s="1"/>
    </row>
    <row x14ac:dyDescent="0.25" r="4436" customHeight="1" ht="18.75">
      <c r="A4436" s="1"/>
      <c r="B4436" s="1"/>
      <c r="C4436" s="1"/>
      <c r="D4436" s="1"/>
      <c r="E4436" s="1"/>
      <c r="F4436" s="1"/>
      <c r="G4436" s="1"/>
      <c r="H4436" s="1"/>
      <c r="I4436" s="2"/>
      <c r="J4436" s="1"/>
      <c r="K4436" s="1"/>
      <c r="L4436" s="1"/>
      <c r="M4436" s="1"/>
      <c r="N4436" s="1"/>
      <c r="O4436" s="1"/>
      <c r="P4436" s="1"/>
      <c r="Q4436" s="1"/>
      <c r="R4436" s="1"/>
      <c r="S4436" s="1"/>
      <c r="T4436" s="1"/>
      <c r="U4436" s="1"/>
      <c r="V4436" s="1"/>
      <c r="W4436" s="1"/>
      <c r="X4436" s="1"/>
    </row>
    <row x14ac:dyDescent="0.25" r="4437" customHeight="1" ht="18.75">
      <c r="A4437" s="1"/>
      <c r="B4437" s="1"/>
      <c r="C4437" s="1"/>
      <c r="D4437" s="1"/>
      <c r="E4437" s="1"/>
      <c r="F4437" s="1"/>
      <c r="G4437" s="1"/>
      <c r="H4437" s="1"/>
      <c r="I4437" s="2"/>
      <c r="J4437" s="1"/>
      <c r="K4437" s="1"/>
      <c r="L4437" s="1"/>
      <c r="M4437" s="1"/>
      <c r="N4437" s="1"/>
      <c r="O4437" s="1"/>
      <c r="P4437" s="1"/>
      <c r="Q4437" s="1"/>
      <c r="R4437" s="1"/>
      <c r="S4437" s="1"/>
      <c r="T4437" s="1"/>
      <c r="U4437" s="1"/>
      <c r="V4437" s="1"/>
      <c r="W4437" s="1"/>
      <c r="X4437" s="1"/>
    </row>
    <row x14ac:dyDescent="0.25" r="4438" customHeight="1" ht="18.75">
      <c r="A4438" s="1"/>
      <c r="B4438" s="1"/>
      <c r="C4438" s="1"/>
      <c r="D4438" s="1"/>
      <c r="E4438" s="1"/>
      <c r="F4438" s="1"/>
      <c r="G4438" s="1"/>
      <c r="H4438" s="1"/>
      <c r="I4438" s="2"/>
      <c r="J4438" s="1"/>
      <c r="K4438" s="1"/>
      <c r="L4438" s="1"/>
      <c r="M4438" s="1"/>
      <c r="N4438" s="1"/>
      <c r="O4438" s="1"/>
      <c r="P4438" s="1"/>
      <c r="Q4438" s="1"/>
      <c r="R4438" s="1"/>
      <c r="S4438" s="1"/>
      <c r="T4438" s="1"/>
      <c r="U4438" s="1"/>
      <c r="V4438" s="1"/>
      <c r="W4438" s="1"/>
      <c r="X4438" s="1"/>
    </row>
    <row x14ac:dyDescent="0.25" r="4439" customHeight="1" ht="18.75">
      <c r="A4439" s="1"/>
      <c r="B4439" s="1"/>
      <c r="C4439" s="1"/>
      <c r="D4439" s="1"/>
      <c r="E4439" s="1"/>
      <c r="F4439" s="1"/>
      <c r="G4439" s="1"/>
      <c r="H4439" s="1"/>
      <c r="I4439" s="2"/>
      <c r="J4439" s="1"/>
      <c r="K4439" s="1"/>
      <c r="L4439" s="1"/>
      <c r="M4439" s="1"/>
      <c r="N4439" s="1"/>
      <c r="O4439" s="1"/>
      <c r="P4439" s="1"/>
      <c r="Q4439" s="1"/>
      <c r="R4439" s="1"/>
      <c r="S4439" s="1"/>
      <c r="T4439" s="1"/>
      <c r="U4439" s="1"/>
      <c r="V4439" s="1"/>
      <c r="W4439" s="1"/>
      <c r="X4439" s="1"/>
    </row>
    <row x14ac:dyDescent="0.25" r="4440" customHeight="1" ht="18.75">
      <c r="A4440" s="1"/>
      <c r="B4440" s="1"/>
      <c r="C4440" s="1"/>
      <c r="D4440" s="1"/>
      <c r="E4440" s="1"/>
      <c r="F4440" s="1"/>
      <c r="G4440" s="1"/>
      <c r="H4440" s="1"/>
      <c r="I4440" s="2"/>
      <c r="J4440" s="1"/>
      <c r="K4440" s="1"/>
      <c r="L4440" s="1"/>
      <c r="M4440" s="1"/>
      <c r="N4440" s="1"/>
      <c r="O4440" s="1"/>
      <c r="P4440" s="1"/>
      <c r="Q4440" s="1"/>
      <c r="R4440" s="1"/>
      <c r="S4440" s="1"/>
      <c r="T4440" s="1"/>
      <c r="U4440" s="1"/>
      <c r="V4440" s="1"/>
      <c r="W4440" s="1"/>
      <c r="X4440" s="1"/>
    </row>
    <row x14ac:dyDescent="0.25" r="4441" customHeight="1" ht="18.75">
      <c r="A4441" s="1"/>
      <c r="B4441" s="1"/>
      <c r="C4441" s="1"/>
      <c r="D4441" s="1"/>
      <c r="E4441" s="1"/>
      <c r="F4441" s="1"/>
      <c r="G4441" s="1"/>
      <c r="H4441" s="1"/>
      <c r="I4441" s="2"/>
      <c r="J4441" s="1"/>
      <c r="K4441" s="1"/>
      <c r="L4441" s="1"/>
      <c r="M4441" s="1"/>
      <c r="N4441" s="1"/>
      <c r="O4441" s="1"/>
      <c r="P4441" s="1"/>
      <c r="Q4441" s="1"/>
      <c r="R4441" s="1"/>
      <c r="S4441" s="1"/>
      <c r="T4441" s="1"/>
      <c r="U4441" s="1"/>
      <c r="V4441" s="1"/>
      <c r="W4441" s="1"/>
      <c r="X4441" s="1"/>
    </row>
    <row x14ac:dyDescent="0.25" r="4442" customHeight="1" ht="18.75">
      <c r="A4442" s="1"/>
      <c r="B4442" s="1"/>
      <c r="C4442" s="1"/>
      <c r="D4442" s="1"/>
      <c r="E4442" s="1"/>
      <c r="F4442" s="1"/>
      <c r="G4442" s="1"/>
      <c r="H4442" s="1"/>
      <c r="I4442" s="2"/>
      <c r="J4442" s="1"/>
      <c r="K4442" s="1"/>
      <c r="L4442" s="1"/>
      <c r="M4442" s="1"/>
      <c r="N4442" s="1"/>
      <c r="O4442" s="1"/>
      <c r="P4442" s="1"/>
      <c r="Q4442" s="1"/>
      <c r="R4442" s="1"/>
      <c r="S4442" s="1"/>
      <c r="T4442" s="1"/>
      <c r="U4442" s="1"/>
      <c r="V4442" s="1"/>
      <c r="W4442" s="1"/>
      <c r="X4442" s="1"/>
    </row>
    <row x14ac:dyDescent="0.25" r="4443" customHeight="1" ht="18.75">
      <c r="A4443" s="1"/>
      <c r="B4443" s="1"/>
      <c r="C4443" s="1"/>
      <c r="D4443" s="1"/>
      <c r="E4443" s="1"/>
      <c r="F4443" s="1"/>
      <c r="G4443" s="1"/>
      <c r="H4443" s="1"/>
      <c r="I4443" s="2"/>
      <c r="J4443" s="1"/>
      <c r="K4443" s="1"/>
      <c r="L4443" s="1"/>
      <c r="M4443" s="1"/>
      <c r="N4443" s="1"/>
      <c r="O4443" s="1"/>
      <c r="P4443" s="1"/>
      <c r="Q4443" s="1"/>
      <c r="R4443" s="1"/>
      <c r="S4443" s="1"/>
      <c r="T4443" s="1"/>
      <c r="U4443" s="1"/>
      <c r="V4443" s="1"/>
      <c r="W4443" s="1"/>
      <c r="X4443" s="1"/>
    </row>
    <row x14ac:dyDescent="0.25" r="4444" customHeight="1" ht="18.75">
      <c r="A4444" s="1"/>
      <c r="B4444" s="1"/>
      <c r="C4444" s="1"/>
      <c r="D4444" s="1"/>
      <c r="E4444" s="1"/>
      <c r="F4444" s="1"/>
      <c r="G4444" s="1"/>
      <c r="H4444" s="1"/>
      <c r="I4444" s="2"/>
      <c r="J4444" s="1"/>
      <c r="K4444" s="1"/>
      <c r="L4444" s="1"/>
      <c r="M4444" s="1"/>
      <c r="N4444" s="1"/>
      <c r="O4444" s="1"/>
      <c r="P4444" s="1"/>
      <c r="Q4444" s="1"/>
      <c r="R4444" s="1"/>
      <c r="S4444" s="1"/>
      <c r="T4444" s="1"/>
      <c r="U4444" s="1"/>
      <c r="V4444" s="1"/>
      <c r="W4444" s="1"/>
      <c r="X4444" s="1"/>
    </row>
    <row x14ac:dyDescent="0.25" r="4445" customHeight="1" ht="18.75">
      <c r="A4445" s="1"/>
      <c r="B4445" s="1"/>
      <c r="C4445" s="1"/>
      <c r="D4445" s="1"/>
      <c r="E4445" s="1"/>
      <c r="F4445" s="1"/>
      <c r="G4445" s="1"/>
      <c r="H4445" s="1"/>
      <c r="I4445" s="2"/>
      <c r="J4445" s="1"/>
      <c r="K4445" s="1"/>
      <c r="L4445" s="1"/>
      <c r="M4445" s="1"/>
      <c r="N4445" s="1"/>
      <c r="O4445" s="1"/>
      <c r="P4445" s="1"/>
      <c r="Q4445" s="1"/>
      <c r="R4445" s="1"/>
      <c r="S4445" s="1"/>
      <c r="T4445" s="1"/>
      <c r="U4445" s="1"/>
      <c r="V4445" s="1"/>
      <c r="W4445" s="1"/>
      <c r="X4445" s="1"/>
    </row>
    <row x14ac:dyDescent="0.25" r="4446" customHeight="1" ht="18.75">
      <c r="A4446" s="1"/>
      <c r="B4446" s="1"/>
      <c r="C4446" s="1"/>
      <c r="D4446" s="1"/>
      <c r="E4446" s="1"/>
      <c r="F4446" s="1"/>
      <c r="G4446" s="1"/>
      <c r="H4446" s="1"/>
      <c r="I4446" s="2"/>
      <c r="J4446" s="1"/>
      <c r="K4446" s="1"/>
      <c r="L4446" s="1"/>
      <c r="M4446" s="1"/>
      <c r="N4446" s="1"/>
      <c r="O4446" s="1"/>
      <c r="P4446" s="1"/>
      <c r="Q4446" s="1"/>
      <c r="R4446" s="1"/>
      <c r="S4446" s="1"/>
      <c r="T4446" s="1"/>
      <c r="U4446" s="1"/>
      <c r="V4446" s="1"/>
      <c r="W4446" s="1"/>
      <c r="X4446" s="1"/>
    </row>
    <row x14ac:dyDescent="0.25" r="4447" customHeight="1" ht="18.75">
      <c r="A4447" s="1"/>
      <c r="B4447" s="1"/>
      <c r="C4447" s="1"/>
      <c r="D4447" s="1"/>
      <c r="E4447" s="1"/>
      <c r="F4447" s="1"/>
      <c r="G4447" s="1"/>
      <c r="H4447" s="1"/>
      <c r="I4447" s="2"/>
      <c r="J4447" s="1"/>
      <c r="K4447" s="1"/>
      <c r="L4447" s="1"/>
      <c r="M4447" s="1"/>
      <c r="N4447" s="1"/>
      <c r="O4447" s="1"/>
      <c r="P4447" s="1"/>
      <c r="Q4447" s="1"/>
      <c r="R4447" s="1"/>
      <c r="S4447" s="1"/>
      <c r="T4447" s="1"/>
      <c r="U4447" s="1"/>
      <c r="V4447" s="1"/>
      <c r="W4447" s="1"/>
      <c r="X4447" s="1"/>
    </row>
    <row x14ac:dyDescent="0.25" r="4448" customHeight="1" ht="18.75">
      <c r="A4448" s="1"/>
      <c r="B4448" s="1"/>
      <c r="C4448" s="1"/>
      <c r="D4448" s="1"/>
      <c r="E4448" s="1"/>
      <c r="F4448" s="1"/>
      <c r="G4448" s="1"/>
      <c r="H4448" s="1"/>
      <c r="I4448" s="2"/>
      <c r="J4448" s="1"/>
      <c r="K4448" s="1"/>
      <c r="L4448" s="1"/>
      <c r="M4448" s="1"/>
      <c r="N4448" s="1"/>
      <c r="O4448" s="1"/>
      <c r="P4448" s="1"/>
      <c r="Q4448" s="1"/>
      <c r="R4448" s="1"/>
      <c r="S4448" s="1"/>
      <c r="T4448" s="1"/>
      <c r="U4448" s="1"/>
      <c r="V4448" s="1"/>
      <c r="W4448" s="1"/>
      <c r="X4448" s="1"/>
    </row>
    <row x14ac:dyDescent="0.25" r="4449" customHeight="1" ht="18.75">
      <c r="A4449" s="1"/>
      <c r="B4449" s="1"/>
      <c r="C4449" s="1"/>
      <c r="D4449" s="1"/>
      <c r="E4449" s="1"/>
      <c r="F4449" s="1"/>
      <c r="G4449" s="1"/>
      <c r="H4449" s="1"/>
      <c r="I4449" s="2"/>
      <c r="J4449" s="1"/>
      <c r="K4449" s="1"/>
      <c r="L4449" s="1"/>
      <c r="M4449" s="1"/>
      <c r="N4449" s="1"/>
      <c r="O4449" s="1"/>
      <c r="P4449" s="1"/>
      <c r="Q4449" s="1"/>
      <c r="R4449" s="1"/>
      <c r="S4449" s="1"/>
      <c r="T4449" s="1"/>
      <c r="U4449" s="1"/>
      <c r="V4449" s="1"/>
      <c r="W4449" s="1"/>
      <c r="X4449" s="1"/>
    </row>
    <row x14ac:dyDescent="0.25" r="4450" customHeight="1" ht="18.75">
      <c r="A4450" s="1"/>
      <c r="B4450" s="1"/>
      <c r="C4450" s="1"/>
      <c r="D4450" s="1"/>
      <c r="E4450" s="1"/>
      <c r="F4450" s="1"/>
      <c r="G4450" s="1"/>
      <c r="H4450" s="1"/>
      <c r="I4450" s="2"/>
      <c r="J4450" s="1"/>
      <c r="K4450" s="1"/>
      <c r="L4450" s="1"/>
      <c r="M4450" s="1"/>
      <c r="N4450" s="1"/>
      <c r="O4450" s="1"/>
      <c r="P4450" s="1"/>
      <c r="Q4450" s="1"/>
      <c r="R4450" s="1"/>
      <c r="S4450" s="1"/>
      <c r="T4450" s="1"/>
      <c r="U4450" s="1"/>
      <c r="V4450" s="1"/>
      <c r="W4450" s="1"/>
      <c r="X4450" s="1"/>
    </row>
    <row x14ac:dyDescent="0.25" r="4451" customHeight="1" ht="18.75">
      <c r="A4451" s="1"/>
      <c r="B4451" s="1"/>
      <c r="C4451" s="1"/>
      <c r="D4451" s="1"/>
      <c r="E4451" s="1"/>
      <c r="F4451" s="1"/>
      <c r="G4451" s="1"/>
      <c r="H4451" s="1"/>
      <c r="I4451" s="2"/>
      <c r="J4451" s="1"/>
      <c r="K4451" s="1"/>
      <c r="L4451" s="1"/>
      <c r="M4451" s="1"/>
      <c r="N4451" s="1"/>
      <c r="O4451" s="1"/>
      <c r="P4451" s="1"/>
      <c r="Q4451" s="1"/>
      <c r="R4451" s="1"/>
      <c r="S4451" s="1"/>
      <c r="T4451" s="1"/>
      <c r="U4451" s="1"/>
      <c r="V4451" s="1"/>
      <c r="W4451" s="1"/>
      <c r="X4451" s="1"/>
    </row>
    <row x14ac:dyDescent="0.25" r="4452" customHeight="1" ht="18.75">
      <c r="A4452" s="1"/>
      <c r="B4452" s="1"/>
      <c r="C4452" s="1"/>
      <c r="D4452" s="1"/>
      <c r="E4452" s="1"/>
      <c r="F4452" s="1"/>
      <c r="G4452" s="1"/>
      <c r="H4452" s="1"/>
      <c r="I4452" s="2"/>
      <c r="J4452" s="1"/>
      <c r="K4452" s="1"/>
      <c r="L4452" s="1"/>
      <c r="M4452" s="1"/>
      <c r="N4452" s="1"/>
      <c r="O4452" s="1"/>
      <c r="P4452" s="1"/>
      <c r="Q4452" s="1"/>
      <c r="R4452" s="1"/>
      <c r="S4452" s="1"/>
      <c r="T4452" s="1"/>
      <c r="U4452" s="1"/>
      <c r="V4452" s="1"/>
      <c r="W4452" s="1"/>
      <c r="X4452" s="1"/>
    </row>
    <row x14ac:dyDescent="0.25" r="4453" customHeight="1" ht="18.75">
      <c r="A4453" s="1"/>
      <c r="B4453" s="1"/>
      <c r="C4453" s="1"/>
      <c r="D4453" s="1"/>
      <c r="E4453" s="1"/>
      <c r="F4453" s="1"/>
      <c r="G4453" s="1"/>
      <c r="H4453" s="1"/>
      <c r="I4453" s="2"/>
      <c r="J4453" s="1"/>
      <c r="K4453" s="1"/>
      <c r="L4453" s="1"/>
      <c r="M4453" s="1"/>
      <c r="N4453" s="1"/>
      <c r="O4453" s="1"/>
      <c r="P4453" s="1"/>
      <c r="Q4453" s="1"/>
      <c r="R4453" s="1"/>
      <c r="S4453" s="1"/>
      <c r="T4453" s="1"/>
      <c r="U4453" s="1"/>
      <c r="V4453" s="1"/>
      <c r="W4453" s="1"/>
      <c r="X4453" s="1"/>
    </row>
    <row x14ac:dyDescent="0.25" r="4454" customHeight="1" ht="18.75">
      <c r="A4454" s="1"/>
      <c r="B4454" s="1"/>
      <c r="C4454" s="1"/>
      <c r="D4454" s="1"/>
      <c r="E4454" s="1"/>
      <c r="F4454" s="1"/>
      <c r="G4454" s="1"/>
      <c r="H4454" s="1"/>
      <c r="I4454" s="2"/>
      <c r="J4454" s="1"/>
      <c r="K4454" s="1"/>
      <c r="L4454" s="1"/>
      <c r="M4454" s="1"/>
      <c r="N4454" s="1"/>
      <c r="O4454" s="1"/>
      <c r="P4454" s="1"/>
      <c r="Q4454" s="1"/>
      <c r="R4454" s="1"/>
      <c r="S4454" s="1"/>
      <c r="T4454" s="1"/>
      <c r="U4454" s="1"/>
      <c r="V4454" s="1"/>
      <c r="W4454" s="1"/>
      <c r="X4454" s="1"/>
    </row>
    <row x14ac:dyDescent="0.25" r="4455" customHeight="1" ht="18.75">
      <c r="A4455" s="1"/>
      <c r="B4455" s="1"/>
      <c r="C4455" s="1"/>
      <c r="D4455" s="1"/>
      <c r="E4455" s="1"/>
      <c r="F4455" s="1"/>
      <c r="G4455" s="1"/>
      <c r="H4455" s="1"/>
      <c r="I4455" s="2"/>
      <c r="J4455" s="1"/>
      <c r="K4455" s="1"/>
      <c r="L4455" s="1"/>
      <c r="M4455" s="1"/>
      <c r="N4455" s="1"/>
      <c r="O4455" s="1"/>
      <c r="P4455" s="1"/>
      <c r="Q4455" s="1"/>
      <c r="R4455" s="1"/>
      <c r="S4455" s="1"/>
      <c r="T4455" s="1"/>
      <c r="U4455" s="1"/>
      <c r="V4455" s="1"/>
      <c r="W4455" s="1"/>
      <c r="X4455" s="1"/>
    </row>
    <row x14ac:dyDescent="0.25" r="4456" customHeight="1" ht="18.75">
      <c r="A4456" s="1"/>
      <c r="B4456" s="1"/>
      <c r="C4456" s="1"/>
      <c r="D4456" s="1"/>
      <c r="E4456" s="1"/>
      <c r="F4456" s="1"/>
      <c r="G4456" s="1"/>
      <c r="H4456" s="1"/>
      <c r="I4456" s="2"/>
      <c r="J4456" s="1"/>
      <c r="K4456" s="1"/>
      <c r="L4456" s="1"/>
      <c r="M4456" s="1"/>
      <c r="N4456" s="1"/>
      <c r="O4456" s="1"/>
      <c r="P4456" s="1"/>
      <c r="Q4456" s="1"/>
      <c r="R4456" s="1"/>
      <c r="S4456" s="1"/>
      <c r="T4456" s="1"/>
      <c r="U4456" s="1"/>
      <c r="V4456" s="1"/>
      <c r="W4456" s="1"/>
      <c r="X4456" s="1"/>
    </row>
    <row x14ac:dyDescent="0.25" r="4457" customHeight="1" ht="18.75">
      <c r="A4457" s="1"/>
      <c r="B4457" s="1"/>
      <c r="C4457" s="1"/>
      <c r="D4457" s="1"/>
      <c r="E4457" s="1"/>
      <c r="F4457" s="1"/>
      <c r="G4457" s="1"/>
      <c r="H4457" s="1"/>
      <c r="I4457" s="2"/>
      <c r="J4457" s="1"/>
      <c r="K4457" s="1"/>
      <c r="L4457" s="1"/>
      <c r="M4457" s="1"/>
      <c r="N4457" s="1"/>
      <c r="O4457" s="1"/>
      <c r="P4457" s="1"/>
      <c r="Q4457" s="1"/>
      <c r="R4457" s="1"/>
      <c r="S4457" s="1"/>
      <c r="T4457" s="1"/>
      <c r="U4457" s="1"/>
      <c r="V4457" s="1"/>
      <c r="W4457" s="1"/>
      <c r="X4457" s="1"/>
    </row>
    <row x14ac:dyDescent="0.25" r="4458" customHeight="1" ht="18.75">
      <c r="A4458" s="1"/>
      <c r="B4458" s="1"/>
      <c r="C4458" s="1"/>
      <c r="D4458" s="1"/>
      <c r="E4458" s="1"/>
      <c r="F4458" s="1"/>
      <c r="G4458" s="1"/>
      <c r="H4458" s="1"/>
      <c r="I4458" s="2"/>
      <c r="J4458" s="1"/>
      <c r="K4458" s="1"/>
      <c r="L4458" s="1"/>
      <c r="M4458" s="1"/>
      <c r="N4458" s="1"/>
      <c r="O4458" s="1"/>
      <c r="P4458" s="1"/>
      <c r="Q4458" s="1"/>
      <c r="R4458" s="1"/>
      <c r="S4458" s="1"/>
      <c r="T4458" s="1"/>
      <c r="U4458" s="1"/>
      <c r="V4458" s="1"/>
      <c r="W4458" s="1"/>
      <c r="X4458" s="1"/>
    </row>
    <row x14ac:dyDescent="0.25" r="4459" customHeight="1" ht="18.75">
      <c r="A4459" s="1"/>
      <c r="B4459" s="1"/>
      <c r="C4459" s="1"/>
      <c r="D4459" s="1"/>
      <c r="E4459" s="1"/>
      <c r="F4459" s="1"/>
      <c r="G4459" s="1"/>
      <c r="H4459" s="1"/>
      <c r="I4459" s="2"/>
      <c r="J4459" s="1"/>
      <c r="K4459" s="1"/>
      <c r="L4459" s="1"/>
      <c r="M4459" s="1"/>
      <c r="N4459" s="1"/>
      <c r="O4459" s="1"/>
      <c r="P4459" s="1"/>
      <c r="Q4459" s="1"/>
      <c r="R4459" s="1"/>
      <c r="S4459" s="1"/>
      <c r="T4459" s="1"/>
      <c r="U4459" s="1"/>
      <c r="V4459" s="1"/>
      <c r="W4459" s="1"/>
      <c r="X4459" s="1"/>
    </row>
    <row x14ac:dyDescent="0.25" r="4460" customHeight="1" ht="18.75">
      <c r="A4460" s="1"/>
      <c r="B4460" s="1"/>
      <c r="C4460" s="1"/>
      <c r="D4460" s="1"/>
      <c r="E4460" s="1"/>
      <c r="F4460" s="1"/>
      <c r="G4460" s="1"/>
      <c r="H4460" s="1"/>
      <c r="I4460" s="2"/>
      <c r="J4460" s="1"/>
      <c r="K4460" s="1"/>
      <c r="L4460" s="1"/>
      <c r="M4460" s="1"/>
      <c r="N4460" s="1"/>
      <c r="O4460" s="1"/>
      <c r="P4460" s="1"/>
      <c r="Q4460" s="1"/>
      <c r="R4460" s="1"/>
      <c r="S4460" s="1"/>
      <c r="T4460" s="1"/>
      <c r="U4460" s="1"/>
      <c r="V4460" s="1"/>
      <c r="W4460" s="1"/>
      <c r="X4460" s="1"/>
    </row>
    <row x14ac:dyDescent="0.25" r="4461" customHeight="1" ht="18.75">
      <c r="A4461" s="1"/>
      <c r="B4461" s="1"/>
      <c r="C4461" s="1"/>
      <c r="D4461" s="1"/>
      <c r="E4461" s="1"/>
      <c r="F4461" s="1"/>
      <c r="G4461" s="1"/>
      <c r="H4461" s="1"/>
      <c r="I4461" s="2"/>
      <c r="J4461" s="1"/>
      <c r="K4461" s="1"/>
      <c r="L4461" s="1"/>
      <c r="M4461" s="1"/>
      <c r="N4461" s="1"/>
      <c r="O4461" s="1"/>
      <c r="P4461" s="1"/>
      <c r="Q4461" s="1"/>
      <c r="R4461" s="1"/>
      <c r="S4461" s="1"/>
      <c r="T4461" s="1"/>
      <c r="U4461" s="1"/>
      <c r="V4461" s="1"/>
      <c r="W4461" s="1"/>
      <c r="X4461" s="1"/>
    </row>
    <row x14ac:dyDescent="0.25" r="4462" customHeight="1" ht="18.75">
      <c r="A4462" s="1"/>
      <c r="B4462" s="1"/>
      <c r="C4462" s="1"/>
      <c r="D4462" s="1"/>
      <c r="E4462" s="1"/>
      <c r="F4462" s="1"/>
      <c r="G4462" s="1"/>
      <c r="H4462" s="1"/>
      <c r="I4462" s="2"/>
      <c r="J4462" s="1"/>
      <c r="K4462" s="1"/>
      <c r="L4462" s="1"/>
      <c r="M4462" s="1"/>
      <c r="N4462" s="1"/>
      <c r="O4462" s="1"/>
      <c r="P4462" s="1"/>
      <c r="Q4462" s="1"/>
      <c r="R4462" s="1"/>
      <c r="S4462" s="1"/>
      <c r="T4462" s="1"/>
      <c r="U4462" s="1"/>
      <c r="V4462" s="1"/>
      <c r="W4462" s="1"/>
      <c r="X4462" s="1"/>
    </row>
    <row x14ac:dyDescent="0.25" r="4463" customHeight="1" ht="18.75">
      <c r="A4463" s="1"/>
      <c r="B4463" s="1"/>
      <c r="C4463" s="1"/>
      <c r="D4463" s="1"/>
      <c r="E4463" s="1"/>
      <c r="F4463" s="1"/>
      <c r="G4463" s="1"/>
      <c r="H4463" s="1"/>
      <c r="I4463" s="2"/>
      <c r="J4463" s="1"/>
      <c r="K4463" s="1"/>
      <c r="L4463" s="1"/>
      <c r="M4463" s="1"/>
      <c r="N4463" s="1"/>
      <c r="O4463" s="1"/>
      <c r="P4463" s="1"/>
      <c r="Q4463" s="1"/>
      <c r="R4463" s="1"/>
      <c r="S4463" s="1"/>
      <c r="T4463" s="1"/>
      <c r="U4463" s="1"/>
      <c r="V4463" s="1"/>
      <c r="W4463" s="1"/>
      <c r="X4463" s="1"/>
    </row>
    <row x14ac:dyDescent="0.25" r="4464" customHeight="1" ht="18.75">
      <c r="A4464" s="1"/>
      <c r="B4464" s="1"/>
      <c r="C4464" s="1"/>
      <c r="D4464" s="1"/>
      <c r="E4464" s="1"/>
      <c r="F4464" s="1"/>
      <c r="G4464" s="1"/>
      <c r="H4464" s="1"/>
      <c r="I4464" s="2"/>
      <c r="J4464" s="1"/>
      <c r="K4464" s="1"/>
      <c r="L4464" s="1"/>
      <c r="M4464" s="1"/>
      <c r="N4464" s="1"/>
      <c r="O4464" s="1"/>
      <c r="P4464" s="1"/>
      <c r="Q4464" s="1"/>
      <c r="R4464" s="1"/>
      <c r="S4464" s="1"/>
      <c r="T4464" s="1"/>
      <c r="U4464" s="1"/>
      <c r="V4464" s="1"/>
      <c r="W4464" s="1"/>
      <c r="X4464" s="1"/>
    </row>
    <row x14ac:dyDescent="0.25" r="4465" customHeight="1" ht="18.75">
      <c r="A4465" s="1"/>
      <c r="B4465" s="1"/>
      <c r="C4465" s="1"/>
      <c r="D4465" s="1"/>
      <c r="E4465" s="1"/>
      <c r="F4465" s="1"/>
      <c r="G4465" s="1"/>
      <c r="H4465" s="1"/>
      <c r="I4465" s="2"/>
      <c r="J4465" s="1"/>
      <c r="K4465" s="1"/>
      <c r="L4465" s="1"/>
      <c r="M4465" s="1"/>
      <c r="N4465" s="1"/>
      <c r="O4465" s="1"/>
      <c r="P4465" s="1"/>
      <c r="Q4465" s="1"/>
      <c r="R4465" s="1"/>
      <c r="S4465" s="1"/>
      <c r="T4465" s="1"/>
      <c r="U4465" s="1"/>
      <c r="V4465" s="1"/>
      <c r="W4465" s="1"/>
      <c r="X4465" s="1"/>
    </row>
    <row x14ac:dyDescent="0.25" r="4466" customHeight="1" ht="18.75">
      <c r="A4466" s="1"/>
      <c r="B4466" s="1"/>
      <c r="C4466" s="1"/>
      <c r="D4466" s="1"/>
      <c r="E4466" s="1"/>
      <c r="F4466" s="1"/>
      <c r="G4466" s="1"/>
      <c r="H4466" s="1"/>
      <c r="I4466" s="2"/>
      <c r="J4466" s="1"/>
      <c r="K4466" s="1"/>
      <c r="L4466" s="1"/>
      <c r="M4466" s="1"/>
      <c r="N4466" s="1"/>
      <c r="O4466" s="1"/>
      <c r="P4466" s="1"/>
      <c r="Q4466" s="1"/>
      <c r="R4466" s="1"/>
      <c r="S4466" s="1"/>
      <c r="T4466" s="1"/>
      <c r="U4466" s="1"/>
      <c r="V4466" s="1"/>
      <c r="W4466" s="1"/>
      <c r="X4466" s="1"/>
    </row>
    <row x14ac:dyDescent="0.25" r="4467" customHeight="1" ht="18.75">
      <c r="A4467" s="1"/>
      <c r="B4467" s="1"/>
      <c r="C4467" s="1"/>
      <c r="D4467" s="1"/>
      <c r="E4467" s="1"/>
      <c r="F4467" s="1"/>
      <c r="G4467" s="1"/>
      <c r="H4467" s="1"/>
      <c r="I4467" s="2"/>
      <c r="J4467" s="1"/>
      <c r="K4467" s="1"/>
      <c r="L4467" s="1"/>
      <c r="M4467" s="1"/>
      <c r="N4467" s="1"/>
      <c r="O4467" s="1"/>
      <c r="P4467" s="1"/>
      <c r="Q4467" s="1"/>
      <c r="R4467" s="1"/>
      <c r="S4467" s="1"/>
      <c r="T4467" s="1"/>
      <c r="U4467" s="1"/>
      <c r="V4467" s="1"/>
      <c r="W4467" s="1"/>
      <c r="X4467" s="1"/>
    </row>
    <row x14ac:dyDescent="0.25" r="4468" customHeight="1" ht="18.75">
      <c r="A4468" s="1"/>
      <c r="B4468" s="1"/>
      <c r="C4468" s="1"/>
      <c r="D4468" s="1"/>
      <c r="E4468" s="1"/>
      <c r="F4468" s="1"/>
      <c r="G4468" s="1"/>
      <c r="H4468" s="1"/>
      <c r="I4468" s="2"/>
      <c r="J4468" s="1"/>
      <c r="K4468" s="1"/>
      <c r="L4468" s="1"/>
      <c r="M4468" s="1"/>
      <c r="N4468" s="1"/>
      <c r="O4468" s="1"/>
      <c r="P4468" s="1"/>
      <c r="Q4468" s="1"/>
      <c r="R4468" s="1"/>
      <c r="S4468" s="1"/>
      <c r="T4468" s="1"/>
      <c r="U4468" s="1"/>
      <c r="V4468" s="1"/>
      <c r="W4468" s="1"/>
      <c r="X4468" s="1"/>
    </row>
    <row x14ac:dyDescent="0.25" r="4469" customHeight="1" ht="18.75">
      <c r="A4469" s="1"/>
      <c r="B4469" s="1"/>
      <c r="C4469" s="1"/>
      <c r="D4469" s="1"/>
      <c r="E4469" s="1"/>
      <c r="F4469" s="1"/>
      <c r="G4469" s="1"/>
      <c r="H4469" s="1"/>
      <c r="I4469" s="2"/>
      <c r="J4469" s="1"/>
      <c r="K4469" s="1"/>
      <c r="L4469" s="1"/>
      <c r="M4469" s="1"/>
      <c r="N4469" s="1"/>
      <c r="O4469" s="1"/>
      <c r="P4469" s="1"/>
      <c r="Q4469" s="1"/>
      <c r="R4469" s="1"/>
      <c r="S4469" s="1"/>
      <c r="T4469" s="1"/>
      <c r="U4469" s="1"/>
      <c r="V4469" s="1"/>
      <c r="W4469" s="1"/>
      <c r="X4469" s="1"/>
    </row>
    <row x14ac:dyDescent="0.25" r="4470" customHeight="1" ht="18.75">
      <c r="A4470" s="1"/>
      <c r="B4470" s="1"/>
      <c r="C4470" s="1"/>
      <c r="D4470" s="1"/>
      <c r="E4470" s="1"/>
      <c r="F4470" s="1"/>
      <c r="G4470" s="1"/>
      <c r="H4470" s="1"/>
      <c r="I4470" s="2"/>
      <c r="J4470" s="1"/>
      <c r="K4470" s="1"/>
      <c r="L4470" s="1"/>
      <c r="M4470" s="1"/>
      <c r="N4470" s="1"/>
      <c r="O4470" s="1"/>
      <c r="P4470" s="1"/>
      <c r="Q4470" s="1"/>
      <c r="R4470" s="1"/>
      <c r="S4470" s="1"/>
      <c r="T4470" s="1"/>
      <c r="U4470" s="1"/>
      <c r="V4470" s="1"/>
      <c r="W4470" s="1"/>
      <c r="X4470" s="1"/>
    </row>
    <row x14ac:dyDescent="0.25" r="4471" customHeight="1" ht="18.75">
      <c r="A4471" s="1"/>
      <c r="B4471" s="1"/>
      <c r="C4471" s="1"/>
      <c r="D4471" s="1"/>
      <c r="E4471" s="1"/>
      <c r="F4471" s="1"/>
      <c r="G4471" s="1"/>
      <c r="H4471" s="1"/>
      <c r="I4471" s="2"/>
      <c r="J4471" s="1"/>
      <c r="K4471" s="1"/>
      <c r="L4471" s="1"/>
      <c r="M4471" s="1"/>
      <c r="N4471" s="1"/>
      <c r="O4471" s="1"/>
      <c r="P4471" s="1"/>
      <c r="Q4471" s="1"/>
      <c r="R4471" s="1"/>
      <c r="S4471" s="1"/>
      <c r="T4471" s="1"/>
      <c r="U4471" s="1"/>
      <c r="V4471" s="1"/>
      <c r="W4471" s="1"/>
      <c r="X4471" s="1"/>
    </row>
    <row x14ac:dyDescent="0.25" r="4472" customHeight="1" ht="18.75">
      <c r="A4472" s="1"/>
      <c r="B4472" s="1"/>
      <c r="C4472" s="1"/>
      <c r="D4472" s="1"/>
      <c r="E4472" s="1"/>
      <c r="F4472" s="1"/>
      <c r="G4472" s="1"/>
      <c r="H4472" s="1"/>
      <c r="I4472" s="2"/>
      <c r="J4472" s="1"/>
      <c r="K4472" s="1"/>
      <c r="L4472" s="1"/>
      <c r="M4472" s="1"/>
      <c r="N4472" s="1"/>
      <c r="O4472" s="1"/>
      <c r="P4472" s="1"/>
      <c r="Q4472" s="1"/>
      <c r="R4472" s="1"/>
      <c r="S4472" s="1"/>
      <c r="T4472" s="1"/>
      <c r="U4472" s="1"/>
      <c r="V4472" s="1"/>
      <c r="W4472" s="1"/>
      <c r="X4472" s="1"/>
    </row>
    <row x14ac:dyDescent="0.25" r="4473" customHeight="1" ht="18.75">
      <c r="A4473" s="1"/>
      <c r="B4473" s="1"/>
      <c r="C4473" s="1"/>
      <c r="D4473" s="1"/>
      <c r="E4473" s="1"/>
      <c r="F4473" s="1"/>
      <c r="G4473" s="1"/>
      <c r="H4473" s="1"/>
      <c r="I4473" s="2"/>
      <c r="J4473" s="1"/>
      <c r="K4473" s="1"/>
      <c r="L4473" s="1"/>
      <c r="M4473" s="1"/>
      <c r="N4473" s="1"/>
      <c r="O4473" s="1"/>
      <c r="P4473" s="1"/>
      <c r="Q4473" s="1"/>
      <c r="R4473" s="1"/>
      <c r="S4473" s="1"/>
      <c r="T4473" s="1"/>
      <c r="U4473" s="1"/>
      <c r="V4473" s="1"/>
      <c r="W4473" s="1"/>
      <c r="X4473" s="1"/>
    </row>
    <row x14ac:dyDescent="0.25" r="4474" customHeight="1" ht="18.75">
      <c r="A4474" s="1"/>
      <c r="B4474" s="1"/>
      <c r="C4474" s="1"/>
      <c r="D4474" s="1"/>
      <c r="E4474" s="1"/>
      <c r="F4474" s="1"/>
      <c r="G4474" s="1"/>
      <c r="H4474" s="1"/>
      <c r="I4474" s="2"/>
      <c r="J4474" s="1"/>
      <c r="K4474" s="1"/>
      <c r="L4474" s="1"/>
      <c r="M4474" s="1"/>
      <c r="N4474" s="1"/>
      <c r="O4474" s="1"/>
      <c r="P4474" s="1"/>
      <c r="Q4474" s="1"/>
      <c r="R4474" s="1"/>
      <c r="S4474" s="1"/>
      <c r="T4474" s="1"/>
      <c r="U4474" s="1"/>
      <c r="V4474" s="1"/>
      <c r="W4474" s="1"/>
      <c r="X4474" s="1"/>
    </row>
    <row x14ac:dyDescent="0.25" r="4475" customHeight="1" ht="18.75">
      <c r="A4475" s="1"/>
      <c r="B4475" s="1"/>
      <c r="C4475" s="1"/>
      <c r="D4475" s="1"/>
      <c r="E4475" s="1"/>
      <c r="F4475" s="1"/>
      <c r="G4475" s="1"/>
      <c r="H4475" s="1"/>
      <c r="I4475" s="2"/>
      <c r="J4475" s="1"/>
      <c r="K4475" s="1"/>
      <c r="L4475" s="1"/>
      <c r="M4475" s="1"/>
      <c r="N4475" s="1"/>
      <c r="O4475" s="1"/>
      <c r="P4475" s="1"/>
      <c r="Q4475" s="1"/>
      <c r="R4475" s="1"/>
      <c r="S4475" s="1"/>
      <c r="T4475" s="1"/>
      <c r="U4475" s="1"/>
      <c r="V4475" s="1"/>
      <c r="W4475" s="1"/>
      <c r="X4475" s="1"/>
    </row>
    <row x14ac:dyDescent="0.25" r="4476" customHeight="1" ht="18.75">
      <c r="A4476" s="1"/>
      <c r="B4476" s="1"/>
      <c r="C4476" s="1"/>
      <c r="D4476" s="1"/>
      <c r="E4476" s="1"/>
      <c r="F4476" s="1"/>
      <c r="G4476" s="1"/>
      <c r="H4476" s="1"/>
      <c r="I4476" s="2"/>
      <c r="J4476" s="1"/>
      <c r="K4476" s="1"/>
      <c r="L4476" s="1"/>
      <c r="M4476" s="1"/>
      <c r="N4476" s="1"/>
      <c r="O4476" s="1"/>
      <c r="P4476" s="1"/>
      <c r="Q4476" s="1"/>
      <c r="R4476" s="1"/>
      <c r="S4476" s="1"/>
      <c r="T4476" s="1"/>
      <c r="U4476" s="1"/>
      <c r="V4476" s="1"/>
      <c r="W4476" s="1"/>
      <c r="X4476" s="1"/>
    </row>
    <row x14ac:dyDescent="0.25" r="4477" customHeight="1" ht="18.75">
      <c r="A4477" s="1"/>
      <c r="B4477" s="1"/>
      <c r="C4477" s="1"/>
      <c r="D4477" s="1"/>
      <c r="E4477" s="1"/>
      <c r="F4477" s="1"/>
      <c r="G4477" s="1"/>
      <c r="H4477" s="1"/>
      <c r="I4477" s="2"/>
      <c r="J4477" s="1"/>
      <c r="K4477" s="1"/>
      <c r="L4477" s="1"/>
      <c r="M4477" s="1"/>
      <c r="N4477" s="1"/>
      <c r="O4477" s="1"/>
      <c r="P4477" s="1"/>
      <c r="Q4477" s="1"/>
      <c r="R4477" s="1"/>
      <c r="S4477" s="1"/>
      <c r="T4477" s="1"/>
      <c r="U4477" s="1"/>
      <c r="V4477" s="1"/>
      <c r="W4477" s="1"/>
      <c r="X4477" s="1"/>
    </row>
    <row x14ac:dyDescent="0.25" r="4478" customHeight="1" ht="18.75">
      <c r="A4478" s="1"/>
      <c r="B4478" s="1"/>
      <c r="C4478" s="1"/>
      <c r="D4478" s="1"/>
      <c r="E4478" s="1"/>
      <c r="F4478" s="1"/>
      <c r="G4478" s="1"/>
      <c r="H4478" s="1"/>
      <c r="I4478" s="2"/>
      <c r="J4478" s="1"/>
      <c r="K4478" s="1"/>
      <c r="L4478" s="1"/>
      <c r="M4478" s="1"/>
      <c r="N4478" s="1"/>
      <c r="O4478" s="1"/>
      <c r="P4478" s="1"/>
      <c r="Q4478" s="1"/>
      <c r="R4478" s="1"/>
      <c r="S4478" s="1"/>
      <c r="T4478" s="1"/>
      <c r="U4478" s="1"/>
      <c r="V4478" s="1"/>
      <c r="W4478" s="1"/>
      <c r="X4478" s="1"/>
    </row>
    <row x14ac:dyDescent="0.25" r="4479" customHeight="1" ht="18.75">
      <c r="A4479" s="1"/>
      <c r="B4479" s="1"/>
      <c r="C4479" s="1"/>
      <c r="D4479" s="1"/>
      <c r="E4479" s="1"/>
      <c r="F4479" s="1"/>
      <c r="G4479" s="1"/>
      <c r="H4479" s="1"/>
      <c r="I4479" s="2"/>
      <c r="J4479" s="1"/>
      <c r="K4479" s="1"/>
      <c r="L4479" s="1"/>
      <c r="M4479" s="1"/>
      <c r="N4479" s="1"/>
      <c r="O4479" s="1"/>
      <c r="P4479" s="1"/>
      <c r="Q4479" s="1"/>
      <c r="R4479" s="1"/>
      <c r="S4479" s="1"/>
      <c r="T4479" s="1"/>
      <c r="U4479" s="1"/>
      <c r="V4479" s="1"/>
      <c r="W4479" s="1"/>
      <c r="X4479" s="1"/>
    </row>
    <row x14ac:dyDescent="0.25" r="4480" customHeight="1" ht="18.75">
      <c r="A4480" s="1"/>
      <c r="B4480" s="1"/>
      <c r="C4480" s="1"/>
      <c r="D4480" s="1"/>
      <c r="E4480" s="1"/>
      <c r="F4480" s="1"/>
      <c r="G4480" s="1"/>
      <c r="H4480" s="1"/>
      <c r="I4480" s="2"/>
      <c r="J4480" s="1"/>
      <c r="K4480" s="1"/>
      <c r="L4480" s="1"/>
      <c r="M4480" s="1"/>
      <c r="N4480" s="1"/>
      <c r="O4480" s="1"/>
      <c r="P4480" s="1"/>
      <c r="Q4480" s="1"/>
      <c r="R4480" s="1"/>
      <c r="S4480" s="1"/>
      <c r="T4480" s="1"/>
      <c r="U4480" s="1"/>
      <c r="V4480" s="1"/>
      <c r="W4480" s="1"/>
      <c r="X4480" s="1"/>
    </row>
    <row x14ac:dyDescent="0.25" r="4481" customHeight="1" ht="18.75">
      <c r="A4481" s="1"/>
      <c r="B4481" s="1"/>
      <c r="C4481" s="1"/>
      <c r="D4481" s="1"/>
      <c r="E4481" s="1"/>
      <c r="F4481" s="1"/>
      <c r="G4481" s="1"/>
      <c r="H4481" s="1"/>
      <c r="I4481" s="2"/>
      <c r="J4481" s="1"/>
      <c r="K4481" s="1"/>
      <c r="L4481" s="1"/>
      <c r="M4481" s="1"/>
      <c r="N4481" s="1"/>
      <c r="O4481" s="1"/>
      <c r="P4481" s="1"/>
      <c r="Q4481" s="1"/>
      <c r="R4481" s="1"/>
      <c r="S4481" s="1"/>
      <c r="T4481" s="1"/>
      <c r="U4481" s="1"/>
      <c r="V4481" s="1"/>
      <c r="W4481" s="1"/>
      <c r="X4481" s="1"/>
    </row>
    <row x14ac:dyDescent="0.25" r="4482" customHeight="1" ht="18.75">
      <c r="A4482" s="1"/>
      <c r="B4482" s="1"/>
      <c r="C4482" s="1"/>
      <c r="D4482" s="1"/>
      <c r="E4482" s="1"/>
      <c r="F4482" s="1"/>
      <c r="G4482" s="1"/>
      <c r="H4482" s="1"/>
      <c r="I4482" s="2"/>
      <c r="J4482" s="1"/>
      <c r="K4482" s="1"/>
      <c r="L4482" s="1"/>
      <c r="M4482" s="1"/>
      <c r="N4482" s="1"/>
      <c r="O4482" s="1"/>
      <c r="P4482" s="1"/>
      <c r="Q4482" s="1"/>
      <c r="R4482" s="1"/>
      <c r="S4482" s="1"/>
      <c r="T4482" s="1"/>
      <c r="U4482" s="1"/>
      <c r="V4482" s="1"/>
      <c r="W4482" s="1"/>
      <c r="X4482" s="1"/>
    </row>
    <row x14ac:dyDescent="0.25" r="4483" customHeight="1" ht="18.75">
      <c r="A4483" s="1"/>
      <c r="B4483" s="1"/>
      <c r="C4483" s="1"/>
      <c r="D4483" s="1"/>
      <c r="E4483" s="1"/>
      <c r="F4483" s="1"/>
      <c r="G4483" s="1"/>
      <c r="H4483" s="1"/>
      <c r="I4483" s="2"/>
      <c r="J4483" s="1"/>
      <c r="K4483" s="1"/>
      <c r="L4483" s="1"/>
      <c r="M4483" s="1"/>
      <c r="N4483" s="1"/>
      <c r="O4483" s="1"/>
      <c r="P4483" s="1"/>
      <c r="Q4483" s="1"/>
      <c r="R4483" s="1"/>
      <c r="S4483" s="1"/>
      <c r="T4483" s="1"/>
      <c r="U4483" s="1"/>
      <c r="V4483" s="1"/>
      <c r="W4483" s="1"/>
      <c r="X4483" s="1"/>
    </row>
    <row x14ac:dyDescent="0.25" r="4484" customHeight="1" ht="18.75">
      <c r="A4484" s="1"/>
      <c r="B4484" s="1"/>
      <c r="C4484" s="1"/>
      <c r="D4484" s="1"/>
      <c r="E4484" s="1"/>
      <c r="F4484" s="1"/>
      <c r="G4484" s="1"/>
      <c r="H4484" s="1"/>
      <c r="I4484" s="2"/>
      <c r="J4484" s="1"/>
      <c r="K4484" s="1"/>
      <c r="L4484" s="1"/>
      <c r="M4484" s="1"/>
      <c r="N4484" s="1"/>
      <c r="O4484" s="1"/>
      <c r="P4484" s="1"/>
      <c r="Q4484" s="1"/>
      <c r="R4484" s="1"/>
      <c r="S4484" s="1"/>
      <c r="T4484" s="1"/>
      <c r="U4484" s="1"/>
      <c r="V4484" s="1"/>
      <c r="W4484" s="1"/>
      <c r="X4484" s="1"/>
    </row>
    <row x14ac:dyDescent="0.25" r="4485" customHeight="1" ht="18.75">
      <c r="A4485" s="1"/>
      <c r="B4485" s="1"/>
      <c r="C4485" s="1"/>
      <c r="D4485" s="1"/>
      <c r="E4485" s="1"/>
      <c r="F4485" s="1"/>
      <c r="G4485" s="1"/>
      <c r="H4485" s="1"/>
      <c r="I4485" s="2"/>
      <c r="J4485" s="1"/>
      <c r="K4485" s="1"/>
      <c r="L4485" s="1"/>
      <c r="M4485" s="1"/>
      <c r="N4485" s="1"/>
      <c r="O4485" s="1"/>
      <c r="P4485" s="1"/>
      <c r="Q4485" s="1"/>
      <c r="R4485" s="1"/>
      <c r="S4485" s="1"/>
      <c r="T4485" s="1"/>
      <c r="U4485" s="1"/>
      <c r="V4485" s="1"/>
      <c r="W4485" s="1"/>
      <c r="X4485" s="1"/>
    </row>
    <row x14ac:dyDescent="0.25" r="4486" customHeight="1" ht="18.75">
      <c r="A4486" s="1"/>
      <c r="B4486" s="1"/>
      <c r="C4486" s="1"/>
      <c r="D4486" s="1"/>
      <c r="E4486" s="1"/>
      <c r="F4486" s="1"/>
      <c r="G4486" s="1"/>
      <c r="H4486" s="1"/>
      <c r="I4486" s="2"/>
      <c r="J4486" s="1"/>
      <c r="K4486" s="1"/>
      <c r="L4486" s="1"/>
      <c r="M4486" s="1"/>
      <c r="N4486" s="1"/>
      <c r="O4486" s="1"/>
      <c r="P4486" s="1"/>
      <c r="Q4486" s="1"/>
      <c r="R4486" s="1"/>
      <c r="S4486" s="1"/>
      <c r="T4486" s="1"/>
      <c r="U4486" s="1"/>
      <c r="V4486" s="1"/>
      <c r="W4486" s="1"/>
      <c r="X4486" s="1"/>
    </row>
    <row x14ac:dyDescent="0.25" r="4487" customHeight="1" ht="18.75">
      <c r="A4487" s="1"/>
      <c r="B4487" s="1"/>
      <c r="C4487" s="1"/>
      <c r="D4487" s="1"/>
      <c r="E4487" s="1"/>
      <c r="F4487" s="1"/>
      <c r="G4487" s="1"/>
      <c r="H4487" s="1"/>
      <c r="I4487" s="2"/>
      <c r="J4487" s="1"/>
      <c r="K4487" s="1"/>
      <c r="L4487" s="1"/>
      <c r="M4487" s="1"/>
      <c r="N4487" s="1"/>
      <c r="O4487" s="1"/>
      <c r="P4487" s="1"/>
      <c r="Q4487" s="1"/>
      <c r="R4487" s="1"/>
      <c r="S4487" s="1"/>
      <c r="T4487" s="1"/>
      <c r="U4487" s="1"/>
      <c r="V4487" s="1"/>
      <c r="W4487" s="1"/>
      <c r="X4487" s="1"/>
    </row>
    <row x14ac:dyDescent="0.25" r="4488" customHeight="1" ht="18.75">
      <c r="A4488" s="1"/>
      <c r="B4488" s="1"/>
      <c r="C4488" s="1"/>
      <c r="D4488" s="1"/>
      <c r="E4488" s="1"/>
      <c r="F4488" s="1"/>
      <c r="G4488" s="1"/>
      <c r="H4488" s="1"/>
      <c r="I4488" s="2"/>
      <c r="J4488" s="1"/>
      <c r="K4488" s="1"/>
      <c r="L4488" s="1"/>
      <c r="M4488" s="1"/>
      <c r="N4488" s="1"/>
      <c r="O4488" s="1"/>
      <c r="P4488" s="1"/>
      <c r="Q4488" s="1"/>
      <c r="R4488" s="1"/>
      <c r="S4488" s="1"/>
      <c r="T4488" s="1"/>
      <c r="U4488" s="1"/>
      <c r="V4488" s="1"/>
      <c r="W4488" s="1"/>
      <c r="X4488" s="1"/>
    </row>
    <row x14ac:dyDescent="0.25" r="4489" customHeight="1" ht="18.75">
      <c r="A4489" s="1"/>
      <c r="B4489" s="1"/>
      <c r="C4489" s="1"/>
      <c r="D4489" s="1"/>
      <c r="E4489" s="1"/>
      <c r="F4489" s="1"/>
      <c r="G4489" s="1"/>
      <c r="H4489" s="1"/>
      <c r="I4489" s="2"/>
      <c r="J4489" s="1"/>
      <c r="K4489" s="1"/>
      <c r="L4489" s="1"/>
      <c r="M4489" s="1"/>
      <c r="N4489" s="1"/>
      <c r="O4489" s="1"/>
      <c r="P4489" s="1"/>
      <c r="Q4489" s="1"/>
      <c r="R4489" s="1"/>
      <c r="S4489" s="1"/>
      <c r="T4489" s="1"/>
      <c r="U4489" s="1"/>
      <c r="V4489" s="1"/>
      <c r="W4489" s="1"/>
      <c r="X4489" s="1"/>
    </row>
    <row x14ac:dyDescent="0.25" r="4490" customHeight="1" ht="18.75">
      <c r="A4490" s="1"/>
      <c r="B4490" s="1"/>
      <c r="C4490" s="1"/>
      <c r="D4490" s="1"/>
      <c r="E4490" s="1"/>
      <c r="F4490" s="1"/>
      <c r="G4490" s="1"/>
      <c r="H4490" s="1"/>
      <c r="I4490" s="2"/>
      <c r="J4490" s="1"/>
      <c r="K4490" s="1"/>
      <c r="L4490" s="1"/>
      <c r="M4490" s="1"/>
      <c r="N4490" s="1"/>
      <c r="O4490" s="1"/>
      <c r="P4490" s="1"/>
      <c r="Q4490" s="1"/>
      <c r="R4490" s="1"/>
      <c r="S4490" s="1"/>
      <c r="T4490" s="1"/>
      <c r="U4490" s="1"/>
      <c r="V4490" s="1"/>
      <c r="W4490" s="1"/>
      <c r="X4490" s="1"/>
    </row>
    <row x14ac:dyDescent="0.25" r="4491" customHeight="1" ht="18.75">
      <c r="A4491" s="1"/>
      <c r="B4491" s="1"/>
      <c r="C4491" s="1"/>
      <c r="D4491" s="1"/>
      <c r="E4491" s="1"/>
      <c r="F4491" s="1"/>
      <c r="G4491" s="1"/>
      <c r="H4491" s="1"/>
      <c r="I4491" s="2"/>
      <c r="J4491" s="1"/>
      <c r="K4491" s="1"/>
      <c r="L4491" s="1"/>
      <c r="M4491" s="1"/>
      <c r="N4491" s="1"/>
      <c r="O4491" s="1"/>
      <c r="P4491" s="1"/>
      <c r="Q4491" s="1"/>
      <c r="R4491" s="1"/>
      <c r="S4491" s="1"/>
      <c r="T4491" s="1"/>
      <c r="U4491" s="1"/>
      <c r="V4491" s="1"/>
      <c r="W4491" s="1"/>
      <c r="X4491" s="1"/>
    </row>
    <row x14ac:dyDescent="0.25" r="4492" customHeight="1" ht="18.75">
      <c r="A4492" s="1"/>
      <c r="B4492" s="1"/>
      <c r="C4492" s="1"/>
      <c r="D4492" s="1"/>
      <c r="E4492" s="1"/>
      <c r="F4492" s="1"/>
      <c r="G4492" s="1"/>
      <c r="H4492" s="1"/>
      <c r="I4492" s="2"/>
      <c r="J4492" s="1"/>
      <c r="K4492" s="1"/>
      <c r="L4492" s="1"/>
      <c r="M4492" s="1"/>
      <c r="N4492" s="1"/>
      <c r="O4492" s="1"/>
      <c r="P4492" s="1"/>
      <c r="Q4492" s="1"/>
      <c r="R4492" s="1"/>
      <c r="S4492" s="1"/>
      <c r="T4492" s="1"/>
      <c r="U4492" s="1"/>
      <c r="V4492" s="1"/>
      <c r="W4492" s="1"/>
      <c r="X4492" s="1"/>
    </row>
    <row x14ac:dyDescent="0.25" r="4493" customHeight="1" ht="18.75">
      <c r="A4493" s="1"/>
      <c r="B4493" s="1"/>
      <c r="C4493" s="1"/>
      <c r="D4493" s="1"/>
      <c r="E4493" s="1"/>
      <c r="F4493" s="1"/>
      <c r="G4493" s="1"/>
      <c r="H4493" s="1"/>
      <c r="I4493" s="2"/>
      <c r="J4493" s="1"/>
      <c r="K4493" s="1"/>
      <c r="L4493" s="1"/>
      <c r="M4493" s="1"/>
      <c r="N4493" s="1"/>
      <c r="O4493" s="1"/>
      <c r="P4493" s="1"/>
      <c r="Q4493" s="1"/>
      <c r="R4493" s="1"/>
      <c r="S4493" s="1"/>
      <c r="T4493" s="1"/>
      <c r="U4493" s="1"/>
      <c r="V4493" s="1"/>
      <c r="W4493" s="1"/>
      <c r="X4493" s="1"/>
    </row>
    <row x14ac:dyDescent="0.25" r="4494" customHeight="1" ht="18.75">
      <c r="A4494" s="1"/>
      <c r="B4494" s="1"/>
      <c r="C4494" s="1"/>
      <c r="D4494" s="1"/>
      <c r="E4494" s="1"/>
      <c r="F4494" s="1"/>
      <c r="G4494" s="1"/>
      <c r="H4494" s="1"/>
      <c r="I4494" s="2"/>
      <c r="J4494" s="1"/>
      <c r="K4494" s="1"/>
      <c r="L4494" s="1"/>
      <c r="M4494" s="1"/>
      <c r="N4494" s="1"/>
      <c r="O4494" s="1"/>
      <c r="P4494" s="1"/>
      <c r="Q4494" s="1"/>
      <c r="R4494" s="1"/>
      <c r="S4494" s="1"/>
      <c r="T4494" s="1"/>
      <c r="U4494" s="1"/>
      <c r="V4494" s="1"/>
      <c r="W4494" s="1"/>
      <c r="X4494" s="1"/>
    </row>
    <row x14ac:dyDescent="0.25" r="4495" customHeight="1" ht="18.75">
      <c r="A4495" s="1"/>
      <c r="B4495" s="1"/>
      <c r="C4495" s="1"/>
      <c r="D4495" s="1"/>
      <c r="E4495" s="1"/>
      <c r="F4495" s="1"/>
      <c r="G4495" s="1"/>
      <c r="H4495" s="1"/>
      <c r="I4495" s="2"/>
      <c r="J4495" s="1"/>
      <c r="K4495" s="1"/>
      <c r="L4495" s="1"/>
      <c r="M4495" s="1"/>
      <c r="N4495" s="1"/>
      <c r="O4495" s="1"/>
      <c r="P4495" s="1"/>
      <c r="Q4495" s="1"/>
      <c r="R4495" s="1"/>
      <c r="S4495" s="1"/>
      <c r="T4495" s="1"/>
      <c r="U4495" s="1"/>
      <c r="V4495" s="1"/>
      <c r="W4495" s="1"/>
      <c r="X4495" s="1"/>
    </row>
    <row x14ac:dyDescent="0.25" r="4496" customHeight="1" ht="18.75">
      <c r="A4496" s="1"/>
      <c r="B4496" s="1"/>
      <c r="C4496" s="1"/>
      <c r="D4496" s="1"/>
      <c r="E4496" s="1"/>
      <c r="F4496" s="1"/>
      <c r="G4496" s="1"/>
      <c r="H4496" s="1"/>
      <c r="I4496" s="2"/>
      <c r="J4496" s="1"/>
      <c r="K4496" s="1"/>
      <c r="L4496" s="1"/>
      <c r="M4496" s="1"/>
      <c r="N4496" s="1"/>
      <c r="O4496" s="1"/>
      <c r="P4496" s="1"/>
      <c r="Q4496" s="1"/>
      <c r="R4496" s="1"/>
      <c r="S4496" s="1"/>
      <c r="T4496" s="1"/>
      <c r="U4496" s="1"/>
      <c r="V4496" s="1"/>
      <c r="W4496" s="1"/>
      <c r="X4496" s="1"/>
    </row>
    <row x14ac:dyDescent="0.25" r="4497" customHeight="1" ht="18.75">
      <c r="A4497" s="1"/>
      <c r="B4497" s="1"/>
      <c r="C4497" s="1"/>
      <c r="D4497" s="1"/>
      <c r="E4497" s="1"/>
      <c r="F4497" s="1"/>
      <c r="G4497" s="1"/>
      <c r="H4497" s="1"/>
      <c r="I4497" s="2"/>
      <c r="J4497" s="1"/>
      <c r="K4497" s="1"/>
      <c r="L4497" s="1"/>
      <c r="M4497" s="1"/>
      <c r="N4497" s="1"/>
      <c r="O4497" s="1"/>
      <c r="P4497" s="1"/>
      <c r="Q4497" s="1"/>
      <c r="R4497" s="1"/>
      <c r="S4497" s="1"/>
      <c r="T4497" s="1"/>
      <c r="U4497" s="1"/>
      <c r="V4497" s="1"/>
      <c r="W4497" s="1"/>
      <c r="X4497" s="1"/>
    </row>
    <row x14ac:dyDescent="0.25" r="4498" customHeight="1" ht="18.75">
      <c r="A4498" s="1"/>
      <c r="B4498" s="1"/>
      <c r="C4498" s="1"/>
      <c r="D4498" s="1"/>
      <c r="E4498" s="1"/>
      <c r="F4498" s="1"/>
      <c r="G4498" s="1"/>
      <c r="H4498" s="1"/>
      <c r="I4498" s="2"/>
      <c r="J4498" s="1"/>
      <c r="K4498" s="1"/>
      <c r="L4498" s="1"/>
      <c r="M4498" s="1"/>
      <c r="N4498" s="1"/>
      <c r="O4498" s="1"/>
      <c r="P4498" s="1"/>
      <c r="Q4498" s="1"/>
      <c r="R4498" s="1"/>
      <c r="S4498" s="1"/>
      <c r="T4498" s="1"/>
      <c r="U4498" s="1"/>
      <c r="V4498" s="1"/>
      <c r="W4498" s="1"/>
      <c r="X4498" s="1"/>
    </row>
    <row x14ac:dyDescent="0.25" r="4499" customHeight="1" ht="18.75">
      <c r="A4499" s="1"/>
      <c r="B4499" s="1"/>
      <c r="C4499" s="1"/>
      <c r="D4499" s="1"/>
      <c r="E4499" s="1"/>
      <c r="F4499" s="1"/>
      <c r="G4499" s="1"/>
      <c r="H4499" s="1"/>
      <c r="I4499" s="2"/>
      <c r="J4499" s="1"/>
      <c r="K4499" s="1"/>
      <c r="L4499" s="1"/>
      <c r="M4499" s="1"/>
      <c r="N4499" s="1"/>
      <c r="O4499" s="1"/>
      <c r="P4499" s="1"/>
      <c r="Q4499" s="1"/>
      <c r="R4499" s="1"/>
      <c r="S4499" s="1"/>
      <c r="T4499" s="1"/>
      <c r="U4499" s="1"/>
      <c r="V4499" s="1"/>
      <c r="W4499" s="1"/>
      <c r="X4499" s="1"/>
    </row>
    <row x14ac:dyDescent="0.25" r="4500" customHeight="1" ht="18.75">
      <c r="A4500" s="1"/>
      <c r="B4500" s="1"/>
      <c r="C4500" s="1"/>
      <c r="D4500" s="1"/>
      <c r="E4500" s="1"/>
      <c r="F4500" s="1"/>
      <c r="G4500" s="1"/>
      <c r="H4500" s="1"/>
      <c r="I4500" s="2"/>
      <c r="J4500" s="1"/>
      <c r="K4500" s="1"/>
      <c r="L4500" s="1"/>
      <c r="M4500" s="1"/>
      <c r="N4500" s="1"/>
      <c r="O4500" s="1"/>
      <c r="P4500" s="1"/>
      <c r="Q4500" s="1"/>
      <c r="R4500" s="1"/>
      <c r="S4500" s="1"/>
      <c r="T4500" s="1"/>
      <c r="U4500" s="1"/>
      <c r="V4500" s="1"/>
      <c r="W4500" s="1"/>
      <c r="X4500" s="1"/>
    </row>
    <row x14ac:dyDescent="0.25" r="4501" customHeight="1" ht="18.75">
      <c r="A4501" s="1"/>
      <c r="B4501" s="1"/>
      <c r="C4501" s="1"/>
      <c r="D4501" s="1"/>
      <c r="E4501" s="1"/>
      <c r="F4501" s="1"/>
      <c r="G4501" s="1"/>
      <c r="H4501" s="1"/>
      <c r="I4501" s="2"/>
      <c r="J4501" s="1"/>
      <c r="K4501" s="1"/>
      <c r="L4501" s="1"/>
      <c r="M4501" s="1"/>
      <c r="N4501" s="1"/>
      <c r="O4501" s="1"/>
      <c r="P4501" s="1"/>
      <c r="Q4501" s="1"/>
      <c r="R4501" s="1"/>
      <c r="S4501" s="1"/>
      <c r="T4501" s="1"/>
      <c r="U4501" s="1"/>
      <c r="V4501" s="1"/>
      <c r="W4501" s="1"/>
      <c r="X4501" s="1"/>
    </row>
    <row x14ac:dyDescent="0.25" r="4502" customHeight="1" ht="18.75">
      <c r="A4502" s="1"/>
      <c r="B4502" s="1"/>
      <c r="C4502" s="1"/>
      <c r="D4502" s="1"/>
      <c r="E4502" s="1"/>
      <c r="F4502" s="1"/>
      <c r="G4502" s="1"/>
      <c r="H4502" s="1"/>
      <c r="I4502" s="2"/>
      <c r="J4502" s="1"/>
      <c r="K4502" s="1"/>
      <c r="L4502" s="1"/>
      <c r="M4502" s="1"/>
      <c r="N4502" s="1"/>
      <c r="O4502" s="1"/>
      <c r="P4502" s="1"/>
      <c r="Q4502" s="1"/>
      <c r="R4502" s="1"/>
      <c r="S4502" s="1"/>
      <c r="T4502" s="1"/>
      <c r="U4502" s="1"/>
      <c r="V4502" s="1"/>
      <c r="W4502" s="1"/>
      <c r="X4502" s="1"/>
    </row>
    <row x14ac:dyDescent="0.25" r="4503" customHeight="1" ht="18.75">
      <c r="A4503" s="1"/>
      <c r="B4503" s="1"/>
      <c r="C4503" s="1"/>
      <c r="D4503" s="1"/>
      <c r="E4503" s="1"/>
      <c r="F4503" s="1"/>
      <c r="G4503" s="1"/>
      <c r="H4503" s="1"/>
      <c r="I4503" s="2"/>
      <c r="J4503" s="1"/>
      <c r="K4503" s="1"/>
      <c r="L4503" s="1"/>
      <c r="M4503" s="1"/>
      <c r="N4503" s="1"/>
      <c r="O4503" s="1"/>
      <c r="P4503" s="1"/>
      <c r="Q4503" s="1"/>
      <c r="R4503" s="1"/>
      <c r="S4503" s="1"/>
      <c r="T4503" s="1"/>
      <c r="U4503" s="1"/>
      <c r="V4503" s="1"/>
      <c r="W4503" s="1"/>
      <c r="X4503" s="1"/>
    </row>
    <row x14ac:dyDescent="0.25" r="4504" customHeight="1" ht="18.75">
      <c r="A4504" s="1"/>
      <c r="B4504" s="1"/>
      <c r="C4504" s="1"/>
      <c r="D4504" s="1"/>
      <c r="E4504" s="1"/>
      <c r="F4504" s="1"/>
      <c r="G4504" s="1"/>
      <c r="H4504" s="1"/>
      <c r="I4504" s="2"/>
      <c r="J4504" s="1"/>
      <c r="K4504" s="1"/>
      <c r="L4504" s="1"/>
      <c r="M4504" s="1"/>
      <c r="N4504" s="1"/>
      <c r="O4504" s="1"/>
      <c r="P4504" s="1"/>
      <c r="Q4504" s="1"/>
      <c r="R4504" s="1"/>
      <c r="S4504" s="1"/>
      <c r="T4504" s="1"/>
      <c r="U4504" s="1"/>
      <c r="V4504" s="1"/>
      <c r="W4504" s="1"/>
      <c r="X4504" s="1"/>
    </row>
    <row x14ac:dyDescent="0.25" r="4505" customHeight="1" ht="18.75">
      <c r="A4505" s="1"/>
      <c r="B4505" s="1"/>
      <c r="C4505" s="1"/>
      <c r="D4505" s="1"/>
      <c r="E4505" s="1"/>
      <c r="F4505" s="1"/>
      <c r="G4505" s="1"/>
      <c r="H4505" s="1"/>
      <c r="I4505" s="2"/>
      <c r="J4505" s="1"/>
      <c r="K4505" s="1"/>
      <c r="L4505" s="1"/>
      <c r="M4505" s="1"/>
      <c r="N4505" s="1"/>
      <c r="O4505" s="1"/>
      <c r="P4505" s="1"/>
      <c r="Q4505" s="1"/>
      <c r="R4505" s="1"/>
      <c r="S4505" s="1"/>
      <c r="T4505" s="1"/>
      <c r="U4505" s="1"/>
      <c r="V4505" s="1"/>
      <c r="W4505" s="1"/>
      <c r="X4505" s="1"/>
    </row>
    <row x14ac:dyDescent="0.25" r="4506" customHeight="1" ht="18.75">
      <c r="A4506" s="1"/>
      <c r="B4506" s="1"/>
      <c r="C4506" s="1"/>
      <c r="D4506" s="1"/>
      <c r="E4506" s="1"/>
      <c r="F4506" s="1"/>
      <c r="G4506" s="1"/>
      <c r="H4506" s="1"/>
      <c r="I4506" s="2"/>
      <c r="J4506" s="1"/>
      <c r="K4506" s="1"/>
      <c r="L4506" s="1"/>
      <c r="M4506" s="1"/>
      <c r="N4506" s="1"/>
      <c r="O4506" s="1"/>
      <c r="P4506" s="1"/>
      <c r="Q4506" s="1"/>
      <c r="R4506" s="1"/>
      <c r="S4506" s="1"/>
      <c r="T4506" s="1"/>
      <c r="U4506" s="1"/>
      <c r="V4506" s="1"/>
      <c r="W4506" s="1"/>
      <c r="X4506" s="1"/>
    </row>
    <row x14ac:dyDescent="0.25" r="4507" customHeight="1" ht="18.75">
      <c r="A4507" s="1"/>
      <c r="B4507" s="1"/>
      <c r="C4507" s="1"/>
      <c r="D4507" s="1"/>
      <c r="E4507" s="1"/>
      <c r="F4507" s="1"/>
      <c r="G4507" s="1"/>
      <c r="H4507" s="1"/>
      <c r="I4507" s="2"/>
      <c r="J4507" s="1"/>
      <c r="K4507" s="1"/>
      <c r="L4507" s="1"/>
      <c r="M4507" s="1"/>
      <c r="N4507" s="1"/>
      <c r="O4507" s="1"/>
      <c r="P4507" s="1"/>
      <c r="Q4507" s="1"/>
      <c r="R4507" s="1"/>
      <c r="S4507" s="1"/>
      <c r="T4507" s="1"/>
      <c r="U4507" s="1"/>
      <c r="V4507" s="1"/>
      <c r="W4507" s="1"/>
      <c r="X4507" s="1"/>
    </row>
    <row x14ac:dyDescent="0.25" r="4508" customHeight="1" ht="18.75">
      <c r="A4508" s="1"/>
      <c r="B4508" s="1"/>
      <c r="C4508" s="1"/>
      <c r="D4508" s="1"/>
      <c r="E4508" s="1"/>
      <c r="F4508" s="1"/>
      <c r="G4508" s="1"/>
      <c r="H4508" s="1"/>
      <c r="I4508" s="2"/>
      <c r="J4508" s="1"/>
      <c r="K4508" s="1"/>
      <c r="L4508" s="1"/>
      <c r="M4508" s="1"/>
      <c r="N4508" s="1"/>
      <c r="O4508" s="1"/>
      <c r="P4508" s="1"/>
      <c r="Q4508" s="1"/>
      <c r="R4508" s="1"/>
      <c r="S4508" s="1"/>
      <c r="T4508" s="1"/>
      <c r="U4508" s="1"/>
      <c r="V4508" s="1"/>
      <c r="W4508" s="1"/>
      <c r="X4508" s="1"/>
    </row>
    <row x14ac:dyDescent="0.25" r="4509" customHeight="1" ht="18.75">
      <c r="A4509" s="1"/>
      <c r="B4509" s="1"/>
      <c r="C4509" s="1"/>
      <c r="D4509" s="1"/>
      <c r="E4509" s="1"/>
      <c r="F4509" s="1"/>
      <c r="G4509" s="1"/>
      <c r="H4509" s="1"/>
      <c r="I4509" s="2"/>
      <c r="J4509" s="1"/>
      <c r="K4509" s="1"/>
      <c r="L4509" s="1"/>
      <c r="M4509" s="1"/>
      <c r="N4509" s="1"/>
      <c r="O4509" s="1"/>
      <c r="P4509" s="1"/>
      <c r="Q4509" s="1"/>
      <c r="R4509" s="1"/>
      <c r="S4509" s="1"/>
      <c r="T4509" s="1"/>
      <c r="U4509" s="1"/>
      <c r="V4509" s="1"/>
      <c r="W4509" s="1"/>
      <c r="X4509" s="1"/>
    </row>
    <row x14ac:dyDescent="0.25" r="4510" customHeight="1" ht="18.75">
      <c r="A4510" s="1"/>
      <c r="B4510" s="1"/>
      <c r="C4510" s="1"/>
      <c r="D4510" s="1"/>
      <c r="E4510" s="1"/>
      <c r="F4510" s="1"/>
      <c r="G4510" s="1"/>
      <c r="H4510" s="1"/>
      <c r="I4510" s="2"/>
      <c r="J4510" s="1"/>
      <c r="K4510" s="1"/>
      <c r="L4510" s="1"/>
      <c r="M4510" s="1"/>
      <c r="N4510" s="1"/>
      <c r="O4510" s="1"/>
      <c r="P4510" s="1"/>
      <c r="Q4510" s="1"/>
      <c r="R4510" s="1"/>
      <c r="S4510" s="1"/>
      <c r="T4510" s="1"/>
      <c r="U4510" s="1"/>
      <c r="V4510" s="1"/>
      <c r="W4510" s="1"/>
      <c r="X4510" s="1"/>
    </row>
    <row x14ac:dyDescent="0.25" r="4511" customHeight="1" ht="18.75">
      <c r="A4511" s="1"/>
      <c r="B4511" s="1"/>
      <c r="C4511" s="1"/>
      <c r="D4511" s="1"/>
      <c r="E4511" s="1"/>
      <c r="F4511" s="1"/>
      <c r="G4511" s="1"/>
      <c r="H4511" s="1"/>
      <c r="I4511" s="2"/>
      <c r="J4511" s="1"/>
      <c r="K4511" s="1"/>
      <c r="L4511" s="1"/>
      <c r="M4511" s="1"/>
      <c r="N4511" s="1"/>
      <c r="O4511" s="1"/>
      <c r="P4511" s="1"/>
      <c r="Q4511" s="1"/>
      <c r="R4511" s="1"/>
      <c r="S4511" s="1"/>
      <c r="T4511" s="1"/>
      <c r="U4511" s="1"/>
      <c r="V4511" s="1"/>
      <c r="W4511" s="1"/>
      <c r="X4511" s="1"/>
    </row>
    <row x14ac:dyDescent="0.25" r="4512" customHeight="1" ht="18.75">
      <c r="A4512" s="1"/>
      <c r="B4512" s="1"/>
      <c r="C4512" s="1"/>
      <c r="D4512" s="1"/>
      <c r="E4512" s="1"/>
      <c r="F4512" s="1"/>
      <c r="G4512" s="1"/>
      <c r="H4512" s="1"/>
      <c r="I4512" s="2"/>
      <c r="J4512" s="1"/>
      <c r="K4512" s="1"/>
      <c r="L4512" s="1"/>
      <c r="M4512" s="1"/>
      <c r="N4512" s="1"/>
      <c r="O4512" s="1"/>
      <c r="P4512" s="1"/>
      <c r="Q4512" s="1"/>
      <c r="R4512" s="1"/>
      <c r="S4512" s="1"/>
      <c r="T4512" s="1"/>
      <c r="U4512" s="1"/>
      <c r="V4512" s="1"/>
      <c r="W4512" s="1"/>
      <c r="X4512" s="1"/>
    </row>
    <row x14ac:dyDescent="0.25" r="4513" customHeight="1" ht="18.75">
      <c r="A4513" s="1"/>
      <c r="B4513" s="1"/>
      <c r="C4513" s="1"/>
      <c r="D4513" s="1"/>
      <c r="E4513" s="1"/>
      <c r="F4513" s="1"/>
      <c r="G4513" s="1"/>
      <c r="H4513" s="1"/>
      <c r="I4513" s="2"/>
      <c r="J4513" s="1"/>
      <c r="K4513" s="1"/>
      <c r="L4513" s="1"/>
      <c r="M4513" s="1"/>
      <c r="N4513" s="1"/>
      <c r="O4513" s="1"/>
      <c r="P4513" s="1"/>
      <c r="Q4513" s="1"/>
      <c r="R4513" s="1"/>
      <c r="S4513" s="1"/>
      <c r="T4513" s="1"/>
      <c r="U4513" s="1"/>
      <c r="V4513" s="1"/>
      <c r="W4513" s="1"/>
      <c r="X4513" s="1"/>
    </row>
    <row x14ac:dyDescent="0.25" r="4514" customHeight="1" ht="18.75">
      <c r="A4514" s="1"/>
      <c r="B4514" s="1"/>
      <c r="C4514" s="1"/>
      <c r="D4514" s="1"/>
      <c r="E4514" s="1"/>
      <c r="F4514" s="1"/>
      <c r="G4514" s="1"/>
      <c r="H4514" s="1"/>
      <c r="I4514" s="2"/>
      <c r="J4514" s="1"/>
      <c r="K4514" s="1"/>
      <c r="L4514" s="1"/>
      <c r="M4514" s="1"/>
      <c r="N4514" s="1"/>
      <c r="O4514" s="1"/>
      <c r="P4514" s="1"/>
      <c r="Q4514" s="1"/>
      <c r="R4514" s="1"/>
      <c r="S4514" s="1"/>
      <c r="T4514" s="1"/>
      <c r="U4514" s="1"/>
      <c r="V4514" s="1"/>
      <c r="W4514" s="1"/>
      <c r="X4514" s="1"/>
    </row>
    <row x14ac:dyDescent="0.25" r="4515" customHeight="1" ht="18.75">
      <c r="A4515" s="1"/>
      <c r="B4515" s="1"/>
      <c r="C4515" s="1"/>
      <c r="D4515" s="1"/>
      <c r="E4515" s="1"/>
      <c r="F4515" s="1"/>
      <c r="G4515" s="1"/>
      <c r="H4515" s="1"/>
      <c r="I4515" s="2"/>
      <c r="J4515" s="1"/>
      <c r="K4515" s="1"/>
      <c r="L4515" s="1"/>
      <c r="M4515" s="1"/>
      <c r="N4515" s="1"/>
      <c r="O4515" s="1"/>
      <c r="P4515" s="1"/>
      <c r="Q4515" s="1"/>
      <c r="R4515" s="1"/>
      <c r="S4515" s="1"/>
      <c r="T4515" s="1"/>
      <c r="U4515" s="1"/>
      <c r="V4515" s="1"/>
      <c r="W4515" s="1"/>
      <c r="X4515" s="1"/>
    </row>
    <row x14ac:dyDescent="0.25" r="4516" customHeight="1" ht="18.75">
      <c r="A4516" s="1"/>
      <c r="B4516" s="1"/>
      <c r="C4516" s="1"/>
      <c r="D4516" s="1"/>
      <c r="E4516" s="1"/>
      <c r="F4516" s="1"/>
      <c r="G4516" s="1"/>
      <c r="H4516" s="1"/>
      <c r="I4516" s="2"/>
      <c r="J4516" s="1"/>
      <c r="K4516" s="1"/>
      <c r="L4516" s="1"/>
      <c r="M4516" s="1"/>
      <c r="N4516" s="1"/>
      <c r="O4516" s="1"/>
      <c r="P4516" s="1"/>
      <c r="Q4516" s="1"/>
      <c r="R4516" s="1"/>
      <c r="S4516" s="1"/>
      <c r="T4516" s="1"/>
      <c r="U4516" s="1"/>
      <c r="V4516" s="1"/>
      <c r="W4516" s="1"/>
      <c r="X4516" s="1"/>
    </row>
    <row x14ac:dyDescent="0.25" r="4517" customHeight="1" ht="18.75">
      <c r="A4517" s="1"/>
      <c r="B4517" s="1"/>
      <c r="C4517" s="1"/>
      <c r="D4517" s="1"/>
      <c r="E4517" s="1"/>
      <c r="F4517" s="1"/>
      <c r="G4517" s="1"/>
      <c r="H4517" s="1"/>
      <c r="I4517" s="2"/>
      <c r="J4517" s="1"/>
      <c r="K4517" s="1"/>
      <c r="L4517" s="1"/>
      <c r="M4517" s="1"/>
      <c r="N4517" s="1"/>
      <c r="O4517" s="1"/>
      <c r="P4517" s="1"/>
      <c r="Q4517" s="1"/>
      <c r="R4517" s="1"/>
      <c r="S4517" s="1"/>
      <c r="T4517" s="1"/>
      <c r="U4517" s="1"/>
      <c r="V4517" s="1"/>
      <c r="W4517" s="1"/>
      <c r="X4517" s="1"/>
    </row>
    <row x14ac:dyDescent="0.25" r="4518" customHeight="1" ht="18.75">
      <c r="A4518" s="1"/>
      <c r="B4518" s="1"/>
      <c r="C4518" s="1"/>
      <c r="D4518" s="1"/>
      <c r="E4518" s="1"/>
      <c r="F4518" s="1"/>
      <c r="G4518" s="1"/>
      <c r="H4518" s="1"/>
      <c r="I4518" s="2"/>
      <c r="J4518" s="1"/>
      <c r="K4518" s="1"/>
      <c r="L4518" s="1"/>
      <c r="M4518" s="1"/>
      <c r="N4518" s="1"/>
      <c r="O4518" s="1"/>
      <c r="P4518" s="1"/>
      <c r="Q4518" s="1"/>
      <c r="R4518" s="1"/>
      <c r="S4518" s="1"/>
      <c r="T4518" s="1"/>
      <c r="U4518" s="1"/>
      <c r="V4518" s="1"/>
      <c r="W4518" s="1"/>
      <c r="X4518" s="1"/>
    </row>
    <row x14ac:dyDescent="0.25" r="4519" customHeight="1" ht="18.75">
      <c r="A4519" s="1"/>
      <c r="B4519" s="1"/>
      <c r="C4519" s="1"/>
      <c r="D4519" s="1"/>
      <c r="E4519" s="1"/>
      <c r="F4519" s="1"/>
      <c r="G4519" s="1"/>
      <c r="H4519" s="1"/>
      <c r="I4519" s="2"/>
      <c r="J4519" s="1"/>
      <c r="K4519" s="1"/>
      <c r="L4519" s="1"/>
      <c r="M4519" s="1"/>
      <c r="N4519" s="1"/>
      <c r="O4519" s="1"/>
      <c r="P4519" s="1"/>
      <c r="Q4519" s="1"/>
      <c r="R4519" s="1"/>
      <c r="S4519" s="1"/>
      <c r="T4519" s="1"/>
      <c r="U4519" s="1"/>
      <c r="V4519" s="1"/>
      <c r="W4519" s="1"/>
      <c r="X4519" s="1"/>
    </row>
    <row x14ac:dyDescent="0.25" r="4520" customHeight="1" ht="18.75">
      <c r="A4520" s="1"/>
      <c r="B4520" s="1"/>
      <c r="C4520" s="1"/>
      <c r="D4520" s="1"/>
      <c r="E4520" s="1"/>
      <c r="F4520" s="1"/>
      <c r="G4520" s="1"/>
      <c r="H4520" s="1"/>
      <c r="I4520" s="2"/>
      <c r="J4520" s="1"/>
      <c r="K4520" s="1"/>
      <c r="L4520" s="1"/>
      <c r="M4520" s="1"/>
      <c r="N4520" s="1"/>
      <c r="O4520" s="1"/>
      <c r="P4520" s="1"/>
      <c r="Q4520" s="1"/>
      <c r="R4520" s="1"/>
      <c r="S4520" s="1"/>
      <c r="T4520" s="1"/>
      <c r="U4520" s="1"/>
      <c r="V4520" s="1"/>
      <c r="W4520" s="1"/>
      <c r="X4520" s="1"/>
    </row>
    <row x14ac:dyDescent="0.25" r="4521" customHeight="1" ht="18.75">
      <c r="A4521" s="1"/>
      <c r="B4521" s="1"/>
      <c r="C4521" s="1"/>
      <c r="D4521" s="1"/>
      <c r="E4521" s="1"/>
      <c r="F4521" s="1"/>
      <c r="G4521" s="1"/>
      <c r="H4521" s="1"/>
      <c r="I4521" s="2"/>
      <c r="J4521" s="1"/>
      <c r="K4521" s="1"/>
      <c r="L4521" s="1"/>
      <c r="M4521" s="1"/>
      <c r="N4521" s="1"/>
      <c r="O4521" s="1"/>
      <c r="P4521" s="1"/>
      <c r="Q4521" s="1"/>
      <c r="R4521" s="1"/>
      <c r="S4521" s="1"/>
      <c r="T4521" s="1"/>
      <c r="U4521" s="1"/>
      <c r="V4521" s="1"/>
      <c r="W4521" s="1"/>
      <c r="X4521" s="1"/>
    </row>
    <row x14ac:dyDescent="0.25" r="4522" customHeight="1" ht="18.75">
      <c r="A4522" s="1"/>
      <c r="B4522" s="1"/>
      <c r="C4522" s="1"/>
      <c r="D4522" s="1"/>
      <c r="E4522" s="1"/>
      <c r="F4522" s="1"/>
      <c r="G4522" s="1"/>
      <c r="H4522" s="1"/>
      <c r="I4522" s="2"/>
      <c r="J4522" s="1"/>
      <c r="K4522" s="1"/>
      <c r="L4522" s="1"/>
      <c r="M4522" s="1"/>
      <c r="N4522" s="1"/>
      <c r="O4522" s="1"/>
      <c r="P4522" s="1"/>
      <c r="Q4522" s="1"/>
      <c r="R4522" s="1"/>
      <c r="S4522" s="1"/>
      <c r="T4522" s="1"/>
      <c r="U4522" s="1"/>
      <c r="V4522" s="1"/>
      <c r="W4522" s="1"/>
      <c r="X4522" s="1"/>
    </row>
    <row x14ac:dyDescent="0.25" r="4523" customHeight="1" ht="18.75">
      <c r="A4523" s="1"/>
      <c r="B4523" s="1"/>
      <c r="C4523" s="1"/>
      <c r="D4523" s="1"/>
      <c r="E4523" s="1"/>
      <c r="F4523" s="1"/>
      <c r="G4523" s="1"/>
      <c r="H4523" s="1"/>
      <c r="I4523" s="2"/>
      <c r="J4523" s="1"/>
      <c r="K4523" s="1"/>
      <c r="L4523" s="1"/>
      <c r="M4523" s="1"/>
      <c r="N4523" s="1"/>
      <c r="O4523" s="1"/>
      <c r="P4523" s="1"/>
      <c r="Q4523" s="1"/>
      <c r="R4523" s="1"/>
      <c r="S4523" s="1"/>
      <c r="T4523" s="1"/>
      <c r="U4523" s="1"/>
      <c r="V4523" s="1"/>
      <c r="W4523" s="1"/>
      <c r="X4523" s="1"/>
    </row>
    <row x14ac:dyDescent="0.25" r="4524" customHeight="1" ht="18.75">
      <c r="A4524" s="1"/>
      <c r="B4524" s="1"/>
      <c r="C4524" s="1"/>
      <c r="D4524" s="1"/>
      <c r="E4524" s="1"/>
      <c r="F4524" s="1"/>
      <c r="G4524" s="1"/>
      <c r="H4524" s="1"/>
      <c r="I4524" s="2"/>
      <c r="J4524" s="1"/>
      <c r="K4524" s="1"/>
      <c r="L4524" s="1"/>
      <c r="M4524" s="1"/>
      <c r="N4524" s="1"/>
      <c r="O4524" s="1"/>
      <c r="P4524" s="1"/>
      <c r="Q4524" s="1"/>
      <c r="R4524" s="1"/>
      <c r="S4524" s="1"/>
      <c r="T4524" s="1"/>
      <c r="U4524" s="1"/>
      <c r="V4524" s="1"/>
      <c r="W4524" s="1"/>
      <c r="X4524" s="1"/>
    </row>
    <row x14ac:dyDescent="0.25" r="4525" customHeight="1" ht="18.75">
      <c r="A4525" s="1"/>
      <c r="B4525" s="1"/>
      <c r="C4525" s="1"/>
      <c r="D4525" s="1"/>
      <c r="E4525" s="1"/>
      <c r="F4525" s="1"/>
      <c r="G4525" s="1"/>
      <c r="H4525" s="1"/>
      <c r="I4525" s="2"/>
      <c r="J4525" s="1"/>
      <c r="K4525" s="1"/>
      <c r="L4525" s="1"/>
      <c r="M4525" s="1"/>
      <c r="N4525" s="1"/>
      <c r="O4525" s="1"/>
      <c r="P4525" s="1"/>
      <c r="Q4525" s="1"/>
      <c r="R4525" s="1"/>
      <c r="S4525" s="1"/>
      <c r="T4525" s="1"/>
      <c r="U4525" s="1"/>
      <c r="V4525" s="1"/>
      <c r="W4525" s="1"/>
      <c r="X4525" s="1"/>
    </row>
    <row x14ac:dyDescent="0.25" r="4526" customHeight="1" ht="18.75">
      <c r="A4526" s="1"/>
      <c r="B4526" s="1"/>
      <c r="C4526" s="1"/>
      <c r="D4526" s="1"/>
      <c r="E4526" s="1"/>
      <c r="F4526" s="1"/>
      <c r="G4526" s="1"/>
      <c r="H4526" s="1"/>
      <c r="I4526" s="2"/>
      <c r="J4526" s="1"/>
      <c r="K4526" s="1"/>
      <c r="L4526" s="1"/>
      <c r="M4526" s="1"/>
      <c r="N4526" s="1"/>
      <c r="O4526" s="1"/>
      <c r="P4526" s="1"/>
      <c r="Q4526" s="1"/>
      <c r="R4526" s="1"/>
      <c r="S4526" s="1"/>
      <c r="T4526" s="1"/>
      <c r="U4526" s="1"/>
      <c r="V4526" s="1"/>
      <c r="W4526" s="1"/>
      <c r="X4526" s="1"/>
    </row>
    <row x14ac:dyDescent="0.25" r="4527" customHeight="1" ht="18.75">
      <c r="A4527" s="1"/>
      <c r="B4527" s="1"/>
      <c r="C4527" s="1"/>
      <c r="D4527" s="1"/>
      <c r="E4527" s="1"/>
      <c r="F4527" s="1"/>
      <c r="G4527" s="1"/>
      <c r="H4527" s="1"/>
      <c r="I4527" s="2"/>
      <c r="J4527" s="1"/>
      <c r="K4527" s="1"/>
      <c r="L4527" s="1"/>
      <c r="M4527" s="1"/>
      <c r="N4527" s="1"/>
      <c r="O4527" s="1"/>
      <c r="P4527" s="1"/>
      <c r="Q4527" s="1"/>
      <c r="R4527" s="1"/>
      <c r="S4527" s="1"/>
      <c r="T4527" s="1"/>
      <c r="U4527" s="1"/>
      <c r="V4527" s="1"/>
      <c r="W4527" s="1"/>
      <c r="X4527" s="1"/>
    </row>
    <row x14ac:dyDescent="0.25" r="4528" customHeight="1" ht="18.75">
      <c r="A4528" s="1"/>
      <c r="B4528" s="1"/>
      <c r="C4528" s="1"/>
      <c r="D4528" s="1"/>
      <c r="E4528" s="1"/>
      <c r="F4528" s="1"/>
      <c r="G4528" s="1"/>
      <c r="H4528" s="1"/>
      <c r="I4528" s="2"/>
      <c r="J4528" s="1"/>
      <c r="K4528" s="1"/>
      <c r="L4528" s="1"/>
      <c r="M4528" s="1"/>
      <c r="N4528" s="1"/>
      <c r="O4528" s="1"/>
      <c r="P4528" s="1"/>
      <c r="Q4528" s="1"/>
      <c r="R4528" s="1"/>
      <c r="S4528" s="1"/>
      <c r="T4528" s="1"/>
      <c r="U4528" s="1"/>
      <c r="V4528" s="1"/>
      <c r="W4528" s="1"/>
      <c r="X4528" s="1"/>
    </row>
    <row x14ac:dyDescent="0.25" r="4529" customHeight="1" ht="18.75">
      <c r="A4529" s="1"/>
      <c r="B4529" s="1"/>
      <c r="C4529" s="1"/>
      <c r="D4529" s="1"/>
      <c r="E4529" s="1"/>
      <c r="F4529" s="1"/>
      <c r="G4529" s="1"/>
      <c r="H4529" s="1"/>
      <c r="I4529" s="2"/>
      <c r="J4529" s="1"/>
      <c r="K4529" s="1"/>
      <c r="L4529" s="1"/>
      <c r="M4529" s="1"/>
      <c r="N4529" s="1"/>
      <c r="O4529" s="1"/>
      <c r="P4529" s="1"/>
      <c r="Q4529" s="1"/>
      <c r="R4529" s="1"/>
      <c r="S4529" s="1"/>
      <c r="T4529" s="1"/>
      <c r="U4529" s="1"/>
      <c r="V4529" s="1"/>
      <c r="W4529" s="1"/>
      <c r="X4529" s="1"/>
    </row>
    <row x14ac:dyDescent="0.25" r="4530" customHeight="1" ht="18.75">
      <c r="A4530" s="1"/>
      <c r="B4530" s="1"/>
      <c r="C4530" s="1"/>
      <c r="D4530" s="1"/>
      <c r="E4530" s="1"/>
      <c r="F4530" s="1"/>
      <c r="G4530" s="1"/>
      <c r="H4530" s="1"/>
      <c r="I4530" s="2"/>
      <c r="J4530" s="1"/>
      <c r="K4530" s="1"/>
      <c r="L4530" s="1"/>
      <c r="M4530" s="1"/>
      <c r="N4530" s="1"/>
      <c r="O4530" s="1"/>
      <c r="P4530" s="1"/>
      <c r="Q4530" s="1"/>
      <c r="R4530" s="1"/>
      <c r="S4530" s="1"/>
      <c r="T4530" s="1"/>
      <c r="U4530" s="1"/>
      <c r="V4530" s="1"/>
      <c r="W4530" s="1"/>
      <c r="X4530" s="1"/>
    </row>
    <row x14ac:dyDescent="0.25" r="4531" customHeight="1" ht="18.75">
      <c r="A4531" s="1"/>
      <c r="B4531" s="1"/>
      <c r="C4531" s="1"/>
      <c r="D4531" s="1"/>
      <c r="E4531" s="1"/>
      <c r="F4531" s="1"/>
      <c r="G4531" s="1"/>
      <c r="H4531" s="1"/>
      <c r="I4531" s="2"/>
      <c r="J4531" s="1"/>
      <c r="K4531" s="1"/>
      <c r="L4531" s="1"/>
      <c r="M4531" s="1"/>
      <c r="N4531" s="1"/>
      <c r="O4531" s="1"/>
      <c r="P4531" s="1"/>
      <c r="Q4531" s="1"/>
      <c r="R4531" s="1"/>
      <c r="S4531" s="1"/>
      <c r="T4531" s="1"/>
      <c r="U4531" s="1"/>
      <c r="V4531" s="1"/>
      <c r="W4531" s="1"/>
      <c r="X4531" s="1"/>
    </row>
    <row x14ac:dyDescent="0.25" r="4532" customHeight="1" ht="18.75">
      <c r="A4532" s="1"/>
      <c r="B4532" s="1"/>
      <c r="C4532" s="1"/>
      <c r="D4532" s="1"/>
      <c r="E4532" s="1"/>
      <c r="F4532" s="1"/>
      <c r="G4532" s="1"/>
      <c r="H4532" s="1"/>
      <c r="I4532" s="2"/>
      <c r="J4532" s="1"/>
      <c r="K4532" s="1"/>
      <c r="L4532" s="1"/>
      <c r="M4532" s="1"/>
      <c r="N4532" s="1"/>
      <c r="O4532" s="1"/>
      <c r="P4532" s="1"/>
      <c r="Q4532" s="1"/>
      <c r="R4532" s="1"/>
      <c r="S4532" s="1"/>
      <c r="T4532" s="1"/>
      <c r="U4532" s="1"/>
      <c r="V4532" s="1"/>
      <c r="W4532" s="1"/>
      <c r="X4532" s="1"/>
    </row>
    <row x14ac:dyDescent="0.25" r="4533" customHeight="1" ht="18.75">
      <c r="A4533" s="1"/>
      <c r="B4533" s="1"/>
      <c r="C4533" s="1"/>
      <c r="D4533" s="1"/>
      <c r="E4533" s="1"/>
      <c r="F4533" s="1"/>
      <c r="G4533" s="1"/>
      <c r="H4533" s="1"/>
      <c r="I4533" s="2"/>
      <c r="J4533" s="1"/>
      <c r="K4533" s="1"/>
      <c r="L4533" s="1"/>
      <c r="M4533" s="1"/>
      <c r="N4533" s="1"/>
      <c r="O4533" s="1"/>
      <c r="P4533" s="1"/>
      <c r="Q4533" s="1"/>
      <c r="R4533" s="1"/>
      <c r="S4533" s="1"/>
      <c r="T4533" s="1"/>
      <c r="U4533" s="1"/>
      <c r="V4533" s="1"/>
      <c r="W4533" s="1"/>
      <c r="X4533" s="1"/>
    </row>
    <row x14ac:dyDescent="0.25" r="4534" customHeight="1" ht="18.75">
      <c r="A4534" s="1"/>
      <c r="B4534" s="1"/>
      <c r="C4534" s="1"/>
      <c r="D4534" s="1"/>
      <c r="E4534" s="1"/>
      <c r="F4534" s="1"/>
      <c r="G4534" s="1"/>
      <c r="H4534" s="1"/>
      <c r="I4534" s="2"/>
      <c r="J4534" s="1"/>
      <c r="K4534" s="1"/>
      <c r="L4534" s="1"/>
      <c r="M4534" s="1"/>
      <c r="N4534" s="1"/>
      <c r="O4534" s="1"/>
      <c r="P4534" s="1"/>
      <c r="Q4534" s="1"/>
      <c r="R4534" s="1"/>
      <c r="S4534" s="1"/>
      <c r="T4534" s="1"/>
      <c r="U4534" s="1"/>
      <c r="V4534" s="1"/>
      <c r="W4534" s="1"/>
      <c r="X4534" s="1"/>
    </row>
    <row x14ac:dyDescent="0.25" r="4535" customHeight="1" ht="18.75">
      <c r="A4535" s="1"/>
      <c r="B4535" s="1"/>
      <c r="C4535" s="1"/>
      <c r="D4535" s="1"/>
      <c r="E4535" s="1"/>
      <c r="F4535" s="1"/>
      <c r="G4535" s="1"/>
      <c r="H4535" s="1"/>
      <c r="I4535" s="2"/>
      <c r="J4535" s="1"/>
      <c r="K4535" s="1"/>
      <c r="L4535" s="1"/>
      <c r="M4535" s="1"/>
      <c r="N4535" s="1"/>
      <c r="O4535" s="1"/>
      <c r="P4535" s="1"/>
      <c r="Q4535" s="1"/>
      <c r="R4535" s="1"/>
      <c r="S4535" s="1"/>
      <c r="T4535" s="1"/>
      <c r="U4535" s="1"/>
      <c r="V4535" s="1"/>
      <c r="W4535" s="1"/>
      <c r="X4535" s="1"/>
    </row>
    <row x14ac:dyDescent="0.25" r="4536" customHeight="1" ht="18.75">
      <c r="A4536" s="1"/>
      <c r="B4536" s="1"/>
      <c r="C4536" s="1"/>
      <c r="D4536" s="1"/>
      <c r="E4536" s="1"/>
      <c r="F4536" s="1"/>
      <c r="G4536" s="1"/>
      <c r="H4536" s="1"/>
      <c r="I4536" s="2"/>
      <c r="J4536" s="1"/>
      <c r="K4536" s="1"/>
      <c r="L4536" s="1"/>
      <c r="M4536" s="1"/>
      <c r="N4536" s="1"/>
      <c r="O4536" s="1"/>
      <c r="P4536" s="1"/>
      <c r="Q4536" s="1"/>
      <c r="R4536" s="1"/>
      <c r="S4536" s="1"/>
      <c r="T4536" s="1"/>
      <c r="U4536" s="1"/>
      <c r="V4536" s="1"/>
      <c r="W4536" s="1"/>
      <c r="X4536" s="1"/>
    </row>
    <row x14ac:dyDescent="0.25" r="4537" customHeight="1" ht="18.75">
      <c r="A4537" s="1"/>
      <c r="B4537" s="1"/>
      <c r="C4537" s="1"/>
      <c r="D4537" s="1"/>
      <c r="E4537" s="1"/>
      <c r="F4537" s="1"/>
      <c r="G4537" s="1"/>
      <c r="H4537" s="1"/>
      <c r="I4537" s="2"/>
      <c r="J4537" s="1"/>
      <c r="K4537" s="1"/>
      <c r="L4537" s="1"/>
      <c r="M4537" s="1"/>
      <c r="N4537" s="1"/>
      <c r="O4537" s="1"/>
      <c r="P4537" s="1"/>
      <c r="Q4537" s="1"/>
      <c r="R4537" s="1"/>
      <c r="S4537" s="1"/>
      <c r="T4537" s="1"/>
      <c r="U4537" s="1"/>
      <c r="V4537" s="1"/>
      <c r="W4537" s="1"/>
      <c r="X4537" s="1"/>
    </row>
    <row x14ac:dyDescent="0.25" r="4538" customHeight="1" ht="18.75">
      <c r="A4538" s="1"/>
      <c r="B4538" s="1"/>
      <c r="C4538" s="1"/>
      <c r="D4538" s="1"/>
      <c r="E4538" s="1"/>
      <c r="F4538" s="1"/>
      <c r="G4538" s="1"/>
      <c r="H4538" s="1"/>
      <c r="I4538" s="2"/>
      <c r="J4538" s="1"/>
      <c r="K4538" s="1"/>
      <c r="L4538" s="1"/>
      <c r="M4538" s="1"/>
      <c r="N4538" s="1"/>
      <c r="O4538" s="1"/>
      <c r="P4538" s="1"/>
      <c r="Q4538" s="1"/>
      <c r="R4538" s="1"/>
      <c r="S4538" s="1"/>
      <c r="T4538" s="1"/>
      <c r="U4538" s="1"/>
      <c r="V4538" s="1"/>
      <c r="W4538" s="1"/>
      <c r="X4538" s="1"/>
    </row>
    <row x14ac:dyDescent="0.25" r="4539" customHeight="1" ht="18.75">
      <c r="A4539" s="1"/>
      <c r="B4539" s="1"/>
      <c r="C4539" s="1"/>
      <c r="D4539" s="1"/>
      <c r="E4539" s="1"/>
      <c r="F4539" s="1"/>
      <c r="G4539" s="1"/>
      <c r="H4539" s="1"/>
      <c r="I4539" s="2"/>
      <c r="J4539" s="1"/>
      <c r="K4539" s="1"/>
      <c r="L4539" s="1"/>
      <c r="M4539" s="1"/>
      <c r="N4539" s="1"/>
      <c r="O4539" s="1"/>
      <c r="P4539" s="1"/>
      <c r="Q4539" s="1"/>
      <c r="R4539" s="1"/>
      <c r="S4539" s="1"/>
      <c r="T4539" s="1"/>
      <c r="U4539" s="1"/>
      <c r="V4539" s="1"/>
      <c r="W4539" s="1"/>
      <c r="X4539" s="1"/>
    </row>
    <row x14ac:dyDescent="0.25" r="4540" customHeight="1" ht="18.75">
      <c r="A4540" s="1"/>
      <c r="B4540" s="1"/>
      <c r="C4540" s="1"/>
      <c r="D4540" s="1"/>
      <c r="E4540" s="1"/>
      <c r="F4540" s="1"/>
      <c r="G4540" s="1"/>
      <c r="H4540" s="1"/>
      <c r="I4540" s="2"/>
      <c r="J4540" s="1"/>
      <c r="K4540" s="1"/>
      <c r="L4540" s="1"/>
      <c r="M4540" s="1"/>
      <c r="N4540" s="1"/>
      <c r="O4540" s="1"/>
      <c r="P4540" s="1"/>
      <c r="Q4540" s="1"/>
      <c r="R4540" s="1"/>
      <c r="S4540" s="1"/>
      <c r="T4540" s="1"/>
      <c r="U4540" s="1"/>
      <c r="V4540" s="1"/>
      <c r="W4540" s="1"/>
      <c r="X4540" s="1"/>
    </row>
    <row x14ac:dyDescent="0.25" r="4541" customHeight="1" ht="18.75">
      <c r="A4541" s="1"/>
      <c r="B4541" s="1"/>
      <c r="C4541" s="1"/>
      <c r="D4541" s="1"/>
      <c r="E4541" s="1"/>
      <c r="F4541" s="1"/>
      <c r="G4541" s="1"/>
      <c r="H4541" s="1"/>
      <c r="I4541" s="2"/>
      <c r="J4541" s="1"/>
      <c r="K4541" s="1"/>
      <c r="L4541" s="1"/>
      <c r="M4541" s="1"/>
      <c r="N4541" s="1"/>
      <c r="O4541" s="1"/>
      <c r="P4541" s="1"/>
      <c r="Q4541" s="1"/>
      <c r="R4541" s="1"/>
      <c r="S4541" s="1"/>
      <c r="T4541" s="1"/>
      <c r="U4541" s="1"/>
      <c r="V4541" s="1"/>
      <c r="W4541" s="1"/>
      <c r="X4541" s="1"/>
    </row>
    <row x14ac:dyDescent="0.25" r="4542" customHeight="1" ht="18.75">
      <c r="A4542" s="1"/>
      <c r="B4542" s="1"/>
      <c r="C4542" s="1"/>
      <c r="D4542" s="1"/>
      <c r="E4542" s="1"/>
      <c r="F4542" s="1"/>
      <c r="G4542" s="1"/>
      <c r="H4542" s="1"/>
      <c r="I4542" s="2"/>
      <c r="J4542" s="1"/>
      <c r="K4542" s="1"/>
      <c r="L4542" s="1"/>
      <c r="M4542" s="1"/>
      <c r="N4542" s="1"/>
      <c r="O4542" s="1"/>
      <c r="P4542" s="1"/>
      <c r="Q4542" s="1"/>
      <c r="R4542" s="1"/>
      <c r="S4542" s="1"/>
      <c r="T4542" s="1"/>
      <c r="U4542" s="1"/>
      <c r="V4542" s="1"/>
      <c r="W4542" s="1"/>
      <c r="X4542" s="1"/>
    </row>
    <row x14ac:dyDescent="0.25" r="4543" customHeight="1" ht="18.75">
      <c r="A4543" s="1"/>
      <c r="B4543" s="1"/>
      <c r="C4543" s="1"/>
      <c r="D4543" s="1"/>
      <c r="E4543" s="1"/>
      <c r="F4543" s="1"/>
      <c r="G4543" s="1"/>
      <c r="H4543" s="1"/>
      <c r="I4543" s="2"/>
      <c r="J4543" s="1"/>
      <c r="K4543" s="1"/>
      <c r="L4543" s="1"/>
      <c r="M4543" s="1"/>
      <c r="N4543" s="1"/>
      <c r="O4543" s="1"/>
      <c r="P4543" s="1"/>
      <c r="Q4543" s="1"/>
      <c r="R4543" s="1"/>
      <c r="S4543" s="1"/>
      <c r="T4543" s="1"/>
      <c r="U4543" s="1"/>
      <c r="V4543" s="1"/>
      <c r="W4543" s="1"/>
      <c r="X4543" s="1"/>
    </row>
    <row x14ac:dyDescent="0.25" r="4544" customHeight="1" ht="18.75">
      <c r="A4544" s="1"/>
      <c r="B4544" s="1"/>
      <c r="C4544" s="1"/>
      <c r="D4544" s="1"/>
      <c r="E4544" s="1"/>
      <c r="F4544" s="1"/>
      <c r="G4544" s="1"/>
      <c r="H4544" s="1"/>
      <c r="I4544" s="2"/>
      <c r="J4544" s="1"/>
      <c r="K4544" s="1"/>
      <c r="L4544" s="1"/>
      <c r="M4544" s="1"/>
      <c r="N4544" s="1"/>
      <c r="O4544" s="1"/>
      <c r="P4544" s="1"/>
      <c r="Q4544" s="1"/>
      <c r="R4544" s="1"/>
      <c r="S4544" s="1"/>
      <c r="T4544" s="1"/>
      <c r="U4544" s="1"/>
      <c r="V4544" s="1"/>
      <c r="W4544" s="1"/>
      <c r="X4544" s="1"/>
    </row>
    <row x14ac:dyDescent="0.25" r="4545" customHeight="1" ht="18.75">
      <c r="A4545" s="1"/>
      <c r="B4545" s="1"/>
      <c r="C4545" s="1"/>
      <c r="D4545" s="1"/>
      <c r="E4545" s="1"/>
      <c r="F4545" s="1"/>
      <c r="G4545" s="1"/>
      <c r="H4545" s="1"/>
      <c r="I4545" s="2"/>
      <c r="J4545" s="1"/>
      <c r="K4545" s="1"/>
      <c r="L4545" s="1"/>
      <c r="M4545" s="1"/>
      <c r="N4545" s="1"/>
      <c r="O4545" s="1"/>
      <c r="P4545" s="1"/>
      <c r="Q4545" s="1"/>
      <c r="R4545" s="1"/>
      <c r="S4545" s="1"/>
      <c r="T4545" s="1"/>
      <c r="U4545" s="1"/>
      <c r="V4545" s="1"/>
      <c r="W4545" s="1"/>
      <c r="X4545" s="1"/>
    </row>
    <row x14ac:dyDescent="0.25" r="4546" customHeight="1" ht="18.75">
      <c r="A4546" s="1"/>
      <c r="B4546" s="1"/>
      <c r="C4546" s="1"/>
      <c r="D4546" s="1"/>
      <c r="E4546" s="1"/>
      <c r="F4546" s="1"/>
      <c r="G4546" s="1"/>
      <c r="H4546" s="1"/>
      <c r="I4546" s="2"/>
      <c r="J4546" s="1"/>
      <c r="K4546" s="1"/>
      <c r="L4546" s="1"/>
      <c r="M4546" s="1"/>
      <c r="N4546" s="1"/>
      <c r="O4546" s="1"/>
      <c r="P4546" s="1"/>
      <c r="Q4546" s="1"/>
      <c r="R4546" s="1"/>
      <c r="S4546" s="1"/>
      <c r="T4546" s="1"/>
      <c r="U4546" s="1"/>
      <c r="V4546" s="1"/>
      <c r="W4546" s="1"/>
      <c r="X4546" s="1"/>
    </row>
    <row x14ac:dyDescent="0.25" r="4547" customHeight="1" ht="18.75">
      <c r="A4547" s="1"/>
      <c r="B4547" s="1"/>
      <c r="C4547" s="1"/>
      <c r="D4547" s="1"/>
      <c r="E4547" s="1"/>
      <c r="F4547" s="1"/>
      <c r="G4547" s="1"/>
      <c r="H4547" s="1"/>
      <c r="I4547" s="2"/>
      <c r="J4547" s="1"/>
      <c r="K4547" s="1"/>
      <c r="L4547" s="1"/>
      <c r="M4547" s="1"/>
      <c r="N4547" s="1"/>
      <c r="O4547" s="1"/>
      <c r="P4547" s="1"/>
      <c r="Q4547" s="1"/>
      <c r="R4547" s="1"/>
      <c r="S4547" s="1"/>
      <c r="T4547" s="1"/>
      <c r="U4547" s="1"/>
      <c r="V4547" s="1"/>
      <c r="W4547" s="1"/>
      <c r="X4547" s="1"/>
    </row>
    <row x14ac:dyDescent="0.25" r="4548" customHeight="1" ht="18.75">
      <c r="A4548" s="1"/>
      <c r="B4548" s="1"/>
      <c r="C4548" s="1"/>
      <c r="D4548" s="1"/>
      <c r="E4548" s="1"/>
      <c r="F4548" s="1"/>
      <c r="G4548" s="1"/>
      <c r="H4548" s="1"/>
      <c r="I4548" s="2"/>
      <c r="J4548" s="1"/>
      <c r="K4548" s="1"/>
      <c r="L4548" s="1"/>
      <c r="M4548" s="1"/>
      <c r="N4548" s="1"/>
      <c r="O4548" s="1"/>
      <c r="P4548" s="1"/>
      <c r="Q4548" s="1"/>
      <c r="R4548" s="1"/>
      <c r="S4548" s="1"/>
      <c r="T4548" s="1"/>
      <c r="U4548" s="1"/>
      <c r="V4548" s="1"/>
      <c r="W4548" s="1"/>
      <c r="X4548" s="1"/>
    </row>
    <row x14ac:dyDescent="0.25" r="4549" customHeight="1" ht="18.75">
      <c r="A4549" s="1"/>
      <c r="B4549" s="1"/>
      <c r="C4549" s="1"/>
      <c r="D4549" s="1"/>
      <c r="E4549" s="1"/>
      <c r="F4549" s="1"/>
      <c r="G4549" s="1"/>
      <c r="H4549" s="1"/>
      <c r="I4549" s="2"/>
      <c r="J4549" s="1"/>
      <c r="K4549" s="1"/>
      <c r="L4549" s="1"/>
      <c r="M4549" s="1"/>
      <c r="N4549" s="1"/>
      <c r="O4549" s="1"/>
      <c r="P4549" s="1"/>
      <c r="Q4549" s="1"/>
      <c r="R4549" s="1"/>
      <c r="S4549" s="1"/>
      <c r="T4549" s="1"/>
      <c r="U4549" s="1"/>
      <c r="V4549" s="1"/>
      <c r="W4549" s="1"/>
      <c r="X4549" s="1"/>
    </row>
    <row x14ac:dyDescent="0.25" r="4550" customHeight="1" ht="18.75">
      <c r="A4550" s="1"/>
      <c r="B4550" s="1"/>
      <c r="C4550" s="1"/>
      <c r="D4550" s="1"/>
      <c r="E4550" s="1"/>
      <c r="F4550" s="1"/>
      <c r="G4550" s="1"/>
      <c r="H4550" s="1"/>
      <c r="I4550" s="2"/>
      <c r="J4550" s="1"/>
      <c r="K4550" s="1"/>
      <c r="L4550" s="1"/>
      <c r="M4550" s="1"/>
      <c r="N4550" s="1"/>
      <c r="O4550" s="1"/>
      <c r="P4550" s="1"/>
      <c r="Q4550" s="1"/>
      <c r="R4550" s="1"/>
      <c r="S4550" s="1"/>
      <c r="T4550" s="1"/>
      <c r="U4550" s="1"/>
      <c r="V4550" s="1"/>
      <c r="W4550" s="1"/>
      <c r="X4550" s="1"/>
    </row>
    <row x14ac:dyDescent="0.25" r="4551" customHeight="1" ht="18.75">
      <c r="A4551" s="1"/>
      <c r="B4551" s="1"/>
      <c r="C4551" s="1"/>
      <c r="D4551" s="1"/>
      <c r="E4551" s="1"/>
      <c r="F4551" s="1"/>
      <c r="G4551" s="1"/>
      <c r="H4551" s="1"/>
      <c r="I4551" s="2"/>
      <c r="J4551" s="1"/>
      <c r="K4551" s="1"/>
      <c r="L4551" s="1"/>
      <c r="M4551" s="1"/>
      <c r="N4551" s="1"/>
      <c r="O4551" s="1"/>
      <c r="P4551" s="1"/>
      <c r="Q4551" s="1"/>
      <c r="R4551" s="1"/>
      <c r="S4551" s="1"/>
      <c r="T4551" s="1"/>
      <c r="U4551" s="1"/>
      <c r="V4551" s="1"/>
      <c r="W4551" s="1"/>
      <c r="X4551" s="1"/>
    </row>
    <row x14ac:dyDescent="0.25" r="4552" customHeight="1" ht="18.75">
      <c r="A4552" s="1"/>
      <c r="B4552" s="1"/>
      <c r="C4552" s="1"/>
      <c r="D4552" s="1"/>
      <c r="E4552" s="1"/>
      <c r="F4552" s="1"/>
      <c r="G4552" s="1"/>
      <c r="H4552" s="1"/>
      <c r="I4552" s="2"/>
      <c r="J4552" s="1"/>
      <c r="K4552" s="1"/>
      <c r="L4552" s="1"/>
      <c r="M4552" s="1"/>
      <c r="N4552" s="1"/>
      <c r="O4552" s="1"/>
      <c r="P4552" s="1"/>
      <c r="Q4552" s="1"/>
      <c r="R4552" s="1"/>
      <c r="S4552" s="1"/>
      <c r="T4552" s="1"/>
      <c r="U4552" s="1"/>
      <c r="V4552" s="1"/>
      <c r="W4552" s="1"/>
      <c r="X4552" s="1"/>
    </row>
    <row x14ac:dyDescent="0.25" r="4553" customHeight="1" ht="18.75">
      <c r="A4553" s="1"/>
      <c r="B4553" s="1"/>
      <c r="C4553" s="1"/>
      <c r="D4553" s="1"/>
      <c r="E4553" s="1"/>
      <c r="F4553" s="1"/>
      <c r="G4553" s="1"/>
      <c r="H4553" s="1"/>
      <c r="I4553" s="2"/>
      <c r="J4553" s="1"/>
      <c r="K4553" s="1"/>
      <c r="L4553" s="1"/>
      <c r="M4553" s="1"/>
      <c r="N4553" s="1"/>
      <c r="O4553" s="1"/>
      <c r="P4553" s="1"/>
      <c r="Q4553" s="1"/>
      <c r="R4553" s="1"/>
      <c r="S4553" s="1"/>
      <c r="T4553" s="1"/>
      <c r="U4553" s="1"/>
      <c r="V4553" s="1"/>
      <c r="W4553" s="1"/>
      <c r="X4553" s="1"/>
    </row>
    <row x14ac:dyDescent="0.25" r="4554" customHeight="1" ht="18.75">
      <c r="A4554" s="1"/>
      <c r="B4554" s="1"/>
      <c r="C4554" s="1"/>
      <c r="D4554" s="1"/>
      <c r="E4554" s="1"/>
      <c r="F4554" s="1"/>
      <c r="G4554" s="1"/>
      <c r="H4554" s="1"/>
      <c r="I4554" s="2"/>
      <c r="J4554" s="1"/>
      <c r="K4554" s="1"/>
      <c r="L4554" s="1"/>
      <c r="M4554" s="1"/>
      <c r="N4554" s="1"/>
      <c r="O4554" s="1"/>
      <c r="P4554" s="1"/>
      <c r="Q4554" s="1"/>
      <c r="R4554" s="1"/>
      <c r="S4554" s="1"/>
      <c r="T4554" s="1"/>
      <c r="U4554" s="1"/>
      <c r="V4554" s="1"/>
      <c r="W4554" s="1"/>
      <c r="X4554" s="1"/>
    </row>
    <row x14ac:dyDescent="0.25" r="4555" customHeight="1" ht="18.75">
      <c r="A4555" s="1"/>
      <c r="B4555" s="1"/>
      <c r="C4555" s="1"/>
      <c r="D4555" s="1"/>
      <c r="E4555" s="1"/>
      <c r="F4555" s="1"/>
      <c r="G4555" s="1"/>
      <c r="H4555" s="1"/>
      <c r="I4555" s="2"/>
      <c r="J4555" s="1"/>
      <c r="K4555" s="1"/>
      <c r="L4555" s="1"/>
      <c r="M4555" s="1"/>
      <c r="N4555" s="1"/>
      <c r="O4555" s="1"/>
      <c r="P4555" s="1"/>
      <c r="Q4555" s="1"/>
      <c r="R4555" s="1"/>
      <c r="S4555" s="1"/>
      <c r="T4555" s="1"/>
      <c r="U4555" s="1"/>
      <c r="V4555" s="1"/>
      <c r="W4555" s="1"/>
      <c r="X4555" s="1"/>
    </row>
    <row x14ac:dyDescent="0.25" r="4556" customHeight="1" ht="18.75">
      <c r="A4556" s="1"/>
      <c r="B4556" s="1"/>
      <c r="C4556" s="1"/>
      <c r="D4556" s="1"/>
      <c r="E4556" s="1"/>
      <c r="F4556" s="1"/>
      <c r="G4556" s="1"/>
      <c r="H4556" s="1"/>
      <c r="I4556" s="2"/>
      <c r="J4556" s="1"/>
      <c r="K4556" s="1"/>
      <c r="L4556" s="1"/>
      <c r="M4556" s="1"/>
      <c r="N4556" s="1"/>
      <c r="O4556" s="1"/>
      <c r="P4556" s="1"/>
      <c r="Q4556" s="1"/>
      <c r="R4556" s="1"/>
      <c r="S4556" s="1"/>
      <c r="T4556" s="1"/>
      <c r="U4556" s="1"/>
      <c r="V4556" s="1"/>
      <c r="W4556" s="1"/>
      <c r="X4556" s="1"/>
    </row>
    <row x14ac:dyDescent="0.25" r="4557" customHeight="1" ht="18.75">
      <c r="A4557" s="1"/>
      <c r="B4557" s="1"/>
      <c r="C4557" s="1"/>
      <c r="D4557" s="1"/>
      <c r="E4557" s="1"/>
      <c r="F4557" s="1"/>
      <c r="G4557" s="1"/>
      <c r="H4557" s="1"/>
      <c r="I4557" s="2"/>
      <c r="J4557" s="1"/>
      <c r="K4557" s="1"/>
      <c r="L4557" s="1"/>
      <c r="M4557" s="1"/>
      <c r="N4557" s="1"/>
      <c r="O4557" s="1"/>
      <c r="P4557" s="1"/>
      <c r="Q4557" s="1"/>
      <c r="R4557" s="1"/>
      <c r="S4557" s="1"/>
      <c r="T4557" s="1"/>
      <c r="U4557" s="1"/>
      <c r="V4557" s="1"/>
      <c r="W4557" s="1"/>
      <c r="X4557" s="1"/>
    </row>
    <row x14ac:dyDescent="0.25" r="4558" customHeight="1" ht="18.75">
      <c r="A4558" s="1"/>
      <c r="B4558" s="1"/>
      <c r="C4558" s="1"/>
      <c r="D4558" s="1"/>
      <c r="E4558" s="1"/>
      <c r="F4558" s="1"/>
      <c r="G4558" s="1"/>
      <c r="H4558" s="1"/>
      <c r="I4558" s="2"/>
      <c r="J4558" s="1"/>
      <c r="K4558" s="1"/>
      <c r="L4558" s="1"/>
      <c r="M4558" s="1"/>
      <c r="N4558" s="1"/>
      <c r="O4558" s="1"/>
      <c r="P4558" s="1"/>
      <c r="Q4558" s="1"/>
      <c r="R4558" s="1"/>
      <c r="S4558" s="1"/>
      <c r="T4558" s="1"/>
      <c r="U4558" s="1"/>
      <c r="V4558" s="1"/>
      <c r="W4558" s="1"/>
      <c r="X4558" s="1"/>
    </row>
    <row x14ac:dyDescent="0.25" r="4559" customHeight="1" ht="18.75">
      <c r="A4559" s="1"/>
      <c r="B4559" s="1"/>
      <c r="C4559" s="1"/>
      <c r="D4559" s="1"/>
      <c r="E4559" s="1"/>
      <c r="F4559" s="1"/>
      <c r="G4559" s="1"/>
      <c r="H4559" s="1"/>
      <c r="I4559" s="2"/>
      <c r="J4559" s="1"/>
      <c r="K4559" s="1"/>
      <c r="L4559" s="1"/>
      <c r="M4559" s="1"/>
      <c r="N4559" s="1"/>
      <c r="O4559" s="1"/>
      <c r="P4559" s="1"/>
      <c r="Q4559" s="1"/>
      <c r="R4559" s="1"/>
      <c r="S4559" s="1"/>
      <c r="T4559" s="1"/>
      <c r="U4559" s="1"/>
      <c r="V4559" s="1"/>
      <c r="W4559" s="1"/>
      <c r="X4559" s="1"/>
    </row>
    <row x14ac:dyDescent="0.25" r="4560" customHeight="1" ht="18.75">
      <c r="A4560" s="1"/>
      <c r="B4560" s="1"/>
      <c r="C4560" s="1"/>
      <c r="D4560" s="1"/>
      <c r="E4560" s="1"/>
      <c r="F4560" s="1"/>
      <c r="G4560" s="1"/>
      <c r="H4560" s="1"/>
      <c r="I4560" s="2"/>
      <c r="J4560" s="1"/>
      <c r="K4560" s="1"/>
      <c r="L4560" s="1"/>
      <c r="M4560" s="1"/>
      <c r="N4560" s="1"/>
      <c r="O4560" s="1"/>
      <c r="P4560" s="1"/>
      <c r="Q4560" s="1"/>
      <c r="R4560" s="1"/>
      <c r="S4560" s="1"/>
      <c r="T4560" s="1"/>
      <c r="U4560" s="1"/>
      <c r="V4560" s="1"/>
      <c r="W4560" s="1"/>
      <c r="X4560" s="1"/>
    </row>
    <row x14ac:dyDescent="0.25" r="4561" customHeight="1" ht="18.75">
      <c r="A4561" s="1"/>
      <c r="B4561" s="1"/>
      <c r="C4561" s="1"/>
      <c r="D4561" s="1"/>
      <c r="E4561" s="1"/>
      <c r="F4561" s="1"/>
      <c r="G4561" s="1"/>
      <c r="H4561" s="1"/>
      <c r="I4561" s="2"/>
      <c r="J4561" s="1"/>
      <c r="K4561" s="1"/>
      <c r="L4561" s="1"/>
      <c r="M4561" s="1"/>
      <c r="N4561" s="1"/>
      <c r="O4561" s="1"/>
      <c r="P4561" s="1"/>
      <c r="Q4561" s="1"/>
      <c r="R4561" s="1"/>
      <c r="S4561" s="1"/>
      <c r="T4561" s="1"/>
      <c r="U4561" s="1"/>
      <c r="V4561" s="1"/>
      <c r="W4561" s="1"/>
      <c r="X4561" s="1"/>
    </row>
    <row x14ac:dyDescent="0.25" r="4562" customHeight="1" ht="18.75">
      <c r="A4562" s="1"/>
      <c r="B4562" s="1"/>
      <c r="C4562" s="1"/>
      <c r="D4562" s="1"/>
      <c r="E4562" s="1"/>
      <c r="F4562" s="1"/>
      <c r="G4562" s="1"/>
      <c r="H4562" s="1"/>
      <c r="I4562" s="2"/>
      <c r="J4562" s="1"/>
      <c r="K4562" s="1"/>
      <c r="L4562" s="1"/>
      <c r="M4562" s="1"/>
      <c r="N4562" s="1"/>
      <c r="O4562" s="1"/>
      <c r="P4562" s="1"/>
      <c r="Q4562" s="1"/>
      <c r="R4562" s="1"/>
      <c r="S4562" s="1"/>
      <c r="T4562" s="1"/>
      <c r="U4562" s="1"/>
      <c r="V4562" s="1"/>
      <c r="W4562" s="1"/>
      <c r="X4562" s="1"/>
    </row>
    <row x14ac:dyDescent="0.25" r="4563" customHeight="1" ht="18.75">
      <c r="A4563" s="1"/>
      <c r="B4563" s="1"/>
      <c r="C4563" s="1"/>
      <c r="D4563" s="1"/>
      <c r="E4563" s="1"/>
      <c r="F4563" s="1"/>
      <c r="G4563" s="1"/>
      <c r="H4563" s="1"/>
      <c r="I4563" s="2"/>
      <c r="J4563" s="1"/>
      <c r="K4563" s="1"/>
      <c r="L4563" s="1"/>
      <c r="M4563" s="1"/>
      <c r="N4563" s="1"/>
      <c r="O4563" s="1"/>
      <c r="P4563" s="1"/>
      <c r="Q4563" s="1"/>
      <c r="R4563" s="1"/>
      <c r="S4563" s="1"/>
      <c r="T4563" s="1"/>
      <c r="U4563" s="1"/>
      <c r="V4563" s="1"/>
      <c r="W4563" s="1"/>
      <c r="X4563" s="1"/>
    </row>
    <row x14ac:dyDescent="0.25" r="4564" customHeight="1" ht="18.75">
      <c r="A4564" s="1"/>
      <c r="B4564" s="1"/>
      <c r="C4564" s="1"/>
      <c r="D4564" s="1"/>
      <c r="E4564" s="1"/>
      <c r="F4564" s="1"/>
      <c r="G4564" s="1"/>
      <c r="H4564" s="1"/>
      <c r="I4564" s="2"/>
      <c r="J4564" s="1"/>
      <c r="K4564" s="1"/>
      <c r="L4564" s="1"/>
      <c r="M4564" s="1"/>
      <c r="N4564" s="1"/>
      <c r="O4564" s="1"/>
      <c r="P4564" s="1"/>
      <c r="Q4564" s="1"/>
      <c r="R4564" s="1"/>
      <c r="S4564" s="1"/>
      <c r="T4564" s="1"/>
      <c r="U4564" s="1"/>
      <c r="V4564" s="1"/>
      <c r="W4564" s="1"/>
      <c r="X4564" s="1"/>
    </row>
    <row x14ac:dyDescent="0.25" r="4565" customHeight="1" ht="18.75">
      <c r="A4565" s="1"/>
      <c r="B4565" s="1"/>
      <c r="C4565" s="1"/>
      <c r="D4565" s="1"/>
      <c r="E4565" s="1"/>
      <c r="F4565" s="1"/>
      <c r="G4565" s="1"/>
      <c r="H4565" s="1"/>
      <c r="I4565" s="2"/>
      <c r="J4565" s="1"/>
      <c r="K4565" s="1"/>
      <c r="L4565" s="1"/>
      <c r="M4565" s="1"/>
      <c r="N4565" s="1"/>
      <c r="O4565" s="1"/>
      <c r="P4565" s="1"/>
      <c r="Q4565" s="1"/>
      <c r="R4565" s="1"/>
      <c r="S4565" s="1"/>
      <c r="T4565" s="1"/>
      <c r="U4565" s="1"/>
      <c r="V4565" s="1"/>
      <c r="W4565" s="1"/>
      <c r="X4565" s="1"/>
    </row>
    <row x14ac:dyDescent="0.25" r="4566" customHeight="1" ht="18.75">
      <c r="A4566" s="1"/>
      <c r="B4566" s="1"/>
      <c r="C4566" s="1"/>
      <c r="D4566" s="1"/>
      <c r="E4566" s="1"/>
      <c r="F4566" s="1"/>
      <c r="G4566" s="1"/>
      <c r="H4566" s="1"/>
      <c r="I4566" s="2"/>
      <c r="J4566" s="1"/>
      <c r="K4566" s="1"/>
      <c r="L4566" s="1"/>
      <c r="M4566" s="1"/>
      <c r="N4566" s="1"/>
      <c r="O4566" s="1"/>
      <c r="P4566" s="1"/>
      <c r="Q4566" s="1"/>
      <c r="R4566" s="1"/>
      <c r="S4566" s="1"/>
      <c r="T4566" s="1"/>
      <c r="U4566" s="1"/>
      <c r="V4566" s="1"/>
      <c r="W4566" s="1"/>
      <c r="X4566" s="1"/>
    </row>
    <row x14ac:dyDescent="0.25" r="4567" customHeight="1" ht="18.75">
      <c r="A4567" s="1"/>
      <c r="B4567" s="1"/>
      <c r="C4567" s="1"/>
      <c r="D4567" s="1"/>
      <c r="E4567" s="1"/>
      <c r="F4567" s="1"/>
      <c r="G4567" s="1"/>
      <c r="H4567" s="1"/>
      <c r="I4567" s="2"/>
      <c r="J4567" s="1"/>
      <c r="K4567" s="1"/>
      <c r="L4567" s="1"/>
      <c r="M4567" s="1"/>
      <c r="N4567" s="1"/>
      <c r="O4567" s="1"/>
      <c r="P4567" s="1"/>
      <c r="Q4567" s="1"/>
      <c r="R4567" s="1"/>
      <c r="S4567" s="1"/>
      <c r="T4567" s="1"/>
      <c r="U4567" s="1"/>
      <c r="V4567" s="1"/>
      <c r="W4567" s="1"/>
      <c r="X4567" s="1"/>
    </row>
    <row x14ac:dyDescent="0.25" r="4568" customHeight="1" ht="18.75">
      <c r="A4568" s="1"/>
      <c r="B4568" s="1"/>
      <c r="C4568" s="1"/>
      <c r="D4568" s="1"/>
      <c r="E4568" s="1"/>
      <c r="F4568" s="1"/>
      <c r="G4568" s="1"/>
      <c r="H4568" s="1"/>
      <c r="I4568" s="2"/>
      <c r="J4568" s="1"/>
      <c r="K4568" s="1"/>
      <c r="L4568" s="1"/>
      <c r="M4568" s="1"/>
      <c r="N4568" s="1"/>
      <c r="O4568" s="1"/>
      <c r="P4568" s="1"/>
      <c r="Q4568" s="1"/>
      <c r="R4568" s="1"/>
      <c r="S4568" s="1"/>
      <c r="T4568" s="1"/>
      <c r="U4568" s="1"/>
      <c r="V4568" s="1"/>
      <c r="W4568" s="1"/>
      <c r="X4568" s="1"/>
    </row>
    <row x14ac:dyDescent="0.25" r="4569" customHeight="1" ht="18.75">
      <c r="A4569" s="1"/>
      <c r="B4569" s="1"/>
      <c r="C4569" s="1"/>
      <c r="D4569" s="1"/>
      <c r="E4569" s="1"/>
      <c r="F4569" s="1"/>
      <c r="G4569" s="1"/>
      <c r="H4569" s="1"/>
      <c r="I4569" s="2"/>
      <c r="J4569" s="1"/>
      <c r="K4569" s="1"/>
      <c r="L4569" s="1"/>
      <c r="M4569" s="1"/>
      <c r="N4569" s="1"/>
      <c r="O4569" s="1"/>
      <c r="P4569" s="1"/>
      <c r="Q4569" s="1"/>
      <c r="R4569" s="1"/>
      <c r="S4569" s="1"/>
      <c r="T4569" s="1"/>
      <c r="U4569" s="1"/>
      <c r="V4569" s="1"/>
      <c r="W4569" s="1"/>
      <c r="X4569" s="1"/>
    </row>
    <row x14ac:dyDescent="0.25" r="4570" customHeight="1" ht="18.75">
      <c r="A4570" s="1"/>
      <c r="B4570" s="1"/>
      <c r="C4570" s="1"/>
      <c r="D4570" s="1"/>
      <c r="E4570" s="1"/>
      <c r="F4570" s="1"/>
      <c r="G4570" s="1"/>
      <c r="H4570" s="1"/>
      <c r="I4570" s="2"/>
      <c r="J4570" s="1"/>
      <c r="K4570" s="1"/>
      <c r="L4570" s="1"/>
      <c r="M4570" s="1"/>
      <c r="N4570" s="1"/>
      <c r="O4570" s="1"/>
      <c r="P4570" s="1"/>
      <c r="Q4570" s="1"/>
      <c r="R4570" s="1"/>
      <c r="S4570" s="1"/>
      <c r="T4570" s="1"/>
      <c r="U4570" s="1"/>
      <c r="V4570" s="1"/>
      <c r="W4570" s="1"/>
      <c r="X4570" s="1"/>
    </row>
    <row x14ac:dyDescent="0.25" r="4571" customHeight="1" ht="18.75">
      <c r="A4571" s="1"/>
      <c r="B4571" s="1"/>
      <c r="C4571" s="1"/>
      <c r="D4571" s="1"/>
      <c r="E4571" s="1"/>
      <c r="F4571" s="1"/>
      <c r="G4571" s="1"/>
      <c r="H4571" s="1"/>
      <c r="I4571" s="2"/>
      <c r="J4571" s="1"/>
      <c r="K4571" s="1"/>
      <c r="L4571" s="1"/>
      <c r="M4571" s="1"/>
      <c r="N4571" s="1"/>
      <c r="O4571" s="1"/>
      <c r="P4571" s="1"/>
      <c r="Q4571" s="1"/>
      <c r="R4571" s="1"/>
      <c r="S4571" s="1"/>
      <c r="T4571" s="1"/>
      <c r="U4571" s="1"/>
      <c r="V4571" s="1"/>
      <c r="W4571" s="1"/>
      <c r="X4571" s="1"/>
    </row>
    <row x14ac:dyDescent="0.25" r="4572" customHeight="1" ht="18.75">
      <c r="A4572" s="1"/>
      <c r="B4572" s="1"/>
      <c r="C4572" s="1"/>
      <c r="D4572" s="1"/>
      <c r="E4572" s="1"/>
      <c r="F4572" s="1"/>
      <c r="G4572" s="1"/>
      <c r="H4572" s="1"/>
      <c r="I4572" s="2"/>
      <c r="J4572" s="1"/>
      <c r="K4572" s="1"/>
      <c r="L4572" s="1"/>
      <c r="M4572" s="1"/>
      <c r="N4572" s="1"/>
      <c r="O4572" s="1"/>
      <c r="P4572" s="1"/>
      <c r="Q4572" s="1"/>
      <c r="R4572" s="1"/>
      <c r="S4572" s="1"/>
      <c r="T4572" s="1"/>
      <c r="U4572" s="1"/>
      <c r="V4572" s="1"/>
      <c r="W4572" s="1"/>
      <c r="X4572" s="1"/>
    </row>
    <row x14ac:dyDescent="0.25" r="4573" customHeight="1" ht="18.75">
      <c r="A4573" s="1"/>
      <c r="B4573" s="1"/>
      <c r="C4573" s="1"/>
      <c r="D4573" s="1"/>
      <c r="E4573" s="1"/>
      <c r="F4573" s="1"/>
      <c r="G4573" s="1"/>
      <c r="H4573" s="1"/>
      <c r="I4573" s="2"/>
      <c r="J4573" s="1"/>
      <c r="K4573" s="1"/>
      <c r="L4573" s="1"/>
      <c r="M4573" s="1"/>
      <c r="N4573" s="1"/>
      <c r="O4573" s="1"/>
      <c r="P4573" s="1"/>
      <c r="Q4573" s="1"/>
      <c r="R4573" s="1"/>
      <c r="S4573" s="1"/>
      <c r="T4573" s="1"/>
      <c r="U4573" s="1"/>
      <c r="V4573" s="1"/>
      <c r="W4573" s="1"/>
      <c r="X4573" s="1"/>
    </row>
    <row x14ac:dyDescent="0.25" r="4574" customHeight="1" ht="18.75">
      <c r="A4574" s="1"/>
      <c r="B4574" s="1"/>
      <c r="C4574" s="1"/>
      <c r="D4574" s="1"/>
      <c r="E4574" s="1"/>
      <c r="F4574" s="1"/>
      <c r="G4574" s="1"/>
      <c r="H4574" s="1"/>
      <c r="I4574" s="2"/>
      <c r="J4574" s="1"/>
      <c r="K4574" s="1"/>
      <c r="L4574" s="1"/>
      <c r="M4574" s="1"/>
      <c r="N4574" s="1"/>
      <c r="O4574" s="1"/>
      <c r="P4574" s="1"/>
      <c r="Q4574" s="1"/>
      <c r="R4574" s="1"/>
      <c r="S4574" s="1"/>
      <c r="T4574" s="1"/>
      <c r="U4574" s="1"/>
      <c r="V4574" s="1"/>
      <c r="W4574" s="1"/>
      <c r="X4574" s="1"/>
    </row>
    <row x14ac:dyDescent="0.25" r="4575" customHeight="1" ht="18.75">
      <c r="A4575" s="1"/>
      <c r="B4575" s="1"/>
      <c r="C4575" s="1"/>
      <c r="D4575" s="1"/>
      <c r="E4575" s="1"/>
      <c r="F4575" s="1"/>
      <c r="G4575" s="1"/>
      <c r="H4575" s="1"/>
      <c r="I4575" s="2"/>
      <c r="J4575" s="1"/>
      <c r="K4575" s="1"/>
      <c r="L4575" s="1"/>
      <c r="M4575" s="1"/>
      <c r="N4575" s="1"/>
      <c r="O4575" s="1"/>
      <c r="P4575" s="1"/>
      <c r="Q4575" s="1"/>
      <c r="R4575" s="1"/>
      <c r="S4575" s="1"/>
      <c r="T4575" s="1"/>
      <c r="U4575" s="1"/>
      <c r="V4575" s="1"/>
      <c r="W4575" s="1"/>
      <c r="X4575" s="1"/>
    </row>
    <row x14ac:dyDescent="0.25" r="4576" customHeight="1" ht="18.75">
      <c r="A4576" s="1"/>
      <c r="B4576" s="1"/>
      <c r="C4576" s="1"/>
      <c r="D4576" s="1"/>
      <c r="E4576" s="1"/>
      <c r="F4576" s="1"/>
      <c r="G4576" s="1"/>
      <c r="H4576" s="1"/>
      <c r="I4576" s="2"/>
      <c r="J4576" s="1"/>
      <c r="K4576" s="1"/>
      <c r="L4576" s="1"/>
      <c r="M4576" s="1"/>
      <c r="N4576" s="1"/>
      <c r="O4576" s="1"/>
      <c r="P4576" s="1"/>
      <c r="Q4576" s="1"/>
      <c r="R4576" s="1"/>
      <c r="S4576" s="1"/>
      <c r="T4576" s="1"/>
      <c r="U4576" s="1"/>
      <c r="V4576" s="1"/>
      <c r="W4576" s="1"/>
      <c r="X4576" s="1"/>
    </row>
    <row x14ac:dyDescent="0.25" r="4577" customHeight="1" ht="18.75">
      <c r="A4577" s="1"/>
      <c r="B4577" s="1"/>
      <c r="C4577" s="1"/>
      <c r="D4577" s="1"/>
      <c r="E4577" s="1"/>
      <c r="F4577" s="1"/>
      <c r="G4577" s="1"/>
      <c r="H4577" s="1"/>
      <c r="I4577" s="2"/>
      <c r="J4577" s="1"/>
      <c r="K4577" s="1"/>
      <c r="L4577" s="1"/>
      <c r="M4577" s="1"/>
      <c r="N4577" s="1"/>
      <c r="O4577" s="1"/>
      <c r="P4577" s="1"/>
      <c r="Q4577" s="1"/>
      <c r="R4577" s="1"/>
      <c r="S4577" s="1"/>
      <c r="T4577" s="1"/>
      <c r="U4577" s="1"/>
      <c r="V4577" s="1"/>
      <c r="W4577" s="1"/>
      <c r="X4577" s="1"/>
    </row>
    <row x14ac:dyDescent="0.25" r="4578" customHeight="1" ht="18.75">
      <c r="A4578" s="1"/>
      <c r="B4578" s="1"/>
      <c r="C4578" s="1"/>
      <c r="D4578" s="1"/>
      <c r="E4578" s="1"/>
      <c r="F4578" s="1"/>
      <c r="G4578" s="1"/>
      <c r="H4578" s="1"/>
      <c r="I4578" s="2"/>
      <c r="J4578" s="1"/>
      <c r="K4578" s="1"/>
      <c r="L4578" s="1"/>
      <c r="M4578" s="1"/>
      <c r="N4578" s="1"/>
      <c r="O4578" s="1"/>
      <c r="P4578" s="1"/>
      <c r="Q4578" s="1"/>
      <c r="R4578" s="1"/>
      <c r="S4578" s="1"/>
      <c r="T4578" s="1"/>
      <c r="U4578" s="1"/>
      <c r="V4578" s="1"/>
      <c r="W4578" s="1"/>
      <c r="X4578" s="1"/>
    </row>
    <row x14ac:dyDescent="0.25" r="4579" customHeight="1" ht="18.75">
      <c r="A4579" s="1"/>
      <c r="B4579" s="1"/>
      <c r="C4579" s="1"/>
      <c r="D4579" s="1"/>
      <c r="E4579" s="1"/>
      <c r="F4579" s="1"/>
      <c r="G4579" s="1"/>
      <c r="H4579" s="1"/>
      <c r="I4579" s="2"/>
      <c r="J4579" s="1"/>
      <c r="K4579" s="1"/>
      <c r="L4579" s="1"/>
      <c r="M4579" s="1"/>
      <c r="N4579" s="1"/>
      <c r="O4579" s="1"/>
      <c r="P4579" s="1"/>
      <c r="Q4579" s="1"/>
      <c r="R4579" s="1"/>
      <c r="S4579" s="1"/>
      <c r="T4579" s="1"/>
      <c r="U4579" s="1"/>
      <c r="V4579" s="1"/>
      <c r="W4579" s="1"/>
      <c r="X4579" s="1"/>
    </row>
    <row x14ac:dyDescent="0.25" r="4580" customHeight="1" ht="18.75">
      <c r="A4580" s="1"/>
      <c r="B4580" s="1"/>
      <c r="C4580" s="1"/>
      <c r="D4580" s="1"/>
      <c r="E4580" s="1"/>
      <c r="F4580" s="1"/>
      <c r="G4580" s="1"/>
      <c r="H4580" s="1"/>
      <c r="I4580" s="2"/>
      <c r="J4580" s="1"/>
      <c r="K4580" s="1"/>
      <c r="L4580" s="1"/>
      <c r="M4580" s="1"/>
      <c r="N4580" s="1"/>
      <c r="O4580" s="1"/>
      <c r="P4580" s="1"/>
      <c r="Q4580" s="1"/>
      <c r="R4580" s="1"/>
      <c r="S4580" s="1"/>
      <c r="T4580" s="1"/>
      <c r="U4580" s="1"/>
      <c r="V4580" s="1"/>
      <c r="W4580" s="1"/>
      <c r="X4580" s="1"/>
    </row>
    <row x14ac:dyDescent="0.25" r="4581" customHeight="1" ht="18.75">
      <c r="A4581" s="1"/>
      <c r="B4581" s="1"/>
      <c r="C4581" s="1"/>
      <c r="D4581" s="1"/>
      <c r="E4581" s="1"/>
      <c r="F4581" s="1"/>
      <c r="G4581" s="1"/>
      <c r="H4581" s="1"/>
      <c r="I4581" s="2"/>
      <c r="J4581" s="1"/>
      <c r="K4581" s="1"/>
      <c r="L4581" s="1"/>
      <c r="M4581" s="1"/>
      <c r="N4581" s="1"/>
      <c r="O4581" s="1"/>
      <c r="P4581" s="1"/>
      <c r="Q4581" s="1"/>
      <c r="R4581" s="1"/>
      <c r="S4581" s="1"/>
      <c r="T4581" s="1"/>
      <c r="U4581" s="1"/>
      <c r="V4581" s="1"/>
      <c r="W4581" s="1"/>
      <c r="X4581" s="1"/>
    </row>
    <row x14ac:dyDescent="0.25" r="4582" customHeight="1" ht="18.75">
      <c r="A4582" s="1"/>
      <c r="B4582" s="1"/>
      <c r="C4582" s="1"/>
      <c r="D4582" s="1"/>
      <c r="E4582" s="1"/>
      <c r="F4582" s="1"/>
      <c r="G4582" s="1"/>
      <c r="H4582" s="1"/>
      <c r="I4582" s="2"/>
      <c r="J4582" s="1"/>
      <c r="K4582" s="1"/>
      <c r="L4582" s="1"/>
      <c r="M4582" s="1"/>
      <c r="N4582" s="1"/>
      <c r="O4582" s="1"/>
      <c r="P4582" s="1"/>
      <c r="Q4582" s="1"/>
      <c r="R4582" s="1"/>
      <c r="S4582" s="1"/>
      <c r="T4582" s="1"/>
      <c r="U4582" s="1"/>
      <c r="V4582" s="1"/>
      <c r="W4582" s="1"/>
      <c r="X4582" s="1"/>
    </row>
    <row x14ac:dyDescent="0.25" r="4583" customHeight="1" ht="18.75">
      <c r="A4583" s="1"/>
      <c r="B4583" s="1"/>
      <c r="C4583" s="1"/>
      <c r="D4583" s="1"/>
      <c r="E4583" s="1"/>
      <c r="F4583" s="1"/>
      <c r="G4583" s="1"/>
      <c r="H4583" s="1"/>
      <c r="I4583" s="2"/>
      <c r="J4583" s="1"/>
      <c r="K4583" s="1"/>
      <c r="L4583" s="1"/>
      <c r="M4583" s="1"/>
      <c r="N4583" s="1"/>
      <c r="O4583" s="1"/>
      <c r="P4583" s="1"/>
      <c r="Q4583" s="1"/>
      <c r="R4583" s="1"/>
      <c r="S4583" s="1"/>
      <c r="T4583" s="1"/>
      <c r="U4583" s="1"/>
      <c r="V4583" s="1"/>
      <c r="W4583" s="1"/>
      <c r="X4583" s="1"/>
    </row>
    <row x14ac:dyDescent="0.25" r="4584" customHeight="1" ht="18.75">
      <c r="A4584" s="1"/>
      <c r="B4584" s="1"/>
      <c r="C4584" s="1"/>
      <c r="D4584" s="1"/>
      <c r="E4584" s="1"/>
      <c r="F4584" s="1"/>
      <c r="G4584" s="1"/>
      <c r="H4584" s="1"/>
      <c r="I4584" s="2"/>
      <c r="J4584" s="1"/>
      <c r="K4584" s="1"/>
      <c r="L4584" s="1"/>
      <c r="M4584" s="1"/>
      <c r="N4584" s="1"/>
      <c r="O4584" s="1"/>
      <c r="P4584" s="1"/>
      <c r="Q4584" s="1"/>
      <c r="R4584" s="1"/>
      <c r="S4584" s="1"/>
      <c r="T4584" s="1"/>
      <c r="U4584" s="1"/>
      <c r="V4584" s="1"/>
      <c r="W4584" s="1"/>
      <c r="X4584" s="1"/>
    </row>
    <row x14ac:dyDescent="0.25" r="4585" customHeight="1" ht="18.75">
      <c r="A4585" s="1"/>
      <c r="B4585" s="1"/>
      <c r="C4585" s="1"/>
      <c r="D4585" s="1"/>
      <c r="E4585" s="1"/>
      <c r="F4585" s="1"/>
      <c r="G4585" s="1"/>
      <c r="H4585" s="1"/>
      <c r="I4585" s="2"/>
      <c r="J4585" s="1"/>
      <c r="K4585" s="1"/>
      <c r="L4585" s="1"/>
      <c r="M4585" s="1"/>
      <c r="N4585" s="1"/>
      <c r="O4585" s="1"/>
      <c r="P4585" s="1"/>
      <c r="Q4585" s="1"/>
      <c r="R4585" s="1"/>
      <c r="S4585" s="1"/>
      <c r="T4585" s="1"/>
      <c r="U4585" s="1"/>
      <c r="V4585" s="1"/>
      <c r="W4585" s="1"/>
      <c r="X4585" s="1"/>
    </row>
    <row x14ac:dyDescent="0.25" r="4586" customHeight="1" ht="18.75">
      <c r="A4586" s="1"/>
      <c r="B4586" s="1"/>
      <c r="C4586" s="1"/>
      <c r="D4586" s="1"/>
      <c r="E4586" s="1"/>
      <c r="F4586" s="1"/>
      <c r="G4586" s="1"/>
      <c r="H4586" s="1"/>
      <c r="I4586" s="2"/>
      <c r="J4586" s="1"/>
      <c r="K4586" s="1"/>
      <c r="L4586" s="1"/>
      <c r="M4586" s="1"/>
      <c r="N4586" s="1"/>
      <c r="O4586" s="1"/>
      <c r="P4586" s="1"/>
      <c r="Q4586" s="1"/>
      <c r="R4586" s="1"/>
      <c r="S4586" s="1"/>
      <c r="T4586" s="1"/>
      <c r="U4586" s="1"/>
      <c r="V4586" s="1"/>
      <c r="W4586" s="1"/>
      <c r="X4586" s="1"/>
    </row>
    <row x14ac:dyDescent="0.25" r="4587" customHeight="1" ht="18.75">
      <c r="A4587" s="1"/>
      <c r="B4587" s="1"/>
      <c r="C4587" s="1"/>
      <c r="D4587" s="1"/>
      <c r="E4587" s="1"/>
      <c r="F4587" s="1"/>
      <c r="G4587" s="1"/>
      <c r="H4587" s="1"/>
      <c r="I4587" s="2"/>
      <c r="J4587" s="1"/>
      <c r="K4587" s="1"/>
      <c r="L4587" s="1"/>
      <c r="M4587" s="1"/>
      <c r="N4587" s="1"/>
      <c r="O4587" s="1"/>
      <c r="P4587" s="1"/>
      <c r="Q4587" s="1"/>
      <c r="R4587" s="1"/>
      <c r="S4587" s="1"/>
      <c r="T4587" s="1"/>
      <c r="U4587" s="1"/>
      <c r="V4587" s="1"/>
      <c r="W4587" s="1"/>
      <c r="X4587" s="1"/>
    </row>
    <row x14ac:dyDescent="0.25" r="4588" customHeight="1" ht="18.75">
      <c r="A4588" s="1"/>
      <c r="B4588" s="1"/>
      <c r="C4588" s="1"/>
      <c r="D4588" s="1"/>
      <c r="E4588" s="1"/>
      <c r="F4588" s="1"/>
      <c r="G4588" s="1"/>
      <c r="H4588" s="1"/>
      <c r="I4588" s="2"/>
      <c r="J4588" s="1"/>
      <c r="K4588" s="1"/>
      <c r="L4588" s="1"/>
      <c r="M4588" s="1"/>
      <c r="N4588" s="1"/>
      <c r="O4588" s="1"/>
      <c r="P4588" s="1"/>
      <c r="Q4588" s="1"/>
      <c r="R4588" s="1"/>
      <c r="S4588" s="1"/>
      <c r="T4588" s="1"/>
      <c r="U4588" s="1"/>
      <c r="V4588" s="1"/>
      <c r="W4588" s="1"/>
      <c r="X4588" s="1"/>
    </row>
    <row x14ac:dyDescent="0.25" r="4589" customHeight="1" ht="18.75">
      <c r="A4589" s="1"/>
      <c r="B4589" s="1"/>
      <c r="C4589" s="1"/>
      <c r="D4589" s="1"/>
      <c r="E4589" s="1"/>
      <c r="F4589" s="1"/>
      <c r="G4589" s="1"/>
      <c r="H4589" s="1"/>
      <c r="I4589" s="2"/>
      <c r="J4589" s="1"/>
      <c r="K4589" s="1"/>
      <c r="L4589" s="1"/>
      <c r="M4589" s="1"/>
      <c r="N4589" s="1"/>
      <c r="O4589" s="1"/>
      <c r="P4589" s="1"/>
      <c r="Q4589" s="1"/>
      <c r="R4589" s="1"/>
      <c r="S4589" s="1"/>
      <c r="T4589" s="1"/>
      <c r="U4589" s="1"/>
      <c r="V4589" s="1"/>
      <c r="W4589" s="1"/>
      <c r="X4589" s="1"/>
    </row>
    <row x14ac:dyDescent="0.25" r="4590" customHeight="1" ht="18.75">
      <c r="A4590" s="1"/>
      <c r="B4590" s="1"/>
      <c r="C4590" s="1"/>
      <c r="D4590" s="1"/>
      <c r="E4590" s="1"/>
      <c r="F4590" s="1"/>
      <c r="G4590" s="1"/>
      <c r="H4590" s="1"/>
      <c r="I4590" s="2"/>
      <c r="J4590" s="1"/>
      <c r="K4590" s="1"/>
      <c r="L4590" s="1"/>
      <c r="M4590" s="1"/>
      <c r="N4590" s="1"/>
      <c r="O4590" s="1"/>
      <c r="P4590" s="1"/>
      <c r="Q4590" s="1"/>
      <c r="R4590" s="1"/>
      <c r="S4590" s="1"/>
      <c r="T4590" s="1"/>
      <c r="U4590" s="1"/>
      <c r="V4590" s="1"/>
      <c r="W4590" s="1"/>
      <c r="X4590" s="1"/>
    </row>
    <row x14ac:dyDescent="0.25" r="4591" customHeight="1" ht="18.75">
      <c r="A4591" s="1"/>
      <c r="B4591" s="1"/>
      <c r="C4591" s="1"/>
      <c r="D4591" s="1"/>
      <c r="E4591" s="1"/>
      <c r="F4591" s="1"/>
      <c r="G4591" s="1"/>
      <c r="H4591" s="1"/>
      <c r="I4591" s="2"/>
      <c r="J4591" s="1"/>
      <c r="K4591" s="1"/>
      <c r="L4591" s="1"/>
      <c r="M4591" s="1"/>
      <c r="N4591" s="1"/>
      <c r="O4591" s="1"/>
      <c r="P4591" s="1"/>
      <c r="Q4591" s="1"/>
      <c r="R4591" s="1"/>
      <c r="S4591" s="1"/>
      <c r="T4591" s="1"/>
      <c r="U4591" s="1"/>
      <c r="V4591" s="1"/>
      <c r="W4591" s="1"/>
      <c r="X4591" s="1"/>
    </row>
    <row x14ac:dyDescent="0.25" r="4592" customHeight="1" ht="18.75">
      <c r="A4592" s="1"/>
      <c r="B4592" s="1"/>
      <c r="C4592" s="1"/>
      <c r="D4592" s="1"/>
      <c r="E4592" s="1"/>
      <c r="F4592" s="1"/>
      <c r="G4592" s="1"/>
      <c r="H4592" s="1"/>
      <c r="I4592" s="2"/>
      <c r="J4592" s="1"/>
      <c r="K4592" s="1"/>
      <c r="L4592" s="1"/>
      <c r="M4592" s="1"/>
      <c r="N4592" s="1"/>
      <c r="O4592" s="1"/>
      <c r="P4592" s="1"/>
      <c r="Q4592" s="1"/>
      <c r="R4592" s="1"/>
      <c r="S4592" s="1"/>
      <c r="T4592" s="1"/>
      <c r="U4592" s="1"/>
      <c r="V4592" s="1"/>
      <c r="W4592" s="1"/>
      <c r="X4592" s="1"/>
    </row>
    <row x14ac:dyDescent="0.25" r="4593" customHeight="1" ht="18.75">
      <c r="A4593" s="1"/>
      <c r="B4593" s="1"/>
      <c r="C4593" s="1"/>
      <c r="D4593" s="1"/>
      <c r="E4593" s="1"/>
      <c r="F4593" s="1"/>
      <c r="G4593" s="1"/>
      <c r="H4593" s="1"/>
      <c r="I4593" s="2"/>
      <c r="J4593" s="1"/>
      <c r="K4593" s="1"/>
      <c r="L4593" s="1"/>
      <c r="M4593" s="1"/>
      <c r="N4593" s="1"/>
      <c r="O4593" s="1"/>
      <c r="P4593" s="1"/>
      <c r="Q4593" s="1"/>
      <c r="R4593" s="1"/>
      <c r="S4593" s="1"/>
      <c r="T4593" s="1"/>
      <c r="U4593" s="1"/>
      <c r="V4593" s="1"/>
      <c r="W4593" s="1"/>
      <c r="X4593" s="1"/>
    </row>
    <row x14ac:dyDescent="0.25" r="4594" customHeight="1" ht="18.75">
      <c r="A4594" s="1"/>
      <c r="B4594" s="1"/>
      <c r="C4594" s="1"/>
      <c r="D4594" s="1"/>
      <c r="E4594" s="1"/>
      <c r="F4594" s="1"/>
      <c r="G4594" s="1"/>
      <c r="H4594" s="1"/>
      <c r="I4594" s="2"/>
      <c r="J4594" s="1"/>
      <c r="K4594" s="1"/>
      <c r="L4594" s="1"/>
      <c r="M4594" s="1"/>
      <c r="N4594" s="1"/>
      <c r="O4594" s="1"/>
      <c r="P4594" s="1"/>
      <c r="Q4594" s="1"/>
      <c r="R4594" s="1"/>
      <c r="S4594" s="1"/>
      <c r="T4594" s="1"/>
      <c r="U4594" s="1"/>
      <c r="V4594" s="1"/>
      <c r="W4594" s="1"/>
      <c r="X4594" s="1"/>
    </row>
    <row x14ac:dyDescent="0.25" r="4595" customHeight="1" ht="18.75">
      <c r="A4595" s="1"/>
      <c r="B4595" s="1"/>
      <c r="C4595" s="1"/>
      <c r="D4595" s="1"/>
      <c r="E4595" s="1"/>
      <c r="F4595" s="1"/>
      <c r="G4595" s="1"/>
      <c r="H4595" s="1"/>
      <c r="I4595" s="2"/>
      <c r="J4595" s="1"/>
      <c r="K4595" s="1"/>
      <c r="L4595" s="1"/>
      <c r="M4595" s="1"/>
      <c r="N4595" s="1"/>
      <c r="O4595" s="1"/>
      <c r="P4595" s="1"/>
      <c r="Q4595" s="1"/>
      <c r="R4595" s="1"/>
      <c r="S4595" s="1"/>
      <c r="T4595" s="1"/>
      <c r="U4595" s="1"/>
      <c r="V4595" s="1"/>
      <c r="W4595" s="1"/>
      <c r="X4595" s="1"/>
    </row>
    <row x14ac:dyDescent="0.25" r="4596" customHeight="1" ht="18.75">
      <c r="A4596" s="1"/>
      <c r="B4596" s="1"/>
      <c r="C4596" s="1"/>
      <c r="D4596" s="1"/>
      <c r="E4596" s="1"/>
      <c r="F4596" s="1"/>
      <c r="G4596" s="1"/>
      <c r="H4596" s="1"/>
      <c r="I4596" s="2"/>
      <c r="J4596" s="1"/>
      <c r="K4596" s="1"/>
      <c r="L4596" s="1"/>
      <c r="M4596" s="1"/>
      <c r="N4596" s="1"/>
      <c r="O4596" s="1"/>
      <c r="P4596" s="1"/>
      <c r="Q4596" s="1"/>
      <c r="R4596" s="1"/>
      <c r="S4596" s="1"/>
      <c r="T4596" s="1"/>
      <c r="U4596" s="1"/>
      <c r="V4596" s="1"/>
      <c r="W4596" s="1"/>
      <c r="X4596" s="1"/>
    </row>
    <row x14ac:dyDescent="0.25" r="4597" customHeight="1" ht="18.75">
      <c r="A4597" s="1"/>
      <c r="B4597" s="1"/>
      <c r="C4597" s="1"/>
      <c r="D4597" s="1"/>
      <c r="E4597" s="1"/>
      <c r="F4597" s="1"/>
      <c r="G4597" s="1"/>
      <c r="H4597" s="1"/>
      <c r="I4597" s="2"/>
      <c r="J4597" s="1"/>
      <c r="K4597" s="1"/>
      <c r="L4597" s="1"/>
      <c r="M4597" s="1"/>
      <c r="N4597" s="1"/>
      <c r="O4597" s="1"/>
      <c r="P4597" s="1"/>
      <c r="Q4597" s="1"/>
      <c r="R4597" s="1"/>
      <c r="S4597" s="1"/>
      <c r="T4597" s="1"/>
      <c r="U4597" s="1"/>
      <c r="V4597" s="1"/>
      <c r="W4597" s="1"/>
      <c r="X4597" s="1"/>
    </row>
    <row x14ac:dyDescent="0.25" r="4598" customHeight="1" ht="18.75">
      <c r="A4598" s="1"/>
      <c r="B4598" s="1"/>
      <c r="C4598" s="1"/>
      <c r="D4598" s="1"/>
      <c r="E4598" s="1"/>
      <c r="F4598" s="1"/>
      <c r="G4598" s="1"/>
      <c r="H4598" s="1"/>
      <c r="I4598" s="2"/>
      <c r="J4598" s="1"/>
      <c r="K4598" s="1"/>
      <c r="L4598" s="1"/>
      <c r="M4598" s="1"/>
      <c r="N4598" s="1"/>
      <c r="O4598" s="1"/>
      <c r="P4598" s="1"/>
      <c r="Q4598" s="1"/>
      <c r="R4598" s="1"/>
      <c r="S4598" s="1"/>
      <c r="T4598" s="1"/>
      <c r="U4598" s="1"/>
      <c r="V4598" s="1"/>
      <c r="W4598" s="1"/>
      <c r="X4598" s="1"/>
    </row>
    <row x14ac:dyDescent="0.25" r="4599" customHeight="1" ht="18.75">
      <c r="A4599" s="1"/>
      <c r="B4599" s="1"/>
      <c r="C4599" s="1"/>
      <c r="D4599" s="1"/>
      <c r="E4599" s="1"/>
      <c r="F4599" s="1"/>
      <c r="G4599" s="1"/>
      <c r="H4599" s="1"/>
      <c r="I4599" s="2"/>
      <c r="J4599" s="1"/>
      <c r="K4599" s="1"/>
      <c r="L4599" s="1"/>
      <c r="M4599" s="1"/>
      <c r="N4599" s="1"/>
      <c r="O4599" s="1"/>
      <c r="P4599" s="1"/>
      <c r="Q4599" s="1"/>
      <c r="R4599" s="1"/>
      <c r="S4599" s="1"/>
      <c r="T4599" s="1"/>
      <c r="U4599" s="1"/>
      <c r="V4599" s="1"/>
      <c r="W4599" s="1"/>
      <c r="X4599" s="1"/>
    </row>
    <row x14ac:dyDescent="0.25" r="4600" customHeight="1" ht="18.75">
      <c r="A4600" s="1"/>
      <c r="B4600" s="1"/>
      <c r="C4600" s="1"/>
      <c r="D4600" s="1"/>
      <c r="E4600" s="1"/>
      <c r="F4600" s="1"/>
      <c r="G4600" s="1"/>
      <c r="H4600" s="1"/>
      <c r="I4600" s="2"/>
      <c r="J4600" s="1"/>
      <c r="K4600" s="1"/>
      <c r="L4600" s="1"/>
      <c r="M4600" s="1"/>
      <c r="N4600" s="1"/>
      <c r="O4600" s="1"/>
      <c r="P4600" s="1"/>
      <c r="Q4600" s="1"/>
      <c r="R4600" s="1"/>
      <c r="S4600" s="1"/>
      <c r="T4600" s="1"/>
      <c r="U4600" s="1"/>
      <c r="V4600" s="1"/>
      <c r="W4600" s="1"/>
      <c r="X4600" s="1"/>
    </row>
    <row x14ac:dyDescent="0.25" r="4601" customHeight="1" ht="18.75">
      <c r="A4601" s="1"/>
      <c r="B4601" s="1"/>
      <c r="C4601" s="1"/>
      <c r="D4601" s="1"/>
      <c r="E4601" s="1"/>
      <c r="F4601" s="1"/>
      <c r="G4601" s="1"/>
      <c r="H4601" s="1"/>
      <c r="I4601" s="2"/>
      <c r="J4601" s="1"/>
      <c r="K4601" s="1"/>
      <c r="L4601" s="1"/>
      <c r="M4601" s="1"/>
      <c r="N4601" s="1"/>
      <c r="O4601" s="1"/>
      <c r="P4601" s="1"/>
      <c r="Q4601" s="1"/>
      <c r="R4601" s="1"/>
      <c r="S4601" s="1"/>
      <c r="T4601" s="1"/>
      <c r="U4601" s="1"/>
      <c r="V4601" s="1"/>
      <c r="W4601" s="1"/>
      <c r="X4601" s="1"/>
    </row>
    <row x14ac:dyDescent="0.25" r="4602" customHeight="1" ht="18.75">
      <c r="A4602" s="1"/>
      <c r="B4602" s="1"/>
      <c r="C4602" s="1"/>
      <c r="D4602" s="1"/>
      <c r="E4602" s="1"/>
      <c r="F4602" s="1"/>
      <c r="G4602" s="1"/>
      <c r="H4602" s="1"/>
      <c r="I4602" s="2"/>
      <c r="J4602" s="1"/>
      <c r="K4602" s="1"/>
      <c r="L4602" s="1"/>
      <c r="M4602" s="1"/>
      <c r="N4602" s="1"/>
      <c r="O4602" s="1"/>
      <c r="P4602" s="1"/>
      <c r="Q4602" s="1"/>
      <c r="R4602" s="1"/>
      <c r="S4602" s="1"/>
      <c r="T4602" s="1"/>
      <c r="U4602" s="1"/>
      <c r="V4602" s="1"/>
      <c r="W4602" s="1"/>
      <c r="X4602" s="1"/>
    </row>
    <row x14ac:dyDescent="0.25" r="4603" customHeight="1" ht="18.75">
      <c r="A4603" s="1"/>
      <c r="B4603" s="1"/>
      <c r="C4603" s="1"/>
      <c r="D4603" s="1"/>
      <c r="E4603" s="1"/>
      <c r="F4603" s="1"/>
      <c r="G4603" s="1"/>
      <c r="H4603" s="1"/>
      <c r="I4603" s="2"/>
      <c r="J4603" s="1"/>
      <c r="K4603" s="1"/>
      <c r="L4603" s="1"/>
      <c r="M4603" s="1"/>
      <c r="N4603" s="1"/>
      <c r="O4603" s="1"/>
      <c r="P4603" s="1"/>
      <c r="Q4603" s="1"/>
      <c r="R4603" s="1"/>
      <c r="S4603" s="1"/>
      <c r="T4603" s="1"/>
      <c r="U4603" s="1"/>
      <c r="V4603" s="1"/>
      <c r="W4603" s="1"/>
      <c r="X4603" s="1"/>
    </row>
    <row x14ac:dyDescent="0.25" r="4604" customHeight="1" ht="18.75">
      <c r="A4604" s="1"/>
      <c r="B4604" s="1"/>
      <c r="C4604" s="1"/>
      <c r="D4604" s="1"/>
      <c r="E4604" s="1"/>
      <c r="F4604" s="1"/>
      <c r="G4604" s="1"/>
      <c r="H4604" s="1"/>
      <c r="I4604" s="2"/>
      <c r="J4604" s="1"/>
      <c r="K4604" s="1"/>
      <c r="L4604" s="1"/>
      <c r="M4604" s="1"/>
      <c r="N4604" s="1"/>
      <c r="O4604" s="1"/>
      <c r="P4604" s="1"/>
      <c r="Q4604" s="1"/>
      <c r="R4604" s="1"/>
      <c r="S4604" s="1"/>
      <c r="T4604" s="1"/>
      <c r="U4604" s="1"/>
      <c r="V4604" s="1"/>
      <c r="W4604" s="1"/>
      <c r="X4604" s="1"/>
    </row>
    <row x14ac:dyDescent="0.25" r="4605" customHeight="1" ht="18.75">
      <c r="A4605" s="1"/>
      <c r="B4605" s="1"/>
      <c r="C4605" s="1"/>
      <c r="D4605" s="1"/>
      <c r="E4605" s="1"/>
      <c r="F4605" s="1"/>
      <c r="G4605" s="1"/>
      <c r="H4605" s="1"/>
      <c r="I4605" s="2"/>
      <c r="J4605" s="1"/>
      <c r="K4605" s="1"/>
      <c r="L4605" s="1"/>
      <c r="M4605" s="1"/>
      <c r="N4605" s="1"/>
      <c r="O4605" s="1"/>
      <c r="P4605" s="1"/>
      <c r="Q4605" s="1"/>
      <c r="R4605" s="1"/>
      <c r="S4605" s="1"/>
      <c r="T4605" s="1"/>
      <c r="U4605" s="1"/>
      <c r="V4605" s="1"/>
      <c r="W4605" s="1"/>
      <c r="X4605" s="1"/>
    </row>
    <row x14ac:dyDescent="0.25" r="4606" customHeight="1" ht="18.75">
      <c r="A4606" s="1"/>
      <c r="B4606" s="1"/>
      <c r="C4606" s="1"/>
      <c r="D4606" s="1"/>
      <c r="E4606" s="1"/>
      <c r="F4606" s="1"/>
      <c r="G4606" s="1"/>
      <c r="H4606" s="1"/>
      <c r="I4606" s="2"/>
      <c r="J4606" s="1"/>
      <c r="K4606" s="1"/>
      <c r="L4606" s="1"/>
      <c r="M4606" s="1"/>
      <c r="N4606" s="1"/>
      <c r="O4606" s="1"/>
      <c r="P4606" s="1"/>
      <c r="Q4606" s="1"/>
      <c r="R4606" s="1"/>
      <c r="S4606" s="1"/>
      <c r="T4606" s="1"/>
      <c r="U4606" s="1"/>
      <c r="V4606" s="1"/>
      <c r="W4606" s="1"/>
      <c r="X4606" s="1"/>
    </row>
    <row x14ac:dyDescent="0.25" r="4607" customHeight="1" ht="18.75">
      <c r="A4607" s="1"/>
      <c r="B4607" s="1"/>
      <c r="C4607" s="1"/>
      <c r="D4607" s="1"/>
      <c r="E4607" s="1"/>
      <c r="F4607" s="1"/>
      <c r="G4607" s="1"/>
      <c r="H4607" s="1"/>
      <c r="I4607" s="2"/>
      <c r="J4607" s="1"/>
      <c r="K4607" s="1"/>
      <c r="L4607" s="1"/>
      <c r="M4607" s="1"/>
      <c r="N4607" s="1"/>
      <c r="O4607" s="1"/>
      <c r="P4607" s="1"/>
      <c r="Q4607" s="1"/>
      <c r="R4607" s="1"/>
      <c r="S4607" s="1"/>
      <c r="T4607" s="1"/>
      <c r="U4607" s="1"/>
      <c r="V4607" s="1"/>
      <c r="W4607" s="1"/>
      <c r="X4607" s="1"/>
    </row>
    <row x14ac:dyDescent="0.25" r="4608" customHeight="1" ht="18.75">
      <c r="A4608" s="1"/>
      <c r="B4608" s="1"/>
      <c r="C4608" s="1"/>
      <c r="D4608" s="1"/>
      <c r="E4608" s="1"/>
      <c r="F4608" s="1"/>
      <c r="G4608" s="1"/>
      <c r="H4608" s="1"/>
      <c r="I4608" s="2"/>
      <c r="J4608" s="1"/>
      <c r="K4608" s="1"/>
      <c r="L4608" s="1"/>
      <c r="M4608" s="1"/>
      <c r="N4608" s="1"/>
      <c r="O4608" s="1"/>
      <c r="P4608" s="1"/>
      <c r="Q4608" s="1"/>
      <c r="R4608" s="1"/>
      <c r="S4608" s="1"/>
      <c r="T4608" s="1"/>
      <c r="U4608" s="1"/>
      <c r="V4608" s="1"/>
      <c r="W4608" s="1"/>
      <c r="X4608" s="1"/>
    </row>
    <row x14ac:dyDescent="0.25" r="4609" customHeight="1" ht="18.75">
      <c r="A4609" s="1"/>
      <c r="B4609" s="1"/>
      <c r="C4609" s="1"/>
      <c r="D4609" s="1"/>
      <c r="E4609" s="1"/>
      <c r="F4609" s="1"/>
      <c r="G4609" s="1"/>
      <c r="H4609" s="1"/>
      <c r="I4609" s="2"/>
      <c r="J4609" s="1"/>
      <c r="K4609" s="1"/>
      <c r="L4609" s="1"/>
      <c r="M4609" s="1"/>
      <c r="N4609" s="1"/>
      <c r="O4609" s="1"/>
      <c r="P4609" s="1"/>
      <c r="Q4609" s="1"/>
      <c r="R4609" s="1"/>
      <c r="S4609" s="1"/>
      <c r="T4609" s="1"/>
      <c r="U4609" s="1"/>
      <c r="V4609" s="1"/>
      <c r="W4609" s="1"/>
      <c r="X4609" s="1"/>
    </row>
    <row x14ac:dyDescent="0.25" r="4610" customHeight="1" ht="18.75">
      <c r="A4610" s="1"/>
      <c r="B4610" s="1"/>
      <c r="C4610" s="1"/>
      <c r="D4610" s="1"/>
      <c r="E4610" s="1"/>
      <c r="F4610" s="1"/>
      <c r="G4610" s="1"/>
      <c r="H4610" s="1"/>
      <c r="I4610" s="2"/>
      <c r="J4610" s="1"/>
      <c r="K4610" s="1"/>
      <c r="L4610" s="1"/>
      <c r="M4610" s="1"/>
      <c r="N4610" s="1"/>
      <c r="O4610" s="1"/>
      <c r="P4610" s="1"/>
      <c r="Q4610" s="1"/>
      <c r="R4610" s="1"/>
      <c r="S4610" s="1"/>
      <c r="T4610" s="1"/>
      <c r="U4610" s="1"/>
      <c r="V4610" s="1"/>
      <c r="W4610" s="1"/>
      <c r="X4610" s="1"/>
    </row>
    <row x14ac:dyDescent="0.25" r="4611" customHeight="1" ht="18.75">
      <c r="A4611" s="1"/>
      <c r="B4611" s="1"/>
      <c r="C4611" s="1"/>
      <c r="D4611" s="1"/>
      <c r="E4611" s="1"/>
      <c r="F4611" s="1"/>
      <c r="G4611" s="1"/>
      <c r="H4611" s="1"/>
      <c r="I4611" s="2"/>
      <c r="J4611" s="1"/>
      <c r="K4611" s="1"/>
      <c r="L4611" s="1"/>
      <c r="M4611" s="1"/>
      <c r="N4611" s="1"/>
      <c r="O4611" s="1"/>
      <c r="P4611" s="1"/>
      <c r="Q4611" s="1"/>
      <c r="R4611" s="1"/>
      <c r="S4611" s="1"/>
      <c r="T4611" s="1"/>
      <c r="U4611" s="1"/>
      <c r="V4611" s="1"/>
      <c r="W4611" s="1"/>
      <c r="X4611" s="1"/>
    </row>
    <row x14ac:dyDescent="0.25" r="4612" customHeight="1" ht="18.75">
      <c r="A4612" s="1"/>
      <c r="B4612" s="1"/>
      <c r="C4612" s="1"/>
      <c r="D4612" s="1"/>
      <c r="E4612" s="1"/>
      <c r="F4612" s="1"/>
      <c r="G4612" s="1"/>
      <c r="H4612" s="1"/>
      <c r="I4612" s="2"/>
      <c r="J4612" s="1"/>
      <c r="K4612" s="1"/>
      <c r="L4612" s="1"/>
      <c r="M4612" s="1"/>
      <c r="N4612" s="1"/>
      <c r="O4612" s="1"/>
      <c r="P4612" s="1"/>
      <c r="Q4612" s="1"/>
      <c r="R4612" s="1"/>
      <c r="S4612" s="1"/>
      <c r="T4612" s="1"/>
      <c r="U4612" s="1"/>
      <c r="V4612" s="1"/>
      <c r="W4612" s="1"/>
      <c r="X4612" s="1"/>
    </row>
    <row x14ac:dyDescent="0.25" r="4613" customHeight="1" ht="18.75">
      <c r="A4613" s="1"/>
      <c r="B4613" s="1"/>
      <c r="C4613" s="1"/>
      <c r="D4613" s="1"/>
      <c r="E4613" s="1"/>
      <c r="F4613" s="1"/>
      <c r="G4613" s="1"/>
      <c r="H4613" s="1"/>
      <c r="I4613" s="2"/>
      <c r="J4613" s="1"/>
      <c r="K4613" s="1"/>
      <c r="L4613" s="1"/>
      <c r="M4613" s="1"/>
      <c r="N4613" s="1"/>
      <c r="O4613" s="1"/>
      <c r="P4613" s="1"/>
      <c r="Q4613" s="1"/>
      <c r="R4613" s="1"/>
      <c r="S4613" s="1"/>
      <c r="T4613" s="1"/>
      <c r="U4613" s="1"/>
      <c r="V4613" s="1"/>
      <c r="W4613" s="1"/>
      <c r="X4613" s="1"/>
    </row>
    <row x14ac:dyDescent="0.25" r="4614" customHeight="1" ht="18.75">
      <c r="A4614" s="1"/>
      <c r="B4614" s="1"/>
      <c r="C4614" s="1"/>
      <c r="D4614" s="1"/>
      <c r="E4614" s="1"/>
      <c r="F4614" s="1"/>
      <c r="G4614" s="1"/>
      <c r="H4614" s="1"/>
      <c r="I4614" s="2"/>
      <c r="J4614" s="1"/>
      <c r="K4614" s="1"/>
      <c r="L4614" s="1"/>
      <c r="M4614" s="1"/>
      <c r="N4614" s="1"/>
      <c r="O4614" s="1"/>
      <c r="P4614" s="1"/>
      <c r="Q4614" s="1"/>
      <c r="R4614" s="1"/>
      <c r="S4614" s="1"/>
      <c r="T4614" s="1"/>
      <c r="U4614" s="1"/>
      <c r="V4614" s="1"/>
      <c r="W4614" s="1"/>
      <c r="X4614" s="1"/>
    </row>
    <row x14ac:dyDescent="0.25" r="4615" customHeight="1" ht="18.75">
      <c r="A4615" s="1"/>
      <c r="B4615" s="1"/>
      <c r="C4615" s="1"/>
      <c r="D4615" s="1"/>
      <c r="E4615" s="1"/>
      <c r="F4615" s="1"/>
      <c r="G4615" s="1"/>
      <c r="H4615" s="1"/>
      <c r="I4615" s="2"/>
      <c r="J4615" s="1"/>
      <c r="K4615" s="1"/>
      <c r="L4615" s="1"/>
      <c r="M4615" s="1"/>
      <c r="N4615" s="1"/>
      <c r="O4615" s="1"/>
      <c r="P4615" s="1"/>
      <c r="Q4615" s="1"/>
      <c r="R4615" s="1"/>
      <c r="S4615" s="1"/>
      <c r="T4615" s="1"/>
      <c r="U4615" s="1"/>
      <c r="V4615" s="1"/>
      <c r="W4615" s="1"/>
      <c r="X4615" s="1"/>
    </row>
    <row x14ac:dyDescent="0.25" r="4616" customHeight="1" ht="18.75">
      <c r="A4616" s="1"/>
      <c r="B4616" s="1"/>
      <c r="C4616" s="1"/>
      <c r="D4616" s="1"/>
      <c r="E4616" s="1"/>
      <c r="F4616" s="1"/>
      <c r="G4616" s="1"/>
      <c r="H4616" s="1"/>
      <c r="I4616" s="2"/>
      <c r="J4616" s="1"/>
      <c r="K4616" s="1"/>
      <c r="L4616" s="1"/>
      <c r="M4616" s="1"/>
      <c r="N4616" s="1"/>
      <c r="O4616" s="1"/>
      <c r="P4616" s="1"/>
      <c r="Q4616" s="1"/>
      <c r="R4616" s="1"/>
      <c r="S4616" s="1"/>
      <c r="T4616" s="1"/>
      <c r="U4616" s="1"/>
      <c r="V4616" s="1"/>
      <c r="W4616" s="1"/>
      <c r="X4616" s="1"/>
    </row>
    <row x14ac:dyDescent="0.25" r="4617" customHeight="1" ht="18.75">
      <c r="A4617" s="1"/>
      <c r="B4617" s="1"/>
      <c r="C4617" s="1"/>
      <c r="D4617" s="1"/>
      <c r="E4617" s="1"/>
      <c r="F4617" s="1"/>
      <c r="G4617" s="1"/>
      <c r="H4617" s="1"/>
      <c r="I4617" s="2"/>
      <c r="J4617" s="1"/>
      <c r="K4617" s="1"/>
      <c r="L4617" s="1"/>
      <c r="M4617" s="1"/>
      <c r="N4617" s="1"/>
      <c r="O4617" s="1"/>
      <c r="P4617" s="1"/>
      <c r="Q4617" s="1"/>
      <c r="R4617" s="1"/>
      <c r="S4617" s="1"/>
      <c r="T4617" s="1"/>
      <c r="U4617" s="1"/>
      <c r="V4617" s="1"/>
      <c r="W4617" s="1"/>
      <c r="X4617" s="1"/>
    </row>
    <row x14ac:dyDescent="0.25" r="4618" customHeight="1" ht="18.75">
      <c r="A4618" s="1"/>
      <c r="B4618" s="1"/>
      <c r="C4618" s="1"/>
      <c r="D4618" s="1"/>
      <c r="E4618" s="1"/>
      <c r="F4618" s="1"/>
      <c r="G4618" s="1"/>
      <c r="H4618" s="1"/>
      <c r="I4618" s="2"/>
      <c r="J4618" s="1"/>
      <c r="K4618" s="1"/>
      <c r="L4618" s="1"/>
      <c r="M4618" s="1"/>
      <c r="N4618" s="1"/>
      <c r="O4618" s="1"/>
      <c r="P4618" s="1"/>
      <c r="Q4618" s="1"/>
      <c r="R4618" s="1"/>
      <c r="S4618" s="1"/>
      <c r="T4618" s="1"/>
      <c r="U4618" s="1"/>
      <c r="V4618" s="1"/>
      <c r="W4618" s="1"/>
      <c r="X4618" s="1"/>
    </row>
    <row x14ac:dyDescent="0.25" r="4619" customHeight="1" ht="18.75">
      <c r="A4619" s="1"/>
      <c r="B4619" s="1"/>
      <c r="C4619" s="1"/>
      <c r="D4619" s="1"/>
      <c r="E4619" s="1"/>
      <c r="F4619" s="1"/>
      <c r="G4619" s="1"/>
      <c r="H4619" s="1"/>
      <c r="I4619" s="2"/>
      <c r="J4619" s="1"/>
      <c r="K4619" s="1"/>
      <c r="L4619" s="1"/>
      <c r="M4619" s="1"/>
      <c r="N4619" s="1"/>
      <c r="O4619" s="1"/>
      <c r="P4619" s="1"/>
      <c r="Q4619" s="1"/>
      <c r="R4619" s="1"/>
      <c r="S4619" s="1"/>
      <c r="T4619" s="1"/>
      <c r="U4619" s="1"/>
      <c r="V4619" s="1"/>
      <c r="W4619" s="1"/>
      <c r="X4619" s="1"/>
    </row>
    <row x14ac:dyDescent="0.25" r="4620" customHeight="1" ht="18.75">
      <c r="A4620" s="1"/>
      <c r="B4620" s="1"/>
      <c r="C4620" s="1"/>
      <c r="D4620" s="1"/>
      <c r="E4620" s="1"/>
      <c r="F4620" s="1"/>
      <c r="G4620" s="1"/>
      <c r="H4620" s="1"/>
      <c r="I4620" s="2"/>
      <c r="J4620" s="1"/>
      <c r="K4620" s="1"/>
      <c r="L4620" s="1"/>
      <c r="M4620" s="1"/>
      <c r="N4620" s="1"/>
      <c r="O4620" s="1"/>
      <c r="P4620" s="1"/>
      <c r="Q4620" s="1"/>
      <c r="R4620" s="1"/>
      <c r="S4620" s="1"/>
      <c r="T4620" s="1"/>
      <c r="U4620" s="1"/>
      <c r="V4620" s="1"/>
      <c r="W4620" s="1"/>
      <c r="X4620" s="1"/>
    </row>
    <row x14ac:dyDescent="0.25" r="4621" customHeight="1" ht="18.75">
      <c r="A4621" s="1"/>
      <c r="B4621" s="1"/>
      <c r="C4621" s="1"/>
      <c r="D4621" s="1"/>
      <c r="E4621" s="1"/>
      <c r="F4621" s="1"/>
      <c r="G4621" s="1"/>
      <c r="H4621" s="1"/>
      <c r="I4621" s="2"/>
      <c r="J4621" s="1"/>
      <c r="K4621" s="1"/>
      <c r="L4621" s="1"/>
      <c r="M4621" s="1"/>
      <c r="N4621" s="1"/>
      <c r="O4621" s="1"/>
      <c r="P4621" s="1"/>
      <c r="Q4621" s="1"/>
      <c r="R4621" s="1"/>
      <c r="S4621" s="1"/>
      <c r="T4621" s="1"/>
      <c r="U4621" s="1"/>
      <c r="V4621" s="1"/>
      <c r="W4621" s="1"/>
      <c r="X4621" s="1"/>
    </row>
    <row x14ac:dyDescent="0.25" r="4622" customHeight="1" ht="18.75">
      <c r="A4622" s="1"/>
      <c r="B4622" s="1"/>
      <c r="C4622" s="1"/>
      <c r="D4622" s="1"/>
      <c r="E4622" s="1"/>
      <c r="F4622" s="1"/>
      <c r="G4622" s="1"/>
      <c r="H4622" s="1"/>
      <c r="I4622" s="2"/>
      <c r="J4622" s="1"/>
      <c r="K4622" s="1"/>
      <c r="L4622" s="1"/>
      <c r="M4622" s="1"/>
      <c r="N4622" s="1"/>
      <c r="O4622" s="1"/>
      <c r="P4622" s="1"/>
      <c r="Q4622" s="1"/>
      <c r="R4622" s="1"/>
      <c r="S4622" s="1"/>
      <c r="T4622" s="1"/>
      <c r="U4622" s="1"/>
      <c r="V4622" s="1"/>
      <c r="W4622" s="1"/>
      <c r="X4622" s="1"/>
    </row>
    <row x14ac:dyDescent="0.25" r="4623" customHeight="1" ht="18.75">
      <c r="A4623" s="1"/>
      <c r="B4623" s="1"/>
      <c r="C4623" s="1"/>
      <c r="D4623" s="1"/>
      <c r="E4623" s="1"/>
      <c r="F4623" s="1"/>
      <c r="G4623" s="1"/>
      <c r="H4623" s="1"/>
      <c r="I4623" s="2"/>
      <c r="J4623" s="1"/>
      <c r="K4623" s="1"/>
      <c r="L4623" s="1"/>
      <c r="M4623" s="1"/>
      <c r="N4623" s="1"/>
      <c r="O4623" s="1"/>
      <c r="P4623" s="1"/>
      <c r="Q4623" s="1"/>
      <c r="R4623" s="1"/>
      <c r="S4623" s="1"/>
      <c r="T4623" s="1"/>
      <c r="U4623" s="1"/>
      <c r="V4623" s="1"/>
      <c r="W4623" s="1"/>
      <c r="X4623" s="1"/>
    </row>
    <row x14ac:dyDescent="0.25" r="4624" customHeight="1" ht="18.75">
      <c r="A4624" s="1"/>
      <c r="B4624" s="1"/>
      <c r="C4624" s="1"/>
      <c r="D4624" s="1"/>
      <c r="E4624" s="1"/>
      <c r="F4624" s="1"/>
      <c r="G4624" s="1"/>
      <c r="H4624" s="1"/>
      <c r="I4624" s="2"/>
      <c r="J4624" s="1"/>
      <c r="K4624" s="1"/>
      <c r="L4624" s="1"/>
      <c r="M4624" s="1"/>
      <c r="N4624" s="1"/>
      <c r="O4624" s="1"/>
      <c r="P4624" s="1"/>
      <c r="Q4624" s="1"/>
      <c r="R4624" s="1"/>
      <c r="S4624" s="1"/>
      <c r="T4624" s="1"/>
      <c r="U4624" s="1"/>
      <c r="V4624" s="1"/>
      <c r="W4624" s="1"/>
      <c r="X4624" s="1"/>
    </row>
    <row x14ac:dyDescent="0.25" r="4625" customHeight="1" ht="18.75">
      <c r="A4625" s="1"/>
      <c r="B4625" s="1"/>
      <c r="C4625" s="1"/>
      <c r="D4625" s="1"/>
      <c r="E4625" s="1"/>
      <c r="F4625" s="1"/>
      <c r="G4625" s="1"/>
      <c r="H4625" s="1"/>
      <c r="I4625" s="2"/>
      <c r="J4625" s="1"/>
      <c r="K4625" s="1"/>
      <c r="L4625" s="1"/>
      <c r="M4625" s="1"/>
      <c r="N4625" s="1"/>
      <c r="O4625" s="1"/>
      <c r="P4625" s="1"/>
      <c r="Q4625" s="1"/>
      <c r="R4625" s="1"/>
      <c r="S4625" s="1"/>
      <c r="T4625" s="1"/>
      <c r="U4625" s="1"/>
      <c r="V4625" s="1"/>
      <c r="W4625" s="1"/>
      <c r="X4625" s="1"/>
    </row>
    <row x14ac:dyDescent="0.25" r="4626" customHeight="1" ht="18.75">
      <c r="A4626" s="1"/>
      <c r="B4626" s="1"/>
      <c r="C4626" s="1"/>
      <c r="D4626" s="1"/>
      <c r="E4626" s="1"/>
      <c r="F4626" s="1"/>
      <c r="G4626" s="1"/>
      <c r="H4626" s="1"/>
      <c r="I4626" s="2"/>
      <c r="J4626" s="1"/>
      <c r="K4626" s="1"/>
      <c r="L4626" s="1"/>
      <c r="M4626" s="1"/>
      <c r="N4626" s="1"/>
      <c r="O4626" s="1"/>
      <c r="P4626" s="1"/>
      <c r="Q4626" s="1"/>
      <c r="R4626" s="1"/>
      <c r="S4626" s="1"/>
      <c r="T4626" s="1"/>
      <c r="U4626" s="1"/>
      <c r="V4626" s="1"/>
      <c r="W4626" s="1"/>
      <c r="X4626" s="1"/>
    </row>
    <row x14ac:dyDescent="0.25" r="4627" customHeight="1" ht="18.75">
      <c r="A4627" s="1"/>
      <c r="B4627" s="1"/>
      <c r="C4627" s="1"/>
      <c r="D4627" s="1"/>
      <c r="E4627" s="1"/>
      <c r="F4627" s="1"/>
      <c r="G4627" s="1"/>
      <c r="H4627" s="1"/>
      <c r="I4627" s="2"/>
      <c r="J4627" s="1"/>
      <c r="K4627" s="1"/>
      <c r="L4627" s="1"/>
      <c r="M4627" s="1"/>
      <c r="N4627" s="1"/>
      <c r="O4627" s="1"/>
      <c r="P4627" s="1"/>
      <c r="Q4627" s="1"/>
      <c r="R4627" s="1"/>
      <c r="S4627" s="1"/>
      <c r="T4627" s="1"/>
      <c r="U4627" s="1"/>
      <c r="V4627" s="1"/>
      <c r="W4627" s="1"/>
      <c r="X4627" s="1"/>
    </row>
    <row x14ac:dyDescent="0.25" r="4628" customHeight="1" ht="18.75">
      <c r="A4628" s="1"/>
      <c r="B4628" s="1"/>
      <c r="C4628" s="1"/>
      <c r="D4628" s="1"/>
      <c r="E4628" s="1"/>
      <c r="F4628" s="1"/>
      <c r="G4628" s="1"/>
      <c r="H4628" s="1"/>
      <c r="I4628" s="2"/>
      <c r="J4628" s="1"/>
      <c r="K4628" s="1"/>
      <c r="L4628" s="1"/>
      <c r="M4628" s="1"/>
      <c r="N4628" s="1"/>
      <c r="O4628" s="1"/>
      <c r="P4628" s="1"/>
      <c r="Q4628" s="1"/>
      <c r="R4628" s="1"/>
      <c r="S4628" s="1"/>
      <c r="T4628" s="1"/>
      <c r="U4628" s="1"/>
      <c r="V4628" s="1"/>
      <c r="W4628" s="1"/>
      <c r="X4628" s="1"/>
    </row>
    <row x14ac:dyDescent="0.25" r="4629" customHeight="1" ht="18.75">
      <c r="A4629" s="1"/>
      <c r="B4629" s="1"/>
      <c r="C4629" s="1"/>
      <c r="D4629" s="1"/>
      <c r="E4629" s="1"/>
      <c r="F4629" s="1"/>
      <c r="G4629" s="1"/>
      <c r="H4629" s="1"/>
      <c r="I4629" s="2"/>
      <c r="J4629" s="1"/>
      <c r="K4629" s="1"/>
      <c r="L4629" s="1"/>
      <c r="M4629" s="1"/>
      <c r="N4629" s="1"/>
      <c r="O4629" s="1"/>
      <c r="P4629" s="1"/>
      <c r="Q4629" s="1"/>
      <c r="R4629" s="1"/>
      <c r="S4629" s="1"/>
      <c r="T4629" s="1"/>
      <c r="U4629" s="1"/>
      <c r="V4629" s="1"/>
      <c r="W4629" s="1"/>
      <c r="X4629" s="1"/>
    </row>
    <row x14ac:dyDescent="0.25" r="4630" customHeight="1" ht="18.75">
      <c r="A4630" s="1"/>
      <c r="B4630" s="1"/>
      <c r="C4630" s="1"/>
      <c r="D4630" s="1"/>
      <c r="E4630" s="1"/>
      <c r="F4630" s="1"/>
      <c r="G4630" s="1"/>
      <c r="H4630" s="1"/>
      <c r="I4630" s="2"/>
      <c r="J4630" s="1"/>
      <c r="K4630" s="1"/>
      <c r="L4630" s="1"/>
      <c r="M4630" s="1"/>
      <c r="N4630" s="1"/>
      <c r="O4630" s="1"/>
      <c r="P4630" s="1"/>
      <c r="Q4630" s="1"/>
      <c r="R4630" s="1"/>
      <c r="S4630" s="1"/>
      <c r="T4630" s="1"/>
      <c r="U4630" s="1"/>
      <c r="V4630" s="1"/>
      <c r="W4630" s="1"/>
      <c r="X4630" s="1"/>
    </row>
    <row x14ac:dyDescent="0.25" r="4631" customHeight="1" ht="18.75">
      <c r="A4631" s="1"/>
      <c r="B4631" s="1"/>
      <c r="C4631" s="1"/>
      <c r="D4631" s="1"/>
      <c r="E4631" s="1"/>
      <c r="F4631" s="1"/>
      <c r="G4631" s="1"/>
      <c r="H4631" s="1"/>
      <c r="I4631" s="2"/>
      <c r="J4631" s="1"/>
      <c r="K4631" s="1"/>
      <c r="L4631" s="1"/>
      <c r="M4631" s="1"/>
      <c r="N4631" s="1"/>
      <c r="O4631" s="1"/>
      <c r="P4631" s="1"/>
      <c r="Q4631" s="1"/>
      <c r="R4631" s="1"/>
      <c r="S4631" s="1"/>
      <c r="T4631" s="1"/>
      <c r="U4631" s="1"/>
      <c r="V4631" s="1"/>
      <c r="W4631" s="1"/>
      <c r="X4631" s="1"/>
    </row>
    <row x14ac:dyDescent="0.25" r="4632" customHeight="1" ht="18.75">
      <c r="A4632" s="1"/>
      <c r="B4632" s="1"/>
      <c r="C4632" s="1"/>
      <c r="D4632" s="1"/>
      <c r="E4632" s="1"/>
      <c r="F4632" s="1"/>
      <c r="G4632" s="1"/>
      <c r="H4632" s="1"/>
      <c r="I4632" s="2"/>
      <c r="J4632" s="1"/>
      <c r="K4632" s="1"/>
      <c r="L4632" s="1"/>
      <c r="M4632" s="1"/>
      <c r="N4632" s="1"/>
      <c r="O4632" s="1"/>
      <c r="P4632" s="1"/>
      <c r="Q4632" s="1"/>
      <c r="R4632" s="1"/>
      <c r="S4632" s="1"/>
      <c r="T4632" s="1"/>
      <c r="U4632" s="1"/>
      <c r="V4632" s="1"/>
      <c r="W4632" s="1"/>
      <c r="X4632" s="1"/>
    </row>
    <row x14ac:dyDescent="0.25" r="4633" customHeight="1" ht="18.75">
      <c r="A4633" s="1"/>
      <c r="B4633" s="1"/>
      <c r="C4633" s="1"/>
      <c r="D4633" s="1"/>
      <c r="E4633" s="1"/>
      <c r="F4633" s="1"/>
      <c r="G4633" s="1"/>
      <c r="H4633" s="1"/>
      <c r="I4633" s="2"/>
      <c r="J4633" s="1"/>
      <c r="K4633" s="1"/>
      <c r="L4633" s="1"/>
      <c r="M4633" s="1"/>
      <c r="N4633" s="1"/>
      <c r="O4633" s="1"/>
      <c r="P4633" s="1"/>
      <c r="Q4633" s="1"/>
      <c r="R4633" s="1"/>
      <c r="S4633" s="1"/>
      <c r="T4633" s="1"/>
      <c r="U4633" s="1"/>
      <c r="V4633" s="1"/>
      <c r="W4633" s="1"/>
      <c r="X4633" s="1"/>
    </row>
    <row x14ac:dyDescent="0.25" r="4634" customHeight="1" ht="18.75">
      <c r="A4634" s="1"/>
      <c r="B4634" s="1"/>
      <c r="C4634" s="1"/>
      <c r="D4634" s="1"/>
      <c r="E4634" s="1"/>
      <c r="F4634" s="1"/>
      <c r="G4634" s="1"/>
      <c r="H4634" s="1"/>
      <c r="I4634" s="2"/>
      <c r="J4634" s="1"/>
      <c r="K4634" s="1"/>
      <c r="L4634" s="1"/>
      <c r="M4634" s="1"/>
      <c r="N4634" s="1"/>
      <c r="O4634" s="1"/>
      <c r="P4634" s="1"/>
      <c r="Q4634" s="1"/>
      <c r="R4634" s="1"/>
      <c r="S4634" s="1"/>
      <c r="T4634" s="1"/>
      <c r="U4634" s="1"/>
      <c r="V4634" s="1"/>
      <c r="W4634" s="1"/>
      <c r="X4634" s="1"/>
    </row>
    <row x14ac:dyDescent="0.25" r="4635" customHeight="1" ht="18.75">
      <c r="A4635" s="1"/>
      <c r="B4635" s="1"/>
      <c r="C4635" s="1"/>
      <c r="D4635" s="1"/>
      <c r="E4635" s="1"/>
      <c r="F4635" s="1"/>
      <c r="G4635" s="1"/>
      <c r="H4635" s="1"/>
      <c r="I4635" s="2"/>
      <c r="J4635" s="1"/>
      <c r="K4635" s="1"/>
      <c r="L4635" s="1"/>
      <c r="M4635" s="1"/>
      <c r="N4635" s="1"/>
      <c r="O4635" s="1"/>
      <c r="P4635" s="1"/>
      <c r="Q4635" s="1"/>
      <c r="R4635" s="1"/>
      <c r="S4635" s="1"/>
      <c r="T4635" s="1"/>
      <c r="U4635" s="1"/>
      <c r="V4635" s="1"/>
      <c r="W4635" s="1"/>
      <c r="X4635" s="1"/>
    </row>
    <row x14ac:dyDescent="0.25" r="4636" customHeight="1" ht="18.75">
      <c r="A4636" s="1"/>
      <c r="B4636" s="1"/>
      <c r="C4636" s="1"/>
      <c r="D4636" s="1"/>
      <c r="E4636" s="1"/>
      <c r="F4636" s="1"/>
      <c r="G4636" s="1"/>
      <c r="H4636" s="1"/>
      <c r="I4636" s="2"/>
      <c r="J4636" s="1"/>
      <c r="K4636" s="1"/>
      <c r="L4636" s="1"/>
      <c r="M4636" s="1"/>
      <c r="N4636" s="1"/>
      <c r="O4636" s="1"/>
      <c r="P4636" s="1"/>
      <c r="Q4636" s="1"/>
      <c r="R4636" s="1"/>
      <c r="S4636" s="1"/>
      <c r="T4636" s="1"/>
      <c r="U4636" s="1"/>
      <c r="V4636" s="1"/>
      <c r="W4636" s="1"/>
      <c r="X4636" s="1"/>
    </row>
    <row x14ac:dyDescent="0.25" r="4637" customHeight="1" ht="18.75">
      <c r="A4637" s="1"/>
      <c r="B4637" s="1"/>
      <c r="C4637" s="1"/>
      <c r="D4637" s="1"/>
      <c r="E4637" s="1"/>
      <c r="F4637" s="1"/>
      <c r="G4637" s="1"/>
      <c r="H4637" s="1"/>
      <c r="I4637" s="2"/>
      <c r="J4637" s="1"/>
      <c r="K4637" s="1"/>
      <c r="L4637" s="1"/>
      <c r="M4637" s="1"/>
      <c r="N4637" s="1"/>
      <c r="O4637" s="1"/>
      <c r="P4637" s="1"/>
      <c r="Q4637" s="1"/>
      <c r="R4637" s="1"/>
      <c r="S4637" s="1"/>
      <c r="T4637" s="1"/>
      <c r="U4637" s="1"/>
      <c r="V4637" s="1"/>
      <c r="W4637" s="1"/>
      <c r="X4637" s="1"/>
    </row>
    <row x14ac:dyDescent="0.25" r="4638" customHeight="1" ht="18.75">
      <c r="A4638" s="1"/>
      <c r="B4638" s="1"/>
      <c r="C4638" s="1"/>
      <c r="D4638" s="1"/>
      <c r="E4638" s="1"/>
      <c r="F4638" s="1"/>
      <c r="G4638" s="1"/>
      <c r="H4638" s="1"/>
      <c r="I4638" s="2"/>
      <c r="J4638" s="1"/>
      <c r="K4638" s="1"/>
      <c r="L4638" s="1"/>
      <c r="M4638" s="1"/>
      <c r="N4638" s="1"/>
      <c r="O4638" s="1"/>
      <c r="P4638" s="1"/>
      <c r="Q4638" s="1"/>
      <c r="R4638" s="1"/>
      <c r="S4638" s="1"/>
      <c r="T4638" s="1"/>
      <c r="U4638" s="1"/>
      <c r="V4638" s="1"/>
      <c r="W4638" s="1"/>
      <c r="X4638" s="1"/>
    </row>
    <row x14ac:dyDescent="0.25" r="4639" customHeight="1" ht="18.75">
      <c r="A4639" s="1"/>
      <c r="B4639" s="1"/>
      <c r="C4639" s="1"/>
      <c r="D4639" s="1"/>
      <c r="E4639" s="1"/>
      <c r="F4639" s="1"/>
      <c r="G4639" s="1"/>
      <c r="H4639" s="1"/>
      <c r="I4639" s="2"/>
      <c r="J4639" s="1"/>
      <c r="K4639" s="1"/>
      <c r="L4639" s="1"/>
      <c r="M4639" s="1"/>
      <c r="N4639" s="1"/>
      <c r="O4639" s="1"/>
      <c r="P4639" s="1"/>
      <c r="Q4639" s="1"/>
      <c r="R4639" s="1"/>
      <c r="S4639" s="1"/>
      <c r="T4639" s="1"/>
      <c r="U4639" s="1"/>
      <c r="V4639" s="1"/>
      <c r="W4639" s="1"/>
      <c r="X4639" s="1"/>
    </row>
    <row x14ac:dyDescent="0.25" r="4640" customHeight="1" ht="18.75">
      <c r="A4640" s="1"/>
      <c r="B4640" s="1"/>
      <c r="C4640" s="1"/>
      <c r="D4640" s="1"/>
      <c r="E4640" s="1"/>
      <c r="F4640" s="1"/>
      <c r="G4640" s="1"/>
      <c r="H4640" s="1"/>
      <c r="I4640" s="2"/>
      <c r="J4640" s="1"/>
      <c r="K4640" s="1"/>
      <c r="L4640" s="1"/>
      <c r="M4640" s="1"/>
      <c r="N4640" s="1"/>
      <c r="O4640" s="1"/>
      <c r="P4640" s="1"/>
      <c r="Q4640" s="1"/>
      <c r="R4640" s="1"/>
      <c r="S4640" s="1"/>
      <c r="T4640" s="1"/>
      <c r="U4640" s="1"/>
      <c r="V4640" s="1"/>
      <c r="W4640" s="1"/>
      <c r="X4640" s="1"/>
    </row>
    <row x14ac:dyDescent="0.25" r="4641" customHeight="1" ht="18.75">
      <c r="A4641" s="1"/>
      <c r="B4641" s="1"/>
      <c r="C4641" s="1"/>
      <c r="D4641" s="1"/>
      <c r="E4641" s="1"/>
      <c r="F4641" s="1"/>
      <c r="G4641" s="1"/>
      <c r="H4641" s="1"/>
      <c r="I4641" s="2"/>
      <c r="J4641" s="1"/>
      <c r="K4641" s="1"/>
      <c r="L4641" s="1"/>
      <c r="M4641" s="1"/>
      <c r="N4641" s="1"/>
      <c r="O4641" s="1"/>
      <c r="P4641" s="1"/>
      <c r="Q4641" s="1"/>
      <c r="R4641" s="1"/>
      <c r="S4641" s="1"/>
      <c r="T4641" s="1"/>
      <c r="U4641" s="1"/>
      <c r="V4641" s="1"/>
      <c r="W4641" s="1"/>
      <c r="X4641" s="1"/>
    </row>
    <row x14ac:dyDescent="0.25" r="4642" customHeight="1" ht="18.75">
      <c r="A4642" s="1"/>
      <c r="B4642" s="1"/>
      <c r="C4642" s="1"/>
      <c r="D4642" s="1"/>
      <c r="E4642" s="1"/>
      <c r="F4642" s="1"/>
      <c r="G4642" s="1"/>
      <c r="H4642" s="1"/>
      <c r="I4642" s="2"/>
      <c r="J4642" s="1"/>
      <c r="K4642" s="1"/>
      <c r="L4642" s="1"/>
      <c r="M4642" s="1"/>
      <c r="N4642" s="1"/>
      <c r="O4642" s="1"/>
      <c r="P4642" s="1"/>
      <c r="Q4642" s="1"/>
      <c r="R4642" s="1"/>
      <c r="S4642" s="1"/>
      <c r="T4642" s="1"/>
      <c r="U4642" s="1"/>
      <c r="V4642" s="1"/>
      <c r="W4642" s="1"/>
      <c r="X4642" s="1"/>
    </row>
    <row x14ac:dyDescent="0.25" r="4643" customHeight="1" ht="18.75">
      <c r="A4643" s="1"/>
      <c r="B4643" s="1"/>
      <c r="C4643" s="1"/>
      <c r="D4643" s="1"/>
      <c r="E4643" s="1"/>
      <c r="F4643" s="1"/>
      <c r="G4643" s="1"/>
      <c r="H4643" s="1"/>
      <c r="I4643" s="2"/>
      <c r="J4643" s="1"/>
      <c r="K4643" s="1"/>
      <c r="L4643" s="1"/>
      <c r="M4643" s="1"/>
      <c r="N4643" s="1"/>
      <c r="O4643" s="1"/>
      <c r="P4643" s="1"/>
      <c r="Q4643" s="1"/>
      <c r="R4643" s="1"/>
      <c r="S4643" s="1"/>
      <c r="T4643" s="1"/>
      <c r="U4643" s="1"/>
      <c r="V4643" s="1"/>
      <c r="W4643" s="1"/>
      <c r="X4643" s="1"/>
    </row>
    <row x14ac:dyDescent="0.25" r="4644" customHeight="1" ht="18.75">
      <c r="A4644" s="1"/>
      <c r="B4644" s="1"/>
      <c r="C4644" s="1"/>
      <c r="D4644" s="1"/>
      <c r="E4644" s="1"/>
      <c r="F4644" s="1"/>
      <c r="G4644" s="1"/>
      <c r="H4644" s="1"/>
      <c r="I4644" s="2"/>
      <c r="J4644" s="1"/>
      <c r="K4644" s="1"/>
      <c r="L4644" s="1"/>
      <c r="M4644" s="1"/>
      <c r="N4644" s="1"/>
      <c r="O4644" s="1"/>
      <c r="P4644" s="1"/>
      <c r="Q4644" s="1"/>
      <c r="R4644" s="1"/>
      <c r="S4644" s="1"/>
      <c r="T4644" s="1"/>
      <c r="U4644" s="1"/>
      <c r="V4644" s="1"/>
      <c r="W4644" s="1"/>
      <c r="X4644" s="1"/>
    </row>
    <row x14ac:dyDescent="0.25" r="4645" customHeight="1" ht="18.75">
      <c r="A4645" s="1"/>
      <c r="B4645" s="1"/>
      <c r="C4645" s="1"/>
      <c r="D4645" s="1"/>
      <c r="E4645" s="1"/>
      <c r="F4645" s="1"/>
      <c r="G4645" s="1"/>
      <c r="H4645" s="1"/>
      <c r="I4645" s="2"/>
      <c r="J4645" s="1"/>
      <c r="K4645" s="1"/>
      <c r="L4645" s="1"/>
      <c r="M4645" s="1"/>
      <c r="N4645" s="1"/>
      <c r="O4645" s="1"/>
      <c r="P4645" s="1"/>
      <c r="Q4645" s="1"/>
      <c r="R4645" s="1"/>
      <c r="S4645" s="1"/>
      <c r="T4645" s="1"/>
      <c r="U4645" s="1"/>
      <c r="V4645" s="1"/>
      <c r="W4645" s="1"/>
      <c r="X4645" s="1"/>
    </row>
    <row x14ac:dyDescent="0.25" r="4646" customHeight="1" ht="18.75">
      <c r="A4646" s="1"/>
      <c r="B4646" s="1"/>
      <c r="C4646" s="1"/>
      <c r="D4646" s="1"/>
      <c r="E4646" s="1"/>
      <c r="F4646" s="1"/>
      <c r="G4646" s="1"/>
      <c r="H4646" s="1"/>
      <c r="I4646" s="2"/>
      <c r="J4646" s="1"/>
      <c r="K4646" s="1"/>
      <c r="L4646" s="1"/>
      <c r="M4646" s="1"/>
      <c r="N4646" s="1"/>
      <c r="O4646" s="1"/>
      <c r="P4646" s="1"/>
      <c r="Q4646" s="1"/>
      <c r="R4646" s="1"/>
      <c r="S4646" s="1"/>
      <c r="T4646" s="1"/>
      <c r="U4646" s="1"/>
      <c r="V4646" s="1"/>
      <c r="W4646" s="1"/>
      <c r="X4646" s="1"/>
    </row>
    <row x14ac:dyDescent="0.25" r="4647" customHeight="1" ht="18.75">
      <c r="A4647" s="1"/>
      <c r="B4647" s="1"/>
      <c r="C4647" s="1"/>
      <c r="D4647" s="1"/>
      <c r="E4647" s="1"/>
      <c r="F4647" s="1"/>
      <c r="G4647" s="1"/>
      <c r="H4647" s="1"/>
      <c r="I4647" s="2"/>
      <c r="J4647" s="1"/>
      <c r="K4647" s="1"/>
      <c r="L4647" s="1"/>
      <c r="M4647" s="1"/>
      <c r="N4647" s="1"/>
      <c r="O4647" s="1"/>
      <c r="P4647" s="1"/>
      <c r="Q4647" s="1"/>
      <c r="R4647" s="1"/>
      <c r="S4647" s="1"/>
      <c r="T4647" s="1"/>
      <c r="U4647" s="1"/>
      <c r="V4647" s="1"/>
      <c r="W4647" s="1"/>
      <c r="X4647" s="1"/>
    </row>
    <row x14ac:dyDescent="0.25" r="4648" customHeight="1" ht="18.75">
      <c r="A4648" s="1"/>
      <c r="B4648" s="1"/>
      <c r="C4648" s="1"/>
      <c r="D4648" s="1"/>
      <c r="E4648" s="1"/>
      <c r="F4648" s="1"/>
      <c r="G4648" s="1"/>
      <c r="H4648" s="1"/>
      <c r="I4648" s="2"/>
      <c r="J4648" s="1"/>
      <c r="K4648" s="1"/>
      <c r="L4648" s="1"/>
      <c r="M4648" s="1"/>
      <c r="N4648" s="1"/>
      <c r="O4648" s="1"/>
      <c r="P4648" s="1"/>
      <c r="Q4648" s="1"/>
      <c r="R4648" s="1"/>
      <c r="S4648" s="1"/>
      <c r="T4648" s="1"/>
      <c r="U4648" s="1"/>
      <c r="V4648" s="1"/>
      <c r="W4648" s="1"/>
      <c r="X4648" s="1"/>
    </row>
    <row x14ac:dyDescent="0.25" r="4649" customHeight="1" ht="18.75">
      <c r="A4649" s="1"/>
      <c r="B4649" s="1"/>
      <c r="C4649" s="1"/>
      <c r="D4649" s="1"/>
      <c r="E4649" s="1"/>
      <c r="F4649" s="1"/>
      <c r="G4649" s="1"/>
      <c r="H4649" s="1"/>
      <c r="I4649" s="2"/>
      <c r="J4649" s="1"/>
      <c r="K4649" s="1"/>
      <c r="L4649" s="1"/>
      <c r="M4649" s="1"/>
      <c r="N4649" s="1"/>
      <c r="O4649" s="1"/>
      <c r="P4649" s="1"/>
      <c r="Q4649" s="1"/>
      <c r="R4649" s="1"/>
      <c r="S4649" s="1"/>
      <c r="T4649" s="1"/>
      <c r="U4649" s="1"/>
      <c r="V4649" s="1"/>
      <c r="W4649" s="1"/>
      <c r="X4649" s="1"/>
    </row>
    <row x14ac:dyDescent="0.25" r="4650" customHeight="1" ht="18.75">
      <c r="A4650" s="1"/>
      <c r="B4650" s="1"/>
      <c r="C4650" s="1"/>
      <c r="D4650" s="1"/>
      <c r="E4650" s="1"/>
      <c r="F4650" s="1"/>
      <c r="G4650" s="1"/>
      <c r="H4650" s="1"/>
      <c r="I4650" s="2"/>
      <c r="J4650" s="1"/>
      <c r="K4650" s="1"/>
      <c r="L4650" s="1"/>
      <c r="M4650" s="1"/>
      <c r="N4650" s="1"/>
      <c r="O4650" s="1"/>
      <c r="P4650" s="1"/>
      <c r="Q4650" s="1"/>
      <c r="R4650" s="1"/>
      <c r="S4650" s="1"/>
      <c r="T4650" s="1"/>
      <c r="U4650" s="1"/>
      <c r="V4650" s="1"/>
      <c r="W4650" s="1"/>
      <c r="X4650" s="1"/>
    </row>
    <row x14ac:dyDescent="0.25" r="4651" customHeight="1" ht="18.75">
      <c r="A4651" s="1"/>
      <c r="B4651" s="1"/>
      <c r="C4651" s="1"/>
      <c r="D4651" s="1"/>
      <c r="E4651" s="1"/>
      <c r="F4651" s="1"/>
      <c r="G4651" s="1"/>
      <c r="H4651" s="1"/>
      <c r="I4651" s="2"/>
      <c r="J4651" s="1"/>
      <c r="K4651" s="1"/>
      <c r="L4651" s="1"/>
      <c r="M4651" s="1"/>
      <c r="N4651" s="1"/>
      <c r="O4651" s="1"/>
      <c r="P4651" s="1"/>
      <c r="Q4651" s="1"/>
      <c r="R4651" s="1"/>
      <c r="S4651" s="1"/>
      <c r="T4651" s="1"/>
      <c r="U4651" s="1"/>
      <c r="V4651" s="1"/>
      <c r="W4651" s="1"/>
      <c r="X4651" s="1"/>
    </row>
    <row x14ac:dyDescent="0.25" r="4652" customHeight="1" ht="18.75">
      <c r="A4652" s="1"/>
      <c r="B4652" s="1"/>
      <c r="C4652" s="1"/>
      <c r="D4652" s="1"/>
      <c r="E4652" s="1"/>
      <c r="F4652" s="1"/>
      <c r="G4652" s="1"/>
      <c r="H4652" s="1"/>
      <c r="I4652" s="2"/>
      <c r="J4652" s="1"/>
      <c r="K4652" s="1"/>
      <c r="L4652" s="1"/>
      <c r="M4652" s="1"/>
      <c r="N4652" s="1"/>
      <c r="O4652" s="1"/>
      <c r="P4652" s="1"/>
      <c r="Q4652" s="1"/>
      <c r="R4652" s="1"/>
      <c r="S4652" s="1"/>
      <c r="T4652" s="1"/>
      <c r="U4652" s="1"/>
      <c r="V4652" s="1"/>
      <c r="W4652" s="1"/>
      <c r="X4652" s="1"/>
    </row>
    <row x14ac:dyDescent="0.25" r="4653" customHeight="1" ht="18.75">
      <c r="A4653" s="1"/>
      <c r="B4653" s="1"/>
      <c r="C4653" s="1"/>
      <c r="D4653" s="1"/>
      <c r="E4653" s="1"/>
      <c r="F4653" s="1"/>
      <c r="G4653" s="1"/>
      <c r="H4653" s="1"/>
      <c r="I4653" s="2"/>
      <c r="J4653" s="1"/>
      <c r="K4653" s="1"/>
      <c r="L4653" s="1"/>
      <c r="M4653" s="1"/>
      <c r="N4653" s="1"/>
      <c r="O4653" s="1"/>
      <c r="P4653" s="1"/>
      <c r="Q4653" s="1"/>
      <c r="R4653" s="1"/>
      <c r="S4653" s="1"/>
      <c r="T4653" s="1"/>
      <c r="U4653" s="1"/>
      <c r="V4653" s="1"/>
      <c r="W4653" s="1"/>
      <c r="X4653" s="1"/>
    </row>
    <row x14ac:dyDescent="0.25" r="4654" customHeight="1" ht="18.75">
      <c r="A4654" s="1"/>
      <c r="B4654" s="1"/>
      <c r="C4654" s="1"/>
      <c r="D4654" s="1"/>
      <c r="E4654" s="1"/>
      <c r="F4654" s="1"/>
      <c r="G4654" s="1"/>
      <c r="H4654" s="1"/>
      <c r="I4654" s="2"/>
      <c r="J4654" s="1"/>
      <c r="K4654" s="1"/>
      <c r="L4654" s="1"/>
      <c r="M4654" s="1"/>
      <c r="N4654" s="1"/>
      <c r="O4654" s="1"/>
      <c r="P4654" s="1"/>
      <c r="Q4654" s="1"/>
      <c r="R4654" s="1"/>
      <c r="S4654" s="1"/>
      <c r="T4654" s="1"/>
      <c r="U4654" s="1"/>
      <c r="V4654" s="1"/>
      <c r="W4654" s="1"/>
      <c r="X4654" s="1"/>
    </row>
    <row x14ac:dyDescent="0.25" r="4655" customHeight="1" ht="18.75">
      <c r="A4655" s="1"/>
      <c r="B4655" s="1"/>
      <c r="C4655" s="1"/>
      <c r="D4655" s="1"/>
      <c r="E4655" s="1"/>
      <c r="F4655" s="1"/>
      <c r="G4655" s="1"/>
      <c r="H4655" s="1"/>
      <c r="I4655" s="2"/>
      <c r="J4655" s="1"/>
      <c r="K4655" s="1"/>
      <c r="L4655" s="1"/>
      <c r="M4655" s="1"/>
      <c r="N4655" s="1"/>
      <c r="O4655" s="1"/>
      <c r="P4655" s="1"/>
      <c r="Q4655" s="1"/>
      <c r="R4655" s="1"/>
      <c r="S4655" s="1"/>
      <c r="T4655" s="1"/>
      <c r="U4655" s="1"/>
      <c r="V4655" s="1"/>
      <c r="W4655" s="1"/>
      <c r="X4655" s="1"/>
    </row>
    <row x14ac:dyDescent="0.25" r="4656" customHeight="1" ht="18.75">
      <c r="A4656" s="1"/>
      <c r="B4656" s="1"/>
      <c r="C4656" s="1"/>
      <c r="D4656" s="1"/>
      <c r="E4656" s="1"/>
      <c r="F4656" s="1"/>
      <c r="G4656" s="1"/>
      <c r="H4656" s="1"/>
      <c r="I4656" s="2"/>
      <c r="J4656" s="1"/>
      <c r="K4656" s="1"/>
      <c r="L4656" s="1"/>
      <c r="M4656" s="1"/>
      <c r="N4656" s="1"/>
      <c r="O4656" s="1"/>
      <c r="P4656" s="1"/>
      <c r="Q4656" s="1"/>
      <c r="R4656" s="1"/>
      <c r="S4656" s="1"/>
      <c r="T4656" s="1"/>
      <c r="U4656" s="1"/>
      <c r="V4656" s="1"/>
      <c r="W4656" s="1"/>
      <c r="X4656" s="1"/>
    </row>
    <row x14ac:dyDescent="0.25" r="4657" customHeight="1" ht="18.75">
      <c r="A4657" s="1"/>
      <c r="B4657" s="1"/>
      <c r="C4657" s="1"/>
      <c r="D4657" s="1"/>
      <c r="E4657" s="1"/>
      <c r="F4657" s="1"/>
      <c r="G4657" s="1"/>
      <c r="H4657" s="1"/>
      <c r="I4657" s="2"/>
      <c r="J4657" s="1"/>
      <c r="K4657" s="1"/>
      <c r="L4657" s="1"/>
      <c r="M4657" s="1"/>
      <c r="N4657" s="1"/>
      <c r="O4657" s="1"/>
      <c r="P4657" s="1"/>
      <c r="Q4657" s="1"/>
      <c r="R4657" s="1"/>
      <c r="S4657" s="1"/>
      <c r="T4657" s="1"/>
      <c r="U4657" s="1"/>
      <c r="V4657" s="1"/>
      <c r="W4657" s="1"/>
      <c r="X4657" s="1"/>
    </row>
    <row x14ac:dyDescent="0.25" r="4658" customHeight="1" ht="18.75">
      <c r="A4658" s="1"/>
      <c r="B4658" s="1"/>
      <c r="C4658" s="1"/>
      <c r="D4658" s="1"/>
      <c r="E4658" s="1"/>
      <c r="F4658" s="1"/>
      <c r="G4658" s="1"/>
      <c r="H4658" s="1"/>
      <c r="I4658" s="2"/>
      <c r="J4658" s="1"/>
      <c r="K4658" s="1"/>
      <c r="L4658" s="1"/>
      <c r="M4658" s="1"/>
      <c r="N4658" s="1"/>
      <c r="O4658" s="1"/>
      <c r="P4658" s="1"/>
      <c r="Q4658" s="1"/>
      <c r="R4658" s="1"/>
      <c r="S4658" s="1"/>
      <c r="T4658" s="1"/>
      <c r="U4658" s="1"/>
      <c r="V4658" s="1"/>
      <c r="W4658" s="1"/>
      <c r="X4658" s="1"/>
    </row>
    <row x14ac:dyDescent="0.25" r="4659" customHeight="1" ht="18.75">
      <c r="A4659" s="1"/>
      <c r="B4659" s="1"/>
      <c r="C4659" s="1"/>
      <c r="D4659" s="1"/>
      <c r="E4659" s="1"/>
      <c r="F4659" s="1"/>
      <c r="G4659" s="1"/>
      <c r="H4659" s="1"/>
      <c r="I4659" s="2"/>
      <c r="J4659" s="1"/>
      <c r="K4659" s="1"/>
      <c r="L4659" s="1"/>
      <c r="M4659" s="1"/>
      <c r="N4659" s="1"/>
      <c r="O4659" s="1"/>
      <c r="P4659" s="1"/>
      <c r="Q4659" s="1"/>
      <c r="R4659" s="1"/>
      <c r="S4659" s="1"/>
      <c r="T4659" s="1"/>
      <c r="U4659" s="1"/>
      <c r="V4659" s="1"/>
      <c r="W4659" s="1"/>
      <c r="X4659" s="1"/>
    </row>
    <row x14ac:dyDescent="0.25" r="4660" customHeight="1" ht="18.75">
      <c r="A4660" s="1"/>
      <c r="B4660" s="1"/>
      <c r="C4660" s="1"/>
      <c r="D4660" s="1"/>
      <c r="E4660" s="1"/>
      <c r="F4660" s="1"/>
      <c r="G4660" s="1"/>
      <c r="H4660" s="1"/>
      <c r="I4660" s="2"/>
      <c r="J4660" s="1"/>
      <c r="K4660" s="1"/>
      <c r="L4660" s="1"/>
      <c r="M4660" s="1"/>
      <c r="N4660" s="1"/>
      <c r="O4660" s="1"/>
      <c r="P4660" s="1"/>
      <c r="Q4660" s="1"/>
      <c r="R4660" s="1"/>
      <c r="S4660" s="1"/>
      <c r="T4660" s="1"/>
      <c r="U4660" s="1"/>
      <c r="V4660" s="1"/>
      <c r="W4660" s="1"/>
      <c r="X4660" s="1"/>
    </row>
    <row x14ac:dyDescent="0.25" r="4661" customHeight="1" ht="18.75">
      <c r="A4661" s="1"/>
      <c r="B4661" s="1"/>
      <c r="C4661" s="1"/>
      <c r="D4661" s="1"/>
      <c r="E4661" s="1"/>
      <c r="F4661" s="1"/>
      <c r="G4661" s="1"/>
      <c r="H4661" s="1"/>
      <c r="I4661" s="2"/>
      <c r="J4661" s="1"/>
      <c r="K4661" s="1"/>
      <c r="L4661" s="1"/>
      <c r="M4661" s="1"/>
      <c r="N4661" s="1"/>
      <c r="O4661" s="1"/>
      <c r="P4661" s="1"/>
      <c r="Q4661" s="1"/>
      <c r="R4661" s="1"/>
      <c r="S4661" s="1"/>
      <c r="T4661" s="1"/>
      <c r="U4661" s="1"/>
      <c r="V4661" s="1"/>
      <c r="W4661" s="1"/>
      <c r="X4661" s="1"/>
    </row>
    <row x14ac:dyDescent="0.25" r="4662" customHeight="1" ht="18.75">
      <c r="A4662" s="1"/>
      <c r="B4662" s="1"/>
      <c r="C4662" s="1"/>
      <c r="D4662" s="1"/>
      <c r="E4662" s="1"/>
      <c r="F4662" s="1"/>
      <c r="G4662" s="1"/>
      <c r="H4662" s="1"/>
      <c r="I4662" s="2"/>
      <c r="J4662" s="1"/>
      <c r="K4662" s="1"/>
      <c r="L4662" s="1"/>
      <c r="M4662" s="1"/>
      <c r="N4662" s="1"/>
      <c r="O4662" s="1"/>
      <c r="P4662" s="1"/>
      <c r="Q4662" s="1"/>
      <c r="R4662" s="1"/>
      <c r="S4662" s="1"/>
      <c r="T4662" s="1"/>
      <c r="U4662" s="1"/>
      <c r="V4662" s="1"/>
      <c r="W4662" s="1"/>
      <c r="X4662" s="1"/>
    </row>
    <row x14ac:dyDescent="0.25" r="4663" customHeight="1" ht="18.75">
      <c r="A4663" s="1"/>
      <c r="B4663" s="1"/>
      <c r="C4663" s="1"/>
      <c r="D4663" s="1"/>
      <c r="E4663" s="1"/>
      <c r="F4663" s="1"/>
      <c r="G4663" s="1"/>
      <c r="H4663" s="1"/>
      <c r="I4663" s="2"/>
      <c r="J4663" s="1"/>
      <c r="K4663" s="1"/>
      <c r="L4663" s="1"/>
      <c r="M4663" s="1"/>
      <c r="N4663" s="1"/>
      <c r="O4663" s="1"/>
      <c r="P4663" s="1"/>
      <c r="Q4663" s="1"/>
      <c r="R4663" s="1"/>
      <c r="S4663" s="1"/>
      <c r="T4663" s="1"/>
      <c r="U4663" s="1"/>
      <c r="V4663" s="1"/>
      <c r="W4663" s="1"/>
      <c r="X4663" s="1"/>
    </row>
    <row x14ac:dyDescent="0.25" r="4664" customHeight="1" ht="18.75">
      <c r="A4664" s="1"/>
      <c r="B4664" s="1"/>
      <c r="C4664" s="1"/>
      <c r="D4664" s="1"/>
      <c r="E4664" s="1"/>
      <c r="F4664" s="1"/>
      <c r="G4664" s="1"/>
      <c r="H4664" s="1"/>
      <c r="I4664" s="2"/>
      <c r="J4664" s="1"/>
      <c r="K4664" s="1"/>
      <c r="L4664" s="1"/>
      <c r="M4664" s="1"/>
      <c r="N4664" s="1"/>
      <c r="O4664" s="1"/>
      <c r="P4664" s="1"/>
      <c r="Q4664" s="1"/>
      <c r="R4664" s="1"/>
      <c r="S4664" s="1"/>
      <c r="T4664" s="1"/>
      <c r="U4664" s="1"/>
      <c r="V4664" s="1"/>
      <c r="W4664" s="1"/>
      <c r="X4664" s="1"/>
    </row>
    <row x14ac:dyDescent="0.25" r="4665" customHeight="1" ht="18.75">
      <c r="A4665" s="1"/>
      <c r="B4665" s="1"/>
      <c r="C4665" s="1"/>
      <c r="D4665" s="1"/>
      <c r="E4665" s="1"/>
      <c r="F4665" s="1"/>
      <c r="G4665" s="1"/>
      <c r="H4665" s="1"/>
      <c r="I4665" s="2"/>
      <c r="J4665" s="1"/>
      <c r="K4665" s="1"/>
      <c r="L4665" s="1"/>
      <c r="M4665" s="1"/>
      <c r="N4665" s="1"/>
      <c r="O4665" s="1"/>
      <c r="P4665" s="1"/>
      <c r="Q4665" s="1"/>
      <c r="R4665" s="1"/>
      <c r="S4665" s="1"/>
      <c r="T4665" s="1"/>
      <c r="U4665" s="1"/>
      <c r="V4665" s="1"/>
      <c r="W4665" s="1"/>
      <c r="X4665" s="1"/>
    </row>
    <row x14ac:dyDescent="0.25" r="4666" customHeight="1" ht="18.75">
      <c r="A4666" s="1"/>
      <c r="B4666" s="1"/>
      <c r="C4666" s="1"/>
      <c r="D4666" s="1"/>
      <c r="E4666" s="1"/>
      <c r="F4666" s="1"/>
      <c r="G4666" s="1"/>
      <c r="H4666" s="1"/>
      <c r="I4666" s="2"/>
      <c r="J4666" s="1"/>
      <c r="K4666" s="1"/>
      <c r="L4666" s="1"/>
      <c r="M4666" s="1"/>
      <c r="N4666" s="1"/>
      <c r="O4666" s="1"/>
      <c r="P4666" s="1"/>
      <c r="Q4666" s="1"/>
      <c r="R4666" s="1"/>
      <c r="S4666" s="1"/>
      <c r="T4666" s="1"/>
      <c r="U4666" s="1"/>
      <c r="V4666" s="1"/>
      <c r="W4666" s="1"/>
      <c r="X4666" s="1"/>
    </row>
    <row x14ac:dyDescent="0.25" r="4667" customHeight="1" ht="18.75">
      <c r="A4667" s="1"/>
      <c r="B4667" s="1"/>
      <c r="C4667" s="1"/>
      <c r="D4667" s="1"/>
      <c r="E4667" s="1"/>
      <c r="F4667" s="1"/>
      <c r="G4667" s="1"/>
      <c r="H4667" s="1"/>
      <c r="I4667" s="2"/>
      <c r="J4667" s="1"/>
      <c r="K4667" s="1"/>
      <c r="L4667" s="1"/>
      <c r="M4667" s="1"/>
      <c r="N4667" s="1"/>
      <c r="O4667" s="1"/>
      <c r="P4667" s="1"/>
      <c r="Q4667" s="1"/>
      <c r="R4667" s="1"/>
      <c r="S4667" s="1"/>
      <c r="T4667" s="1"/>
      <c r="U4667" s="1"/>
      <c r="V4667" s="1"/>
      <c r="W4667" s="1"/>
      <c r="X4667" s="1"/>
    </row>
    <row x14ac:dyDescent="0.25" r="4668" customHeight="1" ht="18.75">
      <c r="A4668" s="1"/>
      <c r="B4668" s="1"/>
      <c r="C4668" s="1"/>
      <c r="D4668" s="1"/>
      <c r="E4668" s="1"/>
      <c r="F4668" s="1"/>
      <c r="G4668" s="1"/>
      <c r="H4668" s="1"/>
      <c r="I4668" s="2"/>
      <c r="J4668" s="1"/>
      <c r="K4668" s="1"/>
      <c r="L4668" s="1"/>
      <c r="M4668" s="1"/>
      <c r="N4668" s="1"/>
      <c r="O4668" s="1"/>
      <c r="P4668" s="1"/>
      <c r="Q4668" s="1"/>
      <c r="R4668" s="1"/>
      <c r="S4668" s="1"/>
      <c r="T4668" s="1"/>
      <c r="U4668" s="1"/>
      <c r="V4668" s="1"/>
      <c r="W4668" s="1"/>
      <c r="X4668" s="1"/>
    </row>
    <row x14ac:dyDescent="0.25" r="4669" customHeight="1" ht="18.75">
      <c r="A4669" s="1"/>
      <c r="B4669" s="1"/>
      <c r="C4669" s="1"/>
      <c r="D4669" s="1"/>
      <c r="E4669" s="1"/>
      <c r="F4669" s="1"/>
      <c r="G4669" s="1"/>
      <c r="H4669" s="1"/>
      <c r="I4669" s="2"/>
      <c r="J4669" s="1"/>
      <c r="K4669" s="1"/>
      <c r="L4669" s="1"/>
      <c r="M4669" s="1"/>
      <c r="N4669" s="1"/>
      <c r="O4669" s="1"/>
      <c r="P4669" s="1"/>
      <c r="Q4669" s="1"/>
      <c r="R4669" s="1"/>
      <c r="S4669" s="1"/>
      <c r="T4669" s="1"/>
      <c r="U4669" s="1"/>
      <c r="V4669" s="1"/>
      <c r="W4669" s="1"/>
      <c r="X4669" s="1"/>
    </row>
    <row x14ac:dyDescent="0.25" r="4670" customHeight="1" ht="18.75">
      <c r="A4670" s="1"/>
      <c r="B4670" s="1"/>
      <c r="C4670" s="1"/>
      <c r="D4670" s="1"/>
      <c r="E4670" s="1"/>
      <c r="F4670" s="1"/>
      <c r="G4670" s="1"/>
      <c r="H4670" s="1"/>
      <c r="I4670" s="2"/>
      <c r="J4670" s="1"/>
      <c r="K4670" s="1"/>
      <c r="L4670" s="1"/>
      <c r="M4670" s="1"/>
      <c r="N4670" s="1"/>
      <c r="O4670" s="1"/>
      <c r="P4670" s="1"/>
      <c r="Q4670" s="1"/>
      <c r="R4670" s="1"/>
      <c r="S4670" s="1"/>
      <c r="T4670" s="1"/>
      <c r="U4670" s="1"/>
      <c r="V4670" s="1"/>
      <c r="W4670" s="1"/>
      <c r="X4670" s="1"/>
    </row>
    <row x14ac:dyDescent="0.25" r="4671" customHeight="1" ht="18.75">
      <c r="A4671" s="1"/>
      <c r="B4671" s="1"/>
      <c r="C4671" s="1"/>
      <c r="D4671" s="1"/>
      <c r="E4671" s="1"/>
      <c r="F4671" s="1"/>
      <c r="G4671" s="1"/>
      <c r="H4671" s="1"/>
      <c r="I4671" s="2"/>
      <c r="J4671" s="1"/>
      <c r="K4671" s="1"/>
      <c r="L4671" s="1"/>
      <c r="M4671" s="1"/>
      <c r="N4671" s="1"/>
      <c r="O4671" s="1"/>
      <c r="P4671" s="1"/>
      <c r="Q4671" s="1"/>
      <c r="R4671" s="1"/>
      <c r="S4671" s="1"/>
      <c r="T4671" s="1"/>
      <c r="U4671" s="1"/>
      <c r="V4671" s="1"/>
      <c r="W4671" s="1"/>
      <c r="X4671" s="1"/>
    </row>
    <row x14ac:dyDescent="0.25" r="4672" customHeight="1" ht="18.75">
      <c r="A4672" s="1"/>
      <c r="B4672" s="1"/>
      <c r="C4672" s="1"/>
      <c r="D4672" s="1"/>
      <c r="E4672" s="1"/>
      <c r="F4672" s="1"/>
      <c r="G4672" s="1"/>
      <c r="H4672" s="1"/>
      <c r="I4672" s="2"/>
      <c r="J4672" s="1"/>
      <c r="K4672" s="1"/>
      <c r="L4672" s="1"/>
      <c r="M4672" s="1"/>
      <c r="N4672" s="1"/>
      <c r="O4672" s="1"/>
      <c r="P4672" s="1"/>
      <c r="Q4672" s="1"/>
      <c r="R4672" s="1"/>
      <c r="S4672" s="1"/>
      <c r="T4672" s="1"/>
      <c r="U4672" s="1"/>
      <c r="V4672" s="1"/>
      <c r="W4672" s="1"/>
      <c r="X4672" s="1"/>
    </row>
    <row x14ac:dyDescent="0.25" r="4673" customHeight="1" ht="18.75">
      <c r="A4673" s="1"/>
      <c r="B4673" s="1"/>
      <c r="C4673" s="1"/>
      <c r="D4673" s="1"/>
      <c r="E4673" s="1"/>
      <c r="F4673" s="1"/>
      <c r="G4673" s="1"/>
      <c r="H4673" s="1"/>
      <c r="I4673" s="2"/>
      <c r="J4673" s="1"/>
      <c r="K4673" s="1"/>
      <c r="L4673" s="1"/>
      <c r="M4673" s="1"/>
      <c r="N4673" s="1"/>
      <c r="O4673" s="1"/>
      <c r="P4673" s="1"/>
      <c r="Q4673" s="1"/>
      <c r="R4673" s="1"/>
      <c r="S4673" s="1"/>
      <c r="T4673" s="1"/>
      <c r="U4673" s="1"/>
      <c r="V4673" s="1"/>
      <c r="W4673" s="1"/>
      <c r="X4673" s="1"/>
    </row>
    <row x14ac:dyDescent="0.25" r="4674" customHeight="1" ht="18.75">
      <c r="A4674" s="1"/>
      <c r="B4674" s="1"/>
      <c r="C4674" s="1"/>
      <c r="D4674" s="1"/>
      <c r="E4674" s="1"/>
      <c r="F4674" s="1"/>
      <c r="G4674" s="1"/>
      <c r="H4674" s="1"/>
      <c r="I4674" s="2"/>
      <c r="J4674" s="1"/>
      <c r="K4674" s="1"/>
      <c r="L4674" s="1"/>
      <c r="M4674" s="1"/>
      <c r="N4674" s="1"/>
      <c r="O4674" s="1"/>
      <c r="P4674" s="1"/>
      <c r="Q4674" s="1"/>
      <c r="R4674" s="1"/>
      <c r="S4674" s="1"/>
      <c r="T4674" s="1"/>
      <c r="U4674" s="1"/>
      <c r="V4674" s="1"/>
      <c r="W4674" s="1"/>
      <c r="X4674" s="1"/>
    </row>
    <row x14ac:dyDescent="0.25" r="4675" customHeight="1" ht="18.75">
      <c r="A4675" s="1"/>
      <c r="B4675" s="1"/>
      <c r="C4675" s="1"/>
      <c r="D4675" s="1"/>
      <c r="E4675" s="1"/>
      <c r="F4675" s="1"/>
      <c r="G4675" s="1"/>
      <c r="H4675" s="1"/>
      <c r="I4675" s="2"/>
      <c r="J4675" s="1"/>
      <c r="K4675" s="1"/>
      <c r="L4675" s="1"/>
      <c r="M4675" s="1"/>
      <c r="N4675" s="1"/>
      <c r="O4675" s="1"/>
      <c r="P4675" s="1"/>
      <c r="Q4675" s="1"/>
      <c r="R4675" s="1"/>
      <c r="S4675" s="1"/>
      <c r="T4675" s="1"/>
      <c r="U4675" s="1"/>
      <c r="V4675" s="1"/>
      <c r="W4675" s="1"/>
      <c r="X4675" s="1"/>
    </row>
    <row x14ac:dyDescent="0.25" r="4676" customHeight="1" ht="18.75">
      <c r="A4676" s="1"/>
      <c r="B4676" s="1"/>
      <c r="C4676" s="1"/>
      <c r="D4676" s="1"/>
      <c r="E4676" s="1"/>
      <c r="F4676" s="1"/>
      <c r="G4676" s="1"/>
      <c r="H4676" s="1"/>
      <c r="I4676" s="2"/>
      <c r="J4676" s="1"/>
      <c r="K4676" s="1"/>
      <c r="L4676" s="1"/>
      <c r="M4676" s="1"/>
      <c r="N4676" s="1"/>
      <c r="O4676" s="1"/>
      <c r="P4676" s="1"/>
      <c r="Q4676" s="1"/>
      <c r="R4676" s="1"/>
      <c r="S4676" s="1"/>
      <c r="T4676" s="1"/>
      <c r="U4676" s="1"/>
      <c r="V4676" s="1"/>
      <c r="W4676" s="1"/>
      <c r="X4676" s="1"/>
    </row>
    <row x14ac:dyDescent="0.25" r="4677" customHeight="1" ht="18.75">
      <c r="A4677" s="1"/>
      <c r="B4677" s="1"/>
      <c r="C4677" s="1"/>
      <c r="D4677" s="1"/>
      <c r="E4677" s="1"/>
      <c r="F4677" s="1"/>
      <c r="G4677" s="1"/>
      <c r="H4677" s="1"/>
      <c r="I4677" s="2"/>
      <c r="J4677" s="1"/>
      <c r="K4677" s="1"/>
      <c r="L4677" s="1"/>
      <c r="M4677" s="1"/>
      <c r="N4677" s="1"/>
      <c r="O4677" s="1"/>
      <c r="P4677" s="1"/>
      <c r="Q4677" s="1"/>
      <c r="R4677" s="1"/>
      <c r="S4677" s="1"/>
      <c r="T4677" s="1"/>
      <c r="U4677" s="1"/>
      <c r="V4677" s="1"/>
      <c r="W4677" s="1"/>
      <c r="X4677" s="1"/>
    </row>
    <row x14ac:dyDescent="0.25" r="4678" customHeight="1" ht="18.75">
      <c r="A4678" s="1"/>
      <c r="B4678" s="1"/>
      <c r="C4678" s="1"/>
      <c r="D4678" s="1"/>
      <c r="E4678" s="1"/>
      <c r="F4678" s="1"/>
      <c r="G4678" s="1"/>
      <c r="H4678" s="1"/>
      <c r="I4678" s="2"/>
      <c r="J4678" s="1"/>
      <c r="K4678" s="1"/>
      <c r="L4678" s="1"/>
      <c r="M4678" s="1"/>
      <c r="N4678" s="1"/>
      <c r="O4678" s="1"/>
      <c r="P4678" s="1"/>
      <c r="Q4678" s="1"/>
      <c r="R4678" s="1"/>
      <c r="S4678" s="1"/>
      <c r="T4678" s="1"/>
      <c r="U4678" s="1"/>
      <c r="V4678" s="1"/>
      <c r="W4678" s="1"/>
      <c r="X4678" s="1"/>
    </row>
    <row x14ac:dyDescent="0.25" r="4679" customHeight="1" ht="18.75">
      <c r="A4679" s="1"/>
      <c r="B4679" s="1"/>
      <c r="C4679" s="1"/>
      <c r="D4679" s="1"/>
      <c r="E4679" s="1"/>
      <c r="F4679" s="1"/>
      <c r="G4679" s="1"/>
      <c r="H4679" s="1"/>
      <c r="I4679" s="2"/>
      <c r="J4679" s="1"/>
      <c r="K4679" s="1"/>
      <c r="L4679" s="1"/>
      <c r="M4679" s="1"/>
      <c r="N4679" s="1"/>
      <c r="O4679" s="1"/>
      <c r="P4679" s="1"/>
      <c r="Q4679" s="1"/>
      <c r="R4679" s="1"/>
      <c r="S4679" s="1"/>
      <c r="T4679" s="1"/>
      <c r="U4679" s="1"/>
      <c r="V4679" s="1"/>
      <c r="W4679" s="1"/>
      <c r="X4679" s="1"/>
    </row>
    <row x14ac:dyDescent="0.25" r="4680" customHeight="1" ht="18.75">
      <c r="A4680" s="1"/>
      <c r="B4680" s="1"/>
      <c r="C4680" s="1"/>
      <c r="D4680" s="1"/>
      <c r="E4680" s="1"/>
      <c r="F4680" s="1"/>
      <c r="G4680" s="1"/>
      <c r="H4680" s="1"/>
      <c r="I4680" s="2"/>
      <c r="J4680" s="1"/>
      <c r="K4680" s="1"/>
      <c r="L4680" s="1"/>
      <c r="M4680" s="1"/>
      <c r="N4680" s="1"/>
      <c r="O4680" s="1"/>
      <c r="P4680" s="1"/>
      <c r="Q4680" s="1"/>
      <c r="R4680" s="1"/>
      <c r="S4680" s="1"/>
      <c r="T4680" s="1"/>
      <c r="U4680" s="1"/>
      <c r="V4680" s="1"/>
      <c r="W4680" s="1"/>
      <c r="X4680" s="1"/>
    </row>
    <row x14ac:dyDescent="0.25" r="4681" customHeight="1" ht="18.75">
      <c r="A4681" s="1"/>
      <c r="B4681" s="1"/>
      <c r="C4681" s="1"/>
      <c r="D4681" s="1"/>
      <c r="E4681" s="1"/>
      <c r="F4681" s="1"/>
      <c r="G4681" s="1"/>
      <c r="H4681" s="1"/>
      <c r="I4681" s="2"/>
      <c r="J4681" s="1"/>
      <c r="K4681" s="1"/>
      <c r="L4681" s="1"/>
      <c r="M4681" s="1"/>
      <c r="N4681" s="1"/>
      <c r="O4681" s="1"/>
      <c r="P4681" s="1"/>
      <c r="Q4681" s="1"/>
      <c r="R4681" s="1"/>
      <c r="S4681" s="1"/>
      <c r="T4681" s="1"/>
      <c r="U4681" s="1"/>
      <c r="V4681" s="1"/>
      <c r="W4681" s="1"/>
      <c r="X4681" s="1"/>
    </row>
    <row x14ac:dyDescent="0.25" r="4682" customHeight="1" ht="18.75">
      <c r="A4682" s="1"/>
      <c r="B4682" s="1"/>
      <c r="C4682" s="1"/>
      <c r="D4682" s="1"/>
      <c r="E4682" s="1"/>
      <c r="F4682" s="1"/>
      <c r="G4682" s="1"/>
      <c r="H4682" s="1"/>
      <c r="I4682" s="2"/>
      <c r="J4682" s="1"/>
      <c r="K4682" s="1"/>
      <c r="L4682" s="1"/>
      <c r="M4682" s="1"/>
      <c r="N4682" s="1"/>
      <c r="O4682" s="1"/>
      <c r="P4682" s="1"/>
      <c r="Q4682" s="1"/>
      <c r="R4682" s="1"/>
      <c r="S4682" s="1"/>
      <c r="T4682" s="1"/>
      <c r="U4682" s="1"/>
      <c r="V4682" s="1"/>
      <c r="W4682" s="1"/>
      <c r="X4682" s="1"/>
    </row>
    <row x14ac:dyDescent="0.25" r="4683" customHeight="1" ht="18.75">
      <c r="A4683" s="1"/>
      <c r="B4683" s="1"/>
      <c r="C4683" s="1"/>
      <c r="D4683" s="1"/>
      <c r="E4683" s="1"/>
      <c r="F4683" s="1"/>
      <c r="G4683" s="1"/>
      <c r="H4683" s="1"/>
      <c r="I4683" s="2"/>
      <c r="J4683" s="1"/>
      <c r="K4683" s="1"/>
      <c r="L4683" s="1"/>
      <c r="M4683" s="1"/>
      <c r="N4683" s="1"/>
      <c r="O4683" s="1"/>
      <c r="P4683" s="1"/>
      <c r="Q4683" s="1"/>
      <c r="R4683" s="1"/>
      <c r="S4683" s="1"/>
      <c r="T4683" s="1"/>
      <c r="U4683" s="1"/>
      <c r="V4683" s="1"/>
      <c r="W4683" s="1"/>
      <c r="X4683" s="1"/>
    </row>
    <row x14ac:dyDescent="0.25" r="4684" customHeight="1" ht="18.75">
      <c r="A4684" s="1"/>
      <c r="B4684" s="1"/>
      <c r="C4684" s="1"/>
      <c r="D4684" s="1"/>
      <c r="E4684" s="1"/>
      <c r="F4684" s="1"/>
      <c r="G4684" s="1"/>
      <c r="H4684" s="1"/>
      <c r="I4684" s="2"/>
      <c r="J4684" s="1"/>
      <c r="K4684" s="1"/>
      <c r="L4684" s="1"/>
      <c r="M4684" s="1"/>
      <c r="N4684" s="1"/>
      <c r="O4684" s="1"/>
      <c r="P4684" s="1"/>
      <c r="Q4684" s="1"/>
      <c r="R4684" s="1"/>
      <c r="S4684" s="1"/>
      <c r="T4684" s="1"/>
      <c r="U4684" s="1"/>
      <c r="V4684" s="1"/>
      <c r="W4684" s="1"/>
      <c r="X4684" s="1"/>
    </row>
    <row x14ac:dyDescent="0.25" r="4685" customHeight="1" ht="18.75">
      <c r="A4685" s="1"/>
      <c r="B4685" s="1"/>
      <c r="C4685" s="1"/>
      <c r="D4685" s="1"/>
      <c r="E4685" s="1"/>
      <c r="F4685" s="1"/>
      <c r="G4685" s="1"/>
      <c r="H4685" s="1"/>
      <c r="I4685" s="2"/>
      <c r="J4685" s="1"/>
      <c r="K4685" s="1"/>
      <c r="L4685" s="1"/>
      <c r="M4685" s="1"/>
      <c r="N4685" s="1"/>
      <c r="O4685" s="1"/>
      <c r="P4685" s="1"/>
      <c r="Q4685" s="1"/>
      <c r="R4685" s="1"/>
      <c r="S4685" s="1"/>
      <c r="T4685" s="1"/>
      <c r="U4685" s="1"/>
      <c r="V4685" s="1"/>
      <c r="W4685" s="1"/>
      <c r="X4685" s="1"/>
    </row>
    <row x14ac:dyDescent="0.25" r="4686" customHeight="1" ht="18.75">
      <c r="A4686" s="1"/>
      <c r="B4686" s="1"/>
      <c r="C4686" s="1"/>
      <c r="D4686" s="1"/>
      <c r="E4686" s="1"/>
      <c r="F4686" s="1"/>
      <c r="G4686" s="1"/>
      <c r="H4686" s="1"/>
      <c r="I4686" s="2"/>
      <c r="J4686" s="1"/>
      <c r="K4686" s="1"/>
      <c r="L4686" s="1"/>
      <c r="M4686" s="1"/>
      <c r="N4686" s="1"/>
      <c r="O4686" s="1"/>
      <c r="P4686" s="1"/>
      <c r="Q4686" s="1"/>
      <c r="R4686" s="1"/>
      <c r="S4686" s="1"/>
      <c r="T4686" s="1"/>
      <c r="U4686" s="1"/>
      <c r="V4686" s="1"/>
      <c r="W4686" s="1"/>
      <c r="X4686" s="1"/>
    </row>
    <row x14ac:dyDescent="0.25" r="4687" customHeight="1" ht="18.75">
      <c r="A4687" s="1"/>
      <c r="B4687" s="1"/>
      <c r="C4687" s="1"/>
      <c r="D4687" s="1"/>
      <c r="E4687" s="1"/>
      <c r="F4687" s="1"/>
      <c r="G4687" s="1"/>
      <c r="H4687" s="1"/>
      <c r="I4687" s="2"/>
      <c r="J4687" s="1"/>
      <c r="K4687" s="1"/>
      <c r="L4687" s="1"/>
      <c r="M4687" s="1"/>
      <c r="N4687" s="1"/>
      <c r="O4687" s="1"/>
      <c r="P4687" s="1"/>
      <c r="Q4687" s="1"/>
      <c r="R4687" s="1"/>
      <c r="S4687" s="1"/>
      <c r="T4687" s="1"/>
      <c r="U4687" s="1"/>
      <c r="V4687" s="1"/>
      <c r="W4687" s="1"/>
      <c r="X4687" s="1"/>
    </row>
    <row x14ac:dyDescent="0.25" r="4688" customHeight="1" ht="18.75">
      <c r="A4688" s="1"/>
      <c r="B4688" s="1"/>
      <c r="C4688" s="1"/>
      <c r="D4688" s="1"/>
      <c r="E4688" s="1"/>
      <c r="F4688" s="1"/>
      <c r="G4688" s="1"/>
      <c r="H4688" s="1"/>
      <c r="I4688" s="2"/>
      <c r="J4688" s="1"/>
      <c r="K4688" s="1"/>
      <c r="L4688" s="1"/>
      <c r="M4688" s="1"/>
      <c r="N4688" s="1"/>
      <c r="O4688" s="1"/>
      <c r="P4688" s="1"/>
      <c r="Q4688" s="1"/>
      <c r="R4688" s="1"/>
      <c r="S4688" s="1"/>
      <c r="T4688" s="1"/>
      <c r="U4688" s="1"/>
      <c r="V4688" s="1"/>
      <c r="W4688" s="1"/>
      <c r="X4688" s="1"/>
    </row>
    <row x14ac:dyDescent="0.25" r="4689" customHeight="1" ht="18.75">
      <c r="A4689" s="1"/>
      <c r="B4689" s="1"/>
      <c r="C4689" s="1"/>
      <c r="D4689" s="1"/>
      <c r="E4689" s="1"/>
      <c r="F4689" s="1"/>
      <c r="G4689" s="1"/>
      <c r="H4689" s="1"/>
      <c r="I4689" s="2"/>
      <c r="J4689" s="1"/>
      <c r="K4689" s="1"/>
      <c r="L4689" s="1"/>
      <c r="M4689" s="1"/>
      <c r="N4689" s="1"/>
      <c r="O4689" s="1"/>
      <c r="P4689" s="1"/>
      <c r="Q4689" s="1"/>
      <c r="R4689" s="1"/>
      <c r="S4689" s="1"/>
      <c r="T4689" s="1"/>
      <c r="U4689" s="1"/>
      <c r="V4689" s="1"/>
      <c r="W4689" s="1"/>
      <c r="X4689" s="1"/>
    </row>
    <row x14ac:dyDescent="0.25" r="4690" customHeight="1" ht="18.75">
      <c r="A4690" s="1"/>
      <c r="B4690" s="1"/>
      <c r="C4690" s="1"/>
      <c r="D4690" s="1"/>
      <c r="E4690" s="1"/>
      <c r="F4690" s="1"/>
      <c r="G4690" s="1"/>
      <c r="H4690" s="1"/>
      <c r="I4690" s="2"/>
      <c r="J4690" s="1"/>
      <c r="K4690" s="1"/>
      <c r="L4690" s="1"/>
      <c r="M4690" s="1"/>
      <c r="N4690" s="1"/>
      <c r="O4690" s="1"/>
      <c r="P4690" s="1"/>
      <c r="Q4690" s="1"/>
      <c r="R4690" s="1"/>
      <c r="S4690" s="1"/>
      <c r="T4690" s="1"/>
      <c r="U4690" s="1"/>
      <c r="V4690" s="1"/>
      <c r="W4690" s="1"/>
      <c r="X4690" s="1"/>
    </row>
    <row x14ac:dyDescent="0.25" r="4691" customHeight="1" ht="18.75">
      <c r="A4691" s="1"/>
      <c r="B4691" s="1"/>
      <c r="C4691" s="1"/>
      <c r="D4691" s="1"/>
      <c r="E4691" s="1"/>
      <c r="F4691" s="1"/>
      <c r="G4691" s="1"/>
      <c r="H4691" s="1"/>
      <c r="I4691" s="2"/>
      <c r="J4691" s="1"/>
      <c r="K4691" s="1"/>
      <c r="L4691" s="1"/>
      <c r="M4691" s="1"/>
      <c r="N4691" s="1"/>
      <c r="O4691" s="1"/>
      <c r="P4691" s="1"/>
      <c r="Q4691" s="1"/>
      <c r="R4691" s="1"/>
      <c r="S4691" s="1"/>
      <c r="T4691" s="1"/>
      <c r="U4691" s="1"/>
      <c r="V4691" s="1"/>
      <c r="W4691" s="1"/>
      <c r="X4691" s="1"/>
    </row>
    <row x14ac:dyDescent="0.25" r="4692" customHeight="1" ht="18.75">
      <c r="A4692" s="1"/>
      <c r="B4692" s="1"/>
      <c r="C4692" s="1"/>
      <c r="D4692" s="1"/>
      <c r="E4692" s="1"/>
      <c r="F4692" s="1"/>
      <c r="G4692" s="1"/>
      <c r="H4692" s="1"/>
      <c r="I4692" s="2"/>
      <c r="J4692" s="1"/>
      <c r="K4692" s="1"/>
      <c r="L4692" s="1"/>
      <c r="M4692" s="1"/>
      <c r="N4692" s="1"/>
      <c r="O4692" s="1"/>
      <c r="P4692" s="1"/>
      <c r="Q4692" s="1"/>
      <c r="R4692" s="1"/>
      <c r="S4692" s="1"/>
      <c r="T4692" s="1"/>
      <c r="U4692" s="1"/>
      <c r="V4692" s="1"/>
      <c r="W4692" s="1"/>
      <c r="X4692" s="1"/>
    </row>
    <row x14ac:dyDescent="0.25" r="4693" customHeight="1" ht="18.75">
      <c r="A4693" s="1"/>
      <c r="B4693" s="1"/>
      <c r="C4693" s="1"/>
      <c r="D4693" s="1"/>
      <c r="E4693" s="1"/>
      <c r="F4693" s="1"/>
      <c r="G4693" s="1"/>
      <c r="H4693" s="1"/>
      <c r="I4693" s="2"/>
      <c r="J4693" s="1"/>
      <c r="K4693" s="1"/>
      <c r="L4693" s="1"/>
      <c r="M4693" s="1"/>
      <c r="N4693" s="1"/>
      <c r="O4693" s="1"/>
      <c r="P4693" s="1"/>
      <c r="Q4693" s="1"/>
      <c r="R4693" s="1"/>
      <c r="S4693" s="1"/>
      <c r="T4693" s="1"/>
      <c r="U4693" s="1"/>
      <c r="V4693" s="1"/>
      <c r="W4693" s="1"/>
      <c r="X4693" s="1"/>
    </row>
    <row x14ac:dyDescent="0.25" r="4694" customHeight="1" ht="18.75">
      <c r="A4694" s="1"/>
      <c r="B4694" s="1"/>
      <c r="C4694" s="1"/>
      <c r="D4694" s="1"/>
      <c r="E4694" s="1"/>
      <c r="F4694" s="1"/>
      <c r="G4694" s="1"/>
      <c r="H4694" s="1"/>
      <c r="I4694" s="2"/>
      <c r="J4694" s="1"/>
      <c r="K4694" s="1"/>
      <c r="L4694" s="1"/>
      <c r="M4694" s="1"/>
      <c r="N4694" s="1"/>
      <c r="O4694" s="1"/>
      <c r="P4694" s="1"/>
      <c r="Q4694" s="1"/>
      <c r="R4694" s="1"/>
      <c r="S4694" s="1"/>
      <c r="T4694" s="1"/>
      <c r="U4694" s="1"/>
      <c r="V4694" s="1"/>
      <c r="W4694" s="1"/>
      <c r="X4694" s="1"/>
    </row>
    <row x14ac:dyDescent="0.25" r="4695" customHeight="1" ht="18.75">
      <c r="A4695" s="1"/>
      <c r="B4695" s="1"/>
      <c r="C4695" s="1"/>
      <c r="D4695" s="1"/>
      <c r="E4695" s="1"/>
      <c r="F4695" s="1"/>
      <c r="G4695" s="1"/>
      <c r="H4695" s="1"/>
      <c r="I4695" s="2"/>
      <c r="J4695" s="1"/>
      <c r="K4695" s="1"/>
      <c r="L4695" s="1"/>
      <c r="M4695" s="1"/>
      <c r="N4695" s="1"/>
      <c r="O4695" s="1"/>
      <c r="P4695" s="1"/>
      <c r="Q4695" s="1"/>
      <c r="R4695" s="1"/>
      <c r="S4695" s="1"/>
      <c r="T4695" s="1"/>
      <c r="U4695" s="1"/>
      <c r="V4695" s="1"/>
      <c r="W4695" s="1"/>
      <c r="X4695" s="1"/>
    </row>
    <row x14ac:dyDescent="0.25" r="4696" customHeight="1" ht="18.75">
      <c r="A4696" s="1"/>
      <c r="B4696" s="1"/>
      <c r="C4696" s="1"/>
      <c r="D4696" s="1"/>
      <c r="E4696" s="1"/>
      <c r="F4696" s="1"/>
      <c r="G4696" s="1"/>
      <c r="H4696" s="1"/>
      <c r="I4696" s="2"/>
      <c r="J4696" s="1"/>
      <c r="K4696" s="1"/>
      <c r="L4696" s="1"/>
      <c r="M4696" s="1"/>
      <c r="N4696" s="1"/>
      <c r="O4696" s="1"/>
      <c r="P4696" s="1"/>
      <c r="Q4696" s="1"/>
      <c r="R4696" s="1"/>
      <c r="S4696" s="1"/>
      <c r="T4696" s="1"/>
      <c r="U4696" s="1"/>
      <c r="V4696" s="1"/>
      <c r="W4696" s="1"/>
      <c r="X4696" s="1"/>
    </row>
    <row x14ac:dyDescent="0.25" r="4697" customHeight="1" ht="18.75">
      <c r="A4697" s="1"/>
      <c r="B4697" s="1"/>
      <c r="C4697" s="1"/>
      <c r="D4697" s="1"/>
      <c r="E4697" s="1"/>
      <c r="F4697" s="1"/>
      <c r="G4697" s="1"/>
      <c r="H4697" s="1"/>
      <c r="I4697" s="2"/>
      <c r="J4697" s="1"/>
      <c r="K4697" s="1"/>
      <c r="L4697" s="1"/>
      <c r="M4697" s="1"/>
      <c r="N4697" s="1"/>
      <c r="O4697" s="1"/>
      <c r="P4697" s="1"/>
      <c r="Q4697" s="1"/>
      <c r="R4697" s="1"/>
      <c r="S4697" s="1"/>
      <c r="T4697" s="1"/>
      <c r="U4697" s="1"/>
      <c r="V4697" s="1"/>
      <c r="W4697" s="1"/>
      <c r="X4697" s="1"/>
    </row>
    <row x14ac:dyDescent="0.25" r="4698" customHeight="1" ht="18.75">
      <c r="A4698" s="1"/>
      <c r="B4698" s="1"/>
      <c r="C4698" s="1"/>
      <c r="D4698" s="1"/>
      <c r="E4698" s="1"/>
      <c r="F4698" s="1"/>
      <c r="G4698" s="1"/>
      <c r="H4698" s="1"/>
      <c r="I4698" s="2"/>
      <c r="J4698" s="1"/>
      <c r="K4698" s="1"/>
      <c r="L4698" s="1"/>
      <c r="M4698" s="1"/>
      <c r="N4698" s="1"/>
      <c r="O4698" s="1"/>
      <c r="P4698" s="1"/>
      <c r="Q4698" s="1"/>
      <c r="R4698" s="1"/>
      <c r="S4698" s="1"/>
      <c r="T4698" s="1"/>
      <c r="U4698" s="1"/>
      <c r="V4698" s="1"/>
      <c r="W4698" s="1"/>
      <c r="X4698" s="1"/>
    </row>
    <row x14ac:dyDescent="0.25" r="4699" customHeight="1" ht="18.75">
      <c r="A4699" s="1"/>
      <c r="B4699" s="1"/>
      <c r="C4699" s="1"/>
      <c r="D4699" s="1"/>
      <c r="E4699" s="1"/>
      <c r="F4699" s="1"/>
      <c r="G4699" s="1"/>
      <c r="H4699" s="1"/>
      <c r="I4699" s="2"/>
      <c r="J4699" s="1"/>
      <c r="K4699" s="1"/>
      <c r="L4699" s="1"/>
      <c r="M4699" s="1"/>
      <c r="N4699" s="1"/>
      <c r="O4699" s="1"/>
      <c r="P4699" s="1"/>
      <c r="Q4699" s="1"/>
      <c r="R4699" s="1"/>
      <c r="S4699" s="1"/>
      <c r="T4699" s="1"/>
      <c r="U4699" s="1"/>
      <c r="V4699" s="1"/>
      <c r="W4699" s="1"/>
      <c r="X4699" s="1"/>
    </row>
    <row x14ac:dyDescent="0.25" r="4700" customHeight="1" ht="18.75">
      <c r="A4700" s="1"/>
      <c r="B4700" s="1"/>
      <c r="C4700" s="1"/>
      <c r="D4700" s="1"/>
      <c r="E4700" s="1"/>
      <c r="F4700" s="1"/>
      <c r="G4700" s="1"/>
      <c r="H4700" s="1"/>
      <c r="I4700" s="2"/>
      <c r="J4700" s="1"/>
      <c r="K4700" s="1"/>
      <c r="L4700" s="1"/>
      <c r="M4700" s="1"/>
      <c r="N4700" s="1"/>
      <c r="O4700" s="1"/>
      <c r="P4700" s="1"/>
      <c r="Q4700" s="1"/>
      <c r="R4700" s="1"/>
      <c r="S4700" s="1"/>
      <c r="T4700" s="1"/>
      <c r="U4700" s="1"/>
      <c r="V4700" s="1"/>
      <c r="W4700" s="1"/>
      <c r="X4700" s="1"/>
    </row>
    <row x14ac:dyDescent="0.25" r="4701" customHeight="1" ht="18.75">
      <c r="A4701" s="1"/>
      <c r="B4701" s="1"/>
      <c r="C4701" s="1"/>
      <c r="D4701" s="1"/>
      <c r="E4701" s="1"/>
      <c r="F4701" s="1"/>
      <c r="G4701" s="1"/>
      <c r="H4701" s="1"/>
      <c r="I4701" s="2"/>
      <c r="J4701" s="1"/>
      <c r="K4701" s="1"/>
      <c r="L4701" s="1"/>
      <c r="M4701" s="1"/>
      <c r="N4701" s="1"/>
      <c r="O4701" s="1"/>
      <c r="P4701" s="1"/>
      <c r="Q4701" s="1"/>
      <c r="R4701" s="1"/>
      <c r="S4701" s="1"/>
      <c r="T4701" s="1"/>
      <c r="U4701" s="1"/>
      <c r="V4701" s="1"/>
      <c r="W4701" s="1"/>
      <c r="X4701" s="1"/>
    </row>
    <row x14ac:dyDescent="0.25" r="4702" customHeight="1" ht="18.75">
      <c r="A4702" s="1"/>
      <c r="B4702" s="1"/>
      <c r="C4702" s="1"/>
      <c r="D4702" s="1"/>
      <c r="E4702" s="1"/>
      <c r="F4702" s="1"/>
      <c r="G4702" s="1"/>
      <c r="H4702" s="1"/>
      <c r="I4702" s="2"/>
      <c r="J4702" s="1"/>
      <c r="K4702" s="1"/>
      <c r="L4702" s="1"/>
      <c r="M4702" s="1"/>
      <c r="N4702" s="1"/>
      <c r="O4702" s="1"/>
      <c r="P4702" s="1"/>
      <c r="Q4702" s="1"/>
      <c r="R4702" s="1"/>
      <c r="S4702" s="1"/>
      <c r="T4702" s="1"/>
      <c r="U4702" s="1"/>
      <c r="V4702" s="1"/>
      <c r="W4702" s="1"/>
      <c r="X4702" s="1"/>
    </row>
    <row x14ac:dyDescent="0.25" r="4703" customHeight="1" ht="18.75">
      <c r="A4703" s="1"/>
      <c r="B4703" s="1"/>
      <c r="C4703" s="1"/>
      <c r="D4703" s="1"/>
      <c r="E4703" s="1"/>
      <c r="F4703" s="1"/>
      <c r="G4703" s="1"/>
      <c r="H4703" s="1"/>
      <c r="I4703" s="2"/>
      <c r="J4703" s="1"/>
      <c r="K4703" s="1"/>
      <c r="L4703" s="1"/>
      <c r="M4703" s="1"/>
      <c r="N4703" s="1"/>
      <c r="O4703" s="1"/>
      <c r="P4703" s="1"/>
      <c r="Q4703" s="1"/>
      <c r="R4703" s="1"/>
      <c r="S4703" s="1"/>
      <c r="T4703" s="1"/>
      <c r="U4703" s="1"/>
      <c r="V4703" s="1"/>
      <c r="W4703" s="1"/>
      <c r="X4703" s="1"/>
    </row>
    <row x14ac:dyDescent="0.25" r="4704" customHeight="1" ht="18.75">
      <c r="A4704" s="1"/>
      <c r="B4704" s="1"/>
      <c r="C4704" s="1"/>
      <c r="D4704" s="1"/>
      <c r="E4704" s="1"/>
      <c r="F4704" s="1"/>
      <c r="G4704" s="1"/>
      <c r="H4704" s="1"/>
      <c r="I4704" s="2"/>
      <c r="J4704" s="1"/>
      <c r="K4704" s="1"/>
      <c r="L4704" s="1"/>
      <c r="M4704" s="1"/>
      <c r="N4704" s="1"/>
      <c r="O4704" s="1"/>
      <c r="P4704" s="1"/>
      <c r="Q4704" s="1"/>
      <c r="R4704" s="1"/>
      <c r="S4704" s="1"/>
      <c r="T4704" s="1"/>
      <c r="U4704" s="1"/>
      <c r="V4704" s="1"/>
      <c r="W4704" s="1"/>
      <c r="X4704" s="1"/>
    </row>
    <row x14ac:dyDescent="0.25" r="4705" customHeight="1" ht="18.75">
      <c r="A4705" s="1"/>
      <c r="B4705" s="1"/>
      <c r="C4705" s="1"/>
      <c r="D4705" s="1"/>
      <c r="E4705" s="1"/>
      <c r="F4705" s="1"/>
      <c r="G4705" s="1"/>
      <c r="H4705" s="1"/>
      <c r="I4705" s="2"/>
      <c r="J4705" s="1"/>
      <c r="K4705" s="1"/>
      <c r="L4705" s="1"/>
      <c r="M4705" s="1"/>
      <c r="N4705" s="1"/>
      <c r="O4705" s="1"/>
      <c r="P4705" s="1"/>
      <c r="Q4705" s="1"/>
      <c r="R4705" s="1"/>
      <c r="S4705" s="1"/>
      <c r="T4705" s="1"/>
      <c r="U4705" s="1"/>
      <c r="V4705" s="1"/>
      <c r="W4705" s="1"/>
      <c r="X4705" s="1"/>
    </row>
    <row x14ac:dyDescent="0.25" r="4706" customHeight="1" ht="18.75">
      <c r="A4706" s="1"/>
      <c r="B4706" s="1"/>
      <c r="C4706" s="1"/>
      <c r="D4706" s="1"/>
      <c r="E4706" s="1"/>
      <c r="F4706" s="1"/>
      <c r="G4706" s="1"/>
      <c r="H4706" s="1"/>
      <c r="I4706" s="2"/>
      <c r="J4706" s="1"/>
      <c r="K4706" s="1"/>
      <c r="L4706" s="1"/>
      <c r="M4706" s="1"/>
      <c r="N4706" s="1"/>
      <c r="O4706" s="1"/>
      <c r="P4706" s="1"/>
      <c r="Q4706" s="1"/>
      <c r="R4706" s="1"/>
      <c r="S4706" s="1"/>
      <c r="T4706" s="1"/>
      <c r="U4706" s="1"/>
      <c r="V4706" s="1"/>
      <c r="W4706" s="1"/>
      <c r="X4706" s="1"/>
    </row>
    <row x14ac:dyDescent="0.25" r="4707" customHeight="1" ht="18.75">
      <c r="A4707" s="1"/>
      <c r="B4707" s="1"/>
      <c r="C4707" s="1"/>
      <c r="D4707" s="1"/>
      <c r="E4707" s="1"/>
      <c r="F4707" s="1"/>
      <c r="G4707" s="1"/>
      <c r="H4707" s="1"/>
      <c r="I4707" s="2"/>
      <c r="J4707" s="1"/>
      <c r="K4707" s="1"/>
      <c r="L4707" s="1"/>
      <c r="M4707" s="1"/>
      <c r="N4707" s="1"/>
      <c r="O4707" s="1"/>
      <c r="P4707" s="1"/>
      <c r="Q4707" s="1"/>
      <c r="R4707" s="1"/>
      <c r="S4707" s="1"/>
      <c r="T4707" s="1"/>
      <c r="U4707" s="1"/>
      <c r="V4707" s="1"/>
      <c r="W4707" s="1"/>
      <c r="X4707" s="1"/>
    </row>
    <row x14ac:dyDescent="0.25" r="4708" customHeight="1" ht="18.75">
      <c r="A4708" s="1"/>
      <c r="B4708" s="1"/>
      <c r="C4708" s="1"/>
      <c r="D4708" s="1"/>
      <c r="E4708" s="1"/>
      <c r="F4708" s="1"/>
      <c r="G4708" s="1"/>
      <c r="H4708" s="1"/>
      <c r="I4708" s="2"/>
      <c r="J4708" s="1"/>
      <c r="K4708" s="1"/>
      <c r="L4708" s="1"/>
      <c r="M4708" s="1"/>
      <c r="N4708" s="1"/>
      <c r="O4708" s="1"/>
      <c r="P4708" s="1"/>
      <c r="Q4708" s="1"/>
      <c r="R4708" s="1"/>
      <c r="S4708" s="1"/>
      <c r="T4708" s="1"/>
      <c r="U4708" s="1"/>
      <c r="V4708" s="1"/>
      <c r="W4708" s="1"/>
      <c r="X4708" s="1"/>
    </row>
    <row x14ac:dyDescent="0.25" r="4709" customHeight="1" ht="18.75">
      <c r="A4709" s="1"/>
      <c r="B4709" s="1"/>
      <c r="C4709" s="1"/>
      <c r="D4709" s="1"/>
      <c r="E4709" s="1"/>
      <c r="F4709" s="1"/>
      <c r="G4709" s="1"/>
      <c r="H4709" s="1"/>
      <c r="I4709" s="2"/>
      <c r="J4709" s="1"/>
      <c r="K4709" s="1"/>
      <c r="L4709" s="1"/>
      <c r="M4709" s="1"/>
      <c r="N4709" s="1"/>
      <c r="O4709" s="1"/>
      <c r="P4709" s="1"/>
      <c r="Q4709" s="1"/>
      <c r="R4709" s="1"/>
      <c r="S4709" s="1"/>
      <c r="T4709" s="1"/>
      <c r="U4709" s="1"/>
      <c r="V4709" s="1"/>
      <c r="W4709" s="1"/>
      <c r="X4709" s="1"/>
    </row>
    <row x14ac:dyDescent="0.25" r="4710" customHeight="1" ht="18.75">
      <c r="A4710" s="1"/>
      <c r="B4710" s="1"/>
      <c r="C4710" s="1"/>
      <c r="D4710" s="1"/>
      <c r="E4710" s="1"/>
      <c r="F4710" s="1"/>
      <c r="G4710" s="1"/>
      <c r="H4710" s="1"/>
      <c r="I4710" s="2"/>
      <c r="J4710" s="1"/>
      <c r="K4710" s="1"/>
      <c r="L4710" s="1"/>
      <c r="M4710" s="1"/>
      <c r="N4710" s="1"/>
      <c r="O4710" s="1"/>
      <c r="P4710" s="1"/>
      <c r="Q4710" s="1"/>
      <c r="R4710" s="1"/>
      <c r="S4710" s="1"/>
      <c r="T4710" s="1"/>
      <c r="U4710" s="1"/>
      <c r="V4710" s="1"/>
      <c r="W4710" s="1"/>
      <c r="X4710" s="1"/>
    </row>
    <row x14ac:dyDescent="0.25" r="4711" customHeight="1" ht="18.75">
      <c r="A4711" s="1"/>
      <c r="B4711" s="1"/>
      <c r="C4711" s="1"/>
      <c r="D4711" s="1"/>
      <c r="E4711" s="1"/>
      <c r="F4711" s="1"/>
      <c r="G4711" s="1"/>
      <c r="H4711" s="1"/>
      <c r="I4711" s="2"/>
      <c r="J4711" s="1"/>
      <c r="K4711" s="1"/>
      <c r="L4711" s="1"/>
      <c r="M4711" s="1"/>
      <c r="N4711" s="1"/>
      <c r="O4711" s="1"/>
      <c r="P4711" s="1"/>
      <c r="Q4711" s="1"/>
      <c r="R4711" s="1"/>
      <c r="S4711" s="1"/>
      <c r="T4711" s="1"/>
      <c r="U4711" s="1"/>
      <c r="V4711" s="1"/>
      <c r="W4711" s="1"/>
      <c r="X4711" s="1"/>
    </row>
    <row x14ac:dyDescent="0.25" r="4712" customHeight="1" ht="18.75">
      <c r="A4712" s="1"/>
      <c r="B4712" s="1"/>
      <c r="C4712" s="1"/>
      <c r="D4712" s="1"/>
      <c r="E4712" s="1"/>
      <c r="F4712" s="1"/>
      <c r="G4712" s="1"/>
      <c r="H4712" s="1"/>
      <c r="I4712" s="2"/>
      <c r="J4712" s="1"/>
      <c r="K4712" s="1"/>
      <c r="L4712" s="1"/>
      <c r="M4712" s="1"/>
      <c r="N4712" s="1"/>
      <c r="O4712" s="1"/>
      <c r="P4712" s="1"/>
      <c r="Q4712" s="1"/>
      <c r="R4712" s="1"/>
      <c r="S4712" s="1"/>
      <c r="T4712" s="1"/>
      <c r="U4712" s="1"/>
      <c r="V4712" s="1"/>
      <c r="W4712" s="1"/>
      <c r="X4712" s="1"/>
    </row>
    <row x14ac:dyDescent="0.25" r="4713" customHeight="1" ht="18.75">
      <c r="A4713" s="1"/>
      <c r="B4713" s="1"/>
      <c r="C4713" s="1"/>
      <c r="D4713" s="1"/>
      <c r="E4713" s="1"/>
      <c r="F4713" s="1"/>
      <c r="G4713" s="1"/>
      <c r="H4713" s="1"/>
      <c r="I4713" s="2"/>
      <c r="J4713" s="1"/>
      <c r="K4713" s="1"/>
      <c r="L4713" s="1"/>
      <c r="M4713" s="1"/>
      <c r="N4713" s="1"/>
      <c r="O4713" s="1"/>
      <c r="P4713" s="1"/>
      <c r="Q4713" s="1"/>
      <c r="R4713" s="1"/>
      <c r="S4713" s="1"/>
      <c r="T4713" s="1"/>
      <c r="U4713" s="1"/>
      <c r="V4713" s="1"/>
      <c r="W4713" s="1"/>
      <c r="X4713" s="1"/>
    </row>
    <row x14ac:dyDescent="0.25" r="4714" customHeight="1" ht="18.75">
      <c r="A4714" s="1"/>
      <c r="B4714" s="1"/>
      <c r="C4714" s="1"/>
      <c r="D4714" s="1"/>
      <c r="E4714" s="1"/>
      <c r="F4714" s="1"/>
      <c r="G4714" s="1"/>
      <c r="H4714" s="1"/>
      <c r="I4714" s="2"/>
      <c r="J4714" s="1"/>
      <c r="K4714" s="1"/>
      <c r="L4714" s="1"/>
      <c r="M4714" s="1"/>
      <c r="N4714" s="1"/>
      <c r="O4714" s="1"/>
      <c r="P4714" s="1"/>
      <c r="Q4714" s="1"/>
      <c r="R4714" s="1"/>
      <c r="S4714" s="1"/>
      <c r="T4714" s="1"/>
      <c r="U4714" s="1"/>
      <c r="V4714" s="1"/>
      <c r="W4714" s="1"/>
      <c r="X4714" s="1"/>
    </row>
    <row x14ac:dyDescent="0.25" r="4715" customHeight="1" ht="18.75">
      <c r="A4715" s="1"/>
      <c r="B4715" s="1"/>
      <c r="C4715" s="1"/>
      <c r="D4715" s="1"/>
      <c r="E4715" s="1"/>
      <c r="F4715" s="1"/>
      <c r="G4715" s="1"/>
      <c r="H4715" s="1"/>
      <c r="I4715" s="2"/>
      <c r="J4715" s="1"/>
      <c r="K4715" s="1"/>
      <c r="L4715" s="1"/>
      <c r="M4715" s="1"/>
      <c r="N4715" s="1"/>
      <c r="O4715" s="1"/>
      <c r="P4715" s="1"/>
      <c r="Q4715" s="1"/>
      <c r="R4715" s="1"/>
      <c r="S4715" s="1"/>
      <c r="T4715" s="1"/>
      <c r="U4715" s="1"/>
      <c r="V4715" s="1"/>
      <c r="W4715" s="1"/>
      <c r="X4715" s="1"/>
    </row>
    <row x14ac:dyDescent="0.25" r="4716" customHeight="1" ht="18.75">
      <c r="A4716" s="1"/>
      <c r="B4716" s="1"/>
      <c r="C4716" s="1"/>
      <c r="D4716" s="1"/>
      <c r="E4716" s="1"/>
      <c r="F4716" s="1"/>
      <c r="G4716" s="1"/>
      <c r="H4716" s="1"/>
      <c r="I4716" s="2"/>
      <c r="J4716" s="1"/>
      <c r="K4716" s="1"/>
      <c r="L4716" s="1"/>
      <c r="M4716" s="1"/>
      <c r="N4716" s="1"/>
      <c r="O4716" s="1"/>
      <c r="P4716" s="1"/>
      <c r="Q4716" s="1"/>
      <c r="R4716" s="1"/>
      <c r="S4716" s="1"/>
      <c r="T4716" s="1"/>
      <c r="U4716" s="1"/>
      <c r="V4716" s="1"/>
      <c r="W4716" s="1"/>
      <c r="X4716" s="1"/>
    </row>
    <row x14ac:dyDescent="0.25" r="4717" customHeight="1" ht="18.75">
      <c r="A4717" s="1"/>
      <c r="B4717" s="1"/>
      <c r="C4717" s="1"/>
      <c r="D4717" s="1"/>
      <c r="E4717" s="1"/>
      <c r="F4717" s="1"/>
      <c r="G4717" s="1"/>
      <c r="H4717" s="1"/>
      <c r="I4717" s="2"/>
      <c r="J4717" s="1"/>
      <c r="K4717" s="1"/>
      <c r="L4717" s="1"/>
      <c r="M4717" s="1"/>
      <c r="N4717" s="1"/>
      <c r="O4717" s="1"/>
      <c r="P4717" s="1"/>
      <c r="Q4717" s="1"/>
      <c r="R4717" s="1"/>
      <c r="S4717" s="1"/>
      <c r="T4717" s="1"/>
      <c r="U4717" s="1"/>
      <c r="V4717" s="1"/>
      <c r="W4717" s="1"/>
      <c r="X4717" s="1"/>
    </row>
    <row x14ac:dyDescent="0.25" r="4718" customHeight="1" ht="18.75">
      <c r="A4718" s="1"/>
      <c r="B4718" s="1"/>
      <c r="C4718" s="1"/>
      <c r="D4718" s="1"/>
      <c r="E4718" s="1"/>
      <c r="F4718" s="1"/>
      <c r="G4718" s="1"/>
      <c r="H4718" s="1"/>
      <c r="I4718" s="2"/>
      <c r="J4718" s="1"/>
      <c r="K4718" s="1"/>
      <c r="L4718" s="1"/>
      <c r="M4718" s="1"/>
      <c r="N4718" s="1"/>
      <c r="O4718" s="1"/>
      <c r="P4718" s="1"/>
      <c r="Q4718" s="1"/>
      <c r="R4718" s="1"/>
      <c r="S4718" s="1"/>
      <c r="T4718" s="1"/>
      <c r="U4718" s="1"/>
      <c r="V4718" s="1"/>
      <c r="W4718" s="1"/>
      <c r="X4718" s="1"/>
    </row>
    <row x14ac:dyDescent="0.25" r="4719" customHeight="1" ht="18.75">
      <c r="A4719" s="1"/>
      <c r="B4719" s="1"/>
      <c r="C4719" s="1"/>
      <c r="D4719" s="1"/>
      <c r="E4719" s="1"/>
      <c r="F4719" s="1"/>
      <c r="G4719" s="1"/>
      <c r="H4719" s="1"/>
      <c r="I4719" s="2"/>
      <c r="J4719" s="1"/>
      <c r="K4719" s="1"/>
      <c r="L4719" s="1"/>
      <c r="M4719" s="1"/>
      <c r="N4719" s="1"/>
      <c r="O4719" s="1"/>
      <c r="P4719" s="1"/>
      <c r="Q4719" s="1"/>
      <c r="R4719" s="1"/>
      <c r="S4719" s="1"/>
      <c r="T4719" s="1"/>
      <c r="U4719" s="1"/>
      <c r="V4719" s="1"/>
      <c r="W4719" s="1"/>
      <c r="X4719" s="1"/>
    </row>
    <row x14ac:dyDescent="0.25" r="4720" customHeight="1" ht="18.75">
      <c r="A4720" s="1"/>
      <c r="B4720" s="1"/>
      <c r="C4720" s="1"/>
      <c r="D4720" s="1"/>
      <c r="E4720" s="1"/>
      <c r="F4720" s="1"/>
      <c r="G4720" s="1"/>
      <c r="H4720" s="1"/>
      <c r="I4720" s="2"/>
      <c r="J4720" s="1"/>
      <c r="K4720" s="1"/>
      <c r="L4720" s="1"/>
      <c r="M4720" s="1"/>
      <c r="N4720" s="1"/>
      <c r="O4720" s="1"/>
      <c r="P4720" s="1"/>
      <c r="Q4720" s="1"/>
      <c r="R4720" s="1"/>
      <c r="S4720" s="1"/>
      <c r="T4720" s="1"/>
      <c r="U4720" s="1"/>
      <c r="V4720" s="1"/>
      <c r="W4720" s="1"/>
      <c r="X4720" s="1"/>
    </row>
    <row x14ac:dyDescent="0.25" r="4721" customHeight="1" ht="18.75">
      <c r="A4721" s="1"/>
      <c r="B4721" s="1"/>
      <c r="C4721" s="1"/>
      <c r="D4721" s="1"/>
      <c r="E4721" s="1"/>
      <c r="F4721" s="1"/>
      <c r="G4721" s="1"/>
      <c r="H4721" s="1"/>
      <c r="I4721" s="2"/>
      <c r="J4721" s="1"/>
      <c r="K4721" s="1"/>
      <c r="L4721" s="1"/>
      <c r="M4721" s="1"/>
      <c r="N4721" s="1"/>
      <c r="O4721" s="1"/>
      <c r="P4721" s="1"/>
      <c r="Q4721" s="1"/>
      <c r="R4721" s="1"/>
      <c r="S4721" s="1"/>
      <c r="T4721" s="1"/>
      <c r="U4721" s="1"/>
      <c r="V4721" s="1"/>
      <c r="W4721" s="1"/>
      <c r="X4721" s="1"/>
    </row>
    <row x14ac:dyDescent="0.25" r="4722" customHeight="1" ht="18.75">
      <c r="A4722" s="1"/>
      <c r="B4722" s="1"/>
      <c r="C4722" s="1"/>
      <c r="D4722" s="1"/>
      <c r="E4722" s="1"/>
      <c r="F4722" s="1"/>
      <c r="G4722" s="1"/>
      <c r="H4722" s="1"/>
      <c r="I4722" s="2"/>
      <c r="J4722" s="1"/>
      <c r="K4722" s="1"/>
      <c r="L4722" s="1"/>
      <c r="M4722" s="1"/>
      <c r="N4722" s="1"/>
      <c r="O4722" s="1"/>
      <c r="P4722" s="1"/>
      <c r="Q4722" s="1"/>
      <c r="R4722" s="1"/>
      <c r="S4722" s="1"/>
      <c r="T4722" s="1"/>
      <c r="U4722" s="1"/>
      <c r="V4722" s="1"/>
      <c r="W4722" s="1"/>
      <c r="X4722" s="1"/>
    </row>
    <row x14ac:dyDescent="0.25" r="4723" customHeight="1" ht="18.75">
      <c r="A4723" s="1"/>
      <c r="B4723" s="1"/>
      <c r="C4723" s="1"/>
      <c r="D4723" s="1"/>
      <c r="E4723" s="1"/>
      <c r="F4723" s="1"/>
      <c r="G4723" s="1"/>
      <c r="H4723" s="1"/>
      <c r="I4723" s="2"/>
      <c r="J4723" s="1"/>
      <c r="K4723" s="1"/>
      <c r="L4723" s="1"/>
      <c r="M4723" s="1"/>
      <c r="N4723" s="1"/>
      <c r="O4723" s="1"/>
      <c r="P4723" s="1"/>
      <c r="Q4723" s="1"/>
      <c r="R4723" s="1"/>
      <c r="S4723" s="1"/>
      <c r="T4723" s="1"/>
      <c r="U4723" s="1"/>
      <c r="V4723" s="1"/>
      <c r="W4723" s="1"/>
      <c r="X4723" s="1"/>
    </row>
    <row x14ac:dyDescent="0.25" r="4724" customHeight="1" ht="18.75">
      <c r="A4724" s="1"/>
      <c r="B4724" s="1"/>
      <c r="C4724" s="1"/>
      <c r="D4724" s="1"/>
      <c r="E4724" s="1"/>
      <c r="F4724" s="1"/>
      <c r="G4724" s="1"/>
      <c r="H4724" s="1"/>
      <c r="I4724" s="2"/>
      <c r="J4724" s="1"/>
      <c r="K4724" s="1"/>
      <c r="L4724" s="1"/>
      <c r="M4724" s="1"/>
      <c r="N4724" s="1"/>
      <c r="O4724" s="1"/>
      <c r="P4724" s="1"/>
      <c r="Q4724" s="1"/>
      <c r="R4724" s="1"/>
      <c r="S4724" s="1"/>
      <c r="T4724" s="1"/>
      <c r="U4724" s="1"/>
      <c r="V4724" s="1"/>
      <c r="W4724" s="1"/>
      <c r="X4724" s="1"/>
    </row>
    <row x14ac:dyDescent="0.25" r="4725" customHeight="1" ht="18.75">
      <c r="A4725" s="1"/>
      <c r="B4725" s="1"/>
      <c r="C4725" s="1"/>
      <c r="D4725" s="1"/>
      <c r="E4725" s="1"/>
      <c r="F4725" s="1"/>
      <c r="G4725" s="1"/>
      <c r="H4725" s="1"/>
      <c r="I4725" s="2"/>
      <c r="J4725" s="1"/>
      <c r="K4725" s="1"/>
      <c r="L4725" s="1"/>
      <c r="M4725" s="1"/>
      <c r="N4725" s="1"/>
      <c r="O4725" s="1"/>
      <c r="P4725" s="1"/>
      <c r="Q4725" s="1"/>
      <c r="R4725" s="1"/>
      <c r="S4725" s="1"/>
      <c r="T4725" s="1"/>
      <c r="U4725" s="1"/>
      <c r="V4725" s="1"/>
      <c r="W4725" s="1"/>
      <c r="X4725" s="1"/>
    </row>
    <row x14ac:dyDescent="0.25" r="4726" customHeight="1" ht="18.75">
      <c r="A4726" s="1"/>
      <c r="B4726" s="1"/>
      <c r="C4726" s="1"/>
      <c r="D4726" s="1"/>
      <c r="E4726" s="1"/>
      <c r="F4726" s="1"/>
      <c r="G4726" s="1"/>
      <c r="H4726" s="1"/>
      <c r="I4726" s="2"/>
      <c r="J4726" s="1"/>
      <c r="K4726" s="1"/>
      <c r="L4726" s="1"/>
      <c r="M4726" s="1"/>
      <c r="N4726" s="1"/>
      <c r="O4726" s="1"/>
      <c r="P4726" s="1"/>
      <c r="Q4726" s="1"/>
      <c r="R4726" s="1"/>
      <c r="S4726" s="1"/>
      <c r="T4726" s="1"/>
      <c r="U4726" s="1"/>
      <c r="V4726" s="1"/>
      <c r="W4726" s="1"/>
      <c r="X4726" s="1"/>
    </row>
    <row x14ac:dyDescent="0.25" r="4727" customHeight="1" ht="18.75">
      <c r="A4727" s="1"/>
      <c r="B4727" s="1"/>
      <c r="C4727" s="1"/>
      <c r="D4727" s="1"/>
      <c r="E4727" s="1"/>
      <c r="F4727" s="1"/>
      <c r="G4727" s="1"/>
      <c r="H4727" s="1"/>
      <c r="I4727" s="2"/>
      <c r="J4727" s="1"/>
      <c r="K4727" s="1"/>
      <c r="L4727" s="1"/>
      <c r="M4727" s="1"/>
      <c r="N4727" s="1"/>
      <c r="O4727" s="1"/>
      <c r="P4727" s="1"/>
      <c r="Q4727" s="1"/>
      <c r="R4727" s="1"/>
      <c r="S4727" s="1"/>
      <c r="T4727" s="1"/>
      <c r="U4727" s="1"/>
      <c r="V4727" s="1"/>
      <c r="W4727" s="1"/>
      <c r="X4727" s="1"/>
    </row>
    <row x14ac:dyDescent="0.25" r="4728" customHeight="1" ht="18.75">
      <c r="A4728" s="1"/>
      <c r="B4728" s="1"/>
      <c r="C4728" s="1"/>
      <c r="D4728" s="1"/>
      <c r="E4728" s="1"/>
      <c r="F4728" s="1"/>
      <c r="G4728" s="1"/>
      <c r="H4728" s="1"/>
      <c r="I4728" s="2"/>
      <c r="J4728" s="1"/>
      <c r="K4728" s="1"/>
      <c r="L4728" s="1"/>
      <c r="M4728" s="1"/>
      <c r="N4728" s="1"/>
      <c r="O4728" s="1"/>
      <c r="P4728" s="1"/>
      <c r="Q4728" s="1"/>
      <c r="R4728" s="1"/>
      <c r="S4728" s="1"/>
      <c r="T4728" s="1"/>
      <c r="U4728" s="1"/>
      <c r="V4728" s="1"/>
      <c r="W4728" s="1"/>
      <c r="X4728" s="1"/>
    </row>
    <row x14ac:dyDescent="0.25" r="4729" customHeight="1" ht="18.75">
      <c r="A4729" s="1"/>
      <c r="B4729" s="1"/>
      <c r="C4729" s="1"/>
      <c r="D4729" s="1"/>
      <c r="E4729" s="1"/>
      <c r="F4729" s="1"/>
      <c r="G4729" s="1"/>
      <c r="H4729" s="1"/>
      <c r="I4729" s="2"/>
      <c r="J4729" s="1"/>
      <c r="K4729" s="1"/>
      <c r="L4729" s="1"/>
      <c r="M4729" s="1"/>
      <c r="N4729" s="1"/>
      <c r="O4729" s="1"/>
      <c r="P4729" s="1"/>
      <c r="Q4729" s="1"/>
      <c r="R4729" s="1"/>
      <c r="S4729" s="1"/>
      <c r="T4729" s="1"/>
      <c r="U4729" s="1"/>
      <c r="V4729" s="1"/>
      <c r="W4729" s="1"/>
      <c r="X4729" s="1"/>
    </row>
    <row x14ac:dyDescent="0.25" r="4730" customHeight="1" ht="18.75">
      <c r="A4730" s="1"/>
      <c r="B4730" s="1"/>
      <c r="C4730" s="1"/>
      <c r="D4730" s="1"/>
      <c r="E4730" s="1"/>
      <c r="F4730" s="1"/>
      <c r="G4730" s="1"/>
      <c r="H4730" s="1"/>
      <c r="I4730" s="2"/>
      <c r="J4730" s="1"/>
      <c r="K4730" s="1"/>
      <c r="L4730" s="1"/>
      <c r="M4730" s="1"/>
      <c r="N4730" s="1"/>
      <c r="O4730" s="1"/>
      <c r="P4730" s="1"/>
      <c r="Q4730" s="1"/>
      <c r="R4730" s="1"/>
      <c r="S4730" s="1"/>
      <c r="T4730" s="1"/>
      <c r="U4730" s="1"/>
      <c r="V4730" s="1"/>
      <c r="W4730" s="1"/>
      <c r="X4730" s="1"/>
    </row>
    <row x14ac:dyDescent="0.25" r="4731" customHeight="1" ht="18.75">
      <c r="A4731" s="1"/>
      <c r="B4731" s="1"/>
      <c r="C4731" s="1"/>
      <c r="D4731" s="1"/>
      <c r="E4731" s="1"/>
      <c r="F4731" s="1"/>
      <c r="G4731" s="1"/>
      <c r="H4731" s="1"/>
      <c r="I4731" s="2"/>
      <c r="J4731" s="1"/>
      <c r="K4731" s="1"/>
      <c r="L4731" s="1"/>
      <c r="M4731" s="1"/>
      <c r="N4731" s="1"/>
      <c r="O4731" s="1"/>
      <c r="P4731" s="1"/>
      <c r="Q4731" s="1"/>
      <c r="R4731" s="1"/>
      <c r="S4731" s="1"/>
      <c r="T4731" s="1"/>
      <c r="U4731" s="1"/>
      <c r="V4731" s="1"/>
      <c r="W4731" s="1"/>
      <c r="X4731" s="1"/>
    </row>
    <row x14ac:dyDescent="0.25" r="4732" customHeight="1" ht="18.75">
      <c r="A4732" s="1"/>
      <c r="B4732" s="1"/>
      <c r="C4732" s="1"/>
      <c r="D4732" s="1"/>
      <c r="E4732" s="1"/>
      <c r="F4732" s="1"/>
      <c r="G4732" s="1"/>
      <c r="H4732" s="1"/>
      <c r="I4732" s="2"/>
      <c r="J4732" s="1"/>
      <c r="K4732" s="1"/>
      <c r="L4732" s="1"/>
      <c r="M4732" s="1"/>
      <c r="N4732" s="1"/>
      <c r="O4732" s="1"/>
      <c r="P4732" s="1"/>
      <c r="Q4732" s="1"/>
      <c r="R4732" s="1"/>
      <c r="S4732" s="1"/>
      <c r="T4732" s="1"/>
      <c r="U4732" s="1"/>
      <c r="V4732" s="1"/>
      <c r="W4732" s="1"/>
      <c r="X4732" s="1"/>
    </row>
    <row x14ac:dyDescent="0.25" r="4733" customHeight="1" ht="18.75">
      <c r="A4733" s="1"/>
      <c r="B4733" s="1"/>
      <c r="C4733" s="1"/>
      <c r="D4733" s="1"/>
      <c r="E4733" s="1"/>
      <c r="F4733" s="1"/>
      <c r="G4733" s="1"/>
      <c r="H4733" s="1"/>
      <c r="I4733" s="2"/>
      <c r="J4733" s="1"/>
      <c r="K4733" s="1"/>
      <c r="L4733" s="1"/>
      <c r="M4733" s="1"/>
      <c r="N4733" s="1"/>
      <c r="O4733" s="1"/>
      <c r="P4733" s="1"/>
      <c r="Q4733" s="1"/>
      <c r="R4733" s="1"/>
      <c r="S4733" s="1"/>
      <c r="T4733" s="1"/>
      <c r="U4733" s="1"/>
      <c r="V4733" s="1"/>
      <c r="W4733" s="1"/>
      <c r="X4733" s="1"/>
    </row>
    <row x14ac:dyDescent="0.25" r="4734" customHeight="1" ht="18.75">
      <c r="A4734" s="1"/>
      <c r="B4734" s="1"/>
      <c r="C4734" s="1"/>
      <c r="D4734" s="1"/>
      <c r="E4734" s="1"/>
      <c r="F4734" s="1"/>
      <c r="G4734" s="1"/>
      <c r="H4734" s="1"/>
      <c r="I4734" s="2"/>
      <c r="J4734" s="1"/>
      <c r="K4734" s="1"/>
      <c r="L4734" s="1"/>
      <c r="M4734" s="1"/>
      <c r="N4734" s="1"/>
      <c r="O4734" s="1"/>
      <c r="P4734" s="1"/>
      <c r="Q4734" s="1"/>
      <c r="R4734" s="1"/>
      <c r="S4734" s="1"/>
      <c r="T4734" s="1"/>
      <c r="U4734" s="1"/>
      <c r="V4734" s="1"/>
      <c r="W4734" s="1"/>
      <c r="X4734" s="1"/>
    </row>
    <row x14ac:dyDescent="0.25" r="4735" customHeight="1" ht="18.75">
      <c r="A4735" s="1"/>
      <c r="B4735" s="1"/>
      <c r="C4735" s="1"/>
      <c r="D4735" s="1"/>
      <c r="E4735" s="1"/>
      <c r="F4735" s="1"/>
      <c r="G4735" s="1"/>
      <c r="H4735" s="1"/>
      <c r="I4735" s="2"/>
      <c r="J4735" s="1"/>
      <c r="K4735" s="1"/>
      <c r="L4735" s="1"/>
      <c r="M4735" s="1"/>
      <c r="N4735" s="1"/>
      <c r="O4735" s="1"/>
      <c r="P4735" s="1"/>
      <c r="Q4735" s="1"/>
      <c r="R4735" s="1"/>
      <c r="S4735" s="1"/>
      <c r="T4735" s="1"/>
      <c r="U4735" s="1"/>
      <c r="V4735" s="1"/>
      <c r="W4735" s="1"/>
      <c r="X4735" s="1"/>
    </row>
    <row x14ac:dyDescent="0.25" r="4736" customHeight="1" ht="18.75">
      <c r="A4736" s="1"/>
      <c r="B4736" s="1"/>
      <c r="C4736" s="1"/>
      <c r="D4736" s="1"/>
      <c r="E4736" s="1"/>
      <c r="F4736" s="1"/>
      <c r="G4736" s="1"/>
      <c r="H4736" s="1"/>
      <c r="I4736" s="2"/>
      <c r="J4736" s="1"/>
      <c r="K4736" s="1"/>
      <c r="L4736" s="1"/>
      <c r="M4736" s="1"/>
      <c r="N4736" s="1"/>
      <c r="O4736" s="1"/>
      <c r="P4736" s="1"/>
      <c r="Q4736" s="1"/>
      <c r="R4736" s="1"/>
      <c r="S4736" s="1"/>
      <c r="T4736" s="1"/>
      <c r="U4736" s="1"/>
      <c r="V4736" s="1"/>
      <c r="W4736" s="1"/>
      <c r="X4736" s="1"/>
    </row>
    <row x14ac:dyDescent="0.25" r="4737" customHeight="1" ht="18.75">
      <c r="A4737" s="1"/>
      <c r="B4737" s="1"/>
      <c r="C4737" s="1"/>
      <c r="D4737" s="1"/>
      <c r="E4737" s="1"/>
      <c r="F4737" s="1"/>
      <c r="G4737" s="1"/>
      <c r="H4737" s="1"/>
      <c r="I4737" s="2"/>
      <c r="J4737" s="1"/>
      <c r="K4737" s="1"/>
      <c r="L4737" s="1"/>
      <c r="M4737" s="1"/>
      <c r="N4737" s="1"/>
      <c r="O4737" s="1"/>
      <c r="P4737" s="1"/>
      <c r="Q4737" s="1"/>
      <c r="R4737" s="1"/>
      <c r="S4737" s="1"/>
      <c r="T4737" s="1"/>
      <c r="U4737" s="1"/>
      <c r="V4737" s="1"/>
      <c r="W4737" s="1"/>
      <c r="X4737" s="1"/>
    </row>
    <row x14ac:dyDescent="0.25" r="4738" customHeight="1" ht="18.75">
      <c r="A4738" s="1"/>
      <c r="B4738" s="1"/>
      <c r="C4738" s="1"/>
      <c r="D4738" s="1"/>
      <c r="E4738" s="1"/>
      <c r="F4738" s="1"/>
      <c r="G4738" s="1"/>
      <c r="H4738" s="1"/>
      <c r="I4738" s="2"/>
      <c r="J4738" s="1"/>
      <c r="K4738" s="1"/>
      <c r="L4738" s="1"/>
      <c r="M4738" s="1"/>
      <c r="N4738" s="1"/>
      <c r="O4738" s="1"/>
      <c r="P4738" s="1"/>
      <c r="Q4738" s="1"/>
      <c r="R4738" s="1"/>
      <c r="S4738" s="1"/>
      <c r="T4738" s="1"/>
      <c r="U4738" s="1"/>
      <c r="V4738" s="1"/>
      <c r="W4738" s="1"/>
      <c r="X4738" s="1"/>
    </row>
    <row x14ac:dyDescent="0.25" r="4739" customHeight="1" ht="18.75">
      <c r="A4739" s="1"/>
      <c r="B4739" s="1"/>
      <c r="C4739" s="1"/>
      <c r="D4739" s="1"/>
      <c r="E4739" s="1"/>
      <c r="F4739" s="1"/>
      <c r="G4739" s="1"/>
      <c r="H4739" s="1"/>
      <c r="I4739" s="2"/>
      <c r="J4739" s="1"/>
      <c r="K4739" s="1"/>
      <c r="L4739" s="1"/>
      <c r="M4739" s="1"/>
      <c r="N4739" s="1"/>
      <c r="O4739" s="1"/>
      <c r="P4739" s="1"/>
      <c r="Q4739" s="1"/>
      <c r="R4739" s="1"/>
      <c r="S4739" s="1"/>
      <c r="T4739" s="1"/>
      <c r="U4739" s="1"/>
      <c r="V4739" s="1"/>
      <c r="W4739" s="1"/>
      <c r="X4739" s="1"/>
    </row>
    <row x14ac:dyDescent="0.25" r="4740" customHeight="1" ht="18.75">
      <c r="A4740" s="1"/>
      <c r="B4740" s="1"/>
      <c r="C4740" s="1"/>
      <c r="D4740" s="1"/>
      <c r="E4740" s="1"/>
      <c r="F4740" s="1"/>
      <c r="G4740" s="1"/>
      <c r="H4740" s="1"/>
      <c r="I4740" s="2"/>
      <c r="J4740" s="1"/>
      <c r="K4740" s="1"/>
      <c r="L4740" s="1"/>
      <c r="M4740" s="1"/>
      <c r="N4740" s="1"/>
      <c r="O4740" s="1"/>
      <c r="P4740" s="1"/>
      <c r="Q4740" s="1"/>
      <c r="R4740" s="1"/>
      <c r="S4740" s="1"/>
      <c r="T4740" s="1"/>
      <c r="U4740" s="1"/>
      <c r="V4740" s="1"/>
      <c r="W4740" s="1"/>
      <c r="X4740" s="1"/>
    </row>
    <row x14ac:dyDescent="0.25" r="4741" customHeight="1" ht="18.75">
      <c r="A4741" s="1"/>
      <c r="B4741" s="1"/>
      <c r="C4741" s="1"/>
      <c r="D4741" s="1"/>
      <c r="E4741" s="1"/>
      <c r="F4741" s="1"/>
      <c r="G4741" s="1"/>
      <c r="H4741" s="1"/>
      <c r="I4741" s="2"/>
      <c r="J4741" s="1"/>
      <c r="K4741" s="1"/>
      <c r="L4741" s="1"/>
      <c r="M4741" s="1"/>
      <c r="N4741" s="1"/>
      <c r="O4741" s="1"/>
      <c r="P4741" s="1"/>
      <c r="Q4741" s="1"/>
      <c r="R4741" s="1"/>
      <c r="S4741" s="1"/>
      <c r="T4741" s="1"/>
      <c r="U4741" s="1"/>
      <c r="V4741" s="1"/>
      <c r="W4741" s="1"/>
      <c r="X4741" s="1"/>
    </row>
    <row x14ac:dyDescent="0.25" r="4742" customHeight="1" ht="18.75">
      <c r="A4742" s="1"/>
      <c r="B4742" s="1"/>
      <c r="C4742" s="1"/>
      <c r="D4742" s="1"/>
      <c r="E4742" s="1"/>
      <c r="F4742" s="1"/>
      <c r="G4742" s="1"/>
      <c r="H4742" s="1"/>
      <c r="I4742" s="2"/>
      <c r="J4742" s="1"/>
      <c r="K4742" s="1"/>
      <c r="L4742" s="1"/>
      <c r="M4742" s="1"/>
      <c r="N4742" s="1"/>
      <c r="O4742" s="1"/>
      <c r="P4742" s="1"/>
      <c r="Q4742" s="1"/>
      <c r="R4742" s="1"/>
      <c r="S4742" s="1"/>
      <c r="T4742" s="1"/>
      <c r="U4742" s="1"/>
      <c r="V4742" s="1"/>
      <c r="W4742" s="1"/>
      <c r="X4742" s="1"/>
    </row>
    <row x14ac:dyDescent="0.25" r="4743" customHeight="1" ht="18.75">
      <c r="A4743" s="1"/>
      <c r="B4743" s="1"/>
      <c r="C4743" s="1"/>
      <c r="D4743" s="1"/>
      <c r="E4743" s="1"/>
      <c r="F4743" s="1"/>
      <c r="G4743" s="1"/>
      <c r="H4743" s="1"/>
      <c r="I4743" s="2"/>
      <c r="J4743" s="1"/>
      <c r="K4743" s="1"/>
      <c r="L4743" s="1"/>
      <c r="M4743" s="1"/>
      <c r="N4743" s="1"/>
      <c r="O4743" s="1"/>
      <c r="P4743" s="1"/>
      <c r="Q4743" s="1"/>
      <c r="R4743" s="1"/>
      <c r="S4743" s="1"/>
      <c r="T4743" s="1"/>
      <c r="U4743" s="1"/>
      <c r="V4743" s="1"/>
      <c r="W4743" s="1"/>
      <c r="X4743" s="1"/>
    </row>
    <row x14ac:dyDescent="0.25" r="4744" customHeight="1" ht="18.75">
      <c r="A4744" s="1"/>
      <c r="B4744" s="1"/>
      <c r="C4744" s="1"/>
      <c r="D4744" s="1"/>
      <c r="E4744" s="1"/>
      <c r="F4744" s="1"/>
      <c r="G4744" s="1"/>
      <c r="H4744" s="1"/>
      <c r="I4744" s="2"/>
      <c r="J4744" s="1"/>
      <c r="K4744" s="1"/>
      <c r="L4744" s="1"/>
      <c r="M4744" s="1"/>
      <c r="N4744" s="1"/>
      <c r="O4744" s="1"/>
      <c r="P4744" s="1"/>
      <c r="Q4744" s="1"/>
      <c r="R4744" s="1"/>
      <c r="S4744" s="1"/>
      <c r="T4744" s="1"/>
      <c r="U4744" s="1"/>
      <c r="V4744" s="1"/>
      <c r="W4744" s="1"/>
      <c r="X4744" s="1"/>
    </row>
    <row x14ac:dyDescent="0.25" r="4745" customHeight="1" ht="18.75">
      <c r="A4745" s="1"/>
      <c r="B4745" s="1"/>
      <c r="C4745" s="1"/>
      <c r="D4745" s="1"/>
      <c r="E4745" s="1"/>
      <c r="F4745" s="1"/>
      <c r="G4745" s="1"/>
      <c r="H4745" s="1"/>
      <c r="I4745" s="2"/>
      <c r="J4745" s="1"/>
      <c r="K4745" s="1"/>
      <c r="L4745" s="1"/>
      <c r="M4745" s="1"/>
      <c r="N4745" s="1"/>
      <c r="O4745" s="1"/>
      <c r="P4745" s="1"/>
      <c r="Q4745" s="1"/>
      <c r="R4745" s="1"/>
      <c r="S4745" s="1"/>
      <c r="T4745" s="1"/>
      <c r="U4745" s="1"/>
      <c r="V4745" s="1"/>
      <c r="W4745" s="1"/>
      <c r="X4745" s="1"/>
    </row>
    <row x14ac:dyDescent="0.25" r="4746" customHeight="1" ht="18.75">
      <c r="A4746" s="1"/>
      <c r="B4746" s="1"/>
      <c r="C4746" s="1"/>
      <c r="D4746" s="1"/>
      <c r="E4746" s="1"/>
      <c r="F4746" s="1"/>
      <c r="G4746" s="1"/>
      <c r="H4746" s="1"/>
      <c r="I4746" s="2"/>
      <c r="J4746" s="1"/>
      <c r="K4746" s="1"/>
      <c r="L4746" s="1"/>
      <c r="M4746" s="1"/>
      <c r="N4746" s="1"/>
      <c r="O4746" s="1"/>
      <c r="P4746" s="1"/>
      <c r="Q4746" s="1"/>
      <c r="R4746" s="1"/>
      <c r="S4746" s="1"/>
      <c r="T4746" s="1"/>
      <c r="U4746" s="1"/>
      <c r="V4746" s="1"/>
      <c r="W4746" s="1"/>
      <c r="X4746" s="1"/>
    </row>
    <row x14ac:dyDescent="0.25" r="4747" customHeight="1" ht="18.75">
      <c r="A4747" s="1"/>
      <c r="B4747" s="1"/>
      <c r="C4747" s="1"/>
      <c r="D4747" s="1"/>
      <c r="E4747" s="1"/>
      <c r="F4747" s="1"/>
      <c r="G4747" s="1"/>
      <c r="H4747" s="1"/>
      <c r="I4747" s="2"/>
      <c r="J4747" s="1"/>
      <c r="K4747" s="1"/>
      <c r="L4747" s="1"/>
      <c r="M4747" s="1"/>
      <c r="N4747" s="1"/>
      <c r="O4747" s="1"/>
      <c r="P4747" s="1"/>
      <c r="Q4747" s="1"/>
      <c r="R4747" s="1"/>
      <c r="S4747" s="1"/>
      <c r="T4747" s="1"/>
      <c r="U4747" s="1"/>
      <c r="V4747" s="1"/>
      <c r="W4747" s="1"/>
      <c r="X4747" s="1"/>
    </row>
    <row x14ac:dyDescent="0.25" r="4748" customHeight="1" ht="18.75">
      <c r="A4748" s="1"/>
      <c r="B4748" s="1"/>
      <c r="C4748" s="1"/>
      <c r="D4748" s="1"/>
      <c r="E4748" s="1"/>
      <c r="F4748" s="1"/>
      <c r="G4748" s="1"/>
      <c r="H4748" s="1"/>
      <c r="I4748" s="2"/>
      <c r="J4748" s="1"/>
      <c r="K4748" s="1"/>
      <c r="L4748" s="1"/>
      <c r="M4748" s="1"/>
      <c r="N4748" s="1"/>
      <c r="O4748" s="1"/>
      <c r="P4748" s="1"/>
      <c r="Q4748" s="1"/>
      <c r="R4748" s="1"/>
      <c r="S4748" s="1"/>
      <c r="T4748" s="1"/>
      <c r="U4748" s="1"/>
      <c r="V4748" s="1"/>
      <c r="W4748" s="1"/>
      <c r="X4748" s="1"/>
    </row>
    <row x14ac:dyDescent="0.25" r="4749" customHeight="1" ht="18.75">
      <c r="A4749" s="1"/>
      <c r="B4749" s="1"/>
      <c r="C4749" s="1"/>
      <c r="D4749" s="1"/>
      <c r="E4749" s="1"/>
      <c r="F4749" s="1"/>
      <c r="G4749" s="1"/>
      <c r="H4749" s="1"/>
      <c r="I4749" s="2"/>
      <c r="J4749" s="1"/>
      <c r="K4749" s="1"/>
      <c r="L4749" s="1"/>
      <c r="M4749" s="1"/>
      <c r="N4749" s="1"/>
      <c r="O4749" s="1"/>
      <c r="P4749" s="1"/>
      <c r="Q4749" s="1"/>
      <c r="R4749" s="1"/>
      <c r="S4749" s="1"/>
      <c r="T4749" s="1"/>
      <c r="U4749" s="1"/>
      <c r="V4749" s="1"/>
      <c r="W4749" s="1"/>
      <c r="X4749" s="1"/>
    </row>
    <row x14ac:dyDescent="0.25" r="4750" customHeight="1" ht="18.75">
      <c r="A4750" s="1"/>
      <c r="B4750" s="1"/>
      <c r="C4750" s="1"/>
      <c r="D4750" s="1"/>
      <c r="E4750" s="1"/>
      <c r="F4750" s="1"/>
      <c r="G4750" s="1"/>
      <c r="H4750" s="1"/>
      <c r="I4750" s="2"/>
      <c r="J4750" s="1"/>
      <c r="K4750" s="1"/>
      <c r="L4750" s="1"/>
      <c r="M4750" s="1"/>
      <c r="N4750" s="1"/>
      <c r="O4750" s="1"/>
      <c r="P4750" s="1"/>
      <c r="Q4750" s="1"/>
      <c r="R4750" s="1"/>
      <c r="S4750" s="1"/>
      <c r="T4750" s="1"/>
      <c r="U4750" s="1"/>
      <c r="V4750" s="1"/>
      <c r="W4750" s="1"/>
      <c r="X4750" s="1"/>
    </row>
    <row x14ac:dyDescent="0.25" r="4751" customHeight="1" ht="18.75">
      <c r="A4751" s="1"/>
      <c r="B4751" s="1"/>
      <c r="C4751" s="1"/>
      <c r="D4751" s="1"/>
      <c r="E4751" s="1"/>
      <c r="F4751" s="1"/>
      <c r="G4751" s="1"/>
      <c r="H4751" s="1"/>
      <c r="I4751" s="2"/>
      <c r="J4751" s="1"/>
      <c r="K4751" s="1"/>
      <c r="L4751" s="1"/>
      <c r="M4751" s="1"/>
      <c r="N4751" s="1"/>
      <c r="O4751" s="1"/>
      <c r="P4751" s="1"/>
      <c r="Q4751" s="1"/>
      <c r="R4751" s="1"/>
      <c r="S4751" s="1"/>
      <c r="T4751" s="1"/>
      <c r="U4751" s="1"/>
      <c r="V4751" s="1"/>
      <c r="W4751" s="1"/>
      <c r="X4751" s="1"/>
    </row>
    <row x14ac:dyDescent="0.25" r="4752" customHeight="1" ht="18.75">
      <c r="A4752" s="1"/>
      <c r="B4752" s="1"/>
      <c r="C4752" s="1"/>
      <c r="D4752" s="1"/>
      <c r="E4752" s="1"/>
      <c r="F4752" s="1"/>
      <c r="G4752" s="1"/>
      <c r="H4752" s="1"/>
      <c r="I4752" s="2"/>
      <c r="J4752" s="1"/>
      <c r="K4752" s="1"/>
      <c r="L4752" s="1"/>
      <c r="M4752" s="1"/>
      <c r="N4752" s="1"/>
      <c r="O4752" s="1"/>
      <c r="P4752" s="1"/>
      <c r="Q4752" s="1"/>
      <c r="R4752" s="1"/>
      <c r="S4752" s="1"/>
      <c r="T4752" s="1"/>
      <c r="U4752" s="1"/>
      <c r="V4752" s="1"/>
      <c r="W4752" s="1"/>
      <c r="X4752" s="1"/>
    </row>
    <row x14ac:dyDescent="0.25" r="4753" customHeight="1" ht="18.75">
      <c r="A4753" s="1"/>
      <c r="B4753" s="1"/>
      <c r="C4753" s="1"/>
      <c r="D4753" s="1"/>
      <c r="E4753" s="1"/>
      <c r="F4753" s="1"/>
      <c r="G4753" s="1"/>
      <c r="H4753" s="1"/>
      <c r="I4753" s="2"/>
      <c r="J4753" s="1"/>
      <c r="K4753" s="1"/>
      <c r="L4753" s="1"/>
      <c r="M4753" s="1"/>
      <c r="N4753" s="1"/>
      <c r="O4753" s="1"/>
      <c r="P4753" s="1"/>
      <c r="Q4753" s="1"/>
      <c r="R4753" s="1"/>
      <c r="S4753" s="1"/>
      <c r="T4753" s="1"/>
      <c r="U4753" s="1"/>
      <c r="V4753" s="1"/>
      <c r="W4753" s="1"/>
      <c r="X4753" s="1"/>
    </row>
    <row x14ac:dyDescent="0.25" r="4754" customHeight="1" ht="18.75">
      <c r="A4754" s="1"/>
      <c r="B4754" s="1"/>
      <c r="C4754" s="1"/>
      <c r="D4754" s="1"/>
      <c r="E4754" s="1"/>
      <c r="F4754" s="1"/>
      <c r="G4754" s="1"/>
      <c r="H4754" s="1"/>
      <c r="I4754" s="2"/>
      <c r="J4754" s="1"/>
      <c r="K4754" s="1"/>
      <c r="L4754" s="1"/>
      <c r="M4754" s="1"/>
      <c r="N4754" s="1"/>
      <c r="O4754" s="1"/>
      <c r="P4754" s="1"/>
      <c r="Q4754" s="1"/>
      <c r="R4754" s="1"/>
      <c r="S4754" s="1"/>
      <c r="T4754" s="1"/>
      <c r="U4754" s="1"/>
      <c r="V4754" s="1"/>
      <c r="W4754" s="1"/>
      <c r="X4754" s="1"/>
    </row>
    <row x14ac:dyDescent="0.25" r="4755" customHeight="1" ht="18.75">
      <c r="A4755" s="1"/>
      <c r="B4755" s="1"/>
      <c r="C4755" s="1"/>
      <c r="D4755" s="1"/>
      <c r="E4755" s="1"/>
      <c r="F4755" s="1"/>
      <c r="G4755" s="1"/>
      <c r="H4755" s="1"/>
      <c r="I4755" s="2"/>
      <c r="J4755" s="1"/>
      <c r="K4755" s="1"/>
      <c r="L4755" s="1"/>
      <c r="M4755" s="1"/>
      <c r="N4755" s="1"/>
      <c r="O4755" s="1"/>
      <c r="P4755" s="1"/>
      <c r="Q4755" s="1"/>
      <c r="R4755" s="1"/>
      <c r="S4755" s="1"/>
      <c r="T4755" s="1"/>
      <c r="U4755" s="1"/>
      <c r="V4755" s="1"/>
      <c r="W4755" s="1"/>
      <c r="X4755" s="1"/>
    </row>
    <row x14ac:dyDescent="0.25" r="4756" customHeight="1" ht="18.75">
      <c r="A4756" s="1"/>
      <c r="B4756" s="1"/>
      <c r="C4756" s="1"/>
      <c r="D4756" s="1"/>
      <c r="E4756" s="1"/>
      <c r="F4756" s="1"/>
      <c r="G4756" s="1"/>
      <c r="H4756" s="1"/>
      <c r="I4756" s="2"/>
      <c r="J4756" s="1"/>
      <c r="K4756" s="1"/>
      <c r="L4756" s="1"/>
      <c r="M4756" s="1"/>
      <c r="N4756" s="1"/>
      <c r="O4756" s="1"/>
      <c r="P4756" s="1"/>
      <c r="Q4756" s="1"/>
      <c r="R4756" s="1"/>
      <c r="S4756" s="1"/>
      <c r="T4756" s="1"/>
      <c r="U4756" s="1"/>
      <c r="V4756" s="1"/>
      <c r="W4756" s="1"/>
      <c r="X4756" s="1"/>
    </row>
    <row x14ac:dyDescent="0.25" r="4757" customHeight="1" ht="18.75">
      <c r="A4757" s="1"/>
      <c r="B4757" s="1"/>
      <c r="C4757" s="1"/>
      <c r="D4757" s="1"/>
      <c r="E4757" s="1"/>
      <c r="F4757" s="1"/>
      <c r="G4757" s="1"/>
      <c r="H4757" s="1"/>
      <c r="I4757" s="2"/>
      <c r="J4757" s="1"/>
      <c r="K4757" s="1"/>
      <c r="L4757" s="1"/>
      <c r="M4757" s="1"/>
      <c r="N4757" s="1"/>
      <c r="O4757" s="1"/>
      <c r="P4757" s="1"/>
      <c r="Q4757" s="1"/>
      <c r="R4757" s="1"/>
      <c r="S4757" s="1"/>
      <c r="T4757" s="1"/>
      <c r="U4757" s="1"/>
      <c r="V4757" s="1"/>
      <c r="W4757" s="1"/>
      <c r="X4757" s="1"/>
    </row>
    <row x14ac:dyDescent="0.25" r="4758" customHeight="1" ht="18.75">
      <c r="A4758" s="1"/>
      <c r="B4758" s="1"/>
      <c r="C4758" s="1"/>
      <c r="D4758" s="1"/>
      <c r="E4758" s="1"/>
      <c r="F4758" s="1"/>
      <c r="G4758" s="1"/>
      <c r="H4758" s="1"/>
      <c r="I4758" s="2"/>
      <c r="J4758" s="1"/>
      <c r="K4758" s="1"/>
      <c r="L4758" s="1"/>
      <c r="M4758" s="1"/>
      <c r="N4758" s="1"/>
      <c r="O4758" s="1"/>
      <c r="P4758" s="1"/>
      <c r="Q4758" s="1"/>
      <c r="R4758" s="1"/>
      <c r="S4758" s="1"/>
      <c r="T4758" s="1"/>
      <c r="U4758" s="1"/>
      <c r="V4758" s="1"/>
      <c r="W4758" s="1"/>
      <c r="X4758" s="1"/>
    </row>
    <row x14ac:dyDescent="0.25" r="4759" customHeight="1" ht="18.75">
      <c r="A4759" s="1"/>
      <c r="B4759" s="1"/>
      <c r="C4759" s="1"/>
      <c r="D4759" s="1"/>
      <c r="E4759" s="1"/>
      <c r="F4759" s="1"/>
      <c r="G4759" s="1"/>
      <c r="H4759" s="1"/>
      <c r="I4759" s="2"/>
      <c r="J4759" s="1"/>
      <c r="K4759" s="1"/>
      <c r="L4759" s="1"/>
      <c r="M4759" s="1"/>
      <c r="N4759" s="1"/>
      <c r="O4759" s="1"/>
      <c r="P4759" s="1"/>
      <c r="Q4759" s="1"/>
      <c r="R4759" s="1"/>
      <c r="S4759" s="1"/>
      <c r="T4759" s="1"/>
      <c r="U4759" s="1"/>
      <c r="V4759" s="1"/>
      <c r="W4759" s="1"/>
      <c r="X4759" s="1"/>
    </row>
    <row x14ac:dyDescent="0.25" r="4760" customHeight="1" ht="18.75">
      <c r="A4760" s="1"/>
      <c r="B4760" s="1"/>
      <c r="C4760" s="1"/>
      <c r="D4760" s="1"/>
      <c r="E4760" s="1"/>
      <c r="F4760" s="1"/>
      <c r="G4760" s="1"/>
      <c r="H4760" s="1"/>
      <c r="I4760" s="2"/>
      <c r="J4760" s="1"/>
      <c r="K4760" s="1"/>
      <c r="L4760" s="1"/>
      <c r="M4760" s="1"/>
      <c r="N4760" s="1"/>
      <c r="O4760" s="1"/>
      <c r="P4760" s="1"/>
      <c r="Q4760" s="1"/>
      <c r="R4760" s="1"/>
      <c r="S4760" s="1"/>
      <c r="T4760" s="1"/>
      <c r="U4760" s="1"/>
      <c r="V4760" s="1"/>
      <c r="W4760" s="1"/>
      <c r="X4760" s="1"/>
    </row>
    <row x14ac:dyDescent="0.25" r="4761" customHeight="1" ht="18.75">
      <c r="A4761" s="1"/>
      <c r="B4761" s="1"/>
      <c r="C4761" s="1"/>
      <c r="D4761" s="1"/>
      <c r="E4761" s="1"/>
      <c r="F4761" s="1"/>
      <c r="G4761" s="1"/>
      <c r="H4761" s="1"/>
      <c r="I4761" s="2"/>
      <c r="J4761" s="1"/>
      <c r="K4761" s="1"/>
      <c r="L4761" s="1"/>
      <c r="M4761" s="1"/>
      <c r="N4761" s="1"/>
      <c r="O4761" s="1"/>
      <c r="P4761" s="1"/>
      <c r="Q4761" s="1"/>
      <c r="R4761" s="1"/>
      <c r="S4761" s="1"/>
      <c r="T4761" s="1"/>
      <c r="U4761" s="1"/>
      <c r="V4761" s="1"/>
      <c r="W4761" s="1"/>
      <c r="X4761" s="1"/>
    </row>
    <row x14ac:dyDescent="0.25" r="4762" customHeight="1" ht="18.75">
      <c r="A4762" s="1"/>
      <c r="B4762" s="1"/>
      <c r="C4762" s="1"/>
      <c r="D4762" s="1"/>
      <c r="E4762" s="1"/>
      <c r="F4762" s="1"/>
      <c r="G4762" s="1"/>
      <c r="H4762" s="1"/>
      <c r="I4762" s="2"/>
      <c r="J4762" s="1"/>
      <c r="K4762" s="1"/>
      <c r="L4762" s="1"/>
      <c r="M4762" s="1"/>
      <c r="N4762" s="1"/>
      <c r="O4762" s="1"/>
      <c r="P4762" s="1"/>
      <c r="Q4762" s="1"/>
      <c r="R4762" s="1"/>
      <c r="S4762" s="1"/>
      <c r="T4762" s="1"/>
      <c r="U4762" s="1"/>
      <c r="V4762" s="1"/>
      <c r="W4762" s="1"/>
      <c r="X4762" s="1"/>
    </row>
    <row x14ac:dyDescent="0.25" r="4763" customHeight="1" ht="18.75">
      <c r="A4763" s="1"/>
      <c r="B4763" s="1"/>
      <c r="C4763" s="1"/>
      <c r="D4763" s="1"/>
      <c r="E4763" s="1"/>
      <c r="F4763" s="1"/>
      <c r="G4763" s="1"/>
      <c r="H4763" s="1"/>
      <c r="I4763" s="2"/>
      <c r="J4763" s="1"/>
      <c r="K4763" s="1"/>
      <c r="L4763" s="1"/>
      <c r="M4763" s="1"/>
      <c r="N4763" s="1"/>
      <c r="O4763" s="1"/>
      <c r="P4763" s="1"/>
      <c r="Q4763" s="1"/>
      <c r="R4763" s="1"/>
      <c r="S4763" s="1"/>
      <c r="T4763" s="1"/>
      <c r="U4763" s="1"/>
      <c r="V4763" s="1"/>
      <c r="W4763" s="1"/>
      <c r="X4763" s="1"/>
    </row>
    <row x14ac:dyDescent="0.25" r="4764" customHeight="1" ht="18.75">
      <c r="A4764" s="1"/>
      <c r="B4764" s="1"/>
      <c r="C4764" s="1"/>
      <c r="D4764" s="1"/>
      <c r="E4764" s="1"/>
      <c r="F4764" s="1"/>
      <c r="G4764" s="1"/>
      <c r="H4764" s="1"/>
      <c r="I4764" s="2"/>
      <c r="J4764" s="1"/>
      <c r="K4764" s="1"/>
      <c r="L4764" s="1"/>
      <c r="M4764" s="1"/>
      <c r="N4764" s="1"/>
      <c r="O4764" s="1"/>
      <c r="P4764" s="1"/>
      <c r="Q4764" s="1"/>
      <c r="R4764" s="1"/>
      <c r="S4764" s="1"/>
      <c r="T4764" s="1"/>
      <c r="U4764" s="1"/>
      <c r="V4764" s="1"/>
      <c r="W4764" s="1"/>
      <c r="X4764" s="1"/>
    </row>
    <row x14ac:dyDescent="0.25" r="4765" customHeight="1" ht="18.75">
      <c r="A4765" s="1"/>
      <c r="B4765" s="1"/>
      <c r="C4765" s="1"/>
      <c r="D4765" s="1"/>
      <c r="E4765" s="1"/>
      <c r="F4765" s="1"/>
      <c r="G4765" s="1"/>
      <c r="H4765" s="1"/>
      <c r="I4765" s="2"/>
      <c r="J4765" s="1"/>
      <c r="K4765" s="1"/>
      <c r="L4765" s="1"/>
      <c r="M4765" s="1"/>
      <c r="N4765" s="1"/>
      <c r="O4765" s="1"/>
      <c r="P4765" s="1"/>
      <c r="Q4765" s="1"/>
      <c r="R4765" s="1"/>
      <c r="S4765" s="1"/>
      <c r="T4765" s="1"/>
      <c r="U4765" s="1"/>
      <c r="V4765" s="1"/>
      <c r="W4765" s="1"/>
      <c r="X4765" s="1"/>
    </row>
    <row x14ac:dyDescent="0.25" r="4766" customHeight="1" ht="18.75">
      <c r="A4766" s="1"/>
      <c r="B4766" s="1"/>
      <c r="C4766" s="1"/>
      <c r="D4766" s="1"/>
      <c r="E4766" s="1"/>
      <c r="F4766" s="1"/>
      <c r="G4766" s="1"/>
      <c r="H4766" s="1"/>
      <c r="I4766" s="2"/>
      <c r="J4766" s="1"/>
      <c r="K4766" s="1"/>
      <c r="L4766" s="1"/>
      <c r="M4766" s="1"/>
      <c r="N4766" s="1"/>
      <c r="O4766" s="1"/>
      <c r="P4766" s="1"/>
      <c r="Q4766" s="1"/>
      <c r="R4766" s="1"/>
      <c r="S4766" s="1"/>
      <c r="T4766" s="1"/>
      <c r="U4766" s="1"/>
      <c r="V4766" s="1"/>
      <c r="W4766" s="1"/>
      <c r="X4766" s="1"/>
    </row>
    <row x14ac:dyDescent="0.25" r="4767" customHeight="1" ht="18.75">
      <c r="A4767" s="1"/>
      <c r="B4767" s="1"/>
      <c r="C4767" s="1"/>
      <c r="D4767" s="1"/>
      <c r="E4767" s="1"/>
      <c r="F4767" s="1"/>
      <c r="G4767" s="1"/>
      <c r="H4767" s="1"/>
      <c r="I4767" s="2"/>
      <c r="J4767" s="1"/>
      <c r="K4767" s="1"/>
      <c r="L4767" s="1"/>
      <c r="M4767" s="1"/>
      <c r="N4767" s="1"/>
      <c r="O4767" s="1"/>
      <c r="P4767" s="1"/>
      <c r="Q4767" s="1"/>
      <c r="R4767" s="1"/>
      <c r="S4767" s="1"/>
      <c r="T4767" s="1"/>
      <c r="U4767" s="1"/>
      <c r="V4767" s="1"/>
      <c r="W4767" s="1"/>
      <c r="X4767" s="1"/>
    </row>
    <row x14ac:dyDescent="0.25" r="4768" customHeight="1" ht="18.75">
      <c r="A4768" s="1"/>
      <c r="B4768" s="1"/>
      <c r="C4768" s="1"/>
      <c r="D4768" s="1"/>
      <c r="E4768" s="1"/>
      <c r="F4768" s="1"/>
      <c r="G4768" s="1"/>
      <c r="H4768" s="1"/>
      <c r="I4768" s="2"/>
      <c r="J4768" s="1"/>
      <c r="K4768" s="1"/>
      <c r="L4768" s="1"/>
      <c r="M4768" s="1"/>
      <c r="N4768" s="1"/>
      <c r="O4768" s="1"/>
      <c r="P4768" s="1"/>
      <c r="Q4768" s="1"/>
      <c r="R4768" s="1"/>
      <c r="S4768" s="1"/>
      <c r="T4768" s="1"/>
      <c r="U4768" s="1"/>
      <c r="V4768" s="1"/>
      <c r="W4768" s="1"/>
      <c r="X4768" s="1"/>
    </row>
    <row x14ac:dyDescent="0.25" r="4769" customHeight="1" ht="18.75">
      <c r="A4769" s="1"/>
      <c r="B4769" s="1"/>
      <c r="C4769" s="1"/>
      <c r="D4769" s="1"/>
      <c r="E4769" s="1"/>
      <c r="F4769" s="1"/>
      <c r="G4769" s="1"/>
      <c r="H4769" s="1"/>
      <c r="I4769" s="2"/>
      <c r="J4769" s="1"/>
      <c r="K4769" s="1"/>
      <c r="L4769" s="1"/>
      <c r="M4769" s="1"/>
      <c r="N4769" s="1"/>
      <c r="O4769" s="1"/>
      <c r="P4769" s="1"/>
      <c r="Q4769" s="1"/>
      <c r="R4769" s="1"/>
      <c r="S4769" s="1"/>
      <c r="T4769" s="1"/>
      <c r="U4769" s="1"/>
      <c r="V4769" s="1"/>
      <c r="W4769" s="1"/>
      <c r="X4769" s="1"/>
    </row>
    <row x14ac:dyDescent="0.25" r="4770" customHeight="1" ht="18.75">
      <c r="A4770" s="1"/>
      <c r="B4770" s="1"/>
      <c r="C4770" s="1"/>
      <c r="D4770" s="1"/>
      <c r="E4770" s="1"/>
      <c r="F4770" s="1"/>
      <c r="G4770" s="1"/>
      <c r="H4770" s="1"/>
      <c r="I4770" s="2"/>
      <c r="J4770" s="1"/>
      <c r="K4770" s="1"/>
      <c r="L4770" s="1"/>
      <c r="M4770" s="1"/>
      <c r="N4770" s="1"/>
      <c r="O4770" s="1"/>
      <c r="P4770" s="1"/>
      <c r="Q4770" s="1"/>
      <c r="R4770" s="1"/>
      <c r="S4770" s="1"/>
      <c r="T4770" s="1"/>
      <c r="U4770" s="1"/>
      <c r="V4770" s="1"/>
      <c r="W4770" s="1"/>
      <c r="X4770" s="1"/>
    </row>
    <row x14ac:dyDescent="0.25" r="4771" customHeight="1" ht="18.75">
      <c r="A4771" s="1"/>
      <c r="B4771" s="1"/>
      <c r="C4771" s="1"/>
      <c r="D4771" s="1"/>
      <c r="E4771" s="1"/>
      <c r="F4771" s="1"/>
      <c r="G4771" s="1"/>
      <c r="H4771" s="1"/>
      <c r="I4771" s="2"/>
      <c r="J4771" s="1"/>
      <c r="K4771" s="1"/>
      <c r="L4771" s="1"/>
      <c r="M4771" s="1"/>
      <c r="N4771" s="1"/>
      <c r="O4771" s="1"/>
      <c r="P4771" s="1"/>
      <c r="Q4771" s="1"/>
      <c r="R4771" s="1"/>
      <c r="S4771" s="1"/>
      <c r="T4771" s="1"/>
      <c r="U4771" s="1"/>
      <c r="V4771" s="1"/>
      <c r="W4771" s="1"/>
      <c r="X4771" s="1"/>
    </row>
    <row x14ac:dyDescent="0.25" r="4772" customHeight="1" ht="18.75">
      <c r="A4772" s="1"/>
      <c r="B4772" s="1"/>
      <c r="C4772" s="1"/>
      <c r="D4772" s="1"/>
      <c r="E4772" s="1"/>
      <c r="F4772" s="1"/>
      <c r="G4772" s="1"/>
      <c r="H4772" s="1"/>
      <c r="I4772" s="2"/>
      <c r="J4772" s="1"/>
      <c r="K4772" s="1"/>
      <c r="L4772" s="1"/>
      <c r="M4772" s="1"/>
      <c r="N4772" s="1"/>
      <c r="O4772" s="1"/>
      <c r="P4772" s="1"/>
      <c r="Q4772" s="1"/>
      <c r="R4772" s="1"/>
      <c r="S4772" s="1"/>
      <c r="T4772" s="1"/>
      <c r="U4772" s="1"/>
      <c r="V4772" s="1"/>
      <c r="W4772" s="1"/>
      <c r="X4772" s="1"/>
    </row>
    <row x14ac:dyDescent="0.25" r="4773" customHeight="1" ht="18.75">
      <c r="A4773" s="1"/>
      <c r="B4773" s="1"/>
      <c r="C4773" s="1"/>
      <c r="D4773" s="1"/>
      <c r="E4773" s="1"/>
      <c r="F4773" s="1"/>
      <c r="G4773" s="1"/>
      <c r="H4773" s="1"/>
      <c r="I4773" s="2"/>
      <c r="J4773" s="1"/>
      <c r="K4773" s="1"/>
      <c r="L4773" s="1"/>
      <c r="M4773" s="1"/>
      <c r="N4773" s="1"/>
      <c r="O4773" s="1"/>
      <c r="P4773" s="1"/>
      <c r="Q4773" s="1"/>
      <c r="R4773" s="1"/>
      <c r="S4773" s="1"/>
      <c r="T4773" s="1"/>
      <c r="U4773" s="1"/>
      <c r="V4773" s="1"/>
      <c r="W4773" s="1"/>
      <c r="X4773" s="1"/>
    </row>
    <row x14ac:dyDescent="0.25" r="4774" customHeight="1" ht="18.75">
      <c r="A4774" s="1"/>
      <c r="B4774" s="1"/>
      <c r="C4774" s="1"/>
      <c r="D4774" s="1"/>
      <c r="E4774" s="1"/>
      <c r="F4774" s="1"/>
      <c r="G4774" s="1"/>
      <c r="H4774" s="1"/>
      <c r="I4774" s="2"/>
      <c r="J4774" s="1"/>
      <c r="K4774" s="1"/>
      <c r="L4774" s="1"/>
      <c r="M4774" s="1"/>
      <c r="N4774" s="1"/>
      <c r="O4774" s="1"/>
      <c r="P4774" s="1"/>
      <c r="Q4774" s="1"/>
      <c r="R4774" s="1"/>
      <c r="S4774" s="1"/>
      <c r="T4774" s="1"/>
      <c r="U4774" s="1"/>
      <c r="V4774" s="1"/>
      <c r="W4774" s="1"/>
      <c r="X4774" s="1"/>
    </row>
    <row x14ac:dyDescent="0.25" r="4775" customHeight="1" ht="18.75">
      <c r="A4775" s="1"/>
      <c r="B4775" s="1"/>
      <c r="C4775" s="1"/>
      <c r="D4775" s="1"/>
      <c r="E4775" s="1"/>
      <c r="F4775" s="1"/>
      <c r="G4775" s="1"/>
      <c r="H4775" s="1"/>
      <c r="I4775" s="2"/>
      <c r="J4775" s="1"/>
      <c r="K4775" s="1"/>
      <c r="L4775" s="1"/>
      <c r="M4775" s="1"/>
      <c r="N4775" s="1"/>
      <c r="O4775" s="1"/>
      <c r="P4775" s="1"/>
      <c r="Q4775" s="1"/>
      <c r="R4775" s="1"/>
      <c r="S4775" s="1"/>
      <c r="T4775" s="1"/>
      <c r="U4775" s="1"/>
      <c r="V4775" s="1"/>
      <c r="W4775" s="1"/>
      <c r="X4775" s="1"/>
    </row>
    <row x14ac:dyDescent="0.25" r="4776" customHeight="1" ht="18.75">
      <c r="A4776" s="1"/>
      <c r="B4776" s="1"/>
      <c r="C4776" s="1"/>
      <c r="D4776" s="1"/>
      <c r="E4776" s="1"/>
      <c r="F4776" s="1"/>
      <c r="G4776" s="1"/>
      <c r="H4776" s="1"/>
      <c r="I4776" s="2"/>
      <c r="J4776" s="1"/>
      <c r="K4776" s="1"/>
      <c r="L4776" s="1"/>
      <c r="M4776" s="1"/>
      <c r="N4776" s="1"/>
      <c r="O4776" s="1"/>
      <c r="P4776" s="1"/>
      <c r="Q4776" s="1"/>
      <c r="R4776" s="1"/>
      <c r="S4776" s="1"/>
      <c r="T4776" s="1"/>
      <c r="U4776" s="1"/>
      <c r="V4776" s="1"/>
      <c r="W4776" s="1"/>
      <c r="X4776" s="1"/>
    </row>
    <row x14ac:dyDescent="0.25" r="4777" customHeight="1" ht="18.75">
      <c r="A4777" s="1"/>
      <c r="B4777" s="1"/>
      <c r="C4777" s="1"/>
      <c r="D4777" s="1"/>
      <c r="E4777" s="1"/>
      <c r="F4777" s="1"/>
      <c r="G4777" s="1"/>
      <c r="H4777" s="1"/>
      <c r="I4777" s="2"/>
      <c r="J4777" s="1"/>
      <c r="K4777" s="1"/>
      <c r="L4777" s="1"/>
      <c r="M4777" s="1"/>
      <c r="N4777" s="1"/>
      <c r="O4777" s="1"/>
      <c r="P4777" s="1"/>
      <c r="Q4777" s="1"/>
      <c r="R4777" s="1"/>
      <c r="S4777" s="1"/>
      <c r="T4777" s="1"/>
      <c r="U4777" s="1"/>
      <c r="V4777" s="1"/>
      <c r="W4777" s="1"/>
      <c r="X4777" s="1"/>
    </row>
    <row x14ac:dyDescent="0.25" r="4778" customHeight="1" ht="18.75">
      <c r="A4778" s="1"/>
      <c r="B4778" s="1"/>
      <c r="C4778" s="1"/>
      <c r="D4778" s="1"/>
      <c r="E4778" s="1"/>
      <c r="F4778" s="1"/>
      <c r="G4778" s="1"/>
      <c r="H4778" s="1"/>
      <c r="I4778" s="2"/>
      <c r="J4778" s="1"/>
      <c r="K4778" s="1"/>
      <c r="L4778" s="1"/>
      <c r="M4778" s="1"/>
      <c r="N4778" s="1"/>
      <c r="O4778" s="1"/>
      <c r="P4778" s="1"/>
      <c r="Q4778" s="1"/>
      <c r="R4778" s="1"/>
      <c r="S4778" s="1"/>
      <c r="T4778" s="1"/>
      <c r="U4778" s="1"/>
      <c r="V4778" s="1"/>
      <c r="W4778" s="1"/>
      <c r="X4778" s="1"/>
    </row>
    <row x14ac:dyDescent="0.25" r="4779" customHeight="1" ht="18.75">
      <c r="A4779" s="1"/>
      <c r="B4779" s="1"/>
      <c r="C4779" s="1"/>
      <c r="D4779" s="1"/>
      <c r="E4779" s="1"/>
      <c r="F4779" s="1"/>
      <c r="G4779" s="1"/>
      <c r="H4779" s="1"/>
      <c r="I4779" s="2"/>
      <c r="J4779" s="1"/>
      <c r="K4779" s="1"/>
      <c r="L4779" s="1"/>
      <c r="M4779" s="1"/>
      <c r="N4779" s="1"/>
      <c r="O4779" s="1"/>
      <c r="P4779" s="1"/>
      <c r="Q4779" s="1"/>
      <c r="R4779" s="1"/>
      <c r="S4779" s="1"/>
      <c r="T4779" s="1"/>
      <c r="U4779" s="1"/>
      <c r="V4779" s="1"/>
      <c r="W4779" s="1"/>
      <c r="X4779" s="1"/>
    </row>
    <row x14ac:dyDescent="0.25" r="4780" customHeight="1" ht="18.75">
      <c r="A4780" s="1"/>
      <c r="B4780" s="1"/>
      <c r="C4780" s="1"/>
      <c r="D4780" s="1"/>
      <c r="E4780" s="1"/>
      <c r="F4780" s="1"/>
      <c r="G4780" s="1"/>
      <c r="H4780" s="1"/>
      <c r="I4780" s="2"/>
      <c r="J4780" s="1"/>
      <c r="K4780" s="1"/>
      <c r="L4780" s="1"/>
      <c r="M4780" s="1"/>
      <c r="N4780" s="1"/>
      <c r="O4780" s="1"/>
      <c r="P4780" s="1"/>
      <c r="Q4780" s="1"/>
      <c r="R4780" s="1"/>
      <c r="S4780" s="1"/>
      <c r="T4780" s="1"/>
      <c r="U4780" s="1"/>
      <c r="V4780" s="1"/>
      <c r="W4780" s="1"/>
      <c r="X4780" s="1"/>
    </row>
    <row x14ac:dyDescent="0.25" r="4781" customHeight="1" ht="18.75">
      <c r="A4781" s="1"/>
      <c r="B4781" s="1"/>
      <c r="C4781" s="1"/>
      <c r="D4781" s="1"/>
      <c r="E4781" s="1"/>
      <c r="F4781" s="1"/>
      <c r="G4781" s="1"/>
      <c r="H4781" s="1"/>
      <c r="I4781" s="2"/>
      <c r="J4781" s="1"/>
      <c r="K4781" s="1"/>
      <c r="L4781" s="1"/>
      <c r="M4781" s="1"/>
      <c r="N4781" s="1"/>
      <c r="O4781" s="1"/>
      <c r="P4781" s="1"/>
      <c r="Q4781" s="1"/>
      <c r="R4781" s="1"/>
      <c r="S4781" s="1"/>
      <c r="T4781" s="1"/>
      <c r="U4781" s="1"/>
      <c r="V4781" s="1"/>
      <c r="W4781" s="1"/>
      <c r="X4781" s="1"/>
    </row>
    <row x14ac:dyDescent="0.25" r="4782" customHeight="1" ht="18.75">
      <c r="A4782" s="1"/>
      <c r="B4782" s="1"/>
      <c r="C4782" s="1"/>
      <c r="D4782" s="1"/>
      <c r="E4782" s="1"/>
      <c r="F4782" s="1"/>
      <c r="G4782" s="1"/>
      <c r="H4782" s="1"/>
      <c r="I4782" s="2"/>
      <c r="J4782" s="1"/>
      <c r="K4782" s="1"/>
      <c r="L4782" s="1"/>
      <c r="M4782" s="1"/>
      <c r="N4782" s="1"/>
      <c r="O4782" s="1"/>
      <c r="P4782" s="1"/>
      <c r="Q4782" s="1"/>
      <c r="R4782" s="1"/>
      <c r="S4782" s="1"/>
      <c r="T4782" s="1"/>
      <c r="U4782" s="1"/>
      <c r="V4782" s="1"/>
      <c r="W4782" s="1"/>
      <c r="X4782" s="1"/>
    </row>
    <row x14ac:dyDescent="0.25" r="4783" customHeight="1" ht="18.75">
      <c r="A4783" s="1"/>
      <c r="B4783" s="1"/>
      <c r="C4783" s="1"/>
      <c r="D4783" s="1"/>
      <c r="E4783" s="1"/>
      <c r="F4783" s="1"/>
      <c r="G4783" s="1"/>
      <c r="H4783" s="1"/>
      <c r="I4783" s="2"/>
      <c r="J4783" s="1"/>
      <c r="K4783" s="1"/>
      <c r="L4783" s="1"/>
      <c r="M4783" s="1"/>
      <c r="N4783" s="1"/>
      <c r="O4783" s="1"/>
      <c r="P4783" s="1"/>
      <c r="Q4783" s="1"/>
      <c r="R4783" s="1"/>
      <c r="S4783" s="1"/>
      <c r="T4783" s="1"/>
      <c r="U4783" s="1"/>
      <c r="V4783" s="1"/>
      <c r="W4783" s="1"/>
      <c r="X4783" s="1"/>
    </row>
    <row x14ac:dyDescent="0.25" r="4784" customHeight="1" ht="18.75">
      <c r="A4784" s="1"/>
      <c r="B4784" s="1"/>
      <c r="C4784" s="1"/>
      <c r="D4784" s="1"/>
      <c r="E4784" s="1"/>
      <c r="F4784" s="1"/>
      <c r="G4784" s="1"/>
      <c r="H4784" s="1"/>
      <c r="I4784" s="2"/>
      <c r="J4784" s="1"/>
      <c r="K4784" s="1"/>
      <c r="L4784" s="1"/>
      <c r="M4784" s="1"/>
      <c r="N4784" s="1"/>
      <c r="O4784" s="1"/>
      <c r="P4784" s="1"/>
      <c r="Q4784" s="1"/>
      <c r="R4784" s="1"/>
      <c r="S4784" s="1"/>
      <c r="T4784" s="1"/>
      <c r="U4784" s="1"/>
      <c r="V4784" s="1"/>
      <c r="W4784" s="1"/>
      <c r="X4784" s="1"/>
    </row>
    <row x14ac:dyDescent="0.25" r="4785" customHeight="1" ht="18.75">
      <c r="A4785" s="1"/>
      <c r="B4785" s="1"/>
      <c r="C4785" s="1"/>
      <c r="D4785" s="1"/>
      <c r="E4785" s="1"/>
      <c r="F4785" s="1"/>
      <c r="G4785" s="1"/>
      <c r="H4785" s="1"/>
      <c r="I4785" s="2"/>
      <c r="J4785" s="1"/>
      <c r="K4785" s="1"/>
      <c r="L4785" s="1"/>
      <c r="M4785" s="1"/>
      <c r="N4785" s="1"/>
      <c r="O4785" s="1"/>
      <c r="P4785" s="1"/>
      <c r="Q4785" s="1"/>
      <c r="R4785" s="1"/>
      <c r="S4785" s="1"/>
      <c r="T4785" s="1"/>
      <c r="U4785" s="1"/>
      <c r="V4785" s="1"/>
      <c r="W4785" s="1"/>
      <c r="X4785" s="1"/>
    </row>
    <row x14ac:dyDescent="0.25" r="4786" customHeight="1" ht="18.75">
      <c r="A4786" s="1"/>
      <c r="B4786" s="1"/>
      <c r="C4786" s="1"/>
      <c r="D4786" s="1"/>
      <c r="E4786" s="1"/>
      <c r="F4786" s="1"/>
      <c r="G4786" s="1"/>
      <c r="H4786" s="1"/>
      <c r="I4786" s="2"/>
      <c r="J4786" s="1"/>
      <c r="K4786" s="1"/>
      <c r="L4786" s="1"/>
      <c r="M4786" s="1"/>
      <c r="N4786" s="1"/>
      <c r="O4786" s="1"/>
      <c r="P4786" s="1"/>
      <c r="Q4786" s="1"/>
      <c r="R4786" s="1"/>
      <c r="S4786" s="1"/>
      <c r="T4786" s="1"/>
      <c r="U4786" s="1"/>
      <c r="V4786" s="1"/>
      <c r="W4786" s="1"/>
      <c r="X4786" s="1"/>
    </row>
    <row x14ac:dyDescent="0.25" r="4787" customHeight="1" ht="18.75">
      <c r="A4787" s="1"/>
      <c r="B4787" s="1"/>
      <c r="C4787" s="1"/>
      <c r="D4787" s="1"/>
      <c r="E4787" s="1"/>
      <c r="F4787" s="1"/>
      <c r="G4787" s="1"/>
      <c r="H4787" s="1"/>
      <c r="I4787" s="2"/>
      <c r="J4787" s="1"/>
      <c r="K4787" s="1"/>
      <c r="L4787" s="1"/>
      <c r="M4787" s="1"/>
      <c r="N4787" s="1"/>
      <c r="O4787" s="1"/>
      <c r="P4787" s="1"/>
      <c r="Q4787" s="1"/>
      <c r="R4787" s="1"/>
      <c r="S4787" s="1"/>
      <c r="T4787" s="1"/>
      <c r="U4787" s="1"/>
      <c r="V4787" s="1"/>
      <c r="W4787" s="1"/>
      <c r="X4787" s="1"/>
    </row>
    <row x14ac:dyDescent="0.25" r="4788" customHeight="1" ht="18.75">
      <c r="A4788" s="1"/>
      <c r="B4788" s="1"/>
      <c r="C4788" s="1"/>
      <c r="D4788" s="1"/>
      <c r="E4788" s="1"/>
      <c r="F4788" s="1"/>
      <c r="G4788" s="1"/>
      <c r="H4788" s="1"/>
      <c r="I4788" s="2"/>
      <c r="J4788" s="1"/>
      <c r="K4788" s="1"/>
      <c r="L4788" s="1"/>
      <c r="M4788" s="1"/>
      <c r="N4788" s="1"/>
      <c r="O4788" s="1"/>
      <c r="P4788" s="1"/>
      <c r="Q4788" s="1"/>
      <c r="R4788" s="1"/>
      <c r="S4788" s="1"/>
      <c r="T4788" s="1"/>
      <c r="U4788" s="1"/>
      <c r="V4788" s="1"/>
      <c r="W4788" s="1"/>
      <c r="X4788" s="1"/>
    </row>
    <row x14ac:dyDescent="0.25" r="4789" customHeight="1" ht="18.75">
      <c r="A4789" s="1"/>
      <c r="B4789" s="1"/>
      <c r="C4789" s="1"/>
      <c r="D4789" s="1"/>
      <c r="E4789" s="1"/>
      <c r="F4789" s="1"/>
      <c r="G4789" s="1"/>
      <c r="H4789" s="1"/>
      <c r="I4789" s="2"/>
      <c r="J4789" s="1"/>
      <c r="K4789" s="1"/>
      <c r="L4789" s="1"/>
      <c r="M4789" s="1"/>
      <c r="N4789" s="1"/>
      <c r="O4789" s="1"/>
      <c r="P4789" s="1"/>
      <c r="Q4789" s="1"/>
      <c r="R4789" s="1"/>
      <c r="S4789" s="1"/>
      <c r="T4789" s="1"/>
      <c r="U4789" s="1"/>
      <c r="V4789" s="1"/>
      <c r="W4789" s="1"/>
      <c r="X4789" s="1"/>
    </row>
    <row x14ac:dyDescent="0.25" r="4790" customHeight="1" ht="18.75">
      <c r="A4790" s="1"/>
      <c r="B4790" s="1"/>
      <c r="C4790" s="1"/>
      <c r="D4790" s="1"/>
      <c r="E4790" s="1"/>
      <c r="F4790" s="1"/>
      <c r="G4790" s="1"/>
      <c r="H4790" s="1"/>
      <c r="I4790" s="2"/>
      <c r="J4790" s="1"/>
      <c r="K4790" s="1"/>
      <c r="L4790" s="1"/>
      <c r="M4790" s="1"/>
      <c r="N4790" s="1"/>
      <c r="O4790" s="1"/>
      <c r="P4790" s="1"/>
      <c r="Q4790" s="1"/>
      <c r="R4790" s="1"/>
      <c r="S4790" s="1"/>
      <c r="T4790" s="1"/>
      <c r="U4790" s="1"/>
      <c r="V4790" s="1"/>
      <c r="W4790" s="1"/>
      <c r="X4790" s="1"/>
    </row>
    <row x14ac:dyDescent="0.25" r="4791" customHeight="1" ht="18.75">
      <c r="A4791" s="1"/>
      <c r="B4791" s="1"/>
      <c r="C4791" s="1"/>
      <c r="D4791" s="1"/>
      <c r="E4791" s="1"/>
      <c r="F4791" s="1"/>
      <c r="G4791" s="1"/>
      <c r="H4791" s="1"/>
      <c r="I4791" s="2"/>
      <c r="J4791" s="1"/>
      <c r="K4791" s="1"/>
      <c r="L4791" s="1"/>
      <c r="M4791" s="1"/>
      <c r="N4791" s="1"/>
      <c r="O4791" s="1"/>
      <c r="P4791" s="1"/>
      <c r="Q4791" s="1"/>
      <c r="R4791" s="1"/>
      <c r="S4791" s="1"/>
      <c r="T4791" s="1"/>
      <c r="U4791" s="1"/>
      <c r="V4791" s="1"/>
      <c r="W4791" s="1"/>
      <c r="X4791" s="1"/>
    </row>
    <row x14ac:dyDescent="0.25" r="4792" customHeight="1" ht="18.75">
      <c r="A4792" s="1"/>
      <c r="B4792" s="1"/>
      <c r="C4792" s="1"/>
      <c r="D4792" s="1"/>
      <c r="E4792" s="1"/>
      <c r="F4792" s="1"/>
      <c r="G4792" s="1"/>
      <c r="H4792" s="1"/>
      <c r="I4792" s="2"/>
      <c r="J4792" s="1"/>
      <c r="K4792" s="1"/>
      <c r="L4792" s="1"/>
      <c r="M4792" s="1"/>
      <c r="N4792" s="1"/>
      <c r="O4792" s="1"/>
      <c r="P4792" s="1"/>
      <c r="Q4792" s="1"/>
      <c r="R4792" s="1"/>
      <c r="S4792" s="1"/>
      <c r="T4792" s="1"/>
      <c r="U4792" s="1"/>
      <c r="V4792" s="1"/>
      <c r="W4792" s="1"/>
      <c r="X4792" s="1"/>
    </row>
    <row x14ac:dyDescent="0.25" r="4793" customHeight="1" ht="18.75">
      <c r="A4793" s="1"/>
      <c r="B4793" s="1"/>
      <c r="C4793" s="1"/>
      <c r="D4793" s="1"/>
      <c r="E4793" s="1"/>
      <c r="F4793" s="1"/>
      <c r="G4793" s="1"/>
      <c r="H4793" s="1"/>
      <c r="I4793" s="2"/>
      <c r="J4793" s="1"/>
      <c r="K4793" s="1"/>
      <c r="L4793" s="1"/>
      <c r="M4793" s="1"/>
      <c r="N4793" s="1"/>
      <c r="O4793" s="1"/>
      <c r="P4793" s="1"/>
      <c r="Q4793" s="1"/>
      <c r="R4793" s="1"/>
      <c r="S4793" s="1"/>
      <c r="T4793" s="1"/>
      <c r="U4793" s="1"/>
      <c r="V4793" s="1"/>
      <c r="W4793" s="1"/>
      <c r="X4793" s="1"/>
    </row>
    <row x14ac:dyDescent="0.25" r="4794" customHeight="1" ht="18.75">
      <c r="A4794" s="1"/>
      <c r="B4794" s="1"/>
      <c r="C4794" s="1"/>
      <c r="D4794" s="1"/>
      <c r="E4794" s="1"/>
      <c r="F4794" s="1"/>
      <c r="G4794" s="1"/>
      <c r="H4794" s="1"/>
      <c r="I4794" s="2"/>
      <c r="J4794" s="1"/>
      <c r="K4794" s="1"/>
      <c r="L4794" s="1"/>
      <c r="M4794" s="1"/>
      <c r="N4794" s="1"/>
      <c r="O4794" s="1"/>
      <c r="P4794" s="1"/>
      <c r="Q4794" s="1"/>
      <c r="R4794" s="1"/>
      <c r="S4794" s="1"/>
      <c r="T4794" s="1"/>
      <c r="U4794" s="1"/>
      <c r="V4794" s="1"/>
      <c r="W4794" s="1"/>
      <c r="X4794" s="1"/>
    </row>
    <row x14ac:dyDescent="0.25" r="4795" customHeight="1" ht="18.75">
      <c r="A4795" s="1"/>
      <c r="B4795" s="1"/>
      <c r="C4795" s="1"/>
      <c r="D4795" s="1"/>
      <c r="E4795" s="1"/>
      <c r="F4795" s="1"/>
      <c r="G4795" s="1"/>
      <c r="H4795" s="1"/>
      <c r="I4795" s="2"/>
      <c r="J4795" s="1"/>
      <c r="K4795" s="1"/>
      <c r="L4795" s="1"/>
      <c r="M4795" s="1"/>
      <c r="N4795" s="1"/>
      <c r="O4795" s="1"/>
      <c r="P4795" s="1"/>
      <c r="Q4795" s="1"/>
      <c r="R4795" s="1"/>
      <c r="S4795" s="1"/>
      <c r="T4795" s="1"/>
      <c r="U4795" s="1"/>
      <c r="V4795" s="1"/>
      <c r="W4795" s="1"/>
      <c r="X4795" s="1"/>
    </row>
    <row x14ac:dyDescent="0.25" r="4796" customHeight="1" ht="18.75">
      <c r="A4796" s="1"/>
      <c r="B4796" s="1"/>
      <c r="C4796" s="1"/>
      <c r="D4796" s="1"/>
      <c r="E4796" s="1"/>
      <c r="F4796" s="1"/>
      <c r="G4796" s="1"/>
      <c r="H4796" s="1"/>
      <c r="I4796" s="2"/>
      <c r="J4796" s="1"/>
      <c r="K4796" s="1"/>
      <c r="L4796" s="1"/>
      <c r="M4796" s="1"/>
      <c r="N4796" s="1"/>
      <c r="O4796" s="1"/>
      <c r="P4796" s="1"/>
      <c r="Q4796" s="1"/>
      <c r="R4796" s="1"/>
      <c r="S4796" s="1"/>
      <c r="T4796" s="1"/>
      <c r="U4796" s="1"/>
      <c r="V4796" s="1"/>
      <c r="W4796" s="1"/>
      <c r="X4796" s="1"/>
    </row>
    <row x14ac:dyDescent="0.25" r="4797" customHeight="1" ht="18.75">
      <c r="A4797" s="1"/>
      <c r="B4797" s="1"/>
      <c r="C4797" s="1"/>
      <c r="D4797" s="1"/>
      <c r="E4797" s="1"/>
      <c r="F4797" s="1"/>
      <c r="G4797" s="1"/>
      <c r="H4797" s="1"/>
      <c r="I4797" s="2"/>
      <c r="J4797" s="1"/>
      <c r="K4797" s="1"/>
      <c r="L4797" s="1"/>
      <c r="M4797" s="1"/>
      <c r="N4797" s="1"/>
      <c r="O4797" s="1"/>
      <c r="P4797" s="1"/>
      <c r="Q4797" s="1"/>
      <c r="R4797" s="1"/>
      <c r="S4797" s="1"/>
      <c r="T4797" s="1"/>
      <c r="U4797" s="1"/>
      <c r="V4797" s="1"/>
      <c r="W4797" s="1"/>
      <c r="X4797" s="1"/>
    </row>
    <row x14ac:dyDescent="0.25" r="4798" customHeight="1" ht="18.75">
      <c r="A4798" s="1"/>
      <c r="B4798" s="1"/>
      <c r="C4798" s="1"/>
      <c r="D4798" s="1"/>
      <c r="E4798" s="1"/>
      <c r="F4798" s="1"/>
      <c r="G4798" s="1"/>
      <c r="H4798" s="1"/>
      <c r="I4798" s="2"/>
      <c r="J4798" s="1"/>
      <c r="K4798" s="1"/>
      <c r="L4798" s="1"/>
      <c r="M4798" s="1"/>
      <c r="N4798" s="1"/>
      <c r="O4798" s="1"/>
      <c r="P4798" s="1"/>
      <c r="Q4798" s="1"/>
      <c r="R4798" s="1"/>
      <c r="S4798" s="1"/>
      <c r="T4798" s="1"/>
      <c r="U4798" s="1"/>
      <c r="V4798" s="1"/>
      <c r="W4798" s="1"/>
      <c r="X4798" s="1"/>
    </row>
    <row x14ac:dyDescent="0.25" r="4799" customHeight="1" ht="18.75">
      <c r="A4799" s="1"/>
      <c r="B4799" s="1"/>
      <c r="C4799" s="1"/>
      <c r="D4799" s="1"/>
      <c r="E4799" s="1"/>
      <c r="F4799" s="1"/>
      <c r="G4799" s="1"/>
      <c r="H4799" s="1"/>
      <c r="I4799" s="2"/>
      <c r="J4799" s="1"/>
      <c r="K4799" s="1"/>
      <c r="L4799" s="1"/>
      <c r="M4799" s="1"/>
      <c r="N4799" s="1"/>
      <c r="O4799" s="1"/>
      <c r="P4799" s="1"/>
      <c r="Q4799" s="1"/>
      <c r="R4799" s="1"/>
      <c r="S4799" s="1"/>
      <c r="T4799" s="1"/>
      <c r="U4799" s="1"/>
      <c r="V4799" s="1"/>
      <c r="W4799" s="1"/>
      <c r="X4799" s="1"/>
    </row>
    <row x14ac:dyDescent="0.25" r="4800" customHeight="1" ht="18.75">
      <c r="A4800" s="1"/>
      <c r="B4800" s="1"/>
      <c r="C4800" s="1"/>
      <c r="D4800" s="1"/>
      <c r="E4800" s="1"/>
      <c r="F4800" s="1"/>
      <c r="G4800" s="1"/>
      <c r="H4800" s="1"/>
      <c r="I4800" s="2"/>
      <c r="J4800" s="1"/>
      <c r="K4800" s="1"/>
      <c r="L4800" s="1"/>
      <c r="M4800" s="1"/>
      <c r="N4800" s="1"/>
      <c r="O4800" s="1"/>
      <c r="P4800" s="1"/>
      <c r="Q4800" s="1"/>
      <c r="R4800" s="1"/>
      <c r="S4800" s="1"/>
      <c r="T4800" s="1"/>
      <c r="U4800" s="1"/>
      <c r="V4800" s="1"/>
      <c r="W4800" s="1"/>
      <c r="X4800" s="1"/>
    </row>
    <row x14ac:dyDescent="0.25" r="4801" customHeight="1" ht="18.75">
      <c r="A4801" s="1"/>
      <c r="B4801" s="1"/>
      <c r="C4801" s="1"/>
      <c r="D4801" s="1"/>
      <c r="E4801" s="1"/>
      <c r="F4801" s="1"/>
      <c r="G4801" s="1"/>
      <c r="H4801" s="1"/>
      <c r="I4801" s="2"/>
      <c r="J4801" s="1"/>
      <c r="K4801" s="1"/>
      <c r="L4801" s="1"/>
      <c r="M4801" s="1"/>
      <c r="N4801" s="1"/>
      <c r="O4801" s="1"/>
      <c r="P4801" s="1"/>
      <c r="Q4801" s="1"/>
      <c r="R4801" s="1"/>
      <c r="S4801" s="1"/>
      <c r="T4801" s="1"/>
      <c r="U4801" s="1"/>
      <c r="V4801" s="1"/>
      <c r="W4801" s="1"/>
      <c r="X4801" s="1"/>
    </row>
    <row x14ac:dyDescent="0.25" r="4802" customHeight="1" ht="18.75">
      <c r="A4802" s="1"/>
      <c r="B4802" s="1"/>
      <c r="C4802" s="1"/>
      <c r="D4802" s="1"/>
      <c r="E4802" s="1"/>
      <c r="F4802" s="1"/>
      <c r="G4802" s="1"/>
      <c r="H4802" s="1"/>
      <c r="I4802" s="2"/>
      <c r="J4802" s="1"/>
      <c r="K4802" s="1"/>
      <c r="L4802" s="1"/>
      <c r="M4802" s="1"/>
      <c r="N4802" s="1"/>
      <c r="O4802" s="1"/>
      <c r="P4802" s="1"/>
      <c r="Q4802" s="1"/>
      <c r="R4802" s="1"/>
      <c r="S4802" s="1"/>
      <c r="T4802" s="1"/>
      <c r="U4802" s="1"/>
      <c r="V4802" s="1"/>
      <c r="W4802" s="1"/>
      <c r="X4802" s="1"/>
    </row>
    <row x14ac:dyDescent="0.25" r="4803" customHeight="1" ht="18.75">
      <c r="A4803" s="1"/>
      <c r="B4803" s="1"/>
      <c r="C4803" s="1"/>
      <c r="D4803" s="1"/>
      <c r="E4803" s="1"/>
      <c r="F4803" s="1"/>
      <c r="G4803" s="1"/>
      <c r="H4803" s="1"/>
      <c r="I4803" s="2"/>
      <c r="J4803" s="1"/>
      <c r="K4803" s="1"/>
      <c r="L4803" s="1"/>
      <c r="M4803" s="1"/>
      <c r="N4803" s="1"/>
      <c r="O4803" s="1"/>
      <c r="P4803" s="1"/>
      <c r="Q4803" s="1"/>
      <c r="R4803" s="1"/>
      <c r="S4803" s="1"/>
      <c r="T4803" s="1"/>
      <c r="U4803" s="1"/>
      <c r="V4803" s="1"/>
      <c r="W4803" s="1"/>
      <c r="X4803" s="1"/>
    </row>
    <row x14ac:dyDescent="0.25" r="4804" customHeight="1" ht="18.75">
      <c r="A4804" s="1"/>
      <c r="B4804" s="1"/>
      <c r="C4804" s="1"/>
      <c r="D4804" s="1"/>
      <c r="E4804" s="1"/>
      <c r="F4804" s="1"/>
      <c r="G4804" s="1"/>
      <c r="H4804" s="1"/>
      <c r="I4804" s="2"/>
      <c r="J4804" s="1"/>
      <c r="K4804" s="1"/>
      <c r="L4804" s="1"/>
      <c r="M4804" s="1"/>
      <c r="N4804" s="1"/>
      <c r="O4804" s="1"/>
      <c r="P4804" s="1"/>
      <c r="Q4804" s="1"/>
      <c r="R4804" s="1"/>
      <c r="S4804" s="1"/>
      <c r="T4804" s="1"/>
      <c r="U4804" s="1"/>
      <c r="V4804" s="1"/>
      <c r="W4804" s="1"/>
      <c r="X4804" s="1"/>
    </row>
    <row x14ac:dyDescent="0.25" r="4805" customHeight="1" ht="18.75">
      <c r="A4805" s="1"/>
      <c r="B4805" s="1"/>
      <c r="C4805" s="1"/>
      <c r="D4805" s="1"/>
      <c r="E4805" s="1"/>
      <c r="F4805" s="1"/>
      <c r="G4805" s="1"/>
      <c r="H4805" s="1"/>
      <c r="I4805" s="2"/>
      <c r="J4805" s="1"/>
      <c r="K4805" s="1"/>
      <c r="L4805" s="1"/>
      <c r="M4805" s="1"/>
      <c r="N4805" s="1"/>
      <c r="O4805" s="1"/>
      <c r="P4805" s="1"/>
      <c r="Q4805" s="1"/>
      <c r="R4805" s="1"/>
      <c r="S4805" s="1"/>
      <c r="T4805" s="1"/>
      <c r="U4805" s="1"/>
      <c r="V4805" s="1"/>
      <c r="W4805" s="1"/>
      <c r="X4805" s="1"/>
    </row>
    <row x14ac:dyDescent="0.25" r="4806" customHeight="1" ht="18.75">
      <c r="A4806" s="1"/>
      <c r="B4806" s="1"/>
      <c r="C4806" s="1"/>
      <c r="D4806" s="1"/>
      <c r="E4806" s="1"/>
      <c r="F4806" s="1"/>
      <c r="G4806" s="1"/>
      <c r="H4806" s="1"/>
      <c r="I4806" s="2"/>
      <c r="J4806" s="1"/>
      <c r="K4806" s="1"/>
      <c r="L4806" s="1"/>
      <c r="M4806" s="1"/>
      <c r="N4806" s="1"/>
      <c r="O4806" s="1"/>
      <c r="P4806" s="1"/>
      <c r="Q4806" s="1"/>
      <c r="R4806" s="1"/>
      <c r="S4806" s="1"/>
      <c r="T4806" s="1"/>
      <c r="U4806" s="1"/>
      <c r="V4806" s="1"/>
      <c r="W4806" s="1"/>
      <c r="X4806" s="1"/>
    </row>
    <row x14ac:dyDescent="0.25" r="4807" customHeight="1" ht="18.75">
      <c r="A4807" s="1"/>
      <c r="B4807" s="1"/>
      <c r="C4807" s="1"/>
      <c r="D4807" s="1"/>
      <c r="E4807" s="1"/>
      <c r="F4807" s="1"/>
      <c r="G4807" s="1"/>
      <c r="H4807" s="1"/>
      <c r="I4807" s="2"/>
      <c r="J4807" s="1"/>
      <c r="K4807" s="1"/>
      <c r="L4807" s="1"/>
      <c r="M4807" s="1"/>
      <c r="N4807" s="1"/>
      <c r="O4807" s="1"/>
      <c r="P4807" s="1"/>
      <c r="Q4807" s="1"/>
      <c r="R4807" s="1"/>
      <c r="S4807" s="1"/>
      <c r="T4807" s="1"/>
      <c r="U4807" s="1"/>
      <c r="V4807" s="1"/>
      <c r="W4807" s="1"/>
      <c r="X4807" s="1"/>
    </row>
    <row x14ac:dyDescent="0.25" r="4808" customHeight="1" ht="18.75">
      <c r="A4808" s="1"/>
      <c r="B4808" s="1"/>
      <c r="C4808" s="1"/>
      <c r="D4808" s="1"/>
      <c r="E4808" s="1"/>
      <c r="F4808" s="1"/>
      <c r="G4808" s="1"/>
      <c r="H4808" s="1"/>
      <c r="I4808" s="2"/>
      <c r="J4808" s="1"/>
      <c r="K4808" s="1"/>
      <c r="L4808" s="1"/>
      <c r="M4808" s="1"/>
      <c r="N4808" s="1"/>
      <c r="O4808" s="1"/>
      <c r="P4808" s="1"/>
      <c r="Q4808" s="1"/>
      <c r="R4808" s="1"/>
      <c r="S4808" s="1"/>
      <c r="T4808" s="1"/>
      <c r="U4808" s="1"/>
      <c r="V4808" s="1"/>
      <c r="W4808" s="1"/>
      <c r="X4808" s="1"/>
    </row>
    <row x14ac:dyDescent="0.25" r="4809" customHeight="1" ht="18.75">
      <c r="A4809" s="1"/>
      <c r="B4809" s="1"/>
      <c r="C4809" s="1"/>
      <c r="D4809" s="1"/>
      <c r="E4809" s="1"/>
      <c r="F4809" s="1"/>
      <c r="G4809" s="1"/>
      <c r="H4809" s="1"/>
      <c r="I4809" s="2"/>
      <c r="J4809" s="1"/>
      <c r="K4809" s="1"/>
      <c r="L4809" s="1"/>
      <c r="M4809" s="1"/>
      <c r="N4809" s="1"/>
      <c r="O4809" s="1"/>
      <c r="P4809" s="1"/>
      <c r="Q4809" s="1"/>
      <c r="R4809" s="1"/>
      <c r="S4809" s="1"/>
      <c r="T4809" s="1"/>
      <c r="U4809" s="1"/>
      <c r="V4809" s="1"/>
      <c r="W4809" s="1"/>
      <c r="X4809" s="1"/>
    </row>
    <row x14ac:dyDescent="0.25" r="4810" customHeight="1" ht="18.75">
      <c r="A4810" s="1"/>
      <c r="B4810" s="1"/>
      <c r="C4810" s="1"/>
      <c r="D4810" s="1"/>
      <c r="E4810" s="1"/>
      <c r="F4810" s="1"/>
      <c r="G4810" s="1"/>
      <c r="H4810" s="1"/>
      <c r="I4810" s="2"/>
      <c r="J4810" s="1"/>
      <c r="K4810" s="1"/>
      <c r="L4810" s="1"/>
      <c r="M4810" s="1"/>
      <c r="N4810" s="1"/>
      <c r="O4810" s="1"/>
      <c r="P4810" s="1"/>
      <c r="Q4810" s="1"/>
      <c r="R4810" s="1"/>
      <c r="S4810" s="1"/>
      <c r="T4810" s="1"/>
      <c r="U4810" s="1"/>
      <c r="V4810" s="1"/>
      <c r="W4810" s="1"/>
      <c r="X4810" s="1"/>
    </row>
    <row x14ac:dyDescent="0.25" r="4811" customHeight="1" ht="18.75">
      <c r="A4811" s="1"/>
      <c r="B4811" s="1"/>
      <c r="C4811" s="1"/>
      <c r="D4811" s="1"/>
      <c r="E4811" s="1"/>
      <c r="F4811" s="1"/>
      <c r="G4811" s="1"/>
      <c r="H4811" s="1"/>
      <c r="I4811" s="2"/>
      <c r="J4811" s="1"/>
      <c r="K4811" s="1"/>
      <c r="L4811" s="1"/>
      <c r="M4811" s="1"/>
      <c r="N4811" s="1"/>
      <c r="O4811" s="1"/>
      <c r="P4811" s="1"/>
      <c r="Q4811" s="1"/>
      <c r="R4811" s="1"/>
      <c r="S4811" s="1"/>
      <c r="T4811" s="1"/>
      <c r="U4811" s="1"/>
      <c r="V4811" s="1"/>
      <c r="W4811" s="1"/>
      <c r="X4811" s="1"/>
    </row>
    <row x14ac:dyDescent="0.25" r="4812" customHeight="1" ht="18.75">
      <c r="A4812" s="1"/>
      <c r="B4812" s="1"/>
      <c r="C4812" s="1"/>
      <c r="D4812" s="1"/>
      <c r="E4812" s="1"/>
      <c r="F4812" s="1"/>
      <c r="G4812" s="1"/>
      <c r="H4812" s="1"/>
      <c r="I4812" s="2"/>
      <c r="J4812" s="1"/>
      <c r="K4812" s="1"/>
      <c r="L4812" s="1"/>
      <c r="M4812" s="1"/>
      <c r="N4812" s="1"/>
      <c r="O4812" s="1"/>
      <c r="P4812" s="1"/>
      <c r="Q4812" s="1"/>
      <c r="R4812" s="1"/>
      <c r="S4812" s="1"/>
      <c r="T4812" s="1"/>
      <c r="U4812" s="1"/>
      <c r="V4812" s="1"/>
      <c r="W4812" s="1"/>
      <c r="X4812" s="1"/>
    </row>
    <row x14ac:dyDescent="0.25" r="4813" customHeight="1" ht="18.75">
      <c r="A4813" s="1"/>
      <c r="B4813" s="1"/>
      <c r="C4813" s="1"/>
      <c r="D4813" s="1"/>
      <c r="E4813" s="1"/>
      <c r="F4813" s="1"/>
      <c r="G4813" s="1"/>
      <c r="H4813" s="1"/>
      <c r="I4813" s="2"/>
      <c r="J4813" s="1"/>
      <c r="K4813" s="1"/>
      <c r="L4813" s="1"/>
      <c r="M4813" s="1"/>
      <c r="N4813" s="1"/>
      <c r="O4813" s="1"/>
      <c r="P4813" s="1"/>
      <c r="Q4813" s="1"/>
      <c r="R4813" s="1"/>
      <c r="S4813" s="1"/>
      <c r="T4813" s="1"/>
      <c r="U4813" s="1"/>
      <c r="V4813" s="1"/>
      <c r="W4813" s="1"/>
      <c r="X4813" s="1"/>
    </row>
    <row x14ac:dyDescent="0.25" r="4814" customHeight="1" ht="18.75">
      <c r="A4814" s="1"/>
      <c r="B4814" s="1"/>
      <c r="C4814" s="1"/>
      <c r="D4814" s="1"/>
      <c r="E4814" s="1"/>
      <c r="F4814" s="1"/>
      <c r="G4814" s="1"/>
      <c r="H4814" s="1"/>
      <c r="I4814" s="2"/>
      <c r="J4814" s="1"/>
      <c r="K4814" s="1"/>
      <c r="L4814" s="1"/>
      <c r="M4814" s="1"/>
      <c r="N4814" s="1"/>
      <c r="O4814" s="1"/>
      <c r="P4814" s="1"/>
      <c r="Q4814" s="1"/>
      <c r="R4814" s="1"/>
      <c r="S4814" s="1"/>
      <c r="T4814" s="1"/>
      <c r="U4814" s="1"/>
      <c r="V4814" s="1"/>
      <c r="W4814" s="1"/>
      <c r="X4814" s="1"/>
    </row>
    <row x14ac:dyDescent="0.25" r="4815" customHeight="1" ht="18.75">
      <c r="A4815" s="1"/>
      <c r="B4815" s="1"/>
      <c r="C4815" s="1"/>
      <c r="D4815" s="1"/>
      <c r="E4815" s="1"/>
      <c r="F4815" s="1"/>
      <c r="G4815" s="1"/>
      <c r="H4815" s="1"/>
      <c r="I4815" s="2"/>
      <c r="J4815" s="1"/>
      <c r="K4815" s="1"/>
      <c r="L4815" s="1"/>
      <c r="M4815" s="1"/>
      <c r="N4815" s="1"/>
      <c r="O4815" s="1"/>
      <c r="P4815" s="1"/>
      <c r="Q4815" s="1"/>
      <c r="R4815" s="1"/>
      <c r="S4815" s="1"/>
      <c r="T4815" s="1"/>
      <c r="U4815" s="1"/>
      <c r="V4815" s="1"/>
      <c r="W4815" s="1"/>
      <c r="X4815" s="1"/>
    </row>
    <row x14ac:dyDescent="0.25" r="4816" customHeight="1" ht="18.75">
      <c r="A4816" s="1"/>
      <c r="B4816" s="1"/>
      <c r="C4816" s="1"/>
      <c r="D4816" s="1"/>
      <c r="E4816" s="1"/>
      <c r="F4816" s="1"/>
      <c r="G4816" s="1"/>
      <c r="H4816" s="1"/>
      <c r="I4816" s="2"/>
      <c r="J4816" s="1"/>
      <c r="K4816" s="1"/>
      <c r="L4816" s="1"/>
      <c r="M4816" s="1"/>
      <c r="N4816" s="1"/>
      <c r="O4816" s="1"/>
      <c r="P4816" s="1"/>
      <c r="Q4816" s="1"/>
      <c r="R4816" s="1"/>
      <c r="S4816" s="1"/>
      <c r="T4816" s="1"/>
      <c r="U4816" s="1"/>
      <c r="V4816" s="1"/>
      <c r="W4816" s="1"/>
      <c r="X4816" s="1"/>
    </row>
    <row x14ac:dyDescent="0.25" r="4817" customHeight="1" ht="18.75">
      <c r="A4817" s="1"/>
      <c r="B4817" s="1"/>
      <c r="C4817" s="1"/>
      <c r="D4817" s="1"/>
      <c r="E4817" s="1"/>
      <c r="F4817" s="1"/>
      <c r="G4817" s="1"/>
      <c r="H4817" s="1"/>
      <c r="I4817" s="2"/>
      <c r="J4817" s="1"/>
      <c r="K4817" s="1"/>
      <c r="L4817" s="1"/>
      <c r="M4817" s="1"/>
      <c r="N4817" s="1"/>
      <c r="O4817" s="1"/>
      <c r="P4817" s="1"/>
      <c r="Q4817" s="1"/>
      <c r="R4817" s="1"/>
      <c r="S4817" s="1"/>
      <c r="T4817" s="1"/>
      <c r="U4817" s="1"/>
      <c r="V4817" s="1"/>
      <c r="W4817" s="1"/>
      <c r="X4817" s="1"/>
    </row>
    <row x14ac:dyDescent="0.25" r="4818" customHeight="1" ht="18.75">
      <c r="A4818" s="1"/>
      <c r="B4818" s="1"/>
      <c r="C4818" s="1"/>
      <c r="D4818" s="1"/>
      <c r="E4818" s="1"/>
      <c r="F4818" s="1"/>
      <c r="G4818" s="1"/>
      <c r="H4818" s="1"/>
      <c r="I4818" s="2"/>
      <c r="J4818" s="1"/>
      <c r="K4818" s="1"/>
      <c r="L4818" s="1"/>
      <c r="M4818" s="1"/>
      <c r="N4818" s="1"/>
      <c r="O4818" s="1"/>
      <c r="P4818" s="1"/>
      <c r="Q4818" s="1"/>
      <c r="R4818" s="1"/>
      <c r="S4818" s="1"/>
      <c r="T4818" s="1"/>
      <c r="U4818" s="1"/>
      <c r="V4818" s="1"/>
      <c r="W4818" s="1"/>
      <c r="X4818" s="1"/>
    </row>
    <row x14ac:dyDescent="0.25" r="4819" customHeight="1" ht="18.75">
      <c r="A4819" s="1"/>
      <c r="B4819" s="1"/>
      <c r="C4819" s="1"/>
      <c r="D4819" s="1"/>
      <c r="E4819" s="1"/>
      <c r="F4819" s="1"/>
      <c r="G4819" s="1"/>
      <c r="H4819" s="1"/>
      <c r="I4819" s="2"/>
      <c r="J4819" s="1"/>
      <c r="K4819" s="1"/>
      <c r="L4819" s="1"/>
      <c r="M4819" s="1"/>
      <c r="N4819" s="1"/>
      <c r="O4819" s="1"/>
      <c r="P4819" s="1"/>
      <c r="Q4819" s="1"/>
      <c r="R4819" s="1"/>
      <c r="S4819" s="1"/>
      <c r="T4819" s="1"/>
      <c r="U4819" s="1"/>
      <c r="V4819" s="1"/>
      <c r="W4819" s="1"/>
      <c r="X4819" s="1"/>
    </row>
    <row x14ac:dyDescent="0.25" r="4820" customHeight="1" ht="18.75">
      <c r="A4820" s="1"/>
      <c r="B4820" s="1"/>
      <c r="C4820" s="1"/>
      <c r="D4820" s="1"/>
      <c r="E4820" s="1"/>
      <c r="F4820" s="1"/>
      <c r="G4820" s="1"/>
      <c r="H4820" s="1"/>
      <c r="I4820" s="2"/>
      <c r="J4820" s="1"/>
      <c r="K4820" s="1"/>
      <c r="L4820" s="1"/>
      <c r="M4820" s="1"/>
      <c r="N4820" s="1"/>
      <c r="O4820" s="1"/>
      <c r="P4820" s="1"/>
      <c r="Q4820" s="1"/>
      <c r="R4820" s="1"/>
      <c r="S4820" s="1"/>
      <c r="T4820" s="1"/>
      <c r="U4820" s="1"/>
      <c r="V4820" s="1"/>
      <c r="W4820" s="1"/>
      <c r="X4820" s="1"/>
    </row>
    <row x14ac:dyDescent="0.25" r="4821" customHeight="1" ht="18.75">
      <c r="A4821" s="1"/>
      <c r="B4821" s="1"/>
      <c r="C4821" s="1"/>
      <c r="D4821" s="1"/>
      <c r="E4821" s="1"/>
      <c r="F4821" s="1"/>
      <c r="G4821" s="1"/>
      <c r="H4821" s="1"/>
      <c r="I4821" s="2"/>
      <c r="J4821" s="1"/>
      <c r="K4821" s="1"/>
      <c r="L4821" s="1"/>
      <c r="M4821" s="1"/>
      <c r="N4821" s="1"/>
      <c r="O4821" s="1"/>
      <c r="P4821" s="1"/>
      <c r="Q4821" s="1"/>
      <c r="R4821" s="1"/>
      <c r="S4821" s="1"/>
      <c r="T4821" s="1"/>
      <c r="U4821" s="1"/>
      <c r="V4821" s="1"/>
      <c r="W4821" s="1"/>
      <c r="X4821" s="1"/>
    </row>
    <row x14ac:dyDescent="0.25" r="4822" customHeight="1" ht="18.75">
      <c r="A4822" s="1"/>
      <c r="B4822" s="1"/>
      <c r="C4822" s="1"/>
      <c r="D4822" s="1"/>
      <c r="E4822" s="1"/>
      <c r="F4822" s="1"/>
      <c r="G4822" s="1"/>
      <c r="H4822" s="1"/>
      <c r="I4822" s="2"/>
      <c r="J4822" s="1"/>
      <c r="K4822" s="1"/>
      <c r="L4822" s="1"/>
      <c r="M4822" s="1"/>
      <c r="N4822" s="1"/>
      <c r="O4822" s="1"/>
      <c r="P4822" s="1"/>
      <c r="Q4822" s="1"/>
      <c r="R4822" s="1"/>
      <c r="S4822" s="1"/>
      <c r="T4822" s="1"/>
      <c r="U4822" s="1"/>
      <c r="V4822" s="1"/>
      <c r="W4822" s="1"/>
      <c r="X4822" s="1"/>
    </row>
    <row x14ac:dyDescent="0.25" r="4823" customHeight="1" ht="18.75">
      <c r="A4823" s="1"/>
      <c r="B4823" s="1"/>
      <c r="C4823" s="1"/>
      <c r="D4823" s="1"/>
      <c r="E4823" s="1"/>
      <c r="F4823" s="1"/>
      <c r="G4823" s="1"/>
      <c r="H4823" s="1"/>
      <c r="I4823" s="2"/>
      <c r="J4823" s="1"/>
      <c r="K4823" s="1"/>
      <c r="L4823" s="1"/>
      <c r="M4823" s="1"/>
      <c r="N4823" s="1"/>
      <c r="O4823" s="1"/>
      <c r="P4823" s="1"/>
      <c r="Q4823" s="1"/>
      <c r="R4823" s="1"/>
      <c r="S4823" s="1"/>
      <c r="T4823" s="1"/>
      <c r="U4823" s="1"/>
      <c r="V4823" s="1"/>
      <c r="W4823" s="1"/>
      <c r="X4823" s="1"/>
    </row>
    <row x14ac:dyDescent="0.25" r="4824" customHeight="1" ht="18.75">
      <c r="A4824" s="1"/>
      <c r="B4824" s="1"/>
      <c r="C4824" s="1"/>
      <c r="D4824" s="1"/>
      <c r="E4824" s="1"/>
      <c r="F4824" s="1"/>
      <c r="G4824" s="1"/>
      <c r="H4824" s="1"/>
      <c r="I4824" s="2"/>
      <c r="J4824" s="1"/>
      <c r="K4824" s="1"/>
      <c r="L4824" s="1"/>
      <c r="M4824" s="1"/>
      <c r="N4824" s="1"/>
      <c r="O4824" s="1"/>
      <c r="P4824" s="1"/>
      <c r="Q4824" s="1"/>
      <c r="R4824" s="1"/>
      <c r="S4824" s="1"/>
      <c r="T4824" s="1"/>
      <c r="U4824" s="1"/>
      <c r="V4824" s="1"/>
      <c r="W4824" s="1"/>
      <c r="X4824" s="1"/>
    </row>
    <row x14ac:dyDescent="0.25" r="4825" customHeight="1" ht="18.75">
      <c r="A4825" s="1"/>
      <c r="B4825" s="1"/>
      <c r="C4825" s="1"/>
      <c r="D4825" s="1"/>
      <c r="E4825" s="1"/>
      <c r="F4825" s="1"/>
      <c r="G4825" s="1"/>
      <c r="H4825" s="1"/>
      <c r="I4825" s="2"/>
      <c r="J4825" s="1"/>
      <c r="K4825" s="1"/>
      <c r="L4825" s="1"/>
      <c r="M4825" s="1"/>
      <c r="N4825" s="1"/>
      <c r="O4825" s="1"/>
      <c r="P4825" s="1"/>
      <c r="Q4825" s="1"/>
      <c r="R4825" s="1"/>
      <c r="S4825" s="1"/>
      <c r="T4825" s="1"/>
      <c r="U4825" s="1"/>
      <c r="V4825" s="1"/>
      <c r="W4825" s="1"/>
      <c r="X4825" s="1"/>
    </row>
    <row x14ac:dyDescent="0.25" r="4826" customHeight="1" ht="18.75">
      <c r="A4826" s="1"/>
      <c r="B4826" s="1"/>
      <c r="C4826" s="1"/>
      <c r="D4826" s="1"/>
      <c r="E4826" s="1"/>
      <c r="F4826" s="1"/>
      <c r="G4826" s="1"/>
      <c r="H4826" s="1"/>
      <c r="I4826" s="2"/>
      <c r="J4826" s="1"/>
      <c r="K4826" s="1"/>
      <c r="L4826" s="1"/>
      <c r="M4826" s="1"/>
      <c r="N4826" s="1"/>
      <c r="O4826" s="1"/>
      <c r="P4826" s="1"/>
      <c r="Q4826" s="1"/>
      <c r="R4826" s="1"/>
      <c r="S4826" s="1"/>
      <c r="T4826" s="1"/>
      <c r="U4826" s="1"/>
      <c r="V4826" s="1"/>
      <c r="W4826" s="1"/>
      <c r="X4826" s="1"/>
    </row>
    <row x14ac:dyDescent="0.25" r="4827" customHeight="1" ht="18.75">
      <c r="A4827" s="1"/>
      <c r="B4827" s="1"/>
      <c r="C4827" s="1"/>
      <c r="D4827" s="1"/>
      <c r="E4827" s="1"/>
      <c r="F4827" s="1"/>
      <c r="G4827" s="1"/>
      <c r="H4827" s="1"/>
      <c r="I4827" s="2"/>
      <c r="J4827" s="1"/>
      <c r="K4827" s="1"/>
      <c r="L4827" s="1"/>
      <c r="M4827" s="1"/>
      <c r="N4827" s="1"/>
      <c r="O4827" s="1"/>
      <c r="P4827" s="1"/>
      <c r="Q4827" s="1"/>
      <c r="R4827" s="1"/>
      <c r="S4827" s="1"/>
      <c r="T4827" s="1"/>
      <c r="U4827" s="1"/>
      <c r="V4827" s="1"/>
      <c r="W4827" s="1"/>
      <c r="X4827" s="1"/>
    </row>
    <row x14ac:dyDescent="0.25" r="4828" customHeight="1" ht="18.75">
      <c r="A4828" s="1"/>
      <c r="B4828" s="1"/>
      <c r="C4828" s="1"/>
      <c r="D4828" s="1"/>
      <c r="E4828" s="1"/>
      <c r="F4828" s="1"/>
      <c r="G4828" s="1"/>
      <c r="H4828" s="1"/>
      <c r="I4828" s="2"/>
      <c r="J4828" s="1"/>
      <c r="K4828" s="1"/>
      <c r="L4828" s="1"/>
      <c r="M4828" s="1"/>
      <c r="N4828" s="1"/>
      <c r="O4828" s="1"/>
      <c r="P4828" s="1"/>
      <c r="Q4828" s="1"/>
      <c r="R4828" s="1"/>
      <c r="S4828" s="1"/>
      <c r="T4828" s="1"/>
      <c r="U4828" s="1"/>
      <c r="V4828" s="1"/>
      <c r="W4828" s="1"/>
      <c r="X4828" s="1"/>
    </row>
    <row x14ac:dyDescent="0.25" r="4829" customHeight="1" ht="18.75">
      <c r="A4829" s="1"/>
      <c r="B4829" s="1"/>
      <c r="C4829" s="1"/>
      <c r="D4829" s="1"/>
      <c r="E4829" s="1"/>
      <c r="F4829" s="1"/>
      <c r="G4829" s="1"/>
      <c r="H4829" s="1"/>
      <c r="I4829" s="2"/>
      <c r="J4829" s="1"/>
      <c r="K4829" s="1"/>
      <c r="L4829" s="1"/>
      <c r="M4829" s="1"/>
      <c r="N4829" s="1"/>
      <c r="O4829" s="1"/>
      <c r="P4829" s="1"/>
      <c r="Q4829" s="1"/>
      <c r="R4829" s="1"/>
      <c r="S4829" s="1"/>
      <c r="T4829" s="1"/>
      <c r="U4829" s="1"/>
      <c r="V4829" s="1"/>
      <c r="W4829" s="1"/>
      <c r="X4829" s="1"/>
    </row>
    <row x14ac:dyDescent="0.25" r="4830" customHeight="1" ht="18.75">
      <c r="A4830" s="1"/>
      <c r="B4830" s="1"/>
      <c r="C4830" s="1"/>
      <c r="D4830" s="1"/>
      <c r="E4830" s="1"/>
      <c r="F4830" s="1"/>
      <c r="G4830" s="1"/>
      <c r="H4830" s="1"/>
      <c r="I4830" s="2"/>
      <c r="J4830" s="1"/>
      <c r="K4830" s="1"/>
      <c r="L4830" s="1"/>
      <c r="M4830" s="1"/>
      <c r="N4830" s="1"/>
      <c r="O4830" s="1"/>
      <c r="P4830" s="1"/>
      <c r="Q4830" s="1"/>
      <c r="R4830" s="1"/>
      <c r="S4830" s="1"/>
      <c r="T4830" s="1"/>
      <c r="U4830" s="1"/>
      <c r="V4830" s="1"/>
      <c r="W4830" s="1"/>
      <c r="X4830" s="1"/>
    </row>
    <row x14ac:dyDescent="0.25" r="4831" customHeight="1" ht="18.75">
      <c r="A4831" s="1"/>
      <c r="B4831" s="1"/>
      <c r="C4831" s="1"/>
      <c r="D4831" s="1"/>
      <c r="E4831" s="1"/>
      <c r="F4831" s="1"/>
      <c r="G4831" s="1"/>
      <c r="H4831" s="1"/>
      <c r="I4831" s="2"/>
      <c r="J4831" s="1"/>
      <c r="K4831" s="1"/>
      <c r="L4831" s="1"/>
      <c r="M4831" s="1"/>
      <c r="N4831" s="1"/>
      <c r="O4831" s="1"/>
      <c r="P4831" s="1"/>
      <c r="Q4831" s="1"/>
      <c r="R4831" s="1"/>
      <c r="S4831" s="1"/>
      <c r="T4831" s="1"/>
      <c r="U4831" s="1"/>
      <c r="V4831" s="1"/>
      <c r="W4831" s="1"/>
      <c r="X4831" s="1"/>
    </row>
    <row x14ac:dyDescent="0.25" r="4832" customHeight="1" ht="18.75">
      <c r="A4832" s="1"/>
      <c r="B4832" s="1"/>
      <c r="C4832" s="1"/>
      <c r="D4832" s="1"/>
      <c r="E4832" s="1"/>
      <c r="F4832" s="1"/>
      <c r="G4832" s="1"/>
      <c r="H4832" s="1"/>
      <c r="I4832" s="2"/>
      <c r="J4832" s="1"/>
      <c r="K4832" s="1"/>
      <c r="L4832" s="1"/>
      <c r="M4832" s="1"/>
      <c r="N4832" s="1"/>
      <c r="O4832" s="1"/>
      <c r="P4832" s="1"/>
      <c r="Q4832" s="1"/>
      <c r="R4832" s="1"/>
      <c r="S4832" s="1"/>
      <c r="T4832" s="1"/>
      <c r="U4832" s="1"/>
      <c r="V4832" s="1"/>
      <c r="W4832" s="1"/>
      <c r="X4832" s="1"/>
    </row>
    <row x14ac:dyDescent="0.25" r="4833" customHeight="1" ht="18.75">
      <c r="A4833" s="1"/>
      <c r="B4833" s="1"/>
      <c r="C4833" s="1"/>
      <c r="D4833" s="1"/>
      <c r="E4833" s="1"/>
      <c r="F4833" s="1"/>
      <c r="G4833" s="1"/>
      <c r="H4833" s="1"/>
      <c r="I4833" s="2"/>
      <c r="J4833" s="1"/>
      <c r="K4833" s="1"/>
      <c r="L4833" s="1"/>
      <c r="M4833" s="1"/>
      <c r="N4833" s="1"/>
      <c r="O4833" s="1"/>
      <c r="P4833" s="1"/>
      <c r="Q4833" s="1"/>
      <c r="R4833" s="1"/>
      <c r="S4833" s="1"/>
      <c r="T4833" s="1"/>
      <c r="U4833" s="1"/>
      <c r="V4833" s="1"/>
      <c r="W4833" s="1"/>
      <c r="X4833" s="1"/>
    </row>
    <row x14ac:dyDescent="0.25" r="4834" customHeight="1" ht="18.75">
      <c r="A4834" s="1"/>
      <c r="B4834" s="1"/>
      <c r="C4834" s="1"/>
      <c r="D4834" s="1"/>
      <c r="E4834" s="1"/>
      <c r="F4834" s="1"/>
      <c r="G4834" s="1"/>
      <c r="H4834" s="1"/>
      <c r="I4834" s="2"/>
      <c r="J4834" s="1"/>
      <c r="K4834" s="1"/>
      <c r="L4834" s="1"/>
      <c r="M4834" s="1"/>
      <c r="N4834" s="1"/>
      <c r="O4834" s="1"/>
      <c r="P4834" s="1"/>
      <c r="Q4834" s="1"/>
      <c r="R4834" s="1"/>
      <c r="S4834" s="1"/>
      <c r="T4834" s="1"/>
      <c r="U4834" s="1"/>
      <c r="V4834" s="1"/>
      <c r="W4834" s="1"/>
      <c r="X4834" s="1"/>
    </row>
    <row x14ac:dyDescent="0.25" r="4835" customHeight="1" ht="18.75">
      <c r="A4835" s="1"/>
      <c r="B4835" s="1"/>
      <c r="C4835" s="1"/>
      <c r="D4835" s="1"/>
      <c r="E4835" s="1"/>
      <c r="F4835" s="1"/>
      <c r="G4835" s="1"/>
      <c r="H4835" s="1"/>
      <c r="I4835" s="2"/>
      <c r="J4835" s="1"/>
      <c r="K4835" s="1"/>
      <c r="L4835" s="1"/>
      <c r="M4835" s="1"/>
      <c r="N4835" s="1"/>
      <c r="O4835" s="1"/>
      <c r="P4835" s="1"/>
      <c r="Q4835" s="1"/>
      <c r="R4835" s="1"/>
      <c r="S4835" s="1"/>
      <c r="T4835" s="1"/>
      <c r="U4835" s="1"/>
      <c r="V4835" s="1"/>
      <c r="W4835" s="1"/>
      <c r="X4835" s="1"/>
    </row>
    <row x14ac:dyDescent="0.25" r="4836" customHeight="1" ht="18.75">
      <c r="A4836" s="1"/>
      <c r="B4836" s="1"/>
      <c r="C4836" s="1"/>
      <c r="D4836" s="1"/>
      <c r="E4836" s="1"/>
      <c r="F4836" s="1"/>
      <c r="G4836" s="1"/>
      <c r="H4836" s="1"/>
      <c r="I4836" s="2"/>
      <c r="J4836" s="1"/>
      <c r="K4836" s="1"/>
      <c r="L4836" s="1"/>
      <c r="M4836" s="1"/>
      <c r="N4836" s="1"/>
      <c r="O4836" s="1"/>
      <c r="P4836" s="1"/>
      <c r="Q4836" s="1"/>
      <c r="R4836" s="1"/>
      <c r="S4836" s="1"/>
      <c r="T4836" s="1"/>
      <c r="U4836" s="1"/>
      <c r="V4836" s="1"/>
      <c r="W4836" s="1"/>
      <c r="X4836" s="1"/>
    </row>
    <row x14ac:dyDescent="0.25" r="4837" customHeight="1" ht="18.75">
      <c r="A4837" s="1"/>
      <c r="B4837" s="1"/>
      <c r="C4837" s="1"/>
      <c r="D4837" s="1"/>
      <c r="E4837" s="1"/>
      <c r="F4837" s="1"/>
      <c r="G4837" s="1"/>
      <c r="H4837" s="1"/>
      <c r="I4837" s="2"/>
      <c r="J4837" s="1"/>
      <c r="K4837" s="1"/>
      <c r="L4837" s="1"/>
      <c r="M4837" s="1"/>
      <c r="N4837" s="1"/>
      <c r="O4837" s="1"/>
      <c r="P4837" s="1"/>
      <c r="Q4837" s="1"/>
      <c r="R4837" s="1"/>
      <c r="S4837" s="1"/>
      <c r="T4837" s="1"/>
      <c r="U4837" s="1"/>
      <c r="V4837" s="1"/>
      <c r="W4837" s="1"/>
      <c r="X4837" s="1"/>
    </row>
    <row x14ac:dyDescent="0.25" r="4838" customHeight="1" ht="18.75">
      <c r="A4838" s="1"/>
      <c r="B4838" s="1"/>
      <c r="C4838" s="1"/>
      <c r="D4838" s="1"/>
      <c r="E4838" s="1"/>
      <c r="F4838" s="1"/>
      <c r="G4838" s="1"/>
      <c r="H4838" s="1"/>
      <c r="I4838" s="2"/>
      <c r="J4838" s="1"/>
      <c r="K4838" s="1"/>
      <c r="L4838" s="1"/>
      <c r="M4838" s="1"/>
      <c r="N4838" s="1"/>
      <c r="O4838" s="1"/>
      <c r="P4838" s="1"/>
      <c r="Q4838" s="1"/>
      <c r="R4838" s="1"/>
      <c r="S4838" s="1"/>
      <c r="T4838" s="1"/>
      <c r="U4838" s="1"/>
      <c r="V4838" s="1"/>
      <c r="W4838" s="1"/>
      <c r="X4838" s="1"/>
    </row>
    <row x14ac:dyDescent="0.25" r="4839" customHeight="1" ht="18.75">
      <c r="A4839" s="1"/>
      <c r="B4839" s="1"/>
      <c r="C4839" s="1"/>
      <c r="D4839" s="1"/>
      <c r="E4839" s="1"/>
      <c r="F4839" s="1"/>
      <c r="G4839" s="1"/>
      <c r="H4839" s="1"/>
      <c r="I4839" s="2"/>
      <c r="J4839" s="1"/>
      <c r="K4839" s="1"/>
      <c r="L4839" s="1"/>
      <c r="M4839" s="1"/>
      <c r="N4839" s="1"/>
      <c r="O4839" s="1"/>
      <c r="P4839" s="1"/>
      <c r="Q4839" s="1"/>
      <c r="R4839" s="1"/>
      <c r="S4839" s="1"/>
      <c r="T4839" s="1"/>
      <c r="U4839" s="1"/>
      <c r="V4839" s="1"/>
      <c r="W4839" s="1"/>
      <c r="X4839" s="1"/>
    </row>
    <row x14ac:dyDescent="0.25" r="4840" customHeight="1" ht="18.75">
      <c r="A4840" s="1"/>
      <c r="B4840" s="1"/>
      <c r="C4840" s="1"/>
      <c r="D4840" s="1"/>
      <c r="E4840" s="1"/>
      <c r="F4840" s="1"/>
      <c r="G4840" s="1"/>
      <c r="H4840" s="1"/>
      <c r="I4840" s="2"/>
      <c r="J4840" s="1"/>
      <c r="K4840" s="1"/>
      <c r="L4840" s="1"/>
      <c r="M4840" s="1"/>
      <c r="N4840" s="1"/>
      <c r="O4840" s="1"/>
      <c r="P4840" s="1"/>
      <c r="Q4840" s="1"/>
      <c r="R4840" s="1"/>
      <c r="S4840" s="1"/>
      <c r="T4840" s="1"/>
      <c r="U4840" s="1"/>
      <c r="V4840" s="1"/>
      <c r="W4840" s="1"/>
      <c r="X4840" s="1"/>
    </row>
    <row x14ac:dyDescent="0.25" r="4841" customHeight="1" ht="18.75">
      <c r="A4841" s="1"/>
      <c r="B4841" s="1"/>
      <c r="C4841" s="1"/>
      <c r="D4841" s="1"/>
      <c r="E4841" s="1"/>
      <c r="F4841" s="1"/>
      <c r="G4841" s="1"/>
      <c r="H4841" s="1"/>
      <c r="I4841" s="2"/>
      <c r="J4841" s="1"/>
      <c r="K4841" s="1"/>
      <c r="L4841" s="1"/>
      <c r="M4841" s="1"/>
      <c r="N4841" s="1"/>
      <c r="O4841" s="1"/>
      <c r="P4841" s="1"/>
      <c r="Q4841" s="1"/>
      <c r="R4841" s="1"/>
      <c r="S4841" s="1"/>
      <c r="T4841" s="1"/>
      <c r="U4841" s="1"/>
      <c r="V4841" s="1"/>
      <c r="W4841" s="1"/>
      <c r="X4841" s="1"/>
    </row>
    <row x14ac:dyDescent="0.25" r="4842" customHeight="1" ht="18.75">
      <c r="A4842" s="1"/>
      <c r="B4842" s="1"/>
      <c r="C4842" s="1"/>
      <c r="D4842" s="1"/>
      <c r="E4842" s="1"/>
      <c r="F4842" s="1"/>
      <c r="G4842" s="1"/>
      <c r="H4842" s="1"/>
      <c r="I4842" s="2"/>
      <c r="J4842" s="1"/>
      <c r="K4842" s="1"/>
      <c r="L4842" s="1"/>
      <c r="M4842" s="1"/>
      <c r="N4842" s="1"/>
      <c r="O4842" s="1"/>
      <c r="P4842" s="1"/>
      <c r="Q4842" s="1"/>
      <c r="R4842" s="1"/>
      <c r="S4842" s="1"/>
      <c r="T4842" s="1"/>
      <c r="U4842" s="1"/>
      <c r="V4842" s="1"/>
      <c r="W4842" s="1"/>
      <c r="X4842" s="1"/>
    </row>
    <row x14ac:dyDescent="0.25" r="4843" customHeight="1" ht="18.75">
      <c r="A4843" s="1"/>
      <c r="B4843" s="1"/>
      <c r="C4843" s="1"/>
      <c r="D4843" s="1"/>
      <c r="E4843" s="1"/>
      <c r="F4843" s="1"/>
      <c r="G4843" s="1"/>
      <c r="H4843" s="1"/>
      <c r="I4843" s="2"/>
      <c r="J4843" s="1"/>
      <c r="K4843" s="1"/>
      <c r="L4843" s="1"/>
      <c r="M4843" s="1"/>
      <c r="N4843" s="1"/>
      <c r="O4843" s="1"/>
      <c r="P4843" s="1"/>
      <c r="Q4843" s="1"/>
      <c r="R4843" s="1"/>
      <c r="S4843" s="1"/>
      <c r="T4843" s="1"/>
      <c r="U4843" s="1"/>
      <c r="V4843" s="1"/>
      <c r="W4843" s="1"/>
      <c r="X4843" s="1"/>
    </row>
    <row x14ac:dyDescent="0.25" r="4844" customHeight="1" ht="18.75">
      <c r="A4844" s="1"/>
      <c r="B4844" s="1"/>
      <c r="C4844" s="1"/>
      <c r="D4844" s="1"/>
      <c r="E4844" s="1"/>
      <c r="F4844" s="1"/>
      <c r="G4844" s="1"/>
      <c r="H4844" s="1"/>
      <c r="I4844" s="2"/>
      <c r="J4844" s="1"/>
      <c r="K4844" s="1"/>
      <c r="L4844" s="1"/>
      <c r="M4844" s="1"/>
      <c r="N4844" s="1"/>
      <c r="O4844" s="1"/>
      <c r="P4844" s="1"/>
      <c r="Q4844" s="1"/>
      <c r="R4844" s="1"/>
      <c r="S4844" s="1"/>
      <c r="T4844" s="1"/>
      <c r="U4844" s="1"/>
      <c r="V4844" s="1"/>
      <c r="W4844" s="1"/>
      <c r="X4844" s="1"/>
    </row>
    <row x14ac:dyDescent="0.25" r="4845" customHeight="1" ht="18.75">
      <c r="A4845" s="1"/>
      <c r="B4845" s="1"/>
      <c r="C4845" s="1"/>
      <c r="D4845" s="1"/>
      <c r="E4845" s="1"/>
      <c r="F4845" s="1"/>
      <c r="G4845" s="1"/>
      <c r="H4845" s="1"/>
      <c r="I4845" s="2"/>
      <c r="J4845" s="1"/>
      <c r="K4845" s="1"/>
      <c r="L4845" s="1"/>
      <c r="M4845" s="1"/>
      <c r="N4845" s="1"/>
      <c r="O4845" s="1"/>
      <c r="P4845" s="1"/>
      <c r="Q4845" s="1"/>
      <c r="R4845" s="1"/>
      <c r="S4845" s="1"/>
      <c r="T4845" s="1"/>
      <c r="U4845" s="1"/>
      <c r="V4845" s="1"/>
      <c r="W4845" s="1"/>
      <c r="X4845" s="1"/>
    </row>
    <row x14ac:dyDescent="0.25" r="4846" customHeight="1" ht="18.75">
      <c r="A4846" s="1"/>
      <c r="B4846" s="1"/>
      <c r="C4846" s="1"/>
      <c r="D4846" s="1"/>
      <c r="E4846" s="1"/>
      <c r="F4846" s="1"/>
      <c r="G4846" s="1"/>
      <c r="H4846" s="1"/>
      <c r="I4846" s="2"/>
      <c r="J4846" s="1"/>
      <c r="K4846" s="1"/>
      <c r="L4846" s="1"/>
      <c r="M4846" s="1"/>
      <c r="N4846" s="1"/>
      <c r="O4846" s="1"/>
      <c r="P4846" s="1"/>
      <c r="Q4846" s="1"/>
      <c r="R4846" s="1"/>
      <c r="S4846" s="1"/>
      <c r="T4846" s="1"/>
      <c r="U4846" s="1"/>
      <c r="V4846" s="1"/>
      <c r="W4846" s="1"/>
      <c r="X4846" s="1"/>
    </row>
    <row x14ac:dyDescent="0.25" r="4847" customHeight="1" ht="18.75">
      <c r="A4847" s="1"/>
      <c r="B4847" s="1"/>
      <c r="C4847" s="1"/>
      <c r="D4847" s="1"/>
      <c r="E4847" s="1"/>
      <c r="F4847" s="1"/>
      <c r="G4847" s="1"/>
      <c r="H4847" s="1"/>
      <c r="I4847" s="2"/>
      <c r="J4847" s="1"/>
      <c r="K4847" s="1"/>
      <c r="L4847" s="1"/>
      <c r="M4847" s="1"/>
      <c r="N4847" s="1"/>
      <c r="O4847" s="1"/>
      <c r="P4847" s="1"/>
      <c r="Q4847" s="1"/>
      <c r="R4847" s="1"/>
      <c r="S4847" s="1"/>
      <c r="T4847" s="1"/>
      <c r="U4847" s="1"/>
      <c r="V4847" s="1"/>
      <c r="W4847" s="1"/>
      <c r="X4847" s="1"/>
    </row>
    <row x14ac:dyDescent="0.25" r="4848" customHeight="1" ht="18.75">
      <c r="A4848" s="1"/>
      <c r="B4848" s="1"/>
      <c r="C4848" s="1"/>
      <c r="D4848" s="1"/>
      <c r="E4848" s="1"/>
      <c r="F4848" s="1"/>
      <c r="G4848" s="1"/>
      <c r="H4848" s="1"/>
      <c r="I4848" s="2"/>
      <c r="J4848" s="1"/>
      <c r="K4848" s="1"/>
      <c r="L4848" s="1"/>
      <c r="M4848" s="1"/>
      <c r="N4848" s="1"/>
      <c r="O4848" s="1"/>
      <c r="P4848" s="1"/>
      <c r="Q4848" s="1"/>
      <c r="R4848" s="1"/>
      <c r="S4848" s="1"/>
      <c r="T4848" s="1"/>
      <c r="U4848" s="1"/>
      <c r="V4848" s="1"/>
      <c r="W4848" s="1"/>
      <c r="X4848" s="1"/>
    </row>
    <row x14ac:dyDescent="0.25" r="4849" customHeight="1" ht="18.75">
      <c r="A4849" s="1"/>
      <c r="B4849" s="1"/>
      <c r="C4849" s="1"/>
      <c r="D4849" s="1"/>
      <c r="E4849" s="1"/>
      <c r="F4849" s="1"/>
      <c r="G4849" s="1"/>
      <c r="H4849" s="1"/>
      <c r="I4849" s="2"/>
      <c r="J4849" s="1"/>
      <c r="K4849" s="1"/>
      <c r="L4849" s="1"/>
      <c r="M4849" s="1"/>
      <c r="N4849" s="1"/>
      <c r="O4849" s="1"/>
      <c r="P4849" s="1"/>
      <c r="Q4849" s="1"/>
      <c r="R4849" s="1"/>
      <c r="S4849" s="1"/>
      <c r="T4849" s="1"/>
      <c r="U4849" s="1"/>
      <c r="V4849" s="1"/>
      <c r="W4849" s="1"/>
      <c r="X4849" s="1"/>
    </row>
    <row x14ac:dyDescent="0.25" r="4850" customHeight="1" ht="18.75">
      <c r="A4850" s="1"/>
      <c r="B4850" s="1"/>
      <c r="C4850" s="1"/>
      <c r="D4850" s="1"/>
      <c r="E4850" s="1"/>
      <c r="F4850" s="1"/>
      <c r="G4850" s="1"/>
      <c r="H4850" s="1"/>
      <c r="I4850" s="2"/>
      <c r="J4850" s="1"/>
      <c r="K4850" s="1"/>
      <c r="L4850" s="1"/>
      <c r="M4850" s="1"/>
      <c r="N4850" s="1"/>
      <c r="O4850" s="1"/>
      <c r="P4850" s="1"/>
      <c r="Q4850" s="1"/>
      <c r="R4850" s="1"/>
      <c r="S4850" s="1"/>
      <c r="T4850" s="1"/>
      <c r="U4850" s="1"/>
      <c r="V4850" s="1"/>
      <c r="W4850" s="1"/>
      <c r="X4850" s="1"/>
    </row>
    <row x14ac:dyDescent="0.25" r="4851" customHeight="1" ht="18.75">
      <c r="A4851" s="1"/>
      <c r="B4851" s="1"/>
      <c r="C4851" s="1"/>
      <c r="D4851" s="1"/>
      <c r="E4851" s="1"/>
      <c r="F4851" s="1"/>
      <c r="G4851" s="1"/>
      <c r="H4851" s="1"/>
      <c r="I4851" s="2"/>
      <c r="J4851" s="1"/>
      <c r="K4851" s="1"/>
      <c r="L4851" s="1"/>
      <c r="M4851" s="1"/>
      <c r="N4851" s="1"/>
      <c r="O4851" s="1"/>
      <c r="P4851" s="1"/>
      <c r="Q4851" s="1"/>
      <c r="R4851" s="1"/>
      <c r="S4851" s="1"/>
      <c r="T4851" s="1"/>
      <c r="U4851" s="1"/>
      <c r="V4851" s="1"/>
      <c r="W4851" s="1"/>
      <c r="X4851" s="1"/>
    </row>
    <row x14ac:dyDescent="0.25" r="4852" customHeight="1" ht="18.75">
      <c r="A4852" s="1"/>
      <c r="B4852" s="1"/>
      <c r="C4852" s="1"/>
      <c r="D4852" s="1"/>
      <c r="E4852" s="1"/>
      <c r="F4852" s="1"/>
      <c r="G4852" s="1"/>
      <c r="H4852" s="1"/>
      <c r="I4852" s="2"/>
      <c r="J4852" s="1"/>
      <c r="K4852" s="1"/>
      <c r="L4852" s="1"/>
      <c r="M4852" s="1"/>
      <c r="N4852" s="1"/>
      <c r="O4852" s="1"/>
      <c r="P4852" s="1"/>
      <c r="Q4852" s="1"/>
      <c r="R4852" s="1"/>
      <c r="S4852" s="1"/>
      <c r="T4852" s="1"/>
      <c r="U4852" s="1"/>
      <c r="V4852" s="1"/>
      <c r="W4852" s="1"/>
      <c r="X4852" s="1"/>
    </row>
    <row x14ac:dyDescent="0.25" r="4853" customHeight="1" ht="18.75">
      <c r="A4853" s="1"/>
      <c r="B4853" s="1"/>
      <c r="C4853" s="1"/>
      <c r="D4853" s="1"/>
      <c r="E4853" s="1"/>
      <c r="F4853" s="1"/>
      <c r="G4853" s="1"/>
      <c r="H4853" s="1"/>
      <c r="I4853" s="2"/>
      <c r="J4853" s="1"/>
      <c r="K4853" s="1"/>
      <c r="L4853" s="1"/>
      <c r="M4853" s="1"/>
      <c r="N4853" s="1"/>
      <c r="O4853" s="1"/>
      <c r="P4853" s="1"/>
      <c r="Q4853" s="1"/>
      <c r="R4853" s="1"/>
      <c r="S4853" s="1"/>
      <c r="T4853" s="1"/>
      <c r="U4853" s="1"/>
      <c r="V4853" s="1"/>
      <c r="W4853" s="1"/>
      <c r="X4853" s="1"/>
    </row>
    <row x14ac:dyDescent="0.25" r="4854" customHeight="1" ht="18.75">
      <c r="A4854" s="1"/>
      <c r="B4854" s="1"/>
      <c r="C4854" s="1"/>
      <c r="D4854" s="1"/>
      <c r="E4854" s="1"/>
      <c r="F4854" s="1"/>
      <c r="G4854" s="1"/>
      <c r="H4854" s="1"/>
      <c r="I4854" s="2"/>
      <c r="J4854" s="1"/>
      <c r="K4854" s="1"/>
      <c r="L4854" s="1"/>
      <c r="M4854" s="1"/>
      <c r="N4854" s="1"/>
      <c r="O4854" s="1"/>
      <c r="P4854" s="1"/>
      <c r="Q4854" s="1"/>
      <c r="R4854" s="1"/>
      <c r="S4854" s="1"/>
      <c r="T4854" s="1"/>
      <c r="U4854" s="1"/>
      <c r="V4854" s="1"/>
      <c r="W4854" s="1"/>
      <c r="X4854" s="1"/>
    </row>
    <row x14ac:dyDescent="0.25" r="4855" customHeight="1" ht="18.75">
      <c r="A4855" s="1"/>
      <c r="B4855" s="1"/>
      <c r="C4855" s="1"/>
      <c r="D4855" s="1"/>
      <c r="E4855" s="1"/>
      <c r="F4855" s="1"/>
      <c r="G4855" s="1"/>
      <c r="H4855" s="1"/>
      <c r="I4855" s="2"/>
      <c r="J4855" s="1"/>
      <c r="K4855" s="1"/>
      <c r="L4855" s="1"/>
      <c r="M4855" s="1"/>
      <c r="N4855" s="1"/>
      <c r="O4855" s="1"/>
      <c r="P4855" s="1"/>
      <c r="Q4855" s="1"/>
      <c r="R4855" s="1"/>
      <c r="S4855" s="1"/>
      <c r="T4855" s="1"/>
      <c r="U4855" s="1"/>
      <c r="V4855" s="1"/>
      <c r="W4855" s="1"/>
      <c r="X4855" s="1"/>
    </row>
    <row x14ac:dyDescent="0.25" r="4856" customHeight="1" ht="18.75">
      <c r="A4856" s="1"/>
      <c r="B4856" s="1"/>
      <c r="C4856" s="1"/>
      <c r="D4856" s="1"/>
      <c r="E4856" s="1"/>
      <c r="F4856" s="1"/>
      <c r="G4856" s="1"/>
      <c r="H4856" s="1"/>
      <c r="I4856" s="2"/>
      <c r="J4856" s="1"/>
      <c r="K4856" s="1"/>
      <c r="L4856" s="1"/>
      <c r="M4856" s="1"/>
      <c r="N4856" s="1"/>
      <c r="O4856" s="1"/>
      <c r="P4856" s="1"/>
      <c r="Q4856" s="1"/>
      <c r="R4856" s="1"/>
      <c r="S4856" s="1"/>
      <c r="T4856" s="1"/>
      <c r="U4856" s="1"/>
      <c r="V4856" s="1"/>
      <c r="W4856" s="1"/>
      <c r="X4856" s="1"/>
    </row>
    <row x14ac:dyDescent="0.25" r="4857" customHeight="1" ht="18.75">
      <c r="A4857" s="1"/>
      <c r="B4857" s="1"/>
      <c r="C4857" s="1"/>
      <c r="D4857" s="1"/>
      <c r="E4857" s="1"/>
      <c r="F4857" s="1"/>
      <c r="G4857" s="1"/>
      <c r="H4857" s="1"/>
      <c r="I4857" s="2"/>
      <c r="J4857" s="1"/>
      <c r="K4857" s="1"/>
      <c r="L4857" s="1"/>
      <c r="M4857" s="1"/>
      <c r="N4857" s="1"/>
      <c r="O4857" s="1"/>
      <c r="P4857" s="1"/>
      <c r="Q4857" s="1"/>
      <c r="R4857" s="1"/>
      <c r="S4857" s="1"/>
      <c r="T4857" s="1"/>
      <c r="U4857" s="1"/>
      <c r="V4857" s="1"/>
      <c r="W4857" s="1"/>
      <c r="X4857" s="1"/>
    </row>
    <row x14ac:dyDescent="0.25" r="4858" customHeight="1" ht="18.75">
      <c r="A4858" s="1"/>
      <c r="B4858" s="1"/>
      <c r="C4858" s="1"/>
      <c r="D4858" s="1"/>
      <c r="E4858" s="1"/>
      <c r="F4858" s="1"/>
      <c r="G4858" s="1"/>
      <c r="H4858" s="1"/>
      <c r="I4858" s="2"/>
      <c r="J4858" s="1"/>
      <c r="K4858" s="1"/>
      <c r="L4858" s="1"/>
      <c r="M4858" s="1"/>
      <c r="N4858" s="1"/>
      <c r="O4858" s="1"/>
      <c r="P4858" s="1"/>
      <c r="Q4858" s="1"/>
      <c r="R4858" s="1"/>
      <c r="S4858" s="1"/>
      <c r="T4858" s="1"/>
      <c r="U4858" s="1"/>
      <c r="V4858" s="1"/>
      <c r="W4858" s="1"/>
      <c r="X4858" s="1"/>
    </row>
    <row x14ac:dyDescent="0.25" r="4859" customHeight="1" ht="18.75">
      <c r="A4859" s="1"/>
      <c r="B4859" s="1"/>
      <c r="C4859" s="1"/>
      <c r="D4859" s="1"/>
      <c r="E4859" s="1"/>
      <c r="F4859" s="1"/>
      <c r="G4859" s="1"/>
      <c r="H4859" s="1"/>
      <c r="I4859" s="2"/>
      <c r="J4859" s="1"/>
      <c r="K4859" s="1"/>
      <c r="L4859" s="1"/>
      <c r="M4859" s="1"/>
      <c r="N4859" s="1"/>
      <c r="O4859" s="1"/>
      <c r="P4859" s="1"/>
      <c r="Q4859" s="1"/>
      <c r="R4859" s="1"/>
      <c r="S4859" s="1"/>
      <c r="T4859" s="1"/>
      <c r="U4859" s="1"/>
      <c r="V4859" s="1"/>
      <c r="W4859" s="1"/>
      <c r="X4859" s="1"/>
    </row>
    <row x14ac:dyDescent="0.25" r="4860" customHeight="1" ht="18.75">
      <c r="A4860" s="1"/>
      <c r="B4860" s="1"/>
      <c r="C4860" s="1"/>
      <c r="D4860" s="1"/>
      <c r="E4860" s="1"/>
      <c r="F4860" s="1"/>
      <c r="G4860" s="1"/>
      <c r="H4860" s="1"/>
      <c r="I4860" s="2"/>
      <c r="J4860" s="1"/>
      <c r="K4860" s="1"/>
      <c r="L4860" s="1"/>
      <c r="M4860" s="1"/>
      <c r="N4860" s="1"/>
      <c r="O4860" s="1"/>
      <c r="P4860" s="1"/>
      <c r="Q4860" s="1"/>
      <c r="R4860" s="1"/>
      <c r="S4860" s="1"/>
      <c r="T4860" s="1"/>
      <c r="U4860" s="1"/>
      <c r="V4860" s="1"/>
      <c r="W4860" s="1"/>
      <c r="X4860" s="1"/>
    </row>
    <row x14ac:dyDescent="0.25" r="4861" customHeight="1" ht="18.75">
      <c r="A4861" s="1"/>
      <c r="B4861" s="1"/>
      <c r="C4861" s="1"/>
      <c r="D4861" s="1"/>
      <c r="E4861" s="1"/>
      <c r="F4861" s="1"/>
      <c r="G4861" s="1"/>
      <c r="H4861" s="1"/>
      <c r="I4861" s="2"/>
      <c r="J4861" s="1"/>
      <c r="K4861" s="1"/>
      <c r="L4861" s="1"/>
      <c r="M4861" s="1"/>
      <c r="N4861" s="1"/>
      <c r="O4861" s="1"/>
      <c r="P4861" s="1"/>
      <c r="Q4861" s="1"/>
      <c r="R4861" s="1"/>
      <c r="S4861" s="1"/>
      <c r="T4861" s="1"/>
      <c r="U4861" s="1"/>
      <c r="V4861" s="1"/>
      <c r="W4861" s="1"/>
      <c r="X4861" s="1"/>
    </row>
    <row x14ac:dyDescent="0.25" r="4862" customHeight="1" ht="18.75">
      <c r="A4862" s="1"/>
      <c r="B4862" s="1"/>
      <c r="C4862" s="1"/>
      <c r="D4862" s="1"/>
      <c r="E4862" s="1"/>
      <c r="F4862" s="1"/>
      <c r="G4862" s="1"/>
      <c r="H4862" s="1"/>
      <c r="I4862" s="2"/>
      <c r="J4862" s="1"/>
      <c r="K4862" s="1"/>
      <c r="L4862" s="1"/>
      <c r="M4862" s="1"/>
      <c r="N4862" s="1"/>
      <c r="O4862" s="1"/>
      <c r="P4862" s="1"/>
      <c r="Q4862" s="1"/>
      <c r="R4862" s="1"/>
      <c r="S4862" s="1"/>
      <c r="T4862" s="1"/>
      <c r="U4862" s="1"/>
      <c r="V4862" s="1"/>
      <c r="W4862" s="1"/>
      <c r="X4862" s="1"/>
    </row>
    <row x14ac:dyDescent="0.25" r="4863" customHeight="1" ht="18.75">
      <c r="A4863" s="1"/>
      <c r="B4863" s="1"/>
      <c r="C4863" s="1"/>
      <c r="D4863" s="1"/>
      <c r="E4863" s="1"/>
      <c r="F4863" s="1"/>
      <c r="G4863" s="1"/>
      <c r="H4863" s="1"/>
      <c r="I4863" s="2"/>
      <c r="J4863" s="1"/>
      <c r="K4863" s="1"/>
      <c r="L4863" s="1"/>
      <c r="M4863" s="1"/>
      <c r="N4863" s="1"/>
      <c r="O4863" s="1"/>
      <c r="P4863" s="1"/>
      <c r="Q4863" s="1"/>
      <c r="R4863" s="1"/>
      <c r="S4863" s="1"/>
      <c r="T4863" s="1"/>
      <c r="U4863" s="1"/>
      <c r="V4863" s="1"/>
      <c r="W4863" s="1"/>
      <c r="X4863" s="1"/>
    </row>
    <row x14ac:dyDescent="0.25" r="4864" customHeight="1" ht="18.75">
      <c r="A4864" s="1"/>
      <c r="B4864" s="1"/>
      <c r="C4864" s="1"/>
      <c r="D4864" s="1"/>
      <c r="E4864" s="1"/>
      <c r="F4864" s="1"/>
      <c r="G4864" s="1"/>
      <c r="H4864" s="1"/>
      <c r="I4864" s="2"/>
      <c r="J4864" s="1"/>
      <c r="K4864" s="1"/>
      <c r="L4864" s="1"/>
      <c r="M4864" s="1"/>
      <c r="N4864" s="1"/>
      <c r="O4864" s="1"/>
      <c r="P4864" s="1"/>
      <c r="Q4864" s="1"/>
      <c r="R4864" s="1"/>
      <c r="S4864" s="1"/>
      <c r="T4864" s="1"/>
      <c r="U4864" s="1"/>
      <c r="V4864" s="1"/>
      <c r="W4864" s="1"/>
      <c r="X4864" s="1"/>
    </row>
    <row x14ac:dyDescent="0.25" r="4865" customHeight="1" ht="18.75">
      <c r="A4865" s="1"/>
      <c r="B4865" s="1"/>
      <c r="C4865" s="1"/>
      <c r="D4865" s="1"/>
      <c r="E4865" s="1"/>
      <c r="F4865" s="1"/>
      <c r="G4865" s="1"/>
      <c r="H4865" s="1"/>
      <c r="I4865" s="2"/>
      <c r="J4865" s="1"/>
      <c r="K4865" s="1"/>
      <c r="L4865" s="1"/>
      <c r="M4865" s="1"/>
      <c r="N4865" s="1"/>
      <c r="O4865" s="1"/>
      <c r="P4865" s="1"/>
      <c r="Q4865" s="1"/>
      <c r="R4865" s="1"/>
      <c r="S4865" s="1"/>
      <c r="T4865" s="1"/>
      <c r="U4865" s="1"/>
      <c r="V4865" s="1"/>
      <c r="W4865" s="1"/>
      <c r="X4865" s="1"/>
    </row>
    <row x14ac:dyDescent="0.25" r="4866" customHeight="1" ht="18.75">
      <c r="A4866" s="1"/>
      <c r="B4866" s="1"/>
      <c r="C4866" s="1"/>
      <c r="D4866" s="1"/>
      <c r="E4866" s="1"/>
      <c r="F4866" s="1"/>
      <c r="G4866" s="1"/>
      <c r="H4866" s="1"/>
      <c r="I4866" s="2"/>
      <c r="J4866" s="1"/>
      <c r="K4866" s="1"/>
      <c r="L4866" s="1"/>
      <c r="M4866" s="1"/>
      <c r="N4866" s="1"/>
      <c r="O4866" s="1"/>
      <c r="P4866" s="1"/>
      <c r="Q4866" s="1"/>
      <c r="R4866" s="1"/>
      <c r="S4866" s="1"/>
      <c r="T4866" s="1"/>
      <c r="U4866" s="1"/>
      <c r="V4866" s="1"/>
      <c r="W4866" s="1"/>
      <c r="X4866" s="1"/>
    </row>
    <row x14ac:dyDescent="0.25" r="4867" customHeight="1" ht="18.75">
      <c r="A4867" s="1"/>
      <c r="B4867" s="1"/>
      <c r="C4867" s="1"/>
      <c r="D4867" s="1"/>
      <c r="E4867" s="1"/>
      <c r="F4867" s="1"/>
      <c r="G4867" s="1"/>
      <c r="H4867" s="1"/>
      <c r="I4867" s="2"/>
      <c r="J4867" s="1"/>
      <c r="K4867" s="1"/>
      <c r="L4867" s="1"/>
      <c r="M4867" s="1"/>
      <c r="N4867" s="1"/>
      <c r="O4867" s="1"/>
      <c r="P4867" s="1"/>
      <c r="Q4867" s="1"/>
      <c r="R4867" s="1"/>
      <c r="S4867" s="1"/>
      <c r="T4867" s="1"/>
      <c r="U4867" s="1"/>
      <c r="V4867" s="1"/>
      <c r="W4867" s="1"/>
      <c r="X4867" s="1"/>
    </row>
    <row x14ac:dyDescent="0.25" r="4868" customHeight="1" ht="18.75">
      <c r="A4868" s="1"/>
      <c r="B4868" s="1"/>
      <c r="C4868" s="1"/>
      <c r="D4868" s="1"/>
      <c r="E4868" s="1"/>
      <c r="F4868" s="1"/>
      <c r="G4868" s="1"/>
      <c r="H4868" s="1"/>
      <c r="I4868" s="2"/>
      <c r="J4868" s="1"/>
      <c r="K4868" s="1"/>
      <c r="L4868" s="1"/>
      <c r="M4868" s="1"/>
      <c r="N4868" s="1"/>
      <c r="O4868" s="1"/>
      <c r="P4868" s="1"/>
      <c r="Q4868" s="1"/>
      <c r="R4868" s="1"/>
      <c r="S4868" s="1"/>
      <c r="T4868" s="1"/>
      <c r="U4868" s="1"/>
      <c r="V4868" s="1"/>
      <c r="W4868" s="1"/>
      <c r="X4868" s="1"/>
    </row>
    <row x14ac:dyDescent="0.25" r="4869" customHeight="1" ht="18.75">
      <c r="A4869" s="1"/>
      <c r="B4869" s="1"/>
      <c r="C4869" s="1"/>
      <c r="D4869" s="1"/>
      <c r="E4869" s="1"/>
      <c r="F4869" s="1"/>
      <c r="G4869" s="1"/>
      <c r="H4869" s="1"/>
      <c r="I4869" s="2"/>
      <c r="J4869" s="1"/>
      <c r="K4869" s="1"/>
      <c r="L4869" s="1"/>
      <c r="M4869" s="1"/>
      <c r="N4869" s="1"/>
      <c r="O4869" s="1"/>
      <c r="P4869" s="1"/>
      <c r="Q4869" s="1"/>
      <c r="R4869" s="1"/>
      <c r="S4869" s="1"/>
      <c r="T4869" s="1"/>
      <c r="U4869" s="1"/>
      <c r="V4869" s="1"/>
      <c r="W4869" s="1"/>
      <c r="X4869" s="1"/>
    </row>
    <row x14ac:dyDescent="0.25" r="4870" customHeight="1" ht="18.75">
      <c r="A4870" s="1"/>
      <c r="B4870" s="1"/>
      <c r="C4870" s="1"/>
      <c r="D4870" s="1"/>
      <c r="E4870" s="1"/>
      <c r="F4870" s="1"/>
      <c r="G4870" s="1"/>
      <c r="H4870" s="1"/>
      <c r="I4870" s="2"/>
      <c r="J4870" s="1"/>
      <c r="K4870" s="1"/>
      <c r="L4870" s="1"/>
      <c r="M4870" s="1"/>
      <c r="N4870" s="1"/>
      <c r="O4870" s="1"/>
      <c r="P4870" s="1"/>
      <c r="Q4870" s="1"/>
      <c r="R4870" s="1"/>
      <c r="S4870" s="1"/>
      <c r="T4870" s="1"/>
      <c r="U4870" s="1"/>
      <c r="V4870" s="1"/>
      <c r="W4870" s="1"/>
      <c r="X4870" s="1"/>
    </row>
    <row x14ac:dyDescent="0.25" r="4871" customHeight="1" ht="18.75">
      <c r="A4871" s="1"/>
      <c r="B4871" s="1"/>
      <c r="C4871" s="1"/>
      <c r="D4871" s="1"/>
      <c r="E4871" s="1"/>
      <c r="F4871" s="1"/>
      <c r="G4871" s="1"/>
      <c r="H4871" s="1"/>
      <c r="I4871" s="2"/>
      <c r="J4871" s="1"/>
      <c r="K4871" s="1"/>
      <c r="L4871" s="1"/>
      <c r="M4871" s="1"/>
      <c r="N4871" s="1"/>
      <c r="O4871" s="1"/>
      <c r="P4871" s="1"/>
      <c r="Q4871" s="1"/>
      <c r="R4871" s="1"/>
      <c r="S4871" s="1"/>
      <c r="T4871" s="1"/>
      <c r="U4871" s="1"/>
      <c r="V4871" s="1"/>
      <c r="W4871" s="1"/>
      <c r="X4871" s="1"/>
    </row>
    <row x14ac:dyDescent="0.25" r="4872" customHeight="1" ht="18.75">
      <c r="A4872" s="1"/>
      <c r="B4872" s="1"/>
      <c r="C4872" s="1"/>
      <c r="D4872" s="1"/>
      <c r="E4872" s="1"/>
      <c r="F4872" s="1"/>
      <c r="G4872" s="1"/>
      <c r="H4872" s="1"/>
      <c r="I4872" s="2"/>
      <c r="J4872" s="1"/>
      <c r="K4872" s="1"/>
      <c r="L4872" s="1"/>
      <c r="M4872" s="1"/>
      <c r="N4872" s="1"/>
      <c r="O4872" s="1"/>
      <c r="P4872" s="1"/>
      <c r="Q4872" s="1"/>
      <c r="R4872" s="1"/>
      <c r="S4872" s="1"/>
      <c r="T4872" s="1"/>
      <c r="U4872" s="1"/>
      <c r="V4872" s="1"/>
      <c r="W4872" s="1"/>
      <c r="X4872" s="1"/>
    </row>
    <row x14ac:dyDescent="0.25" r="4873" customHeight="1" ht="18.75">
      <c r="A4873" s="1"/>
      <c r="B4873" s="1"/>
      <c r="C4873" s="1"/>
      <c r="D4873" s="1"/>
      <c r="E4873" s="1"/>
      <c r="F4873" s="1"/>
      <c r="G4873" s="1"/>
      <c r="H4873" s="1"/>
      <c r="I4873" s="2"/>
      <c r="J4873" s="1"/>
      <c r="K4873" s="1"/>
      <c r="L4873" s="1"/>
      <c r="M4873" s="1"/>
      <c r="N4873" s="1"/>
      <c r="O4873" s="1"/>
      <c r="P4873" s="1"/>
      <c r="Q4873" s="1"/>
      <c r="R4873" s="1"/>
      <c r="S4873" s="1"/>
      <c r="T4873" s="1"/>
      <c r="U4873" s="1"/>
      <c r="V4873" s="1"/>
      <c r="W4873" s="1"/>
      <c r="X4873" s="1"/>
    </row>
    <row x14ac:dyDescent="0.25" r="4874" customHeight="1" ht="18.75">
      <c r="A4874" s="1"/>
      <c r="B4874" s="1"/>
      <c r="C4874" s="1"/>
      <c r="D4874" s="1"/>
      <c r="E4874" s="1"/>
      <c r="F4874" s="1"/>
      <c r="G4874" s="1"/>
      <c r="H4874" s="1"/>
      <c r="I4874" s="2"/>
      <c r="J4874" s="1"/>
      <c r="K4874" s="1"/>
      <c r="L4874" s="1"/>
      <c r="M4874" s="1"/>
      <c r="N4874" s="1"/>
      <c r="O4874" s="1"/>
      <c r="P4874" s="1"/>
      <c r="Q4874" s="1"/>
      <c r="R4874" s="1"/>
      <c r="S4874" s="1"/>
      <c r="T4874" s="1"/>
      <c r="U4874" s="1"/>
      <c r="V4874" s="1"/>
      <c r="W4874" s="1"/>
      <c r="X4874" s="1"/>
    </row>
    <row x14ac:dyDescent="0.25" r="4875" customHeight="1" ht="18.75">
      <c r="A4875" s="1"/>
      <c r="B4875" s="1"/>
      <c r="C4875" s="1"/>
      <c r="D4875" s="1"/>
      <c r="E4875" s="1"/>
      <c r="F4875" s="1"/>
      <c r="G4875" s="1"/>
      <c r="H4875" s="1"/>
      <c r="I4875" s="2"/>
      <c r="J4875" s="1"/>
      <c r="K4875" s="1"/>
      <c r="L4875" s="1"/>
      <c r="M4875" s="1"/>
      <c r="N4875" s="1"/>
      <c r="O4875" s="1"/>
      <c r="P4875" s="1"/>
      <c r="Q4875" s="1"/>
      <c r="R4875" s="1"/>
      <c r="S4875" s="1"/>
      <c r="T4875" s="1"/>
      <c r="U4875" s="1"/>
      <c r="V4875" s="1"/>
      <c r="W4875" s="1"/>
      <c r="X4875" s="1"/>
    </row>
    <row x14ac:dyDescent="0.25" r="4876" customHeight="1" ht="18.75">
      <c r="A4876" s="1"/>
      <c r="B4876" s="1"/>
      <c r="C4876" s="1"/>
      <c r="D4876" s="1"/>
      <c r="E4876" s="1"/>
      <c r="F4876" s="1"/>
      <c r="G4876" s="1"/>
      <c r="H4876" s="1"/>
      <c r="I4876" s="2"/>
      <c r="J4876" s="1"/>
      <c r="K4876" s="1"/>
      <c r="L4876" s="1"/>
      <c r="M4876" s="1"/>
      <c r="N4876" s="1"/>
      <c r="O4876" s="1"/>
      <c r="P4876" s="1"/>
      <c r="Q4876" s="1"/>
      <c r="R4876" s="1"/>
      <c r="S4876" s="1"/>
      <c r="T4876" s="1"/>
      <c r="U4876" s="1"/>
      <c r="V4876" s="1"/>
      <c r="W4876" s="1"/>
      <c r="X4876" s="1"/>
    </row>
    <row x14ac:dyDescent="0.25" r="4877" customHeight="1" ht="18.75">
      <c r="A4877" s="1"/>
      <c r="B4877" s="1"/>
      <c r="C4877" s="1"/>
      <c r="D4877" s="1"/>
      <c r="E4877" s="1"/>
      <c r="F4877" s="1"/>
      <c r="G4877" s="1"/>
      <c r="H4877" s="1"/>
      <c r="I4877" s="2"/>
      <c r="J4877" s="1"/>
      <c r="K4877" s="1"/>
      <c r="L4877" s="1"/>
      <c r="M4877" s="1"/>
      <c r="N4877" s="1"/>
      <c r="O4877" s="1"/>
      <c r="P4877" s="1"/>
      <c r="Q4877" s="1"/>
      <c r="R4877" s="1"/>
      <c r="S4877" s="1"/>
      <c r="T4877" s="1"/>
      <c r="U4877" s="1"/>
      <c r="V4877" s="1"/>
      <c r="W4877" s="1"/>
      <c r="X4877" s="1"/>
    </row>
    <row x14ac:dyDescent="0.25" r="4878" customHeight="1" ht="18.75">
      <c r="A4878" s="1"/>
      <c r="B4878" s="1"/>
      <c r="C4878" s="1"/>
      <c r="D4878" s="1"/>
      <c r="E4878" s="1"/>
      <c r="F4878" s="1"/>
      <c r="G4878" s="1"/>
      <c r="H4878" s="1"/>
      <c r="I4878" s="2"/>
      <c r="J4878" s="1"/>
      <c r="K4878" s="1"/>
      <c r="L4878" s="1"/>
      <c r="M4878" s="1"/>
      <c r="N4878" s="1"/>
      <c r="O4878" s="1"/>
      <c r="P4878" s="1"/>
      <c r="Q4878" s="1"/>
      <c r="R4878" s="1"/>
      <c r="S4878" s="1"/>
      <c r="T4878" s="1"/>
      <c r="U4878" s="1"/>
      <c r="V4878" s="1"/>
      <c r="W4878" s="1"/>
      <c r="X4878" s="1"/>
    </row>
    <row x14ac:dyDescent="0.25" r="4879" customHeight="1" ht="18.75">
      <c r="A4879" s="1"/>
      <c r="B4879" s="1"/>
      <c r="C4879" s="1"/>
      <c r="D4879" s="1"/>
      <c r="E4879" s="1"/>
      <c r="F4879" s="1"/>
      <c r="G4879" s="1"/>
      <c r="H4879" s="1"/>
      <c r="I4879" s="2"/>
      <c r="J4879" s="1"/>
      <c r="K4879" s="1"/>
      <c r="L4879" s="1"/>
      <c r="M4879" s="1"/>
      <c r="N4879" s="1"/>
      <c r="O4879" s="1"/>
      <c r="P4879" s="1"/>
      <c r="Q4879" s="1"/>
      <c r="R4879" s="1"/>
      <c r="S4879" s="1"/>
      <c r="T4879" s="1"/>
      <c r="U4879" s="1"/>
      <c r="V4879" s="1"/>
      <c r="W4879" s="1"/>
      <c r="X4879" s="1"/>
    </row>
    <row x14ac:dyDescent="0.25" r="4880" customHeight="1" ht="18.75">
      <c r="A4880" s="1"/>
      <c r="B4880" s="1"/>
      <c r="C4880" s="1"/>
      <c r="D4880" s="1"/>
      <c r="E4880" s="1"/>
      <c r="F4880" s="1"/>
      <c r="G4880" s="1"/>
      <c r="H4880" s="1"/>
      <c r="I4880" s="2"/>
      <c r="J4880" s="1"/>
      <c r="K4880" s="1"/>
      <c r="L4880" s="1"/>
      <c r="M4880" s="1"/>
      <c r="N4880" s="1"/>
      <c r="O4880" s="1"/>
      <c r="P4880" s="1"/>
      <c r="Q4880" s="1"/>
      <c r="R4880" s="1"/>
      <c r="S4880" s="1"/>
      <c r="T4880" s="1"/>
      <c r="U4880" s="1"/>
      <c r="V4880" s="1"/>
      <c r="W4880" s="1"/>
      <c r="X4880" s="1"/>
    </row>
    <row x14ac:dyDescent="0.25" r="4881" customHeight="1" ht="18.75">
      <c r="A4881" s="1"/>
      <c r="B4881" s="1"/>
      <c r="C4881" s="1"/>
      <c r="D4881" s="1"/>
      <c r="E4881" s="1"/>
      <c r="F4881" s="1"/>
      <c r="G4881" s="1"/>
      <c r="H4881" s="1"/>
      <c r="I4881" s="2"/>
      <c r="J4881" s="1"/>
      <c r="K4881" s="1"/>
      <c r="L4881" s="1"/>
      <c r="M4881" s="1"/>
      <c r="N4881" s="1"/>
      <c r="O4881" s="1"/>
      <c r="P4881" s="1"/>
      <c r="Q4881" s="1"/>
      <c r="R4881" s="1"/>
      <c r="S4881" s="1"/>
      <c r="T4881" s="1"/>
      <c r="U4881" s="1"/>
      <c r="V4881" s="1"/>
      <c r="W4881" s="1"/>
      <c r="X4881" s="1"/>
    </row>
    <row x14ac:dyDescent="0.25" r="4882" customHeight="1" ht="18.75">
      <c r="A4882" s="1"/>
      <c r="B4882" s="1"/>
      <c r="C4882" s="1"/>
      <c r="D4882" s="1"/>
      <c r="E4882" s="1"/>
      <c r="F4882" s="1"/>
      <c r="G4882" s="1"/>
      <c r="H4882" s="1"/>
      <c r="I4882" s="2"/>
      <c r="J4882" s="1"/>
      <c r="K4882" s="1"/>
      <c r="L4882" s="1"/>
      <c r="M4882" s="1"/>
      <c r="N4882" s="1"/>
      <c r="O4882" s="1"/>
      <c r="P4882" s="1"/>
      <c r="Q4882" s="1"/>
      <c r="R4882" s="1"/>
      <c r="S4882" s="1"/>
      <c r="T4882" s="1"/>
      <c r="U4882" s="1"/>
      <c r="V4882" s="1"/>
      <c r="W4882" s="1"/>
      <c r="X4882" s="1"/>
    </row>
    <row x14ac:dyDescent="0.25" r="4883" customHeight="1" ht="18.75">
      <c r="A4883" s="1"/>
      <c r="B4883" s="1"/>
      <c r="C4883" s="1"/>
      <c r="D4883" s="1"/>
      <c r="E4883" s="1"/>
      <c r="F4883" s="1"/>
      <c r="G4883" s="1"/>
      <c r="H4883" s="1"/>
      <c r="I4883" s="2"/>
      <c r="J4883" s="1"/>
      <c r="K4883" s="1"/>
      <c r="L4883" s="1"/>
      <c r="M4883" s="1"/>
      <c r="N4883" s="1"/>
      <c r="O4883" s="1"/>
      <c r="P4883" s="1"/>
      <c r="Q4883" s="1"/>
      <c r="R4883" s="1"/>
      <c r="S4883" s="1"/>
      <c r="T4883" s="1"/>
      <c r="U4883" s="1"/>
      <c r="V4883" s="1"/>
      <c r="W4883" s="1"/>
      <c r="X4883" s="1"/>
    </row>
    <row x14ac:dyDescent="0.25" r="4884" customHeight="1" ht="18.75">
      <c r="A4884" s="1"/>
      <c r="B4884" s="1"/>
      <c r="C4884" s="1"/>
      <c r="D4884" s="1"/>
      <c r="E4884" s="1"/>
      <c r="F4884" s="1"/>
      <c r="G4884" s="1"/>
      <c r="H4884" s="1"/>
      <c r="I4884" s="2"/>
      <c r="J4884" s="1"/>
      <c r="K4884" s="1"/>
      <c r="L4884" s="1"/>
      <c r="M4884" s="1"/>
      <c r="N4884" s="1"/>
      <c r="O4884" s="1"/>
      <c r="P4884" s="1"/>
      <c r="Q4884" s="1"/>
      <c r="R4884" s="1"/>
      <c r="S4884" s="1"/>
      <c r="T4884" s="1"/>
      <c r="U4884" s="1"/>
      <c r="V4884" s="1"/>
      <c r="W4884" s="1"/>
      <c r="X4884" s="1"/>
    </row>
    <row x14ac:dyDescent="0.25" r="4885" customHeight="1" ht="18.75">
      <c r="A4885" s="1"/>
      <c r="B4885" s="1"/>
      <c r="C4885" s="1"/>
      <c r="D4885" s="1"/>
      <c r="E4885" s="1"/>
      <c r="F4885" s="1"/>
      <c r="G4885" s="1"/>
      <c r="H4885" s="1"/>
      <c r="I4885" s="2"/>
      <c r="J4885" s="1"/>
      <c r="K4885" s="1"/>
      <c r="L4885" s="1"/>
      <c r="M4885" s="1"/>
      <c r="N4885" s="1"/>
      <c r="O4885" s="1"/>
      <c r="P4885" s="1"/>
      <c r="Q4885" s="1"/>
      <c r="R4885" s="1"/>
      <c r="S4885" s="1"/>
      <c r="T4885" s="1"/>
      <c r="U4885" s="1"/>
      <c r="V4885" s="1"/>
      <c r="W4885" s="1"/>
      <c r="X4885" s="1"/>
    </row>
    <row x14ac:dyDescent="0.25" r="4886" customHeight="1" ht="18.75">
      <c r="A4886" s="1"/>
      <c r="B4886" s="1"/>
      <c r="C4886" s="1"/>
      <c r="D4886" s="1"/>
      <c r="E4886" s="1"/>
      <c r="F4886" s="1"/>
      <c r="G4886" s="1"/>
      <c r="H4886" s="1"/>
      <c r="I4886" s="2"/>
      <c r="J4886" s="1"/>
      <c r="K4886" s="1"/>
      <c r="L4886" s="1"/>
      <c r="M4886" s="1"/>
      <c r="N4886" s="1"/>
      <c r="O4886" s="1"/>
      <c r="P4886" s="1"/>
      <c r="Q4886" s="1"/>
      <c r="R4886" s="1"/>
      <c r="S4886" s="1"/>
      <c r="T4886" s="1"/>
      <c r="U4886" s="1"/>
      <c r="V4886" s="1"/>
      <c r="W4886" s="1"/>
      <c r="X4886" s="1"/>
    </row>
    <row x14ac:dyDescent="0.25" r="4887" customHeight="1" ht="18.75">
      <c r="A4887" s="1"/>
      <c r="B4887" s="1"/>
      <c r="C4887" s="1"/>
      <c r="D4887" s="1"/>
      <c r="E4887" s="1"/>
      <c r="F4887" s="1"/>
      <c r="G4887" s="1"/>
      <c r="H4887" s="1"/>
      <c r="I4887" s="2"/>
      <c r="J4887" s="1"/>
      <c r="K4887" s="1"/>
      <c r="L4887" s="1"/>
      <c r="M4887" s="1"/>
      <c r="N4887" s="1"/>
      <c r="O4887" s="1"/>
      <c r="P4887" s="1"/>
      <c r="Q4887" s="1"/>
      <c r="R4887" s="1"/>
      <c r="S4887" s="1"/>
      <c r="T4887" s="1"/>
      <c r="U4887" s="1"/>
      <c r="V4887" s="1"/>
      <c r="W4887" s="1"/>
      <c r="X4887" s="1"/>
    </row>
    <row x14ac:dyDescent="0.25" r="4888" customHeight="1" ht="18.75">
      <c r="A4888" s="1"/>
      <c r="B4888" s="1"/>
      <c r="C4888" s="1"/>
      <c r="D4888" s="1"/>
      <c r="E4888" s="1"/>
      <c r="F4888" s="1"/>
      <c r="G4888" s="1"/>
      <c r="H4888" s="1"/>
      <c r="I4888" s="2"/>
      <c r="J4888" s="1"/>
      <c r="K4888" s="1"/>
      <c r="L4888" s="1"/>
      <c r="M4888" s="1"/>
      <c r="N4888" s="1"/>
      <c r="O4888" s="1"/>
      <c r="P4888" s="1"/>
      <c r="Q4888" s="1"/>
      <c r="R4888" s="1"/>
      <c r="S4888" s="1"/>
      <c r="T4888" s="1"/>
      <c r="U4888" s="1"/>
      <c r="V4888" s="1"/>
      <c r="W4888" s="1"/>
      <c r="X4888" s="1"/>
    </row>
    <row x14ac:dyDescent="0.25" r="4889" customHeight="1" ht="18.75">
      <c r="A4889" s="1"/>
      <c r="B4889" s="1"/>
      <c r="C4889" s="1"/>
      <c r="D4889" s="1"/>
      <c r="E4889" s="1"/>
      <c r="F4889" s="1"/>
      <c r="G4889" s="1"/>
      <c r="H4889" s="1"/>
      <c r="I4889" s="2"/>
      <c r="J4889" s="1"/>
      <c r="K4889" s="1"/>
      <c r="L4889" s="1"/>
      <c r="M4889" s="1"/>
      <c r="N4889" s="1"/>
      <c r="O4889" s="1"/>
      <c r="P4889" s="1"/>
      <c r="Q4889" s="1"/>
      <c r="R4889" s="1"/>
      <c r="S4889" s="1"/>
      <c r="T4889" s="1"/>
      <c r="U4889" s="1"/>
      <c r="V4889" s="1"/>
      <c r="W4889" s="1"/>
      <c r="X4889" s="1"/>
    </row>
    <row x14ac:dyDescent="0.25" r="4890" customHeight="1" ht="18.75">
      <c r="A4890" s="1"/>
      <c r="B4890" s="1"/>
      <c r="C4890" s="1"/>
      <c r="D4890" s="1"/>
      <c r="E4890" s="1"/>
      <c r="F4890" s="1"/>
      <c r="G4890" s="1"/>
      <c r="H4890" s="1"/>
      <c r="I4890" s="2"/>
      <c r="J4890" s="1"/>
      <c r="K4890" s="1"/>
      <c r="L4890" s="1"/>
      <c r="M4890" s="1"/>
      <c r="N4890" s="1"/>
      <c r="O4890" s="1"/>
      <c r="P4890" s="1"/>
      <c r="Q4890" s="1"/>
      <c r="R4890" s="1"/>
      <c r="S4890" s="1"/>
      <c r="T4890" s="1"/>
      <c r="U4890" s="1"/>
      <c r="V4890" s="1"/>
      <c r="W4890" s="1"/>
      <c r="X4890" s="1"/>
    </row>
    <row x14ac:dyDescent="0.25" r="4891" customHeight="1" ht="18.75">
      <c r="A4891" s="1"/>
      <c r="B4891" s="1"/>
      <c r="C4891" s="1"/>
      <c r="D4891" s="1"/>
      <c r="E4891" s="1"/>
      <c r="F4891" s="1"/>
      <c r="G4891" s="1"/>
      <c r="H4891" s="1"/>
      <c r="I4891" s="2"/>
      <c r="J4891" s="1"/>
      <c r="K4891" s="1"/>
      <c r="L4891" s="1"/>
      <c r="M4891" s="1"/>
      <c r="N4891" s="1"/>
      <c r="O4891" s="1"/>
      <c r="P4891" s="1"/>
      <c r="Q4891" s="1"/>
      <c r="R4891" s="1"/>
      <c r="S4891" s="1"/>
      <c r="T4891" s="1"/>
      <c r="U4891" s="1"/>
      <c r="V4891" s="1"/>
      <c r="W4891" s="1"/>
      <c r="X4891" s="1"/>
    </row>
    <row x14ac:dyDescent="0.25" r="4892" customHeight="1" ht="18.75">
      <c r="A4892" s="1"/>
      <c r="B4892" s="1"/>
      <c r="C4892" s="1"/>
      <c r="D4892" s="1"/>
      <c r="E4892" s="1"/>
      <c r="F4892" s="1"/>
      <c r="G4892" s="1"/>
      <c r="H4892" s="1"/>
      <c r="I4892" s="2"/>
      <c r="J4892" s="1"/>
      <c r="K4892" s="1"/>
      <c r="L4892" s="1"/>
      <c r="M4892" s="1"/>
      <c r="N4892" s="1"/>
      <c r="O4892" s="1"/>
      <c r="P4892" s="1"/>
      <c r="Q4892" s="1"/>
      <c r="R4892" s="1"/>
      <c r="S4892" s="1"/>
      <c r="T4892" s="1"/>
      <c r="U4892" s="1"/>
      <c r="V4892" s="1"/>
      <c r="W4892" s="1"/>
      <c r="X4892" s="1"/>
    </row>
    <row x14ac:dyDescent="0.25" r="4893" customHeight="1" ht="18.75">
      <c r="A4893" s="1"/>
      <c r="B4893" s="1"/>
      <c r="C4893" s="1"/>
      <c r="D4893" s="1"/>
      <c r="E4893" s="1"/>
      <c r="F4893" s="1"/>
      <c r="G4893" s="1"/>
      <c r="H4893" s="1"/>
      <c r="I4893" s="2"/>
      <c r="J4893" s="1"/>
      <c r="K4893" s="1"/>
      <c r="L4893" s="1"/>
      <c r="M4893" s="1"/>
      <c r="N4893" s="1"/>
      <c r="O4893" s="1"/>
      <c r="P4893" s="1"/>
      <c r="Q4893" s="1"/>
      <c r="R4893" s="1"/>
      <c r="S4893" s="1"/>
      <c r="T4893" s="1"/>
      <c r="U4893" s="1"/>
      <c r="V4893" s="1"/>
      <c r="W4893" s="1"/>
      <c r="X4893" s="1"/>
    </row>
    <row x14ac:dyDescent="0.25" r="4894" customHeight="1" ht="18.75">
      <c r="A4894" s="1"/>
      <c r="B4894" s="1"/>
      <c r="C4894" s="1"/>
      <c r="D4894" s="1"/>
      <c r="E4894" s="1"/>
      <c r="F4894" s="1"/>
      <c r="G4894" s="1"/>
      <c r="H4894" s="1"/>
      <c r="I4894" s="2"/>
      <c r="J4894" s="1"/>
      <c r="K4894" s="1"/>
      <c r="L4894" s="1"/>
      <c r="M4894" s="1"/>
      <c r="N4894" s="1"/>
      <c r="O4894" s="1"/>
      <c r="P4894" s="1"/>
      <c r="Q4894" s="1"/>
      <c r="R4894" s="1"/>
      <c r="S4894" s="1"/>
      <c r="T4894" s="1"/>
      <c r="U4894" s="1"/>
      <c r="V4894" s="1"/>
      <c r="W4894" s="1"/>
      <c r="X4894" s="1"/>
    </row>
    <row x14ac:dyDescent="0.25" r="4895" customHeight="1" ht="18.75">
      <c r="A4895" s="1"/>
      <c r="B4895" s="1"/>
      <c r="C4895" s="1"/>
      <c r="D4895" s="1"/>
      <c r="E4895" s="1"/>
      <c r="F4895" s="1"/>
      <c r="G4895" s="1"/>
      <c r="H4895" s="1"/>
      <c r="I4895" s="2"/>
      <c r="J4895" s="1"/>
      <c r="K4895" s="1"/>
      <c r="L4895" s="1"/>
      <c r="M4895" s="1"/>
      <c r="N4895" s="1"/>
      <c r="O4895" s="1"/>
      <c r="P4895" s="1"/>
      <c r="Q4895" s="1"/>
      <c r="R4895" s="1"/>
      <c r="S4895" s="1"/>
      <c r="T4895" s="1"/>
      <c r="U4895" s="1"/>
      <c r="V4895" s="1"/>
      <c r="W4895" s="1"/>
      <c r="X4895" s="1"/>
    </row>
    <row x14ac:dyDescent="0.25" r="4896" customHeight="1" ht="18.75">
      <c r="A4896" s="1"/>
      <c r="B4896" s="1"/>
      <c r="C4896" s="1"/>
      <c r="D4896" s="1"/>
      <c r="E4896" s="1"/>
      <c r="F4896" s="1"/>
      <c r="G4896" s="1"/>
      <c r="H4896" s="1"/>
      <c r="I4896" s="2"/>
      <c r="J4896" s="1"/>
      <c r="K4896" s="1"/>
      <c r="L4896" s="1"/>
      <c r="M4896" s="1"/>
      <c r="N4896" s="1"/>
      <c r="O4896" s="1"/>
      <c r="P4896" s="1"/>
      <c r="Q4896" s="1"/>
      <c r="R4896" s="1"/>
      <c r="S4896" s="1"/>
      <c r="T4896" s="1"/>
      <c r="U4896" s="1"/>
      <c r="V4896" s="1"/>
      <c r="W4896" s="1"/>
      <c r="X4896" s="1"/>
    </row>
    <row x14ac:dyDescent="0.25" r="4897" customHeight="1" ht="18.75">
      <c r="A4897" s="1"/>
      <c r="B4897" s="1"/>
      <c r="C4897" s="1"/>
      <c r="D4897" s="1"/>
      <c r="E4897" s="1"/>
      <c r="F4897" s="1"/>
      <c r="G4897" s="1"/>
      <c r="H4897" s="1"/>
      <c r="I4897" s="2"/>
      <c r="J4897" s="1"/>
      <c r="K4897" s="1"/>
      <c r="L4897" s="1"/>
      <c r="M4897" s="1"/>
      <c r="N4897" s="1"/>
      <c r="O4897" s="1"/>
      <c r="P4897" s="1"/>
      <c r="Q4897" s="1"/>
      <c r="R4897" s="1"/>
      <c r="S4897" s="1"/>
      <c r="T4897" s="1"/>
      <c r="U4897" s="1"/>
      <c r="V4897" s="1"/>
      <c r="W4897" s="1"/>
      <c r="X4897" s="1"/>
    </row>
    <row x14ac:dyDescent="0.25" r="4898" customHeight="1" ht="18.75">
      <c r="A4898" s="1"/>
      <c r="B4898" s="1"/>
      <c r="C4898" s="1"/>
      <c r="D4898" s="1"/>
      <c r="E4898" s="1"/>
      <c r="F4898" s="1"/>
      <c r="G4898" s="1"/>
      <c r="H4898" s="1"/>
      <c r="I4898" s="2"/>
      <c r="J4898" s="1"/>
      <c r="K4898" s="1"/>
      <c r="L4898" s="1"/>
      <c r="M4898" s="1"/>
      <c r="N4898" s="1"/>
      <c r="O4898" s="1"/>
      <c r="P4898" s="1"/>
      <c r="Q4898" s="1"/>
      <c r="R4898" s="1"/>
      <c r="S4898" s="1"/>
      <c r="T4898" s="1"/>
      <c r="U4898" s="1"/>
      <c r="V4898" s="1"/>
      <c r="W4898" s="1"/>
      <c r="X4898" s="1"/>
    </row>
    <row x14ac:dyDescent="0.25" r="4899" customHeight="1" ht="18.75">
      <c r="A4899" s="1"/>
      <c r="B4899" s="1"/>
      <c r="C4899" s="1"/>
      <c r="D4899" s="1"/>
      <c r="E4899" s="1"/>
      <c r="F4899" s="1"/>
      <c r="G4899" s="1"/>
      <c r="H4899" s="1"/>
      <c r="I4899" s="2"/>
      <c r="J4899" s="1"/>
      <c r="K4899" s="1"/>
      <c r="L4899" s="1"/>
      <c r="M4899" s="1"/>
      <c r="N4899" s="1"/>
      <c r="O4899" s="1"/>
      <c r="P4899" s="1"/>
      <c r="Q4899" s="1"/>
      <c r="R4899" s="1"/>
      <c r="S4899" s="1"/>
      <c r="T4899" s="1"/>
      <c r="U4899" s="1"/>
      <c r="V4899" s="1"/>
      <c r="W4899" s="1"/>
      <c r="X4899" s="1"/>
    </row>
    <row x14ac:dyDescent="0.25" r="4900" customHeight="1" ht="18.75">
      <c r="A4900" s="1"/>
      <c r="B4900" s="1"/>
      <c r="C4900" s="1"/>
      <c r="D4900" s="1"/>
      <c r="E4900" s="1"/>
      <c r="F4900" s="1"/>
      <c r="G4900" s="1"/>
      <c r="H4900" s="1"/>
      <c r="I4900" s="2"/>
      <c r="J4900" s="1"/>
      <c r="K4900" s="1"/>
      <c r="L4900" s="1"/>
      <c r="M4900" s="1"/>
      <c r="N4900" s="1"/>
      <c r="O4900" s="1"/>
      <c r="P4900" s="1"/>
      <c r="Q4900" s="1"/>
      <c r="R4900" s="1"/>
      <c r="S4900" s="1"/>
      <c r="T4900" s="1"/>
      <c r="U4900" s="1"/>
      <c r="V4900" s="1"/>
      <c r="W4900" s="1"/>
      <c r="X4900" s="1"/>
    </row>
    <row x14ac:dyDescent="0.25" r="4901" customHeight="1" ht="18.75">
      <c r="A4901" s="1"/>
      <c r="B4901" s="1"/>
      <c r="C4901" s="1"/>
      <c r="D4901" s="1"/>
      <c r="E4901" s="1"/>
      <c r="F4901" s="1"/>
      <c r="G4901" s="1"/>
      <c r="H4901" s="1"/>
      <c r="I4901" s="2"/>
      <c r="J4901" s="1"/>
      <c r="K4901" s="1"/>
      <c r="L4901" s="1"/>
      <c r="M4901" s="1"/>
      <c r="N4901" s="1"/>
      <c r="O4901" s="1"/>
      <c r="P4901" s="1"/>
      <c r="Q4901" s="1"/>
      <c r="R4901" s="1"/>
      <c r="S4901" s="1"/>
      <c r="T4901" s="1"/>
      <c r="U4901" s="1"/>
      <c r="V4901" s="1"/>
      <c r="W4901" s="1"/>
      <c r="X4901" s="1"/>
    </row>
    <row x14ac:dyDescent="0.25" r="4902" customHeight="1" ht="18.75">
      <c r="A4902" s="1"/>
      <c r="B4902" s="1"/>
      <c r="C4902" s="1"/>
      <c r="D4902" s="1"/>
      <c r="E4902" s="1"/>
      <c r="F4902" s="1"/>
      <c r="G4902" s="1"/>
      <c r="H4902" s="1"/>
      <c r="I4902" s="2"/>
      <c r="J4902" s="1"/>
      <c r="K4902" s="1"/>
      <c r="L4902" s="1"/>
      <c r="M4902" s="1"/>
      <c r="N4902" s="1"/>
      <c r="O4902" s="1"/>
      <c r="P4902" s="1"/>
      <c r="Q4902" s="1"/>
      <c r="R4902" s="1"/>
      <c r="S4902" s="1"/>
      <c r="T4902" s="1"/>
      <c r="U4902" s="1"/>
      <c r="V4902" s="1"/>
      <c r="W4902" s="1"/>
      <c r="X4902" s="1"/>
    </row>
    <row x14ac:dyDescent="0.25" r="4903" customHeight="1" ht="18.75">
      <c r="A4903" s="1"/>
      <c r="B4903" s="1"/>
      <c r="C4903" s="1"/>
      <c r="D4903" s="1"/>
      <c r="E4903" s="1"/>
      <c r="F4903" s="1"/>
      <c r="G4903" s="1"/>
      <c r="H4903" s="1"/>
      <c r="I4903" s="2"/>
      <c r="J4903" s="1"/>
      <c r="K4903" s="1"/>
      <c r="L4903" s="1"/>
      <c r="M4903" s="1"/>
      <c r="N4903" s="1"/>
      <c r="O4903" s="1"/>
      <c r="P4903" s="1"/>
      <c r="Q4903" s="1"/>
      <c r="R4903" s="1"/>
      <c r="S4903" s="1"/>
      <c r="T4903" s="1"/>
      <c r="U4903" s="1"/>
      <c r="V4903" s="1"/>
      <c r="W4903" s="1"/>
      <c r="X4903" s="1"/>
    </row>
    <row x14ac:dyDescent="0.25" r="4904" customHeight="1" ht="18.75">
      <c r="A4904" s="1"/>
      <c r="B4904" s="1"/>
      <c r="C4904" s="1"/>
      <c r="D4904" s="1"/>
      <c r="E4904" s="1"/>
      <c r="F4904" s="1"/>
      <c r="G4904" s="1"/>
      <c r="H4904" s="1"/>
      <c r="I4904" s="2"/>
      <c r="J4904" s="1"/>
      <c r="K4904" s="1"/>
      <c r="L4904" s="1"/>
      <c r="M4904" s="1"/>
      <c r="N4904" s="1"/>
      <c r="O4904" s="1"/>
      <c r="P4904" s="1"/>
      <c r="Q4904" s="1"/>
      <c r="R4904" s="1"/>
      <c r="S4904" s="1"/>
      <c r="T4904" s="1"/>
      <c r="U4904" s="1"/>
      <c r="V4904" s="1"/>
      <c r="W4904" s="1"/>
      <c r="X4904" s="1"/>
    </row>
    <row x14ac:dyDescent="0.25" r="4905" customHeight="1" ht="18.75">
      <c r="A4905" s="1"/>
      <c r="B4905" s="1"/>
      <c r="C4905" s="1"/>
      <c r="D4905" s="1"/>
      <c r="E4905" s="1"/>
      <c r="F4905" s="1"/>
      <c r="G4905" s="1"/>
      <c r="H4905" s="1"/>
      <c r="I4905" s="2"/>
      <c r="J4905" s="1"/>
      <c r="K4905" s="1"/>
      <c r="L4905" s="1"/>
      <c r="M4905" s="1"/>
      <c r="N4905" s="1"/>
      <c r="O4905" s="1"/>
      <c r="P4905" s="1"/>
      <c r="Q4905" s="1"/>
      <c r="R4905" s="1"/>
      <c r="S4905" s="1"/>
      <c r="T4905" s="1"/>
      <c r="U4905" s="1"/>
      <c r="V4905" s="1"/>
      <c r="W4905" s="1"/>
      <c r="X4905" s="1"/>
    </row>
    <row x14ac:dyDescent="0.25" r="4906" customHeight="1" ht="18.75">
      <c r="A4906" s="1"/>
      <c r="B4906" s="1"/>
      <c r="C4906" s="1"/>
      <c r="D4906" s="1"/>
      <c r="E4906" s="1"/>
      <c r="F4906" s="1"/>
      <c r="G4906" s="1"/>
      <c r="H4906" s="1"/>
      <c r="I4906" s="2"/>
      <c r="J4906" s="1"/>
      <c r="K4906" s="1"/>
      <c r="L4906" s="1"/>
      <c r="M4906" s="1"/>
      <c r="N4906" s="1"/>
      <c r="O4906" s="1"/>
      <c r="P4906" s="1"/>
      <c r="Q4906" s="1"/>
      <c r="R4906" s="1"/>
      <c r="S4906" s="1"/>
      <c r="T4906" s="1"/>
      <c r="U4906" s="1"/>
      <c r="V4906" s="1"/>
      <c r="W4906" s="1"/>
      <c r="X4906" s="1"/>
    </row>
    <row x14ac:dyDescent="0.25" r="4907" customHeight="1" ht="18.75">
      <c r="A4907" s="1"/>
      <c r="B4907" s="1"/>
      <c r="C4907" s="1"/>
      <c r="D4907" s="1"/>
      <c r="E4907" s="1"/>
      <c r="F4907" s="1"/>
      <c r="G4907" s="1"/>
      <c r="H4907" s="1"/>
      <c r="I4907" s="2"/>
      <c r="J4907" s="1"/>
      <c r="K4907" s="1"/>
      <c r="L4907" s="1"/>
      <c r="M4907" s="1"/>
      <c r="N4907" s="1"/>
      <c r="O4907" s="1"/>
      <c r="P4907" s="1"/>
      <c r="Q4907" s="1"/>
      <c r="R4907" s="1"/>
      <c r="S4907" s="1"/>
      <c r="T4907" s="1"/>
      <c r="U4907" s="1"/>
      <c r="V4907" s="1"/>
      <c r="W4907" s="1"/>
      <c r="X4907" s="1"/>
    </row>
    <row x14ac:dyDescent="0.25" r="4908" customHeight="1" ht="18.75">
      <c r="A4908" s="1"/>
      <c r="B4908" s="1"/>
      <c r="C4908" s="1"/>
      <c r="D4908" s="1"/>
      <c r="E4908" s="1"/>
      <c r="F4908" s="1"/>
      <c r="G4908" s="1"/>
      <c r="H4908" s="1"/>
      <c r="I4908" s="2"/>
      <c r="J4908" s="1"/>
      <c r="K4908" s="1"/>
      <c r="L4908" s="1"/>
      <c r="M4908" s="1"/>
      <c r="N4908" s="1"/>
      <c r="O4908" s="1"/>
      <c r="P4908" s="1"/>
      <c r="Q4908" s="1"/>
      <c r="R4908" s="1"/>
      <c r="S4908" s="1"/>
      <c r="T4908" s="1"/>
      <c r="U4908" s="1"/>
      <c r="V4908" s="1"/>
      <c r="W4908" s="1"/>
      <c r="X4908" s="1"/>
    </row>
    <row x14ac:dyDescent="0.25" r="4909" customHeight="1" ht="18.75">
      <c r="A4909" s="1"/>
      <c r="B4909" s="1"/>
      <c r="C4909" s="1"/>
      <c r="D4909" s="1"/>
      <c r="E4909" s="1"/>
      <c r="F4909" s="1"/>
      <c r="G4909" s="1"/>
      <c r="H4909" s="1"/>
      <c r="I4909" s="2"/>
      <c r="J4909" s="1"/>
      <c r="K4909" s="1"/>
      <c r="L4909" s="1"/>
      <c r="M4909" s="1"/>
      <c r="N4909" s="1"/>
      <c r="O4909" s="1"/>
      <c r="P4909" s="1"/>
      <c r="Q4909" s="1"/>
      <c r="R4909" s="1"/>
      <c r="S4909" s="1"/>
      <c r="T4909" s="1"/>
      <c r="U4909" s="1"/>
      <c r="V4909" s="1"/>
      <c r="W4909" s="1"/>
      <c r="X4909" s="1"/>
    </row>
    <row x14ac:dyDescent="0.25" r="4910" customHeight="1" ht="18.75">
      <c r="A4910" s="1"/>
      <c r="B4910" s="1"/>
      <c r="C4910" s="1"/>
      <c r="D4910" s="1"/>
      <c r="E4910" s="1"/>
      <c r="F4910" s="1"/>
      <c r="G4910" s="1"/>
      <c r="H4910" s="1"/>
      <c r="I4910" s="2"/>
      <c r="J4910" s="1"/>
      <c r="K4910" s="1"/>
      <c r="L4910" s="1"/>
      <c r="M4910" s="1"/>
      <c r="N4910" s="1"/>
      <c r="O4910" s="1"/>
      <c r="P4910" s="1"/>
      <c r="Q4910" s="1"/>
      <c r="R4910" s="1"/>
      <c r="S4910" s="1"/>
      <c r="T4910" s="1"/>
      <c r="U4910" s="1"/>
      <c r="V4910" s="1"/>
      <c r="W4910" s="1"/>
      <c r="X4910" s="1"/>
    </row>
    <row x14ac:dyDescent="0.25" r="4911" customHeight="1" ht="18.75">
      <c r="A4911" s="1"/>
      <c r="B4911" s="1"/>
      <c r="C4911" s="1"/>
      <c r="D4911" s="1"/>
      <c r="E4911" s="1"/>
      <c r="F4911" s="1"/>
      <c r="G4911" s="1"/>
      <c r="H4911" s="1"/>
      <c r="I4911" s="2"/>
      <c r="J4911" s="1"/>
      <c r="K4911" s="1"/>
      <c r="L4911" s="1"/>
      <c r="M4911" s="1"/>
      <c r="N4911" s="1"/>
      <c r="O4911" s="1"/>
      <c r="P4911" s="1"/>
      <c r="Q4911" s="1"/>
      <c r="R4911" s="1"/>
      <c r="S4911" s="1"/>
      <c r="T4911" s="1"/>
      <c r="U4911" s="1"/>
      <c r="V4911" s="1"/>
      <c r="W4911" s="1"/>
      <c r="X4911" s="1"/>
    </row>
    <row x14ac:dyDescent="0.25" r="4912" customHeight="1" ht="18.75">
      <c r="A4912" s="1"/>
      <c r="B4912" s="1"/>
      <c r="C4912" s="1"/>
      <c r="D4912" s="1"/>
      <c r="E4912" s="1"/>
      <c r="F4912" s="1"/>
      <c r="G4912" s="1"/>
      <c r="H4912" s="1"/>
      <c r="I4912" s="2"/>
      <c r="J4912" s="1"/>
      <c r="K4912" s="1"/>
      <c r="L4912" s="1"/>
      <c r="M4912" s="1"/>
      <c r="N4912" s="1"/>
      <c r="O4912" s="1"/>
      <c r="P4912" s="1"/>
      <c r="Q4912" s="1"/>
      <c r="R4912" s="1"/>
      <c r="S4912" s="1"/>
      <c r="T4912" s="1"/>
      <c r="U4912" s="1"/>
      <c r="V4912" s="1"/>
      <c r="W4912" s="1"/>
      <c r="X4912" s="1"/>
    </row>
    <row x14ac:dyDescent="0.25" r="4913" customHeight="1" ht="18.75">
      <c r="A4913" s="1"/>
      <c r="B4913" s="1"/>
      <c r="C4913" s="1"/>
      <c r="D4913" s="1"/>
      <c r="E4913" s="1"/>
      <c r="F4913" s="1"/>
      <c r="G4913" s="1"/>
      <c r="H4913" s="1"/>
      <c r="I4913" s="2"/>
      <c r="J4913" s="1"/>
      <c r="K4913" s="1"/>
      <c r="L4913" s="1"/>
      <c r="M4913" s="1"/>
      <c r="N4913" s="1"/>
      <c r="O4913" s="1"/>
      <c r="P4913" s="1"/>
      <c r="Q4913" s="1"/>
      <c r="R4913" s="1"/>
      <c r="S4913" s="1"/>
      <c r="T4913" s="1"/>
      <c r="U4913" s="1"/>
      <c r="V4913" s="1"/>
      <c r="W4913" s="1"/>
      <c r="X4913" s="1"/>
    </row>
    <row x14ac:dyDescent="0.25" r="4914" customHeight="1" ht="18.75">
      <c r="A4914" s="1"/>
      <c r="B4914" s="1"/>
      <c r="C4914" s="1"/>
      <c r="D4914" s="1"/>
      <c r="E4914" s="1"/>
      <c r="F4914" s="1"/>
      <c r="G4914" s="1"/>
      <c r="H4914" s="1"/>
      <c r="I4914" s="2"/>
      <c r="J4914" s="1"/>
      <c r="K4914" s="1"/>
      <c r="L4914" s="1"/>
      <c r="M4914" s="1"/>
      <c r="N4914" s="1"/>
      <c r="O4914" s="1"/>
      <c r="P4914" s="1"/>
      <c r="Q4914" s="1"/>
      <c r="R4914" s="1"/>
      <c r="S4914" s="1"/>
      <c r="T4914" s="1"/>
      <c r="U4914" s="1"/>
      <c r="V4914" s="1"/>
      <c r="W4914" s="1"/>
      <c r="X4914" s="1"/>
    </row>
    <row x14ac:dyDescent="0.25" r="4915" customHeight="1" ht="18.75">
      <c r="A4915" s="1"/>
      <c r="B4915" s="1"/>
      <c r="C4915" s="1"/>
      <c r="D4915" s="1"/>
      <c r="E4915" s="1"/>
      <c r="F4915" s="1"/>
      <c r="G4915" s="1"/>
      <c r="H4915" s="1"/>
      <c r="I4915" s="2"/>
      <c r="J4915" s="1"/>
      <c r="K4915" s="1"/>
      <c r="L4915" s="1"/>
      <c r="M4915" s="1"/>
      <c r="N4915" s="1"/>
      <c r="O4915" s="1"/>
      <c r="P4915" s="1"/>
      <c r="Q4915" s="1"/>
      <c r="R4915" s="1"/>
      <c r="S4915" s="1"/>
      <c r="T4915" s="1"/>
      <c r="U4915" s="1"/>
      <c r="V4915" s="1"/>
      <c r="W4915" s="1"/>
      <c r="X4915" s="1"/>
    </row>
    <row x14ac:dyDescent="0.25" r="4916" customHeight="1" ht="18.75">
      <c r="A4916" s="1"/>
      <c r="B4916" s="1"/>
      <c r="C4916" s="1"/>
      <c r="D4916" s="1"/>
      <c r="E4916" s="1"/>
      <c r="F4916" s="1"/>
      <c r="G4916" s="1"/>
      <c r="H4916" s="1"/>
      <c r="I4916" s="2"/>
      <c r="J4916" s="1"/>
      <c r="K4916" s="1"/>
      <c r="L4916" s="1"/>
      <c r="M4916" s="1"/>
      <c r="N4916" s="1"/>
      <c r="O4916" s="1"/>
      <c r="P4916" s="1"/>
      <c r="Q4916" s="1"/>
      <c r="R4916" s="1"/>
      <c r="S4916" s="1"/>
      <c r="T4916" s="1"/>
      <c r="U4916" s="1"/>
      <c r="V4916" s="1"/>
      <c r="W4916" s="1"/>
      <c r="X4916" s="1"/>
    </row>
    <row x14ac:dyDescent="0.25" r="4917" customHeight="1" ht="18.75">
      <c r="A4917" s="1"/>
      <c r="B4917" s="1"/>
      <c r="C4917" s="1"/>
      <c r="D4917" s="1"/>
      <c r="E4917" s="1"/>
      <c r="F4917" s="1"/>
      <c r="G4917" s="1"/>
      <c r="H4917" s="1"/>
      <c r="I4917" s="2"/>
      <c r="J4917" s="1"/>
      <c r="K4917" s="1"/>
      <c r="L4917" s="1"/>
      <c r="M4917" s="1"/>
      <c r="N4917" s="1"/>
      <c r="O4917" s="1"/>
      <c r="P4917" s="1"/>
      <c r="Q4917" s="1"/>
      <c r="R4917" s="1"/>
      <c r="S4917" s="1"/>
      <c r="T4917" s="1"/>
      <c r="U4917" s="1"/>
      <c r="V4917" s="1"/>
      <c r="W4917" s="1"/>
      <c r="X4917" s="1"/>
    </row>
    <row x14ac:dyDescent="0.25" r="4918" customHeight="1" ht="18.75">
      <c r="A4918" s="1"/>
      <c r="B4918" s="1"/>
      <c r="C4918" s="1"/>
      <c r="D4918" s="1"/>
      <c r="E4918" s="1"/>
      <c r="F4918" s="1"/>
      <c r="G4918" s="1"/>
      <c r="H4918" s="1"/>
      <c r="I4918" s="2"/>
      <c r="J4918" s="1"/>
      <c r="K4918" s="1"/>
      <c r="L4918" s="1"/>
      <c r="M4918" s="1"/>
      <c r="N4918" s="1"/>
      <c r="O4918" s="1"/>
      <c r="P4918" s="1"/>
      <c r="Q4918" s="1"/>
      <c r="R4918" s="1"/>
      <c r="S4918" s="1"/>
      <c r="T4918" s="1"/>
      <c r="U4918" s="1"/>
      <c r="V4918" s="1"/>
      <c r="W4918" s="1"/>
      <c r="X4918" s="1"/>
    </row>
    <row x14ac:dyDescent="0.25" r="4919" customHeight="1" ht="18.75">
      <c r="A4919" s="1"/>
      <c r="B4919" s="1"/>
      <c r="C4919" s="1"/>
      <c r="D4919" s="1"/>
      <c r="E4919" s="1"/>
      <c r="F4919" s="1"/>
      <c r="G4919" s="1"/>
      <c r="H4919" s="1"/>
      <c r="I4919" s="2"/>
      <c r="J4919" s="1"/>
      <c r="K4919" s="1"/>
      <c r="L4919" s="1"/>
      <c r="M4919" s="1"/>
      <c r="N4919" s="1"/>
      <c r="O4919" s="1"/>
      <c r="P4919" s="1"/>
      <c r="Q4919" s="1"/>
      <c r="R4919" s="1"/>
      <c r="S4919" s="1"/>
      <c r="T4919" s="1"/>
      <c r="U4919" s="1"/>
      <c r="V4919" s="1"/>
      <c r="W4919" s="1"/>
      <c r="X4919" s="1"/>
    </row>
    <row x14ac:dyDescent="0.25" r="4920" customHeight="1" ht="18.75">
      <c r="A4920" s="1"/>
      <c r="B4920" s="1"/>
      <c r="C4920" s="1"/>
      <c r="D4920" s="1"/>
      <c r="E4920" s="1"/>
      <c r="F4920" s="1"/>
      <c r="G4920" s="1"/>
      <c r="H4920" s="1"/>
      <c r="I4920" s="2"/>
      <c r="J4920" s="1"/>
      <c r="K4920" s="1"/>
      <c r="L4920" s="1"/>
      <c r="M4920" s="1"/>
      <c r="N4920" s="1"/>
      <c r="O4920" s="1"/>
      <c r="P4920" s="1"/>
      <c r="Q4920" s="1"/>
      <c r="R4920" s="1"/>
      <c r="S4920" s="1"/>
      <c r="T4920" s="1"/>
      <c r="U4920" s="1"/>
      <c r="V4920" s="1"/>
      <c r="W4920" s="1"/>
      <c r="X4920" s="1"/>
    </row>
    <row x14ac:dyDescent="0.25" r="4921" customHeight="1" ht="18.75">
      <c r="A4921" s="1"/>
      <c r="B4921" s="1"/>
      <c r="C4921" s="1"/>
      <c r="D4921" s="1"/>
      <c r="E4921" s="1"/>
      <c r="F4921" s="1"/>
      <c r="G4921" s="1"/>
      <c r="H4921" s="1"/>
      <c r="I4921" s="2"/>
      <c r="J4921" s="1"/>
      <c r="K4921" s="1"/>
      <c r="L4921" s="1"/>
      <c r="M4921" s="1"/>
      <c r="N4921" s="1"/>
      <c r="O4921" s="1"/>
      <c r="P4921" s="1"/>
      <c r="Q4921" s="1"/>
      <c r="R4921" s="1"/>
      <c r="S4921" s="1"/>
      <c r="T4921" s="1"/>
      <c r="U4921" s="1"/>
      <c r="V4921" s="1"/>
      <c r="W4921" s="1"/>
      <c r="X4921" s="1"/>
    </row>
    <row x14ac:dyDescent="0.25" r="4922" customHeight="1" ht="18.75">
      <c r="A4922" s="1"/>
      <c r="B4922" s="1"/>
      <c r="C4922" s="1"/>
      <c r="D4922" s="1"/>
      <c r="E4922" s="1"/>
      <c r="F4922" s="1"/>
      <c r="G4922" s="1"/>
      <c r="H4922" s="1"/>
      <c r="I4922" s="2"/>
      <c r="J4922" s="1"/>
      <c r="K4922" s="1"/>
      <c r="L4922" s="1"/>
      <c r="M4922" s="1"/>
      <c r="N4922" s="1"/>
      <c r="O4922" s="1"/>
      <c r="P4922" s="1"/>
      <c r="Q4922" s="1"/>
      <c r="R4922" s="1"/>
      <c r="S4922" s="1"/>
      <c r="T4922" s="1"/>
      <c r="U4922" s="1"/>
      <c r="V4922" s="1"/>
      <c r="W4922" s="1"/>
      <c r="X4922" s="1"/>
    </row>
    <row x14ac:dyDescent="0.25" r="4923" customHeight="1" ht="18.75">
      <c r="A4923" s="1"/>
      <c r="B4923" s="1"/>
      <c r="C4923" s="1"/>
      <c r="D4923" s="1"/>
      <c r="E4923" s="1"/>
      <c r="F4923" s="1"/>
      <c r="G4923" s="1"/>
      <c r="H4923" s="1"/>
      <c r="I4923" s="2"/>
      <c r="J4923" s="1"/>
      <c r="K4923" s="1"/>
      <c r="L4923" s="1"/>
      <c r="M4923" s="1"/>
      <c r="N4923" s="1"/>
      <c r="O4923" s="1"/>
      <c r="P4923" s="1"/>
      <c r="Q4923" s="1"/>
      <c r="R4923" s="1"/>
      <c r="S4923" s="1"/>
      <c r="T4923" s="1"/>
      <c r="U4923" s="1"/>
      <c r="V4923" s="1"/>
      <c r="W4923" s="1"/>
      <c r="X4923" s="1"/>
    </row>
    <row x14ac:dyDescent="0.25" r="4924" customHeight="1" ht="18.75">
      <c r="A4924" s="1"/>
      <c r="B4924" s="1"/>
      <c r="C4924" s="1"/>
      <c r="D4924" s="1"/>
      <c r="E4924" s="1"/>
      <c r="F4924" s="1"/>
      <c r="G4924" s="1"/>
      <c r="H4924" s="1"/>
      <c r="I4924" s="2"/>
      <c r="J4924" s="1"/>
      <c r="K4924" s="1"/>
      <c r="L4924" s="1"/>
      <c r="M4924" s="1"/>
      <c r="N4924" s="1"/>
      <c r="O4924" s="1"/>
      <c r="P4924" s="1"/>
      <c r="Q4924" s="1"/>
      <c r="R4924" s="1"/>
      <c r="S4924" s="1"/>
      <c r="T4924" s="1"/>
      <c r="U4924" s="1"/>
      <c r="V4924" s="1"/>
      <c r="W4924" s="1"/>
      <c r="X4924" s="1"/>
    </row>
    <row x14ac:dyDescent="0.25" r="4925" customHeight="1" ht="18.75">
      <c r="A4925" s="1"/>
      <c r="B4925" s="1"/>
      <c r="C4925" s="1"/>
      <c r="D4925" s="1"/>
      <c r="E4925" s="1"/>
      <c r="F4925" s="1"/>
      <c r="G4925" s="1"/>
      <c r="H4925" s="1"/>
      <c r="I4925" s="2"/>
      <c r="J4925" s="1"/>
      <c r="K4925" s="1"/>
      <c r="L4925" s="1"/>
      <c r="M4925" s="1"/>
      <c r="N4925" s="1"/>
      <c r="O4925" s="1"/>
      <c r="P4925" s="1"/>
      <c r="Q4925" s="1"/>
      <c r="R4925" s="1"/>
      <c r="S4925" s="1"/>
      <c r="T4925" s="1"/>
      <c r="U4925" s="1"/>
      <c r="V4925" s="1"/>
      <c r="W4925" s="1"/>
      <c r="X4925" s="1"/>
    </row>
    <row x14ac:dyDescent="0.25" r="4926" customHeight="1" ht="18.75">
      <c r="A4926" s="1"/>
      <c r="B4926" s="1"/>
      <c r="C4926" s="1"/>
      <c r="D4926" s="1"/>
      <c r="E4926" s="1"/>
      <c r="F4926" s="1"/>
      <c r="G4926" s="1"/>
      <c r="H4926" s="1"/>
      <c r="I4926" s="2"/>
      <c r="J4926" s="1"/>
      <c r="K4926" s="1"/>
      <c r="L4926" s="1"/>
      <c r="M4926" s="1"/>
      <c r="N4926" s="1"/>
      <c r="O4926" s="1"/>
      <c r="P4926" s="1"/>
      <c r="Q4926" s="1"/>
      <c r="R4926" s="1"/>
      <c r="S4926" s="1"/>
      <c r="T4926" s="1"/>
      <c r="U4926" s="1"/>
      <c r="V4926" s="1"/>
      <c r="W4926" s="1"/>
      <c r="X4926" s="1"/>
    </row>
    <row x14ac:dyDescent="0.25" r="4927" customHeight="1" ht="18.75">
      <c r="A4927" s="1"/>
      <c r="B4927" s="1"/>
      <c r="C4927" s="1"/>
      <c r="D4927" s="1"/>
      <c r="E4927" s="1"/>
      <c r="F4927" s="1"/>
      <c r="G4927" s="1"/>
      <c r="H4927" s="1"/>
      <c r="I4927" s="2"/>
      <c r="J4927" s="1"/>
      <c r="K4927" s="1"/>
      <c r="L4927" s="1"/>
      <c r="M4927" s="1"/>
      <c r="N4927" s="1"/>
      <c r="O4927" s="1"/>
      <c r="P4927" s="1"/>
      <c r="Q4927" s="1"/>
      <c r="R4927" s="1"/>
      <c r="S4927" s="1"/>
      <c r="T4927" s="1"/>
      <c r="U4927" s="1"/>
      <c r="V4927" s="1"/>
      <c r="W4927" s="1"/>
      <c r="X4927" s="1"/>
    </row>
    <row x14ac:dyDescent="0.25" r="4928" customHeight="1" ht="18.75">
      <c r="A4928" s="1"/>
      <c r="B4928" s="1"/>
      <c r="C4928" s="1"/>
      <c r="D4928" s="1"/>
      <c r="E4928" s="1"/>
      <c r="F4928" s="1"/>
      <c r="G4928" s="1"/>
      <c r="H4928" s="1"/>
      <c r="I4928" s="2"/>
      <c r="J4928" s="1"/>
      <c r="K4928" s="1"/>
      <c r="L4928" s="1"/>
      <c r="M4928" s="1"/>
      <c r="N4928" s="1"/>
      <c r="O4928" s="1"/>
      <c r="P4928" s="1"/>
      <c r="Q4928" s="1"/>
      <c r="R4928" s="1"/>
      <c r="S4928" s="1"/>
      <c r="T4928" s="1"/>
      <c r="U4928" s="1"/>
      <c r="V4928" s="1"/>
      <c r="W4928" s="1"/>
      <c r="X4928" s="1"/>
    </row>
    <row x14ac:dyDescent="0.25" r="4929" customHeight="1" ht="18.75">
      <c r="A4929" s="1"/>
      <c r="B4929" s="1"/>
      <c r="C4929" s="1"/>
      <c r="D4929" s="1"/>
      <c r="E4929" s="1"/>
      <c r="F4929" s="1"/>
      <c r="G4929" s="1"/>
      <c r="H4929" s="1"/>
      <c r="I4929" s="2"/>
      <c r="J4929" s="1"/>
      <c r="K4929" s="1"/>
      <c r="L4929" s="1"/>
      <c r="M4929" s="1"/>
      <c r="N4929" s="1"/>
      <c r="O4929" s="1"/>
      <c r="P4929" s="1"/>
      <c r="Q4929" s="1"/>
      <c r="R4929" s="1"/>
      <c r="S4929" s="1"/>
      <c r="T4929" s="1"/>
      <c r="U4929" s="1"/>
      <c r="V4929" s="1"/>
      <c r="W4929" s="1"/>
      <c r="X4929" s="1"/>
    </row>
    <row x14ac:dyDescent="0.25" r="4930" customHeight="1" ht="18.75">
      <c r="A4930" s="1"/>
      <c r="B4930" s="1"/>
      <c r="C4930" s="1"/>
      <c r="D4930" s="1"/>
      <c r="E4930" s="1"/>
      <c r="F4930" s="1"/>
      <c r="G4930" s="1"/>
      <c r="H4930" s="1"/>
      <c r="I4930" s="2"/>
      <c r="J4930" s="1"/>
      <c r="K4930" s="1"/>
      <c r="L4930" s="1"/>
      <c r="M4930" s="1"/>
      <c r="N4930" s="1"/>
      <c r="O4930" s="1"/>
      <c r="P4930" s="1"/>
      <c r="Q4930" s="1"/>
      <c r="R4930" s="1"/>
      <c r="S4930" s="1"/>
      <c r="T4930" s="1"/>
      <c r="U4930" s="1"/>
      <c r="V4930" s="1"/>
      <c r="W4930" s="1"/>
      <c r="X4930" s="1"/>
    </row>
    <row x14ac:dyDescent="0.25" r="4931" customHeight="1" ht="18.75">
      <c r="A4931" s="1"/>
      <c r="B4931" s="1"/>
      <c r="C4931" s="1"/>
      <c r="D4931" s="1"/>
      <c r="E4931" s="1"/>
      <c r="F4931" s="1"/>
      <c r="G4931" s="1"/>
      <c r="H4931" s="1"/>
      <c r="I4931" s="2"/>
      <c r="J4931" s="1"/>
      <c r="K4931" s="1"/>
      <c r="L4931" s="1"/>
      <c r="M4931" s="1"/>
      <c r="N4931" s="1"/>
      <c r="O4931" s="1"/>
      <c r="P4931" s="1"/>
      <c r="Q4931" s="1"/>
      <c r="R4931" s="1"/>
      <c r="S4931" s="1"/>
      <c r="T4931" s="1"/>
      <c r="U4931" s="1"/>
      <c r="V4931" s="1"/>
      <c r="W4931" s="1"/>
      <c r="X4931" s="1"/>
    </row>
    <row x14ac:dyDescent="0.25" r="4932" customHeight="1" ht="18.75">
      <c r="A4932" s="1"/>
      <c r="B4932" s="1"/>
      <c r="C4932" s="1"/>
      <c r="D4932" s="1"/>
      <c r="E4932" s="1"/>
      <c r="F4932" s="1"/>
      <c r="G4932" s="1"/>
      <c r="H4932" s="1"/>
      <c r="I4932" s="2"/>
      <c r="J4932" s="1"/>
      <c r="K4932" s="1"/>
      <c r="L4932" s="1"/>
      <c r="M4932" s="1"/>
      <c r="N4932" s="1"/>
      <c r="O4932" s="1"/>
      <c r="P4932" s="1"/>
      <c r="Q4932" s="1"/>
      <c r="R4932" s="1"/>
      <c r="S4932" s="1"/>
      <c r="T4932" s="1"/>
      <c r="U4932" s="1"/>
      <c r="V4932" s="1"/>
      <c r="W4932" s="1"/>
      <c r="X4932" s="1"/>
    </row>
    <row x14ac:dyDescent="0.25" r="4933" customHeight="1" ht="18.75">
      <c r="A4933" s="1"/>
      <c r="B4933" s="1"/>
      <c r="C4933" s="1"/>
      <c r="D4933" s="1"/>
      <c r="E4933" s="1"/>
      <c r="F4933" s="1"/>
      <c r="G4933" s="1"/>
      <c r="H4933" s="1"/>
      <c r="I4933" s="2"/>
      <c r="J4933" s="1"/>
      <c r="K4933" s="1"/>
      <c r="L4933" s="1"/>
      <c r="M4933" s="1"/>
      <c r="N4933" s="1"/>
      <c r="O4933" s="1"/>
      <c r="P4933" s="1"/>
      <c r="Q4933" s="1"/>
      <c r="R4933" s="1"/>
      <c r="S4933" s="1"/>
      <c r="T4933" s="1"/>
      <c r="U4933" s="1"/>
      <c r="V4933" s="1"/>
      <c r="W4933" s="1"/>
      <c r="X4933" s="1"/>
    </row>
    <row x14ac:dyDescent="0.25" r="4934" customHeight="1" ht="18.75">
      <c r="A4934" s="1"/>
      <c r="B4934" s="1"/>
      <c r="C4934" s="1"/>
      <c r="D4934" s="1"/>
      <c r="E4934" s="1"/>
      <c r="F4934" s="1"/>
      <c r="G4934" s="1"/>
      <c r="H4934" s="1"/>
      <c r="I4934" s="2"/>
      <c r="J4934" s="1"/>
      <c r="K4934" s="1"/>
      <c r="L4934" s="1"/>
      <c r="M4934" s="1"/>
      <c r="N4934" s="1"/>
      <c r="O4934" s="1"/>
      <c r="P4934" s="1"/>
      <c r="Q4934" s="1"/>
      <c r="R4934" s="1"/>
      <c r="S4934" s="1"/>
      <c r="T4934" s="1"/>
      <c r="U4934" s="1"/>
      <c r="V4934" s="1"/>
      <c r="W4934" s="1"/>
      <c r="X4934" s="1"/>
    </row>
    <row x14ac:dyDescent="0.25" r="4935" customHeight="1" ht="18.75">
      <c r="A4935" s="1"/>
      <c r="B4935" s="1"/>
      <c r="C4935" s="1"/>
      <c r="D4935" s="1"/>
      <c r="E4935" s="1"/>
      <c r="F4935" s="1"/>
      <c r="G4935" s="1"/>
      <c r="H4935" s="1"/>
      <c r="I4935" s="2"/>
      <c r="J4935" s="1"/>
      <c r="K4935" s="1"/>
      <c r="L4935" s="1"/>
      <c r="M4935" s="1"/>
      <c r="N4935" s="1"/>
      <c r="O4935" s="1"/>
      <c r="P4935" s="1"/>
      <c r="Q4935" s="1"/>
      <c r="R4935" s="1"/>
      <c r="S4935" s="1"/>
      <c r="T4935" s="1"/>
      <c r="U4935" s="1"/>
      <c r="V4935" s="1"/>
      <c r="W4935" s="1"/>
      <c r="X4935" s="1"/>
    </row>
    <row x14ac:dyDescent="0.25" r="4936" customHeight="1" ht="18.75">
      <c r="A4936" s="1"/>
      <c r="B4936" s="1"/>
      <c r="C4936" s="1"/>
      <c r="D4936" s="1"/>
      <c r="E4936" s="1"/>
      <c r="F4936" s="1"/>
      <c r="G4936" s="1"/>
      <c r="H4936" s="1"/>
      <c r="I4936" s="2"/>
      <c r="J4936" s="1"/>
      <c r="K4936" s="1"/>
      <c r="L4936" s="1"/>
      <c r="M4936" s="1"/>
      <c r="N4936" s="1"/>
      <c r="O4936" s="1"/>
      <c r="P4936" s="1"/>
      <c r="Q4936" s="1"/>
      <c r="R4936" s="1"/>
      <c r="S4936" s="1"/>
      <c r="T4936" s="1"/>
      <c r="U4936" s="1"/>
      <c r="V4936" s="1"/>
      <c r="W4936" s="1"/>
      <c r="X4936" s="1"/>
    </row>
    <row x14ac:dyDescent="0.25" r="4937" customHeight="1" ht="18.75">
      <c r="A4937" s="1"/>
      <c r="B4937" s="1"/>
      <c r="C4937" s="1"/>
      <c r="D4937" s="1"/>
      <c r="E4937" s="1"/>
      <c r="F4937" s="1"/>
      <c r="G4937" s="1"/>
      <c r="H4937" s="1"/>
      <c r="I4937" s="2"/>
      <c r="J4937" s="1"/>
      <c r="K4937" s="1"/>
      <c r="L4937" s="1"/>
      <c r="M4937" s="1"/>
      <c r="N4937" s="1"/>
      <c r="O4937" s="1"/>
      <c r="P4937" s="1"/>
      <c r="Q4937" s="1"/>
      <c r="R4937" s="1"/>
      <c r="S4937" s="1"/>
      <c r="T4937" s="1"/>
      <c r="U4937" s="1"/>
      <c r="V4937" s="1"/>
      <c r="W4937" s="1"/>
      <c r="X4937" s="1"/>
    </row>
    <row x14ac:dyDescent="0.25" r="4938" customHeight="1" ht="18.75">
      <c r="A4938" s="1"/>
      <c r="B4938" s="1"/>
      <c r="C4938" s="1"/>
      <c r="D4938" s="1"/>
      <c r="E4938" s="1"/>
      <c r="F4938" s="1"/>
      <c r="G4938" s="1"/>
      <c r="H4938" s="1"/>
      <c r="I4938" s="2"/>
      <c r="J4938" s="1"/>
      <c r="K4938" s="1"/>
      <c r="L4938" s="1"/>
      <c r="M4938" s="1"/>
      <c r="N4938" s="1"/>
      <c r="O4938" s="1"/>
      <c r="P4938" s="1"/>
      <c r="Q4938" s="1"/>
      <c r="R4938" s="1"/>
      <c r="S4938" s="1"/>
      <c r="T4938" s="1"/>
      <c r="U4938" s="1"/>
      <c r="V4938" s="1"/>
      <c r="W4938" s="1"/>
      <c r="X4938" s="1"/>
    </row>
    <row x14ac:dyDescent="0.25" r="4939" customHeight="1" ht="18.75">
      <c r="A4939" s="1"/>
      <c r="B4939" s="1"/>
      <c r="C4939" s="1"/>
      <c r="D4939" s="1"/>
      <c r="E4939" s="1"/>
      <c r="F4939" s="1"/>
      <c r="G4939" s="1"/>
      <c r="H4939" s="1"/>
      <c r="I4939" s="2"/>
      <c r="J4939" s="1"/>
      <c r="K4939" s="1"/>
      <c r="L4939" s="1"/>
      <c r="M4939" s="1"/>
      <c r="N4939" s="1"/>
      <c r="O4939" s="1"/>
      <c r="P4939" s="1"/>
      <c r="Q4939" s="1"/>
      <c r="R4939" s="1"/>
      <c r="S4939" s="1"/>
      <c r="T4939" s="1"/>
      <c r="U4939" s="1"/>
      <c r="V4939" s="1"/>
      <c r="W4939" s="1"/>
      <c r="X4939" s="1"/>
    </row>
    <row x14ac:dyDescent="0.25" r="4940" customHeight="1" ht="18.75">
      <c r="A4940" s="1"/>
      <c r="B4940" s="1"/>
      <c r="C4940" s="1"/>
      <c r="D4940" s="1"/>
      <c r="E4940" s="1"/>
      <c r="F4940" s="1"/>
      <c r="G4940" s="1"/>
      <c r="H4940" s="1"/>
      <c r="I4940" s="2"/>
      <c r="J4940" s="1"/>
      <c r="K4940" s="1"/>
      <c r="L4940" s="1"/>
      <c r="M4940" s="1"/>
      <c r="N4940" s="1"/>
      <c r="O4940" s="1"/>
      <c r="P4940" s="1"/>
      <c r="Q4940" s="1"/>
      <c r="R4940" s="1"/>
      <c r="S4940" s="1"/>
      <c r="T4940" s="1"/>
      <c r="U4940" s="1"/>
      <c r="V4940" s="1"/>
      <c r="W4940" s="1"/>
      <c r="X4940" s="1"/>
    </row>
    <row x14ac:dyDescent="0.25" r="4941" customHeight="1" ht="18.75">
      <c r="A4941" s="1"/>
      <c r="B4941" s="1"/>
      <c r="C4941" s="1"/>
      <c r="D4941" s="1"/>
      <c r="E4941" s="1"/>
      <c r="F4941" s="1"/>
      <c r="G4941" s="1"/>
      <c r="H4941" s="1"/>
      <c r="I4941" s="2"/>
      <c r="J4941" s="1"/>
      <c r="K4941" s="1"/>
      <c r="L4941" s="1"/>
      <c r="M4941" s="1"/>
      <c r="N4941" s="1"/>
      <c r="O4941" s="1"/>
      <c r="P4941" s="1"/>
      <c r="Q4941" s="1"/>
      <c r="R4941" s="1"/>
      <c r="S4941" s="1"/>
      <c r="T4941" s="1"/>
      <c r="U4941" s="1"/>
      <c r="V4941" s="1"/>
      <c r="W4941" s="1"/>
      <c r="X4941" s="1"/>
    </row>
    <row x14ac:dyDescent="0.25" r="4942" customHeight="1" ht="18.75">
      <c r="A4942" s="1"/>
      <c r="B4942" s="1"/>
      <c r="C4942" s="1"/>
      <c r="D4942" s="1"/>
      <c r="E4942" s="1"/>
      <c r="F4942" s="1"/>
      <c r="G4942" s="1"/>
      <c r="H4942" s="1"/>
      <c r="I4942" s="2"/>
      <c r="J4942" s="1"/>
      <c r="K4942" s="1"/>
      <c r="L4942" s="1"/>
      <c r="M4942" s="1"/>
      <c r="N4942" s="1"/>
      <c r="O4942" s="1"/>
      <c r="P4942" s="1"/>
      <c r="Q4942" s="1"/>
      <c r="R4942" s="1"/>
      <c r="S4942" s="1"/>
      <c r="T4942" s="1"/>
      <c r="U4942" s="1"/>
      <c r="V4942" s="1"/>
      <c r="W4942" s="1"/>
      <c r="X4942" s="1"/>
    </row>
    <row x14ac:dyDescent="0.25" r="4943" customHeight="1" ht="18.75">
      <c r="A4943" s="1"/>
      <c r="B4943" s="1"/>
      <c r="C4943" s="1"/>
      <c r="D4943" s="1"/>
      <c r="E4943" s="1"/>
      <c r="F4943" s="1"/>
      <c r="G4943" s="1"/>
      <c r="H4943" s="1"/>
      <c r="I4943" s="2"/>
      <c r="J4943" s="1"/>
      <c r="K4943" s="1"/>
      <c r="L4943" s="1"/>
      <c r="M4943" s="1"/>
      <c r="N4943" s="1"/>
      <c r="O4943" s="1"/>
      <c r="P4943" s="1"/>
      <c r="Q4943" s="1"/>
      <c r="R4943" s="1"/>
      <c r="S4943" s="1"/>
      <c r="T4943" s="1"/>
      <c r="U4943" s="1"/>
      <c r="V4943" s="1"/>
      <c r="W4943" s="1"/>
      <c r="X4943" s="1"/>
    </row>
    <row x14ac:dyDescent="0.25" r="4944" customHeight="1" ht="18.75">
      <c r="A4944" s="1"/>
      <c r="B4944" s="1"/>
      <c r="C4944" s="1"/>
      <c r="D4944" s="1"/>
      <c r="E4944" s="1"/>
      <c r="F4944" s="1"/>
      <c r="G4944" s="1"/>
      <c r="H4944" s="1"/>
      <c r="I4944" s="2"/>
      <c r="J4944" s="1"/>
      <c r="K4944" s="1"/>
      <c r="L4944" s="1"/>
      <c r="M4944" s="1"/>
      <c r="N4944" s="1"/>
      <c r="O4944" s="1"/>
      <c r="P4944" s="1"/>
      <c r="Q4944" s="1"/>
      <c r="R4944" s="1"/>
      <c r="S4944" s="1"/>
      <c r="T4944" s="1"/>
      <c r="U4944" s="1"/>
      <c r="V4944" s="1"/>
      <c r="W4944" s="1"/>
      <c r="X4944" s="1"/>
    </row>
    <row x14ac:dyDescent="0.25" r="4945" customHeight="1" ht="18.75">
      <c r="A4945" s="1"/>
      <c r="B4945" s="1"/>
      <c r="C4945" s="1"/>
      <c r="D4945" s="1"/>
      <c r="E4945" s="1"/>
      <c r="F4945" s="1"/>
      <c r="G4945" s="1"/>
      <c r="H4945" s="1"/>
      <c r="I4945" s="2"/>
      <c r="J4945" s="1"/>
      <c r="K4945" s="1"/>
      <c r="L4945" s="1"/>
      <c r="M4945" s="1"/>
      <c r="N4945" s="1"/>
      <c r="O4945" s="1"/>
      <c r="P4945" s="1"/>
      <c r="Q4945" s="1"/>
      <c r="R4945" s="1"/>
      <c r="S4945" s="1"/>
      <c r="T4945" s="1"/>
      <c r="U4945" s="1"/>
      <c r="V4945" s="1"/>
      <c r="W4945" s="1"/>
      <c r="X4945" s="1"/>
    </row>
    <row x14ac:dyDescent="0.25" r="4946" customHeight="1" ht="18.75">
      <c r="A4946" s="1"/>
      <c r="B4946" s="1"/>
      <c r="C4946" s="1"/>
      <c r="D4946" s="1"/>
      <c r="E4946" s="1"/>
      <c r="F4946" s="1"/>
      <c r="G4946" s="1"/>
      <c r="H4946" s="1"/>
      <c r="I4946" s="2"/>
      <c r="J4946" s="1"/>
      <c r="K4946" s="1"/>
      <c r="L4946" s="1"/>
      <c r="M4946" s="1"/>
      <c r="N4946" s="1"/>
      <c r="O4946" s="1"/>
      <c r="P4946" s="1"/>
      <c r="Q4946" s="1"/>
      <c r="R4946" s="1"/>
      <c r="S4946" s="1"/>
      <c r="T4946" s="1"/>
      <c r="U4946" s="1"/>
      <c r="V4946" s="1"/>
      <c r="W4946" s="1"/>
      <c r="X4946" s="1"/>
    </row>
    <row x14ac:dyDescent="0.25" r="4947" customHeight="1" ht="18.75">
      <c r="A4947" s="1"/>
      <c r="B4947" s="1"/>
      <c r="C4947" s="1"/>
      <c r="D4947" s="1"/>
      <c r="E4947" s="1"/>
      <c r="F4947" s="1"/>
      <c r="G4947" s="1"/>
      <c r="H4947" s="1"/>
      <c r="I4947" s="2"/>
      <c r="J4947" s="1"/>
      <c r="K4947" s="1"/>
      <c r="L4947" s="1"/>
      <c r="M4947" s="1"/>
      <c r="N4947" s="1"/>
      <c r="O4947" s="1"/>
      <c r="P4947" s="1"/>
      <c r="Q4947" s="1"/>
      <c r="R4947" s="1"/>
      <c r="S4947" s="1"/>
      <c r="T4947" s="1"/>
      <c r="U4947" s="1"/>
      <c r="V4947" s="1"/>
      <c r="W4947" s="1"/>
      <c r="X4947" s="1"/>
    </row>
    <row x14ac:dyDescent="0.25" r="4948" customHeight="1" ht="18.75">
      <c r="A4948" s="1"/>
      <c r="B4948" s="1"/>
      <c r="C4948" s="1"/>
      <c r="D4948" s="1"/>
      <c r="E4948" s="1"/>
      <c r="F4948" s="1"/>
      <c r="G4948" s="1"/>
      <c r="H4948" s="1"/>
      <c r="I4948" s="2"/>
      <c r="J4948" s="1"/>
      <c r="K4948" s="1"/>
      <c r="L4948" s="1"/>
      <c r="M4948" s="1"/>
      <c r="N4948" s="1"/>
      <c r="O4948" s="1"/>
      <c r="P4948" s="1"/>
      <c r="Q4948" s="1"/>
      <c r="R4948" s="1"/>
      <c r="S4948" s="1"/>
      <c r="T4948" s="1"/>
      <c r="U4948" s="1"/>
      <c r="V4948" s="1"/>
      <c r="W4948" s="1"/>
      <c r="X4948" s="1"/>
    </row>
    <row x14ac:dyDescent="0.25" r="4949" customHeight="1" ht="18.75">
      <c r="A4949" s="1"/>
      <c r="B4949" s="1"/>
      <c r="C4949" s="1"/>
      <c r="D4949" s="1"/>
      <c r="E4949" s="1"/>
      <c r="F4949" s="1"/>
      <c r="G4949" s="1"/>
      <c r="H4949" s="1"/>
      <c r="I4949" s="2"/>
      <c r="J4949" s="1"/>
      <c r="K4949" s="1"/>
      <c r="L4949" s="1"/>
      <c r="M4949" s="1"/>
      <c r="N4949" s="1"/>
      <c r="O4949" s="1"/>
      <c r="P4949" s="1"/>
      <c r="Q4949" s="1"/>
      <c r="R4949" s="1"/>
      <c r="S4949" s="1"/>
      <c r="T4949" s="1"/>
      <c r="U4949" s="1"/>
      <c r="V4949" s="1"/>
      <c r="W4949" s="1"/>
      <c r="X4949" s="1"/>
    </row>
    <row x14ac:dyDescent="0.25" r="4950" customHeight="1" ht="18.75">
      <c r="A4950" s="1"/>
      <c r="B4950" s="1"/>
      <c r="C4950" s="1"/>
      <c r="D4950" s="1"/>
      <c r="E4950" s="1"/>
      <c r="F4950" s="1"/>
      <c r="G4950" s="1"/>
      <c r="H4950" s="1"/>
      <c r="I4950" s="2"/>
      <c r="J4950" s="1"/>
      <c r="K4950" s="1"/>
      <c r="L4950" s="1"/>
      <c r="M4950" s="1"/>
      <c r="N4950" s="1"/>
      <c r="O4950" s="1"/>
      <c r="P4950" s="1"/>
      <c r="Q4950" s="1"/>
      <c r="R4950" s="1"/>
      <c r="S4950" s="1"/>
      <c r="T4950" s="1"/>
      <c r="U4950" s="1"/>
      <c r="V4950" s="1"/>
      <c r="W4950" s="1"/>
      <c r="X4950" s="1"/>
    </row>
    <row x14ac:dyDescent="0.25" r="4951" customHeight="1" ht="18.75">
      <c r="A4951" s="1"/>
      <c r="B4951" s="1"/>
      <c r="C4951" s="1"/>
      <c r="D4951" s="1"/>
      <c r="E4951" s="1"/>
      <c r="F4951" s="1"/>
      <c r="G4951" s="1"/>
      <c r="H4951" s="1"/>
      <c r="I4951" s="2"/>
      <c r="J4951" s="1"/>
      <c r="K4951" s="1"/>
      <c r="L4951" s="1"/>
      <c r="M4951" s="1"/>
      <c r="N4951" s="1"/>
      <c r="O4951" s="1"/>
      <c r="P4951" s="1"/>
      <c r="Q4951" s="1"/>
      <c r="R4951" s="1"/>
      <c r="S4951" s="1"/>
      <c r="T4951" s="1"/>
      <c r="U4951" s="1"/>
      <c r="V4951" s="1"/>
      <c r="W4951" s="1"/>
      <c r="X4951" s="1"/>
    </row>
    <row x14ac:dyDescent="0.25" r="4952" customHeight="1" ht="18.75">
      <c r="A4952" s="1"/>
      <c r="B4952" s="1"/>
      <c r="C4952" s="1"/>
      <c r="D4952" s="1"/>
      <c r="E4952" s="1"/>
      <c r="F4952" s="1"/>
      <c r="G4952" s="1"/>
      <c r="H4952" s="1"/>
      <c r="I4952" s="2"/>
      <c r="J4952" s="1"/>
      <c r="K4952" s="1"/>
      <c r="L4952" s="1"/>
      <c r="M4952" s="1"/>
      <c r="N4952" s="1"/>
      <c r="O4952" s="1"/>
      <c r="P4952" s="1"/>
      <c r="Q4952" s="1"/>
      <c r="R4952" s="1"/>
      <c r="S4952" s="1"/>
      <c r="T4952" s="1"/>
      <c r="U4952" s="1"/>
      <c r="V4952" s="1"/>
      <c r="W4952" s="1"/>
      <c r="X4952" s="1"/>
    </row>
    <row x14ac:dyDescent="0.25" r="4953" customHeight="1" ht="18.75">
      <c r="A4953" s="1"/>
      <c r="B4953" s="1"/>
      <c r="C4953" s="1"/>
      <c r="D4953" s="1"/>
      <c r="E4953" s="1"/>
      <c r="F4953" s="1"/>
      <c r="G4953" s="1"/>
      <c r="H4953" s="1"/>
      <c r="I4953" s="2"/>
      <c r="J4953" s="1"/>
      <c r="K4953" s="1"/>
      <c r="L4953" s="1"/>
      <c r="M4953" s="1"/>
      <c r="N4953" s="1"/>
      <c r="O4953" s="1"/>
      <c r="P4953" s="1"/>
      <c r="Q4953" s="1"/>
      <c r="R4953" s="1"/>
      <c r="S4953" s="1"/>
      <c r="T4953" s="1"/>
      <c r="U4953" s="1"/>
      <c r="V4953" s="1"/>
      <c r="W4953" s="1"/>
      <c r="X4953" s="1"/>
    </row>
    <row x14ac:dyDescent="0.25" r="4954" customHeight="1" ht="18.75">
      <c r="A4954" s="1"/>
      <c r="B4954" s="1"/>
      <c r="C4954" s="1"/>
      <c r="D4954" s="1"/>
      <c r="E4954" s="1"/>
      <c r="F4954" s="1"/>
      <c r="G4954" s="1"/>
      <c r="H4954" s="1"/>
      <c r="I4954" s="2"/>
      <c r="J4954" s="1"/>
      <c r="K4954" s="1"/>
      <c r="L4954" s="1"/>
      <c r="M4954" s="1"/>
      <c r="N4954" s="1"/>
      <c r="O4954" s="1"/>
      <c r="P4954" s="1"/>
      <c r="Q4954" s="1"/>
      <c r="R4954" s="1"/>
      <c r="S4954" s="1"/>
      <c r="T4954" s="1"/>
      <c r="U4954" s="1"/>
      <c r="V4954" s="1"/>
      <c r="W4954" s="1"/>
      <c r="X4954" s="1"/>
    </row>
    <row x14ac:dyDescent="0.25" r="4955" customHeight="1" ht="18.75">
      <c r="A4955" s="1"/>
      <c r="B4955" s="1"/>
      <c r="C4955" s="1"/>
      <c r="D4955" s="1"/>
      <c r="E4955" s="1"/>
      <c r="F4955" s="1"/>
      <c r="G4955" s="1"/>
      <c r="H4955" s="1"/>
      <c r="I4955" s="2"/>
      <c r="J4955" s="1"/>
      <c r="K4955" s="1"/>
      <c r="L4955" s="1"/>
      <c r="M4955" s="1"/>
      <c r="N4955" s="1"/>
      <c r="O4955" s="1"/>
      <c r="P4955" s="1"/>
      <c r="Q4955" s="1"/>
      <c r="R4955" s="1"/>
      <c r="S4955" s="1"/>
      <c r="T4955" s="1"/>
      <c r="U4955" s="1"/>
      <c r="V4955" s="1"/>
      <c r="W4955" s="1"/>
      <c r="X4955" s="1"/>
    </row>
    <row x14ac:dyDescent="0.25" r="4956" customHeight="1" ht="18.75">
      <c r="A4956" s="1"/>
      <c r="B4956" s="1"/>
      <c r="C4956" s="1"/>
      <c r="D4956" s="1"/>
      <c r="E4956" s="1"/>
      <c r="F4956" s="1"/>
      <c r="G4956" s="1"/>
      <c r="H4956" s="1"/>
      <c r="I4956" s="2"/>
      <c r="J4956" s="1"/>
      <c r="K4956" s="1"/>
      <c r="L4956" s="1"/>
      <c r="M4956" s="1"/>
      <c r="N4956" s="1"/>
      <c r="O4956" s="1"/>
      <c r="P4956" s="1"/>
      <c r="Q4956" s="1"/>
      <c r="R4956" s="1"/>
      <c r="S4956" s="1"/>
      <c r="T4956" s="1"/>
      <c r="U4956" s="1"/>
      <c r="V4956" s="1"/>
      <c r="W4956" s="1"/>
      <c r="X4956" s="1"/>
    </row>
    <row x14ac:dyDescent="0.25" r="4957" customHeight="1" ht="18.75">
      <c r="A4957" s="1"/>
      <c r="B4957" s="1"/>
      <c r="C4957" s="1"/>
      <c r="D4957" s="1"/>
      <c r="E4957" s="1"/>
      <c r="F4957" s="1"/>
      <c r="G4957" s="1"/>
      <c r="H4957" s="1"/>
      <c r="I4957" s="2"/>
      <c r="J4957" s="1"/>
      <c r="K4957" s="1"/>
      <c r="L4957" s="1"/>
      <c r="M4957" s="1"/>
      <c r="N4957" s="1"/>
      <c r="O4957" s="1"/>
      <c r="P4957" s="1"/>
      <c r="Q4957" s="1"/>
      <c r="R4957" s="1"/>
      <c r="S4957" s="1"/>
      <c r="T4957" s="1"/>
      <c r="U4957" s="1"/>
      <c r="V4957" s="1"/>
      <c r="W4957" s="1"/>
      <c r="X4957" s="1"/>
    </row>
    <row x14ac:dyDescent="0.25" r="4958" customHeight="1" ht="18.75">
      <c r="A4958" s="1"/>
      <c r="B4958" s="1"/>
      <c r="C4958" s="1"/>
      <c r="D4958" s="1"/>
      <c r="E4958" s="1"/>
      <c r="F4958" s="1"/>
      <c r="G4958" s="1"/>
      <c r="H4958" s="1"/>
      <c r="I4958" s="2"/>
      <c r="J4958" s="1"/>
      <c r="K4958" s="1"/>
      <c r="L4958" s="1"/>
      <c r="M4958" s="1"/>
      <c r="N4958" s="1"/>
      <c r="O4958" s="1"/>
      <c r="P4958" s="1"/>
      <c r="Q4958" s="1"/>
      <c r="R4958" s="1"/>
      <c r="S4958" s="1"/>
      <c r="T4958" s="1"/>
      <c r="U4958" s="1"/>
      <c r="V4958" s="1"/>
      <c r="W4958" s="1"/>
      <c r="X4958" s="1"/>
    </row>
    <row x14ac:dyDescent="0.25" r="4959" customHeight="1" ht="18.75">
      <c r="A4959" s="1"/>
      <c r="B4959" s="1"/>
      <c r="C4959" s="1"/>
      <c r="D4959" s="1"/>
      <c r="E4959" s="1"/>
      <c r="F4959" s="1"/>
      <c r="G4959" s="1"/>
      <c r="H4959" s="1"/>
      <c r="I4959" s="2"/>
      <c r="J4959" s="1"/>
      <c r="K4959" s="1"/>
      <c r="L4959" s="1"/>
      <c r="M4959" s="1"/>
      <c r="N4959" s="1"/>
      <c r="O4959" s="1"/>
      <c r="P4959" s="1"/>
      <c r="Q4959" s="1"/>
      <c r="R4959" s="1"/>
      <c r="S4959" s="1"/>
      <c r="T4959" s="1"/>
      <c r="U4959" s="1"/>
      <c r="V4959" s="1"/>
      <c r="W4959" s="1"/>
      <c r="X4959" s="1"/>
    </row>
    <row x14ac:dyDescent="0.25" r="4960" customHeight="1" ht="18.75">
      <c r="A4960" s="1"/>
      <c r="B4960" s="1"/>
      <c r="C4960" s="1"/>
      <c r="D4960" s="1"/>
      <c r="E4960" s="1"/>
      <c r="F4960" s="1"/>
      <c r="G4960" s="1"/>
      <c r="H4960" s="1"/>
      <c r="I4960" s="2"/>
      <c r="J4960" s="1"/>
      <c r="K4960" s="1"/>
      <c r="L4960" s="1"/>
      <c r="M4960" s="1"/>
      <c r="N4960" s="1"/>
      <c r="O4960" s="1"/>
      <c r="P4960" s="1"/>
      <c r="Q4960" s="1"/>
      <c r="R4960" s="1"/>
      <c r="S4960" s="1"/>
      <c r="T4960" s="1"/>
      <c r="U4960" s="1"/>
      <c r="V4960" s="1"/>
      <c r="W4960" s="1"/>
      <c r="X4960" s="1"/>
    </row>
    <row x14ac:dyDescent="0.25" r="4961" customHeight="1" ht="18.75">
      <c r="A4961" s="1"/>
      <c r="B4961" s="1"/>
      <c r="C4961" s="1"/>
      <c r="D4961" s="1"/>
      <c r="E4961" s="1"/>
      <c r="F4961" s="1"/>
      <c r="G4961" s="1"/>
      <c r="H4961" s="1"/>
      <c r="I4961" s="2"/>
      <c r="J4961" s="1"/>
      <c r="K4961" s="1"/>
      <c r="L4961" s="1"/>
      <c r="M4961" s="1"/>
      <c r="N4961" s="1"/>
      <c r="O4961" s="1"/>
      <c r="P4961" s="1"/>
      <c r="Q4961" s="1"/>
      <c r="R4961" s="1"/>
      <c r="S4961" s="1"/>
      <c r="T4961" s="1"/>
      <c r="U4961" s="1"/>
      <c r="V4961" s="1"/>
      <c r="W4961" s="1"/>
      <c r="X4961" s="1"/>
    </row>
    <row x14ac:dyDescent="0.25" r="4962" customHeight="1" ht="18.75">
      <c r="A4962" s="1"/>
      <c r="B4962" s="1"/>
      <c r="C4962" s="1"/>
      <c r="D4962" s="1"/>
      <c r="E4962" s="1"/>
      <c r="F4962" s="1"/>
      <c r="G4962" s="1"/>
      <c r="H4962" s="1"/>
      <c r="I4962" s="2"/>
      <c r="J4962" s="1"/>
      <c r="K4962" s="1"/>
      <c r="L4962" s="1"/>
      <c r="M4962" s="1"/>
      <c r="N4962" s="1"/>
      <c r="O4962" s="1"/>
      <c r="P4962" s="1"/>
      <c r="Q4962" s="1"/>
      <c r="R4962" s="1"/>
      <c r="S4962" s="1"/>
      <c r="T4962" s="1"/>
      <c r="U4962" s="1"/>
      <c r="V4962" s="1"/>
      <c r="W4962" s="1"/>
      <c r="X4962" s="1"/>
    </row>
    <row x14ac:dyDescent="0.25" r="4963" customHeight="1" ht="18.75">
      <c r="A4963" s="1"/>
      <c r="B4963" s="1"/>
      <c r="C4963" s="1"/>
      <c r="D4963" s="1"/>
      <c r="E4963" s="1"/>
      <c r="F4963" s="1"/>
      <c r="G4963" s="1"/>
      <c r="H4963" s="1"/>
      <c r="I4963" s="2"/>
      <c r="J4963" s="1"/>
      <c r="K4963" s="1"/>
      <c r="L4963" s="1"/>
      <c r="M4963" s="1"/>
      <c r="N4963" s="1"/>
      <c r="O4963" s="1"/>
      <c r="P4963" s="1"/>
      <c r="Q4963" s="1"/>
      <c r="R4963" s="1"/>
      <c r="S4963" s="1"/>
      <c r="T4963" s="1"/>
      <c r="U4963" s="1"/>
      <c r="V4963" s="1"/>
      <c r="W4963" s="1"/>
      <c r="X4963" s="1"/>
    </row>
    <row x14ac:dyDescent="0.25" r="4964" customHeight="1" ht="18.75">
      <c r="A4964" s="1"/>
      <c r="B4964" s="1"/>
      <c r="C4964" s="1"/>
      <c r="D4964" s="1"/>
      <c r="E4964" s="1"/>
      <c r="F4964" s="1"/>
      <c r="G4964" s="1"/>
      <c r="H4964" s="1"/>
      <c r="I4964" s="2"/>
      <c r="J4964" s="1"/>
      <c r="K4964" s="1"/>
      <c r="L4964" s="1"/>
      <c r="M4964" s="1"/>
      <c r="N4964" s="1"/>
      <c r="O4964" s="1"/>
      <c r="P4964" s="1"/>
      <c r="Q4964" s="1"/>
      <c r="R4964" s="1"/>
      <c r="S4964" s="1"/>
      <c r="T4964" s="1"/>
      <c r="U4964" s="1"/>
      <c r="V4964" s="1"/>
      <c r="W4964" s="1"/>
      <c r="X4964" s="1"/>
    </row>
    <row x14ac:dyDescent="0.25" r="4965" customHeight="1" ht="18.75">
      <c r="A4965" s="1"/>
      <c r="B4965" s="1"/>
      <c r="C4965" s="1"/>
      <c r="D4965" s="1"/>
      <c r="E4965" s="1"/>
      <c r="F4965" s="1"/>
      <c r="G4965" s="1"/>
      <c r="H4965" s="1"/>
      <c r="I4965" s="2"/>
      <c r="J4965" s="1"/>
      <c r="K4965" s="1"/>
      <c r="L4965" s="1"/>
      <c r="M4965" s="1"/>
      <c r="N4965" s="1"/>
      <c r="O4965" s="1"/>
      <c r="P4965" s="1"/>
      <c r="Q4965" s="1"/>
      <c r="R4965" s="1"/>
      <c r="S4965" s="1"/>
      <c r="T4965" s="1"/>
      <c r="U4965" s="1"/>
      <c r="V4965" s="1"/>
      <c r="W4965" s="1"/>
      <c r="X4965" s="1"/>
    </row>
    <row x14ac:dyDescent="0.25" r="4966" customHeight="1" ht="18.75">
      <c r="A4966" s="1"/>
      <c r="B4966" s="1"/>
      <c r="C4966" s="1"/>
      <c r="D4966" s="1"/>
      <c r="E4966" s="1"/>
      <c r="F4966" s="1"/>
      <c r="G4966" s="1"/>
      <c r="H4966" s="1"/>
      <c r="I4966" s="2"/>
      <c r="J4966" s="1"/>
      <c r="K4966" s="1"/>
      <c r="L4966" s="1"/>
      <c r="M4966" s="1"/>
      <c r="N4966" s="1"/>
      <c r="O4966" s="1"/>
      <c r="P4966" s="1"/>
      <c r="Q4966" s="1"/>
      <c r="R4966" s="1"/>
      <c r="S4966" s="1"/>
      <c r="T4966" s="1"/>
      <c r="U4966" s="1"/>
      <c r="V4966" s="1"/>
      <c r="W4966" s="1"/>
      <c r="X4966" s="1"/>
    </row>
    <row x14ac:dyDescent="0.25" r="4967" customHeight="1" ht="18.75">
      <c r="A4967" s="1"/>
      <c r="B4967" s="1"/>
      <c r="C4967" s="1"/>
      <c r="D4967" s="1"/>
      <c r="E4967" s="1"/>
      <c r="F4967" s="1"/>
      <c r="G4967" s="1"/>
      <c r="H4967" s="1"/>
      <c r="I4967" s="2"/>
      <c r="J4967" s="1"/>
      <c r="K4967" s="1"/>
      <c r="L4967" s="1"/>
      <c r="M4967" s="1"/>
      <c r="N4967" s="1"/>
      <c r="O4967" s="1"/>
      <c r="P4967" s="1"/>
      <c r="Q4967" s="1"/>
      <c r="R4967" s="1"/>
      <c r="S4967" s="1"/>
      <c r="T4967" s="1"/>
      <c r="U4967" s="1"/>
      <c r="V4967" s="1"/>
      <c r="W4967" s="1"/>
      <c r="X4967" s="1"/>
    </row>
    <row x14ac:dyDescent="0.25" r="4968" customHeight="1" ht="18.75">
      <c r="A4968" s="1"/>
      <c r="B4968" s="1"/>
      <c r="C4968" s="1"/>
      <c r="D4968" s="1"/>
      <c r="E4968" s="1"/>
      <c r="F4968" s="1"/>
      <c r="G4968" s="1"/>
      <c r="H4968" s="1"/>
      <c r="I4968" s="2"/>
      <c r="J4968" s="1"/>
      <c r="K4968" s="1"/>
      <c r="L4968" s="1"/>
      <c r="M4968" s="1"/>
      <c r="N4968" s="1"/>
      <c r="O4968" s="1"/>
      <c r="P4968" s="1"/>
      <c r="Q4968" s="1"/>
      <c r="R4968" s="1"/>
      <c r="S4968" s="1"/>
      <c r="T4968" s="1"/>
      <c r="U4968" s="1"/>
      <c r="V4968" s="1"/>
      <c r="W4968" s="1"/>
      <c r="X4968" s="1"/>
    </row>
    <row x14ac:dyDescent="0.25" r="4969" customHeight="1" ht="18.75">
      <c r="A4969" s="1"/>
      <c r="B4969" s="1"/>
      <c r="C4969" s="1"/>
      <c r="D4969" s="1"/>
      <c r="E4969" s="1"/>
      <c r="F4969" s="1"/>
      <c r="G4969" s="1"/>
      <c r="H4969" s="1"/>
      <c r="I4969" s="2"/>
      <c r="J4969" s="1"/>
      <c r="K4969" s="1"/>
      <c r="L4969" s="1"/>
      <c r="M4969" s="1"/>
      <c r="N4969" s="1"/>
      <c r="O4969" s="1"/>
      <c r="P4969" s="1"/>
      <c r="Q4969" s="1"/>
      <c r="R4969" s="1"/>
      <c r="S4969" s="1"/>
      <c r="T4969" s="1"/>
      <c r="U4969" s="1"/>
      <c r="V4969" s="1"/>
      <c r="W4969" s="1"/>
      <c r="X4969" s="1"/>
    </row>
    <row x14ac:dyDescent="0.25" r="4970" customHeight="1" ht="18.75">
      <c r="A4970" s="1"/>
      <c r="B4970" s="1"/>
      <c r="C4970" s="1"/>
      <c r="D4970" s="1"/>
      <c r="E4970" s="1"/>
      <c r="F4970" s="1"/>
      <c r="G4970" s="1"/>
      <c r="H4970" s="1"/>
      <c r="I4970" s="2"/>
      <c r="J4970" s="1"/>
      <c r="K4970" s="1"/>
      <c r="L4970" s="1"/>
      <c r="M4970" s="1"/>
      <c r="N4970" s="1"/>
      <c r="O4970" s="1"/>
      <c r="P4970" s="1"/>
      <c r="Q4970" s="1"/>
      <c r="R4970" s="1"/>
      <c r="S4970" s="1"/>
      <c r="T4970" s="1"/>
      <c r="U4970" s="1"/>
      <c r="V4970" s="1"/>
      <c r="W4970" s="1"/>
      <c r="X4970" s="1"/>
    </row>
    <row x14ac:dyDescent="0.25" r="4971" customHeight="1" ht="18.75">
      <c r="A4971" s="1"/>
      <c r="B4971" s="1"/>
      <c r="C4971" s="1"/>
      <c r="D4971" s="1"/>
      <c r="E4971" s="1"/>
      <c r="F4971" s="1"/>
      <c r="G4971" s="1"/>
      <c r="H4971" s="1"/>
      <c r="I4971" s="2"/>
      <c r="J4971" s="1"/>
      <c r="K4971" s="1"/>
      <c r="L4971" s="1"/>
      <c r="M4971" s="1"/>
      <c r="N4971" s="1"/>
      <c r="O4971" s="1"/>
      <c r="P4971" s="1"/>
      <c r="Q4971" s="1"/>
      <c r="R4971" s="1"/>
      <c r="S4971" s="1"/>
      <c r="T4971" s="1"/>
      <c r="U4971" s="1"/>
      <c r="V4971" s="1"/>
      <c r="W4971" s="1"/>
      <c r="X4971" s="1"/>
    </row>
    <row x14ac:dyDescent="0.25" r="4972" customHeight="1" ht="18.75">
      <c r="A4972" s="1"/>
      <c r="B4972" s="1"/>
      <c r="C4972" s="1"/>
      <c r="D4972" s="1"/>
      <c r="E4972" s="1"/>
      <c r="F4972" s="1"/>
      <c r="G4972" s="1"/>
      <c r="H4972" s="1"/>
      <c r="I4972" s="2"/>
      <c r="J4972" s="1"/>
      <c r="K4972" s="1"/>
      <c r="L4972" s="1"/>
      <c r="M4972" s="1"/>
      <c r="N4972" s="1"/>
      <c r="O4972" s="1"/>
      <c r="P4972" s="1"/>
      <c r="Q4972" s="1"/>
      <c r="R4972" s="1"/>
      <c r="S4972" s="1"/>
      <c r="T4972" s="1"/>
      <c r="U4972" s="1"/>
      <c r="V4972" s="1"/>
      <c r="W4972" s="1"/>
      <c r="X4972" s="1"/>
    </row>
    <row x14ac:dyDescent="0.25" r="4973" customHeight="1" ht="18.75">
      <c r="A4973" s="1"/>
      <c r="B4973" s="1"/>
      <c r="C4973" s="1"/>
      <c r="D4973" s="1"/>
      <c r="E4973" s="1"/>
      <c r="F4973" s="1"/>
      <c r="G4973" s="1"/>
      <c r="H4973" s="1"/>
      <c r="I4973" s="2"/>
      <c r="J4973" s="1"/>
      <c r="K4973" s="1"/>
      <c r="L4973" s="1"/>
      <c r="M4973" s="1"/>
      <c r="N4973" s="1"/>
      <c r="O4973" s="1"/>
      <c r="P4973" s="1"/>
      <c r="Q4973" s="1"/>
      <c r="R4973" s="1"/>
      <c r="S4973" s="1"/>
      <c r="T4973" s="1"/>
      <c r="U4973" s="1"/>
      <c r="V4973" s="1"/>
      <c r="W4973" s="1"/>
      <c r="X4973" s="1"/>
    </row>
    <row x14ac:dyDescent="0.25" r="4974" customHeight="1" ht="18.75">
      <c r="A4974" s="1"/>
      <c r="B4974" s="1"/>
      <c r="C4974" s="1"/>
      <c r="D4974" s="1"/>
      <c r="E4974" s="1"/>
      <c r="F4974" s="1"/>
      <c r="G4974" s="1"/>
      <c r="H4974" s="1"/>
      <c r="I4974" s="2"/>
      <c r="J4974" s="1"/>
      <c r="K4974" s="1"/>
      <c r="L4974" s="1"/>
      <c r="M4974" s="1"/>
      <c r="N4974" s="1"/>
      <c r="O4974" s="1"/>
      <c r="P4974" s="1"/>
      <c r="Q4974" s="1"/>
      <c r="R4974" s="1"/>
      <c r="S4974" s="1"/>
      <c r="T4974" s="1"/>
      <c r="U4974" s="1"/>
      <c r="V4974" s="1"/>
      <c r="W4974" s="1"/>
      <c r="X4974" s="1"/>
    </row>
    <row x14ac:dyDescent="0.25" r="4975" customHeight="1" ht="18.75">
      <c r="A4975" s="1"/>
      <c r="B4975" s="1"/>
      <c r="C4975" s="1"/>
      <c r="D4975" s="1"/>
      <c r="E4975" s="1"/>
      <c r="F4975" s="1"/>
      <c r="G4975" s="1"/>
      <c r="H4975" s="1"/>
      <c r="I4975" s="2"/>
      <c r="J4975" s="1"/>
      <c r="K4975" s="1"/>
      <c r="L4975" s="1"/>
      <c r="M4975" s="1"/>
      <c r="N4975" s="1"/>
      <c r="O4975" s="1"/>
      <c r="P4975" s="1"/>
      <c r="Q4975" s="1"/>
      <c r="R4975" s="1"/>
      <c r="S4975" s="1"/>
      <c r="T4975" s="1"/>
      <c r="U4975" s="1"/>
      <c r="V4975" s="1"/>
      <c r="W4975" s="1"/>
      <c r="X4975" s="1"/>
    </row>
    <row x14ac:dyDescent="0.25" r="4976" customHeight="1" ht="18.75">
      <c r="A4976" s="1"/>
      <c r="B4976" s="1"/>
      <c r="C4976" s="1"/>
      <c r="D4976" s="1"/>
      <c r="E4976" s="1"/>
      <c r="F4976" s="1"/>
      <c r="G4976" s="1"/>
      <c r="H4976" s="1"/>
      <c r="I4976" s="2"/>
      <c r="J4976" s="1"/>
      <c r="K4976" s="1"/>
      <c r="L4976" s="1"/>
      <c r="M4976" s="1"/>
      <c r="N4976" s="1"/>
      <c r="O4976" s="1"/>
      <c r="P4976" s="1"/>
      <c r="Q4976" s="1"/>
      <c r="R4976" s="1"/>
      <c r="S4976" s="1"/>
      <c r="T4976" s="1"/>
      <c r="U4976" s="1"/>
      <c r="V4976" s="1"/>
      <c r="W4976" s="1"/>
      <c r="X4976" s="1"/>
    </row>
    <row x14ac:dyDescent="0.25" r="4977" customHeight="1" ht="18.75">
      <c r="A4977" s="1"/>
      <c r="B4977" s="1"/>
      <c r="C4977" s="1"/>
      <c r="D4977" s="1"/>
      <c r="E4977" s="1"/>
      <c r="F4977" s="1"/>
      <c r="G4977" s="1"/>
      <c r="H4977" s="1"/>
      <c r="I4977" s="2"/>
      <c r="J4977" s="1"/>
      <c r="K4977" s="1"/>
      <c r="L4977" s="1"/>
      <c r="M4977" s="1"/>
      <c r="N4977" s="1"/>
      <c r="O4977" s="1"/>
      <c r="P4977" s="1"/>
      <c r="Q4977" s="1"/>
      <c r="R4977" s="1"/>
      <c r="S4977" s="1"/>
      <c r="T4977" s="1"/>
      <c r="U4977" s="1"/>
      <c r="V4977" s="1"/>
      <c r="W4977" s="1"/>
      <c r="X4977" s="1"/>
    </row>
    <row x14ac:dyDescent="0.25" r="4978" customHeight="1" ht="18.75">
      <c r="A4978" s="1"/>
      <c r="B4978" s="1"/>
      <c r="C4978" s="1"/>
      <c r="D4978" s="1"/>
      <c r="E4978" s="1"/>
      <c r="F4978" s="1"/>
      <c r="G4978" s="1"/>
      <c r="H4978" s="1"/>
      <c r="I4978" s="2"/>
      <c r="J4978" s="1"/>
      <c r="K4978" s="1"/>
      <c r="L4978" s="1"/>
      <c r="M4978" s="1"/>
      <c r="N4978" s="1"/>
      <c r="O4978" s="1"/>
      <c r="P4978" s="1"/>
      <c r="Q4978" s="1"/>
      <c r="R4978" s="1"/>
      <c r="S4978" s="1"/>
      <c r="T4978" s="1"/>
      <c r="U4978" s="1"/>
      <c r="V4978" s="1"/>
      <c r="W4978" s="1"/>
      <c r="X4978" s="1"/>
    </row>
    <row x14ac:dyDescent="0.25" r="4979" customHeight="1" ht="18.75">
      <c r="A4979" s="1"/>
      <c r="B4979" s="1"/>
      <c r="C4979" s="1"/>
      <c r="D4979" s="1"/>
      <c r="E4979" s="1"/>
      <c r="F4979" s="1"/>
      <c r="G4979" s="1"/>
      <c r="H4979" s="1"/>
      <c r="I4979" s="2"/>
      <c r="J4979" s="1"/>
      <c r="K4979" s="1"/>
      <c r="L4979" s="1"/>
      <c r="M4979" s="1"/>
      <c r="N4979" s="1"/>
      <c r="O4979" s="1"/>
      <c r="P4979" s="1"/>
      <c r="Q4979" s="1"/>
      <c r="R4979" s="1"/>
      <c r="S4979" s="1"/>
      <c r="T4979" s="1"/>
      <c r="U4979" s="1"/>
      <c r="V4979" s="1"/>
      <c r="W4979" s="1"/>
      <c r="X4979" s="1"/>
    </row>
    <row x14ac:dyDescent="0.25" r="4980" customHeight="1" ht="18.75">
      <c r="A4980" s="1"/>
      <c r="B4980" s="1"/>
      <c r="C4980" s="1"/>
      <c r="D4980" s="1"/>
      <c r="E4980" s="1"/>
      <c r="F4980" s="1"/>
      <c r="G4980" s="1"/>
      <c r="H4980" s="1"/>
      <c r="I4980" s="2"/>
      <c r="J4980" s="1"/>
      <c r="K4980" s="1"/>
      <c r="L4980" s="1"/>
      <c r="M4980" s="1"/>
      <c r="N4980" s="1"/>
      <c r="O4980" s="1"/>
      <c r="P4980" s="1"/>
      <c r="Q4980" s="1"/>
      <c r="R4980" s="1"/>
      <c r="S4980" s="1"/>
      <c r="T4980" s="1"/>
      <c r="U4980" s="1"/>
      <c r="V4980" s="1"/>
      <c r="W4980" s="1"/>
      <c r="X4980" s="1"/>
    </row>
    <row x14ac:dyDescent="0.25" r="4981" customHeight="1" ht="18.75">
      <c r="A4981" s="1"/>
      <c r="B4981" s="1"/>
      <c r="C4981" s="1"/>
      <c r="D4981" s="1"/>
      <c r="E4981" s="1"/>
      <c r="F4981" s="1"/>
      <c r="G4981" s="1"/>
      <c r="H4981" s="1"/>
      <c r="I4981" s="2"/>
      <c r="J4981" s="1"/>
      <c r="K4981" s="1"/>
      <c r="L4981" s="1"/>
      <c r="M4981" s="1"/>
      <c r="N4981" s="1"/>
      <c r="O4981" s="1"/>
      <c r="P4981" s="1"/>
      <c r="Q4981" s="1"/>
      <c r="R4981" s="1"/>
      <c r="S4981" s="1"/>
      <c r="T4981" s="1"/>
      <c r="U4981" s="1"/>
      <c r="V4981" s="1"/>
      <c r="W4981" s="1"/>
      <c r="X4981" s="1"/>
    </row>
    <row x14ac:dyDescent="0.25" r="4982" customHeight="1" ht="18.75">
      <c r="A4982" s="1"/>
      <c r="B4982" s="1"/>
      <c r="C4982" s="1"/>
      <c r="D4982" s="1"/>
      <c r="E4982" s="1"/>
      <c r="F4982" s="1"/>
      <c r="G4982" s="1"/>
      <c r="H4982" s="1"/>
      <c r="I4982" s="2"/>
      <c r="J4982" s="1"/>
      <c r="K4982" s="1"/>
      <c r="L4982" s="1"/>
      <c r="M4982" s="1"/>
      <c r="N4982" s="1"/>
      <c r="O4982" s="1"/>
      <c r="P4982" s="1"/>
      <c r="Q4982" s="1"/>
      <c r="R4982" s="1"/>
      <c r="S4982" s="1"/>
      <c r="T4982" s="1"/>
      <c r="U4982" s="1"/>
      <c r="V4982" s="1"/>
      <c r="W4982" s="1"/>
      <c r="X4982" s="1"/>
    </row>
    <row x14ac:dyDescent="0.25" r="4983" customHeight="1" ht="18.75">
      <c r="A4983" s="1"/>
      <c r="B4983" s="1"/>
      <c r="C4983" s="1"/>
      <c r="D4983" s="1"/>
      <c r="E4983" s="1"/>
      <c r="F4983" s="1"/>
      <c r="G4983" s="1"/>
      <c r="H4983" s="1"/>
      <c r="I4983" s="2"/>
      <c r="J4983" s="1"/>
      <c r="K4983" s="1"/>
      <c r="L4983" s="1"/>
      <c r="M4983" s="1"/>
      <c r="N4983" s="1"/>
      <c r="O4983" s="1"/>
      <c r="P4983" s="1"/>
      <c r="Q4983" s="1"/>
      <c r="R4983" s="1"/>
      <c r="S4983" s="1"/>
      <c r="T4983" s="1"/>
      <c r="U4983" s="1"/>
      <c r="V4983" s="1"/>
      <c r="W4983" s="1"/>
      <c r="X4983" s="1"/>
    </row>
    <row x14ac:dyDescent="0.25" r="4984" customHeight="1" ht="18.75">
      <c r="A4984" s="1"/>
      <c r="B4984" s="1"/>
      <c r="C4984" s="1"/>
      <c r="D4984" s="1"/>
      <c r="E4984" s="1"/>
      <c r="F4984" s="1"/>
      <c r="G4984" s="1"/>
      <c r="H4984" s="1"/>
      <c r="I4984" s="2"/>
      <c r="J4984" s="1"/>
      <c r="K4984" s="1"/>
      <c r="L4984" s="1"/>
      <c r="M4984" s="1"/>
      <c r="N4984" s="1"/>
      <c r="O4984" s="1"/>
      <c r="P4984" s="1"/>
      <c r="Q4984" s="1"/>
      <c r="R4984" s="1"/>
      <c r="S4984" s="1"/>
      <c r="T4984" s="1"/>
      <c r="U4984" s="1"/>
      <c r="V4984" s="1"/>
      <c r="W4984" s="1"/>
      <c r="X4984" s="1"/>
    </row>
    <row x14ac:dyDescent="0.25" r="4985" customHeight="1" ht="18.75">
      <c r="A4985" s="1"/>
      <c r="B4985" s="1"/>
      <c r="C4985" s="1"/>
      <c r="D4985" s="1"/>
      <c r="E4985" s="1"/>
      <c r="F4985" s="1"/>
      <c r="G4985" s="1"/>
      <c r="H4985" s="1"/>
      <c r="I4985" s="2"/>
      <c r="J4985" s="1"/>
      <c r="K4985" s="1"/>
      <c r="L4985" s="1"/>
      <c r="M4985" s="1"/>
      <c r="N4985" s="1"/>
      <c r="O4985" s="1"/>
      <c r="P4985" s="1"/>
      <c r="Q4985" s="1"/>
      <c r="R4985" s="1"/>
      <c r="S4985" s="1"/>
      <c r="T4985" s="1"/>
      <c r="U4985" s="1"/>
      <c r="V4985" s="1"/>
      <c r="W4985" s="1"/>
      <c r="X4985" s="1"/>
    </row>
    <row x14ac:dyDescent="0.25" r="4986" customHeight="1" ht="18.75">
      <c r="A4986" s="1"/>
      <c r="B4986" s="1"/>
      <c r="C4986" s="1"/>
      <c r="D4986" s="1"/>
      <c r="E4986" s="1"/>
      <c r="F4986" s="1"/>
      <c r="G4986" s="1"/>
      <c r="H4986" s="1"/>
      <c r="I4986" s="2"/>
      <c r="J4986" s="1"/>
      <c r="K4986" s="1"/>
      <c r="L4986" s="1"/>
      <c r="M4986" s="1"/>
      <c r="N4986" s="1"/>
      <c r="O4986" s="1"/>
      <c r="P4986" s="1"/>
      <c r="Q4986" s="1"/>
      <c r="R4986" s="1"/>
      <c r="S4986" s="1"/>
      <c r="T4986" s="1"/>
      <c r="U4986" s="1"/>
      <c r="V4986" s="1"/>
      <c r="W4986" s="1"/>
      <c r="X4986" s="1"/>
    </row>
    <row x14ac:dyDescent="0.25" r="4987" customHeight="1" ht="18.75">
      <c r="A4987" s="1"/>
      <c r="B4987" s="1"/>
      <c r="C4987" s="1"/>
      <c r="D4987" s="1"/>
      <c r="E4987" s="1"/>
      <c r="F4987" s="1"/>
      <c r="G4987" s="1"/>
      <c r="H4987" s="1"/>
      <c r="I4987" s="2"/>
      <c r="J4987" s="1"/>
      <c r="K4987" s="1"/>
      <c r="L4987" s="1"/>
      <c r="M4987" s="1"/>
      <c r="N4987" s="1"/>
      <c r="O4987" s="1"/>
      <c r="P4987" s="1"/>
      <c r="Q4987" s="1"/>
      <c r="R4987" s="1"/>
      <c r="S4987" s="1"/>
      <c r="T4987" s="1"/>
      <c r="U4987" s="1"/>
      <c r="V4987" s="1"/>
      <c r="W4987" s="1"/>
      <c r="X4987" s="1"/>
    </row>
    <row x14ac:dyDescent="0.25" r="4988" customHeight="1" ht="18.75">
      <c r="A4988" s="1"/>
      <c r="B4988" s="1"/>
      <c r="C4988" s="1"/>
      <c r="D4988" s="1"/>
      <c r="E4988" s="1"/>
      <c r="F4988" s="1"/>
      <c r="G4988" s="1"/>
      <c r="H4988" s="1"/>
      <c r="I4988" s="2"/>
      <c r="J4988" s="1"/>
      <c r="K4988" s="1"/>
      <c r="L4988" s="1"/>
      <c r="M4988" s="1"/>
      <c r="N4988" s="1"/>
      <c r="O4988" s="1"/>
      <c r="P4988" s="1"/>
      <c r="Q4988" s="1"/>
      <c r="R4988" s="1"/>
      <c r="S4988" s="1"/>
      <c r="T4988" s="1"/>
      <c r="U4988" s="1"/>
      <c r="V4988" s="1"/>
      <c r="W4988" s="1"/>
      <c r="X4988" s="1"/>
    </row>
    <row x14ac:dyDescent="0.25" r="4989" customHeight="1" ht="18.75">
      <c r="A4989" s="1"/>
      <c r="B4989" s="1"/>
      <c r="C4989" s="1"/>
      <c r="D4989" s="1"/>
      <c r="E4989" s="1"/>
      <c r="F4989" s="1"/>
      <c r="G4989" s="1"/>
      <c r="H4989" s="1"/>
      <c r="I4989" s="2"/>
      <c r="J4989" s="1"/>
      <c r="K4989" s="1"/>
      <c r="L4989" s="1"/>
      <c r="M4989" s="1"/>
      <c r="N4989" s="1"/>
      <c r="O4989" s="1"/>
      <c r="P4989" s="1"/>
      <c r="Q4989" s="1"/>
      <c r="R4989" s="1"/>
      <c r="S4989" s="1"/>
      <c r="T4989" s="1"/>
      <c r="U4989" s="1"/>
      <c r="V4989" s="1"/>
      <c r="W4989" s="1"/>
      <c r="X4989" s="1"/>
    </row>
    <row x14ac:dyDescent="0.25" r="4990" customHeight="1" ht="18.75">
      <c r="A4990" s="1"/>
      <c r="B4990" s="1"/>
      <c r="C4990" s="1"/>
      <c r="D4990" s="1"/>
      <c r="E4990" s="1"/>
      <c r="F4990" s="1"/>
      <c r="G4990" s="1"/>
      <c r="H4990" s="1"/>
      <c r="I4990" s="2"/>
      <c r="J4990" s="1"/>
      <c r="K4990" s="1"/>
      <c r="L4990" s="1"/>
      <c r="M4990" s="1"/>
      <c r="N4990" s="1"/>
      <c r="O4990" s="1"/>
      <c r="P4990" s="1"/>
      <c r="Q4990" s="1"/>
      <c r="R4990" s="1"/>
      <c r="S4990" s="1"/>
      <c r="T4990" s="1"/>
      <c r="U4990" s="1"/>
      <c r="V4990" s="1"/>
      <c r="W4990" s="1"/>
      <c r="X4990" s="1"/>
    </row>
    <row x14ac:dyDescent="0.25" r="4991" customHeight="1" ht="18.75">
      <c r="A4991" s="1"/>
      <c r="B4991" s="1"/>
      <c r="C4991" s="1"/>
      <c r="D4991" s="1"/>
      <c r="E4991" s="1"/>
      <c r="F4991" s="1"/>
      <c r="G4991" s="1"/>
      <c r="H4991" s="1"/>
      <c r="I4991" s="2"/>
      <c r="J4991" s="1"/>
      <c r="K4991" s="1"/>
      <c r="L4991" s="1"/>
      <c r="M4991" s="1"/>
      <c r="N4991" s="1"/>
      <c r="O4991" s="1"/>
      <c r="P4991" s="1"/>
      <c r="Q4991" s="1"/>
      <c r="R4991" s="1"/>
      <c r="S4991" s="1"/>
      <c r="T4991" s="1"/>
      <c r="U4991" s="1"/>
      <c r="V4991" s="1"/>
      <c r="W4991" s="1"/>
      <c r="X4991" s="1"/>
    </row>
    <row x14ac:dyDescent="0.25" r="4992" customHeight="1" ht="18.75">
      <c r="A4992" s="1"/>
      <c r="B4992" s="1"/>
      <c r="C4992" s="1"/>
      <c r="D4992" s="1"/>
      <c r="E4992" s="1"/>
      <c r="F4992" s="1"/>
      <c r="G4992" s="1"/>
      <c r="H4992" s="1"/>
      <c r="I4992" s="2"/>
      <c r="J4992" s="1"/>
      <c r="K4992" s="1"/>
      <c r="L4992" s="1"/>
      <c r="M4992" s="1"/>
      <c r="N4992" s="1"/>
      <c r="O4992" s="1"/>
      <c r="P4992" s="1"/>
      <c r="Q4992" s="1"/>
      <c r="R4992" s="1"/>
      <c r="S4992" s="1"/>
      <c r="T4992" s="1"/>
      <c r="U4992" s="1"/>
      <c r="V4992" s="1"/>
      <c r="W4992" s="1"/>
      <c r="X4992" s="1"/>
    </row>
    <row x14ac:dyDescent="0.25" r="4993" customHeight="1" ht="18.75">
      <c r="A4993" s="1"/>
      <c r="B4993" s="1"/>
      <c r="C4993" s="1"/>
      <c r="D4993" s="1"/>
      <c r="E4993" s="1"/>
      <c r="F4993" s="1"/>
      <c r="G4993" s="1"/>
      <c r="H4993" s="1"/>
      <c r="I4993" s="2"/>
      <c r="J4993" s="1"/>
      <c r="K4993" s="1"/>
      <c r="L4993" s="1"/>
      <c r="M4993" s="1"/>
      <c r="N4993" s="1"/>
      <c r="O4993" s="1"/>
      <c r="P4993" s="1"/>
      <c r="Q4993" s="1"/>
      <c r="R4993" s="1"/>
      <c r="S4993" s="1"/>
      <c r="T4993" s="1"/>
      <c r="U4993" s="1"/>
      <c r="V4993" s="1"/>
      <c r="W4993" s="1"/>
      <c r="X4993" s="1"/>
    </row>
    <row x14ac:dyDescent="0.25" r="4994" customHeight="1" ht="18.75">
      <c r="A4994" s="1"/>
      <c r="B4994" s="1"/>
      <c r="C4994" s="1"/>
      <c r="D4994" s="1"/>
      <c r="E4994" s="1"/>
      <c r="F4994" s="1"/>
      <c r="G4994" s="1"/>
      <c r="H4994" s="1"/>
      <c r="I4994" s="2"/>
      <c r="J4994" s="1"/>
      <c r="K4994" s="1"/>
      <c r="L4994" s="1"/>
      <c r="M4994" s="1"/>
      <c r="N4994" s="1"/>
      <c r="O4994" s="1"/>
      <c r="P4994" s="1"/>
      <c r="Q4994" s="1"/>
      <c r="R4994" s="1"/>
      <c r="S4994" s="1"/>
      <c r="T4994" s="1"/>
      <c r="U4994" s="1"/>
      <c r="V4994" s="1"/>
      <c r="W4994" s="1"/>
      <c r="X4994" s="1"/>
    </row>
    <row x14ac:dyDescent="0.25" r="4995" customHeight="1" ht="18.75">
      <c r="A4995" s="1"/>
      <c r="B4995" s="1"/>
      <c r="C4995" s="1"/>
      <c r="D4995" s="1"/>
      <c r="E4995" s="1"/>
      <c r="F4995" s="1"/>
      <c r="G4995" s="1"/>
      <c r="H4995" s="1"/>
      <c r="I4995" s="2"/>
      <c r="J4995" s="1"/>
      <c r="K4995" s="1"/>
      <c r="L4995" s="1"/>
      <c r="M4995" s="1"/>
      <c r="N4995" s="1"/>
      <c r="O4995" s="1"/>
      <c r="P4995" s="1"/>
      <c r="Q4995" s="1"/>
      <c r="R4995" s="1"/>
      <c r="S4995" s="1"/>
      <c r="T4995" s="1"/>
      <c r="U4995" s="1"/>
      <c r="V4995" s="1"/>
      <c r="W4995" s="1"/>
      <c r="X4995" s="1"/>
    </row>
    <row x14ac:dyDescent="0.25" r="4996" customHeight="1" ht="18.75">
      <c r="A4996" s="1"/>
      <c r="B4996" s="1"/>
      <c r="C4996" s="1"/>
      <c r="D4996" s="1"/>
      <c r="E4996" s="1"/>
      <c r="F4996" s="1"/>
      <c r="G4996" s="1"/>
      <c r="H4996" s="1"/>
      <c r="I4996" s="2"/>
      <c r="J4996" s="1"/>
      <c r="K4996" s="1"/>
      <c r="L4996" s="1"/>
      <c r="M4996" s="1"/>
      <c r="N4996" s="1"/>
      <c r="O4996" s="1"/>
      <c r="P4996" s="1"/>
      <c r="Q4996" s="1"/>
      <c r="R4996" s="1"/>
      <c r="S4996" s="1"/>
      <c r="T4996" s="1"/>
      <c r="U4996" s="1"/>
      <c r="V4996" s="1"/>
      <c r="W4996" s="1"/>
      <c r="X4996" s="1"/>
    </row>
    <row x14ac:dyDescent="0.25" r="4997" customHeight="1" ht="18.75">
      <c r="A4997" s="1"/>
      <c r="B4997" s="1"/>
      <c r="C4997" s="1"/>
      <c r="D4997" s="1"/>
      <c r="E4997" s="1"/>
      <c r="F4997" s="1"/>
      <c r="G4997" s="1"/>
      <c r="H4997" s="1"/>
      <c r="I4997" s="2"/>
      <c r="J4997" s="1"/>
      <c r="K4997" s="1"/>
      <c r="L4997" s="1"/>
      <c r="M4997" s="1"/>
      <c r="N4997" s="1"/>
      <c r="O4997" s="1"/>
      <c r="P4997" s="1"/>
      <c r="Q4997" s="1"/>
      <c r="R4997" s="1"/>
      <c r="S4997" s="1"/>
      <c r="T4997" s="1"/>
      <c r="U4997" s="1"/>
      <c r="V4997" s="1"/>
      <c r="W4997" s="1"/>
      <c r="X4997" s="1"/>
    </row>
    <row x14ac:dyDescent="0.25" r="4998" customHeight="1" ht="18.75">
      <c r="A4998" s="1"/>
      <c r="B4998" s="1"/>
      <c r="C4998" s="1"/>
      <c r="D4998" s="1"/>
      <c r="E4998" s="1"/>
      <c r="F4998" s="1"/>
      <c r="G4998" s="1"/>
      <c r="H4998" s="1"/>
      <c r="I4998" s="2"/>
      <c r="J4998" s="1"/>
      <c r="K4998" s="1"/>
      <c r="L4998" s="1"/>
      <c r="M4998" s="1"/>
      <c r="N4998" s="1"/>
      <c r="O4998" s="1"/>
      <c r="P4998" s="1"/>
      <c r="Q4998" s="1"/>
      <c r="R4998" s="1"/>
      <c r="S4998" s="1"/>
      <c r="T4998" s="1"/>
      <c r="U4998" s="1"/>
      <c r="V4998" s="1"/>
      <c r="W4998" s="1"/>
      <c r="X4998" s="1"/>
    </row>
    <row x14ac:dyDescent="0.25" r="4999" customHeight="1" ht="18.75">
      <c r="A4999" s="1"/>
      <c r="B4999" s="1"/>
      <c r="C4999" s="1"/>
      <c r="D4999" s="1"/>
      <c r="E4999" s="1"/>
      <c r="F4999" s="1"/>
      <c r="G4999" s="1"/>
      <c r="H4999" s="1"/>
      <c r="I4999" s="2"/>
      <c r="J4999" s="1"/>
      <c r="K4999" s="1"/>
      <c r="L4999" s="1"/>
      <c r="M4999" s="1"/>
      <c r="N4999" s="1"/>
      <c r="O4999" s="1"/>
      <c r="P4999" s="1"/>
      <c r="Q4999" s="1"/>
      <c r="R4999" s="1"/>
      <c r="S4999" s="1"/>
      <c r="T4999" s="1"/>
      <c r="U4999" s="1"/>
      <c r="V4999" s="1"/>
      <c r="W4999" s="1"/>
      <c r="X4999" s="1"/>
    </row>
    <row x14ac:dyDescent="0.25" r="5000" customHeight="1" ht="18.75">
      <c r="A5000" s="1"/>
      <c r="B5000" s="1"/>
      <c r="C5000" s="1"/>
      <c r="D5000" s="1"/>
      <c r="E5000" s="1"/>
      <c r="F5000" s="1"/>
      <c r="G5000" s="1"/>
      <c r="H5000" s="1"/>
      <c r="I5000" s="2"/>
      <c r="J5000" s="1"/>
      <c r="K5000" s="1"/>
      <c r="L5000" s="1"/>
      <c r="M5000" s="1"/>
      <c r="N5000" s="1"/>
      <c r="O5000" s="1"/>
      <c r="P5000" s="1"/>
      <c r="Q5000" s="1"/>
      <c r="R5000" s="1"/>
      <c r="S5000" s="1"/>
      <c r="T5000" s="1"/>
      <c r="U5000" s="1"/>
      <c r="V5000" s="1"/>
      <c r="W5000" s="1"/>
      <c r="X5000" s="1"/>
    </row>
    <row x14ac:dyDescent="0.25" r="5001" customHeight="1" ht="18.75">
      <c r="A5001" s="1"/>
      <c r="B5001" s="1"/>
      <c r="C5001" s="1"/>
      <c r="D5001" s="1"/>
      <c r="E5001" s="1"/>
      <c r="F5001" s="1"/>
      <c r="G5001" s="1"/>
      <c r="H5001" s="1"/>
      <c r="I5001" s="2"/>
      <c r="J5001" s="1"/>
      <c r="K5001" s="1"/>
      <c r="L5001" s="1"/>
      <c r="M5001" s="1"/>
      <c r="N5001" s="1"/>
      <c r="O5001" s="1"/>
      <c r="P5001" s="1"/>
      <c r="Q5001" s="1"/>
      <c r="R5001" s="1"/>
      <c r="S5001" s="1"/>
      <c r="T5001" s="1"/>
      <c r="U5001" s="1"/>
      <c r="V5001" s="1"/>
      <c r="W5001" s="1"/>
      <c r="X5001" s="1"/>
    </row>
    <row x14ac:dyDescent="0.25" r="5002" customHeight="1" ht="18.75">
      <c r="A5002" s="1"/>
      <c r="B5002" s="1"/>
      <c r="C5002" s="1"/>
      <c r="D5002" s="1"/>
      <c r="E5002" s="1"/>
      <c r="F5002" s="1"/>
      <c r="G5002" s="1"/>
      <c r="H5002" s="1"/>
      <c r="I5002" s="2"/>
      <c r="J5002" s="1"/>
      <c r="K5002" s="1"/>
      <c r="L5002" s="1"/>
      <c r="M5002" s="1"/>
      <c r="N5002" s="1"/>
      <c r="O5002" s="1"/>
      <c r="P5002" s="1"/>
      <c r="Q5002" s="1"/>
      <c r="R5002" s="1"/>
      <c r="S5002" s="1"/>
      <c r="T5002" s="1"/>
      <c r="U5002" s="1"/>
      <c r="V5002" s="1"/>
      <c r="W5002" s="1"/>
      <c r="X5002" s="1"/>
    </row>
    <row x14ac:dyDescent="0.25" r="5003" customHeight="1" ht="18.75">
      <c r="A5003" s="1"/>
      <c r="B5003" s="1"/>
      <c r="C5003" s="1"/>
      <c r="D5003" s="1"/>
      <c r="E5003" s="1"/>
      <c r="F5003" s="1"/>
      <c r="G5003" s="1"/>
      <c r="H5003" s="1"/>
      <c r="I5003" s="2"/>
      <c r="J5003" s="1"/>
      <c r="K5003" s="1"/>
      <c r="L5003" s="1"/>
      <c r="M5003" s="1"/>
      <c r="N5003" s="1"/>
      <c r="O5003" s="1"/>
      <c r="P5003" s="1"/>
      <c r="Q5003" s="1"/>
      <c r="R5003" s="1"/>
      <c r="S5003" s="1"/>
      <c r="T5003" s="1"/>
      <c r="U5003" s="1"/>
      <c r="V5003" s="1"/>
      <c r="W5003" s="1"/>
      <c r="X5003" s="1"/>
    </row>
    <row x14ac:dyDescent="0.25" r="5004" customHeight="1" ht="18.75">
      <c r="A5004" s="1"/>
      <c r="B5004" s="1"/>
      <c r="C5004" s="1"/>
      <c r="D5004" s="1"/>
      <c r="E5004" s="1"/>
      <c r="F5004" s="1"/>
      <c r="G5004" s="1"/>
      <c r="H5004" s="1"/>
      <c r="I5004" s="2"/>
      <c r="J5004" s="1"/>
      <c r="K5004" s="1"/>
      <c r="L5004" s="1"/>
      <c r="M5004" s="1"/>
      <c r="N5004" s="1"/>
      <c r="O5004" s="1"/>
      <c r="P5004" s="1"/>
      <c r="Q5004" s="1"/>
      <c r="R5004" s="1"/>
      <c r="S5004" s="1"/>
      <c r="T5004" s="1"/>
      <c r="U5004" s="1"/>
      <c r="V5004" s="1"/>
      <c r="W5004" s="1"/>
      <c r="X5004" s="1"/>
    </row>
    <row x14ac:dyDescent="0.25" r="5005" customHeight="1" ht="18.75">
      <c r="A5005" s="1"/>
      <c r="B5005" s="1"/>
      <c r="C5005" s="1"/>
      <c r="D5005" s="1"/>
      <c r="E5005" s="1"/>
      <c r="F5005" s="1"/>
      <c r="G5005" s="1"/>
      <c r="H5005" s="1"/>
      <c r="I5005" s="2"/>
      <c r="J5005" s="1"/>
      <c r="K5005" s="1"/>
      <c r="L5005" s="1"/>
      <c r="M5005" s="1"/>
      <c r="N5005" s="1"/>
      <c r="O5005" s="1"/>
      <c r="P5005" s="1"/>
      <c r="Q5005" s="1"/>
      <c r="R5005" s="1"/>
      <c r="S5005" s="1"/>
      <c r="T5005" s="1"/>
      <c r="U5005" s="1"/>
      <c r="V5005" s="1"/>
      <c r="W5005" s="1"/>
      <c r="X5005" s="1"/>
    </row>
    <row x14ac:dyDescent="0.25" r="5006" customHeight="1" ht="18.75">
      <c r="A5006" s="1"/>
      <c r="B5006" s="1"/>
      <c r="C5006" s="1"/>
      <c r="D5006" s="1"/>
      <c r="E5006" s="1"/>
      <c r="F5006" s="1"/>
      <c r="G5006" s="1"/>
      <c r="H5006" s="1"/>
      <c r="I5006" s="2"/>
      <c r="J5006" s="1"/>
      <c r="K5006" s="1"/>
      <c r="L5006" s="1"/>
      <c r="M5006" s="1"/>
      <c r="N5006" s="1"/>
      <c r="O5006" s="1"/>
      <c r="P5006" s="1"/>
      <c r="Q5006" s="1"/>
      <c r="R5006" s="1"/>
      <c r="S5006" s="1"/>
      <c r="T5006" s="1"/>
      <c r="U5006" s="1"/>
      <c r="V5006" s="1"/>
      <c r="W5006" s="1"/>
      <c r="X5006" s="1"/>
    </row>
    <row x14ac:dyDescent="0.25" r="5007" customHeight="1" ht="18.75">
      <c r="A5007" s="1"/>
      <c r="B5007" s="1"/>
      <c r="C5007" s="1"/>
      <c r="D5007" s="1"/>
      <c r="E5007" s="1"/>
      <c r="F5007" s="1"/>
      <c r="G5007" s="1"/>
      <c r="H5007" s="1"/>
      <c r="I5007" s="2"/>
      <c r="J5007" s="1"/>
      <c r="K5007" s="1"/>
      <c r="L5007" s="1"/>
      <c r="M5007" s="1"/>
      <c r="N5007" s="1"/>
      <c r="O5007" s="1"/>
      <c r="P5007" s="1"/>
      <c r="Q5007" s="1"/>
      <c r="R5007" s="1"/>
      <c r="S5007" s="1"/>
      <c r="T5007" s="1"/>
      <c r="U5007" s="1"/>
      <c r="V5007" s="1"/>
      <c r="W5007" s="1"/>
      <c r="X5007" s="1"/>
    </row>
    <row x14ac:dyDescent="0.25" r="5008" customHeight="1" ht="18.75">
      <c r="A5008" s="1"/>
      <c r="B5008" s="1"/>
      <c r="C5008" s="1"/>
      <c r="D5008" s="1"/>
      <c r="E5008" s="1"/>
      <c r="F5008" s="1"/>
      <c r="G5008" s="1"/>
      <c r="H5008" s="1"/>
      <c r="I5008" s="2"/>
      <c r="J5008" s="1"/>
      <c r="K5008" s="1"/>
      <c r="L5008" s="1"/>
      <c r="M5008" s="1"/>
      <c r="N5008" s="1"/>
      <c r="O5008" s="1"/>
      <c r="P5008" s="1"/>
      <c r="Q5008" s="1"/>
      <c r="R5008" s="1"/>
      <c r="S5008" s="1"/>
      <c r="T5008" s="1"/>
      <c r="U5008" s="1"/>
      <c r="V5008" s="1"/>
      <c r="W5008" s="1"/>
      <c r="X5008" s="1"/>
    </row>
    <row x14ac:dyDescent="0.25" r="5009" customHeight="1" ht="18.75">
      <c r="A5009" s="1"/>
      <c r="B5009" s="1"/>
      <c r="C5009" s="1"/>
      <c r="D5009" s="1"/>
      <c r="E5009" s="1"/>
      <c r="F5009" s="1"/>
      <c r="G5009" s="1"/>
      <c r="H5009" s="1"/>
      <c r="I5009" s="2"/>
      <c r="J5009" s="1"/>
      <c r="K5009" s="1"/>
      <c r="L5009" s="1"/>
      <c r="M5009" s="1"/>
      <c r="N5009" s="1"/>
      <c r="O5009" s="1"/>
      <c r="P5009" s="1"/>
      <c r="Q5009" s="1"/>
      <c r="R5009" s="1"/>
      <c r="S5009" s="1"/>
      <c r="T5009" s="1"/>
      <c r="U5009" s="1"/>
      <c r="V5009" s="1"/>
      <c r="W5009" s="1"/>
      <c r="X5009" s="1"/>
    </row>
    <row x14ac:dyDescent="0.25" r="5010" customHeight="1" ht="18.75">
      <c r="A5010" s="1"/>
      <c r="B5010" s="1"/>
      <c r="C5010" s="1"/>
      <c r="D5010" s="1"/>
      <c r="E5010" s="1"/>
      <c r="F5010" s="1"/>
      <c r="G5010" s="1"/>
      <c r="H5010" s="1"/>
      <c r="I5010" s="2"/>
      <c r="J5010" s="1"/>
      <c r="K5010" s="1"/>
      <c r="L5010" s="1"/>
      <c r="M5010" s="1"/>
      <c r="N5010" s="1"/>
      <c r="O5010" s="1"/>
      <c r="P5010" s="1"/>
      <c r="Q5010" s="1"/>
      <c r="R5010" s="1"/>
      <c r="S5010" s="1"/>
      <c r="T5010" s="1"/>
      <c r="U5010" s="1"/>
      <c r="V5010" s="1"/>
      <c r="W5010" s="1"/>
      <c r="X5010" s="1"/>
    </row>
    <row x14ac:dyDescent="0.25" r="5011" customHeight="1" ht="18.75">
      <c r="A5011" s="1"/>
      <c r="B5011" s="1"/>
      <c r="C5011" s="1"/>
      <c r="D5011" s="1"/>
      <c r="E5011" s="1"/>
      <c r="F5011" s="1"/>
      <c r="G5011" s="1"/>
      <c r="H5011" s="1"/>
      <c r="I5011" s="2"/>
      <c r="J5011" s="1"/>
      <c r="K5011" s="1"/>
      <c r="L5011" s="1"/>
      <c r="M5011" s="1"/>
      <c r="N5011" s="1"/>
      <c r="O5011" s="1"/>
      <c r="P5011" s="1"/>
      <c r="Q5011" s="1"/>
      <c r="R5011" s="1"/>
      <c r="S5011" s="1"/>
      <c r="T5011" s="1"/>
      <c r="U5011" s="1"/>
      <c r="V5011" s="1"/>
      <c r="W5011" s="1"/>
      <c r="X5011" s="1"/>
    </row>
    <row x14ac:dyDescent="0.25" r="5012" customHeight="1" ht="18.75">
      <c r="A5012" s="1"/>
      <c r="B5012" s="1"/>
      <c r="C5012" s="1"/>
      <c r="D5012" s="1"/>
      <c r="E5012" s="1"/>
      <c r="F5012" s="1"/>
      <c r="G5012" s="1"/>
      <c r="H5012" s="1"/>
      <c r="I5012" s="2"/>
      <c r="J5012" s="1"/>
      <c r="K5012" s="1"/>
      <c r="L5012" s="1"/>
      <c r="M5012" s="1"/>
      <c r="N5012" s="1"/>
      <c r="O5012" s="1"/>
      <c r="P5012" s="1"/>
      <c r="Q5012" s="1"/>
      <c r="R5012" s="1"/>
      <c r="S5012" s="1"/>
      <c r="T5012" s="1"/>
      <c r="U5012" s="1"/>
      <c r="V5012" s="1"/>
      <c r="W5012" s="1"/>
      <c r="X5012" s="1"/>
    </row>
    <row x14ac:dyDescent="0.25" r="5013" customHeight="1" ht="18.75">
      <c r="A5013" s="1"/>
      <c r="B5013" s="1"/>
      <c r="C5013" s="1"/>
      <c r="D5013" s="1"/>
      <c r="E5013" s="1"/>
      <c r="F5013" s="1"/>
      <c r="G5013" s="1"/>
      <c r="H5013" s="1"/>
      <c r="I5013" s="2"/>
      <c r="J5013" s="1"/>
      <c r="K5013" s="1"/>
      <c r="L5013" s="1"/>
      <c r="M5013" s="1"/>
      <c r="N5013" s="1"/>
      <c r="O5013" s="1"/>
      <c r="P5013" s="1"/>
      <c r="Q5013" s="1"/>
      <c r="R5013" s="1"/>
      <c r="S5013" s="1"/>
      <c r="T5013" s="1"/>
      <c r="U5013" s="1"/>
      <c r="V5013" s="1"/>
      <c r="W5013" s="1"/>
      <c r="X5013" s="1"/>
    </row>
    <row x14ac:dyDescent="0.25" r="5014" customHeight="1" ht="18.75">
      <c r="A5014" s="1"/>
      <c r="B5014" s="1"/>
      <c r="C5014" s="1"/>
      <c r="D5014" s="1"/>
      <c r="E5014" s="1"/>
      <c r="F5014" s="1"/>
      <c r="G5014" s="1"/>
      <c r="H5014" s="1"/>
      <c r="I5014" s="2"/>
      <c r="J5014" s="1"/>
      <c r="K5014" s="1"/>
      <c r="L5014" s="1"/>
      <c r="M5014" s="1"/>
      <c r="N5014" s="1"/>
      <c r="O5014" s="1"/>
      <c r="P5014" s="1"/>
      <c r="Q5014" s="1"/>
      <c r="R5014" s="1"/>
      <c r="S5014" s="1"/>
      <c r="T5014" s="1"/>
      <c r="U5014" s="1"/>
      <c r="V5014" s="1"/>
      <c r="W5014" s="1"/>
      <c r="X5014" s="1"/>
    </row>
    <row x14ac:dyDescent="0.25" r="5015" customHeight="1" ht="18.75">
      <c r="A5015" s="1"/>
      <c r="B5015" s="1"/>
      <c r="C5015" s="1"/>
      <c r="D5015" s="1"/>
      <c r="E5015" s="1"/>
      <c r="F5015" s="1"/>
      <c r="G5015" s="1"/>
      <c r="H5015" s="1"/>
      <c r="I5015" s="2"/>
      <c r="J5015" s="1"/>
      <c r="K5015" s="1"/>
      <c r="L5015" s="1"/>
      <c r="M5015" s="1"/>
      <c r="N5015" s="1"/>
      <c r="O5015" s="1"/>
      <c r="P5015" s="1"/>
      <c r="Q5015" s="1"/>
      <c r="R5015" s="1"/>
      <c r="S5015" s="1"/>
      <c r="T5015" s="1"/>
      <c r="U5015" s="1"/>
      <c r="V5015" s="1"/>
      <c r="W5015" s="1"/>
      <c r="X5015" s="1"/>
    </row>
    <row x14ac:dyDescent="0.25" r="5016" customHeight="1" ht="18.75">
      <c r="A5016" s="1"/>
      <c r="B5016" s="1"/>
      <c r="C5016" s="1"/>
      <c r="D5016" s="1"/>
      <c r="E5016" s="1"/>
      <c r="F5016" s="1"/>
      <c r="G5016" s="1"/>
      <c r="H5016" s="1"/>
      <c r="I5016" s="2"/>
      <c r="J5016" s="1"/>
      <c r="K5016" s="1"/>
      <c r="L5016" s="1"/>
      <c r="M5016" s="1"/>
      <c r="N5016" s="1"/>
      <c r="O5016" s="1"/>
      <c r="P5016" s="1"/>
      <c r="Q5016" s="1"/>
      <c r="R5016" s="1"/>
      <c r="S5016" s="1"/>
      <c r="T5016" s="1"/>
      <c r="U5016" s="1"/>
      <c r="V5016" s="1"/>
      <c r="W5016" s="1"/>
      <c r="X5016" s="1"/>
    </row>
    <row x14ac:dyDescent="0.25" r="5017" customHeight="1" ht="18.75">
      <c r="A5017" s="1"/>
      <c r="B5017" s="1"/>
      <c r="C5017" s="1"/>
      <c r="D5017" s="1"/>
      <c r="E5017" s="1"/>
      <c r="F5017" s="1"/>
      <c r="G5017" s="1"/>
      <c r="H5017" s="1"/>
      <c r="I5017" s="2"/>
      <c r="J5017" s="1"/>
      <c r="K5017" s="1"/>
      <c r="L5017" s="1"/>
      <c r="M5017" s="1"/>
      <c r="N5017" s="1"/>
      <c r="O5017" s="1"/>
      <c r="P5017" s="1"/>
      <c r="Q5017" s="1"/>
      <c r="R5017" s="1"/>
      <c r="S5017" s="1"/>
      <c r="T5017" s="1"/>
      <c r="U5017" s="1"/>
      <c r="V5017" s="1"/>
      <c r="W5017" s="1"/>
      <c r="X5017" s="1"/>
    </row>
    <row x14ac:dyDescent="0.25" r="5018" customHeight="1" ht="18.75">
      <c r="A5018" s="1"/>
      <c r="B5018" s="1"/>
      <c r="C5018" s="1"/>
      <c r="D5018" s="1"/>
      <c r="E5018" s="1"/>
      <c r="F5018" s="1"/>
      <c r="G5018" s="1"/>
      <c r="H5018" s="1"/>
      <c r="I5018" s="2"/>
      <c r="J5018" s="1"/>
      <c r="K5018" s="1"/>
      <c r="L5018" s="1"/>
      <c r="M5018" s="1"/>
      <c r="N5018" s="1"/>
      <c r="O5018" s="1"/>
      <c r="P5018" s="1"/>
      <c r="Q5018" s="1"/>
      <c r="R5018" s="1"/>
      <c r="S5018" s="1"/>
      <c r="T5018" s="1"/>
      <c r="U5018" s="1"/>
      <c r="V5018" s="1"/>
      <c r="W5018" s="1"/>
      <c r="X5018" s="1"/>
    </row>
    <row x14ac:dyDescent="0.25" r="5019" customHeight="1" ht="18.75">
      <c r="A5019" s="1"/>
      <c r="B5019" s="1"/>
      <c r="C5019" s="1"/>
      <c r="D5019" s="1"/>
      <c r="E5019" s="1"/>
      <c r="F5019" s="1"/>
      <c r="G5019" s="1"/>
      <c r="H5019" s="1"/>
      <c r="I5019" s="2"/>
      <c r="J5019" s="1"/>
      <c r="K5019" s="1"/>
      <c r="L5019" s="1"/>
      <c r="M5019" s="1"/>
      <c r="N5019" s="1"/>
      <c r="O5019" s="1"/>
      <c r="P5019" s="1"/>
      <c r="Q5019" s="1"/>
      <c r="R5019" s="1"/>
      <c r="S5019" s="1"/>
      <c r="T5019" s="1"/>
      <c r="U5019" s="1"/>
      <c r="V5019" s="1"/>
      <c r="W5019" s="1"/>
      <c r="X5019" s="1"/>
    </row>
    <row x14ac:dyDescent="0.25" r="5020" customHeight="1" ht="18.75">
      <c r="A5020" s="1"/>
      <c r="B5020" s="1"/>
      <c r="C5020" s="1"/>
      <c r="D5020" s="1"/>
      <c r="E5020" s="1"/>
      <c r="F5020" s="1"/>
      <c r="G5020" s="1"/>
      <c r="H5020" s="1"/>
      <c r="I5020" s="2"/>
      <c r="J5020" s="1"/>
      <c r="K5020" s="1"/>
      <c r="L5020" s="1"/>
      <c r="M5020" s="1"/>
      <c r="N5020" s="1"/>
      <c r="O5020" s="1"/>
      <c r="P5020" s="1"/>
      <c r="Q5020" s="1"/>
      <c r="R5020" s="1"/>
      <c r="S5020" s="1"/>
      <c r="T5020" s="1"/>
      <c r="U5020" s="1"/>
      <c r="V5020" s="1"/>
      <c r="W5020" s="1"/>
      <c r="X5020" s="1"/>
    </row>
    <row x14ac:dyDescent="0.25" r="5021" customHeight="1" ht="18.75">
      <c r="A5021" s="1"/>
      <c r="B5021" s="1"/>
      <c r="C5021" s="1"/>
      <c r="D5021" s="1"/>
      <c r="E5021" s="1"/>
      <c r="F5021" s="1"/>
      <c r="G5021" s="1"/>
      <c r="H5021" s="1"/>
      <c r="I5021" s="2"/>
      <c r="J5021" s="1"/>
      <c r="K5021" s="1"/>
      <c r="L5021" s="1"/>
      <c r="M5021" s="1"/>
      <c r="N5021" s="1"/>
      <c r="O5021" s="1"/>
      <c r="P5021" s="1"/>
      <c r="Q5021" s="1"/>
      <c r="R5021" s="1"/>
      <c r="S5021" s="1"/>
      <c r="T5021" s="1"/>
      <c r="U5021" s="1"/>
      <c r="V5021" s="1"/>
      <c r="W5021" s="1"/>
      <c r="X5021" s="1"/>
    </row>
    <row x14ac:dyDescent="0.25" r="5022" customHeight="1" ht="18.75">
      <c r="A5022" s="1"/>
      <c r="B5022" s="1"/>
      <c r="C5022" s="1"/>
      <c r="D5022" s="1"/>
      <c r="E5022" s="1"/>
      <c r="F5022" s="1"/>
      <c r="G5022" s="1"/>
      <c r="H5022" s="1"/>
      <c r="I5022" s="2"/>
      <c r="J5022" s="1"/>
      <c r="K5022" s="1"/>
      <c r="L5022" s="1"/>
      <c r="M5022" s="1"/>
      <c r="N5022" s="1"/>
      <c r="O5022" s="1"/>
      <c r="P5022" s="1"/>
      <c r="Q5022" s="1"/>
      <c r="R5022" s="1"/>
      <c r="S5022" s="1"/>
      <c r="T5022" s="1"/>
      <c r="U5022" s="1"/>
      <c r="V5022" s="1"/>
      <c r="W5022" s="1"/>
      <c r="X5022" s="1"/>
    </row>
    <row x14ac:dyDescent="0.25" r="5023" customHeight="1" ht="18.75">
      <c r="A5023" s="1"/>
      <c r="B5023" s="1"/>
      <c r="C5023" s="1"/>
      <c r="D5023" s="1"/>
      <c r="E5023" s="1"/>
      <c r="F5023" s="1"/>
      <c r="G5023" s="1"/>
      <c r="H5023" s="1"/>
      <c r="I5023" s="2"/>
      <c r="J5023" s="1"/>
      <c r="K5023" s="1"/>
      <c r="L5023" s="1"/>
      <c r="M5023" s="1"/>
      <c r="N5023" s="1"/>
      <c r="O5023" s="1"/>
      <c r="P5023" s="1"/>
      <c r="Q5023" s="1"/>
      <c r="R5023" s="1"/>
      <c r="S5023" s="1"/>
      <c r="T5023" s="1"/>
      <c r="U5023" s="1"/>
      <c r="V5023" s="1"/>
      <c r="W5023" s="1"/>
      <c r="X5023" s="1"/>
    </row>
    <row x14ac:dyDescent="0.25" r="5024" customHeight="1" ht="18.75">
      <c r="A5024" s="1"/>
      <c r="B5024" s="1"/>
      <c r="C5024" s="1"/>
      <c r="D5024" s="1"/>
      <c r="E5024" s="1"/>
      <c r="F5024" s="1"/>
      <c r="G5024" s="1"/>
      <c r="H5024" s="1"/>
      <c r="I5024" s="2"/>
      <c r="J5024" s="1"/>
      <c r="K5024" s="1"/>
      <c r="L5024" s="1"/>
      <c r="M5024" s="1"/>
      <c r="N5024" s="1"/>
      <c r="O5024" s="1"/>
      <c r="P5024" s="1"/>
      <c r="Q5024" s="1"/>
      <c r="R5024" s="1"/>
      <c r="S5024" s="1"/>
      <c r="T5024" s="1"/>
      <c r="U5024" s="1"/>
      <c r="V5024" s="1"/>
      <c r="W5024" s="1"/>
      <c r="X5024" s="1"/>
    </row>
    <row x14ac:dyDescent="0.25" r="5025" customHeight="1" ht="18.75">
      <c r="A5025" s="1"/>
      <c r="B5025" s="1"/>
      <c r="C5025" s="1"/>
      <c r="D5025" s="1"/>
      <c r="E5025" s="1"/>
      <c r="F5025" s="1"/>
      <c r="G5025" s="1"/>
      <c r="H5025" s="1"/>
      <c r="I5025" s="2"/>
      <c r="J5025" s="1"/>
      <c r="K5025" s="1"/>
      <c r="L5025" s="1"/>
      <c r="M5025" s="1"/>
      <c r="N5025" s="1"/>
      <c r="O5025" s="1"/>
      <c r="P5025" s="1"/>
      <c r="Q5025" s="1"/>
      <c r="R5025" s="1"/>
      <c r="S5025" s="1"/>
      <c r="T5025" s="1"/>
      <c r="U5025" s="1"/>
      <c r="V5025" s="1"/>
      <c r="W5025" s="1"/>
      <c r="X5025" s="1"/>
    </row>
    <row x14ac:dyDescent="0.25" r="5026" customHeight="1" ht="18.75">
      <c r="A5026" s="1"/>
      <c r="B5026" s="1"/>
      <c r="C5026" s="1"/>
      <c r="D5026" s="1"/>
      <c r="E5026" s="1"/>
      <c r="F5026" s="1"/>
      <c r="G5026" s="1"/>
      <c r="H5026" s="1"/>
      <c r="I5026" s="2"/>
      <c r="J5026" s="1"/>
      <c r="K5026" s="1"/>
      <c r="L5026" s="1"/>
      <c r="M5026" s="1"/>
      <c r="N5026" s="1"/>
      <c r="O5026" s="1"/>
      <c r="P5026" s="1"/>
      <c r="Q5026" s="1"/>
      <c r="R5026" s="1"/>
      <c r="S5026" s="1"/>
      <c r="T5026" s="1"/>
      <c r="U5026" s="1"/>
      <c r="V5026" s="1"/>
      <c r="W5026" s="1"/>
      <c r="X5026" s="1"/>
    </row>
    <row x14ac:dyDescent="0.25" r="5027" customHeight="1" ht="18.75">
      <c r="A5027" s="1"/>
      <c r="B5027" s="1"/>
      <c r="C5027" s="1"/>
      <c r="D5027" s="1"/>
      <c r="E5027" s="1"/>
      <c r="F5027" s="1"/>
      <c r="G5027" s="1"/>
      <c r="H5027" s="1"/>
      <c r="I5027" s="2"/>
      <c r="J5027" s="1"/>
      <c r="K5027" s="1"/>
      <c r="L5027" s="1"/>
      <c r="M5027" s="1"/>
      <c r="N5027" s="1"/>
      <c r="O5027" s="1"/>
      <c r="P5027" s="1"/>
      <c r="Q5027" s="1"/>
      <c r="R5027" s="1"/>
      <c r="S5027" s="1"/>
      <c r="T5027" s="1"/>
      <c r="U5027" s="1"/>
      <c r="V5027" s="1"/>
      <c r="W5027" s="1"/>
      <c r="X5027" s="1"/>
    </row>
    <row x14ac:dyDescent="0.25" r="5028" customHeight="1" ht="18.75">
      <c r="A5028" s="1"/>
      <c r="B5028" s="1"/>
      <c r="C5028" s="1"/>
      <c r="D5028" s="1"/>
      <c r="E5028" s="1"/>
      <c r="F5028" s="1"/>
      <c r="G5028" s="1"/>
      <c r="H5028" s="1"/>
      <c r="I5028" s="2"/>
      <c r="J5028" s="1"/>
      <c r="K5028" s="1"/>
      <c r="L5028" s="1"/>
      <c r="M5028" s="1"/>
      <c r="N5028" s="1"/>
      <c r="O5028" s="1"/>
      <c r="P5028" s="1"/>
      <c r="Q5028" s="1"/>
      <c r="R5028" s="1"/>
      <c r="S5028" s="1"/>
      <c r="T5028" s="1"/>
      <c r="U5028" s="1"/>
      <c r="V5028" s="1"/>
      <c r="W5028" s="1"/>
      <c r="X5028" s="1"/>
    </row>
    <row x14ac:dyDescent="0.25" r="5029" customHeight="1" ht="18.75">
      <c r="A5029" s="1"/>
      <c r="B5029" s="1"/>
      <c r="C5029" s="1"/>
      <c r="D5029" s="1"/>
      <c r="E5029" s="1"/>
      <c r="F5029" s="1"/>
      <c r="G5029" s="1"/>
      <c r="H5029" s="1"/>
      <c r="I5029" s="2"/>
      <c r="J5029" s="1"/>
      <c r="K5029" s="1"/>
      <c r="L5029" s="1"/>
      <c r="M5029" s="1"/>
      <c r="N5029" s="1"/>
      <c r="O5029" s="1"/>
      <c r="P5029" s="1"/>
      <c r="Q5029" s="1"/>
      <c r="R5029" s="1"/>
      <c r="S5029" s="1"/>
      <c r="T5029" s="1"/>
      <c r="U5029" s="1"/>
      <c r="V5029" s="1"/>
      <c r="W5029" s="1"/>
      <c r="X5029" s="1"/>
    </row>
    <row x14ac:dyDescent="0.25" r="5030" customHeight="1" ht="18.75">
      <c r="A5030" s="1"/>
      <c r="B5030" s="1"/>
      <c r="C5030" s="1"/>
      <c r="D5030" s="1"/>
      <c r="E5030" s="1"/>
      <c r="F5030" s="1"/>
      <c r="G5030" s="1"/>
      <c r="H5030" s="1"/>
      <c r="I5030" s="2"/>
      <c r="J5030" s="1"/>
      <c r="K5030" s="1"/>
      <c r="L5030" s="1"/>
      <c r="M5030" s="1"/>
      <c r="N5030" s="1"/>
      <c r="O5030" s="1"/>
      <c r="P5030" s="1"/>
      <c r="Q5030" s="1"/>
      <c r="R5030" s="1"/>
      <c r="S5030" s="1"/>
      <c r="T5030" s="1"/>
      <c r="U5030" s="1"/>
      <c r="V5030" s="1"/>
      <c r="W5030" s="1"/>
      <c r="X5030" s="1"/>
    </row>
    <row x14ac:dyDescent="0.25" r="5031" customHeight="1" ht="18.75">
      <c r="A5031" s="1"/>
      <c r="B5031" s="1"/>
      <c r="C5031" s="1"/>
      <c r="D5031" s="1"/>
      <c r="E5031" s="1"/>
      <c r="F5031" s="1"/>
      <c r="G5031" s="1"/>
      <c r="H5031" s="1"/>
      <c r="I5031" s="2"/>
      <c r="J5031" s="1"/>
      <c r="K5031" s="1"/>
      <c r="L5031" s="1"/>
      <c r="M5031" s="1"/>
      <c r="N5031" s="1"/>
      <c r="O5031" s="1"/>
      <c r="P5031" s="1"/>
      <c r="Q5031" s="1"/>
      <c r="R5031" s="1"/>
      <c r="S5031" s="1"/>
      <c r="T5031" s="1"/>
      <c r="U5031" s="1"/>
      <c r="V5031" s="1"/>
      <c r="W5031" s="1"/>
      <c r="X5031" s="1"/>
    </row>
    <row x14ac:dyDescent="0.25" r="5032" customHeight="1" ht="18.75">
      <c r="A5032" s="1"/>
      <c r="B5032" s="1"/>
      <c r="C5032" s="1"/>
      <c r="D5032" s="1"/>
      <c r="E5032" s="1"/>
      <c r="F5032" s="1"/>
      <c r="G5032" s="1"/>
      <c r="H5032" s="1"/>
      <c r="I5032" s="2"/>
      <c r="J5032" s="1"/>
      <c r="K5032" s="1"/>
      <c r="L5032" s="1"/>
      <c r="M5032" s="1"/>
      <c r="N5032" s="1"/>
      <c r="O5032" s="1"/>
      <c r="P5032" s="1"/>
      <c r="Q5032" s="1"/>
      <c r="R5032" s="1"/>
      <c r="S5032" s="1"/>
      <c r="T5032" s="1"/>
      <c r="U5032" s="1"/>
      <c r="V5032" s="1"/>
      <c r="W5032" s="1"/>
      <c r="X5032" s="1"/>
    </row>
    <row x14ac:dyDescent="0.25" r="5033" customHeight="1" ht="18.75">
      <c r="A5033" s="1"/>
      <c r="B5033" s="1"/>
      <c r="C5033" s="1"/>
      <c r="D5033" s="1"/>
      <c r="E5033" s="1"/>
      <c r="F5033" s="1"/>
      <c r="G5033" s="1"/>
      <c r="H5033" s="1"/>
      <c r="I5033" s="2"/>
      <c r="J5033" s="1"/>
      <c r="K5033" s="1"/>
      <c r="L5033" s="1"/>
      <c r="M5033" s="1"/>
      <c r="N5033" s="1"/>
      <c r="O5033" s="1"/>
      <c r="P5033" s="1"/>
      <c r="Q5033" s="1"/>
      <c r="R5033" s="1"/>
      <c r="S5033" s="1"/>
      <c r="T5033" s="1"/>
      <c r="U5033" s="1"/>
      <c r="V5033" s="1"/>
      <c r="W5033" s="1"/>
      <c r="X5033" s="1"/>
    </row>
    <row x14ac:dyDescent="0.25" r="5034" customHeight="1" ht="18.75">
      <c r="A5034" s="1"/>
      <c r="B5034" s="1"/>
      <c r="C5034" s="1"/>
      <c r="D5034" s="1"/>
      <c r="E5034" s="1"/>
      <c r="F5034" s="1"/>
      <c r="G5034" s="1"/>
      <c r="H5034" s="1"/>
      <c r="I5034" s="2"/>
      <c r="J5034" s="1"/>
      <c r="K5034" s="1"/>
      <c r="L5034" s="1"/>
      <c r="M5034" s="1"/>
      <c r="N5034" s="1"/>
      <c r="O5034" s="1"/>
      <c r="P5034" s="1"/>
      <c r="Q5034" s="1"/>
      <c r="R5034" s="1"/>
      <c r="S5034" s="1"/>
      <c r="T5034" s="1"/>
      <c r="U5034" s="1"/>
      <c r="V5034" s="1"/>
      <c r="W5034" s="1"/>
      <c r="X5034" s="1"/>
    </row>
    <row x14ac:dyDescent="0.25" r="5035" customHeight="1" ht="18.75">
      <c r="A5035" s="1"/>
      <c r="B5035" s="1"/>
      <c r="C5035" s="1"/>
      <c r="D5035" s="1"/>
      <c r="E5035" s="1"/>
      <c r="F5035" s="1"/>
      <c r="G5035" s="1"/>
      <c r="H5035" s="1"/>
      <c r="I5035" s="2"/>
      <c r="J5035" s="1"/>
      <c r="K5035" s="1"/>
      <c r="L5035" s="1"/>
      <c r="M5035" s="1"/>
      <c r="N5035" s="1"/>
      <c r="O5035" s="1"/>
      <c r="P5035" s="1"/>
      <c r="Q5035" s="1"/>
      <c r="R5035" s="1"/>
      <c r="S5035" s="1"/>
      <c r="T5035" s="1"/>
      <c r="U5035" s="1"/>
      <c r="V5035" s="1"/>
      <c r="W5035" s="1"/>
      <c r="X5035" s="1"/>
    </row>
    <row x14ac:dyDescent="0.25" r="5036" customHeight="1" ht="18.75">
      <c r="A5036" s="1"/>
      <c r="B5036" s="1"/>
      <c r="C5036" s="1"/>
      <c r="D5036" s="1"/>
      <c r="E5036" s="1"/>
      <c r="F5036" s="1"/>
      <c r="G5036" s="1"/>
      <c r="H5036" s="1"/>
      <c r="I5036" s="2"/>
      <c r="J5036" s="1"/>
      <c r="K5036" s="1"/>
      <c r="L5036" s="1"/>
      <c r="M5036" s="1"/>
      <c r="N5036" s="1"/>
      <c r="O5036" s="1"/>
      <c r="P5036" s="1"/>
      <c r="Q5036" s="1"/>
      <c r="R5036" s="1"/>
      <c r="S5036" s="1"/>
      <c r="T5036" s="1"/>
      <c r="U5036" s="1"/>
      <c r="V5036" s="1"/>
      <c r="W5036" s="1"/>
      <c r="X5036" s="1"/>
    </row>
    <row x14ac:dyDescent="0.25" r="5037" customHeight="1" ht="18.75">
      <c r="A5037" s="1"/>
      <c r="B5037" s="1"/>
      <c r="C5037" s="1"/>
      <c r="D5037" s="1"/>
      <c r="E5037" s="1"/>
      <c r="F5037" s="1"/>
      <c r="G5037" s="1"/>
      <c r="H5037" s="1"/>
      <c r="I5037" s="2"/>
      <c r="J5037" s="1"/>
      <c r="K5037" s="1"/>
      <c r="L5037" s="1"/>
      <c r="M5037" s="1"/>
      <c r="N5037" s="1"/>
      <c r="O5037" s="1"/>
      <c r="P5037" s="1"/>
      <c r="Q5037" s="1"/>
      <c r="R5037" s="1"/>
      <c r="S5037" s="1"/>
      <c r="T5037" s="1"/>
      <c r="U5037" s="1"/>
      <c r="V5037" s="1"/>
      <c r="W5037" s="1"/>
      <c r="X5037" s="1"/>
    </row>
    <row x14ac:dyDescent="0.25" r="5038" customHeight="1" ht="18.75">
      <c r="A5038" s="1"/>
      <c r="B5038" s="1"/>
      <c r="C5038" s="1"/>
      <c r="D5038" s="1"/>
      <c r="E5038" s="1"/>
      <c r="F5038" s="1"/>
      <c r="G5038" s="1"/>
      <c r="H5038" s="1"/>
      <c r="I5038" s="2"/>
      <c r="J5038" s="1"/>
      <c r="K5038" s="1"/>
      <c r="L5038" s="1"/>
      <c r="M5038" s="1"/>
      <c r="N5038" s="1"/>
      <c r="O5038" s="1"/>
      <c r="P5038" s="1"/>
      <c r="Q5038" s="1"/>
      <c r="R5038" s="1"/>
      <c r="S5038" s="1"/>
      <c r="T5038" s="1"/>
      <c r="U5038" s="1"/>
      <c r="V5038" s="1"/>
      <c r="W5038" s="1"/>
      <c r="X5038" s="1"/>
    </row>
    <row x14ac:dyDescent="0.25" r="5039" customHeight="1" ht="18.75">
      <c r="A5039" s="1"/>
      <c r="B5039" s="1"/>
      <c r="C5039" s="1"/>
      <c r="D5039" s="1"/>
      <c r="E5039" s="1"/>
      <c r="F5039" s="1"/>
      <c r="G5039" s="1"/>
      <c r="H5039" s="1"/>
      <c r="I5039" s="2"/>
      <c r="J5039" s="1"/>
      <c r="K5039" s="1"/>
      <c r="L5039" s="1"/>
      <c r="M5039" s="1"/>
      <c r="N5039" s="1"/>
      <c r="O5039" s="1"/>
      <c r="P5039" s="1"/>
      <c r="Q5039" s="1"/>
      <c r="R5039" s="1"/>
      <c r="S5039" s="1"/>
      <c r="T5039" s="1"/>
      <c r="U5039" s="1"/>
      <c r="V5039" s="1"/>
      <c r="W5039" s="1"/>
      <c r="X5039" s="1"/>
    </row>
    <row x14ac:dyDescent="0.25" r="5040" customHeight="1" ht="18.75">
      <c r="A5040" s="1"/>
      <c r="B5040" s="1"/>
      <c r="C5040" s="1"/>
      <c r="D5040" s="1"/>
      <c r="E5040" s="1"/>
      <c r="F5040" s="1"/>
      <c r="G5040" s="1"/>
      <c r="H5040" s="1"/>
      <c r="I5040" s="2"/>
      <c r="J5040" s="1"/>
      <c r="K5040" s="1"/>
      <c r="L5040" s="1"/>
      <c r="M5040" s="1"/>
      <c r="N5040" s="1"/>
      <c r="O5040" s="1"/>
      <c r="P5040" s="1"/>
      <c r="Q5040" s="1"/>
      <c r="R5040" s="1"/>
      <c r="S5040" s="1"/>
      <c r="T5040" s="1"/>
      <c r="U5040" s="1"/>
      <c r="V5040" s="1"/>
      <c r="W5040" s="1"/>
      <c r="X5040" s="1"/>
    </row>
    <row x14ac:dyDescent="0.25" r="5041" customHeight="1" ht="18.75">
      <c r="A5041" s="1"/>
      <c r="B5041" s="1"/>
      <c r="C5041" s="1"/>
      <c r="D5041" s="1"/>
      <c r="E5041" s="1"/>
      <c r="F5041" s="1"/>
      <c r="G5041" s="1"/>
      <c r="H5041" s="1"/>
      <c r="I5041" s="2"/>
      <c r="J5041" s="1"/>
      <c r="K5041" s="1"/>
      <c r="L5041" s="1"/>
      <c r="M5041" s="1"/>
      <c r="N5041" s="1"/>
      <c r="O5041" s="1"/>
      <c r="P5041" s="1"/>
      <c r="Q5041" s="1"/>
      <c r="R5041" s="1"/>
      <c r="S5041" s="1"/>
      <c r="T5041" s="1"/>
      <c r="U5041" s="1"/>
      <c r="V5041" s="1"/>
      <c r="W5041" s="1"/>
      <c r="X5041" s="1"/>
    </row>
    <row x14ac:dyDescent="0.25" r="5042" customHeight="1" ht="18.75">
      <c r="A5042" s="1"/>
      <c r="B5042" s="1"/>
      <c r="C5042" s="1"/>
      <c r="D5042" s="1"/>
      <c r="E5042" s="1"/>
      <c r="F5042" s="1"/>
      <c r="G5042" s="1"/>
      <c r="H5042" s="1"/>
      <c r="I5042" s="2"/>
      <c r="J5042" s="1"/>
      <c r="K5042" s="1"/>
      <c r="L5042" s="1"/>
      <c r="M5042" s="1"/>
      <c r="N5042" s="1"/>
      <c r="O5042" s="1"/>
      <c r="P5042" s="1"/>
      <c r="Q5042" s="1"/>
      <c r="R5042" s="1"/>
      <c r="S5042" s="1"/>
      <c r="T5042" s="1"/>
      <c r="U5042" s="1"/>
      <c r="V5042" s="1"/>
      <c r="W5042" s="1"/>
      <c r="X5042" s="1"/>
    </row>
    <row x14ac:dyDescent="0.25" r="5043" customHeight="1" ht="18.75">
      <c r="A5043" s="1"/>
      <c r="B5043" s="1"/>
      <c r="C5043" s="1"/>
      <c r="D5043" s="1"/>
      <c r="E5043" s="1"/>
      <c r="F5043" s="1"/>
      <c r="G5043" s="1"/>
      <c r="H5043" s="1"/>
      <c r="I5043" s="2"/>
      <c r="J5043" s="1"/>
      <c r="K5043" s="1"/>
      <c r="L5043" s="1"/>
      <c r="M5043" s="1"/>
      <c r="N5043" s="1"/>
      <c r="O5043" s="1"/>
      <c r="P5043" s="1"/>
      <c r="Q5043" s="1"/>
      <c r="R5043" s="1"/>
      <c r="S5043" s="1"/>
      <c r="T5043" s="1"/>
      <c r="U5043" s="1"/>
      <c r="V5043" s="1"/>
      <c r="W5043" s="1"/>
      <c r="X5043" s="1"/>
    </row>
    <row x14ac:dyDescent="0.25" r="5044" customHeight="1" ht="18.75">
      <c r="A5044" s="1"/>
      <c r="B5044" s="1"/>
      <c r="C5044" s="1"/>
      <c r="D5044" s="1"/>
      <c r="E5044" s="1"/>
      <c r="F5044" s="1"/>
      <c r="G5044" s="1"/>
      <c r="H5044" s="1"/>
      <c r="I5044" s="2"/>
      <c r="J5044" s="1"/>
      <c r="K5044" s="1"/>
      <c r="L5044" s="1"/>
      <c r="M5044" s="1"/>
      <c r="N5044" s="1"/>
      <c r="O5044" s="1"/>
      <c r="P5044" s="1"/>
      <c r="Q5044" s="1"/>
      <c r="R5044" s="1"/>
      <c r="S5044" s="1"/>
      <c r="T5044" s="1"/>
      <c r="U5044" s="1"/>
      <c r="V5044" s="1"/>
      <c r="W5044" s="1"/>
      <c r="X5044" s="1"/>
    </row>
    <row x14ac:dyDescent="0.25" r="5045" customHeight="1" ht="18.75">
      <c r="A5045" s="1"/>
      <c r="B5045" s="1"/>
      <c r="C5045" s="1"/>
      <c r="D5045" s="1"/>
      <c r="E5045" s="1"/>
      <c r="F5045" s="1"/>
      <c r="G5045" s="1"/>
      <c r="H5045" s="1"/>
      <c r="I5045" s="2"/>
      <c r="J5045" s="1"/>
      <c r="K5045" s="1"/>
      <c r="L5045" s="1"/>
      <c r="M5045" s="1"/>
      <c r="N5045" s="1"/>
      <c r="O5045" s="1"/>
      <c r="P5045" s="1"/>
      <c r="Q5045" s="1"/>
      <c r="R5045" s="1"/>
      <c r="S5045" s="1"/>
      <c r="T5045" s="1"/>
      <c r="U5045" s="1"/>
      <c r="V5045" s="1"/>
      <c r="W5045" s="1"/>
      <c r="X5045" s="1"/>
    </row>
    <row x14ac:dyDescent="0.25" r="5046" customHeight="1" ht="18.75">
      <c r="A5046" s="1"/>
      <c r="B5046" s="1"/>
      <c r="C5046" s="1"/>
      <c r="D5046" s="1"/>
      <c r="E5046" s="1"/>
      <c r="F5046" s="1"/>
      <c r="G5046" s="1"/>
      <c r="H5046" s="1"/>
      <c r="I5046" s="2"/>
      <c r="J5046" s="1"/>
      <c r="K5046" s="1"/>
      <c r="L5046" s="1"/>
      <c r="M5046" s="1"/>
      <c r="N5046" s="1"/>
      <c r="O5046" s="1"/>
      <c r="P5046" s="1"/>
      <c r="Q5046" s="1"/>
      <c r="R5046" s="1"/>
      <c r="S5046" s="1"/>
      <c r="T5046" s="1"/>
      <c r="U5046" s="1"/>
      <c r="V5046" s="1"/>
      <c r="W5046" s="1"/>
      <c r="X5046" s="1"/>
    </row>
    <row x14ac:dyDescent="0.25" r="5047" customHeight="1" ht="18.75">
      <c r="A5047" s="1"/>
      <c r="B5047" s="1"/>
      <c r="C5047" s="1"/>
      <c r="D5047" s="1"/>
      <c r="E5047" s="1"/>
      <c r="F5047" s="1"/>
      <c r="G5047" s="1"/>
      <c r="H5047" s="1"/>
      <c r="I5047" s="2"/>
      <c r="J5047" s="1"/>
      <c r="K5047" s="1"/>
      <c r="L5047" s="1"/>
      <c r="M5047" s="1"/>
      <c r="N5047" s="1"/>
      <c r="O5047" s="1"/>
      <c r="P5047" s="1"/>
      <c r="Q5047" s="1"/>
      <c r="R5047" s="1"/>
      <c r="S5047" s="1"/>
      <c r="T5047" s="1"/>
      <c r="U5047" s="1"/>
      <c r="V5047" s="1"/>
      <c r="W5047" s="1"/>
      <c r="X5047" s="1"/>
    </row>
    <row x14ac:dyDescent="0.25" r="5048" customHeight="1" ht="18.75">
      <c r="A5048" s="1"/>
      <c r="B5048" s="1"/>
      <c r="C5048" s="1"/>
      <c r="D5048" s="1"/>
      <c r="E5048" s="1"/>
      <c r="F5048" s="1"/>
      <c r="G5048" s="1"/>
      <c r="H5048" s="1"/>
      <c r="I5048" s="2"/>
      <c r="J5048" s="1"/>
      <c r="K5048" s="1"/>
      <c r="L5048" s="1"/>
      <c r="M5048" s="1"/>
      <c r="N5048" s="1"/>
      <c r="O5048" s="1"/>
      <c r="P5048" s="1"/>
      <c r="Q5048" s="1"/>
      <c r="R5048" s="1"/>
      <c r="S5048" s="1"/>
      <c r="T5048" s="1"/>
      <c r="U5048" s="1"/>
      <c r="V5048" s="1"/>
      <c r="W5048" s="1"/>
      <c r="X5048" s="1"/>
    </row>
    <row x14ac:dyDescent="0.25" r="5049" customHeight="1" ht="18.75">
      <c r="A5049" s="1"/>
      <c r="B5049" s="1"/>
      <c r="C5049" s="1"/>
      <c r="D5049" s="1"/>
      <c r="E5049" s="1"/>
      <c r="F5049" s="1"/>
      <c r="G5049" s="1"/>
      <c r="H5049" s="1"/>
      <c r="I5049" s="2"/>
      <c r="J5049" s="1"/>
      <c r="K5049" s="1"/>
      <c r="L5049" s="1"/>
      <c r="M5049" s="1"/>
      <c r="N5049" s="1"/>
      <c r="O5049" s="1"/>
      <c r="P5049" s="1"/>
      <c r="Q5049" s="1"/>
      <c r="R5049" s="1"/>
      <c r="S5049" s="1"/>
      <c r="T5049" s="1"/>
      <c r="U5049" s="1"/>
      <c r="V5049" s="1"/>
      <c r="W5049" s="1"/>
      <c r="X5049" s="1"/>
    </row>
    <row x14ac:dyDescent="0.25" r="5050" customHeight="1" ht="18.75">
      <c r="A5050" s="1"/>
      <c r="B5050" s="1"/>
      <c r="C5050" s="1"/>
      <c r="D5050" s="1"/>
      <c r="E5050" s="1"/>
      <c r="F5050" s="1"/>
      <c r="G5050" s="1"/>
      <c r="H5050" s="1"/>
      <c r="I5050" s="2"/>
      <c r="J5050" s="1"/>
      <c r="K5050" s="1"/>
      <c r="L5050" s="1"/>
      <c r="M5050" s="1"/>
      <c r="N5050" s="1"/>
      <c r="O5050" s="1"/>
      <c r="P5050" s="1"/>
      <c r="Q5050" s="1"/>
      <c r="R5050" s="1"/>
      <c r="S5050" s="1"/>
      <c r="T5050" s="1"/>
      <c r="U5050" s="1"/>
      <c r="V5050" s="1"/>
      <c r="W5050" s="1"/>
      <c r="X5050" s="1"/>
    </row>
    <row x14ac:dyDescent="0.25" r="5051" customHeight="1" ht="18.75">
      <c r="A5051" s="1"/>
      <c r="B5051" s="1"/>
      <c r="C5051" s="1"/>
      <c r="D5051" s="1"/>
      <c r="E5051" s="1"/>
      <c r="F5051" s="1"/>
      <c r="G5051" s="1"/>
      <c r="H5051" s="1"/>
      <c r="I5051" s="2"/>
      <c r="J5051" s="1"/>
      <c r="K5051" s="1"/>
      <c r="L5051" s="1"/>
      <c r="M5051" s="1"/>
      <c r="N5051" s="1"/>
      <c r="O5051" s="1"/>
      <c r="P5051" s="1"/>
      <c r="Q5051" s="1"/>
      <c r="R5051" s="1"/>
      <c r="S5051" s="1"/>
      <c r="T5051" s="1"/>
      <c r="U5051" s="1"/>
      <c r="V5051" s="1"/>
      <c r="W5051" s="1"/>
      <c r="X5051" s="1"/>
    </row>
    <row x14ac:dyDescent="0.25" r="5052" customHeight="1" ht="18.75">
      <c r="A5052" s="1"/>
      <c r="B5052" s="1"/>
      <c r="C5052" s="1"/>
      <c r="D5052" s="1"/>
      <c r="E5052" s="1"/>
      <c r="F5052" s="1"/>
      <c r="G5052" s="1"/>
      <c r="H5052" s="1"/>
      <c r="I5052" s="2"/>
      <c r="J5052" s="1"/>
      <c r="K5052" s="1"/>
      <c r="L5052" s="1"/>
      <c r="M5052" s="1"/>
      <c r="N5052" s="1"/>
      <c r="O5052" s="1"/>
      <c r="P5052" s="1"/>
      <c r="Q5052" s="1"/>
      <c r="R5052" s="1"/>
      <c r="S5052" s="1"/>
      <c r="T5052" s="1"/>
      <c r="U5052" s="1"/>
      <c r="V5052" s="1"/>
      <c r="W5052" s="1"/>
      <c r="X5052" s="1"/>
    </row>
    <row x14ac:dyDescent="0.25" r="5053" customHeight="1" ht="18.75">
      <c r="A5053" s="1"/>
      <c r="B5053" s="1"/>
      <c r="C5053" s="1"/>
      <c r="D5053" s="1"/>
      <c r="E5053" s="1"/>
      <c r="F5053" s="1"/>
      <c r="G5053" s="1"/>
      <c r="H5053" s="1"/>
      <c r="I5053" s="2"/>
      <c r="J5053" s="1"/>
      <c r="K5053" s="1"/>
      <c r="L5053" s="1"/>
      <c r="M5053" s="1"/>
      <c r="N5053" s="1"/>
      <c r="O5053" s="1"/>
      <c r="P5053" s="1"/>
      <c r="Q5053" s="1"/>
      <c r="R5053" s="1"/>
      <c r="S5053" s="1"/>
      <c r="T5053" s="1"/>
      <c r="U5053" s="1"/>
      <c r="V5053" s="1"/>
      <c r="W5053" s="1"/>
      <c r="X5053" s="1"/>
    </row>
    <row x14ac:dyDescent="0.25" r="5054" customHeight="1" ht="18.75">
      <c r="A5054" s="1"/>
      <c r="B5054" s="1"/>
      <c r="C5054" s="1"/>
      <c r="D5054" s="1"/>
      <c r="E5054" s="1"/>
      <c r="F5054" s="1"/>
      <c r="G5054" s="1"/>
      <c r="H5054" s="1"/>
      <c r="I5054" s="2"/>
      <c r="J5054" s="1"/>
      <c r="K5054" s="1"/>
      <c r="L5054" s="1"/>
      <c r="M5054" s="1"/>
      <c r="N5054" s="1"/>
      <c r="O5054" s="1"/>
      <c r="P5054" s="1"/>
      <c r="Q5054" s="1"/>
      <c r="R5054" s="1"/>
      <c r="S5054" s="1"/>
      <c r="T5054" s="1"/>
      <c r="U5054" s="1"/>
      <c r="V5054" s="1"/>
      <c r="W5054" s="1"/>
      <c r="X5054" s="1"/>
    </row>
    <row x14ac:dyDescent="0.25" r="5055" customHeight="1" ht="18.75">
      <c r="A5055" s="1"/>
      <c r="B5055" s="1"/>
      <c r="C5055" s="1"/>
      <c r="D5055" s="1"/>
      <c r="E5055" s="1"/>
      <c r="F5055" s="1"/>
      <c r="G5055" s="1"/>
      <c r="H5055" s="1"/>
      <c r="I5055" s="2"/>
      <c r="J5055" s="1"/>
      <c r="K5055" s="1"/>
      <c r="L5055" s="1"/>
      <c r="M5055" s="1"/>
      <c r="N5055" s="1"/>
      <c r="O5055" s="1"/>
      <c r="P5055" s="1"/>
      <c r="Q5055" s="1"/>
      <c r="R5055" s="1"/>
      <c r="S5055" s="1"/>
      <c r="T5055" s="1"/>
      <c r="U5055" s="1"/>
      <c r="V5055" s="1"/>
      <c r="W5055" s="1"/>
      <c r="X5055" s="1"/>
    </row>
    <row x14ac:dyDescent="0.25" r="5056" customHeight="1" ht="18.75">
      <c r="A5056" s="1"/>
      <c r="B5056" s="1"/>
      <c r="C5056" s="1"/>
      <c r="D5056" s="1"/>
      <c r="E5056" s="1"/>
      <c r="F5056" s="1"/>
      <c r="G5056" s="1"/>
      <c r="H5056" s="1"/>
      <c r="I5056" s="2"/>
      <c r="J5056" s="1"/>
      <c r="K5056" s="1"/>
      <c r="L5056" s="1"/>
      <c r="M5056" s="1"/>
      <c r="N5056" s="1"/>
      <c r="O5056" s="1"/>
      <c r="P5056" s="1"/>
      <c r="Q5056" s="1"/>
      <c r="R5056" s="1"/>
      <c r="S5056" s="1"/>
      <c r="T5056" s="1"/>
      <c r="U5056" s="1"/>
      <c r="V5056" s="1"/>
      <c r="W5056" s="1"/>
      <c r="X5056" s="1"/>
    </row>
    <row x14ac:dyDescent="0.25" r="5057" customHeight="1" ht="18.75">
      <c r="A5057" s="1"/>
      <c r="B5057" s="1"/>
      <c r="C5057" s="1"/>
      <c r="D5057" s="1"/>
      <c r="E5057" s="1"/>
      <c r="F5057" s="1"/>
      <c r="G5057" s="1"/>
      <c r="H5057" s="1"/>
      <c r="I5057" s="2"/>
      <c r="J5057" s="1"/>
      <c r="K5057" s="1"/>
      <c r="L5057" s="1"/>
      <c r="M5057" s="1"/>
      <c r="N5057" s="1"/>
      <c r="O5057" s="1"/>
      <c r="P5057" s="1"/>
      <c r="Q5057" s="1"/>
      <c r="R5057" s="1"/>
      <c r="S5057" s="1"/>
      <c r="T5057" s="1"/>
      <c r="U5057" s="1"/>
      <c r="V5057" s="1"/>
      <c r="W5057" s="1"/>
      <c r="X5057" s="1"/>
    </row>
    <row x14ac:dyDescent="0.25" r="5058" customHeight="1" ht="18.75">
      <c r="A5058" s="1"/>
      <c r="B5058" s="1"/>
      <c r="C5058" s="1"/>
      <c r="D5058" s="1"/>
      <c r="E5058" s="1"/>
      <c r="F5058" s="1"/>
      <c r="G5058" s="1"/>
      <c r="H5058" s="1"/>
      <c r="I5058" s="2"/>
      <c r="J5058" s="1"/>
      <c r="K5058" s="1"/>
      <c r="L5058" s="1"/>
      <c r="M5058" s="1"/>
      <c r="N5058" s="1"/>
      <c r="O5058" s="1"/>
      <c r="P5058" s="1"/>
      <c r="Q5058" s="1"/>
      <c r="R5058" s="1"/>
      <c r="S5058" s="1"/>
      <c r="T5058" s="1"/>
      <c r="U5058" s="1"/>
      <c r="V5058" s="1"/>
      <c r="W5058" s="1"/>
      <c r="X5058" s="1"/>
    </row>
    <row x14ac:dyDescent="0.25" r="5059" customHeight="1" ht="18.75">
      <c r="A5059" s="1"/>
      <c r="B5059" s="1"/>
      <c r="C5059" s="1"/>
      <c r="D5059" s="1"/>
      <c r="E5059" s="1"/>
      <c r="F5059" s="1"/>
      <c r="G5059" s="1"/>
      <c r="H5059" s="1"/>
      <c r="I5059" s="2"/>
      <c r="J5059" s="1"/>
      <c r="K5059" s="1"/>
      <c r="L5059" s="1"/>
      <c r="M5059" s="1"/>
      <c r="N5059" s="1"/>
      <c r="O5059" s="1"/>
      <c r="P5059" s="1"/>
      <c r="Q5059" s="1"/>
      <c r="R5059" s="1"/>
      <c r="S5059" s="1"/>
      <c r="T5059" s="1"/>
      <c r="U5059" s="1"/>
      <c r="V5059" s="1"/>
      <c r="W5059" s="1"/>
      <c r="X5059" s="1"/>
    </row>
    <row x14ac:dyDescent="0.25" r="5060" customHeight="1" ht="18.75">
      <c r="A5060" s="1"/>
      <c r="B5060" s="1"/>
      <c r="C5060" s="1"/>
      <c r="D5060" s="1"/>
      <c r="E5060" s="1"/>
      <c r="F5060" s="1"/>
      <c r="G5060" s="1"/>
      <c r="H5060" s="1"/>
      <c r="I5060" s="2"/>
      <c r="J5060" s="1"/>
      <c r="K5060" s="1"/>
      <c r="L5060" s="1"/>
      <c r="M5060" s="1"/>
      <c r="N5060" s="1"/>
      <c r="O5060" s="1"/>
      <c r="P5060" s="1"/>
      <c r="Q5060" s="1"/>
      <c r="R5060" s="1"/>
      <c r="S5060" s="1"/>
      <c r="T5060" s="1"/>
      <c r="U5060" s="1"/>
      <c r="V5060" s="1"/>
      <c r="W5060" s="1"/>
      <c r="X5060" s="1"/>
    </row>
    <row x14ac:dyDescent="0.25" r="5061" customHeight="1" ht="18.75">
      <c r="A5061" s="1"/>
      <c r="B5061" s="1"/>
      <c r="C5061" s="1"/>
      <c r="D5061" s="1"/>
      <c r="E5061" s="1"/>
      <c r="F5061" s="1"/>
      <c r="G5061" s="1"/>
      <c r="H5061" s="1"/>
      <c r="I5061" s="2"/>
      <c r="J5061" s="1"/>
      <c r="K5061" s="1"/>
      <c r="L5061" s="1"/>
      <c r="M5061" s="1"/>
      <c r="N5061" s="1"/>
      <c r="O5061" s="1"/>
      <c r="P5061" s="1"/>
      <c r="Q5061" s="1"/>
      <c r="R5061" s="1"/>
      <c r="S5061" s="1"/>
      <c r="T5061" s="1"/>
      <c r="U5061" s="1"/>
      <c r="V5061" s="1"/>
      <c r="W5061" s="1"/>
      <c r="X5061" s="1"/>
    </row>
    <row x14ac:dyDescent="0.25" r="5062" customHeight="1" ht="18.75">
      <c r="A5062" s="1"/>
      <c r="B5062" s="1"/>
      <c r="C5062" s="1"/>
      <c r="D5062" s="1"/>
      <c r="E5062" s="1"/>
      <c r="F5062" s="1"/>
      <c r="G5062" s="1"/>
      <c r="H5062" s="1"/>
      <c r="I5062" s="2"/>
      <c r="J5062" s="1"/>
      <c r="K5062" s="1"/>
      <c r="L5062" s="1"/>
      <c r="M5062" s="1"/>
      <c r="N5062" s="1"/>
      <c r="O5062" s="1"/>
      <c r="P5062" s="1"/>
      <c r="Q5062" s="1"/>
      <c r="R5062" s="1"/>
      <c r="S5062" s="1"/>
      <c r="T5062" s="1"/>
      <c r="U5062" s="1"/>
      <c r="V5062" s="1"/>
      <c r="W5062" s="1"/>
      <c r="X5062" s="1"/>
    </row>
    <row x14ac:dyDescent="0.25" r="5063" customHeight="1" ht="18.75">
      <c r="A5063" s="1"/>
      <c r="B5063" s="1"/>
      <c r="C5063" s="1"/>
      <c r="D5063" s="1"/>
      <c r="E5063" s="1"/>
      <c r="F5063" s="1"/>
      <c r="G5063" s="1"/>
      <c r="H5063" s="1"/>
      <c r="I5063" s="2"/>
      <c r="J5063" s="1"/>
      <c r="K5063" s="1"/>
      <c r="L5063" s="1"/>
      <c r="M5063" s="1"/>
      <c r="N5063" s="1"/>
      <c r="O5063" s="1"/>
      <c r="P5063" s="1"/>
      <c r="Q5063" s="1"/>
      <c r="R5063" s="1"/>
      <c r="S5063" s="1"/>
      <c r="T5063" s="1"/>
      <c r="U5063" s="1"/>
      <c r="V5063" s="1"/>
      <c r="W5063" s="1"/>
      <c r="X5063" s="1"/>
    </row>
    <row x14ac:dyDescent="0.25" r="5064" customHeight="1" ht="18.75">
      <c r="A5064" s="1"/>
      <c r="B5064" s="1"/>
      <c r="C5064" s="1"/>
      <c r="D5064" s="1"/>
      <c r="E5064" s="1"/>
      <c r="F5064" s="1"/>
      <c r="G5064" s="1"/>
      <c r="H5064" s="1"/>
      <c r="I5064" s="2"/>
      <c r="J5064" s="1"/>
      <c r="K5064" s="1"/>
      <c r="L5064" s="1"/>
      <c r="M5064" s="1"/>
      <c r="N5064" s="1"/>
      <c r="O5064" s="1"/>
      <c r="P5064" s="1"/>
      <c r="Q5064" s="1"/>
      <c r="R5064" s="1"/>
      <c r="S5064" s="1"/>
      <c r="T5064" s="1"/>
      <c r="U5064" s="1"/>
      <c r="V5064" s="1"/>
      <c r="W5064" s="1"/>
      <c r="X5064" s="1"/>
    </row>
    <row x14ac:dyDescent="0.25" r="5065" customHeight="1" ht="18.75">
      <c r="A5065" s="1"/>
      <c r="B5065" s="1"/>
      <c r="C5065" s="1"/>
      <c r="D5065" s="1"/>
      <c r="E5065" s="1"/>
      <c r="F5065" s="1"/>
      <c r="G5065" s="1"/>
      <c r="H5065" s="1"/>
      <c r="I5065" s="2"/>
      <c r="J5065" s="1"/>
      <c r="K5065" s="1"/>
      <c r="L5065" s="1"/>
      <c r="M5065" s="1"/>
      <c r="N5065" s="1"/>
      <c r="O5065" s="1"/>
      <c r="P5065" s="1"/>
      <c r="Q5065" s="1"/>
      <c r="R5065" s="1"/>
      <c r="S5065" s="1"/>
      <c r="T5065" s="1"/>
      <c r="U5065" s="1"/>
      <c r="V5065" s="1"/>
      <c r="W5065" s="1"/>
      <c r="X5065" s="1"/>
    </row>
    <row x14ac:dyDescent="0.25" r="5066" customHeight="1" ht="18.75">
      <c r="A5066" s="1"/>
      <c r="B5066" s="1"/>
      <c r="C5066" s="1"/>
      <c r="D5066" s="1"/>
      <c r="E5066" s="1"/>
      <c r="F5066" s="1"/>
      <c r="G5066" s="1"/>
      <c r="H5066" s="1"/>
      <c r="I5066" s="2"/>
      <c r="J5066" s="1"/>
      <c r="K5066" s="1"/>
      <c r="L5066" s="1"/>
      <c r="M5066" s="1"/>
      <c r="N5066" s="1"/>
      <c r="O5066" s="1"/>
      <c r="P5066" s="1"/>
      <c r="Q5066" s="1"/>
      <c r="R5066" s="1"/>
      <c r="S5066" s="1"/>
      <c r="T5066" s="1"/>
      <c r="U5066" s="1"/>
      <c r="V5066" s="1"/>
      <c r="W5066" s="1"/>
      <c r="X5066" s="1"/>
    </row>
    <row x14ac:dyDescent="0.25" r="5067" customHeight="1" ht="18.75">
      <c r="A5067" s="1"/>
      <c r="B5067" s="1"/>
      <c r="C5067" s="1"/>
      <c r="D5067" s="1"/>
      <c r="E5067" s="1"/>
      <c r="F5067" s="1"/>
      <c r="G5067" s="1"/>
      <c r="H5067" s="1"/>
      <c r="I5067" s="2"/>
      <c r="J5067" s="1"/>
      <c r="K5067" s="1"/>
      <c r="L5067" s="1"/>
      <c r="M5067" s="1"/>
      <c r="N5067" s="1"/>
      <c r="O5067" s="1"/>
      <c r="P5067" s="1"/>
      <c r="Q5067" s="1"/>
      <c r="R5067" s="1"/>
      <c r="S5067" s="1"/>
      <c r="T5067" s="1"/>
      <c r="U5067" s="1"/>
      <c r="V5067" s="1"/>
      <c r="W5067" s="1"/>
      <c r="X5067" s="1"/>
    </row>
    <row x14ac:dyDescent="0.25" r="5068" customHeight="1" ht="18.75">
      <c r="A5068" s="1"/>
      <c r="B5068" s="1"/>
      <c r="C5068" s="1"/>
      <c r="D5068" s="1"/>
      <c r="E5068" s="1"/>
      <c r="F5068" s="1"/>
      <c r="G5068" s="1"/>
      <c r="H5068" s="1"/>
      <c r="I5068" s="2"/>
      <c r="J5068" s="1"/>
      <c r="K5068" s="1"/>
      <c r="L5068" s="1"/>
      <c r="M5068" s="1"/>
      <c r="N5068" s="1"/>
      <c r="O5068" s="1"/>
      <c r="P5068" s="1"/>
      <c r="Q5068" s="1"/>
      <c r="R5068" s="1"/>
      <c r="S5068" s="1"/>
      <c r="T5068" s="1"/>
      <c r="U5068" s="1"/>
      <c r="V5068" s="1"/>
      <c r="W5068" s="1"/>
      <c r="X5068" s="1"/>
    </row>
    <row x14ac:dyDescent="0.25" r="5069" customHeight="1" ht="18.75">
      <c r="A5069" s="1"/>
      <c r="B5069" s="1"/>
      <c r="C5069" s="1"/>
      <c r="D5069" s="1"/>
      <c r="E5069" s="1"/>
      <c r="F5069" s="1"/>
      <c r="G5069" s="1"/>
      <c r="H5069" s="1"/>
      <c r="I5069" s="2"/>
      <c r="J5069" s="1"/>
      <c r="K5069" s="1"/>
      <c r="L5069" s="1"/>
      <c r="M5069" s="1"/>
      <c r="N5069" s="1"/>
      <c r="O5069" s="1"/>
      <c r="P5069" s="1"/>
      <c r="Q5069" s="1"/>
      <c r="R5069" s="1"/>
      <c r="S5069" s="1"/>
      <c r="T5069" s="1"/>
      <c r="U5069" s="1"/>
      <c r="V5069" s="1"/>
      <c r="W5069" s="1"/>
      <c r="X5069" s="1"/>
    </row>
    <row x14ac:dyDescent="0.25" r="5070" customHeight="1" ht="18.75">
      <c r="A5070" s="1"/>
      <c r="B5070" s="1"/>
      <c r="C5070" s="1"/>
      <c r="D5070" s="1"/>
      <c r="E5070" s="1"/>
      <c r="F5070" s="1"/>
      <c r="G5070" s="1"/>
      <c r="H5070" s="1"/>
      <c r="I5070" s="2"/>
      <c r="J5070" s="1"/>
      <c r="K5070" s="1"/>
      <c r="L5070" s="1"/>
      <c r="M5070" s="1"/>
      <c r="N5070" s="1"/>
      <c r="O5070" s="1"/>
      <c r="P5070" s="1"/>
      <c r="Q5070" s="1"/>
      <c r="R5070" s="1"/>
      <c r="S5070" s="1"/>
      <c r="T5070" s="1"/>
      <c r="U5070" s="1"/>
      <c r="V5070" s="1"/>
      <c r="W5070" s="1"/>
      <c r="X5070" s="1"/>
    </row>
    <row x14ac:dyDescent="0.25" r="5071" customHeight="1" ht="18.75">
      <c r="A5071" s="1"/>
      <c r="B5071" s="1"/>
      <c r="C5071" s="1"/>
      <c r="D5071" s="1"/>
      <c r="E5071" s="1"/>
      <c r="F5071" s="1"/>
      <c r="G5071" s="1"/>
      <c r="H5071" s="1"/>
      <c r="I5071" s="2"/>
      <c r="J5071" s="1"/>
      <c r="K5071" s="1"/>
      <c r="L5071" s="1"/>
      <c r="M5071" s="1"/>
      <c r="N5071" s="1"/>
      <c r="O5071" s="1"/>
      <c r="P5071" s="1"/>
      <c r="Q5071" s="1"/>
      <c r="R5071" s="1"/>
      <c r="S5071" s="1"/>
      <c r="T5071" s="1"/>
      <c r="U5071" s="1"/>
      <c r="V5071" s="1"/>
      <c r="W5071" s="1"/>
      <c r="X5071" s="1"/>
    </row>
    <row x14ac:dyDescent="0.25" r="5072" customHeight="1" ht="18.75">
      <c r="A5072" s="1"/>
      <c r="B5072" s="1"/>
      <c r="C5072" s="1"/>
      <c r="D5072" s="1"/>
      <c r="E5072" s="1"/>
      <c r="F5072" s="1"/>
      <c r="G5072" s="1"/>
      <c r="H5072" s="1"/>
      <c r="I5072" s="2"/>
      <c r="J5072" s="1"/>
      <c r="K5072" s="1"/>
      <c r="L5072" s="1"/>
      <c r="M5072" s="1"/>
      <c r="N5072" s="1"/>
      <c r="O5072" s="1"/>
      <c r="P5072" s="1"/>
      <c r="Q5072" s="1"/>
      <c r="R5072" s="1"/>
      <c r="S5072" s="1"/>
      <c r="T5072" s="1"/>
      <c r="U5072" s="1"/>
      <c r="V5072" s="1"/>
      <c r="W5072" s="1"/>
      <c r="X5072" s="1"/>
    </row>
    <row x14ac:dyDescent="0.25" r="5073" customHeight="1" ht="18.75">
      <c r="A5073" s="1"/>
      <c r="B5073" s="1"/>
      <c r="C5073" s="1"/>
      <c r="D5073" s="1"/>
      <c r="E5073" s="1"/>
      <c r="F5073" s="1"/>
      <c r="G5073" s="1"/>
      <c r="H5073" s="1"/>
      <c r="I5073" s="2"/>
      <c r="J5073" s="1"/>
      <c r="K5073" s="1"/>
      <c r="L5073" s="1"/>
      <c r="M5073" s="1"/>
      <c r="N5073" s="1"/>
      <c r="O5073" s="1"/>
      <c r="P5073" s="1"/>
      <c r="Q5073" s="1"/>
      <c r="R5073" s="1"/>
      <c r="S5073" s="1"/>
      <c r="T5073" s="1"/>
      <c r="U5073" s="1"/>
      <c r="V5073" s="1"/>
      <c r="W5073" s="1"/>
      <c r="X5073" s="1"/>
    </row>
    <row x14ac:dyDescent="0.25" r="5074" customHeight="1" ht="18.75">
      <c r="A5074" s="1"/>
      <c r="B5074" s="1"/>
      <c r="C5074" s="1"/>
      <c r="D5074" s="1"/>
      <c r="E5074" s="1"/>
      <c r="F5074" s="1"/>
      <c r="G5074" s="1"/>
      <c r="H5074" s="1"/>
      <c r="I5074" s="2"/>
      <c r="J5074" s="1"/>
      <c r="K5074" s="1"/>
      <c r="L5074" s="1"/>
      <c r="M5074" s="1"/>
      <c r="N5074" s="1"/>
      <c r="O5074" s="1"/>
      <c r="P5074" s="1"/>
      <c r="Q5074" s="1"/>
      <c r="R5074" s="1"/>
      <c r="S5074" s="1"/>
      <c r="T5074" s="1"/>
      <c r="U5074" s="1"/>
      <c r="V5074" s="1"/>
      <c r="W5074" s="1"/>
      <c r="X5074" s="1"/>
    </row>
    <row x14ac:dyDescent="0.25" r="5075" customHeight="1" ht="18.75">
      <c r="A5075" s="1"/>
      <c r="B5075" s="1"/>
      <c r="C5075" s="1"/>
      <c r="D5075" s="1"/>
      <c r="E5075" s="1"/>
      <c r="F5075" s="1"/>
      <c r="G5075" s="1"/>
      <c r="H5075" s="1"/>
      <c r="I5075" s="2"/>
      <c r="J5075" s="1"/>
      <c r="K5075" s="1"/>
      <c r="L5075" s="1"/>
      <c r="M5075" s="1"/>
      <c r="N5075" s="1"/>
      <c r="O5075" s="1"/>
      <c r="P5075" s="1"/>
      <c r="Q5075" s="1"/>
      <c r="R5075" s="1"/>
      <c r="S5075" s="1"/>
      <c r="T5075" s="1"/>
      <c r="U5075" s="1"/>
      <c r="V5075" s="1"/>
      <c r="W5075" s="1"/>
      <c r="X5075" s="1"/>
    </row>
    <row x14ac:dyDescent="0.25" r="5076" customHeight="1" ht="18.75">
      <c r="A5076" s="1"/>
      <c r="B5076" s="1"/>
      <c r="C5076" s="1"/>
      <c r="D5076" s="1"/>
      <c r="E5076" s="1"/>
      <c r="F5076" s="1"/>
      <c r="G5076" s="1"/>
      <c r="H5076" s="1"/>
      <c r="I5076" s="2"/>
      <c r="J5076" s="1"/>
      <c r="K5076" s="1"/>
      <c r="L5076" s="1"/>
      <c r="M5076" s="1"/>
      <c r="N5076" s="1"/>
      <c r="O5076" s="1"/>
      <c r="P5076" s="1"/>
      <c r="Q5076" s="1"/>
      <c r="R5076" s="1"/>
      <c r="S5076" s="1"/>
      <c r="T5076" s="1"/>
      <c r="U5076" s="1"/>
      <c r="V5076" s="1"/>
      <c r="W5076" s="1"/>
      <c r="X5076" s="1"/>
    </row>
    <row x14ac:dyDescent="0.25" r="5077" customHeight="1" ht="18.75">
      <c r="A5077" s="1"/>
      <c r="B5077" s="1"/>
      <c r="C5077" s="1"/>
      <c r="D5077" s="1"/>
      <c r="E5077" s="1"/>
      <c r="F5077" s="1"/>
      <c r="G5077" s="1"/>
      <c r="H5077" s="1"/>
      <c r="I5077" s="2"/>
      <c r="J5077" s="1"/>
      <c r="K5077" s="1"/>
      <c r="L5077" s="1"/>
      <c r="M5077" s="1"/>
      <c r="N5077" s="1"/>
      <c r="O5077" s="1"/>
      <c r="P5077" s="1"/>
      <c r="Q5077" s="1"/>
      <c r="R5077" s="1"/>
      <c r="S5077" s="1"/>
      <c r="T5077" s="1"/>
      <c r="U5077" s="1"/>
      <c r="V5077" s="1"/>
      <c r="W5077" s="1"/>
      <c r="X5077" s="1"/>
    </row>
    <row x14ac:dyDescent="0.25" r="5078" customHeight="1" ht="18.75">
      <c r="A5078" s="1"/>
      <c r="B5078" s="1"/>
      <c r="C5078" s="1"/>
      <c r="D5078" s="1"/>
      <c r="E5078" s="1"/>
      <c r="F5078" s="1"/>
      <c r="G5078" s="1"/>
      <c r="H5078" s="1"/>
      <c r="I5078" s="2"/>
      <c r="J5078" s="1"/>
      <c r="K5078" s="1"/>
      <c r="L5078" s="1"/>
      <c r="M5078" s="1"/>
      <c r="N5078" s="1"/>
      <c r="O5078" s="1"/>
      <c r="P5078" s="1"/>
      <c r="Q5078" s="1"/>
      <c r="R5078" s="1"/>
      <c r="S5078" s="1"/>
      <c r="T5078" s="1"/>
      <c r="U5078" s="1"/>
      <c r="V5078" s="1"/>
      <c r="W5078" s="1"/>
      <c r="X5078" s="1"/>
    </row>
    <row x14ac:dyDescent="0.25" r="5079" customHeight="1" ht="18.75">
      <c r="A5079" s="1"/>
      <c r="B5079" s="1"/>
      <c r="C5079" s="1"/>
      <c r="D5079" s="1"/>
      <c r="E5079" s="1"/>
      <c r="F5079" s="1"/>
      <c r="G5079" s="1"/>
      <c r="H5079" s="1"/>
      <c r="I5079" s="2"/>
      <c r="J5079" s="1"/>
      <c r="K5079" s="1"/>
      <c r="L5079" s="1"/>
      <c r="M5079" s="1"/>
      <c r="N5079" s="1"/>
      <c r="O5079" s="1"/>
      <c r="P5079" s="1"/>
      <c r="Q5079" s="1"/>
      <c r="R5079" s="1"/>
      <c r="S5079" s="1"/>
      <c r="T5079" s="1"/>
      <c r="U5079" s="1"/>
      <c r="V5079" s="1"/>
      <c r="W5079" s="1"/>
      <c r="X5079" s="1"/>
    </row>
    <row x14ac:dyDescent="0.25" r="5080" customHeight="1" ht="18.75">
      <c r="A5080" s="1"/>
      <c r="B5080" s="1"/>
      <c r="C5080" s="1"/>
      <c r="D5080" s="1"/>
      <c r="E5080" s="1"/>
      <c r="F5080" s="1"/>
      <c r="G5080" s="1"/>
      <c r="H5080" s="1"/>
      <c r="I5080" s="2"/>
      <c r="J5080" s="1"/>
      <c r="K5080" s="1"/>
      <c r="L5080" s="1"/>
      <c r="M5080" s="1"/>
      <c r="N5080" s="1"/>
      <c r="O5080" s="1"/>
      <c r="P5080" s="1"/>
      <c r="Q5080" s="1"/>
      <c r="R5080" s="1"/>
      <c r="S5080" s="1"/>
      <c r="T5080" s="1"/>
      <c r="U5080" s="1"/>
      <c r="V5080" s="1"/>
      <c r="W5080" s="1"/>
      <c r="X5080" s="1"/>
    </row>
    <row x14ac:dyDescent="0.25" r="5081" customHeight="1" ht="18.75">
      <c r="A5081" s="1"/>
      <c r="B5081" s="1"/>
      <c r="C5081" s="1"/>
      <c r="D5081" s="1"/>
      <c r="E5081" s="1"/>
      <c r="F5081" s="1"/>
      <c r="G5081" s="1"/>
      <c r="H5081" s="1"/>
      <c r="I5081" s="2"/>
      <c r="J5081" s="1"/>
      <c r="K5081" s="1"/>
      <c r="L5081" s="1"/>
      <c r="M5081" s="1"/>
      <c r="N5081" s="1"/>
      <c r="O5081" s="1"/>
      <c r="P5081" s="1"/>
      <c r="Q5081" s="1"/>
      <c r="R5081" s="1"/>
      <c r="S5081" s="1"/>
      <c r="T5081" s="1"/>
      <c r="U5081" s="1"/>
      <c r="V5081" s="1"/>
      <c r="W5081" s="1"/>
      <c r="X5081" s="1"/>
    </row>
    <row x14ac:dyDescent="0.25" r="5082" customHeight="1" ht="18.75">
      <c r="A5082" s="1"/>
      <c r="B5082" s="1"/>
      <c r="C5082" s="1"/>
      <c r="D5082" s="1"/>
      <c r="E5082" s="1"/>
      <c r="F5082" s="1"/>
      <c r="G5082" s="1"/>
      <c r="H5082" s="1"/>
      <c r="I5082" s="2"/>
      <c r="J5082" s="1"/>
      <c r="K5082" s="1"/>
      <c r="L5082" s="1"/>
      <c r="M5082" s="1"/>
      <c r="N5082" s="1"/>
      <c r="O5082" s="1"/>
      <c r="P5082" s="1"/>
      <c r="Q5082" s="1"/>
      <c r="R5082" s="1"/>
      <c r="S5082" s="1"/>
      <c r="T5082" s="1"/>
      <c r="U5082" s="1"/>
      <c r="V5082" s="1"/>
      <c r="W5082" s="1"/>
      <c r="X5082" s="1"/>
    </row>
    <row x14ac:dyDescent="0.25" r="5083" customHeight="1" ht="18.75">
      <c r="A5083" s="1"/>
      <c r="B5083" s="1"/>
      <c r="C5083" s="1"/>
      <c r="D5083" s="1"/>
      <c r="E5083" s="1"/>
      <c r="F5083" s="1"/>
      <c r="G5083" s="1"/>
      <c r="H5083" s="1"/>
      <c r="I5083" s="2"/>
      <c r="J5083" s="1"/>
      <c r="K5083" s="1"/>
      <c r="L5083" s="1"/>
      <c r="M5083" s="1"/>
      <c r="N5083" s="1"/>
      <c r="O5083" s="1"/>
      <c r="P5083" s="1"/>
      <c r="Q5083" s="1"/>
      <c r="R5083" s="1"/>
      <c r="S5083" s="1"/>
      <c r="T5083" s="1"/>
      <c r="U5083" s="1"/>
      <c r="V5083" s="1"/>
      <c r="W5083" s="1"/>
      <c r="X5083" s="1"/>
    </row>
    <row x14ac:dyDescent="0.25" r="5084" customHeight="1" ht="18.75">
      <c r="A5084" s="1"/>
      <c r="B5084" s="1"/>
      <c r="C5084" s="1"/>
      <c r="D5084" s="1"/>
      <c r="E5084" s="1"/>
      <c r="F5084" s="1"/>
      <c r="G5084" s="1"/>
      <c r="H5084" s="1"/>
      <c r="I5084" s="2"/>
      <c r="J5084" s="1"/>
      <c r="K5084" s="1"/>
      <c r="L5084" s="1"/>
      <c r="M5084" s="1"/>
      <c r="N5084" s="1"/>
      <c r="O5084" s="1"/>
      <c r="P5084" s="1"/>
      <c r="Q5084" s="1"/>
      <c r="R5084" s="1"/>
      <c r="S5084" s="1"/>
      <c r="T5084" s="1"/>
      <c r="U5084" s="1"/>
      <c r="V5084" s="1"/>
      <c r="W5084" s="1"/>
      <c r="X5084" s="1"/>
    </row>
    <row x14ac:dyDescent="0.25" r="5085" customHeight="1" ht="18.75">
      <c r="A5085" s="1"/>
      <c r="B5085" s="1"/>
      <c r="C5085" s="1"/>
      <c r="D5085" s="1"/>
      <c r="E5085" s="1"/>
      <c r="F5085" s="1"/>
      <c r="G5085" s="1"/>
      <c r="H5085" s="1"/>
      <c r="I5085" s="2"/>
      <c r="J5085" s="1"/>
      <c r="K5085" s="1"/>
      <c r="L5085" s="1"/>
      <c r="M5085" s="1"/>
      <c r="N5085" s="1"/>
      <c r="O5085" s="1"/>
      <c r="P5085" s="1"/>
      <c r="Q5085" s="1"/>
      <c r="R5085" s="1"/>
      <c r="S5085" s="1"/>
      <c r="T5085" s="1"/>
      <c r="U5085" s="1"/>
      <c r="V5085" s="1"/>
      <c r="W5085" s="1"/>
      <c r="X5085" s="1"/>
    </row>
    <row x14ac:dyDescent="0.25" r="5086" customHeight="1" ht="18.75">
      <c r="A5086" s="1"/>
      <c r="B5086" s="1"/>
      <c r="C5086" s="1"/>
      <c r="D5086" s="1"/>
      <c r="E5086" s="1"/>
      <c r="F5086" s="1"/>
      <c r="G5086" s="1"/>
      <c r="H5086" s="1"/>
      <c r="I5086" s="2"/>
      <c r="J5086" s="1"/>
      <c r="K5086" s="1"/>
      <c r="L5086" s="1"/>
      <c r="M5086" s="1"/>
      <c r="N5086" s="1"/>
      <c r="O5086" s="1"/>
      <c r="P5086" s="1"/>
      <c r="Q5086" s="1"/>
      <c r="R5086" s="1"/>
      <c r="S5086" s="1"/>
      <c r="T5086" s="1"/>
      <c r="U5086" s="1"/>
      <c r="V5086" s="1"/>
      <c r="W5086" s="1"/>
      <c r="X5086" s="1"/>
    </row>
    <row x14ac:dyDescent="0.25" r="5087" customHeight="1" ht="18.75">
      <c r="A5087" s="1"/>
      <c r="B5087" s="1"/>
      <c r="C5087" s="1"/>
      <c r="D5087" s="1"/>
      <c r="E5087" s="1"/>
      <c r="F5087" s="1"/>
      <c r="G5087" s="1"/>
      <c r="H5087" s="1"/>
      <c r="I5087" s="2"/>
      <c r="J5087" s="1"/>
      <c r="K5087" s="1"/>
      <c r="L5087" s="1"/>
      <c r="M5087" s="1"/>
      <c r="N5087" s="1"/>
      <c r="O5087" s="1"/>
      <c r="P5087" s="1"/>
      <c r="Q5087" s="1"/>
      <c r="R5087" s="1"/>
      <c r="S5087" s="1"/>
      <c r="T5087" s="1"/>
      <c r="U5087" s="1"/>
      <c r="V5087" s="1"/>
      <c r="W5087" s="1"/>
      <c r="X5087" s="1"/>
    </row>
    <row x14ac:dyDescent="0.25" r="5088" customHeight="1" ht="18.75">
      <c r="A5088" s="1"/>
      <c r="B5088" s="1"/>
      <c r="C5088" s="1"/>
      <c r="D5088" s="1"/>
      <c r="E5088" s="1"/>
      <c r="F5088" s="1"/>
      <c r="G5088" s="1"/>
      <c r="H5088" s="1"/>
      <c r="I5088" s="2"/>
      <c r="J5088" s="1"/>
      <c r="K5088" s="1"/>
      <c r="L5088" s="1"/>
      <c r="M5088" s="1"/>
      <c r="N5088" s="1"/>
      <c r="O5088" s="1"/>
      <c r="P5088" s="1"/>
      <c r="Q5088" s="1"/>
      <c r="R5088" s="1"/>
      <c r="S5088" s="1"/>
      <c r="T5088" s="1"/>
      <c r="U5088" s="1"/>
      <c r="V5088" s="1"/>
      <c r="W5088" s="1"/>
      <c r="X5088" s="1"/>
    </row>
    <row x14ac:dyDescent="0.25" r="5089" customHeight="1" ht="18.75">
      <c r="A5089" s="1"/>
      <c r="B5089" s="1"/>
      <c r="C5089" s="1"/>
      <c r="D5089" s="1"/>
      <c r="E5089" s="1"/>
      <c r="F5089" s="1"/>
      <c r="G5089" s="1"/>
      <c r="H5089" s="1"/>
      <c r="I5089" s="2"/>
      <c r="J5089" s="1"/>
      <c r="K5089" s="1"/>
      <c r="L5089" s="1"/>
      <c r="M5089" s="1"/>
      <c r="N5089" s="1"/>
      <c r="O5089" s="1"/>
      <c r="P5089" s="1"/>
      <c r="Q5089" s="1"/>
      <c r="R5089" s="1"/>
      <c r="S5089" s="1"/>
      <c r="T5089" s="1"/>
      <c r="U5089" s="1"/>
      <c r="V5089" s="1"/>
      <c r="W5089" s="1"/>
      <c r="X5089" s="1"/>
    </row>
    <row x14ac:dyDescent="0.25" r="5090" customHeight="1" ht="18.75">
      <c r="A5090" s="1"/>
      <c r="B5090" s="1"/>
      <c r="C5090" s="1"/>
      <c r="D5090" s="1"/>
      <c r="E5090" s="1"/>
      <c r="F5090" s="1"/>
      <c r="G5090" s="1"/>
      <c r="H5090" s="1"/>
      <c r="I5090" s="2"/>
      <c r="J5090" s="1"/>
      <c r="K5090" s="1"/>
      <c r="L5090" s="1"/>
      <c r="M5090" s="1"/>
      <c r="N5090" s="1"/>
      <c r="O5090" s="1"/>
      <c r="P5090" s="1"/>
      <c r="Q5090" s="1"/>
      <c r="R5090" s="1"/>
      <c r="S5090" s="1"/>
      <c r="T5090" s="1"/>
      <c r="U5090" s="1"/>
      <c r="V5090" s="1"/>
      <c r="W5090" s="1"/>
      <c r="X5090" s="1"/>
    </row>
    <row x14ac:dyDescent="0.25" r="5091" customHeight="1" ht="18.75">
      <c r="A5091" s="1"/>
      <c r="B5091" s="1"/>
      <c r="C5091" s="1"/>
      <c r="D5091" s="1"/>
      <c r="E5091" s="1"/>
      <c r="F5091" s="1"/>
      <c r="G5091" s="1"/>
      <c r="H5091" s="1"/>
      <c r="I5091" s="2"/>
      <c r="J5091" s="1"/>
      <c r="K5091" s="1"/>
      <c r="L5091" s="1"/>
      <c r="M5091" s="1"/>
      <c r="N5091" s="1"/>
      <c r="O5091" s="1"/>
      <c r="P5091" s="1"/>
      <c r="Q5091" s="1"/>
      <c r="R5091" s="1"/>
      <c r="S5091" s="1"/>
      <c r="T5091" s="1"/>
      <c r="U5091" s="1"/>
      <c r="V5091" s="1"/>
      <c r="W5091" s="1"/>
      <c r="X5091" s="1"/>
    </row>
    <row x14ac:dyDescent="0.25" r="5092" customHeight="1" ht="18.75">
      <c r="A5092" s="1"/>
      <c r="B5092" s="1"/>
      <c r="C5092" s="1"/>
      <c r="D5092" s="1"/>
      <c r="E5092" s="1"/>
      <c r="F5092" s="1"/>
      <c r="G5092" s="1"/>
      <c r="H5092" s="1"/>
      <c r="I5092" s="2"/>
      <c r="J5092" s="1"/>
      <c r="K5092" s="1"/>
      <c r="L5092" s="1"/>
      <c r="M5092" s="1"/>
      <c r="N5092" s="1"/>
      <c r="O5092" s="1"/>
      <c r="P5092" s="1"/>
      <c r="Q5092" s="1"/>
      <c r="R5092" s="1"/>
      <c r="S5092" s="1"/>
      <c r="T5092" s="1"/>
      <c r="U5092" s="1"/>
      <c r="V5092" s="1"/>
      <c r="W5092" s="1"/>
      <c r="X5092" s="1"/>
    </row>
    <row x14ac:dyDescent="0.25" r="5093" customHeight="1" ht="18.75">
      <c r="A5093" s="1"/>
      <c r="B5093" s="1"/>
      <c r="C5093" s="1"/>
      <c r="D5093" s="1"/>
      <c r="E5093" s="1"/>
      <c r="F5093" s="1"/>
      <c r="G5093" s="1"/>
      <c r="H5093" s="1"/>
      <c r="I5093" s="2"/>
      <c r="J5093" s="1"/>
      <c r="K5093" s="1"/>
      <c r="L5093" s="1"/>
      <c r="M5093" s="1"/>
      <c r="N5093" s="1"/>
      <c r="O5093" s="1"/>
      <c r="P5093" s="1"/>
      <c r="Q5093" s="1"/>
      <c r="R5093" s="1"/>
      <c r="S5093" s="1"/>
      <c r="T5093" s="1"/>
      <c r="U5093" s="1"/>
      <c r="V5093" s="1"/>
      <c r="W5093" s="1"/>
      <c r="X5093" s="1"/>
    </row>
    <row x14ac:dyDescent="0.25" r="5094" customHeight="1" ht="18.75">
      <c r="A5094" s="1"/>
      <c r="B5094" s="1"/>
      <c r="C5094" s="1"/>
      <c r="D5094" s="1"/>
      <c r="E5094" s="1"/>
      <c r="F5094" s="1"/>
      <c r="G5094" s="1"/>
      <c r="H5094" s="1"/>
      <c r="I5094" s="2"/>
      <c r="J5094" s="1"/>
      <c r="K5094" s="1"/>
      <c r="L5094" s="1"/>
      <c r="M5094" s="1"/>
      <c r="N5094" s="1"/>
      <c r="O5094" s="1"/>
      <c r="P5094" s="1"/>
      <c r="Q5094" s="1"/>
      <c r="R5094" s="1"/>
      <c r="S5094" s="1"/>
      <c r="T5094" s="1"/>
      <c r="U5094" s="1"/>
      <c r="V5094" s="1"/>
      <c r="W5094" s="1"/>
      <c r="X5094" s="1"/>
    </row>
    <row x14ac:dyDescent="0.25" r="5095" customHeight="1" ht="18.75">
      <c r="A5095" s="1"/>
      <c r="B5095" s="1"/>
      <c r="C5095" s="1"/>
      <c r="D5095" s="1"/>
      <c r="E5095" s="1"/>
      <c r="F5095" s="1"/>
      <c r="G5095" s="1"/>
      <c r="H5095" s="1"/>
      <c r="I5095" s="2"/>
      <c r="J5095" s="1"/>
      <c r="K5095" s="1"/>
      <c r="L5095" s="1"/>
      <c r="M5095" s="1"/>
      <c r="N5095" s="1"/>
      <c r="O5095" s="1"/>
      <c r="P5095" s="1"/>
      <c r="Q5095" s="1"/>
      <c r="R5095" s="1"/>
      <c r="S5095" s="1"/>
      <c r="T5095" s="1"/>
      <c r="U5095" s="1"/>
      <c r="V5095" s="1"/>
      <c r="W5095" s="1"/>
      <c r="X5095" s="1"/>
    </row>
    <row x14ac:dyDescent="0.25" r="5096" customHeight="1" ht="18.75">
      <c r="A5096" s="1"/>
      <c r="B5096" s="1"/>
      <c r="C5096" s="1"/>
      <c r="D5096" s="1"/>
      <c r="E5096" s="1"/>
      <c r="F5096" s="1"/>
      <c r="G5096" s="1"/>
      <c r="H5096" s="1"/>
      <c r="I5096" s="2"/>
      <c r="J5096" s="1"/>
      <c r="K5096" s="1"/>
      <c r="L5096" s="1"/>
      <c r="M5096" s="1"/>
      <c r="N5096" s="1"/>
      <c r="O5096" s="1"/>
      <c r="P5096" s="1"/>
      <c r="Q5096" s="1"/>
      <c r="R5096" s="1"/>
      <c r="S5096" s="1"/>
      <c r="T5096" s="1"/>
      <c r="U5096" s="1"/>
      <c r="V5096" s="1"/>
      <c r="W5096" s="1"/>
      <c r="X5096" s="1"/>
    </row>
    <row x14ac:dyDescent="0.25" r="5097" customHeight="1" ht="18.75">
      <c r="A5097" s="1"/>
      <c r="B5097" s="1"/>
      <c r="C5097" s="1"/>
      <c r="D5097" s="1"/>
      <c r="E5097" s="1"/>
      <c r="F5097" s="1"/>
      <c r="G5097" s="1"/>
      <c r="H5097" s="1"/>
      <c r="I5097" s="2"/>
      <c r="J5097" s="1"/>
      <c r="K5097" s="1"/>
      <c r="L5097" s="1"/>
      <c r="M5097" s="1"/>
      <c r="N5097" s="1"/>
      <c r="O5097" s="1"/>
      <c r="P5097" s="1"/>
      <c r="Q5097" s="1"/>
      <c r="R5097" s="1"/>
      <c r="S5097" s="1"/>
      <c r="T5097" s="1"/>
      <c r="U5097" s="1"/>
      <c r="V5097" s="1"/>
      <c r="W5097" s="1"/>
      <c r="X5097" s="1"/>
    </row>
    <row x14ac:dyDescent="0.25" r="5098" customHeight="1" ht="18.75">
      <c r="A5098" s="1"/>
      <c r="B5098" s="1"/>
      <c r="C5098" s="1"/>
      <c r="D5098" s="1"/>
      <c r="E5098" s="1"/>
      <c r="F5098" s="1"/>
      <c r="G5098" s="1"/>
      <c r="H5098" s="1"/>
      <c r="I5098" s="2"/>
      <c r="J5098" s="1"/>
      <c r="K5098" s="1"/>
      <c r="L5098" s="1"/>
      <c r="M5098" s="1"/>
      <c r="N5098" s="1"/>
      <c r="O5098" s="1"/>
      <c r="P5098" s="1"/>
      <c r="Q5098" s="1"/>
      <c r="R5098" s="1"/>
      <c r="S5098" s="1"/>
      <c r="T5098" s="1"/>
      <c r="U5098" s="1"/>
      <c r="V5098" s="1"/>
      <c r="W5098" s="1"/>
      <c r="X5098" s="1"/>
    </row>
    <row x14ac:dyDescent="0.25" r="5099" customHeight="1" ht="18.75">
      <c r="A5099" s="1"/>
      <c r="B5099" s="1"/>
      <c r="C5099" s="1"/>
      <c r="D5099" s="1"/>
      <c r="E5099" s="1"/>
      <c r="F5099" s="1"/>
      <c r="G5099" s="1"/>
      <c r="H5099" s="1"/>
      <c r="I5099" s="2"/>
      <c r="J5099" s="1"/>
      <c r="K5099" s="1"/>
      <c r="L5099" s="1"/>
      <c r="M5099" s="1"/>
      <c r="N5099" s="1"/>
      <c r="O5099" s="1"/>
      <c r="P5099" s="1"/>
      <c r="Q5099" s="1"/>
      <c r="R5099" s="1"/>
      <c r="S5099" s="1"/>
      <c r="T5099" s="1"/>
      <c r="U5099" s="1"/>
      <c r="V5099" s="1"/>
      <c r="W5099" s="1"/>
      <c r="X5099" s="1"/>
    </row>
    <row x14ac:dyDescent="0.25" r="5100" customHeight="1" ht="18.75">
      <c r="A5100" s="1"/>
      <c r="B5100" s="1"/>
      <c r="C5100" s="1"/>
      <c r="D5100" s="1"/>
      <c r="E5100" s="1"/>
      <c r="F5100" s="1"/>
      <c r="G5100" s="1"/>
      <c r="H5100" s="1"/>
      <c r="I5100" s="2"/>
      <c r="J5100" s="1"/>
      <c r="K5100" s="1"/>
      <c r="L5100" s="1"/>
      <c r="M5100" s="1"/>
      <c r="N5100" s="1"/>
      <c r="O5100" s="1"/>
      <c r="P5100" s="1"/>
      <c r="Q5100" s="1"/>
      <c r="R5100" s="1"/>
      <c r="S5100" s="1"/>
      <c r="T5100" s="1"/>
      <c r="U5100" s="1"/>
      <c r="V5100" s="1"/>
      <c r="W5100" s="1"/>
      <c r="X5100" s="1"/>
    </row>
    <row x14ac:dyDescent="0.25" r="5101" customHeight="1" ht="18.75">
      <c r="A5101" s="1"/>
      <c r="B5101" s="1"/>
      <c r="C5101" s="1"/>
      <c r="D5101" s="1"/>
      <c r="E5101" s="1"/>
      <c r="F5101" s="1"/>
      <c r="G5101" s="1"/>
      <c r="H5101" s="1"/>
      <c r="I5101" s="2"/>
      <c r="J5101" s="1"/>
      <c r="K5101" s="1"/>
      <c r="L5101" s="1"/>
      <c r="M5101" s="1"/>
      <c r="N5101" s="1"/>
      <c r="O5101" s="1"/>
      <c r="P5101" s="1"/>
      <c r="Q5101" s="1"/>
      <c r="R5101" s="1"/>
      <c r="S5101" s="1"/>
      <c r="T5101" s="1"/>
      <c r="U5101" s="1"/>
      <c r="V5101" s="1"/>
      <c r="W5101" s="1"/>
      <c r="X5101" s="1"/>
    </row>
    <row x14ac:dyDescent="0.25" r="5102" customHeight="1" ht="18.75">
      <c r="A5102" s="1"/>
      <c r="B5102" s="1"/>
      <c r="C5102" s="1"/>
      <c r="D5102" s="1"/>
      <c r="E5102" s="1"/>
      <c r="F5102" s="1"/>
      <c r="G5102" s="1"/>
      <c r="H5102" s="1"/>
      <c r="I5102" s="2"/>
      <c r="J5102" s="1"/>
      <c r="K5102" s="1"/>
      <c r="L5102" s="1"/>
      <c r="M5102" s="1"/>
      <c r="N5102" s="1"/>
      <c r="O5102" s="1"/>
      <c r="P5102" s="1"/>
      <c r="Q5102" s="1"/>
      <c r="R5102" s="1"/>
      <c r="S5102" s="1"/>
      <c r="T5102" s="1"/>
      <c r="U5102" s="1"/>
      <c r="V5102" s="1"/>
      <c r="W5102" s="1"/>
      <c r="X5102" s="1"/>
    </row>
    <row x14ac:dyDescent="0.25" r="5103" customHeight="1" ht="18.75">
      <c r="A5103" s="1"/>
      <c r="B5103" s="1"/>
      <c r="C5103" s="1"/>
      <c r="D5103" s="1"/>
      <c r="E5103" s="1"/>
      <c r="F5103" s="1"/>
      <c r="G5103" s="1"/>
      <c r="H5103" s="1"/>
      <c r="I5103" s="2"/>
      <c r="J5103" s="1"/>
      <c r="K5103" s="1"/>
      <c r="L5103" s="1"/>
      <c r="M5103" s="1"/>
      <c r="N5103" s="1"/>
      <c r="O5103" s="1"/>
      <c r="P5103" s="1"/>
      <c r="Q5103" s="1"/>
      <c r="R5103" s="1"/>
      <c r="S5103" s="1"/>
      <c r="T5103" s="1"/>
      <c r="U5103" s="1"/>
      <c r="V5103" s="1"/>
      <c r="W5103" s="1"/>
      <c r="X5103" s="1"/>
    </row>
    <row x14ac:dyDescent="0.25" r="5104" customHeight="1" ht="18.75">
      <c r="A5104" s="1"/>
      <c r="B5104" s="1"/>
      <c r="C5104" s="1"/>
      <c r="D5104" s="1"/>
      <c r="E5104" s="1"/>
      <c r="F5104" s="1"/>
      <c r="G5104" s="1"/>
      <c r="H5104" s="1"/>
      <c r="I5104" s="2"/>
      <c r="J5104" s="1"/>
      <c r="K5104" s="1"/>
      <c r="L5104" s="1"/>
      <c r="M5104" s="1"/>
      <c r="N5104" s="1"/>
      <c r="O5104" s="1"/>
      <c r="P5104" s="1"/>
      <c r="Q5104" s="1"/>
      <c r="R5104" s="1"/>
      <c r="S5104" s="1"/>
      <c r="T5104" s="1"/>
      <c r="U5104" s="1"/>
      <c r="V5104" s="1"/>
      <c r="W5104" s="1"/>
      <c r="X5104" s="1"/>
    </row>
    <row x14ac:dyDescent="0.25" r="5105" customHeight="1" ht="18.75">
      <c r="A5105" s="1"/>
      <c r="B5105" s="1"/>
      <c r="C5105" s="1"/>
      <c r="D5105" s="1"/>
      <c r="E5105" s="1"/>
      <c r="F5105" s="1"/>
      <c r="G5105" s="1"/>
      <c r="H5105" s="1"/>
      <c r="I5105" s="2"/>
      <c r="J5105" s="1"/>
      <c r="K5105" s="1"/>
      <c r="L5105" s="1"/>
      <c r="M5105" s="1"/>
      <c r="N5105" s="1"/>
      <c r="O5105" s="1"/>
      <c r="P5105" s="1"/>
      <c r="Q5105" s="1"/>
      <c r="R5105" s="1"/>
      <c r="S5105" s="1"/>
      <c r="T5105" s="1"/>
      <c r="U5105" s="1"/>
      <c r="V5105" s="1"/>
      <c r="W5105" s="1"/>
      <c r="X5105" s="1"/>
    </row>
    <row x14ac:dyDescent="0.25" r="5106" customHeight="1" ht="18.75">
      <c r="A5106" s="1"/>
      <c r="B5106" s="1"/>
      <c r="C5106" s="1"/>
      <c r="D5106" s="1"/>
      <c r="E5106" s="1"/>
      <c r="F5106" s="1"/>
      <c r="G5106" s="1"/>
      <c r="H5106" s="1"/>
      <c r="I5106" s="2"/>
      <c r="J5106" s="1"/>
      <c r="K5106" s="1"/>
      <c r="L5106" s="1"/>
      <c r="M5106" s="1"/>
      <c r="N5106" s="1"/>
      <c r="O5106" s="1"/>
      <c r="P5106" s="1"/>
      <c r="Q5106" s="1"/>
      <c r="R5106" s="1"/>
      <c r="S5106" s="1"/>
      <c r="T5106" s="1"/>
      <c r="U5106" s="1"/>
      <c r="V5106" s="1"/>
      <c r="W5106" s="1"/>
      <c r="X5106" s="1"/>
    </row>
    <row x14ac:dyDescent="0.25" r="5107" customHeight="1" ht="18.75">
      <c r="A5107" s="1"/>
      <c r="B5107" s="1"/>
      <c r="C5107" s="1"/>
      <c r="D5107" s="1"/>
      <c r="E5107" s="1"/>
      <c r="F5107" s="1"/>
      <c r="G5107" s="1"/>
      <c r="H5107" s="1"/>
      <c r="I5107" s="2"/>
      <c r="J5107" s="1"/>
      <c r="K5107" s="1"/>
      <c r="L5107" s="1"/>
      <c r="M5107" s="1"/>
      <c r="N5107" s="1"/>
      <c r="O5107" s="1"/>
      <c r="P5107" s="1"/>
      <c r="Q5107" s="1"/>
      <c r="R5107" s="1"/>
      <c r="S5107" s="1"/>
      <c r="T5107" s="1"/>
      <c r="U5107" s="1"/>
      <c r="V5107" s="1"/>
      <c r="W5107" s="1"/>
      <c r="X5107" s="1"/>
    </row>
    <row x14ac:dyDescent="0.25" r="5108" customHeight="1" ht="18.75">
      <c r="A5108" s="1"/>
      <c r="B5108" s="1"/>
      <c r="C5108" s="1"/>
      <c r="D5108" s="1"/>
      <c r="E5108" s="1"/>
      <c r="F5108" s="1"/>
      <c r="G5108" s="1"/>
      <c r="H5108" s="1"/>
      <c r="I5108" s="2"/>
      <c r="J5108" s="1"/>
      <c r="K5108" s="1"/>
      <c r="L5108" s="1"/>
      <c r="M5108" s="1"/>
      <c r="N5108" s="1"/>
      <c r="O5108" s="1"/>
      <c r="P5108" s="1"/>
      <c r="Q5108" s="1"/>
      <c r="R5108" s="1"/>
      <c r="S5108" s="1"/>
      <c r="T5108" s="1"/>
      <c r="U5108" s="1"/>
      <c r="V5108" s="1"/>
      <c r="W5108" s="1"/>
      <c r="X5108" s="1"/>
    </row>
    <row x14ac:dyDescent="0.25" r="5109" customHeight="1" ht="18.75">
      <c r="A5109" s="1"/>
      <c r="B5109" s="1"/>
      <c r="C5109" s="1"/>
      <c r="D5109" s="1"/>
      <c r="E5109" s="1"/>
      <c r="F5109" s="1"/>
      <c r="G5109" s="1"/>
      <c r="H5109" s="1"/>
      <c r="I5109" s="2"/>
      <c r="J5109" s="1"/>
      <c r="K5109" s="1"/>
      <c r="L5109" s="1"/>
      <c r="M5109" s="1"/>
      <c r="N5109" s="1"/>
      <c r="O5109" s="1"/>
      <c r="P5109" s="1"/>
      <c r="Q5109" s="1"/>
      <c r="R5109" s="1"/>
      <c r="S5109" s="1"/>
      <c r="T5109" s="1"/>
      <c r="U5109" s="1"/>
      <c r="V5109" s="1"/>
      <c r="W5109" s="1"/>
      <c r="X5109" s="1"/>
    </row>
    <row x14ac:dyDescent="0.25" r="5110" customHeight="1" ht="18.75">
      <c r="A5110" s="1"/>
      <c r="B5110" s="1"/>
      <c r="C5110" s="1"/>
      <c r="D5110" s="1"/>
      <c r="E5110" s="1"/>
      <c r="F5110" s="1"/>
      <c r="G5110" s="1"/>
      <c r="H5110" s="1"/>
      <c r="I5110" s="2"/>
      <c r="J5110" s="1"/>
      <c r="K5110" s="1"/>
      <c r="L5110" s="1"/>
      <c r="M5110" s="1"/>
      <c r="N5110" s="1"/>
      <c r="O5110" s="1"/>
      <c r="P5110" s="1"/>
      <c r="Q5110" s="1"/>
      <c r="R5110" s="1"/>
      <c r="S5110" s="1"/>
      <c r="T5110" s="1"/>
      <c r="U5110" s="1"/>
      <c r="V5110" s="1"/>
      <c r="W5110" s="1"/>
      <c r="X5110" s="1"/>
    </row>
    <row x14ac:dyDescent="0.25" r="5111" customHeight="1" ht="18.75">
      <c r="A5111" s="1"/>
      <c r="B5111" s="1"/>
      <c r="C5111" s="1"/>
      <c r="D5111" s="1"/>
      <c r="E5111" s="1"/>
      <c r="F5111" s="1"/>
      <c r="G5111" s="1"/>
      <c r="H5111" s="1"/>
      <c r="I5111" s="2"/>
      <c r="J5111" s="1"/>
      <c r="K5111" s="1"/>
      <c r="L5111" s="1"/>
      <c r="M5111" s="1"/>
      <c r="N5111" s="1"/>
      <c r="O5111" s="1"/>
      <c r="P5111" s="1"/>
      <c r="Q5111" s="1"/>
      <c r="R5111" s="1"/>
      <c r="S5111" s="1"/>
      <c r="T5111" s="1"/>
      <c r="U5111" s="1"/>
      <c r="V5111" s="1"/>
      <c r="W5111" s="1"/>
      <c r="X5111" s="1"/>
    </row>
    <row x14ac:dyDescent="0.25" r="5112" customHeight="1" ht="18.75">
      <c r="A5112" s="1"/>
      <c r="B5112" s="1"/>
      <c r="C5112" s="1"/>
      <c r="D5112" s="1"/>
      <c r="E5112" s="1"/>
      <c r="F5112" s="1"/>
      <c r="G5112" s="1"/>
      <c r="H5112" s="1"/>
      <c r="I5112" s="2"/>
      <c r="J5112" s="1"/>
      <c r="K5112" s="1"/>
      <c r="L5112" s="1"/>
      <c r="M5112" s="1"/>
      <c r="N5112" s="1"/>
      <c r="O5112" s="1"/>
      <c r="P5112" s="1"/>
      <c r="Q5112" s="1"/>
      <c r="R5112" s="1"/>
      <c r="S5112" s="1"/>
      <c r="T5112" s="1"/>
      <c r="U5112" s="1"/>
      <c r="V5112" s="1"/>
      <c r="W5112" s="1"/>
      <c r="X5112" s="1"/>
    </row>
    <row x14ac:dyDescent="0.25" r="5113" customHeight="1" ht="18.75">
      <c r="A5113" s="1"/>
      <c r="B5113" s="1"/>
      <c r="C5113" s="1"/>
      <c r="D5113" s="1"/>
      <c r="E5113" s="1"/>
      <c r="F5113" s="1"/>
      <c r="G5113" s="1"/>
      <c r="H5113" s="1"/>
      <c r="I5113" s="2"/>
      <c r="J5113" s="1"/>
      <c r="K5113" s="1"/>
      <c r="L5113" s="1"/>
      <c r="M5113" s="1"/>
      <c r="N5113" s="1"/>
      <c r="O5113" s="1"/>
      <c r="P5113" s="1"/>
      <c r="Q5113" s="1"/>
      <c r="R5113" s="1"/>
      <c r="S5113" s="1"/>
      <c r="T5113" s="1"/>
      <c r="U5113" s="1"/>
      <c r="V5113" s="1"/>
      <c r="W5113" s="1"/>
      <c r="X5113" s="1"/>
    </row>
    <row x14ac:dyDescent="0.25" r="5114" customHeight="1" ht="18.75">
      <c r="A5114" s="1"/>
      <c r="B5114" s="1"/>
      <c r="C5114" s="1"/>
      <c r="D5114" s="1"/>
      <c r="E5114" s="1"/>
      <c r="F5114" s="1"/>
      <c r="G5114" s="1"/>
      <c r="H5114" s="1"/>
      <c r="I5114" s="2"/>
      <c r="J5114" s="1"/>
      <c r="K5114" s="1"/>
      <c r="L5114" s="1"/>
      <c r="M5114" s="1"/>
      <c r="N5114" s="1"/>
      <c r="O5114" s="1"/>
      <c r="P5114" s="1"/>
      <c r="Q5114" s="1"/>
      <c r="R5114" s="1"/>
      <c r="S5114" s="1"/>
      <c r="T5114" s="1"/>
      <c r="U5114" s="1"/>
      <c r="V5114" s="1"/>
      <c r="W5114" s="1"/>
      <c r="X5114" s="1"/>
    </row>
    <row x14ac:dyDescent="0.25" r="5115" customHeight="1" ht="18.75">
      <c r="A5115" s="1"/>
      <c r="B5115" s="1"/>
      <c r="C5115" s="1"/>
      <c r="D5115" s="1"/>
      <c r="E5115" s="1"/>
      <c r="F5115" s="1"/>
      <c r="G5115" s="1"/>
      <c r="H5115" s="1"/>
      <c r="I5115" s="2"/>
      <c r="J5115" s="1"/>
      <c r="K5115" s="1"/>
      <c r="L5115" s="1"/>
      <c r="M5115" s="1"/>
      <c r="N5115" s="1"/>
      <c r="O5115" s="1"/>
      <c r="P5115" s="1"/>
      <c r="Q5115" s="1"/>
      <c r="R5115" s="1"/>
      <c r="S5115" s="1"/>
      <c r="T5115" s="1"/>
      <c r="U5115" s="1"/>
      <c r="V5115" s="1"/>
      <c r="W5115" s="1"/>
      <c r="X5115" s="1"/>
    </row>
    <row x14ac:dyDescent="0.25" r="5116" customHeight="1" ht="18.75">
      <c r="A5116" s="1"/>
      <c r="B5116" s="1"/>
      <c r="C5116" s="1"/>
      <c r="D5116" s="1"/>
      <c r="E5116" s="1"/>
      <c r="F5116" s="1"/>
      <c r="G5116" s="1"/>
      <c r="H5116" s="1"/>
      <c r="I5116" s="2"/>
      <c r="J5116" s="1"/>
      <c r="K5116" s="1"/>
      <c r="L5116" s="1"/>
      <c r="M5116" s="1"/>
      <c r="N5116" s="1"/>
      <c r="O5116" s="1"/>
      <c r="P5116" s="1"/>
      <c r="Q5116" s="1"/>
      <c r="R5116" s="1"/>
      <c r="S5116" s="1"/>
      <c r="T5116" s="1"/>
      <c r="U5116" s="1"/>
      <c r="V5116" s="1"/>
      <c r="W5116" s="1"/>
      <c r="X5116" s="1"/>
    </row>
    <row x14ac:dyDescent="0.25" r="5117" customHeight="1" ht="18.75">
      <c r="A5117" s="1"/>
      <c r="B5117" s="1"/>
      <c r="C5117" s="1"/>
      <c r="D5117" s="1"/>
      <c r="E5117" s="1"/>
      <c r="F5117" s="1"/>
      <c r="G5117" s="1"/>
      <c r="H5117" s="1"/>
      <c r="I5117" s="2"/>
      <c r="J5117" s="1"/>
      <c r="K5117" s="1"/>
      <c r="L5117" s="1"/>
      <c r="M5117" s="1"/>
      <c r="N5117" s="1"/>
      <c r="O5117" s="1"/>
      <c r="P5117" s="1"/>
      <c r="Q5117" s="1"/>
      <c r="R5117" s="1"/>
      <c r="S5117" s="1"/>
      <c r="T5117" s="1"/>
      <c r="U5117" s="1"/>
      <c r="V5117" s="1"/>
      <c r="W5117" s="1"/>
      <c r="X5117" s="1"/>
    </row>
    <row x14ac:dyDescent="0.25" r="5118" customHeight="1" ht="18.75">
      <c r="A5118" s="1"/>
      <c r="B5118" s="1"/>
      <c r="C5118" s="1"/>
      <c r="D5118" s="1"/>
      <c r="E5118" s="1"/>
      <c r="F5118" s="1"/>
      <c r="G5118" s="1"/>
      <c r="H5118" s="1"/>
      <c r="I5118" s="2"/>
      <c r="J5118" s="1"/>
      <c r="K5118" s="1"/>
      <c r="L5118" s="1"/>
      <c r="M5118" s="1"/>
      <c r="N5118" s="1"/>
      <c r="O5118" s="1"/>
      <c r="P5118" s="1"/>
      <c r="Q5118" s="1"/>
      <c r="R5118" s="1"/>
      <c r="S5118" s="1"/>
      <c r="T5118" s="1"/>
      <c r="U5118" s="1"/>
      <c r="V5118" s="1"/>
      <c r="W5118" s="1"/>
      <c r="X5118" s="1"/>
    </row>
    <row x14ac:dyDescent="0.25" r="5119" customHeight="1" ht="18.75">
      <c r="A5119" s="1"/>
      <c r="B5119" s="1"/>
      <c r="C5119" s="1"/>
      <c r="D5119" s="1"/>
      <c r="E5119" s="1"/>
      <c r="F5119" s="1"/>
      <c r="G5119" s="1"/>
      <c r="H5119" s="1"/>
      <c r="I5119" s="2"/>
      <c r="J5119" s="1"/>
      <c r="K5119" s="1"/>
      <c r="L5119" s="1"/>
      <c r="M5119" s="1"/>
      <c r="N5119" s="1"/>
      <c r="O5119" s="1"/>
      <c r="P5119" s="1"/>
      <c r="Q5119" s="1"/>
      <c r="R5119" s="1"/>
      <c r="S5119" s="1"/>
      <c r="T5119" s="1"/>
      <c r="U5119" s="1"/>
      <c r="V5119" s="1"/>
      <c r="W5119" s="1"/>
      <c r="X5119" s="1"/>
    </row>
    <row x14ac:dyDescent="0.25" r="5120" customHeight="1" ht="18.75">
      <c r="A5120" s="1"/>
      <c r="B5120" s="1"/>
      <c r="C5120" s="1"/>
      <c r="D5120" s="1"/>
      <c r="E5120" s="1"/>
      <c r="F5120" s="1"/>
      <c r="G5120" s="1"/>
      <c r="H5120" s="1"/>
      <c r="I5120" s="2"/>
      <c r="J5120" s="1"/>
      <c r="K5120" s="1"/>
      <c r="L5120" s="1"/>
      <c r="M5120" s="1"/>
      <c r="N5120" s="1"/>
      <c r="O5120" s="1"/>
      <c r="P5120" s="1"/>
      <c r="Q5120" s="1"/>
      <c r="R5120" s="1"/>
      <c r="S5120" s="1"/>
      <c r="T5120" s="1"/>
      <c r="U5120" s="1"/>
      <c r="V5120" s="1"/>
      <c r="W5120" s="1"/>
      <c r="X5120" s="1"/>
    </row>
    <row x14ac:dyDescent="0.25" r="5121" customHeight="1" ht="18.75">
      <c r="A5121" s="1"/>
      <c r="B5121" s="1"/>
      <c r="C5121" s="1"/>
      <c r="D5121" s="1"/>
      <c r="E5121" s="1"/>
      <c r="F5121" s="1"/>
      <c r="G5121" s="1"/>
      <c r="H5121" s="1"/>
      <c r="I5121" s="2"/>
      <c r="J5121" s="1"/>
      <c r="K5121" s="1"/>
      <c r="L5121" s="1"/>
      <c r="M5121" s="1"/>
      <c r="N5121" s="1"/>
      <c r="O5121" s="1"/>
      <c r="P5121" s="1"/>
      <c r="Q5121" s="1"/>
      <c r="R5121" s="1"/>
      <c r="S5121" s="1"/>
      <c r="T5121" s="1"/>
      <c r="U5121" s="1"/>
      <c r="V5121" s="1"/>
      <c r="W5121" s="1"/>
      <c r="X5121" s="1"/>
    </row>
    <row x14ac:dyDescent="0.25" r="5122" customHeight="1" ht="18.75">
      <c r="A5122" s="1"/>
      <c r="B5122" s="1"/>
      <c r="C5122" s="1"/>
      <c r="D5122" s="1"/>
      <c r="E5122" s="1"/>
      <c r="F5122" s="1"/>
      <c r="G5122" s="1"/>
      <c r="H5122" s="1"/>
      <c r="I5122" s="2"/>
      <c r="J5122" s="1"/>
      <c r="K5122" s="1"/>
      <c r="L5122" s="1"/>
      <c r="M5122" s="1"/>
      <c r="N5122" s="1"/>
      <c r="O5122" s="1"/>
      <c r="P5122" s="1"/>
      <c r="Q5122" s="1"/>
      <c r="R5122" s="1"/>
      <c r="S5122" s="1"/>
      <c r="T5122" s="1"/>
      <c r="U5122" s="1"/>
      <c r="V5122" s="1"/>
      <c r="W5122" s="1"/>
      <c r="X5122" s="1"/>
    </row>
    <row x14ac:dyDescent="0.25" r="5123" customHeight="1" ht="18.75">
      <c r="A5123" s="1"/>
      <c r="B5123" s="1"/>
      <c r="C5123" s="1"/>
      <c r="D5123" s="1"/>
      <c r="E5123" s="1"/>
      <c r="F5123" s="1"/>
      <c r="G5123" s="1"/>
      <c r="H5123" s="1"/>
      <c r="I5123" s="2"/>
      <c r="J5123" s="1"/>
      <c r="K5123" s="1"/>
      <c r="L5123" s="1"/>
      <c r="M5123" s="1"/>
      <c r="N5123" s="1"/>
      <c r="O5123" s="1"/>
      <c r="P5123" s="1"/>
      <c r="Q5123" s="1"/>
      <c r="R5123" s="1"/>
      <c r="S5123" s="1"/>
      <c r="T5123" s="1"/>
      <c r="U5123" s="1"/>
      <c r="V5123" s="1"/>
      <c r="W5123" s="1"/>
      <c r="X5123" s="1"/>
    </row>
    <row x14ac:dyDescent="0.25" r="5124" customHeight="1" ht="18.75">
      <c r="A5124" s="1"/>
      <c r="B5124" s="1"/>
      <c r="C5124" s="1"/>
      <c r="D5124" s="1"/>
      <c r="E5124" s="1"/>
      <c r="F5124" s="1"/>
      <c r="G5124" s="1"/>
      <c r="H5124" s="1"/>
      <c r="I5124" s="2"/>
      <c r="J5124" s="1"/>
      <c r="K5124" s="1"/>
      <c r="L5124" s="1"/>
      <c r="M5124" s="1"/>
      <c r="N5124" s="1"/>
      <c r="O5124" s="1"/>
      <c r="P5124" s="1"/>
      <c r="Q5124" s="1"/>
      <c r="R5124" s="1"/>
      <c r="S5124" s="1"/>
      <c r="T5124" s="1"/>
      <c r="U5124" s="1"/>
      <c r="V5124" s="1"/>
      <c r="W5124" s="1"/>
      <c r="X5124" s="1"/>
    </row>
    <row x14ac:dyDescent="0.25" r="5125" customHeight="1" ht="18.75">
      <c r="A5125" s="1"/>
      <c r="B5125" s="1"/>
      <c r="C5125" s="1"/>
      <c r="D5125" s="1"/>
      <c r="E5125" s="1"/>
      <c r="F5125" s="1"/>
      <c r="G5125" s="1"/>
      <c r="H5125" s="1"/>
      <c r="I5125" s="2"/>
      <c r="J5125" s="1"/>
      <c r="K5125" s="1"/>
      <c r="L5125" s="1"/>
      <c r="M5125" s="1"/>
      <c r="N5125" s="1"/>
      <c r="O5125" s="1"/>
      <c r="P5125" s="1"/>
      <c r="Q5125" s="1"/>
      <c r="R5125" s="1"/>
      <c r="S5125" s="1"/>
      <c r="T5125" s="1"/>
      <c r="U5125" s="1"/>
      <c r="V5125" s="1"/>
      <c r="W5125" s="1"/>
      <c r="X5125" s="1"/>
    </row>
    <row x14ac:dyDescent="0.25" r="5126" customHeight="1" ht="18.75">
      <c r="A5126" s="1"/>
      <c r="B5126" s="1"/>
      <c r="C5126" s="1"/>
      <c r="D5126" s="1"/>
      <c r="E5126" s="1"/>
      <c r="F5126" s="1"/>
      <c r="G5126" s="1"/>
      <c r="H5126" s="1"/>
      <c r="I5126" s="2"/>
      <c r="J5126" s="1"/>
      <c r="K5126" s="1"/>
      <c r="L5126" s="1"/>
      <c r="M5126" s="1"/>
      <c r="N5126" s="1"/>
      <c r="O5126" s="1"/>
      <c r="P5126" s="1"/>
      <c r="Q5126" s="1"/>
      <c r="R5126" s="1"/>
      <c r="S5126" s="1"/>
      <c r="T5126" s="1"/>
      <c r="U5126" s="1"/>
      <c r="V5126" s="1"/>
      <c r="W5126" s="1"/>
      <c r="X5126" s="1"/>
    </row>
    <row x14ac:dyDescent="0.25" r="5127" customHeight="1" ht="18.75">
      <c r="A5127" s="1"/>
      <c r="B5127" s="1"/>
      <c r="C5127" s="1"/>
      <c r="D5127" s="1"/>
      <c r="E5127" s="1"/>
      <c r="F5127" s="1"/>
      <c r="G5127" s="1"/>
      <c r="H5127" s="1"/>
      <c r="I5127" s="2"/>
      <c r="J5127" s="1"/>
      <c r="K5127" s="1"/>
      <c r="L5127" s="1"/>
      <c r="M5127" s="1"/>
      <c r="N5127" s="1"/>
      <c r="O5127" s="1"/>
      <c r="P5127" s="1"/>
      <c r="Q5127" s="1"/>
      <c r="R5127" s="1"/>
      <c r="S5127" s="1"/>
      <c r="T5127" s="1"/>
      <c r="U5127" s="1"/>
      <c r="V5127" s="1"/>
      <c r="W5127" s="1"/>
      <c r="X5127" s="1"/>
    </row>
    <row x14ac:dyDescent="0.25" r="5128" customHeight="1" ht="18.75">
      <c r="A5128" s="1"/>
      <c r="B5128" s="1"/>
      <c r="C5128" s="1"/>
      <c r="D5128" s="1"/>
      <c r="E5128" s="1"/>
      <c r="F5128" s="1"/>
      <c r="G5128" s="1"/>
      <c r="H5128" s="1"/>
      <c r="I5128" s="2"/>
      <c r="J5128" s="1"/>
      <c r="K5128" s="1"/>
      <c r="L5128" s="1"/>
      <c r="M5128" s="1"/>
      <c r="N5128" s="1"/>
      <c r="O5128" s="1"/>
      <c r="P5128" s="1"/>
      <c r="Q5128" s="1"/>
      <c r="R5128" s="1"/>
      <c r="S5128" s="1"/>
      <c r="T5128" s="1"/>
      <c r="U5128" s="1"/>
      <c r="V5128" s="1"/>
      <c r="W5128" s="1"/>
      <c r="X5128" s="1"/>
    </row>
    <row x14ac:dyDescent="0.25" r="5129" customHeight="1" ht="18.75">
      <c r="A5129" s="1"/>
      <c r="B5129" s="1"/>
      <c r="C5129" s="1"/>
      <c r="D5129" s="1"/>
      <c r="E5129" s="1"/>
      <c r="F5129" s="1"/>
      <c r="G5129" s="1"/>
      <c r="H5129" s="1"/>
      <c r="I5129" s="2"/>
      <c r="J5129" s="1"/>
      <c r="K5129" s="1"/>
      <c r="L5129" s="1"/>
      <c r="M5129" s="1"/>
      <c r="N5129" s="1"/>
      <c r="O5129" s="1"/>
      <c r="P5129" s="1"/>
      <c r="Q5129" s="1"/>
      <c r="R5129" s="1"/>
      <c r="S5129" s="1"/>
      <c r="T5129" s="1"/>
      <c r="U5129" s="1"/>
      <c r="V5129" s="1"/>
      <c r="W5129" s="1"/>
      <c r="X5129" s="1"/>
    </row>
    <row x14ac:dyDescent="0.25" r="5130" customHeight="1" ht="18.75">
      <c r="A5130" s="1"/>
      <c r="B5130" s="1"/>
      <c r="C5130" s="1"/>
      <c r="D5130" s="1"/>
      <c r="E5130" s="1"/>
      <c r="F5130" s="1"/>
      <c r="G5130" s="1"/>
      <c r="H5130" s="1"/>
      <c r="I5130" s="2"/>
      <c r="J5130" s="1"/>
      <c r="K5130" s="1"/>
      <c r="L5130" s="1"/>
      <c r="M5130" s="1"/>
      <c r="N5130" s="1"/>
      <c r="O5130" s="1"/>
      <c r="P5130" s="1"/>
      <c r="Q5130" s="1"/>
      <c r="R5130" s="1"/>
      <c r="S5130" s="1"/>
      <c r="T5130" s="1"/>
      <c r="U5130" s="1"/>
      <c r="V5130" s="1"/>
      <c r="W5130" s="1"/>
      <c r="X5130" s="1"/>
    </row>
    <row x14ac:dyDescent="0.25" r="5131" customHeight="1" ht="18.75">
      <c r="A5131" s="1"/>
      <c r="B5131" s="1"/>
      <c r="C5131" s="1"/>
      <c r="D5131" s="1"/>
      <c r="E5131" s="1"/>
      <c r="F5131" s="1"/>
      <c r="G5131" s="1"/>
      <c r="H5131" s="1"/>
      <c r="I5131" s="2"/>
      <c r="J5131" s="1"/>
      <c r="K5131" s="1"/>
      <c r="L5131" s="1"/>
      <c r="M5131" s="1"/>
      <c r="N5131" s="1"/>
      <c r="O5131" s="1"/>
      <c r="P5131" s="1"/>
      <c r="Q5131" s="1"/>
      <c r="R5131" s="1"/>
      <c r="S5131" s="1"/>
      <c r="T5131" s="1"/>
      <c r="U5131" s="1"/>
      <c r="V5131" s="1"/>
      <c r="W5131" s="1"/>
      <c r="X5131" s="1"/>
    </row>
    <row x14ac:dyDescent="0.25" r="5132" customHeight="1" ht="18.75">
      <c r="A5132" s="1"/>
      <c r="B5132" s="1"/>
      <c r="C5132" s="1"/>
      <c r="D5132" s="1"/>
      <c r="E5132" s="1"/>
      <c r="F5132" s="1"/>
      <c r="G5132" s="1"/>
      <c r="H5132" s="1"/>
      <c r="I5132" s="2"/>
      <c r="J5132" s="1"/>
      <c r="K5132" s="1"/>
      <c r="L5132" s="1"/>
      <c r="M5132" s="1"/>
      <c r="N5132" s="1"/>
      <c r="O5132" s="1"/>
      <c r="P5132" s="1"/>
      <c r="Q5132" s="1"/>
      <c r="R5132" s="1"/>
      <c r="S5132" s="1"/>
      <c r="T5132" s="1"/>
      <c r="U5132" s="1"/>
      <c r="V5132" s="1"/>
      <c r="W5132" s="1"/>
      <c r="X5132" s="1"/>
    </row>
    <row x14ac:dyDescent="0.25" r="5133" customHeight="1" ht="18.75">
      <c r="A5133" s="1"/>
      <c r="B5133" s="1"/>
      <c r="C5133" s="1"/>
      <c r="D5133" s="1"/>
      <c r="E5133" s="1"/>
      <c r="F5133" s="1"/>
      <c r="G5133" s="1"/>
      <c r="H5133" s="1"/>
      <c r="I5133" s="2"/>
      <c r="J5133" s="1"/>
      <c r="K5133" s="1"/>
      <c r="L5133" s="1"/>
      <c r="M5133" s="1"/>
      <c r="N5133" s="1"/>
      <c r="O5133" s="1"/>
      <c r="P5133" s="1"/>
      <c r="Q5133" s="1"/>
      <c r="R5133" s="1"/>
      <c r="S5133" s="1"/>
      <c r="T5133" s="1"/>
      <c r="U5133" s="1"/>
      <c r="V5133" s="1"/>
      <c r="W5133" s="1"/>
      <c r="X5133" s="1"/>
    </row>
    <row x14ac:dyDescent="0.25" r="5134" customHeight="1" ht="18.75">
      <c r="A5134" s="1"/>
      <c r="B5134" s="1"/>
      <c r="C5134" s="1"/>
      <c r="D5134" s="1"/>
      <c r="E5134" s="1"/>
      <c r="F5134" s="1"/>
      <c r="G5134" s="1"/>
      <c r="H5134" s="1"/>
      <c r="I5134" s="2"/>
      <c r="J5134" s="1"/>
      <c r="K5134" s="1"/>
      <c r="L5134" s="1"/>
      <c r="M5134" s="1"/>
      <c r="N5134" s="1"/>
      <c r="O5134" s="1"/>
      <c r="P5134" s="1"/>
      <c r="Q5134" s="1"/>
      <c r="R5134" s="1"/>
      <c r="S5134" s="1"/>
      <c r="T5134" s="1"/>
      <c r="U5134" s="1"/>
      <c r="V5134" s="1"/>
      <c r="W5134" s="1"/>
      <c r="X5134" s="1"/>
    </row>
    <row x14ac:dyDescent="0.25" r="5135" customHeight="1" ht="18.75">
      <c r="A5135" s="1"/>
      <c r="B5135" s="1"/>
      <c r="C5135" s="1"/>
      <c r="D5135" s="1"/>
      <c r="E5135" s="1"/>
      <c r="F5135" s="1"/>
      <c r="G5135" s="1"/>
      <c r="H5135" s="1"/>
      <c r="I5135" s="2"/>
      <c r="J5135" s="1"/>
      <c r="K5135" s="1"/>
      <c r="L5135" s="1"/>
      <c r="M5135" s="1"/>
      <c r="N5135" s="1"/>
      <c r="O5135" s="1"/>
      <c r="P5135" s="1"/>
      <c r="Q5135" s="1"/>
      <c r="R5135" s="1"/>
      <c r="S5135" s="1"/>
      <c r="T5135" s="1"/>
      <c r="U5135" s="1"/>
      <c r="V5135" s="1"/>
      <c r="W5135" s="1"/>
      <c r="X5135" s="1"/>
    </row>
    <row x14ac:dyDescent="0.25" r="5136" customHeight="1" ht="18.75">
      <c r="A5136" s="1"/>
      <c r="B5136" s="1"/>
      <c r="C5136" s="1"/>
      <c r="D5136" s="1"/>
      <c r="E5136" s="1"/>
      <c r="F5136" s="1"/>
      <c r="G5136" s="1"/>
      <c r="H5136" s="1"/>
      <c r="I5136" s="2"/>
      <c r="J5136" s="1"/>
      <c r="K5136" s="1"/>
      <c r="L5136" s="1"/>
      <c r="M5136" s="1"/>
      <c r="N5136" s="1"/>
      <c r="O5136" s="1"/>
      <c r="P5136" s="1"/>
      <c r="Q5136" s="1"/>
      <c r="R5136" s="1"/>
      <c r="S5136" s="1"/>
      <c r="T5136" s="1"/>
      <c r="U5136" s="1"/>
      <c r="V5136" s="1"/>
      <c r="W5136" s="1"/>
      <c r="X5136" s="1"/>
    </row>
    <row x14ac:dyDescent="0.25" r="5137" customHeight="1" ht="18.75">
      <c r="A5137" s="1"/>
      <c r="B5137" s="1"/>
      <c r="C5137" s="1"/>
      <c r="D5137" s="1"/>
      <c r="E5137" s="1"/>
      <c r="F5137" s="1"/>
      <c r="G5137" s="1"/>
      <c r="H5137" s="1"/>
      <c r="I5137" s="2"/>
      <c r="J5137" s="1"/>
      <c r="K5137" s="1"/>
      <c r="L5137" s="1"/>
      <c r="M5137" s="1"/>
      <c r="N5137" s="1"/>
      <c r="O5137" s="1"/>
      <c r="P5137" s="1"/>
      <c r="Q5137" s="1"/>
      <c r="R5137" s="1"/>
      <c r="S5137" s="1"/>
      <c r="T5137" s="1"/>
      <c r="U5137" s="1"/>
      <c r="V5137" s="1"/>
      <c r="W5137" s="1"/>
      <c r="X5137" s="1"/>
    </row>
    <row x14ac:dyDescent="0.25" r="5138" customHeight="1" ht="18.75">
      <c r="A5138" s="1"/>
      <c r="B5138" s="1"/>
      <c r="C5138" s="1"/>
      <c r="D5138" s="1"/>
      <c r="E5138" s="1"/>
      <c r="F5138" s="1"/>
      <c r="G5138" s="1"/>
      <c r="H5138" s="1"/>
      <c r="I5138" s="2"/>
      <c r="J5138" s="1"/>
      <c r="K5138" s="1"/>
      <c r="L5138" s="1"/>
      <c r="M5138" s="1"/>
      <c r="N5138" s="1"/>
      <c r="O5138" s="1"/>
      <c r="P5138" s="1"/>
      <c r="Q5138" s="1"/>
      <c r="R5138" s="1"/>
      <c r="S5138" s="1"/>
      <c r="T5138" s="1"/>
      <c r="U5138" s="1"/>
      <c r="V5138" s="1"/>
      <c r="W5138" s="1"/>
      <c r="X5138" s="1"/>
    </row>
    <row x14ac:dyDescent="0.25" r="5139" customHeight="1" ht="18.75">
      <c r="A5139" s="1"/>
      <c r="B5139" s="1"/>
      <c r="C5139" s="1"/>
      <c r="D5139" s="1"/>
      <c r="E5139" s="1"/>
      <c r="F5139" s="1"/>
      <c r="G5139" s="1"/>
      <c r="H5139" s="1"/>
      <c r="I5139" s="2"/>
      <c r="J5139" s="1"/>
      <c r="K5139" s="1"/>
      <c r="L5139" s="1"/>
      <c r="M5139" s="1"/>
      <c r="N5139" s="1"/>
      <c r="O5139" s="1"/>
      <c r="P5139" s="1"/>
      <c r="Q5139" s="1"/>
      <c r="R5139" s="1"/>
      <c r="S5139" s="1"/>
      <c r="T5139" s="1"/>
      <c r="U5139" s="1"/>
      <c r="V5139" s="1"/>
      <c r="W5139" s="1"/>
      <c r="X5139" s="1"/>
    </row>
    <row x14ac:dyDescent="0.25" r="5140" customHeight="1" ht="18.75">
      <c r="A5140" s="1"/>
      <c r="B5140" s="1"/>
      <c r="C5140" s="1"/>
      <c r="D5140" s="1"/>
      <c r="E5140" s="1"/>
      <c r="F5140" s="1"/>
      <c r="G5140" s="1"/>
      <c r="H5140" s="1"/>
      <c r="I5140" s="2"/>
      <c r="J5140" s="1"/>
      <c r="K5140" s="1"/>
      <c r="L5140" s="1"/>
      <c r="M5140" s="1"/>
      <c r="N5140" s="1"/>
      <c r="O5140" s="1"/>
      <c r="P5140" s="1"/>
      <c r="Q5140" s="1"/>
      <c r="R5140" s="1"/>
      <c r="S5140" s="1"/>
      <c r="T5140" s="1"/>
      <c r="U5140" s="1"/>
      <c r="V5140" s="1"/>
      <c r="W5140" s="1"/>
      <c r="X5140" s="1"/>
    </row>
    <row x14ac:dyDescent="0.25" r="5141" customHeight="1" ht="18.75">
      <c r="A5141" s="1"/>
      <c r="B5141" s="1"/>
      <c r="C5141" s="1"/>
      <c r="D5141" s="1"/>
      <c r="E5141" s="1"/>
      <c r="F5141" s="1"/>
      <c r="G5141" s="1"/>
      <c r="H5141" s="1"/>
      <c r="I5141" s="2"/>
      <c r="J5141" s="1"/>
      <c r="K5141" s="1"/>
      <c r="L5141" s="1"/>
      <c r="M5141" s="1"/>
      <c r="N5141" s="1"/>
      <c r="O5141" s="1"/>
      <c r="P5141" s="1"/>
      <c r="Q5141" s="1"/>
      <c r="R5141" s="1"/>
      <c r="S5141" s="1"/>
      <c r="T5141" s="1"/>
      <c r="U5141" s="1"/>
      <c r="V5141" s="1"/>
      <c r="W5141" s="1"/>
      <c r="X5141" s="1"/>
    </row>
    <row x14ac:dyDescent="0.25" r="5142" customHeight="1" ht="18.75">
      <c r="A5142" s="1"/>
      <c r="B5142" s="1"/>
      <c r="C5142" s="1"/>
      <c r="D5142" s="1"/>
      <c r="E5142" s="1"/>
      <c r="F5142" s="1"/>
      <c r="G5142" s="1"/>
      <c r="H5142" s="1"/>
      <c r="I5142" s="2"/>
      <c r="J5142" s="1"/>
      <c r="K5142" s="1"/>
      <c r="L5142" s="1"/>
      <c r="M5142" s="1"/>
      <c r="N5142" s="1"/>
      <c r="O5142" s="1"/>
      <c r="P5142" s="1"/>
      <c r="Q5142" s="1"/>
      <c r="R5142" s="1"/>
      <c r="S5142" s="1"/>
      <c r="T5142" s="1"/>
      <c r="U5142" s="1"/>
      <c r="V5142" s="1"/>
      <c r="W5142" s="1"/>
      <c r="X5142" s="1"/>
    </row>
    <row x14ac:dyDescent="0.25" r="5143" customHeight="1" ht="18.75">
      <c r="A5143" s="1"/>
      <c r="B5143" s="1"/>
      <c r="C5143" s="1"/>
      <c r="D5143" s="1"/>
      <c r="E5143" s="1"/>
      <c r="F5143" s="1"/>
      <c r="G5143" s="1"/>
      <c r="H5143" s="1"/>
      <c r="I5143" s="2"/>
      <c r="J5143" s="1"/>
      <c r="K5143" s="1"/>
      <c r="L5143" s="1"/>
      <c r="M5143" s="1"/>
      <c r="N5143" s="1"/>
      <c r="O5143" s="1"/>
      <c r="P5143" s="1"/>
      <c r="Q5143" s="1"/>
      <c r="R5143" s="1"/>
      <c r="S5143" s="1"/>
      <c r="T5143" s="1"/>
      <c r="U5143" s="1"/>
      <c r="V5143" s="1"/>
      <c r="W5143" s="1"/>
      <c r="X5143" s="1"/>
    </row>
    <row x14ac:dyDescent="0.25" r="5144" customHeight="1" ht="18.75">
      <c r="A5144" s="1"/>
      <c r="B5144" s="1"/>
      <c r="C5144" s="1"/>
      <c r="D5144" s="1"/>
      <c r="E5144" s="1"/>
      <c r="F5144" s="1"/>
      <c r="G5144" s="1"/>
      <c r="H5144" s="1"/>
      <c r="I5144" s="2"/>
      <c r="J5144" s="1"/>
      <c r="K5144" s="1"/>
      <c r="L5144" s="1"/>
      <c r="M5144" s="1"/>
      <c r="N5144" s="1"/>
      <c r="O5144" s="1"/>
      <c r="P5144" s="1"/>
      <c r="Q5144" s="1"/>
      <c r="R5144" s="1"/>
      <c r="S5144" s="1"/>
      <c r="T5144" s="1"/>
      <c r="U5144" s="1"/>
      <c r="V5144" s="1"/>
      <c r="W5144" s="1"/>
      <c r="X5144" s="1"/>
    </row>
    <row x14ac:dyDescent="0.25" r="5145" customHeight="1" ht="18.75">
      <c r="A5145" s="1"/>
      <c r="B5145" s="1"/>
      <c r="C5145" s="1"/>
      <c r="D5145" s="1"/>
      <c r="E5145" s="1"/>
      <c r="F5145" s="1"/>
      <c r="G5145" s="1"/>
      <c r="H5145" s="1"/>
      <c r="I5145" s="2"/>
      <c r="J5145" s="1"/>
      <c r="K5145" s="1"/>
      <c r="L5145" s="1"/>
      <c r="M5145" s="1"/>
      <c r="N5145" s="1"/>
      <c r="O5145" s="1"/>
      <c r="P5145" s="1"/>
      <c r="Q5145" s="1"/>
      <c r="R5145" s="1"/>
      <c r="S5145" s="1"/>
      <c r="T5145" s="1"/>
      <c r="U5145" s="1"/>
      <c r="V5145" s="1"/>
      <c r="W5145" s="1"/>
      <c r="X5145" s="1"/>
    </row>
    <row x14ac:dyDescent="0.25" r="5146" customHeight="1" ht="18.75">
      <c r="A5146" s="1"/>
      <c r="B5146" s="1"/>
      <c r="C5146" s="1"/>
      <c r="D5146" s="1"/>
      <c r="E5146" s="1"/>
      <c r="F5146" s="1"/>
      <c r="G5146" s="1"/>
      <c r="H5146" s="1"/>
      <c r="I5146" s="2"/>
      <c r="J5146" s="1"/>
      <c r="K5146" s="1"/>
      <c r="L5146" s="1"/>
      <c r="M5146" s="1"/>
      <c r="N5146" s="1"/>
      <c r="O5146" s="1"/>
      <c r="P5146" s="1"/>
      <c r="Q5146" s="1"/>
      <c r="R5146" s="1"/>
      <c r="S5146" s="1"/>
      <c r="T5146" s="1"/>
      <c r="U5146" s="1"/>
      <c r="V5146" s="1"/>
      <c r="W5146" s="1"/>
      <c r="X5146" s="1"/>
    </row>
    <row x14ac:dyDescent="0.25" r="5147" customHeight="1" ht="18.75">
      <c r="A5147" s="1"/>
      <c r="B5147" s="1"/>
      <c r="C5147" s="1"/>
      <c r="D5147" s="1"/>
      <c r="E5147" s="1"/>
      <c r="F5147" s="1"/>
      <c r="G5147" s="1"/>
      <c r="H5147" s="1"/>
      <c r="I5147" s="2"/>
      <c r="J5147" s="1"/>
      <c r="K5147" s="1"/>
      <c r="L5147" s="1"/>
      <c r="M5147" s="1"/>
      <c r="N5147" s="1"/>
      <c r="O5147" s="1"/>
      <c r="P5147" s="1"/>
      <c r="Q5147" s="1"/>
      <c r="R5147" s="1"/>
      <c r="S5147" s="1"/>
      <c r="T5147" s="1"/>
      <c r="U5147" s="1"/>
      <c r="V5147" s="1"/>
      <c r="W5147" s="1"/>
      <c r="X5147" s="1"/>
    </row>
    <row x14ac:dyDescent="0.25" r="5148" customHeight="1" ht="18.75">
      <c r="A5148" s="1"/>
      <c r="B5148" s="1"/>
      <c r="C5148" s="1"/>
      <c r="D5148" s="1"/>
      <c r="E5148" s="1"/>
      <c r="F5148" s="1"/>
      <c r="G5148" s="1"/>
      <c r="H5148" s="1"/>
      <c r="I5148" s="2"/>
      <c r="J5148" s="1"/>
      <c r="K5148" s="1"/>
      <c r="L5148" s="1"/>
      <c r="M5148" s="1"/>
      <c r="N5148" s="1"/>
      <c r="O5148" s="1"/>
      <c r="P5148" s="1"/>
      <c r="Q5148" s="1"/>
      <c r="R5148" s="1"/>
      <c r="S5148" s="1"/>
      <c r="T5148" s="1"/>
      <c r="U5148" s="1"/>
      <c r="V5148" s="1"/>
      <c r="W5148" s="1"/>
      <c r="X5148" s="1"/>
    </row>
    <row x14ac:dyDescent="0.25" r="5149" customHeight="1" ht="18.75">
      <c r="A5149" s="1"/>
      <c r="B5149" s="1"/>
      <c r="C5149" s="1"/>
      <c r="D5149" s="1"/>
      <c r="E5149" s="1"/>
      <c r="F5149" s="1"/>
      <c r="G5149" s="1"/>
      <c r="H5149" s="1"/>
      <c r="I5149" s="2"/>
      <c r="J5149" s="1"/>
      <c r="K5149" s="1"/>
      <c r="L5149" s="1"/>
      <c r="M5149" s="1"/>
      <c r="N5149" s="1"/>
      <c r="O5149" s="1"/>
      <c r="P5149" s="1"/>
      <c r="Q5149" s="1"/>
      <c r="R5149" s="1"/>
      <c r="S5149" s="1"/>
      <c r="T5149" s="1"/>
      <c r="U5149" s="1"/>
      <c r="V5149" s="1"/>
      <c r="W5149" s="1"/>
      <c r="X5149" s="1"/>
    </row>
    <row x14ac:dyDescent="0.25" r="5150" customHeight="1" ht="18.75">
      <c r="A5150" s="1"/>
      <c r="B5150" s="1"/>
      <c r="C5150" s="1"/>
      <c r="D5150" s="1"/>
      <c r="E5150" s="1"/>
      <c r="F5150" s="1"/>
      <c r="G5150" s="1"/>
      <c r="H5150" s="1"/>
      <c r="I5150" s="2"/>
      <c r="J5150" s="1"/>
      <c r="K5150" s="1"/>
      <c r="L5150" s="1"/>
      <c r="M5150" s="1"/>
      <c r="N5150" s="1"/>
      <c r="O5150" s="1"/>
      <c r="P5150" s="1"/>
      <c r="Q5150" s="1"/>
      <c r="R5150" s="1"/>
      <c r="S5150" s="1"/>
      <c r="T5150" s="1"/>
      <c r="U5150" s="1"/>
      <c r="V5150" s="1"/>
      <c r="W5150" s="1"/>
      <c r="X5150" s="1"/>
    </row>
    <row x14ac:dyDescent="0.25" r="5151" customHeight="1" ht="18.75">
      <c r="A5151" s="1"/>
      <c r="B5151" s="1"/>
      <c r="C5151" s="1"/>
      <c r="D5151" s="1"/>
      <c r="E5151" s="1"/>
      <c r="F5151" s="1"/>
      <c r="G5151" s="1"/>
      <c r="H5151" s="1"/>
      <c r="I5151" s="2"/>
      <c r="J5151" s="1"/>
      <c r="K5151" s="1"/>
      <c r="L5151" s="1"/>
      <c r="M5151" s="1"/>
      <c r="N5151" s="1"/>
      <c r="O5151" s="1"/>
      <c r="P5151" s="1"/>
      <c r="Q5151" s="1"/>
      <c r="R5151" s="1"/>
      <c r="S5151" s="1"/>
      <c r="T5151" s="1"/>
      <c r="U5151" s="1"/>
      <c r="V5151" s="1"/>
      <c r="W5151" s="1"/>
      <c r="X5151" s="1"/>
    </row>
    <row x14ac:dyDescent="0.25" r="5152" customHeight="1" ht="18.75">
      <c r="A5152" s="1"/>
      <c r="B5152" s="1"/>
      <c r="C5152" s="1"/>
      <c r="D5152" s="1"/>
      <c r="E5152" s="1"/>
      <c r="F5152" s="1"/>
      <c r="G5152" s="1"/>
      <c r="H5152" s="1"/>
      <c r="I5152" s="2"/>
      <c r="J5152" s="1"/>
      <c r="K5152" s="1"/>
      <c r="L5152" s="1"/>
      <c r="M5152" s="1"/>
      <c r="N5152" s="1"/>
      <c r="O5152" s="1"/>
      <c r="P5152" s="1"/>
      <c r="Q5152" s="1"/>
      <c r="R5152" s="1"/>
      <c r="S5152" s="1"/>
      <c r="T5152" s="1"/>
      <c r="U5152" s="1"/>
      <c r="V5152" s="1"/>
      <c r="W5152" s="1"/>
      <c r="X5152" s="1"/>
    </row>
    <row x14ac:dyDescent="0.25" r="5153" customHeight="1" ht="18.75">
      <c r="A5153" s="1"/>
      <c r="B5153" s="1"/>
      <c r="C5153" s="1"/>
      <c r="D5153" s="1"/>
      <c r="E5153" s="1"/>
      <c r="F5153" s="1"/>
      <c r="G5153" s="1"/>
      <c r="H5153" s="1"/>
      <c r="I5153" s="2"/>
      <c r="J5153" s="1"/>
      <c r="K5153" s="1"/>
      <c r="L5153" s="1"/>
      <c r="M5153" s="1"/>
      <c r="N5153" s="1"/>
      <c r="O5153" s="1"/>
      <c r="P5153" s="1"/>
      <c r="Q5153" s="1"/>
      <c r="R5153" s="1"/>
      <c r="S5153" s="1"/>
      <c r="T5153" s="1"/>
      <c r="U5153" s="1"/>
      <c r="V5153" s="1"/>
      <c r="W5153" s="1"/>
      <c r="X5153" s="1"/>
    </row>
    <row x14ac:dyDescent="0.25" r="5154" customHeight="1" ht="18.75">
      <c r="A5154" s="1"/>
      <c r="B5154" s="1"/>
      <c r="C5154" s="1"/>
      <c r="D5154" s="1"/>
      <c r="E5154" s="1"/>
      <c r="F5154" s="1"/>
      <c r="G5154" s="1"/>
      <c r="H5154" s="1"/>
      <c r="I5154" s="2"/>
      <c r="J5154" s="1"/>
      <c r="K5154" s="1"/>
      <c r="L5154" s="1"/>
      <c r="M5154" s="1"/>
      <c r="N5154" s="1"/>
      <c r="O5154" s="1"/>
      <c r="P5154" s="1"/>
      <c r="Q5154" s="1"/>
      <c r="R5154" s="1"/>
      <c r="S5154" s="1"/>
      <c r="T5154" s="1"/>
      <c r="U5154" s="1"/>
      <c r="V5154" s="1"/>
      <c r="W5154" s="1"/>
      <c r="X5154" s="1"/>
    </row>
    <row x14ac:dyDescent="0.25" r="5155" customHeight="1" ht="18.75">
      <c r="A5155" s="1"/>
      <c r="B5155" s="1"/>
      <c r="C5155" s="1"/>
      <c r="D5155" s="1"/>
      <c r="E5155" s="1"/>
      <c r="F5155" s="1"/>
      <c r="G5155" s="1"/>
      <c r="H5155" s="1"/>
      <c r="I5155" s="2"/>
      <c r="J5155" s="1"/>
      <c r="K5155" s="1"/>
      <c r="L5155" s="1"/>
      <c r="M5155" s="1"/>
      <c r="N5155" s="1"/>
      <c r="O5155" s="1"/>
      <c r="P5155" s="1"/>
      <c r="Q5155" s="1"/>
      <c r="R5155" s="1"/>
      <c r="S5155" s="1"/>
      <c r="T5155" s="1"/>
      <c r="U5155" s="1"/>
      <c r="V5155" s="1"/>
      <c r="W5155" s="1"/>
      <c r="X5155" s="1"/>
    </row>
    <row x14ac:dyDescent="0.25" r="5156" customHeight="1" ht="18.75">
      <c r="A5156" s="1"/>
      <c r="B5156" s="1"/>
      <c r="C5156" s="1"/>
      <c r="D5156" s="1"/>
      <c r="E5156" s="1"/>
      <c r="F5156" s="1"/>
      <c r="G5156" s="1"/>
      <c r="H5156" s="1"/>
      <c r="I5156" s="2"/>
      <c r="J5156" s="1"/>
      <c r="K5156" s="1"/>
      <c r="L5156" s="1"/>
      <c r="M5156" s="1"/>
      <c r="N5156" s="1"/>
      <c r="O5156" s="1"/>
      <c r="P5156" s="1"/>
      <c r="Q5156" s="1"/>
      <c r="R5156" s="1"/>
      <c r="S5156" s="1"/>
      <c r="T5156" s="1"/>
      <c r="U5156" s="1"/>
      <c r="V5156" s="1"/>
      <c r="W5156" s="1"/>
      <c r="X5156" s="1"/>
    </row>
    <row x14ac:dyDescent="0.25" r="5157" customHeight="1" ht="18.75">
      <c r="A5157" s="1"/>
      <c r="B5157" s="1"/>
      <c r="C5157" s="1"/>
      <c r="D5157" s="1"/>
      <c r="E5157" s="1"/>
      <c r="F5157" s="1"/>
      <c r="G5157" s="1"/>
      <c r="H5157" s="1"/>
      <c r="I5157" s="2"/>
      <c r="J5157" s="1"/>
      <c r="K5157" s="1"/>
      <c r="L5157" s="1"/>
      <c r="M5157" s="1"/>
      <c r="N5157" s="1"/>
      <c r="O5157" s="1"/>
      <c r="P5157" s="1"/>
      <c r="Q5157" s="1"/>
      <c r="R5157" s="1"/>
      <c r="S5157" s="1"/>
      <c r="T5157" s="1"/>
      <c r="U5157" s="1"/>
      <c r="V5157" s="1"/>
      <c r="W5157" s="1"/>
      <c r="X5157" s="1"/>
    </row>
    <row x14ac:dyDescent="0.25" r="5158" customHeight="1" ht="18.75">
      <c r="A5158" s="1"/>
      <c r="B5158" s="1"/>
      <c r="C5158" s="1"/>
      <c r="D5158" s="1"/>
      <c r="E5158" s="1"/>
      <c r="F5158" s="1"/>
      <c r="G5158" s="1"/>
      <c r="H5158" s="1"/>
      <c r="I5158" s="2"/>
      <c r="J5158" s="1"/>
      <c r="K5158" s="1"/>
      <c r="L5158" s="1"/>
      <c r="M5158" s="1"/>
      <c r="N5158" s="1"/>
      <c r="O5158" s="1"/>
      <c r="P5158" s="1"/>
      <c r="Q5158" s="1"/>
      <c r="R5158" s="1"/>
      <c r="S5158" s="1"/>
      <c r="T5158" s="1"/>
      <c r="U5158" s="1"/>
      <c r="V5158" s="1"/>
      <c r="W5158" s="1"/>
      <c r="X5158" s="1"/>
    </row>
    <row x14ac:dyDescent="0.25" r="5159" customHeight="1" ht="18.75">
      <c r="A5159" s="1"/>
      <c r="B5159" s="1"/>
      <c r="C5159" s="1"/>
      <c r="D5159" s="1"/>
      <c r="E5159" s="1"/>
      <c r="F5159" s="1"/>
      <c r="G5159" s="1"/>
      <c r="H5159" s="1"/>
      <c r="I5159" s="2"/>
      <c r="J5159" s="1"/>
      <c r="K5159" s="1"/>
      <c r="L5159" s="1"/>
      <c r="M5159" s="1"/>
      <c r="N5159" s="1"/>
      <c r="O5159" s="1"/>
      <c r="P5159" s="1"/>
      <c r="Q5159" s="1"/>
      <c r="R5159" s="1"/>
      <c r="S5159" s="1"/>
      <c r="T5159" s="1"/>
      <c r="U5159" s="1"/>
      <c r="V5159" s="1"/>
      <c r="W5159" s="1"/>
      <c r="X5159" s="1"/>
    </row>
    <row x14ac:dyDescent="0.25" r="5160" customHeight="1" ht="18.75">
      <c r="A5160" s="1"/>
      <c r="B5160" s="1"/>
      <c r="C5160" s="1"/>
      <c r="D5160" s="1"/>
      <c r="E5160" s="1"/>
      <c r="F5160" s="1"/>
      <c r="G5160" s="1"/>
      <c r="H5160" s="1"/>
      <c r="I5160" s="2"/>
      <c r="J5160" s="1"/>
      <c r="K5160" s="1"/>
      <c r="L5160" s="1"/>
      <c r="M5160" s="1"/>
      <c r="N5160" s="1"/>
      <c r="O5160" s="1"/>
      <c r="P5160" s="1"/>
      <c r="Q5160" s="1"/>
      <c r="R5160" s="1"/>
      <c r="S5160" s="1"/>
      <c r="T5160" s="1"/>
      <c r="U5160" s="1"/>
      <c r="V5160" s="1"/>
      <c r="W5160" s="1"/>
      <c r="X5160" s="1"/>
    </row>
    <row x14ac:dyDescent="0.25" r="5161" customHeight="1" ht="18.75">
      <c r="A5161" s="1"/>
      <c r="B5161" s="1"/>
      <c r="C5161" s="1"/>
      <c r="D5161" s="1"/>
      <c r="E5161" s="1"/>
      <c r="F5161" s="1"/>
      <c r="G5161" s="1"/>
      <c r="H5161" s="1"/>
      <c r="I5161" s="2"/>
      <c r="J5161" s="1"/>
      <c r="K5161" s="1"/>
      <c r="L5161" s="1"/>
      <c r="M5161" s="1"/>
      <c r="N5161" s="1"/>
      <c r="O5161" s="1"/>
      <c r="P5161" s="1"/>
      <c r="Q5161" s="1"/>
      <c r="R5161" s="1"/>
      <c r="S5161" s="1"/>
      <c r="T5161" s="1"/>
      <c r="U5161" s="1"/>
      <c r="V5161" s="1"/>
      <c r="W5161" s="1"/>
      <c r="X5161" s="1"/>
    </row>
    <row x14ac:dyDescent="0.25" r="5162" customHeight="1" ht="18.75">
      <c r="A5162" s="1"/>
      <c r="B5162" s="1"/>
      <c r="C5162" s="1"/>
      <c r="D5162" s="1"/>
      <c r="E5162" s="1"/>
      <c r="F5162" s="1"/>
      <c r="G5162" s="1"/>
      <c r="H5162" s="1"/>
      <c r="I5162" s="2"/>
      <c r="J5162" s="1"/>
      <c r="K5162" s="1"/>
      <c r="L5162" s="1"/>
      <c r="M5162" s="1"/>
      <c r="N5162" s="1"/>
      <c r="O5162" s="1"/>
      <c r="P5162" s="1"/>
      <c r="Q5162" s="1"/>
      <c r="R5162" s="1"/>
      <c r="S5162" s="1"/>
      <c r="T5162" s="1"/>
      <c r="U5162" s="1"/>
      <c r="V5162" s="1"/>
      <c r="W5162" s="1"/>
      <c r="X5162" s="1"/>
    </row>
    <row x14ac:dyDescent="0.25" r="5163" customHeight="1" ht="18.75">
      <c r="A5163" s="1"/>
      <c r="B5163" s="1"/>
      <c r="C5163" s="1"/>
      <c r="D5163" s="1"/>
      <c r="E5163" s="1"/>
      <c r="F5163" s="1"/>
      <c r="G5163" s="1"/>
      <c r="H5163" s="1"/>
      <c r="I5163" s="2"/>
      <c r="J5163" s="1"/>
      <c r="K5163" s="1"/>
      <c r="L5163" s="1"/>
      <c r="M5163" s="1"/>
      <c r="N5163" s="1"/>
      <c r="O5163" s="1"/>
      <c r="P5163" s="1"/>
      <c r="Q5163" s="1"/>
      <c r="R5163" s="1"/>
      <c r="S5163" s="1"/>
      <c r="T5163" s="1"/>
      <c r="U5163" s="1"/>
      <c r="V5163" s="1"/>
      <c r="W5163" s="1"/>
      <c r="X5163" s="1"/>
    </row>
    <row x14ac:dyDescent="0.25" r="5164" customHeight="1" ht="18.75">
      <c r="A5164" s="1"/>
      <c r="B5164" s="1"/>
      <c r="C5164" s="1"/>
      <c r="D5164" s="1"/>
      <c r="E5164" s="1"/>
      <c r="F5164" s="1"/>
      <c r="G5164" s="1"/>
      <c r="H5164" s="1"/>
      <c r="I5164" s="2"/>
      <c r="J5164" s="1"/>
      <c r="K5164" s="1"/>
      <c r="L5164" s="1"/>
      <c r="M5164" s="1"/>
      <c r="N5164" s="1"/>
      <c r="O5164" s="1"/>
      <c r="P5164" s="1"/>
      <c r="Q5164" s="1"/>
      <c r="R5164" s="1"/>
      <c r="S5164" s="1"/>
      <c r="T5164" s="1"/>
      <c r="U5164" s="1"/>
      <c r="V5164" s="1"/>
      <c r="W5164" s="1"/>
      <c r="X5164" s="1"/>
    </row>
    <row x14ac:dyDescent="0.25" r="5165" customHeight="1" ht="18.75">
      <c r="A5165" s="1"/>
      <c r="B5165" s="1"/>
      <c r="C5165" s="1"/>
      <c r="D5165" s="1"/>
      <c r="E5165" s="1"/>
      <c r="F5165" s="1"/>
      <c r="G5165" s="1"/>
      <c r="H5165" s="1"/>
      <c r="I5165" s="2"/>
      <c r="J5165" s="1"/>
      <c r="K5165" s="1"/>
      <c r="L5165" s="1"/>
      <c r="M5165" s="1"/>
      <c r="N5165" s="1"/>
      <c r="O5165" s="1"/>
      <c r="P5165" s="1"/>
      <c r="Q5165" s="1"/>
      <c r="R5165" s="1"/>
      <c r="S5165" s="1"/>
      <c r="T5165" s="1"/>
      <c r="U5165" s="1"/>
      <c r="V5165" s="1"/>
      <c r="W5165" s="1"/>
      <c r="X5165" s="1"/>
    </row>
    <row x14ac:dyDescent="0.25" r="5166" customHeight="1" ht="18.75">
      <c r="A5166" s="1"/>
      <c r="B5166" s="1"/>
      <c r="C5166" s="1"/>
      <c r="D5166" s="1"/>
      <c r="E5166" s="1"/>
      <c r="F5166" s="1"/>
      <c r="G5166" s="1"/>
      <c r="H5166" s="1"/>
      <c r="I5166" s="2"/>
      <c r="J5166" s="1"/>
      <c r="K5166" s="1"/>
      <c r="L5166" s="1"/>
      <c r="M5166" s="1"/>
      <c r="N5166" s="1"/>
      <c r="O5166" s="1"/>
      <c r="P5166" s="1"/>
      <c r="Q5166" s="1"/>
      <c r="R5166" s="1"/>
      <c r="S5166" s="1"/>
      <c r="T5166" s="1"/>
      <c r="U5166" s="1"/>
      <c r="V5166" s="1"/>
      <c r="W5166" s="1"/>
      <c r="X5166" s="1"/>
    </row>
    <row x14ac:dyDescent="0.25" r="5167" customHeight="1" ht="18.75">
      <c r="A5167" s="1"/>
      <c r="B5167" s="1"/>
      <c r="C5167" s="1"/>
      <c r="D5167" s="1"/>
      <c r="E5167" s="1"/>
      <c r="F5167" s="1"/>
      <c r="G5167" s="1"/>
      <c r="H5167" s="1"/>
      <c r="I5167" s="2"/>
      <c r="J5167" s="1"/>
      <c r="K5167" s="1"/>
      <c r="L5167" s="1"/>
      <c r="M5167" s="1"/>
      <c r="N5167" s="1"/>
      <c r="O5167" s="1"/>
      <c r="P5167" s="1"/>
      <c r="Q5167" s="1"/>
      <c r="R5167" s="1"/>
      <c r="S5167" s="1"/>
      <c r="T5167" s="1"/>
      <c r="U5167" s="1"/>
      <c r="V5167" s="1"/>
      <c r="W5167" s="1"/>
      <c r="X5167" s="1"/>
    </row>
    <row x14ac:dyDescent="0.25" r="5168" customHeight="1" ht="18.75">
      <c r="A5168" s="1"/>
      <c r="B5168" s="1"/>
      <c r="C5168" s="1"/>
      <c r="D5168" s="1"/>
      <c r="E5168" s="1"/>
      <c r="F5168" s="1"/>
      <c r="G5168" s="1"/>
      <c r="H5168" s="1"/>
      <c r="I5168" s="2"/>
      <c r="J5168" s="1"/>
      <c r="K5168" s="1"/>
      <c r="L5168" s="1"/>
      <c r="M5168" s="1"/>
      <c r="N5168" s="1"/>
      <c r="O5168" s="1"/>
      <c r="P5168" s="1"/>
      <c r="Q5168" s="1"/>
      <c r="R5168" s="1"/>
      <c r="S5168" s="1"/>
      <c r="T5168" s="1"/>
      <c r="U5168" s="1"/>
      <c r="V5168" s="1"/>
      <c r="W5168" s="1"/>
      <c r="X5168" s="1"/>
    </row>
    <row x14ac:dyDescent="0.25" r="5169" customHeight="1" ht="18.75">
      <c r="A5169" s="1"/>
      <c r="B5169" s="1"/>
      <c r="C5169" s="1"/>
      <c r="D5169" s="1"/>
      <c r="E5169" s="1"/>
      <c r="F5169" s="1"/>
      <c r="G5169" s="1"/>
      <c r="H5169" s="1"/>
      <c r="I5169" s="2"/>
      <c r="J5169" s="1"/>
      <c r="K5169" s="1"/>
      <c r="L5169" s="1"/>
      <c r="M5169" s="1"/>
      <c r="N5169" s="1"/>
      <c r="O5169" s="1"/>
      <c r="P5169" s="1"/>
      <c r="Q5169" s="1"/>
      <c r="R5169" s="1"/>
      <c r="S5169" s="1"/>
      <c r="T5169" s="1"/>
      <c r="U5169" s="1"/>
      <c r="V5169" s="1"/>
      <c r="W5169" s="1"/>
      <c r="X5169" s="1"/>
    </row>
    <row x14ac:dyDescent="0.25" r="5170" customHeight="1" ht="18.75">
      <c r="A5170" s="1"/>
      <c r="B5170" s="1"/>
      <c r="C5170" s="1"/>
      <c r="D5170" s="1"/>
      <c r="E5170" s="1"/>
      <c r="F5170" s="1"/>
      <c r="G5170" s="1"/>
      <c r="H5170" s="1"/>
      <c r="I5170" s="2"/>
      <c r="J5170" s="1"/>
      <c r="K5170" s="1"/>
      <c r="L5170" s="1"/>
      <c r="M5170" s="1"/>
      <c r="N5170" s="1"/>
      <c r="O5170" s="1"/>
      <c r="P5170" s="1"/>
      <c r="Q5170" s="1"/>
      <c r="R5170" s="1"/>
      <c r="S5170" s="1"/>
      <c r="T5170" s="1"/>
      <c r="U5170" s="1"/>
      <c r="V5170" s="1"/>
      <c r="W5170" s="1"/>
      <c r="X5170" s="1"/>
    </row>
    <row x14ac:dyDescent="0.25" r="5171" customHeight="1" ht="18.75">
      <c r="A5171" s="1"/>
      <c r="B5171" s="1"/>
      <c r="C5171" s="1"/>
      <c r="D5171" s="1"/>
      <c r="E5171" s="1"/>
      <c r="F5171" s="1"/>
      <c r="G5171" s="1"/>
      <c r="H5171" s="1"/>
      <c r="I5171" s="2"/>
      <c r="J5171" s="1"/>
      <c r="K5171" s="1"/>
      <c r="L5171" s="1"/>
      <c r="M5171" s="1"/>
      <c r="N5171" s="1"/>
      <c r="O5171" s="1"/>
      <c r="P5171" s="1"/>
      <c r="Q5171" s="1"/>
      <c r="R5171" s="1"/>
      <c r="S5171" s="1"/>
      <c r="T5171" s="1"/>
      <c r="U5171" s="1"/>
      <c r="V5171" s="1"/>
      <c r="W5171" s="1"/>
      <c r="X5171" s="1"/>
    </row>
    <row x14ac:dyDescent="0.25" r="5172" customHeight="1" ht="18.75">
      <c r="A5172" s="1"/>
      <c r="B5172" s="1"/>
      <c r="C5172" s="1"/>
      <c r="D5172" s="1"/>
      <c r="E5172" s="1"/>
      <c r="F5172" s="1"/>
      <c r="G5172" s="1"/>
      <c r="H5172" s="1"/>
      <c r="I5172" s="2"/>
      <c r="J5172" s="1"/>
      <c r="K5172" s="1"/>
      <c r="L5172" s="1"/>
      <c r="M5172" s="1"/>
      <c r="N5172" s="1"/>
      <c r="O5172" s="1"/>
      <c r="P5172" s="1"/>
      <c r="Q5172" s="1"/>
      <c r="R5172" s="1"/>
      <c r="S5172" s="1"/>
      <c r="T5172" s="1"/>
      <c r="U5172" s="1"/>
      <c r="V5172" s="1"/>
      <c r="W5172" s="1"/>
      <c r="X5172" s="1"/>
    </row>
    <row x14ac:dyDescent="0.25" r="5173" customHeight="1" ht="18.75">
      <c r="A5173" s="1"/>
      <c r="B5173" s="1"/>
      <c r="C5173" s="1"/>
      <c r="D5173" s="1"/>
      <c r="E5173" s="1"/>
      <c r="F5173" s="1"/>
      <c r="G5173" s="1"/>
      <c r="H5173" s="1"/>
      <c r="I5173" s="2"/>
      <c r="J5173" s="1"/>
      <c r="K5173" s="1"/>
      <c r="L5173" s="1"/>
      <c r="M5173" s="1"/>
      <c r="N5173" s="1"/>
      <c r="O5173" s="1"/>
      <c r="P5173" s="1"/>
      <c r="Q5173" s="1"/>
      <c r="R5173" s="1"/>
      <c r="S5173" s="1"/>
      <c r="T5173" s="1"/>
      <c r="U5173" s="1"/>
      <c r="V5173" s="1"/>
      <c r="W5173" s="1"/>
      <c r="X5173" s="1"/>
    </row>
    <row x14ac:dyDescent="0.25" r="5174" customHeight="1" ht="18.75">
      <c r="A5174" s="1"/>
      <c r="B5174" s="1"/>
      <c r="C5174" s="1"/>
      <c r="D5174" s="1"/>
      <c r="E5174" s="1"/>
      <c r="F5174" s="1"/>
      <c r="G5174" s="1"/>
      <c r="H5174" s="1"/>
      <c r="I5174" s="2"/>
      <c r="J5174" s="1"/>
      <c r="K5174" s="1"/>
      <c r="L5174" s="1"/>
      <c r="M5174" s="1"/>
      <c r="N5174" s="1"/>
      <c r="O5174" s="1"/>
      <c r="P5174" s="1"/>
      <c r="Q5174" s="1"/>
      <c r="R5174" s="1"/>
      <c r="S5174" s="1"/>
      <c r="T5174" s="1"/>
      <c r="U5174" s="1"/>
      <c r="V5174" s="1"/>
      <c r="W5174" s="1"/>
      <c r="X5174" s="1"/>
    </row>
    <row x14ac:dyDescent="0.25" r="5175" customHeight="1" ht="18.75">
      <c r="A5175" s="1"/>
      <c r="B5175" s="1"/>
      <c r="C5175" s="1"/>
      <c r="D5175" s="1"/>
      <c r="E5175" s="1"/>
      <c r="F5175" s="1"/>
      <c r="G5175" s="1"/>
      <c r="H5175" s="1"/>
      <c r="I5175" s="2"/>
      <c r="J5175" s="1"/>
      <c r="K5175" s="1"/>
      <c r="L5175" s="1"/>
      <c r="M5175" s="1"/>
      <c r="N5175" s="1"/>
      <c r="O5175" s="1"/>
      <c r="P5175" s="1"/>
      <c r="Q5175" s="1"/>
      <c r="R5175" s="1"/>
      <c r="S5175" s="1"/>
      <c r="T5175" s="1"/>
      <c r="U5175" s="1"/>
      <c r="V5175" s="1"/>
      <c r="W5175" s="1"/>
      <c r="X5175" s="1"/>
    </row>
    <row x14ac:dyDescent="0.25" r="5176" customHeight="1" ht="18.75">
      <c r="A5176" s="1"/>
      <c r="B5176" s="1"/>
      <c r="C5176" s="1"/>
      <c r="D5176" s="1"/>
      <c r="E5176" s="1"/>
      <c r="F5176" s="1"/>
      <c r="G5176" s="1"/>
      <c r="H5176" s="1"/>
      <c r="I5176" s="2"/>
      <c r="J5176" s="1"/>
      <c r="K5176" s="1"/>
      <c r="L5176" s="1"/>
      <c r="M5176" s="1"/>
      <c r="N5176" s="1"/>
      <c r="O5176" s="1"/>
      <c r="P5176" s="1"/>
      <c r="Q5176" s="1"/>
      <c r="R5176" s="1"/>
      <c r="S5176" s="1"/>
      <c r="T5176" s="1"/>
      <c r="U5176" s="1"/>
      <c r="V5176" s="1"/>
      <c r="W5176" s="1"/>
      <c r="X5176" s="1"/>
    </row>
    <row x14ac:dyDescent="0.25" r="5177" customHeight="1" ht="18.75">
      <c r="A5177" s="1"/>
      <c r="B5177" s="1"/>
      <c r="C5177" s="1"/>
      <c r="D5177" s="1"/>
      <c r="E5177" s="1"/>
      <c r="F5177" s="1"/>
      <c r="G5177" s="1"/>
      <c r="H5177" s="1"/>
      <c r="I5177" s="2"/>
      <c r="J5177" s="1"/>
      <c r="K5177" s="1"/>
      <c r="L5177" s="1"/>
      <c r="M5177" s="1"/>
      <c r="N5177" s="1"/>
      <c r="O5177" s="1"/>
      <c r="P5177" s="1"/>
      <c r="Q5177" s="1"/>
      <c r="R5177" s="1"/>
      <c r="S5177" s="1"/>
      <c r="T5177" s="1"/>
      <c r="U5177" s="1"/>
      <c r="V5177" s="1"/>
      <c r="W5177" s="1"/>
      <c r="X5177" s="1"/>
    </row>
    <row x14ac:dyDescent="0.25" r="5178" customHeight="1" ht="18.75">
      <c r="A5178" s="1"/>
      <c r="B5178" s="1"/>
      <c r="C5178" s="1"/>
      <c r="D5178" s="1"/>
      <c r="E5178" s="1"/>
      <c r="F5178" s="1"/>
      <c r="G5178" s="1"/>
      <c r="H5178" s="1"/>
      <c r="I5178" s="2"/>
      <c r="J5178" s="1"/>
      <c r="K5178" s="1"/>
      <c r="L5178" s="1"/>
      <c r="M5178" s="1"/>
      <c r="N5178" s="1"/>
      <c r="O5178" s="1"/>
      <c r="P5178" s="1"/>
      <c r="Q5178" s="1"/>
      <c r="R5178" s="1"/>
      <c r="S5178" s="1"/>
      <c r="T5178" s="1"/>
      <c r="U5178" s="1"/>
      <c r="V5178" s="1"/>
      <c r="W5178" s="1"/>
      <c r="X5178" s="1"/>
    </row>
    <row x14ac:dyDescent="0.25" r="5179" customHeight="1" ht="18.75">
      <c r="A5179" s="1"/>
      <c r="B5179" s="1"/>
      <c r="C5179" s="1"/>
      <c r="D5179" s="1"/>
      <c r="E5179" s="1"/>
      <c r="F5179" s="1"/>
      <c r="G5179" s="1"/>
      <c r="H5179" s="1"/>
      <c r="I5179" s="2"/>
      <c r="J5179" s="1"/>
      <c r="K5179" s="1"/>
      <c r="L5179" s="1"/>
      <c r="M5179" s="1"/>
      <c r="N5179" s="1"/>
      <c r="O5179" s="1"/>
      <c r="P5179" s="1"/>
      <c r="Q5179" s="1"/>
      <c r="R5179" s="1"/>
      <c r="S5179" s="1"/>
      <c r="T5179" s="1"/>
      <c r="U5179" s="1"/>
      <c r="V5179" s="1"/>
      <c r="W5179" s="1"/>
      <c r="X5179" s="1"/>
    </row>
    <row x14ac:dyDescent="0.25" r="5180" customHeight="1" ht="18.75">
      <c r="A5180" s="1"/>
      <c r="B5180" s="1"/>
      <c r="C5180" s="1"/>
      <c r="D5180" s="1"/>
      <c r="E5180" s="1"/>
      <c r="F5180" s="1"/>
      <c r="G5180" s="1"/>
      <c r="H5180" s="1"/>
      <c r="I5180" s="2"/>
      <c r="J5180" s="1"/>
      <c r="K5180" s="1"/>
      <c r="L5180" s="1"/>
      <c r="M5180" s="1"/>
      <c r="N5180" s="1"/>
      <c r="O5180" s="1"/>
      <c r="P5180" s="1"/>
      <c r="Q5180" s="1"/>
      <c r="R5180" s="1"/>
      <c r="S5180" s="1"/>
      <c r="T5180" s="1"/>
      <c r="U5180" s="1"/>
      <c r="V5180" s="1"/>
      <c r="W5180" s="1"/>
      <c r="X5180" s="1"/>
    </row>
    <row x14ac:dyDescent="0.25" r="5181" customHeight="1" ht="18.75">
      <c r="A5181" s="1"/>
      <c r="B5181" s="1"/>
      <c r="C5181" s="1"/>
      <c r="D5181" s="1"/>
      <c r="E5181" s="1"/>
      <c r="F5181" s="1"/>
      <c r="G5181" s="1"/>
      <c r="H5181" s="1"/>
      <c r="I5181" s="2"/>
      <c r="J5181" s="1"/>
      <c r="K5181" s="1"/>
      <c r="L5181" s="1"/>
      <c r="M5181" s="1"/>
      <c r="N5181" s="1"/>
      <c r="O5181" s="1"/>
      <c r="P5181" s="1"/>
      <c r="Q5181" s="1"/>
      <c r="R5181" s="1"/>
      <c r="S5181" s="1"/>
      <c r="T5181" s="1"/>
      <c r="U5181" s="1"/>
      <c r="V5181" s="1"/>
      <c r="W5181" s="1"/>
      <c r="X5181" s="1"/>
    </row>
    <row x14ac:dyDescent="0.25" r="5182" customHeight="1" ht="18.75">
      <c r="A5182" s="1"/>
      <c r="B5182" s="1"/>
      <c r="C5182" s="1"/>
      <c r="D5182" s="1"/>
      <c r="E5182" s="1"/>
      <c r="F5182" s="1"/>
      <c r="G5182" s="1"/>
      <c r="H5182" s="1"/>
      <c r="I5182" s="2"/>
      <c r="J5182" s="1"/>
      <c r="K5182" s="1"/>
      <c r="L5182" s="1"/>
      <c r="M5182" s="1"/>
      <c r="N5182" s="1"/>
      <c r="O5182" s="1"/>
      <c r="P5182" s="1"/>
      <c r="Q5182" s="1"/>
      <c r="R5182" s="1"/>
      <c r="S5182" s="1"/>
      <c r="T5182" s="1"/>
      <c r="U5182" s="1"/>
      <c r="V5182" s="1"/>
      <c r="W5182" s="1"/>
      <c r="X5182" s="1"/>
    </row>
    <row x14ac:dyDescent="0.25" r="5183" customHeight="1" ht="18.75">
      <c r="A5183" s="1"/>
      <c r="B5183" s="1"/>
      <c r="C5183" s="1"/>
      <c r="D5183" s="1"/>
      <c r="E5183" s="1"/>
      <c r="F5183" s="1"/>
      <c r="G5183" s="1"/>
      <c r="H5183" s="1"/>
      <c r="I5183" s="2"/>
      <c r="J5183" s="1"/>
      <c r="K5183" s="1"/>
      <c r="L5183" s="1"/>
      <c r="M5183" s="1"/>
      <c r="N5183" s="1"/>
      <c r="O5183" s="1"/>
      <c r="P5183" s="1"/>
      <c r="Q5183" s="1"/>
      <c r="R5183" s="1"/>
      <c r="S5183" s="1"/>
      <c r="T5183" s="1"/>
      <c r="U5183" s="1"/>
      <c r="V5183" s="1"/>
      <c r="W5183" s="1"/>
      <c r="X5183" s="1"/>
    </row>
    <row x14ac:dyDescent="0.25" r="5184" customHeight="1" ht="18.75">
      <c r="A5184" s="1"/>
      <c r="B5184" s="1"/>
      <c r="C5184" s="1"/>
      <c r="D5184" s="1"/>
      <c r="E5184" s="1"/>
      <c r="F5184" s="1"/>
      <c r="G5184" s="1"/>
      <c r="H5184" s="1"/>
      <c r="I5184" s="2"/>
      <c r="J5184" s="1"/>
      <c r="K5184" s="1"/>
      <c r="L5184" s="1"/>
      <c r="M5184" s="1"/>
      <c r="N5184" s="1"/>
      <c r="O5184" s="1"/>
      <c r="P5184" s="1"/>
      <c r="Q5184" s="1"/>
      <c r="R5184" s="1"/>
      <c r="S5184" s="1"/>
      <c r="T5184" s="1"/>
      <c r="U5184" s="1"/>
      <c r="V5184" s="1"/>
      <c r="W5184" s="1"/>
      <c r="X5184" s="1"/>
    </row>
    <row x14ac:dyDescent="0.25" r="5185" customHeight="1" ht="18.75">
      <c r="A5185" s="1"/>
      <c r="B5185" s="1"/>
      <c r="C5185" s="1"/>
      <c r="D5185" s="1"/>
      <c r="E5185" s="1"/>
      <c r="F5185" s="1"/>
      <c r="G5185" s="1"/>
      <c r="H5185" s="1"/>
      <c r="I5185" s="2"/>
      <c r="J5185" s="1"/>
      <c r="K5185" s="1"/>
      <c r="L5185" s="1"/>
      <c r="M5185" s="1"/>
      <c r="N5185" s="1"/>
      <c r="O5185" s="1"/>
      <c r="P5185" s="1"/>
      <c r="Q5185" s="1"/>
      <c r="R5185" s="1"/>
      <c r="S5185" s="1"/>
      <c r="T5185" s="1"/>
      <c r="U5185" s="1"/>
      <c r="V5185" s="1"/>
      <c r="W5185" s="1"/>
      <c r="X5185" s="1"/>
    </row>
    <row x14ac:dyDescent="0.25" r="5186" customHeight="1" ht="18.75">
      <c r="A5186" s="1"/>
      <c r="B5186" s="1"/>
      <c r="C5186" s="1"/>
      <c r="D5186" s="1"/>
      <c r="E5186" s="1"/>
      <c r="F5186" s="1"/>
      <c r="G5186" s="1"/>
      <c r="H5186" s="1"/>
      <c r="I5186" s="2"/>
      <c r="J5186" s="1"/>
      <c r="K5186" s="1"/>
      <c r="L5186" s="1"/>
      <c r="M5186" s="1"/>
      <c r="N5186" s="1"/>
      <c r="O5186" s="1"/>
      <c r="P5186" s="1"/>
      <c r="Q5186" s="1"/>
      <c r="R5186" s="1"/>
      <c r="S5186" s="1"/>
      <c r="T5186" s="1"/>
      <c r="U5186" s="1"/>
      <c r="V5186" s="1"/>
      <c r="W5186" s="1"/>
      <c r="X5186" s="1"/>
    </row>
    <row x14ac:dyDescent="0.25" r="5187" customHeight="1" ht="18.75">
      <c r="A5187" s="1"/>
      <c r="B5187" s="1"/>
      <c r="C5187" s="1"/>
      <c r="D5187" s="1"/>
      <c r="E5187" s="1"/>
      <c r="F5187" s="1"/>
      <c r="G5187" s="1"/>
      <c r="H5187" s="1"/>
      <c r="I5187" s="2"/>
      <c r="J5187" s="1"/>
      <c r="K5187" s="1"/>
      <c r="L5187" s="1"/>
      <c r="M5187" s="1"/>
      <c r="N5187" s="1"/>
      <c r="O5187" s="1"/>
      <c r="P5187" s="1"/>
      <c r="Q5187" s="1"/>
      <c r="R5187" s="1"/>
      <c r="S5187" s="1"/>
      <c r="T5187" s="1"/>
      <c r="U5187" s="1"/>
      <c r="V5187" s="1"/>
      <c r="W5187" s="1"/>
      <c r="X5187" s="1"/>
    </row>
    <row x14ac:dyDescent="0.25" r="5188" customHeight="1" ht="18.75">
      <c r="A5188" s="1"/>
      <c r="B5188" s="1"/>
      <c r="C5188" s="1"/>
      <c r="D5188" s="1"/>
      <c r="E5188" s="1"/>
      <c r="F5188" s="1"/>
      <c r="G5188" s="1"/>
      <c r="H5188" s="1"/>
      <c r="I5188" s="2"/>
      <c r="J5188" s="1"/>
      <c r="K5188" s="1"/>
      <c r="L5188" s="1"/>
      <c r="M5188" s="1"/>
      <c r="N5188" s="1"/>
      <c r="O5188" s="1"/>
      <c r="P5188" s="1"/>
      <c r="Q5188" s="1"/>
      <c r="R5188" s="1"/>
      <c r="S5188" s="1"/>
      <c r="T5188" s="1"/>
      <c r="U5188" s="1"/>
      <c r="V5188" s="1"/>
      <c r="W5188" s="1"/>
      <c r="X5188" s="1"/>
    </row>
    <row x14ac:dyDescent="0.25" r="5189" customHeight="1" ht="18.75">
      <c r="A5189" s="1"/>
      <c r="B5189" s="1"/>
      <c r="C5189" s="1"/>
      <c r="D5189" s="1"/>
      <c r="E5189" s="1"/>
      <c r="F5189" s="1"/>
      <c r="G5189" s="1"/>
      <c r="H5189" s="1"/>
      <c r="I5189" s="2"/>
      <c r="J5189" s="1"/>
      <c r="K5189" s="1"/>
      <c r="L5189" s="1"/>
      <c r="M5189" s="1"/>
      <c r="N5189" s="1"/>
      <c r="O5189" s="1"/>
      <c r="P5189" s="1"/>
      <c r="Q5189" s="1"/>
      <c r="R5189" s="1"/>
      <c r="S5189" s="1"/>
      <c r="T5189" s="1"/>
      <c r="U5189" s="1"/>
      <c r="V5189" s="1"/>
      <c r="W5189" s="1"/>
      <c r="X5189" s="1"/>
    </row>
    <row x14ac:dyDescent="0.25" r="5190" customHeight="1" ht="18.75">
      <c r="A5190" s="1"/>
      <c r="B5190" s="1"/>
      <c r="C5190" s="1"/>
      <c r="D5190" s="1"/>
      <c r="E5190" s="1"/>
      <c r="F5190" s="1"/>
      <c r="G5190" s="1"/>
      <c r="H5190" s="1"/>
      <c r="I5190" s="2"/>
      <c r="J5190" s="1"/>
      <c r="K5190" s="1"/>
      <c r="L5190" s="1"/>
      <c r="M5190" s="1"/>
      <c r="N5190" s="1"/>
      <c r="O5190" s="1"/>
      <c r="P5190" s="1"/>
      <c r="Q5190" s="1"/>
      <c r="R5190" s="1"/>
      <c r="S5190" s="1"/>
      <c r="T5190" s="1"/>
      <c r="U5190" s="1"/>
      <c r="V5190" s="1"/>
      <c r="W5190" s="1"/>
      <c r="X5190" s="1"/>
    </row>
    <row x14ac:dyDescent="0.25" r="5191" customHeight="1" ht="18.75">
      <c r="A5191" s="1"/>
      <c r="B5191" s="1"/>
      <c r="C5191" s="1"/>
      <c r="D5191" s="1"/>
      <c r="E5191" s="1"/>
      <c r="F5191" s="1"/>
      <c r="G5191" s="1"/>
      <c r="H5191" s="1"/>
      <c r="I5191" s="2"/>
      <c r="J5191" s="1"/>
      <c r="K5191" s="1"/>
      <c r="L5191" s="1"/>
      <c r="M5191" s="1"/>
      <c r="N5191" s="1"/>
      <c r="O5191" s="1"/>
      <c r="P5191" s="1"/>
      <c r="Q5191" s="1"/>
      <c r="R5191" s="1"/>
      <c r="S5191" s="1"/>
      <c r="T5191" s="1"/>
      <c r="U5191" s="1"/>
      <c r="V5191" s="1"/>
      <c r="W5191" s="1"/>
      <c r="X5191" s="1"/>
    </row>
    <row x14ac:dyDescent="0.25" r="5192" customHeight="1" ht="18.75">
      <c r="A5192" s="1"/>
      <c r="B5192" s="1"/>
      <c r="C5192" s="1"/>
      <c r="D5192" s="1"/>
      <c r="E5192" s="1"/>
      <c r="F5192" s="1"/>
      <c r="G5192" s="1"/>
      <c r="H5192" s="1"/>
      <c r="I5192" s="2"/>
      <c r="J5192" s="1"/>
      <c r="K5192" s="1"/>
      <c r="L5192" s="1"/>
      <c r="M5192" s="1"/>
      <c r="N5192" s="1"/>
      <c r="O5192" s="1"/>
      <c r="P5192" s="1"/>
      <c r="Q5192" s="1"/>
      <c r="R5192" s="1"/>
      <c r="S5192" s="1"/>
      <c r="T5192" s="1"/>
      <c r="U5192" s="1"/>
      <c r="V5192" s="1"/>
      <c r="W5192" s="1"/>
      <c r="X5192" s="1"/>
    </row>
    <row x14ac:dyDescent="0.25" r="5193" customHeight="1" ht="18.75">
      <c r="A5193" s="1"/>
      <c r="B5193" s="1"/>
      <c r="C5193" s="1"/>
      <c r="D5193" s="1"/>
      <c r="E5193" s="1"/>
      <c r="F5193" s="1"/>
      <c r="G5193" s="1"/>
      <c r="H5193" s="1"/>
      <c r="I5193" s="2"/>
      <c r="J5193" s="1"/>
      <c r="K5193" s="1"/>
      <c r="L5193" s="1"/>
      <c r="M5193" s="1"/>
      <c r="N5193" s="1"/>
      <c r="O5193" s="1"/>
      <c r="P5193" s="1"/>
      <c r="Q5193" s="1"/>
      <c r="R5193" s="1"/>
      <c r="S5193" s="1"/>
      <c r="T5193" s="1"/>
      <c r="U5193" s="1"/>
      <c r="V5193" s="1"/>
      <c r="W5193" s="1"/>
      <c r="X5193" s="1"/>
    </row>
    <row x14ac:dyDescent="0.25" r="5194" customHeight="1" ht="18.75">
      <c r="A5194" s="1"/>
      <c r="B5194" s="1"/>
      <c r="C5194" s="1"/>
      <c r="D5194" s="1"/>
      <c r="E5194" s="1"/>
      <c r="F5194" s="1"/>
      <c r="G5194" s="1"/>
      <c r="H5194" s="1"/>
      <c r="I5194" s="2"/>
      <c r="J5194" s="1"/>
      <c r="K5194" s="1"/>
      <c r="L5194" s="1"/>
      <c r="M5194" s="1"/>
      <c r="N5194" s="1"/>
      <c r="O5194" s="1"/>
      <c r="P5194" s="1"/>
      <c r="Q5194" s="1"/>
      <c r="R5194" s="1"/>
      <c r="S5194" s="1"/>
      <c r="T5194" s="1"/>
      <c r="U5194" s="1"/>
      <c r="V5194" s="1"/>
      <c r="W5194" s="1"/>
      <c r="X5194" s="1"/>
    </row>
    <row x14ac:dyDescent="0.25" r="5195" customHeight="1" ht="18.75">
      <c r="A5195" s="1"/>
      <c r="B5195" s="1"/>
      <c r="C5195" s="1"/>
      <c r="D5195" s="1"/>
      <c r="E5195" s="1"/>
      <c r="F5195" s="1"/>
      <c r="G5195" s="1"/>
      <c r="H5195" s="1"/>
      <c r="I5195" s="2"/>
      <c r="J5195" s="1"/>
      <c r="K5195" s="1"/>
      <c r="L5195" s="1"/>
      <c r="M5195" s="1"/>
      <c r="N5195" s="1"/>
      <c r="O5195" s="1"/>
      <c r="P5195" s="1"/>
      <c r="Q5195" s="1"/>
      <c r="R5195" s="1"/>
      <c r="S5195" s="1"/>
      <c r="T5195" s="1"/>
      <c r="U5195" s="1"/>
      <c r="V5195" s="1"/>
      <c r="W5195" s="1"/>
      <c r="X5195" s="1"/>
    </row>
    <row x14ac:dyDescent="0.25" r="5196" customHeight="1" ht="18.75">
      <c r="A5196" s="1"/>
      <c r="B5196" s="1"/>
      <c r="C5196" s="1"/>
      <c r="D5196" s="1"/>
      <c r="E5196" s="1"/>
      <c r="F5196" s="1"/>
      <c r="G5196" s="1"/>
      <c r="H5196" s="1"/>
      <c r="I5196" s="2"/>
      <c r="J5196" s="1"/>
      <c r="K5196" s="1"/>
      <c r="L5196" s="1"/>
      <c r="M5196" s="1"/>
      <c r="N5196" s="1"/>
      <c r="O5196" s="1"/>
      <c r="P5196" s="1"/>
      <c r="Q5196" s="1"/>
      <c r="R5196" s="1"/>
      <c r="S5196" s="1"/>
      <c r="T5196" s="1"/>
      <c r="U5196" s="1"/>
      <c r="V5196" s="1"/>
      <c r="W5196" s="1"/>
      <c r="X5196" s="1"/>
    </row>
    <row x14ac:dyDescent="0.25" r="5197" customHeight="1" ht="18.75">
      <c r="A5197" s="1"/>
      <c r="B5197" s="1"/>
      <c r="C5197" s="1"/>
      <c r="D5197" s="1"/>
      <c r="E5197" s="1"/>
      <c r="F5197" s="1"/>
      <c r="G5197" s="1"/>
      <c r="H5197" s="1"/>
      <c r="I5197" s="2"/>
      <c r="J5197" s="1"/>
      <c r="K5197" s="1"/>
      <c r="L5197" s="1"/>
      <c r="M5197" s="1"/>
      <c r="N5197" s="1"/>
      <c r="O5197" s="1"/>
      <c r="P5197" s="1"/>
      <c r="Q5197" s="1"/>
      <c r="R5197" s="1"/>
      <c r="S5197" s="1"/>
      <c r="T5197" s="1"/>
      <c r="U5197" s="1"/>
      <c r="V5197" s="1"/>
      <c r="W5197" s="1"/>
      <c r="X5197" s="1"/>
    </row>
    <row x14ac:dyDescent="0.25" r="5198" customHeight="1" ht="18.75">
      <c r="A5198" s="1"/>
      <c r="B5198" s="1"/>
      <c r="C5198" s="1"/>
      <c r="D5198" s="1"/>
      <c r="E5198" s="1"/>
      <c r="F5198" s="1"/>
      <c r="G5198" s="1"/>
      <c r="H5198" s="1"/>
      <c r="I5198" s="2"/>
      <c r="J5198" s="1"/>
      <c r="K5198" s="1"/>
      <c r="L5198" s="1"/>
      <c r="M5198" s="1"/>
      <c r="N5198" s="1"/>
      <c r="O5198" s="1"/>
      <c r="P5198" s="1"/>
      <c r="Q5198" s="1"/>
      <c r="R5198" s="1"/>
      <c r="S5198" s="1"/>
      <c r="T5198" s="1"/>
      <c r="U5198" s="1"/>
      <c r="V5198" s="1"/>
      <c r="W5198" s="1"/>
      <c r="X5198" s="1"/>
    </row>
    <row x14ac:dyDescent="0.25" r="5199" customHeight="1" ht="18.75">
      <c r="A5199" s="1"/>
      <c r="B5199" s="1"/>
      <c r="C5199" s="1"/>
      <c r="D5199" s="1"/>
      <c r="E5199" s="1"/>
      <c r="F5199" s="1"/>
      <c r="G5199" s="1"/>
      <c r="H5199" s="1"/>
      <c r="I5199" s="2"/>
      <c r="J5199" s="1"/>
      <c r="K5199" s="1"/>
      <c r="L5199" s="1"/>
      <c r="M5199" s="1"/>
      <c r="N5199" s="1"/>
      <c r="O5199" s="1"/>
      <c r="P5199" s="1"/>
      <c r="Q5199" s="1"/>
      <c r="R5199" s="1"/>
      <c r="S5199" s="1"/>
      <c r="T5199" s="1"/>
      <c r="U5199" s="1"/>
      <c r="V5199" s="1"/>
      <c r="W5199" s="1"/>
      <c r="X5199" s="1"/>
    </row>
    <row x14ac:dyDescent="0.25" r="5200" customHeight="1" ht="18.75">
      <c r="A5200" s="1"/>
      <c r="B5200" s="1"/>
      <c r="C5200" s="1"/>
      <c r="D5200" s="1"/>
      <c r="E5200" s="1"/>
      <c r="F5200" s="1"/>
      <c r="G5200" s="1"/>
      <c r="H5200" s="1"/>
      <c r="I5200" s="2"/>
      <c r="J5200" s="1"/>
      <c r="K5200" s="1"/>
      <c r="L5200" s="1"/>
      <c r="M5200" s="1"/>
      <c r="N5200" s="1"/>
      <c r="O5200" s="1"/>
      <c r="P5200" s="1"/>
      <c r="Q5200" s="1"/>
      <c r="R5200" s="1"/>
      <c r="S5200" s="1"/>
      <c r="T5200" s="1"/>
      <c r="U5200" s="1"/>
      <c r="V5200" s="1"/>
      <c r="W5200" s="1"/>
      <c r="X5200" s="1"/>
    </row>
    <row x14ac:dyDescent="0.25" r="5201" customHeight="1" ht="18.75">
      <c r="A5201" s="1"/>
      <c r="B5201" s="1"/>
      <c r="C5201" s="1"/>
      <c r="D5201" s="1"/>
      <c r="E5201" s="1"/>
      <c r="F5201" s="1"/>
      <c r="G5201" s="1"/>
      <c r="H5201" s="1"/>
      <c r="I5201" s="2"/>
      <c r="J5201" s="1"/>
      <c r="K5201" s="1"/>
      <c r="L5201" s="1"/>
      <c r="M5201" s="1"/>
      <c r="N5201" s="1"/>
      <c r="O5201" s="1"/>
      <c r="P5201" s="1"/>
      <c r="Q5201" s="1"/>
      <c r="R5201" s="1"/>
      <c r="S5201" s="1"/>
      <c r="T5201" s="1"/>
      <c r="U5201" s="1"/>
      <c r="V5201" s="1"/>
      <c r="W5201" s="1"/>
      <c r="X5201" s="1"/>
    </row>
    <row x14ac:dyDescent="0.25" r="5202" customHeight="1" ht="18.75">
      <c r="A5202" s="1"/>
      <c r="B5202" s="1"/>
      <c r="C5202" s="1"/>
      <c r="D5202" s="1"/>
      <c r="E5202" s="1"/>
      <c r="F5202" s="1"/>
      <c r="G5202" s="1"/>
      <c r="H5202" s="1"/>
      <c r="I5202" s="2"/>
      <c r="J5202" s="1"/>
      <c r="K5202" s="1"/>
      <c r="L5202" s="1"/>
      <c r="M5202" s="1"/>
      <c r="N5202" s="1"/>
      <c r="O5202" s="1"/>
      <c r="P5202" s="1"/>
      <c r="Q5202" s="1"/>
      <c r="R5202" s="1"/>
      <c r="S5202" s="1"/>
      <c r="T5202" s="1"/>
      <c r="U5202" s="1"/>
      <c r="V5202" s="1"/>
      <c r="W5202" s="1"/>
      <c r="X5202" s="1"/>
    </row>
    <row x14ac:dyDescent="0.25" r="5203" customHeight="1" ht="18.75">
      <c r="A5203" s="1"/>
      <c r="B5203" s="1"/>
      <c r="C5203" s="1"/>
      <c r="D5203" s="1"/>
      <c r="E5203" s="1"/>
      <c r="F5203" s="1"/>
      <c r="G5203" s="1"/>
      <c r="H5203" s="1"/>
      <c r="I5203" s="2"/>
      <c r="J5203" s="1"/>
      <c r="K5203" s="1"/>
      <c r="L5203" s="1"/>
      <c r="M5203" s="1"/>
      <c r="N5203" s="1"/>
      <c r="O5203" s="1"/>
      <c r="P5203" s="1"/>
      <c r="Q5203" s="1"/>
      <c r="R5203" s="1"/>
      <c r="S5203" s="1"/>
      <c r="T5203" s="1"/>
      <c r="U5203" s="1"/>
      <c r="V5203" s="1"/>
      <c r="W5203" s="1"/>
      <c r="X5203" s="1"/>
    </row>
    <row x14ac:dyDescent="0.25" r="5204" customHeight="1" ht="18.75">
      <c r="A5204" s="1"/>
      <c r="B5204" s="1"/>
      <c r="C5204" s="1"/>
      <c r="D5204" s="1"/>
      <c r="E5204" s="1"/>
      <c r="F5204" s="1"/>
      <c r="G5204" s="1"/>
      <c r="H5204" s="1"/>
      <c r="I5204" s="2"/>
      <c r="J5204" s="1"/>
      <c r="K5204" s="1"/>
      <c r="L5204" s="1"/>
      <c r="M5204" s="1"/>
      <c r="N5204" s="1"/>
      <c r="O5204" s="1"/>
      <c r="P5204" s="1"/>
      <c r="Q5204" s="1"/>
      <c r="R5204" s="1"/>
      <c r="S5204" s="1"/>
      <c r="T5204" s="1"/>
      <c r="U5204" s="1"/>
      <c r="V5204" s="1"/>
      <c r="W5204" s="1"/>
      <c r="X5204" s="1"/>
    </row>
    <row x14ac:dyDescent="0.25" r="5205" customHeight="1" ht="18.75">
      <c r="A5205" s="1"/>
      <c r="B5205" s="1"/>
      <c r="C5205" s="1"/>
      <c r="D5205" s="1"/>
      <c r="E5205" s="1"/>
      <c r="F5205" s="1"/>
      <c r="G5205" s="1"/>
      <c r="H5205" s="1"/>
      <c r="I5205" s="2"/>
      <c r="J5205" s="1"/>
      <c r="K5205" s="1"/>
      <c r="L5205" s="1"/>
      <c r="M5205" s="1"/>
      <c r="N5205" s="1"/>
      <c r="O5205" s="1"/>
      <c r="P5205" s="1"/>
      <c r="Q5205" s="1"/>
      <c r="R5205" s="1"/>
      <c r="S5205" s="1"/>
      <c r="T5205" s="1"/>
      <c r="U5205" s="1"/>
      <c r="V5205" s="1"/>
      <c r="W5205" s="1"/>
      <c r="X5205" s="1"/>
    </row>
    <row x14ac:dyDescent="0.25" r="5206" customHeight="1" ht="18.75">
      <c r="A5206" s="1"/>
      <c r="B5206" s="1"/>
      <c r="C5206" s="1"/>
      <c r="D5206" s="1"/>
      <c r="E5206" s="1"/>
      <c r="F5206" s="1"/>
      <c r="G5206" s="1"/>
      <c r="H5206" s="1"/>
      <c r="I5206" s="2"/>
      <c r="J5206" s="1"/>
      <c r="K5206" s="1"/>
      <c r="L5206" s="1"/>
      <c r="M5206" s="1"/>
      <c r="N5206" s="1"/>
      <c r="O5206" s="1"/>
      <c r="P5206" s="1"/>
      <c r="Q5206" s="1"/>
      <c r="R5206" s="1"/>
      <c r="S5206" s="1"/>
      <c r="T5206" s="1"/>
      <c r="U5206" s="1"/>
      <c r="V5206" s="1"/>
      <c r="W5206" s="1"/>
      <c r="X5206" s="1"/>
    </row>
    <row x14ac:dyDescent="0.25" r="5207" customHeight="1" ht="18.75">
      <c r="A5207" s="1"/>
      <c r="B5207" s="1"/>
      <c r="C5207" s="1"/>
      <c r="D5207" s="1"/>
      <c r="E5207" s="1"/>
      <c r="F5207" s="1"/>
      <c r="G5207" s="1"/>
      <c r="H5207" s="1"/>
      <c r="I5207" s="2"/>
      <c r="J5207" s="1"/>
      <c r="K5207" s="1"/>
      <c r="L5207" s="1"/>
      <c r="M5207" s="1"/>
      <c r="N5207" s="1"/>
      <c r="O5207" s="1"/>
      <c r="P5207" s="1"/>
      <c r="Q5207" s="1"/>
      <c r="R5207" s="1"/>
      <c r="S5207" s="1"/>
      <c r="T5207" s="1"/>
      <c r="U5207" s="1"/>
      <c r="V5207" s="1"/>
      <c r="W5207" s="1"/>
      <c r="X5207" s="1"/>
    </row>
    <row x14ac:dyDescent="0.25" r="5208" customHeight="1" ht="18.75">
      <c r="A5208" s="1"/>
      <c r="B5208" s="1"/>
      <c r="C5208" s="1"/>
      <c r="D5208" s="1"/>
      <c r="E5208" s="1"/>
      <c r="F5208" s="1"/>
      <c r="G5208" s="1"/>
      <c r="H5208" s="1"/>
      <c r="I5208" s="2"/>
      <c r="J5208" s="1"/>
      <c r="K5208" s="1"/>
      <c r="L5208" s="1"/>
      <c r="M5208" s="1"/>
      <c r="N5208" s="1"/>
      <c r="O5208" s="1"/>
      <c r="P5208" s="1"/>
      <c r="Q5208" s="1"/>
      <c r="R5208" s="1"/>
      <c r="S5208" s="1"/>
      <c r="T5208" s="1"/>
      <c r="U5208" s="1"/>
      <c r="V5208" s="1"/>
      <c r="W5208" s="1"/>
      <c r="X5208" s="1"/>
    </row>
    <row x14ac:dyDescent="0.25" r="5209" customHeight="1" ht="18.75">
      <c r="A5209" s="1"/>
      <c r="B5209" s="1"/>
      <c r="C5209" s="1"/>
      <c r="D5209" s="1"/>
      <c r="E5209" s="1"/>
      <c r="F5209" s="1"/>
      <c r="G5209" s="1"/>
      <c r="H5209" s="1"/>
      <c r="I5209" s="2"/>
      <c r="J5209" s="1"/>
      <c r="K5209" s="1"/>
      <c r="L5209" s="1"/>
      <c r="M5209" s="1"/>
      <c r="N5209" s="1"/>
      <c r="O5209" s="1"/>
      <c r="P5209" s="1"/>
      <c r="Q5209" s="1"/>
      <c r="R5209" s="1"/>
      <c r="S5209" s="1"/>
      <c r="T5209" s="1"/>
      <c r="U5209" s="1"/>
      <c r="V5209" s="1"/>
      <c r="W5209" s="1"/>
      <c r="X5209" s="1"/>
    </row>
    <row x14ac:dyDescent="0.25" r="5210" customHeight="1" ht="18.75">
      <c r="A5210" s="1"/>
      <c r="B5210" s="1"/>
      <c r="C5210" s="1"/>
      <c r="D5210" s="1"/>
      <c r="E5210" s="1"/>
      <c r="F5210" s="1"/>
      <c r="G5210" s="1"/>
      <c r="H5210" s="1"/>
      <c r="I5210" s="2"/>
      <c r="J5210" s="1"/>
      <c r="K5210" s="1"/>
      <c r="L5210" s="1"/>
      <c r="M5210" s="1"/>
      <c r="N5210" s="1"/>
      <c r="O5210" s="1"/>
      <c r="P5210" s="1"/>
      <c r="Q5210" s="1"/>
      <c r="R5210" s="1"/>
      <c r="S5210" s="1"/>
      <c r="T5210" s="1"/>
      <c r="U5210" s="1"/>
      <c r="V5210" s="1"/>
      <c r="W5210" s="1"/>
      <c r="X5210" s="1"/>
    </row>
    <row x14ac:dyDescent="0.25" r="5211" customHeight="1" ht="18.75">
      <c r="A5211" s="1"/>
      <c r="B5211" s="1"/>
      <c r="C5211" s="1"/>
      <c r="D5211" s="1"/>
      <c r="E5211" s="1"/>
      <c r="F5211" s="1"/>
      <c r="G5211" s="1"/>
      <c r="H5211" s="1"/>
      <c r="I5211" s="2"/>
      <c r="J5211" s="1"/>
      <c r="K5211" s="1"/>
      <c r="L5211" s="1"/>
      <c r="M5211" s="1"/>
      <c r="N5211" s="1"/>
      <c r="O5211" s="1"/>
      <c r="P5211" s="1"/>
      <c r="Q5211" s="1"/>
      <c r="R5211" s="1"/>
      <c r="S5211" s="1"/>
      <c r="T5211" s="1"/>
      <c r="U5211" s="1"/>
      <c r="V5211" s="1"/>
      <c r="W5211" s="1"/>
      <c r="X5211" s="1"/>
    </row>
    <row x14ac:dyDescent="0.25" r="5212" customHeight="1" ht="18.75">
      <c r="A5212" s="1"/>
      <c r="B5212" s="1"/>
      <c r="C5212" s="1"/>
      <c r="D5212" s="1"/>
      <c r="E5212" s="1"/>
      <c r="F5212" s="1"/>
      <c r="G5212" s="1"/>
      <c r="H5212" s="1"/>
      <c r="I5212" s="2"/>
      <c r="J5212" s="1"/>
      <c r="K5212" s="1"/>
      <c r="L5212" s="1"/>
      <c r="M5212" s="1"/>
      <c r="N5212" s="1"/>
      <c r="O5212" s="1"/>
      <c r="P5212" s="1"/>
      <c r="Q5212" s="1"/>
      <c r="R5212" s="1"/>
      <c r="S5212" s="1"/>
      <c r="T5212" s="1"/>
      <c r="U5212" s="1"/>
      <c r="V5212" s="1"/>
      <c r="W5212" s="1"/>
      <c r="X5212" s="1"/>
    </row>
    <row x14ac:dyDescent="0.25" r="5213" customHeight="1" ht="18.75">
      <c r="A5213" s="1"/>
      <c r="B5213" s="1"/>
      <c r="C5213" s="1"/>
      <c r="D5213" s="1"/>
      <c r="E5213" s="1"/>
      <c r="F5213" s="1"/>
      <c r="G5213" s="1"/>
      <c r="H5213" s="1"/>
      <c r="I5213" s="2"/>
      <c r="J5213" s="1"/>
      <c r="K5213" s="1"/>
      <c r="L5213" s="1"/>
      <c r="M5213" s="1"/>
      <c r="N5213" s="1"/>
      <c r="O5213" s="1"/>
      <c r="P5213" s="1"/>
      <c r="Q5213" s="1"/>
      <c r="R5213" s="1"/>
      <c r="S5213" s="1"/>
      <c r="T5213" s="1"/>
      <c r="U5213" s="1"/>
      <c r="V5213" s="1"/>
      <c r="W5213" s="1"/>
      <c r="X5213" s="1"/>
    </row>
    <row x14ac:dyDescent="0.25" r="5214" customHeight="1" ht="18.75">
      <c r="A5214" s="1"/>
      <c r="B5214" s="1"/>
      <c r="C5214" s="1"/>
      <c r="D5214" s="1"/>
      <c r="E5214" s="1"/>
      <c r="F5214" s="1"/>
      <c r="G5214" s="1"/>
      <c r="H5214" s="1"/>
      <c r="I5214" s="2"/>
      <c r="J5214" s="1"/>
      <c r="K5214" s="1"/>
      <c r="L5214" s="1"/>
      <c r="M5214" s="1"/>
      <c r="N5214" s="1"/>
      <c r="O5214" s="1"/>
      <c r="P5214" s="1"/>
      <c r="Q5214" s="1"/>
      <c r="R5214" s="1"/>
      <c r="S5214" s="1"/>
      <c r="T5214" s="1"/>
      <c r="U5214" s="1"/>
      <c r="V5214" s="1"/>
      <c r="W5214" s="1"/>
      <c r="X5214" s="1"/>
    </row>
    <row x14ac:dyDescent="0.25" r="5215" customHeight="1" ht="18.75">
      <c r="A5215" s="1"/>
      <c r="B5215" s="1"/>
      <c r="C5215" s="1"/>
      <c r="D5215" s="1"/>
      <c r="E5215" s="1"/>
      <c r="F5215" s="1"/>
      <c r="G5215" s="1"/>
      <c r="H5215" s="1"/>
      <c r="I5215" s="2"/>
      <c r="J5215" s="1"/>
      <c r="K5215" s="1"/>
      <c r="L5215" s="1"/>
      <c r="M5215" s="1"/>
      <c r="N5215" s="1"/>
      <c r="O5215" s="1"/>
      <c r="P5215" s="1"/>
      <c r="Q5215" s="1"/>
      <c r="R5215" s="1"/>
      <c r="S5215" s="1"/>
      <c r="T5215" s="1"/>
      <c r="U5215" s="1"/>
      <c r="V5215" s="1"/>
      <c r="W5215" s="1"/>
      <c r="X5215" s="1"/>
    </row>
    <row x14ac:dyDescent="0.25" r="5216" customHeight="1" ht="18.75">
      <c r="A5216" s="1"/>
      <c r="B5216" s="1"/>
      <c r="C5216" s="1"/>
      <c r="D5216" s="1"/>
      <c r="E5216" s="1"/>
      <c r="F5216" s="1"/>
      <c r="G5216" s="1"/>
      <c r="H5216" s="1"/>
      <c r="I5216" s="2"/>
      <c r="J5216" s="1"/>
      <c r="K5216" s="1"/>
      <c r="L5216" s="1"/>
      <c r="M5216" s="1"/>
      <c r="N5216" s="1"/>
      <c r="O5216" s="1"/>
      <c r="P5216" s="1"/>
      <c r="Q5216" s="1"/>
      <c r="R5216" s="1"/>
      <c r="S5216" s="1"/>
      <c r="T5216" s="1"/>
      <c r="U5216" s="1"/>
      <c r="V5216" s="1"/>
      <c r="W5216" s="1"/>
      <c r="X5216" s="1"/>
    </row>
    <row x14ac:dyDescent="0.25" r="5217" customHeight="1" ht="18.75">
      <c r="A5217" s="1"/>
      <c r="B5217" s="1"/>
      <c r="C5217" s="1"/>
      <c r="D5217" s="1"/>
      <c r="E5217" s="1"/>
      <c r="F5217" s="1"/>
      <c r="G5217" s="1"/>
      <c r="H5217" s="1"/>
      <c r="I5217" s="2"/>
      <c r="J5217" s="1"/>
      <c r="K5217" s="1"/>
      <c r="L5217" s="1"/>
      <c r="M5217" s="1"/>
      <c r="N5217" s="1"/>
      <c r="O5217" s="1"/>
      <c r="P5217" s="1"/>
      <c r="Q5217" s="1"/>
      <c r="R5217" s="1"/>
      <c r="S5217" s="1"/>
      <c r="T5217" s="1"/>
      <c r="U5217" s="1"/>
      <c r="V5217" s="1"/>
      <c r="W5217" s="1"/>
      <c r="X5217" s="1"/>
    </row>
    <row x14ac:dyDescent="0.25" r="5218" customHeight="1" ht="18.75">
      <c r="A5218" s="1"/>
      <c r="B5218" s="1"/>
      <c r="C5218" s="1"/>
      <c r="D5218" s="1"/>
      <c r="E5218" s="1"/>
      <c r="F5218" s="1"/>
      <c r="G5218" s="1"/>
      <c r="H5218" s="1"/>
      <c r="I5218" s="2"/>
      <c r="J5218" s="1"/>
      <c r="K5218" s="1"/>
      <c r="L5218" s="1"/>
      <c r="M5218" s="1"/>
      <c r="N5218" s="1"/>
      <c r="O5218" s="1"/>
      <c r="P5218" s="1"/>
      <c r="Q5218" s="1"/>
      <c r="R5218" s="1"/>
      <c r="S5218" s="1"/>
      <c r="T5218" s="1"/>
      <c r="U5218" s="1"/>
      <c r="V5218" s="1"/>
      <c r="W5218" s="1"/>
      <c r="X5218" s="1"/>
    </row>
    <row x14ac:dyDescent="0.25" r="5219" customHeight="1" ht="18.75">
      <c r="A5219" s="1"/>
      <c r="B5219" s="1"/>
      <c r="C5219" s="1"/>
      <c r="D5219" s="1"/>
      <c r="E5219" s="1"/>
      <c r="F5219" s="1"/>
      <c r="G5219" s="1"/>
      <c r="H5219" s="1"/>
      <c r="I5219" s="2"/>
      <c r="J5219" s="1"/>
      <c r="K5219" s="1"/>
      <c r="L5219" s="1"/>
      <c r="M5219" s="1"/>
      <c r="N5219" s="1"/>
      <c r="O5219" s="1"/>
      <c r="P5219" s="1"/>
      <c r="Q5219" s="1"/>
      <c r="R5219" s="1"/>
      <c r="S5219" s="1"/>
      <c r="T5219" s="1"/>
      <c r="U5219" s="1"/>
      <c r="V5219" s="1"/>
      <c r="W5219" s="1"/>
      <c r="X5219" s="1"/>
    </row>
    <row x14ac:dyDescent="0.25" r="5220" customHeight="1" ht="18.75">
      <c r="A5220" s="1"/>
      <c r="B5220" s="1"/>
      <c r="C5220" s="1"/>
      <c r="D5220" s="1"/>
      <c r="E5220" s="1"/>
      <c r="F5220" s="1"/>
      <c r="G5220" s="1"/>
      <c r="H5220" s="1"/>
      <c r="I5220" s="2"/>
      <c r="J5220" s="1"/>
      <c r="K5220" s="1"/>
      <c r="L5220" s="1"/>
      <c r="M5220" s="1"/>
      <c r="N5220" s="1"/>
      <c r="O5220" s="1"/>
      <c r="P5220" s="1"/>
      <c r="Q5220" s="1"/>
      <c r="R5220" s="1"/>
      <c r="S5220" s="1"/>
      <c r="T5220" s="1"/>
      <c r="U5220" s="1"/>
      <c r="V5220" s="1"/>
      <c r="W5220" s="1"/>
      <c r="X5220" s="1"/>
    </row>
    <row x14ac:dyDescent="0.25" r="5221" customHeight="1" ht="18.75">
      <c r="A5221" s="1"/>
      <c r="B5221" s="1"/>
      <c r="C5221" s="1"/>
      <c r="D5221" s="1"/>
      <c r="E5221" s="1"/>
      <c r="F5221" s="1"/>
      <c r="G5221" s="1"/>
      <c r="H5221" s="1"/>
      <c r="I5221" s="2"/>
      <c r="J5221" s="1"/>
      <c r="K5221" s="1"/>
      <c r="L5221" s="1"/>
      <c r="M5221" s="1"/>
      <c r="N5221" s="1"/>
      <c r="O5221" s="1"/>
      <c r="P5221" s="1"/>
      <c r="Q5221" s="1"/>
      <c r="R5221" s="1"/>
      <c r="S5221" s="1"/>
      <c r="T5221" s="1"/>
      <c r="U5221" s="1"/>
      <c r="V5221" s="1"/>
      <c r="W5221" s="1"/>
      <c r="X5221" s="1"/>
    </row>
    <row x14ac:dyDescent="0.25" r="5222" customHeight="1" ht="18.75">
      <c r="A5222" s="1"/>
      <c r="B5222" s="1"/>
      <c r="C5222" s="1"/>
      <c r="D5222" s="1"/>
      <c r="E5222" s="1"/>
      <c r="F5222" s="1"/>
      <c r="G5222" s="1"/>
      <c r="H5222" s="1"/>
      <c r="I5222" s="2"/>
      <c r="J5222" s="1"/>
      <c r="K5222" s="1"/>
      <c r="L5222" s="1"/>
      <c r="M5222" s="1"/>
      <c r="N5222" s="1"/>
      <c r="O5222" s="1"/>
      <c r="P5222" s="1"/>
      <c r="Q5222" s="1"/>
      <c r="R5222" s="1"/>
      <c r="S5222" s="1"/>
      <c r="T5222" s="1"/>
      <c r="U5222" s="1"/>
      <c r="V5222" s="1"/>
      <c r="W5222" s="1"/>
      <c r="X5222" s="1"/>
    </row>
    <row x14ac:dyDescent="0.25" r="5223" customHeight="1" ht="18.75">
      <c r="A5223" s="1"/>
      <c r="B5223" s="1"/>
      <c r="C5223" s="1"/>
      <c r="D5223" s="1"/>
      <c r="E5223" s="1"/>
      <c r="F5223" s="1"/>
      <c r="G5223" s="1"/>
      <c r="H5223" s="1"/>
      <c r="I5223" s="2"/>
      <c r="J5223" s="1"/>
      <c r="K5223" s="1"/>
      <c r="L5223" s="1"/>
      <c r="M5223" s="1"/>
      <c r="N5223" s="1"/>
      <c r="O5223" s="1"/>
      <c r="P5223" s="1"/>
      <c r="Q5223" s="1"/>
      <c r="R5223" s="1"/>
      <c r="S5223" s="1"/>
      <c r="T5223" s="1"/>
      <c r="U5223" s="1"/>
      <c r="V5223" s="1"/>
      <c r="W5223" s="1"/>
      <c r="X5223" s="1"/>
    </row>
    <row x14ac:dyDescent="0.25" r="5224" customHeight="1" ht="18.75">
      <c r="A5224" s="1"/>
      <c r="B5224" s="1"/>
      <c r="C5224" s="1"/>
      <c r="D5224" s="1"/>
      <c r="E5224" s="1"/>
      <c r="F5224" s="1"/>
      <c r="G5224" s="1"/>
      <c r="H5224" s="1"/>
      <c r="I5224" s="2"/>
      <c r="J5224" s="1"/>
      <c r="K5224" s="1"/>
      <c r="L5224" s="1"/>
      <c r="M5224" s="1"/>
      <c r="N5224" s="1"/>
      <c r="O5224" s="1"/>
      <c r="P5224" s="1"/>
      <c r="Q5224" s="1"/>
      <c r="R5224" s="1"/>
      <c r="S5224" s="1"/>
      <c r="T5224" s="1"/>
      <c r="U5224" s="1"/>
      <c r="V5224" s="1"/>
      <c r="W5224" s="1"/>
      <c r="X5224" s="1"/>
    </row>
    <row x14ac:dyDescent="0.25" r="5225" customHeight="1" ht="18.75">
      <c r="A5225" s="1"/>
      <c r="B5225" s="1"/>
      <c r="C5225" s="1"/>
      <c r="D5225" s="1"/>
      <c r="E5225" s="1"/>
      <c r="F5225" s="1"/>
      <c r="G5225" s="1"/>
      <c r="H5225" s="1"/>
      <c r="I5225" s="2"/>
      <c r="J5225" s="1"/>
      <c r="K5225" s="1"/>
      <c r="L5225" s="1"/>
      <c r="M5225" s="1"/>
      <c r="N5225" s="1"/>
      <c r="O5225" s="1"/>
      <c r="P5225" s="1"/>
      <c r="Q5225" s="1"/>
      <c r="R5225" s="1"/>
      <c r="S5225" s="1"/>
      <c r="T5225" s="1"/>
      <c r="U5225" s="1"/>
      <c r="V5225" s="1"/>
      <c r="W5225" s="1"/>
      <c r="X5225" s="1"/>
    </row>
    <row x14ac:dyDescent="0.25" r="5226" customHeight="1" ht="18.75">
      <c r="A5226" s="1"/>
      <c r="B5226" s="1"/>
      <c r="C5226" s="1"/>
      <c r="D5226" s="1"/>
      <c r="E5226" s="1"/>
      <c r="F5226" s="1"/>
      <c r="G5226" s="1"/>
      <c r="H5226" s="1"/>
      <c r="I5226" s="2"/>
      <c r="J5226" s="1"/>
      <c r="K5226" s="1"/>
      <c r="L5226" s="1"/>
      <c r="M5226" s="1"/>
      <c r="N5226" s="1"/>
      <c r="O5226" s="1"/>
      <c r="P5226" s="1"/>
      <c r="Q5226" s="1"/>
      <c r="R5226" s="1"/>
      <c r="S5226" s="1"/>
      <c r="T5226" s="1"/>
      <c r="U5226" s="1"/>
      <c r="V5226" s="1"/>
      <c r="W5226" s="1"/>
      <c r="X5226" s="1"/>
    </row>
    <row x14ac:dyDescent="0.25" r="5227" customHeight="1" ht="18.75">
      <c r="A5227" s="1"/>
      <c r="B5227" s="1"/>
      <c r="C5227" s="1"/>
      <c r="D5227" s="1"/>
      <c r="E5227" s="1"/>
      <c r="F5227" s="1"/>
      <c r="G5227" s="1"/>
      <c r="H5227" s="1"/>
      <c r="I5227" s="2"/>
      <c r="J5227" s="1"/>
      <c r="K5227" s="1"/>
      <c r="L5227" s="1"/>
      <c r="M5227" s="1"/>
      <c r="N5227" s="1"/>
      <c r="O5227" s="1"/>
      <c r="P5227" s="1"/>
      <c r="Q5227" s="1"/>
      <c r="R5227" s="1"/>
      <c r="S5227" s="1"/>
      <c r="T5227" s="1"/>
      <c r="U5227" s="1"/>
      <c r="V5227" s="1"/>
      <c r="W5227" s="1"/>
      <c r="X5227" s="1"/>
    </row>
    <row x14ac:dyDescent="0.25" r="5228" customHeight="1" ht="18.75">
      <c r="A5228" s="1"/>
      <c r="B5228" s="1"/>
      <c r="C5228" s="1"/>
      <c r="D5228" s="1"/>
      <c r="E5228" s="1"/>
      <c r="F5228" s="1"/>
      <c r="G5228" s="1"/>
      <c r="H5228" s="1"/>
      <c r="I5228" s="2"/>
      <c r="J5228" s="1"/>
      <c r="K5228" s="1"/>
      <c r="L5228" s="1"/>
      <c r="M5228" s="1"/>
      <c r="N5228" s="1"/>
      <c r="O5228" s="1"/>
      <c r="P5228" s="1"/>
      <c r="Q5228" s="1"/>
      <c r="R5228" s="1"/>
      <c r="S5228" s="1"/>
      <c r="T5228" s="1"/>
      <c r="U5228" s="1"/>
      <c r="V5228" s="1"/>
      <c r="W5228" s="1"/>
      <c r="X5228" s="1"/>
    </row>
    <row x14ac:dyDescent="0.25" r="5229" customHeight="1" ht="18.75">
      <c r="A5229" s="1"/>
      <c r="B5229" s="1"/>
      <c r="C5229" s="1"/>
      <c r="D5229" s="1"/>
      <c r="E5229" s="1"/>
      <c r="F5229" s="1"/>
      <c r="G5229" s="1"/>
      <c r="H5229" s="1"/>
      <c r="I5229" s="2"/>
      <c r="J5229" s="1"/>
      <c r="K5229" s="1"/>
      <c r="L5229" s="1"/>
      <c r="M5229" s="1"/>
      <c r="N5229" s="1"/>
      <c r="O5229" s="1"/>
      <c r="P5229" s="1"/>
      <c r="Q5229" s="1"/>
      <c r="R5229" s="1"/>
      <c r="S5229" s="1"/>
      <c r="T5229" s="1"/>
      <c r="U5229" s="1"/>
      <c r="V5229" s="1"/>
      <c r="W5229" s="1"/>
      <c r="X5229" s="1"/>
    </row>
    <row x14ac:dyDescent="0.25" r="5230" customHeight="1" ht="18.75">
      <c r="A5230" s="1"/>
      <c r="B5230" s="1"/>
      <c r="C5230" s="1"/>
      <c r="D5230" s="1"/>
      <c r="E5230" s="1"/>
      <c r="F5230" s="1"/>
      <c r="G5230" s="1"/>
      <c r="H5230" s="1"/>
      <c r="I5230" s="2"/>
      <c r="J5230" s="1"/>
      <c r="K5230" s="1"/>
      <c r="L5230" s="1"/>
      <c r="M5230" s="1"/>
      <c r="N5230" s="1"/>
      <c r="O5230" s="1"/>
      <c r="P5230" s="1"/>
      <c r="Q5230" s="1"/>
      <c r="R5230" s="1"/>
      <c r="S5230" s="1"/>
      <c r="T5230" s="1"/>
      <c r="U5230" s="1"/>
      <c r="V5230" s="1"/>
      <c r="W5230" s="1"/>
      <c r="X5230" s="1"/>
    </row>
    <row x14ac:dyDescent="0.25" r="5231" customHeight="1" ht="18.75">
      <c r="A5231" s="1"/>
      <c r="B5231" s="1"/>
      <c r="C5231" s="1"/>
      <c r="D5231" s="1"/>
      <c r="E5231" s="1"/>
      <c r="F5231" s="1"/>
      <c r="G5231" s="1"/>
      <c r="H5231" s="1"/>
      <c r="I5231" s="2"/>
      <c r="J5231" s="1"/>
      <c r="K5231" s="1"/>
      <c r="L5231" s="1"/>
      <c r="M5231" s="1"/>
      <c r="N5231" s="1"/>
      <c r="O5231" s="1"/>
      <c r="P5231" s="1"/>
      <c r="Q5231" s="1"/>
      <c r="R5231" s="1"/>
      <c r="S5231" s="1"/>
      <c r="T5231" s="1"/>
      <c r="U5231" s="1"/>
      <c r="V5231" s="1"/>
      <c r="W5231" s="1"/>
      <c r="X5231" s="1"/>
    </row>
    <row x14ac:dyDescent="0.25" r="5232" customHeight="1" ht="18.75">
      <c r="A5232" s="1"/>
      <c r="B5232" s="1"/>
      <c r="C5232" s="1"/>
      <c r="D5232" s="1"/>
      <c r="E5232" s="1"/>
      <c r="F5232" s="1"/>
      <c r="G5232" s="1"/>
      <c r="H5232" s="1"/>
      <c r="I5232" s="2"/>
      <c r="J5232" s="1"/>
      <c r="K5232" s="1"/>
      <c r="L5232" s="1"/>
      <c r="M5232" s="1"/>
      <c r="N5232" s="1"/>
      <c r="O5232" s="1"/>
      <c r="P5232" s="1"/>
      <c r="Q5232" s="1"/>
      <c r="R5232" s="1"/>
      <c r="S5232" s="1"/>
      <c r="T5232" s="1"/>
      <c r="U5232" s="1"/>
      <c r="V5232" s="1"/>
      <c r="W5232" s="1"/>
      <c r="X5232" s="1"/>
    </row>
    <row x14ac:dyDescent="0.25" r="5233" customHeight="1" ht="18.75">
      <c r="A5233" s="1"/>
      <c r="B5233" s="1"/>
      <c r="C5233" s="1"/>
      <c r="D5233" s="1"/>
      <c r="E5233" s="1"/>
      <c r="F5233" s="1"/>
      <c r="G5233" s="1"/>
      <c r="H5233" s="1"/>
      <c r="I5233" s="2"/>
      <c r="J5233" s="1"/>
      <c r="K5233" s="1"/>
      <c r="L5233" s="1"/>
      <c r="M5233" s="1"/>
      <c r="N5233" s="1"/>
      <c r="O5233" s="1"/>
      <c r="P5233" s="1"/>
      <c r="Q5233" s="1"/>
      <c r="R5233" s="1"/>
      <c r="S5233" s="1"/>
      <c r="T5233" s="1"/>
      <c r="U5233" s="1"/>
      <c r="V5233" s="1"/>
      <c r="W5233" s="1"/>
      <c r="X5233" s="1"/>
    </row>
    <row x14ac:dyDescent="0.25" r="5234" customHeight="1" ht="18.75">
      <c r="A5234" s="1"/>
      <c r="B5234" s="1"/>
      <c r="C5234" s="1"/>
      <c r="D5234" s="1"/>
      <c r="E5234" s="1"/>
      <c r="F5234" s="1"/>
      <c r="G5234" s="1"/>
      <c r="H5234" s="1"/>
      <c r="I5234" s="2"/>
      <c r="J5234" s="1"/>
      <c r="K5234" s="1"/>
      <c r="L5234" s="1"/>
      <c r="M5234" s="1"/>
      <c r="N5234" s="1"/>
      <c r="O5234" s="1"/>
      <c r="P5234" s="1"/>
      <c r="Q5234" s="1"/>
      <c r="R5234" s="1"/>
      <c r="S5234" s="1"/>
      <c r="T5234" s="1"/>
      <c r="U5234" s="1"/>
      <c r="V5234" s="1"/>
      <c r="W5234" s="1"/>
      <c r="X5234" s="1"/>
    </row>
    <row x14ac:dyDescent="0.25" r="5235" customHeight="1" ht="18.75">
      <c r="A5235" s="1"/>
      <c r="B5235" s="1"/>
      <c r="C5235" s="1"/>
      <c r="D5235" s="1"/>
      <c r="E5235" s="1"/>
      <c r="F5235" s="1"/>
      <c r="G5235" s="1"/>
      <c r="H5235" s="1"/>
      <c r="I5235" s="2"/>
      <c r="J5235" s="1"/>
      <c r="K5235" s="1"/>
      <c r="L5235" s="1"/>
      <c r="M5235" s="1"/>
      <c r="N5235" s="1"/>
      <c r="O5235" s="1"/>
      <c r="P5235" s="1"/>
      <c r="Q5235" s="1"/>
      <c r="R5235" s="1"/>
      <c r="S5235" s="1"/>
      <c r="T5235" s="1"/>
      <c r="U5235" s="1"/>
      <c r="V5235" s="1"/>
      <c r="W5235" s="1"/>
      <c r="X5235" s="1"/>
    </row>
    <row x14ac:dyDescent="0.25" r="5236" customHeight="1" ht="18.75">
      <c r="A5236" s="1"/>
      <c r="B5236" s="1"/>
      <c r="C5236" s="1"/>
      <c r="D5236" s="1"/>
      <c r="E5236" s="1"/>
      <c r="F5236" s="1"/>
      <c r="G5236" s="1"/>
      <c r="H5236" s="1"/>
      <c r="I5236" s="2"/>
      <c r="J5236" s="1"/>
      <c r="K5236" s="1"/>
      <c r="L5236" s="1"/>
      <c r="M5236" s="1"/>
      <c r="N5236" s="1"/>
      <c r="O5236" s="1"/>
      <c r="P5236" s="1"/>
      <c r="Q5236" s="1"/>
      <c r="R5236" s="1"/>
      <c r="S5236" s="1"/>
      <c r="T5236" s="1"/>
      <c r="U5236" s="1"/>
      <c r="V5236" s="1"/>
      <c r="W5236" s="1"/>
      <c r="X5236" s="1"/>
    </row>
    <row x14ac:dyDescent="0.25" r="5237" customHeight="1" ht="18.75">
      <c r="A5237" s="1"/>
      <c r="B5237" s="1"/>
      <c r="C5237" s="1"/>
      <c r="D5237" s="1"/>
      <c r="E5237" s="1"/>
      <c r="F5237" s="1"/>
      <c r="G5237" s="1"/>
      <c r="H5237" s="1"/>
      <c r="I5237" s="2"/>
      <c r="J5237" s="1"/>
      <c r="K5237" s="1"/>
      <c r="L5237" s="1"/>
      <c r="M5237" s="1"/>
      <c r="N5237" s="1"/>
      <c r="O5237" s="1"/>
      <c r="P5237" s="1"/>
      <c r="Q5237" s="1"/>
      <c r="R5237" s="1"/>
      <c r="S5237" s="1"/>
      <c r="T5237" s="1"/>
      <c r="U5237" s="1"/>
      <c r="V5237" s="1"/>
      <c r="W5237" s="1"/>
      <c r="X5237" s="1"/>
    </row>
    <row x14ac:dyDescent="0.25" r="5238" customHeight="1" ht="18.75">
      <c r="A5238" s="1"/>
      <c r="B5238" s="1"/>
      <c r="C5238" s="1"/>
      <c r="D5238" s="1"/>
      <c r="E5238" s="1"/>
      <c r="F5238" s="1"/>
      <c r="G5238" s="1"/>
      <c r="H5238" s="1"/>
      <c r="I5238" s="2"/>
      <c r="J5238" s="1"/>
      <c r="K5238" s="1"/>
      <c r="L5238" s="1"/>
      <c r="M5238" s="1"/>
      <c r="N5238" s="1"/>
      <c r="O5238" s="1"/>
      <c r="P5238" s="1"/>
      <c r="Q5238" s="1"/>
      <c r="R5238" s="1"/>
      <c r="S5238" s="1"/>
      <c r="T5238" s="1"/>
      <c r="U5238" s="1"/>
      <c r="V5238" s="1"/>
      <c r="W5238" s="1"/>
      <c r="X5238" s="1"/>
    </row>
    <row x14ac:dyDescent="0.25" r="5239" customHeight="1" ht="18.75">
      <c r="A5239" s="1"/>
      <c r="B5239" s="1"/>
      <c r="C5239" s="1"/>
      <c r="D5239" s="1"/>
      <c r="E5239" s="1"/>
      <c r="F5239" s="1"/>
      <c r="G5239" s="1"/>
      <c r="H5239" s="1"/>
      <c r="I5239" s="2"/>
      <c r="J5239" s="1"/>
      <c r="K5239" s="1"/>
      <c r="L5239" s="1"/>
      <c r="M5239" s="1"/>
      <c r="N5239" s="1"/>
      <c r="O5239" s="1"/>
      <c r="P5239" s="1"/>
      <c r="Q5239" s="1"/>
      <c r="R5239" s="1"/>
      <c r="S5239" s="1"/>
      <c r="T5239" s="1"/>
      <c r="U5239" s="1"/>
      <c r="V5239" s="1"/>
      <c r="W5239" s="1"/>
      <c r="X5239" s="1"/>
    </row>
    <row x14ac:dyDescent="0.25" r="5240" customHeight="1" ht="18.75">
      <c r="A5240" s="1"/>
      <c r="B5240" s="1"/>
      <c r="C5240" s="1"/>
      <c r="D5240" s="1"/>
      <c r="E5240" s="1"/>
      <c r="F5240" s="1"/>
      <c r="G5240" s="1"/>
      <c r="H5240" s="1"/>
      <c r="I5240" s="2"/>
      <c r="J5240" s="1"/>
      <c r="K5240" s="1"/>
      <c r="L5240" s="1"/>
      <c r="M5240" s="1"/>
      <c r="N5240" s="1"/>
      <c r="O5240" s="1"/>
      <c r="P5240" s="1"/>
      <c r="Q5240" s="1"/>
      <c r="R5240" s="1"/>
      <c r="S5240" s="1"/>
      <c r="T5240" s="1"/>
      <c r="U5240" s="1"/>
      <c r="V5240" s="1"/>
      <c r="W5240" s="1"/>
      <c r="X5240" s="1"/>
    </row>
    <row x14ac:dyDescent="0.25" r="5241" customHeight="1" ht="18.75">
      <c r="A5241" s="1"/>
      <c r="B5241" s="1"/>
      <c r="C5241" s="1"/>
      <c r="D5241" s="1"/>
      <c r="E5241" s="1"/>
      <c r="F5241" s="1"/>
      <c r="G5241" s="1"/>
      <c r="H5241" s="1"/>
      <c r="I5241" s="2"/>
      <c r="J5241" s="1"/>
      <c r="K5241" s="1"/>
      <c r="L5241" s="1"/>
      <c r="M5241" s="1"/>
      <c r="N5241" s="1"/>
      <c r="O5241" s="1"/>
      <c r="P5241" s="1"/>
      <c r="Q5241" s="1"/>
      <c r="R5241" s="1"/>
      <c r="S5241" s="1"/>
      <c r="T5241" s="1"/>
      <c r="U5241" s="1"/>
      <c r="V5241" s="1"/>
      <c r="W5241" s="1"/>
      <c r="X5241" s="1"/>
    </row>
    <row x14ac:dyDescent="0.25" r="5242" customHeight="1" ht="18.75">
      <c r="A5242" s="1"/>
      <c r="B5242" s="1"/>
      <c r="C5242" s="1"/>
      <c r="D5242" s="1"/>
      <c r="E5242" s="1"/>
      <c r="F5242" s="1"/>
      <c r="G5242" s="1"/>
      <c r="H5242" s="1"/>
      <c r="I5242" s="2"/>
      <c r="J5242" s="1"/>
      <c r="K5242" s="1"/>
      <c r="L5242" s="1"/>
      <c r="M5242" s="1"/>
      <c r="N5242" s="1"/>
      <c r="O5242" s="1"/>
      <c r="P5242" s="1"/>
      <c r="Q5242" s="1"/>
      <c r="R5242" s="1"/>
      <c r="S5242" s="1"/>
      <c r="T5242" s="1"/>
      <c r="U5242" s="1"/>
      <c r="V5242" s="1"/>
      <c r="W5242" s="1"/>
      <c r="X5242" s="1"/>
    </row>
    <row x14ac:dyDescent="0.25" r="5243" customHeight="1" ht="18.75">
      <c r="A5243" s="1"/>
      <c r="B5243" s="1"/>
      <c r="C5243" s="1"/>
      <c r="D5243" s="1"/>
      <c r="E5243" s="1"/>
      <c r="F5243" s="1"/>
      <c r="G5243" s="1"/>
      <c r="H5243" s="1"/>
      <c r="I5243" s="2"/>
      <c r="J5243" s="1"/>
      <c r="K5243" s="1"/>
      <c r="L5243" s="1"/>
      <c r="M5243" s="1"/>
      <c r="N5243" s="1"/>
      <c r="O5243" s="1"/>
      <c r="P5243" s="1"/>
      <c r="Q5243" s="1"/>
      <c r="R5243" s="1"/>
      <c r="S5243" s="1"/>
      <c r="T5243" s="1"/>
      <c r="U5243" s="1"/>
      <c r="V5243" s="1"/>
      <c r="W5243" s="1"/>
      <c r="X5243" s="1"/>
    </row>
    <row x14ac:dyDescent="0.25" r="5244" customHeight="1" ht="18.75">
      <c r="A5244" s="1"/>
      <c r="B5244" s="1"/>
      <c r="C5244" s="1"/>
      <c r="D5244" s="1"/>
      <c r="E5244" s="1"/>
      <c r="F5244" s="1"/>
      <c r="G5244" s="1"/>
      <c r="H5244" s="1"/>
      <c r="I5244" s="2"/>
      <c r="J5244" s="1"/>
      <c r="K5244" s="1"/>
      <c r="L5244" s="1"/>
      <c r="M5244" s="1"/>
      <c r="N5244" s="1"/>
      <c r="O5244" s="1"/>
      <c r="P5244" s="1"/>
      <c r="Q5244" s="1"/>
      <c r="R5244" s="1"/>
      <c r="S5244" s="1"/>
      <c r="T5244" s="1"/>
      <c r="U5244" s="1"/>
      <c r="V5244" s="1"/>
      <c r="W5244" s="1"/>
      <c r="X5244" s="1"/>
    </row>
    <row x14ac:dyDescent="0.25" r="5245" customHeight="1" ht="18.75">
      <c r="A5245" s="1"/>
      <c r="B5245" s="1"/>
      <c r="C5245" s="1"/>
      <c r="D5245" s="1"/>
      <c r="E5245" s="1"/>
      <c r="F5245" s="1"/>
      <c r="G5245" s="1"/>
      <c r="H5245" s="1"/>
      <c r="I5245" s="2"/>
      <c r="J5245" s="1"/>
      <c r="K5245" s="1"/>
      <c r="L5245" s="1"/>
      <c r="M5245" s="1"/>
      <c r="N5245" s="1"/>
      <c r="O5245" s="1"/>
      <c r="P5245" s="1"/>
      <c r="Q5245" s="1"/>
      <c r="R5245" s="1"/>
      <c r="S5245" s="1"/>
      <c r="T5245" s="1"/>
      <c r="U5245" s="1"/>
      <c r="V5245" s="1"/>
      <c r="W5245" s="1"/>
      <c r="X5245" s="1"/>
    </row>
    <row x14ac:dyDescent="0.25" r="5246" customHeight="1" ht="18.75">
      <c r="A5246" s="1"/>
      <c r="B5246" s="1"/>
      <c r="C5246" s="1"/>
      <c r="D5246" s="1"/>
      <c r="E5246" s="1"/>
      <c r="F5246" s="1"/>
      <c r="G5246" s="1"/>
      <c r="H5246" s="1"/>
      <c r="I5246" s="2"/>
      <c r="J5246" s="1"/>
      <c r="K5246" s="1"/>
      <c r="L5246" s="1"/>
      <c r="M5246" s="1"/>
      <c r="N5246" s="1"/>
      <c r="O5246" s="1"/>
      <c r="P5246" s="1"/>
      <c r="Q5246" s="1"/>
      <c r="R5246" s="1"/>
      <c r="S5246" s="1"/>
      <c r="T5246" s="1"/>
      <c r="U5246" s="1"/>
      <c r="V5246" s="1"/>
      <c r="W5246" s="1"/>
      <c r="X5246" s="1"/>
    </row>
    <row x14ac:dyDescent="0.25" r="5247" customHeight="1" ht="18.75">
      <c r="A5247" s="1"/>
      <c r="B5247" s="1"/>
      <c r="C5247" s="1"/>
      <c r="D5247" s="1"/>
      <c r="E5247" s="1"/>
      <c r="F5247" s="1"/>
      <c r="G5247" s="1"/>
      <c r="H5247" s="1"/>
      <c r="I5247" s="2"/>
      <c r="J5247" s="1"/>
      <c r="K5247" s="1"/>
      <c r="L5247" s="1"/>
      <c r="M5247" s="1"/>
      <c r="N5247" s="1"/>
      <c r="O5247" s="1"/>
      <c r="P5247" s="1"/>
      <c r="Q5247" s="1"/>
      <c r="R5247" s="1"/>
      <c r="S5247" s="1"/>
      <c r="T5247" s="1"/>
      <c r="U5247" s="1"/>
      <c r="V5247" s="1"/>
      <c r="W5247" s="1"/>
      <c r="X5247" s="1"/>
    </row>
    <row x14ac:dyDescent="0.25" r="5248" customHeight="1" ht="18.75">
      <c r="A5248" s="1"/>
      <c r="B5248" s="1"/>
      <c r="C5248" s="1"/>
      <c r="D5248" s="1"/>
      <c r="E5248" s="1"/>
      <c r="F5248" s="1"/>
      <c r="G5248" s="1"/>
      <c r="H5248" s="1"/>
      <c r="I5248" s="2"/>
      <c r="J5248" s="1"/>
      <c r="K5248" s="1"/>
      <c r="L5248" s="1"/>
      <c r="M5248" s="1"/>
      <c r="N5248" s="1"/>
      <c r="O5248" s="1"/>
      <c r="P5248" s="1"/>
      <c r="Q5248" s="1"/>
      <c r="R5248" s="1"/>
      <c r="S5248" s="1"/>
      <c r="T5248" s="1"/>
      <c r="U5248" s="1"/>
      <c r="V5248" s="1"/>
      <c r="W5248" s="1"/>
      <c r="X5248" s="1"/>
    </row>
    <row x14ac:dyDescent="0.25" r="5249" customHeight="1" ht="18.75">
      <c r="A5249" s="1"/>
      <c r="B5249" s="1"/>
      <c r="C5249" s="1"/>
      <c r="D5249" s="1"/>
      <c r="E5249" s="1"/>
      <c r="F5249" s="1"/>
      <c r="G5249" s="1"/>
      <c r="H5249" s="1"/>
      <c r="I5249" s="2"/>
      <c r="J5249" s="1"/>
      <c r="K5249" s="1"/>
      <c r="L5249" s="1"/>
      <c r="M5249" s="1"/>
      <c r="N5249" s="1"/>
      <c r="O5249" s="1"/>
      <c r="P5249" s="1"/>
      <c r="Q5249" s="1"/>
      <c r="R5249" s="1"/>
      <c r="S5249" s="1"/>
      <c r="T5249" s="1"/>
      <c r="U5249" s="1"/>
      <c r="V5249" s="1"/>
      <c r="W5249" s="1"/>
      <c r="X5249" s="1"/>
    </row>
    <row x14ac:dyDescent="0.25" r="5250" customHeight="1" ht="18.75">
      <c r="A5250" s="1"/>
      <c r="B5250" s="1"/>
      <c r="C5250" s="1"/>
      <c r="D5250" s="1"/>
      <c r="E5250" s="1"/>
      <c r="F5250" s="1"/>
      <c r="G5250" s="1"/>
      <c r="H5250" s="1"/>
      <c r="I5250" s="2"/>
      <c r="J5250" s="1"/>
      <c r="K5250" s="1"/>
      <c r="L5250" s="1"/>
      <c r="M5250" s="1"/>
      <c r="N5250" s="1"/>
      <c r="O5250" s="1"/>
      <c r="P5250" s="1"/>
      <c r="Q5250" s="1"/>
      <c r="R5250" s="1"/>
      <c r="S5250" s="1"/>
      <c r="T5250" s="1"/>
      <c r="U5250" s="1"/>
      <c r="V5250" s="1"/>
      <c r="W5250" s="1"/>
      <c r="X5250" s="1"/>
    </row>
    <row x14ac:dyDescent="0.25" r="5251" customHeight="1" ht="18.75">
      <c r="A5251" s="1"/>
      <c r="B5251" s="1"/>
      <c r="C5251" s="1"/>
      <c r="D5251" s="1"/>
      <c r="E5251" s="1"/>
      <c r="F5251" s="1"/>
      <c r="G5251" s="1"/>
      <c r="H5251" s="1"/>
      <c r="I5251" s="2"/>
      <c r="J5251" s="1"/>
      <c r="K5251" s="1"/>
      <c r="L5251" s="1"/>
      <c r="M5251" s="1"/>
      <c r="N5251" s="1"/>
      <c r="O5251" s="1"/>
      <c r="P5251" s="1"/>
      <c r="Q5251" s="1"/>
      <c r="R5251" s="1"/>
      <c r="S5251" s="1"/>
      <c r="T5251" s="1"/>
      <c r="U5251" s="1"/>
      <c r="V5251" s="1"/>
      <c r="W5251" s="1"/>
      <c r="X5251" s="1"/>
    </row>
    <row x14ac:dyDescent="0.25" r="5252" customHeight="1" ht="18.75">
      <c r="A5252" s="1"/>
      <c r="B5252" s="1"/>
      <c r="C5252" s="1"/>
      <c r="D5252" s="1"/>
      <c r="E5252" s="1"/>
      <c r="F5252" s="1"/>
      <c r="G5252" s="1"/>
      <c r="H5252" s="1"/>
      <c r="I5252" s="2"/>
      <c r="J5252" s="1"/>
      <c r="K5252" s="1"/>
      <c r="L5252" s="1"/>
      <c r="M5252" s="1"/>
      <c r="N5252" s="1"/>
      <c r="O5252" s="1"/>
      <c r="P5252" s="1"/>
      <c r="Q5252" s="1"/>
      <c r="R5252" s="1"/>
      <c r="S5252" s="1"/>
      <c r="T5252" s="1"/>
      <c r="U5252" s="1"/>
      <c r="V5252" s="1"/>
      <c r="W5252" s="1"/>
      <c r="X5252" s="1"/>
    </row>
    <row x14ac:dyDescent="0.25" r="5253" customHeight="1" ht="18.75">
      <c r="A5253" s="1"/>
      <c r="B5253" s="1"/>
      <c r="C5253" s="1"/>
      <c r="D5253" s="1"/>
      <c r="E5253" s="1"/>
      <c r="F5253" s="1"/>
      <c r="G5253" s="1"/>
      <c r="H5253" s="1"/>
      <c r="I5253" s="2"/>
      <c r="J5253" s="1"/>
      <c r="K5253" s="1"/>
      <c r="L5253" s="1"/>
      <c r="M5253" s="1"/>
      <c r="N5253" s="1"/>
      <c r="O5253" s="1"/>
      <c r="P5253" s="1"/>
      <c r="Q5253" s="1"/>
      <c r="R5253" s="1"/>
      <c r="S5253" s="1"/>
      <c r="T5253" s="1"/>
      <c r="U5253" s="1"/>
      <c r="V5253" s="1"/>
      <c r="W5253" s="1"/>
      <c r="X5253" s="1"/>
    </row>
    <row x14ac:dyDescent="0.25" r="5254" customHeight="1" ht="18.75">
      <c r="A5254" s="1"/>
      <c r="B5254" s="1"/>
      <c r="C5254" s="1"/>
      <c r="D5254" s="1"/>
      <c r="E5254" s="1"/>
      <c r="F5254" s="1"/>
      <c r="G5254" s="1"/>
      <c r="H5254" s="1"/>
      <c r="I5254" s="2"/>
      <c r="J5254" s="1"/>
      <c r="K5254" s="1"/>
      <c r="L5254" s="1"/>
      <c r="M5254" s="1"/>
      <c r="N5254" s="1"/>
      <c r="O5254" s="1"/>
      <c r="P5254" s="1"/>
      <c r="Q5254" s="1"/>
      <c r="R5254" s="1"/>
      <c r="S5254" s="1"/>
      <c r="T5254" s="1"/>
      <c r="U5254" s="1"/>
      <c r="V5254" s="1"/>
      <c r="W5254" s="1"/>
      <c r="X5254" s="1"/>
    </row>
    <row x14ac:dyDescent="0.25" r="5255" customHeight="1" ht="18.75">
      <c r="A5255" s="1"/>
      <c r="B5255" s="1"/>
      <c r="C5255" s="1"/>
      <c r="D5255" s="1"/>
      <c r="E5255" s="1"/>
      <c r="F5255" s="1"/>
      <c r="G5255" s="1"/>
      <c r="H5255" s="1"/>
      <c r="I5255" s="2"/>
      <c r="J5255" s="1"/>
      <c r="K5255" s="1"/>
      <c r="L5255" s="1"/>
      <c r="M5255" s="1"/>
      <c r="N5255" s="1"/>
      <c r="O5255" s="1"/>
      <c r="P5255" s="1"/>
      <c r="Q5255" s="1"/>
      <c r="R5255" s="1"/>
      <c r="S5255" s="1"/>
      <c r="T5255" s="1"/>
      <c r="U5255" s="1"/>
      <c r="V5255" s="1"/>
      <c r="W5255" s="1"/>
      <c r="X5255" s="1"/>
    </row>
    <row x14ac:dyDescent="0.25" r="5256" customHeight="1" ht="18.75">
      <c r="A5256" s="1"/>
      <c r="B5256" s="1"/>
      <c r="C5256" s="1"/>
      <c r="D5256" s="1"/>
      <c r="E5256" s="1"/>
      <c r="F5256" s="1"/>
      <c r="G5256" s="1"/>
      <c r="H5256" s="1"/>
      <c r="I5256" s="2"/>
      <c r="J5256" s="1"/>
      <c r="K5256" s="1"/>
      <c r="L5256" s="1"/>
      <c r="M5256" s="1"/>
      <c r="N5256" s="1"/>
      <c r="O5256" s="1"/>
      <c r="P5256" s="1"/>
      <c r="Q5256" s="1"/>
      <c r="R5256" s="1"/>
      <c r="S5256" s="1"/>
      <c r="T5256" s="1"/>
      <c r="U5256" s="1"/>
      <c r="V5256" s="1"/>
      <c r="W5256" s="1"/>
      <c r="X5256" s="1"/>
    </row>
    <row x14ac:dyDescent="0.25" r="5257" customHeight="1" ht="18.75">
      <c r="A5257" s="1"/>
      <c r="B5257" s="1"/>
      <c r="C5257" s="1"/>
      <c r="D5257" s="1"/>
      <c r="E5257" s="1"/>
      <c r="F5257" s="1"/>
      <c r="G5257" s="1"/>
      <c r="H5257" s="1"/>
      <c r="I5257" s="2"/>
      <c r="J5257" s="1"/>
      <c r="K5257" s="1"/>
      <c r="L5257" s="1"/>
      <c r="M5257" s="1"/>
      <c r="N5257" s="1"/>
      <c r="O5257" s="1"/>
      <c r="P5257" s="1"/>
      <c r="Q5257" s="1"/>
      <c r="R5257" s="1"/>
      <c r="S5257" s="1"/>
      <c r="T5257" s="1"/>
      <c r="U5257" s="1"/>
      <c r="V5257" s="1"/>
      <c r="W5257" s="1"/>
      <c r="X5257" s="1"/>
    </row>
    <row x14ac:dyDescent="0.25" r="5258" customHeight="1" ht="18.75">
      <c r="A5258" s="1"/>
      <c r="B5258" s="1"/>
      <c r="C5258" s="1"/>
      <c r="D5258" s="1"/>
      <c r="E5258" s="1"/>
      <c r="F5258" s="1"/>
      <c r="G5258" s="1"/>
      <c r="H5258" s="1"/>
      <c r="I5258" s="2"/>
      <c r="J5258" s="1"/>
      <c r="K5258" s="1"/>
      <c r="L5258" s="1"/>
      <c r="M5258" s="1"/>
      <c r="N5258" s="1"/>
      <c r="O5258" s="1"/>
      <c r="P5258" s="1"/>
      <c r="Q5258" s="1"/>
      <c r="R5258" s="1"/>
      <c r="S5258" s="1"/>
      <c r="T5258" s="1"/>
      <c r="U5258" s="1"/>
      <c r="V5258" s="1"/>
      <c r="W5258" s="1"/>
      <c r="X5258" s="1"/>
    </row>
    <row x14ac:dyDescent="0.25" r="5259" customHeight="1" ht="18.75">
      <c r="A5259" s="1"/>
      <c r="B5259" s="1"/>
      <c r="C5259" s="1"/>
      <c r="D5259" s="1"/>
      <c r="E5259" s="1"/>
      <c r="F5259" s="1"/>
      <c r="G5259" s="1"/>
      <c r="H5259" s="1"/>
      <c r="I5259" s="2"/>
      <c r="J5259" s="1"/>
      <c r="K5259" s="1"/>
      <c r="L5259" s="1"/>
      <c r="M5259" s="1"/>
      <c r="N5259" s="1"/>
      <c r="O5259" s="1"/>
      <c r="P5259" s="1"/>
      <c r="Q5259" s="1"/>
      <c r="R5259" s="1"/>
      <c r="S5259" s="1"/>
      <c r="T5259" s="1"/>
      <c r="U5259" s="1"/>
      <c r="V5259" s="1"/>
      <c r="W5259" s="1"/>
      <c r="X5259" s="1"/>
    </row>
    <row x14ac:dyDescent="0.25" r="5260" customHeight="1" ht="18.75">
      <c r="A5260" s="1"/>
      <c r="B5260" s="1"/>
      <c r="C5260" s="1"/>
      <c r="D5260" s="1"/>
      <c r="E5260" s="1"/>
      <c r="F5260" s="1"/>
      <c r="G5260" s="1"/>
      <c r="H5260" s="1"/>
      <c r="I5260" s="2"/>
      <c r="J5260" s="1"/>
      <c r="K5260" s="1"/>
      <c r="L5260" s="1"/>
      <c r="M5260" s="1"/>
      <c r="N5260" s="1"/>
      <c r="O5260" s="1"/>
      <c r="P5260" s="1"/>
      <c r="Q5260" s="1"/>
      <c r="R5260" s="1"/>
      <c r="S5260" s="1"/>
      <c r="T5260" s="1"/>
      <c r="U5260" s="1"/>
      <c r="V5260" s="1"/>
      <c r="W5260" s="1"/>
      <c r="X5260" s="1"/>
    </row>
    <row x14ac:dyDescent="0.25" r="5261" customHeight="1" ht="18.75">
      <c r="A5261" s="1"/>
      <c r="B5261" s="1"/>
      <c r="C5261" s="1"/>
      <c r="D5261" s="1"/>
      <c r="E5261" s="1"/>
      <c r="F5261" s="1"/>
      <c r="G5261" s="1"/>
      <c r="H5261" s="1"/>
      <c r="I5261" s="2"/>
      <c r="J5261" s="1"/>
      <c r="K5261" s="1"/>
      <c r="L5261" s="1"/>
      <c r="M5261" s="1"/>
      <c r="N5261" s="1"/>
      <c r="O5261" s="1"/>
      <c r="P5261" s="1"/>
      <c r="Q5261" s="1"/>
      <c r="R5261" s="1"/>
      <c r="S5261" s="1"/>
      <c r="T5261" s="1"/>
      <c r="U5261" s="1"/>
      <c r="V5261" s="1"/>
      <c r="W5261" s="1"/>
      <c r="X5261" s="1"/>
    </row>
    <row x14ac:dyDescent="0.25" r="5262" customHeight="1" ht="18.75">
      <c r="A5262" s="1"/>
      <c r="B5262" s="1"/>
      <c r="C5262" s="1"/>
      <c r="D5262" s="1"/>
      <c r="E5262" s="1"/>
      <c r="F5262" s="1"/>
      <c r="G5262" s="1"/>
      <c r="H5262" s="1"/>
      <c r="I5262" s="2"/>
      <c r="J5262" s="1"/>
      <c r="K5262" s="1"/>
      <c r="L5262" s="1"/>
      <c r="M5262" s="1"/>
      <c r="N5262" s="1"/>
      <c r="O5262" s="1"/>
      <c r="P5262" s="1"/>
      <c r="Q5262" s="1"/>
      <c r="R5262" s="1"/>
      <c r="S5262" s="1"/>
      <c r="T5262" s="1"/>
      <c r="U5262" s="1"/>
      <c r="V5262" s="1"/>
      <c r="W5262" s="1"/>
      <c r="X5262" s="1"/>
    </row>
    <row x14ac:dyDescent="0.25" r="5263" customHeight="1" ht="18.75">
      <c r="A5263" s="1"/>
      <c r="B5263" s="1"/>
      <c r="C5263" s="1"/>
      <c r="D5263" s="1"/>
      <c r="E5263" s="1"/>
      <c r="F5263" s="1"/>
      <c r="G5263" s="1"/>
      <c r="H5263" s="1"/>
      <c r="I5263" s="2"/>
      <c r="J5263" s="1"/>
      <c r="K5263" s="1"/>
      <c r="L5263" s="1"/>
      <c r="M5263" s="1"/>
      <c r="N5263" s="1"/>
      <c r="O5263" s="1"/>
      <c r="P5263" s="1"/>
      <c r="Q5263" s="1"/>
      <c r="R5263" s="1"/>
      <c r="S5263" s="1"/>
      <c r="T5263" s="1"/>
      <c r="U5263" s="1"/>
      <c r="V5263" s="1"/>
      <c r="W5263" s="1"/>
      <c r="X5263" s="1"/>
    </row>
    <row x14ac:dyDescent="0.25" r="5264" customHeight="1" ht="18.75">
      <c r="A5264" s="1"/>
      <c r="B5264" s="1"/>
      <c r="C5264" s="1"/>
      <c r="D5264" s="1"/>
      <c r="E5264" s="1"/>
      <c r="F5264" s="1"/>
      <c r="G5264" s="1"/>
      <c r="H5264" s="1"/>
      <c r="I5264" s="2"/>
      <c r="J5264" s="1"/>
      <c r="K5264" s="1"/>
      <c r="L5264" s="1"/>
      <c r="M5264" s="1"/>
      <c r="N5264" s="1"/>
      <c r="O5264" s="1"/>
      <c r="P5264" s="1"/>
      <c r="Q5264" s="1"/>
      <c r="R5264" s="1"/>
      <c r="S5264" s="1"/>
      <c r="T5264" s="1"/>
      <c r="U5264" s="1"/>
      <c r="V5264" s="1"/>
      <c r="W5264" s="1"/>
      <c r="X5264" s="1"/>
    </row>
    <row x14ac:dyDescent="0.25" r="5265" customHeight="1" ht="18.75">
      <c r="A5265" s="1"/>
      <c r="B5265" s="1"/>
      <c r="C5265" s="1"/>
      <c r="D5265" s="1"/>
      <c r="E5265" s="1"/>
      <c r="F5265" s="1"/>
      <c r="G5265" s="1"/>
      <c r="H5265" s="1"/>
      <c r="I5265" s="2"/>
      <c r="J5265" s="1"/>
      <c r="K5265" s="1"/>
      <c r="L5265" s="1"/>
      <c r="M5265" s="1"/>
      <c r="N5265" s="1"/>
      <c r="O5265" s="1"/>
      <c r="P5265" s="1"/>
      <c r="Q5265" s="1"/>
      <c r="R5265" s="1"/>
      <c r="S5265" s="1"/>
      <c r="T5265" s="1"/>
      <c r="U5265" s="1"/>
      <c r="V5265" s="1"/>
      <c r="W5265" s="1"/>
      <c r="X5265" s="1"/>
    </row>
    <row x14ac:dyDescent="0.25" r="5266" customHeight="1" ht="18.75">
      <c r="A5266" s="1"/>
      <c r="B5266" s="1"/>
      <c r="C5266" s="1"/>
      <c r="D5266" s="1"/>
      <c r="E5266" s="1"/>
      <c r="F5266" s="1"/>
      <c r="G5266" s="1"/>
      <c r="H5266" s="1"/>
      <c r="I5266" s="2"/>
      <c r="J5266" s="1"/>
      <c r="K5266" s="1"/>
      <c r="L5266" s="1"/>
      <c r="M5266" s="1"/>
      <c r="N5266" s="1"/>
      <c r="O5266" s="1"/>
      <c r="P5266" s="1"/>
      <c r="Q5266" s="1"/>
      <c r="R5266" s="1"/>
      <c r="S5266" s="1"/>
      <c r="T5266" s="1"/>
      <c r="U5266" s="1"/>
      <c r="V5266" s="1"/>
      <c r="W5266" s="1"/>
      <c r="X5266" s="1"/>
    </row>
    <row x14ac:dyDescent="0.25" r="5267" customHeight="1" ht="18.75">
      <c r="A5267" s="1"/>
      <c r="B5267" s="1"/>
      <c r="C5267" s="1"/>
      <c r="D5267" s="1"/>
      <c r="E5267" s="1"/>
      <c r="F5267" s="1"/>
      <c r="G5267" s="1"/>
      <c r="H5267" s="1"/>
      <c r="I5267" s="2"/>
      <c r="J5267" s="1"/>
      <c r="K5267" s="1"/>
      <c r="L5267" s="1"/>
      <c r="M5267" s="1"/>
      <c r="N5267" s="1"/>
      <c r="O5267" s="1"/>
      <c r="P5267" s="1"/>
      <c r="Q5267" s="1"/>
      <c r="R5267" s="1"/>
      <c r="S5267" s="1"/>
      <c r="T5267" s="1"/>
      <c r="U5267" s="1"/>
      <c r="V5267" s="1"/>
      <c r="W5267" s="1"/>
      <c r="X5267" s="1"/>
    </row>
    <row x14ac:dyDescent="0.25" r="5268" customHeight="1" ht="18.75">
      <c r="A5268" s="1"/>
      <c r="B5268" s="1"/>
      <c r="C5268" s="1"/>
      <c r="D5268" s="1"/>
      <c r="E5268" s="1"/>
      <c r="F5268" s="1"/>
      <c r="G5268" s="1"/>
      <c r="H5268" s="1"/>
      <c r="I5268" s="2"/>
      <c r="J5268" s="1"/>
      <c r="K5268" s="1"/>
      <c r="L5268" s="1"/>
      <c r="M5268" s="1"/>
      <c r="N5268" s="1"/>
      <c r="O5268" s="1"/>
      <c r="P5268" s="1"/>
      <c r="Q5268" s="1"/>
      <c r="R5268" s="1"/>
      <c r="S5268" s="1"/>
      <c r="T5268" s="1"/>
      <c r="U5268" s="1"/>
      <c r="V5268" s="1"/>
      <c r="W5268" s="1"/>
      <c r="X5268" s="1"/>
    </row>
    <row x14ac:dyDescent="0.25" r="5269" customHeight="1" ht="18.75">
      <c r="A5269" s="1"/>
      <c r="B5269" s="1"/>
      <c r="C5269" s="1"/>
      <c r="D5269" s="1"/>
      <c r="E5269" s="1"/>
      <c r="F5269" s="1"/>
      <c r="G5269" s="1"/>
      <c r="H5269" s="1"/>
      <c r="I5269" s="2"/>
      <c r="J5269" s="1"/>
      <c r="K5269" s="1"/>
      <c r="L5269" s="1"/>
      <c r="M5269" s="1"/>
      <c r="N5269" s="1"/>
      <c r="O5269" s="1"/>
      <c r="P5269" s="1"/>
      <c r="Q5269" s="1"/>
      <c r="R5269" s="1"/>
      <c r="S5269" s="1"/>
      <c r="T5269" s="1"/>
      <c r="U5269" s="1"/>
      <c r="V5269" s="1"/>
      <c r="W5269" s="1"/>
      <c r="X5269" s="1"/>
    </row>
    <row x14ac:dyDescent="0.25" r="5270" customHeight="1" ht="18.75">
      <c r="A5270" s="1"/>
      <c r="B5270" s="1"/>
      <c r="C5270" s="1"/>
      <c r="D5270" s="1"/>
      <c r="E5270" s="1"/>
      <c r="F5270" s="1"/>
      <c r="G5270" s="1"/>
      <c r="H5270" s="1"/>
      <c r="I5270" s="2"/>
      <c r="J5270" s="1"/>
      <c r="K5270" s="1"/>
      <c r="L5270" s="1"/>
      <c r="M5270" s="1"/>
      <c r="N5270" s="1"/>
      <c r="O5270" s="1"/>
      <c r="P5270" s="1"/>
      <c r="Q5270" s="1"/>
      <c r="R5270" s="1"/>
      <c r="S5270" s="1"/>
      <c r="T5270" s="1"/>
      <c r="U5270" s="1"/>
      <c r="V5270" s="1"/>
      <c r="W5270" s="1"/>
      <c r="X5270" s="1"/>
    </row>
    <row x14ac:dyDescent="0.25" r="5271" customHeight="1" ht="18.75">
      <c r="A5271" s="1"/>
      <c r="B5271" s="1"/>
      <c r="C5271" s="1"/>
      <c r="D5271" s="1"/>
      <c r="E5271" s="1"/>
      <c r="F5271" s="1"/>
      <c r="G5271" s="1"/>
      <c r="H5271" s="1"/>
      <c r="I5271" s="2"/>
      <c r="J5271" s="1"/>
      <c r="K5271" s="1"/>
      <c r="L5271" s="1"/>
      <c r="M5271" s="1"/>
      <c r="N5271" s="1"/>
      <c r="O5271" s="1"/>
      <c r="P5271" s="1"/>
      <c r="Q5271" s="1"/>
      <c r="R5271" s="1"/>
      <c r="S5271" s="1"/>
      <c r="T5271" s="1"/>
      <c r="U5271" s="1"/>
      <c r="V5271" s="1"/>
      <c r="W5271" s="1"/>
      <c r="X5271" s="1"/>
    </row>
    <row x14ac:dyDescent="0.25" r="5272" customHeight="1" ht="18.75">
      <c r="A5272" s="1"/>
      <c r="B5272" s="1"/>
      <c r="C5272" s="1"/>
      <c r="D5272" s="1"/>
      <c r="E5272" s="1"/>
      <c r="F5272" s="1"/>
      <c r="G5272" s="1"/>
      <c r="H5272" s="1"/>
      <c r="I5272" s="2"/>
      <c r="J5272" s="1"/>
      <c r="K5272" s="1"/>
      <c r="L5272" s="1"/>
      <c r="M5272" s="1"/>
      <c r="N5272" s="1"/>
      <c r="O5272" s="1"/>
      <c r="P5272" s="1"/>
      <c r="Q5272" s="1"/>
      <c r="R5272" s="1"/>
      <c r="S5272" s="1"/>
      <c r="T5272" s="1"/>
      <c r="U5272" s="1"/>
      <c r="V5272" s="1"/>
      <c r="W5272" s="1"/>
      <c r="X5272" s="1"/>
    </row>
    <row x14ac:dyDescent="0.25" r="5273" customHeight="1" ht="18.75">
      <c r="A5273" s="1"/>
      <c r="B5273" s="1"/>
      <c r="C5273" s="1"/>
      <c r="D5273" s="1"/>
      <c r="E5273" s="1"/>
      <c r="F5273" s="1"/>
      <c r="G5273" s="1"/>
      <c r="H5273" s="1"/>
      <c r="I5273" s="2"/>
      <c r="J5273" s="1"/>
      <c r="K5273" s="1"/>
      <c r="L5273" s="1"/>
      <c r="M5273" s="1"/>
      <c r="N5273" s="1"/>
      <c r="O5273" s="1"/>
      <c r="P5273" s="1"/>
      <c r="Q5273" s="1"/>
      <c r="R5273" s="1"/>
      <c r="S5273" s="1"/>
      <c r="T5273" s="1"/>
      <c r="U5273" s="1"/>
      <c r="V5273" s="1"/>
      <c r="W5273" s="1"/>
      <c r="X5273" s="1"/>
    </row>
    <row x14ac:dyDescent="0.25" r="5274" customHeight="1" ht="18.75">
      <c r="A5274" s="1"/>
      <c r="B5274" s="1"/>
      <c r="C5274" s="1"/>
      <c r="D5274" s="1"/>
      <c r="E5274" s="1"/>
      <c r="F5274" s="1"/>
      <c r="G5274" s="1"/>
      <c r="H5274" s="1"/>
      <c r="I5274" s="2"/>
      <c r="J5274" s="1"/>
      <c r="K5274" s="1"/>
      <c r="L5274" s="1"/>
      <c r="M5274" s="1"/>
      <c r="N5274" s="1"/>
      <c r="O5274" s="1"/>
      <c r="P5274" s="1"/>
      <c r="Q5274" s="1"/>
      <c r="R5274" s="1"/>
      <c r="S5274" s="1"/>
      <c r="T5274" s="1"/>
      <c r="U5274" s="1"/>
      <c r="V5274" s="1"/>
      <c r="W5274" s="1"/>
      <c r="X5274" s="1"/>
    </row>
    <row x14ac:dyDescent="0.25" r="5275" customHeight="1" ht="18.75">
      <c r="A5275" s="1"/>
      <c r="B5275" s="1"/>
      <c r="C5275" s="1"/>
      <c r="D5275" s="1"/>
      <c r="E5275" s="1"/>
      <c r="F5275" s="1"/>
      <c r="G5275" s="1"/>
      <c r="H5275" s="1"/>
      <c r="I5275" s="2"/>
      <c r="J5275" s="1"/>
      <c r="K5275" s="1"/>
      <c r="L5275" s="1"/>
      <c r="M5275" s="1"/>
      <c r="N5275" s="1"/>
      <c r="O5275" s="1"/>
      <c r="P5275" s="1"/>
      <c r="Q5275" s="1"/>
      <c r="R5275" s="1"/>
      <c r="S5275" s="1"/>
      <c r="T5275" s="1"/>
      <c r="U5275" s="1"/>
      <c r="V5275" s="1"/>
      <c r="W5275" s="1"/>
      <c r="X5275" s="1"/>
    </row>
    <row x14ac:dyDescent="0.25" r="5276" customHeight="1" ht="18.75">
      <c r="A5276" s="1"/>
      <c r="B5276" s="1"/>
      <c r="C5276" s="1"/>
      <c r="D5276" s="1"/>
      <c r="E5276" s="1"/>
      <c r="F5276" s="1"/>
      <c r="G5276" s="1"/>
      <c r="H5276" s="1"/>
      <c r="I5276" s="2"/>
      <c r="J5276" s="1"/>
      <c r="K5276" s="1"/>
      <c r="L5276" s="1"/>
      <c r="M5276" s="1"/>
      <c r="N5276" s="1"/>
      <c r="O5276" s="1"/>
      <c r="P5276" s="1"/>
      <c r="Q5276" s="1"/>
      <c r="R5276" s="1"/>
      <c r="S5276" s="1"/>
      <c r="T5276" s="1"/>
      <c r="U5276" s="1"/>
      <c r="V5276" s="1"/>
      <c r="W5276" s="1"/>
      <c r="X5276" s="1"/>
    </row>
    <row x14ac:dyDescent="0.25" r="5277" customHeight="1" ht="18.75">
      <c r="A5277" s="1"/>
      <c r="B5277" s="1"/>
      <c r="C5277" s="1"/>
      <c r="D5277" s="1"/>
      <c r="E5277" s="1"/>
      <c r="F5277" s="1"/>
      <c r="G5277" s="1"/>
      <c r="H5277" s="1"/>
      <c r="I5277" s="2"/>
      <c r="J5277" s="1"/>
      <c r="K5277" s="1"/>
      <c r="L5277" s="1"/>
      <c r="M5277" s="1"/>
      <c r="N5277" s="1"/>
      <c r="O5277" s="1"/>
      <c r="P5277" s="1"/>
      <c r="Q5277" s="1"/>
      <c r="R5277" s="1"/>
      <c r="S5277" s="1"/>
      <c r="T5277" s="1"/>
      <c r="U5277" s="1"/>
      <c r="V5277" s="1"/>
      <c r="W5277" s="1"/>
      <c r="X5277" s="1"/>
    </row>
    <row x14ac:dyDescent="0.25" r="5278" customHeight="1" ht="18.75">
      <c r="A5278" s="1"/>
      <c r="B5278" s="1"/>
      <c r="C5278" s="1"/>
      <c r="D5278" s="1"/>
      <c r="E5278" s="1"/>
      <c r="F5278" s="1"/>
      <c r="G5278" s="1"/>
      <c r="H5278" s="1"/>
      <c r="I5278" s="2"/>
      <c r="J5278" s="1"/>
      <c r="K5278" s="1"/>
      <c r="L5278" s="1"/>
      <c r="M5278" s="1"/>
      <c r="N5278" s="1"/>
      <c r="O5278" s="1"/>
      <c r="P5278" s="1"/>
      <c r="Q5278" s="1"/>
      <c r="R5278" s="1"/>
      <c r="S5278" s="1"/>
      <c r="T5278" s="1"/>
      <c r="U5278" s="1"/>
      <c r="V5278" s="1"/>
      <c r="W5278" s="1"/>
      <c r="X5278" s="1"/>
    </row>
    <row x14ac:dyDescent="0.25" r="5279" customHeight="1" ht="18.75">
      <c r="A5279" s="1"/>
      <c r="B5279" s="1"/>
      <c r="C5279" s="1"/>
      <c r="D5279" s="1"/>
      <c r="E5279" s="1"/>
      <c r="F5279" s="1"/>
      <c r="G5279" s="1"/>
      <c r="H5279" s="1"/>
      <c r="I5279" s="2"/>
      <c r="J5279" s="1"/>
      <c r="K5279" s="1"/>
      <c r="L5279" s="1"/>
      <c r="M5279" s="1"/>
      <c r="N5279" s="1"/>
      <c r="O5279" s="1"/>
      <c r="P5279" s="1"/>
      <c r="Q5279" s="1"/>
      <c r="R5279" s="1"/>
      <c r="S5279" s="1"/>
      <c r="T5279" s="1"/>
      <c r="U5279" s="1"/>
      <c r="V5279" s="1"/>
      <c r="W5279" s="1"/>
      <c r="X5279" s="1"/>
    </row>
    <row x14ac:dyDescent="0.25" r="5280" customHeight="1" ht="18.75">
      <c r="A5280" s="1"/>
      <c r="B5280" s="1"/>
      <c r="C5280" s="1"/>
      <c r="D5280" s="1"/>
      <c r="E5280" s="1"/>
      <c r="F5280" s="1"/>
      <c r="G5280" s="1"/>
      <c r="H5280" s="1"/>
      <c r="I5280" s="2"/>
      <c r="J5280" s="1"/>
      <c r="K5280" s="1"/>
      <c r="L5280" s="1"/>
      <c r="M5280" s="1"/>
      <c r="N5280" s="1"/>
      <c r="O5280" s="1"/>
      <c r="P5280" s="1"/>
      <c r="Q5280" s="1"/>
      <c r="R5280" s="1"/>
      <c r="S5280" s="1"/>
      <c r="T5280" s="1"/>
      <c r="U5280" s="1"/>
      <c r="V5280" s="1"/>
      <c r="W5280" s="1"/>
      <c r="X5280" s="1"/>
    </row>
    <row x14ac:dyDescent="0.25" r="5281" customHeight="1" ht="18.75">
      <c r="A5281" s="1"/>
      <c r="B5281" s="1"/>
      <c r="C5281" s="1"/>
      <c r="D5281" s="1"/>
      <c r="E5281" s="1"/>
      <c r="F5281" s="1"/>
      <c r="G5281" s="1"/>
      <c r="H5281" s="1"/>
      <c r="I5281" s="2"/>
      <c r="J5281" s="1"/>
      <c r="K5281" s="1"/>
      <c r="L5281" s="1"/>
      <c r="M5281" s="1"/>
      <c r="N5281" s="1"/>
      <c r="O5281" s="1"/>
      <c r="P5281" s="1"/>
      <c r="Q5281" s="1"/>
      <c r="R5281" s="1"/>
      <c r="S5281" s="1"/>
      <c r="T5281" s="1"/>
      <c r="U5281" s="1"/>
      <c r="V5281" s="1"/>
      <c r="W5281" s="1"/>
      <c r="X5281" s="1"/>
    </row>
    <row x14ac:dyDescent="0.25" r="5282" customHeight="1" ht="18.75">
      <c r="A5282" s="1"/>
      <c r="B5282" s="1"/>
      <c r="C5282" s="1"/>
      <c r="D5282" s="1"/>
      <c r="E5282" s="1"/>
      <c r="F5282" s="1"/>
      <c r="G5282" s="1"/>
      <c r="H5282" s="1"/>
      <c r="I5282" s="2"/>
      <c r="J5282" s="1"/>
      <c r="K5282" s="1"/>
      <c r="L5282" s="1"/>
      <c r="M5282" s="1"/>
      <c r="N5282" s="1"/>
      <c r="O5282" s="1"/>
      <c r="P5282" s="1"/>
      <c r="Q5282" s="1"/>
      <c r="R5282" s="1"/>
      <c r="S5282" s="1"/>
      <c r="T5282" s="1"/>
      <c r="U5282" s="1"/>
      <c r="V5282" s="1"/>
      <c r="W5282" s="1"/>
      <c r="X5282" s="1"/>
    </row>
    <row x14ac:dyDescent="0.25" r="5283" customHeight="1" ht="18.75">
      <c r="A5283" s="1"/>
      <c r="B5283" s="1"/>
      <c r="C5283" s="1"/>
      <c r="D5283" s="1"/>
      <c r="E5283" s="1"/>
      <c r="F5283" s="1"/>
      <c r="G5283" s="1"/>
      <c r="H5283" s="1"/>
      <c r="I5283" s="2"/>
      <c r="J5283" s="1"/>
      <c r="K5283" s="1"/>
      <c r="L5283" s="1"/>
      <c r="M5283" s="1"/>
      <c r="N5283" s="1"/>
      <c r="O5283" s="1"/>
      <c r="P5283" s="1"/>
      <c r="Q5283" s="1"/>
      <c r="R5283" s="1"/>
      <c r="S5283" s="1"/>
      <c r="T5283" s="1"/>
      <c r="U5283" s="1"/>
      <c r="V5283" s="1"/>
      <c r="W5283" s="1"/>
      <c r="X5283" s="1"/>
    </row>
    <row x14ac:dyDescent="0.25" r="5284" customHeight="1" ht="18.75">
      <c r="A5284" s="1"/>
      <c r="B5284" s="1"/>
      <c r="C5284" s="1"/>
      <c r="D5284" s="1"/>
      <c r="E5284" s="1"/>
      <c r="F5284" s="1"/>
      <c r="G5284" s="1"/>
      <c r="H5284" s="1"/>
      <c r="I5284" s="2"/>
      <c r="J5284" s="1"/>
      <c r="K5284" s="1"/>
      <c r="L5284" s="1"/>
      <c r="M5284" s="1"/>
      <c r="N5284" s="1"/>
      <c r="O5284" s="1"/>
      <c r="P5284" s="1"/>
      <c r="Q5284" s="1"/>
      <c r="R5284" s="1"/>
      <c r="S5284" s="1"/>
      <c r="T5284" s="1"/>
      <c r="U5284" s="1"/>
      <c r="V5284" s="1"/>
      <c r="W5284" s="1"/>
      <c r="X5284" s="1"/>
    </row>
    <row x14ac:dyDescent="0.25" r="5285" customHeight="1" ht="18.75">
      <c r="A5285" s="1"/>
      <c r="B5285" s="1"/>
      <c r="C5285" s="1"/>
      <c r="D5285" s="1"/>
      <c r="E5285" s="1"/>
      <c r="F5285" s="1"/>
      <c r="G5285" s="1"/>
      <c r="H5285" s="1"/>
      <c r="I5285" s="2"/>
      <c r="J5285" s="1"/>
      <c r="K5285" s="1"/>
      <c r="L5285" s="1"/>
      <c r="M5285" s="1"/>
      <c r="N5285" s="1"/>
      <c r="O5285" s="1"/>
      <c r="P5285" s="1"/>
      <c r="Q5285" s="1"/>
      <c r="R5285" s="1"/>
      <c r="S5285" s="1"/>
      <c r="T5285" s="1"/>
      <c r="U5285" s="1"/>
      <c r="V5285" s="1"/>
      <c r="W5285" s="1"/>
      <c r="X5285" s="1"/>
    </row>
    <row x14ac:dyDescent="0.25" r="5286" customHeight="1" ht="18.75">
      <c r="A5286" s="1"/>
      <c r="B5286" s="1"/>
      <c r="C5286" s="1"/>
      <c r="D5286" s="1"/>
      <c r="E5286" s="1"/>
      <c r="F5286" s="1"/>
      <c r="G5286" s="1"/>
      <c r="H5286" s="1"/>
      <c r="I5286" s="2"/>
      <c r="J5286" s="1"/>
      <c r="K5286" s="1"/>
      <c r="L5286" s="1"/>
      <c r="M5286" s="1"/>
      <c r="N5286" s="1"/>
      <c r="O5286" s="1"/>
      <c r="P5286" s="1"/>
      <c r="Q5286" s="1"/>
      <c r="R5286" s="1"/>
      <c r="S5286" s="1"/>
      <c r="T5286" s="1"/>
      <c r="U5286" s="1"/>
      <c r="V5286" s="1"/>
      <c r="W5286" s="1"/>
      <c r="X5286" s="1"/>
    </row>
    <row x14ac:dyDescent="0.25" r="5287" customHeight="1" ht="18.75">
      <c r="A5287" s="1"/>
      <c r="B5287" s="1"/>
      <c r="C5287" s="1"/>
      <c r="D5287" s="1"/>
      <c r="E5287" s="1"/>
      <c r="F5287" s="1"/>
      <c r="G5287" s="1"/>
      <c r="H5287" s="1"/>
      <c r="I5287" s="2"/>
      <c r="J5287" s="1"/>
      <c r="K5287" s="1"/>
      <c r="L5287" s="1"/>
      <c r="M5287" s="1"/>
      <c r="N5287" s="1"/>
      <c r="O5287" s="1"/>
      <c r="P5287" s="1"/>
      <c r="Q5287" s="1"/>
      <c r="R5287" s="1"/>
      <c r="S5287" s="1"/>
      <c r="T5287" s="1"/>
      <c r="U5287" s="1"/>
      <c r="V5287" s="1"/>
      <c r="W5287" s="1"/>
      <c r="X5287" s="1"/>
    </row>
    <row x14ac:dyDescent="0.25" r="5288" customHeight="1" ht="18.75">
      <c r="A5288" s="1"/>
      <c r="B5288" s="1"/>
      <c r="C5288" s="1"/>
      <c r="D5288" s="1"/>
      <c r="E5288" s="1"/>
      <c r="F5288" s="1"/>
      <c r="G5288" s="1"/>
      <c r="H5288" s="1"/>
      <c r="I5288" s="2"/>
      <c r="J5288" s="1"/>
      <c r="K5288" s="1"/>
      <c r="L5288" s="1"/>
      <c r="M5288" s="1"/>
      <c r="N5288" s="1"/>
      <c r="O5288" s="1"/>
      <c r="P5288" s="1"/>
      <c r="Q5288" s="1"/>
      <c r="R5288" s="1"/>
      <c r="S5288" s="1"/>
      <c r="T5288" s="1"/>
      <c r="U5288" s="1"/>
      <c r="V5288" s="1"/>
      <c r="W5288" s="1"/>
      <c r="X5288" s="1"/>
    </row>
    <row x14ac:dyDescent="0.25" r="5289" customHeight="1" ht="18.75">
      <c r="A5289" s="1"/>
      <c r="B5289" s="1"/>
      <c r="C5289" s="1"/>
      <c r="D5289" s="1"/>
      <c r="E5289" s="1"/>
      <c r="F5289" s="1"/>
      <c r="G5289" s="1"/>
      <c r="H5289" s="1"/>
      <c r="I5289" s="2"/>
      <c r="J5289" s="1"/>
      <c r="K5289" s="1"/>
      <c r="L5289" s="1"/>
      <c r="M5289" s="1"/>
      <c r="N5289" s="1"/>
      <c r="O5289" s="1"/>
      <c r="P5289" s="1"/>
      <c r="Q5289" s="1"/>
      <c r="R5289" s="1"/>
      <c r="S5289" s="1"/>
      <c r="T5289" s="1"/>
      <c r="U5289" s="1"/>
      <c r="V5289" s="1"/>
      <c r="W5289" s="1"/>
      <c r="X5289" s="1"/>
    </row>
    <row x14ac:dyDescent="0.25" r="5290" customHeight="1" ht="18.75">
      <c r="A5290" s="1"/>
      <c r="B5290" s="1"/>
      <c r="C5290" s="1"/>
      <c r="D5290" s="1"/>
      <c r="E5290" s="1"/>
      <c r="F5290" s="1"/>
      <c r="G5290" s="1"/>
      <c r="H5290" s="1"/>
      <c r="I5290" s="2"/>
      <c r="J5290" s="1"/>
      <c r="K5290" s="1"/>
      <c r="L5290" s="1"/>
      <c r="M5290" s="1"/>
      <c r="N5290" s="1"/>
      <c r="O5290" s="1"/>
      <c r="P5290" s="1"/>
      <c r="Q5290" s="1"/>
      <c r="R5290" s="1"/>
      <c r="S5290" s="1"/>
      <c r="T5290" s="1"/>
      <c r="U5290" s="1"/>
      <c r="V5290" s="1"/>
      <c r="W5290" s="1"/>
      <c r="X5290" s="1"/>
    </row>
    <row x14ac:dyDescent="0.25" r="5291" customHeight="1" ht="18.75">
      <c r="A5291" s="1"/>
      <c r="B5291" s="1"/>
      <c r="C5291" s="1"/>
      <c r="D5291" s="1"/>
      <c r="E5291" s="1"/>
      <c r="F5291" s="1"/>
      <c r="G5291" s="1"/>
      <c r="H5291" s="1"/>
      <c r="I5291" s="2"/>
      <c r="J5291" s="1"/>
      <c r="K5291" s="1"/>
      <c r="L5291" s="1"/>
      <c r="M5291" s="1"/>
      <c r="N5291" s="1"/>
      <c r="O5291" s="1"/>
      <c r="P5291" s="1"/>
      <c r="Q5291" s="1"/>
      <c r="R5291" s="1"/>
      <c r="S5291" s="1"/>
      <c r="T5291" s="1"/>
      <c r="U5291" s="1"/>
      <c r="V5291" s="1"/>
      <c r="W5291" s="1"/>
      <c r="X5291" s="1"/>
    </row>
    <row x14ac:dyDescent="0.25" r="5292" customHeight="1" ht="18.75">
      <c r="A5292" s="1"/>
      <c r="B5292" s="1"/>
      <c r="C5292" s="1"/>
      <c r="D5292" s="1"/>
      <c r="E5292" s="1"/>
      <c r="F5292" s="1"/>
      <c r="G5292" s="1"/>
      <c r="H5292" s="1"/>
      <c r="I5292" s="2"/>
      <c r="J5292" s="1"/>
      <c r="K5292" s="1"/>
      <c r="L5292" s="1"/>
      <c r="M5292" s="1"/>
      <c r="N5292" s="1"/>
      <c r="O5292" s="1"/>
      <c r="P5292" s="1"/>
      <c r="Q5292" s="1"/>
      <c r="R5292" s="1"/>
      <c r="S5292" s="1"/>
      <c r="T5292" s="1"/>
      <c r="U5292" s="1"/>
      <c r="V5292" s="1"/>
      <c r="W5292" s="1"/>
      <c r="X5292" s="1"/>
    </row>
    <row x14ac:dyDescent="0.25" r="5293" customHeight="1" ht="18.75">
      <c r="A5293" s="1"/>
      <c r="B5293" s="1"/>
      <c r="C5293" s="1"/>
      <c r="D5293" s="1"/>
      <c r="E5293" s="1"/>
      <c r="F5293" s="1"/>
      <c r="G5293" s="1"/>
      <c r="H5293" s="1"/>
      <c r="I5293" s="2"/>
      <c r="J5293" s="1"/>
      <c r="K5293" s="1"/>
      <c r="L5293" s="1"/>
      <c r="M5293" s="1"/>
      <c r="N5293" s="1"/>
      <c r="O5293" s="1"/>
      <c r="P5293" s="1"/>
      <c r="Q5293" s="1"/>
      <c r="R5293" s="1"/>
      <c r="S5293" s="1"/>
      <c r="T5293" s="1"/>
      <c r="U5293" s="1"/>
      <c r="V5293" s="1"/>
      <c r="W5293" s="1"/>
      <c r="X5293" s="1"/>
    </row>
    <row x14ac:dyDescent="0.25" r="5294" customHeight="1" ht="18.75">
      <c r="A5294" s="1"/>
      <c r="B5294" s="1"/>
      <c r="C5294" s="1"/>
      <c r="D5294" s="1"/>
      <c r="E5294" s="1"/>
      <c r="F5294" s="1"/>
      <c r="G5294" s="1"/>
      <c r="H5294" s="1"/>
      <c r="I5294" s="2"/>
      <c r="J5294" s="1"/>
      <c r="K5294" s="1"/>
      <c r="L5294" s="1"/>
      <c r="M5294" s="1"/>
      <c r="N5294" s="1"/>
      <c r="O5294" s="1"/>
      <c r="P5294" s="1"/>
      <c r="Q5294" s="1"/>
      <c r="R5294" s="1"/>
      <c r="S5294" s="1"/>
      <c r="T5294" s="1"/>
      <c r="U5294" s="1"/>
      <c r="V5294" s="1"/>
      <c r="W5294" s="1"/>
      <c r="X5294" s="1"/>
    </row>
    <row x14ac:dyDescent="0.25" r="5295" customHeight="1" ht="18.75">
      <c r="A5295" s="1"/>
      <c r="B5295" s="1"/>
      <c r="C5295" s="1"/>
      <c r="D5295" s="1"/>
      <c r="E5295" s="1"/>
      <c r="F5295" s="1"/>
      <c r="G5295" s="1"/>
      <c r="H5295" s="1"/>
      <c r="I5295" s="2"/>
      <c r="J5295" s="1"/>
      <c r="K5295" s="1"/>
      <c r="L5295" s="1"/>
      <c r="M5295" s="1"/>
      <c r="N5295" s="1"/>
      <c r="O5295" s="1"/>
      <c r="P5295" s="1"/>
      <c r="Q5295" s="1"/>
      <c r="R5295" s="1"/>
      <c r="S5295" s="1"/>
      <c r="T5295" s="1"/>
      <c r="U5295" s="1"/>
      <c r="V5295" s="1"/>
      <c r="W5295" s="1"/>
      <c r="X5295" s="1"/>
    </row>
    <row x14ac:dyDescent="0.25" r="5296" customHeight="1" ht="18.75">
      <c r="A5296" s="1"/>
      <c r="B5296" s="1"/>
      <c r="C5296" s="1"/>
      <c r="D5296" s="1"/>
      <c r="E5296" s="1"/>
      <c r="F5296" s="1"/>
      <c r="G5296" s="1"/>
      <c r="H5296" s="1"/>
      <c r="I5296" s="2"/>
      <c r="J5296" s="1"/>
      <c r="K5296" s="1"/>
      <c r="L5296" s="1"/>
      <c r="M5296" s="1"/>
      <c r="N5296" s="1"/>
      <c r="O5296" s="1"/>
      <c r="P5296" s="1"/>
      <c r="Q5296" s="1"/>
      <c r="R5296" s="1"/>
      <c r="S5296" s="1"/>
      <c r="T5296" s="1"/>
      <c r="U5296" s="1"/>
      <c r="V5296" s="1"/>
      <c r="W5296" s="1"/>
      <c r="X5296" s="1"/>
    </row>
    <row x14ac:dyDescent="0.25" r="5297" customHeight="1" ht="18.75">
      <c r="A5297" s="1"/>
      <c r="B5297" s="1"/>
      <c r="C5297" s="1"/>
      <c r="D5297" s="1"/>
      <c r="E5297" s="1"/>
      <c r="F5297" s="1"/>
      <c r="G5297" s="1"/>
      <c r="H5297" s="1"/>
      <c r="I5297" s="2"/>
      <c r="J5297" s="1"/>
      <c r="K5297" s="1"/>
      <c r="L5297" s="1"/>
      <c r="M5297" s="1"/>
      <c r="N5297" s="1"/>
      <c r="O5297" s="1"/>
      <c r="P5297" s="1"/>
      <c r="Q5297" s="1"/>
      <c r="R5297" s="1"/>
      <c r="S5297" s="1"/>
      <c r="T5297" s="1"/>
      <c r="U5297" s="1"/>
      <c r="V5297" s="1"/>
      <c r="W5297" s="1"/>
      <c r="X5297" s="1"/>
    </row>
    <row x14ac:dyDescent="0.25" r="5298" customHeight="1" ht="18.75">
      <c r="A5298" s="1"/>
      <c r="B5298" s="1"/>
      <c r="C5298" s="1"/>
      <c r="D5298" s="1"/>
      <c r="E5298" s="1"/>
      <c r="F5298" s="1"/>
      <c r="G5298" s="1"/>
      <c r="H5298" s="1"/>
      <c r="I5298" s="2"/>
      <c r="J5298" s="1"/>
      <c r="K5298" s="1"/>
      <c r="L5298" s="1"/>
      <c r="M5298" s="1"/>
      <c r="N5298" s="1"/>
      <c r="O5298" s="1"/>
      <c r="P5298" s="1"/>
      <c r="Q5298" s="1"/>
      <c r="R5298" s="1"/>
      <c r="S5298" s="1"/>
      <c r="T5298" s="1"/>
      <c r="U5298" s="1"/>
      <c r="V5298" s="1"/>
      <c r="W5298" s="1"/>
      <c r="X5298" s="1"/>
    </row>
    <row x14ac:dyDescent="0.25" r="5299" customHeight="1" ht="18.75">
      <c r="A5299" s="1"/>
      <c r="B5299" s="1"/>
      <c r="C5299" s="1"/>
      <c r="D5299" s="1"/>
      <c r="E5299" s="1"/>
      <c r="F5299" s="1"/>
      <c r="G5299" s="1"/>
      <c r="H5299" s="1"/>
      <c r="I5299" s="2"/>
      <c r="J5299" s="1"/>
      <c r="K5299" s="1"/>
      <c r="L5299" s="1"/>
      <c r="M5299" s="1"/>
      <c r="N5299" s="1"/>
      <c r="O5299" s="1"/>
      <c r="P5299" s="1"/>
      <c r="Q5299" s="1"/>
      <c r="R5299" s="1"/>
      <c r="S5299" s="1"/>
      <c r="T5299" s="1"/>
      <c r="U5299" s="1"/>
      <c r="V5299" s="1"/>
      <c r="W5299" s="1"/>
      <c r="X5299" s="1"/>
    </row>
    <row x14ac:dyDescent="0.25" r="5300" customHeight="1" ht="18.75">
      <c r="A5300" s="1"/>
      <c r="B5300" s="1"/>
      <c r="C5300" s="1"/>
      <c r="D5300" s="1"/>
      <c r="E5300" s="1"/>
      <c r="F5300" s="1"/>
      <c r="G5300" s="1"/>
      <c r="H5300" s="1"/>
      <c r="I5300" s="2"/>
      <c r="J5300" s="1"/>
      <c r="K5300" s="1"/>
      <c r="L5300" s="1"/>
      <c r="M5300" s="1"/>
      <c r="N5300" s="1"/>
      <c r="O5300" s="1"/>
      <c r="P5300" s="1"/>
      <c r="Q5300" s="1"/>
      <c r="R5300" s="1"/>
      <c r="S5300" s="1"/>
      <c r="T5300" s="1"/>
      <c r="U5300" s="1"/>
      <c r="V5300" s="1"/>
      <c r="W5300" s="1"/>
      <c r="X5300" s="1"/>
    </row>
    <row x14ac:dyDescent="0.25" r="5301" customHeight="1" ht="18.75">
      <c r="A5301" s="1"/>
      <c r="B5301" s="1"/>
      <c r="C5301" s="1"/>
      <c r="D5301" s="1"/>
      <c r="E5301" s="1"/>
      <c r="F5301" s="1"/>
      <c r="G5301" s="1"/>
      <c r="H5301" s="1"/>
      <c r="I5301" s="2"/>
      <c r="J5301" s="1"/>
      <c r="K5301" s="1"/>
      <c r="L5301" s="1"/>
      <c r="M5301" s="1"/>
      <c r="N5301" s="1"/>
      <c r="O5301" s="1"/>
      <c r="P5301" s="1"/>
      <c r="Q5301" s="1"/>
      <c r="R5301" s="1"/>
      <c r="S5301" s="1"/>
      <c r="T5301" s="1"/>
      <c r="U5301" s="1"/>
      <c r="V5301" s="1"/>
      <c r="W5301" s="1"/>
      <c r="X5301" s="1"/>
    </row>
    <row x14ac:dyDescent="0.25" r="5302" customHeight="1" ht="18.75">
      <c r="A5302" s="1"/>
      <c r="B5302" s="1"/>
      <c r="C5302" s="1"/>
      <c r="D5302" s="1"/>
      <c r="E5302" s="1"/>
      <c r="F5302" s="1"/>
      <c r="G5302" s="1"/>
      <c r="H5302" s="1"/>
      <c r="I5302" s="2"/>
      <c r="J5302" s="1"/>
      <c r="K5302" s="1"/>
      <c r="L5302" s="1"/>
      <c r="M5302" s="1"/>
      <c r="N5302" s="1"/>
      <c r="O5302" s="1"/>
      <c r="P5302" s="1"/>
      <c r="Q5302" s="1"/>
      <c r="R5302" s="1"/>
      <c r="S5302" s="1"/>
      <c r="T5302" s="1"/>
      <c r="U5302" s="1"/>
      <c r="V5302" s="1"/>
      <c r="W5302" s="1"/>
      <c r="X5302" s="1"/>
    </row>
    <row x14ac:dyDescent="0.25" r="5303" customHeight="1" ht="18.75">
      <c r="A5303" s="1"/>
      <c r="B5303" s="1"/>
      <c r="C5303" s="1"/>
      <c r="D5303" s="1"/>
      <c r="E5303" s="1"/>
      <c r="F5303" s="1"/>
      <c r="G5303" s="1"/>
      <c r="H5303" s="1"/>
      <c r="I5303" s="2"/>
      <c r="J5303" s="1"/>
      <c r="K5303" s="1"/>
      <c r="L5303" s="1"/>
      <c r="M5303" s="1"/>
      <c r="N5303" s="1"/>
      <c r="O5303" s="1"/>
      <c r="P5303" s="1"/>
      <c r="Q5303" s="1"/>
      <c r="R5303" s="1"/>
      <c r="S5303" s="1"/>
      <c r="T5303" s="1"/>
      <c r="U5303" s="1"/>
      <c r="V5303" s="1"/>
      <c r="W5303" s="1"/>
      <c r="X5303" s="1"/>
    </row>
    <row x14ac:dyDescent="0.25" r="5304" customHeight="1" ht="18.75">
      <c r="A5304" s="1"/>
      <c r="B5304" s="1"/>
      <c r="C5304" s="1"/>
      <c r="D5304" s="1"/>
      <c r="E5304" s="1"/>
      <c r="F5304" s="1"/>
      <c r="G5304" s="1"/>
      <c r="H5304" s="1"/>
      <c r="I5304" s="2"/>
      <c r="J5304" s="1"/>
      <c r="K5304" s="1"/>
      <c r="L5304" s="1"/>
      <c r="M5304" s="1"/>
      <c r="N5304" s="1"/>
      <c r="O5304" s="1"/>
      <c r="P5304" s="1"/>
      <c r="Q5304" s="1"/>
      <c r="R5304" s="1"/>
      <c r="S5304" s="1"/>
      <c r="T5304" s="1"/>
      <c r="U5304" s="1"/>
      <c r="V5304" s="1"/>
      <c r="W5304" s="1"/>
      <c r="X5304" s="1"/>
    </row>
    <row x14ac:dyDescent="0.25" r="5305" customHeight="1" ht="18.75">
      <c r="A5305" s="1"/>
      <c r="B5305" s="1"/>
      <c r="C5305" s="1"/>
      <c r="D5305" s="1"/>
      <c r="E5305" s="1"/>
      <c r="F5305" s="1"/>
      <c r="G5305" s="1"/>
      <c r="H5305" s="1"/>
      <c r="I5305" s="2"/>
      <c r="J5305" s="1"/>
      <c r="K5305" s="1"/>
      <c r="L5305" s="1"/>
      <c r="M5305" s="1"/>
      <c r="N5305" s="1"/>
      <c r="O5305" s="1"/>
      <c r="P5305" s="1"/>
      <c r="Q5305" s="1"/>
      <c r="R5305" s="1"/>
      <c r="S5305" s="1"/>
      <c r="T5305" s="1"/>
      <c r="U5305" s="1"/>
      <c r="V5305" s="1"/>
      <c r="W5305" s="1"/>
      <c r="X5305" s="1"/>
    </row>
    <row x14ac:dyDescent="0.25" r="5306" customHeight="1" ht="18.75">
      <c r="A5306" s="1"/>
      <c r="B5306" s="1"/>
      <c r="C5306" s="1"/>
      <c r="D5306" s="1"/>
      <c r="E5306" s="1"/>
      <c r="F5306" s="1"/>
      <c r="G5306" s="1"/>
      <c r="H5306" s="1"/>
      <c r="I5306" s="2"/>
      <c r="J5306" s="1"/>
      <c r="K5306" s="1"/>
      <c r="L5306" s="1"/>
      <c r="M5306" s="1"/>
      <c r="N5306" s="1"/>
      <c r="O5306" s="1"/>
      <c r="P5306" s="1"/>
      <c r="Q5306" s="1"/>
      <c r="R5306" s="1"/>
      <c r="S5306" s="1"/>
      <c r="T5306" s="1"/>
      <c r="U5306" s="1"/>
      <c r="V5306" s="1"/>
      <c r="W5306" s="1"/>
      <c r="X5306" s="1"/>
    </row>
    <row x14ac:dyDescent="0.25" r="5307" customHeight="1" ht="18.75">
      <c r="A5307" s="1"/>
      <c r="B5307" s="1"/>
      <c r="C5307" s="1"/>
      <c r="D5307" s="1"/>
      <c r="E5307" s="1"/>
      <c r="F5307" s="1"/>
      <c r="G5307" s="1"/>
      <c r="H5307" s="1"/>
      <c r="I5307" s="2"/>
      <c r="J5307" s="1"/>
      <c r="K5307" s="1"/>
      <c r="L5307" s="1"/>
      <c r="M5307" s="1"/>
      <c r="N5307" s="1"/>
      <c r="O5307" s="1"/>
      <c r="P5307" s="1"/>
      <c r="Q5307" s="1"/>
      <c r="R5307" s="1"/>
      <c r="S5307" s="1"/>
      <c r="T5307" s="1"/>
      <c r="U5307" s="1"/>
      <c r="V5307" s="1"/>
      <c r="W5307" s="1"/>
      <c r="X5307" s="1"/>
    </row>
    <row x14ac:dyDescent="0.25" r="5308" customHeight="1" ht="18.75">
      <c r="A5308" s="1"/>
      <c r="B5308" s="1"/>
      <c r="C5308" s="1"/>
      <c r="D5308" s="1"/>
      <c r="E5308" s="1"/>
      <c r="F5308" s="1"/>
      <c r="G5308" s="1"/>
      <c r="H5308" s="1"/>
      <c r="I5308" s="2"/>
      <c r="J5308" s="1"/>
      <c r="K5308" s="1"/>
      <c r="L5308" s="1"/>
      <c r="M5308" s="1"/>
      <c r="N5308" s="1"/>
      <c r="O5308" s="1"/>
      <c r="P5308" s="1"/>
      <c r="Q5308" s="1"/>
      <c r="R5308" s="1"/>
      <c r="S5308" s="1"/>
      <c r="T5308" s="1"/>
      <c r="U5308" s="1"/>
      <c r="V5308" s="1"/>
      <c r="W5308" s="1"/>
      <c r="X5308" s="1"/>
    </row>
    <row x14ac:dyDescent="0.25" r="5309" customHeight="1" ht="18.75">
      <c r="A5309" s="1"/>
      <c r="B5309" s="1"/>
      <c r="C5309" s="1"/>
      <c r="D5309" s="1"/>
      <c r="E5309" s="1"/>
      <c r="F5309" s="1"/>
      <c r="G5309" s="1"/>
      <c r="H5309" s="1"/>
      <c r="I5309" s="2"/>
      <c r="J5309" s="1"/>
      <c r="K5309" s="1"/>
      <c r="L5309" s="1"/>
      <c r="M5309" s="1"/>
      <c r="N5309" s="1"/>
      <c r="O5309" s="1"/>
      <c r="P5309" s="1"/>
      <c r="Q5309" s="1"/>
      <c r="R5309" s="1"/>
      <c r="S5309" s="1"/>
      <c r="T5309" s="1"/>
      <c r="U5309" s="1"/>
      <c r="V5309" s="1"/>
      <c r="W5309" s="1"/>
      <c r="X5309" s="1"/>
    </row>
    <row x14ac:dyDescent="0.25" r="5310" customHeight="1" ht="18.75">
      <c r="A5310" s="1"/>
      <c r="B5310" s="1"/>
      <c r="C5310" s="1"/>
      <c r="D5310" s="1"/>
      <c r="E5310" s="1"/>
      <c r="F5310" s="1"/>
      <c r="G5310" s="1"/>
      <c r="H5310" s="1"/>
      <c r="I5310" s="2"/>
      <c r="J5310" s="1"/>
      <c r="K5310" s="1"/>
      <c r="L5310" s="1"/>
      <c r="M5310" s="1"/>
      <c r="N5310" s="1"/>
      <c r="O5310" s="1"/>
      <c r="P5310" s="1"/>
      <c r="Q5310" s="1"/>
      <c r="R5310" s="1"/>
      <c r="S5310" s="1"/>
      <c r="T5310" s="1"/>
      <c r="U5310" s="1"/>
      <c r="V5310" s="1"/>
      <c r="W5310" s="1"/>
      <c r="X5310" s="1"/>
    </row>
    <row x14ac:dyDescent="0.25" r="5311" customHeight="1" ht="18.75">
      <c r="A5311" s="1"/>
      <c r="B5311" s="1"/>
      <c r="C5311" s="1"/>
      <c r="D5311" s="1"/>
      <c r="E5311" s="1"/>
      <c r="F5311" s="1"/>
      <c r="G5311" s="1"/>
      <c r="H5311" s="1"/>
      <c r="I5311" s="2"/>
      <c r="J5311" s="1"/>
      <c r="K5311" s="1"/>
      <c r="L5311" s="1"/>
      <c r="M5311" s="1"/>
      <c r="N5311" s="1"/>
      <c r="O5311" s="1"/>
      <c r="P5311" s="1"/>
      <c r="Q5311" s="1"/>
      <c r="R5311" s="1"/>
      <c r="S5311" s="1"/>
      <c r="T5311" s="1"/>
      <c r="U5311" s="1"/>
      <c r="V5311" s="1"/>
      <c r="W5311" s="1"/>
      <c r="X5311" s="1"/>
    </row>
    <row x14ac:dyDescent="0.25" r="5312" customHeight="1" ht="18.75">
      <c r="A5312" s="1"/>
      <c r="B5312" s="1"/>
      <c r="C5312" s="1"/>
      <c r="D5312" s="1"/>
      <c r="E5312" s="1"/>
      <c r="F5312" s="1"/>
      <c r="G5312" s="1"/>
      <c r="H5312" s="1"/>
      <c r="I5312" s="2"/>
      <c r="J5312" s="1"/>
      <c r="K5312" s="1"/>
      <c r="L5312" s="1"/>
      <c r="M5312" s="1"/>
      <c r="N5312" s="1"/>
      <c r="O5312" s="1"/>
      <c r="P5312" s="1"/>
      <c r="Q5312" s="1"/>
      <c r="R5312" s="1"/>
      <c r="S5312" s="1"/>
      <c r="T5312" s="1"/>
      <c r="U5312" s="1"/>
      <c r="V5312" s="1"/>
      <c r="W5312" s="1"/>
      <c r="X5312" s="1"/>
    </row>
    <row x14ac:dyDescent="0.25" r="5313" customHeight="1" ht="18.75">
      <c r="A5313" s="1"/>
      <c r="B5313" s="1"/>
      <c r="C5313" s="1"/>
      <c r="D5313" s="1"/>
      <c r="E5313" s="1"/>
      <c r="F5313" s="1"/>
      <c r="G5313" s="1"/>
      <c r="H5313" s="1"/>
      <c r="I5313" s="2"/>
      <c r="J5313" s="1"/>
      <c r="K5313" s="1"/>
      <c r="L5313" s="1"/>
      <c r="M5313" s="1"/>
      <c r="N5313" s="1"/>
      <c r="O5313" s="1"/>
      <c r="P5313" s="1"/>
      <c r="Q5313" s="1"/>
      <c r="R5313" s="1"/>
      <c r="S5313" s="1"/>
      <c r="T5313" s="1"/>
      <c r="U5313" s="1"/>
      <c r="V5313" s="1"/>
      <c r="W5313" s="1"/>
      <c r="X5313" s="1"/>
    </row>
    <row x14ac:dyDescent="0.25" r="5314" customHeight="1" ht="18.75">
      <c r="A5314" s="1"/>
      <c r="B5314" s="1"/>
      <c r="C5314" s="1"/>
      <c r="D5314" s="1"/>
      <c r="E5314" s="1"/>
      <c r="F5314" s="1"/>
      <c r="G5314" s="1"/>
      <c r="H5314" s="1"/>
      <c r="I5314" s="2"/>
      <c r="J5314" s="1"/>
      <c r="K5314" s="1"/>
      <c r="L5314" s="1"/>
      <c r="M5314" s="1"/>
      <c r="N5314" s="1"/>
      <c r="O5314" s="1"/>
      <c r="P5314" s="1"/>
      <c r="Q5314" s="1"/>
      <c r="R5314" s="1"/>
      <c r="S5314" s="1"/>
      <c r="T5314" s="1"/>
      <c r="U5314" s="1"/>
      <c r="V5314" s="1"/>
      <c r="W5314" s="1"/>
      <c r="X5314" s="1"/>
    </row>
    <row x14ac:dyDescent="0.25" r="5315" customHeight="1" ht="18.75">
      <c r="A5315" s="1"/>
      <c r="B5315" s="1"/>
      <c r="C5315" s="1"/>
      <c r="D5315" s="1"/>
      <c r="E5315" s="1"/>
      <c r="F5315" s="1"/>
      <c r="G5315" s="1"/>
      <c r="H5315" s="1"/>
      <c r="I5315" s="2"/>
      <c r="J5315" s="1"/>
      <c r="K5315" s="1"/>
      <c r="L5315" s="1"/>
      <c r="M5315" s="1"/>
      <c r="N5315" s="1"/>
      <c r="O5315" s="1"/>
      <c r="P5315" s="1"/>
      <c r="Q5315" s="1"/>
      <c r="R5315" s="1"/>
      <c r="S5315" s="1"/>
      <c r="T5315" s="1"/>
      <c r="U5315" s="1"/>
      <c r="V5315" s="1"/>
      <c r="W5315" s="1"/>
      <c r="X5315" s="1"/>
    </row>
    <row x14ac:dyDescent="0.25" r="5316" customHeight="1" ht="18.75">
      <c r="A5316" s="1"/>
      <c r="B5316" s="1"/>
      <c r="C5316" s="1"/>
      <c r="D5316" s="1"/>
      <c r="E5316" s="1"/>
      <c r="F5316" s="1"/>
      <c r="G5316" s="1"/>
      <c r="H5316" s="1"/>
      <c r="I5316" s="2"/>
      <c r="J5316" s="1"/>
      <c r="K5316" s="1"/>
      <c r="L5316" s="1"/>
      <c r="M5316" s="1"/>
      <c r="N5316" s="1"/>
      <c r="O5316" s="1"/>
      <c r="P5316" s="1"/>
      <c r="Q5316" s="1"/>
      <c r="R5316" s="1"/>
      <c r="S5316" s="1"/>
      <c r="T5316" s="1"/>
      <c r="U5316" s="1"/>
      <c r="V5316" s="1"/>
      <c r="W5316" s="1"/>
      <c r="X5316" s="1"/>
    </row>
    <row x14ac:dyDescent="0.25" r="5317" customHeight="1" ht="18.75">
      <c r="A5317" s="1"/>
      <c r="B5317" s="1"/>
      <c r="C5317" s="1"/>
      <c r="D5317" s="1"/>
      <c r="E5317" s="1"/>
      <c r="F5317" s="1"/>
      <c r="G5317" s="1"/>
      <c r="H5317" s="1"/>
      <c r="I5317" s="2"/>
      <c r="J5317" s="1"/>
      <c r="K5317" s="1"/>
      <c r="L5317" s="1"/>
      <c r="M5317" s="1"/>
      <c r="N5317" s="1"/>
      <c r="O5317" s="1"/>
      <c r="P5317" s="1"/>
      <c r="Q5317" s="1"/>
      <c r="R5317" s="1"/>
      <c r="S5317" s="1"/>
      <c r="T5317" s="1"/>
      <c r="U5317" s="1"/>
      <c r="V5317" s="1"/>
      <c r="W5317" s="1"/>
      <c r="X5317" s="1"/>
    </row>
    <row x14ac:dyDescent="0.25" r="5318" customHeight="1" ht="18.75">
      <c r="A5318" s="1"/>
      <c r="B5318" s="1"/>
      <c r="C5318" s="1"/>
      <c r="D5318" s="1"/>
      <c r="E5318" s="1"/>
      <c r="F5318" s="1"/>
      <c r="G5318" s="1"/>
      <c r="H5318" s="1"/>
      <c r="I5318" s="2"/>
      <c r="J5318" s="1"/>
      <c r="K5318" s="1"/>
      <c r="L5318" s="1"/>
      <c r="M5318" s="1"/>
      <c r="N5318" s="1"/>
      <c r="O5318" s="1"/>
      <c r="P5318" s="1"/>
      <c r="Q5318" s="1"/>
      <c r="R5318" s="1"/>
      <c r="S5318" s="1"/>
      <c r="T5318" s="1"/>
      <c r="U5318" s="1"/>
      <c r="V5318" s="1"/>
      <c r="W5318" s="1"/>
      <c r="X5318" s="1"/>
    </row>
    <row x14ac:dyDescent="0.25" r="5319" customHeight="1" ht="18.75">
      <c r="A5319" s="1"/>
      <c r="B5319" s="1"/>
      <c r="C5319" s="1"/>
      <c r="D5319" s="1"/>
      <c r="E5319" s="1"/>
      <c r="F5319" s="1"/>
      <c r="G5319" s="1"/>
      <c r="H5319" s="1"/>
      <c r="I5319" s="2"/>
      <c r="J5319" s="1"/>
      <c r="K5319" s="1"/>
      <c r="L5319" s="1"/>
      <c r="M5319" s="1"/>
      <c r="N5319" s="1"/>
      <c r="O5319" s="1"/>
      <c r="P5319" s="1"/>
      <c r="Q5319" s="1"/>
      <c r="R5319" s="1"/>
      <c r="S5319" s="1"/>
      <c r="T5319" s="1"/>
      <c r="U5319" s="1"/>
      <c r="V5319" s="1"/>
      <c r="W5319" s="1"/>
      <c r="X5319" s="1"/>
    </row>
    <row x14ac:dyDescent="0.25" r="5320" customHeight="1" ht="18.75">
      <c r="A5320" s="1"/>
      <c r="B5320" s="1"/>
      <c r="C5320" s="1"/>
      <c r="D5320" s="1"/>
      <c r="E5320" s="1"/>
      <c r="F5320" s="1"/>
      <c r="G5320" s="1"/>
      <c r="H5320" s="1"/>
      <c r="I5320" s="2"/>
      <c r="J5320" s="1"/>
      <c r="K5320" s="1"/>
      <c r="L5320" s="1"/>
      <c r="M5320" s="1"/>
      <c r="N5320" s="1"/>
      <c r="O5320" s="1"/>
      <c r="P5320" s="1"/>
      <c r="Q5320" s="1"/>
      <c r="R5320" s="1"/>
      <c r="S5320" s="1"/>
      <c r="T5320" s="1"/>
      <c r="U5320" s="1"/>
      <c r="V5320" s="1"/>
      <c r="W5320" s="1"/>
      <c r="X5320" s="1"/>
    </row>
    <row x14ac:dyDescent="0.25" r="5321" customHeight="1" ht="18.75">
      <c r="A5321" s="1"/>
      <c r="B5321" s="1"/>
      <c r="C5321" s="1"/>
      <c r="D5321" s="1"/>
      <c r="E5321" s="1"/>
      <c r="F5321" s="1"/>
      <c r="G5321" s="1"/>
      <c r="H5321" s="1"/>
      <c r="I5321" s="2"/>
      <c r="J5321" s="1"/>
      <c r="K5321" s="1"/>
      <c r="L5321" s="1"/>
      <c r="M5321" s="1"/>
      <c r="N5321" s="1"/>
      <c r="O5321" s="1"/>
      <c r="P5321" s="1"/>
      <c r="Q5321" s="1"/>
      <c r="R5321" s="1"/>
      <c r="S5321" s="1"/>
      <c r="T5321" s="1"/>
      <c r="U5321" s="1"/>
      <c r="V5321" s="1"/>
      <c r="W5321" s="1"/>
      <c r="X5321" s="1"/>
    </row>
    <row x14ac:dyDescent="0.25" r="5322" customHeight="1" ht="18.75">
      <c r="A5322" s="1"/>
      <c r="B5322" s="1"/>
      <c r="C5322" s="1"/>
      <c r="D5322" s="1"/>
      <c r="E5322" s="1"/>
      <c r="F5322" s="1"/>
      <c r="G5322" s="1"/>
      <c r="H5322" s="1"/>
      <c r="I5322" s="2"/>
      <c r="J5322" s="1"/>
      <c r="K5322" s="1"/>
      <c r="L5322" s="1"/>
      <c r="M5322" s="1"/>
      <c r="N5322" s="1"/>
      <c r="O5322" s="1"/>
      <c r="P5322" s="1"/>
      <c r="Q5322" s="1"/>
      <c r="R5322" s="1"/>
      <c r="S5322" s="1"/>
      <c r="T5322" s="1"/>
      <c r="U5322" s="1"/>
      <c r="V5322" s="1"/>
      <c r="W5322" s="1"/>
      <c r="X5322" s="1"/>
    </row>
    <row x14ac:dyDescent="0.25" r="5323" customHeight="1" ht="18.75">
      <c r="A5323" s="1"/>
      <c r="B5323" s="1"/>
      <c r="C5323" s="1"/>
      <c r="D5323" s="1"/>
      <c r="E5323" s="1"/>
      <c r="F5323" s="1"/>
      <c r="G5323" s="1"/>
      <c r="H5323" s="1"/>
      <c r="I5323" s="2"/>
      <c r="J5323" s="1"/>
      <c r="K5323" s="1"/>
      <c r="L5323" s="1"/>
      <c r="M5323" s="1"/>
      <c r="N5323" s="1"/>
      <c r="O5323" s="1"/>
      <c r="P5323" s="1"/>
      <c r="Q5323" s="1"/>
      <c r="R5323" s="1"/>
      <c r="S5323" s="1"/>
      <c r="T5323" s="1"/>
      <c r="U5323" s="1"/>
      <c r="V5323" s="1"/>
      <c r="W5323" s="1"/>
      <c r="X5323" s="1"/>
    </row>
    <row x14ac:dyDescent="0.25" r="5324" customHeight="1" ht="18.75">
      <c r="A5324" s="1"/>
      <c r="B5324" s="1"/>
      <c r="C5324" s="1"/>
      <c r="D5324" s="1"/>
      <c r="E5324" s="1"/>
      <c r="F5324" s="1"/>
      <c r="G5324" s="1"/>
      <c r="H5324" s="1"/>
      <c r="I5324" s="2"/>
      <c r="J5324" s="1"/>
      <c r="K5324" s="1"/>
      <c r="L5324" s="1"/>
      <c r="M5324" s="1"/>
      <c r="N5324" s="1"/>
      <c r="O5324" s="1"/>
      <c r="P5324" s="1"/>
      <c r="Q5324" s="1"/>
      <c r="R5324" s="1"/>
      <c r="S5324" s="1"/>
      <c r="T5324" s="1"/>
      <c r="U5324" s="1"/>
      <c r="V5324" s="1"/>
      <c r="W5324" s="1"/>
      <c r="X5324" s="1"/>
    </row>
    <row x14ac:dyDescent="0.25" r="5325" customHeight="1" ht="18.75">
      <c r="A5325" s="1"/>
      <c r="B5325" s="1"/>
      <c r="C5325" s="1"/>
      <c r="D5325" s="1"/>
      <c r="E5325" s="1"/>
      <c r="F5325" s="1"/>
      <c r="G5325" s="1"/>
      <c r="H5325" s="1"/>
      <c r="I5325" s="2"/>
      <c r="J5325" s="1"/>
      <c r="K5325" s="1"/>
      <c r="L5325" s="1"/>
      <c r="M5325" s="1"/>
      <c r="N5325" s="1"/>
      <c r="O5325" s="1"/>
      <c r="P5325" s="1"/>
      <c r="Q5325" s="1"/>
      <c r="R5325" s="1"/>
      <c r="S5325" s="1"/>
      <c r="T5325" s="1"/>
      <c r="U5325" s="1"/>
      <c r="V5325" s="1"/>
      <c r="W5325" s="1"/>
      <c r="X5325" s="1"/>
    </row>
    <row x14ac:dyDescent="0.25" r="5326" customHeight="1" ht="18.75">
      <c r="A5326" s="1"/>
      <c r="B5326" s="1"/>
      <c r="C5326" s="1"/>
      <c r="D5326" s="1"/>
      <c r="E5326" s="1"/>
      <c r="F5326" s="1"/>
      <c r="G5326" s="1"/>
      <c r="H5326" s="1"/>
      <c r="I5326" s="2"/>
      <c r="J5326" s="1"/>
      <c r="K5326" s="1"/>
      <c r="L5326" s="1"/>
      <c r="M5326" s="1"/>
      <c r="N5326" s="1"/>
      <c r="O5326" s="1"/>
      <c r="P5326" s="1"/>
      <c r="Q5326" s="1"/>
      <c r="R5326" s="1"/>
      <c r="S5326" s="1"/>
      <c r="T5326" s="1"/>
      <c r="U5326" s="1"/>
      <c r="V5326" s="1"/>
      <c r="W5326" s="1"/>
      <c r="X5326" s="1"/>
    </row>
    <row x14ac:dyDescent="0.25" r="5327" customHeight="1" ht="18.75">
      <c r="A5327" s="1"/>
      <c r="B5327" s="1"/>
      <c r="C5327" s="1"/>
      <c r="D5327" s="1"/>
      <c r="E5327" s="1"/>
      <c r="F5327" s="1"/>
      <c r="G5327" s="1"/>
      <c r="H5327" s="1"/>
      <c r="I5327" s="2"/>
      <c r="J5327" s="1"/>
      <c r="K5327" s="1"/>
      <c r="L5327" s="1"/>
      <c r="M5327" s="1"/>
      <c r="N5327" s="1"/>
      <c r="O5327" s="1"/>
      <c r="P5327" s="1"/>
      <c r="Q5327" s="1"/>
      <c r="R5327" s="1"/>
      <c r="S5327" s="1"/>
      <c r="T5327" s="1"/>
      <c r="U5327" s="1"/>
      <c r="V5327" s="1"/>
      <c r="W5327" s="1"/>
      <c r="X5327" s="1"/>
    </row>
    <row x14ac:dyDescent="0.25" r="5328" customHeight="1" ht="18.75">
      <c r="A5328" s="1"/>
      <c r="B5328" s="1"/>
      <c r="C5328" s="1"/>
      <c r="D5328" s="1"/>
      <c r="E5328" s="1"/>
      <c r="F5328" s="1"/>
      <c r="G5328" s="1"/>
      <c r="H5328" s="1"/>
      <c r="I5328" s="2"/>
      <c r="J5328" s="1"/>
      <c r="K5328" s="1"/>
      <c r="L5328" s="1"/>
      <c r="M5328" s="1"/>
      <c r="N5328" s="1"/>
      <c r="O5328" s="1"/>
      <c r="P5328" s="1"/>
      <c r="Q5328" s="1"/>
      <c r="R5328" s="1"/>
      <c r="S5328" s="1"/>
      <c r="T5328" s="1"/>
      <c r="U5328" s="1"/>
      <c r="V5328" s="1"/>
      <c r="W5328" s="1"/>
      <c r="X5328" s="1"/>
    </row>
    <row x14ac:dyDescent="0.25" r="5329" customHeight="1" ht="18.75">
      <c r="A5329" s="1"/>
      <c r="B5329" s="1"/>
      <c r="C5329" s="1"/>
      <c r="D5329" s="1"/>
      <c r="E5329" s="1"/>
      <c r="F5329" s="1"/>
      <c r="G5329" s="1"/>
      <c r="H5329" s="1"/>
      <c r="I5329" s="2"/>
      <c r="J5329" s="1"/>
      <c r="K5329" s="1"/>
      <c r="L5329" s="1"/>
      <c r="M5329" s="1"/>
      <c r="N5329" s="1"/>
      <c r="O5329" s="1"/>
      <c r="P5329" s="1"/>
      <c r="Q5329" s="1"/>
      <c r="R5329" s="1"/>
      <c r="S5329" s="1"/>
      <c r="T5329" s="1"/>
      <c r="U5329" s="1"/>
      <c r="V5329" s="1"/>
      <c r="W5329" s="1"/>
      <c r="X5329" s="1"/>
    </row>
    <row x14ac:dyDescent="0.25" r="5330" customHeight="1" ht="18.75">
      <c r="A5330" s="1"/>
      <c r="B5330" s="1"/>
      <c r="C5330" s="1"/>
      <c r="D5330" s="1"/>
      <c r="E5330" s="1"/>
      <c r="F5330" s="1"/>
      <c r="G5330" s="1"/>
      <c r="H5330" s="1"/>
      <c r="I5330" s="2"/>
      <c r="J5330" s="1"/>
      <c r="K5330" s="1"/>
      <c r="L5330" s="1"/>
      <c r="M5330" s="1"/>
      <c r="N5330" s="1"/>
      <c r="O5330" s="1"/>
      <c r="P5330" s="1"/>
      <c r="Q5330" s="1"/>
      <c r="R5330" s="1"/>
      <c r="S5330" s="1"/>
      <c r="T5330" s="1"/>
      <c r="U5330" s="1"/>
      <c r="V5330" s="1"/>
      <c r="W5330" s="1"/>
      <c r="X5330" s="1"/>
    </row>
    <row x14ac:dyDescent="0.25" r="5331" customHeight="1" ht="18.75">
      <c r="A5331" s="1"/>
      <c r="B5331" s="1"/>
      <c r="C5331" s="1"/>
      <c r="D5331" s="1"/>
      <c r="E5331" s="1"/>
      <c r="F5331" s="1"/>
      <c r="G5331" s="1"/>
      <c r="H5331" s="1"/>
      <c r="I5331" s="2"/>
      <c r="J5331" s="1"/>
      <c r="K5331" s="1"/>
      <c r="L5331" s="1"/>
      <c r="M5331" s="1"/>
      <c r="N5331" s="1"/>
      <c r="O5331" s="1"/>
      <c r="P5331" s="1"/>
      <c r="Q5331" s="1"/>
      <c r="R5331" s="1"/>
      <c r="S5331" s="1"/>
      <c r="T5331" s="1"/>
      <c r="U5331" s="1"/>
      <c r="V5331" s="1"/>
      <c r="W5331" s="1"/>
      <c r="X5331" s="1"/>
    </row>
    <row x14ac:dyDescent="0.25" r="5332" customHeight="1" ht="18.75">
      <c r="A5332" s="1"/>
      <c r="B5332" s="1"/>
      <c r="C5332" s="1"/>
      <c r="D5332" s="1"/>
      <c r="E5332" s="1"/>
      <c r="F5332" s="1"/>
      <c r="G5332" s="1"/>
      <c r="H5332" s="1"/>
      <c r="I5332" s="2"/>
      <c r="J5332" s="1"/>
      <c r="K5332" s="1"/>
      <c r="L5332" s="1"/>
      <c r="M5332" s="1"/>
      <c r="N5332" s="1"/>
      <c r="O5332" s="1"/>
      <c r="P5332" s="1"/>
      <c r="Q5332" s="1"/>
      <c r="R5332" s="1"/>
      <c r="S5332" s="1"/>
      <c r="T5332" s="1"/>
      <c r="U5332" s="1"/>
      <c r="V5332" s="1"/>
      <c r="W5332" s="1"/>
      <c r="X5332" s="1"/>
    </row>
    <row x14ac:dyDescent="0.25" r="5333" customHeight="1" ht="18.75">
      <c r="A5333" s="1"/>
      <c r="B5333" s="1"/>
      <c r="C5333" s="1"/>
      <c r="D5333" s="1"/>
      <c r="E5333" s="1"/>
      <c r="F5333" s="1"/>
      <c r="G5333" s="1"/>
      <c r="H5333" s="1"/>
      <c r="I5333" s="2"/>
      <c r="J5333" s="1"/>
      <c r="K5333" s="1"/>
      <c r="L5333" s="1"/>
      <c r="M5333" s="1"/>
      <c r="N5333" s="1"/>
      <c r="O5333" s="1"/>
      <c r="P5333" s="1"/>
      <c r="Q5333" s="1"/>
      <c r="R5333" s="1"/>
      <c r="S5333" s="1"/>
      <c r="T5333" s="1"/>
      <c r="U5333" s="1"/>
      <c r="V5333" s="1"/>
      <c r="W5333" s="1"/>
      <c r="X5333" s="1"/>
    </row>
    <row x14ac:dyDescent="0.25" r="5334" customHeight="1" ht="18.75">
      <c r="A5334" s="1"/>
      <c r="B5334" s="1"/>
      <c r="C5334" s="1"/>
      <c r="D5334" s="1"/>
      <c r="E5334" s="1"/>
      <c r="F5334" s="1"/>
      <c r="G5334" s="1"/>
      <c r="H5334" s="1"/>
      <c r="I5334" s="2"/>
      <c r="J5334" s="1"/>
      <c r="K5334" s="1"/>
      <c r="L5334" s="1"/>
      <c r="M5334" s="1"/>
      <c r="N5334" s="1"/>
      <c r="O5334" s="1"/>
      <c r="P5334" s="1"/>
      <c r="Q5334" s="1"/>
      <c r="R5334" s="1"/>
      <c r="S5334" s="1"/>
      <c r="T5334" s="1"/>
      <c r="U5334" s="1"/>
      <c r="V5334" s="1"/>
      <c r="W5334" s="1"/>
      <c r="X5334" s="1"/>
    </row>
    <row x14ac:dyDescent="0.25" r="5335" customHeight="1" ht="18.75">
      <c r="A5335" s="1"/>
      <c r="B5335" s="1"/>
      <c r="C5335" s="1"/>
      <c r="D5335" s="1"/>
      <c r="E5335" s="1"/>
      <c r="F5335" s="1"/>
      <c r="G5335" s="1"/>
      <c r="H5335" s="1"/>
      <c r="I5335" s="2"/>
      <c r="J5335" s="1"/>
      <c r="K5335" s="1"/>
      <c r="L5335" s="1"/>
      <c r="M5335" s="1"/>
      <c r="N5335" s="1"/>
      <c r="O5335" s="1"/>
      <c r="P5335" s="1"/>
      <c r="Q5335" s="1"/>
      <c r="R5335" s="1"/>
      <c r="S5335" s="1"/>
      <c r="T5335" s="1"/>
      <c r="U5335" s="1"/>
      <c r="V5335" s="1"/>
      <c r="W5335" s="1"/>
      <c r="X5335" s="1"/>
    </row>
    <row x14ac:dyDescent="0.25" r="5336" customHeight="1" ht="18.75">
      <c r="A5336" s="1"/>
      <c r="B5336" s="1"/>
      <c r="C5336" s="1"/>
      <c r="D5336" s="1"/>
      <c r="E5336" s="1"/>
      <c r="F5336" s="1"/>
      <c r="G5336" s="1"/>
      <c r="H5336" s="1"/>
      <c r="I5336" s="2"/>
      <c r="J5336" s="1"/>
      <c r="K5336" s="1"/>
      <c r="L5336" s="1"/>
      <c r="M5336" s="1"/>
      <c r="N5336" s="1"/>
      <c r="O5336" s="1"/>
      <c r="P5336" s="1"/>
      <c r="Q5336" s="1"/>
      <c r="R5336" s="1"/>
      <c r="S5336" s="1"/>
      <c r="T5336" s="1"/>
      <c r="U5336" s="1"/>
      <c r="V5336" s="1"/>
      <c r="W5336" s="1"/>
      <c r="X5336" s="1"/>
    </row>
    <row x14ac:dyDescent="0.25" r="5337" customHeight="1" ht="18.75">
      <c r="A5337" s="1"/>
      <c r="B5337" s="1"/>
      <c r="C5337" s="1"/>
      <c r="D5337" s="1"/>
      <c r="E5337" s="1"/>
      <c r="F5337" s="1"/>
      <c r="G5337" s="1"/>
      <c r="H5337" s="1"/>
      <c r="I5337" s="2"/>
      <c r="J5337" s="1"/>
      <c r="K5337" s="1"/>
      <c r="L5337" s="1"/>
      <c r="M5337" s="1"/>
      <c r="N5337" s="1"/>
      <c r="O5337" s="1"/>
      <c r="P5337" s="1"/>
      <c r="Q5337" s="1"/>
      <c r="R5337" s="1"/>
      <c r="S5337" s="1"/>
      <c r="T5337" s="1"/>
      <c r="U5337" s="1"/>
      <c r="V5337" s="1"/>
      <c r="W5337" s="1"/>
      <c r="X5337" s="1"/>
    </row>
    <row x14ac:dyDescent="0.25" r="5338" customHeight="1" ht="18.75">
      <c r="A5338" s="1"/>
      <c r="B5338" s="1"/>
      <c r="C5338" s="1"/>
      <c r="D5338" s="1"/>
      <c r="E5338" s="1"/>
      <c r="F5338" s="1"/>
      <c r="G5338" s="1"/>
      <c r="H5338" s="1"/>
      <c r="I5338" s="2"/>
      <c r="J5338" s="1"/>
      <c r="K5338" s="1"/>
      <c r="L5338" s="1"/>
      <c r="M5338" s="1"/>
      <c r="N5338" s="1"/>
      <c r="O5338" s="1"/>
      <c r="P5338" s="1"/>
      <c r="Q5338" s="1"/>
      <c r="R5338" s="1"/>
      <c r="S5338" s="1"/>
      <c r="T5338" s="1"/>
      <c r="U5338" s="1"/>
      <c r="V5338" s="1"/>
      <c r="W5338" s="1"/>
      <c r="X5338" s="1"/>
    </row>
    <row x14ac:dyDescent="0.25" r="5339" customHeight="1" ht="18.75">
      <c r="A5339" s="1"/>
      <c r="B5339" s="1"/>
      <c r="C5339" s="1"/>
      <c r="D5339" s="1"/>
      <c r="E5339" s="1"/>
      <c r="F5339" s="1"/>
      <c r="G5339" s="1"/>
      <c r="H5339" s="1"/>
      <c r="I5339" s="2"/>
      <c r="J5339" s="1"/>
      <c r="K5339" s="1"/>
      <c r="L5339" s="1"/>
      <c r="M5339" s="1"/>
      <c r="N5339" s="1"/>
      <c r="O5339" s="1"/>
      <c r="P5339" s="1"/>
      <c r="Q5339" s="1"/>
      <c r="R5339" s="1"/>
      <c r="S5339" s="1"/>
      <c r="T5339" s="1"/>
      <c r="U5339" s="1"/>
      <c r="V5339" s="1"/>
      <c r="W5339" s="1"/>
      <c r="X5339" s="1"/>
    </row>
    <row x14ac:dyDescent="0.25" r="5340" customHeight="1" ht="18.75">
      <c r="A5340" s="1"/>
      <c r="B5340" s="1"/>
      <c r="C5340" s="1"/>
      <c r="D5340" s="1"/>
      <c r="E5340" s="1"/>
      <c r="F5340" s="1"/>
      <c r="G5340" s="1"/>
      <c r="H5340" s="1"/>
      <c r="I5340" s="2"/>
      <c r="J5340" s="1"/>
      <c r="K5340" s="1"/>
      <c r="L5340" s="1"/>
      <c r="M5340" s="1"/>
      <c r="N5340" s="1"/>
      <c r="O5340" s="1"/>
      <c r="P5340" s="1"/>
      <c r="Q5340" s="1"/>
      <c r="R5340" s="1"/>
      <c r="S5340" s="1"/>
      <c r="T5340" s="1"/>
      <c r="U5340" s="1"/>
      <c r="V5340" s="1"/>
      <c r="W5340" s="1"/>
      <c r="X5340" s="1"/>
    </row>
    <row x14ac:dyDescent="0.25" r="5341" customHeight="1" ht="18.75">
      <c r="A5341" s="1"/>
      <c r="B5341" s="1"/>
      <c r="C5341" s="1"/>
      <c r="D5341" s="1"/>
      <c r="E5341" s="1"/>
      <c r="F5341" s="1"/>
      <c r="G5341" s="1"/>
      <c r="H5341" s="1"/>
      <c r="I5341" s="2"/>
      <c r="J5341" s="1"/>
      <c r="K5341" s="1"/>
      <c r="L5341" s="1"/>
      <c r="M5341" s="1"/>
      <c r="N5341" s="1"/>
      <c r="O5341" s="1"/>
      <c r="P5341" s="1"/>
      <c r="Q5341" s="1"/>
      <c r="R5341" s="1"/>
      <c r="S5341" s="1"/>
      <c r="T5341" s="1"/>
      <c r="U5341" s="1"/>
      <c r="V5341" s="1"/>
      <c r="W5341" s="1"/>
      <c r="X5341" s="1"/>
    </row>
    <row x14ac:dyDescent="0.25" r="5342" customHeight="1" ht="18.75">
      <c r="A5342" s="1"/>
      <c r="B5342" s="1"/>
      <c r="C5342" s="1"/>
      <c r="D5342" s="1"/>
      <c r="E5342" s="1"/>
      <c r="F5342" s="1"/>
      <c r="G5342" s="1"/>
      <c r="H5342" s="1"/>
      <c r="I5342" s="2"/>
      <c r="J5342" s="1"/>
      <c r="K5342" s="1"/>
      <c r="L5342" s="1"/>
      <c r="M5342" s="1"/>
      <c r="N5342" s="1"/>
      <c r="O5342" s="1"/>
      <c r="P5342" s="1"/>
      <c r="Q5342" s="1"/>
      <c r="R5342" s="1"/>
      <c r="S5342" s="1"/>
      <c r="T5342" s="1"/>
      <c r="U5342" s="1"/>
      <c r="V5342" s="1"/>
      <c r="W5342" s="1"/>
      <c r="X5342" s="1"/>
    </row>
    <row x14ac:dyDescent="0.25" r="5343" customHeight="1" ht="18.75">
      <c r="A5343" s="1"/>
      <c r="B5343" s="1"/>
      <c r="C5343" s="1"/>
      <c r="D5343" s="1"/>
      <c r="E5343" s="1"/>
      <c r="F5343" s="1"/>
      <c r="G5343" s="1"/>
      <c r="H5343" s="1"/>
      <c r="I5343" s="2"/>
      <c r="J5343" s="1"/>
      <c r="K5343" s="1"/>
      <c r="L5343" s="1"/>
      <c r="M5343" s="1"/>
      <c r="N5343" s="1"/>
      <c r="O5343" s="1"/>
      <c r="P5343" s="1"/>
      <c r="Q5343" s="1"/>
      <c r="R5343" s="1"/>
      <c r="S5343" s="1"/>
      <c r="T5343" s="1"/>
      <c r="U5343" s="1"/>
      <c r="V5343" s="1"/>
      <c r="W5343" s="1"/>
      <c r="X5343" s="1"/>
    </row>
    <row x14ac:dyDescent="0.25" r="5344" customHeight="1" ht="18.75">
      <c r="A5344" s="1"/>
      <c r="B5344" s="1"/>
      <c r="C5344" s="1"/>
      <c r="D5344" s="1"/>
      <c r="E5344" s="1"/>
      <c r="F5344" s="1"/>
      <c r="G5344" s="1"/>
      <c r="H5344" s="1"/>
      <c r="I5344" s="2"/>
      <c r="J5344" s="1"/>
      <c r="K5344" s="1"/>
      <c r="L5344" s="1"/>
      <c r="M5344" s="1"/>
      <c r="N5344" s="1"/>
      <c r="O5344" s="1"/>
      <c r="P5344" s="1"/>
      <c r="Q5344" s="1"/>
      <c r="R5344" s="1"/>
      <c r="S5344" s="1"/>
      <c r="T5344" s="1"/>
      <c r="U5344" s="1"/>
      <c r="V5344" s="1"/>
      <c r="W5344" s="1"/>
      <c r="X5344" s="1"/>
    </row>
    <row x14ac:dyDescent="0.25" r="5345" customHeight="1" ht="18.75">
      <c r="A5345" s="1"/>
      <c r="B5345" s="1"/>
      <c r="C5345" s="1"/>
      <c r="D5345" s="1"/>
      <c r="E5345" s="1"/>
      <c r="F5345" s="1"/>
      <c r="G5345" s="1"/>
      <c r="H5345" s="1"/>
      <c r="I5345" s="2"/>
      <c r="J5345" s="1"/>
      <c r="K5345" s="1"/>
      <c r="L5345" s="1"/>
      <c r="M5345" s="1"/>
      <c r="N5345" s="1"/>
      <c r="O5345" s="1"/>
      <c r="P5345" s="1"/>
      <c r="Q5345" s="1"/>
      <c r="R5345" s="1"/>
      <c r="S5345" s="1"/>
      <c r="T5345" s="1"/>
      <c r="U5345" s="1"/>
      <c r="V5345" s="1"/>
      <c r="W5345" s="1"/>
      <c r="X5345" s="1"/>
    </row>
    <row x14ac:dyDescent="0.25" r="5346" customHeight="1" ht="18.75">
      <c r="A5346" s="1"/>
      <c r="B5346" s="1"/>
      <c r="C5346" s="1"/>
      <c r="D5346" s="1"/>
      <c r="E5346" s="1"/>
      <c r="F5346" s="1"/>
      <c r="G5346" s="1"/>
      <c r="H5346" s="1"/>
      <c r="I5346" s="2"/>
      <c r="J5346" s="1"/>
      <c r="K5346" s="1"/>
      <c r="L5346" s="1"/>
      <c r="M5346" s="1"/>
      <c r="N5346" s="1"/>
      <c r="O5346" s="1"/>
      <c r="P5346" s="1"/>
      <c r="Q5346" s="1"/>
      <c r="R5346" s="1"/>
      <c r="S5346" s="1"/>
      <c r="T5346" s="1"/>
      <c r="U5346" s="1"/>
      <c r="V5346" s="1"/>
      <c r="W5346" s="1"/>
      <c r="X5346" s="1"/>
    </row>
    <row x14ac:dyDescent="0.25" r="5347" customHeight="1" ht="18.75">
      <c r="A5347" s="1"/>
      <c r="B5347" s="1"/>
      <c r="C5347" s="1"/>
      <c r="D5347" s="1"/>
      <c r="E5347" s="1"/>
      <c r="F5347" s="1"/>
      <c r="G5347" s="1"/>
      <c r="H5347" s="1"/>
      <c r="I5347" s="2"/>
      <c r="J5347" s="1"/>
      <c r="K5347" s="1"/>
      <c r="L5347" s="1"/>
      <c r="M5347" s="1"/>
      <c r="N5347" s="1"/>
      <c r="O5347" s="1"/>
      <c r="P5347" s="1"/>
      <c r="Q5347" s="1"/>
      <c r="R5347" s="1"/>
      <c r="S5347" s="1"/>
      <c r="T5347" s="1"/>
      <c r="U5347" s="1"/>
      <c r="V5347" s="1"/>
      <c r="W5347" s="1"/>
      <c r="X5347" s="1"/>
    </row>
    <row x14ac:dyDescent="0.25" r="5348" customHeight="1" ht="18.75">
      <c r="A5348" s="1"/>
      <c r="B5348" s="1"/>
      <c r="C5348" s="1"/>
      <c r="D5348" s="1"/>
      <c r="E5348" s="1"/>
      <c r="F5348" s="1"/>
      <c r="G5348" s="1"/>
      <c r="H5348" s="1"/>
      <c r="I5348" s="2"/>
      <c r="J5348" s="1"/>
      <c r="K5348" s="1"/>
      <c r="L5348" s="1"/>
      <c r="M5348" s="1"/>
      <c r="N5348" s="1"/>
      <c r="O5348" s="1"/>
      <c r="P5348" s="1"/>
      <c r="Q5348" s="1"/>
      <c r="R5348" s="1"/>
      <c r="S5348" s="1"/>
      <c r="T5348" s="1"/>
      <c r="U5348" s="1"/>
      <c r="V5348" s="1"/>
      <c r="W5348" s="1"/>
      <c r="X5348" s="1"/>
    </row>
    <row x14ac:dyDescent="0.25" r="5349" customHeight="1" ht="18.75">
      <c r="A5349" s="1"/>
      <c r="B5349" s="1"/>
      <c r="C5349" s="1"/>
      <c r="D5349" s="1"/>
      <c r="E5349" s="1"/>
      <c r="F5349" s="1"/>
      <c r="G5349" s="1"/>
      <c r="H5349" s="1"/>
      <c r="I5349" s="2"/>
      <c r="J5349" s="1"/>
      <c r="K5349" s="1"/>
      <c r="L5349" s="1"/>
      <c r="M5349" s="1"/>
      <c r="N5349" s="1"/>
      <c r="O5349" s="1"/>
      <c r="P5349" s="1"/>
      <c r="Q5349" s="1"/>
      <c r="R5349" s="1"/>
      <c r="S5349" s="1"/>
      <c r="T5349" s="1"/>
      <c r="U5349" s="1"/>
      <c r="V5349" s="1"/>
      <c r="W5349" s="1"/>
      <c r="X5349" s="1"/>
    </row>
    <row x14ac:dyDescent="0.25" r="5350" customHeight="1" ht="18.75">
      <c r="A5350" s="1"/>
      <c r="B5350" s="1"/>
      <c r="C5350" s="1"/>
      <c r="D5350" s="1"/>
      <c r="E5350" s="1"/>
      <c r="F5350" s="1"/>
      <c r="G5350" s="1"/>
      <c r="H5350" s="1"/>
      <c r="I5350" s="2"/>
      <c r="J5350" s="1"/>
      <c r="K5350" s="1"/>
      <c r="L5350" s="1"/>
      <c r="M5350" s="1"/>
      <c r="N5350" s="1"/>
      <c r="O5350" s="1"/>
      <c r="P5350" s="1"/>
      <c r="Q5350" s="1"/>
      <c r="R5350" s="1"/>
      <c r="S5350" s="1"/>
      <c r="T5350" s="1"/>
      <c r="U5350" s="1"/>
      <c r="V5350" s="1"/>
      <c r="W5350" s="1"/>
      <c r="X5350" s="1"/>
    </row>
    <row x14ac:dyDescent="0.25" r="5351" customHeight="1" ht="18.75">
      <c r="A5351" s="1"/>
      <c r="B5351" s="1"/>
      <c r="C5351" s="1"/>
      <c r="D5351" s="1"/>
      <c r="E5351" s="1"/>
      <c r="F5351" s="1"/>
      <c r="G5351" s="1"/>
      <c r="H5351" s="1"/>
      <c r="I5351" s="2"/>
      <c r="J5351" s="1"/>
      <c r="K5351" s="1"/>
      <c r="L5351" s="1"/>
      <c r="M5351" s="1"/>
      <c r="N5351" s="1"/>
      <c r="O5351" s="1"/>
      <c r="P5351" s="1"/>
      <c r="Q5351" s="1"/>
      <c r="R5351" s="1"/>
      <c r="S5351" s="1"/>
      <c r="T5351" s="1"/>
      <c r="U5351" s="1"/>
      <c r="V5351" s="1"/>
      <c r="W5351" s="1"/>
      <c r="X5351" s="1"/>
    </row>
    <row x14ac:dyDescent="0.25" r="5352" customHeight="1" ht="18.75">
      <c r="A5352" s="1"/>
      <c r="B5352" s="1"/>
      <c r="C5352" s="1"/>
      <c r="D5352" s="1"/>
      <c r="E5352" s="1"/>
      <c r="F5352" s="1"/>
      <c r="G5352" s="1"/>
      <c r="H5352" s="1"/>
      <c r="I5352" s="2"/>
      <c r="J5352" s="1"/>
      <c r="K5352" s="1"/>
      <c r="L5352" s="1"/>
      <c r="M5352" s="1"/>
      <c r="N5352" s="1"/>
      <c r="O5352" s="1"/>
      <c r="P5352" s="1"/>
      <c r="Q5352" s="1"/>
      <c r="R5352" s="1"/>
      <c r="S5352" s="1"/>
      <c r="T5352" s="1"/>
      <c r="U5352" s="1"/>
      <c r="V5352" s="1"/>
      <c r="W5352" s="1"/>
      <c r="X5352" s="1"/>
    </row>
    <row x14ac:dyDescent="0.25" r="5353" customHeight="1" ht="18.75">
      <c r="A5353" s="1"/>
      <c r="B5353" s="1"/>
      <c r="C5353" s="1"/>
      <c r="D5353" s="1"/>
      <c r="E5353" s="1"/>
      <c r="F5353" s="1"/>
      <c r="G5353" s="1"/>
      <c r="H5353" s="1"/>
      <c r="I5353" s="2"/>
      <c r="J5353" s="1"/>
      <c r="K5353" s="1"/>
      <c r="L5353" s="1"/>
      <c r="M5353" s="1"/>
      <c r="N5353" s="1"/>
      <c r="O5353" s="1"/>
      <c r="P5353" s="1"/>
      <c r="Q5353" s="1"/>
      <c r="R5353" s="1"/>
      <c r="S5353" s="1"/>
      <c r="T5353" s="1"/>
      <c r="U5353" s="1"/>
      <c r="V5353" s="1"/>
      <c r="W5353" s="1"/>
      <c r="X5353" s="1"/>
    </row>
    <row x14ac:dyDescent="0.25" r="5354" customHeight="1" ht="18.75">
      <c r="A5354" s="1"/>
      <c r="B5354" s="1"/>
      <c r="C5354" s="1"/>
      <c r="D5354" s="1"/>
      <c r="E5354" s="1"/>
      <c r="F5354" s="1"/>
      <c r="G5354" s="1"/>
      <c r="H5354" s="1"/>
      <c r="I5354" s="2"/>
      <c r="J5354" s="1"/>
      <c r="K5354" s="1"/>
      <c r="L5354" s="1"/>
      <c r="M5354" s="1"/>
      <c r="N5354" s="1"/>
      <c r="O5354" s="1"/>
      <c r="P5354" s="1"/>
      <c r="Q5354" s="1"/>
      <c r="R5354" s="1"/>
      <c r="S5354" s="1"/>
      <c r="T5354" s="1"/>
      <c r="U5354" s="1"/>
      <c r="V5354" s="1"/>
      <c r="W5354" s="1"/>
      <c r="X5354" s="1"/>
    </row>
    <row x14ac:dyDescent="0.25" r="5355" customHeight="1" ht="18.75">
      <c r="A5355" s="1"/>
      <c r="B5355" s="1"/>
      <c r="C5355" s="1"/>
      <c r="D5355" s="1"/>
      <c r="E5355" s="1"/>
      <c r="F5355" s="1"/>
      <c r="G5355" s="1"/>
      <c r="H5355" s="1"/>
      <c r="I5355" s="2"/>
      <c r="J5355" s="1"/>
      <c r="K5355" s="1"/>
      <c r="L5355" s="1"/>
      <c r="M5355" s="1"/>
      <c r="N5355" s="1"/>
      <c r="O5355" s="1"/>
      <c r="P5355" s="1"/>
      <c r="Q5355" s="1"/>
      <c r="R5355" s="1"/>
      <c r="S5355" s="1"/>
      <c r="T5355" s="1"/>
      <c r="U5355" s="1"/>
      <c r="V5355" s="1"/>
      <c r="W5355" s="1"/>
      <c r="X5355" s="1"/>
    </row>
    <row x14ac:dyDescent="0.25" r="5356" customHeight="1" ht="18.75">
      <c r="A5356" s="1"/>
      <c r="B5356" s="1"/>
      <c r="C5356" s="1"/>
      <c r="D5356" s="1"/>
      <c r="E5356" s="1"/>
      <c r="F5356" s="1"/>
      <c r="G5356" s="1"/>
      <c r="H5356" s="1"/>
      <c r="I5356" s="2"/>
      <c r="J5356" s="1"/>
      <c r="K5356" s="1"/>
      <c r="L5356" s="1"/>
      <c r="M5356" s="1"/>
      <c r="N5356" s="1"/>
      <c r="O5356" s="1"/>
      <c r="P5356" s="1"/>
      <c r="Q5356" s="1"/>
      <c r="R5356" s="1"/>
      <c r="S5356" s="1"/>
      <c r="T5356" s="1"/>
      <c r="U5356" s="1"/>
      <c r="V5356" s="1"/>
      <c r="W5356" s="1"/>
      <c r="X5356" s="1"/>
    </row>
    <row x14ac:dyDescent="0.25" r="5357" customHeight="1" ht="18.75">
      <c r="A5357" s="1"/>
      <c r="B5357" s="1"/>
      <c r="C5357" s="1"/>
      <c r="D5357" s="1"/>
      <c r="E5357" s="1"/>
      <c r="F5357" s="1"/>
      <c r="G5357" s="1"/>
      <c r="H5357" s="1"/>
      <c r="I5357" s="2"/>
      <c r="J5357" s="1"/>
      <c r="K5357" s="1"/>
      <c r="L5357" s="1"/>
      <c r="M5357" s="1"/>
      <c r="N5357" s="1"/>
      <c r="O5357" s="1"/>
      <c r="P5357" s="1"/>
      <c r="Q5357" s="1"/>
      <c r="R5357" s="1"/>
      <c r="S5357" s="1"/>
      <c r="T5357" s="1"/>
      <c r="U5357" s="1"/>
      <c r="V5357" s="1"/>
      <c r="W5357" s="1"/>
      <c r="X5357" s="1"/>
    </row>
    <row x14ac:dyDescent="0.25" r="5358" customHeight="1" ht="18.75">
      <c r="A5358" s="1"/>
      <c r="B5358" s="1"/>
      <c r="C5358" s="1"/>
      <c r="D5358" s="1"/>
      <c r="E5358" s="1"/>
      <c r="F5358" s="1"/>
      <c r="G5358" s="1"/>
      <c r="H5358" s="1"/>
      <c r="I5358" s="2"/>
      <c r="J5358" s="1"/>
      <c r="K5358" s="1"/>
      <c r="L5358" s="1"/>
      <c r="M5358" s="1"/>
      <c r="N5358" s="1"/>
      <c r="O5358" s="1"/>
      <c r="P5358" s="1"/>
      <c r="Q5358" s="1"/>
      <c r="R5358" s="1"/>
      <c r="S5358" s="1"/>
      <c r="T5358" s="1"/>
      <c r="U5358" s="1"/>
      <c r="V5358" s="1"/>
      <c r="W5358" s="1"/>
      <c r="X5358" s="1"/>
    </row>
    <row x14ac:dyDescent="0.25" r="5359" customHeight="1" ht="18.75">
      <c r="A5359" s="1"/>
      <c r="B5359" s="1"/>
      <c r="C5359" s="1"/>
      <c r="D5359" s="1"/>
      <c r="E5359" s="1"/>
      <c r="F5359" s="1"/>
      <c r="G5359" s="1"/>
      <c r="H5359" s="1"/>
      <c r="I5359" s="2"/>
      <c r="J5359" s="1"/>
      <c r="K5359" s="1"/>
      <c r="L5359" s="1"/>
      <c r="M5359" s="1"/>
      <c r="N5359" s="1"/>
      <c r="O5359" s="1"/>
      <c r="P5359" s="1"/>
      <c r="Q5359" s="1"/>
      <c r="R5359" s="1"/>
      <c r="S5359" s="1"/>
      <c r="T5359" s="1"/>
      <c r="U5359" s="1"/>
      <c r="V5359" s="1"/>
      <c r="W5359" s="1"/>
      <c r="X5359" s="1"/>
    </row>
    <row x14ac:dyDescent="0.25" r="5360" customHeight="1" ht="18.75">
      <c r="A5360" s="1"/>
      <c r="B5360" s="1"/>
      <c r="C5360" s="1"/>
      <c r="D5360" s="1"/>
      <c r="E5360" s="1"/>
      <c r="F5360" s="1"/>
      <c r="G5360" s="1"/>
      <c r="H5360" s="1"/>
      <c r="I5360" s="2"/>
      <c r="J5360" s="1"/>
      <c r="K5360" s="1"/>
      <c r="L5360" s="1"/>
      <c r="M5360" s="1"/>
      <c r="N5360" s="1"/>
      <c r="O5360" s="1"/>
      <c r="P5360" s="1"/>
      <c r="Q5360" s="1"/>
      <c r="R5360" s="1"/>
      <c r="S5360" s="1"/>
      <c r="T5360" s="1"/>
      <c r="U5360" s="1"/>
      <c r="V5360" s="1"/>
      <c r="W5360" s="1"/>
      <c r="X5360" s="1"/>
    </row>
    <row x14ac:dyDescent="0.25" r="5361" customHeight="1" ht="18.75">
      <c r="A5361" s="1"/>
      <c r="B5361" s="1"/>
      <c r="C5361" s="1"/>
      <c r="D5361" s="1"/>
      <c r="E5361" s="1"/>
      <c r="F5361" s="1"/>
      <c r="G5361" s="1"/>
      <c r="H5361" s="1"/>
      <c r="I5361" s="2"/>
      <c r="J5361" s="1"/>
      <c r="K5361" s="1"/>
      <c r="L5361" s="1"/>
      <c r="M5361" s="1"/>
      <c r="N5361" s="1"/>
      <c r="O5361" s="1"/>
      <c r="P5361" s="1"/>
      <c r="Q5361" s="1"/>
      <c r="R5361" s="1"/>
      <c r="S5361" s="1"/>
      <c r="T5361" s="1"/>
      <c r="U5361" s="1"/>
      <c r="V5361" s="1"/>
      <c r="W5361" s="1"/>
      <c r="X5361" s="1"/>
    </row>
    <row x14ac:dyDescent="0.25" r="5362" customHeight="1" ht="18.75">
      <c r="A5362" s="1"/>
      <c r="B5362" s="1"/>
      <c r="C5362" s="1"/>
      <c r="D5362" s="1"/>
      <c r="E5362" s="1"/>
      <c r="F5362" s="1"/>
      <c r="G5362" s="1"/>
      <c r="H5362" s="1"/>
      <c r="I5362" s="2"/>
      <c r="J5362" s="1"/>
      <c r="K5362" s="1"/>
      <c r="L5362" s="1"/>
      <c r="M5362" s="1"/>
      <c r="N5362" s="1"/>
      <c r="O5362" s="1"/>
      <c r="P5362" s="1"/>
      <c r="Q5362" s="1"/>
      <c r="R5362" s="1"/>
      <c r="S5362" s="1"/>
      <c r="T5362" s="1"/>
      <c r="U5362" s="1"/>
      <c r="V5362" s="1"/>
      <c r="W5362" s="1"/>
      <c r="X5362" s="1"/>
    </row>
    <row x14ac:dyDescent="0.25" r="5363" customHeight="1" ht="18.75">
      <c r="A5363" s="1"/>
      <c r="B5363" s="1"/>
      <c r="C5363" s="1"/>
      <c r="D5363" s="1"/>
      <c r="E5363" s="1"/>
      <c r="F5363" s="1"/>
      <c r="G5363" s="1"/>
      <c r="H5363" s="1"/>
      <c r="I5363" s="2"/>
      <c r="J5363" s="1"/>
      <c r="K5363" s="1"/>
      <c r="L5363" s="1"/>
      <c r="M5363" s="1"/>
      <c r="N5363" s="1"/>
      <c r="O5363" s="1"/>
      <c r="P5363" s="1"/>
      <c r="Q5363" s="1"/>
      <c r="R5363" s="1"/>
      <c r="S5363" s="1"/>
      <c r="T5363" s="1"/>
      <c r="U5363" s="1"/>
      <c r="V5363" s="1"/>
      <c r="W5363" s="1"/>
      <c r="X5363" s="1"/>
    </row>
    <row x14ac:dyDescent="0.25" r="5364" customHeight="1" ht="18.75">
      <c r="A5364" s="1"/>
      <c r="B5364" s="1"/>
      <c r="C5364" s="1"/>
      <c r="D5364" s="1"/>
      <c r="E5364" s="1"/>
      <c r="F5364" s="1"/>
      <c r="G5364" s="1"/>
      <c r="H5364" s="1"/>
      <c r="I5364" s="2"/>
      <c r="J5364" s="1"/>
      <c r="K5364" s="1"/>
      <c r="L5364" s="1"/>
      <c r="M5364" s="1"/>
      <c r="N5364" s="1"/>
      <c r="O5364" s="1"/>
      <c r="P5364" s="1"/>
      <c r="Q5364" s="1"/>
      <c r="R5364" s="1"/>
      <c r="S5364" s="1"/>
      <c r="T5364" s="1"/>
      <c r="U5364" s="1"/>
      <c r="V5364" s="1"/>
      <c r="W5364" s="1"/>
      <c r="X5364" s="1"/>
    </row>
    <row x14ac:dyDescent="0.25" r="5365" customHeight="1" ht="18.75">
      <c r="A5365" s="1"/>
      <c r="B5365" s="1"/>
      <c r="C5365" s="1"/>
      <c r="D5365" s="1"/>
      <c r="E5365" s="1"/>
      <c r="F5365" s="1"/>
      <c r="G5365" s="1"/>
      <c r="H5365" s="1"/>
      <c r="I5365" s="2"/>
      <c r="J5365" s="1"/>
      <c r="K5365" s="1"/>
      <c r="L5365" s="1"/>
      <c r="M5365" s="1"/>
      <c r="N5365" s="1"/>
      <c r="O5365" s="1"/>
      <c r="P5365" s="1"/>
      <c r="Q5365" s="1"/>
      <c r="R5365" s="1"/>
      <c r="S5365" s="1"/>
      <c r="T5365" s="1"/>
      <c r="U5365" s="1"/>
      <c r="V5365" s="1"/>
      <c r="W5365" s="1"/>
      <c r="X5365" s="1"/>
    </row>
    <row x14ac:dyDescent="0.25" r="5366" customHeight="1" ht="18.75">
      <c r="A5366" s="1"/>
      <c r="B5366" s="1"/>
      <c r="C5366" s="1"/>
      <c r="D5366" s="1"/>
      <c r="E5366" s="1"/>
      <c r="F5366" s="1"/>
      <c r="G5366" s="1"/>
      <c r="H5366" s="1"/>
      <c r="I5366" s="2"/>
      <c r="J5366" s="1"/>
      <c r="K5366" s="1"/>
      <c r="L5366" s="1"/>
      <c r="M5366" s="1"/>
      <c r="N5366" s="1"/>
      <c r="O5366" s="1"/>
      <c r="P5366" s="1"/>
      <c r="Q5366" s="1"/>
      <c r="R5366" s="1"/>
      <c r="S5366" s="1"/>
      <c r="T5366" s="1"/>
      <c r="U5366" s="1"/>
      <c r="V5366" s="1"/>
      <c r="W5366" s="1"/>
      <c r="X5366" s="1"/>
    </row>
    <row x14ac:dyDescent="0.25" r="5367" customHeight="1" ht="18.75">
      <c r="A5367" s="1"/>
      <c r="B5367" s="1"/>
      <c r="C5367" s="1"/>
      <c r="D5367" s="1"/>
      <c r="E5367" s="1"/>
      <c r="F5367" s="1"/>
      <c r="G5367" s="1"/>
      <c r="H5367" s="1"/>
      <c r="I5367" s="2"/>
      <c r="J5367" s="1"/>
      <c r="K5367" s="1"/>
      <c r="L5367" s="1"/>
      <c r="M5367" s="1"/>
      <c r="N5367" s="1"/>
      <c r="O5367" s="1"/>
      <c r="P5367" s="1"/>
      <c r="Q5367" s="1"/>
      <c r="R5367" s="1"/>
      <c r="S5367" s="1"/>
      <c r="T5367" s="1"/>
      <c r="U5367" s="1"/>
      <c r="V5367" s="1"/>
      <c r="W5367" s="1"/>
      <c r="X5367" s="1"/>
    </row>
    <row x14ac:dyDescent="0.25" r="5368" customHeight="1" ht="18.75">
      <c r="A5368" s="1"/>
      <c r="B5368" s="1"/>
      <c r="C5368" s="1"/>
      <c r="D5368" s="1"/>
      <c r="E5368" s="1"/>
      <c r="F5368" s="1"/>
      <c r="G5368" s="1"/>
      <c r="H5368" s="1"/>
      <c r="I5368" s="2"/>
      <c r="J5368" s="1"/>
      <c r="K5368" s="1"/>
      <c r="L5368" s="1"/>
      <c r="M5368" s="1"/>
      <c r="N5368" s="1"/>
      <c r="O5368" s="1"/>
      <c r="P5368" s="1"/>
      <c r="Q5368" s="1"/>
      <c r="R5368" s="1"/>
      <c r="S5368" s="1"/>
      <c r="T5368" s="1"/>
      <c r="U5368" s="1"/>
      <c r="V5368" s="1"/>
      <c r="W5368" s="1"/>
      <c r="X5368" s="1"/>
    </row>
    <row x14ac:dyDescent="0.25" r="5369" customHeight="1" ht="18.75">
      <c r="A5369" s="1"/>
      <c r="B5369" s="1"/>
      <c r="C5369" s="1"/>
      <c r="D5369" s="1"/>
      <c r="E5369" s="1"/>
      <c r="F5369" s="1"/>
      <c r="G5369" s="1"/>
      <c r="H5369" s="1"/>
      <c r="I5369" s="2"/>
      <c r="J5369" s="1"/>
      <c r="K5369" s="1"/>
      <c r="L5369" s="1"/>
      <c r="M5369" s="1"/>
      <c r="N5369" s="1"/>
      <c r="O5369" s="1"/>
      <c r="P5369" s="1"/>
      <c r="Q5369" s="1"/>
      <c r="R5369" s="1"/>
      <c r="S5369" s="1"/>
      <c r="T5369" s="1"/>
      <c r="U5369" s="1"/>
      <c r="V5369" s="1"/>
      <c r="W5369" s="1"/>
      <c r="X5369" s="1"/>
    </row>
    <row x14ac:dyDescent="0.25" r="5370" customHeight="1" ht="18.75">
      <c r="A5370" s="1"/>
      <c r="B5370" s="1"/>
      <c r="C5370" s="1"/>
      <c r="D5370" s="1"/>
      <c r="E5370" s="1"/>
      <c r="F5370" s="1"/>
      <c r="G5370" s="1"/>
      <c r="H5370" s="1"/>
      <c r="I5370" s="2"/>
      <c r="J5370" s="1"/>
      <c r="K5370" s="1"/>
      <c r="L5370" s="1"/>
      <c r="M5370" s="1"/>
      <c r="N5370" s="1"/>
      <c r="O5370" s="1"/>
      <c r="P5370" s="1"/>
      <c r="Q5370" s="1"/>
      <c r="R5370" s="1"/>
      <c r="S5370" s="1"/>
      <c r="T5370" s="1"/>
      <c r="U5370" s="1"/>
      <c r="V5370" s="1"/>
      <c r="W5370" s="1"/>
      <c r="X5370" s="1"/>
    </row>
    <row x14ac:dyDescent="0.25" r="5371" customHeight="1" ht="18.75">
      <c r="A5371" s="1"/>
      <c r="B5371" s="1"/>
      <c r="C5371" s="1"/>
      <c r="D5371" s="1"/>
      <c r="E5371" s="1"/>
      <c r="F5371" s="1"/>
      <c r="G5371" s="1"/>
      <c r="H5371" s="1"/>
      <c r="I5371" s="2"/>
      <c r="J5371" s="1"/>
      <c r="K5371" s="1"/>
      <c r="L5371" s="1"/>
      <c r="M5371" s="1"/>
      <c r="N5371" s="1"/>
      <c r="O5371" s="1"/>
      <c r="P5371" s="1"/>
      <c r="Q5371" s="1"/>
      <c r="R5371" s="1"/>
      <c r="S5371" s="1"/>
      <c r="T5371" s="1"/>
      <c r="U5371" s="1"/>
      <c r="V5371" s="1"/>
      <c r="W5371" s="1"/>
      <c r="X5371" s="1"/>
    </row>
    <row x14ac:dyDescent="0.25" r="5372" customHeight="1" ht="18.75">
      <c r="A5372" s="1"/>
      <c r="B5372" s="1"/>
      <c r="C5372" s="1"/>
      <c r="D5372" s="1"/>
      <c r="E5372" s="1"/>
      <c r="F5372" s="1"/>
      <c r="G5372" s="1"/>
      <c r="H5372" s="1"/>
      <c r="I5372" s="2"/>
      <c r="J5372" s="1"/>
      <c r="K5372" s="1"/>
      <c r="L5372" s="1"/>
      <c r="M5372" s="1"/>
      <c r="N5372" s="1"/>
      <c r="O5372" s="1"/>
      <c r="P5372" s="1"/>
      <c r="Q5372" s="1"/>
      <c r="R5372" s="1"/>
      <c r="S5372" s="1"/>
      <c r="T5372" s="1"/>
      <c r="U5372" s="1"/>
      <c r="V5372" s="1"/>
      <c r="W5372" s="1"/>
      <c r="X5372" s="1"/>
    </row>
    <row x14ac:dyDescent="0.25" r="5373" customHeight="1" ht="18.75">
      <c r="A5373" s="1"/>
      <c r="B5373" s="1"/>
      <c r="C5373" s="1"/>
      <c r="D5373" s="1"/>
      <c r="E5373" s="1"/>
      <c r="F5373" s="1"/>
      <c r="G5373" s="1"/>
      <c r="H5373" s="1"/>
      <c r="I5373" s="2"/>
      <c r="J5373" s="1"/>
      <c r="K5373" s="1"/>
      <c r="L5373" s="1"/>
      <c r="M5373" s="1"/>
      <c r="N5373" s="1"/>
      <c r="O5373" s="1"/>
      <c r="P5373" s="1"/>
      <c r="Q5373" s="1"/>
      <c r="R5373" s="1"/>
      <c r="S5373" s="1"/>
      <c r="T5373" s="1"/>
      <c r="U5373" s="1"/>
      <c r="V5373" s="1"/>
      <c r="W5373" s="1"/>
      <c r="X5373" s="1"/>
    </row>
    <row x14ac:dyDescent="0.25" r="5374" customHeight="1" ht="18.75">
      <c r="A5374" s="1"/>
      <c r="B5374" s="1"/>
      <c r="C5374" s="1"/>
      <c r="D5374" s="1"/>
      <c r="E5374" s="1"/>
      <c r="F5374" s="1"/>
      <c r="G5374" s="1"/>
      <c r="H5374" s="1"/>
      <c r="I5374" s="2"/>
      <c r="J5374" s="1"/>
      <c r="K5374" s="1"/>
      <c r="L5374" s="1"/>
      <c r="M5374" s="1"/>
      <c r="N5374" s="1"/>
      <c r="O5374" s="1"/>
      <c r="P5374" s="1"/>
      <c r="Q5374" s="1"/>
      <c r="R5374" s="1"/>
      <c r="S5374" s="1"/>
      <c r="T5374" s="1"/>
      <c r="U5374" s="1"/>
      <c r="V5374" s="1"/>
      <c r="W5374" s="1"/>
      <c r="X5374" s="1"/>
    </row>
    <row x14ac:dyDescent="0.25" r="5375" customHeight="1" ht="18.75">
      <c r="A5375" s="1"/>
      <c r="B5375" s="1"/>
      <c r="C5375" s="1"/>
      <c r="D5375" s="1"/>
      <c r="E5375" s="1"/>
      <c r="F5375" s="1"/>
      <c r="G5375" s="1"/>
      <c r="H5375" s="1"/>
      <c r="I5375" s="2"/>
      <c r="J5375" s="1"/>
      <c r="K5375" s="1"/>
      <c r="L5375" s="1"/>
      <c r="M5375" s="1"/>
      <c r="N5375" s="1"/>
      <c r="O5375" s="1"/>
      <c r="P5375" s="1"/>
      <c r="Q5375" s="1"/>
      <c r="R5375" s="1"/>
      <c r="S5375" s="1"/>
      <c r="T5375" s="1"/>
      <c r="U5375" s="1"/>
      <c r="V5375" s="1"/>
      <c r="W5375" s="1"/>
      <c r="X5375" s="1"/>
    </row>
    <row x14ac:dyDescent="0.25" r="5376" customHeight="1" ht="18.75">
      <c r="A5376" s="1"/>
      <c r="B5376" s="1"/>
      <c r="C5376" s="1"/>
      <c r="D5376" s="1"/>
      <c r="E5376" s="1"/>
      <c r="F5376" s="1"/>
      <c r="G5376" s="1"/>
      <c r="H5376" s="1"/>
      <c r="I5376" s="2"/>
      <c r="J5376" s="1"/>
      <c r="K5376" s="1"/>
      <c r="L5376" s="1"/>
      <c r="M5376" s="1"/>
      <c r="N5376" s="1"/>
      <c r="O5376" s="1"/>
      <c r="P5376" s="1"/>
      <c r="Q5376" s="1"/>
      <c r="R5376" s="1"/>
      <c r="S5376" s="1"/>
      <c r="T5376" s="1"/>
      <c r="U5376" s="1"/>
      <c r="V5376" s="1"/>
      <c r="W5376" s="1"/>
      <c r="X5376" s="1"/>
    </row>
    <row x14ac:dyDescent="0.25" r="5377" customHeight="1" ht="18.75">
      <c r="A5377" s="1"/>
      <c r="B5377" s="1"/>
      <c r="C5377" s="1"/>
      <c r="D5377" s="1"/>
      <c r="E5377" s="1"/>
      <c r="F5377" s="1"/>
      <c r="G5377" s="1"/>
      <c r="H5377" s="1"/>
      <c r="I5377" s="2"/>
      <c r="J5377" s="1"/>
      <c r="K5377" s="1"/>
      <c r="L5377" s="1"/>
      <c r="M5377" s="1"/>
      <c r="N5377" s="1"/>
      <c r="O5377" s="1"/>
      <c r="P5377" s="1"/>
      <c r="Q5377" s="1"/>
      <c r="R5377" s="1"/>
      <c r="S5377" s="1"/>
      <c r="T5377" s="1"/>
      <c r="U5377" s="1"/>
      <c r="V5377" s="1"/>
      <c r="W5377" s="1"/>
      <c r="X5377" s="1"/>
    </row>
    <row x14ac:dyDescent="0.25" r="5378" customHeight="1" ht="18.75">
      <c r="A5378" s="1"/>
      <c r="B5378" s="1"/>
      <c r="C5378" s="1"/>
      <c r="D5378" s="1"/>
      <c r="E5378" s="1"/>
      <c r="F5378" s="1"/>
      <c r="G5378" s="1"/>
      <c r="H5378" s="1"/>
      <c r="I5378" s="2"/>
      <c r="J5378" s="1"/>
      <c r="K5378" s="1"/>
      <c r="L5378" s="1"/>
      <c r="M5378" s="1"/>
      <c r="N5378" s="1"/>
      <c r="O5378" s="1"/>
      <c r="P5378" s="1"/>
      <c r="Q5378" s="1"/>
      <c r="R5378" s="1"/>
      <c r="S5378" s="1"/>
      <c r="T5378" s="1"/>
      <c r="U5378" s="1"/>
      <c r="V5378" s="1"/>
      <c r="W5378" s="1"/>
      <c r="X5378" s="1"/>
    </row>
    <row x14ac:dyDescent="0.25" r="5379" customHeight="1" ht="18.75">
      <c r="A5379" s="1"/>
      <c r="B5379" s="1"/>
      <c r="C5379" s="1"/>
      <c r="D5379" s="1"/>
      <c r="E5379" s="1"/>
      <c r="F5379" s="1"/>
      <c r="G5379" s="1"/>
      <c r="H5379" s="1"/>
      <c r="I5379" s="2"/>
      <c r="J5379" s="1"/>
      <c r="K5379" s="1"/>
      <c r="L5379" s="1"/>
      <c r="M5379" s="1"/>
      <c r="N5379" s="1"/>
      <c r="O5379" s="1"/>
      <c r="P5379" s="1"/>
      <c r="Q5379" s="1"/>
      <c r="R5379" s="1"/>
      <c r="S5379" s="1"/>
      <c r="T5379" s="1"/>
      <c r="U5379" s="1"/>
      <c r="V5379" s="1"/>
      <c r="W5379" s="1"/>
      <c r="X5379" s="1"/>
    </row>
    <row x14ac:dyDescent="0.25" r="5380" customHeight="1" ht="18.75">
      <c r="A5380" s="1"/>
      <c r="B5380" s="1"/>
      <c r="C5380" s="1"/>
      <c r="D5380" s="1"/>
      <c r="E5380" s="1"/>
      <c r="F5380" s="1"/>
      <c r="G5380" s="1"/>
      <c r="H5380" s="1"/>
      <c r="I5380" s="2"/>
      <c r="J5380" s="1"/>
      <c r="K5380" s="1"/>
      <c r="L5380" s="1"/>
      <c r="M5380" s="1"/>
      <c r="N5380" s="1"/>
      <c r="O5380" s="1"/>
      <c r="P5380" s="1"/>
      <c r="Q5380" s="1"/>
      <c r="R5380" s="1"/>
      <c r="S5380" s="1"/>
      <c r="T5380" s="1"/>
      <c r="U5380" s="1"/>
      <c r="V5380" s="1"/>
      <c r="W5380" s="1"/>
      <c r="X5380" s="1"/>
    </row>
    <row x14ac:dyDescent="0.25" r="5381" customHeight="1" ht="18.75">
      <c r="A5381" s="1"/>
      <c r="B5381" s="1"/>
      <c r="C5381" s="1"/>
      <c r="D5381" s="1"/>
      <c r="E5381" s="1"/>
      <c r="F5381" s="1"/>
      <c r="G5381" s="1"/>
      <c r="H5381" s="1"/>
      <c r="I5381" s="2"/>
      <c r="J5381" s="1"/>
      <c r="K5381" s="1"/>
      <c r="L5381" s="1"/>
      <c r="M5381" s="1"/>
      <c r="N5381" s="1"/>
      <c r="O5381" s="1"/>
      <c r="P5381" s="1"/>
      <c r="Q5381" s="1"/>
      <c r="R5381" s="1"/>
      <c r="S5381" s="1"/>
      <c r="T5381" s="1"/>
      <c r="U5381" s="1"/>
      <c r="V5381" s="1"/>
      <c r="W5381" s="1"/>
      <c r="X5381" s="1"/>
    </row>
    <row x14ac:dyDescent="0.25" r="5382" customHeight="1" ht="18.75">
      <c r="A5382" s="1"/>
      <c r="B5382" s="1"/>
      <c r="C5382" s="1"/>
      <c r="D5382" s="1"/>
      <c r="E5382" s="1"/>
      <c r="F5382" s="1"/>
      <c r="G5382" s="1"/>
      <c r="H5382" s="1"/>
      <c r="I5382" s="2"/>
      <c r="J5382" s="1"/>
      <c r="K5382" s="1"/>
      <c r="L5382" s="1"/>
      <c r="M5382" s="1"/>
      <c r="N5382" s="1"/>
      <c r="O5382" s="1"/>
      <c r="P5382" s="1"/>
      <c r="Q5382" s="1"/>
      <c r="R5382" s="1"/>
      <c r="S5382" s="1"/>
      <c r="T5382" s="1"/>
      <c r="U5382" s="1"/>
      <c r="V5382" s="1"/>
      <c r="W5382" s="1"/>
      <c r="X5382" s="1"/>
    </row>
    <row x14ac:dyDescent="0.25" r="5383" customHeight="1" ht="18.75">
      <c r="A5383" s="1"/>
      <c r="B5383" s="1"/>
      <c r="C5383" s="1"/>
      <c r="D5383" s="1"/>
      <c r="E5383" s="1"/>
      <c r="F5383" s="1"/>
      <c r="G5383" s="1"/>
      <c r="H5383" s="1"/>
      <c r="I5383" s="2"/>
      <c r="J5383" s="1"/>
      <c r="K5383" s="1"/>
      <c r="L5383" s="1"/>
      <c r="M5383" s="1"/>
      <c r="N5383" s="1"/>
      <c r="O5383" s="1"/>
      <c r="P5383" s="1"/>
      <c r="Q5383" s="1"/>
      <c r="R5383" s="1"/>
      <c r="S5383" s="1"/>
      <c r="T5383" s="1"/>
      <c r="U5383" s="1"/>
      <c r="V5383" s="1"/>
      <c r="W5383" s="1"/>
      <c r="X5383" s="1"/>
    </row>
    <row x14ac:dyDescent="0.25" r="5384" customHeight="1" ht="18.75">
      <c r="A5384" s="1"/>
      <c r="B5384" s="1"/>
      <c r="C5384" s="1"/>
      <c r="D5384" s="1"/>
      <c r="E5384" s="1"/>
      <c r="F5384" s="1"/>
      <c r="G5384" s="1"/>
      <c r="H5384" s="1"/>
      <c r="I5384" s="2"/>
      <c r="J5384" s="1"/>
      <c r="K5384" s="1"/>
      <c r="L5384" s="1"/>
      <c r="M5384" s="1"/>
      <c r="N5384" s="1"/>
      <c r="O5384" s="1"/>
      <c r="P5384" s="1"/>
      <c r="Q5384" s="1"/>
      <c r="R5384" s="1"/>
      <c r="S5384" s="1"/>
      <c r="T5384" s="1"/>
      <c r="U5384" s="1"/>
      <c r="V5384" s="1"/>
      <c r="W5384" s="1"/>
      <c r="X5384" s="1"/>
    </row>
    <row x14ac:dyDescent="0.25" r="5385" customHeight="1" ht="18.75">
      <c r="A5385" s="1"/>
      <c r="B5385" s="1"/>
      <c r="C5385" s="1"/>
      <c r="D5385" s="1"/>
      <c r="E5385" s="1"/>
      <c r="F5385" s="1"/>
      <c r="G5385" s="1"/>
      <c r="H5385" s="1"/>
      <c r="I5385" s="2"/>
      <c r="J5385" s="1"/>
      <c r="K5385" s="1"/>
      <c r="L5385" s="1"/>
      <c r="M5385" s="1"/>
      <c r="N5385" s="1"/>
      <c r="O5385" s="1"/>
      <c r="P5385" s="1"/>
      <c r="Q5385" s="1"/>
      <c r="R5385" s="1"/>
      <c r="S5385" s="1"/>
      <c r="T5385" s="1"/>
      <c r="U5385" s="1"/>
      <c r="V5385" s="1"/>
      <c r="W5385" s="1"/>
      <c r="X5385" s="1"/>
    </row>
    <row x14ac:dyDescent="0.25" r="5386" customHeight="1" ht="18.75">
      <c r="A5386" s="1"/>
      <c r="B5386" s="1"/>
      <c r="C5386" s="1"/>
      <c r="D5386" s="1"/>
      <c r="E5386" s="1"/>
      <c r="F5386" s="1"/>
      <c r="G5386" s="1"/>
      <c r="H5386" s="1"/>
      <c r="I5386" s="2"/>
      <c r="J5386" s="1"/>
      <c r="K5386" s="1"/>
      <c r="L5386" s="1"/>
      <c r="M5386" s="1"/>
      <c r="N5386" s="1"/>
      <c r="O5386" s="1"/>
      <c r="P5386" s="1"/>
      <c r="Q5386" s="1"/>
      <c r="R5386" s="1"/>
      <c r="S5386" s="1"/>
      <c r="T5386" s="1"/>
      <c r="U5386" s="1"/>
      <c r="V5386" s="1"/>
      <c r="W5386" s="1"/>
      <c r="X5386" s="1"/>
    </row>
    <row x14ac:dyDescent="0.25" r="5387" customHeight="1" ht="18.75">
      <c r="A5387" s="1"/>
      <c r="B5387" s="1"/>
      <c r="C5387" s="1"/>
      <c r="D5387" s="1"/>
      <c r="E5387" s="1"/>
      <c r="F5387" s="1"/>
      <c r="G5387" s="1"/>
      <c r="H5387" s="1"/>
      <c r="I5387" s="2"/>
      <c r="J5387" s="1"/>
      <c r="K5387" s="1"/>
      <c r="L5387" s="1"/>
      <c r="M5387" s="1"/>
      <c r="N5387" s="1"/>
      <c r="O5387" s="1"/>
      <c r="P5387" s="1"/>
      <c r="Q5387" s="1"/>
      <c r="R5387" s="1"/>
      <c r="S5387" s="1"/>
      <c r="T5387" s="1"/>
      <c r="U5387" s="1"/>
      <c r="V5387" s="1"/>
      <c r="W5387" s="1"/>
      <c r="X5387" s="1"/>
    </row>
    <row x14ac:dyDescent="0.25" r="5388" customHeight="1" ht="18.75">
      <c r="A5388" s="1"/>
      <c r="B5388" s="1"/>
      <c r="C5388" s="1"/>
      <c r="D5388" s="1"/>
      <c r="E5388" s="1"/>
      <c r="F5388" s="1"/>
      <c r="G5388" s="1"/>
      <c r="H5388" s="1"/>
      <c r="I5388" s="2"/>
      <c r="J5388" s="1"/>
      <c r="K5388" s="1"/>
      <c r="L5388" s="1"/>
      <c r="M5388" s="1"/>
      <c r="N5388" s="1"/>
      <c r="O5388" s="1"/>
      <c r="P5388" s="1"/>
      <c r="Q5388" s="1"/>
      <c r="R5388" s="1"/>
      <c r="S5388" s="1"/>
      <c r="T5388" s="1"/>
      <c r="U5388" s="1"/>
      <c r="V5388" s="1"/>
      <c r="W5388" s="1"/>
      <c r="X5388" s="1"/>
    </row>
    <row x14ac:dyDescent="0.25" r="5389" customHeight="1" ht="18.75">
      <c r="A5389" s="1"/>
      <c r="B5389" s="1"/>
      <c r="C5389" s="1"/>
      <c r="D5389" s="1"/>
      <c r="E5389" s="1"/>
      <c r="F5389" s="1"/>
      <c r="G5389" s="1"/>
      <c r="H5389" s="1"/>
      <c r="I5389" s="2"/>
      <c r="J5389" s="1"/>
      <c r="K5389" s="1"/>
      <c r="L5389" s="1"/>
      <c r="M5389" s="1"/>
      <c r="N5389" s="1"/>
      <c r="O5389" s="1"/>
      <c r="P5389" s="1"/>
      <c r="Q5389" s="1"/>
      <c r="R5389" s="1"/>
      <c r="S5389" s="1"/>
      <c r="T5389" s="1"/>
      <c r="U5389" s="1"/>
      <c r="V5389" s="1"/>
      <c r="W5389" s="1"/>
      <c r="X5389" s="1"/>
    </row>
    <row x14ac:dyDescent="0.25" r="5390" customHeight="1" ht="18.75">
      <c r="A5390" s="1"/>
      <c r="B5390" s="1"/>
      <c r="C5390" s="1"/>
      <c r="D5390" s="1"/>
      <c r="E5390" s="1"/>
      <c r="F5390" s="1"/>
      <c r="G5390" s="1"/>
      <c r="H5390" s="1"/>
      <c r="I5390" s="2"/>
      <c r="J5390" s="1"/>
      <c r="K5390" s="1"/>
      <c r="L5390" s="1"/>
      <c r="M5390" s="1"/>
      <c r="N5390" s="1"/>
      <c r="O5390" s="1"/>
      <c r="P5390" s="1"/>
      <c r="Q5390" s="1"/>
      <c r="R5390" s="1"/>
      <c r="S5390" s="1"/>
      <c r="T5390" s="1"/>
      <c r="U5390" s="1"/>
      <c r="V5390" s="1"/>
      <c r="W5390" s="1"/>
      <c r="X5390" s="1"/>
    </row>
    <row x14ac:dyDescent="0.25" r="5391" customHeight="1" ht="18.75">
      <c r="A5391" s="1"/>
      <c r="B5391" s="1"/>
      <c r="C5391" s="1"/>
      <c r="D5391" s="1"/>
      <c r="E5391" s="1"/>
      <c r="F5391" s="1"/>
      <c r="G5391" s="1"/>
      <c r="H5391" s="1"/>
      <c r="I5391" s="2"/>
      <c r="J5391" s="1"/>
      <c r="K5391" s="1"/>
      <c r="L5391" s="1"/>
      <c r="M5391" s="1"/>
      <c r="N5391" s="1"/>
      <c r="O5391" s="1"/>
      <c r="P5391" s="1"/>
      <c r="Q5391" s="1"/>
      <c r="R5391" s="1"/>
      <c r="S5391" s="1"/>
      <c r="T5391" s="1"/>
      <c r="U5391" s="1"/>
      <c r="V5391" s="1"/>
      <c r="W5391" s="1"/>
      <c r="X5391" s="1"/>
    </row>
    <row x14ac:dyDescent="0.25" r="5392" customHeight="1" ht="18.75">
      <c r="A5392" s="1"/>
      <c r="B5392" s="1"/>
      <c r="C5392" s="1"/>
      <c r="D5392" s="1"/>
      <c r="E5392" s="1"/>
      <c r="F5392" s="1"/>
      <c r="G5392" s="1"/>
      <c r="H5392" s="1"/>
      <c r="I5392" s="2"/>
      <c r="J5392" s="1"/>
      <c r="K5392" s="1"/>
      <c r="L5392" s="1"/>
      <c r="M5392" s="1"/>
      <c r="N5392" s="1"/>
      <c r="O5392" s="1"/>
      <c r="P5392" s="1"/>
      <c r="Q5392" s="1"/>
      <c r="R5392" s="1"/>
      <c r="S5392" s="1"/>
      <c r="T5392" s="1"/>
      <c r="U5392" s="1"/>
      <c r="V5392" s="1"/>
      <c r="W5392" s="1"/>
      <c r="X5392" s="1"/>
    </row>
    <row x14ac:dyDescent="0.25" r="5393" customHeight="1" ht="18.75">
      <c r="A5393" s="1"/>
      <c r="B5393" s="1"/>
      <c r="C5393" s="1"/>
      <c r="D5393" s="1"/>
      <c r="E5393" s="1"/>
      <c r="F5393" s="1"/>
      <c r="G5393" s="1"/>
      <c r="H5393" s="1"/>
      <c r="I5393" s="2"/>
      <c r="J5393" s="1"/>
      <c r="K5393" s="1"/>
      <c r="L5393" s="1"/>
      <c r="M5393" s="1"/>
      <c r="N5393" s="1"/>
      <c r="O5393" s="1"/>
      <c r="P5393" s="1"/>
      <c r="Q5393" s="1"/>
      <c r="R5393" s="1"/>
      <c r="S5393" s="1"/>
      <c r="T5393" s="1"/>
      <c r="U5393" s="1"/>
      <c r="V5393" s="1"/>
      <c r="W5393" s="1"/>
      <c r="X5393" s="1"/>
    </row>
    <row x14ac:dyDescent="0.25" r="5394" customHeight="1" ht="18.75">
      <c r="A5394" s="1"/>
      <c r="B5394" s="1"/>
      <c r="C5394" s="1"/>
      <c r="D5394" s="1"/>
      <c r="E5394" s="1"/>
      <c r="F5394" s="1"/>
      <c r="G5394" s="1"/>
      <c r="H5394" s="1"/>
      <c r="I5394" s="2"/>
      <c r="J5394" s="1"/>
      <c r="K5394" s="1"/>
      <c r="L5394" s="1"/>
      <c r="M5394" s="1"/>
      <c r="N5394" s="1"/>
      <c r="O5394" s="1"/>
      <c r="P5394" s="1"/>
      <c r="Q5394" s="1"/>
      <c r="R5394" s="1"/>
      <c r="S5394" s="1"/>
      <c r="T5394" s="1"/>
      <c r="U5394" s="1"/>
      <c r="V5394" s="1"/>
      <c r="W5394" s="1"/>
      <c r="X5394" s="1"/>
    </row>
    <row x14ac:dyDescent="0.25" r="5395" customHeight="1" ht="18.75">
      <c r="A5395" s="1"/>
      <c r="B5395" s="1"/>
      <c r="C5395" s="1"/>
      <c r="D5395" s="1"/>
      <c r="E5395" s="1"/>
      <c r="F5395" s="1"/>
      <c r="G5395" s="1"/>
      <c r="H5395" s="1"/>
      <c r="I5395" s="2"/>
      <c r="J5395" s="1"/>
      <c r="K5395" s="1"/>
      <c r="L5395" s="1"/>
      <c r="M5395" s="1"/>
      <c r="N5395" s="1"/>
      <c r="O5395" s="1"/>
      <c r="P5395" s="1"/>
      <c r="Q5395" s="1"/>
      <c r="R5395" s="1"/>
      <c r="S5395" s="1"/>
      <c r="T5395" s="1"/>
      <c r="U5395" s="1"/>
      <c r="V5395" s="1"/>
      <c r="W5395" s="1"/>
      <c r="X5395" s="1"/>
    </row>
    <row x14ac:dyDescent="0.25" r="5396" customHeight="1" ht="18.75">
      <c r="A5396" s="1"/>
      <c r="B5396" s="1"/>
      <c r="C5396" s="1"/>
      <c r="D5396" s="1"/>
      <c r="E5396" s="1"/>
      <c r="F5396" s="1"/>
      <c r="G5396" s="1"/>
      <c r="H5396" s="1"/>
      <c r="I5396" s="2"/>
      <c r="J5396" s="1"/>
      <c r="K5396" s="1"/>
      <c r="L5396" s="1"/>
      <c r="M5396" s="1"/>
      <c r="N5396" s="1"/>
      <c r="O5396" s="1"/>
      <c r="P5396" s="1"/>
      <c r="Q5396" s="1"/>
      <c r="R5396" s="1"/>
      <c r="S5396" s="1"/>
      <c r="T5396" s="1"/>
      <c r="U5396" s="1"/>
      <c r="V5396" s="1"/>
      <c r="W5396" s="1"/>
      <c r="X5396" s="1"/>
    </row>
    <row x14ac:dyDescent="0.25" r="5397" customHeight="1" ht="18.75">
      <c r="A5397" s="1"/>
      <c r="B5397" s="1"/>
      <c r="C5397" s="1"/>
      <c r="D5397" s="1"/>
      <c r="E5397" s="1"/>
      <c r="F5397" s="1"/>
      <c r="G5397" s="1"/>
      <c r="H5397" s="1"/>
      <c r="I5397" s="2"/>
      <c r="J5397" s="1"/>
      <c r="K5397" s="1"/>
      <c r="L5397" s="1"/>
      <c r="M5397" s="1"/>
      <c r="N5397" s="1"/>
      <c r="O5397" s="1"/>
      <c r="P5397" s="1"/>
      <c r="Q5397" s="1"/>
      <c r="R5397" s="1"/>
      <c r="S5397" s="1"/>
      <c r="T5397" s="1"/>
      <c r="U5397" s="1"/>
      <c r="V5397" s="1"/>
      <c r="W5397" s="1"/>
      <c r="X5397" s="1"/>
    </row>
    <row x14ac:dyDescent="0.25" r="5398" customHeight="1" ht="18.75">
      <c r="A5398" s="1"/>
      <c r="B5398" s="1"/>
      <c r="C5398" s="1"/>
      <c r="D5398" s="1"/>
      <c r="E5398" s="1"/>
      <c r="F5398" s="1"/>
      <c r="G5398" s="1"/>
      <c r="H5398" s="1"/>
      <c r="I5398" s="2"/>
      <c r="J5398" s="1"/>
      <c r="K5398" s="1"/>
      <c r="L5398" s="1"/>
      <c r="M5398" s="1"/>
      <c r="N5398" s="1"/>
      <c r="O5398" s="1"/>
      <c r="P5398" s="1"/>
      <c r="Q5398" s="1"/>
      <c r="R5398" s="1"/>
      <c r="S5398" s="1"/>
      <c r="T5398" s="1"/>
      <c r="U5398" s="1"/>
      <c r="V5398" s="1"/>
      <c r="W5398" s="1"/>
      <c r="X5398" s="1"/>
    </row>
    <row x14ac:dyDescent="0.25" r="5399" customHeight="1" ht="18.75">
      <c r="A5399" s="1"/>
      <c r="B5399" s="1"/>
      <c r="C5399" s="1"/>
      <c r="D5399" s="1"/>
      <c r="E5399" s="1"/>
      <c r="F5399" s="1"/>
      <c r="G5399" s="1"/>
      <c r="H5399" s="1"/>
      <c r="I5399" s="2"/>
      <c r="J5399" s="1"/>
      <c r="K5399" s="1"/>
      <c r="L5399" s="1"/>
      <c r="M5399" s="1"/>
      <c r="N5399" s="1"/>
      <c r="O5399" s="1"/>
      <c r="P5399" s="1"/>
      <c r="Q5399" s="1"/>
      <c r="R5399" s="1"/>
      <c r="S5399" s="1"/>
      <c r="T5399" s="1"/>
      <c r="U5399" s="1"/>
      <c r="V5399" s="1"/>
      <c r="W5399" s="1"/>
      <c r="X5399" s="1"/>
    </row>
    <row x14ac:dyDescent="0.25" r="5400" customHeight="1" ht="18.75">
      <c r="A5400" s="1"/>
      <c r="B5400" s="1"/>
      <c r="C5400" s="1"/>
      <c r="D5400" s="1"/>
      <c r="E5400" s="1"/>
      <c r="F5400" s="1"/>
      <c r="G5400" s="1"/>
      <c r="H5400" s="1"/>
      <c r="I5400" s="2"/>
      <c r="J5400" s="1"/>
      <c r="K5400" s="1"/>
      <c r="L5400" s="1"/>
      <c r="M5400" s="1"/>
      <c r="N5400" s="1"/>
      <c r="O5400" s="1"/>
      <c r="P5400" s="1"/>
      <c r="Q5400" s="1"/>
      <c r="R5400" s="1"/>
      <c r="S5400" s="1"/>
      <c r="T5400" s="1"/>
      <c r="U5400" s="1"/>
      <c r="V5400" s="1"/>
      <c r="W5400" s="1"/>
      <c r="X5400" s="1"/>
    </row>
    <row x14ac:dyDescent="0.25" r="5401" customHeight="1" ht="18.75">
      <c r="A5401" s="1"/>
      <c r="B5401" s="1"/>
      <c r="C5401" s="1"/>
      <c r="D5401" s="1"/>
      <c r="E5401" s="1"/>
      <c r="F5401" s="1"/>
      <c r="G5401" s="1"/>
      <c r="H5401" s="1"/>
      <c r="I5401" s="2"/>
      <c r="J5401" s="1"/>
      <c r="K5401" s="1"/>
      <c r="L5401" s="1"/>
      <c r="M5401" s="1"/>
      <c r="N5401" s="1"/>
      <c r="O5401" s="1"/>
      <c r="P5401" s="1"/>
      <c r="Q5401" s="1"/>
      <c r="R5401" s="1"/>
      <c r="S5401" s="1"/>
      <c r="T5401" s="1"/>
      <c r="U5401" s="1"/>
      <c r="V5401" s="1"/>
      <c r="W5401" s="1"/>
      <c r="X5401" s="1"/>
    </row>
    <row x14ac:dyDescent="0.25" r="5402" customHeight="1" ht="18.75">
      <c r="A5402" s="1"/>
      <c r="B5402" s="1"/>
      <c r="C5402" s="1"/>
      <c r="D5402" s="1"/>
      <c r="E5402" s="1"/>
      <c r="F5402" s="1"/>
      <c r="G5402" s="1"/>
      <c r="H5402" s="1"/>
      <c r="I5402" s="2"/>
      <c r="J5402" s="1"/>
      <c r="K5402" s="1"/>
      <c r="L5402" s="1"/>
      <c r="M5402" s="1"/>
      <c r="N5402" s="1"/>
      <c r="O5402" s="1"/>
      <c r="P5402" s="1"/>
      <c r="Q5402" s="1"/>
      <c r="R5402" s="1"/>
      <c r="S5402" s="1"/>
      <c r="T5402" s="1"/>
      <c r="U5402" s="1"/>
      <c r="V5402" s="1"/>
      <c r="W5402" s="1"/>
      <c r="X5402" s="1"/>
    </row>
    <row x14ac:dyDescent="0.25" r="5403" customHeight="1" ht="18.75">
      <c r="A5403" s="1"/>
      <c r="B5403" s="1"/>
      <c r="C5403" s="1"/>
      <c r="D5403" s="1"/>
      <c r="E5403" s="1"/>
      <c r="F5403" s="1"/>
      <c r="G5403" s="1"/>
      <c r="H5403" s="1"/>
      <c r="I5403" s="2"/>
      <c r="J5403" s="1"/>
      <c r="K5403" s="1"/>
      <c r="L5403" s="1"/>
      <c r="M5403" s="1"/>
      <c r="N5403" s="1"/>
      <c r="O5403" s="1"/>
      <c r="P5403" s="1"/>
      <c r="Q5403" s="1"/>
      <c r="R5403" s="1"/>
      <c r="S5403" s="1"/>
      <c r="T5403" s="1"/>
      <c r="U5403" s="1"/>
      <c r="V5403" s="1"/>
      <c r="W5403" s="1"/>
      <c r="X5403" s="1"/>
    </row>
    <row x14ac:dyDescent="0.25" r="5404" customHeight="1" ht="18.75">
      <c r="A5404" s="1"/>
      <c r="B5404" s="1"/>
      <c r="C5404" s="1"/>
      <c r="D5404" s="1"/>
      <c r="E5404" s="1"/>
      <c r="F5404" s="1"/>
      <c r="G5404" s="1"/>
      <c r="H5404" s="1"/>
      <c r="I5404" s="2"/>
      <c r="J5404" s="1"/>
      <c r="K5404" s="1"/>
      <c r="L5404" s="1"/>
      <c r="M5404" s="1"/>
      <c r="N5404" s="1"/>
      <c r="O5404" s="1"/>
      <c r="P5404" s="1"/>
      <c r="Q5404" s="1"/>
      <c r="R5404" s="1"/>
      <c r="S5404" s="1"/>
      <c r="T5404" s="1"/>
      <c r="U5404" s="1"/>
      <c r="V5404" s="1"/>
      <c r="W5404" s="1"/>
      <c r="X5404" s="1"/>
    </row>
    <row x14ac:dyDescent="0.25" r="5405" customHeight="1" ht="18.75">
      <c r="A5405" s="1"/>
      <c r="B5405" s="1"/>
      <c r="C5405" s="1"/>
      <c r="D5405" s="1"/>
      <c r="E5405" s="1"/>
      <c r="F5405" s="1"/>
      <c r="G5405" s="1"/>
      <c r="H5405" s="1"/>
      <c r="I5405" s="2"/>
      <c r="J5405" s="1"/>
      <c r="K5405" s="1"/>
      <c r="L5405" s="1"/>
      <c r="M5405" s="1"/>
      <c r="N5405" s="1"/>
      <c r="O5405" s="1"/>
      <c r="P5405" s="1"/>
      <c r="Q5405" s="1"/>
      <c r="R5405" s="1"/>
      <c r="S5405" s="1"/>
      <c r="T5405" s="1"/>
      <c r="U5405" s="1"/>
      <c r="V5405" s="1"/>
      <c r="W5405" s="1"/>
      <c r="X5405" s="1"/>
    </row>
    <row x14ac:dyDescent="0.25" r="5406" customHeight="1" ht="18.75">
      <c r="A5406" s="1"/>
      <c r="B5406" s="1"/>
      <c r="C5406" s="1"/>
      <c r="D5406" s="1"/>
      <c r="E5406" s="1"/>
      <c r="F5406" s="1"/>
      <c r="G5406" s="1"/>
      <c r="H5406" s="1"/>
      <c r="I5406" s="2"/>
      <c r="J5406" s="1"/>
      <c r="K5406" s="1"/>
      <c r="L5406" s="1"/>
      <c r="M5406" s="1"/>
      <c r="N5406" s="1"/>
      <c r="O5406" s="1"/>
      <c r="P5406" s="1"/>
      <c r="Q5406" s="1"/>
      <c r="R5406" s="1"/>
      <c r="S5406" s="1"/>
      <c r="T5406" s="1"/>
      <c r="U5406" s="1"/>
      <c r="V5406" s="1"/>
      <c r="W5406" s="1"/>
      <c r="X5406" s="1"/>
    </row>
    <row x14ac:dyDescent="0.25" r="5407" customHeight="1" ht="18.75">
      <c r="A5407" s="1"/>
      <c r="B5407" s="1"/>
      <c r="C5407" s="1"/>
      <c r="D5407" s="1"/>
      <c r="E5407" s="1"/>
      <c r="F5407" s="1"/>
      <c r="G5407" s="1"/>
      <c r="H5407" s="1"/>
      <c r="I5407" s="2"/>
      <c r="J5407" s="1"/>
      <c r="K5407" s="1"/>
      <c r="L5407" s="1"/>
      <c r="M5407" s="1"/>
      <c r="N5407" s="1"/>
      <c r="O5407" s="1"/>
      <c r="P5407" s="1"/>
      <c r="Q5407" s="1"/>
      <c r="R5407" s="1"/>
      <c r="S5407" s="1"/>
      <c r="T5407" s="1"/>
      <c r="U5407" s="1"/>
      <c r="V5407" s="1"/>
      <c r="W5407" s="1"/>
      <c r="X5407" s="1"/>
    </row>
    <row x14ac:dyDescent="0.25" r="5408" customHeight="1" ht="18.75">
      <c r="A5408" s="1"/>
      <c r="B5408" s="1"/>
      <c r="C5408" s="1"/>
      <c r="D5408" s="1"/>
      <c r="E5408" s="1"/>
      <c r="F5408" s="1"/>
      <c r="G5408" s="1"/>
      <c r="H5408" s="1"/>
      <c r="I5408" s="2"/>
      <c r="J5408" s="1"/>
      <c r="K5408" s="1"/>
      <c r="L5408" s="1"/>
      <c r="M5408" s="1"/>
      <c r="N5408" s="1"/>
      <c r="O5408" s="1"/>
      <c r="P5408" s="1"/>
      <c r="Q5408" s="1"/>
      <c r="R5408" s="1"/>
      <c r="S5408" s="1"/>
      <c r="T5408" s="1"/>
      <c r="U5408" s="1"/>
      <c r="V5408" s="1"/>
      <c r="W5408" s="1"/>
      <c r="X5408" s="1"/>
    </row>
    <row x14ac:dyDescent="0.25" r="5409" customHeight="1" ht="18.75">
      <c r="A5409" s="1"/>
      <c r="B5409" s="1"/>
      <c r="C5409" s="1"/>
      <c r="D5409" s="1"/>
      <c r="E5409" s="1"/>
      <c r="F5409" s="1"/>
      <c r="G5409" s="1"/>
      <c r="H5409" s="1"/>
      <c r="I5409" s="2"/>
      <c r="J5409" s="1"/>
      <c r="K5409" s="1"/>
      <c r="L5409" s="1"/>
      <c r="M5409" s="1"/>
      <c r="N5409" s="1"/>
      <c r="O5409" s="1"/>
      <c r="P5409" s="1"/>
      <c r="Q5409" s="1"/>
      <c r="R5409" s="1"/>
      <c r="S5409" s="1"/>
      <c r="T5409" s="1"/>
      <c r="U5409" s="1"/>
      <c r="V5409" s="1"/>
      <c r="W5409" s="1"/>
      <c r="X5409" s="1"/>
    </row>
    <row x14ac:dyDescent="0.25" r="5410" customHeight="1" ht="18.75">
      <c r="A5410" s="1"/>
      <c r="B5410" s="1"/>
      <c r="C5410" s="1"/>
      <c r="D5410" s="1"/>
      <c r="E5410" s="1"/>
      <c r="F5410" s="1"/>
      <c r="G5410" s="1"/>
      <c r="H5410" s="1"/>
      <c r="I5410" s="2"/>
      <c r="J5410" s="1"/>
      <c r="K5410" s="1"/>
      <c r="L5410" s="1"/>
      <c r="M5410" s="1"/>
      <c r="N5410" s="1"/>
      <c r="O5410" s="1"/>
      <c r="P5410" s="1"/>
      <c r="Q5410" s="1"/>
      <c r="R5410" s="1"/>
      <c r="S5410" s="1"/>
      <c r="T5410" s="1"/>
      <c r="U5410" s="1"/>
      <c r="V5410" s="1"/>
      <c r="W5410" s="1"/>
      <c r="X5410" s="1"/>
    </row>
    <row x14ac:dyDescent="0.25" r="5411" customHeight="1" ht="18.75">
      <c r="A5411" s="1"/>
      <c r="B5411" s="1"/>
      <c r="C5411" s="1"/>
      <c r="D5411" s="1"/>
      <c r="E5411" s="1"/>
      <c r="F5411" s="1"/>
      <c r="G5411" s="1"/>
      <c r="H5411" s="1"/>
      <c r="I5411" s="2"/>
      <c r="J5411" s="1"/>
      <c r="K5411" s="1"/>
      <c r="L5411" s="1"/>
      <c r="M5411" s="1"/>
      <c r="N5411" s="1"/>
      <c r="O5411" s="1"/>
      <c r="P5411" s="1"/>
      <c r="Q5411" s="1"/>
      <c r="R5411" s="1"/>
      <c r="S5411" s="1"/>
      <c r="T5411" s="1"/>
      <c r="U5411" s="1"/>
      <c r="V5411" s="1"/>
      <c r="W5411" s="1"/>
      <c r="X5411" s="1"/>
    </row>
    <row x14ac:dyDescent="0.25" r="5412" customHeight="1" ht="18.75">
      <c r="A5412" s="1"/>
      <c r="B5412" s="1"/>
      <c r="C5412" s="1"/>
      <c r="D5412" s="1"/>
      <c r="E5412" s="1"/>
      <c r="F5412" s="1"/>
      <c r="G5412" s="1"/>
      <c r="H5412" s="1"/>
      <c r="I5412" s="2"/>
      <c r="J5412" s="1"/>
      <c r="K5412" s="1"/>
      <c r="L5412" s="1"/>
      <c r="M5412" s="1"/>
      <c r="N5412" s="1"/>
      <c r="O5412" s="1"/>
      <c r="P5412" s="1"/>
      <c r="Q5412" s="1"/>
      <c r="R5412" s="1"/>
      <c r="S5412" s="1"/>
      <c r="T5412" s="1"/>
      <c r="U5412" s="1"/>
      <c r="V5412" s="1"/>
      <c r="W5412" s="1"/>
      <c r="X5412" s="1"/>
    </row>
    <row x14ac:dyDescent="0.25" r="5413" customHeight="1" ht="18.75">
      <c r="A5413" s="1"/>
      <c r="B5413" s="1"/>
      <c r="C5413" s="1"/>
      <c r="D5413" s="1"/>
      <c r="E5413" s="1"/>
      <c r="F5413" s="1"/>
      <c r="G5413" s="1"/>
      <c r="H5413" s="1"/>
      <c r="I5413" s="2"/>
      <c r="J5413" s="1"/>
      <c r="K5413" s="1"/>
      <c r="L5413" s="1"/>
      <c r="M5413" s="1"/>
      <c r="N5413" s="1"/>
      <c r="O5413" s="1"/>
      <c r="P5413" s="1"/>
      <c r="Q5413" s="1"/>
      <c r="R5413" s="1"/>
      <c r="S5413" s="1"/>
      <c r="T5413" s="1"/>
      <c r="U5413" s="1"/>
      <c r="V5413" s="1"/>
      <c r="W5413" s="1"/>
      <c r="X5413" s="1"/>
    </row>
    <row x14ac:dyDescent="0.25" r="5414" customHeight="1" ht="18.75">
      <c r="A5414" s="1"/>
      <c r="B5414" s="1"/>
      <c r="C5414" s="1"/>
      <c r="D5414" s="1"/>
      <c r="E5414" s="1"/>
      <c r="F5414" s="1"/>
      <c r="G5414" s="1"/>
      <c r="H5414" s="1"/>
      <c r="I5414" s="2"/>
      <c r="J5414" s="1"/>
      <c r="K5414" s="1"/>
      <c r="L5414" s="1"/>
      <c r="M5414" s="1"/>
      <c r="N5414" s="1"/>
      <c r="O5414" s="1"/>
      <c r="P5414" s="1"/>
      <c r="Q5414" s="1"/>
      <c r="R5414" s="1"/>
      <c r="S5414" s="1"/>
      <c r="T5414" s="1"/>
      <c r="U5414" s="1"/>
      <c r="V5414" s="1"/>
      <c r="W5414" s="1"/>
      <c r="X5414" s="1"/>
    </row>
    <row x14ac:dyDescent="0.25" r="5415" customHeight="1" ht="18.75">
      <c r="A5415" s="1"/>
      <c r="B5415" s="1"/>
      <c r="C5415" s="1"/>
      <c r="D5415" s="1"/>
      <c r="E5415" s="1"/>
      <c r="F5415" s="1"/>
      <c r="G5415" s="1"/>
      <c r="H5415" s="1"/>
      <c r="I5415" s="2"/>
      <c r="J5415" s="1"/>
      <c r="K5415" s="1"/>
      <c r="L5415" s="1"/>
      <c r="M5415" s="1"/>
      <c r="N5415" s="1"/>
      <c r="O5415" s="1"/>
      <c r="P5415" s="1"/>
      <c r="Q5415" s="1"/>
      <c r="R5415" s="1"/>
      <c r="S5415" s="1"/>
      <c r="T5415" s="1"/>
      <c r="U5415" s="1"/>
      <c r="V5415" s="1"/>
      <c r="W5415" s="1"/>
      <c r="X5415" s="1"/>
    </row>
    <row x14ac:dyDescent="0.25" r="5416" customHeight="1" ht="18.75">
      <c r="A5416" s="1"/>
      <c r="B5416" s="1"/>
      <c r="C5416" s="1"/>
      <c r="D5416" s="1"/>
      <c r="E5416" s="1"/>
      <c r="F5416" s="1"/>
      <c r="G5416" s="1"/>
      <c r="H5416" s="1"/>
      <c r="I5416" s="2"/>
      <c r="J5416" s="1"/>
      <c r="K5416" s="1"/>
      <c r="L5416" s="1"/>
      <c r="M5416" s="1"/>
      <c r="N5416" s="1"/>
      <c r="O5416" s="1"/>
      <c r="P5416" s="1"/>
      <c r="Q5416" s="1"/>
      <c r="R5416" s="1"/>
      <c r="S5416" s="1"/>
      <c r="T5416" s="1"/>
      <c r="U5416" s="1"/>
      <c r="V5416" s="1"/>
      <c r="W5416" s="1"/>
      <c r="X5416" s="1"/>
    </row>
    <row x14ac:dyDescent="0.25" r="5417" customHeight="1" ht="18.75">
      <c r="A5417" s="1"/>
      <c r="B5417" s="1"/>
      <c r="C5417" s="1"/>
      <c r="D5417" s="1"/>
      <c r="E5417" s="1"/>
      <c r="F5417" s="1"/>
      <c r="G5417" s="1"/>
      <c r="H5417" s="1"/>
      <c r="I5417" s="2"/>
      <c r="J5417" s="1"/>
      <c r="K5417" s="1"/>
      <c r="L5417" s="1"/>
      <c r="M5417" s="1"/>
      <c r="N5417" s="1"/>
      <c r="O5417" s="1"/>
      <c r="P5417" s="1"/>
      <c r="Q5417" s="1"/>
      <c r="R5417" s="1"/>
      <c r="S5417" s="1"/>
      <c r="T5417" s="1"/>
      <c r="U5417" s="1"/>
      <c r="V5417" s="1"/>
      <c r="W5417" s="1"/>
      <c r="X5417" s="1"/>
    </row>
    <row x14ac:dyDescent="0.25" r="5418" customHeight="1" ht="18.75">
      <c r="A5418" s="1"/>
      <c r="B5418" s="1"/>
      <c r="C5418" s="1"/>
      <c r="D5418" s="1"/>
      <c r="E5418" s="1"/>
      <c r="F5418" s="1"/>
      <c r="G5418" s="1"/>
      <c r="H5418" s="1"/>
      <c r="I5418" s="2"/>
      <c r="J5418" s="1"/>
      <c r="K5418" s="1"/>
      <c r="L5418" s="1"/>
      <c r="M5418" s="1"/>
      <c r="N5418" s="1"/>
      <c r="O5418" s="1"/>
      <c r="P5418" s="1"/>
      <c r="Q5418" s="1"/>
      <c r="R5418" s="1"/>
      <c r="S5418" s="1"/>
      <c r="T5418" s="1"/>
      <c r="U5418" s="1"/>
      <c r="V5418" s="1"/>
      <c r="W5418" s="1"/>
      <c r="X5418" s="1"/>
    </row>
    <row x14ac:dyDescent="0.25" r="5419" customHeight="1" ht="18.75">
      <c r="A5419" s="1"/>
      <c r="B5419" s="1"/>
      <c r="C5419" s="1"/>
      <c r="D5419" s="1"/>
      <c r="E5419" s="1"/>
      <c r="F5419" s="1"/>
      <c r="G5419" s="1"/>
      <c r="H5419" s="1"/>
      <c r="I5419" s="2"/>
      <c r="J5419" s="1"/>
      <c r="K5419" s="1"/>
      <c r="L5419" s="1"/>
      <c r="M5419" s="1"/>
      <c r="N5419" s="1"/>
      <c r="O5419" s="1"/>
      <c r="P5419" s="1"/>
      <c r="Q5419" s="1"/>
      <c r="R5419" s="1"/>
      <c r="S5419" s="1"/>
      <c r="T5419" s="1"/>
      <c r="U5419" s="1"/>
      <c r="V5419" s="1"/>
      <c r="W5419" s="1"/>
      <c r="X5419" s="1"/>
    </row>
    <row x14ac:dyDescent="0.25" r="5420" customHeight="1" ht="18.75">
      <c r="A5420" s="1"/>
      <c r="B5420" s="1"/>
      <c r="C5420" s="1"/>
      <c r="D5420" s="1"/>
      <c r="E5420" s="1"/>
      <c r="F5420" s="1"/>
      <c r="G5420" s="1"/>
      <c r="H5420" s="1"/>
      <c r="I5420" s="2"/>
      <c r="J5420" s="1"/>
      <c r="K5420" s="1"/>
      <c r="L5420" s="1"/>
      <c r="M5420" s="1"/>
      <c r="N5420" s="1"/>
      <c r="O5420" s="1"/>
      <c r="P5420" s="1"/>
      <c r="Q5420" s="1"/>
      <c r="R5420" s="1"/>
      <c r="S5420" s="1"/>
      <c r="T5420" s="1"/>
      <c r="U5420" s="1"/>
      <c r="V5420" s="1"/>
      <c r="W5420" s="1"/>
      <c r="X5420" s="1"/>
    </row>
    <row x14ac:dyDescent="0.25" r="5421" customHeight="1" ht="18.75">
      <c r="A5421" s="1"/>
      <c r="B5421" s="1"/>
      <c r="C5421" s="1"/>
      <c r="D5421" s="1"/>
      <c r="E5421" s="1"/>
      <c r="F5421" s="1"/>
      <c r="G5421" s="1"/>
      <c r="H5421" s="1"/>
      <c r="I5421" s="2"/>
      <c r="J5421" s="1"/>
      <c r="K5421" s="1"/>
      <c r="L5421" s="1"/>
      <c r="M5421" s="1"/>
      <c r="N5421" s="1"/>
      <c r="O5421" s="1"/>
      <c r="P5421" s="1"/>
      <c r="Q5421" s="1"/>
      <c r="R5421" s="1"/>
      <c r="S5421" s="1"/>
      <c r="T5421" s="1"/>
      <c r="U5421" s="1"/>
      <c r="V5421" s="1"/>
      <c r="W5421" s="1"/>
      <c r="X5421" s="1"/>
    </row>
    <row x14ac:dyDescent="0.25" r="5422" customHeight="1" ht="18.75">
      <c r="A5422" s="1"/>
      <c r="B5422" s="1"/>
      <c r="C5422" s="1"/>
      <c r="D5422" s="1"/>
      <c r="E5422" s="1"/>
      <c r="F5422" s="1"/>
      <c r="G5422" s="1"/>
      <c r="H5422" s="1"/>
      <c r="I5422" s="2"/>
      <c r="J5422" s="1"/>
      <c r="K5422" s="1"/>
      <c r="L5422" s="1"/>
      <c r="M5422" s="1"/>
      <c r="N5422" s="1"/>
      <c r="O5422" s="1"/>
      <c r="P5422" s="1"/>
      <c r="Q5422" s="1"/>
      <c r="R5422" s="1"/>
      <c r="S5422" s="1"/>
      <c r="T5422" s="1"/>
      <c r="U5422" s="1"/>
      <c r="V5422" s="1"/>
      <c r="W5422" s="1"/>
      <c r="X5422" s="1"/>
    </row>
    <row x14ac:dyDescent="0.25" r="5423" customHeight="1" ht="18.75">
      <c r="A5423" s="1"/>
      <c r="B5423" s="1"/>
      <c r="C5423" s="1"/>
      <c r="D5423" s="1"/>
      <c r="E5423" s="1"/>
      <c r="F5423" s="1"/>
      <c r="G5423" s="1"/>
      <c r="H5423" s="1"/>
      <c r="I5423" s="2"/>
      <c r="J5423" s="1"/>
      <c r="K5423" s="1"/>
      <c r="L5423" s="1"/>
      <c r="M5423" s="1"/>
      <c r="N5423" s="1"/>
      <c r="O5423" s="1"/>
      <c r="P5423" s="1"/>
      <c r="Q5423" s="1"/>
      <c r="R5423" s="1"/>
      <c r="S5423" s="1"/>
      <c r="T5423" s="1"/>
      <c r="U5423" s="1"/>
      <c r="V5423" s="1"/>
      <c r="W5423" s="1"/>
      <c r="X5423" s="1"/>
    </row>
    <row x14ac:dyDescent="0.25" r="5424" customHeight="1" ht="18.75">
      <c r="A5424" s="1"/>
      <c r="B5424" s="1"/>
      <c r="C5424" s="1"/>
      <c r="D5424" s="1"/>
      <c r="E5424" s="1"/>
      <c r="F5424" s="1"/>
      <c r="G5424" s="1"/>
      <c r="H5424" s="1"/>
      <c r="I5424" s="2"/>
      <c r="J5424" s="1"/>
      <c r="K5424" s="1"/>
      <c r="L5424" s="1"/>
      <c r="M5424" s="1"/>
      <c r="N5424" s="1"/>
      <c r="O5424" s="1"/>
      <c r="P5424" s="1"/>
      <c r="Q5424" s="1"/>
      <c r="R5424" s="1"/>
      <c r="S5424" s="1"/>
      <c r="T5424" s="1"/>
      <c r="U5424" s="1"/>
      <c r="V5424" s="1"/>
      <c r="W5424" s="1"/>
      <c r="X5424" s="1"/>
    </row>
    <row x14ac:dyDescent="0.25" r="5425" customHeight="1" ht="18.75">
      <c r="A5425" s="1"/>
      <c r="B5425" s="1"/>
      <c r="C5425" s="1"/>
      <c r="D5425" s="1"/>
      <c r="E5425" s="1"/>
      <c r="F5425" s="1"/>
      <c r="G5425" s="1"/>
      <c r="H5425" s="1"/>
      <c r="I5425" s="2"/>
      <c r="J5425" s="1"/>
      <c r="K5425" s="1"/>
      <c r="L5425" s="1"/>
      <c r="M5425" s="1"/>
      <c r="N5425" s="1"/>
      <c r="O5425" s="1"/>
      <c r="P5425" s="1"/>
      <c r="Q5425" s="1"/>
      <c r="R5425" s="1"/>
      <c r="S5425" s="1"/>
      <c r="T5425" s="1"/>
      <c r="U5425" s="1"/>
      <c r="V5425" s="1"/>
      <c r="W5425" s="1"/>
      <c r="X5425" s="1"/>
    </row>
    <row x14ac:dyDescent="0.25" r="5426" customHeight="1" ht="18.75">
      <c r="A5426" s="1"/>
      <c r="B5426" s="1"/>
      <c r="C5426" s="1"/>
      <c r="D5426" s="1"/>
      <c r="E5426" s="1"/>
      <c r="F5426" s="1"/>
      <c r="G5426" s="1"/>
      <c r="H5426" s="1"/>
      <c r="I5426" s="2"/>
      <c r="J5426" s="1"/>
      <c r="K5426" s="1"/>
      <c r="L5426" s="1"/>
      <c r="M5426" s="1"/>
      <c r="N5426" s="1"/>
      <c r="O5426" s="1"/>
      <c r="P5426" s="1"/>
      <c r="Q5426" s="1"/>
      <c r="R5426" s="1"/>
      <c r="S5426" s="1"/>
      <c r="T5426" s="1"/>
      <c r="U5426" s="1"/>
      <c r="V5426" s="1"/>
      <c r="W5426" s="1"/>
      <c r="X5426" s="1"/>
    </row>
    <row x14ac:dyDescent="0.25" r="5427" customHeight="1" ht="18.75">
      <c r="A5427" s="1"/>
      <c r="B5427" s="1"/>
      <c r="C5427" s="1"/>
      <c r="D5427" s="1"/>
      <c r="E5427" s="1"/>
      <c r="F5427" s="1"/>
      <c r="G5427" s="1"/>
      <c r="H5427" s="1"/>
      <c r="I5427" s="2"/>
      <c r="J5427" s="1"/>
      <c r="K5427" s="1"/>
      <c r="L5427" s="1"/>
      <c r="M5427" s="1"/>
      <c r="N5427" s="1"/>
      <c r="O5427" s="1"/>
      <c r="P5427" s="1"/>
      <c r="Q5427" s="1"/>
      <c r="R5427" s="1"/>
      <c r="S5427" s="1"/>
      <c r="T5427" s="1"/>
      <c r="U5427" s="1"/>
      <c r="V5427" s="1"/>
      <c r="W5427" s="1"/>
      <c r="X5427" s="1"/>
    </row>
    <row x14ac:dyDescent="0.25" r="5428" customHeight="1" ht="18.75">
      <c r="A5428" s="1"/>
      <c r="B5428" s="1"/>
      <c r="C5428" s="1"/>
      <c r="D5428" s="1"/>
      <c r="E5428" s="1"/>
      <c r="F5428" s="1"/>
      <c r="G5428" s="1"/>
      <c r="H5428" s="1"/>
      <c r="I5428" s="2"/>
      <c r="J5428" s="1"/>
      <c r="K5428" s="1"/>
      <c r="L5428" s="1"/>
      <c r="M5428" s="1"/>
      <c r="N5428" s="1"/>
      <c r="O5428" s="1"/>
      <c r="P5428" s="1"/>
      <c r="Q5428" s="1"/>
      <c r="R5428" s="1"/>
      <c r="S5428" s="1"/>
      <c r="T5428" s="1"/>
      <c r="U5428" s="1"/>
      <c r="V5428" s="1"/>
      <c r="W5428" s="1"/>
      <c r="X5428" s="1"/>
    </row>
    <row x14ac:dyDescent="0.25" r="5429" customHeight="1" ht="18.75">
      <c r="A5429" s="1"/>
      <c r="B5429" s="1"/>
      <c r="C5429" s="1"/>
      <c r="D5429" s="1"/>
      <c r="E5429" s="1"/>
      <c r="F5429" s="1"/>
      <c r="G5429" s="1"/>
      <c r="H5429" s="1"/>
      <c r="I5429" s="2"/>
      <c r="J5429" s="1"/>
      <c r="K5429" s="1"/>
      <c r="L5429" s="1"/>
      <c r="M5429" s="1"/>
      <c r="N5429" s="1"/>
      <c r="O5429" s="1"/>
      <c r="P5429" s="1"/>
      <c r="Q5429" s="1"/>
      <c r="R5429" s="1"/>
      <c r="S5429" s="1"/>
      <c r="T5429" s="1"/>
      <c r="U5429" s="1"/>
      <c r="V5429" s="1"/>
      <c r="W5429" s="1"/>
      <c r="X5429" s="1"/>
    </row>
    <row x14ac:dyDescent="0.25" r="5430" customHeight="1" ht="18.75">
      <c r="A5430" s="1"/>
      <c r="B5430" s="1"/>
      <c r="C5430" s="1"/>
      <c r="D5430" s="1"/>
      <c r="E5430" s="1"/>
      <c r="F5430" s="1"/>
      <c r="G5430" s="1"/>
      <c r="H5430" s="1"/>
      <c r="I5430" s="2"/>
      <c r="J5430" s="1"/>
      <c r="K5430" s="1"/>
      <c r="L5430" s="1"/>
      <c r="M5430" s="1"/>
      <c r="N5430" s="1"/>
      <c r="O5430" s="1"/>
      <c r="P5430" s="1"/>
      <c r="Q5430" s="1"/>
      <c r="R5430" s="1"/>
      <c r="S5430" s="1"/>
      <c r="T5430" s="1"/>
      <c r="U5430" s="1"/>
      <c r="V5430" s="1"/>
      <c r="W5430" s="1"/>
      <c r="X5430" s="1"/>
    </row>
    <row x14ac:dyDescent="0.25" r="5431" customHeight="1" ht="18.75">
      <c r="A5431" s="1"/>
      <c r="B5431" s="1"/>
      <c r="C5431" s="1"/>
      <c r="D5431" s="1"/>
      <c r="E5431" s="1"/>
      <c r="F5431" s="1"/>
      <c r="G5431" s="1"/>
      <c r="H5431" s="1"/>
      <c r="I5431" s="2"/>
      <c r="J5431" s="1"/>
      <c r="K5431" s="1"/>
      <c r="L5431" s="1"/>
      <c r="M5431" s="1"/>
      <c r="N5431" s="1"/>
      <c r="O5431" s="1"/>
      <c r="P5431" s="1"/>
      <c r="Q5431" s="1"/>
      <c r="R5431" s="1"/>
      <c r="S5431" s="1"/>
      <c r="T5431" s="1"/>
      <c r="U5431" s="1"/>
      <c r="V5431" s="1"/>
      <c r="W5431" s="1"/>
      <c r="X5431" s="1"/>
    </row>
    <row x14ac:dyDescent="0.25" r="5432" customHeight="1" ht="18.75">
      <c r="A5432" s="1"/>
      <c r="B5432" s="1"/>
      <c r="C5432" s="1"/>
      <c r="D5432" s="1"/>
      <c r="E5432" s="1"/>
      <c r="F5432" s="1"/>
      <c r="G5432" s="1"/>
      <c r="H5432" s="1"/>
      <c r="I5432" s="2"/>
      <c r="J5432" s="1"/>
      <c r="K5432" s="1"/>
      <c r="L5432" s="1"/>
      <c r="M5432" s="1"/>
      <c r="N5432" s="1"/>
      <c r="O5432" s="1"/>
      <c r="P5432" s="1"/>
      <c r="Q5432" s="1"/>
      <c r="R5432" s="1"/>
      <c r="S5432" s="1"/>
      <c r="T5432" s="1"/>
      <c r="U5432" s="1"/>
      <c r="V5432" s="1"/>
      <c r="W5432" s="1"/>
      <c r="X5432" s="1"/>
    </row>
    <row x14ac:dyDescent="0.25" r="5433" customHeight="1" ht="18.75">
      <c r="A5433" s="1"/>
      <c r="B5433" s="1"/>
      <c r="C5433" s="1"/>
      <c r="D5433" s="1"/>
      <c r="E5433" s="1"/>
      <c r="F5433" s="1"/>
      <c r="G5433" s="1"/>
      <c r="H5433" s="1"/>
      <c r="I5433" s="2"/>
      <c r="J5433" s="1"/>
      <c r="K5433" s="1"/>
      <c r="L5433" s="1"/>
      <c r="M5433" s="1"/>
      <c r="N5433" s="1"/>
      <c r="O5433" s="1"/>
      <c r="P5433" s="1"/>
      <c r="Q5433" s="1"/>
      <c r="R5433" s="1"/>
      <c r="S5433" s="1"/>
      <c r="T5433" s="1"/>
      <c r="U5433" s="1"/>
      <c r="V5433" s="1"/>
      <c r="W5433" s="1"/>
      <c r="X5433" s="1"/>
    </row>
    <row x14ac:dyDescent="0.25" r="5434" customHeight="1" ht="18.75">
      <c r="A5434" s="1"/>
      <c r="B5434" s="1"/>
      <c r="C5434" s="1"/>
      <c r="D5434" s="1"/>
      <c r="E5434" s="1"/>
      <c r="F5434" s="1"/>
      <c r="G5434" s="1"/>
      <c r="H5434" s="1"/>
      <c r="I5434" s="2"/>
      <c r="J5434" s="1"/>
      <c r="K5434" s="1"/>
      <c r="L5434" s="1"/>
      <c r="M5434" s="1"/>
      <c r="N5434" s="1"/>
      <c r="O5434" s="1"/>
      <c r="P5434" s="1"/>
      <c r="Q5434" s="1"/>
      <c r="R5434" s="1"/>
      <c r="S5434" s="1"/>
      <c r="T5434" s="1"/>
      <c r="U5434" s="1"/>
      <c r="V5434" s="1"/>
      <c r="W5434" s="1"/>
      <c r="X5434" s="1"/>
    </row>
    <row x14ac:dyDescent="0.25" r="5435" customHeight="1" ht="18.75">
      <c r="A5435" s="1"/>
      <c r="B5435" s="1"/>
      <c r="C5435" s="1"/>
      <c r="D5435" s="1"/>
      <c r="E5435" s="1"/>
      <c r="F5435" s="1"/>
      <c r="G5435" s="1"/>
      <c r="H5435" s="1"/>
      <c r="I5435" s="2"/>
      <c r="J5435" s="1"/>
      <c r="K5435" s="1"/>
      <c r="L5435" s="1"/>
      <c r="M5435" s="1"/>
      <c r="N5435" s="1"/>
      <c r="O5435" s="1"/>
      <c r="P5435" s="1"/>
      <c r="Q5435" s="1"/>
      <c r="R5435" s="1"/>
      <c r="S5435" s="1"/>
      <c r="T5435" s="1"/>
      <c r="U5435" s="1"/>
      <c r="V5435" s="1"/>
      <c r="W5435" s="1"/>
      <c r="X5435" s="1"/>
    </row>
    <row x14ac:dyDescent="0.25" r="5436" customHeight="1" ht="18.75">
      <c r="A5436" s="1"/>
      <c r="B5436" s="1"/>
      <c r="C5436" s="1"/>
      <c r="D5436" s="1"/>
      <c r="E5436" s="1"/>
      <c r="F5436" s="1"/>
      <c r="G5436" s="1"/>
      <c r="H5436" s="1"/>
      <c r="I5436" s="2"/>
      <c r="J5436" s="1"/>
      <c r="K5436" s="1"/>
      <c r="L5436" s="1"/>
      <c r="M5436" s="1"/>
      <c r="N5436" s="1"/>
      <c r="O5436" s="1"/>
      <c r="P5436" s="1"/>
      <c r="Q5436" s="1"/>
      <c r="R5436" s="1"/>
      <c r="S5436" s="1"/>
      <c r="T5436" s="1"/>
      <c r="U5436" s="1"/>
      <c r="V5436" s="1"/>
      <c r="W5436" s="1"/>
      <c r="X5436" s="1"/>
    </row>
    <row x14ac:dyDescent="0.25" r="5437" customHeight="1" ht="18.75">
      <c r="A5437" s="1"/>
      <c r="B5437" s="1"/>
      <c r="C5437" s="1"/>
      <c r="D5437" s="1"/>
      <c r="E5437" s="1"/>
      <c r="F5437" s="1"/>
      <c r="G5437" s="1"/>
      <c r="H5437" s="1"/>
      <c r="I5437" s="2"/>
      <c r="J5437" s="1"/>
      <c r="K5437" s="1"/>
      <c r="L5437" s="1"/>
      <c r="M5437" s="1"/>
      <c r="N5437" s="1"/>
      <c r="O5437" s="1"/>
      <c r="P5437" s="1"/>
      <c r="Q5437" s="1"/>
      <c r="R5437" s="1"/>
      <c r="S5437" s="1"/>
      <c r="T5437" s="1"/>
      <c r="U5437" s="1"/>
      <c r="V5437" s="1"/>
      <c r="W5437" s="1"/>
      <c r="X5437" s="1"/>
    </row>
    <row x14ac:dyDescent="0.25" r="5438" customHeight="1" ht="18.75">
      <c r="A5438" s="1"/>
      <c r="B5438" s="1"/>
      <c r="C5438" s="1"/>
      <c r="D5438" s="1"/>
      <c r="E5438" s="1"/>
      <c r="F5438" s="1"/>
      <c r="G5438" s="1"/>
      <c r="H5438" s="1"/>
      <c r="I5438" s="2"/>
      <c r="J5438" s="1"/>
      <c r="K5438" s="1"/>
      <c r="L5438" s="1"/>
      <c r="M5438" s="1"/>
      <c r="N5438" s="1"/>
      <c r="O5438" s="1"/>
      <c r="P5438" s="1"/>
      <c r="Q5438" s="1"/>
      <c r="R5438" s="1"/>
      <c r="S5438" s="1"/>
      <c r="T5438" s="1"/>
      <c r="U5438" s="1"/>
      <c r="V5438" s="1"/>
      <c r="W5438" s="1"/>
      <c r="X5438" s="1"/>
    </row>
    <row x14ac:dyDescent="0.25" r="5439" customHeight="1" ht="18.75">
      <c r="A5439" s="1"/>
      <c r="B5439" s="1"/>
      <c r="C5439" s="1"/>
      <c r="D5439" s="1"/>
      <c r="E5439" s="1"/>
      <c r="F5439" s="1"/>
      <c r="G5439" s="1"/>
      <c r="H5439" s="1"/>
      <c r="I5439" s="2"/>
      <c r="J5439" s="1"/>
      <c r="K5439" s="1"/>
      <c r="L5439" s="1"/>
      <c r="M5439" s="1"/>
      <c r="N5439" s="1"/>
      <c r="O5439" s="1"/>
      <c r="P5439" s="1"/>
      <c r="Q5439" s="1"/>
      <c r="R5439" s="1"/>
      <c r="S5439" s="1"/>
      <c r="T5439" s="1"/>
      <c r="U5439" s="1"/>
      <c r="V5439" s="1"/>
      <c r="W5439" s="1"/>
      <c r="X5439" s="1"/>
    </row>
    <row x14ac:dyDescent="0.25" r="5440" customHeight="1" ht="18.75">
      <c r="A5440" s="1"/>
      <c r="B5440" s="1"/>
      <c r="C5440" s="1"/>
      <c r="D5440" s="1"/>
      <c r="E5440" s="1"/>
      <c r="F5440" s="1"/>
      <c r="G5440" s="1"/>
      <c r="H5440" s="1"/>
      <c r="I5440" s="2"/>
      <c r="J5440" s="1"/>
      <c r="K5440" s="1"/>
      <c r="L5440" s="1"/>
      <c r="M5440" s="1"/>
      <c r="N5440" s="1"/>
      <c r="O5440" s="1"/>
      <c r="P5440" s="1"/>
      <c r="Q5440" s="1"/>
      <c r="R5440" s="1"/>
      <c r="S5440" s="1"/>
      <c r="T5440" s="1"/>
      <c r="U5440" s="1"/>
      <c r="V5440" s="1"/>
      <c r="W5440" s="1"/>
      <c r="X5440" s="1"/>
    </row>
    <row x14ac:dyDescent="0.25" r="5441" customHeight="1" ht="18.75">
      <c r="A5441" s="1"/>
      <c r="B5441" s="1"/>
      <c r="C5441" s="1"/>
      <c r="D5441" s="1"/>
      <c r="E5441" s="1"/>
      <c r="F5441" s="1"/>
      <c r="G5441" s="1"/>
      <c r="H5441" s="1"/>
      <c r="I5441" s="2"/>
      <c r="J5441" s="1"/>
      <c r="K5441" s="1"/>
      <c r="L5441" s="1"/>
      <c r="M5441" s="1"/>
      <c r="N5441" s="1"/>
      <c r="O5441" s="1"/>
      <c r="P5441" s="1"/>
      <c r="Q5441" s="1"/>
      <c r="R5441" s="1"/>
      <c r="S5441" s="1"/>
      <c r="T5441" s="1"/>
      <c r="U5441" s="1"/>
      <c r="V5441" s="1"/>
      <c r="W5441" s="1"/>
      <c r="X5441" s="1"/>
    </row>
    <row x14ac:dyDescent="0.25" r="5442" customHeight="1" ht="18.75">
      <c r="A5442" s="1"/>
      <c r="B5442" s="1"/>
      <c r="C5442" s="1"/>
      <c r="D5442" s="1"/>
      <c r="E5442" s="1"/>
      <c r="F5442" s="1"/>
      <c r="G5442" s="1"/>
      <c r="H5442" s="1"/>
      <c r="I5442" s="2"/>
      <c r="J5442" s="1"/>
      <c r="K5442" s="1"/>
      <c r="L5442" s="1"/>
      <c r="M5442" s="1"/>
      <c r="N5442" s="1"/>
      <c r="O5442" s="1"/>
      <c r="P5442" s="1"/>
      <c r="Q5442" s="1"/>
      <c r="R5442" s="1"/>
      <c r="S5442" s="1"/>
      <c r="T5442" s="1"/>
      <c r="U5442" s="1"/>
      <c r="V5442" s="1"/>
      <c r="W5442" s="1"/>
      <c r="X5442" s="1"/>
    </row>
    <row x14ac:dyDescent="0.25" r="5443" customHeight="1" ht="18.75">
      <c r="A5443" s="1"/>
      <c r="B5443" s="1"/>
      <c r="C5443" s="1"/>
      <c r="D5443" s="1"/>
      <c r="E5443" s="1"/>
      <c r="F5443" s="1"/>
      <c r="G5443" s="1"/>
      <c r="H5443" s="1"/>
      <c r="I5443" s="2"/>
      <c r="J5443" s="1"/>
      <c r="K5443" s="1"/>
      <c r="L5443" s="1"/>
      <c r="M5443" s="1"/>
      <c r="N5443" s="1"/>
      <c r="O5443" s="1"/>
      <c r="P5443" s="1"/>
      <c r="Q5443" s="1"/>
      <c r="R5443" s="1"/>
      <c r="S5443" s="1"/>
      <c r="T5443" s="1"/>
      <c r="U5443" s="1"/>
      <c r="V5443" s="1"/>
      <c r="W5443" s="1"/>
      <c r="X5443" s="1"/>
    </row>
    <row x14ac:dyDescent="0.25" r="5444" customHeight="1" ht="18.75">
      <c r="A5444" s="1"/>
      <c r="B5444" s="1"/>
      <c r="C5444" s="1"/>
      <c r="D5444" s="1"/>
      <c r="E5444" s="1"/>
      <c r="F5444" s="1"/>
      <c r="G5444" s="1"/>
      <c r="H5444" s="1"/>
      <c r="I5444" s="2"/>
      <c r="J5444" s="1"/>
      <c r="K5444" s="1"/>
      <c r="L5444" s="1"/>
      <c r="M5444" s="1"/>
      <c r="N5444" s="1"/>
      <c r="O5444" s="1"/>
      <c r="P5444" s="1"/>
      <c r="Q5444" s="1"/>
      <c r="R5444" s="1"/>
      <c r="S5444" s="1"/>
      <c r="T5444" s="1"/>
      <c r="U5444" s="1"/>
      <c r="V5444" s="1"/>
      <c r="W5444" s="1"/>
      <c r="X5444" s="1"/>
    </row>
    <row x14ac:dyDescent="0.25" r="5445" customHeight="1" ht="18.75">
      <c r="A5445" s="1"/>
      <c r="B5445" s="1"/>
      <c r="C5445" s="1"/>
      <c r="D5445" s="1"/>
      <c r="E5445" s="1"/>
      <c r="F5445" s="1"/>
      <c r="G5445" s="1"/>
      <c r="H5445" s="1"/>
      <c r="I5445" s="2"/>
      <c r="J5445" s="1"/>
      <c r="K5445" s="1"/>
      <c r="L5445" s="1"/>
      <c r="M5445" s="1"/>
      <c r="N5445" s="1"/>
      <c r="O5445" s="1"/>
      <c r="P5445" s="1"/>
      <c r="Q5445" s="1"/>
      <c r="R5445" s="1"/>
      <c r="S5445" s="1"/>
      <c r="T5445" s="1"/>
      <c r="U5445" s="1"/>
      <c r="V5445" s="1"/>
      <c r="W5445" s="1"/>
      <c r="X5445" s="1"/>
    </row>
    <row x14ac:dyDescent="0.25" r="5446" customHeight="1" ht="18.75">
      <c r="A5446" s="1"/>
      <c r="B5446" s="1"/>
      <c r="C5446" s="1"/>
      <c r="D5446" s="1"/>
      <c r="E5446" s="1"/>
      <c r="F5446" s="1"/>
      <c r="G5446" s="1"/>
      <c r="H5446" s="1"/>
      <c r="I5446" s="2"/>
      <c r="J5446" s="1"/>
      <c r="K5446" s="1"/>
      <c r="L5446" s="1"/>
      <c r="M5446" s="1"/>
      <c r="N5446" s="1"/>
      <c r="O5446" s="1"/>
      <c r="P5446" s="1"/>
      <c r="Q5446" s="1"/>
      <c r="R5446" s="1"/>
      <c r="S5446" s="1"/>
      <c r="T5446" s="1"/>
      <c r="U5446" s="1"/>
      <c r="V5446" s="1"/>
      <c r="W5446" s="1"/>
      <c r="X5446" s="1"/>
    </row>
    <row x14ac:dyDescent="0.25" r="5447" customHeight="1" ht="18.75">
      <c r="A5447" s="1"/>
      <c r="B5447" s="1"/>
      <c r="C5447" s="1"/>
      <c r="D5447" s="1"/>
      <c r="E5447" s="1"/>
      <c r="F5447" s="1"/>
      <c r="G5447" s="1"/>
      <c r="H5447" s="1"/>
      <c r="I5447" s="2"/>
      <c r="J5447" s="1"/>
      <c r="K5447" s="1"/>
      <c r="L5447" s="1"/>
      <c r="M5447" s="1"/>
      <c r="N5447" s="1"/>
      <c r="O5447" s="1"/>
      <c r="P5447" s="1"/>
      <c r="Q5447" s="1"/>
      <c r="R5447" s="1"/>
      <c r="S5447" s="1"/>
      <c r="T5447" s="1"/>
      <c r="U5447" s="1"/>
      <c r="V5447" s="1"/>
      <c r="W5447" s="1"/>
      <c r="X5447" s="1"/>
    </row>
    <row x14ac:dyDescent="0.25" r="5448" customHeight="1" ht="18.75">
      <c r="A5448" s="1"/>
      <c r="B5448" s="1"/>
      <c r="C5448" s="1"/>
      <c r="D5448" s="1"/>
      <c r="E5448" s="1"/>
      <c r="F5448" s="1"/>
      <c r="G5448" s="1"/>
      <c r="H5448" s="1"/>
      <c r="I5448" s="2"/>
      <c r="J5448" s="1"/>
      <c r="K5448" s="1"/>
      <c r="L5448" s="1"/>
      <c r="M5448" s="1"/>
      <c r="N5448" s="1"/>
      <c r="O5448" s="1"/>
      <c r="P5448" s="1"/>
      <c r="Q5448" s="1"/>
      <c r="R5448" s="1"/>
      <c r="S5448" s="1"/>
      <c r="T5448" s="1"/>
      <c r="U5448" s="1"/>
      <c r="V5448" s="1"/>
      <c r="W5448" s="1"/>
      <c r="X5448" s="1"/>
    </row>
    <row x14ac:dyDescent="0.25" r="5449" customHeight="1" ht="18.75">
      <c r="A5449" s="1"/>
      <c r="B5449" s="1"/>
      <c r="C5449" s="1"/>
      <c r="D5449" s="1"/>
      <c r="E5449" s="1"/>
      <c r="F5449" s="1"/>
      <c r="G5449" s="1"/>
      <c r="H5449" s="1"/>
      <c r="I5449" s="2"/>
      <c r="J5449" s="1"/>
      <c r="K5449" s="1"/>
      <c r="L5449" s="1"/>
      <c r="M5449" s="1"/>
      <c r="N5449" s="1"/>
      <c r="O5449" s="1"/>
      <c r="P5449" s="1"/>
      <c r="Q5449" s="1"/>
      <c r="R5449" s="1"/>
      <c r="S5449" s="1"/>
      <c r="T5449" s="1"/>
      <c r="U5449" s="1"/>
      <c r="V5449" s="1"/>
      <c r="W5449" s="1"/>
      <c r="X5449" s="1"/>
    </row>
    <row x14ac:dyDescent="0.25" r="5450" customHeight="1" ht="18.75">
      <c r="A5450" s="1"/>
      <c r="B5450" s="1"/>
      <c r="C5450" s="1"/>
      <c r="D5450" s="1"/>
      <c r="E5450" s="1"/>
      <c r="F5450" s="1"/>
      <c r="G5450" s="1"/>
      <c r="H5450" s="1"/>
      <c r="I5450" s="2"/>
      <c r="J5450" s="1"/>
      <c r="K5450" s="1"/>
      <c r="L5450" s="1"/>
      <c r="M5450" s="1"/>
      <c r="N5450" s="1"/>
      <c r="O5450" s="1"/>
      <c r="P5450" s="1"/>
      <c r="Q5450" s="1"/>
      <c r="R5450" s="1"/>
      <c r="S5450" s="1"/>
      <c r="T5450" s="1"/>
      <c r="U5450" s="1"/>
      <c r="V5450" s="1"/>
      <c r="W5450" s="1"/>
      <c r="X5450" s="1"/>
    </row>
    <row x14ac:dyDescent="0.25" r="5451" customHeight="1" ht="18.75">
      <c r="A5451" s="1"/>
      <c r="B5451" s="1"/>
      <c r="C5451" s="1"/>
      <c r="D5451" s="1"/>
      <c r="E5451" s="1"/>
      <c r="F5451" s="1"/>
      <c r="G5451" s="1"/>
      <c r="H5451" s="1"/>
      <c r="I5451" s="2"/>
      <c r="J5451" s="1"/>
      <c r="K5451" s="1"/>
      <c r="L5451" s="1"/>
      <c r="M5451" s="1"/>
      <c r="N5451" s="1"/>
      <c r="O5451" s="1"/>
      <c r="P5451" s="1"/>
      <c r="Q5451" s="1"/>
      <c r="R5451" s="1"/>
      <c r="S5451" s="1"/>
      <c r="T5451" s="1"/>
      <c r="U5451" s="1"/>
      <c r="V5451" s="1"/>
      <c r="W5451" s="1"/>
      <c r="X5451" s="1"/>
    </row>
    <row x14ac:dyDescent="0.25" r="5452" customHeight="1" ht="18.75">
      <c r="A5452" s="1"/>
      <c r="B5452" s="1"/>
      <c r="C5452" s="1"/>
      <c r="D5452" s="1"/>
      <c r="E5452" s="1"/>
      <c r="F5452" s="1"/>
      <c r="G5452" s="1"/>
      <c r="H5452" s="1"/>
      <c r="I5452" s="2"/>
      <c r="J5452" s="1"/>
      <c r="K5452" s="1"/>
      <c r="L5452" s="1"/>
      <c r="M5452" s="1"/>
      <c r="N5452" s="1"/>
      <c r="O5452" s="1"/>
      <c r="P5452" s="1"/>
      <c r="Q5452" s="1"/>
      <c r="R5452" s="1"/>
      <c r="S5452" s="1"/>
      <c r="T5452" s="1"/>
      <c r="U5452" s="1"/>
      <c r="V5452" s="1"/>
      <c r="W5452" s="1"/>
      <c r="X5452" s="1"/>
    </row>
    <row x14ac:dyDescent="0.25" r="5453" customHeight="1" ht="18.75">
      <c r="A5453" s="1"/>
      <c r="B5453" s="1"/>
      <c r="C5453" s="1"/>
      <c r="D5453" s="1"/>
      <c r="E5453" s="1"/>
      <c r="F5453" s="1"/>
      <c r="G5453" s="1"/>
      <c r="H5453" s="1"/>
      <c r="I5453" s="2"/>
      <c r="J5453" s="1"/>
      <c r="K5453" s="1"/>
      <c r="L5453" s="1"/>
      <c r="M5453" s="1"/>
      <c r="N5453" s="1"/>
      <c r="O5453" s="1"/>
      <c r="P5453" s="1"/>
      <c r="Q5453" s="1"/>
      <c r="R5453" s="1"/>
      <c r="S5453" s="1"/>
      <c r="T5453" s="1"/>
      <c r="U5453" s="1"/>
      <c r="V5453" s="1"/>
      <c r="W5453" s="1"/>
      <c r="X5453" s="1"/>
    </row>
    <row x14ac:dyDescent="0.25" r="5454" customHeight="1" ht="18.75">
      <c r="A5454" s="1"/>
      <c r="B5454" s="1"/>
      <c r="C5454" s="1"/>
      <c r="D5454" s="1"/>
      <c r="E5454" s="1"/>
      <c r="F5454" s="1"/>
      <c r="G5454" s="1"/>
      <c r="H5454" s="1"/>
      <c r="I5454" s="2"/>
      <c r="J5454" s="1"/>
      <c r="K5454" s="1"/>
      <c r="L5454" s="1"/>
      <c r="M5454" s="1"/>
      <c r="N5454" s="1"/>
      <c r="O5454" s="1"/>
      <c r="P5454" s="1"/>
      <c r="Q5454" s="1"/>
      <c r="R5454" s="1"/>
      <c r="S5454" s="1"/>
      <c r="T5454" s="1"/>
      <c r="U5454" s="1"/>
      <c r="V5454" s="1"/>
      <c r="W5454" s="1"/>
      <c r="X5454" s="1"/>
    </row>
    <row x14ac:dyDescent="0.25" r="5455" customHeight="1" ht="18.75">
      <c r="A5455" s="1"/>
      <c r="B5455" s="1"/>
      <c r="C5455" s="1"/>
      <c r="D5455" s="1"/>
      <c r="E5455" s="1"/>
      <c r="F5455" s="1"/>
      <c r="G5455" s="1"/>
      <c r="H5455" s="1"/>
      <c r="I5455" s="2"/>
      <c r="J5455" s="1"/>
      <c r="K5455" s="1"/>
      <c r="L5455" s="1"/>
      <c r="M5455" s="1"/>
      <c r="N5455" s="1"/>
      <c r="O5455" s="1"/>
      <c r="P5455" s="1"/>
      <c r="Q5455" s="1"/>
      <c r="R5455" s="1"/>
      <c r="S5455" s="1"/>
      <c r="T5455" s="1"/>
      <c r="U5455" s="1"/>
      <c r="V5455" s="1"/>
      <c r="W5455" s="1"/>
      <c r="X5455" s="1"/>
    </row>
    <row x14ac:dyDescent="0.25" r="5456" customHeight="1" ht="18.75">
      <c r="A5456" s="1"/>
      <c r="B5456" s="1"/>
      <c r="C5456" s="1"/>
      <c r="D5456" s="1"/>
      <c r="E5456" s="1"/>
      <c r="F5456" s="1"/>
      <c r="G5456" s="1"/>
      <c r="H5456" s="1"/>
      <c r="I5456" s="2"/>
      <c r="J5456" s="1"/>
      <c r="K5456" s="1"/>
      <c r="L5456" s="1"/>
      <c r="M5456" s="1"/>
      <c r="N5456" s="1"/>
      <c r="O5456" s="1"/>
      <c r="P5456" s="1"/>
      <c r="Q5456" s="1"/>
      <c r="R5456" s="1"/>
      <c r="S5456" s="1"/>
      <c r="T5456" s="1"/>
      <c r="U5456" s="1"/>
      <c r="V5456" s="1"/>
      <c r="W5456" s="1"/>
      <c r="X5456" s="1"/>
    </row>
    <row x14ac:dyDescent="0.25" r="5457" customHeight="1" ht="18.75">
      <c r="A5457" s="1"/>
      <c r="B5457" s="1"/>
      <c r="C5457" s="1"/>
      <c r="D5457" s="1"/>
      <c r="E5457" s="1"/>
      <c r="F5457" s="1"/>
      <c r="G5457" s="1"/>
      <c r="H5457" s="1"/>
      <c r="I5457" s="2"/>
      <c r="J5457" s="1"/>
      <c r="K5457" s="1"/>
      <c r="L5457" s="1"/>
      <c r="M5457" s="1"/>
      <c r="N5457" s="1"/>
      <c r="O5457" s="1"/>
      <c r="P5457" s="1"/>
      <c r="Q5457" s="1"/>
      <c r="R5457" s="1"/>
      <c r="S5457" s="1"/>
      <c r="T5457" s="1"/>
      <c r="U5457" s="1"/>
      <c r="V5457" s="1"/>
      <c r="W5457" s="1"/>
      <c r="X5457" s="1"/>
    </row>
    <row x14ac:dyDescent="0.25" r="5458" customHeight="1" ht="18.75">
      <c r="A5458" s="1"/>
      <c r="B5458" s="1"/>
      <c r="C5458" s="1"/>
      <c r="D5458" s="1"/>
      <c r="E5458" s="1"/>
      <c r="F5458" s="1"/>
      <c r="G5458" s="1"/>
      <c r="H5458" s="1"/>
      <c r="I5458" s="2"/>
      <c r="J5458" s="1"/>
      <c r="K5458" s="1"/>
      <c r="L5458" s="1"/>
      <c r="M5458" s="1"/>
      <c r="N5458" s="1"/>
      <c r="O5458" s="1"/>
      <c r="P5458" s="1"/>
      <c r="Q5458" s="1"/>
      <c r="R5458" s="1"/>
      <c r="S5458" s="1"/>
      <c r="T5458" s="1"/>
      <c r="U5458" s="1"/>
      <c r="V5458" s="1"/>
      <c r="W5458" s="1"/>
      <c r="X5458" s="1"/>
    </row>
    <row x14ac:dyDescent="0.25" r="5459" customHeight="1" ht="18.75">
      <c r="A5459" s="1"/>
      <c r="B5459" s="1"/>
      <c r="C5459" s="1"/>
      <c r="D5459" s="1"/>
      <c r="E5459" s="1"/>
      <c r="F5459" s="1"/>
      <c r="G5459" s="1"/>
      <c r="H5459" s="1"/>
      <c r="I5459" s="2"/>
      <c r="J5459" s="1"/>
      <c r="K5459" s="1"/>
      <c r="L5459" s="1"/>
      <c r="M5459" s="1"/>
      <c r="N5459" s="1"/>
      <c r="O5459" s="1"/>
      <c r="P5459" s="1"/>
      <c r="Q5459" s="1"/>
      <c r="R5459" s="1"/>
      <c r="S5459" s="1"/>
      <c r="T5459" s="1"/>
      <c r="U5459" s="1"/>
      <c r="V5459" s="1"/>
      <c r="W5459" s="1"/>
      <c r="X5459" s="1"/>
    </row>
    <row x14ac:dyDescent="0.25" r="5460" customHeight="1" ht="18.75">
      <c r="A5460" s="1"/>
      <c r="B5460" s="1"/>
      <c r="C5460" s="1"/>
      <c r="D5460" s="1"/>
      <c r="E5460" s="1"/>
      <c r="F5460" s="1"/>
      <c r="G5460" s="1"/>
      <c r="H5460" s="1"/>
      <c r="I5460" s="2"/>
      <c r="J5460" s="1"/>
      <c r="K5460" s="1"/>
      <c r="L5460" s="1"/>
      <c r="M5460" s="1"/>
      <c r="N5460" s="1"/>
      <c r="O5460" s="1"/>
      <c r="P5460" s="1"/>
      <c r="Q5460" s="1"/>
      <c r="R5460" s="1"/>
      <c r="S5460" s="1"/>
      <c r="T5460" s="1"/>
      <c r="U5460" s="1"/>
      <c r="V5460" s="1"/>
      <c r="W5460" s="1"/>
      <c r="X5460" s="1"/>
    </row>
    <row x14ac:dyDescent="0.25" r="5461" customHeight="1" ht="18.75">
      <c r="A5461" s="1"/>
      <c r="B5461" s="1"/>
      <c r="C5461" s="1"/>
      <c r="D5461" s="1"/>
      <c r="E5461" s="1"/>
      <c r="F5461" s="1"/>
      <c r="G5461" s="1"/>
      <c r="H5461" s="1"/>
      <c r="I5461" s="2"/>
      <c r="J5461" s="1"/>
      <c r="K5461" s="1"/>
      <c r="L5461" s="1"/>
      <c r="M5461" s="1"/>
      <c r="N5461" s="1"/>
      <c r="O5461" s="1"/>
      <c r="P5461" s="1"/>
      <c r="Q5461" s="1"/>
      <c r="R5461" s="1"/>
      <c r="S5461" s="1"/>
      <c r="T5461" s="1"/>
      <c r="U5461" s="1"/>
      <c r="V5461" s="1"/>
      <c r="W5461" s="1"/>
      <c r="X5461" s="1"/>
    </row>
    <row x14ac:dyDescent="0.25" r="5462" customHeight="1" ht="18.75">
      <c r="A5462" s="1"/>
      <c r="B5462" s="1"/>
      <c r="C5462" s="1"/>
      <c r="D5462" s="1"/>
      <c r="E5462" s="1"/>
      <c r="F5462" s="1"/>
      <c r="G5462" s="1"/>
      <c r="H5462" s="1"/>
      <c r="I5462" s="2"/>
      <c r="J5462" s="1"/>
      <c r="K5462" s="1"/>
      <c r="L5462" s="1"/>
      <c r="M5462" s="1"/>
      <c r="N5462" s="1"/>
      <c r="O5462" s="1"/>
      <c r="P5462" s="1"/>
      <c r="Q5462" s="1"/>
      <c r="R5462" s="1"/>
      <c r="S5462" s="1"/>
      <c r="T5462" s="1"/>
      <c r="U5462" s="1"/>
      <c r="V5462" s="1"/>
      <c r="W5462" s="1"/>
      <c r="X5462" s="1"/>
    </row>
    <row x14ac:dyDescent="0.25" r="5463" customHeight="1" ht="18.75">
      <c r="A5463" s="1"/>
      <c r="B5463" s="1"/>
      <c r="C5463" s="1"/>
      <c r="D5463" s="1"/>
      <c r="E5463" s="1"/>
      <c r="F5463" s="1"/>
      <c r="G5463" s="1"/>
      <c r="H5463" s="1"/>
      <c r="I5463" s="2"/>
      <c r="J5463" s="1"/>
      <c r="K5463" s="1"/>
      <c r="L5463" s="1"/>
      <c r="M5463" s="1"/>
      <c r="N5463" s="1"/>
      <c r="O5463" s="1"/>
      <c r="P5463" s="1"/>
      <c r="Q5463" s="1"/>
      <c r="R5463" s="1"/>
      <c r="S5463" s="1"/>
      <c r="T5463" s="1"/>
      <c r="U5463" s="1"/>
      <c r="V5463" s="1"/>
      <c r="W5463" s="1"/>
      <c r="X5463" s="1"/>
    </row>
    <row x14ac:dyDescent="0.25" r="5464" customHeight="1" ht="18.75">
      <c r="A5464" s="1"/>
      <c r="B5464" s="1"/>
      <c r="C5464" s="1"/>
      <c r="D5464" s="1"/>
      <c r="E5464" s="1"/>
      <c r="F5464" s="1"/>
      <c r="G5464" s="1"/>
      <c r="H5464" s="1"/>
      <c r="I5464" s="2"/>
      <c r="J5464" s="1"/>
      <c r="K5464" s="1"/>
      <c r="L5464" s="1"/>
      <c r="M5464" s="1"/>
      <c r="N5464" s="1"/>
      <c r="O5464" s="1"/>
      <c r="P5464" s="1"/>
      <c r="Q5464" s="1"/>
      <c r="R5464" s="1"/>
      <c r="S5464" s="1"/>
      <c r="T5464" s="1"/>
      <c r="U5464" s="1"/>
      <c r="V5464" s="1"/>
      <c r="W5464" s="1"/>
      <c r="X5464" s="1"/>
    </row>
    <row x14ac:dyDescent="0.25" r="5465" customHeight="1" ht="18.75">
      <c r="A5465" s="1"/>
      <c r="B5465" s="1"/>
      <c r="C5465" s="1"/>
      <c r="D5465" s="1"/>
      <c r="E5465" s="1"/>
      <c r="F5465" s="1"/>
      <c r="G5465" s="1"/>
      <c r="H5465" s="1"/>
      <c r="I5465" s="2"/>
      <c r="J5465" s="1"/>
      <c r="K5465" s="1"/>
      <c r="L5465" s="1"/>
      <c r="M5465" s="1"/>
      <c r="N5465" s="1"/>
      <c r="O5465" s="1"/>
      <c r="P5465" s="1"/>
      <c r="Q5465" s="1"/>
      <c r="R5465" s="1"/>
      <c r="S5465" s="1"/>
      <c r="T5465" s="1"/>
      <c r="U5465" s="1"/>
      <c r="V5465" s="1"/>
      <c r="W5465" s="1"/>
      <c r="X5465" s="1"/>
    </row>
    <row x14ac:dyDescent="0.25" r="5466" customHeight="1" ht="18.75">
      <c r="A5466" s="1"/>
      <c r="B5466" s="1"/>
      <c r="C5466" s="1"/>
      <c r="D5466" s="1"/>
      <c r="E5466" s="1"/>
      <c r="F5466" s="1"/>
      <c r="G5466" s="1"/>
      <c r="H5466" s="1"/>
      <c r="I5466" s="2"/>
      <c r="J5466" s="1"/>
      <c r="K5466" s="1"/>
      <c r="L5466" s="1"/>
      <c r="M5466" s="1"/>
      <c r="N5466" s="1"/>
      <c r="O5466" s="1"/>
      <c r="P5466" s="1"/>
      <c r="Q5466" s="1"/>
      <c r="R5466" s="1"/>
      <c r="S5466" s="1"/>
      <c r="T5466" s="1"/>
      <c r="U5466" s="1"/>
      <c r="V5466" s="1"/>
      <c r="W5466" s="1"/>
      <c r="X5466" s="1"/>
    </row>
    <row x14ac:dyDescent="0.25" r="5467" customHeight="1" ht="18.75">
      <c r="A5467" s="1"/>
      <c r="B5467" s="1"/>
      <c r="C5467" s="1"/>
      <c r="D5467" s="1"/>
      <c r="E5467" s="1"/>
      <c r="F5467" s="1"/>
      <c r="G5467" s="1"/>
      <c r="H5467" s="1"/>
      <c r="I5467" s="2"/>
      <c r="J5467" s="1"/>
      <c r="K5467" s="1"/>
      <c r="L5467" s="1"/>
      <c r="M5467" s="1"/>
      <c r="N5467" s="1"/>
      <c r="O5467" s="1"/>
      <c r="P5467" s="1"/>
      <c r="Q5467" s="1"/>
      <c r="R5467" s="1"/>
      <c r="S5467" s="1"/>
      <c r="T5467" s="1"/>
      <c r="U5467" s="1"/>
      <c r="V5467" s="1"/>
      <c r="W5467" s="1"/>
      <c r="X5467" s="1"/>
    </row>
    <row x14ac:dyDescent="0.25" r="5468" customHeight="1" ht="18.75">
      <c r="A5468" s="1"/>
      <c r="B5468" s="1"/>
      <c r="C5468" s="1"/>
      <c r="D5468" s="1"/>
      <c r="E5468" s="1"/>
      <c r="F5468" s="1"/>
      <c r="G5468" s="1"/>
      <c r="H5468" s="1"/>
      <c r="I5468" s="2"/>
      <c r="J5468" s="1"/>
      <c r="K5468" s="1"/>
      <c r="L5468" s="1"/>
      <c r="M5468" s="1"/>
      <c r="N5468" s="1"/>
      <c r="O5468" s="1"/>
      <c r="P5468" s="1"/>
      <c r="Q5468" s="1"/>
      <c r="R5468" s="1"/>
      <c r="S5468" s="1"/>
      <c r="T5468" s="1"/>
      <c r="U5468" s="1"/>
      <c r="V5468" s="1"/>
      <c r="W5468" s="1"/>
      <c r="X5468" s="1"/>
    </row>
    <row x14ac:dyDescent="0.25" r="5469" customHeight="1" ht="18.75">
      <c r="A5469" s="1"/>
      <c r="B5469" s="1"/>
      <c r="C5469" s="1"/>
      <c r="D5469" s="1"/>
      <c r="E5469" s="1"/>
      <c r="F5469" s="1"/>
      <c r="G5469" s="1"/>
      <c r="H5469" s="1"/>
      <c r="I5469" s="2"/>
      <c r="J5469" s="1"/>
      <c r="K5469" s="1"/>
      <c r="L5469" s="1"/>
      <c r="M5469" s="1"/>
      <c r="N5469" s="1"/>
      <c r="O5469" s="1"/>
      <c r="P5469" s="1"/>
      <c r="Q5469" s="1"/>
      <c r="R5469" s="1"/>
      <c r="S5469" s="1"/>
      <c r="T5469" s="1"/>
      <c r="U5469" s="1"/>
      <c r="V5469" s="1"/>
      <c r="W5469" s="1"/>
      <c r="X5469" s="1"/>
    </row>
    <row x14ac:dyDescent="0.25" r="5470" customHeight="1" ht="18.75">
      <c r="A5470" s="1"/>
      <c r="B5470" s="1"/>
      <c r="C5470" s="1"/>
      <c r="D5470" s="1"/>
      <c r="E5470" s="1"/>
      <c r="F5470" s="1"/>
      <c r="G5470" s="1"/>
      <c r="H5470" s="1"/>
      <c r="I5470" s="2"/>
      <c r="J5470" s="1"/>
      <c r="K5470" s="1"/>
      <c r="L5470" s="1"/>
      <c r="M5470" s="1"/>
      <c r="N5470" s="1"/>
      <c r="O5470" s="1"/>
      <c r="P5470" s="1"/>
      <c r="Q5470" s="1"/>
      <c r="R5470" s="1"/>
      <c r="S5470" s="1"/>
      <c r="T5470" s="1"/>
      <c r="U5470" s="1"/>
      <c r="V5470" s="1"/>
      <c r="W5470" s="1"/>
      <c r="X5470" s="1"/>
    </row>
    <row x14ac:dyDescent="0.25" r="5471" customHeight="1" ht="18.75">
      <c r="A5471" s="1"/>
      <c r="B5471" s="1"/>
      <c r="C5471" s="1"/>
      <c r="D5471" s="1"/>
      <c r="E5471" s="1"/>
      <c r="F5471" s="1"/>
      <c r="G5471" s="1"/>
      <c r="H5471" s="1"/>
      <c r="I5471" s="2"/>
      <c r="J5471" s="1"/>
      <c r="K5471" s="1"/>
      <c r="L5471" s="1"/>
      <c r="M5471" s="1"/>
      <c r="N5471" s="1"/>
      <c r="O5471" s="1"/>
      <c r="P5471" s="1"/>
      <c r="Q5471" s="1"/>
      <c r="R5471" s="1"/>
      <c r="S5471" s="1"/>
      <c r="T5471" s="1"/>
      <c r="U5471" s="1"/>
      <c r="V5471" s="1"/>
      <c r="W5471" s="1"/>
      <c r="X5471" s="1"/>
    </row>
    <row x14ac:dyDescent="0.25" r="5472" customHeight="1" ht="18.75">
      <c r="A5472" s="1"/>
      <c r="B5472" s="1"/>
      <c r="C5472" s="1"/>
      <c r="D5472" s="1"/>
      <c r="E5472" s="1"/>
      <c r="F5472" s="1"/>
      <c r="G5472" s="1"/>
      <c r="H5472" s="1"/>
      <c r="I5472" s="2"/>
      <c r="J5472" s="1"/>
      <c r="K5472" s="1"/>
      <c r="L5472" s="1"/>
      <c r="M5472" s="1"/>
      <c r="N5472" s="1"/>
      <c r="O5472" s="1"/>
      <c r="P5472" s="1"/>
      <c r="Q5472" s="1"/>
      <c r="R5472" s="1"/>
      <c r="S5472" s="1"/>
      <c r="T5472" s="1"/>
      <c r="U5472" s="1"/>
      <c r="V5472" s="1"/>
      <c r="W5472" s="1"/>
      <c r="X5472" s="1"/>
    </row>
    <row x14ac:dyDescent="0.25" r="5473" customHeight="1" ht="18.75">
      <c r="A5473" s="1"/>
      <c r="B5473" s="1"/>
      <c r="C5473" s="1"/>
      <c r="D5473" s="1"/>
      <c r="E5473" s="1"/>
      <c r="F5473" s="1"/>
      <c r="G5473" s="1"/>
      <c r="H5473" s="1"/>
      <c r="I5473" s="2"/>
      <c r="J5473" s="1"/>
      <c r="K5473" s="1"/>
      <c r="L5473" s="1"/>
      <c r="M5473" s="1"/>
      <c r="N5473" s="1"/>
      <c r="O5473" s="1"/>
      <c r="P5473" s="1"/>
      <c r="Q5473" s="1"/>
      <c r="R5473" s="1"/>
      <c r="S5473" s="1"/>
      <c r="T5473" s="1"/>
      <c r="U5473" s="1"/>
      <c r="V5473" s="1"/>
      <c r="W5473" s="1"/>
      <c r="X5473" s="1"/>
    </row>
    <row x14ac:dyDescent="0.25" r="5474" customHeight="1" ht="18.75">
      <c r="A5474" s="1"/>
      <c r="B5474" s="1"/>
      <c r="C5474" s="1"/>
      <c r="D5474" s="1"/>
      <c r="E5474" s="1"/>
      <c r="F5474" s="1"/>
      <c r="G5474" s="1"/>
      <c r="H5474" s="1"/>
      <c r="I5474" s="2"/>
      <c r="J5474" s="1"/>
      <c r="K5474" s="1"/>
      <c r="L5474" s="1"/>
      <c r="M5474" s="1"/>
      <c r="N5474" s="1"/>
      <c r="O5474" s="1"/>
      <c r="P5474" s="1"/>
      <c r="Q5474" s="1"/>
      <c r="R5474" s="1"/>
      <c r="S5474" s="1"/>
      <c r="T5474" s="1"/>
      <c r="U5474" s="1"/>
      <c r="V5474" s="1"/>
      <c r="W5474" s="1"/>
      <c r="X5474" s="1"/>
    </row>
    <row x14ac:dyDescent="0.25" r="5475" customHeight="1" ht="18.75">
      <c r="A5475" s="1"/>
      <c r="B5475" s="1"/>
      <c r="C5475" s="1"/>
      <c r="D5475" s="1"/>
      <c r="E5475" s="1"/>
      <c r="F5475" s="1"/>
      <c r="G5475" s="1"/>
      <c r="H5475" s="1"/>
      <c r="I5475" s="2"/>
      <c r="J5475" s="1"/>
      <c r="K5475" s="1"/>
      <c r="L5475" s="1"/>
      <c r="M5475" s="1"/>
      <c r="N5475" s="1"/>
      <c r="O5475" s="1"/>
      <c r="P5475" s="1"/>
      <c r="Q5475" s="1"/>
      <c r="R5475" s="1"/>
      <c r="S5475" s="1"/>
      <c r="T5475" s="1"/>
      <c r="U5475" s="1"/>
      <c r="V5475" s="1"/>
      <c r="W5475" s="1"/>
      <c r="X5475" s="1"/>
    </row>
    <row x14ac:dyDescent="0.25" r="5476" customHeight="1" ht="18.75">
      <c r="A5476" s="1"/>
      <c r="B5476" s="1"/>
      <c r="C5476" s="1"/>
      <c r="D5476" s="1"/>
      <c r="E5476" s="1"/>
      <c r="F5476" s="1"/>
      <c r="G5476" s="1"/>
      <c r="H5476" s="1"/>
      <c r="I5476" s="2"/>
      <c r="J5476" s="1"/>
      <c r="K5476" s="1"/>
      <c r="L5476" s="1"/>
      <c r="M5476" s="1"/>
      <c r="N5476" s="1"/>
      <c r="O5476" s="1"/>
      <c r="P5476" s="1"/>
      <c r="Q5476" s="1"/>
      <c r="R5476" s="1"/>
      <c r="S5476" s="1"/>
      <c r="T5476" s="1"/>
      <c r="U5476" s="1"/>
      <c r="V5476" s="1"/>
      <c r="W5476" s="1"/>
      <c r="X5476" s="1"/>
    </row>
    <row x14ac:dyDescent="0.25" r="5477" customHeight="1" ht="18.75">
      <c r="A5477" s="1"/>
      <c r="B5477" s="1"/>
      <c r="C5477" s="1"/>
      <c r="D5477" s="1"/>
      <c r="E5477" s="1"/>
      <c r="F5477" s="1"/>
      <c r="G5477" s="1"/>
      <c r="H5477" s="1"/>
      <c r="I5477" s="2"/>
      <c r="J5477" s="1"/>
      <c r="K5477" s="1"/>
      <c r="L5477" s="1"/>
      <c r="M5477" s="1"/>
      <c r="N5477" s="1"/>
      <c r="O5477" s="1"/>
      <c r="P5477" s="1"/>
      <c r="Q5477" s="1"/>
      <c r="R5477" s="1"/>
      <c r="S5477" s="1"/>
      <c r="T5477" s="1"/>
      <c r="U5477" s="1"/>
      <c r="V5477" s="1"/>
      <c r="W5477" s="1"/>
      <c r="X5477" s="1"/>
    </row>
    <row x14ac:dyDescent="0.25" r="5478" customHeight="1" ht="18.75">
      <c r="A5478" s="1"/>
      <c r="B5478" s="1"/>
      <c r="C5478" s="1"/>
      <c r="D5478" s="1"/>
      <c r="E5478" s="1"/>
      <c r="F5478" s="1"/>
      <c r="G5478" s="1"/>
      <c r="H5478" s="1"/>
      <c r="I5478" s="2"/>
      <c r="J5478" s="1"/>
      <c r="K5478" s="1"/>
      <c r="L5478" s="1"/>
      <c r="M5478" s="1"/>
      <c r="N5478" s="1"/>
      <c r="O5478" s="1"/>
      <c r="P5478" s="1"/>
      <c r="Q5478" s="1"/>
      <c r="R5478" s="1"/>
      <c r="S5478" s="1"/>
      <c r="T5478" s="1"/>
      <c r="U5478" s="1"/>
      <c r="V5478" s="1"/>
      <c r="W5478" s="1"/>
      <c r="X5478" s="1"/>
    </row>
    <row x14ac:dyDescent="0.25" r="5479" customHeight="1" ht="18.75">
      <c r="A5479" s="1"/>
      <c r="B5479" s="1"/>
      <c r="C5479" s="1"/>
      <c r="D5479" s="1"/>
      <c r="E5479" s="1"/>
      <c r="F5479" s="1"/>
      <c r="G5479" s="1"/>
      <c r="H5479" s="1"/>
      <c r="I5479" s="2"/>
      <c r="J5479" s="1"/>
      <c r="K5479" s="1"/>
      <c r="L5479" s="1"/>
      <c r="M5479" s="1"/>
      <c r="N5479" s="1"/>
      <c r="O5479" s="1"/>
      <c r="P5479" s="1"/>
      <c r="Q5479" s="1"/>
      <c r="R5479" s="1"/>
      <c r="S5479" s="1"/>
      <c r="T5479" s="1"/>
      <c r="U5479" s="1"/>
      <c r="V5479" s="1"/>
      <c r="W5479" s="1"/>
      <c r="X5479" s="1"/>
    </row>
    <row x14ac:dyDescent="0.25" r="5480" customHeight="1" ht="18.75">
      <c r="A5480" s="1"/>
      <c r="B5480" s="1"/>
      <c r="C5480" s="1"/>
      <c r="D5480" s="1"/>
      <c r="E5480" s="1"/>
      <c r="F5480" s="1"/>
      <c r="G5480" s="1"/>
      <c r="H5480" s="1"/>
      <c r="I5480" s="2"/>
      <c r="J5480" s="1"/>
      <c r="K5480" s="1"/>
      <c r="L5480" s="1"/>
      <c r="M5480" s="1"/>
      <c r="N5480" s="1"/>
      <c r="O5480" s="1"/>
      <c r="P5480" s="1"/>
      <c r="Q5480" s="1"/>
      <c r="R5480" s="1"/>
      <c r="S5480" s="1"/>
      <c r="T5480" s="1"/>
      <c r="U5480" s="1"/>
      <c r="V5480" s="1"/>
      <c r="W5480" s="1"/>
      <c r="X5480" s="1"/>
    </row>
    <row x14ac:dyDescent="0.25" r="5481" customHeight="1" ht="18.75">
      <c r="A5481" s="1"/>
      <c r="B5481" s="1"/>
      <c r="C5481" s="1"/>
      <c r="D5481" s="1"/>
      <c r="E5481" s="1"/>
      <c r="F5481" s="1"/>
      <c r="G5481" s="1"/>
      <c r="H5481" s="1"/>
      <c r="I5481" s="2"/>
      <c r="J5481" s="1"/>
      <c r="K5481" s="1"/>
      <c r="L5481" s="1"/>
      <c r="M5481" s="1"/>
      <c r="N5481" s="1"/>
      <c r="O5481" s="1"/>
      <c r="P5481" s="1"/>
      <c r="Q5481" s="1"/>
      <c r="R5481" s="1"/>
      <c r="S5481" s="1"/>
      <c r="T5481" s="1"/>
      <c r="U5481" s="1"/>
      <c r="V5481" s="1"/>
      <c r="W5481" s="1"/>
      <c r="X5481" s="1"/>
    </row>
    <row x14ac:dyDescent="0.25" r="5482" customHeight="1" ht="18.75">
      <c r="A5482" s="1"/>
      <c r="B5482" s="1"/>
      <c r="C5482" s="1"/>
      <c r="D5482" s="1"/>
      <c r="E5482" s="1"/>
      <c r="F5482" s="1"/>
      <c r="G5482" s="1"/>
      <c r="H5482" s="1"/>
      <c r="I5482" s="2"/>
      <c r="J5482" s="1"/>
      <c r="K5482" s="1"/>
      <c r="L5482" s="1"/>
      <c r="M5482" s="1"/>
      <c r="N5482" s="1"/>
      <c r="O5482" s="1"/>
      <c r="P5482" s="1"/>
      <c r="Q5482" s="1"/>
      <c r="R5482" s="1"/>
      <c r="S5482" s="1"/>
      <c r="T5482" s="1"/>
      <c r="U5482" s="1"/>
      <c r="V5482" s="1"/>
      <c r="W5482" s="1"/>
      <c r="X5482" s="1"/>
    </row>
    <row x14ac:dyDescent="0.25" r="5483" customHeight="1" ht="18.75">
      <c r="A5483" s="1"/>
      <c r="B5483" s="1"/>
      <c r="C5483" s="1"/>
      <c r="D5483" s="1"/>
      <c r="E5483" s="1"/>
      <c r="F5483" s="1"/>
      <c r="G5483" s="1"/>
      <c r="H5483" s="1"/>
      <c r="I5483" s="2"/>
      <c r="J5483" s="1"/>
      <c r="K5483" s="1"/>
      <c r="L5483" s="1"/>
      <c r="M5483" s="1"/>
      <c r="N5483" s="1"/>
      <c r="O5483" s="1"/>
      <c r="P5483" s="1"/>
      <c r="Q5483" s="1"/>
      <c r="R5483" s="1"/>
      <c r="S5483" s="1"/>
      <c r="T5483" s="1"/>
      <c r="U5483" s="1"/>
      <c r="V5483" s="1"/>
      <c r="W5483" s="1"/>
      <c r="X5483" s="1"/>
    </row>
    <row x14ac:dyDescent="0.25" r="5484" customHeight="1" ht="18.75">
      <c r="A5484" s="1"/>
      <c r="B5484" s="1"/>
      <c r="C5484" s="1"/>
      <c r="D5484" s="1"/>
      <c r="E5484" s="1"/>
      <c r="F5484" s="1"/>
      <c r="G5484" s="1"/>
      <c r="H5484" s="1"/>
      <c r="I5484" s="2"/>
      <c r="J5484" s="1"/>
      <c r="K5484" s="1"/>
      <c r="L5484" s="1"/>
      <c r="M5484" s="1"/>
      <c r="N5484" s="1"/>
      <c r="O5484" s="1"/>
      <c r="P5484" s="1"/>
      <c r="Q5484" s="1"/>
      <c r="R5484" s="1"/>
      <c r="S5484" s="1"/>
      <c r="T5484" s="1"/>
      <c r="U5484" s="1"/>
      <c r="V5484" s="1"/>
      <c r="W5484" s="1"/>
      <c r="X5484" s="1"/>
    </row>
    <row x14ac:dyDescent="0.25" r="5485" customHeight="1" ht="18.75">
      <c r="A5485" s="1"/>
      <c r="B5485" s="1"/>
      <c r="C5485" s="1"/>
      <c r="D5485" s="1"/>
      <c r="E5485" s="1"/>
      <c r="F5485" s="1"/>
      <c r="G5485" s="1"/>
      <c r="H5485" s="1"/>
      <c r="I5485" s="2"/>
      <c r="J5485" s="1"/>
      <c r="K5485" s="1"/>
      <c r="L5485" s="1"/>
      <c r="M5485" s="1"/>
      <c r="N5485" s="1"/>
      <c r="O5485" s="1"/>
      <c r="P5485" s="1"/>
      <c r="Q5485" s="1"/>
      <c r="R5485" s="1"/>
      <c r="S5485" s="1"/>
      <c r="T5485" s="1"/>
      <c r="U5485" s="1"/>
      <c r="V5485" s="1"/>
      <c r="W5485" s="1"/>
      <c r="X5485" s="1"/>
    </row>
    <row x14ac:dyDescent="0.25" r="5486" customHeight="1" ht="18.75">
      <c r="A5486" s="1"/>
      <c r="B5486" s="1"/>
      <c r="C5486" s="1"/>
      <c r="D5486" s="1"/>
      <c r="E5486" s="1"/>
      <c r="F5486" s="1"/>
      <c r="G5486" s="1"/>
      <c r="H5486" s="1"/>
      <c r="I5486" s="2"/>
      <c r="J5486" s="1"/>
      <c r="K5486" s="1"/>
      <c r="L5486" s="1"/>
      <c r="M5486" s="1"/>
      <c r="N5486" s="1"/>
      <c r="O5486" s="1"/>
      <c r="P5486" s="1"/>
      <c r="Q5486" s="1"/>
      <c r="R5486" s="1"/>
      <c r="S5486" s="1"/>
      <c r="T5486" s="1"/>
      <c r="U5486" s="1"/>
      <c r="V5486" s="1"/>
      <c r="W5486" s="1"/>
      <c r="X5486" s="1"/>
    </row>
    <row x14ac:dyDescent="0.25" r="5487" customHeight="1" ht="18.75">
      <c r="A5487" s="1"/>
      <c r="B5487" s="1"/>
      <c r="C5487" s="1"/>
      <c r="D5487" s="1"/>
      <c r="E5487" s="1"/>
      <c r="F5487" s="1"/>
      <c r="G5487" s="1"/>
      <c r="H5487" s="1"/>
      <c r="I5487" s="2"/>
      <c r="J5487" s="1"/>
      <c r="K5487" s="1"/>
      <c r="L5487" s="1"/>
      <c r="M5487" s="1"/>
      <c r="N5487" s="1"/>
      <c r="O5487" s="1"/>
      <c r="P5487" s="1"/>
      <c r="Q5487" s="1"/>
      <c r="R5487" s="1"/>
      <c r="S5487" s="1"/>
      <c r="T5487" s="1"/>
      <c r="U5487" s="1"/>
      <c r="V5487" s="1"/>
      <c r="W5487" s="1"/>
      <c r="X5487" s="1"/>
    </row>
    <row x14ac:dyDescent="0.25" r="5488" customHeight="1" ht="18.75">
      <c r="A5488" s="1"/>
      <c r="B5488" s="1"/>
      <c r="C5488" s="1"/>
      <c r="D5488" s="1"/>
      <c r="E5488" s="1"/>
      <c r="F5488" s="1"/>
      <c r="G5488" s="1"/>
      <c r="H5488" s="1"/>
      <c r="I5488" s="2"/>
      <c r="J5488" s="1"/>
      <c r="K5488" s="1"/>
      <c r="L5488" s="1"/>
      <c r="M5488" s="1"/>
      <c r="N5488" s="1"/>
      <c r="O5488" s="1"/>
      <c r="P5488" s="1"/>
      <c r="Q5488" s="1"/>
      <c r="R5488" s="1"/>
      <c r="S5488" s="1"/>
      <c r="T5488" s="1"/>
      <c r="U5488" s="1"/>
      <c r="V5488" s="1"/>
      <c r="W5488" s="1"/>
      <c r="X5488" s="1"/>
    </row>
    <row x14ac:dyDescent="0.25" r="5489" customHeight="1" ht="18.75">
      <c r="A5489" s="1"/>
      <c r="B5489" s="1"/>
      <c r="C5489" s="1"/>
      <c r="D5489" s="1"/>
      <c r="E5489" s="1"/>
      <c r="F5489" s="1"/>
      <c r="G5489" s="1"/>
      <c r="H5489" s="1"/>
      <c r="I5489" s="2"/>
      <c r="J5489" s="1"/>
      <c r="K5489" s="1"/>
      <c r="L5489" s="1"/>
      <c r="M5489" s="1"/>
      <c r="N5489" s="1"/>
      <c r="O5489" s="1"/>
      <c r="P5489" s="1"/>
      <c r="Q5489" s="1"/>
      <c r="R5489" s="1"/>
      <c r="S5489" s="1"/>
      <c r="T5489" s="1"/>
      <c r="U5489" s="1"/>
      <c r="V5489" s="1"/>
      <c r="W5489" s="1"/>
      <c r="X5489" s="1"/>
    </row>
    <row x14ac:dyDescent="0.25" r="5490" customHeight="1" ht="18.75">
      <c r="A5490" s="1"/>
      <c r="B5490" s="1"/>
      <c r="C5490" s="1"/>
      <c r="D5490" s="1"/>
      <c r="E5490" s="1"/>
      <c r="F5490" s="1"/>
      <c r="G5490" s="1"/>
      <c r="H5490" s="1"/>
      <c r="I5490" s="2"/>
      <c r="J5490" s="1"/>
      <c r="K5490" s="1"/>
      <c r="L5490" s="1"/>
      <c r="M5490" s="1"/>
      <c r="N5490" s="1"/>
      <c r="O5490" s="1"/>
      <c r="P5490" s="1"/>
      <c r="Q5490" s="1"/>
      <c r="R5490" s="1"/>
      <c r="S5490" s="1"/>
      <c r="T5490" s="1"/>
      <c r="U5490" s="1"/>
      <c r="V5490" s="1"/>
      <c r="W5490" s="1"/>
      <c r="X5490" s="1"/>
    </row>
    <row x14ac:dyDescent="0.25" r="5491" customHeight="1" ht="18.75">
      <c r="A5491" s="1"/>
      <c r="B5491" s="1"/>
      <c r="C5491" s="1"/>
      <c r="D5491" s="1"/>
      <c r="E5491" s="1"/>
      <c r="F5491" s="1"/>
      <c r="G5491" s="1"/>
      <c r="H5491" s="1"/>
      <c r="I5491" s="2"/>
      <c r="J5491" s="1"/>
      <c r="K5491" s="1"/>
      <c r="L5491" s="1"/>
      <c r="M5491" s="1"/>
      <c r="N5491" s="1"/>
      <c r="O5491" s="1"/>
      <c r="P5491" s="1"/>
      <c r="Q5491" s="1"/>
      <c r="R5491" s="1"/>
      <c r="S5491" s="1"/>
      <c r="T5491" s="1"/>
      <c r="U5491" s="1"/>
      <c r="V5491" s="1"/>
      <c r="W5491" s="1"/>
      <c r="X5491" s="1"/>
    </row>
    <row x14ac:dyDescent="0.25" r="5492" customHeight="1" ht="18.75">
      <c r="A5492" s="1"/>
      <c r="B5492" s="1"/>
      <c r="C5492" s="1"/>
      <c r="D5492" s="1"/>
      <c r="E5492" s="1"/>
      <c r="F5492" s="1"/>
      <c r="G5492" s="1"/>
      <c r="H5492" s="1"/>
      <c r="I5492" s="2"/>
      <c r="J5492" s="1"/>
      <c r="K5492" s="1"/>
      <c r="L5492" s="1"/>
      <c r="M5492" s="1"/>
      <c r="N5492" s="1"/>
      <c r="O5492" s="1"/>
      <c r="P5492" s="1"/>
      <c r="Q5492" s="1"/>
      <c r="R5492" s="1"/>
      <c r="S5492" s="1"/>
      <c r="T5492" s="1"/>
      <c r="U5492" s="1"/>
      <c r="V5492" s="1"/>
      <c r="W5492" s="1"/>
      <c r="X5492" s="1"/>
    </row>
    <row x14ac:dyDescent="0.25" r="5493" customHeight="1" ht="18.75">
      <c r="A5493" s="1"/>
      <c r="B5493" s="1"/>
      <c r="C5493" s="1"/>
      <c r="D5493" s="1"/>
      <c r="E5493" s="1"/>
      <c r="F5493" s="1"/>
      <c r="G5493" s="1"/>
      <c r="H5493" s="1"/>
      <c r="I5493" s="2"/>
      <c r="J5493" s="1"/>
      <c r="K5493" s="1"/>
      <c r="L5493" s="1"/>
      <c r="M5493" s="1"/>
      <c r="N5493" s="1"/>
      <c r="O5493" s="1"/>
      <c r="P5493" s="1"/>
      <c r="Q5493" s="1"/>
      <c r="R5493" s="1"/>
      <c r="S5493" s="1"/>
      <c r="T5493" s="1"/>
      <c r="U5493" s="1"/>
      <c r="V5493" s="1"/>
      <c r="W5493" s="1"/>
      <c r="X5493" s="1"/>
    </row>
    <row x14ac:dyDescent="0.25" r="5494" customHeight="1" ht="18.75">
      <c r="A5494" s="1"/>
      <c r="B5494" s="1"/>
      <c r="C5494" s="1"/>
      <c r="D5494" s="1"/>
      <c r="E5494" s="1"/>
      <c r="F5494" s="1"/>
      <c r="G5494" s="1"/>
      <c r="H5494" s="1"/>
      <c r="I5494" s="2"/>
      <c r="J5494" s="1"/>
      <c r="K5494" s="1"/>
      <c r="L5494" s="1"/>
      <c r="M5494" s="1"/>
      <c r="N5494" s="1"/>
      <c r="O5494" s="1"/>
      <c r="P5494" s="1"/>
      <c r="Q5494" s="1"/>
      <c r="R5494" s="1"/>
      <c r="S5494" s="1"/>
      <c r="T5494" s="1"/>
      <c r="U5494" s="1"/>
      <c r="V5494" s="1"/>
      <c r="W5494" s="1"/>
      <c r="X5494" s="1"/>
    </row>
    <row x14ac:dyDescent="0.25" r="5495" customHeight="1" ht="18.75">
      <c r="A5495" s="1"/>
      <c r="B5495" s="1"/>
      <c r="C5495" s="1"/>
      <c r="D5495" s="1"/>
      <c r="E5495" s="1"/>
      <c r="F5495" s="1"/>
      <c r="G5495" s="1"/>
      <c r="H5495" s="1"/>
      <c r="I5495" s="2"/>
      <c r="J5495" s="1"/>
      <c r="K5495" s="1"/>
      <c r="L5495" s="1"/>
      <c r="M5495" s="1"/>
      <c r="N5495" s="1"/>
      <c r="O5495" s="1"/>
      <c r="P5495" s="1"/>
      <c r="Q5495" s="1"/>
      <c r="R5495" s="1"/>
      <c r="S5495" s="1"/>
      <c r="T5495" s="1"/>
      <c r="U5495" s="1"/>
      <c r="V5495" s="1"/>
      <c r="W5495" s="1"/>
      <c r="X5495" s="1"/>
    </row>
    <row x14ac:dyDescent="0.25" r="5496" customHeight="1" ht="18.75">
      <c r="A5496" s="1"/>
      <c r="B5496" s="1"/>
      <c r="C5496" s="1"/>
      <c r="D5496" s="1"/>
      <c r="E5496" s="1"/>
      <c r="F5496" s="1"/>
      <c r="G5496" s="1"/>
      <c r="H5496" s="1"/>
      <c r="I5496" s="2"/>
      <c r="J5496" s="1"/>
      <c r="K5496" s="1"/>
      <c r="L5496" s="1"/>
      <c r="M5496" s="1"/>
      <c r="N5496" s="1"/>
      <c r="O5496" s="1"/>
      <c r="P5496" s="1"/>
      <c r="Q5496" s="1"/>
      <c r="R5496" s="1"/>
      <c r="S5496" s="1"/>
      <c r="T5496" s="1"/>
      <c r="U5496" s="1"/>
      <c r="V5496" s="1"/>
      <c r="W5496" s="1"/>
      <c r="X5496" s="1"/>
    </row>
    <row x14ac:dyDescent="0.25" r="5497" customHeight="1" ht="18.75">
      <c r="A5497" s="1"/>
      <c r="B5497" s="1"/>
      <c r="C5497" s="1"/>
      <c r="D5497" s="1"/>
      <c r="E5497" s="1"/>
      <c r="F5497" s="1"/>
      <c r="G5497" s="1"/>
      <c r="H5497" s="1"/>
      <c r="I5497" s="2"/>
      <c r="J5497" s="1"/>
      <c r="K5497" s="1"/>
      <c r="L5497" s="1"/>
      <c r="M5497" s="1"/>
      <c r="N5497" s="1"/>
      <c r="O5497" s="1"/>
      <c r="P5497" s="1"/>
      <c r="Q5497" s="1"/>
      <c r="R5497" s="1"/>
      <c r="S5497" s="1"/>
      <c r="T5497" s="1"/>
      <c r="U5497" s="1"/>
      <c r="V5497" s="1"/>
      <c r="W5497" s="1"/>
      <c r="X5497" s="1"/>
    </row>
    <row x14ac:dyDescent="0.25" r="5498" customHeight="1" ht="18.75">
      <c r="A5498" s="1"/>
      <c r="B5498" s="1"/>
      <c r="C5498" s="1"/>
      <c r="D5498" s="1"/>
      <c r="E5498" s="1"/>
      <c r="F5498" s="1"/>
      <c r="G5498" s="1"/>
      <c r="H5498" s="1"/>
      <c r="I5498" s="2"/>
      <c r="J5498" s="1"/>
      <c r="K5498" s="1"/>
      <c r="L5498" s="1"/>
      <c r="M5498" s="1"/>
      <c r="N5498" s="1"/>
      <c r="O5498" s="1"/>
      <c r="P5498" s="1"/>
      <c r="Q5498" s="1"/>
      <c r="R5498" s="1"/>
      <c r="S5498" s="1"/>
      <c r="T5498" s="1"/>
      <c r="U5498" s="1"/>
      <c r="V5498" s="1"/>
      <c r="W5498" s="1"/>
      <c r="X5498" s="1"/>
    </row>
    <row x14ac:dyDescent="0.25" r="5499" customHeight="1" ht="18.75">
      <c r="A5499" s="1"/>
      <c r="B5499" s="1"/>
      <c r="C5499" s="1"/>
      <c r="D5499" s="1"/>
      <c r="E5499" s="1"/>
      <c r="F5499" s="1"/>
      <c r="G5499" s="1"/>
      <c r="H5499" s="1"/>
      <c r="I5499" s="2"/>
      <c r="J5499" s="1"/>
      <c r="K5499" s="1"/>
      <c r="L5499" s="1"/>
      <c r="M5499" s="1"/>
      <c r="N5499" s="1"/>
      <c r="O5499" s="1"/>
      <c r="P5499" s="1"/>
      <c r="Q5499" s="1"/>
      <c r="R5499" s="1"/>
      <c r="S5499" s="1"/>
      <c r="T5499" s="1"/>
      <c r="U5499" s="1"/>
      <c r="V5499" s="1"/>
      <c r="W5499" s="1"/>
      <c r="X5499" s="1"/>
    </row>
    <row x14ac:dyDescent="0.25" r="5500" customHeight="1" ht="18.75">
      <c r="A5500" s="1"/>
      <c r="B5500" s="1"/>
      <c r="C5500" s="1"/>
      <c r="D5500" s="1"/>
      <c r="E5500" s="1"/>
      <c r="F5500" s="1"/>
      <c r="G5500" s="1"/>
      <c r="H5500" s="1"/>
      <c r="I5500" s="2"/>
      <c r="J5500" s="1"/>
      <c r="K5500" s="1"/>
      <c r="L5500" s="1"/>
      <c r="M5500" s="1"/>
      <c r="N5500" s="1"/>
      <c r="O5500" s="1"/>
      <c r="P5500" s="1"/>
      <c r="Q5500" s="1"/>
      <c r="R5500" s="1"/>
      <c r="S5500" s="1"/>
      <c r="T5500" s="1"/>
      <c r="U5500" s="1"/>
      <c r="V5500" s="1"/>
      <c r="W5500" s="1"/>
      <c r="X5500" s="1"/>
    </row>
    <row x14ac:dyDescent="0.25" r="5501" customHeight="1" ht="18.75">
      <c r="A5501" s="1"/>
      <c r="B5501" s="1"/>
      <c r="C5501" s="1"/>
      <c r="D5501" s="1"/>
      <c r="E5501" s="1"/>
      <c r="F5501" s="1"/>
      <c r="G5501" s="1"/>
      <c r="H5501" s="1"/>
      <c r="I5501" s="2"/>
      <c r="J5501" s="1"/>
      <c r="K5501" s="1"/>
      <c r="L5501" s="1"/>
      <c r="M5501" s="1"/>
      <c r="N5501" s="1"/>
      <c r="O5501" s="1"/>
      <c r="P5501" s="1"/>
      <c r="Q5501" s="1"/>
      <c r="R5501" s="1"/>
      <c r="S5501" s="1"/>
      <c r="T5501" s="1"/>
      <c r="U5501" s="1"/>
      <c r="V5501" s="1"/>
      <c r="W5501" s="1"/>
      <c r="X5501" s="1"/>
    </row>
    <row x14ac:dyDescent="0.25" r="5502" customHeight="1" ht="18.75">
      <c r="A5502" s="1"/>
      <c r="B5502" s="1"/>
      <c r="C5502" s="1"/>
      <c r="D5502" s="1"/>
      <c r="E5502" s="1"/>
      <c r="F5502" s="1"/>
      <c r="G5502" s="1"/>
      <c r="H5502" s="1"/>
      <c r="I5502" s="2"/>
      <c r="J5502" s="1"/>
      <c r="K5502" s="1"/>
      <c r="L5502" s="1"/>
      <c r="M5502" s="1"/>
      <c r="N5502" s="1"/>
      <c r="O5502" s="1"/>
      <c r="P5502" s="1"/>
      <c r="Q5502" s="1"/>
      <c r="R5502" s="1"/>
      <c r="S5502" s="1"/>
      <c r="T5502" s="1"/>
      <c r="U5502" s="1"/>
      <c r="V5502" s="1"/>
      <c r="W5502" s="1"/>
      <c r="X5502" s="1"/>
    </row>
    <row x14ac:dyDescent="0.25" r="5503" customHeight="1" ht="18.75">
      <c r="A5503" s="1"/>
      <c r="B5503" s="1"/>
      <c r="C5503" s="1"/>
      <c r="D5503" s="1"/>
      <c r="E5503" s="1"/>
      <c r="F5503" s="1"/>
      <c r="G5503" s="1"/>
      <c r="H5503" s="1"/>
      <c r="I5503" s="2"/>
      <c r="J5503" s="1"/>
      <c r="K5503" s="1"/>
      <c r="L5503" s="1"/>
      <c r="M5503" s="1"/>
      <c r="N5503" s="1"/>
      <c r="O5503" s="1"/>
      <c r="P5503" s="1"/>
      <c r="Q5503" s="1"/>
      <c r="R5503" s="1"/>
      <c r="S5503" s="1"/>
      <c r="T5503" s="1"/>
      <c r="U5503" s="1"/>
      <c r="V5503" s="1"/>
      <c r="W5503" s="1"/>
      <c r="X5503" s="1"/>
    </row>
    <row x14ac:dyDescent="0.25" r="5504" customHeight="1" ht="18.75">
      <c r="A5504" s="1"/>
      <c r="B5504" s="1"/>
      <c r="C5504" s="1"/>
      <c r="D5504" s="1"/>
      <c r="E5504" s="1"/>
      <c r="F5504" s="1"/>
      <c r="G5504" s="1"/>
      <c r="H5504" s="1"/>
      <c r="I5504" s="2"/>
      <c r="J5504" s="1"/>
      <c r="K5504" s="1"/>
      <c r="L5504" s="1"/>
      <c r="M5504" s="1"/>
      <c r="N5504" s="1"/>
      <c r="O5504" s="1"/>
      <c r="P5504" s="1"/>
      <c r="Q5504" s="1"/>
      <c r="R5504" s="1"/>
      <c r="S5504" s="1"/>
      <c r="T5504" s="1"/>
      <c r="U5504" s="1"/>
      <c r="V5504" s="1"/>
      <c r="W5504" s="1"/>
      <c r="X5504" s="1"/>
    </row>
    <row x14ac:dyDescent="0.25" r="5505" customHeight="1" ht="18.75">
      <c r="A5505" s="1"/>
      <c r="B5505" s="1"/>
      <c r="C5505" s="1"/>
      <c r="D5505" s="1"/>
      <c r="E5505" s="1"/>
      <c r="F5505" s="1"/>
      <c r="G5505" s="1"/>
      <c r="H5505" s="1"/>
      <c r="I5505" s="2"/>
      <c r="J5505" s="1"/>
      <c r="K5505" s="1"/>
      <c r="L5505" s="1"/>
      <c r="M5505" s="1"/>
      <c r="N5505" s="1"/>
      <c r="O5505" s="1"/>
      <c r="P5505" s="1"/>
      <c r="Q5505" s="1"/>
      <c r="R5505" s="1"/>
      <c r="S5505" s="1"/>
      <c r="T5505" s="1"/>
      <c r="U5505" s="1"/>
      <c r="V5505" s="1"/>
      <c r="W5505" s="1"/>
      <c r="X5505" s="1"/>
    </row>
    <row x14ac:dyDescent="0.25" r="5506" customHeight="1" ht="18.75">
      <c r="A5506" s="1"/>
      <c r="B5506" s="1"/>
      <c r="C5506" s="1"/>
      <c r="D5506" s="1"/>
      <c r="E5506" s="1"/>
      <c r="F5506" s="1"/>
      <c r="G5506" s="1"/>
      <c r="H5506" s="1"/>
      <c r="I5506" s="2"/>
      <c r="J5506" s="1"/>
      <c r="K5506" s="1"/>
      <c r="L5506" s="1"/>
      <c r="M5506" s="1"/>
      <c r="N5506" s="1"/>
      <c r="O5506" s="1"/>
      <c r="P5506" s="1"/>
      <c r="Q5506" s="1"/>
      <c r="R5506" s="1"/>
      <c r="S5506" s="1"/>
      <c r="T5506" s="1"/>
      <c r="U5506" s="1"/>
      <c r="V5506" s="1"/>
      <c r="W5506" s="1"/>
      <c r="X5506" s="1"/>
    </row>
    <row x14ac:dyDescent="0.25" r="5507" customHeight="1" ht="18.75">
      <c r="A5507" s="1"/>
      <c r="B5507" s="1"/>
      <c r="C5507" s="1"/>
      <c r="D5507" s="1"/>
      <c r="E5507" s="1"/>
      <c r="F5507" s="1"/>
      <c r="G5507" s="1"/>
      <c r="H5507" s="1"/>
      <c r="I5507" s="2"/>
      <c r="J5507" s="1"/>
      <c r="K5507" s="1"/>
      <c r="L5507" s="1"/>
      <c r="M5507" s="1"/>
      <c r="N5507" s="1"/>
      <c r="O5507" s="1"/>
      <c r="P5507" s="1"/>
      <c r="Q5507" s="1"/>
      <c r="R5507" s="1"/>
      <c r="S5507" s="1"/>
      <c r="T5507" s="1"/>
      <c r="U5507" s="1"/>
      <c r="V5507" s="1"/>
      <c r="W5507" s="1"/>
      <c r="X5507" s="1"/>
    </row>
    <row x14ac:dyDescent="0.25" r="5508" customHeight="1" ht="18.75">
      <c r="A5508" s="1"/>
      <c r="B5508" s="1"/>
      <c r="C5508" s="1"/>
      <c r="D5508" s="1"/>
      <c r="E5508" s="1"/>
      <c r="F5508" s="1"/>
      <c r="G5508" s="1"/>
      <c r="H5508" s="1"/>
      <c r="I5508" s="2"/>
      <c r="J5508" s="1"/>
      <c r="K5508" s="1"/>
      <c r="L5508" s="1"/>
      <c r="M5508" s="1"/>
      <c r="N5508" s="1"/>
      <c r="O5508" s="1"/>
      <c r="P5508" s="1"/>
      <c r="Q5508" s="1"/>
      <c r="R5508" s="1"/>
      <c r="S5508" s="1"/>
      <c r="T5508" s="1"/>
      <c r="U5508" s="1"/>
      <c r="V5508" s="1"/>
      <c r="W5508" s="1"/>
      <c r="X5508" s="1"/>
    </row>
    <row x14ac:dyDescent="0.25" r="5509" customHeight="1" ht="18.75">
      <c r="A5509" s="1"/>
      <c r="B5509" s="1"/>
      <c r="C5509" s="1"/>
      <c r="D5509" s="1"/>
      <c r="E5509" s="1"/>
      <c r="F5509" s="1"/>
      <c r="G5509" s="1"/>
      <c r="H5509" s="1"/>
      <c r="I5509" s="2"/>
      <c r="J5509" s="1"/>
      <c r="K5509" s="1"/>
      <c r="L5509" s="1"/>
      <c r="M5509" s="1"/>
      <c r="N5509" s="1"/>
      <c r="O5509" s="1"/>
      <c r="P5509" s="1"/>
      <c r="Q5509" s="1"/>
      <c r="R5509" s="1"/>
      <c r="S5509" s="1"/>
      <c r="T5509" s="1"/>
      <c r="U5509" s="1"/>
      <c r="V5509" s="1"/>
      <c r="W5509" s="1"/>
      <c r="X5509" s="1"/>
    </row>
    <row x14ac:dyDescent="0.25" r="5510" customHeight="1" ht="18.75">
      <c r="A5510" s="1"/>
      <c r="B5510" s="1"/>
      <c r="C5510" s="1"/>
      <c r="D5510" s="1"/>
      <c r="E5510" s="1"/>
      <c r="F5510" s="1"/>
      <c r="G5510" s="1"/>
      <c r="H5510" s="1"/>
      <c r="I5510" s="2"/>
      <c r="J5510" s="1"/>
      <c r="K5510" s="1"/>
      <c r="L5510" s="1"/>
      <c r="M5510" s="1"/>
      <c r="N5510" s="1"/>
      <c r="O5510" s="1"/>
      <c r="P5510" s="1"/>
      <c r="Q5510" s="1"/>
      <c r="R5510" s="1"/>
      <c r="S5510" s="1"/>
      <c r="T5510" s="1"/>
      <c r="U5510" s="1"/>
      <c r="V5510" s="1"/>
      <c r="W5510" s="1"/>
      <c r="X5510" s="1"/>
    </row>
    <row x14ac:dyDescent="0.25" r="5511" customHeight="1" ht="18.75">
      <c r="A5511" s="1"/>
      <c r="B5511" s="1"/>
      <c r="C5511" s="1"/>
      <c r="D5511" s="1"/>
      <c r="E5511" s="1"/>
      <c r="F5511" s="1"/>
      <c r="G5511" s="1"/>
      <c r="H5511" s="1"/>
      <c r="I5511" s="2"/>
      <c r="J5511" s="1"/>
      <c r="K5511" s="1"/>
      <c r="L5511" s="1"/>
      <c r="M5511" s="1"/>
      <c r="N5511" s="1"/>
      <c r="O5511" s="1"/>
      <c r="P5511" s="1"/>
      <c r="Q5511" s="1"/>
      <c r="R5511" s="1"/>
      <c r="S5511" s="1"/>
      <c r="T5511" s="1"/>
      <c r="U5511" s="1"/>
      <c r="V5511" s="1"/>
      <c r="W5511" s="1"/>
      <c r="X5511" s="1"/>
    </row>
    <row x14ac:dyDescent="0.25" r="5512" customHeight="1" ht="18.75">
      <c r="A5512" s="1"/>
      <c r="B5512" s="1"/>
      <c r="C5512" s="1"/>
      <c r="D5512" s="1"/>
      <c r="E5512" s="1"/>
      <c r="F5512" s="1"/>
      <c r="G5512" s="1"/>
      <c r="H5512" s="1"/>
      <c r="I5512" s="2"/>
      <c r="J5512" s="1"/>
      <c r="K5512" s="1"/>
      <c r="L5512" s="1"/>
      <c r="M5512" s="1"/>
      <c r="N5512" s="1"/>
      <c r="O5512" s="1"/>
      <c r="P5512" s="1"/>
      <c r="Q5512" s="1"/>
      <c r="R5512" s="1"/>
      <c r="S5512" s="1"/>
      <c r="T5512" s="1"/>
      <c r="U5512" s="1"/>
      <c r="V5512" s="1"/>
      <c r="W5512" s="1"/>
      <c r="X5512" s="1"/>
    </row>
    <row x14ac:dyDescent="0.25" r="5513" customHeight="1" ht="18.75">
      <c r="A5513" s="1"/>
      <c r="B5513" s="1"/>
      <c r="C5513" s="1"/>
      <c r="D5513" s="1"/>
      <c r="E5513" s="1"/>
      <c r="F5513" s="1"/>
      <c r="G5513" s="1"/>
      <c r="H5513" s="1"/>
      <c r="I5513" s="2"/>
      <c r="J5513" s="1"/>
      <c r="K5513" s="1"/>
      <c r="L5513" s="1"/>
      <c r="M5513" s="1"/>
      <c r="N5513" s="1"/>
      <c r="O5513" s="1"/>
      <c r="P5513" s="1"/>
      <c r="Q5513" s="1"/>
      <c r="R5513" s="1"/>
      <c r="S5513" s="1"/>
      <c r="T5513" s="1"/>
      <c r="U5513" s="1"/>
      <c r="V5513" s="1"/>
      <c r="W5513" s="1"/>
      <c r="X5513" s="1"/>
    </row>
    <row x14ac:dyDescent="0.25" r="5514" customHeight="1" ht="18.75">
      <c r="A5514" s="1"/>
      <c r="B5514" s="1"/>
      <c r="C5514" s="1"/>
      <c r="D5514" s="1"/>
      <c r="E5514" s="1"/>
      <c r="F5514" s="1"/>
      <c r="G5514" s="1"/>
      <c r="H5514" s="1"/>
      <c r="I5514" s="2"/>
      <c r="J5514" s="1"/>
      <c r="K5514" s="1"/>
      <c r="L5514" s="1"/>
      <c r="M5514" s="1"/>
      <c r="N5514" s="1"/>
      <c r="O5514" s="1"/>
      <c r="P5514" s="1"/>
      <c r="Q5514" s="1"/>
      <c r="R5514" s="1"/>
      <c r="S5514" s="1"/>
      <c r="T5514" s="1"/>
      <c r="U5514" s="1"/>
      <c r="V5514" s="1"/>
      <c r="W5514" s="1"/>
      <c r="X5514" s="1"/>
    </row>
    <row x14ac:dyDescent="0.25" r="5515" customHeight="1" ht="18.75">
      <c r="A5515" s="1"/>
      <c r="B5515" s="1"/>
      <c r="C5515" s="1"/>
      <c r="D5515" s="1"/>
      <c r="E5515" s="1"/>
      <c r="F5515" s="1"/>
      <c r="G5515" s="1"/>
      <c r="H5515" s="1"/>
      <c r="I5515" s="2"/>
      <c r="J5515" s="1"/>
      <c r="K5515" s="1"/>
      <c r="L5515" s="1"/>
      <c r="M5515" s="1"/>
      <c r="N5515" s="1"/>
      <c r="O5515" s="1"/>
      <c r="P5515" s="1"/>
      <c r="Q5515" s="1"/>
      <c r="R5515" s="1"/>
      <c r="S5515" s="1"/>
      <c r="T5515" s="1"/>
      <c r="U5515" s="1"/>
      <c r="V5515" s="1"/>
      <c r="W5515" s="1"/>
      <c r="X5515" s="1"/>
    </row>
    <row x14ac:dyDescent="0.25" r="5516" customHeight="1" ht="18.75">
      <c r="A5516" s="1"/>
      <c r="B5516" s="1"/>
      <c r="C5516" s="1"/>
      <c r="D5516" s="1"/>
      <c r="E5516" s="1"/>
      <c r="F5516" s="1"/>
      <c r="G5516" s="1"/>
      <c r="H5516" s="1"/>
      <c r="I5516" s="2"/>
      <c r="J5516" s="1"/>
      <c r="K5516" s="1"/>
      <c r="L5516" s="1"/>
      <c r="M5516" s="1"/>
      <c r="N5516" s="1"/>
      <c r="O5516" s="1"/>
      <c r="P5516" s="1"/>
      <c r="Q5516" s="1"/>
      <c r="R5516" s="1"/>
      <c r="S5516" s="1"/>
      <c r="T5516" s="1"/>
      <c r="U5516" s="1"/>
      <c r="V5516" s="1"/>
      <c r="W5516" s="1"/>
      <c r="X5516" s="1"/>
    </row>
    <row x14ac:dyDescent="0.25" r="5517" customHeight="1" ht="18.75">
      <c r="A5517" s="1"/>
      <c r="B5517" s="1"/>
      <c r="C5517" s="1"/>
      <c r="D5517" s="1"/>
      <c r="E5517" s="1"/>
      <c r="F5517" s="1"/>
      <c r="G5517" s="1"/>
      <c r="H5517" s="1"/>
      <c r="I5517" s="2"/>
      <c r="J5517" s="1"/>
      <c r="K5517" s="1"/>
      <c r="L5517" s="1"/>
      <c r="M5517" s="1"/>
      <c r="N5517" s="1"/>
      <c r="O5517" s="1"/>
      <c r="P5517" s="1"/>
      <c r="Q5517" s="1"/>
      <c r="R5517" s="1"/>
      <c r="S5517" s="1"/>
      <c r="T5517" s="1"/>
      <c r="U5517" s="1"/>
      <c r="V5517" s="1"/>
      <c r="W5517" s="1"/>
      <c r="X5517" s="1"/>
    </row>
    <row x14ac:dyDescent="0.25" r="5518" customHeight="1" ht="18.75">
      <c r="A5518" s="1"/>
      <c r="B5518" s="1"/>
      <c r="C5518" s="1"/>
      <c r="D5518" s="1"/>
      <c r="E5518" s="1"/>
      <c r="F5518" s="1"/>
      <c r="G5518" s="1"/>
      <c r="H5518" s="1"/>
      <c r="I5518" s="2"/>
      <c r="J5518" s="1"/>
      <c r="K5518" s="1"/>
      <c r="L5518" s="1"/>
      <c r="M5518" s="1"/>
      <c r="N5518" s="1"/>
      <c r="O5518" s="1"/>
      <c r="P5518" s="1"/>
      <c r="Q5518" s="1"/>
      <c r="R5518" s="1"/>
      <c r="S5518" s="1"/>
      <c r="T5518" s="1"/>
      <c r="U5518" s="1"/>
      <c r="V5518" s="1"/>
      <c r="W5518" s="1"/>
      <c r="X5518" s="1"/>
    </row>
    <row x14ac:dyDescent="0.25" r="5519" customHeight="1" ht="18.75">
      <c r="A5519" s="1"/>
      <c r="B5519" s="1"/>
      <c r="C5519" s="1"/>
      <c r="D5519" s="1"/>
      <c r="E5519" s="1"/>
      <c r="F5519" s="1"/>
      <c r="G5519" s="1"/>
      <c r="H5519" s="1"/>
      <c r="I5519" s="2"/>
      <c r="J5519" s="1"/>
      <c r="K5519" s="1"/>
      <c r="L5519" s="1"/>
      <c r="M5519" s="1"/>
      <c r="N5519" s="1"/>
      <c r="O5519" s="1"/>
      <c r="P5519" s="1"/>
      <c r="Q5519" s="1"/>
      <c r="R5519" s="1"/>
      <c r="S5519" s="1"/>
      <c r="T5519" s="1"/>
      <c r="U5519" s="1"/>
      <c r="V5519" s="1"/>
      <c r="W5519" s="1"/>
      <c r="X5519" s="1"/>
    </row>
    <row x14ac:dyDescent="0.25" r="5520" customHeight="1" ht="18.75">
      <c r="A5520" s="1"/>
      <c r="B5520" s="1"/>
      <c r="C5520" s="1"/>
      <c r="D5520" s="1"/>
      <c r="E5520" s="1"/>
      <c r="F5520" s="1"/>
      <c r="G5520" s="1"/>
      <c r="H5520" s="1"/>
      <c r="I5520" s="2"/>
      <c r="J5520" s="1"/>
      <c r="K5520" s="1"/>
      <c r="L5520" s="1"/>
      <c r="M5520" s="1"/>
      <c r="N5520" s="1"/>
      <c r="O5520" s="1"/>
      <c r="P5520" s="1"/>
      <c r="Q5520" s="1"/>
      <c r="R5520" s="1"/>
      <c r="S5520" s="1"/>
      <c r="T5520" s="1"/>
      <c r="U5520" s="1"/>
      <c r="V5520" s="1"/>
      <c r="W5520" s="1"/>
      <c r="X5520" s="1"/>
    </row>
    <row x14ac:dyDescent="0.25" r="5521" customHeight="1" ht="18.75">
      <c r="A5521" s="1"/>
      <c r="B5521" s="1"/>
      <c r="C5521" s="1"/>
      <c r="D5521" s="1"/>
      <c r="E5521" s="1"/>
      <c r="F5521" s="1"/>
      <c r="G5521" s="1"/>
      <c r="H5521" s="1"/>
      <c r="I5521" s="2"/>
      <c r="J5521" s="1"/>
      <c r="K5521" s="1"/>
      <c r="L5521" s="1"/>
      <c r="M5521" s="1"/>
      <c r="N5521" s="1"/>
      <c r="O5521" s="1"/>
      <c r="P5521" s="1"/>
      <c r="Q5521" s="1"/>
      <c r="R5521" s="1"/>
      <c r="S5521" s="1"/>
      <c r="T5521" s="1"/>
      <c r="U5521" s="1"/>
      <c r="V5521" s="1"/>
      <c r="W5521" s="1"/>
      <c r="X5521" s="1"/>
    </row>
    <row x14ac:dyDescent="0.25" r="5522" customHeight="1" ht="18.75">
      <c r="A5522" s="1"/>
      <c r="B5522" s="1"/>
      <c r="C5522" s="1"/>
      <c r="D5522" s="1"/>
      <c r="E5522" s="1"/>
      <c r="F5522" s="1"/>
      <c r="G5522" s="1"/>
      <c r="H5522" s="1"/>
      <c r="I5522" s="2"/>
      <c r="J5522" s="1"/>
      <c r="K5522" s="1"/>
      <c r="L5522" s="1"/>
      <c r="M5522" s="1"/>
      <c r="N5522" s="1"/>
      <c r="O5522" s="1"/>
      <c r="P5522" s="1"/>
      <c r="Q5522" s="1"/>
      <c r="R5522" s="1"/>
      <c r="S5522" s="1"/>
      <c r="T5522" s="1"/>
      <c r="U5522" s="1"/>
      <c r="V5522" s="1"/>
      <c r="W5522" s="1"/>
      <c r="X5522" s="1"/>
    </row>
    <row x14ac:dyDescent="0.25" r="5523" customHeight="1" ht="18.75">
      <c r="A5523" s="1"/>
      <c r="B5523" s="1"/>
      <c r="C5523" s="1"/>
      <c r="D5523" s="1"/>
      <c r="E5523" s="1"/>
      <c r="F5523" s="1"/>
      <c r="G5523" s="1"/>
      <c r="H5523" s="1"/>
      <c r="I5523" s="2"/>
      <c r="J5523" s="1"/>
      <c r="K5523" s="1"/>
      <c r="L5523" s="1"/>
      <c r="M5523" s="1"/>
      <c r="N5523" s="1"/>
      <c r="O5523" s="1"/>
      <c r="P5523" s="1"/>
      <c r="Q5523" s="1"/>
      <c r="R5523" s="1"/>
      <c r="S5523" s="1"/>
      <c r="T5523" s="1"/>
      <c r="U5523" s="1"/>
      <c r="V5523" s="1"/>
      <c r="W5523" s="1"/>
      <c r="X5523" s="1"/>
    </row>
    <row x14ac:dyDescent="0.25" r="5524" customHeight="1" ht="18.75">
      <c r="A5524" s="1"/>
      <c r="B5524" s="1"/>
      <c r="C5524" s="1"/>
      <c r="D5524" s="1"/>
      <c r="E5524" s="1"/>
      <c r="F5524" s="1"/>
      <c r="G5524" s="1"/>
      <c r="H5524" s="1"/>
      <c r="I5524" s="2"/>
      <c r="J5524" s="1"/>
      <c r="K5524" s="1"/>
      <c r="L5524" s="1"/>
      <c r="M5524" s="1"/>
      <c r="N5524" s="1"/>
      <c r="O5524" s="1"/>
      <c r="P5524" s="1"/>
      <c r="Q5524" s="1"/>
      <c r="R5524" s="1"/>
      <c r="S5524" s="1"/>
      <c r="T5524" s="1"/>
      <c r="U5524" s="1"/>
      <c r="V5524" s="1"/>
      <c r="W5524" s="1"/>
      <c r="X5524" s="1"/>
    </row>
    <row x14ac:dyDescent="0.25" r="5525" customHeight="1" ht="18.75">
      <c r="A5525" s="1"/>
      <c r="B5525" s="1"/>
      <c r="C5525" s="1"/>
      <c r="D5525" s="1"/>
      <c r="E5525" s="1"/>
      <c r="F5525" s="1"/>
      <c r="G5525" s="1"/>
      <c r="H5525" s="1"/>
      <c r="I5525" s="2"/>
      <c r="J5525" s="1"/>
      <c r="K5525" s="1"/>
      <c r="L5525" s="1"/>
      <c r="M5525" s="1"/>
      <c r="N5525" s="1"/>
      <c r="O5525" s="1"/>
      <c r="P5525" s="1"/>
      <c r="Q5525" s="1"/>
      <c r="R5525" s="1"/>
      <c r="S5525" s="1"/>
      <c r="T5525" s="1"/>
      <c r="U5525" s="1"/>
      <c r="V5525" s="1"/>
      <c r="W5525" s="1"/>
      <c r="X5525" s="1"/>
    </row>
    <row x14ac:dyDescent="0.25" r="5526" customHeight="1" ht="18.75">
      <c r="A5526" s="1"/>
      <c r="B5526" s="1"/>
      <c r="C5526" s="1"/>
      <c r="D5526" s="1"/>
      <c r="E5526" s="1"/>
      <c r="F5526" s="1"/>
      <c r="G5526" s="1"/>
      <c r="H5526" s="1"/>
      <c r="I5526" s="2"/>
      <c r="J5526" s="1"/>
      <c r="K5526" s="1"/>
      <c r="L5526" s="1"/>
      <c r="M5526" s="1"/>
      <c r="N5526" s="1"/>
      <c r="O5526" s="1"/>
      <c r="P5526" s="1"/>
      <c r="Q5526" s="1"/>
      <c r="R5526" s="1"/>
      <c r="S5526" s="1"/>
      <c r="T5526" s="1"/>
      <c r="U5526" s="1"/>
      <c r="V5526" s="1"/>
      <c r="W5526" s="1"/>
      <c r="X5526" s="1"/>
    </row>
    <row x14ac:dyDescent="0.25" r="5527" customHeight="1" ht="18.75">
      <c r="A5527" s="1"/>
      <c r="B5527" s="1"/>
      <c r="C5527" s="1"/>
      <c r="D5527" s="1"/>
      <c r="E5527" s="1"/>
      <c r="F5527" s="1"/>
      <c r="G5527" s="1"/>
      <c r="H5527" s="1"/>
      <c r="I5527" s="2"/>
      <c r="J5527" s="1"/>
      <c r="K5527" s="1"/>
      <c r="L5527" s="1"/>
      <c r="M5527" s="1"/>
      <c r="N5527" s="1"/>
      <c r="O5527" s="1"/>
      <c r="P5527" s="1"/>
      <c r="Q5527" s="1"/>
      <c r="R5527" s="1"/>
      <c r="S5527" s="1"/>
      <c r="T5527" s="1"/>
      <c r="U5527" s="1"/>
      <c r="V5527" s="1"/>
      <c r="W5527" s="1"/>
      <c r="X5527" s="1"/>
    </row>
    <row x14ac:dyDescent="0.25" r="5528" customHeight="1" ht="18.75">
      <c r="A5528" s="1"/>
      <c r="B5528" s="1"/>
      <c r="C5528" s="1"/>
      <c r="D5528" s="1"/>
      <c r="E5528" s="1"/>
      <c r="F5528" s="1"/>
      <c r="G5528" s="1"/>
      <c r="H5528" s="1"/>
      <c r="I5528" s="2"/>
      <c r="J5528" s="1"/>
      <c r="K5528" s="1"/>
      <c r="L5528" s="1"/>
      <c r="M5528" s="1"/>
      <c r="N5528" s="1"/>
      <c r="O5528" s="1"/>
      <c r="P5528" s="1"/>
      <c r="Q5528" s="1"/>
      <c r="R5528" s="1"/>
      <c r="S5528" s="1"/>
      <c r="T5528" s="1"/>
      <c r="U5528" s="1"/>
      <c r="V5528" s="1"/>
      <c r="W5528" s="1"/>
      <c r="X5528" s="1"/>
    </row>
    <row x14ac:dyDescent="0.25" r="5529" customHeight="1" ht="18.75">
      <c r="A5529" s="1"/>
      <c r="B5529" s="1"/>
      <c r="C5529" s="1"/>
      <c r="D5529" s="1"/>
      <c r="E5529" s="1"/>
      <c r="F5529" s="1"/>
      <c r="G5529" s="1"/>
      <c r="H5529" s="1"/>
      <c r="I5529" s="2"/>
      <c r="J5529" s="1"/>
      <c r="K5529" s="1"/>
      <c r="L5529" s="1"/>
      <c r="M5529" s="1"/>
      <c r="N5529" s="1"/>
      <c r="O5529" s="1"/>
      <c r="P5529" s="1"/>
      <c r="Q5529" s="1"/>
      <c r="R5529" s="1"/>
      <c r="S5529" s="1"/>
      <c r="T5529" s="1"/>
      <c r="U5529" s="1"/>
      <c r="V5529" s="1"/>
      <c r="W5529" s="1"/>
      <c r="X5529" s="1"/>
    </row>
    <row x14ac:dyDescent="0.25" r="5530" customHeight="1" ht="18.75">
      <c r="A5530" s="1"/>
      <c r="B5530" s="1"/>
      <c r="C5530" s="1"/>
      <c r="D5530" s="1"/>
      <c r="E5530" s="1"/>
      <c r="F5530" s="1"/>
      <c r="G5530" s="1"/>
      <c r="H5530" s="1"/>
      <c r="I5530" s="2"/>
      <c r="J5530" s="1"/>
      <c r="K5530" s="1"/>
      <c r="L5530" s="1"/>
      <c r="M5530" s="1"/>
      <c r="N5530" s="1"/>
      <c r="O5530" s="1"/>
      <c r="P5530" s="1"/>
      <c r="Q5530" s="1"/>
      <c r="R5530" s="1"/>
      <c r="S5530" s="1"/>
      <c r="T5530" s="1"/>
      <c r="U5530" s="1"/>
      <c r="V5530" s="1"/>
      <c r="W5530" s="1"/>
      <c r="X5530" s="1"/>
    </row>
    <row x14ac:dyDescent="0.25" r="5531" customHeight="1" ht="18.75">
      <c r="A5531" s="1"/>
      <c r="B5531" s="1"/>
      <c r="C5531" s="1"/>
      <c r="D5531" s="1"/>
      <c r="E5531" s="1"/>
      <c r="F5531" s="1"/>
      <c r="G5531" s="1"/>
      <c r="H5531" s="1"/>
      <c r="I5531" s="2"/>
      <c r="J5531" s="1"/>
      <c r="K5531" s="1"/>
      <c r="L5531" s="1"/>
      <c r="M5531" s="1"/>
      <c r="N5531" s="1"/>
      <c r="O5531" s="1"/>
      <c r="P5531" s="1"/>
      <c r="Q5531" s="1"/>
      <c r="R5531" s="1"/>
      <c r="S5531" s="1"/>
      <c r="T5531" s="1"/>
      <c r="U5531" s="1"/>
      <c r="V5531" s="1"/>
      <c r="W5531" s="1"/>
      <c r="X5531" s="1"/>
    </row>
    <row x14ac:dyDescent="0.25" r="5532" customHeight="1" ht="18.75">
      <c r="A5532" s="1"/>
      <c r="B5532" s="1"/>
      <c r="C5532" s="1"/>
      <c r="D5532" s="1"/>
      <c r="E5532" s="1"/>
      <c r="F5532" s="1"/>
      <c r="G5532" s="1"/>
      <c r="H5532" s="1"/>
      <c r="I5532" s="2"/>
      <c r="J5532" s="1"/>
      <c r="K5532" s="1"/>
      <c r="L5532" s="1"/>
      <c r="M5532" s="1"/>
      <c r="N5532" s="1"/>
      <c r="O5532" s="1"/>
      <c r="P5532" s="1"/>
      <c r="Q5532" s="1"/>
      <c r="R5532" s="1"/>
      <c r="S5532" s="1"/>
      <c r="T5532" s="1"/>
      <c r="U5532" s="1"/>
      <c r="V5532" s="1"/>
      <c r="W5532" s="1"/>
      <c r="X5532" s="1"/>
    </row>
    <row x14ac:dyDescent="0.25" r="5533" customHeight="1" ht="18.75">
      <c r="A5533" s="1"/>
      <c r="B5533" s="1"/>
      <c r="C5533" s="1"/>
      <c r="D5533" s="1"/>
      <c r="E5533" s="1"/>
      <c r="F5533" s="1"/>
      <c r="G5533" s="1"/>
      <c r="H5533" s="1"/>
      <c r="I5533" s="2"/>
      <c r="J5533" s="1"/>
      <c r="K5533" s="1"/>
      <c r="L5533" s="1"/>
      <c r="M5533" s="1"/>
      <c r="N5533" s="1"/>
      <c r="O5533" s="1"/>
      <c r="P5533" s="1"/>
      <c r="Q5533" s="1"/>
      <c r="R5533" s="1"/>
      <c r="S5533" s="1"/>
      <c r="T5533" s="1"/>
      <c r="U5533" s="1"/>
      <c r="V5533" s="1"/>
      <c r="W5533" s="1"/>
      <c r="X5533" s="1"/>
    </row>
    <row x14ac:dyDescent="0.25" r="5534" customHeight="1" ht="18.75">
      <c r="A5534" s="1"/>
      <c r="B5534" s="1"/>
      <c r="C5534" s="1"/>
      <c r="D5534" s="1"/>
      <c r="E5534" s="1"/>
      <c r="F5534" s="1"/>
      <c r="G5534" s="1"/>
      <c r="H5534" s="1"/>
      <c r="I5534" s="2"/>
      <c r="J5534" s="1"/>
      <c r="K5534" s="1"/>
      <c r="L5534" s="1"/>
      <c r="M5534" s="1"/>
      <c r="N5534" s="1"/>
      <c r="O5534" s="1"/>
      <c r="P5534" s="1"/>
      <c r="Q5534" s="1"/>
      <c r="R5534" s="1"/>
      <c r="S5534" s="1"/>
      <c r="T5534" s="1"/>
      <c r="U5534" s="1"/>
      <c r="V5534" s="1"/>
      <c r="W5534" s="1"/>
      <c r="X5534" s="1"/>
    </row>
    <row x14ac:dyDescent="0.25" r="5535" customHeight="1" ht="18.75">
      <c r="A5535" s="1"/>
      <c r="B5535" s="1"/>
      <c r="C5535" s="1"/>
      <c r="D5535" s="1"/>
      <c r="E5535" s="1"/>
      <c r="F5535" s="1"/>
      <c r="G5535" s="1"/>
      <c r="H5535" s="1"/>
      <c r="I5535" s="2"/>
      <c r="J5535" s="1"/>
      <c r="K5535" s="1"/>
      <c r="L5535" s="1"/>
      <c r="M5535" s="1"/>
      <c r="N5535" s="1"/>
      <c r="O5535" s="1"/>
      <c r="P5535" s="1"/>
      <c r="Q5535" s="1"/>
      <c r="R5535" s="1"/>
      <c r="S5535" s="1"/>
      <c r="T5535" s="1"/>
      <c r="U5535" s="1"/>
      <c r="V5535" s="1"/>
      <c r="W5535" s="1"/>
      <c r="X5535" s="1"/>
    </row>
    <row x14ac:dyDescent="0.25" r="5536" customHeight="1" ht="18.75">
      <c r="A5536" s="1"/>
      <c r="B5536" s="1"/>
      <c r="C5536" s="1"/>
      <c r="D5536" s="1"/>
      <c r="E5536" s="1"/>
      <c r="F5536" s="1"/>
      <c r="G5536" s="1"/>
      <c r="H5536" s="1"/>
      <c r="I5536" s="2"/>
      <c r="J5536" s="1"/>
      <c r="K5536" s="1"/>
      <c r="L5536" s="1"/>
      <c r="M5536" s="1"/>
      <c r="N5536" s="1"/>
      <c r="O5536" s="1"/>
      <c r="P5536" s="1"/>
      <c r="Q5536" s="1"/>
      <c r="R5536" s="1"/>
      <c r="S5536" s="1"/>
      <c r="T5536" s="1"/>
      <c r="U5536" s="1"/>
      <c r="V5536" s="1"/>
      <c r="W5536" s="1"/>
      <c r="X5536" s="1"/>
    </row>
    <row x14ac:dyDescent="0.25" r="5537" customHeight="1" ht="18.75">
      <c r="A5537" s="1"/>
      <c r="B5537" s="1"/>
      <c r="C5537" s="1"/>
      <c r="D5537" s="1"/>
      <c r="E5537" s="1"/>
      <c r="F5537" s="1"/>
      <c r="G5537" s="1"/>
      <c r="H5537" s="1"/>
      <c r="I5537" s="2"/>
      <c r="J5537" s="1"/>
      <c r="K5537" s="1"/>
      <c r="L5537" s="1"/>
      <c r="M5537" s="1"/>
      <c r="N5537" s="1"/>
      <c r="O5537" s="1"/>
      <c r="P5537" s="1"/>
      <c r="Q5537" s="1"/>
      <c r="R5537" s="1"/>
      <c r="S5537" s="1"/>
      <c r="T5537" s="1"/>
      <c r="U5537" s="1"/>
      <c r="V5537" s="1"/>
      <c r="W5537" s="1"/>
      <c r="X5537" s="1"/>
    </row>
    <row x14ac:dyDescent="0.25" r="5538" customHeight="1" ht="18.75">
      <c r="A5538" s="1"/>
      <c r="B5538" s="1"/>
      <c r="C5538" s="1"/>
      <c r="D5538" s="1"/>
      <c r="E5538" s="1"/>
      <c r="F5538" s="1"/>
      <c r="G5538" s="1"/>
      <c r="H5538" s="1"/>
      <c r="I5538" s="2"/>
      <c r="J5538" s="1"/>
      <c r="K5538" s="1"/>
      <c r="L5538" s="1"/>
      <c r="M5538" s="1"/>
      <c r="N5538" s="1"/>
      <c r="O5538" s="1"/>
      <c r="P5538" s="1"/>
      <c r="Q5538" s="1"/>
      <c r="R5538" s="1"/>
      <c r="S5538" s="1"/>
      <c r="T5538" s="1"/>
      <c r="U5538" s="1"/>
      <c r="V5538" s="1"/>
      <c r="W5538" s="1"/>
      <c r="X5538" s="1"/>
    </row>
    <row x14ac:dyDescent="0.25" r="5539" customHeight="1" ht="18.75">
      <c r="A5539" s="1"/>
      <c r="B5539" s="1"/>
      <c r="C5539" s="1"/>
      <c r="D5539" s="1"/>
      <c r="E5539" s="1"/>
      <c r="F5539" s="1"/>
      <c r="G5539" s="1"/>
      <c r="H5539" s="1"/>
      <c r="I5539" s="2"/>
      <c r="J5539" s="1"/>
      <c r="K5539" s="1"/>
      <c r="L5539" s="1"/>
      <c r="M5539" s="1"/>
      <c r="N5539" s="1"/>
      <c r="O5539" s="1"/>
      <c r="P5539" s="1"/>
      <c r="Q5539" s="1"/>
      <c r="R5539" s="1"/>
      <c r="S5539" s="1"/>
      <c r="T5539" s="1"/>
      <c r="U5539" s="1"/>
      <c r="V5539" s="1"/>
      <c r="W5539" s="1"/>
      <c r="X5539" s="1"/>
    </row>
    <row x14ac:dyDescent="0.25" r="5540" customHeight="1" ht="18.75">
      <c r="A5540" s="1"/>
      <c r="B5540" s="1"/>
      <c r="C5540" s="1"/>
      <c r="D5540" s="1"/>
      <c r="E5540" s="1"/>
      <c r="F5540" s="1"/>
      <c r="G5540" s="1"/>
      <c r="H5540" s="1"/>
      <c r="I5540" s="2"/>
      <c r="J5540" s="1"/>
      <c r="K5540" s="1"/>
      <c r="L5540" s="1"/>
      <c r="M5540" s="1"/>
      <c r="N5540" s="1"/>
      <c r="O5540" s="1"/>
      <c r="P5540" s="1"/>
      <c r="Q5540" s="1"/>
      <c r="R5540" s="1"/>
      <c r="S5540" s="1"/>
      <c r="T5540" s="1"/>
      <c r="U5540" s="1"/>
      <c r="V5540" s="1"/>
      <c r="W5540" s="1"/>
      <c r="X5540" s="1"/>
    </row>
    <row x14ac:dyDescent="0.25" r="5541" customHeight="1" ht="18.75">
      <c r="A5541" s="1"/>
      <c r="B5541" s="1"/>
      <c r="C5541" s="1"/>
      <c r="D5541" s="1"/>
      <c r="E5541" s="1"/>
      <c r="F5541" s="1"/>
      <c r="G5541" s="1"/>
      <c r="H5541" s="1"/>
      <c r="I5541" s="2"/>
      <c r="J5541" s="1"/>
      <c r="K5541" s="1"/>
      <c r="L5541" s="1"/>
      <c r="M5541" s="1"/>
      <c r="N5541" s="1"/>
      <c r="O5541" s="1"/>
      <c r="P5541" s="1"/>
      <c r="Q5541" s="1"/>
      <c r="R5541" s="1"/>
      <c r="S5541" s="1"/>
      <c r="T5541" s="1"/>
      <c r="U5541" s="1"/>
      <c r="V5541" s="1"/>
      <c r="W5541" s="1"/>
      <c r="X5541" s="1"/>
    </row>
    <row x14ac:dyDescent="0.25" r="5542" customHeight="1" ht="18.75">
      <c r="A5542" s="1"/>
      <c r="B5542" s="1"/>
      <c r="C5542" s="1"/>
      <c r="D5542" s="1"/>
      <c r="E5542" s="1"/>
      <c r="F5542" s="1"/>
      <c r="G5542" s="1"/>
      <c r="H5542" s="1"/>
      <c r="I5542" s="2"/>
      <c r="J5542" s="1"/>
      <c r="K5542" s="1"/>
      <c r="L5542" s="1"/>
      <c r="M5542" s="1"/>
      <c r="N5542" s="1"/>
      <c r="O5542" s="1"/>
      <c r="P5542" s="1"/>
      <c r="Q5542" s="1"/>
      <c r="R5542" s="1"/>
      <c r="S5542" s="1"/>
      <c r="T5542" s="1"/>
      <c r="U5542" s="1"/>
      <c r="V5542" s="1"/>
      <c r="W5542" s="1"/>
      <c r="X5542" s="1"/>
    </row>
    <row x14ac:dyDescent="0.25" r="5543" customHeight="1" ht="18.75">
      <c r="A5543" s="1"/>
      <c r="B5543" s="1"/>
      <c r="C5543" s="1"/>
      <c r="D5543" s="1"/>
      <c r="E5543" s="1"/>
      <c r="F5543" s="1"/>
      <c r="G5543" s="1"/>
      <c r="H5543" s="1"/>
      <c r="I5543" s="2"/>
      <c r="J5543" s="1"/>
      <c r="K5543" s="1"/>
      <c r="L5543" s="1"/>
      <c r="M5543" s="1"/>
      <c r="N5543" s="1"/>
      <c r="O5543" s="1"/>
      <c r="P5543" s="1"/>
      <c r="Q5543" s="1"/>
      <c r="R5543" s="1"/>
      <c r="S5543" s="1"/>
      <c r="T5543" s="1"/>
      <c r="U5543" s="1"/>
      <c r="V5543" s="1"/>
      <c r="W5543" s="1"/>
      <c r="X5543" s="1"/>
    </row>
    <row x14ac:dyDescent="0.25" r="5544" customHeight="1" ht="18.75">
      <c r="A5544" s="1"/>
      <c r="B5544" s="1"/>
      <c r="C5544" s="1"/>
      <c r="D5544" s="1"/>
      <c r="E5544" s="1"/>
      <c r="F5544" s="1"/>
      <c r="G5544" s="1"/>
      <c r="H5544" s="1"/>
      <c r="I5544" s="2"/>
      <c r="J5544" s="1"/>
      <c r="K5544" s="1"/>
      <c r="L5544" s="1"/>
      <c r="M5544" s="1"/>
      <c r="N5544" s="1"/>
      <c r="O5544" s="1"/>
      <c r="P5544" s="1"/>
      <c r="Q5544" s="1"/>
      <c r="R5544" s="1"/>
      <c r="S5544" s="1"/>
      <c r="T5544" s="1"/>
      <c r="U5544" s="1"/>
      <c r="V5544" s="1"/>
      <c r="W5544" s="1"/>
      <c r="X5544" s="1"/>
    </row>
    <row x14ac:dyDescent="0.25" r="5545" customHeight="1" ht="18.75">
      <c r="A5545" s="1"/>
      <c r="B5545" s="1"/>
      <c r="C5545" s="1"/>
      <c r="D5545" s="1"/>
      <c r="E5545" s="1"/>
      <c r="F5545" s="1"/>
      <c r="G5545" s="1"/>
      <c r="H5545" s="1"/>
      <c r="I5545" s="2"/>
      <c r="J5545" s="1"/>
      <c r="K5545" s="1"/>
      <c r="L5545" s="1"/>
      <c r="M5545" s="1"/>
      <c r="N5545" s="1"/>
      <c r="O5545" s="1"/>
      <c r="P5545" s="1"/>
      <c r="Q5545" s="1"/>
      <c r="R5545" s="1"/>
      <c r="S5545" s="1"/>
      <c r="T5545" s="1"/>
      <c r="U5545" s="1"/>
      <c r="V5545" s="1"/>
      <c r="W5545" s="1"/>
      <c r="X5545" s="1"/>
    </row>
    <row x14ac:dyDescent="0.25" r="5546" customHeight="1" ht="18.75">
      <c r="A5546" s="1"/>
      <c r="B5546" s="1"/>
      <c r="C5546" s="1"/>
      <c r="D5546" s="1"/>
      <c r="E5546" s="1"/>
      <c r="F5546" s="1"/>
      <c r="G5546" s="1"/>
      <c r="H5546" s="1"/>
      <c r="I5546" s="2"/>
      <c r="J5546" s="1"/>
      <c r="K5546" s="1"/>
      <c r="L5546" s="1"/>
      <c r="M5546" s="1"/>
      <c r="N5546" s="1"/>
      <c r="O5546" s="1"/>
      <c r="P5546" s="1"/>
      <c r="Q5546" s="1"/>
      <c r="R5546" s="1"/>
      <c r="S5546" s="1"/>
      <c r="T5546" s="1"/>
      <c r="U5546" s="1"/>
      <c r="V5546" s="1"/>
      <c r="W5546" s="1"/>
      <c r="X5546" s="1"/>
    </row>
    <row x14ac:dyDescent="0.25" r="5547" customHeight="1" ht="18.75">
      <c r="A5547" s="1"/>
      <c r="B5547" s="1"/>
      <c r="C5547" s="1"/>
      <c r="D5547" s="1"/>
      <c r="E5547" s="1"/>
      <c r="F5547" s="1"/>
      <c r="G5547" s="1"/>
      <c r="H5547" s="1"/>
      <c r="I5547" s="2"/>
      <c r="J5547" s="1"/>
      <c r="K5547" s="1"/>
      <c r="L5547" s="1"/>
      <c r="M5547" s="1"/>
      <c r="N5547" s="1"/>
      <c r="O5547" s="1"/>
      <c r="P5547" s="1"/>
      <c r="Q5547" s="1"/>
      <c r="R5547" s="1"/>
      <c r="S5547" s="1"/>
      <c r="T5547" s="1"/>
      <c r="U5547" s="1"/>
      <c r="V5547" s="1"/>
      <c r="W5547" s="1"/>
      <c r="X5547" s="1"/>
    </row>
    <row x14ac:dyDescent="0.25" r="5548" customHeight="1" ht="18.75">
      <c r="A5548" s="1"/>
      <c r="B5548" s="1"/>
      <c r="C5548" s="1"/>
      <c r="D5548" s="1"/>
      <c r="E5548" s="1"/>
      <c r="F5548" s="1"/>
      <c r="G5548" s="1"/>
      <c r="H5548" s="1"/>
      <c r="I5548" s="2"/>
      <c r="J5548" s="1"/>
      <c r="K5548" s="1"/>
      <c r="L5548" s="1"/>
      <c r="M5548" s="1"/>
      <c r="N5548" s="1"/>
      <c r="O5548" s="1"/>
      <c r="P5548" s="1"/>
      <c r="Q5548" s="1"/>
      <c r="R5548" s="1"/>
      <c r="S5548" s="1"/>
      <c r="T5548" s="1"/>
      <c r="U5548" s="1"/>
      <c r="V5548" s="1"/>
      <c r="W5548" s="1"/>
      <c r="X5548" s="1"/>
    </row>
    <row x14ac:dyDescent="0.25" r="5549" customHeight="1" ht="18.75">
      <c r="A5549" s="1"/>
      <c r="B5549" s="1"/>
      <c r="C5549" s="1"/>
      <c r="D5549" s="1"/>
      <c r="E5549" s="1"/>
      <c r="F5549" s="1"/>
      <c r="G5549" s="1"/>
      <c r="H5549" s="1"/>
      <c r="I5549" s="2"/>
      <c r="J5549" s="1"/>
      <c r="K5549" s="1"/>
      <c r="L5549" s="1"/>
      <c r="M5549" s="1"/>
      <c r="N5549" s="1"/>
      <c r="O5549" s="1"/>
      <c r="P5549" s="1"/>
      <c r="Q5549" s="1"/>
      <c r="R5549" s="1"/>
      <c r="S5549" s="1"/>
      <c r="T5549" s="1"/>
      <c r="U5549" s="1"/>
      <c r="V5549" s="1"/>
      <c r="W5549" s="1"/>
      <c r="X5549" s="1"/>
    </row>
    <row x14ac:dyDescent="0.25" r="5550" customHeight="1" ht="18.75">
      <c r="A5550" s="1"/>
      <c r="B5550" s="1"/>
      <c r="C5550" s="1"/>
      <c r="D5550" s="1"/>
      <c r="E5550" s="1"/>
      <c r="F5550" s="1"/>
      <c r="G5550" s="1"/>
      <c r="H5550" s="1"/>
      <c r="I5550" s="2"/>
      <c r="J5550" s="1"/>
      <c r="K5550" s="1"/>
      <c r="L5550" s="1"/>
      <c r="M5550" s="1"/>
      <c r="N5550" s="1"/>
      <c r="O5550" s="1"/>
      <c r="P5550" s="1"/>
      <c r="Q5550" s="1"/>
      <c r="R5550" s="1"/>
      <c r="S5550" s="1"/>
      <c r="T5550" s="1"/>
      <c r="U5550" s="1"/>
      <c r="V5550" s="1"/>
      <c r="W5550" s="1"/>
      <c r="X5550" s="1"/>
    </row>
    <row x14ac:dyDescent="0.25" r="5551" customHeight="1" ht="18.75">
      <c r="A5551" s="1"/>
      <c r="B5551" s="1"/>
      <c r="C5551" s="1"/>
      <c r="D5551" s="1"/>
      <c r="E5551" s="1"/>
      <c r="F5551" s="1"/>
      <c r="G5551" s="1"/>
      <c r="H5551" s="1"/>
      <c r="I5551" s="2"/>
      <c r="J5551" s="1"/>
      <c r="K5551" s="1"/>
      <c r="L5551" s="1"/>
      <c r="M5551" s="1"/>
      <c r="N5551" s="1"/>
      <c r="O5551" s="1"/>
      <c r="P5551" s="1"/>
      <c r="Q5551" s="1"/>
      <c r="R5551" s="1"/>
      <c r="S5551" s="1"/>
      <c r="T5551" s="1"/>
      <c r="U5551" s="1"/>
      <c r="V5551" s="1"/>
      <c r="W5551" s="1"/>
      <c r="X5551" s="1"/>
    </row>
    <row x14ac:dyDescent="0.25" r="5552" customHeight="1" ht="18.75">
      <c r="A5552" s="1"/>
      <c r="B5552" s="1"/>
      <c r="C5552" s="1"/>
      <c r="D5552" s="1"/>
      <c r="E5552" s="1"/>
      <c r="F5552" s="1"/>
      <c r="G5552" s="1"/>
      <c r="H5552" s="1"/>
      <c r="I5552" s="2"/>
      <c r="J5552" s="1"/>
      <c r="K5552" s="1"/>
      <c r="L5552" s="1"/>
      <c r="M5552" s="1"/>
      <c r="N5552" s="1"/>
      <c r="O5552" s="1"/>
      <c r="P5552" s="1"/>
      <c r="Q5552" s="1"/>
      <c r="R5552" s="1"/>
      <c r="S5552" s="1"/>
      <c r="T5552" s="1"/>
      <c r="U5552" s="1"/>
      <c r="V5552" s="1"/>
      <c r="W5552" s="1"/>
      <c r="X5552" s="1"/>
    </row>
    <row x14ac:dyDescent="0.25" r="5553" customHeight="1" ht="18.75">
      <c r="A5553" s="1"/>
      <c r="B5553" s="1"/>
      <c r="C5553" s="1"/>
      <c r="D5553" s="1"/>
      <c r="E5553" s="1"/>
      <c r="F5553" s="1"/>
      <c r="G5553" s="1"/>
      <c r="H5553" s="1"/>
      <c r="I5553" s="2"/>
      <c r="J5553" s="1"/>
      <c r="K5553" s="1"/>
      <c r="L5553" s="1"/>
      <c r="M5553" s="1"/>
      <c r="N5553" s="1"/>
      <c r="O5553" s="1"/>
      <c r="P5553" s="1"/>
      <c r="Q5553" s="1"/>
      <c r="R5553" s="1"/>
      <c r="S5553" s="1"/>
      <c r="T5553" s="1"/>
      <c r="U5553" s="1"/>
      <c r="V5553" s="1"/>
      <c r="W5553" s="1"/>
      <c r="X5553" s="1"/>
    </row>
    <row x14ac:dyDescent="0.25" r="5554" customHeight="1" ht="18.75">
      <c r="A5554" s="1"/>
      <c r="B5554" s="1"/>
      <c r="C5554" s="1"/>
      <c r="D5554" s="1"/>
      <c r="E5554" s="1"/>
      <c r="F5554" s="1"/>
      <c r="G5554" s="1"/>
      <c r="H5554" s="1"/>
      <c r="I5554" s="2"/>
      <c r="J5554" s="1"/>
      <c r="K5554" s="1"/>
      <c r="L5554" s="1"/>
      <c r="M5554" s="1"/>
      <c r="N5554" s="1"/>
      <c r="O5554" s="1"/>
      <c r="P5554" s="1"/>
      <c r="Q5554" s="1"/>
      <c r="R5554" s="1"/>
      <c r="S5554" s="1"/>
      <c r="T5554" s="1"/>
      <c r="U5554" s="1"/>
      <c r="V5554" s="1"/>
      <c r="W5554" s="1"/>
      <c r="X5554" s="1"/>
    </row>
    <row x14ac:dyDescent="0.25" r="5555" customHeight="1" ht="18.75">
      <c r="A5555" s="1"/>
      <c r="B5555" s="1"/>
      <c r="C5555" s="1"/>
      <c r="D5555" s="1"/>
      <c r="E5555" s="1"/>
      <c r="F5555" s="1"/>
      <c r="G5555" s="1"/>
      <c r="H5555" s="1"/>
      <c r="I5555" s="2"/>
      <c r="J5555" s="1"/>
      <c r="K5555" s="1"/>
      <c r="L5555" s="1"/>
      <c r="M5555" s="1"/>
      <c r="N5555" s="1"/>
      <c r="O5555" s="1"/>
      <c r="P5555" s="1"/>
      <c r="Q5555" s="1"/>
      <c r="R5555" s="1"/>
      <c r="S5555" s="1"/>
      <c r="T5555" s="1"/>
      <c r="U5555" s="1"/>
      <c r="V5555" s="1"/>
      <c r="W5555" s="1"/>
      <c r="X5555" s="1"/>
    </row>
    <row x14ac:dyDescent="0.25" r="5556" customHeight="1" ht="18.75">
      <c r="A5556" s="1"/>
      <c r="B5556" s="1"/>
      <c r="C5556" s="1"/>
      <c r="D5556" s="1"/>
      <c r="E5556" s="1"/>
      <c r="F5556" s="1"/>
      <c r="G5556" s="1"/>
      <c r="H5556" s="1"/>
      <c r="I5556" s="2"/>
      <c r="J5556" s="1"/>
      <c r="K5556" s="1"/>
      <c r="L5556" s="1"/>
      <c r="M5556" s="1"/>
      <c r="N5556" s="1"/>
      <c r="O5556" s="1"/>
      <c r="P5556" s="1"/>
      <c r="Q5556" s="1"/>
      <c r="R5556" s="1"/>
      <c r="S5556" s="1"/>
      <c r="T5556" s="1"/>
      <c r="U5556" s="1"/>
      <c r="V5556" s="1"/>
      <c r="W5556" s="1"/>
      <c r="X5556" s="1"/>
    </row>
    <row x14ac:dyDescent="0.25" r="5557" customHeight="1" ht="18.75">
      <c r="A5557" s="1"/>
      <c r="B5557" s="1"/>
      <c r="C5557" s="1"/>
      <c r="D5557" s="1"/>
      <c r="E5557" s="1"/>
      <c r="F5557" s="1"/>
      <c r="G5557" s="1"/>
      <c r="H5557" s="1"/>
      <c r="I5557" s="2"/>
      <c r="J5557" s="1"/>
      <c r="K5557" s="1"/>
      <c r="L5557" s="1"/>
      <c r="M5557" s="1"/>
      <c r="N5557" s="1"/>
      <c r="O5557" s="1"/>
      <c r="P5557" s="1"/>
      <c r="Q5557" s="1"/>
      <c r="R5557" s="1"/>
      <c r="S5557" s="1"/>
      <c r="T5557" s="1"/>
      <c r="U5557" s="1"/>
      <c r="V5557" s="1"/>
      <c r="W5557" s="1"/>
      <c r="X5557" s="1"/>
    </row>
    <row x14ac:dyDescent="0.25" r="5558" customHeight="1" ht="18.75">
      <c r="A5558" s="1"/>
      <c r="B5558" s="1"/>
      <c r="C5558" s="1"/>
      <c r="D5558" s="1"/>
      <c r="E5558" s="1"/>
      <c r="F5558" s="1"/>
      <c r="G5558" s="1"/>
      <c r="H5558" s="1"/>
      <c r="I5558" s="2"/>
      <c r="J5558" s="1"/>
      <c r="K5558" s="1"/>
      <c r="L5558" s="1"/>
      <c r="M5558" s="1"/>
      <c r="N5558" s="1"/>
      <c r="O5558" s="1"/>
      <c r="P5558" s="1"/>
      <c r="Q5558" s="1"/>
      <c r="R5558" s="1"/>
      <c r="S5558" s="1"/>
      <c r="T5558" s="1"/>
      <c r="U5558" s="1"/>
      <c r="V5558" s="1"/>
      <c r="W5558" s="1"/>
      <c r="X5558" s="1"/>
    </row>
    <row x14ac:dyDescent="0.25" r="5559" customHeight="1" ht="18.75">
      <c r="A5559" s="1"/>
      <c r="B5559" s="1"/>
      <c r="C5559" s="1"/>
      <c r="D5559" s="1"/>
      <c r="E5559" s="1"/>
      <c r="F5559" s="1"/>
      <c r="G5559" s="1"/>
      <c r="H5559" s="1"/>
      <c r="I5559" s="2"/>
      <c r="J5559" s="1"/>
      <c r="K5559" s="1"/>
      <c r="L5559" s="1"/>
      <c r="M5559" s="1"/>
      <c r="N5559" s="1"/>
      <c r="O5559" s="1"/>
      <c r="P5559" s="1"/>
      <c r="Q5559" s="1"/>
      <c r="R5559" s="1"/>
      <c r="S5559" s="1"/>
      <c r="T5559" s="1"/>
      <c r="U5559" s="1"/>
      <c r="V5559" s="1"/>
      <c r="W5559" s="1"/>
      <c r="X5559" s="1"/>
    </row>
    <row x14ac:dyDescent="0.25" r="5560" customHeight="1" ht="18.75">
      <c r="A5560" s="1"/>
      <c r="B5560" s="1"/>
      <c r="C5560" s="1"/>
      <c r="D5560" s="1"/>
      <c r="E5560" s="1"/>
      <c r="F5560" s="1"/>
      <c r="G5560" s="1"/>
      <c r="H5560" s="1"/>
      <c r="I5560" s="2"/>
      <c r="J5560" s="1"/>
      <c r="K5560" s="1"/>
      <c r="L5560" s="1"/>
      <c r="M5560" s="1"/>
      <c r="N5560" s="1"/>
      <c r="O5560" s="1"/>
      <c r="P5560" s="1"/>
      <c r="Q5560" s="1"/>
      <c r="R5560" s="1"/>
      <c r="S5560" s="1"/>
      <c r="T5560" s="1"/>
      <c r="U5560" s="1"/>
      <c r="V5560" s="1"/>
      <c r="W5560" s="1"/>
      <c r="X5560" s="1"/>
    </row>
    <row x14ac:dyDescent="0.25" r="5561" customHeight="1" ht="18.75">
      <c r="A5561" s="1"/>
      <c r="B5561" s="1"/>
      <c r="C5561" s="1"/>
      <c r="D5561" s="1"/>
      <c r="E5561" s="1"/>
      <c r="F5561" s="1"/>
      <c r="G5561" s="1"/>
      <c r="H5561" s="1"/>
      <c r="I5561" s="2"/>
      <c r="J5561" s="1"/>
      <c r="K5561" s="1"/>
      <c r="L5561" s="1"/>
      <c r="M5561" s="1"/>
      <c r="N5561" s="1"/>
      <c r="O5561" s="1"/>
      <c r="P5561" s="1"/>
      <c r="Q5561" s="1"/>
      <c r="R5561" s="1"/>
      <c r="S5561" s="1"/>
      <c r="T5561" s="1"/>
      <c r="U5561" s="1"/>
      <c r="V5561" s="1"/>
      <c r="W5561" s="1"/>
      <c r="X5561" s="1"/>
    </row>
    <row x14ac:dyDescent="0.25" r="5562" customHeight="1" ht="18.75">
      <c r="A5562" s="1"/>
      <c r="B5562" s="1"/>
      <c r="C5562" s="1"/>
      <c r="D5562" s="1"/>
      <c r="E5562" s="1"/>
      <c r="F5562" s="1"/>
      <c r="G5562" s="1"/>
      <c r="H5562" s="1"/>
      <c r="I5562" s="2"/>
      <c r="J5562" s="1"/>
      <c r="K5562" s="1"/>
      <c r="L5562" s="1"/>
      <c r="M5562" s="1"/>
      <c r="N5562" s="1"/>
      <c r="O5562" s="1"/>
      <c r="P5562" s="1"/>
      <c r="Q5562" s="1"/>
      <c r="R5562" s="1"/>
      <c r="S5562" s="1"/>
      <c r="T5562" s="1"/>
      <c r="U5562" s="1"/>
      <c r="V5562" s="1"/>
      <c r="W5562" s="1"/>
      <c r="X5562" s="1"/>
    </row>
    <row x14ac:dyDescent="0.25" r="5563" customHeight="1" ht="18.75">
      <c r="A5563" s="1"/>
      <c r="B5563" s="1"/>
      <c r="C5563" s="1"/>
      <c r="D5563" s="1"/>
      <c r="E5563" s="1"/>
      <c r="F5563" s="1"/>
      <c r="G5563" s="1"/>
      <c r="H5563" s="1"/>
      <c r="I5563" s="2"/>
      <c r="J5563" s="1"/>
      <c r="K5563" s="1"/>
      <c r="L5563" s="1"/>
      <c r="M5563" s="1"/>
      <c r="N5563" s="1"/>
      <c r="O5563" s="1"/>
      <c r="P5563" s="1"/>
      <c r="Q5563" s="1"/>
      <c r="R5563" s="1"/>
      <c r="S5563" s="1"/>
      <c r="T5563" s="1"/>
      <c r="U5563" s="1"/>
      <c r="V5563" s="1"/>
      <c r="W5563" s="1"/>
      <c r="X5563" s="1"/>
    </row>
    <row x14ac:dyDescent="0.25" r="5564" customHeight="1" ht="18.75">
      <c r="A5564" s="1"/>
      <c r="B5564" s="1"/>
      <c r="C5564" s="1"/>
      <c r="D5564" s="1"/>
      <c r="E5564" s="1"/>
      <c r="F5564" s="1"/>
      <c r="G5564" s="1"/>
      <c r="H5564" s="1"/>
      <c r="I5564" s="2"/>
      <c r="J5564" s="1"/>
      <c r="K5564" s="1"/>
      <c r="L5564" s="1"/>
      <c r="M5564" s="1"/>
      <c r="N5564" s="1"/>
      <c r="O5564" s="1"/>
      <c r="P5564" s="1"/>
      <c r="Q5564" s="1"/>
      <c r="R5564" s="1"/>
      <c r="S5564" s="1"/>
      <c r="T5564" s="1"/>
      <c r="U5564" s="1"/>
      <c r="V5564" s="1"/>
      <c r="W5564" s="1"/>
      <c r="X5564" s="1"/>
    </row>
    <row x14ac:dyDescent="0.25" r="5565" customHeight="1" ht="18.75">
      <c r="A5565" s="1"/>
      <c r="B5565" s="1"/>
      <c r="C5565" s="1"/>
      <c r="D5565" s="1"/>
      <c r="E5565" s="1"/>
      <c r="F5565" s="1"/>
      <c r="G5565" s="1"/>
      <c r="H5565" s="1"/>
      <c r="I5565" s="2"/>
      <c r="J5565" s="1"/>
      <c r="K5565" s="1"/>
      <c r="L5565" s="1"/>
      <c r="M5565" s="1"/>
      <c r="N5565" s="1"/>
      <c r="O5565" s="1"/>
      <c r="P5565" s="1"/>
      <c r="Q5565" s="1"/>
      <c r="R5565" s="1"/>
      <c r="S5565" s="1"/>
      <c r="T5565" s="1"/>
      <c r="U5565" s="1"/>
      <c r="V5565" s="1"/>
      <c r="W5565" s="1"/>
      <c r="X5565" s="1"/>
    </row>
    <row x14ac:dyDescent="0.25" r="5566" customHeight="1" ht="18.75">
      <c r="A5566" s="1"/>
      <c r="B5566" s="1"/>
      <c r="C5566" s="1"/>
      <c r="D5566" s="1"/>
      <c r="E5566" s="1"/>
      <c r="F5566" s="1"/>
      <c r="G5566" s="1"/>
      <c r="H5566" s="1"/>
      <c r="I5566" s="2"/>
      <c r="J5566" s="1"/>
      <c r="K5566" s="1"/>
      <c r="L5566" s="1"/>
      <c r="M5566" s="1"/>
      <c r="N5566" s="1"/>
      <c r="O5566" s="1"/>
      <c r="P5566" s="1"/>
      <c r="Q5566" s="1"/>
      <c r="R5566" s="1"/>
      <c r="S5566" s="1"/>
      <c r="T5566" s="1"/>
      <c r="U5566" s="1"/>
      <c r="V5566" s="1"/>
      <c r="W5566" s="1"/>
      <c r="X5566" s="1"/>
    </row>
    <row x14ac:dyDescent="0.25" r="5567" customHeight="1" ht="18.75">
      <c r="A5567" s="1"/>
      <c r="B5567" s="1"/>
      <c r="C5567" s="1"/>
      <c r="D5567" s="1"/>
      <c r="E5567" s="1"/>
      <c r="F5567" s="1"/>
      <c r="G5567" s="1"/>
      <c r="H5567" s="1"/>
      <c r="I5567" s="2"/>
      <c r="J5567" s="1"/>
      <c r="K5567" s="1"/>
      <c r="L5567" s="1"/>
      <c r="M5567" s="1"/>
      <c r="N5567" s="1"/>
      <c r="O5567" s="1"/>
      <c r="P5567" s="1"/>
      <c r="Q5567" s="1"/>
      <c r="R5567" s="1"/>
      <c r="S5567" s="1"/>
      <c r="T5567" s="1"/>
      <c r="U5567" s="1"/>
      <c r="V5567" s="1"/>
      <c r="W5567" s="1"/>
      <c r="X5567" s="1"/>
    </row>
    <row x14ac:dyDescent="0.25" r="5568" customHeight="1" ht="18.75">
      <c r="A5568" s="1"/>
      <c r="B5568" s="1"/>
      <c r="C5568" s="1"/>
      <c r="D5568" s="1"/>
      <c r="E5568" s="1"/>
      <c r="F5568" s="1"/>
      <c r="G5568" s="1"/>
      <c r="H5568" s="1"/>
      <c r="I5568" s="2"/>
      <c r="J5568" s="1"/>
      <c r="K5568" s="1"/>
      <c r="L5568" s="1"/>
      <c r="M5568" s="1"/>
      <c r="N5568" s="1"/>
      <c r="O5568" s="1"/>
      <c r="P5568" s="1"/>
      <c r="Q5568" s="1"/>
      <c r="R5568" s="1"/>
      <c r="S5568" s="1"/>
      <c r="T5568" s="1"/>
      <c r="U5568" s="1"/>
      <c r="V5568" s="1"/>
      <c r="W5568" s="1"/>
      <c r="X5568" s="1"/>
    </row>
    <row x14ac:dyDescent="0.25" r="5569" customHeight="1" ht="18.75">
      <c r="A5569" s="1"/>
      <c r="B5569" s="1"/>
      <c r="C5569" s="1"/>
      <c r="D5569" s="1"/>
      <c r="E5569" s="1"/>
      <c r="F5569" s="1"/>
      <c r="G5569" s="1"/>
      <c r="H5569" s="1"/>
      <c r="I5569" s="2"/>
      <c r="J5569" s="1"/>
      <c r="K5569" s="1"/>
      <c r="L5569" s="1"/>
      <c r="M5569" s="1"/>
      <c r="N5569" s="1"/>
      <c r="O5569" s="1"/>
      <c r="P5569" s="1"/>
      <c r="Q5569" s="1"/>
      <c r="R5569" s="1"/>
      <c r="S5569" s="1"/>
      <c r="T5569" s="1"/>
      <c r="U5569" s="1"/>
      <c r="V5569" s="1"/>
      <c r="W5569" s="1"/>
      <c r="X5569" s="1"/>
    </row>
    <row x14ac:dyDescent="0.25" r="5570" customHeight="1" ht="18.75">
      <c r="A5570" s="1"/>
      <c r="B5570" s="1"/>
      <c r="C5570" s="1"/>
      <c r="D5570" s="1"/>
      <c r="E5570" s="1"/>
      <c r="F5570" s="1"/>
      <c r="G5570" s="1"/>
      <c r="H5570" s="1"/>
      <c r="I5570" s="2"/>
      <c r="J5570" s="1"/>
      <c r="K5570" s="1"/>
      <c r="L5570" s="1"/>
      <c r="M5570" s="1"/>
      <c r="N5570" s="1"/>
      <c r="O5570" s="1"/>
      <c r="P5570" s="1"/>
      <c r="Q5570" s="1"/>
      <c r="R5570" s="1"/>
      <c r="S5570" s="1"/>
      <c r="T5570" s="1"/>
      <c r="U5570" s="1"/>
      <c r="V5570" s="1"/>
      <c r="W5570" s="1"/>
      <c r="X5570" s="1"/>
    </row>
    <row x14ac:dyDescent="0.25" r="5571" customHeight="1" ht="18.75">
      <c r="A5571" s="1"/>
      <c r="B5571" s="1"/>
      <c r="C5571" s="1"/>
      <c r="D5571" s="1"/>
      <c r="E5571" s="1"/>
      <c r="F5571" s="1"/>
      <c r="G5571" s="1"/>
      <c r="H5571" s="1"/>
      <c r="I5571" s="2"/>
      <c r="J5571" s="1"/>
      <c r="K5571" s="1"/>
      <c r="L5571" s="1"/>
      <c r="M5571" s="1"/>
      <c r="N5571" s="1"/>
      <c r="O5571" s="1"/>
      <c r="P5571" s="1"/>
      <c r="Q5571" s="1"/>
      <c r="R5571" s="1"/>
      <c r="S5571" s="1"/>
      <c r="T5571" s="1"/>
      <c r="U5571" s="1"/>
      <c r="V5571" s="1"/>
      <c r="W5571" s="1"/>
      <c r="X5571" s="1"/>
    </row>
    <row x14ac:dyDescent="0.25" r="5572" customHeight="1" ht="18.75">
      <c r="A5572" s="1"/>
      <c r="B5572" s="1"/>
      <c r="C5572" s="1"/>
      <c r="D5572" s="1"/>
      <c r="E5572" s="1"/>
      <c r="F5572" s="1"/>
      <c r="G5572" s="1"/>
      <c r="H5572" s="1"/>
      <c r="I5572" s="2"/>
      <c r="J5572" s="1"/>
      <c r="K5572" s="1"/>
      <c r="L5572" s="1"/>
      <c r="M5572" s="1"/>
      <c r="N5572" s="1"/>
      <c r="O5572" s="1"/>
      <c r="P5572" s="1"/>
      <c r="Q5572" s="1"/>
      <c r="R5572" s="1"/>
      <c r="S5572" s="1"/>
      <c r="T5572" s="1"/>
      <c r="U5572" s="1"/>
      <c r="V5572" s="1"/>
      <c r="W5572" s="1"/>
      <c r="X5572" s="1"/>
    </row>
    <row x14ac:dyDescent="0.25" r="5573" customHeight="1" ht="18.75">
      <c r="A5573" s="1"/>
      <c r="B5573" s="1"/>
      <c r="C5573" s="1"/>
      <c r="D5573" s="1"/>
      <c r="E5573" s="1"/>
      <c r="F5573" s="1"/>
      <c r="G5573" s="1"/>
      <c r="H5573" s="1"/>
      <c r="I5573" s="2"/>
      <c r="J5573" s="1"/>
      <c r="K5573" s="1"/>
      <c r="L5573" s="1"/>
      <c r="M5573" s="1"/>
      <c r="N5573" s="1"/>
      <c r="O5573" s="1"/>
      <c r="P5573" s="1"/>
      <c r="Q5573" s="1"/>
      <c r="R5573" s="1"/>
      <c r="S5573" s="1"/>
      <c r="T5573" s="1"/>
      <c r="U5573" s="1"/>
      <c r="V5573" s="1"/>
      <c r="W5573" s="1"/>
      <c r="X5573" s="1"/>
    </row>
    <row x14ac:dyDescent="0.25" r="5574" customHeight="1" ht="18.75">
      <c r="A5574" s="1"/>
      <c r="B5574" s="1"/>
      <c r="C5574" s="1"/>
      <c r="D5574" s="1"/>
      <c r="E5574" s="1"/>
      <c r="F5574" s="1"/>
      <c r="G5574" s="1"/>
      <c r="H5574" s="1"/>
      <c r="I5574" s="2"/>
      <c r="J5574" s="1"/>
      <c r="K5574" s="1"/>
      <c r="L5574" s="1"/>
      <c r="M5574" s="1"/>
      <c r="N5574" s="1"/>
      <c r="O5574" s="1"/>
      <c r="P5574" s="1"/>
      <c r="Q5574" s="1"/>
      <c r="R5574" s="1"/>
      <c r="S5574" s="1"/>
      <c r="T5574" s="1"/>
      <c r="U5574" s="1"/>
      <c r="V5574" s="1"/>
      <c r="W5574" s="1"/>
      <c r="X5574" s="1"/>
    </row>
    <row x14ac:dyDescent="0.25" r="5575" customHeight="1" ht="18.75">
      <c r="A5575" s="1"/>
      <c r="B5575" s="1"/>
      <c r="C5575" s="1"/>
      <c r="D5575" s="1"/>
      <c r="E5575" s="1"/>
      <c r="F5575" s="1"/>
      <c r="G5575" s="1"/>
      <c r="H5575" s="1"/>
      <c r="I5575" s="2"/>
      <c r="J5575" s="1"/>
      <c r="K5575" s="1"/>
      <c r="L5575" s="1"/>
      <c r="M5575" s="1"/>
      <c r="N5575" s="1"/>
      <c r="O5575" s="1"/>
      <c r="P5575" s="1"/>
      <c r="Q5575" s="1"/>
      <c r="R5575" s="1"/>
      <c r="S5575" s="1"/>
      <c r="T5575" s="1"/>
      <c r="U5575" s="1"/>
      <c r="V5575" s="1"/>
      <c r="W5575" s="1"/>
      <c r="X5575" s="1"/>
    </row>
    <row x14ac:dyDescent="0.25" r="5576" customHeight="1" ht="18.75">
      <c r="A5576" s="1"/>
      <c r="B5576" s="1"/>
      <c r="C5576" s="1"/>
      <c r="D5576" s="1"/>
      <c r="E5576" s="1"/>
      <c r="F5576" s="1"/>
      <c r="G5576" s="1"/>
      <c r="H5576" s="1"/>
      <c r="I5576" s="2"/>
      <c r="J5576" s="1"/>
      <c r="K5576" s="1"/>
      <c r="L5576" s="1"/>
      <c r="M5576" s="1"/>
      <c r="N5576" s="1"/>
      <c r="O5576" s="1"/>
      <c r="P5576" s="1"/>
      <c r="Q5576" s="1"/>
      <c r="R5576" s="1"/>
      <c r="S5576" s="1"/>
      <c r="T5576" s="1"/>
      <c r="U5576" s="1"/>
      <c r="V5576" s="1"/>
      <c r="W5576" s="1"/>
      <c r="X5576" s="1"/>
    </row>
    <row x14ac:dyDescent="0.25" r="5577" customHeight="1" ht="18.75">
      <c r="A5577" s="1"/>
      <c r="B5577" s="1"/>
      <c r="C5577" s="1"/>
      <c r="D5577" s="1"/>
      <c r="E5577" s="1"/>
      <c r="F5577" s="1"/>
      <c r="G5577" s="1"/>
      <c r="H5577" s="1"/>
      <c r="I5577" s="2"/>
      <c r="J5577" s="1"/>
      <c r="K5577" s="1"/>
      <c r="L5577" s="1"/>
      <c r="M5577" s="1"/>
      <c r="N5577" s="1"/>
      <c r="O5577" s="1"/>
      <c r="P5577" s="1"/>
      <c r="Q5577" s="1"/>
      <c r="R5577" s="1"/>
      <c r="S5577" s="1"/>
      <c r="T5577" s="1"/>
      <c r="U5577" s="1"/>
      <c r="V5577" s="1"/>
      <c r="W5577" s="1"/>
      <c r="X5577" s="1"/>
    </row>
    <row x14ac:dyDescent="0.25" r="5578" customHeight="1" ht="18.75">
      <c r="A5578" s="1"/>
      <c r="B5578" s="1"/>
      <c r="C5578" s="1"/>
      <c r="D5578" s="1"/>
      <c r="E5578" s="1"/>
      <c r="F5578" s="1"/>
      <c r="G5578" s="1"/>
      <c r="H5578" s="1"/>
      <c r="I5578" s="2"/>
      <c r="J5578" s="1"/>
      <c r="K5578" s="1"/>
      <c r="L5578" s="1"/>
      <c r="M5578" s="1"/>
      <c r="N5578" s="1"/>
      <c r="O5578" s="1"/>
      <c r="P5578" s="1"/>
      <c r="Q5578" s="1"/>
      <c r="R5578" s="1"/>
      <c r="S5578" s="1"/>
      <c r="T5578" s="1"/>
      <c r="U5578" s="1"/>
      <c r="V5578" s="1"/>
      <c r="W5578" s="1"/>
      <c r="X5578" s="1"/>
    </row>
    <row x14ac:dyDescent="0.25" r="5579" customHeight="1" ht="18.75">
      <c r="A5579" s="1"/>
      <c r="B5579" s="1"/>
      <c r="C5579" s="1"/>
      <c r="D5579" s="1"/>
      <c r="E5579" s="1"/>
      <c r="F5579" s="1"/>
      <c r="G5579" s="1"/>
      <c r="H5579" s="1"/>
      <c r="I5579" s="2"/>
      <c r="J5579" s="1"/>
      <c r="K5579" s="1"/>
      <c r="L5579" s="1"/>
      <c r="M5579" s="1"/>
      <c r="N5579" s="1"/>
      <c r="O5579" s="1"/>
      <c r="P5579" s="1"/>
      <c r="Q5579" s="1"/>
      <c r="R5579" s="1"/>
      <c r="S5579" s="1"/>
      <c r="T5579" s="1"/>
      <c r="U5579" s="1"/>
      <c r="V5579" s="1"/>
      <c r="W5579" s="1"/>
      <c r="X5579" s="1"/>
    </row>
    <row x14ac:dyDescent="0.25" r="5580" customHeight="1" ht="18.75">
      <c r="A5580" s="1"/>
      <c r="B5580" s="1"/>
      <c r="C5580" s="1"/>
      <c r="D5580" s="1"/>
      <c r="E5580" s="1"/>
      <c r="F5580" s="1"/>
      <c r="G5580" s="1"/>
      <c r="H5580" s="1"/>
      <c r="I5580" s="2"/>
      <c r="J5580" s="1"/>
      <c r="K5580" s="1"/>
      <c r="L5580" s="1"/>
      <c r="M5580" s="1"/>
      <c r="N5580" s="1"/>
      <c r="O5580" s="1"/>
      <c r="P5580" s="1"/>
      <c r="Q5580" s="1"/>
      <c r="R5580" s="1"/>
      <c r="S5580" s="1"/>
      <c r="T5580" s="1"/>
      <c r="U5580" s="1"/>
      <c r="V5580" s="1"/>
      <c r="W5580" s="1"/>
      <c r="X5580" s="1"/>
    </row>
    <row x14ac:dyDescent="0.25" r="5581" customHeight="1" ht="18.75">
      <c r="A5581" s="1"/>
      <c r="B5581" s="1"/>
      <c r="C5581" s="1"/>
      <c r="D5581" s="1"/>
      <c r="E5581" s="1"/>
      <c r="F5581" s="1"/>
      <c r="G5581" s="1"/>
      <c r="H5581" s="1"/>
      <c r="I5581" s="2"/>
      <c r="J5581" s="1"/>
      <c r="K5581" s="1"/>
      <c r="L5581" s="1"/>
      <c r="M5581" s="1"/>
      <c r="N5581" s="1"/>
      <c r="O5581" s="1"/>
      <c r="P5581" s="1"/>
      <c r="Q5581" s="1"/>
      <c r="R5581" s="1"/>
      <c r="S5581" s="1"/>
      <c r="T5581" s="1"/>
      <c r="U5581" s="1"/>
      <c r="V5581" s="1"/>
      <c r="W5581" s="1"/>
      <c r="X5581" s="1"/>
    </row>
    <row x14ac:dyDescent="0.25" r="5582" customHeight="1" ht="18.75">
      <c r="A5582" s="1"/>
      <c r="B5582" s="1"/>
      <c r="C5582" s="1"/>
      <c r="D5582" s="1"/>
      <c r="E5582" s="1"/>
      <c r="F5582" s="1"/>
      <c r="G5582" s="1"/>
      <c r="H5582" s="1"/>
      <c r="I5582" s="2"/>
      <c r="J5582" s="1"/>
      <c r="K5582" s="1"/>
      <c r="L5582" s="1"/>
      <c r="M5582" s="1"/>
      <c r="N5582" s="1"/>
      <c r="O5582" s="1"/>
      <c r="P5582" s="1"/>
      <c r="Q5582" s="1"/>
      <c r="R5582" s="1"/>
      <c r="S5582" s="1"/>
      <c r="T5582" s="1"/>
      <c r="U5582" s="1"/>
      <c r="V5582" s="1"/>
      <c r="W5582" s="1"/>
      <c r="X5582" s="1"/>
    </row>
    <row x14ac:dyDescent="0.25" r="5583" customHeight="1" ht="18.75">
      <c r="A5583" s="1"/>
      <c r="B5583" s="1"/>
      <c r="C5583" s="1"/>
      <c r="D5583" s="1"/>
      <c r="E5583" s="1"/>
      <c r="F5583" s="1"/>
      <c r="G5583" s="1"/>
      <c r="H5583" s="1"/>
      <c r="I5583" s="2"/>
      <c r="J5583" s="1"/>
      <c r="K5583" s="1"/>
      <c r="L5583" s="1"/>
      <c r="M5583" s="1"/>
      <c r="N5583" s="1"/>
      <c r="O5583" s="1"/>
      <c r="P5583" s="1"/>
      <c r="Q5583" s="1"/>
      <c r="R5583" s="1"/>
      <c r="S5583" s="1"/>
      <c r="T5583" s="1"/>
      <c r="U5583" s="1"/>
      <c r="V5583" s="1"/>
      <c r="W5583" s="1"/>
      <c r="X5583" s="1"/>
    </row>
    <row x14ac:dyDescent="0.25" r="5584" customHeight="1" ht="18.75">
      <c r="A5584" s="1"/>
      <c r="B5584" s="1"/>
      <c r="C5584" s="1"/>
      <c r="D5584" s="1"/>
      <c r="E5584" s="1"/>
      <c r="F5584" s="1"/>
      <c r="G5584" s="1"/>
      <c r="H5584" s="1"/>
      <c r="I5584" s="2"/>
      <c r="J5584" s="1"/>
      <c r="K5584" s="1"/>
      <c r="L5584" s="1"/>
      <c r="M5584" s="1"/>
      <c r="N5584" s="1"/>
      <c r="O5584" s="1"/>
      <c r="P5584" s="1"/>
      <c r="Q5584" s="1"/>
      <c r="R5584" s="1"/>
      <c r="S5584" s="1"/>
      <c r="T5584" s="1"/>
      <c r="U5584" s="1"/>
      <c r="V5584" s="1"/>
      <c r="W5584" s="1"/>
      <c r="X5584" s="1"/>
    </row>
    <row x14ac:dyDescent="0.25" r="5585" customHeight="1" ht="18.75">
      <c r="A5585" s="1"/>
      <c r="B5585" s="1"/>
      <c r="C5585" s="1"/>
      <c r="D5585" s="1"/>
      <c r="E5585" s="1"/>
      <c r="F5585" s="1"/>
      <c r="G5585" s="1"/>
      <c r="H5585" s="1"/>
      <c r="I5585" s="2"/>
      <c r="J5585" s="1"/>
      <c r="K5585" s="1"/>
      <c r="L5585" s="1"/>
      <c r="M5585" s="1"/>
      <c r="N5585" s="1"/>
      <c r="O5585" s="1"/>
      <c r="P5585" s="1"/>
      <c r="Q5585" s="1"/>
      <c r="R5585" s="1"/>
      <c r="S5585" s="1"/>
      <c r="T5585" s="1"/>
      <c r="U5585" s="1"/>
      <c r="V5585" s="1"/>
      <c r="W5585" s="1"/>
      <c r="X5585" s="1"/>
    </row>
    <row x14ac:dyDescent="0.25" r="5586" customHeight="1" ht="18.75">
      <c r="A5586" s="1"/>
      <c r="B5586" s="1"/>
      <c r="C5586" s="1"/>
      <c r="D5586" s="1"/>
      <c r="E5586" s="1"/>
      <c r="F5586" s="1"/>
      <c r="G5586" s="1"/>
      <c r="H5586" s="1"/>
      <c r="I5586" s="2"/>
      <c r="J5586" s="1"/>
      <c r="K5586" s="1"/>
      <c r="L5586" s="1"/>
      <c r="M5586" s="1"/>
      <c r="N5586" s="1"/>
      <c r="O5586" s="1"/>
      <c r="P5586" s="1"/>
      <c r="Q5586" s="1"/>
      <c r="R5586" s="1"/>
      <c r="S5586" s="1"/>
      <c r="T5586" s="1"/>
      <c r="U5586" s="1"/>
      <c r="V5586" s="1"/>
      <c r="W5586" s="1"/>
      <c r="X5586" s="1"/>
    </row>
    <row x14ac:dyDescent="0.25" r="5587" customHeight="1" ht="18.75">
      <c r="A5587" s="1"/>
      <c r="B5587" s="1"/>
      <c r="C5587" s="1"/>
      <c r="D5587" s="1"/>
      <c r="E5587" s="1"/>
      <c r="F5587" s="1"/>
      <c r="G5587" s="1"/>
      <c r="H5587" s="1"/>
      <c r="I5587" s="2"/>
      <c r="J5587" s="1"/>
      <c r="K5587" s="1"/>
      <c r="L5587" s="1"/>
      <c r="M5587" s="1"/>
      <c r="N5587" s="1"/>
      <c r="O5587" s="1"/>
      <c r="P5587" s="1"/>
      <c r="Q5587" s="1"/>
      <c r="R5587" s="1"/>
      <c r="S5587" s="1"/>
      <c r="T5587" s="1"/>
      <c r="U5587" s="1"/>
      <c r="V5587" s="1"/>
      <c r="W5587" s="1"/>
      <c r="X5587" s="1"/>
    </row>
    <row x14ac:dyDescent="0.25" r="5588" customHeight="1" ht="18.75">
      <c r="A5588" s="1"/>
      <c r="B5588" s="1"/>
      <c r="C5588" s="1"/>
      <c r="D5588" s="1"/>
      <c r="E5588" s="1"/>
      <c r="F5588" s="1"/>
      <c r="G5588" s="1"/>
      <c r="H5588" s="1"/>
      <c r="I5588" s="2"/>
      <c r="J5588" s="1"/>
      <c r="K5588" s="1"/>
      <c r="L5588" s="1"/>
      <c r="M5588" s="1"/>
      <c r="N5588" s="1"/>
      <c r="O5588" s="1"/>
      <c r="P5588" s="1"/>
      <c r="Q5588" s="1"/>
      <c r="R5588" s="1"/>
      <c r="S5588" s="1"/>
      <c r="T5588" s="1"/>
      <c r="U5588" s="1"/>
      <c r="V5588" s="1"/>
      <c r="W5588" s="1"/>
      <c r="X5588" s="1"/>
    </row>
    <row x14ac:dyDescent="0.25" r="5589" customHeight="1" ht="18.75">
      <c r="A5589" s="1"/>
      <c r="B5589" s="1"/>
      <c r="C5589" s="1"/>
      <c r="D5589" s="1"/>
      <c r="E5589" s="1"/>
      <c r="F5589" s="1"/>
      <c r="G5589" s="1"/>
      <c r="H5589" s="1"/>
      <c r="I5589" s="2"/>
      <c r="J5589" s="1"/>
      <c r="K5589" s="1"/>
      <c r="L5589" s="1"/>
      <c r="M5589" s="1"/>
      <c r="N5589" s="1"/>
      <c r="O5589" s="1"/>
      <c r="P5589" s="1"/>
      <c r="Q5589" s="1"/>
      <c r="R5589" s="1"/>
      <c r="S5589" s="1"/>
      <c r="T5589" s="1"/>
      <c r="U5589" s="1"/>
      <c r="V5589" s="1"/>
      <c r="W5589" s="1"/>
      <c r="X5589" s="1"/>
    </row>
    <row x14ac:dyDescent="0.25" r="5590" customHeight="1" ht="18.75">
      <c r="A5590" s="1"/>
      <c r="B5590" s="1"/>
      <c r="C5590" s="1"/>
      <c r="D5590" s="1"/>
      <c r="E5590" s="1"/>
      <c r="F5590" s="1"/>
      <c r="G5590" s="1"/>
      <c r="H5590" s="1"/>
      <c r="I5590" s="2"/>
      <c r="J5590" s="1"/>
      <c r="K5590" s="1"/>
      <c r="L5590" s="1"/>
      <c r="M5590" s="1"/>
      <c r="N5590" s="1"/>
      <c r="O5590" s="1"/>
      <c r="P5590" s="1"/>
      <c r="Q5590" s="1"/>
      <c r="R5590" s="1"/>
      <c r="S5590" s="1"/>
      <c r="T5590" s="1"/>
      <c r="U5590" s="1"/>
      <c r="V5590" s="1"/>
      <c r="W5590" s="1"/>
      <c r="X5590" s="1"/>
    </row>
    <row x14ac:dyDescent="0.25" r="5591" customHeight="1" ht="18.75">
      <c r="A5591" s="1"/>
      <c r="B5591" s="1"/>
      <c r="C5591" s="1"/>
      <c r="D5591" s="1"/>
      <c r="E5591" s="1"/>
      <c r="F5591" s="1"/>
      <c r="G5591" s="1"/>
      <c r="H5591" s="1"/>
      <c r="I5591" s="2"/>
      <c r="J5591" s="1"/>
      <c r="K5591" s="1"/>
      <c r="L5591" s="1"/>
      <c r="M5591" s="1"/>
      <c r="N5591" s="1"/>
      <c r="O5591" s="1"/>
      <c r="P5591" s="1"/>
      <c r="Q5591" s="1"/>
      <c r="R5591" s="1"/>
      <c r="S5591" s="1"/>
      <c r="T5591" s="1"/>
      <c r="U5591" s="1"/>
      <c r="V5591" s="1"/>
      <c r="W5591" s="1"/>
      <c r="X5591" s="1"/>
    </row>
    <row x14ac:dyDescent="0.25" r="5592" customHeight="1" ht="18.75">
      <c r="A5592" s="1"/>
      <c r="B5592" s="1"/>
      <c r="C5592" s="1"/>
      <c r="D5592" s="1"/>
      <c r="E5592" s="1"/>
      <c r="F5592" s="1"/>
      <c r="G5592" s="1"/>
      <c r="H5592" s="1"/>
      <c r="I5592" s="2"/>
      <c r="J5592" s="1"/>
      <c r="K5592" s="1"/>
      <c r="L5592" s="1"/>
      <c r="M5592" s="1"/>
      <c r="N5592" s="1"/>
      <c r="O5592" s="1"/>
      <c r="P5592" s="1"/>
      <c r="Q5592" s="1"/>
      <c r="R5592" s="1"/>
      <c r="S5592" s="1"/>
      <c r="T5592" s="1"/>
      <c r="U5592" s="1"/>
      <c r="V5592" s="1"/>
      <c r="W5592" s="1"/>
      <c r="X5592" s="1"/>
    </row>
    <row x14ac:dyDescent="0.25" r="5593" customHeight="1" ht="18.75">
      <c r="A5593" s="1"/>
      <c r="B5593" s="1"/>
      <c r="C5593" s="1"/>
      <c r="D5593" s="1"/>
      <c r="E5593" s="1"/>
      <c r="F5593" s="1"/>
      <c r="G5593" s="1"/>
      <c r="H5593" s="1"/>
      <c r="I5593" s="2"/>
      <c r="J5593" s="1"/>
      <c r="K5593" s="1"/>
      <c r="L5593" s="1"/>
      <c r="M5593" s="1"/>
      <c r="N5593" s="1"/>
      <c r="O5593" s="1"/>
      <c r="P5593" s="1"/>
      <c r="Q5593" s="1"/>
      <c r="R5593" s="1"/>
      <c r="S5593" s="1"/>
      <c r="T5593" s="1"/>
      <c r="U5593" s="1"/>
      <c r="V5593" s="1"/>
      <c r="W5593" s="1"/>
      <c r="X5593" s="1"/>
    </row>
    <row x14ac:dyDescent="0.25" r="5594" customHeight="1" ht="18.75">
      <c r="A5594" s="1"/>
      <c r="B5594" s="1"/>
      <c r="C5594" s="1"/>
      <c r="D5594" s="1"/>
      <c r="E5594" s="1"/>
      <c r="F5594" s="1"/>
      <c r="G5594" s="1"/>
      <c r="H5594" s="1"/>
      <c r="I5594" s="2"/>
      <c r="J5594" s="1"/>
      <c r="K5594" s="1"/>
      <c r="L5594" s="1"/>
      <c r="M5594" s="1"/>
      <c r="N5594" s="1"/>
      <c r="O5594" s="1"/>
      <c r="P5594" s="1"/>
      <c r="Q5594" s="1"/>
      <c r="R5594" s="1"/>
      <c r="S5594" s="1"/>
      <c r="T5594" s="1"/>
      <c r="U5594" s="1"/>
      <c r="V5594" s="1"/>
      <c r="W5594" s="1"/>
      <c r="X5594" s="1"/>
    </row>
    <row x14ac:dyDescent="0.25" r="5595" customHeight="1" ht="18.75">
      <c r="A5595" s="1"/>
      <c r="B5595" s="1"/>
      <c r="C5595" s="1"/>
      <c r="D5595" s="1"/>
      <c r="E5595" s="1"/>
      <c r="F5595" s="1"/>
      <c r="G5595" s="1"/>
      <c r="H5595" s="1"/>
      <c r="I5595" s="2"/>
      <c r="J5595" s="1"/>
      <c r="K5595" s="1"/>
      <c r="L5595" s="1"/>
      <c r="M5595" s="1"/>
      <c r="N5595" s="1"/>
      <c r="O5595" s="1"/>
      <c r="P5595" s="1"/>
      <c r="Q5595" s="1"/>
      <c r="R5595" s="1"/>
      <c r="S5595" s="1"/>
      <c r="T5595" s="1"/>
      <c r="U5595" s="1"/>
      <c r="V5595" s="1"/>
      <c r="W5595" s="1"/>
      <c r="X5595" s="1"/>
    </row>
    <row x14ac:dyDescent="0.25" r="5596" customHeight="1" ht="18.75">
      <c r="A5596" s="1"/>
      <c r="B5596" s="1"/>
      <c r="C5596" s="1"/>
      <c r="D5596" s="1"/>
      <c r="E5596" s="1"/>
      <c r="F5596" s="1"/>
      <c r="G5596" s="1"/>
      <c r="H5596" s="1"/>
      <c r="I5596" s="2"/>
      <c r="J5596" s="1"/>
      <c r="K5596" s="1"/>
      <c r="L5596" s="1"/>
      <c r="M5596" s="1"/>
      <c r="N5596" s="1"/>
      <c r="O5596" s="1"/>
      <c r="P5596" s="1"/>
      <c r="Q5596" s="1"/>
      <c r="R5596" s="1"/>
      <c r="S5596" s="1"/>
      <c r="T5596" s="1"/>
      <c r="U5596" s="1"/>
      <c r="V5596" s="1"/>
      <c r="W5596" s="1"/>
      <c r="X5596" s="1"/>
    </row>
    <row x14ac:dyDescent="0.25" r="5597" customHeight="1" ht="18.75">
      <c r="A5597" s="1"/>
      <c r="B5597" s="1"/>
      <c r="C5597" s="1"/>
      <c r="D5597" s="1"/>
      <c r="E5597" s="1"/>
      <c r="F5597" s="1"/>
      <c r="G5597" s="1"/>
      <c r="H5597" s="1"/>
      <c r="I5597" s="2"/>
      <c r="J5597" s="1"/>
      <c r="K5597" s="1"/>
      <c r="L5597" s="1"/>
      <c r="M5597" s="1"/>
      <c r="N5597" s="1"/>
      <c r="O5597" s="1"/>
      <c r="P5597" s="1"/>
      <c r="Q5597" s="1"/>
      <c r="R5597" s="1"/>
      <c r="S5597" s="1"/>
      <c r="T5597" s="1"/>
      <c r="U5597" s="1"/>
      <c r="V5597" s="1"/>
      <c r="W5597" s="1"/>
      <c r="X5597" s="1"/>
    </row>
    <row x14ac:dyDescent="0.25" r="5598" customHeight="1" ht="18.75">
      <c r="A5598" s="1"/>
      <c r="B5598" s="1"/>
      <c r="C5598" s="1"/>
      <c r="D5598" s="1"/>
      <c r="E5598" s="1"/>
      <c r="F5598" s="1"/>
      <c r="G5598" s="1"/>
      <c r="H5598" s="1"/>
      <c r="I5598" s="2"/>
      <c r="J5598" s="1"/>
      <c r="K5598" s="1"/>
      <c r="L5598" s="1"/>
      <c r="M5598" s="1"/>
      <c r="N5598" s="1"/>
      <c r="O5598" s="1"/>
      <c r="P5598" s="1"/>
      <c r="Q5598" s="1"/>
      <c r="R5598" s="1"/>
      <c r="S5598" s="1"/>
      <c r="T5598" s="1"/>
      <c r="U5598" s="1"/>
      <c r="V5598" s="1"/>
      <c r="W5598" s="1"/>
      <c r="X5598" s="1"/>
    </row>
    <row x14ac:dyDescent="0.25" r="5599" customHeight="1" ht="18.75">
      <c r="A5599" s="1"/>
      <c r="B5599" s="1"/>
      <c r="C5599" s="1"/>
      <c r="D5599" s="1"/>
      <c r="E5599" s="1"/>
      <c r="F5599" s="1"/>
      <c r="G5599" s="1"/>
      <c r="H5599" s="1"/>
      <c r="I5599" s="2"/>
      <c r="J5599" s="1"/>
      <c r="K5599" s="1"/>
      <c r="L5599" s="1"/>
      <c r="M5599" s="1"/>
      <c r="N5599" s="1"/>
      <c r="O5599" s="1"/>
      <c r="P5599" s="1"/>
      <c r="Q5599" s="1"/>
      <c r="R5599" s="1"/>
      <c r="S5599" s="1"/>
      <c r="T5599" s="1"/>
      <c r="U5599" s="1"/>
      <c r="V5599" s="1"/>
      <c r="W5599" s="1"/>
      <c r="X5599" s="1"/>
    </row>
    <row x14ac:dyDescent="0.25" r="5600" customHeight="1" ht="18.75">
      <c r="A5600" s="1"/>
      <c r="B5600" s="1"/>
      <c r="C5600" s="1"/>
      <c r="D5600" s="1"/>
      <c r="E5600" s="1"/>
      <c r="F5600" s="1"/>
      <c r="G5600" s="1"/>
      <c r="H5600" s="1"/>
      <c r="I5600" s="2"/>
      <c r="J5600" s="1"/>
      <c r="K5600" s="1"/>
      <c r="L5600" s="1"/>
      <c r="M5600" s="1"/>
      <c r="N5600" s="1"/>
      <c r="O5600" s="1"/>
      <c r="P5600" s="1"/>
      <c r="Q5600" s="1"/>
      <c r="R5600" s="1"/>
      <c r="S5600" s="1"/>
      <c r="T5600" s="1"/>
      <c r="U5600" s="1"/>
      <c r="V5600" s="1"/>
      <c r="W5600" s="1"/>
      <c r="X5600" s="1"/>
    </row>
    <row x14ac:dyDescent="0.25" r="5601" customHeight="1" ht="18.75">
      <c r="A5601" s="1"/>
      <c r="B5601" s="1"/>
      <c r="C5601" s="1"/>
      <c r="D5601" s="1"/>
      <c r="E5601" s="1"/>
      <c r="F5601" s="1"/>
      <c r="G5601" s="1"/>
      <c r="H5601" s="1"/>
      <c r="I5601" s="2"/>
      <c r="J5601" s="1"/>
      <c r="K5601" s="1"/>
      <c r="L5601" s="1"/>
      <c r="M5601" s="1"/>
      <c r="N5601" s="1"/>
      <c r="O5601" s="1"/>
      <c r="P5601" s="1"/>
      <c r="Q5601" s="1"/>
      <c r="R5601" s="1"/>
      <c r="S5601" s="1"/>
      <c r="T5601" s="1"/>
      <c r="U5601" s="1"/>
      <c r="V5601" s="1"/>
      <c r="W5601" s="1"/>
      <c r="X5601" s="1"/>
    </row>
    <row x14ac:dyDescent="0.25" r="5602" customHeight="1" ht="18.75">
      <c r="A5602" s="1"/>
      <c r="B5602" s="1"/>
      <c r="C5602" s="1"/>
      <c r="D5602" s="1"/>
      <c r="E5602" s="1"/>
      <c r="F5602" s="1"/>
      <c r="G5602" s="1"/>
      <c r="H5602" s="1"/>
      <c r="I5602" s="2"/>
      <c r="J5602" s="1"/>
      <c r="K5602" s="1"/>
      <c r="L5602" s="1"/>
      <c r="M5602" s="1"/>
      <c r="N5602" s="1"/>
      <c r="O5602" s="1"/>
      <c r="P5602" s="1"/>
      <c r="Q5602" s="1"/>
      <c r="R5602" s="1"/>
      <c r="S5602" s="1"/>
      <c r="T5602" s="1"/>
      <c r="U5602" s="1"/>
      <c r="V5602" s="1"/>
      <c r="W5602" s="1"/>
      <c r="X5602" s="1"/>
    </row>
    <row x14ac:dyDescent="0.25" r="5603" customHeight="1" ht="18.75">
      <c r="A5603" s="1"/>
      <c r="B5603" s="1"/>
      <c r="C5603" s="1"/>
      <c r="D5603" s="1"/>
      <c r="E5603" s="1"/>
      <c r="F5603" s="1"/>
      <c r="G5603" s="1"/>
      <c r="H5603" s="1"/>
      <c r="I5603" s="2"/>
      <c r="J5603" s="1"/>
      <c r="K5603" s="1"/>
      <c r="L5603" s="1"/>
      <c r="M5603" s="1"/>
      <c r="N5603" s="1"/>
      <c r="O5603" s="1"/>
      <c r="P5603" s="1"/>
      <c r="Q5603" s="1"/>
      <c r="R5603" s="1"/>
      <c r="S5603" s="1"/>
      <c r="T5603" s="1"/>
      <c r="U5603" s="1"/>
      <c r="V5603" s="1"/>
      <c r="W5603" s="1"/>
      <c r="X5603" s="1"/>
    </row>
    <row x14ac:dyDescent="0.25" r="5604" customHeight="1" ht="18.75">
      <c r="A5604" s="1"/>
      <c r="B5604" s="1"/>
      <c r="C5604" s="1"/>
      <c r="D5604" s="1"/>
      <c r="E5604" s="1"/>
      <c r="F5604" s="1"/>
      <c r="G5604" s="1"/>
      <c r="H5604" s="1"/>
      <c r="I5604" s="2"/>
      <c r="J5604" s="1"/>
      <c r="K5604" s="1"/>
      <c r="L5604" s="1"/>
      <c r="M5604" s="1"/>
      <c r="N5604" s="1"/>
      <c r="O5604" s="1"/>
      <c r="P5604" s="1"/>
      <c r="Q5604" s="1"/>
      <c r="R5604" s="1"/>
      <c r="S5604" s="1"/>
      <c r="T5604" s="1"/>
      <c r="U5604" s="1"/>
      <c r="V5604" s="1"/>
      <c r="W5604" s="1"/>
      <c r="X5604" s="1"/>
    </row>
    <row x14ac:dyDescent="0.25" r="5605" customHeight="1" ht="18.75">
      <c r="A5605" s="1"/>
      <c r="B5605" s="1"/>
      <c r="C5605" s="1"/>
      <c r="D5605" s="1"/>
      <c r="E5605" s="1"/>
      <c r="F5605" s="1"/>
      <c r="G5605" s="1"/>
      <c r="H5605" s="1"/>
      <c r="I5605" s="2"/>
      <c r="J5605" s="1"/>
      <c r="K5605" s="1"/>
      <c r="L5605" s="1"/>
      <c r="M5605" s="1"/>
      <c r="N5605" s="1"/>
      <c r="O5605" s="1"/>
      <c r="P5605" s="1"/>
      <c r="Q5605" s="1"/>
      <c r="R5605" s="1"/>
      <c r="S5605" s="1"/>
      <c r="T5605" s="1"/>
      <c r="U5605" s="1"/>
      <c r="V5605" s="1"/>
      <c r="W5605" s="1"/>
      <c r="X5605" s="1"/>
    </row>
    <row x14ac:dyDescent="0.25" r="5606" customHeight="1" ht="18.75">
      <c r="A5606" s="1"/>
      <c r="B5606" s="1"/>
      <c r="C5606" s="1"/>
      <c r="D5606" s="1"/>
      <c r="E5606" s="1"/>
      <c r="F5606" s="1"/>
      <c r="G5606" s="1"/>
      <c r="H5606" s="1"/>
      <c r="I5606" s="2"/>
      <c r="J5606" s="1"/>
      <c r="K5606" s="1"/>
      <c r="L5606" s="1"/>
      <c r="M5606" s="1"/>
      <c r="N5606" s="1"/>
      <c r="O5606" s="1"/>
      <c r="P5606" s="1"/>
      <c r="Q5606" s="1"/>
      <c r="R5606" s="1"/>
      <c r="S5606" s="1"/>
      <c r="T5606" s="1"/>
      <c r="U5606" s="1"/>
      <c r="V5606" s="1"/>
      <c r="W5606" s="1"/>
      <c r="X5606" s="1"/>
    </row>
    <row x14ac:dyDescent="0.25" r="5607" customHeight="1" ht="18.75">
      <c r="A5607" s="1"/>
      <c r="B5607" s="1"/>
      <c r="C5607" s="1"/>
      <c r="D5607" s="1"/>
      <c r="E5607" s="1"/>
      <c r="F5607" s="1"/>
      <c r="G5607" s="1"/>
      <c r="H5607" s="1"/>
      <c r="I5607" s="2"/>
      <c r="J5607" s="1"/>
      <c r="K5607" s="1"/>
      <c r="L5607" s="1"/>
      <c r="M5607" s="1"/>
      <c r="N5607" s="1"/>
      <c r="O5607" s="1"/>
      <c r="P5607" s="1"/>
      <c r="Q5607" s="1"/>
      <c r="R5607" s="1"/>
      <c r="S5607" s="1"/>
      <c r="T5607" s="1"/>
      <c r="U5607" s="1"/>
      <c r="V5607" s="1"/>
      <c r="W5607" s="1"/>
      <c r="X5607" s="1"/>
    </row>
    <row x14ac:dyDescent="0.25" r="5608" customHeight="1" ht="18.75">
      <c r="A5608" s="1"/>
      <c r="B5608" s="1"/>
      <c r="C5608" s="1"/>
      <c r="D5608" s="1"/>
      <c r="E5608" s="1"/>
      <c r="F5608" s="1"/>
      <c r="G5608" s="1"/>
      <c r="H5608" s="1"/>
      <c r="I5608" s="2"/>
      <c r="J5608" s="1"/>
      <c r="K5608" s="1"/>
      <c r="L5608" s="1"/>
      <c r="M5608" s="1"/>
      <c r="N5608" s="1"/>
      <c r="O5608" s="1"/>
      <c r="P5608" s="1"/>
      <c r="Q5608" s="1"/>
      <c r="R5608" s="1"/>
      <c r="S5608" s="1"/>
      <c r="T5608" s="1"/>
      <c r="U5608" s="1"/>
      <c r="V5608" s="1"/>
      <c r="W5608" s="1"/>
      <c r="X5608" s="1"/>
    </row>
    <row x14ac:dyDescent="0.25" r="5609" customHeight="1" ht="18.75">
      <c r="A5609" s="1"/>
      <c r="B5609" s="1"/>
      <c r="C5609" s="1"/>
      <c r="D5609" s="1"/>
      <c r="E5609" s="1"/>
      <c r="F5609" s="1"/>
      <c r="G5609" s="1"/>
      <c r="H5609" s="1"/>
      <c r="I5609" s="2"/>
      <c r="J5609" s="1"/>
      <c r="K5609" s="1"/>
      <c r="L5609" s="1"/>
      <c r="M5609" s="1"/>
      <c r="N5609" s="1"/>
      <c r="O5609" s="1"/>
      <c r="P5609" s="1"/>
      <c r="Q5609" s="1"/>
      <c r="R5609" s="1"/>
      <c r="S5609" s="1"/>
      <c r="T5609" s="1"/>
      <c r="U5609" s="1"/>
      <c r="V5609" s="1"/>
      <c r="W5609" s="1"/>
      <c r="X5609" s="1"/>
    </row>
    <row x14ac:dyDescent="0.25" r="5610" customHeight="1" ht="18.75">
      <c r="A5610" s="1"/>
      <c r="B5610" s="1"/>
      <c r="C5610" s="1"/>
      <c r="D5610" s="1"/>
      <c r="E5610" s="1"/>
      <c r="F5610" s="1"/>
      <c r="G5610" s="1"/>
      <c r="H5610" s="1"/>
      <c r="I5610" s="2"/>
      <c r="J5610" s="1"/>
      <c r="K5610" s="1"/>
      <c r="L5610" s="1"/>
      <c r="M5610" s="1"/>
      <c r="N5610" s="1"/>
      <c r="O5610" s="1"/>
      <c r="P5610" s="1"/>
      <c r="Q5610" s="1"/>
      <c r="R5610" s="1"/>
      <c r="S5610" s="1"/>
      <c r="T5610" s="1"/>
      <c r="U5610" s="1"/>
      <c r="V5610" s="1"/>
      <c r="W5610" s="1"/>
      <c r="X5610" s="1"/>
    </row>
    <row x14ac:dyDescent="0.25" r="5611" customHeight="1" ht="18.75">
      <c r="A5611" s="1"/>
      <c r="B5611" s="1"/>
      <c r="C5611" s="1"/>
      <c r="D5611" s="1"/>
      <c r="E5611" s="1"/>
      <c r="F5611" s="1"/>
      <c r="G5611" s="1"/>
      <c r="H5611" s="1"/>
      <c r="I5611" s="2"/>
      <c r="J5611" s="1"/>
      <c r="K5611" s="1"/>
      <c r="L5611" s="1"/>
      <c r="M5611" s="1"/>
      <c r="N5611" s="1"/>
      <c r="O5611" s="1"/>
      <c r="P5611" s="1"/>
      <c r="Q5611" s="1"/>
      <c r="R5611" s="1"/>
      <c r="S5611" s="1"/>
      <c r="T5611" s="1"/>
      <c r="U5611" s="1"/>
      <c r="V5611" s="1"/>
      <c r="W5611" s="1"/>
      <c r="X5611" s="1"/>
    </row>
    <row x14ac:dyDescent="0.25" r="5612" customHeight="1" ht="18.75">
      <c r="A5612" s="1"/>
      <c r="B5612" s="1"/>
      <c r="C5612" s="1"/>
      <c r="D5612" s="1"/>
      <c r="E5612" s="1"/>
      <c r="F5612" s="1"/>
      <c r="G5612" s="1"/>
      <c r="H5612" s="1"/>
      <c r="I5612" s="2"/>
      <c r="J5612" s="1"/>
      <c r="K5612" s="1"/>
      <c r="L5612" s="1"/>
      <c r="M5612" s="1"/>
      <c r="N5612" s="1"/>
      <c r="O5612" s="1"/>
      <c r="P5612" s="1"/>
      <c r="Q5612" s="1"/>
      <c r="R5612" s="1"/>
      <c r="S5612" s="1"/>
      <c r="T5612" s="1"/>
      <c r="U5612" s="1"/>
      <c r="V5612" s="1"/>
      <c r="W5612" s="1"/>
      <c r="X5612" s="1"/>
    </row>
    <row x14ac:dyDescent="0.25" r="5613" customHeight="1" ht="18.75">
      <c r="A5613" s="1"/>
      <c r="B5613" s="1"/>
      <c r="C5613" s="1"/>
      <c r="D5613" s="1"/>
      <c r="E5613" s="1"/>
      <c r="F5613" s="1"/>
      <c r="G5613" s="1"/>
      <c r="H5613" s="1"/>
      <c r="I5613" s="2"/>
      <c r="J5613" s="1"/>
      <c r="K5613" s="1"/>
      <c r="L5613" s="1"/>
      <c r="M5613" s="1"/>
      <c r="N5613" s="1"/>
      <c r="O5613" s="1"/>
      <c r="P5613" s="1"/>
      <c r="Q5613" s="1"/>
      <c r="R5613" s="1"/>
      <c r="S5613" s="1"/>
      <c r="T5613" s="1"/>
      <c r="U5613" s="1"/>
      <c r="V5613" s="1"/>
      <c r="W5613" s="1"/>
      <c r="X5613" s="1"/>
    </row>
    <row x14ac:dyDescent="0.25" r="5614" customHeight="1" ht="18.75">
      <c r="A5614" s="1"/>
      <c r="B5614" s="1"/>
      <c r="C5614" s="1"/>
      <c r="D5614" s="1"/>
      <c r="E5614" s="1"/>
      <c r="F5614" s="1"/>
      <c r="G5614" s="1"/>
      <c r="H5614" s="1"/>
      <c r="I5614" s="2"/>
      <c r="J5614" s="1"/>
      <c r="K5614" s="1"/>
      <c r="L5614" s="1"/>
      <c r="M5614" s="1"/>
      <c r="N5614" s="1"/>
      <c r="O5614" s="1"/>
      <c r="P5614" s="1"/>
      <c r="Q5614" s="1"/>
      <c r="R5614" s="1"/>
      <c r="S5614" s="1"/>
      <c r="T5614" s="1"/>
      <c r="U5614" s="1"/>
      <c r="V5614" s="1"/>
      <c r="W5614" s="1"/>
      <c r="X5614" s="1"/>
    </row>
    <row x14ac:dyDescent="0.25" r="5615" customHeight="1" ht="18.75">
      <c r="A5615" s="1"/>
      <c r="B5615" s="1"/>
      <c r="C5615" s="1"/>
      <c r="D5615" s="1"/>
      <c r="E5615" s="1"/>
      <c r="F5615" s="1"/>
      <c r="G5615" s="1"/>
      <c r="H5615" s="1"/>
      <c r="I5615" s="2"/>
      <c r="J5615" s="1"/>
      <c r="K5615" s="1"/>
      <c r="L5615" s="1"/>
      <c r="M5615" s="1"/>
      <c r="N5615" s="1"/>
      <c r="O5615" s="1"/>
      <c r="P5615" s="1"/>
      <c r="Q5615" s="1"/>
      <c r="R5615" s="1"/>
      <c r="S5615" s="1"/>
      <c r="T5615" s="1"/>
      <c r="U5615" s="1"/>
      <c r="V5615" s="1"/>
      <c r="W5615" s="1"/>
      <c r="X5615" s="1"/>
    </row>
    <row x14ac:dyDescent="0.25" r="5616" customHeight="1" ht="18.75">
      <c r="A5616" s="1"/>
      <c r="B5616" s="1"/>
      <c r="C5616" s="1"/>
      <c r="D5616" s="1"/>
      <c r="E5616" s="1"/>
      <c r="F5616" s="1"/>
      <c r="G5616" s="1"/>
      <c r="H5616" s="1"/>
      <c r="I5616" s="2"/>
      <c r="J5616" s="1"/>
      <c r="K5616" s="1"/>
      <c r="L5616" s="1"/>
      <c r="M5616" s="1"/>
      <c r="N5616" s="1"/>
      <c r="O5616" s="1"/>
      <c r="P5616" s="1"/>
      <c r="Q5616" s="1"/>
      <c r="R5616" s="1"/>
      <c r="S5616" s="1"/>
      <c r="T5616" s="1"/>
      <c r="U5616" s="1"/>
      <c r="V5616" s="1"/>
      <c r="W5616" s="1"/>
      <c r="X5616" s="1"/>
    </row>
    <row x14ac:dyDescent="0.25" r="5617" customHeight="1" ht="18.75">
      <c r="A5617" s="1"/>
      <c r="B5617" s="1"/>
      <c r="C5617" s="1"/>
      <c r="D5617" s="1"/>
      <c r="E5617" s="1"/>
      <c r="F5617" s="1"/>
      <c r="G5617" s="1"/>
      <c r="H5617" s="1"/>
      <c r="I5617" s="2"/>
      <c r="J5617" s="1"/>
      <c r="K5617" s="1"/>
      <c r="L5617" s="1"/>
      <c r="M5617" s="1"/>
      <c r="N5617" s="1"/>
      <c r="O5617" s="1"/>
      <c r="P5617" s="1"/>
      <c r="Q5617" s="1"/>
      <c r="R5617" s="1"/>
      <c r="S5617" s="1"/>
      <c r="T5617" s="1"/>
      <c r="U5617" s="1"/>
      <c r="V5617" s="1"/>
      <c r="W5617" s="1"/>
      <c r="X5617" s="1"/>
    </row>
    <row x14ac:dyDescent="0.25" r="5618" customHeight="1" ht="18.75">
      <c r="A5618" s="1"/>
      <c r="B5618" s="1"/>
      <c r="C5618" s="1"/>
      <c r="D5618" s="1"/>
      <c r="E5618" s="1"/>
      <c r="F5618" s="1"/>
      <c r="G5618" s="1"/>
      <c r="H5618" s="1"/>
      <c r="I5618" s="2"/>
      <c r="J5618" s="1"/>
      <c r="K5618" s="1"/>
      <c r="L5618" s="1"/>
      <c r="M5618" s="1"/>
      <c r="N5618" s="1"/>
      <c r="O5618" s="1"/>
      <c r="P5618" s="1"/>
      <c r="Q5618" s="1"/>
      <c r="R5618" s="1"/>
      <c r="S5618" s="1"/>
      <c r="T5618" s="1"/>
      <c r="U5618" s="1"/>
      <c r="V5618" s="1"/>
      <c r="W5618" s="1"/>
      <c r="X5618" s="1"/>
    </row>
    <row x14ac:dyDescent="0.25" r="5619" customHeight="1" ht="18.75">
      <c r="A5619" s="1"/>
      <c r="B5619" s="1"/>
      <c r="C5619" s="1"/>
      <c r="D5619" s="1"/>
      <c r="E5619" s="1"/>
      <c r="F5619" s="1"/>
      <c r="G5619" s="1"/>
      <c r="H5619" s="1"/>
      <c r="I5619" s="2"/>
      <c r="J5619" s="1"/>
      <c r="K5619" s="1"/>
      <c r="L5619" s="1"/>
      <c r="M5619" s="1"/>
      <c r="N5619" s="1"/>
      <c r="O5619" s="1"/>
      <c r="P5619" s="1"/>
      <c r="Q5619" s="1"/>
      <c r="R5619" s="1"/>
      <c r="S5619" s="1"/>
      <c r="T5619" s="1"/>
      <c r="U5619" s="1"/>
      <c r="V5619" s="1"/>
      <c r="W5619" s="1"/>
      <c r="X5619" s="1"/>
    </row>
    <row x14ac:dyDescent="0.25" r="5620" customHeight="1" ht="18.75">
      <c r="A5620" s="1"/>
      <c r="B5620" s="1"/>
      <c r="C5620" s="1"/>
      <c r="D5620" s="1"/>
      <c r="E5620" s="1"/>
      <c r="F5620" s="1"/>
      <c r="G5620" s="1"/>
      <c r="H5620" s="1"/>
      <c r="I5620" s="2"/>
      <c r="J5620" s="1"/>
      <c r="K5620" s="1"/>
      <c r="L5620" s="1"/>
      <c r="M5620" s="1"/>
      <c r="N5620" s="1"/>
      <c r="O5620" s="1"/>
      <c r="P5620" s="1"/>
      <c r="Q5620" s="1"/>
      <c r="R5620" s="1"/>
      <c r="S5620" s="1"/>
      <c r="T5620" s="1"/>
      <c r="U5620" s="1"/>
      <c r="V5620" s="1"/>
      <c r="W5620" s="1"/>
      <c r="X5620" s="1"/>
    </row>
    <row x14ac:dyDescent="0.25" r="5621" customHeight="1" ht="18.75">
      <c r="A5621" s="1"/>
      <c r="B5621" s="1"/>
      <c r="C5621" s="1"/>
      <c r="D5621" s="1"/>
      <c r="E5621" s="1"/>
      <c r="F5621" s="1"/>
      <c r="G5621" s="1"/>
      <c r="H5621" s="1"/>
      <c r="I5621" s="2"/>
      <c r="J5621" s="1"/>
      <c r="K5621" s="1"/>
      <c r="L5621" s="1"/>
      <c r="M5621" s="1"/>
      <c r="N5621" s="1"/>
      <c r="O5621" s="1"/>
      <c r="P5621" s="1"/>
      <c r="Q5621" s="1"/>
      <c r="R5621" s="1"/>
      <c r="S5621" s="1"/>
      <c r="T5621" s="1"/>
      <c r="U5621" s="1"/>
      <c r="V5621" s="1"/>
      <c r="W5621" s="1"/>
      <c r="X5621" s="1"/>
    </row>
    <row x14ac:dyDescent="0.25" r="5622" customHeight="1" ht="18.75">
      <c r="A5622" s="1"/>
      <c r="B5622" s="1"/>
      <c r="C5622" s="1"/>
      <c r="D5622" s="1"/>
      <c r="E5622" s="1"/>
      <c r="F5622" s="1"/>
      <c r="G5622" s="1"/>
      <c r="H5622" s="1"/>
      <c r="I5622" s="2"/>
      <c r="J5622" s="1"/>
      <c r="K5622" s="1"/>
      <c r="L5622" s="1"/>
      <c r="M5622" s="1"/>
      <c r="N5622" s="1"/>
      <c r="O5622" s="1"/>
      <c r="P5622" s="1"/>
      <c r="Q5622" s="1"/>
      <c r="R5622" s="1"/>
      <c r="S5622" s="1"/>
      <c r="T5622" s="1"/>
      <c r="U5622" s="1"/>
      <c r="V5622" s="1"/>
      <c r="W5622" s="1"/>
      <c r="X5622" s="1"/>
    </row>
    <row x14ac:dyDescent="0.25" r="5623" customHeight="1" ht="18.75">
      <c r="A5623" s="1"/>
      <c r="B5623" s="1"/>
      <c r="C5623" s="1"/>
      <c r="D5623" s="1"/>
      <c r="E5623" s="1"/>
      <c r="F5623" s="1"/>
      <c r="G5623" s="1"/>
      <c r="H5623" s="1"/>
      <c r="I5623" s="2"/>
      <c r="J5623" s="1"/>
      <c r="K5623" s="1"/>
      <c r="L5623" s="1"/>
      <c r="M5623" s="1"/>
      <c r="N5623" s="1"/>
      <c r="O5623" s="1"/>
      <c r="P5623" s="1"/>
      <c r="Q5623" s="1"/>
      <c r="R5623" s="1"/>
      <c r="S5623" s="1"/>
      <c r="T5623" s="1"/>
      <c r="U5623" s="1"/>
      <c r="V5623" s="1"/>
      <c r="W5623" s="1"/>
      <c r="X5623" s="1"/>
    </row>
    <row x14ac:dyDescent="0.25" r="5624" customHeight="1" ht="18.75">
      <c r="A5624" s="1"/>
      <c r="B5624" s="1"/>
      <c r="C5624" s="1"/>
      <c r="D5624" s="1"/>
      <c r="E5624" s="1"/>
      <c r="F5624" s="1"/>
      <c r="G5624" s="1"/>
      <c r="H5624" s="1"/>
      <c r="I5624" s="2"/>
      <c r="J5624" s="1"/>
      <c r="K5624" s="1"/>
      <c r="L5624" s="1"/>
      <c r="M5624" s="1"/>
      <c r="N5624" s="1"/>
      <c r="O5624" s="1"/>
      <c r="P5624" s="1"/>
      <c r="Q5624" s="1"/>
      <c r="R5624" s="1"/>
      <c r="S5624" s="1"/>
      <c r="T5624" s="1"/>
      <c r="U5624" s="1"/>
      <c r="V5624" s="1"/>
      <c r="W5624" s="1"/>
      <c r="X5624" s="1"/>
    </row>
    <row x14ac:dyDescent="0.25" r="5625" customHeight="1" ht="18.75">
      <c r="A5625" s="1"/>
      <c r="B5625" s="1"/>
      <c r="C5625" s="1"/>
      <c r="D5625" s="1"/>
      <c r="E5625" s="1"/>
      <c r="F5625" s="1"/>
      <c r="G5625" s="1"/>
      <c r="H5625" s="1"/>
      <c r="I5625" s="2"/>
      <c r="J5625" s="1"/>
      <c r="K5625" s="1"/>
      <c r="L5625" s="1"/>
      <c r="M5625" s="1"/>
      <c r="N5625" s="1"/>
      <c r="O5625" s="1"/>
      <c r="P5625" s="1"/>
      <c r="Q5625" s="1"/>
      <c r="R5625" s="1"/>
      <c r="S5625" s="1"/>
      <c r="T5625" s="1"/>
      <c r="U5625" s="1"/>
      <c r="V5625" s="1"/>
      <c r="W5625" s="1"/>
      <c r="X5625" s="1"/>
    </row>
    <row x14ac:dyDescent="0.25" r="5626" customHeight="1" ht="18.75">
      <c r="A5626" s="1"/>
      <c r="B5626" s="1"/>
      <c r="C5626" s="1"/>
      <c r="D5626" s="1"/>
      <c r="E5626" s="1"/>
      <c r="F5626" s="1"/>
      <c r="G5626" s="1"/>
      <c r="H5626" s="1"/>
      <c r="I5626" s="2"/>
      <c r="J5626" s="1"/>
      <c r="K5626" s="1"/>
      <c r="L5626" s="1"/>
      <c r="M5626" s="1"/>
      <c r="N5626" s="1"/>
      <c r="O5626" s="1"/>
      <c r="P5626" s="1"/>
      <c r="Q5626" s="1"/>
      <c r="R5626" s="1"/>
      <c r="S5626" s="1"/>
      <c r="T5626" s="1"/>
      <c r="U5626" s="1"/>
      <c r="V5626" s="1"/>
      <c r="W5626" s="1"/>
      <c r="X5626" s="1"/>
    </row>
    <row x14ac:dyDescent="0.25" r="5627" customHeight="1" ht="18.75">
      <c r="A5627" s="1"/>
      <c r="B5627" s="1"/>
      <c r="C5627" s="1"/>
      <c r="D5627" s="1"/>
      <c r="E5627" s="1"/>
      <c r="F5627" s="1"/>
      <c r="G5627" s="1"/>
      <c r="H5627" s="1"/>
      <c r="I5627" s="2"/>
      <c r="J5627" s="1"/>
      <c r="K5627" s="1"/>
      <c r="L5627" s="1"/>
      <c r="M5627" s="1"/>
      <c r="N5627" s="1"/>
      <c r="O5627" s="1"/>
      <c r="P5627" s="1"/>
      <c r="Q5627" s="1"/>
      <c r="R5627" s="1"/>
      <c r="S5627" s="1"/>
      <c r="T5627" s="1"/>
      <c r="U5627" s="1"/>
      <c r="V5627" s="1"/>
      <c r="W5627" s="1"/>
      <c r="X5627" s="1"/>
    </row>
    <row x14ac:dyDescent="0.25" r="5628" customHeight="1" ht="18.75">
      <c r="A5628" s="1"/>
      <c r="B5628" s="1"/>
      <c r="C5628" s="1"/>
      <c r="D5628" s="1"/>
      <c r="E5628" s="1"/>
      <c r="F5628" s="1"/>
      <c r="G5628" s="1"/>
      <c r="H5628" s="1"/>
      <c r="I5628" s="2"/>
      <c r="J5628" s="1"/>
      <c r="K5628" s="1"/>
      <c r="L5628" s="1"/>
      <c r="M5628" s="1"/>
      <c r="N5628" s="1"/>
      <c r="O5628" s="1"/>
      <c r="P5628" s="1"/>
      <c r="Q5628" s="1"/>
      <c r="R5628" s="1"/>
      <c r="S5628" s="1"/>
      <c r="T5628" s="1"/>
      <c r="U5628" s="1"/>
      <c r="V5628" s="1"/>
      <c r="W5628" s="1"/>
      <c r="X5628" s="1"/>
    </row>
    <row x14ac:dyDescent="0.25" r="5629" customHeight="1" ht="18.75">
      <c r="A5629" s="1"/>
      <c r="B5629" s="1"/>
      <c r="C5629" s="1"/>
      <c r="D5629" s="1"/>
      <c r="E5629" s="1"/>
      <c r="F5629" s="1"/>
      <c r="G5629" s="1"/>
      <c r="H5629" s="1"/>
      <c r="I5629" s="2"/>
      <c r="J5629" s="1"/>
      <c r="K5629" s="1"/>
      <c r="L5629" s="1"/>
      <c r="M5629" s="1"/>
      <c r="N5629" s="1"/>
      <c r="O5629" s="1"/>
      <c r="P5629" s="1"/>
      <c r="Q5629" s="1"/>
      <c r="R5629" s="1"/>
      <c r="S5629" s="1"/>
      <c r="T5629" s="1"/>
      <c r="U5629" s="1"/>
      <c r="V5629" s="1"/>
      <c r="W5629" s="1"/>
      <c r="X5629" s="1"/>
    </row>
    <row x14ac:dyDescent="0.25" r="5630" customHeight="1" ht="18.75">
      <c r="A5630" s="1"/>
      <c r="B5630" s="1"/>
      <c r="C5630" s="1"/>
      <c r="D5630" s="1"/>
      <c r="E5630" s="1"/>
      <c r="F5630" s="1"/>
      <c r="G5630" s="1"/>
      <c r="H5630" s="1"/>
      <c r="I5630" s="2"/>
      <c r="J5630" s="1"/>
      <c r="K5630" s="1"/>
      <c r="L5630" s="1"/>
      <c r="M5630" s="1"/>
      <c r="N5630" s="1"/>
      <c r="O5630" s="1"/>
      <c r="P5630" s="1"/>
      <c r="Q5630" s="1"/>
      <c r="R5630" s="1"/>
      <c r="S5630" s="1"/>
      <c r="T5630" s="1"/>
      <c r="U5630" s="1"/>
      <c r="V5630" s="1"/>
      <c r="W5630" s="1"/>
      <c r="X5630" s="1"/>
    </row>
    <row x14ac:dyDescent="0.25" r="5631" customHeight="1" ht="18.75">
      <c r="A5631" s="1"/>
      <c r="B5631" s="1"/>
      <c r="C5631" s="1"/>
      <c r="D5631" s="1"/>
      <c r="E5631" s="1"/>
      <c r="F5631" s="1"/>
      <c r="G5631" s="1"/>
      <c r="H5631" s="1"/>
      <c r="I5631" s="2"/>
      <c r="J5631" s="1"/>
      <c r="K5631" s="1"/>
      <c r="L5631" s="1"/>
      <c r="M5631" s="1"/>
      <c r="N5631" s="1"/>
      <c r="O5631" s="1"/>
      <c r="P5631" s="1"/>
      <c r="Q5631" s="1"/>
      <c r="R5631" s="1"/>
      <c r="S5631" s="1"/>
      <c r="T5631" s="1"/>
      <c r="U5631" s="1"/>
      <c r="V5631" s="1"/>
      <c r="W5631" s="1"/>
      <c r="X5631" s="1"/>
    </row>
    <row x14ac:dyDescent="0.25" r="5632" customHeight="1" ht="18.75">
      <c r="A5632" s="1"/>
      <c r="B5632" s="1"/>
      <c r="C5632" s="1"/>
      <c r="D5632" s="1"/>
      <c r="E5632" s="1"/>
      <c r="F5632" s="1"/>
      <c r="G5632" s="1"/>
      <c r="H5632" s="1"/>
      <c r="I5632" s="2"/>
      <c r="J5632" s="1"/>
      <c r="K5632" s="1"/>
      <c r="L5632" s="1"/>
      <c r="M5632" s="1"/>
      <c r="N5632" s="1"/>
      <c r="O5632" s="1"/>
      <c r="P5632" s="1"/>
      <c r="Q5632" s="1"/>
      <c r="R5632" s="1"/>
      <c r="S5632" s="1"/>
      <c r="T5632" s="1"/>
      <c r="U5632" s="1"/>
      <c r="V5632" s="1"/>
      <c r="W5632" s="1"/>
      <c r="X5632" s="1"/>
    </row>
    <row x14ac:dyDescent="0.25" r="5633" customHeight="1" ht="18.75">
      <c r="A5633" s="1"/>
      <c r="B5633" s="1"/>
      <c r="C5633" s="1"/>
      <c r="D5633" s="1"/>
      <c r="E5633" s="1"/>
      <c r="F5633" s="1"/>
      <c r="G5633" s="1"/>
      <c r="H5633" s="1"/>
      <c r="I5633" s="2"/>
      <c r="J5633" s="1"/>
      <c r="K5633" s="1"/>
      <c r="L5633" s="1"/>
      <c r="M5633" s="1"/>
      <c r="N5633" s="1"/>
      <c r="O5633" s="1"/>
      <c r="P5633" s="1"/>
      <c r="Q5633" s="1"/>
      <c r="R5633" s="1"/>
      <c r="S5633" s="1"/>
      <c r="T5633" s="1"/>
      <c r="U5633" s="1"/>
      <c r="V5633" s="1"/>
      <c r="W5633" s="1"/>
      <c r="X5633" s="1"/>
    </row>
    <row x14ac:dyDescent="0.25" r="5634" customHeight="1" ht="18.75">
      <c r="A5634" s="1"/>
      <c r="B5634" s="1"/>
      <c r="C5634" s="1"/>
      <c r="D5634" s="1"/>
      <c r="E5634" s="1"/>
      <c r="F5634" s="1"/>
      <c r="G5634" s="1"/>
      <c r="H5634" s="1"/>
      <c r="I5634" s="2"/>
      <c r="J5634" s="1"/>
      <c r="K5634" s="1"/>
      <c r="L5634" s="1"/>
      <c r="M5634" s="1"/>
      <c r="N5634" s="1"/>
      <c r="O5634" s="1"/>
      <c r="P5634" s="1"/>
      <c r="Q5634" s="1"/>
      <c r="R5634" s="1"/>
      <c r="S5634" s="1"/>
      <c r="T5634" s="1"/>
      <c r="U5634" s="1"/>
      <c r="V5634" s="1"/>
      <c r="W5634" s="1"/>
      <c r="X5634" s="1"/>
    </row>
    <row x14ac:dyDescent="0.25" r="5635" customHeight="1" ht="18.75">
      <c r="A5635" s="1"/>
      <c r="B5635" s="1"/>
      <c r="C5635" s="1"/>
      <c r="D5635" s="1"/>
      <c r="E5635" s="1"/>
      <c r="F5635" s="1"/>
      <c r="G5635" s="1"/>
      <c r="H5635" s="1"/>
      <c r="I5635" s="2"/>
      <c r="J5635" s="1"/>
      <c r="K5635" s="1"/>
      <c r="L5635" s="1"/>
      <c r="M5635" s="1"/>
      <c r="N5635" s="1"/>
      <c r="O5635" s="1"/>
      <c r="P5635" s="1"/>
      <c r="Q5635" s="1"/>
      <c r="R5635" s="1"/>
      <c r="S5635" s="1"/>
      <c r="T5635" s="1"/>
      <c r="U5635" s="1"/>
      <c r="V5635" s="1"/>
      <c r="W5635" s="1"/>
      <c r="X5635" s="1"/>
    </row>
    <row x14ac:dyDescent="0.25" r="5636" customHeight="1" ht="18.75">
      <c r="A5636" s="1"/>
      <c r="B5636" s="1"/>
      <c r="C5636" s="1"/>
      <c r="D5636" s="1"/>
      <c r="E5636" s="1"/>
      <c r="F5636" s="1"/>
      <c r="G5636" s="1"/>
      <c r="H5636" s="1"/>
      <c r="I5636" s="2"/>
      <c r="J5636" s="1"/>
      <c r="K5636" s="1"/>
      <c r="L5636" s="1"/>
      <c r="M5636" s="1"/>
      <c r="N5636" s="1"/>
      <c r="O5636" s="1"/>
      <c r="P5636" s="1"/>
      <c r="Q5636" s="1"/>
      <c r="R5636" s="1"/>
      <c r="S5636" s="1"/>
      <c r="T5636" s="1"/>
      <c r="U5636" s="1"/>
      <c r="V5636" s="1"/>
      <c r="W5636" s="1"/>
      <c r="X5636" s="1"/>
    </row>
    <row x14ac:dyDescent="0.25" r="5637" customHeight="1" ht="18.75">
      <c r="A5637" s="1"/>
      <c r="B5637" s="1"/>
      <c r="C5637" s="1"/>
      <c r="D5637" s="1"/>
      <c r="E5637" s="1"/>
      <c r="F5637" s="1"/>
      <c r="G5637" s="1"/>
      <c r="H5637" s="1"/>
      <c r="I5637" s="2"/>
      <c r="J5637" s="1"/>
      <c r="K5637" s="1"/>
      <c r="L5637" s="1"/>
      <c r="M5637" s="1"/>
      <c r="N5637" s="1"/>
      <c r="O5637" s="1"/>
      <c r="P5637" s="1"/>
      <c r="Q5637" s="1"/>
      <c r="R5637" s="1"/>
      <c r="S5637" s="1"/>
      <c r="T5637" s="1"/>
      <c r="U5637" s="1"/>
      <c r="V5637" s="1"/>
      <c r="W5637" s="1"/>
      <c r="X5637" s="1"/>
    </row>
    <row x14ac:dyDescent="0.25" r="5638" customHeight="1" ht="18.75">
      <c r="A5638" s="1"/>
      <c r="B5638" s="1"/>
      <c r="C5638" s="1"/>
      <c r="D5638" s="1"/>
      <c r="E5638" s="1"/>
      <c r="F5638" s="1"/>
      <c r="G5638" s="1"/>
      <c r="H5638" s="1"/>
      <c r="I5638" s="2"/>
      <c r="J5638" s="1"/>
      <c r="K5638" s="1"/>
      <c r="L5638" s="1"/>
      <c r="M5638" s="1"/>
      <c r="N5638" s="1"/>
      <c r="O5638" s="1"/>
      <c r="P5638" s="1"/>
      <c r="Q5638" s="1"/>
      <c r="R5638" s="1"/>
      <c r="S5638" s="1"/>
      <c r="T5638" s="1"/>
      <c r="U5638" s="1"/>
      <c r="V5638" s="1"/>
      <c r="W5638" s="1"/>
      <c r="X5638" s="1"/>
    </row>
    <row x14ac:dyDescent="0.25" r="5639" customHeight="1" ht="18.75">
      <c r="A5639" s="1"/>
      <c r="B5639" s="1"/>
      <c r="C5639" s="1"/>
      <c r="D5639" s="1"/>
      <c r="E5639" s="1"/>
      <c r="F5639" s="1"/>
      <c r="G5639" s="1"/>
      <c r="H5639" s="1"/>
      <c r="I5639" s="2"/>
      <c r="J5639" s="1"/>
      <c r="K5639" s="1"/>
      <c r="L5639" s="1"/>
      <c r="M5639" s="1"/>
      <c r="N5639" s="1"/>
      <c r="O5639" s="1"/>
      <c r="P5639" s="1"/>
      <c r="Q5639" s="1"/>
      <c r="R5639" s="1"/>
      <c r="S5639" s="1"/>
      <c r="T5639" s="1"/>
      <c r="U5639" s="1"/>
      <c r="V5639" s="1"/>
      <c r="W5639" s="1"/>
      <c r="X5639" s="1"/>
    </row>
    <row x14ac:dyDescent="0.25" r="5640" customHeight="1" ht="18.75">
      <c r="A5640" s="1"/>
      <c r="B5640" s="1"/>
      <c r="C5640" s="1"/>
      <c r="D5640" s="1"/>
      <c r="E5640" s="1"/>
      <c r="F5640" s="1"/>
      <c r="G5640" s="1"/>
      <c r="H5640" s="1"/>
      <c r="I5640" s="2"/>
      <c r="J5640" s="1"/>
      <c r="K5640" s="1"/>
      <c r="L5640" s="1"/>
      <c r="M5640" s="1"/>
      <c r="N5640" s="1"/>
      <c r="O5640" s="1"/>
      <c r="P5640" s="1"/>
      <c r="Q5640" s="1"/>
      <c r="R5640" s="1"/>
      <c r="S5640" s="1"/>
      <c r="T5640" s="1"/>
      <c r="U5640" s="1"/>
      <c r="V5640" s="1"/>
      <c r="W5640" s="1"/>
      <c r="X5640" s="1"/>
    </row>
    <row x14ac:dyDescent="0.25" r="5641" customHeight="1" ht="18.75">
      <c r="A5641" s="1"/>
      <c r="B5641" s="1"/>
      <c r="C5641" s="1"/>
      <c r="D5641" s="1"/>
      <c r="E5641" s="1"/>
      <c r="F5641" s="1"/>
      <c r="G5641" s="1"/>
      <c r="H5641" s="1"/>
      <c r="I5641" s="2"/>
      <c r="J5641" s="1"/>
      <c r="K5641" s="1"/>
      <c r="L5641" s="1"/>
      <c r="M5641" s="1"/>
      <c r="N5641" s="1"/>
      <c r="O5641" s="1"/>
      <c r="P5641" s="1"/>
      <c r="Q5641" s="1"/>
      <c r="R5641" s="1"/>
      <c r="S5641" s="1"/>
      <c r="T5641" s="1"/>
      <c r="U5641" s="1"/>
      <c r="V5641" s="1"/>
      <c r="W5641" s="1"/>
      <c r="X5641" s="1"/>
    </row>
    <row x14ac:dyDescent="0.25" r="5642" customHeight="1" ht="18.75">
      <c r="A5642" s="1"/>
      <c r="B5642" s="1"/>
      <c r="C5642" s="1"/>
      <c r="D5642" s="1"/>
      <c r="E5642" s="1"/>
      <c r="F5642" s="1"/>
      <c r="G5642" s="1"/>
      <c r="H5642" s="1"/>
      <c r="I5642" s="2"/>
      <c r="J5642" s="1"/>
      <c r="K5642" s="1"/>
      <c r="L5642" s="1"/>
      <c r="M5642" s="1"/>
      <c r="N5642" s="1"/>
      <c r="O5642" s="1"/>
      <c r="P5642" s="1"/>
      <c r="Q5642" s="1"/>
      <c r="R5642" s="1"/>
      <c r="S5642" s="1"/>
      <c r="T5642" s="1"/>
      <c r="U5642" s="1"/>
      <c r="V5642" s="1"/>
      <c r="W5642" s="1"/>
      <c r="X5642" s="1"/>
    </row>
    <row x14ac:dyDescent="0.25" r="5643" customHeight="1" ht="18.75">
      <c r="A5643" s="1"/>
      <c r="B5643" s="1"/>
      <c r="C5643" s="1"/>
      <c r="D5643" s="1"/>
      <c r="E5643" s="1"/>
      <c r="F5643" s="1"/>
      <c r="G5643" s="1"/>
      <c r="H5643" s="1"/>
      <c r="I5643" s="2"/>
      <c r="J5643" s="1"/>
      <c r="K5643" s="1"/>
      <c r="L5643" s="1"/>
      <c r="M5643" s="1"/>
      <c r="N5643" s="1"/>
      <c r="O5643" s="1"/>
      <c r="P5643" s="1"/>
      <c r="Q5643" s="1"/>
      <c r="R5643" s="1"/>
      <c r="S5643" s="1"/>
      <c r="T5643" s="1"/>
      <c r="U5643" s="1"/>
      <c r="V5643" s="1"/>
      <c r="W5643" s="1"/>
      <c r="X5643" s="1"/>
    </row>
    <row x14ac:dyDescent="0.25" r="5644" customHeight="1" ht="18.75">
      <c r="A5644" s="1"/>
      <c r="B5644" s="1"/>
      <c r="C5644" s="1"/>
      <c r="D5644" s="1"/>
      <c r="E5644" s="1"/>
      <c r="F5644" s="1"/>
      <c r="G5644" s="1"/>
      <c r="H5644" s="1"/>
      <c r="I5644" s="2"/>
      <c r="J5644" s="1"/>
      <c r="K5644" s="1"/>
      <c r="L5644" s="1"/>
      <c r="M5644" s="1"/>
      <c r="N5644" s="1"/>
      <c r="O5644" s="1"/>
      <c r="P5644" s="1"/>
      <c r="Q5644" s="1"/>
      <c r="R5644" s="1"/>
      <c r="S5644" s="1"/>
      <c r="T5644" s="1"/>
      <c r="U5644" s="1"/>
      <c r="V5644" s="1"/>
      <c r="W5644" s="1"/>
      <c r="X5644" s="1"/>
    </row>
    <row x14ac:dyDescent="0.25" r="5645" customHeight="1" ht="18.75">
      <c r="A5645" s="1"/>
      <c r="B5645" s="1"/>
      <c r="C5645" s="1"/>
      <c r="D5645" s="1"/>
      <c r="E5645" s="1"/>
      <c r="F5645" s="1"/>
      <c r="G5645" s="1"/>
      <c r="H5645" s="1"/>
      <c r="I5645" s="2"/>
      <c r="J5645" s="1"/>
      <c r="K5645" s="1"/>
      <c r="L5645" s="1"/>
      <c r="M5645" s="1"/>
      <c r="N5645" s="1"/>
      <c r="O5645" s="1"/>
      <c r="P5645" s="1"/>
      <c r="Q5645" s="1"/>
      <c r="R5645" s="1"/>
      <c r="S5645" s="1"/>
      <c r="T5645" s="1"/>
      <c r="U5645" s="1"/>
      <c r="V5645" s="1"/>
      <c r="W5645" s="1"/>
      <c r="X5645" s="1"/>
    </row>
    <row x14ac:dyDescent="0.25" r="5646" customHeight="1" ht="18.75">
      <c r="A5646" s="1"/>
      <c r="B5646" s="1"/>
      <c r="C5646" s="1"/>
      <c r="D5646" s="1"/>
      <c r="E5646" s="1"/>
      <c r="F5646" s="1"/>
      <c r="G5646" s="1"/>
      <c r="H5646" s="1"/>
      <c r="I5646" s="2"/>
      <c r="J5646" s="1"/>
      <c r="K5646" s="1"/>
      <c r="L5646" s="1"/>
      <c r="M5646" s="1"/>
      <c r="N5646" s="1"/>
      <c r="O5646" s="1"/>
      <c r="P5646" s="1"/>
      <c r="Q5646" s="1"/>
      <c r="R5646" s="1"/>
      <c r="S5646" s="1"/>
      <c r="T5646" s="1"/>
      <c r="U5646" s="1"/>
      <c r="V5646" s="1"/>
      <c r="W5646" s="1"/>
      <c r="X5646" s="1"/>
    </row>
    <row x14ac:dyDescent="0.25" r="5647" customHeight="1" ht="18.75">
      <c r="A5647" s="1"/>
      <c r="B5647" s="1"/>
      <c r="C5647" s="1"/>
      <c r="D5647" s="1"/>
      <c r="E5647" s="1"/>
      <c r="F5647" s="1"/>
      <c r="G5647" s="1"/>
      <c r="H5647" s="1"/>
      <c r="I5647" s="2"/>
      <c r="J5647" s="1"/>
      <c r="K5647" s="1"/>
      <c r="L5647" s="1"/>
      <c r="M5647" s="1"/>
      <c r="N5647" s="1"/>
      <c r="O5647" s="1"/>
      <c r="P5647" s="1"/>
      <c r="Q5647" s="1"/>
      <c r="R5647" s="1"/>
      <c r="S5647" s="1"/>
      <c r="T5647" s="1"/>
      <c r="U5647" s="1"/>
      <c r="V5647" s="1"/>
      <c r="W5647" s="1"/>
      <c r="X5647" s="1"/>
    </row>
    <row x14ac:dyDescent="0.25" r="5648" customHeight="1" ht="18.75">
      <c r="A5648" s="1"/>
      <c r="B5648" s="1"/>
      <c r="C5648" s="1"/>
      <c r="D5648" s="1"/>
      <c r="E5648" s="1"/>
      <c r="F5648" s="1"/>
      <c r="G5648" s="1"/>
      <c r="H5648" s="1"/>
      <c r="I5648" s="2"/>
      <c r="J5648" s="1"/>
      <c r="K5648" s="1"/>
      <c r="L5648" s="1"/>
      <c r="M5648" s="1"/>
      <c r="N5648" s="1"/>
      <c r="O5648" s="1"/>
      <c r="P5648" s="1"/>
      <c r="Q5648" s="1"/>
      <c r="R5648" s="1"/>
      <c r="S5648" s="1"/>
      <c r="T5648" s="1"/>
      <c r="U5648" s="1"/>
      <c r="V5648" s="1"/>
      <c r="W5648" s="1"/>
      <c r="X5648" s="1"/>
    </row>
    <row x14ac:dyDescent="0.25" r="5649" customHeight="1" ht="18.75">
      <c r="A5649" s="1"/>
      <c r="B5649" s="1"/>
      <c r="C5649" s="1"/>
      <c r="D5649" s="1"/>
      <c r="E5649" s="1"/>
      <c r="F5649" s="1"/>
      <c r="G5649" s="1"/>
      <c r="H5649" s="1"/>
      <c r="I5649" s="2"/>
      <c r="J5649" s="1"/>
      <c r="K5649" s="1"/>
      <c r="L5649" s="1"/>
      <c r="M5649" s="1"/>
      <c r="N5649" s="1"/>
      <c r="O5649" s="1"/>
      <c r="P5649" s="1"/>
      <c r="Q5649" s="1"/>
      <c r="R5649" s="1"/>
      <c r="S5649" s="1"/>
      <c r="T5649" s="1"/>
      <c r="U5649" s="1"/>
      <c r="V5649" s="1"/>
      <c r="W5649" s="1"/>
      <c r="X5649" s="1"/>
    </row>
    <row x14ac:dyDescent="0.25" r="5650" customHeight="1" ht="18.75">
      <c r="A5650" s="1"/>
      <c r="B5650" s="1"/>
      <c r="C5650" s="1"/>
      <c r="D5650" s="1"/>
      <c r="E5650" s="1"/>
      <c r="F5650" s="1"/>
      <c r="G5650" s="1"/>
      <c r="H5650" s="1"/>
      <c r="I5650" s="2"/>
      <c r="J5650" s="1"/>
      <c r="K5650" s="1"/>
      <c r="L5650" s="1"/>
      <c r="M5650" s="1"/>
      <c r="N5650" s="1"/>
      <c r="O5650" s="1"/>
      <c r="P5650" s="1"/>
      <c r="Q5650" s="1"/>
      <c r="R5650" s="1"/>
      <c r="S5650" s="1"/>
      <c r="T5650" s="1"/>
      <c r="U5650" s="1"/>
      <c r="V5650" s="1"/>
      <c r="W5650" s="1"/>
      <c r="X5650" s="1"/>
    </row>
    <row x14ac:dyDescent="0.25" r="5651" customHeight="1" ht="18.75">
      <c r="A5651" s="1"/>
      <c r="B5651" s="1"/>
      <c r="C5651" s="1"/>
      <c r="D5651" s="1"/>
      <c r="E5651" s="1"/>
      <c r="F5651" s="1"/>
      <c r="G5651" s="1"/>
      <c r="H5651" s="1"/>
      <c r="I5651" s="2"/>
      <c r="J5651" s="1"/>
      <c r="K5651" s="1"/>
      <c r="L5651" s="1"/>
      <c r="M5651" s="1"/>
      <c r="N5651" s="1"/>
      <c r="O5651" s="1"/>
      <c r="P5651" s="1"/>
      <c r="Q5651" s="1"/>
      <c r="R5651" s="1"/>
      <c r="S5651" s="1"/>
      <c r="T5651" s="1"/>
      <c r="U5651" s="1"/>
      <c r="V5651" s="1"/>
      <c r="W5651" s="1"/>
      <c r="X5651" s="1"/>
    </row>
    <row x14ac:dyDescent="0.25" r="5652" customHeight="1" ht="18.75">
      <c r="A5652" s="1"/>
      <c r="B5652" s="1"/>
      <c r="C5652" s="1"/>
      <c r="D5652" s="1"/>
      <c r="E5652" s="1"/>
      <c r="F5652" s="1"/>
      <c r="G5652" s="1"/>
      <c r="H5652" s="1"/>
      <c r="I5652" s="2"/>
      <c r="J5652" s="1"/>
      <c r="K5652" s="1"/>
      <c r="L5652" s="1"/>
      <c r="M5652" s="1"/>
      <c r="N5652" s="1"/>
      <c r="O5652" s="1"/>
      <c r="P5652" s="1"/>
      <c r="Q5652" s="1"/>
      <c r="R5652" s="1"/>
      <c r="S5652" s="1"/>
      <c r="T5652" s="1"/>
      <c r="U5652" s="1"/>
      <c r="V5652" s="1"/>
      <c r="W5652" s="1"/>
      <c r="X5652" s="1"/>
    </row>
    <row x14ac:dyDescent="0.25" r="5653" customHeight="1" ht="18.75">
      <c r="A5653" s="1"/>
      <c r="B5653" s="1"/>
      <c r="C5653" s="1"/>
      <c r="D5653" s="1"/>
      <c r="E5653" s="1"/>
      <c r="F5653" s="1"/>
      <c r="G5653" s="1"/>
      <c r="H5653" s="1"/>
      <c r="I5653" s="2"/>
      <c r="J5653" s="1"/>
      <c r="K5653" s="1"/>
      <c r="L5653" s="1"/>
      <c r="M5653" s="1"/>
      <c r="N5653" s="1"/>
      <c r="O5653" s="1"/>
      <c r="P5653" s="1"/>
      <c r="Q5653" s="1"/>
      <c r="R5653" s="1"/>
      <c r="S5653" s="1"/>
      <c r="T5653" s="1"/>
      <c r="U5653" s="1"/>
      <c r="V5653" s="1"/>
      <c r="W5653" s="1"/>
      <c r="X5653" s="1"/>
    </row>
    <row x14ac:dyDescent="0.25" r="5654" customHeight="1" ht="18.75">
      <c r="A5654" s="1"/>
      <c r="B5654" s="1"/>
      <c r="C5654" s="1"/>
      <c r="D5654" s="1"/>
      <c r="E5654" s="1"/>
      <c r="F5654" s="1"/>
      <c r="G5654" s="1"/>
      <c r="H5654" s="1"/>
      <c r="I5654" s="2"/>
      <c r="J5654" s="1"/>
      <c r="K5654" s="1"/>
      <c r="L5654" s="1"/>
      <c r="M5654" s="1"/>
      <c r="N5654" s="1"/>
      <c r="O5654" s="1"/>
      <c r="P5654" s="1"/>
      <c r="Q5654" s="1"/>
      <c r="R5654" s="1"/>
      <c r="S5654" s="1"/>
      <c r="T5654" s="1"/>
      <c r="U5654" s="1"/>
      <c r="V5654" s="1"/>
      <c r="W5654" s="1"/>
      <c r="X5654" s="1"/>
    </row>
    <row x14ac:dyDescent="0.25" r="5655" customHeight="1" ht="18.75">
      <c r="A5655" s="1"/>
      <c r="B5655" s="1"/>
      <c r="C5655" s="1"/>
      <c r="D5655" s="1"/>
      <c r="E5655" s="1"/>
      <c r="F5655" s="1"/>
      <c r="G5655" s="1"/>
      <c r="H5655" s="1"/>
      <c r="I5655" s="2"/>
      <c r="J5655" s="1"/>
      <c r="K5655" s="1"/>
      <c r="L5655" s="1"/>
      <c r="M5655" s="1"/>
      <c r="N5655" s="1"/>
      <c r="O5655" s="1"/>
      <c r="P5655" s="1"/>
      <c r="Q5655" s="1"/>
      <c r="R5655" s="1"/>
      <c r="S5655" s="1"/>
      <c r="T5655" s="1"/>
      <c r="U5655" s="1"/>
      <c r="V5655" s="1"/>
      <c r="W5655" s="1"/>
      <c r="X5655" s="1"/>
    </row>
    <row x14ac:dyDescent="0.25" r="5656" customHeight="1" ht="18.75">
      <c r="A5656" s="1"/>
      <c r="B5656" s="1"/>
      <c r="C5656" s="1"/>
      <c r="D5656" s="1"/>
      <c r="E5656" s="1"/>
      <c r="F5656" s="1"/>
      <c r="G5656" s="1"/>
      <c r="H5656" s="1"/>
      <c r="I5656" s="2"/>
      <c r="J5656" s="1"/>
      <c r="K5656" s="1"/>
      <c r="L5656" s="1"/>
      <c r="M5656" s="1"/>
      <c r="N5656" s="1"/>
      <c r="O5656" s="1"/>
      <c r="P5656" s="1"/>
      <c r="Q5656" s="1"/>
      <c r="R5656" s="1"/>
      <c r="S5656" s="1"/>
      <c r="T5656" s="1"/>
      <c r="U5656" s="1"/>
      <c r="V5656" s="1"/>
      <c r="W5656" s="1"/>
      <c r="X5656" s="1"/>
    </row>
    <row x14ac:dyDescent="0.25" r="5657" customHeight="1" ht="18.75">
      <c r="A5657" s="1"/>
      <c r="B5657" s="1"/>
      <c r="C5657" s="1"/>
      <c r="D5657" s="1"/>
      <c r="E5657" s="1"/>
      <c r="F5657" s="1"/>
      <c r="G5657" s="1"/>
      <c r="H5657" s="1"/>
      <c r="I5657" s="2"/>
      <c r="J5657" s="1"/>
      <c r="K5657" s="1"/>
      <c r="L5657" s="1"/>
      <c r="M5657" s="1"/>
      <c r="N5657" s="1"/>
      <c r="O5657" s="1"/>
      <c r="P5657" s="1"/>
      <c r="Q5657" s="1"/>
      <c r="R5657" s="1"/>
      <c r="S5657" s="1"/>
      <c r="T5657" s="1"/>
      <c r="U5657" s="1"/>
      <c r="V5657" s="1"/>
      <c r="W5657" s="1"/>
      <c r="X5657" s="1"/>
    </row>
    <row x14ac:dyDescent="0.25" r="5658" customHeight="1" ht="18.75">
      <c r="A5658" s="1"/>
      <c r="B5658" s="1"/>
      <c r="C5658" s="1"/>
      <c r="D5658" s="1"/>
      <c r="E5658" s="1"/>
      <c r="F5658" s="1"/>
      <c r="G5658" s="1"/>
      <c r="H5658" s="1"/>
      <c r="I5658" s="2"/>
      <c r="J5658" s="1"/>
      <c r="K5658" s="1"/>
      <c r="L5658" s="1"/>
      <c r="M5658" s="1"/>
      <c r="N5658" s="1"/>
      <c r="O5658" s="1"/>
      <c r="P5658" s="1"/>
      <c r="Q5658" s="1"/>
      <c r="R5658" s="1"/>
      <c r="S5658" s="1"/>
      <c r="T5658" s="1"/>
      <c r="U5658" s="1"/>
      <c r="V5658" s="1"/>
      <c r="W5658" s="1"/>
      <c r="X5658" s="1"/>
    </row>
    <row x14ac:dyDescent="0.25" r="5659" customHeight="1" ht="18.75">
      <c r="A5659" s="1"/>
      <c r="B5659" s="1"/>
      <c r="C5659" s="1"/>
      <c r="D5659" s="1"/>
      <c r="E5659" s="1"/>
      <c r="F5659" s="1"/>
      <c r="G5659" s="1"/>
      <c r="H5659" s="1"/>
      <c r="I5659" s="2"/>
      <c r="J5659" s="1"/>
      <c r="K5659" s="1"/>
      <c r="L5659" s="1"/>
      <c r="M5659" s="1"/>
      <c r="N5659" s="1"/>
      <c r="O5659" s="1"/>
      <c r="P5659" s="1"/>
      <c r="Q5659" s="1"/>
      <c r="R5659" s="1"/>
      <c r="S5659" s="1"/>
      <c r="T5659" s="1"/>
      <c r="U5659" s="1"/>
      <c r="V5659" s="1"/>
      <c r="W5659" s="1"/>
      <c r="X5659" s="1"/>
    </row>
    <row x14ac:dyDescent="0.25" r="5660" customHeight="1" ht="18.75">
      <c r="A5660" s="1"/>
      <c r="B5660" s="1"/>
      <c r="C5660" s="1"/>
      <c r="D5660" s="1"/>
      <c r="E5660" s="1"/>
      <c r="F5660" s="1"/>
      <c r="G5660" s="1"/>
      <c r="H5660" s="1"/>
      <c r="I5660" s="2"/>
      <c r="J5660" s="1"/>
      <c r="K5660" s="1"/>
      <c r="L5660" s="1"/>
      <c r="M5660" s="1"/>
      <c r="N5660" s="1"/>
      <c r="O5660" s="1"/>
      <c r="P5660" s="1"/>
      <c r="Q5660" s="1"/>
      <c r="R5660" s="1"/>
      <c r="S5660" s="1"/>
      <c r="T5660" s="1"/>
      <c r="U5660" s="1"/>
      <c r="V5660" s="1"/>
      <c r="W5660" s="1"/>
      <c r="X5660" s="1"/>
    </row>
    <row x14ac:dyDescent="0.25" r="5661" customHeight="1" ht="18.75">
      <c r="A5661" s="1"/>
      <c r="B5661" s="1"/>
      <c r="C5661" s="1"/>
      <c r="D5661" s="1"/>
      <c r="E5661" s="1"/>
      <c r="F5661" s="1"/>
      <c r="G5661" s="1"/>
      <c r="H5661" s="1"/>
      <c r="I5661" s="2"/>
      <c r="J5661" s="1"/>
      <c r="K5661" s="1"/>
      <c r="L5661" s="1"/>
      <c r="M5661" s="1"/>
      <c r="N5661" s="1"/>
      <c r="O5661" s="1"/>
      <c r="P5661" s="1"/>
      <c r="Q5661" s="1"/>
      <c r="R5661" s="1"/>
      <c r="S5661" s="1"/>
      <c r="T5661" s="1"/>
      <c r="U5661" s="1"/>
      <c r="V5661" s="1"/>
      <c r="W5661" s="1"/>
      <c r="X5661" s="1"/>
    </row>
    <row x14ac:dyDescent="0.25" r="5662" customHeight="1" ht="18.75">
      <c r="A5662" s="1"/>
      <c r="B5662" s="1"/>
      <c r="C5662" s="1"/>
      <c r="D5662" s="1"/>
      <c r="E5662" s="1"/>
      <c r="F5662" s="1"/>
      <c r="G5662" s="1"/>
      <c r="H5662" s="1"/>
      <c r="I5662" s="2"/>
      <c r="J5662" s="1"/>
      <c r="K5662" s="1"/>
      <c r="L5662" s="1"/>
      <c r="M5662" s="1"/>
      <c r="N5662" s="1"/>
      <c r="O5662" s="1"/>
      <c r="P5662" s="1"/>
      <c r="Q5662" s="1"/>
      <c r="R5662" s="1"/>
      <c r="S5662" s="1"/>
      <c r="T5662" s="1"/>
      <c r="U5662" s="1"/>
      <c r="V5662" s="1"/>
      <c r="W5662" s="1"/>
      <c r="X5662" s="1"/>
    </row>
    <row x14ac:dyDescent="0.25" r="5663" customHeight="1" ht="18.75">
      <c r="A5663" s="1"/>
      <c r="B5663" s="1"/>
      <c r="C5663" s="1"/>
      <c r="D5663" s="1"/>
      <c r="E5663" s="1"/>
      <c r="F5663" s="1"/>
      <c r="G5663" s="1"/>
      <c r="H5663" s="1"/>
      <c r="I5663" s="2"/>
      <c r="J5663" s="1"/>
      <c r="K5663" s="1"/>
      <c r="L5663" s="1"/>
      <c r="M5663" s="1"/>
      <c r="N5663" s="1"/>
      <c r="O5663" s="1"/>
      <c r="P5663" s="1"/>
      <c r="Q5663" s="1"/>
      <c r="R5663" s="1"/>
      <c r="S5663" s="1"/>
      <c r="T5663" s="1"/>
      <c r="U5663" s="1"/>
      <c r="V5663" s="1"/>
      <c r="W5663" s="1"/>
      <c r="X5663" s="1"/>
    </row>
    <row x14ac:dyDescent="0.25" r="5664" customHeight="1" ht="18.75">
      <c r="A5664" s="1"/>
      <c r="B5664" s="1"/>
      <c r="C5664" s="1"/>
      <c r="D5664" s="1"/>
      <c r="E5664" s="1"/>
      <c r="F5664" s="1"/>
      <c r="G5664" s="1"/>
      <c r="H5664" s="1"/>
      <c r="I5664" s="2"/>
      <c r="J5664" s="1"/>
      <c r="K5664" s="1"/>
      <c r="L5664" s="1"/>
      <c r="M5664" s="1"/>
      <c r="N5664" s="1"/>
      <c r="O5664" s="1"/>
      <c r="P5664" s="1"/>
      <c r="Q5664" s="1"/>
      <c r="R5664" s="1"/>
      <c r="S5664" s="1"/>
      <c r="T5664" s="1"/>
      <c r="U5664" s="1"/>
      <c r="V5664" s="1"/>
      <c r="W5664" s="1"/>
      <c r="X5664" s="1"/>
    </row>
    <row x14ac:dyDescent="0.25" r="5665" customHeight="1" ht="18.75">
      <c r="A5665" s="1"/>
      <c r="B5665" s="1"/>
      <c r="C5665" s="1"/>
      <c r="D5665" s="1"/>
      <c r="E5665" s="1"/>
      <c r="F5665" s="1"/>
      <c r="G5665" s="1"/>
      <c r="H5665" s="1"/>
      <c r="I5665" s="2"/>
      <c r="J5665" s="1"/>
      <c r="K5665" s="1"/>
      <c r="L5665" s="1"/>
      <c r="M5665" s="1"/>
      <c r="N5665" s="1"/>
      <c r="O5665" s="1"/>
      <c r="P5665" s="1"/>
      <c r="Q5665" s="1"/>
      <c r="R5665" s="1"/>
      <c r="S5665" s="1"/>
      <c r="T5665" s="1"/>
      <c r="U5665" s="1"/>
      <c r="V5665" s="1"/>
      <c r="W5665" s="1"/>
      <c r="X5665" s="1"/>
    </row>
    <row x14ac:dyDescent="0.25" r="5666" customHeight="1" ht="18.75">
      <c r="A5666" s="1"/>
      <c r="B5666" s="1"/>
      <c r="C5666" s="1"/>
      <c r="D5666" s="1"/>
      <c r="E5666" s="1"/>
      <c r="F5666" s="1"/>
      <c r="G5666" s="1"/>
      <c r="H5666" s="1"/>
      <c r="I5666" s="2"/>
      <c r="J5666" s="1"/>
      <c r="K5666" s="1"/>
      <c r="L5666" s="1"/>
      <c r="M5666" s="1"/>
      <c r="N5666" s="1"/>
      <c r="O5666" s="1"/>
      <c r="P5666" s="1"/>
      <c r="Q5666" s="1"/>
      <c r="R5666" s="1"/>
      <c r="S5666" s="1"/>
      <c r="T5666" s="1"/>
      <c r="U5666" s="1"/>
      <c r="V5666" s="1"/>
      <c r="W5666" s="1"/>
      <c r="X5666" s="1"/>
    </row>
    <row x14ac:dyDescent="0.25" r="5667" customHeight="1" ht="18.75">
      <c r="A5667" s="1"/>
      <c r="B5667" s="1"/>
      <c r="C5667" s="1"/>
      <c r="D5667" s="1"/>
      <c r="E5667" s="1"/>
      <c r="F5667" s="1"/>
      <c r="G5667" s="1"/>
      <c r="H5667" s="1"/>
      <c r="I5667" s="2"/>
      <c r="J5667" s="1"/>
      <c r="K5667" s="1"/>
      <c r="L5667" s="1"/>
      <c r="M5667" s="1"/>
      <c r="N5667" s="1"/>
      <c r="O5667" s="1"/>
      <c r="P5667" s="1"/>
      <c r="Q5667" s="1"/>
      <c r="R5667" s="1"/>
      <c r="S5667" s="1"/>
      <c r="T5667" s="1"/>
      <c r="U5667" s="1"/>
      <c r="V5667" s="1"/>
      <c r="W5667" s="1"/>
      <c r="X5667" s="1"/>
    </row>
    <row x14ac:dyDescent="0.25" r="5668" customHeight="1" ht="18.75">
      <c r="A5668" s="1"/>
      <c r="B5668" s="1"/>
      <c r="C5668" s="1"/>
      <c r="D5668" s="1"/>
      <c r="E5668" s="1"/>
      <c r="F5668" s="1"/>
      <c r="G5668" s="1"/>
      <c r="H5668" s="1"/>
      <c r="I5668" s="2"/>
      <c r="J5668" s="1"/>
      <c r="K5668" s="1"/>
      <c r="L5668" s="1"/>
      <c r="M5668" s="1"/>
      <c r="N5668" s="1"/>
      <c r="O5668" s="1"/>
      <c r="P5668" s="1"/>
      <c r="Q5668" s="1"/>
      <c r="R5668" s="1"/>
      <c r="S5668" s="1"/>
      <c r="T5668" s="1"/>
      <c r="U5668" s="1"/>
      <c r="V5668" s="1"/>
      <c r="W5668" s="1"/>
      <c r="X5668" s="1"/>
    </row>
    <row x14ac:dyDescent="0.25" r="5669" customHeight="1" ht="18.75">
      <c r="A5669" s="1"/>
      <c r="B5669" s="1"/>
      <c r="C5669" s="1"/>
      <c r="D5669" s="1"/>
      <c r="E5669" s="1"/>
      <c r="F5669" s="1"/>
      <c r="G5669" s="1"/>
      <c r="H5669" s="1"/>
      <c r="I5669" s="2"/>
      <c r="J5669" s="1"/>
      <c r="K5669" s="1"/>
      <c r="L5669" s="1"/>
      <c r="M5669" s="1"/>
      <c r="N5669" s="1"/>
      <c r="O5669" s="1"/>
      <c r="P5669" s="1"/>
      <c r="Q5669" s="1"/>
      <c r="R5669" s="1"/>
      <c r="S5669" s="1"/>
      <c r="T5669" s="1"/>
      <c r="U5669" s="1"/>
      <c r="V5669" s="1"/>
      <c r="W5669" s="1"/>
      <c r="X5669" s="1"/>
    </row>
    <row x14ac:dyDescent="0.25" r="5670" customHeight="1" ht="18.75">
      <c r="A5670" s="1"/>
      <c r="B5670" s="1"/>
      <c r="C5670" s="1"/>
      <c r="D5670" s="1"/>
      <c r="E5670" s="1"/>
      <c r="F5670" s="1"/>
      <c r="G5670" s="1"/>
      <c r="H5670" s="1"/>
      <c r="I5670" s="2"/>
      <c r="J5670" s="1"/>
      <c r="K5670" s="1"/>
      <c r="L5670" s="1"/>
      <c r="M5670" s="1"/>
      <c r="N5670" s="1"/>
      <c r="O5670" s="1"/>
      <c r="P5670" s="1"/>
      <c r="Q5670" s="1"/>
      <c r="R5670" s="1"/>
      <c r="S5670" s="1"/>
      <c r="T5670" s="1"/>
      <c r="U5670" s="1"/>
      <c r="V5670" s="1"/>
      <c r="W5670" s="1"/>
      <c r="X5670" s="1"/>
    </row>
    <row x14ac:dyDescent="0.25" r="5671" customHeight="1" ht="18.75">
      <c r="A5671" s="1"/>
      <c r="B5671" s="1"/>
      <c r="C5671" s="1"/>
      <c r="D5671" s="1"/>
      <c r="E5671" s="1"/>
      <c r="F5671" s="1"/>
      <c r="G5671" s="1"/>
      <c r="H5671" s="1"/>
      <c r="I5671" s="2"/>
      <c r="J5671" s="1"/>
      <c r="K5671" s="1"/>
      <c r="L5671" s="1"/>
      <c r="M5671" s="1"/>
      <c r="N5671" s="1"/>
      <c r="O5671" s="1"/>
      <c r="P5671" s="1"/>
      <c r="Q5671" s="1"/>
      <c r="R5671" s="1"/>
      <c r="S5671" s="1"/>
      <c r="T5671" s="1"/>
      <c r="U5671" s="1"/>
      <c r="V5671" s="1"/>
      <c r="W5671" s="1"/>
      <c r="X5671" s="1"/>
    </row>
    <row x14ac:dyDescent="0.25" r="5672" customHeight="1" ht="18.75">
      <c r="A5672" s="1"/>
      <c r="B5672" s="1"/>
      <c r="C5672" s="1"/>
      <c r="D5672" s="1"/>
      <c r="E5672" s="1"/>
      <c r="F5672" s="1"/>
      <c r="G5672" s="1"/>
      <c r="H5672" s="1"/>
      <c r="I5672" s="2"/>
      <c r="J5672" s="1"/>
      <c r="K5672" s="1"/>
      <c r="L5672" s="1"/>
      <c r="M5672" s="1"/>
      <c r="N5672" s="1"/>
      <c r="O5672" s="1"/>
      <c r="P5672" s="1"/>
      <c r="Q5672" s="1"/>
      <c r="R5672" s="1"/>
      <c r="S5672" s="1"/>
      <c r="T5672" s="1"/>
      <c r="U5672" s="1"/>
      <c r="V5672" s="1"/>
      <c r="W5672" s="1"/>
      <c r="X5672" s="1"/>
    </row>
    <row x14ac:dyDescent="0.25" r="5673" customHeight="1" ht="18.75">
      <c r="A5673" s="1"/>
      <c r="B5673" s="1"/>
      <c r="C5673" s="1"/>
      <c r="D5673" s="1"/>
      <c r="E5673" s="1"/>
      <c r="F5673" s="1"/>
      <c r="G5673" s="1"/>
      <c r="H5673" s="1"/>
      <c r="I5673" s="2"/>
      <c r="J5673" s="1"/>
      <c r="K5673" s="1"/>
      <c r="L5673" s="1"/>
      <c r="M5673" s="1"/>
      <c r="N5673" s="1"/>
      <c r="O5673" s="1"/>
      <c r="P5673" s="1"/>
      <c r="Q5673" s="1"/>
      <c r="R5673" s="1"/>
      <c r="S5673" s="1"/>
      <c r="T5673" s="1"/>
      <c r="U5673" s="1"/>
      <c r="V5673" s="1"/>
      <c r="W5673" s="1"/>
      <c r="X5673" s="1"/>
    </row>
    <row x14ac:dyDescent="0.25" r="5674" customHeight="1" ht="18.75">
      <c r="A5674" s="1"/>
      <c r="B5674" s="1"/>
      <c r="C5674" s="1"/>
      <c r="D5674" s="1"/>
      <c r="E5674" s="1"/>
      <c r="F5674" s="1"/>
      <c r="G5674" s="1"/>
      <c r="H5674" s="1"/>
      <c r="I5674" s="2"/>
      <c r="J5674" s="1"/>
      <c r="K5674" s="1"/>
      <c r="L5674" s="1"/>
      <c r="M5674" s="1"/>
      <c r="N5674" s="1"/>
      <c r="O5674" s="1"/>
      <c r="P5674" s="1"/>
      <c r="Q5674" s="1"/>
      <c r="R5674" s="1"/>
      <c r="S5674" s="1"/>
      <c r="T5674" s="1"/>
      <c r="U5674" s="1"/>
      <c r="V5674" s="1"/>
      <c r="W5674" s="1"/>
      <c r="X5674" s="1"/>
    </row>
    <row x14ac:dyDescent="0.25" r="5675" customHeight="1" ht="18.75">
      <c r="A5675" s="1"/>
      <c r="B5675" s="1"/>
      <c r="C5675" s="1"/>
      <c r="D5675" s="1"/>
      <c r="E5675" s="1"/>
      <c r="F5675" s="1"/>
      <c r="G5675" s="1"/>
      <c r="H5675" s="1"/>
      <c r="I5675" s="2"/>
      <c r="J5675" s="1"/>
      <c r="K5675" s="1"/>
      <c r="L5675" s="1"/>
      <c r="M5675" s="1"/>
      <c r="N5675" s="1"/>
      <c r="O5675" s="1"/>
      <c r="P5675" s="1"/>
      <c r="Q5675" s="1"/>
      <c r="R5675" s="1"/>
      <c r="S5675" s="1"/>
      <c r="T5675" s="1"/>
      <c r="U5675" s="1"/>
      <c r="V5675" s="1"/>
      <c r="W5675" s="1"/>
      <c r="X5675" s="1"/>
    </row>
    <row x14ac:dyDescent="0.25" r="5676" customHeight="1" ht="18.75">
      <c r="A5676" s="1"/>
      <c r="B5676" s="1"/>
      <c r="C5676" s="1"/>
      <c r="D5676" s="1"/>
      <c r="E5676" s="1"/>
      <c r="F5676" s="1"/>
      <c r="G5676" s="1"/>
      <c r="H5676" s="1"/>
      <c r="I5676" s="2"/>
      <c r="J5676" s="1"/>
      <c r="K5676" s="1"/>
      <c r="L5676" s="1"/>
      <c r="M5676" s="1"/>
      <c r="N5676" s="1"/>
      <c r="O5676" s="1"/>
      <c r="P5676" s="1"/>
      <c r="Q5676" s="1"/>
      <c r="R5676" s="1"/>
      <c r="S5676" s="1"/>
      <c r="T5676" s="1"/>
      <c r="U5676" s="1"/>
      <c r="V5676" s="1"/>
      <c r="W5676" s="1"/>
      <c r="X5676" s="1"/>
    </row>
    <row x14ac:dyDescent="0.25" r="5677" customHeight="1" ht="18.75">
      <c r="A5677" s="1"/>
      <c r="B5677" s="1"/>
      <c r="C5677" s="1"/>
      <c r="D5677" s="1"/>
      <c r="E5677" s="1"/>
      <c r="F5677" s="1"/>
      <c r="G5677" s="1"/>
      <c r="H5677" s="1"/>
      <c r="I5677" s="2"/>
      <c r="J5677" s="1"/>
      <c r="K5677" s="1"/>
      <c r="L5677" s="1"/>
      <c r="M5677" s="1"/>
      <c r="N5677" s="1"/>
      <c r="O5677" s="1"/>
      <c r="P5677" s="1"/>
      <c r="Q5677" s="1"/>
      <c r="R5677" s="1"/>
      <c r="S5677" s="1"/>
      <c r="T5677" s="1"/>
      <c r="U5677" s="1"/>
      <c r="V5677" s="1"/>
      <c r="W5677" s="1"/>
      <c r="X5677" s="1"/>
    </row>
    <row x14ac:dyDescent="0.25" r="5678" customHeight="1" ht="18.75">
      <c r="A5678" s="1"/>
      <c r="B5678" s="1"/>
      <c r="C5678" s="1"/>
      <c r="D5678" s="1"/>
      <c r="E5678" s="1"/>
      <c r="F5678" s="1"/>
      <c r="G5678" s="1"/>
      <c r="H5678" s="1"/>
      <c r="I5678" s="2"/>
      <c r="J5678" s="1"/>
      <c r="K5678" s="1"/>
      <c r="L5678" s="1"/>
      <c r="M5678" s="1"/>
      <c r="N5678" s="1"/>
      <c r="O5678" s="1"/>
      <c r="P5678" s="1"/>
      <c r="Q5678" s="1"/>
      <c r="R5678" s="1"/>
      <c r="S5678" s="1"/>
      <c r="T5678" s="1"/>
      <c r="U5678" s="1"/>
      <c r="V5678" s="1"/>
      <c r="W5678" s="1"/>
      <c r="X5678" s="1"/>
    </row>
    <row x14ac:dyDescent="0.25" r="5679" customHeight="1" ht="18.75">
      <c r="A5679" s="1"/>
      <c r="B5679" s="1"/>
      <c r="C5679" s="1"/>
      <c r="D5679" s="1"/>
      <c r="E5679" s="1"/>
      <c r="F5679" s="1"/>
      <c r="G5679" s="1"/>
      <c r="H5679" s="1"/>
      <c r="I5679" s="2"/>
      <c r="J5679" s="1"/>
      <c r="K5679" s="1"/>
      <c r="L5679" s="1"/>
      <c r="M5679" s="1"/>
      <c r="N5679" s="1"/>
      <c r="O5679" s="1"/>
      <c r="P5679" s="1"/>
      <c r="Q5679" s="1"/>
      <c r="R5679" s="1"/>
      <c r="S5679" s="1"/>
      <c r="T5679" s="1"/>
      <c r="U5679" s="1"/>
      <c r="V5679" s="1"/>
      <c r="W5679" s="1"/>
      <c r="X5679" s="1"/>
    </row>
    <row x14ac:dyDescent="0.25" r="5680" customHeight="1" ht="18.75">
      <c r="A5680" s="1"/>
      <c r="B5680" s="1"/>
      <c r="C5680" s="1"/>
      <c r="D5680" s="1"/>
      <c r="E5680" s="1"/>
      <c r="F5680" s="1"/>
      <c r="G5680" s="1"/>
      <c r="H5680" s="1"/>
      <c r="I5680" s="2"/>
      <c r="J5680" s="1"/>
      <c r="K5680" s="1"/>
      <c r="L5680" s="1"/>
      <c r="M5680" s="1"/>
      <c r="N5680" s="1"/>
      <c r="O5680" s="1"/>
      <c r="P5680" s="1"/>
      <c r="Q5680" s="1"/>
      <c r="R5680" s="1"/>
      <c r="S5680" s="1"/>
      <c r="T5680" s="1"/>
      <c r="U5680" s="1"/>
      <c r="V5680" s="1"/>
      <c r="W5680" s="1"/>
      <c r="X5680" s="1"/>
    </row>
    <row x14ac:dyDescent="0.25" r="5681" customHeight="1" ht="18.75">
      <c r="A5681" s="1"/>
      <c r="B5681" s="1"/>
      <c r="C5681" s="1"/>
      <c r="D5681" s="1"/>
      <c r="E5681" s="1"/>
      <c r="F5681" s="1"/>
      <c r="G5681" s="1"/>
      <c r="H5681" s="1"/>
      <c r="I5681" s="2"/>
      <c r="J5681" s="1"/>
      <c r="K5681" s="1"/>
      <c r="L5681" s="1"/>
      <c r="M5681" s="1"/>
      <c r="N5681" s="1"/>
      <c r="O5681" s="1"/>
      <c r="P5681" s="1"/>
      <c r="Q5681" s="1"/>
      <c r="R5681" s="1"/>
      <c r="S5681" s="1"/>
      <c r="T5681" s="1"/>
      <c r="U5681" s="1"/>
      <c r="V5681" s="1"/>
      <c r="W5681" s="1"/>
      <c r="X5681" s="1"/>
    </row>
    <row x14ac:dyDescent="0.25" r="5682" customHeight="1" ht="18.75">
      <c r="A5682" s="1"/>
      <c r="B5682" s="1"/>
      <c r="C5682" s="1"/>
      <c r="D5682" s="1"/>
      <c r="E5682" s="1"/>
      <c r="F5682" s="1"/>
      <c r="G5682" s="1"/>
      <c r="H5682" s="1"/>
      <c r="I5682" s="2"/>
      <c r="J5682" s="1"/>
      <c r="K5682" s="1"/>
      <c r="L5682" s="1"/>
      <c r="M5682" s="1"/>
      <c r="N5682" s="1"/>
      <c r="O5682" s="1"/>
      <c r="P5682" s="1"/>
      <c r="Q5682" s="1"/>
      <c r="R5682" s="1"/>
      <c r="S5682" s="1"/>
      <c r="T5682" s="1"/>
      <c r="U5682" s="1"/>
      <c r="V5682" s="1"/>
      <c r="W5682" s="1"/>
      <c r="X5682" s="1"/>
    </row>
    <row x14ac:dyDescent="0.25" r="5683" customHeight="1" ht="18.75">
      <c r="A5683" s="1"/>
      <c r="B5683" s="1"/>
      <c r="C5683" s="1"/>
      <c r="D5683" s="1"/>
      <c r="E5683" s="1"/>
      <c r="F5683" s="1"/>
      <c r="G5683" s="1"/>
      <c r="H5683" s="1"/>
      <c r="I5683" s="2"/>
      <c r="J5683" s="1"/>
      <c r="K5683" s="1"/>
      <c r="L5683" s="1"/>
      <c r="M5683" s="1"/>
      <c r="N5683" s="1"/>
      <c r="O5683" s="1"/>
      <c r="P5683" s="1"/>
      <c r="Q5683" s="1"/>
      <c r="R5683" s="1"/>
      <c r="S5683" s="1"/>
      <c r="T5683" s="1"/>
      <c r="U5683" s="1"/>
      <c r="V5683" s="1"/>
      <c r="W5683" s="1"/>
      <c r="X5683" s="1"/>
    </row>
    <row x14ac:dyDescent="0.25" r="5684" customHeight="1" ht="18.75">
      <c r="A5684" s="1"/>
      <c r="B5684" s="1"/>
      <c r="C5684" s="1"/>
      <c r="D5684" s="1"/>
      <c r="E5684" s="1"/>
      <c r="F5684" s="1"/>
      <c r="G5684" s="1"/>
      <c r="H5684" s="1"/>
      <c r="I5684" s="2"/>
      <c r="J5684" s="1"/>
      <c r="K5684" s="1"/>
      <c r="L5684" s="1"/>
      <c r="M5684" s="1"/>
      <c r="N5684" s="1"/>
      <c r="O5684" s="1"/>
      <c r="P5684" s="1"/>
      <c r="Q5684" s="1"/>
      <c r="R5684" s="1"/>
      <c r="S5684" s="1"/>
      <c r="T5684" s="1"/>
      <c r="U5684" s="1"/>
      <c r="V5684" s="1"/>
      <c r="W5684" s="1"/>
      <c r="X5684" s="1"/>
    </row>
    <row x14ac:dyDescent="0.25" r="5685" customHeight="1" ht="18.75">
      <c r="A5685" s="1"/>
      <c r="B5685" s="1"/>
      <c r="C5685" s="1"/>
      <c r="D5685" s="1"/>
      <c r="E5685" s="1"/>
      <c r="F5685" s="1"/>
      <c r="G5685" s="1"/>
      <c r="H5685" s="1"/>
      <c r="I5685" s="2"/>
      <c r="J5685" s="1"/>
      <c r="K5685" s="1"/>
      <c r="L5685" s="1"/>
      <c r="M5685" s="1"/>
      <c r="N5685" s="1"/>
      <c r="O5685" s="1"/>
      <c r="P5685" s="1"/>
      <c r="Q5685" s="1"/>
      <c r="R5685" s="1"/>
      <c r="S5685" s="1"/>
      <c r="T5685" s="1"/>
      <c r="U5685" s="1"/>
      <c r="V5685" s="1"/>
      <c r="W5685" s="1"/>
      <c r="X5685" s="1"/>
    </row>
    <row x14ac:dyDescent="0.25" r="5686" customHeight="1" ht="18.75">
      <c r="A5686" s="1"/>
      <c r="B5686" s="1"/>
      <c r="C5686" s="1"/>
      <c r="D5686" s="1"/>
      <c r="E5686" s="1"/>
      <c r="F5686" s="1"/>
      <c r="G5686" s="1"/>
      <c r="H5686" s="1"/>
      <c r="I5686" s="2"/>
      <c r="J5686" s="1"/>
      <c r="K5686" s="1"/>
      <c r="L5686" s="1"/>
      <c r="M5686" s="1"/>
      <c r="N5686" s="1"/>
      <c r="O5686" s="1"/>
      <c r="P5686" s="1"/>
      <c r="Q5686" s="1"/>
      <c r="R5686" s="1"/>
      <c r="S5686" s="1"/>
      <c r="T5686" s="1"/>
      <c r="U5686" s="1"/>
      <c r="V5686" s="1"/>
      <c r="W5686" s="1"/>
      <c r="X5686" s="1"/>
    </row>
    <row x14ac:dyDescent="0.25" r="5687" customHeight="1" ht="18.75">
      <c r="A5687" s="1"/>
      <c r="B5687" s="1"/>
      <c r="C5687" s="1"/>
      <c r="D5687" s="1"/>
      <c r="E5687" s="1"/>
      <c r="F5687" s="1"/>
      <c r="G5687" s="1"/>
      <c r="H5687" s="1"/>
      <c r="I5687" s="2"/>
      <c r="J5687" s="1"/>
      <c r="K5687" s="1"/>
      <c r="L5687" s="1"/>
      <c r="M5687" s="1"/>
      <c r="N5687" s="1"/>
      <c r="O5687" s="1"/>
      <c r="P5687" s="1"/>
      <c r="Q5687" s="1"/>
      <c r="R5687" s="1"/>
      <c r="S5687" s="1"/>
      <c r="T5687" s="1"/>
      <c r="U5687" s="1"/>
      <c r="V5687" s="1"/>
      <c r="W5687" s="1"/>
      <c r="X5687" s="1"/>
    </row>
    <row x14ac:dyDescent="0.25" r="5688" customHeight="1" ht="18.75">
      <c r="A5688" s="1"/>
      <c r="B5688" s="1"/>
      <c r="C5688" s="1"/>
      <c r="D5688" s="1"/>
      <c r="E5688" s="1"/>
      <c r="F5688" s="1"/>
      <c r="G5688" s="1"/>
      <c r="H5688" s="1"/>
      <c r="I5688" s="2"/>
      <c r="J5688" s="1"/>
      <c r="K5688" s="1"/>
      <c r="L5688" s="1"/>
      <c r="M5688" s="1"/>
      <c r="N5688" s="1"/>
      <c r="O5688" s="1"/>
      <c r="P5688" s="1"/>
      <c r="Q5688" s="1"/>
      <c r="R5688" s="1"/>
      <c r="S5688" s="1"/>
      <c r="T5688" s="1"/>
      <c r="U5688" s="1"/>
      <c r="V5688" s="1"/>
      <c r="W5688" s="1"/>
      <c r="X5688" s="1"/>
    </row>
    <row x14ac:dyDescent="0.25" r="5689" customHeight="1" ht="18.75">
      <c r="A5689" s="1"/>
      <c r="B5689" s="1"/>
      <c r="C5689" s="1"/>
      <c r="D5689" s="1"/>
      <c r="E5689" s="1"/>
      <c r="F5689" s="1"/>
      <c r="G5689" s="1"/>
      <c r="H5689" s="1"/>
      <c r="I5689" s="2"/>
      <c r="J5689" s="1"/>
      <c r="K5689" s="1"/>
      <c r="L5689" s="1"/>
      <c r="M5689" s="1"/>
      <c r="N5689" s="1"/>
      <c r="O5689" s="1"/>
      <c r="P5689" s="1"/>
      <c r="Q5689" s="1"/>
      <c r="R5689" s="1"/>
      <c r="S5689" s="1"/>
      <c r="T5689" s="1"/>
      <c r="U5689" s="1"/>
      <c r="V5689" s="1"/>
      <c r="W5689" s="1"/>
      <c r="X5689" s="1"/>
    </row>
    <row x14ac:dyDescent="0.25" r="5690" customHeight="1" ht="18.75">
      <c r="A5690" s="1"/>
      <c r="B5690" s="1"/>
      <c r="C5690" s="1"/>
      <c r="D5690" s="1"/>
      <c r="E5690" s="1"/>
      <c r="F5690" s="1"/>
      <c r="G5690" s="1"/>
      <c r="H5690" s="1"/>
      <c r="I5690" s="2"/>
      <c r="J5690" s="1"/>
      <c r="K5690" s="1"/>
      <c r="L5690" s="1"/>
      <c r="M5690" s="1"/>
      <c r="N5690" s="1"/>
      <c r="O5690" s="1"/>
      <c r="P5690" s="1"/>
      <c r="Q5690" s="1"/>
      <c r="R5690" s="1"/>
      <c r="S5690" s="1"/>
      <c r="T5690" s="1"/>
      <c r="U5690" s="1"/>
      <c r="V5690" s="1"/>
      <c r="W5690" s="1"/>
      <c r="X5690" s="1"/>
    </row>
    <row x14ac:dyDescent="0.25" r="5691" customHeight="1" ht="18.75">
      <c r="A5691" s="1"/>
      <c r="B5691" s="1"/>
      <c r="C5691" s="1"/>
      <c r="D5691" s="1"/>
      <c r="E5691" s="1"/>
      <c r="F5691" s="1"/>
      <c r="G5691" s="1"/>
      <c r="H5691" s="1"/>
      <c r="I5691" s="2"/>
      <c r="J5691" s="1"/>
      <c r="K5691" s="1"/>
      <c r="L5691" s="1"/>
      <c r="M5691" s="1"/>
      <c r="N5691" s="1"/>
      <c r="O5691" s="1"/>
      <c r="P5691" s="1"/>
      <c r="Q5691" s="1"/>
      <c r="R5691" s="1"/>
      <c r="S5691" s="1"/>
      <c r="T5691" s="1"/>
      <c r="U5691" s="1"/>
      <c r="V5691" s="1"/>
      <c r="W5691" s="1"/>
      <c r="X5691" s="1"/>
    </row>
    <row x14ac:dyDescent="0.25" r="5692" customHeight="1" ht="18.75">
      <c r="A5692" s="1"/>
      <c r="B5692" s="1"/>
      <c r="C5692" s="1"/>
      <c r="D5692" s="1"/>
      <c r="E5692" s="1"/>
      <c r="F5692" s="1"/>
      <c r="G5692" s="1"/>
      <c r="H5692" s="1"/>
      <c r="I5692" s="2"/>
      <c r="J5692" s="1"/>
      <c r="K5692" s="1"/>
      <c r="L5692" s="1"/>
      <c r="M5692" s="1"/>
      <c r="N5692" s="1"/>
      <c r="O5692" s="1"/>
      <c r="P5692" s="1"/>
      <c r="Q5692" s="1"/>
      <c r="R5692" s="1"/>
      <c r="S5692" s="1"/>
      <c r="T5692" s="1"/>
      <c r="U5692" s="1"/>
      <c r="V5692" s="1"/>
      <c r="W5692" s="1"/>
      <c r="X5692" s="1"/>
    </row>
    <row x14ac:dyDescent="0.25" r="5693" customHeight="1" ht="18.75">
      <c r="A5693" s="1"/>
      <c r="B5693" s="1"/>
      <c r="C5693" s="1"/>
      <c r="D5693" s="1"/>
      <c r="E5693" s="1"/>
      <c r="F5693" s="1"/>
      <c r="G5693" s="1"/>
      <c r="H5693" s="1"/>
      <c r="I5693" s="2"/>
      <c r="J5693" s="1"/>
      <c r="K5693" s="1"/>
      <c r="L5693" s="1"/>
      <c r="M5693" s="1"/>
      <c r="N5693" s="1"/>
      <c r="O5693" s="1"/>
      <c r="P5693" s="1"/>
      <c r="Q5693" s="1"/>
      <c r="R5693" s="1"/>
      <c r="S5693" s="1"/>
      <c r="T5693" s="1"/>
      <c r="U5693" s="1"/>
      <c r="V5693" s="1"/>
      <c r="W5693" s="1"/>
      <c r="X5693" s="1"/>
    </row>
    <row x14ac:dyDescent="0.25" r="5694" customHeight="1" ht="18.75">
      <c r="A5694" s="1"/>
      <c r="B5694" s="1"/>
      <c r="C5694" s="1"/>
      <c r="D5694" s="1"/>
      <c r="E5694" s="1"/>
      <c r="F5694" s="1"/>
      <c r="G5694" s="1"/>
      <c r="H5694" s="1"/>
      <c r="I5694" s="2"/>
      <c r="J5694" s="1"/>
      <c r="K5694" s="1"/>
      <c r="L5694" s="1"/>
      <c r="M5694" s="1"/>
      <c r="N5694" s="1"/>
      <c r="O5694" s="1"/>
      <c r="P5694" s="1"/>
      <c r="Q5694" s="1"/>
      <c r="R5694" s="1"/>
      <c r="S5694" s="1"/>
      <c r="T5694" s="1"/>
      <c r="U5694" s="1"/>
      <c r="V5694" s="1"/>
      <c r="W5694" s="1"/>
      <c r="X5694" s="1"/>
    </row>
    <row x14ac:dyDescent="0.25" r="5695" customHeight="1" ht="18.75">
      <c r="A5695" s="1"/>
      <c r="B5695" s="1"/>
      <c r="C5695" s="1"/>
      <c r="D5695" s="1"/>
      <c r="E5695" s="1"/>
      <c r="F5695" s="1"/>
      <c r="G5695" s="1"/>
      <c r="H5695" s="1"/>
      <c r="I5695" s="2"/>
      <c r="J5695" s="1"/>
      <c r="K5695" s="1"/>
      <c r="L5695" s="1"/>
      <c r="M5695" s="1"/>
      <c r="N5695" s="1"/>
      <c r="O5695" s="1"/>
      <c r="P5695" s="1"/>
      <c r="Q5695" s="1"/>
      <c r="R5695" s="1"/>
      <c r="S5695" s="1"/>
      <c r="T5695" s="1"/>
      <c r="U5695" s="1"/>
      <c r="V5695" s="1"/>
      <c r="W5695" s="1"/>
      <c r="X5695" s="1"/>
    </row>
    <row x14ac:dyDescent="0.25" r="5696" customHeight="1" ht="18.75">
      <c r="A5696" s="1"/>
      <c r="B5696" s="1"/>
      <c r="C5696" s="1"/>
      <c r="D5696" s="1"/>
      <c r="E5696" s="1"/>
      <c r="F5696" s="1"/>
      <c r="G5696" s="1"/>
      <c r="H5696" s="1"/>
      <c r="I5696" s="2"/>
      <c r="J5696" s="1"/>
      <c r="K5696" s="1"/>
      <c r="L5696" s="1"/>
      <c r="M5696" s="1"/>
      <c r="N5696" s="1"/>
      <c r="O5696" s="1"/>
      <c r="P5696" s="1"/>
      <c r="Q5696" s="1"/>
      <c r="R5696" s="1"/>
      <c r="S5696" s="1"/>
      <c r="T5696" s="1"/>
      <c r="U5696" s="1"/>
      <c r="V5696" s="1"/>
      <c r="W5696" s="1"/>
      <c r="X5696" s="1"/>
    </row>
    <row x14ac:dyDescent="0.25" r="5697" customHeight="1" ht="18.75">
      <c r="A5697" s="1"/>
      <c r="B5697" s="1"/>
      <c r="C5697" s="1"/>
      <c r="D5697" s="1"/>
      <c r="E5697" s="1"/>
      <c r="F5697" s="1"/>
      <c r="G5697" s="1"/>
      <c r="H5697" s="1"/>
      <c r="I5697" s="2"/>
      <c r="J5697" s="1"/>
      <c r="K5697" s="1"/>
      <c r="L5697" s="1"/>
      <c r="M5697" s="1"/>
      <c r="N5697" s="1"/>
      <c r="O5697" s="1"/>
      <c r="P5697" s="1"/>
      <c r="Q5697" s="1"/>
      <c r="R5697" s="1"/>
      <c r="S5697" s="1"/>
      <c r="T5697" s="1"/>
      <c r="U5697" s="1"/>
      <c r="V5697" s="1"/>
      <c r="W5697" s="1"/>
      <c r="X5697" s="1"/>
    </row>
    <row x14ac:dyDescent="0.25" r="5698" customHeight="1" ht="18.75">
      <c r="A5698" s="1"/>
      <c r="B5698" s="1"/>
      <c r="C5698" s="1"/>
      <c r="D5698" s="1"/>
      <c r="E5698" s="1"/>
      <c r="F5698" s="1"/>
      <c r="G5698" s="1"/>
      <c r="H5698" s="1"/>
      <c r="I5698" s="2"/>
      <c r="J5698" s="1"/>
      <c r="K5698" s="1"/>
      <c r="L5698" s="1"/>
      <c r="M5698" s="1"/>
      <c r="N5698" s="1"/>
      <c r="O5698" s="1"/>
      <c r="P5698" s="1"/>
      <c r="Q5698" s="1"/>
      <c r="R5698" s="1"/>
      <c r="S5698" s="1"/>
      <c r="T5698" s="1"/>
      <c r="U5698" s="1"/>
      <c r="V5698" s="1"/>
      <c r="W5698" s="1"/>
      <c r="X5698" s="1"/>
    </row>
    <row x14ac:dyDescent="0.25" r="5699" customHeight="1" ht="18.75">
      <c r="A5699" s="1"/>
      <c r="B5699" s="1"/>
      <c r="C5699" s="1"/>
      <c r="D5699" s="1"/>
      <c r="E5699" s="1"/>
      <c r="F5699" s="1"/>
      <c r="G5699" s="1"/>
      <c r="H5699" s="1"/>
      <c r="I5699" s="2"/>
      <c r="J5699" s="1"/>
      <c r="K5699" s="1"/>
      <c r="L5699" s="1"/>
      <c r="M5699" s="1"/>
      <c r="N5699" s="1"/>
      <c r="O5699" s="1"/>
      <c r="P5699" s="1"/>
      <c r="Q5699" s="1"/>
      <c r="R5699" s="1"/>
      <c r="S5699" s="1"/>
      <c r="T5699" s="1"/>
      <c r="U5699" s="1"/>
      <c r="V5699" s="1"/>
      <c r="W5699" s="1"/>
      <c r="X5699" s="1"/>
    </row>
    <row x14ac:dyDescent="0.25" r="5700" customHeight="1" ht="18.75">
      <c r="A5700" s="1"/>
      <c r="B5700" s="1"/>
      <c r="C5700" s="1"/>
      <c r="D5700" s="1"/>
      <c r="E5700" s="1"/>
      <c r="F5700" s="1"/>
      <c r="G5700" s="1"/>
      <c r="H5700" s="1"/>
      <c r="I5700" s="2"/>
      <c r="J5700" s="1"/>
      <c r="K5700" s="1"/>
      <c r="L5700" s="1"/>
      <c r="M5700" s="1"/>
      <c r="N5700" s="1"/>
      <c r="O5700" s="1"/>
      <c r="P5700" s="1"/>
      <c r="Q5700" s="1"/>
      <c r="R5700" s="1"/>
      <c r="S5700" s="1"/>
      <c r="T5700" s="1"/>
      <c r="U5700" s="1"/>
      <c r="V5700" s="1"/>
      <c r="W5700" s="1"/>
      <c r="X5700" s="1"/>
    </row>
    <row x14ac:dyDescent="0.25" r="5701" customHeight="1" ht="18.75">
      <c r="A5701" s="1"/>
      <c r="B5701" s="1"/>
      <c r="C5701" s="1"/>
      <c r="D5701" s="1"/>
      <c r="E5701" s="1"/>
      <c r="F5701" s="1"/>
      <c r="G5701" s="1"/>
      <c r="H5701" s="1"/>
      <c r="I5701" s="2"/>
      <c r="J5701" s="1"/>
      <c r="K5701" s="1"/>
      <c r="L5701" s="1"/>
      <c r="M5701" s="1"/>
      <c r="N5701" s="1"/>
      <c r="O5701" s="1"/>
      <c r="P5701" s="1"/>
      <c r="Q5701" s="1"/>
      <c r="R5701" s="1"/>
      <c r="S5701" s="1"/>
      <c r="T5701" s="1"/>
      <c r="U5701" s="1"/>
      <c r="V5701" s="1"/>
      <c r="W5701" s="1"/>
      <c r="X5701" s="1"/>
    </row>
    <row x14ac:dyDescent="0.25" r="5702" customHeight="1" ht="18.75">
      <c r="A5702" s="1"/>
      <c r="B5702" s="1"/>
      <c r="C5702" s="1"/>
      <c r="D5702" s="1"/>
      <c r="E5702" s="1"/>
      <c r="F5702" s="1"/>
      <c r="G5702" s="1"/>
      <c r="H5702" s="1"/>
      <c r="I5702" s="2"/>
      <c r="J5702" s="1"/>
      <c r="K5702" s="1"/>
      <c r="L5702" s="1"/>
      <c r="M5702" s="1"/>
      <c r="N5702" s="1"/>
      <c r="O5702" s="1"/>
      <c r="P5702" s="1"/>
      <c r="Q5702" s="1"/>
      <c r="R5702" s="1"/>
      <c r="S5702" s="1"/>
      <c r="T5702" s="1"/>
      <c r="U5702" s="1"/>
      <c r="V5702" s="1"/>
      <c r="W5702" s="1"/>
      <c r="X5702" s="1"/>
    </row>
    <row x14ac:dyDescent="0.25" r="5703" customHeight="1" ht="18.75">
      <c r="A5703" s="1"/>
      <c r="B5703" s="1"/>
      <c r="C5703" s="1"/>
      <c r="D5703" s="1"/>
      <c r="E5703" s="1"/>
      <c r="F5703" s="1"/>
      <c r="G5703" s="1"/>
      <c r="H5703" s="1"/>
      <c r="I5703" s="2"/>
      <c r="J5703" s="1"/>
      <c r="K5703" s="1"/>
      <c r="L5703" s="1"/>
      <c r="M5703" s="1"/>
      <c r="N5703" s="1"/>
      <c r="O5703" s="1"/>
      <c r="P5703" s="1"/>
      <c r="Q5703" s="1"/>
      <c r="R5703" s="1"/>
      <c r="S5703" s="1"/>
      <c r="T5703" s="1"/>
      <c r="U5703" s="1"/>
      <c r="V5703" s="1"/>
      <c r="W5703" s="1"/>
      <c r="X5703" s="1"/>
    </row>
    <row x14ac:dyDescent="0.25" r="5704" customHeight="1" ht="18.75">
      <c r="A5704" s="1"/>
      <c r="B5704" s="1"/>
      <c r="C5704" s="1"/>
      <c r="D5704" s="1"/>
      <c r="E5704" s="1"/>
      <c r="F5704" s="1"/>
      <c r="G5704" s="1"/>
      <c r="H5704" s="1"/>
      <c r="I5704" s="2"/>
      <c r="J5704" s="1"/>
      <c r="K5704" s="1"/>
      <c r="L5704" s="1"/>
      <c r="M5704" s="1"/>
      <c r="N5704" s="1"/>
      <c r="O5704" s="1"/>
      <c r="P5704" s="1"/>
      <c r="Q5704" s="1"/>
      <c r="R5704" s="1"/>
      <c r="S5704" s="1"/>
      <c r="T5704" s="1"/>
      <c r="U5704" s="1"/>
      <c r="V5704" s="1"/>
      <c r="W5704" s="1"/>
      <c r="X5704" s="1"/>
    </row>
    <row x14ac:dyDescent="0.25" r="5705" customHeight="1" ht="18.75">
      <c r="A5705" s="1"/>
      <c r="B5705" s="1"/>
      <c r="C5705" s="1"/>
      <c r="D5705" s="1"/>
      <c r="E5705" s="1"/>
      <c r="F5705" s="1"/>
      <c r="G5705" s="1"/>
      <c r="H5705" s="1"/>
      <c r="I5705" s="2"/>
      <c r="J5705" s="1"/>
      <c r="K5705" s="1"/>
      <c r="L5705" s="1"/>
      <c r="M5705" s="1"/>
      <c r="N5705" s="1"/>
      <c r="O5705" s="1"/>
      <c r="P5705" s="1"/>
      <c r="Q5705" s="1"/>
      <c r="R5705" s="1"/>
      <c r="S5705" s="1"/>
      <c r="T5705" s="1"/>
      <c r="U5705" s="1"/>
      <c r="V5705" s="1"/>
      <c r="W5705" s="1"/>
      <c r="X5705" s="1"/>
    </row>
    <row x14ac:dyDescent="0.25" r="5706" customHeight="1" ht="18.75">
      <c r="A5706" s="1"/>
      <c r="B5706" s="1"/>
      <c r="C5706" s="1"/>
      <c r="D5706" s="1"/>
      <c r="E5706" s="1"/>
      <c r="F5706" s="1"/>
      <c r="G5706" s="1"/>
      <c r="H5706" s="1"/>
      <c r="I5706" s="2"/>
      <c r="J5706" s="1"/>
      <c r="K5706" s="1"/>
      <c r="L5706" s="1"/>
      <c r="M5706" s="1"/>
      <c r="N5706" s="1"/>
      <c r="O5706" s="1"/>
      <c r="P5706" s="1"/>
      <c r="Q5706" s="1"/>
      <c r="R5706" s="1"/>
      <c r="S5706" s="1"/>
      <c r="T5706" s="1"/>
      <c r="U5706" s="1"/>
      <c r="V5706" s="1"/>
      <c r="W5706" s="1"/>
      <c r="X5706" s="1"/>
    </row>
    <row x14ac:dyDescent="0.25" r="5707" customHeight="1" ht="18.75">
      <c r="A5707" s="1"/>
      <c r="B5707" s="1"/>
      <c r="C5707" s="1"/>
      <c r="D5707" s="1"/>
      <c r="E5707" s="1"/>
      <c r="F5707" s="1"/>
      <c r="G5707" s="1"/>
      <c r="H5707" s="1"/>
      <c r="I5707" s="2"/>
      <c r="J5707" s="1"/>
      <c r="K5707" s="1"/>
      <c r="L5707" s="1"/>
      <c r="M5707" s="1"/>
      <c r="N5707" s="1"/>
      <c r="O5707" s="1"/>
      <c r="P5707" s="1"/>
      <c r="Q5707" s="1"/>
      <c r="R5707" s="1"/>
      <c r="S5707" s="1"/>
      <c r="T5707" s="1"/>
      <c r="U5707" s="1"/>
      <c r="V5707" s="1"/>
      <c r="W5707" s="1"/>
      <c r="X5707" s="1"/>
    </row>
    <row x14ac:dyDescent="0.25" r="5708" customHeight="1" ht="18.75">
      <c r="A5708" s="1"/>
      <c r="B5708" s="1"/>
      <c r="C5708" s="1"/>
      <c r="D5708" s="1"/>
      <c r="E5708" s="1"/>
      <c r="F5708" s="1"/>
      <c r="G5708" s="1"/>
      <c r="H5708" s="1"/>
      <c r="I5708" s="2"/>
      <c r="J5708" s="1"/>
      <c r="K5708" s="1"/>
      <c r="L5708" s="1"/>
      <c r="M5708" s="1"/>
      <c r="N5708" s="1"/>
      <c r="O5708" s="1"/>
      <c r="P5708" s="1"/>
      <c r="Q5708" s="1"/>
      <c r="R5708" s="1"/>
      <c r="S5708" s="1"/>
      <c r="T5708" s="1"/>
      <c r="U5708" s="1"/>
      <c r="V5708" s="1"/>
      <c r="W5708" s="1"/>
      <c r="X5708" s="1"/>
    </row>
    <row x14ac:dyDescent="0.25" r="5709" customHeight="1" ht="18.75">
      <c r="A5709" s="1"/>
      <c r="B5709" s="1"/>
      <c r="C5709" s="1"/>
      <c r="D5709" s="1"/>
      <c r="E5709" s="1"/>
      <c r="F5709" s="1"/>
      <c r="G5709" s="1"/>
      <c r="H5709" s="1"/>
      <c r="I5709" s="2"/>
      <c r="J5709" s="1"/>
      <c r="K5709" s="1"/>
      <c r="L5709" s="1"/>
      <c r="M5709" s="1"/>
      <c r="N5709" s="1"/>
      <c r="O5709" s="1"/>
      <c r="P5709" s="1"/>
      <c r="Q5709" s="1"/>
      <c r="R5709" s="1"/>
      <c r="S5709" s="1"/>
      <c r="T5709" s="1"/>
      <c r="U5709" s="1"/>
      <c r="V5709" s="1"/>
      <c r="W5709" s="1"/>
      <c r="X5709" s="1"/>
    </row>
    <row x14ac:dyDescent="0.25" r="5710" customHeight="1" ht="18.75">
      <c r="A5710" s="1"/>
      <c r="B5710" s="1"/>
      <c r="C5710" s="1"/>
      <c r="D5710" s="1"/>
      <c r="E5710" s="1"/>
      <c r="F5710" s="1"/>
      <c r="G5710" s="1"/>
      <c r="H5710" s="1"/>
      <c r="I5710" s="2"/>
      <c r="J5710" s="1"/>
      <c r="K5710" s="1"/>
      <c r="L5710" s="1"/>
      <c r="M5710" s="1"/>
      <c r="N5710" s="1"/>
      <c r="O5710" s="1"/>
      <c r="P5710" s="1"/>
      <c r="Q5710" s="1"/>
      <c r="R5710" s="1"/>
      <c r="S5710" s="1"/>
      <c r="T5710" s="1"/>
      <c r="U5710" s="1"/>
      <c r="V5710" s="1"/>
      <c r="W5710" s="1"/>
      <c r="X5710" s="1"/>
    </row>
    <row x14ac:dyDescent="0.25" r="5711" customHeight="1" ht="18.75">
      <c r="A5711" s="1"/>
      <c r="B5711" s="1"/>
      <c r="C5711" s="1"/>
      <c r="D5711" s="1"/>
      <c r="E5711" s="1"/>
      <c r="F5711" s="1"/>
      <c r="G5711" s="1"/>
      <c r="H5711" s="1"/>
      <c r="I5711" s="2"/>
      <c r="J5711" s="1"/>
      <c r="K5711" s="1"/>
      <c r="L5711" s="1"/>
      <c r="M5711" s="1"/>
      <c r="N5711" s="1"/>
      <c r="O5711" s="1"/>
      <c r="P5711" s="1"/>
      <c r="Q5711" s="1"/>
      <c r="R5711" s="1"/>
      <c r="S5711" s="1"/>
      <c r="T5711" s="1"/>
      <c r="U5711" s="1"/>
      <c r="V5711" s="1"/>
      <c r="W5711" s="1"/>
      <c r="X5711" s="1"/>
    </row>
    <row x14ac:dyDescent="0.25" r="5712" customHeight="1" ht="18.75">
      <c r="A5712" s="1"/>
      <c r="B5712" s="1"/>
      <c r="C5712" s="1"/>
      <c r="D5712" s="1"/>
      <c r="E5712" s="1"/>
      <c r="F5712" s="1"/>
      <c r="G5712" s="1"/>
      <c r="H5712" s="1"/>
      <c r="I5712" s="2"/>
      <c r="J5712" s="1"/>
      <c r="K5712" s="1"/>
      <c r="L5712" s="1"/>
      <c r="M5712" s="1"/>
      <c r="N5712" s="1"/>
      <c r="O5712" s="1"/>
      <c r="P5712" s="1"/>
      <c r="Q5712" s="1"/>
      <c r="R5712" s="1"/>
      <c r="S5712" s="1"/>
      <c r="T5712" s="1"/>
      <c r="U5712" s="1"/>
      <c r="V5712" s="1"/>
      <c r="W5712" s="1"/>
      <c r="X5712" s="1"/>
    </row>
    <row x14ac:dyDescent="0.25" r="5713" customHeight="1" ht="18.75">
      <c r="A5713" s="1"/>
      <c r="B5713" s="1"/>
      <c r="C5713" s="1"/>
      <c r="D5713" s="1"/>
      <c r="E5713" s="1"/>
      <c r="F5713" s="1"/>
      <c r="G5713" s="1"/>
      <c r="H5713" s="1"/>
      <c r="I5713" s="2"/>
      <c r="J5713" s="1"/>
      <c r="K5713" s="1"/>
      <c r="L5713" s="1"/>
      <c r="M5713" s="1"/>
      <c r="N5713" s="1"/>
      <c r="O5713" s="1"/>
      <c r="P5713" s="1"/>
      <c r="Q5713" s="1"/>
      <c r="R5713" s="1"/>
      <c r="S5713" s="1"/>
      <c r="T5713" s="1"/>
      <c r="U5713" s="1"/>
      <c r="V5713" s="1"/>
      <c r="W5713" s="1"/>
      <c r="X5713" s="1"/>
    </row>
    <row x14ac:dyDescent="0.25" r="5714" customHeight="1" ht="18.75">
      <c r="A5714" s="1"/>
      <c r="B5714" s="1"/>
      <c r="C5714" s="1"/>
      <c r="D5714" s="1"/>
      <c r="E5714" s="1"/>
      <c r="F5714" s="1"/>
      <c r="G5714" s="1"/>
      <c r="H5714" s="1"/>
      <c r="I5714" s="2"/>
      <c r="J5714" s="1"/>
      <c r="K5714" s="1"/>
      <c r="L5714" s="1"/>
      <c r="M5714" s="1"/>
      <c r="N5714" s="1"/>
      <c r="O5714" s="1"/>
      <c r="P5714" s="1"/>
      <c r="Q5714" s="1"/>
      <c r="R5714" s="1"/>
      <c r="S5714" s="1"/>
      <c r="T5714" s="1"/>
      <c r="U5714" s="1"/>
      <c r="V5714" s="1"/>
      <c r="W5714" s="1"/>
      <c r="X5714" s="1"/>
    </row>
    <row x14ac:dyDescent="0.25" r="5715" customHeight="1" ht="18.75">
      <c r="A5715" s="1"/>
      <c r="B5715" s="1"/>
      <c r="C5715" s="1"/>
      <c r="D5715" s="1"/>
      <c r="E5715" s="1"/>
      <c r="F5715" s="1"/>
      <c r="G5715" s="1"/>
      <c r="H5715" s="1"/>
      <c r="I5715" s="2"/>
      <c r="J5715" s="1"/>
      <c r="K5715" s="1"/>
      <c r="L5715" s="1"/>
      <c r="M5715" s="1"/>
      <c r="N5715" s="1"/>
      <c r="O5715" s="1"/>
      <c r="P5715" s="1"/>
      <c r="Q5715" s="1"/>
      <c r="R5715" s="1"/>
      <c r="S5715" s="1"/>
      <c r="T5715" s="1"/>
      <c r="U5715" s="1"/>
      <c r="V5715" s="1"/>
      <c r="W5715" s="1"/>
      <c r="X5715" s="1"/>
    </row>
    <row x14ac:dyDescent="0.25" r="5716" customHeight="1" ht="18.75">
      <c r="A5716" s="1"/>
      <c r="B5716" s="1"/>
      <c r="C5716" s="1"/>
      <c r="D5716" s="1"/>
      <c r="E5716" s="1"/>
      <c r="F5716" s="1"/>
      <c r="G5716" s="1"/>
      <c r="H5716" s="1"/>
      <c r="I5716" s="2"/>
      <c r="J5716" s="1"/>
      <c r="K5716" s="1"/>
      <c r="L5716" s="1"/>
      <c r="M5716" s="1"/>
      <c r="N5716" s="1"/>
      <c r="O5716" s="1"/>
      <c r="P5716" s="1"/>
      <c r="Q5716" s="1"/>
      <c r="R5716" s="1"/>
      <c r="S5716" s="1"/>
      <c r="T5716" s="1"/>
      <c r="U5716" s="1"/>
      <c r="V5716" s="1"/>
      <c r="W5716" s="1"/>
      <c r="X5716" s="1"/>
    </row>
    <row x14ac:dyDescent="0.25" r="5717" customHeight="1" ht="18.75">
      <c r="A5717" s="1"/>
      <c r="B5717" s="1"/>
      <c r="C5717" s="1"/>
      <c r="D5717" s="1"/>
      <c r="E5717" s="1"/>
      <c r="F5717" s="1"/>
      <c r="G5717" s="1"/>
      <c r="H5717" s="1"/>
      <c r="I5717" s="2"/>
      <c r="J5717" s="1"/>
      <c r="K5717" s="1"/>
      <c r="L5717" s="1"/>
      <c r="M5717" s="1"/>
      <c r="N5717" s="1"/>
      <c r="O5717" s="1"/>
      <c r="P5717" s="1"/>
      <c r="Q5717" s="1"/>
      <c r="R5717" s="1"/>
      <c r="S5717" s="1"/>
      <c r="T5717" s="1"/>
      <c r="U5717" s="1"/>
      <c r="V5717" s="1"/>
      <c r="W5717" s="1"/>
      <c r="X5717" s="1"/>
    </row>
    <row x14ac:dyDescent="0.25" r="5718" customHeight="1" ht="18.75">
      <c r="A5718" s="1"/>
      <c r="B5718" s="1"/>
      <c r="C5718" s="1"/>
      <c r="D5718" s="1"/>
      <c r="E5718" s="1"/>
      <c r="F5718" s="1"/>
      <c r="G5718" s="1"/>
      <c r="H5718" s="1"/>
      <c r="I5718" s="2"/>
      <c r="J5718" s="1"/>
      <c r="K5718" s="1"/>
      <c r="L5718" s="1"/>
      <c r="M5718" s="1"/>
      <c r="N5718" s="1"/>
      <c r="O5718" s="1"/>
      <c r="P5718" s="1"/>
      <c r="Q5718" s="1"/>
      <c r="R5718" s="1"/>
      <c r="S5718" s="1"/>
      <c r="T5718" s="1"/>
      <c r="U5718" s="1"/>
      <c r="V5718" s="1"/>
      <c r="W5718" s="1"/>
      <c r="X5718" s="1"/>
    </row>
    <row x14ac:dyDescent="0.25" r="5719" customHeight="1" ht="18.75">
      <c r="A5719" s="1"/>
      <c r="B5719" s="1"/>
      <c r="C5719" s="1"/>
      <c r="D5719" s="1"/>
      <c r="E5719" s="1"/>
      <c r="F5719" s="1"/>
      <c r="G5719" s="1"/>
      <c r="H5719" s="1"/>
      <c r="I5719" s="2"/>
      <c r="J5719" s="1"/>
      <c r="K5719" s="1"/>
      <c r="L5719" s="1"/>
      <c r="M5719" s="1"/>
      <c r="N5719" s="1"/>
      <c r="O5719" s="1"/>
      <c r="P5719" s="1"/>
      <c r="Q5719" s="1"/>
      <c r="R5719" s="1"/>
      <c r="S5719" s="1"/>
      <c r="T5719" s="1"/>
      <c r="U5719" s="1"/>
      <c r="V5719" s="1"/>
      <c r="W5719" s="1"/>
      <c r="X5719" s="1"/>
    </row>
    <row x14ac:dyDescent="0.25" r="5720" customHeight="1" ht="18.75">
      <c r="A5720" s="1"/>
      <c r="B5720" s="1"/>
      <c r="C5720" s="1"/>
      <c r="D5720" s="1"/>
      <c r="E5720" s="1"/>
      <c r="F5720" s="1"/>
      <c r="G5720" s="1"/>
      <c r="H5720" s="1"/>
      <c r="I5720" s="2"/>
      <c r="J5720" s="1"/>
      <c r="K5720" s="1"/>
      <c r="L5720" s="1"/>
      <c r="M5720" s="1"/>
      <c r="N5720" s="1"/>
      <c r="O5720" s="1"/>
      <c r="P5720" s="1"/>
      <c r="Q5720" s="1"/>
      <c r="R5720" s="1"/>
      <c r="S5720" s="1"/>
      <c r="T5720" s="1"/>
      <c r="U5720" s="1"/>
      <c r="V5720" s="1"/>
      <c r="W5720" s="1"/>
      <c r="X5720" s="1"/>
    </row>
    <row x14ac:dyDescent="0.25" r="5721" customHeight="1" ht="18.75">
      <c r="A5721" s="1"/>
      <c r="B5721" s="1"/>
      <c r="C5721" s="1"/>
      <c r="D5721" s="1"/>
      <c r="E5721" s="1"/>
      <c r="F5721" s="1"/>
      <c r="G5721" s="1"/>
      <c r="H5721" s="1"/>
      <c r="I5721" s="2"/>
      <c r="J5721" s="1"/>
      <c r="K5721" s="1"/>
      <c r="L5721" s="1"/>
      <c r="M5721" s="1"/>
      <c r="N5721" s="1"/>
      <c r="O5721" s="1"/>
      <c r="P5721" s="1"/>
      <c r="Q5721" s="1"/>
      <c r="R5721" s="1"/>
      <c r="S5721" s="1"/>
      <c r="T5721" s="1"/>
      <c r="U5721" s="1"/>
      <c r="V5721" s="1"/>
      <c r="W5721" s="1"/>
      <c r="X5721" s="1"/>
    </row>
    <row x14ac:dyDescent="0.25" r="5722" customHeight="1" ht="18.75">
      <c r="A5722" s="1"/>
      <c r="B5722" s="1"/>
      <c r="C5722" s="1"/>
      <c r="D5722" s="1"/>
      <c r="E5722" s="1"/>
      <c r="F5722" s="1"/>
      <c r="G5722" s="1"/>
      <c r="H5722" s="1"/>
      <c r="I5722" s="2"/>
      <c r="J5722" s="1"/>
      <c r="K5722" s="1"/>
      <c r="L5722" s="1"/>
      <c r="M5722" s="1"/>
      <c r="N5722" s="1"/>
      <c r="O5722" s="1"/>
      <c r="P5722" s="1"/>
      <c r="Q5722" s="1"/>
      <c r="R5722" s="1"/>
      <c r="S5722" s="1"/>
      <c r="T5722" s="1"/>
      <c r="U5722" s="1"/>
      <c r="V5722" s="1"/>
      <c r="W5722" s="1"/>
      <c r="X5722" s="1"/>
    </row>
    <row x14ac:dyDescent="0.25" r="5723" customHeight="1" ht="18.75">
      <c r="A5723" s="1"/>
      <c r="B5723" s="1"/>
      <c r="C5723" s="1"/>
      <c r="D5723" s="1"/>
      <c r="E5723" s="1"/>
      <c r="F5723" s="1"/>
      <c r="G5723" s="1"/>
      <c r="H5723" s="1"/>
      <c r="I5723" s="2"/>
      <c r="J5723" s="1"/>
      <c r="K5723" s="1"/>
      <c r="L5723" s="1"/>
      <c r="M5723" s="1"/>
      <c r="N5723" s="1"/>
      <c r="O5723" s="1"/>
      <c r="P5723" s="1"/>
      <c r="Q5723" s="1"/>
      <c r="R5723" s="1"/>
      <c r="S5723" s="1"/>
      <c r="T5723" s="1"/>
      <c r="U5723" s="1"/>
      <c r="V5723" s="1"/>
      <c r="W5723" s="1"/>
      <c r="X5723" s="1"/>
    </row>
    <row x14ac:dyDescent="0.25" r="5724" customHeight="1" ht="18.75">
      <c r="A5724" s="1"/>
      <c r="B5724" s="1"/>
      <c r="C5724" s="1"/>
      <c r="D5724" s="1"/>
      <c r="E5724" s="1"/>
      <c r="F5724" s="1"/>
      <c r="G5724" s="1"/>
      <c r="H5724" s="1"/>
      <c r="I5724" s="2"/>
      <c r="J5724" s="1"/>
      <c r="K5724" s="1"/>
      <c r="L5724" s="1"/>
      <c r="M5724" s="1"/>
      <c r="N5724" s="1"/>
      <c r="O5724" s="1"/>
      <c r="P5724" s="1"/>
      <c r="Q5724" s="1"/>
      <c r="R5724" s="1"/>
      <c r="S5724" s="1"/>
      <c r="T5724" s="1"/>
      <c r="U5724" s="1"/>
      <c r="V5724" s="1"/>
      <c r="W5724" s="1"/>
      <c r="X5724" s="1"/>
    </row>
    <row x14ac:dyDescent="0.25" r="5725" customHeight="1" ht="18.75">
      <c r="A5725" s="1"/>
      <c r="B5725" s="1"/>
      <c r="C5725" s="1"/>
      <c r="D5725" s="1"/>
      <c r="E5725" s="1"/>
      <c r="F5725" s="1"/>
      <c r="G5725" s="1"/>
      <c r="H5725" s="1"/>
      <c r="I5725" s="2"/>
      <c r="J5725" s="1"/>
      <c r="K5725" s="1"/>
      <c r="L5725" s="1"/>
      <c r="M5725" s="1"/>
      <c r="N5725" s="1"/>
      <c r="O5725" s="1"/>
      <c r="P5725" s="1"/>
      <c r="Q5725" s="1"/>
      <c r="R5725" s="1"/>
      <c r="S5725" s="1"/>
      <c r="T5725" s="1"/>
      <c r="U5725" s="1"/>
      <c r="V5725" s="1"/>
      <c r="W5725" s="1"/>
      <c r="X5725" s="1"/>
    </row>
    <row x14ac:dyDescent="0.25" r="5726" customHeight="1" ht="18.75">
      <c r="A5726" s="1"/>
      <c r="B5726" s="1"/>
      <c r="C5726" s="1"/>
      <c r="D5726" s="1"/>
      <c r="E5726" s="1"/>
      <c r="F5726" s="1"/>
      <c r="G5726" s="1"/>
      <c r="H5726" s="1"/>
      <c r="I5726" s="2"/>
      <c r="J5726" s="1"/>
      <c r="K5726" s="1"/>
      <c r="L5726" s="1"/>
      <c r="M5726" s="1"/>
      <c r="N5726" s="1"/>
      <c r="O5726" s="1"/>
      <c r="P5726" s="1"/>
      <c r="Q5726" s="1"/>
      <c r="R5726" s="1"/>
      <c r="S5726" s="1"/>
      <c r="T5726" s="1"/>
      <c r="U5726" s="1"/>
      <c r="V5726" s="1"/>
      <c r="W5726" s="1"/>
      <c r="X5726" s="1"/>
    </row>
    <row x14ac:dyDescent="0.25" r="5727" customHeight="1" ht="18.75">
      <c r="A5727" s="1"/>
      <c r="B5727" s="1"/>
      <c r="C5727" s="1"/>
      <c r="D5727" s="1"/>
      <c r="E5727" s="1"/>
      <c r="F5727" s="1"/>
      <c r="G5727" s="1"/>
      <c r="H5727" s="1"/>
      <c r="I5727" s="2"/>
      <c r="J5727" s="1"/>
      <c r="K5727" s="1"/>
      <c r="L5727" s="1"/>
      <c r="M5727" s="1"/>
      <c r="N5727" s="1"/>
      <c r="O5727" s="1"/>
      <c r="P5727" s="1"/>
      <c r="Q5727" s="1"/>
      <c r="R5727" s="1"/>
      <c r="S5727" s="1"/>
      <c r="T5727" s="1"/>
      <c r="U5727" s="1"/>
      <c r="V5727" s="1"/>
      <c r="W5727" s="1"/>
      <c r="X5727" s="1"/>
    </row>
    <row x14ac:dyDescent="0.25" r="5728" customHeight="1" ht="18.75">
      <c r="A5728" s="1"/>
      <c r="B5728" s="1"/>
      <c r="C5728" s="1"/>
      <c r="D5728" s="1"/>
      <c r="E5728" s="1"/>
      <c r="F5728" s="1"/>
      <c r="G5728" s="1"/>
      <c r="H5728" s="1"/>
      <c r="I5728" s="2"/>
      <c r="J5728" s="1"/>
      <c r="K5728" s="1"/>
      <c r="L5728" s="1"/>
      <c r="M5728" s="1"/>
      <c r="N5728" s="1"/>
      <c r="O5728" s="1"/>
      <c r="P5728" s="1"/>
      <c r="Q5728" s="1"/>
      <c r="R5728" s="1"/>
      <c r="S5728" s="1"/>
      <c r="T5728" s="1"/>
      <c r="U5728" s="1"/>
      <c r="V5728" s="1"/>
      <c r="W5728" s="1"/>
      <c r="X5728" s="1"/>
    </row>
    <row x14ac:dyDescent="0.25" r="5729" customHeight="1" ht="18.75">
      <c r="A5729" s="1"/>
      <c r="B5729" s="1"/>
      <c r="C5729" s="1"/>
      <c r="D5729" s="1"/>
      <c r="E5729" s="1"/>
      <c r="F5729" s="1"/>
      <c r="G5729" s="1"/>
      <c r="H5729" s="1"/>
      <c r="I5729" s="2"/>
      <c r="J5729" s="1"/>
      <c r="K5729" s="1"/>
      <c r="L5729" s="1"/>
      <c r="M5729" s="1"/>
      <c r="N5729" s="1"/>
      <c r="O5729" s="1"/>
      <c r="P5729" s="1"/>
      <c r="Q5729" s="1"/>
      <c r="R5729" s="1"/>
      <c r="S5729" s="1"/>
      <c r="T5729" s="1"/>
      <c r="U5729" s="1"/>
      <c r="V5729" s="1"/>
      <c r="W5729" s="1"/>
      <c r="X5729" s="1"/>
    </row>
    <row x14ac:dyDescent="0.25" r="5730" customHeight="1" ht="18.75">
      <c r="A5730" s="1"/>
      <c r="B5730" s="1"/>
      <c r="C5730" s="1"/>
      <c r="D5730" s="1"/>
      <c r="E5730" s="1"/>
      <c r="F5730" s="1"/>
      <c r="G5730" s="1"/>
      <c r="H5730" s="1"/>
      <c r="I5730" s="2"/>
      <c r="J5730" s="1"/>
      <c r="K5730" s="1"/>
      <c r="L5730" s="1"/>
      <c r="M5730" s="1"/>
      <c r="N5730" s="1"/>
      <c r="O5730" s="1"/>
      <c r="P5730" s="1"/>
      <c r="Q5730" s="1"/>
      <c r="R5730" s="1"/>
      <c r="S5730" s="1"/>
      <c r="T5730" s="1"/>
      <c r="U5730" s="1"/>
      <c r="V5730" s="1"/>
      <c r="W5730" s="1"/>
      <c r="X5730" s="1"/>
    </row>
    <row x14ac:dyDescent="0.25" r="5731" customHeight="1" ht="18.75">
      <c r="A5731" s="1"/>
      <c r="B5731" s="1"/>
      <c r="C5731" s="1"/>
      <c r="D5731" s="1"/>
      <c r="E5731" s="1"/>
      <c r="F5731" s="1"/>
      <c r="G5731" s="1"/>
      <c r="H5731" s="1"/>
      <c r="I5731" s="2"/>
      <c r="J5731" s="1"/>
      <c r="K5731" s="1"/>
      <c r="L5731" s="1"/>
      <c r="M5731" s="1"/>
      <c r="N5731" s="1"/>
      <c r="O5731" s="1"/>
      <c r="P5731" s="1"/>
      <c r="Q5731" s="1"/>
      <c r="R5731" s="1"/>
      <c r="S5731" s="1"/>
      <c r="T5731" s="1"/>
      <c r="U5731" s="1"/>
      <c r="V5731" s="1"/>
      <c r="W5731" s="1"/>
      <c r="X5731" s="1"/>
    </row>
    <row x14ac:dyDescent="0.25" r="5732" customHeight="1" ht="18.75">
      <c r="A5732" s="1"/>
      <c r="B5732" s="1"/>
      <c r="C5732" s="1"/>
      <c r="D5732" s="1"/>
      <c r="E5732" s="1"/>
      <c r="F5732" s="1"/>
      <c r="G5732" s="1"/>
      <c r="H5732" s="1"/>
      <c r="I5732" s="2"/>
      <c r="J5732" s="1"/>
      <c r="K5732" s="1"/>
      <c r="L5732" s="1"/>
      <c r="M5732" s="1"/>
      <c r="N5732" s="1"/>
      <c r="O5732" s="1"/>
      <c r="P5732" s="1"/>
      <c r="Q5732" s="1"/>
      <c r="R5732" s="1"/>
      <c r="S5732" s="1"/>
      <c r="T5732" s="1"/>
      <c r="U5732" s="1"/>
      <c r="V5732" s="1"/>
      <c r="W5732" s="1"/>
      <c r="X5732" s="1"/>
    </row>
    <row x14ac:dyDescent="0.25" r="5733" customHeight="1" ht="18.75">
      <c r="A5733" s="1"/>
      <c r="B5733" s="1"/>
      <c r="C5733" s="1"/>
      <c r="D5733" s="1"/>
      <c r="E5733" s="1"/>
      <c r="F5733" s="1"/>
      <c r="G5733" s="1"/>
      <c r="H5733" s="1"/>
      <c r="I5733" s="2"/>
      <c r="J5733" s="1"/>
      <c r="K5733" s="1"/>
      <c r="L5733" s="1"/>
      <c r="M5733" s="1"/>
      <c r="N5733" s="1"/>
      <c r="O5733" s="1"/>
      <c r="P5733" s="1"/>
      <c r="Q5733" s="1"/>
      <c r="R5733" s="1"/>
      <c r="S5733" s="1"/>
      <c r="T5733" s="1"/>
      <c r="U5733" s="1"/>
      <c r="V5733" s="1"/>
      <c r="W5733" s="1"/>
      <c r="X5733" s="1"/>
    </row>
    <row x14ac:dyDescent="0.25" r="5734" customHeight="1" ht="18.75">
      <c r="A5734" s="1"/>
      <c r="B5734" s="1"/>
      <c r="C5734" s="1"/>
      <c r="D5734" s="1"/>
      <c r="E5734" s="1"/>
      <c r="F5734" s="1"/>
      <c r="G5734" s="1"/>
      <c r="H5734" s="1"/>
      <c r="I5734" s="2"/>
      <c r="J5734" s="1"/>
      <c r="K5734" s="1"/>
      <c r="L5734" s="1"/>
      <c r="M5734" s="1"/>
      <c r="N5734" s="1"/>
      <c r="O5734" s="1"/>
      <c r="P5734" s="1"/>
      <c r="Q5734" s="1"/>
      <c r="R5734" s="1"/>
      <c r="S5734" s="1"/>
      <c r="T5734" s="1"/>
      <c r="U5734" s="1"/>
      <c r="V5734" s="1"/>
      <c r="W5734" s="1"/>
      <c r="X5734" s="1"/>
    </row>
    <row x14ac:dyDescent="0.25" r="5735" customHeight="1" ht="18.75">
      <c r="A5735" s="1"/>
      <c r="B5735" s="1"/>
      <c r="C5735" s="1"/>
      <c r="D5735" s="1"/>
      <c r="E5735" s="1"/>
      <c r="F5735" s="1"/>
      <c r="G5735" s="1"/>
      <c r="H5735" s="1"/>
      <c r="I5735" s="2"/>
      <c r="J5735" s="1"/>
      <c r="K5735" s="1"/>
      <c r="L5735" s="1"/>
      <c r="M5735" s="1"/>
      <c r="N5735" s="1"/>
      <c r="O5735" s="1"/>
      <c r="P5735" s="1"/>
      <c r="Q5735" s="1"/>
      <c r="R5735" s="1"/>
      <c r="S5735" s="1"/>
      <c r="T5735" s="1"/>
      <c r="U5735" s="1"/>
      <c r="V5735" s="1"/>
      <c r="W5735" s="1"/>
      <c r="X5735" s="1"/>
    </row>
    <row x14ac:dyDescent="0.25" r="5736" customHeight="1" ht="18.75">
      <c r="A5736" s="1"/>
      <c r="B5736" s="1"/>
      <c r="C5736" s="1"/>
      <c r="D5736" s="1"/>
      <c r="E5736" s="1"/>
      <c r="F5736" s="1"/>
      <c r="G5736" s="1"/>
      <c r="H5736" s="1"/>
      <c r="I5736" s="2"/>
      <c r="J5736" s="1"/>
      <c r="K5736" s="1"/>
      <c r="L5736" s="1"/>
      <c r="M5736" s="1"/>
      <c r="N5736" s="1"/>
      <c r="O5736" s="1"/>
      <c r="P5736" s="1"/>
      <c r="Q5736" s="1"/>
      <c r="R5736" s="1"/>
      <c r="S5736" s="1"/>
      <c r="T5736" s="1"/>
      <c r="U5736" s="1"/>
      <c r="V5736" s="1"/>
      <c r="W5736" s="1"/>
      <c r="X5736" s="1"/>
    </row>
    <row x14ac:dyDescent="0.25" r="5737" customHeight="1" ht="18.75">
      <c r="A5737" s="1"/>
      <c r="B5737" s="1"/>
      <c r="C5737" s="1"/>
      <c r="D5737" s="1"/>
      <c r="E5737" s="1"/>
      <c r="F5737" s="1"/>
      <c r="G5737" s="1"/>
      <c r="H5737" s="1"/>
      <c r="I5737" s="2"/>
      <c r="J5737" s="1"/>
      <c r="K5737" s="1"/>
      <c r="L5737" s="1"/>
      <c r="M5737" s="1"/>
      <c r="N5737" s="1"/>
      <c r="O5737" s="1"/>
      <c r="P5737" s="1"/>
      <c r="Q5737" s="1"/>
      <c r="R5737" s="1"/>
      <c r="S5737" s="1"/>
      <c r="T5737" s="1"/>
      <c r="U5737" s="1"/>
      <c r="V5737" s="1"/>
      <c r="W5737" s="1"/>
      <c r="X5737" s="1"/>
    </row>
    <row x14ac:dyDescent="0.25" r="5738" customHeight="1" ht="18.75">
      <c r="A5738" s="1"/>
      <c r="B5738" s="1"/>
      <c r="C5738" s="1"/>
      <c r="D5738" s="1"/>
      <c r="E5738" s="1"/>
      <c r="F5738" s="1"/>
      <c r="G5738" s="1"/>
      <c r="H5738" s="1"/>
      <c r="I5738" s="2"/>
      <c r="J5738" s="1"/>
      <c r="K5738" s="1"/>
      <c r="L5738" s="1"/>
      <c r="M5738" s="1"/>
      <c r="N5738" s="1"/>
      <c r="O5738" s="1"/>
      <c r="P5738" s="1"/>
      <c r="Q5738" s="1"/>
      <c r="R5738" s="1"/>
      <c r="S5738" s="1"/>
      <c r="T5738" s="1"/>
      <c r="U5738" s="1"/>
      <c r="V5738" s="1"/>
      <c r="W5738" s="1"/>
      <c r="X5738" s="1"/>
    </row>
    <row x14ac:dyDescent="0.25" r="5739" customHeight="1" ht="18.75">
      <c r="A5739" s="1"/>
      <c r="B5739" s="1"/>
      <c r="C5739" s="1"/>
      <c r="D5739" s="1"/>
      <c r="E5739" s="1"/>
      <c r="F5739" s="1"/>
      <c r="G5739" s="1"/>
      <c r="H5739" s="1"/>
      <c r="I5739" s="2"/>
      <c r="J5739" s="1"/>
      <c r="K5739" s="1"/>
      <c r="L5739" s="1"/>
      <c r="M5739" s="1"/>
      <c r="N5739" s="1"/>
      <c r="O5739" s="1"/>
      <c r="P5739" s="1"/>
      <c r="Q5739" s="1"/>
      <c r="R5739" s="1"/>
      <c r="S5739" s="1"/>
      <c r="T5739" s="1"/>
      <c r="U5739" s="1"/>
      <c r="V5739" s="1"/>
      <c r="W5739" s="1"/>
      <c r="X5739" s="1"/>
    </row>
    <row x14ac:dyDescent="0.25" r="5740" customHeight="1" ht="18.75">
      <c r="A5740" s="1"/>
      <c r="B5740" s="1"/>
      <c r="C5740" s="1"/>
      <c r="D5740" s="1"/>
      <c r="E5740" s="1"/>
      <c r="F5740" s="1"/>
      <c r="G5740" s="1"/>
      <c r="H5740" s="1"/>
      <c r="I5740" s="2"/>
      <c r="J5740" s="1"/>
      <c r="K5740" s="1"/>
      <c r="L5740" s="1"/>
      <c r="M5740" s="1"/>
      <c r="N5740" s="1"/>
      <c r="O5740" s="1"/>
      <c r="P5740" s="1"/>
      <c r="Q5740" s="1"/>
      <c r="R5740" s="1"/>
      <c r="S5740" s="1"/>
      <c r="T5740" s="1"/>
      <c r="U5740" s="1"/>
      <c r="V5740" s="1"/>
      <c r="W5740" s="1"/>
      <c r="X5740" s="1"/>
    </row>
    <row x14ac:dyDescent="0.25" r="5741" customHeight="1" ht="18.75">
      <c r="A5741" s="1"/>
      <c r="B5741" s="1"/>
      <c r="C5741" s="1"/>
      <c r="D5741" s="1"/>
      <c r="E5741" s="1"/>
      <c r="F5741" s="1"/>
      <c r="G5741" s="1"/>
      <c r="H5741" s="1"/>
      <c r="I5741" s="2"/>
      <c r="J5741" s="1"/>
      <c r="K5741" s="1"/>
      <c r="L5741" s="1"/>
      <c r="M5741" s="1"/>
      <c r="N5741" s="1"/>
      <c r="O5741" s="1"/>
      <c r="P5741" s="1"/>
      <c r="Q5741" s="1"/>
      <c r="R5741" s="1"/>
      <c r="S5741" s="1"/>
      <c r="T5741" s="1"/>
      <c r="U5741" s="1"/>
      <c r="V5741" s="1"/>
      <c r="W5741" s="1"/>
      <c r="X5741" s="1"/>
    </row>
    <row x14ac:dyDescent="0.25" r="5742" customHeight="1" ht="18.75">
      <c r="A5742" s="1"/>
      <c r="B5742" s="1"/>
      <c r="C5742" s="1"/>
      <c r="D5742" s="1"/>
      <c r="E5742" s="1"/>
      <c r="F5742" s="1"/>
      <c r="G5742" s="1"/>
      <c r="H5742" s="1"/>
      <c r="I5742" s="2"/>
      <c r="J5742" s="1"/>
      <c r="K5742" s="1"/>
      <c r="L5742" s="1"/>
      <c r="M5742" s="1"/>
      <c r="N5742" s="1"/>
      <c r="O5742" s="1"/>
      <c r="P5742" s="1"/>
      <c r="Q5742" s="1"/>
      <c r="R5742" s="1"/>
      <c r="S5742" s="1"/>
      <c r="T5742" s="1"/>
      <c r="U5742" s="1"/>
      <c r="V5742" s="1"/>
      <c r="W5742" s="1"/>
      <c r="X5742" s="1"/>
    </row>
    <row x14ac:dyDescent="0.25" r="5743" customHeight="1" ht="18.75">
      <c r="A5743" s="1"/>
      <c r="B5743" s="1"/>
      <c r="C5743" s="1"/>
      <c r="D5743" s="1"/>
      <c r="E5743" s="1"/>
      <c r="F5743" s="1"/>
      <c r="G5743" s="1"/>
      <c r="H5743" s="1"/>
      <c r="I5743" s="2"/>
      <c r="J5743" s="1"/>
      <c r="K5743" s="1"/>
      <c r="L5743" s="1"/>
      <c r="M5743" s="1"/>
      <c r="N5743" s="1"/>
      <c r="O5743" s="1"/>
      <c r="P5743" s="1"/>
      <c r="Q5743" s="1"/>
      <c r="R5743" s="1"/>
      <c r="S5743" s="1"/>
      <c r="T5743" s="1"/>
      <c r="U5743" s="1"/>
      <c r="V5743" s="1"/>
      <c r="W5743" s="1"/>
      <c r="X5743" s="1"/>
    </row>
    <row x14ac:dyDescent="0.25" r="5744" customHeight="1" ht="18.75">
      <c r="A5744" s="1"/>
      <c r="B5744" s="1"/>
      <c r="C5744" s="1"/>
      <c r="D5744" s="1"/>
      <c r="E5744" s="1"/>
      <c r="F5744" s="1"/>
      <c r="G5744" s="1"/>
      <c r="H5744" s="1"/>
      <c r="I5744" s="2"/>
      <c r="J5744" s="1"/>
      <c r="K5744" s="1"/>
      <c r="L5744" s="1"/>
      <c r="M5744" s="1"/>
      <c r="N5744" s="1"/>
      <c r="O5744" s="1"/>
      <c r="P5744" s="1"/>
      <c r="Q5744" s="1"/>
      <c r="R5744" s="1"/>
      <c r="S5744" s="1"/>
      <c r="T5744" s="1"/>
      <c r="U5744" s="1"/>
      <c r="V5744" s="1"/>
      <c r="W5744" s="1"/>
      <c r="X5744" s="1"/>
    </row>
    <row x14ac:dyDescent="0.25" r="5745" customHeight="1" ht="18.75">
      <c r="A5745" s="1"/>
      <c r="B5745" s="1"/>
      <c r="C5745" s="1"/>
      <c r="D5745" s="1"/>
      <c r="E5745" s="1"/>
      <c r="F5745" s="1"/>
      <c r="G5745" s="1"/>
      <c r="H5745" s="1"/>
      <c r="I5745" s="2"/>
      <c r="J5745" s="1"/>
      <c r="K5745" s="1"/>
      <c r="L5745" s="1"/>
      <c r="M5745" s="1"/>
      <c r="N5745" s="1"/>
      <c r="O5745" s="1"/>
      <c r="P5745" s="1"/>
      <c r="Q5745" s="1"/>
      <c r="R5745" s="1"/>
      <c r="S5745" s="1"/>
      <c r="T5745" s="1"/>
      <c r="U5745" s="1"/>
      <c r="V5745" s="1"/>
      <c r="W5745" s="1"/>
      <c r="X5745" s="1"/>
    </row>
    <row x14ac:dyDescent="0.25" r="5746" customHeight="1" ht="18.75">
      <c r="A5746" s="1"/>
      <c r="B5746" s="1"/>
      <c r="C5746" s="1"/>
      <c r="D5746" s="1"/>
      <c r="E5746" s="1"/>
      <c r="F5746" s="1"/>
      <c r="G5746" s="1"/>
      <c r="H5746" s="1"/>
      <c r="I5746" s="2"/>
      <c r="J5746" s="1"/>
      <c r="K5746" s="1"/>
      <c r="L5746" s="1"/>
      <c r="M5746" s="1"/>
      <c r="N5746" s="1"/>
      <c r="O5746" s="1"/>
      <c r="P5746" s="1"/>
      <c r="Q5746" s="1"/>
      <c r="R5746" s="1"/>
      <c r="S5746" s="1"/>
      <c r="T5746" s="1"/>
      <c r="U5746" s="1"/>
      <c r="V5746" s="1"/>
      <c r="W5746" s="1"/>
      <c r="X5746" s="1"/>
    </row>
    <row x14ac:dyDescent="0.25" r="5747" customHeight="1" ht="18.75">
      <c r="A5747" s="1"/>
      <c r="B5747" s="1"/>
      <c r="C5747" s="1"/>
      <c r="D5747" s="1"/>
      <c r="E5747" s="1"/>
      <c r="F5747" s="1"/>
      <c r="G5747" s="1"/>
      <c r="H5747" s="1"/>
      <c r="I5747" s="2"/>
      <c r="J5747" s="1"/>
      <c r="K5747" s="1"/>
      <c r="L5747" s="1"/>
      <c r="M5747" s="1"/>
      <c r="N5747" s="1"/>
      <c r="O5747" s="1"/>
      <c r="P5747" s="1"/>
      <c r="Q5747" s="1"/>
      <c r="R5747" s="1"/>
      <c r="S5747" s="1"/>
      <c r="T5747" s="1"/>
      <c r="U5747" s="1"/>
      <c r="V5747" s="1"/>
      <c r="W5747" s="1"/>
      <c r="X5747" s="1"/>
    </row>
    <row x14ac:dyDescent="0.25" r="5748" customHeight="1" ht="18.75">
      <c r="A5748" s="1"/>
      <c r="B5748" s="1"/>
      <c r="C5748" s="1"/>
      <c r="D5748" s="1"/>
      <c r="E5748" s="1"/>
      <c r="F5748" s="1"/>
      <c r="G5748" s="1"/>
      <c r="H5748" s="1"/>
      <c r="I5748" s="2"/>
      <c r="J5748" s="1"/>
      <c r="K5748" s="1"/>
      <c r="L5748" s="1"/>
      <c r="M5748" s="1"/>
      <c r="N5748" s="1"/>
      <c r="O5748" s="1"/>
      <c r="P5748" s="1"/>
      <c r="Q5748" s="1"/>
      <c r="R5748" s="1"/>
      <c r="S5748" s="1"/>
      <c r="T5748" s="1"/>
      <c r="U5748" s="1"/>
      <c r="V5748" s="1"/>
      <c r="W5748" s="1"/>
      <c r="X5748" s="1"/>
    </row>
    <row x14ac:dyDescent="0.25" r="5749" customHeight="1" ht="18.75">
      <c r="A5749" s="1"/>
      <c r="B5749" s="1"/>
      <c r="C5749" s="1"/>
      <c r="D5749" s="1"/>
      <c r="E5749" s="1"/>
      <c r="F5749" s="1"/>
      <c r="G5749" s="1"/>
      <c r="H5749" s="1"/>
      <c r="I5749" s="2"/>
      <c r="J5749" s="1"/>
      <c r="K5749" s="1"/>
      <c r="L5749" s="1"/>
      <c r="M5749" s="1"/>
      <c r="N5749" s="1"/>
      <c r="O5749" s="1"/>
      <c r="P5749" s="1"/>
      <c r="Q5749" s="1"/>
      <c r="R5749" s="1"/>
      <c r="S5749" s="1"/>
      <c r="T5749" s="1"/>
      <c r="U5749" s="1"/>
      <c r="V5749" s="1"/>
      <c r="W5749" s="1"/>
      <c r="X5749" s="1"/>
    </row>
    <row x14ac:dyDescent="0.25" r="5750" customHeight="1" ht="18.75">
      <c r="A5750" s="1"/>
      <c r="B5750" s="1"/>
      <c r="C5750" s="1"/>
      <c r="D5750" s="1"/>
      <c r="E5750" s="1"/>
      <c r="F5750" s="1"/>
      <c r="G5750" s="1"/>
      <c r="H5750" s="1"/>
      <c r="I5750" s="2"/>
      <c r="J5750" s="1"/>
      <c r="K5750" s="1"/>
      <c r="L5750" s="1"/>
      <c r="M5750" s="1"/>
      <c r="N5750" s="1"/>
      <c r="O5750" s="1"/>
      <c r="P5750" s="1"/>
      <c r="Q5750" s="1"/>
      <c r="R5750" s="1"/>
      <c r="S5750" s="1"/>
      <c r="T5750" s="1"/>
      <c r="U5750" s="1"/>
      <c r="V5750" s="1"/>
      <c r="W5750" s="1"/>
      <c r="X5750" s="1"/>
    </row>
    <row x14ac:dyDescent="0.25" r="5751" customHeight="1" ht="18.75">
      <c r="A5751" s="1"/>
      <c r="B5751" s="1"/>
      <c r="C5751" s="1"/>
      <c r="D5751" s="1"/>
      <c r="E5751" s="1"/>
      <c r="F5751" s="1"/>
      <c r="G5751" s="1"/>
      <c r="H5751" s="1"/>
      <c r="I5751" s="2"/>
      <c r="J5751" s="1"/>
      <c r="K5751" s="1"/>
      <c r="L5751" s="1"/>
      <c r="M5751" s="1"/>
      <c r="N5751" s="1"/>
      <c r="O5751" s="1"/>
      <c r="P5751" s="1"/>
      <c r="Q5751" s="1"/>
      <c r="R5751" s="1"/>
      <c r="S5751" s="1"/>
      <c r="T5751" s="1"/>
      <c r="U5751" s="1"/>
      <c r="V5751" s="1"/>
      <c r="W5751" s="1"/>
      <c r="X5751" s="1"/>
    </row>
    <row x14ac:dyDescent="0.25" r="5752" customHeight="1" ht="18.75">
      <c r="A5752" s="1"/>
      <c r="B5752" s="1"/>
      <c r="C5752" s="1"/>
      <c r="D5752" s="1"/>
      <c r="E5752" s="1"/>
      <c r="F5752" s="1"/>
      <c r="G5752" s="1"/>
      <c r="H5752" s="1"/>
      <c r="I5752" s="2"/>
      <c r="J5752" s="1"/>
      <c r="K5752" s="1"/>
      <c r="L5752" s="1"/>
      <c r="M5752" s="1"/>
      <c r="N5752" s="1"/>
      <c r="O5752" s="1"/>
      <c r="P5752" s="1"/>
      <c r="Q5752" s="1"/>
      <c r="R5752" s="1"/>
      <c r="S5752" s="1"/>
      <c r="T5752" s="1"/>
      <c r="U5752" s="1"/>
      <c r="V5752" s="1"/>
      <c r="W5752" s="1"/>
      <c r="X5752" s="1"/>
    </row>
    <row x14ac:dyDescent="0.25" r="5753" customHeight="1" ht="18.75">
      <c r="A5753" s="1"/>
      <c r="B5753" s="1"/>
      <c r="C5753" s="1"/>
      <c r="D5753" s="1"/>
      <c r="E5753" s="1"/>
      <c r="F5753" s="1"/>
      <c r="G5753" s="1"/>
      <c r="H5753" s="1"/>
      <c r="I5753" s="2"/>
      <c r="J5753" s="1"/>
      <c r="K5753" s="1"/>
      <c r="L5753" s="1"/>
      <c r="M5753" s="1"/>
      <c r="N5753" s="1"/>
      <c r="O5753" s="1"/>
      <c r="P5753" s="1"/>
      <c r="Q5753" s="1"/>
      <c r="R5753" s="1"/>
      <c r="S5753" s="1"/>
      <c r="T5753" s="1"/>
      <c r="U5753" s="1"/>
      <c r="V5753" s="1"/>
      <c r="W5753" s="1"/>
      <c r="X5753" s="1"/>
    </row>
    <row x14ac:dyDescent="0.25" r="5754" customHeight="1" ht="18.75">
      <c r="A5754" s="1"/>
      <c r="B5754" s="1"/>
      <c r="C5754" s="1"/>
      <c r="D5754" s="1"/>
      <c r="E5754" s="1"/>
      <c r="F5754" s="1"/>
      <c r="G5754" s="1"/>
      <c r="H5754" s="1"/>
      <c r="I5754" s="2"/>
      <c r="J5754" s="1"/>
      <c r="K5754" s="1"/>
      <c r="L5754" s="1"/>
      <c r="M5754" s="1"/>
      <c r="N5754" s="1"/>
      <c r="O5754" s="1"/>
      <c r="P5754" s="1"/>
      <c r="Q5754" s="1"/>
      <c r="R5754" s="1"/>
      <c r="S5754" s="1"/>
      <c r="T5754" s="1"/>
      <c r="U5754" s="1"/>
      <c r="V5754" s="1"/>
      <c r="W5754" s="1"/>
      <c r="X5754" s="1"/>
    </row>
    <row x14ac:dyDescent="0.25" r="5755" customHeight="1" ht="18.75">
      <c r="A5755" s="1"/>
      <c r="B5755" s="1"/>
      <c r="C5755" s="1"/>
      <c r="D5755" s="1"/>
      <c r="E5755" s="1"/>
      <c r="F5755" s="1"/>
      <c r="G5755" s="1"/>
      <c r="H5755" s="1"/>
      <c r="I5755" s="2"/>
      <c r="J5755" s="1"/>
      <c r="K5755" s="1"/>
      <c r="L5755" s="1"/>
      <c r="M5755" s="1"/>
      <c r="N5755" s="1"/>
      <c r="O5755" s="1"/>
      <c r="P5755" s="1"/>
      <c r="Q5755" s="1"/>
      <c r="R5755" s="1"/>
      <c r="S5755" s="1"/>
      <c r="T5755" s="1"/>
      <c r="U5755" s="1"/>
      <c r="V5755" s="1"/>
      <c r="W5755" s="1"/>
      <c r="X5755" s="1"/>
    </row>
    <row x14ac:dyDescent="0.25" r="5756" customHeight="1" ht="18.75">
      <c r="A5756" s="1"/>
      <c r="B5756" s="1"/>
      <c r="C5756" s="1"/>
      <c r="D5756" s="1"/>
      <c r="E5756" s="1"/>
      <c r="F5756" s="1"/>
      <c r="G5756" s="1"/>
      <c r="H5756" s="1"/>
      <c r="I5756" s="2"/>
      <c r="J5756" s="1"/>
      <c r="K5756" s="1"/>
      <c r="L5756" s="1"/>
      <c r="M5756" s="1"/>
      <c r="N5756" s="1"/>
      <c r="O5756" s="1"/>
      <c r="P5756" s="1"/>
      <c r="Q5756" s="1"/>
      <c r="R5756" s="1"/>
      <c r="S5756" s="1"/>
      <c r="T5756" s="1"/>
      <c r="U5756" s="1"/>
      <c r="V5756" s="1"/>
      <c r="W5756" s="1"/>
      <c r="X5756" s="1"/>
    </row>
    <row x14ac:dyDescent="0.25" r="5757" customHeight="1" ht="18.75">
      <c r="A5757" s="1"/>
      <c r="B5757" s="1"/>
      <c r="C5757" s="1"/>
      <c r="D5757" s="1"/>
      <c r="E5757" s="1"/>
      <c r="F5757" s="1"/>
      <c r="G5757" s="1"/>
      <c r="H5757" s="1"/>
      <c r="I5757" s="2"/>
      <c r="J5757" s="1"/>
      <c r="K5757" s="1"/>
      <c r="L5757" s="1"/>
      <c r="M5757" s="1"/>
      <c r="N5757" s="1"/>
      <c r="O5757" s="1"/>
      <c r="P5757" s="1"/>
      <c r="Q5757" s="1"/>
      <c r="R5757" s="1"/>
      <c r="S5757" s="1"/>
      <c r="T5757" s="1"/>
      <c r="U5757" s="1"/>
      <c r="V5757" s="1"/>
      <c r="W5757" s="1"/>
      <c r="X5757" s="1"/>
    </row>
    <row x14ac:dyDescent="0.25" r="5758" customHeight="1" ht="18.75">
      <c r="A5758" s="1"/>
      <c r="B5758" s="1"/>
      <c r="C5758" s="1"/>
      <c r="D5758" s="1"/>
      <c r="E5758" s="1"/>
      <c r="F5758" s="1"/>
      <c r="G5758" s="1"/>
      <c r="H5758" s="1"/>
      <c r="I5758" s="2"/>
      <c r="J5758" s="1"/>
      <c r="K5758" s="1"/>
      <c r="L5758" s="1"/>
      <c r="M5758" s="1"/>
      <c r="N5758" s="1"/>
      <c r="O5758" s="1"/>
      <c r="P5758" s="1"/>
      <c r="Q5758" s="1"/>
      <c r="R5758" s="1"/>
      <c r="S5758" s="1"/>
      <c r="T5758" s="1"/>
      <c r="U5758" s="1"/>
      <c r="V5758" s="1"/>
      <c r="W5758" s="1"/>
      <c r="X5758" s="1"/>
    </row>
    <row x14ac:dyDescent="0.25" r="5759" customHeight="1" ht="18.75">
      <c r="A5759" s="1"/>
      <c r="B5759" s="1"/>
      <c r="C5759" s="1"/>
      <c r="D5759" s="1"/>
      <c r="E5759" s="1"/>
      <c r="F5759" s="1"/>
      <c r="G5759" s="1"/>
      <c r="H5759" s="1"/>
      <c r="I5759" s="2"/>
      <c r="J5759" s="1"/>
      <c r="K5759" s="1"/>
      <c r="L5759" s="1"/>
      <c r="M5759" s="1"/>
      <c r="N5759" s="1"/>
      <c r="O5759" s="1"/>
      <c r="P5759" s="1"/>
      <c r="Q5759" s="1"/>
      <c r="R5759" s="1"/>
      <c r="S5759" s="1"/>
      <c r="T5759" s="1"/>
      <c r="U5759" s="1"/>
      <c r="V5759" s="1"/>
      <c r="W5759" s="1"/>
      <c r="X5759" s="1"/>
    </row>
    <row x14ac:dyDescent="0.25" r="5760" customHeight="1" ht="18.75">
      <c r="A5760" s="1"/>
      <c r="B5760" s="1"/>
      <c r="C5760" s="1"/>
      <c r="D5760" s="1"/>
      <c r="E5760" s="1"/>
      <c r="F5760" s="1"/>
      <c r="G5760" s="1"/>
      <c r="H5760" s="1"/>
      <c r="I5760" s="2"/>
      <c r="J5760" s="1"/>
      <c r="K5760" s="1"/>
      <c r="L5760" s="1"/>
      <c r="M5760" s="1"/>
      <c r="N5760" s="1"/>
      <c r="O5760" s="1"/>
      <c r="P5760" s="1"/>
      <c r="Q5760" s="1"/>
      <c r="R5760" s="1"/>
      <c r="S5760" s="1"/>
      <c r="T5760" s="1"/>
      <c r="U5760" s="1"/>
      <c r="V5760" s="1"/>
      <c r="W5760" s="1"/>
      <c r="X5760" s="1"/>
    </row>
    <row x14ac:dyDescent="0.25" r="5761" customHeight="1" ht="18.75">
      <c r="A5761" s="1"/>
      <c r="B5761" s="1"/>
      <c r="C5761" s="1"/>
      <c r="D5761" s="1"/>
      <c r="E5761" s="1"/>
      <c r="F5761" s="1"/>
      <c r="G5761" s="1"/>
      <c r="H5761" s="1"/>
      <c r="I5761" s="2"/>
      <c r="J5761" s="1"/>
      <c r="K5761" s="1"/>
      <c r="L5761" s="1"/>
      <c r="M5761" s="1"/>
      <c r="N5761" s="1"/>
      <c r="O5761" s="1"/>
      <c r="P5761" s="1"/>
      <c r="Q5761" s="1"/>
      <c r="R5761" s="1"/>
      <c r="S5761" s="1"/>
      <c r="T5761" s="1"/>
      <c r="U5761" s="1"/>
      <c r="V5761" s="1"/>
      <c r="W5761" s="1"/>
      <c r="X5761" s="1"/>
    </row>
    <row x14ac:dyDescent="0.25" r="5762" customHeight="1" ht="18.75">
      <c r="A5762" s="1"/>
      <c r="B5762" s="1"/>
      <c r="C5762" s="1"/>
      <c r="D5762" s="1"/>
      <c r="E5762" s="1"/>
      <c r="F5762" s="1"/>
      <c r="G5762" s="1"/>
      <c r="H5762" s="1"/>
      <c r="I5762" s="2"/>
      <c r="J5762" s="1"/>
      <c r="K5762" s="1"/>
      <c r="L5762" s="1"/>
      <c r="M5762" s="1"/>
      <c r="N5762" s="1"/>
      <c r="O5762" s="1"/>
      <c r="P5762" s="1"/>
      <c r="Q5762" s="1"/>
      <c r="R5762" s="1"/>
      <c r="S5762" s="1"/>
      <c r="T5762" s="1"/>
      <c r="U5762" s="1"/>
      <c r="V5762" s="1"/>
      <c r="W5762" s="1"/>
      <c r="X5762" s="1"/>
    </row>
    <row x14ac:dyDescent="0.25" r="5763" customHeight="1" ht="18.75">
      <c r="A5763" s="1"/>
      <c r="B5763" s="1"/>
      <c r="C5763" s="1"/>
      <c r="D5763" s="1"/>
      <c r="E5763" s="1"/>
      <c r="F5763" s="1"/>
      <c r="G5763" s="1"/>
      <c r="H5763" s="1"/>
      <c r="I5763" s="2"/>
      <c r="J5763" s="1"/>
      <c r="K5763" s="1"/>
      <c r="L5763" s="1"/>
      <c r="M5763" s="1"/>
      <c r="N5763" s="1"/>
      <c r="O5763" s="1"/>
      <c r="P5763" s="1"/>
      <c r="Q5763" s="1"/>
      <c r="R5763" s="1"/>
      <c r="S5763" s="1"/>
      <c r="T5763" s="1"/>
      <c r="U5763" s="1"/>
      <c r="V5763" s="1"/>
      <c r="W5763" s="1"/>
      <c r="X5763" s="1"/>
    </row>
    <row x14ac:dyDescent="0.25" r="5764" customHeight="1" ht="18.75">
      <c r="A5764" s="1"/>
      <c r="B5764" s="1"/>
      <c r="C5764" s="1"/>
      <c r="D5764" s="1"/>
      <c r="E5764" s="1"/>
      <c r="F5764" s="1"/>
      <c r="G5764" s="1"/>
      <c r="H5764" s="1"/>
      <c r="I5764" s="2"/>
      <c r="J5764" s="1"/>
      <c r="K5764" s="1"/>
      <c r="L5764" s="1"/>
      <c r="M5764" s="1"/>
      <c r="N5764" s="1"/>
      <c r="O5764" s="1"/>
      <c r="P5764" s="1"/>
      <c r="Q5764" s="1"/>
      <c r="R5764" s="1"/>
      <c r="S5764" s="1"/>
      <c r="T5764" s="1"/>
      <c r="U5764" s="1"/>
      <c r="V5764" s="1"/>
      <c r="W5764" s="1"/>
      <c r="X5764" s="1"/>
    </row>
    <row x14ac:dyDescent="0.25" r="5765" customHeight="1" ht="18.75">
      <c r="A5765" s="1"/>
      <c r="B5765" s="1"/>
      <c r="C5765" s="1"/>
      <c r="D5765" s="1"/>
      <c r="E5765" s="1"/>
      <c r="F5765" s="1"/>
      <c r="G5765" s="1"/>
      <c r="H5765" s="1"/>
      <c r="I5765" s="2"/>
      <c r="J5765" s="1"/>
      <c r="K5765" s="1"/>
      <c r="L5765" s="1"/>
      <c r="M5765" s="1"/>
      <c r="N5765" s="1"/>
      <c r="O5765" s="1"/>
      <c r="P5765" s="1"/>
      <c r="Q5765" s="1"/>
      <c r="R5765" s="1"/>
      <c r="S5765" s="1"/>
      <c r="T5765" s="1"/>
      <c r="U5765" s="1"/>
      <c r="V5765" s="1"/>
      <c r="W5765" s="1"/>
      <c r="X5765" s="1"/>
    </row>
    <row x14ac:dyDescent="0.25" r="5766" customHeight="1" ht="18.75">
      <c r="A5766" s="1"/>
      <c r="B5766" s="1"/>
      <c r="C5766" s="1"/>
      <c r="D5766" s="1"/>
      <c r="E5766" s="1"/>
      <c r="F5766" s="1"/>
      <c r="G5766" s="1"/>
      <c r="H5766" s="1"/>
      <c r="I5766" s="2"/>
      <c r="J5766" s="1"/>
      <c r="K5766" s="1"/>
      <c r="L5766" s="1"/>
      <c r="M5766" s="1"/>
      <c r="N5766" s="1"/>
      <c r="O5766" s="1"/>
      <c r="P5766" s="1"/>
      <c r="Q5766" s="1"/>
      <c r="R5766" s="1"/>
      <c r="S5766" s="1"/>
      <c r="T5766" s="1"/>
      <c r="U5766" s="1"/>
      <c r="V5766" s="1"/>
      <c r="W5766" s="1"/>
      <c r="X5766" s="1"/>
    </row>
    <row x14ac:dyDescent="0.25" r="5767" customHeight="1" ht="18.75">
      <c r="A5767" s="1"/>
      <c r="B5767" s="1"/>
      <c r="C5767" s="1"/>
      <c r="D5767" s="1"/>
      <c r="E5767" s="1"/>
      <c r="F5767" s="1"/>
      <c r="G5767" s="1"/>
      <c r="H5767" s="1"/>
      <c r="I5767" s="2"/>
      <c r="J5767" s="1"/>
      <c r="K5767" s="1"/>
      <c r="L5767" s="1"/>
      <c r="M5767" s="1"/>
      <c r="N5767" s="1"/>
      <c r="O5767" s="1"/>
      <c r="P5767" s="1"/>
      <c r="Q5767" s="1"/>
      <c r="R5767" s="1"/>
      <c r="S5767" s="1"/>
      <c r="T5767" s="1"/>
      <c r="U5767" s="1"/>
      <c r="V5767" s="1"/>
      <c r="W5767" s="1"/>
      <c r="X5767" s="1"/>
    </row>
    <row x14ac:dyDescent="0.25" r="5768" customHeight="1" ht="18.75">
      <c r="A5768" s="1"/>
      <c r="B5768" s="1"/>
      <c r="C5768" s="1"/>
      <c r="D5768" s="1"/>
      <c r="E5768" s="1"/>
      <c r="F5768" s="1"/>
      <c r="G5768" s="1"/>
      <c r="H5768" s="1"/>
      <c r="I5768" s="2"/>
      <c r="J5768" s="1"/>
      <c r="K5768" s="1"/>
      <c r="L5768" s="1"/>
      <c r="M5768" s="1"/>
      <c r="N5768" s="1"/>
      <c r="O5768" s="1"/>
      <c r="P5768" s="1"/>
      <c r="Q5768" s="1"/>
      <c r="R5768" s="1"/>
      <c r="S5768" s="1"/>
      <c r="T5768" s="1"/>
      <c r="U5768" s="1"/>
      <c r="V5768" s="1"/>
      <c r="W5768" s="1"/>
      <c r="X5768" s="1"/>
    </row>
    <row x14ac:dyDescent="0.25" r="5769" customHeight="1" ht="18.75">
      <c r="A5769" s="1"/>
      <c r="B5769" s="1"/>
      <c r="C5769" s="1"/>
      <c r="D5769" s="1"/>
      <c r="E5769" s="1"/>
      <c r="F5769" s="1"/>
      <c r="G5769" s="1"/>
      <c r="H5769" s="1"/>
      <c r="I5769" s="2"/>
      <c r="J5769" s="1"/>
      <c r="K5769" s="1"/>
      <c r="L5769" s="1"/>
      <c r="M5769" s="1"/>
      <c r="N5769" s="1"/>
      <c r="O5769" s="1"/>
      <c r="P5769" s="1"/>
      <c r="Q5769" s="1"/>
      <c r="R5769" s="1"/>
      <c r="S5769" s="1"/>
      <c r="T5769" s="1"/>
      <c r="U5769" s="1"/>
      <c r="V5769" s="1"/>
      <c r="W5769" s="1"/>
      <c r="X5769" s="1"/>
    </row>
    <row x14ac:dyDescent="0.25" r="5770" customHeight="1" ht="18.75">
      <c r="A5770" s="1"/>
      <c r="B5770" s="1"/>
      <c r="C5770" s="1"/>
      <c r="D5770" s="1"/>
      <c r="E5770" s="1"/>
      <c r="F5770" s="1"/>
      <c r="G5770" s="1"/>
      <c r="H5770" s="1"/>
      <c r="I5770" s="2"/>
      <c r="J5770" s="1"/>
      <c r="K5770" s="1"/>
      <c r="L5770" s="1"/>
      <c r="M5770" s="1"/>
      <c r="N5770" s="1"/>
      <c r="O5770" s="1"/>
      <c r="P5770" s="1"/>
      <c r="Q5770" s="1"/>
      <c r="R5770" s="1"/>
      <c r="S5770" s="1"/>
      <c r="T5770" s="1"/>
      <c r="U5770" s="1"/>
      <c r="V5770" s="1"/>
      <c r="W5770" s="1"/>
      <c r="X5770" s="1"/>
    </row>
    <row x14ac:dyDescent="0.25" r="5771" customHeight="1" ht="18.75">
      <c r="A5771" s="1"/>
      <c r="B5771" s="1"/>
      <c r="C5771" s="1"/>
      <c r="D5771" s="1"/>
      <c r="E5771" s="1"/>
      <c r="F5771" s="1"/>
      <c r="G5771" s="1"/>
      <c r="H5771" s="1"/>
      <c r="I5771" s="2"/>
      <c r="J5771" s="1"/>
      <c r="K5771" s="1"/>
      <c r="L5771" s="1"/>
      <c r="M5771" s="1"/>
      <c r="N5771" s="1"/>
      <c r="O5771" s="1"/>
      <c r="P5771" s="1"/>
      <c r="Q5771" s="1"/>
      <c r="R5771" s="1"/>
      <c r="S5771" s="1"/>
      <c r="T5771" s="1"/>
      <c r="U5771" s="1"/>
      <c r="V5771" s="1"/>
      <c r="W5771" s="1"/>
      <c r="X5771" s="1"/>
    </row>
    <row x14ac:dyDescent="0.25" r="5772" customHeight="1" ht="18.75">
      <c r="A5772" s="1"/>
      <c r="B5772" s="1"/>
      <c r="C5772" s="1"/>
      <c r="D5772" s="1"/>
      <c r="E5772" s="1"/>
      <c r="F5772" s="1"/>
      <c r="G5772" s="1"/>
      <c r="H5772" s="1"/>
      <c r="I5772" s="2"/>
      <c r="J5772" s="1"/>
      <c r="K5772" s="1"/>
      <c r="L5772" s="1"/>
      <c r="M5772" s="1"/>
      <c r="N5772" s="1"/>
      <c r="O5772" s="1"/>
      <c r="P5772" s="1"/>
      <c r="Q5772" s="1"/>
      <c r="R5772" s="1"/>
      <c r="S5772" s="1"/>
      <c r="T5772" s="1"/>
      <c r="U5772" s="1"/>
      <c r="V5772" s="1"/>
      <c r="W5772" s="1"/>
      <c r="X5772" s="1"/>
    </row>
    <row x14ac:dyDescent="0.25" r="5773" customHeight="1" ht="18.75">
      <c r="A5773" s="1"/>
      <c r="B5773" s="1"/>
      <c r="C5773" s="1"/>
      <c r="D5773" s="1"/>
      <c r="E5773" s="1"/>
      <c r="F5773" s="1"/>
      <c r="G5773" s="1"/>
      <c r="H5773" s="1"/>
      <c r="I5773" s="2"/>
      <c r="J5773" s="1"/>
      <c r="K5773" s="1"/>
      <c r="L5773" s="1"/>
      <c r="M5773" s="1"/>
      <c r="N5773" s="1"/>
      <c r="O5773" s="1"/>
      <c r="P5773" s="1"/>
      <c r="Q5773" s="1"/>
      <c r="R5773" s="1"/>
      <c r="S5773" s="1"/>
      <c r="T5773" s="1"/>
      <c r="U5773" s="1"/>
      <c r="V5773" s="1"/>
      <c r="W5773" s="1"/>
      <c r="X5773" s="1"/>
    </row>
    <row x14ac:dyDescent="0.25" r="5774" customHeight="1" ht="18.75">
      <c r="A5774" s="1"/>
      <c r="B5774" s="1"/>
      <c r="C5774" s="1"/>
      <c r="D5774" s="1"/>
      <c r="E5774" s="1"/>
      <c r="F5774" s="1"/>
      <c r="G5774" s="1"/>
      <c r="H5774" s="1"/>
      <c r="I5774" s="2"/>
      <c r="J5774" s="1"/>
      <c r="K5774" s="1"/>
      <c r="L5774" s="1"/>
      <c r="M5774" s="1"/>
      <c r="N5774" s="1"/>
      <c r="O5774" s="1"/>
      <c r="P5774" s="1"/>
      <c r="Q5774" s="1"/>
      <c r="R5774" s="1"/>
      <c r="S5774" s="1"/>
      <c r="T5774" s="1"/>
      <c r="U5774" s="1"/>
      <c r="V5774" s="1"/>
      <c r="W5774" s="1"/>
      <c r="X5774" s="1"/>
    </row>
    <row x14ac:dyDescent="0.25" r="5775" customHeight="1" ht="18.75">
      <c r="A5775" s="1"/>
      <c r="B5775" s="1"/>
      <c r="C5775" s="1"/>
      <c r="D5775" s="1"/>
      <c r="E5775" s="1"/>
      <c r="F5775" s="1"/>
      <c r="G5775" s="1"/>
      <c r="H5775" s="1"/>
      <c r="I5775" s="2"/>
      <c r="J5775" s="1"/>
      <c r="K5775" s="1"/>
      <c r="L5775" s="1"/>
      <c r="M5775" s="1"/>
      <c r="N5775" s="1"/>
      <c r="O5775" s="1"/>
      <c r="P5775" s="1"/>
      <c r="Q5775" s="1"/>
      <c r="R5775" s="1"/>
      <c r="S5775" s="1"/>
      <c r="T5775" s="1"/>
      <c r="U5775" s="1"/>
      <c r="V5775" s="1"/>
      <c r="W5775" s="1"/>
      <c r="X5775" s="1"/>
    </row>
    <row x14ac:dyDescent="0.25" r="5776" customHeight="1" ht="18.75">
      <c r="A5776" s="1"/>
      <c r="B5776" s="1"/>
      <c r="C5776" s="1"/>
      <c r="D5776" s="1"/>
      <c r="E5776" s="1"/>
      <c r="F5776" s="1"/>
      <c r="G5776" s="1"/>
      <c r="H5776" s="1"/>
      <c r="I5776" s="2"/>
      <c r="J5776" s="1"/>
      <c r="K5776" s="1"/>
      <c r="L5776" s="1"/>
      <c r="M5776" s="1"/>
      <c r="N5776" s="1"/>
      <c r="O5776" s="1"/>
      <c r="P5776" s="1"/>
      <c r="Q5776" s="1"/>
      <c r="R5776" s="1"/>
      <c r="S5776" s="1"/>
      <c r="T5776" s="1"/>
      <c r="U5776" s="1"/>
      <c r="V5776" s="1"/>
      <c r="W5776" s="1"/>
      <c r="X5776" s="1"/>
    </row>
    <row x14ac:dyDescent="0.25" r="5777" customHeight="1" ht="18.75">
      <c r="A5777" s="1"/>
      <c r="B5777" s="1"/>
      <c r="C5777" s="1"/>
      <c r="D5777" s="1"/>
      <c r="E5777" s="1"/>
      <c r="F5777" s="1"/>
      <c r="G5777" s="1"/>
      <c r="H5777" s="1"/>
      <c r="I5777" s="2"/>
      <c r="J5777" s="1"/>
      <c r="K5777" s="1"/>
      <c r="L5777" s="1"/>
      <c r="M5777" s="1"/>
      <c r="N5777" s="1"/>
      <c r="O5777" s="1"/>
      <c r="P5777" s="1"/>
      <c r="Q5777" s="1"/>
      <c r="R5777" s="1"/>
      <c r="S5777" s="1"/>
      <c r="T5777" s="1"/>
      <c r="U5777" s="1"/>
      <c r="V5777" s="1"/>
      <c r="W5777" s="1"/>
      <c r="X5777" s="1"/>
    </row>
    <row x14ac:dyDescent="0.25" r="5778" customHeight="1" ht="18.75">
      <c r="A5778" s="1"/>
      <c r="B5778" s="1"/>
      <c r="C5778" s="1"/>
      <c r="D5778" s="1"/>
      <c r="E5778" s="1"/>
      <c r="F5778" s="1"/>
      <c r="G5778" s="1"/>
      <c r="H5778" s="1"/>
      <c r="I5778" s="2"/>
      <c r="J5778" s="1"/>
      <c r="K5778" s="1"/>
      <c r="L5778" s="1"/>
      <c r="M5778" s="1"/>
      <c r="N5778" s="1"/>
      <c r="O5778" s="1"/>
      <c r="P5778" s="1"/>
      <c r="Q5778" s="1"/>
      <c r="R5778" s="1"/>
      <c r="S5778" s="1"/>
      <c r="T5778" s="1"/>
      <c r="U5778" s="1"/>
      <c r="V5778" s="1"/>
      <c r="W5778" s="1"/>
      <c r="X5778" s="1"/>
    </row>
    <row x14ac:dyDescent="0.25" r="5779" customHeight="1" ht="18.75">
      <c r="A5779" s="1"/>
      <c r="B5779" s="1"/>
      <c r="C5779" s="1"/>
      <c r="D5779" s="1"/>
      <c r="E5779" s="1"/>
      <c r="F5779" s="1"/>
      <c r="G5779" s="1"/>
      <c r="H5779" s="1"/>
      <c r="I5779" s="2"/>
      <c r="J5779" s="1"/>
      <c r="K5779" s="1"/>
      <c r="L5779" s="1"/>
      <c r="M5779" s="1"/>
      <c r="N5779" s="1"/>
      <c r="O5779" s="1"/>
      <c r="P5779" s="1"/>
      <c r="Q5779" s="1"/>
      <c r="R5779" s="1"/>
      <c r="S5779" s="1"/>
      <c r="T5779" s="1"/>
      <c r="U5779" s="1"/>
      <c r="V5779" s="1"/>
      <c r="W5779" s="1"/>
      <c r="X5779" s="1"/>
    </row>
    <row x14ac:dyDescent="0.25" r="5780" customHeight="1" ht="18.75">
      <c r="A5780" s="1"/>
      <c r="B5780" s="1"/>
      <c r="C5780" s="1"/>
      <c r="D5780" s="1"/>
      <c r="E5780" s="1"/>
      <c r="F5780" s="1"/>
      <c r="G5780" s="1"/>
      <c r="H5780" s="1"/>
      <c r="I5780" s="2"/>
      <c r="J5780" s="1"/>
      <c r="K5780" s="1"/>
      <c r="L5780" s="1"/>
      <c r="M5780" s="1"/>
      <c r="N5780" s="1"/>
      <c r="O5780" s="1"/>
      <c r="P5780" s="1"/>
      <c r="Q5780" s="1"/>
      <c r="R5780" s="1"/>
      <c r="S5780" s="1"/>
      <c r="T5780" s="1"/>
      <c r="U5780" s="1"/>
      <c r="V5780" s="1"/>
      <c r="W5780" s="1"/>
      <c r="X5780" s="1"/>
    </row>
    <row x14ac:dyDescent="0.25" r="5781" customHeight="1" ht="18.75">
      <c r="A5781" s="1"/>
      <c r="B5781" s="1"/>
      <c r="C5781" s="1"/>
      <c r="D5781" s="1"/>
      <c r="E5781" s="1"/>
      <c r="F5781" s="1"/>
      <c r="G5781" s="1"/>
      <c r="H5781" s="1"/>
      <c r="I5781" s="2"/>
      <c r="J5781" s="1"/>
      <c r="K5781" s="1"/>
      <c r="L5781" s="1"/>
      <c r="M5781" s="1"/>
      <c r="N5781" s="1"/>
      <c r="O5781" s="1"/>
      <c r="P5781" s="1"/>
      <c r="Q5781" s="1"/>
      <c r="R5781" s="1"/>
      <c r="S5781" s="1"/>
      <c r="T5781" s="1"/>
      <c r="U5781" s="1"/>
      <c r="V5781" s="1"/>
      <c r="W5781" s="1"/>
      <c r="X5781" s="1"/>
    </row>
    <row x14ac:dyDescent="0.25" r="5782" customHeight="1" ht="18.75">
      <c r="A5782" s="1"/>
      <c r="B5782" s="1"/>
      <c r="C5782" s="1"/>
      <c r="D5782" s="1"/>
      <c r="E5782" s="1"/>
      <c r="F5782" s="1"/>
      <c r="G5782" s="1"/>
      <c r="H5782" s="1"/>
      <c r="I5782" s="2"/>
      <c r="J5782" s="1"/>
      <c r="K5782" s="1"/>
      <c r="L5782" s="1"/>
      <c r="M5782" s="1"/>
      <c r="N5782" s="1"/>
      <c r="O5782" s="1"/>
      <c r="P5782" s="1"/>
      <c r="Q5782" s="1"/>
      <c r="R5782" s="1"/>
      <c r="S5782" s="1"/>
      <c r="T5782" s="1"/>
      <c r="U5782" s="1"/>
      <c r="V5782" s="1"/>
      <c r="W5782" s="1"/>
      <c r="X5782" s="1"/>
    </row>
    <row x14ac:dyDescent="0.25" r="5783" customHeight="1" ht="18.75">
      <c r="A5783" s="1"/>
      <c r="B5783" s="1"/>
      <c r="C5783" s="1"/>
      <c r="D5783" s="1"/>
      <c r="E5783" s="1"/>
      <c r="F5783" s="1"/>
      <c r="G5783" s="1"/>
      <c r="H5783" s="1"/>
      <c r="I5783" s="2"/>
      <c r="J5783" s="1"/>
      <c r="K5783" s="1"/>
      <c r="L5783" s="1"/>
      <c r="M5783" s="1"/>
      <c r="N5783" s="1"/>
      <c r="O5783" s="1"/>
      <c r="P5783" s="1"/>
      <c r="Q5783" s="1"/>
      <c r="R5783" s="1"/>
      <c r="S5783" s="1"/>
      <c r="T5783" s="1"/>
      <c r="U5783" s="1"/>
      <c r="V5783" s="1"/>
      <c r="W5783" s="1"/>
      <c r="X5783" s="1"/>
    </row>
    <row x14ac:dyDescent="0.25" r="5784" customHeight="1" ht="18.75">
      <c r="A5784" s="1"/>
      <c r="B5784" s="1"/>
      <c r="C5784" s="1"/>
      <c r="D5784" s="1"/>
      <c r="E5784" s="1"/>
      <c r="F5784" s="1"/>
      <c r="G5784" s="1"/>
      <c r="H5784" s="1"/>
      <c r="I5784" s="2"/>
      <c r="J5784" s="1"/>
      <c r="K5784" s="1"/>
      <c r="L5784" s="1"/>
      <c r="M5784" s="1"/>
      <c r="N5784" s="1"/>
      <c r="O5784" s="1"/>
      <c r="P5784" s="1"/>
      <c r="Q5784" s="1"/>
      <c r="R5784" s="1"/>
      <c r="S5784" s="1"/>
      <c r="T5784" s="1"/>
      <c r="U5784" s="1"/>
      <c r="V5784" s="1"/>
      <c r="W5784" s="1"/>
      <c r="X5784" s="1"/>
    </row>
    <row x14ac:dyDescent="0.25" r="5785" customHeight="1" ht="18.75">
      <c r="A5785" s="1"/>
      <c r="B5785" s="1"/>
      <c r="C5785" s="1"/>
      <c r="D5785" s="1"/>
      <c r="E5785" s="1"/>
      <c r="F5785" s="1"/>
      <c r="G5785" s="1"/>
      <c r="H5785" s="1"/>
      <c r="I5785" s="2"/>
      <c r="J5785" s="1"/>
      <c r="K5785" s="1"/>
      <c r="L5785" s="1"/>
      <c r="M5785" s="1"/>
      <c r="N5785" s="1"/>
      <c r="O5785" s="1"/>
      <c r="P5785" s="1"/>
      <c r="Q5785" s="1"/>
      <c r="R5785" s="1"/>
      <c r="S5785" s="1"/>
      <c r="T5785" s="1"/>
      <c r="U5785" s="1"/>
      <c r="V5785" s="1"/>
      <c r="W5785" s="1"/>
      <c r="X5785" s="1"/>
    </row>
    <row x14ac:dyDescent="0.25" r="5786" customHeight="1" ht="18.75">
      <c r="A5786" s="1"/>
      <c r="B5786" s="1"/>
      <c r="C5786" s="1"/>
      <c r="D5786" s="1"/>
      <c r="E5786" s="1"/>
      <c r="F5786" s="1"/>
      <c r="G5786" s="1"/>
      <c r="H5786" s="1"/>
      <c r="I5786" s="2"/>
      <c r="J5786" s="1"/>
      <c r="K5786" s="1"/>
      <c r="L5786" s="1"/>
      <c r="M5786" s="1"/>
      <c r="N5786" s="1"/>
      <c r="O5786" s="1"/>
      <c r="P5786" s="1"/>
      <c r="Q5786" s="1"/>
      <c r="R5786" s="1"/>
      <c r="S5786" s="1"/>
      <c r="T5786" s="1"/>
      <c r="U5786" s="1"/>
      <c r="V5786" s="1"/>
      <c r="W5786" s="1"/>
      <c r="X5786" s="1"/>
    </row>
    <row x14ac:dyDescent="0.25" r="5787" customHeight="1" ht="18.75">
      <c r="A5787" s="1"/>
      <c r="B5787" s="1"/>
      <c r="C5787" s="1"/>
      <c r="D5787" s="1"/>
      <c r="E5787" s="1"/>
      <c r="F5787" s="1"/>
      <c r="G5787" s="1"/>
      <c r="H5787" s="1"/>
      <c r="I5787" s="2"/>
      <c r="J5787" s="1"/>
      <c r="K5787" s="1"/>
      <c r="L5787" s="1"/>
      <c r="M5787" s="1"/>
      <c r="N5787" s="1"/>
      <c r="O5787" s="1"/>
      <c r="P5787" s="1"/>
      <c r="Q5787" s="1"/>
      <c r="R5787" s="1"/>
      <c r="S5787" s="1"/>
      <c r="T5787" s="1"/>
      <c r="U5787" s="1"/>
      <c r="V5787" s="1"/>
      <c r="W5787" s="1"/>
      <c r="X5787" s="1"/>
    </row>
    <row x14ac:dyDescent="0.25" r="5788" customHeight="1" ht="18.75">
      <c r="A5788" s="1"/>
      <c r="B5788" s="1"/>
      <c r="C5788" s="1"/>
      <c r="D5788" s="1"/>
      <c r="E5788" s="1"/>
      <c r="F5788" s="1"/>
      <c r="G5788" s="1"/>
      <c r="H5788" s="1"/>
      <c r="I5788" s="2"/>
      <c r="J5788" s="1"/>
      <c r="K5788" s="1"/>
      <c r="L5788" s="1"/>
      <c r="M5788" s="1"/>
      <c r="N5788" s="1"/>
      <c r="O5788" s="1"/>
      <c r="P5788" s="1"/>
      <c r="Q5788" s="1"/>
      <c r="R5788" s="1"/>
      <c r="S5788" s="1"/>
      <c r="T5788" s="1"/>
      <c r="U5788" s="1"/>
      <c r="V5788" s="1"/>
      <c r="W5788" s="1"/>
      <c r="X5788" s="1"/>
    </row>
    <row x14ac:dyDescent="0.25" r="5789" customHeight="1" ht="18.75">
      <c r="A5789" s="1"/>
      <c r="B5789" s="1"/>
      <c r="C5789" s="1"/>
      <c r="D5789" s="1"/>
      <c r="E5789" s="1"/>
      <c r="F5789" s="1"/>
      <c r="G5789" s="1"/>
      <c r="H5789" s="1"/>
      <c r="I5789" s="2"/>
      <c r="J5789" s="1"/>
      <c r="K5789" s="1"/>
      <c r="L5789" s="1"/>
      <c r="M5789" s="1"/>
      <c r="N5789" s="1"/>
      <c r="O5789" s="1"/>
      <c r="P5789" s="1"/>
      <c r="Q5789" s="1"/>
      <c r="R5789" s="1"/>
      <c r="S5789" s="1"/>
      <c r="T5789" s="1"/>
      <c r="U5789" s="1"/>
      <c r="V5789" s="1"/>
      <c r="W5789" s="1"/>
      <c r="X5789" s="1"/>
    </row>
    <row x14ac:dyDescent="0.25" r="5790" customHeight="1" ht="18.75">
      <c r="A5790" s="1"/>
      <c r="B5790" s="1"/>
      <c r="C5790" s="1"/>
      <c r="D5790" s="1"/>
      <c r="E5790" s="1"/>
      <c r="F5790" s="1"/>
      <c r="G5790" s="1"/>
      <c r="H5790" s="1"/>
      <c r="I5790" s="2"/>
      <c r="J5790" s="1"/>
      <c r="K5790" s="1"/>
      <c r="L5790" s="1"/>
      <c r="M5790" s="1"/>
      <c r="N5790" s="1"/>
      <c r="O5790" s="1"/>
      <c r="P5790" s="1"/>
      <c r="Q5790" s="1"/>
      <c r="R5790" s="1"/>
      <c r="S5790" s="1"/>
      <c r="T5790" s="1"/>
      <c r="U5790" s="1"/>
      <c r="V5790" s="1"/>
      <c r="W5790" s="1"/>
      <c r="X5790" s="1"/>
    </row>
    <row x14ac:dyDescent="0.25" r="5791" customHeight="1" ht="18.75">
      <c r="A5791" s="1"/>
      <c r="B5791" s="1"/>
      <c r="C5791" s="1"/>
      <c r="D5791" s="1"/>
      <c r="E5791" s="1"/>
      <c r="F5791" s="1"/>
      <c r="G5791" s="1"/>
      <c r="H5791" s="1"/>
      <c r="I5791" s="2"/>
      <c r="J5791" s="1"/>
      <c r="K5791" s="1"/>
      <c r="L5791" s="1"/>
      <c r="M5791" s="1"/>
      <c r="N5791" s="1"/>
      <c r="O5791" s="1"/>
      <c r="P5791" s="1"/>
      <c r="Q5791" s="1"/>
      <c r="R5791" s="1"/>
      <c r="S5791" s="1"/>
      <c r="T5791" s="1"/>
      <c r="U5791" s="1"/>
      <c r="V5791" s="1"/>
      <c r="W5791" s="1"/>
      <c r="X5791" s="1"/>
    </row>
    <row x14ac:dyDescent="0.25" r="5792" customHeight="1" ht="18.75">
      <c r="A5792" s="1"/>
      <c r="B5792" s="1"/>
      <c r="C5792" s="1"/>
      <c r="D5792" s="1"/>
      <c r="E5792" s="1"/>
      <c r="F5792" s="1"/>
      <c r="G5792" s="1"/>
      <c r="H5792" s="1"/>
      <c r="I5792" s="2"/>
      <c r="J5792" s="1"/>
      <c r="K5792" s="1"/>
      <c r="L5792" s="1"/>
      <c r="M5792" s="1"/>
      <c r="N5792" s="1"/>
      <c r="O5792" s="1"/>
      <c r="P5792" s="1"/>
      <c r="Q5792" s="1"/>
      <c r="R5792" s="1"/>
      <c r="S5792" s="1"/>
      <c r="T5792" s="1"/>
      <c r="U5792" s="1"/>
      <c r="V5792" s="1"/>
      <c r="W5792" s="1"/>
      <c r="X5792" s="1"/>
    </row>
    <row x14ac:dyDescent="0.25" r="5793" customHeight="1" ht="18.75">
      <c r="A5793" s="1"/>
      <c r="B5793" s="1"/>
      <c r="C5793" s="1"/>
      <c r="D5793" s="1"/>
      <c r="E5793" s="1"/>
      <c r="F5793" s="1"/>
      <c r="G5793" s="1"/>
      <c r="H5793" s="1"/>
      <c r="I5793" s="2"/>
      <c r="J5793" s="1"/>
      <c r="K5793" s="1"/>
      <c r="L5793" s="1"/>
      <c r="M5793" s="1"/>
      <c r="N5793" s="1"/>
      <c r="O5793" s="1"/>
      <c r="P5793" s="1"/>
      <c r="Q5793" s="1"/>
      <c r="R5793" s="1"/>
      <c r="S5793" s="1"/>
      <c r="T5793" s="1"/>
      <c r="U5793" s="1"/>
      <c r="V5793" s="1"/>
      <c r="W5793" s="1"/>
      <c r="X5793" s="1"/>
    </row>
    <row x14ac:dyDescent="0.25" r="5794" customHeight="1" ht="18.75">
      <c r="A5794" s="1"/>
      <c r="B5794" s="1"/>
      <c r="C5794" s="1"/>
      <c r="D5794" s="1"/>
      <c r="E5794" s="1"/>
      <c r="F5794" s="1"/>
      <c r="G5794" s="1"/>
      <c r="H5794" s="1"/>
      <c r="I5794" s="2"/>
      <c r="J5794" s="1"/>
      <c r="K5794" s="1"/>
      <c r="L5794" s="1"/>
      <c r="M5794" s="1"/>
      <c r="N5794" s="1"/>
      <c r="O5794" s="1"/>
      <c r="P5794" s="1"/>
      <c r="Q5794" s="1"/>
      <c r="R5794" s="1"/>
      <c r="S5794" s="1"/>
      <c r="T5794" s="1"/>
      <c r="U5794" s="1"/>
      <c r="V5794" s="1"/>
      <c r="W5794" s="1"/>
      <c r="X5794" s="1"/>
    </row>
    <row x14ac:dyDescent="0.25" r="5795" customHeight="1" ht="18.75">
      <c r="A5795" s="1"/>
      <c r="B5795" s="1"/>
      <c r="C5795" s="1"/>
      <c r="D5795" s="1"/>
      <c r="E5795" s="1"/>
      <c r="F5795" s="1"/>
      <c r="G5795" s="1"/>
      <c r="H5795" s="1"/>
      <c r="I5795" s="2"/>
      <c r="J5795" s="1"/>
      <c r="K5795" s="1"/>
      <c r="L5795" s="1"/>
      <c r="M5795" s="1"/>
      <c r="N5795" s="1"/>
      <c r="O5795" s="1"/>
      <c r="P5795" s="1"/>
      <c r="Q5795" s="1"/>
      <c r="R5795" s="1"/>
      <c r="S5795" s="1"/>
      <c r="T5795" s="1"/>
      <c r="U5795" s="1"/>
      <c r="V5795" s="1"/>
      <c r="W5795" s="1"/>
      <c r="X5795" s="1"/>
    </row>
    <row x14ac:dyDescent="0.25" r="5796" customHeight="1" ht="18.75">
      <c r="A5796" s="1"/>
      <c r="B5796" s="1"/>
      <c r="C5796" s="1"/>
      <c r="D5796" s="1"/>
      <c r="E5796" s="1"/>
      <c r="F5796" s="1"/>
      <c r="G5796" s="1"/>
      <c r="H5796" s="1"/>
      <c r="I5796" s="2"/>
      <c r="J5796" s="1"/>
      <c r="K5796" s="1"/>
      <c r="L5796" s="1"/>
      <c r="M5796" s="1"/>
      <c r="N5796" s="1"/>
      <c r="O5796" s="1"/>
      <c r="P5796" s="1"/>
      <c r="Q5796" s="1"/>
      <c r="R5796" s="1"/>
      <c r="S5796" s="1"/>
      <c r="T5796" s="1"/>
      <c r="U5796" s="1"/>
      <c r="V5796" s="1"/>
      <c r="W5796" s="1"/>
      <c r="X5796" s="1"/>
    </row>
    <row x14ac:dyDescent="0.25" r="5797" customHeight="1" ht="18.75">
      <c r="A5797" s="1"/>
      <c r="B5797" s="1"/>
      <c r="C5797" s="1"/>
      <c r="D5797" s="1"/>
      <c r="E5797" s="1"/>
      <c r="F5797" s="1"/>
      <c r="G5797" s="1"/>
      <c r="H5797" s="1"/>
      <c r="I5797" s="2"/>
      <c r="J5797" s="1"/>
      <c r="K5797" s="1"/>
      <c r="L5797" s="1"/>
      <c r="M5797" s="1"/>
      <c r="N5797" s="1"/>
      <c r="O5797" s="1"/>
      <c r="P5797" s="1"/>
      <c r="Q5797" s="1"/>
      <c r="R5797" s="1"/>
      <c r="S5797" s="1"/>
      <c r="T5797" s="1"/>
      <c r="U5797" s="1"/>
      <c r="V5797" s="1"/>
      <c r="W5797" s="1"/>
      <c r="X5797" s="1"/>
    </row>
    <row x14ac:dyDescent="0.25" r="5798" customHeight="1" ht="18.75">
      <c r="A5798" s="1"/>
      <c r="B5798" s="1"/>
      <c r="C5798" s="1"/>
      <c r="D5798" s="1"/>
      <c r="E5798" s="1"/>
      <c r="F5798" s="1"/>
      <c r="G5798" s="1"/>
      <c r="H5798" s="1"/>
      <c r="I5798" s="2"/>
      <c r="J5798" s="1"/>
      <c r="K5798" s="1"/>
      <c r="L5798" s="1"/>
      <c r="M5798" s="1"/>
      <c r="N5798" s="1"/>
      <c r="O5798" s="1"/>
      <c r="P5798" s="1"/>
      <c r="Q5798" s="1"/>
      <c r="R5798" s="1"/>
      <c r="S5798" s="1"/>
      <c r="T5798" s="1"/>
      <c r="U5798" s="1"/>
      <c r="V5798" s="1"/>
      <c r="W5798" s="1"/>
      <c r="X5798" s="1"/>
    </row>
    <row x14ac:dyDescent="0.25" r="5799" customHeight="1" ht="18.75">
      <c r="A5799" s="1"/>
      <c r="B5799" s="1"/>
      <c r="C5799" s="1"/>
      <c r="D5799" s="1"/>
      <c r="E5799" s="1"/>
      <c r="F5799" s="1"/>
      <c r="G5799" s="1"/>
      <c r="H5799" s="1"/>
      <c r="I5799" s="2"/>
      <c r="J5799" s="1"/>
      <c r="K5799" s="1"/>
      <c r="L5799" s="1"/>
      <c r="M5799" s="1"/>
      <c r="N5799" s="1"/>
      <c r="O5799" s="1"/>
      <c r="P5799" s="1"/>
      <c r="Q5799" s="1"/>
      <c r="R5799" s="1"/>
      <c r="S5799" s="1"/>
      <c r="T5799" s="1"/>
      <c r="U5799" s="1"/>
      <c r="V5799" s="1"/>
      <c r="W5799" s="1"/>
      <c r="X5799" s="1"/>
    </row>
    <row x14ac:dyDescent="0.25" r="5800" customHeight="1" ht="18.75">
      <c r="A5800" s="1"/>
      <c r="B5800" s="1"/>
      <c r="C5800" s="1"/>
      <c r="D5800" s="1"/>
      <c r="E5800" s="1"/>
      <c r="F5800" s="1"/>
      <c r="G5800" s="1"/>
      <c r="H5800" s="1"/>
      <c r="I5800" s="2"/>
      <c r="J5800" s="1"/>
      <c r="K5800" s="1"/>
      <c r="L5800" s="1"/>
      <c r="M5800" s="1"/>
      <c r="N5800" s="1"/>
      <c r="O5800" s="1"/>
      <c r="P5800" s="1"/>
      <c r="Q5800" s="1"/>
      <c r="R5800" s="1"/>
      <c r="S5800" s="1"/>
      <c r="T5800" s="1"/>
      <c r="U5800" s="1"/>
      <c r="V5800" s="1"/>
      <c r="W5800" s="1"/>
      <c r="X5800" s="1"/>
    </row>
    <row x14ac:dyDescent="0.25" r="5801" customHeight="1" ht="18.75">
      <c r="A5801" s="1"/>
      <c r="B5801" s="1"/>
      <c r="C5801" s="1"/>
      <c r="D5801" s="1"/>
      <c r="E5801" s="1"/>
      <c r="F5801" s="1"/>
      <c r="G5801" s="1"/>
      <c r="H5801" s="1"/>
      <c r="I5801" s="2"/>
      <c r="J5801" s="1"/>
      <c r="K5801" s="1"/>
      <c r="L5801" s="1"/>
      <c r="M5801" s="1"/>
      <c r="N5801" s="1"/>
      <c r="O5801" s="1"/>
      <c r="P5801" s="1"/>
      <c r="Q5801" s="1"/>
      <c r="R5801" s="1"/>
      <c r="S5801" s="1"/>
      <c r="T5801" s="1"/>
      <c r="U5801" s="1"/>
      <c r="V5801" s="1"/>
      <c r="W5801" s="1"/>
      <c r="X5801" s="1"/>
    </row>
    <row x14ac:dyDescent="0.25" r="5802" customHeight="1" ht="18.75">
      <c r="A5802" s="1"/>
      <c r="B5802" s="1"/>
      <c r="C5802" s="1"/>
      <c r="D5802" s="1"/>
      <c r="E5802" s="1"/>
      <c r="F5802" s="1"/>
      <c r="G5802" s="1"/>
      <c r="H5802" s="1"/>
      <c r="I5802" s="2"/>
      <c r="J5802" s="1"/>
      <c r="K5802" s="1"/>
      <c r="L5802" s="1"/>
      <c r="M5802" s="1"/>
      <c r="N5802" s="1"/>
      <c r="O5802" s="1"/>
      <c r="P5802" s="1"/>
      <c r="Q5802" s="1"/>
      <c r="R5802" s="1"/>
      <c r="S5802" s="1"/>
      <c r="T5802" s="1"/>
      <c r="U5802" s="1"/>
      <c r="V5802" s="1"/>
      <c r="W5802" s="1"/>
      <c r="X5802" s="1"/>
    </row>
    <row x14ac:dyDescent="0.25" r="5803" customHeight="1" ht="18.75">
      <c r="A5803" s="1"/>
      <c r="B5803" s="1"/>
      <c r="C5803" s="1"/>
      <c r="D5803" s="1"/>
      <c r="E5803" s="1"/>
      <c r="F5803" s="1"/>
      <c r="G5803" s="1"/>
      <c r="H5803" s="1"/>
      <c r="I5803" s="2"/>
      <c r="J5803" s="1"/>
      <c r="K5803" s="1"/>
      <c r="L5803" s="1"/>
      <c r="M5803" s="1"/>
      <c r="N5803" s="1"/>
      <c r="O5803" s="1"/>
      <c r="P5803" s="1"/>
      <c r="Q5803" s="1"/>
      <c r="R5803" s="1"/>
      <c r="S5803" s="1"/>
      <c r="T5803" s="1"/>
      <c r="U5803" s="1"/>
      <c r="V5803" s="1"/>
      <c r="W5803" s="1"/>
      <c r="X5803" s="1"/>
    </row>
    <row x14ac:dyDescent="0.25" r="5804" customHeight="1" ht="18.75">
      <c r="A5804" s="1"/>
      <c r="B5804" s="1"/>
      <c r="C5804" s="1"/>
      <c r="D5804" s="1"/>
      <c r="E5804" s="1"/>
      <c r="F5804" s="1"/>
      <c r="G5804" s="1"/>
      <c r="H5804" s="1"/>
      <c r="I5804" s="2"/>
      <c r="J5804" s="1"/>
      <c r="K5804" s="1"/>
      <c r="L5804" s="1"/>
      <c r="M5804" s="1"/>
      <c r="N5804" s="1"/>
      <c r="O5804" s="1"/>
      <c r="P5804" s="1"/>
      <c r="Q5804" s="1"/>
      <c r="R5804" s="1"/>
      <c r="S5804" s="1"/>
      <c r="T5804" s="1"/>
      <c r="U5804" s="1"/>
      <c r="V5804" s="1"/>
      <c r="W5804" s="1"/>
      <c r="X5804" s="1"/>
    </row>
    <row x14ac:dyDescent="0.25" r="5805" customHeight="1" ht="18.75">
      <c r="A5805" s="1"/>
      <c r="B5805" s="1"/>
      <c r="C5805" s="1"/>
      <c r="D5805" s="1"/>
      <c r="E5805" s="1"/>
      <c r="F5805" s="1"/>
      <c r="G5805" s="1"/>
      <c r="H5805" s="1"/>
      <c r="I5805" s="2"/>
      <c r="J5805" s="1"/>
      <c r="K5805" s="1"/>
      <c r="L5805" s="1"/>
      <c r="M5805" s="1"/>
      <c r="N5805" s="1"/>
      <c r="O5805" s="1"/>
      <c r="P5805" s="1"/>
      <c r="Q5805" s="1"/>
      <c r="R5805" s="1"/>
      <c r="S5805" s="1"/>
      <c r="T5805" s="1"/>
      <c r="U5805" s="1"/>
      <c r="V5805" s="1"/>
      <c r="W5805" s="1"/>
      <c r="X5805" s="1"/>
    </row>
    <row x14ac:dyDescent="0.25" r="5806" customHeight="1" ht="18.75">
      <c r="A5806" s="1"/>
      <c r="B5806" s="1"/>
      <c r="C5806" s="1"/>
      <c r="D5806" s="1"/>
      <c r="E5806" s="1"/>
      <c r="F5806" s="1"/>
      <c r="G5806" s="1"/>
      <c r="H5806" s="1"/>
      <c r="I5806" s="2"/>
      <c r="J5806" s="1"/>
      <c r="K5806" s="1"/>
      <c r="L5806" s="1"/>
      <c r="M5806" s="1"/>
      <c r="N5806" s="1"/>
      <c r="O5806" s="1"/>
      <c r="P5806" s="1"/>
      <c r="Q5806" s="1"/>
      <c r="R5806" s="1"/>
      <c r="S5806" s="1"/>
      <c r="T5806" s="1"/>
      <c r="U5806" s="1"/>
      <c r="V5806" s="1"/>
      <c r="W5806" s="1"/>
      <c r="X5806" s="1"/>
    </row>
    <row x14ac:dyDescent="0.25" r="5807" customHeight="1" ht="18.75">
      <c r="A5807" s="1"/>
      <c r="B5807" s="1"/>
      <c r="C5807" s="1"/>
      <c r="D5807" s="1"/>
      <c r="E5807" s="1"/>
      <c r="F5807" s="1"/>
      <c r="G5807" s="1"/>
      <c r="H5807" s="1"/>
      <c r="I5807" s="2"/>
      <c r="J5807" s="1"/>
      <c r="K5807" s="1"/>
      <c r="L5807" s="1"/>
      <c r="M5807" s="1"/>
      <c r="N5807" s="1"/>
      <c r="O5807" s="1"/>
      <c r="P5807" s="1"/>
      <c r="Q5807" s="1"/>
      <c r="R5807" s="1"/>
      <c r="S5807" s="1"/>
      <c r="T5807" s="1"/>
      <c r="U5807" s="1"/>
      <c r="V5807" s="1"/>
      <c r="W5807" s="1"/>
      <c r="X5807" s="1"/>
    </row>
    <row x14ac:dyDescent="0.25" r="5808" customHeight="1" ht="18.75">
      <c r="A5808" s="1"/>
      <c r="B5808" s="1"/>
      <c r="C5808" s="1"/>
      <c r="D5808" s="1"/>
      <c r="E5808" s="1"/>
      <c r="F5808" s="1"/>
      <c r="G5808" s="1"/>
      <c r="H5808" s="1"/>
      <c r="I5808" s="2"/>
      <c r="J5808" s="1"/>
      <c r="K5808" s="1"/>
      <c r="L5808" s="1"/>
      <c r="M5808" s="1"/>
      <c r="N5808" s="1"/>
      <c r="O5808" s="1"/>
      <c r="P5808" s="1"/>
      <c r="Q5808" s="1"/>
      <c r="R5808" s="1"/>
      <c r="S5808" s="1"/>
      <c r="T5808" s="1"/>
      <c r="U5808" s="1"/>
      <c r="V5808" s="1"/>
      <c r="W5808" s="1"/>
      <c r="X5808" s="1"/>
    </row>
    <row x14ac:dyDescent="0.25" r="5809" customHeight="1" ht="18.75">
      <c r="A5809" s="1"/>
      <c r="B5809" s="1"/>
      <c r="C5809" s="1"/>
      <c r="D5809" s="1"/>
      <c r="E5809" s="1"/>
      <c r="F5809" s="1"/>
      <c r="G5809" s="1"/>
      <c r="H5809" s="1"/>
      <c r="I5809" s="2"/>
      <c r="J5809" s="1"/>
      <c r="K5809" s="1"/>
      <c r="L5809" s="1"/>
      <c r="M5809" s="1"/>
      <c r="N5809" s="1"/>
      <c r="O5809" s="1"/>
      <c r="P5809" s="1"/>
      <c r="Q5809" s="1"/>
      <c r="R5809" s="1"/>
      <c r="S5809" s="1"/>
      <c r="T5809" s="1"/>
      <c r="U5809" s="1"/>
      <c r="V5809" s="1"/>
      <c r="W5809" s="1"/>
      <c r="X5809" s="1"/>
    </row>
    <row x14ac:dyDescent="0.25" r="5810" customHeight="1" ht="18.75">
      <c r="A5810" s="1"/>
      <c r="B5810" s="1"/>
      <c r="C5810" s="1"/>
      <c r="D5810" s="1"/>
      <c r="E5810" s="1"/>
      <c r="F5810" s="1"/>
      <c r="G5810" s="1"/>
      <c r="H5810" s="1"/>
      <c r="I5810" s="2"/>
      <c r="J5810" s="1"/>
      <c r="K5810" s="1"/>
      <c r="L5810" s="1"/>
      <c r="M5810" s="1"/>
      <c r="N5810" s="1"/>
      <c r="O5810" s="1"/>
      <c r="P5810" s="1"/>
      <c r="Q5810" s="1"/>
      <c r="R5810" s="1"/>
      <c r="S5810" s="1"/>
      <c r="T5810" s="1"/>
      <c r="U5810" s="1"/>
      <c r="V5810" s="1"/>
      <c r="W5810" s="1"/>
      <c r="X5810" s="1"/>
    </row>
    <row x14ac:dyDescent="0.25" r="5811" customHeight="1" ht="18.75">
      <c r="A5811" s="1"/>
      <c r="B5811" s="1"/>
      <c r="C5811" s="1"/>
      <c r="D5811" s="1"/>
      <c r="E5811" s="1"/>
      <c r="F5811" s="1"/>
      <c r="G5811" s="1"/>
      <c r="H5811" s="1"/>
      <c r="I5811" s="2"/>
      <c r="J5811" s="1"/>
      <c r="K5811" s="1"/>
      <c r="L5811" s="1"/>
      <c r="M5811" s="1"/>
      <c r="N5811" s="1"/>
      <c r="O5811" s="1"/>
      <c r="P5811" s="1"/>
      <c r="Q5811" s="1"/>
      <c r="R5811" s="1"/>
      <c r="S5811" s="1"/>
      <c r="T5811" s="1"/>
      <c r="U5811" s="1"/>
      <c r="V5811" s="1"/>
      <c r="W5811" s="1"/>
      <c r="X5811" s="1"/>
    </row>
    <row x14ac:dyDescent="0.25" r="5812" customHeight="1" ht="18.75">
      <c r="A5812" s="1"/>
      <c r="B5812" s="1"/>
      <c r="C5812" s="1"/>
      <c r="D5812" s="1"/>
      <c r="E5812" s="1"/>
      <c r="F5812" s="1"/>
      <c r="G5812" s="1"/>
      <c r="H5812" s="1"/>
      <c r="I5812" s="2"/>
      <c r="J5812" s="1"/>
      <c r="K5812" s="1"/>
      <c r="L5812" s="1"/>
      <c r="M5812" s="1"/>
      <c r="N5812" s="1"/>
      <c r="O5812" s="1"/>
      <c r="P5812" s="1"/>
      <c r="Q5812" s="1"/>
      <c r="R5812" s="1"/>
      <c r="S5812" s="1"/>
      <c r="T5812" s="1"/>
      <c r="U5812" s="1"/>
      <c r="V5812" s="1"/>
      <c r="W5812" s="1"/>
      <c r="X5812" s="1"/>
    </row>
    <row x14ac:dyDescent="0.25" r="5813" customHeight="1" ht="18.75">
      <c r="A5813" s="1"/>
      <c r="B5813" s="1"/>
      <c r="C5813" s="1"/>
      <c r="D5813" s="1"/>
      <c r="E5813" s="1"/>
      <c r="F5813" s="1"/>
      <c r="G5813" s="1"/>
      <c r="H5813" s="1"/>
      <c r="I5813" s="2"/>
      <c r="J5813" s="1"/>
      <c r="K5813" s="1"/>
      <c r="L5813" s="1"/>
      <c r="M5813" s="1"/>
      <c r="N5813" s="1"/>
      <c r="O5813" s="1"/>
      <c r="P5813" s="1"/>
      <c r="Q5813" s="1"/>
      <c r="R5813" s="1"/>
      <c r="S5813" s="1"/>
      <c r="T5813" s="1"/>
      <c r="U5813" s="1"/>
      <c r="V5813" s="1"/>
      <c r="W5813" s="1"/>
      <c r="X5813" s="1"/>
    </row>
    <row x14ac:dyDescent="0.25" r="5814" customHeight="1" ht="18.75">
      <c r="A5814" s="1"/>
      <c r="B5814" s="1"/>
      <c r="C5814" s="1"/>
      <c r="D5814" s="1"/>
      <c r="E5814" s="1"/>
      <c r="F5814" s="1"/>
      <c r="G5814" s="1"/>
      <c r="H5814" s="1"/>
      <c r="I5814" s="2"/>
      <c r="J5814" s="1"/>
      <c r="K5814" s="1"/>
      <c r="L5814" s="1"/>
      <c r="M5814" s="1"/>
      <c r="N5814" s="1"/>
      <c r="O5814" s="1"/>
      <c r="P5814" s="1"/>
      <c r="Q5814" s="1"/>
      <c r="R5814" s="1"/>
      <c r="S5814" s="1"/>
      <c r="T5814" s="1"/>
      <c r="U5814" s="1"/>
      <c r="V5814" s="1"/>
      <c r="W5814" s="1"/>
      <c r="X5814" s="1"/>
    </row>
    <row x14ac:dyDescent="0.25" r="5815" customHeight="1" ht="18.75">
      <c r="A5815" s="1"/>
      <c r="B5815" s="1"/>
      <c r="C5815" s="1"/>
      <c r="D5815" s="1"/>
      <c r="E5815" s="1"/>
      <c r="F5815" s="1"/>
      <c r="G5815" s="1"/>
      <c r="H5815" s="1"/>
      <c r="I5815" s="2"/>
      <c r="J5815" s="1"/>
      <c r="K5815" s="1"/>
      <c r="L5815" s="1"/>
      <c r="M5815" s="1"/>
      <c r="N5815" s="1"/>
      <c r="O5815" s="1"/>
      <c r="P5815" s="1"/>
      <c r="Q5815" s="1"/>
      <c r="R5815" s="1"/>
      <c r="S5815" s="1"/>
      <c r="T5815" s="1"/>
      <c r="U5815" s="1"/>
      <c r="V5815" s="1"/>
      <c r="W5815" s="1"/>
      <c r="X5815" s="1"/>
    </row>
    <row x14ac:dyDescent="0.25" r="5816" customHeight="1" ht="18.75">
      <c r="A5816" s="1"/>
      <c r="B5816" s="1"/>
      <c r="C5816" s="1"/>
      <c r="D5816" s="1"/>
      <c r="E5816" s="1"/>
      <c r="F5816" s="1"/>
      <c r="G5816" s="1"/>
      <c r="H5816" s="1"/>
      <c r="I5816" s="2"/>
      <c r="J5816" s="1"/>
      <c r="K5816" s="1"/>
      <c r="L5816" s="1"/>
      <c r="M5816" s="1"/>
      <c r="N5816" s="1"/>
      <c r="O5816" s="1"/>
      <c r="P5816" s="1"/>
      <c r="Q5816" s="1"/>
      <c r="R5816" s="1"/>
      <c r="S5816" s="1"/>
      <c r="T5816" s="1"/>
      <c r="U5816" s="1"/>
      <c r="V5816" s="1"/>
      <c r="W5816" s="1"/>
      <c r="X5816" s="1"/>
    </row>
    <row x14ac:dyDescent="0.25" r="5817" customHeight="1" ht="18.75">
      <c r="A5817" s="1"/>
      <c r="B5817" s="1"/>
      <c r="C5817" s="1"/>
      <c r="D5817" s="1"/>
      <c r="E5817" s="1"/>
      <c r="F5817" s="1"/>
      <c r="G5817" s="1"/>
      <c r="H5817" s="1"/>
      <c r="I5817" s="2"/>
      <c r="J5817" s="1"/>
      <c r="K5817" s="1"/>
      <c r="L5817" s="1"/>
      <c r="M5817" s="1"/>
      <c r="N5817" s="1"/>
      <c r="O5817" s="1"/>
      <c r="P5817" s="1"/>
      <c r="Q5817" s="1"/>
      <c r="R5817" s="1"/>
      <c r="S5817" s="1"/>
      <c r="T5817" s="1"/>
      <c r="U5817" s="1"/>
      <c r="V5817" s="1"/>
      <c r="W5817" s="1"/>
      <c r="X5817" s="1"/>
    </row>
    <row x14ac:dyDescent="0.25" r="5818" customHeight="1" ht="18.75">
      <c r="A5818" s="1"/>
      <c r="B5818" s="1"/>
      <c r="C5818" s="1"/>
      <c r="D5818" s="1"/>
      <c r="E5818" s="1"/>
      <c r="F5818" s="1"/>
      <c r="G5818" s="1"/>
      <c r="H5818" s="1"/>
      <c r="I5818" s="2"/>
      <c r="J5818" s="1"/>
      <c r="K5818" s="1"/>
      <c r="L5818" s="1"/>
      <c r="M5818" s="1"/>
      <c r="N5818" s="1"/>
      <c r="O5818" s="1"/>
      <c r="P5818" s="1"/>
      <c r="Q5818" s="1"/>
      <c r="R5818" s="1"/>
      <c r="S5818" s="1"/>
      <c r="T5818" s="1"/>
      <c r="U5818" s="1"/>
      <c r="V5818" s="1"/>
      <c r="W5818" s="1"/>
      <c r="X5818" s="1"/>
    </row>
    <row x14ac:dyDescent="0.25" r="5819" customHeight="1" ht="18.75">
      <c r="A5819" s="1"/>
      <c r="B5819" s="1"/>
      <c r="C5819" s="1"/>
      <c r="D5819" s="1"/>
      <c r="E5819" s="1"/>
      <c r="F5819" s="1"/>
      <c r="G5819" s="1"/>
      <c r="H5819" s="1"/>
      <c r="I5819" s="2"/>
      <c r="J5819" s="1"/>
      <c r="K5819" s="1"/>
      <c r="L5819" s="1"/>
      <c r="M5819" s="1"/>
      <c r="N5819" s="1"/>
      <c r="O5819" s="1"/>
      <c r="P5819" s="1"/>
      <c r="Q5819" s="1"/>
      <c r="R5819" s="1"/>
      <c r="S5819" s="1"/>
      <c r="T5819" s="1"/>
      <c r="U5819" s="1"/>
      <c r="V5819" s="1"/>
      <c r="W5819" s="1"/>
      <c r="X5819" s="1"/>
    </row>
    <row x14ac:dyDescent="0.25" r="5820" customHeight="1" ht="18.75">
      <c r="A5820" s="1"/>
      <c r="B5820" s="1"/>
      <c r="C5820" s="1"/>
      <c r="D5820" s="1"/>
      <c r="E5820" s="1"/>
      <c r="F5820" s="1"/>
      <c r="G5820" s="1"/>
      <c r="H5820" s="1"/>
      <c r="I5820" s="2"/>
      <c r="J5820" s="1"/>
      <c r="K5820" s="1"/>
      <c r="L5820" s="1"/>
      <c r="M5820" s="1"/>
      <c r="N5820" s="1"/>
      <c r="O5820" s="1"/>
      <c r="P5820" s="1"/>
      <c r="Q5820" s="1"/>
      <c r="R5820" s="1"/>
      <c r="S5820" s="1"/>
      <c r="T5820" s="1"/>
      <c r="U5820" s="1"/>
      <c r="V5820" s="1"/>
      <c r="W5820" s="1"/>
      <c r="X5820" s="1"/>
    </row>
    <row x14ac:dyDescent="0.25" r="5821" customHeight="1" ht="18.75">
      <c r="A5821" s="1"/>
      <c r="B5821" s="1"/>
      <c r="C5821" s="1"/>
      <c r="D5821" s="1"/>
      <c r="E5821" s="1"/>
      <c r="F5821" s="1"/>
      <c r="G5821" s="1"/>
      <c r="H5821" s="1"/>
      <c r="I5821" s="2"/>
      <c r="J5821" s="1"/>
      <c r="K5821" s="1"/>
      <c r="L5821" s="1"/>
      <c r="M5821" s="1"/>
      <c r="N5821" s="1"/>
      <c r="O5821" s="1"/>
      <c r="P5821" s="1"/>
      <c r="Q5821" s="1"/>
      <c r="R5821" s="1"/>
      <c r="S5821" s="1"/>
      <c r="T5821" s="1"/>
      <c r="U5821" s="1"/>
      <c r="V5821" s="1"/>
      <c r="W5821" s="1"/>
      <c r="X5821" s="1"/>
    </row>
    <row x14ac:dyDescent="0.25" r="5822" customHeight="1" ht="18.75">
      <c r="A5822" s="1"/>
      <c r="B5822" s="1"/>
      <c r="C5822" s="1"/>
      <c r="D5822" s="1"/>
      <c r="E5822" s="1"/>
      <c r="F5822" s="1"/>
      <c r="G5822" s="1"/>
      <c r="H5822" s="1"/>
      <c r="I5822" s="2"/>
      <c r="J5822" s="1"/>
      <c r="K5822" s="1"/>
      <c r="L5822" s="1"/>
      <c r="M5822" s="1"/>
      <c r="N5822" s="1"/>
      <c r="O5822" s="1"/>
      <c r="P5822" s="1"/>
      <c r="Q5822" s="1"/>
      <c r="R5822" s="1"/>
      <c r="S5822" s="1"/>
      <c r="T5822" s="1"/>
      <c r="U5822" s="1"/>
      <c r="V5822" s="1"/>
      <c r="W5822" s="1"/>
      <c r="X5822" s="1"/>
    </row>
    <row x14ac:dyDescent="0.25" r="5823" customHeight="1" ht="18.75">
      <c r="A5823" s="1"/>
      <c r="B5823" s="1"/>
      <c r="C5823" s="1"/>
      <c r="D5823" s="1"/>
      <c r="E5823" s="1"/>
      <c r="F5823" s="1"/>
      <c r="G5823" s="1"/>
      <c r="H5823" s="1"/>
      <c r="I5823" s="2"/>
      <c r="J5823" s="1"/>
      <c r="K5823" s="1"/>
      <c r="L5823" s="1"/>
      <c r="M5823" s="1"/>
      <c r="N5823" s="1"/>
      <c r="O5823" s="1"/>
      <c r="P5823" s="1"/>
      <c r="Q5823" s="1"/>
      <c r="R5823" s="1"/>
      <c r="S5823" s="1"/>
      <c r="T5823" s="1"/>
      <c r="U5823" s="1"/>
      <c r="V5823" s="1"/>
      <c r="W5823" s="1"/>
      <c r="X5823" s="1"/>
    </row>
    <row x14ac:dyDescent="0.25" r="5824" customHeight="1" ht="18.75">
      <c r="A5824" s="1"/>
      <c r="B5824" s="1"/>
      <c r="C5824" s="1"/>
      <c r="D5824" s="1"/>
      <c r="E5824" s="1"/>
      <c r="F5824" s="1"/>
      <c r="G5824" s="1"/>
      <c r="H5824" s="1"/>
      <c r="I5824" s="2"/>
      <c r="J5824" s="1"/>
      <c r="K5824" s="1"/>
      <c r="L5824" s="1"/>
      <c r="M5824" s="1"/>
      <c r="N5824" s="1"/>
      <c r="O5824" s="1"/>
      <c r="P5824" s="1"/>
      <c r="Q5824" s="1"/>
      <c r="R5824" s="1"/>
      <c r="S5824" s="1"/>
      <c r="T5824" s="1"/>
      <c r="U5824" s="1"/>
      <c r="V5824" s="1"/>
      <c r="W5824" s="1"/>
      <c r="X5824" s="1"/>
    </row>
    <row x14ac:dyDescent="0.25" r="5825" customHeight="1" ht="18.75">
      <c r="A5825" s="1"/>
      <c r="B5825" s="1"/>
      <c r="C5825" s="1"/>
      <c r="D5825" s="1"/>
      <c r="E5825" s="1"/>
      <c r="F5825" s="1"/>
      <c r="G5825" s="1"/>
      <c r="H5825" s="1"/>
      <c r="I5825" s="2"/>
      <c r="J5825" s="1"/>
      <c r="K5825" s="1"/>
      <c r="L5825" s="1"/>
      <c r="M5825" s="1"/>
      <c r="N5825" s="1"/>
      <c r="O5825" s="1"/>
      <c r="P5825" s="1"/>
      <c r="Q5825" s="1"/>
      <c r="R5825" s="1"/>
      <c r="S5825" s="1"/>
      <c r="T5825" s="1"/>
      <c r="U5825" s="1"/>
      <c r="V5825" s="1"/>
      <c r="W5825" s="1"/>
      <c r="X5825" s="1"/>
    </row>
    <row x14ac:dyDescent="0.25" r="5826" customHeight="1" ht="18.75">
      <c r="A5826" s="1"/>
      <c r="B5826" s="1"/>
      <c r="C5826" s="1"/>
      <c r="D5826" s="1"/>
      <c r="E5826" s="1"/>
      <c r="F5826" s="1"/>
      <c r="G5826" s="1"/>
      <c r="H5826" s="1"/>
      <c r="I5826" s="2"/>
      <c r="J5826" s="1"/>
      <c r="K5826" s="1"/>
      <c r="L5826" s="1"/>
      <c r="M5826" s="1"/>
      <c r="N5826" s="1"/>
      <c r="O5826" s="1"/>
      <c r="P5826" s="1"/>
      <c r="Q5826" s="1"/>
      <c r="R5826" s="1"/>
      <c r="S5826" s="1"/>
      <c r="T5826" s="1"/>
      <c r="U5826" s="1"/>
      <c r="V5826" s="1"/>
      <c r="W5826" s="1"/>
      <c r="X5826" s="1"/>
    </row>
    <row x14ac:dyDescent="0.25" r="5827" customHeight="1" ht="18.75">
      <c r="A5827" s="1"/>
      <c r="B5827" s="1"/>
      <c r="C5827" s="1"/>
      <c r="D5827" s="1"/>
      <c r="E5827" s="1"/>
      <c r="F5827" s="1"/>
      <c r="G5827" s="1"/>
      <c r="H5827" s="1"/>
      <c r="I5827" s="2"/>
      <c r="J5827" s="1"/>
      <c r="K5827" s="1"/>
      <c r="L5827" s="1"/>
      <c r="M5827" s="1"/>
      <c r="N5827" s="1"/>
      <c r="O5827" s="1"/>
      <c r="P5827" s="1"/>
      <c r="Q5827" s="1"/>
      <c r="R5827" s="1"/>
      <c r="S5827" s="1"/>
      <c r="T5827" s="1"/>
      <c r="U5827" s="1"/>
      <c r="V5827" s="1"/>
      <c r="W5827" s="1"/>
      <c r="X5827" s="1"/>
    </row>
    <row x14ac:dyDescent="0.25" r="5828" customHeight="1" ht="18.75">
      <c r="A5828" s="1"/>
      <c r="B5828" s="1"/>
      <c r="C5828" s="1"/>
      <c r="D5828" s="1"/>
      <c r="E5828" s="1"/>
      <c r="F5828" s="1"/>
      <c r="G5828" s="1"/>
      <c r="H5828" s="1"/>
      <c r="I5828" s="2"/>
      <c r="J5828" s="1"/>
      <c r="K5828" s="1"/>
      <c r="L5828" s="1"/>
      <c r="M5828" s="1"/>
      <c r="N5828" s="1"/>
      <c r="O5828" s="1"/>
      <c r="P5828" s="1"/>
      <c r="Q5828" s="1"/>
      <c r="R5828" s="1"/>
      <c r="S5828" s="1"/>
      <c r="T5828" s="1"/>
      <c r="U5828" s="1"/>
      <c r="V5828" s="1"/>
      <c r="W5828" s="1"/>
      <c r="X5828" s="1"/>
    </row>
    <row x14ac:dyDescent="0.25" r="5829" customHeight="1" ht="18.75">
      <c r="A5829" s="1"/>
      <c r="B5829" s="1"/>
      <c r="C5829" s="1"/>
      <c r="D5829" s="1"/>
      <c r="E5829" s="1"/>
      <c r="F5829" s="1"/>
      <c r="G5829" s="1"/>
      <c r="H5829" s="1"/>
      <c r="I5829" s="2"/>
      <c r="J5829" s="1"/>
      <c r="K5829" s="1"/>
      <c r="L5829" s="1"/>
      <c r="M5829" s="1"/>
      <c r="N5829" s="1"/>
      <c r="O5829" s="1"/>
      <c r="P5829" s="1"/>
      <c r="Q5829" s="1"/>
      <c r="R5829" s="1"/>
      <c r="S5829" s="1"/>
      <c r="T5829" s="1"/>
      <c r="U5829" s="1"/>
      <c r="V5829" s="1"/>
      <c r="W5829" s="1"/>
      <c r="X5829" s="1"/>
    </row>
    <row x14ac:dyDescent="0.25" r="5830" customHeight="1" ht="18.75">
      <c r="A5830" s="1"/>
      <c r="B5830" s="1"/>
      <c r="C5830" s="1"/>
      <c r="D5830" s="1"/>
      <c r="E5830" s="1"/>
      <c r="F5830" s="1"/>
      <c r="G5830" s="1"/>
      <c r="H5830" s="1"/>
      <c r="I5830" s="2"/>
      <c r="J5830" s="1"/>
      <c r="K5830" s="1"/>
      <c r="L5830" s="1"/>
      <c r="M5830" s="1"/>
      <c r="N5830" s="1"/>
      <c r="O5830" s="1"/>
      <c r="P5830" s="1"/>
      <c r="Q5830" s="1"/>
      <c r="R5830" s="1"/>
      <c r="S5830" s="1"/>
      <c r="T5830" s="1"/>
      <c r="U5830" s="1"/>
      <c r="V5830" s="1"/>
      <c r="W5830" s="1"/>
      <c r="X5830" s="1"/>
    </row>
    <row x14ac:dyDescent="0.25" r="5831" customHeight="1" ht="18.75">
      <c r="A5831" s="1"/>
      <c r="B5831" s="1"/>
      <c r="C5831" s="1"/>
      <c r="D5831" s="1"/>
      <c r="E5831" s="1"/>
      <c r="F5831" s="1"/>
      <c r="G5831" s="1"/>
      <c r="H5831" s="1"/>
      <c r="I5831" s="2"/>
      <c r="J5831" s="1"/>
      <c r="K5831" s="1"/>
      <c r="L5831" s="1"/>
      <c r="M5831" s="1"/>
      <c r="N5831" s="1"/>
      <c r="O5831" s="1"/>
      <c r="P5831" s="1"/>
      <c r="Q5831" s="1"/>
      <c r="R5831" s="1"/>
      <c r="S5831" s="1"/>
      <c r="T5831" s="1"/>
      <c r="U5831" s="1"/>
      <c r="V5831" s="1"/>
      <c r="W5831" s="1"/>
      <c r="X5831" s="1"/>
    </row>
    <row x14ac:dyDescent="0.25" r="5832" customHeight="1" ht="18.75">
      <c r="A5832" s="1"/>
      <c r="B5832" s="1"/>
      <c r="C5832" s="1"/>
      <c r="D5832" s="1"/>
      <c r="E5832" s="1"/>
      <c r="F5832" s="1"/>
      <c r="G5832" s="1"/>
      <c r="H5832" s="1"/>
      <c r="I5832" s="2"/>
      <c r="J5832" s="1"/>
      <c r="K5832" s="1"/>
      <c r="L5832" s="1"/>
      <c r="M5832" s="1"/>
      <c r="N5832" s="1"/>
      <c r="O5832" s="1"/>
      <c r="P5832" s="1"/>
      <c r="Q5832" s="1"/>
      <c r="R5832" s="1"/>
      <c r="S5832" s="1"/>
      <c r="T5832" s="1"/>
      <c r="U5832" s="1"/>
      <c r="V5832" s="1"/>
      <c r="W5832" s="1"/>
      <c r="X5832" s="1"/>
    </row>
    <row x14ac:dyDescent="0.25" r="5833" customHeight="1" ht="18.75">
      <c r="A5833" s="1"/>
      <c r="B5833" s="1"/>
      <c r="C5833" s="1"/>
      <c r="D5833" s="1"/>
      <c r="E5833" s="1"/>
      <c r="F5833" s="1"/>
      <c r="G5833" s="1"/>
      <c r="H5833" s="1"/>
      <c r="I5833" s="2"/>
      <c r="J5833" s="1"/>
      <c r="K5833" s="1"/>
      <c r="L5833" s="1"/>
      <c r="M5833" s="1"/>
      <c r="N5833" s="1"/>
      <c r="O5833" s="1"/>
      <c r="P5833" s="1"/>
      <c r="Q5833" s="1"/>
      <c r="R5833" s="1"/>
      <c r="S5833" s="1"/>
      <c r="T5833" s="1"/>
      <c r="U5833" s="1"/>
      <c r="V5833" s="1"/>
      <c r="W5833" s="1"/>
      <c r="X5833" s="1"/>
    </row>
    <row x14ac:dyDescent="0.25" r="5834" customHeight="1" ht="18.75">
      <c r="A5834" s="1"/>
      <c r="B5834" s="1"/>
      <c r="C5834" s="1"/>
      <c r="D5834" s="1"/>
      <c r="E5834" s="1"/>
      <c r="F5834" s="1"/>
      <c r="G5834" s="1"/>
      <c r="H5834" s="1"/>
      <c r="I5834" s="2"/>
      <c r="J5834" s="1"/>
      <c r="K5834" s="1"/>
      <c r="L5834" s="1"/>
      <c r="M5834" s="1"/>
      <c r="N5834" s="1"/>
      <c r="O5834" s="1"/>
      <c r="P5834" s="1"/>
      <c r="Q5834" s="1"/>
      <c r="R5834" s="1"/>
      <c r="S5834" s="1"/>
      <c r="T5834" s="1"/>
      <c r="U5834" s="1"/>
      <c r="V5834" s="1"/>
      <c r="W5834" s="1"/>
      <c r="X5834" s="1"/>
    </row>
    <row x14ac:dyDescent="0.25" r="5835" customHeight="1" ht="18.75">
      <c r="A5835" s="1"/>
      <c r="B5835" s="1"/>
      <c r="C5835" s="1"/>
      <c r="D5835" s="1"/>
      <c r="E5835" s="1"/>
      <c r="F5835" s="1"/>
      <c r="G5835" s="1"/>
      <c r="H5835" s="1"/>
      <c r="I5835" s="2"/>
      <c r="J5835" s="1"/>
      <c r="K5835" s="1"/>
      <c r="L5835" s="1"/>
      <c r="M5835" s="1"/>
      <c r="N5835" s="1"/>
      <c r="O5835" s="1"/>
      <c r="P5835" s="1"/>
      <c r="Q5835" s="1"/>
      <c r="R5835" s="1"/>
      <c r="S5835" s="1"/>
      <c r="T5835" s="1"/>
      <c r="U5835" s="1"/>
      <c r="V5835" s="1"/>
      <c r="W5835" s="1"/>
      <c r="X5835" s="1"/>
    </row>
    <row x14ac:dyDescent="0.25" r="5836" customHeight="1" ht="18.75">
      <c r="A5836" s="1"/>
      <c r="B5836" s="1"/>
      <c r="C5836" s="1"/>
      <c r="D5836" s="1"/>
      <c r="E5836" s="1"/>
      <c r="F5836" s="1"/>
      <c r="G5836" s="1"/>
      <c r="H5836" s="1"/>
      <c r="I5836" s="2"/>
      <c r="J5836" s="1"/>
      <c r="K5836" s="1"/>
      <c r="L5836" s="1"/>
      <c r="M5836" s="1"/>
      <c r="N5836" s="1"/>
      <c r="O5836" s="1"/>
      <c r="P5836" s="1"/>
      <c r="Q5836" s="1"/>
      <c r="R5836" s="1"/>
      <c r="S5836" s="1"/>
      <c r="T5836" s="1"/>
      <c r="U5836" s="1"/>
      <c r="V5836" s="1"/>
      <c r="W5836" s="1"/>
      <c r="X5836" s="1"/>
    </row>
    <row x14ac:dyDescent="0.25" r="5837" customHeight="1" ht="18.75">
      <c r="A5837" s="1"/>
      <c r="B5837" s="1"/>
      <c r="C5837" s="1"/>
      <c r="D5837" s="1"/>
      <c r="E5837" s="1"/>
      <c r="F5837" s="1"/>
      <c r="G5837" s="1"/>
      <c r="H5837" s="1"/>
      <c r="I5837" s="2"/>
      <c r="J5837" s="1"/>
      <c r="K5837" s="1"/>
      <c r="L5837" s="1"/>
      <c r="M5837" s="1"/>
      <c r="N5837" s="1"/>
      <c r="O5837" s="1"/>
      <c r="P5837" s="1"/>
      <c r="Q5837" s="1"/>
      <c r="R5837" s="1"/>
      <c r="S5837" s="1"/>
      <c r="T5837" s="1"/>
      <c r="U5837" s="1"/>
      <c r="V5837" s="1"/>
      <c r="W5837" s="1"/>
      <c r="X5837" s="1"/>
    </row>
    <row x14ac:dyDescent="0.25" r="5838" customHeight="1" ht="18.75">
      <c r="A5838" s="1"/>
      <c r="B5838" s="1"/>
      <c r="C5838" s="1"/>
      <c r="D5838" s="1"/>
      <c r="E5838" s="1"/>
      <c r="F5838" s="1"/>
      <c r="G5838" s="1"/>
      <c r="H5838" s="1"/>
      <c r="I5838" s="2"/>
      <c r="J5838" s="1"/>
      <c r="K5838" s="1"/>
      <c r="L5838" s="1"/>
      <c r="M5838" s="1"/>
      <c r="N5838" s="1"/>
      <c r="O5838" s="1"/>
      <c r="P5838" s="1"/>
      <c r="Q5838" s="1"/>
      <c r="R5838" s="1"/>
      <c r="S5838" s="1"/>
      <c r="T5838" s="1"/>
      <c r="U5838" s="1"/>
      <c r="V5838" s="1"/>
      <c r="W5838" s="1"/>
      <c r="X5838" s="1"/>
    </row>
    <row x14ac:dyDescent="0.25" r="5839" customHeight="1" ht="18.75">
      <c r="A5839" s="1"/>
      <c r="B5839" s="1"/>
      <c r="C5839" s="1"/>
      <c r="D5839" s="1"/>
      <c r="E5839" s="1"/>
      <c r="F5839" s="1"/>
      <c r="G5839" s="1"/>
      <c r="H5839" s="1"/>
      <c r="I5839" s="2"/>
      <c r="J5839" s="1"/>
      <c r="K5839" s="1"/>
      <c r="L5839" s="1"/>
      <c r="M5839" s="1"/>
      <c r="N5839" s="1"/>
      <c r="O5839" s="1"/>
      <c r="P5839" s="1"/>
      <c r="Q5839" s="1"/>
      <c r="R5839" s="1"/>
      <c r="S5839" s="1"/>
      <c r="T5839" s="1"/>
      <c r="U5839" s="1"/>
      <c r="V5839" s="1"/>
      <c r="W5839" s="1"/>
      <c r="X5839" s="1"/>
    </row>
    <row x14ac:dyDescent="0.25" r="5840" customHeight="1" ht="18.75">
      <c r="A5840" s="1"/>
      <c r="B5840" s="1"/>
      <c r="C5840" s="1"/>
      <c r="D5840" s="1"/>
      <c r="E5840" s="1"/>
      <c r="F5840" s="1"/>
      <c r="G5840" s="1"/>
      <c r="H5840" s="1"/>
      <c r="I5840" s="2"/>
      <c r="J5840" s="1"/>
      <c r="K5840" s="1"/>
      <c r="L5840" s="1"/>
      <c r="M5840" s="1"/>
      <c r="N5840" s="1"/>
      <c r="O5840" s="1"/>
      <c r="P5840" s="1"/>
      <c r="Q5840" s="1"/>
      <c r="R5840" s="1"/>
      <c r="S5840" s="1"/>
      <c r="T5840" s="1"/>
      <c r="U5840" s="1"/>
      <c r="V5840" s="1"/>
      <c r="W5840" s="1"/>
      <c r="X5840" s="1"/>
    </row>
    <row x14ac:dyDescent="0.25" r="5841" customHeight="1" ht="18.75">
      <c r="A5841" s="1"/>
      <c r="B5841" s="1"/>
      <c r="C5841" s="1"/>
      <c r="D5841" s="1"/>
      <c r="E5841" s="1"/>
      <c r="F5841" s="1"/>
      <c r="G5841" s="1"/>
      <c r="H5841" s="1"/>
      <c r="I5841" s="2"/>
      <c r="J5841" s="1"/>
      <c r="K5841" s="1"/>
      <c r="L5841" s="1"/>
      <c r="M5841" s="1"/>
      <c r="N5841" s="1"/>
      <c r="O5841" s="1"/>
      <c r="P5841" s="1"/>
      <c r="Q5841" s="1"/>
      <c r="R5841" s="1"/>
      <c r="S5841" s="1"/>
      <c r="T5841" s="1"/>
      <c r="U5841" s="1"/>
      <c r="V5841" s="1"/>
      <c r="W5841" s="1"/>
      <c r="X5841" s="1"/>
    </row>
    <row x14ac:dyDescent="0.25" r="5842" customHeight="1" ht="18.75">
      <c r="A5842" s="1"/>
      <c r="B5842" s="1"/>
      <c r="C5842" s="1"/>
      <c r="D5842" s="1"/>
      <c r="E5842" s="1"/>
      <c r="F5842" s="1"/>
      <c r="G5842" s="1"/>
      <c r="H5842" s="1"/>
      <c r="I5842" s="2"/>
      <c r="J5842" s="1"/>
      <c r="K5842" s="1"/>
      <c r="L5842" s="1"/>
      <c r="M5842" s="1"/>
      <c r="N5842" s="1"/>
      <c r="O5842" s="1"/>
      <c r="P5842" s="1"/>
      <c r="Q5842" s="1"/>
      <c r="R5842" s="1"/>
      <c r="S5842" s="1"/>
      <c r="T5842" s="1"/>
      <c r="U5842" s="1"/>
      <c r="V5842" s="1"/>
      <c r="W5842" s="1"/>
      <c r="X5842" s="1"/>
    </row>
    <row x14ac:dyDescent="0.25" r="5843" customHeight="1" ht="18.75">
      <c r="A5843" s="1"/>
      <c r="B5843" s="1"/>
      <c r="C5843" s="1"/>
      <c r="D5843" s="1"/>
      <c r="E5843" s="1"/>
      <c r="F5843" s="1"/>
      <c r="G5843" s="1"/>
      <c r="H5843" s="1"/>
      <c r="I5843" s="2"/>
      <c r="J5843" s="1"/>
      <c r="K5843" s="1"/>
      <c r="L5843" s="1"/>
      <c r="M5843" s="1"/>
      <c r="N5843" s="1"/>
      <c r="O5843" s="1"/>
      <c r="P5843" s="1"/>
      <c r="Q5843" s="1"/>
      <c r="R5843" s="1"/>
      <c r="S5843" s="1"/>
      <c r="T5843" s="1"/>
      <c r="U5843" s="1"/>
      <c r="V5843" s="1"/>
      <c r="W5843" s="1"/>
      <c r="X5843" s="1"/>
    </row>
    <row x14ac:dyDescent="0.25" r="5844" customHeight="1" ht="18.75">
      <c r="A5844" s="1"/>
      <c r="B5844" s="1"/>
      <c r="C5844" s="1"/>
      <c r="D5844" s="1"/>
      <c r="E5844" s="1"/>
      <c r="F5844" s="1"/>
      <c r="G5844" s="1"/>
      <c r="H5844" s="1"/>
      <c r="I5844" s="2"/>
      <c r="J5844" s="1"/>
      <c r="K5844" s="1"/>
      <c r="L5844" s="1"/>
      <c r="M5844" s="1"/>
      <c r="N5844" s="1"/>
      <c r="O5844" s="1"/>
      <c r="P5844" s="1"/>
      <c r="Q5844" s="1"/>
      <c r="R5844" s="1"/>
      <c r="S5844" s="1"/>
      <c r="T5844" s="1"/>
      <c r="U5844" s="1"/>
      <c r="V5844" s="1"/>
      <c r="W5844" s="1"/>
      <c r="X5844" s="1"/>
    </row>
    <row x14ac:dyDescent="0.25" r="5845" customHeight="1" ht="18.75">
      <c r="A5845" s="1"/>
      <c r="B5845" s="1"/>
      <c r="C5845" s="1"/>
      <c r="D5845" s="1"/>
      <c r="E5845" s="1"/>
      <c r="F5845" s="1"/>
      <c r="G5845" s="1"/>
      <c r="H5845" s="1"/>
      <c r="I5845" s="2"/>
      <c r="J5845" s="1"/>
      <c r="K5845" s="1"/>
      <c r="L5845" s="1"/>
      <c r="M5845" s="1"/>
      <c r="N5845" s="1"/>
      <c r="O5845" s="1"/>
      <c r="P5845" s="1"/>
      <c r="Q5845" s="1"/>
      <c r="R5845" s="1"/>
      <c r="S5845" s="1"/>
      <c r="T5845" s="1"/>
      <c r="U5845" s="1"/>
      <c r="V5845" s="1"/>
      <c r="W5845" s="1"/>
      <c r="X5845" s="1"/>
    </row>
    <row x14ac:dyDescent="0.25" r="5846" customHeight="1" ht="18.75">
      <c r="A5846" s="1"/>
      <c r="B5846" s="1"/>
      <c r="C5846" s="1"/>
      <c r="D5846" s="1"/>
      <c r="E5846" s="1"/>
      <c r="F5846" s="1"/>
      <c r="G5846" s="1"/>
      <c r="H5846" s="1"/>
      <c r="I5846" s="2"/>
      <c r="J5846" s="1"/>
      <c r="K5846" s="1"/>
      <c r="L5846" s="1"/>
      <c r="M5846" s="1"/>
      <c r="N5846" s="1"/>
      <c r="O5846" s="1"/>
      <c r="P5846" s="1"/>
      <c r="Q5846" s="1"/>
      <c r="R5846" s="1"/>
      <c r="S5846" s="1"/>
      <c r="T5846" s="1"/>
      <c r="U5846" s="1"/>
      <c r="V5846" s="1"/>
      <c r="W5846" s="1"/>
      <c r="X5846" s="1"/>
    </row>
    <row x14ac:dyDescent="0.25" r="5847" customHeight="1" ht="18.75">
      <c r="A5847" s="1"/>
      <c r="B5847" s="1"/>
      <c r="C5847" s="1"/>
      <c r="D5847" s="1"/>
      <c r="E5847" s="1"/>
      <c r="F5847" s="1"/>
      <c r="G5847" s="1"/>
      <c r="H5847" s="1"/>
      <c r="I5847" s="2"/>
      <c r="J5847" s="1"/>
      <c r="K5847" s="1"/>
      <c r="L5847" s="1"/>
      <c r="M5847" s="1"/>
      <c r="N5847" s="1"/>
      <c r="O5847" s="1"/>
      <c r="P5847" s="1"/>
      <c r="Q5847" s="1"/>
      <c r="R5847" s="1"/>
      <c r="S5847" s="1"/>
      <c r="T5847" s="1"/>
      <c r="U5847" s="1"/>
      <c r="V5847" s="1"/>
      <c r="W5847" s="1"/>
      <c r="X5847" s="1"/>
    </row>
    <row x14ac:dyDescent="0.25" r="5848" customHeight="1" ht="18.75">
      <c r="A5848" s="1"/>
      <c r="B5848" s="1"/>
      <c r="C5848" s="1"/>
      <c r="D5848" s="1"/>
      <c r="E5848" s="1"/>
      <c r="F5848" s="1"/>
      <c r="G5848" s="1"/>
      <c r="H5848" s="1"/>
      <c r="I5848" s="2"/>
      <c r="J5848" s="1"/>
      <c r="K5848" s="1"/>
      <c r="L5848" s="1"/>
      <c r="M5848" s="1"/>
      <c r="N5848" s="1"/>
      <c r="O5848" s="1"/>
      <c r="P5848" s="1"/>
      <c r="Q5848" s="1"/>
      <c r="R5848" s="1"/>
      <c r="S5848" s="1"/>
      <c r="T5848" s="1"/>
      <c r="U5848" s="1"/>
      <c r="V5848" s="1"/>
      <c r="W5848" s="1"/>
      <c r="X5848" s="1"/>
    </row>
    <row x14ac:dyDescent="0.25" r="5849" customHeight="1" ht="18.75">
      <c r="A5849" s="1"/>
      <c r="B5849" s="1"/>
      <c r="C5849" s="1"/>
      <c r="D5849" s="1"/>
      <c r="E5849" s="1"/>
      <c r="F5849" s="1"/>
      <c r="G5849" s="1"/>
      <c r="H5849" s="1"/>
      <c r="I5849" s="2"/>
      <c r="J5849" s="1"/>
      <c r="K5849" s="1"/>
      <c r="L5849" s="1"/>
      <c r="M5849" s="1"/>
      <c r="N5849" s="1"/>
      <c r="O5849" s="1"/>
      <c r="P5849" s="1"/>
      <c r="Q5849" s="1"/>
      <c r="R5849" s="1"/>
      <c r="S5849" s="1"/>
      <c r="T5849" s="1"/>
      <c r="U5849" s="1"/>
      <c r="V5849" s="1"/>
      <c r="W5849" s="1"/>
      <c r="X5849" s="1"/>
    </row>
    <row x14ac:dyDescent="0.25" r="5850" customHeight="1" ht="18.75">
      <c r="A5850" s="1"/>
      <c r="B5850" s="1"/>
      <c r="C5850" s="1"/>
      <c r="D5850" s="1"/>
      <c r="E5850" s="1"/>
      <c r="F5850" s="1"/>
      <c r="G5850" s="1"/>
      <c r="H5850" s="1"/>
      <c r="I5850" s="2"/>
      <c r="J5850" s="1"/>
      <c r="K5850" s="1"/>
      <c r="L5850" s="1"/>
      <c r="M5850" s="1"/>
      <c r="N5850" s="1"/>
      <c r="O5850" s="1"/>
      <c r="P5850" s="1"/>
      <c r="Q5850" s="1"/>
      <c r="R5850" s="1"/>
      <c r="S5850" s="1"/>
      <c r="T5850" s="1"/>
      <c r="U5850" s="1"/>
      <c r="V5850" s="1"/>
      <c r="W5850" s="1"/>
      <c r="X5850" s="1"/>
    </row>
    <row x14ac:dyDescent="0.25" r="5851" customHeight="1" ht="18.75">
      <c r="A5851" s="1"/>
      <c r="B5851" s="1"/>
      <c r="C5851" s="1"/>
      <c r="D5851" s="1"/>
      <c r="E5851" s="1"/>
      <c r="F5851" s="1"/>
      <c r="G5851" s="1"/>
      <c r="H5851" s="1"/>
      <c r="I5851" s="2"/>
      <c r="J5851" s="1"/>
      <c r="K5851" s="1"/>
      <c r="L5851" s="1"/>
      <c r="M5851" s="1"/>
      <c r="N5851" s="1"/>
      <c r="O5851" s="1"/>
      <c r="P5851" s="1"/>
      <c r="Q5851" s="1"/>
      <c r="R5851" s="1"/>
      <c r="S5851" s="1"/>
      <c r="T5851" s="1"/>
      <c r="U5851" s="1"/>
      <c r="V5851" s="1"/>
      <c r="W5851" s="1"/>
      <c r="X5851" s="1"/>
    </row>
    <row x14ac:dyDescent="0.25" r="5852" customHeight="1" ht="18.75">
      <c r="A5852" s="1"/>
      <c r="B5852" s="1"/>
      <c r="C5852" s="1"/>
      <c r="D5852" s="1"/>
      <c r="E5852" s="1"/>
      <c r="F5852" s="1"/>
      <c r="G5852" s="1"/>
      <c r="H5852" s="1"/>
      <c r="I5852" s="2"/>
      <c r="J5852" s="1"/>
      <c r="K5852" s="1"/>
      <c r="L5852" s="1"/>
      <c r="M5852" s="1"/>
      <c r="N5852" s="1"/>
      <c r="O5852" s="1"/>
      <c r="P5852" s="1"/>
      <c r="Q5852" s="1"/>
      <c r="R5852" s="1"/>
      <c r="S5852" s="1"/>
      <c r="T5852" s="1"/>
      <c r="U5852" s="1"/>
      <c r="V5852" s="1"/>
      <c r="W5852" s="1"/>
      <c r="X5852" s="1"/>
    </row>
    <row x14ac:dyDescent="0.25" r="5853" customHeight="1" ht="18.75">
      <c r="A5853" s="1"/>
      <c r="B5853" s="1"/>
      <c r="C5853" s="1"/>
      <c r="D5853" s="1"/>
      <c r="E5853" s="1"/>
      <c r="F5853" s="1"/>
      <c r="G5853" s="1"/>
      <c r="H5853" s="1"/>
      <c r="I5853" s="2"/>
      <c r="J5853" s="1"/>
      <c r="K5853" s="1"/>
      <c r="L5853" s="1"/>
      <c r="M5853" s="1"/>
      <c r="N5853" s="1"/>
      <c r="O5853" s="1"/>
      <c r="P5853" s="1"/>
      <c r="Q5853" s="1"/>
      <c r="R5853" s="1"/>
      <c r="S5853" s="1"/>
      <c r="T5853" s="1"/>
      <c r="U5853" s="1"/>
      <c r="V5853" s="1"/>
      <c r="W5853" s="1"/>
      <c r="X5853" s="1"/>
    </row>
    <row x14ac:dyDescent="0.25" r="5854" customHeight="1" ht="18.75">
      <c r="A5854" s="1"/>
      <c r="B5854" s="1"/>
      <c r="C5854" s="1"/>
      <c r="D5854" s="1"/>
      <c r="E5854" s="1"/>
      <c r="F5854" s="1"/>
      <c r="G5854" s="1"/>
      <c r="H5854" s="1"/>
      <c r="I5854" s="2"/>
      <c r="J5854" s="1"/>
      <c r="K5854" s="1"/>
      <c r="L5854" s="1"/>
      <c r="M5854" s="1"/>
      <c r="N5854" s="1"/>
      <c r="O5854" s="1"/>
      <c r="P5854" s="1"/>
      <c r="Q5854" s="1"/>
      <c r="R5854" s="1"/>
      <c r="S5854" s="1"/>
      <c r="T5854" s="1"/>
      <c r="U5854" s="1"/>
      <c r="V5854" s="1"/>
      <c r="W5854" s="1"/>
      <c r="X5854" s="1"/>
    </row>
    <row x14ac:dyDescent="0.25" r="5855" customHeight="1" ht="18.75">
      <c r="A5855" s="1"/>
      <c r="B5855" s="1"/>
      <c r="C5855" s="1"/>
      <c r="D5855" s="1"/>
      <c r="E5855" s="1"/>
      <c r="F5855" s="1"/>
      <c r="G5855" s="1"/>
      <c r="H5855" s="1"/>
      <c r="I5855" s="2"/>
      <c r="J5855" s="1"/>
      <c r="K5855" s="1"/>
      <c r="L5855" s="1"/>
      <c r="M5855" s="1"/>
      <c r="N5855" s="1"/>
      <c r="O5855" s="1"/>
      <c r="P5855" s="1"/>
      <c r="Q5855" s="1"/>
      <c r="R5855" s="1"/>
      <c r="S5855" s="1"/>
      <c r="T5855" s="1"/>
      <c r="U5855" s="1"/>
      <c r="V5855" s="1"/>
      <c r="W5855" s="1"/>
      <c r="X5855" s="1"/>
    </row>
    <row x14ac:dyDescent="0.25" r="5856" customHeight="1" ht="18.75">
      <c r="A5856" s="1"/>
      <c r="B5856" s="1"/>
      <c r="C5856" s="1"/>
      <c r="D5856" s="1"/>
      <c r="E5856" s="1"/>
      <c r="F5856" s="1"/>
      <c r="G5856" s="1"/>
      <c r="H5856" s="1"/>
      <c r="I5856" s="2"/>
      <c r="J5856" s="1"/>
      <c r="K5856" s="1"/>
      <c r="L5856" s="1"/>
      <c r="M5856" s="1"/>
      <c r="N5856" s="1"/>
      <c r="O5856" s="1"/>
      <c r="P5856" s="1"/>
      <c r="Q5856" s="1"/>
      <c r="R5856" s="1"/>
      <c r="S5856" s="1"/>
      <c r="T5856" s="1"/>
      <c r="U5856" s="1"/>
      <c r="V5856" s="1"/>
      <c r="W5856" s="1"/>
      <c r="X5856" s="1"/>
    </row>
    <row x14ac:dyDescent="0.25" r="5857" customHeight="1" ht="18.75">
      <c r="A5857" s="1"/>
      <c r="B5857" s="1"/>
      <c r="C5857" s="1"/>
      <c r="D5857" s="1"/>
      <c r="E5857" s="1"/>
      <c r="F5857" s="1"/>
      <c r="G5857" s="1"/>
      <c r="H5857" s="1"/>
      <c r="I5857" s="2"/>
      <c r="J5857" s="1"/>
      <c r="K5857" s="1"/>
      <c r="L5857" s="1"/>
      <c r="M5857" s="1"/>
      <c r="N5857" s="1"/>
      <c r="O5857" s="1"/>
      <c r="P5857" s="1"/>
      <c r="Q5857" s="1"/>
      <c r="R5857" s="1"/>
      <c r="S5857" s="1"/>
      <c r="T5857" s="1"/>
      <c r="U5857" s="1"/>
      <c r="V5857" s="1"/>
      <c r="W5857" s="1"/>
      <c r="X5857" s="1"/>
    </row>
    <row x14ac:dyDescent="0.25" r="5858" customHeight="1" ht="18.75">
      <c r="A5858" s="1"/>
      <c r="B5858" s="1"/>
      <c r="C5858" s="1"/>
      <c r="D5858" s="1"/>
      <c r="E5858" s="1"/>
      <c r="F5858" s="1"/>
      <c r="G5858" s="1"/>
      <c r="H5858" s="1"/>
      <c r="I5858" s="2"/>
      <c r="J5858" s="1"/>
      <c r="K5858" s="1"/>
      <c r="L5858" s="1"/>
      <c r="M5858" s="1"/>
      <c r="N5858" s="1"/>
      <c r="O5858" s="1"/>
      <c r="P5858" s="1"/>
      <c r="Q5858" s="1"/>
      <c r="R5858" s="1"/>
      <c r="S5858" s="1"/>
      <c r="T5858" s="1"/>
      <c r="U5858" s="1"/>
      <c r="V5858" s="1"/>
      <c r="W5858" s="1"/>
      <c r="X5858" s="1"/>
    </row>
    <row x14ac:dyDescent="0.25" r="5859" customHeight="1" ht="18.75">
      <c r="A5859" s="1"/>
      <c r="B5859" s="1"/>
      <c r="C5859" s="1"/>
      <c r="D5859" s="1"/>
      <c r="E5859" s="1"/>
      <c r="F5859" s="1"/>
      <c r="G5859" s="1"/>
      <c r="H5859" s="1"/>
      <c r="I5859" s="2"/>
      <c r="J5859" s="1"/>
      <c r="K5859" s="1"/>
      <c r="L5859" s="1"/>
      <c r="M5859" s="1"/>
      <c r="N5859" s="1"/>
      <c r="O5859" s="1"/>
      <c r="P5859" s="1"/>
      <c r="Q5859" s="1"/>
      <c r="R5859" s="1"/>
      <c r="S5859" s="1"/>
      <c r="T5859" s="1"/>
      <c r="U5859" s="1"/>
      <c r="V5859" s="1"/>
      <c r="W5859" s="1"/>
      <c r="X5859" s="1"/>
    </row>
    <row x14ac:dyDescent="0.25" r="5860" customHeight="1" ht="18.75">
      <c r="A5860" s="1"/>
      <c r="B5860" s="1"/>
      <c r="C5860" s="1"/>
      <c r="D5860" s="1"/>
      <c r="E5860" s="1"/>
      <c r="F5860" s="1"/>
      <c r="G5860" s="1"/>
      <c r="H5860" s="1"/>
      <c r="I5860" s="2"/>
      <c r="J5860" s="1"/>
      <c r="K5860" s="1"/>
      <c r="L5860" s="1"/>
      <c r="M5860" s="1"/>
      <c r="N5860" s="1"/>
      <c r="O5860" s="1"/>
      <c r="P5860" s="1"/>
      <c r="Q5860" s="1"/>
      <c r="R5860" s="1"/>
      <c r="S5860" s="1"/>
      <c r="T5860" s="1"/>
      <c r="U5860" s="1"/>
      <c r="V5860" s="1"/>
      <c r="W5860" s="1"/>
      <c r="X5860" s="1"/>
    </row>
    <row x14ac:dyDescent="0.25" r="5861" customHeight="1" ht="18.75">
      <c r="A5861" s="1"/>
      <c r="B5861" s="1"/>
      <c r="C5861" s="1"/>
      <c r="D5861" s="1"/>
      <c r="E5861" s="1"/>
      <c r="F5861" s="1"/>
      <c r="G5861" s="1"/>
      <c r="H5861" s="1"/>
      <c r="I5861" s="2"/>
      <c r="J5861" s="1"/>
      <c r="K5861" s="1"/>
      <c r="L5861" s="1"/>
      <c r="M5861" s="1"/>
      <c r="N5861" s="1"/>
      <c r="O5861" s="1"/>
      <c r="P5861" s="1"/>
      <c r="Q5861" s="1"/>
      <c r="R5861" s="1"/>
      <c r="S5861" s="1"/>
      <c r="T5861" s="1"/>
      <c r="U5861" s="1"/>
      <c r="V5861" s="1"/>
      <c r="W5861" s="1"/>
      <c r="X5861" s="1"/>
    </row>
    <row x14ac:dyDescent="0.25" r="5862" customHeight="1" ht="18.75">
      <c r="A5862" s="1"/>
      <c r="B5862" s="1"/>
      <c r="C5862" s="1"/>
      <c r="D5862" s="1"/>
      <c r="E5862" s="1"/>
      <c r="F5862" s="1"/>
      <c r="G5862" s="1"/>
      <c r="H5862" s="1"/>
      <c r="I5862" s="2"/>
      <c r="J5862" s="1"/>
      <c r="K5862" s="1"/>
      <c r="L5862" s="1"/>
      <c r="M5862" s="1"/>
      <c r="N5862" s="1"/>
      <c r="O5862" s="1"/>
      <c r="P5862" s="1"/>
      <c r="Q5862" s="1"/>
      <c r="R5862" s="1"/>
      <c r="S5862" s="1"/>
      <c r="T5862" s="1"/>
      <c r="U5862" s="1"/>
      <c r="V5862" s="1"/>
      <c r="W5862" s="1"/>
      <c r="X5862" s="1"/>
    </row>
    <row x14ac:dyDescent="0.25" r="5863" customHeight="1" ht="18.75">
      <c r="A5863" s="1"/>
      <c r="B5863" s="1"/>
      <c r="C5863" s="1"/>
      <c r="D5863" s="1"/>
      <c r="E5863" s="1"/>
      <c r="F5863" s="1"/>
      <c r="G5863" s="1"/>
      <c r="H5863" s="1"/>
      <c r="I5863" s="2"/>
      <c r="J5863" s="1"/>
      <c r="K5863" s="1"/>
      <c r="L5863" s="1"/>
      <c r="M5863" s="1"/>
      <c r="N5863" s="1"/>
      <c r="O5863" s="1"/>
      <c r="P5863" s="1"/>
      <c r="Q5863" s="1"/>
      <c r="R5863" s="1"/>
      <c r="S5863" s="1"/>
      <c r="T5863" s="1"/>
      <c r="U5863" s="1"/>
      <c r="V5863" s="1"/>
      <c r="W5863" s="1"/>
      <c r="X5863" s="1"/>
    </row>
    <row x14ac:dyDescent="0.25" r="5864" customHeight="1" ht="18.75">
      <c r="A5864" s="1"/>
      <c r="B5864" s="1"/>
      <c r="C5864" s="1"/>
      <c r="D5864" s="1"/>
      <c r="E5864" s="1"/>
      <c r="F5864" s="1"/>
      <c r="G5864" s="1"/>
      <c r="H5864" s="1"/>
      <c r="I5864" s="2"/>
      <c r="J5864" s="1"/>
      <c r="K5864" s="1"/>
      <c r="L5864" s="1"/>
      <c r="M5864" s="1"/>
      <c r="N5864" s="1"/>
      <c r="O5864" s="1"/>
      <c r="P5864" s="1"/>
      <c r="Q5864" s="1"/>
      <c r="R5864" s="1"/>
      <c r="S5864" s="1"/>
      <c r="T5864" s="1"/>
      <c r="U5864" s="1"/>
      <c r="V5864" s="1"/>
      <c r="W5864" s="1"/>
      <c r="X5864" s="1"/>
    </row>
    <row x14ac:dyDescent="0.25" r="5865" customHeight="1" ht="18.75">
      <c r="A5865" s="1"/>
      <c r="B5865" s="1"/>
      <c r="C5865" s="1"/>
      <c r="D5865" s="1"/>
      <c r="E5865" s="1"/>
      <c r="F5865" s="1"/>
      <c r="G5865" s="1"/>
      <c r="H5865" s="1"/>
      <c r="I5865" s="2"/>
      <c r="J5865" s="1"/>
      <c r="K5865" s="1"/>
      <c r="L5865" s="1"/>
      <c r="M5865" s="1"/>
      <c r="N5865" s="1"/>
      <c r="O5865" s="1"/>
      <c r="P5865" s="1"/>
      <c r="Q5865" s="1"/>
      <c r="R5865" s="1"/>
      <c r="S5865" s="1"/>
      <c r="T5865" s="1"/>
      <c r="U5865" s="1"/>
      <c r="V5865" s="1"/>
      <c r="W5865" s="1"/>
      <c r="X5865" s="1"/>
    </row>
    <row x14ac:dyDescent="0.25" r="5866" customHeight="1" ht="18.75">
      <c r="A5866" s="1"/>
      <c r="B5866" s="1"/>
      <c r="C5866" s="1"/>
      <c r="D5866" s="1"/>
      <c r="E5866" s="1"/>
      <c r="F5866" s="1"/>
      <c r="G5866" s="1"/>
      <c r="H5866" s="1"/>
      <c r="I5866" s="2"/>
      <c r="J5866" s="1"/>
      <c r="K5866" s="1"/>
      <c r="L5866" s="1"/>
      <c r="M5866" s="1"/>
      <c r="N5866" s="1"/>
      <c r="O5866" s="1"/>
      <c r="P5866" s="1"/>
      <c r="Q5866" s="1"/>
      <c r="R5866" s="1"/>
      <c r="S5866" s="1"/>
      <c r="T5866" s="1"/>
      <c r="U5866" s="1"/>
      <c r="V5866" s="1"/>
      <c r="W5866" s="1"/>
      <c r="X5866" s="1"/>
    </row>
    <row x14ac:dyDescent="0.25" r="5867" customHeight="1" ht="18.75">
      <c r="A5867" s="1"/>
      <c r="B5867" s="1"/>
      <c r="C5867" s="1"/>
      <c r="D5867" s="1"/>
      <c r="E5867" s="1"/>
      <c r="F5867" s="1"/>
      <c r="G5867" s="1"/>
      <c r="H5867" s="1"/>
      <c r="I5867" s="2"/>
      <c r="J5867" s="1"/>
      <c r="K5867" s="1"/>
      <c r="L5867" s="1"/>
      <c r="M5867" s="1"/>
      <c r="N5867" s="1"/>
      <c r="O5867" s="1"/>
      <c r="P5867" s="1"/>
      <c r="Q5867" s="1"/>
      <c r="R5867" s="1"/>
      <c r="S5867" s="1"/>
      <c r="T5867" s="1"/>
      <c r="U5867" s="1"/>
      <c r="V5867" s="1"/>
      <c r="W5867" s="1"/>
      <c r="X5867" s="1"/>
    </row>
    <row x14ac:dyDescent="0.25" r="5868" customHeight="1" ht="18.75">
      <c r="A5868" s="1"/>
      <c r="B5868" s="1"/>
      <c r="C5868" s="1"/>
      <c r="D5868" s="1"/>
      <c r="E5868" s="1"/>
      <c r="F5868" s="1"/>
      <c r="G5868" s="1"/>
      <c r="H5868" s="1"/>
      <c r="I5868" s="2"/>
      <c r="J5868" s="1"/>
      <c r="K5868" s="1"/>
      <c r="L5868" s="1"/>
      <c r="M5868" s="1"/>
      <c r="N5868" s="1"/>
      <c r="O5868" s="1"/>
      <c r="P5868" s="1"/>
      <c r="Q5868" s="1"/>
      <c r="R5868" s="1"/>
      <c r="S5868" s="1"/>
      <c r="T5868" s="1"/>
      <c r="U5868" s="1"/>
      <c r="V5868" s="1"/>
      <c r="W5868" s="1"/>
      <c r="X5868" s="1"/>
    </row>
    <row x14ac:dyDescent="0.25" r="5869" customHeight="1" ht="18.75">
      <c r="A5869" s="1"/>
      <c r="B5869" s="1"/>
      <c r="C5869" s="1"/>
      <c r="D5869" s="1"/>
      <c r="E5869" s="1"/>
      <c r="F5869" s="1"/>
      <c r="G5869" s="1"/>
      <c r="H5869" s="1"/>
      <c r="I5869" s="2"/>
      <c r="J5869" s="1"/>
      <c r="K5869" s="1"/>
      <c r="L5869" s="1"/>
      <c r="M5869" s="1"/>
      <c r="N5869" s="1"/>
      <c r="O5869" s="1"/>
      <c r="P5869" s="1"/>
      <c r="Q5869" s="1"/>
      <c r="R5869" s="1"/>
      <c r="S5869" s="1"/>
      <c r="T5869" s="1"/>
      <c r="U5869" s="1"/>
      <c r="V5869" s="1"/>
      <c r="W5869" s="1"/>
      <c r="X5869" s="1"/>
    </row>
    <row x14ac:dyDescent="0.25" r="5870" customHeight="1" ht="18.75">
      <c r="A5870" s="1"/>
      <c r="B5870" s="1"/>
      <c r="C5870" s="1"/>
      <c r="D5870" s="1"/>
      <c r="E5870" s="1"/>
      <c r="F5870" s="1"/>
      <c r="G5870" s="1"/>
      <c r="H5870" s="1"/>
      <c r="I5870" s="2"/>
      <c r="J5870" s="1"/>
      <c r="K5870" s="1"/>
      <c r="L5870" s="1"/>
      <c r="M5870" s="1"/>
      <c r="N5870" s="1"/>
      <c r="O5870" s="1"/>
      <c r="P5870" s="1"/>
      <c r="Q5870" s="1"/>
      <c r="R5870" s="1"/>
      <c r="S5870" s="1"/>
      <c r="T5870" s="1"/>
      <c r="U5870" s="1"/>
      <c r="V5870" s="1"/>
      <c r="W5870" s="1"/>
      <c r="X5870" s="1"/>
    </row>
    <row x14ac:dyDescent="0.25" r="5871" customHeight="1" ht="18.75">
      <c r="A5871" s="1"/>
      <c r="B5871" s="1"/>
      <c r="C5871" s="1"/>
      <c r="D5871" s="1"/>
      <c r="E5871" s="1"/>
      <c r="F5871" s="1"/>
      <c r="G5871" s="1"/>
      <c r="H5871" s="1"/>
      <c r="I5871" s="2"/>
      <c r="J5871" s="1"/>
      <c r="K5871" s="1"/>
      <c r="L5871" s="1"/>
      <c r="M5871" s="1"/>
      <c r="N5871" s="1"/>
      <c r="O5871" s="1"/>
      <c r="P5871" s="1"/>
      <c r="Q5871" s="1"/>
      <c r="R5871" s="1"/>
      <c r="S5871" s="1"/>
      <c r="T5871" s="1"/>
      <c r="U5871" s="1"/>
      <c r="V5871" s="1"/>
      <c r="W5871" s="1"/>
      <c r="X5871" s="1"/>
    </row>
    <row x14ac:dyDescent="0.25" r="5872" customHeight="1" ht="18.75">
      <c r="A5872" s="1"/>
      <c r="B5872" s="1"/>
      <c r="C5872" s="1"/>
      <c r="D5872" s="1"/>
      <c r="E5872" s="1"/>
      <c r="F5872" s="1"/>
      <c r="G5872" s="1"/>
      <c r="H5872" s="1"/>
      <c r="I5872" s="2"/>
      <c r="J5872" s="1"/>
      <c r="K5872" s="1"/>
      <c r="L5872" s="1"/>
      <c r="M5872" s="1"/>
      <c r="N5872" s="1"/>
      <c r="O5872" s="1"/>
      <c r="P5872" s="1"/>
      <c r="Q5872" s="1"/>
      <c r="R5872" s="1"/>
      <c r="S5872" s="1"/>
      <c r="T5872" s="1"/>
      <c r="U5872" s="1"/>
      <c r="V5872" s="1"/>
      <c r="W5872" s="1"/>
      <c r="X5872" s="1"/>
    </row>
    <row x14ac:dyDescent="0.25" r="5873" customHeight="1" ht="18.75">
      <c r="A5873" s="1"/>
      <c r="B5873" s="1"/>
      <c r="C5873" s="1"/>
      <c r="D5873" s="1"/>
      <c r="E5873" s="1"/>
      <c r="F5873" s="1"/>
      <c r="G5873" s="1"/>
      <c r="H5873" s="1"/>
      <c r="I5873" s="2"/>
      <c r="J5873" s="1"/>
      <c r="K5873" s="1"/>
      <c r="L5873" s="1"/>
      <c r="M5873" s="1"/>
      <c r="N5873" s="1"/>
      <c r="O5873" s="1"/>
      <c r="P5873" s="1"/>
      <c r="Q5873" s="1"/>
      <c r="R5873" s="1"/>
      <c r="S5873" s="1"/>
      <c r="T5873" s="1"/>
      <c r="U5873" s="1"/>
      <c r="V5873" s="1"/>
      <c r="W5873" s="1"/>
      <c r="X5873" s="1"/>
    </row>
    <row x14ac:dyDescent="0.25" r="5874" customHeight="1" ht="18.75">
      <c r="A5874" s="1"/>
      <c r="B5874" s="1"/>
      <c r="C5874" s="1"/>
      <c r="D5874" s="1"/>
      <c r="E5874" s="1"/>
      <c r="F5874" s="1"/>
      <c r="G5874" s="1"/>
      <c r="H5874" s="1"/>
      <c r="I5874" s="2"/>
      <c r="J5874" s="1"/>
      <c r="K5874" s="1"/>
      <c r="L5874" s="1"/>
      <c r="M5874" s="1"/>
      <c r="N5874" s="1"/>
      <c r="O5874" s="1"/>
      <c r="P5874" s="1"/>
      <c r="Q5874" s="1"/>
      <c r="R5874" s="1"/>
      <c r="S5874" s="1"/>
      <c r="T5874" s="1"/>
      <c r="U5874" s="1"/>
      <c r="V5874" s="1"/>
      <c r="W5874" s="1"/>
      <c r="X5874" s="1"/>
    </row>
    <row x14ac:dyDescent="0.25" r="5875" customHeight="1" ht="18.75">
      <c r="A5875" s="1"/>
      <c r="B5875" s="1"/>
      <c r="C5875" s="1"/>
      <c r="D5875" s="1"/>
      <c r="E5875" s="1"/>
      <c r="F5875" s="1"/>
      <c r="G5875" s="1"/>
      <c r="H5875" s="1"/>
      <c r="I5875" s="2"/>
      <c r="J5875" s="1"/>
      <c r="K5875" s="1"/>
      <c r="L5875" s="1"/>
      <c r="M5875" s="1"/>
      <c r="N5875" s="1"/>
      <c r="O5875" s="1"/>
      <c r="P5875" s="1"/>
      <c r="Q5875" s="1"/>
      <c r="R5875" s="1"/>
      <c r="S5875" s="1"/>
      <c r="T5875" s="1"/>
      <c r="U5875" s="1"/>
      <c r="V5875" s="1"/>
      <c r="W5875" s="1"/>
      <c r="X5875" s="1"/>
    </row>
    <row x14ac:dyDescent="0.25" r="5876" customHeight="1" ht="18.75">
      <c r="A5876" s="1"/>
      <c r="B5876" s="1"/>
      <c r="C5876" s="1"/>
      <c r="D5876" s="1"/>
      <c r="E5876" s="1"/>
      <c r="F5876" s="1"/>
      <c r="G5876" s="1"/>
      <c r="H5876" s="1"/>
      <c r="I5876" s="2"/>
      <c r="J5876" s="1"/>
      <c r="K5876" s="1"/>
      <c r="L5876" s="1"/>
      <c r="M5876" s="1"/>
      <c r="N5876" s="1"/>
      <c r="O5876" s="1"/>
      <c r="P5876" s="1"/>
      <c r="Q5876" s="1"/>
      <c r="R5876" s="1"/>
      <c r="S5876" s="1"/>
      <c r="T5876" s="1"/>
      <c r="U5876" s="1"/>
      <c r="V5876" s="1"/>
      <c r="W5876" s="1"/>
      <c r="X5876" s="1"/>
    </row>
    <row x14ac:dyDescent="0.25" r="5877" customHeight="1" ht="18.75">
      <c r="A5877" s="1"/>
      <c r="B5877" s="1"/>
      <c r="C5877" s="1"/>
      <c r="D5877" s="1"/>
      <c r="E5877" s="1"/>
      <c r="F5877" s="1"/>
      <c r="G5877" s="1"/>
      <c r="H5877" s="1"/>
      <c r="I5877" s="2"/>
      <c r="J5877" s="1"/>
      <c r="K5877" s="1"/>
      <c r="L5877" s="1"/>
      <c r="M5877" s="1"/>
      <c r="N5877" s="1"/>
      <c r="O5877" s="1"/>
      <c r="P5877" s="1"/>
      <c r="Q5877" s="1"/>
      <c r="R5877" s="1"/>
      <c r="S5877" s="1"/>
      <c r="T5877" s="1"/>
      <c r="U5877" s="1"/>
      <c r="V5877" s="1"/>
      <c r="W5877" s="1"/>
      <c r="X5877" s="1"/>
    </row>
    <row x14ac:dyDescent="0.25" r="5878" customHeight="1" ht="18.75">
      <c r="A5878" s="1"/>
      <c r="B5878" s="1"/>
      <c r="C5878" s="1"/>
      <c r="D5878" s="1"/>
      <c r="E5878" s="1"/>
      <c r="F5878" s="1"/>
      <c r="G5878" s="1"/>
      <c r="H5878" s="1"/>
      <c r="I5878" s="2"/>
      <c r="J5878" s="1"/>
      <c r="K5878" s="1"/>
      <c r="L5878" s="1"/>
      <c r="M5878" s="1"/>
      <c r="N5878" s="1"/>
      <c r="O5878" s="1"/>
      <c r="P5878" s="1"/>
      <c r="Q5878" s="1"/>
      <c r="R5878" s="1"/>
      <c r="S5878" s="1"/>
      <c r="T5878" s="1"/>
      <c r="U5878" s="1"/>
      <c r="V5878" s="1"/>
      <c r="W5878" s="1"/>
      <c r="X5878" s="1"/>
    </row>
    <row x14ac:dyDescent="0.25" r="5879" customHeight="1" ht="18.75">
      <c r="A5879" s="1"/>
      <c r="B5879" s="1"/>
      <c r="C5879" s="1"/>
      <c r="D5879" s="1"/>
      <c r="E5879" s="1"/>
      <c r="F5879" s="1"/>
      <c r="G5879" s="1"/>
      <c r="H5879" s="1"/>
      <c r="I5879" s="2"/>
      <c r="J5879" s="1"/>
      <c r="K5879" s="1"/>
      <c r="L5879" s="1"/>
      <c r="M5879" s="1"/>
      <c r="N5879" s="1"/>
      <c r="O5879" s="1"/>
      <c r="P5879" s="1"/>
      <c r="Q5879" s="1"/>
      <c r="R5879" s="1"/>
      <c r="S5879" s="1"/>
      <c r="T5879" s="1"/>
      <c r="U5879" s="1"/>
      <c r="V5879" s="1"/>
      <c r="W5879" s="1"/>
      <c r="X5879" s="1"/>
    </row>
    <row x14ac:dyDescent="0.25" r="5880" customHeight="1" ht="18.75">
      <c r="A5880" s="1"/>
      <c r="B5880" s="1"/>
      <c r="C5880" s="1"/>
      <c r="D5880" s="1"/>
      <c r="E5880" s="1"/>
      <c r="F5880" s="1"/>
      <c r="G5880" s="1"/>
      <c r="H5880" s="1"/>
      <c r="I5880" s="2"/>
      <c r="J5880" s="1"/>
      <c r="K5880" s="1"/>
      <c r="L5880" s="1"/>
      <c r="M5880" s="1"/>
      <c r="N5880" s="1"/>
      <c r="O5880" s="1"/>
      <c r="P5880" s="1"/>
      <c r="Q5880" s="1"/>
      <c r="R5880" s="1"/>
      <c r="S5880" s="1"/>
      <c r="T5880" s="1"/>
      <c r="U5880" s="1"/>
      <c r="V5880" s="1"/>
      <c r="W5880" s="1"/>
      <c r="X5880" s="1"/>
    </row>
    <row x14ac:dyDescent="0.25" r="5881" customHeight="1" ht="18.75">
      <c r="A5881" s="1"/>
      <c r="B5881" s="1"/>
      <c r="C5881" s="1"/>
      <c r="D5881" s="1"/>
      <c r="E5881" s="1"/>
      <c r="F5881" s="1"/>
      <c r="G5881" s="1"/>
      <c r="H5881" s="1"/>
      <c r="I5881" s="2"/>
      <c r="J5881" s="1"/>
      <c r="K5881" s="1"/>
      <c r="L5881" s="1"/>
      <c r="M5881" s="1"/>
      <c r="N5881" s="1"/>
      <c r="O5881" s="1"/>
      <c r="P5881" s="1"/>
      <c r="Q5881" s="1"/>
      <c r="R5881" s="1"/>
      <c r="S5881" s="1"/>
      <c r="T5881" s="1"/>
      <c r="U5881" s="1"/>
      <c r="V5881" s="1"/>
      <c r="W5881" s="1"/>
      <c r="X5881" s="1"/>
    </row>
    <row x14ac:dyDescent="0.25" r="5882" customHeight="1" ht="18.75">
      <c r="A5882" s="1"/>
      <c r="B5882" s="1"/>
      <c r="C5882" s="1"/>
      <c r="D5882" s="1"/>
      <c r="E5882" s="1"/>
      <c r="F5882" s="1"/>
      <c r="G5882" s="1"/>
      <c r="H5882" s="1"/>
      <c r="I5882" s="2"/>
      <c r="J5882" s="1"/>
      <c r="K5882" s="1"/>
      <c r="L5882" s="1"/>
      <c r="M5882" s="1"/>
      <c r="N5882" s="1"/>
      <c r="O5882" s="1"/>
      <c r="P5882" s="1"/>
      <c r="Q5882" s="1"/>
      <c r="R5882" s="1"/>
      <c r="S5882" s="1"/>
      <c r="T5882" s="1"/>
      <c r="U5882" s="1"/>
      <c r="V5882" s="1"/>
      <c r="W5882" s="1"/>
      <c r="X5882" s="1"/>
    </row>
    <row x14ac:dyDescent="0.25" r="5883" customHeight="1" ht="18.75">
      <c r="A5883" s="1"/>
      <c r="B5883" s="1"/>
      <c r="C5883" s="1"/>
      <c r="D5883" s="1"/>
      <c r="E5883" s="1"/>
      <c r="F5883" s="1"/>
      <c r="G5883" s="1"/>
      <c r="H5883" s="1"/>
      <c r="I5883" s="2"/>
      <c r="J5883" s="1"/>
      <c r="K5883" s="1"/>
      <c r="L5883" s="1"/>
      <c r="M5883" s="1"/>
      <c r="N5883" s="1"/>
      <c r="O5883" s="1"/>
      <c r="P5883" s="1"/>
      <c r="Q5883" s="1"/>
      <c r="R5883" s="1"/>
      <c r="S5883" s="1"/>
      <c r="T5883" s="1"/>
      <c r="U5883" s="1"/>
      <c r="V5883" s="1"/>
      <c r="W5883" s="1"/>
      <c r="X5883" s="1"/>
    </row>
    <row x14ac:dyDescent="0.25" r="5884" customHeight="1" ht="18.75">
      <c r="A5884" s="1"/>
      <c r="B5884" s="1"/>
      <c r="C5884" s="1"/>
      <c r="D5884" s="1"/>
      <c r="E5884" s="1"/>
      <c r="F5884" s="1"/>
      <c r="G5884" s="1"/>
      <c r="H5884" s="1"/>
      <c r="I5884" s="2"/>
      <c r="J5884" s="1"/>
      <c r="K5884" s="1"/>
      <c r="L5884" s="1"/>
      <c r="M5884" s="1"/>
      <c r="N5884" s="1"/>
      <c r="O5884" s="1"/>
      <c r="P5884" s="1"/>
      <c r="Q5884" s="1"/>
      <c r="R5884" s="1"/>
      <c r="S5884" s="1"/>
      <c r="T5884" s="1"/>
      <c r="U5884" s="1"/>
      <c r="V5884" s="1"/>
      <c r="W5884" s="1"/>
      <c r="X5884" s="1"/>
    </row>
    <row x14ac:dyDescent="0.25" r="5885" customHeight="1" ht="18.75">
      <c r="A5885" s="1"/>
      <c r="B5885" s="1"/>
      <c r="C5885" s="1"/>
      <c r="D5885" s="1"/>
      <c r="E5885" s="1"/>
      <c r="F5885" s="1"/>
      <c r="G5885" s="1"/>
      <c r="H5885" s="1"/>
      <c r="I5885" s="2"/>
      <c r="J5885" s="1"/>
      <c r="K5885" s="1"/>
      <c r="L5885" s="1"/>
      <c r="M5885" s="1"/>
      <c r="N5885" s="1"/>
      <c r="O5885" s="1"/>
      <c r="P5885" s="1"/>
      <c r="Q5885" s="1"/>
      <c r="R5885" s="1"/>
      <c r="S5885" s="1"/>
      <c r="T5885" s="1"/>
      <c r="U5885" s="1"/>
      <c r="V5885" s="1"/>
      <c r="W5885" s="1"/>
      <c r="X5885" s="1"/>
    </row>
    <row x14ac:dyDescent="0.25" r="5886" customHeight="1" ht="18.75">
      <c r="A5886" s="1"/>
      <c r="B5886" s="1"/>
      <c r="C5886" s="1"/>
      <c r="D5886" s="1"/>
      <c r="E5886" s="1"/>
      <c r="F5886" s="1"/>
      <c r="G5886" s="1"/>
      <c r="H5886" s="1"/>
      <c r="I5886" s="2"/>
      <c r="J5886" s="1"/>
      <c r="K5886" s="1"/>
      <c r="L5886" s="1"/>
      <c r="M5886" s="1"/>
      <c r="N5886" s="1"/>
      <c r="O5886" s="1"/>
      <c r="P5886" s="1"/>
      <c r="Q5886" s="1"/>
      <c r="R5886" s="1"/>
      <c r="S5886" s="1"/>
      <c r="T5886" s="1"/>
      <c r="U5886" s="1"/>
      <c r="V5886" s="1"/>
      <c r="W5886" s="1"/>
      <c r="X5886" s="1"/>
    </row>
    <row x14ac:dyDescent="0.25" r="5887" customHeight="1" ht="18.75">
      <c r="A5887" s="1"/>
      <c r="B5887" s="1"/>
      <c r="C5887" s="1"/>
      <c r="D5887" s="1"/>
      <c r="E5887" s="1"/>
      <c r="F5887" s="1"/>
      <c r="G5887" s="1"/>
      <c r="H5887" s="1"/>
      <c r="I5887" s="2"/>
      <c r="J5887" s="1"/>
      <c r="K5887" s="1"/>
      <c r="L5887" s="1"/>
      <c r="M5887" s="1"/>
      <c r="N5887" s="1"/>
      <c r="O5887" s="1"/>
      <c r="P5887" s="1"/>
      <c r="Q5887" s="1"/>
      <c r="R5887" s="1"/>
      <c r="S5887" s="1"/>
      <c r="T5887" s="1"/>
      <c r="U5887" s="1"/>
      <c r="V5887" s="1"/>
      <c r="W5887" s="1"/>
      <c r="X5887" s="1"/>
    </row>
    <row x14ac:dyDescent="0.25" r="5888" customHeight="1" ht="18.75">
      <c r="A5888" s="1"/>
      <c r="B5888" s="1"/>
      <c r="C5888" s="1"/>
      <c r="D5888" s="1"/>
      <c r="E5888" s="1"/>
      <c r="F5888" s="1"/>
      <c r="G5888" s="1"/>
      <c r="H5888" s="1"/>
      <c r="I5888" s="2"/>
      <c r="J5888" s="1"/>
      <c r="K5888" s="1"/>
      <c r="L5888" s="1"/>
      <c r="M5888" s="1"/>
      <c r="N5888" s="1"/>
      <c r="O5888" s="1"/>
      <c r="P5888" s="1"/>
      <c r="Q5888" s="1"/>
      <c r="R5888" s="1"/>
      <c r="S5888" s="1"/>
      <c r="T5888" s="1"/>
      <c r="U5888" s="1"/>
      <c r="V5888" s="1"/>
      <c r="W5888" s="1"/>
      <c r="X5888" s="1"/>
    </row>
    <row x14ac:dyDescent="0.25" r="5889" customHeight="1" ht="18.75">
      <c r="A5889" s="1"/>
      <c r="B5889" s="1"/>
      <c r="C5889" s="1"/>
      <c r="D5889" s="1"/>
      <c r="E5889" s="1"/>
      <c r="F5889" s="1"/>
      <c r="G5889" s="1"/>
      <c r="H5889" s="1"/>
      <c r="I5889" s="2"/>
      <c r="J5889" s="1"/>
      <c r="K5889" s="1"/>
      <c r="L5889" s="1"/>
      <c r="M5889" s="1"/>
      <c r="N5889" s="1"/>
      <c r="O5889" s="1"/>
      <c r="P5889" s="1"/>
      <c r="Q5889" s="1"/>
      <c r="R5889" s="1"/>
      <c r="S5889" s="1"/>
      <c r="T5889" s="1"/>
      <c r="U5889" s="1"/>
      <c r="V5889" s="1"/>
      <c r="W5889" s="1"/>
      <c r="X5889" s="1"/>
    </row>
    <row x14ac:dyDescent="0.25" r="5890" customHeight="1" ht="18.75">
      <c r="A5890" s="1"/>
      <c r="B5890" s="1"/>
      <c r="C5890" s="1"/>
      <c r="D5890" s="1"/>
      <c r="E5890" s="1"/>
      <c r="F5890" s="1"/>
      <c r="G5890" s="1"/>
      <c r="H5890" s="1"/>
      <c r="I5890" s="2"/>
      <c r="J5890" s="1"/>
      <c r="K5890" s="1"/>
      <c r="L5890" s="1"/>
      <c r="M5890" s="1"/>
      <c r="N5890" s="1"/>
      <c r="O5890" s="1"/>
      <c r="P5890" s="1"/>
      <c r="Q5890" s="1"/>
      <c r="R5890" s="1"/>
      <c r="S5890" s="1"/>
      <c r="T5890" s="1"/>
      <c r="U5890" s="1"/>
      <c r="V5890" s="1"/>
      <c r="W5890" s="1"/>
      <c r="X5890" s="1"/>
    </row>
    <row x14ac:dyDescent="0.25" r="5891" customHeight="1" ht="18.75">
      <c r="A5891" s="1"/>
      <c r="B5891" s="1"/>
      <c r="C5891" s="1"/>
      <c r="D5891" s="1"/>
      <c r="E5891" s="1"/>
      <c r="F5891" s="1"/>
      <c r="G5891" s="1"/>
      <c r="H5891" s="1"/>
      <c r="I5891" s="2"/>
      <c r="J5891" s="1"/>
      <c r="K5891" s="1"/>
      <c r="L5891" s="1"/>
      <c r="M5891" s="1"/>
      <c r="N5891" s="1"/>
      <c r="O5891" s="1"/>
      <c r="P5891" s="1"/>
      <c r="Q5891" s="1"/>
      <c r="R5891" s="1"/>
      <c r="S5891" s="1"/>
      <c r="T5891" s="1"/>
      <c r="U5891" s="1"/>
      <c r="V5891" s="1"/>
      <c r="W5891" s="1"/>
      <c r="X5891" s="1"/>
    </row>
    <row x14ac:dyDescent="0.25" r="5892" customHeight="1" ht="18.75">
      <c r="A5892" s="1"/>
      <c r="B5892" s="1"/>
      <c r="C5892" s="1"/>
      <c r="D5892" s="1"/>
      <c r="E5892" s="1"/>
      <c r="F5892" s="1"/>
      <c r="G5892" s="1"/>
      <c r="H5892" s="1"/>
      <c r="I5892" s="2"/>
      <c r="J5892" s="1"/>
      <c r="K5892" s="1"/>
      <c r="L5892" s="1"/>
      <c r="M5892" s="1"/>
      <c r="N5892" s="1"/>
      <c r="O5892" s="1"/>
      <c r="P5892" s="1"/>
      <c r="Q5892" s="1"/>
      <c r="R5892" s="1"/>
      <c r="S5892" s="1"/>
      <c r="T5892" s="1"/>
      <c r="U5892" s="1"/>
      <c r="V5892" s="1"/>
      <c r="W5892" s="1"/>
      <c r="X5892" s="1"/>
    </row>
    <row x14ac:dyDescent="0.25" r="5893" customHeight="1" ht="18.75">
      <c r="A5893" s="1"/>
      <c r="B5893" s="1"/>
      <c r="C5893" s="1"/>
      <c r="D5893" s="1"/>
      <c r="E5893" s="1"/>
      <c r="F5893" s="1"/>
      <c r="G5893" s="1"/>
      <c r="H5893" s="1"/>
      <c r="I5893" s="2"/>
      <c r="J5893" s="1"/>
      <c r="K5893" s="1"/>
      <c r="L5893" s="1"/>
      <c r="M5893" s="1"/>
      <c r="N5893" s="1"/>
      <c r="O5893" s="1"/>
      <c r="P5893" s="1"/>
      <c r="Q5893" s="1"/>
      <c r="R5893" s="1"/>
      <c r="S5893" s="1"/>
      <c r="T5893" s="1"/>
      <c r="U5893" s="1"/>
      <c r="V5893" s="1"/>
      <c r="W5893" s="1"/>
      <c r="X5893" s="1"/>
    </row>
    <row x14ac:dyDescent="0.25" r="5894" customHeight="1" ht="18.75">
      <c r="A5894" s="1"/>
      <c r="B5894" s="1"/>
      <c r="C5894" s="1"/>
      <c r="D5894" s="1"/>
      <c r="E5894" s="1"/>
      <c r="F5894" s="1"/>
      <c r="G5894" s="1"/>
      <c r="H5894" s="1"/>
      <c r="I5894" s="2"/>
      <c r="J5894" s="1"/>
      <c r="K5894" s="1"/>
      <c r="L5894" s="1"/>
      <c r="M5894" s="1"/>
      <c r="N5894" s="1"/>
      <c r="O5894" s="1"/>
      <c r="P5894" s="1"/>
      <c r="Q5894" s="1"/>
      <c r="R5894" s="1"/>
      <c r="S5894" s="1"/>
      <c r="T5894" s="1"/>
      <c r="U5894" s="1"/>
      <c r="V5894" s="1"/>
      <c r="W5894" s="1"/>
      <c r="X5894" s="1"/>
    </row>
    <row x14ac:dyDescent="0.25" r="5895" customHeight="1" ht="18.75">
      <c r="A5895" s="1"/>
      <c r="B5895" s="1"/>
      <c r="C5895" s="1"/>
      <c r="D5895" s="1"/>
      <c r="E5895" s="1"/>
      <c r="F5895" s="1"/>
      <c r="G5895" s="1"/>
      <c r="H5895" s="1"/>
      <c r="I5895" s="2"/>
      <c r="J5895" s="1"/>
      <c r="K5895" s="1"/>
      <c r="L5895" s="1"/>
      <c r="M5895" s="1"/>
      <c r="N5895" s="1"/>
      <c r="O5895" s="1"/>
      <c r="P5895" s="1"/>
      <c r="Q5895" s="1"/>
      <c r="R5895" s="1"/>
      <c r="S5895" s="1"/>
      <c r="T5895" s="1"/>
      <c r="U5895" s="1"/>
      <c r="V5895" s="1"/>
      <c r="W5895" s="1"/>
      <c r="X5895" s="1"/>
    </row>
    <row x14ac:dyDescent="0.25" r="5896" customHeight="1" ht="18.75">
      <c r="A5896" s="1"/>
      <c r="B5896" s="1"/>
      <c r="C5896" s="1"/>
      <c r="D5896" s="1"/>
      <c r="E5896" s="1"/>
      <c r="F5896" s="1"/>
      <c r="G5896" s="1"/>
      <c r="H5896" s="1"/>
      <c r="I5896" s="2"/>
      <c r="J5896" s="1"/>
      <c r="K5896" s="1"/>
      <c r="L5896" s="1"/>
      <c r="M5896" s="1"/>
      <c r="N5896" s="1"/>
      <c r="O5896" s="1"/>
      <c r="P5896" s="1"/>
      <c r="Q5896" s="1"/>
      <c r="R5896" s="1"/>
      <c r="S5896" s="1"/>
      <c r="T5896" s="1"/>
      <c r="U5896" s="1"/>
      <c r="V5896" s="1"/>
      <c r="W5896" s="1"/>
      <c r="X5896" s="1"/>
    </row>
    <row x14ac:dyDescent="0.25" r="5897" customHeight="1" ht="18.75">
      <c r="A5897" s="1"/>
      <c r="B5897" s="1"/>
      <c r="C5897" s="1"/>
      <c r="D5897" s="1"/>
      <c r="E5897" s="1"/>
      <c r="F5897" s="1"/>
      <c r="G5897" s="1"/>
      <c r="H5897" s="1"/>
      <c r="I5897" s="2"/>
      <c r="J5897" s="1"/>
      <c r="K5897" s="1"/>
      <c r="L5897" s="1"/>
      <c r="M5897" s="1"/>
      <c r="N5897" s="1"/>
      <c r="O5897" s="1"/>
      <c r="P5897" s="1"/>
      <c r="Q5897" s="1"/>
      <c r="R5897" s="1"/>
      <c r="S5897" s="1"/>
      <c r="T5897" s="1"/>
      <c r="U5897" s="1"/>
      <c r="V5897" s="1"/>
      <c r="W5897" s="1"/>
      <c r="X5897" s="1"/>
    </row>
    <row x14ac:dyDescent="0.25" r="5898" customHeight="1" ht="18.75">
      <c r="A5898" s="1"/>
      <c r="B5898" s="1"/>
      <c r="C5898" s="1"/>
      <c r="D5898" s="1"/>
      <c r="E5898" s="1"/>
      <c r="F5898" s="1"/>
      <c r="G5898" s="1"/>
      <c r="H5898" s="1"/>
      <c r="I5898" s="2"/>
      <c r="J5898" s="1"/>
      <c r="K5898" s="1"/>
      <c r="L5898" s="1"/>
      <c r="M5898" s="1"/>
      <c r="N5898" s="1"/>
      <c r="O5898" s="1"/>
      <c r="P5898" s="1"/>
      <c r="Q5898" s="1"/>
      <c r="R5898" s="1"/>
      <c r="S5898" s="1"/>
      <c r="T5898" s="1"/>
      <c r="U5898" s="1"/>
      <c r="V5898" s="1"/>
      <c r="W5898" s="1"/>
      <c r="X5898" s="1"/>
    </row>
    <row x14ac:dyDescent="0.25" r="5899" customHeight="1" ht="18.75">
      <c r="A5899" s="1"/>
      <c r="B5899" s="1"/>
      <c r="C5899" s="1"/>
      <c r="D5899" s="1"/>
      <c r="E5899" s="1"/>
      <c r="F5899" s="1"/>
      <c r="G5899" s="1"/>
      <c r="H5899" s="1"/>
      <c r="I5899" s="2"/>
      <c r="J5899" s="1"/>
      <c r="K5899" s="1"/>
      <c r="L5899" s="1"/>
      <c r="M5899" s="1"/>
      <c r="N5899" s="1"/>
      <c r="O5899" s="1"/>
      <c r="P5899" s="1"/>
      <c r="Q5899" s="1"/>
      <c r="R5899" s="1"/>
      <c r="S5899" s="1"/>
      <c r="T5899" s="1"/>
      <c r="U5899" s="1"/>
      <c r="V5899" s="1"/>
      <c r="W5899" s="1"/>
      <c r="X5899" s="1"/>
    </row>
    <row x14ac:dyDescent="0.25" r="5900" customHeight="1" ht="18.75">
      <c r="A5900" s="1"/>
      <c r="B5900" s="1"/>
      <c r="C5900" s="1"/>
      <c r="D5900" s="1"/>
      <c r="E5900" s="1"/>
      <c r="F5900" s="1"/>
      <c r="G5900" s="1"/>
      <c r="H5900" s="1"/>
      <c r="I5900" s="2"/>
      <c r="J5900" s="1"/>
      <c r="K5900" s="1"/>
      <c r="L5900" s="1"/>
      <c r="M5900" s="1"/>
      <c r="N5900" s="1"/>
      <c r="O5900" s="1"/>
      <c r="P5900" s="1"/>
      <c r="Q5900" s="1"/>
      <c r="R5900" s="1"/>
      <c r="S5900" s="1"/>
      <c r="T5900" s="1"/>
      <c r="U5900" s="1"/>
      <c r="V5900" s="1"/>
      <c r="W5900" s="1"/>
      <c r="X5900" s="1"/>
    </row>
    <row x14ac:dyDescent="0.25" r="5901" customHeight="1" ht="18.75">
      <c r="A5901" s="1"/>
      <c r="B5901" s="1"/>
      <c r="C5901" s="1"/>
      <c r="D5901" s="1"/>
      <c r="E5901" s="1"/>
      <c r="F5901" s="1"/>
      <c r="G5901" s="1"/>
      <c r="H5901" s="1"/>
      <c r="I5901" s="2"/>
      <c r="J5901" s="1"/>
      <c r="K5901" s="1"/>
      <c r="L5901" s="1"/>
      <c r="M5901" s="1"/>
      <c r="N5901" s="1"/>
      <c r="O5901" s="1"/>
      <c r="P5901" s="1"/>
      <c r="Q5901" s="1"/>
      <c r="R5901" s="1"/>
      <c r="S5901" s="1"/>
      <c r="T5901" s="1"/>
      <c r="U5901" s="1"/>
      <c r="V5901" s="1"/>
      <c r="W5901" s="1"/>
      <c r="X5901" s="1"/>
    </row>
    <row x14ac:dyDescent="0.25" r="5902" customHeight="1" ht="18.75">
      <c r="A5902" s="1"/>
      <c r="B5902" s="1"/>
      <c r="C5902" s="1"/>
      <c r="D5902" s="1"/>
      <c r="E5902" s="1"/>
      <c r="F5902" s="1"/>
      <c r="G5902" s="1"/>
      <c r="H5902" s="1"/>
      <c r="I5902" s="2"/>
      <c r="J5902" s="1"/>
      <c r="K5902" s="1"/>
      <c r="L5902" s="1"/>
      <c r="M5902" s="1"/>
      <c r="N5902" s="1"/>
      <c r="O5902" s="1"/>
      <c r="P5902" s="1"/>
      <c r="Q5902" s="1"/>
      <c r="R5902" s="1"/>
      <c r="S5902" s="1"/>
      <c r="T5902" s="1"/>
      <c r="U5902" s="1"/>
      <c r="V5902" s="1"/>
      <c r="W5902" s="1"/>
      <c r="X5902" s="1"/>
    </row>
    <row x14ac:dyDescent="0.25" r="5903" customHeight="1" ht="18.75">
      <c r="A5903" s="1"/>
      <c r="B5903" s="1"/>
      <c r="C5903" s="1"/>
      <c r="D5903" s="1"/>
      <c r="E5903" s="1"/>
      <c r="F5903" s="1"/>
      <c r="G5903" s="1"/>
      <c r="H5903" s="1"/>
      <c r="I5903" s="2"/>
      <c r="J5903" s="1"/>
      <c r="K5903" s="1"/>
      <c r="L5903" s="1"/>
      <c r="M5903" s="1"/>
      <c r="N5903" s="1"/>
      <c r="O5903" s="1"/>
      <c r="P5903" s="1"/>
      <c r="Q5903" s="1"/>
      <c r="R5903" s="1"/>
      <c r="S5903" s="1"/>
      <c r="T5903" s="1"/>
      <c r="U5903" s="1"/>
      <c r="V5903" s="1"/>
      <c r="W5903" s="1"/>
      <c r="X5903" s="1"/>
    </row>
    <row x14ac:dyDescent="0.25" r="5904" customHeight="1" ht="18.75">
      <c r="A5904" s="1"/>
      <c r="B5904" s="1"/>
      <c r="C5904" s="1"/>
      <c r="D5904" s="1"/>
      <c r="E5904" s="1"/>
      <c r="F5904" s="1"/>
      <c r="G5904" s="1"/>
      <c r="H5904" s="1"/>
      <c r="I5904" s="2"/>
      <c r="J5904" s="1"/>
      <c r="K5904" s="1"/>
      <c r="L5904" s="1"/>
      <c r="M5904" s="1"/>
      <c r="N5904" s="1"/>
      <c r="O5904" s="1"/>
      <c r="P5904" s="1"/>
      <c r="Q5904" s="1"/>
      <c r="R5904" s="1"/>
      <c r="S5904" s="1"/>
      <c r="T5904" s="1"/>
      <c r="U5904" s="1"/>
      <c r="V5904" s="1"/>
      <c r="W5904" s="1"/>
      <c r="X5904" s="1"/>
    </row>
    <row x14ac:dyDescent="0.25" r="5905" customHeight="1" ht="18.75">
      <c r="A5905" s="1"/>
      <c r="B5905" s="1"/>
      <c r="C5905" s="1"/>
      <c r="D5905" s="1"/>
      <c r="E5905" s="1"/>
      <c r="F5905" s="1"/>
      <c r="G5905" s="1"/>
      <c r="H5905" s="1"/>
      <c r="I5905" s="2"/>
      <c r="J5905" s="1"/>
      <c r="K5905" s="1"/>
      <c r="L5905" s="1"/>
      <c r="M5905" s="1"/>
      <c r="N5905" s="1"/>
      <c r="O5905" s="1"/>
      <c r="P5905" s="1"/>
      <c r="Q5905" s="1"/>
      <c r="R5905" s="1"/>
      <c r="S5905" s="1"/>
      <c r="T5905" s="1"/>
      <c r="U5905" s="1"/>
      <c r="V5905" s="1"/>
      <c r="W5905" s="1"/>
      <c r="X5905" s="1"/>
    </row>
    <row x14ac:dyDescent="0.25" r="5906" customHeight="1" ht="18.75">
      <c r="A5906" s="1"/>
      <c r="B5906" s="1"/>
      <c r="C5906" s="1"/>
      <c r="D5906" s="1"/>
      <c r="E5906" s="1"/>
      <c r="F5906" s="1"/>
      <c r="G5906" s="1"/>
      <c r="H5906" s="1"/>
      <c r="I5906" s="2"/>
      <c r="J5906" s="1"/>
      <c r="K5906" s="1"/>
      <c r="L5906" s="1"/>
      <c r="M5906" s="1"/>
      <c r="N5906" s="1"/>
      <c r="O5906" s="1"/>
      <c r="P5906" s="1"/>
      <c r="Q5906" s="1"/>
      <c r="R5906" s="1"/>
      <c r="S5906" s="1"/>
      <c r="T5906" s="1"/>
      <c r="U5906" s="1"/>
      <c r="V5906" s="1"/>
      <c r="W5906" s="1"/>
      <c r="X5906" s="1"/>
    </row>
    <row x14ac:dyDescent="0.25" r="5907" customHeight="1" ht="18.75">
      <c r="A5907" s="1"/>
      <c r="B5907" s="1"/>
      <c r="C5907" s="1"/>
      <c r="D5907" s="1"/>
      <c r="E5907" s="1"/>
      <c r="F5907" s="1"/>
      <c r="G5907" s="1"/>
      <c r="H5907" s="1"/>
      <c r="I5907" s="2"/>
      <c r="J5907" s="1"/>
      <c r="K5907" s="1"/>
      <c r="L5907" s="1"/>
      <c r="M5907" s="1"/>
      <c r="N5907" s="1"/>
      <c r="O5907" s="1"/>
      <c r="P5907" s="1"/>
      <c r="Q5907" s="1"/>
      <c r="R5907" s="1"/>
      <c r="S5907" s="1"/>
      <c r="T5907" s="1"/>
      <c r="U5907" s="1"/>
      <c r="V5907" s="1"/>
      <c r="W5907" s="1"/>
      <c r="X5907" s="1"/>
    </row>
    <row x14ac:dyDescent="0.25" r="5908" customHeight="1" ht="18.75">
      <c r="A5908" s="1"/>
      <c r="B5908" s="1"/>
      <c r="C5908" s="1"/>
      <c r="D5908" s="1"/>
      <c r="E5908" s="1"/>
      <c r="F5908" s="1"/>
      <c r="G5908" s="1"/>
      <c r="H5908" s="1"/>
      <c r="I5908" s="2"/>
      <c r="J5908" s="1"/>
      <c r="K5908" s="1"/>
      <c r="L5908" s="1"/>
      <c r="M5908" s="1"/>
      <c r="N5908" s="1"/>
      <c r="O5908" s="1"/>
      <c r="P5908" s="1"/>
      <c r="Q5908" s="1"/>
      <c r="R5908" s="1"/>
      <c r="S5908" s="1"/>
      <c r="T5908" s="1"/>
      <c r="U5908" s="1"/>
      <c r="V5908" s="1"/>
      <c r="W5908" s="1"/>
      <c r="X5908" s="1"/>
    </row>
    <row x14ac:dyDescent="0.25" r="5909" customHeight="1" ht="18.75">
      <c r="A5909" s="1"/>
      <c r="B5909" s="1"/>
      <c r="C5909" s="1"/>
      <c r="D5909" s="1"/>
      <c r="E5909" s="1"/>
      <c r="F5909" s="1"/>
      <c r="G5909" s="1"/>
      <c r="H5909" s="1"/>
      <c r="I5909" s="2"/>
      <c r="J5909" s="1"/>
      <c r="K5909" s="1"/>
      <c r="L5909" s="1"/>
      <c r="M5909" s="1"/>
      <c r="N5909" s="1"/>
      <c r="O5909" s="1"/>
      <c r="P5909" s="1"/>
      <c r="Q5909" s="1"/>
      <c r="R5909" s="1"/>
      <c r="S5909" s="1"/>
      <c r="T5909" s="1"/>
      <c r="U5909" s="1"/>
      <c r="V5909" s="1"/>
      <c r="W5909" s="1"/>
      <c r="X5909" s="1"/>
    </row>
    <row x14ac:dyDescent="0.25" r="5910" customHeight="1" ht="18.75">
      <c r="A5910" s="1"/>
      <c r="B5910" s="1"/>
      <c r="C5910" s="1"/>
      <c r="D5910" s="1"/>
      <c r="E5910" s="1"/>
      <c r="F5910" s="1"/>
      <c r="G5910" s="1"/>
      <c r="H5910" s="1"/>
      <c r="I5910" s="2"/>
      <c r="J5910" s="1"/>
      <c r="K5910" s="1"/>
      <c r="L5910" s="1"/>
      <c r="M5910" s="1"/>
      <c r="N5910" s="1"/>
      <c r="O5910" s="1"/>
      <c r="P5910" s="1"/>
      <c r="Q5910" s="1"/>
      <c r="R5910" s="1"/>
      <c r="S5910" s="1"/>
      <c r="T5910" s="1"/>
      <c r="U5910" s="1"/>
      <c r="V5910" s="1"/>
      <c r="W5910" s="1"/>
      <c r="X5910" s="1"/>
    </row>
    <row x14ac:dyDescent="0.25" r="5911" customHeight="1" ht="18.75">
      <c r="A5911" s="1"/>
      <c r="B5911" s="1"/>
      <c r="C5911" s="1"/>
      <c r="D5911" s="1"/>
      <c r="E5911" s="1"/>
      <c r="F5911" s="1"/>
      <c r="G5911" s="1"/>
      <c r="H5911" s="1"/>
      <c r="I5911" s="2"/>
      <c r="J5911" s="1"/>
      <c r="K5911" s="1"/>
      <c r="L5911" s="1"/>
      <c r="M5911" s="1"/>
      <c r="N5911" s="1"/>
      <c r="O5911" s="1"/>
      <c r="P5911" s="1"/>
      <c r="Q5911" s="1"/>
      <c r="R5911" s="1"/>
      <c r="S5911" s="1"/>
      <c r="T5911" s="1"/>
      <c r="U5911" s="1"/>
      <c r="V5911" s="1"/>
      <c r="W5911" s="1"/>
      <c r="X5911" s="1"/>
    </row>
    <row x14ac:dyDescent="0.25" r="5912" customHeight="1" ht="18.75">
      <c r="A5912" s="1"/>
      <c r="B5912" s="1"/>
      <c r="C5912" s="1"/>
      <c r="D5912" s="1"/>
      <c r="E5912" s="1"/>
      <c r="F5912" s="1"/>
      <c r="G5912" s="1"/>
      <c r="H5912" s="1"/>
      <c r="I5912" s="2"/>
      <c r="J5912" s="1"/>
      <c r="K5912" s="1"/>
      <c r="L5912" s="1"/>
      <c r="M5912" s="1"/>
      <c r="N5912" s="1"/>
      <c r="O5912" s="1"/>
      <c r="P5912" s="1"/>
      <c r="Q5912" s="1"/>
      <c r="R5912" s="1"/>
      <c r="S5912" s="1"/>
      <c r="T5912" s="1"/>
      <c r="U5912" s="1"/>
      <c r="V5912" s="1"/>
      <c r="W5912" s="1"/>
      <c r="X5912" s="1"/>
    </row>
    <row x14ac:dyDescent="0.25" r="5913" customHeight="1" ht="18.75">
      <c r="A5913" s="1"/>
      <c r="B5913" s="1"/>
      <c r="C5913" s="1"/>
      <c r="D5913" s="1"/>
      <c r="E5913" s="1"/>
      <c r="F5913" s="1"/>
      <c r="G5913" s="1"/>
      <c r="H5913" s="1"/>
      <c r="I5913" s="2"/>
      <c r="J5913" s="1"/>
      <c r="K5913" s="1"/>
      <c r="L5913" s="1"/>
      <c r="M5913" s="1"/>
      <c r="N5913" s="1"/>
      <c r="O5913" s="1"/>
      <c r="P5913" s="1"/>
      <c r="Q5913" s="1"/>
      <c r="R5913" s="1"/>
      <c r="S5913" s="1"/>
      <c r="T5913" s="1"/>
      <c r="U5913" s="1"/>
      <c r="V5913" s="1"/>
      <c r="W5913" s="1"/>
      <c r="X5913" s="1"/>
    </row>
    <row x14ac:dyDescent="0.25" r="5914" customHeight="1" ht="18.75">
      <c r="A5914" s="1"/>
      <c r="B5914" s="1"/>
      <c r="C5914" s="1"/>
      <c r="D5914" s="1"/>
      <c r="E5914" s="1"/>
      <c r="F5914" s="1"/>
      <c r="G5914" s="1"/>
      <c r="H5914" s="1"/>
      <c r="I5914" s="2"/>
      <c r="J5914" s="1"/>
      <c r="K5914" s="1"/>
      <c r="L5914" s="1"/>
      <c r="M5914" s="1"/>
      <c r="N5914" s="1"/>
      <c r="O5914" s="1"/>
      <c r="P5914" s="1"/>
      <c r="Q5914" s="1"/>
      <c r="R5914" s="1"/>
      <c r="S5914" s="1"/>
      <c r="T5914" s="1"/>
      <c r="U5914" s="1"/>
      <c r="V5914" s="1"/>
      <c r="W5914" s="1"/>
      <c r="X5914" s="1"/>
    </row>
    <row x14ac:dyDescent="0.25" r="5915" customHeight="1" ht="18.75">
      <c r="A5915" s="1"/>
      <c r="B5915" s="1"/>
      <c r="C5915" s="1"/>
      <c r="D5915" s="1"/>
      <c r="E5915" s="1"/>
      <c r="F5915" s="1"/>
      <c r="G5915" s="1"/>
      <c r="H5915" s="1"/>
      <c r="I5915" s="2"/>
      <c r="J5915" s="1"/>
      <c r="K5915" s="1"/>
      <c r="L5915" s="1"/>
      <c r="M5915" s="1"/>
      <c r="N5915" s="1"/>
      <c r="O5915" s="1"/>
      <c r="P5915" s="1"/>
      <c r="Q5915" s="1"/>
      <c r="R5915" s="1"/>
      <c r="S5915" s="1"/>
      <c r="T5915" s="1"/>
      <c r="U5915" s="1"/>
      <c r="V5915" s="1"/>
      <c r="W5915" s="1"/>
      <c r="X5915" s="1"/>
    </row>
    <row x14ac:dyDescent="0.25" r="5916" customHeight="1" ht="18.75">
      <c r="A5916" s="1"/>
      <c r="B5916" s="1"/>
      <c r="C5916" s="1"/>
      <c r="D5916" s="1"/>
      <c r="E5916" s="1"/>
      <c r="F5916" s="1"/>
      <c r="G5916" s="1"/>
      <c r="H5916" s="1"/>
      <c r="I5916" s="2"/>
      <c r="J5916" s="1"/>
      <c r="K5916" s="1"/>
      <c r="L5916" s="1"/>
      <c r="M5916" s="1"/>
      <c r="N5916" s="1"/>
      <c r="O5916" s="1"/>
      <c r="P5916" s="1"/>
      <c r="Q5916" s="1"/>
      <c r="R5916" s="1"/>
      <c r="S5916" s="1"/>
      <c r="T5916" s="1"/>
      <c r="U5916" s="1"/>
      <c r="V5916" s="1"/>
      <c r="W5916" s="1"/>
      <c r="X5916" s="1"/>
    </row>
    <row x14ac:dyDescent="0.25" r="5917" customHeight="1" ht="18.75">
      <c r="A5917" s="1"/>
      <c r="B5917" s="1"/>
      <c r="C5917" s="1"/>
      <c r="D5917" s="1"/>
      <c r="E5917" s="1"/>
      <c r="F5917" s="1"/>
      <c r="G5917" s="1"/>
      <c r="H5917" s="1"/>
      <c r="I5917" s="2"/>
      <c r="J5917" s="1"/>
      <c r="K5917" s="1"/>
      <c r="L5917" s="1"/>
      <c r="M5917" s="1"/>
      <c r="N5917" s="1"/>
      <c r="O5917" s="1"/>
      <c r="P5917" s="1"/>
      <c r="Q5917" s="1"/>
      <c r="R5917" s="1"/>
      <c r="S5917" s="1"/>
      <c r="T5917" s="1"/>
      <c r="U5917" s="1"/>
      <c r="V5917" s="1"/>
      <c r="W5917" s="1"/>
      <c r="X5917" s="1"/>
    </row>
    <row x14ac:dyDescent="0.25" r="5918" customHeight="1" ht="18.75">
      <c r="A5918" s="1"/>
      <c r="B5918" s="1"/>
      <c r="C5918" s="1"/>
      <c r="D5918" s="1"/>
      <c r="E5918" s="1"/>
      <c r="F5918" s="1"/>
      <c r="G5918" s="1"/>
      <c r="H5918" s="1"/>
      <c r="I5918" s="2"/>
      <c r="J5918" s="1"/>
      <c r="K5918" s="1"/>
      <c r="L5918" s="1"/>
      <c r="M5918" s="1"/>
      <c r="N5918" s="1"/>
      <c r="O5918" s="1"/>
      <c r="P5918" s="1"/>
      <c r="Q5918" s="1"/>
      <c r="R5918" s="1"/>
      <c r="S5918" s="1"/>
      <c r="T5918" s="1"/>
      <c r="U5918" s="1"/>
      <c r="V5918" s="1"/>
      <c r="W5918" s="1"/>
      <c r="X5918" s="1"/>
    </row>
    <row x14ac:dyDescent="0.25" r="5919" customHeight="1" ht="18.75">
      <c r="A5919" s="1"/>
      <c r="B5919" s="1"/>
      <c r="C5919" s="1"/>
      <c r="D5919" s="1"/>
      <c r="E5919" s="1"/>
      <c r="F5919" s="1"/>
      <c r="G5919" s="1"/>
      <c r="H5919" s="1"/>
      <c r="I5919" s="2"/>
      <c r="J5919" s="1"/>
      <c r="K5919" s="1"/>
      <c r="L5919" s="1"/>
      <c r="M5919" s="1"/>
      <c r="N5919" s="1"/>
      <c r="O5919" s="1"/>
      <c r="P5919" s="1"/>
      <c r="Q5919" s="1"/>
      <c r="R5919" s="1"/>
      <c r="S5919" s="1"/>
      <c r="T5919" s="1"/>
      <c r="U5919" s="1"/>
      <c r="V5919" s="1"/>
      <c r="W5919" s="1"/>
      <c r="X5919" s="1"/>
    </row>
    <row x14ac:dyDescent="0.25" r="5920" customHeight="1" ht="18.75">
      <c r="A5920" s="1"/>
      <c r="B5920" s="1"/>
      <c r="C5920" s="1"/>
      <c r="D5920" s="1"/>
      <c r="E5920" s="1"/>
      <c r="F5920" s="1"/>
      <c r="G5920" s="1"/>
      <c r="H5920" s="1"/>
      <c r="I5920" s="2"/>
      <c r="J5920" s="1"/>
      <c r="K5920" s="1"/>
      <c r="L5920" s="1"/>
      <c r="M5920" s="1"/>
      <c r="N5920" s="1"/>
      <c r="O5920" s="1"/>
      <c r="P5920" s="1"/>
      <c r="Q5920" s="1"/>
      <c r="R5920" s="1"/>
      <c r="S5920" s="1"/>
      <c r="T5920" s="1"/>
      <c r="U5920" s="1"/>
      <c r="V5920" s="1"/>
      <c r="W5920" s="1"/>
      <c r="X5920" s="1"/>
    </row>
    <row x14ac:dyDescent="0.25" r="5921" customHeight="1" ht="18.75">
      <c r="A5921" s="1"/>
      <c r="B5921" s="1"/>
      <c r="C5921" s="1"/>
      <c r="D5921" s="1"/>
      <c r="E5921" s="1"/>
      <c r="F5921" s="1"/>
      <c r="G5921" s="1"/>
      <c r="H5921" s="1"/>
      <c r="I5921" s="2"/>
      <c r="J5921" s="1"/>
      <c r="K5921" s="1"/>
      <c r="L5921" s="1"/>
      <c r="M5921" s="1"/>
      <c r="N5921" s="1"/>
      <c r="O5921" s="1"/>
      <c r="P5921" s="1"/>
      <c r="Q5921" s="1"/>
      <c r="R5921" s="1"/>
      <c r="S5921" s="1"/>
      <c r="T5921" s="1"/>
      <c r="U5921" s="1"/>
      <c r="V5921" s="1"/>
      <c r="W5921" s="1"/>
      <c r="X5921" s="1"/>
    </row>
    <row x14ac:dyDescent="0.25" r="5922" customHeight="1" ht="18.75">
      <c r="A5922" s="1"/>
      <c r="B5922" s="1"/>
      <c r="C5922" s="1"/>
      <c r="D5922" s="1"/>
      <c r="E5922" s="1"/>
      <c r="F5922" s="1"/>
      <c r="G5922" s="1"/>
      <c r="H5922" s="1"/>
      <c r="I5922" s="2"/>
      <c r="J5922" s="1"/>
      <c r="K5922" s="1"/>
      <c r="L5922" s="1"/>
      <c r="M5922" s="1"/>
      <c r="N5922" s="1"/>
      <c r="O5922" s="1"/>
      <c r="P5922" s="1"/>
      <c r="Q5922" s="1"/>
      <c r="R5922" s="1"/>
      <c r="S5922" s="1"/>
      <c r="T5922" s="1"/>
      <c r="U5922" s="1"/>
      <c r="V5922" s="1"/>
      <c r="W5922" s="1"/>
      <c r="X5922" s="1"/>
    </row>
    <row x14ac:dyDescent="0.25" r="5923" customHeight="1" ht="18.75">
      <c r="A5923" s="1"/>
      <c r="B5923" s="1"/>
      <c r="C5923" s="1"/>
      <c r="D5923" s="1"/>
      <c r="E5923" s="1"/>
      <c r="F5923" s="1"/>
      <c r="G5923" s="1"/>
      <c r="H5923" s="1"/>
      <c r="I5923" s="2"/>
      <c r="J5923" s="1"/>
      <c r="K5923" s="1"/>
      <c r="L5923" s="1"/>
      <c r="M5923" s="1"/>
      <c r="N5923" s="1"/>
      <c r="O5923" s="1"/>
      <c r="P5923" s="1"/>
      <c r="Q5923" s="1"/>
      <c r="R5923" s="1"/>
      <c r="S5923" s="1"/>
      <c r="T5923" s="1"/>
      <c r="U5923" s="1"/>
      <c r="V5923" s="1"/>
      <c r="W5923" s="1"/>
      <c r="X5923" s="1"/>
    </row>
    <row x14ac:dyDescent="0.25" r="5924" customHeight="1" ht="18.75">
      <c r="A5924" s="1"/>
      <c r="B5924" s="1"/>
      <c r="C5924" s="1"/>
      <c r="D5924" s="1"/>
      <c r="E5924" s="1"/>
      <c r="F5924" s="1"/>
      <c r="G5924" s="1"/>
      <c r="H5924" s="1"/>
      <c r="I5924" s="2"/>
      <c r="J5924" s="1"/>
      <c r="K5924" s="1"/>
      <c r="L5924" s="1"/>
      <c r="M5924" s="1"/>
      <c r="N5924" s="1"/>
      <c r="O5924" s="1"/>
      <c r="P5924" s="1"/>
      <c r="Q5924" s="1"/>
      <c r="R5924" s="1"/>
      <c r="S5924" s="1"/>
      <c r="T5924" s="1"/>
      <c r="U5924" s="1"/>
      <c r="V5924" s="1"/>
      <c r="W5924" s="1"/>
      <c r="X5924" s="1"/>
    </row>
    <row x14ac:dyDescent="0.25" r="5925" customHeight="1" ht="18.75">
      <c r="A5925" s="1"/>
      <c r="B5925" s="1"/>
      <c r="C5925" s="1"/>
      <c r="D5925" s="1"/>
      <c r="E5925" s="1"/>
      <c r="F5925" s="1"/>
      <c r="G5925" s="1"/>
      <c r="H5925" s="1"/>
      <c r="I5925" s="2"/>
      <c r="J5925" s="1"/>
      <c r="K5925" s="1"/>
      <c r="L5925" s="1"/>
      <c r="M5925" s="1"/>
      <c r="N5925" s="1"/>
      <c r="O5925" s="1"/>
      <c r="P5925" s="1"/>
      <c r="Q5925" s="1"/>
      <c r="R5925" s="1"/>
      <c r="S5925" s="1"/>
      <c r="T5925" s="1"/>
      <c r="U5925" s="1"/>
      <c r="V5925" s="1"/>
      <c r="W5925" s="1"/>
      <c r="X5925" s="1"/>
    </row>
    <row x14ac:dyDescent="0.25" r="5926" customHeight="1" ht="18.75">
      <c r="A5926" s="1"/>
      <c r="B5926" s="1"/>
      <c r="C5926" s="1"/>
      <c r="D5926" s="1"/>
      <c r="E5926" s="1"/>
      <c r="F5926" s="1"/>
      <c r="G5926" s="1"/>
      <c r="H5926" s="1"/>
      <c r="I5926" s="2"/>
      <c r="J5926" s="1"/>
      <c r="K5926" s="1"/>
      <c r="L5926" s="1"/>
      <c r="M5926" s="1"/>
      <c r="N5926" s="1"/>
      <c r="O5926" s="1"/>
      <c r="P5926" s="1"/>
      <c r="Q5926" s="1"/>
      <c r="R5926" s="1"/>
      <c r="S5926" s="1"/>
      <c r="T5926" s="1"/>
      <c r="U5926" s="1"/>
      <c r="V5926" s="1"/>
      <c r="W5926" s="1"/>
      <c r="X5926" s="1"/>
    </row>
    <row x14ac:dyDescent="0.25" r="5927" customHeight="1" ht="18.75">
      <c r="A5927" s="1"/>
      <c r="B5927" s="1"/>
      <c r="C5927" s="1"/>
      <c r="D5927" s="1"/>
      <c r="E5927" s="1"/>
      <c r="F5927" s="1"/>
      <c r="G5927" s="1"/>
      <c r="H5927" s="1"/>
      <c r="I5927" s="2"/>
      <c r="J5927" s="1"/>
      <c r="K5927" s="1"/>
      <c r="L5927" s="1"/>
      <c r="M5927" s="1"/>
      <c r="N5927" s="1"/>
      <c r="O5927" s="1"/>
      <c r="P5927" s="1"/>
      <c r="Q5927" s="1"/>
      <c r="R5927" s="1"/>
      <c r="S5927" s="1"/>
      <c r="T5927" s="1"/>
      <c r="U5927" s="1"/>
      <c r="V5927" s="1"/>
      <c r="W5927" s="1"/>
      <c r="X5927" s="1"/>
    </row>
    <row x14ac:dyDescent="0.25" r="5928" customHeight="1" ht="18.75">
      <c r="A5928" s="1"/>
      <c r="B5928" s="1"/>
      <c r="C5928" s="1"/>
      <c r="D5928" s="1"/>
      <c r="E5928" s="1"/>
      <c r="F5928" s="1"/>
      <c r="G5928" s="1"/>
      <c r="H5928" s="1"/>
      <c r="I5928" s="2"/>
      <c r="J5928" s="1"/>
      <c r="K5928" s="1"/>
      <c r="L5928" s="1"/>
      <c r="M5928" s="1"/>
      <c r="N5928" s="1"/>
      <c r="O5928" s="1"/>
      <c r="P5928" s="1"/>
      <c r="Q5928" s="1"/>
      <c r="R5928" s="1"/>
      <c r="S5928" s="1"/>
      <c r="T5928" s="1"/>
      <c r="U5928" s="1"/>
      <c r="V5928" s="1"/>
      <c r="W5928" s="1"/>
      <c r="X5928" s="1"/>
    </row>
    <row x14ac:dyDescent="0.25" r="5929" customHeight="1" ht="18.75">
      <c r="A5929" s="1"/>
      <c r="B5929" s="1"/>
      <c r="C5929" s="1"/>
      <c r="D5929" s="1"/>
      <c r="E5929" s="1"/>
      <c r="F5929" s="1"/>
      <c r="G5929" s="1"/>
      <c r="H5929" s="1"/>
      <c r="I5929" s="2"/>
      <c r="J5929" s="1"/>
      <c r="K5929" s="1"/>
      <c r="L5929" s="1"/>
      <c r="M5929" s="1"/>
      <c r="N5929" s="1"/>
      <c r="O5929" s="1"/>
      <c r="P5929" s="1"/>
      <c r="Q5929" s="1"/>
      <c r="R5929" s="1"/>
      <c r="S5929" s="1"/>
      <c r="T5929" s="1"/>
      <c r="U5929" s="1"/>
      <c r="V5929" s="1"/>
      <c r="W5929" s="1"/>
      <c r="X5929" s="1"/>
    </row>
    <row x14ac:dyDescent="0.25" r="5930" customHeight="1" ht="18.75">
      <c r="A5930" s="1"/>
      <c r="B5930" s="1"/>
      <c r="C5930" s="1"/>
      <c r="D5930" s="1"/>
      <c r="E5930" s="1"/>
      <c r="F5930" s="1"/>
      <c r="G5930" s="1"/>
      <c r="H5930" s="1"/>
      <c r="I5930" s="2"/>
      <c r="J5930" s="1"/>
      <c r="K5930" s="1"/>
      <c r="L5930" s="1"/>
      <c r="M5930" s="1"/>
      <c r="N5930" s="1"/>
      <c r="O5930" s="1"/>
      <c r="P5930" s="1"/>
      <c r="Q5930" s="1"/>
      <c r="R5930" s="1"/>
      <c r="S5930" s="1"/>
      <c r="T5930" s="1"/>
      <c r="U5930" s="1"/>
      <c r="V5930" s="1"/>
      <c r="W5930" s="1"/>
      <c r="X5930" s="1"/>
    </row>
    <row x14ac:dyDescent="0.25" r="5931" customHeight="1" ht="18.75">
      <c r="A5931" s="1"/>
      <c r="B5931" s="1"/>
      <c r="C5931" s="1"/>
      <c r="D5931" s="1"/>
      <c r="E5931" s="1"/>
      <c r="F5931" s="1"/>
      <c r="G5931" s="1"/>
      <c r="H5931" s="1"/>
      <c r="I5931" s="2"/>
      <c r="J5931" s="1"/>
      <c r="K5931" s="1"/>
      <c r="L5931" s="1"/>
      <c r="M5931" s="1"/>
      <c r="N5931" s="1"/>
      <c r="O5931" s="1"/>
      <c r="P5931" s="1"/>
      <c r="Q5931" s="1"/>
      <c r="R5931" s="1"/>
      <c r="S5931" s="1"/>
      <c r="T5931" s="1"/>
      <c r="U5931" s="1"/>
      <c r="V5931" s="1"/>
      <c r="W5931" s="1"/>
      <c r="X5931" s="1"/>
    </row>
    <row x14ac:dyDescent="0.25" r="5932" customHeight="1" ht="18.75">
      <c r="A5932" s="1"/>
      <c r="B5932" s="1"/>
      <c r="C5932" s="1"/>
      <c r="D5932" s="1"/>
      <c r="E5932" s="1"/>
      <c r="F5932" s="1"/>
      <c r="G5932" s="1"/>
      <c r="H5932" s="1"/>
      <c r="I5932" s="2"/>
      <c r="J5932" s="1"/>
      <c r="K5932" s="1"/>
      <c r="L5932" s="1"/>
      <c r="M5932" s="1"/>
      <c r="N5932" s="1"/>
      <c r="O5932" s="1"/>
      <c r="P5932" s="1"/>
      <c r="Q5932" s="1"/>
      <c r="R5932" s="1"/>
      <c r="S5932" s="1"/>
      <c r="T5932" s="1"/>
      <c r="U5932" s="1"/>
      <c r="V5932" s="1"/>
      <c r="W5932" s="1"/>
      <c r="X5932" s="1"/>
    </row>
    <row x14ac:dyDescent="0.25" r="5933" customHeight="1" ht="18.75">
      <c r="A5933" s="1"/>
      <c r="B5933" s="1"/>
      <c r="C5933" s="1"/>
      <c r="D5933" s="1"/>
      <c r="E5933" s="1"/>
      <c r="F5933" s="1"/>
      <c r="G5933" s="1"/>
      <c r="H5933" s="1"/>
      <c r="I5933" s="2"/>
      <c r="J5933" s="1"/>
      <c r="K5933" s="1"/>
      <c r="L5933" s="1"/>
      <c r="M5933" s="1"/>
      <c r="N5933" s="1"/>
      <c r="O5933" s="1"/>
      <c r="P5933" s="1"/>
      <c r="Q5933" s="1"/>
      <c r="R5933" s="1"/>
      <c r="S5933" s="1"/>
      <c r="T5933" s="1"/>
      <c r="U5933" s="1"/>
      <c r="V5933" s="1"/>
      <c r="W5933" s="1"/>
      <c r="X5933" s="1"/>
    </row>
    <row x14ac:dyDescent="0.25" r="5934" customHeight="1" ht="18.75">
      <c r="A5934" s="1"/>
      <c r="B5934" s="1"/>
      <c r="C5934" s="1"/>
      <c r="D5934" s="1"/>
      <c r="E5934" s="1"/>
      <c r="F5934" s="1"/>
      <c r="G5934" s="1"/>
      <c r="H5934" s="1"/>
      <c r="I5934" s="2"/>
      <c r="J5934" s="1"/>
      <c r="K5934" s="1"/>
      <c r="L5934" s="1"/>
      <c r="M5934" s="1"/>
      <c r="N5934" s="1"/>
      <c r="O5934" s="1"/>
      <c r="P5934" s="1"/>
      <c r="Q5934" s="1"/>
      <c r="R5934" s="1"/>
      <c r="S5934" s="1"/>
      <c r="T5934" s="1"/>
      <c r="U5934" s="1"/>
      <c r="V5934" s="1"/>
      <c r="W5934" s="1"/>
      <c r="X5934" s="1"/>
    </row>
    <row x14ac:dyDescent="0.25" r="5935" customHeight="1" ht="18.75">
      <c r="A5935" s="1"/>
      <c r="B5935" s="1"/>
      <c r="C5935" s="1"/>
      <c r="D5935" s="1"/>
      <c r="E5935" s="1"/>
      <c r="F5935" s="1"/>
      <c r="G5935" s="1"/>
      <c r="H5935" s="1"/>
      <c r="I5935" s="2"/>
      <c r="J5935" s="1"/>
      <c r="K5935" s="1"/>
      <c r="L5935" s="1"/>
      <c r="M5935" s="1"/>
      <c r="N5935" s="1"/>
      <c r="O5935" s="1"/>
      <c r="P5935" s="1"/>
      <c r="Q5935" s="1"/>
      <c r="R5935" s="1"/>
      <c r="S5935" s="1"/>
      <c r="T5935" s="1"/>
      <c r="U5935" s="1"/>
      <c r="V5935" s="1"/>
      <c r="W5935" s="1"/>
      <c r="X5935" s="1"/>
    </row>
    <row x14ac:dyDescent="0.25" r="5936" customHeight="1" ht="18.75">
      <c r="A5936" s="1"/>
      <c r="B5936" s="1"/>
      <c r="C5936" s="1"/>
      <c r="D5936" s="1"/>
      <c r="E5936" s="1"/>
      <c r="F5936" s="1"/>
      <c r="G5936" s="1"/>
      <c r="H5936" s="1"/>
      <c r="I5936" s="2"/>
      <c r="J5936" s="1"/>
      <c r="K5936" s="1"/>
      <c r="L5936" s="1"/>
      <c r="M5936" s="1"/>
      <c r="N5936" s="1"/>
      <c r="O5936" s="1"/>
      <c r="P5936" s="1"/>
      <c r="Q5936" s="1"/>
      <c r="R5936" s="1"/>
      <c r="S5936" s="1"/>
      <c r="T5936" s="1"/>
      <c r="U5936" s="1"/>
      <c r="V5936" s="1"/>
      <c r="W5936" s="1"/>
      <c r="X5936" s="1"/>
    </row>
    <row x14ac:dyDescent="0.25" r="5937" customHeight="1" ht="18.75">
      <c r="A5937" s="1"/>
      <c r="B5937" s="1"/>
      <c r="C5937" s="1"/>
      <c r="D5937" s="1"/>
      <c r="E5937" s="1"/>
      <c r="F5937" s="1"/>
      <c r="G5937" s="1"/>
      <c r="H5937" s="1"/>
      <c r="I5937" s="2"/>
      <c r="J5937" s="1"/>
      <c r="K5937" s="1"/>
      <c r="L5937" s="1"/>
      <c r="M5937" s="1"/>
      <c r="N5937" s="1"/>
      <c r="O5937" s="1"/>
      <c r="P5937" s="1"/>
      <c r="Q5937" s="1"/>
      <c r="R5937" s="1"/>
      <c r="S5937" s="1"/>
      <c r="T5937" s="1"/>
      <c r="U5937" s="1"/>
      <c r="V5937" s="1"/>
      <c r="W5937" s="1"/>
      <c r="X5937" s="1"/>
    </row>
    <row x14ac:dyDescent="0.25" r="5938" customHeight="1" ht="18.75">
      <c r="A5938" s="1"/>
      <c r="B5938" s="1"/>
      <c r="C5938" s="1"/>
      <c r="D5938" s="1"/>
      <c r="E5938" s="1"/>
      <c r="F5938" s="1"/>
      <c r="G5938" s="1"/>
      <c r="H5938" s="1"/>
      <c r="I5938" s="2"/>
      <c r="J5938" s="1"/>
      <c r="K5938" s="1"/>
      <c r="L5938" s="1"/>
      <c r="M5938" s="1"/>
      <c r="N5938" s="1"/>
      <c r="O5938" s="1"/>
      <c r="P5938" s="1"/>
      <c r="Q5938" s="1"/>
      <c r="R5938" s="1"/>
      <c r="S5938" s="1"/>
      <c r="T5938" s="1"/>
      <c r="U5938" s="1"/>
      <c r="V5938" s="1"/>
      <c r="W5938" s="1"/>
      <c r="X5938" s="1"/>
    </row>
    <row x14ac:dyDescent="0.25" r="5939" customHeight="1" ht="18.75">
      <c r="A5939" s="1"/>
      <c r="B5939" s="1"/>
      <c r="C5939" s="1"/>
      <c r="D5939" s="1"/>
      <c r="E5939" s="1"/>
      <c r="F5939" s="1"/>
      <c r="G5939" s="1"/>
      <c r="H5939" s="1"/>
      <c r="I5939" s="2"/>
      <c r="J5939" s="1"/>
      <c r="K5939" s="1"/>
      <c r="L5939" s="1"/>
      <c r="M5939" s="1"/>
      <c r="N5939" s="1"/>
      <c r="O5939" s="1"/>
      <c r="P5939" s="1"/>
      <c r="Q5939" s="1"/>
      <c r="R5939" s="1"/>
      <c r="S5939" s="1"/>
      <c r="T5939" s="1"/>
      <c r="U5939" s="1"/>
      <c r="V5939" s="1"/>
      <c r="W5939" s="1"/>
      <c r="X5939" s="1"/>
    </row>
    <row x14ac:dyDescent="0.25" r="5940" customHeight="1" ht="18.75">
      <c r="A5940" s="1"/>
      <c r="B5940" s="1"/>
      <c r="C5940" s="1"/>
      <c r="D5940" s="1"/>
      <c r="E5940" s="1"/>
      <c r="F5940" s="1"/>
      <c r="G5940" s="1"/>
      <c r="H5940" s="1"/>
      <c r="I5940" s="2"/>
      <c r="J5940" s="1"/>
      <c r="K5940" s="1"/>
      <c r="L5940" s="1"/>
      <c r="M5940" s="1"/>
      <c r="N5940" s="1"/>
      <c r="O5940" s="1"/>
      <c r="P5940" s="1"/>
      <c r="Q5940" s="1"/>
      <c r="R5940" s="1"/>
      <c r="S5940" s="1"/>
      <c r="T5940" s="1"/>
      <c r="U5940" s="1"/>
      <c r="V5940" s="1"/>
      <c r="W5940" s="1"/>
      <c r="X5940" s="1"/>
    </row>
    <row x14ac:dyDescent="0.25" r="5941" customHeight="1" ht="18.75">
      <c r="A5941" s="1"/>
      <c r="B5941" s="1"/>
      <c r="C5941" s="1"/>
      <c r="D5941" s="1"/>
      <c r="E5941" s="1"/>
      <c r="F5941" s="1"/>
      <c r="G5941" s="1"/>
      <c r="H5941" s="1"/>
      <c r="I5941" s="2"/>
      <c r="J5941" s="1"/>
      <c r="K5941" s="1"/>
      <c r="L5941" s="1"/>
      <c r="M5941" s="1"/>
      <c r="N5941" s="1"/>
      <c r="O5941" s="1"/>
      <c r="P5941" s="1"/>
      <c r="Q5941" s="1"/>
      <c r="R5941" s="1"/>
      <c r="S5941" s="1"/>
      <c r="T5941" s="1"/>
      <c r="U5941" s="1"/>
      <c r="V5941" s="1"/>
      <c r="W5941" s="1"/>
      <c r="X5941" s="1"/>
    </row>
    <row x14ac:dyDescent="0.25" r="5942" customHeight="1" ht="18.75">
      <c r="A5942" s="1"/>
      <c r="B5942" s="1"/>
      <c r="C5942" s="1"/>
      <c r="D5942" s="1"/>
      <c r="E5942" s="1"/>
      <c r="F5942" s="1"/>
      <c r="G5942" s="1"/>
      <c r="H5942" s="1"/>
      <c r="I5942" s="2"/>
      <c r="J5942" s="1"/>
      <c r="K5942" s="1"/>
      <c r="L5942" s="1"/>
      <c r="M5942" s="1"/>
      <c r="N5942" s="1"/>
      <c r="O5942" s="1"/>
      <c r="P5942" s="1"/>
      <c r="Q5942" s="1"/>
      <c r="R5942" s="1"/>
      <c r="S5942" s="1"/>
      <c r="T5942" s="1"/>
      <c r="U5942" s="1"/>
      <c r="V5942" s="1"/>
      <c r="W5942" s="1"/>
      <c r="X5942" s="1"/>
    </row>
    <row x14ac:dyDescent="0.25" r="5943" customHeight="1" ht="18.75">
      <c r="A5943" s="1"/>
      <c r="B5943" s="1"/>
      <c r="C5943" s="1"/>
      <c r="D5943" s="1"/>
      <c r="E5943" s="1"/>
      <c r="F5943" s="1"/>
      <c r="G5943" s="1"/>
      <c r="H5943" s="1"/>
      <c r="I5943" s="2"/>
      <c r="J5943" s="1"/>
      <c r="K5943" s="1"/>
      <c r="L5943" s="1"/>
      <c r="M5943" s="1"/>
      <c r="N5943" s="1"/>
      <c r="O5943" s="1"/>
      <c r="P5943" s="1"/>
      <c r="Q5943" s="1"/>
      <c r="R5943" s="1"/>
      <c r="S5943" s="1"/>
      <c r="T5943" s="1"/>
      <c r="U5943" s="1"/>
      <c r="V5943" s="1"/>
      <c r="W5943" s="1"/>
      <c r="X5943" s="1"/>
    </row>
    <row x14ac:dyDescent="0.25" r="5944" customHeight="1" ht="18.75">
      <c r="A5944" s="1"/>
      <c r="B5944" s="1"/>
      <c r="C5944" s="1"/>
      <c r="D5944" s="1"/>
      <c r="E5944" s="1"/>
      <c r="F5944" s="1"/>
      <c r="G5944" s="1"/>
      <c r="H5944" s="1"/>
      <c r="I5944" s="2"/>
      <c r="J5944" s="1"/>
      <c r="K5944" s="1"/>
      <c r="L5944" s="1"/>
      <c r="M5944" s="1"/>
      <c r="N5944" s="1"/>
      <c r="O5944" s="1"/>
      <c r="P5944" s="1"/>
      <c r="Q5944" s="1"/>
      <c r="R5944" s="1"/>
      <c r="S5944" s="1"/>
      <c r="T5944" s="1"/>
      <c r="U5944" s="1"/>
      <c r="V5944" s="1"/>
      <c r="W5944" s="1"/>
      <c r="X5944" s="1"/>
    </row>
    <row x14ac:dyDescent="0.25" r="5945" customHeight="1" ht="18.75">
      <c r="A5945" s="1"/>
      <c r="B5945" s="1"/>
      <c r="C5945" s="1"/>
      <c r="D5945" s="1"/>
      <c r="E5945" s="1"/>
      <c r="F5945" s="1"/>
      <c r="G5945" s="1"/>
      <c r="H5945" s="1"/>
      <c r="I5945" s="2"/>
      <c r="J5945" s="1"/>
      <c r="K5945" s="1"/>
      <c r="L5945" s="1"/>
      <c r="M5945" s="1"/>
      <c r="N5945" s="1"/>
      <c r="O5945" s="1"/>
      <c r="P5945" s="1"/>
      <c r="Q5945" s="1"/>
      <c r="R5945" s="1"/>
      <c r="S5945" s="1"/>
      <c r="T5945" s="1"/>
      <c r="U5945" s="1"/>
      <c r="V5945" s="1"/>
      <c r="W5945" s="1"/>
      <c r="X5945" s="1"/>
    </row>
    <row x14ac:dyDescent="0.25" r="5946" customHeight="1" ht="18.75">
      <c r="A5946" s="1"/>
      <c r="B5946" s="1"/>
      <c r="C5946" s="1"/>
      <c r="D5946" s="1"/>
      <c r="E5946" s="1"/>
      <c r="F5946" s="1"/>
      <c r="G5946" s="1"/>
      <c r="H5946" s="1"/>
      <c r="I5946" s="2"/>
      <c r="J5946" s="1"/>
      <c r="K5946" s="1"/>
      <c r="L5946" s="1"/>
      <c r="M5946" s="1"/>
      <c r="N5946" s="1"/>
      <c r="O5946" s="1"/>
      <c r="P5946" s="1"/>
      <c r="Q5946" s="1"/>
      <c r="R5946" s="1"/>
      <c r="S5946" s="1"/>
      <c r="T5946" s="1"/>
      <c r="U5946" s="1"/>
      <c r="V5946" s="1"/>
      <c r="W5946" s="1"/>
      <c r="X5946" s="1"/>
    </row>
    <row x14ac:dyDescent="0.25" r="5947" customHeight="1" ht="18.75">
      <c r="A5947" s="1"/>
      <c r="B5947" s="1"/>
      <c r="C5947" s="1"/>
      <c r="D5947" s="1"/>
      <c r="E5947" s="1"/>
      <c r="F5947" s="1"/>
      <c r="G5947" s="1"/>
      <c r="H5947" s="1"/>
      <c r="I5947" s="2"/>
      <c r="J5947" s="1"/>
      <c r="K5947" s="1"/>
      <c r="L5947" s="1"/>
      <c r="M5947" s="1"/>
      <c r="N5947" s="1"/>
      <c r="O5947" s="1"/>
      <c r="P5947" s="1"/>
      <c r="Q5947" s="1"/>
      <c r="R5947" s="1"/>
      <c r="S5947" s="1"/>
      <c r="T5947" s="1"/>
      <c r="U5947" s="1"/>
      <c r="V5947" s="1"/>
      <c r="W5947" s="1"/>
      <c r="X5947" s="1"/>
    </row>
    <row x14ac:dyDescent="0.25" r="5948" customHeight="1" ht="18.75">
      <c r="A5948" s="1"/>
      <c r="B5948" s="1"/>
      <c r="C5948" s="1"/>
      <c r="D5948" s="1"/>
      <c r="E5948" s="1"/>
      <c r="F5948" s="1"/>
      <c r="G5948" s="1"/>
      <c r="H5948" s="1"/>
      <c r="I5948" s="2"/>
      <c r="J5948" s="1"/>
      <c r="K5948" s="1"/>
      <c r="L5948" s="1"/>
      <c r="M5948" s="1"/>
      <c r="N5948" s="1"/>
      <c r="O5948" s="1"/>
      <c r="P5948" s="1"/>
      <c r="Q5948" s="1"/>
      <c r="R5948" s="1"/>
      <c r="S5948" s="1"/>
      <c r="T5948" s="1"/>
      <c r="U5948" s="1"/>
      <c r="V5948" s="1"/>
      <c r="W5948" s="1"/>
      <c r="X5948" s="1"/>
    </row>
    <row x14ac:dyDescent="0.25" r="5949" customHeight="1" ht="18.75">
      <c r="A5949" s="1"/>
      <c r="B5949" s="1"/>
      <c r="C5949" s="1"/>
      <c r="D5949" s="1"/>
      <c r="E5949" s="1"/>
      <c r="F5949" s="1"/>
      <c r="G5949" s="1"/>
      <c r="H5949" s="1"/>
      <c r="I5949" s="2"/>
      <c r="J5949" s="1"/>
      <c r="K5949" s="1"/>
      <c r="L5949" s="1"/>
      <c r="M5949" s="1"/>
      <c r="N5949" s="1"/>
      <c r="O5949" s="1"/>
      <c r="P5949" s="1"/>
      <c r="Q5949" s="1"/>
      <c r="R5949" s="1"/>
      <c r="S5949" s="1"/>
      <c r="T5949" s="1"/>
      <c r="U5949" s="1"/>
      <c r="V5949" s="1"/>
      <c r="W5949" s="1"/>
      <c r="X5949" s="1"/>
    </row>
    <row x14ac:dyDescent="0.25" r="5950" customHeight="1" ht="18.75">
      <c r="A5950" s="1"/>
      <c r="B5950" s="1"/>
      <c r="C5950" s="1"/>
      <c r="D5950" s="1"/>
      <c r="E5950" s="1"/>
      <c r="F5950" s="1"/>
      <c r="G5950" s="1"/>
      <c r="H5950" s="1"/>
      <c r="I5950" s="2"/>
      <c r="J5950" s="1"/>
      <c r="K5950" s="1"/>
      <c r="L5950" s="1"/>
      <c r="M5950" s="1"/>
      <c r="N5950" s="1"/>
      <c r="O5950" s="1"/>
      <c r="P5950" s="1"/>
      <c r="Q5950" s="1"/>
      <c r="R5950" s="1"/>
      <c r="S5950" s="1"/>
      <c r="T5950" s="1"/>
      <c r="U5950" s="1"/>
      <c r="V5950" s="1"/>
      <c r="W5950" s="1"/>
      <c r="X5950" s="1"/>
    </row>
    <row x14ac:dyDescent="0.25" r="5951" customHeight="1" ht="18.75">
      <c r="A5951" s="1"/>
      <c r="B5951" s="1"/>
      <c r="C5951" s="1"/>
      <c r="D5951" s="1"/>
      <c r="E5951" s="1"/>
      <c r="F5951" s="1"/>
      <c r="G5951" s="1"/>
      <c r="H5951" s="1"/>
      <c r="I5951" s="2"/>
      <c r="J5951" s="1"/>
      <c r="K5951" s="1"/>
      <c r="L5951" s="1"/>
      <c r="M5951" s="1"/>
      <c r="N5951" s="1"/>
      <c r="O5951" s="1"/>
      <c r="P5951" s="1"/>
      <c r="Q5951" s="1"/>
      <c r="R5951" s="1"/>
      <c r="S5951" s="1"/>
      <c r="T5951" s="1"/>
      <c r="U5951" s="1"/>
      <c r="V5951" s="1"/>
      <c r="W5951" s="1"/>
      <c r="X5951" s="1"/>
    </row>
    <row x14ac:dyDescent="0.25" r="5952" customHeight="1" ht="18.75">
      <c r="A5952" s="1"/>
      <c r="B5952" s="1"/>
      <c r="C5952" s="1"/>
      <c r="D5952" s="1"/>
      <c r="E5952" s="1"/>
      <c r="F5952" s="1"/>
      <c r="G5952" s="1"/>
      <c r="H5952" s="1"/>
      <c r="I5952" s="2"/>
      <c r="J5952" s="1"/>
      <c r="K5952" s="1"/>
      <c r="L5952" s="1"/>
      <c r="M5952" s="1"/>
      <c r="N5952" s="1"/>
      <c r="O5952" s="1"/>
      <c r="P5952" s="1"/>
      <c r="Q5952" s="1"/>
      <c r="R5952" s="1"/>
      <c r="S5952" s="1"/>
      <c r="T5952" s="1"/>
      <c r="U5952" s="1"/>
      <c r="V5952" s="1"/>
      <c r="W5952" s="1"/>
      <c r="X5952" s="1"/>
    </row>
    <row x14ac:dyDescent="0.25" r="5953" customHeight="1" ht="18.75">
      <c r="A5953" s="1"/>
      <c r="B5953" s="1"/>
      <c r="C5953" s="1"/>
      <c r="D5953" s="1"/>
      <c r="E5953" s="1"/>
      <c r="F5953" s="1"/>
      <c r="G5953" s="1"/>
      <c r="H5953" s="1"/>
      <c r="I5953" s="2"/>
      <c r="J5953" s="1"/>
      <c r="K5953" s="1"/>
      <c r="L5953" s="1"/>
      <c r="M5953" s="1"/>
      <c r="N5953" s="1"/>
      <c r="O5953" s="1"/>
      <c r="P5953" s="1"/>
      <c r="Q5953" s="1"/>
      <c r="R5953" s="1"/>
      <c r="S5953" s="1"/>
      <c r="T5953" s="1"/>
      <c r="U5953" s="1"/>
      <c r="V5953" s="1"/>
      <c r="W5953" s="1"/>
      <c r="X5953" s="1"/>
    </row>
    <row x14ac:dyDescent="0.25" r="5954" customHeight="1" ht="18.75">
      <c r="A5954" s="1"/>
      <c r="B5954" s="1"/>
      <c r="C5954" s="1"/>
      <c r="D5954" s="1"/>
      <c r="E5954" s="1"/>
      <c r="F5954" s="1"/>
      <c r="G5954" s="1"/>
      <c r="H5954" s="1"/>
      <c r="I5954" s="2"/>
      <c r="J5954" s="1"/>
      <c r="K5954" s="1"/>
      <c r="L5954" s="1"/>
      <c r="M5954" s="1"/>
      <c r="N5954" s="1"/>
      <c r="O5954" s="1"/>
      <c r="P5954" s="1"/>
      <c r="Q5954" s="1"/>
      <c r="R5954" s="1"/>
      <c r="S5954" s="1"/>
      <c r="T5954" s="1"/>
      <c r="U5954" s="1"/>
      <c r="V5954" s="1"/>
      <c r="W5954" s="1"/>
      <c r="X5954" s="1"/>
    </row>
    <row x14ac:dyDescent="0.25" r="5955" customHeight="1" ht="18.75">
      <c r="A5955" s="1"/>
      <c r="B5955" s="1"/>
      <c r="C5955" s="1"/>
      <c r="D5955" s="1"/>
      <c r="E5955" s="1"/>
      <c r="F5955" s="1"/>
      <c r="G5955" s="1"/>
      <c r="H5955" s="1"/>
      <c r="I5955" s="2"/>
      <c r="J5955" s="1"/>
      <c r="K5955" s="1"/>
      <c r="L5955" s="1"/>
      <c r="M5955" s="1"/>
      <c r="N5955" s="1"/>
      <c r="O5955" s="1"/>
      <c r="P5955" s="1"/>
      <c r="Q5955" s="1"/>
      <c r="R5955" s="1"/>
      <c r="S5955" s="1"/>
      <c r="T5955" s="1"/>
      <c r="U5955" s="1"/>
      <c r="V5955" s="1"/>
      <c r="W5955" s="1"/>
      <c r="X5955" s="1"/>
    </row>
    <row x14ac:dyDescent="0.25" r="5956" customHeight="1" ht="18.75">
      <c r="A5956" s="1"/>
      <c r="B5956" s="1"/>
      <c r="C5956" s="1"/>
      <c r="D5956" s="1"/>
      <c r="E5956" s="1"/>
      <c r="F5956" s="1"/>
      <c r="G5956" s="1"/>
      <c r="H5956" s="1"/>
      <c r="I5956" s="2"/>
      <c r="J5956" s="1"/>
      <c r="K5956" s="1"/>
      <c r="L5956" s="1"/>
      <c r="M5956" s="1"/>
      <c r="N5956" s="1"/>
      <c r="O5956" s="1"/>
      <c r="P5956" s="1"/>
      <c r="Q5956" s="1"/>
      <c r="R5956" s="1"/>
      <c r="S5956" s="1"/>
      <c r="T5956" s="1"/>
      <c r="U5956" s="1"/>
      <c r="V5956" s="1"/>
      <c r="W5956" s="1"/>
      <c r="X5956" s="1"/>
    </row>
    <row x14ac:dyDescent="0.25" r="5957" customHeight="1" ht="18.75">
      <c r="A5957" s="1"/>
      <c r="B5957" s="1"/>
      <c r="C5957" s="1"/>
      <c r="D5957" s="1"/>
      <c r="E5957" s="1"/>
      <c r="F5957" s="1"/>
      <c r="G5957" s="1"/>
      <c r="H5957" s="1"/>
      <c r="I5957" s="2"/>
      <c r="J5957" s="1"/>
      <c r="K5957" s="1"/>
      <c r="L5957" s="1"/>
      <c r="M5957" s="1"/>
      <c r="N5957" s="1"/>
      <c r="O5957" s="1"/>
      <c r="P5957" s="1"/>
      <c r="Q5957" s="1"/>
      <c r="R5957" s="1"/>
      <c r="S5957" s="1"/>
      <c r="T5957" s="1"/>
      <c r="U5957" s="1"/>
      <c r="V5957" s="1"/>
      <c r="W5957" s="1"/>
      <c r="X5957" s="1"/>
    </row>
    <row x14ac:dyDescent="0.25" r="5958" customHeight="1" ht="18.75">
      <c r="A5958" s="1"/>
      <c r="B5958" s="1"/>
      <c r="C5958" s="1"/>
      <c r="D5958" s="1"/>
      <c r="E5958" s="1"/>
      <c r="F5958" s="1"/>
      <c r="G5958" s="1"/>
      <c r="H5958" s="1"/>
      <c r="I5958" s="2"/>
      <c r="J5958" s="1"/>
      <c r="K5958" s="1"/>
      <c r="L5958" s="1"/>
      <c r="M5958" s="1"/>
      <c r="N5958" s="1"/>
      <c r="O5958" s="1"/>
      <c r="P5958" s="1"/>
      <c r="Q5958" s="1"/>
      <c r="R5958" s="1"/>
      <c r="S5958" s="1"/>
      <c r="T5958" s="1"/>
      <c r="U5958" s="1"/>
      <c r="V5958" s="1"/>
      <c r="W5958" s="1"/>
      <c r="X5958" s="1"/>
    </row>
    <row x14ac:dyDescent="0.25" r="5959" customHeight="1" ht="18.75">
      <c r="A5959" s="1"/>
      <c r="B5959" s="1"/>
      <c r="C5959" s="1"/>
      <c r="D5959" s="1"/>
      <c r="E5959" s="1"/>
      <c r="F5959" s="1"/>
      <c r="G5959" s="1"/>
      <c r="H5959" s="1"/>
      <c r="I5959" s="2"/>
      <c r="J5959" s="1"/>
      <c r="K5959" s="1"/>
      <c r="L5959" s="1"/>
      <c r="M5959" s="1"/>
      <c r="N5959" s="1"/>
      <c r="O5959" s="1"/>
      <c r="P5959" s="1"/>
      <c r="Q5959" s="1"/>
      <c r="R5959" s="1"/>
      <c r="S5959" s="1"/>
      <c r="T5959" s="1"/>
      <c r="U5959" s="1"/>
      <c r="V5959" s="1"/>
      <c r="W5959" s="1"/>
      <c r="X5959" s="1"/>
    </row>
    <row x14ac:dyDescent="0.25" r="5960" customHeight="1" ht="18.75">
      <c r="A5960" s="1"/>
      <c r="B5960" s="1"/>
      <c r="C5960" s="1"/>
      <c r="D5960" s="1"/>
      <c r="E5960" s="1"/>
      <c r="F5960" s="1"/>
      <c r="G5960" s="1"/>
      <c r="H5960" s="1"/>
      <c r="I5960" s="2"/>
      <c r="J5960" s="1"/>
      <c r="K5960" s="1"/>
      <c r="L5960" s="1"/>
      <c r="M5960" s="1"/>
      <c r="N5960" s="1"/>
      <c r="O5960" s="1"/>
      <c r="P5960" s="1"/>
      <c r="Q5960" s="1"/>
      <c r="R5960" s="1"/>
      <c r="S5960" s="1"/>
      <c r="T5960" s="1"/>
      <c r="U5960" s="1"/>
      <c r="V5960" s="1"/>
      <c r="W5960" s="1"/>
      <c r="X5960" s="1"/>
    </row>
    <row x14ac:dyDescent="0.25" r="5961" customHeight="1" ht="18.75">
      <c r="A5961" s="1"/>
      <c r="B5961" s="1"/>
      <c r="C5961" s="1"/>
      <c r="D5961" s="1"/>
      <c r="E5961" s="1"/>
      <c r="F5961" s="1"/>
      <c r="G5961" s="1"/>
      <c r="H5961" s="1"/>
      <c r="I5961" s="2"/>
      <c r="J5961" s="1"/>
      <c r="K5961" s="1"/>
      <c r="L5961" s="1"/>
      <c r="M5961" s="1"/>
      <c r="N5961" s="1"/>
      <c r="O5961" s="1"/>
      <c r="P5961" s="1"/>
      <c r="Q5961" s="1"/>
      <c r="R5961" s="1"/>
      <c r="S5961" s="1"/>
      <c r="T5961" s="1"/>
      <c r="U5961" s="1"/>
      <c r="V5961" s="1"/>
      <c r="W5961" s="1"/>
      <c r="X5961" s="1"/>
    </row>
    <row x14ac:dyDescent="0.25" r="5962" customHeight="1" ht="18.75">
      <c r="A5962" s="1"/>
      <c r="B5962" s="1"/>
      <c r="C5962" s="1"/>
      <c r="D5962" s="1"/>
      <c r="E5962" s="1"/>
      <c r="F5962" s="1"/>
      <c r="G5962" s="1"/>
      <c r="H5962" s="1"/>
      <c r="I5962" s="2"/>
      <c r="J5962" s="1"/>
      <c r="K5962" s="1"/>
      <c r="L5962" s="1"/>
      <c r="M5962" s="1"/>
      <c r="N5962" s="1"/>
      <c r="O5962" s="1"/>
      <c r="P5962" s="1"/>
      <c r="Q5962" s="1"/>
      <c r="R5962" s="1"/>
      <c r="S5962" s="1"/>
      <c r="T5962" s="1"/>
      <c r="U5962" s="1"/>
      <c r="V5962" s="1"/>
      <c r="W5962" s="1"/>
      <c r="X5962" s="1"/>
    </row>
    <row x14ac:dyDescent="0.25" r="5963" customHeight="1" ht="18.75">
      <c r="A5963" s="1"/>
      <c r="B5963" s="1"/>
      <c r="C5963" s="1"/>
      <c r="D5963" s="1"/>
      <c r="E5963" s="1"/>
      <c r="F5963" s="1"/>
      <c r="G5963" s="1"/>
      <c r="H5963" s="1"/>
      <c r="I5963" s="2"/>
      <c r="J5963" s="1"/>
      <c r="K5963" s="1"/>
      <c r="L5963" s="1"/>
      <c r="M5963" s="1"/>
      <c r="N5963" s="1"/>
      <c r="O5963" s="1"/>
      <c r="P5963" s="1"/>
      <c r="Q5963" s="1"/>
      <c r="R5963" s="1"/>
      <c r="S5963" s="1"/>
      <c r="T5963" s="1"/>
      <c r="U5963" s="1"/>
      <c r="V5963" s="1"/>
      <c r="W5963" s="1"/>
      <c r="X5963" s="1"/>
    </row>
    <row x14ac:dyDescent="0.25" r="5964" customHeight="1" ht="18.75">
      <c r="A5964" s="1"/>
      <c r="B5964" s="1"/>
      <c r="C5964" s="1"/>
      <c r="D5964" s="1"/>
      <c r="E5964" s="1"/>
      <c r="F5964" s="1"/>
      <c r="G5964" s="1"/>
      <c r="H5964" s="1"/>
      <c r="I5964" s="2"/>
      <c r="J5964" s="1"/>
      <c r="K5964" s="1"/>
      <c r="L5964" s="1"/>
      <c r="M5964" s="1"/>
      <c r="N5964" s="1"/>
      <c r="O5964" s="1"/>
      <c r="P5964" s="1"/>
      <c r="Q5964" s="1"/>
      <c r="R5964" s="1"/>
      <c r="S5964" s="1"/>
      <c r="T5964" s="1"/>
      <c r="U5964" s="1"/>
      <c r="V5964" s="1"/>
      <c r="W5964" s="1"/>
      <c r="X5964" s="1"/>
    </row>
    <row x14ac:dyDescent="0.25" r="5965" customHeight="1" ht="18.75">
      <c r="A5965" s="1"/>
      <c r="B5965" s="1"/>
      <c r="C5965" s="1"/>
      <c r="D5965" s="1"/>
      <c r="E5965" s="1"/>
      <c r="F5965" s="1"/>
      <c r="G5965" s="1"/>
      <c r="H5965" s="1"/>
      <c r="I5965" s="2"/>
      <c r="J5965" s="1"/>
      <c r="K5965" s="1"/>
      <c r="L5965" s="1"/>
      <c r="M5965" s="1"/>
      <c r="N5965" s="1"/>
      <c r="O5965" s="1"/>
      <c r="P5965" s="1"/>
      <c r="Q5965" s="1"/>
      <c r="R5965" s="1"/>
      <c r="S5965" s="1"/>
      <c r="T5965" s="1"/>
      <c r="U5965" s="1"/>
      <c r="V5965" s="1"/>
      <c r="W5965" s="1"/>
      <c r="X5965" s="1"/>
    </row>
    <row x14ac:dyDescent="0.25" r="5966" customHeight="1" ht="18.75">
      <c r="A5966" s="1"/>
      <c r="B5966" s="1"/>
      <c r="C5966" s="1"/>
      <c r="D5966" s="1"/>
      <c r="E5966" s="1"/>
      <c r="F5966" s="1"/>
      <c r="G5966" s="1"/>
      <c r="H5966" s="1"/>
      <c r="I5966" s="2"/>
      <c r="J5966" s="1"/>
      <c r="K5966" s="1"/>
      <c r="L5966" s="1"/>
      <c r="M5966" s="1"/>
      <c r="N5966" s="1"/>
      <c r="O5966" s="1"/>
      <c r="P5966" s="1"/>
      <c r="Q5966" s="1"/>
      <c r="R5966" s="1"/>
      <c r="S5966" s="1"/>
      <c r="T5966" s="1"/>
      <c r="U5966" s="1"/>
      <c r="V5966" s="1"/>
      <c r="W5966" s="1"/>
      <c r="X5966" s="1"/>
    </row>
    <row x14ac:dyDescent="0.25" r="5967" customHeight="1" ht="18.75">
      <c r="A5967" s="1"/>
      <c r="B5967" s="1"/>
      <c r="C5967" s="1"/>
      <c r="D5967" s="1"/>
      <c r="E5967" s="1"/>
      <c r="F5967" s="1"/>
      <c r="G5967" s="1"/>
      <c r="H5967" s="1"/>
      <c r="I5967" s="2"/>
      <c r="J5967" s="1"/>
      <c r="K5967" s="1"/>
      <c r="L5967" s="1"/>
      <c r="M5967" s="1"/>
      <c r="N5967" s="1"/>
      <c r="O5967" s="1"/>
      <c r="P5967" s="1"/>
      <c r="Q5967" s="1"/>
      <c r="R5967" s="1"/>
      <c r="S5967" s="1"/>
      <c r="T5967" s="1"/>
      <c r="U5967" s="1"/>
      <c r="V5967" s="1"/>
      <c r="W5967" s="1"/>
      <c r="X5967" s="1"/>
    </row>
    <row x14ac:dyDescent="0.25" r="5968" customHeight="1" ht="18.75">
      <c r="A5968" s="1"/>
      <c r="B5968" s="1"/>
      <c r="C5968" s="1"/>
      <c r="D5968" s="1"/>
      <c r="E5968" s="1"/>
      <c r="F5968" s="1"/>
      <c r="G5968" s="1"/>
      <c r="H5968" s="1"/>
      <c r="I5968" s="2"/>
      <c r="J5968" s="1"/>
      <c r="K5968" s="1"/>
      <c r="L5968" s="1"/>
      <c r="M5968" s="1"/>
      <c r="N5968" s="1"/>
      <c r="O5968" s="1"/>
      <c r="P5968" s="1"/>
      <c r="Q5968" s="1"/>
      <c r="R5968" s="1"/>
      <c r="S5968" s="1"/>
      <c r="T5968" s="1"/>
      <c r="U5968" s="1"/>
      <c r="V5968" s="1"/>
      <c r="W5968" s="1"/>
      <c r="X5968" s="1"/>
    </row>
    <row x14ac:dyDescent="0.25" r="5969" customHeight="1" ht="18.75">
      <c r="A5969" s="1"/>
      <c r="B5969" s="1"/>
      <c r="C5969" s="1"/>
      <c r="D5969" s="1"/>
      <c r="E5969" s="1"/>
      <c r="F5969" s="1"/>
      <c r="G5969" s="1"/>
      <c r="H5969" s="1"/>
      <c r="I5969" s="2"/>
      <c r="J5969" s="1"/>
      <c r="K5969" s="1"/>
      <c r="L5969" s="1"/>
      <c r="M5969" s="1"/>
      <c r="N5969" s="1"/>
      <c r="O5969" s="1"/>
      <c r="P5969" s="1"/>
      <c r="Q5969" s="1"/>
      <c r="R5969" s="1"/>
      <c r="S5969" s="1"/>
      <c r="T5969" s="1"/>
      <c r="U5969" s="1"/>
      <c r="V5969" s="1"/>
      <c r="W5969" s="1"/>
      <c r="X5969" s="1"/>
    </row>
    <row x14ac:dyDescent="0.25" r="5970" customHeight="1" ht="18.75">
      <c r="A5970" s="1"/>
      <c r="B5970" s="1"/>
      <c r="C5970" s="1"/>
      <c r="D5970" s="1"/>
      <c r="E5970" s="1"/>
      <c r="F5970" s="1"/>
      <c r="G5970" s="1"/>
      <c r="H5970" s="1"/>
      <c r="I5970" s="2"/>
      <c r="J5970" s="1"/>
      <c r="K5970" s="1"/>
      <c r="L5970" s="1"/>
      <c r="M5970" s="1"/>
      <c r="N5970" s="1"/>
      <c r="O5970" s="1"/>
      <c r="P5970" s="1"/>
      <c r="Q5970" s="1"/>
      <c r="R5970" s="1"/>
      <c r="S5970" s="1"/>
      <c r="T5970" s="1"/>
      <c r="U5970" s="1"/>
      <c r="V5970" s="1"/>
      <c r="W5970" s="1"/>
      <c r="X5970" s="1"/>
    </row>
    <row x14ac:dyDescent="0.25" r="5971" customHeight="1" ht="18.75">
      <c r="A5971" s="1"/>
      <c r="B5971" s="1"/>
      <c r="C5971" s="1"/>
      <c r="D5971" s="1"/>
      <c r="E5971" s="1"/>
      <c r="F5971" s="1"/>
      <c r="G5971" s="1"/>
      <c r="H5971" s="1"/>
      <c r="I5971" s="2"/>
      <c r="J5971" s="1"/>
      <c r="K5971" s="1"/>
      <c r="L5971" s="1"/>
      <c r="M5971" s="1"/>
      <c r="N5971" s="1"/>
      <c r="O5971" s="1"/>
      <c r="P5971" s="1"/>
      <c r="Q5971" s="1"/>
      <c r="R5971" s="1"/>
      <c r="S5971" s="1"/>
      <c r="T5971" s="1"/>
      <c r="U5971" s="1"/>
      <c r="V5971" s="1"/>
      <c r="W5971" s="1"/>
      <c r="X5971" s="1"/>
    </row>
    <row x14ac:dyDescent="0.25" r="5972" customHeight="1" ht="18.75">
      <c r="A5972" s="1"/>
      <c r="B5972" s="1"/>
      <c r="C5972" s="1"/>
      <c r="D5972" s="1"/>
      <c r="E5972" s="1"/>
      <c r="F5972" s="1"/>
      <c r="G5972" s="1"/>
      <c r="H5972" s="1"/>
      <c r="I5972" s="2"/>
      <c r="J5972" s="1"/>
      <c r="K5972" s="1"/>
      <c r="L5972" s="1"/>
      <c r="M5972" s="1"/>
      <c r="N5972" s="1"/>
      <c r="O5972" s="1"/>
      <c r="P5972" s="1"/>
      <c r="Q5972" s="1"/>
      <c r="R5972" s="1"/>
      <c r="S5972" s="1"/>
      <c r="T5972" s="1"/>
      <c r="U5972" s="1"/>
      <c r="V5972" s="1"/>
      <c r="W5972" s="1"/>
      <c r="X5972" s="1"/>
    </row>
    <row x14ac:dyDescent="0.25" r="5973" customHeight="1" ht="18.75">
      <c r="A5973" s="1"/>
      <c r="B5973" s="1"/>
      <c r="C5973" s="1"/>
      <c r="D5973" s="1"/>
      <c r="E5973" s="1"/>
      <c r="F5973" s="1"/>
      <c r="G5973" s="1"/>
      <c r="H5973" s="1"/>
      <c r="I5973" s="2"/>
      <c r="J5973" s="1"/>
      <c r="K5973" s="1"/>
      <c r="L5973" s="1"/>
      <c r="M5973" s="1"/>
      <c r="N5973" s="1"/>
      <c r="O5973" s="1"/>
      <c r="P5973" s="1"/>
      <c r="Q5973" s="1"/>
      <c r="R5973" s="1"/>
      <c r="S5973" s="1"/>
      <c r="T5973" s="1"/>
      <c r="U5973" s="1"/>
      <c r="V5973" s="1"/>
      <c r="W5973" s="1"/>
      <c r="X5973" s="1"/>
    </row>
    <row x14ac:dyDescent="0.25" r="5974" customHeight="1" ht="18.75">
      <c r="A5974" s="1"/>
      <c r="B5974" s="1"/>
      <c r="C5974" s="1"/>
      <c r="D5974" s="1"/>
      <c r="E5974" s="1"/>
      <c r="F5974" s="1"/>
      <c r="G5974" s="1"/>
      <c r="H5974" s="1"/>
      <c r="I5974" s="2"/>
      <c r="J5974" s="1"/>
      <c r="K5974" s="1"/>
      <c r="L5974" s="1"/>
      <c r="M5974" s="1"/>
      <c r="N5974" s="1"/>
      <c r="O5974" s="1"/>
      <c r="P5974" s="1"/>
      <c r="Q5974" s="1"/>
      <c r="R5974" s="1"/>
      <c r="S5974" s="1"/>
      <c r="T5974" s="1"/>
      <c r="U5974" s="1"/>
      <c r="V5974" s="1"/>
      <c r="W5974" s="1"/>
      <c r="X5974" s="1"/>
    </row>
    <row x14ac:dyDescent="0.25" r="5975" customHeight="1" ht="18.75">
      <c r="A5975" s="1"/>
      <c r="B5975" s="1"/>
      <c r="C5975" s="1"/>
      <c r="D5975" s="1"/>
      <c r="E5975" s="1"/>
      <c r="F5975" s="1"/>
      <c r="G5975" s="1"/>
      <c r="H5975" s="1"/>
      <c r="I5975" s="2"/>
      <c r="J5975" s="1"/>
      <c r="K5975" s="1"/>
      <c r="L5975" s="1"/>
      <c r="M5975" s="1"/>
      <c r="N5975" s="1"/>
      <c r="O5975" s="1"/>
      <c r="P5975" s="1"/>
      <c r="Q5975" s="1"/>
      <c r="R5975" s="1"/>
      <c r="S5975" s="1"/>
      <c r="T5975" s="1"/>
      <c r="U5975" s="1"/>
      <c r="V5975" s="1"/>
      <c r="W5975" s="1"/>
      <c r="X5975" s="1"/>
    </row>
    <row x14ac:dyDescent="0.25" r="5976" customHeight="1" ht="18.75">
      <c r="A5976" s="1"/>
      <c r="B5976" s="1"/>
      <c r="C5976" s="1"/>
      <c r="D5976" s="1"/>
      <c r="E5976" s="1"/>
      <c r="F5976" s="1"/>
      <c r="G5976" s="1"/>
      <c r="H5976" s="1"/>
      <c r="I5976" s="2"/>
      <c r="J5976" s="1"/>
      <c r="K5976" s="1"/>
      <c r="L5976" s="1"/>
      <c r="M5976" s="1"/>
      <c r="N5976" s="1"/>
      <c r="O5976" s="1"/>
      <c r="P5976" s="1"/>
      <c r="Q5976" s="1"/>
      <c r="R5976" s="1"/>
      <c r="S5976" s="1"/>
      <c r="T5976" s="1"/>
      <c r="U5976" s="1"/>
      <c r="V5976" s="1"/>
      <c r="W5976" s="1"/>
      <c r="X5976" s="1"/>
    </row>
    <row x14ac:dyDescent="0.25" r="5977" customHeight="1" ht="18.75">
      <c r="A5977" s="1"/>
      <c r="B5977" s="1"/>
      <c r="C5977" s="1"/>
      <c r="D5977" s="1"/>
      <c r="E5977" s="1"/>
      <c r="F5977" s="1"/>
      <c r="G5977" s="1"/>
      <c r="H5977" s="1"/>
      <c r="I5977" s="2"/>
      <c r="J5977" s="1"/>
      <c r="K5977" s="1"/>
      <c r="L5977" s="1"/>
      <c r="M5977" s="1"/>
      <c r="N5977" s="1"/>
      <c r="O5977" s="1"/>
      <c r="P5977" s="1"/>
      <c r="Q5977" s="1"/>
      <c r="R5977" s="1"/>
      <c r="S5977" s="1"/>
      <c r="T5977" s="1"/>
      <c r="U5977" s="1"/>
      <c r="V5977" s="1"/>
      <c r="W5977" s="1"/>
      <c r="X5977" s="1"/>
    </row>
    <row x14ac:dyDescent="0.25" r="5978" customHeight="1" ht="18.75">
      <c r="A5978" s="1"/>
      <c r="B5978" s="1"/>
      <c r="C5978" s="1"/>
      <c r="D5978" s="1"/>
      <c r="E5978" s="1"/>
      <c r="F5978" s="1"/>
      <c r="G5978" s="1"/>
      <c r="H5978" s="1"/>
      <c r="I5978" s="2"/>
      <c r="J5978" s="1"/>
      <c r="K5978" s="1"/>
      <c r="L5978" s="1"/>
      <c r="M5978" s="1"/>
      <c r="N5978" s="1"/>
      <c r="O5978" s="1"/>
      <c r="P5978" s="1"/>
      <c r="Q5978" s="1"/>
      <c r="R5978" s="1"/>
      <c r="S5978" s="1"/>
      <c r="T5978" s="1"/>
      <c r="U5978" s="1"/>
      <c r="V5978" s="1"/>
      <c r="W5978" s="1"/>
      <c r="X5978" s="1"/>
    </row>
    <row x14ac:dyDescent="0.25" r="5979" customHeight="1" ht="18.75">
      <c r="A5979" s="1"/>
      <c r="B5979" s="1"/>
      <c r="C5979" s="1"/>
      <c r="D5979" s="1"/>
      <c r="E5979" s="1"/>
      <c r="F5979" s="1"/>
      <c r="G5979" s="1"/>
      <c r="H5979" s="1"/>
      <c r="I5979" s="2"/>
      <c r="J5979" s="1"/>
      <c r="K5979" s="1"/>
      <c r="L5979" s="1"/>
      <c r="M5979" s="1"/>
      <c r="N5979" s="1"/>
      <c r="O5979" s="1"/>
      <c r="P5979" s="1"/>
      <c r="Q5979" s="1"/>
      <c r="R5979" s="1"/>
      <c r="S5979" s="1"/>
      <c r="T5979" s="1"/>
      <c r="U5979" s="1"/>
      <c r="V5979" s="1"/>
      <c r="W5979" s="1"/>
      <c r="X5979" s="1"/>
    </row>
    <row x14ac:dyDescent="0.25" r="5980" customHeight="1" ht="18.75">
      <c r="A5980" s="1"/>
      <c r="B5980" s="1"/>
      <c r="C5980" s="1"/>
      <c r="D5980" s="1"/>
      <c r="E5980" s="1"/>
      <c r="F5980" s="1"/>
      <c r="G5980" s="1"/>
      <c r="H5980" s="1"/>
      <c r="I5980" s="2"/>
      <c r="J5980" s="1"/>
      <c r="K5980" s="1"/>
      <c r="L5980" s="1"/>
      <c r="M5980" s="1"/>
      <c r="N5980" s="1"/>
      <c r="O5980" s="1"/>
      <c r="P5980" s="1"/>
      <c r="Q5980" s="1"/>
      <c r="R5980" s="1"/>
      <c r="S5980" s="1"/>
      <c r="T5980" s="1"/>
      <c r="U5980" s="1"/>
      <c r="V5980" s="1"/>
      <c r="W5980" s="1"/>
      <c r="X5980" s="1"/>
    </row>
    <row x14ac:dyDescent="0.25" r="5981" customHeight="1" ht="18.75">
      <c r="A5981" s="1"/>
      <c r="B5981" s="1"/>
      <c r="C5981" s="1"/>
      <c r="D5981" s="1"/>
      <c r="E5981" s="1"/>
      <c r="F5981" s="1"/>
      <c r="G5981" s="1"/>
      <c r="H5981" s="1"/>
      <c r="I5981" s="2"/>
      <c r="J5981" s="1"/>
      <c r="K5981" s="1"/>
      <c r="L5981" s="1"/>
      <c r="M5981" s="1"/>
      <c r="N5981" s="1"/>
      <c r="O5981" s="1"/>
      <c r="P5981" s="1"/>
      <c r="Q5981" s="1"/>
      <c r="R5981" s="1"/>
      <c r="S5981" s="1"/>
      <c r="T5981" s="1"/>
      <c r="U5981" s="1"/>
      <c r="V5981" s="1"/>
      <c r="W5981" s="1"/>
      <c r="X5981" s="1"/>
    </row>
    <row x14ac:dyDescent="0.25" r="5982" customHeight="1" ht="18.75">
      <c r="A5982" s="1"/>
      <c r="B5982" s="1"/>
      <c r="C5982" s="1"/>
      <c r="D5982" s="1"/>
      <c r="E5982" s="1"/>
      <c r="F5982" s="1"/>
      <c r="G5982" s="1"/>
      <c r="H5982" s="1"/>
      <c r="I5982" s="2"/>
      <c r="J5982" s="1"/>
      <c r="K5982" s="1"/>
      <c r="L5982" s="1"/>
      <c r="M5982" s="1"/>
      <c r="N5982" s="1"/>
      <c r="O5982" s="1"/>
      <c r="P5982" s="1"/>
      <c r="Q5982" s="1"/>
      <c r="R5982" s="1"/>
      <c r="S5982" s="1"/>
      <c r="T5982" s="1"/>
      <c r="U5982" s="1"/>
      <c r="V5982" s="1"/>
      <c r="W5982" s="1"/>
      <c r="X5982" s="1"/>
    </row>
    <row x14ac:dyDescent="0.25" r="5983" customHeight="1" ht="18.75">
      <c r="A5983" s="1"/>
      <c r="B5983" s="1"/>
      <c r="C5983" s="1"/>
      <c r="D5983" s="1"/>
      <c r="E5983" s="1"/>
      <c r="F5983" s="1"/>
      <c r="G5983" s="1"/>
      <c r="H5983" s="1"/>
      <c r="I5983" s="2"/>
      <c r="J5983" s="1"/>
      <c r="K5983" s="1"/>
      <c r="L5983" s="1"/>
      <c r="M5983" s="1"/>
      <c r="N5983" s="1"/>
      <c r="O5983" s="1"/>
      <c r="P5983" s="1"/>
      <c r="Q5983" s="1"/>
      <c r="R5983" s="1"/>
      <c r="S5983" s="1"/>
      <c r="T5983" s="1"/>
      <c r="U5983" s="1"/>
      <c r="V5983" s="1"/>
      <c r="W5983" s="1"/>
      <c r="X5983" s="1"/>
    </row>
    <row x14ac:dyDescent="0.25" r="5984" customHeight="1" ht="18.75">
      <c r="A5984" s="1"/>
      <c r="B5984" s="1"/>
      <c r="C5984" s="1"/>
      <c r="D5984" s="1"/>
      <c r="E5984" s="1"/>
      <c r="F5984" s="1"/>
      <c r="G5984" s="1"/>
      <c r="H5984" s="1"/>
      <c r="I5984" s="2"/>
      <c r="J5984" s="1"/>
      <c r="K5984" s="1"/>
      <c r="L5984" s="1"/>
      <c r="M5984" s="1"/>
      <c r="N5984" s="1"/>
      <c r="O5984" s="1"/>
      <c r="P5984" s="1"/>
      <c r="Q5984" s="1"/>
      <c r="R5984" s="1"/>
      <c r="S5984" s="1"/>
      <c r="T5984" s="1"/>
      <c r="U5984" s="1"/>
      <c r="V5984" s="1"/>
      <c r="W5984" s="1"/>
      <c r="X5984" s="1"/>
    </row>
    <row x14ac:dyDescent="0.25" r="5985" customHeight="1" ht="18.75">
      <c r="A5985" s="1"/>
      <c r="B5985" s="1"/>
      <c r="C5985" s="1"/>
      <c r="D5985" s="1"/>
      <c r="E5985" s="1"/>
      <c r="F5985" s="1"/>
      <c r="G5985" s="1"/>
      <c r="H5985" s="1"/>
      <c r="I5985" s="2"/>
      <c r="J5985" s="1"/>
      <c r="K5985" s="1"/>
      <c r="L5985" s="1"/>
      <c r="M5985" s="1"/>
      <c r="N5985" s="1"/>
      <c r="O5985" s="1"/>
      <c r="P5985" s="1"/>
      <c r="Q5985" s="1"/>
      <c r="R5985" s="1"/>
      <c r="S5985" s="1"/>
      <c r="T5985" s="1"/>
      <c r="U5985" s="1"/>
      <c r="V5985" s="1"/>
      <c r="W5985" s="1"/>
      <c r="X5985" s="1"/>
    </row>
    <row x14ac:dyDescent="0.25" r="5986" customHeight="1" ht="18.75">
      <c r="A5986" s="1"/>
      <c r="B5986" s="1"/>
      <c r="C5986" s="1"/>
      <c r="D5986" s="1"/>
      <c r="E5986" s="1"/>
      <c r="F5986" s="1"/>
      <c r="G5986" s="1"/>
      <c r="H5986" s="1"/>
      <c r="I5986" s="2"/>
      <c r="J5986" s="1"/>
      <c r="K5986" s="1"/>
      <c r="L5986" s="1"/>
      <c r="M5986" s="1"/>
      <c r="N5986" s="1"/>
      <c r="O5986" s="1"/>
      <c r="P5986" s="1"/>
      <c r="Q5986" s="1"/>
      <c r="R5986" s="1"/>
      <c r="S5986" s="1"/>
      <c r="T5986" s="1"/>
      <c r="U5986" s="1"/>
      <c r="V5986" s="1"/>
      <c r="W5986" s="1"/>
      <c r="X5986" s="1"/>
    </row>
    <row x14ac:dyDescent="0.25" r="5987" customHeight="1" ht="18.75">
      <c r="A5987" s="1"/>
      <c r="B5987" s="1"/>
      <c r="C5987" s="1"/>
      <c r="D5987" s="1"/>
      <c r="E5987" s="1"/>
      <c r="F5987" s="1"/>
      <c r="G5987" s="1"/>
      <c r="H5987" s="1"/>
      <c r="I5987" s="2"/>
      <c r="J5987" s="1"/>
      <c r="K5987" s="1"/>
      <c r="L5987" s="1"/>
      <c r="M5987" s="1"/>
      <c r="N5987" s="1"/>
      <c r="O5987" s="1"/>
      <c r="P5987" s="1"/>
      <c r="Q5987" s="1"/>
      <c r="R5987" s="1"/>
      <c r="S5987" s="1"/>
      <c r="T5987" s="1"/>
      <c r="U5987" s="1"/>
      <c r="V5987" s="1"/>
      <c r="W5987" s="1"/>
      <c r="X5987" s="1"/>
    </row>
    <row x14ac:dyDescent="0.25" r="5988" customHeight="1" ht="18.75">
      <c r="A5988" s="1"/>
      <c r="B5988" s="1"/>
      <c r="C5988" s="1"/>
      <c r="D5988" s="1"/>
      <c r="E5988" s="1"/>
      <c r="F5988" s="1"/>
      <c r="G5988" s="1"/>
      <c r="H5988" s="1"/>
      <c r="I5988" s="2"/>
      <c r="J5988" s="1"/>
      <c r="K5988" s="1"/>
      <c r="L5988" s="1"/>
      <c r="M5988" s="1"/>
      <c r="N5988" s="1"/>
      <c r="O5988" s="1"/>
      <c r="P5988" s="1"/>
      <c r="Q5988" s="1"/>
      <c r="R5988" s="1"/>
      <c r="S5988" s="1"/>
      <c r="T5988" s="1"/>
      <c r="U5988" s="1"/>
      <c r="V5988" s="1"/>
      <c r="W5988" s="1"/>
      <c r="X5988" s="1"/>
    </row>
    <row x14ac:dyDescent="0.25" r="5989" customHeight="1" ht="18.75">
      <c r="A5989" s="1"/>
      <c r="B5989" s="1"/>
      <c r="C5989" s="1"/>
      <c r="D5989" s="1"/>
      <c r="E5989" s="1"/>
      <c r="F5989" s="1"/>
      <c r="G5989" s="1"/>
      <c r="H5989" s="1"/>
      <c r="I5989" s="2"/>
      <c r="J5989" s="1"/>
      <c r="K5989" s="1"/>
      <c r="L5989" s="1"/>
      <c r="M5989" s="1"/>
      <c r="N5989" s="1"/>
      <c r="O5989" s="1"/>
      <c r="P5989" s="1"/>
      <c r="Q5989" s="1"/>
      <c r="R5989" s="1"/>
      <c r="S5989" s="1"/>
      <c r="T5989" s="1"/>
      <c r="U5989" s="1"/>
      <c r="V5989" s="1"/>
      <c r="W5989" s="1"/>
      <c r="X5989" s="1"/>
    </row>
    <row x14ac:dyDescent="0.25" r="5990" customHeight="1" ht="18.75">
      <c r="A5990" s="1"/>
      <c r="B5990" s="1"/>
      <c r="C5990" s="1"/>
      <c r="D5990" s="1"/>
      <c r="E5990" s="1"/>
      <c r="F5990" s="1"/>
      <c r="G5990" s="1"/>
      <c r="H5990" s="1"/>
      <c r="I5990" s="2"/>
      <c r="J5990" s="1"/>
      <c r="K5990" s="1"/>
      <c r="L5990" s="1"/>
      <c r="M5990" s="1"/>
      <c r="N5990" s="1"/>
      <c r="O5990" s="1"/>
      <c r="P5990" s="1"/>
      <c r="Q5990" s="1"/>
      <c r="R5990" s="1"/>
      <c r="S5990" s="1"/>
      <c r="T5990" s="1"/>
      <c r="U5990" s="1"/>
      <c r="V5990" s="1"/>
      <c r="W5990" s="1"/>
      <c r="X5990" s="1"/>
    </row>
    <row x14ac:dyDescent="0.25" r="5991" customHeight="1" ht="18.75">
      <c r="A5991" s="1"/>
      <c r="B5991" s="1"/>
      <c r="C5991" s="1"/>
      <c r="D5991" s="1"/>
      <c r="E5991" s="1"/>
      <c r="F5991" s="1"/>
      <c r="G5991" s="1"/>
      <c r="H5991" s="1"/>
      <c r="I5991" s="2"/>
      <c r="J5991" s="1"/>
      <c r="K5991" s="1"/>
      <c r="L5991" s="1"/>
      <c r="M5991" s="1"/>
      <c r="N5991" s="1"/>
      <c r="O5991" s="1"/>
      <c r="P5991" s="1"/>
      <c r="Q5991" s="1"/>
      <c r="R5991" s="1"/>
      <c r="S5991" s="1"/>
      <c r="T5991" s="1"/>
      <c r="U5991" s="1"/>
      <c r="V5991" s="1"/>
      <c r="W5991" s="1"/>
      <c r="X5991" s="1"/>
    </row>
    <row x14ac:dyDescent="0.25" r="5992" customHeight="1" ht="18.75">
      <c r="A5992" s="1"/>
      <c r="B5992" s="1"/>
      <c r="C5992" s="1"/>
      <c r="D5992" s="1"/>
      <c r="E5992" s="1"/>
      <c r="F5992" s="1"/>
      <c r="G5992" s="1"/>
      <c r="H5992" s="1"/>
      <c r="I5992" s="2"/>
      <c r="J5992" s="1"/>
      <c r="K5992" s="1"/>
      <c r="L5992" s="1"/>
      <c r="M5992" s="1"/>
      <c r="N5992" s="1"/>
      <c r="O5992" s="1"/>
      <c r="P5992" s="1"/>
      <c r="Q5992" s="1"/>
      <c r="R5992" s="1"/>
      <c r="S5992" s="1"/>
      <c r="T5992" s="1"/>
      <c r="U5992" s="1"/>
      <c r="V5992" s="1"/>
      <c r="W5992" s="1"/>
      <c r="X5992" s="1"/>
    </row>
    <row x14ac:dyDescent="0.25" r="5993" customHeight="1" ht="18.75">
      <c r="A5993" s="1"/>
      <c r="B5993" s="1"/>
      <c r="C5993" s="1"/>
      <c r="D5993" s="1"/>
      <c r="E5993" s="1"/>
      <c r="F5993" s="1"/>
      <c r="G5993" s="1"/>
      <c r="H5993" s="1"/>
      <c r="I5993" s="2"/>
      <c r="J5993" s="1"/>
      <c r="K5993" s="1"/>
      <c r="L5993" s="1"/>
      <c r="M5993" s="1"/>
      <c r="N5993" s="1"/>
      <c r="O5993" s="1"/>
      <c r="P5993" s="1"/>
      <c r="Q5993" s="1"/>
      <c r="R5993" s="1"/>
      <c r="S5993" s="1"/>
      <c r="T5993" s="1"/>
      <c r="U5993" s="1"/>
      <c r="V5993" s="1"/>
      <c r="W5993" s="1"/>
      <c r="X5993" s="1"/>
    </row>
    <row x14ac:dyDescent="0.25" r="5994" customHeight="1" ht="18.75">
      <c r="A5994" s="1"/>
      <c r="B5994" s="1"/>
      <c r="C5994" s="1"/>
      <c r="D5994" s="1"/>
      <c r="E5994" s="1"/>
      <c r="F5994" s="1"/>
      <c r="G5994" s="1"/>
      <c r="H5994" s="1"/>
      <c r="I5994" s="2"/>
      <c r="J5994" s="1"/>
      <c r="K5994" s="1"/>
      <c r="L5994" s="1"/>
      <c r="M5994" s="1"/>
      <c r="N5994" s="1"/>
      <c r="O5994" s="1"/>
      <c r="P5994" s="1"/>
      <c r="Q5994" s="1"/>
      <c r="R5994" s="1"/>
      <c r="S5994" s="1"/>
      <c r="T5994" s="1"/>
      <c r="U5994" s="1"/>
      <c r="V5994" s="1"/>
      <c r="W5994" s="1"/>
      <c r="X5994" s="1"/>
    </row>
    <row x14ac:dyDescent="0.25" r="5995" customHeight="1" ht="18.75">
      <c r="A5995" s="1"/>
      <c r="B5995" s="1"/>
      <c r="C5995" s="1"/>
      <c r="D5995" s="1"/>
      <c r="E5995" s="1"/>
      <c r="F5995" s="1"/>
      <c r="G5995" s="1"/>
      <c r="H5995" s="1"/>
      <c r="I5995" s="2"/>
      <c r="J5995" s="1"/>
      <c r="K5995" s="1"/>
      <c r="L5995" s="1"/>
      <c r="M5995" s="1"/>
      <c r="N5995" s="1"/>
      <c r="O5995" s="1"/>
      <c r="P5995" s="1"/>
      <c r="Q5995" s="1"/>
      <c r="R5995" s="1"/>
      <c r="S5995" s="1"/>
      <c r="T5995" s="1"/>
      <c r="U5995" s="1"/>
      <c r="V5995" s="1"/>
      <c r="W5995" s="1"/>
      <c r="X5995" s="1"/>
    </row>
    <row x14ac:dyDescent="0.25" r="5996" customHeight="1" ht="18.75">
      <c r="A5996" s="1"/>
      <c r="B5996" s="1"/>
      <c r="C5996" s="1"/>
      <c r="D5996" s="1"/>
      <c r="E5996" s="1"/>
      <c r="F5996" s="1"/>
      <c r="G5996" s="1"/>
      <c r="H5996" s="1"/>
      <c r="I5996" s="2"/>
      <c r="J5996" s="1"/>
      <c r="K5996" s="1"/>
      <c r="L5996" s="1"/>
      <c r="M5996" s="1"/>
      <c r="N5996" s="1"/>
      <c r="O5996" s="1"/>
      <c r="P5996" s="1"/>
      <c r="Q5996" s="1"/>
      <c r="R5996" s="1"/>
      <c r="S5996" s="1"/>
      <c r="T5996" s="1"/>
      <c r="U5996" s="1"/>
      <c r="V5996" s="1"/>
      <c r="W5996" s="1"/>
      <c r="X5996" s="1"/>
    </row>
    <row x14ac:dyDescent="0.25" r="5997" customHeight="1" ht="18.75">
      <c r="A5997" s="1"/>
      <c r="B5997" s="1"/>
      <c r="C5997" s="1"/>
      <c r="D5997" s="1"/>
      <c r="E5997" s="1"/>
      <c r="F5997" s="1"/>
      <c r="G5997" s="1"/>
      <c r="H5997" s="1"/>
      <c r="I5997" s="2"/>
      <c r="J5997" s="1"/>
      <c r="K5997" s="1"/>
      <c r="L5997" s="1"/>
      <c r="M5997" s="1"/>
      <c r="N5997" s="1"/>
      <c r="O5997" s="1"/>
      <c r="P5997" s="1"/>
      <c r="Q5997" s="1"/>
      <c r="R5997" s="1"/>
      <c r="S5997" s="1"/>
      <c r="T5997" s="1"/>
      <c r="U5997" s="1"/>
      <c r="V5997" s="1"/>
      <c r="W5997" s="1"/>
      <c r="X5997" s="1"/>
    </row>
    <row x14ac:dyDescent="0.25" r="5998" customHeight="1" ht="18.75">
      <c r="A5998" s="1"/>
      <c r="B5998" s="1"/>
      <c r="C5998" s="1"/>
      <c r="D5998" s="1"/>
      <c r="E5998" s="1"/>
      <c r="F5998" s="1"/>
      <c r="G5998" s="1"/>
      <c r="H5998" s="1"/>
      <c r="I5998" s="2"/>
      <c r="J5998" s="1"/>
      <c r="K5998" s="1"/>
      <c r="L5998" s="1"/>
      <c r="M5998" s="1"/>
      <c r="N5998" s="1"/>
      <c r="O5998" s="1"/>
      <c r="P5998" s="1"/>
      <c r="Q5998" s="1"/>
      <c r="R5998" s="1"/>
      <c r="S5998" s="1"/>
      <c r="T5998" s="1"/>
      <c r="U5998" s="1"/>
      <c r="V5998" s="1"/>
      <c r="W5998" s="1"/>
      <c r="X5998" s="1"/>
    </row>
    <row x14ac:dyDescent="0.25" r="5999" customHeight="1" ht="18.75">
      <c r="A5999" s="1"/>
      <c r="B5999" s="1"/>
      <c r="C5999" s="1"/>
      <c r="D5999" s="1"/>
      <c r="E5999" s="1"/>
      <c r="F5999" s="1"/>
      <c r="G5999" s="1"/>
      <c r="H5999" s="1"/>
      <c r="I5999" s="2"/>
      <c r="J5999" s="1"/>
      <c r="K5999" s="1"/>
      <c r="L5999" s="1"/>
      <c r="M5999" s="1"/>
      <c r="N5999" s="1"/>
      <c r="O5999" s="1"/>
      <c r="P5999" s="1"/>
      <c r="Q5999" s="1"/>
      <c r="R5999" s="1"/>
      <c r="S5999" s="1"/>
      <c r="T5999" s="1"/>
      <c r="U5999" s="1"/>
      <c r="V5999" s="1"/>
      <c r="W5999" s="1"/>
      <c r="X5999" s="1"/>
    </row>
    <row x14ac:dyDescent="0.25" r="6000" customHeight="1" ht="18.75">
      <c r="A6000" s="1"/>
      <c r="B6000" s="1"/>
      <c r="C6000" s="1"/>
      <c r="D6000" s="1"/>
      <c r="E6000" s="1"/>
      <c r="F6000" s="1"/>
      <c r="G6000" s="1"/>
      <c r="H6000" s="1"/>
      <c r="I6000" s="2"/>
      <c r="J6000" s="1"/>
      <c r="K6000" s="1"/>
      <c r="L6000" s="1"/>
      <c r="M6000" s="1"/>
      <c r="N6000" s="1"/>
      <c r="O6000" s="1"/>
      <c r="P6000" s="1"/>
      <c r="Q6000" s="1"/>
      <c r="R6000" s="1"/>
      <c r="S6000" s="1"/>
      <c r="T6000" s="1"/>
      <c r="U6000" s="1"/>
      <c r="V6000" s="1"/>
      <c r="W6000" s="1"/>
      <c r="X6000" s="1"/>
    </row>
    <row x14ac:dyDescent="0.25" r="6001" customHeight="1" ht="18.75">
      <c r="A6001" s="1"/>
      <c r="B6001" s="1"/>
      <c r="C6001" s="1"/>
      <c r="D6001" s="1"/>
      <c r="E6001" s="1"/>
      <c r="F6001" s="1"/>
      <c r="G6001" s="1"/>
      <c r="H6001" s="1"/>
      <c r="I6001" s="2"/>
      <c r="J6001" s="1"/>
      <c r="K6001" s="1"/>
      <c r="L6001" s="1"/>
      <c r="M6001" s="1"/>
      <c r="N6001" s="1"/>
      <c r="O6001" s="1"/>
      <c r="P6001" s="1"/>
      <c r="Q6001" s="1"/>
      <c r="R6001" s="1"/>
      <c r="S6001" s="1"/>
      <c r="T6001" s="1"/>
      <c r="U6001" s="1"/>
      <c r="V6001" s="1"/>
      <c r="W6001" s="1"/>
      <c r="X6001" s="1"/>
    </row>
    <row x14ac:dyDescent="0.25" r="6002" customHeight="1" ht="18.75">
      <c r="A6002" s="1"/>
      <c r="B6002" s="1"/>
      <c r="C6002" s="1"/>
      <c r="D6002" s="1"/>
      <c r="E6002" s="1"/>
      <c r="F6002" s="1"/>
      <c r="G6002" s="1"/>
      <c r="H6002" s="1"/>
      <c r="I6002" s="2"/>
      <c r="J6002" s="1"/>
      <c r="K6002" s="1"/>
      <c r="L6002" s="1"/>
      <c r="M6002" s="1"/>
      <c r="N6002" s="1"/>
      <c r="O6002" s="1"/>
      <c r="P6002" s="1"/>
      <c r="Q6002" s="1"/>
      <c r="R6002" s="1"/>
      <c r="S6002" s="1"/>
      <c r="T6002" s="1"/>
      <c r="U6002" s="1"/>
      <c r="V6002" s="1"/>
      <c r="W6002" s="1"/>
      <c r="X6002" s="1"/>
    </row>
    <row x14ac:dyDescent="0.25" r="6003" customHeight="1" ht="18.75">
      <c r="A6003" s="1"/>
      <c r="B6003" s="1"/>
      <c r="C6003" s="1"/>
      <c r="D6003" s="1"/>
      <c r="E6003" s="1"/>
      <c r="F6003" s="1"/>
      <c r="G6003" s="1"/>
      <c r="H6003" s="1"/>
      <c r="I6003" s="2"/>
      <c r="J6003" s="1"/>
      <c r="K6003" s="1"/>
      <c r="L6003" s="1"/>
      <c r="M6003" s="1"/>
      <c r="N6003" s="1"/>
      <c r="O6003" s="1"/>
      <c r="P6003" s="1"/>
      <c r="Q6003" s="1"/>
      <c r="R6003" s="1"/>
      <c r="S6003" s="1"/>
      <c r="T6003" s="1"/>
      <c r="U6003" s="1"/>
      <c r="V6003" s="1"/>
      <c r="W6003" s="1"/>
      <c r="X6003" s="1"/>
    </row>
    <row x14ac:dyDescent="0.25" r="6004" customHeight="1" ht="18.75">
      <c r="A6004" s="1"/>
      <c r="B6004" s="1"/>
      <c r="C6004" s="1"/>
      <c r="D6004" s="1"/>
      <c r="E6004" s="1"/>
      <c r="F6004" s="1"/>
      <c r="G6004" s="1"/>
      <c r="H6004" s="1"/>
      <c r="I6004" s="2"/>
      <c r="J6004" s="1"/>
      <c r="K6004" s="1"/>
      <c r="L6004" s="1"/>
      <c r="M6004" s="1"/>
      <c r="N6004" s="1"/>
      <c r="O6004" s="1"/>
      <c r="P6004" s="1"/>
      <c r="Q6004" s="1"/>
      <c r="R6004" s="1"/>
      <c r="S6004" s="1"/>
      <c r="T6004" s="1"/>
      <c r="U6004" s="1"/>
      <c r="V6004" s="1"/>
      <c r="W6004" s="1"/>
      <c r="X6004" s="1"/>
    </row>
    <row x14ac:dyDescent="0.25" r="6005" customHeight="1" ht="18.75">
      <c r="A6005" s="1"/>
      <c r="B6005" s="1"/>
      <c r="C6005" s="1"/>
      <c r="D6005" s="1"/>
      <c r="E6005" s="1"/>
      <c r="F6005" s="1"/>
      <c r="G6005" s="1"/>
      <c r="H6005" s="1"/>
      <c r="I6005" s="2"/>
      <c r="J6005" s="1"/>
      <c r="K6005" s="1"/>
      <c r="L6005" s="1"/>
      <c r="M6005" s="1"/>
      <c r="N6005" s="1"/>
      <c r="O6005" s="1"/>
      <c r="P6005" s="1"/>
      <c r="Q6005" s="1"/>
      <c r="R6005" s="1"/>
      <c r="S6005" s="1"/>
      <c r="T6005" s="1"/>
      <c r="U6005" s="1"/>
      <c r="V6005" s="1"/>
      <c r="W6005" s="1"/>
      <c r="X6005" s="1"/>
    </row>
    <row x14ac:dyDescent="0.25" r="6006" customHeight="1" ht="18.75">
      <c r="A6006" s="1"/>
      <c r="B6006" s="1"/>
      <c r="C6006" s="1"/>
      <c r="D6006" s="1"/>
      <c r="E6006" s="1"/>
      <c r="F6006" s="1"/>
      <c r="G6006" s="1"/>
      <c r="H6006" s="1"/>
      <c r="I6006" s="2"/>
      <c r="J6006" s="1"/>
      <c r="K6006" s="1"/>
      <c r="L6006" s="1"/>
      <c r="M6006" s="1"/>
      <c r="N6006" s="1"/>
      <c r="O6006" s="1"/>
      <c r="P6006" s="1"/>
      <c r="Q6006" s="1"/>
      <c r="R6006" s="1"/>
      <c r="S6006" s="1"/>
      <c r="T6006" s="1"/>
      <c r="U6006" s="1"/>
      <c r="V6006" s="1"/>
      <c r="W6006" s="1"/>
      <c r="X6006" s="1"/>
    </row>
    <row x14ac:dyDescent="0.25" r="6007" customHeight="1" ht="18.75">
      <c r="A6007" s="1"/>
      <c r="B6007" s="1"/>
      <c r="C6007" s="1"/>
      <c r="D6007" s="1"/>
      <c r="E6007" s="1"/>
      <c r="F6007" s="1"/>
      <c r="G6007" s="1"/>
      <c r="H6007" s="1"/>
      <c r="I6007" s="2"/>
      <c r="J6007" s="1"/>
      <c r="K6007" s="1"/>
      <c r="L6007" s="1"/>
      <c r="M6007" s="1"/>
      <c r="N6007" s="1"/>
      <c r="O6007" s="1"/>
      <c r="P6007" s="1"/>
      <c r="Q6007" s="1"/>
      <c r="R6007" s="1"/>
      <c r="S6007" s="1"/>
      <c r="T6007" s="1"/>
      <c r="U6007" s="1"/>
      <c r="V6007" s="1"/>
      <c r="W6007" s="1"/>
      <c r="X6007" s="1"/>
    </row>
    <row x14ac:dyDescent="0.25" r="6008" customHeight="1" ht="18.75">
      <c r="A6008" s="1"/>
      <c r="B6008" s="1"/>
      <c r="C6008" s="1"/>
      <c r="D6008" s="1"/>
      <c r="E6008" s="1"/>
      <c r="F6008" s="1"/>
      <c r="G6008" s="1"/>
      <c r="H6008" s="1"/>
      <c r="I6008" s="2"/>
      <c r="J6008" s="1"/>
      <c r="K6008" s="1"/>
      <c r="L6008" s="1"/>
      <c r="M6008" s="1"/>
      <c r="N6008" s="1"/>
      <c r="O6008" s="1"/>
      <c r="P6008" s="1"/>
      <c r="Q6008" s="1"/>
      <c r="R6008" s="1"/>
      <c r="S6008" s="1"/>
      <c r="T6008" s="1"/>
      <c r="U6008" s="1"/>
      <c r="V6008" s="1"/>
      <c r="W6008" s="1"/>
      <c r="X6008" s="1"/>
    </row>
    <row x14ac:dyDescent="0.25" r="6009" customHeight="1" ht="18.75">
      <c r="A6009" s="1"/>
      <c r="B6009" s="1"/>
      <c r="C6009" s="1"/>
      <c r="D6009" s="1"/>
      <c r="E6009" s="1"/>
      <c r="F6009" s="1"/>
      <c r="G6009" s="1"/>
      <c r="H6009" s="1"/>
      <c r="I6009" s="2"/>
      <c r="J6009" s="1"/>
      <c r="K6009" s="1"/>
      <c r="L6009" s="1"/>
      <c r="M6009" s="1"/>
      <c r="N6009" s="1"/>
      <c r="O6009" s="1"/>
      <c r="P6009" s="1"/>
      <c r="Q6009" s="1"/>
      <c r="R6009" s="1"/>
      <c r="S6009" s="1"/>
      <c r="T6009" s="1"/>
      <c r="U6009" s="1"/>
      <c r="V6009" s="1"/>
      <c r="W6009" s="1"/>
      <c r="X6009" s="1"/>
    </row>
    <row x14ac:dyDescent="0.25" r="6010" customHeight="1" ht="18.75">
      <c r="A6010" s="1"/>
      <c r="B6010" s="1"/>
      <c r="C6010" s="1"/>
      <c r="D6010" s="1"/>
      <c r="E6010" s="1"/>
      <c r="F6010" s="1"/>
      <c r="G6010" s="1"/>
      <c r="H6010" s="1"/>
      <c r="I6010" s="2"/>
      <c r="J6010" s="1"/>
      <c r="K6010" s="1"/>
      <c r="L6010" s="1"/>
      <c r="M6010" s="1"/>
      <c r="N6010" s="1"/>
      <c r="O6010" s="1"/>
      <c r="P6010" s="1"/>
      <c r="Q6010" s="1"/>
      <c r="R6010" s="1"/>
      <c r="S6010" s="1"/>
      <c r="T6010" s="1"/>
      <c r="U6010" s="1"/>
      <c r="V6010" s="1"/>
      <c r="W6010" s="1"/>
      <c r="X6010" s="1"/>
    </row>
    <row x14ac:dyDescent="0.25" r="6011" customHeight="1" ht="18.75">
      <c r="A6011" s="1"/>
      <c r="B6011" s="1"/>
      <c r="C6011" s="1"/>
      <c r="D6011" s="1"/>
      <c r="E6011" s="1"/>
      <c r="F6011" s="1"/>
      <c r="G6011" s="1"/>
      <c r="H6011" s="1"/>
      <c r="I6011" s="2"/>
      <c r="J6011" s="1"/>
      <c r="K6011" s="1"/>
      <c r="L6011" s="1"/>
      <c r="M6011" s="1"/>
      <c r="N6011" s="1"/>
      <c r="O6011" s="1"/>
      <c r="P6011" s="1"/>
      <c r="Q6011" s="1"/>
      <c r="R6011" s="1"/>
      <c r="S6011" s="1"/>
      <c r="T6011" s="1"/>
      <c r="U6011" s="1"/>
      <c r="V6011" s="1"/>
      <c r="W6011" s="1"/>
      <c r="X6011" s="1"/>
    </row>
    <row x14ac:dyDescent="0.25" r="6012" customHeight="1" ht="18.75">
      <c r="A6012" s="1"/>
      <c r="B6012" s="1"/>
      <c r="C6012" s="1"/>
      <c r="D6012" s="1"/>
      <c r="E6012" s="1"/>
      <c r="F6012" s="1"/>
      <c r="G6012" s="1"/>
      <c r="H6012" s="1"/>
      <c r="I6012" s="2"/>
      <c r="J6012" s="1"/>
      <c r="K6012" s="1"/>
      <c r="L6012" s="1"/>
      <c r="M6012" s="1"/>
      <c r="N6012" s="1"/>
      <c r="O6012" s="1"/>
      <c r="P6012" s="1"/>
      <c r="Q6012" s="1"/>
      <c r="R6012" s="1"/>
      <c r="S6012" s="1"/>
      <c r="T6012" s="1"/>
      <c r="U6012" s="1"/>
      <c r="V6012" s="1"/>
      <c r="W6012" s="1"/>
      <c r="X6012" s="1"/>
    </row>
    <row x14ac:dyDescent="0.25" r="6013" customHeight="1" ht="18.75">
      <c r="A6013" s="1"/>
      <c r="B6013" s="1"/>
      <c r="C6013" s="1"/>
      <c r="D6013" s="1"/>
      <c r="E6013" s="1"/>
      <c r="F6013" s="1"/>
      <c r="G6013" s="1"/>
      <c r="H6013" s="1"/>
      <c r="I6013" s="2"/>
      <c r="J6013" s="1"/>
      <c r="K6013" s="1"/>
      <c r="L6013" s="1"/>
      <c r="M6013" s="1"/>
      <c r="N6013" s="1"/>
      <c r="O6013" s="1"/>
      <c r="P6013" s="1"/>
      <c r="Q6013" s="1"/>
      <c r="R6013" s="1"/>
      <c r="S6013" s="1"/>
      <c r="T6013" s="1"/>
      <c r="U6013" s="1"/>
      <c r="V6013" s="1"/>
      <c r="W6013" s="1"/>
      <c r="X6013" s="1"/>
    </row>
    <row x14ac:dyDescent="0.25" r="6014" customHeight="1" ht="18.75">
      <c r="A6014" s="1"/>
      <c r="B6014" s="1"/>
      <c r="C6014" s="1"/>
      <c r="D6014" s="1"/>
      <c r="E6014" s="1"/>
      <c r="F6014" s="1"/>
      <c r="G6014" s="1"/>
      <c r="H6014" s="1"/>
      <c r="I6014" s="2"/>
      <c r="J6014" s="1"/>
      <c r="K6014" s="1"/>
      <c r="L6014" s="1"/>
      <c r="M6014" s="1"/>
      <c r="N6014" s="1"/>
      <c r="O6014" s="1"/>
      <c r="P6014" s="1"/>
      <c r="Q6014" s="1"/>
      <c r="R6014" s="1"/>
      <c r="S6014" s="1"/>
      <c r="T6014" s="1"/>
      <c r="U6014" s="1"/>
      <c r="V6014" s="1"/>
      <c r="W6014" s="1"/>
      <c r="X6014" s="1"/>
    </row>
    <row x14ac:dyDescent="0.25" r="6015" customHeight="1" ht="18.75">
      <c r="A6015" s="1"/>
      <c r="B6015" s="1"/>
      <c r="C6015" s="1"/>
      <c r="D6015" s="1"/>
      <c r="E6015" s="1"/>
      <c r="F6015" s="1"/>
      <c r="G6015" s="1"/>
      <c r="H6015" s="1"/>
      <c r="I6015" s="2"/>
      <c r="J6015" s="1"/>
      <c r="K6015" s="1"/>
      <c r="L6015" s="1"/>
      <c r="M6015" s="1"/>
      <c r="N6015" s="1"/>
      <c r="O6015" s="1"/>
      <c r="P6015" s="1"/>
      <c r="Q6015" s="1"/>
      <c r="R6015" s="1"/>
      <c r="S6015" s="1"/>
      <c r="T6015" s="1"/>
      <c r="U6015" s="1"/>
      <c r="V6015" s="1"/>
      <c r="W6015" s="1"/>
      <c r="X6015" s="1"/>
    </row>
    <row x14ac:dyDescent="0.25" r="6016" customHeight="1" ht="18.75">
      <c r="A6016" s="1"/>
      <c r="B6016" s="1"/>
      <c r="C6016" s="1"/>
      <c r="D6016" s="1"/>
      <c r="E6016" s="1"/>
      <c r="F6016" s="1"/>
      <c r="G6016" s="1"/>
      <c r="H6016" s="1"/>
      <c r="I6016" s="2"/>
      <c r="J6016" s="1"/>
      <c r="K6016" s="1"/>
      <c r="L6016" s="1"/>
      <c r="M6016" s="1"/>
      <c r="N6016" s="1"/>
      <c r="O6016" s="1"/>
      <c r="P6016" s="1"/>
      <c r="Q6016" s="1"/>
      <c r="R6016" s="1"/>
      <c r="S6016" s="1"/>
      <c r="T6016" s="1"/>
      <c r="U6016" s="1"/>
      <c r="V6016" s="1"/>
      <c r="W6016" s="1"/>
      <c r="X6016" s="1"/>
    </row>
    <row x14ac:dyDescent="0.25" r="6017" customHeight="1" ht="18.75">
      <c r="A6017" s="1"/>
      <c r="B6017" s="1"/>
      <c r="C6017" s="1"/>
      <c r="D6017" s="1"/>
      <c r="E6017" s="1"/>
      <c r="F6017" s="1"/>
      <c r="G6017" s="1"/>
      <c r="H6017" s="1"/>
      <c r="I6017" s="2"/>
      <c r="J6017" s="1"/>
      <c r="K6017" s="1"/>
      <c r="L6017" s="1"/>
      <c r="M6017" s="1"/>
      <c r="N6017" s="1"/>
      <c r="O6017" s="1"/>
      <c r="P6017" s="1"/>
      <c r="Q6017" s="1"/>
      <c r="R6017" s="1"/>
      <c r="S6017" s="1"/>
      <c r="T6017" s="1"/>
      <c r="U6017" s="1"/>
      <c r="V6017" s="1"/>
      <c r="W6017" s="1"/>
      <c r="X6017" s="1"/>
    </row>
    <row x14ac:dyDescent="0.25" r="6018" customHeight="1" ht="18.75">
      <c r="A6018" s="1"/>
      <c r="B6018" s="1"/>
      <c r="C6018" s="1"/>
      <c r="D6018" s="1"/>
      <c r="E6018" s="1"/>
      <c r="F6018" s="1"/>
      <c r="G6018" s="1"/>
      <c r="H6018" s="1"/>
      <c r="I6018" s="2"/>
      <c r="J6018" s="1"/>
      <c r="K6018" s="1"/>
      <c r="L6018" s="1"/>
      <c r="M6018" s="1"/>
      <c r="N6018" s="1"/>
      <c r="O6018" s="1"/>
      <c r="P6018" s="1"/>
      <c r="Q6018" s="1"/>
      <c r="R6018" s="1"/>
      <c r="S6018" s="1"/>
      <c r="T6018" s="1"/>
      <c r="U6018" s="1"/>
      <c r="V6018" s="1"/>
      <c r="W6018" s="1"/>
      <c r="X6018" s="1"/>
    </row>
    <row x14ac:dyDescent="0.25" r="6019" customHeight="1" ht="18.75">
      <c r="A6019" s="1"/>
      <c r="B6019" s="1"/>
      <c r="C6019" s="1"/>
      <c r="D6019" s="1"/>
      <c r="E6019" s="1"/>
      <c r="F6019" s="1"/>
      <c r="G6019" s="1"/>
      <c r="H6019" s="1"/>
      <c r="I6019" s="2"/>
      <c r="J6019" s="1"/>
      <c r="K6019" s="1"/>
      <c r="L6019" s="1"/>
      <c r="M6019" s="1"/>
      <c r="N6019" s="1"/>
      <c r="O6019" s="1"/>
      <c r="P6019" s="1"/>
      <c r="Q6019" s="1"/>
      <c r="R6019" s="1"/>
      <c r="S6019" s="1"/>
      <c r="T6019" s="1"/>
      <c r="U6019" s="1"/>
      <c r="V6019" s="1"/>
      <c r="W6019" s="1"/>
      <c r="X6019" s="1"/>
    </row>
    <row x14ac:dyDescent="0.25" r="6020" customHeight="1" ht="18.75">
      <c r="A6020" s="1"/>
      <c r="B6020" s="1"/>
      <c r="C6020" s="1"/>
      <c r="D6020" s="1"/>
      <c r="E6020" s="1"/>
      <c r="F6020" s="1"/>
      <c r="G6020" s="1"/>
      <c r="H6020" s="1"/>
      <c r="I6020" s="2"/>
      <c r="J6020" s="1"/>
      <c r="K6020" s="1"/>
      <c r="L6020" s="1"/>
      <c r="M6020" s="1"/>
      <c r="N6020" s="1"/>
      <c r="O6020" s="1"/>
      <c r="P6020" s="1"/>
      <c r="Q6020" s="1"/>
      <c r="R6020" s="1"/>
      <c r="S6020" s="1"/>
      <c r="T6020" s="1"/>
      <c r="U6020" s="1"/>
      <c r="V6020" s="1"/>
      <c r="W6020" s="1"/>
      <c r="X6020" s="1"/>
    </row>
    <row x14ac:dyDescent="0.25" r="6021" customHeight="1" ht="18.75">
      <c r="A6021" s="1"/>
      <c r="B6021" s="1"/>
      <c r="C6021" s="1"/>
      <c r="D6021" s="1"/>
      <c r="E6021" s="1"/>
      <c r="F6021" s="1"/>
      <c r="G6021" s="1"/>
      <c r="H6021" s="1"/>
      <c r="I6021" s="2"/>
      <c r="J6021" s="1"/>
      <c r="K6021" s="1"/>
      <c r="L6021" s="1"/>
      <c r="M6021" s="1"/>
      <c r="N6021" s="1"/>
      <c r="O6021" s="1"/>
      <c r="P6021" s="1"/>
      <c r="Q6021" s="1"/>
      <c r="R6021" s="1"/>
      <c r="S6021" s="1"/>
      <c r="T6021" s="1"/>
      <c r="U6021" s="1"/>
      <c r="V6021" s="1"/>
      <c r="W6021" s="1"/>
      <c r="X6021" s="1"/>
    </row>
    <row x14ac:dyDescent="0.25" r="6022" customHeight="1" ht="18.75">
      <c r="A6022" s="1"/>
      <c r="B6022" s="1"/>
      <c r="C6022" s="1"/>
      <c r="D6022" s="1"/>
      <c r="E6022" s="1"/>
      <c r="F6022" s="1"/>
      <c r="G6022" s="1"/>
      <c r="H6022" s="1"/>
      <c r="I6022" s="2"/>
      <c r="J6022" s="1"/>
      <c r="K6022" s="1"/>
      <c r="L6022" s="1"/>
      <c r="M6022" s="1"/>
      <c r="N6022" s="1"/>
      <c r="O6022" s="1"/>
      <c r="P6022" s="1"/>
      <c r="Q6022" s="1"/>
      <c r="R6022" s="1"/>
      <c r="S6022" s="1"/>
      <c r="T6022" s="1"/>
      <c r="U6022" s="1"/>
      <c r="V6022" s="1"/>
      <c r="W6022" s="1"/>
      <c r="X6022" s="1"/>
    </row>
    <row x14ac:dyDescent="0.25" r="6023" customHeight="1" ht="18.75">
      <c r="A6023" s="1"/>
      <c r="B6023" s="1"/>
      <c r="C6023" s="1"/>
      <c r="D6023" s="1"/>
      <c r="E6023" s="1"/>
      <c r="F6023" s="1"/>
      <c r="G6023" s="1"/>
      <c r="H6023" s="1"/>
      <c r="I6023" s="2"/>
      <c r="J6023" s="1"/>
      <c r="K6023" s="1"/>
      <c r="L6023" s="1"/>
      <c r="M6023" s="1"/>
      <c r="N6023" s="1"/>
      <c r="O6023" s="1"/>
      <c r="P6023" s="1"/>
      <c r="Q6023" s="1"/>
      <c r="R6023" s="1"/>
      <c r="S6023" s="1"/>
      <c r="T6023" s="1"/>
      <c r="U6023" s="1"/>
      <c r="V6023" s="1"/>
      <c r="W6023" s="1"/>
      <c r="X6023" s="1"/>
    </row>
    <row x14ac:dyDescent="0.25" r="6024" customHeight="1" ht="18.75">
      <c r="A6024" s="1"/>
      <c r="B6024" s="1"/>
      <c r="C6024" s="1"/>
      <c r="D6024" s="1"/>
      <c r="E6024" s="1"/>
      <c r="F6024" s="1"/>
      <c r="G6024" s="1"/>
      <c r="H6024" s="1"/>
      <c r="I6024" s="2"/>
      <c r="J6024" s="1"/>
      <c r="K6024" s="1"/>
      <c r="L6024" s="1"/>
      <c r="M6024" s="1"/>
      <c r="N6024" s="1"/>
      <c r="O6024" s="1"/>
      <c r="P6024" s="1"/>
      <c r="Q6024" s="1"/>
      <c r="R6024" s="1"/>
      <c r="S6024" s="1"/>
      <c r="T6024" s="1"/>
      <c r="U6024" s="1"/>
      <c r="V6024" s="1"/>
      <c r="W6024" s="1"/>
      <c r="X6024" s="1"/>
    </row>
    <row x14ac:dyDescent="0.25" r="6025" customHeight="1" ht="18.75">
      <c r="A6025" s="1"/>
      <c r="B6025" s="1"/>
      <c r="C6025" s="1"/>
      <c r="D6025" s="1"/>
      <c r="E6025" s="1"/>
      <c r="F6025" s="1"/>
      <c r="G6025" s="1"/>
      <c r="H6025" s="1"/>
      <c r="I6025" s="2"/>
      <c r="J6025" s="1"/>
      <c r="K6025" s="1"/>
      <c r="L6025" s="1"/>
      <c r="M6025" s="1"/>
      <c r="N6025" s="1"/>
      <c r="O6025" s="1"/>
      <c r="P6025" s="1"/>
      <c r="Q6025" s="1"/>
      <c r="R6025" s="1"/>
      <c r="S6025" s="1"/>
      <c r="T6025" s="1"/>
      <c r="U6025" s="1"/>
      <c r="V6025" s="1"/>
      <c r="W6025" s="1"/>
      <c r="X6025" s="1"/>
    </row>
    <row x14ac:dyDescent="0.25" r="6026" customHeight="1" ht="18.75">
      <c r="A6026" s="1"/>
      <c r="B6026" s="1"/>
      <c r="C6026" s="1"/>
      <c r="D6026" s="1"/>
      <c r="E6026" s="1"/>
      <c r="F6026" s="1"/>
      <c r="G6026" s="1"/>
      <c r="H6026" s="1"/>
      <c r="I6026" s="2"/>
      <c r="J6026" s="1"/>
      <c r="K6026" s="1"/>
      <c r="L6026" s="1"/>
      <c r="M6026" s="1"/>
      <c r="N6026" s="1"/>
      <c r="O6026" s="1"/>
      <c r="P6026" s="1"/>
      <c r="Q6026" s="1"/>
      <c r="R6026" s="1"/>
      <c r="S6026" s="1"/>
      <c r="T6026" s="1"/>
      <c r="U6026" s="1"/>
      <c r="V6026" s="1"/>
      <c r="W6026" s="1"/>
      <c r="X6026" s="1"/>
    </row>
    <row x14ac:dyDescent="0.25" r="6027" customHeight="1" ht="18.75">
      <c r="A6027" s="1"/>
      <c r="B6027" s="1"/>
      <c r="C6027" s="1"/>
      <c r="D6027" s="1"/>
      <c r="E6027" s="1"/>
      <c r="F6027" s="1"/>
      <c r="G6027" s="1"/>
      <c r="H6027" s="1"/>
      <c r="I6027" s="2"/>
      <c r="J6027" s="1"/>
      <c r="K6027" s="1"/>
      <c r="L6027" s="1"/>
      <c r="M6027" s="1"/>
      <c r="N6027" s="1"/>
      <c r="O6027" s="1"/>
      <c r="P6027" s="1"/>
      <c r="Q6027" s="1"/>
      <c r="R6027" s="1"/>
      <c r="S6027" s="1"/>
      <c r="T6027" s="1"/>
      <c r="U6027" s="1"/>
      <c r="V6027" s="1"/>
      <c r="W6027" s="1"/>
      <c r="X6027" s="1"/>
    </row>
    <row x14ac:dyDescent="0.25" r="6028" customHeight="1" ht="18.75">
      <c r="A6028" s="1"/>
      <c r="B6028" s="1"/>
      <c r="C6028" s="1"/>
      <c r="D6028" s="1"/>
      <c r="E6028" s="1"/>
      <c r="F6028" s="1"/>
      <c r="G6028" s="1"/>
      <c r="H6028" s="1"/>
      <c r="I6028" s="2"/>
      <c r="J6028" s="1"/>
      <c r="K6028" s="1"/>
      <c r="L6028" s="1"/>
      <c r="M6028" s="1"/>
      <c r="N6028" s="1"/>
      <c r="O6028" s="1"/>
      <c r="P6028" s="1"/>
      <c r="Q6028" s="1"/>
      <c r="R6028" s="1"/>
      <c r="S6028" s="1"/>
      <c r="T6028" s="1"/>
      <c r="U6028" s="1"/>
      <c r="V6028" s="1"/>
      <c r="W6028" s="1"/>
      <c r="X6028" s="1"/>
    </row>
    <row x14ac:dyDescent="0.25" r="6029" customHeight="1" ht="18.75">
      <c r="A6029" s="1"/>
      <c r="B6029" s="1"/>
      <c r="C6029" s="1"/>
      <c r="D6029" s="1"/>
      <c r="E6029" s="1"/>
      <c r="F6029" s="1"/>
      <c r="G6029" s="1"/>
      <c r="H6029" s="1"/>
      <c r="I6029" s="2"/>
      <c r="J6029" s="1"/>
      <c r="K6029" s="1"/>
      <c r="L6029" s="1"/>
      <c r="M6029" s="1"/>
      <c r="N6029" s="1"/>
      <c r="O6029" s="1"/>
      <c r="P6029" s="1"/>
      <c r="Q6029" s="1"/>
      <c r="R6029" s="1"/>
      <c r="S6029" s="1"/>
      <c r="T6029" s="1"/>
      <c r="U6029" s="1"/>
      <c r="V6029" s="1"/>
      <c r="W6029" s="1"/>
      <c r="X6029" s="1"/>
    </row>
    <row x14ac:dyDescent="0.25" r="6030" customHeight="1" ht="18.75">
      <c r="A6030" s="1"/>
      <c r="B6030" s="1"/>
      <c r="C6030" s="1"/>
      <c r="D6030" s="1"/>
      <c r="E6030" s="1"/>
      <c r="F6030" s="1"/>
      <c r="G6030" s="1"/>
      <c r="H6030" s="1"/>
      <c r="I6030" s="2"/>
      <c r="J6030" s="1"/>
      <c r="K6030" s="1"/>
      <c r="L6030" s="1"/>
      <c r="M6030" s="1"/>
      <c r="N6030" s="1"/>
      <c r="O6030" s="1"/>
      <c r="P6030" s="1"/>
      <c r="Q6030" s="1"/>
      <c r="R6030" s="1"/>
      <c r="S6030" s="1"/>
      <c r="T6030" s="1"/>
      <c r="U6030" s="1"/>
      <c r="V6030" s="1"/>
      <c r="W6030" s="1"/>
      <c r="X6030" s="1"/>
    </row>
    <row x14ac:dyDescent="0.25" r="6031" customHeight="1" ht="18.75">
      <c r="A6031" s="1"/>
      <c r="B6031" s="1"/>
      <c r="C6031" s="1"/>
      <c r="D6031" s="1"/>
      <c r="E6031" s="1"/>
      <c r="F6031" s="1"/>
      <c r="G6031" s="1"/>
      <c r="H6031" s="1"/>
      <c r="I6031" s="2"/>
      <c r="J6031" s="1"/>
      <c r="K6031" s="1"/>
      <c r="L6031" s="1"/>
      <c r="M6031" s="1"/>
      <c r="N6031" s="1"/>
      <c r="O6031" s="1"/>
      <c r="P6031" s="1"/>
      <c r="Q6031" s="1"/>
      <c r="R6031" s="1"/>
      <c r="S6031" s="1"/>
      <c r="T6031" s="1"/>
      <c r="U6031" s="1"/>
      <c r="V6031" s="1"/>
      <c r="W6031" s="1"/>
      <c r="X6031" s="1"/>
    </row>
    <row x14ac:dyDescent="0.25" r="6032" customHeight="1" ht="18.75">
      <c r="A6032" s="1"/>
      <c r="B6032" s="1"/>
      <c r="C6032" s="1"/>
      <c r="D6032" s="1"/>
      <c r="E6032" s="1"/>
      <c r="F6032" s="1"/>
      <c r="G6032" s="1"/>
      <c r="H6032" s="1"/>
      <c r="I6032" s="2"/>
      <c r="J6032" s="1"/>
      <c r="K6032" s="1"/>
      <c r="L6032" s="1"/>
      <c r="M6032" s="1"/>
      <c r="N6032" s="1"/>
      <c r="O6032" s="1"/>
      <c r="P6032" s="1"/>
      <c r="Q6032" s="1"/>
      <c r="R6032" s="1"/>
      <c r="S6032" s="1"/>
      <c r="T6032" s="1"/>
      <c r="U6032" s="1"/>
      <c r="V6032" s="1"/>
      <c r="W6032" s="1"/>
      <c r="X6032" s="1"/>
    </row>
    <row x14ac:dyDescent="0.25" r="6033" customHeight="1" ht="18.75">
      <c r="A6033" s="1"/>
      <c r="B6033" s="1"/>
      <c r="C6033" s="1"/>
      <c r="D6033" s="1"/>
      <c r="E6033" s="1"/>
      <c r="F6033" s="1"/>
      <c r="G6033" s="1"/>
      <c r="H6033" s="1"/>
      <c r="I6033" s="2"/>
      <c r="J6033" s="1"/>
      <c r="K6033" s="1"/>
      <c r="L6033" s="1"/>
      <c r="M6033" s="1"/>
      <c r="N6033" s="1"/>
      <c r="O6033" s="1"/>
      <c r="P6033" s="1"/>
      <c r="Q6033" s="1"/>
      <c r="R6033" s="1"/>
      <c r="S6033" s="1"/>
      <c r="T6033" s="1"/>
      <c r="U6033" s="1"/>
      <c r="V6033" s="1"/>
      <c r="W6033" s="1"/>
      <c r="X6033" s="1"/>
    </row>
    <row x14ac:dyDescent="0.25" r="6034" customHeight="1" ht="18.75">
      <c r="A6034" s="1"/>
      <c r="B6034" s="1"/>
      <c r="C6034" s="1"/>
      <c r="D6034" s="1"/>
      <c r="E6034" s="1"/>
      <c r="F6034" s="1"/>
      <c r="G6034" s="1"/>
      <c r="H6034" s="1"/>
      <c r="I6034" s="2"/>
      <c r="J6034" s="1"/>
      <c r="K6034" s="1"/>
      <c r="L6034" s="1"/>
      <c r="M6034" s="1"/>
      <c r="N6034" s="1"/>
      <c r="O6034" s="1"/>
      <c r="P6034" s="1"/>
      <c r="Q6034" s="1"/>
      <c r="R6034" s="1"/>
      <c r="S6034" s="1"/>
      <c r="T6034" s="1"/>
      <c r="U6034" s="1"/>
      <c r="V6034" s="1"/>
      <c r="W6034" s="1"/>
      <c r="X6034" s="1"/>
    </row>
    <row x14ac:dyDescent="0.25" r="6035" customHeight="1" ht="18.75">
      <c r="A6035" s="1"/>
      <c r="B6035" s="1"/>
      <c r="C6035" s="1"/>
      <c r="D6035" s="1"/>
      <c r="E6035" s="1"/>
      <c r="F6035" s="1"/>
      <c r="G6035" s="1"/>
      <c r="H6035" s="1"/>
      <c r="I6035" s="2"/>
      <c r="J6035" s="1"/>
      <c r="K6035" s="1"/>
      <c r="L6035" s="1"/>
      <c r="M6035" s="1"/>
      <c r="N6035" s="1"/>
      <c r="O6035" s="1"/>
      <c r="P6035" s="1"/>
      <c r="Q6035" s="1"/>
      <c r="R6035" s="1"/>
      <c r="S6035" s="1"/>
      <c r="T6035" s="1"/>
      <c r="U6035" s="1"/>
      <c r="V6035" s="1"/>
      <c r="W6035" s="1"/>
      <c r="X6035" s="1"/>
    </row>
    <row x14ac:dyDescent="0.25" r="6036" customHeight="1" ht="18.75">
      <c r="A6036" s="1"/>
      <c r="B6036" s="1"/>
      <c r="C6036" s="1"/>
      <c r="D6036" s="1"/>
      <c r="E6036" s="1"/>
      <c r="F6036" s="1"/>
      <c r="G6036" s="1"/>
      <c r="H6036" s="1"/>
      <c r="I6036" s="2"/>
      <c r="J6036" s="1"/>
      <c r="K6036" s="1"/>
      <c r="L6036" s="1"/>
      <c r="M6036" s="1"/>
      <c r="N6036" s="1"/>
      <c r="O6036" s="1"/>
      <c r="P6036" s="1"/>
      <c r="Q6036" s="1"/>
      <c r="R6036" s="1"/>
      <c r="S6036" s="1"/>
      <c r="T6036" s="1"/>
      <c r="U6036" s="1"/>
      <c r="V6036" s="1"/>
      <c r="W6036" s="1"/>
      <c r="X6036" s="1"/>
    </row>
    <row x14ac:dyDescent="0.25" r="6037" customHeight="1" ht="18.75">
      <c r="A6037" s="1"/>
      <c r="B6037" s="1"/>
      <c r="C6037" s="1"/>
      <c r="D6037" s="1"/>
      <c r="E6037" s="1"/>
      <c r="F6037" s="1"/>
      <c r="G6037" s="1"/>
      <c r="H6037" s="1"/>
      <c r="I6037" s="2"/>
      <c r="J6037" s="1"/>
      <c r="K6037" s="1"/>
      <c r="L6037" s="1"/>
      <c r="M6037" s="1"/>
      <c r="N6037" s="1"/>
      <c r="O6037" s="1"/>
      <c r="P6037" s="1"/>
      <c r="Q6037" s="1"/>
      <c r="R6037" s="1"/>
      <c r="S6037" s="1"/>
      <c r="T6037" s="1"/>
      <c r="U6037" s="1"/>
      <c r="V6037" s="1"/>
      <c r="W6037" s="1"/>
      <c r="X6037" s="1"/>
    </row>
    <row x14ac:dyDescent="0.25" r="6038" customHeight="1" ht="18.75">
      <c r="A6038" s="1"/>
      <c r="B6038" s="1"/>
      <c r="C6038" s="1"/>
      <c r="D6038" s="1"/>
      <c r="E6038" s="1"/>
      <c r="F6038" s="1"/>
      <c r="G6038" s="1"/>
      <c r="H6038" s="1"/>
      <c r="I6038" s="2"/>
      <c r="J6038" s="1"/>
      <c r="K6038" s="1"/>
      <c r="L6038" s="1"/>
      <c r="M6038" s="1"/>
      <c r="N6038" s="1"/>
      <c r="O6038" s="1"/>
      <c r="P6038" s="1"/>
      <c r="Q6038" s="1"/>
      <c r="R6038" s="1"/>
      <c r="S6038" s="1"/>
      <c r="T6038" s="1"/>
      <c r="U6038" s="1"/>
      <c r="V6038" s="1"/>
      <c r="W6038" s="1"/>
      <c r="X6038" s="1"/>
    </row>
    <row x14ac:dyDescent="0.25" r="6039" customHeight="1" ht="18.75">
      <c r="A6039" s="1"/>
      <c r="B6039" s="1"/>
      <c r="C6039" s="1"/>
      <c r="D6039" s="1"/>
      <c r="E6039" s="1"/>
      <c r="F6039" s="1"/>
      <c r="G6039" s="1"/>
      <c r="H6039" s="1"/>
      <c r="I6039" s="2"/>
      <c r="J6039" s="1"/>
      <c r="K6039" s="1"/>
      <c r="L6039" s="1"/>
      <c r="M6039" s="1"/>
      <c r="N6039" s="1"/>
      <c r="O6039" s="1"/>
      <c r="P6039" s="1"/>
      <c r="Q6039" s="1"/>
      <c r="R6039" s="1"/>
      <c r="S6039" s="1"/>
      <c r="T6039" s="1"/>
      <c r="U6039" s="1"/>
      <c r="V6039" s="1"/>
      <c r="W6039" s="1"/>
      <c r="X6039" s="1"/>
    </row>
    <row x14ac:dyDescent="0.25" r="6040" customHeight="1" ht="18.75">
      <c r="A6040" s="1"/>
      <c r="B6040" s="1"/>
      <c r="C6040" s="1"/>
      <c r="D6040" s="1"/>
      <c r="E6040" s="1"/>
      <c r="F6040" s="1"/>
      <c r="G6040" s="1"/>
      <c r="H6040" s="1"/>
      <c r="I6040" s="2"/>
      <c r="J6040" s="1"/>
      <c r="K6040" s="1"/>
      <c r="L6040" s="1"/>
      <c r="M6040" s="1"/>
      <c r="N6040" s="1"/>
      <c r="O6040" s="1"/>
      <c r="P6040" s="1"/>
      <c r="Q6040" s="1"/>
      <c r="R6040" s="1"/>
      <c r="S6040" s="1"/>
      <c r="T6040" s="1"/>
      <c r="U6040" s="1"/>
      <c r="V6040" s="1"/>
      <c r="W6040" s="1"/>
      <c r="X6040" s="1"/>
    </row>
    <row x14ac:dyDescent="0.25" r="6041" customHeight="1" ht="18.75">
      <c r="A6041" s="1"/>
      <c r="B6041" s="1"/>
      <c r="C6041" s="1"/>
      <c r="D6041" s="1"/>
      <c r="E6041" s="1"/>
      <c r="F6041" s="1"/>
      <c r="G6041" s="1"/>
      <c r="H6041" s="1"/>
      <c r="I6041" s="2"/>
      <c r="J6041" s="1"/>
      <c r="K6041" s="1"/>
      <c r="L6041" s="1"/>
      <c r="M6041" s="1"/>
      <c r="N6041" s="1"/>
      <c r="O6041" s="1"/>
      <c r="P6041" s="1"/>
      <c r="Q6041" s="1"/>
      <c r="R6041" s="1"/>
      <c r="S6041" s="1"/>
      <c r="T6041" s="1"/>
      <c r="U6041" s="1"/>
      <c r="V6041" s="1"/>
      <c r="W6041" s="1"/>
      <c r="X6041" s="1"/>
    </row>
    <row x14ac:dyDescent="0.25" r="6042" customHeight="1" ht="18.75">
      <c r="A6042" s="1"/>
      <c r="B6042" s="1"/>
      <c r="C6042" s="1"/>
      <c r="D6042" s="1"/>
      <c r="E6042" s="1"/>
      <c r="F6042" s="1"/>
      <c r="G6042" s="1"/>
      <c r="H6042" s="1"/>
      <c r="I6042" s="2"/>
      <c r="J6042" s="1"/>
      <c r="K6042" s="1"/>
      <c r="L6042" s="1"/>
      <c r="M6042" s="1"/>
      <c r="N6042" s="1"/>
      <c r="O6042" s="1"/>
      <c r="P6042" s="1"/>
      <c r="Q6042" s="1"/>
      <c r="R6042" s="1"/>
      <c r="S6042" s="1"/>
      <c r="T6042" s="1"/>
      <c r="U6042" s="1"/>
      <c r="V6042" s="1"/>
      <c r="W6042" s="1"/>
      <c r="X6042" s="1"/>
    </row>
    <row x14ac:dyDescent="0.25" r="6043" customHeight="1" ht="18.75">
      <c r="A6043" s="1"/>
      <c r="B6043" s="1"/>
      <c r="C6043" s="1"/>
      <c r="D6043" s="1"/>
      <c r="E6043" s="1"/>
      <c r="F6043" s="1"/>
      <c r="G6043" s="1"/>
      <c r="H6043" s="1"/>
      <c r="I6043" s="2"/>
      <c r="J6043" s="1"/>
      <c r="K6043" s="1"/>
      <c r="L6043" s="1"/>
      <c r="M6043" s="1"/>
      <c r="N6043" s="1"/>
      <c r="O6043" s="1"/>
      <c r="P6043" s="1"/>
      <c r="Q6043" s="1"/>
      <c r="R6043" s="1"/>
      <c r="S6043" s="1"/>
      <c r="T6043" s="1"/>
      <c r="U6043" s="1"/>
      <c r="V6043" s="1"/>
      <c r="W6043" s="1"/>
      <c r="X6043" s="1"/>
    </row>
    <row x14ac:dyDescent="0.25" r="6044" customHeight="1" ht="18.75">
      <c r="A6044" s="1"/>
      <c r="B6044" s="1"/>
      <c r="C6044" s="1"/>
      <c r="D6044" s="1"/>
      <c r="E6044" s="1"/>
      <c r="F6044" s="1"/>
      <c r="G6044" s="1"/>
      <c r="H6044" s="1"/>
      <c r="I6044" s="2"/>
      <c r="J6044" s="1"/>
      <c r="K6044" s="1"/>
      <c r="L6044" s="1"/>
      <c r="M6044" s="1"/>
      <c r="N6044" s="1"/>
      <c r="O6044" s="1"/>
      <c r="P6044" s="1"/>
      <c r="Q6044" s="1"/>
      <c r="R6044" s="1"/>
      <c r="S6044" s="1"/>
      <c r="T6044" s="1"/>
      <c r="U6044" s="1"/>
      <c r="V6044" s="1"/>
      <c r="W6044" s="1"/>
      <c r="X6044" s="1"/>
    </row>
    <row x14ac:dyDescent="0.25" r="6045" customHeight="1" ht="18.75">
      <c r="A6045" s="1"/>
      <c r="B6045" s="1"/>
      <c r="C6045" s="1"/>
      <c r="D6045" s="1"/>
      <c r="E6045" s="1"/>
      <c r="F6045" s="1"/>
      <c r="G6045" s="1"/>
      <c r="H6045" s="1"/>
      <c r="I6045" s="2"/>
      <c r="J6045" s="1"/>
      <c r="K6045" s="1"/>
      <c r="L6045" s="1"/>
      <c r="M6045" s="1"/>
      <c r="N6045" s="1"/>
      <c r="O6045" s="1"/>
      <c r="P6045" s="1"/>
      <c r="Q6045" s="1"/>
      <c r="R6045" s="1"/>
      <c r="S6045" s="1"/>
      <c r="T6045" s="1"/>
      <c r="U6045" s="1"/>
      <c r="V6045" s="1"/>
      <c r="W6045" s="1"/>
      <c r="X6045" s="1"/>
    </row>
    <row x14ac:dyDescent="0.25" r="6046" customHeight="1" ht="18.75">
      <c r="A6046" s="1"/>
      <c r="B6046" s="1"/>
      <c r="C6046" s="1"/>
      <c r="D6046" s="1"/>
      <c r="E6046" s="1"/>
      <c r="F6046" s="1"/>
      <c r="G6046" s="1"/>
      <c r="H6046" s="1"/>
      <c r="I6046" s="2"/>
      <c r="J6046" s="1"/>
      <c r="K6046" s="1"/>
      <c r="L6046" s="1"/>
      <c r="M6046" s="1"/>
      <c r="N6046" s="1"/>
      <c r="O6046" s="1"/>
      <c r="P6046" s="1"/>
      <c r="Q6046" s="1"/>
      <c r="R6046" s="1"/>
      <c r="S6046" s="1"/>
      <c r="T6046" s="1"/>
      <c r="U6046" s="1"/>
      <c r="V6046" s="1"/>
      <c r="W6046" s="1"/>
      <c r="X6046" s="1"/>
    </row>
    <row x14ac:dyDescent="0.25" r="6047" customHeight="1" ht="18.75">
      <c r="A6047" s="1"/>
      <c r="B6047" s="1"/>
      <c r="C6047" s="1"/>
      <c r="D6047" s="1"/>
      <c r="E6047" s="1"/>
      <c r="F6047" s="1"/>
      <c r="G6047" s="1"/>
      <c r="H6047" s="1"/>
      <c r="I6047" s="2"/>
      <c r="J6047" s="1"/>
      <c r="K6047" s="1"/>
      <c r="L6047" s="1"/>
      <c r="M6047" s="1"/>
      <c r="N6047" s="1"/>
      <c r="O6047" s="1"/>
      <c r="P6047" s="1"/>
      <c r="Q6047" s="1"/>
      <c r="R6047" s="1"/>
      <c r="S6047" s="1"/>
      <c r="T6047" s="1"/>
      <c r="U6047" s="1"/>
      <c r="V6047" s="1"/>
      <c r="W6047" s="1"/>
      <c r="X6047" s="1"/>
    </row>
    <row x14ac:dyDescent="0.25" r="6048" customHeight="1" ht="18.75">
      <c r="A6048" s="1"/>
      <c r="B6048" s="1"/>
      <c r="C6048" s="1"/>
      <c r="D6048" s="1"/>
      <c r="E6048" s="1"/>
      <c r="F6048" s="1"/>
      <c r="G6048" s="1"/>
      <c r="H6048" s="1"/>
      <c r="I6048" s="2"/>
      <c r="J6048" s="1"/>
      <c r="K6048" s="1"/>
      <c r="L6048" s="1"/>
      <c r="M6048" s="1"/>
      <c r="N6048" s="1"/>
      <c r="O6048" s="1"/>
      <c r="P6048" s="1"/>
      <c r="Q6048" s="1"/>
      <c r="R6048" s="1"/>
      <c r="S6048" s="1"/>
      <c r="T6048" s="1"/>
      <c r="U6048" s="1"/>
      <c r="V6048" s="1"/>
      <c r="W6048" s="1"/>
      <c r="X6048" s="1"/>
    </row>
    <row x14ac:dyDescent="0.25" r="6049" customHeight="1" ht="18.75">
      <c r="A6049" s="1"/>
      <c r="B6049" s="1"/>
      <c r="C6049" s="1"/>
      <c r="D6049" s="1"/>
      <c r="E6049" s="1"/>
      <c r="F6049" s="1"/>
      <c r="G6049" s="1"/>
      <c r="H6049" s="1"/>
      <c r="I6049" s="2"/>
      <c r="J6049" s="1"/>
      <c r="K6049" s="1"/>
      <c r="L6049" s="1"/>
      <c r="M6049" s="1"/>
      <c r="N6049" s="1"/>
      <c r="O6049" s="1"/>
      <c r="P6049" s="1"/>
      <c r="Q6049" s="1"/>
      <c r="R6049" s="1"/>
      <c r="S6049" s="1"/>
      <c r="T6049" s="1"/>
      <c r="U6049" s="1"/>
      <c r="V6049" s="1"/>
      <c r="W6049" s="1"/>
      <c r="X6049" s="1"/>
    </row>
    <row x14ac:dyDescent="0.25" r="6050" customHeight="1" ht="18.75">
      <c r="A6050" s="1"/>
      <c r="B6050" s="1"/>
      <c r="C6050" s="1"/>
      <c r="D6050" s="1"/>
      <c r="E6050" s="1"/>
      <c r="F6050" s="1"/>
      <c r="G6050" s="1"/>
      <c r="H6050" s="1"/>
      <c r="I6050" s="2"/>
      <c r="J6050" s="1"/>
      <c r="K6050" s="1"/>
      <c r="L6050" s="1"/>
      <c r="M6050" s="1"/>
      <c r="N6050" s="1"/>
      <c r="O6050" s="1"/>
      <c r="P6050" s="1"/>
      <c r="Q6050" s="1"/>
      <c r="R6050" s="1"/>
      <c r="S6050" s="1"/>
      <c r="T6050" s="1"/>
      <c r="U6050" s="1"/>
      <c r="V6050" s="1"/>
      <c r="W6050" s="1"/>
      <c r="X6050" s="1"/>
    </row>
    <row x14ac:dyDescent="0.25" r="6051" customHeight="1" ht="18.75">
      <c r="A6051" s="1"/>
      <c r="B6051" s="1"/>
      <c r="C6051" s="1"/>
      <c r="D6051" s="1"/>
      <c r="E6051" s="1"/>
      <c r="F6051" s="1"/>
      <c r="G6051" s="1"/>
      <c r="H6051" s="1"/>
      <c r="I6051" s="2"/>
      <c r="J6051" s="1"/>
      <c r="K6051" s="1"/>
      <c r="L6051" s="1"/>
      <c r="M6051" s="1"/>
      <c r="N6051" s="1"/>
      <c r="O6051" s="1"/>
      <c r="P6051" s="1"/>
      <c r="Q6051" s="1"/>
      <c r="R6051" s="1"/>
      <c r="S6051" s="1"/>
      <c r="T6051" s="1"/>
      <c r="U6051" s="1"/>
      <c r="V6051" s="1"/>
      <c r="W6051" s="1"/>
      <c r="X6051" s="1"/>
    </row>
    <row x14ac:dyDescent="0.25" r="6052" customHeight="1" ht="18.75">
      <c r="A6052" s="1"/>
      <c r="B6052" s="1"/>
      <c r="C6052" s="1"/>
      <c r="D6052" s="1"/>
      <c r="E6052" s="1"/>
      <c r="F6052" s="1"/>
      <c r="G6052" s="1"/>
      <c r="H6052" s="1"/>
      <c r="I6052" s="2"/>
      <c r="J6052" s="1"/>
      <c r="K6052" s="1"/>
      <c r="L6052" s="1"/>
      <c r="M6052" s="1"/>
      <c r="N6052" s="1"/>
      <c r="O6052" s="1"/>
      <c r="P6052" s="1"/>
      <c r="Q6052" s="1"/>
      <c r="R6052" s="1"/>
      <c r="S6052" s="1"/>
      <c r="T6052" s="1"/>
      <c r="U6052" s="1"/>
      <c r="V6052" s="1"/>
      <c r="W6052" s="1"/>
      <c r="X6052" s="1"/>
    </row>
    <row x14ac:dyDescent="0.25" r="6053" customHeight="1" ht="18.75">
      <c r="A6053" s="1"/>
      <c r="B6053" s="1"/>
      <c r="C6053" s="1"/>
      <c r="D6053" s="1"/>
      <c r="E6053" s="1"/>
      <c r="F6053" s="1"/>
      <c r="G6053" s="1"/>
      <c r="H6053" s="1"/>
      <c r="I6053" s="2"/>
      <c r="J6053" s="1"/>
      <c r="K6053" s="1"/>
      <c r="L6053" s="1"/>
      <c r="M6053" s="1"/>
      <c r="N6053" s="1"/>
      <c r="O6053" s="1"/>
      <c r="P6053" s="1"/>
      <c r="Q6053" s="1"/>
      <c r="R6053" s="1"/>
      <c r="S6053" s="1"/>
      <c r="T6053" s="1"/>
      <c r="U6053" s="1"/>
      <c r="V6053" s="1"/>
      <c r="W6053" s="1"/>
      <c r="X6053" s="1"/>
    </row>
    <row x14ac:dyDescent="0.25" r="6054" customHeight="1" ht="18.75">
      <c r="A6054" s="1"/>
      <c r="B6054" s="1"/>
      <c r="C6054" s="1"/>
      <c r="D6054" s="1"/>
      <c r="E6054" s="1"/>
      <c r="F6054" s="1"/>
      <c r="G6054" s="1"/>
      <c r="H6054" s="1"/>
      <c r="I6054" s="2"/>
      <c r="J6054" s="1"/>
      <c r="K6054" s="1"/>
      <c r="L6054" s="1"/>
      <c r="M6054" s="1"/>
      <c r="N6054" s="1"/>
      <c r="O6054" s="1"/>
      <c r="P6054" s="1"/>
      <c r="Q6054" s="1"/>
      <c r="R6054" s="1"/>
      <c r="S6054" s="1"/>
      <c r="T6054" s="1"/>
      <c r="U6054" s="1"/>
      <c r="V6054" s="1"/>
      <c r="W6054" s="1"/>
      <c r="X6054" s="1"/>
    </row>
    <row x14ac:dyDescent="0.25" r="6055" customHeight="1" ht="18.75">
      <c r="A6055" s="1"/>
      <c r="B6055" s="1"/>
      <c r="C6055" s="1"/>
      <c r="D6055" s="1"/>
      <c r="E6055" s="1"/>
      <c r="F6055" s="1"/>
      <c r="G6055" s="1"/>
      <c r="H6055" s="1"/>
      <c r="I6055" s="2"/>
      <c r="J6055" s="1"/>
      <c r="K6055" s="1"/>
      <c r="L6055" s="1"/>
      <c r="M6055" s="1"/>
      <c r="N6055" s="1"/>
      <c r="O6055" s="1"/>
      <c r="P6055" s="1"/>
      <c r="Q6055" s="1"/>
      <c r="R6055" s="1"/>
      <c r="S6055" s="1"/>
      <c r="T6055" s="1"/>
      <c r="U6055" s="1"/>
      <c r="V6055" s="1"/>
      <c r="W6055" s="1"/>
      <c r="X6055" s="1"/>
    </row>
    <row x14ac:dyDescent="0.25" r="6056" customHeight="1" ht="18.75">
      <c r="A6056" s="1"/>
      <c r="B6056" s="1"/>
      <c r="C6056" s="1"/>
      <c r="D6056" s="1"/>
      <c r="E6056" s="1"/>
      <c r="F6056" s="1"/>
      <c r="G6056" s="1"/>
      <c r="H6056" s="1"/>
      <c r="I6056" s="2"/>
      <c r="J6056" s="1"/>
      <c r="K6056" s="1"/>
      <c r="L6056" s="1"/>
      <c r="M6056" s="1"/>
      <c r="N6056" s="1"/>
      <c r="O6056" s="1"/>
      <c r="P6056" s="1"/>
      <c r="Q6056" s="1"/>
      <c r="R6056" s="1"/>
      <c r="S6056" s="1"/>
      <c r="T6056" s="1"/>
      <c r="U6056" s="1"/>
      <c r="V6056" s="1"/>
      <c r="W6056" s="1"/>
      <c r="X6056" s="1"/>
    </row>
    <row x14ac:dyDescent="0.25" r="6057" customHeight="1" ht="18.75">
      <c r="A6057" s="1"/>
      <c r="B6057" s="1"/>
      <c r="C6057" s="1"/>
      <c r="D6057" s="1"/>
      <c r="E6057" s="1"/>
      <c r="F6057" s="1"/>
      <c r="G6057" s="1"/>
      <c r="H6057" s="1"/>
      <c r="I6057" s="2"/>
      <c r="J6057" s="1"/>
      <c r="K6057" s="1"/>
      <c r="L6057" s="1"/>
      <c r="M6057" s="1"/>
      <c r="N6057" s="1"/>
      <c r="O6057" s="1"/>
      <c r="P6057" s="1"/>
      <c r="Q6057" s="1"/>
      <c r="R6057" s="1"/>
      <c r="S6057" s="1"/>
      <c r="T6057" s="1"/>
      <c r="U6057" s="1"/>
      <c r="V6057" s="1"/>
      <c r="W6057" s="1"/>
      <c r="X6057" s="1"/>
    </row>
    <row x14ac:dyDescent="0.25" r="6058" customHeight="1" ht="18.75">
      <c r="A6058" s="1"/>
      <c r="B6058" s="1"/>
      <c r="C6058" s="1"/>
      <c r="D6058" s="1"/>
      <c r="E6058" s="1"/>
      <c r="F6058" s="1"/>
      <c r="G6058" s="1"/>
      <c r="H6058" s="1"/>
      <c r="I6058" s="2"/>
      <c r="J6058" s="1"/>
      <c r="K6058" s="1"/>
      <c r="L6058" s="1"/>
      <c r="M6058" s="1"/>
      <c r="N6058" s="1"/>
      <c r="O6058" s="1"/>
      <c r="P6058" s="1"/>
      <c r="Q6058" s="1"/>
      <c r="R6058" s="1"/>
      <c r="S6058" s="1"/>
      <c r="T6058" s="1"/>
      <c r="U6058" s="1"/>
      <c r="V6058" s="1"/>
      <c r="W6058" s="1"/>
      <c r="X6058" s="1"/>
    </row>
    <row x14ac:dyDescent="0.25" r="6059" customHeight="1" ht="18.75">
      <c r="A6059" s="1"/>
      <c r="B6059" s="1"/>
      <c r="C6059" s="1"/>
      <c r="D6059" s="1"/>
      <c r="E6059" s="1"/>
      <c r="F6059" s="1"/>
      <c r="G6059" s="1"/>
      <c r="H6059" s="1"/>
      <c r="I6059" s="2"/>
      <c r="J6059" s="1"/>
      <c r="K6059" s="1"/>
      <c r="L6059" s="1"/>
      <c r="M6059" s="1"/>
      <c r="N6059" s="1"/>
      <c r="O6059" s="1"/>
      <c r="P6059" s="1"/>
      <c r="Q6059" s="1"/>
      <c r="R6059" s="1"/>
      <c r="S6059" s="1"/>
      <c r="T6059" s="1"/>
      <c r="U6059" s="1"/>
      <c r="V6059" s="1"/>
      <c r="W6059" s="1"/>
      <c r="X6059" s="1"/>
    </row>
    <row x14ac:dyDescent="0.25" r="6060" customHeight="1" ht="18.75">
      <c r="A6060" s="1"/>
      <c r="B6060" s="1"/>
      <c r="C6060" s="1"/>
      <c r="D6060" s="1"/>
      <c r="E6060" s="1"/>
      <c r="F6060" s="1"/>
      <c r="G6060" s="1"/>
      <c r="H6060" s="1"/>
      <c r="I6060" s="2"/>
      <c r="J6060" s="1"/>
      <c r="K6060" s="1"/>
      <c r="L6060" s="1"/>
      <c r="M6060" s="1"/>
      <c r="N6060" s="1"/>
      <c r="O6060" s="1"/>
      <c r="P6060" s="1"/>
      <c r="Q6060" s="1"/>
      <c r="R6060" s="1"/>
      <c r="S6060" s="1"/>
      <c r="T6060" s="1"/>
      <c r="U6060" s="1"/>
      <c r="V6060" s="1"/>
      <c r="W6060" s="1"/>
      <c r="X6060" s="1"/>
    </row>
    <row x14ac:dyDescent="0.25" r="6061" customHeight="1" ht="18.75">
      <c r="A6061" s="1"/>
      <c r="B6061" s="1"/>
      <c r="C6061" s="1"/>
      <c r="D6061" s="1"/>
      <c r="E6061" s="1"/>
      <c r="F6061" s="1"/>
      <c r="G6061" s="1"/>
      <c r="H6061" s="1"/>
      <c r="I6061" s="2"/>
      <c r="J6061" s="1"/>
      <c r="K6061" s="1"/>
      <c r="L6061" s="1"/>
      <c r="M6061" s="1"/>
      <c r="N6061" s="1"/>
      <c r="O6061" s="1"/>
      <c r="P6061" s="1"/>
      <c r="Q6061" s="1"/>
      <c r="R6061" s="1"/>
      <c r="S6061" s="1"/>
      <c r="T6061" s="1"/>
      <c r="U6061" s="1"/>
      <c r="V6061" s="1"/>
      <c r="W6061" s="1"/>
      <c r="X6061" s="1"/>
    </row>
    <row x14ac:dyDescent="0.25" r="6062" customHeight="1" ht="18.75">
      <c r="A6062" s="1"/>
      <c r="B6062" s="1"/>
      <c r="C6062" s="1"/>
      <c r="D6062" s="1"/>
      <c r="E6062" s="1"/>
      <c r="F6062" s="1"/>
      <c r="G6062" s="1"/>
      <c r="H6062" s="1"/>
      <c r="I6062" s="2"/>
      <c r="J6062" s="1"/>
      <c r="K6062" s="1"/>
      <c r="L6062" s="1"/>
      <c r="M6062" s="1"/>
      <c r="N6062" s="1"/>
      <c r="O6062" s="1"/>
      <c r="P6062" s="1"/>
      <c r="Q6062" s="1"/>
      <c r="R6062" s="1"/>
      <c r="S6062" s="1"/>
      <c r="T6062" s="1"/>
      <c r="U6062" s="1"/>
      <c r="V6062" s="1"/>
      <c r="W6062" s="1"/>
      <c r="X6062" s="1"/>
    </row>
    <row x14ac:dyDescent="0.25" r="6063" customHeight="1" ht="18.75">
      <c r="A6063" s="1"/>
      <c r="B6063" s="1"/>
      <c r="C6063" s="1"/>
      <c r="D6063" s="1"/>
      <c r="E6063" s="1"/>
      <c r="F6063" s="1"/>
      <c r="G6063" s="1"/>
      <c r="H6063" s="1"/>
      <c r="I6063" s="2"/>
      <c r="J6063" s="1"/>
      <c r="K6063" s="1"/>
      <c r="L6063" s="1"/>
      <c r="M6063" s="1"/>
      <c r="N6063" s="1"/>
      <c r="O6063" s="1"/>
      <c r="P6063" s="1"/>
      <c r="Q6063" s="1"/>
      <c r="R6063" s="1"/>
      <c r="S6063" s="1"/>
      <c r="T6063" s="1"/>
      <c r="U6063" s="1"/>
      <c r="V6063" s="1"/>
      <c r="W6063" s="1"/>
      <c r="X6063" s="1"/>
    </row>
    <row x14ac:dyDescent="0.25" r="6064" customHeight="1" ht="18.75">
      <c r="A6064" s="1"/>
      <c r="B6064" s="1"/>
      <c r="C6064" s="1"/>
      <c r="D6064" s="1"/>
      <c r="E6064" s="1"/>
      <c r="F6064" s="1"/>
      <c r="G6064" s="1"/>
      <c r="H6064" s="1"/>
      <c r="I6064" s="2"/>
      <c r="J6064" s="1"/>
      <c r="K6064" s="1"/>
      <c r="L6064" s="1"/>
      <c r="M6064" s="1"/>
      <c r="N6064" s="1"/>
      <c r="O6064" s="1"/>
      <c r="P6064" s="1"/>
      <c r="Q6064" s="1"/>
      <c r="R6064" s="1"/>
      <c r="S6064" s="1"/>
      <c r="T6064" s="1"/>
      <c r="U6064" s="1"/>
      <c r="V6064" s="1"/>
      <c r="W6064" s="1"/>
      <c r="X6064" s="1"/>
    </row>
    <row x14ac:dyDescent="0.25" r="6065" customHeight="1" ht="18.75">
      <c r="A6065" s="1"/>
      <c r="B6065" s="1"/>
      <c r="C6065" s="1"/>
      <c r="D6065" s="1"/>
      <c r="E6065" s="1"/>
      <c r="F6065" s="1"/>
      <c r="G6065" s="1"/>
      <c r="H6065" s="1"/>
      <c r="I6065" s="2"/>
      <c r="J6065" s="1"/>
      <c r="K6065" s="1"/>
      <c r="L6065" s="1"/>
      <c r="M6065" s="1"/>
      <c r="N6065" s="1"/>
      <c r="O6065" s="1"/>
      <c r="P6065" s="1"/>
      <c r="Q6065" s="1"/>
      <c r="R6065" s="1"/>
      <c r="S6065" s="1"/>
      <c r="T6065" s="1"/>
      <c r="U6065" s="1"/>
      <c r="V6065" s="1"/>
      <c r="W6065" s="1"/>
      <c r="X6065" s="1"/>
    </row>
    <row x14ac:dyDescent="0.25" r="6066" customHeight="1" ht="18.75">
      <c r="A6066" s="1"/>
      <c r="B6066" s="1"/>
      <c r="C6066" s="1"/>
      <c r="D6066" s="1"/>
      <c r="E6066" s="1"/>
      <c r="F6066" s="1"/>
      <c r="G6066" s="1"/>
      <c r="H6066" s="1"/>
      <c r="I6066" s="2"/>
      <c r="J6066" s="1"/>
      <c r="K6066" s="1"/>
      <c r="L6066" s="1"/>
      <c r="M6066" s="1"/>
      <c r="N6066" s="1"/>
      <c r="O6066" s="1"/>
      <c r="P6066" s="1"/>
      <c r="Q6066" s="1"/>
      <c r="R6066" s="1"/>
      <c r="S6066" s="1"/>
      <c r="T6066" s="1"/>
      <c r="U6066" s="1"/>
      <c r="V6066" s="1"/>
      <c r="W6066" s="1"/>
      <c r="X6066" s="1"/>
    </row>
    <row x14ac:dyDescent="0.25" r="6067" customHeight="1" ht="18.75">
      <c r="A6067" s="1"/>
      <c r="B6067" s="1"/>
      <c r="C6067" s="1"/>
      <c r="D6067" s="1"/>
      <c r="E6067" s="1"/>
      <c r="F6067" s="1"/>
      <c r="G6067" s="1"/>
      <c r="H6067" s="1"/>
      <c r="I6067" s="2"/>
      <c r="J6067" s="1"/>
      <c r="K6067" s="1"/>
      <c r="L6067" s="1"/>
      <c r="M6067" s="1"/>
      <c r="N6067" s="1"/>
      <c r="O6067" s="1"/>
      <c r="P6067" s="1"/>
      <c r="Q6067" s="1"/>
      <c r="R6067" s="1"/>
      <c r="S6067" s="1"/>
      <c r="T6067" s="1"/>
      <c r="U6067" s="1"/>
      <c r="V6067" s="1"/>
      <c r="W6067" s="1"/>
      <c r="X6067" s="1"/>
    </row>
    <row x14ac:dyDescent="0.25" r="6068" customHeight="1" ht="18.75">
      <c r="A6068" s="1"/>
      <c r="B6068" s="1"/>
      <c r="C6068" s="1"/>
      <c r="D6068" s="1"/>
      <c r="E6068" s="1"/>
      <c r="F6068" s="1"/>
      <c r="G6068" s="1"/>
      <c r="H6068" s="1"/>
      <c r="I6068" s="2"/>
      <c r="J6068" s="1"/>
      <c r="K6068" s="1"/>
      <c r="L6068" s="1"/>
      <c r="M6068" s="1"/>
      <c r="N6068" s="1"/>
      <c r="O6068" s="1"/>
      <c r="P6068" s="1"/>
      <c r="Q6068" s="1"/>
      <c r="R6068" s="1"/>
      <c r="S6068" s="1"/>
      <c r="T6068" s="1"/>
      <c r="U6068" s="1"/>
      <c r="V6068" s="1"/>
      <c r="W6068" s="1"/>
      <c r="X6068" s="1"/>
    </row>
    <row x14ac:dyDescent="0.25" r="6069" customHeight="1" ht="18.75">
      <c r="A6069" s="1"/>
      <c r="B6069" s="1"/>
      <c r="C6069" s="1"/>
      <c r="D6069" s="1"/>
      <c r="E6069" s="1"/>
      <c r="F6069" s="1"/>
      <c r="G6069" s="1"/>
      <c r="H6069" s="1"/>
      <c r="I6069" s="2"/>
      <c r="J6069" s="1"/>
      <c r="K6069" s="1"/>
      <c r="L6069" s="1"/>
      <c r="M6069" s="1"/>
      <c r="N6069" s="1"/>
      <c r="O6069" s="1"/>
      <c r="P6069" s="1"/>
      <c r="Q6069" s="1"/>
      <c r="R6069" s="1"/>
      <c r="S6069" s="1"/>
      <c r="T6069" s="1"/>
      <c r="U6069" s="1"/>
      <c r="V6069" s="1"/>
      <c r="W6069" s="1"/>
      <c r="X6069" s="1"/>
    </row>
    <row x14ac:dyDescent="0.25" r="6070" customHeight="1" ht="18.75">
      <c r="A6070" s="1"/>
      <c r="B6070" s="1"/>
      <c r="C6070" s="1"/>
      <c r="D6070" s="1"/>
      <c r="E6070" s="1"/>
      <c r="F6070" s="1"/>
      <c r="G6070" s="1"/>
      <c r="H6070" s="1"/>
      <c r="I6070" s="2"/>
      <c r="J6070" s="1"/>
      <c r="K6070" s="1"/>
      <c r="L6070" s="1"/>
      <c r="M6070" s="1"/>
      <c r="N6070" s="1"/>
      <c r="O6070" s="1"/>
      <c r="P6070" s="1"/>
      <c r="Q6070" s="1"/>
      <c r="R6070" s="1"/>
      <c r="S6070" s="1"/>
      <c r="T6070" s="1"/>
      <c r="U6070" s="1"/>
      <c r="V6070" s="1"/>
      <c r="W6070" s="1"/>
      <c r="X6070" s="1"/>
    </row>
    <row x14ac:dyDescent="0.25" r="6071" customHeight="1" ht="18.75">
      <c r="A6071" s="1"/>
      <c r="B6071" s="1"/>
      <c r="C6071" s="1"/>
      <c r="D6071" s="1"/>
      <c r="E6071" s="1"/>
      <c r="F6071" s="1"/>
      <c r="G6071" s="1"/>
      <c r="H6071" s="1"/>
      <c r="I6071" s="2"/>
      <c r="J6071" s="1"/>
      <c r="K6071" s="1"/>
      <c r="L6071" s="1"/>
      <c r="M6071" s="1"/>
      <c r="N6071" s="1"/>
      <c r="O6071" s="1"/>
      <c r="P6071" s="1"/>
      <c r="Q6071" s="1"/>
      <c r="R6071" s="1"/>
      <c r="S6071" s="1"/>
      <c r="T6071" s="1"/>
      <c r="U6071" s="1"/>
      <c r="V6071" s="1"/>
      <c r="W6071" s="1"/>
      <c r="X6071" s="1"/>
    </row>
    <row x14ac:dyDescent="0.25" r="6072" customHeight="1" ht="18.75">
      <c r="A6072" s="1"/>
      <c r="B6072" s="1"/>
      <c r="C6072" s="1"/>
      <c r="D6072" s="1"/>
      <c r="E6072" s="1"/>
      <c r="F6072" s="1"/>
      <c r="G6072" s="1"/>
      <c r="H6072" s="1"/>
      <c r="I6072" s="2"/>
      <c r="J6072" s="1"/>
      <c r="K6072" s="1"/>
      <c r="L6072" s="1"/>
      <c r="M6072" s="1"/>
      <c r="N6072" s="1"/>
      <c r="O6072" s="1"/>
      <c r="P6072" s="1"/>
      <c r="Q6072" s="1"/>
      <c r="R6072" s="1"/>
      <c r="S6072" s="1"/>
      <c r="T6072" s="1"/>
      <c r="U6072" s="1"/>
      <c r="V6072" s="1"/>
      <c r="W6072" s="1"/>
      <c r="X6072" s="1"/>
    </row>
    <row x14ac:dyDescent="0.25" r="6073" customHeight="1" ht="18.75">
      <c r="A6073" s="1"/>
      <c r="B6073" s="1"/>
      <c r="C6073" s="1"/>
      <c r="D6073" s="1"/>
      <c r="E6073" s="1"/>
      <c r="F6073" s="1"/>
      <c r="G6073" s="1"/>
      <c r="H6073" s="1"/>
      <c r="I6073" s="2"/>
      <c r="J6073" s="1"/>
      <c r="K6073" s="1"/>
      <c r="L6073" s="1"/>
      <c r="M6073" s="1"/>
      <c r="N6073" s="1"/>
      <c r="O6073" s="1"/>
      <c r="P6073" s="1"/>
      <c r="Q6073" s="1"/>
      <c r="R6073" s="1"/>
      <c r="S6073" s="1"/>
      <c r="T6073" s="1"/>
      <c r="U6073" s="1"/>
      <c r="V6073" s="1"/>
      <c r="W6073" s="1"/>
      <c r="X6073" s="1"/>
    </row>
    <row x14ac:dyDescent="0.25" r="6074" customHeight="1" ht="18.75">
      <c r="A6074" s="1"/>
      <c r="B6074" s="1"/>
      <c r="C6074" s="1"/>
      <c r="D6074" s="1"/>
      <c r="E6074" s="1"/>
      <c r="F6074" s="1"/>
      <c r="G6074" s="1"/>
      <c r="H6074" s="1"/>
      <c r="I6074" s="2"/>
      <c r="J6074" s="1"/>
      <c r="K6074" s="1"/>
      <c r="L6074" s="1"/>
      <c r="M6074" s="1"/>
      <c r="N6074" s="1"/>
      <c r="O6074" s="1"/>
      <c r="P6074" s="1"/>
      <c r="Q6074" s="1"/>
      <c r="R6074" s="1"/>
      <c r="S6074" s="1"/>
      <c r="T6074" s="1"/>
      <c r="U6074" s="1"/>
      <c r="V6074" s="1"/>
      <c r="W6074" s="1"/>
      <c r="X6074" s="1"/>
    </row>
    <row x14ac:dyDescent="0.25" r="6075" customHeight="1" ht="18.75">
      <c r="A6075" s="1"/>
      <c r="B6075" s="1"/>
      <c r="C6075" s="1"/>
      <c r="D6075" s="1"/>
      <c r="E6075" s="1"/>
      <c r="F6075" s="1"/>
      <c r="G6075" s="1"/>
      <c r="H6075" s="1"/>
      <c r="I6075" s="2"/>
      <c r="J6075" s="1"/>
      <c r="K6075" s="1"/>
      <c r="L6075" s="1"/>
      <c r="M6075" s="1"/>
      <c r="N6075" s="1"/>
      <c r="O6075" s="1"/>
      <c r="P6075" s="1"/>
      <c r="Q6075" s="1"/>
      <c r="R6075" s="1"/>
      <c r="S6075" s="1"/>
      <c r="T6075" s="1"/>
      <c r="U6075" s="1"/>
      <c r="V6075" s="1"/>
      <c r="W6075" s="1"/>
      <c r="X6075" s="1"/>
    </row>
    <row x14ac:dyDescent="0.25" r="6076" customHeight="1" ht="18.75">
      <c r="A6076" s="1"/>
      <c r="B6076" s="1"/>
      <c r="C6076" s="1"/>
      <c r="D6076" s="1"/>
      <c r="E6076" s="1"/>
      <c r="F6076" s="1"/>
      <c r="G6076" s="1"/>
      <c r="H6076" s="1"/>
      <c r="I6076" s="2"/>
      <c r="J6076" s="1"/>
      <c r="K6076" s="1"/>
      <c r="L6076" s="1"/>
      <c r="M6076" s="1"/>
      <c r="N6076" s="1"/>
      <c r="O6076" s="1"/>
      <c r="P6076" s="1"/>
      <c r="Q6076" s="1"/>
      <c r="R6076" s="1"/>
      <c r="S6076" s="1"/>
      <c r="T6076" s="1"/>
      <c r="U6076" s="1"/>
      <c r="V6076" s="1"/>
      <c r="W6076" s="1"/>
      <c r="X6076" s="1"/>
    </row>
    <row x14ac:dyDescent="0.25" r="6077" customHeight="1" ht="18.75">
      <c r="A6077" s="1"/>
      <c r="B6077" s="1"/>
      <c r="C6077" s="1"/>
      <c r="D6077" s="1"/>
      <c r="E6077" s="1"/>
      <c r="F6077" s="1"/>
      <c r="G6077" s="1"/>
      <c r="H6077" s="1"/>
      <c r="I6077" s="2"/>
      <c r="J6077" s="1"/>
      <c r="K6077" s="1"/>
      <c r="L6077" s="1"/>
      <c r="M6077" s="1"/>
      <c r="N6077" s="1"/>
      <c r="O6077" s="1"/>
      <c r="P6077" s="1"/>
      <c r="Q6077" s="1"/>
      <c r="R6077" s="1"/>
      <c r="S6077" s="1"/>
      <c r="T6077" s="1"/>
      <c r="U6077" s="1"/>
      <c r="V6077" s="1"/>
      <c r="W6077" s="1"/>
      <c r="X6077" s="1"/>
    </row>
    <row x14ac:dyDescent="0.25" r="6078" customHeight="1" ht="18.75">
      <c r="A6078" s="1"/>
      <c r="B6078" s="1"/>
      <c r="C6078" s="1"/>
      <c r="D6078" s="1"/>
      <c r="E6078" s="1"/>
      <c r="F6078" s="1"/>
      <c r="G6078" s="1"/>
      <c r="H6078" s="1"/>
      <c r="I6078" s="2"/>
      <c r="J6078" s="1"/>
      <c r="K6078" s="1"/>
      <c r="L6078" s="1"/>
      <c r="M6078" s="1"/>
      <c r="N6078" s="1"/>
      <c r="O6078" s="1"/>
      <c r="P6078" s="1"/>
      <c r="Q6078" s="1"/>
      <c r="R6078" s="1"/>
      <c r="S6078" s="1"/>
      <c r="T6078" s="1"/>
      <c r="U6078" s="1"/>
      <c r="V6078" s="1"/>
      <c r="W6078" s="1"/>
      <c r="X6078" s="1"/>
    </row>
    <row x14ac:dyDescent="0.25" r="6079" customHeight="1" ht="18.75">
      <c r="A6079" s="1"/>
      <c r="B6079" s="1"/>
      <c r="C6079" s="1"/>
      <c r="D6079" s="1"/>
      <c r="E6079" s="1"/>
      <c r="F6079" s="1"/>
      <c r="G6079" s="1"/>
      <c r="H6079" s="1"/>
      <c r="I6079" s="2"/>
      <c r="J6079" s="1"/>
      <c r="K6079" s="1"/>
      <c r="L6079" s="1"/>
      <c r="M6079" s="1"/>
      <c r="N6079" s="1"/>
      <c r="O6079" s="1"/>
      <c r="P6079" s="1"/>
      <c r="Q6079" s="1"/>
      <c r="R6079" s="1"/>
      <c r="S6079" s="1"/>
      <c r="T6079" s="1"/>
      <c r="U6079" s="1"/>
      <c r="V6079" s="1"/>
      <c r="W6079" s="1"/>
      <c r="X6079" s="1"/>
    </row>
    <row x14ac:dyDescent="0.25" r="6080" customHeight="1" ht="18.75">
      <c r="A6080" s="1"/>
      <c r="B6080" s="1"/>
      <c r="C6080" s="1"/>
      <c r="D6080" s="1"/>
      <c r="E6080" s="1"/>
      <c r="F6080" s="1"/>
      <c r="G6080" s="1"/>
      <c r="H6080" s="1"/>
      <c r="I6080" s="2"/>
      <c r="J6080" s="1"/>
      <c r="K6080" s="1"/>
      <c r="L6080" s="1"/>
      <c r="M6080" s="1"/>
      <c r="N6080" s="1"/>
      <c r="O6080" s="1"/>
      <c r="P6080" s="1"/>
      <c r="Q6080" s="1"/>
      <c r="R6080" s="1"/>
      <c r="S6080" s="1"/>
      <c r="T6080" s="1"/>
      <c r="U6080" s="1"/>
      <c r="V6080" s="1"/>
      <c r="W6080" s="1"/>
      <c r="X6080" s="1"/>
    </row>
    <row x14ac:dyDescent="0.25" r="6081" customHeight="1" ht="18.75">
      <c r="A6081" s="1"/>
      <c r="B6081" s="1"/>
      <c r="C6081" s="1"/>
      <c r="D6081" s="1"/>
      <c r="E6081" s="1"/>
      <c r="F6081" s="1"/>
      <c r="G6081" s="1"/>
      <c r="H6081" s="1"/>
      <c r="I6081" s="2"/>
      <c r="J6081" s="1"/>
      <c r="K6081" s="1"/>
      <c r="L6081" s="1"/>
      <c r="M6081" s="1"/>
      <c r="N6081" s="1"/>
      <c r="O6081" s="1"/>
      <c r="P6081" s="1"/>
      <c r="Q6081" s="1"/>
      <c r="R6081" s="1"/>
      <c r="S6081" s="1"/>
      <c r="T6081" s="1"/>
      <c r="U6081" s="1"/>
      <c r="V6081" s="1"/>
      <c r="W6081" s="1"/>
      <c r="X6081" s="1"/>
    </row>
    <row x14ac:dyDescent="0.25" r="6082" customHeight="1" ht="18.75">
      <c r="A6082" s="1"/>
      <c r="B6082" s="1"/>
      <c r="C6082" s="1"/>
      <c r="D6082" s="1"/>
      <c r="E6082" s="1"/>
      <c r="F6082" s="1"/>
      <c r="G6082" s="1"/>
      <c r="H6082" s="1"/>
      <c r="I6082" s="2"/>
      <c r="J6082" s="1"/>
      <c r="K6082" s="1"/>
      <c r="L6082" s="1"/>
      <c r="M6082" s="1"/>
      <c r="N6082" s="1"/>
      <c r="O6082" s="1"/>
      <c r="P6082" s="1"/>
      <c r="Q6082" s="1"/>
      <c r="R6082" s="1"/>
      <c r="S6082" s="1"/>
      <c r="T6082" s="1"/>
      <c r="U6082" s="1"/>
      <c r="V6082" s="1"/>
      <c r="W6082" s="1"/>
      <c r="X6082" s="1"/>
    </row>
    <row x14ac:dyDescent="0.25" r="6083" customHeight="1" ht="18.75">
      <c r="A6083" s="1"/>
      <c r="B6083" s="1"/>
      <c r="C6083" s="1"/>
      <c r="D6083" s="1"/>
      <c r="E6083" s="1"/>
      <c r="F6083" s="1"/>
      <c r="G6083" s="1"/>
      <c r="H6083" s="1"/>
      <c r="I6083" s="2"/>
      <c r="J6083" s="1"/>
      <c r="K6083" s="1"/>
      <c r="L6083" s="1"/>
      <c r="M6083" s="1"/>
      <c r="N6083" s="1"/>
      <c r="O6083" s="1"/>
      <c r="P6083" s="1"/>
      <c r="Q6083" s="1"/>
      <c r="R6083" s="1"/>
      <c r="S6083" s="1"/>
      <c r="T6083" s="1"/>
      <c r="U6083" s="1"/>
      <c r="V6083" s="1"/>
      <c r="W6083" s="1"/>
      <c r="X6083" s="1"/>
    </row>
    <row x14ac:dyDescent="0.25" r="6084" customHeight="1" ht="18.75">
      <c r="A6084" s="1"/>
      <c r="B6084" s="1"/>
      <c r="C6084" s="1"/>
      <c r="D6084" s="1"/>
      <c r="E6084" s="1"/>
      <c r="F6084" s="1"/>
      <c r="G6084" s="1"/>
      <c r="H6084" s="1"/>
      <c r="I6084" s="2"/>
      <c r="J6084" s="1"/>
      <c r="K6084" s="1"/>
      <c r="L6084" s="1"/>
      <c r="M6084" s="1"/>
      <c r="N6084" s="1"/>
      <c r="O6084" s="1"/>
      <c r="P6084" s="1"/>
      <c r="Q6084" s="1"/>
      <c r="R6084" s="1"/>
      <c r="S6084" s="1"/>
      <c r="T6084" s="1"/>
      <c r="U6084" s="1"/>
      <c r="V6084" s="1"/>
      <c r="W6084" s="1"/>
      <c r="X6084" s="1"/>
    </row>
    <row x14ac:dyDescent="0.25" r="6085" customHeight="1" ht="18.75">
      <c r="A6085" s="1"/>
      <c r="B6085" s="1"/>
      <c r="C6085" s="1"/>
      <c r="D6085" s="1"/>
      <c r="E6085" s="1"/>
      <c r="F6085" s="1"/>
      <c r="G6085" s="1"/>
      <c r="H6085" s="1"/>
      <c r="I6085" s="2"/>
      <c r="J6085" s="1"/>
      <c r="K6085" s="1"/>
      <c r="L6085" s="1"/>
      <c r="M6085" s="1"/>
      <c r="N6085" s="1"/>
      <c r="O6085" s="1"/>
      <c r="P6085" s="1"/>
      <c r="Q6085" s="1"/>
      <c r="R6085" s="1"/>
      <c r="S6085" s="1"/>
      <c r="T6085" s="1"/>
      <c r="U6085" s="1"/>
      <c r="V6085" s="1"/>
      <c r="W6085" s="1"/>
      <c r="X6085" s="1"/>
    </row>
    <row x14ac:dyDescent="0.25" r="6086" customHeight="1" ht="18.75">
      <c r="A6086" s="1"/>
      <c r="B6086" s="1"/>
      <c r="C6086" s="1"/>
      <c r="D6086" s="1"/>
      <c r="E6086" s="1"/>
      <c r="F6086" s="1"/>
      <c r="G6086" s="1"/>
      <c r="H6086" s="1"/>
      <c r="I6086" s="2"/>
      <c r="J6086" s="1"/>
      <c r="K6086" s="1"/>
      <c r="L6086" s="1"/>
      <c r="M6086" s="1"/>
      <c r="N6086" s="1"/>
      <c r="O6086" s="1"/>
      <c r="P6086" s="1"/>
      <c r="Q6086" s="1"/>
      <c r="R6086" s="1"/>
      <c r="S6086" s="1"/>
      <c r="T6086" s="1"/>
      <c r="U6086" s="1"/>
      <c r="V6086" s="1"/>
      <c r="W6086" s="1"/>
      <c r="X6086" s="1"/>
    </row>
    <row x14ac:dyDescent="0.25" r="6087" customHeight="1" ht="18.75">
      <c r="A6087" s="1"/>
      <c r="B6087" s="1"/>
      <c r="C6087" s="1"/>
      <c r="D6087" s="1"/>
      <c r="E6087" s="1"/>
      <c r="F6087" s="1"/>
      <c r="G6087" s="1"/>
      <c r="H6087" s="1"/>
      <c r="I6087" s="2"/>
      <c r="J6087" s="1"/>
      <c r="K6087" s="1"/>
      <c r="L6087" s="1"/>
      <c r="M6087" s="1"/>
      <c r="N6087" s="1"/>
      <c r="O6087" s="1"/>
      <c r="P6087" s="1"/>
      <c r="Q6087" s="1"/>
      <c r="R6087" s="1"/>
      <c r="S6087" s="1"/>
      <c r="T6087" s="1"/>
      <c r="U6087" s="1"/>
      <c r="V6087" s="1"/>
      <c r="W6087" s="1"/>
      <c r="X6087" s="1"/>
    </row>
    <row x14ac:dyDescent="0.25" r="6088" customHeight="1" ht="18.75">
      <c r="A6088" s="1"/>
      <c r="B6088" s="1"/>
      <c r="C6088" s="1"/>
      <c r="D6088" s="1"/>
      <c r="E6088" s="1"/>
      <c r="F6088" s="1"/>
      <c r="G6088" s="1"/>
      <c r="H6088" s="1"/>
      <c r="I6088" s="2"/>
      <c r="J6088" s="1"/>
      <c r="K6088" s="1"/>
      <c r="L6088" s="1"/>
      <c r="M6088" s="1"/>
      <c r="N6088" s="1"/>
      <c r="O6088" s="1"/>
      <c r="P6088" s="1"/>
      <c r="Q6088" s="1"/>
      <c r="R6088" s="1"/>
      <c r="S6088" s="1"/>
      <c r="T6088" s="1"/>
      <c r="U6088" s="1"/>
      <c r="V6088" s="1"/>
      <c r="W6088" s="1"/>
      <c r="X6088" s="1"/>
    </row>
    <row x14ac:dyDescent="0.25" r="6089" customHeight="1" ht="18.75">
      <c r="A6089" s="1"/>
      <c r="B6089" s="1"/>
      <c r="C6089" s="1"/>
      <c r="D6089" s="1"/>
      <c r="E6089" s="1"/>
      <c r="F6089" s="1"/>
      <c r="G6089" s="1"/>
      <c r="H6089" s="1"/>
      <c r="I6089" s="2"/>
      <c r="J6089" s="1"/>
      <c r="K6089" s="1"/>
      <c r="L6089" s="1"/>
      <c r="M6089" s="1"/>
      <c r="N6089" s="1"/>
      <c r="O6089" s="1"/>
      <c r="P6089" s="1"/>
      <c r="Q6089" s="1"/>
      <c r="R6089" s="1"/>
      <c r="S6089" s="1"/>
      <c r="T6089" s="1"/>
      <c r="U6089" s="1"/>
      <c r="V6089" s="1"/>
      <c r="W6089" s="1"/>
      <c r="X6089" s="1"/>
    </row>
    <row x14ac:dyDescent="0.25" r="6090" customHeight="1" ht="18.75">
      <c r="A6090" s="1"/>
      <c r="B6090" s="1"/>
      <c r="C6090" s="1"/>
      <c r="D6090" s="1"/>
      <c r="E6090" s="1"/>
      <c r="F6090" s="1"/>
      <c r="G6090" s="1"/>
      <c r="H6090" s="1"/>
      <c r="I6090" s="2"/>
      <c r="J6090" s="1"/>
      <c r="K6090" s="1"/>
      <c r="L6090" s="1"/>
      <c r="M6090" s="1"/>
      <c r="N6090" s="1"/>
      <c r="O6090" s="1"/>
      <c r="P6090" s="1"/>
      <c r="Q6090" s="1"/>
      <c r="R6090" s="1"/>
      <c r="S6090" s="1"/>
      <c r="T6090" s="1"/>
      <c r="U6090" s="1"/>
      <c r="V6090" s="1"/>
      <c r="W6090" s="1"/>
      <c r="X6090" s="1"/>
    </row>
    <row x14ac:dyDescent="0.25" r="6091" customHeight="1" ht="18.75">
      <c r="A6091" s="1"/>
      <c r="B6091" s="1"/>
      <c r="C6091" s="1"/>
      <c r="D6091" s="1"/>
      <c r="E6091" s="1"/>
      <c r="F6091" s="1"/>
      <c r="G6091" s="1"/>
      <c r="H6091" s="1"/>
      <c r="I6091" s="2"/>
      <c r="J6091" s="1"/>
      <c r="K6091" s="1"/>
      <c r="L6091" s="1"/>
      <c r="M6091" s="1"/>
      <c r="N6091" s="1"/>
      <c r="O6091" s="1"/>
      <c r="P6091" s="1"/>
      <c r="Q6091" s="1"/>
      <c r="R6091" s="1"/>
      <c r="S6091" s="1"/>
      <c r="T6091" s="1"/>
      <c r="U6091" s="1"/>
      <c r="V6091" s="1"/>
      <c r="W6091" s="1"/>
      <c r="X6091" s="1"/>
    </row>
    <row x14ac:dyDescent="0.25" r="6092" customHeight="1" ht="18.75">
      <c r="A6092" s="1"/>
      <c r="B6092" s="1"/>
      <c r="C6092" s="1"/>
      <c r="D6092" s="1"/>
      <c r="E6092" s="1"/>
      <c r="F6092" s="1"/>
      <c r="G6092" s="1"/>
      <c r="H6092" s="1"/>
      <c r="I6092" s="2"/>
      <c r="J6092" s="1"/>
      <c r="K6092" s="1"/>
      <c r="L6092" s="1"/>
      <c r="M6092" s="1"/>
      <c r="N6092" s="1"/>
      <c r="O6092" s="1"/>
      <c r="P6092" s="1"/>
      <c r="Q6092" s="1"/>
      <c r="R6092" s="1"/>
      <c r="S6092" s="1"/>
      <c r="T6092" s="1"/>
      <c r="U6092" s="1"/>
      <c r="V6092" s="1"/>
      <c r="W6092" s="1"/>
      <c r="X6092" s="1"/>
    </row>
    <row x14ac:dyDescent="0.25" r="6093" customHeight="1" ht="18.75">
      <c r="A6093" s="1"/>
      <c r="B6093" s="1"/>
      <c r="C6093" s="1"/>
      <c r="D6093" s="1"/>
      <c r="E6093" s="1"/>
      <c r="F6093" s="1"/>
      <c r="G6093" s="1"/>
      <c r="H6093" s="1"/>
      <c r="I6093" s="2"/>
      <c r="J6093" s="1"/>
      <c r="K6093" s="1"/>
      <c r="L6093" s="1"/>
      <c r="M6093" s="1"/>
      <c r="N6093" s="1"/>
      <c r="O6093" s="1"/>
      <c r="P6093" s="1"/>
      <c r="Q6093" s="1"/>
      <c r="R6093" s="1"/>
      <c r="S6093" s="1"/>
      <c r="T6093" s="1"/>
      <c r="U6093" s="1"/>
      <c r="V6093" s="1"/>
      <c r="W6093" s="1"/>
      <c r="X6093" s="1"/>
    </row>
    <row x14ac:dyDescent="0.25" r="6094" customHeight="1" ht="18.75">
      <c r="A6094" s="1"/>
      <c r="B6094" s="1"/>
      <c r="C6094" s="1"/>
      <c r="D6094" s="1"/>
      <c r="E6094" s="1"/>
      <c r="F6094" s="1"/>
      <c r="G6094" s="1"/>
      <c r="H6094" s="1"/>
      <c r="I6094" s="2"/>
      <c r="J6094" s="1"/>
      <c r="K6094" s="1"/>
      <c r="L6094" s="1"/>
      <c r="M6094" s="1"/>
      <c r="N6094" s="1"/>
      <c r="O6094" s="1"/>
      <c r="P6094" s="1"/>
      <c r="Q6094" s="1"/>
      <c r="R6094" s="1"/>
      <c r="S6094" s="1"/>
      <c r="T6094" s="1"/>
      <c r="U6094" s="1"/>
      <c r="V6094" s="1"/>
      <c r="W6094" s="1"/>
      <c r="X6094" s="1"/>
    </row>
    <row x14ac:dyDescent="0.25" r="6095" customHeight="1" ht="18.75">
      <c r="A6095" s="1"/>
      <c r="B6095" s="1"/>
      <c r="C6095" s="1"/>
      <c r="D6095" s="1"/>
      <c r="E6095" s="1"/>
      <c r="F6095" s="1"/>
      <c r="G6095" s="1"/>
      <c r="H6095" s="1"/>
      <c r="I6095" s="2"/>
      <c r="J6095" s="1"/>
      <c r="K6095" s="1"/>
      <c r="L6095" s="1"/>
      <c r="M6095" s="1"/>
      <c r="N6095" s="1"/>
      <c r="O6095" s="1"/>
      <c r="P6095" s="1"/>
      <c r="Q6095" s="1"/>
      <c r="R6095" s="1"/>
      <c r="S6095" s="1"/>
      <c r="T6095" s="1"/>
      <c r="U6095" s="1"/>
      <c r="V6095" s="1"/>
      <c r="W6095" s="1"/>
      <c r="X6095" s="1"/>
    </row>
    <row x14ac:dyDescent="0.25" r="6096" customHeight="1" ht="18.75">
      <c r="A6096" s="1"/>
      <c r="B6096" s="1"/>
      <c r="C6096" s="1"/>
      <c r="D6096" s="1"/>
      <c r="E6096" s="1"/>
      <c r="F6096" s="1"/>
      <c r="G6096" s="1"/>
      <c r="H6096" s="1"/>
      <c r="I6096" s="2"/>
      <c r="J6096" s="1"/>
      <c r="K6096" s="1"/>
      <c r="L6096" s="1"/>
      <c r="M6096" s="1"/>
      <c r="N6096" s="1"/>
      <c r="O6096" s="1"/>
      <c r="P6096" s="1"/>
      <c r="Q6096" s="1"/>
      <c r="R6096" s="1"/>
      <c r="S6096" s="1"/>
      <c r="T6096" s="1"/>
      <c r="U6096" s="1"/>
      <c r="V6096" s="1"/>
      <c r="W6096" s="1"/>
      <c r="X6096" s="1"/>
    </row>
    <row x14ac:dyDescent="0.25" r="6097" customHeight="1" ht="18.75">
      <c r="A6097" s="1"/>
      <c r="B6097" s="1"/>
      <c r="C6097" s="1"/>
      <c r="D6097" s="1"/>
      <c r="E6097" s="1"/>
      <c r="F6097" s="1"/>
      <c r="G6097" s="1"/>
      <c r="H6097" s="1"/>
      <c r="I6097" s="2"/>
      <c r="J6097" s="1"/>
      <c r="K6097" s="1"/>
      <c r="L6097" s="1"/>
      <c r="M6097" s="1"/>
      <c r="N6097" s="1"/>
      <c r="O6097" s="1"/>
      <c r="P6097" s="1"/>
      <c r="Q6097" s="1"/>
      <c r="R6097" s="1"/>
      <c r="S6097" s="1"/>
      <c r="T6097" s="1"/>
      <c r="U6097" s="1"/>
      <c r="V6097" s="1"/>
      <c r="W6097" s="1"/>
      <c r="X6097" s="1"/>
    </row>
    <row x14ac:dyDescent="0.25" r="6098" customHeight="1" ht="18.75">
      <c r="A6098" s="1"/>
      <c r="B6098" s="1"/>
      <c r="C6098" s="1"/>
      <c r="D6098" s="1"/>
      <c r="E6098" s="1"/>
      <c r="F6098" s="1"/>
      <c r="G6098" s="1"/>
      <c r="H6098" s="1"/>
      <c r="I6098" s="2"/>
      <c r="J6098" s="1"/>
      <c r="K6098" s="1"/>
      <c r="L6098" s="1"/>
      <c r="M6098" s="1"/>
      <c r="N6098" s="1"/>
      <c r="O6098" s="1"/>
      <c r="P6098" s="1"/>
      <c r="Q6098" s="1"/>
      <c r="R6098" s="1"/>
      <c r="S6098" s="1"/>
      <c r="T6098" s="1"/>
      <c r="U6098" s="1"/>
      <c r="V6098" s="1"/>
      <c r="W6098" s="1"/>
      <c r="X6098" s="1"/>
    </row>
    <row x14ac:dyDescent="0.25" r="6099" customHeight="1" ht="18.75">
      <c r="A6099" s="1"/>
      <c r="B6099" s="1"/>
      <c r="C6099" s="1"/>
      <c r="D6099" s="1"/>
      <c r="E6099" s="1"/>
      <c r="F6099" s="1"/>
      <c r="G6099" s="1"/>
      <c r="H6099" s="1"/>
      <c r="I6099" s="2"/>
      <c r="J6099" s="1"/>
      <c r="K6099" s="1"/>
      <c r="L6099" s="1"/>
      <c r="M6099" s="1"/>
      <c r="N6099" s="1"/>
      <c r="O6099" s="1"/>
      <c r="P6099" s="1"/>
      <c r="Q6099" s="1"/>
      <c r="R6099" s="1"/>
      <c r="S6099" s="1"/>
      <c r="T6099" s="1"/>
      <c r="U6099" s="1"/>
      <c r="V6099" s="1"/>
      <c r="W6099" s="1"/>
      <c r="X6099" s="1"/>
    </row>
    <row x14ac:dyDescent="0.25" r="6100" customHeight="1" ht="18.75">
      <c r="A6100" s="1"/>
      <c r="B6100" s="1"/>
      <c r="C6100" s="1"/>
      <c r="D6100" s="1"/>
      <c r="E6100" s="1"/>
      <c r="F6100" s="1"/>
      <c r="G6100" s="1"/>
      <c r="H6100" s="1"/>
      <c r="I6100" s="2"/>
      <c r="J6100" s="1"/>
      <c r="K6100" s="1"/>
      <c r="L6100" s="1"/>
      <c r="M6100" s="1"/>
      <c r="N6100" s="1"/>
      <c r="O6100" s="1"/>
      <c r="P6100" s="1"/>
      <c r="Q6100" s="1"/>
      <c r="R6100" s="1"/>
      <c r="S6100" s="1"/>
      <c r="T6100" s="1"/>
      <c r="U6100" s="1"/>
      <c r="V6100" s="1"/>
      <c r="W6100" s="1"/>
      <c r="X6100" s="1"/>
    </row>
    <row x14ac:dyDescent="0.25" r="6101" customHeight="1" ht="18.75">
      <c r="A6101" s="1"/>
      <c r="B6101" s="1"/>
      <c r="C6101" s="1"/>
      <c r="D6101" s="1"/>
      <c r="E6101" s="1"/>
      <c r="F6101" s="1"/>
      <c r="G6101" s="1"/>
      <c r="H6101" s="1"/>
      <c r="I6101" s="2"/>
      <c r="J6101" s="1"/>
      <c r="K6101" s="1"/>
      <c r="L6101" s="1"/>
      <c r="M6101" s="1"/>
      <c r="N6101" s="1"/>
      <c r="O6101" s="1"/>
      <c r="P6101" s="1"/>
      <c r="Q6101" s="1"/>
      <c r="R6101" s="1"/>
      <c r="S6101" s="1"/>
      <c r="T6101" s="1"/>
      <c r="U6101" s="1"/>
      <c r="V6101" s="1"/>
      <c r="W6101" s="1"/>
      <c r="X6101" s="1"/>
    </row>
    <row x14ac:dyDescent="0.25" r="6102" customHeight="1" ht="18.75">
      <c r="A6102" s="1"/>
      <c r="B6102" s="1"/>
      <c r="C6102" s="1"/>
      <c r="D6102" s="1"/>
      <c r="E6102" s="1"/>
      <c r="F6102" s="1"/>
      <c r="G6102" s="1"/>
      <c r="H6102" s="1"/>
      <c r="I6102" s="2"/>
      <c r="J6102" s="1"/>
      <c r="K6102" s="1"/>
      <c r="L6102" s="1"/>
      <c r="M6102" s="1"/>
      <c r="N6102" s="1"/>
      <c r="O6102" s="1"/>
      <c r="P6102" s="1"/>
      <c r="Q6102" s="1"/>
      <c r="R6102" s="1"/>
      <c r="S6102" s="1"/>
      <c r="T6102" s="1"/>
      <c r="U6102" s="1"/>
      <c r="V6102" s="1"/>
      <c r="W6102" s="1"/>
      <c r="X6102" s="1"/>
    </row>
    <row x14ac:dyDescent="0.25" r="6103" customHeight="1" ht="18.75">
      <c r="A6103" s="1"/>
      <c r="B6103" s="1"/>
      <c r="C6103" s="1"/>
      <c r="D6103" s="1"/>
      <c r="E6103" s="1"/>
      <c r="F6103" s="1"/>
      <c r="G6103" s="1"/>
      <c r="H6103" s="1"/>
      <c r="I6103" s="2"/>
      <c r="J6103" s="1"/>
      <c r="K6103" s="1"/>
      <c r="L6103" s="1"/>
      <c r="M6103" s="1"/>
      <c r="N6103" s="1"/>
      <c r="O6103" s="1"/>
      <c r="P6103" s="1"/>
      <c r="Q6103" s="1"/>
      <c r="R6103" s="1"/>
      <c r="S6103" s="1"/>
      <c r="T6103" s="1"/>
      <c r="U6103" s="1"/>
      <c r="V6103" s="1"/>
      <c r="W6103" s="1"/>
      <c r="X6103" s="1"/>
    </row>
    <row x14ac:dyDescent="0.25" r="6104" customHeight="1" ht="18.75">
      <c r="A6104" s="1"/>
      <c r="B6104" s="1"/>
      <c r="C6104" s="1"/>
      <c r="D6104" s="1"/>
      <c r="E6104" s="1"/>
      <c r="F6104" s="1"/>
      <c r="G6104" s="1"/>
      <c r="H6104" s="1"/>
      <c r="I6104" s="2"/>
      <c r="J6104" s="1"/>
      <c r="K6104" s="1"/>
      <c r="L6104" s="1"/>
      <c r="M6104" s="1"/>
      <c r="N6104" s="1"/>
      <c r="O6104" s="1"/>
      <c r="P6104" s="1"/>
      <c r="Q6104" s="1"/>
      <c r="R6104" s="1"/>
      <c r="S6104" s="1"/>
      <c r="T6104" s="1"/>
      <c r="U6104" s="1"/>
      <c r="V6104" s="1"/>
      <c r="W6104" s="1"/>
      <c r="X6104" s="1"/>
    </row>
    <row x14ac:dyDescent="0.25" r="6105" customHeight="1" ht="18.75">
      <c r="A6105" s="1"/>
      <c r="B6105" s="1"/>
      <c r="C6105" s="1"/>
      <c r="D6105" s="1"/>
      <c r="E6105" s="1"/>
      <c r="F6105" s="1"/>
      <c r="G6105" s="1"/>
      <c r="H6105" s="1"/>
      <c r="I6105" s="2"/>
      <c r="J6105" s="1"/>
      <c r="K6105" s="1"/>
      <c r="L6105" s="1"/>
      <c r="M6105" s="1"/>
      <c r="N6105" s="1"/>
      <c r="O6105" s="1"/>
      <c r="P6105" s="1"/>
      <c r="Q6105" s="1"/>
      <c r="R6105" s="1"/>
      <c r="S6105" s="1"/>
      <c r="T6105" s="1"/>
      <c r="U6105" s="1"/>
      <c r="V6105" s="1"/>
      <c r="W6105" s="1"/>
      <c r="X6105" s="1"/>
    </row>
    <row x14ac:dyDescent="0.25" r="6106" customHeight="1" ht="18.75">
      <c r="A6106" s="1"/>
      <c r="B6106" s="1"/>
      <c r="C6106" s="1"/>
      <c r="D6106" s="1"/>
      <c r="E6106" s="1"/>
      <c r="F6106" s="1"/>
      <c r="G6106" s="1"/>
      <c r="H6106" s="1"/>
      <c r="I6106" s="2"/>
      <c r="J6106" s="1"/>
      <c r="K6106" s="1"/>
      <c r="L6106" s="1"/>
      <c r="M6106" s="1"/>
      <c r="N6106" s="1"/>
      <c r="O6106" s="1"/>
      <c r="P6106" s="1"/>
      <c r="Q6106" s="1"/>
      <c r="R6106" s="1"/>
      <c r="S6106" s="1"/>
      <c r="T6106" s="1"/>
      <c r="U6106" s="1"/>
      <c r="V6106" s="1"/>
      <c r="W6106" s="1"/>
      <c r="X6106" s="1"/>
    </row>
    <row x14ac:dyDescent="0.25" r="6107" customHeight="1" ht="18.75">
      <c r="A6107" s="1"/>
      <c r="B6107" s="1"/>
      <c r="C6107" s="1"/>
      <c r="D6107" s="1"/>
      <c r="E6107" s="1"/>
      <c r="F6107" s="1"/>
      <c r="G6107" s="1"/>
      <c r="H6107" s="1"/>
      <c r="I6107" s="2"/>
      <c r="J6107" s="1"/>
      <c r="K6107" s="1"/>
      <c r="L6107" s="1"/>
      <c r="M6107" s="1"/>
      <c r="N6107" s="1"/>
      <c r="O6107" s="1"/>
      <c r="P6107" s="1"/>
      <c r="Q6107" s="1"/>
      <c r="R6107" s="1"/>
      <c r="S6107" s="1"/>
      <c r="T6107" s="1"/>
      <c r="U6107" s="1"/>
      <c r="V6107" s="1"/>
      <c r="W6107" s="1"/>
      <c r="X6107" s="1"/>
    </row>
    <row x14ac:dyDescent="0.25" r="6108" customHeight="1" ht="18.75">
      <c r="A6108" s="1"/>
      <c r="B6108" s="1"/>
      <c r="C6108" s="1"/>
      <c r="D6108" s="1"/>
      <c r="E6108" s="1"/>
      <c r="F6108" s="1"/>
      <c r="G6108" s="1"/>
      <c r="H6108" s="1"/>
      <c r="I6108" s="2"/>
      <c r="J6108" s="1"/>
      <c r="K6108" s="1"/>
      <c r="L6108" s="1"/>
      <c r="M6108" s="1"/>
      <c r="N6108" s="1"/>
      <c r="O6108" s="1"/>
      <c r="P6108" s="1"/>
      <c r="Q6108" s="1"/>
      <c r="R6108" s="1"/>
      <c r="S6108" s="1"/>
      <c r="T6108" s="1"/>
      <c r="U6108" s="1"/>
      <c r="V6108" s="1"/>
      <c r="W6108" s="1"/>
      <c r="X6108" s="1"/>
    </row>
    <row x14ac:dyDescent="0.25" r="6109" customHeight="1" ht="18.75">
      <c r="A6109" s="1"/>
      <c r="B6109" s="1"/>
      <c r="C6109" s="1"/>
      <c r="D6109" s="1"/>
      <c r="E6109" s="1"/>
      <c r="F6109" s="1"/>
      <c r="G6109" s="1"/>
      <c r="H6109" s="1"/>
      <c r="I6109" s="2"/>
      <c r="J6109" s="1"/>
      <c r="K6109" s="1"/>
      <c r="L6109" s="1"/>
      <c r="M6109" s="1"/>
      <c r="N6109" s="1"/>
      <c r="O6109" s="1"/>
      <c r="P6109" s="1"/>
      <c r="Q6109" s="1"/>
      <c r="R6109" s="1"/>
      <c r="S6109" s="1"/>
      <c r="T6109" s="1"/>
      <c r="U6109" s="1"/>
      <c r="V6109" s="1"/>
      <c r="W6109" s="1"/>
      <c r="X6109" s="1"/>
    </row>
    <row x14ac:dyDescent="0.25" r="6110" customHeight="1" ht="18.75">
      <c r="A6110" s="1"/>
      <c r="B6110" s="1"/>
      <c r="C6110" s="1"/>
      <c r="D6110" s="1"/>
      <c r="E6110" s="1"/>
      <c r="F6110" s="1"/>
      <c r="G6110" s="1"/>
      <c r="H6110" s="1"/>
      <c r="I6110" s="2"/>
      <c r="J6110" s="1"/>
      <c r="K6110" s="1"/>
      <c r="L6110" s="1"/>
      <c r="M6110" s="1"/>
      <c r="N6110" s="1"/>
      <c r="O6110" s="1"/>
      <c r="P6110" s="1"/>
      <c r="Q6110" s="1"/>
      <c r="R6110" s="1"/>
      <c r="S6110" s="1"/>
      <c r="T6110" s="1"/>
      <c r="U6110" s="1"/>
      <c r="V6110" s="1"/>
      <c r="W6110" s="1"/>
      <c r="X6110" s="1"/>
    </row>
    <row x14ac:dyDescent="0.25" r="6111" customHeight="1" ht="18.75">
      <c r="A6111" s="1"/>
      <c r="B6111" s="1"/>
      <c r="C6111" s="1"/>
      <c r="D6111" s="1"/>
      <c r="E6111" s="1"/>
      <c r="F6111" s="1"/>
      <c r="G6111" s="1"/>
      <c r="H6111" s="1"/>
      <c r="I6111" s="2"/>
      <c r="J6111" s="1"/>
      <c r="K6111" s="1"/>
      <c r="L6111" s="1"/>
      <c r="M6111" s="1"/>
      <c r="N6111" s="1"/>
      <c r="O6111" s="1"/>
      <c r="P6111" s="1"/>
      <c r="Q6111" s="1"/>
      <c r="R6111" s="1"/>
      <c r="S6111" s="1"/>
      <c r="T6111" s="1"/>
      <c r="U6111" s="1"/>
      <c r="V6111" s="1"/>
      <c r="W6111" s="1"/>
      <c r="X6111" s="1"/>
    </row>
    <row x14ac:dyDescent="0.25" r="6112" customHeight="1" ht="18.75">
      <c r="A6112" s="1"/>
      <c r="B6112" s="1"/>
      <c r="C6112" s="1"/>
      <c r="D6112" s="1"/>
      <c r="E6112" s="1"/>
      <c r="F6112" s="1"/>
      <c r="G6112" s="1"/>
      <c r="H6112" s="1"/>
      <c r="I6112" s="2"/>
      <c r="J6112" s="1"/>
      <c r="K6112" s="1"/>
      <c r="L6112" s="1"/>
      <c r="M6112" s="1"/>
      <c r="N6112" s="1"/>
      <c r="O6112" s="1"/>
      <c r="P6112" s="1"/>
      <c r="Q6112" s="1"/>
      <c r="R6112" s="1"/>
      <c r="S6112" s="1"/>
      <c r="T6112" s="1"/>
      <c r="U6112" s="1"/>
      <c r="V6112" s="1"/>
      <c r="W6112" s="1"/>
      <c r="X6112" s="1"/>
    </row>
    <row x14ac:dyDescent="0.25" r="6113" customHeight="1" ht="18.75">
      <c r="A6113" s="1"/>
      <c r="B6113" s="1"/>
      <c r="C6113" s="1"/>
      <c r="D6113" s="1"/>
      <c r="E6113" s="1"/>
      <c r="F6113" s="1"/>
      <c r="G6113" s="1"/>
      <c r="H6113" s="1"/>
      <c r="I6113" s="2"/>
      <c r="J6113" s="1"/>
      <c r="K6113" s="1"/>
      <c r="L6113" s="1"/>
      <c r="M6113" s="1"/>
      <c r="N6113" s="1"/>
      <c r="O6113" s="1"/>
      <c r="P6113" s="1"/>
      <c r="Q6113" s="1"/>
      <c r="R6113" s="1"/>
      <c r="S6113" s="1"/>
      <c r="T6113" s="1"/>
      <c r="U6113" s="1"/>
      <c r="V6113" s="1"/>
      <c r="W6113" s="1"/>
      <c r="X6113" s="1"/>
    </row>
    <row x14ac:dyDescent="0.25" r="6114" customHeight="1" ht="18.75">
      <c r="A6114" s="1"/>
      <c r="B6114" s="1"/>
      <c r="C6114" s="1"/>
      <c r="D6114" s="1"/>
      <c r="E6114" s="1"/>
      <c r="F6114" s="1"/>
      <c r="G6114" s="1"/>
      <c r="H6114" s="1"/>
      <c r="I6114" s="2"/>
      <c r="J6114" s="1"/>
      <c r="K6114" s="1"/>
      <c r="L6114" s="1"/>
      <c r="M6114" s="1"/>
      <c r="N6114" s="1"/>
      <c r="O6114" s="1"/>
      <c r="P6114" s="1"/>
      <c r="Q6114" s="1"/>
      <c r="R6114" s="1"/>
      <c r="S6114" s="1"/>
      <c r="T6114" s="1"/>
      <c r="U6114" s="1"/>
      <c r="V6114" s="1"/>
      <c r="W6114" s="1"/>
      <c r="X6114" s="1"/>
    </row>
    <row x14ac:dyDescent="0.25" r="6115" customHeight="1" ht="18.75">
      <c r="A6115" s="1"/>
      <c r="B6115" s="1"/>
      <c r="C6115" s="1"/>
      <c r="D6115" s="1"/>
      <c r="E6115" s="1"/>
      <c r="F6115" s="1"/>
      <c r="G6115" s="1"/>
      <c r="H6115" s="1"/>
      <c r="I6115" s="2"/>
      <c r="J6115" s="1"/>
      <c r="K6115" s="1"/>
      <c r="L6115" s="1"/>
      <c r="M6115" s="1"/>
      <c r="N6115" s="1"/>
      <c r="O6115" s="1"/>
      <c r="P6115" s="1"/>
      <c r="Q6115" s="1"/>
      <c r="R6115" s="1"/>
      <c r="S6115" s="1"/>
      <c r="T6115" s="1"/>
      <c r="U6115" s="1"/>
      <c r="V6115" s="1"/>
      <c r="W6115" s="1"/>
      <c r="X6115" s="1"/>
    </row>
    <row x14ac:dyDescent="0.25" r="6116" customHeight="1" ht="18.75">
      <c r="A6116" s="1"/>
      <c r="B6116" s="1"/>
      <c r="C6116" s="1"/>
      <c r="D6116" s="1"/>
      <c r="E6116" s="1"/>
      <c r="F6116" s="1"/>
      <c r="G6116" s="1"/>
      <c r="H6116" s="1"/>
      <c r="I6116" s="2"/>
      <c r="J6116" s="1"/>
      <c r="K6116" s="1"/>
      <c r="L6116" s="1"/>
      <c r="M6116" s="1"/>
      <c r="N6116" s="1"/>
      <c r="O6116" s="1"/>
      <c r="P6116" s="1"/>
      <c r="Q6116" s="1"/>
      <c r="R6116" s="1"/>
      <c r="S6116" s="1"/>
      <c r="T6116" s="1"/>
      <c r="U6116" s="1"/>
      <c r="V6116" s="1"/>
      <c r="W6116" s="1"/>
      <c r="X6116" s="1"/>
    </row>
    <row x14ac:dyDescent="0.25" r="6117" customHeight="1" ht="18.75">
      <c r="A6117" s="1"/>
      <c r="B6117" s="1"/>
      <c r="C6117" s="1"/>
      <c r="D6117" s="1"/>
      <c r="E6117" s="1"/>
      <c r="F6117" s="1"/>
      <c r="G6117" s="1"/>
      <c r="H6117" s="1"/>
      <c r="I6117" s="2"/>
      <c r="J6117" s="1"/>
      <c r="K6117" s="1"/>
      <c r="L6117" s="1"/>
      <c r="M6117" s="1"/>
      <c r="N6117" s="1"/>
      <c r="O6117" s="1"/>
      <c r="P6117" s="1"/>
      <c r="Q6117" s="1"/>
      <c r="R6117" s="1"/>
      <c r="S6117" s="1"/>
      <c r="T6117" s="1"/>
      <c r="U6117" s="1"/>
      <c r="V6117" s="1"/>
      <c r="W6117" s="1"/>
      <c r="X6117" s="1"/>
    </row>
    <row x14ac:dyDescent="0.25" r="6118" customHeight="1" ht="18.75">
      <c r="A6118" s="1"/>
      <c r="B6118" s="1"/>
      <c r="C6118" s="1"/>
      <c r="D6118" s="1"/>
      <c r="E6118" s="1"/>
      <c r="F6118" s="1"/>
      <c r="G6118" s="1"/>
      <c r="H6118" s="1"/>
      <c r="I6118" s="2"/>
      <c r="J6118" s="1"/>
      <c r="K6118" s="1"/>
      <c r="L6118" s="1"/>
      <c r="M6118" s="1"/>
      <c r="N6118" s="1"/>
      <c r="O6118" s="1"/>
      <c r="P6118" s="1"/>
      <c r="Q6118" s="1"/>
      <c r="R6118" s="1"/>
      <c r="S6118" s="1"/>
      <c r="T6118" s="1"/>
      <c r="U6118" s="1"/>
      <c r="V6118" s="1"/>
      <c r="W6118" s="1"/>
      <c r="X6118" s="1"/>
    </row>
    <row x14ac:dyDescent="0.25" r="6119" customHeight="1" ht="18.75">
      <c r="A6119" s="1"/>
      <c r="B6119" s="1"/>
      <c r="C6119" s="1"/>
      <c r="D6119" s="1"/>
      <c r="E6119" s="1"/>
      <c r="F6119" s="1"/>
      <c r="G6119" s="1"/>
      <c r="H6119" s="1"/>
      <c r="I6119" s="2"/>
      <c r="J6119" s="1"/>
      <c r="K6119" s="1"/>
      <c r="L6119" s="1"/>
      <c r="M6119" s="1"/>
      <c r="N6119" s="1"/>
      <c r="O6119" s="1"/>
      <c r="P6119" s="1"/>
      <c r="Q6119" s="1"/>
      <c r="R6119" s="1"/>
      <c r="S6119" s="1"/>
      <c r="T6119" s="1"/>
      <c r="U6119" s="1"/>
      <c r="V6119" s="1"/>
      <c r="W6119" s="1"/>
      <c r="X6119" s="1"/>
    </row>
    <row x14ac:dyDescent="0.25" r="6120" customHeight="1" ht="18.75">
      <c r="A6120" s="1"/>
      <c r="B6120" s="1"/>
      <c r="C6120" s="1"/>
      <c r="D6120" s="1"/>
      <c r="E6120" s="1"/>
      <c r="F6120" s="1"/>
      <c r="G6120" s="1"/>
      <c r="H6120" s="1"/>
      <c r="I6120" s="2"/>
      <c r="J6120" s="1"/>
      <c r="K6120" s="1"/>
      <c r="L6120" s="1"/>
      <c r="M6120" s="1"/>
      <c r="N6120" s="1"/>
      <c r="O6120" s="1"/>
      <c r="P6120" s="1"/>
      <c r="Q6120" s="1"/>
      <c r="R6120" s="1"/>
      <c r="S6120" s="1"/>
      <c r="T6120" s="1"/>
      <c r="U6120" s="1"/>
      <c r="V6120" s="1"/>
      <c r="W6120" s="1"/>
      <c r="X6120" s="1"/>
    </row>
    <row x14ac:dyDescent="0.25" r="6121" customHeight="1" ht="18.75">
      <c r="A6121" s="1"/>
      <c r="B6121" s="1"/>
      <c r="C6121" s="1"/>
      <c r="D6121" s="1"/>
      <c r="E6121" s="1"/>
      <c r="F6121" s="1"/>
      <c r="G6121" s="1"/>
      <c r="H6121" s="1"/>
      <c r="I6121" s="2"/>
      <c r="J6121" s="1"/>
      <c r="K6121" s="1"/>
      <c r="L6121" s="1"/>
      <c r="M6121" s="1"/>
      <c r="N6121" s="1"/>
      <c r="O6121" s="1"/>
      <c r="P6121" s="1"/>
      <c r="Q6121" s="1"/>
      <c r="R6121" s="1"/>
      <c r="S6121" s="1"/>
      <c r="T6121" s="1"/>
      <c r="U6121" s="1"/>
      <c r="V6121" s="1"/>
      <c r="W6121" s="1"/>
      <c r="X6121" s="1"/>
    </row>
    <row x14ac:dyDescent="0.25" r="6122" customHeight="1" ht="18.75">
      <c r="A6122" s="1"/>
      <c r="B6122" s="1"/>
      <c r="C6122" s="1"/>
      <c r="D6122" s="1"/>
      <c r="E6122" s="1"/>
      <c r="F6122" s="1"/>
      <c r="G6122" s="1"/>
      <c r="H6122" s="1"/>
      <c r="I6122" s="2"/>
      <c r="J6122" s="1"/>
      <c r="K6122" s="1"/>
      <c r="L6122" s="1"/>
      <c r="M6122" s="1"/>
      <c r="N6122" s="1"/>
      <c r="O6122" s="1"/>
      <c r="P6122" s="1"/>
      <c r="Q6122" s="1"/>
      <c r="R6122" s="1"/>
      <c r="S6122" s="1"/>
      <c r="T6122" s="1"/>
      <c r="U6122" s="1"/>
      <c r="V6122" s="1"/>
      <c r="W6122" s="1"/>
      <c r="X6122" s="1"/>
    </row>
    <row x14ac:dyDescent="0.25" r="6123" customHeight="1" ht="18.75">
      <c r="A6123" s="1"/>
      <c r="B6123" s="1"/>
      <c r="C6123" s="1"/>
      <c r="D6123" s="1"/>
      <c r="E6123" s="1"/>
      <c r="F6123" s="1"/>
      <c r="G6123" s="1"/>
      <c r="H6123" s="1"/>
      <c r="I6123" s="2"/>
      <c r="J6123" s="1"/>
      <c r="K6123" s="1"/>
      <c r="L6123" s="1"/>
      <c r="M6123" s="1"/>
      <c r="N6123" s="1"/>
      <c r="O6123" s="1"/>
      <c r="P6123" s="1"/>
      <c r="Q6123" s="1"/>
      <c r="R6123" s="1"/>
      <c r="S6123" s="1"/>
      <c r="T6123" s="1"/>
      <c r="U6123" s="1"/>
      <c r="V6123" s="1"/>
      <c r="W6123" s="1"/>
      <c r="X6123" s="1"/>
    </row>
    <row x14ac:dyDescent="0.25" r="6124" customHeight="1" ht="18.75">
      <c r="A6124" s="1"/>
      <c r="B6124" s="1"/>
      <c r="C6124" s="1"/>
      <c r="D6124" s="1"/>
      <c r="E6124" s="1"/>
      <c r="F6124" s="1"/>
      <c r="G6124" s="1"/>
      <c r="H6124" s="1"/>
      <c r="I6124" s="2"/>
      <c r="J6124" s="1"/>
      <c r="K6124" s="1"/>
      <c r="L6124" s="1"/>
      <c r="M6124" s="1"/>
      <c r="N6124" s="1"/>
      <c r="O6124" s="1"/>
      <c r="P6124" s="1"/>
      <c r="Q6124" s="1"/>
      <c r="R6124" s="1"/>
      <c r="S6124" s="1"/>
      <c r="T6124" s="1"/>
      <c r="U6124" s="1"/>
      <c r="V6124" s="1"/>
      <c r="W6124" s="1"/>
      <c r="X6124" s="1"/>
    </row>
    <row x14ac:dyDescent="0.25" r="6125" customHeight="1" ht="18.75">
      <c r="A6125" s="1"/>
      <c r="B6125" s="1"/>
      <c r="C6125" s="1"/>
      <c r="D6125" s="1"/>
      <c r="E6125" s="1"/>
      <c r="F6125" s="1"/>
      <c r="G6125" s="1"/>
      <c r="H6125" s="1"/>
      <c r="I6125" s="2"/>
      <c r="J6125" s="1"/>
      <c r="K6125" s="1"/>
      <c r="L6125" s="1"/>
      <c r="M6125" s="1"/>
      <c r="N6125" s="1"/>
      <c r="O6125" s="1"/>
      <c r="P6125" s="1"/>
      <c r="Q6125" s="1"/>
      <c r="R6125" s="1"/>
      <c r="S6125" s="1"/>
      <c r="T6125" s="1"/>
      <c r="U6125" s="1"/>
      <c r="V6125" s="1"/>
      <c r="W6125" s="1"/>
      <c r="X6125" s="1"/>
    </row>
    <row x14ac:dyDescent="0.25" r="6126" customHeight="1" ht="18.75">
      <c r="A6126" s="1"/>
      <c r="B6126" s="1"/>
      <c r="C6126" s="1"/>
      <c r="D6126" s="1"/>
      <c r="E6126" s="1"/>
      <c r="F6126" s="1"/>
      <c r="G6126" s="1"/>
      <c r="H6126" s="1"/>
      <c r="I6126" s="2"/>
      <c r="J6126" s="1"/>
      <c r="K6126" s="1"/>
      <c r="L6126" s="1"/>
      <c r="M6126" s="1"/>
      <c r="N6126" s="1"/>
      <c r="O6126" s="1"/>
      <c r="P6126" s="1"/>
      <c r="Q6126" s="1"/>
      <c r="R6126" s="1"/>
      <c r="S6126" s="1"/>
      <c r="T6126" s="1"/>
      <c r="U6126" s="1"/>
      <c r="V6126" s="1"/>
      <c r="W6126" s="1"/>
      <c r="X6126" s="1"/>
    </row>
    <row x14ac:dyDescent="0.25" r="6127" customHeight="1" ht="18.75">
      <c r="A6127" s="1"/>
      <c r="B6127" s="1"/>
      <c r="C6127" s="1"/>
      <c r="D6127" s="1"/>
      <c r="E6127" s="1"/>
      <c r="F6127" s="1"/>
      <c r="G6127" s="1"/>
      <c r="H6127" s="1"/>
      <c r="I6127" s="2"/>
      <c r="J6127" s="1"/>
      <c r="K6127" s="1"/>
      <c r="L6127" s="1"/>
      <c r="M6127" s="1"/>
      <c r="N6127" s="1"/>
      <c r="O6127" s="1"/>
      <c r="P6127" s="1"/>
      <c r="Q6127" s="1"/>
      <c r="R6127" s="1"/>
      <c r="S6127" s="1"/>
      <c r="T6127" s="1"/>
      <c r="U6127" s="1"/>
      <c r="V6127" s="1"/>
      <c r="W6127" s="1"/>
      <c r="X6127" s="1"/>
    </row>
    <row x14ac:dyDescent="0.25" r="6128" customHeight="1" ht="18.75">
      <c r="A6128" s="1"/>
      <c r="B6128" s="1"/>
      <c r="C6128" s="1"/>
      <c r="D6128" s="1"/>
      <c r="E6128" s="1"/>
      <c r="F6128" s="1"/>
      <c r="G6128" s="1"/>
      <c r="H6128" s="1"/>
      <c r="I6128" s="2"/>
      <c r="J6128" s="1"/>
      <c r="K6128" s="1"/>
      <c r="L6128" s="1"/>
      <c r="M6128" s="1"/>
      <c r="N6128" s="1"/>
      <c r="O6128" s="1"/>
      <c r="P6128" s="1"/>
      <c r="Q6128" s="1"/>
      <c r="R6128" s="1"/>
      <c r="S6128" s="1"/>
      <c r="T6128" s="1"/>
      <c r="U6128" s="1"/>
      <c r="V6128" s="1"/>
      <c r="W6128" s="1"/>
      <c r="X6128" s="1"/>
    </row>
    <row x14ac:dyDescent="0.25" r="6129" customHeight="1" ht="18.75">
      <c r="A6129" s="1"/>
      <c r="B6129" s="1"/>
      <c r="C6129" s="1"/>
      <c r="D6129" s="1"/>
      <c r="E6129" s="1"/>
      <c r="F6129" s="1"/>
      <c r="G6129" s="1"/>
      <c r="H6129" s="1"/>
      <c r="I6129" s="2"/>
      <c r="J6129" s="1"/>
      <c r="K6129" s="1"/>
      <c r="L6129" s="1"/>
      <c r="M6129" s="1"/>
      <c r="N6129" s="1"/>
      <c r="O6129" s="1"/>
      <c r="P6129" s="1"/>
      <c r="Q6129" s="1"/>
      <c r="R6129" s="1"/>
      <c r="S6129" s="1"/>
      <c r="T6129" s="1"/>
      <c r="U6129" s="1"/>
      <c r="V6129" s="1"/>
      <c r="W6129" s="1"/>
      <c r="X6129" s="1"/>
    </row>
    <row x14ac:dyDescent="0.25" r="6130" customHeight="1" ht="18.75">
      <c r="A6130" s="1"/>
      <c r="B6130" s="1"/>
      <c r="C6130" s="1"/>
      <c r="D6130" s="1"/>
      <c r="E6130" s="1"/>
      <c r="F6130" s="1"/>
      <c r="G6130" s="1"/>
      <c r="H6130" s="1"/>
      <c r="I6130" s="2"/>
      <c r="J6130" s="1"/>
      <c r="K6130" s="1"/>
      <c r="L6130" s="1"/>
      <c r="M6130" s="1"/>
      <c r="N6130" s="1"/>
      <c r="O6130" s="1"/>
      <c r="P6130" s="1"/>
      <c r="Q6130" s="1"/>
      <c r="R6130" s="1"/>
      <c r="S6130" s="1"/>
      <c r="T6130" s="1"/>
      <c r="U6130" s="1"/>
      <c r="V6130" s="1"/>
      <c r="W6130" s="1"/>
      <c r="X6130" s="1"/>
    </row>
    <row x14ac:dyDescent="0.25" r="6131" customHeight="1" ht="18.75">
      <c r="A6131" s="1"/>
      <c r="B6131" s="1"/>
      <c r="C6131" s="1"/>
      <c r="D6131" s="1"/>
      <c r="E6131" s="1"/>
      <c r="F6131" s="1"/>
      <c r="G6131" s="1"/>
      <c r="H6131" s="1"/>
      <c r="I6131" s="2"/>
      <c r="J6131" s="1"/>
      <c r="K6131" s="1"/>
      <c r="L6131" s="1"/>
      <c r="M6131" s="1"/>
      <c r="N6131" s="1"/>
      <c r="O6131" s="1"/>
      <c r="P6131" s="1"/>
      <c r="Q6131" s="1"/>
      <c r="R6131" s="1"/>
      <c r="S6131" s="1"/>
      <c r="T6131" s="1"/>
      <c r="U6131" s="1"/>
      <c r="V6131" s="1"/>
      <c r="W6131" s="1"/>
      <c r="X6131" s="1"/>
    </row>
    <row x14ac:dyDescent="0.25" r="6132" customHeight="1" ht="18.75">
      <c r="A6132" s="1"/>
      <c r="B6132" s="1"/>
      <c r="C6132" s="1"/>
      <c r="D6132" s="1"/>
      <c r="E6132" s="1"/>
      <c r="F6132" s="1"/>
      <c r="G6132" s="1"/>
      <c r="H6132" s="1"/>
      <c r="I6132" s="2"/>
      <c r="J6132" s="1"/>
      <c r="K6132" s="1"/>
      <c r="L6132" s="1"/>
      <c r="M6132" s="1"/>
      <c r="N6132" s="1"/>
      <c r="O6132" s="1"/>
      <c r="P6132" s="1"/>
      <c r="Q6132" s="1"/>
      <c r="R6132" s="1"/>
      <c r="S6132" s="1"/>
      <c r="T6132" s="1"/>
      <c r="U6132" s="1"/>
      <c r="V6132" s="1"/>
      <c r="W6132" s="1"/>
      <c r="X6132" s="1"/>
    </row>
    <row x14ac:dyDescent="0.25" r="6133" customHeight="1" ht="18.75">
      <c r="A6133" s="1"/>
      <c r="B6133" s="1"/>
      <c r="C6133" s="1"/>
      <c r="D6133" s="1"/>
      <c r="E6133" s="1"/>
      <c r="F6133" s="1"/>
      <c r="G6133" s="1"/>
      <c r="H6133" s="1"/>
      <c r="I6133" s="2"/>
      <c r="J6133" s="1"/>
      <c r="K6133" s="1"/>
      <c r="L6133" s="1"/>
      <c r="M6133" s="1"/>
      <c r="N6133" s="1"/>
      <c r="O6133" s="1"/>
      <c r="P6133" s="1"/>
      <c r="Q6133" s="1"/>
      <c r="R6133" s="1"/>
      <c r="S6133" s="1"/>
      <c r="T6133" s="1"/>
      <c r="U6133" s="1"/>
      <c r="V6133" s="1"/>
      <c r="W6133" s="1"/>
      <c r="X6133" s="1"/>
    </row>
    <row x14ac:dyDescent="0.25" r="6134" customHeight="1" ht="18.75">
      <c r="A6134" s="1"/>
      <c r="B6134" s="1"/>
      <c r="C6134" s="1"/>
      <c r="D6134" s="1"/>
      <c r="E6134" s="1"/>
      <c r="F6134" s="1"/>
      <c r="G6134" s="1"/>
      <c r="H6134" s="1"/>
      <c r="I6134" s="2"/>
      <c r="J6134" s="1"/>
      <c r="K6134" s="1"/>
      <c r="L6134" s="1"/>
      <c r="M6134" s="1"/>
      <c r="N6134" s="1"/>
      <c r="O6134" s="1"/>
      <c r="P6134" s="1"/>
      <c r="Q6134" s="1"/>
      <c r="R6134" s="1"/>
      <c r="S6134" s="1"/>
      <c r="T6134" s="1"/>
      <c r="U6134" s="1"/>
      <c r="V6134" s="1"/>
      <c r="W6134" s="1"/>
      <c r="X6134" s="1"/>
    </row>
    <row x14ac:dyDescent="0.25" r="6135" customHeight="1" ht="18.75">
      <c r="A6135" s="1"/>
      <c r="B6135" s="1"/>
      <c r="C6135" s="1"/>
      <c r="D6135" s="1"/>
      <c r="E6135" s="1"/>
      <c r="F6135" s="1"/>
      <c r="G6135" s="1"/>
      <c r="H6135" s="1"/>
      <c r="I6135" s="2"/>
      <c r="J6135" s="1"/>
      <c r="K6135" s="1"/>
      <c r="L6135" s="1"/>
      <c r="M6135" s="1"/>
      <c r="N6135" s="1"/>
      <c r="O6135" s="1"/>
      <c r="P6135" s="1"/>
      <c r="Q6135" s="1"/>
      <c r="R6135" s="1"/>
      <c r="S6135" s="1"/>
      <c r="T6135" s="1"/>
      <c r="U6135" s="1"/>
      <c r="V6135" s="1"/>
      <c r="W6135" s="1"/>
      <c r="X6135" s="1"/>
    </row>
    <row x14ac:dyDescent="0.25" r="6136" customHeight="1" ht="18.75">
      <c r="A6136" s="1"/>
      <c r="B6136" s="1"/>
      <c r="C6136" s="1"/>
      <c r="D6136" s="1"/>
      <c r="E6136" s="1"/>
      <c r="F6136" s="1"/>
      <c r="G6136" s="1"/>
      <c r="H6136" s="1"/>
      <c r="I6136" s="2"/>
      <c r="J6136" s="1"/>
      <c r="K6136" s="1"/>
      <c r="L6136" s="1"/>
      <c r="M6136" s="1"/>
      <c r="N6136" s="1"/>
      <c r="O6136" s="1"/>
      <c r="P6136" s="1"/>
      <c r="Q6136" s="1"/>
      <c r="R6136" s="1"/>
      <c r="S6136" s="1"/>
      <c r="T6136" s="1"/>
      <c r="U6136" s="1"/>
      <c r="V6136" s="1"/>
      <c r="W6136" s="1"/>
      <c r="X6136" s="1"/>
    </row>
    <row x14ac:dyDescent="0.25" r="6137" customHeight="1" ht="18.75">
      <c r="A6137" s="1"/>
      <c r="B6137" s="1"/>
      <c r="C6137" s="1"/>
      <c r="D6137" s="1"/>
      <c r="E6137" s="1"/>
      <c r="F6137" s="1"/>
      <c r="G6137" s="1"/>
      <c r="H6137" s="1"/>
      <c r="I6137" s="2"/>
      <c r="J6137" s="1"/>
      <c r="K6137" s="1"/>
      <c r="L6137" s="1"/>
      <c r="M6137" s="1"/>
      <c r="N6137" s="1"/>
      <c r="O6137" s="1"/>
      <c r="P6137" s="1"/>
      <c r="Q6137" s="1"/>
      <c r="R6137" s="1"/>
      <c r="S6137" s="1"/>
      <c r="T6137" s="1"/>
      <c r="U6137" s="1"/>
      <c r="V6137" s="1"/>
      <c r="W6137" s="1"/>
      <c r="X6137" s="1"/>
    </row>
    <row x14ac:dyDescent="0.25" r="6138" customHeight="1" ht="18.75">
      <c r="A6138" s="1"/>
      <c r="B6138" s="1"/>
      <c r="C6138" s="1"/>
      <c r="D6138" s="1"/>
      <c r="E6138" s="1"/>
      <c r="F6138" s="1"/>
      <c r="G6138" s="1"/>
      <c r="H6138" s="1"/>
      <c r="I6138" s="2"/>
      <c r="J6138" s="1"/>
      <c r="K6138" s="1"/>
      <c r="L6138" s="1"/>
      <c r="M6138" s="1"/>
      <c r="N6138" s="1"/>
      <c r="O6138" s="1"/>
      <c r="P6138" s="1"/>
      <c r="Q6138" s="1"/>
      <c r="R6138" s="1"/>
      <c r="S6138" s="1"/>
      <c r="T6138" s="1"/>
      <c r="U6138" s="1"/>
      <c r="V6138" s="1"/>
      <c r="W6138" s="1"/>
      <c r="X6138" s="1"/>
    </row>
    <row x14ac:dyDescent="0.25" r="6139" customHeight="1" ht="18.75">
      <c r="A6139" s="1"/>
      <c r="B6139" s="1"/>
      <c r="C6139" s="1"/>
      <c r="D6139" s="1"/>
      <c r="E6139" s="1"/>
      <c r="F6139" s="1"/>
      <c r="G6139" s="1"/>
      <c r="H6139" s="1"/>
      <c r="I6139" s="2"/>
      <c r="J6139" s="1"/>
      <c r="K6139" s="1"/>
      <c r="L6139" s="1"/>
      <c r="M6139" s="1"/>
      <c r="N6139" s="1"/>
      <c r="O6139" s="1"/>
      <c r="P6139" s="1"/>
      <c r="Q6139" s="1"/>
      <c r="R6139" s="1"/>
      <c r="S6139" s="1"/>
      <c r="T6139" s="1"/>
      <c r="U6139" s="1"/>
      <c r="V6139" s="1"/>
      <c r="W6139" s="1"/>
      <c r="X6139" s="1"/>
    </row>
    <row x14ac:dyDescent="0.25" r="6140" customHeight="1" ht="18.75">
      <c r="A6140" s="1"/>
      <c r="B6140" s="1"/>
      <c r="C6140" s="1"/>
      <c r="D6140" s="1"/>
      <c r="E6140" s="1"/>
      <c r="F6140" s="1"/>
      <c r="G6140" s="1"/>
      <c r="H6140" s="1"/>
      <c r="I6140" s="2"/>
      <c r="J6140" s="1"/>
      <c r="K6140" s="1"/>
      <c r="L6140" s="1"/>
      <c r="M6140" s="1"/>
      <c r="N6140" s="1"/>
      <c r="O6140" s="1"/>
      <c r="P6140" s="1"/>
      <c r="Q6140" s="1"/>
      <c r="R6140" s="1"/>
      <c r="S6140" s="1"/>
      <c r="T6140" s="1"/>
      <c r="U6140" s="1"/>
      <c r="V6140" s="1"/>
      <c r="W6140" s="1"/>
      <c r="X6140" s="1"/>
    </row>
    <row x14ac:dyDescent="0.25" r="6141" customHeight="1" ht="18.75">
      <c r="A6141" s="1"/>
      <c r="B6141" s="1"/>
      <c r="C6141" s="1"/>
      <c r="D6141" s="1"/>
      <c r="E6141" s="1"/>
      <c r="F6141" s="1"/>
      <c r="G6141" s="1"/>
      <c r="H6141" s="1"/>
      <c r="I6141" s="2"/>
      <c r="J6141" s="1"/>
      <c r="K6141" s="1"/>
      <c r="L6141" s="1"/>
      <c r="M6141" s="1"/>
      <c r="N6141" s="1"/>
      <c r="O6141" s="1"/>
      <c r="P6141" s="1"/>
      <c r="Q6141" s="1"/>
      <c r="R6141" s="1"/>
      <c r="S6141" s="1"/>
      <c r="T6141" s="1"/>
      <c r="U6141" s="1"/>
      <c r="V6141" s="1"/>
      <c r="W6141" s="1"/>
      <c r="X6141" s="1"/>
    </row>
    <row x14ac:dyDescent="0.25" r="6142" customHeight="1" ht="18.75">
      <c r="A6142" s="1"/>
      <c r="B6142" s="1"/>
      <c r="C6142" s="1"/>
      <c r="D6142" s="1"/>
      <c r="E6142" s="1"/>
      <c r="F6142" s="1"/>
      <c r="G6142" s="1"/>
      <c r="H6142" s="1"/>
      <c r="I6142" s="2"/>
      <c r="J6142" s="1"/>
      <c r="K6142" s="1"/>
      <c r="L6142" s="1"/>
      <c r="M6142" s="1"/>
      <c r="N6142" s="1"/>
      <c r="O6142" s="1"/>
      <c r="P6142" s="1"/>
      <c r="Q6142" s="1"/>
      <c r="R6142" s="1"/>
      <c r="S6142" s="1"/>
      <c r="T6142" s="1"/>
      <c r="U6142" s="1"/>
      <c r="V6142" s="1"/>
      <c r="W6142" s="1"/>
      <c r="X6142" s="1"/>
    </row>
    <row x14ac:dyDescent="0.25" r="6143" customHeight="1" ht="18.75">
      <c r="A6143" s="1"/>
      <c r="B6143" s="1"/>
      <c r="C6143" s="1"/>
      <c r="D6143" s="1"/>
      <c r="E6143" s="1"/>
      <c r="F6143" s="1"/>
      <c r="G6143" s="1"/>
      <c r="H6143" s="1"/>
      <c r="I6143" s="2"/>
      <c r="J6143" s="1"/>
      <c r="K6143" s="1"/>
      <c r="L6143" s="1"/>
      <c r="M6143" s="1"/>
      <c r="N6143" s="1"/>
      <c r="O6143" s="1"/>
      <c r="P6143" s="1"/>
      <c r="Q6143" s="1"/>
      <c r="R6143" s="1"/>
      <c r="S6143" s="1"/>
      <c r="T6143" s="1"/>
      <c r="U6143" s="1"/>
      <c r="V6143" s="1"/>
      <c r="W6143" s="1"/>
      <c r="X6143" s="1"/>
    </row>
    <row x14ac:dyDescent="0.25" r="6144" customHeight="1" ht="18.75">
      <c r="A6144" s="1"/>
      <c r="B6144" s="1"/>
      <c r="C6144" s="1"/>
      <c r="D6144" s="1"/>
      <c r="E6144" s="1"/>
      <c r="F6144" s="1"/>
      <c r="G6144" s="1"/>
      <c r="H6144" s="1"/>
      <c r="I6144" s="2"/>
      <c r="J6144" s="1"/>
      <c r="K6144" s="1"/>
      <c r="L6144" s="1"/>
      <c r="M6144" s="1"/>
      <c r="N6144" s="1"/>
      <c r="O6144" s="1"/>
      <c r="P6144" s="1"/>
      <c r="Q6144" s="1"/>
      <c r="R6144" s="1"/>
      <c r="S6144" s="1"/>
      <c r="T6144" s="1"/>
      <c r="U6144" s="1"/>
      <c r="V6144" s="1"/>
      <c r="W6144" s="1"/>
      <c r="X6144" s="1"/>
    </row>
    <row x14ac:dyDescent="0.25" r="6145" customHeight="1" ht="18.75">
      <c r="A6145" s="1"/>
      <c r="B6145" s="1"/>
      <c r="C6145" s="1"/>
      <c r="D6145" s="1"/>
      <c r="E6145" s="1"/>
      <c r="F6145" s="1"/>
      <c r="G6145" s="1"/>
      <c r="H6145" s="1"/>
      <c r="I6145" s="2"/>
      <c r="J6145" s="1"/>
      <c r="K6145" s="1"/>
      <c r="L6145" s="1"/>
      <c r="M6145" s="1"/>
      <c r="N6145" s="1"/>
      <c r="O6145" s="1"/>
      <c r="P6145" s="1"/>
      <c r="Q6145" s="1"/>
      <c r="R6145" s="1"/>
      <c r="S6145" s="1"/>
      <c r="T6145" s="1"/>
      <c r="U6145" s="1"/>
      <c r="V6145" s="1"/>
      <c r="W6145" s="1"/>
      <c r="X6145" s="1"/>
    </row>
    <row x14ac:dyDescent="0.25" r="6146" customHeight="1" ht="18.75">
      <c r="A6146" s="1"/>
      <c r="B6146" s="1"/>
      <c r="C6146" s="1"/>
      <c r="D6146" s="1"/>
      <c r="E6146" s="1"/>
      <c r="F6146" s="1"/>
      <c r="G6146" s="1"/>
      <c r="H6146" s="1"/>
      <c r="I6146" s="2"/>
      <c r="J6146" s="1"/>
      <c r="K6146" s="1"/>
      <c r="L6146" s="1"/>
      <c r="M6146" s="1"/>
      <c r="N6146" s="1"/>
      <c r="O6146" s="1"/>
      <c r="P6146" s="1"/>
      <c r="Q6146" s="1"/>
      <c r="R6146" s="1"/>
      <c r="S6146" s="1"/>
      <c r="T6146" s="1"/>
      <c r="U6146" s="1"/>
      <c r="V6146" s="1"/>
      <c r="W6146" s="1"/>
      <c r="X6146" s="1"/>
    </row>
    <row x14ac:dyDescent="0.25" r="6147" customHeight="1" ht="18.75">
      <c r="A6147" s="1"/>
      <c r="B6147" s="1"/>
      <c r="C6147" s="1"/>
      <c r="D6147" s="1"/>
      <c r="E6147" s="1"/>
      <c r="F6147" s="1"/>
      <c r="G6147" s="1"/>
      <c r="H6147" s="1"/>
      <c r="I6147" s="2"/>
      <c r="J6147" s="1"/>
      <c r="K6147" s="1"/>
      <c r="L6147" s="1"/>
      <c r="M6147" s="1"/>
      <c r="N6147" s="1"/>
      <c r="O6147" s="1"/>
      <c r="P6147" s="1"/>
      <c r="Q6147" s="1"/>
      <c r="R6147" s="1"/>
      <c r="S6147" s="1"/>
      <c r="T6147" s="1"/>
      <c r="U6147" s="1"/>
      <c r="V6147" s="1"/>
      <c r="W6147" s="1"/>
      <c r="X6147" s="1"/>
    </row>
    <row x14ac:dyDescent="0.25" r="6148" customHeight="1" ht="18.75">
      <c r="A6148" s="1"/>
      <c r="B6148" s="1"/>
      <c r="C6148" s="1"/>
      <c r="D6148" s="1"/>
      <c r="E6148" s="1"/>
      <c r="F6148" s="1"/>
      <c r="G6148" s="1"/>
      <c r="H6148" s="1"/>
      <c r="I6148" s="2"/>
      <c r="J6148" s="1"/>
      <c r="K6148" s="1"/>
      <c r="L6148" s="1"/>
      <c r="M6148" s="1"/>
      <c r="N6148" s="1"/>
      <c r="O6148" s="1"/>
      <c r="P6148" s="1"/>
      <c r="Q6148" s="1"/>
      <c r="R6148" s="1"/>
      <c r="S6148" s="1"/>
      <c r="T6148" s="1"/>
      <c r="U6148" s="1"/>
      <c r="V6148" s="1"/>
      <c r="W6148" s="1"/>
      <c r="X6148" s="1"/>
    </row>
    <row x14ac:dyDescent="0.25" r="6149" customHeight="1" ht="18.75">
      <c r="A6149" s="1"/>
      <c r="B6149" s="1"/>
      <c r="C6149" s="1"/>
      <c r="D6149" s="1"/>
      <c r="E6149" s="1"/>
      <c r="F6149" s="1"/>
      <c r="G6149" s="1"/>
      <c r="H6149" s="1"/>
      <c r="I6149" s="2"/>
      <c r="J6149" s="1"/>
      <c r="K6149" s="1"/>
      <c r="L6149" s="1"/>
      <c r="M6149" s="1"/>
      <c r="N6149" s="1"/>
      <c r="O6149" s="1"/>
      <c r="P6149" s="1"/>
      <c r="Q6149" s="1"/>
      <c r="R6149" s="1"/>
      <c r="S6149" s="1"/>
      <c r="T6149" s="1"/>
      <c r="U6149" s="1"/>
      <c r="V6149" s="1"/>
      <c r="W6149" s="1"/>
      <c r="X6149" s="1"/>
    </row>
    <row x14ac:dyDescent="0.25" r="6150" customHeight="1" ht="18.75">
      <c r="A6150" s="1"/>
      <c r="B6150" s="1"/>
      <c r="C6150" s="1"/>
      <c r="D6150" s="1"/>
      <c r="E6150" s="1"/>
      <c r="F6150" s="1"/>
      <c r="G6150" s="1"/>
      <c r="H6150" s="1"/>
      <c r="I6150" s="2"/>
      <c r="J6150" s="1"/>
      <c r="K6150" s="1"/>
      <c r="L6150" s="1"/>
      <c r="M6150" s="1"/>
      <c r="N6150" s="1"/>
      <c r="O6150" s="1"/>
      <c r="P6150" s="1"/>
      <c r="Q6150" s="1"/>
      <c r="R6150" s="1"/>
      <c r="S6150" s="1"/>
      <c r="T6150" s="1"/>
      <c r="U6150" s="1"/>
      <c r="V6150" s="1"/>
      <c r="W6150" s="1"/>
      <c r="X6150" s="1"/>
    </row>
    <row x14ac:dyDescent="0.25" r="6151" customHeight="1" ht="18.75">
      <c r="A6151" s="1"/>
      <c r="B6151" s="1"/>
      <c r="C6151" s="1"/>
      <c r="D6151" s="1"/>
      <c r="E6151" s="1"/>
      <c r="F6151" s="1"/>
      <c r="G6151" s="1"/>
      <c r="H6151" s="1"/>
      <c r="I6151" s="2"/>
      <c r="J6151" s="1"/>
      <c r="K6151" s="1"/>
      <c r="L6151" s="1"/>
      <c r="M6151" s="1"/>
      <c r="N6151" s="1"/>
      <c r="O6151" s="1"/>
      <c r="P6151" s="1"/>
      <c r="Q6151" s="1"/>
      <c r="R6151" s="1"/>
      <c r="S6151" s="1"/>
      <c r="T6151" s="1"/>
      <c r="U6151" s="1"/>
      <c r="V6151" s="1"/>
      <c r="W6151" s="1"/>
      <c r="X6151" s="1"/>
    </row>
    <row x14ac:dyDescent="0.25" r="6152" customHeight="1" ht="18.75">
      <c r="A6152" s="1"/>
      <c r="B6152" s="1"/>
      <c r="C6152" s="1"/>
      <c r="D6152" s="1"/>
      <c r="E6152" s="1"/>
      <c r="F6152" s="1"/>
      <c r="G6152" s="1"/>
      <c r="H6152" s="1"/>
      <c r="I6152" s="2"/>
      <c r="J6152" s="1"/>
      <c r="K6152" s="1"/>
      <c r="L6152" s="1"/>
      <c r="M6152" s="1"/>
      <c r="N6152" s="1"/>
      <c r="O6152" s="1"/>
      <c r="P6152" s="1"/>
      <c r="Q6152" s="1"/>
      <c r="R6152" s="1"/>
      <c r="S6152" s="1"/>
      <c r="T6152" s="1"/>
      <c r="U6152" s="1"/>
      <c r="V6152" s="1"/>
      <c r="W6152" s="1"/>
      <c r="X6152" s="1"/>
    </row>
    <row x14ac:dyDescent="0.25" r="6153" customHeight="1" ht="18.75">
      <c r="A6153" s="1"/>
      <c r="B6153" s="1"/>
      <c r="C6153" s="1"/>
      <c r="D6153" s="1"/>
      <c r="E6153" s="1"/>
      <c r="F6153" s="1"/>
      <c r="G6153" s="1"/>
      <c r="H6153" s="1"/>
      <c r="I6153" s="2"/>
      <c r="J6153" s="1"/>
      <c r="K6153" s="1"/>
      <c r="L6153" s="1"/>
      <c r="M6153" s="1"/>
      <c r="N6153" s="1"/>
      <c r="O6153" s="1"/>
      <c r="P6153" s="1"/>
      <c r="Q6153" s="1"/>
      <c r="R6153" s="1"/>
      <c r="S6153" s="1"/>
      <c r="T6153" s="1"/>
      <c r="U6153" s="1"/>
      <c r="V6153" s="1"/>
      <c r="W6153" s="1"/>
      <c r="X6153" s="1"/>
    </row>
    <row x14ac:dyDescent="0.25" r="6154" customHeight="1" ht="18.75">
      <c r="A6154" s="1"/>
      <c r="B6154" s="1"/>
      <c r="C6154" s="1"/>
      <c r="D6154" s="1"/>
      <c r="E6154" s="1"/>
      <c r="F6154" s="1"/>
      <c r="G6154" s="1"/>
      <c r="H6154" s="1"/>
      <c r="I6154" s="2"/>
      <c r="J6154" s="1"/>
      <c r="K6154" s="1"/>
      <c r="L6154" s="1"/>
      <c r="M6154" s="1"/>
      <c r="N6154" s="1"/>
      <c r="O6154" s="1"/>
      <c r="P6154" s="1"/>
      <c r="Q6154" s="1"/>
      <c r="R6154" s="1"/>
      <c r="S6154" s="1"/>
      <c r="T6154" s="1"/>
      <c r="U6154" s="1"/>
      <c r="V6154" s="1"/>
      <c r="W6154" s="1"/>
      <c r="X6154" s="1"/>
    </row>
    <row x14ac:dyDescent="0.25" r="6155" customHeight="1" ht="18.75">
      <c r="A6155" s="1"/>
      <c r="B6155" s="1"/>
      <c r="C6155" s="1"/>
      <c r="D6155" s="1"/>
      <c r="E6155" s="1"/>
      <c r="F6155" s="1"/>
      <c r="G6155" s="1"/>
      <c r="H6155" s="1"/>
      <c r="I6155" s="2"/>
      <c r="J6155" s="1"/>
      <c r="K6155" s="1"/>
      <c r="L6155" s="1"/>
      <c r="M6155" s="1"/>
      <c r="N6155" s="1"/>
      <c r="O6155" s="1"/>
      <c r="P6155" s="1"/>
      <c r="Q6155" s="1"/>
      <c r="R6155" s="1"/>
      <c r="S6155" s="1"/>
      <c r="T6155" s="1"/>
      <c r="U6155" s="1"/>
      <c r="V6155" s="1"/>
      <c r="W6155" s="1"/>
      <c r="X6155" s="1"/>
    </row>
    <row x14ac:dyDescent="0.25" r="6156" customHeight="1" ht="18.75">
      <c r="A6156" s="1"/>
      <c r="B6156" s="1"/>
      <c r="C6156" s="1"/>
      <c r="D6156" s="1"/>
      <c r="E6156" s="1"/>
      <c r="F6156" s="1"/>
      <c r="G6156" s="1"/>
      <c r="H6156" s="1"/>
      <c r="I6156" s="2"/>
      <c r="J6156" s="1"/>
      <c r="K6156" s="1"/>
      <c r="L6156" s="1"/>
      <c r="M6156" s="1"/>
      <c r="N6156" s="1"/>
      <c r="O6156" s="1"/>
      <c r="P6156" s="1"/>
      <c r="Q6156" s="1"/>
      <c r="R6156" s="1"/>
      <c r="S6156" s="1"/>
      <c r="T6156" s="1"/>
      <c r="U6156" s="1"/>
      <c r="V6156" s="1"/>
      <c r="W6156" s="1"/>
      <c r="X6156" s="1"/>
    </row>
    <row x14ac:dyDescent="0.25" r="6157" customHeight="1" ht="18.75">
      <c r="A6157" s="1"/>
      <c r="B6157" s="1"/>
      <c r="C6157" s="1"/>
      <c r="D6157" s="1"/>
      <c r="E6157" s="1"/>
      <c r="F6157" s="1"/>
      <c r="G6157" s="1"/>
      <c r="H6157" s="1"/>
      <c r="I6157" s="2"/>
      <c r="J6157" s="1"/>
      <c r="K6157" s="1"/>
      <c r="L6157" s="1"/>
      <c r="M6157" s="1"/>
      <c r="N6157" s="1"/>
      <c r="O6157" s="1"/>
      <c r="P6157" s="1"/>
      <c r="Q6157" s="1"/>
      <c r="R6157" s="1"/>
      <c r="S6157" s="1"/>
      <c r="T6157" s="1"/>
      <c r="U6157" s="1"/>
      <c r="V6157" s="1"/>
      <c r="W6157" s="1"/>
      <c r="X6157" s="1"/>
    </row>
    <row x14ac:dyDescent="0.25" r="6158" customHeight="1" ht="18.75">
      <c r="A6158" s="1"/>
      <c r="B6158" s="1"/>
      <c r="C6158" s="1"/>
      <c r="D6158" s="1"/>
      <c r="E6158" s="1"/>
      <c r="F6158" s="1"/>
      <c r="G6158" s="1"/>
      <c r="H6158" s="1"/>
      <c r="I6158" s="2"/>
      <c r="J6158" s="1"/>
      <c r="K6158" s="1"/>
      <c r="L6158" s="1"/>
      <c r="M6158" s="1"/>
      <c r="N6158" s="1"/>
      <c r="O6158" s="1"/>
      <c r="P6158" s="1"/>
      <c r="Q6158" s="1"/>
      <c r="R6158" s="1"/>
      <c r="S6158" s="1"/>
      <c r="T6158" s="1"/>
      <c r="U6158" s="1"/>
      <c r="V6158" s="1"/>
      <c r="W6158" s="1"/>
      <c r="X6158" s="1"/>
    </row>
    <row x14ac:dyDescent="0.25" r="6159" customHeight="1" ht="18.75">
      <c r="A6159" s="1"/>
      <c r="B6159" s="1"/>
      <c r="C6159" s="1"/>
      <c r="D6159" s="1"/>
      <c r="E6159" s="1"/>
      <c r="F6159" s="1"/>
      <c r="G6159" s="1"/>
      <c r="H6159" s="1"/>
      <c r="I6159" s="2"/>
      <c r="J6159" s="1"/>
      <c r="K6159" s="1"/>
      <c r="L6159" s="1"/>
      <c r="M6159" s="1"/>
      <c r="N6159" s="1"/>
      <c r="O6159" s="1"/>
      <c r="P6159" s="1"/>
      <c r="Q6159" s="1"/>
      <c r="R6159" s="1"/>
      <c r="S6159" s="1"/>
      <c r="T6159" s="1"/>
      <c r="U6159" s="1"/>
      <c r="V6159" s="1"/>
      <c r="W6159" s="1"/>
      <c r="X6159" s="1"/>
    </row>
    <row x14ac:dyDescent="0.25" r="6160" customHeight="1" ht="18.75">
      <c r="A6160" s="1"/>
      <c r="B6160" s="1"/>
      <c r="C6160" s="1"/>
      <c r="D6160" s="1"/>
      <c r="E6160" s="1"/>
      <c r="F6160" s="1"/>
      <c r="G6160" s="1"/>
      <c r="H6160" s="1"/>
      <c r="I6160" s="2"/>
      <c r="J6160" s="1"/>
      <c r="K6160" s="1"/>
      <c r="L6160" s="1"/>
      <c r="M6160" s="1"/>
      <c r="N6160" s="1"/>
      <c r="O6160" s="1"/>
      <c r="P6160" s="1"/>
      <c r="Q6160" s="1"/>
      <c r="R6160" s="1"/>
      <c r="S6160" s="1"/>
      <c r="T6160" s="1"/>
      <c r="U6160" s="1"/>
      <c r="V6160" s="1"/>
      <c r="W6160" s="1"/>
      <c r="X6160" s="1"/>
    </row>
    <row x14ac:dyDescent="0.25" r="6161" customHeight="1" ht="18.75">
      <c r="A6161" s="1"/>
      <c r="B6161" s="1"/>
      <c r="C6161" s="1"/>
      <c r="D6161" s="1"/>
      <c r="E6161" s="1"/>
      <c r="F6161" s="1"/>
      <c r="G6161" s="1"/>
      <c r="H6161" s="1"/>
      <c r="I6161" s="2"/>
      <c r="J6161" s="1"/>
      <c r="K6161" s="1"/>
      <c r="L6161" s="1"/>
      <c r="M6161" s="1"/>
      <c r="N6161" s="1"/>
      <c r="O6161" s="1"/>
      <c r="P6161" s="1"/>
      <c r="Q6161" s="1"/>
      <c r="R6161" s="1"/>
      <c r="S6161" s="1"/>
      <c r="T6161" s="1"/>
      <c r="U6161" s="1"/>
      <c r="V6161" s="1"/>
      <c r="W6161" s="1"/>
      <c r="X6161" s="1"/>
    </row>
    <row x14ac:dyDescent="0.25" r="6162" customHeight="1" ht="18.75">
      <c r="A6162" s="1"/>
      <c r="B6162" s="1"/>
      <c r="C6162" s="1"/>
      <c r="D6162" s="1"/>
      <c r="E6162" s="1"/>
      <c r="F6162" s="1"/>
      <c r="G6162" s="1"/>
      <c r="H6162" s="1"/>
      <c r="I6162" s="2"/>
      <c r="J6162" s="1"/>
      <c r="K6162" s="1"/>
      <c r="L6162" s="1"/>
      <c r="M6162" s="1"/>
      <c r="N6162" s="1"/>
      <c r="O6162" s="1"/>
      <c r="P6162" s="1"/>
      <c r="Q6162" s="1"/>
      <c r="R6162" s="1"/>
      <c r="S6162" s="1"/>
      <c r="T6162" s="1"/>
      <c r="U6162" s="1"/>
      <c r="V6162" s="1"/>
      <c r="W6162" s="1"/>
      <c r="X6162" s="1"/>
    </row>
    <row x14ac:dyDescent="0.25" r="6163" customHeight="1" ht="18.75">
      <c r="A6163" s="1"/>
      <c r="B6163" s="1"/>
      <c r="C6163" s="1"/>
      <c r="D6163" s="1"/>
      <c r="E6163" s="1"/>
      <c r="F6163" s="1"/>
      <c r="G6163" s="1"/>
      <c r="H6163" s="1"/>
      <c r="I6163" s="2"/>
      <c r="J6163" s="1"/>
      <c r="K6163" s="1"/>
      <c r="L6163" s="1"/>
      <c r="M6163" s="1"/>
      <c r="N6163" s="1"/>
      <c r="O6163" s="1"/>
      <c r="P6163" s="1"/>
      <c r="Q6163" s="1"/>
      <c r="R6163" s="1"/>
      <c r="S6163" s="1"/>
      <c r="T6163" s="1"/>
      <c r="U6163" s="1"/>
      <c r="V6163" s="1"/>
      <c r="W6163" s="1"/>
      <c r="X6163" s="1"/>
    </row>
    <row x14ac:dyDescent="0.25" r="6164" customHeight="1" ht="18.75">
      <c r="A6164" s="1"/>
      <c r="B6164" s="1"/>
      <c r="C6164" s="1"/>
      <c r="D6164" s="1"/>
      <c r="E6164" s="1"/>
      <c r="F6164" s="1"/>
      <c r="G6164" s="1"/>
      <c r="H6164" s="1"/>
      <c r="I6164" s="2"/>
      <c r="J6164" s="1"/>
      <c r="K6164" s="1"/>
      <c r="L6164" s="1"/>
      <c r="M6164" s="1"/>
      <c r="N6164" s="1"/>
      <c r="O6164" s="1"/>
      <c r="P6164" s="1"/>
      <c r="Q6164" s="1"/>
      <c r="R6164" s="1"/>
      <c r="S6164" s="1"/>
      <c r="T6164" s="1"/>
      <c r="U6164" s="1"/>
      <c r="V6164" s="1"/>
      <c r="W6164" s="1"/>
      <c r="X6164" s="1"/>
    </row>
    <row x14ac:dyDescent="0.25" r="6165" customHeight="1" ht="18.75">
      <c r="A6165" s="1"/>
      <c r="B6165" s="1"/>
      <c r="C6165" s="1"/>
      <c r="D6165" s="1"/>
      <c r="E6165" s="1"/>
      <c r="F6165" s="1"/>
      <c r="G6165" s="1"/>
      <c r="H6165" s="1"/>
      <c r="I6165" s="2"/>
      <c r="J6165" s="1"/>
      <c r="K6165" s="1"/>
      <c r="L6165" s="1"/>
      <c r="M6165" s="1"/>
      <c r="N6165" s="1"/>
      <c r="O6165" s="1"/>
      <c r="P6165" s="1"/>
      <c r="Q6165" s="1"/>
      <c r="R6165" s="1"/>
      <c r="S6165" s="1"/>
      <c r="T6165" s="1"/>
      <c r="U6165" s="1"/>
      <c r="V6165" s="1"/>
      <c r="W6165" s="1"/>
      <c r="X6165" s="1"/>
    </row>
    <row x14ac:dyDescent="0.25" r="6166" customHeight="1" ht="18.75">
      <c r="A6166" s="1"/>
      <c r="B6166" s="1"/>
      <c r="C6166" s="1"/>
      <c r="D6166" s="1"/>
      <c r="E6166" s="1"/>
      <c r="F6166" s="1"/>
      <c r="G6166" s="1"/>
      <c r="H6166" s="1"/>
      <c r="I6166" s="2"/>
      <c r="J6166" s="1"/>
      <c r="K6166" s="1"/>
      <c r="L6166" s="1"/>
      <c r="M6166" s="1"/>
      <c r="N6166" s="1"/>
      <c r="O6166" s="1"/>
      <c r="P6166" s="1"/>
      <c r="Q6166" s="1"/>
      <c r="R6166" s="1"/>
      <c r="S6166" s="1"/>
      <c r="T6166" s="1"/>
      <c r="U6166" s="1"/>
      <c r="V6166" s="1"/>
      <c r="W6166" s="1"/>
      <c r="X6166" s="1"/>
    </row>
    <row x14ac:dyDescent="0.25" r="6167" customHeight="1" ht="18.75">
      <c r="A6167" s="1"/>
      <c r="B6167" s="1"/>
      <c r="C6167" s="1"/>
      <c r="D6167" s="1"/>
      <c r="E6167" s="1"/>
      <c r="F6167" s="1"/>
      <c r="G6167" s="1"/>
      <c r="H6167" s="1"/>
      <c r="I6167" s="2"/>
      <c r="J6167" s="1"/>
      <c r="K6167" s="1"/>
      <c r="L6167" s="1"/>
      <c r="M6167" s="1"/>
      <c r="N6167" s="1"/>
      <c r="O6167" s="1"/>
      <c r="P6167" s="1"/>
      <c r="Q6167" s="1"/>
      <c r="R6167" s="1"/>
      <c r="S6167" s="1"/>
      <c r="T6167" s="1"/>
      <c r="U6167" s="1"/>
      <c r="V6167" s="1"/>
      <c r="W6167" s="1"/>
      <c r="X6167" s="1"/>
    </row>
    <row x14ac:dyDescent="0.25" r="6168" customHeight="1" ht="18.75">
      <c r="A6168" s="1"/>
      <c r="B6168" s="1"/>
      <c r="C6168" s="1"/>
      <c r="D6168" s="1"/>
      <c r="E6168" s="1"/>
      <c r="F6168" s="1"/>
      <c r="G6168" s="1"/>
      <c r="H6168" s="1"/>
      <c r="I6168" s="2"/>
      <c r="J6168" s="1"/>
      <c r="K6168" s="1"/>
      <c r="L6168" s="1"/>
      <c r="M6168" s="1"/>
      <c r="N6168" s="1"/>
      <c r="O6168" s="1"/>
      <c r="P6168" s="1"/>
      <c r="Q6168" s="1"/>
      <c r="R6168" s="1"/>
      <c r="S6168" s="1"/>
      <c r="T6168" s="1"/>
      <c r="U6168" s="1"/>
      <c r="V6168" s="1"/>
      <c r="W6168" s="1"/>
      <c r="X6168" s="1"/>
    </row>
    <row x14ac:dyDescent="0.25" r="6169" customHeight="1" ht="18.75">
      <c r="A6169" s="1"/>
      <c r="B6169" s="1"/>
      <c r="C6169" s="1"/>
      <c r="D6169" s="1"/>
      <c r="E6169" s="1"/>
      <c r="F6169" s="1"/>
      <c r="G6169" s="1"/>
      <c r="H6169" s="1"/>
      <c r="I6169" s="2"/>
      <c r="J6169" s="1"/>
      <c r="K6169" s="1"/>
      <c r="L6169" s="1"/>
      <c r="M6169" s="1"/>
      <c r="N6169" s="1"/>
      <c r="O6169" s="1"/>
      <c r="P6169" s="1"/>
      <c r="Q6169" s="1"/>
      <c r="R6169" s="1"/>
      <c r="S6169" s="1"/>
      <c r="T6169" s="1"/>
      <c r="U6169" s="1"/>
      <c r="V6169" s="1"/>
      <c r="W6169" s="1"/>
      <c r="X6169" s="1"/>
    </row>
    <row x14ac:dyDescent="0.25" r="6170" customHeight="1" ht="18.75">
      <c r="A6170" s="1"/>
      <c r="B6170" s="1"/>
      <c r="C6170" s="1"/>
      <c r="D6170" s="1"/>
      <c r="E6170" s="1"/>
      <c r="F6170" s="1"/>
      <c r="G6170" s="1"/>
      <c r="H6170" s="1"/>
      <c r="I6170" s="2"/>
      <c r="J6170" s="1"/>
      <c r="K6170" s="1"/>
      <c r="L6170" s="1"/>
      <c r="M6170" s="1"/>
      <c r="N6170" s="1"/>
      <c r="O6170" s="1"/>
      <c r="P6170" s="1"/>
      <c r="Q6170" s="1"/>
      <c r="R6170" s="1"/>
      <c r="S6170" s="1"/>
      <c r="T6170" s="1"/>
      <c r="U6170" s="1"/>
      <c r="V6170" s="1"/>
      <c r="W6170" s="1"/>
      <c r="X6170" s="1"/>
    </row>
    <row x14ac:dyDescent="0.25" r="6171" customHeight="1" ht="18.75">
      <c r="A6171" s="1"/>
      <c r="B6171" s="1"/>
      <c r="C6171" s="1"/>
      <c r="D6171" s="1"/>
      <c r="E6171" s="1"/>
      <c r="F6171" s="1"/>
      <c r="G6171" s="1"/>
      <c r="H6171" s="1"/>
      <c r="I6171" s="2"/>
      <c r="J6171" s="1"/>
      <c r="K6171" s="1"/>
      <c r="L6171" s="1"/>
      <c r="M6171" s="1"/>
      <c r="N6171" s="1"/>
      <c r="O6171" s="1"/>
      <c r="P6171" s="1"/>
      <c r="Q6171" s="1"/>
      <c r="R6171" s="1"/>
      <c r="S6171" s="1"/>
      <c r="T6171" s="1"/>
      <c r="U6171" s="1"/>
      <c r="V6171" s="1"/>
      <c r="W6171" s="1"/>
      <c r="X6171" s="1"/>
    </row>
    <row x14ac:dyDescent="0.25" r="6172" customHeight="1" ht="18.75">
      <c r="A6172" s="1"/>
      <c r="B6172" s="1"/>
      <c r="C6172" s="1"/>
      <c r="D6172" s="1"/>
      <c r="E6172" s="1"/>
      <c r="F6172" s="1"/>
      <c r="G6172" s="1"/>
      <c r="H6172" s="1"/>
      <c r="I6172" s="2"/>
      <c r="J6172" s="1"/>
      <c r="K6172" s="1"/>
      <c r="L6172" s="1"/>
      <c r="M6172" s="1"/>
      <c r="N6172" s="1"/>
      <c r="O6172" s="1"/>
      <c r="P6172" s="1"/>
      <c r="Q6172" s="1"/>
      <c r="R6172" s="1"/>
      <c r="S6172" s="1"/>
      <c r="T6172" s="1"/>
      <c r="U6172" s="1"/>
      <c r="V6172" s="1"/>
      <c r="W6172" s="1"/>
      <c r="X6172" s="1"/>
    </row>
    <row x14ac:dyDescent="0.25" r="6173" customHeight="1" ht="18.75">
      <c r="A6173" s="1"/>
      <c r="B6173" s="1"/>
      <c r="C6173" s="1"/>
      <c r="D6173" s="1"/>
      <c r="E6173" s="1"/>
      <c r="F6173" s="1"/>
      <c r="G6173" s="1"/>
      <c r="H6173" s="1"/>
      <c r="I6173" s="2"/>
      <c r="J6173" s="1"/>
      <c r="K6173" s="1"/>
      <c r="L6173" s="1"/>
      <c r="M6173" s="1"/>
      <c r="N6173" s="1"/>
      <c r="O6173" s="1"/>
      <c r="P6173" s="1"/>
      <c r="Q6173" s="1"/>
      <c r="R6173" s="1"/>
      <c r="S6173" s="1"/>
      <c r="T6173" s="1"/>
      <c r="U6173" s="1"/>
      <c r="V6173" s="1"/>
      <c r="W6173" s="1"/>
      <c r="X6173" s="1"/>
    </row>
    <row x14ac:dyDescent="0.25" r="6174" customHeight="1" ht="18.75">
      <c r="A6174" s="1"/>
      <c r="B6174" s="1"/>
      <c r="C6174" s="1"/>
      <c r="D6174" s="1"/>
      <c r="E6174" s="1"/>
      <c r="F6174" s="1"/>
      <c r="G6174" s="1"/>
      <c r="H6174" s="1"/>
      <c r="I6174" s="2"/>
      <c r="J6174" s="1"/>
      <c r="K6174" s="1"/>
      <c r="L6174" s="1"/>
      <c r="M6174" s="1"/>
      <c r="N6174" s="1"/>
      <c r="O6174" s="1"/>
      <c r="P6174" s="1"/>
      <c r="Q6174" s="1"/>
      <c r="R6174" s="1"/>
      <c r="S6174" s="1"/>
      <c r="T6174" s="1"/>
      <c r="U6174" s="1"/>
      <c r="V6174" s="1"/>
      <c r="W6174" s="1"/>
      <c r="X6174" s="1"/>
    </row>
    <row x14ac:dyDescent="0.25" r="6175" customHeight="1" ht="18.75">
      <c r="A6175" s="1"/>
      <c r="B6175" s="1"/>
      <c r="C6175" s="1"/>
      <c r="D6175" s="1"/>
      <c r="E6175" s="1"/>
      <c r="F6175" s="1"/>
      <c r="G6175" s="1"/>
      <c r="H6175" s="1"/>
      <c r="I6175" s="2"/>
      <c r="J6175" s="1"/>
      <c r="K6175" s="1"/>
      <c r="L6175" s="1"/>
      <c r="M6175" s="1"/>
      <c r="N6175" s="1"/>
      <c r="O6175" s="1"/>
      <c r="P6175" s="1"/>
      <c r="Q6175" s="1"/>
      <c r="R6175" s="1"/>
      <c r="S6175" s="1"/>
      <c r="T6175" s="1"/>
      <c r="U6175" s="1"/>
      <c r="V6175" s="1"/>
      <c r="W6175" s="1"/>
      <c r="X6175" s="1"/>
    </row>
    <row x14ac:dyDescent="0.25" r="6176" customHeight="1" ht="18.75">
      <c r="A6176" s="1"/>
      <c r="B6176" s="1"/>
      <c r="C6176" s="1"/>
      <c r="D6176" s="1"/>
      <c r="E6176" s="1"/>
      <c r="F6176" s="1"/>
      <c r="G6176" s="1"/>
      <c r="H6176" s="1"/>
      <c r="I6176" s="2"/>
      <c r="J6176" s="1"/>
      <c r="K6176" s="1"/>
      <c r="L6176" s="1"/>
      <c r="M6176" s="1"/>
      <c r="N6176" s="1"/>
      <c r="O6176" s="1"/>
      <c r="P6176" s="1"/>
      <c r="Q6176" s="1"/>
      <c r="R6176" s="1"/>
      <c r="S6176" s="1"/>
      <c r="T6176" s="1"/>
      <c r="U6176" s="1"/>
      <c r="V6176" s="1"/>
      <c r="W6176" s="1"/>
      <c r="X6176" s="1"/>
    </row>
    <row x14ac:dyDescent="0.25" r="6177" customHeight="1" ht="18.75">
      <c r="A6177" s="1"/>
      <c r="B6177" s="1"/>
      <c r="C6177" s="1"/>
      <c r="D6177" s="1"/>
      <c r="E6177" s="1"/>
      <c r="F6177" s="1"/>
      <c r="G6177" s="1"/>
      <c r="H6177" s="1"/>
      <c r="I6177" s="2"/>
      <c r="J6177" s="1"/>
      <c r="K6177" s="1"/>
      <c r="L6177" s="1"/>
      <c r="M6177" s="1"/>
      <c r="N6177" s="1"/>
      <c r="O6177" s="1"/>
      <c r="P6177" s="1"/>
      <c r="Q6177" s="1"/>
      <c r="R6177" s="1"/>
      <c r="S6177" s="1"/>
      <c r="T6177" s="1"/>
      <c r="U6177" s="1"/>
      <c r="V6177" s="1"/>
      <c r="W6177" s="1"/>
      <c r="X6177" s="1"/>
    </row>
    <row x14ac:dyDescent="0.25" r="6178" customHeight="1" ht="18.75">
      <c r="A6178" s="1"/>
      <c r="B6178" s="1"/>
      <c r="C6178" s="1"/>
      <c r="D6178" s="1"/>
      <c r="E6178" s="1"/>
      <c r="F6178" s="1"/>
      <c r="G6178" s="1"/>
      <c r="H6178" s="1"/>
      <c r="I6178" s="2"/>
      <c r="J6178" s="1"/>
      <c r="K6178" s="1"/>
      <c r="L6178" s="1"/>
      <c r="M6178" s="1"/>
      <c r="N6178" s="1"/>
      <c r="O6178" s="1"/>
      <c r="P6178" s="1"/>
      <c r="Q6178" s="1"/>
      <c r="R6178" s="1"/>
      <c r="S6178" s="1"/>
      <c r="T6178" s="1"/>
      <c r="U6178" s="1"/>
      <c r="V6178" s="1"/>
      <c r="W6178" s="1"/>
      <c r="X6178" s="1"/>
    </row>
    <row x14ac:dyDescent="0.25" r="6179" customHeight="1" ht="18.75">
      <c r="A6179" s="1"/>
      <c r="B6179" s="1"/>
      <c r="C6179" s="1"/>
      <c r="D6179" s="1"/>
      <c r="E6179" s="1"/>
      <c r="F6179" s="1"/>
      <c r="G6179" s="1"/>
      <c r="H6179" s="1"/>
      <c r="I6179" s="2"/>
      <c r="J6179" s="1"/>
      <c r="K6179" s="1"/>
      <c r="L6179" s="1"/>
      <c r="M6179" s="1"/>
      <c r="N6179" s="1"/>
      <c r="O6179" s="1"/>
      <c r="P6179" s="1"/>
      <c r="Q6179" s="1"/>
      <c r="R6179" s="1"/>
      <c r="S6179" s="1"/>
      <c r="T6179" s="1"/>
      <c r="U6179" s="1"/>
      <c r="V6179" s="1"/>
      <c r="W6179" s="1"/>
      <c r="X6179" s="1"/>
    </row>
    <row x14ac:dyDescent="0.25" r="6180" customHeight="1" ht="18.75">
      <c r="A6180" s="1"/>
      <c r="B6180" s="1"/>
      <c r="C6180" s="1"/>
      <c r="D6180" s="1"/>
      <c r="E6180" s="1"/>
      <c r="F6180" s="1"/>
      <c r="G6180" s="1"/>
      <c r="H6180" s="1"/>
      <c r="I6180" s="2"/>
      <c r="J6180" s="1"/>
      <c r="K6180" s="1"/>
      <c r="L6180" s="1"/>
      <c r="M6180" s="1"/>
      <c r="N6180" s="1"/>
      <c r="O6180" s="1"/>
      <c r="P6180" s="1"/>
      <c r="Q6180" s="1"/>
      <c r="R6180" s="1"/>
      <c r="S6180" s="1"/>
      <c r="T6180" s="1"/>
      <c r="U6180" s="1"/>
      <c r="V6180" s="1"/>
      <c r="W6180" s="1"/>
      <c r="X6180" s="1"/>
    </row>
    <row x14ac:dyDescent="0.25" r="6181" customHeight="1" ht="18.75">
      <c r="A6181" s="1"/>
      <c r="B6181" s="1"/>
      <c r="C6181" s="1"/>
      <c r="D6181" s="1"/>
      <c r="E6181" s="1"/>
      <c r="F6181" s="1"/>
      <c r="G6181" s="1"/>
      <c r="H6181" s="1"/>
      <c r="I6181" s="2"/>
      <c r="J6181" s="1"/>
      <c r="K6181" s="1"/>
      <c r="L6181" s="1"/>
      <c r="M6181" s="1"/>
      <c r="N6181" s="1"/>
      <c r="O6181" s="1"/>
      <c r="P6181" s="1"/>
      <c r="Q6181" s="1"/>
      <c r="R6181" s="1"/>
      <c r="S6181" s="1"/>
      <c r="T6181" s="1"/>
      <c r="U6181" s="1"/>
      <c r="V6181" s="1"/>
      <c r="W6181" s="1"/>
      <c r="X6181" s="1"/>
    </row>
    <row x14ac:dyDescent="0.25" r="6182" customHeight="1" ht="18.75">
      <c r="A6182" s="1"/>
      <c r="B6182" s="1"/>
      <c r="C6182" s="1"/>
      <c r="D6182" s="1"/>
      <c r="E6182" s="1"/>
      <c r="F6182" s="1"/>
      <c r="G6182" s="1"/>
      <c r="H6182" s="1"/>
      <c r="I6182" s="2"/>
      <c r="J6182" s="1"/>
      <c r="K6182" s="1"/>
      <c r="L6182" s="1"/>
      <c r="M6182" s="1"/>
      <c r="N6182" s="1"/>
      <c r="O6182" s="1"/>
      <c r="P6182" s="1"/>
      <c r="Q6182" s="1"/>
      <c r="R6182" s="1"/>
      <c r="S6182" s="1"/>
      <c r="T6182" s="1"/>
      <c r="U6182" s="1"/>
      <c r="V6182" s="1"/>
      <c r="W6182" s="1"/>
      <c r="X6182" s="1"/>
    </row>
    <row x14ac:dyDescent="0.25" r="6183" customHeight="1" ht="18.75">
      <c r="A6183" s="1"/>
      <c r="B6183" s="1"/>
      <c r="C6183" s="1"/>
      <c r="D6183" s="1"/>
      <c r="E6183" s="1"/>
      <c r="F6183" s="1"/>
      <c r="G6183" s="1"/>
      <c r="H6183" s="1"/>
      <c r="I6183" s="2"/>
      <c r="J6183" s="1"/>
      <c r="K6183" s="1"/>
      <c r="L6183" s="1"/>
      <c r="M6183" s="1"/>
      <c r="N6183" s="1"/>
      <c r="O6183" s="1"/>
      <c r="P6183" s="1"/>
      <c r="Q6183" s="1"/>
      <c r="R6183" s="1"/>
      <c r="S6183" s="1"/>
      <c r="T6183" s="1"/>
      <c r="U6183" s="1"/>
      <c r="V6183" s="1"/>
      <c r="W6183" s="1"/>
      <c r="X6183" s="1"/>
    </row>
    <row x14ac:dyDescent="0.25" r="6184" customHeight="1" ht="18.75">
      <c r="A6184" s="1"/>
      <c r="B6184" s="1"/>
      <c r="C6184" s="1"/>
      <c r="D6184" s="1"/>
      <c r="E6184" s="1"/>
      <c r="F6184" s="1"/>
      <c r="G6184" s="1"/>
      <c r="H6184" s="1"/>
      <c r="I6184" s="2"/>
      <c r="J6184" s="1"/>
      <c r="K6184" s="1"/>
      <c r="L6184" s="1"/>
      <c r="M6184" s="1"/>
      <c r="N6184" s="1"/>
      <c r="O6184" s="1"/>
      <c r="P6184" s="1"/>
      <c r="Q6184" s="1"/>
      <c r="R6184" s="1"/>
      <c r="S6184" s="1"/>
      <c r="T6184" s="1"/>
      <c r="U6184" s="1"/>
      <c r="V6184" s="1"/>
      <c r="W6184" s="1"/>
      <c r="X6184" s="1"/>
    </row>
    <row x14ac:dyDescent="0.25" r="6185" customHeight="1" ht="18.75">
      <c r="A6185" s="1"/>
      <c r="B6185" s="1"/>
      <c r="C6185" s="1"/>
      <c r="D6185" s="1"/>
      <c r="E6185" s="1"/>
      <c r="F6185" s="1"/>
      <c r="G6185" s="1"/>
      <c r="H6185" s="1"/>
      <c r="I6185" s="2"/>
      <c r="J6185" s="1"/>
      <c r="K6185" s="1"/>
      <c r="L6185" s="1"/>
      <c r="M6185" s="1"/>
      <c r="N6185" s="1"/>
      <c r="O6185" s="1"/>
      <c r="P6185" s="1"/>
      <c r="Q6185" s="1"/>
      <c r="R6185" s="1"/>
      <c r="S6185" s="1"/>
      <c r="T6185" s="1"/>
      <c r="U6185" s="1"/>
      <c r="V6185" s="1"/>
      <c r="W6185" s="1"/>
      <c r="X6185" s="1"/>
    </row>
    <row x14ac:dyDescent="0.25" r="6186" customHeight="1" ht="18.75">
      <c r="A6186" s="1"/>
      <c r="B6186" s="1"/>
      <c r="C6186" s="1"/>
      <c r="D6186" s="1"/>
      <c r="E6186" s="1"/>
      <c r="F6186" s="1"/>
      <c r="G6186" s="1"/>
      <c r="H6186" s="1"/>
      <c r="I6186" s="2"/>
      <c r="J6186" s="1"/>
      <c r="K6186" s="1"/>
      <c r="L6186" s="1"/>
      <c r="M6186" s="1"/>
      <c r="N6186" s="1"/>
      <c r="O6186" s="1"/>
      <c r="P6186" s="1"/>
      <c r="Q6186" s="1"/>
      <c r="R6186" s="1"/>
      <c r="S6186" s="1"/>
      <c r="T6186" s="1"/>
      <c r="U6186" s="1"/>
      <c r="V6186" s="1"/>
      <c r="W6186" s="1"/>
      <c r="X6186" s="1"/>
    </row>
    <row x14ac:dyDescent="0.25" r="6187" customHeight="1" ht="18.75">
      <c r="A6187" s="1"/>
      <c r="B6187" s="1"/>
      <c r="C6187" s="1"/>
      <c r="D6187" s="1"/>
      <c r="E6187" s="1"/>
      <c r="F6187" s="1"/>
      <c r="G6187" s="1"/>
      <c r="H6187" s="1"/>
      <c r="I6187" s="2"/>
      <c r="J6187" s="1"/>
      <c r="K6187" s="1"/>
      <c r="L6187" s="1"/>
      <c r="M6187" s="1"/>
      <c r="N6187" s="1"/>
      <c r="O6187" s="1"/>
      <c r="P6187" s="1"/>
      <c r="Q6187" s="1"/>
      <c r="R6187" s="1"/>
      <c r="S6187" s="1"/>
      <c r="T6187" s="1"/>
      <c r="U6187" s="1"/>
      <c r="V6187" s="1"/>
      <c r="W6187" s="1"/>
      <c r="X6187" s="1"/>
    </row>
    <row x14ac:dyDescent="0.25" r="6188" customHeight="1" ht="18.75">
      <c r="A6188" s="1"/>
      <c r="B6188" s="1"/>
      <c r="C6188" s="1"/>
      <c r="D6188" s="1"/>
      <c r="E6188" s="1"/>
      <c r="F6188" s="1"/>
      <c r="G6188" s="1"/>
      <c r="H6188" s="1"/>
      <c r="I6188" s="2"/>
      <c r="J6188" s="1"/>
      <c r="K6188" s="1"/>
      <c r="L6188" s="1"/>
      <c r="M6188" s="1"/>
      <c r="N6188" s="1"/>
      <c r="O6188" s="1"/>
      <c r="P6188" s="1"/>
      <c r="Q6188" s="1"/>
      <c r="R6188" s="1"/>
      <c r="S6188" s="1"/>
      <c r="T6188" s="1"/>
      <c r="U6188" s="1"/>
      <c r="V6188" s="1"/>
      <c r="W6188" s="1"/>
      <c r="X6188" s="1"/>
    </row>
    <row x14ac:dyDescent="0.25" r="6189" customHeight="1" ht="18.75">
      <c r="A6189" s="1"/>
      <c r="B6189" s="1"/>
      <c r="C6189" s="1"/>
      <c r="D6189" s="1"/>
      <c r="E6189" s="1"/>
      <c r="F6189" s="1"/>
      <c r="G6189" s="1"/>
      <c r="H6189" s="1"/>
      <c r="I6189" s="2"/>
      <c r="J6189" s="1"/>
      <c r="K6189" s="1"/>
      <c r="L6189" s="1"/>
      <c r="M6189" s="1"/>
      <c r="N6189" s="1"/>
      <c r="O6189" s="1"/>
      <c r="P6189" s="1"/>
      <c r="Q6189" s="1"/>
      <c r="R6189" s="1"/>
      <c r="S6189" s="1"/>
      <c r="T6189" s="1"/>
      <c r="U6189" s="1"/>
      <c r="V6189" s="1"/>
      <c r="W6189" s="1"/>
      <c r="X6189" s="1"/>
    </row>
    <row x14ac:dyDescent="0.25" r="6190" customHeight="1" ht="18.75">
      <c r="A6190" s="1"/>
      <c r="B6190" s="1"/>
      <c r="C6190" s="1"/>
      <c r="D6190" s="1"/>
      <c r="E6190" s="1"/>
      <c r="F6190" s="1"/>
      <c r="G6190" s="1"/>
      <c r="H6190" s="1"/>
      <c r="I6190" s="2"/>
      <c r="J6190" s="1"/>
      <c r="K6190" s="1"/>
      <c r="L6190" s="1"/>
      <c r="M6190" s="1"/>
      <c r="N6190" s="1"/>
      <c r="O6190" s="1"/>
      <c r="P6190" s="1"/>
      <c r="Q6190" s="1"/>
      <c r="R6190" s="1"/>
      <c r="S6190" s="1"/>
      <c r="T6190" s="1"/>
      <c r="U6190" s="1"/>
      <c r="V6190" s="1"/>
      <c r="W6190" s="1"/>
      <c r="X6190" s="1"/>
    </row>
    <row x14ac:dyDescent="0.25" r="6191" customHeight="1" ht="18.75">
      <c r="A6191" s="1"/>
      <c r="B6191" s="1"/>
      <c r="C6191" s="1"/>
      <c r="D6191" s="1"/>
      <c r="E6191" s="1"/>
      <c r="F6191" s="1"/>
      <c r="G6191" s="1"/>
      <c r="H6191" s="1"/>
      <c r="I6191" s="2"/>
      <c r="J6191" s="1"/>
      <c r="K6191" s="1"/>
      <c r="L6191" s="1"/>
      <c r="M6191" s="1"/>
      <c r="N6191" s="1"/>
      <c r="O6191" s="1"/>
      <c r="P6191" s="1"/>
      <c r="Q6191" s="1"/>
      <c r="R6191" s="1"/>
      <c r="S6191" s="1"/>
      <c r="T6191" s="1"/>
      <c r="U6191" s="1"/>
      <c r="V6191" s="1"/>
      <c r="W6191" s="1"/>
      <c r="X6191" s="1"/>
    </row>
    <row x14ac:dyDescent="0.25" r="6192" customHeight="1" ht="18.75">
      <c r="A6192" s="1"/>
      <c r="B6192" s="1"/>
      <c r="C6192" s="1"/>
      <c r="D6192" s="1"/>
      <c r="E6192" s="1"/>
      <c r="F6192" s="1"/>
      <c r="G6192" s="1"/>
      <c r="H6192" s="1"/>
      <c r="I6192" s="2"/>
      <c r="J6192" s="1"/>
      <c r="K6192" s="1"/>
      <c r="L6192" s="1"/>
      <c r="M6192" s="1"/>
      <c r="N6192" s="1"/>
      <c r="O6192" s="1"/>
      <c r="P6192" s="1"/>
      <c r="Q6192" s="1"/>
      <c r="R6192" s="1"/>
      <c r="S6192" s="1"/>
      <c r="T6192" s="1"/>
      <c r="U6192" s="1"/>
      <c r="V6192" s="1"/>
      <c r="W6192" s="1"/>
      <c r="X6192" s="1"/>
    </row>
    <row x14ac:dyDescent="0.25" r="6193" customHeight="1" ht="18.75">
      <c r="A6193" s="1"/>
      <c r="B6193" s="1"/>
      <c r="C6193" s="1"/>
      <c r="D6193" s="1"/>
      <c r="E6193" s="1"/>
      <c r="F6193" s="1"/>
      <c r="G6193" s="1"/>
      <c r="H6193" s="1"/>
      <c r="I6193" s="2"/>
      <c r="J6193" s="1"/>
      <c r="K6193" s="1"/>
      <c r="L6193" s="1"/>
      <c r="M6193" s="1"/>
      <c r="N6193" s="1"/>
      <c r="O6193" s="1"/>
      <c r="P6193" s="1"/>
      <c r="Q6193" s="1"/>
      <c r="R6193" s="1"/>
      <c r="S6193" s="1"/>
      <c r="T6193" s="1"/>
      <c r="U6193" s="1"/>
      <c r="V6193" s="1"/>
      <c r="W6193" s="1"/>
      <c r="X6193" s="1"/>
    </row>
    <row x14ac:dyDescent="0.25" r="6194" customHeight="1" ht="18.75">
      <c r="A6194" s="1"/>
      <c r="B6194" s="1"/>
      <c r="C6194" s="1"/>
      <c r="D6194" s="1"/>
      <c r="E6194" s="1"/>
      <c r="F6194" s="1"/>
      <c r="G6194" s="1"/>
      <c r="H6194" s="1"/>
      <c r="I6194" s="2"/>
      <c r="J6194" s="1"/>
      <c r="K6194" s="1"/>
      <c r="L6194" s="1"/>
      <c r="M6194" s="1"/>
      <c r="N6194" s="1"/>
      <c r="O6194" s="1"/>
      <c r="P6194" s="1"/>
      <c r="Q6194" s="1"/>
      <c r="R6194" s="1"/>
      <c r="S6194" s="1"/>
      <c r="T6194" s="1"/>
      <c r="U6194" s="1"/>
      <c r="V6194" s="1"/>
      <c r="W6194" s="1"/>
      <c r="X6194" s="1"/>
    </row>
    <row x14ac:dyDescent="0.25" r="6195" customHeight="1" ht="18.75">
      <c r="A6195" s="1"/>
      <c r="B6195" s="1"/>
      <c r="C6195" s="1"/>
      <c r="D6195" s="1"/>
      <c r="E6195" s="1"/>
      <c r="F6195" s="1"/>
      <c r="G6195" s="1"/>
      <c r="H6195" s="1"/>
      <c r="I6195" s="2"/>
      <c r="J6195" s="1"/>
      <c r="K6195" s="1"/>
      <c r="L6195" s="1"/>
      <c r="M6195" s="1"/>
      <c r="N6195" s="1"/>
      <c r="O6195" s="1"/>
      <c r="P6195" s="1"/>
      <c r="Q6195" s="1"/>
      <c r="R6195" s="1"/>
      <c r="S6195" s="1"/>
      <c r="T6195" s="1"/>
      <c r="U6195" s="1"/>
      <c r="V6195" s="1"/>
      <c r="W6195" s="1"/>
      <c r="X6195" s="1"/>
    </row>
    <row x14ac:dyDescent="0.25" r="6196" customHeight="1" ht="18.75">
      <c r="A6196" s="1"/>
      <c r="B6196" s="1"/>
      <c r="C6196" s="1"/>
      <c r="D6196" s="1"/>
      <c r="E6196" s="1"/>
      <c r="F6196" s="1"/>
      <c r="G6196" s="1"/>
      <c r="H6196" s="1"/>
      <c r="I6196" s="2"/>
      <c r="J6196" s="1"/>
      <c r="K6196" s="1"/>
      <c r="L6196" s="1"/>
      <c r="M6196" s="1"/>
      <c r="N6196" s="1"/>
      <c r="O6196" s="1"/>
      <c r="P6196" s="1"/>
      <c r="Q6196" s="1"/>
      <c r="R6196" s="1"/>
      <c r="S6196" s="1"/>
      <c r="T6196" s="1"/>
      <c r="U6196" s="1"/>
      <c r="V6196" s="1"/>
      <c r="W6196" s="1"/>
      <c r="X6196" s="1"/>
    </row>
    <row x14ac:dyDescent="0.25" r="6197" customHeight="1" ht="18.75">
      <c r="A6197" s="1"/>
      <c r="B6197" s="1"/>
      <c r="C6197" s="1"/>
      <c r="D6197" s="1"/>
      <c r="E6197" s="1"/>
      <c r="F6197" s="1"/>
      <c r="G6197" s="1"/>
      <c r="H6197" s="1"/>
      <c r="I6197" s="2"/>
      <c r="J6197" s="1"/>
      <c r="K6197" s="1"/>
      <c r="L6197" s="1"/>
      <c r="M6197" s="1"/>
      <c r="N6197" s="1"/>
      <c r="O6197" s="1"/>
      <c r="P6197" s="1"/>
      <c r="Q6197" s="1"/>
      <c r="R6197" s="1"/>
      <c r="S6197" s="1"/>
      <c r="T6197" s="1"/>
      <c r="U6197" s="1"/>
      <c r="V6197" s="1"/>
      <c r="W6197" s="1"/>
      <c r="X6197" s="1"/>
    </row>
    <row x14ac:dyDescent="0.25" r="6198" customHeight="1" ht="18.75">
      <c r="A6198" s="1"/>
      <c r="B6198" s="1"/>
      <c r="C6198" s="1"/>
      <c r="D6198" s="1"/>
      <c r="E6198" s="1"/>
      <c r="F6198" s="1"/>
      <c r="G6198" s="1"/>
      <c r="H6198" s="1"/>
      <c r="I6198" s="2"/>
      <c r="J6198" s="1"/>
      <c r="K6198" s="1"/>
      <c r="L6198" s="1"/>
      <c r="M6198" s="1"/>
      <c r="N6198" s="1"/>
      <c r="O6198" s="1"/>
      <c r="P6198" s="1"/>
      <c r="Q6198" s="1"/>
      <c r="R6198" s="1"/>
      <c r="S6198" s="1"/>
      <c r="T6198" s="1"/>
      <c r="U6198" s="1"/>
      <c r="V6198" s="1"/>
      <c r="W6198" s="1"/>
      <c r="X6198" s="1"/>
    </row>
    <row x14ac:dyDescent="0.25" r="6199" customHeight="1" ht="18.75">
      <c r="A6199" s="1"/>
      <c r="B6199" s="1"/>
      <c r="C6199" s="1"/>
      <c r="D6199" s="1"/>
      <c r="E6199" s="1"/>
      <c r="F6199" s="1"/>
      <c r="G6199" s="1"/>
      <c r="H6199" s="1"/>
      <c r="I6199" s="2"/>
      <c r="J6199" s="1"/>
      <c r="K6199" s="1"/>
      <c r="L6199" s="1"/>
      <c r="M6199" s="1"/>
      <c r="N6199" s="1"/>
      <c r="O6199" s="1"/>
      <c r="P6199" s="1"/>
      <c r="Q6199" s="1"/>
      <c r="R6199" s="1"/>
      <c r="S6199" s="1"/>
      <c r="T6199" s="1"/>
      <c r="U6199" s="1"/>
      <c r="V6199" s="1"/>
      <c r="W6199" s="1"/>
      <c r="X6199" s="1"/>
    </row>
  </sheetData>
  <pageMargins left="0.7" right="0.7" top="0.75" bottom="0.75" header="0.3" footer="0.3"/>
  <tableParts count="5">
    <tablePart r:id="rId1"/>
    <tablePart r:id="rId2"/>
    <tablePart r:id="rId3"/>
    <tablePart r:id="rId4"/>
    <tablePart r:id="rId5"/>
  </tableParts>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25</vt:i4>
      </vt:variant>
    </vt:vector>
  </HeadingPairs>
  <TitlesOfParts>
    <vt:vector baseType="lpstr" size="25">
      <vt:lpstr>Modelo_aPreencher</vt:lpstr>
      <vt:lpstr>Atividades</vt:lpstr>
      <vt:lpstr>Planilha1</vt:lpstr>
      <vt:lpstr>Grupo</vt:lpstr>
      <vt:lpstr>Consolidado-Eletronorte</vt:lpstr>
      <vt:lpstr>Carga do orçamento</vt:lpstr>
      <vt:lpstr>Planilha9</vt:lpstr>
      <vt:lpstr>Valor divido por 1000</vt:lpstr>
      <vt:lpstr>Planilha8</vt:lpstr>
      <vt:lpstr>Planilha3</vt:lpstr>
      <vt:lpstr>Anotações gerais</vt:lpstr>
      <vt:lpstr>Status contratação</vt:lpstr>
      <vt:lpstr>PEP</vt:lpstr>
      <vt:lpstr>Usina</vt:lpstr>
      <vt:lpstr>Planilha5</vt:lpstr>
      <vt:lpstr>Tabelas Dinâmicas</vt:lpstr>
      <vt:lpstr>Planilha2</vt:lpstr>
      <vt:lpstr>ModeloFinal-CGT Eletrosul</vt:lpstr>
      <vt:lpstr>ModeloFinal-Eletronorte</vt:lpstr>
      <vt:lpstr>ModeloFinal-Operação Sudeste</vt:lpstr>
      <vt:lpstr>ModeloFinal-Chesf</vt:lpstr>
      <vt:lpstr>LO</vt:lpstr>
      <vt:lpstr>R&amp;amp;M</vt:lpstr>
      <vt:lpstr>SGPMR</vt:lpstr>
      <vt:lpstr>_Config</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2026-03-24T20:05:44.918Z</dcterms:created>
  <dcterms:modified xsi:type="dcterms:W3CDTF">2026-03-24T20:05:44.918Z</dcterms:modified>
</cp:coreProperties>
</file>